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1.xml" ContentType="application/vnd.openxmlformats-officedocument.spreadsheetml.table+xml"/>
  <Override PartName="/xl/pivotTables/pivotTable2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m.ho/Desktop/Work/damcake-work-wiki/Raw/Lending/"/>
    </mc:Choice>
  </mc:AlternateContent>
  <xr:revisionPtr revIDLastSave="0" documentId="8_{8D14087D-88B2-B148-8C4B-0A0D4548AD2C}" xr6:coauthVersionLast="47" xr6:coauthVersionMax="47" xr10:uidLastSave="{00000000-0000-0000-0000-000000000000}"/>
  <bookViews>
    <workbookView xWindow="0" yWindow="740" windowWidth="19420" windowHeight="10300" activeTab="2" xr2:uid="{00000000-000D-0000-FFFF-FFFF00000000}"/>
  </bookViews>
  <sheets>
    <sheet name="Road to 3k" sheetId="1" state="hidden" r:id="rId1"/>
    <sheet name="Road to 3k v2" sheetId="2" state="hidden" r:id="rId2"/>
    <sheet name="Road to 3k v2 (2)" sheetId="11" r:id="rId3"/>
    <sheet name="Initiative tracking" sheetId="10" r:id="rId4"/>
    <sheet name="waterfall 3k" sheetId="7" r:id="rId5"/>
    <sheet name="Tracking daily Target" sheetId="8" r:id="rId6"/>
    <sheet name="Pivot" sheetId="4" r:id="rId7"/>
    <sheet name="RawMTD" sheetId="3" r:id="rId8"/>
    <sheet name="source" sheetId="9" r:id="rId9"/>
    <sheet name="Sheet2" sheetId="12" r:id="rId10"/>
    <sheet name="Raw Cake Payday" sheetId="6" r:id="rId11"/>
    <sheet name="Raw Cake CL" sheetId="5" r:id="rId12"/>
    <sheet name="Initiative tracking_cal" sheetId="13" r:id="rId13"/>
  </sheets>
  <externalReferences>
    <externalReference r:id="rId14"/>
    <externalReference r:id="rId15"/>
    <externalReference r:id="rId16"/>
  </externalReferences>
  <definedNames>
    <definedName name="_xlnm._FilterDatabase" localSheetId="7" hidden="1">RawMTD!$B$2:$D$466</definedName>
    <definedName name="_xlnm._FilterDatabase" localSheetId="8" hidden="1">source!$AF$28:$AF$54</definedName>
    <definedName name="_xlnm._FilterDatabase" localSheetId="5" hidden="1">'Tracking daily Target'!$E$20:$J$31</definedName>
    <definedName name="_xlchart.v1.0" hidden="1">'waterfall 3k'!$K$19:$K$43</definedName>
    <definedName name="_xlchart.v1.1" hidden="1">'waterfall 3k'!$L$18</definedName>
    <definedName name="_xlchart.v1.2" hidden="1">'waterfall 3k'!$L$19:$L$43</definedName>
    <definedName name="_xlchart.v1.3" hidden="1">'waterfall 3k'!$K$52:$K$68</definedName>
    <definedName name="_xlchart.v1.4" hidden="1">'waterfall 3k'!$L$51</definedName>
    <definedName name="_xlchart.v1.5" hidden="1">'waterfall 3k'!$L$52:$L$68</definedName>
    <definedName name="Raw_B0" localSheetId="8">#REF!</definedName>
    <definedName name="Raw_B0">#REF!</definedName>
    <definedName name="Raw_RF_tbl">[1]!Table4[#All]</definedName>
    <definedName name="Raw_RFB0_B1" localSheetId="8">#REF!</definedName>
    <definedName name="Raw_RFB0_B1">#REF!</definedName>
    <definedName name="RFB0_B1_Tbl">[1]!RF_B0_B1_tbl[#All]</definedName>
    <definedName name="sum_prod_target">'Tracking daily Target'!$E$20:$I$31</definedName>
    <definedName name="sum_target">'Tracking daily Target'!$E$35:$F$39</definedName>
    <definedName name="top_largest_gap">'Tracking daily Target'!$E$46:$F$50</definedName>
  </definedNames>
  <calcPr calcId="191029"/>
  <pivotCaches>
    <pivotCache cacheId="2" r:id="rId17"/>
    <pivotCache cacheId="3" r:id="rId18"/>
    <pivotCache cacheId="4" r:id="rId19"/>
    <pivotCache cacheId="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9" i="10" l="1"/>
  <c r="E220" i="10"/>
  <c r="D220" i="10"/>
  <c r="F121" i="10"/>
  <c r="E121" i="10"/>
  <c r="D121" i="10"/>
  <c r="D135" i="10"/>
  <c r="D133" i="10"/>
  <c r="AO9" i="13"/>
  <c r="AO8" i="13"/>
  <c r="D119" i="10"/>
  <c r="D32" i="11"/>
  <c r="D216" i="10"/>
  <c r="D212" i="10"/>
  <c r="C175" i="10"/>
  <c r="D171" i="10"/>
  <c r="D166" i="10"/>
  <c r="D170" i="10"/>
  <c r="D168" i="10"/>
  <c r="D167" i="10"/>
  <c r="J33" i="11"/>
  <c r="D31" i="11"/>
  <c r="D30" i="11"/>
  <c r="D28" i="11"/>
  <c r="D25" i="11"/>
  <c r="D22" i="11"/>
  <c r="D18" i="11"/>
  <c r="D14" i="11"/>
  <c r="D11" i="11"/>
  <c r="D8" i="11"/>
  <c r="D6" i="11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S512" i="9"/>
  <c r="C3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4" i="4"/>
  <c r="H31" i="11"/>
  <c r="H28" i="11"/>
  <c r="H25" i="11"/>
  <c r="H22" i="11"/>
  <c r="I24" i="11" s="1"/>
  <c r="P23" i="11" s="1"/>
  <c r="H18" i="11"/>
  <c r="H14" i="11"/>
  <c r="H11" i="11"/>
  <c r="I12" i="11" s="1"/>
  <c r="H8" i="11"/>
  <c r="H6" i="11"/>
  <c r="G15" i="8"/>
  <c r="B15089" i="9"/>
  <c r="B15090" i="9"/>
  <c r="B15091" i="9"/>
  <c r="B15092" i="9"/>
  <c r="B15093" i="9"/>
  <c r="B15094" i="9"/>
  <c r="B15095" i="9"/>
  <c r="B15096" i="9"/>
  <c r="B15097" i="9"/>
  <c r="B15098" i="9"/>
  <c r="B15099" i="9"/>
  <c r="B15100" i="9"/>
  <c r="B15101" i="9"/>
  <c r="B15102" i="9"/>
  <c r="B15103" i="9"/>
  <c r="B15104" i="9"/>
  <c r="B15105" i="9"/>
  <c r="B15106" i="9"/>
  <c r="B15107" i="9"/>
  <c r="B15108" i="9"/>
  <c r="B15109" i="9"/>
  <c r="B15110" i="9"/>
  <c r="B15111" i="9"/>
  <c r="B15112" i="9"/>
  <c r="B15113" i="9"/>
  <c r="B15114" i="9"/>
  <c r="B15115" i="9"/>
  <c r="B15116" i="9"/>
  <c r="B15117" i="9"/>
  <c r="B15118" i="9"/>
  <c r="B15119" i="9"/>
  <c r="B15120" i="9"/>
  <c r="B15121" i="9"/>
  <c r="B15122" i="9"/>
  <c r="B15123" i="9"/>
  <c r="B15124" i="9"/>
  <c r="B15125" i="9"/>
  <c r="B15126" i="9"/>
  <c r="B15127" i="9"/>
  <c r="B15128" i="9"/>
  <c r="B15129" i="9"/>
  <c r="B15130" i="9"/>
  <c r="B15131" i="9"/>
  <c r="B15132" i="9"/>
  <c r="B15133" i="9"/>
  <c r="B15134" i="9"/>
  <c r="B15135" i="9"/>
  <c r="B15136" i="9"/>
  <c r="B15137" i="9"/>
  <c r="B15138" i="9"/>
  <c r="B15139" i="9"/>
  <c r="B15140" i="9"/>
  <c r="B15141" i="9"/>
  <c r="B15142" i="9"/>
  <c r="B15143" i="9"/>
  <c r="B15144" i="9"/>
  <c r="B15145" i="9"/>
  <c r="B15146" i="9"/>
  <c r="B15147" i="9"/>
  <c r="B15148" i="9"/>
  <c r="B15149" i="9"/>
  <c r="B15150" i="9"/>
  <c r="B15151" i="9"/>
  <c r="B15152" i="9"/>
  <c r="B15153" i="9"/>
  <c r="B15154" i="9"/>
  <c r="B15155" i="9"/>
  <c r="B15156" i="9"/>
  <c r="B15157" i="9"/>
  <c r="B15158" i="9"/>
  <c r="B15159" i="9"/>
  <c r="B15160" i="9"/>
  <c r="B15161" i="9"/>
  <c r="B15162" i="9"/>
  <c r="B15163" i="9"/>
  <c r="B15164" i="9"/>
  <c r="B15165" i="9"/>
  <c r="B15166" i="9"/>
  <c r="B15167" i="9"/>
  <c r="B15168" i="9"/>
  <c r="B15169" i="9"/>
  <c r="B15170" i="9"/>
  <c r="B15171" i="9"/>
  <c r="B15172" i="9"/>
  <c r="B15173" i="9"/>
  <c r="B15174" i="9"/>
  <c r="B15175" i="9"/>
  <c r="B15176" i="9"/>
  <c r="B15177" i="9"/>
  <c r="B15178" i="9"/>
  <c r="B15179" i="9"/>
  <c r="B15180" i="9"/>
  <c r="B15181" i="9"/>
  <c r="B15182" i="9"/>
  <c r="B15183" i="9"/>
  <c r="B15184" i="9"/>
  <c r="B15185" i="9"/>
  <c r="B15186" i="9"/>
  <c r="B15187" i="9"/>
  <c r="B15188" i="9"/>
  <c r="B15189" i="9"/>
  <c r="B15190" i="9"/>
  <c r="B15191" i="9"/>
  <c r="B15192" i="9"/>
  <c r="B15193" i="9"/>
  <c r="B15194" i="9"/>
  <c r="B15195" i="9"/>
  <c r="B15196" i="9"/>
  <c r="B15197" i="9"/>
  <c r="B15198" i="9"/>
  <c r="B15199" i="9"/>
  <c r="B15200" i="9"/>
  <c r="B15201" i="9"/>
  <c r="B15202" i="9"/>
  <c r="B15203" i="9"/>
  <c r="B15204" i="9"/>
  <c r="B15205" i="9"/>
  <c r="B15206" i="9"/>
  <c r="B15207" i="9"/>
  <c r="B15208" i="9"/>
  <c r="B15209" i="9"/>
  <c r="B15210" i="9"/>
  <c r="B15211" i="9"/>
  <c r="B15212" i="9"/>
  <c r="B15213" i="9"/>
  <c r="B15214" i="9"/>
  <c r="B15215" i="9"/>
  <c r="B15216" i="9"/>
  <c r="B15217" i="9"/>
  <c r="B15218" i="9"/>
  <c r="B15219" i="9"/>
  <c r="B15220" i="9"/>
  <c r="B15221" i="9"/>
  <c r="B15222" i="9"/>
  <c r="B15223" i="9"/>
  <c r="B15224" i="9"/>
  <c r="B15225" i="9"/>
  <c r="B15226" i="9"/>
  <c r="B15227" i="9"/>
  <c r="B15228" i="9"/>
  <c r="B15229" i="9"/>
  <c r="B15230" i="9"/>
  <c r="B15231" i="9"/>
  <c r="B15232" i="9"/>
  <c r="B15233" i="9"/>
  <c r="B15234" i="9"/>
  <c r="B15235" i="9"/>
  <c r="B15236" i="9"/>
  <c r="B15237" i="9"/>
  <c r="B15238" i="9"/>
  <c r="B15239" i="9"/>
  <c r="B15240" i="9"/>
  <c r="B15241" i="9"/>
  <c r="B15242" i="9"/>
  <c r="B15243" i="9"/>
  <c r="B15244" i="9"/>
  <c r="B15245" i="9"/>
  <c r="B15246" i="9"/>
  <c r="B15247" i="9"/>
  <c r="B15248" i="9"/>
  <c r="B15249" i="9"/>
  <c r="B15250" i="9"/>
  <c r="B15251" i="9"/>
  <c r="B15252" i="9"/>
  <c r="B15253" i="9"/>
  <c r="B15254" i="9"/>
  <c r="B15255" i="9"/>
  <c r="B15256" i="9"/>
  <c r="B15257" i="9"/>
  <c r="B15258" i="9"/>
  <c r="B15259" i="9"/>
  <c r="B15260" i="9"/>
  <c r="B15261" i="9"/>
  <c r="B15262" i="9"/>
  <c r="B15263" i="9"/>
  <c r="B15264" i="9"/>
  <c r="B15265" i="9"/>
  <c r="B15266" i="9"/>
  <c r="B15267" i="9"/>
  <c r="B15268" i="9"/>
  <c r="B15269" i="9"/>
  <c r="B15270" i="9"/>
  <c r="B15271" i="9"/>
  <c r="B15272" i="9"/>
  <c r="B15273" i="9"/>
  <c r="B15274" i="9"/>
  <c r="B15275" i="9"/>
  <c r="B15276" i="9"/>
  <c r="B15277" i="9"/>
  <c r="B15278" i="9"/>
  <c r="B15279" i="9"/>
  <c r="B15280" i="9"/>
  <c r="B15281" i="9"/>
  <c r="B15282" i="9"/>
  <c r="B15283" i="9"/>
  <c r="B15284" i="9"/>
  <c r="B15285" i="9"/>
  <c r="B15286" i="9"/>
  <c r="B15287" i="9"/>
  <c r="B15288" i="9"/>
  <c r="B15289" i="9"/>
  <c r="B15290" i="9"/>
  <c r="B15291" i="9"/>
  <c r="B15292" i="9"/>
  <c r="B15293" i="9"/>
  <c r="B15294" i="9"/>
  <c r="B15295" i="9"/>
  <c r="B15296" i="9"/>
  <c r="B15297" i="9"/>
  <c r="B15298" i="9"/>
  <c r="B15299" i="9"/>
  <c r="B15300" i="9"/>
  <c r="B15301" i="9"/>
  <c r="B15302" i="9"/>
  <c r="B15303" i="9"/>
  <c r="B15304" i="9"/>
  <c r="B15305" i="9"/>
  <c r="B15306" i="9"/>
  <c r="B15307" i="9"/>
  <c r="B15308" i="9"/>
  <c r="B15309" i="9"/>
  <c r="B15310" i="9"/>
  <c r="B15311" i="9"/>
  <c r="B15312" i="9"/>
  <c r="B15313" i="9"/>
  <c r="B15314" i="9"/>
  <c r="B15315" i="9"/>
  <c r="B15316" i="9"/>
  <c r="B15317" i="9"/>
  <c r="B15318" i="9"/>
  <c r="B15319" i="9"/>
  <c r="B15320" i="9"/>
  <c r="B15321" i="9"/>
  <c r="B15322" i="9"/>
  <c r="B15323" i="9"/>
  <c r="B15324" i="9"/>
  <c r="B15325" i="9"/>
  <c r="B15326" i="9"/>
  <c r="B15327" i="9"/>
  <c r="B15328" i="9"/>
  <c r="B15329" i="9"/>
  <c r="B15330" i="9"/>
  <c r="B15331" i="9"/>
  <c r="B15332" i="9"/>
  <c r="B15333" i="9"/>
  <c r="B15334" i="9"/>
  <c r="B15335" i="9"/>
  <c r="B15336" i="9"/>
  <c r="B15337" i="9"/>
  <c r="B15338" i="9"/>
  <c r="B15339" i="9"/>
  <c r="B15340" i="9"/>
  <c r="B15341" i="9"/>
  <c r="B15342" i="9"/>
  <c r="B15343" i="9"/>
  <c r="B15344" i="9"/>
  <c r="B15345" i="9"/>
  <c r="B15346" i="9"/>
  <c r="B15347" i="9"/>
  <c r="B15348" i="9"/>
  <c r="B15349" i="9"/>
  <c r="B15350" i="9"/>
  <c r="B15351" i="9"/>
  <c r="B15352" i="9"/>
  <c r="B15353" i="9"/>
  <c r="B15354" i="9"/>
  <c r="B15355" i="9"/>
  <c r="B15356" i="9"/>
  <c r="B15357" i="9"/>
  <c r="B15358" i="9"/>
  <c r="B15359" i="9"/>
  <c r="B15360" i="9"/>
  <c r="B15361" i="9"/>
  <c r="B15362" i="9"/>
  <c r="B15363" i="9"/>
  <c r="B15364" i="9"/>
  <c r="B15365" i="9"/>
  <c r="B15366" i="9"/>
  <c r="B15367" i="9"/>
  <c r="B15368" i="9"/>
  <c r="B15369" i="9"/>
  <c r="B15370" i="9"/>
  <c r="B15371" i="9"/>
  <c r="B15372" i="9"/>
  <c r="B15373" i="9"/>
  <c r="B15374" i="9"/>
  <c r="C15089" i="9"/>
  <c r="C15090" i="9"/>
  <c r="C15091" i="9"/>
  <c r="C15092" i="9"/>
  <c r="C15093" i="9"/>
  <c r="C15094" i="9"/>
  <c r="C15095" i="9"/>
  <c r="C15096" i="9"/>
  <c r="C15097" i="9"/>
  <c r="C15098" i="9"/>
  <c r="C15099" i="9"/>
  <c r="C15100" i="9"/>
  <c r="C15101" i="9"/>
  <c r="C15102" i="9"/>
  <c r="C15103" i="9"/>
  <c r="C15104" i="9"/>
  <c r="C15105" i="9"/>
  <c r="C15106" i="9"/>
  <c r="C15107" i="9"/>
  <c r="C15108" i="9"/>
  <c r="C15109" i="9"/>
  <c r="C15110" i="9"/>
  <c r="C15111" i="9"/>
  <c r="C15112" i="9"/>
  <c r="C15113" i="9"/>
  <c r="C15114" i="9"/>
  <c r="C15115" i="9"/>
  <c r="C15116" i="9"/>
  <c r="C15117" i="9"/>
  <c r="C15118" i="9"/>
  <c r="C15119" i="9"/>
  <c r="C15120" i="9"/>
  <c r="C15121" i="9"/>
  <c r="C15122" i="9"/>
  <c r="C15123" i="9"/>
  <c r="C15124" i="9"/>
  <c r="C15125" i="9"/>
  <c r="C15126" i="9"/>
  <c r="C15127" i="9"/>
  <c r="C15128" i="9"/>
  <c r="C15129" i="9"/>
  <c r="C15130" i="9"/>
  <c r="C15131" i="9"/>
  <c r="C15132" i="9"/>
  <c r="C15133" i="9"/>
  <c r="C15134" i="9"/>
  <c r="C15135" i="9"/>
  <c r="C15136" i="9"/>
  <c r="C15137" i="9"/>
  <c r="C15138" i="9"/>
  <c r="C15139" i="9"/>
  <c r="C15140" i="9"/>
  <c r="C15141" i="9"/>
  <c r="C15142" i="9"/>
  <c r="C15143" i="9"/>
  <c r="C15144" i="9"/>
  <c r="C15145" i="9"/>
  <c r="C15146" i="9"/>
  <c r="C15147" i="9"/>
  <c r="C15148" i="9"/>
  <c r="C15149" i="9"/>
  <c r="C15150" i="9"/>
  <c r="C15151" i="9"/>
  <c r="C15152" i="9"/>
  <c r="C15153" i="9"/>
  <c r="C15154" i="9"/>
  <c r="C15155" i="9"/>
  <c r="C15156" i="9"/>
  <c r="C15157" i="9"/>
  <c r="C15158" i="9"/>
  <c r="C15159" i="9"/>
  <c r="C15160" i="9"/>
  <c r="C15161" i="9"/>
  <c r="C15162" i="9"/>
  <c r="C15163" i="9"/>
  <c r="C15164" i="9"/>
  <c r="C15165" i="9"/>
  <c r="C15166" i="9"/>
  <c r="C15167" i="9"/>
  <c r="C15168" i="9"/>
  <c r="C15169" i="9"/>
  <c r="C15170" i="9"/>
  <c r="C15171" i="9"/>
  <c r="C15172" i="9"/>
  <c r="C15173" i="9"/>
  <c r="C15174" i="9"/>
  <c r="C15175" i="9"/>
  <c r="C15176" i="9"/>
  <c r="C15177" i="9"/>
  <c r="C15178" i="9"/>
  <c r="C15179" i="9"/>
  <c r="C15180" i="9"/>
  <c r="C15181" i="9"/>
  <c r="C15182" i="9"/>
  <c r="C15183" i="9"/>
  <c r="C15184" i="9"/>
  <c r="C15185" i="9"/>
  <c r="C15186" i="9"/>
  <c r="C15187" i="9"/>
  <c r="C15188" i="9"/>
  <c r="C15189" i="9"/>
  <c r="C15190" i="9"/>
  <c r="C15191" i="9"/>
  <c r="C15192" i="9"/>
  <c r="C15193" i="9"/>
  <c r="C15194" i="9"/>
  <c r="C15195" i="9"/>
  <c r="C15196" i="9"/>
  <c r="C15197" i="9"/>
  <c r="C15198" i="9"/>
  <c r="C15199" i="9"/>
  <c r="C15200" i="9"/>
  <c r="C15201" i="9"/>
  <c r="C15202" i="9"/>
  <c r="C15203" i="9"/>
  <c r="C15204" i="9"/>
  <c r="C15205" i="9"/>
  <c r="C15206" i="9"/>
  <c r="C15207" i="9"/>
  <c r="C15208" i="9"/>
  <c r="C15209" i="9"/>
  <c r="C15210" i="9"/>
  <c r="C15211" i="9"/>
  <c r="C15212" i="9"/>
  <c r="C15213" i="9"/>
  <c r="C15214" i="9"/>
  <c r="C15215" i="9"/>
  <c r="C15216" i="9"/>
  <c r="C15217" i="9"/>
  <c r="C15218" i="9"/>
  <c r="C15219" i="9"/>
  <c r="C15220" i="9"/>
  <c r="C15221" i="9"/>
  <c r="C15222" i="9"/>
  <c r="C15223" i="9"/>
  <c r="C15224" i="9"/>
  <c r="C15225" i="9"/>
  <c r="C15226" i="9"/>
  <c r="C15227" i="9"/>
  <c r="C15228" i="9"/>
  <c r="C15229" i="9"/>
  <c r="C15230" i="9"/>
  <c r="C15231" i="9"/>
  <c r="C15232" i="9"/>
  <c r="C15233" i="9"/>
  <c r="C15234" i="9"/>
  <c r="C15235" i="9"/>
  <c r="C15236" i="9"/>
  <c r="C15237" i="9"/>
  <c r="C15238" i="9"/>
  <c r="C15239" i="9"/>
  <c r="C15240" i="9"/>
  <c r="C15241" i="9"/>
  <c r="C15242" i="9"/>
  <c r="C15243" i="9"/>
  <c r="C15244" i="9"/>
  <c r="C15245" i="9"/>
  <c r="C15246" i="9"/>
  <c r="C15247" i="9"/>
  <c r="C15248" i="9"/>
  <c r="C15249" i="9"/>
  <c r="C15250" i="9"/>
  <c r="C15251" i="9"/>
  <c r="C15252" i="9"/>
  <c r="C15253" i="9"/>
  <c r="C15254" i="9"/>
  <c r="C15255" i="9"/>
  <c r="C15256" i="9"/>
  <c r="C15257" i="9"/>
  <c r="C15258" i="9"/>
  <c r="C15259" i="9"/>
  <c r="C15260" i="9"/>
  <c r="C15261" i="9"/>
  <c r="C15262" i="9"/>
  <c r="C15263" i="9"/>
  <c r="C15264" i="9"/>
  <c r="C15265" i="9"/>
  <c r="C15266" i="9"/>
  <c r="C15267" i="9"/>
  <c r="C15268" i="9"/>
  <c r="C15269" i="9"/>
  <c r="C15270" i="9"/>
  <c r="C15271" i="9"/>
  <c r="C15272" i="9"/>
  <c r="C15273" i="9"/>
  <c r="C15274" i="9"/>
  <c r="C15275" i="9"/>
  <c r="C15276" i="9"/>
  <c r="C15277" i="9"/>
  <c r="C15278" i="9"/>
  <c r="C15279" i="9"/>
  <c r="C15280" i="9"/>
  <c r="C15281" i="9"/>
  <c r="C15282" i="9"/>
  <c r="C15283" i="9"/>
  <c r="C15284" i="9"/>
  <c r="C15285" i="9"/>
  <c r="C15286" i="9"/>
  <c r="C15287" i="9"/>
  <c r="C15288" i="9"/>
  <c r="C15289" i="9"/>
  <c r="C15290" i="9"/>
  <c r="C15291" i="9"/>
  <c r="C15292" i="9"/>
  <c r="C15293" i="9"/>
  <c r="C15294" i="9"/>
  <c r="C15295" i="9"/>
  <c r="C15296" i="9"/>
  <c r="C15297" i="9"/>
  <c r="C15298" i="9"/>
  <c r="C15299" i="9"/>
  <c r="C15300" i="9"/>
  <c r="C15301" i="9"/>
  <c r="C15302" i="9"/>
  <c r="C15303" i="9"/>
  <c r="C15304" i="9"/>
  <c r="C15305" i="9"/>
  <c r="C15306" i="9"/>
  <c r="C15307" i="9"/>
  <c r="C15308" i="9"/>
  <c r="C15309" i="9"/>
  <c r="C15310" i="9"/>
  <c r="C15311" i="9"/>
  <c r="C15312" i="9"/>
  <c r="C15313" i="9"/>
  <c r="C15314" i="9"/>
  <c r="C15315" i="9"/>
  <c r="C15316" i="9"/>
  <c r="C15317" i="9"/>
  <c r="C15318" i="9"/>
  <c r="C15319" i="9"/>
  <c r="C15320" i="9"/>
  <c r="C15321" i="9"/>
  <c r="C15322" i="9"/>
  <c r="C15323" i="9"/>
  <c r="C15324" i="9"/>
  <c r="C15325" i="9"/>
  <c r="C15326" i="9"/>
  <c r="C15327" i="9"/>
  <c r="C15328" i="9"/>
  <c r="C15329" i="9"/>
  <c r="C15330" i="9"/>
  <c r="C15331" i="9"/>
  <c r="C15332" i="9"/>
  <c r="C15333" i="9"/>
  <c r="C15334" i="9"/>
  <c r="C15335" i="9"/>
  <c r="C15336" i="9"/>
  <c r="C15337" i="9"/>
  <c r="C15338" i="9"/>
  <c r="C15339" i="9"/>
  <c r="C15340" i="9"/>
  <c r="C15341" i="9"/>
  <c r="C15342" i="9"/>
  <c r="C15343" i="9"/>
  <c r="C15344" i="9"/>
  <c r="C15345" i="9"/>
  <c r="C15346" i="9"/>
  <c r="C15347" i="9"/>
  <c r="C15348" i="9"/>
  <c r="C15349" i="9"/>
  <c r="C15350" i="9"/>
  <c r="C15351" i="9"/>
  <c r="C15352" i="9"/>
  <c r="C15353" i="9"/>
  <c r="C15354" i="9"/>
  <c r="C15355" i="9"/>
  <c r="C15356" i="9"/>
  <c r="C15357" i="9"/>
  <c r="C15358" i="9"/>
  <c r="C15359" i="9"/>
  <c r="C15360" i="9"/>
  <c r="C15361" i="9"/>
  <c r="C15362" i="9"/>
  <c r="C15363" i="9"/>
  <c r="C15364" i="9"/>
  <c r="C15365" i="9"/>
  <c r="C15366" i="9"/>
  <c r="C15367" i="9"/>
  <c r="C15368" i="9"/>
  <c r="C15369" i="9"/>
  <c r="C15370" i="9"/>
  <c r="C15371" i="9"/>
  <c r="C15372" i="9"/>
  <c r="C15373" i="9"/>
  <c r="C15374" i="9"/>
  <c r="D15089" i="9"/>
  <c r="D15090" i="9"/>
  <c r="D15091" i="9"/>
  <c r="D15092" i="9"/>
  <c r="D15093" i="9"/>
  <c r="D15094" i="9"/>
  <c r="D15095" i="9"/>
  <c r="D15096" i="9"/>
  <c r="D15097" i="9"/>
  <c r="D15098" i="9"/>
  <c r="D15099" i="9"/>
  <c r="D15100" i="9"/>
  <c r="D15101" i="9"/>
  <c r="D15102" i="9"/>
  <c r="D15103" i="9"/>
  <c r="D15104" i="9"/>
  <c r="D15105" i="9"/>
  <c r="D15106" i="9"/>
  <c r="D15107" i="9"/>
  <c r="D15108" i="9"/>
  <c r="D15109" i="9"/>
  <c r="D15110" i="9"/>
  <c r="D15111" i="9"/>
  <c r="D15112" i="9"/>
  <c r="D15113" i="9"/>
  <c r="D15114" i="9"/>
  <c r="D15115" i="9"/>
  <c r="D15116" i="9"/>
  <c r="D15117" i="9"/>
  <c r="D15118" i="9"/>
  <c r="D15119" i="9"/>
  <c r="D15120" i="9"/>
  <c r="D15121" i="9"/>
  <c r="D15122" i="9"/>
  <c r="D15123" i="9"/>
  <c r="D15124" i="9"/>
  <c r="D15125" i="9"/>
  <c r="D15126" i="9"/>
  <c r="D15127" i="9"/>
  <c r="D15128" i="9"/>
  <c r="D15129" i="9"/>
  <c r="D15130" i="9"/>
  <c r="D15131" i="9"/>
  <c r="D15132" i="9"/>
  <c r="D15133" i="9"/>
  <c r="D15134" i="9"/>
  <c r="D15135" i="9"/>
  <c r="D15136" i="9"/>
  <c r="D15137" i="9"/>
  <c r="D15138" i="9"/>
  <c r="D15139" i="9"/>
  <c r="D15140" i="9"/>
  <c r="D15141" i="9"/>
  <c r="D15142" i="9"/>
  <c r="D15143" i="9"/>
  <c r="D15144" i="9"/>
  <c r="D15145" i="9"/>
  <c r="D15146" i="9"/>
  <c r="D15147" i="9"/>
  <c r="D15148" i="9"/>
  <c r="D15149" i="9"/>
  <c r="D15150" i="9"/>
  <c r="D15151" i="9"/>
  <c r="D15152" i="9"/>
  <c r="D15153" i="9"/>
  <c r="D15154" i="9"/>
  <c r="D15155" i="9"/>
  <c r="D15156" i="9"/>
  <c r="D15157" i="9"/>
  <c r="D15158" i="9"/>
  <c r="D15159" i="9"/>
  <c r="D15160" i="9"/>
  <c r="D15161" i="9"/>
  <c r="D15162" i="9"/>
  <c r="D15163" i="9"/>
  <c r="D15164" i="9"/>
  <c r="D15165" i="9"/>
  <c r="D15166" i="9"/>
  <c r="D15167" i="9"/>
  <c r="D15168" i="9"/>
  <c r="D15169" i="9"/>
  <c r="D15170" i="9"/>
  <c r="D15171" i="9"/>
  <c r="D15172" i="9"/>
  <c r="D15173" i="9"/>
  <c r="D15174" i="9"/>
  <c r="D15175" i="9"/>
  <c r="D15176" i="9"/>
  <c r="D15177" i="9"/>
  <c r="D15178" i="9"/>
  <c r="D15179" i="9"/>
  <c r="D15180" i="9"/>
  <c r="D15181" i="9"/>
  <c r="D15182" i="9"/>
  <c r="D15183" i="9"/>
  <c r="D15184" i="9"/>
  <c r="D15185" i="9"/>
  <c r="D15186" i="9"/>
  <c r="D15187" i="9"/>
  <c r="D15188" i="9"/>
  <c r="D15189" i="9"/>
  <c r="D15190" i="9"/>
  <c r="D15191" i="9"/>
  <c r="D15192" i="9"/>
  <c r="D15193" i="9"/>
  <c r="D15194" i="9"/>
  <c r="D15195" i="9"/>
  <c r="D15196" i="9"/>
  <c r="D15197" i="9"/>
  <c r="D15198" i="9"/>
  <c r="D15199" i="9"/>
  <c r="D15200" i="9"/>
  <c r="D15201" i="9"/>
  <c r="D15202" i="9"/>
  <c r="D15203" i="9"/>
  <c r="D15204" i="9"/>
  <c r="D15205" i="9"/>
  <c r="D15206" i="9"/>
  <c r="D15207" i="9"/>
  <c r="D15208" i="9"/>
  <c r="D15209" i="9"/>
  <c r="D15210" i="9"/>
  <c r="D15211" i="9"/>
  <c r="D15212" i="9"/>
  <c r="D15213" i="9"/>
  <c r="D15214" i="9"/>
  <c r="D15215" i="9"/>
  <c r="D15216" i="9"/>
  <c r="D15217" i="9"/>
  <c r="D15218" i="9"/>
  <c r="D15219" i="9"/>
  <c r="D15220" i="9"/>
  <c r="D15221" i="9"/>
  <c r="D15222" i="9"/>
  <c r="D15223" i="9"/>
  <c r="D15224" i="9"/>
  <c r="D15225" i="9"/>
  <c r="D15226" i="9"/>
  <c r="D15227" i="9"/>
  <c r="D15228" i="9"/>
  <c r="D15229" i="9"/>
  <c r="D15230" i="9"/>
  <c r="D15231" i="9"/>
  <c r="D15232" i="9"/>
  <c r="D15233" i="9"/>
  <c r="D15234" i="9"/>
  <c r="D15235" i="9"/>
  <c r="D15236" i="9"/>
  <c r="D15237" i="9"/>
  <c r="D15238" i="9"/>
  <c r="D15239" i="9"/>
  <c r="D15240" i="9"/>
  <c r="D15241" i="9"/>
  <c r="D15242" i="9"/>
  <c r="D15243" i="9"/>
  <c r="D15244" i="9"/>
  <c r="D15245" i="9"/>
  <c r="D15246" i="9"/>
  <c r="D15247" i="9"/>
  <c r="D15248" i="9"/>
  <c r="D15249" i="9"/>
  <c r="D15250" i="9"/>
  <c r="D15251" i="9"/>
  <c r="D15252" i="9"/>
  <c r="D15253" i="9"/>
  <c r="D15254" i="9"/>
  <c r="D15255" i="9"/>
  <c r="D15256" i="9"/>
  <c r="D15257" i="9"/>
  <c r="D15258" i="9"/>
  <c r="D15259" i="9"/>
  <c r="D15260" i="9"/>
  <c r="D15261" i="9"/>
  <c r="D15262" i="9"/>
  <c r="D15263" i="9"/>
  <c r="D15264" i="9"/>
  <c r="D15265" i="9"/>
  <c r="D15266" i="9"/>
  <c r="D15267" i="9"/>
  <c r="D15268" i="9"/>
  <c r="D15269" i="9"/>
  <c r="D15270" i="9"/>
  <c r="D15271" i="9"/>
  <c r="D15272" i="9"/>
  <c r="D15273" i="9"/>
  <c r="D15274" i="9"/>
  <c r="D15275" i="9"/>
  <c r="D15276" i="9"/>
  <c r="D15277" i="9"/>
  <c r="D15278" i="9"/>
  <c r="D15279" i="9"/>
  <c r="D15280" i="9"/>
  <c r="D15281" i="9"/>
  <c r="D15282" i="9"/>
  <c r="D15283" i="9"/>
  <c r="D15284" i="9"/>
  <c r="D15285" i="9"/>
  <c r="D15286" i="9"/>
  <c r="D15287" i="9"/>
  <c r="D15288" i="9"/>
  <c r="D15289" i="9"/>
  <c r="D15290" i="9"/>
  <c r="D15291" i="9"/>
  <c r="D15292" i="9"/>
  <c r="D15293" i="9"/>
  <c r="D15294" i="9"/>
  <c r="D15295" i="9"/>
  <c r="D15296" i="9"/>
  <c r="D15297" i="9"/>
  <c r="D15298" i="9"/>
  <c r="D15299" i="9"/>
  <c r="D15300" i="9"/>
  <c r="D15301" i="9"/>
  <c r="D15302" i="9"/>
  <c r="D15303" i="9"/>
  <c r="D15304" i="9"/>
  <c r="D15305" i="9"/>
  <c r="D15306" i="9"/>
  <c r="D15307" i="9"/>
  <c r="D15308" i="9"/>
  <c r="D15309" i="9"/>
  <c r="D15310" i="9"/>
  <c r="D15311" i="9"/>
  <c r="D15312" i="9"/>
  <c r="D15313" i="9"/>
  <c r="D15314" i="9"/>
  <c r="D15315" i="9"/>
  <c r="D15316" i="9"/>
  <c r="D15317" i="9"/>
  <c r="D15318" i="9"/>
  <c r="D15319" i="9"/>
  <c r="D15320" i="9"/>
  <c r="D15321" i="9"/>
  <c r="D15322" i="9"/>
  <c r="D15323" i="9"/>
  <c r="D15324" i="9"/>
  <c r="D15325" i="9"/>
  <c r="D15326" i="9"/>
  <c r="D15327" i="9"/>
  <c r="D15328" i="9"/>
  <c r="D15329" i="9"/>
  <c r="D15330" i="9"/>
  <c r="D15331" i="9"/>
  <c r="D15332" i="9"/>
  <c r="D15333" i="9"/>
  <c r="D15334" i="9"/>
  <c r="D15335" i="9"/>
  <c r="D15336" i="9"/>
  <c r="D15337" i="9"/>
  <c r="D15338" i="9"/>
  <c r="D15339" i="9"/>
  <c r="D15340" i="9"/>
  <c r="D15341" i="9"/>
  <c r="D15342" i="9"/>
  <c r="D15343" i="9"/>
  <c r="D15344" i="9"/>
  <c r="D15345" i="9"/>
  <c r="D15346" i="9"/>
  <c r="D15347" i="9"/>
  <c r="D15348" i="9"/>
  <c r="D15349" i="9"/>
  <c r="D15350" i="9"/>
  <c r="D15351" i="9"/>
  <c r="D15352" i="9"/>
  <c r="D15353" i="9"/>
  <c r="D15354" i="9"/>
  <c r="D15355" i="9"/>
  <c r="D15356" i="9"/>
  <c r="D15357" i="9"/>
  <c r="D15358" i="9"/>
  <c r="D15359" i="9"/>
  <c r="D15360" i="9"/>
  <c r="D15361" i="9"/>
  <c r="D15362" i="9"/>
  <c r="D15363" i="9"/>
  <c r="D15364" i="9"/>
  <c r="D15365" i="9"/>
  <c r="D15366" i="9"/>
  <c r="D15367" i="9"/>
  <c r="D15368" i="9"/>
  <c r="D15369" i="9"/>
  <c r="D15370" i="9"/>
  <c r="D15371" i="9"/>
  <c r="D15372" i="9"/>
  <c r="D15373" i="9"/>
  <c r="D15374" i="9"/>
  <c r="E15089" i="9"/>
  <c r="E15090" i="9"/>
  <c r="E15091" i="9"/>
  <c r="E15092" i="9"/>
  <c r="E15093" i="9"/>
  <c r="E15094" i="9"/>
  <c r="E15095" i="9"/>
  <c r="E15096" i="9"/>
  <c r="E15097" i="9"/>
  <c r="E15098" i="9"/>
  <c r="E15099" i="9"/>
  <c r="E15100" i="9"/>
  <c r="E15101" i="9"/>
  <c r="E15102" i="9"/>
  <c r="E15103" i="9"/>
  <c r="E15104" i="9"/>
  <c r="E15105" i="9"/>
  <c r="E15106" i="9"/>
  <c r="E15107" i="9"/>
  <c r="E15108" i="9"/>
  <c r="E15109" i="9"/>
  <c r="E15110" i="9"/>
  <c r="E15111" i="9"/>
  <c r="E15112" i="9"/>
  <c r="E15113" i="9"/>
  <c r="E15114" i="9"/>
  <c r="E15115" i="9"/>
  <c r="E15116" i="9"/>
  <c r="E15117" i="9"/>
  <c r="E15118" i="9"/>
  <c r="E15119" i="9"/>
  <c r="E15120" i="9"/>
  <c r="E15121" i="9"/>
  <c r="E15122" i="9"/>
  <c r="E15123" i="9"/>
  <c r="E15124" i="9"/>
  <c r="E15125" i="9"/>
  <c r="E15126" i="9"/>
  <c r="E15127" i="9"/>
  <c r="E15128" i="9"/>
  <c r="E15129" i="9"/>
  <c r="E15130" i="9"/>
  <c r="E15131" i="9"/>
  <c r="E15132" i="9"/>
  <c r="E15133" i="9"/>
  <c r="E15134" i="9"/>
  <c r="E15135" i="9"/>
  <c r="E15136" i="9"/>
  <c r="E15137" i="9"/>
  <c r="E15138" i="9"/>
  <c r="E15139" i="9"/>
  <c r="E15140" i="9"/>
  <c r="E15141" i="9"/>
  <c r="E15142" i="9"/>
  <c r="E15143" i="9"/>
  <c r="E15144" i="9"/>
  <c r="E15145" i="9"/>
  <c r="E15146" i="9"/>
  <c r="E15147" i="9"/>
  <c r="E15148" i="9"/>
  <c r="E15149" i="9"/>
  <c r="E15150" i="9"/>
  <c r="E15151" i="9"/>
  <c r="E15152" i="9"/>
  <c r="E15153" i="9"/>
  <c r="E15154" i="9"/>
  <c r="E15155" i="9"/>
  <c r="E15156" i="9"/>
  <c r="E15157" i="9"/>
  <c r="E15158" i="9"/>
  <c r="E15159" i="9"/>
  <c r="E15160" i="9"/>
  <c r="E15161" i="9"/>
  <c r="E15162" i="9"/>
  <c r="E15163" i="9"/>
  <c r="E15164" i="9"/>
  <c r="E15165" i="9"/>
  <c r="E15166" i="9"/>
  <c r="E15167" i="9"/>
  <c r="E15168" i="9"/>
  <c r="E15169" i="9"/>
  <c r="E15170" i="9"/>
  <c r="E15171" i="9"/>
  <c r="E15172" i="9"/>
  <c r="E15173" i="9"/>
  <c r="E15174" i="9"/>
  <c r="E15175" i="9"/>
  <c r="E15176" i="9"/>
  <c r="E15177" i="9"/>
  <c r="E15178" i="9"/>
  <c r="E15179" i="9"/>
  <c r="E15180" i="9"/>
  <c r="E15181" i="9"/>
  <c r="E15182" i="9"/>
  <c r="E15183" i="9"/>
  <c r="E15184" i="9"/>
  <c r="E15185" i="9"/>
  <c r="E15186" i="9"/>
  <c r="E15187" i="9"/>
  <c r="E15188" i="9"/>
  <c r="E15189" i="9"/>
  <c r="E15190" i="9"/>
  <c r="E15191" i="9"/>
  <c r="E15192" i="9"/>
  <c r="E15193" i="9"/>
  <c r="E15194" i="9"/>
  <c r="E15195" i="9"/>
  <c r="E15196" i="9"/>
  <c r="E15197" i="9"/>
  <c r="E15198" i="9"/>
  <c r="E15199" i="9"/>
  <c r="E15200" i="9"/>
  <c r="E15201" i="9"/>
  <c r="E15202" i="9"/>
  <c r="E15203" i="9"/>
  <c r="E15204" i="9"/>
  <c r="E15205" i="9"/>
  <c r="E15206" i="9"/>
  <c r="E15207" i="9"/>
  <c r="E15208" i="9"/>
  <c r="E15209" i="9"/>
  <c r="E15210" i="9"/>
  <c r="E15211" i="9"/>
  <c r="E15212" i="9"/>
  <c r="E15213" i="9"/>
  <c r="E15214" i="9"/>
  <c r="E15215" i="9"/>
  <c r="E15216" i="9"/>
  <c r="E15217" i="9"/>
  <c r="E15218" i="9"/>
  <c r="E15219" i="9"/>
  <c r="E15220" i="9"/>
  <c r="E15221" i="9"/>
  <c r="E15222" i="9"/>
  <c r="E15223" i="9"/>
  <c r="E15224" i="9"/>
  <c r="E15225" i="9"/>
  <c r="E15226" i="9"/>
  <c r="E15227" i="9"/>
  <c r="E15228" i="9"/>
  <c r="E15229" i="9"/>
  <c r="E15230" i="9"/>
  <c r="E15231" i="9"/>
  <c r="E15232" i="9"/>
  <c r="E15233" i="9"/>
  <c r="E15234" i="9"/>
  <c r="E15235" i="9"/>
  <c r="E15236" i="9"/>
  <c r="E15237" i="9"/>
  <c r="E15238" i="9"/>
  <c r="E15239" i="9"/>
  <c r="E15240" i="9"/>
  <c r="E15241" i="9"/>
  <c r="E15242" i="9"/>
  <c r="E15243" i="9"/>
  <c r="E15244" i="9"/>
  <c r="E15245" i="9"/>
  <c r="E15246" i="9"/>
  <c r="E15247" i="9"/>
  <c r="E15248" i="9"/>
  <c r="E15249" i="9"/>
  <c r="E15250" i="9"/>
  <c r="E15251" i="9"/>
  <c r="E15252" i="9"/>
  <c r="E15253" i="9"/>
  <c r="E15254" i="9"/>
  <c r="E15255" i="9"/>
  <c r="E15256" i="9"/>
  <c r="E15257" i="9"/>
  <c r="E15258" i="9"/>
  <c r="E15259" i="9"/>
  <c r="E15260" i="9"/>
  <c r="E15261" i="9"/>
  <c r="E15262" i="9"/>
  <c r="E15263" i="9"/>
  <c r="E15264" i="9"/>
  <c r="E15265" i="9"/>
  <c r="E15266" i="9"/>
  <c r="E15267" i="9"/>
  <c r="E15268" i="9"/>
  <c r="E15269" i="9"/>
  <c r="E15270" i="9"/>
  <c r="E15271" i="9"/>
  <c r="E15272" i="9"/>
  <c r="E15273" i="9"/>
  <c r="E15274" i="9"/>
  <c r="E15275" i="9"/>
  <c r="E15276" i="9"/>
  <c r="E15277" i="9"/>
  <c r="E15278" i="9"/>
  <c r="E15279" i="9"/>
  <c r="E15280" i="9"/>
  <c r="E15281" i="9"/>
  <c r="E15282" i="9"/>
  <c r="E15283" i="9"/>
  <c r="E15284" i="9"/>
  <c r="E15285" i="9"/>
  <c r="E15286" i="9"/>
  <c r="E15287" i="9"/>
  <c r="E15288" i="9"/>
  <c r="E15289" i="9"/>
  <c r="E15290" i="9"/>
  <c r="E15291" i="9"/>
  <c r="E15292" i="9"/>
  <c r="E15293" i="9"/>
  <c r="E15294" i="9"/>
  <c r="E15295" i="9"/>
  <c r="E15296" i="9"/>
  <c r="E15297" i="9"/>
  <c r="E15298" i="9"/>
  <c r="E15299" i="9"/>
  <c r="E15300" i="9"/>
  <c r="E15301" i="9"/>
  <c r="E15302" i="9"/>
  <c r="E15303" i="9"/>
  <c r="E15304" i="9"/>
  <c r="E15305" i="9"/>
  <c r="E15306" i="9"/>
  <c r="E15307" i="9"/>
  <c r="E15308" i="9"/>
  <c r="E15309" i="9"/>
  <c r="E15310" i="9"/>
  <c r="E15311" i="9"/>
  <c r="E15312" i="9"/>
  <c r="E15313" i="9"/>
  <c r="E15314" i="9"/>
  <c r="E15315" i="9"/>
  <c r="E15316" i="9"/>
  <c r="E15317" i="9"/>
  <c r="E15318" i="9"/>
  <c r="E15319" i="9"/>
  <c r="E15320" i="9"/>
  <c r="E15321" i="9"/>
  <c r="E15322" i="9"/>
  <c r="E15323" i="9"/>
  <c r="E15324" i="9"/>
  <c r="E15325" i="9"/>
  <c r="E15326" i="9"/>
  <c r="E15327" i="9"/>
  <c r="E15328" i="9"/>
  <c r="E15329" i="9"/>
  <c r="E15330" i="9"/>
  <c r="E15331" i="9"/>
  <c r="E15332" i="9"/>
  <c r="E15333" i="9"/>
  <c r="E15334" i="9"/>
  <c r="E15335" i="9"/>
  <c r="E15336" i="9"/>
  <c r="E15337" i="9"/>
  <c r="E15338" i="9"/>
  <c r="E15339" i="9"/>
  <c r="E15340" i="9"/>
  <c r="E15341" i="9"/>
  <c r="E15342" i="9"/>
  <c r="E15343" i="9"/>
  <c r="E15344" i="9"/>
  <c r="E15345" i="9"/>
  <c r="E15346" i="9"/>
  <c r="E15347" i="9"/>
  <c r="E15348" i="9"/>
  <c r="E15349" i="9"/>
  <c r="E15350" i="9"/>
  <c r="E15351" i="9"/>
  <c r="E15352" i="9"/>
  <c r="E15353" i="9"/>
  <c r="E15354" i="9"/>
  <c r="E15355" i="9"/>
  <c r="E15356" i="9"/>
  <c r="E15357" i="9"/>
  <c r="E15358" i="9"/>
  <c r="E15359" i="9"/>
  <c r="E15360" i="9"/>
  <c r="E15361" i="9"/>
  <c r="E15362" i="9"/>
  <c r="E15363" i="9"/>
  <c r="E15364" i="9"/>
  <c r="E15365" i="9"/>
  <c r="E15366" i="9"/>
  <c r="E15367" i="9"/>
  <c r="E15368" i="9"/>
  <c r="E15369" i="9"/>
  <c r="E15370" i="9"/>
  <c r="E15371" i="9"/>
  <c r="E15372" i="9"/>
  <c r="E15373" i="9"/>
  <c r="E15374" i="9"/>
  <c r="H15089" i="9"/>
  <c r="H15090" i="9"/>
  <c r="H15091" i="9"/>
  <c r="H15092" i="9"/>
  <c r="H15093" i="9"/>
  <c r="H15094" i="9"/>
  <c r="H15095" i="9"/>
  <c r="H15096" i="9"/>
  <c r="H15097" i="9"/>
  <c r="H15098" i="9"/>
  <c r="H15099" i="9"/>
  <c r="H15100" i="9"/>
  <c r="H15101" i="9"/>
  <c r="H15102" i="9"/>
  <c r="H15103" i="9"/>
  <c r="H15104" i="9"/>
  <c r="H15105" i="9"/>
  <c r="H15106" i="9"/>
  <c r="H15107" i="9"/>
  <c r="H15108" i="9"/>
  <c r="H15109" i="9"/>
  <c r="H15110" i="9"/>
  <c r="H15111" i="9"/>
  <c r="H15112" i="9"/>
  <c r="H15113" i="9"/>
  <c r="H15114" i="9"/>
  <c r="H15115" i="9"/>
  <c r="H15116" i="9"/>
  <c r="H15117" i="9"/>
  <c r="H15118" i="9"/>
  <c r="H15119" i="9"/>
  <c r="H15120" i="9"/>
  <c r="H15121" i="9"/>
  <c r="H15122" i="9"/>
  <c r="H15123" i="9"/>
  <c r="H15124" i="9"/>
  <c r="H15125" i="9"/>
  <c r="H15126" i="9"/>
  <c r="H15127" i="9"/>
  <c r="H15128" i="9"/>
  <c r="H15129" i="9"/>
  <c r="H15130" i="9"/>
  <c r="H15131" i="9"/>
  <c r="H15132" i="9"/>
  <c r="H15133" i="9"/>
  <c r="H15134" i="9"/>
  <c r="H15135" i="9"/>
  <c r="H15136" i="9"/>
  <c r="H15137" i="9"/>
  <c r="H15138" i="9"/>
  <c r="H15139" i="9"/>
  <c r="H15140" i="9"/>
  <c r="H15141" i="9"/>
  <c r="H15142" i="9"/>
  <c r="H15143" i="9"/>
  <c r="H15144" i="9"/>
  <c r="H15145" i="9"/>
  <c r="H15146" i="9"/>
  <c r="H15147" i="9"/>
  <c r="H15148" i="9"/>
  <c r="H15149" i="9"/>
  <c r="H15150" i="9"/>
  <c r="H15151" i="9"/>
  <c r="H15152" i="9"/>
  <c r="H15153" i="9"/>
  <c r="H15154" i="9"/>
  <c r="H15155" i="9"/>
  <c r="H15156" i="9"/>
  <c r="H15157" i="9"/>
  <c r="H15158" i="9"/>
  <c r="H15159" i="9"/>
  <c r="H15160" i="9"/>
  <c r="H15161" i="9"/>
  <c r="H15162" i="9"/>
  <c r="H15163" i="9"/>
  <c r="H15164" i="9"/>
  <c r="H15165" i="9"/>
  <c r="H15166" i="9"/>
  <c r="H15167" i="9"/>
  <c r="H15168" i="9"/>
  <c r="H15169" i="9"/>
  <c r="H15170" i="9"/>
  <c r="H15171" i="9"/>
  <c r="H15172" i="9"/>
  <c r="H15173" i="9"/>
  <c r="H15174" i="9"/>
  <c r="H15175" i="9"/>
  <c r="H15176" i="9"/>
  <c r="H15177" i="9"/>
  <c r="H15178" i="9"/>
  <c r="H15179" i="9"/>
  <c r="H15180" i="9"/>
  <c r="H15181" i="9"/>
  <c r="H15182" i="9"/>
  <c r="H15183" i="9"/>
  <c r="H15184" i="9"/>
  <c r="H15185" i="9"/>
  <c r="H15186" i="9"/>
  <c r="H15187" i="9"/>
  <c r="H15188" i="9"/>
  <c r="H15189" i="9"/>
  <c r="H15190" i="9"/>
  <c r="H15191" i="9"/>
  <c r="H15192" i="9"/>
  <c r="H15193" i="9"/>
  <c r="H15194" i="9"/>
  <c r="H15195" i="9"/>
  <c r="H15196" i="9"/>
  <c r="H15197" i="9"/>
  <c r="H15198" i="9"/>
  <c r="H15199" i="9"/>
  <c r="H15200" i="9"/>
  <c r="H15201" i="9"/>
  <c r="H15202" i="9"/>
  <c r="H15203" i="9"/>
  <c r="H15204" i="9"/>
  <c r="H15205" i="9"/>
  <c r="H15206" i="9"/>
  <c r="H15207" i="9"/>
  <c r="H15208" i="9"/>
  <c r="H15209" i="9"/>
  <c r="H15210" i="9"/>
  <c r="H15211" i="9"/>
  <c r="H15212" i="9"/>
  <c r="H15213" i="9"/>
  <c r="H15214" i="9"/>
  <c r="H15215" i="9"/>
  <c r="H15216" i="9"/>
  <c r="H15217" i="9"/>
  <c r="H15218" i="9"/>
  <c r="H15219" i="9"/>
  <c r="H15220" i="9"/>
  <c r="H15221" i="9"/>
  <c r="H15222" i="9"/>
  <c r="H15223" i="9"/>
  <c r="H15224" i="9"/>
  <c r="H15225" i="9"/>
  <c r="H15226" i="9"/>
  <c r="H15227" i="9"/>
  <c r="H15228" i="9"/>
  <c r="H15229" i="9"/>
  <c r="H15230" i="9"/>
  <c r="H15231" i="9"/>
  <c r="H15232" i="9"/>
  <c r="H15233" i="9"/>
  <c r="H15234" i="9"/>
  <c r="H15235" i="9"/>
  <c r="H15236" i="9"/>
  <c r="H15237" i="9"/>
  <c r="H15238" i="9"/>
  <c r="H15239" i="9"/>
  <c r="H15240" i="9"/>
  <c r="H15241" i="9"/>
  <c r="H15242" i="9"/>
  <c r="H15243" i="9"/>
  <c r="H15244" i="9"/>
  <c r="H15245" i="9"/>
  <c r="H15246" i="9"/>
  <c r="H15247" i="9"/>
  <c r="H15248" i="9"/>
  <c r="H15249" i="9"/>
  <c r="H15250" i="9"/>
  <c r="H15251" i="9"/>
  <c r="H15252" i="9"/>
  <c r="H15253" i="9"/>
  <c r="H15254" i="9"/>
  <c r="H15255" i="9"/>
  <c r="H15256" i="9"/>
  <c r="H15257" i="9"/>
  <c r="H15258" i="9"/>
  <c r="H15259" i="9"/>
  <c r="H15260" i="9"/>
  <c r="H15261" i="9"/>
  <c r="H15262" i="9"/>
  <c r="H15263" i="9"/>
  <c r="H15264" i="9"/>
  <c r="H15265" i="9"/>
  <c r="H15266" i="9"/>
  <c r="H15267" i="9"/>
  <c r="H15268" i="9"/>
  <c r="H15269" i="9"/>
  <c r="H15270" i="9"/>
  <c r="H15271" i="9"/>
  <c r="H15272" i="9"/>
  <c r="H15273" i="9"/>
  <c r="H15274" i="9"/>
  <c r="H15275" i="9"/>
  <c r="H15276" i="9"/>
  <c r="H15277" i="9"/>
  <c r="H15278" i="9"/>
  <c r="H15279" i="9"/>
  <c r="H15280" i="9"/>
  <c r="H15281" i="9"/>
  <c r="H15282" i="9"/>
  <c r="H15283" i="9"/>
  <c r="H15284" i="9"/>
  <c r="H15285" i="9"/>
  <c r="H15286" i="9"/>
  <c r="H15287" i="9"/>
  <c r="H15288" i="9"/>
  <c r="H15289" i="9"/>
  <c r="H15290" i="9"/>
  <c r="H15291" i="9"/>
  <c r="H15292" i="9"/>
  <c r="H15293" i="9"/>
  <c r="H15294" i="9"/>
  <c r="H15295" i="9"/>
  <c r="H15296" i="9"/>
  <c r="H15297" i="9"/>
  <c r="H15298" i="9"/>
  <c r="H15299" i="9"/>
  <c r="H15300" i="9"/>
  <c r="H15301" i="9"/>
  <c r="H15302" i="9"/>
  <c r="H15303" i="9"/>
  <c r="H15304" i="9"/>
  <c r="H15305" i="9"/>
  <c r="H15306" i="9"/>
  <c r="H15307" i="9"/>
  <c r="H15308" i="9"/>
  <c r="H15309" i="9"/>
  <c r="H15310" i="9"/>
  <c r="H15311" i="9"/>
  <c r="H15312" i="9"/>
  <c r="H15313" i="9"/>
  <c r="H15314" i="9"/>
  <c r="H15315" i="9"/>
  <c r="H15316" i="9"/>
  <c r="H15317" i="9"/>
  <c r="H15318" i="9"/>
  <c r="H15319" i="9"/>
  <c r="H15320" i="9"/>
  <c r="H15321" i="9"/>
  <c r="H15322" i="9"/>
  <c r="H15323" i="9"/>
  <c r="H15324" i="9"/>
  <c r="H15325" i="9"/>
  <c r="H15326" i="9"/>
  <c r="H15327" i="9"/>
  <c r="H15328" i="9"/>
  <c r="H15329" i="9"/>
  <c r="H15330" i="9"/>
  <c r="H15331" i="9"/>
  <c r="H15332" i="9"/>
  <c r="H15333" i="9"/>
  <c r="H15334" i="9"/>
  <c r="H15335" i="9"/>
  <c r="H15336" i="9"/>
  <c r="H15337" i="9"/>
  <c r="H15338" i="9"/>
  <c r="H15339" i="9"/>
  <c r="H15340" i="9"/>
  <c r="H15341" i="9"/>
  <c r="H15342" i="9"/>
  <c r="H15343" i="9"/>
  <c r="H15344" i="9"/>
  <c r="H15345" i="9"/>
  <c r="H15346" i="9"/>
  <c r="H15347" i="9"/>
  <c r="H15348" i="9"/>
  <c r="H15349" i="9"/>
  <c r="H15350" i="9"/>
  <c r="H15351" i="9"/>
  <c r="H15352" i="9"/>
  <c r="H15353" i="9"/>
  <c r="H15354" i="9"/>
  <c r="H15355" i="9"/>
  <c r="H15356" i="9"/>
  <c r="H15357" i="9"/>
  <c r="H15358" i="9"/>
  <c r="H15359" i="9"/>
  <c r="H15360" i="9"/>
  <c r="H15361" i="9"/>
  <c r="H15362" i="9"/>
  <c r="H15363" i="9"/>
  <c r="H15364" i="9"/>
  <c r="H15365" i="9"/>
  <c r="H15366" i="9"/>
  <c r="H15367" i="9"/>
  <c r="H15368" i="9"/>
  <c r="H15369" i="9"/>
  <c r="H15370" i="9"/>
  <c r="H15371" i="9"/>
  <c r="H15372" i="9"/>
  <c r="H15373" i="9"/>
  <c r="H15374" i="9"/>
  <c r="C126" i="10"/>
  <c r="C125" i="10"/>
  <c r="C124" i="10"/>
  <c r="C112" i="10"/>
  <c r="C111" i="10"/>
  <c r="C110" i="10"/>
  <c r="AP16" i="10"/>
  <c r="D194" i="10"/>
  <c r="AP7" i="10"/>
  <c r="AQ7" i="10"/>
  <c r="AR7" i="10"/>
  <c r="AS7" i="10"/>
  <c r="AT7" i="10"/>
  <c r="AU7" i="10"/>
  <c r="AP11" i="10"/>
  <c r="AQ11" i="10"/>
  <c r="AR11" i="10"/>
  <c r="AS11" i="10"/>
  <c r="AT11" i="10"/>
  <c r="AU11" i="10"/>
  <c r="AQ16" i="10"/>
  <c r="AR16" i="10"/>
  <c r="AS16" i="10"/>
  <c r="AT16" i="10"/>
  <c r="AU16" i="10"/>
  <c r="D279" i="13"/>
  <c r="F279" i="13" s="1"/>
  <c r="D277" i="13"/>
  <c r="F277" i="13" s="1"/>
  <c r="C274" i="13"/>
  <c r="D273" i="13"/>
  <c r="F273" i="13" s="1"/>
  <c r="D272" i="13"/>
  <c r="F272" i="13" s="1"/>
  <c r="D271" i="13"/>
  <c r="C265" i="13"/>
  <c r="D265" i="13" s="1"/>
  <c r="F265" i="13" s="1"/>
  <c r="D263" i="13"/>
  <c r="F263" i="13" s="1"/>
  <c r="C262" i="13"/>
  <c r="D262" i="13" s="1"/>
  <c r="F262" i="13" s="1"/>
  <c r="C261" i="13"/>
  <c r="D261" i="13" s="1"/>
  <c r="F261" i="13" s="1"/>
  <c r="C259" i="13"/>
  <c r="D259" i="13" s="1"/>
  <c r="F259" i="13" s="1"/>
  <c r="C258" i="13"/>
  <c r="D258" i="13" s="1"/>
  <c r="F258" i="13" s="1"/>
  <c r="C257" i="13"/>
  <c r="C252" i="13"/>
  <c r="D252" i="13" s="1"/>
  <c r="F252" i="13" s="1"/>
  <c r="D250" i="13"/>
  <c r="F250" i="13" s="1"/>
  <c r="C249" i="13"/>
  <c r="D249" i="13" s="1"/>
  <c r="F249" i="13" s="1"/>
  <c r="C248" i="13"/>
  <c r="D248" i="13" s="1"/>
  <c r="F248" i="13" s="1"/>
  <c r="C246" i="13"/>
  <c r="D246" i="13" s="1"/>
  <c r="F246" i="13" s="1"/>
  <c r="C245" i="13"/>
  <c r="D245" i="13" s="1"/>
  <c r="F245" i="13" s="1"/>
  <c r="C244" i="13"/>
  <c r="B241" i="13"/>
  <c r="B239" i="13"/>
  <c r="C231" i="13"/>
  <c r="D231" i="13" s="1"/>
  <c r="F231" i="13" s="1"/>
  <c r="C229" i="13"/>
  <c r="D229" i="13" s="1"/>
  <c r="F229" i="13" s="1"/>
  <c r="C225" i="13"/>
  <c r="D225" i="13" s="1"/>
  <c r="F225" i="13" s="1"/>
  <c r="C224" i="13"/>
  <c r="D224" i="13" s="1"/>
  <c r="B221" i="13"/>
  <c r="I216" i="13"/>
  <c r="C215" i="13"/>
  <c r="F213" i="13"/>
  <c r="D212" i="13"/>
  <c r="F212" i="13" s="1"/>
  <c r="C212" i="13"/>
  <c r="C211" i="13"/>
  <c r="F211" i="13" s="1"/>
  <c r="C209" i="13"/>
  <c r="C208" i="13"/>
  <c r="C207" i="13"/>
  <c r="B205" i="13"/>
  <c r="C202" i="13"/>
  <c r="F200" i="13"/>
  <c r="D199" i="13"/>
  <c r="F199" i="13" s="1"/>
  <c r="C199" i="13"/>
  <c r="C198" i="13"/>
  <c r="C196" i="13"/>
  <c r="C195" i="13"/>
  <c r="J194" i="13"/>
  <c r="C194" i="13"/>
  <c r="C197" i="13" s="1"/>
  <c r="C201" i="13" s="1"/>
  <c r="C203" i="13" s="1"/>
  <c r="B191" i="13"/>
  <c r="C188" i="13"/>
  <c r="F188" i="13" s="1"/>
  <c r="F186" i="13"/>
  <c r="D185" i="13"/>
  <c r="F185" i="13" s="1"/>
  <c r="C185" i="13"/>
  <c r="C184" i="13"/>
  <c r="C182" i="13"/>
  <c r="C181" i="13"/>
  <c r="C180" i="13"/>
  <c r="B177" i="13"/>
  <c r="C174" i="13"/>
  <c r="F172" i="13"/>
  <c r="D171" i="13"/>
  <c r="F171" i="13" s="1"/>
  <c r="C171" i="13"/>
  <c r="C170" i="13"/>
  <c r="C168" i="13"/>
  <c r="C167" i="13"/>
  <c r="C166" i="13"/>
  <c r="C169" i="13" s="1"/>
  <c r="C173" i="13" s="1"/>
  <c r="C175" i="13" s="1"/>
  <c r="B163" i="13"/>
  <c r="C160" i="13"/>
  <c r="F160" i="13" s="1"/>
  <c r="F158" i="13"/>
  <c r="D157" i="13"/>
  <c r="F157" i="13" s="1"/>
  <c r="C157" i="13"/>
  <c r="C156" i="13"/>
  <c r="C154" i="13"/>
  <c r="C153" i="13"/>
  <c r="C152" i="13"/>
  <c r="B149" i="13"/>
  <c r="K146" i="13"/>
  <c r="M146" i="13" s="1"/>
  <c r="C146" i="13"/>
  <c r="F146" i="13" s="1"/>
  <c r="K144" i="13"/>
  <c r="M144" i="13" s="1"/>
  <c r="F144" i="13"/>
  <c r="D143" i="13"/>
  <c r="F143" i="13" s="1"/>
  <c r="C143" i="13"/>
  <c r="C142" i="13"/>
  <c r="J141" i="13"/>
  <c r="K140" i="13"/>
  <c r="M140" i="13" s="1"/>
  <c r="C140" i="13"/>
  <c r="K139" i="13"/>
  <c r="C139" i="13"/>
  <c r="M138" i="13"/>
  <c r="C138" i="13"/>
  <c r="I136" i="13"/>
  <c r="B136" i="13"/>
  <c r="C132" i="13"/>
  <c r="F130" i="13"/>
  <c r="M129" i="13"/>
  <c r="D129" i="13"/>
  <c r="F129" i="13" s="1"/>
  <c r="C129" i="13"/>
  <c r="C128" i="13"/>
  <c r="C126" i="13"/>
  <c r="C125" i="13"/>
  <c r="C124" i="13"/>
  <c r="C127" i="13" s="1"/>
  <c r="C131" i="13" s="1"/>
  <c r="C133" i="13" s="1"/>
  <c r="I121" i="13"/>
  <c r="B121" i="13"/>
  <c r="C118" i="13"/>
  <c r="M116" i="13"/>
  <c r="F116" i="13"/>
  <c r="D115" i="13"/>
  <c r="F115" i="13" s="1"/>
  <c r="C115" i="13"/>
  <c r="C114" i="13"/>
  <c r="C112" i="13"/>
  <c r="C111" i="13"/>
  <c r="C110" i="13"/>
  <c r="C113" i="13" s="1"/>
  <c r="C117" i="13" s="1"/>
  <c r="C119" i="13" s="1"/>
  <c r="I108" i="13"/>
  <c r="B107" i="13"/>
  <c r="C104" i="13"/>
  <c r="M102" i="13"/>
  <c r="F102" i="13"/>
  <c r="D101" i="13"/>
  <c r="F101" i="13" s="1"/>
  <c r="C101" i="13"/>
  <c r="C100" i="13"/>
  <c r="C98" i="13"/>
  <c r="C97" i="13"/>
  <c r="C96" i="13"/>
  <c r="C99" i="13" s="1"/>
  <c r="C103" i="13" s="1"/>
  <c r="C105" i="13" s="1"/>
  <c r="F85" i="13"/>
  <c r="F83" i="13"/>
  <c r="D80" i="13"/>
  <c r="D82" i="13" s="1"/>
  <c r="D84" i="13" s="1"/>
  <c r="D86" i="13" s="1"/>
  <c r="D87" i="13" s="1"/>
  <c r="F79" i="13"/>
  <c r="F78" i="13"/>
  <c r="I77" i="13"/>
  <c r="H77" i="13"/>
  <c r="C77" i="13"/>
  <c r="B74" i="13"/>
  <c r="C70" i="13"/>
  <c r="F68" i="13"/>
  <c r="C67" i="13"/>
  <c r="C66" i="13"/>
  <c r="F64" i="13"/>
  <c r="F63" i="13"/>
  <c r="C62" i="13"/>
  <c r="B59" i="13"/>
  <c r="D57" i="13"/>
  <c r="BC51" i="13"/>
  <c r="AL51" i="13"/>
  <c r="U51" i="13"/>
  <c r="N51" i="13"/>
  <c r="BC50" i="13"/>
  <c r="AL50" i="13"/>
  <c r="U50" i="13"/>
  <c r="N50" i="13"/>
  <c r="BC49" i="13"/>
  <c r="AL49" i="13"/>
  <c r="U49" i="13"/>
  <c r="N49" i="13"/>
  <c r="BC48" i="13"/>
  <c r="AL48" i="13"/>
  <c r="X48" i="13"/>
  <c r="U48" i="13"/>
  <c r="N48" i="13"/>
  <c r="BC47" i="13"/>
  <c r="AO47" i="13"/>
  <c r="AL47" i="13"/>
  <c r="U47" i="13"/>
  <c r="N47" i="13"/>
  <c r="BC46" i="13"/>
  <c r="AO46" i="13"/>
  <c r="AL46" i="13"/>
  <c r="U46" i="13"/>
  <c r="N46" i="13"/>
  <c r="BF45" i="13"/>
  <c r="BC45" i="13"/>
  <c r="AO45" i="13"/>
  <c r="AL45" i="13"/>
  <c r="U45" i="13"/>
  <c r="N45" i="13"/>
  <c r="BC44" i="13"/>
  <c r="AO44" i="13"/>
  <c r="AL44" i="13"/>
  <c r="U44" i="13"/>
  <c r="N44" i="13"/>
  <c r="BC43" i="13"/>
  <c r="AO43" i="13"/>
  <c r="AL43" i="13"/>
  <c r="U43" i="13"/>
  <c r="N43" i="13"/>
  <c r="BC42" i="13"/>
  <c r="AL42" i="13"/>
  <c r="U42" i="13"/>
  <c r="N42" i="13"/>
  <c r="BF41" i="13"/>
  <c r="BC41" i="13"/>
  <c r="AO41" i="13"/>
  <c r="AL41" i="13"/>
  <c r="U41" i="13"/>
  <c r="N41" i="13"/>
  <c r="BC40" i="13"/>
  <c r="AL40" i="13"/>
  <c r="X40" i="13"/>
  <c r="U40" i="13"/>
  <c r="N40" i="13"/>
  <c r="BC39" i="13"/>
  <c r="AO39" i="13"/>
  <c r="AL39" i="13"/>
  <c r="U39" i="13"/>
  <c r="N39" i="13"/>
  <c r="BC38" i="13"/>
  <c r="AO38" i="13"/>
  <c r="AL38" i="13"/>
  <c r="U38" i="13"/>
  <c r="N38" i="13"/>
  <c r="BF37" i="13"/>
  <c r="BC37" i="13"/>
  <c r="AL37" i="13"/>
  <c r="U37" i="13"/>
  <c r="N37" i="13"/>
  <c r="BC36" i="13"/>
  <c r="AO36" i="13"/>
  <c r="AL36" i="13"/>
  <c r="U36" i="13"/>
  <c r="N36" i="13"/>
  <c r="AE27" i="13"/>
  <c r="AE28" i="13" s="1"/>
  <c r="AE26" i="13"/>
  <c r="BF25" i="13"/>
  <c r="BC25" i="13"/>
  <c r="AO25" i="13"/>
  <c r="AL25" i="13"/>
  <c r="U25" i="13"/>
  <c r="AK24" i="13"/>
  <c r="AJ24" i="13"/>
  <c r="AI24" i="13"/>
  <c r="AH24" i="13"/>
  <c r="AG24" i="13"/>
  <c r="AF24" i="13"/>
  <c r="U24" i="13"/>
  <c r="AV23" i="13"/>
  <c r="AK23" i="13"/>
  <c r="AJ23" i="13"/>
  <c r="AI23" i="13"/>
  <c r="AH23" i="13"/>
  <c r="AG23" i="13"/>
  <c r="AF23" i="13"/>
  <c r="AL23" i="13" s="1"/>
  <c r="AN23" i="13" s="1"/>
  <c r="AE23" i="13"/>
  <c r="U23" i="13"/>
  <c r="AV22" i="13"/>
  <c r="AK22" i="13"/>
  <c r="AJ22" i="13"/>
  <c r="AI22" i="13"/>
  <c r="AH22" i="13"/>
  <c r="AG22" i="13"/>
  <c r="AF22" i="13"/>
  <c r="AL22" i="13" s="1"/>
  <c r="AN22" i="13" s="1"/>
  <c r="AE22" i="13"/>
  <c r="U22" i="13"/>
  <c r="AO21" i="13"/>
  <c r="AL21" i="13"/>
  <c r="U21" i="13"/>
  <c r="BF20" i="13"/>
  <c r="BC20" i="13"/>
  <c r="AO20" i="13"/>
  <c r="U20" i="13"/>
  <c r="BC19" i="13"/>
  <c r="AL19" i="13"/>
  <c r="X19" i="13"/>
  <c r="U19" i="13"/>
  <c r="W19" i="13" s="1"/>
  <c r="T19" i="13"/>
  <c r="S19" i="13"/>
  <c r="R19" i="13"/>
  <c r="Q19" i="13"/>
  <c r="P19" i="13"/>
  <c r="O19" i="13"/>
  <c r="BC18" i="13"/>
  <c r="AK18" i="13"/>
  <c r="D215" i="13" s="1"/>
  <c r="F215" i="13" s="1"/>
  <c r="AJ18" i="13"/>
  <c r="AH18" i="13"/>
  <c r="D209" i="13" s="1"/>
  <c r="F209" i="13" s="1"/>
  <c r="AG18" i="13"/>
  <c r="D208" i="13" s="1"/>
  <c r="AF18" i="13"/>
  <c r="AE18" i="13"/>
  <c r="U18" i="13"/>
  <c r="BC17" i="13"/>
  <c r="AO17" i="13"/>
  <c r="AK17" i="13"/>
  <c r="D202" i="13" s="1"/>
  <c r="F202" i="13" s="1"/>
  <c r="AJ17" i="13"/>
  <c r="AI17" i="13"/>
  <c r="D198" i="13" s="1"/>
  <c r="F198" i="13" s="1"/>
  <c r="AH17" i="13"/>
  <c r="D196" i="13" s="1"/>
  <c r="F196" i="13" s="1"/>
  <c r="AG17" i="13"/>
  <c r="D195" i="13" s="1"/>
  <c r="F195" i="13" s="1"/>
  <c r="AE17" i="13"/>
  <c r="AL17" i="13" s="1"/>
  <c r="U17" i="13"/>
  <c r="BF16" i="13"/>
  <c r="AO16" i="13"/>
  <c r="AK16" i="13"/>
  <c r="AU16" i="13" s="1"/>
  <c r="AJ16" i="13"/>
  <c r="AT16" i="13" s="1"/>
  <c r="AI16" i="13"/>
  <c r="AH16" i="13"/>
  <c r="AG16" i="13"/>
  <c r="AE16" i="13"/>
  <c r="AL16" i="13" s="1"/>
  <c r="U16" i="13"/>
  <c r="BC15" i="13"/>
  <c r="AJ15" i="13"/>
  <c r="AI15" i="13"/>
  <c r="D170" i="13" s="1"/>
  <c r="F170" i="13" s="1"/>
  <c r="AH15" i="13"/>
  <c r="D168" i="13" s="1"/>
  <c r="F168" i="13" s="1"/>
  <c r="AG15" i="13"/>
  <c r="D167" i="13" s="1"/>
  <c r="F167" i="13" s="1"/>
  <c r="AF15" i="13"/>
  <c r="D166" i="13" s="1"/>
  <c r="AE15" i="13"/>
  <c r="U15" i="13"/>
  <c r="AJ14" i="13"/>
  <c r="AI14" i="13"/>
  <c r="D156" i="13" s="1"/>
  <c r="F156" i="13" s="1"/>
  <c r="AH14" i="13"/>
  <c r="D154" i="13" s="1"/>
  <c r="F154" i="13" s="1"/>
  <c r="AG14" i="13"/>
  <c r="D153" i="13" s="1"/>
  <c r="AF14" i="13"/>
  <c r="AE14" i="13"/>
  <c r="AL14" i="13" s="1"/>
  <c r="BC13" i="13"/>
  <c r="AO13" i="13"/>
  <c r="AJ13" i="13"/>
  <c r="AI13" i="13"/>
  <c r="AH13" i="13"/>
  <c r="AG13" i="13"/>
  <c r="AF13" i="13"/>
  <c r="AE13" i="13"/>
  <c r="AL13" i="13" s="1"/>
  <c r="U13" i="13"/>
  <c r="BC12" i="13"/>
  <c r="AL12" i="13"/>
  <c r="U12" i="13"/>
  <c r="BF11" i="13"/>
  <c r="AJ11" i="13"/>
  <c r="AT11" i="13" s="1"/>
  <c r="AI11" i="13"/>
  <c r="AH11" i="13"/>
  <c r="AG11" i="13"/>
  <c r="AF11" i="13"/>
  <c r="AP11" i="13" s="1"/>
  <c r="AE11" i="13"/>
  <c r="AL11" i="13" s="1"/>
  <c r="U11" i="13"/>
  <c r="BC10" i="13"/>
  <c r="AL10" i="13"/>
  <c r="X10" i="13"/>
  <c r="X26" i="13" s="1"/>
  <c r="T10" i="13"/>
  <c r="D70" i="13" s="1"/>
  <c r="F70" i="13" s="1"/>
  <c r="S10" i="13"/>
  <c r="D67" i="13" s="1"/>
  <c r="F67" i="13" s="1"/>
  <c r="R10" i="13"/>
  <c r="D66" i="13" s="1"/>
  <c r="F66" i="13" s="1"/>
  <c r="Q10" i="13"/>
  <c r="P10" i="13"/>
  <c r="N10" i="13"/>
  <c r="U10" i="13" s="1"/>
  <c r="BC9" i="13"/>
  <c r="AJ9" i="13"/>
  <c r="AI9" i="13"/>
  <c r="D128" i="13" s="1"/>
  <c r="F128" i="13" s="1"/>
  <c r="AH9" i="13"/>
  <c r="D126" i="13" s="1"/>
  <c r="F126" i="13" s="1"/>
  <c r="AG9" i="13"/>
  <c r="D125" i="13" s="1"/>
  <c r="F125" i="13" s="1"/>
  <c r="AF9" i="13"/>
  <c r="D124" i="13" s="1"/>
  <c r="AE9" i="13"/>
  <c r="U9" i="13"/>
  <c r="BC8" i="13"/>
  <c r="AK8" i="13"/>
  <c r="D118" i="13" s="1"/>
  <c r="F118" i="13" s="1"/>
  <c r="AJ8" i="13"/>
  <c r="AI8" i="13"/>
  <c r="D114" i="13" s="1"/>
  <c r="F114" i="13" s="1"/>
  <c r="AH8" i="13"/>
  <c r="D112" i="13" s="1"/>
  <c r="F112" i="13" s="1"/>
  <c r="AG8" i="13"/>
  <c r="D111" i="13" s="1"/>
  <c r="F111" i="13" s="1"/>
  <c r="AE8" i="13"/>
  <c r="U8" i="13"/>
  <c r="BF7" i="13"/>
  <c r="AL7" i="13"/>
  <c r="U7" i="13"/>
  <c r="BC6" i="13"/>
  <c r="AJ6" i="13"/>
  <c r="AI6" i="13"/>
  <c r="AH6" i="13"/>
  <c r="AG6" i="13"/>
  <c r="AF6" i="13"/>
  <c r="AE6" i="13"/>
  <c r="AL6" i="13" s="1"/>
  <c r="U6" i="13"/>
  <c r="H13" i="7"/>
  <c r="H11" i="7"/>
  <c r="H9" i="7"/>
  <c r="K21" i="11"/>
  <c r="K31" i="11"/>
  <c r="D132" i="10"/>
  <c r="D271" i="10"/>
  <c r="C281" i="10"/>
  <c r="C276" i="10"/>
  <c r="D273" i="10"/>
  <c r="D272" i="10"/>
  <c r="D263" i="10"/>
  <c r="D259" i="10"/>
  <c r="D258" i="10"/>
  <c r="D250" i="10"/>
  <c r="D246" i="10"/>
  <c r="D245" i="10"/>
  <c r="C265" i="10"/>
  <c r="D265" i="10" s="1"/>
  <c r="F265" i="10" s="1"/>
  <c r="C262" i="10"/>
  <c r="D262" i="10" s="1"/>
  <c r="F262" i="10" s="1"/>
  <c r="C261" i="10"/>
  <c r="D261" i="10" s="1"/>
  <c r="F261" i="10" s="1"/>
  <c r="C259" i="10"/>
  <c r="C258" i="10"/>
  <c r="C257" i="10"/>
  <c r="D257" i="10" s="1"/>
  <c r="C252" i="10"/>
  <c r="D252" i="10" s="1"/>
  <c r="C249" i="10"/>
  <c r="D249" i="10" s="1"/>
  <c r="F249" i="10" s="1"/>
  <c r="C248" i="10"/>
  <c r="D248" i="10" s="1"/>
  <c r="F248" i="10" s="1"/>
  <c r="C246" i="10"/>
  <c r="C245" i="10"/>
  <c r="C244" i="10"/>
  <c r="D244" i="10" s="1"/>
  <c r="D279" i="10"/>
  <c r="F279" i="10" s="1"/>
  <c r="G279" i="10" s="1"/>
  <c r="E279" i="10" s="1"/>
  <c r="D277" i="10"/>
  <c r="F277" i="10" s="1"/>
  <c r="G277" i="10" s="1"/>
  <c r="E277" i="10" s="1"/>
  <c r="F273" i="10"/>
  <c r="G273" i="10" s="1"/>
  <c r="E273" i="10" s="1"/>
  <c r="F263" i="10"/>
  <c r="F259" i="10"/>
  <c r="F250" i="10"/>
  <c r="F246" i="10"/>
  <c r="B241" i="10"/>
  <c r="B239" i="10"/>
  <c r="C233" i="10"/>
  <c r="D225" i="10"/>
  <c r="D224" i="10"/>
  <c r="C228" i="10"/>
  <c r="C231" i="10"/>
  <c r="C229" i="10"/>
  <c r="C225" i="10"/>
  <c r="F225" i="10" s="1"/>
  <c r="G225" i="10" s="1"/>
  <c r="E225" i="10" s="1"/>
  <c r="C224" i="10"/>
  <c r="C226" i="10" s="1"/>
  <c r="C223" i="10"/>
  <c r="B221" i="10"/>
  <c r="D231" i="10"/>
  <c r="F231" i="10" s="1"/>
  <c r="G231" i="10" s="1"/>
  <c r="E231" i="10" s="1"/>
  <c r="D229" i="10"/>
  <c r="F229" i="10" s="1"/>
  <c r="G229" i="10" s="1"/>
  <c r="E229" i="10" s="1"/>
  <c r="F223" i="10"/>
  <c r="I77" i="10"/>
  <c r="F83" i="10"/>
  <c r="C77" i="10"/>
  <c r="H77" i="10"/>
  <c r="I216" i="10"/>
  <c r="J194" i="10"/>
  <c r="C65" i="10"/>
  <c r="F64" i="10"/>
  <c r="F63" i="10"/>
  <c r="B149" i="10"/>
  <c r="C160" i="10"/>
  <c r="D157" i="10"/>
  <c r="C157" i="10"/>
  <c r="C156" i="10"/>
  <c r="C154" i="10"/>
  <c r="C153" i="10"/>
  <c r="C152" i="10"/>
  <c r="C155" i="10"/>
  <c r="C159" i="10" s="1"/>
  <c r="C161" i="10" s="1"/>
  <c r="D163" i="10" s="1"/>
  <c r="F158" i="10"/>
  <c r="C96" i="10"/>
  <c r="B14865" i="9"/>
  <c r="B14866" i="9"/>
  <c r="B14867" i="9"/>
  <c r="B14868" i="9"/>
  <c r="B14869" i="9"/>
  <c r="B14870" i="9"/>
  <c r="B14871" i="9"/>
  <c r="B14872" i="9"/>
  <c r="B14873" i="9"/>
  <c r="B14874" i="9"/>
  <c r="B14875" i="9"/>
  <c r="B14876" i="9"/>
  <c r="B14877" i="9"/>
  <c r="B14878" i="9"/>
  <c r="B14879" i="9"/>
  <c r="B14880" i="9"/>
  <c r="B14881" i="9"/>
  <c r="B14882" i="9"/>
  <c r="B14883" i="9"/>
  <c r="B14884" i="9"/>
  <c r="B14885" i="9"/>
  <c r="B14886" i="9"/>
  <c r="B14887" i="9"/>
  <c r="B14888" i="9"/>
  <c r="B14889" i="9"/>
  <c r="B14890" i="9"/>
  <c r="B14891" i="9"/>
  <c r="B14892" i="9"/>
  <c r="B14893" i="9"/>
  <c r="B14894" i="9"/>
  <c r="B14895" i="9"/>
  <c r="B14896" i="9"/>
  <c r="B14897" i="9"/>
  <c r="B14898" i="9"/>
  <c r="B14899" i="9"/>
  <c r="B14900" i="9"/>
  <c r="B14901" i="9"/>
  <c r="B14902" i="9"/>
  <c r="B14903" i="9"/>
  <c r="B14904" i="9"/>
  <c r="B14905" i="9"/>
  <c r="B14906" i="9"/>
  <c r="B14907" i="9"/>
  <c r="B14908" i="9"/>
  <c r="B14909" i="9"/>
  <c r="B14910" i="9"/>
  <c r="B14911" i="9"/>
  <c r="B14912" i="9"/>
  <c r="B14913" i="9"/>
  <c r="B14914" i="9"/>
  <c r="B14915" i="9"/>
  <c r="B14916" i="9"/>
  <c r="B14917" i="9"/>
  <c r="B14918" i="9"/>
  <c r="B14919" i="9"/>
  <c r="B14920" i="9"/>
  <c r="B14921" i="9"/>
  <c r="B14922" i="9"/>
  <c r="B14923" i="9"/>
  <c r="B14924" i="9"/>
  <c r="B14925" i="9"/>
  <c r="B14926" i="9"/>
  <c r="B14927" i="9"/>
  <c r="B14928" i="9"/>
  <c r="B14929" i="9"/>
  <c r="B14930" i="9"/>
  <c r="B14931" i="9"/>
  <c r="B14932" i="9"/>
  <c r="B14933" i="9"/>
  <c r="B14934" i="9"/>
  <c r="B14935" i="9"/>
  <c r="B14936" i="9"/>
  <c r="B14937" i="9"/>
  <c r="B14938" i="9"/>
  <c r="B14939" i="9"/>
  <c r="B14940" i="9"/>
  <c r="B14941" i="9"/>
  <c r="B14942" i="9"/>
  <c r="B14943" i="9"/>
  <c r="B14944" i="9"/>
  <c r="B14945" i="9"/>
  <c r="B14946" i="9"/>
  <c r="B14947" i="9"/>
  <c r="B14948" i="9"/>
  <c r="B14949" i="9"/>
  <c r="B14950" i="9"/>
  <c r="B14951" i="9"/>
  <c r="B14952" i="9"/>
  <c r="B14953" i="9"/>
  <c r="B14954" i="9"/>
  <c r="B14955" i="9"/>
  <c r="B14956" i="9"/>
  <c r="B14957" i="9"/>
  <c r="B14958" i="9"/>
  <c r="B14959" i="9"/>
  <c r="B14960" i="9"/>
  <c r="B14961" i="9"/>
  <c r="B14962" i="9"/>
  <c r="B14963" i="9"/>
  <c r="B14964" i="9"/>
  <c r="B14965" i="9"/>
  <c r="B14966" i="9"/>
  <c r="B14967" i="9"/>
  <c r="B14968" i="9"/>
  <c r="B14969" i="9"/>
  <c r="B14970" i="9"/>
  <c r="B14971" i="9"/>
  <c r="B14972" i="9"/>
  <c r="B14973" i="9"/>
  <c r="B14974" i="9"/>
  <c r="B14975" i="9"/>
  <c r="B14976" i="9"/>
  <c r="B14977" i="9"/>
  <c r="B14978" i="9"/>
  <c r="B14979" i="9"/>
  <c r="B14980" i="9"/>
  <c r="B14981" i="9"/>
  <c r="B14982" i="9"/>
  <c r="B14983" i="9"/>
  <c r="B14984" i="9"/>
  <c r="B14985" i="9"/>
  <c r="B14986" i="9"/>
  <c r="B14987" i="9"/>
  <c r="B14988" i="9"/>
  <c r="B14989" i="9"/>
  <c r="B14990" i="9"/>
  <c r="B14991" i="9"/>
  <c r="B14992" i="9"/>
  <c r="B14993" i="9"/>
  <c r="B14994" i="9"/>
  <c r="B14995" i="9"/>
  <c r="B14996" i="9"/>
  <c r="B14997" i="9"/>
  <c r="B14998" i="9"/>
  <c r="B14999" i="9"/>
  <c r="B15000" i="9"/>
  <c r="B15001" i="9"/>
  <c r="B15002" i="9"/>
  <c r="B15003" i="9"/>
  <c r="B15004" i="9"/>
  <c r="B15005" i="9"/>
  <c r="B15006" i="9"/>
  <c r="B15007" i="9"/>
  <c r="B15008" i="9"/>
  <c r="B15009" i="9"/>
  <c r="B15010" i="9"/>
  <c r="B15011" i="9"/>
  <c r="B15012" i="9"/>
  <c r="B15013" i="9"/>
  <c r="B15014" i="9"/>
  <c r="B15015" i="9"/>
  <c r="B15016" i="9"/>
  <c r="B15017" i="9"/>
  <c r="B15018" i="9"/>
  <c r="B15019" i="9"/>
  <c r="B15020" i="9"/>
  <c r="B15021" i="9"/>
  <c r="B15022" i="9"/>
  <c r="B15023" i="9"/>
  <c r="B15024" i="9"/>
  <c r="B15025" i="9"/>
  <c r="B15026" i="9"/>
  <c r="B15027" i="9"/>
  <c r="B15028" i="9"/>
  <c r="B15029" i="9"/>
  <c r="B15030" i="9"/>
  <c r="B15031" i="9"/>
  <c r="B15032" i="9"/>
  <c r="B15033" i="9"/>
  <c r="B15034" i="9"/>
  <c r="B15035" i="9"/>
  <c r="B15036" i="9"/>
  <c r="B15037" i="9"/>
  <c r="B15038" i="9"/>
  <c r="B15039" i="9"/>
  <c r="B15040" i="9"/>
  <c r="B15041" i="9"/>
  <c r="B15042" i="9"/>
  <c r="B15043" i="9"/>
  <c r="B15044" i="9"/>
  <c r="B15045" i="9"/>
  <c r="B15046" i="9"/>
  <c r="B15047" i="9"/>
  <c r="B15048" i="9"/>
  <c r="B15049" i="9"/>
  <c r="B15050" i="9"/>
  <c r="B15051" i="9"/>
  <c r="B15052" i="9"/>
  <c r="B15053" i="9"/>
  <c r="B15054" i="9"/>
  <c r="B15055" i="9"/>
  <c r="B15056" i="9"/>
  <c r="B15057" i="9"/>
  <c r="B15058" i="9"/>
  <c r="B15059" i="9"/>
  <c r="B15060" i="9"/>
  <c r="B15061" i="9"/>
  <c r="B15062" i="9"/>
  <c r="B15063" i="9"/>
  <c r="B15064" i="9"/>
  <c r="B15065" i="9"/>
  <c r="B15066" i="9"/>
  <c r="B15067" i="9"/>
  <c r="B15068" i="9"/>
  <c r="B15069" i="9"/>
  <c r="B15070" i="9"/>
  <c r="B15071" i="9"/>
  <c r="B15072" i="9"/>
  <c r="B15073" i="9"/>
  <c r="B15074" i="9"/>
  <c r="B15075" i="9"/>
  <c r="B15076" i="9"/>
  <c r="B15077" i="9"/>
  <c r="B15078" i="9"/>
  <c r="B15079" i="9"/>
  <c r="B15080" i="9"/>
  <c r="B15081" i="9"/>
  <c r="B15082" i="9"/>
  <c r="B15083" i="9"/>
  <c r="B15084" i="9"/>
  <c r="B15085" i="9"/>
  <c r="B15086" i="9"/>
  <c r="B15087" i="9"/>
  <c r="B15088" i="9"/>
  <c r="C14865" i="9"/>
  <c r="C14866" i="9"/>
  <c r="C14867" i="9"/>
  <c r="C14868" i="9"/>
  <c r="C14869" i="9"/>
  <c r="C14870" i="9"/>
  <c r="C14871" i="9"/>
  <c r="C14872" i="9"/>
  <c r="C14873" i="9"/>
  <c r="C14874" i="9"/>
  <c r="C14875" i="9"/>
  <c r="C14876" i="9"/>
  <c r="C14877" i="9"/>
  <c r="C14878" i="9"/>
  <c r="C14879" i="9"/>
  <c r="C14880" i="9"/>
  <c r="C14881" i="9"/>
  <c r="C14882" i="9"/>
  <c r="C14883" i="9"/>
  <c r="C14884" i="9"/>
  <c r="C14885" i="9"/>
  <c r="C14886" i="9"/>
  <c r="C14887" i="9"/>
  <c r="C14888" i="9"/>
  <c r="C14889" i="9"/>
  <c r="C14890" i="9"/>
  <c r="C14891" i="9"/>
  <c r="C14892" i="9"/>
  <c r="C14893" i="9"/>
  <c r="C14894" i="9"/>
  <c r="C14895" i="9"/>
  <c r="C14896" i="9"/>
  <c r="C14897" i="9"/>
  <c r="C14898" i="9"/>
  <c r="C14899" i="9"/>
  <c r="C14900" i="9"/>
  <c r="C14901" i="9"/>
  <c r="C14902" i="9"/>
  <c r="C14903" i="9"/>
  <c r="C14904" i="9"/>
  <c r="C14905" i="9"/>
  <c r="C14906" i="9"/>
  <c r="C14907" i="9"/>
  <c r="C14908" i="9"/>
  <c r="C14909" i="9"/>
  <c r="C14910" i="9"/>
  <c r="C14911" i="9"/>
  <c r="C14912" i="9"/>
  <c r="C14913" i="9"/>
  <c r="C14914" i="9"/>
  <c r="C14915" i="9"/>
  <c r="C14916" i="9"/>
  <c r="C14917" i="9"/>
  <c r="C14918" i="9"/>
  <c r="C14919" i="9"/>
  <c r="C14920" i="9"/>
  <c r="C14921" i="9"/>
  <c r="C14922" i="9"/>
  <c r="C14923" i="9"/>
  <c r="C14924" i="9"/>
  <c r="C14925" i="9"/>
  <c r="C14926" i="9"/>
  <c r="C14927" i="9"/>
  <c r="C14928" i="9"/>
  <c r="C14929" i="9"/>
  <c r="C14930" i="9"/>
  <c r="C14931" i="9"/>
  <c r="C14932" i="9"/>
  <c r="C14933" i="9"/>
  <c r="C14934" i="9"/>
  <c r="C14935" i="9"/>
  <c r="C14936" i="9"/>
  <c r="C14937" i="9"/>
  <c r="C14938" i="9"/>
  <c r="C14939" i="9"/>
  <c r="C14940" i="9"/>
  <c r="C14941" i="9"/>
  <c r="C14942" i="9"/>
  <c r="C14943" i="9"/>
  <c r="C14944" i="9"/>
  <c r="C14945" i="9"/>
  <c r="C14946" i="9"/>
  <c r="C14947" i="9"/>
  <c r="C14948" i="9"/>
  <c r="C14949" i="9"/>
  <c r="C14950" i="9"/>
  <c r="C14951" i="9"/>
  <c r="C14952" i="9"/>
  <c r="C14953" i="9"/>
  <c r="C14954" i="9"/>
  <c r="C14955" i="9"/>
  <c r="C14956" i="9"/>
  <c r="C14957" i="9"/>
  <c r="C14958" i="9"/>
  <c r="C14959" i="9"/>
  <c r="C14960" i="9"/>
  <c r="C14961" i="9"/>
  <c r="C14962" i="9"/>
  <c r="C14963" i="9"/>
  <c r="C14964" i="9"/>
  <c r="C14965" i="9"/>
  <c r="C14966" i="9"/>
  <c r="C14967" i="9"/>
  <c r="C14968" i="9"/>
  <c r="C14969" i="9"/>
  <c r="C14970" i="9"/>
  <c r="C14971" i="9"/>
  <c r="C14972" i="9"/>
  <c r="C14973" i="9"/>
  <c r="C14974" i="9"/>
  <c r="C14975" i="9"/>
  <c r="C14976" i="9"/>
  <c r="C14977" i="9"/>
  <c r="C14978" i="9"/>
  <c r="C14979" i="9"/>
  <c r="C14980" i="9"/>
  <c r="C14981" i="9"/>
  <c r="C14982" i="9"/>
  <c r="C14983" i="9"/>
  <c r="C14984" i="9"/>
  <c r="C14985" i="9"/>
  <c r="C14986" i="9"/>
  <c r="C14987" i="9"/>
  <c r="C14988" i="9"/>
  <c r="C14989" i="9"/>
  <c r="C14990" i="9"/>
  <c r="C14991" i="9"/>
  <c r="C14992" i="9"/>
  <c r="C14993" i="9"/>
  <c r="C14994" i="9"/>
  <c r="C14995" i="9"/>
  <c r="C14996" i="9"/>
  <c r="C14997" i="9"/>
  <c r="C14998" i="9"/>
  <c r="C14999" i="9"/>
  <c r="C15000" i="9"/>
  <c r="C15001" i="9"/>
  <c r="C15002" i="9"/>
  <c r="C15003" i="9"/>
  <c r="C15004" i="9"/>
  <c r="C15005" i="9"/>
  <c r="C15006" i="9"/>
  <c r="C15007" i="9"/>
  <c r="C15008" i="9"/>
  <c r="C15009" i="9"/>
  <c r="C15010" i="9"/>
  <c r="C15011" i="9"/>
  <c r="C15012" i="9"/>
  <c r="C15013" i="9"/>
  <c r="C15014" i="9"/>
  <c r="C15015" i="9"/>
  <c r="C15016" i="9"/>
  <c r="C15017" i="9"/>
  <c r="C15018" i="9"/>
  <c r="C15019" i="9"/>
  <c r="C15020" i="9"/>
  <c r="C15021" i="9"/>
  <c r="C15022" i="9"/>
  <c r="C15023" i="9"/>
  <c r="C15024" i="9"/>
  <c r="C15025" i="9"/>
  <c r="C15026" i="9"/>
  <c r="C15027" i="9"/>
  <c r="C15028" i="9"/>
  <c r="C15029" i="9"/>
  <c r="C15030" i="9"/>
  <c r="C15031" i="9"/>
  <c r="C15032" i="9"/>
  <c r="C15033" i="9"/>
  <c r="C15034" i="9"/>
  <c r="C15035" i="9"/>
  <c r="C15036" i="9"/>
  <c r="C15037" i="9"/>
  <c r="C15038" i="9"/>
  <c r="C15039" i="9"/>
  <c r="C15040" i="9"/>
  <c r="C15041" i="9"/>
  <c r="C15042" i="9"/>
  <c r="C15043" i="9"/>
  <c r="C15044" i="9"/>
  <c r="C15045" i="9"/>
  <c r="C15046" i="9"/>
  <c r="C15047" i="9"/>
  <c r="C15048" i="9"/>
  <c r="C15049" i="9"/>
  <c r="C15050" i="9"/>
  <c r="C15051" i="9"/>
  <c r="C15052" i="9"/>
  <c r="C15053" i="9"/>
  <c r="C15054" i="9"/>
  <c r="C15055" i="9"/>
  <c r="C15056" i="9"/>
  <c r="C15057" i="9"/>
  <c r="C15058" i="9"/>
  <c r="C15059" i="9"/>
  <c r="C15060" i="9"/>
  <c r="C15061" i="9"/>
  <c r="C15062" i="9"/>
  <c r="C15063" i="9"/>
  <c r="C15064" i="9"/>
  <c r="C15065" i="9"/>
  <c r="C15066" i="9"/>
  <c r="C15067" i="9"/>
  <c r="C15068" i="9"/>
  <c r="C15069" i="9"/>
  <c r="C15070" i="9"/>
  <c r="C15071" i="9"/>
  <c r="C15072" i="9"/>
  <c r="C15073" i="9"/>
  <c r="C15074" i="9"/>
  <c r="C15075" i="9"/>
  <c r="C15076" i="9"/>
  <c r="C15077" i="9"/>
  <c r="C15078" i="9"/>
  <c r="C15079" i="9"/>
  <c r="C15080" i="9"/>
  <c r="C15081" i="9"/>
  <c r="C15082" i="9"/>
  <c r="C15083" i="9"/>
  <c r="C15084" i="9"/>
  <c r="C15085" i="9"/>
  <c r="C15086" i="9"/>
  <c r="C15087" i="9"/>
  <c r="C15088" i="9"/>
  <c r="D14865" i="9"/>
  <c r="D14866" i="9"/>
  <c r="D14867" i="9"/>
  <c r="D14868" i="9"/>
  <c r="D14869" i="9"/>
  <c r="D14870" i="9"/>
  <c r="D14871" i="9"/>
  <c r="D14872" i="9"/>
  <c r="D14873" i="9"/>
  <c r="D14874" i="9"/>
  <c r="D14875" i="9"/>
  <c r="D14876" i="9"/>
  <c r="D14877" i="9"/>
  <c r="D14878" i="9"/>
  <c r="D14879" i="9"/>
  <c r="D14880" i="9"/>
  <c r="D14881" i="9"/>
  <c r="D14882" i="9"/>
  <c r="D14883" i="9"/>
  <c r="D14884" i="9"/>
  <c r="D14885" i="9"/>
  <c r="D14886" i="9"/>
  <c r="D14887" i="9"/>
  <c r="D14888" i="9"/>
  <c r="D14889" i="9"/>
  <c r="D14890" i="9"/>
  <c r="D14891" i="9"/>
  <c r="D14892" i="9"/>
  <c r="D14893" i="9"/>
  <c r="D14894" i="9"/>
  <c r="D14895" i="9"/>
  <c r="D14896" i="9"/>
  <c r="D14897" i="9"/>
  <c r="D14898" i="9"/>
  <c r="D14899" i="9"/>
  <c r="D14900" i="9"/>
  <c r="D14901" i="9"/>
  <c r="D14902" i="9"/>
  <c r="D14903" i="9"/>
  <c r="D14904" i="9"/>
  <c r="D14905" i="9"/>
  <c r="D14906" i="9"/>
  <c r="D14907" i="9"/>
  <c r="D14908" i="9"/>
  <c r="D14909" i="9"/>
  <c r="D14910" i="9"/>
  <c r="D14911" i="9"/>
  <c r="D14912" i="9"/>
  <c r="D14913" i="9"/>
  <c r="D14914" i="9"/>
  <c r="D14915" i="9"/>
  <c r="D14916" i="9"/>
  <c r="D14917" i="9"/>
  <c r="D14918" i="9"/>
  <c r="D14919" i="9"/>
  <c r="D14920" i="9"/>
  <c r="D14921" i="9"/>
  <c r="D14922" i="9"/>
  <c r="D14923" i="9"/>
  <c r="D14924" i="9"/>
  <c r="D14925" i="9"/>
  <c r="D14926" i="9"/>
  <c r="D14927" i="9"/>
  <c r="D14928" i="9"/>
  <c r="D14929" i="9"/>
  <c r="D14930" i="9"/>
  <c r="D14931" i="9"/>
  <c r="D14932" i="9"/>
  <c r="D14933" i="9"/>
  <c r="D14934" i="9"/>
  <c r="D14935" i="9"/>
  <c r="D14936" i="9"/>
  <c r="D14937" i="9"/>
  <c r="D14938" i="9"/>
  <c r="D14939" i="9"/>
  <c r="D14940" i="9"/>
  <c r="D14941" i="9"/>
  <c r="D14942" i="9"/>
  <c r="D14943" i="9"/>
  <c r="D14944" i="9"/>
  <c r="D14945" i="9"/>
  <c r="D14946" i="9"/>
  <c r="D14947" i="9"/>
  <c r="D14948" i="9"/>
  <c r="D14949" i="9"/>
  <c r="D14950" i="9"/>
  <c r="D14951" i="9"/>
  <c r="D14952" i="9"/>
  <c r="D14953" i="9"/>
  <c r="D14954" i="9"/>
  <c r="D14955" i="9"/>
  <c r="D14956" i="9"/>
  <c r="D14957" i="9"/>
  <c r="D14958" i="9"/>
  <c r="D14959" i="9"/>
  <c r="D14960" i="9"/>
  <c r="D14961" i="9"/>
  <c r="D14962" i="9"/>
  <c r="D14963" i="9"/>
  <c r="D14964" i="9"/>
  <c r="D14965" i="9"/>
  <c r="D14966" i="9"/>
  <c r="D14967" i="9"/>
  <c r="D14968" i="9"/>
  <c r="D14969" i="9"/>
  <c r="D14970" i="9"/>
  <c r="D14971" i="9"/>
  <c r="D14972" i="9"/>
  <c r="D14973" i="9"/>
  <c r="D14974" i="9"/>
  <c r="D14975" i="9"/>
  <c r="D14976" i="9"/>
  <c r="D14977" i="9"/>
  <c r="D14978" i="9"/>
  <c r="D14979" i="9"/>
  <c r="D14980" i="9"/>
  <c r="D14981" i="9"/>
  <c r="D14982" i="9"/>
  <c r="D14983" i="9"/>
  <c r="D14984" i="9"/>
  <c r="D14985" i="9"/>
  <c r="D14986" i="9"/>
  <c r="D14987" i="9"/>
  <c r="D14988" i="9"/>
  <c r="D14989" i="9"/>
  <c r="D14990" i="9"/>
  <c r="D14991" i="9"/>
  <c r="D14992" i="9"/>
  <c r="D14993" i="9"/>
  <c r="D14994" i="9"/>
  <c r="D14995" i="9"/>
  <c r="D14996" i="9"/>
  <c r="D14997" i="9"/>
  <c r="D14998" i="9"/>
  <c r="D14999" i="9"/>
  <c r="D15000" i="9"/>
  <c r="D15001" i="9"/>
  <c r="D15002" i="9"/>
  <c r="D15003" i="9"/>
  <c r="D15004" i="9"/>
  <c r="D15005" i="9"/>
  <c r="D15006" i="9"/>
  <c r="D15007" i="9"/>
  <c r="D15008" i="9"/>
  <c r="D15009" i="9"/>
  <c r="D15010" i="9"/>
  <c r="D15011" i="9"/>
  <c r="D15012" i="9"/>
  <c r="D15013" i="9"/>
  <c r="D15014" i="9"/>
  <c r="D15015" i="9"/>
  <c r="D15016" i="9"/>
  <c r="D15017" i="9"/>
  <c r="D15018" i="9"/>
  <c r="D15019" i="9"/>
  <c r="D15020" i="9"/>
  <c r="D15021" i="9"/>
  <c r="D15022" i="9"/>
  <c r="D15023" i="9"/>
  <c r="D15024" i="9"/>
  <c r="D15025" i="9"/>
  <c r="D15026" i="9"/>
  <c r="D15027" i="9"/>
  <c r="D15028" i="9"/>
  <c r="D15029" i="9"/>
  <c r="D15030" i="9"/>
  <c r="D15031" i="9"/>
  <c r="D15032" i="9"/>
  <c r="D15033" i="9"/>
  <c r="D15034" i="9"/>
  <c r="D15035" i="9"/>
  <c r="D15036" i="9"/>
  <c r="D15037" i="9"/>
  <c r="D15038" i="9"/>
  <c r="D15039" i="9"/>
  <c r="D15040" i="9"/>
  <c r="D15041" i="9"/>
  <c r="D15042" i="9"/>
  <c r="D15043" i="9"/>
  <c r="D15044" i="9"/>
  <c r="D15045" i="9"/>
  <c r="D15046" i="9"/>
  <c r="D15047" i="9"/>
  <c r="D15048" i="9"/>
  <c r="D15049" i="9"/>
  <c r="D15050" i="9"/>
  <c r="D15051" i="9"/>
  <c r="D15052" i="9"/>
  <c r="D15053" i="9"/>
  <c r="D15054" i="9"/>
  <c r="D15055" i="9"/>
  <c r="D15056" i="9"/>
  <c r="D15057" i="9"/>
  <c r="D15058" i="9"/>
  <c r="D15059" i="9"/>
  <c r="D15060" i="9"/>
  <c r="D15061" i="9"/>
  <c r="D15062" i="9"/>
  <c r="D15063" i="9"/>
  <c r="D15064" i="9"/>
  <c r="D15065" i="9"/>
  <c r="D15066" i="9"/>
  <c r="D15067" i="9"/>
  <c r="D15068" i="9"/>
  <c r="D15069" i="9"/>
  <c r="D15070" i="9"/>
  <c r="D15071" i="9"/>
  <c r="D15072" i="9"/>
  <c r="D15073" i="9"/>
  <c r="D15074" i="9"/>
  <c r="D15075" i="9"/>
  <c r="D15076" i="9"/>
  <c r="D15077" i="9"/>
  <c r="D15078" i="9"/>
  <c r="D15079" i="9"/>
  <c r="D15080" i="9"/>
  <c r="D15081" i="9"/>
  <c r="D15082" i="9"/>
  <c r="D15083" i="9"/>
  <c r="D15084" i="9"/>
  <c r="D15085" i="9"/>
  <c r="D15086" i="9"/>
  <c r="D15087" i="9"/>
  <c r="D15088" i="9"/>
  <c r="E14865" i="9"/>
  <c r="E14866" i="9"/>
  <c r="E14867" i="9"/>
  <c r="E14868" i="9"/>
  <c r="E14869" i="9"/>
  <c r="E14870" i="9"/>
  <c r="E14871" i="9"/>
  <c r="E14872" i="9"/>
  <c r="E14873" i="9"/>
  <c r="E14874" i="9"/>
  <c r="E14875" i="9"/>
  <c r="E14876" i="9"/>
  <c r="E14877" i="9"/>
  <c r="E14878" i="9"/>
  <c r="E14879" i="9"/>
  <c r="E14880" i="9"/>
  <c r="E14881" i="9"/>
  <c r="E14882" i="9"/>
  <c r="E14883" i="9"/>
  <c r="E14884" i="9"/>
  <c r="E14885" i="9"/>
  <c r="E14886" i="9"/>
  <c r="E14887" i="9"/>
  <c r="E14888" i="9"/>
  <c r="E14889" i="9"/>
  <c r="E14890" i="9"/>
  <c r="E14891" i="9"/>
  <c r="E14892" i="9"/>
  <c r="E14893" i="9"/>
  <c r="E14894" i="9"/>
  <c r="E14895" i="9"/>
  <c r="E14896" i="9"/>
  <c r="E14897" i="9"/>
  <c r="E14898" i="9"/>
  <c r="E14899" i="9"/>
  <c r="E14900" i="9"/>
  <c r="E14901" i="9"/>
  <c r="E14902" i="9"/>
  <c r="E14903" i="9"/>
  <c r="E14904" i="9"/>
  <c r="E14905" i="9"/>
  <c r="E14906" i="9"/>
  <c r="E14907" i="9"/>
  <c r="E14908" i="9"/>
  <c r="E14909" i="9"/>
  <c r="E14910" i="9"/>
  <c r="E14911" i="9"/>
  <c r="E14912" i="9"/>
  <c r="E14913" i="9"/>
  <c r="E14914" i="9"/>
  <c r="E14915" i="9"/>
  <c r="E14916" i="9"/>
  <c r="E14917" i="9"/>
  <c r="E14918" i="9"/>
  <c r="E14919" i="9"/>
  <c r="E14920" i="9"/>
  <c r="E14921" i="9"/>
  <c r="E14922" i="9"/>
  <c r="E14923" i="9"/>
  <c r="E14924" i="9"/>
  <c r="E14925" i="9"/>
  <c r="E14926" i="9"/>
  <c r="E14927" i="9"/>
  <c r="E14928" i="9"/>
  <c r="E14929" i="9"/>
  <c r="E14930" i="9"/>
  <c r="E14931" i="9"/>
  <c r="E14932" i="9"/>
  <c r="E14933" i="9"/>
  <c r="E14934" i="9"/>
  <c r="E14935" i="9"/>
  <c r="E14936" i="9"/>
  <c r="E14937" i="9"/>
  <c r="E14938" i="9"/>
  <c r="E14939" i="9"/>
  <c r="E14940" i="9"/>
  <c r="E14941" i="9"/>
  <c r="E14942" i="9"/>
  <c r="E14943" i="9"/>
  <c r="E14944" i="9"/>
  <c r="E14945" i="9"/>
  <c r="E14946" i="9"/>
  <c r="E14947" i="9"/>
  <c r="E14948" i="9"/>
  <c r="E14949" i="9"/>
  <c r="E14950" i="9"/>
  <c r="E14951" i="9"/>
  <c r="E14952" i="9"/>
  <c r="E14953" i="9"/>
  <c r="E14954" i="9"/>
  <c r="E14955" i="9"/>
  <c r="E14956" i="9"/>
  <c r="E14957" i="9"/>
  <c r="E14958" i="9"/>
  <c r="E14959" i="9"/>
  <c r="E14960" i="9"/>
  <c r="E14961" i="9"/>
  <c r="E14962" i="9"/>
  <c r="E14963" i="9"/>
  <c r="E14964" i="9"/>
  <c r="E14965" i="9"/>
  <c r="E14966" i="9"/>
  <c r="E14967" i="9"/>
  <c r="E14968" i="9"/>
  <c r="E14969" i="9"/>
  <c r="E14970" i="9"/>
  <c r="E14971" i="9"/>
  <c r="E14972" i="9"/>
  <c r="E14973" i="9"/>
  <c r="E14974" i="9"/>
  <c r="E14975" i="9"/>
  <c r="E14976" i="9"/>
  <c r="E14977" i="9"/>
  <c r="E14978" i="9"/>
  <c r="E14979" i="9"/>
  <c r="E14980" i="9"/>
  <c r="E14981" i="9"/>
  <c r="E14982" i="9"/>
  <c r="E14983" i="9"/>
  <c r="E14984" i="9"/>
  <c r="E14985" i="9"/>
  <c r="E14986" i="9"/>
  <c r="E14987" i="9"/>
  <c r="E14988" i="9"/>
  <c r="E14989" i="9"/>
  <c r="E14990" i="9"/>
  <c r="E14991" i="9"/>
  <c r="E14992" i="9"/>
  <c r="E14993" i="9"/>
  <c r="E14994" i="9"/>
  <c r="E14995" i="9"/>
  <c r="E14996" i="9"/>
  <c r="E14997" i="9"/>
  <c r="E14998" i="9"/>
  <c r="E14999" i="9"/>
  <c r="E15000" i="9"/>
  <c r="E15001" i="9"/>
  <c r="E15002" i="9"/>
  <c r="E15003" i="9"/>
  <c r="E15004" i="9"/>
  <c r="E15005" i="9"/>
  <c r="E15006" i="9"/>
  <c r="E15007" i="9"/>
  <c r="E15008" i="9"/>
  <c r="E15009" i="9"/>
  <c r="E15010" i="9"/>
  <c r="E15011" i="9"/>
  <c r="E15012" i="9"/>
  <c r="E15013" i="9"/>
  <c r="E15014" i="9"/>
  <c r="E15015" i="9"/>
  <c r="E15016" i="9"/>
  <c r="E15017" i="9"/>
  <c r="E15018" i="9"/>
  <c r="E15019" i="9"/>
  <c r="E15020" i="9"/>
  <c r="E15021" i="9"/>
  <c r="E15022" i="9"/>
  <c r="E15023" i="9"/>
  <c r="E15024" i="9"/>
  <c r="E15025" i="9"/>
  <c r="E15026" i="9"/>
  <c r="E15027" i="9"/>
  <c r="E15028" i="9"/>
  <c r="E15029" i="9"/>
  <c r="E15030" i="9"/>
  <c r="E15031" i="9"/>
  <c r="E15032" i="9"/>
  <c r="E15033" i="9"/>
  <c r="E15034" i="9"/>
  <c r="E15035" i="9"/>
  <c r="E15036" i="9"/>
  <c r="E15037" i="9"/>
  <c r="E15038" i="9"/>
  <c r="E15039" i="9"/>
  <c r="E15040" i="9"/>
  <c r="E15041" i="9"/>
  <c r="E15042" i="9"/>
  <c r="E15043" i="9"/>
  <c r="E15044" i="9"/>
  <c r="E15045" i="9"/>
  <c r="E15046" i="9"/>
  <c r="E15047" i="9"/>
  <c r="E15048" i="9"/>
  <c r="E15049" i="9"/>
  <c r="E15050" i="9"/>
  <c r="E15051" i="9"/>
  <c r="E15052" i="9"/>
  <c r="E15053" i="9"/>
  <c r="E15054" i="9"/>
  <c r="E15055" i="9"/>
  <c r="E15056" i="9"/>
  <c r="E15057" i="9"/>
  <c r="E15058" i="9"/>
  <c r="E15059" i="9"/>
  <c r="E15060" i="9"/>
  <c r="E15061" i="9"/>
  <c r="E15062" i="9"/>
  <c r="E15063" i="9"/>
  <c r="E15064" i="9"/>
  <c r="E15065" i="9"/>
  <c r="E15066" i="9"/>
  <c r="E15067" i="9"/>
  <c r="E15068" i="9"/>
  <c r="E15069" i="9"/>
  <c r="E15070" i="9"/>
  <c r="E15071" i="9"/>
  <c r="E15072" i="9"/>
  <c r="E15073" i="9"/>
  <c r="E15074" i="9"/>
  <c r="E15075" i="9"/>
  <c r="E15076" i="9"/>
  <c r="E15077" i="9"/>
  <c r="E15078" i="9"/>
  <c r="E15079" i="9"/>
  <c r="E15080" i="9"/>
  <c r="E15081" i="9"/>
  <c r="E15082" i="9"/>
  <c r="E15083" i="9"/>
  <c r="E15084" i="9"/>
  <c r="E15085" i="9"/>
  <c r="E15086" i="9"/>
  <c r="E15087" i="9"/>
  <c r="E15088" i="9"/>
  <c r="G14865" i="9"/>
  <c r="G14866" i="9"/>
  <c r="G14867" i="9"/>
  <c r="G14868" i="9"/>
  <c r="G14869" i="9"/>
  <c r="G14870" i="9"/>
  <c r="G14871" i="9"/>
  <c r="G14872" i="9"/>
  <c r="G14873" i="9"/>
  <c r="G14874" i="9"/>
  <c r="G14875" i="9"/>
  <c r="G14876" i="9"/>
  <c r="G14877" i="9"/>
  <c r="G14878" i="9"/>
  <c r="G14879" i="9"/>
  <c r="G14880" i="9"/>
  <c r="G14881" i="9"/>
  <c r="G14882" i="9"/>
  <c r="G14883" i="9"/>
  <c r="G14884" i="9"/>
  <c r="G14885" i="9"/>
  <c r="G14886" i="9"/>
  <c r="G14887" i="9"/>
  <c r="G14888" i="9"/>
  <c r="G14889" i="9"/>
  <c r="G14890" i="9"/>
  <c r="G14891" i="9"/>
  <c r="G14892" i="9"/>
  <c r="G14893" i="9"/>
  <c r="G14894" i="9"/>
  <c r="G14895" i="9"/>
  <c r="G14896" i="9"/>
  <c r="G14897" i="9"/>
  <c r="G14898" i="9"/>
  <c r="G14899" i="9"/>
  <c r="G14900" i="9"/>
  <c r="G14901" i="9"/>
  <c r="G14902" i="9"/>
  <c r="G14903" i="9"/>
  <c r="G14904" i="9"/>
  <c r="G14905" i="9"/>
  <c r="G14906" i="9"/>
  <c r="G14907" i="9"/>
  <c r="G14908" i="9"/>
  <c r="G14909" i="9"/>
  <c r="G14910" i="9"/>
  <c r="G14911" i="9"/>
  <c r="G14912" i="9"/>
  <c r="G14913" i="9"/>
  <c r="G14914" i="9"/>
  <c r="G14915" i="9"/>
  <c r="G14916" i="9"/>
  <c r="G14917" i="9"/>
  <c r="G14918" i="9"/>
  <c r="G14919" i="9"/>
  <c r="G14920" i="9"/>
  <c r="G14921" i="9"/>
  <c r="G14922" i="9"/>
  <c r="G14923" i="9"/>
  <c r="G14924" i="9"/>
  <c r="G14925" i="9"/>
  <c r="G14926" i="9"/>
  <c r="G14927" i="9"/>
  <c r="G14928" i="9"/>
  <c r="G14929" i="9"/>
  <c r="G14930" i="9"/>
  <c r="G14931" i="9"/>
  <c r="G14932" i="9"/>
  <c r="G14933" i="9"/>
  <c r="G14934" i="9"/>
  <c r="G14935" i="9"/>
  <c r="G14936" i="9"/>
  <c r="G14937" i="9"/>
  <c r="G14938" i="9"/>
  <c r="G14939" i="9"/>
  <c r="G14940" i="9"/>
  <c r="G14941" i="9"/>
  <c r="G14942" i="9"/>
  <c r="G14943" i="9"/>
  <c r="G14944" i="9"/>
  <c r="G14945" i="9"/>
  <c r="G14946" i="9"/>
  <c r="G14947" i="9"/>
  <c r="G14948" i="9"/>
  <c r="G14949" i="9"/>
  <c r="G14950" i="9"/>
  <c r="G14951" i="9"/>
  <c r="G14952" i="9"/>
  <c r="G14953" i="9"/>
  <c r="G14954" i="9"/>
  <c r="G14955" i="9"/>
  <c r="G14956" i="9"/>
  <c r="G14957" i="9"/>
  <c r="G14958" i="9"/>
  <c r="G14959" i="9"/>
  <c r="G14960" i="9"/>
  <c r="G14961" i="9"/>
  <c r="G14962" i="9"/>
  <c r="G14963" i="9"/>
  <c r="G14964" i="9"/>
  <c r="G14965" i="9"/>
  <c r="G14966" i="9"/>
  <c r="G14967" i="9"/>
  <c r="G14968" i="9"/>
  <c r="G14969" i="9"/>
  <c r="G14970" i="9"/>
  <c r="G14971" i="9"/>
  <c r="G14972" i="9"/>
  <c r="G14973" i="9"/>
  <c r="G14974" i="9"/>
  <c r="G14975" i="9"/>
  <c r="G14976" i="9"/>
  <c r="G14977" i="9"/>
  <c r="G14978" i="9"/>
  <c r="G14979" i="9"/>
  <c r="G14980" i="9"/>
  <c r="G14981" i="9"/>
  <c r="G14982" i="9"/>
  <c r="G14983" i="9"/>
  <c r="G14984" i="9"/>
  <c r="G14985" i="9"/>
  <c r="G14986" i="9"/>
  <c r="G14987" i="9"/>
  <c r="G14988" i="9"/>
  <c r="G14989" i="9"/>
  <c r="G14990" i="9"/>
  <c r="G14991" i="9"/>
  <c r="G14992" i="9"/>
  <c r="G14993" i="9"/>
  <c r="G14994" i="9"/>
  <c r="G14995" i="9"/>
  <c r="G14996" i="9"/>
  <c r="G14997" i="9"/>
  <c r="G14998" i="9"/>
  <c r="G14999" i="9"/>
  <c r="G15000" i="9"/>
  <c r="G15001" i="9"/>
  <c r="G15002" i="9"/>
  <c r="G15003" i="9"/>
  <c r="G15004" i="9"/>
  <c r="G15005" i="9"/>
  <c r="G15006" i="9"/>
  <c r="G15007" i="9"/>
  <c r="G15008" i="9"/>
  <c r="G15009" i="9"/>
  <c r="G15010" i="9"/>
  <c r="G15011" i="9"/>
  <c r="G15012" i="9"/>
  <c r="G15013" i="9"/>
  <c r="G15014" i="9"/>
  <c r="G15015" i="9"/>
  <c r="G15016" i="9"/>
  <c r="G15017" i="9"/>
  <c r="G15018" i="9"/>
  <c r="G15019" i="9"/>
  <c r="G15020" i="9"/>
  <c r="G15021" i="9"/>
  <c r="G15022" i="9"/>
  <c r="G15023" i="9"/>
  <c r="G15024" i="9"/>
  <c r="G15025" i="9"/>
  <c r="G15026" i="9"/>
  <c r="G15027" i="9"/>
  <c r="G15028" i="9"/>
  <c r="G15029" i="9"/>
  <c r="G15030" i="9"/>
  <c r="G15031" i="9"/>
  <c r="G15032" i="9"/>
  <c r="G15033" i="9"/>
  <c r="G15034" i="9"/>
  <c r="G15035" i="9"/>
  <c r="G15036" i="9"/>
  <c r="G15037" i="9"/>
  <c r="G15038" i="9"/>
  <c r="G15039" i="9"/>
  <c r="G15040" i="9"/>
  <c r="G15041" i="9"/>
  <c r="G15042" i="9"/>
  <c r="G15043" i="9"/>
  <c r="G15044" i="9"/>
  <c r="G15045" i="9"/>
  <c r="G15046" i="9"/>
  <c r="G15047" i="9"/>
  <c r="G15048" i="9"/>
  <c r="G15049" i="9"/>
  <c r="G15050" i="9"/>
  <c r="G15051" i="9"/>
  <c r="G15052" i="9"/>
  <c r="G15053" i="9"/>
  <c r="G15054" i="9"/>
  <c r="G15055" i="9"/>
  <c r="G15056" i="9"/>
  <c r="G15057" i="9"/>
  <c r="G15058" i="9"/>
  <c r="G15059" i="9"/>
  <c r="G15060" i="9"/>
  <c r="G15061" i="9"/>
  <c r="G15062" i="9"/>
  <c r="G15063" i="9"/>
  <c r="G15064" i="9"/>
  <c r="G15065" i="9"/>
  <c r="G15066" i="9"/>
  <c r="G15067" i="9"/>
  <c r="G15068" i="9"/>
  <c r="G15069" i="9"/>
  <c r="G15070" i="9"/>
  <c r="G15071" i="9"/>
  <c r="G15072" i="9"/>
  <c r="G15073" i="9"/>
  <c r="G15074" i="9"/>
  <c r="G15075" i="9"/>
  <c r="G15076" i="9"/>
  <c r="G15077" i="9"/>
  <c r="G15078" i="9"/>
  <c r="G15079" i="9"/>
  <c r="G15080" i="9"/>
  <c r="G15081" i="9"/>
  <c r="G15082" i="9"/>
  <c r="G15083" i="9"/>
  <c r="G15084" i="9"/>
  <c r="G15085" i="9"/>
  <c r="G15086" i="9"/>
  <c r="G15087" i="9"/>
  <c r="G15088" i="9"/>
  <c r="H14865" i="9"/>
  <c r="H14866" i="9"/>
  <c r="H14867" i="9"/>
  <c r="H14868" i="9"/>
  <c r="H14869" i="9"/>
  <c r="H14870" i="9"/>
  <c r="H14871" i="9"/>
  <c r="H14872" i="9"/>
  <c r="H14873" i="9"/>
  <c r="H14874" i="9"/>
  <c r="H14875" i="9"/>
  <c r="H14876" i="9"/>
  <c r="H14877" i="9"/>
  <c r="H14878" i="9"/>
  <c r="H14879" i="9"/>
  <c r="H14880" i="9"/>
  <c r="H14881" i="9"/>
  <c r="H14882" i="9"/>
  <c r="H14883" i="9"/>
  <c r="H14884" i="9"/>
  <c r="H14885" i="9"/>
  <c r="H14886" i="9"/>
  <c r="H14887" i="9"/>
  <c r="H14888" i="9"/>
  <c r="H14889" i="9"/>
  <c r="H14890" i="9"/>
  <c r="H14891" i="9"/>
  <c r="H14892" i="9"/>
  <c r="H14893" i="9"/>
  <c r="H14894" i="9"/>
  <c r="H14895" i="9"/>
  <c r="H14896" i="9"/>
  <c r="H14897" i="9"/>
  <c r="H14898" i="9"/>
  <c r="H14899" i="9"/>
  <c r="H14900" i="9"/>
  <c r="H14901" i="9"/>
  <c r="H14902" i="9"/>
  <c r="H14903" i="9"/>
  <c r="H14904" i="9"/>
  <c r="H14905" i="9"/>
  <c r="H14906" i="9"/>
  <c r="H14907" i="9"/>
  <c r="H14908" i="9"/>
  <c r="H14909" i="9"/>
  <c r="H14910" i="9"/>
  <c r="H14911" i="9"/>
  <c r="H14912" i="9"/>
  <c r="H14913" i="9"/>
  <c r="H14914" i="9"/>
  <c r="H14915" i="9"/>
  <c r="H14916" i="9"/>
  <c r="H14917" i="9"/>
  <c r="H14918" i="9"/>
  <c r="H14919" i="9"/>
  <c r="H14920" i="9"/>
  <c r="H14921" i="9"/>
  <c r="H14922" i="9"/>
  <c r="H14923" i="9"/>
  <c r="H14924" i="9"/>
  <c r="H14925" i="9"/>
  <c r="H14926" i="9"/>
  <c r="H14927" i="9"/>
  <c r="H14928" i="9"/>
  <c r="H14929" i="9"/>
  <c r="H14930" i="9"/>
  <c r="H14931" i="9"/>
  <c r="H14932" i="9"/>
  <c r="H14933" i="9"/>
  <c r="H14934" i="9"/>
  <c r="H14935" i="9"/>
  <c r="H14936" i="9"/>
  <c r="H14937" i="9"/>
  <c r="H14938" i="9"/>
  <c r="H14939" i="9"/>
  <c r="H14940" i="9"/>
  <c r="H14941" i="9"/>
  <c r="H14942" i="9"/>
  <c r="H14943" i="9"/>
  <c r="H14944" i="9"/>
  <c r="H14945" i="9"/>
  <c r="H14946" i="9"/>
  <c r="H14947" i="9"/>
  <c r="H14948" i="9"/>
  <c r="H14949" i="9"/>
  <c r="H14950" i="9"/>
  <c r="H14951" i="9"/>
  <c r="H14952" i="9"/>
  <c r="H14953" i="9"/>
  <c r="H14954" i="9"/>
  <c r="H14955" i="9"/>
  <c r="H14956" i="9"/>
  <c r="H14957" i="9"/>
  <c r="H14958" i="9"/>
  <c r="H14959" i="9"/>
  <c r="H14960" i="9"/>
  <c r="H14961" i="9"/>
  <c r="H14962" i="9"/>
  <c r="H14963" i="9"/>
  <c r="H14964" i="9"/>
  <c r="H14965" i="9"/>
  <c r="H14966" i="9"/>
  <c r="H14967" i="9"/>
  <c r="H14968" i="9"/>
  <c r="H14969" i="9"/>
  <c r="H14970" i="9"/>
  <c r="H14971" i="9"/>
  <c r="H14972" i="9"/>
  <c r="H14973" i="9"/>
  <c r="H14974" i="9"/>
  <c r="H14975" i="9"/>
  <c r="H14976" i="9"/>
  <c r="H14977" i="9"/>
  <c r="H14978" i="9"/>
  <c r="H14979" i="9"/>
  <c r="H14980" i="9"/>
  <c r="H14981" i="9"/>
  <c r="H14982" i="9"/>
  <c r="H14983" i="9"/>
  <c r="H14984" i="9"/>
  <c r="H14985" i="9"/>
  <c r="H14986" i="9"/>
  <c r="H14987" i="9"/>
  <c r="H14988" i="9"/>
  <c r="H14989" i="9"/>
  <c r="H14990" i="9"/>
  <c r="H14991" i="9"/>
  <c r="H14992" i="9"/>
  <c r="H14993" i="9"/>
  <c r="H14994" i="9"/>
  <c r="H14995" i="9"/>
  <c r="H14996" i="9"/>
  <c r="H14997" i="9"/>
  <c r="H14998" i="9"/>
  <c r="H14999" i="9"/>
  <c r="H15000" i="9"/>
  <c r="H15001" i="9"/>
  <c r="H15002" i="9"/>
  <c r="H15003" i="9"/>
  <c r="H15004" i="9"/>
  <c r="H15005" i="9"/>
  <c r="H15006" i="9"/>
  <c r="H15007" i="9"/>
  <c r="H15008" i="9"/>
  <c r="H15009" i="9"/>
  <c r="H15010" i="9"/>
  <c r="H15011" i="9"/>
  <c r="H15012" i="9"/>
  <c r="H15013" i="9"/>
  <c r="H15014" i="9"/>
  <c r="H15015" i="9"/>
  <c r="H15016" i="9"/>
  <c r="H15017" i="9"/>
  <c r="H15018" i="9"/>
  <c r="H15019" i="9"/>
  <c r="H15020" i="9"/>
  <c r="H15021" i="9"/>
  <c r="H15022" i="9"/>
  <c r="H15023" i="9"/>
  <c r="H15024" i="9"/>
  <c r="H15025" i="9"/>
  <c r="H15026" i="9"/>
  <c r="H15027" i="9"/>
  <c r="H15028" i="9"/>
  <c r="H15029" i="9"/>
  <c r="H15030" i="9"/>
  <c r="H15031" i="9"/>
  <c r="H15032" i="9"/>
  <c r="H15033" i="9"/>
  <c r="H15034" i="9"/>
  <c r="H15035" i="9"/>
  <c r="H15036" i="9"/>
  <c r="H15037" i="9"/>
  <c r="H15038" i="9"/>
  <c r="H15039" i="9"/>
  <c r="H15040" i="9"/>
  <c r="H15041" i="9"/>
  <c r="H15042" i="9"/>
  <c r="H15043" i="9"/>
  <c r="H15044" i="9"/>
  <c r="H15045" i="9"/>
  <c r="H15046" i="9"/>
  <c r="H15047" i="9"/>
  <c r="H15048" i="9"/>
  <c r="H15049" i="9"/>
  <c r="H15050" i="9"/>
  <c r="H15051" i="9"/>
  <c r="H15052" i="9"/>
  <c r="H15053" i="9"/>
  <c r="H15054" i="9"/>
  <c r="H15055" i="9"/>
  <c r="H15056" i="9"/>
  <c r="H15057" i="9"/>
  <c r="H15058" i="9"/>
  <c r="H15059" i="9"/>
  <c r="H15060" i="9"/>
  <c r="H15061" i="9"/>
  <c r="H15062" i="9"/>
  <c r="H15063" i="9"/>
  <c r="H15064" i="9"/>
  <c r="H15065" i="9"/>
  <c r="H15066" i="9"/>
  <c r="H15067" i="9"/>
  <c r="H15068" i="9"/>
  <c r="H15069" i="9"/>
  <c r="H15070" i="9"/>
  <c r="H15071" i="9"/>
  <c r="H15072" i="9"/>
  <c r="H15073" i="9"/>
  <c r="H15074" i="9"/>
  <c r="H15075" i="9"/>
  <c r="H15076" i="9"/>
  <c r="H15077" i="9"/>
  <c r="H15078" i="9"/>
  <c r="H15079" i="9"/>
  <c r="H15080" i="9"/>
  <c r="H15081" i="9"/>
  <c r="H15082" i="9"/>
  <c r="H15083" i="9"/>
  <c r="H15084" i="9"/>
  <c r="H15085" i="9"/>
  <c r="H15086" i="9"/>
  <c r="H15087" i="9"/>
  <c r="H15088" i="9"/>
  <c r="B14781" i="9"/>
  <c r="B14782" i="9"/>
  <c r="B14783" i="9"/>
  <c r="B14784" i="9"/>
  <c r="B14785" i="9"/>
  <c r="B14786" i="9"/>
  <c r="B14787" i="9"/>
  <c r="B14788" i="9"/>
  <c r="B14789" i="9"/>
  <c r="B14790" i="9"/>
  <c r="B14791" i="9"/>
  <c r="B14792" i="9"/>
  <c r="B14793" i="9"/>
  <c r="B14794" i="9"/>
  <c r="B14795" i="9"/>
  <c r="B14796" i="9"/>
  <c r="B14797" i="9"/>
  <c r="B14798" i="9"/>
  <c r="B14799" i="9"/>
  <c r="B14800" i="9"/>
  <c r="B14801" i="9"/>
  <c r="B14802" i="9"/>
  <c r="B14803" i="9"/>
  <c r="B14804" i="9"/>
  <c r="B14805" i="9"/>
  <c r="B14806" i="9"/>
  <c r="B14807" i="9"/>
  <c r="B14808" i="9"/>
  <c r="B14809" i="9"/>
  <c r="B14810" i="9"/>
  <c r="B14811" i="9"/>
  <c r="B14812" i="9"/>
  <c r="B14813" i="9"/>
  <c r="B14814" i="9"/>
  <c r="B14815" i="9"/>
  <c r="B14816" i="9"/>
  <c r="B14817" i="9"/>
  <c r="B14818" i="9"/>
  <c r="B14819" i="9"/>
  <c r="B14820" i="9"/>
  <c r="B14821" i="9"/>
  <c r="B14822" i="9"/>
  <c r="B14823" i="9"/>
  <c r="B14824" i="9"/>
  <c r="B14825" i="9"/>
  <c r="B14826" i="9"/>
  <c r="B14827" i="9"/>
  <c r="B14828" i="9"/>
  <c r="B14829" i="9"/>
  <c r="B14830" i="9"/>
  <c r="B14831" i="9"/>
  <c r="B14832" i="9"/>
  <c r="B14833" i="9"/>
  <c r="B14834" i="9"/>
  <c r="B14835" i="9"/>
  <c r="B14836" i="9"/>
  <c r="B14837" i="9"/>
  <c r="B14838" i="9"/>
  <c r="B14839" i="9"/>
  <c r="B14840" i="9"/>
  <c r="B14841" i="9"/>
  <c r="B14842" i="9"/>
  <c r="B14843" i="9"/>
  <c r="B14844" i="9"/>
  <c r="B14845" i="9"/>
  <c r="B14846" i="9"/>
  <c r="B14847" i="9"/>
  <c r="B14848" i="9"/>
  <c r="B14849" i="9"/>
  <c r="B14850" i="9"/>
  <c r="B14851" i="9"/>
  <c r="B14852" i="9"/>
  <c r="B14853" i="9"/>
  <c r="B14854" i="9"/>
  <c r="B14855" i="9"/>
  <c r="B14856" i="9"/>
  <c r="B14857" i="9"/>
  <c r="B14858" i="9"/>
  <c r="B14859" i="9"/>
  <c r="B14860" i="9"/>
  <c r="B14861" i="9"/>
  <c r="B14862" i="9"/>
  <c r="B14863" i="9"/>
  <c r="B14864" i="9"/>
  <c r="C14781" i="9"/>
  <c r="C14782" i="9"/>
  <c r="C14783" i="9"/>
  <c r="C14784" i="9"/>
  <c r="C14785" i="9"/>
  <c r="C14786" i="9"/>
  <c r="C14787" i="9"/>
  <c r="C14788" i="9"/>
  <c r="C14789" i="9"/>
  <c r="C14790" i="9"/>
  <c r="C14791" i="9"/>
  <c r="C14792" i="9"/>
  <c r="C14793" i="9"/>
  <c r="C14794" i="9"/>
  <c r="C14795" i="9"/>
  <c r="C14796" i="9"/>
  <c r="C14797" i="9"/>
  <c r="C14798" i="9"/>
  <c r="C14799" i="9"/>
  <c r="C14800" i="9"/>
  <c r="C14801" i="9"/>
  <c r="C14802" i="9"/>
  <c r="C14803" i="9"/>
  <c r="C14804" i="9"/>
  <c r="C14805" i="9"/>
  <c r="C14806" i="9"/>
  <c r="C14807" i="9"/>
  <c r="C14808" i="9"/>
  <c r="C14809" i="9"/>
  <c r="C14810" i="9"/>
  <c r="C14811" i="9"/>
  <c r="C14812" i="9"/>
  <c r="C14813" i="9"/>
  <c r="C14814" i="9"/>
  <c r="C14815" i="9"/>
  <c r="C14816" i="9"/>
  <c r="C14817" i="9"/>
  <c r="C14818" i="9"/>
  <c r="C14819" i="9"/>
  <c r="C14820" i="9"/>
  <c r="C14821" i="9"/>
  <c r="C14822" i="9"/>
  <c r="C14823" i="9"/>
  <c r="C14824" i="9"/>
  <c r="C14825" i="9"/>
  <c r="C14826" i="9"/>
  <c r="C14827" i="9"/>
  <c r="C14828" i="9"/>
  <c r="C14829" i="9"/>
  <c r="C14830" i="9"/>
  <c r="C14831" i="9"/>
  <c r="C14832" i="9"/>
  <c r="C14833" i="9"/>
  <c r="C14834" i="9"/>
  <c r="C14835" i="9"/>
  <c r="C14836" i="9"/>
  <c r="C14837" i="9"/>
  <c r="C14838" i="9"/>
  <c r="C14839" i="9"/>
  <c r="C14840" i="9"/>
  <c r="C14841" i="9"/>
  <c r="C14842" i="9"/>
  <c r="C14843" i="9"/>
  <c r="C14844" i="9"/>
  <c r="C14845" i="9"/>
  <c r="C14846" i="9"/>
  <c r="C14847" i="9"/>
  <c r="C14848" i="9"/>
  <c r="C14849" i="9"/>
  <c r="C14850" i="9"/>
  <c r="C14851" i="9"/>
  <c r="C14852" i="9"/>
  <c r="C14853" i="9"/>
  <c r="C14854" i="9"/>
  <c r="C14855" i="9"/>
  <c r="C14856" i="9"/>
  <c r="C14857" i="9"/>
  <c r="C14858" i="9"/>
  <c r="C14859" i="9"/>
  <c r="C14860" i="9"/>
  <c r="C14861" i="9"/>
  <c r="C14862" i="9"/>
  <c r="C14863" i="9"/>
  <c r="C14864" i="9"/>
  <c r="D14781" i="9"/>
  <c r="D14782" i="9"/>
  <c r="D14783" i="9"/>
  <c r="D14784" i="9"/>
  <c r="D14785" i="9"/>
  <c r="D14786" i="9"/>
  <c r="D14787" i="9"/>
  <c r="D14788" i="9"/>
  <c r="D14789" i="9"/>
  <c r="D14790" i="9"/>
  <c r="D14791" i="9"/>
  <c r="D14792" i="9"/>
  <c r="D14793" i="9"/>
  <c r="D14794" i="9"/>
  <c r="D14795" i="9"/>
  <c r="D14796" i="9"/>
  <c r="D14797" i="9"/>
  <c r="D14798" i="9"/>
  <c r="D14799" i="9"/>
  <c r="D14800" i="9"/>
  <c r="D14801" i="9"/>
  <c r="D14802" i="9"/>
  <c r="D14803" i="9"/>
  <c r="D14804" i="9"/>
  <c r="D14805" i="9"/>
  <c r="D14806" i="9"/>
  <c r="D14807" i="9"/>
  <c r="D14808" i="9"/>
  <c r="D14809" i="9"/>
  <c r="D14810" i="9"/>
  <c r="D14811" i="9"/>
  <c r="D14812" i="9"/>
  <c r="D14813" i="9"/>
  <c r="D14814" i="9"/>
  <c r="D14815" i="9"/>
  <c r="D14816" i="9"/>
  <c r="D14817" i="9"/>
  <c r="D14818" i="9"/>
  <c r="D14819" i="9"/>
  <c r="D14820" i="9"/>
  <c r="D14821" i="9"/>
  <c r="D14822" i="9"/>
  <c r="D14823" i="9"/>
  <c r="D14824" i="9"/>
  <c r="D14825" i="9"/>
  <c r="D14826" i="9"/>
  <c r="D14827" i="9"/>
  <c r="D14828" i="9"/>
  <c r="D14829" i="9"/>
  <c r="D14830" i="9"/>
  <c r="D14831" i="9"/>
  <c r="D14832" i="9"/>
  <c r="D14833" i="9"/>
  <c r="D14834" i="9"/>
  <c r="D14835" i="9"/>
  <c r="D14836" i="9"/>
  <c r="D14837" i="9"/>
  <c r="D14838" i="9"/>
  <c r="D14839" i="9"/>
  <c r="D14840" i="9"/>
  <c r="D14841" i="9"/>
  <c r="D14842" i="9"/>
  <c r="D14843" i="9"/>
  <c r="D14844" i="9"/>
  <c r="D14845" i="9"/>
  <c r="D14846" i="9"/>
  <c r="D14847" i="9"/>
  <c r="D14848" i="9"/>
  <c r="D14849" i="9"/>
  <c r="D14850" i="9"/>
  <c r="D14851" i="9"/>
  <c r="D14852" i="9"/>
  <c r="D14853" i="9"/>
  <c r="D14854" i="9"/>
  <c r="D14855" i="9"/>
  <c r="D14856" i="9"/>
  <c r="D14857" i="9"/>
  <c r="D14858" i="9"/>
  <c r="D14859" i="9"/>
  <c r="D14860" i="9"/>
  <c r="D14861" i="9"/>
  <c r="D14862" i="9"/>
  <c r="D14863" i="9"/>
  <c r="D14864" i="9"/>
  <c r="E14781" i="9"/>
  <c r="E14782" i="9"/>
  <c r="E14783" i="9"/>
  <c r="E14784" i="9"/>
  <c r="E14785" i="9"/>
  <c r="E14786" i="9"/>
  <c r="E14787" i="9"/>
  <c r="E14788" i="9"/>
  <c r="E14789" i="9"/>
  <c r="E14790" i="9"/>
  <c r="E14791" i="9"/>
  <c r="E14792" i="9"/>
  <c r="E14793" i="9"/>
  <c r="E14794" i="9"/>
  <c r="E14795" i="9"/>
  <c r="E14796" i="9"/>
  <c r="E14797" i="9"/>
  <c r="E14798" i="9"/>
  <c r="E14799" i="9"/>
  <c r="E14800" i="9"/>
  <c r="E14801" i="9"/>
  <c r="E14802" i="9"/>
  <c r="E14803" i="9"/>
  <c r="E14804" i="9"/>
  <c r="E14805" i="9"/>
  <c r="E14806" i="9"/>
  <c r="E14807" i="9"/>
  <c r="E14808" i="9"/>
  <c r="E14809" i="9"/>
  <c r="E14810" i="9"/>
  <c r="E14811" i="9"/>
  <c r="E14812" i="9"/>
  <c r="E14813" i="9"/>
  <c r="E14814" i="9"/>
  <c r="E14815" i="9"/>
  <c r="E14816" i="9"/>
  <c r="E14817" i="9"/>
  <c r="E14818" i="9"/>
  <c r="E14819" i="9"/>
  <c r="E14820" i="9"/>
  <c r="E14821" i="9"/>
  <c r="E14822" i="9"/>
  <c r="E14823" i="9"/>
  <c r="E14824" i="9"/>
  <c r="E14825" i="9"/>
  <c r="E14826" i="9"/>
  <c r="E14827" i="9"/>
  <c r="E14828" i="9"/>
  <c r="E14829" i="9"/>
  <c r="E14830" i="9"/>
  <c r="E14831" i="9"/>
  <c r="E14832" i="9"/>
  <c r="E14833" i="9"/>
  <c r="E14834" i="9"/>
  <c r="E14835" i="9"/>
  <c r="E14836" i="9"/>
  <c r="E14837" i="9"/>
  <c r="E14838" i="9"/>
  <c r="E14839" i="9"/>
  <c r="E14840" i="9"/>
  <c r="E14841" i="9"/>
  <c r="E14842" i="9"/>
  <c r="E14843" i="9"/>
  <c r="E14844" i="9"/>
  <c r="E14845" i="9"/>
  <c r="E14846" i="9"/>
  <c r="E14847" i="9"/>
  <c r="E14848" i="9"/>
  <c r="E14849" i="9"/>
  <c r="E14850" i="9"/>
  <c r="E14851" i="9"/>
  <c r="E14852" i="9"/>
  <c r="E14853" i="9"/>
  <c r="E14854" i="9"/>
  <c r="E14855" i="9"/>
  <c r="E14856" i="9"/>
  <c r="E14857" i="9"/>
  <c r="E14858" i="9"/>
  <c r="E14859" i="9"/>
  <c r="E14860" i="9"/>
  <c r="E14861" i="9"/>
  <c r="E14862" i="9"/>
  <c r="E14863" i="9"/>
  <c r="E14864" i="9"/>
  <c r="G14781" i="9"/>
  <c r="G14782" i="9"/>
  <c r="G14783" i="9"/>
  <c r="G14784" i="9"/>
  <c r="G14785" i="9"/>
  <c r="G14786" i="9"/>
  <c r="G14787" i="9"/>
  <c r="G14788" i="9"/>
  <c r="G14789" i="9"/>
  <c r="G14790" i="9"/>
  <c r="G14791" i="9"/>
  <c r="G14792" i="9"/>
  <c r="G14793" i="9"/>
  <c r="G14794" i="9"/>
  <c r="G14795" i="9"/>
  <c r="G14796" i="9"/>
  <c r="G14797" i="9"/>
  <c r="G14798" i="9"/>
  <c r="G14799" i="9"/>
  <c r="G14800" i="9"/>
  <c r="G14801" i="9"/>
  <c r="G14802" i="9"/>
  <c r="G14803" i="9"/>
  <c r="G14804" i="9"/>
  <c r="G14805" i="9"/>
  <c r="G14806" i="9"/>
  <c r="G14807" i="9"/>
  <c r="G14808" i="9"/>
  <c r="G14809" i="9"/>
  <c r="G14810" i="9"/>
  <c r="G14811" i="9"/>
  <c r="G14812" i="9"/>
  <c r="G14813" i="9"/>
  <c r="G14814" i="9"/>
  <c r="G14815" i="9"/>
  <c r="G14816" i="9"/>
  <c r="G14817" i="9"/>
  <c r="G14818" i="9"/>
  <c r="G14819" i="9"/>
  <c r="G14820" i="9"/>
  <c r="G14821" i="9"/>
  <c r="G14822" i="9"/>
  <c r="G14823" i="9"/>
  <c r="G14824" i="9"/>
  <c r="G14825" i="9"/>
  <c r="G14826" i="9"/>
  <c r="G14827" i="9"/>
  <c r="G14828" i="9"/>
  <c r="G14829" i="9"/>
  <c r="G14830" i="9"/>
  <c r="G14831" i="9"/>
  <c r="G14832" i="9"/>
  <c r="G14833" i="9"/>
  <c r="G14834" i="9"/>
  <c r="G14835" i="9"/>
  <c r="G14836" i="9"/>
  <c r="G14837" i="9"/>
  <c r="G14838" i="9"/>
  <c r="G14839" i="9"/>
  <c r="G14840" i="9"/>
  <c r="G14841" i="9"/>
  <c r="G14842" i="9"/>
  <c r="G14843" i="9"/>
  <c r="G14844" i="9"/>
  <c r="G14845" i="9"/>
  <c r="G14846" i="9"/>
  <c r="G14847" i="9"/>
  <c r="G14848" i="9"/>
  <c r="G14849" i="9"/>
  <c r="G14850" i="9"/>
  <c r="G14851" i="9"/>
  <c r="G14852" i="9"/>
  <c r="G14853" i="9"/>
  <c r="G14854" i="9"/>
  <c r="G14855" i="9"/>
  <c r="G14856" i="9"/>
  <c r="G14857" i="9"/>
  <c r="G14858" i="9"/>
  <c r="G14859" i="9"/>
  <c r="G14860" i="9"/>
  <c r="G14861" i="9"/>
  <c r="G14862" i="9"/>
  <c r="G14863" i="9"/>
  <c r="G14864" i="9"/>
  <c r="H14781" i="9"/>
  <c r="H14782" i="9"/>
  <c r="H14783" i="9"/>
  <c r="H14784" i="9"/>
  <c r="H14785" i="9"/>
  <c r="H14786" i="9"/>
  <c r="H14787" i="9"/>
  <c r="H14788" i="9"/>
  <c r="H14789" i="9"/>
  <c r="H14790" i="9"/>
  <c r="H14791" i="9"/>
  <c r="H14792" i="9"/>
  <c r="H14793" i="9"/>
  <c r="H14794" i="9"/>
  <c r="H14795" i="9"/>
  <c r="H14796" i="9"/>
  <c r="H14797" i="9"/>
  <c r="H14798" i="9"/>
  <c r="H14799" i="9"/>
  <c r="H14800" i="9"/>
  <c r="H14801" i="9"/>
  <c r="H14802" i="9"/>
  <c r="H14803" i="9"/>
  <c r="H14804" i="9"/>
  <c r="H14805" i="9"/>
  <c r="H14806" i="9"/>
  <c r="H14807" i="9"/>
  <c r="H14808" i="9"/>
  <c r="H14809" i="9"/>
  <c r="H14810" i="9"/>
  <c r="H14811" i="9"/>
  <c r="H14812" i="9"/>
  <c r="H14813" i="9"/>
  <c r="H14814" i="9"/>
  <c r="H14815" i="9"/>
  <c r="H14816" i="9"/>
  <c r="H14817" i="9"/>
  <c r="H14818" i="9"/>
  <c r="H14819" i="9"/>
  <c r="H14820" i="9"/>
  <c r="H14821" i="9"/>
  <c r="H14822" i="9"/>
  <c r="H14823" i="9"/>
  <c r="H14824" i="9"/>
  <c r="H14825" i="9"/>
  <c r="H14826" i="9"/>
  <c r="H14827" i="9"/>
  <c r="H14828" i="9"/>
  <c r="H14829" i="9"/>
  <c r="H14830" i="9"/>
  <c r="H14831" i="9"/>
  <c r="H14832" i="9"/>
  <c r="H14833" i="9"/>
  <c r="H14834" i="9"/>
  <c r="H14835" i="9"/>
  <c r="H14836" i="9"/>
  <c r="H14837" i="9"/>
  <c r="H14838" i="9"/>
  <c r="H14839" i="9"/>
  <c r="H14840" i="9"/>
  <c r="H14841" i="9"/>
  <c r="H14842" i="9"/>
  <c r="H14843" i="9"/>
  <c r="H14844" i="9"/>
  <c r="H14845" i="9"/>
  <c r="H14846" i="9"/>
  <c r="H14847" i="9"/>
  <c r="H14848" i="9"/>
  <c r="H14849" i="9"/>
  <c r="H14850" i="9"/>
  <c r="H14851" i="9"/>
  <c r="H14852" i="9"/>
  <c r="H14853" i="9"/>
  <c r="H14854" i="9"/>
  <c r="H14855" i="9"/>
  <c r="H14856" i="9"/>
  <c r="H14857" i="9"/>
  <c r="H14858" i="9"/>
  <c r="H14859" i="9"/>
  <c r="H14860" i="9"/>
  <c r="H14861" i="9"/>
  <c r="H14862" i="9"/>
  <c r="H14863" i="9"/>
  <c r="H14864" i="9"/>
  <c r="L50" i="11"/>
  <c r="K50" i="11"/>
  <c r="J50" i="11"/>
  <c r="J49" i="11"/>
  <c r="L48" i="11"/>
  <c r="J48" i="11"/>
  <c r="L44" i="11"/>
  <c r="L45" i="11" s="1"/>
  <c r="K44" i="11"/>
  <c r="K45" i="11" s="1"/>
  <c r="J44" i="11"/>
  <c r="J45" i="11" s="1"/>
  <c r="G31" i="11"/>
  <c r="J29" i="11"/>
  <c r="L29" i="11" s="1"/>
  <c r="L26" i="11"/>
  <c r="C26" i="11"/>
  <c r="C27" i="11" s="1"/>
  <c r="C23" i="11"/>
  <c r="C24" i="11" s="1"/>
  <c r="C19" i="11"/>
  <c r="C20" i="11" s="1"/>
  <c r="C17" i="11"/>
  <c r="C15" i="11"/>
  <c r="J12" i="11"/>
  <c r="C12" i="11"/>
  <c r="C13" i="11" s="1"/>
  <c r="C9" i="11"/>
  <c r="C10" i="11" s="1"/>
  <c r="C7" i="11"/>
  <c r="C18" i="2"/>
  <c r="K27" i="7"/>
  <c r="D57" i="10"/>
  <c r="D156" i="10"/>
  <c r="D154" i="10"/>
  <c r="D153" i="10"/>
  <c r="AE14" i="10"/>
  <c r="M138" i="10"/>
  <c r="K140" i="10"/>
  <c r="M140" i="10" s="1"/>
  <c r="K139" i="10"/>
  <c r="K146" i="10"/>
  <c r="M146" i="10" s="1"/>
  <c r="I136" i="10"/>
  <c r="K144" i="10"/>
  <c r="M144" i="10" s="1"/>
  <c r="J141" i="10"/>
  <c r="J143" i="10" s="1"/>
  <c r="I121" i="10"/>
  <c r="I108" i="10"/>
  <c r="B205" i="10"/>
  <c r="B191" i="10"/>
  <c r="B177" i="10"/>
  <c r="B163" i="10"/>
  <c r="B136" i="10"/>
  <c r="C215" i="10"/>
  <c r="C212" i="10"/>
  <c r="C211" i="10"/>
  <c r="C209" i="10"/>
  <c r="C208" i="10"/>
  <c r="C207" i="10"/>
  <c r="C210" i="10" s="1"/>
  <c r="C214" i="10" s="1"/>
  <c r="C216" i="10" s="1"/>
  <c r="D218" i="10" s="1"/>
  <c r="D199" i="10"/>
  <c r="C202" i="10"/>
  <c r="C199" i="10"/>
  <c r="C198" i="10"/>
  <c r="C196" i="10"/>
  <c r="C195" i="10"/>
  <c r="C194" i="10"/>
  <c r="D185" i="10"/>
  <c r="C188" i="10"/>
  <c r="C185" i="10"/>
  <c r="C184" i="10"/>
  <c r="C182" i="10"/>
  <c r="C181" i="10"/>
  <c r="C180" i="10"/>
  <c r="C174" i="10"/>
  <c r="C171" i="10"/>
  <c r="C170" i="10"/>
  <c r="C168" i="10"/>
  <c r="C167" i="10"/>
  <c r="C166" i="10"/>
  <c r="D143" i="10"/>
  <c r="C146" i="10"/>
  <c r="C143" i="10"/>
  <c r="C142" i="10"/>
  <c r="C140" i="10"/>
  <c r="C139" i="10"/>
  <c r="C138" i="10"/>
  <c r="C141" i="10" s="1"/>
  <c r="M129" i="10"/>
  <c r="M116" i="10"/>
  <c r="F213" i="10"/>
  <c r="F200" i="10"/>
  <c r="F186" i="10"/>
  <c r="F172" i="10"/>
  <c r="F144" i="10"/>
  <c r="B121" i="10"/>
  <c r="B107" i="10"/>
  <c r="D129" i="10"/>
  <c r="C132" i="10"/>
  <c r="C129" i="10"/>
  <c r="C128" i="10"/>
  <c r="D115" i="10"/>
  <c r="C118" i="10"/>
  <c r="C115" i="10"/>
  <c r="C114" i="10"/>
  <c r="M102" i="10"/>
  <c r="F130" i="10"/>
  <c r="F116" i="10"/>
  <c r="B74" i="10"/>
  <c r="B59" i="10"/>
  <c r="F102" i="10"/>
  <c r="D101" i="10"/>
  <c r="C104" i="10"/>
  <c r="C101" i="10"/>
  <c r="C100" i="10"/>
  <c r="C98" i="10"/>
  <c r="C97" i="10"/>
  <c r="F85" i="10"/>
  <c r="F79" i="10"/>
  <c r="F78" i="10"/>
  <c r="F77" i="10"/>
  <c r="D80" i="10"/>
  <c r="C80" i="10"/>
  <c r="D82" i="10"/>
  <c r="F68" i="10"/>
  <c r="C70" i="10"/>
  <c r="C67" i="10"/>
  <c r="C66" i="10"/>
  <c r="C62" i="10"/>
  <c r="D59" i="10" s="1"/>
  <c r="D70" i="10"/>
  <c r="AE26" i="10"/>
  <c r="AE27" i="10"/>
  <c r="AE28" i="10" s="1"/>
  <c r="D215" i="10"/>
  <c r="D209" i="10"/>
  <c r="D208" i="10"/>
  <c r="D202" i="10"/>
  <c r="D198" i="10"/>
  <c r="D196" i="10"/>
  <c r="D195" i="10"/>
  <c r="C31" i="4" l="1"/>
  <c r="I15" i="11"/>
  <c r="E148" i="13"/>
  <c r="P13" i="11"/>
  <c r="E148" i="10"/>
  <c r="D219" i="10"/>
  <c r="D164" i="10"/>
  <c r="C276" i="13"/>
  <c r="C278" i="13" s="1"/>
  <c r="C280" i="13" s="1"/>
  <c r="D274" i="13"/>
  <c r="F271" i="13"/>
  <c r="C260" i="13"/>
  <c r="C264" i="13" s="1"/>
  <c r="C266" i="13" s="1"/>
  <c r="D257" i="13"/>
  <c r="C247" i="13"/>
  <c r="C251" i="13" s="1"/>
  <c r="C253" i="13" s="1"/>
  <c r="D244" i="13"/>
  <c r="F224" i="13"/>
  <c r="D226" i="13"/>
  <c r="D228" i="13" s="1"/>
  <c r="F207" i="13"/>
  <c r="C210" i="13"/>
  <c r="C214" i="13" s="1"/>
  <c r="C216" i="13" s="1"/>
  <c r="F180" i="13"/>
  <c r="C183" i="13"/>
  <c r="C187" i="13" s="1"/>
  <c r="C189" i="13" s="1"/>
  <c r="F152" i="13"/>
  <c r="C155" i="13"/>
  <c r="C159" i="13" s="1"/>
  <c r="C161" i="13" s="1"/>
  <c r="J143" i="13"/>
  <c r="J145" i="13" s="1"/>
  <c r="J147" i="13" s="1"/>
  <c r="K143" i="13"/>
  <c r="K141" i="13"/>
  <c r="L141" i="13" s="1"/>
  <c r="M139" i="13"/>
  <c r="M141" i="13"/>
  <c r="N138" i="13" s="1"/>
  <c r="F138" i="13"/>
  <c r="C141" i="13"/>
  <c r="C145" i="13" s="1"/>
  <c r="C147" i="13" s="1"/>
  <c r="E107" i="13"/>
  <c r="E108" i="13"/>
  <c r="F77" i="13"/>
  <c r="C223" i="13"/>
  <c r="C80" i="13"/>
  <c r="D59" i="13"/>
  <c r="C65" i="13"/>
  <c r="C69" i="13"/>
  <c r="C71" i="13" s="1"/>
  <c r="D210" i="13"/>
  <c r="D214" i="13" s="1"/>
  <c r="D216" i="13" s="1"/>
  <c r="D217" i="13" s="1"/>
  <c r="F208" i="13"/>
  <c r="AF17" i="13"/>
  <c r="D194" i="13" s="1"/>
  <c r="AN17" i="13"/>
  <c r="BB16" i="13"/>
  <c r="K131" i="13" s="1"/>
  <c r="J131" i="13"/>
  <c r="J128" i="13"/>
  <c r="BA16" i="13"/>
  <c r="K128" i="13"/>
  <c r="M128" i="13" s="1"/>
  <c r="D184" i="13"/>
  <c r="F184" i="13" s="1"/>
  <c r="AS16" i="13"/>
  <c r="AR16" i="13"/>
  <c r="D182" i="13"/>
  <c r="F182" i="13" s="1"/>
  <c r="AQ16" i="13"/>
  <c r="D181" i="13"/>
  <c r="AN16" i="13"/>
  <c r="AF16" i="13"/>
  <c r="AP16" i="13" s="1"/>
  <c r="D169" i="13"/>
  <c r="D173" i="13" s="1"/>
  <c r="F166" i="13"/>
  <c r="F153" i="13"/>
  <c r="D155" i="13"/>
  <c r="D159" i="13" s="1"/>
  <c r="D161" i="13" s="1"/>
  <c r="AK14" i="13"/>
  <c r="AN14" i="13"/>
  <c r="AN13" i="13"/>
  <c r="AK13" i="13"/>
  <c r="BA11" i="13"/>
  <c r="J115" i="13"/>
  <c r="K115" i="13"/>
  <c r="M115" i="13" s="1"/>
  <c r="AS11" i="13"/>
  <c r="D142" i="13"/>
  <c r="F142" i="13" s="1"/>
  <c r="AR11" i="13"/>
  <c r="D140" i="13"/>
  <c r="F140" i="13" s="1"/>
  <c r="D139" i="13"/>
  <c r="AQ11" i="13"/>
  <c r="AW11" i="13"/>
  <c r="K110" i="13" s="1"/>
  <c r="J110" i="13"/>
  <c r="AK11" i="13"/>
  <c r="AU11" i="13" s="1"/>
  <c r="AN11" i="13"/>
  <c r="W10" i="13"/>
  <c r="O10" i="13"/>
  <c r="D62" i="13" s="1"/>
  <c r="D127" i="13"/>
  <c r="D131" i="13" s="1"/>
  <c r="F124" i="13"/>
  <c r="BA7" i="13"/>
  <c r="AT7" i="13"/>
  <c r="D100" i="13"/>
  <c r="F100" i="13" s="1"/>
  <c r="AS7" i="13"/>
  <c r="J100" i="13" s="1"/>
  <c r="AZ7" i="13"/>
  <c r="K100" i="13" s="1"/>
  <c r="M100" i="13" s="1"/>
  <c r="D98" i="13"/>
  <c r="F98" i="13" s="1"/>
  <c r="AR7" i="13"/>
  <c r="J98" i="13" s="1"/>
  <c r="AY7" i="13"/>
  <c r="K98" i="13" s="1"/>
  <c r="M98" i="13" s="1"/>
  <c r="AX7" i="13"/>
  <c r="K97" i="13" s="1"/>
  <c r="AQ7" i="13"/>
  <c r="J97" i="13" s="1"/>
  <c r="D97" i="13"/>
  <c r="F97" i="13" s="1"/>
  <c r="D96" i="13"/>
  <c r="AW7" i="13"/>
  <c r="K96" i="13" s="1"/>
  <c r="AP7" i="13"/>
  <c r="AK6" i="13"/>
  <c r="AN6" i="13"/>
  <c r="AN24" i="13"/>
  <c r="AL24" i="13" s="1"/>
  <c r="AL26" i="13" s="1"/>
  <c r="AL27" i="13" s="1"/>
  <c r="L49" i="11"/>
  <c r="L51" i="11" s="1"/>
  <c r="F13" i="7"/>
  <c r="C13" i="7"/>
  <c r="F252" i="10"/>
  <c r="F272" i="10"/>
  <c r="G272" i="10" s="1"/>
  <c r="E272" i="10" s="1"/>
  <c r="D274" i="10"/>
  <c r="D276" i="10" s="1"/>
  <c r="C274" i="10"/>
  <c r="F271" i="10"/>
  <c r="D260" i="10"/>
  <c r="D264" i="10" s="1"/>
  <c r="D266" i="10" s="1"/>
  <c r="F258" i="10"/>
  <c r="C260" i="10"/>
  <c r="C264" i="10" s="1"/>
  <c r="C266" i="10" s="1"/>
  <c r="F257" i="10"/>
  <c r="D247" i="10"/>
  <c r="D251" i="10" s="1"/>
  <c r="D253" i="10" s="1"/>
  <c r="F245" i="10"/>
  <c r="C247" i="10"/>
  <c r="C251" i="10" s="1"/>
  <c r="C253" i="10" s="1"/>
  <c r="F244" i="10"/>
  <c r="C230" i="10"/>
  <c r="C232" i="10" s="1"/>
  <c r="D226" i="10"/>
  <c r="D228" i="10" s="1"/>
  <c r="F224" i="10"/>
  <c r="G223" i="10"/>
  <c r="F152" i="10"/>
  <c r="C99" i="10"/>
  <c r="C103" i="10" s="1"/>
  <c r="C105" i="10" s="1"/>
  <c r="C145" i="10"/>
  <c r="C147" i="10" s="1"/>
  <c r="F157" i="10"/>
  <c r="F156" i="10"/>
  <c r="F153" i="10"/>
  <c r="F154" i="10"/>
  <c r="D155" i="10"/>
  <c r="D159" i="10" s="1"/>
  <c r="E107" i="10"/>
  <c r="E108" i="10"/>
  <c r="H30" i="11"/>
  <c r="J51" i="11"/>
  <c r="C197" i="10"/>
  <c r="C201" i="10" s="1"/>
  <c r="C203" i="10" s="1"/>
  <c r="AN14" i="10"/>
  <c r="E80" i="10"/>
  <c r="C82" i="10"/>
  <c r="F215" i="10"/>
  <c r="F208" i="10"/>
  <c r="F196" i="10"/>
  <c r="F195" i="10"/>
  <c r="M139" i="10"/>
  <c r="M141" i="10" s="1"/>
  <c r="K141" i="10"/>
  <c r="K143" i="10" s="1"/>
  <c r="J145" i="10"/>
  <c r="J147" i="10" s="1"/>
  <c r="L141" i="10"/>
  <c r="F199" i="10"/>
  <c r="C183" i="10"/>
  <c r="C187" i="10" s="1"/>
  <c r="C189" i="10" s="1"/>
  <c r="D191" i="10" s="1"/>
  <c r="F212" i="10"/>
  <c r="F209" i="10"/>
  <c r="F202" i="10"/>
  <c r="F198" i="10"/>
  <c r="F185" i="10"/>
  <c r="F171" i="10"/>
  <c r="C169" i="10"/>
  <c r="C173" i="10" s="1"/>
  <c r="F143" i="10"/>
  <c r="D210" i="10"/>
  <c r="F207" i="10"/>
  <c r="F115" i="10"/>
  <c r="C113" i="10"/>
  <c r="C117" i="10" s="1"/>
  <c r="C119" i="10" s="1"/>
  <c r="F129" i="10"/>
  <c r="C127" i="10"/>
  <c r="C131" i="10" s="1"/>
  <c r="C133" i="10" s="1"/>
  <c r="C69" i="10"/>
  <c r="C71" i="10" s="1"/>
  <c r="F101" i="10"/>
  <c r="C84" i="10"/>
  <c r="F82" i="10"/>
  <c r="F80" i="10"/>
  <c r="G77" i="10" s="1"/>
  <c r="F70" i="10"/>
  <c r="D84" i="10"/>
  <c r="D86" i="10" s="1"/>
  <c r="D87" i="10" s="1"/>
  <c r="F170" i="10"/>
  <c r="F168" i="10"/>
  <c r="F167" i="10"/>
  <c r="D98" i="10"/>
  <c r="F98" i="10" s="1"/>
  <c r="D97" i="10"/>
  <c r="F97" i="10" s="1"/>
  <c r="D96" i="10"/>
  <c r="D128" i="10"/>
  <c r="F128" i="10" s="1"/>
  <c r="D126" i="10"/>
  <c r="F126" i="10" s="1"/>
  <c r="D125" i="10"/>
  <c r="F125" i="10" s="1"/>
  <c r="D124" i="10"/>
  <c r="F118" i="10"/>
  <c r="D114" i="10"/>
  <c r="F114" i="10" s="1"/>
  <c r="D112" i="10"/>
  <c r="F112" i="10" s="1"/>
  <c r="D111" i="10"/>
  <c r="F111" i="10" s="1"/>
  <c r="D149" i="10" l="1"/>
  <c r="P15" i="11"/>
  <c r="J14" i="11"/>
  <c r="C281" i="13"/>
  <c r="G271" i="13"/>
  <c r="F274" i="13"/>
  <c r="F257" i="13"/>
  <c r="D260" i="13"/>
  <c r="D264" i="13" s="1"/>
  <c r="D266" i="13" s="1"/>
  <c r="F244" i="13"/>
  <c r="D247" i="13"/>
  <c r="D251" i="13" s="1"/>
  <c r="D253" i="13" s="1"/>
  <c r="D230" i="13"/>
  <c r="F216" i="13"/>
  <c r="G207" i="13"/>
  <c r="D218" i="13"/>
  <c r="E216" i="13"/>
  <c r="D191" i="13"/>
  <c r="D192" i="13" s="1"/>
  <c r="F161" i="13"/>
  <c r="G152" i="13" s="1"/>
  <c r="E161" i="13"/>
  <c r="D163" i="13"/>
  <c r="D164" i="13" s="1"/>
  <c r="L138" i="13"/>
  <c r="E271" i="13"/>
  <c r="J148" i="13"/>
  <c r="K150" i="13" s="1"/>
  <c r="K151" i="13" s="1"/>
  <c r="M143" i="13"/>
  <c r="K145" i="13"/>
  <c r="G273" i="13"/>
  <c r="E273" i="13" s="1"/>
  <c r="N140" i="13"/>
  <c r="L140" i="13" s="1"/>
  <c r="G225" i="13"/>
  <c r="E225" i="13" s="1"/>
  <c r="G272" i="13"/>
  <c r="E272" i="13" s="1"/>
  <c r="D149" i="13"/>
  <c r="D150" i="13" s="1"/>
  <c r="F80" i="13"/>
  <c r="G77" i="13"/>
  <c r="F223" i="13"/>
  <c r="C226" i="13"/>
  <c r="E80" i="13"/>
  <c r="C82" i="13"/>
  <c r="F194" i="13"/>
  <c r="D197" i="13"/>
  <c r="D201" i="13" s="1"/>
  <c r="D203" i="13" s="1"/>
  <c r="J127" i="13"/>
  <c r="AZ16" i="13"/>
  <c r="K127" i="13" s="1"/>
  <c r="M127" i="13" s="1"/>
  <c r="J125" i="13"/>
  <c r="AY16" i="13"/>
  <c r="K125" i="13" s="1"/>
  <c r="M125" i="13" s="1"/>
  <c r="J124" i="13"/>
  <c r="AX16" i="13"/>
  <c r="K124" i="13" s="1"/>
  <c r="M124" i="13" s="1"/>
  <c r="F181" i="13"/>
  <c r="F189" i="13" s="1"/>
  <c r="D183" i="13"/>
  <c r="D187" i="13" s="1"/>
  <c r="D189" i="13" s="1"/>
  <c r="J123" i="13"/>
  <c r="J126" i="13" s="1"/>
  <c r="J130" i="13" s="1"/>
  <c r="J132" i="13" s="1"/>
  <c r="AV16" i="13"/>
  <c r="BC16" i="13" s="1"/>
  <c r="AZ11" i="13"/>
  <c r="K114" i="13" s="1"/>
  <c r="M114" i="13" s="1"/>
  <c r="J114" i="13"/>
  <c r="AY11" i="13"/>
  <c r="K112" i="13" s="1"/>
  <c r="M112" i="13" s="1"/>
  <c r="J112" i="13"/>
  <c r="D141" i="13"/>
  <c r="D145" i="13" s="1"/>
  <c r="D147" i="13" s="1"/>
  <c r="F139" i="13"/>
  <c r="F147" i="13" s="1"/>
  <c r="J111" i="13"/>
  <c r="J113" i="13" s="1"/>
  <c r="J117" i="13" s="1"/>
  <c r="J119" i="13" s="1"/>
  <c r="AX11" i="13"/>
  <c r="K111" i="13" s="1"/>
  <c r="M111" i="13" s="1"/>
  <c r="M110" i="13"/>
  <c r="K113" i="13"/>
  <c r="K117" i="13" s="1"/>
  <c r="D65" i="13"/>
  <c r="D69" i="13"/>
  <c r="D71" i="13" s="1"/>
  <c r="F62" i="13"/>
  <c r="H62" i="13"/>
  <c r="J101" i="13"/>
  <c r="K101" i="13"/>
  <c r="M101" i="13" s="1"/>
  <c r="F96" i="13"/>
  <c r="F107" i="13"/>
  <c r="G107" i="13" s="1"/>
  <c r="F108" i="13"/>
  <c r="G108" i="13" s="1"/>
  <c r="D99" i="13"/>
  <c r="D103" i="13" s="1"/>
  <c r="K99" i="13"/>
  <c r="K103" i="13" s="1"/>
  <c r="J96" i="13"/>
  <c r="AU7" i="13"/>
  <c r="D104" i="13"/>
  <c r="D162" i="13"/>
  <c r="N139" i="13"/>
  <c r="M131" i="13"/>
  <c r="M97" i="13"/>
  <c r="G224" i="13"/>
  <c r="E224" i="13" s="1"/>
  <c r="D276" i="13"/>
  <c r="E274" i="13"/>
  <c r="J118" i="13"/>
  <c r="AV11" i="13"/>
  <c r="BC11" i="13" s="1"/>
  <c r="G13" i="7"/>
  <c r="E253" i="10"/>
  <c r="E266" i="10"/>
  <c r="D278" i="10"/>
  <c r="E274" i="10"/>
  <c r="G271" i="10"/>
  <c r="F274" i="10"/>
  <c r="F266" i="10"/>
  <c r="D267" i="10"/>
  <c r="F253" i="10"/>
  <c r="D254" i="10"/>
  <c r="G224" i="10"/>
  <c r="E224" i="10" s="1"/>
  <c r="F226" i="10"/>
  <c r="D235" i="10"/>
  <c r="D236" i="10" s="1"/>
  <c r="G226" i="10"/>
  <c r="E223" i="10"/>
  <c r="E226" i="10"/>
  <c r="D161" i="10"/>
  <c r="F160" i="10"/>
  <c r="F161" i="10" s="1"/>
  <c r="M143" i="10"/>
  <c r="K145" i="10"/>
  <c r="N138" i="10"/>
  <c r="N139" i="10"/>
  <c r="N140" i="10"/>
  <c r="L140" i="10"/>
  <c r="L139" i="10"/>
  <c r="L138" i="10"/>
  <c r="J148" i="10"/>
  <c r="K150" i="10" s="1"/>
  <c r="K151" i="10" s="1"/>
  <c r="F188" i="10"/>
  <c r="K128" i="10"/>
  <c r="J128" i="10"/>
  <c r="D184" i="10"/>
  <c r="F184" i="10" s="1"/>
  <c r="D182" i="10"/>
  <c r="F182" i="10" s="1"/>
  <c r="D181" i="10"/>
  <c r="F166" i="10"/>
  <c r="D169" i="10"/>
  <c r="D173" i="10" s="1"/>
  <c r="D175" i="10" s="1"/>
  <c r="K115" i="10"/>
  <c r="J115" i="10"/>
  <c r="D142" i="10"/>
  <c r="D140" i="10"/>
  <c r="F140" i="10" s="1"/>
  <c r="D139" i="10"/>
  <c r="F139" i="10" s="1"/>
  <c r="D127" i="10"/>
  <c r="D131" i="10" s="1"/>
  <c r="F124" i="10"/>
  <c r="C86" i="10"/>
  <c r="J100" i="10"/>
  <c r="D100" i="10"/>
  <c r="D99" i="10"/>
  <c r="D103" i="10" s="1"/>
  <c r="F96" i="10"/>
  <c r="G78" i="10"/>
  <c r="E78" i="10" s="1"/>
  <c r="G79" i="10"/>
  <c r="E77" i="10"/>
  <c r="J98" i="10"/>
  <c r="K98" i="10"/>
  <c r="J97" i="10"/>
  <c r="K97" i="10"/>
  <c r="J96" i="10"/>
  <c r="K96" i="10"/>
  <c r="K100" i="10"/>
  <c r="F181" i="10" l="1"/>
  <c r="D192" i="10"/>
  <c r="F142" i="10"/>
  <c r="D150" i="10"/>
  <c r="F100" i="10"/>
  <c r="F108" i="10"/>
  <c r="G108" i="10" s="1"/>
  <c r="F107" i="10"/>
  <c r="G107" i="10" s="1"/>
  <c r="F266" i="13"/>
  <c r="G257" i="13" s="1"/>
  <c r="E266" i="13"/>
  <c r="D267" i="13"/>
  <c r="F253" i="13"/>
  <c r="G244" i="13" s="1"/>
  <c r="E253" i="13"/>
  <c r="D254" i="13"/>
  <c r="D232" i="13"/>
  <c r="D233" i="13" s="1"/>
  <c r="G208" i="13"/>
  <c r="G211" i="13"/>
  <c r="G209" i="13"/>
  <c r="G212" i="13"/>
  <c r="E212" i="13" s="1"/>
  <c r="G215" i="13"/>
  <c r="G213" i="13"/>
  <c r="D219" i="13"/>
  <c r="D220" i="13"/>
  <c r="E208" i="13"/>
  <c r="E211" i="13"/>
  <c r="E213" i="13"/>
  <c r="E207" i="13"/>
  <c r="E209" i="13"/>
  <c r="E215" i="13"/>
  <c r="G182" i="13"/>
  <c r="G184" i="13"/>
  <c r="G188" i="13"/>
  <c r="G185" i="13"/>
  <c r="G186" i="13"/>
  <c r="G153" i="13"/>
  <c r="G156" i="13"/>
  <c r="G154" i="13"/>
  <c r="G158" i="13"/>
  <c r="G157" i="13"/>
  <c r="G160" i="13"/>
  <c r="E152" i="13"/>
  <c r="E154" i="13"/>
  <c r="E153" i="13"/>
  <c r="E156" i="13"/>
  <c r="E159" i="13" s="1"/>
  <c r="E157" i="13"/>
  <c r="E158" i="13"/>
  <c r="E160" i="13"/>
  <c r="M145" i="13"/>
  <c r="M147" i="13" s="1"/>
  <c r="K147" i="13"/>
  <c r="G140" i="13"/>
  <c r="G142" i="13"/>
  <c r="G146" i="13"/>
  <c r="G144" i="13"/>
  <c r="G143" i="13"/>
  <c r="G78" i="13"/>
  <c r="G80" i="13" s="1"/>
  <c r="G79" i="13"/>
  <c r="G223" i="13"/>
  <c r="F226" i="13"/>
  <c r="E226" i="13"/>
  <c r="C228" i="13"/>
  <c r="E78" i="13"/>
  <c r="E79" i="13"/>
  <c r="E77" i="13"/>
  <c r="C84" i="13"/>
  <c r="C86" i="13" s="1"/>
  <c r="F82" i="13"/>
  <c r="F203" i="13"/>
  <c r="G194" i="13" s="1"/>
  <c r="E203" i="13"/>
  <c r="D204" i="13"/>
  <c r="AW16" i="13"/>
  <c r="K123" i="13" s="1"/>
  <c r="BE16" i="13"/>
  <c r="E71" i="13"/>
  <c r="D72" i="13"/>
  <c r="F71" i="13"/>
  <c r="G62" i="13" s="1"/>
  <c r="F104" i="13"/>
  <c r="F105" i="13" s="1"/>
  <c r="D107" i="13"/>
  <c r="D278" i="13"/>
  <c r="F276" i="13"/>
  <c r="BB11" i="13"/>
  <c r="K118" i="13" s="1"/>
  <c r="BE11" i="13"/>
  <c r="D105" i="13"/>
  <c r="G274" i="13"/>
  <c r="G180" i="13"/>
  <c r="G181" i="13"/>
  <c r="D190" i="13"/>
  <c r="E189" i="13"/>
  <c r="D148" i="13"/>
  <c r="E147" i="13"/>
  <c r="G138" i="13"/>
  <c r="G147" i="13" s="1"/>
  <c r="G139" i="13"/>
  <c r="J99" i="13"/>
  <c r="J103" i="13" s="1"/>
  <c r="M96" i="13"/>
  <c r="J104" i="13"/>
  <c r="J105" i="13" s="1"/>
  <c r="AV7" i="13"/>
  <c r="BC7" i="13" s="1"/>
  <c r="N141" i="13"/>
  <c r="L139" i="13"/>
  <c r="D239" i="10"/>
  <c r="G265" i="10"/>
  <c r="E265" i="10" s="1"/>
  <c r="G263" i="10"/>
  <c r="G262" i="10"/>
  <c r="E262" i="10" s="1"/>
  <c r="G261" i="10"/>
  <c r="E261" i="10" s="1"/>
  <c r="G259" i="10"/>
  <c r="E259" i="10" s="1"/>
  <c r="G258" i="10"/>
  <c r="E258" i="10" s="1"/>
  <c r="G257" i="10"/>
  <c r="E257" i="10" s="1"/>
  <c r="G252" i="10"/>
  <c r="E252" i="10" s="1"/>
  <c r="G250" i="10"/>
  <c r="E250" i="10" s="1"/>
  <c r="G249" i="10"/>
  <c r="E249" i="10" s="1"/>
  <c r="G248" i="10"/>
  <c r="E248" i="10" s="1"/>
  <c r="G246" i="10"/>
  <c r="E246" i="10" s="1"/>
  <c r="G245" i="10"/>
  <c r="E245" i="10" s="1"/>
  <c r="G244" i="10"/>
  <c r="D280" i="10"/>
  <c r="D281" i="10" s="1"/>
  <c r="G274" i="10"/>
  <c r="E271" i="10"/>
  <c r="C278" i="10"/>
  <c r="F276" i="10"/>
  <c r="D230" i="10"/>
  <c r="F228" i="10"/>
  <c r="G156" i="10"/>
  <c r="G160" i="10"/>
  <c r="G153" i="10"/>
  <c r="G157" i="10"/>
  <c r="G158" i="10"/>
  <c r="G154" i="10"/>
  <c r="G152" i="10"/>
  <c r="D162" i="10"/>
  <c r="E161" i="10"/>
  <c r="M98" i="10"/>
  <c r="N141" i="10"/>
  <c r="M145" i="10"/>
  <c r="M147" i="10" s="1"/>
  <c r="K147" i="10"/>
  <c r="J99" i="10"/>
  <c r="M97" i="10"/>
  <c r="J131" i="10"/>
  <c r="K131" i="10"/>
  <c r="M131" i="10" s="1"/>
  <c r="J127" i="10"/>
  <c r="K127" i="10"/>
  <c r="J125" i="10"/>
  <c r="K125" i="10"/>
  <c r="J124" i="10"/>
  <c r="K124" i="10"/>
  <c r="J114" i="10"/>
  <c r="K114" i="10"/>
  <c r="M114" i="10" s="1"/>
  <c r="J112" i="10"/>
  <c r="K112" i="10"/>
  <c r="M112" i="10" s="1"/>
  <c r="J111" i="10"/>
  <c r="K111" i="10"/>
  <c r="M111" i="10" s="1"/>
  <c r="J110" i="10"/>
  <c r="J113" i="10" s="1"/>
  <c r="J117" i="10" s="1"/>
  <c r="K110" i="10"/>
  <c r="F138" i="10"/>
  <c r="D141" i="10"/>
  <c r="D145" i="10" s="1"/>
  <c r="M128" i="10"/>
  <c r="M115" i="10"/>
  <c r="M100" i="10"/>
  <c r="M96" i="10"/>
  <c r="K99" i="10"/>
  <c r="K101" i="10"/>
  <c r="J101" i="10"/>
  <c r="J103" i="10" s="1"/>
  <c r="F86" i="10"/>
  <c r="E86" i="10"/>
  <c r="C87" i="10"/>
  <c r="D88" i="10" s="1"/>
  <c r="E79" i="10"/>
  <c r="G80" i="10"/>
  <c r="D67" i="10"/>
  <c r="F67" i="10" s="1"/>
  <c r="D66" i="10"/>
  <c r="F66" i="10" s="1"/>
  <c r="AV23" i="10"/>
  <c r="AV22" i="10"/>
  <c r="AE23" i="10"/>
  <c r="AN23" i="10" s="1"/>
  <c r="AE22" i="10"/>
  <c r="AN22" i="10" s="1"/>
  <c r="AE18" i="10"/>
  <c r="AE17" i="10"/>
  <c r="AE16" i="10"/>
  <c r="AE15" i="10"/>
  <c r="AE13" i="10"/>
  <c r="AE11" i="10"/>
  <c r="AE9" i="10"/>
  <c r="AE8" i="10"/>
  <c r="AE6" i="10"/>
  <c r="BC51" i="10"/>
  <c r="AL51" i="10"/>
  <c r="U51" i="10"/>
  <c r="N51" i="10"/>
  <c r="BC50" i="10"/>
  <c r="AL50" i="10"/>
  <c r="U50" i="10"/>
  <c r="N50" i="10"/>
  <c r="BC49" i="10"/>
  <c r="AL49" i="10"/>
  <c r="U49" i="10"/>
  <c r="N49" i="10"/>
  <c r="BC48" i="10"/>
  <c r="AL48" i="10"/>
  <c r="X48" i="10"/>
  <c r="U48" i="10"/>
  <c r="N48" i="10"/>
  <c r="BC47" i="10"/>
  <c r="AO47" i="10"/>
  <c r="AL47" i="10"/>
  <c r="U47" i="10"/>
  <c r="N47" i="10"/>
  <c r="BC46" i="10"/>
  <c r="AL46" i="10"/>
  <c r="U46" i="10"/>
  <c r="N46" i="10"/>
  <c r="BC45" i="10"/>
  <c r="AL45" i="10"/>
  <c r="U45" i="10"/>
  <c r="N45" i="10"/>
  <c r="BC44" i="10"/>
  <c r="AL44" i="10"/>
  <c r="U44" i="10"/>
  <c r="N44" i="10"/>
  <c r="BC43" i="10"/>
  <c r="AO43" i="10"/>
  <c r="AL43" i="10"/>
  <c r="U43" i="10"/>
  <c r="N43" i="10"/>
  <c r="BC42" i="10"/>
  <c r="AL42" i="10"/>
  <c r="U42" i="10"/>
  <c r="N42" i="10"/>
  <c r="BF41" i="10"/>
  <c r="BC41" i="10"/>
  <c r="AO41" i="10"/>
  <c r="AL41" i="10"/>
  <c r="U41" i="10"/>
  <c r="N41" i="10"/>
  <c r="BC40" i="10"/>
  <c r="AL40" i="10"/>
  <c r="X40" i="10"/>
  <c r="U40" i="10"/>
  <c r="N40" i="10"/>
  <c r="BC39" i="10"/>
  <c r="AO39" i="10"/>
  <c r="AL39" i="10"/>
  <c r="U39" i="10"/>
  <c r="N39" i="10"/>
  <c r="BC38" i="10"/>
  <c r="AO38" i="10"/>
  <c r="AL38" i="10"/>
  <c r="U38" i="10"/>
  <c r="N38" i="10"/>
  <c r="BF37" i="10"/>
  <c r="BC37" i="10"/>
  <c r="AL37" i="10"/>
  <c r="U37" i="10"/>
  <c r="N37" i="10"/>
  <c r="BC36" i="10"/>
  <c r="AO36" i="10"/>
  <c r="AL36" i="10"/>
  <c r="U36" i="10"/>
  <c r="N36" i="10"/>
  <c r="G258" i="13" l="1"/>
  <c r="G259" i="13"/>
  <c r="G262" i="13"/>
  <c r="G265" i="13"/>
  <c r="G261" i="13"/>
  <c r="G263" i="13"/>
  <c r="E265" i="13"/>
  <c r="E263" i="13"/>
  <c r="E262" i="13"/>
  <c r="E261" i="13"/>
  <c r="E264" i="13" s="1"/>
  <c r="E259" i="13"/>
  <c r="E258" i="13"/>
  <c r="E257" i="13"/>
  <c r="E260" i="13" s="1"/>
  <c r="G245" i="13"/>
  <c r="G248" i="13"/>
  <c r="G250" i="13"/>
  <c r="G246" i="13"/>
  <c r="G249" i="13"/>
  <c r="G252" i="13"/>
  <c r="E252" i="13"/>
  <c r="E250" i="13"/>
  <c r="E249" i="13"/>
  <c r="E248" i="13"/>
  <c r="E251" i="13" s="1"/>
  <c r="E246" i="13"/>
  <c r="E245" i="13"/>
  <c r="E244" i="13"/>
  <c r="E247" i="13" s="1"/>
  <c r="N146" i="13"/>
  <c r="G231" i="13"/>
  <c r="G279" i="13"/>
  <c r="N144" i="13"/>
  <c r="G229" i="13"/>
  <c r="G277" i="13"/>
  <c r="L147" i="13"/>
  <c r="K148" i="13"/>
  <c r="K149" i="13" s="1"/>
  <c r="E223" i="13"/>
  <c r="G226" i="13"/>
  <c r="F228" i="13"/>
  <c r="C230" i="13"/>
  <c r="E86" i="13"/>
  <c r="C87" i="13"/>
  <c r="D88" i="13" s="1"/>
  <c r="F86" i="13"/>
  <c r="G82" i="13" s="1"/>
  <c r="G196" i="13"/>
  <c r="G195" i="13"/>
  <c r="G198" i="13"/>
  <c r="G199" i="13"/>
  <c r="G202" i="13"/>
  <c r="G200" i="13"/>
  <c r="E200" i="13"/>
  <c r="E198" i="13"/>
  <c r="E202" i="13"/>
  <c r="E195" i="13"/>
  <c r="E194" i="13"/>
  <c r="E196" i="13"/>
  <c r="E199" i="13"/>
  <c r="K126" i="13"/>
  <c r="K130" i="13" s="1"/>
  <c r="K132" i="13" s="1"/>
  <c r="M123" i="13"/>
  <c r="E65" i="13"/>
  <c r="E62" i="13"/>
  <c r="E63" i="13"/>
  <c r="G67" i="13"/>
  <c r="E67" i="13" s="1"/>
  <c r="G68" i="13"/>
  <c r="E68" i="13" s="1"/>
  <c r="G66" i="13"/>
  <c r="E66" i="13" s="1"/>
  <c r="G70" i="13"/>
  <c r="E70" i="13" s="1"/>
  <c r="G64" i="13"/>
  <c r="E64" i="13" s="1"/>
  <c r="G63" i="13"/>
  <c r="G97" i="13"/>
  <c r="G98" i="13"/>
  <c r="G100" i="13"/>
  <c r="G101" i="13"/>
  <c r="G102" i="13"/>
  <c r="F278" i="13"/>
  <c r="G278" i="13" s="1"/>
  <c r="D280" i="13"/>
  <c r="G276" i="13"/>
  <c r="F280" i="13"/>
  <c r="K119" i="13"/>
  <c r="M118" i="13"/>
  <c r="D106" i="13"/>
  <c r="E105" i="13"/>
  <c r="E185" i="13"/>
  <c r="E184" i="13"/>
  <c r="E187" i="13" s="1"/>
  <c r="E182" i="13"/>
  <c r="E180" i="13"/>
  <c r="E183" i="13" s="1"/>
  <c r="E188" i="13"/>
  <c r="E186" i="13"/>
  <c r="E181" i="13"/>
  <c r="E142" i="13"/>
  <c r="E144" i="13"/>
  <c r="E143" i="13"/>
  <c r="E140" i="13"/>
  <c r="E139" i="13"/>
  <c r="E138" i="13"/>
  <c r="E141" i="13" s="1"/>
  <c r="E146" i="13"/>
  <c r="BB7" i="13"/>
  <c r="K104" i="13" s="1"/>
  <c r="BE7" i="13"/>
  <c r="G216" i="13"/>
  <c r="E214" i="13"/>
  <c r="E210" i="13"/>
  <c r="G161" i="13"/>
  <c r="E155" i="13"/>
  <c r="G189" i="13"/>
  <c r="N143" i="13"/>
  <c r="N147" i="13" s="1"/>
  <c r="N145" i="13"/>
  <c r="G96" i="13"/>
  <c r="G105" i="13" s="1"/>
  <c r="G104" i="13"/>
  <c r="G161" i="10"/>
  <c r="E260" i="10"/>
  <c r="E251" i="10"/>
  <c r="E263" i="10"/>
  <c r="E264" i="10" s="1"/>
  <c r="G266" i="10"/>
  <c r="E244" i="10"/>
  <c r="E247" i="10" s="1"/>
  <c r="G253" i="10"/>
  <c r="C280" i="10"/>
  <c r="F278" i="10"/>
  <c r="G276" i="10"/>
  <c r="F230" i="10"/>
  <c r="D232" i="10"/>
  <c r="D233" i="10" s="1"/>
  <c r="G228" i="10"/>
  <c r="E152" i="10"/>
  <c r="E153" i="10"/>
  <c r="E157" i="10"/>
  <c r="E158" i="10"/>
  <c r="E160" i="10"/>
  <c r="E156" i="10"/>
  <c r="E154" i="10"/>
  <c r="M124" i="10"/>
  <c r="M125" i="10"/>
  <c r="N144" i="10"/>
  <c r="N146" i="10"/>
  <c r="L147" i="10"/>
  <c r="K148" i="10"/>
  <c r="K149" i="10" s="1"/>
  <c r="N145" i="10"/>
  <c r="N143" i="10"/>
  <c r="M110" i="10"/>
  <c r="K113" i="10"/>
  <c r="K117" i="10" s="1"/>
  <c r="M127" i="10"/>
  <c r="K103" i="10"/>
  <c r="M101" i="10"/>
  <c r="G82" i="10"/>
  <c r="G83" i="10"/>
  <c r="E83" i="10" s="1"/>
  <c r="G85" i="10"/>
  <c r="E85" i="10" s="1"/>
  <c r="L146" i="13" l="1"/>
  <c r="L144" i="13"/>
  <c r="E279" i="13"/>
  <c r="E278" i="13"/>
  <c r="E277" i="13"/>
  <c r="E276" i="13"/>
  <c r="E231" i="13"/>
  <c r="E229" i="13"/>
  <c r="L145" i="13"/>
  <c r="L143" i="13"/>
  <c r="G228" i="13"/>
  <c r="E228" i="13" s="1"/>
  <c r="F230" i="13"/>
  <c r="C232" i="13"/>
  <c r="E82" i="13"/>
  <c r="G83" i="13"/>
  <c r="E83" i="13" s="1"/>
  <c r="G85" i="13"/>
  <c r="E85" i="13" s="1"/>
  <c r="L132" i="13"/>
  <c r="K133" i="13"/>
  <c r="M132" i="13"/>
  <c r="N123" i="13" s="1"/>
  <c r="E280" i="13"/>
  <c r="D281" i="13"/>
  <c r="D282" i="13" s="1"/>
  <c r="D239" i="13" s="1"/>
  <c r="L119" i="13"/>
  <c r="K120" i="13"/>
  <c r="M119" i="13"/>
  <c r="N118" i="13"/>
  <c r="E104" i="13"/>
  <c r="E100" i="13"/>
  <c r="E96" i="13"/>
  <c r="E102" i="13"/>
  <c r="E101" i="13"/>
  <c r="E98" i="13"/>
  <c r="E97" i="13"/>
  <c r="K105" i="13"/>
  <c r="M104" i="13"/>
  <c r="G280" i="13"/>
  <c r="E145" i="13"/>
  <c r="G71" i="13"/>
  <c r="G266" i="13"/>
  <c r="G253" i="13"/>
  <c r="G203" i="13"/>
  <c r="E197" i="13"/>
  <c r="E201" i="13"/>
  <c r="E69" i="13"/>
  <c r="E280" i="10"/>
  <c r="G278" i="10"/>
  <c r="F280" i="10"/>
  <c r="D282" i="10"/>
  <c r="E276" i="10"/>
  <c r="G230" i="10"/>
  <c r="E230" i="10" s="1"/>
  <c r="F232" i="10"/>
  <c r="E232" i="10"/>
  <c r="D234" i="10"/>
  <c r="G232" i="10"/>
  <c r="E228" i="10"/>
  <c r="E159" i="10"/>
  <c r="N147" i="10"/>
  <c r="E155" i="10"/>
  <c r="L143" i="10"/>
  <c r="L144" i="10"/>
  <c r="L145" i="10"/>
  <c r="L146" i="10"/>
  <c r="E82" i="10"/>
  <c r="G86" i="10"/>
  <c r="N10" i="10"/>
  <c r="BC25" i="10"/>
  <c r="BC6" i="10"/>
  <c r="U25" i="10"/>
  <c r="U9" i="10"/>
  <c r="U8" i="10"/>
  <c r="U7" i="10"/>
  <c r="U6" i="10"/>
  <c r="BF25" i="10"/>
  <c r="AO25" i="10"/>
  <c r="AO21" i="10"/>
  <c r="AN24" i="10" s="1"/>
  <c r="AL26" i="10" s="1"/>
  <c r="AL27" i="10" s="1"/>
  <c r="BF20" i="10"/>
  <c r="AO20" i="10"/>
  <c r="X19" i="10"/>
  <c r="W19" i="10" s="1"/>
  <c r="AO17" i="10"/>
  <c r="BF16" i="10"/>
  <c r="AO16" i="10"/>
  <c r="AO13" i="10"/>
  <c r="X10" i="10"/>
  <c r="BF11" i="10"/>
  <c r="BF7" i="10"/>
  <c r="E232" i="13" l="1"/>
  <c r="C233" i="13"/>
  <c r="L123" i="13"/>
  <c r="N124" i="13"/>
  <c r="L124" i="13" s="1"/>
  <c r="N127" i="13"/>
  <c r="L127" i="13" s="1"/>
  <c r="N131" i="13"/>
  <c r="L131" i="13" s="1"/>
  <c r="N125" i="13"/>
  <c r="L125" i="13" s="1"/>
  <c r="N128" i="13"/>
  <c r="L128" i="13" s="1"/>
  <c r="N129" i="13"/>
  <c r="L129" i="13" s="1"/>
  <c r="L118" i="13"/>
  <c r="N116" i="13"/>
  <c r="L116" i="13" s="1"/>
  <c r="N115" i="13"/>
  <c r="L115" i="13" s="1"/>
  <c r="N114" i="13"/>
  <c r="L114" i="13" s="1"/>
  <c r="L117" i="13" s="1"/>
  <c r="N112" i="13"/>
  <c r="L112" i="13" s="1"/>
  <c r="N111" i="13"/>
  <c r="L111" i="13" s="1"/>
  <c r="N110" i="13"/>
  <c r="L105" i="13"/>
  <c r="K106" i="13"/>
  <c r="M105" i="13"/>
  <c r="N104" i="13"/>
  <c r="G86" i="13"/>
  <c r="E103" i="13"/>
  <c r="E99" i="13"/>
  <c r="G230" i="13"/>
  <c r="F232" i="13"/>
  <c r="E278" i="10"/>
  <c r="G280" i="10"/>
  <c r="AN11" i="10"/>
  <c r="AN16" i="10"/>
  <c r="AN17" i="10"/>
  <c r="AN13" i="10"/>
  <c r="D104" i="10"/>
  <c r="D107" i="10" s="1"/>
  <c r="AN6" i="10"/>
  <c r="X26" i="10"/>
  <c r="D234" i="13" l="1"/>
  <c r="D235" i="13"/>
  <c r="D236" i="13" s="1"/>
  <c r="L104" i="13"/>
  <c r="N102" i="13"/>
  <c r="L102" i="13" s="1"/>
  <c r="N100" i="13"/>
  <c r="L100" i="13" s="1"/>
  <c r="N98" i="13"/>
  <c r="L98" i="13" s="1"/>
  <c r="N101" i="13"/>
  <c r="L101" i="13" s="1"/>
  <c r="N97" i="13"/>
  <c r="L97" i="13" s="1"/>
  <c r="N96" i="13"/>
  <c r="G232" i="13"/>
  <c r="E230" i="13"/>
  <c r="L126" i="13"/>
  <c r="N132" i="13"/>
  <c r="N119" i="13"/>
  <c r="L110" i="13"/>
  <c r="L113" i="13" s="1"/>
  <c r="L130" i="13"/>
  <c r="F194" i="10"/>
  <c r="D197" i="10"/>
  <c r="D201" i="10" s="1"/>
  <c r="D203" i="10" s="1"/>
  <c r="D62" i="10"/>
  <c r="D65" i="10" s="1"/>
  <c r="W10" i="10"/>
  <c r="H21" i="6"/>
  <c r="N105" i="13" l="1"/>
  <c r="L96" i="13"/>
  <c r="L99" i="13" s="1"/>
  <c r="L103" i="13"/>
  <c r="E203" i="10"/>
  <c r="D204" i="10"/>
  <c r="F62" i="10"/>
  <c r="F71" i="10" s="1"/>
  <c r="D69" i="10"/>
  <c r="D71" i="10" s="1"/>
  <c r="H62" i="10"/>
  <c r="J118" i="10"/>
  <c r="J119" i="10" s="1"/>
  <c r="AV11" i="10"/>
  <c r="D147" i="10"/>
  <c r="F146" i="10"/>
  <c r="J123" i="10"/>
  <c r="J126" i="10" s="1"/>
  <c r="J130" i="10" s="1"/>
  <c r="J132" i="10" s="1"/>
  <c r="AV16" i="10"/>
  <c r="D183" i="10"/>
  <c r="D187" i="10" s="1"/>
  <c r="D189" i="10" s="1"/>
  <c r="F180" i="10"/>
  <c r="F203" i="10"/>
  <c r="AV7" i="10"/>
  <c r="J104" i="10"/>
  <c r="J105" i="10" s="1"/>
  <c r="D105" i="10"/>
  <c r="F104" i="10"/>
  <c r="I48" i="2"/>
  <c r="I47" i="2"/>
  <c r="AO45" i="10" s="1"/>
  <c r="I46" i="2"/>
  <c r="G5" i="8"/>
  <c r="G62" i="10" l="1"/>
  <c r="G64" i="10"/>
  <c r="G63" i="10"/>
  <c r="K104" i="10"/>
  <c r="BE7" i="10"/>
  <c r="E71" i="10"/>
  <c r="E65" i="10" s="1"/>
  <c r="D72" i="10"/>
  <c r="K118" i="10"/>
  <c r="BE11" i="10"/>
  <c r="E147" i="10"/>
  <c r="D148" i="10"/>
  <c r="BE16" i="10"/>
  <c r="K123" i="10"/>
  <c r="E189" i="10"/>
  <c r="D190" i="10"/>
  <c r="G200" i="10"/>
  <c r="E200" i="10" s="1"/>
  <c r="G196" i="10"/>
  <c r="E196" i="10" s="1"/>
  <c r="G195" i="10"/>
  <c r="E195" i="10" s="1"/>
  <c r="G199" i="10"/>
  <c r="E199" i="10" s="1"/>
  <c r="G202" i="10"/>
  <c r="E202" i="10" s="1"/>
  <c r="G198" i="10"/>
  <c r="E198" i="10" s="1"/>
  <c r="G194" i="10"/>
  <c r="E194" i="10" s="1"/>
  <c r="E105" i="10"/>
  <c r="D106" i="10"/>
  <c r="F147" i="10"/>
  <c r="F189" i="10"/>
  <c r="K105" i="10"/>
  <c r="M104" i="10"/>
  <c r="F105" i="10"/>
  <c r="G104" i="10" s="1"/>
  <c r="E104" i="10" s="1"/>
  <c r="G66" i="10"/>
  <c r="E66" i="10" s="1"/>
  <c r="G67" i="10"/>
  <c r="E67" i="10" s="1"/>
  <c r="G68" i="10"/>
  <c r="E68" i="10" s="1"/>
  <c r="G70" i="10"/>
  <c r="E62" i="10"/>
  <c r="G13" i="8"/>
  <c r="G12" i="8"/>
  <c r="G11" i="8"/>
  <c r="I49" i="2"/>
  <c r="AO46" i="10" s="1"/>
  <c r="AO44" i="10"/>
  <c r="H14780" i="9"/>
  <c r="G14780" i="9"/>
  <c r="E14780" i="9"/>
  <c r="D14780" i="9"/>
  <c r="C14780" i="9"/>
  <c r="B14780" i="9"/>
  <c r="H14779" i="9"/>
  <c r="G14779" i="9"/>
  <c r="E14779" i="9"/>
  <c r="D14779" i="9"/>
  <c r="C14779" i="9"/>
  <c r="B14779" i="9"/>
  <c r="H14778" i="9"/>
  <c r="G14778" i="9"/>
  <c r="E14778" i="9"/>
  <c r="D14778" i="9"/>
  <c r="C14778" i="9"/>
  <c r="B14778" i="9"/>
  <c r="H14777" i="9"/>
  <c r="G14777" i="9"/>
  <c r="E14777" i="9"/>
  <c r="D14777" i="9"/>
  <c r="C14777" i="9"/>
  <c r="B14777" i="9"/>
  <c r="H14776" i="9"/>
  <c r="G14776" i="9"/>
  <c r="E14776" i="9"/>
  <c r="D14776" i="9"/>
  <c r="C14776" i="9"/>
  <c r="B14776" i="9"/>
  <c r="H14775" i="9"/>
  <c r="G14775" i="9"/>
  <c r="E14775" i="9"/>
  <c r="D14775" i="9"/>
  <c r="C14775" i="9"/>
  <c r="B14775" i="9"/>
  <c r="H14774" i="9"/>
  <c r="G14774" i="9"/>
  <c r="E14774" i="9"/>
  <c r="D14774" i="9"/>
  <c r="C14774" i="9"/>
  <c r="B14774" i="9"/>
  <c r="H14773" i="9"/>
  <c r="G14773" i="9"/>
  <c r="E14773" i="9"/>
  <c r="D14773" i="9"/>
  <c r="C14773" i="9"/>
  <c r="B14773" i="9"/>
  <c r="H14772" i="9"/>
  <c r="G14772" i="9"/>
  <c r="E14772" i="9"/>
  <c r="D14772" i="9"/>
  <c r="C14772" i="9"/>
  <c r="B14772" i="9"/>
  <c r="H14771" i="9"/>
  <c r="G14771" i="9"/>
  <c r="E14771" i="9"/>
  <c r="D14771" i="9"/>
  <c r="C14771" i="9"/>
  <c r="B14771" i="9"/>
  <c r="H14770" i="9"/>
  <c r="G14770" i="9"/>
  <c r="E14770" i="9"/>
  <c r="D14770" i="9"/>
  <c r="C14770" i="9"/>
  <c r="B14770" i="9"/>
  <c r="H14769" i="9"/>
  <c r="G14769" i="9"/>
  <c r="E14769" i="9"/>
  <c r="D14769" i="9"/>
  <c r="C14769" i="9"/>
  <c r="B14769" i="9"/>
  <c r="H14768" i="9"/>
  <c r="G14768" i="9"/>
  <c r="E14768" i="9"/>
  <c r="D14768" i="9"/>
  <c r="C14768" i="9"/>
  <c r="B14768" i="9"/>
  <c r="H14767" i="9"/>
  <c r="G14767" i="9"/>
  <c r="E14767" i="9"/>
  <c r="D14767" i="9"/>
  <c r="C14767" i="9"/>
  <c r="B14767" i="9"/>
  <c r="H14766" i="9"/>
  <c r="G14766" i="9"/>
  <c r="E14766" i="9"/>
  <c r="D14766" i="9"/>
  <c r="C14766" i="9"/>
  <c r="B14766" i="9"/>
  <c r="H14765" i="9"/>
  <c r="G14765" i="9"/>
  <c r="E14765" i="9"/>
  <c r="D14765" i="9"/>
  <c r="C14765" i="9"/>
  <c r="B14765" i="9"/>
  <c r="H14764" i="9"/>
  <c r="G14764" i="9"/>
  <c r="E14764" i="9"/>
  <c r="D14764" i="9"/>
  <c r="C14764" i="9"/>
  <c r="B14764" i="9"/>
  <c r="H14763" i="9"/>
  <c r="G14763" i="9"/>
  <c r="E14763" i="9"/>
  <c r="D14763" i="9"/>
  <c r="C14763" i="9"/>
  <c r="B14763" i="9"/>
  <c r="H14762" i="9"/>
  <c r="G14762" i="9"/>
  <c r="E14762" i="9"/>
  <c r="D14762" i="9"/>
  <c r="C14762" i="9"/>
  <c r="B14762" i="9"/>
  <c r="H14761" i="9"/>
  <c r="G14761" i="9"/>
  <c r="E14761" i="9"/>
  <c r="D14761" i="9"/>
  <c r="C14761" i="9"/>
  <c r="B14761" i="9"/>
  <c r="H14760" i="9"/>
  <c r="G14760" i="9"/>
  <c r="E14760" i="9"/>
  <c r="D14760" i="9"/>
  <c r="C14760" i="9"/>
  <c r="B14760" i="9"/>
  <c r="H14759" i="9"/>
  <c r="G14759" i="9"/>
  <c r="E14759" i="9"/>
  <c r="D14759" i="9"/>
  <c r="C14759" i="9"/>
  <c r="B14759" i="9"/>
  <c r="H14758" i="9"/>
  <c r="G14758" i="9"/>
  <c r="E14758" i="9"/>
  <c r="D14758" i="9"/>
  <c r="C14758" i="9"/>
  <c r="B14758" i="9"/>
  <c r="H14757" i="9"/>
  <c r="G14757" i="9"/>
  <c r="E14757" i="9"/>
  <c r="D14757" i="9"/>
  <c r="C14757" i="9"/>
  <c r="B14757" i="9"/>
  <c r="H14756" i="9"/>
  <c r="G14756" i="9"/>
  <c r="E14756" i="9"/>
  <c r="D14756" i="9"/>
  <c r="C14756" i="9"/>
  <c r="B14756" i="9"/>
  <c r="H14755" i="9"/>
  <c r="G14755" i="9"/>
  <c r="E14755" i="9"/>
  <c r="D14755" i="9"/>
  <c r="C14755" i="9"/>
  <c r="B14755" i="9"/>
  <c r="H14754" i="9"/>
  <c r="G14754" i="9"/>
  <c r="E14754" i="9"/>
  <c r="D14754" i="9"/>
  <c r="C14754" i="9"/>
  <c r="B14754" i="9"/>
  <c r="H14753" i="9"/>
  <c r="G14753" i="9"/>
  <c r="E14753" i="9"/>
  <c r="D14753" i="9"/>
  <c r="C14753" i="9"/>
  <c r="B14753" i="9"/>
  <c r="H14752" i="9"/>
  <c r="G14752" i="9"/>
  <c r="E14752" i="9"/>
  <c r="D14752" i="9"/>
  <c r="C14752" i="9"/>
  <c r="B14752" i="9"/>
  <c r="H14751" i="9"/>
  <c r="G14751" i="9"/>
  <c r="E14751" i="9"/>
  <c r="D14751" i="9"/>
  <c r="C14751" i="9"/>
  <c r="B14751" i="9"/>
  <c r="H14750" i="9"/>
  <c r="G14750" i="9"/>
  <c r="E14750" i="9"/>
  <c r="D14750" i="9"/>
  <c r="C14750" i="9"/>
  <c r="B14750" i="9"/>
  <c r="H14749" i="9"/>
  <c r="G14749" i="9"/>
  <c r="E14749" i="9"/>
  <c r="D14749" i="9"/>
  <c r="C14749" i="9"/>
  <c r="B14749" i="9"/>
  <c r="H14748" i="9"/>
  <c r="G14748" i="9"/>
  <c r="E14748" i="9"/>
  <c r="D14748" i="9"/>
  <c r="C14748" i="9"/>
  <c r="B14748" i="9"/>
  <c r="H14747" i="9"/>
  <c r="G14747" i="9"/>
  <c r="E14747" i="9"/>
  <c r="D14747" i="9"/>
  <c r="C14747" i="9"/>
  <c r="B14747" i="9"/>
  <c r="H14746" i="9"/>
  <c r="G14746" i="9"/>
  <c r="E14746" i="9"/>
  <c r="D14746" i="9"/>
  <c r="C14746" i="9"/>
  <c r="B14746" i="9"/>
  <c r="H14745" i="9"/>
  <c r="G14745" i="9"/>
  <c r="E14745" i="9"/>
  <c r="D14745" i="9"/>
  <c r="C14745" i="9"/>
  <c r="B14745" i="9"/>
  <c r="H14744" i="9"/>
  <c r="G14744" i="9"/>
  <c r="E14744" i="9"/>
  <c r="D14744" i="9"/>
  <c r="C14744" i="9"/>
  <c r="B14744" i="9"/>
  <c r="H14743" i="9"/>
  <c r="G14743" i="9"/>
  <c r="E14743" i="9"/>
  <c r="D14743" i="9"/>
  <c r="C14743" i="9"/>
  <c r="B14743" i="9"/>
  <c r="H14742" i="9"/>
  <c r="G14742" i="9"/>
  <c r="E14742" i="9"/>
  <c r="D14742" i="9"/>
  <c r="C14742" i="9"/>
  <c r="B14742" i="9"/>
  <c r="H14741" i="9"/>
  <c r="G14741" i="9"/>
  <c r="E14741" i="9"/>
  <c r="D14741" i="9"/>
  <c r="C14741" i="9"/>
  <c r="B14741" i="9"/>
  <c r="H14740" i="9"/>
  <c r="G14740" i="9"/>
  <c r="E14740" i="9"/>
  <c r="D14740" i="9"/>
  <c r="C14740" i="9"/>
  <c r="B14740" i="9"/>
  <c r="H14739" i="9"/>
  <c r="G14739" i="9"/>
  <c r="E14739" i="9"/>
  <c r="D14739" i="9"/>
  <c r="C14739" i="9"/>
  <c r="B14739" i="9"/>
  <c r="H14738" i="9"/>
  <c r="G14738" i="9"/>
  <c r="E14738" i="9"/>
  <c r="D14738" i="9"/>
  <c r="C14738" i="9"/>
  <c r="B14738" i="9"/>
  <c r="H14737" i="9"/>
  <c r="G14737" i="9"/>
  <c r="E14737" i="9"/>
  <c r="D14737" i="9"/>
  <c r="C14737" i="9"/>
  <c r="B14737" i="9"/>
  <c r="H14736" i="9"/>
  <c r="G14736" i="9"/>
  <c r="E14736" i="9"/>
  <c r="D14736" i="9"/>
  <c r="C14736" i="9"/>
  <c r="B14736" i="9"/>
  <c r="H14735" i="9"/>
  <c r="G14735" i="9"/>
  <c r="E14735" i="9"/>
  <c r="D14735" i="9"/>
  <c r="C14735" i="9"/>
  <c r="B14735" i="9"/>
  <c r="H14734" i="9"/>
  <c r="G14734" i="9"/>
  <c r="E14734" i="9"/>
  <c r="D14734" i="9"/>
  <c r="C14734" i="9"/>
  <c r="B14734" i="9"/>
  <c r="H14733" i="9"/>
  <c r="G14733" i="9"/>
  <c r="E14733" i="9"/>
  <c r="D14733" i="9"/>
  <c r="C14733" i="9"/>
  <c r="B14733" i="9"/>
  <c r="H14732" i="9"/>
  <c r="G14732" i="9"/>
  <c r="E14732" i="9"/>
  <c r="D14732" i="9"/>
  <c r="C14732" i="9"/>
  <c r="B14732" i="9"/>
  <c r="H14731" i="9"/>
  <c r="G14731" i="9"/>
  <c r="E14731" i="9"/>
  <c r="D14731" i="9"/>
  <c r="C14731" i="9"/>
  <c r="B14731" i="9"/>
  <c r="H14730" i="9"/>
  <c r="G14730" i="9"/>
  <c r="E14730" i="9"/>
  <c r="D14730" i="9"/>
  <c r="C14730" i="9"/>
  <c r="B14730" i="9"/>
  <c r="H14729" i="9"/>
  <c r="G14729" i="9"/>
  <c r="E14729" i="9"/>
  <c r="D14729" i="9"/>
  <c r="C14729" i="9"/>
  <c r="B14729" i="9"/>
  <c r="H14728" i="9"/>
  <c r="G14728" i="9"/>
  <c r="E14728" i="9"/>
  <c r="D14728" i="9"/>
  <c r="C14728" i="9"/>
  <c r="B14728" i="9"/>
  <c r="H14727" i="9"/>
  <c r="G14727" i="9"/>
  <c r="E14727" i="9"/>
  <c r="D14727" i="9"/>
  <c r="C14727" i="9"/>
  <c r="B14727" i="9"/>
  <c r="H14726" i="9"/>
  <c r="G14726" i="9"/>
  <c r="E14726" i="9"/>
  <c r="D14726" i="9"/>
  <c r="C14726" i="9"/>
  <c r="B14726" i="9"/>
  <c r="H14725" i="9"/>
  <c r="G14725" i="9"/>
  <c r="E14725" i="9"/>
  <c r="D14725" i="9"/>
  <c r="C14725" i="9"/>
  <c r="B14725" i="9"/>
  <c r="H14724" i="9"/>
  <c r="G14724" i="9"/>
  <c r="E14724" i="9"/>
  <c r="D14724" i="9"/>
  <c r="C14724" i="9"/>
  <c r="B14724" i="9"/>
  <c r="H14723" i="9"/>
  <c r="G14723" i="9"/>
  <c r="E14723" i="9"/>
  <c r="D14723" i="9"/>
  <c r="C14723" i="9"/>
  <c r="B14723" i="9"/>
  <c r="H14722" i="9"/>
  <c r="G14722" i="9"/>
  <c r="E14722" i="9"/>
  <c r="D14722" i="9"/>
  <c r="C14722" i="9"/>
  <c r="B14722" i="9"/>
  <c r="H14721" i="9"/>
  <c r="G14721" i="9"/>
  <c r="E14721" i="9"/>
  <c r="D14721" i="9"/>
  <c r="C14721" i="9"/>
  <c r="B14721" i="9"/>
  <c r="H14720" i="9"/>
  <c r="G14720" i="9"/>
  <c r="E14720" i="9"/>
  <c r="D14720" i="9"/>
  <c r="C14720" i="9"/>
  <c r="B14720" i="9"/>
  <c r="H14719" i="9"/>
  <c r="G14719" i="9"/>
  <c r="E14719" i="9"/>
  <c r="D14719" i="9"/>
  <c r="C14719" i="9"/>
  <c r="B14719" i="9"/>
  <c r="H14718" i="9"/>
  <c r="G14718" i="9"/>
  <c r="E14718" i="9"/>
  <c r="D14718" i="9"/>
  <c r="C14718" i="9"/>
  <c r="B14718" i="9"/>
  <c r="H14717" i="9"/>
  <c r="G14717" i="9"/>
  <c r="E14717" i="9"/>
  <c r="D14717" i="9"/>
  <c r="C14717" i="9"/>
  <c r="B14717" i="9"/>
  <c r="H14716" i="9"/>
  <c r="G14716" i="9"/>
  <c r="E14716" i="9"/>
  <c r="D14716" i="9"/>
  <c r="C14716" i="9"/>
  <c r="B14716" i="9"/>
  <c r="H14715" i="9"/>
  <c r="G14715" i="9"/>
  <c r="E14715" i="9"/>
  <c r="D14715" i="9"/>
  <c r="C14715" i="9"/>
  <c r="B14715" i="9"/>
  <c r="H14714" i="9"/>
  <c r="G14714" i="9"/>
  <c r="E14714" i="9"/>
  <c r="D14714" i="9"/>
  <c r="C14714" i="9"/>
  <c r="B14714" i="9"/>
  <c r="H14713" i="9"/>
  <c r="G14713" i="9"/>
  <c r="E14713" i="9"/>
  <c r="D14713" i="9"/>
  <c r="C14713" i="9"/>
  <c r="B14713" i="9"/>
  <c r="H14712" i="9"/>
  <c r="G14712" i="9"/>
  <c r="E14712" i="9"/>
  <c r="D14712" i="9"/>
  <c r="C14712" i="9"/>
  <c r="B14712" i="9"/>
  <c r="H14711" i="9"/>
  <c r="G14711" i="9"/>
  <c r="E14711" i="9"/>
  <c r="D14711" i="9"/>
  <c r="C14711" i="9"/>
  <c r="B14711" i="9"/>
  <c r="H14710" i="9"/>
  <c r="G14710" i="9"/>
  <c r="E14710" i="9"/>
  <c r="D14710" i="9"/>
  <c r="C14710" i="9"/>
  <c r="B14710" i="9"/>
  <c r="H14709" i="9"/>
  <c r="G14709" i="9"/>
  <c r="E14709" i="9"/>
  <c r="D14709" i="9"/>
  <c r="C14709" i="9"/>
  <c r="B14709" i="9"/>
  <c r="H14708" i="9"/>
  <c r="G14708" i="9"/>
  <c r="E14708" i="9"/>
  <c r="D14708" i="9"/>
  <c r="C14708" i="9"/>
  <c r="B14708" i="9"/>
  <c r="H14707" i="9"/>
  <c r="G14707" i="9"/>
  <c r="E14707" i="9"/>
  <c r="D14707" i="9"/>
  <c r="C14707" i="9"/>
  <c r="B14707" i="9"/>
  <c r="H14706" i="9"/>
  <c r="G14706" i="9"/>
  <c r="E14706" i="9"/>
  <c r="D14706" i="9"/>
  <c r="C14706" i="9"/>
  <c r="B14706" i="9"/>
  <c r="H14705" i="9"/>
  <c r="G14705" i="9"/>
  <c r="E14705" i="9"/>
  <c r="D14705" i="9"/>
  <c r="C14705" i="9"/>
  <c r="B14705" i="9"/>
  <c r="H14704" i="9"/>
  <c r="G14704" i="9"/>
  <c r="E14704" i="9"/>
  <c r="D14704" i="9"/>
  <c r="C14704" i="9"/>
  <c r="B14704" i="9"/>
  <c r="H14703" i="9"/>
  <c r="G14703" i="9"/>
  <c r="E14703" i="9"/>
  <c r="D14703" i="9"/>
  <c r="C14703" i="9"/>
  <c r="B14703" i="9"/>
  <c r="H14702" i="9"/>
  <c r="G14702" i="9"/>
  <c r="E14702" i="9"/>
  <c r="D14702" i="9"/>
  <c r="C14702" i="9"/>
  <c r="B14702" i="9"/>
  <c r="H14701" i="9"/>
  <c r="G14701" i="9"/>
  <c r="E14701" i="9"/>
  <c r="D14701" i="9"/>
  <c r="C14701" i="9"/>
  <c r="B14701" i="9"/>
  <c r="H14700" i="9"/>
  <c r="G14700" i="9"/>
  <c r="E14700" i="9"/>
  <c r="D14700" i="9"/>
  <c r="C14700" i="9"/>
  <c r="B14700" i="9"/>
  <c r="H14699" i="9"/>
  <c r="G14699" i="9"/>
  <c r="E14699" i="9"/>
  <c r="D14699" i="9"/>
  <c r="C14699" i="9"/>
  <c r="B14699" i="9"/>
  <c r="H14698" i="9"/>
  <c r="G14698" i="9"/>
  <c r="E14698" i="9"/>
  <c r="D14698" i="9"/>
  <c r="C14698" i="9"/>
  <c r="B14698" i="9"/>
  <c r="H14697" i="9"/>
  <c r="G14697" i="9"/>
  <c r="E14697" i="9"/>
  <c r="D14697" i="9"/>
  <c r="C14697" i="9"/>
  <c r="B14697" i="9"/>
  <c r="H14696" i="9"/>
  <c r="G14696" i="9"/>
  <c r="E14696" i="9"/>
  <c r="D14696" i="9"/>
  <c r="C14696" i="9"/>
  <c r="B14696" i="9"/>
  <c r="H14695" i="9"/>
  <c r="G14695" i="9"/>
  <c r="E14695" i="9"/>
  <c r="D14695" i="9"/>
  <c r="C14695" i="9"/>
  <c r="B14695" i="9"/>
  <c r="H14694" i="9"/>
  <c r="G14694" i="9"/>
  <c r="E14694" i="9"/>
  <c r="D14694" i="9"/>
  <c r="C14694" i="9"/>
  <c r="B14694" i="9"/>
  <c r="H14693" i="9"/>
  <c r="G14693" i="9"/>
  <c r="E14693" i="9"/>
  <c r="D14693" i="9"/>
  <c r="C14693" i="9"/>
  <c r="B14693" i="9"/>
  <c r="H14692" i="9"/>
  <c r="G14692" i="9"/>
  <c r="E14692" i="9"/>
  <c r="D14692" i="9"/>
  <c r="C14692" i="9"/>
  <c r="B14692" i="9"/>
  <c r="H14691" i="9"/>
  <c r="G14691" i="9"/>
  <c r="E14691" i="9"/>
  <c r="D14691" i="9"/>
  <c r="C14691" i="9"/>
  <c r="B14691" i="9"/>
  <c r="H14690" i="9"/>
  <c r="G14690" i="9"/>
  <c r="E14690" i="9"/>
  <c r="D14690" i="9"/>
  <c r="C14690" i="9"/>
  <c r="B14690" i="9"/>
  <c r="H14689" i="9"/>
  <c r="G14689" i="9"/>
  <c r="E14689" i="9"/>
  <c r="D14689" i="9"/>
  <c r="C14689" i="9"/>
  <c r="B14689" i="9"/>
  <c r="H14688" i="9"/>
  <c r="G14688" i="9"/>
  <c r="E14688" i="9"/>
  <c r="D14688" i="9"/>
  <c r="C14688" i="9"/>
  <c r="B14688" i="9"/>
  <c r="H14687" i="9"/>
  <c r="G14687" i="9"/>
  <c r="E14687" i="9"/>
  <c r="D14687" i="9"/>
  <c r="C14687" i="9"/>
  <c r="B14687" i="9"/>
  <c r="H14686" i="9"/>
  <c r="G14686" i="9"/>
  <c r="E14686" i="9"/>
  <c r="D14686" i="9"/>
  <c r="C14686" i="9"/>
  <c r="B14686" i="9"/>
  <c r="H14685" i="9"/>
  <c r="G14685" i="9"/>
  <c r="E14685" i="9"/>
  <c r="D14685" i="9"/>
  <c r="C14685" i="9"/>
  <c r="B14685" i="9"/>
  <c r="H14684" i="9"/>
  <c r="G14684" i="9"/>
  <c r="E14684" i="9"/>
  <c r="D14684" i="9"/>
  <c r="C14684" i="9"/>
  <c r="B14684" i="9"/>
  <c r="H14683" i="9"/>
  <c r="G14683" i="9"/>
  <c r="E14683" i="9"/>
  <c r="D14683" i="9"/>
  <c r="C14683" i="9"/>
  <c r="B14683" i="9"/>
  <c r="H14682" i="9"/>
  <c r="G14682" i="9"/>
  <c r="E14682" i="9"/>
  <c r="D14682" i="9"/>
  <c r="C14682" i="9"/>
  <c r="B14682" i="9"/>
  <c r="H14681" i="9"/>
  <c r="G14681" i="9"/>
  <c r="E14681" i="9"/>
  <c r="D14681" i="9"/>
  <c r="C14681" i="9"/>
  <c r="B14681" i="9"/>
  <c r="H14680" i="9"/>
  <c r="G14680" i="9"/>
  <c r="E14680" i="9"/>
  <c r="D14680" i="9"/>
  <c r="C14680" i="9"/>
  <c r="B14680" i="9"/>
  <c r="H14679" i="9"/>
  <c r="G14679" i="9"/>
  <c r="E14679" i="9"/>
  <c r="D14679" i="9"/>
  <c r="C14679" i="9"/>
  <c r="B14679" i="9"/>
  <c r="H14678" i="9"/>
  <c r="G14678" i="9"/>
  <c r="E14678" i="9"/>
  <c r="D14678" i="9"/>
  <c r="C14678" i="9"/>
  <c r="B14678" i="9"/>
  <c r="H14677" i="9"/>
  <c r="G14677" i="9"/>
  <c r="E14677" i="9"/>
  <c r="D14677" i="9"/>
  <c r="C14677" i="9"/>
  <c r="B14677" i="9"/>
  <c r="H14676" i="9"/>
  <c r="G14676" i="9"/>
  <c r="E14676" i="9"/>
  <c r="D14676" i="9"/>
  <c r="C14676" i="9"/>
  <c r="B14676" i="9"/>
  <c r="H14675" i="9"/>
  <c r="G14675" i="9"/>
  <c r="E14675" i="9"/>
  <c r="D14675" i="9"/>
  <c r="C14675" i="9"/>
  <c r="B14675" i="9"/>
  <c r="H14674" i="9"/>
  <c r="G14674" i="9"/>
  <c r="E14674" i="9"/>
  <c r="D14674" i="9"/>
  <c r="C14674" i="9"/>
  <c r="B14674" i="9"/>
  <c r="H14673" i="9"/>
  <c r="G14673" i="9"/>
  <c r="E14673" i="9"/>
  <c r="D14673" i="9"/>
  <c r="C14673" i="9"/>
  <c r="B14673" i="9"/>
  <c r="H14672" i="9"/>
  <c r="G14672" i="9"/>
  <c r="E14672" i="9"/>
  <c r="D14672" i="9"/>
  <c r="C14672" i="9"/>
  <c r="B14672" i="9"/>
  <c r="H14671" i="9"/>
  <c r="G14671" i="9"/>
  <c r="E14671" i="9"/>
  <c r="D14671" i="9"/>
  <c r="C14671" i="9"/>
  <c r="B14671" i="9"/>
  <c r="H14670" i="9"/>
  <c r="G14670" i="9"/>
  <c r="E14670" i="9"/>
  <c r="D14670" i="9"/>
  <c r="C14670" i="9"/>
  <c r="B14670" i="9"/>
  <c r="H14669" i="9"/>
  <c r="G14669" i="9"/>
  <c r="E14669" i="9"/>
  <c r="D14669" i="9"/>
  <c r="C14669" i="9"/>
  <c r="B14669" i="9"/>
  <c r="H14668" i="9"/>
  <c r="G14668" i="9"/>
  <c r="E14668" i="9"/>
  <c r="D14668" i="9"/>
  <c r="C14668" i="9"/>
  <c r="B14668" i="9"/>
  <c r="H14667" i="9"/>
  <c r="G14667" i="9"/>
  <c r="E14667" i="9"/>
  <c r="D14667" i="9"/>
  <c r="C14667" i="9"/>
  <c r="B14667" i="9"/>
  <c r="H14666" i="9"/>
  <c r="G14666" i="9"/>
  <c r="E14666" i="9"/>
  <c r="D14666" i="9"/>
  <c r="C14666" i="9"/>
  <c r="B14666" i="9"/>
  <c r="H14665" i="9"/>
  <c r="G14665" i="9"/>
  <c r="E14665" i="9"/>
  <c r="D14665" i="9"/>
  <c r="C14665" i="9"/>
  <c r="B14665" i="9"/>
  <c r="H14664" i="9"/>
  <c r="G14664" i="9"/>
  <c r="E14664" i="9"/>
  <c r="D14664" i="9"/>
  <c r="C14664" i="9"/>
  <c r="B14664" i="9"/>
  <c r="H14663" i="9"/>
  <c r="G14663" i="9"/>
  <c r="E14663" i="9"/>
  <c r="D14663" i="9"/>
  <c r="C14663" i="9"/>
  <c r="B14663" i="9"/>
  <c r="H14662" i="9"/>
  <c r="G14662" i="9"/>
  <c r="E14662" i="9"/>
  <c r="D14662" i="9"/>
  <c r="C14662" i="9"/>
  <c r="B14662" i="9"/>
  <c r="H14661" i="9"/>
  <c r="G14661" i="9"/>
  <c r="E14661" i="9"/>
  <c r="D14661" i="9"/>
  <c r="C14661" i="9"/>
  <c r="B14661" i="9"/>
  <c r="H14660" i="9"/>
  <c r="G14660" i="9"/>
  <c r="E14660" i="9"/>
  <c r="D14660" i="9"/>
  <c r="C14660" i="9"/>
  <c r="B14660" i="9"/>
  <c r="H14659" i="9"/>
  <c r="G14659" i="9"/>
  <c r="E14659" i="9"/>
  <c r="D14659" i="9"/>
  <c r="C14659" i="9"/>
  <c r="B14659" i="9"/>
  <c r="H14658" i="9"/>
  <c r="G14658" i="9"/>
  <c r="E14658" i="9"/>
  <c r="D14658" i="9"/>
  <c r="C14658" i="9"/>
  <c r="B14658" i="9"/>
  <c r="H14657" i="9"/>
  <c r="G14657" i="9"/>
  <c r="E14657" i="9"/>
  <c r="D14657" i="9"/>
  <c r="C14657" i="9"/>
  <c r="B14657" i="9"/>
  <c r="H14656" i="9"/>
  <c r="G14656" i="9"/>
  <c r="E14656" i="9"/>
  <c r="D14656" i="9"/>
  <c r="C14656" i="9"/>
  <c r="B14656" i="9"/>
  <c r="H14655" i="9"/>
  <c r="G14655" i="9"/>
  <c r="E14655" i="9"/>
  <c r="D14655" i="9"/>
  <c r="C14655" i="9"/>
  <c r="B14655" i="9"/>
  <c r="H14654" i="9"/>
  <c r="G14654" i="9"/>
  <c r="E14654" i="9"/>
  <c r="D14654" i="9"/>
  <c r="C14654" i="9"/>
  <c r="B14654" i="9"/>
  <c r="H14653" i="9"/>
  <c r="G14653" i="9"/>
  <c r="E14653" i="9"/>
  <c r="D14653" i="9"/>
  <c r="C14653" i="9"/>
  <c r="B14653" i="9"/>
  <c r="H14652" i="9"/>
  <c r="G14652" i="9"/>
  <c r="E14652" i="9"/>
  <c r="D14652" i="9"/>
  <c r="C14652" i="9"/>
  <c r="B14652" i="9"/>
  <c r="H14651" i="9"/>
  <c r="G14651" i="9"/>
  <c r="E14651" i="9"/>
  <c r="D14651" i="9"/>
  <c r="C14651" i="9"/>
  <c r="B14651" i="9"/>
  <c r="H14650" i="9"/>
  <c r="G14650" i="9"/>
  <c r="E14650" i="9"/>
  <c r="D14650" i="9"/>
  <c r="C14650" i="9"/>
  <c r="B14650" i="9"/>
  <c r="H14649" i="9"/>
  <c r="G14649" i="9"/>
  <c r="E14649" i="9"/>
  <c r="D14649" i="9"/>
  <c r="C14649" i="9"/>
  <c r="B14649" i="9"/>
  <c r="H14648" i="9"/>
  <c r="G14648" i="9"/>
  <c r="E14648" i="9"/>
  <c r="D14648" i="9"/>
  <c r="C14648" i="9"/>
  <c r="B14648" i="9"/>
  <c r="H14647" i="9"/>
  <c r="G14647" i="9"/>
  <c r="E14647" i="9"/>
  <c r="D14647" i="9"/>
  <c r="C14647" i="9"/>
  <c r="B14647" i="9"/>
  <c r="H14646" i="9"/>
  <c r="G14646" i="9"/>
  <c r="E14646" i="9"/>
  <c r="D14646" i="9"/>
  <c r="C14646" i="9"/>
  <c r="B14646" i="9"/>
  <c r="H14645" i="9"/>
  <c r="G14645" i="9"/>
  <c r="E14645" i="9"/>
  <c r="D14645" i="9"/>
  <c r="C14645" i="9"/>
  <c r="B14645" i="9"/>
  <c r="H14644" i="9"/>
  <c r="G14644" i="9"/>
  <c r="E14644" i="9"/>
  <c r="D14644" i="9"/>
  <c r="C14644" i="9"/>
  <c r="B14644" i="9"/>
  <c r="H14643" i="9"/>
  <c r="G14643" i="9"/>
  <c r="E14643" i="9"/>
  <c r="D14643" i="9"/>
  <c r="C14643" i="9"/>
  <c r="B14643" i="9"/>
  <c r="H14642" i="9"/>
  <c r="G14642" i="9"/>
  <c r="E14642" i="9"/>
  <c r="D14642" i="9"/>
  <c r="C14642" i="9"/>
  <c r="B14642" i="9"/>
  <c r="H14641" i="9"/>
  <c r="G14641" i="9"/>
  <c r="E14641" i="9"/>
  <c r="D14641" i="9"/>
  <c r="C14641" i="9"/>
  <c r="B14641" i="9"/>
  <c r="H14640" i="9"/>
  <c r="G14640" i="9"/>
  <c r="E14640" i="9"/>
  <c r="D14640" i="9"/>
  <c r="C14640" i="9"/>
  <c r="B14640" i="9"/>
  <c r="H14639" i="9"/>
  <c r="G14639" i="9"/>
  <c r="E14639" i="9"/>
  <c r="D14639" i="9"/>
  <c r="C14639" i="9"/>
  <c r="B14639" i="9"/>
  <c r="H14638" i="9"/>
  <c r="G14638" i="9"/>
  <c r="E14638" i="9"/>
  <c r="D14638" i="9"/>
  <c r="C14638" i="9"/>
  <c r="B14638" i="9"/>
  <c r="H14637" i="9"/>
  <c r="G14637" i="9"/>
  <c r="E14637" i="9"/>
  <c r="D14637" i="9"/>
  <c r="C14637" i="9"/>
  <c r="B14637" i="9"/>
  <c r="H14636" i="9"/>
  <c r="G14636" i="9"/>
  <c r="E14636" i="9"/>
  <c r="D14636" i="9"/>
  <c r="C14636" i="9"/>
  <c r="B14636" i="9"/>
  <c r="H14635" i="9"/>
  <c r="G14635" i="9"/>
  <c r="E14635" i="9"/>
  <c r="D14635" i="9"/>
  <c r="C14635" i="9"/>
  <c r="B14635" i="9"/>
  <c r="H14634" i="9"/>
  <c r="G14634" i="9"/>
  <c r="E14634" i="9"/>
  <c r="D14634" i="9"/>
  <c r="C14634" i="9"/>
  <c r="B14634" i="9"/>
  <c r="H14633" i="9"/>
  <c r="G14633" i="9"/>
  <c r="E14633" i="9"/>
  <c r="D14633" i="9"/>
  <c r="C14633" i="9"/>
  <c r="B14633" i="9"/>
  <c r="H14632" i="9"/>
  <c r="G14632" i="9"/>
  <c r="E14632" i="9"/>
  <c r="D14632" i="9"/>
  <c r="C14632" i="9"/>
  <c r="B14632" i="9"/>
  <c r="H14631" i="9"/>
  <c r="G14631" i="9"/>
  <c r="E14631" i="9"/>
  <c r="D14631" i="9"/>
  <c r="C14631" i="9"/>
  <c r="B14631" i="9"/>
  <c r="H14630" i="9"/>
  <c r="G14630" i="9"/>
  <c r="E14630" i="9"/>
  <c r="D14630" i="9"/>
  <c r="C14630" i="9"/>
  <c r="B14630" i="9"/>
  <c r="H14629" i="9"/>
  <c r="G14629" i="9"/>
  <c r="E14629" i="9"/>
  <c r="D14629" i="9"/>
  <c r="C14629" i="9"/>
  <c r="B14629" i="9"/>
  <c r="H14628" i="9"/>
  <c r="G14628" i="9"/>
  <c r="E14628" i="9"/>
  <c r="D14628" i="9"/>
  <c r="C14628" i="9"/>
  <c r="B14628" i="9"/>
  <c r="H14627" i="9"/>
  <c r="G14627" i="9"/>
  <c r="E14627" i="9"/>
  <c r="D14627" i="9"/>
  <c r="C14627" i="9"/>
  <c r="B14627" i="9"/>
  <c r="H14626" i="9"/>
  <c r="G14626" i="9"/>
  <c r="E14626" i="9"/>
  <c r="D14626" i="9"/>
  <c r="C14626" i="9"/>
  <c r="B14626" i="9"/>
  <c r="H14625" i="9"/>
  <c r="G14625" i="9"/>
  <c r="E14625" i="9"/>
  <c r="D14625" i="9"/>
  <c r="C14625" i="9"/>
  <c r="B14625" i="9"/>
  <c r="H14624" i="9"/>
  <c r="G14624" i="9"/>
  <c r="E14624" i="9"/>
  <c r="D14624" i="9"/>
  <c r="C14624" i="9"/>
  <c r="B14624" i="9"/>
  <c r="H14623" i="9"/>
  <c r="G14623" i="9"/>
  <c r="E14623" i="9"/>
  <c r="D14623" i="9"/>
  <c r="C14623" i="9"/>
  <c r="B14623" i="9"/>
  <c r="H14622" i="9"/>
  <c r="G14622" i="9"/>
  <c r="E14622" i="9"/>
  <c r="D14622" i="9"/>
  <c r="C14622" i="9"/>
  <c r="B14622" i="9"/>
  <c r="H14621" i="9"/>
  <c r="G14621" i="9"/>
  <c r="E14621" i="9"/>
  <c r="D14621" i="9"/>
  <c r="C14621" i="9"/>
  <c r="B14621" i="9"/>
  <c r="H14620" i="9"/>
  <c r="G14620" i="9"/>
  <c r="E14620" i="9"/>
  <c r="D14620" i="9"/>
  <c r="C14620" i="9"/>
  <c r="B14620" i="9"/>
  <c r="H14619" i="9"/>
  <c r="G14619" i="9"/>
  <c r="E14619" i="9"/>
  <c r="D14619" i="9"/>
  <c r="C14619" i="9"/>
  <c r="B14619" i="9"/>
  <c r="H14618" i="9"/>
  <c r="G14618" i="9"/>
  <c r="E14618" i="9"/>
  <c r="D14618" i="9"/>
  <c r="C14618" i="9"/>
  <c r="B14618" i="9"/>
  <c r="H14617" i="9"/>
  <c r="G14617" i="9"/>
  <c r="E14617" i="9"/>
  <c r="D14617" i="9"/>
  <c r="C14617" i="9"/>
  <c r="B14617" i="9"/>
  <c r="H14616" i="9"/>
  <c r="G14616" i="9"/>
  <c r="E14616" i="9"/>
  <c r="D14616" i="9"/>
  <c r="C14616" i="9"/>
  <c r="B14616" i="9"/>
  <c r="H14615" i="9"/>
  <c r="G14615" i="9"/>
  <c r="E14615" i="9"/>
  <c r="D14615" i="9"/>
  <c r="C14615" i="9"/>
  <c r="B14615" i="9"/>
  <c r="H14614" i="9"/>
  <c r="G14614" i="9"/>
  <c r="E14614" i="9"/>
  <c r="D14614" i="9"/>
  <c r="C14614" i="9"/>
  <c r="B14614" i="9"/>
  <c r="H14613" i="9"/>
  <c r="G14613" i="9"/>
  <c r="E14613" i="9"/>
  <c r="D14613" i="9"/>
  <c r="C14613" i="9"/>
  <c r="B14613" i="9"/>
  <c r="H14612" i="9"/>
  <c r="G14612" i="9"/>
  <c r="E14612" i="9"/>
  <c r="D14612" i="9"/>
  <c r="C14612" i="9"/>
  <c r="B14612" i="9"/>
  <c r="H14611" i="9"/>
  <c r="G14611" i="9"/>
  <c r="E14611" i="9"/>
  <c r="D14611" i="9"/>
  <c r="C14611" i="9"/>
  <c r="B14611" i="9"/>
  <c r="H14610" i="9"/>
  <c r="G14610" i="9"/>
  <c r="E14610" i="9"/>
  <c r="D14610" i="9"/>
  <c r="C14610" i="9"/>
  <c r="B14610" i="9"/>
  <c r="H14609" i="9"/>
  <c r="G14609" i="9"/>
  <c r="E14609" i="9"/>
  <c r="D14609" i="9"/>
  <c r="C14609" i="9"/>
  <c r="B14609" i="9"/>
  <c r="H14608" i="9"/>
  <c r="G14608" i="9"/>
  <c r="E14608" i="9"/>
  <c r="D14608" i="9"/>
  <c r="C14608" i="9"/>
  <c r="B14608" i="9"/>
  <c r="H14607" i="9"/>
  <c r="G14607" i="9"/>
  <c r="E14607" i="9"/>
  <c r="D14607" i="9"/>
  <c r="C14607" i="9"/>
  <c r="B14607" i="9"/>
  <c r="H14606" i="9"/>
  <c r="G14606" i="9"/>
  <c r="E14606" i="9"/>
  <c r="D14606" i="9"/>
  <c r="C14606" i="9"/>
  <c r="B14606" i="9"/>
  <c r="H14605" i="9"/>
  <c r="G14605" i="9"/>
  <c r="E14605" i="9"/>
  <c r="D14605" i="9"/>
  <c r="C14605" i="9"/>
  <c r="B14605" i="9"/>
  <c r="H14604" i="9"/>
  <c r="G14604" i="9"/>
  <c r="E14604" i="9"/>
  <c r="D14604" i="9"/>
  <c r="C14604" i="9"/>
  <c r="B14604" i="9"/>
  <c r="H14603" i="9"/>
  <c r="G14603" i="9"/>
  <c r="E14603" i="9"/>
  <c r="D14603" i="9"/>
  <c r="C14603" i="9"/>
  <c r="B14603" i="9"/>
  <c r="H14602" i="9"/>
  <c r="G14602" i="9"/>
  <c r="E14602" i="9"/>
  <c r="D14602" i="9"/>
  <c r="C14602" i="9"/>
  <c r="B14602" i="9"/>
  <c r="H14601" i="9"/>
  <c r="G14601" i="9"/>
  <c r="E14601" i="9"/>
  <c r="D14601" i="9"/>
  <c r="C14601" i="9"/>
  <c r="B14601" i="9"/>
  <c r="H14600" i="9"/>
  <c r="G14600" i="9"/>
  <c r="E14600" i="9"/>
  <c r="D14600" i="9"/>
  <c r="C14600" i="9"/>
  <c r="B14600" i="9"/>
  <c r="H14599" i="9"/>
  <c r="G14599" i="9"/>
  <c r="E14599" i="9"/>
  <c r="D14599" i="9"/>
  <c r="C14599" i="9"/>
  <c r="B14599" i="9"/>
  <c r="H14598" i="9"/>
  <c r="G14598" i="9"/>
  <c r="E14598" i="9"/>
  <c r="D14598" i="9"/>
  <c r="C14598" i="9"/>
  <c r="B14598" i="9"/>
  <c r="H14597" i="9"/>
  <c r="G14597" i="9"/>
  <c r="E14597" i="9"/>
  <c r="D14597" i="9"/>
  <c r="C14597" i="9"/>
  <c r="B14597" i="9"/>
  <c r="H14596" i="9"/>
  <c r="G14596" i="9"/>
  <c r="E14596" i="9"/>
  <c r="D14596" i="9"/>
  <c r="C14596" i="9"/>
  <c r="B14596" i="9"/>
  <c r="H14595" i="9"/>
  <c r="G14595" i="9"/>
  <c r="E14595" i="9"/>
  <c r="D14595" i="9"/>
  <c r="C14595" i="9"/>
  <c r="B14595" i="9"/>
  <c r="H14594" i="9"/>
  <c r="G14594" i="9"/>
  <c r="E14594" i="9"/>
  <c r="D14594" i="9"/>
  <c r="C14594" i="9"/>
  <c r="B14594" i="9"/>
  <c r="H14593" i="9"/>
  <c r="G14593" i="9"/>
  <c r="E14593" i="9"/>
  <c r="D14593" i="9"/>
  <c r="C14593" i="9"/>
  <c r="B14593" i="9"/>
  <c r="H14592" i="9"/>
  <c r="G14592" i="9"/>
  <c r="E14592" i="9"/>
  <c r="D14592" i="9"/>
  <c r="C14592" i="9"/>
  <c r="B14592" i="9"/>
  <c r="H14591" i="9"/>
  <c r="G14591" i="9"/>
  <c r="E14591" i="9"/>
  <c r="D14591" i="9"/>
  <c r="C14591" i="9"/>
  <c r="B14591" i="9"/>
  <c r="H14590" i="9"/>
  <c r="G14590" i="9"/>
  <c r="E14590" i="9"/>
  <c r="D14590" i="9"/>
  <c r="C14590" i="9"/>
  <c r="B14590" i="9"/>
  <c r="H14589" i="9"/>
  <c r="G14589" i="9"/>
  <c r="E14589" i="9"/>
  <c r="D14589" i="9"/>
  <c r="C14589" i="9"/>
  <c r="B14589" i="9"/>
  <c r="H14588" i="9"/>
  <c r="G14588" i="9"/>
  <c r="E14588" i="9"/>
  <c r="D14588" i="9"/>
  <c r="C14588" i="9"/>
  <c r="B14588" i="9"/>
  <c r="H14587" i="9"/>
  <c r="G14587" i="9"/>
  <c r="E14587" i="9"/>
  <c r="D14587" i="9"/>
  <c r="C14587" i="9"/>
  <c r="B14587" i="9"/>
  <c r="H14586" i="9"/>
  <c r="G14586" i="9"/>
  <c r="E14586" i="9"/>
  <c r="D14586" i="9"/>
  <c r="C14586" i="9"/>
  <c r="B14586" i="9"/>
  <c r="H14585" i="9"/>
  <c r="G14585" i="9"/>
  <c r="E14585" i="9"/>
  <c r="D14585" i="9"/>
  <c r="C14585" i="9"/>
  <c r="B14585" i="9"/>
  <c r="H14584" i="9"/>
  <c r="G14584" i="9"/>
  <c r="E14584" i="9"/>
  <c r="D14584" i="9"/>
  <c r="C14584" i="9"/>
  <c r="B14584" i="9"/>
  <c r="H14583" i="9"/>
  <c r="G14583" i="9"/>
  <c r="E14583" i="9"/>
  <c r="D14583" i="9"/>
  <c r="C14583" i="9"/>
  <c r="B14583" i="9"/>
  <c r="H14582" i="9"/>
  <c r="G14582" i="9"/>
  <c r="E14582" i="9"/>
  <c r="D14582" i="9"/>
  <c r="C14582" i="9"/>
  <c r="B14582" i="9"/>
  <c r="H14581" i="9"/>
  <c r="G14581" i="9"/>
  <c r="E14581" i="9"/>
  <c r="D14581" i="9"/>
  <c r="C14581" i="9"/>
  <c r="B14581" i="9"/>
  <c r="H14580" i="9"/>
  <c r="G14580" i="9"/>
  <c r="E14580" i="9"/>
  <c r="D14580" i="9"/>
  <c r="C14580" i="9"/>
  <c r="B14580" i="9"/>
  <c r="H14579" i="9"/>
  <c r="G14579" i="9"/>
  <c r="E14579" i="9"/>
  <c r="D14579" i="9"/>
  <c r="C14579" i="9"/>
  <c r="B14579" i="9"/>
  <c r="H14578" i="9"/>
  <c r="G14578" i="9"/>
  <c r="E14578" i="9"/>
  <c r="D14578" i="9"/>
  <c r="C14578" i="9"/>
  <c r="B14578" i="9"/>
  <c r="H14577" i="9"/>
  <c r="G14577" i="9"/>
  <c r="E14577" i="9"/>
  <c r="D14577" i="9"/>
  <c r="C14577" i="9"/>
  <c r="B14577" i="9"/>
  <c r="H14576" i="9"/>
  <c r="G14576" i="9"/>
  <c r="E14576" i="9"/>
  <c r="D14576" i="9"/>
  <c r="C14576" i="9"/>
  <c r="B14576" i="9"/>
  <c r="H14575" i="9"/>
  <c r="G14575" i="9"/>
  <c r="E14575" i="9"/>
  <c r="D14575" i="9"/>
  <c r="C14575" i="9"/>
  <c r="B14575" i="9"/>
  <c r="H14574" i="9"/>
  <c r="G14574" i="9"/>
  <c r="E14574" i="9"/>
  <c r="D14574" i="9"/>
  <c r="C14574" i="9"/>
  <c r="B14574" i="9"/>
  <c r="H14573" i="9"/>
  <c r="G14573" i="9"/>
  <c r="E14573" i="9"/>
  <c r="D14573" i="9"/>
  <c r="C14573" i="9"/>
  <c r="B14573" i="9"/>
  <c r="H14572" i="9"/>
  <c r="G14572" i="9"/>
  <c r="E14572" i="9"/>
  <c r="D14572" i="9"/>
  <c r="C14572" i="9"/>
  <c r="B14572" i="9"/>
  <c r="H14571" i="9"/>
  <c r="G14571" i="9"/>
  <c r="E14571" i="9"/>
  <c r="D14571" i="9"/>
  <c r="C14571" i="9"/>
  <c r="B14571" i="9"/>
  <c r="H14570" i="9"/>
  <c r="G14570" i="9"/>
  <c r="E14570" i="9"/>
  <c r="D14570" i="9"/>
  <c r="C14570" i="9"/>
  <c r="B14570" i="9"/>
  <c r="H14569" i="9"/>
  <c r="G14569" i="9"/>
  <c r="E14569" i="9"/>
  <c r="D14569" i="9"/>
  <c r="C14569" i="9"/>
  <c r="B14569" i="9"/>
  <c r="H14568" i="9"/>
  <c r="G14568" i="9"/>
  <c r="E14568" i="9"/>
  <c r="D14568" i="9"/>
  <c r="C14568" i="9"/>
  <c r="B14568" i="9"/>
  <c r="H14567" i="9"/>
  <c r="G14567" i="9"/>
  <c r="E14567" i="9"/>
  <c r="D14567" i="9"/>
  <c r="C14567" i="9"/>
  <c r="B14567" i="9"/>
  <c r="H14566" i="9"/>
  <c r="G14566" i="9"/>
  <c r="E14566" i="9"/>
  <c r="D14566" i="9"/>
  <c r="C14566" i="9"/>
  <c r="B14566" i="9"/>
  <c r="H14565" i="9"/>
  <c r="G14565" i="9"/>
  <c r="E14565" i="9"/>
  <c r="D14565" i="9"/>
  <c r="C14565" i="9"/>
  <c r="B14565" i="9"/>
  <c r="H14564" i="9"/>
  <c r="G14564" i="9"/>
  <c r="E14564" i="9"/>
  <c r="D14564" i="9"/>
  <c r="C14564" i="9"/>
  <c r="B14564" i="9"/>
  <c r="H14563" i="9"/>
  <c r="G14563" i="9"/>
  <c r="E14563" i="9"/>
  <c r="D14563" i="9"/>
  <c r="C14563" i="9"/>
  <c r="B14563" i="9"/>
  <c r="H14562" i="9"/>
  <c r="G14562" i="9"/>
  <c r="E14562" i="9"/>
  <c r="D14562" i="9"/>
  <c r="C14562" i="9"/>
  <c r="B14562" i="9"/>
  <c r="H14561" i="9"/>
  <c r="G14561" i="9"/>
  <c r="E14561" i="9"/>
  <c r="D14561" i="9"/>
  <c r="C14561" i="9"/>
  <c r="B14561" i="9"/>
  <c r="H14560" i="9"/>
  <c r="G14560" i="9"/>
  <c r="E14560" i="9"/>
  <c r="D14560" i="9"/>
  <c r="C14560" i="9"/>
  <c r="B14560" i="9"/>
  <c r="H14559" i="9"/>
  <c r="G14559" i="9"/>
  <c r="E14559" i="9"/>
  <c r="D14559" i="9"/>
  <c r="C14559" i="9"/>
  <c r="B14559" i="9"/>
  <c r="H14558" i="9"/>
  <c r="G14558" i="9"/>
  <c r="E14558" i="9"/>
  <c r="D14558" i="9"/>
  <c r="C14558" i="9"/>
  <c r="B14558" i="9"/>
  <c r="H14557" i="9"/>
  <c r="G14557" i="9"/>
  <c r="E14557" i="9"/>
  <c r="D14557" i="9"/>
  <c r="C14557" i="9"/>
  <c r="B14557" i="9"/>
  <c r="H14556" i="9"/>
  <c r="G14556" i="9"/>
  <c r="E14556" i="9"/>
  <c r="D14556" i="9"/>
  <c r="C14556" i="9"/>
  <c r="B14556" i="9"/>
  <c r="H14555" i="9"/>
  <c r="G14555" i="9"/>
  <c r="E14555" i="9"/>
  <c r="D14555" i="9"/>
  <c r="C14555" i="9"/>
  <c r="B14555" i="9"/>
  <c r="H14554" i="9"/>
  <c r="G14554" i="9"/>
  <c r="E14554" i="9"/>
  <c r="D14554" i="9"/>
  <c r="C14554" i="9"/>
  <c r="B14554" i="9"/>
  <c r="H14553" i="9"/>
  <c r="G14553" i="9"/>
  <c r="E14553" i="9"/>
  <c r="D14553" i="9"/>
  <c r="C14553" i="9"/>
  <c r="B14553" i="9"/>
  <c r="H14552" i="9"/>
  <c r="G14552" i="9"/>
  <c r="E14552" i="9"/>
  <c r="D14552" i="9"/>
  <c r="C14552" i="9"/>
  <c r="B14552" i="9"/>
  <c r="H14551" i="9"/>
  <c r="G14551" i="9"/>
  <c r="E14551" i="9"/>
  <c r="D14551" i="9"/>
  <c r="C14551" i="9"/>
  <c r="B14551" i="9"/>
  <c r="H14550" i="9"/>
  <c r="G14550" i="9"/>
  <c r="E14550" i="9"/>
  <c r="D14550" i="9"/>
  <c r="C14550" i="9"/>
  <c r="B14550" i="9"/>
  <c r="H14549" i="9"/>
  <c r="G14549" i="9"/>
  <c r="E14549" i="9"/>
  <c r="D14549" i="9"/>
  <c r="C14549" i="9"/>
  <c r="B14549" i="9"/>
  <c r="H14548" i="9"/>
  <c r="G14548" i="9"/>
  <c r="E14548" i="9"/>
  <c r="D14548" i="9"/>
  <c r="C14548" i="9"/>
  <c r="B14548" i="9"/>
  <c r="H14547" i="9"/>
  <c r="G14547" i="9"/>
  <c r="E14547" i="9"/>
  <c r="D14547" i="9"/>
  <c r="C14547" i="9"/>
  <c r="B14547" i="9"/>
  <c r="H14546" i="9"/>
  <c r="G14546" i="9"/>
  <c r="E14546" i="9"/>
  <c r="D14546" i="9"/>
  <c r="C14546" i="9"/>
  <c r="B14546" i="9"/>
  <c r="H14545" i="9"/>
  <c r="G14545" i="9"/>
  <c r="E14545" i="9"/>
  <c r="D14545" i="9"/>
  <c r="C14545" i="9"/>
  <c r="B14545" i="9"/>
  <c r="H14544" i="9"/>
  <c r="G14544" i="9"/>
  <c r="E14544" i="9"/>
  <c r="D14544" i="9"/>
  <c r="C14544" i="9"/>
  <c r="B14544" i="9"/>
  <c r="H14543" i="9"/>
  <c r="G14543" i="9"/>
  <c r="E14543" i="9"/>
  <c r="D14543" i="9"/>
  <c r="C14543" i="9"/>
  <c r="B14543" i="9"/>
  <c r="H14542" i="9"/>
  <c r="G14542" i="9"/>
  <c r="E14542" i="9"/>
  <c r="D14542" i="9"/>
  <c r="C14542" i="9"/>
  <c r="B14542" i="9"/>
  <c r="H14541" i="9"/>
  <c r="G14541" i="9"/>
  <c r="E14541" i="9"/>
  <c r="D14541" i="9"/>
  <c r="C14541" i="9"/>
  <c r="B14541" i="9"/>
  <c r="H14540" i="9"/>
  <c r="G14540" i="9"/>
  <c r="E14540" i="9"/>
  <c r="D14540" i="9"/>
  <c r="C14540" i="9"/>
  <c r="B14540" i="9"/>
  <c r="H14539" i="9"/>
  <c r="G14539" i="9"/>
  <c r="E14539" i="9"/>
  <c r="D14539" i="9"/>
  <c r="C14539" i="9"/>
  <c r="B14539" i="9"/>
  <c r="H14538" i="9"/>
  <c r="G14538" i="9"/>
  <c r="E14538" i="9"/>
  <c r="D14538" i="9"/>
  <c r="C14538" i="9"/>
  <c r="B14538" i="9"/>
  <c r="H14537" i="9"/>
  <c r="G14537" i="9"/>
  <c r="E14537" i="9"/>
  <c r="D14537" i="9"/>
  <c r="C14537" i="9"/>
  <c r="B14537" i="9"/>
  <c r="H14536" i="9"/>
  <c r="G14536" i="9"/>
  <c r="E14536" i="9"/>
  <c r="D14536" i="9"/>
  <c r="C14536" i="9"/>
  <c r="B14536" i="9"/>
  <c r="H14535" i="9"/>
  <c r="G14535" i="9"/>
  <c r="E14535" i="9"/>
  <c r="D14535" i="9"/>
  <c r="C14535" i="9"/>
  <c r="B14535" i="9"/>
  <c r="H14534" i="9"/>
  <c r="G14534" i="9"/>
  <c r="E14534" i="9"/>
  <c r="D14534" i="9"/>
  <c r="C14534" i="9"/>
  <c r="B14534" i="9"/>
  <c r="H14533" i="9"/>
  <c r="G14533" i="9"/>
  <c r="E14533" i="9"/>
  <c r="D14533" i="9"/>
  <c r="C14533" i="9"/>
  <c r="B14533" i="9"/>
  <c r="H14532" i="9"/>
  <c r="G14532" i="9"/>
  <c r="E14532" i="9"/>
  <c r="D14532" i="9"/>
  <c r="C14532" i="9"/>
  <c r="B14532" i="9"/>
  <c r="H14531" i="9"/>
  <c r="G14531" i="9"/>
  <c r="E14531" i="9"/>
  <c r="D14531" i="9"/>
  <c r="C14531" i="9"/>
  <c r="B14531" i="9"/>
  <c r="H14530" i="9"/>
  <c r="G14530" i="9"/>
  <c r="E14530" i="9"/>
  <c r="D14530" i="9"/>
  <c r="C14530" i="9"/>
  <c r="B14530" i="9"/>
  <c r="H14529" i="9"/>
  <c r="G14529" i="9"/>
  <c r="E14529" i="9"/>
  <c r="D14529" i="9"/>
  <c r="C14529" i="9"/>
  <c r="B14529" i="9"/>
  <c r="H14528" i="9"/>
  <c r="G14528" i="9"/>
  <c r="E14528" i="9"/>
  <c r="D14528" i="9"/>
  <c r="C14528" i="9"/>
  <c r="B14528" i="9"/>
  <c r="H14527" i="9"/>
  <c r="G14527" i="9"/>
  <c r="E14527" i="9"/>
  <c r="D14527" i="9"/>
  <c r="C14527" i="9"/>
  <c r="B14527" i="9"/>
  <c r="H14526" i="9"/>
  <c r="G14526" i="9"/>
  <c r="E14526" i="9"/>
  <c r="D14526" i="9"/>
  <c r="C14526" i="9"/>
  <c r="B14526" i="9"/>
  <c r="H14525" i="9"/>
  <c r="G14525" i="9"/>
  <c r="E14525" i="9"/>
  <c r="D14525" i="9"/>
  <c r="C14525" i="9"/>
  <c r="B14525" i="9"/>
  <c r="H14524" i="9"/>
  <c r="G14524" i="9"/>
  <c r="E14524" i="9"/>
  <c r="D14524" i="9"/>
  <c r="C14524" i="9"/>
  <c r="B14524" i="9"/>
  <c r="H14523" i="9"/>
  <c r="G14523" i="9"/>
  <c r="E14523" i="9"/>
  <c r="D14523" i="9"/>
  <c r="C14523" i="9"/>
  <c r="B14523" i="9"/>
  <c r="H14522" i="9"/>
  <c r="G14522" i="9"/>
  <c r="E14522" i="9"/>
  <c r="D14522" i="9"/>
  <c r="C14522" i="9"/>
  <c r="B14522" i="9"/>
  <c r="H14521" i="9"/>
  <c r="G14521" i="9"/>
  <c r="E14521" i="9"/>
  <c r="D14521" i="9"/>
  <c r="C14521" i="9"/>
  <c r="B14521" i="9"/>
  <c r="H14520" i="9"/>
  <c r="G14520" i="9"/>
  <c r="E14520" i="9"/>
  <c r="D14520" i="9"/>
  <c r="C14520" i="9"/>
  <c r="B14520" i="9"/>
  <c r="H14519" i="9"/>
  <c r="G14519" i="9"/>
  <c r="E14519" i="9"/>
  <c r="D14519" i="9"/>
  <c r="C14519" i="9"/>
  <c r="B14519" i="9"/>
  <c r="H14518" i="9"/>
  <c r="G14518" i="9"/>
  <c r="E14518" i="9"/>
  <c r="D14518" i="9"/>
  <c r="C14518" i="9"/>
  <c r="B14518" i="9"/>
  <c r="H14517" i="9"/>
  <c r="G14517" i="9"/>
  <c r="E14517" i="9"/>
  <c r="D14517" i="9"/>
  <c r="C14517" i="9"/>
  <c r="B14517" i="9"/>
  <c r="H14516" i="9"/>
  <c r="G14516" i="9"/>
  <c r="E14516" i="9"/>
  <c r="D14516" i="9"/>
  <c r="C14516" i="9"/>
  <c r="B14516" i="9"/>
  <c r="H14515" i="9"/>
  <c r="G14515" i="9"/>
  <c r="E14515" i="9"/>
  <c r="D14515" i="9"/>
  <c r="C14515" i="9"/>
  <c r="B14515" i="9"/>
  <c r="H14514" i="9"/>
  <c r="G14514" i="9"/>
  <c r="E14514" i="9"/>
  <c r="D14514" i="9"/>
  <c r="C14514" i="9"/>
  <c r="B14514" i="9"/>
  <c r="H14513" i="9"/>
  <c r="G14513" i="9"/>
  <c r="E14513" i="9"/>
  <c r="D14513" i="9"/>
  <c r="C14513" i="9"/>
  <c r="B14513" i="9"/>
  <c r="H14512" i="9"/>
  <c r="G14512" i="9"/>
  <c r="E14512" i="9"/>
  <c r="D14512" i="9"/>
  <c r="C14512" i="9"/>
  <c r="B14512" i="9"/>
  <c r="H14511" i="9"/>
  <c r="G14511" i="9"/>
  <c r="E14511" i="9"/>
  <c r="D14511" i="9"/>
  <c r="C14511" i="9"/>
  <c r="B14511" i="9"/>
  <c r="H14510" i="9"/>
  <c r="G14510" i="9"/>
  <c r="E14510" i="9"/>
  <c r="D14510" i="9"/>
  <c r="C14510" i="9"/>
  <c r="B14510" i="9"/>
  <c r="H14509" i="9"/>
  <c r="G14509" i="9"/>
  <c r="E14509" i="9"/>
  <c r="D14509" i="9"/>
  <c r="C14509" i="9"/>
  <c r="B14509" i="9"/>
  <c r="H14508" i="9"/>
  <c r="G14508" i="9"/>
  <c r="E14508" i="9"/>
  <c r="D14508" i="9"/>
  <c r="C14508" i="9"/>
  <c r="B14508" i="9"/>
  <c r="H14507" i="9"/>
  <c r="G14507" i="9"/>
  <c r="E14507" i="9"/>
  <c r="D14507" i="9"/>
  <c r="C14507" i="9"/>
  <c r="B14507" i="9"/>
  <c r="H14506" i="9"/>
  <c r="G14506" i="9"/>
  <c r="E14506" i="9"/>
  <c r="D14506" i="9"/>
  <c r="C14506" i="9"/>
  <c r="B14506" i="9"/>
  <c r="H14505" i="9"/>
  <c r="G14505" i="9"/>
  <c r="E14505" i="9"/>
  <c r="D14505" i="9"/>
  <c r="C14505" i="9"/>
  <c r="B14505" i="9"/>
  <c r="H14504" i="9"/>
  <c r="G14504" i="9"/>
  <c r="E14504" i="9"/>
  <c r="D14504" i="9"/>
  <c r="C14504" i="9"/>
  <c r="B14504" i="9"/>
  <c r="H14503" i="9"/>
  <c r="G14503" i="9"/>
  <c r="E14503" i="9"/>
  <c r="D14503" i="9"/>
  <c r="C14503" i="9"/>
  <c r="B14503" i="9"/>
  <c r="H14502" i="9"/>
  <c r="G14502" i="9"/>
  <c r="E14502" i="9"/>
  <c r="D14502" i="9"/>
  <c r="C14502" i="9"/>
  <c r="B14502" i="9"/>
  <c r="H14501" i="9"/>
  <c r="G14501" i="9"/>
  <c r="E14501" i="9"/>
  <c r="D14501" i="9"/>
  <c r="C14501" i="9"/>
  <c r="B14501" i="9"/>
  <c r="H14500" i="9"/>
  <c r="G14500" i="9"/>
  <c r="E14500" i="9"/>
  <c r="D14500" i="9"/>
  <c r="C14500" i="9"/>
  <c r="B14500" i="9"/>
  <c r="H14499" i="9"/>
  <c r="G14499" i="9"/>
  <c r="E14499" i="9"/>
  <c r="D14499" i="9"/>
  <c r="C14499" i="9"/>
  <c r="B14499" i="9"/>
  <c r="H14498" i="9"/>
  <c r="G14498" i="9"/>
  <c r="E14498" i="9"/>
  <c r="D14498" i="9"/>
  <c r="C14498" i="9"/>
  <c r="B14498" i="9"/>
  <c r="H14497" i="9"/>
  <c r="G14497" i="9"/>
  <c r="E14497" i="9"/>
  <c r="D14497" i="9"/>
  <c r="C14497" i="9"/>
  <c r="B14497" i="9"/>
  <c r="H14496" i="9"/>
  <c r="G14496" i="9"/>
  <c r="E14496" i="9"/>
  <c r="D14496" i="9"/>
  <c r="C14496" i="9"/>
  <c r="B14496" i="9"/>
  <c r="H14495" i="9"/>
  <c r="G14495" i="9"/>
  <c r="E14495" i="9"/>
  <c r="D14495" i="9"/>
  <c r="C14495" i="9"/>
  <c r="B14495" i="9"/>
  <c r="H14494" i="9"/>
  <c r="G14494" i="9"/>
  <c r="E14494" i="9"/>
  <c r="D14494" i="9"/>
  <c r="C14494" i="9"/>
  <c r="B14494" i="9"/>
  <c r="H14493" i="9"/>
  <c r="G14493" i="9"/>
  <c r="E14493" i="9"/>
  <c r="D14493" i="9"/>
  <c r="C14493" i="9"/>
  <c r="B14493" i="9"/>
  <c r="H14492" i="9"/>
  <c r="G14492" i="9"/>
  <c r="E14492" i="9"/>
  <c r="D14492" i="9"/>
  <c r="C14492" i="9"/>
  <c r="B14492" i="9"/>
  <c r="H14491" i="9"/>
  <c r="G14491" i="9"/>
  <c r="E14491" i="9"/>
  <c r="D14491" i="9"/>
  <c r="C14491" i="9"/>
  <c r="B14491" i="9"/>
  <c r="H14490" i="9"/>
  <c r="G14490" i="9"/>
  <c r="E14490" i="9"/>
  <c r="D14490" i="9"/>
  <c r="C14490" i="9"/>
  <c r="B14490" i="9"/>
  <c r="H14489" i="9"/>
  <c r="G14489" i="9"/>
  <c r="E14489" i="9"/>
  <c r="D14489" i="9"/>
  <c r="C14489" i="9"/>
  <c r="B14489" i="9"/>
  <c r="H14488" i="9"/>
  <c r="G14488" i="9"/>
  <c r="E14488" i="9"/>
  <c r="D14488" i="9"/>
  <c r="C14488" i="9"/>
  <c r="B14488" i="9"/>
  <c r="H14487" i="9"/>
  <c r="G14487" i="9"/>
  <c r="E14487" i="9"/>
  <c r="D14487" i="9"/>
  <c r="C14487" i="9"/>
  <c r="B14487" i="9"/>
  <c r="H14486" i="9"/>
  <c r="G14486" i="9"/>
  <c r="E14486" i="9"/>
  <c r="D14486" i="9"/>
  <c r="C14486" i="9"/>
  <c r="B14486" i="9"/>
  <c r="H14485" i="9"/>
  <c r="G14485" i="9"/>
  <c r="E14485" i="9"/>
  <c r="D14485" i="9"/>
  <c r="C14485" i="9"/>
  <c r="B14485" i="9"/>
  <c r="H14484" i="9"/>
  <c r="G14484" i="9"/>
  <c r="E14484" i="9"/>
  <c r="D14484" i="9"/>
  <c r="C14484" i="9"/>
  <c r="B14484" i="9"/>
  <c r="H14483" i="9"/>
  <c r="G14483" i="9"/>
  <c r="E14483" i="9"/>
  <c r="D14483" i="9"/>
  <c r="C14483" i="9"/>
  <c r="B14483" i="9"/>
  <c r="H14482" i="9"/>
  <c r="G14482" i="9"/>
  <c r="E14482" i="9"/>
  <c r="D14482" i="9"/>
  <c r="C14482" i="9"/>
  <c r="B14482" i="9"/>
  <c r="H14481" i="9"/>
  <c r="G14481" i="9"/>
  <c r="E14481" i="9"/>
  <c r="D14481" i="9"/>
  <c r="C14481" i="9"/>
  <c r="B14481" i="9"/>
  <c r="H14480" i="9"/>
  <c r="G14480" i="9"/>
  <c r="E14480" i="9"/>
  <c r="D14480" i="9"/>
  <c r="C14480" i="9"/>
  <c r="B14480" i="9"/>
  <c r="H14479" i="9"/>
  <c r="G14479" i="9"/>
  <c r="E14479" i="9"/>
  <c r="D14479" i="9"/>
  <c r="C14479" i="9"/>
  <c r="B14479" i="9"/>
  <c r="H14478" i="9"/>
  <c r="G14478" i="9"/>
  <c r="E14478" i="9"/>
  <c r="D14478" i="9"/>
  <c r="C14478" i="9"/>
  <c r="B14478" i="9"/>
  <c r="H14477" i="9"/>
  <c r="G14477" i="9"/>
  <c r="E14477" i="9"/>
  <c r="D14477" i="9"/>
  <c r="C14477" i="9"/>
  <c r="B14477" i="9"/>
  <c r="H14476" i="9"/>
  <c r="G14476" i="9"/>
  <c r="E14476" i="9"/>
  <c r="D14476" i="9"/>
  <c r="C14476" i="9"/>
  <c r="B14476" i="9"/>
  <c r="H14475" i="9"/>
  <c r="G14475" i="9"/>
  <c r="E14475" i="9"/>
  <c r="D14475" i="9"/>
  <c r="C14475" i="9"/>
  <c r="B14475" i="9"/>
  <c r="H14474" i="9"/>
  <c r="G14474" i="9"/>
  <c r="E14474" i="9"/>
  <c r="D14474" i="9"/>
  <c r="C14474" i="9"/>
  <c r="B14474" i="9"/>
  <c r="H14473" i="9"/>
  <c r="G14473" i="9"/>
  <c r="E14473" i="9"/>
  <c r="D14473" i="9"/>
  <c r="C14473" i="9"/>
  <c r="B14473" i="9"/>
  <c r="H14472" i="9"/>
  <c r="G14472" i="9"/>
  <c r="E14472" i="9"/>
  <c r="D14472" i="9"/>
  <c r="C14472" i="9"/>
  <c r="B14472" i="9"/>
  <c r="H14471" i="9"/>
  <c r="G14471" i="9"/>
  <c r="E14471" i="9"/>
  <c r="D14471" i="9"/>
  <c r="C14471" i="9"/>
  <c r="B14471" i="9"/>
  <c r="H14470" i="9"/>
  <c r="G14470" i="9"/>
  <c r="E14470" i="9"/>
  <c r="D14470" i="9"/>
  <c r="C14470" i="9"/>
  <c r="B14470" i="9"/>
  <c r="H14469" i="9"/>
  <c r="G14469" i="9"/>
  <c r="E14469" i="9"/>
  <c r="D14469" i="9"/>
  <c r="C14469" i="9"/>
  <c r="B14469" i="9"/>
  <c r="H14468" i="9"/>
  <c r="G14468" i="9"/>
  <c r="E14468" i="9"/>
  <c r="D14468" i="9"/>
  <c r="C14468" i="9"/>
  <c r="B14468" i="9"/>
  <c r="H14467" i="9"/>
  <c r="G14467" i="9"/>
  <c r="E14467" i="9"/>
  <c r="D14467" i="9"/>
  <c r="C14467" i="9"/>
  <c r="B14467" i="9"/>
  <c r="H14466" i="9"/>
  <c r="G14466" i="9"/>
  <c r="E14466" i="9"/>
  <c r="D14466" i="9"/>
  <c r="C14466" i="9"/>
  <c r="B14466" i="9"/>
  <c r="H14465" i="9"/>
  <c r="G14465" i="9"/>
  <c r="E14465" i="9"/>
  <c r="D14465" i="9"/>
  <c r="C14465" i="9"/>
  <c r="B14465" i="9"/>
  <c r="H14464" i="9"/>
  <c r="G14464" i="9"/>
  <c r="E14464" i="9"/>
  <c r="D14464" i="9"/>
  <c r="C14464" i="9"/>
  <c r="B14464" i="9"/>
  <c r="H14463" i="9"/>
  <c r="G14463" i="9"/>
  <c r="E14463" i="9"/>
  <c r="D14463" i="9"/>
  <c r="C14463" i="9"/>
  <c r="B14463" i="9"/>
  <c r="H14462" i="9"/>
  <c r="G14462" i="9"/>
  <c r="E14462" i="9"/>
  <c r="D14462" i="9"/>
  <c r="C14462" i="9"/>
  <c r="B14462" i="9"/>
  <c r="H14461" i="9"/>
  <c r="G14461" i="9"/>
  <c r="E14461" i="9"/>
  <c r="D14461" i="9"/>
  <c r="C14461" i="9"/>
  <c r="B14461" i="9"/>
  <c r="H14460" i="9"/>
  <c r="G14460" i="9"/>
  <c r="E14460" i="9"/>
  <c r="D14460" i="9"/>
  <c r="C14460" i="9"/>
  <c r="B14460" i="9"/>
  <c r="H14459" i="9"/>
  <c r="G14459" i="9"/>
  <c r="E14459" i="9"/>
  <c r="D14459" i="9"/>
  <c r="C14459" i="9"/>
  <c r="B14459" i="9"/>
  <c r="H14458" i="9"/>
  <c r="G14458" i="9"/>
  <c r="E14458" i="9"/>
  <c r="D14458" i="9"/>
  <c r="C14458" i="9"/>
  <c r="B14458" i="9"/>
  <c r="H14457" i="9"/>
  <c r="G14457" i="9"/>
  <c r="E14457" i="9"/>
  <c r="D14457" i="9"/>
  <c r="C14457" i="9"/>
  <c r="B14457" i="9"/>
  <c r="H14456" i="9"/>
  <c r="G14456" i="9"/>
  <c r="E14456" i="9"/>
  <c r="D14456" i="9"/>
  <c r="C14456" i="9"/>
  <c r="B14456" i="9"/>
  <c r="H14455" i="9"/>
  <c r="G14455" i="9"/>
  <c r="E14455" i="9"/>
  <c r="D14455" i="9"/>
  <c r="C14455" i="9"/>
  <c r="B14455" i="9"/>
  <c r="H14454" i="9"/>
  <c r="G14454" i="9"/>
  <c r="E14454" i="9"/>
  <c r="D14454" i="9"/>
  <c r="C14454" i="9"/>
  <c r="B14454" i="9"/>
  <c r="H14453" i="9"/>
  <c r="G14453" i="9"/>
  <c r="E14453" i="9"/>
  <c r="D14453" i="9"/>
  <c r="C14453" i="9"/>
  <c r="B14453" i="9"/>
  <c r="H14452" i="9"/>
  <c r="G14452" i="9"/>
  <c r="E14452" i="9"/>
  <c r="D14452" i="9"/>
  <c r="C14452" i="9"/>
  <c r="B14452" i="9"/>
  <c r="H14451" i="9"/>
  <c r="G14451" i="9"/>
  <c r="E14451" i="9"/>
  <c r="D14451" i="9"/>
  <c r="C14451" i="9"/>
  <c r="B14451" i="9"/>
  <c r="H14450" i="9"/>
  <c r="G14450" i="9"/>
  <c r="E14450" i="9"/>
  <c r="D14450" i="9"/>
  <c r="C14450" i="9"/>
  <c r="B14450" i="9"/>
  <c r="H14449" i="9"/>
  <c r="G14449" i="9"/>
  <c r="E14449" i="9"/>
  <c r="D14449" i="9"/>
  <c r="C14449" i="9"/>
  <c r="B14449" i="9"/>
  <c r="H14448" i="9"/>
  <c r="G14448" i="9"/>
  <c r="E14448" i="9"/>
  <c r="D14448" i="9"/>
  <c r="C14448" i="9"/>
  <c r="B14448" i="9"/>
  <c r="H14447" i="9"/>
  <c r="G14447" i="9"/>
  <c r="E14447" i="9"/>
  <c r="D14447" i="9"/>
  <c r="C14447" i="9"/>
  <c r="B14447" i="9"/>
  <c r="H14446" i="9"/>
  <c r="G14446" i="9"/>
  <c r="E14446" i="9"/>
  <c r="D14446" i="9"/>
  <c r="C14446" i="9"/>
  <c r="B14446" i="9"/>
  <c r="H14445" i="9"/>
  <c r="G14445" i="9"/>
  <c r="E14445" i="9"/>
  <c r="D14445" i="9"/>
  <c r="C14445" i="9"/>
  <c r="B14445" i="9"/>
  <c r="H14444" i="9"/>
  <c r="G14444" i="9"/>
  <c r="E14444" i="9"/>
  <c r="D14444" i="9"/>
  <c r="C14444" i="9"/>
  <c r="B14444" i="9"/>
  <c r="H14443" i="9"/>
  <c r="G14443" i="9"/>
  <c r="E14443" i="9"/>
  <c r="D14443" i="9"/>
  <c r="C14443" i="9"/>
  <c r="B14443" i="9"/>
  <c r="H14442" i="9"/>
  <c r="G14442" i="9"/>
  <c r="E14442" i="9"/>
  <c r="D14442" i="9"/>
  <c r="C14442" i="9"/>
  <c r="B14442" i="9"/>
  <c r="H14441" i="9"/>
  <c r="G14441" i="9"/>
  <c r="E14441" i="9"/>
  <c r="D14441" i="9"/>
  <c r="C14441" i="9"/>
  <c r="B14441" i="9"/>
  <c r="H14440" i="9"/>
  <c r="G14440" i="9"/>
  <c r="E14440" i="9"/>
  <c r="D14440" i="9"/>
  <c r="C14440" i="9"/>
  <c r="B14440" i="9"/>
  <c r="H14439" i="9"/>
  <c r="G14439" i="9"/>
  <c r="E14439" i="9"/>
  <c r="D14439" i="9"/>
  <c r="C14439" i="9"/>
  <c r="B14439" i="9"/>
  <c r="H14438" i="9"/>
  <c r="G14438" i="9"/>
  <c r="E14438" i="9"/>
  <c r="D14438" i="9"/>
  <c r="C14438" i="9"/>
  <c r="B14438" i="9"/>
  <c r="H14437" i="9"/>
  <c r="G14437" i="9"/>
  <c r="E14437" i="9"/>
  <c r="D14437" i="9"/>
  <c r="C14437" i="9"/>
  <c r="B14437" i="9"/>
  <c r="H14436" i="9"/>
  <c r="G14436" i="9"/>
  <c r="E14436" i="9"/>
  <c r="D14436" i="9"/>
  <c r="C14436" i="9"/>
  <c r="B14436" i="9"/>
  <c r="H14435" i="9"/>
  <c r="G14435" i="9"/>
  <c r="E14435" i="9"/>
  <c r="D14435" i="9"/>
  <c r="C14435" i="9"/>
  <c r="B14435" i="9"/>
  <c r="H14434" i="9"/>
  <c r="G14434" i="9"/>
  <c r="E14434" i="9"/>
  <c r="D14434" i="9"/>
  <c r="C14434" i="9"/>
  <c r="B14434" i="9"/>
  <c r="H14433" i="9"/>
  <c r="G14433" i="9"/>
  <c r="E14433" i="9"/>
  <c r="D14433" i="9"/>
  <c r="C14433" i="9"/>
  <c r="B14433" i="9"/>
  <c r="H14432" i="9"/>
  <c r="G14432" i="9"/>
  <c r="E14432" i="9"/>
  <c r="D14432" i="9"/>
  <c r="C14432" i="9"/>
  <c r="B14432" i="9"/>
  <c r="H14431" i="9"/>
  <c r="G14431" i="9"/>
  <c r="E14431" i="9"/>
  <c r="D14431" i="9"/>
  <c r="C14431" i="9"/>
  <c r="B14431" i="9"/>
  <c r="H14430" i="9"/>
  <c r="G14430" i="9"/>
  <c r="E14430" i="9"/>
  <c r="D14430" i="9"/>
  <c r="C14430" i="9"/>
  <c r="B14430" i="9"/>
  <c r="H14429" i="9"/>
  <c r="G14429" i="9"/>
  <c r="E14429" i="9"/>
  <c r="D14429" i="9"/>
  <c r="C14429" i="9"/>
  <c r="B14429" i="9"/>
  <c r="H14428" i="9"/>
  <c r="G14428" i="9"/>
  <c r="E14428" i="9"/>
  <c r="D14428" i="9"/>
  <c r="C14428" i="9"/>
  <c r="B14428" i="9"/>
  <c r="H14427" i="9"/>
  <c r="G14427" i="9"/>
  <c r="E14427" i="9"/>
  <c r="D14427" i="9"/>
  <c r="C14427" i="9"/>
  <c r="B14427" i="9"/>
  <c r="H14426" i="9"/>
  <c r="G14426" i="9"/>
  <c r="E14426" i="9"/>
  <c r="D14426" i="9"/>
  <c r="C14426" i="9"/>
  <c r="B14426" i="9"/>
  <c r="H14425" i="9"/>
  <c r="G14425" i="9"/>
  <c r="E14425" i="9"/>
  <c r="D14425" i="9"/>
  <c r="C14425" i="9"/>
  <c r="B14425" i="9"/>
  <c r="H14424" i="9"/>
  <c r="G14424" i="9"/>
  <c r="E14424" i="9"/>
  <c r="D14424" i="9"/>
  <c r="C14424" i="9"/>
  <c r="B14424" i="9"/>
  <c r="H14423" i="9"/>
  <c r="G14423" i="9"/>
  <c r="E14423" i="9"/>
  <c r="D14423" i="9"/>
  <c r="C14423" i="9"/>
  <c r="B14423" i="9"/>
  <c r="H14422" i="9"/>
  <c r="G14422" i="9"/>
  <c r="E14422" i="9"/>
  <c r="D14422" i="9"/>
  <c r="C14422" i="9"/>
  <c r="B14422" i="9"/>
  <c r="H14421" i="9"/>
  <c r="G14421" i="9"/>
  <c r="E14421" i="9"/>
  <c r="D14421" i="9"/>
  <c r="C14421" i="9"/>
  <c r="B14421" i="9"/>
  <c r="H14420" i="9"/>
  <c r="G14420" i="9"/>
  <c r="E14420" i="9"/>
  <c r="D14420" i="9"/>
  <c r="C14420" i="9"/>
  <c r="B14420" i="9"/>
  <c r="H14419" i="9"/>
  <c r="G14419" i="9"/>
  <c r="E14419" i="9"/>
  <c r="D14419" i="9"/>
  <c r="C14419" i="9"/>
  <c r="B14419" i="9"/>
  <c r="H14418" i="9"/>
  <c r="G14418" i="9"/>
  <c r="E14418" i="9"/>
  <c r="D14418" i="9"/>
  <c r="C14418" i="9"/>
  <c r="B14418" i="9"/>
  <c r="H14417" i="9"/>
  <c r="G14417" i="9"/>
  <c r="E14417" i="9"/>
  <c r="D14417" i="9"/>
  <c r="C14417" i="9"/>
  <c r="B14417" i="9"/>
  <c r="H14416" i="9"/>
  <c r="G14416" i="9"/>
  <c r="E14416" i="9"/>
  <c r="D14416" i="9"/>
  <c r="C14416" i="9"/>
  <c r="B14416" i="9"/>
  <c r="H14415" i="9"/>
  <c r="G14415" i="9"/>
  <c r="E14415" i="9"/>
  <c r="D14415" i="9"/>
  <c r="C14415" i="9"/>
  <c r="B14415" i="9"/>
  <c r="H14414" i="9"/>
  <c r="G14414" i="9"/>
  <c r="E14414" i="9"/>
  <c r="D14414" i="9"/>
  <c r="C14414" i="9"/>
  <c r="B14414" i="9"/>
  <c r="H14413" i="9"/>
  <c r="G14413" i="9"/>
  <c r="E14413" i="9"/>
  <c r="D14413" i="9"/>
  <c r="C14413" i="9"/>
  <c r="B14413" i="9"/>
  <c r="H14412" i="9"/>
  <c r="G14412" i="9"/>
  <c r="E14412" i="9"/>
  <c r="D14412" i="9"/>
  <c r="C14412" i="9"/>
  <c r="B14412" i="9"/>
  <c r="H14411" i="9"/>
  <c r="G14411" i="9"/>
  <c r="E14411" i="9"/>
  <c r="D14411" i="9"/>
  <c r="C14411" i="9"/>
  <c r="B14411" i="9"/>
  <c r="H14410" i="9"/>
  <c r="G14410" i="9"/>
  <c r="E14410" i="9"/>
  <c r="D14410" i="9"/>
  <c r="C14410" i="9"/>
  <c r="B14410" i="9"/>
  <c r="H14409" i="9"/>
  <c r="G14409" i="9"/>
  <c r="E14409" i="9"/>
  <c r="D14409" i="9"/>
  <c r="C14409" i="9"/>
  <c r="B14409" i="9"/>
  <c r="H14408" i="9"/>
  <c r="G14408" i="9"/>
  <c r="E14408" i="9"/>
  <c r="D14408" i="9"/>
  <c r="C14408" i="9"/>
  <c r="B14408" i="9"/>
  <c r="H14407" i="9"/>
  <c r="G14407" i="9"/>
  <c r="E14407" i="9"/>
  <c r="D14407" i="9"/>
  <c r="C14407" i="9"/>
  <c r="B14407" i="9"/>
  <c r="H14406" i="9"/>
  <c r="G14406" i="9"/>
  <c r="E14406" i="9"/>
  <c r="D14406" i="9"/>
  <c r="C14406" i="9"/>
  <c r="B14406" i="9"/>
  <c r="H14405" i="9"/>
  <c r="G14405" i="9"/>
  <c r="E14405" i="9"/>
  <c r="D14405" i="9"/>
  <c r="C14405" i="9"/>
  <c r="B14405" i="9"/>
  <c r="H14404" i="9"/>
  <c r="G14404" i="9"/>
  <c r="E14404" i="9"/>
  <c r="D14404" i="9"/>
  <c r="C14404" i="9"/>
  <c r="B14404" i="9"/>
  <c r="H14403" i="9"/>
  <c r="G14403" i="9"/>
  <c r="E14403" i="9"/>
  <c r="D14403" i="9"/>
  <c r="C14403" i="9"/>
  <c r="B14403" i="9"/>
  <c r="H14402" i="9"/>
  <c r="G14402" i="9"/>
  <c r="E14402" i="9"/>
  <c r="D14402" i="9"/>
  <c r="C14402" i="9"/>
  <c r="B14402" i="9"/>
  <c r="H14401" i="9"/>
  <c r="G14401" i="9"/>
  <c r="E14401" i="9"/>
  <c r="D14401" i="9"/>
  <c r="C14401" i="9"/>
  <c r="B14401" i="9"/>
  <c r="H14400" i="9"/>
  <c r="G14400" i="9"/>
  <c r="E14400" i="9"/>
  <c r="D14400" i="9"/>
  <c r="C14400" i="9"/>
  <c r="B14400" i="9"/>
  <c r="H14399" i="9"/>
  <c r="G14399" i="9"/>
  <c r="E14399" i="9"/>
  <c r="D14399" i="9"/>
  <c r="C14399" i="9"/>
  <c r="B14399" i="9"/>
  <c r="H14398" i="9"/>
  <c r="G14398" i="9"/>
  <c r="E14398" i="9"/>
  <c r="D14398" i="9"/>
  <c r="C14398" i="9"/>
  <c r="B14398" i="9"/>
  <c r="H14397" i="9"/>
  <c r="G14397" i="9"/>
  <c r="E14397" i="9"/>
  <c r="D14397" i="9"/>
  <c r="C14397" i="9"/>
  <c r="B14397" i="9"/>
  <c r="H14396" i="9"/>
  <c r="G14396" i="9"/>
  <c r="E14396" i="9"/>
  <c r="D14396" i="9"/>
  <c r="C14396" i="9"/>
  <c r="B14396" i="9"/>
  <c r="H14395" i="9"/>
  <c r="G14395" i="9"/>
  <c r="E14395" i="9"/>
  <c r="D14395" i="9"/>
  <c r="C14395" i="9"/>
  <c r="B14395" i="9"/>
  <c r="H14394" i="9"/>
  <c r="G14394" i="9"/>
  <c r="E14394" i="9"/>
  <c r="D14394" i="9"/>
  <c r="C14394" i="9"/>
  <c r="B14394" i="9"/>
  <c r="H14393" i="9"/>
  <c r="G14393" i="9"/>
  <c r="E14393" i="9"/>
  <c r="D14393" i="9"/>
  <c r="C14393" i="9"/>
  <c r="B14393" i="9"/>
  <c r="H14392" i="9"/>
  <c r="G14392" i="9"/>
  <c r="E14392" i="9"/>
  <c r="D14392" i="9"/>
  <c r="C14392" i="9"/>
  <c r="B14392" i="9"/>
  <c r="H14391" i="9"/>
  <c r="G14391" i="9"/>
  <c r="E14391" i="9"/>
  <c r="D14391" i="9"/>
  <c r="C14391" i="9"/>
  <c r="B14391" i="9"/>
  <c r="H14390" i="9"/>
  <c r="G14390" i="9"/>
  <c r="E14390" i="9"/>
  <c r="D14390" i="9"/>
  <c r="C14390" i="9"/>
  <c r="B14390" i="9"/>
  <c r="H14389" i="9"/>
  <c r="G14389" i="9"/>
  <c r="E14389" i="9"/>
  <c r="D14389" i="9"/>
  <c r="C14389" i="9"/>
  <c r="B14389" i="9"/>
  <c r="H14388" i="9"/>
  <c r="G14388" i="9"/>
  <c r="E14388" i="9"/>
  <c r="D14388" i="9"/>
  <c r="C14388" i="9"/>
  <c r="B14388" i="9"/>
  <c r="H14387" i="9"/>
  <c r="G14387" i="9"/>
  <c r="E14387" i="9"/>
  <c r="D14387" i="9"/>
  <c r="C14387" i="9"/>
  <c r="B14387" i="9"/>
  <c r="H14386" i="9"/>
  <c r="G14386" i="9"/>
  <c r="E14386" i="9"/>
  <c r="D14386" i="9"/>
  <c r="C14386" i="9"/>
  <c r="B14386" i="9"/>
  <c r="H14385" i="9"/>
  <c r="G14385" i="9"/>
  <c r="E14385" i="9"/>
  <c r="D14385" i="9"/>
  <c r="C14385" i="9"/>
  <c r="B14385" i="9"/>
  <c r="H14384" i="9"/>
  <c r="G14384" i="9"/>
  <c r="E14384" i="9"/>
  <c r="D14384" i="9"/>
  <c r="C14384" i="9"/>
  <c r="B14384" i="9"/>
  <c r="H14383" i="9"/>
  <c r="G14383" i="9"/>
  <c r="E14383" i="9"/>
  <c r="D14383" i="9"/>
  <c r="C14383" i="9"/>
  <c r="B14383" i="9"/>
  <c r="H14382" i="9"/>
  <c r="G14382" i="9"/>
  <c r="E14382" i="9"/>
  <c r="D14382" i="9"/>
  <c r="C14382" i="9"/>
  <c r="B14382" i="9"/>
  <c r="H14381" i="9"/>
  <c r="G14381" i="9"/>
  <c r="E14381" i="9"/>
  <c r="D14381" i="9"/>
  <c r="C14381" i="9"/>
  <c r="B14381" i="9"/>
  <c r="H14380" i="9"/>
  <c r="G14380" i="9"/>
  <c r="E14380" i="9"/>
  <c r="D14380" i="9"/>
  <c r="C14380" i="9"/>
  <c r="B14380" i="9"/>
  <c r="H14379" i="9"/>
  <c r="G14379" i="9"/>
  <c r="E14379" i="9"/>
  <c r="D14379" i="9"/>
  <c r="C14379" i="9"/>
  <c r="B14379" i="9"/>
  <c r="H14378" i="9"/>
  <c r="G14378" i="9"/>
  <c r="E14378" i="9"/>
  <c r="D14378" i="9"/>
  <c r="C14378" i="9"/>
  <c r="B14378" i="9"/>
  <c r="H14377" i="9"/>
  <c r="G14377" i="9"/>
  <c r="E14377" i="9"/>
  <c r="D14377" i="9"/>
  <c r="C14377" i="9"/>
  <c r="B14377" i="9"/>
  <c r="H14376" i="9"/>
  <c r="G14376" i="9"/>
  <c r="E14376" i="9"/>
  <c r="D14376" i="9"/>
  <c r="C14376" i="9"/>
  <c r="B14376" i="9"/>
  <c r="H14375" i="9"/>
  <c r="G14375" i="9"/>
  <c r="E14375" i="9"/>
  <c r="D14375" i="9"/>
  <c r="C14375" i="9"/>
  <c r="B14375" i="9"/>
  <c r="H14374" i="9"/>
  <c r="G14374" i="9"/>
  <c r="E14374" i="9"/>
  <c r="D14374" i="9"/>
  <c r="C14374" i="9"/>
  <c r="B14374" i="9"/>
  <c r="H14373" i="9"/>
  <c r="G14373" i="9"/>
  <c r="E14373" i="9"/>
  <c r="D14373" i="9"/>
  <c r="C14373" i="9"/>
  <c r="B14373" i="9"/>
  <c r="H14372" i="9"/>
  <c r="G14372" i="9"/>
  <c r="E14372" i="9"/>
  <c r="D14372" i="9"/>
  <c r="C14372" i="9"/>
  <c r="B14372" i="9"/>
  <c r="H14371" i="9"/>
  <c r="G14371" i="9"/>
  <c r="E14371" i="9"/>
  <c r="D14371" i="9"/>
  <c r="C14371" i="9"/>
  <c r="B14371" i="9"/>
  <c r="H14370" i="9"/>
  <c r="G14370" i="9"/>
  <c r="E14370" i="9"/>
  <c r="D14370" i="9"/>
  <c r="C14370" i="9"/>
  <c r="B14370" i="9"/>
  <c r="H14369" i="9"/>
  <c r="G14369" i="9"/>
  <c r="E14369" i="9"/>
  <c r="D14369" i="9"/>
  <c r="C14369" i="9"/>
  <c r="B14369" i="9"/>
  <c r="H14368" i="9"/>
  <c r="G14368" i="9"/>
  <c r="E14368" i="9"/>
  <c r="D14368" i="9"/>
  <c r="C14368" i="9"/>
  <c r="B14368" i="9"/>
  <c r="H14367" i="9"/>
  <c r="G14367" i="9"/>
  <c r="E14367" i="9"/>
  <c r="D14367" i="9"/>
  <c r="C14367" i="9"/>
  <c r="B14367" i="9"/>
  <c r="H14366" i="9"/>
  <c r="G14366" i="9"/>
  <c r="E14366" i="9"/>
  <c r="D14366" i="9"/>
  <c r="C14366" i="9"/>
  <c r="B14366" i="9"/>
  <c r="H14365" i="9"/>
  <c r="G14365" i="9"/>
  <c r="E14365" i="9"/>
  <c r="D14365" i="9"/>
  <c r="C14365" i="9"/>
  <c r="B14365" i="9"/>
  <c r="H14364" i="9"/>
  <c r="G14364" i="9"/>
  <c r="E14364" i="9"/>
  <c r="D14364" i="9"/>
  <c r="C14364" i="9"/>
  <c r="B14364" i="9"/>
  <c r="H14363" i="9"/>
  <c r="G14363" i="9"/>
  <c r="E14363" i="9"/>
  <c r="D14363" i="9"/>
  <c r="C14363" i="9"/>
  <c r="B14363" i="9"/>
  <c r="H14362" i="9"/>
  <c r="G14362" i="9"/>
  <c r="E14362" i="9"/>
  <c r="D14362" i="9"/>
  <c r="C14362" i="9"/>
  <c r="B14362" i="9"/>
  <c r="H14361" i="9"/>
  <c r="G14361" i="9"/>
  <c r="E14361" i="9"/>
  <c r="D14361" i="9"/>
  <c r="C14361" i="9"/>
  <c r="B14361" i="9"/>
  <c r="H14360" i="9"/>
  <c r="G14360" i="9"/>
  <c r="E14360" i="9"/>
  <c r="D14360" i="9"/>
  <c r="C14360" i="9"/>
  <c r="B14360" i="9"/>
  <c r="H14359" i="9"/>
  <c r="G14359" i="9"/>
  <c r="E14359" i="9"/>
  <c r="D14359" i="9"/>
  <c r="C14359" i="9"/>
  <c r="B14359" i="9"/>
  <c r="H14358" i="9"/>
  <c r="G14358" i="9"/>
  <c r="E14358" i="9"/>
  <c r="D14358" i="9"/>
  <c r="C14358" i="9"/>
  <c r="B14358" i="9"/>
  <c r="H14357" i="9"/>
  <c r="G14357" i="9"/>
  <c r="E14357" i="9"/>
  <c r="D14357" i="9"/>
  <c r="C14357" i="9"/>
  <c r="B14357" i="9"/>
  <c r="H14356" i="9"/>
  <c r="G14356" i="9"/>
  <c r="E14356" i="9"/>
  <c r="D14356" i="9"/>
  <c r="C14356" i="9"/>
  <c r="B14356" i="9"/>
  <c r="H14355" i="9"/>
  <c r="G14355" i="9"/>
  <c r="E14355" i="9"/>
  <c r="D14355" i="9"/>
  <c r="C14355" i="9"/>
  <c r="B14355" i="9"/>
  <c r="H14354" i="9"/>
  <c r="G14354" i="9"/>
  <c r="E14354" i="9"/>
  <c r="D14354" i="9"/>
  <c r="C14354" i="9"/>
  <c r="B14354" i="9"/>
  <c r="H14353" i="9"/>
  <c r="G14353" i="9"/>
  <c r="E14353" i="9"/>
  <c r="D14353" i="9"/>
  <c r="C14353" i="9"/>
  <c r="B14353" i="9"/>
  <c r="H14352" i="9"/>
  <c r="G14352" i="9"/>
  <c r="E14352" i="9"/>
  <c r="D14352" i="9"/>
  <c r="C14352" i="9"/>
  <c r="B14352" i="9"/>
  <c r="H14351" i="9"/>
  <c r="G14351" i="9"/>
  <c r="E14351" i="9"/>
  <c r="D14351" i="9"/>
  <c r="C14351" i="9"/>
  <c r="B14351" i="9"/>
  <c r="H14350" i="9"/>
  <c r="G14350" i="9"/>
  <c r="E14350" i="9"/>
  <c r="D14350" i="9"/>
  <c r="C14350" i="9"/>
  <c r="B14350" i="9"/>
  <c r="H14349" i="9"/>
  <c r="G14349" i="9"/>
  <c r="E14349" i="9"/>
  <c r="D14349" i="9"/>
  <c r="C14349" i="9"/>
  <c r="B14349" i="9"/>
  <c r="H14348" i="9"/>
  <c r="G14348" i="9"/>
  <c r="E14348" i="9"/>
  <c r="D14348" i="9"/>
  <c r="C14348" i="9"/>
  <c r="B14348" i="9"/>
  <c r="H14347" i="9"/>
  <c r="G14347" i="9"/>
  <c r="E14347" i="9"/>
  <c r="D14347" i="9"/>
  <c r="C14347" i="9"/>
  <c r="B14347" i="9"/>
  <c r="H14346" i="9"/>
  <c r="G14346" i="9"/>
  <c r="E14346" i="9"/>
  <c r="D14346" i="9"/>
  <c r="C14346" i="9"/>
  <c r="B14346" i="9"/>
  <c r="H14345" i="9"/>
  <c r="G14345" i="9"/>
  <c r="E14345" i="9"/>
  <c r="D14345" i="9"/>
  <c r="C14345" i="9"/>
  <c r="B14345" i="9"/>
  <c r="H14344" i="9"/>
  <c r="G14344" i="9"/>
  <c r="E14344" i="9"/>
  <c r="D14344" i="9"/>
  <c r="C14344" i="9"/>
  <c r="B14344" i="9"/>
  <c r="H14343" i="9"/>
  <c r="G14343" i="9"/>
  <c r="E14343" i="9"/>
  <c r="D14343" i="9"/>
  <c r="C14343" i="9"/>
  <c r="B14343" i="9"/>
  <c r="H14342" i="9"/>
  <c r="G14342" i="9"/>
  <c r="E14342" i="9"/>
  <c r="D14342" i="9"/>
  <c r="C14342" i="9"/>
  <c r="B14342" i="9"/>
  <c r="H14341" i="9"/>
  <c r="G14341" i="9"/>
  <c r="E14341" i="9"/>
  <c r="D14341" i="9"/>
  <c r="C14341" i="9"/>
  <c r="B14341" i="9"/>
  <c r="H14340" i="9"/>
  <c r="G14340" i="9"/>
  <c r="E14340" i="9"/>
  <c r="D14340" i="9"/>
  <c r="C14340" i="9"/>
  <c r="B14340" i="9"/>
  <c r="H14339" i="9"/>
  <c r="G14339" i="9"/>
  <c r="E14339" i="9"/>
  <c r="D14339" i="9"/>
  <c r="C14339" i="9"/>
  <c r="B14339" i="9"/>
  <c r="H14338" i="9"/>
  <c r="G14338" i="9"/>
  <c r="E14338" i="9"/>
  <c r="D14338" i="9"/>
  <c r="C14338" i="9"/>
  <c r="B14338" i="9"/>
  <c r="H14337" i="9"/>
  <c r="G14337" i="9"/>
  <c r="E14337" i="9"/>
  <c r="D14337" i="9"/>
  <c r="C14337" i="9"/>
  <c r="B14337" i="9"/>
  <c r="H14336" i="9"/>
  <c r="G14336" i="9"/>
  <c r="E14336" i="9"/>
  <c r="D14336" i="9"/>
  <c r="C14336" i="9"/>
  <c r="B14336" i="9"/>
  <c r="H14335" i="9"/>
  <c r="G14335" i="9"/>
  <c r="E14335" i="9"/>
  <c r="D14335" i="9"/>
  <c r="C14335" i="9"/>
  <c r="B14335" i="9"/>
  <c r="H14334" i="9"/>
  <c r="G14334" i="9"/>
  <c r="E14334" i="9"/>
  <c r="D14334" i="9"/>
  <c r="C14334" i="9"/>
  <c r="B14334" i="9"/>
  <c r="H14333" i="9"/>
  <c r="G14333" i="9"/>
  <c r="E14333" i="9"/>
  <c r="D14333" i="9"/>
  <c r="C14333" i="9"/>
  <c r="B14333" i="9"/>
  <c r="H14332" i="9"/>
  <c r="G14332" i="9"/>
  <c r="E14332" i="9"/>
  <c r="D14332" i="9"/>
  <c r="C14332" i="9"/>
  <c r="B14332" i="9"/>
  <c r="H14331" i="9"/>
  <c r="G14331" i="9"/>
  <c r="E14331" i="9"/>
  <c r="D14331" i="9"/>
  <c r="C14331" i="9"/>
  <c r="B14331" i="9"/>
  <c r="H14330" i="9"/>
  <c r="G14330" i="9"/>
  <c r="E14330" i="9"/>
  <c r="D14330" i="9"/>
  <c r="C14330" i="9"/>
  <c r="B14330" i="9"/>
  <c r="H14329" i="9"/>
  <c r="G14329" i="9"/>
  <c r="E14329" i="9"/>
  <c r="D14329" i="9"/>
  <c r="C14329" i="9"/>
  <c r="B14329" i="9"/>
  <c r="H14328" i="9"/>
  <c r="G14328" i="9"/>
  <c r="E14328" i="9"/>
  <c r="D14328" i="9"/>
  <c r="C14328" i="9"/>
  <c r="B14328" i="9"/>
  <c r="H14327" i="9"/>
  <c r="G14327" i="9"/>
  <c r="E14327" i="9"/>
  <c r="D14327" i="9"/>
  <c r="C14327" i="9"/>
  <c r="B14327" i="9"/>
  <c r="H14326" i="9"/>
  <c r="G14326" i="9"/>
  <c r="E14326" i="9"/>
  <c r="D14326" i="9"/>
  <c r="C14326" i="9"/>
  <c r="B14326" i="9"/>
  <c r="H14325" i="9"/>
  <c r="G14325" i="9"/>
  <c r="E14325" i="9"/>
  <c r="D14325" i="9"/>
  <c r="C14325" i="9"/>
  <c r="B14325" i="9"/>
  <c r="H14324" i="9"/>
  <c r="G14324" i="9"/>
  <c r="E14324" i="9"/>
  <c r="D14324" i="9"/>
  <c r="C14324" i="9"/>
  <c r="B14324" i="9"/>
  <c r="H14323" i="9"/>
  <c r="G14323" i="9"/>
  <c r="E14323" i="9"/>
  <c r="D14323" i="9"/>
  <c r="C14323" i="9"/>
  <c r="B14323" i="9"/>
  <c r="H14322" i="9"/>
  <c r="G14322" i="9"/>
  <c r="E14322" i="9"/>
  <c r="D14322" i="9"/>
  <c r="C14322" i="9"/>
  <c r="B14322" i="9"/>
  <c r="H14321" i="9"/>
  <c r="G14321" i="9"/>
  <c r="E14321" i="9"/>
  <c r="D14321" i="9"/>
  <c r="C14321" i="9"/>
  <c r="B14321" i="9"/>
  <c r="H14320" i="9"/>
  <c r="G14320" i="9"/>
  <c r="E14320" i="9"/>
  <c r="D14320" i="9"/>
  <c r="C14320" i="9"/>
  <c r="B14320" i="9"/>
  <c r="H14319" i="9"/>
  <c r="G14319" i="9"/>
  <c r="E14319" i="9"/>
  <c r="D14319" i="9"/>
  <c r="C14319" i="9"/>
  <c r="B14319" i="9"/>
  <c r="H14318" i="9"/>
  <c r="G14318" i="9"/>
  <c r="E14318" i="9"/>
  <c r="D14318" i="9"/>
  <c r="C14318" i="9"/>
  <c r="B14318" i="9"/>
  <c r="H14317" i="9"/>
  <c r="G14317" i="9"/>
  <c r="E14317" i="9"/>
  <c r="D14317" i="9"/>
  <c r="C14317" i="9"/>
  <c r="B14317" i="9"/>
  <c r="H14316" i="9"/>
  <c r="G14316" i="9"/>
  <c r="E14316" i="9"/>
  <c r="D14316" i="9"/>
  <c r="C14316" i="9"/>
  <c r="B14316" i="9"/>
  <c r="H14315" i="9"/>
  <c r="G14315" i="9"/>
  <c r="E14315" i="9"/>
  <c r="D14315" i="9"/>
  <c r="C14315" i="9"/>
  <c r="B14315" i="9"/>
  <c r="H14314" i="9"/>
  <c r="G14314" i="9"/>
  <c r="E14314" i="9"/>
  <c r="D14314" i="9"/>
  <c r="C14314" i="9"/>
  <c r="B14314" i="9"/>
  <c r="H14313" i="9"/>
  <c r="G14313" i="9"/>
  <c r="E14313" i="9"/>
  <c r="D14313" i="9"/>
  <c r="C14313" i="9"/>
  <c r="B14313" i="9"/>
  <c r="H14312" i="9"/>
  <c r="G14312" i="9"/>
  <c r="E14312" i="9"/>
  <c r="D14312" i="9"/>
  <c r="C14312" i="9"/>
  <c r="B14312" i="9"/>
  <c r="H14311" i="9"/>
  <c r="G14311" i="9"/>
  <c r="E14311" i="9"/>
  <c r="D14311" i="9"/>
  <c r="C14311" i="9"/>
  <c r="B14311" i="9"/>
  <c r="H14310" i="9"/>
  <c r="G14310" i="9"/>
  <c r="E14310" i="9"/>
  <c r="D14310" i="9"/>
  <c r="C14310" i="9"/>
  <c r="B14310" i="9"/>
  <c r="H14309" i="9"/>
  <c r="G14309" i="9"/>
  <c r="E14309" i="9"/>
  <c r="D14309" i="9"/>
  <c r="C14309" i="9"/>
  <c r="B14309" i="9"/>
  <c r="H14308" i="9"/>
  <c r="G14308" i="9"/>
  <c r="E14308" i="9"/>
  <c r="D14308" i="9"/>
  <c r="C14308" i="9"/>
  <c r="B14308" i="9"/>
  <c r="H14307" i="9"/>
  <c r="G14307" i="9"/>
  <c r="E14307" i="9"/>
  <c r="D14307" i="9"/>
  <c r="C14307" i="9"/>
  <c r="B14307" i="9"/>
  <c r="H14306" i="9"/>
  <c r="G14306" i="9"/>
  <c r="E14306" i="9"/>
  <c r="D14306" i="9"/>
  <c r="C14306" i="9"/>
  <c r="B14306" i="9"/>
  <c r="H14305" i="9"/>
  <c r="G14305" i="9"/>
  <c r="E14305" i="9"/>
  <c r="D14305" i="9"/>
  <c r="C14305" i="9"/>
  <c r="B14305" i="9"/>
  <c r="H14304" i="9"/>
  <c r="G14304" i="9"/>
  <c r="E14304" i="9"/>
  <c r="D14304" i="9"/>
  <c r="C14304" i="9"/>
  <c r="B14304" i="9"/>
  <c r="H14303" i="9"/>
  <c r="G14303" i="9"/>
  <c r="E14303" i="9"/>
  <c r="D14303" i="9"/>
  <c r="C14303" i="9"/>
  <c r="B14303" i="9"/>
  <c r="H14302" i="9"/>
  <c r="G14302" i="9"/>
  <c r="E14302" i="9"/>
  <c r="D14302" i="9"/>
  <c r="C14302" i="9"/>
  <c r="B14302" i="9"/>
  <c r="H14301" i="9"/>
  <c r="G14301" i="9"/>
  <c r="E14301" i="9"/>
  <c r="D14301" i="9"/>
  <c r="C14301" i="9"/>
  <c r="B14301" i="9"/>
  <c r="H14300" i="9"/>
  <c r="G14300" i="9"/>
  <c r="E14300" i="9"/>
  <c r="D14300" i="9"/>
  <c r="C14300" i="9"/>
  <c r="B14300" i="9"/>
  <c r="H14299" i="9"/>
  <c r="G14299" i="9"/>
  <c r="E14299" i="9"/>
  <c r="D14299" i="9"/>
  <c r="C14299" i="9"/>
  <c r="B14299" i="9"/>
  <c r="H14298" i="9"/>
  <c r="G14298" i="9"/>
  <c r="E14298" i="9"/>
  <c r="D14298" i="9"/>
  <c r="C14298" i="9"/>
  <c r="B14298" i="9"/>
  <c r="H14297" i="9"/>
  <c r="G14297" i="9"/>
  <c r="E14297" i="9"/>
  <c r="D14297" i="9"/>
  <c r="C14297" i="9"/>
  <c r="B14297" i="9"/>
  <c r="H14296" i="9"/>
  <c r="G14296" i="9"/>
  <c r="E14296" i="9"/>
  <c r="D14296" i="9"/>
  <c r="C14296" i="9"/>
  <c r="B14296" i="9"/>
  <c r="H14295" i="9"/>
  <c r="G14295" i="9"/>
  <c r="E14295" i="9"/>
  <c r="D14295" i="9"/>
  <c r="C14295" i="9"/>
  <c r="B14295" i="9"/>
  <c r="H14294" i="9"/>
  <c r="G14294" i="9"/>
  <c r="E14294" i="9"/>
  <c r="D14294" i="9"/>
  <c r="C14294" i="9"/>
  <c r="B14294" i="9"/>
  <c r="H14293" i="9"/>
  <c r="G14293" i="9"/>
  <c r="E14293" i="9"/>
  <c r="D14293" i="9"/>
  <c r="C14293" i="9"/>
  <c r="B14293" i="9"/>
  <c r="H14292" i="9"/>
  <c r="G14292" i="9"/>
  <c r="E14292" i="9"/>
  <c r="D14292" i="9"/>
  <c r="C14292" i="9"/>
  <c r="B14292" i="9"/>
  <c r="H14291" i="9"/>
  <c r="G14291" i="9"/>
  <c r="E14291" i="9"/>
  <c r="D14291" i="9"/>
  <c r="C14291" i="9"/>
  <c r="B14291" i="9"/>
  <c r="H14290" i="9"/>
  <c r="G14290" i="9"/>
  <c r="E14290" i="9"/>
  <c r="D14290" i="9"/>
  <c r="C14290" i="9"/>
  <c r="B14290" i="9"/>
  <c r="H14289" i="9"/>
  <c r="G14289" i="9"/>
  <c r="E14289" i="9"/>
  <c r="D14289" i="9"/>
  <c r="C14289" i="9"/>
  <c r="B14289" i="9"/>
  <c r="H14288" i="9"/>
  <c r="G14288" i="9"/>
  <c r="E14288" i="9"/>
  <c r="D14288" i="9"/>
  <c r="C14288" i="9"/>
  <c r="B14288" i="9"/>
  <c r="H14287" i="9"/>
  <c r="G14287" i="9"/>
  <c r="E14287" i="9"/>
  <c r="D14287" i="9"/>
  <c r="C14287" i="9"/>
  <c r="B14287" i="9"/>
  <c r="H14286" i="9"/>
  <c r="G14286" i="9"/>
  <c r="E14286" i="9"/>
  <c r="D14286" i="9"/>
  <c r="C14286" i="9"/>
  <c r="B14286" i="9"/>
  <c r="H14285" i="9"/>
  <c r="G14285" i="9"/>
  <c r="E14285" i="9"/>
  <c r="D14285" i="9"/>
  <c r="C14285" i="9"/>
  <c r="B14285" i="9"/>
  <c r="H14284" i="9"/>
  <c r="G14284" i="9"/>
  <c r="E14284" i="9"/>
  <c r="D14284" i="9"/>
  <c r="C14284" i="9"/>
  <c r="B14284" i="9"/>
  <c r="H14283" i="9"/>
  <c r="G14283" i="9"/>
  <c r="E14283" i="9"/>
  <c r="D14283" i="9"/>
  <c r="C14283" i="9"/>
  <c r="B14283" i="9"/>
  <c r="H14282" i="9"/>
  <c r="G14282" i="9"/>
  <c r="E14282" i="9"/>
  <c r="D14282" i="9"/>
  <c r="C14282" i="9"/>
  <c r="B14282" i="9"/>
  <c r="H14281" i="9"/>
  <c r="G14281" i="9"/>
  <c r="E14281" i="9"/>
  <c r="D14281" i="9"/>
  <c r="C14281" i="9"/>
  <c r="B14281" i="9"/>
  <c r="H14280" i="9"/>
  <c r="G14280" i="9"/>
  <c r="E14280" i="9"/>
  <c r="D14280" i="9"/>
  <c r="C14280" i="9"/>
  <c r="B14280" i="9"/>
  <c r="H14279" i="9"/>
  <c r="G14279" i="9"/>
  <c r="E14279" i="9"/>
  <c r="D14279" i="9"/>
  <c r="C14279" i="9"/>
  <c r="B14279" i="9"/>
  <c r="H14278" i="9"/>
  <c r="G14278" i="9"/>
  <c r="E14278" i="9"/>
  <c r="D14278" i="9"/>
  <c r="C14278" i="9"/>
  <c r="B14278" i="9"/>
  <c r="H14277" i="9"/>
  <c r="G14277" i="9"/>
  <c r="E14277" i="9"/>
  <c r="D14277" i="9"/>
  <c r="C14277" i="9"/>
  <c r="B14277" i="9"/>
  <c r="H14276" i="9"/>
  <c r="G14276" i="9"/>
  <c r="E14276" i="9"/>
  <c r="D14276" i="9"/>
  <c r="C14276" i="9"/>
  <c r="B14276" i="9"/>
  <c r="H14275" i="9"/>
  <c r="G14275" i="9"/>
  <c r="E14275" i="9"/>
  <c r="D14275" i="9"/>
  <c r="C14275" i="9"/>
  <c r="B14275" i="9"/>
  <c r="H14274" i="9"/>
  <c r="G14274" i="9"/>
  <c r="E14274" i="9"/>
  <c r="D14274" i="9"/>
  <c r="C14274" i="9"/>
  <c r="B14274" i="9"/>
  <c r="H14273" i="9"/>
  <c r="G14273" i="9"/>
  <c r="E14273" i="9"/>
  <c r="D14273" i="9"/>
  <c r="C14273" i="9"/>
  <c r="B14273" i="9"/>
  <c r="H14272" i="9"/>
  <c r="G14272" i="9"/>
  <c r="E14272" i="9"/>
  <c r="D14272" i="9"/>
  <c r="C14272" i="9"/>
  <c r="B14272" i="9"/>
  <c r="H14271" i="9"/>
  <c r="G14271" i="9"/>
  <c r="E14271" i="9"/>
  <c r="D14271" i="9"/>
  <c r="C14271" i="9"/>
  <c r="B14271" i="9"/>
  <c r="H14270" i="9"/>
  <c r="G14270" i="9"/>
  <c r="E14270" i="9"/>
  <c r="D14270" i="9"/>
  <c r="C14270" i="9"/>
  <c r="B14270" i="9"/>
  <c r="H14269" i="9"/>
  <c r="G14269" i="9"/>
  <c r="E14269" i="9"/>
  <c r="D14269" i="9"/>
  <c r="C14269" i="9"/>
  <c r="B14269" i="9"/>
  <c r="H14268" i="9"/>
  <c r="G14268" i="9"/>
  <c r="E14268" i="9"/>
  <c r="D14268" i="9"/>
  <c r="C14268" i="9"/>
  <c r="B14268" i="9"/>
  <c r="H14267" i="9"/>
  <c r="G14267" i="9"/>
  <c r="E14267" i="9"/>
  <c r="D14267" i="9"/>
  <c r="C14267" i="9"/>
  <c r="B14267" i="9"/>
  <c r="H14266" i="9"/>
  <c r="G14266" i="9"/>
  <c r="E14266" i="9"/>
  <c r="D14266" i="9"/>
  <c r="C14266" i="9"/>
  <c r="B14266" i="9"/>
  <c r="H14265" i="9"/>
  <c r="G14265" i="9"/>
  <c r="E14265" i="9"/>
  <c r="D14265" i="9"/>
  <c r="C14265" i="9"/>
  <c r="B14265" i="9"/>
  <c r="H14264" i="9"/>
  <c r="G14264" i="9"/>
  <c r="E14264" i="9"/>
  <c r="D14264" i="9"/>
  <c r="C14264" i="9"/>
  <c r="B14264" i="9"/>
  <c r="H14263" i="9"/>
  <c r="G14263" i="9"/>
  <c r="E14263" i="9"/>
  <c r="D14263" i="9"/>
  <c r="C14263" i="9"/>
  <c r="B14263" i="9"/>
  <c r="H14262" i="9"/>
  <c r="G14262" i="9"/>
  <c r="E14262" i="9"/>
  <c r="D14262" i="9"/>
  <c r="C14262" i="9"/>
  <c r="B14262" i="9"/>
  <c r="H14261" i="9"/>
  <c r="G14261" i="9"/>
  <c r="E14261" i="9"/>
  <c r="D14261" i="9"/>
  <c r="C14261" i="9"/>
  <c r="B14261" i="9"/>
  <c r="H14260" i="9"/>
  <c r="G14260" i="9"/>
  <c r="E14260" i="9"/>
  <c r="D14260" i="9"/>
  <c r="C14260" i="9"/>
  <c r="B14260" i="9"/>
  <c r="H14259" i="9"/>
  <c r="G14259" i="9"/>
  <c r="E14259" i="9"/>
  <c r="D14259" i="9"/>
  <c r="C14259" i="9"/>
  <c r="B14259" i="9"/>
  <c r="H14258" i="9"/>
  <c r="G14258" i="9"/>
  <c r="E14258" i="9"/>
  <c r="D14258" i="9"/>
  <c r="C14258" i="9"/>
  <c r="B14258" i="9"/>
  <c r="H14257" i="9"/>
  <c r="G14257" i="9"/>
  <c r="E14257" i="9"/>
  <c r="D14257" i="9"/>
  <c r="C14257" i="9"/>
  <c r="B14257" i="9"/>
  <c r="H14256" i="9"/>
  <c r="G14256" i="9"/>
  <c r="E14256" i="9"/>
  <c r="D14256" i="9"/>
  <c r="C14256" i="9"/>
  <c r="B14256" i="9"/>
  <c r="H14255" i="9"/>
  <c r="G14255" i="9"/>
  <c r="E14255" i="9"/>
  <c r="D14255" i="9"/>
  <c r="C14255" i="9"/>
  <c r="B14255" i="9"/>
  <c r="H14254" i="9"/>
  <c r="G14254" i="9"/>
  <c r="E14254" i="9"/>
  <c r="D14254" i="9"/>
  <c r="C14254" i="9"/>
  <c r="B14254" i="9"/>
  <c r="H14253" i="9"/>
  <c r="G14253" i="9"/>
  <c r="E14253" i="9"/>
  <c r="D14253" i="9"/>
  <c r="C14253" i="9"/>
  <c r="B14253" i="9"/>
  <c r="H14252" i="9"/>
  <c r="G14252" i="9"/>
  <c r="E14252" i="9"/>
  <c r="D14252" i="9"/>
  <c r="C14252" i="9"/>
  <c r="B14252" i="9"/>
  <c r="H14251" i="9"/>
  <c r="G14251" i="9"/>
  <c r="E14251" i="9"/>
  <c r="D14251" i="9"/>
  <c r="C14251" i="9"/>
  <c r="B14251" i="9"/>
  <c r="H14250" i="9"/>
  <c r="G14250" i="9"/>
  <c r="E14250" i="9"/>
  <c r="D14250" i="9"/>
  <c r="C14250" i="9"/>
  <c r="B14250" i="9"/>
  <c r="H14249" i="9"/>
  <c r="G14249" i="9"/>
  <c r="E14249" i="9"/>
  <c r="D14249" i="9"/>
  <c r="C14249" i="9"/>
  <c r="B14249" i="9"/>
  <c r="H14248" i="9"/>
  <c r="G14248" i="9"/>
  <c r="E14248" i="9"/>
  <c r="D14248" i="9"/>
  <c r="C14248" i="9"/>
  <c r="B14248" i="9"/>
  <c r="H14247" i="9"/>
  <c r="G14247" i="9"/>
  <c r="E14247" i="9"/>
  <c r="D14247" i="9"/>
  <c r="C14247" i="9"/>
  <c r="B14247" i="9"/>
  <c r="H14246" i="9"/>
  <c r="G14246" i="9"/>
  <c r="E14246" i="9"/>
  <c r="D14246" i="9"/>
  <c r="C14246" i="9"/>
  <c r="B14246" i="9"/>
  <c r="H14245" i="9"/>
  <c r="G14245" i="9"/>
  <c r="E14245" i="9"/>
  <c r="D14245" i="9"/>
  <c r="C14245" i="9"/>
  <c r="B14245" i="9"/>
  <c r="H14244" i="9"/>
  <c r="G14244" i="9"/>
  <c r="E14244" i="9"/>
  <c r="D14244" i="9"/>
  <c r="C14244" i="9"/>
  <c r="B14244" i="9"/>
  <c r="H14243" i="9"/>
  <c r="G14243" i="9"/>
  <c r="E14243" i="9"/>
  <c r="D14243" i="9"/>
  <c r="C14243" i="9"/>
  <c r="B14243" i="9"/>
  <c r="H14242" i="9"/>
  <c r="G14242" i="9"/>
  <c r="E14242" i="9"/>
  <c r="D14242" i="9"/>
  <c r="C14242" i="9"/>
  <c r="B14242" i="9"/>
  <c r="H14241" i="9"/>
  <c r="G14241" i="9"/>
  <c r="E14241" i="9"/>
  <c r="D14241" i="9"/>
  <c r="C14241" i="9"/>
  <c r="B14241" i="9"/>
  <c r="H14240" i="9"/>
  <c r="G14240" i="9"/>
  <c r="E14240" i="9"/>
  <c r="D14240" i="9"/>
  <c r="C14240" i="9"/>
  <c r="B14240" i="9"/>
  <c r="H14239" i="9"/>
  <c r="G14239" i="9"/>
  <c r="E14239" i="9"/>
  <c r="D14239" i="9"/>
  <c r="C14239" i="9"/>
  <c r="B14239" i="9"/>
  <c r="H14238" i="9"/>
  <c r="G14238" i="9"/>
  <c r="E14238" i="9"/>
  <c r="D14238" i="9"/>
  <c r="C14238" i="9"/>
  <c r="B14238" i="9"/>
  <c r="H14237" i="9"/>
  <c r="G14237" i="9"/>
  <c r="E14237" i="9"/>
  <c r="D14237" i="9"/>
  <c r="C14237" i="9"/>
  <c r="B14237" i="9"/>
  <c r="H14236" i="9"/>
  <c r="G14236" i="9"/>
  <c r="E14236" i="9"/>
  <c r="D14236" i="9"/>
  <c r="C14236" i="9"/>
  <c r="B14236" i="9"/>
  <c r="H14235" i="9"/>
  <c r="G14235" i="9"/>
  <c r="E14235" i="9"/>
  <c r="D14235" i="9"/>
  <c r="C14235" i="9"/>
  <c r="B14235" i="9"/>
  <c r="H14234" i="9"/>
  <c r="G14234" i="9"/>
  <c r="E14234" i="9"/>
  <c r="D14234" i="9"/>
  <c r="C14234" i="9"/>
  <c r="B14234" i="9"/>
  <c r="H14233" i="9"/>
  <c r="G14233" i="9"/>
  <c r="E14233" i="9"/>
  <c r="D14233" i="9"/>
  <c r="C14233" i="9"/>
  <c r="B14233" i="9"/>
  <c r="H14232" i="9"/>
  <c r="G14232" i="9"/>
  <c r="E14232" i="9"/>
  <c r="D14232" i="9"/>
  <c r="C14232" i="9"/>
  <c r="B14232" i="9"/>
  <c r="H14231" i="9"/>
  <c r="G14231" i="9"/>
  <c r="E14231" i="9"/>
  <c r="D14231" i="9"/>
  <c r="C14231" i="9"/>
  <c r="B14231" i="9"/>
  <c r="H14230" i="9"/>
  <c r="G14230" i="9"/>
  <c r="E14230" i="9"/>
  <c r="D14230" i="9"/>
  <c r="C14230" i="9"/>
  <c r="B14230" i="9"/>
  <c r="H14229" i="9"/>
  <c r="G14229" i="9"/>
  <c r="E14229" i="9"/>
  <c r="D14229" i="9"/>
  <c r="C14229" i="9"/>
  <c r="B14229" i="9"/>
  <c r="H14228" i="9"/>
  <c r="G14228" i="9"/>
  <c r="E14228" i="9"/>
  <c r="D14228" i="9"/>
  <c r="C14228" i="9"/>
  <c r="B14228" i="9"/>
  <c r="H14227" i="9"/>
  <c r="G14227" i="9"/>
  <c r="E14227" i="9"/>
  <c r="D14227" i="9"/>
  <c r="C14227" i="9"/>
  <c r="B14227" i="9"/>
  <c r="H14226" i="9"/>
  <c r="G14226" i="9"/>
  <c r="E14226" i="9"/>
  <c r="D14226" i="9"/>
  <c r="C14226" i="9"/>
  <c r="B14226" i="9"/>
  <c r="H14225" i="9"/>
  <c r="G14225" i="9"/>
  <c r="E14225" i="9"/>
  <c r="D14225" i="9"/>
  <c r="C14225" i="9"/>
  <c r="B14225" i="9"/>
  <c r="H14224" i="9"/>
  <c r="G14224" i="9"/>
  <c r="E14224" i="9"/>
  <c r="D14224" i="9"/>
  <c r="C14224" i="9"/>
  <c r="B14224" i="9"/>
  <c r="H14223" i="9"/>
  <c r="G14223" i="9"/>
  <c r="E14223" i="9"/>
  <c r="D14223" i="9"/>
  <c r="C14223" i="9"/>
  <c r="B14223" i="9"/>
  <c r="H14222" i="9"/>
  <c r="G14222" i="9"/>
  <c r="E14222" i="9"/>
  <c r="D14222" i="9"/>
  <c r="C14222" i="9"/>
  <c r="B14222" i="9"/>
  <c r="H14221" i="9"/>
  <c r="G14221" i="9"/>
  <c r="E14221" i="9"/>
  <c r="D14221" i="9"/>
  <c r="C14221" i="9"/>
  <c r="B14221" i="9"/>
  <c r="H14220" i="9"/>
  <c r="G14220" i="9"/>
  <c r="E14220" i="9"/>
  <c r="D14220" i="9"/>
  <c r="C14220" i="9"/>
  <c r="B14220" i="9"/>
  <c r="H14219" i="9"/>
  <c r="G14219" i="9"/>
  <c r="E14219" i="9"/>
  <c r="D14219" i="9"/>
  <c r="C14219" i="9"/>
  <c r="B14219" i="9"/>
  <c r="H14218" i="9"/>
  <c r="G14218" i="9"/>
  <c r="E14218" i="9"/>
  <c r="D14218" i="9"/>
  <c r="C14218" i="9"/>
  <c r="B14218" i="9"/>
  <c r="H14217" i="9"/>
  <c r="G14217" i="9"/>
  <c r="E14217" i="9"/>
  <c r="D14217" i="9"/>
  <c r="C14217" i="9"/>
  <c r="B14217" i="9"/>
  <c r="H14216" i="9"/>
  <c r="G14216" i="9"/>
  <c r="E14216" i="9"/>
  <c r="D14216" i="9"/>
  <c r="C14216" i="9"/>
  <c r="B14216" i="9"/>
  <c r="H14215" i="9"/>
  <c r="G14215" i="9"/>
  <c r="E14215" i="9"/>
  <c r="D14215" i="9"/>
  <c r="C14215" i="9"/>
  <c r="B14215" i="9"/>
  <c r="H14214" i="9"/>
  <c r="G14214" i="9"/>
  <c r="E14214" i="9"/>
  <c r="D14214" i="9"/>
  <c r="C14214" i="9"/>
  <c r="B14214" i="9"/>
  <c r="H14213" i="9"/>
  <c r="G14213" i="9"/>
  <c r="E14213" i="9"/>
  <c r="D14213" i="9"/>
  <c r="C14213" i="9"/>
  <c r="B14213" i="9"/>
  <c r="H14212" i="9"/>
  <c r="G14212" i="9"/>
  <c r="E14212" i="9"/>
  <c r="D14212" i="9"/>
  <c r="C14212" i="9"/>
  <c r="B14212" i="9"/>
  <c r="H14211" i="9"/>
  <c r="G14211" i="9"/>
  <c r="E14211" i="9"/>
  <c r="D14211" i="9"/>
  <c r="C14211" i="9"/>
  <c r="B14211" i="9"/>
  <c r="H14210" i="9"/>
  <c r="G14210" i="9"/>
  <c r="E14210" i="9"/>
  <c r="D14210" i="9"/>
  <c r="C14210" i="9"/>
  <c r="B14210" i="9"/>
  <c r="H14209" i="9"/>
  <c r="G14209" i="9"/>
  <c r="E14209" i="9"/>
  <c r="D14209" i="9"/>
  <c r="C14209" i="9"/>
  <c r="B14209" i="9"/>
  <c r="H14208" i="9"/>
  <c r="G14208" i="9"/>
  <c r="E14208" i="9"/>
  <c r="D14208" i="9"/>
  <c r="C14208" i="9"/>
  <c r="B14208" i="9"/>
  <c r="H14207" i="9"/>
  <c r="G14207" i="9"/>
  <c r="E14207" i="9"/>
  <c r="D14207" i="9"/>
  <c r="C14207" i="9"/>
  <c r="B14207" i="9"/>
  <c r="H14206" i="9"/>
  <c r="G14206" i="9"/>
  <c r="E14206" i="9"/>
  <c r="D14206" i="9"/>
  <c r="C14206" i="9"/>
  <c r="B14206" i="9"/>
  <c r="H14205" i="9"/>
  <c r="G14205" i="9"/>
  <c r="E14205" i="9"/>
  <c r="D14205" i="9"/>
  <c r="C14205" i="9"/>
  <c r="B14205" i="9"/>
  <c r="H14204" i="9"/>
  <c r="G14204" i="9"/>
  <c r="E14204" i="9"/>
  <c r="D14204" i="9"/>
  <c r="C14204" i="9"/>
  <c r="B14204" i="9"/>
  <c r="H14203" i="9"/>
  <c r="G14203" i="9"/>
  <c r="E14203" i="9"/>
  <c r="D14203" i="9"/>
  <c r="C14203" i="9"/>
  <c r="B14203" i="9"/>
  <c r="H14202" i="9"/>
  <c r="G14202" i="9"/>
  <c r="E14202" i="9"/>
  <c r="D14202" i="9"/>
  <c r="C14202" i="9"/>
  <c r="B14202" i="9"/>
  <c r="H14201" i="9"/>
  <c r="G14201" i="9"/>
  <c r="E14201" i="9"/>
  <c r="D14201" i="9"/>
  <c r="C14201" i="9"/>
  <c r="B14201" i="9"/>
  <c r="H14200" i="9"/>
  <c r="G14200" i="9"/>
  <c r="E14200" i="9"/>
  <c r="D14200" i="9"/>
  <c r="C14200" i="9"/>
  <c r="B14200" i="9"/>
  <c r="H14199" i="9"/>
  <c r="G14199" i="9"/>
  <c r="E14199" i="9"/>
  <c r="D14199" i="9"/>
  <c r="C14199" i="9"/>
  <c r="B14199" i="9"/>
  <c r="H14198" i="9"/>
  <c r="G14198" i="9"/>
  <c r="E14198" i="9"/>
  <c r="D14198" i="9"/>
  <c r="C14198" i="9"/>
  <c r="B14198" i="9"/>
  <c r="H14197" i="9"/>
  <c r="G14197" i="9"/>
  <c r="E14197" i="9"/>
  <c r="D14197" i="9"/>
  <c r="C14197" i="9"/>
  <c r="B14197" i="9"/>
  <c r="H14196" i="9"/>
  <c r="G14196" i="9"/>
  <c r="E14196" i="9"/>
  <c r="D14196" i="9"/>
  <c r="C14196" i="9"/>
  <c r="B14196" i="9"/>
  <c r="H14195" i="9"/>
  <c r="G14195" i="9"/>
  <c r="E14195" i="9"/>
  <c r="D14195" i="9"/>
  <c r="C14195" i="9"/>
  <c r="B14195" i="9"/>
  <c r="H14194" i="9"/>
  <c r="G14194" i="9"/>
  <c r="E14194" i="9"/>
  <c r="D14194" i="9"/>
  <c r="C14194" i="9"/>
  <c r="B14194" i="9"/>
  <c r="H14193" i="9"/>
  <c r="G14193" i="9"/>
  <c r="E14193" i="9"/>
  <c r="D14193" i="9"/>
  <c r="C14193" i="9"/>
  <c r="B14193" i="9"/>
  <c r="H14192" i="9"/>
  <c r="G14192" i="9"/>
  <c r="E14192" i="9"/>
  <c r="D14192" i="9"/>
  <c r="C14192" i="9"/>
  <c r="B14192" i="9"/>
  <c r="H14191" i="9"/>
  <c r="G14191" i="9"/>
  <c r="E14191" i="9"/>
  <c r="D14191" i="9"/>
  <c r="C14191" i="9"/>
  <c r="B14191" i="9"/>
  <c r="H14190" i="9"/>
  <c r="G14190" i="9"/>
  <c r="E14190" i="9"/>
  <c r="D14190" i="9"/>
  <c r="C14190" i="9"/>
  <c r="B14190" i="9"/>
  <c r="H14189" i="9"/>
  <c r="G14189" i="9"/>
  <c r="E14189" i="9"/>
  <c r="D14189" i="9"/>
  <c r="C14189" i="9"/>
  <c r="B14189" i="9"/>
  <c r="H14188" i="9"/>
  <c r="G14188" i="9"/>
  <c r="E14188" i="9"/>
  <c r="D14188" i="9"/>
  <c r="C14188" i="9"/>
  <c r="B14188" i="9"/>
  <c r="H14187" i="9"/>
  <c r="G14187" i="9"/>
  <c r="E14187" i="9"/>
  <c r="D14187" i="9"/>
  <c r="C14187" i="9"/>
  <c r="B14187" i="9"/>
  <c r="H14186" i="9"/>
  <c r="G14186" i="9"/>
  <c r="E14186" i="9"/>
  <c r="D14186" i="9"/>
  <c r="C14186" i="9"/>
  <c r="B14186" i="9"/>
  <c r="H14185" i="9"/>
  <c r="G14185" i="9"/>
  <c r="E14185" i="9"/>
  <c r="D14185" i="9"/>
  <c r="C14185" i="9"/>
  <c r="B14185" i="9"/>
  <c r="H14184" i="9"/>
  <c r="G14184" i="9"/>
  <c r="E14184" i="9"/>
  <c r="D14184" i="9"/>
  <c r="C14184" i="9"/>
  <c r="B14184" i="9"/>
  <c r="H14183" i="9"/>
  <c r="G14183" i="9"/>
  <c r="E14183" i="9"/>
  <c r="D14183" i="9"/>
  <c r="C14183" i="9"/>
  <c r="B14183" i="9"/>
  <c r="H14182" i="9"/>
  <c r="G14182" i="9"/>
  <c r="E14182" i="9"/>
  <c r="D14182" i="9"/>
  <c r="C14182" i="9"/>
  <c r="B14182" i="9"/>
  <c r="H14181" i="9"/>
  <c r="G14181" i="9"/>
  <c r="E14181" i="9"/>
  <c r="D14181" i="9"/>
  <c r="C14181" i="9"/>
  <c r="B14181" i="9"/>
  <c r="H14180" i="9"/>
  <c r="G14180" i="9"/>
  <c r="E14180" i="9"/>
  <c r="D14180" i="9"/>
  <c r="C14180" i="9"/>
  <c r="B14180" i="9"/>
  <c r="H14179" i="9"/>
  <c r="G14179" i="9"/>
  <c r="E14179" i="9"/>
  <c r="D14179" i="9"/>
  <c r="C14179" i="9"/>
  <c r="B14179" i="9"/>
  <c r="H14178" i="9"/>
  <c r="G14178" i="9"/>
  <c r="E14178" i="9"/>
  <c r="D14178" i="9"/>
  <c r="C14178" i="9"/>
  <c r="B14178" i="9"/>
  <c r="H14177" i="9"/>
  <c r="G14177" i="9"/>
  <c r="E14177" i="9"/>
  <c r="D14177" i="9"/>
  <c r="C14177" i="9"/>
  <c r="B14177" i="9"/>
  <c r="H14176" i="9"/>
  <c r="G14176" i="9"/>
  <c r="E14176" i="9"/>
  <c r="D14176" i="9"/>
  <c r="C14176" i="9"/>
  <c r="B14176" i="9"/>
  <c r="H14175" i="9"/>
  <c r="G14175" i="9"/>
  <c r="E14175" i="9"/>
  <c r="D14175" i="9"/>
  <c r="C14175" i="9"/>
  <c r="B14175" i="9"/>
  <c r="H14174" i="9"/>
  <c r="G14174" i="9"/>
  <c r="E14174" i="9"/>
  <c r="D14174" i="9"/>
  <c r="C14174" i="9"/>
  <c r="B14174" i="9"/>
  <c r="H14173" i="9"/>
  <c r="G14173" i="9"/>
  <c r="E14173" i="9"/>
  <c r="D14173" i="9"/>
  <c r="C14173" i="9"/>
  <c r="B14173" i="9"/>
  <c r="H14172" i="9"/>
  <c r="G14172" i="9"/>
  <c r="E14172" i="9"/>
  <c r="D14172" i="9"/>
  <c r="C14172" i="9"/>
  <c r="B14172" i="9"/>
  <c r="H14171" i="9"/>
  <c r="G14171" i="9"/>
  <c r="E14171" i="9"/>
  <c r="D14171" i="9"/>
  <c r="C14171" i="9"/>
  <c r="B14171" i="9"/>
  <c r="H14170" i="9"/>
  <c r="G14170" i="9"/>
  <c r="E14170" i="9"/>
  <c r="D14170" i="9"/>
  <c r="C14170" i="9"/>
  <c r="B14170" i="9"/>
  <c r="H14169" i="9"/>
  <c r="G14169" i="9"/>
  <c r="E14169" i="9"/>
  <c r="D14169" i="9"/>
  <c r="C14169" i="9"/>
  <c r="B14169" i="9"/>
  <c r="H14168" i="9"/>
  <c r="G14168" i="9"/>
  <c r="E14168" i="9"/>
  <c r="D14168" i="9"/>
  <c r="C14168" i="9"/>
  <c r="B14168" i="9"/>
  <c r="H14167" i="9"/>
  <c r="G14167" i="9"/>
  <c r="E14167" i="9"/>
  <c r="D14167" i="9"/>
  <c r="C14167" i="9"/>
  <c r="B14167" i="9"/>
  <c r="H14166" i="9"/>
  <c r="G14166" i="9"/>
  <c r="E14166" i="9"/>
  <c r="D14166" i="9"/>
  <c r="C14166" i="9"/>
  <c r="B14166" i="9"/>
  <c r="H14165" i="9"/>
  <c r="G14165" i="9"/>
  <c r="E14165" i="9"/>
  <c r="D14165" i="9"/>
  <c r="C14165" i="9"/>
  <c r="B14165" i="9"/>
  <c r="H14164" i="9"/>
  <c r="G14164" i="9"/>
  <c r="E14164" i="9"/>
  <c r="D14164" i="9"/>
  <c r="C14164" i="9"/>
  <c r="B14164" i="9"/>
  <c r="H14163" i="9"/>
  <c r="G14163" i="9"/>
  <c r="E14163" i="9"/>
  <c r="D14163" i="9"/>
  <c r="C14163" i="9"/>
  <c r="B14163" i="9"/>
  <c r="H14162" i="9"/>
  <c r="G14162" i="9"/>
  <c r="E14162" i="9"/>
  <c r="D14162" i="9"/>
  <c r="C14162" i="9"/>
  <c r="B14162" i="9"/>
  <c r="H14161" i="9"/>
  <c r="G14161" i="9"/>
  <c r="E14161" i="9"/>
  <c r="D14161" i="9"/>
  <c r="C14161" i="9"/>
  <c r="B14161" i="9"/>
  <c r="H14160" i="9"/>
  <c r="G14160" i="9"/>
  <c r="E14160" i="9"/>
  <c r="D14160" i="9"/>
  <c r="C14160" i="9"/>
  <c r="B14160" i="9"/>
  <c r="H14159" i="9"/>
  <c r="G14159" i="9"/>
  <c r="E14159" i="9"/>
  <c r="D14159" i="9"/>
  <c r="C14159" i="9"/>
  <c r="B14159" i="9"/>
  <c r="H14158" i="9"/>
  <c r="G14158" i="9"/>
  <c r="E14158" i="9"/>
  <c r="D14158" i="9"/>
  <c r="C14158" i="9"/>
  <c r="B14158" i="9"/>
  <c r="H14157" i="9"/>
  <c r="G14157" i="9"/>
  <c r="E14157" i="9"/>
  <c r="D14157" i="9"/>
  <c r="C14157" i="9"/>
  <c r="B14157" i="9"/>
  <c r="H14156" i="9"/>
  <c r="G14156" i="9"/>
  <c r="E14156" i="9"/>
  <c r="D14156" i="9"/>
  <c r="C14156" i="9"/>
  <c r="B14156" i="9"/>
  <c r="H14155" i="9"/>
  <c r="G14155" i="9"/>
  <c r="E14155" i="9"/>
  <c r="D14155" i="9"/>
  <c r="C14155" i="9"/>
  <c r="B14155" i="9"/>
  <c r="H14154" i="9"/>
  <c r="G14154" i="9"/>
  <c r="E14154" i="9"/>
  <c r="D14154" i="9"/>
  <c r="C14154" i="9"/>
  <c r="B14154" i="9"/>
  <c r="H14153" i="9"/>
  <c r="G14153" i="9"/>
  <c r="E14153" i="9"/>
  <c r="D14153" i="9"/>
  <c r="C14153" i="9"/>
  <c r="B14153" i="9"/>
  <c r="H14152" i="9"/>
  <c r="G14152" i="9"/>
  <c r="E14152" i="9"/>
  <c r="D14152" i="9"/>
  <c r="C14152" i="9"/>
  <c r="B14152" i="9"/>
  <c r="H14151" i="9"/>
  <c r="G14151" i="9"/>
  <c r="E14151" i="9"/>
  <c r="D14151" i="9"/>
  <c r="C14151" i="9"/>
  <c r="B14151" i="9"/>
  <c r="H14150" i="9"/>
  <c r="G14150" i="9"/>
  <c r="E14150" i="9"/>
  <c r="D14150" i="9"/>
  <c r="C14150" i="9"/>
  <c r="B14150" i="9"/>
  <c r="H14149" i="9"/>
  <c r="G14149" i="9"/>
  <c r="E14149" i="9"/>
  <c r="D14149" i="9"/>
  <c r="C14149" i="9"/>
  <c r="B14149" i="9"/>
  <c r="H14148" i="9"/>
  <c r="G14148" i="9"/>
  <c r="E14148" i="9"/>
  <c r="D14148" i="9"/>
  <c r="C14148" i="9"/>
  <c r="B14148" i="9"/>
  <c r="H14147" i="9"/>
  <c r="G14147" i="9"/>
  <c r="E14147" i="9"/>
  <c r="D14147" i="9"/>
  <c r="C14147" i="9"/>
  <c r="B14147" i="9"/>
  <c r="H14146" i="9"/>
  <c r="G14146" i="9"/>
  <c r="E14146" i="9"/>
  <c r="D14146" i="9"/>
  <c r="C14146" i="9"/>
  <c r="B14146" i="9"/>
  <c r="H14145" i="9"/>
  <c r="G14145" i="9"/>
  <c r="E14145" i="9"/>
  <c r="D14145" i="9"/>
  <c r="C14145" i="9"/>
  <c r="B14145" i="9"/>
  <c r="H14144" i="9"/>
  <c r="G14144" i="9"/>
  <c r="E14144" i="9"/>
  <c r="D14144" i="9"/>
  <c r="C14144" i="9"/>
  <c r="B14144" i="9"/>
  <c r="H14143" i="9"/>
  <c r="G14143" i="9"/>
  <c r="E14143" i="9"/>
  <c r="D14143" i="9"/>
  <c r="C14143" i="9"/>
  <c r="B14143" i="9"/>
  <c r="H14142" i="9"/>
  <c r="G14142" i="9"/>
  <c r="E14142" i="9"/>
  <c r="D14142" i="9"/>
  <c r="C14142" i="9"/>
  <c r="B14142" i="9"/>
  <c r="H14141" i="9"/>
  <c r="G14141" i="9"/>
  <c r="E14141" i="9"/>
  <c r="D14141" i="9"/>
  <c r="C14141" i="9"/>
  <c r="B14141" i="9"/>
  <c r="H14140" i="9"/>
  <c r="G14140" i="9"/>
  <c r="E14140" i="9"/>
  <c r="D14140" i="9"/>
  <c r="C14140" i="9"/>
  <c r="B14140" i="9"/>
  <c r="H14139" i="9"/>
  <c r="G14139" i="9"/>
  <c r="E14139" i="9"/>
  <c r="D14139" i="9"/>
  <c r="C14139" i="9"/>
  <c r="B14139" i="9"/>
  <c r="H14138" i="9"/>
  <c r="G14138" i="9"/>
  <c r="E14138" i="9"/>
  <c r="D14138" i="9"/>
  <c r="C14138" i="9"/>
  <c r="B14138" i="9"/>
  <c r="H14137" i="9"/>
  <c r="G14137" i="9"/>
  <c r="E14137" i="9"/>
  <c r="D14137" i="9"/>
  <c r="C14137" i="9"/>
  <c r="B14137" i="9"/>
  <c r="H14136" i="9"/>
  <c r="G14136" i="9"/>
  <c r="E14136" i="9"/>
  <c r="D14136" i="9"/>
  <c r="C14136" i="9"/>
  <c r="B14136" i="9"/>
  <c r="H14135" i="9"/>
  <c r="G14135" i="9"/>
  <c r="E14135" i="9"/>
  <c r="D14135" i="9"/>
  <c r="C14135" i="9"/>
  <c r="B14135" i="9"/>
  <c r="H14134" i="9"/>
  <c r="G14134" i="9"/>
  <c r="E14134" i="9"/>
  <c r="D14134" i="9"/>
  <c r="C14134" i="9"/>
  <c r="B14134" i="9"/>
  <c r="H14133" i="9"/>
  <c r="G14133" i="9"/>
  <c r="E14133" i="9"/>
  <c r="D14133" i="9"/>
  <c r="C14133" i="9"/>
  <c r="B14133" i="9"/>
  <c r="H14132" i="9"/>
  <c r="G14132" i="9"/>
  <c r="E14132" i="9"/>
  <c r="D14132" i="9"/>
  <c r="C14132" i="9"/>
  <c r="B14132" i="9"/>
  <c r="H14131" i="9"/>
  <c r="G14131" i="9"/>
  <c r="E14131" i="9"/>
  <c r="D14131" i="9"/>
  <c r="C14131" i="9"/>
  <c r="B14131" i="9"/>
  <c r="H14130" i="9"/>
  <c r="G14130" i="9"/>
  <c r="E14130" i="9"/>
  <c r="D14130" i="9"/>
  <c r="C14130" i="9"/>
  <c r="B14130" i="9"/>
  <c r="H14129" i="9"/>
  <c r="G14129" i="9"/>
  <c r="E14129" i="9"/>
  <c r="D14129" i="9"/>
  <c r="C14129" i="9"/>
  <c r="B14129" i="9"/>
  <c r="H14128" i="9"/>
  <c r="G14128" i="9"/>
  <c r="E14128" i="9"/>
  <c r="D14128" i="9"/>
  <c r="C14128" i="9"/>
  <c r="B14128" i="9"/>
  <c r="H14127" i="9"/>
  <c r="G14127" i="9"/>
  <c r="E14127" i="9"/>
  <c r="D14127" i="9"/>
  <c r="C14127" i="9"/>
  <c r="B14127" i="9"/>
  <c r="H14126" i="9"/>
  <c r="G14126" i="9"/>
  <c r="E14126" i="9"/>
  <c r="D14126" i="9"/>
  <c r="C14126" i="9"/>
  <c r="B14126" i="9"/>
  <c r="H14125" i="9"/>
  <c r="G14125" i="9"/>
  <c r="E14125" i="9"/>
  <c r="D14125" i="9"/>
  <c r="C14125" i="9"/>
  <c r="B14125" i="9"/>
  <c r="H14124" i="9"/>
  <c r="G14124" i="9"/>
  <c r="E14124" i="9"/>
  <c r="D14124" i="9"/>
  <c r="C14124" i="9"/>
  <c r="B14124" i="9"/>
  <c r="H14123" i="9"/>
  <c r="G14123" i="9"/>
  <c r="E14123" i="9"/>
  <c r="D14123" i="9"/>
  <c r="C14123" i="9"/>
  <c r="B14123" i="9"/>
  <c r="H14122" i="9"/>
  <c r="G14122" i="9"/>
  <c r="E14122" i="9"/>
  <c r="D14122" i="9"/>
  <c r="C14122" i="9"/>
  <c r="B14122" i="9"/>
  <c r="H14121" i="9"/>
  <c r="G14121" i="9"/>
  <c r="E14121" i="9"/>
  <c r="D14121" i="9"/>
  <c r="C14121" i="9"/>
  <c r="B14121" i="9"/>
  <c r="H14120" i="9"/>
  <c r="G14120" i="9"/>
  <c r="E14120" i="9"/>
  <c r="D14120" i="9"/>
  <c r="C14120" i="9"/>
  <c r="B14120" i="9"/>
  <c r="H14119" i="9"/>
  <c r="G14119" i="9"/>
  <c r="E14119" i="9"/>
  <c r="D14119" i="9"/>
  <c r="C14119" i="9"/>
  <c r="B14119" i="9"/>
  <c r="H14118" i="9"/>
  <c r="G14118" i="9"/>
  <c r="E14118" i="9"/>
  <c r="D14118" i="9"/>
  <c r="C14118" i="9"/>
  <c r="B14118" i="9"/>
  <c r="H14117" i="9"/>
  <c r="G14117" i="9"/>
  <c r="E14117" i="9"/>
  <c r="D14117" i="9"/>
  <c r="C14117" i="9"/>
  <c r="B14117" i="9"/>
  <c r="H14116" i="9"/>
  <c r="G14116" i="9"/>
  <c r="E14116" i="9"/>
  <c r="D14116" i="9"/>
  <c r="C14116" i="9"/>
  <c r="B14116" i="9"/>
  <c r="H14115" i="9"/>
  <c r="G14115" i="9"/>
  <c r="E14115" i="9"/>
  <c r="D14115" i="9"/>
  <c r="C14115" i="9"/>
  <c r="B14115" i="9"/>
  <c r="H14114" i="9"/>
  <c r="G14114" i="9"/>
  <c r="E14114" i="9"/>
  <c r="D14114" i="9"/>
  <c r="C14114" i="9"/>
  <c r="B14114" i="9"/>
  <c r="H14113" i="9"/>
  <c r="G14113" i="9"/>
  <c r="E14113" i="9"/>
  <c r="D14113" i="9"/>
  <c r="C14113" i="9"/>
  <c r="B14113" i="9"/>
  <c r="H14112" i="9"/>
  <c r="G14112" i="9"/>
  <c r="E14112" i="9"/>
  <c r="D14112" i="9"/>
  <c r="C14112" i="9"/>
  <c r="B14112" i="9"/>
  <c r="H14111" i="9"/>
  <c r="G14111" i="9"/>
  <c r="E14111" i="9"/>
  <c r="D14111" i="9"/>
  <c r="C14111" i="9"/>
  <c r="B14111" i="9"/>
  <c r="H14110" i="9"/>
  <c r="G14110" i="9"/>
  <c r="E14110" i="9"/>
  <c r="D14110" i="9"/>
  <c r="C14110" i="9"/>
  <c r="B14110" i="9"/>
  <c r="H14109" i="9"/>
  <c r="G14109" i="9"/>
  <c r="E14109" i="9"/>
  <c r="D14109" i="9"/>
  <c r="C14109" i="9"/>
  <c r="B14109" i="9"/>
  <c r="H14108" i="9"/>
  <c r="G14108" i="9"/>
  <c r="E14108" i="9"/>
  <c r="D14108" i="9"/>
  <c r="C14108" i="9"/>
  <c r="B14108" i="9"/>
  <c r="H14107" i="9"/>
  <c r="G14107" i="9"/>
  <c r="E14107" i="9"/>
  <c r="D14107" i="9"/>
  <c r="C14107" i="9"/>
  <c r="B14107" i="9"/>
  <c r="H14106" i="9"/>
  <c r="G14106" i="9"/>
  <c r="E14106" i="9"/>
  <c r="D14106" i="9"/>
  <c r="C14106" i="9"/>
  <c r="B14106" i="9"/>
  <c r="H14105" i="9"/>
  <c r="G14105" i="9"/>
  <c r="E14105" i="9"/>
  <c r="D14105" i="9"/>
  <c r="C14105" i="9"/>
  <c r="B14105" i="9"/>
  <c r="H14104" i="9"/>
  <c r="G14104" i="9"/>
  <c r="E14104" i="9"/>
  <c r="D14104" i="9"/>
  <c r="C14104" i="9"/>
  <c r="B14104" i="9"/>
  <c r="H14103" i="9"/>
  <c r="G14103" i="9"/>
  <c r="E14103" i="9"/>
  <c r="D14103" i="9"/>
  <c r="C14103" i="9"/>
  <c r="B14103" i="9"/>
  <c r="H14102" i="9"/>
  <c r="G14102" i="9"/>
  <c r="E14102" i="9"/>
  <c r="D14102" i="9"/>
  <c r="C14102" i="9"/>
  <c r="B14102" i="9"/>
  <c r="H14101" i="9"/>
  <c r="G14101" i="9"/>
  <c r="E14101" i="9"/>
  <c r="D14101" i="9"/>
  <c r="C14101" i="9"/>
  <c r="B14101" i="9"/>
  <c r="H14100" i="9"/>
  <c r="G14100" i="9"/>
  <c r="E14100" i="9"/>
  <c r="D14100" i="9"/>
  <c r="C14100" i="9"/>
  <c r="B14100" i="9"/>
  <c r="H14099" i="9"/>
  <c r="G14099" i="9"/>
  <c r="E14099" i="9"/>
  <c r="D14099" i="9"/>
  <c r="C14099" i="9"/>
  <c r="B14099" i="9"/>
  <c r="H14098" i="9"/>
  <c r="G14098" i="9"/>
  <c r="E14098" i="9"/>
  <c r="D14098" i="9"/>
  <c r="C14098" i="9"/>
  <c r="B14098" i="9"/>
  <c r="H14097" i="9"/>
  <c r="G14097" i="9"/>
  <c r="E14097" i="9"/>
  <c r="D14097" i="9"/>
  <c r="C14097" i="9"/>
  <c r="B14097" i="9"/>
  <c r="H14096" i="9"/>
  <c r="G14096" i="9"/>
  <c r="E14096" i="9"/>
  <c r="D14096" i="9"/>
  <c r="C14096" i="9"/>
  <c r="B14096" i="9"/>
  <c r="H14095" i="9"/>
  <c r="G14095" i="9"/>
  <c r="E14095" i="9"/>
  <c r="D14095" i="9"/>
  <c r="C14095" i="9"/>
  <c r="B14095" i="9"/>
  <c r="H14094" i="9"/>
  <c r="G14094" i="9"/>
  <c r="E14094" i="9"/>
  <c r="D14094" i="9"/>
  <c r="C14094" i="9"/>
  <c r="B14094" i="9"/>
  <c r="H14093" i="9"/>
  <c r="G14093" i="9"/>
  <c r="E14093" i="9"/>
  <c r="D14093" i="9"/>
  <c r="C14093" i="9"/>
  <c r="B14093" i="9"/>
  <c r="H14092" i="9"/>
  <c r="G14092" i="9"/>
  <c r="E14092" i="9"/>
  <c r="D14092" i="9"/>
  <c r="C14092" i="9"/>
  <c r="B14092" i="9"/>
  <c r="H14091" i="9"/>
  <c r="G14091" i="9"/>
  <c r="E14091" i="9"/>
  <c r="D14091" i="9"/>
  <c r="C14091" i="9"/>
  <c r="B14091" i="9"/>
  <c r="H14090" i="9"/>
  <c r="G14090" i="9"/>
  <c r="E14090" i="9"/>
  <c r="D14090" i="9"/>
  <c r="C14090" i="9"/>
  <c r="B14090" i="9"/>
  <c r="H14089" i="9"/>
  <c r="G14089" i="9"/>
  <c r="E14089" i="9"/>
  <c r="D14089" i="9"/>
  <c r="C14089" i="9"/>
  <c r="B14089" i="9"/>
  <c r="H14088" i="9"/>
  <c r="G14088" i="9"/>
  <c r="E14088" i="9"/>
  <c r="D14088" i="9"/>
  <c r="C14088" i="9"/>
  <c r="B14088" i="9"/>
  <c r="H14087" i="9"/>
  <c r="G14087" i="9"/>
  <c r="E14087" i="9"/>
  <c r="D14087" i="9"/>
  <c r="C14087" i="9"/>
  <c r="B14087" i="9"/>
  <c r="H14086" i="9"/>
  <c r="G14086" i="9"/>
  <c r="E14086" i="9"/>
  <c r="D14086" i="9"/>
  <c r="C14086" i="9"/>
  <c r="B14086" i="9"/>
  <c r="H14085" i="9"/>
  <c r="G14085" i="9"/>
  <c r="E14085" i="9"/>
  <c r="D14085" i="9"/>
  <c r="C14085" i="9"/>
  <c r="B14085" i="9"/>
  <c r="H14084" i="9"/>
  <c r="G14084" i="9"/>
  <c r="E14084" i="9"/>
  <c r="D14084" i="9"/>
  <c r="C14084" i="9"/>
  <c r="B14084" i="9"/>
  <c r="H14083" i="9"/>
  <c r="G14083" i="9"/>
  <c r="E14083" i="9"/>
  <c r="D14083" i="9"/>
  <c r="C14083" i="9"/>
  <c r="B14083" i="9"/>
  <c r="H14082" i="9"/>
  <c r="G14082" i="9"/>
  <c r="E14082" i="9"/>
  <c r="D14082" i="9"/>
  <c r="C14082" i="9"/>
  <c r="B14082" i="9"/>
  <c r="H14081" i="9"/>
  <c r="G14081" i="9"/>
  <c r="E14081" i="9"/>
  <c r="D14081" i="9"/>
  <c r="C14081" i="9"/>
  <c r="B14081" i="9"/>
  <c r="H14080" i="9"/>
  <c r="G14080" i="9"/>
  <c r="E14080" i="9"/>
  <c r="D14080" i="9"/>
  <c r="C14080" i="9"/>
  <c r="B14080" i="9"/>
  <c r="H14079" i="9"/>
  <c r="G14079" i="9"/>
  <c r="E14079" i="9"/>
  <c r="D14079" i="9"/>
  <c r="C14079" i="9"/>
  <c r="B14079" i="9"/>
  <c r="H14078" i="9"/>
  <c r="G14078" i="9"/>
  <c r="E14078" i="9"/>
  <c r="D14078" i="9"/>
  <c r="C14078" i="9"/>
  <c r="B14078" i="9"/>
  <c r="H14077" i="9"/>
  <c r="G14077" i="9"/>
  <c r="E14077" i="9"/>
  <c r="D14077" i="9"/>
  <c r="C14077" i="9"/>
  <c r="B14077" i="9"/>
  <c r="H14076" i="9"/>
  <c r="G14076" i="9"/>
  <c r="E14076" i="9"/>
  <c r="D14076" i="9"/>
  <c r="C14076" i="9"/>
  <c r="B14076" i="9"/>
  <c r="H14075" i="9"/>
  <c r="G14075" i="9"/>
  <c r="E14075" i="9"/>
  <c r="D14075" i="9"/>
  <c r="C14075" i="9"/>
  <c r="B14075" i="9"/>
  <c r="H14074" i="9"/>
  <c r="G14074" i="9"/>
  <c r="E14074" i="9"/>
  <c r="D14074" i="9"/>
  <c r="C14074" i="9"/>
  <c r="B14074" i="9"/>
  <c r="H14073" i="9"/>
  <c r="G14073" i="9"/>
  <c r="E14073" i="9"/>
  <c r="D14073" i="9"/>
  <c r="C14073" i="9"/>
  <c r="B14073" i="9"/>
  <c r="H14072" i="9"/>
  <c r="G14072" i="9"/>
  <c r="E14072" i="9"/>
  <c r="D14072" i="9"/>
  <c r="C14072" i="9"/>
  <c r="B14072" i="9"/>
  <c r="H14071" i="9"/>
  <c r="G14071" i="9"/>
  <c r="E14071" i="9"/>
  <c r="D14071" i="9"/>
  <c r="C14071" i="9"/>
  <c r="B14071" i="9"/>
  <c r="H14070" i="9"/>
  <c r="G14070" i="9"/>
  <c r="E14070" i="9"/>
  <c r="D14070" i="9"/>
  <c r="C14070" i="9"/>
  <c r="B14070" i="9"/>
  <c r="H14069" i="9"/>
  <c r="G14069" i="9"/>
  <c r="E14069" i="9"/>
  <c r="D14069" i="9"/>
  <c r="C14069" i="9"/>
  <c r="B14069" i="9"/>
  <c r="H14068" i="9"/>
  <c r="G14068" i="9"/>
  <c r="E14068" i="9"/>
  <c r="D14068" i="9"/>
  <c r="C14068" i="9"/>
  <c r="B14068" i="9"/>
  <c r="H14067" i="9"/>
  <c r="G14067" i="9"/>
  <c r="E14067" i="9"/>
  <c r="D14067" i="9"/>
  <c r="C14067" i="9"/>
  <c r="B14067" i="9"/>
  <c r="H14066" i="9"/>
  <c r="G14066" i="9"/>
  <c r="E14066" i="9"/>
  <c r="D14066" i="9"/>
  <c r="C14066" i="9"/>
  <c r="B14066" i="9"/>
  <c r="H14065" i="9"/>
  <c r="G14065" i="9"/>
  <c r="E14065" i="9"/>
  <c r="D14065" i="9"/>
  <c r="C14065" i="9"/>
  <c r="B14065" i="9"/>
  <c r="H14064" i="9"/>
  <c r="G14064" i="9"/>
  <c r="E14064" i="9"/>
  <c r="D14064" i="9"/>
  <c r="C14064" i="9"/>
  <c r="B14064" i="9"/>
  <c r="H14063" i="9"/>
  <c r="G14063" i="9"/>
  <c r="E14063" i="9"/>
  <c r="D14063" i="9"/>
  <c r="C14063" i="9"/>
  <c r="B14063" i="9"/>
  <c r="H14062" i="9"/>
  <c r="G14062" i="9"/>
  <c r="E14062" i="9"/>
  <c r="D14062" i="9"/>
  <c r="C14062" i="9"/>
  <c r="B14062" i="9"/>
  <c r="H14061" i="9"/>
  <c r="G14061" i="9"/>
  <c r="E14061" i="9"/>
  <c r="D14061" i="9"/>
  <c r="C14061" i="9"/>
  <c r="B14061" i="9"/>
  <c r="H14060" i="9"/>
  <c r="G14060" i="9"/>
  <c r="E14060" i="9"/>
  <c r="D14060" i="9"/>
  <c r="C14060" i="9"/>
  <c r="B14060" i="9"/>
  <c r="H14059" i="9"/>
  <c r="G14059" i="9"/>
  <c r="E14059" i="9"/>
  <c r="D14059" i="9"/>
  <c r="C14059" i="9"/>
  <c r="B14059" i="9"/>
  <c r="H14058" i="9"/>
  <c r="G14058" i="9"/>
  <c r="E14058" i="9"/>
  <c r="D14058" i="9"/>
  <c r="C14058" i="9"/>
  <c r="B14058" i="9"/>
  <c r="H14057" i="9"/>
  <c r="G14057" i="9"/>
  <c r="E14057" i="9"/>
  <c r="D14057" i="9"/>
  <c r="C14057" i="9"/>
  <c r="B14057" i="9"/>
  <c r="H14056" i="9"/>
  <c r="G14056" i="9"/>
  <c r="E14056" i="9"/>
  <c r="D14056" i="9"/>
  <c r="C14056" i="9"/>
  <c r="B14056" i="9"/>
  <c r="H14055" i="9"/>
  <c r="G14055" i="9"/>
  <c r="E14055" i="9"/>
  <c r="D14055" i="9"/>
  <c r="C14055" i="9"/>
  <c r="B14055" i="9"/>
  <c r="H14054" i="9"/>
  <c r="G14054" i="9"/>
  <c r="E14054" i="9"/>
  <c r="D14054" i="9"/>
  <c r="C14054" i="9"/>
  <c r="B14054" i="9"/>
  <c r="H14053" i="9"/>
  <c r="G14053" i="9"/>
  <c r="E14053" i="9"/>
  <c r="D14053" i="9"/>
  <c r="C14053" i="9"/>
  <c r="B14053" i="9"/>
  <c r="H14052" i="9"/>
  <c r="G14052" i="9"/>
  <c r="E14052" i="9"/>
  <c r="D14052" i="9"/>
  <c r="C14052" i="9"/>
  <c r="B14052" i="9"/>
  <c r="H14051" i="9"/>
  <c r="G14051" i="9"/>
  <c r="E14051" i="9"/>
  <c r="D14051" i="9"/>
  <c r="C14051" i="9"/>
  <c r="B14051" i="9"/>
  <c r="H14050" i="9"/>
  <c r="G14050" i="9"/>
  <c r="E14050" i="9"/>
  <c r="D14050" i="9"/>
  <c r="C14050" i="9"/>
  <c r="B14050" i="9"/>
  <c r="H14049" i="9"/>
  <c r="G14049" i="9"/>
  <c r="E14049" i="9"/>
  <c r="D14049" i="9"/>
  <c r="C14049" i="9"/>
  <c r="B14049" i="9"/>
  <c r="H14048" i="9"/>
  <c r="G14048" i="9"/>
  <c r="E14048" i="9"/>
  <c r="D14048" i="9"/>
  <c r="C14048" i="9"/>
  <c r="B14048" i="9"/>
  <c r="H14047" i="9"/>
  <c r="G14047" i="9"/>
  <c r="E14047" i="9"/>
  <c r="D14047" i="9"/>
  <c r="C14047" i="9"/>
  <c r="B14047" i="9"/>
  <c r="H14046" i="9"/>
  <c r="G14046" i="9"/>
  <c r="E14046" i="9"/>
  <c r="D14046" i="9"/>
  <c r="C14046" i="9"/>
  <c r="B14046" i="9"/>
  <c r="H14045" i="9"/>
  <c r="G14045" i="9"/>
  <c r="E14045" i="9"/>
  <c r="D14045" i="9"/>
  <c r="C14045" i="9"/>
  <c r="B14045" i="9"/>
  <c r="H14044" i="9"/>
  <c r="G14044" i="9"/>
  <c r="E14044" i="9"/>
  <c r="D14044" i="9"/>
  <c r="C14044" i="9"/>
  <c r="B14044" i="9"/>
  <c r="H14043" i="9"/>
  <c r="G14043" i="9"/>
  <c r="E14043" i="9"/>
  <c r="D14043" i="9"/>
  <c r="C14043" i="9"/>
  <c r="B14043" i="9"/>
  <c r="H14042" i="9"/>
  <c r="G14042" i="9"/>
  <c r="E14042" i="9"/>
  <c r="D14042" i="9"/>
  <c r="C14042" i="9"/>
  <c r="B14042" i="9"/>
  <c r="H14041" i="9"/>
  <c r="G14041" i="9"/>
  <c r="E14041" i="9"/>
  <c r="D14041" i="9"/>
  <c r="C14041" i="9"/>
  <c r="B14041" i="9"/>
  <c r="H14040" i="9"/>
  <c r="G14040" i="9"/>
  <c r="E14040" i="9"/>
  <c r="D14040" i="9"/>
  <c r="C14040" i="9"/>
  <c r="B14040" i="9"/>
  <c r="H14039" i="9"/>
  <c r="G14039" i="9"/>
  <c r="E14039" i="9"/>
  <c r="D14039" i="9"/>
  <c r="C14039" i="9"/>
  <c r="B14039" i="9"/>
  <c r="H14038" i="9"/>
  <c r="G14038" i="9"/>
  <c r="E14038" i="9"/>
  <c r="D14038" i="9"/>
  <c r="C14038" i="9"/>
  <c r="B14038" i="9"/>
  <c r="H14037" i="9"/>
  <c r="G14037" i="9"/>
  <c r="E14037" i="9"/>
  <c r="D14037" i="9"/>
  <c r="C14037" i="9"/>
  <c r="B14037" i="9"/>
  <c r="H14036" i="9"/>
  <c r="G14036" i="9"/>
  <c r="E14036" i="9"/>
  <c r="D14036" i="9"/>
  <c r="C14036" i="9"/>
  <c r="B14036" i="9"/>
  <c r="H14035" i="9"/>
  <c r="G14035" i="9"/>
  <c r="E14035" i="9"/>
  <c r="D14035" i="9"/>
  <c r="C14035" i="9"/>
  <c r="B14035" i="9"/>
  <c r="H14034" i="9"/>
  <c r="G14034" i="9"/>
  <c r="E14034" i="9"/>
  <c r="D14034" i="9"/>
  <c r="C14034" i="9"/>
  <c r="B14034" i="9"/>
  <c r="H14033" i="9"/>
  <c r="G14033" i="9"/>
  <c r="E14033" i="9"/>
  <c r="D14033" i="9"/>
  <c r="C14033" i="9"/>
  <c r="B14033" i="9"/>
  <c r="H14032" i="9"/>
  <c r="G14032" i="9"/>
  <c r="E14032" i="9"/>
  <c r="D14032" i="9"/>
  <c r="C14032" i="9"/>
  <c r="B14032" i="9"/>
  <c r="H14031" i="9"/>
  <c r="G14031" i="9"/>
  <c r="E14031" i="9"/>
  <c r="D14031" i="9"/>
  <c r="C14031" i="9"/>
  <c r="B14031" i="9"/>
  <c r="H14030" i="9"/>
  <c r="G14030" i="9"/>
  <c r="E14030" i="9"/>
  <c r="D14030" i="9"/>
  <c r="C14030" i="9"/>
  <c r="B14030" i="9"/>
  <c r="H14029" i="9"/>
  <c r="G14029" i="9"/>
  <c r="E14029" i="9"/>
  <c r="D14029" i="9"/>
  <c r="C14029" i="9"/>
  <c r="B14029" i="9"/>
  <c r="H14028" i="9"/>
  <c r="G14028" i="9"/>
  <c r="E14028" i="9"/>
  <c r="D14028" i="9"/>
  <c r="C14028" i="9"/>
  <c r="B14028" i="9"/>
  <c r="H14027" i="9"/>
  <c r="G14027" i="9"/>
  <c r="E14027" i="9"/>
  <c r="D14027" i="9"/>
  <c r="C14027" i="9"/>
  <c r="B14027" i="9"/>
  <c r="H14026" i="9"/>
  <c r="G14026" i="9"/>
  <c r="E14026" i="9"/>
  <c r="D14026" i="9"/>
  <c r="C14026" i="9"/>
  <c r="B14026" i="9"/>
  <c r="H14025" i="9"/>
  <c r="G14025" i="9"/>
  <c r="E14025" i="9"/>
  <c r="D14025" i="9"/>
  <c r="C14025" i="9"/>
  <c r="B14025" i="9"/>
  <c r="H14024" i="9"/>
  <c r="G14024" i="9"/>
  <c r="E14024" i="9"/>
  <c r="D14024" i="9"/>
  <c r="C14024" i="9"/>
  <c r="B14024" i="9"/>
  <c r="H14023" i="9"/>
  <c r="G14023" i="9"/>
  <c r="E14023" i="9"/>
  <c r="D14023" i="9"/>
  <c r="C14023" i="9"/>
  <c r="B14023" i="9"/>
  <c r="H14022" i="9"/>
  <c r="G14022" i="9"/>
  <c r="E14022" i="9"/>
  <c r="D14022" i="9"/>
  <c r="C14022" i="9"/>
  <c r="B14022" i="9"/>
  <c r="H14021" i="9"/>
  <c r="G14021" i="9"/>
  <c r="E14021" i="9"/>
  <c r="D14021" i="9"/>
  <c r="C14021" i="9"/>
  <c r="B14021" i="9"/>
  <c r="H14020" i="9"/>
  <c r="G14020" i="9"/>
  <c r="E14020" i="9"/>
  <c r="D14020" i="9"/>
  <c r="C14020" i="9"/>
  <c r="B14020" i="9"/>
  <c r="H14019" i="9"/>
  <c r="G14019" i="9"/>
  <c r="E14019" i="9"/>
  <c r="D14019" i="9"/>
  <c r="C14019" i="9"/>
  <c r="B14019" i="9"/>
  <c r="H14018" i="9"/>
  <c r="G14018" i="9"/>
  <c r="E14018" i="9"/>
  <c r="D14018" i="9"/>
  <c r="C14018" i="9"/>
  <c r="B14018" i="9"/>
  <c r="H14017" i="9"/>
  <c r="G14017" i="9"/>
  <c r="E14017" i="9"/>
  <c r="D14017" i="9"/>
  <c r="C14017" i="9"/>
  <c r="B14017" i="9"/>
  <c r="H14016" i="9"/>
  <c r="G14016" i="9"/>
  <c r="E14016" i="9"/>
  <c r="D14016" i="9"/>
  <c r="C14016" i="9"/>
  <c r="B14016" i="9"/>
  <c r="H14015" i="9"/>
  <c r="G14015" i="9"/>
  <c r="E14015" i="9"/>
  <c r="D14015" i="9"/>
  <c r="C14015" i="9"/>
  <c r="B14015" i="9"/>
  <c r="H14014" i="9"/>
  <c r="G14014" i="9"/>
  <c r="E14014" i="9"/>
  <c r="D14014" i="9"/>
  <c r="C14014" i="9"/>
  <c r="B14014" i="9"/>
  <c r="H14013" i="9"/>
  <c r="G14013" i="9"/>
  <c r="E14013" i="9"/>
  <c r="D14013" i="9"/>
  <c r="C14013" i="9"/>
  <c r="B14013" i="9"/>
  <c r="H14012" i="9"/>
  <c r="G14012" i="9"/>
  <c r="E14012" i="9"/>
  <c r="D14012" i="9"/>
  <c r="C14012" i="9"/>
  <c r="B14012" i="9"/>
  <c r="H14011" i="9"/>
  <c r="G14011" i="9"/>
  <c r="E14011" i="9"/>
  <c r="D14011" i="9"/>
  <c r="C14011" i="9"/>
  <c r="B14011" i="9"/>
  <c r="H14010" i="9"/>
  <c r="G14010" i="9"/>
  <c r="E14010" i="9"/>
  <c r="D14010" i="9"/>
  <c r="C14010" i="9"/>
  <c r="B14010" i="9"/>
  <c r="H14009" i="9"/>
  <c r="G14009" i="9"/>
  <c r="E14009" i="9"/>
  <c r="D14009" i="9"/>
  <c r="C14009" i="9"/>
  <c r="B14009" i="9"/>
  <c r="H14008" i="9"/>
  <c r="G14008" i="9"/>
  <c r="E14008" i="9"/>
  <c r="D14008" i="9"/>
  <c r="C14008" i="9"/>
  <c r="B14008" i="9"/>
  <c r="H14007" i="9"/>
  <c r="G14007" i="9"/>
  <c r="E14007" i="9"/>
  <c r="D14007" i="9"/>
  <c r="C14007" i="9"/>
  <c r="B14007" i="9"/>
  <c r="H14006" i="9"/>
  <c r="G14006" i="9"/>
  <c r="E14006" i="9"/>
  <c r="D14006" i="9"/>
  <c r="C14006" i="9"/>
  <c r="B14006" i="9"/>
  <c r="H14005" i="9"/>
  <c r="G14005" i="9"/>
  <c r="E14005" i="9"/>
  <c r="D14005" i="9"/>
  <c r="C14005" i="9"/>
  <c r="B14005" i="9"/>
  <c r="H14004" i="9"/>
  <c r="G14004" i="9"/>
  <c r="E14004" i="9"/>
  <c r="D14004" i="9"/>
  <c r="C14004" i="9"/>
  <c r="B14004" i="9"/>
  <c r="H14003" i="9"/>
  <c r="G14003" i="9"/>
  <c r="E14003" i="9"/>
  <c r="D14003" i="9"/>
  <c r="C14003" i="9"/>
  <c r="B14003" i="9"/>
  <c r="H14002" i="9"/>
  <c r="G14002" i="9"/>
  <c r="E14002" i="9"/>
  <c r="D14002" i="9"/>
  <c r="C14002" i="9"/>
  <c r="B14002" i="9"/>
  <c r="H14001" i="9"/>
  <c r="G14001" i="9"/>
  <c r="E14001" i="9"/>
  <c r="D14001" i="9"/>
  <c r="C14001" i="9"/>
  <c r="B14001" i="9"/>
  <c r="H14000" i="9"/>
  <c r="G14000" i="9"/>
  <c r="E14000" i="9"/>
  <c r="D14000" i="9"/>
  <c r="C14000" i="9"/>
  <c r="B14000" i="9"/>
  <c r="H13999" i="9"/>
  <c r="G13999" i="9"/>
  <c r="E13999" i="9"/>
  <c r="D13999" i="9"/>
  <c r="C13999" i="9"/>
  <c r="B13999" i="9"/>
  <c r="H13998" i="9"/>
  <c r="G13998" i="9"/>
  <c r="E13998" i="9"/>
  <c r="D13998" i="9"/>
  <c r="C13998" i="9"/>
  <c r="B13998" i="9"/>
  <c r="H13997" i="9"/>
  <c r="G13997" i="9"/>
  <c r="E13997" i="9"/>
  <c r="D13997" i="9"/>
  <c r="C13997" i="9"/>
  <c r="B13997" i="9"/>
  <c r="H13996" i="9"/>
  <c r="G13996" i="9"/>
  <c r="E13996" i="9"/>
  <c r="D13996" i="9"/>
  <c r="C13996" i="9"/>
  <c r="B13996" i="9"/>
  <c r="H13995" i="9"/>
  <c r="G13995" i="9"/>
  <c r="E13995" i="9"/>
  <c r="D13995" i="9"/>
  <c r="C13995" i="9"/>
  <c r="B13995" i="9"/>
  <c r="H13994" i="9"/>
  <c r="G13994" i="9"/>
  <c r="E13994" i="9"/>
  <c r="D13994" i="9"/>
  <c r="C13994" i="9"/>
  <c r="B13994" i="9"/>
  <c r="H13993" i="9"/>
  <c r="G13993" i="9"/>
  <c r="E13993" i="9"/>
  <c r="D13993" i="9"/>
  <c r="C13993" i="9"/>
  <c r="B13993" i="9"/>
  <c r="H13992" i="9"/>
  <c r="G13992" i="9"/>
  <c r="E13992" i="9"/>
  <c r="D13992" i="9"/>
  <c r="C13992" i="9"/>
  <c r="B13992" i="9"/>
  <c r="H13991" i="9"/>
  <c r="G13991" i="9"/>
  <c r="E13991" i="9"/>
  <c r="D13991" i="9"/>
  <c r="C13991" i="9"/>
  <c r="B13991" i="9"/>
  <c r="H13990" i="9"/>
  <c r="G13990" i="9"/>
  <c r="E13990" i="9"/>
  <c r="D13990" i="9"/>
  <c r="C13990" i="9"/>
  <c r="B13990" i="9"/>
  <c r="H13989" i="9"/>
  <c r="G13989" i="9"/>
  <c r="E13989" i="9"/>
  <c r="D13989" i="9"/>
  <c r="C13989" i="9"/>
  <c r="B13989" i="9"/>
  <c r="H13988" i="9"/>
  <c r="G13988" i="9"/>
  <c r="E13988" i="9"/>
  <c r="D13988" i="9"/>
  <c r="C13988" i="9"/>
  <c r="B13988" i="9"/>
  <c r="H13987" i="9"/>
  <c r="G13987" i="9"/>
  <c r="E13987" i="9"/>
  <c r="D13987" i="9"/>
  <c r="C13987" i="9"/>
  <c r="B13987" i="9"/>
  <c r="H13986" i="9"/>
  <c r="G13986" i="9"/>
  <c r="E13986" i="9"/>
  <c r="D13986" i="9"/>
  <c r="C13986" i="9"/>
  <c r="B13986" i="9"/>
  <c r="H13985" i="9"/>
  <c r="G13985" i="9"/>
  <c r="E13985" i="9"/>
  <c r="D13985" i="9"/>
  <c r="C13985" i="9"/>
  <c r="B13985" i="9"/>
  <c r="H13984" i="9"/>
  <c r="G13984" i="9"/>
  <c r="E13984" i="9"/>
  <c r="D13984" i="9"/>
  <c r="C13984" i="9"/>
  <c r="B13984" i="9"/>
  <c r="H13983" i="9"/>
  <c r="G13983" i="9"/>
  <c r="E13983" i="9"/>
  <c r="D13983" i="9"/>
  <c r="C13983" i="9"/>
  <c r="B13983" i="9"/>
  <c r="H13982" i="9"/>
  <c r="G13982" i="9"/>
  <c r="E13982" i="9"/>
  <c r="D13982" i="9"/>
  <c r="C13982" i="9"/>
  <c r="B13982" i="9"/>
  <c r="H13981" i="9"/>
  <c r="G13981" i="9"/>
  <c r="E13981" i="9"/>
  <c r="D13981" i="9"/>
  <c r="C13981" i="9"/>
  <c r="B13981" i="9"/>
  <c r="H13980" i="9"/>
  <c r="G13980" i="9"/>
  <c r="E13980" i="9"/>
  <c r="D13980" i="9"/>
  <c r="C13980" i="9"/>
  <c r="B13980" i="9"/>
  <c r="H13979" i="9"/>
  <c r="G13979" i="9"/>
  <c r="E13979" i="9"/>
  <c r="D13979" i="9"/>
  <c r="C13979" i="9"/>
  <c r="B13979" i="9"/>
  <c r="H13978" i="9"/>
  <c r="G13978" i="9"/>
  <c r="E13978" i="9"/>
  <c r="D13978" i="9"/>
  <c r="C13978" i="9"/>
  <c r="B13978" i="9"/>
  <c r="H13977" i="9"/>
  <c r="G13977" i="9"/>
  <c r="E13977" i="9"/>
  <c r="D13977" i="9"/>
  <c r="C13977" i="9"/>
  <c r="B13977" i="9"/>
  <c r="H13976" i="9"/>
  <c r="G13976" i="9"/>
  <c r="E13976" i="9"/>
  <c r="D13976" i="9"/>
  <c r="C13976" i="9"/>
  <c r="B13976" i="9"/>
  <c r="H13975" i="9"/>
  <c r="G13975" i="9"/>
  <c r="E13975" i="9"/>
  <c r="D13975" i="9"/>
  <c r="C13975" i="9"/>
  <c r="B13975" i="9"/>
  <c r="H13974" i="9"/>
  <c r="G13974" i="9"/>
  <c r="E13974" i="9"/>
  <c r="D13974" i="9"/>
  <c r="C13974" i="9"/>
  <c r="B13974" i="9"/>
  <c r="H13973" i="9"/>
  <c r="G13973" i="9"/>
  <c r="E13973" i="9"/>
  <c r="D13973" i="9"/>
  <c r="C13973" i="9"/>
  <c r="B13973" i="9"/>
  <c r="H13972" i="9"/>
  <c r="G13972" i="9"/>
  <c r="E13972" i="9"/>
  <c r="D13972" i="9"/>
  <c r="C13972" i="9"/>
  <c r="B13972" i="9"/>
  <c r="H13971" i="9"/>
  <c r="G13971" i="9"/>
  <c r="E13971" i="9"/>
  <c r="D13971" i="9"/>
  <c r="C13971" i="9"/>
  <c r="B13971" i="9"/>
  <c r="H13970" i="9"/>
  <c r="G13970" i="9"/>
  <c r="E13970" i="9"/>
  <c r="D13970" i="9"/>
  <c r="C13970" i="9"/>
  <c r="B13970" i="9"/>
  <c r="H13969" i="9"/>
  <c r="G13969" i="9"/>
  <c r="E13969" i="9"/>
  <c r="D13969" i="9"/>
  <c r="C13969" i="9"/>
  <c r="B13969" i="9"/>
  <c r="H13968" i="9"/>
  <c r="G13968" i="9"/>
  <c r="E13968" i="9"/>
  <c r="D13968" i="9"/>
  <c r="C13968" i="9"/>
  <c r="B13968" i="9"/>
  <c r="H13967" i="9"/>
  <c r="G13967" i="9"/>
  <c r="E13967" i="9"/>
  <c r="D13967" i="9"/>
  <c r="C13967" i="9"/>
  <c r="B13967" i="9"/>
  <c r="H13966" i="9"/>
  <c r="G13966" i="9"/>
  <c r="E13966" i="9"/>
  <c r="D13966" i="9"/>
  <c r="C13966" i="9"/>
  <c r="B13966" i="9"/>
  <c r="H13965" i="9"/>
  <c r="G13965" i="9"/>
  <c r="E13965" i="9"/>
  <c r="D13965" i="9"/>
  <c r="C13965" i="9"/>
  <c r="B13965" i="9"/>
  <c r="H13964" i="9"/>
  <c r="G13964" i="9"/>
  <c r="E13964" i="9"/>
  <c r="D13964" i="9"/>
  <c r="C13964" i="9"/>
  <c r="B13964" i="9"/>
  <c r="H13963" i="9"/>
  <c r="G13963" i="9"/>
  <c r="E13963" i="9"/>
  <c r="D13963" i="9"/>
  <c r="C13963" i="9"/>
  <c r="B13963" i="9"/>
  <c r="H13962" i="9"/>
  <c r="G13962" i="9"/>
  <c r="E13962" i="9"/>
  <c r="D13962" i="9"/>
  <c r="C13962" i="9"/>
  <c r="B13962" i="9"/>
  <c r="H13961" i="9"/>
  <c r="G13961" i="9"/>
  <c r="E13961" i="9"/>
  <c r="D13961" i="9"/>
  <c r="C13961" i="9"/>
  <c r="B13961" i="9"/>
  <c r="H13960" i="9"/>
  <c r="G13960" i="9"/>
  <c r="E13960" i="9"/>
  <c r="D13960" i="9"/>
  <c r="C13960" i="9"/>
  <c r="B13960" i="9"/>
  <c r="H13959" i="9"/>
  <c r="G13959" i="9"/>
  <c r="E13959" i="9"/>
  <c r="D13959" i="9"/>
  <c r="C13959" i="9"/>
  <c r="B13959" i="9"/>
  <c r="H13958" i="9"/>
  <c r="G13958" i="9"/>
  <c r="E13958" i="9"/>
  <c r="D13958" i="9"/>
  <c r="C13958" i="9"/>
  <c r="B13958" i="9"/>
  <c r="H13957" i="9"/>
  <c r="G13957" i="9"/>
  <c r="E13957" i="9"/>
  <c r="D13957" i="9"/>
  <c r="C13957" i="9"/>
  <c r="B13957" i="9"/>
  <c r="H13956" i="9"/>
  <c r="G13956" i="9"/>
  <c r="E13956" i="9"/>
  <c r="D13956" i="9"/>
  <c r="C13956" i="9"/>
  <c r="B13956" i="9"/>
  <c r="H13955" i="9"/>
  <c r="G13955" i="9"/>
  <c r="E13955" i="9"/>
  <c r="D13955" i="9"/>
  <c r="C13955" i="9"/>
  <c r="B13955" i="9"/>
  <c r="H13954" i="9"/>
  <c r="G13954" i="9"/>
  <c r="E13954" i="9"/>
  <c r="D13954" i="9"/>
  <c r="C13954" i="9"/>
  <c r="B13954" i="9"/>
  <c r="H13953" i="9"/>
  <c r="G13953" i="9"/>
  <c r="E13953" i="9"/>
  <c r="D13953" i="9"/>
  <c r="C13953" i="9"/>
  <c r="B13953" i="9"/>
  <c r="H13952" i="9"/>
  <c r="G13952" i="9"/>
  <c r="E13952" i="9"/>
  <c r="D13952" i="9"/>
  <c r="C13952" i="9"/>
  <c r="B13952" i="9"/>
  <c r="H13951" i="9"/>
  <c r="G13951" i="9"/>
  <c r="E13951" i="9"/>
  <c r="D13951" i="9"/>
  <c r="C13951" i="9"/>
  <c r="B13951" i="9"/>
  <c r="H13950" i="9"/>
  <c r="G13950" i="9"/>
  <c r="E13950" i="9"/>
  <c r="D13950" i="9"/>
  <c r="C13950" i="9"/>
  <c r="B13950" i="9"/>
  <c r="H13949" i="9"/>
  <c r="G13949" i="9"/>
  <c r="E13949" i="9"/>
  <c r="D13949" i="9"/>
  <c r="C13949" i="9"/>
  <c r="B13949" i="9"/>
  <c r="H13948" i="9"/>
  <c r="G13948" i="9"/>
  <c r="E13948" i="9"/>
  <c r="D13948" i="9"/>
  <c r="C13948" i="9"/>
  <c r="B13948" i="9"/>
  <c r="H13947" i="9"/>
  <c r="G13947" i="9"/>
  <c r="E13947" i="9"/>
  <c r="D13947" i="9"/>
  <c r="C13947" i="9"/>
  <c r="B13947" i="9"/>
  <c r="H13946" i="9"/>
  <c r="G13946" i="9"/>
  <c r="E13946" i="9"/>
  <c r="D13946" i="9"/>
  <c r="C13946" i="9"/>
  <c r="B13946" i="9"/>
  <c r="H13945" i="9"/>
  <c r="G13945" i="9"/>
  <c r="E13945" i="9"/>
  <c r="D13945" i="9"/>
  <c r="C13945" i="9"/>
  <c r="B13945" i="9"/>
  <c r="H13944" i="9"/>
  <c r="G13944" i="9"/>
  <c r="E13944" i="9"/>
  <c r="D13944" i="9"/>
  <c r="C13944" i="9"/>
  <c r="B13944" i="9"/>
  <c r="H13943" i="9"/>
  <c r="G13943" i="9"/>
  <c r="E13943" i="9"/>
  <c r="D13943" i="9"/>
  <c r="C13943" i="9"/>
  <c r="B13943" i="9"/>
  <c r="H13942" i="9"/>
  <c r="G13942" i="9"/>
  <c r="E13942" i="9"/>
  <c r="D13942" i="9"/>
  <c r="C13942" i="9"/>
  <c r="B13942" i="9"/>
  <c r="H13941" i="9"/>
  <c r="G13941" i="9"/>
  <c r="E13941" i="9"/>
  <c r="D13941" i="9"/>
  <c r="C13941" i="9"/>
  <c r="B13941" i="9"/>
  <c r="H13940" i="9"/>
  <c r="G13940" i="9"/>
  <c r="E13940" i="9"/>
  <c r="D13940" i="9"/>
  <c r="C13940" i="9"/>
  <c r="B13940" i="9"/>
  <c r="H13939" i="9"/>
  <c r="G13939" i="9"/>
  <c r="E13939" i="9"/>
  <c r="D13939" i="9"/>
  <c r="C13939" i="9"/>
  <c r="B13939" i="9"/>
  <c r="H13938" i="9"/>
  <c r="G13938" i="9"/>
  <c r="E13938" i="9"/>
  <c r="D13938" i="9"/>
  <c r="C13938" i="9"/>
  <c r="B13938" i="9"/>
  <c r="H13937" i="9"/>
  <c r="G13937" i="9"/>
  <c r="E13937" i="9"/>
  <c r="D13937" i="9"/>
  <c r="C13937" i="9"/>
  <c r="B13937" i="9"/>
  <c r="H13936" i="9"/>
  <c r="G13936" i="9"/>
  <c r="E13936" i="9"/>
  <c r="D13936" i="9"/>
  <c r="C13936" i="9"/>
  <c r="B13936" i="9"/>
  <c r="H13935" i="9"/>
  <c r="G13935" i="9"/>
  <c r="E13935" i="9"/>
  <c r="D13935" i="9"/>
  <c r="C13935" i="9"/>
  <c r="B13935" i="9"/>
  <c r="H13934" i="9"/>
  <c r="G13934" i="9"/>
  <c r="E13934" i="9"/>
  <c r="D13934" i="9"/>
  <c r="C13934" i="9"/>
  <c r="B13934" i="9"/>
  <c r="H13933" i="9"/>
  <c r="G13933" i="9"/>
  <c r="E13933" i="9"/>
  <c r="D13933" i="9"/>
  <c r="C13933" i="9"/>
  <c r="B13933" i="9"/>
  <c r="H13932" i="9"/>
  <c r="G13932" i="9"/>
  <c r="E13932" i="9"/>
  <c r="D13932" i="9"/>
  <c r="C13932" i="9"/>
  <c r="B13932" i="9"/>
  <c r="H13931" i="9"/>
  <c r="G13931" i="9"/>
  <c r="E13931" i="9"/>
  <c r="D13931" i="9"/>
  <c r="C13931" i="9"/>
  <c r="B13931" i="9"/>
  <c r="H13930" i="9"/>
  <c r="G13930" i="9"/>
  <c r="E13930" i="9"/>
  <c r="D13930" i="9"/>
  <c r="C13930" i="9"/>
  <c r="B13930" i="9"/>
  <c r="H13929" i="9"/>
  <c r="G13929" i="9"/>
  <c r="E13929" i="9"/>
  <c r="D13929" i="9"/>
  <c r="C13929" i="9"/>
  <c r="B13929" i="9"/>
  <c r="H13928" i="9"/>
  <c r="G13928" i="9"/>
  <c r="E13928" i="9"/>
  <c r="D13928" i="9"/>
  <c r="C13928" i="9"/>
  <c r="B13928" i="9"/>
  <c r="H13927" i="9"/>
  <c r="G13927" i="9"/>
  <c r="E13927" i="9"/>
  <c r="D13927" i="9"/>
  <c r="C13927" i="9"/>
  <c r="B13927" i="9"/>
  <c r="H13926" i="9"/>
  <c r="G13926" i="9"/>
  <c r="E13926" i="9"/>
  <c r="D13926" i="9"/>
  <c r="C13926" i="9"/>
  <c r="B13926" i="9"/>
  <c r="H13925" i="9"/>
  <c r="G13925" i="9"/>
  <c r="E13925" i="9"/>
  <c r="D13925" i="9"/>
  <c r="C13925" i="9"/>
  <c r="B13925" i="9"/>
  <c r="H13924" i="9"/>
  <c r="G13924" i="9"/>
  <c r="E13924" i="9"/>
  <c r="D13924" i="9"/>
  <c r="C13924" i="9"/>
  <c r="B13924" i="9"/>
  <c r="H13923" i="9"/>
  <c r="G13923" i="9"/>
  <c r="E13923" i="9"/>
  <c r="D13923" i="9"/>
  <c r="C13923" i="9"/>
  <c r="B13923" i="9"/>
  <c r="H13922" i="9"/>
  <c r="G13922" i="9"/>
  <c r="E13922" i="9"/>
  <c r="D13922" i="9"/>
  <c r="C13922" i="9"/>
  <c r="B13922" i="9"/>
  <c r="H13921" i="9"/>
  <c r="G13921" i="9"/>
  <c r="E13921" i="9"/>
  <c r="D13921" i="9"/>
  <c r="C13921" i="9"/>
  <c r="B13921" i="9"/>
  <c r="H13920" i="9"/>
  <c r="G13920" i="9"/>
  <c r="E13920" i="9"/>
  <c r="D13920" i="9"/>
  <c r="C13920" i="9"/>
  <c r="B13920" i="9"/>
  <c r="H13919" i="9"/>
  <c r="G13919" i="9"/>
  <c r="E13919" i="9"/>
  <c r="D13919" i="9"/>
  <c r="C13919" i="9"/>
  <c r="B13919" i="9"/>
  <c r="H13918" i="9"/>
  <c r="G13918" i="9"/>
  <c r="E13918" i="9"/>
  <c r="D13918" i="9"/>
  <c r="C13918" i="9"/>
  <c r="B13918" i="9"/>
  <c r="H13917" i="9"/>
  <c r="G13917" i="9"/>
  <c r="E13917" i="9"/>
  <c r="D13917" i="9"/>
  <c r="C13917" i="9"/>
  <c r="B13917" i="9"/>
  <c r="H13916" i="9"/>
  <c r="G13916" i="9"/>
  <c r="E13916" i="9"/>
  <c r="D13916" i="9"/>
  <c r="C13916" i="9"/>
  <c r="B13916" i="9"/>
  <c r="H13915" i="9"/>
  <c r="G13915" i="9"/>
  <c r="E13915" i="9"/>
  <c r="D13915" i="9"/>
  <c r="C13915" i="9"/>
  <c r="B13915" i="9"/>
  <c r="H13914" i="9"/>
  <c r="G13914" i="9"/>
  <c r="E13914" i="9"/>
  <c r="D13914" i="9"/>
  <c r="C13914" i="9"/>
  <c r="B13914" i="9"/>
  <c r="H13913" i="9"/>
  <c r="G13913" i="9"/>
  <c r="E13913" i="9"/>
  <c r="D13913" i="9"/>
  <c r="C13913" i="9"/>
  <c r="B13913" i="9"/>
  <c r="H13912" i="9"/>
  <c r="G13912" i="9"/>
  <c r="E13912" i="9"/>
  <c r="D13912" i="9"/>
  <c r="C13912" i="9"/>
  <c r="B13912" i="9"/>
  <c r="H13911" i="9"/>
  <c r="G13911" i="9"/>
  <c r="E13911" i="9"/>
  <c r="D13911" i="9"/>
  <c r="C13911" i="9"/>
  <c r="B13911" i="9"/>
  <c r="H13910" i="9"/>
  <c r="G13910" i="9"/>
  <c r="E13910" i="9"/>
  <c r="D13910" i="9"/>
  <c r="C13910" i="9"/>
  <c r="B13910" i="9"/>
  <c r="H13909" i="9"/>
  <c r="G13909" i="9"/>
  <c r="E13909" i="9"/>
  <c r="D13909" i="9"/>
  <c r="C13909" i="9"/>
  <c r="B13909" i="9"/>
  <c r="H13908" i="9"/>
  <c r="G13908" i="9"/>
  <c r="E13908" i="9"/>
  <c r="D13908" i="9"/>
  <c r="C13908" i="9"/>
  <c r="B13908" i="9"/>
  <c r="H13907" i="9"/>
  <c r="G13907" i="9"/>
  <c r="E13907" i="9"/>
  <c r="D13907" i="9"/>
  <c r="C13907" i="9"/>
  <c r="B13907" i="9"/>
  <c r="H13906" i="9"/>
  <c r="G13906" i="9"/>
  <c r="E13906" i="9"/>
  <c r="D13906" i="9"/>
  <c r="C13906" i="9"/>
  <c r="B13906" i="9"/>
  <c r="H13905" i="9"/>
  <c r="G13905" i="9"/>
  <c r="E13905" i="9"/>
  <c r="D13905" i="9"/>
  <c r="C13905" i="9"/>
  <c r="B13905" i="9"/>
  <c r="H13904" i="9"/>
  <c r="G13904" i="9"/>
  <c r="E13904" i="9"/>
  <c r="D13904" i="9"/>
  <c r="C13904" i="9"/>
  <c r="B13904" i="9"/>
  <c r="H13903" i="9"/>
  <c r="G13903" i="9"/>
  <c r="E13903" i="9"/>
  <c r="D13903" i="9"/>
  <c r="C13903" i="9"/>
  <c r="B13903" i="9"/>
  <c r="H13902" i="9"/>
  <c r="G13902" i="9"/>
  <c r="E13902" i="9"/>
  <c r="D13902" i="9"/>
  <c r="C13902" i="9"/>
  <c r="B13902" i="9"/>
  <c r="H13901" i="9"/>
  <c r="G13901" i="9"/>
  <c r="E13901" i="9"/>
  <c r="D13901" i="9"/>
  <c r="C13901" i="9"/>
  <c r="B13901" i="9"/>
  <c r="H13900" i="9"/>
  <c r="G13900" i="9"/>
  <c r="E13900" i="9"/>
  <c r="D13900" i="9"/>
  <c r="C13900" i="9"/>
  <c r="B13900" i="9"/>
  <c r="H13899" i="9"/>
  <c r="G13899" i="9"/>
  <c r="E13899" i="9"/>
  <c r="D13899" i="9"/>
  <c r="C13899" i="9"/>
  <c r="B13899" i="9"/>
  <c r="H13898" i="9"/>
  <c r="G13898" i="9"/>
  <c r="E13898" i="9"/>
  <c r="D13898" i="9"/>
  <c r="C13898" i="9"/>
  <c r="B13898" i="9"/>
  <c r="H13897" i="9"/>
  <c r="G13897" i="9"/>
  <c r="E13897" i="9"/>
  <c r="D13897" i="9"/>
  <c r="C13897" i="9"/>
  <c r="B13897" i="9"/>
  <c r="H13896" i="9"/>
  <c r="G13896" i="9"/>
  <c r="E13896" i="9"/>
  <c r="D13896" i="9"/>
  <c r="C13896" i="9"/>
  <c r="B13896" i="9"/>
  <c r="H13895" i="9"/>
  <c r="G13895" i="9"/>
  <c r="E13895" i="9"/>
  <c r="D13895" i="9"/>
  <c r="C13895" i="9"/>
  <c r="B13895" i="9"/>
  <c r="H13894" i="9"/>
  <c r="G13894" i="9"/>
  <c r="E13894" i="9"/>
  <c r="D13894" i="9"/>
  <c r="C13894" i="9"/>
  <c r="B13894" i="9"/>
  <c r="H13893" i="9"/>
  <c r="G13893" i="9"/>
  <c r="E13893" i="9"/>
  <c r="D13893" i="9"/>
  <c r="C13893" i="9"/>
  <c r="B13893" i="9"/>
  <c r="H13892" i="9"/>
  <c r="G13892" i="9"/>
  <c r="E13892" i="9"/>
  <c r="D13892" i="9"/>
  <c r="C13892" i="9"/>
  <c r="B13892" i="9"/>
  <c r="H13891" i="9"/>
  <c r="G13891" i="9"/>
  <c r="E13891" i="9"/>
  <c r="D13891" i="9"/>
  <c r="C13891" i="9"/>
  <c r="B13891" i="9"/>
  <c r="H13890" i="9"/>
  <c r="G13890" i="9"/>
  <c r="E13890" i="9"/>
  <c r="D13890" i="9"/>
  <c r="C13890" i="9"/>
  <c r="B13890" i="9"/>
  <c r="H13889" i="9"/>
  <c r="G13889" i="9"/>
  <c r="E13889" i="9"/>
  <c r="D13889" i="9"/>
  <c r="C13889" i="9"/>
  <c r="B13889" i="9"/>
  <c r="H13888" i="9"/>
  <c r="G13888" i="9"/>
  <c r="E13888" i="9"/>
  <c r="D13888" i="9"/>
  <c r="C13888" i="9"/>
  <c r="B13888" i="9"/>
  <c r="H13887" i="9"/>
  <c r="G13887" i="9"/>
  <c r="E13887" i="9"/>
  <c r="D13887" i="9"/>
  <c r="C13887" i="9"/>
  <c r="B13887" i="9"/>
  <c r="H13886" i="9"/>
  <c r="G13886" i="9"/>
  <c r="E13886" i="9"/>
  <c r="D13886" i="9"/>
  <c r="C13886" i="9"/>
  <c r="B13886" i="9"/>
  <c r="H13885" i="9"/>
  <c r="G13885" i="9"/>
  <c r="E13885" i="9"/>
  <c r="D13885" i="9"/>
  <c r="C13885" i="9"/>
  <c r="B13885" i="9"/>
  <c r="H13884" i="9"/>
  <c r="G13884" i="9"/>
  <c r="E13884" i="9"/>
  <c r="D13884" i="9"/>
  <c r="C13884" i="9"/>
  <c r="B13884" i="9"/>
  <c r="H13883" i="9"/>
  <c r="G13883" i="9"/>
  <c r="E13883" i="9"/>
  <c r="D13883" i="9"/>
  <c r="C13883" i="9"/>
  <c r="B13883" i="9"/>
  <c r="H13882" i="9"/>
  <c r="G13882" i="9"/>
  <c r="E13882" i="9"/>
  <c r="D13882" i="9"/>
  <c r="C13882" i="9"/>
  <c r="B13882" i="9"/>
  <c r="H13881" i="9"/>
  <c r="G13881" i="9"/>
  <c r="E13881" i="9"/>
  <c r="D13881" i="9"/>
  <c r="C13881" i="9"/>
  <c r="B13881" i="9"/>
  <c r="H13880" i="9"/>
  <c r="G13880" i="9"/>
  <c r="E13880" i="9"/>
  <c r="D13880" i="9"/>
  <c r="C13880" i="9"/>
  <c r="B13880" i="9"/>
  <c r="H13879" i="9"/>
  <c r="G13879" i="9"/>
  <c r="E13879" i="9"/>
  <c r="D13879" i="9"/>
  <c r="C13879" i="9"/>
  <c r="B13879" i="9"/>
  <c r="H13878" i="9"/>
  <c r="G13878" i="9"/>
  <c r="E13878" i="9"/>
  <c r="D13878" i="9"/>
  <c r="C13878" i="9"/>
  <c r="B13878" i="9"/>
  <c r="H13877" i="9"/>
  <c r="G13877" i="9"/>
  <c r="E13877" i="9"/>
  <c r="D13877" i="9"/>
  <c r="C13877" i="9"/>
  <c r="B13877" i="9"/>
  <c r="H13876" i="9"/>
  <c r="G13876" i="9"/>
  <c r="E13876" i="9"/>
  <c r="D13876" i="9"/>
  <c r="C13876" i="9"/>
  <c r="B13876" i="9"/>
  <c r="H13875" i="9"/>
  <c r="G13875" i="9"/>
  <c r="E13875" i="9"/>
  <c r="D13875" i="9"/>
  <c r="C13875" i="9"/>
  <c r="B13875" i="9"/>
  <c r="H13874" i="9"/>
  <c r="G13874" i="9"/>
  <c r="E13874" i="9"/>
  <c r="D13874" i="9"/>
  <c r="C13874" i="9"/>
  <c r="B13874" i="9"/>
  <c r="H13873" i="9"/>
  <c r="G13873" i="9"/>
  <c r="E13873" i="9"/>
  <c r="D13873" i="9"/>
  <c r="C13873" i="9"/>
  <c r="B13873" i="9"/>
  <c r="H13872" i="9"/>
  <c r="G13872" i="9"/>
  <c r="E13872" i="9"/>
  <c r="D13872" i="9"/>
  <c r="C13872" i="9"/>
  <c r="B13872" i="9"/>
  <c r="H13871" i="9"/>
  <c r="G13871" i="9"/>
  <c r="E13871" i="9"/>
  <c r="D13871" i="9"/>
  <c r="C13871" i="9"/>
  <c r="B13871" i="9"/>
  <c r="H13870" i="9"/>
  <c r="G13870" i="9"/>
  <c r="E13870" i="9"/>
  <c r="D13870" i="9"/>
  <c r="C13870" i="9"/>
  <c r="B13870" i="9"/>
  <c r="H13869" i="9"/>
  <c r="G13869" i="9"/>
  <c r="E13869" i="9"/>
  <c r="D13869" i="9"/>
  <c r="C13869" i="9"/>
  <c r="B13869" i="9"/>
  <c r="H13868" i="9"/>
  <c r="G13868" i="9"/>
  <c r="E13868" i="9"/>
  <c r="D13868" i="9"/>
  <c r="C13868" i="9"/>
  <c r="B13868" i="9"/>
  <c r="H13867" i="9"/>
  <c r="G13867" i="9"/>
  <c r="E13867" i="9"/>
  <c r="D13867" i="9"/>
  <c r="C13867" i="9"/>
  <c r="B13867" i="9"/>
  <c r="H13866" i="9"/>
  <c r="G13866" i="9"/>
  <c r="E13866" i="9"/>
  <c r="D13866" i="9"/>
  <c r="C13866" i="9"/>
  <c r="B13866" i="9"/>
  <c r="H13865" i="9"/>
  <c r="G13865" i="9"/>
  <c r="E13865" i="9"/>
  <c r="D13865" i="9"/>
  <c r="C13865" i="9"/>
  <c r="B13865" i="9"/>
  <c r="H13864" i="9"/>
  <c r="G13864" i="9"/>
  <c r="E13864" i="9"/>
  <c r="D13864" i="9"/>
  <c r="C13864" i="9"/>
  <c r="B13864" i="9"/>
  <c r="H13863" i="9"/>
  <c r="G13863" i="9"/>
  <c r="E13863" i="9"/>
  <c r="D13863" i="9"/>
  <c r="C13863" i="9"/>
  <c r="B13863" i="9"/>
  <c r="H13862" i="9"/>
  <c r="G13862" i="9"/>
  <c r="E13862" i="9"/>
  <c r="D13862" i="9"/>
  <c r="C13862" i="9"/>
  <c r="B13862" i="9"/>
  <c r="H13861" i="9"/>
  <c r="G13861" i="9"/>
  <c r="E13861" i="9"/>
  <c r="D13861" i="9"/>
  <c r="C13861" i="9"/>
  <c r="B13861" i="9"/>
  <c r="H13860" i="9"/>
  <c r="G13860" i="9"/>
  <c r="E13860" i="9"/>
  <c r="D13860" i="9"/>
  <c r="C13860" i="9"/>
  <c r="B13860" i="9"/>
  <c r="H13859" i="9"/>
  <c r="G13859" i="9"/>
  <c r="E13859" i="9"/>
  <c r="D13859" i="9"/>
  <c r="C13859" i="9"/>
  <c r="B13859" i="9"/>
  <c r="H13858" i="9"/>
  <c r="G13858" i="9"/>
  <c r="E13858" i="9"/>
  <c r="D13858" i="9"/>
  <c r="C13858" i="9"/>
  <c r="B13858" i="9"/>
  <c r="H13857" i="9"/>
  <c r="G13857" i="9"/>
  <c r="E13857" i="9"/>
  <c r="D13857" i="9"/>
  <c r="C13857" i="9"/>
  <c r="B13857" i="9"/>
  <c r="H13856" i="9"/>
  <c r="G13856" i="9"/>
  <c r="E13856" i="9"/>
  <c r="D13856" i="9"/>
  <c r="C13856" i="9"/>
  <c r="B13856" i="9"/>
  <c r="H13855" i="9"/>
  <c r="G13855" i="9"/>
  <c r="E13855" i="9"/>
  <c r="D13855" i="9"/>
  <c r="C13855" i="9"/>
  <c r="B13855" i="9"/>
  <c r="H13854" i="9"/>
  <c r="G13854" i="9"/>
  <c r="E13854" i="9"/>
  <c r="D13854" i="9"/>
  <c r="C13854" i="9"/>
  <c r="B13854" i="9"/>
  <c r="H13853" i="9"/>
  <c r="G13853" i="9"/>
  <c r="E13853" i="9"/>
  <c r="D13853" i="9"/>
  <c r="C13853" i="9"/>
  <c r="B13853" i="9"/>
  <c r="H13852" i="9"/>
  <c r="G13852" i="9"/>
  <c r="E13852" i="9"/>
  <c r="D13852" i="9"/>
  <c r="C13852" i="9"/>
  <c r="B13852" i="9"/>
  <c r="H13851" i="9"/>
  <c r="G13851" i="9"/>
  <c r="E13851" i="9"/>
  <c r="D13851" i="9"/>
  <c r="C13851" i="9"/>
  <c r="B13851" i="9"/>
  <c r="H13850" i="9"/>
  <c r="G13850" i="9"/>
  <c r="E13850" i="9"/>
  <c r="D13850" i="9"/>
  <c r="C13850" i="9"/>
  <c r="B13850" i="9"/>
  <c r="H13849" i="9"/>
  <c r="G13849" i="9"/>
  <c r="E13849" i="9"/>
  <c r="D13849" i="9"/>
  <c r="C13849" i="9"/>
  <c r="B13849" i="9"/>
  <c r="H13848" i="9"/>
  <c r="G13848" i="9"/>
  <c r="E13848" i="9"/>
  <c r="D13848" i="9"/>
  <c r="C13848" i="9"/>
  <c r="B13848" i="9"/>
  <c r="H13847" i="9"/>
  <c r="G13847" i="9"/>
  <c r="E13847" i="9"/>
  <c r="D13847" i="9"/>
  <c r="C13847" i="9"/>
  <c r="B13847" i="9"/>
  <c r="H13846" i="9"/>
  <c r="G13846" i="9"/>
  <c r="E13846" i="9"/>
  <c r="D13846" i="9"/>
  <c r="C13846" i="9"/>
  <c r="B13846" i="9"/>
  <c r="H13845" i="9"/>
  <c r="G13845" i="9"/>
  <c r="E13845" i="9"/>
  <c r="D13845" i="9"/>
  <c r="C13845" i="9"/>
  <c r="B13845" i="9"/>
  <c r="H13844" i="9"/>
  <c r="G13844" i="9"/>
  <c r="E13844" i="9"/>
  <c r="D13844" i="9"/>
  <c r="C13844" i="9"/>
  <c r="B13844" i="9"/>
  <c r="H13843" i="9"/>
  <c r="G13843" i="9"/>
  <c r="E13843" i="9"/>
  <c r="D13843" i="9"/>
  <c r="C13843" i="9"/>
  <c r="B13843" i="9"/>
  <c r="H13842" i="9"/>
  <c r="G13842" i="9"/>
  <c r="E13842" i="9"/>
  <c r="D13842" i="9"/>
  <c r="C13842" i="9"/>
  <c r="B13842" i="9"/>
  <c r="H13841" i="9"/>
  <c r="G13841" i="9"/>
  <c r="E13841" i="9"/>
  <c r="D13841" i="9"/>
  <c r="C13841" i="9"/>
  <c r="B13841" i="9"/>
  <c r="H13840" i="9"/>
  <c r="G13840" i="9"/>
  <c r="E13840" i="9"/>
  <c r="D13840" i="9"/>
  <c r="C13840" i="9"/>
  <c r="B13840" i="9"/>
  <c r="H13839" i="9"/>
  <c r="G13839" i="9"/>
  <c r="E13839" i="9"/>
  <c r="D13839" i="9"/>
  <c r="C13839" i="9"/>
  <c r="B13839" i="9"/>
  <c r="H13838" i="9"/>
  <c r="G13838" i="9"/>
  <c r="E13838" i="9"/>
  <c r="D13838" i="9"/>
  <c r="C13838" i="9"/>
  <c r="B13838" i="9"/>
  <c r="H13837" i="9"/>
  <c r="G13837" i="9"/>
  <c r="E13837" i="9"/>
  <c r="D13837" i="9"/>
  <c r="C13837" i="9"/>
  <c r="B13837" i="9"/>
  <c r="H13836" i="9"/>
  <c r="G13836" i="9"/>
  <c r="E13836" i="9"/>
  <c r="D13836" i="9"/>
  <c r="C13836" i="9"/>
  <c r="B13836" i="9"/>
  <c r="H13835" i="9"/>
  <c r="G13835" i="9"/>
  <c r="E13835" i="9"/>
  <c r="D13835" i="9"/>
  <c r="C13835" i="9"/>
  <c r="B13835" i="9"/>
  <c r="H13834" i="9"/>
  <c r="G13834" i="9"/>
  <c r="E13834" i="9"/>
  <c r="D13834" i="9"/>
  <c r="C13834" i="9"/>
  <c r="B13834" i="9"/>
  <c r="H13833" i="9"/>
  <c r="G13833" i="9"/>
  <c r="E13833" i="9"/>
  <c r="D13833" i="9"/>
  <c r="C13833" i="9"/>
  <c r="B13833" i="9"/>
  <c r="H13832" i="9"/>
  <c r="G13832" i="9"/>
  <c r="E13832" i="9"/>
  <c r="D13832" i="9"/>
  <c r="C13832" i="9"/>
  <c r="B13832" i="9"/>
  <c r="H13831" i="9"/>
  <c r="G13831" i="9"/>
  <c r="E13831" i="9"/>
  <c r="D13831" i="9"/>
  <c r="C13831" i="9"/>
  <c r="B13831" i="9"/>
  <c r="H13830" i="9"/>
  <c r="G13830" i="9"/>
  <c r="E13830" i="9"/>
  <c r="D13830" i="9"/>
  <c r="C13830" i="9"/>
  <c r="B13830" i="9"/>
  <c r="H13829" i="9"/>
  <c r="G13829" i="9"/>
  <c r="E13829" i="9"/>
  <c r="D13829" i="9"/>
  <c r="C13829" i="9"/>
  <c r="B13829" i="9"/>
  <c r="H13828" i="9"/>
  <c r="G13828" i="9"/>
  <c r="E13828" i="9"/>
  <c r="D13828" i="9"/>
  <c r="C13828" i="9"/>
  <c r="B13828" i="9"/>
  <c r="H13827" i="9"/>
  <c r="G13827" i="9"/>
  <c r="E13827" i="9"/>
  <c r="D13827" i="9"/>
  <c r="C13827" i="9"/>
  <c r="B13827" i="9"/>
  <c r="H13826" i="9"/>
  <c r="G13826" i="9"/>
  <c r="E13826" i="9"/>
  <c r="D13826" i="9"/>
  <c r="C13826" i="9"/>
  <c r="B13826" i="9"/>
  <c r="H13825" i="9"/>
  <c r="G13825" i="9"/>
  <c r="E13825" i="9"/>
  <c r="D13825" i="9"/>
  <c r="C13825" i="9"/>
  <c r="B13825" i="9"/>
  <c r="H13824" i="9"/>
  <c r="G13824" i="9"/>
  <c r="E13824" i="9"/>
  <c r="D13824" i="9"/>
  <c r="C13824" i="9"/>
  <c r="B13824" i="9"/>
  <c r="H13823" i="9"/>
  <c r="G13823" i="9"/>
  <c r="E13823" i="9"/>
  <c r="D13823" i="9"/>
  <c r="C13823" i="9"/>
  <c r="B13823" i="9"/>
  <c r="H13822" i="9"/>
  <c r="G13822" i="9"/>
  <c r="E13822" i="9"/>
  <c r="D13822" i="9"/>
  <c r="C13822" i="9"/>
  <c r="B13822" i="9"/>
  <c r="H13821" i="9"/>
  <c r="G13821" i="9"/>
  <c r="E13821" i="9"/>
  <c r="D13821" i="9"/>
  <c r="C13821" i="9"/>
  <c r="B13821" i="9"/>
  <c r="H13820" i="9"/>
  <c r="G13820" i="9"/>
  <c r="E13820" i="9"/>
  <c r="D13820" i="9"/>
  <c r="C13820" i="9"/>
  <c r="B13820" i="9"/>
  <c r="H13819" i="9"/>
  <c r="G13819" i="9"/>
  <c r="E13819" i="9"/>
  <c r="D13819" i="9"/>
  <c r="C13819" i="9"/>
  <c r="B13819" i="9"/>
  <c r="H13818" i="9"/>
  <c r="G13818" i="9"/>
  <c r="E13818" i="9"/>
  <c r="D13818" i="9"/>
  <c r="C13818" i="9"/>
  <c r="B13818" i="9"/>
  <c r="H13817" i="9"/>
  <c r="G13817" i="9"/>
  <c r="E13817" i="9"/>
  <c r="D13817" i="9"/>
  <c r="C13817" i="9"/>
  <c r="B13817" i="9"/>
  <c r="H13816" i="9"/>
  <c r="G13816" i="9"/>
  <c r="E13816" i="9"/>
  <c r="D13816" i="9"/>
  <c r="C13816" i="9"/>
  <c r="B13816" i="9"/>
  <c r="H13815" i="9"/>
  <c r="G13815" i="9"/>
  <c r="E13815" i="9"/>
  <c r="D13815" i="9"/>
  <c r="C13815" i="9"/>
  <c r="B13815" i="9"/>
  <c r="H13814" i="9"/>
  <c r="G13814" i="9"/>
  <c r="E13814" i="9"/>
  <c r="D13814" i="9"/>
  <c r="C13814" i="9"/>
  <c r="B13814" i="9"/>
  <c r="H13813" i="9"/>
  <c r="G13813" i="9"/>
  <c r="E13813" i="9"/>
  <c r="D13813" i="9"/>
  <c r="C13813" i="9"/>
  <c r="B13813" i="9"/>
  <c r="H13812" i="9"/>
  <c r="G13812" i="9"/>
  <c r="E13812" i="9"/>
  <c r="D13812" i="9"/>
  <c r="C13812" i="9"/>
  <c r="B13812" i="9"/>
  <c r="H13811" i="9"/>
  <c r="G13811" i="9"/>
  <c r="E13811" i="9"/>
  <c r="D13811" i="9"/>
  <c r="C13811" i="9"/>
  <c r="B13811" i="9"/>
  <c r="H13810" i="9"/>
  <c r="G13810" i="9"/>
  <c r="E13810" i="9"/>
  <c r="D13810" i="9"/>
  <c r="C13810" i="9"/>
  <c r="B13810" i="9"/>
  <c r="H13809" i="9"/>
  <c r="G13809" i="9"/>
  <c r="E13809" i="9"/>
  <c r="D13809" i="9"/>
  <c r="C13809" i="9"/>
  <c r="B13809" i="9"/>
  <c r="H13808" i="9"/>
  <c r="G13808" i="9"/>
  <c r="E13808" i="9"/>
  <c r="D13808" i="9"/>
  <c r="C13808" i="9"/>
  <c r="B13808" i="9"/>
  <c r="H13807" i="9"/>
  <c r="G13807" i="9"/>
  <c r="E13807" i="9"/>
  <c r="D13807" i="9"/>
  <c r="C13807" i="9"/>
  <c r="B13807" i="9"/>
  <c r="H13806" i="9"/>
  <c r="G13806" i="9"/>
  <c r="E13806" i="9"/>
  <c r="D13806" i="9"/>
  <c r="C13806" i="9"/>
  <c r="B13806" i="9"/>
  <c r="H13805" i="9"/>
  <c r="G13805" i="9"/>
  <c r="E13805" i="9"/>
  <c r="D13805" i="9"/>
  <c r="C13805" i="9"/>
  <c r="B13805" i="9"/>
  <c r="H13804" i="9"/>
  <c r="G13804" i="9"/>
  <c r="E13804" i="9"/>
  <c r="D13804" i="9"/>
  <c r="C13804" i="9"/>
  <c r="B13804" i="9"/>
  <c r="H13803" i="9"/>
  <c r="G13803" i="9"/>
  <c r="E13803" i="9"/>
  <c r="D13803" i="9"/>
  <c r="C13803" i="9"/>
  <c r="B13803" i="9"/>
  <c r="H13802" i="9"/>
  <c r="G13802" i="9"/>
  <c r="E13802" i="9"/>
  <c r="D13802" i="9"/>
  <c r="C13802" i="9"/>
  <c r="B13802" i="9"/>
  <c r="H13801" i="9"/>
  <c r="G13801" i="9"/>
  <c r="E13801" i="9"/>
  <c r="D13801" i="9"/>
  <c r="C13801" i="9"/>
  <c r="B13801" i="9"/>
  <c r="H13800" i="9"/>
  <c r="G13800" i="9"/>
  <c r="E13800" i="9"/>
  <c r="D13800" i="9"/>
  <c r="C13800" i="9"/>
  <c r="B13800" i="9"/>
  <c r="H13799" i="9"/>
  <c r="G13799" i="9"/>
  <c r="E13799" i="9"/>
  <c r="D13799" i="9"/>
  <c r="C13799" i="9"/>
  <c r="B13799" i="9"/>
  <c r="H13798" i="9"/>
  <c r="G13798" i="9"/>
  <c r="E13798" i="9"/>
  <c r="D13798" i="9"/>
  <c r="C13798" i="9"/>
  <c r="B13798" i="9"/>
  <c r="H13797" i="9"/>
  <c r="G13797" i="9"/>
  <c r="E13797" i="9"/>
  <c r="D13797" i="9"/>
  <c r="C13797" i="9"/>
  <c r="B13797" i="9"/>
  <c r="H13796" i="9"/>
  <c r="G13796" i="9"/>
  <c r="E13796" i="9"/>
  <c r="D13796" i="9"/>
  <c r="C13796" i="9"/>
  <c r="B13796" i="9"/>
  <c r="H13795" i="9"/>
  <c r="G13795" i="9"/>
  <c r="E13795" i="9"/>
  <c r="D13795" i="9"/>
  <c r="C13795" i="9"/>
  <c r="B13795" i="9"/>
  <c r="H13794" i="9"/>
  <c r="G13794" i="9"/>
  <c r="E13794" i="9"/>
  <c r="D13794" i="9"/>
  <c r="C13794" i="9"/>
  <c r="B13794" i="9"/>
  <c r="H13793" i="9"/>
  <c r="G13793" i="9"/>
  <c r="E13793" i="9"/>
  <c r="D13793" i="9"/>
  <c r="C13793" i="9"/>
  <c r="B13793" i="9"/>
  <c r="H13792" i="9"/>
  <c r="G13792" i="9"/>
  <c r="E13792" i="9"/>
  <c r="D13792" i="9"/>
  <c r="C13792" i="9"/>
  <c r="B13792" i="9"/>
  <c r="H13791" i="9"/>
  <c r="G13791" i="9"/>
  <c r="E13791" i="9"/>
  <c r="D13791" i="9"/>
  <c r="C13791" i="9"/>
  <c r="B13791" i="9"/>
  <c r="H13790" i="9"/>
  <c r="G13790" i="9"/>
  <c r="E13790" i="9"/>
  <c r="D13790" i="9"/>
  <c r="C13790" i="9"/>
  <c r="B13790" i="9"/>
  <c r="H13789" i="9"/>
  <c r="G13789" i="9"/>
  <c r="E13789" i="9"/>
  <c r="D13789" i="9"/>
  <c r="C13789" i="9"/>
  <c r="B13789" i="9"/>
  <c r="H13788" i="9"/>
  <c r="G13788" i="9"/>
  <c r="E13788" i="9"/>
  <c r="D13788" i="9"/>
  <c r="C13788" i="9"/>
  <c r="B13788" i="9"/>
  <c r="H13787" i="9"/>
  <c r="G13787" i="9"/>
  <c r="E13787" i="9"/>
  <c r="D13787" i="9"/>
  <c r="C13787" i="9"/>
  <c r="B13787" i="9"/>
  <c r="H13786" i="9"/>
  <c r="G13786" i="9"/>
  <c r="E13786" i="9"/>
  <c r="D13786" i="9"/>
  <c r="C13786" i="9"/>
  <c r="B13786" i="9"/>
  <c r="H13785" i="9"/>
  <c r="G13785" i="9"/>
  <c r="E13785" i="9"/>
  <c r="D13785" i="9"/>
  <c r="C13785" i="9"/>
  <c r="B13785" i="9"/>
  <c r="H13784" i="9"/>
  <c r="G13784" i="9"/>
  <c r="E13784" i="9"/>
  <c r="D13784" i="9"/>
  <c r="C13784" i="9"/>
  <c r="B13784" i="9"/>
  <c r="H13783" i="9"/>
  <c r="G13783" i="9"/>
  <c r="E13783" i="9"/>
  <c r="D13783" i="9"/>
  <c r="C13783" i="9"/>
  <c r="B13783" i="9"/>
  <c r="H13782" i="9"/>
  <c r="G13782" i="9"/>
  <c r="E13782" i="9"/>
  <c r="D13782" i="9"/>
  <c r="C13782" i="9"/>
  <c r="B13782" i="9"/>
  <c r="H13781" i="9"/>
  <c r="G13781" i="9"/>
  <c r="E13781" i="9"/>
  <c r="D13781" i="9"/>
  <c r="C13781" i="9"/>
  <c r="B13781" i="9"/>
  <c r="H13780" i="9"/>
  <c r="G13780" i="9"/>
  <c r="E13780" i="9"/>
  <c r="D13780" i="9"/>
  <c r="C13780" i="9"/>
  <c r="B13780" i="9"/>
  <c r="H13779" i="9"/>
  <c r="G13779" i="9"/>
  <c r="E13779" i="9"/>
  <c r="D13779" i="9"/>
  <c r="C13779" i="9"/>
  <c r="B13779" i="9"/>
  <c r="H13778" i="9"/>
  <c r="G13778" i="9"/>
  <c r="E13778" i="9"/>
  <c r="D13778" i="9"/>
  <c r="C13778" i="9"/>
  <c r="B13778" i="9"/>
  <c r="H13777" i="9"/>
  <c r="G13777" i="9"/>
  <c r="E13777" i="9"/>
  <c r="D13777" i="9"/>
  <c r="C13777" i="9"/>
  <c r="B13777" i="9"/>
  <c r="H13776" i="9"/>
  <c r="G13776" i="9"/>
  <c r="E13776" i="9"/>
  <c r="D13776" i="9"/>
  <c r="C13776" i="9"/>
  <c r="B13776" i="9"/>
  <c r="H13775" i="9"/>
  <c r="G13775" i="9"/>
  <c r="E13775" i="9"/>
  <c r="D13775" i="9"/>
  <c r="C13775" i="9"/>
  <c r="B13775" i="9"/>
  <c r="H13774" i="9"/>
  <c r="G13774" i="9"/>
  <c r="E13774" i="9"/>
  <c r="D13774" i="9"/>
  <c r="C13774" i="9"/>
  <c r="B13774" i="9"/>
  <c r="H13773" i="9"/>
  <c r="G13773" i="9"/>
  <c r="E13773" i="9"/>
  <c r="D13773" i="9"/>
  <c r="C13773" i="9"/>
  <c r="B13773" i="9"/>
  <c r="H13772" i="9"/>
  <c r="G13772" i="9"/>
  <c r="E13772" i="9"/>
  <c r="D13772" i="9"/>
  <c r="C13772" i="9"/>
  <c r="B13772" i="9"/>
  <c r="H13771" i="9"/>
  <c r="G13771" i="9"/>
  <c r="E13771" i="9"/>
  <c r="D13771" i="9"/>
  <c r="C13771" i="9"/>
  <c r="B13771" i="9"/>
  <c r="H13770" i="9"/>
  <c r="G13770" i="9"/>
  <c r="E13770" i="9"/>
  <c r="D13770" i="9"/>
  <c r="C13770" i="9"/>
  <c r="B13770" i="9"/>
  <c r="H13769" i="9"/>
  <c r="G13769" i="9"/>
  <c r="E13769" i="9"/>
  <c r="D13769" i="9"/>
  <c r="C13769" i="9"/>
  <c r="B13769" i="9"/>
  <c r="H13768" i="9"/>
  <c r="G13768" i="9"/>
  <c r="E13768" i="9"/>
  <c r="D13768" i="9"/>
  <c r="C13768" i="9"/>
  <c r="B13768" i="9"/>
  <c r="H13767" i="9"/>
  <c r="G13767" i="9"/>
  <c r="E13767" i="9"/>
  <c r="D13767" i="9"/>
  <c r="C13767" i="9"/>
  <c r="B13767" i="9"/>
  <c r="H13766" i="9"/>
  <c r="G13766" i="9"/>
  <c r="E13766" i="9"/>
  <c r="D13766" i="9"/>
  <c r="C13766" i="9"/>
  <c r="B13766" i="9"/>
  <c r="H13765" i="9"/>
  <c r="G13765" i="9"/>
  <c r="E13765" i="9"/>
  <c r="D13765" i="9"/>
  <c r="C13765" i="9"/>
  <c r="B13765" i="9"/>
  <c r="H13764" i="9"/>
  <c r="G13764" i="9"/>
  <c r="E13764" i="9"/>
  <c r="D13764" i="9"/>
  <c r="C13764" i="9"/>
  <c r="B13764" i="9"/>
  <c r="H13763" i="9"/>
  <c r="G13763" i="9"/>
  <c r="E13763" i="9"/>
  <c r="D13763" i="9"/>
  <c r="C13763" i="9"/>
  <c r="B13763" i="9"/>
  <c r="H13762" i="9"/>
  <c r="G13762" i="9"/>
  <c r="E13762" i="9"/>
  <c r="D13762" i="9"/>
  <c r="C13762" i="9"/>
  <c r="B13762" i="9"/>
  <c r="H13761" i="9"/>
  <c r="G13761" i="9"/>
  <c r="E13761" i="9"/>
  <c r="D13761" i="9"/>
  <c r="C13761" i="9"/>
  <c r="B13761" i="9"/>
  <c r="H13760" i="9"/>
  <c r="G13760" i="9"/>
  <c r="E13760" i="9"/>
  <c r="D13760" i="9"/>
  <c r="C13760" i="9"/>
  <c r="B13760" i="9"/>
  <c r="H13759" i="9"/>
  <c r="G13759" i="9"/>
  <c r="E13759" i="9"/>
  <c r="D13759" i="9"/>
  <c r="C13759" i="9"/>
  <c r="B13759" i="9"/>
  <c r="H13758" i="9"/>
  <c r="G13758" i="9"/>
  <c r="E13758" i="9"/>
  <c r="D13758" i="9"/>
  <c r="C13758" i="9"/>
  <c r="B13758" i="9"/>
  <c r="H13757" i="9"/>
  <c r="G13757" i="9"/>
  <c r="E13757" i="9"/>
  <c r="D13757" i="9"/>
  <c r="C13757" i="9"/>
  <c r="B13757" i="9"/>
  <c r="H13756" i="9"/>
  <c r="G13756" i="9"/>
  <c r="E13756" i="9"/>
  <c r="D13756" i="9"/>
  <c r="C13756" i="9"/>
  <c r="B13756" i="9"/>
  <c r="H13755" i="9"/>
  <c r="G13755" i="9"/>
  <c r="E13755" i="9"/>
  <c r="D13755" i="9"/>
  <c r="C13755" i="9"/>
  <c r="B13755" i="9"/>
  <c r="H13754" i="9"/>
  <c r="G13754" i="9"/>
  <c r="E13754" i="9"/>
  <c r="D13754" i="9"/>
  <c r="C13754" i="9"/>
  <c r="B13754" i="9"/>
  <c r="H13753" i="9"/>
  <c r="G13753" i="9"/>
  <c r="E13753" i="9"/>
  <c r="D13753" i="9"/>
  <c r="C13753" i="9"/>
  <c r="B13753" i="9"/>
  <c r="H13752" i="9"/>
  <c r="G13752" i="9"/>
  <c r="E13752" i="9"/>
  <c r="D13752" i="9"/>
  <c r="C13752" i="9"/>
  <c r="B13752" i="9"/>
  <c r="H13751" i="9"/>
  <c r="G13751" i="9"/>
  <c r="E13751" i="9"/>
  <c r="D13751" i="9"/>
  <c r="C13751" i="9"/>
  <c r="B13751" i="9"/>
  <c r="H13750" i="9"/>
  <c r="G13750" i="9"/>
  <c r="E13750" i="9"/>
  <c r="D13750" i="9"/>
  <c r="C13750" i="9"/>
  <c r="B13750" i="9"/>
  <c r="H13749" i="9"/>
  <c r="G13749" i="9"/>
  <c r="E13749" i="9"/>
  <c r="D13749" i="9"/>
  <c r="C13749" i="9"/>
  <c r="B13749" i="9"/>
  <c r="H13748" i="9"/>
  <c r="G13748" i="9"/>
  <c r="E13748" i="9"/>
  <c r="D13748" i="9"/>
  <c r="C13748" i="9"/>
  <c r="B13748" i="9"/>
  <c r="H13747" i="9"/>
  <c r="G13747" i="9"/>
  <c r="E13747" i="9"/>
  <c r="D13747" i="9"/>
  <c r="C13747" i="9"/>
  <c r="B13747" i="9"/>
  <c r="H13746" i="9"/>
  <c r="G13746" i="9"/>
  <c r="E13746" i="9"/>
  <c r="D13746" i="9"/>
  <c r="C13746" i="9"/>
  <c r="B13746" i="9"/>
  <c r="H13745" i="9"/>
  <c r="G13745" i="9"/>
  <c r="E13745" i="9"/>
  <c r="D13745" i="9"/>
  <c r="C13745" i="9"/>
  <c r="B13745" i="9"/>
  <c r="H13744" i="9"/>
  <c r="G13744" i="9"/>
  <c r="E13744" i="9"/>
  <c r="D13744" i="9"/>
  <c r="C13744" i="9"/>
  <c r="B13744" i="9"/>
  <c r="H13743" i="9"/>
  <c r="G13743" i="9"/>
  <c r="E13743" i="9"/>
  <c r="D13743" i="9"/>
  <c r="C13743" i="9"/>
  <c r="B13743" i="9"/>
  <c r="H13742" i="9"/>
  <c r="G13742" i="9"/>
  <c r="E13742" i="9"/>
  <c r="D13742" i="9"/>
  <c r="C13742" i="9"/>
  <c r="B13742" i="9"/>
  <c r="H13741" i="9"/>
  <c r="G13741" i="9"/>
  <c r="E13741" i="9"/>
  <c r="D13741" i="9"/>
  <c r="C13741" i="9"/>
  <c r="B13741" i="9"/>
  <c r="H13740" i="9"/>
  <c r="G13740" i="9"/>
  <c r="E13740" i="9"/>
  <c r="D13740" i="9"/>
  <c r="C13740" i="9"/>
  <c r="B13740" i="9"/>
  <c r="H13739" i="9"/>
  <c r="G13739" i="9"/>
  <c r="E13739" i="9"/>
  <c r="D13739" i="9"/>
  <c r="C13739" i="9"/>
  <c r="B13739" i="9"/>
  <c r="H13738" i="9"/>
  <c r="G13738" i="9"/>
  <c r="E13738" i="9"/>
  <c r="D13738" i="9"/>
  <c r="C13738" i="9"/>
  <c r="B13738" i="9"/>
  <c r="H13737" i="9"/>
  <c r="G13737" i="9"/>
  <c r="E13737" i="9"/>
  <c r="D13737" i="9"/>
  <c r="C13737" i="9"/>
  <c r="B13737" i="9"/>
  <c r="H13736" i="9"/>
  <c r="G13736" i="9"/>
  <c r="E13736" i="9"/>
  <c r="D13736" i="9"/>
  <c r="C13736" i="9"/>
  <c r="B13736" i="9"/>
  <c r="H13735" i="9"/>
  <c r="G13735" i="9"/>
  <c r="E13735" i="9"/>
  <c r="D13735" i="9"/>
  <c r="C13735" i="9"/>
  <c r="B13735" i="9"/>
  <c r="H13734" i="9"/>
  <c r="G13734" i="9"/>
  <c r="E13734" i="9"/>
  <c r="D13734" i="9"/>
  <c r="C13734" i="9"/>
  <c r="B13734" i="9"/>
  <c r="H13733" i="9"/>
  <c r="G13733" i="9"/>
  <c r="E13733" i="9"/>
  <c r="D13733" i="9"/>
  <c r="C13733" i="9"/>
  <c r="B13733" i="9"/>
  <c r="H13732" i="9"/>
  <c r="G13732" i="9"/>
  <c r="E13732" i="9"/>
  <c r="D13732" i="9"/>
  <c r="C13732" i="9"/>
  <c r="B13732" i="9"/>
  <c r="H13731" i="9"/>
  <c r="G13731" i="9"/>
  <c r="E13731" i="9"/>
  <c r="D13731" i="9"/>
  <c r="C13731" i="9"/>
  <c r="B13731" i="9"/>
  <c r="H13730" i="9"/>
  <c r="G13730" i="9"/>
  <c r="E13730" i="9"/>
  <c r="D13730" i="9"/>
  <c r="C13730" i="9"/>
  <c r="B13730" i="9"/>
  <c r="H13729" i="9"/>
  <c r="G13729" i="9"/>
  <c r="E13729" i="9"/>
  <c r="D13729" i="9"/>
  <c r="C13729" i="9"/>
  <c r="B13729" i="9"/>
  <c r="H13728" i="9"/>
  <c r="G13728" i="9"/>
  <c r="E13728" i="9"/>
  <c r="D13728" i="9"/>
  <c r="C13728" i="9"/>
  <c r="B13728" i="9"/>
  <c r="H13727" i="9"/>
  <c r="G13727" i="9"/>
  <c r="E13727" i="9"/>
  <c r="D13727" i="9"/>
  <c r="C13727" i="9"/>
  <c r="B13727" i="9"/>
  <c r="H13726" i="9"/>
  <c r="G13726" i="9"/>
  <c r="E13726" i="9"/>
  <c r="D13726" i="9"/>
  <c r="C13726" i="9"/>
  <c r="B13726" i="9"/>
  <c r="H13725" i="9"/>
  <c r="G13725" i="9"/>
  <c r="E13725" i="9"/>
  <c r="D13725" i="9"/>
  <c r="C13725" i="9"/>
  <c r="B13725" i="9"/>
  <c r="H13724" i="9"/>
  <c r="G13724" i="9"/>
  <c r="E13724" i="9"/>
  <c r="D13724" i="9"/>
  <c r="C13724" i="9"/>
  <c r="B13724" i="9"/>
  <c r="H13723" i="9"/>
  <c r="G13723" i="9"/>
  <c r="E13723" i="9"/>
  <c r="D13723" i="9"/>
  <c r="C13723" i="9"/>
  <c r="B13723" i="9"/>
  <c r="H13722" i="9"/>
  <c r="G13722" i="9"/>
  <c r="E13722" i="9"/>
  <c r="D13722" i="9"/>
  <c r="C13722" i="9"/>
  <c r="B13722" i="9"/>
  <c r="H13721" i="9"/>
  <c r="G13721" i="9"/>
  <c r="E13721" i="9"/>
  <c r="D13721" i="9"/>
  <c r="C13721" i="9"/>
  <c r="B13721" i="9"/>
  <c r="H13720" i="9"/>
  <c r="G13720" i="9"/>
  <c r="E13720" i="9"/>
  <c r="D13720" i="9"/>
  <c r="C13720" i="9"/>
  <c r="B13720" i="9"/>
  <c r="H13719" i="9"/>
  <c r="G13719" i="9"/>
  <c r="E13719" i="9"/>
  <c r="D13719" i="9"/>
  <c r="C13719" i="9"/>
  <c r="B13719" i="9"/>
  <c r="H13718" i="9"/>
  <c r="G13718" i="9"/>
  <c r="E13718" i="9"/>
  <c r="D13718" i="9"/>
  <c r="C13718" i="9"/>
  <c r="B13718" i="9"/>
  <c r="H13717" i="9"/>
  <c r="G13717" i="9"/>
  <c r="E13717" i="9"/>
  <c r="D13717" i="9"/>
  <c r="C13717" i="9"/>
  <c r="B13717" i="9"/>
  <c r="H13716" i="9"/>
  <c r="G13716" i="9"/>
  <c r="E13716" i="9"/>
  <c r="D13716" i="9"/>
  <c r="C13716" i="9"/>
  <c r="B13716" i="9"/>
  <c r="H13715" i="9"/>
  <c r="G13715" i="9"/>
  <c r="E13715" i="9"/>
  <c r="D13715" i="9"/>
  <c r="C13715" i="9"/>
  <c r="B13715" i="9"/>
  <c r="H13714" i="9"/>
  <c r="G13714" i="9"/>
  <c r="E13714" i="9"/>
  <c r="D13714" i="9"/>
  <c r="C13714" i="9"/>
  <c r="B13714" i="9"/>
  <c r="H13713" i="9"/>
  <c r="G13713" i="9"/>
  <c r="E13713" i="9"/>
  <c r="D13713" i="9"/>
  <c r="C13713" i="9"/>
  <c r="B13713" i="9"/>
  <c r="H13712" i="9"/>
  <c r="G13712" i="9"/>
  <c r="E13712" i="9"/>
  <c r="D13712" i="9"/>
  <c r="C13712" i="9"/>
  <c r="B13712" i="9"/>
  <c r="H13711" i="9"/>
  <c r="G13711" i="9"/>
  <c r="E13711" i="9"/>
  <c r="D13711" i="9"/>
  <c r="C13711" i="9"/>
  <c r="B13711" i="9"/>
  <c r="H13710" i="9"/>
  <c r="G13710" i="9"/>
  <c r="E13710" i="9"/>
  <c r="D13710" i="9"/>
  <c r="C13710" i="9"/>
  <c r="B13710" i="9"/>
  <c r="H13709" i="9"/>
  <c r="G13709" i="9"/>
  <c r="E13709" i="9"/>
  <c r="D13709" i="9"/>
  <c r="C13709" i="9"/>
  <c r="B13709" i="9"/>
  <c r="H13708" i="9"/>
  <c r="G13708" i="9"/>
  <c r="E13708" i="9"/>
  <c r="D13708" i="9"/>
  <c r="C13708" i="9"/>
  <c r="B13708" i="9"/>
  <c r="H13707" i="9"/>
  <c r="G13707" i="9"/>
  <c r="E13707" i="9"/>
  <c r="D13707" i="9"/>
  <c r="C13707" i="9"/>
  <c r="B13707" i="9"/>
  <c r="H13706" i="9"/>
  <c r="G13706" i="9"/>
  <c r="E13706" i="9"/>
  <c r="D13706" i="9"/>
  <c r="C13706" i="9"/>
  <c r="B13706" i="9"/>
  <c r="H13705" i="9"/>
  <c r="G13705" i="9"/>
  <c r="E13705" i="9"/>
  <c r="D13705" i="9"/>
  <c r="C13705" i="9"/>
  <c r="B13705" i="9"/>
  <c r="H13704" i="9"/>
  <c r="G13704" i="9"/>
  <c r="E13704" i="9"/>
  <c r="D13704" i="9"/>
  <c r="C13704" i="9"/>
  <c r="B13704" i="9"/>
  <c r="H13703" i="9"/>
  <c r="G13703" i="9"/>
  <c r="E13703" i="9"/>
  <c r="D13703" i="9"/>
  <c r="C13703" i="9"/>
  <c r="B13703" i="9"/>
  <c r="H13702" i="9"/>
  <c r="G13702" i="9"/>
  <c r="E13702" i="9"/>
  <c r="D13702" i="9"/>
  <c r="C13702" i="9"/>
  <c r="B13702" i="9"/>
  <c r="H13701" i="9"/>
  <c r="G13701" i="9"/>
  <c r="E13701" i="9"/>
  <c r="D13701" i="9"/>
  <c r="C13701" i="9"/>
  <c r="B13701" i="9"/>
  <c r="H13700" i="9"/>
  <c r="G13700" i="9"/>
  <c r="E13700" i="9"/>
  <c r="D13700" i="9"/>
  <c r="C13700" i="9"/>
  <c r="B13700" i="9"/>
  <c r="H13699" i="9"/>
  <c r="G13699" i="9"/>
  <c r="E13699" i="9"/>
  <c r="D13699" i="9"/>
  <c r="C13699" i="9"/>
  <c r="B13699" i="9"/>
  <c r="H13698" i="9"/>
  <c r="G13698" i="9"/>
  <c r="E13698" i="9"/>
  <c r="D13698" i="9"/>
  <c r="C13698" i="9"/>
  <c r="B13698" i="9"/>
  <c r="H13697" i="9"/>
  <c r="G13697" i="9"/>
  <c r="E13697" i="9"/>
  <c r="D13697" i="9"/>
  <c r="C13697" i="9"/>
  <c r="B13697" i="9"/>
  <c r="H13696" i="9"/>
  <c r="G13696" i="9"/>
  <c r="E13696" i="9"/>
  <c r="D13696" i="9"/>
  <c r="C13696" i="9"/>
  <c r="B13696" i="9"/>
  <c r="H13695" i="9"/>
  <c r="G13695" i="9"/>
  <c r="E13695" i="9"/>
  <c r="D13695" i="9"/>
  <c r="C13695" i="9"/>
  <c r="B13695" i="9"/>
  <c r="H13694" i="9"/>
  <c r="G13694" i="9"/>
  <c r="E13694" i="9"/>
  <c r="D13694" i="9"/>
  <c r="C13694" i="9"/>
  <c r="B13694" i="9"/>
  <c r="H13693" i="9"/>
  <c r="G13693" i="9"/>
  <c r="E13693" i="9"/>
  <c r="D13693" i="9"/>
  <c r="C13693" i="9"/>
  <c r="B13693" i="9"/>
  <c r="H13692" i="9"/>
  <c r="G13692" i="9"/>
  <c r="E13692" i="9"/>
  <c r="D13692" i="9"/>
  <c r="C13692" i="9"/>
  <c r="B13692" i="9"/>
  <c r="H13691" i="9"/>
  <c r="G13691" i="9"/>
  <c r="E13691" i="9"/>
  <c r="D13691" i="9"/>
  <c r="C13691" i="9"/>
  <c r="B13691" i="9"/>
  <c r="H13690" i="9"/>
  <c r="G13690" i="9"/>
  <c r="E13690" i="9"/>
  <c r="D13690" i="9"/>
  <c r="C13690" i="9"/>
  <c r="B13690" i="9"/>
  <c r="H13689" i="9"/>
  <c r="G13689" i="9"/>
  <c r="E13689" i="9"/>
  <c r="D13689" i="9"/>
  <c r="C13689" i="9"/>
  <c r="B13689" i="9"/>
  <c r="H13688" i="9"/>
  <c r="G13688" i="9"/>
  <c r="E13688" i="9"/>
  <c r="D13688" i="9"/>
  <c r="C13688" i="9"/>
  <c r="B13688" i="9"/>
  <c r="H13687" i="9"/>
  <c r="G13687" i="9"/>
  <c r="E13687" i="9"/>
  <c r="D13687" i="9"/>
  <c r="C13687" i="9"/>
  <c r="B13687" i="9"/>
  <c r="H13686" i="9"/>
  <c r="G13686" i="9"/>
  <c r="E13686" i="9"/>
  <c r="D13686" i="9"/>
  <c r="C13686" i="9"/>
  <c r="B13686" i="9"/>
  <c r="H13685" i="9"/>
  <c r="G13685" i="9"/>
  <c r="E13685" i="9"/>
  <c r="D13685" i="9"/>
  <c r="C13685" i="9"/>
  <c r="B13685" i="9"/>
  <c r="H13684" i="9"/>
  <c r="G13684" i="9"/>
  <c r="E13684" i="9"/>
  <c r="D13684" i="9"/>
  <c r="C13684" i="9"/>
  <c r="B13684" i="9"/>
  <c r="H13683" i="9"/>
  <c r="G13683" i="9"/>
  <c r="E13683" i="9"/>
  <c r="D13683" i="9"/>
  <c r="C13683" i="9"/>
  <c r="B13683" i="9"/>
  <c r="H13682" i="9"/>
  <c r="G13682" i="9"/>
  <c r="E13682" i="9"/>
  <c r="D13682" i="9"/>
  <c r="C13682" i="9"/>
  <c r="B13682" i="9"/>
  <c r="H13681" i="9"/>
  <c r="G13681" i="9"/>
  <c r="E13681" i="9"/>
  <c r="D13681" i="9"/>
  <c r="C13681" i="9"/>
  <c r="B13681" i="9"/>
  <c r="H13680" i="9"/>
  <c r="G13680" i="9"/>
  <c r="E13680" i="9"/>
  <c r="D13680" i="9"/>
  <c r="C13680" i="9"/>
  <c r="B13680" i="9"/>
  <c r="H13679" i="9"/>
  <c r="G13679" i="9"/>
  <c r="E13679" i="9"/>
  <c r="D13679" i="9"/>
  <c r="C13679" i="9"/>
  <c r="B13679" i="9"/>
  <c r="H13678" i="9"/>
  <c r="G13678" i="9"/>
  <c r="E13678" i="9"/>
  <c r="D13678" i="9"/>
  <c r="C13678" i="9"/>
  <c r="B13678" i="9"/>
  <c r="H13677" i="9"/>
  <c r="G13677" i="9"/>
  <c r="E13677" i="9"/>
  <c r="D13677" i="9"/>
  <c r="C13677" i="9"/>
  <c r="B13677" i="9"/>
  <c r="H13676" i="9"/>
  <c r="G13676" i="9"/>
  <c r="E13676" i="9"/>
  <c r="D13676" i="9"/>
  <c r="C13676" i="9"/>
  <c r="B13676" i="9"/>
  <c r="H13675" i="9"/>
  <c r="G13675" i="9"/>
  <c r="E13675" i="9"/>
  <c r="D13675" i="9"/>
  <c r="C13675" i="9"/>
  <c r="B13675" i="9"/>
  <c r="H13674" i="9"/>
  <c r="G13674" i="9"/>
  <c r="E13674" i="9"/>
  <c r="D13674" i="9"/>
  <c r="C13674" i="9"/>
  <c r="B13674" i="9"/>
  <c r="H13673" i="9"/>
  <c r="G13673" i="9"/>
  <c r="E13673" i="9"/>
  <c r="D13673" i="9"/>
  <c r="C13673" i="9"/>
  <c r="B13673" i="9"/>
  <c r="H13672" i="9"/>
  <c r="G13672" i="9"/>
  <c r="E13672" i="9"/>
  <c r="D13672" i="9"/>
  <c r="C13672" i="9"/>
  <c r="B13672" i="9"/>
  <c r="H13671" i="9"/>
  <c r="G13671" i="9"/>
  <c r="E13671" i="9"/>
  <c r="D13671" i="9"/>
  <c r="C13671" i="9"/>
  <c r="B13671" i="9"/>
  <c r="H13670" i="9"/>
  <c r="G13670" i="9"/>
  <c r="E13670" i="9"/>
  <c r="D13670" i="9"/>
  <c r="C13670" i="9"/>
  <c r="B13670" i="9"/>
  <c r="H13669" i="9"/>
  <c r="G13669" i="9"/>
  <c r="E13669" i="9"/>
  <c r="D13669" i="9"/>
  <c r="C13669" i="9"/>
  <c r="B13669" i="9"/>
  <c r="H13668" i="9"/>
  <c r="G13668" i="9"/>
  <c r="E13668" i="9"/>
  <c r="D13668" i="9"/>
  <c r="C13668" i="9"/>
  <c r="B13668" i="9"/>
  <c r="H13667" i="9"/>
  <c r="G13667" i="9"/>
  <c r="E13667" i="9"/>
  <c r="D13667" i="9"/>
  <c r="C13667" i="9"/>
  <c r="B13667" i="9"/>
  <c r="H13666" i="9"/>
  <c r="G13666" i="9"/>
  <c r="E13666" i="9"/>
  <c r="D13666" i="9"/>
  <c r="C13666" i="9"/>
  <c r="B13666" i="9"/>
  <c r="H13665" i="9"/>
  <c r="G13665" i="9"/>
  <c r="E13665" i="9"/>
  <c r="D13665" i="9"/>
  <c r="C13665" i="9"/>
  <c r="B13665" i="9"/>
  <c r="H13664" i="9"/>
  <c r="G13664" i="9"/>
  <c r="E13664" i="9"/>
  <c r="D13664" i="9"/>
  <c r="C13664" i="9"/>
  <c r="B13664" i="9"/>
  <c r="H13663" i="9"/>
  <c r="G13663" i="9"/>
  <c r="E13663" i="9"/>
  <c r="D13663" i="9"/>
  <c r="C13663" i="9"/>
  <c r="B13663" i="9"/>
  <c r="H13662" i="9"/>
  <c r="G13662" i="9"/>
  <c r="E13662" i="9"/>
  <c r="D13662" i="9"/>
  <c r="C13662" i="9"/>
  <c r="B13662" i="9"/>
  <c r="H13661" i="9"/>
  <c r="G13661" i="9"/>
  <c r="E13661" i="9"/>
  <c r="D13661" i="9"/>
  <c r="C13661" i="9"/>
  <c r="B13661" i="9"/>
  <c r="H13660" i="9"/>
  <c r="G13660" i="9"/>
  <c r="E13660" i="9"/>
  <c r="D13660" i="9"/>
  <c r="C13660" i="9"/>
  <c r="B13660" i="9"/>
  <c r="H13659" i="9"/>
  <c r="G13659" i="9"/>
  <c r="E13659" i="9"/>
  <c r="D13659" i="9"/>
  <c r="C13659" i="9"/>
  <c r="B13659" i="9"/>
  <c r="H13658" i="9"/>
  <c r="G13658" i="9"/>
  <c r="E13658" i="9"/>
  <c r="D13658" i="9"/>
  <c r="C13658" i="9"/>
  <c r="B13658" i="9"/>
  <c r="H13657" i="9"/>
  <c r="G13657" i="9"/>
  <c r="E13657" i="9"/>
  <c r="D13657" i="9"/>
  <c r="C13657" i="9"/>
  <c r="B13657" i="9"/>
  <c r="H13656" i="9"/>
  <c r="G13656" i="9"/>
  <c r="E13656" i="9"/>
  <c r="D13656" i="9"/>
  <c r="C13656" i="9"/>
  <c r="B13656" i="9"/>
  <c r="H13655" i="9"/>
  <c r="G13655" i="9"/>
  <c r="E13655" i="9"/>
  <c r="D13655" i="9"/>
  <c r="C13655" i="9"/>
  <c r="B13655" i="9"/>
  <c r="H13654" i="9"/>
  <c r="G13654" i="9"/>
  <c r="E13654" i="9"/>
  <c r="D13654" i="9"/>
  <c r="C13654" i="9"/>
  <c r="B13654" i="9"/>
  <c r="H13653" i="9"/>
  <c r="G13653" i="9"/>
  <c r="E13653" i="9"/>
  <c r="D13653" i="9"/>
  <c r="C13653" i="9"/>
  <c r="B13653" i="9"/>
  <c r="H13652" i="9"/>
  <c r="G13652" i="9"/>
  <c r="E13652" i="9"/>
  <c r="D13652" i="9"/>
  <c r="C13652" i="9"/>
  <c r="B13652" i="9"/>
  <c r="H13651" i="9"/>
  <c r="G13651" i="9"/>
  <c r="E13651" i="9"/>
  <c r="D13651" i="9"/>
  <c r="C13651" i="9"/>
  <c r="B13651" i="9"/>
  <c r="H13650" i="9"/>
  <c r="G13650" i="9"/>
  <c r="E13650" i="9"/>
  <c r="D13650" i="9"/>
  <c r="C13650" i="9"/>
  <c r="B13650" i="9"/>
  <c r="H13649" i="9"/>
  <c r="G13649" i="9"/>
  <c r="E13649" i="9"/>
  <c r="D13649" i="9"/>
  <c r="C13649" i="9"/>
  <c r="B13649" i="9"/>
  <c r="H13648" i="9"/>
  <c r="G13648" i="9"/>
  <c r="E13648" i="9"/>
  <c r="D13648" i="9"/>
  <c r="C13648" i="9"/>
  <c r="B13648" i="9"/>
  <c r="H13647" i="9"/>
  <c r="G13647" i="9"/>
  <c r="E13647" i="9"/>
  <c r="D13647" i="9"/>
  <c r="C13647" i="9"/>
  <c r="B13647" i="9"/>
  <c r="H13646" i="9"/>
  <c r="G13646" i="9"/>
  <c r="E13646" i="9"/>
  <c r="D13646" i="9"/>
  <c r="C13646" i="9"/>
  <c r="B13646" i="9"/>
  <c r="H13645" i="9"/>
  <c r="G13645" i="9"/>
  <c r="E13645" i="9"/>
  <c r="D13645" i="9"/>
  <c r="C13645" i="9"/>
  <c r="B13645" i="9"/>
  <c r="H13644" i="9"/>
  <c r="G13644" i="9"/>
  <c r="E13644" i="9"/>
  <c r="D13644" i="9"/>
  <c r="C13644" i="9"/>
  <c r="B13644" i="9"/>
  <c r="H13643" i="9"/>
  <c r="G13643" i="9"/>
  <c r="E13643" i="9"/>
  <c r="D13643" i="9"/>
  <c r="C13643" i="9"/>
  <c r="B13643" i="9"/>
  <c r="H13642" i="9"/>
  <c r="G13642" i="9"/>
  <c r="E13642" i="9"/>
  <c r="D13642" i="9"/>
  <c r="C13642" i="9"/>
  <c r="B13642" i="9"/>
  <c r="H13641" i="9"/>
  <c r="G13641" i="9"/>
  <c r="E13641" i="9"/>
  <c r="D13641" i="9"/>
  <c r="C13641" i="9"/>
  <c r="B13641" i="9"/>
  <c r="H13640" i="9"/>
  <c r="G13640" i="9"/>
  <c r="E13640" i="9"/>
  <c r="D13640" i="9"/>
  <c r="C13640" i="9"/>
  <c r="B13640" i="9"/>
  <c r="H13639" i="9"/>
  <c r="G13639" i="9"/>
  <c r="E13639" i="9"/>
  <c r="D13639" i="9"/>
  <c r="C13639" i="9"/>
  <c r="B13639" i="9"/>
  <c r="H13638" i="9"/>
  <c r="G13638" i="9"/>
  <c r="E13638" i="9"/>
  <c r="D13638" i="9"/>
  <c r="C13638" i="9"/>
  <c r="B13638" i="9"/>
  <c r="H13637" i="9"/>
  <c r="G13637" i="9"/>
  <c r="E13637" i="9"/>
  <c r="D13637" i="9"/>
  <c r="C13637" i="9"/>
  <c r="B13637" i="9"/>
  <c r="H13636" i="9"/>
  <c r="G13636" i="9"/>
  <c r="E13636" i="9"/>
  <c r="D13636" i="9"/>
  <c r="C13636" i="9"/>
  <c r="B13636" i="9"/>
  <c r="H13635" i="9"/>
  <c r="G13635" i="9"/>
  <c r="E13635" i="9"/>
  <c r="D13635" i="9"/>
  <c r="C13635" i="9"/>
  <c r="B13635" i="9"/>
  <c r="H13634" i="9"/>
  <c r="G13634" i="9"/>
  <c r="E13634" i="9"/>
  <c r="D13634" i="9"/>
  <c r="C13634" i="9"/>
  <c r="B13634" i="9"/>
  <c r="H13633" i="9"/>
  <c r="G13633" i="9"/>
  <c r="E13633" i="9"/>
  <c r="D13633" i="9"/>
  <c r="C13633" i="9"/>
  <c r="B13633" i="9"/>
  <c r="H13632" i="9"/>
  <c r="G13632" i="9"/>
  <c r="E13632" i="9"/>
  <c r="D13632" i="9"/>
  <c r="C13632" i="9"/>
  <c r="B13632" i="9"/>
  <c r="H13631" i="9"/>
  <c r="G13631" i="9"/>
  <c r="E13631" i="9"/>
  <c r="D13631" i="9"/>
  <c r="C13631" i="9"/>
  <c r="B13631" i="9"/>
  <c r="H13630" i="9"/>
  <c r="G13630" i="9"/>
  <c r="E13630" i="9"/>
  <c r="D13630" i="9"/>
  <c r="C13630" i="9"/>
  <c r="B13630" i="9"/>
  <c r="H13629" i="9"/>
  <c r="G13629" i="9"/>
  <c r="E13629" i="9"/>
  <c r="D13629" i="9"/>
  <c r="C13629" i="9"/>
  <c r="B13629" i="9"/>
  <c r="H13628" i="9"/>
  <c r="G13628" i="9"/>
  <c r="E13628" i="9"/>
  <c r="D13628" i="9"/>
  <c r="C13628" i="9"/>
  <c r="B13628" i="9"/>
  <c r="H13627" i="9"/>
  <c r="G13627" i="9"/>
  <c r="E13627" i="9"/>
  <c r="D13627" i="9"/>
  <c r="C13627" i="9"/>
  <c r="B13627" i="9"/>
  <c r="H13626" i="9"/>
  <c r="G13626" i="9"/>
  <c r="E13626" i="9"/>
  <c r="D13626" i="9"/>
  <c r="C13626" i="9"/>
  <c r="B13626" i="9"/>
  <c r="H13625" i="9"/>
  <c r="G13625" i="9"/>
  <c r="E13625" i="9"/>
  <c r="D13625" i="9"/>
  <c r="C13625" i="9"/>
  <c r="B13625" i="9"/>
  <c r="H13624" i="9"/>
  <c r="G13624" i="9"/>
  <c r="E13624" i="9"/>
  <c r="D13624" i="9"/>
  <c r="C13624" i="9"/>
  <c r="B13624" i="9"/>
  <c r="H13623" i="9"/>
  <c r="G13623" i="9"/>
  <c r="E13623" i="9"/>
  <c r="D13623" i="9"/>
  <c r="C13623" i="9"/>
  <c r="B13623" i="9"/>
  <c r="H13622" i="9"/>
  <c r="G13622" i="9"/>
  <c r="E13622" i="9"/>
  <c r="D13622" i="9"/>
  <c r="C13622" i="9"/>
  <c r="B13622" i="9"/>
  <c r="H13621" i="9"/>
  <c r="G13621" i="9"/>
  <c r="E13621" i="9"/>
  <c r="D13621" i="9"/>
  <c r="C13621" i="9"/>
  <c r="B13621" i="9"/>
  <c r="H13620" i="9"/>
  <c r="G13620" i="9"/>
  <c r="E13620" i="9"/>
  <c r="D13620" i="9"/>
  <c r="C13620" i="9"/>
  <c r="B13620" i="9"/>
  <c r="H13619" i="9"/>
  <c r="G13619" i="9"/>
  <c r="E13619" i="9"/>
  <c r="D13619" i="9"/>
  <c r="C13619" i="9"/>
  <c r="B13619" i="9"/>
  <c r="H13618" i="9"/>
  <c r="G13618" i="9"/>
  <c r="E13618" i="9"/>
  <c r="D13618" i="9"/>
  <c r="C13618" i="9"/>
  <c r="B13618" i="9"/>
  <c r="H13617" i="9"/>
  <c r="G13617" i="9"/>
  <c r="E13617" i="9"/>
  <c r="D13617" i="9"/>
  <c r="C13617" i="9"/>
  <c r="B13617" i="9"/>
  <c r="H13616" i="9"/>
  <c r="G13616" i="9"/>
  <c r="E13616" i="9"/>
  <c r="D13616" i="9"/>
  <c r="C13616" i="9"/>
  <c r="B13616" i="9"/>
  <c r="H13615" i="9"/>
  <c r="G13615" i="9"/>
  <c r="E13615" i="9"/>
  <c r="D13615" i="9"/>
  <c r="C13615" i="9"/>
  <c r="B13615" i="9"/>
  <c r="H13614" i="9"/>
  <c r="G13614" i="9"/>
  <c r="E13614" i="9"/>
  <c r="D13614" i="9"/>
  <c r="C13614" i="9"/>
  <c r="B13614" i="9"/>
  <c r="H13613" i="9"/>
  <c r="G13613" i="9"/>
  <c r="E13613" i="9"/>
  <c r="D13613" i="9"/>
  <c r="C13613" i="9"/>
  <c r="B13613" i="9"/>
  <c r="H13612" i="9"/>
  <c r="G13612" i="9"/>
  <c r="E13612" i="9"/>
  <c r="D13612" i="9"/>
  <c r="C13612" i="9"/>
  <c r="B13612" i="9"/>
  <c r="H13611" i="9"/>
  <c r="G13611" i="9"/>
  <c r="E13611" i="9"/>
  <c r="D13611" i="9"/>
  <c r="C13611" i="9"/>
  <c r="B13611" i="9"/>
  <c r="H13610" i="9"/>
  <c r="G13610" i="9"/>
  <c r="E13610" i="9"/>
  <c r="D13610" i="9"/>
  <c r="C13610" i="9"/>
  <c r="B13610" i="9"/>
  <c r="H13609" i="9"/>
  <c r="G13609" i="9"/>
  <c r="E13609" i="9"/>
  <c r="D13609" i="9"/>
  <c r="C13609" i="9"/>
  <c r="B13609" i="9"/>
  <c r="H13608" i="9"/>
  <c r="G13608" i="9"/>
  <c r="E13608" i="9"/>
  <c r="D13608" i="9"/>
  <c r="C13608" i="9"/>
  <c r="B13608" i="9"/>
  <c r="H13607" i="9"/>
  <c r="G13607" i="9"/>
  <c r="E13607" i="9"/>
  <c r="D13607" i="9"/>
  <c r="C13607" i="9"/>
  <c r="B13607" i="9"/>
  <c r="H13606" i="9"/>
  <c r="G13606" i="9"/>
  <c r="E13606" i="9"/>
  <c r="D13606" i="9"/>
  <c r="C13606" i="9"/>
  <c r="B13606" i="9"/>
  <c r="H13605" i="9"/>
  <c r="G13605" i="9"/>
  <c r="E13605" i="9"/>
  <c r="D13605" i="9"/>
  <c r="C13605" i="9"/>
  <c r="B13605" i="9"/>
  <c r="H13604" i="9"/>
  <c r="G13604" i="9"/>
  <c r="E13604" i="9"/>
  <c r="D13604" i="9"/>
  <c r="C13604" i="9"/>
  <c r="B13604" i="9"/>
  <c r="H13603" i="9"/>
  <c r="G13603" i="9"/>
  <c r="E13603" i="9"/>
  <c r="D13603" i="9"/>
  <c r="C13603" i="9"/>
  <c r="B13603" i="9"/>
  <c r="H13602" i="9"/>
  <c r="G13602" i="9"/>
  <c r="E13602" i="9"/>
  <c r="D13602" i="9"/>
  <c r="C13602" i="9"/>
  <c r="B13602" i="9"/>
  <c r="H13601" i="9"/>
  <c r="G13601" i="9"/>
  <c r="E13601" i="9"/>
  <c r="D13601" i="9"/>
  <c r="C13601" i="9"/>
  <c r="B13601" i="9"/>
  <c r="H13600" i="9"/>
  <c r="G13600" i="9"/>
  <c r="E13600" i="9"/>
  <c r="D13600" i="9"/>
  <c r="C13600" i="9"/>
  <c r="B13600" i="9"/>
  <c r="H13599" i="9"/>
  <c r="G13599" i="9"/>
  <c r="E13599" i="9"/>
  <c r="D13599" i="9"/>
  <c r="C13599" i="9"/>
  <c r="B13599" i="9"/>
  <c r="H13598" i="9"/>
  <c r="G13598" i="9"/>
  <c r="E13598" i="9"/>
  <c r="D13598" i="9"/>
  <c r="C13598" i="9"/>
  <c r="B13598" i="9"/>
  <c r="H13597" i="9"/>
  <c r="G13597" i="9"/>
  <c r="E13597" i="9"/>
  <c r="D13597" i="9"/>
  <c r="C13597" i="9"/>
  <c r="B13597" i="9"/>
  <c r="H13596" i="9"/>
  <c r="G13596" i="9"/>
  <c r="E13596" i="9"/>
  <c r="D13596" i="9"/>
  <c r="C13596" i="9"/>
  <c r="B13596" i="9"/>
  <c r="H13595" i="9"/>
  <c r="G13595" i="9"/>
  <c r="E13595" i="9"/>
  <c r="D13595" i="9"/>
  <c r="C13595" i="9"/>
  <c r="B13595" i="9"/>
  <c r="H13594" i="9"/>
  <c r="G13594" i="9"/>
  <c r="E13594" i="9"/>
  <c r="D13594" i="9"/>
  <c r="C13594" i="9"/>
  <c r="B13594" i="9"/>
  <c r="H13593" i="9"/>
  <c r="G13593" i="9"/>
  <c r="E13593" i="9"/>
  <c r="D13593" i="9"/>
  <c r="C13593" i="9"/>
  <c r="B13593" i="9"/>
  <c r="H13592" i="9"/>
  <c r="G13592" i="9"/>
  <c r="E13592" i="9"/>
  <c r="D13592" i="9"/>
  <c r="C13592" i="9"/>
  <c r="B13592" i="9"/>
  <c r="H13591" i="9"/>
  <c r="G13591" i="9"/>
  <c r="E13591" i="9"/>
  <c r="D13591" i="9"/>
  <c r="C13591" i="9"/>
  <c r="B13591" i="9"/>
  <c r="H13590" i="9"/>
  <c r="G13590" i="9"/>
  <c r="E13590" i="9"/>
  <c r="D13590" i="9"/>
  <c r="C13590" i="9"/>
  <c r="B13590" i="9"/>
  <c r="H13589" i="9"/>
  <c r="G13589" i="9"/>
  <c r="E13589" i="9"/>
  <c r="D13589" i="9"/>
  <c r="C13589" i="9"/>
  <c r="B13589" i="9"/>
  <c r="H13588" i="9"/>
  <c r="G13588" i="9"/>
  <c r="E13588" i="9"/>
  <c r="D13588" i="9"/>
  <c r="C13588" i="9"/>
  <c r="B13588" i="9"/>
  <c r="H13587" i="9"/>
  <c r="G13587" i="9"/>
  <c r="E13587" i="9"/>
  <c r="D13587" i="9"/>
  <c r="C13587" i="9"/>
  <c r="B13587" i="9"/>
  <c r="H13586" i="9"/>
  <c r="G13586" i="9"/>
  <c r="E13586" i="9"/>
  <c r="D13586" i="9"/>
  <c r="C13586" i="9"/>
  <c r="B13586" i="9"/>
  <c r="H13585" i="9"/>
  <c r="G13585" i="9"/>
  <c r="E13585" i="9"/>
  <c r="D13585" i="9"/>
  <c r="C13585" i="9"/>
  <c r="B13585" i="9"/>
  <c r="H13584" i="9"/>
  <c r="G13584" i="9"/>
  <c r="E13584" i="9"/>
  <c r="D13584" i="9"/>
  <c r="C13584" i="9"/>
  <c r="B13584" i="9"/>
  <c r="H13583" i="9"/>
  <c r="G13583" i="9"/>
  <c r="E13583" i="9"/>
  <c r="D13583" i="9"/>
  <c r="C13583" i="9"/>
  <c r="B13583" i="9"/>
  <c r="H13582" i="9"/>
  <c r="G13582" i="9"/>
  <c r="E13582" i="9"/>
  <c r="D13582" i="9"/>
  <c r="C13582" i="9"/>
  <c r="B13582" i="9"/>
  <c r="H13581" i="9"/>
  <c r="G13581" i="9"/>
  <c r="E13581" i="9"/>
  <c r="D13581" i="9"/>
  <c r="C13581" i="9"/>
  <c r="B13581" i="9"/>
  <c r="H13580" i="9"/>
  <c r="G13580" i="9"/>
  <c r="E13580" i="9"/>
  <c r="D13580" i="9"/>
  <c r="C13580" i="9"/>
  <c r="B13580" i="9"/>
  <c r="H13579" i="9"/>
  <c r="G13579" i="9"/>
  <c r="E13579" i="9"/>
  <c r="D13579" i="9"/>
  <c r="C13579" i="9"/>
  <c r="B13579" i="9"/>
  <c r="H13578" i="9"/>
  <c r="G13578" i="9"/>
  <c r="E13578" i="9"/>
  <c r="D13578" i="9"/>
  <c r="C13578" i="9"/>
  <c r="B13578" i="9"/>
  <c r="H13577" i="9"/>
  <c r="G13577" i="9"/>
  <c r="E13577" i="9"/>
  <c r="D13577" i="9"/>
  <c r="C13577" i="9"/>
  <c r="B13577" i="9"/>
  <c r="H13576" i="9"/>
  <c r="G13576" i="9"/>
  <c r="E13576" i="9"/>
  <c r="D13576" i="9"/>
  <c r="C13576" i="9"/>
  <c r="B13576" i="9"/>
  <c r="H13575" i="9"/>
  <c r="G13575" i="9"/>
  <c r="E13575" i="9"/>
  <c r="D13575" i="9"/>
  <c r="C13575" i="9"/>
  <c r="B13575" i="9"/>
  <c r="H13574" i="9"/>
  <c r="G13574" i="9"/>
  <c r="E13574" i="9"/>
  <c r="D13574" i="9"/>
  <c r="C13574" i="9"/>
  <c r="B13574" i="9"/>
  <c r="H13573" i="9"/>
  <c r="G13573" i="9"/>
  <c r="E13573" i="9"/>
  <c r="D13573" i="9"/>
  <c r="C13573" i="9"/>
  <c r="B13573" i="9"/>
  <c r="H13572" i="9"/>
  <c r="G13572" i="9"/>
  <c r="E13572" i="9"/>
  <c r="D13572" i="9"/>
  <c r="C13572" i="9"/>
  <c r="B13572" i="9"/>
  <c r="H13571" i="9"/>
  <c r="G13571" i="9"/>
  <c r="E13571" i="9"/>
  <c r="D13571" i="9"/>
  <c r="C13571" i="9"/>
  <c r="B13571" i="9"/>
  <c r="H13570" i="9"/>
  <c r="G13570" i="9"/>
  <c r="E13570" i="9"/>
  <c r="D13570" i="9"/>
  <c r="C13570" i="9"/>
  <c r="B13570" i="9"/>
  <c r="H13569" i="9"/>
  <c r="G13569" i="9"/>
  <c r="E13569" i="9"/>
  <c r="D13569" i="9"/>
  <c r="C13569" i="9"/>
  <c r="B13569" i="9"/>
  <c r="H13568" i="9"/>
  <c r="G13568" i="9"/>
  <c r="E13568" i="9"/>
  <c r="D13568" i="9"/>
  <c r="C13568" i="9"/>
  <c r="B13568" i="9"/>
  <c r="H13567" i="9"/>
  <c r="G13567" i="9"/>
  <c r="E13567" i="9"/>
  <c r="D13567" i="9"/>
  <c r="C13567" i="9"/>
  <c r="B13567" i="9"/>
  <c r="H13566" i="9"/>
  <c r="G13566" i="9"/>
  <c r="E13566" i="9"/>
  <c r="D13566" i="9"/>
  <c r="C13566" i="9"/>
  <c r="B13566" i="9"/>
  <c r="H13565" i="9"/>
  <c r="G13565" i="9"/>
  <c r="E13565" i="9"/>
  <c r="D13565" i="9"/>
  <c r="C13565" i="9"/>
  <c r="B13565" i="9"/>
  <c r="H13564" i="9"/>
  <c r="G13564" i="9"/>
  <c r="E13564" i="9"/>
  <c r="D13564" i="9"/>
  <c r="C13564" i="9"/>
  <c r="B13564" i="9"/>
  <c r="H13563" i="9"/>
  <c r="G13563" i="9"/>
  <c r="E13563" i="9"/>
  <c r="D13563" i="9"/>
  <c r="C13563" i="9"/>
  <c r="B13563" i="9"/>
  <c r="H13562" i="9"/>
  <c r="G13562" i="9"/>
  <c r="E13562" i="9"/>
  <c r="D13562" i="9"/>
  <c r="C13562" i="9"/>
  <c r="B13562" i="9"/>
  <c r="H13561" i="9"/>
  <c r="G13561" i="9"/>
  <c r="E13561" i="9"/>
  <c r="D13561" i="9"/>
  <c r="C13561" i="9"/>
  <c r="B13561" i="9"/>
  <c r="H13560" i="9"/>
  <c r="G13560" i="9"/>
  <c r="E13560" i="9"/>
  <c r="D13560" i="9"/>
  <c r="C13560" i="9"/>
  <c r="B13560" i="9"/>
  <c r="H13559" i="9"/>
  <c r="G13559" i="9"/>
  <c r="E13559" i="9"/>
  <c r="D13559" i="9"/>
  <c r="C13559" i="9"/>
  <c r="B13559" i="9"/>
  <c r="H13558" i="9"/>
  <c r="G13558" i="9"/>
  <c r="E13558" i="9"/>
  <c r="D13558" i="9"/>
  <c r="C13558" i="9"/>
  <c r="B13558" i="9"/>
  <c r="H13557" i="9"/>
  <c r="G13557" i="9"/>
  <c r="E13557" i="9"/>
  <c r="D13557" i="9"/>
  <c r="C13557" i="9"/>
  <c r="B13557" i="9"/>
  <c r="H13556" i="9"/>
  <c r="G13556" i="9"/>
  <c r="E13556" i="9"/>
  <c r="D13556" i="9"/>
  <c r="C13556" i="9"/>
  <c r="B13556" i="9"/>
  <c r="H13555" i="9"/>
  <c r="G13555" i="9"/>
  <c r="E13555" i="9"/>
  <c r="D13555" i="9"/>
  <c r="C13555" i="9"/>
  <c r="B13555" i="9"/>
  <c r="H13554" i="9"/>
  <c r="G13554" i="9"/>
  <c r="E13554" i="9"/>
  <c r="D13554" i="9"/>
  <c r="C13554" i="9"/>
  <c r="B13554" i="9"/>
  <c r="H13553" i="9"/>
  <c r="G13553" i="9"/>
  <c r="E13553" i="9"/>
  <c r="D13553" i="9"/>
  <c r="C13553" i="9"/>
  <c r="B13553" i="9"/>
  <c r="H13552" i="9"/>
  <c r="G13552" i="9"/>
  <c r="E13552" i="9"/>
  <c r="D13552" i="9"/>
  <c r="C13552" i="9"/>
  <c r="B13552" i="9"/>
  <c r="H13551" i="9"/>
  <c r="G13551" i="9"/>
  <c r="E13551" i="9"/>
  <c r="D13551" i="9"/>
  <c r="C13551" i="9"/>
  <c r="B13551" i="9"/>
  <c r="H13550" i="9"/>
  <c r="G13550" i="9"/>
  <c r="E13550" i="9"/>
  <c r="D13550" i="9"/>
  <c r="C13550" i="9"/>
  <c r="B13550" i="9"/>
  <c r="H13549" i="9"/>
  <c r="G13549" i="9"/>
  <c r="E13549" i="9"/>
  <c r="D13549" i="9"/>
  <c r="C13549" i="9"/>
  <c r="B13549" i="9"/>
  <c r="H13548" i="9"/>
  <c r="G13548" i="9"/>
  <c r="E13548" i="9"/>
  <c r="D13548" i="9"/>
  <c r="C13548" i="9"/>
  <c r="B13548" i="9"/>
  <c r="H13547" i="9"/>
  <c r="G13547" i="9"/>
  <c r="E13547" i="9"/>
  <c r="D13547" i="9"/>
  <c r="C13547" i="9"/>
  <c r="B13547" i="9"/>
  <c r="H13546" i="9"/>
  <c r="G13546" i="9"/>
  <c r="E13546" i="9"/>
  <c r="D13546" i="9"/>
  <c r="C13546" i="9"/>
  <c r="B13546" i="9"/>
  <c r="H13545" i="9"/>
  <c r="G13545" i="9"/>
  <c r="E13545" i="9"/>
  <c r="D13545" i="9"/>
  <c r="C13545" i="9"/>
  <c r="B13545" i="9"/>
  <c r="H13544" i="9"/>
  <c r="G13544" i="9"/>
  <c r="E13544" i="9"/>
  <c r="D13544" i="9"/>
  <c r="C13544" i="9"/>
  <c r="B13544" i="9"/>
  <c r="H13543" i="9"/>
  <c r="G13543" i="9"/>
  <c r="E13543" i="9"/>
  <c r="D13543" i="9"/>
  <c r="C13543" i="9"/>
  <c r="B13543" i="9"/>
  <c r="H13542" i="9"/>
  <c r="G13542" i="9"/>
  <c r="E13542" i="9"/>
  <c r="D13542" i="9"/>
  <c r="C13542" i="9"/>
  <c r="B13542" i="9"/>
  <c r="H13541" i="9"/>
  <c r="G13541" i="9"/>
  <c r="E13541" i="9"/>
  <c r="D13541" i="9"/>
  <c r="C13541" i="9"/>
  <c r="B13541" i="9"/>
  <c r="H13540" i="9"/>
  <c r="G13540" i="9"/>
  <c r="E13540" i="9"/>
  <c r="D13540" i="9"/>
  <c r="C13540" i="9"/>
  <c r="B13540" i="9"/>
  <c r="H13539" i="9"/>
  <c r="G13539" i="9"/>
  <c r="E13539" i="9"/>
  <c r="D13539" i="9"/>
  <c r="C13539" i="9"/>
  <c r="B13539" i="9"/>
  <c r="H13538" i="9"/>
  <c r="G13538" i="9"/>
  <c r="E13538" i="9"/>
  <c r="D13538" i="9"/>
  <c r="C13538" i="9"/>
  <c r="B13538" i="9"/>
  <c r="H13537" i="9"/>
  <c r="G13537" i="9"/>
  <c r="E13537" i="9"/>
  <c r="D13537" i="9"/>
  <c r="C13537" i="9"/>
  <c r="B13537" i="9"/>
  <c r="H13536" i="9"/>
  <c r="G13536" i="9"/>
  <c r="E13536" i="9"/>
  <c r="D13536" i="9"/>
  <c r="C13536" i="9"/>
  <c r="B13536" i="9"/>
  <c r="H13535" i="9"/>
  <c r="G13535" i="9"/>
  <c r="E13535" i="9"/>
  <c r="D13535" i="9"/>
  <c r="C13535" i="9"/>
  <c r="B13535" i="9"/>
  <c r="H13534" i="9"/>
  <c r="G13534" i="9"/>
  <c r="E13534" i="9"/>
  <c r="D13534" i="9"/>
  <c r="C13534" i="9"/>
  <c r="B13534" i="9"/>
  <c r="H13533" i="9"/>
  <c r="G13533" i="9"/>
  <c r="E13533" i="9"/>
  <c r="D13533" i="9"/>
  <c r="C13533" i="9"/>
  <c r="B13533" i="9"/>
  <c r="H13532" i="9"/>
  <c r="G13532" i="9"/>
  <c r="E13532" i="9"/>
  <c r="D13532" i="9"/>
  <c r="C13532" i="9"/>
  <c r="B13532" i="9"/>
  <c r="H13531" i="9"/>
  <c r="G13531" i="9"/>
  <c r="E13531" i="9"/>
  <c r="D13531" i="9"/>
  <c r="C13531" i="9"/>
  <c r="B13531" i="9"/>
  <c r="H13530" i="9"/>
  <c r="G13530" i="9"/>
  <c r="E13530" i="9"/>
  <c r="D13530" i="9"/>
  <c r="C13530" i="9"/>
  <c r="B13530" i="9"/>
  <c r="H13529" i="9"/>
  <c r="G13529" i="9"/>
  <c r="E13529" i="9"/>
  <c r="D13529" i="9"/>
  <c r="C13529" i="9"/>
  <c r="B13529" i="9"/>
  <c r="H13528" i="9"/>
  <c r="G13528" i="9"/>
  <c r="E13528" i="9"/>
  <c r="D13528" i="9"/>
  <c r="C13528" i="9"/>
  <c r="B13528" i="9"/>
  <c r="H13527" i="9"/>
  <c r="G13527" i="9"/>
  <c r="E13527" i="9"/>
  <c r="D13527" i="9"/>
  <c r="C13527" i="9"/>
  <c r="B13527" i="9"/>
  <c r="H13526" i="9"/>
  <c r="G13526" i="9"/>
  <c r="E13526" i="9"/>
  <c r="D13526" i="9"/>
  <c r="C13526" i="9"/>
  <c r="B13526" i="9"/>
  <c r="H13525" i="9"/>
  <c r="G13525" i="9"/>
  <c r="E13525" i="9"/>
  <c r="D13525" i="9"/>
  <c r="C13525" i="9"/>
  <c r="B13525" i="9"/>
  <c r="H13524" i="9"/>
  <c r="G13524" i="9"/>
  <c r="E13524" i="9"/>
  <c r="D13524" i="9"/>
  <c r="C13524" i="9"/>
  <c r="B13524" i="9"/>
  <c r="H13523" i="9"/>
  <c r="G13523" i="9"/>
  <c r="E13523" i="9"/>
  <c r="D13523" i="9"/>
  <c r="C13523" i="9"/>
  <c r="B13523" i="9"/>
  <c r="H13522" i="9"/>
  <c r="G13522" i="9"/>
  <c r="E13522" i="9"/>
  <c r="D13522" i="9"/>
  <c r="C13522" i="9"/>
  <c r="B13522" i="9"/>
  <c r="H13521" i="9"/>
  <c r="G13521" i="9"/>
  <c r="E13521" i="9"/>
  <c r="D13521" i="9"/>
  <c r="C13521" i="9"/>
  <c r="B13521" i="9"/>
  <c r="H13520" i="9"/>
  <c r="G13520" i="9"/>
  <c r="E13520" i="9"/>
  <c r="D13520" i="9"/>
  <c r="C13520" i="9"/>
  <c r="B13520" i="9"/>
  <c r="H13519" i="9"/>
  <c r="G13519" i="9"/>
  <c r="E13519" i="9"/>
  <c r="D13519" i="9"/>
  <c r="C13519" i="9"/>
  <c r="B13519" i="9"/>
  <c r="H13518" i="9"/>
  <c r="G13518" i="9"/>
  <c r="E13518" i="9"/>
  <c r="D13518" i="9"/>
  <c r="C13518" i="9"/>
  <c r="B13518" i="9"/>
  <c r="H13517" i="9"/>
  <c r="G13517" i="9"/>
  <c r="E13517" i="9"/>
  <c r="D13517" i="9"/>
  <c r="C13517" i="9"/>
  <c r="B13517" i="9"/>
  <c r="H13516" i="9"/>
  <c r="G13516" i="9"/>
  <c r="E13516" i="9"/>
  <c r="D13516" i="9"/>
  <c r="C13516" i="9"/>
  <c r="B13516" i="9"/>
  <c r="H13515" i="9"/>
  <c r="G13515" i="9"/>
  <c r="E13515" i="9"/>
  <c r="D13515" i="9"/>
  <c r="C13515" i="9"/>
  <c r="B13515" i="9"/>
  <c r="H13514" i="9"/>
  <c r="G13514" i="9"/>
  <c r="E13514" i="9"/>
  <c r="D13514" i="9"/>
  <c r="C13514" i="9"/>
  <c r="B13514" i="9"/>
  <c r="H13513" i="9"/>
  <c r="G13513" i="9"/>
  <c r="E13513" i="9"/>
  <c r="D13513" i="9"/>
  <c r="C13513" i="9"/>
  <c r="B13513" i="9"/>
  <c r="H13512" i="9"/>
  <c r="G13512" i="9"/>
  <c r="E13512" i="9"/>
  <c r="D13512" i="9"/>
  <c r="C13512" i="9"/>
  <c r="B13512" i="9"/>
  <c r="H13511" i="9"/>
  <c r="G13511" i="9"/>
  <c r="E13511" i="9"/>
  <c r="D13511" i="9"/>
  <c r="C13511" i="9"/>
  <c r="B13511" i="9"/>
  <c r="H13510" i="9"/>
  <c r="G13510" i="9"/>
  <c r="E13510" i="9"/>
  <c r="D13510" i="9"/>
  <c r="C13510" i="9"/>
  <c r="B13510" i="9"/>
  <c r="H13509" i="9"/>
  <c r="G13509" i="9"/>
  <c r="E13509" i="9"/>
  <c r="D13509" i="9"/>
  <c r="C13509" i="9"/>
  <c r="B13509" i="9"/>
  <c r="H13508" i="9"/>
  <c r="G13508" i="9"/>
  <c r="E13508" i="9"/>
  <c r="D13508" i="9"/>
  <c r="C13508" i="9"/>
  <c r="B13508" i="9"/>
  <c r="H13507" i="9"/>
  <c r="G13507" i="9"/>
  <c r="E13507" i="9"/>
  <c r="D13507" i="9"/>
  <c r="C13507" i="9"/>
  <c r="B13507" i="9"/>
  <c r="H13506" i="9"/>
  <c r="G13506" i="9"/>
  <c r="E13506" i="9"/>
  <c r="D13506" i="9"/>
  <c r="C13506" i="9"/>
  <c r="B13506" i="9"/>
  <c r="H13505" i="9"/>
  <c r="G13505" i="9"/>
  <c r="E13505" i="9"/>
  <c r="D13505" i="9"/>
  <c r="C13505" i="9"/>
  <c r="B13505" i="9"/>
  <c r="H13504" i="9"/>
  <c r="G13504" i="9"/>
  <c r="E13504" i="9"/>
  <c r="D13504" i="9"/>
  <c r="C13504" i="9"/>
  <c r="B13504" i="9"/>
  <c r="H13503" i="9"/>
  <c r="G13503" i="9"/>
  <c r="E13503" i="9"/>
  <c r="D13503" i="9"/>
  <c r="C13503" i="9"/>
  <c r="B13503" i="9"/>
  <c r="H13502" i="9"/>
  <c r="G13502" i="9"/>
  <c r="E13502" i="9"/>
  <c r="D13502" i="9"/>
  <c r="C13502" i="9"/>
  <c r="B13502" i="9"/>
  <c r="H13501" i="9"/>
  <c r="G13501" i="9"/>
  <c r="E13501" i="9"/>
  <c r="D13501" i="9"/>
  <c r="C13501" i="9"/>
  <c r="B13501" i="9"/>
  <c r="H13500" i="9"/>
  <c r="G13500" i="9"/>
  <c r="E13500" i="9"/>
  <c r="D13500" i="9"/>
  <c r="C13500" i="9"/>
  <c r="B13500" i="9"/>
  <c r="H13499" i="9"/>
  <c r="G13499" i="9"/>
  <c r="E13499" i="9"/>
  <c r="D13499" i="9"/>
  <c r="C13499" i="9"/>
  <c r="B13499" i="9"/>
  <c r="H13498" i="9"/>
  <c r="G13498" i="9"/>
  <c r="E13498" i="9"/>
  <c r="D13498" i="9"/>
  <c r="C13498" i="9"/>
  <c r="B13498" i="9"/>
  <c r="H13497" i="9"/>
  <c r="G13497" i="9"/>
  <c r="E13497" i="9"/>
  <c r="D13497" i="9"/>
  <c r="C13497" i="9"/>
  <c r="B13497" i="9"/>
  <c r="H13496" i="9"/>
  <c r="G13496" i="9"/>
  <c r="E13496" i="9"/>
  <c r="D13496" i="9"/>
  <c r="C13496" i="9"/>
  <c r="B13496" i="9"/>
  <c r="H13495" i="9"/>
  <c r="G13495" i="9"/>
  <c r="E13495" i="9"/>
  <c r="D13495" i="9"/>
  <c r="C13495" i="9"/>
  <c r="B13495" i="9"/>
  <c r="H13494" i="9"/>
  <c r="G13494" i="9"/>
  <c r="E13494" i="9"/>
  <c r="D13494" i="9"/>
  <c r="C13494" i="9"/>
  <c r="B13494" i="9"/>
  <c r="H13493" i="9"/>
  <c r="G13493" i="9"/>
  <c r="E13493" i="9"/>
  <c r="D13493" i="9"/>
  <c r="C13493" i="9"/>
  <c r="B13493" i="9"/>
  <c r="H13492" i="9"/>
  <c r="G13492" i="9"/>
  <c r="E13492" i="9"/>
  <c r="D13492" i="9"/>
  <c r="C13492" i="9"/>
  <c r="B13492" i="9"/>
  <c r="H13491" i="9"/>
  <c r="G13491" i="9"/>
  <c r="E13491" i="9"/>
  <c r="D13491" i="9"/>
  <c r="C13491" i="9"/>
  <c r="B13491" i="9"/>
  <c r="H13490" i="9"/>
  <c r="G13490" i="9"/>
  <c r="E13490" i="9"/>
  <c r="D13490" i="9"/>
  <c r="C13490" i="9"/>
  <c r="B13490" i="9"/>
  <c r="H13489" i="9"/>
  <c r="G13489" i="9"/>
  <c r="E13489" i="9"/>
  <c r="D13489" i="9"/>
  <c r="C13489" i="9"/>
  <c r="B13489" i="9"/>
  <c r="H13488" i="9"/>
  <c r="G13488" i="9"/>
  <c r="E13488" i="9"/>
  <c r="D13488" i="9"/>
  <c r="C13488" i="9"/>
  <c r="B13488" i="9"/>
  <c r="H13487" i="9"/>
  <c r="G13487" i="9"/>
  <c r="E13487" i="9"/>
  <c r="D13487" i="9"/>
  <c r="C13487" i="9"/>
  <c r="B13487" i="9"/>
  <c r="H13486" i="9"/>
  <c r="G13486" i="9"/>
  <c r="E13486" i="9"/>
  <c r="D13486" i="9"/>
  <c r="C13486" i="9"/>
  <c r="B13486" i="9"/>
  <c r="H13485" i="9"/>
  <c r="G13485" i="9"/>
  <c r="E13485" i="9"/>
  <c r="D13485" i="9"/>
  <c r="C13485" i="9"/>
  <c r="B13485" i="9"/>
  <c r="H13484" i="9"/>
  <c r="G13484" i="9"/>
  <c r="E13484" i="9"/>
  <c r="D13484" i="9"/>
  <c r="C13484" i="9"/>
  <c r="B13484" i="9"/>
  <c r="H13483" i="9"/>
  <c r="G13483" i="9"/>
  <c r="E13483" i="9"/>
  <c r="D13483" i="9"/>
  <c r="C13483" i="9"/>
  <c r="B13483" i="9"/>
  <c r="H13482" i="9"/>
  <c r="G13482" i="9"/>
  <c r="E13482" i="9"/>
  <c r="D13482" i="9"/>
  <c r="C13482" i="9"/>
  <c r="B13482" i="9"/>
  <c r="H13481" i="9"/>
  <c r="G13481" i="9"/>
  <c r="E13481" i="9"/>
  <c r="D13481" i="9"/>
  <c r="C13481" i="9"/>
  <c r="B13481" i="9"/>
  <c r="H13480" i="9"/>
  <c r="G13480" i="9"/>
  <c r="E13480" i="9"/>
  <c r="D13480" i="9"/>
  <c r="C13480" i="9"/>
  <c r="B13480" i="9"/>
  <c r="H13479" i="9"/>
  <c r="G13479" i="9"/>
  <c r="E13479" i="9"/>
  <c r="D13479" i="9"/>
  <c r="C13479" i="9"/>
  <c r="B13479" i="9"/>
  <c r="H13478" i="9"/>
  <c r="G13478" i="9"/>
  <c r="E13478" i="9"/>
  <c r="D13478" i="9"/>
  <c r="C13478" i="9"/>
  <c r="B13478" i="9"/>
  <c r="H13477" i="9"/>
  <c r="G13477" i="9"/>
  <c r="E13477" i="9"/>
  <c r="D13477" i="9"/>
  <c r="C13477" i="9"/>
  <c r="B13477" i="9"/>
  <c r="H13476" i="9"/>
  <c r="G13476" i="9"/>
  <c r="E13476" i="9"/>
  <c r="D13476" i="9"/>
  <c r="C13476" i="9"/>
  <c r="B13476" i="9"/>
  <c r="H13475" i="9"/>
  <c r="G13475" i="9"/>
  <c r="E13475" i="9"/>
  <c r="D13475" i="9"/>
  <c r="C13475" i="9"/>
  <c r="B13475" i="9"/>
  <c r="H13474" i="9"/>
  <c r="G13474" i="9"/>
  <c r="E13474" i="9"/>
  <c r="D13474" i="9"/>
  <c r="C13474" i="9"/>
  <c r="B13474" i="9"/>
  <c r="H13473" i="9"/>
  <c r="G13473" i="9"/>
  <c r="E13473" i="9"/>
  <c r="D13473" i="9"/>
  <c r="C13473" i="9"/>
  <c r="B13473" i="9"/>
  <c r="H13472" i="9"/>
  <c r="G13472" i="9"/>
  <c r="E13472" i="9"/>
  <c r="D13472" i="9"/>
  <c r="C13472" i="9"/>
  <c r="B13472" i="9"/>
  <c r="H13471" i="9"/>
  <c r="G13471" i="9"/>
  <c r="E13471" i="9"/>
  <c r="D13471" i="9"/>
  <c r="C13471" i="9"/>
  <c r="B13471" i="9"/>
  <c r="H13470" i="9"/>
  <c r="G13470" i="9"/>
  <c r="E13470" i="9"/>
  <c r="D13470" i="9"/>
  <c r="C13470" i="9"/>
  <c r="B13470" i="9"/>
  <c r="H13469" i="9"/>
  <c r="G13469" i="9"/>
  <c r="E13469" i="9"/>
  <c r="D13469" i="9"/>
  <c r="C13469" i="9"/>
  <c r="B13469" i="9"/>
  <c r="H13468" i="9"/>
  <c r="G13468" i="9"/>
  <c r="E13468" i="9"/>
  <c r="D13468" i="9"/>
  <c r="C13468" i="9"/>
  <c r="B13468" i="9"/>
  <c r="H13467" i="9"/>
  <c r="G13467" i="9"/>
  <c r="E13467" i="9"/>
  <c r="D13467" i="9"/>
  <c r="C13467" i="9"/>
  <c r="B13467" i="9"/>
  <c r="H13466" i="9"/>
  <c r="G13466" i="9"/>
  <c r="E13466" i="9"/>
  <c r="D13466" i="9"/>
  <c r="C13466" i="9"/>
  <c r="B13466" i="9"/>
  <c r="H13465" i="9"/>
  <c r="G13465" i="9"/>
  <c r="E13465" i="9"/>
  <c r="D13465" i="9"/>
  <c r="C13465" i="9"/>
  <c r="B13465" i="9"/>
  <c r="H13464" i="9"/>
  <c r="G13464" i="9"/>
  <c r="E13464" i="9"/>
  <c r="D13464" i="9"/>
  <c r="C13464" i="9"/>
  <c r="B13464" i="9"/>
  <c r="H13463" i="9"/>
  <c r="G13463" i="9"/>
  <c r="E13463" i="9"/>
  <c r="D13463" i="9"/>
  <c r="C13463" i="9"/>
  <c r="B13463" i="9"/>
  <c r="H13462" i="9"/>
  <c r="G13462" i="9"/>
  <c r="E13462" i="9"/>
  <c r="D13462" i="9"/>
  <c r="C13462" i="9"/>
  <c r="B13462" i="9"/>
  <c r="H13461" i="9"/>
  <c r="G13461" i="9"/>
  <c r="E13461" i="9"/>
  <c r="D13461" i="9"/>
  <c r="C13461" i="9"/>
  <c r="B13461" i="9"/>
  <c r="H13460" i="9"/>
  <c r="G13460" i="9"/>
  <c r="E13460" i="9"/>
  <c r="D13460" i="9"/>
  <c r="C13460" i="9"/>
  <c r="B13460" i="9"/>
  <c r="H13459" i="9"/>
  <c r="G13459" i="9"/>
  <c r="E13459" i="9"/>
  <c r="D13459" i="9"/>
  <c r="C13459" i="9"/>
  <c r="B13459" i="9"/>
  <c r="H13458" i="9"/>
  <c r="G13458" i="9"/>
  <c r="E13458" i="9"/>
  <c r="D13458" i="9"/>
  <c r="C13458" i="9"/>
  <c r="B13458" i="9"/>
  <c r="H13457" i="9"/>
  <c r="G13457" i="9"/>
  <c r="E13457" i="9"/>
  <c r="D13457" i="9"/>
  <c r="C13457" i="9"/>
  <c r="B13457" i="9"/>
  <c r="H13456" i="9"/>
  <c r="G13456" i="9"/>
  <c r="E13456" i="9"/>
  <c r="D13456" i="9"/>
  <c r="C13456" i="9"/>
  <c r="B13456" i="9"/>
  <c r="H13455" i="9"/>
  <c r="G13455" i="9"/>
  <c r="E13455" i="9"/>
  <c r="D13455" i="9"/>
  <c r="C13455" i="9"/>
  <c r="B13455" i="9"/>
  <c r="H13454" i="9"/>
  <c r="G13454" i="9"/>
  <c r="E13454" i="9"/>
  <c r="D13454" i="9"/>
  <c r="C13454" i="9"/>
  <c r="B13454" i="9"/>
  <c r="H13453" i="9"/>
  <c r="G13453" i="9"/>
  <c r="E13453" i="9"/>
  <c r="D13453" i="9"/>
  <c r="C13453" i="9"/>
  <c r="B13453" i="9"/>
  <c r="H13452" i="9"/>
  <c r="G13452" i="9"/>
  <c r="E13452" i="9"/>
  <c r="D13452" i="9"/>
  <c r="C13452" i="9"/>
  <c r="B13452" i="9"/>
  <c r="H13451" i="9"/>
  <c r="G13451" i="9"/>
  <c r="E13451" i="9"/>
  <c r="D13451" i="9"/>
  <c r="C13451" i="9"/>
  <c r="B13451" i="9"/>
  <c r="H13450" i="9"/>
  <c r="G13450" i="9"/>
  <c r="E13450" i="9"/>
  <c r="D13450" i="9"/>
  <c r="C13450" i="9"/>
  <c r="B13450" i="9"/>
  <c r="H13449" i="9"/>
  <c r="G13449" i="9"/>
  <c r="E13449" i="9"/>
  <c r="D13449" i="9"/>
  <c r="C13449" i="9"/>
  <c r="B13449" i="9"/>
  <c r="H13448" i="9"/>
  <c r="G13448" i="9"/>
  <c r="E13448" i="9"/>
  <c r="D13448" i="9"/>
  <c r="C13448" i="9"/>
  <c r="B13448" i="9"/>
  <c r="H13447" i="9"/>
  <c r="G13447" i="9"/>
  <c r="E13447" i="9"/>
  <c r="D13447" i="9"/>
  <c r="C13447" i="9"/>
  <c r="B13447" i="9"/>
  <c r="H13446" i="9"/>
  <c r="G13446" i="9"/>
  <c r="E13446" i="9"/>
  <c r="D13446" i="9"/>
  <c r="C13446" i="9"/>
  <c r="B13446" i="9"/>
  <c r="H13445" i="9"/>
  <c r="G13445" i="9"/>
  <c r="E13445" i="9"/>
  <c r="D13445" i="9"/>
  <c r="C13445" i="9"/>
  <c r="B13445" i="9"/>
  <c r="H13444" i="9"/>
  <c r="G13444" i="9"/>
  <c r="E13444" i="9"/>
  <c r="D13444" i="9"/>
  <c r="C13444" i="9"/>
  <c r="B13444" i="9"/>
  <c r="H13443" i="9"/>
  <c r="G13443" i="9"/>
  <c r="E13443" i="9"/>
  <c r="D13443" i="9"/>
  <c r="C13443" i="9"/>
  <c r="B13443" i="9"/>
  <c r="H13442" i="9"/>
  <c r="G13442" i="9"/>
  <c r="E13442" i="9"/>
  <c r="D13442" i="9"/>
  <c r="C13442" i="9"/>
  <c r="B13442" i="9"/>
  <c r="H13441" i="9"/>
  <c r="G13441" i="9"/>
  <c r="E13441" i="9"/>
  <c r="D13441" i="9"/>
  <c r="C13441" i="9"/>
  <c r="B13441" i="9"/>
  <c r="H13440" i="9"/>
  <c r="G13440" i="9"/>
  <c r="E13440" i="9"/>
  <c r="D13440" i="9"/>
  <c r="C13440" i="9"/>
  <c r="B13440" i="9"/>
  <c r="H13439" i="9"/>
  <c r="G13439" i="9"/>
  <c r="E13439" i="9"/>
  <c r="D13439" i="9"/>
  <c r="C13439" i="9"/>
  <c r="B13439" i="9"/>
  <c r="H13438" i="9"/>
  <c r="G13438" i="9"/>
  <c r="E13438" i="9"/>
  <c r="D13438" i="9"/>
  <c r="C13438" i="9"/>
  <c r="B13438" i="9"/>
  <c r="H13437" i="9"/>
  <c r="G13437" i="9"/>
  <c r="E13437" i="9"/>
  <c r="D13437" i="9"/>
  <c r="C13437" i="9"/>
  <c r="B13437" i="9"/>
  <c r="H13436" i="9"/>
  <c r="G13436" i="9"/>
  <c r="E13436" i="9"/>
  <c r="D13436" i="9"/>
  <c r="C13436" i="9"/>
  <c r="B13436" i="9"/>
  <c r="H13435" i="9"/>
  <c r="G13435" i="9"/>
  <c r="E13435" i="9"/>
  <c r="D13435" i="9"/>
  <c r="C13435" i="9"/>
  <c r="B13435" i="9"/>
  <c r="H13434" i="9"/>
  <c r="G13434" i="9"/>
  <c r="E13434" i="9"/>
  <c r="D13434" i="9"/>
  <c r="C13434" i="9"/>
  <c r="B13434" i="9"/>
  <c r="H13433" i="9"/>
  <c r="G13433" i="9"/>
  <c r="E13433" i="9"/>
  <c r="D13433" i="9"/>
  <c r="C13433" i="9"/>
  <c r="B13433" i="9"/>
  <c r="H13432" i="9"/>
  <c r="G13432" i="9"/>
  <c r="E13432" i="9"/>
  <c r="D13432" i="9"/>
  <c r="C13432" i="9"/>
  <c r="B13432" i="9"/>
  <c r="H13431" i="9"/>
  <c r="G13431" i="9"/>
  <c r="E13431" i="9"/>
  <c r="D13431" i="9"/>
  <c r="C13431" i="9"/>
  <c r="B13431" i="9"/>
  <c r="H13430" i="9"/>
  <c r="G13430" i="9"/>
  <c r="E13430" i="9"/>
  <c r="D13430" i="9"/>
  <c r="C13430" i="9"/>
  <c r="B13430" i="9"/>
  <c r="H13429" i="9"/>
  <c r="G13429" i="9"/>
  <c r="E13429" i="9"/>
  <c r="D13429" i="9"/>
  <c r="C13429" i="9"/>
  <c r="B13429" i="9"/>
  <c r="H13428" i="9"/>
  <c r="G13428" i="9"/>
  <c r="E13428" i="9"/>
  <c r="D13428" i="9"/>
  <c r="C13428" i="9"/>
  <c r="B13428" i="9"/>
  <c r="H13427" i="9"/>
  <c r="G13427" i="9"/>
  <c r="E13427" i="9"/>
  <c r="D13427" i="9"/>
  <c r="C13427" i="9"/>
  <c r="B13427" i="9"/>
  <c r="H13426" i="9"/>
  <c r="G13426" i="9"/>
  <c r="E13426" i="9"/>
  <c r="D13426" i="9"/>
  <c r="C13426" i="9"/>
  <c r="B13426" i="9"/>
  <c r="H13425" i="9"/>
  <c r="G13425" i="9"/>
  <c r="E13425" i="9"/>
  <c r="D13425" i="9"/>
  <c r="C13425" i="9"/>
  <c r="B13425" i="9"/>
  <c r="H13424" i="9"/>
  <c r="G13424" i="9"/>
  <c r="E13424" i="9"/>
  <c r="D13424" i="9"/>
  <c r="C13424" i="9"/>
  <c r="B13424" i="9"/>
  <c r="H13423" i="9"/>
  <c r="G13423" i="9"/>
  <c r="E13423" i="9"/>
  <c r="D13423" i="9"/>
  <c r="C13423" i="9"/>
  <c r="B13423" i="9"/>
  <c r="H13422" i="9"/>
  <c r="G13422" i="9"/>
  <c r="E13422" i="9"/>
  <c r="D13422" i="9"/>
  <c r="C13422" i="9"/>
  <c r="B13422" i="9"/>
  <c r="H13421" i="9"/>
  <c r="G13421" i="9"/>
  <c r="E13421" i="9"/>
  <c r="D13421" i="9"/>
  <c r="C13421" i="9"/>
  <c r="B13421" i="9"/>
  <c r="H13420" i="9"/>
  <c r="G13420" i="9"/>
  <c r="E13420" i="9"/>
  <c r="D13420" i="9"/>
  <c r="C13420" i="9"/>
  <c r="B13420" i="9"/>
  <c r="H13419" i="9"/>
  <c r="G13419" i="9"/>
  <c r="E13419" i="9"/>
  <c r="D13419" i="9"/>
  <c r="C13419" i="9"/>
  <c r="B13419" i="9"/>
  <c r="H13418" i="9"/>
  <c r="G13418" i="9"/>
  <c r="E13418" i="9"/>
  <c r="D13418" i="9"/>
  <c r="C13418" i="9"/>
  <c r="B13418" i="9"/>
  <c r="H13417" i="9"/>
  <c r="G13417" i="9"/>
  <c r="E13417" i="9"/>
  <c r="D13417" i="9"/>
  <c r="C13417" i="9"/>
  <c r="B13417" i="9"/>
  <c r="H13416" i="9"/>
  <c r="G13416" i="9"/>
  <c r="E13416" i="9"/>
  <c r="D13416" i="9"/>
  <c r="C13416" i="9"/>
  <c r="B13416" i="9"/>
  <c r="H13415" i="9"/>
  <c r="G13415" i="9"/>
  <c r="E13415" i="9"/>
  <c r="D13415" i="9"/>
  <c r="C13415" i="9"/>
  <c r="B13415" i="9"/>
  <c r="H13414" i="9"/>
  <c r="G13414" i="9"/>
  <c r="E13414" i="9"/>
  <c r="D13414" i="9"/>
  <c r="C13414" i="9"/>
  <c r="B13414" i="9"/>
  <c r="H13413" i="9"/>
  <c r="G13413" i="9"/>
  <c r="E13413" i="9"/>
  <c r="D13413" i="9"/>
  <c r="C13413" i="9"/>
  <c r="B13413" i="9"/>
  <c r="H13412" i="9"/>
  <c r="G13412" i="9"/>
  <c r="E13412" i="9"/>
  <c r="D13412" i="9"/>
  <c r="C13412" i="9"/>
  <c r="B13412" i="9"/>
  <c r="H13411" i="9"/>
  <c r="G13411" i="9"/>
  <c r="E13411" i="9"/>
  <c r="D13411" i="9"/>
  <c r="C13411" i="9"/>
  <c r="B13411" i="9"/>
  <c r="H13410" i="9"/>
  <c r="G13410" i="9"/>
  <c r="E13410" i="9"/>
  <c r="D13410" i="9"/>
  <c r="C13410" i="9"/>
  <c r="B13410" i="9"/>
  <c r="H13409" i="9"/>
  <c r="G13409" i="9"/>
  <c r="E13409" i="9"/>
  <c r="D13409" i="9"/>
  <c r="C13409" i="9"/>
  <c r="B13409" i="9"/>
  <c r="H13408" i="9"/>
  <c r="G13408" i="9"/>
  <c r="E13408" i="9"/>
  <c r="D13408" i="9"/>
  <c r="C13408" i="9"/>
  <c r="B13408" i="9"/>
  <c r="H13407" i="9"/>
  <c r="G13407" i="9"/>
  <c r="E13407" i="9"/>
  <c r="D13407" i="9"/>
  <c r="C13407" i="9"/>
  <c r="B13407" i="9"/>
  <c r="H13406" i="9"/>
  <c r="G13406" i="9"/>
  <c r="E13406" i="9"/>
  <c r="D13406" i="9"/>
  <c r="C13406" i="9"/>
  <c r="B13406" i="9"/>
  <c r="H13405" i="9"/>
  <c r="G13405" i="9"/>
  <c r="E13405" i="9"/>
  <c r="D13405" i="9"/>
  <c r="C13405" i="9"/>
  <c r="B13405" i="9"/>
  <c r="H13404" i="9"/>
  <c r="G13404" i="9"/>
  <c r="E13404" i="9"/>
  <c r="D13404" i="9"/>
  <c r="C13404" i="9"/>
  <c r="B13404" i="9"/>
  <c r="H13403" i="9"/>
  <c r="G13403" i="9"/>
  <c r="E13403" i="9"/>
  <c r="D13403" i="9"/>
  <c r="C13403" i="9"/>
  <c r="B13403" i="9"/>
  <c r="H13402" i="9"/>
  <c r="G13402" i="9"/>
  <c r="E13402" i="9"/>
  <c r="D13402" i="9"/>
  <c r="C13402" i="9"/>
  <c r="B13402" i="9"/>
  <c r="H13401" i="9"/>
  <c r="G13401" i="9"/>
  <c r="E13401" i="9"/>
  <c r="D13401" i="9"/>
  <c r="C13401" i="9"/>
  <c r="B13401" i="9"/>
  <c r="H13400" i="9"/>
  <c r="G13400" i="9"/>
  <c r="E13400" i="9"/>
  <c r="D13400" i="9"/>
  <c r="C13400" i="9"/>
  <c r="B13400" i="9"/>
  <c r="H13399" i="9"/>
  <c r="G13399" i="9"/>
  <c r="E13399" i="9"/>
  <c r="D13399" i="9"/>
  <c r="C13399" i="9"/>
  <c r="B13399" i="9"/>
  <c r="H13398" i="9"/>
  <c r="G13398" i="9"/>
  <c r="E13398" i="9"/>
  <c r="D13398" i="9"/>
  <c r="C13398" i="9"/>
  <c r="B13398" i="9"/>
  <c r="H13397" i="9"/>
  <c r="G13397" i="9"/>
  <c r="E13397" i="9"/>
  <c r="D13397" i="9"/>
  <c r="C13397" i="9"/>
  <c r="B13397" i="9"/>
  <c r="H13396" i="9"/>
  <c r="G13396" i="9"/>
  <c r="E13396" i="9"/>
  <c r="D13396" i="9"/>
  <c r="C13396" i="9"/>
  <c r="B13396" i="9"/>
  <c r="H13395" i="9"/>
  <c r="G13395" i="9"/>
  <c r="E13395" i="9"/>
  <c r="D13395" i="9"/>
  <c r="C13395" i="9"/>
  <c r="B13395" i="9"/>
  <c r="H13394" i="9"/>
  <c r="G13394" i="9"/>
  <c r="E13394" i="9"/>
  <c r="D13394" i="9"/>
  <c r="C13394" i="9"/>
  <c r="B13394" i="9"/>
  <c r="H13393" i="9"/>
  <c r="G13393" i="9"/>
  <c r="E13393" i="9"/>
  <c r="D13393" i="9"/>
  <c r="C13393" i="9"/>
  <c r="B13393" i="9"/>
  <c r="H13392" i="9"/>
  <c r="G13392" i="9"/>
  <c r="E13392" i="9"/>
  <c r="D13392" i="9"/>
  <c r="C13392" i="9"/>
  <c r="B13392" i="9"/>
  <c r="H13391" i="9"/>
  <c r="G13391" i="9"/>
  <c r="E13391" i="9"/>
  <c r="D13391" i="9"/>
  <c r="C13391" i="9"/>
  <c r="B13391" i="9"/>
  <c r="H13390" i="9"/>
  <c r="G13390" i="9"/>
  <c r="E13390" i="9"/>
  <c r="D13390" i="9"/>
  <c r="C13390" i="9"/>
  <c r="B13390" i="9"/>
  <c r="H13389" i="9"/>
  <c r="G13389" i="9"/>
  <c r="E13389" i="9"/>
  <c r="D13389" i="9"/>
  <c r="C13389" i="9"/>
  <c r="B13389" i="9"/>
  <c r="H13388" i="9"/>
  <c r="G13388" i="9"/>
  <c r="E13388" i="9"/>
  <c r="D13388" i="9"/>
  <c r="C13388" i="9"/>
  <c r="B13388" i="9"/>
  <c r="H13387" i="9"/>
  <c r="G13387" i="9"/>
  <c r="E13387" i="9"/>
  <c r="D13387" i="9"/>
  <c r="C13387" i="9"/>
  <c r="B13387" i="9"/>
  <c r="H13386" i="9"/>
  <c r="G13386" i="9"/>
  <c r="E13386" i="9"/>
  <c r="D13386" i="9"/>
  <c r="C13386" i="9"/>
  <c r="B13386" i="9"/>
  <c r="H13385" i="9"/>
  <c r="G13385" i="9"/>
  <c r="E13385" i="9"/>
  <c r="D13385" i="9"/>
  <c r="C13385" i="9"/>
  <c r="B13385" i="9"/>
  <c r="H13384" i="9"/>
  <c r="G13384" i="9"/>
  <c r="E13384" i="9"/>
  <c r="D13384" i="9"/>
  <c r="C13384" i="9"/>
  <c r="B13384" i="9"/>
  <c r="H13383" i="9"/>
  <c r="G13383" i="9"/>
  <c r="E13383" i="9"/>
  <c r="D13383" i="9"/>
  <c r="C13383" i="9"/>
  <c r="B13383" i="9"/>
  <c r="H13382" i="9"/>
  <c r="G13382" i="9"/>
  <c r="E13382" i="9"/>
  <c r="D13382" i="9"/>
  <c r="C13382" i="9"/>
  <c r="B13382" i="9"/>
  <c r="H13381" i="9"/>
  <c r="G13381" i="9"/>
  <c r="E13381" i="9"/>
  <c r="D13381" i="9"/>
  <c r="C13381" i="9"/>
  <c r="B13381" i="9"/>
  <c r="H13380" i="9"/>
  <c r="G13380" i="9"/>
  <c r="E13380" i="9"/>
  <c r="D13380" i="9"/>
  <c r="C13380" i="9"/>
  <c r="B13380" i="9"/>
  <c r="H13379" i="9"/>
  <c r="G13379" i="9"/>
  <c r="E13379" i="9"/>
  <c r="D13379" i="9"/>
  <c r="C13379" i="9"/>
  <c r="B13379" i="9"/>
  <c r="H13378" i="9"/>
  <c r="G13378" i="9"/>
  <c r="E13378" i="9"/>
  <c r="D13378" i="9"/>
  <c r="C13378" i="9"/>
  <c r="B13378" i="9"/>
  <c r="H13377" i="9"/>
  <c r="G13377" i="9"/>
  <c r="E13377" i="9"/>
  <c r="D13377" i="9"/>
  <c r="C13377" i="9"/>
  <c r="B13377" i="9"/>
  <c r="H13376" i="9"/>
  <c r="G13376" i="9"/>
  <c r="E13376" i="9"/>
  <c r="D13376" i="9"/>
  <c r="C13376" i="9"/>
  <c r="B13376" i="9"/>
  <c r="H13375" i="9"/>
  <c r="G13375" i="9"/>
  <c r="E13375" i="9"/>
  <c r="D13375" i="9"/>
  <c r="C13375" i="9"/>
  <c r="B13375" i="9"/>
  <c r="H13374" i="9"/>
  <c r="G13374" i="9"/>
  <c r="E13374" i="9"/>
  <c r="D13374" i="9"/>
  <c r="C13374" i="9"/>
  <c r="B13374" i="9"/>
  <c r="H13373" i="9"/>
  <c r="G13373" i="9"/>
  <c r="E13373" i="9"/>
  <c r="D13373" i="9"/>
  <c r="C13373" i="9"/>
  <c r="B13373" i="9"/>
  <c r="H13372" i="9"/>
  <c r="G13372" i="9"/>
  <c r="E13372" i="9"/>
  <c r="D13372" i="9"/>
  <c r="C13372" i="9"/>
  <c r="B13372" i="9"/>
  <c r="H13371" i="9"/>
  <c r="G13371" i="9"/>
  <c r="E13371" i="9"/>
  <c r="D13371" i="9"/>
  <c r="C13371" i="9"/>
  <c r="B13371" i="9"/>
  <c r="H13370" i="9"/>
  <c r="G13370" i="9"/>
  <c r="E13370" i="9"/>
  <c r="D13370" i="9"/>
  <c r="C13370" i="9"/>
  <c r="B13370" i="9"/>
  <c r="H13369" i="9"/>
  <c r="G13369" i="9"/>
  <c r="E13369" i="9"/>
  <c r="D13369" i="9"/>
  <c r="C13369" i="9"/>
  <c r="B13369" i="9"/>
  <c r="H13368" i="9"/>
  <c r="G13368" i="9"/>
  <c r="E13368" i="9"/>
  <c r="D13368" i="9"/>
  <c r="C13368" i="9"/>
  <c r="B13368" i="9"/>
  <c r="H13367" i="9"/>
  <c r="G13367" i="9"/>
  <c r="E13367" i="9"/>
  <c r="D13367" i="9"/>
  <c r="C13367" i="9"/>
  <c r="B13367" i="9"/>
  <c r="H13366" i="9"/>
  <c r="G13366" i="9"/>
  <c r="E13366" i="9"/>
  <c r="D13366" i="9"/>
  <c r="C13366" i="9"/>
  <c r="B13366" i="9"/>
  <c r="H13365" i="9"/>
  <c r="G13365" i="9"/>
  <c r="E13365" i="9"/>
  <c r="D13365" i="9"/>
  <c r="C13365" i="9"/>
  <c r="B13365" i="9"/>
  <c r="H13364" i="9"/>
  <c r="G13364" i="9"/>
  <c r="E13364" i="9"/>
  <c r="D13364" i="9"/>
  <c r="C13364" i="9"/>
  <c r="B13364" i="9"/>
  <c r="H13363" i="9"/>
  <c r="G13363" i="9"/>
  <c r="E13363" i="9"/>
  <c r="D13363" i="9"/>
  <c r="C13363" i="9"/>
  <c r="B13363" i="9"/>
  <c r="H13362" i="9"/>
  <c r="G13362" i="9"/>
  <c r="E13362" i="9"/>
  <c r="D13362" i="9"/>
  <c r="C13362" i="9"/>
  <c r="B13362" i="9"/>
  <c r="H13361" i="9"/>
  <c r="G13361" i="9"/>
  <c r="E13361" i="9"/>
  <c r="D13361" i="9"/>
  <c r="C13361" i="9"/>
  <c r="B13361" i="9"/>
  <c r="H13360" i="9"/>
  <c r="G13360" i="9"/>
  <c r="E13360" i="9"/>
  <c r="D13360" i="9"/>
  <c r="C13360" i="9"/>
  <c r="B13360" i="9"/>
  <c r="H13359" i="9"/>
  <c r="G13359" i="9"/>
  <c r="E13359" i="9"/>
  <c r="D13359" i="9"/>
  <c r="C13359" i="9"/>
  <c r="B13359" i="9"/>
  <c r="H13358" i="9"/>
  <c r="G13358" i="9"/>
  <c r="E13358" i="9"/>
  <c r="D13358" i="9"/>
  <c r="C13358" i="9"/>
  <c r="B13358" i="9"/>
  <c r="H13357" i="9"/>
  <c r="G13357" i="9"/>
  <c r="E13357" i="9"/>
  <c r="D13357" i="9"/>
  <c r="C13357" i="9"/>
  <c r="B13357" i="9"/>
  <c r="H13356" i="9"/>
  <c r="G13356" i="9"/>
  <c r="E13356" i="9"/>
  <c r="D13356" i="9"/>
  <c r="C13356" i="9"/>
  <c r="B13356" i="9"/>
  <c r="H13355" i="9"/>
  <c r="G13355" i="9"/>
  <c r="E13355" i="9"/>
  <c r="D13355" i="9"/>
  <c r="C13355" i="9"/>
  <c r="B13355" i="9"/>
  <c r="H13354" i="9"/>
  <c r="G13354" i="9"/>
  <c r="E13354" i="9"/>
  <c r="D13354" i="9"/>
  <c r="C13354" i="9"/>
  <c r="B13354" i="9"/>
  <c r="H13353" i="9"/>
  <c r="G13353" i="9"/>
  <c r="E13353" i="9"/>
  <c r="D13353" i="9"/>
  <c r="C13353" i="9"/>
  <c r="B13353" i="9"/>
  <c r="H13352" i="9"/>
  <c r="G13352" i="9"/>
  <c r="E13352" i="9"/>
  <c r="D13352" i="9"/>
  <c r="C13352" i="9"/>
  <c r="B13352" i="9"/>
  <c r="H13351" i="9"/>
  <c r="G13351" i="9"/>
  <c r="E13351" i="9"/>
  <c r="D13351" i="9"/>
  <c r="C13351" i="9"/>
  <c r="B13351" i="9"/>
  <c r="H13350" i="9"/>
  <c r="G13350" i="9"/>
  <c r="E13350" i="9"/>
  <c r="D13350" i="9"/>
  <c r="C13350" i="9"/>
  <c r="B13350" i="9"/>
  <c r="H13349" i="9"/>
  <c r="G13349" i="9"/>
  <c r="E13349" i="9"/>
  <c r="D13349" i="9"/>
  <c r="C13349" i="9"/>
  <c r="B13349" i="9"/>
  <c r="H13348" i="9"/>
  <c r="G13348" i="9"/>
  <c r="E13348" i="9"/>
  <c r="D13348" i="9"/>
  <c r="C13348" i="9"/>
  <c r="B13348" i="9"/>
  <c r="H13347" i="9"/>
  <c r="G13347" i="9"/>
  <c r="E13347" i="9"/>
  <c r="D13347" i="9"/>
  <c r="C13347" i="9"/>
  <c r="B13347" i="9"/>
  <c r="H13346" i="9"/>
  <c r="G13346" i="9"/>
  <c r="E13346" i="9"/>
  <c r="D13346" i="9"/>
  <c r="C13346" i="9"/>
  <c r="B13346" i="9"/>
  <c r="H13345" i="9"/>
  <c r="G13345" i="9"/>
  <c r="E13345" i="9"/>
  <c r="D13345" i="9"/>
  <c r="C13345" i="9"/>
  <c r="B13345" i="9"/>
  <c r="H13344" i="9"/>
  <c r="G13344" i="9"/>
  <c r="E13344" i="9"/>
  <c r="D13344" i="9"/>
  <c r="C13344" i="9"/>
  <c r="B13344" i="9"/>
  <c r="H13343" i="9"/>
  <c r="G13343" i="9"/>
  <c r="E13343" i="9"/>
  <c r="D13343" i="9"/>
  <c r="C13343" i="9"/>
  <c r="B13343" i="9"/>
  <c r="H13342" i="9"/>
  <c r="G13342" i="9"/>
  <c r="E13342" i="9"/>
  <c r="D13342" i="9"/>
  <c r="C13342" i="9"/>
  <c r="B13342" i="9"/>
  <c r="H13341" i="9"/>
  <c r="G13341" i="9"/>
  <c r="E13341" i="9"/>
  <c r="D13341" i="9"/>
  <c r="C13341" i="9"/>
  <c r="B13341" i="9"/>
  <c r="H13340" i="9"/>
  <c r="G13340" i="9"/>
  <c r="E13340" i="9"/>
  <c r="D13340" i="9"/>
  <c r="C13340" i="9"/>
  <c r="B13340" i="9"/>
  <c r="H13339" i="9"/>
  <c r="G13339" i="9"/>
  <c r="E13339" i="9"/>
  <c r="D13339" i="9"/>
  <c r="C13339" i="9"/>
  <c r="B13339" i="9"/>
  <c r="H13338" i="9"/>
  <c r="G13338" i="9"/>
  <c r="E13338" i="9"/>
  <c r="D13338" i="9"/>
  <c r="C13338" i="9"/>
  <c r="B13338" i="9"/>
  <c r="H13337" i="9"/>
  <c r="G13337" i="9"/>
  <c r="E13337" i="9"/>
  <c r="D13337" i="9"/>
  <c r="C13337" i="9"/>
  <c r="B13337" i="9"/>
  <c r="H13336" i="9"/>
  <c r="G13336" i="9"/>
  <c r="E13336" i="9"/>
  <c r="D13336" i="9"/>
  <c r="C13336" i="9"/>
  <c r="B13336" i="9"/>
  <c r="H13335" i="9"/>
  <c r="G13335" i="9"/>
  <c r="E13335" i="9"/>
  <c r="D13335" i="9"/>
  <c r="C13335" i="9"/>
  <c r="B13335" i="9"/>
  <c r="H13334" i="9"/>
  <c r="G13334" i="9"/>
  <c r="E13334" i="9"/>
  <c r="D13334" i="9"/>
  <c r="C13334" i="9"/>
  <c r="B13334" i="9"/>
  <c r="H13333" i="9"/>
  <c r="G13333" i="9"/>
  <c r="E13333" i="9"/>
  <c r="D13333" i="9"/>
  <c r="C13333" i="9"/>
  <c r="B13333" i="9"/>
  <c r="H13332" i="9"/>
  <c r="G13332" i="9"/>
  <c r="E13332" i="9"/>
  <c r="D13332" i="9"/>
  <c r="C13332" i="9"/>
  <c r="B13332" i="9"/>
  <c r="H13331" i="9"/>
  <c r="G13331" i="9"/>
  <c r="E13331" i="9"/>
  <c r="D13331" i="9"/>
  <c r="C13331" i="9"/>
  <c r="B13331" i="9"/>
  <c r="H13330" i="9"/>
  <c r="G13330" i="9"/>
  <c r="E13330" i="9"/>
  <c r="D13330" i="9"/>
  <c r="C13330" i="9"/>
  <c r="B13330" i="9"/>
  <c r="H13329" i="9"/>
  <c r="G13329" i="9"/>
  <c r="E13329" i="9"/>
  <c r="D13329" i="9"/>
  <c r="C13329" i="9"/>
  <c r="B13329" i="9"/>
  <c r="H13328" i="9"/>
  <c r="G13328" i="9"/>
  <c r="E13328" i="9"/>
  <c r="D13328" i="9"/>
  <c r="C13328" i="9"/>
  <c r="B13328" i="9"/>
  <c r="H13327" i="9"/>
  <c r="G13327" i="9"/>
  <c r="E13327" i="9"/>
  <c r="D13327" i="9"/>
  <c r="C13327" i="9"/>
  <c r="B13327" i="9"/>
  <c r="H13326" i="9"/>
  <c r="G13326" i="9"/>
  <c r="E13326" i="9"/>
  <c r="D13326" i="9"/>
  <c r="C13326" i="9"/>
  <c r="B13326" i="9"/>
  <c r="H13325" i="9"/>
  <c r="G13325" i="9"/>
  <c r="E13325" i="9"/>
  <c r="D13325" i="9"/>
  <c r="C13325" i="9"/>
  <c r="B13325" i="9"/>
  <c r="H13324" i="9"/>
  <c r="G13324" i="9"/>
  <c r="E13324" i="9"/>
  <c r="D13324" i="9"/>
  <c r="C13324" i="9"/>
  <c r="B13324" i="9"/>
  <c r="H13323" i="9"/>
  <c r="G13323" i="9"/>
  <c r="E13323" i="9"/>
  <c r="D13323" i="9"/>
  <c r="C13323" i="9"/>
  <c r="B13323" i="9"/>
  <c r="H13322" i="9"/>
  <c r="G13322" i="9"/>
  <c r="E13322" i="9"/>
  <c r="D13322" i="9"/>
  <c r="C13322" i="9"/>
  <c r="B13322" i="9"/>
  <c r="H13321" i="9"/>
  <c r="G13321" i="9"/>
  <c r="E13321" i="9"/>
  <c r="D13321" i="9"/>
  <c r="C13321" i="9"/>
  <c r="B13321" i="9"/>
  <c r="H13320" i="9"/>
  <c r="G13320" i="9"/>
  <c r="E13320" i="9"/>
  <c r="D13320" i="9"/>
  <c r="C13320" i="9"/>
  <c r="B13320" i="9"/>
  <c r="H13319" i="9"/>
  <c r="G13319" i="9"/>
  <c r="E13319" i="9"/>
  <c r="D13319" i="9"/>
  <c r="C13319" i="9"/>
  <c r="B13319" i="9"/>
  <c r="H13318" i="9"/>
  <c r="G13318" i="9"/>
  <c r="E13318" i="9"/>
  <c r="D13318" i="9"/>
  <c r="C13318" i="9"/>
  <c r="B13318" i="9"/>
  <c r="H13317" i="9"/>
  <c r="G13317" i="9"/>
  <c r="E13317" i="9"/>
  <c r="D13317" i="9"/>
  <c r="C13317" i="9"/>
  <c r="B13317" i="9"/>
  <c r="H13316" i="9"/>
  <c r="G13316" i="9"/>
  <c r="E13316" i="9"/>
  <c r="D13316" i="9"/>
  <c r="C13316" i="9"/>
  <c r="B13316" i="9"/>
  <c r="H13315" i="9"/>
  <c r="G13315" i="9"/>
  <c r="E13315" i="9"/>
  <c r="D13315" i="9"/>
  <c r="C13315" i="9"/>
  <c r="B13315" i="9"/>
  <c r="H13314" i="9"/>
  <c r="G13314" i="9"/>
  <c r="E13314" i="9"/>
  <c r="D13314" i="9"/>
  <c r="C13314" i="9"/>
  <c r="B13314" i="9"/>
  <c r="H13313" i="9"/>
  <c r="G13313" i="9"/>
  <c r="E13313" i="9"/>
  <c r="D13313" i="9"/>
  <c r="C13313" i="9"/>
  <c r="B13313" i="9"/>
  <c r="H13312" i="9"/>
  <c r="G13312" i="9"/>
  <c r="E13312" i="9"/>
  <c r="D13312" i="9"/>
  <c r="C13312" i="9"/>
  <c r="B13312" i="9"/>
  <c r="H13311" i="9"/>
  <c r="G13311" i="9"/>
  <c r="E13311" i="9"/>
  <c r="D13311" i="9"/>
  <c r="C13311" i="9"/>
  <c r="B13311" i="9"/>
  <c r="H13310" i="9"/>
  <c r="G13310" i="9"/>
  <c r="E13310" i="9"/>
  <c r="D13310" i="9"/>
  <c r="C13310" i="9"/>
  <c r="B13310" i="9"/>
  <c r="H13309" i="9"/>
  <c r="G13309" i="9"/>
  <c r="E13309" i="9"/>
  <c r="D13309" i="9"/>
  <c r="C13309" i="9"/>
  <c r="B13309" i="9"/>
  <c r="H13308" i="9"/>
  <c r="G13308" i="9"/>
  <c r="E13308" i="9"/>
  <c r="D13308" i="9"/>
  <c r="C13308" i="9"/>
  <c r="B13308" i="9"/>
  <c r="H13307" i="9"/>
  <c r="G13307" i="9"/>
  <c r="E13307" i="9"/>
  <c r="D13307" i="9"/>
  <c r="C13307" i="9"/>
  <c r="B13307" i="9"/>
  <c r="H13306" i="9"/>
  <c r="G13306" i="9"/>
  <c r="E13306" i="9"/>
  <c r="D13306" i="9"/>
  <c r="C13306" i="9"/>
  <c r="B13306" i="9"/>
  <c r="H13305" i="9"/>
  <c r="G13305" i="9"/>
  <c r="E13305" i="9"/>
  <c r="D13305" i="9"/>
  <c r="C13305" i="9"/>
  <c r="B13305" i="9"/>
  <c r="H13304" i="9"/>
  <c r="G13304" i="9"/>
  <c r="E13304" i="9"/>
  <c r="D13304" i="9"/>
  <c r="C13304" i="9"/>
  <c r="B13304" i="9"/>
  <c r="H13303" i="9"/>
  <c r="G13303" i="9"/>
  <c r="E13303" i="9"/>
  <c r="D13303" i="9"/>
  <c r="C13303" i="9"/>
  <c r="B13303" i="9"/>
  <c r="H13302" i="9"/>
  <c r="G13302" i="9"/>
  <c r="E13302" i="9"/>
  <c r="D13302" i="9"/>
  <c r="C13302" i="9"/>
  <c r="B13302" i="9"/>
  <c r="H13301" i="9"/>
  <c r="G13301" i="9"/>
  <c r="E13301" i="9"/>
  <c r="D13301" i="9"/>
  <c r="C13301" i="9"/>
  <c r="B13301" i="9"/>
  <c r="H13300" i="9"/>
  <c r="G13300" i="9"/>
  <c r="E13300" i="9"/>
  <c r="D13300" i="9"/>
  <c r="C13300" i="9"/>
  <c r="B13300" i="9"/>
  <c r="H13299" i="9"/>
  <c r="G13299" i="9"/>
  <c r="E13299" i="9"/>
  <c r="D13299" i="9"/>
  <c r="C13299" i="9"/>
  <c r="B13299" i="9"/>
  <c r="H13298" i="9"/>
  <c r="G13298" i="9"/>
  <c r="E13298" i="9"/>
  <c r="D13298" i="9"/>
  <c r="C13298" i="9"/>
  <c r="B13298" i="9"/>
  <c r="H13297" i="9"/>
  <c r="G13297" i="9"/>
  <c r="E13297" i="9"/>
  <c r="D13297" i="9"/>
  <c r="C13297" i="9"/>
  <c r="B13297" i="9"/>
  <c r="H13296" i="9"/>
  <c r="G13296" i="9"/>
  <c r="E13296" i="9"/>
  <c r="D13296" i="9"/>
  <c r="C13296" i="9"/>
  <c r="B13296" i="9"/>
  <c r="H13295" i="9"/>
  <c r="G13295" i="9"/>
  <c r="E13295" i="9"/>
  <c r="D13295" i="9"/>
  <c r="C13295" i="9"/>
  <c r="B13295" i="9"/>
  <c r="H13294" i="9"/>
  <c r="G13294" i="9"/>
  <c r="E13294" i="9"/>
  <c r="D13294" i="9"/>
  <c r="C13294" i="9"/>
  <c r="B13294" i="9"/>
  <c r="H13293" i="9"/>
  <c r="G13293" i="9"/>
  <c r="E13293" i="9"/>
  <c r="D13293" i="9"/>
  <c r="C13293" i="9"/>
  <c r="B13293" i="9"/>
  <c r="H13292" i="9"/>
  <c r="G13292" i="9"/>
  <c r="E13292" i="9"/>
  <c r="D13292" i="9"/>
  <c r="C13292" i="9"/>
  <c r="B13292" i="9"/>
  <c r="H13291" i="9"/>
  <c r="G13291" i="9"/>
  <c r="E13291" i="9"/>
  <c r="D13291" i="9"/>
  <c r="C13291" i="9"/>
  <c r="B13291" i="9"/>
  <c r="H13290" i="9"/>
  <c r="G13290" i="9"/>
  <c r="E13290" i="9"/>
  <c r="D13290" i="9"/>
  <c r="C13290" i="9"/>
  <c r="B13290" i="9"/>
  <c r="H13289" i="9"/>
  <c r="G13289" i="9"/>
  <c r="E13289" i="9"/>
  <c r="D13289" i="9"/>
  <c r="C13289" i="9"/>
  <c r="B13289" i="9"/>
  <c r="H13288" i="9"/>
  <c r="G13288" i="9"/>
  <c r="E13288" i="9"/>
  <c r="D13288" i="9"/>
  <c r="C13288" i="9"/>
  <c r="B13288" i="9"/>
  <c r="H13287" i="9"/>
  <c r="G13287" i="9"/>
  <c r="E13287" i="9"/>
  <c r="D13287" i="9"/>
  <c r="C13287" i="9"/>
  <c r="B13287" i="9"/>
  <c r="H13286" i="9"/>
  <c r="G13286" i="9"/>
  <c r="E13286" i="9"/>
  <c r="D13286" i="9"/>
  <c r="C13286" i="9"/>
  <c r="B13286" i="9"/>
  <c r="H13285" i="9"/>
  <c r="G13285" i="9"/>
  <c r="E13285" i="9"/>
  <c r="D13285" i="9"/>
  <c r="C13285" i="9"/>
  <c r="B13285" i="9"/>
  <c r="H13284" i="9"/>
  <c r="G13284" i="9"/>
  <c r="E13284" i="9"/>
  <c r="D13284" i="9"/>
  <c r="C13284" i="9"/>
  <c r="B13284" i="9"/>
  <c r="H13283" i="9"/>
  <c r="G13283" i="9"/>
  <c r="E13283" i="9"/>
  <c r="D13283" i="9"/>
  <c r="C13283" i="9"/>
  <c r="B13283" i="9"/>
  <c r="H13282" i="9"/>
  <c r="G13282" i="9"/>
  <c r="E13282" i="9"/>
  <c r="D13282" i="9"/>
  <c r="C13282" i="9"/>
  <c r="B13282" i="9"/>
  <c r="H13281" i="9"/>
  <c r="G13281" i="9"/>
  <c r="E13281" i="9"/>
  <c r="D13281" i="9"/>
  <c r="C13281" i="9"/>
  <c r="B13281" i="9"/>
  <c r="H13280" i="9"/>
  <c r="G13280" i="9"/>
  <c r="E13280" i="9"/>
  <c r="D13280" i="9"/>
  <c r="C13280" i="9"/>
  <c r="B13280" i="9"/>
  <c r="H13279" i="9"/>
  <c r="G13279" i="9"/>
  <c r="E13279" i="9"/>
  <c r="D13279" i="9"/>
  <c r="C13279" i="9"/>
  <c r="B13279" i="9"/>
  <c r="H13278" i="9"/>
  <c r="G13278" i="9"/>
  <c r="E13278" i="9"/>
  <c r="D13278" i="9"/>
  <c r="C13278" i="9"/>
  <c r="B13278" i="9"/>
  <c r="H13277" i="9"/>
  <c r="G13277" i="9"/>
  <c r="E13277" i="9"/>
  <c r="D13277" i="9"/>
  <c r="C13277" i="9"/>
  <c r="B13277" i="9"/>
  <c r="H13276" i="9"/>
  <c r="G13276" i="9"/>
  <c r="E13276" i="9"/>
  <c r="D13276" i="9"/>
  <c r="C13276" i="9"/>
  <c r="B13276" i="9"/>
  <c r="H13275" i="9"/>
  <c r="G13275" i="9"/>
  <c r="E13275" i="9"/>
  <c r="D13275" i="9"/>
  <c r="C13275" i="9"/>
  <c r="B13275" i="9"/>
  <c r="H13274" i="9"/>
  <c r="G13274" i="9"/>
  <c r="E13274" i="9"/>
  <c r="D13274" i="9"/>
  <c r="C13274" i="9"/>
  <c r="B13274" i="9"/>
  <c r="H13273" i="9"/>
  <c r="G13273" i="9"/>
  <c r="E13273" i="9"/>
  <c r="D13273" i="9"/>
  <c r="C13273" i="9"/>
  <c r="B13273" i="9"/>
  <c r="H13272" i="9"/>
  <c r="G13272" i="9"/>
  <c r="E13272" i="9"/>
  <c r="D13272" i="9"/>
  <c r="C13272" i="9"/>
  <c r="B13272" i="9"/>
  <c r="H13271" i="9"/>
  <c r="G13271" i="9"/>
  <c r="E13271" i="9"/>
  <c r="D13271" i="9"/>
  <c r="C13271" i="9"/>
  <c r="B13271" i="9"/>
  <c r="H13270" i="9"/>
  <c r="G13270" i="9"/>
  <c r="E13270" i="9"/>
  <c r="D13270" i="9"/>
  <c r="C13270" i="9"/>
  <c r="B13270" i="9"/>
  <c r="H13269" i="9"/>
  <c r="G13269" i="9"/>
  <c r="E13269" i="9"/>
  <c r="D13269" i="9"/>
  <c r="C13269" i="9"/>
  <c r="B13269" i="9"/>
  <c r="H13268" i="9"/>
  <c r="G13268" i="9"/>
  <c r="E13268" i="9"/>
  <c r="D13268" i="9"/>
  <c r="C13268" i="9"/>
  <c r="B13268" i="9"/>
  <c r="H13267" i="9"/>
  <c r="G13267" i="9"/>
  <c r="E13267" i="9"/>
  <c r="D13267" i="9"/>
  <c r="C13267" i="9"/>
  <c r="B13267" i="9"/>
  <c r="H13266" i="9"/>
  <c r="G13266" i="9"/>
  <c r="E13266" i="9"/>
  <c r="D13266" i="9"/>
  <c r="C13266" i="9"/>
  <c r="B13266" i="9"/>
  <c r="H13265" i="9"/>
  <c r="G13265" i="9"/>
  <c r="E13265" i="9"/>
  <c r="D13265" i="9"/>
  <c r="C13265" i="9"/>
  <c r="B13265" i="9"/>
  <c r="H13264" i="9"/>
  <c r="G13264" i="9"/>
  <c r="E13264" i="9"/>
  <c r="D13264" i="9"/>
  <c r="C13264" i="9"/>
  <c r="B13264" i="9"/>
  <c r="H13263" i="9"/>
  <c r="G13263" i="9"/>
  <c r="E13263" i="9"/>
  <c r="D13263" i="9"/>
  <c r="C13263" i="9"/>
  <c r="B13263" i="9"/>
  <c r="H13262" i="9"/>
  <c r="G13262" i="9"/>
  <c r="E13262" i="9"/>
  <c r="D13262" i="9"/>
  <c r="C13262" i="9"/>
  <c r="B13262" i="9"/>
  <c r="H13261" i="9"/>
  <c r="G13261" i="9"/>
  <c r="E13261" i="9"/>
  <c r="D13261" i="9"/>
  <c r="C13261" i="9"/>
  <c r="B13261" i="9"/>
  <c r="H13260" i="9"/>
  <c r="G13260" i="9"/>
  <c r="E13260" i="9"/>
  <c r="D13260" i="9"/>
  <c r="C13260" i="9"/>
  <c r="B13260" i="9"/>
  <c r="H13259" i="9"/>
  <c r="G13259" i="9"/>
  <c r="E13259" i="9"/>
  <c r="D13259" i="9"/>
  <c r="C13259" i="9"/>
  <c r="B13259" i="9"/>
  <c r="H13258" i="9"/>
  <c r="G13258" i="9"/>
  <c r="E13258" i="9"/>
  <c r="D13258" i="9"/>
  <c r="C13258" i="9"/>
  <c r="B13258" i="9"/>
  <c r="H13257" i="9"/>
  <c r="G13257" i="9"/>
  <c r="E13257" i="9"/>
  <c r="D13257" i="9"/>
  <c r="C13257" i="9"/>
  <c r="B13257" i="9"/>
  <c r="H13256" i="9"/>
  <c r="G13256" i="9"/>
  <c r="E13256" i="9"/>
  <c r="D13256" i="9"/>
  <c r="C13256" i="9"/>
  <c r="B13256" i="9"/>
  <c r="H13255" i="9"/>
  <c r="G13255" i="9"/>
  <c r="E13255" i="9"/>
  <c r="D13255" i="9"/>
  <c r="C13255" i="9"/>
  <c r="B13255" i="9"/>
  <c r="H13254" i="9"/>
  <c r="G13254" i="9"/>
  <c r="E13254" i="9"/>
  <c r="D13254" i="9"/>
  <c r="C13254" i="9"/>
  <c r="B13254" i="9"/>
  <c r="H13253" i="9"/>
  <c r="G13253" i="9"/>
  <c r="E13253" i="9"/>
  <c r="D13253" i="9"/>
  <c r="C13253" i="9"/>
  <c r="B13253" i="9"/>
  <c r="H13252" i="9"/>
  <c r="G13252" i="9"/>
  <c r="E13252" i="9"/>
  <c r="D13252" i="9"/>
  <c r="C13252" i="9"/>
  <c r="B13252" i="9"/>
  <c r="H13251" i="9"/>
  <c r="G13251" i="9"/>
  <c r="E13251" i="9"/>
  <c r="D13251" i="9"/>
  <c r="C13251" i="9"/>
  <c r="B13251" i="9"/>
  <c r="H13250" i="9"/>
  <c r="G13250" i="9"/>
  <c r="E13250" i="9"/>
  <c r="D13250" i="9"/>
  <c r="C13250" i="9"/>
  <c r="B13250" i="9"/>
  <c r="H13249" i="9"/>
  <c r="G13249" i="9"/>
  <c r="E13249" i="9"/>
  <c r="D13249" i="9"/>
  <c r="C13249" i="9"/>
  <c r="B13249" i="9"/>
  <c r="H13248" i="9"/>
  <c r="G13248" i="9"/>
  <c r="E13248" i="9"/>
  <c r="D13248" i="9"/>
  <c r="C13248" i="9"/>
  <c r="B13248" i="9"/>
  <c r="H13247" i="9"/>
  <c r="G13247" i="9"/>
  <c r="E13247" i="9"/>
  <c r="D13247" i="9"/>
  <c r="C13247" i="9"/>
  <c r="B13247" i="9"/>
  <c r="H13246" i="9"/>
  <c r="G13246" i="9"/>
  <c r="E13246" i="9"/>
  <c r="D13246" i="9"/>
  <c r="C13246" i="9"/>
  <c r="B13246" i="9"/>
  <c r="H13245" i="9"/>
  <c r="G13245" i="9"/>
  <c r="E13245" i="9"/>
  <c r="D13245" i="9"/>
  <c r="C13245" i="9"/>
  <c r="B13245" i="9"/>
  <c r="H13244" i="9"/>
  <c r="G13244" i="9"/>
  <c r="E13244" i="9"/>
  <c r="D13244" i="9"/>
  <c r="C13244" i="9"/>
  <c r="B13244" i="9"/>
  <c r="H13243" i="9"/>
  <c r="G13243" i="9"/>
  <c r="E13243" i="9"/>
  <c r="D13243" i="9"/>
  <c r="C13243" i="9"/>
  <c r="B13243" i="9"/>
  <c r="H13242" i="9"/>
  <c r="G13242" i="9"/>
  <c r="E13242" i="9"/>
  <c r="D13242" i="9"/>
  <c r="C13242" i="9"/>
  <c r="B13242" i="9"/>
  <c r="H13241" i="9"/>
  <c r="G13241" i="9"/>
  <c r="E13241" i="9"/>
  <c r="D13241" i="9"/>
  <c r="C13241" i="9"/>
  <c r="B13241" i="9"/>
  <c r="H13240" i="9"/>
  <c r="G13240" i="9"/>
  <c r="E13240" i="9"/>
  <c r="D13240" i="9"/>
  <c r="C13240" i="9"/>
  <c r="B13240" i="9"/>
  <c r="H13239" i="9"/>
  <c r="G13239" i="9"/>
  <c r="E13239" i="9"/>
  <c r="D13239" i="9"/>
  <c r="C13239" i="9"/>
  <c r="B13239" i="9"/>
  <c r="H13238" i="9"/>
  <c r="G13238" i="9"/>
  <c r="E13238" i="9"/>
  <c r="D13238" i="9"/>
  <c r="C13238" i="9"/>
  <c r="B13238" i="9"/>
  <c r="H13237" i="9"/>
  <c r="G13237" i="9"/>
  <c r="E13237" i="9"/>
  <c r="D13237" i="9"/>
  <c r="C13237" i="9"/>
  <c r="B13237" i="9"/>
  <c r="H13236" i="9"/>
  <c r="G13236" i="9"/>
  <c r="E13236" i="9"/>
  <c r="D13236" i="9"/>
  <c r="C13236" i="9"/>
  <c r="B13236" i="9"/>
  <c r="H13235" i="9"/>
  <c r="G13235" i="9"/>
  <c r="E13235" i="9"/>
  <c r="D13235" i="9"/>
  <c r="C13235" i="9"/>
  <c r="B13235" i="9"/>
  <c r="H13234" i="9"/>
  <c r="G13234" i="9"/>
  <c r="E13234" i="9"/>
  <c r="D13234" i="9"/>
  <c r="C13234" i="9"/>
  <c r="B13234" i="9"/>
  <c r="H13233" i="9"/>
  <c r="G13233" i="9"/>
  <c r="E13233" i="9"/>
  <c r="D13233" i="9"/>
  <c r="C13233" i="9"/>
  <c r="B13233" i="9"/>
  <c r="H13232" i="9"/>
  <c r="G13232" i="9"/>
  <c r="E13232" i="9"/>
  <c r="D13232" i="9"/>
  <c r="C13232" i="9"/>
  <c r="B13232" i="9"/>
  <c r="H13231" i="9"/>
  <c r="G13231" i="9"/>
  <c r="E13231" i="9"/>
  <c r="D13231" i="9"/>
  <c r="C13231" i="9"/>
  <c r="B13231" i="9"/>
  <c r="H13230" i="9"/>
  <c r="G13230" i="9"/>
  <c r="E13230" i="9"/>
  <c r="D13230" i="9"/>
  <c r="C13230" i="9"/>
  <c r="B13230" i="9"/>
  <c r="H13229" i="9"/>
  <c r="G13229" i="9"/>
  <c r="E13229" i="9"/>
  <c r="D13229" i="9"/>
  <c r="C13229" i="9"/>
  <c r="B13229" i="9"/>
  <c r="H13228" i="9"/>
  <c r="G13228" i="9"/>
  <c r="E13228" i="9"/>
  <c r="D13228" i="9"/>
  <c r="C13228" i="9"/>
  <c r="B13228" i="9"/>
  <c r="H13227" i="9"/>
  <c r="G13227" i="9"/>
  <c r="E13227" i="9"/>
  <c r="D13227" i="9"/>
  <c r="C13227" i="9"/>
  <c r="B13227" i="9"/>
  <c r="H13226" i="9"/>
  <c r="G13226" i="9"/>
  <c r="E13226" i="9"/>
  <c r="D13226" i="9"/>
  <c r="C13226" i="9"/>
  <c r="B13226" i="9"/>
  <c r="H13225" i="9"/>
  <c r="G13225" i="9"/>
  <c r="E13225" i="9"/>
  <c r="D13225" i="9"/>
  <c r="C13225" i="9"/>
  <c r="B13225" i="9"/>
  <c r="H13224" i="9"/>
  <c r="G13224" i="9"/>
  <c r="E13224" i="9"/>
  <c r="D13224" i="9"/>
  <c r="C13224" i="9"/>
  <c r="B13224" i="9"/>
  <c r="H13223" i="9"/>
  <c r="G13223" i="9"/>
  <c r="E13223" i="9"/>
  <c r="D13223" i="9"/>
  <c r="C13223" i="9"/>
  <c r="B13223" i="9"/>
  <c r="H13222" i="9"/>
  <c r="G13222" i="9"/>
  <c r="E13222" i="9"/>
  <c r="D13222" i="9"/>
  <c r="C13222" i="9"/>
  <c r="B13222" i="9"/>
  <c r="H13221" i="9"/>
  <c r="G13221" i="9"/>
  <c r="E13221" i="9"/>
  <c r="D13221" i="9"/>
  <c r="C13221" i="9"/>
  <c r="B13221" i="9"/>
  <c r="H13220" i="9"/>
  <c r="G13220" i="9"/>
  <c r="E13220" i="9"/>
  <c r="D13220" i="9"/>
  <c r="C13220" i="9"/>
  <c r="B13220" i="9"/>
  <c r="H13219" i="9"/>
  <c r="G13219" i="9"/>
  <c r="E13219" i="9"/>
  <c r="D13219" i="9"/>
  <c r="C13219" i="9"/>
  <c r="B13219" i="9"/>
  <c r="H13218" i="9"/>
  <c r="G13218" i="9"/>
  <c r="E13218" i="9"/>
  <c r="D13218" i="9"/>
  <c r="C13218" i="9"/>
  <c r="B13218" i="9"/>
  <c r="H13217" i="9"/>
  <c r="G13217" i="9"/>
  <c r="E13217" i="9"/>
  <c r="D13217" i="9"/>
  <c r="C13217" i="9"/>
  <c r="B13217" i="9"/>
  <c r="H13216" i="9"/>
  <c r="G13216" i="9"/>
  <c r="E13216" i="9"/>
  <c r="D13216" i="9"/>
  <c r="C13216" i="9"/>
  <c r="B13216" i="9"/>
  <c r="H13215" i="9"/>
  <c r="G13215" i="9"/>
  <c r="E13215" i="9"/>
  <c r="D13215" i="9"/>
  <c r="C13215" i="9"/>
  <c r="B13215" i="9"/>
  <c r="H13214" i="9"/>
  <c r="G13214" i="9"/>
  <c r="E13214" i="9"/>
  <c r="D13214" i="9"/>
  <c r="C13214" i="9"/>
  <c r="B13214" i="9"/>
  <c r="H13213" i="9"/>
  <c r="G13213" i="9"/>
  <c r="E13213" i="9"/>
  <c r="D13213" i="9"/>
  <c r="C13213" i="9"/>
  <c r="B13213" i="9"/>
  <c r="H13212" i="9"/>
  <c r="G13212" i="9"/>
  <c r="E13212" i="9"/>
  <c r="D13212" i="9"/>
  <c r="C13212" i="9"/>
  <c r="B13212" i="9"/>
  <c r="H13211" i="9"/>
  <c r="G13211" i="9"/>
  <c r="E13211" i="9"/>
  <c r="D13211" i="9"/>
  <c r="C13211" i="9"/>
  <c r="B13211" i="9"/>
  <c r="H13210" i="9"/>
  <c r="G13210" i="9"/>
  <c r="E13210" i="9"/>
  <c r="D13210" i="9"/>
  <c r="C13210" i="9"/>
  <c r="B13210" i="9"/>
  <c r="H13209" i="9"/>
  <c r="G13209" i="9"/>
  <c r="E13209" i="9"/>
  <c r="D13209" i="9"/>
  <c r="C13209" i="9"/>
  <c r="B13209" i="9"/>
  <c r="H13208" i="9"/>
  <c r="G13208" i="9"/>
  <c r="E13208" i="9"/>
  <c r="D13208" i="9"/>
  <c r="C13208" i="9"/>
  <c r="B13208" i="9"/>
  <c r="H13207" i="9"/>
  <c r="G13207" i="9"/>
  <c r="E13207" i="9"/>
  <c r="D13207" i="9"/>
  <c r="C13207" i="9"/>
  <c r="B13207" i="9"/>
  <c r="H13206" i="9"/>
  <c r="G13206" i="9"/>
  <c r="E13206" i="9"/>
  <c r="D13206" i="9"/>
  <c r="C13206" i="9"/>
  <c r="B13206" i="9"/>
  <c r="H13205" i="9"/>
  <c r="G13205" i="9"/>
  <c r="E13205" i="9"/>
  <c r="D13205" i="9"/>
  <c r="C13205" i="9"/>
  <c r="B13205" i="9"/>
  <c r="H13204" i="9"/>
  <c r="G13204" i="9"/>
  <c r="E13204" i="9"/>
  <c r="D13204" i="9"/>
  <c r="C13204" i="9"/>
  <c r="B13204" i="9"/>
  <c r="H13203" i="9"/>
  <c r="G13203" i="9"/>
  <c r="E13203" i="9"/>
  <c r="D13203" i="9"/>
  <c r="C13203" i="9"/>
  <c r="B13203" i="9"/>
  <c r="H13202" i="9"/>
  <c r="G13202" i="9"/>
  <c r="E13202" i="9"/>
  <c r="D13202" i="9"/>
  <c r="C13202" i="9"/>
  <c r="B13202" i="9"/>
  <c r="H13201" i="9"/>
  <c r="G13201" i="9"/>
  <c r="E13201" i="9"/>
  <c r="D13201" i="9"/>
  <c r="C13201" i="9"/>
  <c r="B13201" i="9"/>
  <c r="H13200" i="9"/>
  <c r="G13200" i="9"/>
  <c r="E13200" i="9"/>
  <c r="D13200" i="9"/>
  <c r="C13200" i="9"/>
  <c r="B13200" i="9"/>
  <c r="H13199" i="9"/>
  <c r="G13199" i="9"/>
  <c r="E13199" i="9"/>
  <c r="D13199" i="9"/>
  <c r="C13199" i="9"/>
  <c r="B13199" i="9"/>
  <c r="H13198" i="9"/>
  <c r="G13198" i="9"/>
  <c r="E13198" i="9"/>
  <c r="D13198" i="9"/>
  <c r="C13198" i="9"/>
  <c r="B13198" i="9"/>
  <c r="H13197" i="9"/>
  <c r="G13197" i="9"/>
  <c r="E13197" i="9"/>
  <c r="D13197" i="9"/>
  <c r="C13197" i="9"/>
  <c r="B13197" i="9"/>
  <c r="H13196" i="9"/>
  <c r="G13196" i="9"/>
  <c r="E13196" i="9"/>
  <c r="D13196" i="9"/>
  <c r="C13196" i="9"/>
  <c r="B13196" i="9"/>
  <c r="H13195" i="9"/>
  <c r="G13195" i="9"/>
  <c r="E13195" i="9"/>
  <c r="D13195" i="9"/>
  <c r="C13195" i="9"/>
  <c r="B13195" i="9"/>
  <c r="H13194" i="9"/>
  <c r="G13194" i="9"/>
  <c r="E13194" i="9"/>
  <c r="D13194" i="9"/>
  <c r="C13194" i="9"/>
  <c r="B13194" i="9"/>
  <c r="H13193" i="9"/>
  <c r="G13193" i="9"/>
  <c r="E13193" i="9"/>
  <c r="D13193" i="9"/>
  <c r="C13193" i="9"/>
  <c r="B13193" i="9"/>
  <c r="H13192" i="9"/>
  <c r="G13192" i="9"/>
  <c r="E13192" i="9"/>
  <c r="D13192" i="9"/>
  <c r="C13192" i="9"/>
  <c r="B13192" i="9"/>
  <c r="H13191" i="9"/>
  <c r="G13191" i="9"/>
  <c r="E13191" i="9"/>
  <c r="D13191" i="9"/>
  <c r="C13191" i="9"/>
  <c r="B13191" i="9"/>
  <c r="H13190" i="9"/>
  <c r="G13190" i="9"/>
  <c r="E13190" i="9"/>
  <c r="D13190" i="9"/>
  <c r="C13190" i="9"/>
  <c r="B13190" i="9"/>
  <c r="H13189" i="9"/>
  <c r="G13189" i="9"/>
  <c r="E13189" i="9"/>
  <c r="D13189" i="9"/>
  <c r="C13189" i="9"/>
  <c r="B13189" i="9"/>
  <c r="H13188" i="9"/>
  <c r="G13188" i="9"/>
  <c r="E13188" i="9"/>
  <c r="D13188" i="9"/>
  <c r="C13188" i="9"/>
  <c r="B13188" i="9"/>
  <c r="H13187" i="9"/>
  <c r="G13187" i="9"/>
  <c r="E13187" i="9"/>
  <c r="D13187" i="9"/>
  <c r="C13187" i="9"/>
  <c r="B13187" i="9"/>
  <c r="H13186" i="9"/>
  <c r="G13186" i="9"/>
  <c r="E13186" i="9"/>
  <c r="D13186" i="9"/>
  <c r="C13186" i="9"/>
  <c r="B13186" i="9"/>
  <c r="H13185" i="9"/>
  <c r="G13185" i="9"/>
  <c r="E13185" i="9"/>
  <c r="D13185" i="9"/>
  <c r="C13185" i="9"/>
  <c r="B13185" i="9"/>
  <c r="H13184" i="9"/>
  <c r="G13184" i="9"/>
  <c r="E13184" i="9"/>
  <c r="D13184" i="9"/>
  <c r="C13184" i="9"/>
  <c r="B13184" i="9"/>
  <c r="H13183" i="9"/>
  <c r="G13183" i="9"/>
  <c r="E13183" i="9"/>
  <c r="D13183" i="9"/>
  <c r="C13183" i="9"/>
  <c r="B13183" i="9"/>
  <c r="H13182" i="9"/>
  <c r="G13182" i="9"/>
  <c r="E13182" i="9"/>
  <c r="D13182" i="9"/>
  <c r="C13182" i="9"/>
  <c r="B13182" i="9"/>
  <c r="H13181" i="9"/>
  <c r="G13181" i="9"/>
  <c r="E13181" i="9"/>
  <c r="D13181" i="9"/>
  <c r="C13181" i="9"/>
  <c r="B13181" i="9"/>
  <c r="H13180" i="9"/>
  <c r="G13180" i="9"/>
  <c r="E13180" i="9"/>
  <c r="D13180" i="9"/>
  <c r="C13180" i="9"/>
  <c r="B13180" i="9"/>
  <c r="H13179" i="9"/>
  <c r="G13179" i="9"/>
  <c r="E13179" i="9"/>
  <c r="D13179" i="9"/>
  <c r="C13179" i="9"/>
  <c r="B13179" i="9"/>
  <c r="H13178" i="9"/>
  <c r="G13178" i="9"/>
  <c r="E13178" i="9"/>
  <c r="D13178" i="9"/>
  <c r="C13178" i="9"/>
  <c r="B13178" i="9"/>
  <c r="H13177" i="9"/>
  <c r="G13177" i="9"/>
  <c r="E13177" i="9"/>
  <c r="D13177" i="9"/>
  <c r="C13177" i="9"/>
  <c r="B13177" i="9"/>
  <c r="H13176" i="9"/>
  <c r="G13176" i="9"/>
  <c r="E13176" i="9"/>
  <c r="D13176" i="9"/>
  <c r="C13176" i="9"/>
  <c r="B13176" i="9"/>
  <c r="H13175" i="9"/>
  <c r="G13175" i="9"/>
  <c r="E13175" i="9"/>
  <c r="D13175" i="9"/>
  <c r="C13175" i="9"/>
  <c r="B13175" i="9"/>
  <c r="H13174" i="9"/>
  <c r="G13174" i="9"/>
  <c r="E13174" i="9"/>
  <c r="D13174" i="9"/>
  <c r="C13174" i="9"/>
  <c r="B13174" i="9"/>
  <c r="H13173" i="9"/>
  <c r="G13173" i="9"/>
  <c r="E13173" i="9"/>
  <c r="D13173" i="9"/>
  <c r="C13173" i="9"/>
  <c r="B13173" i="9"/>
  <c r="H13172" i="9"/>
  <c r="G13172" i="9"/>
  <c r="E13172" i="9"/>
  <c r="D13172" i="9"/>
  <c r="C13172" i="9"/>
  <c r="B13172" i="9"/>
  <c r="H13171" i="9"/>
  <c r="G13171" i="9"/>
  <c r="E13171" i="9"/>
  <c r="D13171" i="9"/>
  <c r="C13171" i="9"/>
  <c r="B13171" i="9"/>
  <c r="H13170" i="9"/>
  <c r="G13170" i="9"/>
  <c r="E13170" i="9"/>
  <c r="D13170" i="9"/>
  <c r="C13170" i="9"/>
  <c r="B13170" i="9"/>
  <c r="H13169" i="9"/>
  <c r="G13169" i="9"/>
  <c r="E13169" i="9"/>
  <c r="D13169" i="9"/>
  <c r="C13169" i="9"/>
  <c r="B13169" i="9"/>
  <c r="H13168" i="9"/>
  <c r="G13168" i="9"/>
  <c r="E13168" i="9"/>
  <c r="D13168" i="9"/>
  <c r="C13168" i="9"/>
  <c r="B13168" i="9"/>
  <c r="H13167" i="9"/>
  <c r="G13167" i="9"/>
  <c r="E13167" i="9"/>
  <c r="D13167" i="9"/>
  <c r="C13167" i="9"/>
  <c r="B13167" i="9"/>
  <c r="H13166" i="9"/>
  <c r="G13166" i="9"/>
  <c r="E13166" i="9"/>
  <c r="D13166" i="9"/>
  <c r="C13166" i="9"/>
  <c r="B13166" i="9"/>
  <c r="H13165" i="9"/>
  <c r="G13165" i="9"/>
  <c r="E13165" i="9"/>
  <c r="D13165" i="9"/>
  <c r="C13165" i="9"/>
  <c r="B13165" i="9"/>
  <c r="H13164" i="9"/>
  <c r="G13164" i="9"/>
  <c r="E13164" i="9"/>
  <c r="D13164" i="9"/>
  <c r="C13164" i="9"/>
  <c r="B13164" i="9"/>
  <c r="H13163" i="9"/>
  <c r="G13163" i="9"/>
  <c r="E13163" i="9"/>
  <c r="D13163" i="9"/>
  <c r="C13163" i="9"/>
  <c r="B13163" i="9"/>
  <c r="H13162" i="9"/>
  <c r="G13162" i="9"/>
  <c r="E13162" i="9"/>
  <c r="D13162" i="9"/>
  <c r="C13162" i="9"/>
  <c r="B13162" i="9"/>
  <c r="H13161" i="9"/>
  <c r="G13161" i="9"/>
  <c r="E13161" i="9"/>
  <c r="D13161" i="9"/>
  <c r="C13161" i="9"/>
  <c r="B13161" i="9"/>
  <c r="H13160" i="9"/>
  <c r="G13160" i="9"/>
  <c r="E13160" i="9"/>
  <c r="D13160" i="9"/>
  <c r="C13160" i="9"/>
  <c r="B13160" i="9"/>
  <c r="H13159" i="9"/>
  <c r="G13159" i="9"/>
  <c r="E13159" i="9"/>
  <c r="D13159" i="9"/>
  <c r="C13159" i="9"/>
  <c r="B13159" i="9"/>
  <c r="H13158" i="9"/>
  <c r="G13158" i="9"/>
  <c r="E13158" i="9"/>
  <c r="D13158" i="9"/>
  <c r="C13158" i="9"/>
  <c r="B13158" i="9"/>
  <c r="H13157" i="9"/>
  <c r="G13157" i="9"/>
  <c r="E13157" i="9"/>
  <c r="D13157" i="9"/>
  <c r="C13157" i="9"/>
  <c r="B13157" i="9"/>
  <c r="H13156" i="9"/>
  <c r="G13156" i="9"/>
  <c r="E13156" i="9"/>
  <c r="D13156" i="9"/>
  <c r="C13156" i="9"/>
  <c r="B13156" i="9"/>
  <c r="H13155" i="9"/>
  <c r="G13155" i="9"/>
  <c r="E13155" i="9"/>
  <c r="D13155" i="9"/>
  <c r="C13155" i="9"/>
  <c r="B13155" i="9"/>
  <c r="H13154" i="9"/>
  <c r="G13154" i="9"/>
  <c r="E13154" i="9"/>
  <c r="D13154" i="9"/>
  <c r="C13154" i="9"/>
  <c r="B13154" i="9"/>
  <c r="H13153" i="9"/>
  <c r="G13153" i="9"/>
  <c r="E13153" i="9"/>
  <c r="D13153" i="9"/>
  <c r="C13153" i="9"/>
  <c r="B13153" i="9"/>
  <c r="H13152" i="9"/>
  <c r="G13152" i="9"/>
  <c r="E13152" i="9"/>
  <c r="D13152" i="9"/>
  <c r="C13152" i="9"/>
  <c r="B13152" i="9"/>
  <c r="H13151" i="9"/>
  <c r="G13151" i="9"/>
  <c r="E13151" i="9"/>
  <c r="D13151" i="9"/>
  <c r="C13151" i="9"/>
  <c r="B13151" i="9"/>
  <c r="H13150" i="9"/>
  <c r="G13150" i="9"/>
  <c r="E13150" i="9"/>
  <c r="D13150" i="9"/>
  <c r="C13150" i="9"/>
  <c r="B13150" i="9"/>
  <c r="H13149" i="9"/>
  <c r="G13149" i="9"/>
  <c r="E13149" i="9"/>
  <c r="D13149" i="9"/>
  <c r="C13149" i="9"/>
  <c r="B13149" i="9"/>
  <c r="H13148" i="9"/>
  <c r="G13148" i="9"/>
  <c r="E13148" i="9"/>
  <c r="D13148" i="9"/>
  <c r="C13148" i="9"/>
  <c r="B13148" i="9"/>
  <c r="H13147" i="9"/>
  <c r="G13147" i="9"/>
  <c r="E13147" i="9"/>
  <c r="D13147" i="9"/>
  <c r="C13147" i="9"/>
  <c r="B13147" i="9"/>
  <c r="H13146" i="9"/>
  <c r="G13146" i="9"/>
  <c r="E13146" i="9"/>
  <c r="D13146" i="9"/>
  <c r="C13146" i="9"/>
  <c r="B13146" i="9"/>
  <c r="H13145" i="9"/>
  <c r="G13145" i="9"/>
  <c r="E13145" i="9"/>
  <c r="D13145" i="9"/>
  <c r="C13145" i="9"/>
  <c r="B13145" i="9"/>
  <c r="H13144" i="9"/>
  <c r="G13144" i="9"/>
  <c r="E13144" i="9"/>
  <c r="D13144" i="9"/>
  <c r="C13144" i="9"/>
  <c r="B13144" i="9"/>
  <c r="H13143" i="9"/>
  <c r="G13143" i="9"/>
  <c r="E13143" i="9"/>
  <c r="D13143" i="9"/>
  <c r="C13143" i="9"/>
  <c r="B13143" i="9"/>
  <c r="H13142" i="9"/>
  <c r="G13142" i="9"/>
  <c r="E13142" i="9"/>
  <c r="D13142" i="9"/>
  <c r="C13142" i="9"/>
  <c r="B13142" i="9"/>
  <c r="H13141" i="9"/>
  <c r="G13141" i="9"/>
  <c r="E13141" i="9"/>
  <c r="D13141" i="9"/>
  <c r="C13141" i="9"/>
  <c r="B13141" i="9"/>
  <c r="H13140" i="9"/>
  <c r="G13140" i="9"/>
  <c r="E13140" i="9"/>
  <c r="D13140" i="9"/>
  <c r="C13140" i="9"/>
  <c r="B13140" i="9"/>
  <c r="H13139" i="9"/>
  <c r="G13139" i="9"/>
  <c r="E13139" i="9"/>
  <c r="D13139" i="9"/>
  <c r="C13139" i="9"/>
  <c r="B13139" i="9"/>
  <c r="H13138" i="9"/>
  <c r="G13138" i="9"/>
  <c r="E13138" i="9"/>
  <c r="D13138" i="9"/>
  <c r="C13138" i="9"/>
  <c r="B13138" i="9"/>
  <c r="H13137" i="9"/>
  <c r="G13137" i="9"/>
  <c r="E13137" i="9"/>
  <c r="D13137" i="9"/>
  <c r="C13137" i="9"/>
  <c r="B13137" i="9"/>
  <c r="H13136" i="9"/>
  <c r="G13136" i="9"/>
  <c r="E13136" i="9"/>
  <c r="D13136" i="9"/>
  <c r="C13136" i="9"/>
  <c r="B13136" i="9"/>
  <c r="H13135" i="9"/>
  <c r="G13135" i="9"/>
  <c r="E13135" i="9"/>
  <c r="D13135" i="9"/>
  <c r="C13135" i="9"/>
  <c r="B13135" i="9"/>
  <c r="H13134" i="9"/>
  <c r="G13134" i="9"/>
  <c r="E13134" i="9"/>
  <c r="D13134" i="9"/>
  <c r="C13134" i="9"/>
  <c r="B13134" i="9"/>
  <c r="H13133" i="9"/>
  <c r="G13133" i="9"/>
  <c r="E13133" i="9"/>
  <c r="D13133" i="9"/>
  <c r="C13133" i="9"/>
  <c r="B13133" i="9"/>
  <c r="H13132" i="9"/>
  <c r="G13132" i="9"/>
  <c r="E13132" i="9"/>
  <c r="D13132" i="9"/>
  <c r="C13132" i="9"/>
  <c r="B13132" i="9"/>
  <c r="H13131" i="9"/>
  <c r="G13131" i="9"/>
  <c r="E13131" i="9"/>
  <c r="D13131" i="9"/>
  <c r="C13131" i="9"/>
  <c r="B13131" i="9"/>
  <c r="H13130" i="9"/>
  <c r="G13130" i="9"/>
  <c r="E13130" i="9"/>
  <c r="D13130" i="9"/>
  <c r="C13130" i="9"/>
  <c r="B13130" i="9"/>
  <c r="H13129" i="9"/>
  <c r="G13129" i="9"/>
  <c r="E13129" i="9"/>
  <c r="D13129" i="9"/>
  <c r="C13129" i="9"/>
  <c r="B13129" i="9"/>
  <c r="H13128" i="9"/>
  <c r="G13128" i="9"/>
  <c r="E13128" i="9"/>
  <c r="D13128" i="9"/>
  <c r="C13128" i="9"/>
  <c r="B13128" i="9"/>
  <c r="H13127" i="9"/>
  <c r="G13127" i="9"/>
  <c r="E13127" i="9"/>
  <c r="D13127" i="9"/>
  <c r="C13127" i="9"/>
  <c r="B13127" i="9"/>
  <c r="H13126" i="9"/>
  <c r="G13126" i="9"/>
  <c r="E13126" i="9"/>
  <c r="D13126" i="9"/>
  <c r="C13126" i="9"/>
  <c r="B13126" i="9"/>
  <c r="H13125" i="9"/>
  <c r="G13125" i="9"/>
  <c r="E13125" i="9"/>
  <c r="D13125" i="9"/>
  <c r="C13125" i="9"/>
  <c r="B13125" i="9"/>
  <c r="H13124" i="9"/>
  <c r="G13124" i="9"/>
  <c r="E13124" i="9"/>
  <c r="D13124" i="9"/>
  <c r="C13124" i="9"/>
  <c r="B13124" i="9"/>
  <c r="H13123" i="9"/>
  <c r="G13123" i="9"/>
  <c r="E13123" i="9"/>
  <c r="D13123" i="9"/>
  <c r="C13123" i="9"/>
  <c r="B13123" i="9"/>
  <c r="H13122" i="9"/>
  <c r="G13122" i="9"/>
  <c r="E13122" i="9"/>
  <c r="D13122" i="9"/>
  <c r="C13122" i="9"/>
  <c r="B13122" i="9"/>
  <c r="H13121" i="9"/>
  <c r="G13121" i="9"/>
  <c r="E13121" i="9"/>
  <c r="D13121" i="9"/>
  <c r="C13121" i="9"/>
  <c r="B13121" i="9"/>
  <c r="H13120" i="9"/>
  <c r="G13120" i="9"/>
  <c r="E13120" i="9"/>
  <c r="D13120" i="9"/>
  <c r="C13120" i="9"/>
  <c r="B13120" i="9"/>
  <c r="H13119" i="9"/>
  <c r="G13119" i="9"/>
  <c r="E13119" i="9"/>
  <c r="D13119" i="9"/>
  <c r="C13119" i="9"/>
  <c r="B13119" i="9"/>
  <c r="H13118" i="9"/>
  <c r="G13118" i="9"/>
  <c r="E13118" i="9"/>
  <c r="D13118" i="9"/>
  <c r="C13118" i="9"/>
  <c r="B13118" i="9"/>
  <c r="H13117" i="9"/>
  <c r="G13117" i="9"/>
  <c r="E13117" i="9"/>
  <c r="D13117" i="9"/>
  <c r="C13117" i="9"/>
  <c r="B13117" i="9"/>
  <c r="H13116" i="9"/>
  <c r="G13116" i="9"/>
  <c r="E13116" i="9"/>
  <c r="D13116" i="9"/>
  <c r="C13116" i="9"/>
  <c r="B13116" i="9"/>
  <c r="H13115" i="9"/>
  <c r="G13115" i="9"/>
  <c r="E13115" i="9"/>
  <c r="D13115" i="9"/>
  <c r="C13115" i="9"/>
  <c r="B13115" i="9"/>
  <c r="H13114" i="9"/>
  <c r="G13114" i="9"/>
  <c r="E13114" i="9"/>
  <c r="D13114" i="9"/>
  <c r="C13114" i="9"/>
  <c r="B13114" i="9"/>
  <c r="H13113" i="9"/>
  <c r="G13113" i="9"/>
  <c r="E13113" i="9"/>
  <c r="D13113" i="9"/>
  <c r="C13113" i="9"/>
  <c r="B13113" i="9"/>
  <c r="H13112" i="9"/>
  <c r="G13112" i="9"/>
  <c r="E13112" i="9"/>
  <c r="D13112" i="9"/>
  <c r="C13112" i="9"/>
  <c r="B13112" i="9"/>
  <c r="H13111" i="9"/>
  <c r="G13111" i="9"/>
  <c r="E13111" i="9"/>
  <c r="D13111" i="9"/>
  <c r="C13111" i="9"/>
  <c r="B13111" i="9"/>
  <c r="H13110" i="9"/>
  <c r="G13110" i="9"/>
  <c r="E13110" i="9"/>
  <c r="D13110" i="9"/>
  <c r="C13110" i="9"/>
  <c r="B13110" i="9"/>
  <c r="H13109" i="9"/>
  <c r="G13109" i="9"/>
  <c r="E13109" i="9"/>
  <c r="D13109" i="9"/>
  <c r="C13109" i="9"/>
  <c r="B13109" i="9"/>
  <c r="H13108" i="9"/>
  <c r="G13108" i="9"/>
  <c r="E13108" i="9"/>
  <c r="D13108" i="9"/>
  <c r="C13108" i="9"/>
  <c r="B13108" i="9"/>
  <c r="H13107" i="9"/>
  <c r="G13107" i="9"/>
  <c r="E13107" i="9"/>
  <c r="D13107" i="9"/>
  <c r="C13107" i="9"/>
  <c r="B13107" i="9"/>
  <c r="H13106" i="9"/>
  <c r="G13106" i="9"/>
  <c r="E13106" i="9"/>
  <c r="D13106" i="9"/>
  <c r="C13106" i="9"/>
  <c r="B13106" i="9"/>
  <c r="H13105" i="9"/>
  <c r="G13105" i="9"/>
  <c r="E13105" i="9"/>
  <c r="D13105" i="9"/>
  <c r="C13105" i="9"/>
  <c r="B13105" i="9"/>
  <c r="H13104" i="9"/>
  <c r="G13104" i="9"/>
  <c r="E13104" i="9"/>
  <c r="D13104" i="9"/>
  <c r="C13104" i="9"/>
  <c r="B13104" i="9"/>
  <c r="H13103" i="9"/>
  <c r="G13103" i="9"/>
  <c r="E13103" i="9"/>
  <c r="D13103" i="9"/>
  <c r="C13103" i="9"/>
  <c r="B13103" i="9"/>
  <c r="H13102" i="9"/>
  <c r="G13102" i="9"/>
  <c r="E13102" i="9"/>
  <c r="D13102" i="9"/>
  <c r="C13102" i="9"/>
  <c r="B13102" i="9"/>
  <c r="H13101" i="9"/>
  <c r="G13101" i="9"/>
  <c r="E13101" i="9"/>
  <c r="D13101" i="9"/>
  <c r="C13101" i="9"/>
  <c r="B13101" i="9"/>
  <c r="H13100" i="9"/>
  <c r="G13100" i="9"/>
  <c r="E13100" i="9"/>
  <c r="D13100" i="9"/>
  <c r="C13100" i="9"/>
  <c r="B13100" i="9"/>
  <c r="H13099" i="9"/>
  <c r="G13099" i="9"/>
  <c r="E13099" i="9"/>
  <c r="D13099" i="9"/>
  <c r="C13099" i="9"/>
  <c r="B13099" i="9"/>
  <c r="H13098" i="9"/>
  <c r="G13098" i="9"/>
  <c r="E13098" i="9"/>
  <c r="D13098" i="9"/>
  <c r="C13098" i="9"/>
  <c r="B13098" i="9"/>
  <c r="H13097" i="9"/>
  <c r="G13097" i="9"/>
  <c r="E13097" i="9"/>
  <c r="D13097" i="9"/>
  <c r="C13097" i="9"/>
  <c r="B13097" i="9"/>
  <c r="H13096" i="9"/>
  <c r="G13096" i="9"/>
  <c r="E13096" i="9"/>
  <c r="D13096" i="9"/>
  <c r="C13096" i="9"/>
  <c r="B13096" i="9"/>
  <c r="H13095" i="9"/>
  <c r="G13095" i="9"/>
  <c r="E13095" i="9"/>
  <c r="D13095" i="9"/>
  <c r="C13095" i="9"/>
  <c r="B13095" i="9"/>
  <c r="H13094" i="9"/>
  <c r="G13094" i="9"/>
  <c r="E13094" i="9"/>
  <c r="D13094" i="9"/>
  <c r="C13094" i="9"/>
  <c r="B13094" i="9"/>
  <c r="H13093" i="9"/>
  <c r="G13093" i="9"/>
  <c r="E13093" i="9"/>
  <c r="D13093" i="9"/>
  <c r="C13093" i="9"/>
  <c r="B13093" i="9"/>
  <c r="H13092" i="9"/>
  <c r="G13092" i="9"/>
  <c r="E13092" i="9"/>
  <c r="D13092" i="9"/>
  <c r="C13092" i="9"/>
  <c r="B13092" i="9"/>
  <c r="H13091" i="9"/>
  <c r="G13091" i="9"/>
  <c r="E13091" i="9"/>
  <c r="D13091" i="9"/>
  <c r="C13091" i="9"/>
  <c r="B13091" i="9"/>
  <c r="H13090" i="9"/>
  <c r="G13090" i="9"/>
  <c r="E13090" i="9"/>
  <c r="D13090" i="9"/>
  <c r="C13090" i="9"/>
  <c r="B13090" i="9"/>
  <c r="H13089" i="9"/>
  <c r="G13089" i="9"/>
  <c r="E13089" i="9"/>
  <c r="D13089" i="9"/>
  <c r="C13089" i="9"/>
  <c r="B13089" i="9"/>
  <c r="H13088" i="9"/>
  <c r="G13088" i="9"/>
  <c r="E13088" i="9"/>
  <c r="D13088" i="9"/>
  <c r="C13088" i="9"/>
  <c r="B13088" i="9"/>
  <c r="H13087" i="9"/>
  <c r="G13087" i="9"/>
  <c r="E13087" i="9"/>
  <c r="D13087" i="9"/>
  <c r="C13087" i="9"/>
  <c r="B13087" i="9"/>
  <c r="H13086" i="9"/>
  <c r="G13086" i="9"/>
  <c r="E13086" i="9"/>
  <c r="D13086" i="9"/>
  <c r="C13086" i="9"/>
  <c r="B13086" i="9"/>
  <c r="H13085" i="9"/>
  <c r="G13085" i="9"/>
  <c r="E13085" i="9"/>
  <c r="D13085" i="9"/>
  <c r="C13085" i="9"/>
  <c r="B13085" i="9"/>
  <c r="H13084" i="9"/>
  <c r="G13084" i="9"/>
  <c r="E13084" i="9"/>
  <c r="D13084" i="9"/>
  <c r="C13084" i="9"/>
  <c r="B13084" i="9"/>
  <c r="H13083" i="9"/>
  <c r="G13083" i="9"/>
  <c r="E13083" i="9"/>
  <c r="D13083" i="9"/>
  <c r="C13083" i="9"/>
  <c r="B13083" i="9"/>
  <c r="H13082" i="9"/>
  <c r="G13082" i="9"/>
  <c r="E13082" i="9"/>
  <c r="D13082" i="9"/>
  <c r="C13082" i="9"/>
  <c r="B13082" i="9"/>
  <c r="H13081" i="9"/>
  <c r="G13081" i="9"/>
  <c r="E13081" i="9"/>
  <c r="D13081" i="9"/>
  <c r="C13081" i="9"/>
  <c r="B13081" i="9"/>
  <c r="H13080" i="9"/>
  <c r="G13080" i="9"/>
  <c r="E13080" i="9"/>
  <c r="D13080" i="9"/>
  <c r="C13080" i="9"/>
  <c r="B13080" i="9"/>
  <c r="H13079" i="9"/>
  <c r="G13079" i="9"/>
  <c r="E13079" i="9"/>
  <c r="D13079" i="9"/>
  <c r="C13079" i="9"/>
  <c r="B13079" i="9"/>
  <c r="H13078" i="9"/>
  <c r="G13078" i="9"/>
  <c r="E13078" i="9"/>
  <c r="D13078" i="9"/>
  <c r="C13078" i="9"/>
  <c r="B13078" i="9"/>
  <c r="H13077" i="9"/>
  <c r="G13077" i="9"/>
  <c r="E13077" i="9"/>
  <c r="D13077" i="9"/>
  <c r="C13077" i="9"/>
  <c r="B13077" i="9"/>
  <c r="H13076" i="9"/>
  <c r="G13076" i="9"/>
  <c r="E13076" i="9"/>
  <c r="D13076" i="9"/>
  <c r="C13076" i="9"/>
  <c r="B13076" i="9"/>
  <c r="H13075" i="9"/>
  <c r="G13075" i="9"/>
  <c r="E13075" i="9"/>
  <c r="D13075" i="9"/>
  <c r="C13075" i="9"/>
  <c r="B13075" i="9"/>
  <c r="H13074" i="9"/>
  <c r="G13074" i="9"/>
  <c r="E13074" i="9"/>
  <c r="D13074" i="9"/>
  <c r="C13074" i="9"/>
  <c r="B13074" i="9"/>
  <c r="H13073" i="9"/>
  <c r="G13073" i="9"/>
  <c r="E13073" i="9"/>
  <c r="D13073" i="9"/>
  <c r="C13073" i="9"/>
  <c r="B13073" i="9"/>
  <c r="H13072" i="9"/>
  <c r="G13072" i="9"/>
  <c r="E13072" i="9"/>
  <c r="D13072" i="9"/>
  <c r="C13072" i="9"/>
  <c r="B13072" i="9"/>
  <c r="H13071" i="9"/>
  <c r="G13071" i="9"/>
  <c r="E13071" i="9"/>
  <c r="D13071" i="9"/>
  <c r="C13071" i="9"/>
  <c r="B13071" i="9"/>
  <c r="H13070" i="9"/>
  <c r="G13070" i="9"/>
  <c r="E13070" i="9"/>
  <c r="D13070" i="9"/>
  <c r="C13070" i="9"/>
  <c r="B13070" i="9"/>
  <c r="H13069" i="9"/>
  <c r="G13069" i="9"/>
  <c r="E13069" i="9"/>
  <c r="D13069" i="9"/>
  <c r="C13069" i="9"/>
  <c r="B13069" i="9"/>
  <c r="H13068" i="9"/>
  <c r="G13068" i="9"/>
  <c r="E13068" i="9"/>
  <c r="D13068" i="9"/>
  <c r="C13068" i="9"/>
  <c r="B13068" i="9"/>
  <c r="H13067" i="9"/>
  <c r="G13067" i="9"/>
  <c r="E13067" i="9"/>
  <c r="D13067" i="9"/>
  <c r="C13067" i="9"/>
  <c r="B13067" i="9"/>
  <c r="H13066" i="9"/>
  <c r="G13066" i="9"/>
  <c r="E13066" i="9"/>
  <c r="D13066" i="9"/>
  <c r="C13066" i="9"/>
  <c r="B13066" i="9"/>
  <c r="H13065" i="9"/>
  <c r="G13065" i="9"/>
  <c r="E13065" i="9"/>
  <c r="D13065" i="9"/>
  <c r="C13065" i="9"/>
  <c r="B13065" i="9"/>
  <c r="H13064" i="9"/>
  <c r="G13064" i="9"/>
  <c r="E13064" i="9"/>
  <c r="D13064" i="9"/>
  <c r="C13064" i="9"/>
  <c r="B13064" i="9"/>
  <c r="H13063" i="9"/>
  <c r="G13063" i="9"/>
  <c r="E13063" i="9"/>
  <c r="D13063" i="9"/>
  <c r="C13063" i="9"/>
  <c r="B13063" i="9"/>
  <c r="H13062" i="9"/>
  <c r="G13062" i="9"/>
  <c r="E13062" i="9"/>
  <c r="D13062" i="9"/>
  <c r="C13062" i="9"/>
  <c r="B13062" i="9"/>
  <c r="H13061" i="9"/>
  <c r="G13061" i="9"/>
  <c r="E13061" i="9"/>
  <c r="D13061" i="9"/>
  <c r="C13061" i="9"/>
  <c r="B13061" i="9"/>
  <c r="H13060" i="9"/>
  <c r="G13060" i="9"/>
  <c r="E13060" i="9"/>
  <c r="D13060" i="9"/>
  <c r="C13060" i="9"/>
  <c r="B13060" i="9"/>
  <c r="H13059" i="9"/>
  <c r="G13059" i="9"/>
  <c r="E13059" i="9"/>
  <c r="D13059" i="9"/>
  <c r="C13059" i="9"/>
  <c r="B13059" i="9"/>
  <c r="H13058" i="9"/>
  <c r="G13058" i="9"/>
  <c r="E13058" i="9"/>
  <c r="D13058" i="9"/>
  <c r="C13058" i="9"/>
  <c r="B13058" i="9"/>
  <c r="H13057" i="9"/>
  <c r="G13057" i="9"/>
  <c r="E13057" i="9"/>
  <c r="D13057" i="9"/>
  <c r="C13057" i="9"/>
  <c r="B13057" i="9"/>
  <c r="H13056" i="9"/>
  <c r="G13056" i="9"/>
  <c r="E13056" i="9"/>
  <c r="D13056" i="9"/>
  <c r="C13056" i="9"/>
  <c r="B13056" i="9"/>
  <c r="H13055" i="9"/>
  <c r="G13055" i="9"/>
  <c r="E13055" i="9"/>
  <c r="D13055" i="9"/>
  <c r="C13055" i="9"/>
  <c r="B13055" i="9"/>
  <c r="H13054" i="9"/>
  <c r="G13054" i="9"/>
  <c r="E13054" i="9"/>
  <c r="D13054" i="9"/>
  <c r="C13054" i="9"/>
  <c r="B13054" i="9"/>
  <c r="H13053" i="9"/>
  <c r="G13053" i="9"/>
  <c r="E13053" i="9"/>
  <c r="D13053" i="9"/>
  <c r="C13053" i="9"/>
  <c r="B13053" i="9"/>
  <c r="H13052" i="9"/>
  <c r="G13052" i="9"/>
  <c r="E13052" i="9"/>
  <c r="D13052" i="9"/>
  <c r="C13052" i="9"/>
  <c r="B13052" i="9"/>
  <c r="H13051" i="9"/>
  <c r="G13051" i="9"/>
  <c r="E13051" i="9"/>
  <c r="D13051" i="9"/>
  <c r="C13051" i="9"/>
  <c r="B13051" i="9"/>
  <c r="H13050" i="9"/>
  <c r="G13050" i="9"/>
  <c r="E13050" i="9"/>
  <c r="D13050" i="9"/>
  <c r="C13050" i="9"/>
  <c r="B13050" i="9"/>
  <c r="H13049" i="9"/>
  <c r="G13049" i="9"/>
  <c r="E13049" i="9"/>
  <c r="D13049" i="9"/>
  <c r="C13049" i="9"/>
  <c r="B13049" i="9"/>
  <c r="H13048" i="9"/>
  <c r="G13048" i="9"/>
  <c r="E13048" i="9"/>
  <c r="D13048" i="9"/>
  <c r="C13048" i="9"/>
  <c r="B13048" i="9"/>
  <c r="H13047" i="9"/>
  <c r="G13047" i="9"/>
  <c r="E13047" i="9"/>
  <c r="D13047" i="9"/>
  <c r="C13047" i="9"/>
  <c r="B13047" i="9"/>
  <c r="H13046" i="9"/>
  <c r="G13046" i="9"/>
  <c r="E13046" i="9"/>
  <c r="D13046" i="9"/>
  <c r="C13046" i="9"/>
  <c r="B13046" i="9"/>
  <c r="H13045" i="9"/>
  <c r="G13045" i="9"/>
  <c r="E13045" i="9"/>
  <c r="D13045" i="9"/>
  <c r="C13045" i="9"/>
  <c r="B13045" i="9"/>
  <c r="H13044" i="9"/>
  <c r="G13044" i="9"/>
  <c r="E13044" i="9"/>
  <c r="D13044" i="9"/>
  <c r="C13044" i="9"/>
  <c r="B13044" i="9"/>
  <c r="H13043" i="9"/>
  <c r="G13043" i="9"/>
  <c r="E13043" i="9"/>
  <c r="D13043" i="9"/>
  <c r="C13043" i="9"/>
  <c r="B13043" i="9"/>
  <c r="H13042" i="9"/>
  <c r="G13042" i="9"/>
  <c r="E13042" i="9"/>
  <c r="D13042" i="9"/>
  <c r="C13042" i="9"/>
  <c r="B13042" i="9"/>
  <c r="H13041" i="9"/>
  <c r="G13041" i="9"/>
  <c r="E13041" i="9"/>
  <c r="D13041" i="9"/>
  <c r="C13041" i="9"/>
  <c r="B13041" i="9"/>
  <c r="H13040" i="9"/>
  <c r="G13040" i="9"/>
  <c r="E13040" i="9"/>
  <c r="D13040" i="9"/>
  <c r="C13040" i="9"/>
  <c r="B13040" i="9"/>
  <c r="H13039" i="9"/>
  <c r="G13039" i="9"/>
  <c r="E13039" i="9"/>
  <c r="D13039" i="9"/>
  <c r="C13039" i="9"/>
  <c r="B13039" i="9"/>
  <c r="H13038" i="9"/>
  <c r="G13038" i="9"/>
  <c r="E13038" i="9"/>
  <c r="D13038" i="9"/>
  <c r="C13038" i="9"/>
  <c r="B13038" i="9"/>
  <c r="H13037" i="9"/>
  <c r="G13037" i="9"/>
  <c r="E13037" i="9"/>
  <c r="D13037" i="9"/>
  <c r="C13037" i="9"/>
  <c r="B13037" i="9"/>
  <c r="H13036" i="9"/>
  <c r="G13036" i="9"/>
  <c r="E13036" i="9"/>
  <c r="D13036" i="9"/>
  <c r="C13036" i="9"/>
  <c r="B13036" i="9"/>
  <c r="H13035" i="9"/>
  <c r="G13035" i="9"/>
  <c r="E13035" i="9"/>
  <c r="D13035" i="9"/>
  <c r="C13035" i="9"/>
  <c r="B13035" i="9"/>
  <c r="H13034" i="9"/>
  <c r="G13034" i="9"/>
  <c r="E13034" i="9"/>
  <c r="D13034" i="9"/>
  <c r="C13034" i="9"/>
  <c r="B13034" i="9"/>
  <c r="H13033" i="9"/>
  <c r="G13033" i="9"/>
  <c r="E13033" i="9"/>
  <c r="D13033" i="9"/>
  <c r="C13033" i="9"/>
  <c r="B13033" i="9"/>
  <c r="H13032" i="9"/>
  <c r="G13032" i="9"/>
  <c r="E13032" i="9"/>
  <c r="D13032" i="9"/>
  <c r="C13032" i="9"/>
  <c r="B13032" i="9"/>
  <c r="H13031" i="9"/>
  <c r="G13031" i="9"/>
  <c r="E13031" i="9"/>
  <c r="D13031" i="9"/>
  <c r="C13031" i="9"/>
  <c r="B13031" i="9"/>
  <c r="H13030" i="9"/>
  <c r="G13030" i="9"/>
  <c r="E13030" i="9"/>
  <c r="D13030" i="9"/>
  <c r="C13030" i="9"/>
  <c r="B13030" i="9"/>
  <c r="H13029" i="9"/>
  <c r="G13029" i="9"/>
  <c r="E13029" i="9"/>
  <c r="D13029" i="9"/>
  <c r="C13029" i="9"/>
  <c r="B13029" i="9"/>
  <c r="H13028" i="9"/>
  <c r="G13028" i="9"/>
  <c r="E13028" i="9"/>
  <c r="D13028" i="9"/>
  <c r="C13028" i="9"/>
  <c r="B13028" i="9"/>
  <c r="H13027" i="9"/>
  <c r="G13027" i="9"/>
  <c r="E13027" i="9"/>
  <c r="D13027" i="9"/>
  <c r="C13027" i="9"/>
  <c r="B13027" i="9"/>
  <c r="H13026" i="9"/>
  <c r="G13026" i="9"/>
  <c r="E13026" i="9"/>
  <c r="D13026" i="9"/>
  <c r="C13026" i="9"/>
  <c r="B13026" i="9"/>
  <c r="H13025" i="9"/>
  <c r="G13025" i="9"/>
  <c r="E13025" i="9"/>
  <c r="D13025" i="9"/>
  <c r="C13025" i="9"/>
  <c r="B13025" i="9"/>
  <c r="H13024" i="9"/>
  <c r="G13024" i="9"/>
  <c r="E13024" i="9"/>
  <c r="D13024" i="9"/>
  <c r="C13024" i="9"/>
  <c r="B13024" i="9"/>
  <c r="H13023" i="9"/>
  <c r="G13023" i="9"/>
  <c r="E13023" i="9"/>
  <c r="D13023" i="9"/>
  <c r="C13023" i="9"/>
  <c r="B13023" i="9"/>
  <c r="H13022" i="9"/>
  <c r="G13022" i="9"/>
  <c r="E13022" i="9"/>
  <c r="D13022" i="9"/>
  <c r="C13022" i="9"/>
  <c r="B13022" i="9"/>
  <c r="H13021" i="9"/>
  <c r="G13021" i="9"/>
  <c r="E13021" i="9"/>
  <c r="D13021" i="9"/>
  <c r="C13021" i="9"/>
  <c r="B13021" i="9"/>
  <c r="H13020" i="9"/>
  <c r="G13020" i="9"/>
  <c r="E13020" i="9"/>
  <c r="D13020" i="9"/>
  <c r="C13020" i="9"/>
  <c r="B13020" i="9"/>
  <c r="H13019" i="9"/>
  <c r="G13019" i="9"/>
  <c r="E13019" i="9"/>
  <c r="D13019" i="9"/>
  <c r="C13019" i="9"/>
  <c r="B13019" i="9"/>
  <c r="H13018" i="9"/>
  <c r="G13018" i="9"/>
  <c r="E13018" i="9"/>
  <c r="D13018" i="9"/>
  <c r="C13018" i="9"/>
  <c r="B13018" i="9"/>
  <c r="H13017" i="9"/>
  <c r="G13017" i="9"/>
  <c r="E13017" i="9"/>
  <c r="D13017" i="9"/>
  <c r="C13017" i="9"/>
  <c r="B13017" i="9"/>
  <c r="H13016" i="9"/>
  <c r="G13016" i="9"/>
  <c r="E13016" i="9"/>
  <c r="D13016" i="9"/>
  <c r="C13016" i="9"/>
  <c r="B13016" i="9"/>
  <c r="H13015" i="9"/>
  <c r="G13015" i="9"/>
  <c r="E13015" i="9"/>
  <c r="D13015" i="9"/>
  <c r="C13015" i="9"/>
  <c r="B13015" i="9"/>
  <c r="H13014" i="9"/>
  <c r="G13014" i="9"/>
  <c r="E13014" i="9"/>
  <c r="D13014" i="9"/>
  <c r="C13014" i="9"/>
  <c r="B13014" i="9"/>
  <c r="H13013" i="9"/>
  <c r="G13013" i="9"/>
  <c r="E13013" i="9"/>
  <c r="D13013" i="9"/>
  <c r="C13013" i="9"/>
  <c r="B13013" i="9"/>
  <c r="H13012" i="9"/>
  <c r="G13012" i="9"/>
  <c r="E13012" i="9"/>
  <c r="D13012" i="9"/>
  <c r="C13012" i="9"/>
  <c r="B13012" i="9"/>
  <c r="H13011" i="9"/>
  <c r="G13011" i="9"/>
  <c r="E13011" i="9"/>
  <c r="D13011" i="9"/>
  <c r="C13011" i="9"/>
  <c r="B13011" i="9"/>
  <c r="H13010" i="9"/>
  <c r="G13010" i="9"/>
  <c r="E13010" i="9"/>
  <c r="D13010" i="9"/>
  <c r="C13010" i="9"/>
  <c r="B13010" i="9"/>
  <c r="H13009" i="9"/>
  <c r="G13009" i="9"/>
  <c r="E13009" i="9"/>
  <c r="D13009" i="9"/>
  <c r="C13009" i="9"/>
  <c r="B13009" i="9"/>
  <c r="H13008" i="9"/>
  <c r="G13008" i="9"/>
  <c r="E13008" i="9"/>
  <c r="D13008" i="9"/>
  <c r="C13008" i="9"/>
  <c r="B13008" i="9"/>
  <c r="H13007" i="9"/>
  <c r="G13007" i="9"/>
  <c r="E13007" i="9"/>
  <c r="D13007" i="9"/>
  <c r="C13007" i="9"/>
  <c r="B13007" i="9"/>
  <c r="H13006" i="9"/>
  <c r="G13006" i="9"/>
  <c r="E13006" i="9"/>
  <c r="D13006" i="9"/>
  <c r="C13006" i="9"/>
  <c r="B13006" i="9"/>
  <c r="H13005" i="9"/>
  <c r="G13005" i="9"/>
  <c r="E13005" i="9"/>
  <c r="D13005" i="9"/>
  <c r="C13005" i="9"/>
  <c r="B13005" i="9"/>
  <c r="H13004" i="9"/>
  <c r="G13004" i="9"/>
  <c r="E13004" i="9"/>
  <c r="D13004" i="9"/>
  <c r="C13004" i="9"/>
  <c r="B13004" i="9"/>
  <c r="H13003" i="9"/>
  <c r="G13003" i="9"/>
  <c r="E13003" i="9"/>
  <c r="D13003" i="9"/>
  <c r="C13003" i="9"/>
  <c r="B13003" i="9"/>
  <c r="H13002" i="9"/>
  <c r="G13002" i="9"/>
  <c r="E13002" i="9"/>
  <c r="D13002" i="9"/>
  <c r="C13002" i="9"/>
  <c r="B13002" i="9"/>
  <c r="H13001" i="9"/>
  <c r="G13001" i="9"/>
  <c r="E13001" i="9"/>
  <c r="D13001" i="9"/>
  <c r="C13001" i="9"/>
  <c r="B13001" i="9"/>
  <c r="H13000" i="9"/>
  <c r="G13000" i="9"/>
  <c r="E13000" i="9"/>
  <c r="D13000" i="9"/>
  <c r="C13000" i="9"/>
  <c r="B13000" i="9"/>
  <c r="H12999" i="9"/>
  <c r="G12999" i="9"/>
  <c r="E12999" i="9"/>
  <c r="D12999" i="9"/>
  <c r="C12999" i="9"/>
  <c r="B12999" i="9"/>
  <c r="H12998" i="9"/>
  <c r="G12998" i="9"/>
  <c r="E12998" i="9"/>
  <c r="D12998" i="9"/>
  <c r="C12998" i="9"/>
  <c r="B12998" i="9"/>
  <c r="H12997" i="9"/>
  <c r="G12997" i="9"/>
  <c r="E12997" i="9"/>
  <c r="D12997" i="9"/>
  <c r="C12997" i="9"/>
  <c r="B12997" i="9"/>
  <c r="H12996" i="9"/>
  <c r="G12996" i="9"/>
  <c r="E12996" i="9"/>
  <c r="D12996" i="9"/>
  <c r="C12996" i="9"/>
  <c r="B12996" i="9"/>
  <c r="H12995" i="9"/>
  <c r="G12995" i="9"/>
  <c r="E12995" i="9"/>
  <c r="D12995" i="9"/>
  <c r="C12995" i="9"/>
  <c r="B12995" i="9"/>
  <c r="H12994" i="9"/>
  <c r="G12994" i="9"/>
  <c r="E12994" i="9"/>
  <c r="D12994" i="9"/>
  <c r="C12994" i="9"/>
  <c r="B12994" i="9"/>
  <c r="H12993" i="9"/>
  <c r="G12993" i="9"/>
  <c r="E12993" i="9"/>
  <c r="D12993" i="9"/>
  <c r="C12993" i="9"/>
  <c r="B12993" i="9"/>
  <c r="H12992" i="9"/>
  <c r="G12992" i="9"/>
  <c r="E12992" i="9"/>
  <c r="D12992" i="9"/>
  <c r="C12992" i="9"/>
  <c r="B12992" i="9"/>
  <c r="H12991" i="9"/>
  <c r="G12991" i="9"/>
  <c r="E12991" i="9"/>
  <c r="D12991" i="9"/>
  <c r="C12991" i="9"/>
  <c r="B12991" i="9"/>
  <c r="H12990" i="9"/>
  <c r="G12990" i="9"/>
  <c r="E12990" i="9"/>
  <c r="D12990" i="9"/>
  <c r="C12990" i="9"/>
  <c r="B12990" i="9"/>
  <c r="H12989" i="9"/>
  <c r="G12989" i="9"/>
  <c r="E12989" i="9"/>
  <c r="D12989" i="9"/>
  <c r="C12989" i="9"/>
  <c r="B12989" i="9"/>
  <c r="H12988" i="9"/>
  <c r="G12988" i="9"/>
  <c r="E12988" i="9"/>
  <c r="D12988" i="9"/>
  <c r="C12988" i="9"/>
  <c r="B12988" i="9"/>
  <c r="H12987" i="9"/>
  <c r="G12987" i="9"/>
  <c r="E12987" i="9"/>
  <c r="D12987" i="9"/>
  <c r="C12987" i="9"/>
  <c r="B12987" i="9"/>
  <c r="H12986" i="9"/>
  <c r="G12986" i="9"/>
  <c r="E12986" i="9"/>
  <c r="D12986" i="9"/>
  <c r="C12986" i="9"/>
  <c r="B12986" i="9"/>
  <c r="H12985" i="9"/>
  <c r="G12985" i="9"/>
  <c r="E12985" i="9"/>
  <c r="D12985" i="9"/>
  <c r="C12985" i="9"/>
  <c r="B12985" i="9"/>
  <c r="H12984" i="9"/>
  <c r="G12984" i="9"/>
  <c r="E12984" i="9"/>
  <c r="D12984" i="9"/>
  <c r="C12984" i="9"/>
  <c r="B12984" i="9"/>
  <c r="H12983" i="9"/>
  <c r="G12983" i="9"/>
  <c r="E12983" i="9"/>
  <c r="D12983" i="9"/>
  <c r="C12983" i="9"/>
  <c r="B12983" i="9"/>
  <c r="H12982" i="9"/>
  <c r="G12982" i="9"/>
  <c r="E12982" i="9"/>
  <c r="D12982" i="9"/>
  <c r="C12982" i="9"/>
  <c r="B12982" i="9"/>
  <c r="H12981" i="9"/>
  <c r="G12981" i="9"/>
  <c r="E12981" i="9"/>
  <c r="D12981" i="9"/>
  <c r="C12981" i="9"/>
  <c r="B12981" i="9"/>
  <c r="H12980" i="9"/>
  <c r="G12980" i="9"/>
  <c r="E12980" i="9"/>
  <c r="D12980" i="9"/>
  <c r="C12980" i="9"/>
  <c r="B12980" i="9"/>
  <c r="H12979" i="9"/>
  <c r="G12979" i="9"/>
  <c r="E12979" i="9"/>
  <c r="D12979" i="9"/>
  <c r="C12979" i="9"/>
  <c r="B12979" i="9"/>
  <c r="H12978" i="9"/>
  <c r="G12978" i="9"/>
  <c r="E12978" i="9"/>
  <c r="D12978" i="9"/>
  <c r="C12978" i="9"/>
  <c r="B12978" i="9"/>
  <c r="H12977" i="9"/>
  <c r="G12977" i="9"/>
  <c r="E12977" i="9"/>
  <c r="D12977" i="9"/>
  <c r="C12977" i="9"/>
  <c r="B12977" i="9"/>
  <c r="H12976" i="9"/>
  <c r="G12976" i="9"/>
  <c r="E12976" i="9"/>
  <c r="D12976" i="9"/>
  <c r="C12976" i="9"/>
  <c r="B12976" i="9"/>
  <c r="H12975" i="9"/>
  <c r="G12975" i="9"/>
  <c r="E12975" i="9"/>
  <c r="D12975" i="9"/>
  <c r="C12975" i="9"/>
  <c r="B12975" i="9"/>
  <c r="H12974" i="9"/>
  <c r="G12974" i="9"/>
  <c r="E12974" i="9"/>
  <c r="D12974" i="9"/>
  <c r="C12974" i="9"/>
  <c r="B12974" i="9"/>
  <c r="H12973" i="9"/>
  <c r="G12973" i="9"/>
  <c r="E12973" i="9"/>
  <c r="D12973" i="9"/>
  <c r="C12973" i="9"/>
  <c r="B12973" i="9"/>
  <c r="H12972" i="9"/>
  <c r="G12972" i="9"/>
  <c r="E12972" i="9"/>
  <c r="D12972" i="9"/>
  <c r="C12972" i="9"/>
  <c r="B12972" i="9"/>
  <c r="H12971" i="9"/>
  <c r="G12971" i="9"/>
  <c r="E12971" i="9"/>
  <c r="D12971" i="9"/>
  <c r="C12971" i="9"/>
  <c r="B12971" i="9"/>
  <c r="H12970" i="9"/>
  <c r="G12970" i="9"/>
  <c r="E12970" i="9"/>
  <c r="D12970" i="9"/>
  <c r="C12970" i="9"/>
  <c r="B12970" i="9"/>
  <c r="H12969" i="9"/>
  <c r="G12969" i="9"/>
  <c r="E12969" i="9"/>
  <c r="D12969" i="9"/>
  <c r="C12969" i="9"/>
  <c r="B12969" i="9"/>
  <c r="H12968" i="9"/>
  <c r="G12968" i="9"/>
  <c r="E12968" i="9"/>
  <c r="D12968" i="9"/>
  <c r="C12968" i="9"/>
  <c r="B12968" i="9"/>
  <c r="H12967" i="9"/>
  <c r="G12967" i="9"/>
  <c r="E12967" i="9"/>
  <c r="D12967" i="9"/>
  <c r="C12967" i="9"/>
  <c r="B12967" i="9"/>
  <c r="H12966" i="9"/>
  <c r="G12966" i="9"/>
  <c r="E12966" i="9"/>
  <c r="D12966" i="9"/>
  <c r="C12966" i="9"/>
  <c r="B12966" i="9"/>
  <c r="H12965" i="9"/>
  <c r="G12965" i="9"/>
  <c r="E12965" i="9"/>
  <c r="D12965" i="9"/>
  <c r="C12965" i="9"/>
  <c r="B12965" i="9"/>
  <c r="H12964" i="9"/>
  <c r="G12964" i="9"/>
  <c r="E12964" i="9"/>
  <c r="D12964" i="9"/>
  <c r="C12964" i="9"/>
  <c r="B12964" i="9"/>
  <c r="H12963" i="9"/>
  <c r="G12963" i="9"/>
  <c r="E12963" i="9"/>
  <c r="D12963" i="9"/>
  <c r="C12963" i="9"/>
  <c r="B12963" i="9"/>
  <c r="H12962" i="9"/>
  <c r="G12962" i="9"/>
  <c r="E12962" i="9"/>
  <c r="D12962" i="9"/>
  <c r="C12962" i="9"/>
  <c r="B12962" i="9"/>
  <c r="H12961" i="9"/>
  <c r="G12961" i="9"/>
  <c r="E12961" i="9"/>
  <c r="D12961" i="9"/>
  <c r="C12961" i="9"/>
  <c r="B12961" i="9"/>
  <c r="H12960" i="9"/>
  <c r="G12960" i="9"/>
  <c r="E12960" i="9"/>
  <c r="D12960" i="9"/>
  <c r="C12960" i="9"/>
  <c r="B12960" i="9"/>
  <c r="H12959" i="9"/>
  <c r="G12959" i="9"/>
  <c r="E12959" i="9"/>
  <c r="D12959" i="9"/>
  <c r="C12959" i="9"/>
  <c r="B12959" i="9"/>
  <c r="H12958" i="9"/>
  <c r="G12958" i="9"/>
  <c r="E12958" i="9"/>
  <c r="D12958" i="9"/>
  <c r="C12958" i="9"/>
  <c r="B12958" i="9"/>
  <c r="H12957" i="9"/>
  <c r="G12957" i="9"/>
  <c r="E12957" i="9"/>
  <c r="D12957" i="9"/>
  <c r="C12957" i="9"/>
  <c r="B12957" i="9"/>
  <c r="H12956" i="9"/>
  <c r="G12956" i="9"/>
  <c r="E12956" i="9"/>
  <c r="D12956" i="9"/>
  <c r="C12956" i="9"/>
  <c r="B12956" i="9"/>
  <c r="H12955" i="9"/>
  <c r="G12955" i="9"/>
  <c r="E12955" i="9"/>
  <c r="D12955" i="9"/>
  <c r="C12955" i="9"/>
  <c r="B12955" i="9"/>
  <c r="H12954" i="9"/>
  <c r="G12954" i="9"/>
  <c r="E12954" i="9"/>
  <c r="D12954" i="9"/>
  <c r="C12954" i="9"/>
  <c r="B12954" i="9"/>
  <c r="H12953" i="9"/>
  <c r="G12953" i="9"/>
  <c r="E12953" i="9"/>
  <c r="D12953" i="9"/>
  <c r="C12953" i="9"/>
  <c r="B12953" i="9"/>
  <c r="H12952" i="9"/>
  <c r="G12952" i="9"/>
  <c r="E12952" i="9"/>
  <c r="D12952" i="9"/>
  <c r="C12952" i="9"/>
  <c r="B12952" i="9"/>
  <c r="H12951" i="9"/>
  <c r="G12951" i="9"/>
  <c r="E12951" i="9"/>
  <c r="D12951" i="9"/>
  <c r="C12951" i="9"/>
  <c r="B12951" i="9"/>
  <c r="H12950" i="9"/>
  <c r="G12950" i="9"/>
  <c r="E12950" i="9"/>
  <c r="D12950" i="9"/>
  <c r="C12950" i="9"/>
  <c r="B12950" i="9"/>
  <c r="H12949" i="9"/>
  <c r="G12949" i="9"/>
  <c r="E12949" i="9"/>
  <c r="D12949" i="9"/>
  <c r="C12949" i="9"/>
  <c r="B12949" i="9"/>
  <c r="H12948" i="9"/>
  <c r="G12948" i="9"/>
  <c r="E12948" i="9"/>
  <c r="D12948" i="9"/>
  <c r="C12948" i="9"/>
  <c r="B12948" i="9"/>
  <c r="H12947" i="9"/>
  <c r="G12947" i="9"/>
  <c r="E12947" i="9"/>
  <c r="D12947" i="9"/>
  <c r="C12947" i="9"/>
  <c r="B12947" i="9"/>
  <c r="H12946" i="9"/>
  <c r="G12946" i="9"/>
  <c r="E12946" i="9"/>
  <c r="D12946" i="9"/>
  <c r="C12946" i="9"/>
  <c r="B12946" i="9"/>
  <c r="H12945" i="9"/>
  <c r="G12945" i="9"/>
  <c r="E12945" i="9"/>
  <c r="D12945" i="9"/>
  <c r="C12945" i="9"/>
  <c r="B12945" i="9"/>
  <c r="H12944" i="9"/>
  <c r="G12944" i="9"/>
  <c r="E12944" i="9"/>
  <c r="D12944" i="9"/>
  <c r="C12944" i="9"/>
  <c r="B12944" i="9"/>
  <c r="H12943" i="9"/>
  <c r="G12943" i="9"/>
  <c r="E12943" i="9"/>
  <c r="D12943" i="9"/>
  <c r="C12943" i="9"/>
  <c r="B12943" i="9"/>
  <c r="H12942" i="9"/>
  <c r="G12942" i="9"/>
  <c r="E12942" i="9"/>
  <c r="D12942" i="9"/>
  <c r="C12942" i="9"/>
  <c r="B12942" i="9"/>
  <c r="H12941" i="9"/>
  <c r="G12941" i="9"/>
  <c r="E12941" i="9"/>
  <c r="D12941" i="9"/>
  <c r="C12941" i="9"/>
  <c r="B12941" i="9"/>
  <c r="H12940" i="9"/>
  <c r="G12940" i="9"/>
  <c r="E12940" i="9"/>
  <c r="D12940" i="9"/>
  <c r="C12940" i="9"/>
  <c r="B12940" i="9"/>
  <c r="H12939" i="9"/>
  <c r="G12939" i="9"/>
  <c r="E12939" i="9"/>
  <c r="D12939" i="9"/>
  <c r="C12939" i="9"/>
  <c r="B12939" i="9"/>
  <c r="H12938" i="9"/>
  <c r="G12938" i="9"/>
  <c r="E12938" i="9"/>
  <c r="D12938" i="9"/>
  <c r="C12938" i="9"/>
  <c r="B12938" i="9"/>
  <c r="H12937" i="9"/>
  <c r="G12937" i="9"/>
  <c r="E12937" i="9"/>
  <c r="D12937" i="9"/>
  <c r="C12937" i="9"/>
  <c r="B12937" i="9"/>
  <c r="H12936" i="9"/>
  <c r="G12936" i="9"/>
  <c r="E12936" i="9"/>
  <c r="D12936" i="9"/>
  <c r="C12936" i="9"/>
  <c r="B12936" i="9"/>
  <c r="H12935" i="9"/>
  <c r="G12935" i="9"/>
  <c r="E12935" i="9"/>
  <c r="D12935" i="9"/>
  <c r="C12935" i="9"/>
  <c r="B12935" i="9"/>
  <c r="H12934" i="9"/>
  <c r="G12934" i="9"/>
  <c r="E12934" i="9"/>
  <c r="D12934" i="9"/>
  <c r="C12934" i="9"/>
  <c r="B12934" i="9"/>
  <c r="H12933" i="9"/>
  <c r="G12933" i="9"/>
  <c r="E12933" i="9"/>
  <c r="D12933" i="9"/>
  <c r="C12933" i="9"/>
  <c r="B12933" i="9"/>
  <c r="H12932" i="9"/>
  <c r="G12932" i="9"/>
  <c r="E12932" i="9"/>
  <c r="D12932" i="9"/>
  <c r="C12932" i="9"/>
  <c r="B12932" i="9"/>
  <c r="H12931" i="9"/>
  <c r="G12931" i="9"/>
  <c r="E12931" i="9"/>
  <c r="D12931" i="9"/>
  <c r="C12931" i="9"/>
  <c r="B12931" i="9"/>
  <c r="H12930" i="9"/>
  <c r="G12930" i="9"/>
  <c r="E12930" i="9"/>
  <c r="D12930" i="9"/>
  <c r="C12930" i="9"/>
  <c r="B12930" i="9"/>
  <c r="H12929" i="9"/>
  <c r="G12929" i="9"/>
  <c r="E12929" i="9"/>
  <c r="D12929" i="9"/>
  <c r="C12929" i="9"/>
  <c r="B12929" i="9"/>
  <c r="H12928" i="9"/>
  <c r="G12928" i="9"/>
  <c r="E12928" i="9"/>
  <c r="D12928" i="9"/>
  <c r="C12928" i="9"/>
  <c r="B12928" i="9"/>
  <c r="H12927" i="9"/>
  <c r="G12927" i="9"/>
  <c r="E12927" i="9"/>
  <c r="D12927" i="9"/>
  <c r="C12927" i="9"/>
  <c r="B12927" i="9"/>
  <c r="H12926" i="9"/>
  <c r="G12926" i="9"/>
  <c r="E12926" i="9"/>
  <c r="D12926" i="9"/>
  <c r="C12926" i="9"/>
  <c r="B12926" i="9"/>
  <c r="H12925" i="9"/>
  <c r="G12925" i="9"/>
  <c r="E12925" i="9"/>
  <c r="D12925" i="9"/>
  <c r="C12925" i="9"/>
  <c r="B12925" i="9"/>
  <c r="H12924" i="9"/>
  <c r="G12924" i="9"/>
  <c r="E12924" i="9"/>
  <c r="D12924" i="9"/>
  <c r="C12924" i="9"/>
  <c r="B12924" i="9"/>
  <c r="H12923" i="9"/>
  <c r="G12923" i="9"/>
  <c r="E12923" i="9"/>
  <c r="D12923" i="9"/>
  <c r="C12923" i="9"/>
  <c r="B12923" i="9"/>
  <c r="H12922" i="9"/>
  <c r="G12922" i="9"/>
  <c r="E12922" i="9"/>
  <c r="D12922" i="9"/>
  <c r="C12922" i="9"/>
  <c r="B12922" i="9"/>
  <c r="H12921" i="9"/>
  <c r="G12921" i="9"/>
  <c r="E12921" i="9"/>
  <c r="D12921" i="9"/>
  <c r="C12921" i="9"/>
  <c r="B12921" i="9"/>
  <c r="H12920" i="9"/>
  <c r="G12920" i="9"/>
  <c r="E12920" i="9"/>
  <c r="D12920" i="9"/>
  <c r="C12920" i="9"/>
  <c r="B12920" i="9"/>
  <c r="H12919" i="9"/>
  <c r="G12919" i="9"/>
  <c r="E12919" i="9"/>
  <c r="D12919" i="9"/>
  <c r="C12919" i="9"/>
  <c r="B12919" i="9"/>
  <c r="H12918" i="9"/>
  <c r="G12918" i="9"/>
  <c r="E12918" i="9"/>
  <c r="D12918" i="9"/>
  <c r="C12918" i="9"/>
  <c r="B12918" i="9"/>
  <c r="H12917" i="9"/>
  <c r="G12917" i="9"/>
  <c r="E12917" i="9"/>
  <c r="D12917" i="9"/>
  <c r="C12917" i="9"/>
  <c r="B12917" i="9"/>
  <c r="H12916" i="9"/>
  <c r="G12916" i="9"/>
  <c r="E12916" i="9"/>
  <c r="D12916" i="9"/>
  <c r="C12916" i="9"/>
  <c r="B12916" i="9"/>
  <c r="H12915" i="9"/>
  <c r="G12915" i="9"/>
  <c r="E12915" i="9"/>
  <c r="D12915" i="9"/>
  <c r="C12915" i="9"/>
  <c r="B12915" i="9"/>
  <c r="H12914" i="9"/>
  <c r="G12914" i="9"/>
  <c r="E12914" i="9"/>
  <c r="D12914" i="9"/>
  <c r="C12914" i="9"/>
  <c r="B12914" i="9"/>
  <c r="H12913" i="9"/>
  <c r="G12913" i="9"/>
  <c r="E12913" i="9"/>
  <c r="D12913" i="9"/>
  <c r="C12913" i="9"/>
  <c r="B12913" i="9"/>
  <c r="H12912" i="9"/>
  <c r="G12912" i="9"/>
  <c r="E12912" i="9"/>
  <c r="D12912" i="9"/>
  <c r="C12912" i="9"/>
  <c r="B12912" i="9"/>
  <c r="H12911" i="9"/>
  <c r="G12911" i="9"/>
  <c r="E12911" i="9"/>
  <c r="D12911" i="9"/>
  <c r="C12911" i="9"/>
  <c r="B12911" i="9"/>
  <c r="H12910" i="9"/>
  <c r="G12910" i="9"/>
  <c r="E12910" i="9"/>
  <c r="D12910" i="9"/>
  <c r="C12910" i="9"/>
  <c r="B12910" i="9"/>
  <c r="H12909" i="9"/>
  <c r="G12909" i="9"/>
  <c r="E12909" i="9"/>
  <c r="D12909" i="9"/>
  <c r="C12909" i="9"/>
  <c r="B12909" i="9"/>
  <c r="H12908" i="9"/>
  <c r="G12908" i="9"/>
  <c r="E12908" i="9"/>
  <c r="D12908" i="9"/>
  <c r="C12908" i="9"/>
  <c r="B12908" i="9"/>
  <c r="H12907" i="9"/>
  <c r="G12907" i="9"/>
  <c r="E12907" i="9"/>
  <c r="D12907" i="9"/>
  <c r="C12907" i="9"/>
  <c r="B12907" i="9"/>
  <c r="H12906" i="9"/>
  <c r="G12906" i="9"/>
  <c r="E12906" i="9"/>
  <c r="D12906" i="9"/>
  <c r="C12906" i="9"/>
  <c r="B12906" i="9"/>
  <c r="H12905" i="9"/>
  <c r="G12905" i="9"/>
  <c r="E12905" i="9"/>
  <c r="D12905" i="9"/>
  <c r="C12905" i="9"/>
  <c r="B12905" i="9"/>
  <c r="H12904" i="9"/>
  <c r="G12904" i="9"/>
  <c r="E12904" i="9"/>
  <c r="D12904" i="9"/>
  <c r="C12904" i="9"/>
  <c r="B12904" i="9"/>
  <c r="H12903" i="9"/>
  <c r="G12903" i="9"/>
  <c r="E12903" i="9"/>
  <c r="D12903" i="9"/>
  <c r="C12903" i="9"/>
  <c r="B12903" i="9"/>
  <c r="H12902" i="9"/>
  <c r="G12902" i="9"/>
  <c r="E12902" i="9"/>
  <c r="D12902" i="9"/>
  <c r="C12902" i="9"/>
  <c r="B12902" i="9"/>
  <c r="H12901" i="9"/>
  <c r="G12901" i="9"/>
  <c r="E12901" i="9"/>
  <c r="D12901" i="9"/>
  <c r="C12901" i="9"/>
  <c r="B12901" i="9"/>
  <c r="H12900" i="9"/>
  <c r="G12900" i="9"/>
  <c r="E12900" i="9"/>
  <c r="D12900" i="9"/>
  <c r="C12900" i="9"/>
  <c r="B12900" i="9"/>
  <c r="H12899" i="9"/>
  <c r="G12899" i="9"/>
  <c r="E12899" i="9"/>
  <c r="D12899" i="9"/>
  <c r="C12899" i="9"/>
  <c r="B12899" i="9"/>
  <c r="H12898" i="9"/>
  <c r="G12898" i="9"/>
  <c r="E12898" i="9"/>
  <c r="D12898" i="9"/>
  <c r="C12898" i="9"/>
  <c r="B12898" i="9"/>
  <c r="H12897" i="9"/>
  <c r="G12897" i="9"/>
  <c r="E12897" i="9"/>
  <c r="D12897" i="9"/>
  <c r="C12897" i="9"/>
  <c r="B12897" i="9"/>
  <c r="H12896" i="9"/>
  <c r="G12896" i="9"/>
  <c r="E12896" i="9"/>
  <c r="D12896" i="9"/>
  <c r="C12896" i="9"/>
  <c r="B12896" i="9"/>
  <c r="H12895" i="9"/>
  <c r="G12895" i="9"/>
  <c r="E12895" i="9"/>
  <c r="D12895" i="9"/>
  <c r="C12895" i="9"/>
  <c r="B12895" i="9"/>
  <c r="H12894" i="9"/>
  <c r="G12894" i="9"/>
  <c r="E12894" i="9"/>
  <c r="D12894" i="9"/>
  <c r="C12894" i="9"/>
  <c r="B12894" i="9"/>
  <c r="H12893" i="9"/>
  <c r="G12893" i="9"/>
  <c r="E12893" i="9"/>
  <c r="D12893" i="9"/>
  <c r="C12893" i="9"/>
  <c r="B12893" i="9"/>
  <c r="H12892" i="9"/>
  <c r="G12892" i="9"/>
  <c r="E12892" i="9"/>
  <c r="D12892" i="9"/>
  <c r="C12892" i="9"/>
  <c r="B12892" i="9"/>
  <c r="H12891" i="9"/>
  <c r="G12891" i="9"/>
  <c r="E12891" i="9"/>
  <c r="D12891" i="9"/>
  <c r="C12891" i="9"/>
  <c r="B12891" i="9"/>
  <c r="H12890" i="9"/>
  <c r="G12890" i="9"/>
  <c r="E12890" i="9"/>
  <c r="D12890" i="9"/>
  <c r="C12890" i="9"/>
  <c r="B12890" i="9"/>
  <c r="H12889" i="9"/>
  <c r="G12889" i="9"/>
  <c r="E12889" i="9"/>
  <c r="D12889" i="9"/>
  <c r="C12889" i="9"/>
  <c r="B12889" i="9"/>
  <c r="H12888" i="9"/>
  <c r="G12888" i="9"/>
  <c r="E12888" i="9"/>
  <c r="D12888" i="9"/>
  <c r="C12888" i="9"/>
  <c r="B12888" i="9"/>
  <c r="H12887" i="9"/>
  <c r="G12887" i="9"/>
  <c r="E12887" i="9"/>
  <c r="D12887" i="9"/>
  <c r="C12887" i="9"/>
  <c r="B12887" i="9"/>
  <c r="H12886" i="9"/>
  <c r="G12886" i="9"/>
  <c r="E12886" i="9"/>
  <c r="D12886" i="9"/>
  <c r="C12886" i="9"/>
  <c r="B12886" i="9"/>
  <c r="H12885" i="9"/>
  <c r="G12885" i="9"/>
  <c r="E12885" i="9"/>
  <c r="D12885" i="9"/>
  <c r="C12885" i="9"/>
  <c r="B12885" i="9"/>
  <c r="H12884" i="9"/>
  <c r="G12884" i="9"/>
  <c r="E12884" i="9"/>
  <c r="D12884" i="9"/>
  <c r="C12884" i="9"/>
  <c r="B12884" i="9"/>
  <c r="H12883" i="9"/>
  <c r="G12883" i="9"/>
  <c r="E12883" i="9"/>
  <c r="D12883" i="9"/>
  <c r="C12883" i="9"/>
  <c r="B12883" i="9"/>
  <c r="H12882" i="9"/>
  <c r="G12882" i="9"/>
  <c r="E12882" i="9"/>
  <c r="D12882" i="9"/>
  <c r="C12882" i="9"/>
  <c r="B12882" i="9"/>
  <c r="H12881" i="9"/>
  <c r="G12881" i="9"/>
  <c r="E12881" i="9"/>
  <c r="D12881" i="9"/>
  <c r="C12881" i="9"/>
  <c r="B12881" i="9"/>
  <c r="H12880" i="9"/>
  <c r="G12880" i="9"/>
  <c r="E12880" i="9"/>
  <c r="D12880" i="9"/>
  <c r="C12880" i="9"/>
  <c r="B12880" i="9"/>
  <c r="H12879" i="9"/>
  <c r="G12879" i="9"/>
  <c r="E12879" i="9"/>
  <c r="D12879" i="9"/>
  <c r="C12879" i="9"/>
  <c r="B12879" i="9"/>
  <c r="H12878" i="9"/>
  <c r="G12878" i="9"/>
  <c r="E12878" i="9"/>
  <c r="D12878" i="9"/>
  <c r="C12878" i="9"/>
  <c r="B12878" i="9"/>
  <c r="H12877" i="9"/>
  <c r="G12877" i="9"/>
  <c r="E12877" i="9"/>
  <c r="D12877" i="9"/>
  <c r="C12877" i="9"/>
  <c r="B12877" i="9"/>
  <c r="H12876" i="9"/>
  <c r="G12876" i="9"/>
  <c r="E12876" i="9"/>
  <c r="D12876" i="9"/>
  <c r="C12876" i="9"/>
  <c r="B12876" i="9"/>
  <c r="H12875" i="9"/>
  <c r="G12875" i="9"/>
  <c r="E12875" i="9"/>
  <c r="D12875" i="9"/>
  <c r="C12875" i="9"/>
  <c r="B12875" i="9"/>
  <c r="H12874" i="9"/>
  <c r="G12874" i="9"/>
  <c r="E12874" i="9"/>
  <c r="D12874" i="9"/>
  <c r="C12874" i="9"/>
  <c r="B12874" i="9"/>
  <c r="H12873" i="9"/>
  <c r="G12873" i="9"/>
  <c r="E12873" i="9"/>
  <c r="D12873" i="9"/>
  <c r="C12873" i="9"/>
  <c r="B12873" i="9"/>
  <c r="H12872" i="9"/>
  <c r="G12872" i="9"/>
  <c r="E12872" i="9"/>
  <c r="D12872" i="9"/>
  <c r="C12872" i="9"/>
  <c r="B12872" i="9"/>
  <c r="H12871" i="9"/>
  <c r="G12871" i="9"/>
  <c r="E12871" i="9"/>
  <c r="D12871" i="9"/>
  <c r="C12871" i="9"/>
  <c r="B12871" i="9"/>
  <c r="H12870" i="9"/>
  <c r="G12870" i="9"/>
  <c r="E12870" i="9"/>
  <c r="D12870" i="9"/>
  <c r="C12870" i="9"/>
  <c r="B12870" i="9"/>
  <c r="H12869" i="9"/>
  <c r="G12869" i="9"/>
  <c r="E12869" i="9"/>
  <c r="D12869" i="9"/>
  <c r="C12869" i="9"/>
  <c r="B12869" i="9"/>
  <c r="H12868" i="9"/>
  <c r="G12868" i="9"/>
  <c r="E12868" i="9"/>
  <c r="D12868" i="9"/>
  <c r="C12868" i="9"/>
  <c r="B12868" i="9"/>
  <c r="H12867" i="9"/>
  <c r="G12867" i="9"/>
  <c r="E12867" i="9"/>
  <c r="D12867" i="9"/>
  <c r="C12867" i="9"/>
  <c r="B12867" i="9"/>
  <c r="H12866" i="9"/>
  <c r="G12866" i="9"/>
  <c r="E12866" i="9"/>
  <c r="D12866" i="9"/>
  <c r="C12866" i="9"/>
  <c r="B12866" i="9"/>
  <c r="H12865" i="9"/>
  <c r="G12865" i="9"/>
  <c r="E12865" i="9"/>
  <c r="D12865" i="9"/>
  <c r="C12865" i="9"/>
  <c r="B12865" i="9"/>
  <c r="H12864" i="9"/>
  <c r="G12864" i="9"/>
  <c r="E12864" i="9"/>
  <c r="D12864" i="9"/>
  <c r="C12864" i="9"/>
  <c r="B12864" i="9"/>
  <c r="H12863" i="9"/>
  <c r="G12863" i="9"/>
  <c r="E12863" i="9"/>
  <c r="D12863" i="9"/>
  <c r="C12863" i="9"/>
  <c r="B12863" i="9"/>
  <c r="H12862" i="9"/>
  <c r="G12862" i="9"/>
  <c r="E12862" i="9"/>
  <c r="D12862" i="9"/>
  <c r="C12862" i="9"/>
  <c r="B12862" i="9"/>
  <c r="H12861" i="9"/>
  <c r="G12861" i="9"/>
  <c r="E12861" i="9"/>
  <c r="D12861" i="9"/>
  <c r="C12861" i="9"/>
  <c r="B12861" i="9"/>
  <c r="H12860" i="9"/>
  <c r="G12860" i="9"/>
  <c r="E12860" i="9"/>
  <c r="D12860" i="9"/>
  <c r="C12860" i="9"/>
  <c r="B12860" i="9"/>
  <c r="H12859" i="9"/>
  <c r="G12859" i="9"/>
  <c r="E12859" i="9"/>
  <c r="D12859" i="9"/>
  <c r="C12859" i="9"/>
  <c r="B12859" i="9"/>
  <c r="H12858" i="9"/>
  <c r="G12858" i="9"/>
  <c r="E12858" i="9"/>
  <c r="D12858" i="9"/>
  <c r="C12858" i="9"/>
  <c r="B12858" i="9"/>
  <c r="H12857" i="9"/>
  <c r="G12857" i="9"/>
  <c r="E12857" i="9"/>
  <c r="D12857" i="9"/>
  <c r="C12857" i="9"/>
  <c r="B12857" i="9"/>
  <c r="H12856" i="9"/>
  <c r="G12856" i="9"/>
  <c r="E12856" i="9"/>
  <c r="D12856" i="9"/>
  <c r="C12856" i="9"/>
  <c r="B12856" i="9"/>
  <c r="H12855" i="9"/>
  <c r="G12855" i="9"/>
  <c r="E12855" i="9"/>
  <c r="D12855" i="9"/>
  <c r="C12855" i="9"/>
  <c r="B12855" i="9"/>
  <c r="H12854" i="9"/>
  <c r="G12854" i="9"/>
  <c r="E12854" i="9"/>
  <c r="D12854" i="9"/>
  <c r="C12854" i="9"/>
  <c r="B12854" i="9"/>
  <c r="H12853" i="9"/>
  <c r="G12853" i="9"/>
  <c r="E12853" i="9"/>
  <c r="D12853" i="9"/>
  <c r="C12853" i="9"/>
  <c r="B12853" i="9"/>
  <c r="H12852" i="9"/>
  <c r="G12852" i="9"/>
  <c r="E12852" i="9"/>
  <c r="D12852" i="9"/>
  <c r="C12852" i="9"/>
  <c r="B12852" i="9"/>
  <c r="H12851" i="9"/>
  <c r="G12851" i="9"/>
  <c r="E12851" i="9"/>
  <c r="D12851" i="9"/>
  <c r="C12851" i="9"/>
  <c r="B12851" i="9"/>
  <c r="H12850" i="9"/>
  <c r="G12850" i="9"/>
  <c r="E12850" i="9"/>
  <c r="D12850" i="9"/>
  <c r="C12850" i="9"/>
  <c r="B12850" i="9"/>
  <c r="H12849" i="9"/>
  <c r="G12849" i="9"/>
  <c r="E12849" i="9"/>
  <c r="D12849" i="9"/>
  <c r="C12849" i="9"/>
  <c r="B12849" i="9"/>
  <c r="H12848" i="9"/>
  <c r="G12848" i="9"/>
  <c r="E12848" i="9"/>
  <c r="D12848" i="9"/>
  <c r="C12848" i="9"/>
  <c r="B12848" i="9"/>
  <c r="H12847" i="9"/>
  <c r="G12847" i="9"/>
  <c r="E12847" i="9"/>
  <c r="D12847" i="9"/>
  <c r="C12847" i="9"/>
  <c r="B12847" i="9"/>
  <c r="H12846" i="9"/>
  <c r="G12846" i="9"/>
  <c r="E12846" i="9"/>
  <c r="D12846" i="9"/>
  <c r="C12846" i="9"/>
  <c r="B12846" i="9"/>
  <c r="H12845" i="9"/>
  <c r="G12845" i="9"/>
  <c r="E12845" i="9"/>
  <c r="D12845" i="9"/>
  <c r="C12845" i="9"/>
  <c r="B12845" i="9"/>
  <c r="H12844" i="9"/>
  <c r="G12844" i="9"/>
  <c r="E12844" i="9"/>
  <c r="D12844" i="9"/>
  <c r="C12844" i="9"/>
  <c r="B12844" i="9"/>
  <c r="H12843" i="9"/>
  <c r="G12843" i="9"/>
  <c r="E12843" i="9"/>
  <c r="D12843" i="9"/>
  <c r="C12843" i="9"/>
  <c r="B12843" i="9"/>
  <c r="H12842" i="9"/>
  <c r="G12842" i="9"/>
  <c r="E12842" i="9"/>
  <c r="D12842" i="9"/>
  <c r="C12842" i="9"/>
  <c r="B12842" i="9"/>
  <c r="H12841" i="9"/>
  <c r="G12841" i="9"/>
  <c r="E12841" i="9"/>
  <c r="D12841" i="9"/>
  <c r="C12841" i="9"/>
  <c r="B12841" i="9"/>
  <c r="H12840" i="9"/>
  <c r="G12840" i="9"/>
  <c r="E12840" i="9"/>
  <c r="D12840" i="9"/>
  <c r="C12840" i="9"/>
  <c r="B12840" i="9"/>
  <c r="H12839" i="9"/>
  <c r="G12839" i="9"/>
  <c r="E12839" i="9"/>
  <c r="D12839" i="9"/>
  <c r="C12839" i="9"/>
  <c r="B12839" i="9"/>
  <c r="H12838" i="9"/>
  <c r="G12838" i="9"/>
  <c r="E12838" i="9"/>
  <c r="D12838" i="9"/>
  <c r="C12838" i="9"/>
  <c r="B12838" i="9"/>
  <c r="H12837" i="9"/>
  <c r="G12837" i="9"/>
  <c r="E12837" i="9"/>
  <c r="D12837" i="9"/>
  <c r="C12837" i="9"/>
  <c r="B12837" i="9"/>
  <c r="H12836" i="9"/>
  <c r="G12836" i="9"/>
  <c r="E12836" i="9"/>
  <c r="D12836" i="9"/>
  <c r="C12836" i="9"/>
  <c r="B12836" i="9"/>
  <c r="H12835" i="9"/>
  <c r="G12835" i="9"/>
  <c r="E12835" i="9"/>
  <c r="D12835" i="9"/>
  <c r="C12835" i="9"/>
  <c r="B12835" i="9"/>
  <c r="H12834" i="9"/>
  <c r="G12834" i="9"/>
  <c r="E12834" i="9"/>
  <c r="D12834" i="9"/>
  <c r="C12834" i="9"/>
  <c r="B12834" i="9"/>
  <c r="H12833" i="9"/>
  <c r="G12833" i="9"/>
  <c r="E12833" i="9"/>
  <c r="D12833" i="9"/>
  <c r="C12833" i="9"/>
  <c r="B12833" i="9"/>
  <c r="H12832" i="9"/>
  <c r="G12832" i="9"/>
  <c r="E12832" i="9"/>
  <c r="D12832" i="9"/>
  <c r="C12832" i="9"/>
  <c r="B12832" i="9"/>
  <c r="H12831" i="9"/>
  <c r="G12831" i="9"/>
  <c r="E12831" i="9"/>
  <c r="D12831" i="9"/>
  <c r="C12831" i="9"/>
  <c r="B12831" i="9"/>
  <c r="H12830" i="9"/>
  <c r="G12830" i="9"/>
  <c r="E12830" i="9"/>
  <c r="D12830" i="9"/>
  <c r="C12830" i="9"/>
  <c r="B12830" i="9"/>
  <c r="H12829" i="9"/>
  <c r="G12829" i="9"/>
  <c r="E12829" i="9"/>
  <c r="D12829" i="9"/>
  <c r="C12829" i="9"/>
  <c r="B12829" i="9"/>
  <c r="H12828" i="9"/>
  <c r="G12828" i="9"/>
  <c r="E12828" i="9"/>
  <c r="D12828" i="9"/>
  <c r="C12828" i="9"/>
  <c r="B12828" i="9"/>
  <c r="H12827" i="9"/>
  <c r="G12827" i="9"/>
  <c r="E12827" i="9"/>
  <c r="D12827" i="9"/>
  <c r="C12827" i="9"/>
  <c r="B12827" i="9"/>
  <c r="H12826" i="9"/>
  <c r="G12826" i="9"/>
  <c r="E12826" i="9"/>
  <c r="D12826" i="9"/>
  <c r="C12826" i="9"/>
  <c r="B12826" i="9"/>
  <c r="H12825" i="9"/>
  <c r="G12825" i="9"/>
  <c r="E12825" i="9"/>
  <c r="D12825" i="9"/>
  <c r="C12825" i="9"/>
  <c r="B12825" i="9"/>
  <c r="H12824" i="9"/>
  <c r="G12824" i="9"/>
  <c r="E12824" i="9"/>
  <c r="D12824" i="9"/>
  <c r="C12824" i="9"/>
  <c r="B12824" i="9"/>
  <c r="H12823" i="9"/>
  <c r="G12823" i="9"/>
  <c r="E12823" i="9"/>
  <c r="D12823" i="9"/>
  <c r="C12823" i="9"/>
  <c r="B12823" i="9"/>
  <c r="H12822" i="9"/>
  <c r="G12822" i="9"/>
  <c r="E12822" i="9"/>
  <c r="D12822" i="9"/>
  <c r="C12822" i="9"/>
  <c r="B12822" i="9"/>
  <c r="H12821" i="9"/>
  <c r="G12821" i="9"/>
  <c r="E12821" i="9"/>
  <c r="D12821" i="9"/>
  <c r="C12821" i="9"/>
  <c r="B12821" i="9"/>
  <c r="H12820" i="9"/>
  <c r="G12820" i="9"/>
  <c r="E12820" i="9"/>
  <c r="D12820" i="9"/>
  <c r="C12820" i="9"/>
  <c r="B12820" i="9"/>
  <c r="H12819" i="9"/>
  <c r="G12819" i="9"/>
  <c r="E12819" i="9"/>
  <c r="D12819" i="9"/>
  <c r="C12819" i="9"/>
  <c r="B12819" i="9"/>
  <c r="H12818" i="9"/>
  <c r="G12818" i="9"/>
  <c r="E12818" i="9"/>
  <c r="D12818" i="9"/>
  <c r="C12818" i="9"/>
  <c r="B12818" i="9"/>
  <c r="H12817" i="9"/>
  <c r="G12817" i="9"/>
  <c r="E12817" i="9"/>
  <c r="D12817" i="9"/>
  <c r="C12817" i="9"/>
  <c r="B12817" i="9"/>
  <c r="H12816" i="9"/>
  <c r="G12816" i="9"/>
  <c r="E12816" i="9"/>
  <c r="D12816" i="9"/>
  <c r="C12816" i="9"/>
  <c r="B12816" i="9"/>
  <c r="H12815" i="9"/>
  <c r="G12815" i="9"/>
  <c r="E12815" i="9"/>
  <c r="D12815" i="9"/>
  <c r="C12815" i="9"/>
  <c r="B12815" i="9"/>
  <c r="H12814" i="9"/>
  <c r="G12814" i="9"/>
  <c r="E12814" i="9"/>
  <c r="D12814" i="9"/>
  <c r="C12814" i="9"/>
  <c r="B12814" i="9"/>
  <c r="H12813" i="9"/>
  <c r="G12813" i="9"/>
  <c r="E12813" i="9"/>
  <c r="D12813" i="9"/>
  <c r="C12813" i="9"/>
  <c r="B12813" i="9"/>
  <c r="H12812" i="9"/>
  <c r="G12812" i="9"/>
  <c r="E12812" i="9"/>
  <c r="D12812" i="9"/>
  <c r="C12812" i="9"/>
  <c r="B12812" i="9"/>
  <c r="H12811" i="9"/>
  <c r="G12811" i="9"/>
  <c r="E12811" i="9"/>
  <c r="D12811" i="9"/>
  <c r="C12811" i="9"/>
  <c r="B12811" i="9"/>
  <c r="H12810" i="9"/>
  <c r="G12810" i="9"/>
  <c r="E12810" i="9"/>
  <c r="D12810" i="9"/>
  <c r="C12810" i="9"/>
  <c r="B12810" i="9"/>
  <c r="H12809" i="9"/>
  <c r="G12809" i="9"/>
  <c r="E12809" i="9"/>
  <c r="D12809" i="9"/>
  <c r="C12809" i="9"/>
  <c r="B12809" i="9"/>
  <c r="H12808" i="9"/>
  <c r="G12808" i="9"/>
  <c r="E12808" i="9"/>
  <c r="D12808" i="9"/>
  <c r="C12808" i="9"/>
  <c r="B12808" i="9"/>
  <c r="H12807" i="9"/>
  <c r="G12807" i="9"/>
  <c r="E12807" i="9"/>
  <c r="D12807" i="9"/>
  <c r="C12807" i="9"/>
  <c r="B12807" i="9"/>
  <c r="H12806" i="9"/>
  <c r="G12806" i="9"/>
  <c r="E12806" i="9"/>
  <c r="D12806" i="9"/>
  <c r="C12806" i="9"/>
  <c r="B12806" i="9"/>
  <c r="H12805" i="9"/>
  <c r="G12805" i="9"/>
  <c r="E12805" i="9"/>
  <c r="D12805" i="9"/>
  <c r="C12805" i="9"/>
  <c r="B12805" i="9"/>
  <c r="H12804" i="9"/>
  <c r="G12804" i="9"/>
  <c r="E12804" i="9"/>
  <c r="D12804" i="9"/>
  <c r="C12804" i="9"/>
  <c r="B12804" i="9"/>
  <c r="H12803" i="9"/>
  <c r="G12803" i="9"/>
  <c r="E12803" i="9"/>
  <c r="D12803" i="9"/>
  <c r="C12803" i="9"/>
  <c r="B12803" i="9"/>
  <c r="H12802" i="9"/>
  <c r="G12802" i="9"/>
  <c r="E12802" i="9"/>
  <c r="D12802" i="9"/>
  <c r="C12802" i="9"/>
  <c r="B12802" i="9"/>
  <c r="H12801" i="9"/>
  <c r="G12801" i="9"/>
  <c r="E12801" i="9"/>
  <c r="D12801" i="9"/>
  <c r="C12801" i="9"/>
  <c r="B12801" i="9"/>
  <c r="H12800" i="9"/>
  <c r="G12800" i="9"/>
  <c r="E12800" i="9"/>
  <c r="D12800" i="9"/>
  <c r="C12800" i="9"/>
  <c r="B12800" i="9"/>
  <c r="H12799" i="9"/>
  <c r="G12799" i="9"/>
  <c r="E12799" i="9"/>
  <c r="D12799" i="9"/>
  <c r="C12799" i="9"/>
  <c r="B12799" i="9"/>
  <c r="H12798" i="9"/>
  <c r="G12798" i="9"/>
  <c r="E12798" i="9"/>
  <c r="D12798" i="9"/>
  <c r="C12798" i="9"/>
  <c r="B12798" i="9"/>
  <c r="H12797" i="9"/>
  <c r="G12797" i="9"/>
  <c r="E12797" i="9"/>
  <c r="D12797" i="9"/>
  <c r="C12797" i="9"/>
  <c r="B12797" i="9"/>
  <c r="H12796" i="9"/>
  <c r="G12796" i="9"/>
  <c r="E12796" i="9"/>
  <c r="D12796" i="9"/>
  <c r="C12796" i="9"/>
  <c r="B12796" i="9"/>
  <c r="H12795" i="9"/>
  <c r="G12795" i="9"/>
  <c r="E12795" i="9"/>
  <c r="D12795" i="9"/>
  <c r="C12795" i="9"/>
  <c r="B12795" i="9"/>
  <c r="H12794" i="9"/>
  <c r="G12794" i="9"/>
  <c r="E12794" i="9"/>
  <c r="D12794" i="9"/>
  <c r="C12794" i="9"/>
  <c r="B12794" i="9"/>
  <c r="H12793" i="9"/>
  <c r="G12793" i="9"/>
  <c r="E12793" i="9"/>
  <c r="D12793" i="9"/>
  <c r="C12793" i="9"/>
  <c r="B12793" i="9"/>
  <c r="H12792" i="9"/>
  <c r="G12792" i="9"/>
  <c r="E12792" i="9"/>
  <c r="D12792" i="9"/>
  <c r="C12792" i="9"/>
  <c r="B12792" i="9"/>
  <c r="H12791" i="9"/>
  <c r="G12791" i="9"/>
  <c r="E12791" i="9"/>
  <c r="D12791" i="9"/>
  <c r="C12791" i="9"/>
  <c r="B12791" i="9"/>
  <c r="H12790" i="9"/>
  <c r="G12790" i="9"/>
  <c r="E12790" i="9"/>
  <c r="D12790" i="9"/>
  <c r="C12790" i="9"/>
  <c r="B12790" i="9"/>
  <c r="H12789" i="9"/>
  <c r="G12789" i="9"/>
  <c r="E12789" i="9"/>
  <c r="D12789" i="9"/>
  <c r="C12789" i="9"/>
  <c r="B12789" i="9"/>
  <c r="H12788" i="9"/>
  <c r="G12788" i="9"/>
  <c r="E12788" i="9"/>
  <c r="D12788" i="9"/>
  <c r="C12788" i="9"/>
  <c r="B12788" i="9"/>
  <c r="H12787" i="9"/>
  <c r="G12787" i="9"/>
  <c r="E12787" i="9"/>
  <c r="D12787" i="9"/>
  <c r="C12787" i="9"/>
  <c r="B12787" i="9"/>
  <c r="H12786" i="9"/>
  <c r="G12786" i="9"/>
  <c r="E12786" i="9"/>
  <c r="D12786" i="9"/>
  <c r="C12786" i="9"/>
  <c r="B12786" i="9"/>
  <c r="H12785" i="9"/>
  <c r="G12785" i="9"/>
  <c r="E12785" i="9"/>
  <c r="D12785" i="9"/>
  <c r="C12785" i="9"/>
  <c r="B12785" i="9"/>
  <c r="H12784" i="9"/>
  <c r="G12784" i="9"/>
  <c r="E12784" i="9"/>
  <c r="D12784" i="9"/>
  <c r="C12784" i="9"/>
  <c r="B12784" i="9"/>
  <c r="H12783" i="9"/>
  <c r="G12783" i="9"/>
  <c r="E12783" i="9"/>
  <c r="D12783" i="9"/>
  <c r="C12783" i="9"/>
  <c r="B12783" i="9"/>
  <c r="H12782" i="9"/>
  <c r="G12782" i="9"/>
  <c r="E12782" i="9"/>
  <c r="D12782" i="9"/>
  <c r="C12782" i="9"/>
  <c r="B12782" i="9"/>
  <c r="H12781" i="9"/>
  <c r="G12781" i="9"/>
  <c r="E12781" i="9"/>
  <c r="D12781" i="9"/>
  <c r="C12781" i="9"/>
  <c r="B12781" i="9"/>
  <c r="H12780" i="9"/>
  <c r="G12780" i="9"/>
  <c r="E12780" i="9"/>
  <c r="D12780" i="9"/>
  <c r="C12780" i="9"/>
  <c r="B12780" i="9"/>
  <c r="H12779" i="9"/>
  <c r="G12779" i="9"/>
  <c r="E12779" i="9"/>
  <c r="D12779" i="9"/>
  <c r="C12779" i="9"/>
  <c r="B12779" i="9"/>
  <c r="H12778" i="9"/>
  <c r="G12778" i="9"/>
  <c r="E12778" i="9"/>
  <c r="D12778" i="9"/>
  <c r="C12778" i="9"/>
  <c r="B12778" i="9"/>
  <c r="H12777" i="9"/>
  <c r="G12777" i="9"/>
  <c r="E12777" i="9"/>
  <c r="D12777" i="9"/>
  <c r="C12777" i="9"/>
  <c r="B12777" i="9"/>
  <c r="H12776" i="9"/>
  <c r="G12776" i="9"/>
  <c r="E12776" i="9"/>
  <c r="D12776" i="9"/>
  <c r="C12776" i="9"/>
  <c r="B12776" i="9"/>
  <c r="H12775" i="9"/>
  <c r="G12775" i="9"/>
  <c r="E12775" i="9"/>
  <c r="D12775" i="9"/>
  <c r="C12775" i="9"/>
  <c r="B12775" i="9"/>
  <c r="H12774" i="9"/>
  <c r="G12774" i="9"/>
  <c r="E12774" i="9"/>
  <c r="D12774" i="9"/>
  <c r="C12774" i="9"/>
  <c r="B12774" i="9"/>
  <c r="H12773" i="9"/>
  <c r="G12773" i="9"/>
  <c r="E12773" i="9"/>
  <c r="D12773" i="9"/>
  <c r="C12773" i="9"/>
  <c r="B12773" i="9"/>
  <c r="H12772" i="9"/>
  <c r="G12772" i="9"/>
  <c r="E12772" i="9"/>
  <c r="D12772" i="9"/>
  <c r="C12772" i="9"/>
  <c r="B12772" i="9"/>
  <c r="H12771" i="9"/>
  <c r="G12771" i="9"/>
  <c r="E12771" i="9"/>
  <c r="D12771" i="9"/>
  <c r="C12771" i="9"/>
  <c r="B12771" i="9"/>
  <c r="H12770" i="9"/>
  <c r="G12770" i="9"/>
  <c r="E12770" i="9"/>
  <c r="D12770" i="9"/>
  <c r="C12770" i="9"/>
  <c r="B12770" i="9"/>
  <c r="H12769" i="9"/>
  <c r="G12769" i="9"/>
  <c r="E12769" i="9"/>
  <c r="D12769" i="9"/>
  <c r="C12769" i="9"/>
  <c r="B12769" i="9"/>
  <c r="H12768" i="9"/>
  <c r="G12768" i="9"/>
  <c r="E12768" i="9"/>
  <c r="D12768" i="9"/>
  <c r="C12768" i="9"/>
  <c r="B12768" i="9"/>
  <c r="H12767" i="9"/>
  <c r="G12767" i="9"/>
  <c r="E12767" i="9"/>
  <c r="D12767" i="9"/>
  <c r="C12767" i="9"/>
  <c r="B12767" i="9"/>
  <c r="H12766" i="9"/>
  <c r="G12766" i="9"/>
  <c r="E12766" i="9"/>
  <c r="D12766" i="9"/>
  <c r="C12766" i="9"/>
  <c r="B12766" i="9"/>
  <c r="H12765" i="9"/>
  <c r="G12765" i="9"/>
  <c r="E12765" i="9"/>
  <c r="D12765" i="9"/>
  <c r="C12765" i="9"/>
  <c r="B12765" i="9"/>
  <c r="H12764" i="9"/>
  <c r="G12764" i="9"/>
  <c r="E12764" i="9"/>
  <c r="D12764" i="9"/>
  <c r="C12764" i="9"/>
  <c r="B12764" i="9"/>
  <c r="H12763" i="9"/>
  <c r="G12763" i="9"/>
  <c r="E12763" i="9"/>
  <c r="D12763" i="9"/>
  <c r="C12763" i="9"/>
  <c r="B12763" i="9"/>
  <c r="H12762" i="9"/>
  <c r="G12762" i="9"/>
  <c r="E12762" i="9"/>
  <c r="D12762" i="9"/>
  <c r="C12762" i="9"/>
  <c r="B12762" i="9"/>
  <c r="H12761" i="9"/>
  <c r="G12761" i="9"/>
  <c r="E12761" i="9"/>
  <c r="D12761" i="9"/>
  <c r="C12761" i="9"/>
  <c r="B12761" i="9"/>
  <c r="H12760" i="9"/>
  <c r="G12760" i="9"/>
  <c r="E12760" i="9"/>
  <c r="D12760" i="9"/>
  <c r="C12760" i="9"/>
  <c r="B12760" i="9"/>
  <c r="H12759" i="9"/>
  <c r="G12759" i="9"/>
  <c r="E12759" i="9"/>
  <c r="D12759" i="9"/>
  <c r="C12759" i="9"/>
  <c r="B12759" i="9"/>
  <c r="H12758" i="9"/>
  <c r="G12758" i="9"/>
  <c r="E12758" i="9"/>
  <c r="D12758" i="9"/>
  <c r="C12758" i="9"/>
  <c r="B12758" i="9"/>
  <c r="H12757" i="9"/>
  <c r="G12757" i="9"/>
  <c r="E12757" i="9"/>
  <c r="D12757" i="9"/>
  <c r="C12757" i="9"/>
  <c r="B12757" i="9"/>
  <c r="H12756" i="9"/>
  <c r="G12756" i="9"/>
  <c r="E12756" i="9"/>
  <c r="D12756" i="9"/>
  <c r="C12756" i="9"/>
  <c r="B12756" i="9"/>
  <c r="H12755" i="9"/>
  <c r="G12755" i="9"/>
  <c r="E12755" i="9"/>
  <c r="D12755" i="9"/>
  <c r="C12755" i="9"/>
  <c r="B12755" i="9"/>
  <c r="H12754" i="9"/>
  <c r="G12754" i="9"/>
  <c r="E12754" i="9"/>
  <c r="D12754" i="9"/>
  <c r="C12754" i="9"/>
  <c r="B12754" i="9"/>
  <c r="H12753" i="9"/>
  <c r="G12753" i="9"/>
  <c r="E12753" i="9"/>
  <c r="D12753" i="9"/>
  <c r="C12753" i="9"/>
  <c r="B12753" i="9"/>
  <c r="H12752" i="9"/>
  <c r="G12752" i="9"/>
  <c r="E12752" i="9"/>
  <c r="D12752" i="9"/>
  <c r="C12752" i="9"/>
  <c r="B12752" i="9"/>
  <c r="H12751" i="9"/>
  <c r="G12751" i="9"/>
  <c r="E12751" i="9"/>
  <c r="D12751" i="9"/>
  <c r="C12751" i="9"/>
  <c r="B12751" i="9"/>
  <c r="H12750" i="9"/>
  <c r="G12750" i="9"/>
  <c r="E12750" i="9"/>
  <c r="D12750" i="9"/>
  <c r="C12750" i="9"/>
  <c r="B12750" i="9"/>
  <c r="H12749" i="9"/>
  <c r="G12749" i="9"/>
  <c r="E12749" i="9"/>
  <c r="D12749" i="9"/>
  <c r="C12749" i="9"/>
  <c r="B12749" i="9"/>
  <c r="H12748" i="9"/>
  <c r="G12748" i="9"/>
  <c r="E12748" i="9"/>
  <c r="D12748" i="9"/>
  <c r="C12748" i="9"/>
  <c r="B12748" i="9"/>
  <c r="H12747" i="9"/>
  <c r="G12747" i="9"/>
  <c r="E12747" i="9"/>
  <c r="D12747" i="9"/>
  <c r="C12747" i="9"/>
  <c r="B12747" i="9"/>
  <c r="H12746" i="9"/>
  <c r="G12746" i="9"/>
  <c r="E12746" i="9"/>
  <c r="D12746" i="9"/>
  <c r="C12746" i="9"/>
  <c r="B12746" i="9"/>
  <c r="H12745" i="9"/>
  <c r="G12745" i="9"/>
  <c r="E12745" i="9"/>
  <c r="D12745" i="9"/>
  <c r="C12745" i="9"/>
  <c r="B12745" i="9"/>
  <c r="H12744" i="9"/>
  <c r="G12744" i="9"/>
  <c r="E12744" i="9"/>
  <c r="D12744" i="9"/>
  <c r="C12744" i="9"/>
  <c r="B12744" i="9"/>
  <c r="H12743" i="9"/>
  <c r="G12743" i="9"/>
  <c r="E12743" i="9"/>
  <c r="D12743" i="9"/>
  <c r="C12743" i="9"/>
  <c r="B12743" i="9"/>
  <c r="H12742" i="9"/>
  <c r="G12742" i="9"/>
  <c r="E12742" i="9"/>
  <c r="D12742" i="9"/>
  <c r="C12742" i="9"/>
  <c r="B12742" i="9"/>
  <c r="H12741" i="9"/>
  <c r="G12741" i="9"/>
  <c r="E12741" i="9"/>
  <c r="D12741" i="9"/>
  <c r="C12741" i="9"/>
  <c r="B12741" i="9"/>
  <c r="H12740" i="9"/>
  <c r="G12740" i="9"/>
  <c r="E12740" i="9"/>
  <c r="D12740" i="9"/>
  <c r="C12740" i="9"/>
  <c r="B12740" i="9"/>
  <c r="H12739" i="9"/>
  <c r="G12739" i="9"/>
  <c r="E12739" i="9"/>
  <c r="D12739" i="9"/>
  <c r="C12739" i="9"/>
  <c r="B12739" i="9"/>
  <c r="H12738" i="9"/>
  <c r="G12738" i="9"/>
  <c r="E12738" i="9"/>
  <c r="D12738" i="9"/>
  <c r="C12738" i="9"/>
  <c r="B12738" i="9"/>
  <c r="H12737" i="9"/>
  <c r="G12737" i="9"/>
  <c r="E12737" i="9"/>
  <c r="D12737" i="9"/>
  <c r="C12737" i="9"/>
  <c r="B12737" i="9"/>
  <c r="H12736" i="9"/>
  <c r="G12736" i="9"/>
  <c r="E12736" i="9"/>
  <c r="D12736" i="9"/>
  <c r="C12736" i="9"/>
  <c r="B12736" i="9"/>
  <c r="H12735" i="9"/>
  <c r="G12735" i="9"/>
  <c r="E12735" i="9"/>
  <c r="D12735" i="9"/>
  <c r="C12735" i="9"/>
  <c r="B12735" i="9"/>
  <c r="H12734" i="9"/>
  <c r="G12734" i="9"/>
  <c r="E12734" i="9"/>
  <c r="D12734" i="9"/>
  <c r="C12734" i="9"/>
  <c r="B12734" i="9"/>
  <c r="H12733" i="9"/>
  <c r="G12733" i="9"/>
  <c r="E12733" i="9"/>
  <c r="D12733" i="9"/>
  <c r="C12733" i="9"/>
  <c r="B12733" i="9"/>
  <c r="H12732" i="9"/>
  <c r="G12732" i="9"/>
  <c r="E12732" i="9"/>
  <c r="D12732" i="9"/>
  <c r="C12732" i="9"/>
  <c r="B12732" i="9"/>
  <c r="H12731" i="9"/>
  <c r="G12731" i="9"/>
  <c r="E12731" i="9"/>
  <c r="D12731" i="9"/>
  <c r="C12731" i="9"/>
  <c r="B12731" i="9"/>
  <c r="H12730" i="9"/>
  <c r="G12730" i="9"/>
  <c r="E12730" i="9"/>
  <c r="D12730" i="9"/>
  <c r="C12730" i="9"/>
  <c r="B12730" i="9"/>
  <c r="H12729" i="9"/>
  <c r="G12729" i="9"/>
  <c r="E12729" i="9"/>
  <c r="D12729" i="9"/>
  <c r="C12729" i="9"/>
  <c r="B12729" i="9"/>
  <c r="H12728" i="9"/>
  <c r="G12728" i="9"/>
  <c r="E12728" i="9"/>
  <c r="D12728" i="9"/>
  <c r="C12728" i="9"/>
  <c r="B12728" i="9"/>
  <c r="H12727" i="9"/>
  <c r="G12727" i="9"/>
  <c r="E12727" i="9"/>
  <c r="D12727" i="9"/>
  <c r="C12727" i="9"/>
  <c r="B12727" i="9"/>
  <c r="H12726" i="9"/>
  <c r="G12726" i="9"/>
  <c r="E12726" i="9"/>
  <c r="D12726" i="9"/>
  <c r="C12726" i="9"/>
  <c r="B12726" i="9"/>
  <c r="H12725" i="9"/>
  <c r="G12725" i="9"/>
  <c r="E12725" i="9"/>
  <c r="D12725" i="9"/>
  <c r="C12725" i="9"/>
  <c r="B12725" i="9"/>
  <c r="H12724" i="9"/>
  <c r="G12724" i="9"/>
  <c r="E12724" i="9"/>
  <c r="D12724" i="9"/>
  <c r="C12724" i="9"/>
  <c r="B12724" i="9"/>
  <c r="H12723" i="9"/>
  <c r="G12723" i="9"/>
  <c r="E12723" i="9"/>
  <c r="D12723" i="9"/>
  <c r="C12723" i="9"/>
  <c r="B12723" i="9"/>
  <c r="H12722" i="9"/>
  <c r="G12722" i="9"/>
  <c r="E12722" i="9"/>
  <c r="D12722" i="9"/>
  <c r="C12722" i="9"/>
  <c r="B12722" i="9"/>
  <c r="H12721" i="9"/>
  <c r="G12721" i="9"/>
  <c r="E12721" i="9"/>
  <c r="D12721" i="9"/>
  <c r="C12721" i="9"/>
  <c r="B12721" i="9"/>
  <c r="H12720" i="9"/>
  <c r="G12720" i="9"/>
  <c r="E12720" i="9"/>
  <c r="D12720" i="9"/>
  <c r="C12720" i="9"/>
  <c r="B12720" i="9"/>
  <c r="H12719" i="9"/>
  <c r="G12719" i="9"/>
  <c r="E12719" i="9"/>
  <c r="D12719" i="9"/>
  <c r="C12719" i="9"/>
  <c r="B12719" i="9"/>
  <c r="H12718" i="9"/>
  <c r="G12718" i="9"/>
  <c r="E12718" i="9"/>
  <c r="D12718" i="9"/>
  <c r="C12718" i="9"/>
  <c r="B12718" i="9"/>
  <c r="H12717" i="9"/>
  <c r="G12717" i="9"/>
  <c r="E12717" i="9"/>
  <c r="D12717" i="9"/>
  <c r="C12717" i="9"/>
  <c r="B12717" i="9"/>
  <c r="H12716" i="9"/>
  <c r="G12716" i="9"/>
  <c r="E12716" i="9"/>
  <c r="D12716" i="9"/>
  <c r="C12716" i="9"/>
  <c r="B12716" i="9"/>
  <c r="H12715" i="9"/>
  <c r="G12715" i="9"/>
  <c r="E12715" i="9"/>
  <c r="D12715" i="9"/>
  <c r="C12715" i="9"/>
  <c r="B12715" i="9"/>
  <c r="H12714" i="9"/>
  <c r="G12714" i="9"/>
  <c r="E12714" i="9"/>
  <c r="D12714" i="9"/>
  <c r="C12714" i="9"/>
  <c r="B12714" i="9"/>
  <c r="H12713" i="9"/>
  <c r="G12713" i="9"/>
  <c r="E12713" i="9"/>
  <c r="D12713" i="9"/>
  <c r="C12713" i="9"/>
  <c r="B12713" i="9"/>
  <c r="H12712" i="9"/>
  <c r="G12712" i="9"/>
  <c r="E12712" i="9"/>
  <c r="D12712" i="9"/>
  <c r="C12712" i="9"/>
  <c r="B12712" i="9"/>
  <c r="H12711" i="9"/>
  <c r="G12711" i="9"/>
  <c r="E12711" i="9"/>
  <c r="D12711" i="9"/>
  <c r="C12711" i="9"/>
  <c r="B12711" i="9"/>
  <c r="H12710" i="9"/>
  <c r="G12710" i="9"/>
  <c r="E12710" i="9"/>
  <c r="D12710" i="9"/>
  <c r="C12710" i="9"/>
  <c r="B12710" i="9"/>
  <c r="H12709" i="9"/>
  <c r="G12709" i="9"/>
  <c r="E12709" i="9"/>
  <c r="D12709" i="9"/>
  <c r="C12709" i="9"/>
  <c r="B12709" i="9"/>
  <c r="H12708" i="9"/>
  <c r="G12708" i="9"/>
  <c r="E12708" i="9"/>
  <c r="D12708" i="9"/>
  <c r="C12708" i="9"/>
  <c r="B12708" i="9"/>
  <c r="H12707" i="9"/>
  <c r="G12707" i="9"/>
  <c r="E12707" i="9"/>
  <c r="D12707" i="9"/>
  <c r="C12707" i="9"/>
  <c r="B12707" i="9"/>
  <c r="H12706" i="9"/>
  <c r="G12706" i="9"/>
  <c r="E12706" i="9"/>
  <c r="D12706" i="9"/>
  <c r="C12706" i="9"/>
  <c r="B12706" i="9"/>
  <c r="H12705" i="9"/>
  <c r="G12705" i="9"/>
  <c r="E12705" i="9"/>
  <c r="D12705" i="9"/>
  <c r="C12705" i="9"/>
  <c r="B12705" i="9"/>
  <c r="H12704" i="9"/>
  <c r="G12704" i="9"/>
  <c r="E12704" i="9"/>
  <c r="D12704" i="9"/>
  <c r="C12704" i="9"/>
  <c r="B12704" i="9"/>
  <c r="H12703" i="9"/>
  <c r="G12703" i="9"/>
  <c r="E12703" i="9"/>
  <c r="D12703" i="9"/>
  <c r="C12703" i="9"/>
  <c r="B12703" i="9"/>
  <c r="H12702" i="9"/>
  <c r="G12702" i="9"/>
  <c r="E12702" i="9"/>
  <c r="D12702" i="9"/>
  <c r="C12702" i="9"/>
  <c r="B12702" i="9"/>
  <c r="H12701" i="9"/>
  <c r="G12701" i="9"/>
  <c r="E12701" i="9"/>
  <c r="D12701" i="9"/>
  <c r="C12701" i="9"/>
  <c r="B12701" i="9"/>
  <c r="H12700" i="9"/>
  <c r="G12700" i="9"/>
  <c r="E12700" i="9"/>
  <c r="D12700" i="9"/>
  <c r="C12700" i="9"/>
  <c r="B12700" i="9"/>
  <c r="H12699" i="9"/>
  <c r="G12699" i="9"/>
  <c r="E12699" i="9"/>
  <c r="D12699" i="9"/>
  <c r="C12699" i="9"/>
  <c r="B12699" i="9"/>
  <c r="H12698" i="9"/>
  <c r="G12698" i="9"/>
  <c r="E12698" i="9"/>
  <c r="D12698" i="9"/>
  <c r="C12698" i="9"/>
  <c r="B12698" i="9"/>
  <c r="H12697" i="9"/>
  <c r="G12697" i="9"/>
  <c r="E12697" i="9"/>
  <c r="D12697" i="9"/>
  <c r="C12697" i="9"/>
  <c r="B12697" i="9"/>
  <c r="H12696" i="9"/>
  <c r="G12696" i="9"/>
  <c r="E12696" i="9"/>
  <c r="D12696" i="9"/>
  <c r="C12696" i="9"/>
  <c r="B12696" i="9"/>
  <c r="H12695" i="9"/>
  <c r="G12695" i="9"/>
  <c r="E12695" i="9"/>
  <c r="D12695" i="9"/>
  <c r="C12695" i="9"/>
  <c r="B12695" i="9"/>
  <c r="H12694" i="9"/>
  <c r="G12694" i="9"/>
  <c r="E12694" i="9"/>
  <c r="D12694" i="9"/>
  <c r="C12694" i="9"/>
  <c r="B12694" i="9"/>
  <c r="H12693" i="9"/>
  <c r="G12693" i="9"/>
  <c r="E12693" i="9"/>
  <c r="D12693" i="9"/>
  <c r="C12693" i="9"/>
  <c r="B12693" i="9"/>
  <c r="H12692" i="9"/>
  <c r="G12692" i="9"/>
  <c r="E12692" i="9"/>
  <c r="D12692" i="9"/>
  <c r="C12692" i="9"/>
  <c r="B12692" i="9"/>
  <c r="H12691" i="9"/>
  <c r="G12691" i="9"/>
  <c r="E12691" i="9"/>
  <c r="D12691" i="9"/>
  <c r="C12691" i="9"/>
  <c r="B12691" i="9"/>
  <c r="H12690" i="9"/>
  <c r="G12690" i="9"/>
  <c r="E12690" i="9"/>
  <c r="D12690" i="9"/>
  <c r="C12690" i="9"/>
  <c r="B12690" i="9"/>
  <c r="H12689" i="9"/>
  <c r="G12689" i="9"/>
  <c r="E12689" i="9"/>
  <c r="D12689" i="9"/>
  <c r="C12689" i="9"/>
  <c r="B12689" i="9"/>
  <c r="H12688" i="9"/>
  <c r="G12688" i="9"/>
  <c r="E12688" i="9"/>
  <c r="D12688" i="9"/>
  <c r="C12688" i="9"/>
  <c r="B12688" i="9"/>
  <c r="H12687" i="9"/>
  <c r="G12687" i="9"/>
  <c r="E12687" i="9"/>
  <c r="D12687" i="9"/>
  <c r="C12687" i="9"/>
  <c r="B12687" i="9"/>
  <c r="H12686" i="9"/>
  <c r="G12686" i="9"/>
  <c r="E12686" i="9"/>
  <c r="D12686" i="9"/>
  <c r="C12686" i="9"/>
  <c r="B12686" i="9"/>
  <c r="H12685" i="9"/>
  <c r="G12685" i="9"/>
  <c r="E12685" i="9"/>
  <c r="D12685" i="9"/>
  <c r="C12685" i="9"/>
  <c r="B12685" i="9"/>
  <c r="H12684" i="9"/>
  <c r="G12684" i="9"/>
  <c r="E12684" i="9"/>
  <c r="D12684" i="9"/>
  <c r="C12684" i="9"/>
  <c r="B12684" i="9"/>
  <c r="H12683" i="9"/>
  <c r="G12683" i="9"/>
  <c r="E12683" i="9"/>
  <c r="D12683" i="9"/>
  <c r="C12683" i="9"/>
  <c r="B12683" i="9"/>
  <c r="H12682" i="9"/>
  <c r="G12682" i="9"/>
  <c r="E12682" i="9"/>
  <c r="D12682" i="9"/>
  <c r="C12682" i="9"/>
  <c r="B12682" i="9"/>
  <c r="H12681" i="9"/>
  <c r="G12681" i="9"/>
  <c r="E12681" i="9"/>
  <c r="D12681" i="9"/>
  <c r="C12681" i="9"/>
  <c r="B12681" i="9"/>
  <c r="H12680" i="9"/>
  <c r="G12680" i="9"/>
  <c r="E12680" i="9"/>
  <c r="D12680" i="9"/>
  <c r="C12680" i="9"/>
  <c r="B12680" i="9"/>
  <c r="H12679" i="9"/>
  <c r="G12679" i="9"/>
  <c r="E12679" i="9"/>
  <c r="D12679" i="9"/>
  <c r="C12679" i="9"/>
  <c r="B12679" i="9"/>
  <c r="H12678" i="9"/>
  <c r="G12678" i="9"/>
  <c r="E12678" i="9"/>
  <c r="D12678" i="9"/>
  <c r="C12678" i="9"/>
  <c r="B12678" i="9"/>
  <c r="H12677" i="9"/>
  <c r="G12677" i="9"/>
  <c r="E12677" i="9"/>
  <c r="D12677" i="9"/>
  <c r="C12677" i="9"/>
  <c r="B12677" i="9"/>
  <c r="H12676" i="9"/>
  <c r="G12676" i="9"/>
  <c r="E12676" i="9"/>
  <c r="D12676" i="9"/>
  <c r="C12676" i="9"/>
  <c r="B12676" i="9"/>
  <c r="H12675" i="9"/>
  <c r="G12675" i="9"/>
  <c r="E12675" i="9"/>
  <c r="D12675" i="9"/>
  <c r="C12675" i="9"/>
  <c r="B12675" i="9"/>
  <c r="H12674" i="9"/>
  <c r="G12674" i="9"/>
  <c r="E12674" i="9"/>
  <c r="D12674" i="9"/>
  <c r="C12674" i="9"/>
  <c r="B12674" i="9"/>
  <c r="H12673" i="9"/>
  <c r="G12673" i="9"/>
  <c r="E12673" i="9"/>
  <c r="D12673" i="9"/>
  <c r="C12673" i="9"/>
  <c r="B12673" i="9"/>
  <c r="H12672" i="9"/>
  <c r="G12672" i="9"/>
  <c r="E12672" i="9"/>
  <c r="D12672" i="9"/>
  <c r="C12672" i="9"/>
  <c r="B12672" i="9"/>
  <c r="H12671" i="9"/>
  <c r="G12671" i="9"/>
  <c r="E12671" i="9"/>
  <c r="D12671" i="9"/>
  <c r="C12671" i="9"/>
  <c r="B12671" i="9"/>
  <c r="H12670" i="9"/>
  <c r="G12670" i="9"/>
  <c r="E12670" i="9"/>
  <c r="D12670" i="9"/>
  <c r="C12670" i="9"/>
  <c r="B12670" i="9"/>
  <c r="H12669" i="9"/>
  <c r="G12669" i="9"/>
  <c r="E12669" i="9"/>
  <c r="D12669" i="9"/>
  <c r="C12669" i="9"/>
  <c r="B12669" i="9"/>
  <c r="H12668" i="9"/>
  <c r="G12668" i="9"/>
  <c r="E12668" i="9"/>
  <c r="D12668" i="9"/>
  <c r="C12668" i="9"/>
  <c r="B12668" i="9"/>
  <c r="H12667" i="9"/>
  <c r="G12667" i="9"/>
  <c r="E12667" i="9"/>
  <c r="D12667" i="9"/>
  <c r="C12667" i="9"/>
  <c r="B12667" i="9"/>
  <c r="H12666" i="9"/>
  <c r="G12666" i="9"/>
  <c r="E12666" i="9"/>
  <c r="D12666" i="9"/>
  <c r="C12666" i="9"/>
  <c r="B12666" i="9"/>
  <c r="H12665" i="9"/>
  <c r="G12665" i="9"/>
  <c r="E12665" i="9"/>
  <c r="D12665" i="9"/>
  <c r="C12665" i="9"/>
  <c r="B12665" i="9"/>
  <c r="H12664" i="9"/>
  <c r="G12664" i="9"/>
  <c r="E12664" i="9"/>
  <c r="D12664" i="9"/>
  <c r="C12664" i="9"/>
  <c r="B12664" i="9"/>
  <c r="H12663" i="9"/>
  <c r="G12663" i="9"/>
  <c r="E12663" i="9"/>
  <c r="D12663" i="9"/>
  <c r="C12663" i="9"/>
  <c r="B12663" i="9"/>
  <c r="H12662" i="9"/>
  <c r="G12662" i="9"/>
  <c r="E12662" i="9"/>
  <c r="D12662" i="9"/>
  <c r="C12662" i="9"/>
  <c r="B12662" i="9"/>
  <c r="H12661" i="9"/>
  <c r="G12661" i="9"/>
  <c r="E12661" i="9"/>
  <c r="D12661" i="9"/>
  <c r="C12661" i="9"/>
  <c r="B12661" i="9"/>
  <c r="H12660" i="9"/>
  <c r="G12660" i="9"/>
  <c r="E12660" i="9"/>
  <c r="D12660" i="9"/>
  <c r="C12660" i="9"/>
  <c r="B12660" i="9"/>
  <c r="H12659" i="9"/>
  <c r="G12659" i="9"/>
  <c r="E12659" i="9"/>
  <c r="D12659" i="9"/>
  <c r="C12659" i="9"/>
  <c r="B12659" i="9"/>
  <c r="H12658" i="9"/>
  <c r="G12658" i="9"/>
  <c r="E12658" i="9"/>
  <c r="D12658" i="9"/>
  <c r="C12658" i="9"/>
  <c r="B12658" i="9"/>
  <c r="H12657" i="9"/>
  <c r="G12657" i="9"/>
  <c r="E12657" i="9"/>
  <c r="D12657" i="9"/>
  <c r="C12657" i="9"/>
  <c r="B12657" i="9"/>
  <c r="H12656" i="9"/>
  <c r="G12656" i="9"/>
  <c r="E12656" i="9"/>
  <c r="D12656" i="9"/>
  <c r="C12656" i="9"/>
  <c r="B12656" i="9"/>
  <c r="H12655" i="9"/>
  <c r="G12655" i="9"/>
  <c r="E12655" i="9"/>
  <c r="D12655" i="9"/>
  <c r="C12655" i="9"/>
  <c r="B12655" i="9"/>
  <c r="H12654" i="9"/>
  <c r="G12654" i="9"/>
  <c r="E12654" i="9"/>
  <c r="D12654" i="9"/>
  <c r="C12654" i="9"/>
  <c r="B12654" i="9"/>
  <c r="H12653" i="9"/>
  <c r="G12653" i="9"/>
  <c r="E12653" i="9"/>
  <c r="D12653" i="9"/>
  <c r="C12653" i="9"/>
  <c r="B12653" i="9"/>
  <c r="H12652" i="9"/>
  <c r="G12652" i="9"/>
  <c r="E12652" i="9"/>
  <c r="D12652" i="9"/>
  <c r="C12652" i="9"/>
  <c r="B12652" i="9"/>
  <c r="H12651" i="9"/>
  <c r="G12651" i="9"/>
  <c r="E12651" i="9"/>
  <c r="D12651" i="9"/>
  <c r="C12651" i="9"/>
  <c r="B12651" i="9"/>
  <c r="H12650" i="9"/>
  <c r="G12650" i="9"/>
  <c r="E12650" i="9"/>
  <c r="D12650" i="9"/>
  <c r="C12650" i="9"/>
  <c r="B12650" i="9"/>
  <c r="H12649" i="9"/>
  <c r="G12649" i="9"/>
  <c r="E12649" i="9"/>
  <c r="D12649" i="9"/>
  <c r="C12649" i="9"/>
  <c r="B12649" i="9"/>
  <c r="H12648" i="9"/>
  <c r="G12648" i="9"/>
  <c r="E12648" i="9"/>
  <c r="D12648" i="9"/>
  <c r="C12648" i="9"/>
  <c r="B12648" i="9"/>
  <c r="H12647" i="9"/>
  <c r="G12647" i="9"/>
  <c r="E12647" i="9"/>
  <c r="D12647" i="9"/>
  <c r="C12647" i="9"/>
  <c r="B12647" i="9"/>
  <c r="H12646" i="9"/>
  <c r="G12646" i="9"/>
  <c r="E12646" i="9"/>
  <c r="D12646" i="9"/>
  <c r="C12646" i="9"/>
  <c r="B12646" i="9"/>
  <c r="H12645" i="9"/>
  <c r="G12645" i="9"/>
  <c r="E12645" i="9"/>
  <c r="D12645" i="9"/>
  <c r="C12645" i="9"/>
  <c r="B12645" i="9"/>
  <c r="H12644" i="9"/>
  <c r="G12644" i="9"/>
  <c r="E12644" i="9"/>
  <c r="D12644" i="9"/>
  <c r="C12644" i="9"/>
  <c r="B12644" i="9"/>
  <c r="H12643" i="9"/>
  <c r="G12643" i="9"/>
  <c r="E12643" i="9"/>
  <c r="D12643" i="9"/>
  <c r="C12643" i="9"/>
  <c r="B12643" i="9"/>
  <c r="H12642" i="9"/>
  <c r="G12642" i="9"/>
  <c r="E12642" i="9"/>
  <c r="D12642" i="9"/>
  <c r="C12642" i="9"/>
  <c r="B12642" i="9"/>
  <c r="H12641" i="9"/>
  <c r="G12641" i="9"/>
  <c r="E12641" i="9"/>
  <c r="D12641" i="9"/>
  <c r="C12641" i="9"/>
  <c r="B12641" i="9"/>
  <c r="H12640" i="9"/>
  <c r="G12640" i="9"/>
  <c r="E12640" i="9"/>
  <c r="D12640" i="9"/>
  <c r="C12640" i="9"/>
  <c r="B12640" i="9"/>
  <c r="H12639" i="9"/>
  <c r="G12639" i="9"/>
  <c r="E12639" i="9"/>
  <c r="D12639" i="9"/>
  <c r="C12639" i="9"/>
  <c r="B12639" i="9"/>
  <c r="H12638" i="9"/>
  <c r="G12638" i="9"/>
  <c r="E12638" i="9"/>
  <c r="D12638" i="9"/>
  <c r="C12638" i="9"/>
  <c r="B12638" i="9"/>
  <c r="H12637" i="9"/>
  <c r="G12637" i="9"/>
  <c r="E12637" i="9"/>
  <c r="D12637" i="9"/>
  <c r="C12637" i="9"/>
  <c r="B12637" i="9"/>
  <c r="H12636" i="9"/>
  <c r="G12636" i="9"/>
  <c r="E12636" i="9"/>
  <c r="D12636" i="9"/>
  <c r="C12636" i="9"/>
  <c r="B12636" i="9"/>
  <c r="H12635" i="9"/>
  <c r="G12635" i="9"/>
  <c r="E12635" i="9"/>
  <c r="D12635" i="9"/>
  <c r="C12635" i="9"/>
  <c r="B12635" i="9"/>
  <c r="H12634" i="9"/>
  <c r="G12634" i="9"/>
  <c r="E12634" i="9"/>
  <c r="D12634" i="9"/>
  <c r="C12634" i="9"/>
  <c r="B12634" i="9"/>
  <c r="H12633" i="9"/>
  <c r="G12633" i="9"/>
  <c r="E12633" i="9"/>
  <c r="D12633" i="9"/>
  <c r="C12633" i="9"/>
  <c r="B12633" i="9"/>
  <c r="H12632" i="9"/>
  <c r="G12632" i="9"/>
  <c r="E12632" i="9"/>
  <c r="D12632" i="9"/>
  <c r="C12632" i="9"/>
  <c r="B12632" i="9"/>
  <c r="H12631" i="9"/>
  <c r="G12631" i="9"/>
  <c r="E12631" i="9"/>
  <c r="D12631" i="9"/>
  <c r="C12631" i="9"/>
  <c r="B12631" i="9"/>
  <c r="H12630" i="9"/>
  <c r="G12630" i="9"/>
  <c r="E12630" i="9"/>
  <c r="D12630" i="9"/>
  <c r="C12630" i="9"/>
  <c r="B12630" i="9"/>
  <c r="H12629" i="9"/>
  <c r="G12629" i="9"/>
  <c r="E12629" i="9"/>
  <c r="D12629" i="9"/>
  <c r="C12629" i="9"/>
  <c r="B12629" i="9"/>
  <c r="H12628" i="9"/>
  <c r="G12628" i="9"/>
  <c r="E12628" i="9"/>
  <c r="D12628" i="9"/>
  <c r="C12628" i="9"/>
  <c r="B12628" i="9"/>
  <c r="H12627" i="9"/>
  <c r="G12627" i="9"/>
  <c r="E12627" i="9"/>
  <c r="D12627" i="9"/>
  <c r="C12627" i="9"/>
  <c r="B12627" i="9"/>
  <c r="H12626" i="9"/>
  <c r="G12626" i="9"/>
  <c r="E12626" i="9"/>
  <c r="D12626" i="9"/>
  <c r="C12626" i="9"/>
  <c r="B12626" i="9"/>
  <c r="H12625" i="9"/>
  <c r="G12625" i="9"/>
  <c r="E12625" i="9"/>
  <c r="D12625" i="9"/>
  <c r="C12625" i="9"/>
  <c r="B12625" i="9"/>
  <c r="H12624" i="9"/>
  <c r="G12624" i="9"/>
  <c r="E12624" i="9"/>
  <c r="D12624" i="9"/>
  <c r="C12624" i="9"/>
  <c r="B12624" i="9"/>
  <c r="H12623" i="9"/>
  <c r="G12623" i="9"/>
  <c r="E12623" i="9"/>
  <c r="D12623" i="9"/>
  <c r="C12623" i="9"/>
  <c r="B12623" i="9"/>
  <c r="H12622" i="9"/>
  <c r="G12622" i="9"/>
  <c r="E12622" i="9"/>
  <c r="D12622" i="9"/>
  <c r="C12622" i="9"/>
  <c r="B12622" i="9"/>
  <c r="H12621" i="9"/>
  <c r="G12621" i="9"/>
  <c r="E12621" i="9"/>
  <c r="D12621" i="9"/>
  <c r="C12621" i="9"/>
  <c r="B12621" i="9"/>
  <c r="H12620" i="9"/>
  <c r="G12620" i="9"/>
  <c r="E12620" i="9"/>
  <c r="D12620" i="9"/>
  <c r="C12620" i="9"/>
  <c r="B12620" i="9"/>
  <c r="H12619" i="9"/>
  <c r="G12619" i="9"/>
  <c r="E12619" i="9"/>
  <c r="D12619" i="9"/>
  <c r="C12619" i="9"/>
  <c r="B12619" i="9"/>
  <c r="H12618" i="9"/>
  <c r="G12618" i="9"/>
  <c r="E12618" i="9"/>
  <c r="D12618" i="9"/>
  <c r="C12618" i="9"/>
  <c r="B12618" i="9"/>
  <c r="H12617" i="9"/>
  <c r="G12617" i="9"/>
  <c r="E12617" i="9"/>
  <c r="D12617" i="9"/>
  <c r="C12617" i="9"/>
  <c r="B12617" i="9"/>
  <c r="H12616" i="9"/>
  <c r="G12616" i="9"/>
  <c r="E12616" i="9"/>
  <c r="D12616" i="9"/>
  <c r="C12616" i="9"/>
  <c r="B12616" i="9"/>
  <c r="H12615" i="9"/>
  <c r="G12615" i="9"/>
  <c r="E12615" i="9"/>
  <c r="D12615" i="9"/>
  <c r="C12615" i="9"/>
  <c r="B12615" i="9"/>
  <c r="H12614" i="9"/>
  <c r="G12614" i="9"/>
  <c r="E12614" i="9"/>
  <c r="D12614" i="9"/>
  <c r="C12614" i="9"/>
  <c r="B12614" i="9"/>
  <c r="H12613" i="9"/>
  <c r="G12613" i="9"/>
  <c r="E12613" i="9"/>
  <c r="D12613" i="9"/>
  <c r="C12613" i="9"/>
  <c r="B12613" i="9"/>
  <c r="H12612" i="9"/>
  <c r="G12612" i="9"/>
  <c r="E12612" i="9"/>
  <c r="D12612" i="9"/>
  <c r="C12612" i="9"/>
  <c r="B12612" i="9"/>
  <c r="H12611" i="9"/>
  <c r="G12611" i="9"/>
  <c r="E12611" i="9"/>
  <c r="D12611" i="9"/>
  <c r="C12611" i="9"/>
  <c r="B12611" i="9"/>
  <c r="H12610" i="9"/>
  <c r="G12610" i="9"/>
  <c r="E12610" i="9"/>
  <c r="D12610" i="9"/>
  <c r="C12610" i="9"/>
  <c r="B12610" i="9"/>
  <c r="H12609" i="9"/>
  <c r="G12609" i="9"/>
  <c r="E12609" i="9"/>
  <c r="D12609" i="9"/>
  <c r="C12609" i="9"/>
  <c r="B12609" i="9"/>
  <c r="H12608" i="9"/>
  <c r="G12608" i="9"/>
  <c r="E12608" i="9"/>
  <c r="D12608" i="9"/>
  <c r="C12608" i="9"/>
  <c r="B12608" i="9"/>
  <c r="H12607" i="9"/>
  <c r="G12607" i="9"/>
  <c r="E12607" i="9"/>
  <c r="D12607" i="9"/>
  <c r="C12607" i="9"/>
  <c r="B12607" i="9"/>
  <c r="H12606" i="9"/>
  <c r="G12606" i="9"/>
  <c r="E12606" i="9"/>
  <c r="D12606" i="9"/>
  <c r="C12606" i="9"/>
  <c r="B12606" i="9"/>
  <c r="H12605" i="9"/>
  <c r="G12605" i="9"/>
  <c r="E12605" i="9"/>
  <c r="D12605" i="9"/>
  <c r="C12605" i="9"/>
  <c r="B12605" i="9"/>
  <c r="H12604" i="9"/>
  <c r="G12604" i="9"/>
  <c r="E12604" i="9"/>
  <c r="D12604" i="9"/>
  <c r="C12604" i="9"/>
  <c r="B12604" i="9"/>
  <c r="H12603" i="9"/>
  <c r="G12603" i="9"/>
  <c r="E12603" i="9"/>
  <c r="D12603" i="9"/>
  <c r="C12603" i="9"/>
  <c r="B12603" i="9"/>
  <c r="H12602" i="9"/>
  <c r="G12602" i="9"/>
  <c r="E12602" i="9"/>
  <c r="D12602" i="9"/>
  <c r="C12602" i="9"/>
  <c r="B12602" i="9"/>
  <c r="H12601" i="9"/>
  <c r="G12601" i="9"/>
  <c r="E12601" i="9"/>
  <c r="D12601" i="9"/>
  <c r="C12601" i="9"/>
  <c r="B12601" i="9"/>
  <c r="H12600" i="9"/>
  <c r="G12600" i="9"/>
  <c r="E12600" i="9"/>
  <c r="D12600" i="9"/>
  <c r="C12600" i="9"/>
  <c r="B12600" i="9"/>
  <c r="H12599" i="9"/>
  <c r="G12599" i="9"/>
  <c r="E12599" i="9"/>
  <c r="D12599" i="9"/>
  <c r="C12599" i="9"/>
  <c r="B12599" i="9"/>
  <c r="H12598" i="9"/>
  <c r="G12598" i="9"/>
  <c r="E12598" i="9"/>
  <c r="D12598" i="9"/>
  <c r="C12598" i="9"/>
  <c r="B12598" i="9"/>
  <c r="H12597" i="9"/>
  <c r="G12597" i="9"/>
  <c r="E12597" i="9"/>
  <c r="D12597" i="9"/>
  <c r="C12597" i="9"/>
  <c r="B12597" i="9"/>
  <c r="H12596" i="9"/>
  <c r="G12596" i="9"/>
  <c r="E12596" i="9"/>
  <c r="D12596" i="9"/>
  <c r="C12596" i="9"/>
  <c r="B12596" i="9"/>
  <c r="H12595" i="9"/>
  <c r="G12595" i="9"/>
  <c r="E12595" i="9"/>
  <c r="D12595" i="9"/>
  <c r="C12595" i="9"/>
  <c r="B12595" i="9"/>
  <c r="H12594" i="9"/>
  <c r="G12594" i="9"/>
  <c r="E12594" i="9"/>
  <c r="D12594" i="9"/>
  <c r="C12594" i="9"/>
  <c r="B12594" i="9"/>
  <c r="H12593" i="9"/>
  <c r="G12593" i="9"/>
  <c r="E12593" i="9"/>
  <c r="D12593" i="9"/>
  <c r="C12593" i="9"/>
  <c r="B12593" i="9"/>
  <c r="H12592" i="9"/>
  <c r="G12592" i="9"/>
  <c r="E12592" i="9"/>
  <c r="D12592" i="9"/>
  <c r="C12592" i="9"/>
  <c r="B12592" i="9"/>
  <c r="H12591" i="9"/>
  <c r="G12591" i="9"/>
  <c r="E12591" i="9"/>
  <c r="D12591" i="9"/>
  <c r="C12591" i="9"/>
  <c r="B12591" i="9"/>
  <c r="H12590" i="9"/>
  <c r="G12590" i="9"/>
  <c r="E12590" i="9"/>
  <c r="D12590" i="9"/>
  <c r="C12590" i="9"/>
  <c r="B12590" i="9"/>
  <c r="H12589" i="9"/>
  <c r="G12589" i="9"/>
  <c r="E12589" i="9"/>
  <c r="D12589" i="9"/>
  <c r="C12589" i="9"/>
  <c r="B12589" i="9"/>
  <c r="H12588" i="9"/>
  <c r="G12588" i="9"/>
  <c r="E12588" i="9"/>
  <c r="D12588" i="9"/>
  <c r="C12588" i="9"/>
  <c r="B12588" i="9"/>
  <c r="H12587" i="9"/>
  <c r="G12587" i="9"/>
  <c r="E12587" i="9"/>
  <c r="D12587" i="9"/>
  <c r="C12587" i="9"/>
  <c r="B12587" i="9"/>
  <c r="H12586" i="9"/>
  <c r="G12586" i="9"/>
  <c r="E12586" i="9"/>
  <c r="D12586" i="9"/>
  <c r="C12586" i="9"/>
  <c r="B12586" i="9"/>
  <c r="H12585" i="9"/>
  <c r="G12585" i="9"/>
  <c r="E12585" i="9"/>
  <c r="D12585" i="9"/>
  <c r="C12585" i="9"/>
  <c r="B12585" i="9"/>
  <c r="H12584" i="9"/>
  <c r="G12584" i="9"/>
  <c r="E12584" i="9"/>
  <c r="D12584" i="9"/>
  <c r="C12584" i="9"/>
  <c r="B12584" i="9"/>
  <c r="H12583" i="9"/>
  <c r="G12583" i="9"/>
  <c r="E12583" i="9"/>
  <c r="D12583" i="9"/>
  <c r="C12583" i="9"/>
  <c r="B12583" i="9"/>
  <c r="H12582" i="9"/>
  <c r="G12582" i="9"/>
  <c r="E12582" i="9"/>
  <c r="D12582" i="9"/>
  <c r="C12582" i="9"/>
  <c r="B12582" i="9"/>
  <c r="H12581" i="9"/>
  <c r="G12581" i="9"/>
  <c r="E12581" i="9"/>
  <c r="D12581" i="9"/>
  <c r="C12581" i="9"/>
  <c r="B12581" i="9"/>
  <c r="H12580" i="9"/>
  <c r="G12580" i="9"/>
  <c r="E12580" i="9"/>
  <c r="D12580" i="9"/>
  <c r="C12580" i="9"/>
  <c r="B12580" i="9"/>
  <c r="H12579" i="9"/>
  <c r="G12579" i="9"/>
  <c r="E12579" i="9"/>
  <c r="D12579" i="9"/>
  <c r="C12579" i="9"/>
  <c r="B12579" i="9"/>
  <c r="H12578" i="9"/>
  <c r="G12578" i="9"/>
  <c r="E12578" i="9"/>
  <c r="D12578" i="9"/>
  <c r="C12578" i="9"/>
  <c r="B12578" i="9"/>
  <c r="H12577" i="9"/>
  <c r="G12577" i="9"/>
  <c r="E12577" i="9"/>
  <c r="D12577" i="9"/>
  <c r="C12577" i="9"/>
  <c r="B12577" i="9"/>
  <c r="H12576" i="9"/>
  <c r="G12576" i="9"/>
  <c r="E12576" i="9"/>
  <c r="D12576" i="9"/>
  <c r="C12576" i="9"/>
  <c r="B12576" i="9"/>
  <c r="H12575" i="9"/>
  <c r="G12575" i="9"/>
  <c r="E12575" i="9"/>
  <c r="D12575" i="9"/>
  <c r="C12575" i="9"/>
  <c r="B12575" i="9"/>
  <c r="H12574" i="9"/>
  <c r="G12574" i="9"/>
  <c r="E12574" i="9"/>
  <c r="D12574" i="9"/>
  <c r="C12574" i="9"/>
  <c r="B12574" i="9"/>
  <c r="H12573" i="9"/>
  <c r="G12573" i="9"/>
  <c r="E12573" i="9"/>
  <c r="D12573" i="9"/>
  <c r="C12573" i="9"/>
  <c r="B12573" i="9"/>
  <c r="H12572" i="9"/>
  <c r="G12572" i="9"/>
  <c r="E12572" i="9"/>
  <c r="D12572" i="9"/>
  <c r="C12572" i="9"/>
  <c r="B12572" i="9"/>
  <c r="H12571" i="9"/>
  <c r="G12571" i="9"/>
  <c r="E12571" i="9"/>
  <c r="D12571" i="9"/>
  <c r="C12571" i="9"/>
  <c r="B12571" i="9"/>
  <c r="H12570" i="9"/>
  <c r="G12570" i="9"/>
  <c r="E12570" i="9"/>
  <c r="D12570" i="9"/>
  <c r="C12570" i="9"/>
  <c r="B12570" i="9"/>
  <c r="H12569" i="9"/>
  <c r="G12569" i="9"/>
  <c r="E12569" i="9"/>
  <c r="D12569" i="9"/>
  <c r="C12569" i="9"/>
  <c r="B12569" i="9"/>
  <c r="H12568" i="9"/>
  <c r="G12568" i="9"/>
  <c r="E12568" i="9"/>
  <c r="D12568" i="9"/>
  <c r="C12568" i="9"/>
  <c r="B12568" i="9"/>
  <c r="H12567" i="9"/>
  <c r="G12567" i="9"/>
  <c r="E12567" i="9"/>
  <c r="D12567" i="9"/>
  <c r="C12567" i="9"/>
  <c r="B12567" i="9"/>
  <c r="H12566" i="9"/>
  <c r="G12566" i="9"/>
  <c r="E12566" i="9"/>
  <c r="D12566" i="9"/>
  <c r="C12566" i="9"/>
  <c r="B12566" i="9"/>
  <c r="H12565" i="9"/>
  <c r="G12565" i="9"/>
  <c r="E12565" i="9"/>
  <c r="D12565" i="9"/>
  <c r="C12565" i="9"/>
  <c r="B12565" i="9"/>
  <c r="H12564" i="9"/>
  <c r="G12564" i="9"/>
  <c r="E12564" i="9"/>
  <c r="D12564" i="9"/>
  <c r="C12564" i="9"/>
  <c r="B12564" i="9"/>
  <c r="H12563" i="9"/>
  <c r="G12563" i="9"/>
  <c r="E12563" i="9"/>
  <c r="D12563" i="9"/>
  <c r="C12563" i="9"/>
  <c r="B12563" i="9"/>
  <c r="H12562" i="9"/>
  <c r="G12562" i="9"/>
  <c r="E12562" i="9"/>
  <c r="D12562" i="9"/>
  <c r="C12562" i="9"/>
  <c r="B12562" i="9"/>
  <c r="H12561" i="9"/>
  <c r="G12561" i="9"/>
  <c r="E12561" i="9"/>
  <c r="D12561" i="9"/>
  <c r="C12561" i="9"/>
  <c r="B12561" i="9"/>
  <c r="H12560" i="9"/>
  <c r="G12560" i="9"/>
  <c r="E12560" i="9"/>
  <c r="D12560" i="9"/>
  <c r="C12560" i="9"/>
  <c r="B12560" i="9"/>
  <c r="H12559" i="9"/>
  <c r="G12559" i="9"/>
  <c r="E12559" i="9"/>
  <c r="D12559" i="9"/>
  <c r="C12559" i="9"/>
  <c r="B12559" i="9"/>
  <c r="H12558" i="9"/>
  <c r="G12558" i="9"/>
  <c r="E12558" i="9"/>
  <c r="D12558" i="9"/>
  <c r="C12558" i="9"/>
  <c r="B12558" i="9"/>
  <c r="H12557" i="9"/>
  <c r="G12557" i="9"/>
  <c r="E12557" i="9"/>
  <c r="D12557" i="9"/>
  <c r="C12557" i="9"/>
  <c r="B12557" i="9"/>
  <c r="H12556" i="9"/>
  <c r="G12556" i="9"/>
  <c r="E12556" i="9"/>
  <c r="D12556" i="9"/>
  <c r="C12556" i="9"/>
  <c r="B12556" i="9"/>
  <c r="H12555" i="9"/>
  <c r="G12555" i="9"/>
  <c r="E12555" i="9"/>
  <c r="D12555" i="9"/>
  <c r="C12555" i="9"/>
  <c r="B12555" i="9"/>
  <c r="H12554" i="9"/>
  <c r="G12554" i="9"/>
  <c r="E12554" i="9"/>
  <c r="D12554" i="9"/>
  <c r="C12554" i="9"/>
  <c r="B12554" i="9"/>
  <c r="H12553" i="9"/>
  <c r="G12553" i="9"/>
  <c r="E12553" i="9"/>
  <c r="D12553" i="9"/>
  <c r="C12553" i="9"/>
  <c r="B12553" i="9"/>
  <c r="H12552" i="9"/>
  <c r="G12552" i="9"/>
  <c r="E12552" i="9"/>
  <c r="D12552" i="9"/>
  <c r="C12552" i="9"/>
  <c r="B12552" i="9"/>
  <c r="H12551" i="9"/>
  <c r="G12551" i="9"/>
  <c r="E12551" i="9"/>
  <c r="D12551" i="9"/>
  <c r="C12551" i="9"/>
  <c r="B12551" i="9"/>
  <c r="H12550" i="9"/>
  <c r="G12550" i="9"/>
  <c r="E12550" i="9"/>
  <c r="D12550" i="9"/>
  <c r="C12550" i="9"/>
  <c r="B12550" i="9"/>
  <c r="H12549" i="9"/>
  <c r="G12549" i="9"/>
  <c r="E12549" i="9"/>
  <c r="D12549" i="9"/>
  <c r="C12549" i="9"/>
  <c r="B12549" i="9"/>
  <c r="H12548" i="9"/>
  <c r="G12548" i="9"/>
  <c r="E12548" i="9"/>
  <c r="D12548" i="9"/>
  <c r="C12548" i="9"/>
  <c r="B12548" i="9"/>
  <c r="H12547" i="9"/>
  <c r="G12547" i="9"/>
  <c r="E12547" i="9"/>
  <c r="D12547" i="9"/>
  <c r="C12547" i="9"/>
  <c r="B12547" i="9"/>
  <c r="H12546" i="9"/>
  <c r="G12546" i="9"/>
  <c r="E12546" i="9"/>
  <c r="D12546" i="9"/>
  <c r="C12546" i="9"/>
  <c r="B12546" i="9"/>
  <c r="H12545" i="9"/>
  <c r="G12545" i="9"/>
  <c r="E12545" i="9"/>
  <c r="D12545" i="9"/>
  <c r="C12545" i="9"/>
  <c r="B12545" i="9"/>
  <c r="H12544" i="9"/>
  <c r="G12544" i="9"/>
  <c r="E12544" i="9"/>
  <c r="D12544" i="9"/>
  <c r="C12544" i="9"/>
  <c r="B12544" i="9"/>
  <c r="H12543" i="9"/>
  <c r="G12543" i="9"/>
  <c r="E12543" i="9"/>
  <c r="D12543" i="9"/>
  <c r="C12543" i="9"/>
  <c r="B12543" i="9"/>
  <c r="H12542" i="9"/>
  <c r="G12542" i="9"/>
  <c r="E12542" i="9"/>
  <c r="D12542" i="9"/>
  <c r="C12542" i="9"/>
  <c r="B12542" i="9"/>
  <c r="H12541" i="9"/>
  <c r="G12541" i="9"/>
  <c r="E12541" i="9"/>
  <c r="D12541" i="9"/>
  <c r="C12541" i="9"/>
  <c r="B12541" i="9"/>
  <c r="H12540" i="9"/>
  <c r="G12540" i="9"/>
  <c r="E12540" i="9"/>
  <c r="D12540" i="9"/>
  <c r="C12540" i="9"/>
  <c r="B12540" i="9"/>
  <c r="H12539" i="9"/>
  <c r="G12539" i="9"/>
  <c r="E12539" i="9"/>
  <c r="D12539" i="9"/>
  <c r="C12539" i="9"/>
  <c r="B12539" i="9"/>
  <c r="H12538" i="9"/>
  <c r="G12538" i="9"/>
  <c r="E12538" i="9"/>
  <c r="D12538" i="9"/>
  <c r="C12538" i="9"/>
  <c r="B12538" i="9"/>
  <c r="H12537" i="9"/>
  <c r="G12537" i="9"/>
  <c r="E12537" i="9"/>
  <c r="D12537" i="9"/>
  <c r="C12537" i="9"/>
  <c r="B12537" i="9"/>
  <c r="H12536" i="9"/>
  <c r="G12536" i="9"/>
  <c r="E12536" i="9"/>
  <c r="D12536" i="9"/>
  <c r="C12536" i="9"/>
  <c r="B12536" i="9"/>
  <c r="H12535" i="9"/>
  <c r="G12535" i="9"/>
  <c r="E12535" i="9"/>
  <c r="D12535" i="9"/>
  <c r="C12535" i="9"/>
  <c r="B12535" i="9"/>
  <c r="H12534" i="9"/>
  <c r="G12534" i="9"/>
  <c r="E12534" i="9"/>
  <c r="D12534" i="9"/>
  <c r="C12534" i="9"/>
  <c r="B12534" i="9"/>
  <c r="H12533" i="9"/>
  <c r="G12533" i="9"/>
  <c r="E12533" i="9"/>
  <c r="D12533" i="9"/>
  <c r="C12533" i="9"/>
  <c r="B12533" i="9"/>
  <c r="H12532" i="9"/>
  <c r="G12532" i="9"/>
  <c r="E12532" i="9"/>
  <c r="D12532" i="9"/>
  <c r="C12532" i="9"/>
  <c r="B12532" i="9"/>
  <c r="H12531" i="9"/>
  <c r="G12531" i="9"/>
  <c r="E12531" i="9"/>
  <c r="D12531" i="9"/>
  <c r="C12531" i="9"/>
  <c r="B12531" i="9"/>
  <c r="H12530" i="9"/>
  <c r="G12530" i="9"/>
  <c r="E12530" i="9"/>
  <c r="D12530" i="9"/>
  <c r="C12530" i="9"/>
  <c r="B12530" i="9"/>
  <c r="H12529" i="9"/>
  <c r="G12529" i="9"/>
  <c r="E12529" i="9"/>
  <c r="D12529" i="9"/>
  <c r="C12529" i="9"/>
  <c r="B12529" i="9"/>
  <c r="H12528" i="9"/>
  <c r="G12528" i="9"/>
  <c r="E12528" i="9"/>
  <c r="D12528" i="9"/>
  <c r="C12528" i="9"/>
  <c r="B12528" i="9"/>
  <c r="H12527" i="9"/>
  <c r="G12527" i="9"/>
  <c r="E12527" i="9"/>
  <c r="D12527" i="9"/>
  <c r="C12527" i="9"/>
  <c r="B12527" i="9"/>
  <c r="H12526" i="9"/>
  <c r="G12526" i="9"/>
  <c r="E12526" i="9"/>
  <c r="D12526" i="9"/>
  <c r="C12526" i="9"/>
  <c r="B12526" i="9"/>
  <c r="H12525" i="9"/>
  <c r="G12525" i="9"/>
  <c r="E12525" i="9"/>
  <c r="D12525" i="9"/>
  <c r="C12525" i="9"/>
  <c r="B12525" i="9"/>
  <c r="H12524" i="9"/>
  <c r="G12524" i="9"/>
  <c r="E12524" i="9"/>
  <c r="D12524" i="9"/>
  <c r="C12524" i="9"/>
  <c r="B12524" i="9"/>
  <c r="H12523" i="9"/>
  <c r="G12523" i="9"/>
  <c r="E12523" i="9"/>
  <c r="D12523" i="9"/>
  <c r="C12523" i="9"/>
  <c r="B12523" i="9"/>
  <c r="H12522" i="9"/>
  <c r="G12522" i="9"/>
  <c r="E12522" i="9"/>
  <c r="D12522" i="9"/>
  <c r="C12522" i="9"/>
  <c r="B12522" i="9"/>
  <c r="H12521" i="9"/>
  <c r="G12521" i="9"/>
  <c r="E12521" i="9"/>
  <c r="D12521" i="9"/>
  <c r="C12521" i="9"/>
  <c r="B12521" i="9"/>
  <c r="H12520" i="9"/>
  <c r="G12520" i="9"/>
  <c r="E12520" i="9"/>
  <c r="D12520" i="9"/>
  <c r="C12520" i="9"/>
  <c r="B12520" i="9"/>
  <c r="H12519" i="9"/>
  <c r="G12519" i="9"/>
  <c r="E12519" i="9"/>
  <c r="D12519" i="9"/>
  <c r="C12519" i="9"/>
  <c r="B12519" i="9"/>
  <c r="H12518" i="9"/>
  <c r="G12518" i="9"/>
  <c r="E12518" i="9"/>
  <c r="D12518" i="9"/>
  <c r="C12518" i="9"/>
  <c r="B12518" i="9"/>
  <c r="H12517" i="9"/>
  <c r="G12517" i="9"/>
  <c r="E12517" i="9"/>
  <c r="D12517" i="9"/>
  <c r="C12517" i="9"/>
  <c r="B12517" i="9"/>
  <c r="H12516" i="9"/>
  <c r="G12516" i="9"/>
  <c r="E12516" i="9"/>
  <c r="D12516" i="9"/>
  <c r="C12516" i="9"/>
  <c r="B12516" i="9"/>
  <c r="H12515" i="9"/>
  <c r="G12515" i="9"/>
  <c r="E12515" i="9"/>
  <c r="D12515" i="9"/>
  <c r="C12515" i="9"/>
  <c r="B12515" i="9"/>
  <c r="H12514" i="9"/>
  <c r="G12514" i="9"/>
  <c r="E12514" i="9"/>
  <c r="D12514" i="9"/>
  <c r="C12514" i="9"/>
  <c r="B12514" i="9"/>
  <c r="H12513" i="9"/>
  <c r="G12513" i="9"/>
  <c r="E12513" i="9"/>
  <c r="D12513" i="9"/>
  <c r="C12513" i="9"/>
  <c r="B12513" i="9"/>
  <c r="H12512" i="9"/>
  <c r="G12512" i="9"/>
  <c r="E12512" i="9"/>
  <c r="D12512" i="9"/>
  <c r="C12512" i="9"/>
  <c r="B12512" i="9"/>
  <c r="H12511" i="9"/>
  <c r="G12511" i="9"/>
  <c r="E12511" i="9"/>
  <c r="D12511" i="9"/>
  <c r="C12511" i="9"/>
  <c r="B12511" i="9"/>
  <c r="H12510" i="9"/>
  <c r="G12510" i="9"/>
  <c r="E12510" i="9"/>
  <c r="D12510" i="9"/>
  <c r="C12510" i="9"/>
  <c r="B12510" i="9"/>
  <c r="H12509" i="9"/>
  <c r="G12509" i="9"/>
  <c r="E12509" i="9"/>
  <c r="D12509" i="9"/>
  <c r="C12509" i="9"/>
  <c r="B12509" i="9"/>
  <c r="H12508" i="9"/>
  <c r="G12508" i="9"/>
  <c r="E12508" i="9"/>
  <c r="D12508" i="9"/>
  <c r="C12508" i="9"/>
  <c r="B12508" i="9"/>
  <c r="H12507" i="9"/>
  <c r="G12507" i="9"/>
  <c r="E12507" i="9"/>
  <c r="D12507" i="9"/>
  <c r="C12507" i="9"/>
  <c r="B12507" i="9"/>
  <c r="H12506" i="9"/>
  <c r="G12506" i="9"/>
  <c r="E12506" i="9"/>
  <c r="D12506" i="9"/>
  <c r="C12506" i="9"/>
  <c r="B12506" i="9"/>
  <c r="H12505" i="9"/>
  <c r="G12505" i="9"/>
  <c r="E12505" i="9"/>
  <c r="D12505" i="9"/>
  <c r="C12505" i="9"/>
  <c r="B12505" i="9"/>
  <c r="H12504" i="9"/>
  <c r="G12504" i="9"/>
  <c r="E12504" i="9"/>
  <c r="D12504" i="9"/>
  <c r="C12504" i="9"/>
  <c r="B12504" i="9"/>
  <c r="H12503" i="9"/>
  <c r="G12503" i="9"/>
  <c r="E12503" i="9"/>
  <c r="D12503" i="9"/>
  <c r="C12503" i="9"/>
  <c r="B12503" i="9"/>
  <c r="H12502" i="9"/>
  <c r="G12502" i="9"/>
  <c r="E12502" i="9"/>
  <c r="D12502" i="9"/>
  <c r="C12502" i="9"/>
  <c r="B12502" i="9"/>
  <c r="H12501" i="9"/>
  <c r="G12501" i="9"/>
  <c r="E12501" i="9"/>
  <c r="D12501" i="9"/>
  <c r="C12501" i="9"/>
  <c r="B12501" i="9"/>
  <c r="H12500" i="9"/>
  <c r="G12500" i="9"/>
  <c r="E12500" i="9"/>
  <c r="D12500" i="9"/>
  <c r="C12500" i="9"/>
  <c r="B12500" i="9"/>
  <c r="H12499" i="9"/>
  <c r="G12499" i="9"/>
  <c r="E12499" i="9"/>
  <c r="D12499" i="9"/>
  <c r="C12499" i="9"/>
  <c r="B12499" i="9"/>
  <c r="H12498" i="9"/>
  <c r="G12498" i="9"/>
  <c r="E12498" i="9"/>
  <c r="D12498" i="9"/>
  <c r="C12498" i="9"/>
  <c r="B12498" i="9"/>
  <c r="H12497" i="9"/>
  <c r="G12497" i="9"/>
  <c r="E12497" i="9"/>
  <c r="D12497" i="9"/>
  <c r="C12497" i="9"/>
  <c r="B12497" i="9"/>
  <c r="H12496" i="9"/>
  <c r="G12496" i="9"/>
  <c r="E12496" i="9"/>
  <c r="D12496" i="9"/>
  <c r="C12496" i="9"/>
  <c r="B12496" i="9"/>
  <c r="H12495" i="9"/>
  <c r="G12495" i="9"/>
  <c r="E12495" i="9"/>
  <c r="D12495" i="9"/>
  <c r="C12495" i="9"/>
  <c r="B12495" i="9"/>
  <c r="H12494" i="9"/>
  <c r="G12494" i="9"/>
  <c r="E12494" i="9"/>
  <c r="D12494" i="9"/>
  <c r="C12494" i="9"/>
  <c r="B12494" i="9"/>
  <c r="H12493" i="9"/>
  <c r="G12493" i="9"/>
  <c r="E12493" i="9"/>
  <c r="D12493" i="9"/>
  <c r="C12493" i="9"/>
  <c r="B12493" i="9"/>
  <c r="H12492" i="9"/>
  <c r="G12492" i="9"/>
  <c r="E12492" i="9"/>
  <c r="D12492" i="9"/>
  <c r="C12492" i="9"/>
  <c r="B12492" i="9"/>
  <c r="H12491" i="9"/>
  <c r="G12491" i="9"/>
  <c r="E12491" i="9"/>
  <c r="D12491" i="9"/>
  <c r="C12491" i="9"/>
  <c r="B12491" i="9"/>
  <c r="H12490" i="9"/>
  <c r="G12490" i="9"/>
  <c r="E12490" i="9"/>
  <c r="D12490" i="9"/>
  <c r="C12490" i="9"/>
  <c r="B12490" i="9"/>
  <c r="H12489" i="9"/>
  <c r="G12489" i="9"/>
  <c r="E12489" i="9"/>
  <c r="D12489" i="9"/>
  <c r="C12489" i="9"/>
  <c r="B12489" i="9"/>
  <c r="H12488" i="9"/>
  <c r="G12488" i="9"/>
  <c r="E12488" i="9"/>
  <c r="D12488" i="9"/>
  <c r="C12488" i="9"/>
  <c r="B12488" i="9"/>
  <c r="H12487" i="9"/>
  <c r="G12487" i="9"/>
  <c r="E12487" i="9"/>
  <c r="D12487" i="9"/>
  <c r="C12487" i="9"/>
  <c r="B12487" i="9"/>
  <c r="H12486" i="9"/>
  <c r="G12486" i="9"/>
  <c r="E12486" i="9"/>
  <c r="D12486" i="9"/>
  <c r="C12486" i="9"/>
  <c r="B12486" i="9"/>
  <c r="H12485" i="9"/>
  <c r="G12485" i="9"/>
  <c r="E12485" i="9"/>
  <c r="D12485" i="9"/>
  <c r="C12485" i="9"/>
  <c r="B12485" i="9"/>
  <c r="H12484" i="9"/>
  <c r="G12484" i="9"/>
  <c r="E12484" i="9"/>
  <c r="D12484" i="9"/>
  <c r="C12484" i="9"/>
  <c r="B12484" i="9"/>
  <c r="H12483" i="9"/>
  <c r="G12483" i="9"/>
  <c r="E12483" i="9"/>
  <c r="D12483" i="9"/>
  <c r="C12483" i="9"/>
  <c r="B12483" i="9"/>
  <c r="H12482" i="9"/>
  <c r="G12482" i="9"/>
  <c r="E12482" i="9"/>
  <c r="D12482" i="9"/>
  <c r="C12482" i="9"/>
  <c r="B12482" i="9"/>
  <c r="H12481" i="9"/>
  <c r="G12481" i="9"/>
  <c r="E12481" i="9"/>
  <c r="D12481" i="9"/>
  <c r="C12481" i="9"/>
  <c r="B12481" i="9"/>
  <c r="H12480" i="9"/>
  <c r="G12480" i="9"/>
  <c r="E12480" i="9"/>
  <c r="D12480" i="9"/>
  <c r="C12480" i="9"/>
  <c r="B12480" i="9"/>
  <c r="H12479" i="9"/>
  <c r="G12479" i="9"/>
  <c r="E12479" i="9"/>
  <c r="D12479" i="9"/>
  <c r="C12479" i="9"/>
  <c r="B12479" i="9"/>
  <c r="H12478" i="9"/>
  <c r="G12478" i="9"/>
  <c r="E12478" i="9"/>
  <c r="D12478" i="9"/>
  <c r="C12478" i="9"/>
  <c r="B12478" i="9"/>
  <c r="H12477" i="9"/>
  <c r="G12477" i="9"/>
  <c r="E12477" i="9"/>
  <c r="D12477" i="9"/>
  <c r="C12477" i="9"/>
  <c r="B12477" i="9"/>
  <c r="H12476" i="9"/>
  <c r="G12476" i="9"/>
  <c r="E12476" i="9"/>
  <c r="D12476" i="9"/>
  <c r="C12476" i="9"/>
  <c r="B12476" i="9"/>
  <c r="H12475" i="9"/>
  <c r="G12475" i="9"/>
  <c r="E12475" i="9"/>
  <c r="D12475" i="9"/>
  <c r="C12475" i="9"/>
  <c r="B12475" i="9"/>
  <c r="H12474" i="9"/>
  <c r="G12474" i="9"/>
  <c r="E12474" i="9"/>
  <c r="D12474" i="9"/>
  <c r="C12474" i="9"/>
  <c r="B12474" i="9"/>
  <c r="H12473" i="9"/>
  <c r="G12473" i="9"/>
  <c r="E12473" i="9"/>
  <c r="D12473" i="9"/>
  <c r="C12473" i="9"/>
  <c r="B12473" i="9"/>
  <c r="H12472" i="9"/>
  <c r="G12472" i="9"/>
  <c r="E12472" i="9"/>
  <c r="D12472" i="9"/>
  <c r="C12472" i="9"/>
  <c r="B12472" i="9"/>
  <c r="H12471" i="9"/>
  <c r="G12471" i="9"/>
  <c r="E12471" i="9"/>
  <c r="D12471" i="9"/>
  <c r="C12471" i="9"/>
  <c r="B12471" i="9"/>
  <c r="H12470" i="9"/>
  <c r="G12470" i="9"/>
  <c r="E12470" i="9"/>
  <c r="D12470" i="9"/>
  <c r="C12470" i="9"/>
  <c r="B12470" i="9"/>
  <c r="H12469" i="9"/>
  <c r="G12469" i="9"/>
  <c r="E12469" i="9"/>
  <c r="D12469" i="9"/>
  <c r="C12469" i="9"/>
  <c r="B12469" i="9"/>
  <c r="H12468" i="9"/>
  <c r="G12468" i="9"/>
  <c r="E12468" i="9"/>
  <c r="D12468" i="9"/>
  <c r="C12468" i="9"/>
  <c r="B12468" i="9"/>
  <c r="H12467" i="9"/>
  <c r="G12467" i="9"/>
  <c r="E12467" i="9"/>
  <c r="D12467" i="9"/>
  <c r="C12467" i="9"/>
  <c r="B12467" i="9"/>
  <c r="H12466" i="9"/>
  <c r="G12466" i="9"/>
  <c r="E12466" i="9"/>
  <c r="D12466" i="9"/>
  <c r="C12466" i="9"/>
  <c r="B12466" i="9"/>
  <c r="H12465" i="9"/>
  <c r="G12465" i="9"/>
  <c r="E12465" i="9"/>
  <c r="D12465" i="9"/>
  <c r="C12465" i="9"/>
  <c r="B12465" i="9"/>
  <c r="H12464" i="9"/>
  <c r="G12464" i="9"/>
  <c r="E12464" i="9"/>
  <c r="D12464" i="9"/>
  <c r="C12464" i="9"/>
  <c r="B12464" i="9"/>
  <c r="H12463" i="9"/>
  <c r="G12463" i="9"/>
  <c r="E12463" i="9"/>
  <c r="D12463" i="9"/>
  <c r="C12463" i="9"/>
  <c r="B12463" i="9"/>
  <c r="H12462" i="9"/>
  <c r="G12462" i="9"/>
  <c r="E12462" i="9"/>
  <c r="D12462" i="9"/>
  <c r="C12462" i="9"/>
  <c r="B12462" i="9"/>
  <c r="H12461" i="9"/>
  <c r="G12461" i="9"/>
  <c r="E12461" i="9"/>
  <c r="D12461" i="9"/>
  <c r="C12461" i="9"/>
  <c r="B12461" i="9"/>
  <c r="H12460" i="9"/>
  <c r="G12460" i="9"/>
  <c r="E12460" i="9"/>
  <c r="D12460" i="9"/>
  <c r="C12460" i="9"/>
  <c r="B12460" i="9"/>
  <c r="H12459" i="9"/>
  <c r="G12459" i="9"/>
  <c r="E12459" i="9"/>
  <c r="D12459" i="9"/>
  <c r="C12459" i="9"/>
  <c r="B12459" i="9"/>
  <c r="H12458" i="9"/>
  <c r="G12458" i="9"/>
  <c r="E12458" i="9"/>
  <c r="D12458" i="9"/>
  <c r="C12458" i="9"/>
  <c r="B12458" i="9"/>
  <c r="H12457" i="9"/>
  <c r="G12457" i="9"/>
  <c r="E12457" i="9"/>
  <c r="D12457" i="9"/>
  <c r="C12457" i="9"/>
  <c r="B12457" i="9"/>
  <c r="H12456" i="9"/>
  <c r="G12456" i="9"/>
  <c r="E12456" i="9"/>
  <c r="D12456" i="9"/>
  <c r="C12456" i="9"/>
  <c r="B12456" i="9"/>
  <c r="H12455" i="9"/>
  <c r="G12455" i="9"/>
  <c r="E12455" i="9"/>
  <c r="D12455" i="9"/>
  <c r="C12455" i="9"/>
  <c r="B12455" i="9"/>
  <c r="H12454" i="9"/>
  <c r="G12454" i="9"/>
  <c r="E12454" i="9"/>
  <c r="D12454" i="9"/>
  <c r="C12454" i="9"/>
  <c r="B12454" i="9"/>
  <c r="H12453" i="9"/>
  <c r="G12453" i="9"/>
  <c r="E12453" i="9"/>
  <c r="D12453" i="9"/>
  <c r="C12453" i="9"/>
  <c r="B12453" i="9"/>
  <c r="H12452" i="9"/>
  <c r="G12452" i="9"/>
  <c r="E12452" i="9"/>
  <c r="D12452" i="9"/>
  <c r="C12452" i="9"/>
  <c r="B12452" i="9"/>
  <c r="H12451" i="9"/>
  <c r="G12451" i="9"/>
  <c r="E12451" i="9"/>
  <c r="D12451" i="9"/>
  <c r="C12451" i="9"/>
  <c r="B12451" i="9"/>
  <c r="H12450" i="9"/>
  <c r="G12450" i="9"/>
  <c r="E12450" i="9"/>
  <c r="D12450" i="9"/>
  <c r="C12450" i="9"/>
  <c r="B12450" i="9"/>
  <c r="H12449" i="9"/>
  <c r="G12449" i="9"/>
  <c r="E12449" i="9"/>
  <c r="D12449" i="9"/>
  <c r="C12449" i="9"/>
  <c r="B12449" i="9"/>
  <c r="H12448" i="9"/>
  <c r="G12448" i="9"/>
  <c r="E12448" i="9"/>
  <c r="D12448" i="9"/>
  <c r="C12448" i="9"/>
  <c r="B12448" i="9"/>
  <c r="H12447" i="9"/>
  <c r="G12447" i="9"/>
  <c r="E12447" i="9"/>
  <c r="D12447" i="9"/>
  <c r="C12447" i="9"/>
  <c r="B12447" i="9"/>
  <c r="H12446" i="9"/>
  <c r="G12446" i="9"/>
  <c r="E12446" i="9"/>
  <c r="D12446" i="9"/>
  <c r="C12446" i="9"/>
  <c r="B12446" i="9"/>
  <c r="H12445" i="9"/>
  <c r="G12445" i="9"/>
  <c r="E12445" i="9"/>
  <c r="D12445" i="9"/>
  <c r="C12445" i="9"/>
  <c r="B12445" i="9"/>
  <c r="H12444" i="9"/>
  <c r="G12444" i="9"/>
  <c r="E12444" i="9"/>
  <c r="D12444" i="9"/>
  <c r="C12444" i="9"/>
  <c r="B12444" i="9"/>
  <c r="H12443" i="9"/>
  <c r="G12443" i="9"/>
  <c r="E12443" i="9"/>
  <c r="D12443" i="9"/>
  <c r="C12443" i="9"/>
  <c r="B12443" i="9"/>
  <c r="H12442" i="9"/>
  <c r="G12442" i="9"/>
  <c r="E12442" i="9"/>
  <c r="D12442" i="9"/>
  <c r="C12442" i="9"/>
  <c r="B12442" i="9"/>
  <c r="H12441" i="9"/>
  <c r="G12441" i="9"/>
  <c r="E12441" i="9"/>
  <c r="D12441" i="9"/>
  <c r="C12441" i="9"/>
  <c r="B12441" i="9"/>
  <c r="H12440" i="9"/>
  <c r="G12440" i="9"/>
  <c r="E12440" i="9"/>
  <c r="D12440" i="9"/>
  <c r="C12440" i="9"/>
  <c r="B12440" i="9"/>
  <c r="H12439" i="9"/>
  <c r="G12439" i="9"/>
  <c r="E12439" i="9"/>
  <c r="D12439" i="9"/>
  <c r="C12439" i="9"/>
  <c r="B12439" i="9"/>
  <c r="H12438" i="9"/>
  <c r="G12438" i="9"/>
  <c r="E12438" i="9"/>
  <c r="D12438" i="9"/>
  <c r="C12438" i="9"/>
  <c r="B12438" i="9"/>
  <c r="H12437" i="9"/>
  <c r="G12437" i="9"/>
  <c r="E12437" i="9"/>
  <c r="D12437" i="9"/>
  <c r="C12437" i="9"/>
  <c r="B12437" i="9"/>
  <c r="H12436" i="9"/>
  <c r="G12436" i="9"/>
  <c r="E12436" i="9"/>
  <c r="D12436" i="9"/>
  <c r="C12436" i="9"/>
  <c r="B12436" i="9"/>
  <c r="H12435" i="9"/>
  <c r="G12435" i="9"/>
  <c r="E12435" i="9"/>
  <c r="D12435" i="9"/>
  <c r="C12435" i="9"/>
  <c r="B12435" i="9"/>
  <c r="H12434" i="9"/>
  <c r="G12434" i="9"/>
  <c r="E12434" i="9"/>
  <c r="D12434" i="9"/>
  <c r="C12434" i="9"/>
  <c r="B12434" i="9"/>
  <c r="H12433" i="9"/>
  <c r="G12433" i="9"/>
  <c r="E12433" i="9"/>
  <c r="D12433" i="9"/>
  <c r="C12433" i="9"/>
  <c r="B12433" i="9"/>
  <c r="H12432" i="9"/>
  <c r="G12432" i="9"/>
  <c r="E12432" i="9"/>
  <c r="D12432" i="9"/>
  <c r="C12432" i="9"/>
  <c r="B12432" i="9"/>
  <c r="H12431" i="9"/>
  <c r="G12431" i="9"/>
  <c r="E12431" i="9"/>
  <c r="D12431" i="9"/>
  <c r="C12431" i="9"/>
  <c r="B12431" i="9"/>
  <c r="H12430" i="9"/>
  <c r="G12430" i="9"/>
  <c r="E12430" i="9"/>
  <c r="D12430" i="9"/>
  <c r="C12430" i="9"/>
  <c r="B12430" i="9"/>
  <c r="H12429" i="9"/>
  <c r="G12429" i="9"/>
  <c r="E12429" i="9"/>
  <c r="D12429" i="9"/>
  <c r="C12429" i="9"/>
  <c r="B12429" i="9"/>
  <c r="H12428" i="9"/>
  <c r="G12428" i="9"/>
  <c r="E12428" i="9"/>
  <c r="D12428" i="9"/>
  <c r="C12428" i="9"/>
  <c r="B12428" i="9"/>
  <c r="H12427" i="9"/>
  <c r="G12427" i="9"/>
  <c r="E12427" i="9"/>
  <c r="D12427" i="9"/>
  <c r="C12427" i="9"/>
  <c r="B12427" i="9"/>
  <c r="H12426" i="9"/>
  <c r="G12426" i="9"/>
  <c r="E12426" i="9"/>
  <c r="D12426" i="9"/>
  <c r="C12426" i="9"/>
  <c r="B12426" i="9"/>
  <c r="H12425" i="9"/>
  <c r="G12425" i="9"/>
  <c r="E12425" i="9"/>
  <c r="D12425" i="9"/>
  <c r="C12425" i="9"/>
  <c r="B12425" i="9"/>
  <c r="H12424" i="9"/>
  <c r="G12424" i="9"/>
  <c r="E12424" i="9"/>
  <c r="D12424" i="9"/>
  <c r="C12424" i="9"/>
  <c r="B12424" i="9"/>
  <c r="H12423" i="9"/>
  <c r="G12423" i="9"/>
  <c r="E12423" i="9"/>
  <c r="D12423" i="9"/>
  <c r="C12423" i="9"/>
  <c r="B12423" i="9"/>
  <c r="H12422" i="9"/>
  <c r="G12422" i="9"/>
  <c r="E12422" i="9"/>
  <c r="D12422" i="9"/>
  <c r="C12422" i="9"/>
  <c r="B12422" i="9"/>
  <c r="H12421" i="9"/>
  <c r="G12421" i="9"/>
  <c r="E12421" i="9"/>
  <c r="D12421" i="9"/>
  <c r="C12421" i="9"/>
  <c r="B12421" i="9"/>
  <c r="H12420" i="9"/>
  <c r="G12420" i="9"/>
  <c r="E12420" i="9"/>
  <c r="D12420" i="9"/>
  <c r="C12420" i="9"/>
  <c r="B12420" i="9"/>
  <c r="H12419" i="9"/>
  <c r="G12419" i="9"/>
  <c r="E12419" i="9"/>
  <c r="D12419" i="9"/>
  <c r="C12419" i="9"/>
  <c r="B12419" i="9"/>
  <c r="H12418" i="9"/>
  <c r="G12418" i="9"/>
  <c r="E12418" i="9"/>
  <c r="D12418" i="9"/>
  <c r="C12418" i="9"/>
  <c r="B12418" i="9"/>
  <c r="H12417" i="9"/>
  <c r="G12417" i="9"/>
  <c r="E12417" i="9"/>
  <c r="D12417" i="9"/>
  <c r="C12417" i="9"/>
  <c r="B12417" i="9"/>
  <c r="H12416" i="9"/>
  <c r="G12416" i="9"/>
  <c r="E12416" i="9"/>
  <c r="D12416" i="9"/>
  <c r="C12416" i="9"/>
  <c r="B12416" i="9"/>
  <c r="H12415" i="9"/>
  <c r="G12415" i="9"/>
  <c r="E12415" i="9"/>
  <c r="D12415" i="9"/>
  <c r="C12415" i="9"/>
  <c r="B12415" i="9"/>
  <c r="H12414" i="9"/>
  <c r="G12414" i="9"/>
  <c r="E12414" i="9"/>
  <c r="D12414" i="9"/>
  <c r="C12414" i="9"/>
  <c r="B12414" i="9"/>
  <c r="H12413" i="9"/>
  <c r="G12413" i="9"/>
  <c r="E12413" i="9"/>
  <c r="D12413" i="9"/>
  <c r="C12413" i="9"/>
  <c r="B12413" i="9"/>
  <c r="H12412" i="9"/>
  <c r="G12412" i="9"/>
  <c r="E12412" i="9"/>
  <c r="D12412" i="9"/>
  <c r="C12412" i="9"/>
  <c r="B12412" i="9"/>
  <c r="H12411" i="9"/>
  <c r="G12411" i="9"/>
  <c r="E12411" i="9"/>
  <c r="D12411" i="9"/>
  <c r="C12411" i="9"/>
  <c r="B12411" i="9"/>
  <c r="H12410" i="9"/>
  <c r="G12410" i="9"/>
  <c r="E12410" i="9"/>
  <c r="D12410" i="9"/>
  <c r="C12410" i="9"/>
  <c r="B12410" i="9"/>
  <c r="H12409" i="9"/>
  <c r="G12409" i="9"/>
  <c r="E12409" i="9"/>
  <c r="D12409" i="9"/>
  <c r="C12409" i="9"/>
  <c r="B12409" i="9"/>
  <c r="H12408" i="9"/>
  <c r="G12408" i="9"/>
  <c r="E12408" i="9"/>
  <c r="D12408" i="9"/>
  <c r="C12408" i="9"/>
  <c r="B12408" i="9"/>
  <c r="H12407" i="9"/>
  <c r="G12407" i="9"/>
  <c r="E12407" i="9"/>
  <c r="D12407" i="9"/>
  <c r="C12407" i="9"/>
  <c r="B12407" i="9"/>
  <c r="H12406" i="9"/>
  <c r="G12406" i="9"/>
  <c r="E12406" i="9"/>
  <c r="D12406" i="9"/>
  <c r="C12406" i="9"/>
  <c r="B12406" i="9"/>
  <c r="H12405" i="9"/>
  <c r="G12405" i="9"/>
  <c r="E12405" i="9"/>
  <c r="D12405" i="9"/>
  <c r="C12405" i="9"/>
  <c r="B12405" i="9"/>
  <c r="H12404" i="9"/>
  <c r="G12404" i="9"/>
  <c r="E12404" i="9"/>
  <c r="D12404" i="9"/>
  <c r="C12404" i="9"/>
  <c r="B12404" i="9"/>
  <c r="H12403" i="9"/>
  <c r="G12403" i="9"/>
  <c r="E12403" i="9"/>
  <c r="D12403" i="9"/>
  <c r="C12403" i="9"/>
  <c r="B12403" i="9"/>
  <c r="H12402" i="9"/>
  <c r="G12402" i="9"/>
  <c r="E12402" i="9"/>
  <c r="D12402" i="9"/>
  <c r="C12402" i="9"/>
  <c r="B12402" i="9"/>
  <c r="H12401" i="9"/>
  <c r="G12401" i="9"/>
  <c r="E12401" i="9"/>
  <c r="D12401" i="9"/>
  <c r="C12401" i="9"/>
  <c r="B12401" i="9"/>
  <c r="H12400" i="9"/>
  <c r="G12400" i="9"/>
  <c r="E12400" i="9"/>
  <c r="D12400" i="9"/>
  <c r="C12400" i="9"/>
  <c r="B12400" i="9"/>
  <c r="H12399" i="9"/>
  <c r="G12399" i="9"/>
  <c r="E12399" i="9"/>
  <c r="D12399" i="9"/>
  <c r="C12399" i="9"/>
  <c r="B12399" i="9"/>
  <c r="H12398" i="9"/>
  <c r="G12398" i="9"/>
  <c r="E12398" i="9"/>
  <c r="D12398" i="9"/>
  <c r="C12398" i="9"/>
  <c r="B12398" i="9"/>
  <c r="H12397" i="9"/>
  <c r="G12397" i="9"/>
  <c r="E12397" i="9"/>
  <c r="D12397" i="9"/>
  <c r="C12397" i="9"/>
  <c r="B12397" i="9"/>
  <c r="H12396" i="9"/>
  <c r="G12396" i="9"/>
  <c r="E12396" i="9"/>
  <c r="D12396" i="9"/>
  <c r="C12396" i="9"/>
  <c r="B12396" i="9"/>
  <c r="H12395" i="9"/>
  <c r="G12395" i="9"/>
  <c r="E12395" i="9"/>
  <c r="D12395" i="9"/>
  <c r="C12395" i="9"/>
  <c r="B12395" i="9"/>
  <c r="H12394" i="9"/>
  <c r="G12394" i="9"/>
  <c r="E12394" i="9"/>
  <c r="D12394" i="9"/>
  <c r="C12394" i="9"/>
  <c r="B12394" i="9"/>
  <c r="H12393" i="9"/>
  <c r="G12393" i="9"/>
  <c r="E12393" i="9"/>
  <c r="D12393" i="9"/>
  <c r="C12393" i="9"/>
  <c r="B12393" i="9"/>
  <c r="H12392" i="9"/>
  <c r="G12392" i="9"/>
  <c r="E12392" i="9"/>
  <c r="D12392" i="9"/>
  <c r="C12392" i="9"/>
  <c r="B12392" i="9"/>
  <c r="H12391" i="9"/>
  <c r="G12391" i="9"/>
  <c r="E12391" i="9"/>
  <c r="D12391" i="9"/>
  <c r="C12391" i="9"/>
  <c r="B12391" i="9"/>
  <c r="H12390" i="9"/>
  <c r="G12390" i="9"/>
  <c r="E12390" i="9"/>
  <c r="D12390" i="9"/>
  <c r="C12390" i="9"/>
  <c r="B12390" i="9"/>
  <c r="H12389" i="9"/>
  <c r="G12389" i="9"/>
  <c r="E12389" i="9"/>
  <c r="D12389" i="9"/>
  <c r="C12389" i="9"/>
  <c r="B12389" i="9"/>
  <c r="H12388" i="9"/>
  <c r="G12388" i="9"/>
  <c r="E12388" i="9"/>
  <c r="D12388" i="9"/>
  <c r="C12388" i="9"/>
  <c r="B12388" i="9"/>
  <c r="H12387" i="9"/>
  <c r="G12387" i="9"/>
  <c r="E12387" i="9"/>
  <c r="D12387" i="9"/>
  <c r="C12387" i="9"/>
  <c r="B12387" i="9"/>
  <c r="H12386" i="9"/>
  <c r="G12386" i="9"/>
  <c r="E12386" i="9"/>
  <c r="D12386" i="9"/>
  <c r="C12386" i="9"/>
  <c r="B12386" i="9"/>
  <c r="H12385" i="9"/>
  <c r="G12385" i="9"/>
  <c r="E12385" i="9"/>
  <c r="D12385" i="9"/>
  <c r="C12385" i="9"/>
  <c r="B12385" i="9"/>
  <c r="H12384" i="9"/>
  <c r="G12384" i="9"/>
  <c r="E12384" i="9"/>
  <c r="D12384" i="9"/>
  <c r="C12384" i="9"/>
  <c r="B12384" i="9"/>
  <c r="H12383" i="9"/>
  <c r="G12383" i="9"/>
  <c r="E12383" i="9"/>
  <c r="D12383" i="9"/>
  <c r="C12383" i="9"/>
  <c r="B12383" i="9"/>
  <c r="H12382" i="9"/>
  <c r="G12382" i="9"/>
  <c r="E12382" i="9"/>
  <c r="D12382" i="9"/>
  <c r="C12382" i="9"/>
  <c r="B12382" i="9"/>
  <c r="H12381" i="9"/>
  <c r="G12381" i="9"/>
  <c r="E12381" i="9"/>
  <c r="D12381" i="9"/>
  <c r="C12381" i="9"/>
  <c r="B12381" i="9"/>
  <c r="H12380" i="9"/>
  <c r="G12380" i="9"/>
  <c r="E12380" i="9"/>
  <c r="D12380" i="9"/>
  <c r="C12380" i="9"/>
  <c r="B12380" i="9"/>
  <c r="H12379" i="9"/>
  <c r="G12379" i="9"/>
  <c r="E12379" i="9"/>
  <c r="D12379" i="9"/>
  <c r="C12379" i="9"/>
  <c r="B12379" i="9"/>
  <c r="H12378" i="9"/>
  <c r="G12378" i="9"/>
  <c r="E12378" i="9"/>
  <c r="D12378" i="9"/>
  <c r="C12378" i="9"/>
  <c r="B12378" i="9"/>
  <c r="H12377" i="9"/>
  <c r="G12377" i="9"/>
  <c r="E12377" i="9"/>
  <c r="D12377" i="9"/>
  <c r="C12377" i="9"/>
  <c r="B12377" i="9"/>
  <c r="H12376" i="9"/>
  <c r="G12376" i="9"/>
  <c r="E12376" i="9"/>
  <c r="D12376" i="9"/>
  <c r="C12376" i="9"/>
  <c r="B12376" i="9"/>
  <c r="H12375" i="9"/>
  <c r="G12375" i="9"/>
  <c r="E12375" i="9"/>
  <c r="D12375" i="9"/>
  <c r="C12375" i="9"/>
  <c r="B12375" i="9"/>
  <c r="H12374" i="9"/>
  <c r="G12374" i="9"/>
  <c r="E12374" i="9"/>
  <c r="D12374" i="9"/>
  <c r="C12374" i="9"/>
  <c r="B12374" i="9"/>
  <c r="H12373" i="9"/>
  <c r="G12373" i="9"/>
  <c r="E12373" i="9"/>
  <c r="D12373" i="9"/>
  <c r="C12373" i="9"/>
  <c r="B12373" i="9"/>
  <c r="H12372" i="9"/>
  <c r="G12372" i="9"/>
  <c r="E12372" i="9"/>
  <c r="D12372" i="9"/>
  <c r="C12372" i="9"/>
  <c r="B12372" i="9"/>
  <c r="H12371" i="9"/>
  <c r="G12371" i="9"/>
  <c r="E12371" i="9"/>
  <c r="D12371" i="9"/>
  <c r="C12371" i="9"/>
  <c r="B12371" i="9"/>
  <c r="H12370" i="9"/>
  <c r="G12370" i="9"/>
  <c r="E12370" i="9"/>
  <c r="D12370" i="9"/>
  <c r="C12370" i="9"/>
  <c r="B12370" i="9"/>
  <c r="H12369" i="9"/>
  <c r="G12369" i="9"/>
  <c r="E12369" i="9"/>
  <c r="D12369" i="9"/>
  <c r="C12369" i="9"/>
  <c r="B12369" i="9"/>
  <c r="H12368" i="9"/>
  <c r="G12368" i="9"/>
  <c r="E12368" i="9"/>
  <c r="D12368" i="9"/>
  <c r="C12368" i="9"/>
  <c r="B12368" i="9"/>
  <c r="H12367" i="9"/>
  <c r="G12367" i="9"/>
  <c r="E12367" i="9"/>
  <c r="D12367" i="9"/>
  <c r="C12367" i="9"/>
  <c r="B12367" i="9"/>
  <c r="H12366" i="9"/>
  <c r="G12366" i="9"/>
  <c r="E12366" i="9"/>
  <c r="D12366" i="9"/>
  <c r="C12366" i="9"/>
  <c r="B12366" i="9"/>
  <c r="H12365" i="9"/>
  <c r="G12365" i="9"/>
  <c r="E12365" i="9"/>
  <c r="D12365" i="9"/>
  <c r="C12365" i="9"/>
  <c r="B12365" i="9"/>
  <c r="H12364" i="9"/>
  <c r="G12364" i="9"/>
  <c r="E12364" i="9"/>
  <c r="D12364" i="9"/>
  <c r="C12364" i="9"/>
  <c r="B12364" i="9"/>
  <c r="H12363" i="9"/>
  <c r="G12363" i="9"/>
  <c r="E12363" i="9"/>
  <c r="D12363" i="9"/>
  <c r="C12363" i="9"/>
  <c r="B12363" i="9"/>
  <c r="H12362" i="9"/>
  <c r="G12362" i="9"/>
  <c r="E12362" i="9"/>
  <c r="D12362" i="9"/>
  <c r="C12362" i="9"/>
  <c r="B12362" i="9"/>
  <c r="H12361" i="9"/>
  <c r="G12361" i="9"/>
  <c r="E12361" i="9"/>
  <c r="D12361" i="9"/>
  <c r="C12361" i="9"/>
  <c r="B12361" i="9"/>
  <c r="H12360" i="9"/>
  <c r="G12360" i="9"/>
  <c r="E12360" i="9"/>
  <c r="D12360" i="9"/>
  <c r="C12360" i="9"/>
  <c r="B12360" i="9"/>
  <c r="H12359" i="9"/>
  <c r="G12359" i="9"/>
  <c r="E12359" i="9"/>
  <c r="D12359" i="9"/>
  <c r="C12359" i="9"/>
  <c r="B12359" i="9"/>
  <c r="H12358" i="9"/>
  <c r="G12358" i="9"/>
  <c r="E12358" i="9"/>
  <c r="D12358" i="9"/>
  <c r="C12358" i="9"/>
  <c r="B12358" i="9"/>
  <c r="H12357" i="9"/>
  <c r="G12357" i="9"/>
  <c r="E12357" i="9"/>
  <c r="D12357" i="9"/>
  <c r="C12357" i="9"/>
  <c r="B12357" i="9"/>
  <c r="H12356" i="9"/>
  <c r="G12356" i="9"/>
  <c r="E12356" i="9"/>
  <c r="D12356" i="9"/>
  <c r="C12356" i="9"/>
  <c r="B12356" i="9"/>
  <c r="H12355" i="9"/>
  <c r="G12355" i="9"/>
  <c r="E12355" i="9"/>
  <c r="D12355" i="9"/>
  <c r="C12355" i="9"/>
  <c r="B12355" i="9"/>
  <c r="H12354" i="9"/>
  <c r="G12354" i="9"/>
  <c r="E12354" i="9"/>
  <c r="D12354" i="9"/>
  <c r="C12354" i="9"/>
  <c r="B12354" i="9"/>
  <c r="H12353" i="9"/>
  <c r="G12353" i="9"/>
  <c r="E12353" i="9"/>
  <c r="D12353" i="9"/>
  <c r="C12353" i="9"/>
  <c r="B12353" i="9"/>
  <c r="H12352" i="9"/>
  <c r="G12352" i="9"/>
  <c r="E12352" i="9"/>
  <c r="D12352" i="9"/>
  <c r="C12352" i="9"/>
  <c r="B12352" i="9"/>
  <c r="H12351" i="9"/>
  <c r="G12351" i="9"/>
  <c r="E12351" i="9"/>
  <c r="D12351" i="9"/>
  <c r="C12351" i="9"/>
  <c r="B12351" i="9"/>
  <c r="H12350" i="9"/>
  <c r="G12350" i="9"/>
  <c r="E12350" i="9"/>
  <c r="D12350" i="9"/>
  <c r="C12350" i="9"/>
  <c r="B12350" i="9"/>
  <c r="H12349" i="9"/>
  <c r="G12349" i="9"/>
  <c r="E12349" i="9"/>
  <c r="D12349" i="9"/>
  <c r="C12349" i="9"/>
  <c r="B12349" i="9"/>
  <c r="H12348" i="9"/>
  <c r="G12348" i="9"/>
  <c r="E12348" i="9"/>
  <c r="D12348" i="9"/>
  <c r="C12348" i="9"/>
  <c r="B12348" i="9"/>
  <c r="H12347" i="9"/>
  <c r="G12347" i="9"/>
  <c r="E12347" i="9"/>
  <c r="D12347" i="9"/>
  <c r="C12347" i="9"/>
  <c r="B12347" i="9"/>
  <c r="H12346" i="9"/>
  <c r="G12346" i="9"/>
  <c r="E12346" i="9"/>
  <c r="D12346" i="9"/>
  <c r="C12346" i="9"/>
  <c r="B12346" i="9"/>
  <c r="H12345" i="9"/>
  <c r="G12345" i="9"/>
  <c r="E12345" i="9"/>
  <c r="D12345" i="9"/>
  <c r="C12345" i="9"/>
  <c r="B12345" i="9"/>
  <c r="H12344" i="9"/>
  <c r="G12344" i="9"/>
  <c r="E12344" i="9"/>
  <c r="D12344" i="9"/>
  <c r="C12344" i="9"/>
  <c r="B12344" i="9"/>
  <c r="H12343" i="9"/>
  <c r="G12343" i="9"/>
  <c r="E12343" i="9"/>
  <c r="D12343" i="9"/>
  <c r="C12343" i="9"/>
  <c r="B12343" i="9"/>
  <c r="H12342" i="9"/>
  <c r="G12342" i="9"/>
  <c r="E12342" i="9"/>
  <c r="D12342" i="9"/>
  <c r="C12342" i="9"/>
  <c r="B12342" i="9"/>
  <c r="H12341" i="9"/>
  <c r="G12341" i="9"/>
  <c r="E12341" i="9"/>
  <c r="D12341" i="9"/>
  <c r="C12341" i="9"/>
  <c r="B12341" i="9"/>
  <c r="H12340" i="9"/>
  <c r="G12340" i="9"/>
  <c r="E12340" i="9"/>
  <c r="D12340" i="9"/>
  <c r="C12340" i="9"/>
  <c r="B12340" i="9"/>
  <c r="H12339" i="9"/>
  <c r="G12339" i="9"/>
  <c r="E12339" i="9"/>
  <c r="D12339" i="9"/>
  <c r="C12339" i="9"/>
  <c r="B12339" i="9"/>
  <c r="H12338" i="9"/>
  <c r="G12338" i="9"/>
  <c r="E12338" i="9"/>
  <c r="D12338" i="9"/>
  <c r="C12338" i="9"/>
  <c r="B12338" i="9"/>
  <c r="H12337" i="9"/>
  <c r="G12337" i="9"/>
  <c r="E12337" i="9"/>
  <c r="D12337" i="9"/>
  <c r="C12337" i="9"/>
  <c r="B12337" i="9"/>
  <c r="H12336" i="9"/>
  <c r="G12336" i="9"/>
  <c r="E12336" i="9"/>
  <c r="D12336" i="9"/>
  <c r="C12336" i="9"/>
  <c r="B12336" i="9"/>
  <c r="H12335" i="9"/>
  <c r="G12335" i="9"/>
  <c r="E12335" i="9"/>
  <c r="D12335" i="9"/>
  <c r="C12335" i="9"/>
  <c r="B12335" i="9"/>
  <c r="H12334" i="9"/>
  <c r="G12334" i="9"/>
  <c r="E12334" i="9"/>
  <c r="D12334" i="9"/>
  <c r="C12334" i="9"/>
  <c r="B12334" i="9"/>
  <c r="H12333" i="9"/>
  <c r="G12333" i="9"/>
  <c r="E12333" i="9"/>
  <c r="D12333" i="9"/>
  <c r="C12333" i="9"/>
  <c r="B12333" i="9"/>
  <c r="H12332" i="9"/>
  <c r="G12332" i="9"/>
  <c r="E12332" i="9"/>
  <c r="D12332" i="9"/>
  <c r="C12332" i="9"/>
  <c r="B12332" i="9"/>
  <c r="H12331" i="9"/>
  <c r="G12331" i="9"/>
  <c r="E12331" i="9"/>
  <c r="D12331" i="9"/>
  <c r="C12331" i="9"/>
  <c r="B12331" i="9"/>
  <c r="H12330" i="9"/>
  <c r="G12330" i="9"/>
  <c r="E12330" i="9"/>
  <c r="D12330" i="9"/>
  <c r="C12330" i="9"/>
  <c r="B12330" i="9"/>
  <c r="H12329" i="9"/>
  <c r="G12329" i="9"/>
  <c r="E12329" i="9"/>
  <c r="D12329" i="9"/>
  <c r="C12329" i="9"/>
  <c r="B12329" i="9"/>
  <c r="H12328" i="9"/>
  <c r="G12328" i="9"/>
  <c r="E12328" i="9"/>
  <c r="D12328" i="9"/>
  <c r="C12328" i="9"/>
  <c r="B12328" i="9"/>
  <c r="H12327" i="9"/>
  <c r="G12327" i="9"/>
  <c r="E12327" i="9"/>
  <c r="D12327" i="9"/>
  <c r="C12327" i="9"/>
  <c r="B12327" i="9"/>
  <c r="H12326" i="9"/>
  <c r="G12326" i="9"/>
  <c r="E12326" i="9"/>
  <c r="D12326" i="9"/>
  <c r="C12326" i="9"/>
  <c r="B12326" i="9"/>
  <c r="H12325" i="9"/>
  <c r="G12325" i="9"/>
  <c r="E12325" i="9"/>
  <c r="D12325" i="9"/>
  <c r="C12325" i="9"/>
  <c r="B12325" i="9"/>
  <c r="H12324" i="9"/>
  <c r="G12324" i="9"/>
  <c r="E12324" i="9"/>
  <c r="D12324" i="9"/>
  <c r="C12324" i="9"/>
  <c r="B12324" i="9"/>
  <c r="H12323" i="9"/>
  <c r="G12323" i="9"/>
  <c r="E12323" i="9"/>
  <c r="D12323" i="9"/>
  <c r="C12323" i="9"/>
  <c r="B12323" i="9"/>
  <c r="H12322" i="9"/>
  <c r="G12322" i="9"/>
  <c r="E12322" i="9"/>
  <c r="D12322" i="9"/>
  <c r="C12322" i="9"/>
  <c r="B12322" i="9"/>
  <c r="H12321" i="9"/>
  <c r="G12321" i="9"/>
  <c r="E12321" i="9"/>
  <c r="D12321" i="9"/>
  <c r="C12321" i="9"/>
  <c r="B12321" i="9"/>
  <c r="H12320" i="9"/>
  <c r="G12320" i="9"/>
  <c r="E12320" i="9"/>
  <c r="D12320" i="9"/>
  <c r="C12320" i="9"/>
  <c r="B12320" i="9"/>
  <c r="H12319" i="9"/>
  <c r="G12319" i="9"/>
  <c r="E12319" i="9"/>
  <c r="D12319" i="9"/>
  <c r="C12319" i="9"/>
  <c r="B12319" i="9"/>
  <c r="H12318" i="9"/>
  <c r="G12318" i="9"/>
  <c r="E12318" i="9"/>
  <c r="D12318" i="9"/>
  <c r="C12318" i="9"/>
  <c r="B12318" i="9"/>
  <c r="H12317" i="9"/>
  <c r="G12317" i="9"/>
  <c r="E12317" i="9"/>
  <c r="D12317" i="9"/>
  <c r="C12317" i="9"/>
  <c r="B12317" i="9"/>
  <c r="H12316" i="9"/>
  <c r="G12316" i="9"/>
  <c r="E12316" i="9"/>
  <c r="D12316" i="9"/>
  <c r="C12316" i="9"/>
  <c r="B12316" i="9"/>
  <c r="H12315" i="9"/>
  <c r="G12315" i="9"/>
  <c r="E12315" i="9"/>
  <c r="D12315" i="9"/>
  <c r="C12315" i="9"/>
  <c r="B12315" i="9"/>
  <c r="H12314" i="9"/>
  <c r="G12314" i="9"/>
  <c r="E12314" i="9"/>
  <c r="D12314" i="9"/>
  <c r="C12314" i="9"/>
  <c r="B12314" i="9"/>
  <c r="H12313" i="9"/>
  <c r="G12313" i="9"/>
  <c r="E12313" i="9"/>
  <c r="D12313" i="9"/>
  <c r="C12313" i="9"/>
  <c r="B12313" i="9"/>
  <c r="H12312" i="9"/>
  <c r="G12312" i="9"/>
  <c r="E12312" i="9"/>
  <c r="D12312" i="9"/>
  <c r="C12312" i="9"/>
  <c r="B12312" i="9"/>
  <c r="H12311" i="9"/>
  <c r="G12311" i="9"/>
  <c r="E12311" i="9"/>
  <c r="D12311" i="9"/>
  <c r="C12311" i="9"/>
  <c r="B12311" i="9"/>
  <c r="H12310" i="9"/>
  <c r="G12310" i="9"/>
  <c r="E12310" i="9"/>
  <c r="D12310" i="9"/>
  <c r="C12310" i="9"/>
  <c r="B12310" i="9"/>
  <c r="H12309" i="9"/>
  <c r="G12309" i="9"/>
  <c r="E12309" i="9"/>
  <c r="D12309" i="9"/>
  <c r="C12309" i="9"/>
  <c r="B12309" i="9"/>
  <c r="H12308" i="9"/>
  <c r="G12308" i="9"/>
  <c r="E12308" i="9"/>
  <c r="D12308" i="9"/>
  <c r="C12308" i="9"/>
  <c r="B12308" i="9"/>
  <c r="H12307" i="9"/>
  <c r="G12307" i="9"/>
  <c r="E12307" i="9"/>
  <c r="D12307" i="9"/>
  <c r="C12307" i="9"/>
  <c r="B12307" i="9"/>
  <c r="H12306" i="9"/>
  <c r="G12306" i="9"/>
  <c r="E12306" i="9"/>
  <c r="D12306" i="9"/>
  <c r="C12306" i="9"/>
  <c r="B12306" i="9"/>
  <c r="H12305" i="9"/>
  <c r="G12305" i="9"/>
  <c r="E12305" i="9"/>
  <c r="D12305" i="9"/>
  <c r="C12305" i="9"/>
  <c r="B12305" i="9"/>
  <c r="H12304" i="9"/>
  <c r="G12304" i="9"/>
  <c r="E12304" i="9"/>
  <c r="D12304" i="9"/>
  <c r="C12304" i="9"/>
  <c r="B12304" i="9"/>
  <c r="H12303" i="9"/>
  <c r="G12303" i="9"/>
  <c r="E12303" i="9"/>
  <c r="D12303" i="9"/>
  <c r="C12303" i="9"/>
  <c r="B12303" i="9"/>
  <c r="H12302" i="9"/>
  <c r="G12302" i="9"/>
  <c r="E12302" i="9"/>
  <c r="D12302" i="9"/>
  <c r="C12302" i="9"/>
  <c r="B12302" i="9"/>
  <c r="H12301" i="9"/>
  <c r="G12301" i="9"/>
  <c r="E12301" i="9"/>
  <c r="D12301" i="9"/>
  <c r="C12301" i="9"/>
  <c r="B12301" i="9"/>
  <c r="H12300" i="9"/>
  <c r="G12300" i="9"/>
  <c r="E12300" i="9"/>
  <c r="D12300" i="9"/>
  <c r="C12300" i="9"/>
  <c r="B12300" i="9"/>
  <c r="H12299" i="9"/>
  <c r="G12299" i="9"/>
  <c r="E12299" i="9"/>
  <c r="D12299" i="9"/>
  <c r="C12299" i="9"/>
  <c r="B12299" i="9"/>
  <c r="H12298" i="9"/>
  <c r="G12298" i="9"/>
  <c r="E12298" i="9"/>
  <c r="D12298" i="9"/>
  <c r="C12298" i="9"/>
  <c r="B12298" i="9"/>
  <c r="H12297" i="9"/>
  <c r="G12297" i="9"/>
  <c r="E12297" i="9"/>
  <c r="D12297" i="9"/>
  <c r="C12297" i="9"/>
  <c r="B12297" i="9"/>
  <c r="H12296" i="9"/>
  <c r="G12296" i="9"/>
  <c r="E12296" i="9"/>
  <c r="D12296" i="9"/>
  <c r="C12296" i="9"/>
  <c r="B12296" i="9"/>
  <c r="H12295" i="9"/>
  <c r="G12295" i="9"/>
  <c r="E12295" i="9"/>
  <c r="D12295" i="9"/>
  <c r="C12295" i="9"/>
  <c r="B12295" i="9"/>
  <c r="H12294" i="9"/>
  <c r="G12294" i="9"/>
  <c r="E12294" i="9"/>
  <c r="D12294" i="9"/>
  <c r="C12294" i="9"/>
  <c r="B12294" i="9"/>
  <c r="H12293" i="9"/>
  <c r="G12293" i="9"/>
  <c r="E12293" i="9"/>
  <c r="D12293" i="9"/>
  <c r="C12293" i="9"/>
  <c r="B12293" i="9"/>
  <c r="H12292" i="9"/>
  <c r="G12292" i="9"/>
  <c r="E12292" i="9"/>
  <c r="D12292" i="9"/>
  <c r="C12292" i="9"/>
  <c r="B12292" i="9"/>
  <c r="H12291" i="9"/>
  <c r="G12291" i="9"/>
  <c r="E12291" i="9"/>
  <c r="D12291" i="9"/>
  <c r="C12291" i="9"/>
  <c r="B12291" i="9"/>
  <c r="H12290" i="9"/>
  <c r="G12290" i="9"/>
  <c r="E12290" i="9"/>
  <c r="D12290" i="9"/>
  <c r="C12290" i="9"/>
  <c r="B12290" i="9"/>
  <c r="H12289" i="9"/>
  <c r="G12289" i="9"/>
  <c r="E12289" i="9"/>
  <c r="D12289" i="9"/>
  <c r="C12289" i="9"/>
  <c r="B12289" i="9"/>
  <c r="H12288" i="9"/>
  <c r="G12288" i="9"/>
  <c r="E12288" i="9"/>
  <c r="D12288" i="9"/>
  <c r="C12288" i="9"/>
  <c r="B12288" i="9"/>
  <c r="H12287" i="9"/>
  <c r="G12287" i="9"/>
  <c r="E12287" i="9"/>
  <c r="D12287" i="9"/>
  <c r="C12287" i="9"/>
  <c r="B12287" i="9"/>
  <c r="H12286" i="9"/>
  <c r="G12286" i="9"/>
  <c r="E12286" i="9"/>
  <c r="D12286" i="9"/>
  <c r="C12286" i="9"/>
  <c r="B12286" i="9"/>
  <c r="H12285" i="9"/>
  <c r="G12285" i="9"/>
  <c r="E12285" i="9"/>
  <c r="D12285" i="9"/>
  <c r="C12285" i="9"/>
  <c r="B12285" i="9"/>
  <c r="H12284" i="9"/>
  <c r="G12284" i="9"/>
  <c r="E12284" i="9"/>
  <c r="D12284" i="9"/>
  <c r="C12284" i="9"/>
  <c r="B12284" i="9"/>
  <c r="H12283" i="9"/>
  <c r="G12283" i="9"/>
  <c r="E12283" i="9"/>
  <c r="D12283" i="9"/>
  <c r="C12283" i="9"/>
  <c r="B12283" i="9"/>
  <c r="H12282" i="9"/>
  <c r="G12282" i="9"/>
  <c r="E12282" i="9"/>
  <c r="D12282" i="9"/>
  <c r="C12282" i="9"/>
  <c r="B12282" i="9"/>
  <c r="H12281" i="9"/>
  <c r="G12281" i="9"/>
  <c r="E12281" i="9"/>
  <c r="D12281" i="9"/>
  <c r="C12281" i="9"/>
  <c r="B12281" i="9"/>
  <c r="H12280" i="9"/>
  <c r="G12280" i="9"/>
  <c r="E12280" i="9"/>
  <c r="D12280" i="9"/>
  <c r="C12280" i="9"/>
  <c r="B12280" i="9"/>
  <c r="H12279" i="9"/>
  <c r="G12279" i="9"/>
  <c r="E12279" i="9"/>
  <c r="D12279" i="9"/>
  <c r="C12279" i="9"/>
  <c r="B12279" i="9"/>
  <c r="H12278" i="9"/>
  <c r="G12278" i="9"/>
  <c r="E12278" i="9"/>
  <c r="D12278" i="9"/>
  <c r="C12278" i="9"/>
  <c r="B12278" i="9"/>
  <c r="H12277" i="9"/>
  <c r="G12277" i="9"/>
  <c r="E12277" i="9"/>
  <c r="D12277" i="9"/>
  <c r="C12277" i="9"/>
  <c r="B12277" i="9"/>
  <c r="H12276" i="9"/>
  <c r="G12276" i="9"/>
  <c r="E12276" i="9"/>
  <c r="D12276" i="9"/>
  <c r="C12276" i="9"/>
  <c r="B12276" i="9"/>
  <c r="H12275" i="9"/>
  <c r="G12275" i="9"/>
  <c r="E12275" i="9"/>
  <c r="D12275" i="9"/>
  <c r="C12275" i="9"/>
  <c r="B12275" i="9"/>
  <c r="H12274" i="9"/>
  <c r="G12274" i="9"/>
  <c r="E12274" i="9"/>
  <c r="D12274" i="9"/>
  <c r="C12274" i="9"/>
  <c r="B12274" i="9"/>
  <c r="H12273" i="9"/>
  <c r="G12273" i="9"/>
  <c r="E12273" i="9"/>
  <c r="D12273" i="9"/>
  <c r="C12273" i="9"/>
  <c r="B12273" i="9"/>
  <c r="H12272" i="9"/>
  <c r="G12272" i="9"/>
  <c r="E12272" i="9"/>
  <c r="D12272" i="9"/>
  <c r="C12272" i="9"/>
  <c r="B12272" i="9"/>
  <c r="H12271" i="9"/>
  <c r="G12271" i="9"/>
  <c r="E12271" i="9"/>
  <c r="D12271" i="9"/>
  <c r="C12271" i="9"/>
  <c r="B12271" i="9"/>
  <c r="H12270" i="9"/>
  <c r="G12270" i="9"/>
  <c r="E12270" i="9"/>
  <c r="D12270" i="9"/>
  <c r="C12270" i="9"/>
  <c r="B12270" i="9"/>
  <c r="H12269" i="9"/>
  <c r="G12269" i="9"/>
  <c r="E12269" i="9"/>
  <c r="D12269" i="9"/>
  <c r="C12269" i="9"/>
  <c r="B12269" i="9"/>
  <c r="H12268" i="9"/>
  <c r="G12268" i="9"/>
  <c r="E12268" i="9"/>
  <c r="D12268" i="9"/>
  <c r="C12268" i="9"/>
  <c r="B12268" i="9"/>
  <c r="H12267" i="9"/>
  <c r="G12267" i="9"/>
  <c r="E12267" i="9"/>
  <c r="D12267" i="9"/>
  <c r="C12267" i="9"/>
  <c r="B12267" i="9"/>
  <c r="H12266" i="9"/>
  <c r="G12266" i="9"/>
  <c r="E12266" i="9"/>
  <c r="D12266" i="9"/>
  <c r="C12266" i="9"/>
  <c r="B12266" i="9"/>
  <c r="H12265" i="9"/>
  <c r="G12265" i="9"/>
  <c r="E12265" i="9"/>
  <c r="D12265" i="9"/>
  <c r="C12265" i="9"/>
  <c r="B12265" i="9"/>
  <c r="H12264" i="9"/>
  <c r="G12264" i="9"/>
  <c r="E12264" i="9"/>
  <c r="D12264" i="9"/>
  <c r="C12264" i="9"/>
  <c r="B12264" i="9"/>
  <c r="H12263" i="9"/>
  <c r="G12263" i="9"/>
  <c r="E12263" i="9"/>
  <c r="D12263" i="9"/>
  <c r="C12263" i="9"/>
  <c r="B12263" i="9"/>
  <c r="H12262" i="9"/>
  <c r="G12262" i="9"/>
  <c r="E12262" i="9"/>
  <c r="D12262" i="9"/>
  <c r="C12262" i="9"/>
  <c r="B12262" i="9"/>
  <c r="H12261" i="9"/>
  <c r="G12261" i="9"/>
  <c r="E12261" i="9"/>
  <c r="D12261" i="9"/>
  <c r="C12261" i="9"/>
  <c r="B12261" i="9"/>
  <c r="H12260" i="9"/>
  <c r="G12260" i="9"/>
  <c r="E12260" i="9"/>
  <c r="D12260" i="9"/>
  <c r="C12260" i="9"/>
  <c r="B12260" i="9"/>
  <c r="H12259" i="9"/>
  <c r="G12259" i="9"/>
  <c r="E12259" i="9"/>
  <c r="D12259" i="9"/>
  <c r="C12259" i="9"/>
  <c r="B12259" i="9"/>
  <c r="H12258" i="9"/>
  <c r="G12258" i="9"/>
  <c r="E12258" i="9"/>
  <c r="D12258" i="9"/>
  <c r="C12258" i="9"/>
  <c r="B12258" i="9"/>
  <c r="H12257" i="9"/>
  <c r="G12257" i="9"/>
  <c r="E12257" i="9"/>
  <c r="D12257" i="9"/>
  <c r="C12257" i="9"/>
  <c r="B12257" i="9"/>
  <c r="H12256" i="9"/>
  <c r="G12256" i="9"/>
  <c r="E12256" i="9"/>
  <c r="D12256" i="9"/>
  <c r="C12256" i="9"/>
  <c r="B12256" i="9"/>
  <c r="H12255" i="9"/>
  <c r="G12255" i="9"/>
  <c r="E12255" i="9"/>
  <c r="D12255" i="9"/>
  <c r="C12255" i="9"/>
  <c r="B12255" i="9"/>
  <c r="H12254" i="9"/>
  <c r="G12254" i="9"/>
  <c r="E12254" i="9"/>
  <c r="D12254" i="9"/>
  <c r="C12254" i="9"/>
  <c r="B12254" i="9"/>
  <c r="H12253" i="9"/>
  <c r="G12253" i="9"/>
  <c r="E12253" i="9"/>
  <c r="D12253" i="9"/>
  <c r="C12253" i="9"/>
  <c r="B12253" i="9"/>
  <c r="H12252" i="9"/>
  <c r="G12252" i="9"/>
  <c r="E12252" i="9"/>
  <c r="D12252" i="9"/>
  <c r="C12252" i="9"/>
  <c r="B12252" i="9"/>
  <c r="H12251" i="9"/>
  <c r="G12251" i="9"/>
  <c r="E12251" i="9"/>
  <c r="D12251" i="9"/>
  <c r="C12251" i="9"/>
  <c r="B12251" i="9"/>
  <c r="H12250" i="9"/>
  <c r="G12250" i="9"/>
  <c r="E12250" i="9"/>
  <c r="D12250" i="9"/>
  <c r="C12250" i="9"/>
  <c r="B12250" i="9"/>
  <c r="H12249" i="9"/>
  <c r="G12249" i="9"/>
  <c r="E12249" i="9"/>
  <c r="D12249" i="9"/>
  <c r="C12249" i="9"/>
  <c r="B12249" i="9"/>
  <c r="H12248" i="9"/>
  <c r="G12248" i="9"/>
  <c r="E12248" i="9"/>
  <c r="D12248" i="9"/>
  <c r="C12248" i="9"/>
  <c r="B12248" i="9"/>
  <c r="H12247" i="9"/>
  <c r="G12247" i="9"/>
  <c r="E12247" i="9"/>
  <c r="D12247" i="9"/>
  <c r="C12247" i="9"/>
  <c r="B12247" i="9"/>
  <c r="H12246" i="9"/>
  <c r="G12246" i="9"/>
  <c r="E12246" i="9"/>
  <c r="D12246" i="9"/>
  <c r="C12246" i="9"/>
  <c r="B12246" i="9"/>
  <c r="H12245" i="9"/>
  <c r="G12245" i="9"/>
  <c r="E12245" i="9"/>
  <c r="D12245" i="9"/>
  <c r="C12245" i="9"/>
  <c r="B12245" i="9"/>
  <c r="H12244" i="9"/>
  <c r="G12244" i="9"/>
  <c r="E12244" i="9"/>
  <c r="D12244" i="9"/>
  <c r="C12244" i="9"/>
  <c r="B12244" i="9"/>
  <c r="H12243" i="9"/>
  <c r="G12243" i="9"/>
  <c r="E12243" i="9"/>
  <c r="D12243" i="9"/>
  <c r="C12243" i="9"/>
  <c r="B12243" i="9"/>
  <c r="H12242" i="9"/>
  <c r="G12242" i="9"/>
  <c r="E12242" i="9"/>
  <c r="D12242" i="9"/>
  <c r="C12242" i="9"/>
  <c r="B12242" i="9"/>
  <c r="H12241" i="9"/>
  <c r="G12241" i="9"/>
  <c r="E12241" i="9"/>
  <c r="D12241" i="9"/>
  <c r="C12241" i="9"/>
  <c r="B12241" i="9"/>
  <c r="H12240" i="9"/>
  <c r="G12240" i="9"/>
  <c r="E12240" i="9"/>
  <c r="D12240" i="9"/>
  <c r="C12240" i="9"/>
  <c r="B12240" i="9"/>
  <c r="H12239" i="9"/>
  <c r="G12239" i="9"/>
  <c r="E12239" i="9"/>
  <c r="D12239" i="9"/>
  <c r="C12239" i="9"/>
  <c r="B12239" i="9"/>
  <c r="H12238" i="9"/>
  <c r="G12238" i="9"/>
  <c r="E12238" i="9"/>
  <c r="D12238" i="9"/>
  <c r="C12238" i="9"/>
  <c r="B12238" i="9"/>
  <c r="H12237" i="9"/>
  <c r="G12237" i="9"/>
  <c r="E12237" i="9"/>
  <c r="D12237" i="9"/>
  <c r="C12237" i="9"/>
  <c r="B12237" i="9"/>
  <c r="H12236" i="9"/>
  <c r="G12236" i="9"/>
  <c r="E12236" i="9"/>
  <c r="D12236" i="9"/>
  <c r="C12236" i="9"/>
  <c r="B12236" i="9"/>
  <c r="H12235" i="9"/>
  <c r="G12235" i="9"/>
  <c r="E12235" i="9"/>
  <c r="D12235" i="9"/>
  <c r="C12235" i="9"/>
  <c r="B12235" i="9"/>
  <c r="H12234" i="9"/>
  <c r="G12234" i="9"/>
  <c r="E12234" i="9"/>
  <c r="D12234" i="9"/>
  <c r="C12234" i="9"/>
  <c r="B12234" i="9"/>
  <c r="H12233" i="9"/>
  <c r="G12233" i="9"/>
  <c r="E12233" i="9"/>
  <c r="D12233" i="9"/>
  <c r="C12233" i="9"/>
  <c r="B12233" i="9"/>
  <c r="H12232" i="9"/>
  <c r="G12232" i="9"/>
  <c r="E12232" i="9"/>
  <c r="D12232" i="9"/>
  <c r="C12232" i="9"/>
  <c r="B12232" i="9"/>
  <c r="H12231" i="9"/>
  <c r="G12231" i="9"/>
  <c r="E12231" i="9"/>
  <c r="D12231" i="9"/>
  <c r="C12231" i="9"/>
  <c r="B12231" i="9"/>
  <c r="H12230" i="9"/>
  <c r="G12230" i="9"/>
  <c r="E12230" i="9"/>
  <c r="D12230" i="9"/>
  <c r="C12230" i="9"/>
  <c r="B12230" i="9"/>
  <c r="H12229" i="9"/>
  <c r="G12229" i="9"/>
  <c r="E12229" i="9"/>
  <c r="D12229" i="9"/>
  <c r="C12229" i="9"/>
  <c r="B12229" i="9"/>
  <c r="H12228" i="9"/>
  <c r="G12228" i="9"/>
  <c r="E12228" i="9"/>
  <c r="D12228" i="9"/>
  <c r="C12228" i="9"/>
  <c r="B12228" i="9"/>
  <c r="H12227" i="9"/>
  <c r="G12227" i="9"/>
  <c r="E12227" i="9"/>
  <c r="D12227" i="9"/>
  <c r="C12227" i="9"/>
  <c r="B12227" i="9"/>
  <c r="H12226" i="9"/>
  <c r="G12226" i="9"/>
  <c r="E12226" i="9"/>
  <c r="D12226" i="9"/>
  <c r="C12226" i="9"/>
  <c r="B12226" i="9"/>
  <c r="H12225" i="9"/>
  <c r="G12225" i="9"/>
  <c r="E12225" i="9"/>
  <c r="D12225" i="9"/>
  <c r="C12225" i="9"/>
  <c r="B12225" i="9"/>
  <c r="H12224" i="9"/>
  <c r="G12224" i="9"/>
  <c r="E12224" i="9"/>
  <c r="D12224" i="9"/>
  <c r="C12224" i="9"/>
  <c r="B12224" i="9"/>
  <c r="H12223" i="9"/>
  <c r="G12223" i="9"/>
  <c r="E12223" i="9"/>
  <c r="D12223" i="9"/>
  <c r="C12223" i="9"/>
  <c r="B12223" i="9"/>
  <c r="H12222" i="9"/>
  <c r="G12222" i="9"/>
  <c r="E12222" i="9"/>
  <c r="D12222" i="9"/>
  <c r="C12222" i="9"/>
  <c r="B12222" i="9"/>
  <c r="H12221" i="9"/>
  <c r="G12221" i="9"/>
  <c r="E12221" i="9"/>
  <c r="D12221" i="9"/>
  <c r="C12221" i="9"/>
  <c r="B12221" i="9"/>
  <c r="H12220" i="9"/>
  <c r="G12220" i="9"/>
  <c r="E12220" i="9"/>
  <c r="D12220" i="9"/>
  <c r="C12220" i="9"/>
  <c r="B12220" i="9"/>
  <c r="H12219" i="9"/>
  <c r="G12219" i="9"/>
  <c r="E12219" i="9"/>
  <c r="D12219" i="9"/>
  <c r="C12219" i="9"/>
  <c r="B12219" i="9"/>
  <c r="H12218" i="9"/>
  <c r="G12218" i="9"/>
  <c r="E12218" i="9"/>
  <c r="D12218" i="9"/>
  <c r="C12218" i="9"/>
  <c r="B12218" i="9"/>
  <c r="H12217" i="9"/>
  <c r="G12217" i="9"/>
  <c r="E12217" i="9"/>
  <c r="D12217" i="9"/>
  <c r="C12217" i="9"/>
  <c r="B12217" i="9"/>
  <c r="H12216" i="9"/>
  <c r="G12216" i="9"/>
  <c r="E12216" i="9"/>
  <c r="D12216" i="9"/>
  <c r="C12216" i="9"/>
  <c r="B12216" i="9"/>
  <c r="H12215" i="9"/>
  <c r="G12215" i="9"/>
  <c r="E12215" i="9"/>
  <c r="D12215" i="9"/>
  <c r="C12215" i="9"/>
  <c r="B12215" i="9"/>
  <c r="H12214" i="9"/>
  <c r="G12214" i="9"/>
  <c r="E12214" i="9"/>
  <c r="D12214" i="9"/>
  <c r="C12214" i="9"/>
  <c r="B12214" i="9"/>
  <c r="H12213" i="9"/>
  <c r="G12213" i="9"/>
  <c r="E12213" i="9"/>
  <c r="D12213" i="9"/>
  <c r="C12213" i="9"/>
  <c r="B12213" i="9"/>
  <c r="H12212" i="9"/>
  <c r="G12212" i="9"/>
  <c r="E12212" i="9"/>
  <c r="D12212" i="9"/>
  <c r="C12212" i="9"/>
  <c r="B12212" i="9"/>
  <c r="H12211" i="9"/>
  <c r="G12211" i="9"/>
  <c r="E12211" i="9"/>
  <c r="D12211" i="9"/>
  <c r="C12211" i="9"/>
  <c r="B12211" i="9"/>
  <c r="H12210" i="9"/>
  <c r="G12210" i="9"/>
  <c r="E12210" i="9"/>
  <c r="D12210" i="9"/>
  <c r="C12210" i="9"/>
  <c r="B12210" i="9"/>
  <c r="H12209" i="9"/>
  <c r="G12209" i="9"/>
  <c r="E12209" i="9"/>
  <c r="D12209" i="9"/>
  <c r="C12209" i="9"/>
  <c r="B12209" i="9"/>
  <c r="H12208" i="9"/>
  <c r="G12208" i="9"/>
  <c r="E12208" i="9"/>
  <c r="D12208" i="9"/>
  <c r="C12208" i="9"/>
  <c r="B12208" i="9"/>
  <c r="H12207" i="9"/>
  <c r="G12207" i="9"/>
  <c r="E12207" i="9"/>
  <c r="D12207" i="9"/>
  <c r="C12207" i="9"/>
  <c r="B12207" i="9"/>
  <c r="H12206" i="9"/>
  <c r="G12206" i="9"/>
  <c r="E12206" i="9"/>
  <c r="D12206" i="9"/>
  <c r="C12206" i="9"/>
  <c r="B12206" i="9"/>
  <c r="H12205" i="9"/>
  <c r="G12205" i="9"/>
  <c r="E12205" i="9"/>
  <c r="D12205" i="9"/>
  <c r="C12205" i="9"/>
  <c r="B12205" i="9"/>
  <c r="H12204" i="9"/>
  <c r="G12204" i="9"/>
  <c r="E12204" i="9"/>
  <c r="D12204" i="9"/>
  <c r="C12204" i="9"/>
  <c r="B12204" i="9"/>
  <c r="H12203" i="9"/>
  <c r="G12203" i="9"/>
  <c r="E12203" i="9"/>
  <c r="D12203" i="9"/>
  <c r="C12203" i="9"/>
  <c r="B12203" i="9"/>
  <c r="H12202" i="9"/>
  <c r="G12202" i="9"/>
  <c r="E12202" i="9"/>
  <c r="D12202" i="9"/>
  <c r="C12202" i="9"/>
  <c r="B12202" i="9"/>
  <c r="H12201" i="9"/>
  <c r="G12201" i="9"/>
  <c r="E12201" i="9"/>
  <c r="D12201" i="9"/>
  <c r="C12201" i="9"/>
  <c r="B12201" i="9"/>
  <c r="H12200" i="9"/>
  <c r="G12200" i="9"/>
  <c r="E12200" i="9"/>
  <c r="D12200" i="9"/>
  <c r="C12200" i="9"/>
  <c r="B12200" i="9"/>
  <c r="H12199" i="9"/>
  <c r="G12199" i="9"/>
  <c r="E12199" i="9"/>
  <c r="D12199" i="9"/>
  <c r="C12199" i="9"/>
  <c r="B12199" i="9"/>
  <c r="H12198" i="9"/>
  <c r="G12198" i="9"/>
  <c r="E12198" i="9"/>
  <c r="D12198" i="9"/>
  <c r="C12198" i="9"/>
  <c r="B12198" i="9"/>
  <c r="H12197" i="9"/>
  <c r="G12197" i="9"/>
  <c r="E12197" i="9"/>
  <c r="D12197" i="9"/>
  <c r="C12197" i="9"/>
  <c r="B12197" i="9"/>
  <c r="H12196" i="9"/>
  <c r="G12196" i="9"/>
  <c r="E12196" i="9"/>
  <c r="D12196" i="9"/>
  <c r="C12196" i="9"/>
  <c r="B12196" i="9"/>
  <c r="H12195" i="9"/>
  <c r="G12195" i="9"/>
  <c r="E12195" i="9"/>
  <c r="D12195" i="9"/>
  <c r="C12195" i="9"/>
  <c r="B12195" i="9"/>
  <c r="H12194" i="9"/>
  <c r="G12194" i="9"/>
  <c r="E12194" i="9"/>
  <c r="D12194" i="9"/>
  <c r="C12194" i="9"/>
  <c r="B12194" i="9"/>
  <c r="H12193" i="9"/>
  <c r="G12193" i="9"/>
  <c r="E12193" i="9"/>
  <c r="D12193" i="9"/>
  <c r="C12193" i="9"/>
  <c r="B12193" i="9"/>
  <c r="H12192" i="9"/>
  <c r="G12192" i="9"/>
  <c r="E12192" i="9"/>
  <c r="D12192" i="9"/>
  <c r="C12192" i="9"/>
  <c r="B12192" i="9"/>
  <c r="H12191" i="9"/>
  <c r="G12191" i="9"/>
  <c r="E12191" i="9"/>
  <c r="D12191" i="9"/>
  <c r="C12191" i="9"/>
  <c r="B12191" i="9"/>
  <c r="H12190" i="9"/>
  <c r="G12190" i="9"/>
  <c r="E12190" i="9"/>
  <c r="D12190" i="9"/>
  <c r="C12190" i="9"/>
  <c r="B12190" i="9"/>
  <c r="H12189" i="9"/>
  <c r="G12189" i="9"/>
  <c r="E12189" i="9"/>
  <c r="D12189" i="9"/>
  <c r="C12189" i="9"/>
  <c r="B12189" i="9"/>
  <c r="H12188" i="9"/>
  <c r="G12188" i="9"/>
  <c r="E12188" i="9"/>
  <c r="D12188" i="9"/>
  <c r="C12188" i="9"/>
  <c r="B12188" i="9"/>
  <c r="H12187" i="9"/>
  <c r="G12187" i="9"/>
  <c r="E12187" i="9"/>
  <c r="D12187" i="9"/>
  <c r="C12187" i="9"/>
  <c r="B12187" i="9"/>
  <c r="H12186" i="9"/>
  <c r="G12186" i="9"/>
  <c r="E12186" i="9"/>
  <c r="D12186" i="9"/>
  <c r="C12186" i="9"/>
  <c r="B12186" i="9"/>
  <c r="H12185" i="9"/>
  <c r="G12185" i="9"/>
  <c r="E12185" i="9"/>
  <c r="D12185" i="9"/>
  <c r="C12185" i="9"/>
  <c r="B12185" i="9"/>
  <c r="H12184" i="9"/>
  <c r="G12184" i="9"/>
  <c r="E12184" i="9"/>
  <c r="D12184" i="9"/>
  <c r="C12184" i="9"/>
  <c r="B12184" i="9"/>
  <c r="H12183" i="9"/>
  <c r="G12183" i="9"/>
  <c r="E12183" i="9"/>
  <c r="D12183" i="9"/>
  <c r="C12183" i="9"/>
  <c r="B12183" i="9"/>
  <c r="H12182" i="9"/>
  <c r="G12182" i="9"/>
  <c r="E12182" i="9"/>
  <c r="D12182" i="9"/>
  <c r="C12182" i="9"/>
  <c r="B12182" i="9"/>
  <c r="H12181" i="9"/>
  <c r="G12181" i="9"/>
  <c r="E12181" i="9"/>
  <c r="D12181" i="9"/>
  <c r="C12181" i="9"/>
  <c r="B12181" i="9"/>
  <c r="H12180" i="9"/>
  <c r="G12180" i="9"/>
  <c r="E12180" i="9"/>
  <c r="D12180" i="9"/>
  <c r="C12180" i="9"/>
  <c r="B12180" i="9"/>
  <c r="H12179" i="9"/>
  <c r="G12179" i="9"/>
  <c r="E12179" i="9"/>
  <c r="D12179" i="9"/>
  <c r="C12179" i="9"/>
  <c r="B12179" i="9"/>
  <c r="H12178" i="9"/>
  <c r="G12178" i="9"/>
  <c r="E12178" i="9"/>
  <c r="D12178" i="9"/>
  <c r="C12178" i="9"/>
  <c r="B12178" i="9"/>
  <c r="H12177" i="9"/>
  <c r="G12177" i="9"/>
  <c r="E12177" i="9"/>
  <c r="D12177" i="9"/>
  <c r="C12177" i="9"/>
  <c r="B12177" i="9"/>
  <c r="H12176" i="9"/>
  <c r="G12176" i="9"/>
  <c r="E12176" i="9"/>
  <c r="D12176" i="9"/>
  <c r="C12176" i="9"/>
  <c r="B12176" i="9"/>
  <c r="H12175" i="9"/>
  <c r="G12175" i="9"/>
  <c r="E12175" i="9"/>
  <c r="D12175" i="9"/>
  <c r="C12175" i="9"/>
  <c r="B12175" i="9"/>
  <c r="H12174" i="9"/>
  <c r="G12174" i="9"/>
  <c r="E12174" i="9"/>
  <c r="D12174" i="9"/>
  <c r="C12174" i="9"/>
  <c r="B12174" i="9"/>
  <c r="H12173" i="9"/>
  <c r="G12173" i="9"/>
  <c r="E12173" i="9"/>
  <c r="D12173" i="9"/>
  <c r="C12173" i="9"/>
  <c r="B12173" i="9"/>
  <c r="H12172" i="9"/>
  <c r="G12172" i="9"/>
  <c r="E12172" i="9"/>
  <c r="D12172" i="9"/>
  <c r="C12172" i="9"/>
  <c r="B12172" i="9"/>
  <c r="H12171" i="9"/>
  <c r="G12171" i="9"/>
  <c r="E12171" i="9"/>
  <c r="D12171" i="9"/>
  <c r="C12171" i="9"/>
  <c r="B12171" i="9"/>
  <c r="H12170" i="9"/>
  <c r="G12170" i="9"/>
  <c r="E12170" i="9"/>
  <c r="D12170" i="9"/>
  <c r="C12170" i="9"/>
  <c r="B12170" i="9"/>
  <c r="H12169" i="9"/>
  <c r="G12169" i="9"/>
  <c r="E12169" i="9"/>
  <c r="D12169" i="9"/>
  <c r="C12169" i="9"/>
  <c r="B12169" i="9"/>
  <c r="H12168" i="9"/>
  <c r="G12168" i="9"/>
  <c r="E12168" i="9"/>
  <c r="D12168" i="9"/>
  <c r="C12168" i="9"/>
  <c r="B12168" i="9"/>
  <c r="H12167" i="9"/>
  <c r="G12167" i="9"/>
  <c r="E12167" i="9"/>
  <c r="D12167" i="9"/>
  <c r="C12167" i="9"/>
  <c r="B12167" i="9"/>
  <c r="H12166" i="9"/>
  <c r="G12166" i="9"/>
  <c r="E12166" i="9"/>
  <c r="D12166" i="9"/>
  <c r="C12166" i="9"/>
  <c r="B12166" i="9"/>
  <c r="H12165" i="9"/>
  <c r="G12165" i="9"/>
  <c r="E12165" i="9"/>
  <c r="D12165" i="9"/>
  <c r="C12165" i="9"/>
  <c r="B12165" i="9"/>
  <c r="H12164" i="9"/>
  <c r="G12164" i="9"/>
  <c r="E12164" i="9"/>
  <c r="D12164" i="9"/>
  <c r="C12164" i="9"/>
  <c r="B12164" i="9"/>
  <c r="H12163" i="9"/>
  <c r="G12163" i="9"/>
  <c r="E12163" i="9"/>
  <c r="D12163" i="9"/>
  <c r="C12163" i="9"/>
  <c r="B12163" i="9"/>
  <c r="H12162" i="9"/>
  <c r="G12162" i="9"/>
  <c r="E12162" i="9"/>
  <c r="D12162" i="9"/>
  <c r="C12162" i="9"/>
  <c r="B12162" i="9"/>
  <c r="H12161" i="9"/>
  <c r="G12161" i="9"/>
  <c r="E12161" i="9"/>
  <c r="D12161" i="9"/>
  <c r="C12161" i="9"/>
  <c r="B12161" i="9"/>
  <c r="H12160" i="9"/>
  <c r="G12160" i="9"/>
  <c r="E12160" i="9"/>
  <c r="D12160" i="9"/>
  <c r="C12160" i="9"/>
  <c r="B12160" i="9"/>
  <c r="H12159" i="9"/>
  <c r="G12159" i="9"/>
  <c r="E12159" i="9"/>
  <c r="D12159" i="9"/>
  <c r="C12159" i="9"/>
  <c r="B12159" i="9"/>
  <c r="H12158" i="9"/>
  <c r="G12158" i="9"/>
  <c r="E12158" i="9"/>
  <c r="D12158" i="9"/>
  <c r="C12158" i="9"/>
  <c r="B12158" i="9"/>
  <c r="H12157" i="9"/>
  <c r="G12157" i="9"/>
  <c r="E12157" i="9"/>
  <c r="D12157" i="9"/>
  <c r="C12157" i="9"/>
  <c r="B12157" i="9"/>
  <c r="H12156" i="9"/>
  <c r="G12156" i="9"/>
  <c r="E12156" i="9"/>
  <c r="D12156" i="9"/>
  <c r="C12156" i="9"/>
  <c r="B12156" i="9"/>
  <c r="H12155" i="9"/>
  <c r="G12155" i="9"/>
  <c r="E12155" i="9"/>
  <c r="D12155" i="9"/>
  <c r="C12155" i="9"/>
  <c r="B12155" i="9"/>
  <c r="H12154" i="9"/>
  <c r="G12154" i="9"/>
  <c r="E12154" i="9"/>
  <c r="D12154" i="9"/>
  <c r="C12154" i="9"/>
  <c r="B12154" i="9"/>
  <c r="H12153" i="9"/>
  <c r="G12153" i="9"/>
  <c r="E12153" i="9"/>
  <c r="D12153" i="9"/>
  <c r="C12153" i="9"/>
  <c r="B12153" i="9"/>
  <c r="H12152" i="9"/>
  <c r="G12152" i="9"/>
  <c r="E12152" i="9"/>
  <c r="D12152" i="9"/>
  <c r="C12152" i="9"/>
  <c r="B12152" i="9"/>
  <c r="H12151" i="9"/>
  <c r="G12151" i="9"/>
  <c r="E12151" i="9"/>
  <c r="D12151" i="9"/>
  <c r="C12151" i="9"/>
  <c r="B12151" i="9"/>
  <c r="H12150" i="9"/>
  <c r="G12150" i="9"/>
  <c r="E12150" i="9"/>
  <c r="D12150" i="9"/>
  <c r="C12150" i="9"/>
  <c r="B12150" i="9"/>
  <c r="H12149" i="9"/>
  <c r="G12149" i="9"/>
  <c r="E12149" i="9"/>
  <c r="D12149" i="9"/>
  <c r="C12149" i="9"/>
  <c r="B12149" i="9"/>
  <c r="H12148" i="9"/>
  <c r="G12148" i="9"/>
  <c r="E12148" i="9"/>
  <c r="D12148" i="9"/>
  <c r="C12148" i="9"/>
  <c r="B12148" i="9"/>
  <c r="H12147" i="9"/>
  <c r="G12147" i="9"/>
  <c r="E12147" i="9"/>
  <c r="D12147" i="9"/>
  <c r="C12147" i="9"/>
  <c r="B12147" i="9"/>
  <c r="H12146" i="9"/>
  <c r="G12146" i="9"/>
  <c r="E12146" i="9"/>
  <c r="D12146" i="9"/>
  <c r="C12146" i="9"/>
  <c r="B12146" i="9"/>
  <c r="H12145" i="9"/>
  <c r="G12145" i="9"/>
  <c r="E12145" i="9"/>
  <c r="D12145" i="9"/>
  <c r="C12145" i="9"/>
  <c r="B12145" i="9"/>
  <c r="H12144" i="9"/>
  <c r="G12144" i="9"/>
  <c r="E12144" i="9"/>
  <c r="D12144" i="9"/>
  <c r="C12144" i="9"/>
  <c r="B12144" i="9"/>
  <c r="H12143" i="9"/>
  <c r="G12143" i="9"/>
  <c r="E12143" i="9"/>
  <c r="D12143" i="9"/>
  <c r="C12143" i="9"/>
  <c r="B12143" i="9"/>
  <c r="H12142" i="9"/>
  <c r="G12142" i="9"/>
  <c r="E12142" i="9"/>
  <c r="D12142" i="9"/>
  <c r="C12142" i="9"/>
  <c r="B12142" i="9"/>
  <c r="H12141" i="9"/>
  <c r="G12141" i="9"/>
  <c r="E12141" i="9"/>
  <c r="D12141" i="9"/>
  <c r="C12141" i="9"/>
  <c r="B12141" i="9"/>
  <c r="H12140" i="9"/>
  <c r="G12140" i="9"/>
  <c r="E12140" i="9"/>
  <c r="D12140" i="9"/>
  <c r="C12140" i="9"/>
  <c r="B12140" i="9"/>
  <c r="H12139" i="9"/>
  <c r="G12139" i="9"/>
  <c r="E12139" i="9"/>
  <c r="D12139" i="9"/>
  <c r="C12139" i="9"/>
  <c r="B12139" i="9"/>
  <c r="H12138" i="9"/>
  <c r="G12138" i="9"/>
  <c r="E12138" i="9"/>
  <c r="D12138" i="9"/>
  <c r="C12138" i="9"/>
  <c r="B12138" i="9"/>
  <c r="H12137" i="9"/>
  <c r="G12137" i="9"/>
  <c r="E12137" i="9"/>
  <c r="D12137" i="9"/>
  <c r="C12137" i="9"/>
  <c r="B12137" i="9"/>
  <c r="H12136" i="9"/>
  <c r="G12136" i="9"/>
  <c r="E12136" i="9"/>
  <c r="D12136" i="9"/>
  <c r="C12136" i="9"/>
  <c r="B12136" i="9"/>
  <c r="H12135" i="9"/>
  <c r="G12135" i="9"/>
  <c r="E12135" i="9"/>
  <c r="D12135" i="9"/>
  <c r="C12135" i="9"/>
  <c r="B12135" i="9"/>
  <c r="H12134" i="9"/>
  <c r="G12134" i="9"/>
  <c r="E12134" i="9"/>
  <c r="D12134" i="9"/>
  <c r="C12134" i="9"/>
  <c r="B12134" i="9"/>
  <c r="H12133" i="9"/>
  <c r="G12133" i="9"/>
  <c r="E12133" i="9"/>
  <c r="D12133" i="9"/>
  <c r="C12133" i="9"/>
  <c r="B12133" i="9"/>
  <c r="H12132" i="9"/>
  <c r="G12132" i="9"/>
  <c r="E12132" i="9"/>
  <c r="D12132" i="9"/>
  <c r="C12132" i="9"/>
  <c r="B12132" i="9"/>
  <c r="H12131" i="9"/>
  <c r="G12131" i="9"/>
  <c r="E12131" i="9"/>
  <c r="D12131" i="9"/>
  <c r="C12131" i="9"/>
  <c r="B12131" i="9"/>
  <c r="H12130" i="9"/>
  <c r="G12130" i="9"/>
  <c r="E12130" i="9"/>
  <c r="D12130" i="9"/>
  <c r="C12130" i="9"/>
  <c r="B12130" i="9"/>
  <c r="H12129" i="9"/>
  <c r="G12129" i="9"/>
  <c r="E12129" i="9"/>
  <c r="D12129" i="9"/>
  <c r="C12129" i="9"/>
  <c r="B12129" i="9"/>
  <c r="H12128" i="9"/>
  <c r="G12128" i="9"/>
  <c r="E12128" i="9"/>
  <c r="D12128" i="9"/>
  <c r="C12128" i="9"/>
  <c r="B12128" i="9"/>
  <c r="H12127" i="9"/>
  <c r="G12127" i="9"/>
  <c r="E12127" i="9"/>
  <c r="D12127" i="9"/>
  <c r="C12127" i="9"/>
  <c r="B12127" i="9"/>
  <c r="H12126" i="9"/>
  <c r="G12126" i="9"/>
  <c r="E12126" i="9"/>
  <c r="D12126" i="9"/>
  <c r="C12126" i="9"/>
  <c r="B12126" i="9"/>
  <c r="H12125" i="9"/>
  <c r="G12125" i="9"/>
  <c r="E12125" i="9"/>
  <c r="D12125" i="9"/>
  <c r="C12125" i="9"/>
  <c r="B12125" i="9"/>
  <c r="H12124" i="9"/>
  <c r="G12124" i="9"/>
  <c r="E12124" i="9"/>
  <c r="D12124" i="9"/>
  <c r="C12124" i="9"/>
  <c r="B12124" i="9"/>
  <c r="H12123" i="9"/>
  <c r="G12123" i="9"/>
  <c r="E12123" i="9"/>
  <c r="D12123" i="9"/>
  <c r="C12123" i="9"/>
  <c r="B12123" i="9"/>
  <c r="H12122" i="9"/>
  <c r="G12122" i="9"/>
  <c r="E12122" i="9"/>
  <c r="D12122" i="9"/>
  <c r="C12122" i="9"/>
  <c r="B12122" i="9"/>
  <c r="H12121" i="9"/>
  <c r="G12121" i="9"/>
  <c r="E12121" i="9"/>
  <c r="D12121" i="9"/>
  <c r="C12121" i="9"/>
  <c r="B12121" i="9"/>
  <c r="H12120" i="9"/>
  <c r="G12120" i="9"/>
  <c r="E12120" i="9"/>
  <c r="D12120" i="9"/>
  <c r="C12120" i="9"/>
  <c r="B12120" i="9"/>
  <c r="H12119" i="9"/>
  <c r="G12119" i="9"/>
  <c r="E12119" i="9"/>
  <c r="D12119" i="9"/>
  <c r="C12119" i="9"/>
  <c r="B12119" i="9"/>
  <c r="H12118" i="9"/>
  <c r="G12118" i="9"/>
  <c r="E12118" i="9"/>
  <c r="D12118" i="9"/>
  <c r="C12118" i="9"/>
  <c r="B12118" i="9"/>
  <c r="H12117" i="9"/>
  <c r="G12117" i="9"/>
  <c r="E12117" i="9"/>
  <c r="D12117" i="9"/>
  <c r="C12117" i="9"/>
  <c r="B12117" i="9"/>
  <c r="H12116" i="9"/>
  <c r="G12116" i="9"/>
  <c r="E12116" i="9"/>
  <c r="D12116" i="9"/>
  <c r="C12116" i="9"/>
  <c r="B12116" i="9"/>
  <c r="H12115" i="9"/>
  <c r="G12115" i="9"/>
  <c r="E12115" i="9"/>
  <c r="D12115" i="9"/>
  <c r="C12115" i="9"/>
  <c r="B12115" i="9"/>
  <c r="H12114" i="9"/>
  <c r="G12114" i="9"/>
  <c r="E12114" i="9"/>
  <c r="D12114" i="9"/>
  <c r="C12114" i="9"/>
  <c r="B12114" i="9"/>
  <c r="H12113" i="9"/>
  <c r="G12113" i="9"/>
  <c r="E12113" i="9"/>
  <c r="D12113" i="9"/>
  <c r="C12113" i="9"/>
  <c r="B12113" i="9"/>
  <c r="H12112" i="9"/>
  <c r="G12112" i="9"/>
  <c r="E12112" i="9"/>
  <c r="D12112" i="9"/>
  <c r="C12112" i="9"/>
  <c r="B12112" i="9"/>
  <c r="H12111" i="9"/>
  <c r="G12111" i="9"/>
  <c r="E12111" i="9"/>
  <c r="D12111" i="9"/>
  <c r="C12111" i="9"/>
  <c r="B12111" i="9"/>
  <c r="H12110" i="9"/>
  <c r="G12110" i="9"/>
  <c r="E12110" i="9"/>
  <c r="D12110" i="9"/>
  <c r="C12110" i="9"/>
  <c r="B12110" i="9"/>
  <c r="H12109" i="9"/>
  <c r="G12109" i="9"/>
  <c r="E12109" i="9"/>
  <c r="D12109" i="9"/>
  <c r="C12109" i="9"/>
  <c r="B12109" i="9"/>
  <c r="H12108" i="9"/>
  <c r="G12108" i="9"/>
  <c r="E12108" i="9"/>
  <c r="D12108" i="9"/>
  <c r="C12108" i="9"/>
  <c r="B12108" i="9"/>
  <c r="H12107" i="9"/>
  <c r="G12107" i="9"/>
  <c r="E12107" i="9"/>
  <c r="D12107" i="9"/>
  <c r="C12107" i="9"/>
  <c r="B12107" i="9"/>
  <c r="H12106" i="9"/>
  <c r="G12106" i="9"/>
  <c r="E12106" i="9"/>
  <c r="D12106" i="9"/>
  <c r="C12106" i="9"/>
  <c r="B12106" i="9"/>
  <c r="H12105" i="9"/>
  <c r="G12105" i="9"/>
  <c r="E12105" i="9"/>
  <c r="D12105" i="9"/>
  <c r="C12105" i="9"/>
  <c r="B12105" i="9"/>
  <c r="H12104" i="9"/>
  <c r="G12104" i="9"/>
  <c r="E12104" i="9"/>
  <c r="D12104" i="9"/>
  <c r="C12104" i="9"/>
  <c r="B12104" i="9"/>
  <c r="H12103" i="9"/>
  <c r="G12103" i="9"/>
  <c r="E12103" i="9"/>
  <c r="D12103" i="9"/>
  <c r="C12103" i="9"/>
  <c r="B12103" i="9"/>
  <c r="H12102" i="9"/>
  <c r="G12102" i="9"/>
  <c r="E12102" i="9"/>
  <c r="D12102" i="9"/>
  <c r="C12102" i="9"/>
  <c r="B12102" i="9"/>
  <c r="H12101" i="9"/>
  <c r="G12101" i="9"/>
  <c r="E12101" i="9"/>
  <c r="D12101" i="9"/>
  <c r="C12101" i="9"/>
  <c r="B12101" i="9"/>
  <c r="H12100" i="9"/>
  <c r="G12100" i="9"/>
  <c r="E12100" i="9"/>
  <c r="D12100" i="9"/>
  <c r="C12100" i="9"/>
  <c r="B12100" i="9"/>
  <c r="H12099" i="9"/>
  <c r="G12099" i="9"/>
  <c r="E12099" i="9"/>
  <c r="D12099" i="9"/>
  <c r="C12099" i="9"/>
  <c r="B12099" i="9"/>
  <c r="H12098" i="9"/>
  <c r="G12098" i="9"/>
  <c r="E12098" i="9"/>
  <c r="D12098" i="9"/>
  <c r="C12098" i="9"/>
  <c r="B12098" i="9"/>
  <c r="H12097" i="9"/>
  <c r="G12097" i="9"/>
  <c r="E12097" i="9"/>
  <c r="D12097" i="9"/>
  <c r="C12097" i="9"/>
  <c r="B12097" i="9"/>
  <c r="H12096" i="9"/>
  <c r="G12096" i="9"/>
  <c r="E12096" i="9"/>
  <c r="D12096" i="9"/>
  <c r="C12096" i="9"/>
  <c r="B12096" i="9"/>
  <c r="H12095" i="9"/>
  <c r="G12095" i="9"/>
  <c r="E12095" i="9"/>
  <c r="D12095" i="9"/>
  <c r="C12095" i="9"/>
  <c r="B12095" i="9"/>
  <c r="H12094" i="9"/>
  <c r="G12094" i="9"/>
  <c r="E12094" i="9"/>
  <c r="D12094" i="9"/>
  <c r="C12094" i="9"/>
  <c r="B12094" i="9"/>
  <c r="H12093" i="9"/>
  <c r="G12093" i="9"/>
  <c r="E12093" i="9"/>
  <c r="D12093" i="9"/>
  <c r="C12093" i="9"/>
  <c r="B12093" i="9"/>
  <c r="H12092" i="9"/>
  <c r="G12092" i="9"/>
  <c r="E12092" i="9"/>
  <c r="D12092" i="9"/>
  <c r="C12092" i="9"/>
  <c r="B12092" i="9"/>
  <c r="H12091" i="9"/>
  <c r="G12091" i="9"/>
  <c r="E12091" i="9"/>
  <c r="D12091" i="9"/>
  <c r="C12091" i="9"/>
  <c r="B12091" i="9"/>
  <c r="H12090" i="9"/>
  <c r="G12090" i="9"/>
  <c r="E12090" i="9"/>
  <c r="D12090" i="9"/>
  <c r="C12090" i="9"/>
  <c r="B12090" i="9"/>
  <c r="H12089" i="9"/>
  <c r="G12089" i="9"/>
  <c r="E12089" i="9"/>
  <c r="D12089" i="9"/>
  <c r="C12089" i="9"/>
  <c r="B12089" i="9"/>
  <c r="H12088" i="9"/>
  <c r="G12088" i="9"/>
  <c r="E12088" i="9"/>
  <c r="D12088" i="9"/>
  <c r="C12088" i="9"/>
  <c r="B12088" i="9"/>
  <c r="H12087" i="9"/>
  <c r="G12087" i="9"/>
  <c r="E12087" i="9"/>
  <c r="D12087" i="9"/>
  <c r="C12087" i="9"/>
  <c r="B12087" i="9"/>
  <c r="H12086" i="9"/>
  <c r="G12086" i="9"/>
  <c r="E12086" i="9"/>
  <c r="D12086" i="9"/>
  <c r="C12086" i="9"/>
  <c r="B12086" i="9"/>
  <c r="H12085" i="9"/>
  <c r="G12085" i="9"/>
  <c r="E12085" i="9"/>
  <c r="D12085" i="9"/>
  <c r="C12085" i="9"/>
  <c r="B12085" i="9"/>
  <c r="H12084" i="9"/>
  <c r="G12084" i="9"/>
  <c r="E12084" i="9"/>
  <c r="D12084" i="9"/>
  <c r="C12084" i="9"/>
  <c r="B12084" i="9"/>
  <c r="H12083" i="9"/>
  <c r="G12083" i="9"/>
  <c r="E12083" i="9"/>
  <c r="D12083" i="9"/>
  <c r="C12083" i="9"/>
  <c r="B12083" i="9"/>
  <c r="H12082" i="9"/>
  <c r="G12082" i="9"/>
  <c r="E12082" i="9"/>
  <c r="D12082" i="9"/>
  <c r="C12082" i="9"/>
  <c r="B12082" i="9"/>
  <c r="H12081" i="9"/>
  <c r="G12081" i="9"/>
  <c r="E12081" i="9"/>
  <c r="D12081" i="9"/>
  <c r="C12081" i="9"/>
  <c r="B12081" i="9"/>
  <c r="H12080" i="9"/>
  <c r="G12080" i="9"/>
  <c r="E12080" i="9"/>
  <c r="D12080" i="9"/>
  <c r="C12080" i="9"/>
  <c r="B12080" i="9"/>
  <c r="H12079" i="9"/>
  <c r="G12079" i="9"/>
  <c r="E12079" i="9"/>
  <c r="D12079" i="9"/>
  <c r="C12079" i="9"/>
  <c r="B12079" i="9"/>
  <c r="H12078" i="9"/>
  <c r="G12078" i="9"/>
  <c r="E12078" i="9"/>
  <c r="D12078" i="9"/>
  <c r="C12078" i="9"/>
  <c r="B12078" i="9"/>
  <c r="H12077" i="9"/>
  <c r="G12077" i="9"/>
  <c r="E12077" i="9"/>
  <c r="D12077" i="9"/>
  <c r="C12077" i="9"/>
  <c r="B12077" i="9"/>
  <c r="H12076" i="9"/>
  <c r="G12076" i="9"/>
  <c r="E12076" i="9"/>
  <c r="D12076" i="9"/>
  <c r="C12076" i="9"/>
  <c r="B12076" i="9"/>
  <c r="H12075" i="9"/>
  <c r="G12075" i="9"/>
  <c r="E12075" i="9"/>
  <c r="D12075" i="9"/>
  <c r="C12075" i="9"/>
  <c r="B12075" i="9"/>
  <c r="H12074" i="9"/>
  <c r="G12074" i="9"/>
  <c r="E12074" i="9"/>
  <c r="D12074" i="9"/>
  <c r="C12074" i="9"/>
  <c r="B12074" i="9"/>
  <c r="H12073" i="9"/>
  <c r="G12073" i="9"/>
  <c r="E12073" i="9"/>
  <c r="D12073" i="9"/>
  <c r="C12073" i="9"/>
  <c r="B12073" i="9"/>
  <c r="H12072" i="9"/>
  <c r="G12072" i="9"/>
  <c r="E12072" i="9"/>
  <c r="D12072" i="9"/>
  <c r="C12072" i="9"/>
  <c r="B12072" i="9"/>
  <c r="H12071" i="9"/>
  <c r="G12071" i="9"/>
  <c r="E12071" i="9"/>
  <c r="D12071" i="9"/>
  <c r="C12071" i="9"/>
  <c r="B12071" i="9"/>
  <c r="H12070" i="9"/>
  <c r="G12070" i="9"/>
  <c r="E12070" i="9"/>
  <c r="D12070" i="9"/>
  <c r="C12070" i="9"/>
  <c r="B12070" i="9"/>
  <c r="H12069" i="9"/>
  <c r="G12069" i="9"/>
  <c r="E12069" i="9"/>
  <c r="D12069" i="9"/>
  <c r="C12069" i="9"/>
  <c r="B12069" i="9"/>
  <c r="H12068" i="9"/>
  <c r="G12068" i="9"/>
  <c r="E12068" i="9"/>
  <c r="D12068" i="9"/>
  <c r="C12068" i="9"/>
  <c r="B12068" i="9"/>
  <c r="H12067" i="9"/>
  <c r="G12067" i="9"/>
  <c r="E12067" i="9"/>
  <c r="D12067" i="9"/>
  <c r="C12067" i="9"/>
  <c r="B12067" i="9"/>
  <c r="H12066" i="9"/>
  <c r="G12066" i="9"/>
  <c r="E12066" i="9"/>
  <c r="D12066" i="9"/>
  <c r="C12066" i="9"/>
  <c r="B12066" i="9"/>
  <c r="H12065" i="9"/>
  <c r="G12065" i="9"/>
  <c r="E12065" i="9"/>
  <c r="D12065" i="9"/>
  <c r="C12065" i="9"/>
  <c r="B12065" i="9"/>
  <c r="H12064" i="9"/>
  <c r="G12064" i="9"/>
  <c r="E12064" i="9"/>
  <c r="D12064" i="9"/>
  <c r="C12064" i="9"/>
  <c r="B12064" i="9"/>
  <c r="H12063" i="9"/>
  <c r="G12063" i="9"/>
  <c r="E12063" i="9"/>
  <c r="D12063" i="9"/>
  <c r="C12063" i="9"/>
  <c r="B12063" i="9"/>
  <c r="H12062" i="9"/>
  <c r="G12062" i="9"/>
  <c r="E12062" i="9"/>
  <c r="D12062" i="9"/>
  <c r="C12062" i="9"/>
  <c r="B12062" i="9"/>
  <c r="H12061" i="9"/>
  <c r="G12061" i="9"/>
  <c r="E12061" i="9"/>
  <c r="D12061" i="9"/>
  <c r="C12061" i="9"/>
  <c r="B12061" i="9"/>
  <c r="H12060" i="9"/>
  <c r="G12060" i="9"/>
  <c r="E12060" i="9"/>
  <c r="D12060" i="9"/>
  <c r="C12060" i="9"/>
  <c r="B12060" i="9"/>
  <c r="H12059" i="9"/>
  <c r="G12059" i="9"/>
  <c r="E12059" i="9"/>
  <c r="D12059" i="9"/>
  <c r="C12059" i="9"/>
  <c r="B12059" i="9"/>
  <c r="H12058" i="9"/>
  <c r="G12058" i="9"/>
  <c r="E12058" i="9"/>
  <c r="D12058" i="9"/>
  <c r="C12058" i="9"/>
  <c r="B12058" i="9"/>
  <c r="H12057" i="9"/>
  <c r="G12057" i="9"/>
  <c r="E12057" i="9"/>
  <c r="D12057" i="9"/>
  <c r="C12057" i="9"/>
  <c r="B12057" i="9"/>
  <c r="H12056" i="9"/>
  <c r="G12056" i="9"/>
  <c r="E12056" i="9"/>
  <c r="D12056" i="9"/>
  <c r="C12056" i="9"/>
  <c r="B12056" i="9"/>
  <c r="H12055" i="9"/>
  <c r="G12055" i="9"/>
  <c r="E12055" i="9"/>
  <c r="D12055" i="9"/>
  <c r="C12055" i="9"/>
  <c r="B12055" i="9"/>
  <c r="H12054" i="9"/>
  <c r="G12054" i="9"/>
  <c r="E12054" i="9"/>
  <c r="D12054" i="9"/>
  <c r="C12054" i="9"/>
  <c r="B12054" i="9"/>
  <c r="H12053" i="9"/>
  <c r="G12053" i="9"/>
  <c r="E12053" i="9"/>
  <c r="D12053" i="9"/>
  <c r="C12053" i="9"/>
  <c r="B12053" i="9"/>
  <c r="H12052" i="9"/>
  <c r="G12052" i="9"/>
  <c r="E12052" i="9"/>
  <c r="D12052" i="9"/>
  <c r="C12052" i="9"/>
  <c r="B12052" i="9"/>
  <c r="H12051" i="9"/>
  <c r="G12051" i="9"/>
  <c r="E12051" i="9"/>
  <c r="D12051" i="9"/>
  <c r="C12051" i="9"/>
  <c r="B12051" i="9"/>
  <c r="H12050" i="9"/>
  <c r="G12050" i="9"/>
  <c r="E12050" i="9"/>
  <c r="D12050" i="9"/>
  <c r="C12050" i="9"/>
  <c r="B12050" i="9"/>
  <c r="H12049" i="9"/>
  <c r="G12049" i="9"/>
  <c r="E12049" i="9"/>
  <c r="D12049" i="9"/>
  <c r="C12049" i="9"/>
  <c r="B12049" i="9"/>
  <c r="H12048" i="9"/>
  <c r="G12048" i="9"/>
  <c r="E12048" i="9"/>
  <c r="D12048" i="9"/>
  <c r="C12048" i="9"/>
  <c r="B12048" i="9"/>
  <c r="H12047" i="9"/>
  <c r="G12047" i="9"/>
  <c r="E12047" i="9"/>
  <c r="D12047" i="9"/>
  <c r="C12047" i="9"/>
  <c r="B12047" i="9"/>
  <c r="H12046" i="9"/>
  <c r="G12046" i="9"/>
  <c r="E12046" i="9"/>
  <c r="D12046" i="9"/>
  <c r="C12046" i="9"/>
  <c r="B12046" i="9"/>
  <c r="H12045" i="9"/>
  <c r="G12045" i="9"/>
  <c r="E12045" i="9"/>
  <c r="D12045" i="9"/>
  <c r="C12045" i="9"/>
  <c r="B12045" i="9"/>
  <c r="H12044" i="9"/>
  <c r="G12044" i="9"/>
  <c r="E12044" i="9"/>
  <c r="D12044" i="9"/>
  <c r="C12044" i="9"/>
  <c r="B12044" i="9"/>
  <c r="H12043" i="9"/>
  <c r="G12043" i="9"/>
  <c r="E12043" i="9"/>
  <c r="D12043" i="9"/>
  <c r="C12043" i="9"/>
  <c r="B12043" i="9"/>
  <c r="H12042" i="9"/>
  <c r="G12042" i="9"/>
  <c r="E12042" i="9"/>
  <c r="D12042" i="9"/>
  <c r="C12042" i="9"/>
  <c r="B12042" i="9"/>
  <c r="H12041" i="9"/>
  <c r="G12041" i="9"/>
  <c r="E12041" i="9"/>
  <c r="D12041" i="9"/>
  <c r="C12041" i="9"/>
  <c r="B12041" i="9"/>
  <c r="H12040" i="9"/>
  <c r="G12040" i="9"/>
  <c r="E12040" i="9"/>
  <c r="D12040" i="9"/>
  <c r="C12040" i="9"/>
  <c r="B12040" i="9"/>
  <c r="H12039" i="9"/>
  <c r="G12039" i="9"/>
  <c r="E12039" i="9"/>
  <c r="D12039" i="9"/>
  <c r="C12039" i="9"/>
  <c r="B12039" i="9"/>
  <c r="H12038" i="9"/>
  <c r="G12038" i="9"/>
  <c r="E12038" i="9"/>
  <c r="D12038" i="9"/>
  <c r="C12038" i="9"/>
  <c r="B12038" i="9"/>
  <c r="H12037" i="9"/>
  <c r="G12037" i="9"/>
  <c r="E12037" i="9"/>
  <c r="D12037" i="9"/>
  <c r="C12037" i="9"/>
  <c r="B12037" i="9"/>
  <c r="H12036" i="9"/>
  <c r="G12036" i="9"/>
  <c r="E12036" i="9"/>
  <c r="D12036" i="9"/>
  <c r="C12036" i="9"/>
  <c r="B12036" i="9"/>
  <c r="H12035" i="9"/>
  <c r="G12035" i="9"/>
  <c r="E12035" i="9"/>
  <c r="D12035" i="9"/>
  <c r="C12035" i="9"/>
  <c r="B12035" i="9"/>
  <c r="H12034" i="9"/>
  <c r="G12034" i="9"/>
  <c r="E12034" i="9"/>
  <c r="D12034" i="9"/>
  <c r="C12034" i="9"/>
  <c r="B12034" i="9"/>
  <c r="H12033" i="9"/>
  <c r="G12033" i="9"/>
  <c r="E12033" i="9"/>
  <c r="D12033" i="9"/>
  <c r="C12033" i="9"/>
  <c r="B12033" i="9"/>
  <c r="H12032" i="9"/>
  <c r="G12032" i="9"/>
  <c r="E12032" i="9"/>
  <c r="D12032" i="9"/>
  <c r="C12032" i="9"/>
  <c r="B12032" i="9"/>
  <c r="H12031" i="9"/>
  <c r="G12031" i="9"/>
  <c r="E12031" i="9"/>
  <c r="D12031" i="9"/>
  <c r="C12031" i="9"/>
  <c r="B12031" i="9"/>
  <c r="H12030" i="9"/>
  <c r="G12030" i="9"/>
  <c r="E12030" i="9"/>
  <c r="D12030" i="9"/>
  <c r="C12030" i="9"/>
  <c r="B12030" i="9"/>
  <c r="H12029" i="9"/>
  <c r="G12029" i="9"/>
  <c r="E12029" i="9"/>
  <c r="D12029" i="9"/>
  <c r="C12029" i="9"/>
  <c r="B12029" i="9"/>
  <c r="H12028" i="9"/>
  <c r="G12028" i="9"/>
  <c r="E12028" i="9"/>
  <c r="D12028" i="9"/>
  <c r="C12028" i="9"/>
  <c r="B12028" i="9"/>
  <c r="H12027" i="9"/>
  <c r="G12027" i="9"/>
  <c r="E12027" i="9"/>
  <c r="D12027" i="9"/>
  <c r="C12027" i="9"/>
  <c r="B12027" i="9"/>
  <c r="H12026" i="9"/>
  <c r="G12026" i="9"/>
  <c r="E12026" i="9"/>
  <c r="D12026" i="9"/>
  <c r="C12026" i="9"/>
  <c r="B12026" i="9"/>
  <c r="H12025" i="9"/>
  <c r="G12025" i="9"/>
  <c r="E12025" i="9"/>
  <c r="D12025" i="9"/>
  <c r="C12025" i="9"/>
  <c r="B12025" i="9"/>
  <c r="H12024" i="9"/>
  <c r="G12024" i="9"/>
  <c r="E12024" i="9"/>
  <c r="D12024" i="9"/>
  <c r="C12024" i="9"/>
  <c r="B12024" i="9"/>
  <c r="H12023" i="9"/>
  <c r="G12023" i="9"/>
  <c r="E12023" i="9"/>
  <c r="D12023" i="9"/>
  <c r="C12023" i="9"/>
  <c r="B12023" i="9"/>
  <c r="H12022" i="9"/>
  <c r="G12022" i="9"/>
  <c r="E12022" i="9"/>
  <c r="D12022" i="9"/>
  <c r="C12022" i="9"/>
  <c r="B12022" i="9"/>
  <c r="H12021" i="9"/>
  <c r="G12021" i="9"/>
  <c r="E12021" i="9"/>
  <c r="D12021" i="9"/>
  <c r="C12021" i="9"/>
  <c r="B12021" i="9"/>
  <c r="H12020" i="9"/>
  <c r="G12020" i="9"/>
  <c r="E12020" i="9"/>
  <c r="D12020" i="9"/>
  <c r="C12020" i="9"/>
  <c r="B12020" i="9"/>
  <c r="H12019" i="9"/>
  <c r="G12019" i="9"/>
  <c r="E12019" i="9"/>
  <c r="D12019" i="9"/>
  <c r="C12019" i="9"/>
  <c r="B12019" i="9"/>
  <c r="H12018" i="9"/>
  <c r="G12018" i="9"/>
  <c r="E12018" i="9"/>
  <c r="D12018" i="9"/>
  <c r="C12018" i="9"/>
  <c r="B12018" i="9"/>
  <c r="H12017" i="9"/>
  <c r="G12017" i="9"/>
  <c r="E12017" i="9"/>
  <c r="D12017" i="9"/>
  <c r="C12017" i="9"/>
  <c r="B12017" i="9"/>
  <c r="H12016" i="9"/>
  <c r="G12016" i="9"/>
  <c r="E12016" i="9"/>
  <c r="D12016" i="9"/>
  <c r="C12016" i="9"/>
  <c r="B12016" i="9"/>
  <c r="H12015" i="9"/>
  <c r="G12015" i="9"/>
  <c r="E12015" i="9"/>
  <c r="D12015" i="9"/>
  <c r="C12015" i="9"/>
  <c r="B12015" i="9"/>
  <c r="H12014" i="9"/>
  <c r="G12014" i="9"/>
  <c r="E12014" i="9"/>
  <c r="D12014" i="9"/>
  <c r="C12014" i="9"/>
  <c r="B12014" i="9"/>
  <c r="H12013" i="9"/>
  <c r="G12013" i="9"/>
  <c r="E12013" i="9"/>
  <c r="D12013" i="9"/>
  <c r="C12013" i="9"/>
  <c r="B12013" i="9"/>
  <c r="H12012" i="9"/>
  <c r="G12012" i="9"/>
  <c r="E12012" i="9"/>
  <c r="D12012" i="9"/>
  <c r="C12012" i="9"/>
  <c r="B12012" i="9"/>
  <c r="H12011" i="9"/>
  <c r="G12011" i="9"/>
  <c r="E12011" i="9"/>
  <c r="D12011" i="9"/>
  <c r="C12011" i="9"/>
  <c r="B12011" i="9"/>
  <c r="H12010" i="9"/>
  <c r="G12010" i="9"/>
  <c r="E12010" i="9"/>
  <c r="D12010" i="9"/>
  <c r="C12010" i="9"/>
  <c r="B12010" i="9"/>
  <c r="H12009" i="9"/>
  <c r="G12009" i="9"/>
  <c r="E12009" i="9"/>
  <c r="D12009" i="9"/>
  <c r="C12009" i="9"/>
  <c r="B12009" i="9"/>
  <c r="H12008" i="9"/>
  <c r="G12008" i="9"/>
  <c r="E12008" i="9"/>
  <c r="D12008" i="9"/>
  <c r="C12008" i="9"/>
  <c r="B12008" i="9"/>
  <c r="H12007" i="9"/>
  <c r="G12007" i="9"/>
  <c r="E12007" i="9"/>
  <c r="D12007" i="9"/>
  <c r="C12007" i="9"/>
  <c r="B12007" i="9"/>
  <c r="H12006" i="9"/>
  <c r="G12006" i="9"/>
  <c r="E12006" i="9"/>
  <c r="D12006" i="9"/>
  <c r="C12006" i="9"/>
  <c r="B12006" i="9"/>
  <c r="H12005" i="9"/>
  <c r="G12005" i="9"/>
  <c r="E12005" i="9"/>
  <c r="D12005" i="9"/>
  <c r="C12005" i="9"/>
  <c r="B12005" i="9"/>
  <c r="H12004" i="9"/>
  <c r="G12004" i="9"/>
  <c r="E12004" i="9"/>
  <c r="D12004" i="9"/>
  <c r="C12004" i="9"/>
  <c r="B12004" i="9"/>
  <c r="H12003" i="9"/>
  <c r="G12003" i="9"/>
  <c r="E12003" i="9"/>
  <c r="D12003" i="9"/>
  <c r="C12003" i="9"/>
  <c r="B12003" i="9"/>
  <c r="H12002" i="9"/>
  <c r="G12002" i="9"/>
  <c r="E12002" i="9"/>
  <c r="D12002" i="9"/>
  <c r="C12002" i="9"/>
  <c r="B12002" i="9"/>
  <c r="H12001" i="9"/>
  <c r="G12001" i="9"/>
  <c r="E12001" i="9"/>
  <c r="D12001" i="9"/>
  <c r="C12001" i="9"/>
  <c r="B12001" i="9"/>
  <c r="H12000" i="9"/>
  <c r="G12000" i="9"/>
  <c r="E12000" i="9"/>
  <c r="D12000" i="9"/>
  <c r="C12000" i="9"/>
  <c r="B12000" i="9"/>
  <c r="H11999" i="9"/>
  <c r="G11999" i="9"/>
  <c r="E11999" i="9"/>
  <c r="D11999" i="9"/>
  <c r="C11999" i="9"/>
  <c r="B11999" i="9"/>
  <c r="H11998" i="9"/>
  <c r="G11998" i="9"/>
  <c r="E11998" i="9"/>
  <c r="D11998" i="9"/>
  <c r="C11998" i="9"/>
  <c r="B11998" i="9"/>
  <c r="H11997" i="9"/>
  <c r="G11997" i="9"/>
  <c r="E11997" i="9"/>
  <c r="D11997" i="9"/>
  <c r="C11997" i="9"/>
  <c r="B11997" i="9"/>
  <c r="H11996" i="9"/>
  <c r="G11996" i="9"/>
  <c r="E11996" i="9"/>
  <c r="D11996" i="9"/>
  <c r="C11996" i="9"/>
  <c r="B11996" i="9"/>
  <c r="H11995" i="9"/>
  <c r="G11995" i="9"/>
  <c r="E11995" i="9"/>
  <c r="D11995" i="9"/>
  <c r="C11995" i="9"/>
  <c r="B11995" i="9"/>
  <c r="H11994" i="9"/>
  <c r="G11994" i="9"/>
  <c r="E11994" i="9"/>
  <c r="D11994" i="9"/>
  <c r="C11994" i="9"/>
  <c r="B11994" i="9"/>
  <c r="H11993" i="9"/>
  <c r="G11993" i="9"/>
  <c r="E11993" i="9"/>
  <c r="D11993" i="9"/>
  <c r="C11993" i="9"/>
  <c r="B11993" i="9"/>
  <c r="H11992" i="9"/>
  <c r="G11992" i="9"/>
  <c r="E11992" i="9"/>
  <c r="D11992" i="9"/>
  <c r="C11992" i="9"/>
  <c r="B11992" i="9"/>
  <c r="H11991" i="9"/>
  <c r="G11991" i="9"/>
  <c r="E11991" i="9"/>
  <c r="D11991" i="9"/>
  <c r="C11991" i="9"/>
  <c r="B11991" i="9"/>
  <c r="H11990" i="9"/>
  <c r="G11990" i="9"/>
  <c r="E11990" i="9"/>
  <c r="D11990" i="9"/>
  <c r="C11990" i="9"/>
  <c r="B11990" i="9"/>
  <c r="H11989" i="9"/>
  <c r="G11989" i="9"/>
  <c r="E11989" i="9"/>
  <c r="D11989" i="9"/>
  <c r="C11989" i="9"/>
  <c r="B11989" i="9"/>
  <c r="H11988" i="9"/>
  <c r="G11988" i="9"/>
  <c r="E11988" i="9"/>
  <c r="D11988" i="9"/>
  <c r="C11988" i="9"/>
  <c r="B11988" i="9"/>
  <c r="H11987" i="9"/>
  <c r="G11987" i="9"/>
  <c r="E11987" i="9"/>
  <c r="D11987" i="9"/>
  <c r="C11987" i="9"/>
  <c r="B11987" i="9"/>
  <c r="H11986" i="9"/>
  <c r="G11986" i="9"/>
  <c r="E11986" i="9"/>
  <c r="D11986" i="9"/>
  <c r="C11986" i="9"/>
  <c r="B11986" i="9"/>
  <c r="H11985" i="9"/>
  <c r="G11985" i="9"/>
  <c r="E11985" i="9"/>
  <c r="D11985" i="9"/>
  <c r="C11985" i="9"/>
  <c r="B11985" i="9"/>
  <c r="H11984" i="9"/>
  <c r="G11984" i="9"/>
  <c r="E11984" i="9"/>
  <c r="D11984" i="9"/>
  <c r="C11984" i="9"/>
  <c r="B11984" i="9"/>
  <c r="H11983" i="9"/>
  <c r="G11983" i="9"/>
  <c r="E11983" i="9"/>
  <c r="D11983" i="9"/>
  <c r="C11983" i="9"/>
  <c r="B11983" i="9"/>
  <c r="H11982" i="9"/>
  <c r="G11982" i="9"/>
  <c r="E11982" i="9"/>
  <c r="D11982" i="9"/>
  <c r="C11982" i="9"/>
  <c r="B11982" i="9"/>
  <c r="H11981" i="9"/>
  <c r="G11981" i="9"/>
  <c r="E11981" i="9"/>
  <c r="D11981" i="9"/>
  <c r="C11981" i="9"/>
  <c r="B11981" i="9"/>
  <c r="H11980" i="9"/>
  <c r="G11980" i="9"/>
  <c r="E11980" i="9"/>
  <c r="D11980" i="9"/>
  <c r="C11980" i="9"/>
  <c r="B11980" i="9"/>
  <c r="H11979" i="9"/>
  <c r="G11979" i="9"/>
  <c r="E11979" i="9"/>
  <c r="D11979" i="9"/>
  <c r="C11979" i="9"/>
  <c r="B11979" i="9"/>
  <c r="H11978" i="9"/>
  <c r="G11978" i="9"/>
  <c r="E11978" i="9"/>
  <c r="D11978" i="9"/>
  <c r="C11978" i="9"/>
  <c r="B11978" i="9"/>
  <c r="H11977" i="9"/>
  <c r="G11977" i="9"/>
  <c r="E11977" i="9"/>
  <c r="D11977" i="9"/>
  <c r="C11977" i="9"/>
  <c r="B11977" i="9"/>
  <c r="H11976" i="9"/>
  <c r="G11976" i="9"/>
  <c r="E11976" i="9"/>
  <c r="D11976" i="9"/>
  <c r="C11976" i="9"/>
  <c r="B11976" i="9"/>
  <c r="H11975" i="9"/>
  <c r="G11975" i="9"/>
  <c r="E11975" i="9"/>
  <c r="D11975" i="9"/>
  <c r="C11975" i="9"/>
  <c r="B11975" i="9"/>
  <c r="H11974" i="9"/>
  <c r="G11974" i="9"/>
  <c r="E11974" i="9"/>
  <c r="D11974" i="9"/>
  <c r="C11974" i="9"/>
  <c r="B11974" i="9"/>
  <c r="H11973" i="9"/>
  <c r="G11973" i="9"/>
  <c r="E11973" i="9"/>
  <c r="D11973" i="9"/>
  <c r="C11973" i="9"/>
  <c r="B11973" i="9"/>
  <c r="H11972" i="9"/>
  <c r="G11972" i="9"/>
  <c r="E11972" i="9"/>
  <c r="D11972" i="9"/>
  <c r="C11972" i="9"/>
  <c r="B11972" i="9"/>
  <c r="H11971" i="9"/>
  <c r="G11971" i="9"/>
  <c r="E11971" i="9"/>
  <c r="D11971" i="9"/>
  <c r="C11971" i="9"/>
  <c r="B11971" i="9"/>
  <c r="H11970" i="9"/>
  <c r="G11970" i="9"/>
  <c r="E11970" i="9"/>
  <c r="D11970" i="9"/>
  <c r="C11970" i="9"/>
  <c r="B11970" i="9"/>
  <c r="H11969" i="9"/>
  <c r="G11969" i="9"/>
  <c r="E11969" i="9"/>
  <c r="D11969" i="9"/>
  <c r="C11969" i="9"/>
  <c r="B11969" i="9"/>
  <c r="H11968" i="9"/>
  <c r="G11968" i="9"/>
  <c r="E11968" i="9"/>
  <c r="D11968" i="9"/>
  <c r="C11968" i="9"/>
  <c r="B11968" i="9"/>
  <c r="H11967" i="9"/>
  <c r="G11967" i="9"/>
  <c r="E11967" i="9"/>
  <c r="D11967" i="9"/>
  <c r="C11967" i="9"/>
  <c r="B11967" i="9"/>
  <c r="H11966" i="9"/>
  <c r="G11966" i="9"/>
  <c r="E11966" i="9"/>
  <c r="D11966" i="9"/>
  <c r="C11966" i="9"/>
  <c r="B11966" i="9"/>
  <c r="H11965" i="9"/>
  <c r="G11965" i="9"/>
  <c r="E11965" i="9"/>
  <c r="D11965" i="9"/>
  <c r="C11965" i="9"/>
  <c r="B11965" i="9"/>
  <c r="H11964" i="9"/>
  <c r="G11964" i="9"/>
  <c r="E11964" i="9"/>
  <c r="D11964" i="9"/>
  <c r="C11964" i="9"/>
  <c r="B11964" i="9"/>
  <c r="H11963" i="9"/>
  <c r="G11963" i="9"/>
  <c r="E11963" i="9"/>
  <c r="D11963" i="9"/>
  <c r="C11963" i="9"/>
  <c r="B11963" i="9"/>
  <c r="H11962" i="9"/>
  <c r="G11962" i="9"/>
  <c r="E11962" i="9"/>
  <c r="D11962" i="9"/>
  <c r="C11962" i="9"/>
  <c r="B11962" i="9"/>
  <c r="H11961" i="9"/>
  <c r="G11961" i="9"/>
  <c r="E11961" i="9"/>
  <c r="D11961" i="9"/>
  <c r="C11961" i="9"/>
  <c r="B11961" i="9"/>
  <c r="H11960" i="9"/>
  <c r="G11960" i="9"/>
  <c r="E11960" i="9"/>
  <c r="D11960" i="9"/>
  <c r="C11960" i="9"/>
  <c r="B11960" i="9"/>
  <c r="H11959" i="9"/>
  <c r="G11959" i="9"/>
  <c r="E11959" i="9"/>
  <c r="D11959" i="9"/>
  <c r="C11959" i="9"/>
  <c r="B11959" i="9"/>
  <c r="H11958" i="9"/>
  <c r="G11958" i="9"/>
  <c r="E11958" i="9"/>
  <c r="D11958" i="9"/>
  <c r="C11958" i="9"/>
  <c r="B11958" i="9"/>
  <c r="H11957" i="9"/>
  <c r="G11957" i="9"/>
  <c r="E11957" i="9"/>
  <c r="D11957" i="9"/>
  <c r="C11957" i="9"/>
  <c r="B11957" i="9"/>
  <c r="H11956" i="9"/>
  <c r="G11956" i="9"/>
  <c r="E11956" i="9"/>
  <c r="D11956" i="9"/>
  <c r="C11956" i="9"/>
  <c r="B11956" i="9"/>
  <c r="H11955" i="9"/>
  <c r="G11955" i="9"/>
  <c r="E11955" i="9"/>
  <c r="D11955" i="9"/>
  <c r="C11955" i="9"/>
  <c r="B11955" i="9"/>
  <c r="H11954" i="9"/>
  <c r="G11954" i="9"/>
  <c r="E11954" i="9"/>
  <c r="D11954" i="9"/>
  <c r="C11954" i="9"/>
  <c r="B11954" i="9"/>
  <c r="H11953" i="9"/>
  <c r="G11953" i="9"/>
  <c r="E11953" i="9"/>
  <c r="D11953" i="9"/>
  <c r="C11953" i="9"/>
  <c r="B11953" i="9"/>
  <c r="H11952" i="9"/>
  <c r="G11952" i="9"/>
  <c r="E11952" i="9"/>
  <c r="D11952" i="9"/>
  <c r="C11952" i="9"/>
  <c r="B11952" i="9"/>
  <c r="H11951" i="9"/>
  <c r="G11951" i="9"/>
  <c r="E11951" i="9"/>
  <c r="D11951" i="9"/>
  <c r="C11951" i="9"/>
  <c r="B11951" i="9"/>
  <c r="H11950" i="9"/>
  <c r="G11950" i="9"/>
  <c r="E11950" i="9"/>
  <c r="D11950" i="9"/>
  <c r="C11950" i="9"/>
  <c r="B11950" i="9"/>
  <c r="H11949" i="9"/>
  <c r="G11949" i="9"/>
  <c r="E11949" i="9"/>
  <c r="D11949" i="9"/>
  <c r="C11949" i="9"/>
  <c r="B11949" i="9"/>
  <c r="H11948" i="9"/>
  <c r="G11948" i="9"/>
  <c r="E11948" i="9"/>
  <c r="D11948" i="9"/>
  <c r="C11948" i="9"/>
  <c r="B11948" i="9"/>
  <c r="H11947" i="9"/>
  <c r="G11947" i="9"/>
  <c r="E11947" i="9"/>
  <c r="D11947" i="9"/>
  <c r="C11947" i="9"/>
  <c r="B11947" i="9"/>
  <c r="H11946" i="9"/>
  <c r="G11946" i="9"/>
  <c r="E11946" i="9"/>
  <c r="D11946" i="9"/>
  <c r="C11946" i="9"/>
  <c r="B11946" i="9"/>
  <c r="H11945" i="9"/>
  <c r="G11945" i="9"/>
  <c r="E11945" i="9"/>
  <c r="D11945" i="9"/>
  <c r="C11945" i="9"/>
  <c r="B11945" i="9"/>
  <c r="H11944" i="9"/>
  <c r="G11944" i="9"/>
  <c r="E11944" i="9"/>
  <c r="D11944" i="9"/>
  <c r="C11944" i="9"/>
  <c r="B11944" i="9"/>
  <c r="H11943" i="9"/>
  <c r="G11943" i="9"/>
  <c r="E11943" i="9"/>
  <c r="D11943" i="9"/>
  <c r="C11943" i="9"/>
  <c r="B11943" i="9"/>
  <c r="H11942" i="9"/>
  <c r="G11942" i="9"/>
  <c r="E11942" i="9"/>
  <c r="D11942" i="9"/>
  <c r="C11942" i="9"/>
  <c r="B11942" i="9"/>
  <c r="H11941" i="9"/>
  <c r="G11941" i="9"/>
  <c r="E11941" i="9"/>
  <c r="D11941" i="9"/>
  <c r="C11941" i="9"/>
  <c r="B11941" i="9"/>
  <c r="H11940" i="9"/>
  <c r="G11940" i="9"/>
  <c r="E11940" i="9"/>
  <c r="D11940" i="9"/>
  <c r="C11940" i="9"/>
  <c r="B11940" i="9"/>
  <c r="H11939" i="9"/>
  <c r="G11939" i="9"/>
  <c r="E11939" i="9"/>
  <c r="D11939" i="9"/>
  <c r="C11939" i="9"/>
  <c r="B11939" i="9"/>
  <c r="H11938" i="9"/>
  <c r="G11938" i="9"/>
  <c r="E11938" i="9"/>
  <c r="D11938" i="9"/>
  <c r="C11938" i="9"/>
  <c r="B11938" i="9"/>
  <c r="H11937" i="9"/>
  <c r="G11937" i="9"/>
  <c r="E11937" i="9"/>
  <c r="D11937" i="9"/>
  <c r="C11937" i="9"/>
  <c r="B11937" i="9"/>
  <c r="H11936" i="9"/>
  <c r="G11936" i="9"/>
  <c r="E11936" i="9"/>
  <c r="D11936" i="9"/>
  <c r="C11936" i="9"/>
  <c r="B11936" i="9"/>
  <c r="H11935" i="9"/>
  <c r="G11935" i="9"/>
  <c r="E11935" i="9"/>
  <c r="D11935" i="9"/>
  <c r="C11935" i="9"/>
  <c r="B11935" i="9"/>
  <c r="H11934" i="9"/>
  <c r="G11934" i="9"/>
  <c r="E11934" i="9"/>
  <c r="D11934" i="9"/>
  <c r="C11934" i="9"/>
  <c r="B11934" i="9"/>
  <c r="H11933" i="9"/>
  <c r="G11933" i="9"/>
  <c r="E11933" i="9"/>
  <c r="D11933" i="9"/>
  <c r="C11933" i="9"/>
  <c r="B11933" i="9"/>
  <c r="H11932" i="9"/>
  <c r="G11932" i="9"/>
  <c r="E11932" i="9"/>
  <c r="D11932" i="9"/>
  <c r="C11932" i="9"/>
  <c r="B11932" i="9"/>
  <c r="H11931" i="9"/>
  <c r="G11931" i="9"/>
  <c r="E11931" i="9"/>
  <c r="D11931" i="9"/>
  <c r="C11931" i="9"/>
  <c r="B11931" i="9"/>
  <c r="H11930" i="9"/>
  <c r="G11930" i="9"/>
  <c r="E11930" i="9"/>
  <c r="D11930" i="9"/>
  <c r="C11930" i="9"/>
  <c r="B11930" i="9"/>
  <c r="H11929" i="9"/>
  <c r="G11929" i="9"/>
  <c r="E11929" i="9"/>
  <c r="D11929" i="9"/>
  <c r="C11929" i="9"/>
  <c r="B11929" i="9"/>
  <c r="H11928" i="9"/>
  <c r="G11928" i="9"/>
  <c r="E11928" i="9"/>
  <c r="D11928" i="9"/>
  <c r="C11928" i="9"/>
  <c r="B11928" i="9"/>
  <c r="H11927" i="9"/>
  <c r="G11927" i="9"/>
  <c r="E11927" i="9"/>
  <c r="D11927" i="9"/>
  <c r="C11927" i="9"/>
  <c r="B11927" i="9"/>
  <c r="H11926" i="9"/>
  <c r="G11926" i="9"/>
  <c r="E11926" i="9"/>
  <c r="D11926" i="9"/>
  <c r="C11926" i="9"/>
  <c r="B11926" i="9"/>
  <c r="H11925" i="9"/>
  <c r="G11925" i="9"/>
  <c r="E11925" i="9"/>
  <c r="D11925" i="9"/>
  <c r="C11925" i="9"/>
  <c r="B11925" i="9"/>
  <c r="H11924" i="9"/>
  <c r="G11924" i="9"/>
  <c r="E11924" i="9"/>
  <c r="D11924" i="9"/>
  <c r="C11924" i="9"/>
  <c r="B11924" i="9"/>
  <c r="H11923" i="9"/>
  <c r="G11923" i="9"/>
  <c r="E11923" i="9"/>
  <c r="D11923" i="9"/>
  <c r="C11923" i="9"/>
  <c r="B11923" i="9"/>
  <c r="H11922" i="9"/>
  <c r="G11922" i="9"/>
  <c r="E11922" i="9"/>
  <c r="D11922" i="9"/>
  <c r="C11922" i="9"/>
  <c r="B11922" i="9"/>
  <c r="H11921" i="9"/>
  <c r="G11921" i="9"/>
  <c r="E11921" i="9"/>
  <c r="D11921" i="9"/>
  <c r="C11921" i="9"/>
  <c r="B11921" i="9"/>
  <c r="H11920" i="9"/>
  <c r="G11920" i="9"/>
  <c r="E11920" i="9"/>
  <c r="D11920" i="9"/>
  <c r="C11920" i="9"/>
  <c r="B11920" i="9"/>
  <c r="H11919" i="9"/>
  <c r="G11919" i="9"/>
  <c r="E11919" i="9"/>
  <c r="D11919" i="9"/>
  <c r="C11919" i="9"/>
  <c r="B11919" i="9"/>
  <c r="H11918" i="9"/>
  <c r="G11918" i="9"/>
  <c r="E11918" i="9"/>
  <c r="D11918" i="9"/>
  <c r="C11918" i="9"/>
  <c r="B11918" i="9"/>
  <c r="H11917" i="9"/>
  <c r="G11917" i="9"/>
  <c r="E11917" i="9"/>
  <c r="D11917" i="9"/>
  <c r="C11917" i="9"/>
  <c r="B11917" i="9"/>
  <c r="H11916" i="9"/>
  <c r="G11916" i="9"/>
  <c r="E11916" i="9"/>
  <c r="D11916" i="9"/>
  <c r="C11916" i="9"/>
  <c r="B11916" i="9"/>
  <c r="H11915" i="9"/>
  <c r="G11915" i="9"/>
  <c r="E11915" i="9"/>
  <c r="D11915" i="9"/>
  <c r="C11915" i="9"/>
  <c r="B11915" i="9"/>
  <c r="H11914" i="9"/>
  <c r="G11914" i="9"/>
  <c r="E11914" i="9"/>
  <c r="D11914" i="9"/>
  <c r="C11914" i="9"/>
  <c r="B11914" i="9"/>
  <c r="H11913" i="9"/>
  <c r="G11913" i="9"/>
  <c r="E11913" i="9"/>
  <c r="D11913" i="9"/>
  <c r="C11913" i="9"/>
  <c r="B11913" i="9"/>
  <c r="H11912" i="9"/>
  <c r="G11912" i="9"/>
  <c r="E11912" i="9"/>
  <c r="D11912" i="9"/>
  <c r="C11912" i="9"/>
  <c r="B11912" i="9"/>
  <c r="H11911" i="9"/>
  <c r="G11911" i="9"/>
  <c r="E11911" i="9"/>
  <c r="D11911" i="9"/>
  <c r="C11911" i="9"/>
  <c r="B11911" i="9"/>
  <c r="H11910" i="9"/>
  <c r="G11910" i="9"/>
  <c r="E11910" i="9"/>
  <c r="D11910" i="9"/>
  <c r="C11910" i="9"/>
  <c r="B11910" i="9"/>
  <c r="H11909" i="9"/>
  <c r="G11909" i="9"/>
  <c r="E11909" i="9"/>
  <c r="D11909" i="9"/>
  <c r="C11909" i="9"/>
  <c r="B11909" i="9"/>
  <c r="H11908" i="9"/>
  <c r="G11908" i="9"/>
  <c r="E11908" i="9"/>
  <c r="D11908" i="9"/>
  <c r="C11908" i="9"/>
  <c r="B11908" i="9"/>
  <c r="H11907" i="9"/>
  <c r="G11907" i="9"/>
  <c r="E11907" i="9"/>
  <c r="D11907" i="9"/>
  <c r="C11907" i="9"/>
  <c r="B11907" i="9"/>
  <c r="H11906" i="9"/>
  <c r="G11906" i="9"/>
  <c r="E11906" i="9"/>
  <c r="D11906" i="9"/>
  <c r="C11906" i="9"/>
  <c r="B11906" i="9"/>
  <c r="H11905" i="9"/>
  <c r="G11905" i="9"/>
  <c r="E11905" i="9"/>
  <c r="D11905" i="9"/>
  <c r="C11905" i="9"/>
  <c r="B11905" i="9"/>
  <c r="H11904" i="9"/>
  <c r="G11904" i="9"/>
  <c r="E11904" i="9"/>
  <c r="D11904" i="9"/>
  <c r="C11904" i="9"/>
  <c r="B11904" i="9"/>
  <c r="H11903" i="9"/>
  <c r="G11903" i="9"/>
  <c r="E11903" i="9"/>
  <c r="D11903" i="9"/>
  <c r="C11903" i="9"/>
  <c r="B11903" i="9"/>
  <c r="H11902" i="9"/>
  <c r="G11902" i="9"/>
  <c r="E11902" i="9"/>
  <c r="D11902" i="9"/>
  <c r="C11902" i="9"/>
  <c r="B11902" i="9"/>
  <c r="H11901" i="9"/>
  <c r="G11901" i="9"/>
  <c r="E11901" i="9"/>
  <c r="D11901" i="9"/>
  <c r="C11901" i="9"/>
  <c r="B11901" i="9"/>
  <c r="H11900" i="9"/>
  <c r="G11900" i="9"/>
  <c r="E11900" i="9"/>
  <c r="D11900" i="9"/>
  <c r="C11900" i="9"/>
  <c r="B11900" i="9"/>
  <c r="H11899" i="9"/>
  <c r="G11899" i="9"/>
  <c r="E11899" i="9"/>
  <c r="D11899" i="9"/>
  <c r="C11899" i="9"/>
  <c r="B11899" i="9"/>
  <c r="H11898" i="9"/>
  <c r="G11898" i="9"/>
  <c r="E11898" i="9"/>
  <c r="D11898" i="9"/>
  <c r="C11898" i="9"/>
  <c r="B11898" i="9"/>
  <c r="H11897" i="9"/>
  <c r="G11897" i="9"/>
  <c r="E11897" i="9"/>
  <c r="D11897" i="9"/>
  <c r="C11897" i="9"/>
  <c r="B11897" i="9"/>
  <c r="H11896" i="9"/>
  <c r="G11896" i="9"/>
  <c r="E11896" i="9"/>
  <c r="D11896" i="9"/>
  <c r="C11896" i="9"/>
  <c r="B11896" i="9"/>
  <c r="H11895" i="9"/>
  <c r="G11895" i="9"/>
  <c r="E11895" i="9"/>
  <c r="D11895" i="9"/>
  <c r="C11895" i="9"/>
  <c r="B11895" i="9"/>
  <c r="H11894" i="9"/>
  <c r="G11894" i="9"/>
  <c r="E11894" i="9"/>
  <c r="D11894" i="9"/>
  <c r="C11894" i="9"/>
  <c r="B11894" i="9"/>
  <c r="H11893" i="9"/>
  <c r="G11893" i="9"/>
  <c r="E11893" i="9"/>
  <c r="D11893" i="9"/>
  <c r="C11893" i="9"/>
  <c r="B11893" i="9"/>
  <c r="H11892" i="9"/>
  <c r="G11892" i="9"/>
  <c r="E11892" i="9"/>
  <c r="D11892" i="9"/>
  <c r="C11892" i="9"/>
  <c r="B11892" i="9"/>
  <c r="H11891" i="9"/>
  <c r="G11891" i="9"/>
  <c r="E11891" i="9"/>
  <c r="D11891" i="9"/>
  <c r="C11891" i="9"/>
  <c r="B11891" i="9"/>
  <c r="H11890" i="9"/>
  <c r="G11890" i="9"/>
  <c r="E11890" i="9"/>
  <c r="D11890" i="9"/>
  <c r="C11890" i="9"/>
  <c r="B11890" i="9"/>
  <c r="H11889" i="9"/>
  <c r="G11889" i="9"/>
  <c r="E11889" i="9"/>
  <c r="D11889" i="9"/>
  <c r="C11889" i="9"/>
  <c r="B11889" i="9"/>
  <c r="H11888" i="9"/>
  <c r="G11888" i="9"/>
  <c r="E11888" i="9"/>
  <c r="D11888" i="9"/>
  <c r="C11888" i="9"/>
  <c r="B11888" i="9"/>
  <c r="H11887" i="9"/>
  <c r="G11887" i="9"/>
  <c r="E11887" i="9"/>
  <c r="D11887" i="9"/>
  <c r="C11887" i="9"/>
  <c r="B11887" i="9"/>
  <c r="H11886" i="9"/>
  <c r="G11886" i="9"/>
  <c r="E11886" i="9"/>
  <c r="D11886" i="9"/>
  <c r="C11886" i="9"/>
  <c r="B11886" i="9"/>
  <c r="H11885" i="9"/>
  <c r="G11885" i="9"/>
  <c r="E11885" i="9"/>
  <c r="D11885" i="9"/>
  <c r="C11885" i="9"/>
  <c r="B11885" i="9"/>
  <c r="H11884" i="9"/>
  <c r="G11884" i="9"/>
  <c r="E11884" i="9"/>
  <c r="D11884" i="9"/>
  <c r="C11884" i="9"/>
  <c r="B11884" i="9"/>
  <c r="H11883" i="9"/>
  <c r="G11883" i="9"/>
  <c r="E11883" i="9"/>
  <c r="D11883" i="9"/>
  <c r="C11883" i="9"/>
  <c r="B11883" i="9"/>
  <c r="H11882" i="9"/>
  <c r="G11882" i="9"/>
  <c r="E11882" i="9"/>
  <c r="D11882" i="9"/>
  <c r="C11882" i="9"/>
  <c r="B11882" i="9"/>
  <c r="H11881" i="9"/>
  <c r="G11881" i="9"/>
  <c r="E11881" i="9"/>
  <c r="D11881" i="9"/>
  <c r="C11881" i="9"/>
  <c r="B11881" i="9"/>
  <c r="H11880" i="9"/>
  <c r="G11880" i="9"/>
  <c r="E11880" i="9"/>
  <c r="D11880" i="9"/>
  <c r="C11880" i="9"/>
  <c r="B11880" i="9"/>
  <c r="H11879" i="9"/>
  <c r="G11879" i="9"/>
  <c r="E11879" i="9"/>
  <c r="D11879" i="9"/>
  <c r="C11879" i="9"/>
  <c r="B11879" i="9"/>
  <c r="H11878" i="9"/>
  <c r="G11878" i="9"/>
  <c r="E11878" i="9"/>
  <c r="D11878" i="9"/>
  <c r="C11878" i="9"/>
  <c r="B11878" i="9"/>
  <c r="H11877" i="9"/>
  <c r="G11877" i="9"/>
  <c r="E11877" i="9"/>
  <c r="D11877" i="9"/>
  <c r="C11877" i="9"/>
  <c r="B11877" i="9"/>
  <c r="H11876" i="9"/>
  <c r="G11876" i="9"/>
  <c r="E11876" i="9"/>
  <c r="D11876" i="9"/>
  <c r="C11876" i="9"/>
  <c r="B11876" i="9"/>
  <c r="H11875" i="9"/>
  <c r="G11875" i="9"/>
  <c r="E11875" i="9"/>
  <c r="D11875" i="9"/>
  <c r="C11875" i="9"/>
  <c r="B11875" i="9"/>
  <c r="H11874" i="9"/>
  <c r="G11874" i="9"/>
  <c r="E11874" i="9"/>
  <c r="D11874" i="9"/>
  <c r="C11874" i="9"/>
  <c r="B11874" i="9"/>
  <c r="H11873" i="9"/>
  <c r="G11873" i="9"/>
  <c r="E11873" i="9"/>
  <c r="D11873" i="9"/>
  <c r="C11873" i="9"/>
  <c r="B11873" i="9"/>
  <c r="H11872" i="9"/>
  <c r="G11872" i="9"/>
  <c r="E11872" i="9"/>
  <c r="D11872" i="9"/>
  <c r="C11872" i="9"/>
  <c r="B11872" i="9"/>
  <c r="H11871" i="9"/>
  <c r="G11871" i="9"/>
  <c r="E11871" i="9"/>
  <c r="D11871" i="9"/>
  <c r="C11871" i="9"/>
  <c r="B11871" i="9"/>
  <c r="H11870" i="9"/>
  <c r="G11870" i="9"/>
  <c r="E11870" i="9"/>
  <c r="D11870" i="9"/>
  <c r="C11870" i="9"/>
  <c r="B11870" i="9"/>
  <c r="H11869" i="9"/>
  <c r="G11869" i="9"/>
  <c r="E11869" i="9"/>
  <c r="D11869" i="9"/>
  <c r="C11869" i="9"/>
  <c r="B11869" i="9"/>
  <c r="H11868" i="9"/>
  <c r="G11868" i="9"/>
  <c r="E11868" i="9"/>
  <c r="D11868" i="9"/>
  <c r="C11868" i="9"/>
  <c r="B11868" i="9"/>
  <c r="H11867" i="9"/>
  <c r="G11867" i="9"/>
  <c r="E11867" i="9"/>
  <c r="D11867" i="9"/>
  <c r="C11867" i="9"/>
  <c r="B11867" i="9"/>
  <c r="H11866" i="9"/>
  <c r="G11866" i="9"/>
  <c r="E11866" i="9"/>
  <c r="D11866" i="9"/>
  <c r="C11866" i="9"/>
  <c r="B11866" i="9"/>
  <c r="H11865" i="9"/>
  <c r="G11865" i="9"/>
  <c r="E11865" i="9"/>
  <c r="D11865" i="9"/>
  <c r="C11865" i="9"/>
  <c r="B11865" i="9"/>
  <c r="H11864" i="9"/>
  <c r="G11864" i="9"/>
  <c r="E11864" i="9"/>
  <c r="D11864" i="9"/>
  <c r="C11864" i="9"/>
  <c r="B11864" i="9"/>
  <c r="H11863" i="9"/>
  <c r="G11863" i="9"/>
  <c r="E11863" i="9"/>
  <c r="D11863" i="9"/>
  <c r="C11863" i="9"/>
  <c r="B11863" i="9"/>
  <c r="H11862" i="9"/>
  <c r="G11862" i="9"/>
  <c r="E11862" i="9"/>
  <c r="D11862" i="9"/>
  <c r="C11862" i="9"/>
  <c r="B11862" i="9"/>
  <c r="H11861" i="9"/>
  <c r="G11861" i="9"/>
  <c r="E11861" i="9"/>
  <c r="D11861" i="9"/>
  <c r="C11861" i="9"/>
  <c r="B11861" i="9"/>
  <c r="H11860" i="9"/>
  <c r="G11860" i="9"/>
  <c r="E11860" i="9"/>
  <c r="D11860" i="9"/>
  <c r="C11860" i="9"/>
  <c r="B11860" i="9"/>
  <c r="H11859" i="9"/>
  <c r="G11859" i="9"/>
  <c r="E11859" i="9"/>
  <c r="D11859" i="9"/>
  <c r="C11859" i="9"/>
  <c r="B11859" i="9"/>
  <c r="H11858" i="9"/>
  <c r="G11858" i="9"/>
  <c r="E11858" i="9"/>
  <c r="D11858" i="9"/>
  <c r="C11858" i="9"/>
  <c r="B11858" i="9"/>
  <c r="H11857" i="9"/>
  <c r="G11857" i="9"/>
  <c r="E11857" i="9"/>
  <c r="D11857" i="9"/>
  <c r="C11857" i="9"/>
  <c r="B11857" i="9"/>
  <c r="H11856" i="9"/>
  <c r="G11856" i="9"/>
  <c r="E11856" i="9"/>
  <c r="D11856" i="9"/>
  <c r="C11856" i="9"/>
  <c r="B11856" i="9"/>
  <c r="H11855" i="9"/>
  <c r="G11855" i="9"/>
  <c r="E11855" i="9"/>
  <c r="D11855" i="9"/>
  <c r="C11855" i="9"/>
  <c r="B11855" i="9"/>
  <c r="H11854" i="9"/>
  <c r="G11854" i="9"/>
  <c r="E11854" i="9"/>
  <c r="D11854" i="9"/>
  <c r="C11854" i="9"/>
  <c r="B11854" i="9"/>
  <c r="H11853" i="9"/>
  <c r="G11853" i="9"/>
  <c r="E11853" i="9"/>
  <c r="D11853" i="9"/>
  <c r="C11853" i="9"/>
  <c r="B11853" i="9"/>
  <c r="H11852" i="9"/>
  <c r="G11852" i="9"/>
  <c r="E11852" i="9"/>
  <c r="D11852" i="9"/>
  <c r="C11852" i="9"/>
  <c r="B11852" i="9"/>
  <c r="H11851" i="9"/>
  <c r="G11851" i="9"/>
  <c r="E11851" i="9"/>
  <c r="D11851" i="9"/>
  <c r="C11851" i="9"/>
  <c r="B11851" i="9"/>
  <c r="H11850" i="9"/>
  <c r="G11850" i="9"/>
  <c r="E11850" i="9"/>
  <c r="D11850" i="9"/>
  <c r="C11850" i="9"/>
  <c r="B11850" i="9"/>
  <c r="H11849" i="9"/>
  <c r="G11849" i="9"/>
  <c r="E11849" i="9"/>
  <c r="D11849" i="9"/>
  <c r="C11849" i="9"/>
  <c r="B11849" i="9"/>
  <c r="H11848" i="9"/>
  <c r="G11848" i="9"/>
  <c r="E11848" i="9"/>
  <c r="D11848" i="9"/>
  <c r="C11848" i="9"/>
  <c r="B11848" i="9"/>
  <c r="H11847" i="9"/>
  <c r="G11847" i="9"/>
  <c r="E11847" i="9"/>
  <c r="D11847" i="9"/>
  <c r="C11847" i="9"/>
  <c r="B11847" i="9"/>
  <c r="H11846" i="9"/>
  <c r="G11846" i="9"/>
  <c r="E11846" i="9"/>
  <c r="D11846" i="9"/>
  <c r="C11846" i="9"/>
  <c r="B11846" i="9"/>
  <c r="H11845" i="9"/>
  <c r="G11845" i="9"/>
  <c r="E11845" i="9"/>
  <c r="D11845" i="9"/>
  <c r="C11845" i="9"/>
  <c r="B11845" i="9"/>
  <c r="H11844" i="9"/>
  <c r="G11844" i="9"/>
  <c r="E11844" i="9"/>
  <c r="D11844" i="9"/>
  <c r="C11844" i="9"/>
  <c r="B11844" i="9"/>
  <c r="H11843" i="9"/>
  <c r="G11843" i="9"/>
  <c r="E11843" i="9"/>
  <c r="D11843" i="9"/>
  <c r="C11843" i="9"/>
  <c r="B11843" i="9"/>
  <c r="H11842" i="9"/>
  <c r="G11842" i="9"/>
  <c r="E11842" i="9"/>
  <c r="D11842" i="9"/>
  <c r="C11842" i="9"/>
  <c r="B11842" i="9"/>
  <c r="H11841" i="9"/>
  <c r="G11841" i="9"/>
  <c r="E11841" i="9"/>
  <c r="D11841" i="9"/>
  <c r="C11841" i="9"/>
  <c r="B11841" i="9"/>
  <c r="H11840" i="9"/>
  <c r="G11840" i="9"/>
  <c r="E11840" i="9"/>
  <c r="D11840" i="9"/>
  <c r="C11840" i="9"/>
  <c r="B11840" i="9"/>
  <c r="H11839" i="9"/>
  <c r="G11839" i="9"/>
  <c r="E11839" i="9"/>
  <c r="D11839" i="9"/>
  <c r="C11839" i="9"/>
  <c r="B11839" i="9"/>
  <c r="H11838" i="9"/>
  <c r="G11838" i="9"/>
  <c r="E11838" i="9"/>
  <c r="D11838" i="9"/>
  <c r="C11838" i="9"/>
  <c r="B11838" i="9"/>
  <c r="H11837" i="9"/>
  <c r="G11837" i="9"/>
  <c r="E11837" i="9"/>
  <c r="D11837" i="9"/>
  <c r="C11837" i="9"/>
  <c r="B11837" i="9"/>
  <c r="H11836" i="9"/>
  <c r="G11836" i="9"/>
  <c r="E11836" i="9"/>
  <c r="D11836" i="9"/>
  <c r="C11836" i="9"/>
  <c r="B11836" i="9"/>
  <c r="H11835" i="9"/>
  <c r="G11835" i="9"/>
  <c r="E11835" i="9"/>
  <c r="D11835" i="9"/>
  <c r="C11835" i="9"/>
  <c r="B11835" i="9"/>
  <c r="H11834" i="9"/>
  <c r="G11834" i="9"/>
  <c r="E11834" i="9"/>
  <c r="D11834" i="9"/>
  <c r="C11834" i="9"/>
  <c r="B11834" i="9"/>
  <c r="H11833" i="9"/>
  <c r="G11833" i="9"/>
  <c r="E11833" i="9"/>
  <c r="D11833" i="9"/>
  <c r="C11833" i="9"/>
  <c r="B11833" i="9"/>
  <c r="H11832" i="9"/>
  <c r="G11832" i="9"/>
  <c r="E11832" i="9"/>
  <c r="D11832" i="9"/>
  <c r="C11832" i="9"/>
  <c r="B11832" i="9"/>
  <c r="H11831" i="9"/>
  <c r="G11831" i="9"/>
  <c r="E11831" i="9"/>
  <c r="D11831" i="9"/>
  <c r="C11831" i="9"/>
  <c r="B11831" i="9"/>
  <c r="H11830" i="9"/>
  <c r="G11830" i="9"/>
  <c r="E11830" i="9"/>
  <c r="D11830" i="9"/>
  <c r="C11830" i="9"/>
  <c r="B11830" i="9"/>
  <c r="H11829" i="9"/>
  <c r="G11829" i="9"/>
  <c r="E11829" i="9"/>
  <c r="D11829" i="9"/>
  <c r="C11829" i="9"/>
  <c r="B11829" i="9"/>
  <c r="H11828" i="9"/>
  <c r="G11828" i="9"/>
  <c r="E11828" i="9"/>
  <c r="D11828" i="9"/>
  <c r="C11828" i="9"/>
  <c r="B11828" i="9"/>
  <c r="H11827" i="9"/>
  <c r="G11827" i="9"/>
  <c r="E11827" i="9"/>
  <c r="D11827" i="9"/>
  <c r="C11827" i="9"/>
  <c r="B11827" i="9"/>
  <c r="H11826" i="9"/>
  <c r="G11826" i="9"/>
  <c r="E11826" i="9"/>
  <c r="D11826" i="9"/>
  <c r="C11826" i="9"/>
  <c r="B11826" i="9"/>
  <c r="H11825" i="9"/>
  <c r="G11825" i="9"/>
  <c r="E11825" i="9"/>
  <c r="D11825" i="9"/>
  <c r="C11825" i="9"/>
  <c r="B11825" i="9"/>
  <c r="H11824" i="9"/>
  <c r="G11824" i="9"/>
  <c r="E11824" i="9"/>
  <c r="D11824" i="9"/>
  <c r="C11824" i="9"/>
  <c r="B11824" i="9"/>
  <c r="H11823" i="9"/>
  <c r="G11823" i="9"/>
  <c r="E11823" i="9"/>
  <c r="D11823" i="9"/>
  <c r="C11823" i="9"/>
  <c r="B11823" i="9"/>
  <c r="H11822" i="9"/>
  <c r="G11822" i="9"/>
  <c r="E11822" i="9"/>
  <c r="D11822" i="9"/>
  <c r="C11822" i="9"/>
  <c r="B11822" i="9"/>
  <c r="H11821" i="9"/>
  <c r="G11821" i="9"/>
  <c r="E11821" i="9"/>
  <c r="D11821" i="9"/>
  <c r="C11821" i="9"/>
  <c r="B11821" i="9"/>
  <c r="H11820" i="9"/>
  <c r="G11820" i="9"/>
  <c r="E11820" i="9"/>
  <c r="D11820" i="9"/>
  <c r="C11820" i="9"/>
  <c r="B11820" i="9"/>
  <c r="H11819" i="9"/>
  <c r="G11819" i="9"/>
  <c r="E11819" i="9"/>
  <c r="D11819" i="9"/>
  <c r="C11819" i="9"/>
  <c r="B11819" i="9"/>
  <c r="H11818" i="9"/>
  <c r="G11818" i="9"/>
  <c r="E11818" i="9"/>
  <c r="D11818" i="9"/>
  <c r="C11818" i="9"/>
  <c r="B11818" i="9"/>
  <c r="H11817" i="9"/>
  <c r="G11817" i="9"/>
  <c r="E11817" i="9"/>
  <c r="D11817" i="9"/>
  <c r="C11817" i="9"/>
  <c r="B11817" i="9"/>
  <c r="H11816" i="9"/>
  <c r="G11816" i="9"/>
  <c r="E11816" i="9"/>
  <c r="D11816" i="9"/>
  <c r="C11816" i="9"/>
  <c r="B11816" i="9"/>
  <c r="H11815" i="9"/>
  <c r="G11815" i="9"/>
  <c r="E11815" i="9"/>
  <c r="D11815" i="9"/>
  <c r="C11815" i="9"/>
  <c r="B11815" i="9"/>
  <c r="H11814" i="9"/>
  <c r="G11814" i="9"/>
  <c r="E11814" i="9"/>
  <c r="D11814" i="9"/>
  <c r="C11814" i="9"/>
  <c r="B11814" i="9"/>
  <c r="H11813" i="9"/>
  <c r="G11813" i="9"/>
  <c r="E11813" i="9"/>
  <c r="D11813" i="9"/>
  <c r="C11813" i="9"/>
  <c r="B11813" i="9"/>
  <c r="H11812" i="9"/>
  <c r="G11812" i="9"/>
  <c r="E11812" i="9"/>
  <c r="D11812" i="9"/>
  <c r="C11812" i="9"/>
  <c r="B11812" i="9"/>
  <c r="H11811" i="9"/>
  <c r="G11811" i="9"/>
  <c r="E11811" i="9"/>
  <c r="D11811" i="9"/>
  <c r="C11811" i="9"/>
  <c r="B11811" i="9"/>
  <c r="H11810" i="9"/>
  <c r="G11810" i="9"/>
  <c r="E11810" i="9"/>
  <c r="D11810" i="9"/>
  <c r="C11810" i="9"/>
  <c r="B11810" i="9"/>
  <c r="H11809" i="9"/>
  <c r="G11809" i="9"/>
  <c r="E11809" i="9"/>
  <c r="D11809" i="9"/>
  <c r="C11809" i="9"/>
  <c r="B11809" i="9"/>
  <c r="H11808" i="9"/>
  <c r="G11808" i="9"/>
  <c r="E11808" i="9"/>
  <c r="D11808" i="9"/>
  <c r="C11808" i="9"/>
  <c r="B11808" i="9"/>
  <c r="H11807" i="9"/>
  <c r="G11807" i="9"/>
  <c r="E11807" i="9"/>
  <c r="D11807" i="9"/>
  <c r="C11807" i="9"/>
  <c r="B11807" i="9"/>
  <c r="H11806" i="9"/>
  <c r="G11806" i="9"/>
  <c r="E11806" i="9"/>
  <c r="D11806" i="9"/>
  <c r="C11806" i="9"/>
  <c r="B11806" i="9"/>
  <c r="H11805" i="9"/>
  <c r="G11805" i="9"/>
  <c r="E11805" i="9"/>
  <c r="D11805" i="9"/>
  <c r="C11805" i="9"/>
  <c r="B11805" i="9"/>
  <c r="H11804" i="9"/>
  <c r="G11804" i="9"/>
  <c r="E11804" i="9"/>
  <c r="D11804" i="9"/>
  <c r="C11804" i="9"/>
  <c r="B11804" i="9"/>
  <c r="H11803" i="9"/>
  <c r="G11803" i="9"/>
  <c r="E11803" i="9"/>
  <c r="D11803" i="9"/>
  <c r="C11803" i="9"/>
  <c r="B11803" i="9"/>
  <c r="H11802" i="9"/>
  <c r="G11802" i="9"/>
  <c r="E11802" i="9"/>
  <c r="D11802" i="9"/>
  <c r="C11802" i="9"/>
  <c r="B11802" i="9"/>
  <c r="H11801" i="9"/>
  <c r="G11801" i="9"/>
  <c r="E11801" i="9"/>
  <c r="D11801" i="9"/>
  <c r="C11801" i="9"/>
  <c r="B11801" i="9"/>
  <c r="H11800" i="9"/>
  <c r="G11800" i="9"/>
  <c r="E11800" i="9"/>
  <c r="D11800" i="9"/>
  <c r="C11800" i="9"/>
  <c r="B11800" i="9"/>
  <c r="H11799" i="9"/>
  <c r="G11799" i="9"/>
  <c r="E11799" i="9"/>
  <c r="D11799" i="9"/>
  <c r="C11799" i="9"/>
  <c r="B11799" i="9"/>
  <c r="H11798" i="9"/>
  <c r="G11798" i="9"/>
  <c r="E11798" i="9"/>
  <c r="D11798" i="9"/>
  <c r="C11798" i="9"/>
  <c r="B11798" i="9"/>
  <c r="H11797" i="9"/>
  <c r="G11797" i="9"/>
  <c r="E11797" i="9"/>
  <c r="D11797" i="9"/>
  <c r="C11797" i="9"/>
  <c r="B11797" i="9"/>
  <c r="H11796" i="9"/>
  <c r="G11796" i="9"/>
  <c r="E11796" i="9"/>
  <c r="D11796" i="9"/>
  <c r="C11796" i="9"/>
  <c r="B11796" i="9"/>
  <c r="H11795" i="9"/>
  <c r="G11795" i="9"/>
  <c r="E11795" i="9"/>
  <c r="D11795" i="9"/>
  <c r="C11795" i="9"/>
  <c r="B11795" i="9"/>
  <c r="H11794" i="9"/>
  <c r="G11794" i="9"/>
  <c r="E11794" i="9"/>
  <c r="D11794" i="9"/>
  <c r="C11794" i="9"/>
  <c r="B11794" i="9"/>
  <c r="H11793" i="9"/>
  <c r="G11793" i="9"/>
  <c r="E11793" i="9"/>
  <c r="D11793" i="9"/>
  <c r="C11793" i="9"/>
  <c r="B11793" i="9"/>
  <c r="H11792" i="9"/>
  <c r="G11792" i="9"/>
  <c r="E11792" i="9"/>
  <c r="D11792" i="9"/>
  <c r="C11792" i="9"/>
  <c r="B11792" i="9"/>
  <c r="H11791" i="9"/>
  <c r="G11791" i="9"/>
  <c r="E11791" i="9"/>
  <c r="D11791" i="9"/>
  <c r="C11791" i="9"/>
  <c r="B11791" i="9"/>
  <c r="H11790" i="9"/>
  <c r="G11790" i="9"/>
  <c r="E11790" i="9"/>
  <c r="D11790" i="9"/>
  <c r="C11790" i="9"/>
  <c r="B11790" i="9"/>
  <c r="H11789" i="9"/>
  <c r="G11789" i="9"/>
  <c r="E11789" i="9"/>
  <c r="D11789" i="9"/>
  <c r="C11789" i="9"/>
  <c r="B11789" i="9"/>
  <c r="H11788" i="9"/>
  <c r="G11788" i="9"/>
  <c r="E11788" i="9"/>
  <c r="D11788" i="9"/>
  <c r="C11788" i="9"/>
  <c r="B11788" i="9"/>
  <c r="H11787" i="9"/>
  <c r="G11787" i="9"/>
  <c r="E11787" i="9"/>
  <c r="D11787" i="9"/>
  <c r="C11787" i="9"/>
  <c r="B11787" i="9"/>
  <c r="H11786" i="9"/>
  <c r="G11786" i="9"/>
  <c r="E11786" i="9"/>
  <c r="D11786" i="9"/>
  <c r="C11786" i="9"/>
  <c r="B11786" i="9"/>
  <c r="H11785" i="9"/>
  <c r="G11785" i="9"/>
  <c r="E11785" i="9"/>
  <c r="D11785" i="9"/>
  <c r="C11785" i="9"/>
  <c r="B11785" i="9"/>
  <c r="H11784" i="9"/>
  <c r="G11784" i="9"/>
  <c r="E11784" i="9"/>
  <c r="D11784" i="9"/>
  <c r="C11784" i="9"/>
  <c r="B11784" i="9"/>
  <c r="H11783" i="9"/>
  <c r="G11783" i="9"/>
  <c r="E11783" i="9"/>
  <c r="D11783" i="9"/>
  <c r="C11783" i="9"/>
  <c r="B11783" i="9"/>
  <c r="H11782" i="9"/>
  <c r="G11782" i="9"/>
  <c r="E11782" i="9"/>
  <c r="D11782" i="9"/>
  <c r="C11782" i="9"/>
  <c r="B11782" i="9"/>
  <c r="H11781" i="9"/>
  <c r="G11781" i="9"/>
  <c r="E11781" i="9"/>
  <c r="D11781" i="9"/>
  <c r="C11781" i="9"/>
  <c r="B11781" i="9"/>
  <c r="H11780" i="9"/>
  <c r="G11780" i="9"/>
  <c r="E11780" i="9"/>
  <c r="D11780" i="9"/>
  <c r="C11780" i="9"/>
  <c r="B11780" i="9"/>
  <c r="H11779" i="9"/>
  <c r="G11779" i="9"/>
  <c r="E11779" i="9"/>
  <c r="D11779" i="9"/>
  <c r="C11779" i="9"/>
  <c r="B11779" i="9"/>
  <c r="H11778" i="9"/>
  <c r="G11778" i="9"/>
  <c r="E11778" i="9"/>
  <c r="D11778" i="9"/>
  <c r="C11778" i="9"/>
  <c r="B11778" i="9"/>
  <c r="H11777" i="9"/>
  <c r="G11777" i="9"/>
  <c r="E11777" i="9"/>
  <c r="D11777" i="9"/>
  <c r="C11777" i="9"/>
  <c r="B11777" i="9"/>
  <c r="H11776" i="9"/>
  <c r="G11776" i="9"/>
  <c r="E11776" i="9"/>
  <c r="D11776" i="9"/>
  <c r="C11776" i="9"/>
  <c r="B11776" i="9"/>
  <c r="H11775" i="9"/>
  <c r="G11775" i="9"/>
  <c r="E11775" i="9"/>
  <c r="D11775" i="9"/>
  <c r="C11775" i="9"/>
  <c r="B11775" i="9"/>
  <c r="H11774" i="9"/>
  <c r="G11774" i="9"/>
  <c r="E11774" i="9"/>
  <c r="D11774" i="9"/>
  <c r="C11774" i="9"/>
  <c r="B11774" i="9"/>
  <c r="H11773" i="9"/>
  <c r="G11773" i="9"/>
  <c r="E11773" i="9"/>
  <c r="D11773" i="9"/>
  <c r="C11773" i="9"/>
  <c r="B11773" i="9"/>
  <c r="H11772" i="9"/>
  <c r="G11772" i="9"/>
  <c r="E11772" i="9"/>
  <c r="D11772" i="9"/>
  <c r="C11772" i="9"/>
  <c r="B11772" i="9"/>
  <c r="H11771" i="9"/>
  <c r="G11771" i="9"/>
  <c r="E11771" i="9"/>
  <c r="D11771" i="9"/>
  <c r="C11771" i="9"/>
  <c r="B11771" i="9"/>
  <c r="H11770" i="9"/>
  <c r="G11770" i="9"/>
  <c r="E11770" i="9"/>
  <c r="D11770" i="9"/>
  <c r="C11770" i="9"/>
  <c r="B11770" i="9"/>
  <c r="H11769" i="9"/>
  <c r="G11769" i="9"/>
  <c r="E11769" i="9"/>
  <c r="D11769" i="9"/>
  <c r="C11769" i="9"/>
  <c r="B11769" i="9"/>
  <c r="H11768" i="9"/>
  <c r="G11768" i="9"/>
  <c r="E11768" i="9"/>
  <c r="D11768" i="9"/>
  <c r="C11768" i="9"/>
  <c r="B11768" i="9"/>
  <c r="H11767" i="9"/>
  <c r="G11767" i="9"/>
  <c r="E11767" i="9"/>
  <c r="D11767" i="9"/>
  <c r="C11767" i="9"/>
  <c r="B11767" i="9"/>
  <c r="H11766" i="9"/>
  <c r="G11766" i="9"/>
  <c r="E11766" i="9"/>
  <c r="D11766" i="9"/>
  <c r="C11766" i="9"/>
  <c r="B11766" i="9"/>
  <c r="H11765" i="9"/>
  <c r="G11765" i="9"/>
  <c r="E11765" i="9"/>
  <c r="D11765" i="9"/>
  <c r="C11765" i="9"/>
  <c r="B11765" i="9"/>
  <c r="H11764" i="9"/>
  <c r="G11764" i="9"/>
  <c r="E11764" i="9"/>
  <c r="D11764" i="9"/>
  <c r="C11764" i="9"/>
  <c r="B11764" i="9"/>
  <c r="H11763" i="9"/>
  <c r="G11763" i="9"/>
  <c r="E11763" i="9"/>
  <c r="D11763" i="9"/>
  <c r="C11763" i="9"/>
  <c r="B11763" i="9"/>
  <c r="H11762" i="9"/>
  <c r="G11762" i="9"/>
  <c r="E11762" i="9"/>
  <c r="D11762" i="9"/>
  <c r="C11762" i="9"/>
  <c r="B11762" i="9"/>
  <c r="H11761" i="9"/>
  <c r="G11761" i="9"/>
  <c r="E11761" i="9"/>
  <c r="D11761" i="9"/>
  <c r="C11761" i="9"/>
  <c r="B11761" i="9"/>
  <c r="H11760" i="9"/>
  <c r="G11760" i="9"/>
  <c r="E11760" i="9"/>
  <c r="D11760" i="9"/>
  <c r="C11760" i="9"/>
  <c r="B11760" i="9"/>
  <c r="H11759" i="9"/>
  <c r="G11759" i="9"/>
  <c r="E11759" i="9"/>
  <c r="D11759" i="9"/>
  <c r="C11759" i="9"/>
  <c r="B11759" i="9"/>
  <c r="H11758" i="9"/>
  <c r="G11758" i="9"/>
  <c r="E11758" i="9"/>
  <c r="D11758" i="9"/>
  <c r="C11758" i="9"/>
  <c r="B11758" i="9"/>
  <c r="H11757" i="9"/>
  <c r="G11757" i="9"/>
  <c r="E11757" i="9"/>
  <c r="D11757" i="9"/>
  <c r="C11757" i="9"/>
  <c r="B11757" i="9"/>
  <c r="H11756" i="9"/>
  <c r="G11756" i="9"/>
  <c r="E11756" i="9"/>
  <c r="D11756" i="9"/>
  <c r="C11756" i="9"/>
  <c r="B11756" i="9"/>
  <c r="H11755" i="9"/>
  <c r="G11755" i="9"/>
  <c r="E11755" i="9"/>
  <c r="D11755" i="9"/>
  <c r="C11755" i="9"/>
  <c r="B11755" i="9"/>
  <c r="H11754" i="9"/>
  <c r="G11754" i="9"/>
  <c r="E11754" i="9"/>
  <c r="D11754" i="9"/>
  <c r="C11754" i="9"/>
  <c r="B11754" i="9"/>
  <c r="H11753" i="9"/>
  <c r="G11753" i="9"/>
  <c r="E11753" i="9"/>
  <c r="D11753" i="9"/>
  <c r="C11753" i="9"/>
  <c r="B11753" i="9"/>
  <c r="H11752" i="9"/>
  <c r="G11752" i="9"/>
  <c r="E11752" i="9"/>
  <c r="D11752" i="9"/>
  <c r="C11752" i="9"/>
  <c r="B11752" i="9"/>
  <c r="H11751" i="9"/>
  <c r="G11751" i="9"/>
  <c r="E11751" i="9"/>
  <c r="D11751" i="9"/>
  <c r="C11751" i="9"/>
  <c r="B11751" i="9"/>
  <c r="H11750" i="9"/>
  <c r="G11750" i="9"/>
  <c r="E11750" i="9"/>
  <c r="D11750" i="9"/>
  <c r="C11750" i="9"/>
  <c r="B11750" i="9"/>
  <c r="H11749" i="9"/>
  <c r="G11749" i="9"/>
  <c r="E11749" i="9"/>
  <c r="D11749" i="9"/>
  <c r="C11749" i="9"/>
  <c r="B11749" i="9"/>
  <c r="H11748" i="9"/>
  <c r="G11748" i="9"/>
  <c r="E11748" i="9"/>
  <c r="D11748" i="9"/>
  <c r="C11748" i="9"/>
  <c r="B11748" i="9"/>
  <c r="H11747" i="9"/>
  <c r="G11747" i="9"/>
  <c r="E11747" i="9"/>
  <c r="D11747" i="9"/>
  <c r="C11747" i="9"/>
  <c r="B11747" i="9"/>
  <c r="H11746" i="9"/>
  <c r="G11746" i="9"/>
  <c r="E11746" i="9"/>
  <c r="D11746" i="9"/>
  <c r="C11746" i="9"/>
  <c r="B11746" i="9"/>
  <c r="H11745" i="9"/>
  <c r="G11745" i="9"/>
  <c r="E11745" i="9"/>
  <c r="D11745" i="9"/>
  <c r="C11745" i="9"/>
  <c r="B11745" i="9"/>
  <c r="H11744" i="9"/>
  <c r="G11744" i="9"/>
  <c r="E11744" i="9"/>
  <c r="D11744" i="9"/>
  <c r="C11744" i="9"/>
  <c r="B11744" i="9"/>
  <c r="H11743" i="9"/>
  <c r="G11743" i="9"/>
  <c r="E11743" i="9"/>
  <c r="D11743" i="9"/>
  <c r="C11743" i="9"/>
  <c r="B11743" i="9"/>
  <c r="H11742" i="9"/>
  <c r="G11742" i="9"/>
  <c r="E11742" i="9"/>
  <c r="D11742" i="9"/>
  <c r="C11742" i="9"/>
  <c r="B11742" i="9"/>
  <c r="H11741" i="9"/>
  <c r="G11741" i="9"/>
  <c r="E11741" i="9"/>
  <c r="D11741" i="9"/>
  <c r="C11741" i="9"/>
  <c r="B11741" i="9"/>
  <c r="H11740" i="9"/>
  <c r="G11740" i="9"/>
  <c r="E11740" i="9"/>
  <c r="D11740" i="9"/>
  <c r="C11740" i="9"/>
  <c r="B11740" i="9"/>
  <c r="H11739" i="9"/>
  <c r="G11739" i="9"/>
  <c r="E11739" i="9"/>
  <c r="D11739" i="9"/>
  <c r="C11739" i="9"/>
  <c r="B11739" i="9"/>
  <c r="H11738" i="9"/>
  <c r="G11738" i="9"/>
  <c r="E11738" i="9"/>
  <c r="D11738" i="9"/>
  <c r="C11738" i="9"/>
  <c r="B11738" i="9"/>
  <c r="H11737" i="9"/>
  <c r="G11737" i="9"/>
  <c r="E11737" i="9"/>
  <c r="D11737" i="9"/>
  <c r="C11737" i="9"/>
  <c r="B11737" i="9"/>
  <c r="H11736" i="9"/>
  <c r="G11736" i="9"/>
  <c r="E11736" i="9"/>
  <c r="D11736" i="9"/>
  <c r="C11736" i="9"/>
  <c r="B11736" i="9"/>
  <c r="H11735" i="9"/>
  <c r="G11735" i="9"/>
  <c r="E11735" i="9"/>
  <c r="D11735" i="9"/>
  <c r="C11735" i="9"/>
  <c r="B11735" i="9"/>
  <c r="H11734" i="9"/>
  <c r="G11734" i="9"/>
  <c r="E11734" i="9"/>
  <c r="D11734" i="9"/>
  <c r="C11734" i="9"/>
  <c r="B11734" i="9"/>
  <c r="H11733" i="9"/>
  <c r="G11733" i="9"/>
  <c r="E11733" i="9"/>
  <c r="D11733" i="9"/>
  <c r="C11733" i="9"/>
  <c r="B11733" i="9"/>
  <c r="H11732" i="9"/>
  <c r="G11732" i="9"/>
  <c r="E11732" i="9"/>
  <c r="D11732" i="9"/>
  <c r="C11732" i="9"/>
  <c r="B11732" i="9"/>
  <c r="H11731" i="9"/>
  <c r="G11731" i="9"/>
  <c r="E11731" i="9"/>
  <c r="D11731" i="9"/>
  <c r="C11731" i="9"/>
  <c r="B11731" i="9"/>
  <c r="H11730" i="9"/>
  <c r="G11730" i="9"/>
  <c r="E11730" i="9"/>
  <c r="D11730" i="9"/>
  <c r="C11730" i="9"/>
  <c r="B11730" i="9"/>
  <c r="H11729" i="9"/>
  <c r="G11729" i="9"/>
  <c r="E11729" i="9"/>
  <c r="D11729" i="9"/>
  <c r="C11729" i="9"/>
  <c r="B11729" i="9"/>
  <c r="H11728" i="9"/>
  <c r="G11728" i="9"/>
  <c r="E11728" i="9"/>
  <c r="D11728" i="9"/>
  <c r="C11728" i="9"/>
  <c r="B11728" i="9"/>
  <c r="H11727" i="9"/>
  <c r="G11727" i="9"/>
  <c r="E11727" i="9"/>
  <c r="D11727" i="9"/>
  <c r="C11727" i="9"/>
  <c r="B11727" i="9"/>
  <c r="H11726" i="9"/>
  <c r="G11726" i="9"/>
  <c r="E11726" i="9"/>
  <c r="D11726" i="9"/>
  <c r="C11726" i="9"/>
  <c r="B11726" i="9"/>
  <c r="H11725" i="9"/>
  <c r="G11725" i="9"/>
  <c r="E11725" i="9"/>
  <c r="D11725" i="9"/>
  <c r="C11725" i="9"/>
  <c r="B11725" i="9"/>
  <c r="H11724" i="9"/>
  <c r="G11724" i="9"/>
  <c r="E11724" i="9"/>
  <c r="D11724" i="9"/>
  <c r="C11724" i="9"/>
  <c r="B11724" i="9"/>
  <c r="H11723" i="9"/>
  <c r="G11723" i="9"/>
  <c r="E11723" i="9"/>
  <c r="D11723" i="9"/>
  <c r="C11723" i="9"/>
  <c r="B11723" i="9"/>
  <c r="H11722" i="9"/>
  <c r="G11722" i="9"/>
  <c r="E11722" i="9"/>
  <c r="D11722" i="9"/>
  <c r="C11722" i="9"/>
  <c r="B11722" i="9"/>
  <c r="H11721" i="9"/>
  <c r="G11721" i="9"/>
  <c r="E11721" i="9"/>
  <c r="D11721" i="9"/>
  <c r="C11721" i="9"/>
  <c r="B11721" i="9"/>
  <c r="H11720" i="9"/>
  <c r="G11720" i="9"/>
  <c r="E11720" i="9"/>
  <c r="D11720" i="9"/>
  <c r="C11720" i="9"/>
  <c r="B11720" i="9"/>
  <c r="H11719" i="9"/>
  <c r="G11719" i="9"/>
  <c r="E11719" i="9"/>
  <c r="D11719" i="9"/>
  <c r="C11719" i="9"/>
  <c r="B11719" i="9"/>
  <c r="H11718" i="9"/>
  <c r="G11718" i="9"/>
  <c r="E11718" i="9"/>
  <c r="D11718" i="9"/>
  <c r="C11718" i="9"/>
  <c r="B11718" i="9"/>
  <c r="H11717" i="9"/>
  <c r="G11717" i="9"/>
  <c r="E11717" i="9"/>
  <c r="D11717" i="9"/>
  <c r="C11717" i="9"/>
  <c r="B11717" i="9"/>
  <c r="H11716" i="9"/>
  <c r="G11716" i="9"/>
  <c r="E11716" i="9"/>
  <c r="D11716" i="9"/>
  <c r="C11716" i="9"/>
  <c r="B11716" i="9"/>
  <c r="H11715" i="9"/>
  <c r="G11715" i="9"/>
  <c r="E11715" i="9"/>
  <c r="D11715" i="9"/>
  <c r="C11715" i="9"/>
  <c r="B11715" i="9"/>
  <c r="H11714" i="9"/>
  <c r="G11714" i="9"/>
  <c r="E11714" i="9"/>
  <c r="D11714" i="9"/>
  <c r="C11714" i="9"/>
  <c r="B11714" i="9"/>
  <c r="H11713" i="9"/>
  <c r="G11713" i="9"/>
  <c r="E11713" i="9"/>
  <c r="D11713" i="9"/>
  <c r="C11713" i="9"/>
  <c r="B11713" i="9"/>
  <c r="H11712" i="9"/>
  <c r="G11712" i="9"/>
  <c r="E11712" i="9"/>
  <c r="D11712" i="9"/>
  <c r="C11712" i="9"/>
  <c r="B11712" i="9"/>
  <c r="H11711" i="9"/>
  <c r="G11711" i="9"/>
  <c r="E11711" i="9"/>
  <c r="D11711" i="9"/>
  <c r="C11711" i="9"/>
  <c r="B11711" i="9"/>
  <c r="H11710" i="9"/>
  <c r="G11710" i="9"/>
  <c r="E11710" i="9"/>
  <c r="D11710" i="9"/>
  <c r="C11710" i="9"/>
  <c r="B11710" i="9"/>
  <c r="H11709" i="9"/>
  <c r="G11709" i="9"/>
  <c r="E11709" i="9"/>
  <c r="D11709" i="9"/>
  <c r="C11709" i="9"/>
  <c r="B11709" i="9"/>
  <c r="H11708" i="9"/>
  <c r="G11708" i="9"/>
  <c r="E11708" i="9"/>
  <c r="D11708" i="9"/>
  <c r="C11708" i="9"/>
  <c r="B11708" i="9"/>
  <c r="H11707" i="9"/>
  <c r="G11707" i="9"/>
  <c r="E11707" i="9"/>
  <c r="D11707" i="9"/>
  <c r="C11707" i="9"/>
  <c r="B11707" i="9"/>
  <c r="H11706" i="9"/>
  <c r="G11706" i="9"/>
  <c r="E11706" i="9"/>
  <c r="D11706" i="9"/>
  <c r="C11706" i="9"/>
  <c r="B11706" i="9"/>
  <c r="H11705" i="9"/>
  <c r="G11705" i="9"/>
  <c r="E11705" i="9"/>
  <c r="D11705" i="9"/>
  <c r="C11705" i="9"/>
  <c r="B11705" i="9"/>
  <c r="H11704" i="9"/>
  <c r="G11704" i="9"/>
  <c r="E11704" i="9"/>
  <c r="D11704" i="9"/>
  <c r="C11704" i="9"/>
  <c r="B11704" i="9"/>
  <c r="H11703" i="9"/>
  <c r="G11703" i="9"/>
  <c r="E11703" i="9"/>
  <c r="D11703" i="9"/>
  <c r="C11703" i="9"/>
  <c r="B11703" i="9"/>
  <c r="H11702" i="9"/>
  <c r="G11702" i="9"/>
  <c r="E11702" i="9"/>
  <c r="D11702" i="9"/>
  <c r="C11702" i="9"/>
  <c r="B11702" i="9"/>
  <c r="H11701" i="9"/>
  <c r="G11701" i="9"/>
  <c r="E11701" i="9"/>
  <c r="D11701" i="9"/>
  <c r="C11701" i="9"/>
  <c r="B11701" i="9"/>
  <c r="H11700" i="9"/>
  <c r="G11700" i="9"/>
  <c r="E11700" i="9"/>
  <c r="D11700" i="9"/>
  <c r="C11700" i="9"/>
  <c r="B11700" i="9"/>
  <c r="H11699" i="9"/>
  <c r="G11699" i="9"/>
  <c r="E11699" i="9"/>
  <c r="D11699" i="9"/>
  <c r="C11699" i="9"/>
  <c r="B11699" i="9"/>
  <c r="H11698" i="9"/>
  <c r="G11698" i="9"/>
  <c r="E11698" i="9"/>
  <c r="D11698" i="9"/>
  <c r="C11698" i="9"/>
  <c r="B11698" i="9"/>
  <c r="H11697" i="9"/>
  <c r="G11697" i="9"/>
  <c r="E11697" i="9"/>
  <c r="D11697" i="9"/>
  <c r="C11697" i="9"/>
  <c r="B11697" i="9"/>
  <c r="H11696" i="9"/>
  <c r="G11696" i="9"/>
  <c r="E11696" i="9"/>
  <c r="D11696" i="9"/>
  <c r="C11696" i="9"/>
  <c r="B11696" i="9"/>
  <c r="H11695" i="9"/>
  <c r="G11695" i="9"/>
  <c r="E11695" i="9"/>
  <c r="D11695" i="9"/>
  <c r="C11695" i="9"/>
  <c r="B11695" i="9"/>
  <c r="H11694" i="9"/>
  <c r="G11694" i="9"/>
  <c r="E11694" i="9"/>
  <c r="D11694" i="9"/>
  <c r="C11694" i="9"/>
  <c r="B11694" i="9"/>
  <c r="H11693" i="9"/>
  <c r="G11693" i="9"/>
  <c r="E11693" i="9"/>
  <c r="D11693" i="9"/>
  <c r="C11693" i="9"/>
  <c r="B11693" i="9"/>
  <c r="H11692" i="9"/>
  <c r="G11692" i="9"/>
  <c r="E11692" i="9"/>
  <c r="D11692" i="9"/>
  <c r="C11692" i="9"/>
  <c r="B11692" i="9"/>
  <c r="H11691" i="9"/>
  <c r="G11691" i="9"/>
  <c r="E11691" i="9"/>
  <c r="D11691" i="9"/>
  <c r="C11691" i="9"/>
  <c r="B11691" i="9"/>
  <c r="H11690" i="9"/>
  <c r="G11690" i="9"/>
  <c r="E11690" i="9"/>
  <c r="D11690" i="9"/>
  <c r="C11690" i="9"/>
  <c r="B11690" i="9"/>
  <c r="H11689" i="9"/>
  <c r="G11689" i="9"/>
  <c r="E11689" i="9"/>
  <c r="D11689" i="9"/>
  <c r="C11689" i="9"/>
  <c r="B11689" i="9"/>
  <c r="H11688" i="9"/>
  <c r="G11688" i="9"/>
  <c r="E11688" i="9"/>
  <c r="D11688" i="9"/>
  <c r="C11688" i="9"/>
  <c r="B11688" i="9"/>
  <c r="H11687" i="9"/>
  <c r="G11687" i="9"/>
  <c r="E11687" i="9"/>
  <c r="D11687" i="9"/>
  <c r="C11687" i="9"/>
  <c r="B11687" i="9"/>
  <c r="H11686" i="9"/>
  <c r="G11686" i="9"/>
  <c r="E11686" i="9"/>
  <c r="D11686" i="9"/>
  <c r="C11686" i="9"/>
  <c r="B11686" i="9"/>
  <c r="H11685" i="9"/>
  <c r="G11685" i="9"/>
  <c r="E11685" i="9"/>
  <c r="D11685" i="9"/>
  <c r="C11685" i="9"/>
  <c r="B11685" i="9"/>
  <c r="H11684" i="9"/>
  <c r="G11684" i="9"/>
  <c r="E11684" i="9"/>
  <c r="D11684" i="9"/>
  <c r="C11684" i="9"/>
  <c r="B11684" i="9"/>
  <c r="H11683" i="9"/>
  <c r="G11683" i="9"/>
  <c r="E11683" i="9"/>
  <c r="D11683" i="9"/>
  <c r="C11683" i="9"/>
  <c r="B11683" i="9"/>
  <c r="H11682" i="9"/>
  <c r="G11682" i="9"/>
  <c r="E11682" i="9"/>
  <c r="D11682" i="9"/>
  <c r="C11682" i="9"/>
  <c r="B11682" i="9"/>
  <c r="H11681" i="9"/>
  <c r="G11681" i="9"/>
  <c r="E11681" i="9"/>
  <c r="D11681" i="9"/>
  <c r="C11681" i="9"/>
  <c r="B11681" i="9"/>
  <c r="H11680" i="9"/>
  <c r="G11680" i="9"/>
  <c r="E11680" i="9"/>
  <c r="D11680" i="9"/>
  <c r="C11680" i="9"/>
  <c r="B11680" i="9"/>
  <c r="H11679" i="9"/>
  <c r="G11679" i="9"/>
  <c r="E11679" i="9"/>
  <c r="D11679" i="9"/>
  <c r="C11679" i="9"/>
  <c r="B11679" i="9"/>
  <c r="H11678" i="9"/>
  <c r="G11678" i="9"/>
  <c r="E11678" i="9"/>
  <c r="D11678" i="9"/>
  <c r="C11678" i="9"/>
  <c r="B11678" i="9"/>
  <c r="H11677" i="9"/>
  <c r="G11677" i="9"/>
  <c r="E11677" i="9"/>
  <c r="D11677" i="9"/>
  <c r="C11677" i="9"/>
  <c r="B11677" i="9"/>
  <c r="H11676" i="9"/>
  <c r="G11676" i="9"/>
  <c r="E11676" i="9"/>
  <c r="D11676" i="9"/>
  <c r="C11676" i="9"/>
  <c r="B11676" i="9"/>
  <c r="H11675" i="9"/>
  <c r="G11675" i="9"/>
  <c r="E11675" i="9"/>
  <c r="D11675" i="9"/>
  <c r="C11675" i="9"/>
  <c r="B11675" i="9"/>
  <c r="H11674" i="9"/>
  <c r="G11674" i="9"/>
  <c r="E11674" i="9"/>
  <c r="D11674" i="9"/>
  <c r="C11674" i="9"/>
  <c r="B11674" i="9"/>
  <c r="H11673" i="9"/>
  <c r="G11673" i="9"/>
  <c r="E11673" i="9"/>
  <c r="D11673" i="9"/>
  <c r="C11673" i="9"/>
  <c r="B11673" i="9"/>
  <c r="H11672" i="9"/>
  <c r="G11672" i="9"/>
  <c r="E11672" i="9"/>
  <c r="D11672" i="9"/>
  <c r="C11672" i="9"/>
  <c r="B11672" i="9"/>
  <c r="H11671" i="9"/>
  <c r="G11671" i="9"/>
  <c r="E11671" i="9"/>
  <c r="D11671" i="9"/>
  <c r="C11671" i="9"/>
  <c r="B11671" i="9"/>
  <c r="H11670" i="9"/>
  <c r="G11670" i="9"/>
  <c r="E11670" i="9"/>
  <c r="D11670" i="9"/>
  <c r="C11670" i="9"/>
  <c r="B11670" i="9"/>
  <c r="H11669" i="9"/>
  <c r="G11669" i="9"/>
  <c r="E11669" i="9"/>
  <c r="D11669" i="9"/>
  <c r="C11669" i="9"/>
  <c r="B11669" i="9"/>
  <c r="H11668" i="9"/>
  <c r="G11668" i="9"/>
  <c r="E11668" i="9"/>
  <c r="D11668" i="9"/>
  <c r="C11668" i="9"/>
  <c r="B11668" i="9"/>
  <c r="H11667" i="9"/>
  <c r="G11667" i="9"/>
  <c r="E11667" i="9"/>
  <c r="D11667" i="9"/>
  <c r="C11667" i="9"/>
  <c r="B11667" i="9"/>
  <c r="H11666" i="9"/>
  <c r="G11666" i="9"/>
  <c r="E11666" i="9"/>
  <c r="D11666" i="9"/>
  <c r="C11666" i="9"/>
  <c r="B11666" i="9"/>
  <c r="H11665" i="9"/>
  <c r="G11665" i="9"/>
  <c r="E11665" i="9"/>
  <c r="D11665" i="9"/>
  <c r="C11665" i="9"/>
  <c r="B11665" i="9"/>
  <c r="H11664" i="9"/>
  <c r="G11664" i="9"/>
  <c r="E11664" i="9"/>
  <c r="D11664" i="9"/>
  <c r="C11664" i="9"/>
  <c r="B11664" i="9"/>
  <c r="H11663" i="9"/>
  <c r="G11663" i="9"/>
  <c r="E11663" i="9"/>
  <c r="D11663" i="9"/>
  <c r="C11663" i="9"/>
  <c r="B11663" i="9"/>
  <c r="H11662" i="9"/>
  <c r="G11662" i="9"/>
  <c r="E11662" i="9"/>
  <c r="D11662" i="9"/>
  <c r="C11662" i="9"/>
  <c r="B11662" i="9"/>
  <c r="H11661" i="9"/>
  <c r="G11661" i="9"/>
  <c r="E11661" i="9"/>
  <c r="D11661" i="9"/>
  <c r="C11661" i="9"/>
  <c r="B11661" i="9"/>
  <c r="H11660" i="9"/>
  <c r="G11660" i="9"/>
  <c r="E11660" i="9"/>
  <c r="D11660" i="9"/>
  <c r="C11660" i="9"/>
  <c r="B11660" i="9"/>
  <c r="H11659" i="9"/>
  <c r="G11659" i="9"/>
  <c r="E11659" i="9"/>
  <c r="D11659" i="9"/>
  <c r="C11659" i="9"/>
  <c r="B11659" i="9"/>
  <c r="H11658" i="9"/>
  <c r="G11658" i="9"/>
  <c r="E11658" i="9"/>
  <c r="D11658" i="9"/>
  <c r="C11658" i="9"/>
  <c r="B11658" i="9"/>
  <c r="H11657" i="9"/>
  <c r="G11657" i="9"/>
  <c r="E11657" i="9"/>
  <c r="D11657" i="9"/>
  <c r="C11657" i="9"/>
  <c r="B11657" i="9"/>
  <c r="H11656" i="9"/>
  <c r="G11656" i="9"/>
  <c r="E11656" i="9"/>
  <c r="D11656" i="9"/>
  <c r="C11656" i="9"/>
  <c r="B11656" i="9"/>
  <c r="H11655" i="9"/>
  <c r="G11655" i="9"/>
  <c r="E11655" i="9"/>
  <c r="D11655" i="9"/>
  <c r="C11655" i="9"/>
  <c r="B11655" i="9"/>
  <c r="H11654" i="9"/>
  <c r="G11654" i="9"/>
  <c r="E11654" i="9"/>
  <c r="D11654" i="9"/>
  <c r="C11654" i="9"/>
  <c r="B11654" i="9"/>
  <c r="H11653" i="9"/>
  <c r="G11653" i="9"/>
  <c r="E11653" i="9"/>
  <c r="D11653" i="9"/>
  <c r="C11653" i="9"/>
  <c r="B11653" i="9"/>
  <c r="H11652" i="9"/>
  <c r="G11652" i="9"/>
  <c r="E11652" i="9"/>
  <c r="D11652" i="9"/>
  <c r="C11652" i="9"/>
  <c r="B11652" i="9"/>
  <c r="H11651" i="9"/>
  <c r="G11651" i="9"/>
  <c r="E11651" i="9"/>
  <c r="D11651" i="9"/>
  <c r="C11651" i="9"/>
  <c r="B11651" i="9"/>
  <c r="H11650" i="9"/>
  <c r="G11650" i="9"/>
  <c r="E11650" i="9"/>
  <c r="D11650" i="9"/>
  <c r="C11650" i="9"/>
  <c r="B11650" i="9"/>
  <c r="H11649" i="9"/>
  <c r="G11649" i="9"/>
  <c r="E11649" i="9"/>
  <c r="D11649" i="9"/>
  <c r="C11649" i="9"/>
  <c r="B11649" i="9"/>
  <c r="H11648" i="9"/>
  <c r="G11648" i="9"/>
  <c r="E11648" i="9"/>
  <c r="D11648" i="9"/>
  <c r="C11648" i="9"/>
  <c r="B11648" i="9"/>
  <c r="H11647" i="9"/>
  <c r="G11647" i="9"/>
  <c r="E11647" i="9"/>
  <c r="D11647" i="9"/>
  <c r="C11647" i="9"/>
  <c r="B11647" i="9"/>
  <c r="H11646" i="9"/>
  <c r="G11646" i="9"/>
  <c r="E11646" i="9"/>
  <c r="D11646" i="9"/>
  <c r="C11646" i="9"/>
  <c r="B11646" i="9"/>
  <c r="H11645" i="9"/>
  <c r="G11645" i="9"/>
  <c r="E11645" i="9"/>
  <c r="D11645" i="9"/>
  <c r="C11645" i="9"/>
  <c r="B11645" i="9"/>
  <c r="H11644" i="9"/>
  <c r="G11644" i="9"/>
  <c r="E11644" i="9"/>
  <c r="D11644" i="9"/>
  <c r="C11644" i="9"/>
  <c r="B11644" i="9"/>
  <c r="H11643" i="9"/>
  <c r="G11643" i="9"/>
  <c r="E11643" i="9"/>
  <c r="D11643" i="9"/>
  <c r="C11643" i="9"/>
  <c r="B11643" i="9"/>
  <c r="H11642" i="9"/>
  <c r="G11642" i="9"/>
  <c r="E11642" i="9"/>
  <c r="D11642" i="9"/>
  <c r="C11642" i="9"/>
  <c r="B11642" i="9"/>
  <c r="H11641" i="9"/>
  <c r="G11641" i="9"/>
  <c r="E11641" i="9"/>
  <c r="D11641" i="9"/>
  <c r="C11641" i="9"/>
  <c r="B11641" i="9"/>
  <c r="H11640" i="9"/>
  <c r="G11640" i="9"/>
  <c r="E11640" i="9"/>
  <c r="D11640" i="9"/>
  <c r="C11640" i="9"/>
  <c r="B11640" i="9"/>
  <c r="H11639" i="9"/>
  <c r="G11639" i="9"/>
  <c r="E11639" i="9"/>
  <c r="D11639" i="9"/>
  <c r="C11639" i="9"/>
  <c r="B11639" i="9"/>
  <c r="H11638" i="9"/>
  <c r="G11638" i="9"/>
  <c r="E11638" i="9"/>
  <c r="D11638" i="9"/>
  <c r="C11638" i="9"/>
  <c r="B11638" i="9"/>
  <c r="H11637" i="9"/>
  <c r="G11637" i="9"/>
  <c r="E11637" i="9"/>
  <c r="D11637" i="9"/>
  <c r="C11637" i="9"/>
  <c r="B11637" i="9"/>
  <c r="H11636" i="9"/>
  <c r="G11636" i="9"/>
  <c r="E11636" i="9"/>
  <c r="D11636" i="9"/>
  <c r="C11636" i="9"/>
  <c r="B11636" i="9"/>
  <c r="H11635" i="9"/>
  <c r="G11635" i="9"/>
  <c r="E11635" i="9"/>
  <c r="D11635" i="9"/>
  <c r="C11635" i="9"/>
  <c r="B11635" i="9"/>
  <c r="H11634" i="9"/>
  <c r="G11634" i="9"/>
  <c r="E11634" i="9"/>
  <c r="D11634" i="9"/>
  <c r="C11634" i="9"/>
  <c r="B11634" i="9"/>
  <c r="H11633" i="9"/>
  <c r="G11633" i="9"/>
  <c r="E11633" i="9"/>
  <c r="D11633" i="9"/>
  <c r="C11633" i="9"/>
  <c r="B11633" i="9"/>
  <c r="H11632" i="9"/>
  <c r="G11632" i="9"/>
  <c r="E11632" i="9"/>
  <c r="D11632" i="9"/>
  <c r="C11632" i="9"/>
  <c r="B11632" i="9"/>
  <c r="H11631" i="9"/>
  <c r="G11631" i="9"/>
  <c r="E11631" i="9"/>
  <c r="D11631" i="9"/>
  <c r="C11631" i="9"/>
  <c r="B11631" i="9"/>
  <c r="H11630" i="9"/>
  <c r="G11630" i="9"/>
  <c r="E11630" i="9"/>
  <c r="D11630" i="9"/>
  <c r="C11630" i="9"/>
  <c r="B11630" i="9"/>
  <c r="H11629" i="9"/>
  <c r="G11629" i="9"/>
  <c r="E11629" i="9"/>
  <c r="D11629" i="9"/>
  <c r="C11629" i="9"/>
  <c r="B11629" i="9"/>
  <c r="H11628" i="9"/>
  <c r="G11628" i="9"/>
  <c r="E11628" i="9"/>
  <c r="D11628" i="9"/>
  <c r="C11628" i="9"/>
  <c r="B11628" i="9"/>
  <c r="H11627" i="9"/>
  <c r="G11627" i="9"/>
  <c r="E11627" i="9"/>
  <c r="D11627" i="9"/>
  <c r="C11627" i="9"/>
  <c r="B11627" i="9"/>
  <c r="H11626" i="9"/>
  <c r="G11626" i="9"/>
  <c r="E11626" i="9"/>
  <c r="D11626" i="9"/>
  <c r="C11626" i="9"/>
  <c r="B11626" i="9"/>
  <c r="H11625" i="9"/>
  <c r="G11625" i="9"/>
  <c r="E11625" i="9"/>
  <c r="D11625" i="9"/>
  <c r="C11625" i="9"/>
  <c r="B11625" i="9"/>
  <c r="H11624" i="9"/>
  <c r="G11624" i="9"/>
  <c r="E11624" i="9"/>
  <c r="D11624" i="9"/>
  <c r="C11624" i="9"/>
  <c r="B11624" i="9"/>
  <c r="H11623" i="9"/>
  <c r="G11623" i="9"/>
  <c r="E11623" i="9"/>
  <c r="D11623" i="9"/>
  <c r="C11623" i="9"/>
  <c r="B11623" i="9"/>
  <c r="H11622" i="9"/>
  <c r="G11622" i="9"/>
  <c r="E11622" i="9"/>
  <c r="D11622" i="9"/>
  <c r="C11622" i="9"/>
  <c r="B11622" i="9"/>
  <c r="H11621" i="9"/>
  <c r="G11621" i="9"/>
  <c r="E11621" i="9"/>
  <c r="D11621" i="9"/>
  <c r="C11621" i="9"/>
  <c r="B11621" i="9"/>
  <c r="H11620" i="9"/>
  <c r="G11620" i="9"/>
  <c r="E11620" i="9"/>
  <c r="D11620" i="9"/>
  <c r="C11620" i="9"/>
  <c r="B11620" i="9"/>
  <c r="H11619" i="9"/>
  <c r="G11619" i="9"/>
  <c r="E11619" i="9"/>
  <c r="D11619" i="9"/>
  <c r="C11619" i="9"/>
  <c r="B11619" i="9"/>
  <c r="H11618" i="9"/>
  <c r="G11618" i="9"/>
  <c r="E11618" i="9"/>
  <c r="D11618" i="9"/>
  <c r="C11618" i="9"/>
  <c r="B11618" i="9"/>
  <c r="H11617" i="9"/>
  <c r="G11617" i="9"/>
  <c r="E11617" i="9"/>
  <c r="D11617" i="9"/>
  <c r="C11617" i="9"/>
  <c r="B11617" i="9"/>
  <c r="H11616" i="9"/>
  <c r="G11616" i="9"/>
  <c r="E11616" i="9"/>
  <c r="D11616" i="9"/>
  <c r="C11616" i="9"/>
  <c r="B11616" i="9"/>
  <c r="H11615" i="9"/>
  <c r="G11615" i="9"/>
  <c r="E11615" i="9"/>
  <c r="D11615" i="9"/>
  <c r="C11615" i="9"/>
  <c r="B11615" i="9"/>
  <c r="H11614" i="9"/>
  <c r="G11614" i="9"/>
  <c r="E11614" i="9"/>
  <c r="D11614" i="9"/>
  <c r="C11614" i="9"/>
  <c r="B11614" i="9"/>
  <c r="H11613" i="9"/>
  <c r="G11613" i="9"/>
  <c r="E11613" i="9"/>
  <c r="D11613" i="9"/>
  <c r="C11613" i="9"/>
  <c r="B11613" i="9"/>
  <c r="H11612" i="9"/>
  <c r="G11612" i="9"/>
  <c r="E11612" i="9"/>
  <c r="D11612" i="9"/>
  <c r="C11612" i="9"/>
  <c r="B11612" i="9"/>
  <c r="H11611" i="9"/>
  <c r="G11611" i="9"/>
  <c r="E11611" i="9"/>
  <c r="D11611" i="9"/>
  <c r="C11611" i="9"/>
  <c r="B11611" i="9"/>
  <c r="H11610" i="9"/>
  <c r="G11610" i="9"/>
  <c r="E11610" i="9"/>
  <c r="D11610" i="9"/>
  <c r="C11610" i="9"/>
  <c r="B11610" i="9"/>
  <c r="H11609" i="9"/>
  <c r="G11609" i="9"/>
  <c r="E11609" i="9"/>
  <c r="D11609" i="9"/>
  <c r="C11609" i="9"/>
  <c r="B11609" i="9"/>
  <c r="H11608" i="9"/>
  <c r="G11608" i="9"/>
  <c r="E11608" i="9"/>
  <c r="D11608" i="9"/>
  <c r="C11608" i="9"/>
  <c r="B11608" i="9"/>
  <c r="H11607" i="9"/>
  <c r="G11607" i="9"/>
  <c r="E11607" i="9"/>
  <c r="D11607" i="9"/>
  <c r="C11607" i="9"/>
  <c r="B11607" i="9"/>
  <c r="H11606" i="9"/>
  <c r="G11606" i="9"/>
  <c r="E11606" i="9"/>
  <c r="D11606" i="9"/>
  <c r="C11606" i="9"/>
  <c r="B11606" i="9"/>
  <c r="H11605" i="9"/>
  <c r="G11605" i="9"/>
  <c r="E11605" i="9"/>
  <c r="D11605" i="9"/>
  <c r="C11605" i="9"/>
  <c r="B11605" i="9"/>
  <c r="H11604" i="9"/>
  <c r="G11604" i="9"/>
  <c r="E11604" i="9"/>
  <c r="D11604" i="9"/>
  <c r="C11604" i="9"/>
  <c r="B11604" i="9"/>
  <c r="H11603" i="9"/>
  <c r="G11603" i="9"/>
  <c r="E11603" i="9"/>
  <c r="D11603" i="9"/>
  <c r="C11603" i="9"/>
  <c r="B11603" i="9"/>
  <c r="H11602" i="9"/>
  <c r="G11602" i="9"/>
  <c r="E11602" i="9"/>
  <c r="D11602" i="9"/>
  <c r="C11602" i="9"/>
  <c r="B11602" i="9"/>
  <c r="H11601" i="9"/>
  <c r="G11601" i="9"/>
  <c r="E11601" i="9"/>
  <c r="D11601" i="9"/>
  <c r="C11601" i="9"/>
  <c r="B11601" i="9"/>
  <c r="H11600" i="9"/>
  <c r="G11600" i="9"/>
  <c r="E11600" i="9"/>
  <c r="D11600" i="9"/>
  <c r="C11600" i="9"/>
  <c r="B11600" i="9"/>
  <c r="H11599" i="9"/>
  <c r="G11599" i="9"/>
  <c r="E11599" i="9"/>
  <c r="D11599" i="9"/>
  <c r="C11599" i="9"/>
  <c r="B11599" i="9"/>
  <c r="H11598" i="9"/>
  <c r="G11598" i="9"/>
  <c r="E11598" i="9"/>
  <c r="D11598" i="9"/>
  <c r="C11598" i="9"/>
  <c r="B11598" i="9"/>
  <c r="H11597" i="9"/>
  <c r="G11597" i="9"/>
  <c r="E11597" i="9"/>
  <c r="D11597" i="9"/>
  <c r="C11597" i="9"/>
  <c r="B11597" i="9"/>
  <c r="H11596" i="9"/>
  <c r="G11596" i="9"/>
  <c r="E11596" i="9"/>
  <c r="D11596" i="9"/>
  <c r="C11596" i="9"/>
  <c r="B11596" i="9"/>
  <c r="H11595" i="9"/>
  <c r="G11595" i="9"/>
  <c r="E11595" i="9"/>
  <c r="D11595" i="9"/>
  <c r="C11595" i="9"/>
  <c r="B11595" i="9"/>
  <c r="H11594" i="9"/>
  <c r="G11594" i="9"/>
  <c r="E11594" i="9"/>
  <c r="D11594" i="9"/>
  <c r="C11594" i="9"/>
  <c r="B11594" i="9"/>
  <c r="H11593" i="9"/>
  <c r="G11593" i="9"/>
  <c r="E11593" i="9"/>
  <c r="D11593" i="9"/>
  <c r="C11593" i="9"/>
  <c r="B11593" i="9"/>
  <c r="H11592" i="9"/>
  <c r="G11592" i="9"/>
  <c r="E11592" i="9"/>
  <c r="D11592" i="9"/>
  <c r="C11592" i="9"/>
  <c r="B11592" i="9"/>
  <c r="H11591" i="9"/>
  <c r="G11591" i="9"/>
  <c r="E11591" i="9"/>
  <c r="D11591" i="9"/>
  <c r="C11591" i="9"/>
  <c r="B11591" i="9"/>
  <c r="H11590" i="9"/>
  <c r="G11590" i="9"/>
  <c r="E11590" i="9"/>
  <c r="D11590" i="9"/>
  <c r="C11590" i="9"/>
  <c r="B11590" i="9"/>
  <c r="H11589" i="9"/>
  <c r="G11589" i="9"/>
  <c r="E11589" i="9"/>
  <c r="D11589" i="9"/>
  <c r="C11589" i="9"/>
  <c r="B11589" i="9"/>
  <c r="H11588" i="9"/>
  <c r="G11588" i="9"/>
  <c r="E11588" i="9"/>
  <c r="D11588" i="9"/>
  <c r="C11588" i="9"/>
  <c r="B11588" i="9"/>
  <c r="H11587" i="9"/>
  <c r="G11587" i="9"/>
  <c r="E11587" i="9"/>
  <c r="D11587" i="9"/>
  <c r="C11587" i="9"/>
  <c r="B11587" i="9"/>
  <c r="H11586" i="9"/>
  <c r="G11586" i="9"/>
  <c r="E11586" i="9"/>
  <c r="D11586" i="9"/>
  <c r="C11586" i="9"/>
  <c r="B11586" i="9"/>
  <c r="H11585" i="9"/>
  <c r="G11585" i="9"/>
  <c r="E11585" i="9"/>
  <c r="D11585" i="9"/>
  <c r="C11585" i="9"/>
  <c r="B11585" i="9"/>
  <c r="H11584" i="9"/>
  <c r="G11584" i="9"/>
  <c r="E11584" i="9"/>
  <c r="D11584" i="9"/>
  <c r="C11584" i="9"/>
  <c r="B11584" i="9"/>
  <c r="H11583" i="9"/>
  <c r="G11583" i="9"/>
  <c r="E11583" i="9"/>
  <c r="D11583" i="9"/>
  <c r="C11583" i="9"/>
  <c r="B11583" i="9"/>
  <c r="H11582" i="9"/>
  <c r="G11582" i="9"/>
  <c r="E11582" i="9"/>
  <c r="D11582" i="9"/>
  <c r="C11582" i="9"/>
  <c r="B11582" i="9"/>
  <c r="H11581" i="9"/>
  <c r="G11581" i="9"/>
  <c r="E11581" i="9"/>
  <c r="D11581" i="9"/>
  <c r="C11581" i="9"/>
  <c r="B11581" i="9"/>
  <c r="H11580" i="9"/>
  <c r="G11580" i="9"/>
  <c r="E11580" i="9"/>
  <c r="D11580" i="9"/>
  <c r="C11580" i="9"/>
  <c r="B11580" i="9"/>
  <c r="H11579" i="9"/>
  <c r="G11579" i="9"/>
  <c r="E11579" i="9"/>
  <c r="D11579" i="9"/>
  <c r="C11579" i="9"/>
  <c r="B11579" i="9"/>
  <c r="H11578" i="9"/>
  <c r="G11578" i="9"/>
  <c r="E11578" i="9"/>
  <c r="D11578" i="9"/>
  <c r="C11578" i="9"/>
  <c r="B11578" i="9"/>
  <c r="H11577" i="9"/>
  <c r="G11577" i="9"/>
  <c r="E11577" i="9"/>
  <c r="D11577" i="9"/>
  <c r="C11577" i="9"/>
  <c r="B11577" i="9"/>
  <c r="H11576" i="9"/>
  <c r="G11576" i="9"/>
  <c r="E11576" i="9"/>
  <c r="D11576" i="9"/>
  <c r="C11576" i="9"/>
  <c r="B11576" i="9"/>
  <c r="H11575" i="9"/>
  <c r="G11575" i="9"/>
  <c r="E11575" i="9"/>
  <c r="D11575" i="9"/>
  <c r="C11575" i="9"/>
  <c r="B11575" i="9"/>
  <c r="H11574" i="9"/>
  <c r="G11574" i="9"/>
  <c r="E11574" i="9"/>
  <c r="D11574" i="9"/>
  <c r="C11574" i="9"/>
  <c r="B11574" i="9"/>
  <c r="H11573" i="9"/>
  <c r="G11573" i="9"/>
  <c r="E11573" i="9"/>
  <c r="D11573" i="9"/>
  <c r="C11573" i="9"/>
  <c r="B11573" i="9"/>
  <c r="H11572" i="9"/>
  <c r="G11572" i="9"/>
  <c r="E11572" i="9"/>
  <c r="D11572" i="9"/>
  <c r="C11572" i="9"/>
  <c r="B11572" i="9"/>
  <c r="H11571" i="9"/>
  <c r="G11571" i="9"/>
  <c r="E11571" i="9"/>
  <c r="D11571" i="9"/>
  <c r="C11571" i="9"/>
  <c r="B11571" i="9"/>
  <c r="H11570" i="9"/>
  <c r="G11570" i="9"/>
  <c r="E11570" i="9"/>
  <c r="D11570" i="9"/>
  <c r="C11570" i="9"/>
  <c r="B11570" i="9"/>
  <c r="H11569" i="9"/>
  <c r="G11569" i="9"/>
  <c r="E11569" i="9"/>
  <c r="D11569" i="9"/>
  <c r="C11569" i="9"/>
  <c r="B11569" i="9"/>
  <c r="H11568" i="9"/>
  <c r="G11568" i="9"/>
  <c r="E11568" i="9"/>
  <c r="D11568" i="9"/>
  <c r="C11568" i="9"/>
  <c r="B11568" i="9"/>
  <c r="H11567" i="9"/>
  <c r="G11567" i="9"/>
  <c r="E11567" i="9"/>
  <c r="D11567" i="9"/>
  <c r="C11567" i="9"/>
  <c r="B11567" i="9"/>
  <c r="H11566" i="9"/>
  <c r="G11566" i="9"/>
  <c r="E11566" i="9"/>
  <c r="D11566" i="9"/>
  <c r="C11566" i="9"/>
  <c r="B11566" i="9"/>
  <c r="H11565" i="9"/>
  <c r="G11565" i="9"/>
  <c r="E11565" i="9"/>
  <c r="D11565" i="9"/>
  <c r="C11565" i="9"/>
  <c r="B11565" i="9"/>
  <c r="H11564" i="9"/>
  <c r="G11564" i="9"/>
  <c r="E11564" i="9"/>
  <c r="D11564" i="9"/>
  <c r="C11564" i="9"/>
  <c r="B11564" i="9"/>
  <c r="H11563" i="9"/>
  <c r="G11563" i="9"/>
  <c r="E11563" i="9"/>
  <c r="D11563" i="9"/>
  <c r="C11563" i="9"/>
  <c r="B11563" i="9"/>
  <c r="H11562" i="9"/>
  <c r="G11562" i="9"/>
  <c r="E11562" i="9"/>
  <c r="D11562" i="9"/>
  <c r="C11562" i="9"/>
  <c r="B11562" i="9"/>
  <c r="H11561" i="9"/>
  <c r="G11561" i="9"/>
  <c r="E11561" i="9"/>
  <c r="D11561" i="9"/>
  <c r="C11561" i="9"/>
  <c r="B11561" i="9"/>
  <c r="H11560" i="9"/>
  <c r="G11560" i="9"/>
  <c r="E11560" i="9"/>
  <c r="D11560" i="9"/>
  <c r="C11560" i="9"/>
  <c r="B11560" i="9"/>
  <c r="H11559" i="9"/>
  <c r="G11559" i="9"/>
  <c r="E11559" i="9"/>
  <c r="D11559" i="9"/>
  <c r="C11559" i="9"/>
  <c r="B11559" i="9"/>
  <c r="H11558" i="9"/>
  <c r="G11558" i="9"/>
  <c r="E11558" i="9"/>
  <c r="D11558" i="9"/>
  <c r="C11558" i="9"/>
  <c r="B11558" i="9"/>
  <c r="H11557" i="9"/>
  <c r="G11557" i="9"/>
  <c r="E11557" i="9"/>
  <c r="D11557" i="9"/>
  <c r="C11557" i="9"/>
  <c r="B11557" i="9"/>
  <c r="H11556" i="9"/>
  <c r="G11556" i="9"/>
  <c r="E11556" i="9"/>
  <c r="D11556" i="9"/>
  <c r="C11556" i="9"/>
  <c r="B11556" i="9"/>
  <c r="H11555" i="9"/>
  <c r="G11555" i="9"/>
  <c r="E11555" i="9"/>
  <c r="D11555" i="9"/>
  <c r="C11555" i="9"/>
  <c r="B11555" i="9"/>
  <c r="H11554" i="9"/>
  <c r="G11554" i="9"/>
  <c r="E11554" i="9"/>
  <c r="D11554" i="9"/>
  <c r="C11554" i="9"/>
  <c r="B11554" i="9"/>
  <c r="H11553" i="9"/>
  <c r="G11553" i="9"/>
  <c r="E11553" i="9"/>
  <c r="D11553" i="9"/>
  <c r="C11553" i="9"/>
  <c r="B11553" i="9"/>
  <c r="H11552" i="9"/>
  <c r="G11552" i="9"/>
  <c r="E11552" i="9"/>
  <c r="D11552" i="9"/>
  <c r="C11552" i="9"/>
  <c r="B11552" i="9"/>
  <c r="H11551" i="9"/>
  <c r="G11551" i="9"/>
  <c r="E11551" i="9"/>
  <c r="D11551" i="9"/>
  <c r="C11551" i="9"/>
  <c r="B11551" i="9"/>
  <c r="H11550" i="9"/>
  <c r="G11550" i="9"/>
  <c r="E11550" i="9"/>
  <c r="D11550" i="9"/>
  <c r="C11550" i="9"/>
  <c r="B11550" i="9"/>
  <c r="H11549" i="9"/>
  <c r="G11549" i="9"/>
  <c r="E11549" i="9"/>
  <c r="D11549" i="9"/>
  <c r="C11549" i="9"/>
  <c r="B11549" i="9"/>
  <c r="H11548" i="9"/>
  <c r="G11548" i="9"/>
  <c r="E11548" i="9"/>
  <c r="D11548" i="9"/>
  <c r="C11548" i="9"/>
  <c r="B11548" i="9"/>
  <c r="H11547" i="9"/>
  <c r="G11547" i="9"/>
  <c r="E11547" i="9"/>
  <c r="D11547" i="9"/>
  <c r="C11547" i="9"/>
  <c r="B11547" i="9"/>
  <c r="H11546" i="9"/>
  <c r="G11546" i="9"/>
  <c r="E11546" i="9"/>
  <c r="D11546" i="9"/>
  <c r="C11546" i="9"/>
  <c r="B11546" i="9"/>
  <c r="H11545" i="9"/>
  <c r="G11545" i="9"/>
  <c r="E11545" i="9"/>
  <c r="D11545" i="9"/>
  <c r="C11545" i="9"/>
  <c r="B11545" i="9"/>
  <c r="H11544" i="9"/>
  <c r="G11544" i="9"/>
  <c r="E11544" i="9"/>
  <c r="D11544" i="9"/>
  <c r="C11544" i="9"/>
  <c r="B11544" i="9"/>
  <c r="H11543" i="9"/>
  <c r="G11543" i="9"/>
  <c r="E11543" i="9"/>
  <c r="D11543" i="9"/>
  <c r="C11543" i="9"/>
  <c r="B11543" i="9"/>
  <c r="H11542" i="9"/>
  <c r="G11542" i="9"/>
  <c r="E11542" i="9"/>
  <c r="D11542" i="9"/>
  <c r="C11542" i="9"/>
  <c r="B11542" i="9"/>
  <c r="H11541" i="9"/>
  <c r="G11541" i="9"/>
  <c r="E11541" i="9"/>
  <c r="D11541" i="9"/>
  <c r="C11541" i="9"/>
  <c r="B11541" i="9"/>
  <c r="H11540" i="9"/>
  <c r="G11540" i="9"/>
  <c r="E11540" i="9"/>
  <c r="D11540" i="9"/>
  <c r="C11540" i="9"/>
  <c r="B11540" i="9"/>
  <c r="H11539" i="9"/>
  <c r="G11539" i="9"/>
  <c r="E11539" i="9"/>
  <c r="D11539" i="9"/>
  <c r="C11539" i="9"/>
  <c r="B11539" i="9"/>
  <c r="H11538" i="9"/>
  <c r="G11538" i="9"/>
  <c r="E11538" i="9"/>
  <c r="D11538" i="9"/>
  <c r="C11538" i="9"/>
  <c r="B11538" i="9"/>
  <c r="H11537" i="9"/>
  <c r="G11537" i="9"/>
  <c r="E11537" i="9"/>
  <c r="D11537" i="9"/>
  <c r="C11537" i="9"/>
  <c r="B11537" i="9"/>
  <c r="H11536" i="9"/>
  <c r="G11536" i="9"/>
  <c r="E11536" i="9"/>
  <c r="D11536" i="9"/>
  <c r="C11536" i="9"/>
  <c r="B11536" i="9"/>
  <c r="H11535" i="9"/>
  <c r="G11535" i="9"/>
  <c r="E11535" i="9"/>
  <c r="D11535" i="9"/>
  <c r="C11535" i="9"/>
  <c r="B11535" i="9"/>
  <c r="H11534" i="9"/>
  <c r="G11534" i="9"/>
  <c r="E11534" i="9"/>
  <c r="D11534" i="9"/>
  <c r="C11534" i="9"/>
  <c r="B11534" i="9"/>
  <c r="H11533" i="9"/>
  <c r="G11533" i="9"/>
  <c r="E11533" i="9"/>
  <c r="D11533" i="9"/>
  <c r="C11533" i="9"/>
  <c r="B11533" i="9"/>
  <c r="H11532" i="9"/>
  <c r="G11532" i="9"/>
  <c r="E11532" i="9"/>
  <c r="D11532" i="9"/>
  <c r="C11532" i="9"/>
  <c r="B11532" i="9"/>
  <c r="H11531" i="9"/>
  <c r="G11531" i="9"/>
  <c r="E11531" i="9"/>
  <c r="D11531" i="9"/>
  <c r="C11531" i="9"/>
  <c r="B11531" i="9"/>
  <c r="H11530" i="9"/>
  <c r="G11530" i="9"/>
  <c r="E11530" i="9"/>
  <c r="D11530" i="9"/>
  <c r="C11530" i="9"/>
  <c r="B11530" i="9"/>
  <c r="H11529" i="9"/>
  <c r="G11529" i="9"/>
  <c r="E11529" i="9"/>
  <c r="D11529" i="9"/>
  <c r="C11529" i="9"/>
  <c r="B11529" i="9"/>
  <c r="H11528" i="9"/>
  <c r="G11528" i="9"/>
  <c r="E11528" i="9"/>
  <c r="D11528" i="9"/>
  <c r="C11528" i="9"/>
  <c r="B11528" i="9"/>
  <c r="H11527" i="9"/>
  <c r="G11527" i="9"/>
  <c r="E11527" i="9"/>
  <c r="D11527" i="9"/>
  <c r="C11527" i="9"/>
  <c r="B11527" i="9"/>
  <c r="H11526" i="9"/>
  <c r="G11526" i="9"/>
  <c r="E11526" i="9"/>
  <c r="D11526" i="9"/>
  <c r="C11526" i="9"/>
  <c r="B11526" i="9"/>
  <c r="H11525" i="9"/>
  <c r="G11525" i="9"/>
  <c r="E11525" i="9"/>
  <c r="D11525" i="9"/>
  <c r="C11525" i="9"/>
  <c r="B11525" i="9"/>
  <c r="H11524" i="9"/>
  <c r="G11524" i="9"/>
  <c r="E11524" i="9"/>
  <c r="D11524" i="9"/>
  <c r="C11524" i="9"/>
  <c r="B11524" i="9"/>
  <c r="H11523" i="9"/>
  <c r="G11523" i="9"/>
  <c r="E11523" i="9"/>
  <c r="D11523" i="9"/>
  <c r="C11523" i="9"/>
  <c r="B11523" i="9"/>
  <c r="H11522" i="9"/>
  <c r="G11522" i="9"/>
  <c r="E11522" i="9"/>
  <c r="D11522" i="9"/>
  <c r="C11522" i="9"/>
  <c r="B11522" i="9"/>
  <c r="H11521" i="9"/>
  <c r="G11521" i="9"/>
  <c r="E11521" i="9"/>
  <c r="D11521" i="9"/>
  <c r="C11521" i="9"/>
  <c r="B11521" i="9"/>
  <c r="H11520" i="9"/>
  <c r="G11520" i="9"/>
  <c r="E11520" i="9"/>
  <c r="D11520" i="9"/>
  <c r="C11520" i="9"/>
  <c r="B11520" i="9"/>
  <c r="H11519" i="9"/>
  <c r="G11519" i="9"/>
  <c r="E11519" i="9"/>
  <c r="D11519" i="9"/>
  <c r="C11519" i="9"/>
  <c r="B11519" i="9"/>
  <c r="H11518" i="9"/>
  <c r="G11518" i="9"/>
  <c r="E11518" i="9"/>
  <c r="D11518" i="9"/>
  <c r="C11518" i="9"/>
  <c r="B11518" i="9"/>
  <c r="H11517" i="9"/>
  <c r="G11517" i="9"/>
  <c r="E11517" i="9"/>
  <c r="D11517" i="9"/>
  <c r="C11517" i="9"/>
  <c r="B11517" i="9"/>
  <c r="H11516" i="9"/>
  <c r="G11516" i="9"/>
  <c r="E11516" i="9"/>
  <c r="D11516" i="9"/>
  <c r="C11516" i="9"/>
  <c r="B11516" i="9"/>
  <c r="H11515" i="9"/>
  <c r="G11515" i="9"/>
  <c r="E11515" i="9"/>
  <c r="D11515" i="9"/>
  <c r="C11515" i="9"/>
  <c r="B11515" i="9"/>
  <c r="H11514" i="9"/>
  <c r="G11514" i="9"/>
  <c r="E11514" i="9"/>
  <c r="D11514" i="9"/>
  <c r="C11514" i="9"/>
  <c r="B11514" i="9"/>
  <c r="H11513" i="9"/>
  <c r="G11513" i="9"/>
  <c r="E11513" i="9"/>
  <c r="D11513" i="9"/>
  <c r="C11513" i="9"/>
  <c r="B11513" i="9"/>
  <c r="H11512" i="9"/>
  <c r="G11512" i="9"/>
  <c r="E11512" i="9"/>
  <c r="D11512" i="9"/>
  <c r="C11512" i="9"/>
  <c r="B11512" i="9"/>
  <c r="H11511" i="9"/>
  <c r="G11511" i="9"/>
  <c r="E11511" i="9"/>
  <c r="D11511" i="9"/>
  <c r="C11511" i="9"/>
  <c r="B11511" i="9"/>
  <c r="H11510" i="9"/>
  <c r="G11510" i="9"/>
  <c r="E11510" i="9"/>
  <c r="D11510" i="9"/>
  <c r="C11510" i="9"/>
  <c r="B11510" i="9"/>
  <c r="H11509" i="9"/>
  <c r="G11509" i="9"/>
  <c r="E11509" i="9"/>
  <c r="D11509" i="9"/>
  <c r="C11509" i="9"/>
  <c r="B11509" i="9"/>
  <c r="H11508" i="9"/>
  <c r="G11508" i="9"/>
  <c r="E11508" i="9"/>
  <c r="D11508" i="9"/>
  <c r="C11508" i="9"/>
  <c r="B11508" i="9"/>
  <c r="H11507" i="9"/>
  <c r="G11507" i="9"/>
  <c r="E11507" i="9"/>
  <c r="D11507" i="9"/>
  <c r="C11507" i="9"/>
  <c r="B11507" i="9"/>
  <c r="H11506" i="9"/>
  <c r="G11506" i="9"/>
  <c r="E11506" i="9"/>
  <c r="D11506" i="9"/>
  <c r="C11506" i="9"/>
  <c r="B11506" i="9"/>
  <c r="H11505" i="9"/>
  <c r="G11505" i="9"/>
  <c r="E11505" i="9"/>
  <c r="D11505" i="9"/>
  <c r="C11505" i="9"/>
  <c r="B11505" i="9"/>
  <c r="H11504" i="9"/>
  <c r="G11504" i="9"/>
  <c r="E11504" i="9"/>
  <c r="D11504" i="9"/>
  <c r="C11504" i="9"/>
  <c r="B11504" i="9"/>
  <c r="H11503" i="9"/>
  <c r="G11503" i="9"/>
  <c r="E11503" i="9"/>
  <c r="D11503" i="9"/>
  <c r="C11503" i="9"/>
  <c r="B11503" i="9"/>
  <c r="H11502" i="9"/>
  <c r="G11502" i="9"/>
  <c r="E11502" i="9"/>
  <c r="D11502" i="9"/>
  <c r="C11502" i="9"/>
  <c r="B11502" i="9"/>
  <c r="H11501" i="9"/>
  <c r="G11501" i="9"/>
  <c r="E11501" i="9"/>
  <c r="D11501" i="9"/>
  <c r="C11501" i="9"/>
  <c r="B11501" i="9"/>
  <c r="H11500" i="9"/>
  <c r="G11500" i="9"/>
  <c r="E11500" i="9"/>
  <c r="D11500" i="9"/>
  <c r="C11500" i="9"/>
  <c r="B11500" i="9"/>
  <c r="H11499" i="9"/>
  <c r="G11499" i="9"/>
  <c r="E11499" i="9"/>
  <c r="D11499" i="9"/>
  <c r="C11499" i="9"/>
  <c r="B11499" i="9"/>
  <c r="H11498" i="9"/>
  <c r="G11498" i="9"/>
  <c r="E11498" i="9"/>
  <c r="D11498" i="9"/>
  <c r="C11498" i="9"/>
  <c r="B11498" i="9"/>
  <c r="H11497" i="9"/>
  <c r="G11497" i="9"/>
  <c r="E11497" i="9"/>
  <c r="D11497" i="9"/>
  <c r="C11497" i="9"/>
  <c r="B11497" i="9"/>
  <c r="H11496" i="9"/>
  <c r="G11496" i="9"/>
  <c r="E11496" i="9"/>
  <c r="D11496" i="9"/>
  <c r="C11496" i="9"/>
  <c r="B11496" i="9"/>
  <c r="H11495" i="9"/>
  <c r="G11495" i="9"/>
  <c r="E11495" i="9"/>
  <c r="D11495" i="9"/>
  <c r="C11495" i="9"/>
  <c r="B11495" i="9"/>
  <c r="H11494" i="9"/>
  <c r="G11494" i="9"/>
  <c r="E11494" i="9"/>
  <c r="D11494" i="9"/>
  <c r="C11494" i="9"/>
  <c r="B11494" i="9"/>
  <c r="H11493" i="9"/>
  <c r="G11493" i="9"/>
  <c r="E11493" i="9"/>
  <c r="D11493" i="9"/>
  <c r="C11493" i="9"/>
  <c r="B11493" i="9"/>
  <c r="H11492" i="9"/>
  <c r="G11492" i="9"/>
  <c r="E11492" i="9"/>
  <c r="D11492" i="9"/>
  <c r="C11492" i="9"/>
  <c r="B11492" i="9"/>
  <c r="H11491" i="9"/>
  <c r="G11491" i="9"/>
  <c r="E11491" i="9"/>
  <c r="D11491" i="9"/>
  <c r="C11491" i="9"/>
  <c r="B11491" i="9"/>
  <c r="H11490" i="9"/>
  <c r="G11490" i="9"/>
  <c r="E11490" i="9"/>
  <c r="D11490" i="9"/>
  <c r="C11490" i="9"/>
  <c r="B11490" i="9"/>
  <c r="H11489" i="9"/>
  <c r="G11489" i="9"/>
  <c r="E11489" i="9"/>
  <c r="D11489" i="9"/>
  <c r="C11489" i="9"/>
  <c r="B11489" i="9"/>
  <c r="H11488" i="9"/>
  <c r="G11488" i="9"/>
  <c r="E11488" i="9"/>
  <c r="D11488" i="9"/>
  <c r="C11488" i="9"/>
  <c r="B11488" i="9"/>
  <c r="H11487" i="9"/>
  <c r="G11487" i="9"/>
  <c r="E11487" i="9"/>
  <c r="D11487" i="9"/>
  <c r="C11487" i="9"/>
  <c r="B11487" i="9"/>
  <c r="H11486" i="9"/>
  <c r="G11486" i="9"/>
  <c r="E11486" i="9"/>
  <c r="D11486" i="9"/>
  <c r="C11486" i="9"/>
  <c r="B11486" i="9"/>
  <c r="H11485" i="9"/>
  <c r="G11485" i="9"/>
  <c r="E11485" i="9"/>
  <c r="D11485" i="9"/>
  <c r="C11485" i="9"/>
  <c r="B11485" i="9"/>
  <c r="H11484" i="9"/>
  <c r="G11484" i="9"/>
  <c r="E11484" i="9"/>
  <c r="D11484" i="9"/>
  <c r="C11484" i="9"/>
  <c r="B11484" i="9"/>
  <c r="H11483" i="9"/>
  <c r="G11483" i="9"/>
  <c r="E11483" i="9"/>
  <c r="D11483" i="9"/>
  <c r="C11483" i="9"/>
  <c r="B11483" i="9"/>
  <c r="H11482" i="9"/>
  <c r="G11482" i="9"/>
  <c r="E11482" i="9"/>
  <c r="D11482" i="9"/>
  <c r="C11482" i="9"/>
  <c r="B11482" i="9"/>
  <c r="H11481" i="9"/>
  <c r="G11481" i="9"/>
  <c r="E11481" i="9"/>
  <c r="D11481" i="9"/>
  <c r="C11481" i="9"/>
  <c r="B11481" i="9"/>
  <c r="H11480" i="9"/>
  <c r="G11480" i="9"/>
  <c r="E11480" i="9"/>
  <c r="D11480" i="9"/>
  <c r="C11480" i="9"/>
  <c r="B11480" i="9"/>
  <c r="H11479" i="9"/>
  <c r="G11479" i="9"/>
  <c r="E11479" i="9"/>
  <c r="D11479" i="9"/>
  <c r="C11479" i="9"/>
  <c r="B11479" i="9"/>
  <c r="H11478" i="9"/>
  <c r="G11478" i="9"/>
  <c r="E11478" i="9"/>
  <c r="D11478" i="9"/>
  <c r="C11478" i="9"/>
  <c r="B11478" i="9"/>
  <c r="H11477" i="9"/>
  <c r="G11477" i="9"/>
  <c r="E11477" i="9"/>
  <c r="D11477" i="9"/>
  <c r="C11477" i="9"/>
  <c r="B11477" i="9"/>
  <c r="H11476" i="9"/>
  <c r="G11476" i="9"/>
  <c r="E11476" i="9"/>
  <c r="D11476" i="9"/>
  <c r="C11476" i="9"/>
  <c r="B11476" i="9"/>
  <c r="H11475" i="9"/>
  <c r="G11475" i="9"/>
  <c r="E11475" i="9"/>
  <c r="D11475" i="9"/>
  <c r="C11475" i="9"/>
  <c r="B11475" i="9"/>
  <c r="H11474" i="9"/>
  <c r="G11474" i="9"/>
  <c r="E11474" i="9"/>
  <c r="D11474" i="9"/>
  <c r="C11474" i="9"/>
  <c r="B11474" i="9"/>
  <c r="H11473" i="9"/>
  <c r="G11473" i="9"/>
  <c r="E11473" i="9"/>
  <c r="D11473" i="9"/>
  <c r="C11473" i="9"/>
  <c r="B11473" i="9"/>
  <c r="H11472" i="9"/>
  <c r="G11472" i="9"/>
  <c r="E11472" i="9"/>
  <c r="D11472" i="9"/>
  <c r="C11472" i="9"/>
  <c r="B11472" i="9"/>
  <c r="H11471" i="9"/>
  <c r="G11471" i="9"/>
  <c r="E11471" i="9"/>
  <c r="D11471" i="9"/>
  <c r="C11471" i="9"/>
  <c r="B11471" i="9"/>
  <c r="H11470" i="9"/>
  <c r="G11470" i="9"/>
  <c r="E11470" i="9"/>
  <c r="D11470" i="9"/>
  <c r="C11470" i="9"/>
  <c r="B11470" i="9"/>
  <c r="H11469" i="9"/>
  <c r="G11469" i="9"/>
  <c r="E11469" i="9"/>
  <c r="D11469" i="9"/>
  <c r="C11469" i="9"/>
  <c r="B11469" i="9"/>
  <c r="H11468" i="9"/>
  <c r="G11468" i="9"/>
  <c r="E11468" i="9"/>
  <c r="D11468" i="9"/>
  <c r="C11468" i="9"/>
  <c r="B11468" i="9"/>
  <c r="H11467" i="9"/>
  <c r="G11467" i="9"/>
  <c r="E11467" i="9"/>
  <c r="D11467" i="9"/>
  <c r="C11467" i="9"/>
  <c r="B11467" i="9"/>
  <c r="H11466" i="9"/>
  <c r="G11466" i="9"/>
  <c r="E11466" i="9"/>
  <c r="D11466" i="9"/>
  <c r="C11466" i="9"/>
  <c r="B11466" i="9"/>
  <c r="H11465" i="9"/>
  <c r="G11465" i="9"/>
  <c r="E11465" i="9"/>
  <c r="D11465" i="9"/>
  <c r="C11465" i="9"/>
  <c r="B11465" i="9"/>
  <c r="H11464" i="9"/>
  <c r="G11464" i="9"/>
  <c r="E11464" i="9"/>
  <c r="D11464" i="9"/>
  <c r="C11464" i="9"/>
  <c r="B11464" i="9"/>
  <c r="H11463" i="9"/>
  <c r="G11463" i="9"/>
  <c r="E11463" i="9"/>
  <c r="D11463" i="9"/>
  <c r="C11463" i="9"/>
  <c r="B11463" i="9"/>
  <c r="H11462" i="9"/>
  <c r="G11462" i="9"/>
  <c r="E11462" i="9"/>
  <c r="D11462" i="9"/>
  <c r="C11462" i="9"/>
  <c r="B11462" i="9"/>
  <c r="H11461" i="9"/>
  <c r="G11461" i="9"/>
  <c r="E11461" i="9"/>
  <c r="D11461" i="9"/>
  <c r="C11461" i="9"/>
  <c r="B11461" i="9"/>
  <c r="H11460" i="9"/>
  <c r="G11460" i="9"/>
  <c r="E11460" i="9"/>
  <c r="D11460" i="9"/>
  <c r="C11460" i="9"/>
  <c r="B11460" i="9"/>
  <c r="H11459" i="9"/>
  <c r="G11459" i="9"/>
  <c r="E11459" i="9"/>
  <c r="D11459" i="9"/>
  <c r="C11459" i="9"/>
  <c r="B11459" i="9"/>
  <c r="H11458" i="9"/>
  <c r="G11458" i="9"/>
  <c r="E11458" i="9"/>
  <c r="D11458" i="9"/>
  <c r="C11458" i="9"/>
  <c r="B11458" i="9"/>
  <c r="H11457" i="9"/>
  <c r="G11457" i="9"/>
  <c r="E11457" i="9"/>
  <c r="D11457" i="9"/>
  <c r="C11457" i="9"/>
  <c r="B11457" i="9"/>
  <c r="H11456" i="9"/>
  <c r="G11456" i="9"/>
  <c r="E11456" i="9"/>
  <c r="D11456" i="9"/>
  <c r="C11456" i="9"/>
  <c r="B11456" i="9"/>
  <c r="H11455" i="9"/>
  <c r="G11455" i="9"/>
  <c r="E11455" i="9"/>
  <c r="D11455" i="9"/>
  <c r="C11455" i="9"/>
  <c r="B11455" i="9"/>
  <c r="H11454" i="9"/>
  <c r="G11454" i="9"/>
  <c r="E11454" i="9"/>
  <c r="D11454" i="9"/>
  <c r="C11454" i="9"/>
  <c r="B11454" i="9"/>
  <c r="H11453" i="9"/>
  <c r="G11453" i="9"/>
  <c r="E11453" i="9"/>
  <c r="D11453" i="9"/>
  <c r="C11453" i="9"/>
  <c r="B11453" i="9"/>
  <c r="H11452" i="9"/>
  <c r="G11452" i="9"/>
  <c r="E11452" i="9"/>
  <c r="D11452" i="9"/>
  <c r="C11452" i="9"/>
  <c r="B11452" i="9"/>
  <c r="H11451" i="9"/>
  <c r="G11451" i="9"/>
  <c r="E11451" i="9"/>
  <c r="D11451" i="9"/>
  <c r="C11451" i="9"/>
  <c r="B11451" i="9"/>
  <c r="H11450" i="9"/>
  <c r="G11450" i="9"/>
  <c r="E11450" i="9"/>
  <c r="D11450" i="9"/>
  <c r="C11450" i="9"/>
  <c r="B11450" i="9"/>
  <c r="H11449" i="9"/>
  <c r="G11449" i="9"/>
  <c r="E11449" i="9"/>
  <c r="D11449" i="9"/>
  <c r="C11449" i="9"/>
  <c r="B11449" i="9"/>
  <c r="H11448" i="9"/>
  <c r="G11448" i="9"/>
  <c r="E11448" i="9"/>
  <c r="D11448" i="9"/>
  <c r="C11448" i="9"/>
  <c r="B11448" i="9"/>
  <c r="H11447" i="9"/>
  <c r="G11447" i="9"/>
  <c r="E11447" i="9"/>
  <c r="D11447" i="9"/>
  <c r="C11447" i="9"/>
  <c r="B11447" i="9"/>
  <c r="H11446" i="9"/>
  <c r="G11446" i="9"/>
  <c r="E11446" i="9"/>
  <c r="D11446" i="9"/>
  <c r="C11446" i="9"/>
  <c r="B11446" i="9"/>
  <c r="H11445" i="9"/>
  <c r="G11445" i="9"/>
  <c r="E11445" i="9"/>
  <c r="D11445" i="9"/>
  <c r="C11445" i="9"/>
  <c r="B11445" i="9"/>
  <c r="H11444" i="9"/>
  <c r="G11444" i="9"/>
  <c r="E11444" i="9"/>
  <c r="D11444" i="9"/>
  <c r="C11444" i="9"/>
  <c r="B11444" i="9"/>
  <c r="H11443" i="9"/>
  <c r="G11443" i="9"/>
  <c r="E11443" i="9"/>
  <c r="D11443" i="9"/>
  <c r="C11443" i="9"/>
  <c r="B11443" i="9"/>
  <c r="H11442" i="9"/>
  <c r="G11442" i="9"/>
  <c r="E11442" i="9"/>
  <c r="D11442" i="9"/>
  <c r="C11442" i="9"/>
  <c r="B11442" i="9"/>
  <c r="H11441" i="9"/>
  <c r="G11441" i="9"/>
  <c r="E11441" i="9"/>
  <c r="D11441" i="9"/>
  <c r="C11441" i="9"/>
  <c r="B11441" i="9"/>
  <c r="H11440" i="9"/>
  <c r="G11440" i="9"/>
  <c r="E11440" i="9"/>
  <c r="D11440" i="9"/>
  <c r="C11440" i="9"/>
  <c r="B11440" i="9"/>
  <c r="H11439" i="9"/>
  <c r="G11439" i="9"/>
  <c r="E11439" i="9"/>
  <c r="D11439" i="9"/>
  <c r="C11439" i="9"/>
  <c r="B11439" i="9"/>
  <c r="H11438" i="9"/>
  <c r="G11438" i="9"/>
  <c r="E11438" i="9"/>
  <c r="D11438" i="9"/>
  <c r="C11438" i="9"/>
  <c r="B11438" i="9"/>
  <c r="H11437" i="9"/>
  <c r="G11437" i="9"/>
  <c r="E11437" i="9"/>
  <c r="D11437" i="9"/>
  <c r="C11437" i="9"/>
  <c r="B11437" i="9"/>
  <c r="H11436" i="9"/>
  <c r="G11436" i="9"/>
  <c r="E11436" i="9"/>
  <c r="D11436" i="9"/>
  <c r="C11436" i="9"/>
  <c r="B11436" i="9"/>
  <c r="H11435" i="9"/>
  <c r="G11435" i="9"/>
  <c r="E11435" i="9"/>
  <c r="D11435" i="9"/>
  <c r="C11435" i="9"/>
  <c r="B11435" i="9"/>
  <c r="H11434" i="9"/>
  <c r="G11434" i="9"/>
  <c r="E11434" i="9"/>
  <c r="D11434" i="9"/>
  <c r="C11434" i="9"/>
  <c r="B11434" i="9"/>
  <c r="H11433" i="9"/>
  <c r="G11433" i="9"/>
  <c r="E11433" i="9"/>
  <c r="D11433" i="9"/>
  <c r="C11433" i="9"/>
  <c r="B11433" i="9"/>
  <c r="H11432" i="9"/>
  <c r="G11432" i="9"/>
  <c r="E11432" i="9"/>
  <c r="D11432" i="9"/>
  <c r="C11432" i="9"/>
  <c r="B11432" i="9"/>
  <c r="H11431" i="9"/>
  <c r="G11431" i="9"/>
  <c r="E11431" i="9"/>
  <c r="D11431" i="9"/>
  <c r="C11431" i="9"/>
  <c r="B11431" i="9"/>
  <c r="H11430" i="9"/>
  <c r="G11430" i="9"/>
  <c r="E11430" i="9"/>
  <c r="D11430" i="9"/>
  <c r="C11430" i="9"/>
  <c r="B11430" i="9"/>
  <c r="H11429" i="9"/>
  <c r="G11429" i="9"/>
  <c r="E11429" i="9"/>
  <c r="D11429" i="9"/>
  <c r="C11429" i="9"/>
  <c r="B11429" i="9"/>
  <c r="H11428" i="9"/>
  <c r="G11428" i="9"/>
  <c r="E11428" i="9"/>
  <c r="D11428" i="9"/>
  <c r="C11428" i="9"/>
  <c r="B11428" i="9"/>
  <c r="H11427" i="9"/>
  <c r="G11427" i="9"/>
  <c r="E11427" i="9"/>
  <c r="D11427" i="9"/>
  <c r="C11427" i="9"/>
  <c r="B11427" i="9"/>
  <c r="H11426" i="9"/>
  <c r="G11426" i="9"/>
  <c r="E11426" i="9"/>
  <c r="D11426" i="9"/>
  <c r="C11426" i="9"/>
  <c r="B11426" i="9"/>
  <c r="H11425" i="9"/>
  <c r="G11425" i="9"/>
  <c r="E11425" i="9"/>
  <c r="D11425" i="9"/>
  <c r="C11425" i="9"/>
  <c r="B11425" i="9"/>
  <c r="H11424" i="9"/>
  <c r="G11424" i="9"/>
  <c r="E11424" i="9"/>
  <c r="D11424" i="9"/>
  <c r="C11424" i="9"/>
  <c r="B11424" i="9"/>
  <c r="H11423" i="9"/>
  <c r="G11423" i="9"/>
  <c r="E11423" i="9"/>
  <c r="D11423" i="9"/>
  <c r="C11423" i="9"/>
  <c r="B11423" i="9"/>
  <c r="H11422" i="9"/>
  <c r="G11422" i="9"/>
  <c r="E11422" i="9"/>
  <c r="D11422" i="9"/>
  <c r="C11422" i="9"/>
  <c r="B11422" i="9"/>
  <c r="H11421" i="9"/>
  <c r="G11421" i="9"/>
  <c r="E11421" i="9"/>
  <c r="D11421" i="9"/>
  <c r="C11421" i="9"/>
  <c r="B11421" i="9"/>
  <c r="H11420" i="9"/>
  <c r="G11420" i="9"/>
  <c r="E11420" i="9"/>
  <c r="D11420" i="9"/>
  <c r="C11420" i="9"/>
  <c r="B11420" i="9"/>
  <c r="H11419" i="9"/>
  <c r="G11419" i="9"/>
  <c r="E11419" i="9"/>
  <c r="D11419" i="9"/>
  <c r="C11419" i="9"/>
  <c r="B11419" i="9"/>
  <c r="H11418" i="9"/>
  <c r="G11418" i="9"/>
  <c r="E11418" i="9"/>
  <c r="D11418" i="9"/>
  <c r="C11418" i="9"/>
  <c r="B11418" i="9"/>
  <c r="H11417" i="9"/>
  <c r="G11417" i="9"/>
  <c r="E11417" i="9"/>
  <c r="D11417" i="9"/>
  <c r="C11417" i="9"/>
  <c r="B11417" i="9"/>
  <c r="H11416" i="9"/>
  <c r="G11416" i="9"/>
  <c r="E11416" i="9"/>
  <c r="D11416" i="9"/>
  <c r="C11416" i="9"/>
  <c r="B11416" i="9"/>
  <c r="H11415" i="9"/>
  <c r="G11415" i="9"/>
  <c r="E11415" i="9"/>
  <c r="D11415" i="9"/>
  <c r="C11415" i="9"/>
  <c r="B11415" i="9"/>
  <c r="H11414" i="9"/>
  <c r="G11414" i="9"/>
  <c r="E11414" i="9"/>
  <c r="D11414" i="9"/>
  <c r="C11414" i="9"/>
  <c r="B11414" i="9"/>
  <c r="H11413" i="9"/>
  <c r="G11413" i="9"/>
  <c r="E11413" i="9"/>
  <c r="D11413" i="9"/>
  <c r="C11413" i="9"/>
  <c r="B11413" i="9"/>
  <c r="H11412" i="9"/>
  <c r="G11412" i="9"/>
  <c r="E11412" i="9"/>
  <c r="D11412" i="9"/>
  <c r="C11412" i="9"/>
  <c r="B11412" i="9"/>
  <c r="H11411" i="9"/>
  <c r="G11411" i="9"/>
  <c r="E11411" i="9"/>
  <c r="D11411" i="9"/>
  <c r="C11411" i="9"/>
  <c r="B11411" i="9"/>
  <c r="H11410" i="9"/>
  <c r="G11410" i="9"/>
  <c r="E11410" i="9"/>
  <c r="D11410" i="9"/>
  <c r="C11410" i="9"/>
  <c r="B11410" i="9"/>
  <c r="H11409" i="9"/>
  <c r="G11409" i="9"/>
  <c r="E11409" i="9"/>
  <c r="D11409" i="9"/>
  <c r="C11409" i="9"/>
  <c r="B11409" i="9"/>
  <c r="H11408" i="9"/>
  <c r="G11408" i="9"/>
  <c r="E11408" i="9"/>
  <c r="D11408" i="9"/>
  <c r="C11408" i="9"/>
  <c r="B11408" i="9"/>
  <c r="H11407" i="9"/>
  <c r="G11407" i="9"/>
  <c r="E11407" i="9"/>
  <c r="D11407" i="9"/>
  <c r="C11407" i="9"/>
  <c r="B11407" i="9"/>
  <c r="H11406" i="9"/>
  <c r="G11406" i="9"/>
  <c r="E11406" i="9"/>
  <c r="D11406" i="9"/>
  <c r="C11406" i="9"/>
  <c r="B11406" i="9"/>
  <c r="H11405" i="9"/>
  <c r="G11405" i="9"/>
  <c r="E11405" i="9"/>
  <c r="D11405" i="9"/>
  <c r="C11405" i="9"/>
  <c r="B11405" i="9"/>
  <c r="H11404" i="9"/>
  <c r="G11404" i="9"/>
  <c r="E11404" i="9"/>
  <c r="D11404" i="9"/>
  <c r="C11404" i="9"/>
  <c r="B11404" i="9"/>
  <c r="H11403" i="9"/>
  <c r="G11403" i="9"/>
  <c r="E11403" i="9"/>
  <c r="D11403" i="9"/>
  <c r="C11403" i="9"/>
  <c r="B11403" i="9"/>
  <c r="H11402" i="9"/>
  <c r="G11402" i="9"/>
  <c r="E11402" i="9"/>
  <c r="D11402" i="9"/>
  <c r="C11402" i="9"/>
  <c r="B11402" i="9"/>
  <c r="H11401" i="9"/>
  <c r="G11401" i="9"/>
  <c r="E11401" i="9"/>
  <c r="D11401" i="9"/>
  <c r="C11401" i="9"/>
  <c r="B11401" i="9"/>
  <c r="H11400" i="9"/>
  <c r="G11400" i="9"/>
  <c r="E11400" i="9"/>
  <c r="D11400" i="9"/>
  <c r="C11400" i="9"/>
  <c r="B11400" i="9"/>
  <c r="H11399" i="9"/>
  <c r="G11399" i="9"/>
  <c r="E11399" i="9"/>
  <c r="D11399" i="9"/>
  <c r="C11399" i="9"/>
  <c r="B11399" i="9"/>
  <c r="H11398" i="9"/>
  <c r="G11398" i="9"/>
  <c r="E11398" i="9"/>
  <c r="D11398" i="9"/>
  <c r="C11398" i="9"/>
  <c r="B11398" i="9"/>
  <c r="H11397" i="9"/>
  <c r="G11397" i="9"/>
  <c r="E11397" i="9"/>
  <c r="D11397" i="9"/>
  <c r="C11397" i="9"/>
  <c r="B11397" i="9"/>
  <c r="H11396" i="9"/>
  <c r="G11396" i="9"/>
  <c r="E11396" i="9"/>
  <c r="D11396" i="9"/>
  <c r="C11396" i="9"/>
  <c r="B11396" i="9"/>
  <c r="H11395" i="9"/>
  <c r="G11395" i="9"/>
  <c r="E11395" i="9"/>
  <c r="D11395" i="9"/>
  <c r="C11395" i="9"/>
  <c r="B11395" i="9"/>
  <c r="H11394" i="9"/>
  <c r="G11394" i="9"/>
  <c r="E11394" i="9"/>
  <c r="D11394" i="9"/>
  <c r="C11394" i="9"/>
  <c r="B11394" i="9"/>
  <c r="H11393" i="9"/>
  <c r="G11393" i="9"/>
  <c r="E11393" i="9"/>
  <c r="D11393" i="9"/>
  <c r="C11393" i="9"/>
  <c r="B11393" i="9"/>
  <c r="H11392" i="9"/>
  <c r="G11392" i="9"/>
  <c r="E11392" i="9"/>
  <c r="D11392" i="9"/>
  <c r="C11392" i="9"/>
  <c r="B11392" i="9"/>
  <c r="H11391" i="9"/>
  <c r="G11391" i="9"/>
  <c r="E11391" i="9"/>
  <c r="D11391" i="9"/>
  <c r="C11391" i="9"/>
  <c r="B11391" i="9"/>
  <c r="H11390" i="9"/>
  <c r="G11390" i="9"/>
  <c r="E11390" i="9"/>
  <c r="D11390" i="9"/>
  <c r="C11390" i="9"/>
  <c r="B11390" i="9"/>
  <c r="H11389" i="9"/>
  <c r="G11389" i="9"/>
  <c r="E11389" i="9"/>
  <c r="D11389" i="9"/>
  <c r="C11389" i="9"/>
  <c r="B11389" i="9"/>
  <c r="H11388" i="9"/>
  <c r="G11388" i="9"/>
  <c r="E11388" i="9"/>
  <c r="D11388" i="9"/>
  <c r="C11388" i="9"/>
  <c r="B11388" i="9"/>
  <c r="H11387" i="9"/>
  <c r="G11387" i="9"/>
  <c r="E11387" i="9"/>
  <c r="D11387" i="9"/>
  <c r="C11387" i="9"/>
  <c r="B11387" i="9"/>
  <c r="H11386" i="9"/>
  <c r="G11386" i="9"/>
  <c r="E11386" i="9"/>
  <c r="D11386" i="9"/>
  <c r="C11386" i="9"/>
  <c r="B11386" i="9"/>
  <c r="H11385" i="9"/>
  <c r="G11385" i="9"/>
  <c r="E11385" i="9"/>
  <c r="D11385" i="9"/>
  <c r="C11385" i="9"/>
  <c r="B11385" i="9"/>
  <c r="H11384" i="9"/>
  <c r="G11384" i="9"/>
  <c r="E11384" i="9"/>
  <c r="D11384" i="9"/>
  <c r="C11384" i="9"/>
  <c r="B11384" i="9"/>
  <c r="H11383" i="9"/>
  <c r="G11383" i="9"/>
  <c r="E11383" i="9"/>
  <c r="D11383" i="9"/>
  <c r="C11383" i="9"/>
  <c r="B11383" i="9"/>
  <c r="H11382" i="9"/>
  <c r="G11382" i="9"/>
  <c r="E11382" i="9"/>
  <c r="D11382" i="9"/>
  <c r="C11382" i="9"/>
  <c r="B11382" i="9"/>
  <c r="H11381" i="9"/>
  <c r="G11381" i="9"/>
  <c r="E11381" i="9"/>
  <c r="D11381" i="9"/>
  <c r="C11381" i="9"/>
  <c r="B11381" i="9"/>
  <c r="H11380" i="9"/>
  <c r="G11380" i="9"/>
  <c r="E11380" i="9"/>
  <c r="D11380" i="9"/>
  <c r="C11380" i="9"/>
  <c r="B11380" i="9"/>
  <c r="H11379" i="9"/>
  <c r="G11379" i="9"/>
  <c r="E11379" i="9"/>
  <c r="D11379" i="9"/>
  <c r="C11379" i="9"/>
  <c r="B11379" i="9"/>
  <c r="H11378" i="9"/>
  <c r="G11378" i="9"/>
  <c r="E11378" i="9"/>
  <c r="D11378" i="9"/>
  <c r="C11378" i="9"/>
  <c r="B11378" i="9"/>
  <c r="H11377" i="9"/>
  <c r="G11377" i="9"/>
  <c r="E11377" i="9"/>
  <c r="D11377" i="9"/>
  <c r="C11377" i="9"/>
  <c r="B11377" i="9"/>
  <c r="H11376" i="9"/>
  <c r="G11376" i="9"/>
  <c r="E11376" i="9"/>
  <c r="D11376" i="9"/>
  <c r="C11376" i="9"/>
  <c r="B11376" i="9"/>
  <c r="H11375" i="9"/>
  <c r="G11375" i="9"/>
  <c r="E11375" i="9"/>
  <c r="D11375" i="9"/>
  <c r="C11375" i="9"/>
  <c r="B11375" i="9"/>
  <c r="H11374" i="9"/>
  <c r="G11374" i="9"/>
  <c r="E11374" i="9"/>
  <c r="D11374" i="9"/>
  <c r="C11374" i="9"/>
  <c r="B11374" i="9"/>
  <c r="H11373" i="9"/>
  <c r="G11373" i="9"/>
  <c r="E11373" i="9"/>
  <c r="D11373" i="9"/>
  <c r="C11373" i="9"/>
  <c r="B11373" i="9"/>
  <c r="H11372" i="9"/>
  <c r="G11372" i="9"/>
  <c r="E11372" i="9"/>
  <c r="D11372" i="9"/>
  <c r="C11372" i="9"/>
  <c r="B11372" i="9"/>
  <c r="H11371" i="9"/>
  <c r="G11371" i="9"/>
  <c r="E11371" i="9"/>
  <c r="D11371" i="9"/>
  <c r="C11371" i="9"/>
  <c r="B11371" i="9"/>
  <c r="H11370" i="9"/>
  <c r="G11370" i="9"/>
  <c r="E11370" i="9"/>
  <c r="D11370" i="9"/>
  <c r="C11370" i="9"/>
  <c r="B11370" i="9"/>
  <c r="H11369" i="9"/>
  <c r="G11369" i="9"/>
  <c r="E11369" i="9"/>
  <c r="D11369" i="9"/>
  <c r="C11369" i="9"/>
  <c r="B11369" i="9"/>
  <c r="H11368" i="9"/>
  <c r="G11368" i="9"/>
  <c r="E11368" i="9"/>
  <c r="D11368" i="9"/>
  <c r="C11368" i="9"/>
  <c r="B11368" i="9"/>
  <c r="H11367" i="9"/>
  <c r="G11367" i="9"/>
  <c r="E11367" i="9"/>
  <c r="D11367" i="9"/>
  <c r="C11367" i="9"/>
  <c r="B11367" i="9"/>
  <c r="H11366" i="9"/>
  <c r="G11366" i="9"/>
  <c r="E11366" i="9"/>
  <c r="D11366" i="9"/>
  <c r="C11366" i="9"/>
  <c r="B11366" i="9"/>
  <c r="H11365" i="9"/>
  <c r="G11365" i="9"/>
  <c r="E11365" i="9"/>
  <c r="D11365" i="9"/>
  <c r="C11365" i="9"/>
  <c r="B11365" i="9"/>
  <c r="H11364" i="9"/>
  <c r="G11364" i="9"/>
  <c r="E11364" i="9"/>
  <c r="D11364" i="9"/>
  <c r="C11364" i="9"/>
  <c r="B11364" i="9"/>
  <c r="H11363" i="9"/>
  <c r="G11363" i="9"/>
  <c r="E11363" i="9"/>
  <c r="D11363" i="9"/>
  <c r="C11363" i="9"/>
  <c r="B11363" i="9"/>
  <c r="H11362" i="9"/>
  <c r="G11362" i="9"/>
  <c r="E11362" i="9"/>
  <c r="D11362" i="9"/>
  <c r="C11362" i="9"/>
  <c r="B11362" i="9"/>
  <c r="H11361" i="9"/>
  <c r="G11361" i="9"/>
  <c r="E11361" i="9"/>
  <c r="D11361" i="9"/>
  <c r="C11361" i="9"/>
  <c r="B11361" i="9"/>
  <c r="H11360" i="9"/>
  <c r="G11360" i="9"/>
  <c r="E11360" i="9"/>
  <c r="D11360" i="9"/>
  <c r="C11360" i="9"/>
  <c r="B11360" i="9"/>
  <c r="H11359" i="9"/>
  <c r="G11359" i="9"/>
  <c r="E11359" i="9"/>
  <c r="D11359" i="9"/>
  <c r="C11359" i="9"/>
  <c r="B11359" i="9"/>
  <c r="H11358" i="9"/>
  <c r="G11358" i="9"/>
  <c r="E11358" i="9"/>
  <c r="D11358" i="9"/>
  <c r="C11358" i="9"/>
  <c r="B11358" i="9"/>
  <c r="H11357" i="9"/>
  <c r="G11357" i="9"/>
  <c r="E11357" i="9"/>
  <c r="D11357" i="9"/>
  <c r="C11357" i="9"/>
  <c r="B11357" i="9"/>
  <c r="H11356" i="9"/>
  <c r="G11356" i="9"/>
  <c r="E11356" i="9"/>
  <c r="D11356" i="9"/>
  <c r="C11356" i="9"/>
  <c r="B11356" i="9"/>
  <c r="H11355" i="9"/>
  <c r="G11355" i="9"/>
  <c r="E11355" i="9"/>
  <c r="D11355" i="9"/>
  <c r="C11355" i="9"/>
  <c r="B11355" i="9"/>
  <c r="H11354" i="9"/>
  <c r="G11354" i="9"/>
  <c r="E11354" i="9"/>
  <c r="D11354" i="9"/>
  <c r="C11354" i="9"/>
  <c r="B11354" i="9"/>
  <c r="H11353" i="9"/>
  <c r="G11353" i="9"/>
  <c r="E11353" i="9"/>
  <c r="D11353" i="9"/>
  <c r="C11353" i="9"/>
  <c r="B11353" i="9"/>
  <c r="H11352" i="9"/>
  <c r="G11352" i="9"/>
  <c r="E11352" i="9"/>
  <c r="D11352" i="9"/>
  <c r="C11352" i="9"/>
  <c r="B11352" i="9"/>
  <c r="H11351" i="9"/>
  <c r="G11351" i="9"/>
  <c r="E11351" i="9"/>
  <c r="D11351" i="9"/>
  <c r="C11351" i="9"/>
  <c r="B11351" i="9"/>
  <c r="H11350" i="9"/>
  <c r="G11350" i="9"/>
  <c r="E11350" i="9"/>
  <c r="D11350" i="9"/>
  <c r="C11350" i="9"/>
  <c r="B11350" i="9"/>
  <c r="H11349" i="9"/>
  <c r="G11349" i="9"/>
  <c r="E11349" i="9"/>
  <c r="D11349" i="9"/>
  <c r="C11349" i="9"/>
  <c r="B11349" i="9"/>
  <c r="H11348" i="9"/>
  <c r="G11348" i="9"/>
  <c r="E11348" i="9"/>
  <c r="D11348" i="9"/>
  <c r="C11348" i="9"/>
  <c r="B11348" i="9"/>
  <c r="H11347" i="9"/>
  <c r="G11347" i="9"/>
  <c r="E11347" i="9"/>
  <c r="D11347" i="9"/>
  <c r="C11347" i="9"/>
  <c r="B11347" i="9"/>
  <c r="H11346" i="9"/>
  <c r="G11346" i="9"/>
  <c r="E11346" i="9"/>
  <c r="D11346" i="9"/>
  <c r="C11346" i="9"/>
  <c r="B11346" i="9"/>
  <c r="H11345" i="9"/>
  <c r="G11345" i="9"/>
  <c r="E11345" i="9"/>
  <c r="D11345" i="9"/>
  <c r="C11345" i="9"/>
  <c r="B11345" i="9"/>
  <c r="H11344" i="9"/>
  <c r="G11344" i="9"/>
  <c r="E11344" i="9"/>
  <c r="D11344" i="9"/>
  <c r="C11344" i="9"/>
  <c r="B11344" i="9"/>
  <c r="H11343" i="9"/>
  <c r="G11343" i="9"/>
  <c r="E11343" i="9"/>
  <c r="D11343" i="9"/>
  <c r="C11343" i="9"/>
  <c r="B11343" i="9"/>
  <c r="H11342" i="9"/>
  <c r="G11342" i="9"/>
  <c r="E11342" i="9"/>
  <c r="D11342" i="9"/>
  <c r="C11342" i="9"/>
  <c r="B11342" i="9"/>
  <c r="H11341" i="9"/>
  <c r="G11341" i="9"/>
  <c r="E11341" i="9"/>
  <c r="D11341" i="9"/>
  <c r="C11341" i="9"/>
  <c r="B11341" i="9"/>
  <c r="H11340" i="9"/>
  <c r="G11340" i="9"/>
  <c r="E11340" i="9"/>
  <c r="D11340" i="9"/>
  <c r="C11340" i="9"/>
  <c r="B11340" i="9"/>
  <c r="H11339" i="9"/>
  <c r="G11339" i="9"/>
  <c r="E11339" i="9"/>
  <c r="D11339" i="9"/>
  <c r="C11339" i="9"/>
  <c r="B11339" i="9"/>
  <c r="H11338" i="9"/>
  <c r="G11338" i="9"/>
  <c r="E11338" i="9"/>
  <c r="D11338" i="9"/>
  <c r="C11338" i="9"/>
  <c r="B11338" i="9"/>
  <c r="H11337" i="9"/>
  <c r="G11337" i="9"/>
  <c r="E11337" i="9"/>
  <c r="D11337" i="9"/>
  <c r="C11337" i="9"/>
  <c r="B11337" i="9"/>
  <c r="H11336" i="9"/>
  <c r="G11336" i="9"/>
  <c r="E11336" i="9"/>
  <c r="D11336" i="9"/>
  <c r="C11336" i="9"/>
  <c r="B11336" i="9"/>
  <c r="H11335" i="9"/>
  <c r="G11335" i="9"/>
  <c r="E11335" i="9"/>
  <c r="D11335" i="9"/>
  <c r="C11335" i="9"/>
  <c r="B11335" i="9"/>
  <c r="H11334" i="9"/>
  <c r="G11334" i="9"/>
  <c r="E11334" i="9"/>
  <c r="D11334" i="9"/>
  <c r="C11334" i="9"/>
  <c r="B11334" i="9"/>
  <c r="H11333" i="9"/>
  <c r="G11333" i="9"/>
  <c r="E11333" i="9"/>
  <c r="D11333" i="9"/>
  <c r="C11333" i="9"/>
  <c r="B11333" i="9"/>
  <c r="H11332" i="9"/>
  <c r="G11332" i="9"/>
  <c r="E11332" i="9"/>
  <c r="D11332" i="9"/>
  <c r="C11332" i="9"/>
  <c r="B11332" i="9"/>
  <c r="H11331" i="9"/>
  <c r="G11331" i="9"/>
  <c r="E11331" i="9"/>
  <c r="D11331" i="9"/>
  <c r="C11331" i="9"/>
  <c r="B11331" i="9"/>
  <c r="H11330" i="9"/>
  <c r="G11330" i="9"/>
  <c r="E11330" i="9"/>
  <c r="D11330" i="9"/>
  <c r="C11330" i="9"/>
  <c r="B11330" i="9"/>
  <c r="H11329" i="9"/>
  <c r="G11329" i="9"/>
  <c r="E11329" i="9"/>
  <c r="D11329" i="9"/>
  <c r="C11329" i="9"/>
  <c r="B11329" i="9"/>
  <c r="H11328" i="9"/>
  <c r="G11328" i="9"/>
  <c r="E11328" i="9"/>
  <c r="D11328" i="9"/>
  <c r="C11328" i="9"/>
  <c r="B11328" i="9"/>
  <c r="H11327" i="9"/>
  <c r="G11327" i="9"/>
  <c r="E11327" i="9"/>
  <c r="D11327" i="9"/>
  <c r="C11327" i="9"/>
  <c r="B11327" i="9"/>
  <c r="H11326" i="9"/>
  <c r="G11326" i="9"/>
  <c r="E11326" i="9"/>
  <c r="D11326" i="9"/>
  <c r="C11326" i="9"/>
  <c r="B11326" i="9"/>
  <c r="H11325" i="9"/>
  <c r="G11325" i="9"/>
  <c r="E11325" i="9"/>
  <c r="D11325" i="9"/>
  <c r="C11325" i="9"/>
  <c r="B11325" i="9"/>
  <c r="H11324" i="9"/>
  <c r="G11324" i="9"/>
  <c r="E11324" i="9"/>
  <c r="D11324" i="9"/>
  <c r="C11324" i="9"/>
  <c r="B11324" i="9"/>
  <c r="H11323" i="9"/>
  <c r="G11323" i="9"/>
  <c r="E11323" i="9"/>
  <c r="D11323" i="9"/>
  <c r="C11323" i="9"/>
  <c r="B11323" i="9"/>
  <c r="H11322" i="9"/>
  <c r="G11322" i="9"/>
  <c r="E11322" i="9"/>
  <c r="D11322" i="9"/>
  <c r="C11322" i="9"/>
  <c r="B11322" i="9"/>
  <c r="H11321" i="9"/>
  <c r="G11321" i="9"/>
  <c r="E11321" i="9"/>
  <c r="D11321" i="9"/>
  <c r="C11321" i="9"/>
  <c r="B11321" i="9"/>
  <c r="H11320" i="9"/>
  <c r="G11320" i="9"/>
  <c r="E11320" i="9"/>
  <c r="D11320" i="9"/>
  <c r="C11320" i="9"/>
  <c r="B11320" i="9"/>
  <c r="H11319" i="9"/>
  <c r="G11319" i="9"/>
  <c r="E11319" i="9"/>
  <c r="D11319" i="9"/>
  <c r="C11319" i="9"/>
  <c r="B11319" i="9"/>
  <c r="H11318" i="9"/>
  <c r="G11318" i="9"/>
  <c r="E11318" i="9"/>
  <c r="D11318" i="9"/>
  <c r="C11318" i="9"/>
  <c r="B11318" i="9"/>
  <c r="H11317" i="9"/>
  <c r="G11317" i="9"/>
  <c r="E11317" i="9"/>
  <c r="D11317" i="9"/>
  <c r="C11317" i="9"/>
  <c r="B11317" i="9"/>
  <c r="H11316" i="9"/>
  <c r="G11316" i="9"/>
  <c r="E11316" i="9"/>
  <c r="D11316" i="9"/>
  <c r="C11316" i="9"/>
  <c r="B11316" i="9"/>
  <c r="H11315" i="9"/>
  <c r="G11315" i="9"/>
  <c r="E11315" i="9"/>
  <c r="D11315" i="9"/>
  <c r="C11315" i="9"/>
  <c r="B11315" i="9"/>
  <c r="H11314" i="9"/>
  <c r="G11314" i="9"/>
  <c r="E11314" i="9"/>
  <c r="D11314" i="9"/>
  <c r="C11314" i="9"/>
  <c r="B11314" i="9"/>
  <c r="H11313" i="9"/>
  <c r="G11313" i="9"/>
  <c r="E11313" i="9"/>
  <c r="D11313" i="9"/>
  <c r="C11313" i="9"/>
  <c r="B11313" i="9"/>
  <c r="H11312" i="9"/>
  <c r="G11312" i="9"/>
  <c r="E11312" i="9"/>
  <c r="D11312" i="9"/>
  <c r="C11312" i="9"/>
  <c r="B11312" i="9"/>
  <c r="H11311" i="9"/>
  <c r="G11311" i="9"/>
  <c r="E11311" i="9"/>
  <c r="D11311" i="9"/>
  <c r="C11311" i="9"/>
  <c r="B11311" i="9"/>
  <c r="H11310" i="9"/>
  <c r="G11310" i="9"/>
  <c r="E11310" i="9"/>
  <c r="D11310" i="9"/>
  <c r="C11310" i="9"/>
  <c r="B11310" i="9"/>
  <c r="H11309" i="9"/>
  <c r="G11309" i="9"/>
  <c r="E11309" i="9"/>
  <c r="D11309" i="9"/>
  <c r="C11309" i="9"/>
  <c r="B11309" i="9"/>
  <c r="H11308" i="9"/>
  <c r="G11308" i="9"/>
  <c r="E11308" i="9"/>
  <c r="D11308" i="9"/>
  <c r="C11308" i="9"/>
  <c r="B11308" i="9"/>
  <c r="H11307" i="9"/>
  <c r="G11307" i="9"/>
  <c r="E11307" i="9"/>
  <c r="D11307" i="9"/>
  <c r="C11307" i="9"/>
  <c r="B11307" i="9"/>
  <c r="H11306" i="9"/>
  <c r="G11306" i="9"/>
  <c r="E11306" i="9"/>
  <c r="D11306" i="9"/>
  <c r="C11306" i="9"/>
  <c r="B11306" i="9"/>
  <c r="H11305" i="9"/>
  <c r="G11305" i="9"/>
  <c r="E11305" i="9"/>
  <c r="D11305" i="9"/>
  <c r="C11305" i="9"/>
  <c r="B11305" i="9"/>
  <c r="H11304" i="9"/>
  <c r="G11304" i="9"/>
  <c r="E11304" i="9"/>
  <c r="D11304" i="9"/>
  <c r="C11304" i="9"/>
  <c r="B11304" i="9"/>
  <c r="H11303" i="9"/>
  <c r="G11303" i="9"/>
  <c r="E11303" i="9"/>
  <c r="D11303" i="9"/>
  <c r="C11303" i="9"/>
  <c r="B11303" i="9"/>
  <c r="H11302" i="9"/>
  <c r="G11302" i="9"/>
  <c r="E11302" i="9"/>
  <c r="D11302" i="9"/>
  <c r="C11302" i="9"/>
  <c r="B11302" i="9"/>
  <c r="H11301" i="9"/>
  <c r="G11301" i="9"/>
  <c r="E11301" i="9"/>
  <c r="D11301" i="9"/>
  <c r="C11301" i="9"/>
  <c r="B11301" i="9"/>
  <c r="H11300" i="9"/>
  <c r="G11300" i="9"/>
  <c r="E11300" i="9"/>
  <c r="D11300" i="9"/>
  <c r="C11300" i="9"/>
  <c r="B11300" i="9"/>
  <c r="H11299" i="9"/>
  <c r="G11299" i="9"/>
  <c r="E11299" i="9"/>
  <c r="D11299" i="9"/>
  <c r="C11299" i="9"/>
  <c r="B11299" i="9"/>
  <c r="H11298" i="9"/>
  <c r="G11298" i="9"/>
  <c r="E11298" i="9"/>
  <c r="D11298" i="9"/>
  <c r="C11298" i="9"/>
  <c r="B11298" i="9"/>
  <c r="H11297" i="9"/>
  <c r="G11297" i="9"/>
  <c r="E11297" i="9"/>
  <c r="D11297" i="9"/>
  <c r="C11297" i="9"/>
  <c r="B11297" i="9"/>
  <c r="H11296" i="9"/>
  <c r="G11296" i="9"/>
  <c r="E11296" i="9"/>
  <c r="D11296" i="9"/>
  <c r="C11296" i="9"/>
  <c r="B11296" i="9"/>
  <c r="H11295" i="9"/>
  <c r="G11295" i="9"/>
  <c r="E11295" i="9"/>
  <c r="D11295" i="9"/>
  <c r="C11295" i="9"/>
  <c r="B11295" i="9"/>
  <c r="H11294" i="9"/>
  <c r="G11294" i="9"/>
  <c r="E11294" i="9"/>
  <c r="D11294" i="9"/>
  <c r="C11294" i="9"/>
  <c r="B11294" i="9"/>
  <c r="H11293" i="9"/>
  <c r="G11293" i="9"/>
  <c r="E11293" i="9"/>
  <c r="D11293" i="9"/>
  <c r="C11293" i="9"/>
  <c r="B11293" i="9"/>
  <c r="H11292" i="9"/>
  <c r="G11292" i="9"/>
  <c r="E11292" i="9"/>
  <c r="D11292" i="9"/>
  <c r="C11292" i="9"/>
  <c r="B11292" i="9"/>
  <c r="H11291" i="9"/>
  <c r="G11291" i="9"/>
  <c r="E11291" i="9"/>
  <c r="D11291" i="9"/>
  <c r="C11291" i="9"/>
  <c r="B11291" i="9"/>
  <c r="H11290" i="9"/>
  <c r="G11290" i="9"/>
  <c r="E11290" i="9"/>
  <c r="D11290" i="9"/>
  <c r="C11290" i="9"/>
  <c r="B11290" i="9"/>
  <c r="H11289" i="9"/>
  <c r="G11289" i="9"/>
  <c r="E11289" i="9"/>
  <c r="D11289" i="9"/>
  <c r="C11289" i="9"/>
  <c r="B11289" i="9"/>
  <c r="H11288" i="9"/>
  <c r="G11288" i="9"/>
  <c r="E11288" i="9"/>
  <c r="D11288" i="9"/>
  <c r="C11288" i="9"/>
  <c r="B11288" i="9"/>
  <c r="H11287" i="9"/>
  <c r="G11287" i="9"/>
  <c r="E11287" i="9"/>
  <c r="D11287" i="9"/>
  <c r="C11287" i="9"/>
  <c r="B11287" i="9"/>
  <c r="H11286" i="9"/>
  <c r="G11286" i="9"/>
  <c r="E11286" i="9"/>
  <c r="D11286" i="9"/>
  <c r="C11286" i="9"/>
  <c r="B11286" i="9"/>
  <c r="H11285" i="9"/>
  <c r="G11285" i="9"/>
  <c r="E11285" i="9"/>
  <c r="D11285" i="9"/>
  <c r="C11285" i="9"/>
  <c r="B11285" i="9"/>
  <c r="H11284" i="9"/>
  <c r="G11284" i="9"/>
  <c r="E11284" i="9"/>
  <c r="D11284" i="9"/>
  <c r="C11284" i="9"/>
  <c r="B11284" i="9"/>
  <c r="H11283" i="9"/>
  <c r="G11283" i="9"/>
  <c r="E11283" i="9"/>
  <c r="D11283" i="9"/>
  <c r="C11283" i="9"/>
  <c r="B11283" i="9"/>
  <c r="H11282" i="9"/>
  <c r="G11282" i="9"/>
  <c r="E11282" i="9"/>
  <c r="D11282" i="9"/>
  <c r="C11282" i="9"/>
  <c r="B11282" i="9"/>
  <c r="H11281" i="9"/>
  <c r="G11281" i="9"/>
  <c r="E11281" i="9"/>
  <c r="D11281" i="9"/>
  <c r="C11281" i="9"/>
  <c r="B11281" i="9"/>
  <c r="H11280" i="9"/>
  <c r="G11280" i="9"/>
  <c r="E11280" i="9"/>
  <c r="D11280" i="9"/>
  <c r="C11280" i="9"/>
  <c r="B11280" i="9"/>
  <c r="H11279" i="9"/>
  <c r="G11279" i="9"/>
  <c r="E11279" i="9"/>
  <c r="D11279" i="9"/>
  <c r="C11279" i="9"/>
  <c r="B11279" i="9"/>
  <c r="H11278" i="9"/>
  <c r="G11278" i="9"/>
  <c r="E11278" i="9"/>
  <c r="D11278" i="9"/>
  <c r="C11278" i="9"/>
  <c r="B11278" i="9"/>
  <c r="H11277" i="9"/>
  <c r="G11277" i="9"/>
  <c r="E11277" i="9"/>
  <c r="D11277" i="9"/>
  <c r="C11277" i="9"/>
  <c r="B11277" i="9"/>
  <c r="H11276" i="9"/>
  <c r="G11276" i="9"/>
  <c r="E11276" i="9"/>
  <c r="D11276" i="9"/>
  <c r="C11276" i="9"/>
  <c r="B11276" i="9"/>
  <c r="H11275" i="9"/>
  <c r="G11275" i="9"/>
  <c r="E11275" i="9"/>
  <c r="D11275" i="9"/>
  <c r="C11275" i="9"/>
  <c r="B11275" i="9"/>
  <c r="H11274" i="9"/>
  <c r="G11274" i="9"/>
  <c r="E11274" i="9"/>
  <c r="D11274" i="9"/>
  <c r="C11274" i="9"/>
  <c r="B11274" i="9"/>
  <c r="H11273" i="9"/>
  <c r="G11273" i="9"/>
  <c r="E11273" i="9"/>
  <c r="D11273" i="9"/>
  <c r="C11273" i="9"/>
  <c r="B11273" i="9"/>
  <c r="H11272" i="9"/>
  <c r="G11272" i="9"/>
  <c r="E11272" i="9"/>
  <c r="D11272" i="9"/>
  <c r="C11272" i="9"/>
  <c r="B11272" i="9"/>
  <c r="H11271" i="9"/>
  <c r="G11271" i="9"/>
  <c r="E11271" i="9"/>
  <c r="D11271" i="9"/>
  <c r="C11271" i="9"/>
  <c r="B11271" i="9"/>
  <c r="H11270" i="9"/>
  <c r="G11270" i="9"/>
  <c r="E11270" i="9"/>
  <c r="D11270" i="9"/>
  <c r="C11270" i="9"/>
  <c r="B11270" i="9"/>
  <c r="H11269" i="9"/>
  <c r="G11269" i="9"/>
  <c r="E11269" i="9"/>
  <c r="D11269" i="9"/>
  <c r="C11269" i="9"/>
  <c r="B11269" i="9"/>
  <c r="H11268" i="9"/>
  <c r="G11268" i="9"/>
  <c r="E11268" i="9"/>
  <c r="D11268" i="9"/>
  <c r="C11268" i="9"/>
  <c r="B11268" i="9"/>
  <c r="H11267" i="9"/>
  <c r="G11267" i="9"/>
  <c r="E11267" i="9"/>
  <c r="D11267" i="9"/>
  <c r="C11267" i="9"/>
  <c r="B11267" i="9"/>
  <c r="H11266" i="9"/>
  <c r="G11266" i="9"/>
  <c r="E11266" i="9"/>
  <c r="D11266" i="9"/>
  <c r="C11266" i="9"/>
  <c r="B11266" i="9"/>
  <c r="H11265" i="9"/>
  <c r="G11265" i="9"/>
  <c r="E11265" i="9"/>
  <c r="D11265" i="9"/>
  <c r="C11265" i="9"/>
  <c r="B11265" i="9"/>
  <c r="H11264" i="9"/>
  <c r="G11264" i="9"/>
  <c r="E11264" i="9"/>
  <c r="D11264" i="9"/>
  <c r="C11264" i="9"/>
  <c r="B11264" i="9"/>
  <c r="H11263" i="9"/>
  <c r="G11263" i="9"/>
  <c r="E11263" i="9"/>
  <c r="D11263" i="9"/>
  <c r="C11263" i="9"/>
  <c r="B11263" i="9"/>
  <c r="H11262" i="9"/>
  <c r="G11262" i="9"/>
  <c r="E11262" i="9"/>
  <c r="D11262" i="9"/>
  <c r="C11262" i="9"/>
  <c r="B11262" i="9"/>
  <c r="H11261" i="9"/>
  <c r="G11261" i="9"/>
  <c r="E11261" i="9"/>
  <c r="D11261" i="9"/>
  <c r="C11261" i="9"/>
  <c r="B11261" i="9"/>
  <c r="H11260" i="9"/>
  <c r="G11260" i="9"/>
  <c r="E11260" i="9"/>
  <c r="D11260" i="9"/>
  <c r="C11260" i="9"/>
  <c r="B11260" i="9"/>
  <c r="H11259" i="9"/>
  <c r="G11259" i="9"/>
  <c r="E11259" i="9"/>
  <c r="D11259" i="9"/>
  <c r="C11259" i="9"/>
  <c r="B11259" i="9"/>
  <c r="H11258" i="9"/>
  <c r="G11258" i="9"/>
  <c r="E11258" i="9"/>
  <c r="D11258" i="9"/>
  <c r="C11258" i="9"/>
  <c r="B11258" i="9"/>
  <c r="H11257" i="9"/>
  <c r="G11257" i="9"/>
  <c r="E11257" i="9"/>
  <c r="D11257" i="9"/>
  <c r="C11257" i="9"/>
  <c r="B11257" i="9"/>
  <c r="H11256" i="9"/>
  <c r="G11256" i="9"/>
  <c r="E11256" i="9"/>
  <c r="D11256" i="9"/>
  <c r="C11256" i="9"/>
  <c r="B11256" i="9"/>
  <c r="H11255" i="9"/>
  <c r="G11255" i="9"/>
  <c r="E11255" i="9"/>
  <c r="D11255" i="9"/>
  <c r="C11255" i="9"/>
  <c r="B11255" i="9"/>
  <c r="H11254" i="9"/>
  <c r="G11254" i="9"/>
  <c r="E11254" i="9"/>
  <c r="D11254" i="9"/>
  <c r="C11254" i="9"/>
  <c r="B11254" i="9"/>
  <c r="H11253" i="9"/>
  <c r="G11253" i="9"/>
  <c r="E11253" i="9"/>
  <c r="D11253" i="9"/>
  <c r="C11253" i="9"/>
  <c r="B11253" i="9"/>
  <c r="H11252" i="9"/>
  <c r="G11252" i="9"/>
  <c r="E11252" i="9"/>
  <c r="D11252" i="9"/>
  <c r="C11252" i="9"/>
  <c r="B11252" i="9"/>
  <c r="H11251" i="9"/>
  <c r="G11251" i="9"/>
  <c r="E11251" i="9"/>
  <c r="D11251" i="9"/>
  <c r="C11251" i="9"/>
  <c r="B11251" i="9"/>
  <c r="H11250" i="9"/>
  <c r="G11250" i="9"/>
  <c r="E11250" i="9"/>
  <c r="D11250" i="9"/>
  <c r="C11250" i="9"/>
  <c r="B11250" i="9"/>
  <c r="H11249" i="9"/>
  <c r="G11249" i="9"/>
  <c r="E11249" i="9"/>
  <c r="D11249" i="9"/>
  <c r="C11249" i="9"/>
  <c r="B11249" i="9"/>
  <c r="H11248" i="9"/>
  <c r="G11248" i="9"/>
  <c r="E11248" i="9"/>
  <c r="D11248" i="9"/>
  <c r="C11248" i="9"/>
  <c r="B11248" i="9"/>
  <c r="H11247" i="9"/>
  <c r="G11247" i="9"/>
  <c r="E11247" i="9"/>
  <c r="D11247" i="9"/>
  <c r="C11247" i="9"/>
  <c r="B11247" i="9"/>
  <c r="H11246" i="9"/>
  <c r="G11246" i="9"/>
  <c r="E11246" i="9"/>
  <c r="D11246" i="9"/>
  <c r="C11246" i="9"/>
  <c r="B11246" i="9"/>
  <c r="H11245" i="9"/>
  <c r="G11245" i="9"/>
  <c r="E11245" i="9"/>
  <c r="D11245" i="9"/>
  <c r="C11245" i="9"/>
  <c r="B11245" i="9"/>
  <c r="H11244" i="9"/>
  <c r="G11244" i="9"/>
  <c r="E11244" i="9"/>
  <c r="D11244" i="9"/>
  <c r="C11244" i="9"/>
  <c r="B11244" i="9"/>
  <c r="H11243" i="9"/>
  <c r="G11243" i="9"/>
  <c r="E11243" i="9"/>
  <c r="D11243" i="9"/>
  <c r="C11243" i="9"/>
  <c r="B11243" i="9"/>
  <c r="H11242" i="9"/>
  <c r="G11242" i="9"/>
  <c r="E11242" i="9"/>
  <c r="D11242" i="9"/>
  <c r="C11242" i="9"/>
  <c r="B11242" i="9"/>
  <c r="H11241" i="9"/>
  <c r="G11241" i="9"/>
  <c r="E11241" i="9"/>
  <c r="D11241" i="9"/>
  <c r="C11241" i="9"/>
  <c r="B11241" i="9"/>
  <c r="H11240" i="9"/>
  <c r="G11240" i="9"/>
  <c r="E11240" i="9"/>
  <c r="D11240" i="9"/>
  <c r="C11240" i="9"/>
  <c r="B11240" i="9"/>
  <c r="H11239" i="9"/>
  <c r="G11239" i="9"/>
  <c r="E11239" i="9"/>
  <c r="D11239" i="9"/>
  <c r="C11239" i="9"/>
  <c r="B11239" i="9"/>
  <c r="H11238" i="9"/>
  <c r="G11238" i="9"/>
  <c r="E11238" i="9"/>
  <c r="D11238" i="9"/>
  <c r="C11238" i="9"/>
  <c r="B11238" i="9"/>
  <c r="H11237" i="9"/>
  <c r="G11237" i="9"/>
  <c r="E11237" i="9"/>
  <c r="D11237" i="9"/>
  <c r="C11237" i="9"/>
  <c r="B11237" i="9"/>
  <c r="H11236" i="9"/>
  <c r="G11236" i="9"/>
  <c r="E11236" i="9"/>
  <c r="D11236" i="9"/>
  <c r="C11236" i="9"/>
  <c r="B11236" i="9"/>
  <c r="H11235" i="9"/>
  <c r="G11235" i="9"/>
  <c r="E11235" i="9"/>
  <c r="D11235" i="9"/>
  <c r="C11235" i="9"/>
  <c r="B11235" i="9"/>
  <c r="H11234" i="9"/>
  <c r="G11234" i="9"/>
  <c r="E11234" i="9"/>
  <c r="D11234" i="9"/>
  <c r="C11234" i="9"/>
  <c r="B11234" i="9"/>
  <c r="H11233" i="9"/>
  <c r="G11233" i="9"/>
  <c r="E11233" i="9"/>
  <c r="D11233" i="9"/>
  <c r="C11233" i="9"/>
  <c r="B11233" i="9"/>
  <c r="H11232" i="9"/>
  <c r="G11232" i="9"/>
  <c r="E11232" i="9"/>
  <c r="D11232" i="9"/>
  <c r="C11232" i="9"/>
  <c r="B11232" i="9"/>
  <c r="H11231" i="9"/>
  <c r="G11231" i="9"/>
  <c r="E11231" i="9"/>
  <c r="D11231" i="9"/>
  <c r="C11231" i="9"/>
  <c r="B11231" i="9"/>
  <c r="H11230" i="9"/>
  <c r="G11230" i="9"/>
  <c r="E11230" i="9"/>
  <c r="D11230" i="9"/>
  <c r="C11230" i="9"/>
  <c r="B11230" i="9"/>
  <c r="H11229" i="9"/>
  <c r="G11229" i="9"/>
  <c r="E11229" i="9"/>
  <c r="D11229" i="9"/>
  <c r="C11229" i="9"/>
  <c r="B11229" i="9"/>
  <c r="H11228" i="9"/>
  <c r="G11228" i="9"/>
  <c r="E11228" i="9"/>
  <c r="D11228" i="9"/>
  <c r="C11228" i="9"/>
  <c r="B11228" i="9"/>
  <c r="H11227" i="9"/>
  <c r="G11227" i="9"/>
  <c r="E11227" i="9"/>
  <c r="D11227" i="9"/>
  <c r="C11227" i="9"/>
  <c r="B11227" i="9"/>
  <c r="H11226" i="9"/>
  <c r="G11226" i="9"/>
  <c r="E11226" i="9"/>
  <c r="D11226" i="9"/>
  <c r="C11226" i="9"/>
  <c r="B11226" i="9"/>
  <c r="H11225" i="9"/>
  <c r="G11225" i="9"/>
  <c r="E11225" i="9"/>
  <c r="D11225" i="9"/>
  <c r="C11225" i="9"/>
  <c r="B11225" i="9"/>
  <c r="H11224" i="9"/>
  <c r="G11224" i="9"/>
  <c r="E11224" i="9"/>
  <c r="D11224" i="9"/>
  <c r="C11224" i="9"/>
  <c r="B11224" i="9"/>
  <c r="H11223" i="9"/>
  <c r="G11223" i="9"/>
  <c r="E11223" i="9"/>
  <c r="D11223" i="9"/>
  <c r="C11223" i="9"/>
  <c r="B11223" i="9"/>
  <c r="H11222" i="9"/>
  <c r="G11222" i="9"/>
  <c r="E11222" i="9"/>
  <c r="D11222" i="9"/>
  <c r="C11222" i="9"/>
  <c r="B11222" i="9"/>
  <c r="H11221" i="9"/>
  <c r="G11221" i="9"/>
  <c r="E11221" i="9"/>
  <c r="D11221" i="9"/>
  <c r="C11221" i="9"/>
  <c r="B11221" i="9"/>
  <c r="H11220" i="9"/>
  <c r="G11220" i="9"/>
  <c r="E11220" i="9"/>
  <c r="D11220" i="9"/>
  <c r="C11220" i="9"/>
  <c r="B11220" i="9"/>
  <c r="H11219" i="9"/>
  <c r="G11219" i="9"/>
  <c r="E11219" i="9"/>
  <c r="D11219" i="9"/>
  <c r="C11219" i="9"/>
  <c r="B11219" i="9"/>
  <c r="H11218" i="9"/>
  <c r="G11218" i="9"/>
  <c r="E11218" i="9"/>
  <c r="D11218" i="9"/>
  <c r="C11218" i="9"/>
  <c r="B11218" i="9"/>
  <c r="H11217" i="9"/>
  <c r="G11217" i="9"/>
  <c r="E11217" i="9"/>
  <c r="D11217" i="9"/>
  <c r="C11217" i="9"/>
  <c r="B11217" i="9"/>
  <c r="H11216" i="9"/>
  <c r="G11216" i="9"/>
  <c r="E11216" i="9"/>
  <c r="D11216" i="9"/>
  <c r="C11216" i="9"/>
  <c r="B11216" i="9"/>
  <c r="H11215" i="9"/>
  <c r="G11215" i="9"/>
  <c r="E11215" i="9"/>
  <c r="D11215" i="9"/>
  <c r="C11215" i="9"/>
  <c r="B11215" i="9"/>
  <c r="H11214" i="9"/>
  <c r="G11214" i="9"/>
  <c r="E11214" i="9"/>
  <c r="D11214" i="9"/>
  <c r="C11214" i="9"/>
  <c r="B11214" i="9"/>
  <c r="H11213" i="9"/>
  <c r="G11213" i="9"/>
  <c r="E11213" i="9"/>
  <c r="D11213" i="9"/>
  <c r="C11213" i="9"/>
  <c r="B11213" i="9"/>
  <c r="H11212" i="9"/>
  <c r="G11212" i="9"/>
  <c r="E11212" i="9"/>
  <c r="D11212" i="9"/>
  <c r="C11212" i="9"/>
  <c r="B11212" i="9"/>
  <c r="H11211" i="9"/>
  <c r="G11211" i="9"/>
  <c r="E11211" i="9"/>
  <c r="D11211" i="9"/>
  <c r="C11211" i="9"/>
  <c r="B11211" i="9"/>
  <c r="H11210" i="9"/>
  <c r="G11210" i="9"/>
  <c r="E11210" i="9"/>
  <c r="D11210" i="9"/>
  <c r="C11210" i="9"/>
  <c r="B11210" i="9"/>
  <c r="H11209" i="9"/>
  <c r="G11209" i="9"/>
  <c r="E11209" i="9"/>
  <c r="D11209" i="9"/>
  <c r="C11209" i="9"/>
  <c r="B11209" i="9"/>
  <c r="H11208" i="9"/>
  <c r="G11208" i="9"/>
  <c r="E11208" i="9"/>
  <c r="D11208" i="9"/>
  <c r="C11208" i="9"/>
  <c r="B11208" i="9"/>
  <c r="H11207" i="9"/>
  <c r="G11207" i="9"/>
  <c r="E11207" i="9"/>
  <c r="D11207" i="9"/>
  <c r="C11207" i="9"/>
  <c r="B11207" i="9"/>
  <c r="H11206" i="9"/>
  <c r="G11206" i="9"/>
  <c r="E11206" i="9"/>
  <c r="D11206" i="9"/>
  <c r="C11206" i="9"/>
  <c r="B11206" i="9"/>
  <c r="H11205" i="9"/>
  <c r="G11205" i="9"/>
  <c r="E11205" i="9"/>
  <c r="D11205" i="9"/>
  <c r="C11205" i="9"/>
  <c r="B11205" i="9"/>
  <c r="H11204" i="9"/>
  <c r="G11204" i="9"/>
  <c r="E11204" i="9"/>
  <c r="D11204" i="9"/>
  <c r="C11204" i="9"/>
  <c r="B11204" i="9"/>
  <c r="H11203" i="9"/>
  <c r="G11203" i="9"/>
  <c r="E11203" i="9"/>
  <c r="D11203" i="9"/>
  <c r="C11203" i="9"/>
  <c r="B11203" i="9"/>
  <c r="H11202" i="9"/>
  <c r="G11202" i="9"/>
  <c r="E11202" i="9"/>
  <c r="D11202" i="9"/>
  <c r="C11202" i="9"/>
  <c r="B11202" i="9"/>
  <c r="H11201" i="9"/>
  <c r="G11201" i="9"/>
  <c r="E11201" i="9"/>
  <c r="D11201" i="9"/>
  <c r="C11201" i="9"/>
  <c r="B11201" i="9"/>
  <c r="H11200" i="9"/>
  <c r="G11200" i="9"/>
  <c r="E11200" i="9"/>
  <c r="D11200" i="9"/>
  <c r="C11200" i="9"/>
  <c r="B11200" i="9"/>
  <c r="H11199" i="9"/>
  <c r="G11199" i="9"/>
  <c r="E11199" i="9"/>
  <c r="D11199" i="9"/>
  <c r="C11199" i="9"/>
  <c r="B11199" i="9"/>
  <c r="H11198" i="9"/>
  <c r="G11198" i="9"/>
  <c r="E11198" i="9"/>
  <c r="D11198" i="9"/>
  <c r="C11198" i="9"/>
  <c r="B11198" i="9"/>
  <c r="H11197" i="9"/>
  <c r="G11197" i="9"/>
  <c r="E11197" i="9"/>
  <c r="D11197" i="9"/>
  <c r="C11197" i="9"/>
  <c r="B11197" i="9"/>
  <c r="H11196" i="9"/>
  <c r="G11196" i="9"/>
  <c r="E11196" i="9"/>
  <c r="D11196" i="9"/>
  <c r="C11196" i="9"/>
  <c r="B11196" i="9"/>
  <c r="H11195" i="9"/>
  <c r="G11195" i="9"/>
  <c r="E11195" i="9"/>
  <c r="D11195" i="9"/>
  <c r="C11195" i="9"/>
  <c r="B11195" i="9"/>
  <c r="H11194" i="9"/>
  <c r="G11194" i="9"/>
  <c r="E11194" i="9"/>
  <c r="D11194" i="9"/>
  <c r="C11194" i="9"/>
  <c r="B11194" i="9"/>
  <c r="H11193" i="9"/>
  <c r="G11193" i="9"/>
  <c r="E11193" i="9"/>
  <c r="D11193" i="9"/>
  <c r="C11193" i="9"/>
  <c r="B11193" i="9"/>
  <c r="H11192" i="9"/>
  <c r="G11192" i="9"/>
  <c r="E11192" i="9"/>
  <c r="D11192" i="9"/>
  <c r="C11192" i="9"/>
  <c r="B11192" i="9"/>
  <c r="H11191" i="9"/>
  <c r="G11191" i="9"/>
  <c r="E11191" i="9"/>
  <c r="D11191" i="9"/>
  <c r="C11191" i="9"/>
  <c r="B11191" i="9"/>
  <c r="H11190" i="9"/>
  <c r="G11190" i="9"/>
  <c r="E11190" i="9"/>
  <c r="D11190" i="9"/>
  <c r="C11190" i="9"/>
  <c r="B11190" i="9"/>
  <c r="H11189" i="9"/>
  <c r="G11189" i="9"/>
  <c r="E11189" i="9"/>
  <c r="D11189" i="9"/>
  <c r="C11189" i="9"/>
  <c r="B11189" i="9"/>
  <c r="H11188" i="9"/>
  <c r="G11188" i="9"/>
  <c r="E11188" i="9"/>
  <c r="D11188" i="9"/>
  <c r="C11188" i="9"/>
  <c r="B11188" i="9"/>
  <c r="H11187" i="9"/>
  <c r="G11187" i="9"/>
  <c r="E11187" i="9"/>
  <c r="D11187" i="9"/>
  <c r="C11187" i="9"/>
  <c r="B11187" i="9"/>
  <c r="H11186" i="9"/>
  <c r="G11186" i="9"/>
  <c r="E11186" i="9"/>
  <c r="D11186" i="9"/>
  <c r="C11186" i="9"/>
  <c r="B11186" i="9"/>
  <c r="H11185" i="9"/>
  <c r="G11185" i="9"/>
  <c r="E11185" i="9"/>
  <c r="D11185" i="9"/>
  <c r="C11185" i="9"/>
  <c r="B11185" i="9"/>
  <c r="H11184" i="9"/>
  <c r="G11184" i="9"/>
  <c r="E11184" i="9"/>
  <c r="D11184" i="9"/>
  <c r="C11184" i="9"/>
  <c r="B11184" i="9"/>
  <c r="H11183" i="9"/>
  <c r="G11183" i="9"/>
  <c r="E11183" i="9"/>
  <c r="D11183" i="9"/>
  <c r="C11183" i="9"/>
  <c r="B11183" i="9"/>
  <c r="H11182" i="9"/>
  <c r="G11182" i="9"/>
  <c r="E11182" i="9"/>
  <c r="D11182" i="9"/>
  <c r="C11182" i="9"/>
  <c r="B11182" i="9"/>
  <c r="H11181" i="9"/>
  <c r="G11181" i="9"/>
  <c r="E11181" i="9"/>
  <c r="D11181" i="9"/>
  <c r="C11181" i="9"/>
  <c r="B11181" i="9"/>
  <c r="H11180" i="9"/>
  <c r="G11180" i="9"/>
  <c r="E11180" i="9"/>
  <c r="D11180" i="9"/>
  <c r="C11180" i="9"/>
  <c r="B11180" i="9"/>
  <c r="H11179" i="9"/>
  <c r="G11179" i="9"/>
  <c r="E11179" i="9"/>
  <c r="D11179" i="9"/>
  <c r="C11179" i="9"/>
  <c r="B11179" i="9"/>
  <c r="H11178" i="9"/>
  <c r="G11178" i="9"/>
  <c r="E11178" i="9"/>
  <c r="D11178" i="9"/>
  <c r="C11178" i="9"/>
  <c r="B11178" i="9"/>
  <c r="H11177" i="9"/>
  <c r="G11177" i="9"/>
  <c r="E11177" i="9"/>
  <c r="D11177" i="9"/>
  <c r="C11177" i="9"/>
  <c r="B11177" i="9"/>
  <c r="H11176" i="9"/>
  <c r="G11176" i="9"/>
  <c r="E11176" i="9"/>
  <c r="D11176" i="9"/>
  <c r="C11176" i="9"/>
  <c r="B11176" i="9"/>
  <c r="H11175" i="9"/>
  <c r="G11175" i="9"/>
  <c r="E11175" i="9"/>
  <c r="D11175" i="9"/>
  <c r="C11175" i="9"/>
  <c r="B11175" i="9"/>
  <c r="H11174" i="9"/>
  <c r="G11174" i="9"/>
  <c r="E11174" i="9"/>
  <c r="D11174" i="9"/>
  <c r="C11174" i="9"/>
  <c r="B11174" i="9"/>
  <c r="H11173" i="9"/>
  <c r="G11173" i="9"/>
  <c r="E11173" i="9"/>
  <c r="D11173" i="9"/>
  <c r="C11173" i="9"/>
  <c r="B11173" i="9"/>
  <c r="H11172" i="9"/>
  <c r="G11172" i="9"/>
  <c r="E11172" i="9"/>
  <c r="D11172" i="9"/>
  <c r="C11172" i="9"/>
  <c r="B11172" i="9"/>
  <c r="H11171" i="9"/>
  <c r="G11171" i="9"/>
  <c r="E11171" i="9"/>
  <c r="D11171" i="9"/>
  <c r="C11171" i="9"/>
  <c r="B11171" i="9"/>
  <c r="H11170" i="9"/>
  <c r="G11170" i="9"/>
  <c r="E11170" i="9"/>
  <c r="D11170" i="9"/>
  <c r="C11170" i="9"/>
  <c r="B11170" i="9"/>
  <c r="H11169" i="9"/>
  <c r="G11169" i="9"/>
  <c r="E11169" i="9"/>
  <c r="D11169" i="9"/>
  <c r="C11169" i="9"/>
  <c r="B11169" i="9"/>
  <c r="H11168" i="9"/>
  <c r="G11168" i="9"/>
  <c r="E11168" i="9"/>
  <c r="D11168" i="9"/>
  <c r="C11168" i="9"/>
  <c r="B11168" i="9"/>
  <c r="H11167" i="9"/>
  <c r="G11167" i="9"/>
  <c r="E11167" i="9"/>
  <c r="D11167" i="9"/>
  <c r="C11167" i="9"/>
  <c r="B11167" i="9"/>
  <c r="H11166" i="9"/>
  <c r="G11166" i="9"/>
  <c r="E11166" i="9"/>
  <c r="D11166" i="9"/>
  <c r="C11166" i="9"/>
  <c r="B11166" i="9"/>
  <c r="H11165" i="9"/>
  <c r="G11165" i="9"/>
  <c r="E11165" i="9"/>
  <c r="D11165" i="9"/>
  <c r="C11165" i="9"/>
  <c r="B11165" i="9"/>
  <c r="H11164" i="9"/>
  <c r="G11164" i="9"/>
  <c r="E11164" i="9"/>
  <c r="D11164" i="9"/>
  <c r="C11164" i="9"/>
  <c r="B11164" i="9"/>
  <c r="H11163" i="9"/>
  <c r="G11163" i="9"/>
  <c r="E11163" i="9"/>
  <c r="D11163" i="9"/>
  <c r="C11163" i="9"/>
  <c r="B11163" i="9"/>
  <c r="H11162" i="9"/>
  <c r="G11162" i="9"/>
  <c r="E11162" i="9"/>
  <c r="D11162" i="9"/>
  <c r="C11162" i="9"/>
  <c r="B11162" i="9"/>
  <c r="H11161" i="9"/>
  <c r="G11161" i="9"/>
  <c r="E11161" i="9"/>
  <c r="D11161" i="9"/>
  <c r="C11161" i="9"/>
  <c r="B11161" i="9"/>
  <c r="H11160" i="9"/>
  <c r="G11160" i="9"/>
  <c r="E11160" i="9"/>
  <c r="D11160" i="9"/>
  <c r="C11160" i="9"/>
  <c r="B11160" i="9"/>
  <c r="H11159" i="9"/>
  <c r="G11159" i="9"/>
  <c r="E11159" i="9"/>
  <c r="D11159" i="9"/>
  <c r="C11159" i="9"/>
  <c r="B11159" i="9"/>
  <c r="H11158" i="9"/>
  <c r="G11158" i="9"/>
  <c r="E11158" i="9"/>
  <c r="D11158" i="9"/>
  <c r="C11158" i="9"/>
  <c r="B11158" i="9"/>
  <c r="H11157" i="9"/>
  <c r="G11157" i="9"/>
  <c r="E11157" i="9"/>
  <c r="D11157" i="9"/>
  <c r="C11157" i="9"/>
  <c r="B11157" i="9"/>
  <c r="H11156" i="9"/>
  <c r="G11156" i="9"/>
  <c r="E11156" i="9"/>
  <c r="D11156" i="9"/>
  <c r="C11156" i="9"/>
  <c r="B11156" i="9"/>
  <c r="H11155" i="9"/>
  <c r="G11155" i="9"/>
  <c r="E11155" i="9"/>
  <c r="D11155" i="9"/>
  <c r="C11155" i="9"/>
  <c r="B11155" i="9"/>
  <c r="H11154" i="9"/>
  <c r="G11154" i="9"/>
  <c r="E11154" i="9"/>
  <c r="D11154" i="9"/>
  <c r="C11154" i="9"/>
  <c r="B11154" i="9"/>
  <c r="H11153" i="9"/>
  <c r="G11153" i="9"/>
  <c r="E11153" i="9"/>
  <c r="D11153" i="9"/>
  <c r="C11153" i="9"/>
  <c r="B11153" i="9"/>
  <c r="H11152" i="9"/>
  <c r="G11152" i="9"/>
  <c r="E11152" i="9"/>
  <c r="D11152" i="9"/>
  <c r="C11152" i="9"/>
  <c r="B11152" i="9"/>
  <c r="H11151" i="9"/>
  <c r="G11151" i="9"/>
  <c r="E11151" i="9"/>
  <c r="D11151" i="9"/>
  <c r="C11151" i="9"/>
  <c r="B11151" i="9"/>
  <c r="H11150" i="9"/>
  <c r="G11150" i="9"/>
  <c r="E11150" i="9"/>
  <c r="D11150" i="9"/>
  <c r="C11150" i="9"/>
  <c r="B11150" i="9"/>
  <c r="H11149" i="9"/>
  <c r="G11149" i="9"/>
  <c r="E11149" i="9"/>
  <c r="D11149" i="9"/>
  <c r="C11149" i="9"/>
  <c r="B11149" i="9"/>
  <c r="H11148" i="9"/>
  <c r="G11148" i="9"/>
  <c r="E11148" i="9"/>
  <c r="D11148" i="9"/>
  <c r="C11148" i="9"/>
  <c r="B11148" i="9"/>
  <c r="H11147" i="9"/>
  <c r="G11147" i="9"/>
  <c r="E11147" i="9"/>
  <c r="D11147" i="9"/>
  <c r="C11147" i="9"/>
  <c r="B11147" i="9"/>
  <c r="H11146" i="9"/>
  <c r="G11146" i="9"/>
  <c r="E11146" i="9"/>
  <c r="D11146" i="9"/>
  <c r="C11146" i="9"/>
  <c r="B11146" i="9"/>
  <c r="H11145" i="9"/>
  <c r="G11145" i="9"/>
  <c r="E11145" i="9"/>
  <c r="D11145" i="9"/>
  <c r="C11145" i="9"/>
  <c r="B11145" i="9"/>
  <c r="H11144" i="9"/>
  <c r="G11144" i="9"/>
  <c r="E11144" i="9"/>
  <c r="D11144" i="9"/>
  <c r="C11144" i="9"/>
  <c r="B11144" i="9"/>
  <c r="H11143" i="9"/>
  <c r="G11143" i="9"/>
  <c r="E11143" i="9"/>
  <c r="D11143" i="9"/>
  <c r="C11143" i="9"/>
  <c r="B11143" i="9"/>
  <c r="H11142" i="9"/>
  <c r="G11142" i="9"/>
  <c r="E11142" i="9"/>
  <c r="D11142" i="9"/>
  <c r="C11142" i="9"/>
  <c r="B11142" i="9"/>
  <c r="H11141" i="9"/>
  <c r="G11141" i="9"/>
  <c r="E11141" i="9"/>
  <c r="D11141" i="9"/>
  <c r="C11141" i="9"/>
  <c r="B11141" i="9"/>
  <c r="H11140" i="9"/>
  <c r="G11140" i="9"/>
  <c r="E11140" i="9"/>
  <c r="D11140" i="9"/>
  <c r="C11140" i="9"/>
  <c r="B11140" i="9"/>
  <c r="H11139" i="9"/>
  <c r="G11139" i="9"/>
  <c r="E11139" i="9"/>
  <c r="D11139" i="9"/>
  <c r="C11139" i="9"/>
  <c r="B11139" i="9"/>
  <c r="H11138" i="9"/>
  <c r="G11138" i="9"/>
  <c r="E11138" i="9"/>
  <c r="D11138" i="9"/>
  <c r="C11138" i="9"/>
  <c r="B11138" i="9"/>
  <c r="H11137" i="9"/>
  <c r="G11137" i="9"/>
  <c r="E11137" i="9"/>
  <c r="D11137" i="9"/>
  <c r="C11137" i="9"/>
  <c r="B11137" i="9"/>
  <c r="H11136" i="9"/>
  <c r="G11136" i="9"/>
  <c r="E11136" i="9"/>
  <c r="D11136" i="9"/>
  <c r="C11136" i="9"/>
  <c r="B11136" i="9"/>
  <c r="H11135" i="9"/>
  <c r="G11135" i="9"/>
  <c r="E11135" i="9"/>
  <c r="D11135" i="9"/>
  <c r="C11135" i="9"/>
  <c r="B11135" i="9"/>
  <c r="H11134" i="9"/>
  <c r="G11134" i="9"/>
  <c r="E11134" i="9"/>
  <c r="D11134" i="9"/>
  <c r="C11134" i="9"/>
  <c r="B11134" i="9"/>
  <c r="H11133" i="9"/>
  <c r="G11133" i="9"/>
  <c r="E11133" i="9"/>
  <c r="D11133" i="9"/>
  <c r="C11133" i="9"/>
  <c r="B11133" i="9"/>
  <c r="H11132" i="9"/>
  <c r="G11132" i="9"/>
  <c r="E11132" i="9"/>
  <c r="D11132" i="9"/>
  <c r="C11132" i="9"/>
  <c r="B11132" i="9"/>
  <c r="H11131" i="9"/>
  <c r="G11131" i="9"/>
  <c r="E11131" i="9"/>
  <c r="D11131" i="9"/>
  <c r="C11131" i="9"/>
  <c r="B11131" i="9"/>
  <c r="H11130" i="9"/>
  <c r="G11130" i="9"/>
  <c r="E11130" i="9"/>
  <c r="D11130" i="9"/>
  <c r="C11130" i="9"/>
  <c r="B11130" i="9"/>
  <c r="H11129" i="9"/>
  <c r="G11129" i="9"/>
  <c r="E11129" i="9"/>
  <c r="D11129" i="9"/>
  <c r="C11129" i="9"/>
  <c r="B11129" i="9"/>
  <c r="H11128" i="9"/>
  <c r="G11128" i="9"/>
  <c r="E11128" i="9"/>
  <c r="D11128" i="9"/>
  <c r="C11128" i="9"/>
  <c r="B11128" i="9"/>
  <c r="H11127" i="9"/>
  <c r="G11127" i="9"/>
  <c r="E11127" i="9"/>
  <c r="D11127" i="9"/>
  <c r="C11127" i="9"/>
  <c r="B11127" i="9"/>
  <c r="H11126" i="9"/>
  <c r="G11126" i="9"/>
  <c r="E11126" i="9"/>
  <c r="D11126" i="9"/>
  <c r="C11126" i="9"/>
  <c r="B11126" i="9"/>
  <c r="H11125" i="9"/>
  <c r="G11125" i="9"/>
  <c r="E11125" i="9"/>
  <c r="D11125" i="9"/>
  <c r="C11125" i="9"/>
  <c r="B11125" i="9"/>
  <c r="H11124" i="9"/>
  <c r="G11124" i="9"/>
  <c r="E11124" i="9"/>
  <c r="D11124" i="9"/>
  <c r="C11124" i="9"/>
  <c r="B11124" i="9"/>
  <c r="H11123" i="9"/>
  <c r="G11123" i="9"/>
  <c r="E11123" i="9"/>
  <c r="D11123" i="9"/>
  <c r="C11123" i="9"/>
  <c r="B11123" i="9"/>
  <c r="H11122" i="9"/>
  <c r="G11122" i="9"/>
  <c r="E11122" i="9"/>
  <c r="D11122" i="9"/>
  <c r="C11122" i="9"/>
  <c r="B11122" i="9"/>
  <c r="H11121" i="9"/>
  <c r="G11121" i="9"/>
  <c r="E11121" i="9"/>
  <c r="D11121" i="9"/>
  <c r="C11121" i="9"/>
  <c r="B11121" i="9"/>
  <c r="H11120" i="9"/>
  <c r="G11120" i="9"/>
  <c r="E11120" i="9"/>
  <c r="D11120" i="9"/>
  <c r="C11120" i="9"/>
  <c r="B11120" i="9"/>
  <c r="H11119" i="9"/>
  <c r="G11119" i="9"/>
  <c r="E11119" i="9"/>
  <c r="D11119" i="9"/>
  <c r="C11119" i="9"/>
  <c r="B11119" i="9"/>
  <c r="H11118" i="9"/>
  <c r="G11118" i="9"/>
  <c r="E11118" i="9"/>
  <c r="D11118" i="9"/>
  <c r="C11118" i="9"/>
  <c r="B11118" i="9"/>
  <c r="H11117" i="9"/>
  <c r="G11117" i="9"/>
  <c r="E11117" i="9"/>
  <c r="D11117" i="9"/>
  <c r="C11117" i="9"/>
  <c r="B11117" i="9"/>
  <c r="H11116" i="9"/>
  <c r="G11116" i="9"/>
  <c r="E11116" i="9"/>
  <c r="D11116" i="9"/>
  <c r="C11116" i="9"/>
  <c r="B11116" i="9"/>
  <c r="H11115" i="9"/>
  <c r="G11115" i="9"/>
  <c r="E11115" i="9"/>
  <c r="D11115" i="9"/>
  <c r="C11115" i="9"/>
  <c r="B11115" i="9"/>
  <c r="H11114" i="9"/>
  <c r="G11114" i="9"/>
  <c r="E11114" i="9"/>
  <c r="D11114" i="9"/>
  <c r="C11114" i="9"/>
  <c r="B11114" i="9"/>
  <c r="H11113" i="9"/>
  <c r="G11113" i="9"/>
  <c r="E11113" i="9"/>
  <c r="D11113" i="9"/>
  <c r="C11113" i="9"/>
  <c r="B11113" i="9"/>
  <c r="H11112" i="9"/>
  <c r="G11112" i="9"/>
  <c r="E11112" i="9"/>
  <c r="D11112" i="9"/>
  <c r="C11112" i="9"/>
  <c r="B11112" i="9"/>
  <c r="H11111" i="9"/>
  <c r="G11111" i="9"/>
  <c r="E11111" i="9"/>
  <c r="D11111" i="9"/>
  <c r="C11111" i="9"/>
  <c r="B11111" i="9"/>
  <c r="H11110" i="9"/>
  <c r="G11110" i="9"/>
  <c r="E11110" i="9"/>
  <c r="D11110" i="9"/>
  <c r="C11110" i="9"/>
  <c r="B11110" i="9"/>
  <c r="H11109" i="9"/>
  <c r="G11109" i="9"/>
  <c r="E11109" i="9"/>
  <c r="D11109" i="9"/>
  <c r="C11109" i="9"/>
  <c r="B11109" i="9"/>
  <c r="H11108" i="9"/>
  <c r="G11108" i="9"/>
  <c r="E11108" i="9"/>
  <c r="D11108" i="9"/>
  <c r="C11108" i="9"/>
  <c r="B11108" i="9"/>
  <c r="H11107" i="9"/>
  <c r="G11107" i="9"/>
  <c r="E11107" i="9"/>
  <c r="D11107" i="9"/>
  <c r="C11107" i="9"/>
  <c r="B11107" i="9"/>
  <c r="H11106" i="9"/>
  <c r="G11106" i="9"/>
  <c r="E11106" i="9"/>
  <c r="D11106" i="9"/>
  <c r="C11106" i="9"/>
  <c r="B11106" i="9"/>
  <c r="H11105" i="9"/>
  <c r="G11105" i="9"/>
  <c r="E11105" i="9"/>
  <c r="D11105" i="9"/>
  <c r="C11105" i="9"/>
  <c r="B11105" i="9"/>
  <c r="H11104" i="9"/>
  <c r="G11104" i="9"/>
  <c r="E11104" i="9"/>
  <c r="D11104" i="9"/>
  <c r="C11104" i="9"/>
  <c r="B11104" i="9"/>
  <c r="H11103" i="9"/>
  <c r="G11103" i="9"/>
  <c r="E11103" i="9"/>
  <c r="D11103" i="9"/>
  <c r="C11103" i="9"/>
  <c r="B11103" i="9"/>
  <c r="H11102" i="9"/>
  <c r="G11102" i="9"/>
  <c r="E11102" i="9"/>
  <c r="D11102" i="9"/>
  <c r="C11102" i="9"/>
  <c r="B11102" i="9"/>
  <c r="H11101" i="9"/>
  <c r="G11101" i="9"/>
  <c r="E11101" i="9"/>
  <c r="D11101" i="9"/>
  <c r="C11101" i="9"/>
  <c r="B11101" i="9"/>
  <c r="H11100" i="9"/>
  <c r="G11100" i="9"/>
  <c r="E11100" i="9"/>
  <c r="D11100" i="9"/>
  <c r="C11100" i="9"/>
  <c r="B11100" i="9"/>
  <c r="H11099" i="9"/>
  <c r="G11099" i="9"/>
  <c r="E11099" i="9"/>
  <c r="D11099" i="9"/>
  <c r="C11099" i="9"/>
  <c r="B11099" i="9"/>
  <c r="H11098" i="9"/>
  <c r="G11098" i="9"/>
  <c r="E11098" i="9"/>
  <c r="D11098" i="9"/>
  <c r="C11098" i="9"/>
  <c r="B11098" i="9"/>
  <c r="H11097" i="9"/>
  <c r="G11097" i="9"/>
  <c r="E11097" i="9"/>
  <c r="D11097" i="9"/>
  <c r="C11097" i="9"/>
  <c r="B11097" i="9"/>
  <c r="H11096" i="9"/>
  <c r="G11096" i="9"/>
  <c r="E11096" i="9"/>
  <c r="D11096" i="9"/>
  <c r="C11096" i="9"/>
  <c r="B11096" i="9"/>
  <c r="H11095" i="9"/>
  <c r="G11095" i="9"/>
  <c r="E11095" i="9"/>
  <c r="D11095" i="9"/>
  <c r="C11095" i="9"/>
  <c r="B11095" i="9"/>
  <c r="H11094" i="9"/>
  <c r="G11094" i="9"/>
  <c r="E11094" i="9"/>
  <c r="D11094" i="9"/>
  <c r="C11094" i="9"/>
  <c r="B11094" i="9"/>
  <c r="H11093" i="9"/>
  <c r="G11093" i="9"/>
  <c r="E11093" i="9"/>
  <c r="D11093" i="9"/>
  <c r="C11093" i="9"/>
  <c r="B11093" i="9"/>
  <c r="H11092" i="9"/>
  <c r="G11092" i="9"/>
  <c r="E11092" i="9"/>
  <c r="D11092" i="9"/>
  <c r="C11092" i="9"/>
  <c r="B11092" i="9"/>
  <c r="H11091" i="9"/>
  <c r="G11091" i="9"/>
  <c r="E11091" i="9"/>
  <c r="D11091" i="9"/>
  <c r="C11091" i="9"/>
  <c r="B11091" i="9"/>
  <c r="H11090" i="9"/>
  <c r="G11090" i="9"/>
  <c r="E11090" i="9"/>
  <c r="D11090" i="9"/>
  <c r="C11090" i="9"/>
  <c r="B11090" i="9"/>
  <c r="H11089" i="9"/>
  <c r="G11089" i="9"/>
  <c r="E11089" i="9"/>
  <c r="D11089" i="9"/>
  <c r="C11089" i="9"/>
  <c r="B11089" i="9"/>
  <c r="H11088" i="9"/>
  <c r="G11088" i="9"/>
  <c r="E11088" i="9"/>
  <c r="D11088" i="9"/>
  <c r="C11088" i="9"/>
  <c r="B11088" i="9"/>
  <c r="H11087" i="9"/>
  <c r="G11087" i="9"/>
  <c r="E11087" i="9"/>
  <c r="D11087" i="9"/>
  <c r="C11087" i="9"/>
  <c r="B11087" i="9"/>
  <c r="H11086" i="9"/>
  <c r="G11086" i="9"/>
  <c r="E11086" i="9"/>
  <c r="D11086" i="9"/>
  <c r="C11086" i="9"/>
  <c r="B11086" i="9"/>
  <c r="H11085" i="9"/>
  <c r="G11085" i="9"/>
  <c r="E11085" i="9"/>
  <c r="D11085" i="9"/>
  <c r="C11085" i="9"/>
  <c r="B11085" i="9"/>
  <c r="H11084" i="9"/>
  <c r="G11084" i="9"/>
  <c r="E11084" i="9"/>
  <c r="D11084" i="9"/>
  <c r="C11084" i="9"/>
  <c r="B11084" i="9"/>
  <c r="H11083" i="9"/>
  <c r="G11083" i="9"/>
  <c r="E11083" i="9"/>
  <c r="D11083" i="9"/>
  <c r="C11083" i="9"/>
  <c r="B11083" i="9"/>
  <c r="H11082" i="9"/>
  <c r="G11082" i="9"/>
  <c r="E11082" i="9"/>
  <c r="D11082" i="9"/>
  <c r="C11082" i="9"/>
  <c r="B11082" i="9"/>
  <c r="H11081" i="9"/>
  <c r="G11081" i="9"/>
  <c r="E11081" i="9"/>
  <c r="D11081" i="9"/>
  <c r="C11081" i="9"/>
  <c r="B11081" i="9"/>
  <c r="H11080" i="9"/>
  <c r="G11080" i="9"/>
  <c r="E11080" i="9"/>
  <c r="D11080" i="9"/>
  <c r="C11080" i="9"/>
  <c r="B11080" i="9"/>
  <c r="H11079" i="9"/>
  <c r="G11079" i="9"/>
  <c r="E11079" i="9"/>
  <c r="D11079" i="9"/>
  <c r="C11079" i="9"/>
  <c r="B11079" i="9"/>
  <c r="H11078" i="9"/>
  <c r="G11078" i="9"/>
  <c r="E11078" i="9"/>
  <c r="D11078" i="9"/>
  <c r="C11078" i="9"/>
  <c r="B11078" i="9"/>
  <c r="H11077" i="9"/>
  <c r="G11077" i="9"/>
  <c r="E11077" i="9"/>
  <c r="D11077" i="9"/>
  <c r="C11077" i="9"/>
  <c r="B11077" i="9"/>
  <c r="H11076" i="9"/>
  <c r="G11076" i="9"/>
  <c r="E11076" i="9"/>
  <c r="D11076" i="9"/>
  <c r="C11076" i="9"/>
  <c r="B11076" i="9"/>
  <c r="H11075" i="9"/>
  <c r="G11075" i="9"/>
  <c r="E11075" i="9"/>
  <c r="D11075" i="9"/>
  <c r="C11075" i="9"/>
  <c r="B11075" i="9"/>
  <c r="H11074" i="9"/>
  <c r="G11074" i="9"/>
  <c r="E11074" i="9"/>
  <c r="D11074" i="9"/>
  <c r="C11074" i="9"/>
  <c r="B11074" i="9"/>
  <c r="H11073" i="9"/>
  <c r="G11073" i="9"/>
  <c r="E11073" i="9"/>
  <c r="D11073" i="9"/>
  <c r="C11073" i="9"/>
  <c r="B11073" i="9"/>
  <c r="H11072" i="9"/>
  <c r="G11072" i="9"/>
  <c r="E11072" i="9"/>
  <c r="D11072" i="9"/>
  <c r="C11072" i="9"/>
  <c r="B11072" i="9"/>
  <c r="H11071" i="9"/>
  <c r="G11071" i="9"/>
  <c r="E11071" i="9"/>
  <c r="D11071" i="9"/>
  <c r="C11071" i="9"/>
  <c r="B11071" i="9"/>
  <c r="H11070" i="9"/>
  <c r="G11070" i="9"/>
  <c r="E11070" i="9"/>
  <c r="D11070" i="9"/>
  <c r="C11070" i="9"/>
  <c r="B11070" i="9"/>
  <c r="H11069" i="9"/>
  <c r="G11069" i="9"/>
  <c r="E11069" i="9"/>
  <c r="D11069" i="9"/>
  <c r="C11069" i="9"/>
  <c r="B11069" i="9"/>
  <c r="H11068" i="9"/>
  <c r="G11068" i="9"/>
  <c r="E11068" i="9"/>
  <c r="D11068" i="9"/>
  <c r="C11068" i="9"/>
  <c r="B11068" i="9"/>
  <c r="H11067" i="9"/>
  <c r="G11067" i="9"/>
  <c r="E11067" i="9"/>
  <c r="D11067" i="9"/>
  <c r="C11067" i="9"/>
  <c r="B11067" i="9"/>
  <c r="H11066" i="9"/>
  <c r="G11066" i="9"/>
  <c r="E11066" i="9"/>
  <c r="D11066" i="9"/>
  <c r="C11066" i="9"/>
  <c r="B11066" i="9"/>
  <c r="H11065" i="9"/>
  <c r="G11065" i="9"/>
  <c r="E11065" i="9"/>
  <c r="D11065" i="9"/>
  <c r="C11065" i="9"/>
  <c r="B11065" i="9"/>
  <c r="H11064" i="9"/>
  <c r="G11064" i="9"/>
  <c r="E11064" i="9"/>
  <c r="D11064" i="9"/>
  <c r="C11064" i="9"/>
  <c r="B11064" i="9"/>
  <c r="H11063" i="9"/>
  <c r="G11063" i="9"/>
  <c r="E11063" i="9"/>
  <c r="D11063" i="9"/>
  <c r="C11063" i="9"/>
  <c r="B11063" i="9"/>
  <c r="H11062" i="9"/>
  <c r="G11062" i="9"/>
  <c r="E11062" i="9"/>
  <c r="D11062" i="9"/>
  <c r="C11062" i="9"/>
  <c r="B11062" i="9"/>
  <c r="H11061" i="9"/>
  <c r="G11061" i="9"/>
  <c r="E11061" i="9"/>
  <c r="D11061" i="9"/>
  <c r="C11061" i="9"/>
  <c r="B11061" i="9"/>
  <c r="H11060" i="9"/>
  <c r="G11060" i="9"/>
  <c r="E11060" i="9"/>
  <c r="D11060" i="9"/>
  <c r="C11060" i="9"/>
  <c r="B11060" i="9"/>
  <c r="H11059" i="9"/>
  <c r="G11059" i="9"/>
  <c r="E11059" i="9"/>
  <c r="D11059" i="9"/>
  <c r="C11059" i="9"/>
  <c r="B11059" i="9"/>
  <c r="H11058" i="9"/>
  <c r="G11058" i="9"/>
  <c r="E11058" i="9"/>
  <c r="D11058" i="9"/>
  <c r="C11058" i="9"/>
  <c r="B11058" i="9"/>
  <c r="H11057" i="9"/>
  <c r="G11057" i="9"/>
  <c r="E11057" i="9"/>
  <c r="D11057" i="9"/>
  <c r="C11057" i="9"/>
  <c r="B11057" i="9"/>
  <c r="H11056" i="9"/>
  <c r="G11056" i="9"/>
  <c r="E11056" i="9"/>
  <c r="D11056" i="9"/>
  <c r="C11056" i="9"/>
  <c r="B11056" i="9"/>
  <c r="H11055" i="9"/>
  <c r="G11055" i="9"/>
  <c r="E11055" i="9"/>
  <c r="D11055" i="9"/>
  <c r="C11055" i="9"/>
  <c r="B11055" i="9"/>
  <c r="H11054" i="9"/>
  <c r="G11054" i="9"/>
  <c r="E11054" i="9"/>
  <c r="D11054" i="9"/>
  <c r="C11054" i="9"/>
  <c r="B11054" i="9"/>
  <c r="H11053" i="9"/>
  <c r="G11053" i="9"/>
  <c r="E11053" i="9"/>
  <c r="D11053" i="9"/>
  <c r="C11053" i="9"/>
  <c r="B11053" i="9"/>
  <c r="H11052" i="9"/>
  <c r="G11052" i="9"/>
  <c r="E11052" i="9"/>
  <c r="D11052" i="9"/>
  <c r="C11052" i="9"/>
  <c r="B11052" i="9"/>
  <c r="H11051" i="9"/>
  <c r="G11051" i="9"/>
  <c r="E11051" i="9"/>
  <c r="D11051" i="9"/>
  <c r="C11051" i="9"/>
  <c r="B11051" i="9"/>
  <c r="H11050" i="9"/>
  <c r="G11050" i="9"/>
  <c r="E11050" i="9"/>
  <c r="D11050" i="9"/>
  <c r="C11050" i="9"/>
  <c r="B11050" i="9"/>
  <c r="H11049" i="9"/>
  <c r="G11049" i="9"/>
  <c r="E11049" i="9"/>
  <c r="D11049" i="9"/>
  <c r="C11049" i="9"/>
  <c r="B11049" i="9"/>
  <c r="H11048" i="9"/>
  <c r="G11048" i="9"/>
  <c r="E11048" i="9"/>
  <c r="D11048" i="9"/>
  <c r="C11048" i="9"/>
  <c r="B11048" i="9"/>
  <c r="H11047" i="9"/>
  <c r="G11047" i="9"/>
  <c r="E11047" i="9"/>
  <c r="D11047" i="9"/>
  <c r="C11047" i="9"/>
  <c r="B11047" i="9"/>
  <c r="H11046" i="9"/>
  <c r="G11046" i="9"/>
  <c r="E11046" i="9"/>
  <c r="D11046" i="9"/>
  <c r="C11046" i="9"/>
  <c r="B11046" i="9"/>
  <c r="H11045" i="9"/>
  <c r="G11045" i="9"/>
  <c r="E11045" i="9"/>
  <c r="D11045" i="9"/>
  <c r="C11045" i="9"/>
  <c r="B11045" i="9"/>
  <c r="H11044" i="9"/>
  <c r="G11044" i="9"/>
  <c r="E11044" i="9"/>
  <c r="D11044" i="9"/>
  <c r="C11044" i="9"/>
  <c r="B11044" i="9"/>
  <c r="H11043" i="9"/>
  <c r="G11043" i="9"/>
  <c r="E11043" i="9"/>
  <c r="D11043" i="9"/>
  <c r="C11043" i="9"/>
  <c r="B11043" i="9"/>
  <c r="H11042" i="9"/>
  <c r="G11042" i="9"/>
  <c r="E11042" i="9"/>
  <c r="D11042" i="9"/>
  <c r="C11042" i="9"/>
  <c r="B11042" i="9"/>
  <c r="H11041" i="9"/>
  <c r="G11041" i="9"/>
  <c r="E11041" i="9"/>
  <c r="D11041" i="9"/>
  <c r="C11041" i="9"/>
  <c r="B11041" i="9"/>
  <c r="H11040" i="9"/>
  <c r="G11040" i="9"/>
  <c r="E11040" i="9"/>
  <c r="D11040" i="9"/>
  <c r="C11040" i="9"/>
  <c r="B11040" i="9"/>
  <c r="H11039" i="9"/>
  <c r="G11039" i="9"/>
  <c r="E11039" i="9"/>
  <c r="D11039" i="9"/>
  <c r="C11039" i="9"/>
  <c r="B11039" i="9"/>
  <c r="H11038" i="9"/>
  <c r="G11038" i="9"/>
  <c r="E11038" i="9"/>
  <c r="D11038" i="9"/>
  <c r="C11038" i="9"/>
  <c r="B11038" i="9"/>
  <c r="H11037" i="9"/>
  <c r="G11037" i="9"/>
  <c r="E11037" i="9"/>
  <c r="D11037" i="9"/>
  <c r="C11037" i="9"/>
  <c r="B11037" i="9"/>
  <c r="H11036" i="9"/>
  <c r="G11036" i="9"/>
  <c r="E11036" i="9"/>
  <c r="D11036" i="9"/>
  <c r="C11036" i="9"/>
  <c r="B11036" i="9"/>
  <c r="H11035" i="9"/>
  <c r="G11035" i="9"/>
  <c r="E11035" i="9"/>
  <c r="D11035" i="9"/>
  <c r="C11035" i="9"/>
  <c r="B11035" i="9"/>
  <c r="H11034" i="9"/>
  <c r="G11034" i="9"/>
  <c r="E11034" i="9"/>
  <c r="D11034" i="9"/>
  <c r="C11034" i="9"/>
  <c r="B11034" i="9"/>
  <c r="H11033" i="9"/>
  <c r="G11033" i="9"/>
  <c r="E11033" i="9"/>
  <c r="D11033" i="9"/>
  <c r="C11033" i="9"/>
  <c r="B11033" i="9"/>
  <c r="H11032" i="9"/>
  <c r="G11032" i="9"/>
  <c r="E11032" i="9"/>
  <c r="D11032" i="9"/>
  <c r="C11032" i="9"/>
  <c r="B11032" i="9"/>
  <c r="H11031" i="9"/>
  <c r="G11031" i="9"/>
  <c r="E11031" i="9"/>
  <c r="D11031" i="9"/>
  <c r="C11031" i="9"/>
  <c r="B11031" i="9"/>
  <c r="H11030" i="9"/>
  <c r="G11030" i="9"/>
  <c r="E11030" i="9"/>
  <c r="D11030" i="9"/>
  <c r="C11030" i="9"/>
  <c r="B11030" i="9"/>
  <c r="H11029" i="9"/>
  <c r="G11029" i="9"/>
  <c r="E11029" i="9"/>
  <c r="D11029" i="9"/>
  <c r="C11029" i="9"/>
  <c r="B11029" i="9"/>
  <c r="H11028" i="9"/>
  <c r="G11028" i="9"/>
  <c r="E11028" i="9"/>
  <c r="D11028" i="9"/>
  <c r="C11028" i="9"/>
  <c r="B11028" i="9"/>
  <c r="H11027" i="9"/>
  <c r="G11027" i="9"/>
  <c r="E11027" i="9"/>
  <c r="D11027" i="9"/>
  <c r="C11027" i="9"/>
  <c r="B11027" i="9"/>
  <c r="H11026" i="9"/>
  <c r="G11026" i="9"/>
  <c r="E11026" i="9"/>
  <c r="D11026" i="9"/>
  <c r="C11026" i="9"/>
  <c r="B11026" i="9"/>
  <c r="H11025" i="9"/>
  <c r="G11025" i="9"/>
  <c r="E11025" i="9"/>
  <c r="D11025" i="9"/>
  <c r="C11025" i="9"/>
  <c r="B11025" i="9"/>
  <c r="H11024" i="9"/>
  <c r="G11024" i="9"/>
  <c r="E11024" i="9"/>
  <c r="D11024" i="9"/>
  <c r="C11024" i="9"/>
  <c r="B11024" i="9"/>
  <c r="H11023" i="9"/>
  <c r="G11023" i="9"/>
  <c r="E11023" i="9"/>
  <c r="D11023" i="9"/>
  <c r="C11023" i="9"/>
  <c r="B11023" i="9"/>
  <c r="H11022" i="9"/>
  <c r="G11022" i="9"/>
  <c r="E11022" i="9"/>
  <c r="D11022" i="9"/>
  <c r="C11022" i="9"/>
  <c r="B11022" i="9"/>
  <c r="H11021" i="9"/>
  <c r="G11021" i="9"/>
  <c r="E11021" i="9"/>
  <c r="D11021" i="9"/>
  <c r="C11021" i="9"/>
  <c r="B11021" i="9"/>
  <c r="H11020" i="9"/>
  <c r="G11020" i="9"/>
  <c r="E11020" i="9"/>
  <c r="D11020" i="9"/>
  <c r="C11020" i="9"/>
  <c r="B11020" i="9"/>
  <c r="H11019" i="9"/>
  <c r="G11019" i="9"/>
  <c r="E11019" i="9"/>
  <c r="D11019" i="9"/>
  <c r="C11019" i="9"/>
  <c r="B11019" i="9"/>
  <c r="H11018" i="9"/>
  <c r="G11018" i="9"/>
  <c r="E11018" i="9"/>
  <c r="D11018" i="9"/>
  <c r="C11018" i="9"/>
  <c r="B11018" i="9"/>
  <c r="H11017" i="9"/>
  <c r="G11017" i="9"/>
  <c r="E11017" i="9"/>
  <c r="D11017" i="9"/>
  <c r="C11017" i="9"/>
  <c r="B11017" i="9"/>
  <c r="H11016" i="9"/>
  <c r="G11016" i="9"/>
  <c r="E11016" i="9"/>
  <c r="D11016" i="9"/>
  <c r="C11016" i="9"/>
  <c r="B11016" i="9"/>
  <c r="H11015" i="9"/>
  <c r="G11015" i="9"/>
  <c r="E11015" i="9"/>
  <c r="D11015" i="9"/>
  <c r="C11015" i="9"/>
  <c r="B11015" i="9"/>
  <c r="H11014" i="9"/>
  <c r="G11014" i="9"/>
  <c r="E11014" i="9"/>
  <c r="D11014" i="9"/>
  <c r="C11014" i="9"/>
  <c r="B11014" i="9"/>
  <c r="H11013" i="9"/>
  <c r="G11013" i="9"/>
  <c r="E11013" i="9"/>
  <c r="D11013" i="9"/>
  <c r="C11013" i="9"/>
  <c r="B11013" i="9"/>
  <c r="H11012" i="9"/>
  <c r="G11012" i="9"/>
  <c r="E11012" i="9"/>
  <c r="D11012" i="9"/>
  <c r="C11012" i="9"/>
  <c r="B11012" i="9"/>
  <c r="H11011" i="9"/>
  <c r="G11011" i="9"/>
  <c r="E11011" i="9"/>
  <c r="D11011" i="9"/>
  <c r="C11011" i="9"/>
  <c r="B11011" i="9"/>
  <c r="H11010" i="9"/>
  <c r="G11010" i="9"/>
  <c r="E11010" i="9"/>
  <c r="D11010" i="9"/>
  <c r="C11010" i="9"/>
  <c r="B11010" i="9"/>
  <c r="H11009" i="9"/>
  <c r="G11009" i="9"/>
  <c r="E11009" i="9"/>
  <c r="D11009" i="9"/>
  <c r="C11009" i="9"/>
  <c r="B11009" i="9"/>
  <c r="H11008" i="9"/>
  <c r="G11008" i="9"/>
  <c r="E11008" i="9"/>
  <c r="D11008" i="9"/>
  <c r="C11008" i="9"/>
  <c r="B11008" i="9"/>
  <c r="H11007" i="9"/>
  <c r="G11007" i="9"/>
  <c r="E11007" i="9"/>
  <c r="D11007" i="9"/>
  <c r="C11007" i="9"/>
  <c r="B11007" i="9"/>
  <c r="H11006" i="9"/>
  <c r="G11006" i="9"/>
  <c r="E11006" i="9"/>
  <c r="D11006" i="9"/>
  <c r="C11006" i="9"/>
  <c r="B11006" i="9"/>
  <c r="H11005" i="9"/>
  <c r="G11005" i="9"/>
  <c r="E11005" i="9"/>
  <c r="D11005" i="9"/>
  <c r="C11005" i="9"/>
  <c r="B11005" i="9"/>
  <c r="H11004" i="9"/>
  <c r="G11004" i="9"/>
  <c r="E11004" i="9"/>
  <c r="D11004" i="9"/>
  <c r="C11004" i="9"/>
  <c r="B11004" i="9"/>
  <c r="H11003" i="9"/>
  <c r="G11003" i="9"/>
  <c r="E11003" i="9"/>
  <c r="D11003" i="9"/>
  <c r="C11003" i="9"/>
  <c r="B11003" i="9"/>
  <c r="H11002" i="9"/>
  <c r="G11002" i="9"/>
  <c r="E11002" i="9"/>
  <c r="D11002" i="9"/>
  <c r="C11002" i="9"/>
  <c r="B11002" i="9"/>
  <c r="H11001" i="9"/>
  <c r="G11001" i="9"/>
  <c r="E11001" i="9"/>
  <c r="D11001" i="9"/>
  <c r="C11001" i="9"/>
  <c r="B11001" i="9"/>
  <c r="H11000" i="9"/>
  <c r="G11000" i="9"/>
  <c r="E11000" i="9"/>
  <c r="D11000" i="9"/>
  <c r="C11000" i="9"/>
  <c r="B11000" i="9"/>
  <c r="H10999" i="9"/>
  <c r="G10999" i="9"/>
  <c r="E10999" i="9"/>
  <c r="D10999" i="9"/>
  <c r="C10999" i="9"/>
  <c r="B10999" i="9"/>
  <c r="H10998" i="9"/>
  <c r="G10998" i="9"/>
  <c r="E10998" i="9"/>
  <c r="D10998" i="9"/>
  <c r="C10998" i="9"/>
  <c r="B10998" i="9"/>
  <c r="H10997" i="9"/>
  <c r="G10997" i="9"/>
  <c r="E10997" i="9"/>
  <c r="D10997" i="9"/>
  <c r="C10997" i="9"/>
  <c r="B10997" i="9"/>
  <c r="H10996" i="9"/>
  <c r="G10996" i="9"/>
  <c r="E10996" i="9"/>
  <c r="D10996" i="9"/>
  <c r="C10996" i="9"/>
  <c r="B10996" i="9"/>
  <c r="H10995" i="9"/>
  <c r="G10995" i="9"/>
  <c r="E10995" i="9"/>
  <c r="D10995" i="9"/>
  <c r="C10995" i="9"/>
  <c r="B10995" i="9"/>
  <c r="H10994" i="9"/>
  <c r="G10994" i="9"/>
  <c r="E10994" i="9"/>
  <c r="D10994" i="9"/>
  <c r="C10994" i="9"/>
  <c r="B10994" i="9"/>
  <c r="H10993" i="9"/>
  <c r="G10993" i="9"/>
  <c r="E10993" i="9"/>
  <c r="D10993" i="9"/>
  <c r="C10993" i="9"/>
  <c r="B10993" i="9"/>
  <c r="H10992" i="9"/>
  <c r="G10992" i="9"/>
  <c r="E10992" i="9"/>
  <c r="D10992" i="9"/>
  <c r="C10992" i="9"/>
  <c r="B10992" i="9"/>
  <c r="H10991" i="9"/>
  <c r="G10991" i="9"/>
  <c r="E10991" i="9"/>
  <c r="D10991" i="9"/>
  <c r="C10991" i="9"/>
  <c r="B10991" i="9"/>
  <c r="H10990" i="9"/>
  <c r="G10990" i="9"/>
  <c r="E10990" i="9"/>
  <c r="D10990" i="9"/>
  <c r="C10990" i="9"/>
  <c r="B10990" i="9"/>
  <c r="H10989" i="9"/>
  <c r="G10989" i="9"/>
  <c r="E10989" i="9"/>
  <c r="D10989" i="9"/>
  <c r="C10989" i="9"/>
  <c r="B10989" i="9"/>
  <c r="H10988" i="9"/>
  <c r="G10988" i="9"/>
  <c r="E10988" i="9"/>
  <c r="D10988" i="9"/>
  <c r="C10988" i="9"/>
  <c r="B10988" i="9"/>
  <c r="H10987" i="9"/>
  <c r="G10987" i="9"/>
  <c r="E10987" i="9"/>
  <c r="D10987" i="9"/>
  <c r="C10987" i="9"/>
  <c r="B10987" i="9"/>
  <c r="H10986" i="9"/>
  <c r="G10986" i="9"/>
  <c r="E10986" i="9"/>
  <c r="D10986" i="9"/>
  <c r="C10986" i="9"/>
  <c r="B10986" i="9"/>
  <c r="H10985" i="9"/>
  <c r="G10985" i="9"/>
  <c r="E10985" i="9"/>
  <c r="D10985" i="9"/>
  <c r="C10985" i="9"/>
  <c r="B10985" i="9"/>
  <c r="H10984" i="9"/>
  <c r="G10984" i="9"/>
  <c r="E10984" i="9"/>
  <c r="D10984" i="9"/>
  <c r="C10984" i="9"/>
  <c r="B10984" i="9"/>
  <c r="H10983" i="9"/>
  <c r="G10983" i="9"/>
  <c r="E10983" i="9"/>
  <c r="D10983" i="9"/>
  <c r="C10983" i="9"/>
  <c r="B10983" i="9"/>
  <c r="H10982" i="9"/>
  <c r="G10982" i="9"/>
  <c r="E10982" i="9"/>
  <c r="D10982" i="9"/>
  <c r="C10982" i="9"/>
  <c r="B10982" i="9"/>
  <c r="H10981" i="9"/>
  <c r="G10981" i="9"/>
  <c r="E10981" i="9"/>
  <c r="D10981" i="9"/>
  <c r="C10981" i="9"/>
  <c r="B10981" i="9"/>
  <c r="H10980" i="9"/>
  <c r="G10980" i="9"/>
  <c r="E10980" i="9"/>
  <c r="D10980" i="9"/>
  <c r="C10980" i="9"/>
  <c r="B10980" i="9"/>
  <c r="H10979" i="9"/>
  <c r="G10979" i="9"/>
  <c r="E10979" i="9"/>
  <c r="D10979" i="9"/>
  <c r="C10979" i="9"/>
  <c r="B10979" i="9"/>
  <c r="H10978" i="9"/>
  <c r="G10978" i="9"/>
  <c r="E10978" i="9"/>
  <c r="D10978" i="9"/>
  <c r="C10978" i="9"/>
  <c r="B10978" i="9"/>
  <c r="H10977" i="9"/>
  <c r="G10977" i="9"/>
  <c r="E10977" i="9"/>
  <c r="D10977" i="9"/>
  <c r="C10977" i="9"/>
  <c r="B10977" i="9"/>
  <c r="H10976" i="9"/>
  <c r="G10976" i="9"/>
  <c r="E10976" i="9"/>
  <c r="D10976" i="9"/>
  <c r="C10976" i="9"/>
  <c r="B10976" i="9"/>
  <c r="H10975" i="9"/>
  <c r="G10975" i="9"/>
  <c r="E10975" i="9"/>
  <c r="D10975" i="9"/>
  <c r="C10975" i="9"/>
  <c r="B10975" i="9"/>
  <c r="H10974" i="9"/>
  <c r="G10974" i="9"/>
  <c r="E10974" i="9"/>
  <c r="D10974" i="9"/>
  <c r="C10974" i="9"/>
  <c r="B10974" i="9"/>
  <c r="H10973" i="9"/>
  <c r="G10973" i="9"/>
  <c r="E10973" i="9"/>
  <c r="D10973" i="9"/>
  <c r="C10973" i="9"/>
  <c r="B10973" i="9"/>
  <c r="H10972" i="9"/>
  <c r="G10972" i="9"/>
  <c r="E10972" i="9"/>
  <c r="D10972" i="9"/>
  <c r="C10972" i="9"/>
  <c r="B10972" i="9"/>
  <c r="H10971" i="9"/>
  <c r="G10971" i="9"/>
  <c r="E10971" i="9"/>
  <c r="D10971" i="9"/>
  <c r="C10971" i="9"/>
  <c r="B10971" i="9"/>
  <c r="H10970" i="9"/>
  <c r="G10970" i="9"/>
  <c r="E10970" i="9"/>
  <c r="D10970" i="9"/>
  <c r="C10970" i="9"/>
  <c r="B10970" i="9"/>
  <c r="H10969" i="9"/>
  <c r="G10969" i="9"/>
  <c r="E10969" i="9"/>
  <c r="D10969" i="9"/>
  <c r="C10969" i="9"/>
  <c r="B10969" i="9"/>
  <c r="H10968" i="9"/>
  <c r="G10968" i="9"/>
  <c r="E10968" i="9"/>
  <c r="D10968" i="9"/>
  <c r="C10968" i="9"/>
  <c r="B10968" i="9"/>
  <c r="H10967" i="9"/>
  <c r="G10967" i="9"/>
  <c r="E10967" i="9"/>
  <c r="D10967" i="9"/>
  <c r="C10967" i="9"/>
  <c r="B10967" i="9"/>
  <c r="H10966" i="9"/>
  <c r="G10966" i="9"/>
  <c r="E10966" i="9"/>
  <c r="D10966" i="9"/>
  <c r="C10966" i="9"/>
  <c r="B10966" i="9"/>
  <c r="H10965" i="9"/>
  <c r="G10965" i="9"/>
  <c r="E10965" i="9"/>
  <c r="D10965" i="9"/>
  <c r="C10965" i="9"/>
  <c r="B10965" i="9"/>
  <c r="H10964" i="9"/>
  <c r="G10964" i="9"/>
  <c r="E10964" i="9"/>
  <c r="D10964" i="9"/>
  <c r="C10964" i="9"/>
  <c r="B10964" i="9"/>
  <c r="H10963" i="9"/>
  <c r="G10963" i="9"/>
  <c r="E10963" i="9"/>
  <c r="D10963" i="9"/>
  <c r="C10963" i="9"/>
  <c r="B10963" i="9"/>
  <c r="H10962" i="9"/>
  <c r="G10962" i="9"/>
  <c r="E10962" i="9"/>
  <c r="D10962" i="9"/>
  <c r="C10962" i="9"/>
  <c r="B10962" i="9"/>
  <c r="H10961" i="9"/>
  <c r="G10961" i="9"/>
  <c r="E10961" i="9"/>
  <c r="D10961" i="9"/>
  <c r="C10961" i="9"/>
  <c r="B10961" i="9"/>
  <c r="H10960" i="9"/>
  <c r="G10960" i="9"/>
  <c r="E10960" i="9"/>
  <c r="D10960" i="9"/>
  <c r="C10960" i="9"/>
  <c r="B10960" i="9"/>
  <c r="H10959" i="9"/>
  <c r="G10959" i="9"/>
  <c r="E10959" i="9"/>
  <c r="D10959" i="9"/>
  <c r="C10959" i="9"/>
  <c r="B10959" i="9"/>
  <c r="H10958" i="9"/>
  <c r="G10958" i="9"/>
  <c r="E10958" i="9"/>
  <c r="D10958" i="9"/>
  <c r="C10958" i="9"/>
  <c r="B10958" i="9"/>
  <c r="H10957" i="9"/>
  <c r="G10957" i="9"/>
  <c r="E10957" i="9"/>
  <c r="D10957" i="9"/>
  <c r="C10957" i="9"/>
  <c r="B10957" i="9"/>
  <c r="H10956" i="9"/>
  <c r="G10956" i="9"/>
  <c r="E10956" i="9"/>
  <c r="D10956" i="9"/>
  <c r="C10956" i="9"/>
  <c r="B10956" i="9"/>
  <c r="H10955" i="9"/>
  <c r="G10955" i="9"/>
  <c r="E10955" i="9"/>
  <c r="D10955" i="9"/>
  <c r="C10955" i="9"/>
  <c r="B10955" i="9"/>
  <c r="H10954" i="9"/>
  <c r="G10954" i="9"/>
  <c r="E10954" i="9"/>
  <c r="D10954" i="9"/>
  <c r="C10954" i="9"/>
  <c r="B10954" i="9"/>
  <c r="H10953" i="9"/>
  <c r="G10953" i="9"/>
  <c r="E10953" i="9"/>
  <c r="D10953" i="9"/>
  <c r="C10953" i="9"/>
  <c r="B10953" i="9"/>
  <c r="H10952" i="9"/>
  <c r="G10952" i="9"/>
  <c r="E10952" i="9"/>
  <c r="D10952" i="9"/>
  <c r="C10952" i="9"/>
  <c r="B10952" i="9"/>
  <c r="H10951" i="9"/>
  <c r="G10951" i="9"/>
  <c r="E10951" i="9"/>
  <c r="D10951" i="9"/>
  <c r="C10951" i="9"/>
  <c r="B10951" i="9"/>
  <c r="H10950" i="9"/>
  <c r="G10950" i="9"/>
  <c r="E10950" i="9"/>
  <c r="D10950" i="9"/>
  <c r="C10950" i="9"/>
  <c r="B10950" i="9"/>
  <c r="H10949" i="9"/>
  <c r="G10949" i="9"/>
  <c r="E10949" i="9"/>
  <c r="D10949" i="9"/>
  <c r="C10949" i="9"/>
  <c r="B10949" i="9"/>
  <c r="H10948" i="9"/>
  <c r="G10948" i="9"/>
  <c r="E10948" i="9"/>
  <c r="D10948" i="9"/>
  <c r="C10948" i="9"/>
  <c r="B10948" i="9"/>
  <c r="H10947" i="9"/>
  <c r="G10947" i="9"/>
  <c r="E10947" i="9"/>
  <c r="D10947" i="9"/>
  <c r="C10947" i="9"/>
  <c r="B10947" i="9"/>
  <c r="H10946" i="9"/>
  <c r="G10946" i="9"/>
  <c r="E10946" i="9"/>
  <c r="D10946" i="9"/>
  <c r="C10946" i="9"/>
  <c r="B10946" i="9"/>
  <c r="H10945" i="9"/>
  <c r="G10945" i="9"/>
  <c r="E10945" i="9"/>
  <c r="D10945" i="9"/>
  <c r="C10945" i="9"/>
  <c r="B10945" i="9"/>
  <c r="H10944" i="9"/>
  <c r="G10944" i="9"/>
  <c r="E10944" i="9"/>
  <c r="D10944" i="9"/>
  <c r="C10944" i="9"/>
  <c r="B10944" i="9"/>
  <c r="H10943" i="9"/>
  <c r="G10943" i="9"/>
  <c r="E10943" i="9"/>
  <c r="D10943" i="9"/>
  <c r="C10943" i="9"/>
  <c r="B10943" i="9"/>
  <c r="H10942" i="9"/>
  <c r="G10942" i="9"/>
  <c r="E10942" i="9"/>
  <c r="D10942" i="9"/>
  <c r="C10942" i="9"/>
  <c r="B10942" i="9"/>
  <c r="H10941" i="9"/>
  <c r="G10941" i="9"/>
  <c r="E10941" i="9"/>
  <c r="D10941" i="9"/>
  <c r="C10941" i="9"/>
  <c r="B10941" i="9"/>
  <c r="H10940" i="9"/>
  <c r="G10940" i="9"/>
  <c r="E10940" i="9"/>
  <c r="D10940" i="9"/>
  <c r="C10940" i="9"/>
  <c r="B10940" i="9"/>
  <c r="H10939" i="9"/>
  <c r="G10939" i="9"/>
  <c r="E10939" i="9"/>
  <c r="D10939" i="9"/>
  <c r="C10939" i="9"/>
  <c r="B10939" i="9"/>
  <c r="H10938" i="9"/>
  <c r="G10938" i="9"/>
  <c r="E10938" i="9"/>
  <c r="D10938" i="9"/>
  <c r="C10938" i="9"/>
  <c r="B10938" i="9"/>
  <c r="H10937" i="9"/>
  <c r="G10937" i="9"/>
  <c r="E10937" i="9"/>
  <c r="D10937" i="9"/>
  <c r="C10937" i="9"/>
  <c r="B10937" i="9"/>
  <c r="H10936" i="9"/>
  <c r="G10936" i="9"/>
  <c r="E10936" i="9"/>
  <c r="D10936" i="9"/>
  <c r="C10936" i="9"/>
  <c r="B10936" i="9"/>
  <c r="H10935" i="9"/>
  <c r="G10935" i="9"/>
  <c r="E10935" i="9"/>
  <c r="D10935" i="9"/>
  <c r="C10935" i="9"/>
  <c r="B10935" i="9"/>
  <c r="H10934" i="9"/>
  <c r="G10934" i="9"/>
  <c r="E10934" i="9"/>
  <c r="D10934" i="9"/>
  <c r="C10934" i="9"/>
  <c r="B10934" i="9"/>
  <c r="H10933" i="9"/>
  <c r="G10933" i="9"/>
  <c r="E10933" i="9"/>
  <c r="D10933" i="9"/>
  <c r="C10933" i="9"/>
  <c r="B10933" i="9"/>
  <c r="H10932" i="9"/>
  <c r="G10932" i="9"/>
  <c r="E10932" i="9"/>
  <c r="D10932" i="9"/>
  <c r="C10932" i="9"/>
  <c r="B10932" i="9"/>
  <c r="H10931" i="9"/>
  <c r="G10931" i="9"/>
  <c r="E10931" i="9"/>
  <c r="D10931" i="9"/>
  <c r="C10931" i="9"/>
  <c r="B10931" i="9"/>
  <c r="H10930" i="9"/>
  <c r="G10930" i="9"/>
  <c r="E10930" i="9"/>
  <c r="D10930" i="9"/>
  <c r="C10930" i="9"/>
  <c r="B10930" i="9"/>
  <c r="H10929" i="9"/>
  <c r="G10929" i="9"/>
  <c r="E10929" i="9"/>
  <c r="D10929" i="9"/>
  <c r="C10929" i="9"/>
  <c r="B10929" i="9"/>
  <c r="H10928" i="9"/>
  <c r="G10928" i="9"/>
  <c r="E10928" i="9"/>
  <c r="D10928" i="9"/>
  <c r="C10928" i="9"/>
  <c r="B10928" i="9"/>
  <c r="H10927" i="9"/>
  <c r="G10927" i="9"/>
  <c r="E10927" i="9"/>
  <c r="D10927" i="9"/>
  <c r="C10927" i="9"/>
  <c r="B10927" i="9"/>
  <c r="H10926" i="9"/>
  <c r="G10926" i="9"/>
  <c r="E10926" i="9"/>
  <c r="D10926" i="9"/>
  <c r="C10926" i="9"/>
  <c r="B10926" i="9"/>
  <c r="H10925" i="9"/>
  <c r="G10925" i="9"/>
  <c r="E10925" i="9"/>
  <c r="D10925" i="9"/>
  <c r="C10925" i="9"/>
  <c r="B10925" i="9"/>
  <c r="H10924" i="9"/>
  <c r="G10924" i="9"/>
  <c r="E10924" i="9"/>
  <c r="D10924" i="9"/>
  <c r="C10924" i="9"/>
  <c r="B10924" i="9"/>
  <c r="H10923" i="9"/>
  <c r="G10923" i="9"/>
  <c r="E10923" i="9"/>
  <c r="D10923" i="9"/>
  <c r="C10923" i="9"/>
  <c r="B10923" i="9"/>
  <c r="H10922" i="9"/>
  <c r="G10922" i="9"/>
  <c r="E10922" i="9"/>
  <c r="D10922" i="9"/>
  <c r="C10922" i="9"/>
  <c r="B10922" i="9"/>
  <c r="H10921" i="9"/>
  <c r="G10921" i="9"/>
  <c r="E10921" i="9"/>
  <c r="D10921" i="9"/>
  <c r="C10921" i="9"/>
  <c r="B10921" i="9"/>
  <c r="H10920" i="9"/>
  <c r="G10920" i="9"/>
  <c r="E10920" i="9"/>
  <c r="D10920" i="9"/>
  <c r="C10920" i="9"/>
  <c r="B10920" i="9"/>
  <c r="H10919" i="9"/>
  <c r="G10919" i="9"/>
  <c r="E10919" i="9"/>
  <c r="D10919" i="9"/>
  <c r="C10919" i="9"/>
  <c r="B10919" i="9"/>
  <c r="H10918" i="9"/>
  <c r="G10918" i="9"/>
  <c r="E10918" i="9"/>
  <c r="D10918" i="9"/>
  <c r="C10918" i="9"/>
  <c r="B10918" i="9"/>
  <c r="H10917" i="9"/>
  <c r="G10917" i="9"/>
  <c r="E10917" i="9"/>
  <c r="D10917" i="9"/>
  <c r="C10917" i="9"/>
  <c r="B10917" i="9"/>
  <c r="H10916" i="9"/>
  <c r="G10916" i="9"/>
  <c r="E10916" i="9"/>
  <c r="D10916" i="9"/>
  <c r="C10916" i="9"/>
  <c r="B10916" i="9"/>
  <c r="H10915" i="9"/>
  <c r="G10915" i="9"/>
  <c r="E10915" i="9"/>
  <c r="D10915" i="9"/>
  <c r="C10915" i="9"/>
  <c r="B10915" i="9"/>
  <c r="H10914" i="9"/>
  <c r="G10914" i="9"/>
  <c r="E10914" i="9"/>
  <c r="D10914" i="9"/>
  <c r="C10914" i="9"/>
  <c r="B10914" i="9"/>
  <c r="H10913" i="9"/>
  <c r="G10913" i="9"/>
  <c r="E10913" i="9"/>
  <c r="D10913" i="9"/>
  <c r="C10913" i="9"/>
  <c r="B10913" i="9"/>
  <c r="H10912" i="9"/>
  <c r="G10912" i="9"/>
  <c r="E10912" i="9"/>
  <c r="D10912" i="9"/>
  <c r="C10912" i="9"/>
  <c r="B10912" i="9"/>
  <c r="H10911" i="9"/>
  <c r="G10911" i="9"/>
  <c r="E10911" i="9"/>
  <c r="D10911" i="9"/>
  <c r="C10911" i="9"/>
  <c r="B10911" i="9"/>
  <c r="H10910" i="9"/>
  <c r="G10910" i="9"/>
  <c r="E10910" i="9"/>
  <c r="D10910" i="9"/>
  <c r="C10910" i="9"/>
  <c r="B10910" i="9"/>
  <c r="H10909" i="9"/>
  <c r="G10909" i="9"/>
  <c r="E10909" i="9"/>
  <c r="D10909" i="9"/>
  <c r="C10909" i="9"/>
  <c r="B10909" i="9"/>
  <c r="H10908" i="9"/>
  <c r="G10908" i="9"/>
  <c r="E10908" i="9"/>
  <c r="D10908" i="9"/>
  <c r="C10908" i="9"/>
  <c r="B10908" i="9"/>
  <c r="H10907" i="9"/>
  <c r="G10907" i="9"/>
  <c r="E10907" i="9"/>
  <c r="D10907" i="9"/>
  <c r="C10907" i="9"/>
  <c r="B10907" i="9"/>
  <c r="H10906" i="9"/>
  <c r="G10906" i="9"/>
  <c r="E10906" i="9"/>
  <c r="D10906" i="9"/>
  <c r="C10906" i="9"/>
  <c r="B10906" i="9"/>
  <c r="H10905" i="9"/>
  <c r="G10905" i="9"/>
  <c r="E10905" i="9"/>
  <c r="D10905" i="9"/>
  <c r="C10905" i="9"/>
  <c r="B10905" i="9"/>
  <c r="H10904" i="9"/>
  <c r="G10904" i="9"/>
  <c r="E10904" i="9"/>
  <c r="D10904" i="9"/>
  <c r="C10904" i="9"/>
  <c r="B10904" i="9"/>
  <c r="H10903" i="9"/>
  <c r="G10903" i="9"/>
  <c r="E10903" i="9"/>
  <c r="D10903" i="9"/>
  <c r="C10903" i="9"/>
  <c r="B10903" i="9"/>
  <c r="H10902" i="9"/>
  <c r="G10902" i="9"/>
  <c r="E10902" i="9"/>
  <c r="D10902" i="9"/>
  <c r="C10902" i="9"/>
  <c r="B10902" i="9"/>
  <c r="H10901" i="9"/>
  <c r="G10901" i="9"/>
  <c r="E10901" i="9"/>
  <c r="D10901" i="9"/>
  <c r="C10901" i="9"/>
  <c r="B10901" i="9"/>
  <c r="H10900" i="9"/>
  <c r="G10900" i="9"/>
  <c r="E10900" i="9"/>
  <c r="D10900" i="9"/>
  <c r="C10900" i="9"/>
  <c r="B10900" i="9"/>
  <c r="H10899" i="9"/>
  <c r="G10899" i="9"/>
  <c r="E10899" i="9"/>
  <c r="D10899" i="9"/>
  <c r="C10899" i="9"/>
  <c r="B10899" i="9"/>
  <c r="H10898" i="9"/>
  <c r="G10898" i="9"/>
  <c r="E10898" i="9"/>
  <c r="D10898" i="9"/>
  <c r="C10898" i="9"/>
  <c r="B10898" i="9"/>
  <c r="H10897" i="9"/>
  <c r="G10897" i="9"/>
  <c r="E10897" i="9"/>
  <c r="D10897" i="9"/>
  <c r="C10897" i="9"/>
  <c r="B10897" i="9"/>
  <c r="H10896" i="9"/>
  <c r="G10896" i="9"/>
  <c r="E10896" i="9"/>
  <c r="D10896" i="9"/>
  <c r="C10896" i="9"/>
  <c r="B10896" i="9"/>
  <c r="H10895" i="9"/>
  <c r="G10895" i="9"/>
  <c r="E10895" i="9"/>
  <c r="D10895" i="9"/>
  <c r="C10895" i="9"/>
  <c r="B10895" i="9"/>
  <c r="H10894" i="9"/>
  <c r="G10894" i="9"/>
  <c r="E10894" i="9"/>
  <c r="D10894" i="9"/>
  <c r="C10894" i="9"/>
  <c r="B10894" i="9"/>
  <c r="H10893" i="9"/>
  <c r="G10893" i="9"/>
  <c r="E10893" i="9"/>
  <c r="D10893" i="9"/>
  <c r="C10893" i="9"/>
  <c r="B10893" i="9"/>
  <c r="H10892" i="9"/>
  <c r="G10892" i="9"/>
  <c r="E10892" i="9"/>
  <c r="D10892" i="9"/>
  <c r="C10892" i="9"/>
  <c r="B10892" i="9"/>
  <c r="H10891" i="9"/>
  <c r="G10891" i="9"/>
  <c r="E10891" i="9"/>
  <c r="D10891" i="9"/>
  <c r="C10891" i="9"/>
  <c r="B10891" i="9"/>
  <c r="H10890" i="9"/>
  <c r="G10890" i="9"/>
  <c r="E10890" i="9"/>
  <c r="D10890" i="9"/>
  <c r="C10890" i="9"/>
  <c r="B10890" i="9"/>
  <c r="H10889" i="9"/>
  <c r="G10889" i="9"/>
  <c r="E10889" i="9"/>
  <c r="D10889" i="9"/>
  <c r="C10889" i="9"/>
  <c r="B10889" i="9"/>
  <c r="H10888" i="9"/>
  <c r="G10888" i="9"/>
  <c r="E10888" i="9"/>
  <c r="D10888" i="9"/>
  <c r="C10888" i="9"/>
  <c r="B10888" i="9"/>
  <c r="H10887" i="9"/>
  <c r="G10887" i="9"/>
  <c r="E10887" i="9"/>
  <c r="D10887" i="9"/>
  <c r="C10887" i="9"/>
  <c r="B10887" i="9"/>
  <c r="H10886" i="9"/>
  <c r="G10886" i="9"/>
  <c r="E10886" i="9"/>
  <c r="D10886" i="9"/>
  <c r="C10886" i="9"/>
  <c r="B10886" i="9"/>
  <c r="H10885" i="9"/>
  <c r="G10885" i="9"/>
  <c r="E10885" i="9"/>
  <c r="D10885" i="9"/>
  <c r="C10885" i="9"/>
  <c r="B10885" i="9"/>
  <c r="H10884" i="9"/>
  <c r="G10884" i="9"/>
  <c r="E10884" i="9"/>
  <c r="D10884" i="9"/>
  <c r="C10884" i="9"/>
  <c r="B10884" i="9"/>
  <c r="H10883" i="9"/>
  <c r="G10883" i="9"/>
  <c r="E10883" i="9"/>
  <c r="D10883" i="9"/>
  <c r="C10883" i="9"/>
  <c r="B10883" i="9"/>
  <c r="H10882" i="9"/>
  <c r="G10882" i="9"/>
  <c r="E10882" i="9"/>
  <c r="D10882" i="9"/>
  <c r="C10882" i="9"/>
  <c r="B10882" i="9"/>
  <c r="H10881" i="9"/>
  <c r="G10881" i="9"/>
  <c r="E10881" i="9"/>
  <c r="D10881" i="9"/>
  <c r="C10881" i="9"/>
  <c r="B10881" i="9"/>
  <c r="H10880" i="9"/>
  <c r="G10880" i="9"/>
  <c r="E10880" i="9"/>
  <c r="D10880" i="9"/>
  <c r="C10880" i="9"/>
  <c r="B10880" i="9"/>
  <c r="H10879" i="9"/>
  <c r="G10879" i="9"/>
  <c r="E10879" i="9"/>
  <c r="D10879" i="9"/>
  <c r="C10879" i="9"/>
  <c r="B10879" i="9"/>
  <c r="H10878" i="9"/>
  <c r="G10878" i="9"/>
  <c r="E10878" i="9"/>
  <c r="D10878" i="9"/>
  <c r="C10878" i="9"/>
  <c r="B10878" i="9"/>
  <c r="H10877" i="9"/>
  <c r="G10877" i="9"/>
  <c r="E10877" i="9"/>
  <c r="D10877" i="9"/>
  <c r="C10877" i="9"/>
  <c r="B10877" i="9"/>
  <c r="H10876" i="9"/>
  <c r="G10876" i="9"/>
  <c r="E10876" i="9"/>
  <c r="D10876" i="9"/>
  <c r="C10876" i="9"/>
  <c r="B10876" i="9"/>
  <c r="H10875" i="9"/>
  <c r="G10875" i="9"/>
  <c r="E10875" i="9"/>
  <c r="D10875" i="9"/>
  <c r="C10875" i="9"/>
  <c r="B10875" i="9"/>
  <c r="H10874" i="9"/>
  <c r="G10874" i="9"/>
  <c r="E10874" i="9"/>
  <c r="D10874" i="9"/>
  <c r="C10874" i="9"/>
  <c r="B10874" i="9"/>
  <c r="H10873" i="9"/>
  <c r="G10873" i="9"/>
  <c r="E10873" i="9"/>
  <c r="D10873" i="9"/>
  <c r="C10873" i="9"/>
  <c r="B10873" i="9"/>
  <c r="H10872" i="9"/>
  <c r="G10872" i="9"/>
  <c r="E10872" i="9"/>
  <c r="D10872" i="9"/>
  <c r="C10872" i="9"/>
  <c r="B10872" i="9"/>
  <c r="H10871" i="9"/>
  <c r="G10871" i="9"/>
  <c r="E10871" i="9"/>
  <c r="D10871" i="9"/>
  <c r="C10871" i="9"/>
  <c r="B10871" i="9"/>
  <c r="H10870" i="9"/>
  <c r="G10870" i="9"/>
  <c r="E10870" i="9"/>
  <c r="D10870" i="9"/>
  <c r="C10870" i="9"/>
  <c r="B10870" i="9"/>
  <c r="H10869" i="9"/>
  <c r="G10869" i="9"/>
  <c r="E10869" i="9"/>
  <c r="D10869" i="9"/>
  <c r="C10869" i="9"/>
  <c r="B10869" i="9"/>
  <c r="H10868" i="9"/>
  <c r="G10868" i="9"/>
  <c r="E10868" i="9"/>
  <c r="D10868" i="9"/>
  <c r="C10868" i="9"/>
  <c r="B10868" i="9"/>
  <c r="H10867" i="9"/>
  <c r="G10867" i="9"/>
  <c r="E10867" i="9"/>
  <c r="D10867" i="9"/>
  <c r="C10867" i="9"/>
  <c r="B10867" i="9"/>
  <c r="H10866" i="9"/>
  <c r="G10866" i="9"/>
  <c r="E10866" i="9"/>
  <c r="D10866" i="9"/>
  <c r="C10866" i="9"/>
  <c r="B10866" i="9"/>
  <c r="H10865" i="9"/>
  <c r="G10865" i="9"/>
  <c r="E10865" i="9"/>
  <c r="D10865" i="9"/>
  <c r="C10865" i="9"/>
  <c r="B10865" i="9"/>
  <c r="H10864" i="9"/>
  <c r="G10864" i="9"/>
  <c r="E10864" i="9"/>
  <c r="D10864" i="9"/>
  <c r="C10864" i="9"/>
  <c r="B10864" i="9"/>
  <c r="H10863" i="9"/>
  <c r="G10863" i="9"/>
  <c r="E10863" i="9"/>
  <c r="D10863" i="9"/>
  <c r="C10863" i="9"/>
  <c r="B10863" i="9"/>
  <c r="H10862" i="9"/>
  <c r="G10862" i="9"/>
  <c r="E10862" i="9"/>
  <c r="D10862" i="9"/>
  <c r="C10862" i="9"/>
  <c r="B10862" i="9"/>
  <c r="H10861" i="9"/>
  <c r="G10861" i="9"/>
  <c r="E10861" i="9"/>
  <c r="D10861" i="9"/>
  <c r="C10861" i="9"/>
  <c r="B10861" i="9"/>
  <c r="H10860" i="9"/>
  <c r="G10860" i="9"/>
  <c r="E10860" i="9"/>
  <c r="D10860" i="9"/>
  <c r="C10860" i="9"/>
  <c r="B10860" i="9"/>
  <c r="H10859" i="9"/>
  <c r="G10859" i="9"/>
  <c r="E10859" i="9"/>
  <c r="D10859" i="9"/>
  <c r="C10859" i="9"/>
  <c r="B10859" i="9"/>
  <c r="H10858" i="9"/>
  <c r="G10858" i="9"/>
  <c r="E10858" i="9"/>
  <c r="D10858" i="9"/>
  <c r="C10858" i="9"/>
  <c r="B10858" i="9"/>
  <c r="H10857" i="9"/>
  <c r="G10857" i="9"/>
  <c r="E10857" i="9"/>
  <c r="D10857" i="9"/>
  <c r="C10857" i="9"/>
  <c r="B10857" i="9"/>
  <c r="H10856" i="9"/>
  <c r="G10856" i="9"/>
  <c r="E10856" i="9"/>
  <c r="D10856" i="9"/>
  <c r="C10856" i="9"/>
  <c r="B10856" i="9"/>
  <c r="H10855" i="9"/>
  <c r="G10855" i="9"/>
  <c r="E10855" i="9"/>
  <c r="D10855" i="9"/>
  <c r="C10855" i="9"/>
  <c r="B10855" i="9"/>
  <c r="H10854" i="9"/>
  <c r="G10854" i="9"/>
  <c r="E10854" i="9"/>
  <c r="D10854" i="9"/>
  <c r="C10854" i="9"/>
  <c r="B10854" i="9"/>
  <c r="H10853" i="9"/>
  <c r="G10853" i="9"/>
  <c r="E10853" i="9"/>
  <c r="D10853" i="9"/>
  <c r="C10853" i="9"/>
  <c r="B10853" i="9"/>
  <c r="H10852" i="9"/>
  <c r="G10852" i="9"/>
  <c r="E10852" i="9"/>
  <c r="D10852" i="9"/>
  <c r="C10852" i="9"/>
  <c r="B10852" i="9"/>
  <c r="H10851" i="9"/>
  <c r="G10851" i="9"/>
  <c r="E10851" i="9"/>
  <c r="D10851" i="9"/>
  <c r="C10851" i="9"/>
  <c r="B10851" i="9"/>
  <c r="H10850" i="9"/>
  <c r="G10850" i="9"/>
  <c r="E10850" i="9"/>
  <c r="D10850" i="9"/>
  <c r="C10850" i="9"/>
  <c r="B10850" i="9"/>
  <c r="H10849" i="9"/>
  <c r="G10849" i="9"/>
  <c r="E10849" i="9"/>
  <c r="D10849" i="9"/>
  <c r="C10849" i="9"/>
  <c r="B10849" i="9"/>
  <c r="H10848" i="9"/>
  <c r="G10848" i="9"/>
  <c r="E10848" i="9"/>
  <c r="D10848" i="9"/>
  <c r="C10848" i="9"/>
  <c r="B10848" i="9"/>
  <c r="H10847" i="9"/>
  <c r="G10847" i="9"/>
  <c r="E10847" i="9"/>
  <c r="D10847" i="9"/>
  <c r="C10847" i="9"/>
  <c r="B10847" i="9"/>
  <c r="H10846" i="9"/>
  <c r="G10846" i="9"/>
  <c r="E10846" i="9"/>
  <c r="D10846" i="9"/>
  <c r="C10846" i="9"/>
  <c r="B10846" i="9"/>
  <c r="H10845" i="9"/>
  <c r="G10845" i="9"/>
  <c r="E10845" i="9"/>
  <c r="D10845" i="9"/>
  <c r="C10845" i="9"/>
  <c r="B10845" i="9"/>
  <c r="H10844" i="9"/>
  <c r="G10844" i="9"/>
  <c r="E10844" i="9"/>
  <c r="D10844" i="9"/>
  <c r="C10844" i="9"/>
  <c r="B10844" i="9"/>
  <c r="H10843" i="9"/>
  <c r="G10843" i="9"/>
  <c r="E10843" i="9"/>
  <c r="D10843" i="9"/>
  <c r="C10843" i="9"/>
  <c r="B10843" i="9"/>
  <c r="H10842" i="9"/>
  <c r="G10842" i="9"/>
  <c r="E10842" i="9"/>
  <c r="D10842" i="9"/>
  <c r="C10842" i="9"/>
  <c r="B10842" i="9"/>
  <c r="H10841" i="9"/>
  <c r="G10841" i="9"/>
  <c r="E10841" i="9"/>
  <c r="D10841" i="9"/>
  <c r="C10841" i="9"/>
  <c r="B10841" i="9"/>
  <c r="H10840" i="9"/>
  <c r="G10840" i="9"/>
  <c r="E10840" i="9"/>
  <c r="D10840" i="9"/>
  <c r="C10840" i="9"/>
  <c r="B10840" i="9"/>
  <c r="H10839" i="9"/>
  <c r="G10839" i="9"/>
  <c r="E10839" i="9"/>
  <c r="D10839" i="9"/>
  <c r="C10839" i="9"/>
  <c r="B10839" i="9"/>
  <c r="H10838" i="9"/>
  <c r="G10838" i="9"/>
  <c r="E10838" i="9"/>
  <c r="D10838" i="9"/>
  <c r="C10838" i="9"/>
  <c r="B10838" i="9"/>
  <c r="H10837" i="9"/>
  <c r="G10837" i="9"/>
  <c r="E10837" i="9"/>
  <c r="D10837" i="9"/>
  <c r="C10837" i="9"/>
  <c r="B10837" i="9"/>
  <c r="H10836" i="9"/>
  <c r="G10836" i="9"/>
  <c r="E10836" i="9"/>
  <c r="D10836" i="9"/>
  <c r="C10836" i="9"/>
  <c r="B10836" i="9"/>
  <c r="H10835" i="9"/>
  <c r="G10835" i="9"/>
  <c r="E10835" i="9"/>
  <c r="D10835" i="9"/>
  <c r="C10835" i="9"/>
  <c r="B10835" i="9"/>
  <c r="H10834" i="9"/>
  <c r="G10834" i="9"/>
  <c r="E10834" i="9"/>
  <c r="D10834" i="9"/>
  <c r="C10834" i="9"/>
  <c r="B10834" i="9"/>
  <c r="H10833" i="9"/>
  <c r="G10833" i="9"/>
  <c r="E10833" i="9"/>
  <c r="D10833" i="9"/>
  <c r="C10833" i="9"/>
  <c r="B10833" i="9"/>
  <c r="H10832" i="9"/>
  <c r="G10832" i="9"/>
  <c r="E10832" i="9"/>
  <c r="D10832" i="9"/>
  <c r="C10832" i="9"/>
  <c r="B10832" i="9"/>
  <c r="H10831" i="9"/>
  <c r="G10831" i="9"/>
  <c r="E10831" i="9"/>
  <c r="D10831" i="9"/>
  <c r="C10831" i="9"/>
  <c r="B10831" i="9"/>
  <c r="H10830" i="9"/>
  <c r="G10830" i="9"/>
  <c r="E10830" i="9"/>
  <c r="D10830" i="9"/>
  <c r="C10830" i="9"/>
  <c r="B10830" i="9"/>
  <c r="H10829" i="9"/>
  <c r="G10829" i="9"/>
  <c r="E10829" i="9"/>
  <c r="D10829" i="9"/>
  <c r="C10829" i="9"/>
  <c r="B10829" i="9"/>
  <c r="H10828" i="9"/>
  <c r="G10828" i="9"/>
  <c r="E10828" i="9"/>
  <c r="D10828" i="9"/>
  <c r="C10828" i="9"/>
  <c r="B10828" i="9"/>
  <c r="H10827" i="9"/>
  <c r="G10827" i="9"/>
  <c r="E10827" i="9"/>
  <c r="D10827" i="9"/>
  <c r="C10827" i="9"/>
  <c r="B10827" i="9"/>
  <c r="H10826" i="9"/>
  <c r="G10826" i="9"/>
  <c r="E10826" i="9"/>
  <c r="D10826" i="9"/>
  <c r="C10826" i="9"/>
  <c r="B10826" i="9"/>
  <c r="H10825" i="9"/>
  <c r="G10825" i="9"/>
  <c r="E10825" i="9"/>
  <c r="D10825" i="9"/>
  <c r="C10825" i="9"/>
  <c r="B10825" i="9"/>
  <c r="H10824" i="9"/>
  <c r="G10824" i="9"/>
  <c r="E10824" i="9"/>
  <c r="D10824" i="9"/>
  <c r="C10824" i="9"/>
  <c r="B10824" i="9"/>
  <c r="H10823" i="9"/>
  <c r="G10823" i="9"/>
  <c r="E10823" i="9"/>
  <c r="D10823" i="9"/>
  <c r="C10823" i="9"/>
  <c r="B10823" i="9"/>
  <c r="H10822" i="9"/>
  <c r="G10822" i="9"/>
  <c r="E10822" i="9"/>
  <c r="D10822" i="9"/>
  <c r="C10822" i="9"/>
  <c r="B10822" i="9"/>
  <c r="H10821" i="9"/>
  <c r="G10821" i="9"/>
  <c r="E10821" i="9"/>
  <c r="D10821" i="9"/>
  <c r="C10821" i="9"/>
  <c r="B10821" i="9"/>
  <c r="H10820" i="9"/>
  <c r="G10820" i="9"/>
  <c r="E10820" i="9"/>
  <c r="D10820" i="9"/>
  <c r="C10820" i="9"/>
  <c r="B10820" i="9"/>
  <c r="H10819" i="9"/>
  <c r="G10819" i="9"/>
  <c r="E10819" i="9"/>
  <c r="D10819" i="9"/>
  <c r="C10819" i="9"/>
  <c r="B10819" i="9"/>
  <c r="H10818" i="9"/>
  <c r="G10818" i="9"/>
  <c r="E10818" i="9"/>
  <c r="D10818" i="9"/>
  <c r="C10818" i="9"/>
  <c r="B10818" i="9"/>
  <c r="H10817" i="9"/>
  <c r="G10817" i="9"/>
  <c r="E10817" i="9"/>
  <c r="D10817" i="9"/>
  <c r="C10817" i="9"/>
  <c r="B10817" i="9"/>
  <c r="H10816" i="9"/>
  <c r="G10816" i="9"/>
  <c r="E10816" i="9"/>
  <c r="D10816" i="9"/>
  <c r="C10816" i="9"/>
  <c r="B10816" i="9"/>
  <c r="H10815" i="9"/>
  <c r="G10815" i="9"/>
  <c r="E10815" i="9"/>
  <c r="D10815" i="9"/>
  <c r="C10815" i="9"/>
  <c r="B10815" i="9"/>
  <c r="H10814" i="9"/>
  <c r="G10814" i="9"/>
  <c r="E10814" i="9"/>
  <c r="D10814" i="9"/>
  <c r="C10814" i="9"/>
  <c r="B10814" i="9"/>
  <c r="H10813" i="9"/>
  <c r="G10813" i="9"/>
  <c r="E10813" i="9"/>
  <c r="D10813" i="9"/>
  <c r="C10813" i="9"/>
  <c r="B10813" i="9"/>
  <c r="H10812" i="9"/>
  <c r="G10812" i="9"/>
  <c r="E10812" i="9"/>
  <c r="D10812" i="9"/>
  <c r="C10812" i="9"/>
  <c r="B10812" i="9"/>
  <c r="H10811" i="9"/>
  <c r="G10811" i="9"/>
  <c r="E10811" i="9"/>
  <c r="D10811" i="9"/>
  <c r="C10811" i="9"/>
  <c r="B10811" i="9"/>
  <c r="H10810" i="9"/>
  <c r="G10810" i="9"/>
  <c r="E10810" i="9"/>
  <c r="D10810" i="9"/>
  <c r="C10810" i="9"/>
  <c r="B10810" i="9"/>
  <c r="H10809" i="9"/>
  <c r="G10809" i="9"/>
  <c r="E10809" i="9"/>
  <c r="D10809" i="9"/>
  <c r="C10809" i="9"/>
  <c r="B10809" i="9"/>
  <c r="H10808" i="9"/>
  <c r="G10808" i="9"/>
  <c r="E10808" i="9"/>
  <c r="D10808" i="9"/>
  <c r="C10808" i="9"/>
  <c r="B10808" i="9"/>
  <c r="H10807" i="9"/>
  <c r="G10807" i="9"/>
  <c r="E10807" i="9"/>
  <c r="D10807" i="9"/>
  <c r="C10807" i="9"/>
  <c r="B10807" i="9"/>
  <c r="H10806" i="9"/>
  <c r="G10806" i="9"/>
  <c r="E10806" i="9"/>
  <c r="D10806" i="9"/>
  <c r="C10806" i="9"/>
  <c r="B10806" i="9"/>
  <c r="H10805" i="9"/>
  <c r="G10805" i="9"/>
  <c r="E10805" i="9"/>
  <c r="D10805" i="9"/>
  <c r="C10805" i="9"/>
  <c r="B10805" i="9"/>
  <c r="H10804" i="9"/>
  <c r="G10804" i="9"/>
  <c r="E10804" i="9"/>
  <c r="D10804" i="9"/>
  <c r="C10804" i="9"/>
  <c r="B10804" i="9"/>
  <c r="H10803" i="9"/>
  <c r="G10803" i="9"/>
  <c r="E10803" i="9"/>
  <c r="D10803" i="9"/>
  <c r="C10803" i="9"/>
  <c r="B10803" i="9"/>
  <c r="H10802" i="9"/>
  <c r="G10802" i="9"/>
  <c r="E10802" i="9"/>
  <c r="D10802" i="9"/>
  <c r="C10802" i="9"/>
  <c r="B10802" i="9"/>
  <c r="H10801" i="9"/>
  <c r="G10801" i="9"/>
  <c r="E10801" i="9"/>
  <c r="D10801" i="9"/>
  <c r="C10801" i="9"/>
  <c r="B10801" i="9"/>
  <c r="H10800" i="9"/>
  <c r="G10800" i="9"/>
  <c r="E10800" i="9"/>
  <c r="D10800" i="9"/>
  <c r="C10800" i="9"/>
  <c r="B10800" i="9"/>
  <c r="H10799" i="9"/>
  <c r="G10799" i="9"/>
  <c r="E10799" i="9"/>
  <c r="D10799" i="9"/>
  <c r="C10799" i="9"/>
  <c r="B10799" i="9"/>
  <c r="H10798" i="9"/>
  <c r="G10798" i="9"/>
  <c r="E10798" i="9"/>
  <c r="D10798" i="9"/>
  <c r="C10798" i="9"/>
  <c r="B10798" i="9"/>
  <c r="H10797" i="9"/>
  <c r="G10797" i="9"/>
  <c r="E10797" i="9"/>
  <c r="D10797" i="9"/>
  <c r="C10797" i="9"/>
  <c r="B10797" i="9"/>
  <c r="H10796" i="9"/>
  <c r="G10796" i="9"/>
  <c r="E10796" i="9"/>
  <c r="D10796" i="9"/>
  <c r="C10796" i="9"/>
  <c r="B10796" i="9"/>
  <c r="H10795" i="9"/>
  <c r="G10795" i="9"/>
  <c r="E10795" i="9"/>
  <c r="D10795" i="9"/>
  <c r="C10795" i="9"/>
  <c r="B10795" i="9"/>
  <c r="H10794" i="9"/>
  <c r="G10794" i="9"/>
  <c r="E10794" i="9"/>
  <c r="D10794" i="9"/>
  <c r="C10794" i="9"/>
  <c r="B10794" i="9"/>
  <c r="H10793" i="9"/>
  <c r="G10793" i="9"/>
  <c r="E10793" i="9"/>
  <c r="D10793" i="9"/>
  <c r="C10793" i="9"/>
  <c r="B10793" i="9"/>
  <c r="H10792" i="9"/>
  <c r="G10792" i="9"/>
  <c r="E10792" i="9"/>
  <c r="D10792" i="9"/>
  <c r="C10792" i="9"/>
  <c r="B10792" i="9"/>
  <c r="H10791" i="9"/>
  <c r="G10791" i="9"/>
  <c r="E10791" i="9"/>
  <c r="D10791" i="9"/>
  <c r="C10791" i="9"/>
  <c r="B10791" i="9"/>
  <c r="H10790" i="9"/>
  <c r="G10790" i="9"/>
  <c r="E10790" i="9"/>
  <c r="D10790" i="9"/>
  <c r="C10790" i="9"/>
  <c r="B10790" i="9"/>
  <c r="H10789" i="9"/>
  <c r="G10789" i="9"/>
  <c r="E10789" i="9"/>
  <c r="D10789" i="9"/>
  <c r="C10789" i="9"/>
  <c r="B10789" i="9"/>
  <c r="H10788" i="9"/>
  <c r="G10788" i="9"/>
  <c r="E10788" i="9"/>
  <c r="D10788" i="9"/>
  <c r="C10788" i="9"/>
  <c r="B10788" i="9"/>
  <c r="H10787" i="9"/>
  <c r="G10787" i="9"/>
  <c r="E10787" i="9"/>
  <c r="D10787" i="9"/>
  <c r="C10787" i="9"/>
  <c r="B10787" i="9"/>
  <c r="H10786" i="9"/>
  <c r="G10786" i="9"/>
  <c r="E10786" i="9"/>
  <c r="D10786" i="9"/>
  <c r="C10786" i="9"/>
  <c r="B10786" i="9"/>
  <c r="H10785" i="9"/>
  <c r="G10785" i="9"/>
  <c r="E10785" i="9"/>
  <c r="D10785" i="9"/>
  <c r="C10785" i="9"/>
  <c r="B10785" i="9"/>
  <c r="H10784" i="9"/>
  <c r="G10784" i="9"/>
  <c r="E10784" i="9"/>
  <c r="D10784" i="9"/>
  <c r="C10784" i="9"/>
  <c r="B10784" i="9"/>
  <c r="H10783" i="9"/>
  <c r="G10783" i="9"/>
  <c r="E10783" i="9"/>
  <c r="D10783" i="9"/>
  <c r="C10783" i="9"/>
  <c r="B10783" i="9"/>
  <c r="H10782" i="9"/>
  <c r="G10782" i="9"/>
  <c r="E10782" i="9"/>
  <c r="D10782" i="9"/>
  <c r="C10782" i="9"/>
  <c r="B10782" i="9"/>
  <c r="H10781" i="9"/>
  <c r="G10781" i="9"/>
  <c r="E10781" i="9"/>
  <c r="D10781" i="9"/>
  <c r="C10781" i="9"/>
  <c r="B10781" i="9"/>
  <c r="H10780" i="9"/>
  <c r="G10780" i="9"/>
  <c r="E10780" i="9"/>
  <c r="D10780" i="9"/>
  <c r="C10780" i="9"/>
  <c r="B10780" i="9"/>
  <c r="H10779" i="9"/>
  <c r="G10779" i="9"/>
  <c r="E10779" i="9"/>
  <c r="D10779" i="9"/>
  <c r="C10779" i="9"/>
  <c r="B10779" i="9"/>
  <c r="H10778" i="9"/>
  <c r="G10778" i="9"/>
  <c r="E10778" i="9"/>
  <c r="D10778" i="9"/>
  <c r="C10778" i="9"/>
  <c r="B10778" i="9"/>
  <c r="H10777" i="9"/>
  <c r="G10777" i="9"/>
  <c r="E10777" i="9"/>
  <c r="D10777" i="9"/>
  <c r="C10777" i="9"/>
  <c r="B10777" i="9"/>
  <c r="H10776" i="9"/>
  <c r="G10776" i="9"/>
  <c r="E10776" i="9"/>
  <c r="D10776" i="9"/>
  <c r="C10776" i="9"/>
  <c r="B10776" i="9"/>
  <c r="H10775" i="9"/>
  <c r="G10775" i="9"/>
  <c r="E10775" i="9"/>
  <c r="D10775" i="9"/>
  <c r="C10775" i="9"/>
  <c r="B10775" i="9"/>
  <c r="H10774" i="9"/>
  <c r="G10774" i="9"/>
  <c r="E10774" i="9"/>
  <c r="D10774" i="9"/>
  <c r="C10774" i="9"/>
  <c r="B10774" i="9"/>
  <c r="H10773" i="9"/>
  <c r="G10773" i="9"/>
  <c r="E10773" i="9"/>
  <c r="D10773" i="9"/>
  <c r="C10773" i="9"/>
  <c r="B10773" i="9"/>
  <c r="H10772" i="9"/>
  <c r="G10772" i="9"/>
  <c r="E10772" i="9"/>
  <c r="D10772" i="9"/>
  <c r="C10772" i="9"/>
  <c r="B10772" i="9"/>
  <c r="H10771" i="9"/>
  <c r="G10771" i="9"/>
  <c r="E10771" i="9"/>
  <c r="D10771" i="9"/>
  <c r="C10771" i="9"/>
  <c r="B10771" i="9"/>
  <c r="H10770" i="9"/>
  <c r="G10770" i="9"/>
  <c r="E10770" i="9"/>
  <c r="D10770" i="9"/>
  <c r="C10770" i="9"/>
  <c r="B10770" i="9"/>
  <c r="H10769" i="9"/>
  <c r="G10769" i="9"/>
  <c r="E10769" i="9"/>
  <c r="D10769" i="9"/>
  <c r="C10769" i="9"/>
  <c r="B10769" i="9"/>
  <c r="H10768" i="9"/>
  <c r="G10768" i="9"/>
  <c r="E10768" i="9"/>
  <c r="D10768" i="9"/>
  <c r="C10768" i="9"/>
  <c r="B10768" i="9"/>
  <c r="H10767" i="9"/>
  <c r="G10767" i="9"/>
  <c r="E10767" i="9"/>
  <c r="D10767" i="9"/>
  <c r="C10767" i="9"/>
  <c r="B10767" i="9"/>
  <c r="H10766" i="9"/>
  <c r="G10766" i="9"/>
  <c r="E10766" i="9"/>
  <c r="D10766" i="9"/>
  <c r="C10766" i="9"/>
  <c r="B10766" i="9"/>
  <c r="H10765" i="9"/>
  <c r="G10765" i="9"/>
  <c r="E10765" i="9"/>
  <c r="D10765" i="9"/>
  <c r="C10765" i="9"/>
  <c r="B10765" i="9"/>
  <c r="H10764" i="9"/>
  <c r="G10764" i="9"/>
  <c r="E10764" i="9"/>
  <c r="D10764" i="9"/>
  <c r="C10764" i="9"/>
  <c r="B10764" i="9"/>
  <c r="H10763" i="9"/>
  <c r="G10763" i="9"/>
  <c r="E10763" i="9"/>
  <c r="D10763" i="9"/>
  <c r="C10763" i="9"/>
  <c r="B10763" i="9"/>
  <c r="H10762" i="9"/>
  <c r="G10762" i="9"/>
  <c r="E10762" i="9"/>
  <c r="D10762" i="9"/>
  <c r="C10762" i="9"/>
  <c r="B10762" i="9"/>
  <c r="H10761" i="9"/>
  <c r="G10761" i="9"/>
  <c r="E10761" i="9"/>
  <c r="D10761" i="9"/>
  <c r="C10761" i="9"/>
  <c r="B10761" i="9"/>
  <c r="H10760" i="9"/>
  <c r="G10760" i="9"/>
  <c r="E10760" i="9"/>
  <c r="D10760" i="9"/>
  <c r="C10760" i="9"/>
  <c r="B10760" i="9"/>
  <c r="H10759" i="9"/>
  <c r="G10759" i="9"/>
  <c r="E10759" i="9"/>
  <c r="D10759" i="9"/>
  <c r="C10759" i="9"/>
  <c r="B10759" i="9"/>
  <c r="H10758" i="9"/>
  <c r="G10758" i="9"/>
  <c r="E10758" i="9"/>
  <c r="D10758" i="9"/>
  <c r="C10758" i="9"/>
  <c r="B10758" i="9"/>
  <c r="H10757" i="9"/>
  <c r="G10757" i="9"/>
  <c r="E10757" i="9"/>
  <c r="D10757" i="9"/>
  <c r="C10757" i="9"/>
  <c r="B10757" i="9"/>
  <c r="H10756" i="9"/>
  <c r="G10756" i="9"/>
  <c r="E10756" i="9"/>
  <c r="D10756" i="9"/>
  <c r="C10756" i="9"/>
  <c r="B10756" i="9"/>
  <c r="H10755" i="9"/>
  <c r="G10755" i="9"/>
  <c r="E10755" i="9"/>
  <c r="D10755" i="9"/>
  <c r="C10755" i="9"/>
  <c r="B10755" i="9"/>
  <c r="H10754" i="9"/>
  <c r="G10754" i="9"/>
  <c r="E10754" i="9"/>
  <c r="D10754" i="9"/>
  <c r="C10754" i="9"/>
  <c r="B10754" i="9"/>
  <c r="H10753" i="9"/>
  <c r="G10753" i="9"/>
  <c r="E10753" i="9"/>
  <c r="D10753" i="9"/>
  <c r="C10753" i="9"/>
  <c r="B10753" i="9"/>
  <c r="H10752" i="9"/>
  <c r="G10752" i="9"/>
  <c r="E10752" i="9"/>
  <c r="D10752" i="9"/>
  <c r="C10752" i="9"/>
  <c r="B10752" i="9"/>
  <c r="H10751" i="9"/>
  <c r="G10751" i="9"/>
  <c r="E10751" i="9"/>
  <c r="D10751" i="9"/>
  <c r="C10751" i="9"/>
  <c r="B10751" i="9"/>
  <c r="H10750" i="9"/>
  <c r="G10750" i="9"/>
  <c r="E10750" i="9"/>
  <c r="D10750" i="9"/>
  <c r="C10750" i="9"/>
  <c r="B10750" i="9"/>
  <c r="H10749" i="9"/>
  <c r="G10749" i="9"/>
  <c r="E10749" i="9"/>
  <c r="D10749" i="9"/>
  <c r="C10749" i="9"/>
  <c r="B10749" i="9"/>
  <c r="H10748" i="9"/>
  <c r="G10748" i="9"/>
  <c r="E10748" i="9"/>
  <c r="D10748" i="9"/>
  <c r="C10748" i="9"/>
  <c r="B10748" i="9"/>
  <c r="H10747" i="9"/>
  <c r="G10747" i="9"/>
  <c r="E10747" i="9"/>
  <c r="D10747" i="9"/>
  <c r="C10747" i="9"/>
  <c r="B10747" i="9"/>
  <c r="H10746" i="9"/>
  <c r="G10746" i="9"/>
  <c r="E10746" i="9"/>
  <c r="D10746" i="9"/>
  <c r="C10746" i="9"/>
  <c r="B10746" i="9"/>
  <c r="H10745" i="9"/>
  <c r="G10745" i="9"/>
  <c r="E10745" i="9"/>
  <c r="D10745" i="9"/>
  <c r="C10745" i="9"/>
  <c r="B10745" i="9"/>
  <c r="H10744" i="9"/>
  <c r="G10744" i="9"/>
  <c r="E10744" i="9"/>
  <c r="D10744" i="9"/>
  <c r="C10744" i="9"/>
  <c r="B10744" i="9"/>
  <c r="H10743" i="9"/>
  <c r="G10743" i="9"/>
  <c r="E10743" i="9"/>
  <c r="D10743" i="9"/>
  <c r="C10743" i="9"/>
  <c r="B10743" i="9"/>
  <c r="H10742" i="9"/>
  <c r="G10742" i="9"/>
  <c r="E10742" i="9"/>
  <c r="D10742" i="9"/>
  <c r="C10742" i="9"/>
  <c r="B10742" i="9"/>
  <c r="H10741" i="9"/>
  <c r="G10741" i="9"/>
  <c r="E10741" i="9"/>
  <c r="D10741" i="9"/>
  <c r="C10741" i="9"/>
  <c r="B10741" i="9"/>
  <c r="H10740" i="9"/>
  <c r="G10740" i="9"/>
  <c r="E10740" i="9"/>
  <c r="D10740" i="9"/>
  <c r="C10740" i="9"/>
  <c r="B10740" i="9"/>
  <c r="H10739" i="9"/>
  <c r="G10739" i="9"/>
  <c r="E10739" i="9"/>
  <c r="D10739" i="9"/>
  <c r="C10739" i="9"/>
  <c r="B10739" i="9"/>
  <c r="H10738" i="9"/>
  <c r="G10738" i="9"/>
  <c r="E10738" i="9"/>
  <c r="D10738" i="9"/>
  <c r="C10738" i="9"/>
  <c r="B10738" i="9"/>
  <c r="H10737" i="9"/>
  <c r="G10737" i="9"/>
  <c r="E10737" i="9"/>
  <c r="D10737" i="9"/>
  <c r="C10737" i="9"/>
  <c r="B10737" i="9"/>
  <c r="H10736" i="9"/>
  <c r="G10736" i="9"/>
  <c r="E10736" i="9"/>
  <c r="D10736" i="9"/>
  <c r="C10736" i="9"/>
  <c r="B10736" i="9"/>
  <c r="H10735" i="9"/>
  <c r="G10735" i="9"/>
  <c r="E10735" i="9"/>
  <c r="D10735" i="9"/>
  <c r="C10735" i="9"/>
  <c r="B10735" i="9"/>
  <c r="H10734" i="9"/>
  <c r="G10734" i="9"/>
  <c r="E10734" i="9"/>
  <c r="D10734" i="9"/>
  <c r="C10734" i="9"/>
  <c r="B10734" i="9"/>
  <c r="H10733" i="9"/>
  <c r="G10733" i="9"/>
  <c r="E10733" i="9"/>
  <c r="D10733" i="9"/>
  <c r="C10733" i="9"/>
  <c r="B10733" i="9"/>
  <c r="H10732" i="9"/>
  <c r="G10732" i="9"/>
  <c r="E10732" i="9"/>
  <c r="D10732" i="9"/>
  <c r="C10732" i="9"/>
  <c r="B10732" i="9"/>
  <c r="H10731" i="9"/>
  <c r="G10731" i="9"/>
  <c r="E10731" i="9"/>
  <c r="D10731" i="9"/>
  <c r="C10731" i="9"/>
  <c r="B10731" i="9"/>
  <c r="H10730" i="9"/>
  <c r="G10730" i="9"/>
  <c r="E10730" i="9"/>
  <c r="D10730" i="9"/>
  <c r="C10730" i="9"/>
  <c r="B10730" i="9"/>
  <c r="H10729" i="9"/>
  <c r="G10729" i="9"/>
  <c r="E10729" i="9"/>
  <c r="D10729" i="9"/>
  <c r="C10729" i="9"/>
  <c r="B10729" i="9"/>
  <c r="H10728" i="9"/>
  <c r="G10728" i="9"/>
  <c r="E10728" i="9"/>
  <c r="D10728" i="9"/>
  <c r="C10728" i="9"/>
  <c r="B10728" i="9"/>
  <c r="H10727" i="9"/>
  <c r="G10727" i="9"/>
  <c r="E10727" i="9"/>
  <c r="D10727" i="9"/>
  <c r="C10727" i="9"/>
  <c r="B10727" i="9"/>
  <c r="H10726" i="9"/>
  <c r="G10726" i="9"/>
  <c r="E10726" i="9"/>
  <c r="D10726" i="9"/>
  <c r="C10726" i="9"/>
  <c r="B10726" i="9"/>
  <c r="H10725" i="9"/>
  <c r="G10725" i="9"/>
  <c r="E10725" i="9"/>
  <c r="D10725" i="9"/>
  <c r="C10725" i="9"/>
  <c r="B10725" i="9"/>
  <c r="H10724" i="9"/>
  <c r="G10724" i="9"/>
  <c r="E10724" i="9"/>
  <c r="D10724" i="9"/>
  <c r="C10724" i="9"/>
  <c r="B10724" i="9"/>
  <c r="H10723" i="9"/>
  <c r="G10723" i="9"/>
  <c r="E10723" i="9"/>
  <c r="D10723" i="9"/>
  <c r="C10723" i="9"/>
  <c r="B10723" i="9"/>
  <c r="H10722" i="9"/>
  <c r="G10722" i="9"/>
  <c r="E10722" i="9"/>
  <c r="D10722" i="9"/>
  <c r="C10722" i="9"/>
  <c r="B10722" i="9"/>
  <c r="H10721" i="9"/>
  <c r="G10721" i="9"/>
  <c r="E10721" i="9"/>
  <c r="D10721" i="9"/>
  <c r="C10721" i="9"/>
  <c r="B10721" i="9"/>
  <c r="H10720" i="9"/>
  <c r="G10720" i="9"/>
  <c r="E10720" i="9"/>
  <c r="D10720" i="9"/>
  <c r="C10720" i="9"/>
  <c r="B10720" i="9"/>
  <c r="H10719" i="9"/>
  <c r="G10719" i="9"/>
  <c r="E10719" i="9"/>
  <c r="D10719" i="9"/>
  <c r="C10719" i="9"/>
  <c r="B10719" i="9"/>
  <c r="H10718" i="9"/>
  <c r="G10718" i="9"/>
  <c r="E10718" i="9"/>
  <c r="D10718" i="9"/>
  <c r="C10718" i="9"/>
  <c r="B10718" i="9"/>
  <c r="H10717" i="9"/>
  <c r="G10717" i="9"/>
  <c r="E10717" i="9"/>
  <c r="D10717" i="9"/>
  <c r="C10717" i="9"/>
  <c r="B10717" i="9"/>
  <c r="H10716" i="9"/>
  <c r="G10716" i="9"/>
  <c r="E10716" i="9"/>
  <c r="D10716" i="9"/>
  <c r="C10716" i="9"/>
  <c r="B10716" i="9"/>
  <c r="H10715" i="9"/>
  <c r="G10715" i="9"/>
  <c r="E10715" i="9"/>
  <c r="D10715" i="9"/>
  <c r="C10715" i="9"/>
  <c r="B10715" i="9"/>
  <c r="H10714" i="9"/>
  <c r="G10714" i="9"/>
  <c r="E10714" i="9"/>
  <c r="D10714" i="9"/>
  <c r="C10714" i="9"/>
  <c r="B10714" i="9"/>
  <c r="H10713" i="9"/>
  <c r="G10713" i="9"/>
  <c r="E10713" i="9"/>
  <c r="D10713" i="9"/>
  <c r="C10713" i="9"/>
  <c r="B10713" i="9"/>
  <c r="H10712" i="9"/>
  <c r="G10712" i="9"/>
  <c r="E10712" i="9"/>
  <c r="D10712" i="9"/>
  <c r="C10712" i="9"/>
  <c r="B10712" i="9"/>
  <c r="H10711" i="9"/>
  <c r="G10711" i="9"/>
  <c r="E10711" i="9"/>
  <c r="D10711" i="9"/>
  <c r="C10711" i="9"/>
  <c r="B10711" i="9"/>
  <c r="H10710" i="9"/>
  <c r="G10710" i="9"/>
  <c r="E10710" i="9"/>
  <c r="D10710" i="9"/>
  <c r="C10710" i="9"/>
  <c r="B10710" i="9"/>
  <c r="H10709" i="9"/>
  <c r="G10709" i="9"/>
  <c r="E10709" i="9"/>
  <c r="D10709" i="9"/>
  <c r="C10709" i="9"/>
  <c r="B10709" i="9"/>
  <c r="H10708" i="9"/>
  <c r="G10708" i="9"/>
  <c r="E10708" i="9"/>
  <c r="D10708" i="9"/>
  <c r="C10708" i="9"/>
  <c r="B10708" i="9"/>
  <c r="H10707" i="9"/>
  <c r="G10707" i="9"/>
  <c r="E10707" i="9"/>
  <c r="D10707" i="9"/>
  <c r="C10707" i="9"/>
  <c r="B10707" i="9"/>
  <c r="H10706" i="9"/>
  <c r="G10706" i="9"/>
  <c r="E10706" i="9"/>
  <c r="D10706" i="9"/>
  <c r="C10706" i="9"/>
  <c r="B10706" i="9"/>
  <c r="H10705" i="9"/>
  <c r="G10705" i="9"/>
  <c r="E10705" i="9"/>
  <c r="D10705" i="9"/>
  <c r="C10705" i="9"/>
  <c r="B10705" i="9"/>
  <c r="H10704" i="9"/>
  <c r="G10704" i="9"/>
  <c r="E10704" i="9"/>
  <c r="D10704" i="9"/>
  <c r="C10704" i="9"/>
  <c r="B10704" i="9"/>
  <c r="H10703" i="9"/>
  <c r="G10703" i="9"/>
  <c r="E10703" i="9"/>
  <c r="D10703" i="9"/>
  <c r="C10703" i="9"/>
  <c r="B10703" i="9"/>
  <c r="H10702" i="9"/>
  <c r="G10702" i="9"/>
  <c r="E10702" i="9"/>
  <c r="D10702" i="9"/>
  <c r="C10702" i="9"/>
  <c r="B10702" i="9"/>
  <c r="H10701" i="9"/>
  <c r="G10701" i="9"/>
  <c r="E10701" i="9"/>
  <c r="D10701" i="9"/>
  <c r="C10701" i="9"/>
  <c r="B10701" i="9"/>
  <c r="H10700" i="9"/>
  <c r="G10700" i="9"/>
  <c r="E10700" i="9"/>
  <c r="D10700" i="9"/>
  <c r="C10700" i="9"/>
  <c r="B10700" i="9"/>
  <c r="H10699" i="9"/>
  <c r="G10699" i="9"/>
  <c r="E10699" i="9"/>
  <c r="D10699" i="9"/>
  <c r="C10699" i="9"/>
  <c r="B10699" i="9"/>
  <c r="H10698" i="9"/>
  <c r="G10698" i="9"/>
  <c r="E10698" i="9"/>
  <c r="D10698" i="9"/>
  <c r="C10698" i="9"/>
  <c r="B10698" i="9"/>
  <c r="H10697" i="9"/>
  <c r="G10697" i="9"/>
  <c r="E10697" i="9"/>
  <c r="D10697" i="9"/>
  <c r="C10697" i="9"/>
  <c r="B10697" i="9"/>
  <c r="H10696" i="9"/>
  <c r="G10696" i="9"/>
  <c r="E10696" i="9"/>
  <c r="D10696" i="9"/>
  <c r="C10696" i="9"/>
  <c r="B10696" i="9"/>
  <c r="H10695" i="9"/>
  <c r="G10695" i="9"/>
  <c r="E10695" i="9"/>
  <c r="D10695" i="9"/>
  <c r="C10695" i="9"/>
  <c r="B10695" i="9"/>
  <c r="H10694" i="9"/>
  <c r="G10694" i="9"/>
  <c r="E10694" i="9"/>
  <c r="D10694" i="9"/>
  <c r="C10694" i="9"/>
  <c r="B10694" i="9"/>
  <c r="H10693" i="9"/>
  <c r="G10693" i="9"/>
  <c r="E10693" i="9"/>
  <c r="D10693" i="9"/>
  <c r="C10693" i="9"/>
  <c r="B10693" i="9"/>
  <c r="H10692" i="9"/>
  <c r="G10692" i="9"/>
  <c r="E10692" i="9"/>
  <c r="D10692" i="9"/>
  <c r="C10692" i="9"/>
  <c r="B10692" i="9"/>
  <c r="H10691" i="9"/>
  <c r="G10691" i="9"/>
  <c r="E10691" i="9"/>
  <c r="D10691" i="9"/>
  <c r="C10691" i="9"/>
  <c r="B10691" i="9"/>
  <c r="H10690" i="9"/>
  <c r="G10690" i="9"/>
  <c r="E10690" i="9"/>
  <c r="D10690" i="9"/>
  <c r="C10690" i="9"/>
  <c r="B10690" i="9"/>
  <c r="H10689" i="9"/>
  <c r="G10689" i="9"/>
  <c r="E10689" i="9"/>
  <c r="D10689" i="9"/>
  <c r="C10689" i="9"/>
  <c r="B10689" i="9"/>
  <c r="H10688" i="9"/>
  <c r="G10688" i="9"/>
  <c r="E10688" i="9"/>
  <c r="D10688" i="9"/>
  <c r="C10688" i="9"/>
  <c r="B10688" i="9"/>
  <c r="H10687" i="9"/>
  <c r="G10687" i="9"/>
  <c r="E10687" i="9"/>
  <c r="D10687" i="9"/>
  <c r="C10687" i="9"/>
  <c r="B10687" i="9"/>
  <c r="H10686" i="9"/>
  <c r="G10686" i="9"/>
  <c r="E10686" i="9"/>
  <c r="D10686" i="9"/>
  <c r="C10686" i="9"/>
  <c r="B10686" i="9"/>
  <c r="H10685" i="9"/>
  <c r="G10685" i="9"/>
  <c r="E10685" i="9"/>
  <c r="D10685" i="9"/>
  <c r="C10685" i="9"/>
  <c r="B10685" i="9"/>
  <c r="H10684" i="9"/>
  <c r="G10684" i="9"/>
  <c r="E10684" i="9"/>
  <c r="D10684" i="9"/>
  <c r="C10684" i="9"/>
  <c r="B10684" i="9"/>
  <c r="H10683" i="9"/>
  <c r="G10683" i="9"/>
  <c r="E10683" i="9"/>
  <c r="D10683" i="9"/>
  <c r="C10683" i="9"/>
  <c r="B10683" i="9"/>
  <c r="H10682" i="9"/>
  <c r="G10682" i="9"/>
  <c r="E10682" i="9"/>
  <c r="D10682" i="9"/>
  <c r="C10682" i="9"/>
  <c r="B10682" i="9"/>
  <c r="H10681" i="9"/>
  <c r="G10681" i="9"/>
  <c r="E10681" i="9"/>
  <c r="D10681" i="9"/>
  <c r="C10681" i="9"/>
  <c r="B10681" i="9"/>
  <c r="H10680" i="9"/>
  <c r="G10680" i="9"/>
  <c r="E10680" i="9"/>
  <c r="D10680" i="9"/>
  <c r="C10680" i="9"/>
  <c r="B10680" i="9"/>
  <c r="H10679" i="9"/>
  <c r="G10679" i="9"/>
  <c r="E10679" i="9"/>
  <c r="D10679" i="9"/>
  <c r="C10679" i="9"/>
  <c r="B10679" i="9"/>
  <c r="H10678" i="9"/>
  <c r="G10678" i="9"/>
  <c r="E10678" i="9"/>
  <c r="D10678" i="9"/>
  <c r="C10678" i="9"/>
  <c r="B10678" i="9"/>
  <c r="H10677" i="9"/>
  <c r="G10677" i="9"/>
  <c r="E10677" i="9"/>
  <c r="D10677" i="9"/>
  <c r="C10677" i="9"/>
  <c r="B10677" i="9"/>
  <c r="H10676" i="9"/>
  <c r="G10676" i="9"/>
  <c r="E10676" i="9"/>
  <c r="D10676" i="9"/>
  <c r="C10676" i="9"/>
  <c r="B10676" i="9"/>
  <c r="H10675" i="9"/>
  <c r="G10675" i="9"/>
  <c r="E10675" i="9"/>
  <c r="D10675" i="9"/>
  <c r="C10675" i="9"/>
  <c r="B10675" i="9"/>
  <c r="H10674" i="9"/>
  <c r="G10674" i="9"/>
  <c r="E10674" i="9"/>
  <c r="D10674" i="9"/>
  <c r="C10674" i="9"/>
  <c r="B10674" i="9"/>
  <c r="H10673" i="9"/>
  <c r="G10673" i="9"/>
  <c r="E10673" i="9"/>
  <c r="D10673" i="9"/>
  <c r="C10673" i="9"/>
  <c r="B10673" i="9"/>
  <c r="H10672" i="9"/>
  <c r="G10672" i="9"/>
  <c r="E10672" i="9"/>
  <c r="D10672" i="9"/>
  <c r="C10672" i="9"/>
  <c r="B10672" i="9"/>
  <c r="H10671" i="9"/>
  <c r="G10671" i="9"/>
  <c r="E10671" i="9"/>
  <c r="D10671" i="9"/>
  <c r="C10671" i="9"/>
  <c r="B10671" i="9"/>
  <c r="H10670" i="9"/>
  <c r="G10670" i="9"/>
  <c r="E10670" i="9"/>
  <c r="D10670" i="9"/>
  <c r="C10670" i="9"/>
  <c r="B10670" i="9"/>
  <c r="H10669" i="9"/>
  <c r="G10669" i="9"/>
  <c r="E10669" i="9"/>
  <c r="D10669" i="9"/>
  <c r="C10669" i="9"/>
  <c r="B10669" i="9"/>
  <c r="H10668" i="9"/>
  <c r="G10668" i="9"/>
  <c r="E10668" i="9"/>
  <c r="D10668" i="9"/>
  <c r="C10668" i="9"/>
  <c r="B10668" i="9"/>
  <c r="H10667" i="9"/>
  <c r="G10667" i="9"/>
  <c r="E10667" i="9"/>
  <c r="D10667" i="9"/>
  <c r="C10667" i="9"/>
  <c r="B10667" i="9"/>
  <c r="H10666" i="9"/>
  <c r="G10666" i="9"/>
  <c r="E10666" i="9"/>
  <c r="D10666" i="9"/>
  <c r="C10666" i="9"/>
  <c r="B10666" i="9"/>
  <c r="H10665" i="9"/>
  <c r="G10665" i="9"/>
  <c r="E10665" i="9"/>
  <c r="D10665" i="9"/>
  <c r="C10665" i="9"/>
  <c r="B10665" i="9"/>
  <c r="H10664" i="9"/>
  <c r="G10664" i="9"/>
  <c r="E10664" i="9"/>
  <c r="D10664" i="9"/>
  <c r="C10664" i="9"/>
  <c r="B10664" i="9"/>
  <c r="H10663" i="9"/>
  <c r="G10663" i="9"/>
  <c r="E10663" i="9"/>
  <c r="D10663" i="9"/>
  <c r="C10663" i="9"/>
  <c r="B10663" i="9"/>
  <c r="H10662" i="9"/>
  <c r="G10662" i="9"/>
  <c r="E10662" i="9"/>
  <c r="D10662" i="9"/>
  <c r="C10662" i="9"/>
  <c r="B10662" i="9"/>
  <c r="H10661" i="9"/>
  <c r="G10661" i="9"/>
  <c r="E10661" i="9"/>
  <c r="D10661" i="9"/>
  <c r="C10661" i="9"/>
  <c r="B10661" i="9"/>
  <c r="H10660" i="9"/>
  <c r="G10660" i="9"/>
  <c r="E10660" i="9"/>
  <c r="D10660" i="9"/>
  <c r="C10660" i="9"/>
  <c r="B10660" i="9"/>
  <c r="H10659" i="9"/>
  <c r="G10659" i="9"/>
  <c r="E10659" i="9"/>
  <c r="D10659" i="9"/>
  <c r="C10659" i="9"/>
  <c r="B10659" i="9"/>
  <c r="H10658" i="9"/>
  <c r="G10658" i="9"/>
  <c r="E10658" i="9"/>
  <c r="D10658" i="9"/>
  <c r="C10658" i="9"/>
  <c r="B10658" i="9"/>
  <c r="H10657" i="9"/>
  <c r="G10657" i="9"/>
  <c r="E10657" i="9"/>
  <c r="D10657" i="9"/>
  <c r="C10657" i="9"/>
  <c r="B10657" i="9"/>
  <c r="H10656" i="9"/>
  <c r="G10656" i="9"/>
  <c r="E10656" i="9"/>
  <c r="D10656" i="9"/>
  <c r="C10656" i="9"/>
  <c r="B10656" i="9"/>
  <c r="H10655" i="9"/>
  <c r="G10655" i="9"/>
  <c r="E10655" i="9"/>
  <c r="D10655" i="9"/>
  <c r="C10655" i="9"/>
  <c r="B10655" i="9"/>
  <c r="H10654" i="9"/>
  <c r="G10654" i="9"/>
  <c r="E10654" i="9"/>
  <c r="D10654" i="9"/>
  <c r="C10654" i="9"/>
  <c r="B10654" i="9"/>
  <c r="H10653" i="9"/>
  <c r="G10653" i="9"/>
  <c r="E10653" i="9"/>
  <c r="D10653" i="9"/>
  <c r="C10653" i="9"/>
  <c r="B10653" i="9"/>
  <c r="H10652" i="9"/>
  <c r="G10652" i="9"/>
  <c r="E10652" i="9"/>
  <c r="D10652" i="9"/>
  <c r="C10652" i="9"/>
  <c r="B10652" i="9"/>
  <c r="H10651" i="9"/>
  <c r="G10651" i="9"/>
  <c r="E10651" i="9"/>
  <c r="D10651" i="9"/>
  <c r="C10651" i="9"/>
  <c r="B10651" i="9"/>
  <c r="H10650" i="9"/>
  <c r="G10650" i="9"/>
  <c r="E10650" i="9"/>
  <c r="D10650" i="9"/>
  <c r="C10650" i="9"/>
  <c r="B10650" i="9"/>
  <c r="H10649" i="9"/>
  <c r="G10649" i="9"/>
  <c r="E10649" i="9"/>
  <c r="D10649" i="9"/>
  <c r="C10649" i="9"/>
  <c r="B10649" i="9"/>
  <c r="H10648" i="9"/>
  <c r="G10648" i="9"/>
  <c r="E10648" i="9"/>
  <c r="D10648" i="9"/>
  <c r="C10648" i="9"/>
  <c r="B10648" i="9"/>
  <c r="H10647" i="9"/>
  <c r="G10647" i="9"/>
  <c r="E10647" i="9"/>
  <c r="D10647" i="9"/>
  <c r="C10647" i="9"/>
  <c r="B10647" i="9"/>
  <c r="H10646" i="9"/>
  <c r="G10646" i="9"/>
  <c r="E10646" i="9"/>
  <c r="D10646" i="9"/>
  <c r="C10646" i="9"/>
  <c r="B10646" i="9"/>
  <c r="H10645" i="9"/>
  <c r="G10645" i="9"/>
  <c r="E10645" i="9"/>
  <c r="D10645" i="9"/>
  <c r="C10645" i="9"/>
  <c r="B10645" i="9"/>
  <c r="H10644" i="9"/>
  <c r="G10644" i="9"/>
  <c r="E10644" i="9"/>
  <c r="D10644" i="9"/>
  <c r="C10644" i="9"/>
  <c r="B10644" i="9"/>
  <c r="H10643" i="9"/>
  <c r="G10643" i="9"/>
  <c r="E10643" i="9"/>
  <c r="D10643" i="9"/>
  <c r="C10643" i="9"/>
  <c r="B10643" i="9"/>
  <c r="H10642" i="9"/>
  <c r="G10642" i="9"/>
  <c r="E10642" i="9"/>
  <c r="D10642" i="9"/>
  <c r="C10642" i="9"/>
  <c r="B10642" i="9"/>
  <c r="H10641" i="9"/>
  <c r="G10641" i="9"/>
  <c r="E10641" i="9"/>
  <c r="D10641" i="9"/>
  <c r="C10641" i="9"/>
  <c r="B10641" i="9"/>
  <c r="H10640" i="9"/>
  <c r="G10640" i="9"/>
  <c r="E10640" i="9"/>
  <c r="D10640" i="9"/>
  <c r="C10640" i="9"/>
  <c r="B10640" i="9"/>
  <c r="H10639" i="9"/>
  <c r="G10639" i="9"/>
  <c r="E10639" i="9"/>
  <c r="D10639" i="9"/>
  <c r="C10639" i="9"/>
  <c r="B10639" i="9"/>
  <c r="H10638" i="9"/>
  <c r="G10638" i="9"/>
  <c r="E10638" i="9"/>
  <c r="D10638" i="9"/>
  <c r="C10638" i="9"/>
  <c r="B10638" i="9"/>
  <c r="H10637" i="9"/>
  <c r="G10637" i="9"/>
  <c r="E10637" i="9"/>
  <c r="D10637" i="9"/>
  <c r="C10637" i="9"/>
  <c r="B10637" i="9"/>
  <c r="H10636" i="9"/>
  <c r="G10636" i="9"/>
  <c r="E10636" i="9"/>
  <c r="D10636" i="9"/>
  <c r="C10636" i="9"/>
  <c r="B10636" i="9"/>
  <c r="H10635" i="9"/>
  <c r="G10635" i="9"/>
  <c r="E10635" i="9"/>
  <c r="D10635" i="9"/>
  <c r="C10635" i="9"/>
  <c r="B10635" i="9"/>
  <c r="H10634" i="9"/>
  <c r="G10634" i="9"/>
  <c r="E10634" i="9"/>
  <c r="D10634" i="9"/>
  <c r="C10634" i="9"/>
  <c r="B10634" i="9"/>
  <c r="H10633" i="9"/>
  <c r="G10633" i="9"/>
  <c r="E10633" i="9"/>
  <c r="D10633" i="9"/>
  <c r="C10633" i="9"/>
  <c r="B10633" i="9"/>
  <c r="H10632" i="9"/>
  <c r="G10632" i="9"/>
  <c r="E10632" i="9"/>
  <c r="D10632" i="9"/>
  <c r="C10632" i="9"/>
  <c r="B10632" i="9"/>
  <c r="H10631" i="9"/>
  <c r="G10631" i="9"/>
  <c r="E10631" i="9"/>
  <c r="D10631" i="9"/>
  <c r="C10631" i="9"/>
  <c r="B10631" i="9"/>
  <c r="H10630" i="9"/>
  <c r="G10630" i="9"/>
  <c r="E10630" i="9"/>
  <c r="D10630" i="9"/>
  <c r="C10630" i="9"/>
  <c r="B10630" i="9"/>
  <c r="H10629" i="9"/>
  <c r="G10629" i="9"/>
  <c r="E10629" i="9"/>
  <c r="D10629" i="9"/>
  <c r="C10629" i="9"/>
  <c r="B10629" i="9"/>
  <c r="H10628" i="9"/>
  <c r="G10628" i="9"/>
  <c r="E10628" i="9"/>
  <c r="D10628" i="9"/>
  <c r="C10628" i="9"/>
  <c r="B10628" i="9"/>
  <c r="H10627" i="9"/>
  <c r="G10627" i="9"/>
  <c r="E10627" i="9"/>
  <c r="D10627" i="9"/>
  <c r="C10627" i="9"/>
  <c r="B10627" i="9"/>
  <c r="H10626" i="9"/>
  <c r="G10626" i="9"/>
  <c r="E10626" i="9"/>
  <c r="D10626" i="9"/>
  <c r="C10626" i="9"/>
  <c r="B10626" i="9"/>
  <c r="H10625" i="9"/>
  <c r="G10625" i="9"/>
  <c r="E10625" i="9"/>
  <c r="D10625" i="9"/>
  <c r="C10625" i="9"/>
  <c r="B10625" i="9"/>
  <c r="H10624" i="9"/>
  <c r="G10624" i="9"/>
  <c r="E10624" i="9"/>
  <c r="D10624" i="9"/>
  <c r="C10624" i="9"/>
  <c r="B10624" i="9"/>
  <c r="H10623" i="9"/>
  <c r="G10623" i="9"/>
  <c r="E10623" i="9"/>
  <c r="D10623" i="9"/>
  <c r="C10623" i="9"/>
  <c r="B10623" i="9"/>
  <c r="H10622" i="9"/>
  <c r="G10622" i="9"/>
  <c r="E10622" i="9"/>
  <c r="D10622" i="9"/>
  <c r="C10622" i="9"/>
  <c r="B10622" i="9"/>
  <c r="H10621" i="9"/>
  <c r="G10621" i="9"/>
  <c r="E10621" i="9"/>
  <c r="D10621" i="9"/>
  <c r="C10621" i="9"/>
  <c r="B10621" i="9"/>
  <c r="H10620" i="9"/>
  <c r="G10620" i="9"/>
  <c r="E10620" i="9"/>
  <c r="D10620" i="9"/>
  <c r="C10620" i="9"/>
  <c r="B10620" i="9"/>
  <c r="H10619" i="9"/>
  <c r="G10619" i="9"/>
  <c r="E10619" i="9"/>
  <c r="D10619" i="9"/>
  <c r="C10619" i="9"/>
  <c r="B10619" i="9"/>
  <c r="H10618" i="9"/>
  <c r="G10618" i="9"/>
  <c r="E10618" i="9"/>
  <c r="D10618" i="9"/>
  <c r="C10618" i="9"/>
  <c r="B10618" i="9"/>
  <c r="H10617" i="9"/>
  <c r="G10617" i="9"/>
  <c r="E10617" i="9"/>
  <c r="D10617" i="9"/>
  <c r="C10617" i="9"/>
  <c r="B10617" i="9"/>
  <c r="H10616" i="9"/>
  <c r="G10616" i="9"/>
  <c r="E10616" i="9"/>
  <c r="D10616" i="9"/>
  <c r="C10616" i="9"/>
  <c r="B10616" i="9"/>
  <c r="H10615" i="9"/>
  <c r="G10615" i="9"/>
  <c r="E10615" i="9"/>
  <c r="D10615" i="9"/>
  <c r="C10615" i="9"/>
  <c r="B10615" i="9"/>
  <c r="H10614" i="9"/>
  <c r="G10614" i="9"/>
  <c r="E10614" i="9"/>
  <c r="D10614" i="9"/>
  <c r="C10614" i="9"/>
  <c r="B10614" i="9"/>
  <c r="H10613" i="9"/>
  <c r="G10613" i="9"/>
  <c r="E10613" i="9"/>
  <c r="D10613" i="9"/>
  <c r="C10613" i="9"/>
  <c r="B10613" i="9"/>
  <c r="H10612" i="9"/>
  <c r="G10612" i="9"/>
  <c r="E10612" i="9"/>
  <c r="D10612" i="9"/>
  <c r="C10612" i="9"/>
  <c r="B10612" i="9"/>
  <c r="H10611" i="9"/>
  <c r="G10611" i="9"/>
  <c r="E10611" i="9"/>
  <c r="D10611" i="9"/>
  <c r="C10611" i="9"/>
  <c r="B10611" i="9"/>
  <c r="H10610" i="9"/>
  <c r="G10610" i="9"/>
  <c r="E10610" i="9"/>
  <c r="D10610" i="9"/>
  <c r="C10610" i="9"/>
  <c r="B10610" i="9"/>
  <c r="H10609" i="9"/>
  <c r="G10609" i="9"/>
  <c r="E10609" i="9"/>
  <c r="D10609" i="9"/>
  <c r="C10609" i="9"/>
  <c r="B10609" i="9"/>
  <c r="H10608" i="9"/>
  <c r="G10608" i="9"/>
  <c r="E10608" i="9"/>
  <c r="D10608" i="9"/>
  <c r="C10608" i="9"/>
  <c r="B10608" i="9"/>
  <c r="H10607" i="9"/>
  <c r="G10607" i="9"/>
  <c r="E10607" i="9"/>
  <c r="D10607" i="9"/>
  <c r="C10607" i="9"/>
  <c r="B10607" i="9"/>
  <c r="H10606" i="9"/>
  <c r="G10606" i="9"/>
  <c r="E10606" i="9"/>
  <c r="D10606" i="9"/>
  <c r="C10606" i="9"/>
  <c r="B10606" i="9"/>
  <c r="H10605" i="9"/>
  <c r="G10605" i="9"/>
  <c r="E10605" i="9"/>
  <c r="D10605" i="9"/>
  <c r="C10605" i="9"/>
  <c r="B10605" i="9"/>
  <c r="H10604" i="9"/>
  <c r="G10604" i="9"/>
  <c r="E10604" i="9"/>
  <c r="D10604" i="9"/>
  <c r="C10604" i="9"/>
  <c r="B10604" i="9"/>
  <c r="H10603" i="9"/>
  <c r="G10603" i="9"/>
  <c r="E10603" i="9"/>
  <c r="D10603" i="9"/>
  <c r="C10603" i="9"/>
  <c r="B10603" i="9"/>
  <c r="H10602" i="9"/>
  <c r="G10602" i="9"/>
  <c r="E10602" i="9"/>
  <c r="D10602" i="9"/>
  <c r="C10602" i="9"/>
  <c r="B10602" i="9"/>
  <c r="H10601" i="9"/>
  <c r="G10601" i="9"/>
  <c r="E10601" i="9"/>
  <c r="D10601" i="9"/>
  <c r="C10601" i="9"/>
  <c r="B10601" i="9"/>
  <c r="H10600" i="9"/>
  <c r="G10600" i="9"/>
  <c r="E10600" i="9"/>
  <c r="D10600" i="9"/>
  <c r="C10600" i="9"/>
  <c r="B10600" i="9"/>
  <c r="H10599" i="9"/>
  <c r="G10599" i="9"/>
  <c r="E10599" i="9"/>
  <c r="D10599" i="9"/>
  <c r="C10599" i="9"/>
  <c r="B10599" i="9"/>
  <c r="H10598" i="9"/>
  <c r="G10598" i="9"/>
  <c r="E10598" i="9"/>
  <c r="D10598" i="9"/>
  <c r="C10598" i="9"/>
  <c r="B10598" i="9"/>
  <c r="H10597" i="9"/>
  <c r="G10597" i="9"/>
  <c r="E10597" i="9"/>
  <c r="D10597" i="9"/>
  <c r="C10597" i="9"/>
  <c r="B10597" i="9"/>
  <c r="H10596" i="9"/>
  <c r="G10596" i="9"/>
  <c r="E10596" i="9"/>
  <c r="D10596" i="9"/>
  <c r="C10596" i="9"/>
  <c r="B10596" i="9"/>
  <c r="H10595" i="9"/>
  <c r="G10595" i="9"/>
  <c r="E10595" i="9"/>
  <c r="D10595" i="9"/>
  <c r="C10595" i="9"/>
  <c r="B10595" i="9"/>
  <c r="H10594" i="9"/>
  <c r="G10594" i="9"/>
  <c r="E10594" i="9"/>
  <c r="D10594" i="9"/>
  <c r="C10594" i="9"/>
  <c r="B10594" i="9"/>
  <c r="H10593" i="9"/>
  <c r="G10593" i="9"/>
  <c r="E10593" i="9"/>
  <c r="D10593" i="9"/>
  <c r="C10593" i="9"/>
  <c r="B10593" i="9"/>
  <c r="H10592" i="9"/>
  <c r="G10592" i="9"/>
  <c r="E10592" i="9"/>
  <c r="D10592" i="9"/>
  <c r="C10592" i="9"/>
  <c r="B10592" i="9"/>
  <c r="H10591" i="9"/>
  <c r="G10591" i="9"/>
  <c r="E10591" i="9"/>
  <c r="D10591" i="9"/>
  <c r="C10591" i="9"/>
  <c r="B10591" i="9"/>
  <c r="H10590" i="9"/>
  <c r="G10590" i="9"/>
  <c r="E10590" i="9"/>
  <c r="D10590" i="9"/>
  <c r="C10590" i="9"/>
  <c r="B10590" i="9"/>
  <c r="H10589" i="9"/>
  <c r="G10589" i="9"/>
  <c r="E10589" i="9"/>
  <c r="D10589" i="9"/>
  <c r="C10589" i="9"/>
  <c r="B10589" i="9"/>
  <c r="H10588" i="9"/>
  <c r="G10588" i="9"/>
  <c r="E10588" i="9"/>
  <c r="D10588" i="9"/>
  <c r="C10588" i="9"/>
  <c r="B10588" i="9"/>
  <c r="H10587" i="9"/>
  <c r="G10587" i="9"/>
  <c r="E10587" i="9"/>
  <c r="D10587" i="9"/>
  <c r="C10587" i="9"/>
  <c r="B10587" i="9"/>
  <c r="H10586" i="9"/>
  <c r="G10586" i="9"/>
  <c r="E10586" i="9"/>
  <c r="D10586" i="9"/>
  <c r="C10586" i="9"/>
  <c r="B10586" i="9"/>
  <c r="H10585" i="9"/>
  <c r="G10585" i="9"/>
  <c r="E10585" i="9"/>
  <c r="D10585" i="9"/>
  <c r="C10585" i="9"/>
  <c r="B10585" i="9"/>
  <c r="H10584" i="9"/>
  <c r="G10584" i="9"/>
  <c r="E10584" i="9"/>
  <c r="D10584" i="9"/>
  <c r="C10584" i="9"/>
  <c r="B10584" i="9"/>
  <c r="H10583" i="9"/>
  <c r="G10583" i="9"/>
  <c r="E10583" i="9"/>
  <c r="D10583" i="9"/>
  <c r="C10583" i="9"/>
  <c r="B10583" i="9"/>
  <c r="H10582" i="9"/>
  <c r="G10582" i="9"/>
  <c r="E10582" i="9"/>
  <c r="D10582" i="9"/>
  <c r="C10582" i="9"/>
  <c r="B10582" i="9"/>
  <c r="H10581" i="9"/>
  <c r="G10581" i="9"/>
  <c r="E10581" i="9"/>
  <c r="D10581" i="9"/>
  <c r="C10581" i="9"/>
  <c r="B10581" i="9"/>
  <c r="H10580" i="9"/>
  <c r="G10580" i="9"/>
  <c r="E10580" i="9"/>
  <c r="D10580" i="9"/>
  <c r="C10580" i="9"/>
  <c r="B10580" i="9"/>
  <c r="H10579" i="9"/>
  <c r="G10579" i="9"/>
  <c r="E10579" i="9"/>
  <c r="D10579" i="9"/>
  <c r="C10579" i="9"/>
  <c r="B10579" i="9"/>
  <c r="H10578" i="9"/>
  <c r="G10578" i="9"/>
  <c r="E10578" i="9"/>
  <c r="D10578" i="9"/>
  <c r="C10578" i="9"/>
  <c r="B10578" i="9"/>
  <c r="H10577" i="9"/>
  <c r="G10577" i="9"/>
  <c r="E10577" i="9"/>
  <c r="D10577" i="9"/>
  <c r="C10577" i="9"/>
  <c r="B10577" i="9"/>
  <c r="H10576" i="9"/>
  <c r="G10576" i="9"/>
  <c r="E10576" i="9"/>
  <c r="D10576" i="9"/>
  <c r="C10576" i="9"/>
  <c r="B10576" i="9"/>
  <c r="H10575" i="9"/>
  <c r="G10575" i="9"/>
  <c r="E10575" i="9"/>
  <c r="D10575" i="9"/>
  <c r="C10575" i="9"/>
  <c r="B10575" i="9"/>
  <c r="H10574" i="9"/>
  <c r="G10574" i="9"/>
  <c r="E10574" i="9"/>
  <c r="D10574" i="9"/>
  <c r="C10574" i="9"/>
  <c r="B10574" i="9"/>
  <c r="H10573" i="9"/>
  <c r="G10573" i="9"/>
  <c r="E10573" i="9"/>
  <c r="D10573" i="9"/>
  <c r="C10573" i="9"/>
  <c r="B10573" i="9"/>
  <c r="H10572" i="9"/>
  <c r="G10572" i="9"/>
  <c r="E10572" i="9"/>
  <c r="D10572" i="9"/>
  <c r="C10572" i="9"/>
  <c r="B10572" i="9"/>
  <c r="H10571" i="9"/>
  <c r="G10571" i="9"/>
  <c r="E10571" i="9"/>
  <c r="D10571" i="9"/>
  <c r="C10571" i="9"/>
  <c r="B10571" i="9"/>
  <c r="H10570" i="9"/>
  <c r="G10570" i="9"/>
  <c r="E10570" i="9"/>
  <c r="D10570" i="9"/>
  <c r="C10570" i="9"/>
  <c r="B10570" i="9"/>
  <c r="H10569" i="9"/>
  <c r="G10569" i="9"/>
  <c r="E10569" i="9"/>
  <c r="D10569" i="9"/>
  <c r="C10569" i="9"/>
  <c r="B10569" i="9"/>
  <c r="H10568" i="9"/>
  <c r="G10568" i="9"/>
  <c r="E10568" i="9"/>
  <c r="D10568" i="9"/>
  <c r="C10568" i="9"/>
  <c r="B10568" i="9"/>
  <c r="H10567" i="9"/>
  <c r="G10567" i="9"/>
  <c r="E10567" i="9"/>
  <c r="D10567" i="9"/>
  <c r="C10567" i="9"/>
  <c r="B10567" i="9"/>
  <c r="H10566" i="9"/>
  <c r="G10566" i="9"/>
  <c r="E10566" i="9"/>
  <c r="D10566" i="9"/>
  <c r="C10566" i="9"/>
  <c r="B10566" i="9"/>
  <c r="H10565" i="9"/>
  <c r="G10565" i="9"/>
  <c r="E10565" i="9"/>
  <c r="D10565" i="9"/>
  <c r="C10565" i="9"/>
  <c r="B10565" i="9"/>
  <c r="H10564" i="9"/>
  <c r="G10564" i="9"/>
  <c r="E10564" i="9"/>
  <c r="D10564" i="9"/>
  <c r="C10564" i="9"/>
  <c r="B10564" i="9"/>
  <c r="H10563" i="9"/>
  <c r="G10563" i="9"/>
  <c r="E10563" i="9"/>
  <c r="D10563" i="9"/>
  <c r="C10563" i="9"/>
  <c r="B10563" i="9"/>
  <c r="H10562" i="9"/>
  <c r="G10562" i="9"/>
  <c r="E10562" i="9"/>
  <c r="D10562" i="9"/>
  <c r="C10562" i="9"/>
  <c r="B10562" i="9"/>
  <c r="H10561" i="9"/>
  <c r="G10561" i="9"/>
  <c r="E10561" i="9"/>
  <c r="D10561" i="9"/>
  <c r="C10561" i="9"/>
  <c r="B10561" i="9"/>
  <c r="H10560" i="9"/>
  <c r="G10560" i="9"/>
  <c r="E10560" i="9"/>
  <c r="D10560" i="9"/>
  <c r="C10560" i="9"/>
  <c r="B10560" i="9"/>
  <c r="H10559" i="9"/>
  <c r="G10559" i="9"/>
  <c r="E10559" i="9"/>
  <c r="D10559" i="9"/>
  <c r="C10559" i="9"/>
  <c r="B10559" i="9"/>
  <c r="H10558" i="9"/>
  <c r="G10558" i="9"/>
  <c r="E10558" i="9"/>
  <c r="D10558" i="9"/>
  <c r="C10558" i="9"/>
  <c r="B10558" i="9"/>
  <c r="H10557" i="9"/>
  <c r="G10557" i="9"/>
  <c r="E10557" i="9"/>
  <c r="D10557" i="9"/>
  <c r="C10557" i="9"/>
  <c r="B10557" i="9"/>
  <c r="H10556" i="9"/>
  <c r="G10556" i="9"/>
  <c r="E10556" i="9"/>
  <c r="D10556" i="9"/>
  <c r="C10556" i="9"/>
  <c r="B10556" i="9"/>
  <c r="H10555" i="9"/>
  <c r="G10555" i="9"/>
  <c r="E10555" i="9"/>
  <c r="D10555" i="9"/>
  <c r="C10555" i="9"/>
  <c r="B10555" i="9"/>
  <c r="H10554" i="9"/>
  <c r="G10554" i="9"/>
  <c r="E10554" i="9"/>
  <c r="D10554" i="9"/>
  <c r="C10554" i="9"/>
  <c r="B10554" i="9"/>
  <c r="H10553" i="9"/>
  <c r="G10553" i="9"/>
  <c r="E10553" i="9"/>
  <c r="D10553" i="9"/>
  <c r="C10553" i="9"/>
  <c r="B10553" i="9"/>
  <c r="H10552" i="9"/>
  <c r="G10552" i="9"/>
  <c r="E10552" i="9"/>
  <c r="D10552" i="9"/>
  <c r="C10552" i="9"/>
  <c r="B10552" i="9"/>
  <c r="H10551" i="9"/>
  <c r="G10551" i="9"/>
  <c r="E10551" i="9"/>
  <c r="D10551" i="9"/>
  <c r="C10551" i="9"/>
  <c r="B10551" i="9"/>
  <c r="H10550" i="9"/>
  <c r="G10550" i="9"/>
  <c r="E10550" i="9"/>
  <c r="D10550" i="9"/>
  <c r="C10550" i="9"/>
  <c r="B10550" i="9"/>
  <c r="H10549" i="9"/>
  <c r="G10549" i="9"/>
  <c r="E10549" i="9"/>
  <c r="D10549" i="9"/>
  <c r="C10549" i="9"/>
  <c r="B10549" i="9"/>
  <c r="H10548" i="9"/>
  <c r="G10548" i="9"/>
  <c r="E10548" i="9"/>
  <c r="D10548" i="9"/>
  <c r="C10548" i="9"/>
  <c r="B10548" i="9"/>
  <c r="H10547" i="9"/>
  <c r="G10547" i="9"/>
  <c r="E10547" i="9"/>
  <c r="D10547" i="9"/>
  <c r="C10547" i="9"/>
  <c r="B10547" i="9"/>
  <c r="H10546" i="9"/>
  <c r="G10546" i="9"/>
  <c r="E10546" i="9"/>
  <c r="D10546" i="9"/>
  <c r="C10546" i="9"/>
  <c r="B10546" i="9"/>
  <c r="H10545" i="9"/>
  <c r="G10545" i="9"/>
  <c r="E10545" i="9"/>
  <c r="D10545" i="9"/>
  <c r="C10545" i="9"/>
  <c r="B10545" i="9"/>
  <c r="H10544" i="9"/>
  <c r="G10544" i="9"/>
  <c r="E10544" i="9"/>
  <c r="D10544" i="9"/>
  <c r="C10544" i="9"/>
  <c r="B10544" i="9"/>
  <c r="H10543" i="9"/>
  <c r="G10543" i="9"/>
  <c r="E10543" i="9"/>
  <c r="D10543" i="9"/>
  <c r="C10543" i="9"/>
  <c r="B10543" i="9"/>
  <c r="H10542" i="9"/>
  <c r="G10542" i="9"/>
  <c r="E10542" i="9"/>
  <c r="D10542" i="9"/>
  <c r="C10542" i="9"/>
  <c r="B10542" i="9"/>
  <c r="H10541" i="9"/>
  <c r="G10541" i="9"/>
  <c r="E10541" i="9"/>
  <c r="D10541" i="9"/>
  <c r="C10541" i="9"/>
  <c r="B10541" i="9"/>
  <c r="H10540" i="9"/>
  <c r="G10540" i="9"/>
  <c r="E10540" i="9"/>
  <c r="D10540" i="9"/>
  <c r="C10540" i="9"/>
  <c r="B10540" i="9"/>
  <c r="H10539" i="9"/>
  <c r="G10539" i="9"/>
  <c r="E10539" i="9"/>
  <c r="D10539" i="9"/>
  <c r="C10539" i="9"/>
  <c r="B10539" i="9"/>
  <c r="H10538" i="9"/>
  <c r="G10538" i="9"/>
  <c r="E10538" i="9"/>
  <c r="D10538" i="9"/>
  <c r="C10538" i="9"/>
  <c r="B10538" i="9"/>
  <c r="H10537" i="9"/>
  <c r="G10537" i="9"/>
  <c r="E10537" i="9"/>
  <c r="D10537" i="9"/>
  <c r="C10537" i="9"/>
  <c r="B10537" i="9"/>
  <c r="H10536" i="9"/>
  <c r="G10536" i="9"/>
  <c r="E10536" i="9"/>
  <c r="D10536" i="9"/>
  <c r="C10536" i="9"/>
  <c r="B10536" i="9"/>
  <c r="H10535" i="9"/>
  <c r="G10535" i="9"/>
  <c r="E10535" i="9"/>
  <c r="D10535" i="9"/>
  <c r="C10535" i="9"/>
  <c r="B10535" i="9"/>
  <c r="H10534" i="9"/>
  <c r="G10534" i="9"/>
  <c r="E10534" i="9"/>
  <c r="D10534" i="9"/>
  <c r="C10534" i="9"/>
  <c r="B10534" i="9"/>
  <c r="H10533" i="9"/>
  <c r="G10533" i="9"/>
  <c r="E10533" i="9"/>
  <c r="D10533" i="9"/>
  <c r="C10533" i="9"/>
  <c r="B10533" i="9"/>
  <c r="H10532" i="9"/>
  <c r="G10532" i="9"/>
  <c r="E10532" i="9"/>
  <c r="D10532" i="9"/>
  <c r="C10532" i="9"/>
  <c r="B10532" i="9"/>
  <c r="H10531" i="9"/>
  <c r="G10531" i="9"/>
  <c r="E10531" i="9"/>
  <c r="D10531" i="9"/>
  <c r="C10531" i="9"/>
  <c r="B10531" i="9"/>
  <c r="H10530" i="9"/>
  <c r="G10530" i="9"/>
  <c r="E10530" i="9"/>
  <c r="D10530" i="9"/>
  <c r="C10530" i="9"/>
  <c r="B10530" i="9"/>
  <c r="H10529" i="9"/>
  <c r="G10529" i="9"/>
  <c r="E10529" i="9"/>
  <c r="D10529" i="9"/>
  <c r="C10529" i="9"/>
  <c r="B10529" i="9"/>
  <c r="H10528" i="9"/>
  <c r="G10528" i="9"/>
  <c r="E10528" i="9"/>
  <c r="D10528" i="9"/>
  <c r="C10528" i="9"/>
  <c r="B10528" i="9"/>
  <c r="H10527" i="9"/>
  <c r="G10527" i="9"/>
  <c r="E10527" i="9"/>
  <c r="D10527" i="9"/>
  <c r="C10527" i="9"/>
  <c r="B10527" i="9"/>
  <c r="H10526" i="9"/>
  <c r="G10526" i="9"/>
  <c r="E10526" i="9"/>
  <c r="D10526" i="9"/>
  <c r="C10526" i="9"/>
  <c r="B10526" i="9"/>
  <c r="H10525" i="9"/>
  <c r="G10525" i="9"/>
  <c r="E10525" i="9"/>
  <c r="D10525" i="9"/>
  <c r="C10525" i="9"/>
  <c r="B10525" i="9"/>
  <c r="H10524" i="9"/>
  <c r="G10524" i="9"/>
  <c r="E10524" i="9"/>
  <c r="D10524" i="9"/>
  <c r="C10524" i="9"/>
  <c r="B10524" i="9"/>
  <c r="H10523" i="9"/>
  <c r="G10523" i="9"/>
  <c r="E10523" i="9"/>
  <c r="D10523" i="9"/>
  <c r="C10523" i="9"/>
  <c r="B10523" i="9"/>
  <c r="H10522" i="9"/>
  <c r="G10522" i="9"/>
  <c r="E10522" i="9"/>
  <c r="D10522" i="9"/>
  <c r="C10522" i="9"/>
  <c r="B10522" i="9"/>
  <c r="H10521" i="9"/>
  <c r="G10521" i="9"/>
  <c r="E10521" i="9"/>
  <c r="D10521" i="9"/>
  <c r="C10521" i="9"/>
  <c r="B10521" i="9"/>
  <c r="H10520" i="9"/>
  <c r="G10520" i="9"/>
  <c r="E10520" i="9"/>
  <c r="D10520" i="9"/>
  <c r="C10520" i="9"/>
  <c r="B10520" i="9"/>
  <c r="H10519" i="9"/>
  <c r="G10519" i="9"/>
  <c r="E10519" i="9"/>
  <c r="D10519" i="9"/>
  <c r="C10519" i="9"/>
  <c r="B10519" i="9"/>
  <c r="H10518" i="9"/>
  <c r="G10518" i="9"/>
  <c r="E10518" i="9"/>
  <c r="D10518" i="9"/>
  <c r="C10518" i="9"/>
  <c r="B10518" i="9"/>
  <c r="H10517" i="9"/>
  <c r="G10517" i="9"/>
  <c r="E10517" i="9"/>
  <c r="D10517" i="9"/>
  <c r="C10517" i="9"/>
  <c r="B10517" i="9"/>
  <c r="H10516" i="9"/>
  <c r="G10516" i="9"/>
  <c r="E10516" i="9"/>
  <c r="D10516" i="9"/>
  <c r="C10516" i="9"/>
  <c r="B10516" i="9"/>
  <c r="H10515" i="9"/>
  <c r="G10515" i="9"/>
  <c r="E10515" i="9"/>
  <c r="D10515" i="9"/>
  <c r="C10515" i="9"/>
  <c r="B10515" i="9"/>
  <c r="H10514" i="9"/>
  <c r="G10514" i="9"/>
  <c r="E10514" i="9"/>
  <c r="D10514" i="9"/>
  <c r="C10514" i="9"/>
  <c r="B10514" i="9"/>
  <c r="H10513" i="9"/>
  <c r="G10513" i="9"/>
  <c r="E10513" i="9"/>
  <c r="D10513" i="9"/>
  <c r="C10513" i="9"/>
  <c r="B10513" i="9"/>
  <c r="H10512" i="9"/>
  <c r="G10512" i="9"/>
  <c r="E10512" i="9"/>
  <c r="D10512" i="9"/>
  <c r="C10512" i="9"/>
  <c r="B10512" i="9"/>
  <c r="H10511" i="9"/>
  <c r="G10511" i="9"/>
  <c r="E10511" i="9"/>
  <c r="D10511" i="9"/>
  <c r="C10511" i="9"/>
  <c r="B10511" i="9"/>
  <c r="H10510" i="9"/>
  <c r="G10510" i="9"/>
  <c r="E10510" i="9"/>
  <c r="D10510" i="9"/>
  <c r="C10510" i="9"/>
  <c r="B10510" i="9"/>
  <c r="H10509" i="9"/>
  <c r="G10509" i="9"/>
  <c r="E10509" i="9"/>
  <c r="D10509" i="9"/>
  <c r="C10509" i="9"/>
  <c r="B10509" i="9"/>
  <c r="H10508" i="9"/>
  <c r="G10508" i="9"/>
  <c r="E10508" i="9"/>
  <c r="D10508" i="9"/>
  <c r="C10508" i="9"/>
  <c r="B10508" i="9"/>
  <c r="H10507" i="9"/>
  <c r="G10507" i="9"/>
  <c r="E10507" i="9"/>
  <c r="D10507" i="9"/>
  <c r="C10507" i="9"/>
  <c r="B10507" i="9"/>
  <c r="H10506" i="9"/>
  <c r="G10506" i="9"/>
  <c r="E10506" i="9"/>
  <c r="D10506" i="9"/>
  <c r="C10506" i="9"/>
  <c r="B10506" i="9"/>
  <c r="H10505" i="9"/>
  <c r="G10505" i="9"/>
  <c r="E10505" i="9"/>
  <c r="D10505" i="9"/>
  <c r="C10505" i="9"/>
  <c r="B10505" i="9"/>
  <c r="H10504" i="9"/>
  <c r="G10504" i="9"/>
  <c r="E10504" i="9"/>
  <c r="D10504" i="9"/>
  <c r="C10504" i="9"/>
  <c r="B10504" i="9"/>
  <c r="H10503" i="9"/>
  <c r="G10503" i="9"/>
  <c r="E10503" i="9"/>
  <c r="D10503" i="9"/>
  <c r="C10503" i="9"/>
  <c r="B10503" i="9"/>
  <c r="H10502" i="9"/>
  <c r="G10502" i="9"/>
  <c r="E10502" i="9"/>
  <c r="D10502" i="9"/>
  <c r="C10502" i="9"/>
  <c r="B10502" i="9"/>
  <c r="H10501" i="9"/>
  <c r="G10501" i="9"/>
  <c r="E10501" i="9"/>
  <c r="D10501" i="9"/>
  <c r="C10501" i="9"/>
  <c r="B10501" i="9"/>
  <c r="H10500" i="9"/>
  <c r="G10500" i="9"/>
  <c r="E10500" i="9"/>
  <c r="D10500" i="9"/>
  <c r="C10500" i="9"/>
  <c r="B10500" i="9"/>
  <c r="H10499" i="9"/>
  <c r="G10499" i="9"/>
  <c r="E10499" i="9"/>
  <c r="D10499" i="9"/>
  <c r="C10499" i="9"/>
  <c r="B10499" i="9"/>
  <c r="H10498" i="9"/>
  <c r="G10498" i="9"/>
  <c r="E10498" i="9"/>
  <c r="D10498" i="9"/>
  <c r="C10498" i="9"/>
  <c r="B10498" i="9"/>
  <c r="H10497" i="9"/>
  <c r="G10497" i="9"/>
  <c r="E10497" i="9"/>
  <c r="D10497" i="9"/>
  <c r="C10497" i="9"/>
  <c r="B10497" i="9"/>
  <c r="H10496" i="9"/>
  <c r="G10496" i="9"/>
  <c r="E10496" i="9"/>
  <c r="D10496" i="9"/>
  <c r="C10496" i="9"/>
  <c r="B10496" i="9"/>
  <c r="H10495" i="9"/>
  <c r="G10495" i="9"/>
  <c r="E10495" i="9"/>
  <c r="D10495" i="9"/>
  <c r="C10495" i="9"/>
  <c r="B10495" i="9"/>
  <c r="H10494" i="9"/>
  <c r="G10494" i="9"/>
  <c r="E10494" i="9"/>
  <c r="D10494" i="9"/>
  <c r="C10494" i="9"/>
  <c r="B10494" i="9"/>
  <c r="H10493" i="9"/>
  <c r="G10493" i="9"/>
  <c r="E10493" i="9"/>
  <c r="D10493" i="9"/>
  <c r="C10493" i="9"/>
  <c r="B10493" i="9"/>
  <c r="H10492" i="9"/>
  <c r="G10492" i="9"/>
  <c r="E10492" i="9"/>
  <c r="D10492" i="9"/>
  <c r="C10492" i="9"/>
  <c r="B10492" i="9"/>
  <c r="H10491" i="9"/>
  <c r="G10491" i="9"/>
  <c r="E10491" i="9"/>
  <c r="D10491" i="9"/>
  <c r="C10491" i="9"/>
  <c r="B10491" i="9"/>
  <c r="H10490" i="9"/>
  <c r="G10490" i="9"/>
  <c r="E10490" i="9"/>
  <c r="D10490" i="9"/>
  <c r="C10490" i="9"/>
  <c r="B10490" i="9"/>
  <c r="H10489" i="9"/>
  <c r="G10489" i="9"/>
  <c r="E10489" i="9"/>
  <c r="D10489" i="9"/>
  <c r="C10489" i="9"/>
  <c r="B10489" i="9"/>
  <c r="H10488" i="9"/>
  <c r="G10488" i="9"/>
  <c r="E10488" i="9"/>
  <c r="D10488" i="9"/>
  <c r="C10488" i="9"/>
  <c r="B10488" i="9"/>
  <c r="H10487" i="9"/>
  <c r="G10487" i="9"/>
  <c r="E10487" i="9"/>
  <c r="D10487" i="9"/>
  <c r="C10487" i="9"/>
  <c r="B10487" i="9"/>
  <c r="H10486" i="9"/>
  <c r="G10486" i="9"/>
  <c r="E10486" i="9"/>
  <c r="D10486" i="9"/>
  <c r="C10486" i="9"/>
  <c r="B10486" i="9"/>
  <c r="H10485" i="9"/>
  <c r="G10485" i="9"/>
  <c r="E10485" i="9"/>
  <c r="D10485" i="9"/>
  <c r="C10485" i="9"/>
  <c r="B10485" i="9"/>
  <c r="H10484" i="9"/>
  <c r="G10484" i="9"/>
  <c r="E10484" i="9"/>
  <c r="D10484" i="9"/>
  <c r="C10484" i="9"/>
  <c r="B10484" i="9"/>
  <c r="H10483" i="9"/>
  <c r="G10483" i="9"/>
  <c r="E10483" i="9"/>
  <c r="D10483" i="9"/>
  <c r="C10483" i="9"/>
  <c r="B10483" i="9"/>
  <c r="H10482" i="9"/>
  <c r="G10482" i="9"/>
  <c r="E10482" i="9"/>
  <c r="D10482" i="9"/>
  <c r="C10482" i="9"/>
  <c r="B10482" i="9"/>
  <c r="H10481" i="9"/>
  <c r="G10481" i="9"/>
  <c r="E10481" i="9"/>
  <c r="D10481" i="9"/>
  <c r="C10481" i="9"/>
  <c r="B10481" i="9"/>
  <c r="H10480" i="9"/>
  <c r="G10480" i="9"/>
  <c r="E10480" i="9"/>
  <c r="D10480" i="9"/>
  <c r="C10480" i="9"/>
  <c r="B10480" i="9"/>
  <c r="H10479" i="9"/>
  <c r="G10479" i="9"/>
  <c r="E10479" i="9"/>
  <c r="D10479" i="9"/>
  <c r="C10479" i="9"/>
  <c r="B10479" i="9"/>
  <c r="H10478" i="9"/>
  <c r="G10478" i="9"/>
  <c r="E10478" i="9"/>
  <c r="D10478" i="9"/>
  <c r="C10478" i="9"/>
  <c r="B10478" i="9"/>
  <c r="H10477" i="9"/>
  <c r="G10477" i="9"/>
  <c r="E10477" i="9"/>
  <c r="D10477" i="9"/>
  <c r="C10477" i="9"/>
  <c r="B10477" i="9"/>
  <c r="H10476" i="9"/>
  <c r="G10476" i="9"/>
  <c r="E10476" i="9"/>
  <c r="D10476" i="9"/>
  <c r="C10476" i="9"/>
  <c r="B10476" i="9"/>
  <c r="H10475" i="9"/>
  <c r="G10475" i="9"/>
  <c r="E10475" i="9"/>
  <c r="D10475" i="9"/>
  <c r="C10475" i="9"/>
  <c r="B10475" i="9"/>
  <c r="H10474" i="9"/>
  <c r="G10474" i="9"/>
  <c r="E10474" i="9"/>
  <c r="D10474" i="9"/>
  <c r="C10474" i="9"/>
  <c r="B10474" i="9"/>
  <c r="H10473" i="9"/>
  <c r="G10473" i="9"/>
  <c r="E10473" i="9"/>
  <c r="D10473" i="9"/>
  <c r="C10473" i="9"/>
  <c r="B10473" i="9"/>
  <c r="H10472" i="9"/>
  <c r="G10472" i="9"/>
  <c r="E10472" i="9"/>
  <c r="D10472" i="9"/>
  <c r="C10472" i="9"/>
  <c r="B10472" i="9"/>
  <c r="H10471" i="9"/>
  <c r="G10471" i="9"/>
  <c r="E10471" i="9"/>
  <c r="D10471" i="9"/>
  <c r="C10471" i="9"/>
  <c r="B10471" i="9"/>
  <c r="H10470" i="9"/>
  <c r="G10470" i="9"/>
  <c r="E10470" i="9"/>
  <c r="D10470" i="9"/>
  <c r="C10470" i="9"/>
  <c r="B10470" i="9"/>
  <c r="H10469" i="9"/>
  <c r="G10469" i="9"/>
  <c r="E10469" i="9"/>
  <c r="D10469" i="9"/>
  <c r="C10469" i="9"/>
  <c r="B10469" i="9"/>
  <c r="H10468" i="9"/>
  <c r="G10468" i="9"/>
  <c r="E10468" i="9"/>
  <c r="D10468" i="9"/>
  <c r="C10468" i="9"/>
  <c r="B10468" i="9"/>
  <c r="H10467" i="9"/>
  <c r="G10467" i="9"/>
  <c r="E10467" i="9"/>
  <c r="D10467" i="9"/>
  <c r="C10467" i="9"/>
  <c r="B10467" i="9"/>
  <c r="H10466" i="9"/>
  <c r="G10466" i="9"/>
  <c r="E10466" i="9"/>
  <c r="D10466" i="9"/>
  <c r="C10466" i="9"/>
  <c r="B10466" i="9"/>
  <c r="H10465" i="9"/>
  <c r="G10465" i="9"/>
  <c r="E10465" i="9"/>
  <c r="D10465" i="9"/>
  <c r="C10465" i="9"/>
  <c r="B10465" i="9"/>
  <c r="H10464" i="9"/>
  <c r="G10464" i="9"/>
  <c r="E10464" i="9"/>
  <c r="D10464" i="9"/>
  <c r="C10464" i="9"/>
  <c r="B10464" i="9"/>
  <c r="H10463" i="9"/>
  <c r="G10463" i="9"/>
  <c r="E10463" i="9"/>
  <c r="D10463" i="9"/>
  <c r="C10463" i="9"/>
  <c r="B10463" i="9"/>
  <c r="H10462" i="9"/>
  <c r="G10462" i="9"/>
  <c r="E10462" i="9"/>
  <c r="D10462" i="9"/>
  <c r="C10462" i="9"/>
  <c r="B10462" i="9"/>
  <c r="H10461" i="9"/>
  <c r="G10461" i="9"/>
  <c r="E10461" i="9"/>
  <c r="D10461" i="9"/>
  <c r="C10461" i="9"/>
  <c r="B10461" i="9"/>
  <c r="H10460" i="9"/>
  <c r="G10460" i="9"/>
  <c r="E10460" i="9"/>
  <c r="D10460" i="9"/>
  <c r="C10460" i="9"/>
  <c r="B10460" i="9"/>
  <c r="H10459" i="9"/>
  <c r="G10459" i="9"/>
  <c r="E10459" i="9"/>
  <c r="D10459" i="9"/>
  <c r="C10459" i="9"/>
  <c r="B10459" i="9"/>
  <c r="H10458" i="9"/>
  <c r="G10458" i="9"/>
  <c r="E10458" i="9"/>
  <c r="D10458" i="9"/>
  <c r="C10458" i="9"/>
  <c r="B10458" i="9"/>
  <c r="H10457" i="9"/>
  <c r="G10457" i="9"/>
  <c r="E10457" i="9"/>
  <c r="D10457" i="9"/>
  <c r="C10457" i="9"/>
  <c r="B10457" i="9"/>
  <c r="H10456" i="9"/>
  <c r="G10456" i="9"/>
  <c r="E10456" i="9"/>
  <c r="D10456" i="9"/>
  <c r="C10456" i="9"/>
  <c r="B10456" i="9"/>
  <c r="H10455" i="9"/>
  <c r="G10455" i="9"/>
  <c r="E10455" i="9"/>
  <c r="D10455" i="9"/>
  <c r="C10455" i="9"/>
  <c r="B10455" i="9"/>
  <c r="H10454" i="9"/>
  <c r="G10454" i="9"/>
  <c r="E10454" i="9"/>
  <c r="D10454" i="9"/>
  <c r="C10454" i="9"/>
  <c r="B10454" i="9"/>
  <c r="H10453" i="9"/>
  <c r="G10453" i="9"/>
  <c r="E10453" i="9"/>
  <c r="D10453" i="9"/>
  <c r="C10453" i="9"/>
  <c r="B10453" i="9"/>
  <c r="H10452" i="9"/>
  <c r="G10452" i="9"/>
  <c r="E10452" i="9"/>
  <c r="D10452" i="9"/>
  <c r="C10452" i="9"/>
  <c r="B10452" i="9"/>
  <c r="H10451" i="9"/>
  <c r="G10451" i="9"/>
  <c r="E10451" i="9"/>
  <c r="D10451" i="9"/>
  <c r="C10451" i="9"/>
  <c r="B10451" i="9"/>
  <c r="H10450" i="9"/>
  <c r="G10450" i="9"/>
  <c r="E10450" i="9"/>
  <c r="D10450" i="9"/>
  <c r="C10450" i="9"/>
  <c r="B10450" i="9"/>
  <c r="H10449" i="9"/>
  <c r="G10449" i="9"/>
  <c r="E10449" i="9"/>
  <c r="D10449" i="9"/>
  <c r="C10449" i="9"/>
  <c r="B10449" i="9"/>
  <c r="H10448" i="9"/>
  <c r="G10448" i="9"/>
  <c r="E10448" i="9"/>
  <c r="D10448" i="9"/>
  <c r="C10448" i="9"/>
  <c r="B10448" i="9"/>
  <c r="H10447" i="9"/>
  <c r="G10447" i="9"/>
  <c r="E10447" i="9"/>
  <c r="D10447" i="9"/>
  <c r="C10447" i="9"/>
  <c r="B10447" i="9"/>
  <c r="H10446" i="9"/>
  <c r="G10446" i="9"/>
  <c r="E10446" i="9"/>
  <c r="D10446" i="9"/>
  <c r="C10446" i="9"/>
  <c r="B10446" i="9"/>
  <c r="H10445" i="9"/>
  <c r="G10445" i="9"/>
  <c r="E10445" i="9"/>
  <c r="D10445" i="9"/>
  <c r="C10445" i="9"/>
  <c r="B10445" i="9"/>
  <c r="H10444" i="9"/>
  <c r="G10444" i="9"/>
  <c r="E10444" i="9"/>
  <c r="D10444" i="9"/>
  <c r="C10444" i="9"/>
  <c r="B10444" i="9"/>
  <c r="H10443" i="9"/>
  <c r="G10443" i="9"/>
  <c r="E10443" i="9"/>
  <c r="D10443" i="9"/>
  <c r="C10443" i="9"/>
  <c r="B10443" i="9"/>
  <c r="H10442" i="9"/>
  <c r="G10442" i="9"/>
  <c r="E10442" i="9"/>
  <c r="D10442" i="9"/>
  <c r="C10442" i="9"/>
  <c r="B10442" i="9"/>
  <c r="H10441" i="9"/>
  <c r="G10441" i="9"/>
  <c r="E10441" i="9"/>
  <c r="D10441" i="9"/>
  <c r="C10441" i="9"/>
  <c r="B10441" i="9"/>
  <c r="H10440" i="9"/>
  <c r="G10440" i="9"/>
  <c r="E10440" i="9"/>
  <c r="D10440" i="9"/>
  <c r="C10440" i="9"/>
  <c r="B10440" i="9"/>
  <c r="H10439" i="9"/>
  <c r="G10439" i="9"/>
  <c r="E10439" i="9"/>
  <c r="D10439" i="9"/>
  <c r="C10439" i="9"/>
  <c r="B10439" i="9"/>
  <c r="H10438" i="9"/>
  <c r="G10438" i="9"/>
  <c r="E10438" i="9"/>
  <c r="D10438" i="9"/>
  <c r="C10438" i="9"/>
  <c r="B10438" i="9"/>
  <c r="H10437" i="9"/>
  <c r="G10437" i="9"/>
  <c r="E10437" i="9"/>
  <c r="D10437" i="9"/>
  <c r="C10437" i="9"/>
  <c r="B10437" i="9"/>
  <c r="H10436" i="9"/>
  <c r="G10436" i="9"/>
  <c r="E10436" i="9"/>
  <c r="D10436" i="9"/>
  <c r="C10436" i="9"/>
  <c r="B10436" i="9"/>
  <c r="H10435" i="9"/>
  <c r="G10435" i="9"/>
  <c r="E10435" i="9"/>
  <c r="D10435" i="9"/>
  <c r="C10435" i="9"/>
  <c r="B10435" i="9"/>
  <c r="H10434" i="9"/>
  <c r="G10434" i="9"/>
  <c r="E10434" i="9"/>
  <c r="D10434" i="9"/>
  <c r="C10434" i="9"/>
  <c r="B10434" i="9"/>
  <c r="H10433" i="9"/>
  <c r="G10433" i="9"/>
  <c r="E10433" i="9"/>
  <c r="D10433" i="9"/>
  <c r="C10433" i="9"/>
  <c r="B10433" i="9"/>
  <c r="H10432" i="9"/>
  <c r="G10432" i="9"/>
  <c r="E10432" i="9"/>
  <c r="D10432" i="9"/>
  <c r="C10432" i="9"/>
  <c r="B10432" i="9"/>
  <c r="H10431" i="9"/>
  <c r="G10431" i="9"/>
  <c r="E10431" i="9"/>
  <c r="D10431" i="9"/>
  <c r="C10431" i="9"/>
  <c r="B10431" i="9"/>
  <c r="H10430" i="9"/>
  <c r="G10430" i="9"/>
  <c r="E10430" i="9"/>
  <c r="D10430" i="9"/>
  <c r="C10430" i="9"/>
  <c r="B10430" i="9"/>
  <c r="H10429" i="9"/>
  <c r="G10429" i="9"/>
  <c r="E10429" i="9"/>
  <c r="D10429" i="9"/>
  <c r="C10429" i="9"/>
  <c r="B10429" i="9"/>
  <c r="H10428" i="9"/>
  <c r="G10428" i="9"/>
  <c r="E10428" i="9"/>
  <c r="D10428" i="9"/>
  <c r="C10428" i="9"/>
  <c r="B10428" i="9"/>
  <c r="H10427" i="9"/>
  <c r="G10427" i="9"/>
  <c r="E10427" i="9"/>
  <c r="D10427" i="9"/>
  <c r="C10427" i="9"/>
  <c r="B10427" i="9"/>
  <c r="H10426" i="9"/>
  <c r="G10426" i="9"/>
  <c r="E10426" i="9"/>
  <c r="D10426" i="9"/>
  <c r="C10426" i="9"/>
  <c r="B10426" i="9"/>
  <c r="H10425" i="9"/>
  <c r="G10425" i="9"/>
  <c r="E10425" i="9"/>
  <c r="D10425" i="9"/>
  <c r="C10425" i="9"/>
  <c r="B10425" i="9"/>
  <c r="H10424" i="9"/>
  <c r="G10424" i="9"/>
  <c r="E10424" i="9"/>
  <c r="D10424" i="9"/>
  <c r="C10424" i="9"/>
  <c r="B10424" i="9"/>
  <c r="H10423" i="9"/>
  <c r="G10423" i="9"/>
  <c r="E10423" i="9"/>
  <c r="D10423" i="9"/>
  <c r="C10423" i="9"/>
  <c r="B10423" i="9"/>
  <c r="H10422" i="9"/>
  <c r="G10422" i="9"/>
  <c r="E10422" i="9"/>
  <c r="D10422" i="9"/>
  <c r="C10422" i="9"/>
  <c r="B10422" i="9"/>
  <c r="H10421" i="9"/>
  <c r="G10421" i="9"/>
  <c r="E10421" i="9"/>
  <c r="D10421" i="9"/>
  <c r="C10421" i="9"/>
  <c r="B10421" i="9"/>
  <c r="H10420" i="9"/>
  <c r="G10420" i="9"/>
  <c r="E10420" i="9"/>
  <c r="D10420" i="9"/>
  <c r="C10420" i="9"/>
  <c r="B10420" i="9"/>
  <c r="H10419" i="9"/>
  <c r="G10419" i="9"/>
  <c r="E10419" i="9"/>
  <c r="D10419" i="9"/>
  <c r="C10419" i="9"/>
  <c r="B10419" i="9"/>
  <c r="H10418" i="9"/>
  <c r="G10418" i="9"/>
  <c r="E10418" i="9"/>
  <c r="D10418" i="9"/>
  <c r="C10418" i="9"/>
  <c r="B10418" i="9"/>
  <c r="H10417" i="9"/>
  <c r="G10417" i="9"/>
  <c r="E10417" i="9"/>
  <c r="D10417" i="9"/>
  <c r="C10417" i="9"/>
  <c r="B10417" i="9"/>
  <c r="H10416" i="9"/>
  <c r="G10416" i="9"/>
  <c r="E10416" i="9"/>
  <c r="D10416" i="9"/>
  <c r="C10416" i="9"/>
  <c r="B10416" i="9"/>
  <c r="H10415" i="9"/>
  <c r="G10415" i="9"/>
  <c r="E10415" i="9"/>
  <c r="D10415" i="9"/>
  <c r="C10415" i="9"/>
  <c r="B10415" i="9"/>
  <c r="H10414" i="9"/>
  <c r="G10414" i="9"/>
  <c r="E10414" i="9"/>
  <c r="D10414" i="9"/>
  <c r="C10414" i="9"/>
  <c r="B10414" i="9"/>
  <c r="H10413" i="9"/>
  <c r="G10413" i="9"/>
  <c r="E10413" i="9"/>
  <c r="D10413" i="9"/>
  <c r="C10413" i="9"/>
  <c r="B10413" i="9"/>
  <c r="H10412" i="9"/>
  <c r="G10412" i="9"/>
  <c r="E10412" i="9"/>
  <c r="D10412" i="9"/>
  <c r="C10412" i="9"/>
  <c r="B10412" i="9"/>
  <c r="H10411" i="9"/>
  <c r="G10411" i="9"/>
  <c r="E10411" i="9"/>
  <c r="D10411" i="9"/>
  <c r="C10411" i="9"/>
  <c r="B10411" i="9"/>
  <c r="H10410" i="9"/>
  <c r="G10410" i="9"/>
  <c r="E10410" i="9"/>
  <c r="D10410" i="9"/>
  <c r="C10410" i="9"/>
  <c r="B10410" i="9"/>
  <c r="H10409" i="9"/>
  <c r="G10409" i="9"/>
  <c r="E10409" i="9"/>
  <c r="D10409" i="9"/>
  <c r="C10409" i="9"/>
  <c r="B10409" i="9"/>
  <c r="H10408" i="9"/>
  <c r="G10408" i="9"/>
  <c r="E10408" i="9"/>
  <c r="D10408" i="9"/>
  <c r="C10408" i="9"/>
  <c r="B10408" i="9"/>
  <c r="H10407" i="9"/>
  <c r="G10407" i="9"/>
  <c r="E10407" i="9"/>
  <c r="D10407" i="9"/>
  <c r="C10407" i="9"/>
  <c r="B10407" i="9"/>
  <c r="H10406" i="9"/>
  <c r="G10406" i="9"/>
  <c r="E10406" i="9"/>
  <c r="D10406" i="9"/>
  <c r="C10406" i="9"/>
  <c r="B10406" i="9"/>
  <c r="H10405" i="9"/>
  <c r="G10405" i="9"/>
  <c r="E10405" i="9"/>
  <c r="D10405" i="9"/>
  <c r="C10405" i="9"/>
  <c r="B10405" i="9"/>
  <c r="H10404" i="9"/>
  <c r="G10404" i="9"/>
  <c r="E10404" i="9"/>
  <c r="D10404" i="9"/>
  <c r="C10404" i="9"/>
  <c r="B10404" i="9"/>
  <c r="H10403" i="9"/>
  <c r="G10403" i="9"/>
  <c r="E10403" i="9"/>
  <c r="D10403" i="9"/>
  <c r="C10403" i="9"/>
  <c r="B10403" i="9"/>
  <c r="H10402" i="9"/>
  <c r="G10402" i="9"/>
  <c r="E10402" i="9"/>
  <c r="D10402" i="9"/>
  <c r="C10402" i="9"/>
  <c r="B10402" i="9"/>
  <c r="H10401" i="9"/>
  <c r="G10401" i="9"/>
  <c r="E10401" i="9"/>
  <c r="D10401" i="9"/>
  <c r="C10401" i="9"/>
  <c r="B10401" i="9"/>
  <c r="H10400" i="9"/>
  <c r="G10400" i="9"/>
  <c r="E10400" i="9"/>
  <c r="D10400" i="9"/>
  <c r="C10400" i="9"/>
  <c r="B10400" i="9"/>
  <c r="H10399" i="9"/>
  <c r="G10399" i="9"/>
  <c r="E10399" i="9"/>
  <c r="D10399" i="9"/>
  <c r="C10399" i="9"/>
  <c r="B10399" i="9"/>
  <c r="H10398" i="9"/>
  <c r="G10398" i="9"/>
  <c r="E10398" i="9"/>
  <c r="D10398" i="9"/>
  <c r="C10398" i="9"/>
  <c r="B10398" i="9"/>
  <c r="H10397" i="9"/>
  <c r="G10397" i="9"/>
  <c r="E10397" i="9"/>
  <c r="D10397" i="9"/>
  <c r="C10397" i="9"/>
  <c r="B10397" i="9"/>
  <c r="H10396" i="9"/>
  <c r="G10396" i="9"/>
  <c r="E10396" i="9"/>
  <c r="D10396" i="9"/>
  <c r="C10396" i="9"/>
  <c r="B10396" i="9"/>
  <c r="H10395" i="9"/>
  <c r="G10395" i="9"/>
  <c r="E10395" i="9"/>
  <c r="D10395" i="9"/>
  <c r="C10395" i="9"/>
  <c r="B10395" i="9"/>
  <c r="H10394" i="9"/>
  <c r="G10394" i="9"/>
  <c r="E10394" i="9"/>
  <c r="D10394" i="9"/>
  <c r="C10394" i="9"/>
  <c r="B10394" i="9"/>
  <c r="H10393" i="9"/>
  <c r="G10393" i="9"/>
  <c r="E10393" i="9"/>
  <c r="D10393" i="9"/>
  <c r="C10393" i="9"/>
  <c r="B10393" i="9"/>
  <c r="H10392" i="9"/>
  <c r="G10392" i="9"/>
  <c r="E10392" i="9"/>
  <c r="D10392" i="9"/>
  <c r="C10392" i="9"/>
  <c r="B10392" i="9"/>
  <c r="H10391" i="9"/>
  <c r="G10391" i="9"/>
  <c r="E10391" i="9"/>
  <c r="D10391" i="9"/>
  <c r="C10391" i="9"/>
  <c r="B10391" i="9"/>
  <c r="H10390" i="9"/>
  <c r="G10390" i="9"/>
  <c r="E10390" i="9"/>
  <c r="D10390" i="9"/>
  <c r="C10390" i="9"/>
  <c r="B10390" i="9"/>
  <c r="H10389" i="9"/>
  <c r="G10389" i="9"/>
  <c r="E10389" i="9"/>
  <c r="D10389" i="9"/>
  <c r="C10389" i="9"/>
  <c r="B10389" i="9"/>
  <c r="H10388" i="9"/>
  <c r="G10388" i="9"/>
  <c r="E10388" i="9"/>
  <c r="D10388" i="9"/>
  <c r="C10388" i="9"/>
  <c r="B10388" i="9"/>
  <c r="H10387" i="9"/>
  <c r="G10387" i="9"/>
  <c r="E10387" i="9"/>
  <c r="D10387" i="9"/>
  <c r="C10387" i="9"/>
  <c r="B10387" i="9"/>
  <c r="H10386" i="9"/>
  <c r="G10386" i="9"/>
  <c r="E10386" i="9"/>
  <c r="D10386" i="9"/>
  <c r="C10386" i="9"/>
  <c r="B10386" i="9"/>
  <c r="H10385" i="9"/>
  <c r="G10385" i="9"/>
  <c r="E10385" i="9"/>
  <c r="D10385" i="9"/>
  <c r="C10385" i="9"/>
  <c r="B10385" i="9"/>
  <c r="H10384" i="9"/>
  <c r="G10384" i="9"/>
  <c r="E10384" i="9"/>
  <c r="D10384" i="9"/>
  <c r="C10384" i="9"/>
  <c r="B10384" i="9"/>
  <c r="H10383" i="9"/>
  <c r="G10383" i="9"/>
  <c r="E10383" i="9"/>
  <c r="D10383" i="9"/>
  <c r="C10383" i="9"/>
  <c r="B10383" i="9"/>
  <c r="H10382" i="9"/>
  <c r="G10382" i="9"/>
  <c r="E10382" i="9"/>
  <c r="D10382" i="9"/>
  <c r="C10382" i="9"/>
  <c r="B10382" i="9"/>
  <c r="H10381" i="9"/>
  <c r="G10381" i="9"/>
  <c r="E10381" i="9"/>
  <c r="D10381" i="9"/>
  <c r="C10381" i="9"/>
  <c r="B10381" i="9"/>
  <c r="H10380" i="9"/>
  <c r="G10380" i="9"/>
  <c r="E10380" i="9"/>
  <c r="D10380" i="9"/>
  <c r="C10380" i="9"/>
  <c r="B10380" i="9"/>
  <c r="H10379" i="9"/>
  <c r="G10379" i="9"/>
  <c r="E10379" i="9"/>
  <c r="D10379" i="9"/>
  <c r="C10379" i="9"/>
  <c r="B10379" i="9"/>
  <c r="H10378" i="9"/>
  <c r="G10378" i="9"/>
  <c r="E10378" i="9"/>
  <c r="D10378" i="9"/>
  <c r="C10378" i="9"/>
  <c r="B10378" i="9"/>
  <c r="H10377" i="9"/>
  <c r="G10377" i="9"/>
  <c r="E10377" i="9"/>
  <c r="D10377" i="9"/>
  <c r="C10377" i="9"/>
  <c r="B10377" i="9"/>
  <c r="H10376" i="9"/>
  <c r="G10376" i="9"/>
  <c r="E10376" i="9"/>
  <c r="D10376" i="9"/>
  <c r="C10376" i="9"/>
  <c r="B10376" i="9"/>
  <c r="H10375" i="9"/>
  <c r="G10375" i="9"/>
  <c r="E10375" i="9"/>
  <c r="D10375" i="9"/>
  <c r="C10375" i="9"/>
  <c r="B10375" i="9"/>
  <c r="H10374" i="9"/>
  <c r="G10374" i="9"/>
  <c r="E10374" i="9"/>
  <c r="D10374" i="9"/>
  <c r="C10374" i="9"/>
  <c r="B10374" i="9"/>
  <c r="H10373" i="9"/>
  <c r="G10373" i="9"/>
  <c r="E10373" i="9"/>
  <c r="D10373" i="9"/>
  <c r="C10373" i="9"/>
  <c r="B10373" i="9"/>
  <c r="H10372" i="9"/>
  <c r="G10372" i="9"/>
  <c r="E10372" i="9"/>
  <c r="D10372" i="9"/>
  <c r="C10372" i="9"/>
  <c r="B10372" i="9"/>
  <c r="H10371" i="9"/>
  <c r="G10371" i="9"/>
  <c r="E10371" i="9"/>
  <c r="D10371" i="9"/>
  <c r="C10371" i="9"/>
  <c r="B10371" i="9"/>
  <c r="H10370" i="9"/>
  <c r="G10370" i="9"/>
  <c r="E10370" i="9"/>
  <c r="D10370" i="9"/>
  <c r="C10370" i="9"/>
  <c r="B10370" i="9"/>
  <c r="H10369" i="9"/>
  <c r="G10369" i="9"/>
  <c r="E10369" i="9"/>
  <c r="D10369" i="9"/>
  <c r="C10369" i="9"/>
  <c r="B10369" i="9"/>
  <c r="H10368" i="9"/>
  <c r="G10368" i="9"/>
  <c r="E10368" i="9"/>
  <c r="D10368" i="9"/>
  <c r="C10368" i="9"/>
  <c r="B10368" i="9"/>
  <c r="H10367" i="9"/>
  <c r="G10367" i="9"/>
  <c r="E10367" i="9"/>
  <c r="D10367" i="9"/>
  <c r="C10367" i="9"/>
  <c r="B10367" i="9"/>
  <c r="H10366" i="9"/>
  <c r="G10366" i="9"/>
  <c r="E10366" i="9"/>
  <c r="D10366" i="9"/>
  <c r="C10366" i="9"/>
  <c r="B10366" i="9"/>
  <c r="H10365" i="9"/>
  <c r="G10365" i="9"/>
  <c r="E10365" i="9"/>
  <c r="D10365" i="9"/>
  <c r="C10365" i="9"/>
  <c r="B10365" i="9"/>
  <c r="H10364" i="9"/>
  <c r="G10364" i="9"/>
  <c r="E10364" i="9"/>
  <c r="D10364" i="9"/>
  <c r="C10364" i="9"/>
  <c r="B10364" i="9"/>
  <c r="H10363" i="9"/>
  <c r="G10363" i="9"/>
  <c r="E10363" i="9"/>
  <c r="D10363" i="9"/>
  <c r="C10363" i="9"/>
  <c r="B10363" i="9"/>
  <c r="H10362" i="9"/>
  <c r="G10362" i="9"/>
  <c r="E10362" i="9"/>
  <c r="D10362" i="9"/>
  <c r="C10362" i="9"/>
  <c r="B10362" i="9"/>
  <c r="H10361" i="9"/>
  <c r="G10361" i="9"/>
  <c r="E10361" i="9"/>
  <c r="D10361" i="9"/>
  <c r="C10361" i="9"/>
  <c r="B10361" i="9"/>
  <c r="H10360" i="9"/>
  <c r="G10360" i="9"/>
  <c r="E10360" i="9"/>
  <c r="D10360" i="9"/>
  <c r="C10360" i="9"/>
  <c r="B10360" i="9"/>
  <c r="H10359" i="9"/>
  <c r="G10359" i="9"/>
  <c r="E10359" i="9"/>
  <c r="D10359" i="9"/>
  <c r="C10359" i="9"/>
  <c r="B10359" i="9"/>
  <c r="H10358" i="9"/>
  <c r="G10358" i="9"/>
  <c r="E10358" i="9"/>
  <c r="D10358" i="9"/>
  <c r="C10358" i="9"/>
  <c r="B10358" i="9"/>
  <c r="H10357" i="9"/>
  <c r="G10357" i="9"/>
  <c r="E10357" i="9"/>
  <c r="D10357" i="9"/>
  <c r="C10357" i="9"/>
  <c r="B10357" i="9"/>
  <c r="H10356" i="9"/>
  <c r="G10356" i="9"/>
  <c r="E10356" i="9"/>
  <c r="D10356" i="9"/>
  <c r="C10356" i="9"/>
  <c r="B10356" i="9"/>
  <c r="H10355" i="9"/>
  <c r="G10355" i="9"/>
  <c r="E10355" i="9"/>
  <c r="D10355" i="9"/>
  <c r="C10355" i="9"/>
  <c r="B10355" i="9"/>
  <c r="H10354" i="9"/>
  <c r="G10354" i="9"/>
  <c r="E10354" i="9"/>
  <c r="D10354" i="9"/>
  <c r="C10354" i="9"/>
  <c r="B10354" i="9"/>
  <c r="H10353" i="9"/>
  <c r="G10353" i="9"/>
  <c r="E10353" i="9"/>
  <c r="D10353" i="9"/>
  <c r="C10353" i="9"/>
  <c r="B10353" i="9"/>
  <c r="H10352" i="9"/>
  <c r="G10352" i="9"/>
  <c r="E10352" i="9"/>
  <c r="D10352" i="9"/>
  <c r="C10352" i="9"/>
  <c r="B10352" i="9"/>
  <c r="H10351" i="9"/>
  <c r="G10351" i="9"/>
  <c r="E10351" i="9"/>
  <c r="D10351" i="9"/>
  <c r="C10351" i="9"/>
  <c r="B10351" i="9"/>
  <c r="H10350" i="9"/>
  <c r="G10350" i="9"/>
  <c r="E10350" i="9"/>
  <c r="D10350" i="9"/>
  <c r="C10350" i="9"/>
  <c r="B10350" i="9"/>
  <c r="H10349" i="9"/>
  <c r="G10349" i="9"/>
  <c r="E10349" i="9"/>
  <c r="D10349" i="9"/>
  <c r="C10349" i="9"/>
  <c r="B10349" i="9"/>
  <c r="H10348" i="9"/>
  <c r="G10348" i="9"/>
  <c r="E10348" i="9"/>
  <c r="D10348" i="9"/>
  <c r="C10348" i="9"/>
  <c r="B10348" i="9"/>
  <c r="H10347" i="9"/>
  <c r="G10347" i="9"/>
  <c r="E10347" i="9"/>
  <c r="D10347" i="9"/>
  <c r="C10347" i="9"/>
  <c r="B10347" i="9"/>
  <c r="H10346" i="9"/>
  <c r="G10346" i="9"/>
  <c r="E10346" i="9"/>
  <c r="D10346" i="9"/>
  <c r="C10346" i="9"/>
  <c r="B10346" i="9"/>
  <c r="H10345" i="9"/>
  <c r="G10345" i="9"/>
  <c r="E10345" i="9"/>
  <c r="D10345" i="9"/>
  <c r="C10345" i="9"/>
  <c r="B10345" i="9"/>
  <c r="H10344" i="9"/>
  <c r="G10344" i="9"/>
  <c r="E10344" i="9"/>
  <c r="D10344" i="9"/>
  <c r="C10344" i="9"/>
  <c r="B10344" i="9"/>
  <c r="H10343" i="9"/>
  <c r="G10343" i="9"/>
  <c r="E10343" i="9"/>
  <c r="D10343" i="9"/>
  <c r="C10343" i="9"/>
  <c r="B10343" i="9"/>
  <c r="H10342" i="9"/>
  <c r="G10342" i="9"/>
  <c r="E10342" i="9"/>
  <c r="D10342" i="9"/>
  <c r="C10342" i="9"/>
  <c r="B10342" i="9"/>
  <c r="H10341" i="9"/>
  <c r="G10341" i="9"/>
  <c r="E10341" i="9"/>
  <c r="D10341" i="9"/>
  <c r="C10341" i="9"/>
  <c r="B10341" i="9"/>
  <c r="H10340" i="9"/>
  <c r="G10340" i="9"/>
  <c r="E10340" i="9"/>
  <c r="D10340" i="9"/>
  <c r="C10340" i="9"/>
  <c r="B10340" i="9"/>
  <c r="H10339" i="9"/>
  <c r="G10339" i="9"/>
  <c r="E10339" i="9"/>
  <c r="D10339" i="9"/>
  <c r="C10339" i="9"/>
  <c r="B10339" i="9"/>
  <c r="H10338" i="9"/>
  <c r="G10338" i="9"/>
  <c r="E10338" i="9"/>
  <c r="D10338" i="9"/>
  <c r="C10338" i="9"/>
  <c r="B10338" i="9"/>
  <c r="H10337" i="9"/>
  <c r="G10337" i="9"/>
  <c r="E10337" i="9"/>
  <c r="D10337" i="9"/>
  <c r="C10337" i="9"/>
  <c r="B10337" i="9"/>
  <c r="H10336" i="9"/>
  <c r="G10336" i="9"/>
  <c r="E10336" i="9"/>
  <c r="D10336" i="9"/>
  <c r="C10336" i="9"/>
  <c r="B10336" i="9"/>
  <c r="H10335" i="9"/>
  <c r="G10335" i="9"/>
  <c r="E10335" i="9"/>
  <c r="D10335" i="9"/>
  <c r="C10335" i="9"/>
  <c r="B10335" i="9"/>
  <c r="H10334" i="9"/>
  <c r="G10334" i="9"/>
  <c r="E10334" i="9"/>
  <c r="D10334" i="9"/>
  <c r="C10334" i="9"/>
  <c r="B10334" i="9"/>
  <c r="H10333" i="9"/>
  <c r="G10333" i="9"/>
  <c r="E10333" i="9"/>
  <c r="D10333" i="9"/>
  <c r="C10333" i="9"/>
  <c r="B10333" i="9"/>
  <c r="H10332" i="9"/>
  <c r="G10332" i="9"/>
  <c r="E10332" i="9"/>
  <c r="D10332" i="9"/>
  <c r="C10332" i="9"/>
  <c r="B10332" i="9"/>
  <c r="H10331" i="9"/>
  <c r="G10331" i="9"/>
  <c r="E10331" i="9"/>
  <c r="D10331" i="9"/>
  <c r="C10331" i="9"/>
  <c r="B10331" i="9"/>
  <c r="H10330" i="9"/>
  <c r="G10330" i="9"/>
  <c r="E10330" i="9"/>
  <c r="D10330" i="9"/>
  <c r="C10330" i="9"/>
  <c r="B10330" i="9"/>
  <c r="H10329" i="9"/>
  <c r="G10329" i="9"/>
  <c r="E10329" i="9"/>
  <c r="D10329" i="9"/>
  <c r="C10329" i="9"/>
  <c r="B10329" i="9"/>
  <c r="H10328" i="9"/>
  <c r="G10328" i="9"/>
  <c r="E10328" i="9"/>
  <c r="D10328" i="9"/>
  <c r="C10328" i="9"/>
  <c r="B10328" i="9"/>
  <c r="H10327" i="9"/>
  <c r="G10327" i="9"/>
  <c r="E10327" i="9"/>
  <c r="D10327" i="9"/>
  <c r="C10327" i="9"/>
  <c r="B10327" i="9"/>
  <c r="H10326" i="9"/>
  <c r="G10326" i="9"/>
  <c r="E10326" i="9"/>
  <c r="D10326" i="9"/>
  <c r="C10326" i="9"/>
  <c r="B10326" i="9"/>
  <c r="H10325" i="9"/>
  <c r="G10325" i="9"/>
  <c r="E10325" i="9"/>
  <c r="D10325" i="9"/>
  <c r="C10325" i="9"/>
  <c r="B10325" i="9"/>
  <c r="H10324" i="9"/>
  <c r="G10324" i="9"/>
  <c r="E10324" i="9"/>
  <c r="D10324" i="9"/>
  <c r="C10324" i="9"/>
  <c r="B10324" i="9"/>
  <c r="H10323" i="9"/>
  <c r="G10323" i="9"/>
  <c r="E10323" i="9"/>
  <c r="D10323" i="9"/>
  <c r="C10323" i="9"/>
  <c r="B10323" i="9"/>
  <c r="H10322" i="9"/>
  <c r="G10322" i="9"/>
  <c r="E10322" i="9"/>
  <c r="D10322" i="9"/>
  <c r="C10322" i="9"/>
  <c r="B10322" i="9"/>
  <c r="H10321" i="9"/>
  <c r="G10321" i="9"/>
  <c r="E10321" i="9"/>
  <c r="D10321" i="9"/>
  <c r="C10321" i="9"/>
  <c r="B10321" i="9"/>
  <c r="H10320" i="9"/>
  <c r="G10320" i="9"/>
  <c r="E10320" i="9"/>
  <c r="D10320" i="9"/>
  <c r="C10320" i="9"/>
  <c r="B10320" i="9"/>
  <c r="H10319" i="9"/>
  <c r="G10319" i="9"/>
  <c r="E10319" i="9"/>
  <c r="D10319" i="9"/>
  <c r="C10319" i="9"/>
  <c r="B10319" i="9"/>
  <c r="H10318" i="9"/>
  <c r="G10318" i="9"/>
  <c r="E10318" i="9"/>
  <c r="D10318" i="9"/>
  <c r="C10318" i="9"/>
  <c r="B10318" i="9"/>
  <c r="H10317" i="9"/>
  <c r="G10317" i="9"/>
  <c r="E10317" i="9"/>
  <c r="D10317" i="9"/>
  <c r="C10317" i="9"/>
  <c r="B10317" i="9"/>
  <c r="H10316" i="9"/>
  <c r="G10316" i="9"/>
  <c r="E10316" i="9"/>
  <c r="D10316" i="9"/>
  <c r="C10316" i="9"/>
  <c r="B10316" i="9"/>
  <c r="H10315" i="9"/>
  <c r="G10315" i="9"/>
  <c r="E10315" i="9"/>
  <c r="D10315" i="9"/>
  <c r="C10315" i="9"/>
  <c r="B10315" i="9"/>
  <c r="H10314" i="9"/>
  <c r="G10314" i="9"/>
  <c r="E10314" i="9"/>
  <c r="D10314" i="9"/>
  <c r="C10314" i="9"/>
  <c r="B10314" i="9"/>
  <c r="H10313" i="9"/>
  <c r="G10313" i="9"/>
  <c r="E10313" i="9"/>
  <c r="D10313" i="9"/>
  <c r="C10313" i="9"/>
  <c r="B10313" i="9"/>
  <c r="H10312" i="9"/>
  <c r="G10312" i="9"/>
  <c r="E10312" i="9"/>
  <c r="D10312" i="9"/>
  <c r="C10312" i="9"/>
  <c r="B10312" i="9"/>
  <c r="H10311" i="9"/>
  <c r="G10311" i="9"/>
  <c r="E10311" i="9"/>
  <c r="D10311" i="9"/>
  <c r="C10311" i="9"/>
  <c r="B10311" i="9"/>
  <c r="H10310" i="9"/>
  <c r="G10310" i="9"/>
  <c r="E10310" i="9"/>
  <c r="D10310" i="9"/>
  <c r="C10310" i="9"/>
  <c r="B10310" i="9"/>
  <c r="H10309" i="9"/>
  <c r="G10309" i="9"/>
  <c r="E10309" i="9"/>
  <c r="D10309" i="9"/>
  <c r="C10309" i="9"/>
  <c r="B10309" i="9"/>
  <c r="H10308" i="9"/>
  <c r="G10308" i="9"/>
  <c r="E10308" i="9"/>
  <c r="D10308" i="9"/>
  <c r="C10308" i="9"/>
  <c r="B10308" i="9"/>
  <c r="H10307" i="9"/>
  <c r="G10307" i="9"/>
  <c r="E10307" i="9"/>
  <c r="D10307" i="9"/>
  <c r="C10307" i="9"/>
  <c r="B10307" i="9"/>
  <c r="H10306" i="9"/>
  <c r="G10306" i="9"/>
  <c r="E10306" i="9"/>
  <c r="D10306" i="9"/>
  <c r="C10306" i="9"/>
  <c r="B10306" i="9"/>
  <c r="H10305" i="9"/>
  <c r="G10305" i="9"/>
  <c r="E10305" i="9"/>
  <c r="D10305" i="9"/>
  <c r="C10305" i="9"/>
  <c r="B10305" i="9"/>
  <c r="H10304" i="9"/>
  <c r="G10304" i="9"/>
  <c r="E10304" i="9"/>
  <c r="D10304" i="9"/>
  <c r="C10304" i="9"/>
  <c r="B10304" i="9"/>
  <c r="H10303" i="9"/>
  <c r="G10303" i="9"/>
  <c r="E10303" i="9"/>
  <c r="D10303" i="9"/>
  <c r="C10303" i="9"/>
  <c r="B10303" i="9"/>
  <c r="H10302" i="9"/>
  <c r="G10302" i="9"/>
  <c r="E10302" i="9"/>
  <c r="D10302" i="9"/>
  <c r="C10302" i="9"/>
  <c r="B10302" i="9"/>
  <c r="H10301" i="9"/>
  <c r="G10301" i="9"/>
  <c r="E10301" i="9"/>
  <c r="D10301" i="9"/>
  <c r="C10301" i="9"/>
  <c r="B10301" i="9"/>
  <c r="H10300" i="9"/>
  <c r="G10300" i="9"/>
  <c r="E10300" i="9"/>
  <c r="D10300" i="9"/>
  <c r="C10300" i="9"/>
  <c r="B10300" i="9"/>
  <c r="H10299" i="9"/>
  <c r="G10299" i="9"/>
  <c r="E10299" i="9"/>
  <c r="D10299" i="9"/>
  <c r="C10299" i="9"/>
  <c r="B10299" i="9"/>
  <c r="H10298" i="9"/>
  <c r="G10298" i="9"/>
  <c r="E10298" i="9"/>
  <c r="D10298" i="9"/>
  <c r="C10298" i="9"/>
  <c r="B10298" i="9"/>
  <c r="H10297" i="9"/>
  <c r="G10297" i="9"/>
  <c r="E10297" i="9"/>
  <c r="D10297" i="9"/>
  <c r="C10297" i="9"/>
  <c r="B10297" i="9"/>
  <c r="H10296" i="9"/>
  <c r="G10296" i="9"/>
  <c r="E10296" i="9"/>
  <c r="D10296" i="9"/>
  <c r="C10296" i="9"/>
  <c r="B10296" i="9"/>
  <c r="H10295" i="9"/>
  <c r="G10295" i="9"/>
  <c r="E10295" i="9"/>
  <c r="D10295" i="9"/>
  <c r="C10295" i="9"/>
  <c r="B10295" i="9"/>
  <c r="H10294" i="9"/>
  <c r="G10294" i="9"/>
  <c r="E10294" i="9"/>
  <c r="D10294" i="9"/>
  <c r="C10294" i="9"/>
  <c r="B10294" i="9"/>
  <c r="H10293" i="9"/>
  <c r="G10293" i="9"/>
  <c r="E10293" i="9"/>
  <c r="D10293" i="9"/>
  <c r="C10293" i="9"/>
  <c r="B10293" i="9"/>
  <c r="H10292" i="9"/>
  <c r="G10292" i="9"/>
  <c r="E10292" i="9"/>
  <c r="D10292" i="9"/>
  <c r="C10292" i="9"/>
  <c r="B10292" i="9"/>
  <c r="H10291" i="9"/>
  <c r="G10291" i="9"/>
  <c r="E10291" i="9"/>
  <c r="D10291" i="9"/>
  <c r="C10291" i="9"/>
  <c r="B10291" i="9"/>
  <c r="H10290" i="9"/>
  <c r="G10290" i="9"/>
  <c r="E10290" i="9"/>
  <c r="D10290" i="9"/>
  <c r="C10290" i="9"/>
  <c r="B10290" i="9"/>
  <c r="H10289" i="9"/>
  <c r="G10289" i="9"/>
  <c r="E10289" i="9"/>
  <c r="D10289" i="9"/>
  <c r="C10289" i="9"/>
  <c r="B10289" i="9"/>
  <c r="H10288" i="9"/>
  <c r="G10288" i="9"/>
  <c r="E10288" i="9"/>
  <c r="D10288" i="9"/>
  <c r="C10288" i="9"/>
  <c r="B10288" i="9"/>
  <c r="H10287" i="9"/>
  <c r="G10287" i="9"/>
  <c r="E10287" i="9"/>
  <c r="D10287" i="9"/>
  <c r="C10287" i="9"/>
  <c r="B10287" i="9"/>
  <c r="H10286" i="9"/>
  <c r="G10286" i="9"/>
  <c r="E10286" i="9"/>
  <c r="D10286" i="9"/>
  <c r="C10286" i="9"/>
  <c r="B10286" i="9"/>
  <c r="H10285" i="9"/>
  <c r="G10285" i="9"/>
  <c r="E10285" i="9"/>
  <c r="D10285" i="9"/>
  <c r="C10285" i="9"/>
  <c r="B10285" i="9"/>
  <c r="H10284" i="9"/>
  <c r="G10284" i="9"/>
  <c r="E10284" i="9"/>
  <c r="D10284" i="9"/>
  <c r="C10284" i="9"/>
  <c r="B10284" i="9"/>
  <c r="H10283" i="9"/>
  <c r="G10283" i="9"/>
  <c r="E10283" i="9"/>
  <c r="D10283" i="9"/>
  <c r="C10283" i="9"/>
  <c r="B10283" i="9"/>
  <c r="H10282" i="9"/>
  <c r="G10282" i="9"/>
  <c r="E10282" i="9"/>
  <c r="D10282" i="9"/>
  <c r="C10282" i="9"/>
  <c r="B10282" i="9"/>
  <c r="H10281" i="9"/>
  <c r="G10281" i="9"/>
  <c r="E10281" i="9"/>
  <c r="D10281" i="9"/>
  <c r="C10281" i="9"/>
  <c r="B10281" i="9"/>
  <c r="H10280" i="9"/>
  <c r="G10280" i="9"/>
  <c r="E10280" i="9"/>
  <c r="D10280" i="9"/>
  <c r="C10280" i="9"/>
  <c r="B10280" i="9"/>
  <c r="H10279" i="9"/>
  <c r="G10279" i="9"/>
  <c r="E10279" i="9"/>
  <c r="D10279" i="9"/>
  <c r="C10279" i="9"/>
  <c r="B10279" i="9"/>
  <c r="H10278" i="9"/>
  <c r="G10278" i="9"/>
  <c r="E10278" i="9"/>
  <c r="D10278" i="9"/>
  <c r="C10278" i="9"/>
  <c r="B10278" i="9"/>
  <c r="H10277" i="9"/>
  <c r="G10277" i="9"/>
  <c r="E10277" i="9"/>
  <c r="D10277" i="9"/>
  <c r="C10277" i="9"/>
  <c r="B10277" i="9"/>
  <c r="H10276" i="9"/>
  <c r="G10276" i="9"/>
  <c r="E10276" i="9"/>
  <c r="D10276" i="9"/>
  <c r="C10276" i="9"/>
  <c r="B10276" i="9"/>
  <c r="H10275" i="9"/>
  <c r="G10275" i="9"/>
  <c r="E10275" i="9"/>
  <c r="D10275" i="9"/>
  <c r="C10275" i="9"/>
  <c r="B10275" i="9"/>
  <c r="H10274" i="9"/>
  <c r="G10274" i="9"/>
  <c r="E10274" i="9"/>
  <c r="D10274" i="9"/>
  <c r="C10274" i="9"/>
  <c r="B10274" i="9"/>
  <c r="H10273" i="9"/>
  <c r="G10273" i="9"/>
  <c r="E10273" i="9"/>
  <c r="D10273" i="9"/>
  <c r="C10273" i="9"/>
  <c r="B10273" i="9"/>
  <c r="H10272" i="9"/>
  <c r="G10272" i="9"/>
  <c r="E10272" i="9"/>
  <c r="D10272" i="9"/>
  <c r="C10272" i="9"/>
  <c r="B10272" i="9"/>
  <c r="H10271" i="9"/>
  <c r="G10271" i="9"/>
  <c r="E10271" i="9"/>
  <c r="D10271" i="9"/>
  <c r="C10271" i="9"/>
  <c r="B10271" i="9"/>
  <c r="H10270" i="9"/>
  <c r="G10270" i="9"/>
  <c r="E10270" i="9"/>
  <c r="D10270" i="9"/>
  <c r="C10270" i="9"/>
  <c r="B10270" i="9"/>
  <c r="H10269" i="9"/>
  <c r="G10269" i="9"/>
  <c r="E10269" i="9"/>
  <c r="D10269" i="9"/>
  <c r="C10269" i="9"/>
  <c r="B10269" i="9"/>
  <c r="H10268" i="9"/>
  <c r="G10268" i="9"/>
  <c r="E10268" i="9"/>
  <c r="D10268" i="9"/>
  <c r="C10268" i="9"/>
  <c r="B10268" i="9"/>
  <c r="H10267" i="9"/>
  <c r="G10267" i="9"/>
  <c r="E10267" i="9"/>
  <c r="D10267" i="9"/>
  <c r="C10267" i="9"/>
  <c r="B10267" i="9"/>
  <c r="H10266" i="9"/>
  <c r="G10266" i="9"/>
  <c r="E10266" i="9"/>
  <c r="D10266" i="9"/>
  <c r="C10266" i="9"/>
  <c r="B10266" i="9"/>
  <c r="H10265" i="9"/>
  <c r="G10265" i="9"/>
  <c r="E10265" i="9"/>
  <c r="D10265" i="9"/>
  <c r="C10265" i="9"/>
  <c r="B10265" i="9"/>
  <c r="H10264" i="9"/>
  <c r="G10264" i="9"/>
  <c r="E10264" i="9"/>
  <c r="D10264" i="9"/>
  <c r="C10264" i="9"/>
  <c r="B10264" i="9"/>
  <c r="H10263" i="9"/>
  <c r="G10263" i="9"/>
  <c r="E10263" i="9"/>
  <c r="D10263" i="9"/>
  <c r="C10263" i="9"/>
  <c r="B10263" i="9"/>
  <c r="H10262" i="9"/>
  <c r="G10262" i="9"/>
  <c r="E10262" i="9"/>
  <c r="D10262" i="9"/>
  <c r="C10262" i="9"/>
  <c r="B10262" i="9"/>
  <c r="H10261" i="9"/>
  <c r="G10261" i="9"/>
  <c r="E10261" i="9"/>
  <c r="D10261" i="9"/>
  <c r="C10261" i="9"/>
  <c r="B10261" i="9"/>
  <c r="H10260" i="9"/>
  <c r="G10260" i="9"/>
  <c r="E10260" i="9"/>
  <c r="D10260" i="9"/>
  <c r="C10260" i="9"/>
  <c r="B10260" i="9"/>
  <c r="H10259" i="9"/>
  <c r="G10259" i="9"/>
  <c r="E10259" i="9"/>
  <c r="D10259" i="9"/>
  <c r="C10259" i="9"/>
  <c r="B10259" i="9"/>
  <c r="H10258" i="9"/>
  <c r="G10258" i="9"/>
  <c r="E10258" i="9"/>
  <c r="D10258" i="9"/>
  <c r="C10258" i="9"/>
  <c r="B10258" i="9"/>
  <c r="H10257" i="9"/>
  <c r="G10257" i="9"/>
  <c r="E10257" i="9"/>
  <c r="D10257" i="9"/>
  <c r="C10257" i="9"/>
  <c r="B10257" i="9"/>
  <c r="H10256" i="9"/>
  <c r="G10256" i="9"/>
  <c r="E10256" i="9"/>
  <c r="D10256" i="9"/>
  <c r="C10256" i="9"/>
  <c r="B10256" i="9"/>
  <c r="H10255" i="9"/>
  <c r="G10255" i="9"/>
  <c r="E10255" i="9"/>
  <c r="D10255" i="9"/>
  <c r="C10255" i="9"/>
  <c r="B10255" i="9"/>
  <c r="H10254" i="9"/>
  <c r="G10254" i="9"/>
  <c r="E10254" i="9"/>
  <c r="D10254" i="9"/>
  <c r="C10254" i="9"/>
  <c r="B10254" i="9"/>
  <c r="H10253" i="9"/>
  <c r="G10253" i="9"/>
  <c r="E10253" i="9"/>
  <c r="D10253" i="9"/>
  <c r="C10253" i="9"/>
  <c r="B10253" i="9"/>
  <c r="H10252" i="9"/>
  <c r="G10252" i="9"/>
  <c r="E10252" i="9"/>
  <c r="D10252" i="9"/>
  <c r="C10252" i="9"/>
  <c r="B10252" i="9"/>
  <c r="H10251" i="9"/>
  <c r="G10251" i="9"/>
  <c r="E10251" i="9"/>
  <c r="D10251" i="9"/>
  <c r="C10251" i="9"/>
  <c r="B10251" i="9"/>
  <c r="H10250" i="9"/>
  <c r="G10250" i="9"/>
  <c r="E10250" i="9"/>
  <c r="D10250" i="9"/>
  <c r="C10250" i="9"/>
  <c r="B10250" i="9"/>
  <c r="H10249" i="9"/>
  <c r="G10249" i="9"/>
  <c r="E10249" i="9"/>
  <c r="D10249" i="9"/>
  <c r="C10249" i="9"/>
  <c r="B10249" i="9"/>
  <c r="H10248" i="9"/>
  <c r="G10248" i="9"/>
  <c r="E10248" i="9"/>
  <c r="D10248" i="9"/>
  <c r="C10248" i="9"/>
  <c r="B10248" i="9"/>
  <c r="H10247" i="9"/>
  <c r="G10247" i="9"/>
  <c r="E10247" i="9"/>
  <c r="D10247" i="9"/>
  <c r="C10247" i="9"/>
  <c r="B10247" i="9"/>
  <c r="H10246" i="9"/>
  <c r="G10246" i="9"/>
  <c r="E10246" i="9"/>
  <c r="D10246" i="9"/>
  <c r="C10246" i="9"/>
  <c r="B10246" i="9"/>
  <c r="H10245" i="9"/>
  <c r="G10245" i="9"/>
  <c r="E10245" i="9"/>
  <c r="D10245" i="9"/>
  <c r="C10245" i="9"/>
  <c r="B10245" i="9"/>
  <c r="H10244" i="9"/>
  <c r="G10244" i="9"/>
  <c r="E10244" i="9"/>
  <c r="D10244" i="9"/>
  <c r="C10244" i="9"/>
  <c r="B10244" i="9"/>
  <c r="H10243" i="9"/>
  <c r="G10243" i="9"/>
  <c r="E10243" i="9"/>
  <c r="D10243" i="9"/>
  <c r="C10243" i="9"/>
  <c r="B10243" i="9"/>
  <c r="H10242" i="9"/>
  <c r="G10242" i="9"/>
  <c r="E10242" i="9"/>
  <c r="D10242" i="9"/>
  <c r="C10242" i="9"/>
  <c r="B10242" i="9"/>
  <c r="H10241" i="9"/>
  <c r="G10241" i="9"/>
  <c r="E10241" i="9"/>
  <c r="D10241" i="9"/>
  <c r="C10241" i="9"/>
  <c r="B10241" i="9"/>
  <c r="H10240" i="9"/>
  <c r="G10240" i="9"/>
  <c r="E10240" i="9"/>
  <c r="D10240" i="9"/>
  <c r="C10240" i="9"/>
  <c r="B10240" i="9"/>
  <c r="H10239" i="9"/>
  <c r="G10239" i="9"/>
  <c r="E10239" i="9"/>
  <c r="D10239" i="9"/>
  <c r="C10239" i="9"/>
  <c r="B10239" i="9"/>
  <c r="H10238" i="9"/>
  <c r="G10238" i="9"/>
  <c r="E10238" i="9"/>
  <c r="D10238" i="9"/>
  <c r="C10238" i="9"/>
  <c r="B10238" i="9"/>
  <c r="H10237" i="9"/>
  <c r="G10237" i="9"/>
  <c r="E10237" i="9"/>
  <c r="D10237" i="9"/>
  <c r="C10237" i="9"/>
  <c r="B10237" i="9"/>
  <c r="H10236" i="9"/>
  <c r="G10236" i="9"/>
  <c r="E10236" i="9"/>
  <c r="D10236" i="9"/>
  <c r="C10236" i="9"/>
  <c r="B10236" i="9"/>
  <c r="H10235" i="9"/>
  <c r="G10235" i="9"/>
  <c r="E10235" i="9"/>
  <c r="D10235" i="9"/>
  <c r="C10235" i="9"/>
  <c r="B10235" i="9"/>
  <c r="H10234" i="9"/>
  <c r="G10234" i="9"/>
  <c r="E10234" i="9"/>
  <c r="D10234" i="9"/>
  <c r="C10234" i="9"/>
  <c r="B10234" i="9"/>
  <c r="H10233" i="9"/>
  <c r="G10233" i="9"/>
  <c r="E10233" i="9"/>
  <c r="D10233" i="9"/>
  <c r="C10233" i="9"/>
  <c r="B10233" i="9"/>
  <c r="H10232" i="9"/>
  <c r="G10232" i="9"/>
  <c r="E10232" i="9"/>
  <c r="D10232" i="9"/>
  <c r="C10232" i="9"/>
  <c r="B10232" i="9"/>
  <c r="H10231" i="9"/>
  <c r="G10231" i="9"/>
  <c r="E10231" i="9"/>
  <c r="D10231" i="9"/>
  <c r="C10231" i="9"/>
  <c r="B10231" i="9"/>
  <c r="H10230" i="9"/>
  <c r="G10230" i="9"/>
  <c r="E10230" i="9"/>
  <c r="D10230" i="9"/>
  <c r="C10230" i="9"/>
  <c r="B10230" i="9"/>
  <c r="H10229" i="9"/>
  <c r="G10229" i="9"/>
  <c r="E10229" i="9"/>
  <c r="D10229" i="9"/>
  <c r="C10229" i="9"/>
  <c r="B10229" i="9"/>
  <c r="H10228" i="9"/>
  <c r="G10228" i="9"/>
  <c r="E10228" i="9"/>
  <c r="D10228" i="9"/>
  <c r="C10228" i="9"/>
  <c r="B10228" i="9"/>
  <c r="H10227" i="9"/>
  <c r="G10227" i="9"/>
  <c r="E10227" i="9"/>
  <c r="D10227" i="9"/>
  <c r="C10227" i="9"/>
  <c r="B10227" i="9"/>
  <c r="H10226" i="9"/>
  <c r="G10226" i="9"/>
  <c r="E10226" i="9"/>
  <c r="D10226" i="9"/>
  <c r="C10226" i="9"/>
  <c r="B10226" i="9"/>
  <c r="H10225" i="9"/>
  <c r="G10225" i="9"/>
  <c r="E10225" i="9"/>
  <c r="D10225" i="9"/>
  <c r="C10225" i="9"/>
  <c r="B10225" i="9"/>
  <c r="H10224" i="9"/>
  <c r="G10224" i="9"/>
  <c r="E10224" i="9"/>
  <c r="D10224" i="9"/>
  <c r="C10224" i="9"/>
  <c r="B10224" i="9"/>
  <c r="H10223" i="9"/>
  <c r="G10223" i="9"/>
  <c r="E10223" i="9"/>
  <c r="D10223" i="9"/>
  <c r="C10223" i="9"/>
  <c r="B10223" i="9"/>
  <c r="H10222" i="9"/>
  <c r="G10222" i="9"/>
  <c r="E10222" i="9"/>
  <c r="D10222" i="9"/>
  <c r="C10222" i="9"/>
  <c r="B10222" i="9"/>
  <c r="H10221" i="9"/>
  <c r="G10221" i="9"/>
  <c r="E10221" i="9"/>
  <c r="D10221" i="9"/>
  <c r="C10221" i="9"/>
  <c r="B10221" i="9"/>
  <c r="H10220" i="9"/>
  <c r="G10220" i="9"/>
  <c r="E10220" i="9"/>
  <c r="D10220" i="9"/>
  <c r="C10220" i="9"/>
  <c r="B10220" i="9"/>
  <c r="H10219" i="9"/>
  <c r="G10219" i="9"/>
  <c r="E10219" i="9"/>
  <c r="D10219" i="9"/>
  <c r="C10219" i="9"/>
  <c r="B10219" i="9"/>
  <c r="H10218" i="9"/>
  <c r="G10218" i="9"/>
  <c r="E10218" i="9"/>
  <c r="D10218" i="9"/>
  <c r="C10218" i="9"/>
  <c r="B10218" i="9"/>
  <c r="H10217" i="9"/>
  <c r="G10217" i="9"/>
  <c r="E10217" i="9"/>
  <c r="D10217" i="9"/>
  <c r="C10217" i="9"/>
  <c r="B10217" i="9"/>
  <c r="H10216" i="9"/>
  <c r="G10216" i="9"/>
  <c r="E10216" i="9"/>
  <c r="D10216" i="9"/>
  <c r="C10216" i="9"/>
  <c r="B10216" i="9"/>
  <c r="H10215" i="9"/>
  <c r="G10215" i="9"/>
  <c r="E10215" i="9"/>
  <c r="D10215" i="9"/>
  <c r="C10215" i="9"/>
  <c r="B10215" i="9"/>
  <c r="H10214" i="9"/>
  <c r="G10214" i="9"/>
  <c r="E10214" i="9"/>
  <c r="D10214" i="9"/>
  <c r="C10214" i="9"/>
  <c r="B10214" i="9"/>
  <c r="H10213" i="9"/>
  <c r="G10213" i="9"/>
  <c r="E10213" i="9"/>
  <c r="D10213" i="9"/>
  <c r="C10213" i="9"/>
  <c r="B10213" i="9"/>
  <c r="H10212" i="9"/>
  <c r="G10212" i="9"/>
  <c r="E10212" i="9"/>
  <c r="D10212" i="9"/>
  <c r="C10212" i="9"/>
  <c r="B10212" i="9"/>
  <c r="H10211" i="9"/>
  <c r="G10211" i="9"/>
  <c r="E10211" i="9"/>
  <c r="D10211" i="9"/>
  <c r="C10211" i="9"/>
  <c r="B10211" i="9"/>
  <c r="H10210" i="9"/>
  <c r="G10210" i="9"/>
  <c r="E10210" i="9"/>
  <c r="D10210" i="9"/>
  <c r="C10210" i="9"/>
  <c r="B10210" i="9"/>
  <c r="H10209" i="9"/>
  <c r="G10209" i="9"/>
  <c r="E10209" i="9"/>
  <c r="D10209" i="9"/>
  <c r="C10209" i="9"/>
  <c r="B10209" i="9"/>
  <c r="H10208" i="9"/>
  <c r="G10208" i="9"/>
  <c r="E10208" i="9"/>
  <c r="D10208" i="9"/>
  <c r="C10208" i="9"/>
  <c r="B10208" i="9"/>
  <c r="H10207" i="9"/>
  <c r="G10207" i="9"/>
  <c r="E10207" i="9"/>
  <c r="D10207" i="9"/>
  <c r="C10207" i="9"/>
  <c r="B10207" i="9"/>
  <c r="H10206" i="9"/>
  <c r="G10206" i="9"/>
  <c r="E10206" i="9"/>
  <c r="D10206" i="9"/>
  <c r="C10206" i="9"/>
  <c r="B10206" i="9"/>
  <c r="H10205" i="9"/>
  <c r="G10205" i="9"/>
  <c r="E10205" i="9"/>
  <c r="D10205" i="9"/>
  <c r="C10205" i="9"/>
  <c r="B10205" i="9"/>
  <c r="H10204" i="9"/>
  <c r="G10204" i="9"/>
  <c r="E10204" i="9"/>
  <c r="D10204" i="9"/>
  <c r="C10204" i="9"/>
  <c r="B10204" i="9"/>
  <c r="H10203" i="9"/>
  <c r="G10203" i="9"/>
  <c r="E10203" i="9"/>
  <c r="D10203" i="9"/>
  <c r="C10203" i="9"/>
  <c r="B10203" i="9"/>
  <c r="H10202" i="9"/>
  <c r="G10202" i="9"/>
  <c r="E10202" i="9"/>
  <c r="D10202" i="9"/>
  <c r="C10202" i="9"/>
  <c r="B10202" i="9"/>
  <c r="H10201" i="9"/>
  <c r="G10201" i="9"/>
  <c r="E10201" i="9"/>
  <c r="D10201" i="9"/>
  <c r="C10201" i="9"/>
  <c r="B10201" i="9"/>
  <c r="H10200" i="9"/>
  <c r="G10200" i="9"/>
  <c r="E10200" i="9"/>
  <c r="D10200" i="9"/>
  <c r="C10200" i="9"/>
  <c r="B10200" i="9"/>
  <c r="H10199" i="9"/>
  <c r="G10199" i="9"/>
  <c r="E10199" i="9"/>
  <c r="D10199" i="9"/>
  <c r="C10199" i="9"/>
  <c r="B10199" i="9"/>
  <c r="H10198" i="9"/>
  <c r="G10198" i="9"/>
  <c r="E10198" i="9"/>
  <c r="D10198" i="9"/>
  <c r="C10198" i="9"/>
  <c r="B10198" i="9"/>
  <c r="H10197" i="9"/>
  <c r="G10197" i="9"/>
  <c r="E10197" i="9"/>
  <c r="D10197" i="9"/>
  <c r="C10197" i="9"/>
  <c r="B10197" i="9"/>
  <c r="H10196" i="9"/>
  <c r="G10196" i="9"/>
  <c r="E10196" i="9"/>
  <c r="D10196" i="9"/>
  <c r="C10196" i="9"/>
  <c r="B10196" i="9"/>
  <c r="H10195" i="9"/>
  <c r="G10195" i="9"/>
  <c r="E10195" i="9"/>
  <c r="D10195" i="9"/>
  <c r="C10195" i="9"/>
  <c r="B10195" i="9"/>
  <c r="H10194" i="9"/>
  <c r="G10194" i="9"/>
  <c r="E10194" i="9"/>
  <c r="D10194" i="9"/>
  <c r="C10194" i="9"/>
  <c r="B10194" i="9"/>
  <c r="H10193" i="9"/>
  <c r="G10193" i="9"/>
  <c r="E10193" i="9"/>
  <c r="D10193" i="9"/>
  <c r="C10193" i="9"/>
  <c r="B10193" i="9"/>
  <c r="H10192" i="9"/>
  <c r="G10192" i="9"/>
  <c r="E10192" i="9"/>
  <c r="D10192" i="9"/>
  <c r="C10192" i="9"/>
  <c r="B10192" i="9"/>
  <c r="H10191" i="9"/>
  <c r="G10191" i="9"/>
  <c r="E10191" i="9"/>
  <c r="D10191" i="9"/>
  <c r="C10191" i="9"/>
  <c r="B10191" i="9"/>
  <c r="H10190" i="9"/>
  <c r="G10190" i="9"/>
  <c r="E10190" i="9"/>
  <c r="D10190" i="9"/>
  <c r="C10190" i="9"/>
  <c r="B10190" i="9"/>
  <c r="H10189" i="9"/>
  <c r="G10189" i="9"/>
  <c r="E10189" i="9"/>
  <c r="D10189" i="9"/>
  <c r="C10189" i="9"/>
  <c r="B10189" i="9"/>
  <c r="H10188" i="9"/>
  <c r="G10188" i="9"/>
  <c r="E10188" i="9"/>
  <c r="D10188" i="9"/>
  <c r="C10188" i="9"/>
  <c r="B10188" i="9"/>
  <c r="H10187" i="9"/>
  <c r="G10187" i="9"/>
  <c r="E10187" i="9"/>
  <c r="D10187" i="9"/>
  <c r="C10187" i="9"/>
  <c r="B10187" i="9"/>
  <c r="H10186" i="9"/>
  <c r="G10186" i="9"/>
  <c r="E10186" i="9"/>
  <c r="D10186" i="9"/>
  <c r="C10186" i="9"/>
  <c r="B10186" i="9"/>
  <c r="H10185" i="9"/>
  <c r="G10185" i="9"/>
  <c r="E10185" i="9"/>
  <c r="D10185" i="9"/>
  <c r="C10185" i="9"/>
  <c r="B10185" i="9"/>
  <c r="H10184" i="9"/>
  <c r="G10184" i="9"/>
  <c r="E10184" i="9"/>
  <c r="D10184" i="9"/>
  <c r="C10184" i="9"/>
  <c r="B10184" i="9"/>
  <c r="H10183" i="9"/>
  <c r="G10183" i="9"/>
  <c r="E10183" i="9"/>
  <c r="D10183" i="9"/>
  <c r="C10183" i="9"/>
  <c r="B10183" i="9"/>
  <c r="H10182" i="9"/>
  <c r="G10182" i="9"/>
  <c r="E10182" i="9"/>
  <c r="D10182" i="9"/>
  <c r="C10182" i="9"/>
  <c r="B10182" i="9"/>
  <c r="H10181" i="9"/>
  <c r="G10181" i="9"/>
  <c r="E10181" i="9"/>
  <c r="D10181" i="9"/>
  <c r="C10181" i="9"/>
  <c r="B10181" i="9"/>
  <c r="H10180" i="9"/>
  <c r="G10180" i="9"/>
  <c r="E10180" i="9"/>
  <c r="D10180" i="9"/>
  <c r="C10180" i="9"/>
  <c r="B10180" i="9"/>
  <c r="H10179" i="9"/>
  <c r="G10179" i="9"/>
  <c r="E10179" i="9"/>
  <c r="D10179" i="9"/>
  <c r="C10179" i="9"/>
  <c r="B10179" i="9"/>
  <c r="H10178" i="9"/>
  <c r="G10178" i="9"/>
  <c r="E10178" i="9"/>
  <c r="D10178" i="9"/>
  <c r="C10178" i="9"/>
  <c r="B10178" i="9"/>
  <c r="H10177" i="9"/>
  <c r="G10177" i="9"/>
  <c r="E10177" i="9"/>
  <c r="D10177" i="9"/>
  <c r="C10177" i="9"/>
  <c r="B10177" i="9"/>
  <c r="H10176" i="9"/>
  <c r="G10176" i="9"/>
  <c r="E10176" i="9"/>
  <c r="D10176" i="9"/>
  <c r="C10176" i="9"/>
  <c r="B10176" i="9"/>
  <c r="H10175" i="9"/>
  <c r="G10175" i="9"/>
  <c r="E10175" i="9"/>
  <c r="D10175" i="9"/>
  <c r="C10175" i="9"/>
  <c r="B10175" i="9"/>
  <c r="H10174" i="9"/>
  <c r="G10174" i="9"/>
  <c r="E10174" i="9"/>
  <c r="D10174" i="9"/>
  <c r="C10174" i="9"/>
  <c r="B10174" i="9"/>
  <c r="H10173" i="9"/>
  <c r="G10173" i="9"/>
  <c r="E10173" i="9"/>
  <c r="D10173" i="9"/>
  <c r="C10173" i="9"/>
  <c r="B10173" i="9"/>
  <c r="H10172" i="9"/>
  <c r="G10172" i="9"/>
  <c r="E10172" i="9"/>
  <c r="D10172" i="9"/>
  <c r="C10172" i="9"/>
  <c r="B10172" i="9"/>
  <c r="H10171" i="9"/>
  <c r="G10171" i="9"/>
  <c r="E10171" i="9"/>
  <c r="D10171" i="9"/>
  <c r="C10171" i="9"/>
  <c r="B10171" i="9"/>
  <c r="H10170" i="9"/>
  <c r="G10170" i="9"/>
  <c r="E10170" i="9"/>
  <c r="D10170" i="9"/>
  <c r="C10170" i="9"/>
  <c r="B10170" i="9"/>
  <c r="H10169" i="9"/>
  <c r="G10169" i="9"/>
  <c r="E10169" i="9"/>
  <c r="D10169" i="9"/>
  <c r="C10169" i="9"/>
  <c r="B10169" i="9"/>
  <c r="H10168" i="9"/>
  <c r="G10168" i="9"/>
  <c r="E10168" i="9"/>
  <c r="D10168" i="9"/>
  <c r="C10168" i="9"/>
  <c r="B10168" i="9"/>
  <c r="H10167" i="9"/>
  <c r="G10167" i="9"/>
  <c r="E10167" i="9"/>
  <c r="D10167" i="9"/>
  <c r="C10167" i="9"/>
  <c r="B10167" i="9"/>
  <c r="H10166" i="9"/>
  <c r="G10166" i="9"/>
  <c r="E10166" i="9"/>
  <c r="D10166" i="9"/>
  <c r="C10166" i="9"/>
  <c r="B10166" i="9"/>
  <c r="H10165" i="9"/>
  <c r="G10165" i="9"/>
  <c r="E10165" i="9"/>
  <c r="D10165" i="9"/>
  <c r="C10165" i="9"/>
  <c r="B10165" i="9"/>
  <c r="H10164" i="9"/>
  <c r="G10164" i="9"/>
  <c r="E10164" i="9"/>
  <c r="D10164" i="9"/>
  <c r="C10164" i="9"/>
  <c r="B10164" i="9"/>
  <c r="H10163" i="9"/>
  <c r="G10163" i="9"/>
  <c r="E10163" i="9"/>
  <c r="D10163" i="9"/>
  <c r="C10163" i="9"/>
  <c r="B10163" i="9"/>
  <c r="H10162" i="9"/>
  <c r="G10162" i="9"/>
  <c r="E10162" i="9"/>
  <c r="D10162" i="9"/>
  <c r="C10162" i="9"/>
  <c r="B10162" i="9"/>
  <c r="H10161" i="9"/>
  <c r="G10161" i="9"/>
  <c r="E10161" i="9"/>
  <c r="D10161" i="9"/>
  <c r="C10161" i="9"/>
  <c r="B10161" i="9"/>
  <c r="H10160" i="9"/>
  <c r="G10160" i="9"/>
  <c r="E10160" i="9"/>
  <c r="D10160" i="9"/>
  <c r="C10160" i="9"/>
  <c r="B10160" i="9"/>
  <c r="H10159" i="9"/>
  <c r="G10159" i="9"/>
  <c r="E10159" i="9"/>
  <c r="D10159" i="9"/>
  <c r="C10159" i="9"/>
  <c r="B10159" i="9"/>
  <c r="H10158" i="9"/>
  <c r="G10158" i="9"/>
  <c r="E10158" i="9"/>
  <c r="D10158" i="9"/>
  <c r="C10158" i="9"/>
  <c r="B10158" i="9"/>
  <c r="H10157" i="9"/>
  <c r="G10157" i="9"/>
  <c r="E10157" i="9"/>
  <c r="D10157" i="9"/>
  <c r="C10157" i="9"/>
  <c r="B10157" i="9"/>
  <c r="H10156" i="9"/>
  <c r="G10156" i="9"/>
  <c r="E10156" i="9"/>
  <c r="D10156" i="9"/>
  <c r="C10156" i="9"/>
  <c r="B10156" i="9"/>
  <c r="H10155" i="9"/>
  <c r="G10155" i="9"/>
  <c r="E10155" i="9"/>
  <c r="D10155" i="9"/>
  <c r="C10155" i="9"/>
  <c r="B10155" i="9"/>
  <c r="H10154" i="9"/>
  <c r="G10154" i="9"/>
  <c r="E10154" i="9"/>
  <c r="D10154" i="9"/>
  <c r="C10154" i="9"/>
  <c r="B10154" i="9"/>
  <c r="H10153" i="9"/>
  <c r="G10153" i="9"/>
  <c r="E10153" i="9"/>
  <c r="D10153" i="9"/>
  <c r="C10153" i="9"/>
  <c r="B10153" i="9"/>
  <c r="H10152" i="9"/>
  <c r="G10152" i="9"/>
  <c r="E10152" i="9"/>
  <c r="D10152" i="9"/>
  <c r="C10152" i="9"/>
  <c r="B10152" i="9"/>
  <c r="H10151" i="9"/>
  <c r="G10151" i="9"/>
  <c r="E10151" i="9"/>
  <c r="D10151" i="9"/>
  <c r="C10151" i="9"/>
  <c r="B10151" i="9"/>
  <c r="H10150" i="9"/>
  <c r="G10150" i="9"/>
  <c r="E10150" i="9"/>
  <c r="D10150" i="9"/>
  <c r="C10150" i="9"/>
  <c r="B10150" i="9"/>
  <c r="H10149" i="9"/>
  <c r="G10149" i="9"/>
  <c r="E10149" i="9"/>
  <c r="D10149" i="9"/>
  <c r="C10149" i="9"/>
  <c r="B10149" i="9"/>
  <c r="H10148" i="9"/>
  <c r="G10148" i="9"/>
  <c r="E10148" i="9"/>
  <c r="D10148" i="9"/>
  <c r="C10148" i="9"/>
  <c r="B10148" i="9"/>
  <c r="H10147" i="9"/>
  <c r="G10147" i="9"/>
  <c r="E10147" i="9"/>
  <c r="D10147" i="9"/>
  <c r="C10147" i="9"/>
  <c r="B10147" i="9"/>
  <c r="H10146" i="9"/>
  <c r="G10146" i="9"/>
  <c r="E10146" i="9"/>
  <c r="D10146" i="9"/>
  <c r="C10146" i="9"/>
  <c r="B10146" i="9"/>
  <c r="H10145" i="9"/>
  <c r="G10145" i="9"/>
  <c r="E10145" i="9"/>
  <c r="D10145" i="9"/>
  <c r="C10145" i="9"/>
  <c r="B10145" i="9"/>
  <c r="H10144" i="9"/>
  <c r="G10144" i="9"/>
  <c r="E10144" i="9"/>
  <c r="D10144" i="9"/>
  <c r="C10144" i="9"/>
  <c r="B10144" i="9"/>
  <c r="H10143" i="9"/>
  <c r="G10143" i="9"/>
  <c r="E10143" i="9"/>
  <c r="D10143" i="9"/>
  <c r="C10143" i="9"/>
  <c r="B10143" i="9"/>
  <c r="H10142" i="9"/>
  <c r="G10142" i="9"/>
  <c r="E10142" i="9"/>
  <c r="D10142" i="9"/>
  <c r="C10142" i="9"/>
  <c r="B10142" i="9"/>
  <c r="H10141" i="9"/>
  <c r="G10141" i="9"/>
  <c r="E10141" i="9"/>
  <c r="D10141" i="9"/>
  <c r="C10141" i="9"/>
  <c r="B10141" i="9"/>
  <c r="H10140" i="9"/>
  <c r="G10140" i="9"/>
  <c r="E10140" i="9"/>
  <c r="D10140" i="9"/>
  <c r="C10140" i="9"/>
  <c r="B10140" i="9"/>
  <c r="H10139" i="9"/>
  <c r="G10139" i="9"/>
  <c r="E10139" i="9"/>
  <c r="D10139" i="9"/>
  <c r="C10139" i="9"/>
  <c r="B10139" i="9"/>
  <c r="H10138" i="9"/>
  <c r="G10138" i="9"/>
  <c r="E10138" i="9"/>
  <c r="D10138" i="9"/>
  <c r="C10138" i="9"/>
  <c r="B10138" i="9"/>
  <c r="H10137" i="9"/>
  <c r="G10137" i="9"/>
  <c r="E10137" i="9"/>
  <c r="D10137" i="9"/>
  <c r="C10137" i="9"/>
  <c r="B10137" i="9"/>
  <c r="H10136" i="9"/>
  <c r="G10136" i="9"/>
  <c r="E10136" i="9"/>
  <c r="D10136" i="9"/>
  <c r="C10136" i="9"/>
  <c r="B10136" i="9"/>
  <c r="H10135" i="9"/>
  <c r="G10135" i="9"/>
  <c r="E10135" i="9"/>
  <c r="D10135" i="9"/>
  <c r="C10135" i="9"/>
  <c r="B10135" i="9"/>
  <c r="H10134" i="9"/>
  <c r="G10134" i="9"/>
  <c r="E10134" i="9"/>
  <c r="D10134" i="9"/>
  <c r="C10134" i="9"/>
  <c r="B10134" i="9"/>
  <c r="H10133" i="9"/>
  <c r="G10133" i="9"/>
  <c r="E10133" i="9"/>
  <c r="D10133" i="9"/>
  <c r="C10133" i="9"/>
  <c r="B10133" i="9"/>
  <c r="H10132" i="9"/>
  <c r="G10132" i="9"/>
  <c r="E10132" i="9"/>
  <c r="D10132" i="9"/>
  <c r="C10132" i="9"/>
  <c r="B10132" i="9"/>
  <c r="H10131" i="9"/>
  <c r="G10131" i="9"/>
  <c r="E10131" i="9"/>
  <c r="D10131" i="9"/>
  <c r="C10131" i="9"/>
  <c r="B10131" i="9"/>
  <c r="H10130" i="9"/>
  <c r="G10130" i="9"/>
  <c r="E10130" i="9"/>
  <c r="D10130" i="9"/>
  <c r="C10130" i="9"/>
  <c r="B10130" i="9"/>
  <c r="H10129" i="9"/>
  <c r="G10129" i="9"/>
  <c r="E10129" i="9"/>
  <c r="D10129" i="9"/>
  <c r="C10129" i="9"/>
  <c r="B10129" i="9"/>
  <c r="H10128" i="9"/>
  <c r="G10128" i="9"/>
  <c r="E10128" i="9"/>
  <c r="D10128" i="9"/>
  <c r="C10128" i="9"/>
  <c r="B10128" i="9"/>
  <c r="H10127" i="9"/>
  <c r="G10127" i="9"/>
  <c r="E10127" i="9"/>
  <c r="D10127" i="9"/>
  <c r="C10127" i="9"/>
  <c r="B10127" i="9"/>
  <c r="H10126" i="9"/>
  <c r="G10126" i="9"/>
  <c r="E10126" i="9"/>
  <c r="D10126" i="9"/>
  <c r="C10126" i="9"/>
  <c r="B10126" i="9"/>
  <c r="H10125" i="9"/>
  <c r="G10125" i="9"/>
  <c r="E10125" i="9"/>
  <c r="D10125" i="9"/>
  <c r="C10125" i="9"/>
  <c r="B10125" i="9"/>
  <c r="H10124" i="9"/>
  <c r="G10124" i="9"/>
  <c r="E10124" i="9"/>
  <c r="D10124" i="9"/>
  <c r="C10124" i="9"/>
  <c r="B10124" i="9"/>
  <c r="H10123" i="9"/>
  <c r="G10123" i="9"/>
  <c r="E10123" i="9"/>
  <c r="D10123" i="9"/>
  <c r="C10123" i="9"/>
  <c r="B10123" i="9"/>
  <c r="H10122" i="9"/>
  <c r="G10122" i="9"/>
  <c r="E10122" i="9"/>
  <c r="D10122" i="9"/>
  <c r="C10122" i="9"/>
  <c r="B10122" i="9"/>
  <c r="H10121" i="9"/>
  <c r="G10121" i="9"/>
  <c r="E10121" i="9"/>
  <c r="D10121" i="9"/>
  <c r="C10121" i="9"/>
  <c r="B10121" i="9"/>
  <c r="H10120" i="9"/>
  <c r="G10120" i="9"/>
  <c r="E10120" i="9"/>
  <c r="D10120" i="9"/>
  <c r="C10120" i="9"/>
  <c r="B10120" i="9"/>
  <c r="H10119" i="9"/>
  <c r="G10119" i="9"/>
  <c r="E10119" i="9"/>
  <c r="D10119" i="9"/>
  <c r="C10119" i="9"/>
  <c r="B10119" i="9"/>
  <c r="H10118" i="9"/>
  <c r="G10118" i="9"/>
  <c r="E10118" i="9"/>
  <c r="D10118" i="9"/>
  <c r="C10118" i="9"/>
  <c r="B10118" i="9"/>
  <c r="H10117" i="9"/>
  <c r="G10117" i="9"/>
  <c r="E10117" i="9"/>
  <c r="D10117" i="9"/>
  <c r="C10117" i="9"/>
  <c r="B10117" i="9"/>
  <c r="H10116" i="9"/>
  <c r="G10116" i="9"/>
  <c r="E10116" i="9"/>
  <c r="D10116" i="9"/>
  <c r="C10116" i="9"/>
  <c r="B10116" i="9"/>
  <c r="H10115" i="9"/>
  <c r="G10115" i="9"/>
  <c r="E10115" i="9"/>
  <c r="D10115" i="9"/>
  <c r="C10115" i="9"/>
  <c r="B10115" i="9"/>
  <c r="H10114" i="9"/>
  <c r="G10114" i="9"/>
  <c r="E10114" i="9"/>
  <c r="D10114" i="9"/>
  <c r="C10114" i="9"/>
  <c r="B10114" i="9"/>
  <c r="H10113" i="9"/>
  <c r="G10113" i="9"/>
  <c r="E10113" i="9"/>
  <c r="D10113" i="9"/>
  <c r="C10113" i="9"/>
  <c r="B10113" i="9"/>
  <c r="H10112" i="9"/>
  <c r="G10112" i="9"/>
  <c r="E10112" i="9"/>
  <c r="D10112" i="9"/>
  <c r="C10112" i="9"/>
  <c r="B10112" i="9"/>
  <c r="H10111" i="9"/>
  <c r="G10111" i="9"/>
  <c r="E10111" i="9"/>
  <c r="D10111" i="9"/>
  <c r="C10111" i="9"/>
  <c r="B10111" i="9"/>
  <c r="H10110" i="9"/>
  <c r="G10110" i="9"/>
  <c r="E10110" i="9"/>
  <c r="D10110" i="9"/>
  <c r="C10110" i="9"/>
  <c r="B10110" i="9"/>
  <c r="H10109" i="9"/>
  <c r="G10109" i="9"/>
  <c r="E10109" i="9"/>
  <c r="D10109" i="9"/>
  <c r="C10109" i="9"/>
  <c r="B10109" i="9"/>
  <c r="H10108" i="9"/>
  <c r="G10108" i="9"/>
  <c r="E10108" i="9"/>
  <c r="D10108" i="9"/>
  <c r="C10108" i="9"/>
  <c r="B10108" i="9"/>
  <c r="H10107" i="9"/>
  <c r="G10107" i="9"/>
  <c r="E10107" i="9"/>
  <c r="D10107" i="9"/>
  <c r="C10107" i="9"/>
  <c r="B10107" i="9"/>
  <c r="H10106" i="9"/>
  <c r="G10106" i="9"/>
  <c r="E10106" i="9"/>
  <c r="D10106" i="9"/>
  <c r="C10106" i="9"/>
  <c r="B10106" i="9"/>
  <c r="H10105" i="9"/>
  <c r="G10105" i="9"/>
  <c r="E10105" i="9"/>
  <c r="D10105" i="9"/>
  <c r="C10105" i="9"/>
  <c r="B10105" i="9"/>
  <c r="H10104" i="9"/>
  <c r="G10104" i="9"/>
  <c r="E10104" i="9"/>
  <c r="D10104" i="9"/>
  <c r="C10104" i="9"/>
  <c r="B10104" i="9"/>
  <c r="H10103" i="9"/>
  <c r="G10103" i="9"/>
  <c r="E10103" i="9"/>
  <c r="D10103" i="9"/>
  <c r="C10103" i="9"/>
  <c r="B10103" i="9"/>
  <c r="H10102" i="9"/>
  <c r="G10102" i="9"/>
  <c r="E10102" i="9"/>
  <c r="D10102" i="9"/>
  <c r="C10102" i="9"/>
  <c r="B10102" i="9"/>
  <c r="H10101" i="9"/>
  <c r="G10101" i="9"/>
  <c r="E10101" i="9"/>
  <c r="D10101" i="9"/>
  <c r="C10101" i="9"/>
  <c r="B10101" i="9"/>
  <c r="H10100" i="9"/>
  <c r="G10100" i="9"/>
  <c r="E10100" i="9"/>
  <c r="D10100" i="9"/>
  <c r="C10100" i="9"/>
  <c r="B10100" i="9"/>
  <c r="H10099" i="9"/>
  <c r="G10099" i="9"/>
  <c r="E10099" i="9"/>
  <c r="D10099" i="9"/>
  <c r="C10099" i="9"/>
  <c r="B10099" i="9"/>
  <c r="H10098" i="9"/>
  <c r="G10098" i="9"/>
  <c r="E10098" i="9"/>
  <c r="D10098" i="9"/>
  <c r="C10098" i="9"/>
  <c r="B10098" i="9"/>
  <c r="H10097" i="9"/>
  <c r="G10097" i="9"/>
  <c r="E10097" i="9"/>
  <c r="D10097" i="9"/>
  <c r="C10097" i="9"/>
  <c r="B10097" i="9"/>
  <c r="H10096" i="9"/>
  <c r="G10096" i="9"/>
  <c r="E10096" i="9"/>
  <c r="D10096" i="9"/>
  <c r="C10096" i="9"/>
  <c r="B10096" i="9"/>
  <c r="H10095" i="9"/>
  <c r="G10095" i="9"/>
  <c r="E10095" i="9"/>
  <c r="D10095" i="9"/>
  <c r="C10095" i="9"/>
  <c r="B10095" i="9"/>
  <c r="H10094" i="9"/>
  <c r="G10094" i="9"/>
  <c r="E10094" i="9"/>
  <c r="D10094" i="9"/>
  <c r="C10094" i="9"/>
  <c r="B10094" i="9"/>
  <c r="H10093" i="9"/>
  <c r="G10093" i="9"/>
  <c r="E10093" i="9"/>
  <c r="D10093" i="9"/>
  <c r="C10093" i="9"/>
  <c r="B10093" i="9"/>
  <c r="H10092" i="9"/>
  <c r="G10092" i="9"/>
  <c r="E10092" i="9"/>
  <c r="D10092" i="9"/>
  <c r="C10092" i="9"/>
  <c r="B10092" i="9"/>
  <c r="H10091" i="9"/>
  <c r="G10091" i="9"/>
  <c r="E10091" i="9"/>
  <c r="D10091" i="9"/>
  <c r="C10091" i="9"/>
  <c r="B10091" i="9"/>
  <c r="H10090" i="9"/>
  <c r="G10090" i="9"/>
  <c r="E10090" i="9"/>
  <c r="D10090" i="9"/>
  <c r="C10090" i="9"/>
  <c r="B10090" i="9"/>
  <c r="H10089" i="9"/>
  <c r="G10089" i="9"/>
  <c r="E10089" i="9"/>
  <c r="D10089" i="9"/>
  <c r="C10089" i="9"/>
  <c r="B10089" i="9"/>
  <c r="H10088" i="9"/>
  <c r="G10088" i="9"/>
  <c r="E10088" i="9"/>
  <c r="D10088" i="9"/>
  <c r="C10088" i="9"/>
  <c r="B10088" i="9"/>
  <c r="H10087" i="9"/>
  <c r="G10087" i="9"/>
  <c r="E10087" i="9"/>
  <c r="D10087" i="9"/>
  <c r="C10087" i="9"/>
  <c r="B10087" i="9"/>
  <c r="H10086" i="9"/>
  <c r="G10086" i="9"/>
  <c r="E10086" i="9"/>
  <c r="D10086" i="9"/>
  <c r="C10086" i="9"/>
  <c r="B10086" i="9"/>
  <c r="H10085" i="9"/>
  <c r="G10085" i="9"/>
  <c r="E10085" i="9"/>
  <c r="D10085" i="9"/>
  <c r="C10085" i="9"/>
  <c r="B10085" i="9"/>
  <c r="H10084" i="9"/>
  <c r="G10084" i="9"/>
  <c r="E10084" i="9"/>
  <c r="D10084" i="9"/>
  <c r="C10084" i="9"/>
  <c r="B10084" i="9"/>
  <c r="H10083" i="9"/>
  <c r="G10083" i="9"/>
  <c r="E10083" i="9"/>
  <c r="D10083" i="9"/>
  <c r="C10083" i="9"/>
  <c r="B10083" i="9"/>
  <c r="H10082" i="9"/>
  <c r="G10082" i="9"/>
  <c r="E10082" i="9"/>
  <c r="D10082" i="9"/>
  <c r="C10082" i="9"/>
  <c r="B10082" i="9"/>
  <c r="H10081" i="9"/>
  <c r="G10081" i="9"/>
  <c r="E10081" i="9"/>
  <c r="D10081" i="9"/>
  <c r="C10081" i="9"/>
  <c r="B10081" i="9"/>
  <c r="H10080" i="9"/>
  <c r="G10080" i="9"/>
  <c r="E10080" i="9"/>
  <c r="D10080" i="9"/>
  <c r="C10080" i="9"/>
  <c r="B10080" i="9"/>
  <c r="H10079" i="9"/>
  <c r="G10079" i="9"/>
  <c r="E10079" i="9"/>
  <c r="D10079" i="9"/>
  <c r="C10079" i="9"/>
  <c r="B10079" i="9"/>
  <c r="H10078" i="9"/>
  <c r="G10078" i="9"/>
  <c r="E10078" i="9"/>
  <c r="D10078" i="9"/>
  <c r="C10078" i="9"/>
  <c r="B10078" i="9"/>
  <c r="H10077" i="9"/>
  <c r="G10077" i="9"/>
  <c r="E10077" i="9"/>
  <c r="D10077" i="9"/>
  <c r="C10077" i="9"/>
  <c r="B10077" i="9"/>
  <c r="H10076" i="9"/>
  <c r="G10076" i="9"/>
  <c r="E10076" i="9"/>
  <c r="D10076" i="9"/>
  <c r="C10076" i="9"/>
  <c r="B10076" i="9"/>
  <c r="H10075" i="9"/>
  <c r="G10075" i="9"/>
  <c r="E10075" i="9"/>
  <c r="D10075" i="9"/>
  <c r="C10075" i="9"/>
  <c r="B10075" i="9"/>
  <c r="H10074" i="9"/>
  <c r="G10074" i="9"/>
  <c r="E10074" i="9"/>
  <c r="D10074" i="9"/>
  <c r="C10074" i="9"/>
  <c r="B10074" i="9"/>
  <c r="H10073" i="9"/>
  <c r="G10073" i="9"/>
  <c r="E10073" i="9"/>
  <c r="D10073" i="9"/>
  <c r="C10073" i="9"/>
  <c r="B10073" i="9"/>
  <c r="H10072" i="9"/>
  <c r="G10072" i="9"/>
  <c r="E10072" i="9"/>
  <c r="D10072" i="9"/>
  <c r="C10072" i="9"/>
  <c r="B10072" i="9"/>
  <c r="H10071" i="9"/>
  <c r="G10071" i="9"/>
  <c r="E10071" i="9"/>
  <c r="D10071" i="9"/>
  <c r="C10071" i="9"/>
  <c r="B10071" i="9"/>
  <c r="H10070" i="9"/>
  <c r="G10070" i="9"/>
  <c r="E10070" i="9"/>
  <c r="D10070" i="9"/>
  <c r="C10070" i="9"/>
  <c r="B10070" i="9"/>
  <c r="H10069" i="9"/>
  <c r="G10069" i="9"/>
  <c r="E10069" i="9"/>
  <c r="D10069" i="9"/>
  <c r="C10069" i="9"/>
  <c r="B10069" i="9"/>
  <c r="H10068" i="9"/>
  <c r="G10068" i="9"/>
  <c r="E10068" i="9"/>
  <c r="D10068" i="9"/>
  <c r="C10068" i="9"/>
  <c r="B10068" i="9"/>
  <c r="H10067" i="9"/>
  <c r="G10067" i="9"/>
  <c r="E10067" i="9"/>
  <c r="D10067" i="9"/>
  <c r="C10067" i="9"/>
  <c r="B10067" i="9"/>
  <c r="H10066" i="9"/>
  <c r="G10066" i="9"/>
  <c r="E10066" i="9"/>
  <c r="D10066" i="9"/>
  <c r="C10066" i="9"/>
  <c r="B10066" i="9"/>
  <c r="H10065" i="9"/>
  <c r="G10065" i="9"/>
  <c r="E10065" i="9"/>
  <c r="D10065" i="9"/>
  <c r="C10065" i="9"/>
  <c r="B10065" i="9"/>
  <c r="H10064" i="9"/>
  <c r="G10064" i="9"/>
  <c r="E10064" i="9"/>
  <c r="D10064" i="9"/>
  <c r="C10064" i="9"/>
  <c r="B10064" i="9"/>
  <c r="H10063" i="9"/>
  <c r="G10063" i="9"/>
  <c r="E10063" i="9"/>
  <c r="D10063" i="9"/>
  <c r="C10063" i="9"/>
  <c r="B10063" i="9"/>
  <c r="H10062" i="9"/>
  <c r="G10062" i="9"/>
  <c r="E10062" i="9"/>
  <c r="D10062" i="9"/>
  <c r="C10062" i="9"/>
  <c r="B10062" i="9"/>
  <c r="H10061" i="9"/>
  <c r="G10061" i="9"/>
  <c r="E10061" i="9"/>
  <c r="D10061" i="9"/>
  <c r="C10061" i="9"/>
  <c r="B10061" i="9"/>
  <c r="H10060" i="9"/>
  <c r="G10060" i="9"/>
  <c r="E10060" i="9"/>
  <c r="D10060" i="9"/>
  <c r="C10060" i="9"/>
  <c r="B10060" i="9"/>
  <c r="H10059" i="9"/>
  <c r="G10059" i="9"/>
  <c r="E10059" i="9"/>
  <c r="D10059" i="9"/>
  <c r="C10059" i="9"/>
  <c r="B10059" i="9"/>
  <c r="H10058" i="9"/>
  <c r="G10058" i="9"/>
  <c r="E10058" i="9"/>
  <c r="D10058" i="9"/>
  <c r="C10058" i="9"/>
  <c r="B10058" i="9"/>
  <c r="H10057" i="9"/>
  <c r="G10057" i="9"/>
  <c r="E10057" i="9"/>
  <c r="D10057" i="9"/>
  <c r="C10057" i="9"/>
  <c r="B10057" i="9"/>
  <c r="H10056" i="9"/>
  <c r="G10056" i="9"/>
  <c r="E10056" i="9"/>
  <c r="D10056" i="9"/>
  <c r="C10056" i="9"/>
  <c r="B10056" i="9"/>
  <c r="H10055" i="9"/>
  <c r="G10055" i="9"/>
  <c r="E10055" i="9"/>
  <c r="D10055" i="9"/>
  <c r="C10055" i="9"/>
  <c r="B10055" i="9"/>
  <c r="H10054" i="9"/>
  <c r="G10054" i="9"/>
  <c r="E10054" i="9"/>
  <c r="D10054" i="9"/>
  <c r="C10054" i="9"/>
  <c r="B10054" i="9"/>
  <c r="H10053" i="9"/>
  <c r="G10053" i="9"/>
  <c r="E10053" i="9"/>
  <c r="D10053" i="9"/>
  <c r="C10053" i="9"/>
  <c r="B10053" i="9"/>
  <c r="H10052" i="9"/>
  <c r="G10052" i="9"/>
  <c r="E10052" i="9"/>
  <c r="D10052" i="9"/>
  <c r="C10052" i="9"/>
  <c r="B10052" i="9"/>
  <c r="H10051" i="9"/>
  <c r="G10051" i="9"/>
  <c r="E10051" i="9"/>
  <c r="D10051" i="9"/>
  <c r="C10051" i="9"/>
  <c r="B10051" i="9"/>
  <c r="H10050" i="9"/>
  <c r="G10050" i="9"/>
  <c r="E10050" i="9"/>
  <c r="D10050" i="9"/>
  <c r="C10050" i="9"/>
  <c r="B10050" i="9"/>
  <c r="H10049" i="9"/>
  <c r="G10049" i="9"/>
  <c r="E10049" i="9"/>
  <c r="D10049" i="9"/>
  <c r="C10049" i="9"/>
  <c r="B10049" i="9"/>
  <c r="H10048" i="9"/>
  <c r="G10048" i="9"/>
  <c r="E10048" i="9"/>
  <c r="D10048" i="9"/>
  <c r="C10048" i="9"/>
  <c r="B10048" i="9"/>
  <c r="H10047" i="9"/>
  <c r="G10047" i="9"/>
  <c r="E10047" i="9"/>
  <c r="D10047" i="9"/>
  <c r="C10047" i="9"/>
  <c r="B10047" i="9"/>
  <c r="H10046" i="9"/>
  <c r="G10046" i="9"/>
  <c r="E10046" i="9"/>
  <c r="D10046" i="9"/>
  <c r="C10046" i="9"/>
  <c r="B10046" i="9"/>
  <c r="H10045" i="9"/>
  <c r="G10045" i="9"/>
  <c r="E10045" i="9"/>
  <c r="D10045" i="9"/>
  <c r="C10045" i="9"/>
  <c r="B10045" i="9"/>
  <c r="H10044" i="9"/>
  <c r="G10044" i="9"/>
  <c r="E10044" i="9"/>
  <c r="D10044" i="9"/>
  <c r="C10044" i="9"/>
  <c r="B10044" i="9"/>
  <c r="H10043" i="9"/>
  <c r="G10043" i="9"/>
  <c r="E10043" i="9"/>
  <c r="D10043" i="9"/>
  <c r="C10043" i="9"/>
  <c r="B10043" i="9"/>
  <c r="H10042" i="9"/>
  <c r="G10042" i="9"/>
  <c r="E10042" i="9"/>
  <c r="D10042" i="9"/>
  <c r="C10042" i="9"/>
  <c r="B10042" i="9"/>
  <c r="H10041" i="9"/>
  <c r="G10041" i="9"/>
  <c r="E10041" i="9"/>
  <c r="D10041" i="9"/>
  <c r="C10041" i="9"/>
  <c r="B10041" i="9"/>
  <c r="H10040" i="9"/>
  <c r="G10040" i="9"/>
  <c r="E10040" i="9"/>
  <c r="D10040" i="9"/>
  <c r="C10040" i="9"/>
  <c r="B10040" i="9"/>
  <c r="H10039" i="9"/>
  <c r="G10039" i="9"/>
  <c r="E10039" i="9"/>
  <c r="D10039" i="9"/>
  <c r="C10039" i="9"/>
  <c r="B10039" i="9"/>
  <c r="H10038" i="9"/>
  <c r="G10038" i="9"/>
  <c r="E10038" i="9"/>
  <c r="D10038" i="9"/>
  <c r="C10038" i="9"/>
  <c r="B10038" i="9"/>
  <c r="H10037" i="9"/>
  <c r="G10037" i="9"/>
  <c r="E10037" i="9"/>
  <c r="D10037" i="9"/>
  <c r="C10037" i="9"/>
  <c r="B10037" i="9"/>
  <c r="H10036" i="9"/>
  <c r="G10036" i="9"/>
  <c r="E10036" i="9"/>
  <c r="D10036" i="9"/>
  <c r="C10036" i="9"/>
  <c r="B10036" i="9"/>
  <c r="H10035" i="9"/>
  <c r="G10035" i="9"/>
  <c r="E10035" i="9"/>
  <c r="D10035" i="9"/>
  <c r="C10035" i="9"/>
  <c r="B10035" i="9"/>
  <c r="H10034" i="9"/>
  <c r="G10034" i="9"/>
  <c r="E10034" i="9"/>
  <c r="D10034" i="9"/>
  <c r="C10034" i="9"/>
  <c r="B10034" i="9"/>
  <c r="H10033" i="9"/>
  <c r="G10033" i="9"/>
  <c r="E10033" i="9"/>
  <c r="D10033" i="9"/>
  <c r="C10033" i="9"/>
  <c r="B10033" i="9"/>
  <c r="H10032" i="9"/>
  <c r="G10032" i="9"/>
  <c r="E10032" i="9"/>
  <c r="D10032" i="9"/>
  <c r="C10032" i="9"/>
  <c r="B10032" i="9"/>
  <c r="H10031" i="9"/>
  <c r="G10031" i="9"/>
  <c r="E10031" i="9"/>
  <c r="D10031" i="9"/>
  <c r="C10031" i="9"/>
  <c r="B10031" i="9"/>
  <c r="H10030" i="9"/>
  <c r="G10030" i="9"/>
  <c r="E10030" i="9"/>
  <c r="D10030" i="9"/>
  <c r="C10030" i="9"/>
  <c r="B10030" i="9"/>
  <c r="H10029" i="9"/>
  <c r="G10029" i="9"/>
  <c r="E10029" i="9"/>
  <c r="D10029" i="9"/>
  <c r="C10029" i="9"/>
  <c r="B10029" i="9"/>
  <c r="H10028" i="9"/>
  <c r="G10028" i="9"/>
  <c r="E10028" i="9"/>
  <c r="D10028" i="9"/>
  <c r="C10028" i="9"/>
  <c r="B10028" i="9"/>
  <c r="H10027" i="9"/>
  <c r="G10027" i="9"/>
  <c r="E10027" i="9"/>
  <c r="D10027" i="9"/>
  <c r="C10027" i="9"/>
  <c r="B10027" i="9"/>
  <c r="H10026" i="9"/>
  <c r="G10026" i="9"/>
  <c r="E10026" i="9"/>
  <c r="D10026" i="9"/>
  <c r="C10026" i="9"/>
  <c r="B10026" i="9"/>
  <c r="H10025" i="9"/>
  <c r="G10025" i="9"/>
  <c r="E10025" i="9"/>
  <c r="D10025" i="9"/>
  <c r="C10025" i="9"/>
  <c r="B10025" i="9"/>
  <c r="H10024" i="9"/>
  <c r="G10024" i="9"/>
  <c r="E10024" i="9"/>
  <c r="D10024" i="9"/>
  <c r="C10024" i="9"/>
  <c r="B10024" i="9"/>
  <c r="H10023" i="9"/>
  <c r="G10023" i="9"/>
  <c r="E10023" i="9"/>
  <c r="D10023" i="9"/>
  <c r="C10023" i="9"/>
  <c r="B10023" i="9"/>
  <c r="H10022" i="9"/>
  <c r="G10022" i="9"/>
  <c r="E10022" i="9"/>
  <c r="D10022" i="9"/>
  <c r="C10022" i="9"/>
  <c r="B10022" i="9"/>
  <c r="H10021" i="9"/>
  <c r="G10021" i="9"/>
  <c r="E10021" i="9"/>
  <c r="D10021" i="9"/>
  <c r="C10021" i="9"/>
  <c r="B10021" i="9"/>
  <c r="H10020" i="9"/>
  <c r="G10020" i="9"/>
  <c r="E10020" i="9"/>
  <c r="D10020" i="9"/>
  <c r="C10020" i="9"/>
  <c r="B10020" i="9"/>
  <c r="H10019" i="9"/>
  <c r="G10019" i="9"/>
  <c r="E10019" i="9"/>
  <c r="D10019" i="9"/>
  <c r="C10019" i="9"/>
  <c r="B10019" i="9"/>
  <c r="H10018" i="9"/>
  <c r="G10018" i="9"/>
  <c r="E10018" i="9"/>
  <c r="D10018" i="9"/>
  <c r="C10018" i="9"/>
  <c r="B10018" i="9"/>
  <c r="H10017" i="9"/>
  <c r="G10017" i="9"/>
  <c r="E10017" i="9"/>
  <c r="D10017" i="9"/>
  <c r="C10017" i="9"/>
  <c r="B10017" i="9"/>
  <c r="H10016" i="9"/>
  <c r="G10016" i="9"/>
  <c r="E10016" i="9"/>
  <c r="D10016" i="9"/>
  <c r="C10016" i="9"/>
  <c r="B10016" i="9"/>
  <c r="H10015" i="9"/>
  <c r="G10015" i="9"/>
  <c r="E10015" i="9"/>
  <c r="D10015" i="9"/>
  <c r="C10015" i="9"/>
  <c r="B10015" i="9"/>
  <c r="H10014" i="9"/>
  <c r="G10014" i="9"/>
  <c r="E10014" i="9"/>
  <c r="D10014" i="9"/>
  <c r="C10014" i="9"/>
  <c r="B10014" i="9"/>
  <c r="H10013" i="9"/>
  <c r="G10013" i="9"/>
  <c r="E10013" i="9"/>
  <c r="D10013" i="9"/>
  <c r="C10013" i="9"/>
  <c r="B10013" i="9"/>
  <c r="H10012" i="9"/>
  <c r="G10012" i="9"/>
  <c r="E10012" i="9"/>
  <c r="D10012" i="9"/>
  <c r="C10012" i="9"/>
  <c r="B10012" i="9"/>
  <c r="H10011" i="9"/>
  <c r="G10011" i="9"/>
  <c r="E10011" i="9"/>
  <c r="D10011" i="9"/>
  <c r="C10011" i="9"/>
  <c r="B10011" i="9"/>
  <c r="H10010" i="9"/>
  <c r="G10010" i="9"/>
  <c r="E10010" i="9"/>
  <c r="D10010" i="9"/>
  <c r="C10010" i="9"/>
  <c r="B10010" i="9"/>
  <c r="H10009" i="9"/>
  <c r="G10009" i="9"/>
  <c r="E10009" i="9"/>
  <c r="D10009" i="9"/>
  <c r="C10009" i="9"/>
  <c r="B10009" i="9"/>
  <c r="H10008" i="9"/>
  <c r="G10008" i="9"/>
  <c r="E10008" i="9"/>
  <c r="D10008" i="9"/>
  <c r="C10008" i="9"/>
  <c r="B10008" i="9"/>
  <c r="H10007" i="9"/>
  <c r="G10007" i="9"/>
  <c r="E10007" i="9"/>
  <c r="D10007" i="9"/>
  <c r="C10007" i="9"/>
  <c r="B10007" i="9"/>
  <c r="H10006" i="9"/>
  <c r="G10006" i="9"/>
  <c r="E10006" i="9"/>
  <c r="D10006" i="9"/>
  <c r="C10006" i="9"/>
  <c r="B10006" i="9"/>
  <c r="H10005" i="9"/>
  <c r="G10005" i="9"/>
  <c r="E10005" i="9"/>
  <c r="D10005" i="9"/>
  <c r="C10005" i="9"/>
  <c r="B10005" i="9"/>
  <c r="H10004" i="9"/>
  <c r="G10004" i="9"/>
  <c r="E10004" i="9"/>
  <c r="D10004" i="9"/>
  <c r="C10004" i="9"/>
  <c r="B10004" i="9"/>
  <c r="H10003" i="9"/>
  <c r="G10003" i="9"/>
  <c r="E10003" i="9"/>
  <c r="D10003" i="9"/>
  <c r="C10003" i="9"/>
  <c r="B10003" i="9"/>
  <c r="H10002" i="9"/>
  <c r="G10002" i="9"/>
  <c r="E10002" i="9"/>
  <c r="D10002" i="9"/>
  <c r="C10002" i="9"/>
  <c r="B10002" i="9"/>
  <c r="H10001" i="9"/>
  <c r="G10001" i="9"/>
  <c r="E10001" i="9"/>
  <c r="D10001" i="9"/>
  <c r="C10001" i="9"/>
  <c r="B10001" i="9"/>
  <c r="H10000" i="9"/>
  <c r="G10000" i="9"/>
  <c r="E10000" i="9"/>
  <c r="D10000" i="9"/>
  <c r="C10000" i="9"/>
  <c r="B10000" i="9"/>
  <c r="H9999" i="9"/>
  <c r="G9999" i="9"/>
  <c r="E9999" i="9"/>
  <c r="D9999" i="9"/>
  <c r="C9999" i="9"/>
  <c r="B9999" i="9"/>
  <c r="H9998" i="9"/>
  <c r="G9998" i="9"/>
  <c r="E9998" i="9"/>
  <c r="D9998" i="9"/>
  <c r="C9998" i="9"/>
  <c r="B9998" i="9"/>
  <c r="H9997" i="9"/>
  <c r="G9997" i="9"/>
  <c r="E9997" i="9"/>
  <c r="D9997" i="9"/>
  <c r="C9997" i="9"/>
  <c r="B9997" i="9"/>
  <c r="H9996" i="9"/>
  <c r="G9996" i="9"/>
  <c r="E9996" i="9"/>
  <c r="D9996" i="9"/>
  <c r="C9996" i="9"/>
  <c r="B9996" i="9"/>
  <c r="H9995" i="9"/>
  <c r="G9995" i="9"/>
  <c r="E9995" i="9"/>
  <c r="D9995" i="9"/>
  <c r="C9995" i="9"/>
  <c r="B9995" i="9"/>
  <c r="H9994" i="9"/>
  <c r="G9994" i="9"/>
  <c r="E9994" i="9"/>
  <c r="D9994" i="9"/>
  <c r="C9994" i="9"/>
  <c r="B9994" i="9"/>
  <c r="H9993" i="9"/>
  <c r="G9993" i="9"/>
  <c r="E9993" i="9"/>
  <c r="D9993" i="9"/>
  <c r="C9993" i="9"/>
  <c r="B9993" i="9"/>
  <c r="H9992" i="9"/>
  <c r="G9992" i="9"/>
  <c r="E9992" i="9"/>
  <c r="D9992" i="9"/>
  <c r="C9992" i="9"/>
  <c r="B9992" i="9"/>
  <c r="H9991" i="9"/>
  <c r="G9991" i="9"/>
  <c r="E9991" i="9"/>
  <c r="D9991" i="9"/>
  <c r="C9991" i="9"/>
  <c r="B9991" i="9"/>
  <c r="H9990" i="9"/>
  <c r="G9990" i="9"/>
  <c r="E9990" i="9"/>
  <c r="D9990" i="9"/>
  <c r="C9990" i="9"/>
  <c r="B9990" i="9"/>
  <c r="H9989" i="9"/>
  <c r="G9989" i="9"/>
  <c r="E9989" i="9"/>
  <c r="D9989" i="9"/>
  <c r="C9989" i="9"/>
  <c r="B9989" i="9"/>
  <c r="H9988" i="9"/>
  <c r="G9988" i="9"/>
  <c r="E9988" i="9"/>
  <c r="D9988" i="9"/>
  <c r="C9988" i="9"/>
  <c r="B9988" i="9"/>
  <c r="H9987" i="9"/>
  <c r="G9987" i="9"/>
  <c r="E9987" i="9"/>
  <c r="D9987" i="9"/>
  <c r="C9987" i="9"/>
  <c r="B9987" i="9"/>
  <c r="H9986" i="9"/>
  <c r="G9986" i="9"/>
  <c r="E9986" i="9"/>
  <c r="D9986" i="9"/>
  <c r="C9986" i="9"/>
  <c r="B9986" i="9"/>
  <c r="H9985" i="9"/>
  <c r="G9985" i="9"/>
  <c r="E9985" i="9"/>
  <c r="D9985" i="9"/>
  <c r="C9985" i="9"/>
  <c r="B9985" i="9"/>
  <c r="H9984" i="9"/>
  <c r="G9984" i="9"/>
  <c r="E9984" i="9"/>
  <c r="D9984" i="9"/>
  <c r="C9984" i="9"/>
  <c r="B9984" i="9"/>
  <c r="H9983" i="9"/>
  <c r="G9983" i="9"/>
  <c r="E9983" i="9"/>
  <c r="D9983" i="9"/>
  <c r="C9983" i="9"/>
  <c r="B9983" i="9"/>
  <c r="H9982" i="9"/>
  <c r="G9982" i="9"/>
  <c r="E9982" i="9"/>
  <c r="D9982" i="9"/>
  <c r="C9982" i="9"/>
  <c r="B9982" i="9"/>
  <c r="H9981" i="9"/>
  <c r="G9981" i="9"/>
  <c r="E9981" i="9"/>
  <c r="D9981" i="9"/>
  <c r="C9981" i="9"/>
  <c r="B9981" i="9"/>
  <c r="H9980" i="9"/>
  <c r="G9980" i="9"/>
  <c r="E9980" i="9"/>
  <c r="D9980" i="9"/>
  <c r="C9980" i="9"/>
  <c r="B9980" i="9"/>
  <c r="H9979" i="9"/>
  <c r="G9979" i="9"/>
  <c r="E9979" i="9"/>
  <c r="D9979" i="9"/>
  <c r="C9979" i="9"/>
  <c r="B9979" i="9"/>
  <c r="H9978" i="9"/>
  <c r="G9978" i="9"/>
  <c r="E9978" i="9"/>
  <c r="D9978" i="9"/>
  <c r="C9978" i="9"/>
  <c r="B9978" i="9"/>
  <c r="H9977" i="9"/>
  <c r="G9977" i="9"/>
  <c r="E9977" i="9"/>
  <c r="D9977" i="9"/>
  <c r="C9977" i="9"/>
  <c r="B9977" i="9"/>
  <c r="H9976" i="9"/>
  <c r="G9976" i="9"/>
  <c r="E9976" i="9"/>
  <c r="D9976" i="9"/>
  <c r="C9976" i="9"/>
  <c r="B9976" i="9"/>
  <c r="H9975" i="9"/>
  <c r="G9975" i="9"/>
  <c r="E9975" i="9"/>
  <c r="D9975" i="9"/>
  <c r="C9975" i="9"/>
  <c r="B9975" i="9"/>
  <c r="H9974" i="9"/>
  <c r="G9974" i="9"/>
  <c r="E9974" i="9"/>
  <c r="D9974" i="9"/>
  <c r="C9974" i="9"/>
  <c r="B9974" i="9"/>
  <c r="H9973" i="9"/>
  <c r="G9973" i="9"/>
  <c r="E9973" i="9"/>
  <c r="D9973" i="9"/>
  <c r="C9973" i="9"/>
  <c r="B9973" i="9"/>
  <c r="H9972" i="9"/>
  <c r="G9972" i="9"/>
  <c r="E9972" i="9"/>
  <c r="D9972" i="9"/>
  <c r="C9972" i="9"/>
  <c r="B9972" i="9"/>
  <c r="H9971" i="9"/>
  <c r="G9971" i="9"/>
  <c r="E9971" i="9"/>
  <c r="D9971" i="9"/>
  <c r="C9971" i="9"/>
  <c r="B9971" i="9"/>
  <c r="H9970" i="9"/>
  <c r="G9970" i="9"/>
  <c r="E9970" i="9"/>
  <c r="D9970" i="9"/>
  <c r="C9970" i="9"/>
  <c r="B9970" i="9"/>
  <c r="H9969" i="9"/>
  <c r="G9969" i="9"/>
  <c r="E9969" i="9"/>
  <c r="D9969" i="9"/>
  <c r="C9969" i="9"/>
  <c r="B9969" i="9"/>
  <c r="H9968" i="9"/>
  <c r="G9968" i="9"/>
  <c r="E9968" i="9"/>
  <c r="D9968" i="9"/>
  <c r="C9968" i="9"/>
  <c r="B9968" i="9"/>
  <c r="H9967" i="9"/>
  <c r="G9967" i="9"/>
  <c r="E9967" i="9"/>
  <c r="D9967" i="9"/>
  <c r="C9967" i="9"/>
  <c r="B9967" i="9"/>
  <c r="H9966" i="9"/>
  <c r="G9966" i="9"/>
  <c r="E9966" i="9"/>
  <c r="D9966" i="9"/>
  <c r="C9966" i="9"/>
  <c r="B9966" i="9"/>
  <c r="H9965" i="9"/>
  <c r="G9965" i="9"/>
  <c r="E9965" i="9"/>
  <c r="D9965" i="9"/>
  <c r="C9965" i="9"/>
  <c r="B9965" i="9"/>
  <c r="H9964" i="9"/>
  <c r="G9964" i="9"/>
  <c r="E9964" i="9"/>
  <c r="D9964" i="9"/>
  <c r="C9964" i="9"/>
  <c r="B9964" i="9"/>
  <c r="H9963" i="9"/>
  <c r="G9963" i="9"/>
  <c r="E9963" i="9"/>
  <c r="D9963" i="9"/>
  <c r="C9963" i="9"/>
  <c r="B9963" i="9"/>
  <c r="H9962" i="9"/>
  <c r="G9962" i="9"/>
  <c r="E9962" i="9"/>
  <c r="D9962" i="9"/>
  <c r="C9962" i="9"/>
  <c r="B9962" i="9"/>
  <c r="H9961" i="9"/>
  <c r="G9961" i="9"/>
  <c r="E9961" i="9"/>
  <c r="D9961" i="9"/>
  <c r="C9961" i="9"/>
  <c r="B9961" i="9"/>
  <c r="H9960" i="9"/>
  <c r="G9960" i="9"/>
  <c r="E9960" i="9"/>
  <c r="D9960" i="9"/>
  <c r="C9960" i="9"/>
  <c r="B9960" i="9"/>
  <c r="H9959" i="9"/>
  <c r="G9959" i="9"/>
  <c r="E9959" i="9"/>
  <c r="D9959" i="9"/>
  <c r="C9959" i="9"/>
  <c r="B9959" i="9"/>
  <c r="H9958" i="9"/>
  <c r="G9958" i="9"/>
  <c r="E9958" i="9"/>
  <c r="D9958" i="9"/>
  <c r="C9958" i="9"/>
  <c r="B9958" i="9"/>
  <c r="H9957" i="9"/>
  <c r="G9957" i="9"/>
  <c r="E9957" i="9"/>
  <c r="D9957" i="9"/>
  <c r="C9957" i="9"/>
  <c r="B9957" i="9"/>
  <c r="H9956" i="9"/>
  <c r="G9956" i="9"/>
  <c r="E9956" i="9"/>
  <c r="D9956" i="9"/>
  <c r="C9956" i="9"/>
  <c r="B9956" i="9"/>
  <c r="H9955" i="9"/>
  <c r="G9955" i="9"/>
  <c r="E9955" i="9"/>
  <c r="D9955" i="9"/>
  <c r="C9955" i="9"/>
  <c r="B9955" i="9"/>
  <c r="H9954" i="9"/>
  <c r="G9954" i="9"/>
  <c r="E9954" i="9"/>
  <c r="D9954" i="9"/>
  <c r="C9954" i="9"/>
  <c r="B9954" i="9"/>
  <c r="H9953" i="9"/>
  <c r="G9953" i="9"/>
  <c r="E9953" i="9"/>
  <c r="D9953" i="9"/>
  <c r="C9953" i="9"/>
  <c r="B9953" i="9"/>
  <c r="H9952" i="9"/>
  <c r="G9952" i="9"/>
  <c r="E9952" i="9"/>
  <c r="D9952" i="9"/>
  <c r="C9952" i="9"/>
  <c r="B9952" i="9"/>
  <c r="H9951" i="9"/>
  <c r="G9951" i="9"/>
  <c r="E9951" i="9"/>
  <c r="D9951" i="9"/>
  <c r="C9951" i="9"/>
  <c r="B9951" i="9"/>
  <c r="H9950" i="9"/>
  <c r="G9950" i="9"/>
  <c r="E9950" i="9"/>
  <c r="D9950" i="9"/>
  <c r="C9950" i="9"/>
  <c r="B9950" i="9"/>
  <c r="H9949" i="9"/>
  <c r="G9949" i="9"/>
  <c r="E9949" i="9"/>
  <c r="D9949" i="9"/>
  <c r="C9949" i="9"/>
  <c r="B9949" i="9"/>
  <c r="H9948" i="9"/>
  <c r="G9948" i="9"/>
  <c r="E9948" i="9"/>
  <c r="D9948" i="9"/>
  <c r="C9948" i="9"/>
  <c r="B9948" i="9"/>
  <c r="H9947" i="9"/>
  <c r="G9947" i="9"/>
  <c r="E9947" i="9"/>
  <c r="D9947" i="9"/>
  <c r="C9947" i="9"/>
  <c r="B9947" i="9"/>
  <c r="H9946" i="9"/>
  <c r="G9946" i="9"/>
  <c r="E9946" i="9"/>
  <c r="D9946" i="9"/>
  <c r="C9946" i="9"/>
  <c r="B9946" i="9"/>
  <c r="H9945" i="9"/>
  <c r="G9945" i="9"/>
  <c r="E9945" i="9"/>
  <c r="D9945" i="9"/>
  <c r="C9945" i="9"/>
  <c r="B9945" i="9"/>
  <c r="H9944" i="9"/>
  <c r="G9944" i="9"/>
  <c r="E9944" i="9"/>
  <c r="D9944" i="9"/>
  <c r="C9944" i="9"/>
  <c r="B9944" i="9"/>
  <c r="H9943" i="9"/>
  <c r="G9943" i="9"/>
  <c r="E9943" i="9"/>
  <c r="D9943" i="9"/>
  <c r="C9943" i="9"/>
  <c r="B9943" i="9"/>
  <c r="H9942" i="9"/>
  <c r="G9942" i="9"/>
  <c r="E9942" i="9"/>
  <c r="D9942" i="9"/>
  <c r="C9942" i="9"/>
  <c r="B9942" i="9"/>
  <c r="H9941" i="9"/>
  <c r="G9941" i="9"/>
  <c r="E9941" i="9"/>
  <c r="D9941" i="9"/>
  <c r="C9941" i="9"/>
  <c r="B9941" i="9"/>
  <c r="H9940" i="9"/>
  <c r="G9940" i="9"/>
  <c r="E9940" i="9"/>
  <c r="D9940" i="9"/>
  <c r="C9940" i="9"/>
  <c r="B9940" i="9"/>
  <c r="H9939" i="9"/>
  <c r="G9939" i="9"/>
  <c r="E9939" i="9"/>
  <c r="D9939" i="9"/>
  <c r="C9939" i="9"/>
  <c r="B9939" i="9"/>
  <c r="H9938" i="9"/>
  <c r="G9938" i="9"/>
  <c r="E9938" i="9"/>
  <c r="D9938" i="9"/>
  <c r="C9938" i="9"/>
  <c r="B9938" i="9"/>
  <c r="H9937" i="9"/>
  <c r="G9937" i="9"/>
  <c r="E9937" i="9"/>
  <c r="D9937" i="9"/>
  <c r="C9937" i="9"/>
  <c r="B9937" i="9"/>
  <c r="H9936" i="9"/>
  <c r="G9936" i="9"/>
  <c r="E9936" i="9"/>
  <c r="D9936" i="9"/>
  <c r="C9936" i="9"/>
  <c r="B9936" i="9"/>
  <c r="H9935" i="9"/>
  <c r="G9935" i="9"/>
  <c r="E9935" i="9"/>
  <c r="D9935" i="9"/>
  <c r="C9935" i="9"/>
  <c r="B9935" i="9"/>
  <c r="H9934" i="9"/>
  <c r="G9934" i="9"/>
  <c r="E9934" i="9"/>
  <c r="D9934" i="9"/>
  <c r="C9934" i="9"/>
  <c r="B9934" i="9"/>
  <c r="H9933" i="9"/>
  <c r="G9933" i="9"/>
  <c r="E9933" i="9"/>
  <c r="D9933" i="9"/>
  <c r="C9933" i="9"/>
  <c r="B9933" i="9"/>
  <c r="H9932" i="9"/>
  <c r="G9932" i="9"/>
  <c r="E9932" i="9"/>
  <c r="D9932" i="9"/>
  <c r="C9932" i="9"/>
  <c r="B9932" i="9"/>
  <c r="H9931" i="9"/>
  <c r="G9931" i="9"/>
  <c r="E9931" i="9"/>
  <c r="D9931" i="9"/>
  <c r="C9931" i="9"/>
  <c r="B9931" i="9"/>
  <c r="H9930" i="9"/>
  <c r="G9930" i="9"/>
  <c r="E9930" i="9"/>
  <c r="D9930" i="9"/>
  <c r="C9930" i="9"/>
  <c r="B9930" i="9"/>
  <c r="H9929" i="9"/>
  <c r="G9929" i="9"/>
  <c r="E9929" i="9"/>
  <c r="D9929" i="9"/>
  <c r="C9929" i="9"/>
  <c r="B9929" i="9"/>
  <c r="H9928" i="9"/>
  <c r="G9928" i="9"/>
  <c r="E9928" i="9"/>
  <c r="D9928" i="9"/>
  <c r="C9928" i="9"/>
  <c r="B9928" i="9"/>
  <c r="H9927" i="9"/>
  <c r="G9927" i="9"/>
  <c r="E9927" i="9"/>
  <c r="D9927" i="9"/>
  <c r="C9927" i="9"/>
  <c r="B9927" i="9"/>
  <c r="H9926" i="9"/>
  <c r="G9926" i="9"/>
  <c r="E9926" i="9"/>
  <c r="D9926" i="9"/>
  <c r="C9926" i="9"/>
  <c r="B9926" i="9"/>
  <c r="H9925" i="9"/>
  <c r="G9925" i="9"/>
  <c r="E9925" i="9"/>
  <c r="D9925" i="9"/>
  <c r="C9925" i="9"/>
  <c r="B9925" i="9"/>
  <c r="H9924" i="9"/>
  <c r="G9924" i="9"/>
  <c r="E9924" i="9"/>
  <c r="D9924" i="9"/>
  <c r="C9924" i="9"/>
  <c r="B9924" i="9"/>
  <c r="H9923" i="9"/>
  <c r="G9923" i="9"/>
  <c r="E9923" i="9"/>
  <c r="D9923" i="9"/>
  <c r="C9923" i="9"/>
  <c r="B9923" i="9"/>
  <c r="H9922" i="9"/>
  <c r="G9922" i="9"/>
  <c r="E9922" i="9"/>
  <c r="D9922" i="9"/>
  <c r="C9922" i="9"/>
  <c r="B9922" i="9"/>
  <c r="H9921" i="9"/>
  <c r="G9921" i="9"/>
  <c r="E9921" i="9"/>
  <c r="D9921" i="9"/>
  <c r="C9921" i="9"/>
  <c r="B9921" i="9"/>
  <c r="H9920" i="9"/>
  <c r="G9920" i="9"/>
  <c r="E9920" i="9"/>
  <c r="D9920" i="9"/>
  <c r="C9920" i="9"/>
  <c r="B9920" i="9"/>
  <c r="H9919" i="9"/>
  <c r="G9919" i="9"/>
  <c r="E9919" i="9"/>
  <c r="D9919" i="9"/>
  <c r="C9919" i="9"/>
  <c r="B9919" i="9"/>
  <c r="H9918" i="9"/>
  <c r="G9918" i="9"/>
  <c r="E9918" i="9"/>
  <c r="D9918" i="9"/>
  <c r="C9918" i="9"/>
  <c r="B9918" i="9"/>
  <c r="H9917" i="9"/>
  <c r="G9917" i="9"/>
  <c r="E9917" i="9"/>
  <c r="D9917" i="9"/>
  <c r="C9917" i="9"/>
  <c r="B9917" i="9"/>
  <c r="H9916" i="9"/>
  <c r="G9916" i="9"/>
  <c r="E9916" i="9"/>
  <c r="D9916" i="9"/>
  <c r="C9916" i="9"/>
  <c r="B9916" i="9"/>
  <c r="H9915" i="9"/>
  <c r="G9915" i="9"/>
  <c r="E9915" i="9"/>
  <c r="D9915" i="9"/>
  <c r="C9915" i="9"/>
  <c r="B9915" i="9"/>
  <c r="H9914" i="9"/>
  <c r="G9914" i="9"/>
  <c r="E9914" i="9"/>
  <c r="D9914" i="9"/>
  <c r="C9914" i="9"/>
  <c r="B9914" i="9"/>
  <c r="H9913" i="9"/>
  <c r="G9913" i="9"/>
  <c r="E9913" i="9"/>
  <c r="D9913" i="9"/>
  <c r="C9913" i="9"/>
  <c r="B9913" i="9"/>
  <c r="H9912" i="9"/>
  <c r="G9912" i="9"/>
  <c r="E9912" i="9"/>
  <c r="D9912" i="9"/>
  <c r="C9912" i="9"/>
  <c r="B9912" i="9"/>
  <c r="H9911" i="9"/>
  <c r="G9911" i="9"/>
  <c r="E9911" i="9"/>
  <c r="D9911" i="9"/>
  <c r="C9911" i="9"/>
  <c r="B9911" i="9"/>
  <c r="H9910" i="9"/>
  <c r="G9910" i="9"/>
  <c r="E9910" i="9"/>
  <c r="D9910" i="9"/>
  <c r="C9910" i="9"/>
  <c r="B9910" i="9"/>
  <c r="H9909" i="9"/>
  <c r="G9909" i="9"/>
  <c r="E9909" i="9"/>
  <c r="D9909" i="9"/>
  <c r="C9909" i="9"/>
  <c r="B9909" i="9"/>
  <c r="H9908" i="9"/>
  <c r="G9908" i="9"/>
  <c r="E9908" i="9"/>
  <c r="D9908" i="9"/>
  <c r="C9908" i="9"/>
  <c r="B9908" i="9"/>
  <c r="H9907" i="9"/>
  <c r="G9907" i="9"/>
  <c r="E9907" i="9"/>
  <c r="D9907" i="9"/>
  <c r="C9907" i="9"/>
  <c r="B9907" i="9"/>
  <c r="H9906" i="9"/>
  <c r="G9906" i="9"/>
  <c r="E9906" i="9"/>
  <c r="D9906" i="9"/>
  <c r="C9906" i="9"/>
  <c r="B9906" i="9"/>
  <c r="H9905" i="9"/>
  <c r="G9905" i="9"/>
  <c r="E9905" i="9"/>
  <c r="D9905" i="9"/>
  <c r="C9905" i="9"/>
  <c r="B9905" i="9"/>
  <c r="H9904" i="9"/>
  <c r="G9904" i="9"/>
  <c r="E9904" i="9"/>
  <c r="D9904" i="9"/>
  <c r="C9904" i="9"/>
  <c r="B9904" i="9"/>
  <c r="H9903" i="9"/>
  <c r="G9903" i="9"/>
  <c r="E9903" i="9"/>
  <c r="D9903" i="9"/>
  <c r="C9903" i="9"/>
  <c r="B9903" i="9"/>
  <c r="H9902" i="9"/>
  <c r="G9902" i="9"/>
  <c r="E9902" i="9"/>
  <c r="D9902" i="9"/>
  <c r="C9902" i="9"/>
  <c r="B9902" i="9"/>
  <c r="H9901" i="9"/>
  <c r="G9901" i="9"/>
  <c r="E9901" i="9"/>
  <c r="D9901" i="9"/>
  <c r="C9901" i="9"/>
  <c r="B9901" i="9"/>
  <c r="H9900" i="9"/>
  <c r="G9900" i="9"/>
  <c r="E9900" i="9"/>
  <c r="D9900" i="9"/>
  <c r="C9900" i="9"/>
  <c r="B9900" i="9"/>
  <c r="H9899" i="9"/>
  <c r="G9899" i="9"/>
  <c r="E9899" i="9"/>
  <c r="D9899" i="9"/>
  <c r="C9899" i="9"/>
  <c r="B9899" i="9"/>
  <c r="H9898" i="9"/>
  <c r="G9898" i="9"/>
  <c r="E9898" i="9"/>
  <c r="D9898" i="9"/>
  <c r="C9898" i="9"/>
  <c r="B9898" i="9"/>
  <c r="H9897" i="9"/>
  <c r="G9897" i="9"/>
  <c r="E9897" i="9"/>
  <c r="D9897" i="9"/>
  <c r="C9897" i="9"/>
  <c r="B9897" i="9"/>
  <c r="H9896" i="9"/>
  <c r="G9896" i="9"/>
  <c r="E9896" i="9"/>
  <c r="D9896" i="9"/>
  <c r="C9896" i="9"/>
  <c r="B9896" i="9"/>
  <c r="H9895" i="9"/>
  <c r="G9895" i="9"/>
  <c r="E9895" i="9"/>
  <c r="D9895" i="9"/>
  <c r="C9895" i="9"/>
  <c r="B9895" i="9"/>
  <c r="H9894" i="9"/>
  <c r="G9894" i="9"/>
  <c r="E9894" i="9"/>
  <c r="D9894" i="9"/>
  <c r="C9894" i="9"/>
  <c r="B9894" i="9"/>
  <c r="H9893" i="9"/>
  <c r="G9893" i="9"/>
  <c r="E9893" i="9"/>
  <c r="D9893" i="9"/>
  <c r="C9893" i="9"/>
  <c r="B9893" i="9"/>
  <c r="H9892" i="9"/>
  <c r="G9892" i="9"/>
  <c r="E9892" i="9"/>
  <c r="D9892" i="9"/>
  <c r="C9892" i="9"/>
  <c r="B9892" i="9"/>
  <c r="H9891" i="9"/>
  <c r="G9891" i="9"/>
  <c r="E9891" i="9"/>
  <c r="D9891" i="9"/>
  <c r="C9891" i="9"/>
  <c r="B9891" i="9"/>
  <c r="H9890" i="9"/>
  <c r="G9890" i="9"/>
  <c r="E9890" i="9"/>
  <c r="D9890" i="9"/>
  <c r="C9890" i="9"/>
  <c r="B9890" i="9"/>
  <c r="H9889" i="9"/>
  <c r="G9889" i="9"/>
  <c r="E9889" i="9"/>
  <c r="D9889" i="9"/>
  <c r="C9889" i="9"/>
  <c r="B9889" i="9"/>
  <c r="H9888" i="9"/>
  <c r="G9888" i="9"/>
  <c r="E9888" i="9"/>
  <c r="D9888" i="9"/>
  <c r="C9888" i="9"/>
  <c r="B9888" i="9"/>
  <c r="H9887" i="9"/>
  <c r="G9887" i="9"/>
  <c r="E9887" i="9"/>
  <c r="D9887" i="9"/>
  <c r="C9887" i="9"/>
  <c r="B9887" i="9"/>
  <c r="H9886" i="9"/>
  <c r="G9886" i="9"/>
  <c r="E9886" i="9"/>
  <c r="D9886" i="9"/>
  <c r="C9886" i="9"/>
  <c r="B9886" i="9"/>
  <c r="H9885" i="9"/>
  <c r="G9885" i="9"/>
  <c r="E9885" i="9"/>
  <c r="D9885" i="9"/>
  <c r="C9885" i="9"/>
  <c r="B9885" i="9"/>
  <c r="H9884" i="9"/>
  <c r="G9884" i="9"/>
  <c r="E9884" i="9"/>
  <c r="D9884" i="9"/>
  <c r="C9884" i="9"/>
  <c r="B9884" i="9"/>
  <c r="H9883" i="9"/>
  <c r="G9883" i="9"/>
  <c r="E9883" i="9"/>
  <c r="D9883" i="9"/>
  <c r="C9883" i="9"/>
  <c r="B9883" i="9"/>
  <c r="H9882" i="9"/>
  <c r="G9882" i="9"/>
  <c r="E9882" i="9"/>
  <c r="D9882" i="9"/>
  <c r="C9882" i="9"/>
  <c r="B9882" i="9"/>
  <c r="H9881" i="9"/>
  <c r="G9881" i="9"/>
  <c r="E9881" i="9"/>
  <c r="D9881" i="9"/>
  <c r="C9881" i="9"/>
  <c r="B9881" i="9"/>
  <c r="H9880" i="9"/>
  <c r="G9880" i="9"/>
  <c r="E9880" i="9"/>
  <c r="D9880" i="9"/>
  <c r="C9880" i="9"/>
  <c r="B9880" i="9"/>
  <c r="H9879" i="9"/>
  <c r="G9879" i="9"/>
  <c r="E9879" i="9"/>
  <c r="D9879" i="9"/>
  <c r="C9879" i="9"/>
  <c r="B9879" i="9"/>
  <c r="H9878" i="9"/>
  <c r="G9878" i="9"/>
  <c r="E9878" i="9"/>
  <c r="D9878" i="9"/>
  <c r="C9878" i="9"/>
  <c r="B9878" i="9"/>
  <c r="H9877" i="9"/>
  <c r="G9877" i="9"/>
  <c r="E9877" i="9"/>
  <c r="D9877" i="9"/>
  <c r="C9877" i="9"/>
  <c r="B9877" i="9"/>
  <c r="H9876" i="9"/>
  <c r="G9876" i="9"/>
  <c r="E9876" i="9"/>
  <c r="D9876" i="9"/>
  <c r="C9876" i="9"/>
  <c r="B9876" i="9"/>
  <c r="H9875" i="9"/>
  <c r="G9875" i="9"/>
  <c r="E9875" i="9"/>
  <c r="D9875" i="9"/>
  <c r="C9875" i="9"/>
  <c r="B9875" i="9"/>
  <c r="H9874" i="9"/>
  <c r="G9874" i="9"/>
  <c r="E9874" i="9"/>
  <c r="D9874" i="9"/>
  <c r="C9874" i="9"/>
  <c r="B9874" i="9"/>
  <c r="H9873" i="9"/>
  <c r="G9873" i="9"/>
  <c r="E9873" i="9"/>
  <c r="D9873" i="9"/>
  <c r="C9873" i="9"/>
  <c r="B9873" i="9"/>
  <c r="H9872" i="9"/>
  <c r="G9872" i="9"/>
  <c r="E9872" i="9"/>
  <c r="D9872" i="9"/>
  <c r="C9872" i="9"/>
  <c r="B9872" i="9"/>
  <c r="H9871" i="9"/>
  <c r="G9871" i="9"/>
  <c r="E9871" i="9"/>
  <c r="D9871" i="9"/>
  <c r="C9871" i="9"/>
  <c r="B9871" i="9"/>
  <c r="H9870" i="9"/>
  <c r="G9870" i="9"/>
  <c r="E9870" i="9"/>
  <c r="D9870" i="9"/>
  <c r="C9870" i="9"/>
  <c r="B9870" i="9"/>
  <c r="H9869" i="9"/>
  <c r="G9869" i="9"/>
  <c r="E9869" i="9"/>
  <c r="D9869" i="9"/>
  <c r="C9869" i="9"/>
  <c r="B9869" i="9"/>
  <c r="H9868" i="9"/>
  <c r="G9868" i="9"/>
  <c r="E9868" i="9"/>
  <c r="D9868" i="9"/>
  <c r="C9868" i="9"/>
  <c r="B9868" i="9"/>
  <c r="H9867" i="9"/>
  <c r="G9867" i="9"/>
  <c r="E9867" i="9"/>
  <c r="D9867" i="9"/>
  <c r="C9867" i="9"/>
  <c r="B9867" i="9"/>
  <c r="H9866" i="9"/>
  <c r="G9866" i="9"/>
  <c r="E9866" i="9"/>
  <c r="D9866" i="9"/>
  <c r="C9866" i="9"/>
  <c r="B9866" i="9"/>
  <c r="H9865" i="9"/>
  <c r="G9865" i="9"/>
  <c r="E9865" i="9"/>
  <c r="D9865" i="9"/>
  <c r="C9865" i="9"/>
  <c r="B9865" i="9"/>
  <c r="H9864" i="9"/>
  <c r="G9864" i="9"/>
  <c r="E9864" i="9"/>
  <c r="D9864" i="9"/>
  <c r="C9864" i="9"/>
  <c r="B9864" i="9"/>
  <c r="H9863" i="9"/>
  <c r="G9863" i="9"/>
  <c r="E9863" i="9"/>
  <c r="D9863" i="9"/>
  <c r="C9863" i="9"/>
  <c r="B9863" i="9"/>
  <c r="H9862" i="9"/>
  <c r="G9862" i="9"/>
  <c r="E9862" i="9"/>
  <c r="D9862" i="9"/>
  <c r="C9862" i="9"/>
  <c r="B9862" i="9"/>
  <c r="H9861" i="9"/>
  <c r="G9861" i="9"/>
  <c r="E9861" i="9"/>
  <c r="D9861" i="9"/>
  <c r="C9861" i="9"/>
  <c r="B9861" i="9"/>
  <c r="H9860" i="9"/>
  <c r="G9860" i="9"/>
  <c r="E9860" i="9"/>
  <c r="D9860" i="9"/>
  <c r="C9860" i="9"/>
  <c r="B9860" i="9"/>
  <c r="H9859" i="9"/>
  <c r="G9859" i="9"/>
  <c r="E9859" i="9"/>
  <c r="D9859" i="9"/>
  <c r="C9859" i="9"/>
  <c r="B9859" i="9"/>
  <c r="H9858" i="9"/>
  <c r="G9858" i="9"/>
  <c r="E9858" i="9"/>
  <c r="D9858" i="9"/>
  <c r="C9858" i="9"/>
  <c r="B9858" i="9"/>
  <c r="H9857" i="9"/>
  <c r="G9857" i="9"/>
  <c r="E9857" i="9"/>
  <c r="D9857" i="9"/>
  <c r="C9857" i="9"/>
  <c r="B9857" i="9"/>
  <c r="H9856" i="9"/>
  <c r="G9856" i="9"/>
  <c r="E9856" i="9"/>
  <c r="D9856" i="9"/>
  <c r="C9856" i="9"/>
  <c r="B9856" i="9"/>
  <c r="H9855" i="9"/>
  <c r="G9855" i="9"/>
  <c r="E9855" i="9"/>
  <c r="D9855" i="9"/>
  <c r="C9855" i="9"/>
  <c r="B9855" i="9"/>
  <c r="H9854" i="9"/>
  <c r="G9854" i="9"/>
  <c r="E9854" i="9"/>
  <c r="D9854" i="9"/>
  <c r="C9854" i="9"/>
  <c r="B9854" i="9"/>
  <c r="H9853" i="9"/>
  <c r="G9853" i="9"/>
  <c r="E9853" i="9"/>
  <c r="D9853" i="9"/>
  <c r="C9853" i="9"/>
  <c r="B9853" i="9"/>
  <c r="H9852" i="9"/>
  <c r="G9852" i="9"/>
  <c r="E9852" i="9"/>
  <c r="D9852" i="9"/>
  <c r="C9852" i="9"/>
  <c r="B9852" i="9"/>
  <c r="H9851" i="9"/>
  <c r="G9851" i="9"/>
  <c r="E9851" i="9"/>
  <c r="D9851" i="9"/>
  <c r="C9851" i="9"/>
  <c r="B9851" i="9"/>
  <c r="H9850" i="9"/>
  <c r="G9850" i="9"/>
  <c r="E9850" i="9"/>
  <c r="D9850" i="9"/>
  <c r="C9850" i="9"/>
  <c r="B9850" i="9"/>
  <c r="H9849" i="9"/>
  <c r="G9849" i="9"/>
  <c r="E9849" i="9"/>
  <c r="D9849" i="9"/>
  <c r="C9849" i="9"/>
  <c r="B9849" i="9"/>
  <c r="H9848" i="9"/>
  <c r="G9848" i="9"/>
  <c r="E9848" i="9"/>
  <c r="D9848" i="9"/>
  <c r="C9848" i="9"/>
  <c r="B9848" i="9"/>
  <c r="H9847" i="9"/>
  <c r="G9847" i="9"/>
  <c r="E9847" i="9"/>
  <c r="D9847" i="9"/>
  <c r="C9847" i="9"/>
  <c r="B9847" i="9"/>
  <c r="H9846" i="9"/>
  <c r="G9846" i="9"/>
  <c r="E9846" i="9"/>
  <c r="D9846" i="9"/>
  <c r="C9846" i="9"/>
  <c r="B9846" i="9"/>
  <c r="H9845" i="9"/>
  <c r="G9845" i="9"/>
  <c r="E9845" i="9"/>
  <c r="D9845" i="9"/>
  <c r="C9845" i="9"/>
  <c r="B9845" i="9"/>
  <c r="H9844" i="9"/>
  <c r="G9844" i="9"/>
  <c r="E9844" i="9"/>
  <c r="D9844" i="9"/>
  <c r="C9844" i="9"/>
  <c r="B9844" i="9"/>
  <c r="H9843" i="9"/>
  <c r="G9843" i="9"/>
  <c r="E9843" i="9"/>
  <c r="D9843" i="9"/>
  <c r="C9843" i="9"/>
  <c r="B9843" i="9"/>
  <c r="H9842" i="9"/>
  <c r="G9842" i="9"/>
  <c r="E9842" i="9"/>
  <c r="D9842" i="9"/>
  <c r="C9842" i="9"/>
  <c r="B9842" i="9"/>
  <c r="H9841" i="9"/>
  <c r="G9841" i="9"/>
  <c r="E9841" i="9"/>
  <c r="D9841" i="9"/>
  <c r="C9841" i="9"/>
  <c r="B9841" i="9"/>
  <c r="H9840" i="9"/>
  <c r="G9840" i="9"/>
  <c r="E9840" i="9"/>
  <c r="D9840" i="9"/>
  <c r="C9840" i="9"/>
  <c r="B9840" i="9"/>
  <c r="H9839" i="9"/>
  <c r="G9839" i="9"/>
  <c r="E9839" i="9"/>
  <c r="D9839" i="9"/>
  <c r="C9839" i="9"/>
  <c r="B9839" i="9"/>
  <c r="H9838" i="9"/>
  <c r="G9838" i="9"/>
  <c r="E9838" i="9"/>
  <c r="D9838" i="9"/>
  <c r="C9838" i="9"/>
  <c r="B9838" i="9"/>
  <c r="H9837" i="9"/>
  <c r="G9837" i="9"/>
  <c r="E9837" i="9"/>
  <c r="D9837" i="9"/>
  <c r="C9837" i="9"/>
  <c r="B9837" i="9"/>
  <c r="H9836" i="9"/>
  <c r="G9836" i="9"/>
  <c r="E9836" i="9"/>
  <c r="D9836" i="9"/>
  <c r="C9836" i="9"/>
  <c r="B9836" i="9"/>
  <c r="H9835" i="9"/>
  <c r="G9835" i="9"/>
  <c r="E9835" i="9"/>
  <c r="D9835" i="9"/>
  <c r="C9835" i="9"/>
  <c r="B9835" i="9"/>
  <c r="H9834" i="9"/>
  <c r="G9834" i="9"/>
  <c r="E9834" i="9"/>
  <c r="D9834" i="9"/>
  <c r="C9834" i="9"/>
  <c r="B9834" i="9"/>
  <c r="H9833" i="9"/>
  <c r="G9833" i="9"/>
  <c r="E9833" i="9"/>
  <c r="D9833" i="9"/>
  <c r="C9833" i="9"/>
  <c r="B9833" i="9"/>
  <c r="H9832" i="9"/>
  <c r="G9832" i="9"/>
  <c r="E9832" i="9"/>
  <c r="D9832" i="9"/>
  <c r="C9832" i="9"/>
  <c r="B9832" i="9"/>
  <c r="H9831" i="9"/>
  <c r="G9831" i="9"/>
  <c r="E9831" i="9"/>
  <c r="D9831" i="9"/>
  <c r="C9831" i="9"/>
  <c r="B9831" i="9"/>
  <c r="H9830" i="9"/>
  <c r="G9830" i="9"/>
  <c r="E9830" i="9"/>
  <c r="D9830" i="9"/>
  <c r="C9830" i="9"/>
  <c r="B9830" i="9"/>
  <c r="H9829" i="9"/>
  <c r="G9829" i="9"/>
  <c r="E9829" i="9"/>
  <c r="D9829" i="9"/>
  <c r="C9829" i="9"/>
  <c r="B9829" i="9"/>
  <c r="H9828" i="9"/>
  <c r="G9828" i="9"/>
  <c r="E9828" i="9"/>
  <c r="D9828" i="9"/>
  <c r="C9828" i="9"/>
  <c r="B9828" i="9"/>
  <c r="H9827" i="9"/>
  <c r="G9827" i="9"/>
  <c r="E9827" i="9"/>
  <c r="D9827" i="9"/>
  <c r="C9827" i="9"/>
  <c r="B9827" i="9"/>
  <c r="H9826" i="9"/>
  <c r="G9826" i="9"/>
  <c r="E9826" i="9"/>
  <c r="D9826" i="9"/>
  <c r="C9826" i="9"/>
  <c r="B9826" i="9"/>
  <c r="H9825" i="9"/>
  <c r="G9825" i="9"/>
  <c r="E9825" i="9"/>
  <c r="D9825" i="9"/>
  <c r="C9825" i="9"/>
  <c r="B9825" i="9"/>
  <c r="H9824" i="9"/>
  <c r="G9824" i="9"/>
  <c r="E9824" i="9"/>
  <c r="D9824" i="9"/>
  <c r="C9824" i="9"/>
  <c r="B9824" i="9"/>
  <c r="H9823" i="9"/>
  <c r="G9823" i="9"/>
  <c r="E9823" i="9"/>
  <c r="D9823" i="9"/>
  <c r="C9823" i="9"/>
  <c r="B9823" i="9"/>
  <c r="H9822" i="9"/>
  <c r="G9822" i="9"/>
  <c r="E9822" i="9"/>
  <c r="D9822" i="9"/>
  <c r="C9822" i="9"/>
  <c r="B9822" i="9"/>
  <c r="H9821" i="9"/>
  <c r="G9821" i="9"/>
  <c r="E9821" i="9"/>
  <c r="D9821" i="9"/>
  <c r="C9821" i="9"/>
  <c r="B9821" i="9"/>
  <c r="H9820" i="9"/>
  <c r="G9820" i="9"/>
  <c r="E9820" i="9"/>
  <c r="D9820" i="9"/>
  <c r="C9820" i="9"/>
  <c r="B9820" i="9"/>
  <c r="H9819" i="9"/>
  <c r="G9819" i="9"/>
  <c r="E9819" i="9"/>
  <c r="D9819" i="9"/>
  <c r="C9819" i="9"/>
  <c r="B9819" i="9"/>
  <c r="H9818" i="9"/>
  <c r="G9818" i="9"/>
  <c r="E9818" i="9"/>
  <c r="D9818" i="9"/>
  <c r="C9818" i="9"/>
  <c r="B9818" i="9"/>
  <c r="H9817" i="9"/>
  <c r="G9817" i="9"/>
  <c r="E9817" i="9"/>
  <c r="D9817" i="9"/>
  <c r="C9817" i="9"/>
  <c r="B9817" i="9"/>
  <c r="H9816" i="9"/>
  <c r="G9816" i="9"/>
  <c r="E9816" i="9"/>
  <c r="D9816" i="9"/>
  <c r="C9816" i="9"/>
  <c r="B9816" i="9"/>
  <c r="H9815" i="9"/>
  <c r="G9815" i="9"/>
  <c r="E9815" i="9"/>
  <c r="D9815" i="9"/>
  <c r="C9815" i="9"/>
  <c r="B9815" i="9"/>
  <c r="H9814" i="9"/>
  <c r="G9814" i="9"/>
  <c r="E9814" i="9"/>
  <c r="D9814" i="9"/>
  <c r="C9814" i="9"/>
  <c r="B9814" i="9"/>
  <c r="H9813" i="9"/>
  <c r="G9813" i="9"/>
  <c r="E9813" i="9"/>
  <c r="D9813" i="9"/>
  <c r="C9813" i="9"/>
  <c r="B9813" i="9"/>
  <c r="H9812" i="9"/>
  <c r="G9812" i="9"/>
  <c r="E9812" i="9"/>
  <c r="D9812" i="9"/>
  <c r="C9812" i="9"/>
  <c r="B9812" i="9"/>
  <c r="H9811" i="9"/>
  <c r="G9811" i="9"/>
  <c r="E9811" i="9"/>
  <c r="D9811" i="9"/>
  <c r="C9811" i="9"/>
  <c r="B9811" i="9"/>
  <c r="H9810" i="9"/>
  <c r="G9810" i="9"/>
  <c r="E9810" i="9"/>
  <c r="D9810" i="9"/>
  <c r="C9810" i="9"/>
  <c r="B9810" i="9"/>
  <c r="H9809" i="9"/>
  <c r="G9809" i="9"/>
  <c r="E9809" i="9"/>
  <c r="D9809" i="9"/>
  <c r="C9809" i="9"/>
  <c r="B9809" i="9"/>
  <c r="H9808" i="9"/>
  <c r="G9808" i="9"/>
  <c r="E9808" i="9"/>
  <c r="D9808" i="9"/>
  <c r="C9808" i="9"/>
  <c r="B9808" i="9"/>
  <c r="H9807" i="9"/>
  <c r="G9807" i="9"/>
  <c r="E9807" i="9"/>
  <c r="D9807" i="9"/>
  <c r="C9807" i="9"/>
  <c r="B9807" i="9"/>
  <c r="H9806" i="9"/>
  <c r="G9806" i="9"/>
  <c r="E9806" i="9"/>
  <c r="D9806" i="9"/>
  <c r="C9806" i="9"/>
  <c r="B9806" i="9"/>
  <c r="H9805" i="9"/>
  <c r="G9805" i="9"/>
  <c r="E9805" i="9"/>
  <c r="D9805" i="9"/>
  <c r="C9805" i="9"/>
  <c r="B9805" i="9"/>
  <c r="H9804" i="9"/>
  <c r="G9804" i="9"/>
  <c r="E9804" i="9"/>
  <c r="D9804" i="9"/>
  <c r="C9804" i="9"/>
  <c r="B9804" i="9"/>
  <c r="H9803" i="9"/>
  <c r="G9803" i="9"/>
  <c r="E9803" i="9"/>
  <c r="D9803" i="9"/>
  <c r="C9803" i="9"/>
  <c r="B9803" i="9"/>
  <c r="H9802" i="9"/>
  <c r="G9802" i="9"/>
  <c r="E9802" i="9"/>
  <c r="D9802" i="9"/>
  <c r="C9802" i="9"/>
  <c r="B9802" i="9"/>
  <c r="H9801" i="9"/>
  <c r="G9801" i="9"/>
  <c r="E9801" i="9"/>
  <c r="D9801" i="9"/>
  <c r="C9801" i="9"/>
  <c r="B9801" i="9"/>
  <c r="H9800" i="9"/>
  <c r="G9800" i="9"/>
  <c r="E9800" i="9"/>
  <c r="D9800" i="9"/>
  <c r="C9800" i="9"/>
  <c r="B9800" i="9"/>
  <c r="H9799" i="9"/>
  <c r="G9799" i="9"/>
  <c r="E9799" i="9"/>
  <c r="D9799" i="9"/>
  <c r="C9799" i="9"/>
  <c r="B9799" i="9"/>
  <c r="H9798" i="9"/>
  <c r="G9798" i="9"/>
  <c r="E9798" i="9"/>
  <c r="D9798" i="9"/>
  <c r="C9798" i="9"/>
  <c r="B9798" i="9"/>
  <c r="H9797" i="9"/>
  <c r="G9797" i="9"/>
  <c r="E9797" i="9"/>
  <c r="D9797" i="9"/>
  <c r="C9797" i="9"/>
  <c r="B9797" i="9"/>
  <c r="H9796" i="9"/>
  <c r="G9796" i="9"/>
  <c r="E9796" i="9"/>
  <c r="D9796" i="9"/>
  <c r="C9796" i="9"/>
  <c r="B9796" i="9"/>
  <c r="H9795" i="9"/>
  <c r="G9795" i="9"/>
  <c r="E9795" i="9"/>
  <c r="D9795" i="9"/>
  <c r="C9795" i="9"/>
  <c r="B9795" i="9"/>
  <c r="H9794" i="9"/>
  <c r="G9794" i="9"/>
  <c r="E9794" i="9"/>
  <c r="D9794" i="9"/>
  <c r="C9794" i="9"/>
  <c r="B9794" i="9"/>
  <c r="H9793" i="9"/>
  <c r="G9793" i="9"/>
  <c r="E9793" i="9"/>
  <c r="D9793" i="9"/>
  <c r="C9793" i="9"/>
  <c r="B9793" i="9"/>
  <c r="H9792" i="9"/>
  <c r="G9792" i="9"/>
  <c r="E9792" i="9"/>
  <c r="D9792" i="9"/>
  <c r="C9792" i="9"/>
  <c r="B9792" i="9"/>
  <c r="H9791" i="9"/>
  <c r="G9791" i="9"/>
  <c r="E9791" i="9"/>
  <c r="D9791" i="9"/>
  <c r="C9791" i="9"/>
  <c r="B9791" i="9"/>
  <c r="H9790" i="9"/>
  <c r="G9790" i="9"/>
  <c r="E9790" i="9"/>
  <c r="D9790" i="9"/>
  <c r="C9790" i="9"/>
  <c r="B9790" i="9"/>
  <c r="H9789" i="9"/>
  <c r="G9789" i="9"/>
  <c r="E9789" i="9"/>
  <c r="D9789" i="9"/>
  <c r="C9789" i="9"/>
  <c r="B9789" i="9"/>
  <c r="H9788" i="9"/>
  <c r="G9788" i="9"/>
  <c r="E9788" i="9"/>
  <c r="D9788" i="9"/>
  <c r="C9788" i="9"/>
  <c r="B9788" i="9"/>
  <c r="H9787" i="9"/>
  <c r="G9787" i="9"/>
  <c r="E9787" i="9"/>
  <c r="D9787" i="9"/>
  <c r="C9787" i="9"/>
  <c r="B9787" i="9"/>
  <c r="H9786" i="9"/>
  <c r="G9786" i="9"/>
  <c r="E9786" i="9"/>
  <c r="D9786" i="9"/>
  <c r="C9786" i="9"/>
  <c r="B9786" i="9"/>
  <c r="H9785" i="9"/>
  <c r="G9785" i="9"/>
  <c r="E9785" i="9"/>
  <c r="D9785" i="9"/>
  <c r="C9785" i="9"/>
  <c r="B9785" i="9"/>
  <c r="H9784" i="9"/>
  <c r="G9784" i="9"/>
  <c r="E9784" i="9"/>
  <c r="D9784" i="9"/>
  <c r="C9784" i="9"/>
  <c r="B9784" i="9"/>
  <c r="H9783" i="9"/>
  <c r="G9783" i="9"/>
  <c r="E9783" i="9"/>
  <c r="D9783" i="9"/>
  <c r="C9783" i="9"/>
  <c r="B9783" i="9"/>
  <c r="H9782" i="9"/>
  <c r="G9782" i="9"/>
  <c r="E9782" i="9"/>
  <c r="D9782" i="9"/>
  <c r="C9782" i="9"/>
  <c r="B9782" i="9"/>
  <c r="H9781" i="9"/>
  <c r="G9781" i="9"/>
  <c r="E9781" i="9"/>
  <c r="D9781" i="9"/>
  <c r="C9781" i="9"/>
  <c r="B9781" i="9"/>
  <c r="H9780" i="9"/>
  <c r="G9780" i="9"/>
  <c r="E9780" i="9"/>
  <c r="D9780" i="9"/>
  <c r="C9780" i="9"/>
  <c r="B9780" i="9"/>
  <c r="H9779" i="9"/>
  <c r="G9779" i="9"/>
  <c r="E9779" i="9"/>
  <c r="D9779" i="9"/>
  <c r="C9779" i="9"/>
  <c r="B9779" i="9"/>
  <c r="H9778" i="9"/>
  <c r="G9778" i="9"/>
  <c r="E9778" i="9"/>
  <c r="D9778" i="9"/>
  <c r="C9778" i="9"/>
  <c r="B9778" i="9"/>
  <c r="H9777" i="9"/>
  <c r="G9777" i="9"/>
  <c r="E9777" i="9"/>
  <c r="D9777" i="9"/>
  <c r="C9777" i="9"/>
  <c r="B9777" i="9"/>
  <c r="H9776" i="9"/>
  <c r="G9776" i="9"/>
  <c r="E9776" i="9"/>
  <c r="D9776" i="9"/>
  <c r="C9776" i="9"/>
  <c r="B9776" i="9"/>
  <c r="H9775" i="9"/>
  <c r="G9775" i="9"/>
  <c r="E9775" i="9"/>
  <c r="D9775" i="9"/>
  <c r="C9775" i="9"/>
  <c r="B9775" i="9"/>
  <c r="H9774" i="9"/>
  <c r="G9774" i="9"/>
  <c r="E9774" i="9"/>
  <c r="D9774" i="9"/>
  <c r="C9774" i="9"/>
  <c r="B9774" i="9"/>
  <c r="H9773" i="9"/>
  <c r="G9773" i="9"/>
  <c r="E9773" i="9"/>
  <c r="D9773" i="9"/>
  <c r="C9773" i="9"/>
  <c r="B9773" i="9"/>
  <c r="H9772" i="9"/>
  <c r="G9772" i="9"/>
  <c r="E9772" i="9"/>
  <c r="D9772" i="9"/>
  <c r="C9772" i="9"/>
  <c r="B9772" i="9"/>
  <c r="H9771" i="9"/>
  <c r="G9771" i="9"/>
  <c r="E9771" i="9"/>
  <c r="D9771" i="9"/>
  <c r="C9771" i="9"/>
  <c r="B9771" i="9"/>
  <c r="H9770" i="9"/>
  <c r="G9770" i="9"/>
  <c r="E9770" i="9"/>
  <c r="D9770" i="9"/>
  <c r="C9770" i="9"/>
  <c r="B9770" i="9"/>
  <c r="H9769" i="9"/>
  <c r="G9769" i="9"/>
  <c r="E9769" i="9"/>
  <c r="D9769" i="9"/>
  <c r="C9769" i="9"/>
  <c r="B9769" i="9"/>
  <c r="H9768" i="9"/>
  <c r="G9768" i="9"/>
  <c r="E9768" i="9"/>
  <c r="D9768" i="9"/>
  <c r="C9768" i="9"/>
  <c r="B9768" i="9"/>
  <c r="H9767" i="9"/>
  <c r="G9767" i="9"/>
  <c r="E9767" i="9"/>
  <c r="D9767" i="9"/>
  <c r="C9767" i="9"/>
  <c r="B9767" i="9"/>
  <c r="H9766" i="9"/>
  <c r="G9766" i="9"/>
  <c r="E9766" i="9"/>
  <c r="D9766" i="9"/>
  <c r="C9766" i="9"/>
  <c r="B9766" i="9"/>
  <c r="H9765" i="9"/>
  <c r="G9765" i="9"/>
  <c r="E9765" i="9"/>
  <c r="D9765" i="9"/>
  <c r="C9765" i="9"/>
  <c r="B9765" i="9"/>
  <c r="H9764" i="9"/>
  <c r="G9764" i="9"/>
  <c r="E9764" i="9"/>
  <c r="D9764" i="9"/>
  <c r="C9764" i="9"/>
  <c r="B9764" i="9"/>
  <c r="H9763" i="9"/>
  <c r="G9763" i="9"/>
  <c r="E9763" i="9"/>
  <c r="D9763" i="9"/>
  <c r="C9763" i="9"/>
  <c r="B9763" i="9"/>
  <c r="H9762" i="9"/>
  <c r="G9762" i="9"/>
  <c r="E9762" i="9"/>
  <c r="D9762" i="9"/>
  <c r="C9762" i="9"/>
  <c r="B9762" i="9"/>
  <c r="H9761" i="9"/>
  <c r="G9761" i="9"/>
  <c r="E9761" i="9"/>
  <c r="D9761" i="9"/>
  <c r="C9761" i="9"/>
  <c r="B9761" i="9"/>
  <c r="H9760" i="9"/>
  <c r="G9760" i="9"/>
  <c r="E9760" i="9"/>
  <c r="D9760" i="9"/>
  <c r="C9760" i="9"/>
  <c r="B9760" i="9"/>
  <c r="H9759" i="9"/>
  <c r="G9759" i="9"/>
  <c r="E9759" i="9"/>
  <c r="D9759" i="9"/>
  <c r="C9759" i="9"/>
  <c r="B9759" i="9"/>
  <c r="H9758" i="9"/>
  <c r="G9758" i="9"/>
  <c r="E9758" i="9"/>
  <c r="D9758" i="9"/>
  <c r="C9758" i="9"/>
  <c r="B9758" i="9"/>
  <c r="H9757" i="9"/>
  <c r="G9757" i="9"/>
  <c r="E9757" i="9"/>
  <c r="D9757" i="9"/>
  <c r="C9757" i="9"/>
  <c r="B9757" i="9"/>
  <c r="H9756" i="9"/>
  <c r="G9756" i="9"/>
  <c r="E9756" i="9"/>
  <c r="D9756" i="9"/>
  <c r="C9756" i="9"/>
  <c r="B9756" i="9"/>
  <c r="H9755" i="9"/>
  <c r="G9755" i="9"/>
  <c r="E9755" i="9"/>
  <c r="D9755" i="9"/>
  <c r="C9755" i="9"/>
  <c r="B9755" i="9"/>
  <c r="H9754" i="9"/>
  <c r="G9754" i="9"/>
  <c r="E9754" i="9"/>
  <c r="D9754" i="9"/>
  <c r="C9754" i="9"/>
  <c r="B9754" i="9"/>
  <c r="H9753" i="9"/>
  <c r="G9753" i="9"/>
  <c r="E9753" i="9"/>
  <c r="D9753" i="9"/>
  <c r="C9753" i="9"/>
  <c r="B9753" i="9"/>
  <c r="H9752" i="9"/>
  <c r="G9752" i="9"/>
  <c r="E9752" i="9"/>
  <c r="D9752" i="9"/>
  <c r="C9752" i="9"/>
  <c r="B9752" i="9"/>
  <c r="H9751" i="9"/>
  <c r="G9751" i="9"/>
  <c r="E9751" i="9"/>
  <c r="D9751" i="9"/>
  <c r="C9751" i="9"/>
  <c r="B9751" i="9"/>
  <c r="H9750" i="9"/>
  <c r="G9750" i="9"/>
  <c r="E9750" i="9"/>
  <c r="D9750" i="9"/>
  <c r="C9750" i="9"/>
  <c r="B9750" i="9"/>
  <c r="H9749" i="9"/>
  <c r="G9749" i="9"/>
  <c r="E9749" i="9"/>
  <c r="D9749" i="9"/>
  <c r="C9749" i="9"/>
  <c r="B9749" i="9"/>
  <c r="H9748" i="9"/>
  <c r="G9748" i="9"/>
  <c r="E9748" i="9"/>
  <c r="D9748" i="9"/>
  <c r="C9748" i="9"/>
  <c r="B9748" i="9"/>
  <c r="H9747" i="9"/>
  <c r="G9747" i="9"/>
  <c r="E9747" i="9"/>
  <c r="D9747" i="9"/>
  <c r="C9747" i="9"/>
  <c r="B9747" i="9"/>
  <c r="H9746" i="9"/>
  <c r="G9746" i="9"/>
  <c r="E9746" i="9"/>
  <c r="D9746" i="9"/>
  <c r="C9746" i="9"/>
  <c r="B9746" i="9"/>
  <c r="H9745" i="9"/>
  <c r="G9745" i="9"/>
  <c r="E9745" i="9"/>
  <c r="D9745" i="9"/>
  <c r="C9745" i="9"/>
  <c r="B9745" i="9"/>
  <c r="H9744" i="9"/>
  <c r="G9744" i="9"/>
  <c r="E9744" i="9"/>
  <c r="D9744" i="9"/>
  <c r="C9744" i="9"/>
  <c r="B9744" i="9"/>
  <c r="H9743" i="9"/>
  <c r="G9743" i="9"/>
  <c r="E9743" i="9"/>
  <c r="D9743" i="9"/>
  <c r="C9743" i="9"/>
  <c r="B9743" i="9"/>
  <c r="H9742" i="9"/>
  <c r="G9742" i="9"/>
  <c r="E9742" i="9"/>
  <c r="D9742" i="9"/>
  <c r="C9742" i="9"/>
  <c r="B9742" i="9"/>
  <c r="H9741" i="9"/>
  <c r="G9741" i="9"/>
  <c r="E9741" i="9"/>
  <c r="D9741" i="9"/>
  <c r="C9741" i="9"/>
  <c r="B9741" i="9"/>
  <c r="H9740" i="9"/>
  <c r="G9740" i="9"/>
  <c r="E9740" i="9"/>
  <c r="D9740" i="9"/>
  <c r="C9740" i="9"/>
  <c r="B9740" i="9"/>
  <c r="H9739" i="9"/>
  <c r="G9739" i="9"/>
  <c r="E9739" i="9"/>
  <c r="D9739" i="9"/>
  <c r="C9739" i="9"/>
  <c r="B9739" i="9"/>
  <c r="H9738" i="9"/>
  <c r="G9738" i="9"/>
  <c r="E9738" i="9"/>
  <c r="D9738" i="9"/>
  <c r="C9738" i="9"/>
  <c r="B9738" i="9"/>
  <c r="H9737" i="9"/>
  <c r="G9737" i="9"/>
  <c r="E9737" i="9"/>
  <c r="D9737" i="9"/>
  <c r="C9737" i="9"/>
  <c r="B9737" i="9"/>
  <c r="H9736" i="9"/>
  <c r="G9736" i="9"/>
  <c r="E9736" i="9"/>
  <c r="D9736" i="9"/>
  <c r="C9736" i="9"/>
  <c r="B9736" i="9"/>
  <c r="H9735" i="9"/>
  <c r="G9735" i="9"/>
  <c r="E9735" i="9"/>
  <c r="D9735" i="9"/>
  <c r="C9735" i="9"/>
  <c r="B9735" i="9"/>
  <c r="H9734" i="9"/>
  <c r="G9734" i="9"/>
  <c r="E9734" i="9"/>
  <c r="D9734" i="9"/>
  <c r="C9734" i="9"/>
  <c r="B9734" i="9"/>
  <c r="H9733" i="9"/>
  <c r="G9733" i="9"/>
  <c r="E9733" i="9"/>
  <c r="D9733" i="9"/>
  <c r="C9733" i="9"/>
  <c r="B9733" i="9"/>
  <c r="H9732" i="9"/>
  <c r="G9732" i="9"/>
  <c r="E9732" i="9"/>
  <c r="D9732" i="9"/>
  <c r="C9732" i="9"/>
  <c r="B9732" i="9"/>
  <c r="H9731" i="9"/>
  <c r="G9731" i="9"/>
  <c r="E9731" i="9"/>
  <c r="D9731" i="9"/>
  <c r="C9731" i="9"/>
  <c r="B9731" i="9"/>
  <c r="H9730" i="9"/>
  <c r="G9730" i="9"/>
  <c r="E9730" i="9"/>
  <c r="D9730" i="9"/>
  <c r="C9730" i="9"/>
  <c r="B9730" i="9"/>
  <c r="H9729" i="9"/>
  <c r="G9729" i="9"/>
  <c r="E9729" i="9"/>
  <c r="D9729" i="9"/>
  <c r="C9729" i="9"/>
  <c r="B9729" i="9"/>
  <c r="H9728" i="9"/>
  <c r="G9728" i="9"/>
  <c r="E9728" i="9"/>
  <c r="D9728" i="9"/>
  <c r="C9728" i="9"/>
  <c r="B9728" i="9"/>
  <c r="H9727" i="9"/>
  <c r="G9727" i="9"/>
  <c r="E9727" i="9"/>
  <c r="D9727" i="9"/>
  <c r="C9727" i="9"/>
  <c r="B9727" i="9"/>
  <c r="H9726" i="9"/>
  <c r="G9726" i="9"/>
  <c r="E9726" i="9"/>
  <c r="D9726" i="9"/>
  <c r="C9726" i="9"/>
  <c r="B9726" i="9"/>
  <c r="H9725" i="9"/>
  <c r="G9725" i="9"/>
  <c r="E9725" i="9"/>
  <c r="D9725" i="9"/>
  <c r="C9725" i="9"/>
  <c r="B9725" i="9"/>
  <c r="H9724" i="9"/>
  <c r="G9724" i="9"/>
  <c r="E9724" i="9"/>
  <c r="D9724" i="9"/>
  <c r="C9724" i="9"/>
  <c r="B9724" i="9"/>
  <c r="H9723" i="9"/>
  <c r="G9723" i="9"/>
  <c r="E9723" i="9"/>
  <c r="D9723" i="9"/>
  <c r="C9723" i="9"/>
  <c r="B9723" i="9"/>
  <c r="H9722" i="9"/>
  <c r="G9722" i="9"/>
  <c r="E9722" i="9"/>
  <c r="D9722" i="9"/>
  <c r="C9722" i="9"/>
  <c r="B9722" i="9"/>
  <c r="H9721" i="9"/>
  <c r="G9721" i="9"/>
  <c r="E9721" i="9"/>
  <c r="D9721" i="9"/>
  <c r="C9721" i="9"/>
  <c r="B9721" i="9"/>
  <c r="H9720" i="9"/>
  <c r="G9720" i="9"/>
  <c r="E9720" i="9"/>
  <c r="D9720" i="9"/>
  <c r="C9720" i="9"/>
  <c r="B9720" i="9"/>
  <c r="H9719" i="9"/>
  <c r="G9719" i="9"/>
  <c r="E9719" i="9"/>
  <c r="D9719" i="9"/>
  <c r="C9719" i="9"/>
  <c r="B9719" i="9"/>
  <c r="H9718" i="9"/>
  <c r="G9718" i="9"/>
  <c r="E9718" i="9"/>
  <c r="D9718" i="9"/>
  <c r="C9718" i="9"/>
  <c r="B9718" i="9"/>
  <c r="H9717" i="9"/>
  <c r="G9717" i="9"/>
  <c r="E9717" i="9"/>
  <c r="D9717" i="9"/>
  <c r="C9717" i="9"/>
  <c r="B9717" i="9"/>
  <c r="H9716" i="9"/>
  <c r="G9716" i="9"/>
  <c r="E9716" i="9"/>
  <c r="D9716" i="9"/>
  <c r="C9716" i="9"/>
  <c r="B9716" i="9"/>
  <c r="H9715" i="9"/>
  <c r="G9715" i="9"/>
  <c r="E9715" i="9"/>
  <c r="D9715" i="9"/>
  <c r="C9715" i="9"/>
  <c r="B9715" i="9"/>
  <c r="H9714" i="9"/>
  <c r="G9714" i="9"/>
  <c r="E9714" i="9"/>
  <c r="D9714" i="9"/>
  <c r="C9714" i="9"/>
  <c r="B9714" i="9"/>
  <c r="H9713" i="9"/>
  <c r="G9713" i="9"/>
  <c r="E9713" i="9"/>
  <c r="D9713" i="9"/>
  <c r="C9713" i="9"/>
  <c r="B9713" i="9"/>
  <c r="H9712" i="9"/>
  <c r="G9712" i="9"/>
  <c r="E9712" i="9"/>
  <c r="D9712" i="9"/>
  <c r="C9712" i="9"/>
  <c r="B9712" i="9"/>
  <c r="H9711" i="9"/>
  <c r="G9711" i="9"/>
  <c r="E9711" i="9"/>
  <c r="D9711" i="9"/>
  <c r="C9711" i="9"/>
  <c r="B9711" i="9"/>
  <c r="H9710" i="9"/>
  <c r="G9710" i="9"/>
  <c r="E9710" i="9"/>
  <c r="D9710" i="9"/>
  <c r="C9710" i="9"/>
  <c r="B9710" i="9"/>
  <c r="H9709" i="9"/>
  <c r="G9709" i="9"/>
  <c r="E9709" i="9"/>
  <c r="D9709" i="9"/>
  <c r="C9709" i="9"/>
  <c r="B9709" i="9"/>
  <c r="H9708" i="9"/>
  <c r="G9708" i="9"/>
  <c r="E9708" i="9"/>
  <c r="D9708" i="9"/>
  <c r="C9708" i="9"/>
  <c r="B9708" i="9"/>
  <c r="H9707" i="9"/>
  <c r="G9707" i="9"/>
  <c r="E9707" i="9"/>
  <c r="D9707" i="9"/>
  <c r="C9707" i="9"/>
  <c r="B9707" i="9"/>
  <c r="H9706" i="9"/>
  <c r="G9706" i="9"/>
  <c r="E9706" i="9"/>
  <c r="D9706" i="9"/>
  <c r="C9706" i="9"/>
  <c r="B9706" i="9"/>
  <c r="H9705" i="9"/>
  <c r="G9705" i="9"/>
  <c r="E9705" i="9"/>
  <c r="D9705" i="9"/>
  <c r="C9705" i="9"/>
  <c r="B9705" i="9"/>
  <c r="H9704" i="9"/>
  <c r="G9704" i="9"/>
  <c r="E9704" i="9"/>
  <c r="D9704" i="9"/>
  <c r="C9704" i="9"/>
  <c r="B9704" i="9"/>
  <c r="H9703" i="9"/>
  <c r="G9703" i="9"/>
  <c r="E9703" i="9"/>
  <c r="D9703" i="9"/>
  <c r="C9703" i="9"/>
  <c r="B9703" i="9"/>
  <c r="H9702" i="9"/>
  <c r="G9702" i="9"/>
  <c r="E9702" i="9"/>
  <c r="D9702" i="9"/>
  <c r="C9702" i="9"/>
  <c r="B9702" i="9"/>
  <c r="H9701" i="9"/>
  <c r="G9701" i="9"/>
  <c r="E9701" i="9"/>
  <c r="D9701" i="9"/>
  <c r="C9701" i="9"/>
  <c r="B9701" i="9"/>
  <c r="H9700" i="9"/>
  <c r="G9700" i="9"/>
  <c r="E9700" i="9"/>
  <c r="D9700" i="9"/>
  <c r="C9700" i="9"/>
  <c r="B9700" i="9"/>
  <c r="H9699" i="9"/>
  <c r="G9699" i="9"/>
  <c r="E9699" i="9"/>
  <c r="D9699" i="9"/>
  <c r="C9699" i="9"/>
  <c r="B9699" i="9"/>
  <c r="H9698" i="9"/>
  <c r="G9698" i="9"/>
  <c r="E9698" i="9"/>
  <c r="D9698" i="9"/>
  <c r="C9698" i="9"/>
  <c r="B9698" i="9"/>
  <c r="H9697" i="9"/>
  <c r="G9697" i="9"/>
  <c r="E9697" i="9"/>
  <c r="D9697" i="9"/>
  <c r="C9697" i="9"/>
  <c r="B9697" i="9"/>
  <c r="H9696" i="9"/>
  <c r="G9696" i="9"/>
  <c r="E9696" i="9"/>
  <c r="D9696" i="9"/>
  <c r="C9696" i="9"/>
  <c r="B9696" i="9"/>
  <c r="H9695" i="9"/>
  <c r="G9695" i="9"/>
  <c r="E9695" i="9"/>
  <c r="D9695" i="9"/>
  <c r="C9695" i="9"/>
  <c r="B9695" i="9"/>
  <c r="H9694" i="9"/>
  <c r="G9694" i="9"/>
  <c r="E9694" i="9"/>
  <c r="D9694" i="9"/>
  <c r="C9694" i="9"/>
  <c r="B9694" i="9"/>
  <c r="H9693" i="9"/>
  <c r="G9693" i="9"/>
  <c r="E9693" i="9"/>
  <c r="D9693" i="9"/>
  <c r="C9693" i="9"/>
  <c r="B9693" i="9"/>
  <c r="H9692" i="9"/>
  <c r="G9692" i="9"/>
  <c r="E9692" i="9"/>
  <c r="D9692" i="9"/>
  <c r="C9692" i="9"/>
  <c r="B9692" i="9"/>
  <c r="H9691" i="9"/>
  <c r="G9691" i="9"/>
  <c r="E9691" i="9"/>
  <c r="D9691" i="9"/>
  <c r="C9691" i="9"/>
  <c r="B9691" i="9"/>
  <c r="H9690" i="9"/>
  <c r="G9690" i="9"/>
  <c r="E9690" i="9"/>
  <c r="D9690" i="9"/>
  <c r="C9690" i="9"/>
  <c r="B9690" i="9"/>
  <c r="H9689" i="9"/>
  <c r="G9689" i="9"/>
  <c r="E9689" i="9"/>
  <c r="D9689" i="9"/>
  <c r="C9689" i="9"/>
  <c r="B9689" i="9"/>
  <c r="H9688" i="9"/>
  <c r="G9688" i="9"/>
  <c r="E9688" i="9"/>
  <c r="D9688" i="9"/>
  <c r="C9688" i="9"/>
  <c r="B9688" i="9"/>
  <c r="H9687" i="9"/>
  <c r="G9687" i="9"/>
  <c r="E9687" i="9"/>
  <c r="D9687" i="9"/>
  <c r="C9687" i="9"/>
  <c r="B9687" i="9"/>
  <c r="H9686" i="9"/>
  <c r="G9686" i="9"/>
  <c r="E9686" i="9"/>
  <c r="D9686" i="9"/>
  <c r="C9686" i="9"/>
  <c r="B9686" i="9"/>
  <c r="H9685" i="9"/>
  <c r="G9685" i="9"/>
  <c r="E9685" i="9"/>
  <c r="D9685" i="9"/>
  <c r="C9685" i="9"/>
  <c r="B9685" i="9"/>
  <c r="H9684" i="9"/>
  <c r="G9684" i="9"/>
  <c r="E9684" i="9"/>
  <c r="D9684" i="9"/>
  <c r="C9684" i="9"/>
  <c r="B9684" i="9"/>
  <c r="H9683" i="9"/>
  <c r="G9683" i="9"/>
  <c r="E9683" i="9"/>
  <c r="D9683" i="9"/>
  <c r="C9683" i="9"/>
  <c r="B9683" i="9"/>
  <c r="H9682" i="9"/>
  <c r="G9682" i="9"/>
  <c r="E9682" i="9"/>
  <c r="D9682" i="9"/>
  <c r="C9682" i="9"/>
  <c r="B9682" i="9"/>
  <c r="H9681" i="9"/>
  <c r="G9681" i="9"/>
  <c r="E9681" i="9"/>
  <c r="D9681" i="9"/>
  <c r="C9681" i="9"/>
  <c r="B9681" i="9"/>
  <c r="H9680" i="9"/>
  <c r="G9680" i="9"/>
  <c r="E9680" i="9"/>
  <c r="D9680" i="9"/>
  <c r="C9680" i="9"/>
  <c r="B9680" i="9"/>
  <c r="H9679" i="9"/>
  <c r="G9679" i="9"/>
  <c r="E9679" i="9"/>
  <c r="D9679" i="9"/>
  <c r="C9679" i="9"/>
  <c r="B9679" i="9"/>
  <c r="H9678" i="9"/>
  <c r="G9678" i="9"/>
  <c r="E9678" i="9"/>
  <c r="D9678" i="9"/>
  <c r="C9678" i="9"/>
  <c r="B9678" i="9"/>
  <c r="H9677" i="9"/>
  <c r="G9677" i="9"/>
  <c r="E9677" i="9"/>
  <c r="D9677" i="9"/>
  <c r="C9677" i="9"/>
  <c r="B9677" i="9"/>
  <c r="H9676" i="9"/>
  <c r="G9676" i="9"/>
  <c r="E9676" i="9"/>
  <c r="D9676" i="9"/>
  <c r="C9676" i="9"/>
  <c r="B9676" i="9"/>
  <c r="H9675" i="9"/>
  <c r="G9675" i="9"/>
  <c r="E9675" i="9"/>
  <c r="D9675" i="9"/>
  <c r="C9675" i="9"/>
  <c r="B9675" i="9"/>
  <c r="H9674" i="9"/>
  <c r="G9674" i="9"/>
  <c r="E9674" i="9"/>
  <c r="D9674" i="9"/>
  <c r="C9674" i="9"/>
  <c r="B9674" i="9"/>
  <c r="H9673" i="9"/>
  <c r="G9673" i="9"/>
  <c r="E9673" i="9"/>
  <c r="D9673" i="9"/>
  <c r="C9673" i="9"/>
  <c r="B9673" i="9"/>
  <c r="H9672" i="9"/>
  <c r="G9672" i="9"/>
  <c r="E9672" i="9"/>
  <c r="D9672" i="9"/>
  <c r="C9672" i="9"/>
  <c r="B9672" i="9"/>
  <c r="H9671" i="9"/>
  <c r="G9671" i="9"/>
  <c r="E9671" i="9"/>
  <c r="D9671" i="9"/>
  <c r="C9671" i="9"/>
  <c r="B9671" i="9"/>
  <c r="H9670" i="9"/>
  <c r="G9670" i="9"/>
  <c r="E9670" i="9"/>
  <c r="D9670" i="9"/>
  <c r="C9670" i="9"/>
  <c r="B9670" i="9"/>
  <c r="H9669" i="9"/>
  <c r="G9669" i="9"/>
  <c r="E9669" i="9"/>
  <c r="D9669" i="9"/>
  <c r="C9669" i="9"/>
  <c r="B9669" i="9"/>
  <c r="H9668" i="9"/>
  <c r="G9668" i="9"/>
  <c r="E9668" i="9"/>
  <c r="D9668" i="9"/>
  <c r="C9668" i="9"/>
  <c r="B9668" i="9"/>
  <c r="H9667" i="9"/>
  <c r="G9667" i="9"/>
  <c r="E9667" i="9"/>
  <c r="D9667" i="9"/>
  <c r="C9667" i="9"/>
  <c r="B9667" i="9"/>
  <c r="H9666" i="9"/>
  <c r="G9666" i="9"/>
  <c r="E9666" i="9"/>
  <c r="D9666" i="9"/>
  <c r="C9666" i="9"/>
  <c r="B9666" i="9"/>
  <c r="H9665" i="9"/>
  <c r="G9665" i="9"/>
  <c r="E9665" i="9"/>
  <c r="D9665" i="9"/>
  <c r="C9665" i="9"/>
  <c r="B9665" i="9"/>
  <c r="H9664" i="9"/>
  <c r="G9664" i="9"/>
  <c r="E9664" i="9"/>
  <c r="D9664" i="9"/>
  <c r="C9664" i="9"/>
  <c r="B9664" i="9"/>
  <c r="H9663" i="9"/>
  <c r="G9663" i="9"/>
  <c r="E9663" i="9"/>
  <c r="D9663" i="9"/>
  <c r="C9663" i="9"/>
  <c r="B9663" i="9"/>
  <c r="H9662" i="9"/>
  <c r="G9662" i="9"/>
  <c r="E9662" i="9"/>
  <c r="D9662" i="9"/>
  <c r="C9662" i="9"/>
  <c r="B9662" i="9"/>
  <c r="H9661" i="9"/>
  <c r="G9661" i="9"/>
  <c r="E9661" i="9"/>
  <c r="D9661" i="9"/>
  <c r="C9661" i="9"/>
  <c r="B9661" i="9"/>
  <c r="H9660" i="9"/>
  <c r="G9660" i="9"/>
  <c r="E9660" i="9"/>
  <c r="D9660" i="9"/>
  <c r="C9660" i="9"/>
  <c r="B9660" i="9"/>
  <c r="H9659" i="9"/>
  <c r="G9659" i="9"/>
  <c r="E9659" i="9"/>
  <c r="D9659" i="9"/>
  <c r="C9659" i="9"/>
  <c r="B9659" i="9"/>
  <c r="H9658" i="9"/>
  <c r="G9658" i="9"/>
  <c r="E9658" i="9"/>
  <c r="D9658" i="9"/>
  <c r="C9658" i="9"/>
  <c r="B9658" i="9"/>
  <c r="H9657" i="9"/>
  <c r="G9657" i="9"/>
  <c r="E9657" i="9"/>
  <c r="D9657" i="9"/>
  <c r="C9657" i="9"/>
  <c r="B9657" i="9"/>
  <c r="H9656" i="9"/>
  <c r="G9656" i="9"/>
  <c r="E9656" i="9"/>
  <c r="D9656" i="9"/>
  <c r="C9656" i="9"/>
  <c r="B9656" i="9"/>
  <c r="H9655" i="9"/>
  <c r="G9655" i="9"/>
  <c r="E9655" i="9"/>
  <c r="D9655" i="9"/>
  <c r="C9655" i="9"/>
  <c r="B9655" i="9"/>
  <c r="H9654" i="9"/>
  <c r="G9654" i="9"/>
  <c r="E9654" i="9"/>
  <c r="D9654" i="9"/>
  <c r="C9654" i="9"/>
  <c r="B9654" i="9"/>
  <c r="H9653" i="9"/>
  <c r="G9653" i="9"/>
  <c r="E9653" i="9"/>
  <c r="D9653" i="9"/>
  <c r="C9653" i="9"/>
  <c r="B9653" i="9"/>
  <c r="H9652" i="9"/>
  <c r="G9652" i="9"/>
  <c r="E9652" i="9"/>
  <c r="D9652" i="9"/>
  <c r="C9652" i="9"/>
  <c r="B9652" i="9"/>
  <c r="H9651" i="9"/>
  <c r="G9651" i="9"/>
  <c r="E9651" i="9"/>
  <c r="D9651" i="9"/>
  <c r="C9651" i="9"/>
  <c r="B9651" i="9"/>
  <c r="H9650" i="9"/>
  <c r="G9650" i="9"/>
  <c r="E9650" i="9"/>
  <c r="D9650" i="9"/>
  <c r="C9650" i="9"/>
  <c r="B9650" i="9"/>
  <c r="H9649" i="9"/>
  <c r="G9649" i="9"/>
  <c r="E9649" i="9"/>
  <c r="D9649" i="9"/>
  <c r="C9649" i="9"/>
  <c r="B9649" i="9"/>
  <c r="H9648" i="9"/>
  <c r="G9648" i="9"/>
  <c r="E9648" i="9"/>
  <c r="D9648" i="9"/>
  <c r="C9648" i="9"/>
  <c r="B9648" i="9"/>
  <c r="H9647" i="9"/>
  <c r="G9647" i="9"/>
  <c r="E9647" i="9"/>
  <c r="D9647" i="9"/>
  <c r="C9647" i="9"/>
  <c r="B9647" i="9"/>
  <c r="H9646" i="9"/>
  <c r="G9646" i="9"/>
  <c r="E9646" i="9"/>
  <c r="D9646" i="9"/>
  <c r="C9646" i="9"/>
  <c r="B9646" i="9"/>
  <c r="H9645" i="9"/>
  <c r="G9645" i="9"/>
  <c r="E9645" i="9"/>
  <c r="D9645" i="9"/>
  <c r="C9645" i="9"/>
  <c r="B9645" i="9"/>
  <c r="H9644" i="9"/>
  <c r="G9644" i="9"/>
  <c r="E9644" i="9"/>
  <c r="D9644" i="9"/>
  <c r="C9644" i="9"/>
  <c r="B9644" i="9"/>
  <c r="H9643" i="9"/>
  <c r="G9643" i="9"/>
  <c r="E9643" i="9"/>
  <c r="D9643" i="9"/>
  <c r="C9643" i="9"/>
  <c r="B9643" i="9"/>
  <c r="H9642" i="9"/>
  <c r="G9642" i="9"/>
  <c r="E9642" i="9"/>
  <c r="D9642" i="9"/>
  <c r="C9642" i="9"/>
  <c r="B9642" i="9"/>
  <c r="H9641" i="9"/>
  <c r="G9641" i="9"/>
  <c r="E9641" i="9"/>
  <c r="D9641" i="9"/>
  <c r="C9641" i="9"/>
  <c r="B9641" i="9"/>
  <c r="H9640" i="9"/>
  <c r="G9640" i="9"/>
  <c r="E9640" i="9"/>
  <c r="D9640" i="9"/>
  <c r="C9640" i="9"/>
  <c r="B9640" i="9"/>
  <c r="H9639" i="9"/>
  <c r="G9639" i="9"/>
  <c r="E9639" i="9"/>
  <c r="D9639" i="9"/>
  <c r="C9639" i="9"/>
  <c r="B9639" i="9"/>
  <c r="H9638" i="9"/>
  <c r="G9638" i="9"/>
  <c r="E9638" i="9"/>
  <c r="D9638" i="9"/>
  <c r="C9638" i="9"/>
  <c r="B9638" i="9"/>
  <c r="H9637" i="9"/>
  <c r="G9637" i="9"/>
  <c r="E9637" i="9"/>
  <c r="D9637" i="9"/>
  <c r="C9637" i="9"/>
  <c r="B9637" i="9"/>
  <c r="H9636" i="9"/>
  <c r="G9636" i="9"/>
  <c r="E9636" i="9"/>
  <c r="D9636" i="9"/>
  <c r="C9636" i="9"/>
  <c r="B9636" i="9"/>
  <c r="H9635" i="9"/>
  <c r="G9635" i="9"/>
  <c r="E9635" i="9"/>
  <c r="D9635" i="9"/>
  <c r="C9635" i="9"/>
  <c r="B9635" i="9"/>
  <c r="H9634" i="9"/>
  <c r="G9634" i="9"/>
  <c r="E9634" i="9"/>
  <c r="D9634" i="9"/>
  <c r="C9634" i="9"/>
  <c r="B9634" i="9"/>
  <c r="H9633" i="9"/>
  <c r="G9633" i="9"/>
  <c r="E9633" i="9"/>
  <c r="D9633" i="9"/>
  <c r="C9633" i="9"/>
  <c r="B9633" i="9"/>
  <c r="H9632" i="9"/>
  <c r="G9632" i="9"/>
  <c r="E9632" i="9"/>
  <c r="D9632" i="9"/>
  <c r="C9632" i="9"/>
  <c r="B9632" i="9"/>
  <c r="H9631" i="9"/>
  <c r="G9631" i="9"/>
  <c r="E9631" i="9"/>
  <c r="D9631" i="9"/>
  <c r="C9631" i="9"/>
  <c r="B9631" i="9"/>
  <c r="H9630" i="9"/>
  <c r="G9630" i="9"/>
  <c r="E9630" i="9"/>
  <c r="D9630" i="9"/>
  <c r="C9630" i="9"/>
  <c r="B9630" i="9"/>
  <c r="H9629" i="9"/>
  <c r="G9629" i="9"/>
  <c r="E9629" i="9"/>
  <c r="D9629" i="9"/>
  <c r="C9629" i="9"/>
  <c r="B9629" i="9"/>
  <c r="H9628" i="9"/>
  <c r="G9628" i="9"/>
  <c r="E9628" i="9"/>
  <c r="D9628" i="9"/>
  <c r="C9628" i="9"/>
  <c r="B9628" i="9"/>
  <c r="H9627" i="9"/>
  <c r="G9627" i="9"/>
  <c r="E9627" i="9"/>
  <c r="D9627" i="9"/>
  <c r="C9627" i="9"/>
  <c r="B9627" i="9"/>
  <c r="H9626" i="9"/>
  <c r="G9626" i="9"/>
  <c r="E9626" i="9"/>
  <c r="D9626" i="9"/>
  <c r="C9626" i="9"/>
  <c r="B9626" i="9"/>
  <c r="H9625" i="9"/>
  <c r="G9625" i="9"/>
  <c r="E9625" i="9"/>
  <c r="D9625" i="9"/>
  <c r="C9625" i="9"/>
  <c r="B9625" i="9"/>
  <c r="H9624" i="9"/>
  <c r="G9624" i="9"/>
  <c r="E9624" i="9"/>
  <c r="D9624" i="9"/>
  <c r="C9624" i="9"/>
  <c r="B9624" i="9"/>
  <c r="H9623" i="9"/>
  <c r="G9623" i="9"/>
  <c r="E9623" i="9"/>
  <c r="D9623" i="9"/>
  <c r="C9623" i="9"/>
  <c r="B9623" i="9"/>
  <c r="H9622" i="9"/>
  <c r="G9622" i="9"/>
  <c r="E9622" i="9"/>
  <c r="D9622" i="9"/>
  <c r="C9622" i="9"/>
  <c r="B9622" i="9"/>
  <c r="H9621" i="9"/>
  <c r="G9621" i="9"/>
  <c r="E9621" i="9"/>
  <c r="D9621" i="9"/>
  <c r="C9621" i="9"/>
  <c r="B9621" i="9"/>
  <c r="H9620" i="9"/>
  <c r="G9620" i="9"/>
  <c r="E9620" i="9"/>
  <c r="D9620" i="9"/>
  <c r="C9620" i="9"/>
  <c r="B9620" i="9"/>
  <c r="H9619" i="9"/>
  <c r="G9619" i="9"/>
  <c r="E9619" i="9"/>
  <c r="D9619" i="9"/>
  <c r="C9619" i="9"/>
  <c r="B9619" i="9"/>
  <c r="H9618" i="9"/>
  <c r="G9618" i="9"/>
  <c r="E9618" i="9"/>
  <c r="D9618" i="9"/>
  <c r="C9618" i="9"/>
  <c r="B9618" i="9"/>
  <c r="H9617" i="9"/>
  <c r="G9617" i="9"/>
  <c r="E9617" i="9"/>
  <c r="D9617" i="9"/>
  <c r="C9617" i="9"/>
  <c r="B9617" i="9"/>
  <c r="H9616" i="9"/>
  <c r="G9616" i="9"/>
  <c r="E9616" i="9"/>
  <c r="D9616" i="9"/>
  <c r="C9616" i="9"/>
  <c r="B9616" i="9"/>
  <c r="H9615" i="9"/>
  <c r="G9615" i="9"/>
  <c r="E9615" i="9"/>
  <c r="D9615" i="9"/>
  <c r="C9615" i="9"/>
  <c r="B9615" i="9"/>
  <c r="H9614" i="9"/>
  <c r="G9614" i="9"/>
  <c r="E9614" i="9"/>
  <c r="D9614" i="9"/>
  <c r="C9614" i="9"/>
  <c r="B9614" i="9"/>
  <c r="H9613" i="9"/>
  <c r="G9613" i="9"/>
  <c r="E9613" i="9"/>
  <c r="D9613" i="9"/>
  <c r="C9613" i="9"/>
  <c r="B9613" i="9"/>
  <c r="H9612" i="9"/>
  <c r="G9612" i="9"/>
  <c r="E9612" i="9"/>
  <c r="D9612" i="9"/>
  <c r="C9612" i="9"/>
  <c r="B9612" i="9"/>
  <c r="H9611" i="9"/>
  <c r="G9611" i="9"/>
  <c r="E9611" i="9"/>
  <c r="D9611" i="9"/>
  <c r="C9611" i="9"/>
  <c r="B9611" i="9"/>
  <c r="H9610" i="9"/>
  <c r="G9610" i="9"/>
  <c r="E9610" i="9"/>
  <c r="D9610" i="9"/>
  <c r="C9610" i="9"/>
  <c r="B9610" i="9"/>
  <c r="H9609" i="9"/>
  <c r="G9609" i="9"/>
  <c r="E9609" i="9"/>
  <c r="D9609" i="9"/>
  <c r="C9609" i="9"/>
  <c r="B9609" i="9"/>
  <c r="H9608" i="9"/>
  <c r="G9608" i="9"/>
  <c r="E9608" i="9"/>
  <c r="D9608" i="9"/>
  <c r="C9608" i="9"/>
  <c r="B9608" i="9"/>
  <c r="H9607" i="9"/>
  <c r="G9607" i="9"/>
  <c r="E9607" i="9"/>
  <c r="D9607" i="9"/>
  <c r="C9607" i="9"/>
  <c r="B9607" i="9"/>
  <c r="H9606" i="9"/>
  <c r="G9606" i="9"/>
  <c r="E9606" i="9"/>
  <c r="D9606" i="9"/>
  <c r="C9606" i="9"/>
  <c r="B9606" i="9"/>
  <c r="H9605" i="9"/>
  <c r="G9605" i="9"/>
  <c r="E9605" i="9"/>
  <c r="D9605" i="9"/>
  <c r="C9605" i="9"/>
  <c r="B9605" i="9"/>
  <c r="H9604" i="9"/>
  <c r="G9604" i="9"/>
  <c r="E9604" i="9"/>
  <c r="D9604" i="9"/>
  <c r="C9604" i="9"/>
  <c r="B9604" i="9"/>
  <c r="H9603" i="9"/>
  <c r="G9603" i="9"/>
  <c r="E9603" i="9"/>
  <c r="D9603" i="9"/>
  <c r="C9603" i="9"/>
  <c r="B9603" i="9"/>
  <c r="H9602" i="9"/>
  <c r="G9602" i="9"/>
  <c r="E9602" i="9"/>
  <c r="D9602" i="9"/>
  <c r="C9602" i="9"/>
  <c r="B9602" i="9"/>
  <c r="H9601" i="9"/>
  <c r="G9601" i="9"/>
  <c r="E9601" i="9"/>
  <c r="D9601" i="9"/>
  <c r="C9601" i="9"/>
  <c r="B9601" i="9"/>
  <c r="H9600" i="9"/>
  <c r="G9600" i="9"/>
  <c r="E9600" i="9"/>
  <c r="D9600" i="9"/>
  <c r="C9600" i="9"/>
  <c r="B9600" i="9"/>
  <c r="H9599" i="9"/>
  <c r="G9599" i="9"/>
  <c r="E9599" i="9"/>
  <c r="D9599" i="9"/>
  <c r="C9599" i="9"/>
  <c r="B9599" i="9"/>
  <c r="H9598" i="9"/>
  <c r="G9598" i="9"/>
  <c r="E9598" i="9"/>
  <c r="D9598" i="9"/>
  <c r="C9598" i="9"/>
  <c r="B9598" i="9"/>
  <c r="H9597" i="9"/>
  <c r="G9597" i="9"/>
  <c r="E9597" i="9"/>
  <c r="D9597" i="9"/>
  <c r="C9597" i="9"/>
  <c r="B9597" i="9"/>
  <c r="H9596" i="9"/>
  <c r="G9596" i="9"/>
  <c r="E9596" i="9"/>
  <c r="D9596" i="9"/>
  <c r="C9596" i="9"/>
  <c r="B9596" i="9"/>
  <c r="H9595" i="9"/>
  <c r="G9595" i="9"/>
  <c r="E9595" i="9"/>
  <c r="D9595" i="9"/>
  <c r="C9595" i="9"/>
  <c r="B9595" i="9"/>
  <c r="H9594" i="9"/>
  <c r="G9594" i="9"/>
  <c r="E9594" i="9"/>
  <c r="D9594" i="9"/>
  <c r="C9594" i="9"/>
  <c r="B9594" i="9"/>
  <c r="H9593" i="9"/>
  <c r="G9593" i="9"/>
  <c r="E9593" i="9"/>
  <c r="D9593" i="9"/>
  <c r="C9593" i="9"/>
  <c r="B9593" i="9"/>
  <c r="H9592" i="9"/>
  <c r="G9592" i="9"/>
  <c r="E9592" i="9"/>
  <c r="D9592" i="9"/>
  <c r="C9592" i="9"/>
  <c r="B9592" i="9"/>
  <c r="H9591" i="9"/>
  <c r="G9591" i="9"/>
  <c r="E9591" i="9"/>
  <c r="D9591" i="9"/>
  <c r="C9591" i="9"/>
  <c r="B9591" i="9"/>
  <c r="H9590" i="9"/>
  <c r="G9590" i="9"/>
  <c r="E9590" i="9"/>
  <c r="D9590" i="9"/>
  <c r="C9590" i="9"/>
  <c r="B9590" i="9"/>
  <c r="H9589" i="9"/>
  <c r="G9589" i="9"/>
  <c r="E9589" i="9"/>
  <c r="D9589" i="9"/>
  <c r="C9589" i="9"/>
  <c r="B9589" i="9"/>
  <c r="H9588" i="9"/>
  <c r="G9588" i="9"/>
  <c r="E9588" i="9"/>
  <c r="D9588" i="9"/>
  <c r="C9588" i="9"/>
  <c r="B9588" i="9"/>
  <c r="H9587" i="9"/>
  <c r="G9587" i="9"/>
  <c r="E9587" i="9"/>
  <c r="D9587" i="9"/>
  <c r="C9587" i="9"/>
  <c r="B9587" i="9"/>
  <c r="H9586" i="9"/>
  <c r="G9586" i="9"/>
  <c r="E9586" i="9"/>
  <c r="D9586" i="9"/>
  <c r="C9586" i="9"/>
  <c r="B9586" i="9"/>
  <c r="H9585" i="9"/>
  <c r="G9585" i="9"/>
  <c r="E9585" i="9"/>
  <c r="D9585" i="9"/>
  <c r="C9585" i="9"/>
  <c r="B9585" i="9"/>
  <c r="H9584" i="9"/>
  <c r="G9584" i="9"/>
  <c r="E9584" i="9"/>
  <c r="D9584" i="9"/>
  <c r="C9584" i="9"/>
  <c r="B9584" i="9"/>
  <c r="H9583" i="9"/>
  <c r="G9583" i="9"/>
  <c r="E9583" i="9"/>
  <c r="D9583" i="9"/>
  <c r="C9583" i="9"/>
  <c r="B9583" i="9"/>
  <c r="H9582" i="9"/>
  <c r="G9582" i="9"/>
  <c r="E9582" i="9"/>
  <c r="D9582" i="9"/>
  <c r="C9582" i="9"/>
  <c r="B9582" i="9"/>
  <c r="H9581" i="9"/>
  <c r="G9581" i="9"/>
  <c r="E9581" i="9"/>
  <c r="D9581" i="9"/>
  <c r="C9581" i="9"/>
  <c r="B9581" i="9"/>
  <c r="H9580" i="9"/>
  <c r="G9580" i="9"/>
  <c r="E9580" i="9"/>
  <c r="D9580" i="9"/>
  <c r="C9580" i="9"/>
  <c r="B9580" i="9"/>
  <c r="H9579" i="9"/>
  <c r="G9579" i="9"/>
  <c r="E9579" i="9"/>
  <c r="D9579" i="9"/>
  <c r="C9579" i="9"/>
  <c r="B9579" i="9"/>
  <c r="H9578" i="9"/>
  <c r="G9578" i="9"/>
  <c r="E9578" i="9"/>
  <c r="D9578" i="9"/>
  <c r="C9578" i="9"/>
  <c r="B9578" i="9"/>
  <c r="H9577" i="9"/>
  <c r="G9577" i="9"/>
  <c r="E9577" i="9"/>
  <c r="D9577" i="9"/>
  <c r="C9577" i="9"/>
  <c r="B9577" i="9"/>
  <c r="H9576" i="9"/>
  <c r="G9576" i="9"/>
  <c r="E9576" i="9"/>
  <c r="D9576" i="9"/>
  <c r="C9576" i="9"/>
  <c r="B9576" i="9"/>
  <c r="H9575" i="9"/>
  <c r="G9575" i="9"/>
  <c r="E9575" i="9"/>
  <c r="D9575" i="9"/>
  <c r="C9575" i="9"/>
  <c r="B9575" i="9"/>
  <c r="H9574" i="9"/>
  <c r="G9574" i="9"/>
  <c r="E9574" i="9"/>
  <c r="D9574" i="9"/>
  <c r="C9574" i="9"/>
  <c r="B9574" i="9"/>
  <c r="H9573" i="9"/>
  <c r="G9573" i="9"/>
  <c r="E9573" i="9"/>
  <c r="D9573" i="9"/>
  <c r="C9573" i="9"/>
  <c r="B9573" i="9"/>
  <c r="H9572" i="9"/>
  <c r="G9572" i="9"/>
  <c r="E9572" i="9"/>
  <c r="D9572" i="9"/>
  <c r="C9572" i="9"/>
  <c r="B9572" i="9"/>
  <c r="H9571" i="9"/>
  <c r="G9571" i="9"/>
  <c r="E9571" i="9"/>
  <c r="D9571" i="9"/>
  <c r="C9571" i="9"/>
  <c r="B9571" i="9"/>
  <c r="H9570" i="9"/>
  <c r="G9570" i="9"/>
  <c r="E9570" i="9"/>
  <c r="D9570" i="9"/>
  <c r="C9570" i="9"/>
  <c r="B9570" i="9"/>
  <c r="H9569" i="9"/>
  <c r="G9569" i="9"/>
  <c r="E9569" i="9"/>
  <c r="D9569" i="9"/>
  <c r="C9569" i="9"/>
  <c r="B9569" i="9"/>
  <c r="H9568" i="9"/>
  <c r="G9568" i="9"/>
  <c r="E9568" i="9"/>
  <c r="D9568" i="9"/>
  <c r="C9568" i="9"/>
  <c r="B9568" i="9"/>
  <c r="H9567" i="9"/>
  <c r="G9567" i="9"/>
  <c r="E9567" i="9"/>
  <c r="D9567" i="9"/>
  <c r="C9567" i="9"/>
  <c r="B9567" i="9"/>
  <c r="H9566" i="9"/>
  <c r="G9566" i="9"/>
  <c r="E9566" i="9"/>
  <c r="D9566" i="9"/>
  <c r="C9566" i="9"/>
  <c r="B9566" i="9"/>
  <c r="H9565" i="9"/>
  <c r="G9565" i="9"/>
  <c r="E9565" i="9"/>
  <c r="D9565" i="9"/>
  <c r="C9565" i="9"/>
  <c r="B9565" i="9"/>
  <c r="H9564" i="9"/>
  <c r="G9564" i="9"/>
  <c r="E9564" i="9"/>
  <c r="D9564" i="9"/>
  <c r="C9564" i="9"/>
  <c r="B9564" i="9"/>
  <c r="H9563" i="9"/>
  <c r="G9563" i="9"/>
  <c r="E9563" i="9"/>
  <c r="D9563" i="9"/>
  <c r="C9563" i="9"/>
  <c r="B9563" i="9"/>
  <c r="H9562" i="9"/>
  <c r="G9562" i="9"/>
  <c r="E9562" i="9"/>
  <c r="D9562" i="9"/>
  <c r="C9562" i="9"/>
  <c r="B9562" i="9"/>
  <c r="H9561" i="9"/>
  <c r="G9561" i="9"/>
  <c r="E9561" i="9"/>
  <c r="D9561" i="9"/>
  <c r="C9561" i="9"/>
  <c r="B9561" i="9"/>
  <c r="H9560" i="9"/>
  <c r="G9560" i="9"/>
  <c r="E9560" i="9"/>
  <c r="D9560" i="9"/>
  <c r="C9560" i="9"/>
  <c r="B9560" i="9"/>
  <c r="H9559" i="9"/>
  <c r="G9559" i="9"/>
  <c r="E9559" i="9"/>
  <c r="D9559" i="9"/>
  <c r="C9559" i="9"/>
  <c r="B9559" i="9"/>
  <c r="H9558" i="9"/>
  <c r="G9558" i="9"/>
  <c r="E9558" i="9"/>
  <c r="D9558" i="9"/>
  <c r="C9558" i="9"/>
  <c r="B9558" i="9"/>
  <c r="H9557" i="9"/>
  <c r="G9557" i="9"/>
  <c r="E9557" i="9"/>
  <c r="D9557" i="9"/>
  <c r="C9557" i="9"/>
  <c r="B9557" i="9"/>
  <c r="H9556" i="9"/>
  <c r="G9556" i="9"/>
  <c r="E9556" i="9"/>
  <c r="D9556" i="9"/>
  <c r="C9556" i="9"/>
  <c r="B9556" i="9"/>
  <c r="H9555" i="9"/>
  <c r="G9555" i="9"/>
  <c r="E9555" i="9"/>
  <c r="D9555" i="9"/>
  <c r="C9555" i="9"/>
  <c r="B9555" i="9"/>
  <c r="H9554" i="9"/>
  <c r="G9554" i="9"/>
  <c r="E9554" i="9"/>
  <c r="D9554" i="9"/>
  <c r="C9554" i="9"/>
  <c r="B9554" i="9"/>
  <c r="H9553" i="9"/>
  <c r="G9553" i="9"/>
  <c r="E9553" i="9"/>
  <c r="D9553" i="9"/>
  <c r="C9553" i="9"/>
  <c r="B9553" i="9"/>
  <c r="H9552" i="9"/>
  <c r="G9552" i="9"/>
  <c r="E9552" i="9"/>
  <c r="D9552" i="9"/>
  <c r="C9552" i="9"/>
  <c r="B9552" i="9"/>
  <c r="H9551" i="9"/>
  <c r="G9551" i="9"/>
  <c r="E9551" i="9"/>
  <c r="D9551" i="9"/>
  <c r="C9551" i="9"/>
  <c r="B9551" i="9"/>
  <c r="H9550" i="9"/>
  <c r="G9550" i="9"/>
  <c r="E9550" i="9"/>
  <c r="D9550" i="9"/>
  <c r="C9550" i="9"/>
  <c r="B9550" i="9"/>
  <c r="H9549" i="9"/>
  <c r="G9549" i="9"/>
  <c r="E9549" i="9"/>
  <c r="D9549" i="9"/>
  <c r="C9549" i="9"/>
  <c r="B9549" i="9"/>
  <c r="H9548" i="9"/>
  <c r="G9548" i="9"/>
  <c r="E9548" i="9"/>
  <c r="D9548" i="9"/>
  <c r="C9548" i="9"/>
  <c r="B9548" i="9"/>
  <c r="H9547" i="9"/>
  <c r="G9547" i="9"/>
  <c r="E9547" i="9"/>
  <c r="D9547" i="9"/>
  <c r="C9547" i="9"/>
  <c r="B9547" i="9"/>
  <c r="H9546" i="9"/>
  <c r="G9546" i="9"/>
  <c r="E9546" i="9"/>
  <c r="D9546" i="9"/>
  <c r="C9546" i="9"/>
  <c r="B9546" i="9"/>
  <c r="H9545" i="9"/>
  <c r="G9545" i="9"/>
  <c r="E9545" i="9"/>
  <c r="D9545" i="9"/>
  <c r="C9545" i="9"/>
  <c r="B9545" i="9"/>
  <c r="H9544" i="9"/>
  <c r="G9544" i="9"/>
  <c r="E9544" i="9"/>
  <c r="D9544" i="9"/>
  <c r="C9544" i="9"/>
  <c r="B9544" i="9"/>
  <c r="H9543" i="9"/>
  <c r="G9543" i="9"/>
  <c r="E9543" i="9"/>
  <c r="D9543" i="9"/>
  <c r="C9543" i="9"/>
  <c r="B9543" i="9"/>
  <c r="H9542" i="9"/>
  <c r="G9542" i="9"/>
  <c r="E9542" i="9"/>
  <c r="D9542" i="9"/>
  <c r="C9542" i="9"/>
  <c r="B9542" i="9"/>
  <c r="H9541" i="9"/>
  <c r="G9541" i="9"/>
  <c r="E9541" i="9"/>
  <c r="D9541" i="9"/>
  <c r="C9541" i="9"/>
  <c r="B9541" i="9"/>
  <c r="H9540" i="9"/>
  <c r="G9540" i="9"/>
  <c r="E9540" i="9"/>
  <c r="D9540" i="9"/>
  <c r="C9540" i="9"/>
  <c r="B9540" i="9"/>
  <c r="H9539" i="9"/>
  <c r="G9539" i="9"/>
  <c r="E9539" i="9"/>
  <c r="D9539" i="9"/>
  <c r="C9539" i="9"/>
  <c r="B9539" i="9"/>
  <c r="H9538" i="9"/>
  <c r="G9538" i="9"/>
  <c r="E9538" i="9"/>
  <c r="D9538" i="9"/>
  <c r="C9538" i="9"/>
  <c r="B9538" i="9"/>
  <c r="H9537" i="9"/>
  <c r="G9537" i="9"/>
  <c r="E9537" i="9"/>
  <c r="D9537" i="9"/>
  <c r="C9537" i="9"/>
  <c r="B9537" i="9"/>
  <c r="H9536" i="9"/>
  <c r="G9536" i="9"/>
  <c r="E9536" i="9"/>
  <c r="D9536" i="9"/>
  <c r="C9536" i="9"/>
  <c r="B9536" i="9"/>
  <c r="H9535" i="9"/>
  <c r="G9535" i="9"/>
  <c r="E9535" i="9"/>
  <c r="D9535" i="9"/>
  <c r="C9535" i="9"/>
  <c r="B9535" i="9"/>
  <c r="H9534" i="9"/>
  <c r="G9534" i="9"/>
  <c r="E9534" i="9"/>
  <c r="D9534" i="9"/>
  <c r="C9534" i="9"/>
  <c r="B9534" i="9"/>
  <c r="H9533" i="9"/>
  <c r="G9533" i="9"/>
  <c r="E9533" i="9"/>
  <c r="D9533" i="9"/>
  <c r="C9533" i="9"/>
  <c r="B9533" i="9"/>
  <c r="H9532" i="9"/>
  <c r="G9532" i="9"/>
  <c r="E9532" i="9"/>
  <c r="D9532" i="9"/>
  <c r="C9532" i="9"/>
  <c r="B9532" i="9"/>
  <c r="H9531" i="9"/>
  <c r="G9531" i="9"/>
  <c r="E9531" i="9"/>
  <c r="D9531" i="9"/>
  <c r="C9531" i="9"/>
  <c r="B9531" i="9"/>
  <c r="H9530" i="9"/>
  <c r="G9530" i="9"/>
  <c r="E9530" i="9"/>
  <c r="D9530" i="9"/>
  <c r="C9530" i="9"/>
  <c r="B9530" i="9"/>
  <c r="H9529" i="9"/>
  <c r="G9529" i="9"/>
  <c r="E9529" i="9"/>
  <c r="D9529" i="9"/>
  <c r="C9529" i="9"/>
  <c r="B9529" i="9"/>
  <c r="H9528" i="9"/>
  <c r="G9528" i="9"/>
  <c r="E9528" i="9"/>
  <c r="D9528" i="9"/>
  <c r="C9528" i="9"/>
  <c r="B9528" i="9"/>
  <c r="H9527" i="9"/>
  <c r="G9527" i="9"/>
  <c r="E9527" i="9"/>
  <c r="D9527" i="9"/>
  <c r="C9527" i="9"/>
  <c r="B9527" i="9"/>
  <c r="H9526" i="9"/>
  <c r="G9526" i="9"/>
  <c r="E9526" i="9"/>
  <c r="D9526" i="9"/>
  <c r="C9526" i="9"/>
  <c r="B9526" i="9"/>
  <c r="H9525" i="9"/>
  <c r="G9525" i="9"/>
  <c r="E9525" i="9"/>
  <c r="D9525" i="9"/>
  <c r="C9525" i="9"/>
  <c r="B9525" i="9"/>
  <c r="H9524" i="9"/>
  <c r="G9524" i="9"/>
  <c r="E9524" i="9"/>
  <c r="D9524" i="9"/>
  <c r="C9524" i="9"/>
  <c r="B9524" i="9"/>
  <c r="H9523" i="9"/>
  <c r="G9523" i="9"/>
  <c r="E9523" i="9"/>
  <c r="D9523" i="9"/>
  <c r="C9523" i="9"/>
  <c r="B9523" i="9"/>
  <c r="H9522" i="9"/>
  <c r="G9522" i="9"/>
  <c r="E9522" i="9"/>
  <c r="D9522" i="9"/>
  <c r="C9522" i="9"/>
  <c r="B9522" i="9"/>
  <c r="H9521" i="9"/>
  <c r="G9521" i="9"/>
  <c r="E9521" i="9"/>
  <c r="D9521" i="9"/>
  <c r="C9521" i="9"/>
  <c r="B9521" i="9"/>
  <c r="H9520" i="9"/>
  <c r="G9520" i="9"/>
  <c r="E9520" i="9"/>
  <c r="D9520" i="9"/>
  <c r="C9520" i="9"/>
  <c r="B9520" i="9"/>
  <c r="H9519" i="9"/>
  <c r="G9519" i="9"/>
  <c r="E9519" i="9"/>
  <c r="D9519" i="9"/>
  <c r="C9519" i="9"/>
  <c r="B9519" i="9"/>
  <c r="H9518" i="9"/>
  <c r="G9518" i="9"/>
  <c r="E9518" i="9"/>
  <c r="D9518" i="9"/>
  <c r="C9518" i="9"/>
  <c r="B9518" i="9"/>
  <c r="H9517" i="9"/>
  <c r="G9517" i="9"/>
  <c r="E9517" i="9"/>
  <c r="D9517" i="9"/>
  <c r="C9517" i="9"/>
  <c r="B9517" i="9"/>
  <c r="H9516" i="9"/>
  <c r="G9516" i="9"/>
  <c r="E9516" i="9"/>
  <c r="D9516" i="9"/>
  <c r="C9516" i="9"/>
  <c r="B9516" i="9"/>
  <c r="H9515" i="9"/>
  <c r="G9515" i="9"/>
  <c r="E9515" i="9"/>
  <c r="D9515" i="9"/>
  <c r="C9515" i="9"/>
  <c r="B9515" i="9"/>
  <c r="H9514" i="9"/>
  <c r="G9514" i="9"/>
  <c r="E9514" i="9"/>
  <c r="D9514" i="9"/>
  <c r="C9514" i="9"/>
  <c r="B9514" i="9"/>
  <c r="H9513" i="9"/>
  <c r="G9513" i="9"/>
  <c r="E9513" i="9"/>
  <c r="D9513" i="9"/>
  <c r="C9513" i="9"/>
  <c r="B9513" i="9"/>
  <c r="H9512" i="9"/>
  <c r="G9512" i="9"/>
  <c r="E9512" i="9"/>
  <c r="D9512" i="9"/>
  <c r="C9512" i="9"/>
  <c r="B9512" i="9"/>
  <c r="H9511" i="9"/>
  <c r="G9511" i="9"/>
  <c r="E9511" i="9"/>
  <c r="D9511" i="9"/>
  <c r="C9511" i="9"/>
  <c r="B9511" i="9"/>
  <c r="H9510" i="9"/>
  <c r="G9510" i="9"/>
  <c r="E9510" i="9"/>
  <c r="D9510" i="9"/>
  <c r="C9510" i="9"/>
  <c r="B9510" i="9"/>
  <c r="H9509" i="9"/>
  <c r="G9509" i="9"/>
  <c r="E9509" i="9"/>
  <c r="D9509" i="9"/>
  <c r="C9509" i="9"/>
  <c r="B9509" i="9"/>
  <c r="H9508" i="9"/>
  <c r="G9508" i="9"/>
  <c r="E9508" i="9"/>
  <c r="D9508" i="9"/>
  <c r="C9508" i="9"/>
  <c r="B9508" i="9"/>
  <c r="H9507" i="9"/>
  <c r="G9507" i="9"/>
  <c r="E9507" i="9"/>
  <c r="D9507" i="9"/>
  <c r="C9507" i="9"/>
  <c r="B9507" i="9"/>
  <c r="H9506" i="9"/>
  <c r="G9506" i="9"/>
  <c r="E9506" i="9"/>
  <c r="D9506" i="9"/>
  <c r="C9506" i="9"/>
  <c r="B9506" i="9"/>
  <c r="H9505" i="9"/>
  <c r="G9505" i="9"/>
  <c r="E9505" i="9"/>
  <c r="D9505" i="9"/>
  <c r="C9505" i="9"/>
  <c r="B9505" i="9"/>
  <c r="H9504" i="9"/>
  <c r="G9504" i="9"/>
  <c r="E9504" i="9"/>
  <c r="D9504" i="9"/>
  <c r="C9504" i="9"/>
  <c r="B9504" i="9"/>
  <c r="H9503" i="9"/>
  <c r="G9503" i="9"/>
  <c r="E9503" i="9"/>
  <c r="D9503" i="9"/>
  <c r="C9503" i="9"/>
  <c r="B9503" i="9"/>
  <c r="H9502" i="9"/>
  <c r="G9502" i="9"/>
  <c r="E9502" i="9"/>
  <c r="D9502" i="9"/>
  <c r="C9502" i="9"/>
  <c r="B9502" i="9"/>
  <c r="H9501" i="9"/>
  <c r="G9501" i="9"/>
  <c r="E9501" i="9"/>
  <c r="D9501" i="9"/>
  <c r="C9501" i="9"/>
  <c r="B9501" i="9"/>
  <c r="H9500" i="9"/>
  <c r="G9500" i="9"/>
  <c r="E9500" i="9"/>
  <c r="D9500" i="9"/>
  <c r="C9500" i="9"/>
  <c r="B9500" i="9"/>
  <c r="H9499" i="9"/>
  <c r="G9499" i="9"/>
  <c r="E9499" i="9"/>
  <c r="D9499" i="9"/>
  <c r="C9499" i="9"/>
  <c r="B9499" i="9"/>
  <c r="H9498" i="9"/>
  <c r="G9498" i="9"/>
  <c r="E9498" i="9"/>
  <c r="D9498" i="9"/>
  <c r="C9498" i="9"/>
  <c r="B9498" i="9"/>
  <c r="H9497" i="9"/>
  <c r="G9497" i="9"/>
  <c r="E9497" i="9"/>
  <c r="D9497" i="9"/>
  <c r="C9497" i="9"/>
  <c r="B9497" i="9"/>
  <c r="H9496" i="9"/>
  <c r="G9496" i="9"/>
  <c r="E9496" i="9"/>
  <c r="D9496" i="9"/>
  <c r="C9496" i="9"/>
  <c r="B9496" i="9"/>
  <c r="H9495" i="9"/>
  <c r="G9495" i="9"/>
  <c r="E9495" i="9"/>
  <c r="D9495" i="9"/>
  <c r="C9495" i="9"/>
  <c r="B9495" i="9"/>
  <c r="H9494" i="9"/>
  <c r="G9494" i="9"/>
  <c r="E9494" i="9"/>
  <c r="D9494" i="9"/>
  <c r="C9494" i="9"/>
  <c r="B9494" i="9"/>
  <c r="H9493" i="9"/>
  <c r="G9493" i="9"/>
  <c r="E9493" i="9"/>
  <c r="D9493" i="9"/>
  <c r="C9493" i="9"/>
  <c r="B9493" i="9"/>
  <c r="H9492" i="9"/>
  <c r="G9492" i="9"/>
  <c r="E9492" i="9"/>
  <c r="D9492" i="9"/>
  <c r="C9492" i="9"/>
  <c r="B9492" i="9"/>
  <c r="H9491" i="9"/>
  <c r="G9491" i="9"/>
  <c r="E9491" i="9"/>
  <c r="D9491" i="9"/>
  <c r="C9491" i="9"/>
  <c r="B9491" i="9"/>
  <c r="H9490" i="9"/>
  <c r="G9490" i="9"/>
  <c r="E9490" i="9"/>
  <c r="D9490" i="9"/>
  <c r="C9490" i="9"/>
  <c r="B9490" i="9"/>
  <c r="H9489" i="9"/>
  <c r="G9489" i="9"/>
  <c r="E9489" i="9"/>
  <c r="D9489" i="9"/>
  <c r="C9489" i="9"/>
  <c r="B9489" i="9"/>
  <c r="H9488" i="9"/>
  <c r="G9488" i="9"/>
  <c r="E9488" i="9"/>
  <c r="D9488" i="9"/>
  <c r="C9488" i="9"/>
  <c r="B9488" i="9"/>
  <c r="H9487" i="9"/>
  <c r="G9487" i="9"/>
  <c r="E9487" i="9"/>
  <c r="D9487" i="9"/>
  <c r="C9487" i="9"/>
  <c r="B9487" i="9"/>
  <c r="H9486" i="9"/>
  <c r="G9486" i="9"/>
  <c r="E9486" i="9"/>
  <c r="D9486" i="9"/>
  <c r="C9486" i="9"/>
  <c r="B9486" i="9"/>
  <c r="H9485" i="9"/>
  <c r="G9485" i="9"/>
  <c r="E9485" i="9"/>
  <c r="D9485" i="9"/>
  <c r="C9485" i="9"/>
  <c r="B9485" i="9"/>
  <c r="H9484" i="9"/>
  <c r="G9484" i="9"/>
  <c r="E9484" i="9"/>
  <c r="D9484" i="9"/>
  <c r="C9484" i="9"/>
  <c r="B9484" i="9"/>
  <c r="H9483" i="9"/>
  <c r="G9483" i="9"/>
  <c r="E9483" i="9"/>
  <c r="D9483" i="9"/>
  <c r="C9483" i="9"/>
  <c r="B9483" i="9"/>
  <c r="H9482" i="9"/>
  <c r="G9482" i="9"/>
  <c r="E9482" i="9"/>
  <c r="D9482" i="9"/>
  <c r="C9482" i="9"/>
  <c r="B9482" i="9"/>
  <c r="H9481" i="9"/>
  <c r="G9481" i="9"/>
  <c r="E9481" i="9"/>
  <c r="D9481" i="9"/>
  <c r="C9481" i="9"/>
  <c r="B9481" i="9"/>
  <c r="H9480" i="9"/>
  <c r="G9480" i="9"/>
  <c r="E9480" i="9"/>
  <c r="D9480" i="9"/>
  <c r="C9480" i="9"/>
  <c r="B9480" i="9"/>
  <c r="H9479" i="9"/>
  <c r="G9479" i="9"/>
  <c r="E9479" i="9"/>
  <c r="D9479" i="9"/>
  <c r="C9479" i="9"/>
  <c r="B9479" i="9"/>
  <c r="H9478" i="9"/>
  <c r="G9478" i="9"/>
  <c r="E9478" i="9"/>
  <c r="D9478" i="9"/>
  <c r="C9478" i="9"/>
  <c r="B9478" i="9"/>
  <c r="H9477" i="9"/>
  <c r="G9477" i="9"/>
  <c r="E9477" i="9"/>
  <c r="D9477" i="9"/>
  <c r="C9477" i="9"/>
  <c r="B9477" i="9"/>
  <c r="H9476" i="9"/>
  <c r="G9476" i="9"/>
  <c r="E9476" i="9"/>
  <c r="D9476" i="9"/>
  <c r="C9476" i="9"/>
  <c r="B9476" i="9"/>
  <c r="H9475" i="9"/>
  <c r="G9475" i="9"/>
  <c r="E9475" i="9"/>
  <c r="D9475" i="9"/>
  <c r="C9475" i="9"/>
  <c r="B9475" i="9"/>
  <c r="H9474" i="9"/>
  <c r="G9474" i="9"/>
  <c r="E9474" i="9"/>
  <c r="D9474" i="9"/>
  <c r="C9474" i="9"/>
  <c r="B9474" i="9"/>
  <c r="H9473" i="9"/>
  <c r="G9473" i="9"/>
  <c r="E9473" i="9"/>
  <c r="D9473" i="9"/>
  <c r="C9473" i="9"/>
  <c r="B9473" i="9"/>
  <c r="H9472" i="9"/>
  <c r="G9472" i="9"/>
  <c r="E9472" i="9"/>
  <c r="D9472" i="9"/>
  <c r="C9472" i="9"/>
  <c r="B9472" i="9"/>
  <c r="H9471" i="9"/>
  <c r="G9471" i="9"/>
  <c r="E9471" i="9"/>
  <c r="D9471" i="9"/>
  <c r="C9471" i="9"/>
  <c r="B9471" i="9"/>
  <c r="H9470" i="9"/>
  <c r="G9470" i="9"/>
  <c r="E9470" i="9"/>
  <c r="D9470" i="9"/>
  <c r="C9470" i="9"/>
  <c r="B9470" i="9"/>
  <c r="H9469" i="9"/>
  <c r="G9469" i="9"/>
  <c r="E9469" i="9"/>
  <c r="D9469" i="9"/>
  <c r="C9469" i="9"/>
  <c r="B9469" i="9"/>
  <c r="H9468" i="9"/>
  <c r="G9468" i="9"/>
  <c r="E9468" i="9"/>
  <c r="D9468" i="9"/>
  <c r="C9468" i="9"/>
  <c r="B9468" i="9"/>
  <c r="H9467" i="9"/>
  <c r="G9467" i="9"/>
  <c r="E9467" i="9"/>
  <c r="D9467" i="9"/>
  <c r="C9467" i="9"/>
  <c r="B9467" i="9"/>
  <c r="H9466" i="9"/>
  <c r="G9466" i="9"/>
  <c r="E9466" i="9"/>
  <c r="D9466" i="9"/>
  <c r="C9466" i="9"/>
  <c r="B9466" i="9"/>
  <c r="H9465" i="9"/>
  <c r="G9465" i="9"/>
  <c r="E9465" i="9"/>
  <c r="D9465" i="9"/>
  <c r="C9465" i="9"/>
  <c r="B9465" i="9"/>
  <c r="H9464" i="9"/>
  <c r="G9464" i="9"/>
  <c r="E9464" i="9"/>
  <c r="D9464" i="9"/>
  <c r="C9464" i="9"/>
  <c r="B9464" i="9"/>
  <c r="H9463" i="9"/>
  <c r="G9463" i="9"/>
  <c r="E9463" i="9"/>
  <c r="D9463" i="9"/>
  <c r="C9463" i="9"/>
  <c r="B9463" i="9"/>
  <c r="H9462" i="9"/>
  <c r="G9462" i="9"/>
  <c r="E9462" i="9"/>
  <c r="D9462" i="9"/>
  <c r="C9462" i="9"/>
  <c r="B9462" i="9"/>
  <c r="H9461" i="9"/>
  <c r="G9461" i="9"/>
  <c r="E9461" i="9"/>
  <c r="D9461" i="9"/>
  <c r="C9461" i="9"/>
  <c r="B9461" i="9"/>
  <c r="H9460" i="9"/>
  <c r="G9460" i="9"/>
  <c r="E9460" i="9"/>
  <c r="D9460" i="9"/>
  <c r="C9460" i="9"/>
  <c r="B9460" i="9"/>
  <c r="H9459" i="9"/>
  <c r="G9459" i="9"/>
  <c r="E9459" i="9"/>
  <c r="D9459" i="9"/>
  <c r="C9459" i="9"/>
  <c r="B9459" i="9"/>
  <c r="H9458" i="9"/>
  <c r="G9458" i="9"/>
  <c r="E9458" i="9"/>
  <c r="D9458" i="9"/>
  <c r="C9458" i="9"/>
  <c r="B9458" i="9"/>
  <c r="H9457" i="9"/>
  <c r="G9457" i="9"/>
  <c r="E9457" i="9"/>
  <c r="D9457" i="9"/>
  <c r="C9457" i="9"/>
  <c r="B9457" i="9"/>
  <c r="H9456" i="9"/>
  <c r="G9456" i="9"/>
  <c r="E9456" i="9"/>
  <c r="D9456" i="9"/>
  <c r="C9456" i="9"/>
  <c r="B9456" i="9"/>
  <c r="H9455" i="9"/>
  <c r="G9455" i="9"/>
  <c r="E9455" i="9"/>
  <c r="D9455" i="9"/>
  <c r="C9455" i="9"/>
  <c r="B9455" i="9"/>
  <c r="H9454" i="9"/>
  <c r="G9454" i="9"/>
  <c r="E9454" i="9"/>
  <c r="D9454" i="9"/>
  <c r="C9454" i="9"/>
  <c r="B9454" i="9"/>
  <c r="H9453" i="9"/>
  <c r="G9453" i="9"/>
  <c r="E9453" i="9"/>
  <c r="D9453" i="9"/>
  <c r="C9453" i="9"/>
  <c r="B9453" i="9"/>
  <c r="H9452" i="9"/>
  <c r="G9452" i="9"/>
  <c r="E9452" i="9"/>
  <c r="D9452" i="9"/>
  <c r="C9452" i="9"/>
  <c r="B9452" i="9"/>
  <c r="H9451" i="9"/>
  <c r="G9451" i="9"/>
  <c r="E9451" i="9"/>
  <c r="D9451" i="9"/>
  <c r="C9451" i="9"/>
  <c r="B9451" i="9"/>
  <c r="H9450" i="9"/>
  <c r="G9450" i="9"/>
  <c r="E9450" i="9"/>
  <c r="D9450" i="9"/>
  <c r="C9450" i="9"/>
  <c r="B9450" i="9"/>
  <c r="H9449" i="9"/>
  <c r="G9449" i="9"/>
  <c r="E9449" i="9"/>
  <c r="D9449" i="9"/>
  <c r="C9449" i="9"/>
  <c r="B9449" i="9"/>
  <c r="H9448" i="9"/>
  <c r="G9448" i="9"/>
  <c r="E9448" i="9"/>
  <c r="D9448" i="9"/>
  <c r="C9448" i="9"/>
  <c r="B9448" i="9"/>
  <c r="H9447" i="9"/>
  <c r="G9447" i="9"/>
  <c r="E9447" i="9"/>
  <c r="D9447" i="9"/>
  <c r="C9447" i="9"/>
  <c r="B9447" i="9"/>
  <c r="H9446" i="9"/>
  <c r="G9446" i="9"/>
  <c r="E9446" i="9"/>
  <c r="D9446" i="9"/>
  <c r="C9446" i="9"/>
  <c r="B9446" i="9"/>
  <c r="H9445" i="9"/>
  <c r="G9445" i="9"/>
  <c r="E9445" i="9"/>
  <c r="D9445" i="9"/>
  <c r="C9445" i="9"/>
  <c r="B9445" i="9"/>
  <c r="H9444" i="9"/>
  <c r="G9444" i="9"/>
  <c r="E9444" i="9"/>
  <c r="D9444" i="9"/>
  <c r="C9444" i="9"/>
  <c r="B9444" i="9"/>
  <c r="H9443" i="9"/>
  <c r="G9443" i="9"/>
  <c r="E9443" i="9"/>
  <c r="D9443" i="9"/>
  <c r="C9443" i="9"/>
  <c r="B9443" i="9"/>
  <c r="H9442" i="9"/>
  <c r="G9442" i="9"/>
  <c r="E9442" i="9"/>
  <c r="D9442" i="9"/>
  <c r="C9442" i="9"/>
  <c r="B9442" i="9"/>
  <c r="H9441" i="9"/>
  <c r="G9441" i="9"/>
  <c r="E9441" i="9"/>
  <c r="D9441" i="9"/>
  <c r="C9441" i="9"/>
  <c r="B9441" i="9"/>
  <c r="H9440" i="9"/>
  <c r="G9440" i="9"/>
  <c r="E9440" i="9"/>
  <c r="D9440" i="9"/>
  <c r="C9440" i="9"/>
  <c r="B9440" i="9"/>
  <c r="H9439" i="9"/>
  <c r="G9439" i="9"/>
  <c r="E9439" i="9"/>
  <c r="D9439" i="9"/>
  <c r="C9439" i="9"/>
  <c r="B9439" i="9"/>
  <c r="H9438" i="9"/>
  <c r="G9438" i="9"/>
  <c r="E9438" i="9"/>
  <c r="D9438" i="9"/>
  <c r="C9438" i="9"/>
  <c r="B9438" i="9"/>
  <c r="H9437" i="9"/>
  <c r="G9437" i="9"/>
  <c r="E9437" i="9"/>
  <c r="D9437" i="9"/>
  <c r="C9437" i="9"/>
  <c r="B9437" i="9"/>
  <c r="H9436" i="9"/>
  <c r="G9436" i="9"/>
  <c r="E9436" i="9"/>
  <c r="D9436" i="9"/>
  <c r="C9436" i="9"/>
  <c r="B9436" i="9"/>
  <c r="H9435" i="9"/>
  <c r="G9435" i="9"/>
  <c r="E9435" i="9"/>
  <c r="D9435" i="9"/>
  <c r="C9435" i="9"/>
  <c r="B9435" i="9"/>
  <c r="H9434" i="9"/>
  <c r="G9434" i="9"/>
  <c r="E9434" i="9"/>
  <c r="D9434" i="9"/>
  <c r="C9434" i="9"/>
  <c r="B9434" i="9"/>
  <c r="H9433" i="9"/>
  <c r="G9433" i="9"/>
  <c r="E9433" i="9"/>
  <c r="D9433" i="9"/>
  <c r="C9433" i="9"/>
  <c r="B9433" i="9"/>
  <c r="H9432" i="9"/>
  <c r="G9432" i="9"/>
  <c r="E9432" i="9"/>
  <c r="D9432" i="9"/>
  <c r="C9432" i="9"/>
  <c r="B9432" i="9"/>
  <c r="H9431" i="9"/>
  <c r="G9431" i="9"/>
  <c r="E9431" i="9"/>
  <c r="D9431" i="9"/>
  <c r="C9431" i="9"/>
  <c r="B9431" i="9"/>
  <c r="H9430" i="9"/>
  <c r="G9430" i="9"/>
  <c r="E9430" i="9"/>
  <c r="D9430" i="9"/>
  <c r="C9430" i="9"/>
  <c r="B9430" i="9"/>
  <c r="H9429" i="9"/>
  <c r="G9429" i="9"/>
  <c r="E9429" i="9"/>
  <c r="D9429" i="9"/>
  <c r="C9429" i="9"/>
  <c r="B9429" i="9"/>
  <c r="H9428" i="9"/>
  <c r="G9428" i="9"/>
  <c r="E9428" i="9"/>
  <c r="D9428" i="9"/>
  <c r="C9428" i="9"/>
  <c r="B9428" i="9"/>
  <c r="H9427" i="9"/>
  <c r="G9427" i="9"/>
  <c r="E9427" i="9"/>
  <c r="D9427" i="9"/>
  <c r="C9427" i="9"/>
  <c r="B9427" i="9"/>
  <c r="H9426" i="9"/>
  <c r="G9426" i="9"/>
  <c r="E9426" i="9"/>
  <c r="D9426" i="9"/>
  <c r="C9426" i="9"/>
  <c r="B9426" i="9"/>
  <c r="H9425" i="9"/>
  <c r="G9425" i="9"/>
  <c r="E9425" i="9"/>
  <c r="D9425" i="9"/>
  <c r="C9425" i="9"/>
  <c r="B9425" i="9"/>
  <c r="H9424" i="9"/>
  <c r="G9424" i="9"/>
  <c r="E9424" i="9"/>
  <c r="D9424" i="9"/>
  <c r="C9424" i="9"/>
  <c r="B9424" i="9"/>
  <c r="H9423" i="9"/>
  <c r="G9423" i="9"/>
  <c r="E9423" i="9"/>
  <c r="D9423" i="9"/>
  <c r="C9423" i="9"/>
  <c r="B9423" i="9"/>
  <c r="H9422" i="9"/>
  <c r="G9422" i="9"/>
  <c r="E9422" i="9"/>
  <c r="D9422" i="9"/>
  <c r="C9422" i="9"/>
  <c r="B9422" i="9"/>
  <c r="H9421" i="9"/>
  <c r="G9421" i="9"/>
  <c r="E9421" i="9"/>
  <c r="D9421" i="9"/>
  <c r="C9421" i="9"/>
  <c r="B9421" i="9"/>
  <c r="H9420" i="9"/>
  <c r="G9420" i="9"/>
  <c r="E9420" i="9"/>
  <c r="D9420" i="9"/>
  <c r="C9420" i="9"/>
  <c r="B9420" i="9"/>
  <c r="H9419" i="9"/>
  <c r="G9419" i="9"/>
  <c r="E9419" i="9"/>
  <c r="D9419" i="9"/>
  <c r="C9419" i="9"/>
  <c r="B9419" i="9"/>
  <c r="H9418" i="9"/>
  <c r="G9418" i="9"/>
  <c r="E9418" i="9"/>
  <c r="D9418" i="9"/>
  <c r="C9418" i="9"/>
  <c r="B9418" i="9"/>
  <c r="H9417" i="9"/>
  <c r="G9417" i="9"/>
  <c r="E9417" i="9"/>
  <c r="D9417" i="9"/>
  <c r="C9417" i="9"/>
  <c r="B9417" i="9"/>
  <c r="H9416" i="9"/>
  <c r="G9416" i="9"/>
  <c r="E9416" i="9"/>
  <c r="D9416" i="9"/>
  <c r="C9416" i="9"/>
  <c r="B9416" i="9"/>
  <c r="H9415" i="9"/>
  <c r="G9415" i="9"/>
  <c r="E9415" i="9"/>
  <c r="D9415" i="9"/>
  <c r="C9415" i="9"/>
  <c r="B9415" i="9"/>
  <c r="H9414" i="9"/>
  <c r="G9414" i="9"/>
  <c r="E9414" i="9"/>
  <c r="D9414" i="9"/>
  <c r="C9414" i="9"/>
  <c r="B9414" i="9"/>
  <c r="H9413" i="9"/>
  <c r="G9413" i="9"/>
  <c r="E9413" i="9"/>
  <c r="D9413" i="9"/>
  <c r="C9413" i="9"/>
  <c r="B9413" i="9"/>
  <c r="H9412" i="9"/>
  <c r="G9412" i="9"/>
  <c r="E9412" i="9"/>
  <c r="D9412" i="9"/>
  <c r="C9412" i="9"/>
  <c r="B9412" i="9"/>
  <c r="H9411" i="9"/>
  <c r="G9411" i="9"/>
  <c r="E9411" i="9"/>
  <c r="D9411" i="9"/>
  <c r="C9411" i="9"/>
  <c r="B9411" i="9"/>
  <c r="H9410" i="9"/>
  <c r="G9410" i="9"/>
  <c r="E9410" i="9"/>
  <c r="D9410" i="9"/>
  <c r="C9410" i="9"/>
  <c r="B9410" i="9"/>
  <c r="H9409" i="9"/>
  <c r="G9409" i="9"/>
  <c r="E9409" i="9"/>
  <c r="D9409" i="9"/>
  <c r="C9409" i="9"/>
  <c r="B9409" i="9"/>
  <c r="H9408" i="9"/>
  <c r="G9408" i="9"/>
  <c r="E9408" i="9"/>
  <c r="D9408" i="9"/>
  <c r="C9408" i="9"/>
  <c r="B9408" i="9"/>
  <c r="H9407" i="9"/>
  <c r="G9407" i="9"/>
  <c r="E9407" i="9"/>
  <c r="D9407" i="9"/>
  <c r="C9407" i="9"/>
  <c r="B9407" i="9"/>
  <c r="H9406" i="9"/>
  <c r="G9406" i="9"/>
  <c r="E9406" i="9"/>
  <c r="D9406" i="9"/>
  <c r="C9406" i="9"/>
  <c r="B9406" i="9"/>
  <c r="H9405" i="9"/>
  <c r="G9405" i="9"/>
  <c r="E9405" i="9"/>
  <c r="D9405" i="9"/>
  <c r="C9405" i="9"/>
  <c r="B9405" i="9"/>
  <c r="H9404" i="9"/>
  <c r="G9404" i="9"/>
  <c r="E9404" i="9"/>
  <c r="D9404" i="9"/>
  <c r="C9404" i="9"/>
  <c r="B9404" i="9"/>
  <c r="H9403" i="9"/>
  <c r="G9403" i="9"/>
  <c r="E9403" i="9"/>
  <c r="D9403" i="9"/>
  <c r="C9403" i="9"/>
  <c r="B9403" i="9"/>
  <c r="H9402" i="9"/>
  <c r="G9402" i="9"/>
  <c r="E9402" i="9"/>
  <c r="D9402" i="9"/>
  <c r="C9402" i="9"/>
  <c r="B9402" i="9"/>
  <c r="H9401" i="9"/>
  <c r="G9401" i="9"/>
  <c r="E9401" i="9"/>
  <c r="D9401" i="9"/>
  <c r="C9401" i="9"/>
  <c r="B9401" i="9"/>
  <c r="H9400" i="9"/>
  <c r="G9400" i="9"/>
  <c r="E9400" i="9"/>
  <c r="D9400" i="9"/>
  <c r="C9400" i="9"/>
  <c r="B9400" i="9"/>
  <c r="H9399" i="9"/>
  <c r="G9399" i="9"/>
  <c r="E9399" i="9"/>
  <c r="D9399" i="9"/>
  <c r="C9399" i="9"/>
  <c r="B9399" i="9"/>
  <c r="H9398" i="9"/>
  <c r="G9398" i="9"/>
  <c r="E9398" i="9"/>
  <c r="D9398" i="9"/>
  <c r="C9398" i="9"/>
  <c r="B9398" i="9"/>
  <c r="H9397" i="9"/>
  <c r="G9397" i="9"/>
  <c r="E9397" i="9"/>
  <c r="D9397" i="9"/>
  <c r="C9397" i="9"/>
  <c r="B9397" i="9"/>
  <c r="H9396" i="9"/>
  <c r="G9396" i="9"/>
  <c r="E9396" i="9"/>
  <c r="D9396" i="9"/>
  <c r="C9396" i="9"/>
  <c r="B9396" i="9"/>
  <c r="H9395" i="9"/>
  <c r="G9395" i="9"/>
  <c r="E9395" i="9"/>
  <c r="D9395" i="9"/>
  <c r="C9395" i="9"/>
  <c r="B9395" i="9"/>
  <c r="H9394" i="9"/>
  <c r="G9394" i="9"/>
  <c r="E9394" i="9"/>
  <c r="D9394" i="9"/>
  <c r="C9394" i="9"/>
  <c r="B9394" i="9"/>
  <c r="H9393" i="9"/>
  <c r="G9393" i="9"/>
  <c r="E9393" i="9"/>
  <c r="D9393" i="9"/>
  <c r="C9393" i="9"/>
  <c r="B9393" i="9"/>
  <c r="H9392" i="9"/>
  <c r="G9392" i="9"/>
  <c r="E9392" i="9"/>
  <c r="D9392" i="9"/>
  <c r="C9392" i="9"/>
  <c r="B9392" i="9"/>
  <c r="H9391" i="9"/>
  <c r="G9391" i="9"/>
  <c r="E9391" i="9"/>
  <c r="D9391" i="9"/>
  <c r="C9391" i="9"/>
  <c r="B9391" i="9"/>
  <c r="H9390" i="9"/>
  <c r="G9390" i="9"/>
  <c r="E9390" i="9"/>
  <c r="D9390" i="9"/>
  <c r="C9390" i="9"/>
  <c r="B9390" i="9"/>
  <c r="H9389" i="9"/>
  <c r="G9389" i="9"/>
  <c r="E9389" i="9"/>
  <c r="D9389" i="9"/>
  <c r="C9389" i="9"/>
  <c r="B9389" i="9"/>
  <c r="H9388" i="9"/>
  <c r="G9388" i="9"/>
  <c r="E9388" i="9"/>
  <c r="D9388" i="9"/>
  <c r="C9388" i="9"/>
  <c r="B9388" i="9"/>
  <c r="H9387" i="9"/>
  <c r="G9387" i="9"/>
  <c r="E9387" i="9"/>
  <c r="D9387" i="9"/>
  <c r="C9387" i="9"/>
  <c r="B9387" i="9"/>
  <c r="H9386" i="9"/>
  <c r="G9386" i="9"/>
  <c r="E9386" i="9"/>
  <c r="D9386" i="9"/>
  <c r="C9386" i="9"/>
  <c r="B9386" i="9"/>
  <c r="H9385" i="9"/>
  <c r="G9385" i="9"/>
  <c r="E9385" i="9"/>
  <c r="D9385" i="9"/>
  <c r="C9385" i="9"/>
  <c r="B9385" i="9"/>
  <c r="H9384" i="9"/>
  <c r="G9384" i="9"/>
  <c r="E9384" i="9"/>
  <c r="D9384" i="9"/>
  <c r="C9384" i="9"/>
  <c r="B9384" i="9"/>
  <c r="H9383" i="9"/>
  <c r="G9383" i="9"/>
  <c r="E9383" i="9"/>
  <c r="D9383" i="9"/>
  <c r="C9383" i="9"/>
  <c r="B9383" i="9"/>
  <c r="H9382" i="9"/>
  <c r="G9382" i="9"/>
  <c r="E9382" i="9"/>
  <c r="D9382" i="9"/>
  <c r="C9382" i="9"/>
  <c r="B9382" i="9"/>
  <c r="H9381" i="9"/>
  <c r="G9381" i="9"/>
  <c r="E9381" i="9"/>
  <c r="D9381" i="9"/>
  <c r="C9381" i="9"/>
  <c r="B9381" i="9"/>
  <c r="H9380" i="9"/>
  <c r="G9380" i="9"/>
  <c r="E9380" i="9"/>
  <c r="D9380" i="9"/>
  <c r="C9380" i="9"/>
  <c r="B9380" i="9"/>
  <c r="H9379" i="9"/>
  <c r="G9379" i="9"/>
  <c r="E9379" i="9"/>
  <c r="D9379" i="9"/>
  <c r="C9379" i="9"/>
  <c r="B9379" i="9"/>
  <c r="H9378" i="9"/>
  <c r="G9378" i="9"/>
  <c r="E9378" i="9"/>
  <c r="D9378" i="9"/>
  <c r="C9378" i="9"/>
  <c r="B9378" i="9"/>
  <c r="H9377" i="9"/>
  <c r="G9377" i="9"/>
  <c r="E9377" i="9"/>
  <c r="D9377" i="9"/>
  <c r="C9377" i="9"/>
  <c r="B9377" i="9"/>
  <c r="H9376" i="9"/>
  <c r="G9376" i="9"/>
  <c r="E9376" i="9"/>
  <c r="D9376" i="9"/>
  <c r="C9376" i="9"/>
  <c r="B9376" i="9"/>
  <c r="H9375" i="9"/>
  <c r="G9375" i="9"/>
  <c r="E9375" i="9"/>
  <c r="D9375" i="9"/>
  <c r="C9375" i="9"/>
  <c r="B9375" i="9"/>
  <c r="H9374" i="9"/>
  <c r="G9374" i="9"/>
  <c r="E9374" i="9"/>
  <c r="D9374" i="9"/>
  <c r="C9374" i="9"/>
  <c r="B9374" i="9"/>
  <c r="H9373" i="9"/>
  <c r="G9373" i="9"/>
  <c r="E9373" i="9"/>
  <c r="D9373" i="9"/>
  <c r="C9373" i="9"/>
  <c r="B9373" i="9"/>
  <c r="H9372" i="9"/>
  <c r="G9372" i="9"/>
  <c r="E9372" i="9"/>
  <c r="D9372" i="9"/>
  <c r="C9372" i="9"/>
  <c r="B9372" i="9"/>
  <c r="H9371" i="9"/>
  <c r="G9371" i="9"/>
  <c r="E9371" i="9"/>
  <c r="D9371" i="9"/>
  <c r="C9371" i="9"/>
  <c r="B9371" i="9"/>
  <c r="H9370" i="9"/>
  <c r="G9370" i="9"/>
  <c r="E9370" i="9"/>
  <c r="D9370" i="9"/>
  <c r="C9370" i="9"/>
  <c r="B9370" i="9"/>
  <c r="H9369" i="9"/>
  <c r="G9369" i="9"/>
  <c r="E9369" i="9"/>
  <c r="D9369" i="9"/>
  <c r="C9369" i="9"/>
  <c r="B9369" i="9"/>
  <c r="H9368" i="9"/>
  <c r="G9368" i="9"/>
  <c r="E9368" i="9"/>
  <c r="D9368" i="9"/>
  <c r="C9368" i="9"/>
  <c r="B9368" i="9"/>
  <c r="H9367" i="9"/>
  <c r="G9367" i="9"/>
  <c r="E9367" i="9"/>
  <c r="D9367" i="9"/>
  <c r="C9367" i="9"/>
  <c r="B9367" i="9"/>
  <c r="H9366" i="9"/>
  <c r="G9366" i="9"/>
  <c r="E9366" i="9"/>
  <c r="D9366" i="9"/>
  <c r="C9366" i="9"/>
  <c r="B9366" i="9"/>
  <c r="H9365" i="9"/>
  <c r="G9365" i="9"/>
  <c r="E9365" i="9"/>
  <c r="D9365" i="9"/>
  <c r="C9365" i="9"/>
  <c r="B9365" i="9"/>
  <c r="H9364" i="9"/>
  <c r="G9364" i="9"/>
  <c r="E9364" i="9"/>
  <c r="D9364" i="9"/>
  <c r="C9364" i="9"/>
  <c r="B9364" i="9"/>
  <c r="H9363" i="9"/>
  <c r="G9363" i="9"/>
  <c r="E9363" i="9"/>
  <c r="D9363" i="9"/>
  <c r="C9363" i="9"/>
  <c r="B9363" i="9"/>
  <c r="H9362" i="9"/>
  <c r="G9362" i="9"/>
  <c r="E9362" i="9"/>
  <c r="D9362" i="9"/>
  <c r="C9362" i="9"/>
  <c r="B9362" i="9"/>
  <c r="H9361" i="9"/>
  <c r="G9361" i="9"/>
  <c r="E9361" i="9"/>
  <c r="D9361" i="9"/>
  <c r="C9361" i="9"/>
  <c r="B9361" i="9"/>
  <c r="H9360" i="9"/>
  <c r="G9360" i="9"/>
  <c r="E9360" i="9"/>
  <c r="D9360" i="9"/>
  <c r="C9360" i="9"/>
  <c r="B9360" i="9"/>
  <c r="H9359" i="9"/>
  <c r="G9359" i="9"/>
  <c r="E9359" i="9"/>
  <c r="D9359" i="9"/>
  <c r="C9359" i="9"/>
  <c r="B9359" i="9"/>
  <c r="H9358" i="9"/>
  <c r="G9358" i="9"/>
  <c r="E9358" i="9"/>
  <c r="D9358" i="9"/>
  <c r="C9358" i="9"/>
  <c r="B9358" i="9"/>
  <c r="H9357" i="9"/>
  <c r="G9357" i="9"/>
  <c r="E9357" i="9"/>
  <c r="D9357" i="9"/>
  <c r="C9357" i="9"/>
  <c r="B9357" i="9"/>
  <c r="H9356" i="9"/>
  <c r="G9356" i="9"/>
  <c r="E9356" i="9"/>
  <c r="D9356" i="9"/>
  <c r="C9356" i="9"/>
  <c r="B9356" i="9"/>
  <c r="H9355" i="9"/>
  <c r="G9355" i="9"/>
  <c r="E9355" i="9"/>
  <c r="D9355" i="9"/>
  <c r="C9355" i="9"/>
  <c r="B9355" i="9"/>
  <c r="H9354" i="9"/>
  <c r="G9354" i="9"/>
  <c r="E9354" i="9"/>
  <c r="D9354" i="9"/>
  <c r="C9354" i="9"/>
  <c r="B9354" i="9"/>
  <c r="H9353" i="9"/>
  <c r="G9353" i="9"/>
  <c r="E9353" i="9"/>
  <c r="D9353" i="9"/>
  <c r="C9353" i="9"/>
  <c r="B9353" i="9"/>
  <c r="H9352" i="9"/>
  <c r="G9352" i="9"/>
  <c r="E9352" i="9"/>
  <c r="D9352" i="9"/>
  <c r="C9352" i="9"/>
  <c r="B9352" i="9"/>
  <c r="H9351" i="9"/>
  <c r="G9351" i="9"/>
  <c r="E9351" i="9"/>
  <c r="D9351" i="9"/>
  <c r="C9351" i="9"/>
  <c r="B9351" i="9"/>
  <c r="H9350" i="9"/>
  <c r="G9350" i="9"/>
  <c r="E9350" i="9"/>
  <c r="D9350" i="9"/>
  <c r="C9350" i="9"/>
  <c r="B9350" i="9"/>
  <c r="H9349" i="9"/>
  <c r="G9349" i="9"/>
  <c r="E9349" i="9"/>
  <c r="D9349" i="9"/>
  <c r="C9349" i="9"/>
  <c r="B9349" i="9"/>
  <c r="H9348" i="9"/>
  <c r="G9348" i="9"/>
  <c r="E9348" i="9"/>
  <c r="D9348" i="9"/>
  <c r="C9348" i="9"/>
  <c r="B9348" i="9"/>
  <c r="H9347" i="9"/>
  <c r="G9347" i="9"/>
  <c r="E9347" i="9"/>
  <c r="D9347" i="9"/>
  <c r="C9347" i="9"/>
  <c r="B9347" i="9"/>
  <c r="H9346" i="9"/>
  <c r="G9346" i="9"/>
  <c r="E9346" i="9"/>
  <c r="D9346" i="9"/>
  <c r="C9346" i="9"/>
  <c r="B9346" i="9"/>
  <c r="H9345" i="9"/>
  <c r="G9345" i="9"/>
  <c r="E9345" i="9"/>
  <c r="D9345" i="9"/>
  <c r="C9345" i="9"/>
  <c r="B9345" i="9"/>
  <c r="H9344" i="9"/>
  <c r="G9344" i="9"/>
  <c r="E9344" i="9"/>
  <c r="D9344" i="9"/>
  <c r="C9344" i="9"/>
  <c r="B9344" i="9"/>
  <c r="H9343" i="9"/>
  <c r="G9343" i="9"/>
  <c r="E9343" i="9"/>
  <c r="D9343" i="9"/>
  <c r="C9343" i="9"/>
  <c r="B9343" i="9"/>
  <c r="H9342" i="9"/>
  <c r="G9342" i="9"/>
  <c r="E9342" i="9"/>
  <c r="D9342" i="9"/>
  <c r="C9342" i="9"/>
  <c r="B9342" i="9"/>
  <c r="H9341" i="9"/>
  <c r="G9341" i="9"/>
  <c r="E9341" i="9"/>
  <c r="D9341" i="9"/>
  <c r="C9341" i="9"/>
  <c r="B9341" i="9"/>
  <c r="H9340" i="9"/>
  <c r="G9340" i="9"/>
  <c r="E9340" i="9"/>
  <c r="D9340" i="9"/>
  <c r="C9340" i="9"/>
  <c r="B9340" i="9"/>
  <c r="H9339" i="9"/>
  <c r="G9339" i="9"/>
  <c r="E9339" i="9"/>
  <c r="D9339" i="9"/>
  <c r="C9339" i="9"/>
  <c r="B9339" i="9"/>
  <c r="H9338" i="9"/>
  <c r="G9338" i="9"/>
  <c r="E9338" i="9"/>
  <c r="D9338" i="9"/>
  <c r="C9338" i="9"/>
  <c r="B9338" i="9"/>
  <c r="H9337" i="9"/>
  <c r="G9337" i="9"/>
  <c r="E9337" i="9"/>
  <c r="D9337" i="9"/>
  <c r="C9337" i="9"/>
  <c r="B9337" i="9"/>
  <c r="H9336" i="9"/>
  <c r="G9336" i="9"/>
  <c r="E9336" i="9"/>
  <c r="D9336" i="9"/>
  <c r="C9336" i="9"/>
  <c r="B9336" i="9"/>
  <c r="H9335" i="9"/>
  <c r="G9335" i="9"/>
  <c r="E9335" i="9"/>
  <c r="D9335" i="9"/>
  <c r="C9335" i="9"/>
  <c r="B9335" i="9"/>
  <c r="H9334" i="9"/>
  <c r="G9334" i="9"/>
  <c r="E9334" i="9"/>
  <c r="D9334" i="9"/>
  <c r="C9334" i="9"/>
  <c r="B9334" i="9"/>
  <c r="H9333" i="9"/>
  <c r="G9333" i="9"/>
  <c r="E9333" i="9"/>
  <c r="D9333" i="9"/>
  <c r="C9333" i="9"/>
  <c r="B9333" i="9"/>
  <c r="H9332" i="9"/>
  <c r="G9332" i="9"/>
  <c r="E9332" i="9"/>
  <c r="D9332" i="9"/>
  <c r="C9332" i="9"/>
  <c r="B9332" i="9"/>
  <c r="H9331" i="9"/>
  <c r="G9331" i="9"/>
  <c r="E9331" i="9"/>
  <c r="D9331" i="9"/>
  <c r="C9331" i="9"/>
  <c r="B9331" i="9"/>
  <c r="H9330" i="9"/>
  <c r="G9330" i="9"/>
  <c r="E9330" i="9"/>
  <c r="D9330" i="9"/>
  <c r="C9330" i="9"/>
  <c r="B9330" i="9"/>
  <c r="H9329" i="9"/>
  <c r="G9329" i="9"/>
  <c r="E9329" i="9"/>
  <c r="D9329" i="9"/>
  <c r="C9329" i="9"/>
  <c r="B9329" i="9"/>
  <c r="H9328" i="9"/>
  <c r="G9328" i="9"/>
  <c r="E9328" i="9"/>
  <c r="D9328" i="9"/>
  <c r="C9328" i="9"/>
  <c r="B9328" i="9"/>
  <c r="H9327" i="9"/>
  <c r="G9327" i="9"/>
  <c r="E9327" i="9"/>
  <c r="D9327" i="9"/>
  <c r="C9327" i="9"/>
  <c r="B9327" i="9"/>
  <c r="H9326" i="9"/>
  <c r="G9326" i="9"/>
  <c r="E9326" i="9"/>
  <c r="D9326" i="9"/>
  <c r="C9326" i="9"/>
  <c r="B9326" i="9"/>
  <c r="H9325" i="9"/>
  <c r="G9325" i="9"/>
  <c r="E9325" i="9"/>
  <c r="D9325" i="9"/>
  <c r="C9325" i="9"/>
  <c r="B9325" i="9"/>
  <c r="H9324" i="9"/>
  <c r="G9324" i="9"/>
  <c r="E9324" i="9"/>
  <c r="D9324" i="9"/>
  <c r="C9324" i="9"/>
  <c r="B9324" i="9"/>
  <c r="H9323" i="9"/>
  <c r="G9323" i="9"/>
  <c r="E9323" i="9"/>
  <c r="D9323" i="9"/>
  <c r="C9323" i="9"/>
  <c r="B9323" i="9"/>
  <c r="H9322" i="9"/>
  <c r="G9322" i="9"/>
  <c r="E9322" i="9"/>
  <c r="D9322" i="9"/>
  <c r="C9322" i="9"/>
  <c r="B9322" i="9"/>
  <c r="H9321" i="9"/>
  <c r="G9321" i="9"/>
  <c r="E9321" i="9"/>
  <c r="D9321" i="9"/>
  <c r="C9321" i="9"/>
  <c r="B9321" i="9"/>
  <c r="H9320" i="9"/>
  <c r="G9320" i="9"/>
  <c r="E9320" i="9"/>
  <c r="D9320" i="9"/>
  <c r="C9320" i="9"/>
  <c r="B9320" i="9"/>
  <c r="H9319" i="9"/>
  <c r="G9319" i="9"/>
  <c r="E9319" i="9"/>
  <c r="D9319" i="9"/>
  <c r="C9319" i="9"/>
  <c r="B9319" i="9"/>
  <c r="H9318" i="9"/>
  <c r="G9318" i="9"/>
  <c r="E9318" i="9"/>
  <c r="D9318" i="9"/>
  <c r="C9318" i="9"/>
  <c r="B9318" i="9"/>
  <c r="H9317" i="9"/>
  <c r="G9317" i="9"/>
  <c r="E9317" i="9"/>
  <c r="D9317" i="9"/>
  <c r="C9317" i="9"/>
  <c r="B9317" i="9"/>
  <c r="H9316" i="9"/>
  <c r="G9316" i="9"/>
  <c r="E9316" i="9"/>
  <c r="D9316" i="9"/>
  <c r="C9316" i="9"/>
  <c r="B9316" i="9"/>
  <c r="H9315" i="9"/>
  <c r="G9315" i="9"/>
  <c r="E9315" i="9"/>
  <c r="D9315" i="9"/>
  <c r="C9315" i="9"/>
  <c r="B9315" i="9"/>
  <c r="H9314" i="9"/>
  <c r="G9314" i="9"/>
  <c r="E9314" i="9"/>
  <c r="D9314" i="9"/>
  <c r="C9314" i="9"/>
  <c r="B9314" i="9"/>
  <c r="H9313" i="9"/>
  <c r="G9313" i="9"/>
  <c r="E9313" i="9"/>
  <c r="D9313" i="9"/>
  <c r="C9313" i="9"/>
  <c r="B9313" i="9"/>
  <c r="H9312" i="9"/>
  <c r="G9312" i="9"/>
  <c r="E9312" i="9"/>
  <c r="D9312" i="9"/>
  <c r="C9312" i="9"/>
  <c r="B9312" i="9"/>
  <c r="H9311" i="9"/>
  <c r="G9311" i="9"/>
  <c r="E9311" i="9"/>
  <c r="D9311" i="9"/>
  <c r="C9311" i="9"/>
  <c r="B9311" i="9"/>
  <c r="H9310" i="9"/>
  <c r="G9310" i="9"/>
  <c r="E9310" i="9"/>
  <c r="D9310" i="9"/>
  <c r="C9310" i="9"/>
  <c r="B9310" i="9"/>
  <c r="H9309" i="9"/>
  <c r="G9309" i="9"/>
  <c r="E9309" i="9"/>
  <c r="D9309" i="9"/>
  <c r="C9309" i="9"/>
  <c r="B9309" i="9"/>
  <c r="H9308" i="9"/>
  <c r="G9308" i="9"/>
  <c r="E9308" i="9"/>
  <c r="D9308" i="9"/>
  <c r="C9308" i="9"/>
  <c r="B9308" i="9"/>
  <c r="H9307" i="9"/>
  <c r="G9307" i="9"/>
  <c r="E9307" i="9"/>
  <c r="D9307" i="9"/>
  <c r="C9307" i="9"/>
  <c r="B9307" i="9"/>
  <c r="H9306" i="9"/>
  <c r="G9306" i="9"/>
  <c r="E9306" i="9"/>
  <c r="D9306" i="9"/>
  <c r="C9306" i="9"/>
  <c r="B9306" i="9"/>
  <c r="H9305" i="9"/>
  <c r="G9305" i="9"/>
  <c r="E9305" i="9"/>
  <c r="D9305" i="9"/>
  <c r="C9305" i="9"/>
  <c r="B9305" i="9"/>
  <c r="H9304" i="9"/>
  <c r="G9304" i="9"/>
  <c r="E9304" i="9"/>
  <c r="D9304" i="9"/>
  <c r="C9304" i="9"/>
  <c r="B9304" i="9"/>
  <c r="H9303" i="9"/>
  <c r="G9303" i="9"/>
  <c r="E9303" i="9"/>
  <c r="D9303" i="9"/>
  <c r="C9303" i="9"/>
  <c r="B9303" i="9"/>
  <c r="H9302" i="9"/>
  <c r="G9302" i="9"/>
  <c r="E9302" i="9"/>
  <c r="D9302" i="9"/>
  <c r="C9302" i="9"/>
  <c r="B9302" i="9"/>
  <c r="H9301" i="9"/>
  <c r="G9301" i="9"/>
  <c r="E9301" i="9"/>
  <c r="D9301" i="9"/>
  <c r="C9301" i="9"/>
  <c r="B9301" i="9"/>
  <c r="H9300" i="9"/>
  <c r="G9300" i="9"/>
  <c r="E9300" i="9"/>
  <c r="D9300" i="9"/>
  <c r="C9300" i="9"/>
  <c r="B9300" i="9"/>
  <c r="H9299" i="9"/>
  <c r="G9299" i="9"/>
  <c r="E9299" i="9"/>
  <c r="D9299" i="9"/>
  <c r="C9299" i="9"/>
  <c r="B9299" i="9"/>
  <c r="H9298" i="9"/>
  <c r="G9298" i="9"/>
  <c r="E9298" i="9"/>
  <c r="D9298" i="9"/>
  <c r="C9298" i="9"/>
  <c r="B9298" i="9"/>
  <c r="H9297" i="9"/>
  <c r="G9297" i="9"/>
  <c r="E9297" i="9"/>
  <c r="D9297" i="9"/>
  <c r="C9297" i="9"/>
  <c r="B9297" i="9"/>
  <c r="H9296" i="9"/>
  <c r="G9296" i="9"/>
  <c r="E9296" i="9"/>
  <c r="D9296" i="9"/>
  <c r="C9296" i="9"/>
  <c r="B9296" i="9"/>
  <c r="H9295" i="9"/>
  <c r="G9295" i="9"/>
  <c r="E9295" i="9"/>
  <c r="D9295" i="9"/>
  <c r="C9295" i="9"/>
  <c r="B9295" i="9"/>
  <c r="H9294" i="9"/>
  <c r="G9294" i="9"/>
  <c r="E9294" i="9"/>
  <c r="D9294" i="9"/>
  <c r="C9294" i="9"/>
  <c r="B9294" i="9"/>
  <c r="H9293" i="9"/>
  <c r="G9293" i="9"/>
  <c r="E9293" i="9"/>
  <c r="D9293" i="9"/>
  <c r="C9293" i="9"/>
  <c r="B9293" i="9"/>
  <c r="H9292" i="9"/>
  <c r="G9292" i="9"/>
  <c r="E9292" i="9"/>
  <c r="D9292" i="9"/>
  <c r="C9292" i="9"/>
  <c r="B9292" i="9"/>
  <c r="H9291" i="9"/>
  <c r="G9291" i="9"/>
  <c r="E9291" i="9"/>
  <c r="D9291" i="9"/>
  <c r="C9291" i="9"/>
  <c r="B9291" i="9"/>
  <c r="H9290" i="9"/>
  <c r="G9290" i="9"/>
  <c r="E9290" i="9"/>
  <c r="D9290" i="9"/>
  <c r="C9290" i="9"/>
  <c r="B9290" i="9"/>
  <c r="H9289" i="9"/>
  <c r="G9289" i="9"/>
  <c r="E9289" i="9"/>
  <c r="D9289" i="9"/>
  <c r="C9289" i="9"/>
  <c r="B9289" i="9"/>
  <c r="H9288" i="9"/>
  <c r="G9288" i="9"/>
  <c r="E9288" i="9"/>
  <c r="D9288" i="9"/>
  <c r="C9288" i="9"/>
  <c r="B9288" i="9"/>
  <c r="H9287" i="9"/>
  <c r="G9287" i="9"/>
  <c r="E9287" i="9"/>
  <c r="D9287" i="9"/>
  <c r="C9287" i="9"/>
  <c r="B9287" i="9"/>
  <c r="H9286" i="9"/>
  <c r="G9286" i="9"/>
  <c r="E9286" i="9"/>
  <c r="D9286" i="9"/>
  <c r="C9286" i="9"/>
  <c r="B9286" i="9"/>
  <c r="H9285" i="9"/>
  <c r="G9285" i="9"/>
  <c r="E9285" i="9"/>
  <c r="D9285" i="9"/>
  <c r="C9285" i="9"/>
  <c r="B9285" i="9"/>
  <c r="H9284" i="9"/>
  <c r="G9284" i="9"/>
  <c r="E9284" i="9"/>
  <c r="D9284" i="9"/>
  <c r="C9284" i="9"/>
  <c r="B9284" i="9"/>
  <c r="H9283" i="9"/>
  <c r="G9283" i="9"/>
  <c r="E9283" i="9"/>
  <c r="D9283" i="9"/>
  <c r="C9283" i="9"/>
  <c r="B9283" i="9"/>
  <c r="H9282" i="9"/>
  <c r="G9282" i="9"/>
  <c r="E9282" i="9"/>
  <c r="D9282" i="9"/>
  <c r="C9282" i="9"/>
  <c r="B9282" i="9"/>
  <c r="H9281" i="9"/>
  <c r="G9281" i="9"/>
  <c r="E9281" i="9"/>
  <c r="D9281" i="9"/>
  <c r="C9281" i="9"/>
  <c r="B9281" i="9"/>
  <c r="H9280" i="9"/>
  <c r="G9280" i="9"/>
  <c r="E9280" i="9"/>
  <c r="D9280" i="9"/>
  <c r="C9280" i="9"/>
  <c r="B9280" i="9"/>
  <c r="H9279" i="9"/>
  <c r="G9279" i="9"/>
  <c r="E9279" i="9"/>
  <c r="D9279" i="9"/>
  <c r="C9279" i="9"/>
  <c r="B9279" i="9"/>
  <c r="H9278" i="9"/>
  <c r="G9278" i="9"/>
  <c r="E9278" i="9"/>
  <c r="D9278" i="9"/>
  <c r="C9278" i="9"/>
  <c r="B9278" i="9"/>
  <c r="H9277" i="9"/>
  <c r="G9277" i="9"/>
  <c r="E9277" i="9"/>
  <c r="D9277" i="9"/>
  <c r="C9277" i="9"/>
  <c r="B9277" i="9"/>
  <c r="H9276" i="9"/>
  <c r="G9276" i="9"/>
  <c r="E9276" i="9"/>
  <c r="D9276" i="9"/>
  <c r="C9276" i="9"/>
  <c r="B9276" i="9"/>
  <c r="H9275" i="9"/>
  <c r="G9275" i="9"/>
  <c r="E9275" i="9"/>
  <c r="D9275" i="9"/>
  <c r="C9275" i="9"/>
  <c r="B9275" i="9"/>
  <c r="H9274" i="9"/>
  <c r="G9274" i="9"/>
  <c r="E9274" i="9"/>
  <c r="D9274" i="9"/>
  <c r="C9274" i="9"/>
  <c r="B9274" i="9"/>
  <c r="H9273" i="9"/>
  <c r="G9273" i="9"/>
  <c r="E9273" i="9"/>
  <c r="D9273" i="9"/>
  <c r="C9273" i="9"/>
  <c r="B9273" i="9"/>
  <c r="H9272" i="9"/>
  <c r="G9272" i="9"/>
  <c r="E9272" i="9"/>
  <c r="D9272" i="9"/>
  <c r="C9272" i="9"/>
  <c r="B9272" i="9"/>
  <c r="H9271" i="9"/>
  <c r="G9271" i="9"/>
  <c r="E9271" i="9"/>
  <c r="D9271" i="9"/>
  <c r="C9271" i="9"/>
  <c r="B9271" i="9"/>
  <c r="H9270" i="9"/>
  <c r="G9270" i="9"/>
  <c r="E9270" i="9"/>
  <c r="D9270" i="9"/>
  <c r="C9270" i="9"/>
  <c r="B9270" i="9"/>
  <c r="H9269" i="9"/>
  <c r="G9269" i="9"/>
  <c r="E9269" i="9"/>
  <c r="D9269" i="9"/>
  <c r="C9269" i="9"/>
  <c r="B9269" i="9"/>
  <c r="H9268" i="9"/>
  <c r="G9268" i="9"/>
  <c r="E9268" i="9"/>
  <c r="D9268" i="9"/>
  <c r="C9268" i="9"/>
  <c r="B9268" i="9"/>
  <c r="H9267" i="9"/>
  <c r="G9267" i="9"/>
  <c r="E9267" i="9"/>
  <c r="D9267" i="9"/>
  <c r="C9267" i="9"/>
  <c r="B9267" i="9"/>
  <c r="H9266" i="9"/>
  <c r="G9266" i="9"/>
  <c r="E9266" i="9"/>
  <c r="D9266" i="9"/>
  <c r="C9266" i="9"/>
  <c r="B9266" i="9"/>
  <c r="H9265" i="9"/>
  <c r="G9265" i="9"/>
  <c r="E9265" i="9"/>
  <c r="D9265" i="9"/>
  <c r="C9265" i="9"/>
  <c r="B9265" i="9"/>
  <c r="H9264" i="9"/>
  <c r="G9264" i="9"/>
  <c r="E9264" i="9"/>
  <c r="D9264" i="9"/>
  <c r="C9264" i="9"/>
  <c r="B9264" i="9"/>
  <c r="H9263" i="9"/>
  <c r="G9263" i="9"/>
  <c r="E9263" i="9"/>
  <c r="D9263" i="9"/>
  <c r="C9263" i="9"/>
  <c r="B9263" i="9"/>
  <c r="H9262" i="9"/>
  <c r="G9262" i="9"/>
  <c r="E9262" i="9"/>
  <c r="D9262" i="9"/>
  <c r="C9262" i="9"/>
  <c r="B9262" i="9"/>
  <c r="H9261" i="9"/>
  <c r="G9261" i="9"/>
  <c r="E9261" i="9"/>
  <c r="D9261" i="9"/>
  <c r="C9261" i="9"/>
  <c r="B9261" i="9"/>
  <c r="H9260" i="9"/>
  <c r="G9260" i="9"/>
  <c r="E9260" i="9"/>
  <c r="D9260" i="9"/>
  <c r="C9260" i="9"/>
  <c r="B9260" i="9"/>
  <c r="H9259" i="9"/>
  <c r="G9259" i="9"/>
  <c r="E9259" i="9"/>
  <c r="D9259" i="9"/>
  <c r="C9259" i="9"/>
  <c r="B9259" i="9"/>
  <c r="H9258" i="9"/>
  <c r="G9258" i="9"/>
  <c r="E9258" i="9"/>
  <c r="D9258" i="9"/>
  <c r="C9258" i="9"/>
  <c r="B9258" i="9"/>
  <c r="H9257" i="9"/>
  <c r="G9257" i="9"/>
  <c r="E9257" i="9"/>
  <c r="D9257" i="9"/>
  <c r="C9257" i="9"/>
  <c r="B9257" i="9"/>
  <c r="H9256" i="9"/>
  <c r="G9256" i="9"/>
  <c r="E9256" i="9"/>
  <c r="D9256" i="9"/>
  <c r="C9256" i="9"/>
  <c r="B9256" i="9"/>
  <c r="H9255" i="9"/>
  <c r="G9255" i="9"/>
  <c r="E9255" i="9"/>
  <c r="D9255" i="9"/>
  <c r="C9255" i="9"/>
  <c r="B9255" i="9"/>
  <c r="H9254" i="9"/>
  <c r="G9254" i="9"/>
  <c r="E9254" i="9"/>
  <c r="D9254" i="9"/>
  <c r="C9254" i="9"/>
  <c r="B9254" i="9"/>
  <c r="H9253" i="9"/>
  <c r="G9253" i="9"/>
  <c r="E9253" i="9"/>
  <c r="D9253" i="9"/>
  <c r="C9253" i="9"/>
  <c r="B9253" i="9"/>
  <c r="H9252" i="9"/>
  <c r="G9252" i="9"/>
  <c r="E9252" i="9"/>
  <c r="D9252" i="9"/>
  <c r="C9252" i="9"/>
  <c r="B9252" i="9"/>
  <c r="H9251" i="9"/>
  <c r="G9251" i="9"/>
  <c r="E9251" i="9"/>
  <c r="D9251" i="9"/>
  <c r="C9251" i="9"/>
  <c r="B9251" i="9"/>
  <c r="H9250" i="9"/>
  <c r="G9250" i="9"/>
  <c r="E9250" i="9"/>
  <c r="D9250" i="9"/>
  <c r="C9250" i="9"/>
  <c r="B9250" i="9"/>
  <c r="H9249" i="9"/>
  <c r="G9249" i="9"/>
  <c r="E9249" i="9"/>
  <c r="D9249" i="9"/>
  <c r="C9249" i="9"/>
  <c r="B9249" i="9"/>
  <c r="H9248" i="9"/>
  <c r="G9248" i="9"/>
  <c r="E9248" i="9"/>
  <c r="D9248" i="9"/>
  <c r="C9248" i="9"/>
  <c r="B9248" i="9"/>
  <c r="H9247" i="9"/>
  <c r="G9247" i="9"/>
  <c r="E9247" i="9"/>
  <c r="D9247" i="9"/>
  <c r="C9247" i="9"/>
  <c r="B9247" i="9"/>
  <c r="H9246" i="9"/>
  <c r="G9246" i="9"/>
  <c r="E9246" i="9"/>
  <c r="D9246" i="9"/>
  <c r="C9246" i="9"/>
  <c r="B9246" i="9"/>
  <c r="H9245" i="9"/>
  <c r="G9245" i="9"/>
  <c r="E9245" i="9"/>
  <c r="D9245" i="9"/>
  <c r="C9245" i="9"/>
  <c r="B9245" i="9"/>
  <c r="H9244" i="9"/>
  <c r="G9244" i="9"/>
  <c r="E9244" i="9"/>
  <c r="D9244" i="9"/>
  <c r="C9244" i="9"/>
  <c r="B9244" i="9"/>
  <c r="H9243" i="9"/>
  <c r="G9243" i="9"/>
  <c r="E9243" i="9"/>
  <c r="D9243" i="9"/>
  <c r="C9243" i="9"/>
  <c r="B9243" i="9"/>
  <c r="H9242" i="9"/>
  <c r="G9242" i="9"/>
  <c r="E9242" i="9"/>
  <c r="D9242" i="9"/>
  <c r="C9242" i="9"/>
  <c r="B9242" i="9"/>
  <c r="H9241" i="9"/>
  <c r="G9241" i="9"/>
  <c r="E9241" i="9"/>
  <c r="D9241" i="9"/>
  <c r="C9241" i="9"/>
  <c r="B9241" i="9"/>
  <c r="H9240" i="9"/>
  <c r="G9240" i="9"/>
  <c r="E9240" i="9"/>
  <c r="D9240" i="9"/>
  <c r="C9240" i="9"/>
  <c r="B9240" i="9"/>
  <c r="H9239" i="9"/>
  <c r="G9239" i="9"/>
  <c r="E9239" i="9"/>
  <c r="D9239" i="9"/>
  <c r="C9239" i="9"/>
  <c r="B9239" i="9"/>
  <c r="H9238" i="9"/>
  <c r="G9238" i="9"/>
  <c r="E9238" i="9"/>
  <c r="D9238" i="9"/>
  <c r="C9238" i="9"/>
  <c r="B9238" i="9"/>
  <c r="H9237" i="9"/>
  <c r="G9237" i="9"/>
  <c r="E9237" i="9"/>
  <c r="D9237" i="9"/>
  <c r="C9237" i="9"/>
  <c r="B9237" i="9"/>
  <c r="H9236" i="9"/>
  <c r="G9236" i="9"/>
  <c r="E9236" i="9"/>
  <c r="D9236" i="9"/>
  <c r="C9236" i="9"/>
  <c r="B9236" i="9"/>
  <c r="H9235" i="9"/>
  <c r="G9235" i="9"/>
  <c r="E9235" i="9"/>
  <c r="D9235" i="9"/>
  <c r="C9235" i="9"/>
  <c r="B9235" i="9"/>
  <c r="H9234" i="9"/>
  <c r="G9234" i="9"/>
  <c r="E9234" i="9"/>
  <c r="D9234" i="9"/>
  <c r="C9234" i="9"/>
  <c r="B9234" i="9"/>
  <c r="H9233" i="9"/>
  <c r="G9233" i="9"/>
  <c r="E9233" i="9"/>
  <c r="D9233" i="9"/>
  <c r="C9233" i="9"/>
  <c r="B9233" i="9"/>
  <c r="H9232" i="9"/>
  <c r="G9232" i="9"/>
  <c r="E9232" i="9"/>
  <c r="D9232" i="9"/>
  <c r="C9232" i="9"/>
  <c r="B9232" i="9"/>
  <c r="H9231" i="9"/>
  <c r="G9231" i="9"/>
  <c r="E9231" i="9"/>
  <c r="D9231" i="9"/>
  <c r="C9231" i="9"/>
  <c r="B9231" i="9"/>
  <c r="H9230" i="9"/>
  <c r="G9230" i="9"/>
  <c r="E9230" i="9"/>
  <c r="D9230" i="9"/>
  <c r="C9230" i="9"/>
  <c r="B9230" i="9"/>
  <c r="H9229" i="9"/>
  <c r="G9229" i="9"/>
  <c r="E9229" i="9"/>
  <c r="D9229" i="9"/>
  <c r="C9229" i="9"/>
  <c r="B9229" i="9"/>
  <c r="H9228" i="9"/>
  <c r="G9228" i="9"/>
  <c r="E9228" i="9"/>
  <c r="D9228" i="9"/>
  <c r="C9228" i="9"/>
  <c r="B9228" i="9"/>
  <c r="H9227" i="9"/>
  <c r="G9227" i="9"/>
  <c r="E9227" i="9"/>
  <c r="D9227" i="9"/>
  <c r="C9227" i="9"/>
  <c r="B9227" i="9"/>
  <c r="H9226" i="9"/>
  <c r="G9226" i="9"/>
  <c r="E9226" i="9"/>
  <c r="D9226" i="9"/>
  <c r="C9226" i="9"/>
  <c r="B9226" i="9"/>
  <c r="H9225" i="9"/>
  <c r="G9225" i="9"/>
  <c r="E9225" i="9"/>
  <c r="D9225" i="9"/>
  <c r="C9225" i="9"/>
  <c r="B9225" i="9"/>
  <c r="H9224" i="9"/>
  <c r="G9224" i="9"/>
  <c r="E9224" i="9"/>
  <c r="D9224" i="9"/>
  <c r="C9224" i="9"/>
  <c r="B9224" i="9"/>
  <c r="H9223" i="9"/>
  <c r="G9223" i="9"/>
  <c r="E9223" i="9"/>
  <c r="D9223" i="9"/>
  <c r="C9223" i="9"/>
  <c r="B9223" i="9"/>
  <c r="H9222" i="9"/>
  <c r="G9222" i="9"/>
  <c r="E9222" i="9"/>
  <c r="D9222" i="9"/>
  <c r="C9222" i="9"/>
  <c r="B9222" i="9"/>
  <c r="H9221" i="9"/>
  <c r="G9221" i="9"/>
  <c r="E9221" i="9"/>
  <c r="D9221" i="9"/>
  <c r="C9221" i="9"/>
  <c r="B9221" i="9"/>
  <c r="H9220" i="9"/>
  <c r="G9220" i="9"/>
  <c r="E9220" i="9"/>
  <c r="D9220" i="9"/>
  <c r="C9220" i="9"/>
  <c r="B9220" i="9"/>
  <c r="H9219" i="9"/>
  <c r="G9219" i="9"/>
  <c r="E9219" i="9"/>
  <c r="D9219" i="9"/>
  <c r="C9219" i="9"/>
  <c r="B9219" i="9"/>
  <c r="H9218" i="9"/>
  <c r="G9218" i="9"/>
  <c r="E9218" i="9"/>
  <c r="D9218" i="9"/>
  <c r="C9218" i="9"/>
  <c r="B9218" i="9"/>
  <c r="H9217" i="9"/>
  <c r="G9217" i="9"/>
  <c r="E9217" i="9"/>
  <c r="D9217" i="9"/>
  <c r="C9217" i="9"/>
  <c r="B9217" i="9"/>
  <c r="H9216" i="9"/>
  <c r="G9216" i="9"/>
  <c r="E9216" i="9"/>
  <c r="D9216" i="9"/>
  <c r="C9216" i="9"/>
  <c r="B9216" i="9"/>
  <c r="H9215" i="9"/>
  <c r="G9215" i="9"/>
  <c r="E9215" i="9"/>
  <c r="D9215" i="9"/>
  <c r="C9215" i="9"/>
  <c r="B9215" i="9"/>
  <c r="H9214" i="9"/>
  <c r="G9214" i="9"/>
  <c r="E9214" i="9"/>
  <c r="D9214" i="9"/>
  <c r="C9214" i="9"/>
  <c r="B9214" i="9"/>
  <c r="H9213" i="9"/>
  <c r="G9213" i="9"/>
  <c r="E9213" i="9"/>
  <c r="D9213" i="9"/>
  <c r="C9213" i="9"/>
  <c r="B9213" i="9"/>
  <c r="H9212" i="9"/>
  <c r="G9212" i="9"/>
  <c r="E9212" i="9"/>
  <c r="D9212" i="9"/>
  <c r="C9212" i="9"/>
  <c r="B9212" i="9"/>
  <c r="H9211" i="9"/>
  <c r="G9211" i="9"/>
  <c r="E9211" i="9"/>
  <c r="D9211" i="9"/>
  <c r="C9211" i="9"/>
  <c r="B9211" i="9"/>
  <c r="H9210" i="9"/>
  <c r="G9210" i="9"/>
  <c r="E9210" i="9"/>
  <c r="D9210" i="9"/>
  <c r="C9210" i="9"/>
  <c r="B9210" i="9"/>
  <c r="H9209" i="9"/>
  <c r="G9209" i="9"/>
  <c r="E9209" i="9"/>
  <c r="D9209" i="9"/>
  <c r="C9209" i="9"/>
  <c r="B9209" i="9"/>
  <c r="H9208" i="9"/>
  <c r="G9208" i="9"/>
  <c r="E9208" i="9"/>
  <c r="D9208" i="9"/>
  <c r="C9208" i="9"/>
  <c r="B9208" i="9"/>
  <c r="H9207" i="9"/>
  <c r="G9207" i="9"/>
  <c r="E9207" i="9"/>
  <c r="D9207" i="9"/>
  <c r="C9207" i="9"/>
  <c r="B9207" i="9"/>
  <c r="H9206" i="9"/>
  <c r="G9206" i="9"/>
  <c r="E9206" i="9"/>
  <c r="D9206" i="9"/>
  <c r="C9206" i="9"/>
  <c r="B9206" i="9"/>
  <c r="H9205" i="9"/>
  <c r="G9205" i="9"/>
  <c r="E9205" i="9"/>
  <c r="D9205" i="9"/>
  <c r="C9205" i="9"/>
  <c r="B9205" i="9"/>
  <c r="H9204" i="9"/>
  <c r="G9204" i="9"/>
  <c r="E9204" i="9"/>
  <c r="D9204" i="9"/>
  <c r="C9204" i="9"/>
  <c r="B9204" i="9"/>
  <c r="H9203" i="9"/>
  <c r="G9203" i="9"/>
  <c r="E9203" i="9"/>
  <c r="D9203" i="9"/>
  <c r="C9203" i="9"/>
  <c r="B9203" i="9"/>
  <c r="H9202" i="9"/>
  <c r="G9202" i="9"/>
  <c r="E9202" i="9"/>
  <c r="D9202" i="9"/>
  <c r="C9202" i="9"/>
  <c r="B9202" i="9"/>
  <c r="H9201" i="9"/>
  <c r="G9201" i="9"/>
  <c r="E9201" i="9"/>
  <c r="D9201" i="9"/>
  <c r="C9201" i="9"/>
  <c r="B9201" i="9"/>
  <c r="H9200" i="9"/>
  <c r="G9200" i="9"/>
  <c r="E9200" i="9"/>
  <c r="D9200" i="9"/>
  <c r="C9200" i="9"/>
  <c r="B9200" i="9"/>
  <c r="H9199" i="9"/>
  <c r="G9199" i="9"/>
  <c r="E9199" i="9"/>
  <c r="D9199" i="9"/>
  <c r="C9199" i="9"/>
  <c r="B9199" i="9"/>
  <c r="H9198" i="9"/>
  <c r="G9198" i="9"/>
  <c r="E9198" i="9"/>
  <c r="D9198" i="9"/>
  <c r="C9198" i="9"/>
  <c r="B9198" i="9"/>
  <c r="H9197" i="9"/>
  <c r="G9197" i="9"/>
  <c r="E9197" i="9"/>
  <c r="D9197" i="9"/>
  <c r="C9197" i="9"/>
  <c r="B9197" i="9"/>
  <c r="H9196" i="9"/>
  <c r="G9196" i="9"/>
  <c r="E9196" i="9"/>
  <c r="D9196" i="9"/>
  <c r="C9196" i="9"/>
  <c r="B9196" i="9"/>
  <c r="H9195" i="9"/>
  <c r="G9195" i="9"/>
  <c r="E9195" i="9"/>
  <c r="D9195" i="9"/>
  <c r="C9195" i="9"/>
  <c r="B9195" i="9"/>
  <c r="H9194" i="9"/>
  <c r="G9194" i="9"/>
  <c r="E9194" i="9"/>
  <c r="D9194" i="9"/>
  <c r="C9194" i="9"/>
  <c r="B9194" i="9"/>
  <c r="H9193" i="9"/>
  <c r="G9193" i="9"/>
  <c r="E9193" i="9"/>
  <c r="D9193" i="9"/>
  <c r="C9193" i="9"/>
  <c r="B9193" i="9"/>
  <c r="H9192" i="9"/>
  <c r="G9192" i="9"/>
  <c r="E9192" i="9"/>
  <c r="D9192" i="9"/>
  <c r="C9192" i="9"/>
  <c r="B9192" i="9"/>
  <c r="H9191" i="9"/>
  <c r="G9191" i="9"/>
  <c r="E9191" i="9"/>
  <c r="D9191" i="9"/>
  <c r="C9191" i="9"/>
  <c r="B9191" i="9"/>
  <c r="H9190" i="9"/>
  <c r="G9190" i="9"/>
  <c r="E9190" i="9"/>
  <c r="D9190" i="9"/>
  <c r="C9190" i="9"/>
  <c r="B9190" i="9"/>
  <c r="H9189" i="9"/>
  <c r="G9189" i="9"/>
  <c r="E9189" i="9"/>
  <c r="D9189" i="9"/>
  <c r="C9189" i="9"/>
  <c r="B9189" i="9"/>
  <c r="H9188" i="9"/>
  <c r="G9188" i="9"/>
  <c r="E9188" i="9"/>
  <c r="D9188" i="9"/>
  <c r="C9188" i="9"/>
  <c r="B9188" i="9"/>
  <c r="H9187" i="9"/>
  <c r="G9187" i="9"/>
  <c r="E9187" i="9"/>
  <c r="D9187" i="9"/>
  <c r="C9187" i="9"/>
  <c r="B9187" i="9"/>
  <c r="H9186" i="9"/>
  <c r="G9186" i="9"/>
  <c r="E9186" i="9"/>
  <c r="D9186" i="9"/>
  <c r="C9186" i="9"/>
  <c r="B9186" i="9"/>
  <c r="H9185" i="9"/>
  <c r="G9185" i="9"/>
  <c r="E9185" i="9"/>
  <c r="D9185" i="9"/>
  <c r="C9185" i="9"/>
  <c r="B9185" i="9"/>
  <c r="H9184" i="9"/>
  <c r="G9184" i="9"/>
  <c r="E9184" i="9"/>
  <c r="D9184" i="9"/>
  <c r="C9184" i="9"/>
  <c r="B9184" i="9"/>
  <c r="H9183" i="9"/>
  <c r="G9183" i="9"/>
  <c r="E9183" i="9"/>
  <c r="D9183" i="9"/>
  <c r="C9183" i="9"/>
  <c r="B9183" i="9"/>
  <c r="H9182" i="9"/>
  <c r="G9182" i="9"/>
  <c r="E9182" i="9"/>
  <c r="D9182" i="9"/>
  <c r="C9182" i="9"/>
  <c r="B9182" i="9"/>
  <c r="H9181" i="9"/>
  <c r="G9181" i="9"/>
  <c r="E9181" i="9"/>
  <c r="D9181" i="9"/>
  <c r="C9181" i="9"/>
  <c r="B9181" i="9"/>
  <c r="H9180" i="9"/>
  <c r="G9180" i="9"/>
  <c r="E9180" i="9"/>
  <c r="D9180" i="9"/>
  <c r="C9180" i="9"/>
  <c r="B9180" i="9"/>
  <c r="H9179" i="9"/>
  <c r="G9179" i="9"/>
  <c r="E9179" i="9"/>
  <c r="D9179" i="9"/>
  <c r="C9179" i="9"/>
  <c r="B9179" i="9"/>
  <c r="H9178" i="9"/>
  <c r="G9178" i="9"/>
  <c r="E9178" i="9"/>
  <c r="D9178" i="9"/>
  <c r="C9178" i="9"/>
  <c r="B9178" i="9"/>
  <c r="H9177" i="9"/>
  <c r="G9177" i="9"/>
  <c r="E9177" i="9"/>
  <c r="D9177" i="9"/>
  <c r="C9177" i="9"/>
  <c r="B9177" i="9"/>
  <c r="H9176" i="9"/>
  <c r="G9176" i="9"/>
  <c r="E9176" i="9"/>
  <c r="D9176" i="9"/>
  <c r="C9176" i="9"/>
  <c r="B9176" i="9"/>
  <c r="H9175" i="9"/>
  <c r="G9175" i="9"/>
  <c r="E9175" i="9"/>
  <c r="D9175" i="9"/>
  <c r="C9175" i="9"/>
  <c r="B9175" i="9"/>
  <c r="H9174" i="9"/>
  <c r="G9174" i="9"/>
  <c r="E9174" i="9"/>
  <c r="D9174" i="9"/>
  <c r="C9174" i="9"/>
  <c r="B9174" i="9"/>
  <c r="H9173" i="9"/>
  <c r="G9173" i="9"/>
  <c r="E9173" i="9"/>
  <c r="D9173" i="9"/>
  <c r="C9173" i="9"/>
  <c r="B9173" i="9"/>
  <c r="H9172" i="9"/>
  <c r="G9172" i="9"/>
  <c r="E9172" i="9"/>
  <c r="D9172" i="9"/>
  <c r="C9172" i="9"/>
  <c r="B9172" i="9"/>
  <c r="H9171" i="9"/>
  <c r="G9171" i="9"/>
  <c r="E9171" i="9"/>
  <c r="D9171" i="9"/>
  <c r="C9171" i="9"/>
  <c r="B9171" i="9"/>
  <c r="H9170" i="9"/>
  <c r="G9170" i="9"/>
  <c r="E9170" i="9"/>
  <c r="D9170" i="9"/>
  <c r="C9170" i="9"/>
  <c r="B9170" i="9"/>
  <c r="H9169" i="9"/>
  <c r="G9169" i="9"/>
  <c r="E9169" i="9"/>
  <c r="D9169" i="9"/>
  <c r="C9169" i="9"/>
  <c r="B9169" i="9"/>
  <c r="H9168" i="9"/>
  <c r="G9168" i="9"/>
  <c r="E9168" i="9"/>
  <c r="D9168" i="9"/>
  <c r="C9168" i="9"/>
  <c r="B9168" i="9"/>
  <c r="H9167" i="9"/>
  <c r="G9167" i="9"/>
  <c r="E9167" i="9"/>
  <c r="D9167" i="9"/>
  <c r="C9167" i="9"/>
  <c r="B9167" i="9"/>
  <c r="H9166" i="9"/>
  <c r="G9166" i="9"/>
  <c r="E9166" i="9"/>
  <c r="D9166" i="9"/>
  <c r="C9166" i="9"/>
  <c r="B9166" i="9"/>
  <c r="H9165" i="9"/>
  <c r="G9165" i="9"/>
  <c r="E9165" i="9"/>
  <c r="D9165" i="9"/>
  <c r="C9165" i="9"/>
  <c r="B9165" i="9"/>
  <c r="H9164" i="9"/>
  <c r="G9164" i="9"/>
  <c r="E9164" i="9"/>
  <c r="D9164" i="9"/>
  <c r="C9164" i="9"/>
  <c r="B9164" i="9"/>
  <c r="H9163" i="9"/>
  <c r="G9163" i="9"/>
  <c r="E9163" i="9"/>
  <c r="D9163" i="9"/>
  <c r="C9163" i="9"/>
  <c r="B9163" i="9"/>
  <c r="H9162" i="9"/>
  <c r="G9162" i="9"/>
  <c r="E9162" i="9"/>
  <c r="D9162" i="9"/>
  <c r="C9162" i="9"/>
  <c r="B9162" i="9"/>
  <c r="H9161" i="9"/>
  <c r="G9161" i="9"/>
  <c r="E9161" i="9"/>
  <c r="D9161" i="9"/>
  <c r="C9161" i="9"/>
  <c r="B9161" i="9"/>
  <c r="H9160" i="9"/>
  <c r="G9160" i="9"/>
  <c r="E9160" i="9"/>
  <c r="D9160" i="9"/>
  <c r="C9160" i="9"/>
  <c r="B9160" i="9"/>
  <c r="H9159" i="9"/>
  <c r="G9159" i="9"/>
  <c r="E9159" i="9"/>
  <c r="D9159" i="9"/>
  <c r="C9159" i="9"/>
  <c r="B9159" i="9"/>
  <c r="H9158" i="9"/>
  <c r="G9158" i="9"/>
  <c r="E9158" i="9"/>
  <c r="D9158" i="9"/>
  <c r="C9158" i="9"/>
  <c r="B9158" i="9"/>
  <c r="H9157" i="9"/>
  <c r="G9157" i="9"/>
  <c r="E9157" i="9"/>
  <c r="D9157" i="9"/>
  <c r="C9157" i="9"/>
  <c r="B9157" i="9"/>
  <c r="H9156" i="9"/>
  <c r="G9156" i="9"/>
  <c r="E9156" i="9"/>
  <c r="D9156" i="9"/>
  <c r="C9156" i="9"/>
  <c r="B9156" i="9"/>
  <c r="H9155" i="9"/>
  <c r="G9155" i="9"/>
  <c r="E9155" i="9"/>
  <c r="D9155" i="9"/>
  <c r="C9155" i="9"/>
  <c r="B9155" i="9"/>
  <c r="H9154" i="9"/>
  <c r="G9154" i="9"/>
  <c r="E9154" i="9"/>
  <c r="D9154" i="9"/>
  <c r="C9154" i="9"/>
  <c r="B9154" i="9"/>
  <c r="H9153" i="9"/>
  <c r="G9153" i="9"/>
  <c r="E9153" i="9"/>
  <c r="D9153" i="9"/>
  <c r="C9153" i="9"/>
  <c r="B9153" i="9"/>
  <c r="H9152" i="9"/>
  <c r="G9152" i="9"/>
  <c r="E9152" i="9"/>
  <c r="D9152" i="9"/>
  <c r="C9152" i="9"/>
  <c r="B9152" i="9"/>
  <c r="H9151" i="9"/>
  <c r="G9151" i="9"/>
  <c r="E9151" i="9"/>
  <c r="D9151" i="9"/>
  <c r="C9151" i="9"/>
  <c r="B9151" i="9"/>
  <c r="H9150" i="9"/>
  <c r="G9150" i="9"/>
  <c r="E9150" i="9"/>
  <c r="D9150" i="9"/>
  <c r="C9150" i="9"/>
  <c r="B9150" i="9"/>
  <c r="H9149" i="9"/>
  <c r="G9149" i="9"/>
  <c r="E9149" i="9"/>
  <c r="D9149" i="9"/>
  <c r="C9149" i="9"/>
  <c r="B9149" i="9"/>
  <c r="H9148" i="9"/>
  <c r="G9148" i="9"/>
  <c r="E9148" i="9"/>
  <c r="D9148" i="9"/>
  <c r="C9148" i="9"/>
  <c r="B9148" i="9"/>
  <c r="H9147" i="9"/>
  <c r="G9147" i="9"/>
  <c r="E9147" i="9"/>
  <c r="D9147" i="9"/>
  <c r="C9147" i="9"/>
  <c r="B9147" i="9"/>
  <c r="H9146" i="9"/>
  <c r="G9146" i="9"/>
  <c r="E9146" i="9"/>
  <c r="D9146" i="9"/>
  <c r="C9146" i="9"/>
  <c r="B9146" i="9"/>
  <c r="H9145" i="9"/>
  <c r="G9145" i="9"/>
  <c r="E9145" i="9"/>
  <c r="D9145" i="9"/>
  <c r="C9145" i="9"/>
  <c r="B9145" i="9"/>
  <c r="H9144" i="9"/>
  <c r="G9144" i="9"/>
  <c r="E9144" i="9"/>
  <c r="D9144" i="9"/>
  <c r="C9144" i="9"/>
  <c r="B9144" i="9"/>
  <c r="H9143" i="9"/>
  <c r="G9143" i="9"/>
  <c r="E9143" i="9"/>
  <c r="D9143" i="9"/>
  <c r="C9143" i="9"/>
  <c r="B9143" i="9"/>
  <c r="H9142" i="9"/>
  <c r="G9142" i="9"/>
  <c r="E9142" i="9"/>
  <c r="D9142" i="9"/>
  <c r="C9142" i="9"/>
  <c r="B9142" i="9"/>
  <c r="H9141" i="9"/>
  <c r="G9141" i="9"/>
  <c r="E9141" i="9"/>
  <c r="D9141" i="9"/>
  <c r="C9141" i="9"/>
  <c r="B9141" i="9"/>
  <c r="H9140" i="9"/>
  <c r="G9140" i="9"/>
  <c r="E9140" i="9"/>
  <c r="D9140" i="9"/>
  <c r="C9140" i="9"/>
  <c r="B9140" i="9"/>
  <c r="H9139" i="9"/>
  <c r="G9139" i="9"/>
  <c r="E9139" i="9"/>
  <c r="D9139" i="9"/>
  <c r="C9139" i="9"/>
  <c r="B9139" i="9"/>
  <c r="H9138" i="9"/>
  <c r="G9138" i="9"/>
  <c r="E9138" i="9"/>
  <c r="D9138" i="9"/>
  <c r="C9138" i="9"/>
  <c r="B9138" i="9"/>
  <c r="H9137" i="9"/>
  <c r="G9137" i="9"/>
  <c r="E9137" i="9"/>
  <c r="D9137" i="9"/>
  <c r="C9137" i="9"/>
  <c r="B9137" i="9"/>
  <c r="H9136" i="9"/>
  <c r="G9136" i="9"/>
  <c r="E9136" i="9"/>
  <c r="D9136" i="9"/>
  <c r="C9136" i="9"/>
  <c r="B9136" i="9"/>
  <c r="H9135" i="9"/>
  <c r="G9135" i="9"/>
  <c r="E9135" i="9"/>
  <c r="D9135" i="9"/>
  <c r="C9135" i="9"/>
  <c r="B9135" i="9"/>
  <c r="H9134" i="9"/>
  <c r="G9134" i="9"/>
  <c r="E9134" i="9"/>
  <c r="D9134" i="9"/>
  <c r="C9134" i="9"/>
  <c r="B9134" i="9"/>
  <c r="H9133" i="9"/>
  <c r="G9133" i="9"/>
  <c r="E9133" i="9"/>
  <c r="D9133" i="9"/>
  <c r="C9133" i="9"/>
  <c r="B9133" i="9"/>
  <c r="H9132" i="9"/>
  <c r="G9132" i="9"/>
  <c r="E9132" i="9"/>
  <c r="D9132" i="9"/>
  <c r="C9132" i="9"/>
  <c r="B9132" i="9"/>
  <c r="H9131" i="9"/>
  <c r="G9131" i="9"/>
  <c r="E9131" i="9"/>
  <c r="D9131" i="9"/>
  <c r="C9131" i="9"/>
  <c r="B9131" i="9"/>
  <c r="H9130" i="9"/>
  <c r="G9130" i="9"/>
  <c r="E9130" i="9"/>
  <c r="D9130" i="9"/>
  <c r="C9130" i="9"/>
  <c r="B9130" i="9"/>
  <c r="H9129" i="9"/>
  <c r="G9129" i="9"/>
  <c r="E9129" i="9"/>
  <c r="D9129" i="9"/>
  <c r="C9129" i="9"/>
  <c r="B9129" i="9"/>
  <c r="H9128" i="9"/>
  <c r="G9128" i="9"/>
  <c r="E9128" i="9"/>
  <c r="D9128" i="9"/>
  <c r="C9128" i="9"/>
  <c r="B9128" i="9"/>
  <c r="H9127" i="9"/>
  <c r="G9127" i="9"/>
  <c r="E9127" i="9"/>
  <c r="D9127" i="9"/>
  <c r="C9127" i="9"/>
  <c r="B9127" i="9"/>
  <c r="H9126" i="9"/>
  <c r="G9126" i="9"/>
  <c r="E9126" i="9"/>
  <c r="D9126" i="9"/>
  <c r="C9126" i="9"/>
  <c r="B9126" i="9"/>
  <c r="H9125" i="9"/>
  <c r="G9125" i="9"/>
  <c r="E9125" i="9"/>
  <c r="D9125" i="9"/>
  <c r="C9125" i="9"/>
  <c r="B9125" i="9"/>
  <c r="H9124" i="9"/>
  <c r="G9124" i="9"/>
  <c r="E9124" i="9"/>
  <c r="D9124" i="9"/>
  <c r="C9124" i="9"/>
  <c r="B9124" i="9"/>
  <c r="H9123" i="9"/>
  <c r="G9123" i="9"/>
  <c r="E9123" i="9"/>
  <c r="D9123" i="9"/>
  <c r="C9123" i="9"/>
  <c r="B9123" i="9"/>
  <c r="H9122" i="9"/>
  <c r="G9122" i="9"/>
  <c r="E9122" i="9"/>
  <c r="D9122" i="9"/>
  <c r="C9122" i="9"/>
  <c r="B9122" i="9"/>
  <c r="H9121" i="9"/>
  <c r="G9121" i="9"/>
  <c r="E9121" i="9"/>
  <c r="D9121" i="9"/>
  <c r="C9121" i="9"/>
  <c r="B9121" i="9"/>
  <c r="H9120" i="9"/>
  <c r="G9120" i="9"/>
  <c r="E9120" i="9"/>
  <c r="D9120" i="9"/>
  <c r="C9120" i="9"/>
  <c r="B9120" i="9"/>
  <c r="H9119" i="9"/>
  <c r="G9119" i="9"/>
  <c r="E9119" i="9"/>
  <c r="D9119" i="9"/>
  <c r="C9119" i="9"/>
  <c r="B9119" i="9"/>
  <c r="H9118" i="9"/>
  <c r="G9118" i="9"/>
  <c r="E9118" i="9"/>
  <c r="D9118" i="9"/>
  <c r="C9118" i="9"/>
  <c r="B9118" i="9"/>
  <c r="H9117" i="9"/>
  <c r="G9117" i="9"/>
  <c r="E9117" i="9"/>
  <c r="D9117" i="9"/>
  <c r="C9117" i="9"/>
  <c r="B9117" i="9"/>
  <c r="H9116" i="9"/>
  <c r="G9116" i="9"/>
  <c r="E9116" i="9"/>
  <c r="D9116" i="9"/>
  <c r="C9116" i="9"/>
  <c r="B9116" i="9"/>
  <c r="H9115" i="9"/>
  <c r="G9115" i="9"/>
  <c r="E9115" i="9"/>
  <c r="D9115" i="9"/>
  <c r="C9115" i="9"/>
  <c r="B9115" i="9"/>
  <c r="H9114" i="9"/>
  <c r="G9114" i="9"/>
  <c r="E9114" i="9"/>
  <c r="D9114" i="9"/>
  <c r="C9114" i="9"/>
  <c r="B9114" i="9"/>
  <c r="H9113" i="9"/>
  <c r="G9113" i="9"/>
  <c r="E9113" i="9"/>
  <c r="D9113" i="9"/>
  <c r="C9113" i="9"/>
  <c r="B9113" i="9"/>
  <c r="H9112" i="9"/>
  <c r="G9112" i="9"/>
  <c r="E9112" i="9"/>
  <c r="D9112" i="9"/>
  <c r="C9112" i="9"/>
  <c r="B9112" i="9"/>
  <c r="H9111" i="9"/>
  <c r="G9111" i="9"/>
  <c r="E9111" i="9"/>
  <c r="D9111" i="9"/>
  <c r="C9111" i="9"/>
  <c r="B9111" i="9"/>
  <c r="H9110" i="9"/>
  <c r="G9110" i="9"/>
  <c r="E9110" i="9"/>
  <c r="D9110" i="9"/>
  <c r="C9110" i="9"/>
  <c r="B9110" i="9"/>
  <c r="H9109" i="9"/>
  <c r="G9109" i="9"/>
  <c r="E9109" i="9"/>
  <c r="D9109" i="9"/>
  <c r="C9109" i="9"/>
  <c r="B9109" i="9"/>
  <c r="H9108" i="9"/>
  <c r="G9108" i="9"/>
  <c r="E9108" i="9"/>
  <c r="D9108" i="9"/>
  <c r="C9108" i="9"/>
  <c r="B9108" i="9"/>
  <c r="H9107" i="9"/>
  <c r="G9107" i="9"/>
  <c r="E9107" i="9"/>
  <c r="D9107" i="9"/>
  <c r="C9107" i="9"/>
  <c r="B9107" i="9"/>
  <c r="H9106" i="9"/>
  <c r="G9106" i="9"/>
  <c r="E9106" i="9"/>
  <c r="D9106" i="9"/>
  <c r="C9106" i="9"/>
  <c r="B9106" i="9"/>
  <c r="H9105" i="9"/>
  <c r="G9105" i="9"/>
  <c r="E9105" i="9"/>
  <c r="D9105" i="9"/>
  <c r="C9105" i="9"/>
  <c r="B9105" i="9"/>
  <c r="H9104" i="9"/>
  <c r="G9104" i="9"/>
  <c r="E9104" i="9"/>
  <c r="D9104" i="9"/>
  <c r="C9104" i="9"/>
  <c r="B9104" i="9"/>
  <c r="H9103" i="9"/>
  <c r="G9103" i="9"/>
  <c r="E9103" i="9"/>
  <c r="D9103" i="9"/>
  <c r="C9103" i="9"/>
  <c r="B9103" i="9"/>
  <c r="H9102" i="9"/>
  <c r="G9102" i="9"/>
  <c r="E9102" i="9"/>
  <c r="D9102" i="9"/>
  <c r="C9102" i="9"/>
  <c r="B9102" i="9"/>
  <c r="H9101" i="9"/>
  <c r="G9101" i="9"/>
  <c r="E9101" i="9"/>
  <c r="D9101" i="9"/>
  <c r="C9101" i="9"/>
  <c r="B9101" i="9"/>
  <c r="H9100" i="9"/>
  <c r="G9100" i="9"/>
  <c r="E9100" i="9"/>
  <c r="D9100" i="9"/>
  <c r="C9100" i="9"/>
  <c r="B9100" i="9"/>
  <c r="H9099" i="9"/>
  <c r="G9099" i="9"/>
  <c r="E9099" i="9"/>
  <c r="D9099" i="9"/>
  <c r="C9099" i="9"/>
  <c r="B9099" i="9"/>
  <c r="H9098" i="9"/>
  <c r="G9098" i="9"/>
  <c r="E9098" i="9"/>
  <c r="D9098" i="9"/>
  <c r="C9098" i="9"/>
  <c r="B9098" i="9"/>
  <c r="H9097" i="9"/>
  <c r="G9097" i="9"/>
  <c r="E9097" i="9"/>
  <c r="D9097" i="9"/>
  <c r="C9097" i="9"/>
  <c r="B9097" i="9"/>
  <c r="H9096" i="9"/>
  <c r="G9096" i="9"/>
  <c r="E9096" i="9"/>
  <c r="D9096" i="9"/>
  <c r="C9096" i="9"/>
  <c r="B9096" i="9"/>
  <c r="H9095" i="9"/>
  <c r="G9095" i="9"/>
  <c r="E9095" i="9"/>
  <c r="D9095" i="9"/>
  <c r="C9095" i="9"/>
  <c r="B9095" i="9"/>
  <c r="H9094" i="9"/>
  <c r="G9094" i="9"/>
  <c r="E9094" i="9"/>
  <c r="D9094" i="9"/>
  <c r="C9094" i="9"/>
  <c r="B9094" i="9"/>
  <c r="H9093" i="9"/>
  <c r="G9093" i="9"/>
  <c r="E9093" i="9"/>
  <c r="D9093" i="9"/>
  <c r="C9093" i="9"/>
  <c r="B9093" i="9"/>
  <c r="H9092" i="9"/>
  <c r="G9092" i="9"/>
  <c r="E9092" i="9"/>
  <c r="D9092" i="9"/>
  <c r="C9092" i="9"/>
  <c r="B9092" i="9"/>
  <c r="H9091" i="9"/>
  <c r="G9091" i="9"/>
  <c r="E9091" i="9"/>
  <c r="D9091" i="9"/>
  <c r="C9091" i="9"/>
  <c r="B9091" i="9"/>
  <c r="H9090" i="9"/>
  <c r="G9090" i="9"/>
  <c r="E9090" i="9"/>
  <c r="D9090" i="9"/>
  <c r="C9090" i="9"/>
  <c r="B9090" i="9"/>
  <c r="H9089" i="9"/>
  <c r="G9089" i="9"/>
  <c r="E9089" i="9"/>
  <c r="D9089" i="9"/>
  <c r="C9089" i="9"/>
  <c r="B9089" i="9"/>
  <c r="H9088" i="9"/>
  <c r="G9088" i="9"/>
  <c r="E9088" i="9"/>
  <c r="D9088" i="9"/>
  <c r="C9088" i="9"/>
  <c r="B9088" i="9"/>
  <c r="H9087" i="9"/>
  <c r="G9087" i="9"/>
  <c r="E9087" i="9"/>
  <c r="D9087" i="9"/>
  <c r="C9087" i="9"/>
  <c r="B9087" i="9"/>
  <c r="H9086" i="9"/>
  <c r="G9086" i="9"/>
  <c r="E9086" i="9"/>
  <c r="D9086" i="9"/>
  <c r="C9086" i="9"/>
  <c r="B9086" i="9"/>
  <c r="H9085" i="9"/>
  <c r="G9085" i="9"/>
  <c r="E9085" i="9"/>
  <c r="D9085" i="9"/>
  <c r="C9085" i="9"/>
  <c r="B9085" i="9"/>
  <c r="H9084" i="9"/>
  <c r="G9084" i="9"/>
  <c r="E9084" i="9"/>
  <c r="D9084" i="9"/>
  <c r="C9084" i="9"/>
  <c r="B9084" i="9"/>
  <c r="H9083" i="9"/>
  <c r="G9083" i="9"/>
  <c r="E9083" i="9"/>
  <c r="D9083" i="9"/>
  <c r="C9083" i="9"/>
  <c r="B9083" i="9"/>
  <c r="H9082" i="9"/>
  <c r="G9082" i="9"/>
  <c r="E9082" i="9"/>
  <c r="D9082" i="9"/>
  <c r="C9082" i="9"/>
  <c r="B9082" i="9"/>
  <c r="H9081" i="9"/>
  <c r="G9081" i="9"/>
  <c r="E9081" i="9"/>
  <c r="D9081" i="9"/>
  <c r="C9081" i="9"/>
  <c r="B9081" i="9"/>
  <c r="H9080" i="9"/>
  <c r="G9080" i="9"/>
  <c r="E9080" i="9"/>
  <c r="D9080" i="9"/>
  <c r="C9080" i="9"/>
  <c r="B9080" i="9"/>
  <c r="H9079" i="9"/>
  <c r="G9079" i="9"/>
  <c r="E9079" i="9"/>
  <c r="D9079" i="9"/>
  <c r="C9079" i="9"/>
  <c r="B9079" i="9"/>
  <c r="H9078" i="9"/>
  <c r="G9078" i="9"/>
  <c r="E9078" i="9"/>
  <c r="D9078" i="9"/>
  <c r="C9078" i="9"/>
  <c r="B9078" i="9"/>
  <c r="H9077" i="9"/>
  <c r="G9077" i="9"/>
  <c r="E9077" i="9"/>
  <c r="D9077" i="9"/>
  <c r="C9077" i="9"/>
  <c r="B9077" i="9"/>
  <c r="H9076" i="9"/>
  <c r="G9076" i="9"/>
  <c r="E9076" i="9"/>
  <c r="D9076" i="9"/>
  <c r="C9076" i="9"/>
  <c r="B9076" i="9"/>
  <c r="H9075" i="9"/>
  <c r="G9075" i="9"/>
  <c r="E9075" i="9"/>
  <c r="D9075" i="9"/>
  <c r="C9075" i="9"/>
  <c r="B9075" i="9"/>
  <c r="H9074" i="9"/>
  <c r="G9074" i="9"/>
  <c r="E9074" i="9"/>
  <c r="D9074" i="9"/>
  <c r="C9074" i="9"/>
  <c r="B9074" i="9"/>
  <c r="H9073" i="9"/>
  <c r="G9073" i="9"/>
  <c r="E9073" i="9"/>
  <c r="D9073" i="9"/>
  <c r="C9073" i="9"/>
  <c r="B9073" i="9"/>
  <c r="H9072" i="9"/>
  <c r="G9072" i="9"/>
  <c r="E9072" i="9"/>
  <c r="D9072" i="9"/>
  <c r="C9072" i="9"/>
  <c r="B9072" i="9"/>
  <c r="H9071" i="9"/>
  <c r="G9071" i="9"/>
  <c r="E9071" i="9"/>
  <c r="D9071" i="9"/>
  <c r="C9071" i="9"/>
  <c r="B9071" i="9"/>
  <c r="H9070" i="9"/>
  <c r="G9070" i="9"/>
  <c r="E9070" i="9"/>
  <c r="D9070" i="9"/>
  <c r="C9070" i="9"/>
  <c r="B9070" i="9"/>
  <c r="H9069" i="9"/>
  <c r="G9069" i="9"/>
  <c r="E9069" i="9"/>
  <c r="D9069" i="9"/>
  <c r="C9069" i="9"/>
  <c r="B9069" i="9"/>
  <c r="H9068" i="9"/>
  <c r="G9068" i="9"/>
  <c r="E9068" i="9"/>
  <c r="D9068" i="9"/>
  <c r="C9068" i="9"/>
  <c r="B9068" i="9"/>
  <c r="H9067" i="9"/>
  <c r="G9067" i="9"/>
  <c r="E9067" i="9"/>
  <c r="D9067" i="9"/>
  <c r="C9067" i="9"/>
  <c r="B9067" i="9"/>
  <c r="H9066" i="9"/>
  <c r="G9066" i="9"/>
  <c r="E9066" i="9"/>
  <c r="D9066" i="9"/>
  <c r="C9066" i="9"/>
  <c r="B9066" i="9"/>
  <c r="H9065" i="9"/>
  <c r="G9065" i="9"/>
  <c r="E9065" i="9"/>
  <c r="D9065" i="9"/>
  <c r="C9065" i="9"/>
  <c r="B9065" i="9"/>
  <c r="H9064" i="9"/>
  <c r="G9064" i="9"/>
  <c r="E9064" i="9"/>
  <c r="D9064" i="9"/>
  <c r="C9064" i="9"/>
  <c r="B9064" i="9"/>
  <c r="H9063" i="9"/>
  <c r="G9063" i="9"/>
  <c r="E9063" i="9"/>
  <c r="D9063" i="9"/>
  <c r="C9063" i="9"/>
  <c r="B9063" i="9"/>
  <c r="H9062" i="9"/>
  <c r="G9062" i="9"/>
  <c r="E9062" i="9"/>
  <c r="D9062" i="9"/>
  <c r="C9062" i="9"/>
  <c r="B9062" i="9"/>
  <c r="H9061" i="9"/>
  <c r="G9061" i="9"/>
  <c r="E9061" i="9"/>
  <c r="D9061" i="9"/>
  <c r="C9061" i="9"/>
  <c r="B9061" i="9"/>
  <c r="H9060" i="9"/>
  <c r="G9060" i="9"/>
  <c r="E9060" i="9"/>
  <c r="D9060" i="9"/>
  <c r="C9060" i="9"/>
  <c r="B9060" i="9"/>
  <c r="H9059" i="9"/>
  <c r="G9059" i="9"/>
  <c r="E9059" i="9"/>
  <c r="D9059" i="9"/>
  <c r="C9059" i="9"/>
  <c r="B9059" i="9"/>
  <c r="H9058" i="9"/>
  <c r="G9058" i="9"/>
  <c r="E9058" i="9"/>
  <c r="D9058" i="9"/>
  <c r="C9058" i="9"/>
  <c r="B9058" i="9"/>
  <c r="H9057" i="9"/>
  <c r="G9057" i="9"/>
  <c r="E9057" i="9"/>
  <c r="D9057" i="9"/>
  <c r="C9057" i="9"/>
  <c r="B9057" i="9"/>
  <c r="H9056" i="9"/>
  <c r="G9056" i="9"/>
  <c r="E9056" i="9"/>
  <c r="D9056" i="9"/>
  <c r="C9056" i="9"/>
  <c r="B9056" i="9"/>
  <c r="H9055" i="9"/>
  <c r="G9055" i="9"/>
  <c r="E9055" i="9"/>
  <c r="D9055" i="9"/>
  <c r="C9055" i="9"/>
  <c r="B9055" i="9"/>
  <c r="H9054" i="9"/>
  <c r="G9054" i="9"/>
  <c r="E9054" i="9"/>
  <c r="D9054" i="9"/>
  <c r="C9054" i="9"/>
  <c r="B9054" i="9"/>
  <c r="H9053" i="9"/>
  <c r="G9053" i="9"/>
  <c r="E9053" i="9"/>
  <c r="D9053" i="9"/>
  <c r="C9053" i="9"/>
  <c r="B9053" i="9"/>
  <c r="H9052" i="9"/>
  <c r="G9052" i="9"/>
  <c r="E9052" i="9"/>
  <c r="D9052" i="9"/>
  <c r="C9052" i="9"/>
  <c r="B9052" i="9"/>
  <c r="H9051" i="9"/>
  <c r="G9051" i="9"/>
  <c r="E9051" i="9"/>
  <c r="D9051" i="9"/>
  <c r="C9051" i="9"/>
  <c r="B9051" i="9"/>
  <c r="H9050" i="9"/>
  <c r="G9050" i="9"/>
  <c r="E9050" i="9"/>
  <c r="D9050" i="9"/>
  <c r="C9050" i="9"/>
  <c r="B9050" i="9"/>
  <c r="H9049" i="9"/>
  <c r="G9049" i="9"/>
  <c r="E9049" i="9"/>
  <c r="D9049" i="9"/>
  <c r="C9049" i="9"/>
  <c r="B9049" i="9"/>
  <c r="H9048" i="9"/>
  <c r="G9048" i="9"/>
  <c r="E9048" i="9"/>
  <c r="D9048" i="9"/>
  <c r="C9048" i="9"/>
  <c r="B9048" i="9"/>
  <c r="H9047" i="9"/>
  <c r="G9047" i="9"/>
  <c r="E9047" i="9"/>
  <c r="D9047" i="9"/>
  <c r="C9047" i="9"/>
  <c r="B9047" i="9"/>
  <c r="H9046" i="9"/>
  <c r="G9046" i="9"/>
  <c r="E9046" i="9"/>
  <c r="D9046" i="9"/>
  <c r="C9046" i="9"/>
  <c r="B9046" i="9"/>
  <c r="H9045" i="9"/>
  <c r="G9045" i="9"/>
  <c r="E9045" i="9"/>
  <c r="D9045" i="9"/>
  <c r="C9045" i="9"/>
  <c r="B9045" i="9"/>
  <c r="H9044" i="9"/>
  <c r="G9044" i="9"/>
  <c r="E9044" i="9"/>
  <c r="D9044" i="9"/>
  <c r="C9044" i="9"/>
  <c r="B9044" i="9"/>
  <c r="H9043" i="9"/>
  <c r="G9043" i="9"/>
  <c r="E9043" i="9"/>
  <c r="D9043" i="9"/>
  <c r="C9043" i="9"/>
  <c r="B9043" i="9"/>
  <c r="H9042" i="9"/>
  <c r="G9042" i="9"/>
  <c r="E9042" i="9"/>
  <c r="D9042" i="9"/>
  <c r="C9042" i="9"/>
  <c r="B9042" i="9"/>
  <c r="H9041" i="9"/>
  <c r="G9041" i="9"/>
  <c r="E9041" i="9"/>
  <c r="D9041" i="9"/>
  <c r="C9041" i="9"/>
  <c r="B9041" i="9"/>
  <c r="H9040" i="9"/>
  <c r="G9040" i="9"/>
  <c r="E9040" i="9"/>
  <c r="D9040" i="9"/>
  <c r="C9040" i="9"/>
  <c r="B9040" i="9"/>
  <c r="H9039" i="9"/>
  <c r="G9039" i="9"/>
  <c r="E9039" i="9"/>
  <c r="D9039" i="9"/>
  <c r="C9039" i="9"/>
  <c r="B9039" i="9"/>
  <c r="H9038" i="9"/>
  <c r="G9038" i="9"/>
  <c r="E9038" i="9"/>
  <c r="D9038" i="9"/>
  <c r="C9038" i="9"/>
  <c r="B9038" i="9"/>
  <c r="H9037" i="9"/>
  <c r="G9037" i="9"/>
  <c r="E9037" i="9"/>
  <c r="D9037" i="9"/>
  <c r="C9037" i="9"/>
  <c r="B9037" i="9"/>
  <c r="H9036" i="9"/>
  <c r="G9036" i="9"/>
  <c r="E9036" i="9"/>
  <c r="D9036" i="9"/>
  <c r="C9036" i="9"/>
  <c r="B9036" i="9"/>
  <c r="H9035" i="9"/>
  <c r="G9035" i="9"/>
  <c r="E9035" i="9"/>
  <c r="D9035" i="9"/>
  <c r="C9035" i="9"/>
  <c r="B9035" i="9"/>
  <c r="H9034" i="9"/>
  <c r="G9034" i="9"/>
  <c r="E9034" i="9"/>
  <c r="D9034" i="9"/>
  <c r="C9034" i="9"/>
  <c r="B9034" i="9"/>
  <c r="H9033" i="9"/>
  <c r="G9033" i="9"/>
  <c r="E9033" i="9"/>
  <c r="D9033" i="9"/>
  <c r="C9033" i="9"/>
  <c r="B9033" i="9"/>
  <c r="H9032" i="9"/>
  <c r="G9032" i="9"/>
  <c r="E9032" i="9"/>
  <c r="D9032" i="9"/>
  <c r="C9032" i="9"/>
  <c r="B9032" i="9"/>
  <c r="H9031" i="9"/>
  <c r="G9031" i="9"/>
  <c r="E9031" i="9"/>
  <c r="D9031" i="9"/>
  <c r="C9031" i="9"/>
  <c r="B9031" i="9"/>
  <c r="H9030" i="9"/>
  <c r="G9030" i="9"/>
  <c r="E9030" i="9"/>
  <c r="D9030" i="9"/>
  <c r="C9030" i="9"/>
  <c r="B9030" i="9"/>
  <c r="H9029" i="9"/>
  <c r="G9029" i="9"/>
  <c r="E9029" i="9"/>
  <c r="D9029" i="9"/>
  <c r="C9029" i="9"/>
  <c r="B9029" i="9"/>
  <c r="H9028" i="9"/>
  <c r="G9028" i="9"/>
  <c r="E9028" i="9"/>
  <c r="D9028" i="9"/>
  <c r="C9028" i="9"/>
  <c r="B9028" i="9"/>
  <c r="H9027" i="9"/>
  <c r="G9027" i="9"/>
  <c r="E9027" i="9"/>
  <c r="D9027" i="9"/>
  <c r="C9027" i="9"/>
  <c r="B9027" i="9"/>
  <c r="H9026" i="9"/>
  <c r="G9026" i="9"/>
  <c r="E9026" i="9"/>
  <c r="D9026" i="9"/>
  <c r="C9026" i="9"/>
  <c r="B9026" i="9"/>
  <c r="H9025" i="9"/>
  <c r="G9025" i="9"/>
  <c r="E9025" i="9"/>
  <c r="D9025" i="9"/>
  <c r="C9025" i="9"/>
  <c r="B9025" i="9"/>
  <c r="H9024" i="9"/>
  <c r="G9024" i="9"/>
  <c r="E9024" i="9"/>
  <c r="D9024" i="9"/>
  <c r="C9024" i="9"/>
  <c r="B9024" i="9"/>
  <c r="H9023" i="9"/>
  <c r="G9023" i="9"/>
  <c r="E9023" i="9"/>
  <c r="D9023" i="9"/>
  <c r="C9023" i="9"/>
  <c r="B9023" i="9"/>
  <c r="H9022" i="9"/>
  <c r="G9022" i="9"/>
  <c r="E9022" i="9"/>
  <c r="D9022" i="9"/>
  <c r="C9022" i="9"/>
  <c r="B9022" i="9"/>
  <c r="H9021" i="9"/>
  <c r="G9021" i="9"/>
  <c r="E9021" i="9"/>
  <c r="D9021" i="9"/>
  <c r="C9021" i="9"/>
  <c r="B9021" i="9"/>
  <c r="H9020" i="9"/>
  <c r="G9020" i="9"/>
  <c r="E9020" i="9"/>
  <c r="D9020" i="9"/>
  <c r="C9020" i="9"/>
  <c r="B9020" i="9"/>
  <c r="H9019" i="9"/>
  <c r="G9019" i="9"/>
  <c r="E9019" i="9"/>
  <c r="D9019" i="9"/>
  <c r="C9019" i="9"/>
  <c r="B9019" i="9"/>
  <c r="H9018" i="9"/>
  <c r="G9018" i="9"/>
  <c r="E9018" i="9"/>
  <c r="D9018" i="9"/>
  <c r="C9018" i="9"/>
  <c r="B9018" i="9"/>
  <c r="H9017" i="9"/>
  <c r="G9017" i="9"/>
  <c r="E9017" i="9"/>
  <c r="D9017" i="9"/>
  <c r="C9017" i="9"/>
  <c r="B9017" i="9"/>
  <c r="H9016" i="9"/>
  <c r="G9016" i="9"/>
  <c r="E9016" i="9"/>
  <c r="D9016" i="9"/>
  <c r="C9016" i="9"/>
  <c r="B9016" i="9"/>
  <c r="H9015" i="9"/>
  <c r="G9015" i="9"/>
  <c r="E9015" i="9"/>
  <c r="D9015" i="9"/>
  <c r="C9015" i="9"/>
  <c r="B9015" i="9"/>
  <c r="H9014" i="9"/>
  <c r="G9014" i="9"/>
  <c r="E9014" i="9"/>
  <c r="D9014" i="9"/>
  <c r="C9014" i="9"/>
  <c r="B9014" i="9"/>
  <c r="H9013" i="9"/>
  <c r="G9013" i="9"/>
  <c r="E9013" i="9"/>
  <c r="D9013" i="9"/>
  <c r="C9013" i="9"/>
  <c r="B9013" i="9"/>
  <c r="H9012" i="9"/>
  <c r="G9012" i="9"/>
  <c r="E9012" i="9"/>
  <c r="D9012" i="9"/>
  <c r="C9012" i="9"/>
  <c r="B9012" i="9"/>
  <c r="H9011" i="9"/>
  <c r="G9011" i="9"/>
  <c r="E9011" i="9"/>
  <c r="D9011" i="9"/>
  <c r="C9011" i="9"/>
  <c r="B9011" i="9"/>
  <c r="H9010" i="9"/>
  <c r="G9010" i="9"/>
  <c r="E9010" i="9"/>
  <c r="D9010" i="9"/>
  <c r="C9010" i="9"/>
  <c r="B9010" i="9"/>
  <c r="H9009" i="9"/>
  <c r="G9009" i="9"/>
  <c r="E9009" i="9"/>
  <c r="D9009" i="9"/>
  <c r="C9009" i="9"/>
  <c r="B9009" i="9"/>
  <c r="H9008" i="9"/>
  <c r="G9008" i="9"/>
  <c r="E9008" i="9"/>
  <c r="D9008" i="9"/>
  <c r="C9008" i="9"/>
  <c r="B9008" i="9"/>
  <c r="H9007" i="9"/>
  <c r="G9007" i="9"/>
  <c r="E9007" i="9"/>
  <c r="D9007" i="9"/>
  <c r="C9007" i="9"/>
  <c r="B9007" i="9"/>
  <c r="H9006" i="9"/>
  <c r="G9006" i="9"/>
  <c r="E9006" i="9"/>
  <c r="D9006" i="9"/>
  <c r="C9006" i="9"/>
  <c r="B9006" i="9"/>
  <c r="H9005" i="9"/>
  <c r="G9005" i="9"/>
  <c r="E9005" i="9"/>
  <c r="D9005" i="9"/>
  <c r="C9005" i="9"/>
  <c r="B9005" i="9"/>
  <c r="H9004" i="9"/>
  <c r="G9004" i="9"/>
  <c r="E9004" i="9"/>
  <c r="D9004" i="9"/>
  <c r="C9004" i="9"/>
  <c r="B9004" i="9"/>
  <c r="H9003" i="9"/>
  <c r="G9003" i="9"/>
  <c r="E9003" i="9"/>
  <c r="D9003" i="9"/>
  <c r="C9003" i="9"/>
  <c r="B9003" i="9"/>
  <c r="H9002" i="9"/>
  <c r="G9002" i="9"/>
  <c r="E9002" i="9"/>
  <c r="D9002" i="9"/>
  <c r="C9002" i="9"/>
  <c r="B9002" i="9"/>
  <c r="H9001" i="9"/>
  <c r="G9001" i="9"/>
  <c r="E9001" i="9"/>
  <c r="D9001" i="9"/>
  <c r="C9001" i="9"/>
  <c r="B9001" i="9"/>
  <c r="H9000" i="9"/>
  <c r="G9000" i="9"/>
  <c r="E9000" i="9"/>
  <c r="D9000" i="9"/>
  <c r="C9000" i="9"/>
  <c r="B9000" i="9"/>
  <c r="H8999" i="9"/>
  <c r="G8999" i="9"/>
  <c r="E8999" i="9"/>
  <c r="D8999" i="9"/>
  <c r="C8999" i="9"/>
  <c r="B8999" i="9"/>
  <c r="H8998" i="9"/>
  <c r="G8998" i="9"/>
  <c r="E8998" i="9"/>
  <c r="D8998" i="9"/>
  <c r="C8998" i="9"/>
  <c r="B8998" i="9"/>
  <c r="H8997" i="9"/>
  <c r="G8997" i="9"/>
  <c r="E8997" i="9"/>
  <c r="D8997" i="9"/>
  <c r="C8997" i="9"/>
  <c r="B8997" i="9"/>
  <c r="H8996" i="9"/>
  <c r="G8996" i="9"/>
  <c r="E8996" i="9"/>
  <c r="D8996" i="9"/>
  <c r="C8996" i="9"/>
  <c r="B8996" i="9"/>
  <c r="H8995" i="9"/>
  <c r="G8995" i="9"/>
  <c r="E8995" i="9"/>
  <c r="D8995" i="9"/>
  <c r="C8995" i="9"/>
  <c r="B8995" i="9"/>
  <c r="H8994" i="9"/>
  <c r="G8994" i="9"/>
  <c r="E8994" i="9"/>
  <c r="D8994" i="9"/>
  <c r="C8994" i="9"/>
  <c r="B8994" i="9"/>
  <c r="H8993" i="9"/>
  <c r="G8993" i="9"/>
  <c r="E8993" i="9"/>
  <c r="D8993" i="9"/>
  <c r="C8993" i="9"/>
  <c r="B8993" i="9"/>
  <c r="H8992" i="9"/>
  <c r="G8992" i="9"/>
  <c r="E8992" i="9"/>
  <c r="D8992" i="9"/>
  <c r="C8992" i="9"/>
  <c r="B8992" i="9"/>
  <c r="H8991" i="9"/>
  <c r="G8991" i="9"/>
  <c r="E8991" i="9"/>
  <c r="D8991" i="9"/>
  <c r="C8991" i="9"/>
  <c r="B8991" i="9"/>
  <c r="H8990" i="9"/>
  <c r="G8990" i="9"/>
  <c r="E8990" i="9"/>
  <c r="D8990" i="9"/>
  <c r="C8990" i="9"/>
  <c r="B8990" i="9"/>
  <c r="H8989" i="9"/>
  <c r="G8989" i="9"/>
  <c r="E8989" i="9"/>
  <c r="D8989" i="9"/>
  <c r="C8989" i="9"/>
  <c r="B8989" i="9"/>
  <c r="H8988" i="9"/>
  <c r="G8988" i="9"/>
  <c r="E8988" i="9"/>
  <c r="D8988" i="9"/>
  <c r="C8988" i="9"/>
  <c r="B8988" i="9"/>
  <c r="H8987" i="9"/>
  <c r="G8987" i="9"/>
  <c r="E8987" i="9"/>
  <c r="D8987" i="9"/>
  <c r="C8987" i="9"/>
  <c r="B8987" i="9"/>
  <c r="H8986" i="9"/>
  <c r="G8986" i="9"/>
  <c r="E8986" i="9"/>
  <c r="D8986" i="9"/>
  <c r="C8986" i="9"/>
  <c r="B8986" i="9"/>
  <c r="H8985" i="9"/>
  <c r="G8985" i="9"/>
  <c r="E8985" i="9"/>
  <c r="D8985" i="9"/>
  <c r="C8985" i="9"/>
  <c r="B8985" i="9"/>
  <c r="H8984" i="9"/>
  <c r="G8984" i="9"/>
  <c r="E8984" i="9"/>
  <c r="D8984" i="9"/>
  <c r="C8984" i="9"/>
  <c r="B8984" i="9"/>
  <c r="H8983" i="9"/>
  <c r="G8983" i="9"/>
  <c r="E8983" i="9"/>
  <c r="D8983" i="9"/>
  <c r="C8983" i="9"/>
  <c r="B8983" i="9"/>
  <c r="H8982" i="9"/>
  <c r="G8982" i="9"/>
  <c r="E8982" i="9"/>
  <c r="D8982" i="9"/>
  <c r="C8982" i="9"/>
  <c r="B8982" i="9"/>
  <c r="H8981" i="9"/>
  <c r="G8981" i="9"/>
  <c r="E8981" i="9"/>
  <c r="D8981" i="9"/>
  <c r="C8981" i="9"/>
  <c r="B8981" i="9"/>
  <c r="H8980" i="9"/>
  <c r="G8980" i="9"/>
  <c r="E8980" i="9"/>
  <c r="D8980" i="9"/>
  <c r="C8980" i="9"/>
  <c r="B8980" i="9"/>
  <c r="H8979" i="9"/>
  <c r="G8979" i="9"/>
  <c r="E8979" i="9"/>
  <c r="D8979" i="9"/>
  <c r="C8979" i="9"/>
  <c r="B8979" i="9"/>
  <c r="H8978" i="9"/>
  <c r="G8978" i="9"/>
  <c r="E8978" i="9"/>
  <c r="D8978" i="9"/>
  <c r="C8978" i="9"/>
  <c r="B8978" i="9"/>
  <c r="H8977" i="9"/>
  <c r="G8977" i="9"/>
  <c r="E8977" i="9"/>
  <c r="D8977" i="9"/>
  <c r="C8977" i="9"/>
  <c r="B8977" i="9"/>
  <c r="H8976" i="9"/>
  <c r="G8976" i="9"/>
  <c r="E8976" i="9"/>
  <c r="D8976" i="9"/>
  <c r="C8976" i="9"/>
  <c r="B8976" i="9"/>
  <c r="H8975" i="9"/>
  <c r="G8975" i="9"/>
  <c r="E8975" i="9"/>
  <c r="D8975" i="9"/>
  <c r="C8975" i="9"/>
  <c r="B8975" i="9"/>
  <c r="H8974" i="9"/>
  <c r="G8974" i="9"/>
  <c r="E8974" i="9"/>
  <c r="D8974" i="9"/>
  <c r="C8974" i="9"/>
  <c r="B8974" i="9"/>
  <c r="H8973" i="9"/>
  <c r="G8973" i="9"/>
  <c r="E8973" i="9"/>
  <c r="D8973" i="9"/>
  <c r="C8973" i="9"/>
  <c r="B8973" i="9"/>
  <c r="H8972" i="9"/>
  <c r="G8972" i="9"/>
  <c r="E8972" i="9"/>
  <c r="D8972" i="9"/>
  <c r="C8972" i="9"/>
  <c r="B8972" i="9"/>
  <c r="H8971" i="9"/>
  <c r="G8971" i="9"/>
  <c r="E8971" i="9"/>
  <c r="D8971" i="9"/>
  <c r="C8971" i="9"/>
  <c r="B8971" i="9"/>
  <c r="H8970" i="9"/>
  <c r="G8970" i="9"/>
  <c r="E8970" i="9"/>
  <c r="D8970" i="9"/>
  <c r="C8970" i="9"/>
  <c r="B8970" i="9"/>
  <c r="H8969" i="9"/>
  <c r="G8969" i="9"/>
  <c r="E8969" i="9"/>
  <c r="D8969" i="9"/>
  <c r="C8969" i="9"/>
  <c r="B8969" i="9"/>
  <c r="H8968" i="9"/>
  <c r="G8968" i="9"/>
  <c r="E8968" i="9"/>
  <c r="D8968" i="9"/>
  <c r="C8968" i="9"/>
  <c r="B8968" i="9"/>
  <c r="H8967" i="9"/>
  <c r="G8967" i="9"/>
  <c r="E8967" i="9"/>
  <c r="D8967" i="9"/>
  <c r="C8967" i="9"/>
  <c r="B8967" i="9"/>
  <c r="H8966" i="9"/>
  <c r="G8966" i="9"/>
  <c r="E8966" i="9"/>
  <c r="D8966" i="9"/>
  <c r="C8966" i="9"/>
  <c r="B8966" i="9"/>
  <c r="H8965" i="9"/>
  <c r="G8965" i="9"/>
  <c r="E8965" i="9"/>
  <c r="D8965" i="9"/>
  <c r="C8965" i="9"/>
  <c r="B8965" i="9"/>
  <c r="H8964" i="9"/>
  <c r="G8964" i="9"/>
  <c r="E8964" i="9"/>
  <c r="D8964" i="9"/>
  <c r="C8964" i="9"/>
  <c r="B8964" i="9"/>
  <c r="H8963" i="9"/>
  <c r="G8963" i="9"/>
  <c r="E8963" i="9"/>
  <c r="D8963" i="9"/>
  <c r="C8963" i="9"/>
  <c r="B8963" i="9"/>
  <c r="H8962" i="9"/>
  <c r="G8962" i="9"/>
  <c r="E8962" i="9"/>
  <c r="D8962" i="9"/>
  <c r="C8962" i="9"/>
  <c r="B8962" i="9"/>
  <c r="H8961" i="9"/>
  <c r="G8961" i="9"/>
  <c r="E8961" i="9"/>
  <c r="D8961" i="9"/>
  <c r="C8961" i="9"/>
  <c r="B8961" i="9"/>
  <c r="H8960" i="9"/>
  <c r="G8960" i="9"/>
  <c r="E8960" i="9"/>
  <c r="D8960" i="9"/>
  <c r="C8960" i="9"/>
  <c r="B8960" i="9"/>
  <c r="H8959" i="9"/>
  <c r="G8959" i="9"/>
  <c r="E8959" i="9"/>
  <c r="D8959" i="9"/>
  <c r="C8959" i="9"/>
  <c r="B8959" i="9"/>
  <c r="H8958" i="9"/>
  <c r="G8958" i="9"/>
  <c r="E8958" i="9"/>
  <c r="D8958" i="9"/>
  <c r="C8958" i="9"/>
  <c r="B8958" i="9"/>
  <c r="H8957" i="9"/>
  <c r="G8957" i="9"/>
  <c r="E8957" i="9"/>
  <c r="D8957" i="9"/>
  <c r="C8957" i="9"/>
  <c r="B8957" i="9"/>
  <c r="H8956" i="9"/>
  <c r="G8956" i="9"/>
  <c r="E8956" i="9"/>
  <c r="D8956" i="9"/>
  <c r="C8956" i="9"/>
  <c r="B8956" i="9"/>
  <c r="H8955" i="9"/>
  <c r="G8955" i="9"/>
  <c r="E8955" i="9"/>
  <c r="D8955" i="9"/>
  <c r="C8955" i="9"/>
  <c r="B8955" i="9"/>
  <c r="H8954" i="9"/>
  <c r="G8954" i="9"/>
  <c r="E8954" i="9"/>
  <c r="D8954" i="9"/>
  <c r="C8954" i="9"/>
  <c r="B8954" i="9"/>
  <c r="H8953" i="9"/>
  <c r="G8953" i="9"/>
  <c r="E8953" i="9"/>
  <c r="D8953" i="9"/>
  <c r="C8953" i="9"/>
  <c r="B8953" i="9"/>
  <c r="H8952" i="9"/>
  <c r="G8952" i="9"/>
  <c r="E8952" i="9"/>
  <c r="D8952" i="9"/>
  <c r="C8952" i="9"/>
  <c r="B8952" i="9"/>
  <c r="H8951" i="9"/>
  <c r="G8951" i="9"/>
  <c r="E8951" i="9"/>
  <c r="D8951" i="9"/>
  <c r="C8951" i="9"/>
  <c r="B8951" i="9"/>
  <c r="H8950" i="9"/>
  <c r="G8950" i="9"/>
  <c r="E8950" i="9"/>
  <c r="D8950" i="9"/>
  <c r="C8950" i="9"/>
  <c r="B8950" i="9"/>
  <c r="H8949" i="9"/>
  <c r="G8949" i="9"/>
  <c r="E8949" i="9"/>
  <c r="D8949" i="9"/>
  <c r="C8949" i="9"/>
  <c r="B8949" i="9"/>
  <c r="H8948" i="9"/>
  <c r="G8948" i="9"/>
  <c r="E8948" i="9"/>
  <c r="D8948" i="9"/>
  <c r="C8948" i="9"/>
  <c r="B8948" i="9"/>
  <c r="H8947" i="9"/>
  <c r="G8947" i="9"/>
  <c r="E8947" i="9"/>
  <c r="D8947" i="9"/>
  <c r="C8947" i="9"/>
  <c r="B8947" i="9"/>
  <c r="H8946" i="9"/>
  <c r="G8946" i="9"/>
  <c r="E8946" i="9"/>
  <c r="D8946" i="9"/>
  <c r="C8946" i="9"/>
  <c r="B8946" i="9"/>
  <c r="H8945" i="9"/>
  <c r="G8945" i="9"/>
  <c r="E8945" i="9"/>
  <c r="D8945" i="9"/>
  <c r="C8945" i="9"/>
  <c r="B8945" i="9"/>
  <c r="H8944" i="9"/>
  <c r="G8944" i="9"/>
  <c r="E8944" i="9"/>
  <c r="D8944" i="9"/>
  <c r="C8944" i="9"/>
  <c r="B8944" i="9"/>
  <c r="H8943" i="9"/>
  <c r="G8943" i="9"/>
  <c r="E8943" i="9"/>
  <c r="D8943" i="9"/>
  <c r="C8943" i="9"/>
  <c r="B8943" i="9"/>
  <c r="H8942" i="9"/>
  <c r="G8942" i="9"/>
  <c r="E8942" i="9"/>
  <c r="D8942" i="9"/>
  <c r="C8942" i="9"/>
  <c r="B8942" i="9"/>
  <c r="H8941" i="9"/>
  <c r="G8941" i="9"/>
  <c r="E8941" i="9"/>
  <c r="D8941" i="9"/>
  <c r="C8941" i="9"/>
  <c r="B8941" i="9"/>
  <c r="H8940" i="9"/>
  <c r="G8940" i="9"/>
  <c r="E8940" i="9"/>
  <c r="D8940" i="9"/>
  <c r="C8940" i="9"/>
  <c r="B8940" i="9"/>
  <c r="H8939" i="9"/>
  <c r="G8939" i="9"/>
  <c r="E8939" i="9"/>
  <c r="D8939" i="9"/>
  <c r="C8939" i="9"/>
  <c r="B8939" i="9"/>
  <c r="H8938" i="9"/>
  <c r="G8938" i="9"/>
  <c r="E8938" i="9"/>
  <c r="D8938" i="9"/>
  <c r="C8938" i="9"/>
  <c r="B8938" i="9"/>
  <c r="H8937" i="9"/>
  <c r="G8937" i="9"/>
  <c r="E8937" i="9"/>
  <c r="D8937" i="9"/>
  <c r="C8937" i="9"/>
  <c r="B8937" i="9"/>
  <c r="H8936" i="9"/>
  <c r="G8936" i="9"/>
  <c r="E8936" i="9"/>
  <c r="D8936" i="9"/>
  <c r="C8936" i="9"/>
  <c r="B8936" i="9"/>
  <c r="H8935" i="9"/>
  <c r="G8935" i="9"/>
  <c r="E8935" i="9"/>
  <c r="D8935" i="9"/>
  <c r="C8935" i="9"/>
  <c r="B8935" i="9"/>
  <c r="H8934" i="9"/>
  <c r="G8934" i="9"/>
  <c r="E8934" i="9"/>
  <c r="D8934" i="9"/>
  <c r="C8934" i="9"/>
  <c r="B8934" i="9"/>
  <c r="H8933" i="9"/>
  <c r="G8933" i="9"/>
  <c r="E8933" i="9"/>
  <c r="D8933" i="9"/>
  <c r="C8933" i="9"/>
  <c r="B8933" i="9"/>
  <c r="H8932" i="9"/>
  <c r="G8932" i="9"/>
  <c r="E8932" i="9"/>
  <c r="D8932" i="9"/>
  <c r="C8932" i="9"/>
  <c r="B8932" i="9"/>
  <c r="H8931" i="9"/>
  <c r="G8931" i="9"/>
  <c r="E8931" i="9"/>
  <c r="D8931" i="9"/>
  <c r="C8931" i="9"/>
  <c r="B8931" i="9"/>
  <c r="H8930" i="9"/>
  <c r="G8930" i="9"/>
  <c r="E8930" i="9"/>
  <c r="D8930" i="9"/>
  <c r="C8930" i="9"/>
  <c r="B8930" i="9"/>
  <c r="H8929" i="9"/>
  <c r="G8929" i="9"/>
  <c r="E8929" i="9"/>
  <c r="D8929" i="9"/>
  <c r="C8929" i="9"/>
  <c r="B8929" i="9"/>
  <c r="H8928" i="9"/>
  <c r="G8928" i="9"/>
  <c r="E8928" i="9"/>
  <c r="D8928" i="9"/>
  <c r="C8928" i="9"/>
  <c r="B8928" i="9"/>
  <c r="H8927" i="9"/>
  <c r="G8927" i="9"/>
  <c r="E8927" i="9"/>
  <c r="D8927" i="9"/>
  <c r="C8927" i="9"/>
  <c r="B8927" i="9"/>
  <c r="H8926" i="9"/>
  <c r="G8926" i="9"/>
  <c r="E8926" i="9"/>
  <c r="D8926" i="9"/>
  <c r="C8926" i="9"/>
  <c r="B8926" i="9"/>
  <c r="H8925" i="9"/>
  <c r="G8925" i="9"/>
  <c r="E8925" i="9"/>
  <c r="D8925" i="9"/>
  <c r="C8925" i="9"/>
  <c r="B8925" i="9"/>
  <c r="H8924" i="9"/>
  <c r="G8924" i="9"/>
  <c r="E8924" i="9"/>
  <c r="D8924" i="9"/>
  <c r="C8924" i="9"/>
  <c r="B8924" i="9"/>
  <c r="H8923" i="9"/>
  <c r="G8923" i="9"/>
  <c r="E8923" i="9"/>
  <c r="D8923" i="9"/>
  <c r="C8923" i="9"/>
  <c r="B8923" i="9"/>
  <c r="H8922" i="9"/>
  <c r="G8922" i="9"/>
  <c r="E8922" i="9"/>
  <c r="D8922" i="9"/>
  <c r="C8922" i="9"/>
  <c r="B8922" i="9"/>
  <c r="H8921" i="9"/>
  <c r="G8921" i="9"/>
  <c r="E8921" i="9"/>
  <c r="D8921" i="9"/>
  <c r="C8921" i="9"/>
  <c r="B8921" i="9"/>
  <c r="H8920" i="9"/>
  <c r="G8920" i="9"/>
  <c r="E8920" i="9"/>
  <c r="D8920" i="9"/>
  <c r="C8920" i="9"/>
  <c r="B8920" i="9"/>
  <c r="H8919" i="9"/>
  <c r="G8919" i="9"/>
  <c r="E8919" i="9"/>
  <c r="D8919" i="9"/>
  <c r="C8919" i="9"/>
  <c r="B8919" i="9"/>
  <c r="H8918" i="9"/>
  <c r="G8918" i="9"/>
  <c r="E8918" i="9"/>
  <c r="D8918" i="9"/>
  <c r="C8918" i="9"/>
  <c r="B8918" i="9"/>
  <c r="H8917" i="9"/>
  <c r="G8917" i="9"/>
  <c r="E8917" i="9"/>
  <c r="D8917" i="9"/>
  <c r="C8917" i="9"/>
  <c r="B8917" i="9"/>
  <c r="H8916" i="9"/>
  <c r="G8916" i="9"/>
  <c r="E8916" i="9"/>
  <c r="D8916" i="9"/>
  <c r="C8916" i="9"/>
  <c r="B8916" i="9"/>
  <c r="H8915" i="9"/>
  <c r="G8915" i="9"/>
  <c r="E8915" i="9"/>
  <c r="D8915" i="9"/>
  <c r="C8915" i="9"/>
  <c r="B8915" i="9"/>
  <c r="H8914" i="9"/>
  <c r="G8914" i="9"/>
  <c r="E8914" i="9"/>
  <c r="D8914" i="9"/>
  <c r="C8914" i="9"/>
  <c r="B8914" i="9"/>
  <c r="H8913" i="9"/>
  <c r="G8913" i="9"/>
  <c r="E8913" i="9"/>
  <c r="D8913" i="9"/>
  <c r="C8913" i="9"/>
  <c r="B8913" i="9"/>
  <c r="H8912" i="9"/>
  <c r="G8912" i="9"/>
  <c r="E8912" i="9"/>
  <c r="D8912" i="9"/>
  <c r="C8912" i="9"/>
  <c r="B8912" i="9"/>
  <c r="H8911" i="9"/>
  <c r="G8911" i="9"/>
  <c r="E8911" i="9"/>
  <c r="D8911" i="9"/>
  <c r="C8911" i="9"/>
  <c r="B8911" i="9"/>
  <c r="H8910" i="9"/>
  <c r="G8910" i="9"/>
  <c r="E8910" i="9"/>
  <c r="D8910" i="9"/>
  <c r="C8910" i="9"/>
  <c r="B8910" i="9"/>
  <c r="H8909" i="9"/>
  <c r="G8909" i="9"/>
  <c r="E8909" i="9"/>
  <c r="D8909" i="9"/>
  <c r="C8909" i="9"/>
  <c r="B8909" i="9"/>
  <c r="H8908" i="9"/>
  <c r="G8908" i="9"/>
  <c r="E8908" i="9"/>
  <c r="D8908" i="9"/>
  <c r="C8908" i="9"/>
  <c r="B8908" i="9"/>
  <c r="H8907" i="9"/>
  <c r="G8907" i="9"/>
  <c r="E8907" i="9"/>
  <c r="D8907" i="9"/>
  <c r="C8907" i="9"/>
  <c r="B8907" i="9"/>
  <c r="H8906" i="9"/>
  <c r="G8906" i="9"/>
  <c r="E8906" i="9"/>
  <c r="D8906" i="9"/>
  <c r="C8906" i="9"/>
  <c r="B8906" i="9"/>
  <c r="H8905" i="9"/>
  <c r="G8905" i="9"/>
  <c r="E8905" i="9"/>
  <c r="D8905" i="9"/>
  <c r="C8905" i="9"/>
  <c r="B8905" i="9"/>
  <c r="H8904" i="9"/>
  <c r="G8904" i="9"/>
  <c r="E8904" i="9"/>
  <c r="D8904" i="9"/>
  <c r="C8904" i="9"/>
  <c r="B8904" i="9"/>
  <c r="H8903" i="9"/>
  <c r="G8903" i="9"/>
  <c r="E8903" i="9"/>
  <c r="D8903" i="9"/>
  <c r="C8903" i="9"/>
  <c r="B8903" i="9"/>
  <c r="H8902" i="9"/>
  <c r="G8902" i="9"/>
  <c r="E8902" i="9"/>
  <c r="D8902" i="9"/>
  <c r="C8902" i="9"/>
  <c r="B8902" i="9"/>
  <c r="H8901" i="9"/>
  <c r="G8901" i="9"/>
  <c r="E8901" i="9"/>
  <c r="D8901" i="9"/>
  <c r="C8901" i="9"/>
  <c r="B8901" i="9"/>
  <c r="H8900" i="9"/>
  <c r="G8900" i="9"/>
  <c r="E8900" i="9"/>
  <c r="D8900" i="9"/>
  <c r="C8900" i="9"/>
  <c r="B8900" i="9"/>
  <c r="H8899" i="9"/>
  <c r="G8899" i="9"/>
  <c r="E8899" i="9"/>
  <c r="D8899" i="9"/>
  <c r="C8899" i="9"/>
  <c r="B8899" i="9"/>
  <c r="H8898" i="9"/>
  <c r="G8898" i="9"/>
  <c r="E8898" i="9"/>
  <c r="D8898" i="9"/>
  <c r="C8898" i="9"/>
  <c r="B8898" i="9"/>
  <c r="H8897" i="9"/>
  <c r="G8897" i="9"/>
  <c r="E8897" i="9"/>
  <c r="D8897" i="9"/>
  <c r="C8897" i="9"/>
  <c r="B8897" i="9"/>
  <c r="H8896" i="9"/>
  <c r="G8896" i="9"/>
  <c r="E8896" i="9"/>
  <c r="D8896" i="9"/>
  <c r="C8896" i="9"/>
  <c r="B8896" i="9"/>
  <c r="H8895" i="9"/>
  <c r="G8895" i="9"/>
  <c r="E8895" i="9"/>
  <c r="D8895" i="9"/>
  <c r="C8895" i="9"/>
  <c r="B8895" i="9"/>
  <c r="H8894" i="9"/>
  <c r="G8894" i="9"/>
  <c r="E8894" i="9"/>
  <c r="D8894" i="9"/>
  <c r="C8894" i="9"/>
  <c r="B8894" i="9"/>
  <c r="H8893" i="9"/>
  <c r="G8893" i="9"/>
  <c r="E8893" i="9"/>
  <c r="D8893" i="9"/>
  <c r="C8893" i="9"/>
  <c r="B8893" i="9"/>
  <c r="H8892" i="9"/>
  <c r="G8892" i="9"/>
  <c r="E8892" i="9"/>
  <c r="D8892" i="9"/>
  <c r="C8892" i="9"/>
  <c r="B8892" i="9"/>
  <c r="H8891" i="9"/>
  <c r="G8891" i="9"/>
  <c r="E8891" i="9"/>
  <c r="D8891" i="9"/>
  <c r="C8891" i="9"/>
  <c r="B8891" i="9"/>
  <c r="H8890" i="9"/>
  <c r="G8890" i="9"/>
  <c r="E8890" i="9"/>
  <c r="D8890" i="9"/>
  <c r="C8890" i="9"/>
  <c r="B8890" i="9"/>
  <c r="H8889" i="9"/>
  <c r="G8889" i="9"/>
  <c r="E8889" i="9"/>
  <c r="D8889" i="9"/>
  <c r="C8889" i="9"/>
  <c r="B8889" i="9"/>
  <c r="H8888" i="9"/>
  <c r="G8888" i="9"/>
  <c r="E8888" i="9"/>
  <c r="D8888" i="9"/>
  <c r="C8888" i="9"/>
  <c r="B8888" i="9"/>
  <c r="H8887" i="9"/>
  <c r="G8887" i="9"/>
  <c r="E8887" i="9"/>
  <c r="D8887" i="9"/>
  <c r="C8887" i="9"/>
  <c r="B8887" i="9"/>
  <c r="H8886" i="9"/>
  <c r="G8886" i="9"/>
  <c r="E8886" i="9"/>
  <c r="D8886" i="9"/>
  <c r="C8886" i="9"/>
  <c r="B8886" i="9"/>
  <c r="H8885" i="9"/>
  <c r="G8885" i="9"/>
  <c r="E8885" i="9"/>
  <c r="D8885" i="9"/>
  <c r="C8885" i="9"/>
  <c r="B8885" i="9"/>
  <c r="H8884" i="9"/>
  <c r="G8884" i="9"/>
  <c r="E8884" i="9"/>
  <c r="D8884" i="9"/>
  <c r="C8884" i="9"/>
  <c r="B8884" i="9"/>
  <c r="H8883" i="9"/>
  <c r="G8883" i="9"/>
  <c r="E8883" i="9"/>
  <c r="D8883" i="9"/>
  <c r="C8883" i="9"/>
  <c r="B8883" i="9"/>
  <c r="H8882" i="9"/>
  <c r="G8882" i="9"/>
  <c r="E8882" i="9"/>
  <c r="D8882" i="9"/>
  <c r="C8882" i="9"/>
  <c r="B8882" i="9"/>
  <c r="H8881" i="9"/>
  <c r="G8881" i="9"/>
  <c r="E8881" i="9"/>
  <c r="D8881" i="9"/>
  <c r="C8881" i="9"/>
  <c r="B8881" i="9"/>
  <c r="H8880" i="9"/>
  <c r="G8880" i="9"/>
  <c r="E8880" i="9"/>
  <c r="D8880" i="9"/>
  <c r="C8880" i="9"/>
  <c r="B8880" i="9"/>
  <c r="H8879" i="9"/>
  <c r="G8879" i="9"/>
  <c r="E8879" i="9"/>
  <c r="D8879" i="9"/>
  <c r="C8879" i="9"/>
  <c r="B8879" i="9"/>
  <c r="H8878" i="9"/>
  <c r="G8878" i="9"/>
  <c r="E8878" i="9"/>
  <c r="D8878" i="9"/>
  <c r="C8878" i="9"/>
  <c r="B8878" i="9"/>
  <c r="H8877" i="9"/>
  <c r="G8877" i="9"/>
  <c r="E8877" i="9"/>
  <c r="D8877" i="9"/>
  <c r="C8877" i="9"/>
  <c r="B8877" i="9"/>
  <c r="H8876" i="9"/>
  <c r="G8876" i="9"/>
  <c r="E8876" i="9"/>
  <c r="D8876" i="9"/>
  <c r="C8876" i="9"/>
  <c r="B8876" i="9"/>
  <c r="H8875" i="9"/>
  <c r="G8875" i="9"/>
  <c r="E8875" i="9"/>
  <c r="D8875" i="9"/>
  <c r="C8875" i="9"/>
  <c r="B8875" i="9"/>
  <c r="H8874" i="9"/>
  <c r="G8874" i="9"/>
  <c r="E8874" i="9"/>
  <c r="D8874" i="9"/>
  <c r="C8874" i="9"/>
  <c r="B8874" i="9"/>
  <c r="H8873" i="9"/>
  <c r="G8873" i="9"/>
  <c r="E8873" i="9"/>
  <c r="D8873" i="9"/>
  <c r="C8873" i="9"/>
  <c r="B8873" i="9"/>
  <c r="H8872" i="9"/>
  <c r="G8872" i="9"/>
  <c r="E8872" i="9"/>
  <c r="D8872" i="9"/>
  <c r="C8872" i="9"/>
  <c r="B8872" i="9"/>
  <c r="H8871" i="9"/>
  <c r="G8871" i="9"/>
  <c r="E8871" i="9"/>
  <c r="D8871" i="9"/>
  <c r="C8871" i="9"/>
  <c r="B8871" i="9"/>
  <c r="H8870" i="9"/>
  <c r="G8870" i="9"/>
  <c r="E8870" i="9"/>
  <c r="D8870" i="9"/>
  <c r="C8870" i="9"/>
  <c r="B8870" i="9"/>
  <c r="H8869" i="9"/>
  <c r="G8869" i="9"/>
  <c r="E8869" i="9"/>
  <c r="D8869" i="9"/>
  <c r="C8869" i="9"/>
  <c r="B8869" i="9"/>
  <c r="H8868" i="9"/>
  <c r="G8868" i="9"/>
  <c r="E8868" i="9"/>
  <c r="D8868" i="9"/>
  <c r="C8868" i="9"/>
  <c r="B8868" i="9"/>
  <c r="H8867" i="9"/>
  <c r="G8867" i="9"/>
  <c r="E8867" i="9"/>
  <c r="D8867" i="9"/>
  <c r="C8867" i="9"/>
  <c r="B8867" i="9"/>
  <c r="H8866" i="9"/>
  <c r="G8866" i="9"/>
  <c r="E8866" i="9"/>
  <c r="D8866" i="9"/>
  <c r="C8866" i="9"/>
  <c r="B8866" i="9"/>
  <c r="H8865" i="9"/>
  <c r="G8865" i="9"/>
  <c r="E8865" i="9"/>
  <c r="D8865" i="9"/>
  <c r="C8865" i="9"/>
  <c r="B8865" i="9"/>
  <c r="H8864" i="9"/>
  <c r="G8864" i="9"/>
  <c r="E8864" i="9"/>
  <c r="D8864" i="9"/>
  <c r="C8864" i="9"/>
  <c r="B8864" i="9"/>
  <c r="H8863" i="9"/>
  <c r="G8863" i="9"/>
  <c r="E8863" i="9"/>
  <c r="D8863" i="9"/>
  <c r="C8863" i="9"/>
  <c r="B8863" i="9"/>
  <c r="H8862" i="9"/>
  <c r="G8862" i="9"/>
  <c r="E8862" i="9"/>
  <c r="D8862" i="9"/>
  <c r="C8862" i="9"/>
  <c r="B8862" i="9"/>
  <c r="H8861" i="9"/>
  <c r="G8861" i="9"/>
  <c r="E8861" i="9"/>
  <c r="D8861" i="9"/>
  <c r="C8861" i="9"/>
  <c r="B8861" i="9"/>
  <c r="H8860" i="9"/>
  <c r="G8860" i="9"/>
  <c r="E8860" i="9"/>
  <c r="D8860" i="9"/>
  <c r="C8860" i="9"/>
  <c r="B8860" i="9"/>
  <c r="H8859" i="9"/>
  <c r="G8859" i="9"/>
  <c r="E8859" i="9"/>
  <c r="D8859" i="9"/>
  <c r="C8859" i="9"/>
  <c r="B8859" i="9"/>
  <c r="H8858" i="9"/>
  <c r="G8858" i="9"/>
  <c r="E8858" i="9"/>
  <c r="D8858" i="9"/>
  <c r="C8858" i="9"/>
  <c r="B8858" i="9"/>
  <c r="H8857" i="9"/>
  <c r="G8857" i="9"/>
  <c r="E8857" i="9"/>
  <c r="D8857" i="9"/>
  <c r="C8857" i="9"/>
  <c r="B8857" i="9"/>
  <c r="H8856" i="9"/>
  <c r="G8856" i="9"/>
  <c r="E8856" i="9"/>
  <c r="D8856" i="9"/>
  <c r="C8856" i="9"/>
  <c r="B8856" i="9"/>
  <c r="H8855" i="9"/>
  <c r="G8855" i="9"/>
  <c r="E8855" i="9"/>
  <c r="D8855" i="9"/>
  <c r="C8855" i="9"/>
  <c r="B8855" i="9"/>
  <c r="H8854" i="9"/>
  <c r="G8854" i="9"/>
  <c r="E8854" i="9"/>
  <c r="D8854" i="9"/>
  <c r="C8854" i="9"/>
  <c r="B8854" i="9"/>
  <c r="H8853" i="9"/>
  <c r="G8853" i="9"/>
  <c r="E8853" i="9"/>
  <c r="D8853" i="9"/>
  <c r="C8853" i="9"/>
  <c r="B8853" i="9"/>
  <c r="H8852" i="9"/>
  <c r="G8852" i="9"/>
  <c r="E8852" i="9"/>
  <c r="D8852" i="9"/>
  <c r="C8852" i="9"/>
  <c r="B8852" i="9"/>
  <c r="H8851" i="9"/>
  <c r="G8851" i="9"/>
  <c r="E8851" i="9"/>
  <c r="D8851" i="9"/>
  <c r="C8851" i="9"/>
  <c r="B8851" i="9"/>
  <c r="H8850" i="9"/>
  <c r="G8850" i="9"/>
  <c r="E8850" i="9"/>
  <c r="D8850" i="9"/>
  <c r="C8850" i="9"/>
  <c r="B8850" i="9"/>
  <c r="H8849" i="9"/>
  <c r="G8849" i="9"/>
  <c r="E8849" i="9"/>
  <c r="D8849" i="9"/>
  <c r="C8849" i="9"/>
  <c r="B8849" i="9"/>
  <c r="H8848" i="9"/>
  <c r="G8848" i="9"/>
  <c r="E8848" i="9"/>
  <c r="D8848" i="9"/>
  <c r="C8848" i="9"/>
  <c r="B8848" i="9"/>
  <c r="H8847" i="9"/>
  <c r="G8847" i="9"/>
  <c r="E8847" i="9"/>
  <c r="D8847" i="9"/>
  <c r="C8847" i="9"/>
  <c r="B8847" i="9"/>
  <c r="H8846" i="9"/>
  <c r="G8846" i="9"/>
  <c r="E8846" i="9"/>
  <c r="D8846" i="9"/>
  <c r="C8846" i="9"/>
  <c r="B8846" i="9"/>
  <c r="H8845" i="9"/>
  <c r="G8845" i="9"/>
  <c r="E8845" i="9"/>
  <c r="D8845" i="9"/>
  <c r="C8845" i="9"/>
  <c r="B8845" i="9"/>
  <c r="H8844" i="9"/>
  <c r="G8844" i="9"/>
  <c r="E8844" i="9"/>
  <c r="D8844" i="9"/>
  <c r="C8844" i="9"/>
  <c r="B8844" i="9"/>
  <c r="H8843" i="9"/>
  <c r="G8843" i="9"/>
  <c r="E8843" i="9"/>
  <c r="D8843" i="9"/>
  <c r="C8843" i="9"/>
  <c r="B8843" i="9"/>
  <c r="H8842" i="9"/>
  <c r="G8842" i="9"/>
  <c r="E8842" i="9"/>
  <c r="D8842" i="9"/>
  <c r="C8842" i="9"/>
  <c r="B8842" i="9"/>
  <c r="H8841" i="9"/>
  <c r="G8841" i="9"/>
  <c r="E8841" i="9"/>
  <c r="D8841" i="9"/>
  <c r="C8841" i="9"/>
  <c r="B8841" i="9"/>
  <c r="H8840" i="9"/>
  <c r="G8840" i="9"/>
  <c r="E8840" i="9"/>
  <c r="D8840" i="9"/>
  <c r="C8840" i="9"/>
  <c r="B8840" i="9"/>
  <c r="H8839" i="9"/>
  <c r="G8839" i="9"/>
  <c r="E8839" i="9"/>
  <c r="D8839" i="9"/>
  <c r="C8839" i="9"/>
  <c r="B8839" i="9"/>
  <c r="H8838" i="9"/>
  <c r="G8838" i="9"/>
  <c r="E8838" i="9"/>
  <c r="D8838" i="9"/>
  <c r="C8838" i="9"/>
  <c r="B8838" i="9"/>
  <c r="H8837" i="9"/>
  <c r="G8837" i="9"/>
  <c r="E8837" i="9"/>
  <c r="D8837" i="9"/>
  <c r="C8837" i="9"/>
  <c r="B8837" i="9"/>
  <c r="H8836" i="9"/>
  <c r="G8836" i="9"/>
  <c r="E8836" i="9"/>
  <c r="D8836" i="9"/>
  <c r="C8836" i="9"/>
  <c r="B8836" i="9"/>
  <c r="H8835" i="9"/>
  <c r="G8835" i="9"/>
  <c r="E8835" i="9"/>
  <c r="D8835" i="9"/>
  <c r="C8835" i="9"/>
  <c r="B8835" i="9"/>
  <c r="H8834" i="9"/>
  <c r="G8834" i="9"/>
  <c r="E8834" i="9"/>
  <c r="D8834" i="9"/>
  <c r="C8834" i="9"/>
  <c r="B8834" i="9"/>
  <c r="H8833" i="9"/>
  <c r="G8833" i="9"/>
  <c r="E8833" i="9"/>
  <c r="D8833" i="9"/>
  <c r="C8833" i="9"/>
  <c r="B8833" i="9"/>
  <c r="H8832" i="9"/>
  <c r="G8832" i="9"/>
  <c r="E8832" i="9"/>
  <c r="D8832" i="9"/>
  <c r="C8832" i="9"/>
  <c r="B8832" i="9"/>
  <c r="H8831" i="9"/>
  <c r="G8831" i="9"/>
  <c r="E8831" i="9"/>
  <c r="D8831" i="9"/>
  <c r="C8831" i="9"/>
  <c r="B8831" i="9"/>
  <c r="H8830" i="9"/>
  <c r="G8830" i="9"/>
  <c r="E8830" i="9"/>
  <c r="D8830" i="9"/>
  <c r="C8830" i="9"/>
  <c r="B8830" i="9"/>
  <c r="H8829" i="9"/>
  <c r="G8829" i="9"/>
  <c r="E8829" i="9"/>
  <c r="D8829" i="9"/>
  <c r="C8829" i="9"/>
  <c r="B8829" i="9"/>
  <c r="H8828" i="9"/>
  <c r="G8828" i="9"/>
  <c r="E8828" i="9"/>
  <c r="D8828" i="9"/>
  <c r="C8828" i="9"/>
  <c r="B8828" i="9"/>
  <c r="H8827" i="9"/>
  <c r="G8827" i="9"/>
  <c r="E8827" i="9"/>
  <c r="D8827" i="9"/>
  <c r="C8827" i="9"/>
  <c r="B8827" i="9"/>
  <c r="H8826" i="9"/>
  <c r="G8826" i="9"/>
  <c r="E8826" i="9"/>
  <c r="D8826" i="9"/>
  <c r="C8826" i="9"/>
  <c r="B8826" i="9"/>
  <c r="H8825" i="9"/>
  <c r="G8825" i="9"/>
  <c r="E8825" i="9"/>
  <c r="D8825" i="9"/>
  <c r="C8825" i="9"/>
  <c r="B8825" i="9"/>
  <c r="H8824" i="9"/>
  <c r="G8824" i="9"/>
  <c r="E8824" i="9"/>
  <c r="D8824" i="9"/>
  <c r="C8824" i="9"/>
  <c r="B8824" i="9"/>
  <c r="H8823" i="9"/>
  <c r="G8823" i="9"/>
  <c r="E8823" i="9"/>
  <c r="D8823" i="9"/>
  <c r="C8823" i="9"/>
  <c r="B8823" i="9"/>
  <c r="H8822" i="9"/>
  <c r="G8822" i="9"/>
  <c r="E8822" i="9"/>
  <c r="D8822" i="9"/>
  <c r="C8822" i="9"/>
  <c r="B8822" i="9"/>
  <c r="H8821" i="9"/>
  <c r="G8821" i="9"/>
  <c r="E8821" i="9"/>
  <c r="D8821" i="9"/>
  <c r="C8821" i="9"/>
  <c r="B8821" i="9"/>
  <c r="H8820" i="9"/>
  <c r="G8820" i="9"/>
  <c r="E8820" i="9"/>
  <c r="D8820" i="9"/>
  <c r="C8820" i="9"/>
  <c r="B8820" i="9"/>
  <c r="H8819" i="9"/>
  <c r="G8819" i="9"/>
  <c r="E8819" i="9"/>
  <c r="D8819" i="9"/>
  <c r="C8819" i="9"/>
  <c r="B8819" i="9"/>
  <c r="H8818" i="9"/>
  <c r="G8818" i="9"/>
  <c r="E8818" i="9"/>
  <c r="D8818" i="9"/>
  <c r="C8818" i="9"/>
  <c r="B8818" i="9"/>
  <c r="H8817" i="9"/>
  <c r="G8817" i="9"/>
  <c r="E8817" i="9"/>
  <c r="D8817" i="9"/>
  <c r="C8817" i="9"/>
  <c r="B8817" i="9"/>
  <c r="H8816" i="9"/>
  <c r="G8816" i="9"/>
  <c r="E8816" i="9"/>
  <c r="D8816" i="9"/>
  <c r="C8816" i="9"/>
  <c r="B8816" i="9"/>
  <c r="H8815" i="9"/>
  <c r="G8815" i="9"/>
  <c r="E8815" i="9"/>
  <c r="D8815" i="9"/>
  <c r="C8815" i="9"/>
  <c r="B8815" i="9"/>
  <c r="H8814" i="9"/>
  <c r="G8814" i="9"/>
  <c r="E8814" i="9"/>
  <c r="D8814" i="9"/>
  <c r="C8814" i="9"/>
  <c r="B8814" i="9"/>
  <c r="H8813" i="9"/>
  <c r="G8813" i="9"/>
  <c r="E8813" i="9"/>
  <c r="D8813" i="9"/>
  <c r="C8813" i="9"/>
  <c r="B8813" i="9"/>
  <c r="H8812" i="9"/>
  <c r="G8812" i="9"/>
  <c r="E8812" i="9"/>
  <c r="D8812" i="9"/>
  <c r="C8812" i="9"/>
  <c r="B8812" i="9"/>
  <c r="H8811" i="9"/>
  <c r="G8811" i="9"/>
  <c r="E8811" i="9"/>
  <c r="D8811" i="9"/>
  <c r="C8811" i="9"/>
  <c r="B8811" i="9"/>
  <c r="H8810" i="9"/>
  <c r="G8810" i="9"/>
  <c r="E8810" i="9"/>
  <c r="D8810" i="9"/>
  <c r="C8810" i="9"/>
  <c r="B8810" i="9"/>
  <c r="H8809" i="9"/>
  <c r="G8809" i="9"/>
  <c r="E8809" i="9"/>
  <c r="D8809" i="9"/>
  <c r="C8809" i="9"/>
  <c r="B8809" i="9"/>
  <c r="H8808" i="9"/>
  <c r="G8808" i="9"/>
  <c r="E8808" i="9"/>
  <c r="D8808" i="9"/>
  <c r="C8808" i="9"/>
  <c r="B8808" i="9"/>
  <c r="H8807" i="9"/>
  <c r="G8807" i="9"/>
  <c r="E8807" i="9"/>
  <c r="D8807" i="9"/>
  <c r="C8807" i="9"/>
  <c r="B8807" i="9"/>
  <c r="H8806" i="9"/>
  <c r="G8806" i="9"/>
  <c r="E8806" i="9"/>
  <c r="D8806" i="9"/>
  <c r="C8806" i="9"/>
  <c r="B8806" i="9"/>
  <c r="H8805" i="9"/>
  <c r="G8805" i="9"/>
  <c r="E8805" i="9"/>
  <c r="D8805" i="9"/>
  <c r="C8805" i="9"/>
  <c r="B8805" i="9"/>
  <c r="H8804" i="9"/>
  <c r="G8804" i="9"/>
  <c r="E8804" i="9"/>
  <c r="D8804" i="9"/>
  <c r="C8804" i="9"/>
  <c r="B8804" i="9"/>
  <c r="H8803" i="9"/>
  <c r="G8803" i="9"/>
  <c r="E8803" i="9"/>
  <c r="D8803" i="9"/>
  <c r="C8803" i="9"/>
  <c r="B8803" i="9"/>
  <c r="H8802" i="9"/>
  <c r="G8802" i="9"/>
  <c r="E8802" i="9"/>
  <c r="D8802" i="9"/>
  <c r="C8802" i="9"/>
  <c r="B8802" i="9"/>
  <c r="H8801" i="9"/>
  <c r="G8801" i="9"/>
  <c r="E8801" i="9"/>
  <c r="D8801" i="9"/>
  <c r="C8801" i="9"/>
  <c r="B8801" i="9"/>
  <c r="H8800" i="9"/>
  <c r="G8800" i="9"/>
  <c r="E8800" i="9"/>
  <c r="D8800" i="9"/>
  <c r="C8800" i="9"/>
  <c r="B8800" i="9"/>
  <c r="H8799" i="9"/>
  <c r="G8799" i="9"/>
  <c r="E8799" i="9"/>
  <c r="D8799" i="9"/>
  <c r="C8799" i="9"/>
  <c r="B8799" i="9"/>
  <c r="H8798" i="9"/>
  <c r="G8798" i="9"/>
  <c r="E8798" i="9"/>
  <c r="D8798" i="9"/>
  <c r="C8798" i="9"/>
  <c r="B8798" i="9"/>
  <c r="H8797" i="9"/>
  <c r="G8797" i="9"/>
  <c r="E8797" i="9"/>
  <c r="D8797" i="9"/>
  <c r="C8797" i="9"/>
  <c r="B8797" i="9"/>
  <c r="H8796" i="9"/>
  <c r="G8796" i="9"/>
  <c r="E8796" i="9"/>
  <c r="D8796" i="9"/>
  <c r="C8796" i="9"/>
  <c r="B8796" i="9"/>
  <c r="H8795" i="9"/>
  <c r="G8795" i="9"/>
  <c r="E8795" i="9"/>
  <c r="D8795" i="9"/>
  <c r="C8795" i="9"/>
  <c r="B8795" i="9"/>
  <c r="H8794" i="9"/>
  <c r="G8794" i="9"/>
  <c r="E8794" i="9"/>
  <c r="D8794" i="9"/>
  <c r="C8794" i="9"/>
  <c r="B8794" i="9"/>
  <c r="H8793" i="9"/>
  <c r="G8793" i="9"/>
  <c r="E8793" i="9"/>
  <c r="D8793" i="9"/>
  <c r="C8793" i="9"/>
  <c r="B8793" i="9"/>
  <c r="H8792" i="9"/>
  <c r="G8792" i="9"/>
  <c r="E8792" i="9"/>
  <c r="D8792" i="9"/>
  <c r="C8792" i="9"/>
  <c r="B8792" i="9"/>
  <c r="H8791" i="9"/>
  <c r="G8791" i="9"/>
  <c r="E8791" i="9"/>
  <c r="D8791" i="9"/>
  <c r="C8791" i="9"/>
  <c r="B8791" i="9"/>
  <c r="H8790" i="9"/>
  <c r="G8790" i="9"/>
  <c r="E8790" i="9"/>
  <c r="D8790" i="9"/>
  <c r="C8790" i="9"/>
  <c r="B8790" i="9"/>
  <c r="H8789" i="9"/>
  <c r="G8789" i="9"/>
  <c r="E8789" i="9"/>
  <c r="D8789" i="9"/>
  <c r="C8789" i="9"/>
  <c r="B8789" i="9"/>
  <c r="H8788" i="9"/>
  <c r="G8788" i="9"/>
  <c r="E8788" i="9"/>
  <c r="D8788" i="9"/>
  <c r="C8788" i="9"/>
  <c r="B8788" i="9"/>
  <c r="H8787" i="9"/>
  <c r="G8787" i="9"/>
  <c r="E8787" i="9"/>
  <c r="D8787" i="9"/>
  <c r="C8787" i="9"/>
  <c r="B8787" i="9"/>
  <c r="H8786" i="9"/>
  <c r="G8786" i="9"/>
  <c r="E8786" i="9"/>
  <c r="D8786" i="9"/>
  <c r="C8786" i="9"/>
  <c r="B8786" i="9"/>
  <c r="H8785" i="9"/>
  <c r="G8785" i="9"/>
  <c r="E8785" i="9"/>
  <c r="D8785" i="9"/>
  <c r="C8785" i="9"/>
  <c r="B8785" i="9"/>
  <c r="H8784" i="9"/>
  <c r="G8784" i="9"/>
  <c r="E8784" i="9"/>
  <c r="D8784" i="9"/>
  <c r="C8784" i="9"/>
  <c r="B8784" i="9"/>
  <c r="H8783" i="9"/>
  <c r="G8783" i="9"/>
  <c r="E8783" i="9"/>
  <c r="D8783" i="9"/>
  <c r="C8783" i="9"/>
  <c r="B8783" i="9"/>
  <c r="H8782" i="9"/>
  <c r="G8782" i="9"/>
  <c r="E8782" i="9"/>
  <c r="D8782" i="9"/>
  <c r="C8782" i="9"/>
  <c r="B8782" i="9"/>
  <c r="H8781" i="9"/>
  <c r="G8781" i="9"/>
  <c r="E8781" i="9"/>
  <c r="D8781" i="9"/>
  <c r="C8781" i="9"/>
  <c r="B8781" i="9"/>
  <c r="H8780" i="9"/>
  <c r="G8780" i="9"/>
  <c r="E8780" i="9"/>
  <c r="D8780" i="9"/>
  <c r="C8780" i="9"/>
  <c r="B8780" i="9"/>
  <c r="H8779" i="9"/>
  <c r="G8779" i="9"/>
  <c r="E8779" i="9"/>
  <c r="D8779" i="9"/>
  <c r="C8779" i="9"/>
  <c r="B8779" i="9"/>
  <c r="H8778" i="9"/>
  <c r="G8778" i="9"/>
  <c r="E8778" i="9"/>
  <c r="D8778" i="9"/>
  <c r="C8778" i="9"/>
  <c r="B8778" i="9"/>
  <c r="H8777" i="9"/>
  <c r="G8777" i="9"/>
  <c r="E8777" i="9"/>
  <c r="D8777" i="9"/>
  <c r="C8777" i="9"/>
  <c r="B8777" i="9"/>
  <c r="H8776" i="9"/>
  <c r="G8776" i="9"/>
  <c r="E8776" i="9"/>
  <c r="D8776" i="9"/>
  <c r="C8776" i="9"/>
  <c r="B8776" i="9"/>
  <c r="H8775" i="9"/>
  <c r="G8775" i="9"/>
  <c r="E8775" i="9"/>
  <c r="D8775" i="9"/>
  <c r="C8775" i="9"/>
  <c r="B8775" i="9"/>
  <c r="H8774" i="9"/>
  <c r="G8774" i="9"/>
  <c r="E8774" i="9"/>
  <c r="D8774" i="9"/>
  <c r="C8774" i="9"/>
  <c r="B8774" i="9"/>
  <c r="H8773" i="9"/>
  <c r="G8773" i="9"/>
  <c r="E8773" i="9"/>
  <c r="D8773" i="9"/>
  <c r="C8773" i="9"/>
  <c r="B8773" i="9"/>
  <c r="H8772" i="9"/>
  <c r="G8772" i="9"/>
  <c r="E8772" i="9"/>
  <c r="D8772" i="9"/>
  <c r="C8772" i="9"/>
  <c r="B8772" i="9"/>
  <c r="H8771" i="9"/>
  <c r="G8771" i="9"/>
  <c r="E8771" i="9"/>
  <c r="D8771" i="9"/>
  <c r="C8771" i="9"/>
  <c r="B8771" i="9"/>
  <c r="H8770" i="9"/>
  <c r="G8770" i="9"/>
  <c r="E8770" i="9"/>
  <c r="D8770" i="9"/>
  <c r="C8770" i="9"/>
  <c r="B8770" i="9"/>
  <c r="H8769" i="9"/>
  <c r="G8769" i="9"/>
  <c r="E8769" i="9"/>
  <c r="D8769" i="9"/>
  <c r="C8769" i="9"/>
  <c r="B8769" i="9"/>
  <c r="H8768" i="9"/>
  <c r="G8768" i="9"/>
  <c r="E8768" i="9"/>
  <c r="D8768" i="9"/>
  <c r="C8768" i="9"/>
  <c r="B8768" i="9"/>
  <c r="H8767" i="9"/>
  <c r="G8767" i="9"/>
  <c r="E8767" i="9"/>
  <c r="D8767" i="9"/>
  <c r="C8767" i="9"/>
  <c r="B8767" i="9"/>
  <c r="H8766" i="9"/>
  <c r="G8766" i="9"/>
  <c r="E8766" i="9"/>
  <c r="D8766" i="9"/>
  <c r="C8766" i="9"/>
  <c r="B8766" i="9"/>
  <c r="H8765" i="9"/>
  <c r="G8765" i="9"/>
  <c r="E8765" i="9"/>
  <c r="D8765" i="9"/>
  <c r="C8765" i="9"/>
  <c r="B8765" i="9"/>
  <c r="H8764" i="9"/>
  <c r="G8764" i="9"/>
  <c r="E8764" i="9"/>
  <c r="D8764" i="9"/>
  <c r="C8764" i="9"/>
  <c r="B8764" i="9"/>
  <c r="H8763" i="9"/>
  <c r="G8763" i="9"/>
  <c r="E8763" i="9"/>
  <c r="D8763" i="9"/>
  <c r="C8763" i="9"/>
  <c r="B8763" i="9"/>
  <c r="H8762" i="9"/>
  <c r="G8762" i="9"/>
  <c r="E8762" i="9"/>
  <c r="D8762" i="9"/>
  <c r="C8762" i="9"/>
  <c r="B8762" i="9"/>
  <c r="H8761" i="9"/>
  <c r="G8761" i="9"/>
  <c r="E8761" i="9"/>
  <c r="D8761" i="9"/>
  <c r="C8761" i="9"/>
  <c r="B8761" i="9"/>
  <c r="H8760" i="9"/>
  <c r="G8760" i="9"/>
  <c r="E8760" i="9"/>
  <c r="D8760" i="9"/>
  <c r="C8760" i="9"/>
  <c r="B8760" i="9"/>
  <c r="H8759" i="9"/>
  <c r="G8759" i="9"/>
  <c r="E8759" i="9"/>
  <c r="D8759" i="9"/>
  <c r="C8759" i="9"/>
  <c r="B8759" i="9"/>
  <c r="H8758" i="9"/>
  <c r="G8758" i="9"/>
  <c r="E8758" i="9"/>
  <c r="D8758" i="9"/>
  <c r="C8758" i="9"/>
  <c r="B8758" i="9"/>
  <c r="H8757" i="9"/>
  <c r="G8757" i="9"/>
  <c r="E8757" i="9"/>
  <c r="D8757" i="9"/>
  <c r="C8757" i="9"/>
  <c r="B8757" i="9"/>
  <c r="H8756" i="9"/>
  <c r="G8756" i="9"/>
  <c r="E8756" i="9"/>
  <c r="D8756" i="9"/>
  <c r="C8756" i="9"/>
  <c r="B8756" i="9"/>
  <c r="H8755" i="9"/>
  <c r="G8755" i="9"/>
  <c r="E8755" i="9"/>
  <c r="D8755" i="9"/>
  <c r="C8755" i="9"/>
  <c r="B8755" i="9"/>
  <c r="H8754" i="9"/>
  <c r="G8754" i="9"/>
  <c r="E8754" i="9"/>
  <c r="D8754" i="9"/>
  <c r="C8754" i="9"/>
  <c r="B8754" i="9"/>
  <c r="H8753" i="9"/>
  <c r="G8753" i="9"/>
  <c r="E8753" i="9"/>
  <c r="D8753" i="9"/>
  <c r="C8753" i="9"/>
  <c r="B8753" i="9"/>
  <c r="H8752" i="9"/>
  <c r="G8752" i="9"/>
  <c r="E8752" i="9"/>
  <c r="D8752" i="9"/>
  <c r="C8752" i="9"/>
  <c r="B8752" i="9"/>
  <c r="H8751" i="9"/>
  <c r="G8751" i="9"/>
  <c r="E8751" i="9"/>
  <c r="D8751" i="9"/>
  <c r="C8751" i="9"/>
  <c r="B8751" i="9"/>
  <c r="H8750" i="9"/>
  <c r="G8750" i="9"/>
  <c r="E8750" i="9"/>
  <c r="D8750" i="9"/>
  <c r="C8750" i="9"/>
  <c r="B8750" i="9"/>
  <c r="H8749" i="9"/>
  <c r="G8749" i="9"/>
  <c r="E8749" i="9"/>
  <c r="D8749" i="9"/>
  <c r="C8749" i="9"/>
  <c r="B8749" i="9"/>
  <c r="H8748" i="9"/>
  <c r="G8748" i="9"/>
  <c r="E8748" i="9"/>
  <c r="D8748" i="9"/>
  <c r="C8748" i="9"/>
  <c r="B8748" i="9"/>
  <c r="H8747" i="9"/>
  <c r="G8747" i="9"/>
  <c r="E8747" i="9"/>
  <c r="D8747" i="9"/>
  <c r="C8747" i="9"/>
  <c r="B8747" i="9"/>
  <c r="H8746" i="9"/>
  <c r="G8746" i="9"/>
  <c r="E8746" i="9"/>
  <c r="D8746" i="9"/>
  <c r="C8746" i="9"/>
  <c r="B8746" i="9"/>
  <c r="H8745" i="9"/>
  <c r="G8745" i="9"/>
  <c r="E8745" i="9"/>
  <c r="D8745" i="9"/>
  <c r="C8745" i="9"/>
  <c r="B8745" i="9"/>
  <c r="H8744" i="9"/>
  <c r="G8744" i="9"/>
  <c r="E8744" i="9"/>
  <c r="D8744" i="9"/>
  <c r="C8744" i="9"/>
  <c r="B8744" i="9"/>
  <c r="H8743" i="9"/>
  <c r="G8743" i="9"/>
  <c r="E8743" i="9"/>
  <c r="D8743" i="9"/>
  <c r="C8743" i="9"/>
  <c r="B8743" i="9"/>
  <c r="H8742" i="9"/>
  <c r="G8742" i="9"/>
  <c r="E8742" i="9"/>
  <c r="D8742" i="9"/>
  <c r="C8742" i="9"/>
  <c r="B8742" i="9"/>
  <c r="H8741" i="9"/>
  <c r="G8741" i="9"/>
  <c r="E8741" i="9"/>
  <c r="D8741" i="9"/>
  <c r="C8741" i="9"/>
  <c r="B8741" i="9"/>
  <c r="H8740" i="9"/>
  <c r="G8740" i="9"/>
  <c r="E8740" i="9"/>
  <c r="D8740" i="9"/>
  <c r="C8740" i="9"/>
  <c r="B8740" i="9"/>
  <c r="H8739" i="9"/>
  <c r="G8739" i="9"/>
  <c r="E8739" i="9"/>
  <c r="D8739" i="9"/>
  <c r="C8739" i="9"/>
  <c r="B8739" i="9"/>
  <c r="H8738" i="9"/>
  <c r="G8738" i="9"/>
  <c r="E8738" i="9"/>
  <c r="D8738" i="9"/>
  <c r="C8738" i="9"/>
  <c r="B8738" i="9"/>
  <c r="H8737" i="9"/>
  <c r="G8737" i="9"/>
  <c r="E8737" i="9"/>
  <c r="D8737" i="9"/>
  <c r="C8737" i="9"/>
  <c r="B8737" i="9"/>
  <c r="H8736" i="9"/>
  <c r="G8736" i="9"/>
  <c r="E8736" i="9"/>
  <c r="D8736" i="9"/>
  <c r="C8736" i="9"/>
  <c r="B8736" i="9"/>
  <c r="H8735" i="9"/>
  <c r="G8735" i="9"/>
  <c r="E8735" i="9"/>
  <c r="D8735" i="9"/>
  <c r="C8735" i="9"/>
  <c r="B8735" i="9"/>
  <c r="H8734" i="9"/>
  <c r="G8734" i="9"/>
  <c r="E8734" i="9"/>
  <c r="D8734" i="9"/>
  <c r="C8734" i="9"/>
  <c r="B8734" i="9"/>
  <c r="H8733" i="9"/>
  <c r="G8733" i="9"/>
  <c r="E8733" i="9"/>
  <c r="D8733" i="9"/>
  <c r="C8733" i="9"/>
  <c r="B8733" i="9"/>
  <c r="H8732" i="9"/>
  <c r="G8732" i="9"/>
  <c r="E8732" i="9"/>
  <c r="D8732" i="9"/>
  <c r="C8732" i="9"/>
  <c r="B8732" i="9"/>
  <c r="H8731" i="9"/>
  <c r="G8731" i="9"/>
  <c r="E8731" i="9"/>
  <c r="D8731" i="9"/>
  <c r="C8731" i="9"/>
  <c r="B8731" i="9"/>
  <c r="H8730" i="9"/>
  <c r="G8730" i="9"/>
  <c r="E8730" i="9"/>
  <c r="D8730" i="9"/>
  <c r="C8730" i="9"/>
  <c r="B8730" i="9"/>
  <c r="H8729" i="9"/>
  <c r="G8729" i="9"/>
  <c r="E8729" i="9"/>
  <c r="D8729" i="9"/>
  <c r="C8729" i="9"/>
  <c r="B8729" i="9"/>
  <c r="H8728" i="9"/>
  <c r="G8728" i="9"/>
  <c r="E8728" i="9"/>
  <c r="D8728" i="9"/>
  <c r="C8728" i="9"/>
  <c r="B8728" i="9"/>
  <c r="H8727" i="9"/>
  <c r="G8727" i="9"/>
  <c r="E8727" i="9"/>
  <c r="D8727" i="9"/>
  <c r="C8727" i="9"/>
  <c r="B8727" i="9"/>
  <c r="H8726" i="9"/>
  <c r="G8726" i="9"/>
  <c r="E8726" i="9"/>
  <c r="D8726" i="9"/>
  <c r="C8726" i="9"/>
  <c r="B8726" i="9"/>
  <c r="H8725" i="9"/>
  <c r="G8725" i="9"/>
  <c r="E8725" i="9"/>
  <c r="D8725" i="9"/>
  <c r="C8725" i="9"/>
  <c r="B8725" i="9"/>
  <c r="H8724" i="9"/>
  <c r="G8724" i="9"/>
  <c r="E8724" i="9"/>
  <c r="D8724" i="9"/>
  <c r="C8724" i="9"/>
  <c r="B8724" i="9"/>
  <c r="H8723" i="9"/>
  <c r="G8723" i="9"/>
  <c r="E8723" i="9"/>
  <c r="D8723" i="9"/>
  <c r="C8723" i="9"/>
  <c r="B8723" i="9"/>
  <c r="H8722" i="9"/>
  <c r="G8722" i="9"/>
  <c r="E8722" i="9"/>
  <c r="D8722" i="9"/>
  <c r="C8722" i="9"/>
  <c r="B8722" i="9"/>
  <c r="H8721" i="9"/>
  <c r="G8721" i="9"/>
  <c r="E8721" i="9"/>
  <c r="D8721" i="9"/>
  <c r="C8721" i="9"/>
  <c r="B8721" i="9"/>
  <c r="H8720" i="9"/>
  <c r="G8720" i="9"/>
  <c r="E8720" i="9"/>
  <c r="D8720" i="9"/>
  <c r="C8720" i="9"/>
  <c r="B8720" i="9"/>
  <c r="H8719" i="9"/>
  <c r="G8719" i="9"/>
  <c r="E8719" i="9"/>
  <c r="D8719" i="9"/>
  <c r="C8719" i="9"/>
  <c r="B8719" i="9"/>
  <c r="H8718" i="9"/>
  <c r="G8718" i="9"/>
  <c r="E8718" i="9"/>
  <c r="D8718" i="9"/>
  <c r="C8718" i="9"/>
  <c r="B8718" i="9"/>
  <c r="H8717" i="9"/>
  <c r="G8717" i="9"/>
  <c r="E8717" i="9"/>
  <c r="D8717" i="9"/>
  <c r="C8717" i="9"/>
  <c r="B8717" i="9"/>
  <c r="H8716" i="9"/>
  <c r="G8716" i="9"/>
  <c r="E8716" i="9"/>
  <c r="D8716" i="9"/>
  <c r="C8716" i="9"/>
  <c r="B8716" i="9"/>
  <c r="H8715" i="9"/>
  <c r="G8715" i="9"/>
  <c r="E8715" i="9"/>
  <c r="D8715" i="9"/>
  <c r="C8715" i="9"/>
  <c r="B8715" i="9"/>
  <c r="H8714" i="9"/>
  <c r="G8714" i="9"/>
  <c r="E8714" i="9"/>
  <c r="D8714" i="9"/>
  <c r="C8714" i="9"/>
  <c r="B8714" i="9"/>
  <c r="H8713" i="9"/>
  <c r="G8713" i="9"/>
  <c r="E8713" i="9"/>
  <c r="D8713" i="9"/>
  <c r="C8713" i="9"/>
  <c r="B8713" i="9"/>
  <c r="H8712" i="9"/>
  <c r="G8712" i="9"/>
  <c r="E8712" i="9"/>
  <c r="D8712" i="9"/>
  <c r="C8712" i="9"/>
  <c r="B8712" i="9"/>
  <c r="H8711" i="9"/>
  <c r="G8711" i="9"/>
  <c r="E8711" i="9"/>
  <c r="D8711" i="9"/>
  <c r="C8711" i="9"/>
  <c r="B8711" i="9"/>
  <c r="H8710" i="9"/>
  <c r="G8710" i="9"/>
  <c r="E8710" i="9"/>
  <c r="D8710" i="9"/>
  <c r="C8710" i="9"/>
  <c r="B8710" i="9"/>
  <c r="H8709" i="9"/>
  <c r="G8709" i="9"/>
  <c r="E8709" i="9"/>
  <c r="D8709" i="9"/>
  <c r="C8709" i="9"/>
  <c r="B8709" i="9"/>
  <c r="H8708" i="9"/>
  <c r="G8708" i="9"/>
  <c r="E8708" i="9"/>
  <c r="D8708" i="9"/>
  <c r="C8708" i="9"/>
  <c r="B8708" i="9"/>
  <c r="H8707" i="9"/>
  <c r="G8707" i="9"/>
  <c r="E8707" i="9"/>
  <c r="D8707" i="9"/>
  <c r="C8707" i="9"/>
  <c r="B8707" i="9"/>
  <c r="H8706" i="9"/>
  <c r="G8706" i="9"/>
  <c r="E8706" i="9"/>
  <c r="D8706" i="9"/>
  <c r="C8706" i="9"/>
  <c r="B8706" i="9"/>
  <c r="H8705" i="9"/>
  <c r="G8705" i="9"/>
  <c r="E8705" i="9"/>
  <c r="D8705" i="9"/>
  <c r="C8705" i="9"/>
  <c r="B8705" i="9"/>
  <c r="H8704" i="9"/>
  <c r="G8704" i="9"/>
  <c r="E8704" i="9"/>
  <c r="D8704" i="9"/>
  <c r="C8704" i="9"/>
  <c r="B8704" i="9"/>
  <c r="H8703" i="9"/>
  <c r="G8703" i="9"/>
  <c r="E8703" i="9"/>
  <c r="D8703" i="9"/>
  <c r="C8703" i="9"/>
  <c r="B8703" i="9"/>
  <c r="H8702" i="9"/>
  <c r="G8702" i="9"/>
  <c r="E8702" i="9"/>
  <c r="D8702" i="9"/>
  <c r="C8702" i="9"/>
  <c r="B8702" i="9"/>
  <c r="H8701" i="9"/>
  <c r="G8701" i="9"/>
  <c r="E8701" i="9"/>
  <c r="D8701" i="9"/>
  <c r="C8701" i="9"/>
  <c r="B8701" i="9"/>
  <c r="H8700" i="9"/>
  <c r="G8700" i="9"/>
  <c r="E8700" i="9"/>
  <c r="D8700" i="9"/>
  <c r="C8700" i="9"/>
  <c r="B8700" i="9"/>
  <c r="H8699" i="9"/>
  <c r="G8699" i="9"/>
  <c r="E8699" i="9"/>
  <c r="D8699" i="9"/>
  <c r="C8699" i="9"/>
  <c r="B8699" i="9"/>
  <c r="H8698" i="9"/>
  <c r="G8698" i="9"/>
  <c r="E8698" i="9"/>
  <c r="D8698" i="9"/>
  <c r="C8698" i="9"/>
  <c r="B8698" i="9"/>
  <c r="H8697" i="9"/>
  <c r="G8697" i="9"/>
  <c r="E8697" i="9"/>
  <c r="D8697" i="9"/>
  <c r="C8697" i="9"/>
  <c r="B8697" i="9"/>
  <c r="H8696" i="9"/>
  <c r="G8696" i="9"/>
  <c r="E8696" i="9"/>
  <c r="D8696" i="9"/>
  <c r="C8696" i="9"/>
  <c r="B8696" i="9"/>
  <c r="H8695" i="9"/>
  <c r="G8695" i="9"/>
  <c r="E8695" i="9"/>
  <c r="D8695" i="9"/>
  <c r="C8695" i="9"/>
  <c r="B8695" i="9"/>
  <c r="H8694" i="9"/>
  <c r="G8694" i="9"/>
  <c r="E8694" i="9"/>
  <c r="D8694" i="9"/>
  <c r="C8694" i="9"/>
  <c r="B8694" i="9"/>
  <c r="H8693" i="9"/>
  <c r="G8693" i="9"/>
  <c r="E8693" i="9"/>
  <c r="D8693" i="9"/>
  <c r="C8693" i="9"/>
  <c r="B8693" i="9"/>
  <c r="H8692" i="9"/>
  <c r="G8692" i="9"/>
  <c r="E8692" i="9"/>
  <c r="D8692" i="9"/>
  <c r="C8692" i="9"/>
  <c r="B8692" i="9"/>
  <c r="H8691" i="9"/>
  <c r="G8691" i="9"/>
  <c r="E8691" i="9"/>
  <c r="D8691" i="9"/>
  <c r="C8691" i="9"/>
  <c r="B8691" i="9"/>
  <c r="H8690" i="9"/>
  <c r="G8690" i="9"/>
  <c r="E8690" i="9"/>
  <c r="D8690" i="9"/>
  <c r="C8690" i="9"/>
  <c r="B8690" i="9"/>
  <c r="H8689" i="9"/>
  <c r="G8689" i="9"/>
  <c r="E8689" i="9"/>
  <c r="D8689" i="9"/>
  <c r="C8689" i="9"/>
  <c r="B8689" i="9"/>
  <c r="H8688" i="9"/>
  <c r="G8688" i="9"/>
  <c r="E8688" i="9"/>
  <c r="D8688" i="9"/>
  <c r="C8688" i="9"/>
  <c r="B8688" i="9"/>
  <c r="H8687" i="9"/>
  <c r="G8687" i="9"/>
  <c r="E8687" i="9"/>
  <c r="D8687" i="9"/>
  <c r="C8687" i="9"/>
  <c r="B8687" i="9"/>
  <c r="H8686" i="9"/>
  <c r="G8686" i="9"/>
  <c r="E8686" i="9"/>
  <c r="D8686" i="9"/>
  <c r="C8686" i="9"/>
  <c r="B8686" i="9"/>
  <c r="H8685" i="9"/>
  <c r="G8685" i="9"/>
  <c r="E8685" i="9"/>
  <c r="D8685" i="9"/>
  <c r="C8685" i="9"/>
  <c r="B8685" i="9"/>
  <c r="H8684" i="9"/>
  <c r="G8684" i="9"/>
  <c r="E8684" i="9"/>
  <c r="D8684" i="9"/>
  <c r="C8684" i="9"/>
  <c r="B8684" i="9"/>
  <c r="H8683" i="9"/>
  <c r="G8683" i="9"/>
  <c r="E8683" i="9"/>
  <c r="D8683" i="9"/>
  <c r="C8683" i="9"/>
  <c r="B8683" i="9"/>
  <c r="H8682" i="9"/>
  <c r="G8682" i="9"/>
  <c r="E8682" i="9"/>
  <c r="D8682" i="9"/>
  <c r="C8682" i="9"/>
  <c r="B8682" i="9"/>
  <c r="H8681" i="9"/>
  <c r="G8681" i="9"/>
  <c r="E8681" i="9"/>
  <c r="D8681" i="9"/>
  <c r="C8681" i="9"/>
  <c r="B8681" i="9"/>
  <c r="H8680" i="9"/>
  <c r="G8680" i="9"/>
  <c r="E8680" i="9"/>
  <c r="D8680" i="9"/>
  <c r="C8680" i="9"/>
  <c r="B8680" i="9"/>
  <c r="H8679" i="9"/>
  <c r="G8679" i="9"/>
  <c r="E8679" i="9"/>
  <c r="D8679" i="9"/>
  <c r="C8679" i="9"/>
  <c r="B8679" i="9"/>
  <c r="H8678" i="9"/>
  <c r="G8678" i="9"/>
  <c r="E8678" i="9"/>
  <c r="D8678" i="9"/>
  <c r="C8678" i="9"/>
  <c r="B8678" i="9"/>
  <c r="H8677" i="9"/>
  <c r="G8677" i="9"/>
  <c r="E8677" i="9"/>
  <c r="D8677" i="9"/>
  <c r="C8677" i="9"/>
  <c r="B8677" i="9"/>
  <c r="H8676" i="9"/>
  <c r="G8676" i="9"/>
  <c r="E8676" i="9"/>
  <c r="D8676" i="9"/>
  <c r="C8676" i="9"/>
  <c r="B8676" i="9"/>
  <c r="H8675" i="9"/>
  <c r="G8675" i="9"/>
  <c r="E8675" i="9"/>
  <c r="D8675" i="9"/>
  <c r="C8675" i="9"/>
  <c r="B8675" i="9"/>
  <c r="H8674" i="9"/>
  <c r="G8674" i="9"/>
  <c r="E8674" i="9"/>
  <c r="D8674" i="9"/>
  <c r="C8674" i="9"/>
  <c r="B8674" i="9"/>
  <c r="H8673" i="9"/>
  <c r="G8673" i="9"/>
  <c r="E8673" i="9"/>
  <c r="D8673" i="9"/>
  <c r="C8673" i="9"/>
  <c r="B8673" i="9"/>
  <c r="H8672" i="9"/>
  <c r="G8672" i="9"/>
  <c r="E8672" i="9"/>
  <c r="D8672" i="9"/>
  <c r="C8672" i="9"/>
  <c r="B8672" i="9"/>
  <c r="H8671" i="9"/>
  <c r="G8671" i="9"/>
  <c r="E8671" i="9"/>
  <c r="D8671" i="9"/>
  <c r="C8671" i="9"/>
  <c r="B8671" i="9"/>
  <c r="H8670" i="9"/>
  <c r="G8670" i="9"/>
  <c r="E8670" i="9"/>
  <c r="D8670" i="9"/>
  <c r="C8670" i="9"/>
  <c r="B8670" i="9"/>
  <c r="H8669" i="9"/>
  <c r="G8669" i="9"/>
  <c r="E8669" i="9"/>
  <c r="D8669" i="9"/>
  <c r="C8669" i="9"/>
  <c r="B8669" i="9"/>
  <c r="H8668" i="9"/>
  <c r="G8668" i="9"/>
  <c r="E8668" i="9"/>
  <c r="D8668" i="9"/>
  <c r="C8668" i="9"/>
  <c r="B8668" i="9"/>
  <c r="H8667" i="9"/>
  <c r="G8667" i="9"/>
  <c r="E8667" i="9"/>
  <c r="D8667" i="9"/>
  <c r="C8667" i="9"/>
  <c r="B8667" i="9"/>
  <c r="H8666" i="9"/>
  <c r="G8666" i="9"/>
  <c r="E8666" i="9"/>
  <c r="D8666" i="9"/>
  <c r="C8666" i="9"/>
  <c r="B8666" i="9"/>
  <c r="H8665" i="9"/>
  <c r="G8665" i="9"/>
  <c r="E8665" i="9"/>
  <c r="D8665" i="9"/>
  <c r="C8665" i="9"/>
  <c r="B8665" i="9"/>
  <c r="H8664" i="9"/>
  <c r="G8664" i="9"/>
  <c r="E8664" i="9"/>
  <c r="D8664" i="9"/>
  <c r="C8664" i="9"/>
  <c r="B8664" i="9"/>
  <c r="H8663" i="9"/>
  <c r="G8663" i="9"/>
  <c r="E8663" i="9"/>
  <c r="D8663" i="9"/>
  <c r="C8663" i="9"/>
  <c r="B8663" i="9"/>
  <c r="H8662" i="9"/>
  <c r="G8662" i="9"/>
  <c r="E8662" i="9"/>
  <c r="D8662" i="9"/>
  <c r="C8662" i="9"/>
  <c r="B8662" i="9"/>
  <c r="H8661" i="9"/>
  <c r="G8661" i="9"/>
  <c r="E8661" i="9"/>
  <c r="D8661" i="9"/>
  <c r="C8661" i="9"/>
  <c r="B8661" i="9"/>
  <c r="H8660" i="9"/>
  <c r="G8660" i="9"/>
  <c r="E8660" i="9"/>
  <c r="D8660" i="9"/>
  <c r="C8660" i="9"/>
  <c r="B8660" i="9"/>
  <c r="H8659" i="9"/>
  <c r="G8659" i="9"/>
  <c r="E8659" i="9"/>
  <c r="D8659" i="9"/>
  <c r="C8659" i="9"/>
  <c r="B8659" i="9"/>
  <c r="H8658" i="9"/>
  <c r="G8658" i="9"/>
  <c r="E8658" i="9"/>
  <c r="D8658" i="9"/>
  <c r="C8658" i="9"/>
  <c r="B8658" i="9"/>
  <c r="H8657" i="9"/>
  <c r="G8657" i="9"/>
  <c r="E8657" i="9"/>
  <c r="D8657" i="9"/>
  <c r="C8657" i="9"/>
  <c r="B8657" i="9"/>
  <c r="H8656" i="9"/>
  <c r="G8656" i="9"/>
  <c r="E8656" i="9"/>
  <c r="D8656" i="9"/>
  <c r="C8656" i="9"/>
  <c r="B8656" i="9"/>
  <c r="H8655" i="9"/>
  <c r="G8655" i="9"/>
  <c r="E8655" i="9"/>
  <c r="D8655" i="9"/>
  <c r="C8655" i="9"/>
  <c r="B8655" i="9"/>
  <c r="H8654" i="9"/>
  <c r="G8654" i="9"/>
  <c r="E8654" i="9"/>
  <c r="D8654" i="9"/>
  <c r="C8654" i="9"/>
  <c r="B8654" i="9"/>
  <c r="H8653" i="9"/>
  <c r="G8653" i="9"/>
  <c r="E8653" i="9"/>
  <c r="D8653" i="9"/>
  <c r="C8653" i="9"/>
  <c r="B8653" i="9"/>
  <c r="H8652" i="9"/>
  <c r="G8652" i="9"/>
  <c r="E8652" i="9"/>
  <c r="D8652" i="9"/>
  <c r="C8652" i="9"/>
  <c r="B8652" i="9"/>
  <c r="H8651" i="9"/>
  <c r="G8651" i="9"/>
  <c r="E8651" i="9"/>
  <c r="D8651" i="9"/>
  <c r="C8651" i="9"/>
  <c r="B8651" i="9"/>
  <c r="H8650" i="9"/>
  <c r="G8650" i="9"/>
  <c r="E8650" i="9"/>
  <c r="D8650" i="9"/>
  <c r="C8650" i="9"/>
  <c r="B8650" i="9"/>
  <c r="H8649" i="9"/>
  <c r="G8649" i="9"/>
  <c r="E8649" i="9"/>
  <c r="D8649" i="9"/>
  <c r="C8649" i="9"/>
  <c r="B8649" i="9"/>
  <c r="H8648" i="9"/>
  <c r="G8648" i="9"/>
  <c r="E8648" i="9"/>
  <c r="D8648" i="9"/>
  <c r="C8648" i="9"/>
  <c r="B8648" i="9"/>
  <c r="H8647" i="9"/>
  <c r="G8647" i="9"/>
  <c r="E8647" i="9"/>
  <c r="D8647" i="9"/>
  <c r="C8647" i="9"/>
  <c r="B8647" i="9"/>
  <c r="H8646" i="9"/>
  <c r="G8646" i="9"/>
  <c r="E8646" i="9"/>
  <c r="D8646" i="9"/>
  <c r="C8646" i="9"/>
  <c r="B8646" i="9"/>
  <c r="H8645" i="9"/>
  <c r="G8645" i="9"/>
  <c r="E8645" i="9"/>
  <c r="D8645" i="9"/>
  <c r="C8645" i="9"/>
  <c r="B8645" i="9"/>
  <c r="H8644" i="9"/>
  <c r="G8644" i="9"/>
  <c r="E8644" i="9"/>
  <c r="D8644" i="9"/>
  <c r="C8644" i="9"/>
  <c r="B8644" i="9"/>
  <c r="H8643" i="9"/>
  <c r="G8643" i="9"/>
  <c r="E8643" i="9"/>
  <c r="D8643" i="9"/>
  <c r="C8643" i="9"/>
  <c r="B8643" i="9"/>
  <c r="H8642" i="9"/>
  <c r="G8642" i="9"/>
  <c r="E8642" i="9"/>
  <c r="D8642" i="9"/>
  <c r="C8642" i="9"/>
  <c r="B8642" i="9"/>
  <c r="H8641" i="9"/>
  <c r="G8641" i="9"/>
  <c r="E8641" i="9"/>
  <c r="D8641" i="9"/>
  <c r="C8641" i="9"/>
  <c r="B8641" i="9"/>
  <c r="H8640" i="9"/>
  <c r="G8640" i="9"/>
  <c r="E8640" i="9"/>
  <c r="D8640" i="9"/>
  <c r="C8640" i="9"/>
  <c r="B8640" i="9"/>
  <c r="H8639" i="9"/>
  <c r="G8639" i="9"/>
  <c r="E8639" i="9"/>
  <c r="D8639" i="9"/>
  <c r="C8639" i="9"/>
  <c r="B8639" i="9"/>
  <c r="H8638" i="9"/>
  <c r="G8638" i="9"/>
  <c r="E8638" i="9"/>
  <c r="D8638" i="9"/>
  <c r="C8638" i="9"/>
  <c r="B8638" i="9"/>
  <c r="H8637" i="9"/>
  <c r="G8637" i="9"/>
  <c r="E8637" i="9"/>
  <c r="D8637" i="9"/>
  <c r="C8637" i="9"/>
  <c r="B8637" i="9"/>
  <c r="H8636" i="9"/>
  <c r="G8636" i="9"/>
  <c r="E8636" i="9"/>
  <c r="D8636" i="9"/>
  <c r="C8636" i="9"/>
  <c r="B8636" i="9"/>
  <c r="H8635" i="9"/>
  <c r="G8635" i="9"/>
  <c r="E8635" i="9"/>
  <c r="D8635" i="9"/>
  <c r="C8635" i="9"/>
  <c r="B8635" i="9"/>
  <c r="H8634" i="9"/>
  <c r="G8634" i="9"/>
  <c r="E8634" i="9"/>
  <c r="D8634" i="9"/>
  <c r="C8634" i="9"/>
  <c r="B8634" i="9"/>
  <c r="H8633" i="9"/>
  <c r="G8633" i="9"/>
  <c r="E8633" i="9"/>
  <c r="D8633" i="9"/>
  <c r="C8633" i="9"/>
  <c r="B8633" i="9"/>
  <c r="H8632" i="9"/>
  <c r="G8632" i="9"/>
  <c r="E8632" i="9"/>
  <c r="D8632" i="9"/>
  <c r="C8632" i="9"/>
  <c r="B8632" i="9"/>
  <c r="H8631" i="9"/>
  <c r="G8631" i="9"/>
  <c r="E8631" i="9"/>
  <c r="D8631" i="9"/>
  <c r="C8631" i="9"/>
  <c r="B8631" i="9"/>
  <c r="H8630" i="9"/>
  <c r="G8630" i="9"/>
  <c r="E8630" i="9"/>
  <c r="D8630" i="9"/>
  <c r="C8630" i="9"/>
  <c r="B8630" i="9"/>
  <c r="H8629" i="9"/>
  <c r="G8629" i="9"/>
  <c r="E8629" i="9"/>
  <c r="D8629" i="9"/>
  <c r="C8629" i="9"/>
  <c r="B8629" i="9"/>
  <c r="H8628" i="9"/>
  <c r="G8628" i="9"/>
  <c r="E8628" i="9"/>
  <c r="D8628" i="9"/>
  <c r="C8628" i="9"/>
  <c r="B8628" i="9"/>
  <c r="H8627" i="9"/>
  <c r="G8627" i="9"/>
  <c r="E8627" i="9"/>
  <c r="D8627" i="9"/>
  <c r="C8627" i="9"/>
  <c r="B8627" i="9"/>
  <c r="H8626" i="9"/>
  <c r="G8626" i="9"/>
  <c r="E8626" i="9"/>
  <c r="D8626" i="9"/>
  <c r="C8626" i="9"/>
  <c r="B8626" i="9"/>
  <c r="H8625" i="9"/>
  <c r="G8625" i="9"/>
  <c r="E8625" i="9"/>
  <c r="D8625" i="9"/>
  <c r="C8625" i="9"/>
  <c r="B8625" i="9"/>
  <c r="H8624" i="9"/>
  <c r="G8624" i="9"/>
  <c r="E8624" i="9"/>
  <c r="D8624" i="9"/>
  <c r="C8624" i="9"/>
  <c r="B8624" i="9"/>
  <c r="H8623" i="9"/>
  <c r="G8623" i="9"/>
  <c r="E8623" i="9"/>
  <c r="D8623" i="9"/>
  <c r="C8623" i="9"/>
  <c r="B8623" i="9"/>
  <c r="H8622" i="9"/>
  <c r="G8622" i="9"/>
  <c r="E8622" i="9"/>
  <c r="D8622" i="9"/>
  <c r="C8622" i="9"/>
  <c r="B8622" i="9"/>
  <c r="H8621" i="9"/>
  <c r="G8621" i="9"/>
  <c r="E8621" i="9"/>
  <c r="D8621" i="9"/>
  <c r="C8621" i="9"/>
  <c r="B8621" i="9"/>
  <c r="H8620" i="9"/>
  <c r="G8620" i="9"/>
  <c r="E8620" i="9"/>
  <c r="D8620" i="9"/>
  <c r="C8620" i="9"/>
  <c r="B8620" i="9"/>
  <c r="H8619" i="9"/>
  <c r="G8619" i="9"/>
  <c r="E8619" i="9"/>
  <c r="D8619" i="9"/>
  <c r="C8619" i="9"/>
  <c r="B8619" i="9"/>
  <c r="H8618" i="9"/>
  <c r="G8618" i="9"/>
  <c r="E8618" i="9"/>
  <c r="D8618" i="9"/>
  <c r="C8618" i="9"/>
  <c r="B8618" i="9"/>
  <c r="H8617" i="9"/>
  <c r="G8617" i="9"/>
  <c r="E8617" i="9"/>
  <c r="D8617" i="9"/>
  <c r="C8617" i="9"/>
  <c r="B8617" i="9"/>
  <c r="H8616" i="9"/>
  <c r="G8616" i="9"/>
  <c r="E8616" i="9"/>
  <c r="D8616" i="9"/>
  <c r="C8616" i="9"/>
  <c r="B8616" i="9"/>
  <c r="H8615" i="9"/>
  <c r="G8615" i="9"/>
  <c r="E8615" i="9"/>
  <c r="D8615" i="9"/>
  <c r="C8615" i="9"/>
  <c r="B8615" i="9"/>
  <c r="H8614" i="9"/>
  <c r="G8614" i="9"/>
  <c r="E8614" i="9"/>
  <c r="D8614" i="9"/>
  <c r="C8614" i="9"/>
  <c r="B8614" i="9"/>
  <c r="H8613" i="9"/>
  <c r="G8613" i="9"/>
  <c r="E8613" i="9"/>
  <c r="D8613" i="9"/>
  <c r="C8613" i="9"/>
  <c r="B8613" i="9"/>
  <c r="H8612" i="9"/>
  <c r="G8612" i="9"/>
  <c r="E8612" i="9"/>
  <c r="D8612" i="9"/>
  <c r="C8612" i="9"/>
  <c r="B8612" i="9"/>
  <c r="H8611" i="9"/>
  <c r="G8611" i="9"/>
  <c r="E8611" i="9"/>
  <c r="D8611" i="9"/>
  <c r="C8611" i="9"/>
  <c r="B8611" i="9"/>
  <c r="H8610" i="9"/>
  <c r="G8610" i="9"/>
  <c r="E8610" i="9"/>
  <c r="D8610" i="9"/>
  <c r="C8610" i="9"/>
  <c r="B8610" i="9"/>
  <c r="H8609" i="9"/>
  <c r="G8609" i="9"/>
  <c r="E8609" i="9"/>
  <c r="D8609" i="9"/>
  <c r="C8609" i="9"/>
  <c r="B8609" i="9"/>
  <c r="H8608" i="9"/>
  <c r="G8608" i="9"/>
  <c r="E8608" i="9"/>
  <c r="D8608" i="9"/>
  <c r="C8608" i="9"/>
  <c r="B8608" i="9"/>
  <c r="H8607" i="9"/>
  <c r="G8607" i="9"/>
  <c r="E8607" i="9"/>
  <c r="D8607" i="9"/>
  <c r="C8607" i="9"/>
  <c r="B8607" i="9"/>
  <c r="H8606" i="9"/>
  <c r="G8606" i="9"/>
  <c r="E8606" i="9"/>
  <c r="D8606" i="9"/>
  <c r="C8606" i="9"/>
  <c r="B8606" i="9"/>
  <c r="H8605" i="9"/>
  <c r="G8605" i="9"/>
  <c r="E8605" i="9"/>
  <c r="D8605" i="9"/>
  <c r="C8605" i="9"/>
  <c r="B8605" i="9"/>
  <c r="H8604" i="9"/>
  <c r="G8604" i="9"/>
  <c r="E8604" i="9"/>
  <c r="D8604" i="9"/>
  <c r="C8604" i="9"/>
  <c r="B8604" i="9"/>
  <c r="H8603" i="9"/>
  <c r="G8603" i="9"/>
  <c r="E8603" i="9"/>
  <c r="D8603" i="9"/>
  <c r="C8603" i="9"/>
  <c r="B8603" i="9"/>
  <c r="H8602" i="9"/>
  <c r="G8602" i="9"/>
  <c r="E8602" i="9"/>
  <c r="D8602" i="9"/>
  <c r="C8602" i="9"/>
  <c r="B8602" i="9"/>
  <c r="H8601" i="9"/>
  <c r="G8601" i="9"/>
  <c r="E8601" i="9"/>
  <c r="D8601" i="9"/>
  <c r="C8601" i="9"/>
  <c r="B8601" i="9"/>
  <c r="H8600" i="9"/>
  <c r="G8600" i="9"/>
  <c r="E8600" i="9"/>
  <c r="D8600" i="9"/>
  <c r="C8600" i="9"/>
  <c r="B8600" i="9"/>
  <c r="H8599" i="9"/>
  <c r="G8599" i="9"/>
  <c r="E8599" i="9"/>
  <c r="D8599" i="9"/>
  <c r="C8599" i="9"/>
  <c r="B8599" i="9"/>
  <c r="H8598" i="9"/>
  <c r="G8598" i="9"/>
  <c r="E8598" i="9"/>
  <c r="D8598" i="9"/>
  <c r="C8598" i="9"/>
  <c r="B8598" i="9"/>
  <c r="H8597" i="9"/>
  <c r="G8597" i="9"/>
  <c r="E8597" i="9"/>
  <c r="D8597" i="9"/>
  <c r="C8597" i="9"/>
  <c r="B8597" i="9"/>
  <c r="H8596" i="9"/>
  <c r="G8596" i="9"/>
  <c r="E8596" i="9"/>
  <c r="D8596" i="9"/>
  <c r="C8596" i="9"/>
  <c r="B8596" i="9"/>
  <c r="H8595" i="9"/>
  <c r="G8595" i="9"/>
  <c r="E8595" i="9"/>
  <c r="D8595" i="9"/>
  <c r="C8595" i="9"/>
  <c r="B8595" i="9"/>
  <c r="H8594" i="9"/>
  <c r="G8594" i="9"/>
  <c r="E8594" i="9"/>
  <c r="D8594" i="9"/>
  <c r="C8594" i="9"/>
  <c r="B8594" i="9"/>
  <c r="H8593" i="9"/>
  <c r="G8593" i="9"/>
  <c r="E8593" i="9"/>
  <c r="D8593" i="9"/>
  <c r="C8593" i="9"/>
  <c r="B8593" i="9"/>
  <c r="H8592" i="9"/>
  <c r="G8592" i="9"/>
  <c r="E8592" i="9"/>
  <c r="D8592" i="9"/>
  <c r="C8592" i="9"/>
  <c r="B8592" i="9"/>
  <c r="H8591" i="9"/>
  <c r="G8591" i="9"/>
  <c r="E8591" i="9"/>
  <c r="D8591" i="9"/>
  <c r="C8591" i="9"/>
  <c r="B8591" i="9"/>
  <c r="H8590" i="9"/>
  <c r="G8590" i="9"/>
  <c r="E8590" i="9"/>
  <c r="D8590" i="9"/>
  <c r="C8590" i="9"/>
  <c r="B8590" i="9"/>
  <c r="H8589" i="9"/>
  <c r="G8589" i="9"/>
  <c r="E8589" i="9"/>
  <c r="D8589" i="9"/>
  <c r="C8589" i="9"/>
  <c r="B8589" i="9"/>
  <c r="H8588" i="9"/>
  <c r="G8588" i="9"/>
  <c r="E8588" i="9"/>
  <c r="D8588" i="9"/>
  <c r="C8588" i="9"/>
  <c r="B8588" i="9"/>
  <c r="H8587" i="9"/>
  <c r="G8587" i="9"/>
  <c r="E8587" i="9"/>
  <c r="D8587" i="9"/>
  <c r="C8587" i="9"/>
  <c r="B8587" i="9"/>
  <c r="H8586" i="9"/>
  <c r="G8586" i="9"/>
  <c r="E8586" i="9"/>
  <c r="D8586" i="9"/>
  <c r="C8586" i="9"/>
  <c r="B8586" i="9"/>
  <c r="H8585" i="9"/>
  <c r="G8585" i="9"/>
  <c r="E8585" i="9"/>
  <c r="D8585" i="9"/>
  <c r="C8585" i="9"/>
  <c r="B8585" i="9"/>
  <c r="H8584" i="9"/>
  <c r="G8584" i="9"/>
  <c r="E8584" i="9"/>
  <c r="D8584" i="9"/>
  <c r="C8584" i="9"/>
  <c r="B8584" i="9"/>
  <c r="H8583" i="9"/>
  <c r="G8583" i="9"/>
  <c r="E8583" i="9"/>
  <c r="D8583" i="9"/>
  <c r="C8583" i="9"/>
  <c r="B8583" i="9"/>
  <c r="H8582" i="9"/>
  <c r="G8582" i="9"/>
  <c r="E8582" i="9"/>
  <c r="D8582" i="9"/>
  <c r="C8582" i="9"/>
  <c r="B8582" i="9"/>
  <c r="H8581" i="9"/>
  <c r="G8581" i="9"/>
  <c r="E8581" i="9"/>
  <c r="D8581" i="9"/>
  <c r="C8581" i="9"/>
  <c r="B8581" i="9"/>
  <c r="H8580" i="9"/>
  <c r="G8580" i="9"/>
  <c r="E8580" i="9"/>
  <c r="D8580" i="9"/>
  <c r="C8580" i="9"/>
  <c r="B8580" i="9"/>
  <c r="H8579" i="9"/>
  <c r="G8579" i="9"/>
  <c r="E8579" i="9"/>
  <c r="D8579" i="9"/>
  <c r="C8579" i="9"/>
  <c r="B8579" i="9"/>
  <c r="H8578" i="9"/>
  <c r="G8578" i="9"/>
  <c r="E8578" i="9"/>
  <c r="D8578" i="9"/>
  <c r="C8578" i="9"/>
  <c r="B8578" i="9"/>
  <c r="H8577" i="9"/>
  <c r="G8577" i="9"/>
  <c r="E8577" i="9"/>
  <c r="D8577" i="9"/>
  <c r="C8577" i="9"/>
  <c r="B8577" i="9"/>
  <c r="H8576" i="9"/>
  <c r="G8576" i="9"/>
  <c r="E8576" i="9"/>
  <c r="D8576" i="9"/>
  <c r="C8576" i="9"/>
  <c r="B8576" i="9"/>
  <c r="H8575" i="9"/>
  <c r="G8575" i="9"/>
  <c r="E8575" i="9"/>
  <c r="D8575" i="9"/>
  <c r="C8575" i="9"/>
  <c r="B8575" i="9"/>
  <c r="H8574" i="9"/>
  <c r="G8574" i="9"/>
  <c r="E8574" i="9"/>
  <c r="D8574" i="9"/>
  <c r="C8574" i="9"/>
  <c r="B8574" i="9"/>
  <c r="H8573" i="9"/>
  <c r="G8573" i="9"/>
  <c r="E8573" i="9"/>
  <c r="D8573" i="9"/>
  <c r="C8573" i="9"/>
  <c r="B8573" i="9"/>
  <c r="H8572" i="9"/>
  <c r="G8572" i="9"/>
  <c r="E8572" i="9"/>
  <c r="D8572" i="9"/>
  <c r="C8572" i="9"/>
  <c r="B8572" i="9"/>
  <c r="H8571" i="9"/>
  <c r="G8571" i="9"/>
  <c r="E8571" i="9"/>
  <c r="D8571" i="9"/>
  <c r="C8571" i="9"/>
  <c r="B8571" i="9"/>
  <c r="H8570" i="9"/>
  <c r="G8570" i="9"/>
  <c r="E8570" i="9"/>
  <c r="D8570" i="9"/>
  <c r="C8570" i="9"/>
  <c r="B8570" i="9"/>
  <c r="H8569" i="9"/>
  <c r="G8569" i="9"/>
  <c r="E8569" i="9"/>
  <c r="D8569" i="9"/>
  <c r="C8569" i="9"/>
  <c r="B8569" i="9"/>
  <c r="H8568" i="9"/>
  <c r="G8568" i="9"/>
  <c r="E8568" i="9"/>
  <c r="D8568" i="9"/>
  <c r="C8568" i="9"/>
  <c r="B8568" i="9"/>
  <c r="H8567" i="9"/>
  <c r="G8567" i="9"/>
  <c r="E8567" i="9"/>
  <c r="D8567" i="9"/>
  <c r="C8567" i="9"/>
  <c r="B8567" i="9"/>
  <c r="H8566" i="9"/>
  <c r="G8566" i="9"/>
  <c r="E8566" i="9"/>
  <c r="D8566" i="9"/>
  <c r="C8566" i="9"/>
  <c r="B8566" i="9"/>
  <c r="H8565" i="9"/>
  <c r="G8565" i="9"/>
  <c r="E8565" i="9"/>
  <c r="D8565" i="9"/>
  <c r="C8565" i="9"/>
  <c r="B8565" i="9"/>
  <c r="H8564" i="9"/>
  <c r="G8564" i="9"/>
  <c r="E8564" i="9"/>
  <c r="D8564" i="9"/>
  <c r="C8564" i="9"/>
  <c r="B8564" i="9"/>
  <c r="H8563" i="9"/>
  <c r="G8563" i="9"/>
  <c r="E8563" i="9"/>
  <c r="D8563" i="9"/>
  <c r="C8563" i="9"/>
  <c r="B8563" i="9"/>
  <c r="H8562" i="9"/>
  <c r="G8562" i="9"/>
  <c r="E8562" i="9"/>
  <c r="D8562" i="9"/>
  <c r="C8562" i="9"/>
  <c r="B8562" i="9"/>
  <c r="H8561" i="9"/>
  <c r="G8561" i="9"/>
  <c r="E8561" i="9"/>
  <c r="D8561" i="9"/>
  <c r="C8561" i="9"/>
  <c r="B8561" i="9"/>
  <c r="H8560" i="9"/>
  <c r="G8560" i="9"/>
  <c r="E8560" i="9"/>
  <c r="D8560" i="9"/>
  <c r="C8560" i="9"/>
  <c r="B8560" i="9"/>
  <c r="H8559" i="9"/>
  <c r="G8559" i="9"/>
  <c r="E8559" i="9"/>
  <c r="D8559" i="9"/>
  <c r="C8559" i="9"/>
  <c r="B8559" i="9"/>
  <c r="H8558" i="9"/>
  <c r="G8558" i="9"/>
  <c r="E8558" i="9"/>
  <c r="D8558" i="9"/>
  <c r="C8558" i="9"/>
  <c r="B8558" i="9"/>
  <c r="H8557" i="9"/>
  <c r="G8557" i="9"/>
  <c r="E8557" i="9"/>
  <c r="D8557" i="9"/>
  <c r="C8557" i="9"/>
  <c r="B8557" i="9"/>
  <c r="H8556" i="9"/>
  <c r="G8556" i="9"/>
  <c r="E8556" i="9"/>
  <c r="D8556" i="9"/>
  <c r="C8556" i="9"/>
  <c r="B8556" i="9"/>
  <c r="H8555" i="9"/>
  <c r="G8555" i="9"/>
  <c r="E8555" i="9"/>
  <c r="D8555" i="9"/>
  <c r="C8555" i="9"/>
  <c r="B8555" i="9"/>
  <c r="H8554" i="9"/>
  <c r="G8554" i="9"/>
  <c r="E8554" i="9"/>
  <c r="D8554" i="9"/>
  <c r="C8554" i="9"/>
  <c r="B8554" i="9"/>
  <c r="H8553" i="9"/>
  <c r="G8553" i="9"/>
  <c r="E8553" i="9"/>
  <c r="D8553" i="9"/>
  <c r="C8553" i="9"/>
  <c r="B8553" i="9"/>
  <c r="H8552" i="9"/>
  <c r="G8552" i="9"/>
  <c r="E8552" i="9"/>
  <c r="D8552" i="9"/>
  <c r="C8552" i="9"/>
  <c r="B8552" i="9"/>
  <c r="H8551" i="9"/>
  <c r="G8551" i="9"/>
  <c r="E8551" i="9"/>
  <c r="D8551" i="9"/>
  <c r="C8551" i="9"/>
  <c r="B8551" i="9"/>
  <c r="H8550" i="9"/>
  <c r="G8550" i="9"/>
  <c r="E8550" i="9"/>
  <c r="D8550" i="9"/>
  <c r="C8550" i="9"/>
  <c r="B8550" i="9"/>
  <c r="H8549" i="9"/>
  <c r="G8549" i="9"/>
  <c r="E8549" i="9"/>
  <c r="D8549" i="9"/>
  <c r="C8549" i="9"/>
  <c r="B8549" i="9"/>
  <c r="H8548" i="9"/>
  <c r="G8548" i="9"/>
  <c r="E8548" i="9"/>
  <c r="D8548" i="9"/>
  <c r="C8548" i="9"/>
  <c r="B8548" i="9"/>
  <c r="H8547" i="9"/>
  <c r="G8547" i="9"/>
  <c r="E8547" i="9"/>
  <c r="D8547" i="9"/>
  <c r="C8547" i="9"/>
  <c r="B8547" i="9"/>
  <c r="H8546" i="9"/>
  <c r="G8546" i="9"/>
  <c r="E8546" i="9"/>
  <c r="D8546" i="9"/>
  <c r="C8546" i="9"/>
  <c r="B8546" i="9"/>
  <c r="H8545" i="9"/>
  <c r="G8545" i="9"/>
  <c r="E8545" i="9"/>
  <c r="D8545" i="9"/>
  <c r="C8545" i="9"/>
  <c r="B8545" i="9"/>
  <c r="H8544" i="9"/>
  <c r="G8544" i="9"/>
  <c r="E8544" i="9"/>
  <c r="D8544" i="9"/>
  <c r="C8544" i="9"/>
  <c r="B8544" i="9"/>
  <c r="H8543" i="9"/>
  <c r="G8543" i="9"/>
  <c r="E8543" i="9"/>
  <c r="D8543" i="9"/>
  <c r="C8543" i="9"/>
  <c r="B8543" i="9"/>
  <c r="H8542" i="9"/>
  <c r="G8542" i="9"/>
  <c r="E8542" i="9"/>
  <c r="D8542" i="9"/>
  <c r="C8542" i="9"/>
  <c r="B8542" i="9"/>
  <c r="H8541" i="9"/>
  <c r="G8541" i="9"/>
  <c r="E8541" i="9"/>
  <c r="D8541" i="9"/>
  <c r="C8541" i="9"/>
  <c r="B8541" i="9"/>
  <c r="H8540" i="9"/>
  <c r="G8540" i="9"/>
  <c r="E8540" i="9"/>
  <c r="D8540" i="9"/>
  <c r="C8540" i="9"/>
  <c r="B8540" i="9"/>
  <c r="H8539" i="9"/>
  <c r="G8539" i="9"/>
  <c r="E8539" i="9"/>
  <c r="D8539" i="9"/>
  <c r="C8539" i="9"/>
  <c r="B8539" i="9"/>
  <c r="H8538" i="9"/>
  <c r="G8538" i="9"/>
  <c r="E8538" i="9"/>
  <c r="D8538" i="9"/>
  <c r="C8538" i="9"/>
  <c r="B8538" i="9"/>
  <c r="H8537" i="9"/>
  <c r="G8537" i="9"/>
  <c r="E8537" i="9"/>
  <c r="D8537" i="9"/>
  <c r="C8537" i="9"/>
  <c r="B8537" i="9"/>
  <c r="H8536" i="9"/>
  <c r="G8536" i="9"/>
  <c r="E8536" i="9"/>
  <c r="D8536" i="9"/>
  <c r="C8536" i="9"/>
  <c r="B8536" i="9"/>
  <c r="H8535" i="9"/>
  <c r="G8535" i="9"/>
  <c r="E8535" i="9"/>
  <c r="D8535" i="9"/>
  <c r="C8535" i="9"/>
  <c r="B8535" i="9"/>
  <c r="H8534" i="9"/>
  <c r="G8534" i="9"/>
  <c r="E8534" i="9"/>
  <c r="D8534" i="9"/>
  <c r="C8534" i="9"/>
  <c r="B8534" i="9"/>
  <c r="H8533" i="9"/>
  <c r="G8533" i="9"/>
  <c r="E8533" i="9"/>
  <c r="D8533" i="9"/>
  <c r="C8533" i="9"/>
  <c r="B8533" i="9"/>
  <c r="H8532" i="9"/>
  <c r="G8532" i="9"/>
  <c r="E8532" i="9"/>
  <c r="D8532" i="9"/>
  <c r="C8532" i="9"/>
  <c r="B8532" i="9"/>
  <c r="H8531" i="9"/>
  <c r="G8531" i="9"/>
  <c r="E8531" i="9"/>
  <c r="D8531" i="9"/>
  <c r="C8531" i="9"/>
  <c r="B8531" i="9"/>
  <c r="H8530" i="9"/>
  <c r="G8530" i="9"/>
  <c r="E8530" i="9"/>
  <c r="D8530" i="9"/>
  <c r="C8530" i="9"/>
  <c r="B8530" i="9"/>
  <c r="H8529" i="9"/>
  <c r="G8529" i="9"/>
  <c r="E8529" i="9"/>
  <c r="D8529" i="9"/>
  <c r="C8529" i="9"/>
  <c r="B8529" i="9"/>
  <c r="H8528" i="9"/>
  <c r="G8528" i="9"/>
  <c r="E8528" i="9"/>
  <c r="D8528" i="9"/>
  <c r="C8528" i="9"/>
  <c r="B8528" i="9"/>
  <c r="H8527" i="9"/>
  <c r="G8527" i="9"/>
  <c r="E8527" i="9"/>
  <c r="D8527" i="9"/>
  <c r="C8527" i="9"/>
  <c r="B8527" i="9"/>
  <c r="H8526" i="9"/>
  <c r="G8526" i="9"/>
  <c r="E8526" i="9"/>
  <c r="D8526" i="9"/>
  <c r="C8526" i="9"/>
  <c r="B8526" i="9"/>
  <c r="H8525" i="9"/>
  <c r="G8525" i="9"/>
  <c r="E8525" i="9"/>
  <c r="D8525" i="9"/>
  <c r="C8525" i="9"/>
  <c r="B8525" i="9"/>
  <c r="H8524" i="9"/>
  <c r="G8524" i="9"/>
  <c r="E8524" i="9"/>
  <c r="D8524" i="9"/>
  <c r="C8524" i="9"/>
  <c r="B8524" i="9"/>
  <c r="H8523" i="9"/>
  <c r="G8523" i="9"/>
  <c r="E8523" i="9"/>
  <c r="D8523" i="9"/>
  <c r="C8523" i="9"/>
  <c r="B8523" i="9"/>
  <c r="H8522" i="9"/>
  <c r="G8522" i="9"/>
  <c r="E8522" i="9"/>
  <c r="D8522" i="9"/>
  <c r="C8522" i="9"/>
  <c r="B8522" i="9"/>
  <c r="H8521" i="9"/>
  <c r="G8521" i="9"/>
  <c r="E8521" i="9"/>
  <c r="D8521" i="9"/>
  <c r="C8521" i="9"/>
  <c r="B8521" i="9"/>
  <c r="H8520" i="9"/>
  <c r="G8520" i="9"/>
  <c r="E8520" i="9"/>
  <c r="D8520" i="9"/>
  <c r="C8520" i="9"/>
  <c r="B8520" i="9"/>
  <c r="H8519" i="9"/>
  <c r="G8519" i="9"/>
  <c r="E8519" i="9"/>
  <c r="D8519" i="9"/>
  <c r="C8519" i="9"/>
  <c r="B8519" i="9"/>
  <c r="H8518" i="9"/>
  <c r="G8518" i="9"/>
  <c r="E8518" i="9"/>
  <c r="D8518" i="9"/>
  <c r="C8518" i="9"/>
  <c r="B8518" i="9"/>
  <c r="H8517" i="9"/>
  <c r="G8517" i="9"/>
  <c r="E8517" i="9"/>
  <c r="D8517" i="9"/>
  <c r="C8517" i="9"/>
  <c r="B8517" i="9"/>
  <c r="H8516" i="9"/>
  <c r="G8516" i="9"/>
  <c r="E8516" i="9"/>
  <c r="D8516" i="9"/>
  <c r="C8516" i="9"/>
  <c r="B8516" i="9"/>
  <c r="H8515" i="9"/>
  <c r="G8515" i="9"/>
  <c r="E8515" i="9"/>
  <c r="D8515" i="9"/>
  <c r="C8515" i="9"/>
  <c r="B8515" i="9"/>
  <c r="H8514" i="9"/>
  <c r="G8514" i="9"/>
  <c r="E8514" i="9"/>
  <c r="D8514" i="9"/>
  <c r="C8514" i="9"/>
  <c r="B8514" i="9"/>
  <c r="H8513" i="9"/>
  <c r="G8513" i="9"/>
  <c r="E8513" i="9"/>
  <c r="D8513" i="9"/>
  <c r="C8513" i="9"/>
  <c r="B8513" i="9"/>
  <c r="H8512" i="9"/>
  <c r="G8512" i="9"/>
  <c r="E8512" i="9"/>
  <c r="D8512" i="9"/>
  <c r="C8512" i="9"/>
  <c r="B8512" i="9"/>
  <c r="H8511" i="9"/>
  <c r="G8511" i="9"/>
  <c r="E8511" i="9"/>
  <c r="D8511" i="9"/>
  <c r="C8511" i="9"/>
  <c r="B8511" i="9"/>
  <c r="H8510" i="9"/>
  <c r="G8510" i="9"/>
  <c r="E8510" i="9"/>
  <c r="D8510" i="9"/>
  <c r="C8510" i="9"/>
  <c r="B8510" i="9"/>
  <c r="H8509" i="9"/>
  <c r="G8509" i="9"/>
  <c r="E8509" i="9"/>
  <c r="D8509" i="9"/>
  <c r="C8509" i="9"/>
  <c r="B8509" i="9"/>
  <c r="H8508" i="9"/>
  <c r="G8508" i="9"/>
  <c r="E8508" i="9"/>
  <c r="D8508" i="9"/>
  <c r="C8508" i="9"/>
  <c r="B8508" i="9"/>
  <c r="H8507" i="9"/>
  <c r="G8507" i="9"/>
  <c r="E8507" i="9"/>
  <c r="D8507" i="9"/>
  <c r="C8507" i="9"/>
  <c r="B8507" i="9"/>
  <c r="H8506" i="9"/>
  <c r="G8506" i="9"/>
  <c r="E8506" i="9"/>
  <c r="D8506" i="9"/>
  <c r="C8506" i="9"/>
  <c r="B8506" i="9"/>
  <c r="H8505" i="9"/>
  <c r="G8505" i="9"/>
  <c r="E8505" i="9"/>
  <c r="D8505" i="9"/>
  <c r="C8505" i="9"/>
  <c r="B8505" i="9"/>
  <c r="H8504" i="9"/>
  <c r="G8504" i="9"/>
  <c r="E8504" i="9"/>
  <c r="D8504" i="9"/>
  <c r="C8504" i="9"/>
  <c r="B8504" i="9"/>
  <c r="H8503" i="9"/>
  <c r="G8503" i="9"/>
  <c r="E8503" i="9"/>
  <c r="D8503" i="9"/>
  <c r="C8503" i="9"/>
  <c r="B8503" i="9"/>
  <c r="H8502" i="9"/>
  <c r="G8502" i="9"/>
  <c r="E8502" i="9"/>
  <c r="D8502" i="9"/>
  <c r="C8502" i="9"/>
  <c r="B8502" i="9"/>
  <c r="H8501" i="9"/>
  <c r="G8501" i="9"/>
  <c r="E8501" i="9"/>
  <c r="D8501" i="9"/>
  <c r="C8501" i="9"/>
  <c r="B8501" i="9"/>
  <c r="H8500" i="9"/>
  <c r="G8500" i="9"/>
  <c r="E8500" i="9"/>
  <c r="D8500" i="9"/>
  <c r="C8500" i="9"/>
  <c r="B8500" i="9"/>
  <c r="H8499" i="9"/>
  <c r="G8499" i="9"/>
  <c r="E8499" i="9"/>
  <c r="D8499" i="9"/>
  <c r="C8499" i="9"/>
  <c r="B8499" i="9"/>
  <c r="H8498" i="9"/>
  <c r="G8498" i="9"/>
  <c r="E8498" i="9"/>
  <c r="D8498" i="9"/>
  <c r="C8498" i="9"/>
  <c r="B8498" i="9"/>
  <c r="H8497" i="9"/>
  <c r="G8497" i="9"/>
  <c r="E8497" i="9"/>
  <c r="D8497" i="9"/>
  <c r="C8497" i="9"/>
  <c r="B8497" i="9"/>
  <c r="H8496" i="9"/>
  <c r="G8496" i="9"/>
  <c r="E8496" i="9"/>
  <c r="D8496" i="9"/>
  <c r="C8496" i="9"/>
  <c r="B8496" i="9"/>
  <c r="H8495" i="9"/>
  <c r="G8495" i="9"/>
  <c r="E8495" i="9"/>
  <c r="D8495" i="9"/>
  <c r="C8495" i="9"/>
  <c r="B8495" i="9"/>
  <c r="H8494" i="9"/>
  <c r="G8494" i="9"/>
  <c r="E8494" i="9"/>
  <c r="D8494" i="9"/>
  <c r="C8494" i="9"/>
  <c r="B8494" i="9"/>
  <c r="H8493" i="9"/>
  <c r="G8493" i="9"/>
  <c r="E8493" i="9"/>
  <c r="D8493" i="9"/>
  <c r="C8493" i="9"/>
  <c r="B8493" i="9"/>
  <c r="H8492" i="9"/>
  <c r="G8492" i="9"/>
  <c r="E8492" i="9"/>
  <c r="D8492" i="9"/>
  <c r="C8492" i="9"/>
  <c r="B8492" i="9"/>
  <c r="H8491" i="9"/>
  <c r="G8491" i="9"/>
  <c r="E8491" i="9"/>
  <c r="D8491" i="9"/>
  <c r="C8491" i="9"/>
  <c r="B8491" i="9"/>
  <c r="H8490" i="9"/>
  <c r="G8490" i="9"/>
  <c r="E8490" i="9"/>
  <c r="D8490" i="9"/>
  <c r="C8490" i="9"/>
  <c r="B8490" i="9"/>
  <c r="H8489" i="9"/>
  <c r="G8489" i="9"/>
  <c r="E8489" i="9"/>
  <c r="D8489" i="9"/>
  <c r="C8489" i="9"/>
  <c r="B8489" i="9"/>
  <c r="H8488" i="9"/>
  <c r="G8488" i="9"/>
  <c r="E8488" i="9"/>
  <c r="D8488" i="9"/>
  <c r="C8488" i="9"/>
  <c r="B8488" i="9"/>
  <c r="H8487" i="9"/>
  <c r="G8487" i="9"/>
  <c r="E8487" i="9"/>
  <c r="D8487" i="9"/>
  <c r="C8487" i="9"/>
  <c r="B8487" i="9"/>
  <c r="H8486" i="9"/>
  <c r="G8486" i="9"/>
  <c r="E8486" i="9"/>
  <c r="D8486" i="9"/>
  <c r="C8486" i="9"/>
  <c r="B8486" i="9"/>
  <c r="H8485" i="9"/>
  <c r="G8485" i="9"/>
  <c r="E8485" i="9"/>
  <c r="D8485" i="9"/>
  <c r="C8485" i="9"/>
  <c r="B8485" i="9"/>
  <c r="H8484" i="9"/>
  <c r="G8484" i="9"/>
  <c r="E8484" i="9"/>
  <c r="D8484" i="9"/>
  <c r="C8484" i="9"/>
  <c r="B8484" i="9"/>
  <c r="H8483" i="9"/>
  <c r="G8483" i="9"/>
  <c r="E8483" i="9"/>
  <c r="D8483" i="9"/>
  <c r="C8483" i="9"/>
  <c r="B8483" i="9"/>
  <c r="H8482" i="9"/>
  <c r="G8482" i="9"/>
  <c r="E8482" i="9"/>
  <c r="D8482" i="9"/>
  <c r="C8482" i="9"/>
  <c r="B8482" i="9"/>
  <c r="H8481" i="9"/>
  <c r="G8481" i="9"/>
  <c r="E8481" i="9"/>
  <c r="D8481" i="9"/>
  <c r="C8481" i="9"/>
  <c r="B8481" i="9"/>
  <c r="H8480" i="9"/>
  <c r="G8480" i="9"/>
  <c r="E8480" i="9"/>
  <c r="D8480" i="9"/>
  <c r="C8480" i="9"/>
  <c r="B8480" i="9"/>
  <c r="H8479" i="9"/>
  <c r="G8479" i="9"/>
  <c r="E8479" i="9"/>
  <c r="D8479" i="9"/>
  <c r="C8479" i="9"/>
  <c r="B8479" i="9"/>
  <c r="H8478" i="9"/>
  <c r="G8478" i="9"/>
  <c r="E8478" i="9"/>
  <c r="D8478" i="9"/>
  <c r="C8478" i="9"/>
  <c r="B8478" i="9"/>
  <c r="H8477" i="9"/>
  <c r="G8477" i="9"/>
  <c r="E8477" i="9"/>
  <c r="D8477" i="9"/>
  <c r="C8477" i="9"/>
  <c r="B8477" i="9"/>
  <c r="H8476" i="9"/>
  <c r="G8476" i="9"/>
  <c r="E8476" i="9"/>
  <c r="D8476" i="9"/>
  <c r="C8476" i="9"/>
  <c r="B8476" i="9"/>
  <c r="H8475" i="9"/>
  <c r="G8475" i="9"/>
  <c r="E8475" i="9"/>
  <c r="D8475" i="9"/>
  <c r="C8475" i="9"/>
  <c r="B8475" i="9"/>
  <c r="H8474" i="9"/>
  <c r="G8474" i="9"/>
  <c r="E8474" i="9"/>
  <c r="D8474" i="9"/>
  <c r="C8474" i="9"/>
  <c r="B8474" i="9"/>
  <c r="H8473" i="9"/>
  <c r="G8473" i="9"/>
  <c r="E8473" i="9"/>
  <c r="D8473" i="9"/>
  <c r="C8473" i="9"/>
  <c r="B8473" i="9"/>
  <c r="H8472" i="9"/>
  <c r="G8472" i="9"/>
  <c r="E8472" i="9"/>
  <c r="D8472" i="9"/>
  <c r="C8472" i="9"/>
  <c r="B8472" i="9"/>
  <c r="H8471" i="9"/>
  <c r="G8471" i="9"/>
  <c r="E8471" i="9"/>
  <c r="D8471" i="9"/>
  <c r="C8471" i="9"/>
  <c r="B8471" i="9"/>
  <c r="H8470" i="9"/>
  <c r="G8470" i="9"/>
  <c r="E8470" i="9"/>
  <c r="D8470" i="9"/>
  <c r="C8470" i="9"/>
  <c r="B8470" i="9"/>
  <c r="H8469" i="9"/>
  <c r="G8469" i="9"/>
  <c r="E8469" i="9"/>
  <c r="D8469" i="9"/>
  <c r="C8469" i="9"/>
  <c r="B8469" i="9"/>
  <c r="H8468" i="9"/>
  <c r="G8468" i="9"/>
  <c r="E8468" i="9"/>
  <c r="D8468" i="9"/>
  <c r="C8468" i="9"/>
  <c r="B8468" i="9"/>
  <c r="H8467" i="9"/>
  <c r="G8467" i="9"/>
  <c r="E8467" i="9"/>
  <c r="D8467" i="9"/>
  <c r="C8467" i="9"/>
  <c r="B8467" i="9"/>
  <c r="H8466" i="9"/>
  <c r="G8466" i="9"/>
  <c r="E8466" i="9"/>
  <c r="D8466" i="9"/>
  <c r="C8466" i="9"/>
  <c r="B8466" i="9"/>
  <c r="H8465" i="9"/>
  <c r="G8465" i="9"/>
  <c r="E8465" i="9"/>
  <c r="D8465" i="9"/>
  <c r="C8465" i="9"/>
  <c r="B8465" i="9"/>
  <c r="H8464" i="9"/>
  <c r="G8464" i="9"/>
  <c r="E8464" i="9"/>
  <c r="D8464" i="9"/>
  <c r="C8464" i="9"/>
  <c r="B8464" i="9"/>
  <c r="H8463" i="9"/>
  <c r="G8463" i="9"/>
  <c r="E8463" i="9"/>
  <c r="D8463" i="9"/>
  <c r="C8463" i="9"/>
  <c r="B8463" i="9"/>
  <c r="H8462" i="9"/>
  <c r="G8462" i="9"/>
  <c r="E8462" i="9"/>
  <c r="D8462" i="9"/>
  <c r="C8462" i="9"/>
  <c r="B8462" i="9"/>
  <c r="H8461" i="9"/>
  <c r="G8461" i="9"/>
  <c r="E8461" i="9"/>
  <c r="D8461" i="9"/>
  <c r="C8461" i="9"/>
  <c r="B8461" i="9"/>
  <c r="H8460" i="9"/>
  <c r="G8460" i="9"/>
  <c r="E8460" i="9"/>
  <c r="D8460" i="9"/>
  <c r="C8460" i="9"/>
  <c r="B8460" i="9"/>
  <c r="H8459" i="9"/>
  <c r="G8459" i="9"/>
  <c r="E8459" i="9"/>
  <c r="D8459" i="9"/>
  <c r="C8459" i="9"/>
  <c r="B8459" i="9"/>
  <c r="H8458" i="9"/>
  <c r="G8458" i="9"/>
  <c r="E8458" i="9"/>
  <c r="D8458" i="9"/>
  <c r="C8458" i="9"/>
  <c r="B8458" i="9"/>
  <c r="H8457" i="9"/>
  <c r="G8457" i="9"/>
  <c r="E8457" i="9"/>
  <c r="D8457" i="9"/>
  <c r="C8457" i="9"/>
  <c r="B8457" i="9"/>
  <c r="H8456" i="9"/>
  <c r="G8456" i="9"/>
  <c r="E8456" i="9"/>
  <c r="D8456" i="9"/>
  <c r="C8456" i="9"/>
  <c r="B8456" i="9"/>
  <c r="H8455" i="9"/>
  <c r="G8455" i="9"/>
  <c r="E8455" i="9"/>
  <c r="D8455" i="9"/>
  <c r="C8455" i="9"/>
  <c r="B8455" i="9"/>
  <c r="H8454" i="9"/>
  <c r="G8454" i="9"/>
  <c r="E8454" i="9"/>
  <c r="D8454" i="9"/>
  <c r="C8454" i="9"/>
  <c r="B8454" i="9"/>
  <c r="H8453" i="9"/>
  <c r="G8453" i="9"/>
  <c r="E8453" i="9"/>
  <c r="D8453" i="9"/>
  <c r="C8453" i="9"/>
  <c r="B8453" i="9"/>
  <c r="H8452" i="9"/>
  <c r="G8452" i="9"/>
  <c r="E8452" i="9"/>
  <c r="D8452" i="9"/>
  <c r="C8452" i="9"/>
  <c r="B8452" i="9"/>
  <c r="H8451" i="9"/>
  <c r="G8451" i="9"/>
  <c r="E8451" i="9"/>
  <c r="D8451" i="9"/>
  <c r="C8451" i="9"/>
  <c r="B8451" i="9"/>
  <c r="H8450" i="9"/>
  <c r="G8450" i="9"/>
  <c r="E8450" i="9"/>
  <c r="D8450" i="9"/>
  <c r="C8450" i="9"/>
  <c r="B8450" i="9"/>
  <c r="H8449" i="9"/>
  <c r="G8449" i="9"/>
  <c r="E8449" i="9"/>
  <c r="D8449" i="9"/>
  <c r="C8449" i="9"/>
  <c r="B8449" i="9"/>
  <c r="H8448" i="9"/>
  <c r="G8448" i="9"/>
  <c r="E8448" i="9"/>
  <c r="D8448" i="9"/>
  <c r="C8448" i="9"/>
  <c r="B8448" i="9"/>
  <c r="H8447" i="9"/>
  <c r="G8447" i="9"/>
  <c r="E8447" i="9"/>
  <c r="D8447" i="9"/>
  <c r="C8447" i="9"/>
  <c r="B8447" i="9"/>
  <c r="H8446" i="9"/>
  <c r="G8446" i="9"/>
  <c r="E8446" i="9"/>
  <c r="D8446" i="9"/>
  <c r="C8446" i="9"/>
  <c r="B8446" i="9"/>
  <c r="H8445" i="9"/>
  <c r="G8445" i="9"/>
  <c r="E8445" i="9"/>
  <c r="D8445" i="9"/>
  <c r="C8445" i="9"/>
  <c r="B8445" i="9"/>
  <c r="H8444" i="9"/>
  <c r="G8444" i="9"/>
  <c r="E8444" i="9"/>
  <c r="D8444" i="9"/>
  <c r="C8444" i="9"/>
  <c r="B8444" i="9"/>
  <c r="H8443" i="9"/>
  <c r="G8443" i="9"/>
  <c r="E8443" i="9"/>
  <c r="D8443" i="9"/>
  <c r="C8443" i="9"/>
  <c r="B8443" i="9"/>
  <c r="H8442" i="9"/>
  <c r="G8442" i="9"/>
  <c r="E8442" i="9"/>
  <c r="D8442" i="9"/>
  <c r="C8442" i="9"/>
  <c r="B8442" i="9"/>
  <c r="H8441" i="9"/>
  <c r="G8441" i="9"/>
  <c r="E8441" i="9"/>
  <c r="D8441" i="9"/>
  <c r="C8441" i="9"/>
  <c r="B8441" i="9"/>
  <c r="H8440" i="9"/>
  <c r="G8440" i="9"/>
  <c r="E8440" i="9"/>
  <c r="D8440" i="9"/>
  <c r="C8440" i="9"/>
  <c r="B8440" i="9"/>
  <c r="H8439" i="9"/>
  <c r="G8439" i="9"/>
  <c r="E8439" i="9"/>
  <c r="D8439" i="9"/>
  <c r="C8439" i="9"/>
  <c r="B8439" i="9"/>
  <c r="H8438" i="9"/>
  <c r="G8438" i="9"/>
  <c r="E8438" i="9"/>
  <c r="D8438" i="9"/>
  <c r="C8438" i="9"/>
  <c r="B8438" i="9"/>
  <c r="H8437" i="9"/>
  <c r="G8437" i="9"/>
  <c r="E8437" i="9"/>
  <c r="D8437" i="9"/>
  <c r="C8437" i="9"/>
  <c r="B8437" i="9"/>
  <c r="H8436" i="9"/>
  <c r="G8436" i="9"/>
  <c r="E8436" i="9"/>
  <c r="D8436" i="9"/>
  <c r="C8436" i="9"/>
  <c r="B8436" i="9"/>
  <c r="H8435" i="9"/>
  <c r="G8435" i="9"/>
  <c r="E8435" i="9"/>
  <c r="D8435" i="9"/>
  <c r="C8435" i="9"/>
  <c r="B8435" i="9"/>
  <c r="H8434" i="9"/>
  <c r="G8434" i="9"/>
  <c r="E8434" i="9"/>
  <c r="D8434" i="9"/>
  <c r="C8434" i="9"/>
  <c r="B8434" i="9"/>
  <c r="H8433" i="9"/>
  <c r="G8433" i="9"/>
  <c r="E8433" i="9"/>
  <c r="D8433" i="9"/>
  <c r="C8433" i="9"/>
  <c r="B8433" i="9"/>
  <c r="H8432" i="9"/>
  <c r="G8432" i="9"/>
  <c r="E8432" i="9"/>
  <c r="D8432" i="9"/>
  <c r="C8432" i="9"/>
  <c r="B8432" i="9"/>
  <c r="H8431" i="9"/>
  <c r="G8431" i="9"/>
  <c r="E8431" i="9"/>
  <c r="D8431" i="9"/>
  <c r="C8431" i="9"/>
  <c r="B8431" i="9"/>
  <c r="H8430" i="9"/>
  <c r="G8430" i="9"/>
  <c r="E8430" i="9"/>
  <c r="D8430" i="9"/>
  <c r="C8430" i="9"/>
  <c r="B8430" i="9"/>
  <c r="H8429" i="9"/>
  <c r="G8429" i="9"/>
  <c r="E8429" i="9"/>
  <c r="D8429" i="9"/>
  <c r="C8429" i="9"/>
  <c r="B8429" i="9"/>
  <c r="H8428" i="9"/>
  <c r="G8428" i="9"/>
  <c r="E8428" i="9"/>
  <c r="D8428" i="9"/>
  <c r="C8428" i="9"/>
  <c r="B8428" i="9"/>
  <c r="H8427" i="9"/>
  <c r="G8427" i="9"/>
  <c r="E8427" i="9"/>
  <c r="D8427" i="9"/>
  <c r="C8427" i="9"/>
  <c r="B8427" i="9"/>
  <c r="H8426" i="9"/>
  <c r="G8426" i="9"/>
  <c r="E8426" i="9"/>
  <c r="D8426" i="9"/>
  <c r="C8426" i="9"/>
  <c r="B8426" i="9"/>
  <c r="H8425" i="9"/>
  <c r="G8425" i="9"/>
  <c r="E8425" i="9"/>
  <c r="D8425" i="9"/>
  <c r="C8425" i="9"/>
  <c r="B8425" i="9"/>
  <c r="H8424" i="9"/>
  <c r="G8424" i="9"/>
  <c r="E8424" i="9"/>
  <c r="D8424" i="9"/>
  <c r="C8424" i="9"/>
  <c r="B8424" i="9"/>
  <c r="H8423" i="9"/>
  <c r="G8423" i="9"/>
  <c r="E8423" i="9"/>
  <c r="D8423" i="9"/>
  <c r="C8423" i="9"/>
  <c r="B8423" i="9"/>
  <c r="H8422" i="9"/>
  <c r="G8422" i="9"/>
  <c r="E8422" i="9"/>
  <c r="D8422" i="9"/>
  <c r="C8422" i="9"/>
  <c r="B8422" i="9"/>
  <c r="H8421" i="9"/>
  <c r="G8421" i="9"/>
  <c r="E8421" i="9"/>
  <c r="D8421" i="9"/>
  <c r="C8421" i="9"/>
  <c r="B8421" i="9"/>
  <c r="H8420" i="9"/>
  <c r="G8420" i="9"/>
  <c r="E8420" i="9"/>
  <c r="D8420" i="9"/>
  <c r="C8420" i="9"/>
  <c r="B8420" i="9"/>
  <c r="H8419" i="9"/>
  <c r="G8419" i="9"/>
  <c r="E8419" i="9"/>
  <c r="D8419" i="9"/>
  <c r="C8419" i="9"/>
  <c r="B8419" i="9"/>
  <c r="H8418" i="9"/>
  <c r="G8418" i="9"/>
  <c r="E8418" i="9"/>
  <c r="D8418" i="9"/>
  <c r="C8418" i="9"/>
  <c r="B8418" i="9"/>
  <c r="H8417" i="9"/>
  <c r="G8417" i="9"/>
  <c r="E8417" i="9"/>
  <c r="D8417" i="9"/>
  <c r="C8417" i="9"/>
  <c r="B8417" i="9"/>
  <c r="H8416" i="9"/>
  <c r="G8416" i="9"/>
  <c r="E8416" i="9"/>
  <c r="D8416" i="9"/>
  <c r="C8416" i="9"/>
  <c r="B8416" i="9"/>
  <c r="H8415" i="9"/>
  <c r="G8415" i="9"/>
  <c r="E8415" i="9"/>
  <c r="D8415" i="9"/>
  <c r="C8415" i="9"/>
  <c r="B8415" i="9"/>
  <c r="H8414" i="9"/>
  <c r="G8414" i="9"/>
  <c r="E8414" i="9"/>
  <c r="D8414" i="9"/>
  <c r="C8414" i="9"/>
  <c r="B8414" i="9"/>
  <c r="H8413" i="9"/>
  <c r="G8413" i="9"/>
  <c r="E8413" i="9"/>
  <c r="D8413" i="9"/>
  <c r="C8413" i="9"/>
  <c r="B8413" i="9"/>
  <c r="H8412" i="9"/>
  <c r="G8412" i="9"/>
  <c r="E8412" i="9"/>
  <c r="D8412" i="9"/>
  <c r="C8412" i="9"/>
  <c r="B8412" i="9"/>
  <c r="H8411" i="9"/>
  <c r="G8411" i="9"/>
  <c r="E8411" i="9"/>
  <c r="D8411" i="9"/>
  <c r="C8411" i="9"/>
  <c r="B8411" i="9"/>
  <c r="H8410" i="9"/>
  <c r="G8410" i="9"/>
  <c r="E8410" i="9"/>
  <c r="D8410" i="9"/>
  <c r="C8410" i="9"/>
  <c r="B8410" i="9"/>
  <c r="H8409" i="9"/>
  <c r="G8409" i="9"/>
  <c r="E8409" i="9"/>
  <c r="D8409" i="9"/>
  <c r="C8409" i="9"/>
  <c r="B8409" i="9"/>
  <c r="H8408" i="9"/>
  <c r="G8408" i="9"/>
  <c r="E8408" i="9"/>
  <c r="D8408" i="9"/>
  <c r="C8408" i="9"/>
  <c r="B8408" i="9"/>
  <c r="H8407" i="9"/>
  <c r="G8407" i="9"/>
  <c r="E8407" i="9"/>
  <c r="D8407" i="9"/>
  <c r="C8407" i="9"/>
  <c r="B8407" i="9"/>
  <c r="H8406" i="9"/>
  <c r="G8406" i="9"/>
  <c r="E8406" i="9"/>
  <c r="D8406" i="9"/>
  <c r="C8406" i="9"/>
  <c r="B8406" i="9"/>
  <c r="H8405" i="9"/>
  <c r="G8405" i="9"/>
  <c r="E8405" i="9"/>
  <c r="D8405" i="9"/>
  <c r="C8405" i="9"/>
  <c r="B8405" i="9"/>
  <c r="H8404" i="9"/>
  <c r="G8404" i="9"/>
  <c r="E8404" i="9"/>
  <c r="D8404" i="9"/>
  <c r="C8404" i="9"/>
  <c r="B8404" i="9"/>
  <c r="H8403" i="9"/>
  <c r="G8403" i="9"/>
  <c r="E8403" i="9"/>
  <c r="D8403" i="9"/>
  <c r="C8403" i="9"/>
  <c r="B8403" i="9"/>
  <c r="H8402" i="9"/>
  <c r="G8402" i="9"/>
  <c r="E8402" i="9"/>
  <c r="D8402" i="9"/>
  <c r="C8402" i="9"/>
  <c r="B8402" i="9"/>
  <c r="H8401" i="9"/>
  <c r="G8401" i="9"/>
  <c r="E8401" i="9"/>
  <c r="D8401" i="9"/>
  <c r="C8401" i="9"/>
  <c r="B8401" i="9"/>
  <c r="H8400" i="9"/>
  <c r="G8400" i="9"/>
  <c r="E8400" i="9"/>
  <c r="D8400" i="9"/>
  <c r="C8400" i="9"/>
  <c r="B8400" i="9"/>
  <c r="H8399" i="9"/>
  <c r="G8399" i="9"/>
  <c r="E8399" i="9"/>
  <c r="D8399" i="9"/>
  <c r="C8399" i="9"/>
  <c r="B8399" i="9"/>
  <c r="H8398" i="9"/>
  <c r="G8398" i="9"/>
  <c r="E8398" i="9"/>
  <c r="D8398" i="9"/>
  <c r="C8398" i="9"/>
  <c r="B8398" i="9"/>
  <c r="H8397" i="9"/>
  <c r="G8397" i="9"/>
  <c r="E8397" i="9"/>
  <c r="D8397" i="9"/>
  <c r="C8397" i="9"/>
  <c r="B8397" i="9"/>
  <c r="H8396" i="9"/>
  <c r="G8396" i="9"/>
  <c r="E8396" i="9"/>
  <c r="D8396" i="9"/>
  <c r="C8396" i="9"/>
  <c r="B8396" i="9"/>
  <c r="H8395" i="9"/>
  <c r="G8395" i="9"/>
  <c r="E8395" i="9"/>
  <c r="D8395" i="9"/>
  <c r="C8395" i="9"/>
  <c r="B8395" i="9"/>
  <c r="H8394" i="9"/>
  <c r="G8394" i="9"/>
  <c r="E8394" i="9"/>
  <c r="D8394" i="9"/>
  <c r="C8394" i="9"/>
  <c r="B8394" i="9"/>
  <c r="H8393" i="9"/>
  <c r="G8393" i="9"/>
  <c r="E8393" i="9"/>
  <c r="D8393" i="9"/>
  <c r="C8393" i="9"/>
  <c r="B8393" i="9"/>
  <c r="H8392" i="9"/>
  <c r="G8392" i="9"/>
  <c r="E8392" i="9"/>
  <c r="D8392" i="9"/>
  <c r="C8392" i="9"/>
  <c r="B8392" i="9"/>
  <c r="H8391" i="9"/>
  <c r="G8391" i="9"/>
  <c r="E8391" i="9"/>
  <c r="D8391" i="9"/>
  <c r="C8391" i="9"/>
  <c r="B8391" i="9"/>
  <c r="H8390" i="9"/>
  <c r="G8390" i="9"/>
  <c r="E8390" i="9"/>
  <c r="D8390" i="9"/>
  <c r="C8390" i="9"/>
  <c r="B8390" i="9"/>
  <c r="H8389" i="9"/>
  <c r="G8389" i="9"/>
  <c r="E8389" i="9"/>
  <c r="D8389" i="9"/>
  <c r="C8389" i="9"/>
  <c r="B8389" i="9"/>
  <c r="H8388" i="9"/>
  <c r="G8388" i="9"/>
  <c r="E8388" i="9"/>
  <c r="D8388" i="9"/>
  <c r="C8388" i="9"/>
  <c r="B8388" i="9"/>
  <c r="H8387" i="9"/>
  <c r="G8387" i="9"/>
  <c r="E8387" i="9"/>
  <c r="D8387" i="9"/>
  <c r="C8387" i="9"/>
  <c r="B8387" i="9"/>
  <c r="H8386" i="9"/>
  <c r="G8386" i="9"/>
  <c r="E8386" i="9"/>
  <c r="D8386" i="9"/>
  <c r="C8386" i="9"/>
  <c r="B8386" i="9"/>
  <c r="H8385" i="9"/>
  <c r="G8385" i="9"/>
  <c r="E8385" i="9"/>
  <c r="D8385" i="9"/>
  <c r="C8385" i="9"/>
  <c r="B8385" i="9"/>
  <c r="H8384" i="9"/>
  <c r="G8384" i="9"/>
  <c r="E8384" i="9"/>
  <c r="D8384" i="9"/>
  <c r="C8384" i="9"/>
  <c r="B8384" i="9"/>
  <c r="H8383" i="9"/>
  <c r="G8383" i="9"/>
  <c r="E8383" i="9"/>
  <c r="D8383" i="9"/>
  <c r="C8383" i="9"/>
  <c r="B8383" i="9"/>
  <c r="H8382" i="9"/>
  <c r="G8382" i="9"/>
  <c r="E8382" i="9"/>
  <c r="D8382" i="9"/>
  <c r="C8382" i="9"/>
  <c r="B8382" i="9"/>
  <c r="H8381" i="9"/>
  <c r="G8381" i="9"/>
  <c r="E8381" i="9"/>
  <c r="D8381" i="9"/>
  <c r="C8381" i="9"/>
  <c r="B8381" i="9"/>
  <c r="H8380" i="9"/>
  <c r="G8380" i="9"/>
  <c r="E8380" i="9"/>
  <c r="D8380" i="9"/>
  <c r="C8380" i="9"/>
  <c r="B8380" i="9"/>
  <c r="H8379" i="9"/>
  <c r="G8379" i="9"/>
  <c r="E8379" i="9"/>
  <c r="D8379" i="9"/>
  <c r="C8379" i="9"/>
  <c r="B8379" i="9"/>
  <c r="H8378" i="9"/>
  <c r="G8378" i="9"/>
  <c r="E8378" i="9"/>
  <c r="D8378" i="9"/>
  <c r="C8378" i="9"/>
  <c r="B8378" i="9"/>
  <c r="H8377" i="9"/>
  <c r="G8377" i="9"/>
  <c r="E8377" i="9"/>
  <c r="D8377" i="9"/>
  <c r="C8377" i="9"/>
  <c r="B8377" i="9"/>
  <c r="H8376" i="9"/>
  <c r="G8376" i="9"/>
  <c r="E8376" i="9"/>
  <c r="D8376" i="9"/>
  <c r="C8376" i="9"/>
  <c r="B8376" i="9"/>
  <c r="H8375" i="9"/>
  <c r="G8375" i="9"/>
  <c r="E8375" i="9"/>
  <c r="D8375" i="9"/>
  <c r="C8375" i="9"/>
  <c r="B8375" i="9"/>
  <c r="H8374" i="9"/>
  <c r="G8374" i="9"/>
  <c r="E8374" i="9"/>
  <c r="D8374" i="9"/>
  <c r="C8374" i="9"/>
  <c r="B8374" i="9"/>
  <c r="H8373" i="9"/>
  <c r="G8373" i="9"/>
  <c r="E8373" i="9"/>
  <c r="D8373" i="9"/>
  <c r="C8373" i="9"/>
  <c r="B8373" i="9"/>
  <c r="H8372" i="9"/>
  <c r="G8372" i="9"/>
  <c r="E8372" i="9"/>
  <c r="D8372" i="9"/>
  <c r="C8372" i="9"/>
  <c r="B8372" i="9"/>
  <c r="H8371" i="9"/>
  <c r="G8371" i="9"/>
  <c r="E8371" i="9"/>
  <c r="D8371" i="9"/>
  <c r="C8371" i="9"/>
  <c r="B8371" i="9"/>
  <c r="H8370" i="9"/>
  <c r="G8370" i="9"/>
  <c r="E8370" i="9"/>
  <c r="D8370" i="9"/>
  <c r="C8370" i="9"/>
  <c r="B8370" i="9"/>
  <c r="H8369" i="9"/>
  <c r="G8369" i="9"/>
  <c r="E8369" i="9"/>
  <c r="D8369" i="9"/>
  <c r="C8369" i="9"/>
  <c r="B8369" i="9"/>
  <c r="H8368" i="9"/>
  <c r="G8368" i="9"/>
  <c r="E8368" i="9"/>
  <c r="D8368" i="9"/>
  <c r="C8368" i="9"/>
  <c r="B8368" i="9"/>
  <c r="H8367" i="9"/>
  <c r="G8367" i="9"/>
  <c r="E8367" i="9"/>
  <c r="D8367" i="9"/>
  <c r="C8367" i="9"/>
  <c r="B8367" i="9"/>
  <c r="H8366" i="9"/>
  <c r="G8366" i="9"/>
  <c r="E8366" i="9"/>
  <c r="D8366" i="9"/>
  <c r="C8366" i="9"/>
  <c r="B8366" i="9"/>
  <c r="H8365" i="9"/>
  <c r="G8365" i="9"/>
  <c r="E8365" i="9"/>
  <c r="D8365" i="9"/>
  <c r="C8365" i="9"/>
  <c r="B8365" i="9"/>
  <c r="H8364" i="9"/>
  <c r="G8364" i="9"/>
  <c r="E8364" i="9"/>
  <c r="D8364" i="9"/>
  <c r="C8364" i="9"/>
  <c r="B8364" i="9"/>
  <c r="H8363" i="9"/>
  <c r="G8363" i="9"/>
  <c r="E8363" i="9"/>
  <c r="D8363" i="9"/>
  <c r="C8363" i="9"/>
  <c r="B8363" i="9"/>
  <c r="H8362" i="9"/>
  <c r="G8362" i="9"/>
  <c r="E8362" i="9"/>
  <c r="D8362" i="9"/>
  <c r="C8362" i="9"/>
  <c r="B8362" i="9"/>
  <c r="H8361" i="9"/>
  <c r="G8361" i="9"/>
  <c r="E8361" i="9"/>
  <c r="D8361" i="9"/>
  <c r="C8361" i="9"/>
  <c r="B8361" i="9"/>
  <c r="H8360" i="9"/>
  <c r="G8360" i="9"/>
  <c r="E8360" i="9"/>
  <c r="D8360" i="9"/>
  <c r="C8360" i="9"/>
  <c r="B8360" i="9"/>
  <c r="H8359" i="9"/>
  <c r="G8359" i="9"/>
  <c r="E8359" i="9"/>
  <c r="D8359" i="9"/>
  <c r="C8359" i="9"/>
  <c r="B8359" i="9"/>
  <c r="H8358" i="9"/>
  <c r="G8358" i="9"/>
  <c r="E8358" i="9"/>
  <c r="D8358" i="9"/>
  <c r="C8358" i="9"/>
  <c r="B8358" i="9"/>
  <c r="H8357" i="9"/>
  <c r="G8357" i="9"/>
  <c r="E8357" i="9"/>
  <c r="D8357" i="9"/>
  <c r="C8357" i="9"/>
  <c r="B8357" i="9"/>
  <c r="H8356" i="9"/>
  <c r="G8356" i="9"/>
  <c r="E8356" i="9"/>
  <c r="D8356" i="9"/>
  <c r="C8356" i="9"/>
  <c r="B8356" i="9"/>
  <c r="H8355" i="9"/>
  <c r="G8355" i="9"/>
  <c r="E8355" i="9"/>
  <c r="D8355" i="9"/>
  <c r="C8355" i="9"/>
  <c r="B8355" i="9"/>
  <c r="H8354" i="9"/>
  <c r="G8354" i="9"/>
  <c r="E8354" i="9"/>
  <c r="D8354" i="9"/>
  <c r="C8354" i="9"/>
  <c r="B8354" i="9"/>
  <c r="H8353" i="9"/>
  <c r="G8353" i="9"/>
  <c r="E8353" i="9"/>
  <c r="D8353" i="9"/>
  <c r="C8353" i="9"/>
  <c r="B8353" i="9"/>
  <c r="H8352" i="9"/>
  <c r="G8352" i="9"/>
  <c r="E8352" i="9"/>
  <c r="D8352" i="9"/>
  <c r="C8352" i="9"/>
  <c r="B8352" i="9"/>
  <c r="H8351" i="9"/>
  <c r="G8351" i="9"/>
  <c r="E8351" i="9"/>
  <c r="D8351" i="9"/>
  <c r="C8351" i="9"/>
  <c r="B8351" i="9"/>
  <c r="H8350" i="9"/>
  <c r="G8350" i="9"/>
  <c r="E8350" i="9"/>
  <c r="D8350" i="9"/>
  <c r="C8350" i="9"/>
  <c r="B8350" i="9"/>
  <c r="H8349" i="9"/>
  <c r="G8349" i="9"/>
  <c r="E8349" i="9"/>
  <c r="D8349" i="9"/>
  <c r="C8349" i="9"/>
  <c r="B8349" i="9"/>
  <c r="H8348" i="9"/>
  <c r="G8348" i="9"/>
  <c r="E8348" i="9"/>
  <c r="D8348" i="9"/>
  <c r="C8348" i="9"/>
  <c r="B8348" i="9"/>
  <c r="H8347" i="9"/>
  <c r="G8347" i="9"/>
  <c r="E8347" i="9"/>
  <c r="D8347" i="9"/>
  <c r="C8347" i="9"/>
  <c r="B8347" i="9"/>
  <c r="H8346" i="9"/>
  <c r="G8346" i="9"/>
  <c r="E8346" i="9"/>
  <c r="D8346" i="9"/>
  <c r="C8346" i="9"/>
  <c r="B8346" i="9"/>
  <c r="H8345" i="9"/>
  <c r="G8345" i="9"/>
  <c r="E8345" i="9"/>
  <c r="D8345" i="9"/>
  <c r="C8345" i="9"/>
  <c r="B8345" i="9"/>
  <c r="H8344" i="9"/>
  <c r="G8344" i="9"/>
  <c r="E8344" i="9"/>
  <c r="D8344" i="9"/>
  <c r="C8344" i="9"/>
  <c r="B8344" i="9"/>
  <c r="H8343" i="9"/>
  <c r="G8343" i="9"/>
  <c r="E8343" i="9"/>
  <c r="D8343" i="9"/>
  <c r="C8343" i="9"/>
  <c r="B8343" i="9"/>
  <c r="H8342" i="9"/>
  <c r="G8342" i="9"/>
  <c r="E8342" i="9"/>
  <c r="D8342" i="9"/>
  <c r="C8342" i="9"/>
  <c r="B8342" i="9"/>
  <c r="H8341" i="9"/>
  <c r="G8341" i="9"/>
  <c r="E8341" i="9"/>
  <c r="D8341" i="9"/>
  <c r="C8341" i="9"/>
  <c r="B8341" i="9"/>
  <c r="H8340" i="9"/>
  <c r="G8340" i="9"/>
  <c r="E8340" i="9"/>
  <c r="D8340" i="9"/>
  <c r="C8340" i="9"/>
  <c r="B8340" i="9"/>
  <c r="H8339" i="9"/>
  <c r="G8339" i="9"/>
  <c r="E8339" i="9"/>
  <c r="D8339" i="9"/>
  <c r="C8339" i="9"/>
  <c r="B8339" i="9"/>
  <c r="H8338" i="9"/>
  <c r="G8338" i="9"/>
  <c r="E8338" i="9"/>
  <c r="D8338" i="9"/>
  <c r="C8338" i="9"/>
  <c r="B8338" i="9"/>
  <c r="H8337" i="9"/>
  <c r="G8337" i="9"/>
  <c r="E8337" i="9"/>
  <c r="D8337" i="9"/>
  <c r="C8337" i="9"/>
  <c r="B8337" i="9"/>
  <c r="H8336" i="9"/>
  <c r="G8336" i="9"/>
  <c r="E8336" i="9"/>
  <c r="D8336" i="9"/>
  <c r="C8336" i="9"/>
  <c r="B8336" i="9"/>
  <c r="H8335" i="9"/>
  <c r="G8335" i="9"/>
  <c r="E8335" i="9"/>
  <c r="D8335" i="9"/>
  <c r="C8335" i="9"/>
  <c r="B8335" i="9"/>
  <c r="H8334" i="9"/>
  <c r="G8334" i="9"/>
  <c r="E8334" i="9"/>
  <c r="D8334" i="9"/>
  <c r="C8334" i="9"/>
  <c r="B8334" i="9"/>
  <c r="H8333" i="9"/>
  <c r="G8333" i="9"/>
  <c r="E8333" i="9"/>
  <c r="D8333" i="9"/>
  <c r="C8333" i="9"/>
  <c r="B8333" i="9"/>
  <c r="H8332" i="9"/>
  <c r="G8332" i="9"/>
  <c r="E8332" i="9"/>
  <c r="D8332" i="9"/>
  <c r="C8332" i="9"/>
  <c r="B8332" i="9"/>
  <c r="H8331" i="9"/>
  <c r="G8331" i="9"/>
  <c r="E8331" i="9"/>
  <c r="D8331" i="9"/>
  <c r="C8331" i="9"/>
  <c r="B8331" i="9"/>
  <c r="H8330" i="9"/>
  <c r="G8330" i="9"/>
  <c r="E8330" i="9"/>
  <c r="D8330" i="9"/>
  <c r="C8330" i="9"/>
  <c r="B8330" i="9"/>
  <c r="H8329" i="9"/>
  <c r="G8329" i="9"/>
  <c r="E8329" i="9"/>
  <c r="D8329" i="9"/>
  <c r="C8329" i="9"/>
  <c r="B8329" i="9"/>
  <c r="H8328" i="9"/>
  <c r="G8328" i="9"/>
  <c r="E8328" i="9"/>
  <c r="D8328" i="9"/>
  <c r="C8328" i="9"/>
  <c r="B8328" i="9"/>
  <c r="H8327" i="9"/>
  <c r="G8327" i="9"/>
  <c r="E8327" i="9"/>
  <c r="D8327" i="9"/>
  <c r="C8327" i="9"/>
  <c r="B8327" i="9"/>
  <c r="H8326" i="9"/>
  <c r="G8326" i="9"/>
  <c r="E8326" i="9"/>
  <c r="D8326" i="9"/>
  <c r="C8326" i="9"/>
  <c r="B8326" i="9"/>
  <c r="H8325" i="9"/>
  <c r="G8325" i="9"/>
  <c r="E8325" i="9"/>
  <c r="D8325" i="9"/>
  <c r="C8325" i="9"/>
  <c r="B8325" i="9"/>
  <c r="H8324" i="9"/>
  <c r="G8324" i="9"/>
  <c r="E8324" i="9"/>
  <c r="D8324" i="9"/>
  <c r="C8324" i="9"/>
  <c r="B8324" i="9"/>
  <c r="H8323" i="9"/>
  <c r="G8323" i="9"/>
  <c r="E8323" i="9"/>
  <c r="D8323" i="9"/>
  <c r="C8323" i="9"/>
  <c r="B8323" i="9"/>
  <c r="H8322" i="9"/>
  <c r="G8322" i="9"/>
  <c r="E8322" i="9"/>
  <c r="D8322" i="9"/>
  <c r="C8322" i="9"/>
  <c r="B8322" i="9"/>
  <c r="H8321" i="9"/>
  <c r="G8321" i="9"/>
  <c r="E8321" i="9"/>
  <c r="D8321" i="9"/>
  <c r="C8321" i="9"/>
  <c r="B8321" i="9"/>
  <c r="H8320" i="9"/>
  <c r="G8320" i="9"/>
  <c r="E8320" i="9"/>
  <c r="D8320" i="9"/>
  <c r="C8320" i="9"/>
  <c r="B8320" i="9"/>
  <c r="H8319" i="9"/>
  <c r="G8319" i="9"/>
  <c r="E8319" i="9"/>
  <c r="D8319" i="9"/>
  <c r="C8319" i="9"/>
  <c r="B8319" i="9"/>
  <c r="H8318" i="9"/>
  <c r="G8318" i="9"/>
  <c r="E8318" i="9"/>
  <c r="D8318" i="9"/>
  <c r="C8318" i="9"/>
  <c r="B8318" i="9"/>
  <c r="H8317" i="9"/>
  <c r="G8317" i="9"/>
  <c r="E8317" i="9"/>
  <c r="D8317" i="9"/>
  <c r="C8317" i="9"/>
  <c r="B8317" i="9"/>
  <c r="H8316" i="9"/>
  <c r="G8316" i="9"/>
  <c r="E8316" i="9"/>
  <c r="D8316" i="9"/>
  <c r="C8316" i="9"/>
  <c r="B8316" i="9"/>
  <c r="H8315" i="9"/>
  <c r="G8315" i="9"/>
  <c r="E8315" i="9"/>
  <c r="D8315" i="9"/>
  <c r="C8315" i="9"/>
  <c r="B8315" i="9"/>
  <c r="H8314" i="9"/>
  <c r="G8314" i="9"/>
  <c r="E8314" i="9"/>
  <c r="D8314" i="9"/>
  <c r="C8314" i="9"/>
  <c r="B8314" i="9"/>
  <c r="H8313" i="9"/>
  <c r="G8313" i="9"/>
  <c r="E8313" i="9"/>
  <c r="D8313" i="9"/>
  <c r="C8313" i="9"/>
  <c r="B8313" i="9"/>
  <c r="H8312" i="9"/>
  <c r="G8312" i="9"/>
  <c r="E8312" i="9"/>
  <c r="D8312" i="9"/>
  <c r="C8312" i="9"/>
  <c r="B8312" i="9"/>
  <c r="H8311" i="9"/>
  <c r="G8311" i="9"/>
  <c r="E8311" i="9"/>
  <c r="D8311" i="9"/>
  <c r="C8311" i="9"/>
  <c r="B8311" i="9"/>
  <c r="H8310" i="9"/>
  <c r="G8310" i="9"/>
  <c r="E8310" i="9"/>
  <c r="D8310" i="9"/>
  <c r="C8310" i="9"/>
  <c r="B8310" i="9"/>
  <c r="H8309" i="9"/>
  <c r="G8309" i="9"/>
  <c r="E8309" i="9"/>
  <c r="D8309" i="9"/>
  <c r="C8309" i="9"/>
  <c r="B8309" i="9"/>
  <c r="H8308" i="9"/>
  <c r="G8308" i="9"/>
  <c r="E8308" i="9"/>
  <c r="D8308" i="9"/>
  <c r="C8308" i="9"/>
  <c r="B8308" i="9"/>
  <c r="H8307" i="9"/>
  <c r="G8307" i="9"/>
  <c r="E8307" i="9"/>
  <c r="D8307" i="9"/>
  <c r="C8307" i="9"/>
  <c r="B8307" i="9"/>
  <c r="H8306" i="9"/>
  <c r="G8306" i="9"/>
  <c r="E8306" i="9"/>
  <c r="D8306" i="9"/>
  <c r="C8306" i="9"/>
  <c r="B8306" i="9"/>
  <c r="H8305" i="9"/>
  <c r="G8305" i="9"/>
  <c r="E8305" i="9"/>
  <c r="D8305" i="9"/>
  <c r="C8305" i="9"/>
  <c r="B8305" i="9"/>
  <c r="H8304" i="9"/>
  <c r="G8304" i="9"/>
  <c r="E8304" i="9"/>
  <c r="D8304" i="9"/>
  <c r="C8304" i="9"/>
  <c r="B8304" i="9"/>
  <c r="H8303" i="9"/>
  <c r="G8303" i="9"/>
  <c r="E8303" i="9"/>
  <c r="D8303" i="9"/>
  <c r="C8303" i="9"/>
  <c r="B8303" i="9"/>
  <c r="H8302" i="9"/>
  <c r="G8302" i="9"/>
  <c r="E8302" i="9"/>
  <c r="D8302" i="9"/>
  <c r="C8302" i="9"/>
  <c r="B8302" i="9"/>
  <c r="H8301" i="9"/>
  <c r="G8301" i="9"/>
  <c r="E8301" i="9"/>
  <c r="D8301" i="9"/>
  <c r="C8301" i="9"/>
  <c r="B8301" i="9"/>
  <c r="H8300" i="9"/>
  <c r="G8300" i="9"/>
  <c r="E8300" i="9"/>
  <c r="D8300" i="9"/>
  <c r="C8300" i="9"/>
  <c r="B8300" i="9"/>
  <c r="H8299" i="9"/>
  <c r="G8299" i="9"/>
  <c r="E8299" i="9"/>
  <c r="D8299" i="9"/>
  <c r="C8299" i="9"/>
  <c r="B8299" i="9"/>
  <c r="H8298" i="9"/>
  <c r="G8298" i="9"/>
  <c r="E8298" i="9"/>
  <c r="D8298" i="9"/>
  <c r="C8298" i="9"/>
  <c r="B8298" i="9"/>
  <c r="H8297" i="9"/>
  <c r="G8297" i="9"/>
  <c r="E8297" i="9"/>
  <c r="D8297" i="9"/>
  <c r="C8297" i="9"/>
  <c r="B8297" i="9"/>
  <c r="H8296" i="9"/>
  <c r="G8296" i="9"/>
  <c r="E8296" i="9"/>
  <c r="D8296" i="9"/>
  <c r="C8296" i="9"/>
  <c r="B8296" i="9"/>
  <c r="H8295" i="9"/>
  <c r="G8295" i="9"/>
  <c r="E8295" i="9"/>
  <c r="D8295" i="9"/>
  <c r="C8295" i="9"/>
  <c r="B8295" i="9"/>
  <c r="H8294" i="9"/>
  <c r="G8294" i="9"/>
  <c r="E8294" i="9"/>
  <c r="D8294" i="9"/>
  <c r="C8294" i="9"/>
  <c r="B8294" i="9"/>
  <c r="H8293" i="9"/>
  <c r="G8293" i="9"/>
  <c r="E8293" i="9"/>
  <c r="D8293" i="9"/>
  <c r="C8293" i="9"/>
  <c r="B8293" i="9"/>
  <c r="H8292" i="9"/>
  <c r="G8292" i="9"/>
  <c r="E8292" i="9"/>
  <c r="D8292" i="9"/>
  <c r="C8292" i="9"/>
  <c r="B8292" i="9"/>
  <c r="H8291" i="9"/>
  <c r="G8291" i="9"/>
  <c r="E8291" i="9"/>
  <c r="D8291" i="9"/>
  <c r="C8291" i="9"/>
  <c r="B8291" i="9"/>
  <c r="H8290" i="9"/>
  <c r="G8290" i="9"/>
  <c r="E8290" i="9"/>
  <c r="D8290" i="9"/>
  <c r="C8290" i="9"/>
  <c r="B8290" i="9"/>
  <c r="H8289" i="9"/>
  <c r="G8289" i="9"/>
  <c r="E8289" i="9"/>
  <c r="D8289" i="9"/>
  <c r="C8289" i="9"/>
  <c r="B8289" i="9"/>
  <c r="H8288" i="9"/>
  <c r="G8288" i="9"/>
  <c r="E8288" i="9"/>
  <c r="D8288" i="9"/>
  <c r="C8288" i="9"/>
  <c r="B8288" i="9"/>
  <c r="H8287" i="9"/>
  <c r="G8287" i="9"/>
  <c r="E8287" i="9"/>
  <c r="D8287" i="9"/>
  <c r="C8287" i="9"/>
  <c r="B8287" i="9"/>
  <c r="H8286" i="9"/>
  <c r="G8286" i="9"/>
  <c r="E8286" i="9"/>
  <c r="D8286" i="9"/>
  <c r="C8286" i="9"/>
  <c r="B8286" i="9"/>
  <c r="H8285" i="9"/>
  <c r="G8285" i="9"/>
  <c r="E8285" i="9"/>
  <c r="D8285" i="9"/>
  <c r="C8285" i="9"/>
  <c r="B8285" i="9"/>
  <c r="H8284" i="9"/>
  <c r="G8284" i="9"/>
  <c r="E8284" i="9"/>
  <c r="D8284" i="9"/>
  <c r="C8284" i="9"/>
  <c r="B8284" i="9"/>
  <c r="H8283" i="9"/>
  <c r="G8283" i="9"/>
  <c r="E8283" i="9"/>
  <c r="D8283" i="9"/>
  <c r="C8283" i="9"/>
  <c r="B8283" i="9"/>
  <c r="H8282" i="9"/>
  <c r="G8282" i="9"/>
  <c r="E8282" i="9"/>
  <c r="D8282" i="9"/>
  <c r="C8282" i="9"/>
  <c r="B8282" i="9"/>
  <c r="H8281" i="9"/>
  <c r="G8281" i="9"/>
  <c r="E8281" i="9"/>
  <c r="D8281" i="9"/>
  <c r="C8281" i="9"/>
  <c r="B8281" i="9"/>
  <c r="H8280" i="9"/>
  <c r="G8280" i="9"/>
  <c r="E8280" i="9"/>
  <c r="D8280" i="9"/>
  <c r="C8280" i="9"/>
  <c r="B8280" i="9"/>
  <c r="H8279" i="9"/>
  <c r="G8279" i="9"/>
  <c r="E8279" i="9"/>
  <c r="D8279" i="9"/>
  <c r="C8279" i="9"/>
  <c r="B8279" i="9"/>
  <c r="H8278" i="9"/>
  <c r="G8278" i="9"/>
  <c r="E8278" i="9"/>
  <c r="D8278" i="9"/>
  <c r="C8278" i="9"/>
  <c r="B8278" i="9"/>
  <c r="H8277" i="9"/>
  <c r="G8277" i="9"/>
  <c r="E8277" i="9"/>
  <c r="D8277" i="9"/>
  <c r="C8277" i="9"/>
  <c r="B8277" i="9"/>
  <c r="H8276" i="9"/>
  <c r="G8276" i="9"/>
  <c r="E8276" i="9"/>
  <c r="D8276" i="9"/>
  <c r="C8276" i="9"/>
  <c r="B8276" i="9"/>
  <c r="H8275" i="9"/>
  <c r="G8275" i="9"/>
  <c r="E8275" i="9"/>
  <c r="D8275" i="9"/>
  <c r="C8275" i="9"/>
  <c r="B8275" i="9"/>
  <c r="H8274" i="9"/>
  <c r="G8274" i="9"/>
  <c r="E8274" i="9"/>
  <c r="D8274" i="9"/>
  <c r="C8274" i="9"/>
  <c r="B8274" i="9"/>
  <c r="H8273" i="9"/>
  <c r="G8273" i="9"/>
  <c r="E8273" i="9"/>
  <c r="D8273" i="9"/>
  <c r="C8273" i="9"/>
  <c r="B8273" i="9"/>
  <c r="H8272" i="9"/>
  <c r="G8272" i="9"/>
  <c r="E8272" i="9"/>
  <c r="D8272" i="9"/>
  <c r="C8272" i="9"/>
  <c r="B8272" i="9"/>
  <c r="H8271" i="9"/>
  <c r="G8271" i="9"/>
  <c r="E8271" i="9"/>
  <c r="D8271" i="9"/>
  <c r="C8271" i="9"/>
  <c r="B8271" i="9"/>
  <c r="H8270" i="9"/>
  <c r="G8270" i="9"/>
  <c r="E8270" i="9"/>
  <c r="D8270" i="9"/>
  <c r="C8270" i="9"/>
  <c r="B8270" i="9"/>
  <c r="H8269" i="9"/>
  <c r="G8269" i="9"/>
  <c r="E8269" i="9"/>
  <c r="D8269" i="9"/>
  <c r="C8269" i="9"/>
  <c r="B8269" i="9"/>
  <c r="H8268" i="9"/>
  <c r="G8268" i="9"/>
  <c r="E8268" i="9"/>
  <c r="D8268" i="9"/>
  <c r="C8268" i="9"/>
  <c r="B8268" i="9"/>
  <c r="H8267" i="9"/>
  <c r="G8267" i="9"/>
  <c r="E8267" i="9"/>
  <c r="D8267" i="9"/>
  <c r="C8267" i="9"/>
  <c r="B8267" i="9"/>
  <c r="H8266" i="9"/>
  <c r="G8266" i="9"/>
  <c r="E8266" i="9"/>
  <c r="D8266" i="9"/>
  <c r="C8266" i="9"/>
  <c r="B8266" i="9"/>
  <c r="H8265" i="9"/>
  <c r="G8265" i="9"/>
  <c r="E8265" i="9"/>
  <c r="D8265" i="9"/>
  <c r="C8265" i="9"/>
  <c r="B8265" i="9"/>
  <c r="H8264" i="9"/>
  <c r="G8264" i="9"/>
  <c r="E8264" i="9"/>
  <c r="D8264" i="9"/>
  <c r="C8264" i="9"/>
  <c r="B8264" i="9"/>
  <c r="H8263" i="9"/>
  <c r="G8263" i="9"/>
  <c r="E8263" i="9"/>
  <c r="D8263" i="9"/>
  <c r="C8263" i="9"/>
  <c r="B8263" i="9"/>
  <c r="H8262" i="9"/>
  <c r="G8262" i="9"/>
  <c r="E8262" i="9"/>
  <c r="D8262" i="9"/>
  <c r="C8262" i="9"/>
  <c r="B8262" i="9"/>
  <c r="H8261" i="9"/>
  <c r="G8261" i="9"/>
  <c r="E8261" i="9"/>
  <c r="D8261" i="9"/>
  <c r="C8261" i="9"/>
  <c r="B8261" i="9"/>
  <c r="H8260" i="9"/>
  <c r="G8260" i="9"/>
  <c r="E8260" i="9"/>
  <c r="D8260" i="9"/>
  <c r="C8260" i="9"/>
  <c r="B8260" i="9"/>
  <c r="H8259" i="9"/>
  <c r="G8259" i="9"/>
  <c r="E8259" i="9"/>
  <c r="D8259" i="9"/>
  <c r="C8259" i="9"/>
  <c r="B8259" i="9"/>
  <c r="H8258" i="9"/>
  <c r="G8258" i="9"/>
  <c r="E8258" i="9"/>
  <c r="D8258" i="9"/>
  <c r="C8258" i="9"/>
  <c r="B8258" i="9"/>
  <c r="H8257" i="9"/>
  <c r="G8257" i="9"/>
  <c r="E8257" i="9"/>
  <c r="D8257" i="9"/>
  <c r="C8257" i="9"/>
  <c r="B8257" i="9"/>
  <c r="H8256" i="9"/>
  <c r="G8256" i="9"/>
  <c r="E8256" i="9"/>
  <c r="D8256" i="9"/>
  <c r="C8256" i="9"/>
  <c r="B8256" i="9"/>
  <c r="H8255" i="9"/>
  <c r="G8255" i="9"/>
  <c r="E8255" i="9"/>
  <c r="D8255" i="9"/>
  <c r="C8255" i="9"/>
  <c r="B8255" i="9"/>
  <c r="H8254" i="9"/>
  <c r="G8254" i="9"/>
  <c r="E8254" i="9"/>
  <c r="D8254" i="9"/>
  <c r="C8254" i="9"/>
  <c r="B8254" i="9"/>
  <c r="H8253" i="9"/>
  <c r="G8253" i="9"/>
  <c r="E8253" i="9"/>
  <c r="D8253" i="9"/>
  <c r="C8253" i="9"/>
  <c r="B8253" i="9"/>
  <c r="H8252" i="9"/>
  <c r="G8252" i="9"/>
  <c r="E8252" i="9"/>
  <c r="D8252" i="9"/>
  <c r="C8252" i="9"/>
  <c r="B8252" i="9"/>
  <c r="H8251" i="9"/>
  <c r="G8251" i="9"/>
  <c r="E8251" i="9"/>
  <c r="D8251" i="9"/>
  <c r="C8251" i="9"/>
  <c r="B8251" i="9"/>
  <c r="H8250" i="9"/>
  <c r="G8250" i="9"/>
  <c r="E8250" i="9"/>
  <c r="D8250" i="9"/>
  <c r="C8250" i="9"/>
  <c r="B8250" i="9"/>
  <c r="H8249" i="9"/>
  <c r="G8249" i="9"/>
  <c r="E8249" i="9"/>
  <c r="D8249" i="9"/>
  <c r="C8249" i="9"/>
  <c r="B8249" i="9"/>
  <c r="H8248" i="9"/>
  <c r="G8248" i="9"/>
  <c r="E8248" i="9"/>
  <c r="D8248" i="9"/>
  <c r="C8248" i="9"/>
  <c r="B8248" i="9"/>
  <c r="H8247" i="9"/>
  <c r="G8247" i="9"/>
  <c r="E8247" i="9"/>
  <c r="D8247" i="9"/>
  <c r="C8247" i="9"/>
  <c r="B8247" i="9"/>
  <c r="H8246" i="9"/>
  <c r="G8246" i="9"/>
  <c r="E8246" i="9"/>
  <c r="D8246" i="9"/>
  <c r="C8246" i="9"/>
  <c r="B8246" i="9"/>
  <c r="H8245" i="9"/>
  <c r="G8245" i="9"/>
  <c r="E8245" i="9"/>
  <c r="D8245" i="9"/>
  <c r="C8245" i="9"/>
  <c r="B8245" i="9"/>
  <c r="H8244" i="9"/>
  <c r="G8244" i="9"/>
  <c r="E8244" i="9"/>
  <c r="D8244" i="9"/>
  <c r="C8244" i="9"/>
  <c r="B8244" i="9"/>
  <c r="H8243" i="9"/>
  <c r="G8243" i="9"/>
  <c r="E8243" i="9"/>
  <c r="D8243" i="9"/>
  <c r="C8243" i="9"/>
  <c r="B8243" i="9"/>
  <c r="H8242" i="9"/>
  <c r="G8242" i="9"/>
  <c r="E8242" i="9"/>
  <c r="D8242" i="9"/>
  <c r="C8242" i="9"/>
  <c r="B8242" i="9"/>
  <c r="H8241" i="9"/>
  <c r="G8241" i="9"/>
  <c r="E8241" i="9"/>
  <c r="D8241" i="9"/>
  <c r="C8241" i="9"/>
  <c r="B8241" i="9"/>
  <c r="H8240" i="9"/>
  <c r="G8240" i="9"/>
  <c r="E8240" i="9"/>
  <c r="D8240" i="9"/>
  <c r="C8240" i="9"/>
  <c r="B8240" i="9"/>
  <c r="H8239" i="9"/>
  <c r="G8239" i="9"/>
  <c r="E8239" i="9"/>
  <c r="D8239" i="9"/>
  <c r="C8239" i="9"/>
  <c r="B8239" i="9"/>
  <c r="H8238" i="9"/>
  <c r="G8238" i="9"/>
  <c r="E8238" i="9"/>
  <c r="D8238" i="9"/>
  <c r="C8238" i="9"/>
  <c r="B8238" i="9"/>
  <c r="H8237" i="9"/>
  <c r="G8237" i="9"/>
  <c r="E8237" i="9"/>
  <c r="D8237" i="9"/>
  <c r="C8237" i="9"/>
  <c r="B8237" i="9"/>
  <c r="H8236" i="9"/>
  <c r="G8236" i="9"/>
  <c r="E8236" i="9"/>
  <c r="D8236" i="9"/>
  <c r="C8236" i="9"/>
  <c r="B8236" i="9"/>
  <c r="H8235" i="9"/>
  <c r="G8235" i="9"/>
  <c r="E8235" i="9"/>
  <c r="D8235" i="9"/>
  <c r="C8235" i="9"/>
  <c r="B8235" i="9"/>
  <c r="H8234" i="9"/>
  <c r="G8234" i="9"/>
  <c r="E8234" i="9"/>
  <c r="D8234" i="9"/>
  <c r="C8234" i="9"/>
  <c r="B8234" i="9"/>
  <c r="H8233" i="9"/>
  <c r="G8233" i="9"/>
  <c r="E8233" i="9"/>
  <c r="D8233" i="9"/>
  <c r="C8233" i="9"/>
  <c r="B8233" i="9"/>
  <c r="H8232" i="9"/>
  <c r="G8232" i="9"/>
  <c r="E8232" i="9"/>
  <c r="D8232" i="9"/>
  <c r="C8232" i="9"/>
  <c r="B8232" i="9"/>
  <c r="H8231" i="9"/>
  <c r="G8231" i="9"/>
  <c r="E8231" i="9"/>
  <c r="D8231" i="9"/>
  <c r="C8231" i="9"/>
  <c r="B8231" i="9"/>
  <c r="H8230" i="9"/>
  <c r="G8230" i="9"/>
  <c r="E8230" i="9"/>
  <c r="D8230" i="9"/>
  <c r="C8230" i="9"/>
  <c r="B8230" i="9"/>
  <c r="H8229" i="9"/>
  <c r="G8229" i="9"/>
  <c r="E8229" i="9"/>
  <c r="D8229" i="9"/>
  <c r="C8229" i="9"/>
  <c r="B8229" i="9"/>
  <c r="H8228" i="9"/>
  <c r="G8228" i="9"/>
  <c r="E8228" i="9"/>
  <c r="D8228" i="9"/>
  <c r="C8228" i="9"/>
  <c r="B8228" i="9"/>
  <c r="H8227" i="9"/>
  <c r="G8227" i="9"/>
  <c r="E8227" i="9"/>
  <c r="D8227" i="9"/>
  <c r="C8227" i="9"/>
  <c r="B8227" i="9"/>
  <c r="H8226" i="9"/>
  <c r="G8226" i="9"/>
  <c r="E8226" i="9"/>
  <c r="D8226" i="9"/>
  <c r="C8226" i="9"/>
  <c r="B8226" i="9"/>
  <c r="H8225" i="9"/>
  <c r="G8225" i="9"/>
  <c r="E8225" i="9"/>
  <c r="D8225" i="9"/>
  <c r="C8225" i="9"/>
  <c r="B8225" i="9"/>
  <c r="H8224" i="9"/>
  <c r="G8224" i="9"/>
  <c r="E8224" i="9"/>
  <c r="D8224" i="9"/>
  <c r="C8224" i="9"/>
  <c r="B8224" i="9"/>
  <c r="H8223" i="9"/>
  <c r="G8223" i="9"/>
  <c r="E8223" i="9"/>
  <c r="D8223" i="9"/>
  <c r="C8223" i="9"/>
  <c r="B8223" i="9"/>
  <c r="H8222" i="9"/>
  <c r="G8222" i="9"/>
  <c r="E8222" i="9"/>
  <c r="D8222" i="9"/>
  <c r="C8222" i="9"/>
  <c r="B8222" i="9"/>
  <c r="H8221" i="9"/>
  <c r="G8221" i="9"/>
  <c r="E8221" i="9"/>
  <c r="D8221" i="9"/>
  <c r="C8221" i="9"/>
  <c r="B8221" i="9"/>
  <c r="H8220" i="9"/>
  <c r="G8220" i="9"/>
  <c r="E8220" i="9"/>
  <c r="D8220" i="9"/>
  <c r="C8220" i="9"/>
  <c r="B8220" i="9"/>
  <c r="H8219" i="9"/>
  <c r="G8219" i="9"/>
  <c r="E8219" i="9"/>
  <c r="D8219" i="9"/>
  <c r="C8219" i="9"/>
  <c r="B8219" i="9"/>
  <c r="H8218" i="9"/>
  <c r="G8218" i="9"/>
  <c r="E8218" i="9"/>
  <c r="D8218" i="9"/>
  <c r="C8218" i="9"/>
  <c r="B8218" i="9"/>
  <c r="H8217" i="9"/>
  <c r="G8217" i="9"/>
  <c r="E8217" i="9"/>
  <c r="D8217" i="9"/>
  <c r="C8217" i="9"/>
  <c r="B8217" i="9"/>
  <c r="H8216" i="9"/>
  <c r="G8216" i="9"/>
  <c r="E8216" i="9"/>
  <c r="D8216" i="9"/>
  <c r="C8216" i="9"/>
  <c r="B8216" i="9"/>
  <c r="H8215" i="9"/>
  <c r="G8215" i="9"/>
  <c r="E8215" i="9"/>
  <c r="D8215" i="9"/>
  <c r="C8215" i="9"/>
  <c r="B8215" i="9"/>
  <c r="H8214" i="9"/>
  <c r="G8214" i="9"/>
  <c r="E8214" i="9"/>
  <c r="D8214" i="9"/>
  <c r="C8214" i="9"/>
  <c r="B8214" i="9"/>
  <c r="H8213" i="9"/>
  <c r="G8213" i="9"/>
  <c r="E8213" i="9"/>
  <c r="D8213" i="9"/>
  <c r="C8213" i="9"/>
  <c r="B8213" i="9"/>
  <c r="H8212" i="9"/>
  <c r="G8212" i="9"/>
  <c r="E8212" i="9"/>
  <c r="D8212" i="9"/>
  <c r="C8212" i="9"/>
  <c r="B8212" i="9"/>
  <c r="H8211" i="9"/>
  <c r="G8211" i="9"/>
  <c r="E8211" i="9"/>
  <c r="D8211" i="9"/>
  <c r="C8211" i="9"/>
  <c r="B8211" i="9"/>
  <c r="H8210" i="9"/>
  <c r="G8210" i="9"/>
  <c r="E8210" i="9"/>
  <c r="D8210" i="9"/>
  <c r="C8210" i="9"/>
  <c r="B8210" i="9"/>
  <c r="H8209" i="9"/>
  <c r="G8209" i="9"/>
  <c r="E8209" i="9"/>
  <c r="D8209" i="9"/>
  <c r="C8209" i="9"/>
  <c r="B8209" i="9"/>
  <c r="H8208" i="9"/>
  <c r="G8208" i="9"/>
  <c r="E8208" i="9"/>
  <c r="D8208" i="9"/>
  <c r="C8208" i="9"/>
  <c r="B8208" i="9"/>
  <c r="H8207" i="9"/>
  <c r="G8207" i="9"/>
  <c r="E8207" i="9"/>
  <c r="D8207" i="9"/>
  <c r="C8207" i="9"/>
  <c r="B8207" i="9"/>
  <c r="H8206" i="9"/>
  <c r="G8206" i="9"/>
  <c r="E8206" i="9"/>
  <c r="D8206" i="9"/>
  <c r="C8206" i="9"/>
  <c r="B8206" i="9"/>
  <c r="H8205" i="9"/>
  <c r="G8205" i="9"/>
  <c r="E8205" i="9"/>
  <c r="D8205" i="9"/>
  <c r="C8205" i="9"/>
  <c r="B8205" i="9"/>
  <c r="H8204" i="9"/>
  <c r="G8204" i="9"/>
  <c r="E8204" i="9"/>
  <c r="D8204" i="9"/>
  <c r="C8204" i="9"/>
  <c r="B8204" i="9"/>
  <c r="H8203" i="9"/>
  <c r="G8203" i="9"/>
  <c r="E8203" i="9"/>
  <c r="D8203" i="9"/>
  <c r="C8203" i="9"/>
  <c r="B8203" i="9"/>
  <c r="H8202" i="9"/>
  <c r="G8202" i="9"/>
  <c r="E8202" i="9"/>
  <c r="D8202" i="9"/>
  <c r="C8202" i="9"/>
  <c r="B8202" i="9"/>
  <c r="H8201" i="9"/>
  <c r="G8201" i="9"/>
  <c r="E8201" i="9"/>
  <c r="D8201" i="9"/>
  <c r="C8201" i="9"/>
  <c r="B8201" i="9"/>
  <c r="H8200" i="9"/>
  <c r="G8200" i="9"/>
  <c r="E8200" i="9"/>
  <c r="D8200" i="9"/>
  <c r="C8200" i="9"/>
  <c r="B8200" i="9"/>
  <c r="H8199" i="9"/>
  <c r="G8199" i="9"/>
  <c r="E8199" i="9"/>
  <c r="D8199" i="9"/>
  <c r="C8199" i="9"/>
  <c r="B8199" i="9"/>
  <c r="H8198" i="9"/>
  <c r="G8198" i="9"/>
  <c r="E8198" i="9"/>
  <c r="D8198" i="9"/>
  <c r="C8198" i="9"/>
  <c r="B8198" i="9"/>
  <c r="H8197" i="9"/>
  <c r="G8197" i="9"/>
  <c r="E8197" i="9"/>
  <c r="D8197" i="9"/>
  <c r="C8197" i="9"/>
  <c r="B8197" i="9"/>
  <c r="H8196" i="9"/>
  <c r="G8196" i="9"/>
  <c r="E8196" i="9"/>
  <c r="D8196" i="9"/>
  <c r="C8196" i="9"/>
  <c r="B8196" i="9"/>
  <c r="H8195" i="9"/>
  <c r="G8195" i="9"/>
  <c r="E8195" i="9"/>
  <c r="D8195" i="9"/>
  <c r="C8195" i="9"/>
  <c r="B8195" i="9"/>
  <c r="H8194" i="9"/>
  <c r="G8194" i="9"/>
  <c r="E8194" i="9"/>
  <c r="D8194" i="9"/>
  <c r="C8194" i="9"/>
  <c r="B8194" i="9"/>
  <c r="H8193" i="9"/>
  <c r="G8193" i="9"/>
  <c r="E8193" i="9"/>
  <c r="D8193" i="9"/>
  <c r="C8193" i="9"/>
  <c r="B8193" i="9"/>
  <c r="H8192" i="9"/>
  <c r="G8192" i="9"/>
  <c r="E8192" i="9"/>
  <c r="D8192" i="9"/>
  <c r="C8192" i="9"/>
  <c r="B8192" i="9"/>
  <c r="H8191" i="9"/>
  <c r="G8191" i="9"/>
  <c r="E8191" i="9"/>
  <c r="D8191" i="9"/>
  <c r="C8191" i="9"/>
  <c r="B8191" i="9"/>
  <c r="H8190" i="9"/>
  <c r="G8190" i="9"/>
  <c r="E8190" i="9"/>
  <c r="D8190" i="9"/>
  <c r="C8190" i="9"/>
  <c r="B8190" i="9"/>
  <c r="H8189" i="9"/>
  <c r="G8189" i="9"/>
  <c r="E8189" i="9"/>
  <c r="D8189" i="9"/>
  <c r="C8189" i="9"/>
  <c r="B8189" i="9"/>
  <c r="H8188" i="9"/>
  <c r="G8188" i="9"/>
  <c r="E8188" i="9"/>
  <c r="D8188" i="9"/>
  <c r="C8188" i="9"/>
  <c r="B8188" i="9"/>
  <c r="H8187" i="9"/>
  <c r="G8187" i="9"/>
  <c r="E8187" i="9"/>
  <c r="D8187" i="9"/>
  <c r="C8187" i="9"/>
  <c r="B8187" i="9"/>
  <c r="H8186" i="9"/>
  <c r="G8186" i="9"/>
  <c r="E8186" i="9"/>
  <c r="D8186" i="9"/>
  <c r="C8186" i="9"/>
  <c r="B8186" i="9"/>
  <c r="H8185" i="9"/>
  <c r="G8185" i="9"/>
  <c r="E8185" i="9"/>
  <c r="D8185" i="9"/>
  <c r="C8185" i="9"/>
  <c r="B8185" i="9"/>
  <c r="H8184" i="9"/>
  <c r="G8184" i="9"/>
  <c r="E8184" i="9"/>
  <c r="D8184" i="9"/>
  <c r="C8184" i="9"/>
  <c r="B8184" i="9"/>
  <c r="H8183" i="9"/>
  <c r="G8183" i="9"/>
  <c r="E8183" i="9"/>
  <c r="D8183" i="9"/>
  <c r="C8183" i="9"/>
  <c r="B8183" i="9"/>
  <c r="H8182" i="9"/>
  <c r="G8182" i="9"/>
  <c r="E8182" i="9"/>
  <c r="D8182" i="9"/>
  <c r="C8182" i="9"/>
  <c r="B8182" i="9"/>
  <c r="H8181" i="9"/>
  <c r="G8181" i="9"/>
  <c r="E8181" i="9"/>
  <c r="D8181" i="9"/>
  <c r="C8181" i="9"/>
  <c r="B8181" i="9"/>
  <c r="H8180" i="9"/>
  <c r="G8180" i="9"/>
  <c r="E8180" i="9"/>
  <c r="D8180" i="9"/>
  <c r="C8180" i="9"/>
  <c r="B8180" i="9"/>
  <c r="H8179" i="9"/>
  <c r="G8179" i="9"/>
  <c r="E8179" i="9"/>
  <c r="D8179" i="9"/>
  <c r="C8179" i="9"/>
  <c r="B8179" i="9"/>
  <c r="H8178" i="9"/>
  <c r="G8178" i="9"/>
  <c r="E8178" i="9"/>
  <c r="D8178" i="9"/>
  <c r="C8178" i="9"/>
  <c r="B8178" i="9"/>
  <c r="H8177" i="9"/>
  <c r="G8177" i="9"/>
  <c r="E8177" i="9"/>
  <c r="D8177" i="9"/>
  <c r="C8177" i="9"/>
  <c r="B8177" i="9"/>
  <c r="H8176" i="9"/>
  <c r="G8176" i="9"/>
  <c r="E8176" i="9"/>
  <c r="D8176" i="9"/>
  <c r="C8176" i="9"/>
  <c r="B8176" i="9"/>
  <c r="H8175" i="9"/>
  <c r="G8175" i="9"/>
  <c r="E8175" i="9"/>
  <c r="D8175" i="9"/>
  <c r="C8175" i="9"/>
  <c r="B8175" i="9"/>
  <c r="H8174" i="9"/>
  <c r="G8174" i="9"/>
  <c r="E8174" i="9"/>
  <c r="D8174" i="9"/>
  <c r="C8174" i="9"/>
  <c r="B8174" i="9"/>
  <c r="H8173" i="9"/>
  <c r="G8173" i="9"/>
  <c r="E8173" i="9"/>
  <c r="D8173" i="9"/>
  <c r="C8173" i="9"/>
  <c r="B8173" i="9"/>
  <c r="H8172" i="9"/>
  <c r="G8172" i="9"/>
  <c r="E8172" i="9"/>
  <c r="D8172" i="9"/>
  <c r="C8172" i="9"/>
  <c r="B8172" i="9"/>
  <c r="H8171" i="9"/>
  <c r="G8171" i="9"/>
  <c r="E8171" i="9"/>
  <c r="D8171" i="9"/>
  <c r="C8171" i="9"/>
  <c r="B8171" i="9"/>
  <c r="H8170" i="9"/>
  <c r="G8170" i="9"/>
  <c r="E8170" i="9"/>
  <c r="D8170" i="9"/>
  <c r="C8170" i="9"/>
  <c r="B8170" i="9"/>
  <c r="H8169" i="9"/>
  <c r="G8169" i="9"/>
  <c r="E8169" i="9"/>
  <c r="D8169" i="9"/>
  <c r="C8169" i="9"/>
  <c r="B8169" i="9"/>
  <c r="H8168" i="9"/>
  <c r="G8168" i="9"/>
  <c r="E8168" i="9"/>
  <c r="D8168" i="9"/>
  <c r="C8168" i="9"/>
  <c r="B8168" i="9"/>
  <c r="H8167" i="9"/>
  <c r="G8167" i="9"/>
  <c r="E8167" i="9"/>
  <c r="D8167" i="9"/>
  <c r="C8167" i="9"/>
  <c r="B8167" i="9"/>
  <c r="H8166" i="9"/>
  <c r="G8166" i="9"/>
  <c r="E8166" i="9"/>
  <c r="D8166" i="9"/>
  <c r="C8166" i="9"/>
  <c r="B8166" i="9"/>
  <c r="H8165" i="9"/>
  <c r="G8165" i="9"/>
  <c r="E8165" i="9"/>
  <c r="D8165" i="9"/>
  <c r="C8165" i="9"/>
  <c r="B8165" i="9"/>
  <c r="H8164" i="9"/>
  <c r="G8164" i="9"/>
  <c r="E8164" i="9"/>
  <c r="D8164" i="9"/>
  <c r="C8164" i="9"/>
  <c r="B8164" i="9"/>
  <c r="H8163" i="9"/>
  <c r="G8163" i="9"/>
  <c r="E8163" i="9"/>
  <c r="D8163" i="9"/>
  <c r="C8163" i="9"/>
  <c r="B8163" i="9"/>
  <c r="H8162" i="9"/>
  <c r="G8162" i="9"/>
  <c r="E8162" i="9"/>
  <c r="D8162" i="9"/>
  <c r="C8162" i="9"/>
  <c r="B8162" i="9"/>
  <c r="H8161" i="9"/>
  <c r="G8161" i="9"/>
  <c r="E8161" i="9"/>
  <c r="D8161" i="9"/>
  <c r="C8161" i="9"/>
  <c r="B8161" i="9"/>
  <c r="H8160" i="9"/>
  <c r="G8160" i="9"/>
  <c r="E8160" i="9"/>
  <c r="D8160" i="9"/>
  <c r="C8160" i="9"/>
  <c r="B8160" i="9"/>
  <c r="H8159" i="9"/>
  <c r="G8159" i="9"/>
  <c r="E8159" i="9"/>
  <c r="D8159" i="9"/>
  <c r="C8159" i="9"/>
  <c r="B8159" i="9"/>
  <c r="H8158" i="9"/>
  <c r="G8158" i="9"/>
  <c r="E8158" i="9"/>
  <c r="D8158" i="9"/>
  <c r="C8158" i="9"/>
  <c r="B8158" i="9"/>
  <c r="H8157" i="9"/>
  <c r="G8157" i="9"/>
  <c r="E8157" i="9"/>
  <c r="D8157" i="9"/>
  <c r="C8157" i="9"/>
  <c r="B8157" i="9"/>
  <c r="H8156" i="9"/>
  <c r="G8156" i="9"/>
  <c r="E8156" i="9"/>
  <c r="D8156" i="9"/>
  <c r="C8156" i="9"/>
  <c r="B8156" i="9"/>
  <c r="H8155" i="9"/>
  <c r="G8155" i="9"/>
  <c r="E8155" i="9"/>
  <c r="D8155" i="9"/>
  <c r="C8155" i="9"/>
  <c r="B8155" i="9"/>
  <c r="H8154" i="9"/>
  <c r="G8154" i="9"/>
  <c r="E8154" i="9"/>
  <c r="D8154" i="9"/>
  <c r="C8154" i="9"/>
  <c r="B8154" i="9"/>
  <c r="H8153" i="9"/>
  <c r="G8153" i="9"/>
  <c r="E8153" i="9"/>
  <c r="D8153" i="9"/>
  <c r="C8153" i="9"/>
  <c r="B8153" i="9"/>
  <c r="H8152" i="9"/>
  <c r="G8152" i="9"/>
  <c r="E8152" i="9"/>
  <c r="D8152" i="9"/>
  <c r="C8152" i="9"/>
  <c r="B8152" i="9"/>
  <c r="H8151" i="9"/>
  <c r="G8151" i="9"/>
  <c r="E8151" i="9"/>
  <c r="D8151" i="9"/>
  <c r="C8151" i="9"/>
  <c r="B8151" i="9"/>
  <c r="H8150" i="9"/>
  <c r="G8150" i="9"/>
  <c r="E8150" i="9"/>
  <c r="D8150" i="9"/>
  <c r="C8150" i="9"/>
  <c r="B8150" i="9"/>
  <c r="H8149" i="9"/>
  <c r="G8149" i="9"/>
  <c r="E8149" i="9"/>
  <c r="D8149" i="9"/>
  <c r="C8149" i="9"/>
  <c r="B8149" i="9"/>
  <c r="H8148" i="9"/>
  <c r="G8148" i="9"/>
  <c r="E8148" i="9"/>
  <c r="D8148" i="9"/>
  <c r="C8148" i="9"/>
  <c r="B8148" i="9"/>
  <c r="H8147" i="9"/>
  <c r="G8147" i="9"/>
  <c r="E8147" i="9"/>
  <c r="D8147" i="9"/>
  <c r="C8147" i="9"/>
  <c r="B8147" i="9"/>
  <c r="H8146" i="9"/>
  <c r="G8146" i="9"/>
  <c r="E8146" i="9"/>
  <c r="D8146" i="9"/>
  <c r="C8146" i="9"/>
  <c r="B8146" i="9"/>
  <c r="H8145" i="9"/>
  <c r="G8145" i="9"/>
  <c r="E8145" i="9"/>
  <c r="D8145" i="9"/>
  <c r="C8145" i="9"/>
  <c r="B8145" i="9"/>
  <c r="H8144" i="9"/>
  <c r="G8144" i="9"/>
  <c r="E8144" i="9"/>
  <c r="D8144" i="9"/>
  <c r="C8144" i="9"/>
  <c r="B8144" i="9"/>
  <c r="H8143" i="9"/>
  <c r="G8143" i="9"/>
  <c r="E8143" i="9"/>
  <c r="D8143" i="9"/>
  <c r="C8143" i="9"/>
  <c r="B8143" i="9"/>
  <c r="H8142" i="9"/>
  <c r="G8142" i="9"/>
  <c r="E8142" i="9"/>
  <c r="D8142" i="9"/>
  <c r="C8142" i="9"/>
  <c r="B8142" i="9"/>
  <c r="H8141" i="9"/>
  <c r="G8141" i="9"/>
  <c r="E8141" i="9"/>
  <c r="D8141" i="9"/>
  <c r="C8141" i="9"/>
  <c r="B8141" i="9"/>
  <c r="H8140" i="9"/>
  <c r="G8140" i="9"/>
  <c r="E8140" i="9"/>
  <c r="D8140" i="9"/>
  <c r="C8140" i="9"/>
  <c r="B8140" i="9"/>
  <c r="H8139" i="9"/>
  <c r="G8139" i="9"/>
  <c r="E8139" i="9"/>
  <c r="D8139" i="9"/>
  <c r="C8139" i="9"/>
  <c r="B8139" i="9"/>
  <c r="H8138" i="9"/>
  <c r="G8138" i="9"/>
  <c r="E8138" i="9"/>
  <c r="D8138" i="9"/>
  <c r="C8138" i="9"/>
  <c r="B8138" i="9"/>
  <c r="H8137" i="9"/>
  <c r="G8137" i="9"/>
  <c r="E8137" i="9"/>
  <c r="D8137" i="9"/>
  <c r="C8137" i="9"/>
  <c r="B8137" i="9"/>
  <c r="H8136" i="9"/>
  <c r="G8136" i="9"/>
  <c r="E8136" i="9"/>
  <c r="D8136" i="9"/>
  <c r="C8136" i="9"/>
  <c r="B8136" i="9"/>
  <c r="H8135" i="9"/>
  <c r="G8135" i="9"/>
  <c r="E8135" i="9"/>
  <c r="D8135" i="9"/>
  <c r="C8135" i="9"/>
  <c r="B8135" i="9"/>
  <c r="H8134" i="9"/>
  <c r="G8134" i="9"/>
  <c r="E8134" i="9"/>
  <c r="D8134" i="9"/>
  <c r="C8134" i="9"/>
  <c r="B8134" i="9"/>
  <c r="H8133" i="9"/>
  <c r="G8133" i="9"/>
  <c r="E8133" i="9"/>
  <c r="D8133" i="9"/>
  <c r="C8133" i="9"/>
  <c r="B8133" i="9"/>
  <c r="H8132" i="9"/>
  <c r="G8132" i="9"/>
  <c r="E8132" i="9"/>
  <c r="D8132" i="9"/>
  <c r="C8132" i="9"/>
  <c r="B8132" i="9"/>
  <c r="H8131" i="9"/>
  <c r="G8131" i="9"/>
  <c r="E8131" i="9"/>
  <c r="D8131" i="9"/>
  <c r="C8131" i="9"/>
  <c r="B8131" i="9"/>
  <c r="H8130" i="9"/>
  <c r="G8130" i="9"/>
  <c r="E8130" i="9"/>
  <c r="D8130" i="9"/>
  <c r="C8130" i="9"/>
  <c r="B8130" i="9"/>
  <c r="H8129" i="9"/>
  <c r="G8129" i="9"/>
  <c r="E8129" i="9"/>
  <c r="D8129" i="9"/>
  <c r="C8129" i="9"/>
  <c r="B8129" i="9"/>
  <c r="H8128" i="9"/>
  <c r="G8128" i="9"/>
  <c r="E8128" i="9"/>
  <c r="D8128" i="9"/>
  <c r="C8128" i="9"/>
  <c r="B8128" i="9"/>
  <c r="H8127" i="9"/>
  <c r="G8127" i="9"/>
  <c r="E8127" i="9"/>
  <c r="D8127" i="9"/>
  <c r="C8127" i="9"/>
  <c r="B8127" i="9"/>
  <c r="H8126" i="9"/>
  <c r="G8126" i="9"/>
  <c r="E8126" i="9"/>
  <c r="D8126" i="9"/>
  <c r="C8126" i="9"/>
  <c r="B8126" i="9"/>
  <c r="H8125" i="9"/>
  <c r="G8125" i="9"/>
  <c r="E8125" i="9"/>
  <c r="D8125" i="9"/>
  <c r="C8125" i="9"/>
  <c r="B8125" i="9"/>
  <c r="H8124" i="9"/>
  <c r="G8124" i="9"/>
  <c r="E8124" i="9"/>
  <c r="D8124" i="9"/>
  <c r="C8124" i="9"/>
  <c r="B8124" i="9"/>
  <c r="H8123" i="9"/>
  <c r="G8123" i="9"/>
  <c r="E8123" i="9"/>
  <c r="D8123" i="9"/>
  <c r="C8123" i="9"/>
  <c r="B8123" i="9"/>
  <c r="H8122" i="9"/>
  <c r="G8122" i="9"/>
  <c r="E8122" i="9"/>
  <c r="D8122" i="9"/>
  <c r="C8122" i="9"/>
  <c r="B8122" i="9"/>
  <c r="H8121" i="9"/>
  <c r="G8121" i="9"/>
  <c r="E8121" i="9"/>
  <c r="D8121" i="9"/>
  <c r="C8121" i="9"/>
  <c r="B8121" i="9"/>
  <c r="H8120" i="9"/>
  <c r="G8120" i="9"/>
  <c r="E8120" i="9"/>
  <c r="D8120" i="9"/>
  <c r="C8120" i="9"/>
  <c r="B8120" i="9"/>
  <c r="H8119" i="9"/>
  <c r="G8119" i="9"/>
  <c r="E8119" i="9"/>
  <c r="D8119" i="9"/>
  <c r="C8119" i="9"/>
  <c r="B8119" i="9"/>
  <c r="H8118" i="9"/>
  <c r="G8118" i="9"/>
  <c r="E8118" i="9"/>
  <c r="D8118" i="9"/>
  <c r="C8118" i="9"/>
  <c r="B8118" i="9"/>
  <c r="H8117" i="9"/>
  <c r="G8117" i="9"/>
  <c r="E8117" i="9"/>
  <c r="D8117" i="9"/>
  <c r="C8117" i="9"/>
  <c r="B8117" i="9"/>
  <c r="H8116" i="9"/>
  <c r="G8116" i="9"/>
  <c r="E8116" i="9"/>
  <c r="D8116" i="9"/>
  <c r="C8116" i="9"/>
  <c r="B8116" i="9"/>
  <c r="H8115" i="9"/>
  <c r="G8115" i="9"/>
  <c r="E8115" i="9"/>
  <c r="D8115" i="9"/>
  <c r="C8115" i="9"/>
  <c r="B8115" i="9"/>
  <c r="H8114" i="9"/>
  <c r="G8114" i="9"/>
  <c r="E8114" i="9"/>
  <c r="D8114" i="9"/>
  <c r="C8114" i="9"/>
  <c r="B8114" i="9"/>
  <c r="H8113" i="9"/>
  <c r="G8113" i="9"/>
  <c r="E8113" i="9"/>
  <c r="D8113" i="9"/>
  <c r="C8113" i="9"/>
  <c r="B8113" i="9"/>
  <c r="H8112" i="9"/>
  <c r="G8112" i="9"/>
  <c r="E8112" i="9"/>
  <c r="D8112" i="9"/>
  <c r="C8112" i="9"/>
  <c r="B8112" i="9"/>
  <c r="H8111" i="9"/>
  <c r="G8111" i="9"/>
  <c r="E8111" i="9"/>
  <c r="D8111" i="9"/>
  <c r="C8111" i="9"/>
  <c r="B8111" i="9"/>
  <c r="H8110" i="9"/>
  <c r="G8110" i="9"/>
  <c r="E8110" i="9"/>
  <c r="D8110" i="9"/>
  <c r="C8110" i="9"/>
  <c r="B8110" i="9"/>
  <c r="H8109" i="9"/>
  <c r="G8109" i="9"/>
  <c r="E8109" i="9"/>
  <c r="D8109" i="9"/>
  <c r="C8109" i="9"/>
  <c r="B8109" i="9"/>
  <c r="H8108" i="9"/>
  <c r="G8108" i="9"/>
  <c r="E8108" i="9"/>
  <c r="D8108" i="9"/>
  <c r="C8108" i="9"/>
  <c r="B8108" i="9"/>
  <c r="H8107" i="9"/>
  <c r="G8107" i="9"/>
  <c r="E8107" i="9"/>
  <c r="D8107" i="9"/>
  <c r="C8107" i="9"/>
  <c r="B8107" i="9"/>
  <c r="H8106" i="9"/>
  <c r="G8106" i="9"/>
  <c r="E8106" i="9"/>
  <c r="D8106" i="9"/>
  <c r="C8106" i="9"/>
  <c r="B8106" i="9"/>
  <c r="H8105" i="9"/>
  <c r="G8105" i="9"/>
  <c r="E8105" i="9"/>
  <c r="D8105" i="9"/>
  <c r="C8105" i="9"/>
  <c r="B8105" i="9"/>
  <c r="H8104" i="9"/>
  <c r="G8104" i="9"/>
  <c r="E8104" i="9"/>
  <c r="D8104" i="9"/>
  <c r="C8104" i="9"/>
  <c r="B8104" i="9"/>
  <c r="H8103" i="9"/>
  <c r="G8103" i="9"/>
  <c r="E8103" i="9"/>
  <c r="D8103" i="9"/>
  <c r="C8103" i="9"/>
  <c r="B8103" i="9"/>
  <c r="H8102" i="9"/>
  <c r="G8102" i="9"/>
  <c r="E8102" i="9"/>
  <c r="D8102" i="9"/>
  <c r="C8102" i="9"/>
  <c r="B8102" i="9"/>
  <c r="H8101" i="9"/>
  <c r="G8101" i="9"/>
  <c r="E8101" i="9"/>
  <c r="D8101" i="9"/>
  <c r="C8101" i="9"/>
  <c r="B8101" i="9"/>
  <c r="H8100" i="9"/>
  <c r="G8100" i="9"/>
  <c r="E8100" i="9"/>
  <c r="D8100" i="9"/>
  <c r="C8100" i="9"/>
  <c r="B8100" i="9"/>
  <c r="H8099" i="9"/>
  <c r="G8099" i="9"/>
  <c r="E8099" i="9"/>
  <c r="D8099" i="9"/>
  <c r="C8099" i="9"/>
  <c r="B8099" i="9"/>
  <c r="H8098" i="9"/>
  <c r="G8098" i="9"/>
  <c r="E8098" i="9"/>
  <c r="D8098" i="9"/>
  <c r="C8098" i="9"/>
  <c r="B8098" i="9"/>
  <c r="H8097" i="9"/>
  <c r="G8097" i="9"/>
  <c r="E8097" i="9"/>
  <c r="D8097" i="9"/>
  <c r="C8097" i="9"/>
  <c r="B8097" i="9"/>
  <c r="H8096" i="9"/>
  <c r="G8096" i="9"/>
  <c r="E8096" i="9"/>
  <c r="D8096" i="9"/>
  <c r="C8096" i="9"/>
  <c r="B8096" i="9"/>
  <c r="H8095" i="9"/>
  <c r="G8095" i="9"/>
  <c r="E8095" i="9"/>
  <c r="D8095" i="9"/>
  <c r="C8095" i="9"/>
  <c r="B8095" i="9"/>
  <c r="H8094" i="9"/>
  <c r="G8094" i="9"/>
  <c r="E8094" i="9"/>
  <c r="D8094" i="9"/>
  <c r="C8094" i="9"/>
  <c r="B8094" i="9"/>
  <c r="H8093" i="9"/>
  <c r="G8093" i="9"/>
  <c r="E8093" i="9"/>
  <c r="D8093" i="9"/>
  <c r="C8093" i="9"/>
  <c r="B8093" i="9"/>
  <c r="H8092" i="9"/>
  <c r="G8092" i="9"/>
  <c r="E8092" i="9"/>
  <c r="D8092" i="9"/>
  <c r="C8092" i="9"/>
  <c r="B8092" i="9"/>
  <c r="H8091" i="9"/>
  <c r="G8091" i="9"/>
  <c r="E8091" i="9"/>
  <c r="D8091" i="9"/>
  <c r="C8091" i="9"/>
  <c r="B8091" i="9"/>
  <c r="H8090" i="9"/>
  <c r="G8090" i="9"/>
  <c r="E8090" i="9"/>
  <c r="D8090" i="9"/>
  <c r="C8090" i="9"/>
  <c r="B8090" i="9"/>
  <c r="H8089" i="9"/>
  <c r="G8089" i="9"/>
  <c r="E8089" i="9"/>
  <c r="D8089" i="9"/>
  <c r="C8089" i="9"/>
  <c r="B8089" i="9"/>
  <c r="H8088" i="9"/>
  <c r="G8088" i="9"/>
  <c r="E8088" i="9"/>
  <c r="D8088" i="9"/>
  <c r="C8088" i="9"/>
  <c r="B8088" i="9"/>
  <c r="H8087" i="9"/>
  <c r="G8087" i="9"/>
  <c r="E8087" i="9"/>
  <c r="D8087" i="9"/>
  <c r="C8087" i="9"/>
  <c r="B8087" i="9"/>
  <c r="H8086" i="9"/>
  <c r="G8086" i="9"/>
  <c r="E8086" i="9"/>
  <c r="D8086" i="9"/>
  <c r="C8086" i="9"/>
  <c r="B8086" i="9"/>
  <c r="H8085" i="9"/>
  <c r="G8085" i="9"/>
  <c r="E8085" i="9"/>
  <c r="D8085" i="9"/>
  <c r="C8085" i="9"/>
  <c r="B8085" i="9"/>
  <c r="H8084" i="9"/>
  <c r="G8084" i="9"/>
  <c r="E8084" i="9"/>
  <c r="D8084" i="9"/>
  <c r="C8084" i="9"/>
  <c r="B8084" i="9"/>
  <c r="H8083" i="9"/>
  <c r="G8083" i="9"/>
  <c r="E8083" i="9"/>
  <c r="D8083" i="9"/>
  <c r="C8083" i="9"/>
  <c r="B8083" i="9"/>
  <c r="H8082" i="9"/>
  <c r="G8082" i="9"/>
  <c r="E8082" i="9"/>
  <c r="D8082" i="9"/>
  <c r="C8082" i="9"/>
  <c r="B8082" i="9"/>
  <c r="H8081" i="9"/>
  <c r="G8081" i="9"/>
  <c r="E8081" i="9"/>
  <c r="D8081" i="9"/>
  <c r="C8081" i="9"/>
  <c r="B8081" i="9"/>
  <c r="H8080" i="9"/>
  <c r="G8080" i="9"/>
  <c r="E8080" i="9"/>
  <c r="D8080" i="9"/>
  <c r="C8080" i="9"/>
  <c r="B8080" i="9"/>
  <c r="H8079" i="9"/>
  <c r="G8079" i="9"/>
  <c r="E8079" i="9"/>
  <c r="D8079" i="9"/>
  <c r="C8079" i="9"/>
  <c r="B8079" i="9"/>
  <c r="H8078" i="9"/>
  <c r="G8078" i="9"/>
  <c r="E8078" i="9"/>
  <c r="D8078" i="9"/>
  <c r="C8078" i="9"/>
  <c r="B8078" i="9"/>
  <c r="H8077" i="9"/>
  <c r="G8077" i="9"/>
  <c r="E8077" i="9"/>
  <c r="D8077" i="9"/>
  <c r="C8077" i="9"/>
  <c r="B8077" i="9"/>
  <c r="H8076" i="9"/>
  <c r="G8076" i="9"/>
  <c r="E8076" i="9"/>
  <c r="D8076" i="9"/>
  <c r="C8076" i="9"/>
  <c r="B8076" i="9"/>
  <c r="H8075" i="9"/>
  <c r="G8075" i="9"/>
  <c r="E8075" i="9"/>
  <c r="D8075" i="9"/>
  <c r="C8075" i="9"/>
  <c r="B8075" i="9"/>
  <c r="H8074" i="9"/>
  <c r="G8074" i="9"/>
  <c r="E8074" i="9"/>
  <c r="D8074" i="9"/>
  <c r="C8074" i="9"/>
  <c r="B8074" i="9"/>
  <c r="H8073" i="9"/>
  <c r="G8073" i="9"/>
  <c r="E8073" i="9"/>
  <c r="D8073" i="9"/>
  <c r="C8073" i="9"/>
  <c r="B8073" i="9"/>
  <c r="H8072" i="9"/>
  <c r="G8072" i="9"/>
  <c r="E8072" i="9"/>
  <c r="D8072" i="9"/>
  <c r="C8072" i="9"/>
  <c r="B8072" i="9"/>
  <c r="H8071" i="9"/>
  <c r="G8071" i="9"/>
  <c r="E8071" i="9"/>
  <c r="D8071" i="9"/>
  <c r="C8071" i="9"/>
  <c r="B8071" i="9"/>
  <c r="H8070" i="9"/>
  <c r="G8070" i="9"/>
  <c r="E8070" i="9"/>
  <c r="D8070" i="9"/>
  <c r="C8070" i="9"/>
  <c r="B8070" i="9"/>
  <c r="H8069" i="9"/>
  <c r="G8069" i="9"/>
  <c r="E8069" i="9"/>
  <c r="D8069" i="9"/>
  <c r="C8069" i="9"/>
  <c r="B8069" i="9"/>
  <c r="H8068" i="9"/>
  <c r="G8068" i="9"/>
  <c r="E8068" i="9"/>
  <c r="D8068" i="9"/>
  <c r="C8068" i="9"/>
  <c r="B8068" i="9"/>
  <c r="H8067" i="9"/>
  <c r="G8067" i="9"/>
  <c r="E8067" i="9"/>
  <c r="D8067" i="9"/>
  <c r="C8067" i="9"/>
  <c r="B8067" i="9"/>
  <c r="H8066" i="9"/>
  <c r="G8066" i="9"/>
  <c r="E8066" i="9"/>
  <c r="D8066" i="9"/>
  <c r="C8066" i="9"/>
  <c r="B8066" i="9"/>
  <c r="H8065" i="9"/>
  <c r="G8065" i="9"/>
  <c r="E8065" i="9"/>
  <c r="D8065" i="9"/>
  <c r="C8065" i="9"/>
  <c r="B8065" i="9"/>
  <c r="H8064" i="9"/>
  <c r="G8064" i="9"/>
  <c r="E8064" i="9"/>
  <c r="D8064" i="9"/>
  <c r="C8064" i="9"/>
  <c r="B8064" i="9"/>
  <c r="H8063" i="9"/>
  <c r="G8063" i="9"/>
  <c r="E8063" i="9"/>
  <c r="D8063" i="9"/>
  <c r="C8063" i="9"/>
  <c r="B8063" i="9"/>
  <c r="H8062" i="9"/>
  <c r="G8062" i="9"/>
  <c r="E8062" i="9"/>
  <c r="D8062" i="9"/>
  <c r="C8062" i="9"/>
  <c r="B8062" i="9"/>
  <c r="H8061" i="9"/>
  <c r="G8061" i="9"/>
  <c r="E8061" i="9"/>
  <c r="D8061" i="9"/>
  <c r="C8061" i="9"/>
  <c r="B8061" i="9"/>
  <c r="H8060" i="9"/>
  <c r="G8060" i="9"/>
  <c r="E8060" i="9"/>
  <c r="D8060" i="9"/>
  <c r="C8060" i="9"/>
  <c r="B8060" i="9"/>
  <c r="H8059" i="9"/>
  <c r="G8059" i="9"/>
  <c r="E8059" i="9"/>
  <c r="D8059" i="9"/>
  <c r="C8059" i="9"/>
  <c r="B8059" i="9"/>
  <c r="H8058" i="9"/>
  <c r="G8058" i="9"/>
  <c r="E8058" i="9"/>
  <c r="D8058" i="9"/>
  <c r="C8058" i="9"/>
  <c r="B8058" i="9"/>
  <c r="H8057" i="9"/>
  <c r="G8057" i="9"/>
  <c r="E8057" i="9"/>
  <c r="D8057" i="9"/>
  <c r="C8057" i="9"/>
  <c r="B8057" i="9"/>
  <c r="H8056" i="9"/>
  <c r="G8056" i="9"/>
  <c r="E8056" i="9"/>
  <c r="D8056" i="9"/>
  <c r="C8056" i="9"/>
  <c r="B8056" i="9"/>
  <c r="H8055" i="9"/>
  <c r="G8055" i="9"/>
  <c r="E8055" i="9"/>
  <c r="D8055" i="9"/>
  <c r="C8055" i="9"/>
  <c r="B8055" i="9"/>
  <c r="H8054" i="9"/>
  <c r="G8054" i="9"/>
  <c r="E8054" i="9"/>
  <c r="D8054" i="9"/>
  <c r="C8054" i="9"/>
  <c r="B8054" i="9"/>
  <c r="H8053" i="9"/>
  <c r="G8053" i="9"/>
  <c r="E8053" i="9"/>
  <c r="D8053" i="9"/>
  <c r="C8053" i="9"/>
  <c r="B8053" i="9"/>
  <c r="H8052" i="9"/>
  <c r="G8052" i="9"/>
  <c r="E8052" i="9"/>
  <c r="D8052" i="9"/>
  <c r="C8052" i="9"/>
  <c r="B8052" i="9"/>
  <c r="H8051" i="9"/>
  <c r="G8051" i="9"/>
  <c r="E8051" i="9"/>
  <c r="D8051" i="9"/>
  <c r="C8051" i="9"/>
  <c r="B8051" i="9"/>
  <c r="H8050" i="9"/>
  <c r="G8050" i="9"/>
  <c r="E8050" i="9"/>
  <c r="D8050" i="9"/>
  <c r="C8050" i="9"/>
  <c r="B8050" i="9"/>
  <c r="H8049" i="9"/>
  <c r="G8049" i="9"/>
  <c r="E8049" i="9"/>
  <c r="D8049" i="9"/>
  <c r="C8049" i="9"/>
  <c r="B8049" i="9"/>
  <c r="H8048" i="9"/>
  <c r="G8048" i="9"/>
  <c r="E8048" i="9"/>
  <c r="D8048" i="9"/>
  <c r="C8048" i="9"/>
  <c r="B8048" i="9"/>
  <c r="H8047" i="9"/>
  <c r="G8047" i="9"/>
  <c r="E8047" i="9"/>
  <c r="D8047" i="9"/>
  <c r="C8047" i="9"/>
  <c r="B8047" i="9"/>
  <c r="H8046" i="9"/>
  <c r="G8046" i="9"/>
  <c r="E8046" i="9"/>
  <c r="D8046" i="9"/>
  <c r="C8046" i="9"/>
  <c r="B8046" i="9"/>
  <c r="H8045" i="9"/>
  <c r="G8045" i="9"/>
  <c r="E8045" i="9"/>
  <c r="D8045" i="9"/>
  <c r="C8045" i="9"/>
  <c r="B8045" i="9"/>
  <c r="H8044" i="9"/>
  <c r="G8044" i="9"/>
  <c r="E8044" i="9"/>
  <c r="D8044" i="9"/>
  <c r="C8044" i="9"/>
  <c r="B8044" i="9"/>
  <c r="H8043" i="9"/>
  <c r="G8043" i="9"/>
  <c r="E8043" i="9"/>
  <c r="D8043" i="9"/>
  <c r="C8043" i="9"/>
  <c r="B8043" i="9"/>
  <c r="H8042" i="9"/>
  <c r="G8042" i="9"/>
  <c r="E8042" i="9"/>
  <c r="D8042" i="9"/>
  <c r="C8042" i="9"/>
  <c r="B8042" i="9"/>
  <c r="H8041" i="9"/>
  <c r="G8041" i="9"/>
  <c r="E8041" i="9"/>
  <c r="D8041" i="9"/>
  <c r="C8041" i="9"/>
  <c r="B8041" i="9"/>
  <c r="H8040" i="9"/>
  <c r="G8040" i="9"/>
  <c r="E8040" i="9"/>
  <c r="D8040" i="9"/>
  <c r="C8040" i="9"/>
  <c r="B8040" i="9"/>
  <c r="H8039" i="9"/>
  <c r="G8039" i="9"/>
  <c r="E8039" i="9"/>
  <c r="D8039" i="9"/>
  <c r="C8039" i="9"/>
  <c r="B8039" i="9"/>
  <c r="H8038" i="9"/>
  <c r="G8038" i="9"/>
  <c r="E8038" i="9"/>
  <c r="D8038" i="9"/>
  <c r="C8038" i="9"/>
  <c r="B8038" i="9"/>
  <c r="H8037" i="9"/>
  <c r="G8037" i="9"/>
  <c r="E8037" i="9"/>
  <c r="D8037" i="9"/>
  <c r="C8037" i="9"/>
  <c r="B8037" i="9"/>
  <c r="H8036" i="9"/>
  <c r="G8036" i="9"/>
  <c r="E8036" i="9"/>
  <c r="D8036" i="9"/>
  <c r="C8036" i="9"/>
  <c r="B8036" i="9"/>
  <c r="H8035" i="9"/>
  <c r="G8035" i="9"/>
  <c r="E8035" i="9"/>
  <c r="D8035" i="9"/>
  <c r="C8035" i="9"/>
  <c r="B8035" i="9"/>
  <c r="H8034" i="9"/>
  <c r="G8034" i="9"/>
  <c r="E8034" i="9"/>
  <c r="D8034" i="9"/>
  <c r="C8034" i="9"/>
  <c r="B8034" i="9"/>
  <c r="H8033" i="9"/>
  <c r="G8033" i="9"/>
  <c r="E8033" i="9"/>
  <c r="D8033" i="9"/>
  <c r="C8033" i="9"/>
  <c r="B8033" i="9"/>
  <c r="H8032" i="9"/>
  <c r="G8032" i="9"/>
  <c r="E8032" i="9"/>
  <c r="D8032" i="9"/>
  <c r="C8032" i="9"/>
  <c r="B8032" i="9"/>
  <c r="H8031" i="9"/>
  <c r="G8031" i="9"/>
  <c r="E8031" i="9"/>
  <c r="D8031" i="9"/>
  <c r="C8031" i="9"/>
  <c r="B8031" i="9"/>
  <c r="H8030" i="9"/>
  <c r="G8030" i="9"/>
  <c r="E8030" i="9"/>
  <c r="D8030" i="9"/>
  <c r="C8030" i="9"/>
  <c r="B8030" i="9"/>
  <c r="H8029" i="9"/>
  <c r="G8029" i="9"/>
  <c r="E8029" i="9"/>
  <c r="D8029" i="9"/>
  <c r="C8029" i="9"/>
  <c r="B8029" i="9"/>
  <c r="H8028" i="9"/>
  <c r="G8028" i="9"/>
  <c r="E8028" i="9"/>
  <c r="D8028" i="9"/>
  <c r="C8028" i="9"/>
  <c r="B8028" i="9"/>
  <c r="H8027" i="9"/>
  <c r="G8027" i="9"/>
  <c r="E8027" i="9"/>
  <c r="D8027" i="9"/>
  <c r="C8027" i="9"/>
  <c r="B8027" i="9"/>
  <c r="H8026" i="9"/>
  <c r="G8026" i="9"/>
  <c r="E8026" i="9"/>
  <c r="D8026" i="9"/>
  <c r="C8026" i="9"/>
  <c r="B8026" i="9"/>
  <c r="H8025" i="9"/>
  <c r="G8025" i="9"/>
  <c r="E8025" i="9"/>
  <c r="D8025" i="9"/>
  <c r="C8025" i="9"/>
  <c r="B8025" i="9"/>
  <c r="H8024" i="9"/>
  <c r="G8024" i="9"/>
  <c r="E8024" i="9"/>
  <c r="D8024" i="9"/>
  <c r="C8024" i="9"/>
  <c r="B8024" i="9"/>
  <c r="H8023" i="9"/>
  <c r="G8023" i="9"/>
  <c r="E8023" i="9"/>
  <c r="D8023" i="9"/>
  <c r="C8023" i="9"/>
  <c r="B8023" i="9"/>
  <c r="H8022" i="9"/>
  <c r="G8022" i="9"/>
  <c r="E8022" i="9"/>
  <c r="D8022" i="9"/>
  <c r="C8022" i="9"/>
  <c r="B8022" i="9"/>
  <c r="H8021" i="9"/>
  <c r="G8021" i="9"/>
  <c r="E8021" i="9"/>
  <c r="D8021" i="9"/>
  <c r="C8021" i="9"/>
  <c r="B8021" i="9"/>
  <c r="H8020" i="9"/>
  <c r="G8020" i="9"/>
  <c r="E8020" i="9"/>
  <c r="D8020" i="9"/>
  <c r="C8020" i="9"/>
  <c r="B8020" i="9"/>
  <c r="H8019" i="9"/>
  <c r="G8019" i="9"/>
  <c r="E8019" i="9"/>
  <c r="D8019" i="9"/>
  <c r="C8019" i="9"/>
  <c r="B8019" i="9"/>
  <c r="H8018" i="9"/>
  <c r="G8018" i="9"/>
  <c r="E8018" i="9"/>
  <c r="D8018" i="9"/>
  <c r="C8018" i="9"/>
  <c r="B8018" i="9"/>
  <c r="H8017" i="9"/>
  <c r="G8017" i="9"/>
  <c r="E8017" i="9"/>
  <c r="D8017" i="9"/>
  <c r="C8017" i="9"/>
  <c r="B8017" i="9"/>
  <c r="H8016" i="9"/>
  <c r="G8016" i="9"/>
  <c r="E8016" i="9"/>
  <c r="D8016" i="9"/>
  <c r="C8016" i="9"/>
  <c r="B8016" i="9"/>
  <c r="H8015" i="9"/>
  <c r="G8015" i="9"/>
  <c r="E8015" i="9"/>
  <c r="D8015" i="9"/>
  <c r="C8015" i="9"/>
  <c r="B8015" i="9"/>
  <c r="H8014" i="9"/>
  <c r="G8014" i="9"/>
  <c r="E8014" i="9"/>
  <c r="D8014" i="9"/>
  <c r="C8014" i="9"/>
  <c r="B8014" i="9"/>
  <c r="H8013" i="9"/>
  <c r="G8013" i="9"/>
  <c r="E8013" i="9"/>
  <c r="D8013" i="9"/>
  <c r="C8013" i="9"/>
  <c r="B8013" i="9"/>
  <c r="H8012" i="9"/>
  <c r="G8012" i="9"/>
  <c r="E8012" i="9"/>
  <c r="D8012" i="9"/>
  <c r="C8012" i="9"/>
  <c r="B8012" i="9"/>
  <c r="H8011" i="9"/>
  <c r="G8011" i="9"/>
  <c r="E8011" i="9"/>
  <c r="D8011" i="9"/>
  <c r="C8011" i="9"/>
  <c r="B8011" i="9"/>
  <c r="H8010" i="9"/>
  <c r="G8010" i="9"/>
  <c r="E8010" i="9"/>
  <c r="D8010" i="9"/>
  <c r="C8010" i="9"/>
  <c r="B8010" i="9"/>
  <c r="H8009" i="9"/>
  <c r="G8009" i="9"/>
  <c r="E8009" i="9"/>
  <c r="D8009" i="9"/>
  <c r="C8009" i="9"/>
  <c r="B8009" i="9"/>
  <c r="H8008" i="9"/>
  <c r="G8008" i="9"/>
  <c r="E8008" i="9"/>
  <c r="D8008" i="9"/>
  <c r="C8008" i="9"/>
  <c r="B8008" i="9"/>
  <c r="H8007" i="9"/>
  <c r="G8007" i="9"/>
  <c r="E8007" i="9"/>
  <c r="D8007" i="9"/>
  <c r="C8007" i="9"/>
  <c r="B8007" i="9"/>
  <c r="H8006" i="9"/>
  <c r="G8006" i="9"/>
  <c r="E8006" i="9"/>
  <c r="D8006" i="9"/>
  <c r="C8006" i="9"/>
  <c r="B8006" i="9"/>
  <c r="H8005" i="9"/>
  <c r="G8005" i="9"/>
  <c r="E8005" i="9"/>
  <c r="D8005" i="9"/>
  <c r="C8005" i="9"/>
  <c r="B8005" i="9"/>
  <c r="H8004" i="9"/>
  <c r="G8004" i="9"/>
  <c r="E8004" i="9"/>
  <c r="D8004" i="9"/>
  <c r="C8004" i="9"/>
  <c r="B8004" i="9"/>
  <c r="H8003" i="9"/>
  <c r="G8003" i="9"/>
  <c r="E8003" i="9"/>
  <c r="D8003" i="9"/>
  <c r="C8003" i="9"/>
  <c r="B8003" i="9"/>
  <c r="H8002" i="9"/>
  <c r="G8002" i="9"/>
  <c r="E8002" i="9"/>
  <c r="D8002" i="9"/>
  <c r="C8002" i="9"/>
  <c r="B8002" i="9"/>
  <c r="H8001" i="9"/>
  <c r="G8001" i="9"/>
  <c r="E8001" i="9"/>
  <c r="D8001" i="9"/>
  <c r="C8001" i="9"/>
  <c r="B8001" i="9"/>
  <c r="H8000" i="9"/>
  <c r="G8000" i="9"/>
  <c r="E8000" i="9"/>
  <c r="D8000" i="9"/>
  <c r="C8000" i="9"/>
  <c r="B8000" i="9"/>
  <c r="H7999" i="9"/>
  <c r="G7999" i="9"/>
  <c r="E7999" i="9"/>
  <c r="D7999" i="9"/>
  <c r="C7999" i="9"/>
  <c r="B7999" i="9"/>
  <c r="H7998" i="9"/>
  <c r="G7998" i="9"/>
  <c r="E7998" i="9"/>
  <c r="D7998" i="9"/>
  <c r="C7998" i="9"/>
  <c r="B7998" i="9"/>
  <c r="H7997" i="9"/>
  <c r="G7997" i="9"/>
  <c r="E7997" i="9"/>
  <c r="D7997" i="9"/>
  <c r="C7997" i="9"/>
  <c r="B7997" i="9"/>
  <c r="H7996" i="9"/>
  <c r="G7996" i="9"/>
  <c r="E7996" i="9"/>
  <c r="D7996" i="9"/>
  <c r="C7996" i="9"/>
  <c r="B7996" i="9"/>
  <c r="H7995" i="9"/>
  <c r="G7995" i="9"/>
  <c r="E7995" i="9"/>
  <c r="D7995" i="9"/>
  <c r="C7995" i="9"/>
  <c r="B7995" i="9"/>
  <c r="H7994" i="9"/>
  <c r="G7994" i="9"/>
  <c r="E7994" i="9"/>
  <c r="D7994" i="9"/>
  <c r="C7994" i="9"/>
  <c r="B7994" i="9"/>
  <c r="H7993" i="9"/>
  <c r="G7993" i="9"/>
  <c r="E7993" i="9"/>
  <c r="D7993" i="9"/>
  <c r="C7993" i="9"/>
  <c r="B7993" i="9"/>
  <c r="H7992" i="9"/>
  <c r="G7992" i="9"/>
  <c r="E7992" i="9"/>
  <c r="D7992" i="9"/>
  <c r="C7992" i="9"/>
  <c r="B7992" i="9"/>
  <c r="H7991" i="9"/>
  <c r="G7991" i="9"/>
  <c r="E7991" i="9"/>
  <c r="D7991" i="9"/>
  <c r="C7991" i="9"/>
  <c r="B7991" i="9"/>
  <c r="H7990" i="9"/>
  <c r="G7990" i="9"/>
  <c r="E7990" i="9"/>
  <c r="D7990" i="9"/>
  <c r="C7990" i="9"/>
  <c r="B7990" i="9"/>
  <c r="H7989" i="9"/>
  <c r="G7989" i="9"/>
  <c r="E7989" i="9"/>
  <c r="D7989" i="9"/>
  <c r="C7989" i="9"/>
  <c r="B7989" i="9"/>
  <c r="H7988" i="9"/>
  <c r="G7988" i="9"/>
  <c r="E7988" i="9"/>
  <c r="D7988" i="9"/>
  <c r="C7988" i="9"/>
  <c r="B7988" i="9"/>
  <c r="H7987" i="9"/>
  <c r="G7987" i="9"/>
  <c r="E7987" i="9"/>
  <c r="D7987" i="9"/>
  <c r="C7987" i="9"/>
  <c r="B7987" i="9"/>
  <c r="H7986" i="9"/>
  <c r="G7986" i="9"/>
  <c r="E7986" i="9"/>
  <c r="D7986" i="9"/>
  <c r="C7986" i="9"/>
  <c r="B7986" i="9"/>
  <c r="H7985" i="9"/>
  <c r="G7985" i="9"/>
  <c r="E7985" i="9"/>
  <c r="D7985" i="9"/>
  <c r="C7985" i="9"/>
  <c r="B7985" i="9"/>
  <c r="H7984" i="9"/>
  <c r="G7984" i="9"/>
  <c r="E7984" i="9"/>
  <c r="D7984" i="9"/>
  <c r="C7984" i="9"/>
  <c r="B7984" i="9"/>
  <c r="H7983" i="9"/>
  <c r="G7983" i="9"/>
  <c r="E7983" i="9"/>
  <c r="D7983" i="9"/>
  <c r="C7983" i="9"/>
  <c r="B7983" i="9"/>
  <c r="H7982" i="9"/>
  <c r="G7982" i="9"/>
  <c r="E7982" i="9"/>
  <c r="D7982" i="9"/>
  <c r="C7982" i="9"/>
  <c r="B7982" i="9"/>
  <c r="H7981" i="9"/>
  <c r="G7981" i="9"/>
  <c r="E7981" i="9"/>
  <c r="D7981" i="9"/>
  <c r="C7981" i="9"/>
  <c r="B7981" i="9"/>
  <c r="H7980" i="9"/>
  <c r="G7980" i="9"/>
  <c r="E7980" i="9"/>
  <c r="D7980" i="9"/>
  <c r="C7980" i="9"/>
  <c r="B7980" i="9"/>
  <c r="H7979" i="9"/>
  <c r="G7979" i="9"/>
  <c r="E7979" i="9"/>
  <c r="D7979" i="9"/>
  <c r="C7979" i="9"/>
  <c r="B7979" i="9"/>
  <c r="H7978" i="9"/>
  <c r="G7978" i="9"/>
  <c r="E7978" i="9"/>
  <c r="D7978" i="9"/>
  <c r="C7978" i="9"/>
  <c r="B7978" i="9"/>
  <c r="H7977" i="9"/>
  <c r="G7977" i="9"/>
  <c r="E7977" i="9"/>
  <c r="D7977" i="9"/>
  <c r="C7977" i="9"/>
  <c r="B7977" i="9"/>
  <c r="H7976" i="9"/>
  <c r="G7976" i="9"/>
  <c r="E7976" i="9"/>
  <c r="D7976" i="9"/>
  <c r="C7976" i="9"/>
  <c r="B7976" i="9"/>
  <c r="H7975" i="9"/>
  <c r="G7975" i="9"/>
  <c r="E7975" i="9"/>
  <c r="D7975" i="9"/>
  <c r="C7975" i="9"/>
  <c r="B7975" i="9"/>
  <c r="H7974" i="9"/>
  <c r="G7974" i="9"/>
  <c r="E7974" i="9"/>
  <c r="D7974" i="9"/>
  <c r="C7974" i="9"/>
  <c r="B7974" i="9"/>
  <c r="H7973" i="9"/>
  <c r="G7973" i="9"/>
  <c r="E7973" i="9"/>
  <c r="D7973" i="9"/>
  <c r="C7973" i="9"/>
  <c r="B7973" i="9"/>
  <c r="H7972" i="9"/>
  <c r="G7972" i="9"/>
  <c r="E7972" i="9"/>
  <c r="D7972" i="9"/>
  <c r="C7972" i="9"/>
  <c r="B7972" i="9"/>
  <c r="H7971" i="9"/>
  <c r="G7971" i="9"/>
  <c r="E7971" i="9"/>
  <c r="D7971" i="9"/>
  <c r="C7971" i="9"/>
  <c r="B7971" i="9"/>
  <c r="H7970" i="9"/>
  <c r="G7970" i="9"/>
  <c r="E7970" i="9"/>
  <c r="D7970" i="9"/>
  <c r="C7970" i="9"/>
  <c r="B7970" i="9"/>
  <c r="H7969" i="9"/>
  <c r="G7969" i="9"/>
  <c r="E7969" i="9"/>
  <c r="D7969" i="9"/>
  <c r="C7969" i="9"/>
  <c r="B7969" i="9"/>
  <c r="H7968" i="9"/>
  <c r="G7968" i="9"/>
  <c r="E7968" i="9"/>
  <c r="D7968" i="9"/>
  <c r="C7968" i="9"/>
  <c r="B7968" i="9"/>
  <c r="H7967" i="9"/>
  <c r="G7967" i="9"/>
  <c r="E7967" i="9"/>
  <c r="D7967" i="9"/>
  <c r="C7967" i="9"/>
  <c r="B7967" i="9"/>
  <c r="H7966" i="9"/>
  <c r="G7966" i="9"/>
  <c r="E7966" i="9"/>
  <c r="D7966" i="9"/>
  <c r="C7966" i="9"/>
  <c r="B7966" i="9"/>
  <c r="H7965" i="9"/>
  <c r="G7965" i="9"/>
  <c r="E7965" i="9"/>
  <c r="D7965" i="9"/>
  <c r="C7965" i="9"/>
  <c r="B7965" i="9"/>
  <c r="H7964" i="9"/>
  <c r="G7964" i="9"/>
  <c r="E7964" i="9"/>
  <c r="D7964" i="9"/>
  <c r="C7964" i="9"/>
  <c r="B7964" i="9"/>
  <c r="H7963" i="9"/>
  <c r="G7963" i="9"/>
  <c r="E7963" i="9"/>
  <c r="D7963" i="9"/>
  <c r="C7963" i="9"/>
  <c r="B7963" i="9"/>
  <c r="H7962" i="9"/>
  <c r="G7962" i="9"/>
  <c r="E7962" i="9"/>
  <c r="D7962" i="9"/>
  <c r="C7962" i="9"/>
  <c r="B7962" i="9"/>
  <c r="H7961" i="9"/>
  <c r="G7961" i="9"/>
  <c r="E7961" i="9"/>
  <c r="D7961" i="9"/>
  <c r="C7961" i="9"/>
  <c r="B7961" i="9"/>
  <c r="H7960" i="9"/>
  <c r="G7960" i="9"/>
  <c r="E7960" i="9"/>
  <c r="D7960" i="9"/>
  <c r="C7960" i="9"/>
  <c r="B7960" i="9"/>
  <c r="H7959" i="9"/>
  <c r="G7959" i="9"/>
  <c r="E7959" i="9"/>
  <c r="D7959" i="9"/>
  <c r="C7959" i="9"/>
  <c r="B7959" i="9"/>
  <c r="H7958" i="9"/>
  <c r="G7958" i="9"/>
  <c r="E7958" i="9"/>
  <c r="D7958" i="9"/>
  <c r="C7958" i="9"/>
  <c r="B7958" i="9"/>
  <c r="H7957" i="9"/>
  <c r="G7957" i="9"/>
  <c r="E7957" i="9"/>
  <c r="D7957" i="9"/>
  <c r="C7957" i="9"/>
  <c r="B7957" i="9"/>
  <c r="H7956" i="9"/>
  <c r="G7956" i="9"/>
  <c r="E7956" i="9"/>
  <c r="D7956" i="9"/>
  <c r="C7956" i="9"/>
  <c r="B7956" i="9"/>
  <c r="H7955" i="9"/>
  <c r="G7955" i="9"/>
  <c r="E7955" i="9"/>
  <c r="D7955" i="9"/>
  <c r="C7955" i="9"/>
  <c r="B7955" i="9"/>
  <c r="H7954" i="9"/>
  <c r="G7954" i="9"/>
  <c r="E7954" i="9"/>
  <c r="D7954" i="9"/>
  <c r="C7954" i="9"/>
  <c r="B7954" i="9"/>
  <c r="H7953" i="9"/>
  <c r="G7953" i="9"/>
  <c r="E7953" i="9"/>
  <c r="D7953" i="9"/>
  <c r="C7953" i="9"/>
  <c r="B7953" i="9"/>
  <c r="H7952" i="9"/>
  <c r="G7952" i="9"/>
  <c r="E7952" i="9"/>
  <c r="D7952" i="9"/>
  <c r="C7952" i="9"/>
  <c r="B7952" i="9"/>
  <c r="H7951" i="9"/>
  <c r="G7951" i="9"/>
  <c r="E7951" i="9"/>
  <c r="D7951" i="9"/>
  <c r="C7951" i="9"/>
  <c r="B7951" i="9"/>
  <c r="H7950" i="9"/>
  <c r="G7950" i="9"/>
  <c r="E7950" i="9"/>
  <c r="D7950" i="9"/>
  <c r="C7950" i="9"/>
  <c r="B7950" i="9"/>
  <c r="H7949" i="9"/>
  <c r="G7949" i="9"/>
  <c r="E7949" i="9"/>
  <c r="D7949" i="9"/>
  <c r="C7949" i="9"/>
  <c r="B7949" i="9"/>
  <c r="H7948" i="9"/>
  <c r="G7948" i="9"/>
  <c r="E7948" i="9"/>
  <c r="D7948" i="9"/>
  <c r="C7948" i="9"/>
  <c r="B7948" i="9"/>
  <c r="H7947" i="9"/>
  <c r="G7947" i="9"/>
  <c r="E7947" i="9"/>
  <c r="D7947" i="9"/>
  <c r="C7947" i="9"/>
  <c r="B7947" i="9"/>
  <c r="H7946" i="9"/>
  <c r="G7946" i="9"/>
  <c r="E7946" i="9"/>
  <c r="D7946" i="9"/>
  <c r="C7946" i="9"/>
  <c r="B7946" i="9"/>
  <c r="H7945" i="9"/>
  <c r="G7945" i="9"/>
  <c r="E7945" i="9"/>
  <c r="D7945" i="9"/>
  <c r="C7945" i="9"/>
  <c r="B7945" i="9"/>
  <c r="H7944" i="9"/>
  <c r="G7944" i="9"/>
  <c r="E7944" i="9"/>
  <c r="D7944" i="9"/>
  <c r="C7944" i="9"/>
  <c r="B7944" i="9"/>
  <c r="H7943" i="9"/>
  <c r="G7943" i="9"/>
  <c r="E7943" i="9"/>
  <c r="D7943" i="9"/>
  <c r="C7943" i="9"/>
  <c r="B7943" i="9"/>
  <c r="H7942" i="9"/>
  <c r="G7942" i="9"/>
  <c r="E7942" i="9"/>
  <c r="D7942" i="9"/>
  <c r="C7942" i="9"/>
  <c r="B7942" i="9"/>
  <c r="H7941" i="9"/>
  <c r="G7941" i="9"/>
  <c r="E7941" i="9"/>
  <c r="D7941" i="9"/>
  <c r="C7941" i="9"/>
  <c r="B7941" i="9"/>
  <c r="H7940" i="9"/>
  <c r="G7940" i="9"/>
  <c r="E7940" i="9"/>
  <c r="D7940" i="9"/>
  <c r="C7940" i="9"/>
  <c r="B7940" i="9"/>
  <c r="H7939" i="9"/>
  <c r="G7939" i="9"/>
  <c r="E7939" i="9"/>
  <c r="D7939" i="9"/>
  <c r="C7939" i="9"/>
  <c r="B7939" i="9"/>
  <c r="H7938" i="9"/>
  <c r="G7938" i="9"/>
  <c r="E7938" i="9"/>
  <c r="D7938" i="9"/>
  <c r="C7938" i="9"/>
  <c r="B7938" i="9"/>
  <c r="H7937" i="9"/>
  <c r="G7937" i="9"/>
  <c r="E7937" i="9"/>
  <c r="D7937" i="9"/>
  <c r="C7937" i="9"/>
  <c r="B7937" i="9"/>
  <c r="H7936" i="9"/>
  <c r="G7936" i="9"/>
  <c r="E7936" i="9"/>
  <c r="D7936" i="9"/>
  <c r="C7936" i="9"/>
  <c r="B7936" i="9"/>
  <c r="H7935" i="9"/>
  <c r="G7935" i="9"/>
  <c r="E7935" i="9"/>
  <c r="D7935" i="9"/>
  <c r="C7935" i="9"/>
  <c r="B7935" i="9"/>
  <c r="H7934" i="9"/>
  <c r="G7934" i="9"/>
  <c r="E7934" i="9"/>
  <c r="D7934" i="9"/>
  <c r="C7934" i="9"/>
  <c r="B7934" i="9"/>
  <c r="H7933" i="9"/>
  <c r="G7933" i="9"/>
  <c r="E7933" i="9"/>
  <c r="D7933" i="9"/>
  <c r="C7933" i="9"/>
  <c r="B7933" i="9"/>
  <c r="H7932" i="9"/>
  <c r="G7932" i="9"/>
  <c r="E7932" i="9"/>
  <c r="D7932" i="9"/>
  <c r="C7932" i="9"/>
  <c r="B7932" i="9"/>
  <c r="H7931" i="9"/>
  <c r="G7931" i="9"/>
  <c r="E7931" i="9"/>
  <c r="D7931" i="9"/>
  <c r="C7931" i="9"/>
  <c r="B7931" i="9"/>
  <c r="H7930" i="9"/>
  <c r="G7930" i="9"/>
  <c r="E7930" i="9"/>
  <c r="D7930" i="9"/>
  <c r="C7930" i="9"/>
  <c r="B7930" i="9"/>
  <c r="H7929" i="9"/>
  <c r="G7929" i="9"/>
  <c r="E7929" i="9"/>
  <c r="D7929" i="9"/>
  <c r="C7929" i="9"/>
  <c r="B7929" i="9"/>
  <c r="H7928" i="9"/>
  <c r="G7928" i="9"/>
  <c r="E7928" i="9"/>
  <c r="D7928" i="9"/>
  <c r="C7928" i="9"/>
  <c r="B7928" i="9"/>
  <c r="H7927" i="9"/>
  <c r="G7927" i="9"/>
  <c r="E7927" i="9"/>
  <c r="D7927" i="9"/>
  <c r="C7927" i="9"/>
  <c r="B7927" i="9"/>
  <c r="H7926" i="9"/>
  <c r="G7926" i="9"/>
  <c r="E7926" i="9"/>
  <c r="D7926" i="9"/>
  <c r="C7926" i="9"/>
  <c r="B7926" i="9"/>
  <c r="H7925" i="9"/>
  <c r="G7925" i="9"/>
  <c r="E7925" i="9"/>
  <c r="D7925" i="9"/>
  <c r="C7925" i="9"/>
  <c r="B7925" i="9"/>
  <c r="H7924" i="9"/>
  <c r="G7924" i="9"/>
  <c r="E7924" i="9"/>
  <c r="D7924" i="9"/>
  <c r="C7924" i="9"/>
  <c r="B7924" i="9"/>
  <c r="H7923" i="9"/>
  <c r="G7923" i="9"/>
  <c r="E7923" i="9"/>
  <c r="D7923" i="9"/>
  <c r="C7923" i="9"/>
  <c r="B7923" i="9"/>
  <c r="H7922" i="9"/>
  <c r="G7922" i="9"/>
  <c r="E7922" i="9"/>
  <c r="D7922" i="9"/>
  <c r="C7922" i="9"/>
  <c r="B7922" i="9"/>
  <c r="H7921" i="9"/>
  <c r="G7921" i="9"/>
  <c r="E7921" i="9"/>
  <c r="D7921" i="9"/>
  <c r="C7921" i="9"/>
  <c r="B7921" i="9"/>
  <c r="H7920" i="9"/>
  <c r="G7920" i="9"/>
  <c r="E7920" i="9"/>
  <c r="D7920" i="9"/>
  <c r="C7920" i="9"/>
  <c r="B7920" i="9"/>
  <c r="H7919" i="9"/>
  <c r="G7919" i="9"/>
  <c r="E7919" i="9"/>
  <c r="D7919" i="9"/>
  <c r="C7919" i="9"/>
  <c r="B7919" i="9"/>
  <c r="H7918" i="9"/>
  <c r="G7918" i="9"/>
  <c r="E7918" i="9"/>
  <c r="D7918" i="9"/>
  <c r="C7918" i="9"/>
  <c r="B7918" i="9"/>
  <c r="H7917" i="9"/>
  <c r="G7917" i="9"/>
  <c r="E7917" i="9"/>
  <c r="D7917" i="9"/>
  <c r="C7917" i="9"/>
  <c r="B7917" i="9"/>
  <c r="H7916" i="9"/>
  <c r="G7916" i="9"/>
  <c r="E7916" i="9"/>
  <c r="D7916" i="9"/>
  <c r="C7916" i="9"/>
  <c r="B7916" i="9"/>
  <c r="H7915" i="9"/>
  <c r="G7915" i="9"/>
  <c r="E7915" i="9"/>
  <c r="D7915" i="9"/>
  <c r="C7915" i="9"/>
  <c r="B7915" i="9"/>
  <c r="H7914" i="9"/>
  <c r="G7914" i="9"/>
  <c r="E7914" i="9"/>
  <c r="D7914" i="9"/>
  <c r="C7914" i="9"/>
  <c r="B7914" i="9"/>
  <c r="H7913" i="9"/>
  <c r="G7913" i="9"/>
  <c r="E7913" i="9"/>
  <c r="D7913" i="9"/>
  <c r="C7913" i="9"/>
  <c r="B7913" i="9"/>
  <c r="H7912" i="9"/>
  <c r="G7912" i="9"/>
  <c r="E7912" i="9"/>
  <c r="D7912" i="9"/>
  <c r="C7912" i="9"/>
  <c r="B7912" i="9"/>
  <c r="H7911" i="9"/>
  <c r="G7911" i="9"/>
  <c r="E7911" i="9"/>
  <c r="D7911" i="9"/>
  <c r="C7911" i="9"/>
  <c r="B7911" i="9"/>
  <c r="H7910" i="9"/>
  <c r="G7910" i="9"/>
  <c r="E7910" i="9"/>
  <c r="D7910" i="9"/>
  <c r="C7910" i="9"/>
  <c r="B7910" i="9"/>
  <c r="H7909" i="9"/>
  <c r="G7909" i="9"/>
  <c r="E7909" i="9"/>
  <c r="D7909" i="9"/>
  <c r="C7909" i="9"/>
  <c r="B7909" i="9"/>
  <c r="H7908" i="9"/>
  <c r="G7908" i="9"/>
  <c r="E7908" i="9"/>
  <c r="D7908" i="9"/>
  <c r="C7908" i="9"/>
  <c r="B7908" i="9"/>
  <c r="H7907" i="9"/>
  <c r="G7907" i="9"/>
  <c r="E7907" i="9"/>
  <c r="D7907" i="9"/>
  <c r="C7907" i="9"/>
  <c r="B7907" i="9"/>
  <c r="H7906" i="9"/>
  <c r="G7906" i="9"/>
  <c r="E7906" i="9"/>
  <c r="D7906" i="9"/>
  <c r="C7906" i="9"/>
  <c r="B7906" i="9"/>
  <c r="H7905" i="9"/>
  <c r="G7905" i="9"/>
  <c r="E7905" i="9"/>
  <c r="D7905" i="9"/>
  <c r="C7905" i="9"/>
  <c r="B7905" i="9"/>
  <c r="H7904" i="9"/>
  <c r="G7904" i="9"/>
  <c r="E7904" i="9"/>
  <c r="D7904" i="9"/>
  <c r="C7904" i="9"/>
  <c r="B7904" i="9"/>
  <c r="H7903" i="9"/>
  <c r="G7903" i="9"/>
  <c r="E7903" i="9"/>
  <c r="D7903" i="9"/>
  <c r="C7903" i="9"/>
  <c r="B7903" i="9"/>
  <c r="H7902" i="9"/>
  <c r="G7902" i="9"/>
  <c r="E7902" i="9"/>
  <c r="D7902" i="9"/>
  <c r="C7902" i="9"/>
  <c r="B7902" i="9"/>
  <c r="H7901" i="9"/>
  <c r="G7901" i="9"/>
  <c r="E7901" i="9"/>
  <c r="D7901" i="9"/>
  <c r="C7901" i="9"/>
  <c r="B7901" i="9"/>
  <c r="H7900" i="9"/>
  <c r="G7900" i="9"/>
  <c r="E7900" i="9"/>
  <c r="D7900" i="9"/>
  <c r="C7900" i="9"/>
  <c r="B7900" i="9"/>
  <c r="H7899" i="9"/>
  <c r="G7899" i="9"/>
  <c r="E7899" i="9"/>
  <c r="D7899" i="9"/>
  <c r="C7899" i="9"/>
  <c r="B7899" i="9"/>
  <c r="H7898" i="9"/>
  <c r="G7898" i="9"/>
  <c r="E7898" i="9"/>
  <c r="D7898" i="9"/>
  <c r="C7898" i="9"/>
  <c r="B7898" i="9"/>
  <c r="H7897" i="9"/>
  <c r="G7897" i="9"/>
  <c r="E7897" i="9"/>
  <c r="D7897" i="9"/>
  <c r="C7897" i="9"/>
  <c r="B7897" i="9"/>
  <c r="H7896" i="9"/>
  <c r="G7896" i="9"/>
  <c r="E7896" i="9"/>
  <c r="D7896" i="9"/>
  <c r="C7896" i="9"/>
  <c r="B7896" i="9"/>
  <c r="H7895" i="9"/>
  <c r="G7895" i="9"/>
  <c r="E7895" i="9"/>
  <c r="D7895" i="9"/>
  <c r="C7895" i="9"/>
  <c r="B7895" i="9"/>
  <c r="H7894" i="9"/>
  <c r="G7894" i="9"/>
  <c r="E7894" i="9"/>
  <c r="D7894" i="9"/>
  <c r="C7894" i="9"/>
  <c r="B7894" i="9"/>
  <c r="H7893" i="9"/>
  <c r="G7893" i="9"/>
  <c r="E7893" i="9"/>
  <c r="D7893" i="9"/>
  <c r="C7893" i="9"/>
  <c r="B7893" i="9"/>
  <c r="H7892" i="9"/>
  <c r="G7892" i="9"/>
  <c r="E7892" i="9"/>
  <c r="D7892" i="9"/>
  <c r="C7892" i="9"/>
  <c r="B7892" i="9"/>
  <c r="H7891" i="9"/>
  <c r="G7891" i="9"/>
  <c r="E7891" i="9"/>
  <c r="D7891" i="9"/>
  <c r="C7891" i="9"/>
  <c r="B7891" i="9"/>
  <c r="H7890" i="9"/>
  <c r="G7890" i="9"/>
  <c r="E7890" i="9"/>
  <c r="D7890" i="9"/>
  <c r="C7890" i="9"/>
  <c r="B7890" i="9"/>
  <c r="H7889" i="9"/>
  <c r="G7889" i="9"/>
  <c r="E7889" i="9"/>
  <c r="D7889" i="9"/>
  <c r="C7889" i="9"/>
  <c r="B7889" i="9"/>
  <c r="H7888" i="9"/>
  <c r="G7888" i="9"/>
  <c r="E7888" i="9"/>
  <c r="D7888" i="9"/>
  <c r="C7888" i="9"/>
  <c r="B7888" i="9"/>
  <c r="H7887" i="9"/>
  <c r="G7887" i="9"/>
  <c r="E7887" i="9"/>
  <c r="D7887" i="9"/>
  <c r="C7887" i="9"/>
  <c r="B7887" i="9"/>
  <c r="H7886" i="9"/>
  <c r="G7886" i="9"/>
  <c r="E7886" i="9"/>
  <c r="D7886" i="9"/>
  <c r="C7886" i="9"/>
  <c r="B7886" i="9"/>
  <c r="H7885" i="9"/>
  <c r="G7885" i="9"/>
  <c r="E7885" i="9"/>
  <c r="D7885" i="9"/>
  <c r="C7885" i="9"/>
  <c r="B7885" i="9"/>
  <c r="H7884" i="9"/>
  <c r="G7884" i="9"/>
  <c r="E7884" i="9"/>
  <c r="D7884" i="9"/>
  <c r="C7884" i="9"/>
  <c r="B7884" i="9"/>
  <c r="H7883" i="9"/>
  <c r="G7883" i="9"/>
  <c r="E7883" i="9"/>
  <c r="D7883" i="9"/>
  <c r="C7883" i="9"/>
  <c r="B7883" i="9"/>
  <c r="H7882" i="9"/>
  <c r="G7882" i="9"/>
  <c r="E7882" i="9"/>
  <c r="D7882" i="9"/>
  <c r="C7882" i="9"/>
  <c r="B7882" i="9"/>
  <c r="H7881" i="9"/>
  <c r="G7881" i="9"/>
  <c r="E7881" i="9"/>
  <c r="D7881" i="9"/>
  <c r="C7881" i="9"/>
  <c r="B7881" i="9"/>
  <c r="H7880" i="9"/>
  <c r="G7880" i="9"/>
  <c r="E7880" i="9"/>
  <c r="D7880" i="9"/>
  <c r="C7880" i="9"/>
  <c r="B7880" i="9"/>
  <c r="H7879" i="9"/>
  <c r="G7879" i="9"/>
  <c r="E7879" i="9"/>
  <c r="D7879" i="9"/>
  <c r="C7879" i="9"/>
  <c r="B7879" i="9"/>
  <c r="H7878" i="9"/>
  <c r="G7878" i="9"/>
  <c r="E7878" i="9"/>
  <c r="D7878" i="9"/>
  <c r="C7878" i="9"/>
  <c r="B7878" i="9"/>
  <c r="H7877" i="9"/>
  <c r="G7877" i="9"/>
  <c r="E7877" i="9"/>
  <c r="D7877" i="9"/>
  <c r="C7877" i="9"/>
  <c r="B7877" i="9"/>
  <c r="H7876" i="9"/>
  <c r="G7876" i="9"/>
  <c r="E7876" i="9"/>
  <c r="D7876" i="9"/>
  <c r="C7876" i="9"/>
  <c r="B7876" i="9"/>
  <c r="H7875" i="9"/>
  <c r="G7875" i="9"/>
  <c r="E7875" i="9"/>
  <c r="D7875" i="9"/>
  <c r="C7875" i="9"/>
  <c r="B7875" i="9"/>
  <c r="H7874" i="9"/>
  <c r="G7874" i="9"/>
  <c r="E7874" i="9"/>
  <c r="D7874" i="9"/>
  <c r="C7874" i="9"/>
  <c r="B7874" i="9"/>
  <c r="H7873" i="9"/>
  <c r="G7873" i="9"/>
  <c r="E7873" i="9"/>
  <c r="D7873" i="9"/>
  <c r="C7873" i="9"/>
  <c r="B7873" i="9"/>
  <c r="H7872" i="9"/>
  <c r="G7872" i="9"/>
  <c r="E7872" i="9"/>
  <c r="D7872" i="9"/>
  <c r="C7872" i="9"/>
  <c r="B7872" i="9"/>
  <c r="H7871" i="9"/>
  <c r="G7871" i="9"/>
  <c r="E7871" i="9"/>
  <c r="D7871" i="9"/>
  <c r="C7871" i="9"/>
  <c r="B7871" i="9"/>
  <c r="H7870" i="9"/>
  <c r="G7870" i="9"/>
  <c r="E7870" i="9"/>
  <c r="D7870" i="9"/>
  <c r="C7870" i="9"/>
  <c r="B7870" i="9"/>
  <c r="H7869" i="9"/>
  <c r="G7869" i="9"/>
  <c r="E7869" i="9"/>
  <c r="D7869" i="9"/>
  <c r="C7869" i="9"/>
  <c r="B7869" i="9"/>
  <c r="H7868" i="9"/>
  <c r="G7868" i="9"/>
  <c r="E7868" i="9"/>
  <c r="D7868" i="9"/>
  <c r="C7868" i="9"/>
  <c r="B7868" i="9"/>
  <c r="H7867" i="9"/>
  <c r="G7867" i="9"/>
  <c r="E7867" i="9"/>
  <c r="D7867" i="9"/>
  <c r="C7867" i="9"/>
  <c r="B7867" i="9"/>
  <c r="H7866" i="9"/>
  <c r="G7866" i="9"/>
  <c r="E7866" i="9"/>
  <c r="D7866" i="9"/>
  <c r="C7866" i="9"/>
  <c r="B7866" i="9"/>
  <c r="H7865" i="9"/>
  <c r="G7865" i="9"/>
  <c r="E7865" i="9"/>
  <c r="D7865" i="9"/>
  <c r="C7865" i="9"/>
  <c r="B7865" i="9"/>
  <c r="H7864" i="9"/>
  <c r="G7864" i="9"/>
  <c r="E7864" i="9"/>
  <c r="D7864" i="9"/>
  <c r="C7864" i="9"/>
  <c r="B7864" i="9"/>
  <c r="H7863" i="9"/>
  <c r="G7863" i="9"/>
  <c r="E7863" i="9"/>
  <c r="D7863" i="9"/>
  <c r="C7863" i="9"/>
  <c r="B7863" i="9"/>
  <c r="H7862" i="9"/>
  <c r="G7862" i="9"/>
  <c r="E7862" i="9"/>
  <c r="D7862" i="9"/>
  <c r="C7862" i="9"/>
  <c r="B7862" i="9"/>
  <c r="H7861" i="9"/>
  <c r="G7861" i="9"/>
  <c r="E7861" i="9"/>
  <c r="D7861" i="9"/>
  <c r="C7861" i="9"/>
  <c r="B7861" i="9"/>
  <c r="H7860" i="9"/>
  <c r="G7860" i="9"/>
  <c r="E7860" i="9"/>
  <c r="D7860" i="9"/>
  <c r="C7860" i="9"/>
  <c r="B7860" i="9"/>
  <c r="H7859" i="9"/>
  <c r="G7859" i="9"/>
  <c r="E7859" i="9"/>
  <c r="D7859" i="9"/>
  <c r="C7859" i="9"/>
  <c r="B7859" i="9"/>
  <c r="H7858" i="9"/>
  <c r="G7858" i="9"/>
  <c r="E7858" i="9"/>
  <c r="D7858" i="9"/>
  <c r="C7858" i="9"/>
  <c r="B7858" i="9"/>
  <c r="H7857" i="9"/>
  <c r="G7857" i="9"/>
  <c r="E7857" i="9"/>
  <c r="D7857" i="9"/>
  <c r="C7857" i="9"/>
  <c r="B7857" i="9"/>
  <c r="H7856" i="9"/>
  <c r="G7856" i="9"/>
  <c r="E7856" i="9"/>
  <c r="D7856" i="9"/>
  <c r="C7856" i="9"/>
  <c r="B7856" i="9"/>
  <c r="H7855" i="9"/>
  <c r="G7855" i="9"/>
  <c r="E7855" i="9"/>
  <c r="D7855" i="9"/>
  <c r="C7855" i="9"/>
  <c r="B7855" i="9"/>
  <c r="H7854" i="9"/>
  <c r="G7854" i="9"/>
  <c r="E7854" i="9"/>
  <c r="D7854" i="9"/>
  <c r="C7854" i="9"/>
  <c r="B7854" i="9"/>
  <c r="H7853" i="9"/>
  <c r="G7853" i="9"/>
  <c r="E7853" i="9"/>
  <c r="D7853" i="9"/>
  <c r="C7853" i="9"/>
  <c r="B7853" i="9"/>
  <c r="H7852" i="9"/>
  <c r="G7852" i="9"/>
  <c r="E7852" i="9"/>
  <c r="D7852" i="9"/>
  <c r="C7852" i="9"/>
  <c r="B7852" i="9"/>
  <c r="H7851" i="9"/>
  <c r="G7851" i="9"/>
  <c r="E7851" i="9"/>
  <c r="D7851" i="9"/>
  <c r="C7851" i="9"/>
  <c r="B7851" i="9"/>
  <c r="H7850" i="9"/>
  <c r="G7850" i="9"/>
  <c r="E7850" i="9"/>
  <c r="D7850" i="9"/>
  <c r="C7850" i="9"/>
  <c r="B7850" i="9"/>
  <c r="H7849" i="9"/>
  <c r="G7849" i="9"/>
  <c r="E7849" i="9"/>
  <c r="D7849" i="9"/>
  <c r="C7849" i="9"/>
  <c r="B7849" i="9"/>
  <c r="H7848" i="9"/>
  <c r="G7848" i="9"/>
  <c r="E7848" i="9"/>
  <c r="D7848" i="9"/>
  <c r="C7848" i="9"/>
  <c r="B7848" i="9"/>
  <c r="H7847" i="9"/>
  <c r="G7847" i="9"/>
  <c r="E7847" i="9"/>
  <c r="D7847" i="9"/>
  <c r="C7847" i="9"/>
  <c r="B7847" i="9"/>
  <c r="H7846" i="9"/>
  <c r="G7846" i="9"/>
  <c r="E7846" i="9"/>
  <c r="D7846" i="9"/>
  <c r="C7846" i="9"/>
  <c r="B7846" i="9"/>
  <c r="H7845" i="9"/>
  <c r="G7845" i="9"/>
  <c r="E7845" i="9"/>
  <c r="D7845" i="9"/>
  <c r="C7845" i="9"/>
  <c r="B7845" i="9"/>
  <c r="H7844" i="9"/>
  <c r="G7844" i="9"/>
  <c r="E7844" i="9"/>
  <c r="D7844" i="9"/>
  <c r="C7844" i="9"/>
  <c r="B7844" i="9"/>
  <c r="H7843" i="9"/>
  <c r="G7843" i="9"/>
  <c r="E7843" i="9"/>
  <c r="D7843" i="9"/>
  <c r="C7843" i="9"/>
  <c r="B7843" i="9"/>
  <c r="H7842" i="9"/>
  <c r="G7842" i="9"/>
  <c r="E7842" i="9"/>
  <c r="D7842" i="9"/>
  <c r="C7842" i="9"/>
  <c r="B7842" i="9"/>
  <c r="H7841" i="9"/>
  <c r="G7841" i="9"/>
  <c r="E7841" i="9"/>
  <c r="D7841" i="9"/>
  <c r="C7841" i="9"/>
  <c r="B7841" i="9"/>
  <c r="H7840" i="9"/>
  <c r="G7840" i="9"/>
  <c r="E7840" i="9"/>
  <c r="D7840" i="9"/>
  <c r="C7840" i="9"/>
  <c r="B7840" i="9"/>
  <c r="H7839" i="9"/>
  <c r="G7839" i="9"/>
  <c r="E7839" i="9"/>
  <c r="D7839" i="9"/>
  <c r="C7839" i="9"/>
  <c r="B7839" i="9"/>
  <c r="H7838" i="9"/>
  <c r="G7838" i="9"/>
  <c r="E7838" i="9"/>
  <c r="D7838" i="9"/>
  <c r="C7838" i="9"/>
  <c r="B7838" i="9"/>
  <c r="H7837" i="9"/>
  <c r="G7837" i="9"/>
  <c r="E7837" i="9"/>
  <c r="D7837" i="9"/>
  <c r="C7837" i="9"/>
  <c r="B7837" i="9"/>
  <c r="H7836" i="9"/>
  <c r="G7836" i="9"/>
  <c r="E7836" i="9"/>
  <c r="D7836" i="9"/>
  <c r="C7836" i="9"/>
  <c r="B7836" i="9"/>
  <c r="H7835" i="9"/>
  <c r="G7835" i="9"/>
  <c r="E7835" i="9"/>
  <c r="D7835" i="9"/>
  <c r="C7835" i="9"/>
  <c r="B7835" i="9"/>
  <c r="H7834" i="9"/>
  <c r="G7834" i="9"/>
  <c r="E7834" i="9"/>
  <c r="D7834" i="9"/>
  <c r="C7834" i="9"/>
  <c r="B7834" i="9"/>
  <c r="H7833" i="9"/>
  <c r="G7833" i="9"/>
  <c r="E7833" i="9"/>
  <c r="D7833" i="9"/>
  <c r="C7833" i="9"/>
  <c r="B7833" i="9"/>
  <c r="H7832" i="9"/>
  <c r="G7832" i="9"/>
  <c r="E7832" i="9"/>
  <c r="D7832" i="9"/>
  <c r="C7832" i="9"/>
  <c r="B7832" i="9"/>
  <c r="H7831" i="9"/>
  <c r="G7831" i="9"/>
  <c r="E7831" i="9"/>
  <c r="D7831" i="9"/>
  <c r="C7831" i="9"/>
  <c r="B7831" i="9"/>
  <c r="H7830" i="9"/>
  <c r="G7830" i="9"/>
  <c r="E7830" i="9"/>
  <c r="D7830" i="9"/>
  <c r="C7830" i="9"/>
  <c r="B7830" i="9"/>
  <c r="H7829" i="9"/>
  <c r="G7829" i="9"/>
  <c r="E7829" i="9"/>
  <c r="D7829" i="9"/>
  <c r="C7829" i="9"/>
  <c r="B7829" i="9"/>
  <c r="H7828" i="9"/>
  <c r="G7828" i="9"/>
  <c r="E7828" i="9"/>
  <c r="D7828" i="9"/>
  <c r="C7828" i="9"/>
  <c r="B7828" i="9"/>
  <c r="H7827" i="9"/>
  <c r="G7827" i="9"/>
  <c r="E7827" i="9"/>
  <c r="D7827" i="9"/>
  <c r="C7827" i="9"/>
  <c r="B7827" i="9"/>
  <c r="H7826" i="9"/>
  <c r="G7826" i="9"/>
  <c r="E7826" i="9"/>
  <c r="D7826" i="9"/>
  <c r="C7826" i="9"/>
  <c r="B7826" i="9"/>
  <c r="H7825" i="9"/>
  <c r="G7825" i="9"/>
  <c r="E7825" i="9"/>
  <c r="D7825" i="9"/>
  <c r="C7825" i="9"/>
  <c r="B7825" i="9"/>
  <c r="H7824" i="9"/>
  <c r="G7824" i="9"/>
  <c r="E7824" i="9"/>
  <c r="D7824" i="9"/>
  <c r="C7824" i="9"/>
  <c r="B7824" i="9"/>
  <c r="H7823" i="9"/>
  <c r="G7823" i="9"/>
  <c r="E7823" i="9"/>
  <c r="D7823" i="9"/>
  <c r="C7823" i="9"/>
  <c r="B7823" i="9"/>
  <c r="H7822" i="9"/>
  <c r="G7822" i="9"/>
  <c r="E7822" i="9"/>
  <c r="D7822" i="9"/>
  <c r="C7822" i="9"/>
  <c r="B7822" i="9"/>
  <c r="H7821" i="9"/>
  <c r="G7821" i="9"/>
  <c r="E7821" i="9"/>
  <c r="D7821" i="9"/>
  <c r="C7821" i="9"/>
  <c r="B7821" i="9"/>
  <c r="H7820" i="9"/>
  <c r="G7820" i="9"/>
  <c r="E7820" i="9"/>
  <c r="D7820" i="9"/>
  <c r="C7820" i="9"/>
  <c r="B7820" i="9"/>
  <c r="H7819" i="9"/>
  <c r="G7819" i="9"/>
  <c r="E7819" i="9"/>
  <c r="D7819" i="9"/>
  <c r="C7819" i="9"/>
  <c r="B7819" i="9"/>
  <c r="H7818" i="9"/>
  <c r="G7818" i="9"/>
  <c r="E7818" i="9"/>
  <c r="D7818" i="9"/>
  <c r="C7818" i="9"/>
  <c r="B7818" i="9"/>
  <c r="H7817" i="9"/>
  <c r="G7817" i="9"/>
  <c r="E7817" i="9"/>
  <c r="D7817" i="9"/>
  <c r="C7817" i="9"/>
  <c r="B7817" i="9"/>
  <c r="H7816" i="9"/>
  <c r="G7816" i="9"/>
  <c r="E7816" i="9"/>
  <c r="D7816" i="9"/>
  <c r="C7816" i="9"/>
  <c r="B7816" i="9"/>
  <c r="H7815" i="9"/>
  <c r="G7815" i="9"/>
  <c r="E7815" i="9"/>
  <c r="D7815" i="9"/>
  <c r="C7815" i="9"/>
  <c r="B7815" i="9"/>
  <c r="H7814" i="9"/>
  <c r="G7814" i="9"/>
  <c r="E7814" i="9"/>
  <c r="D7814" i="9"/>
  <c r="C7814" i="9"/>
  <c r="B7814" i="9"/>
  <c r="H7813" i="9"/>
  <c r="G7813" i="9"/>
  <c r="E7813" i="9"/>
  <c r="D7813" i="9"/>
  <c r="C7813" i="9"/>
  <c r="B7813" i="9"/>
  <c r="H7812" i="9"/>
  <c r="G7812" i="9"/>
  <c r="E7812" i="9"/>
  <c r="D7812" i="9"/>
  <c r="C7812" i="9"/>
  <c r="B7812" i="9"/>
  <c r="H7811" i="9"/>
  <c r="G7811" i="9"/>
  <c r="E7811" i="9"/>
  <c r="D7811" i="9"/>
  <c r="C7811" i="9"/>
  <c r="B7811" i="9"/>
  <c r="H7810" i="9"/>
  <c r="G7810" i="9"/>
  <c r="E7810" i="9"/>
  <c r="D7810" i="9"/>
  <c r="C7810" i="9"/>
  <c r="B7810" i="9"/>
  <c r="H7809" i="9"/>
  <c r="G7809" i="9"/>
  <c r="E7809" i="9"/>
  <c r="D7809" i="9"/>
  <c r="C7809" i="9"/>
  <c r="B7809" i="9"/>
  <c r="H7808" i="9"/>
  <c r="G7808" i="9"/>
  <c r="E7808" i="9"/>
  <c r="D7808" i="9"/>
  <c r="C7808" i="9"/>
  <c r="B7808" i="9"/>
  <c r="H7807" i="9"/>
  <c r="G7807" i="9"/>
  <c r="E7807" i="9"/>
  <c r="D7807" i="9"/>
  <c r="C7807" i="9"/>
  <c r="B7807" i="9"/>
  <c r="H7806" i="9"/>
  <c r="G7806" i="9"/>
  <c r="E7806" i="9"/>
  <c r="D7806" i="9"/>
  <c r="C7806" i="9"/>
  <c r="B7806" i="9"/>
  <c r="H7805" i="9"/>
  <c r="G7805" i="9"/>
  <c r="E7805" i="9"/>
  <c r="D7805" i="9"/>
  <c r="C7805" i="9"/>
  <c r="B7805" i="9"/>
  <c r="H7804" i="9"/>
  <c r="G7804" i="9"/>
  <c r="E7804" i="9"/>
  <c r="D7804" i="9"/>
  <c r="C7804" i="9"/>
  <c r="B7804" i="9"/>
  <c r="H7803" i="9"/>
  <c r="G7803" i="9"/>
  <c r="E7803" i="9"/>
  <c r="D7803" i="9"/>
  <c r="C7803" i="9"/>
  <c r="B7803" i="9"/>
  <c r="H7802" i="9"/>
  <c r="G7802" i="9"/>
  <c r="E7802" i="9"/>
  <c r="D7802" i="9"/>
  <c r="C7802" i="9"/>
  <c r="B7802" i="9"/>
  <c r="H7801" i="9"/>
  <c r="G7801" i="9"/>
  <c r="E7801" i="9"/>
  <c r="D7801" i="9"/>
  <c r="C7801" i="9"/>
  <c r="B7801" i="9"/>
  <c r="H7800" i="9"/>
  <c r="G7800" i="9"/>
  <c r="E7800" i="9"/>
  <c r="D7800" i="9"/>
  <c r="C7800" i="9"/>
  <c r="B7800" i="9"/>
  <c r="H7799" i="9"/>
  <c r="G7799" i="9"/>
  <c r="E7799" i="9"/>
  <c r="D7799" i="9"/>
  <c r="C7799" i="9"/>
  <c r="B7799" i="9"/>
  <c r="H7798" i="9"/>
  <c r="G7798" i="9"/>
  <c r="E7798" i="9"/>
  <c r="D7798" i="9"/>
  <c r="C7798" i="9"/>
  <c r="B7798" i="9"/>
  <c r="H7797" i="9"/>
  <c r="G7797" i="9"/>
  <c r="E7797" i="9"/>
  <c r="D7797" i="9"/>
  <c r="C7797" i="9"/>
  <c r="B7797" i="9"/>
  <c r="H7796" i="9"/>
  <c r="G7796" i="9"/>
  <c r="E7796" i="9"/>
  <c r="D7796" i="9"/>
  <c r="C7796" i="9"/>
  <c r="B7796" i="9"/>
  <c r="H7795" i="9"/>
  <c r="G7795" i="9"/>
  <c r="E7795" i="9"/>
  <c r="D7795" i="9"/>
  <c r="C7795" i="9"/>
  <c r="B7795" i="9"/>
  <c r="H7794" i="9"/>
  <c r="G7794" i="9"/>
  <c r="E7794" i="9"/>
  <c r="D7794" i="9"/>
  <c r="C7794" i="9"/>
  <c r="B7794" i="9"/>
  <c r="H7793" i="9"/>
  <c r="G7793" i="9"/>
  <c r="E7793" i="9"/>
  <c r="D7793" i="9"/>
  <c r="C7793" i="9"/>
  <c r="B7793" i="9"/>
  <c r="H7792" i="9"/>
  <c r="G7792" i="9"/>
  <c r="E7792" i="9"/>
  <c r="D7792" i="9"/>
  <c r="C7792" i="9"/>
  <c r="B7792" i="9"/>
  <c r="H7791" i="9"/>
  <c r="G7791" i="9"/>
  <c r="E7791" i="9"/>
  <c r="D7791" i="9"/>
  <c r="C7791" i="9"/>
  <c r="B7791" i="9"/>
  <c r="H7790" i="9"/>
  <c r="G7790" i="9"/>
  <c r="E7790" i="9"/>
  <c r="D7790" i="9"/>
  <c r="C7790" i="9"/>
  <c r="B7790" i="9"/>
  <c r="H7789" i="9"/>
  <c r="G7789" i="9"/>
  <c r="E7789" i="9"/>
  <c r="D7789" i="9"/>
  <c r="C7789" i="9"/>
  <c r="B7789" i="9"/>
  <c r="H7788" i="9"/>
  <c r="G7788" i="9"/>
  <c r="E7788" i="9"/>
  <c r="D7788" i="9"/>
  <c r="C7788" i="9"/>
  <c r="B7788" i="9"/>
  <c r="H7787" i="9"/>
  <c r="G7787" i="9"/>
  <c r="E7787" i="9"/>
  <c r="D7787" i="9"/>
  <c r="C7787" i="9"/>
  <c r="B7787" i="9"/>
  <c r="H7786" i="9"/>
  <c r="G7786" i="9"/>
  <c r="E7786" i="9"/>
  <c r="D7786" i="9"/>
  <c r="C7786" i="9"/>
  <c r="B7786" i="9"/>
  <c r="H7785" i="9"/>
  <c r="G7785" i="9"/>
  <c r="E7785" i="9"/>
  <c r="D7785" i="9"/>
  <c r="C7785" i="9"/>
  <c r="B7785" i="9"/>
  <c r="H7784" i="9"/>
  <c r="G7784" i="9"/>
  <c r="E7784" i="9"/>
  <c r="D7784" i="9"/>
  <c r="C7784" i="9"/>
  <c r="B7784" i="9"/>
  <c r="H7783" i="9"/>
  <c r="G7783" i="9"/>
  <c r="E7783" i="9"/>
  <c r="D7783" i="9"/>
  <c r="C7783" i="9"/>
  <c r="B7783" i="9"/>
  <c r="H7782" i="9"/>
  <c r="G7782" i="9"/>
  <c r="E7782" i="9"/>
  <c r="D7782" i="9"/>
  <c r="C7782" i="9"/>
  <c r="B7782" i="9"/>
  <c r="H7781" i="9"/>
  <c r="G7781" i="9"/>
  <c r="E7781" i="9"/>
  <c r="D7781" i="9"/>
  <c r="C7781" i="9"/>
  <c r="B7781" i="9"/>
  <c r="H7780" i="9"/>
  <c r="G7780" i="9"/>
  <c r="E7780" i="9"/>
  <c r="D7780" i="9"/>
  <c r="C7780" i="9"/>
  <c r="B7780" i="9"/>
  <c r="H7779" i="9"/>
  <c r="G7779" i="9"/>
  <c r="E7779" i="9"/>
  <c r="D7779" i="9"/>
  <c r="C7779" i="9"/>
  <c r="B7779" i="9"/>
  <c r="H7778" i="9"/>
  <c r="G7778" i="9"/>
  <c r="E7778" i="9"/>
  <c r="D7778" i="9"/>
  <c r="C7778" i="9"/>
  <c r="B7778" i="9"/>
  <c r="H7777" i="9"/>
  <c r="G7777" i="9"/>
  <c r="E7777" i="9"/>
  <c r="D7777" i="9"/>
  <c r="C7777" i="9"/>
  <c r="B7777" i="9"/>
  <c r="H7776" i="9"/>
  <c r="G7776" i="9"/>
  <c r="E7776" i="9"/>
  <c r="D7776" i="9"/>
  <c r="C7776" i="9"/>
  <c r="B7776" i="9"/>
  <c r="H7775" i="9"/>
  <c r="G7775" i="9"/>
  <c r="E7775" i="9"/>
  <c r="D7775" i="9"/>
  <c r="C7775" i="9"/>
  <c r="B7775" i="9"/>
  <c r="H7774" i="9"/>
  <c r="G7774" i="9"/>
  <c r="E7774" i="9"/>
  <c r="D7774" i="9"/>
  <c r="C7774" i="9"/>
  <c r="B7774" i="9"/>
  <c r="H7773" i="9"/>
  <c r="G7773" i="9"/>
  <c r="E7773" i="9"/>
  <c r="D7773" i="9"/>
  <c r="C7773" i="9"/>
  <c r="B7773" i="9"/>
  <c r="H7772" i="9"/>
  <c r="G7772" i="9"/>
  <c r="E7772" i="9"/>
  <c r="D7772" i="9"/>
  <c r="C7772" i="9"/>
  <c r="B7772" i="9"/>
  <c r="H7771" i="9"/>
  <c r="G7771" i="9"/>
  <c r="E7771" i="9"/>
  <c r="D7771" i="9"/>
  <c r="C7771" i="9"/>
  <c r="B7771" i="9"/>
  <c r="H7770" i="9"/>
  <c r="G7770" i="9"/>
  <c r="E7770" i="9"/>
  <c r="D7770" i="9"/>
  <c r="C7770" i="9"/>
  <c r="B7770" i="9"/>
  <c r="H7769" i="9"/>
  <c r="G7769" i="9"/>
  <c r="E7769" i="9"/>
  <c r="D7769" i="9"/>
  <c r="C7769" i="9"/>
  <c r="B7769" i="9"/>
  <c r="H7768" i="9"/>
  <c r="G7768" i="9"/>
  <c r="E7768" i="9"/>
  <c r="D7768" i="9"/>
  <c r="C7768" i="9"/>
  <c r="B7768" i="9"/>
  <c r="H7767" i="9"/>
  <c r="G7767" i="9"/>
  <c r="E7767" i="9"/>
  <c r="D7767" i="9"/>
  <c r="C7767" i="9"/>
  <c r="B7767" i="9"/>
  <c r="H7766" i="9"/>
  <c r="G7766" i="9"/>
  <c r="E7766" i="9"/>
  <c r="D7766" i="9"/>
  <c r="C7766" i="9"/>
  <c r="B7766" i="9"/>
  <c r="H7765" i="9"/>
  <c r="G7765" i="9"/>
  <c r="E7765" i="9"/>
  <c r="D7765" i="9"/>
  <c r="C7765" i="9"/>
  <c r="B7765" i="9"/>
  <c r="H7764" i="9"/>
  <c r="G7764" i="9"/>
  <c r="E7764" i="9"/>
  <c r="D7764" i="9"/>
  <c r="C7764" i="9"/>
  <c r="B7764" i="9"/>
  <c r="H7763" i="9"/>
  <c r="G7763" i="9"/>
  <c r="E7763" i="9"/>
  <c r="D7763" i="9"/>
  <c r="C7763" i="9"/>
  <c r="B7763" i="9"/>
  <c r="H7762" i="9"/>
  <c r="G7762" i="9"/>
  <c r="E7762" i="9"/>
  <c r="D7762" i="9"/>
  <c r="C7762" i="9"/>
  <c r="B7762" i="9"/>
  <c r="H7761" i="9"/>
  <c r="G7761" i="9"/>
  <c r="E7761" i="9"/>
  <c r="D7761" i="9"/>
  <c r="C7761" i="9"/>
  <c r="B7761" i="9"/>
  <c r="H7760" i="9"/>
  <c r="G7760" i="9"/>
  <c r="E7760" i="9"/>
  <c r="D7760" i="9"/>
  <c r="C7760" i="9"/>
  <c r="B7760" i="9"/>
  <c r="H7759" i="9"/>
  <c r="G7759" i="9"/>
  <c r="E7759" i="9"/>
  <c r="D7759" i="9"/>
  <c r="C7759" i="9"/>
  <c r="B7759" i="9"/>
  <c r="H7758" i="9"/>
  <c r="G7758" i="9"/>
  <c r="E7758" i="9"/>
  <c r="D7758" i="9"/>
  <c r="C7758" i="9"/>
  <c r="B7758" i="9"/>
  <c r="H7757" i="9"/>
  <c r="G7757" i="9"/>
  <c r="E7757" i="9"/>
  <c r="D7757" i="9"/>
  <c r="C7757" i="9"/>
  <c r="B7757" i="9"/>
  <c r="H7756" i="9"/>
  <c r="G7756" i="9"/>
  <c r="E7756" i="9"/>
  <c r="D7756" i="9"/>
  <c r="C7756" i="9"/>
  <c r="B7756" i="9"/>
  <c r="H7755" i="9"/>
  <c r="G7755" i="9"/>
  <c r="E7755" i="9"/>
  <c r="D7755" i="9"/>
  <c r="C7755" i="9"/>
  <c r="B7755" i="9"/>
  <c r="H7754" i="9"/>
  <c r="G7754" i="9"/>
  <c r="E7754" i="9"/>
  <c r="D7754" i="9"/>
  <c r="C7754" i="9"/>
  <c r="B7754" i="9"/>
  <c r="H7753" i="9"/>
  <c r="G7753" i="9"/>
  <c r="E7753" i="9"/>
  <c r="D7753" i="9"/>
  <c r="C7753" i="9"/>
  <c r="B7753" i="9"/>
  <c r="H7752" i="9"/>
  <c r="G7752" i="9"/>
  <c r="E7752" i="9"/>
  <c r="D7752" i="9"/>
  <c r="C7752" i="9"/>
  <c r="B7752" i="9"/>
  <c r="H7751" i="9"/>
  <c r="G7751" i="9"/>
  <c r="E7751" i="9"/>
  <c r="D7751" i="9"/>
  <c r="C7751" i="9"/>
  <c r="B7751" i="9"/>
  <c r="H7750" i="9"/>
  <c r="G7750" i="9"/>
  <c r="E7750" i="9"/>
  <c r="D7750" i="9"/>
  <c r="C7750" i="9"/>
  <c r="B7750" i="9"/>
  <c r="H7749" i="9"/>
  <c r="G7749" i="9"/>
  <c r="E7749" i="9"/>
  <c r="D7749" i="9"/>
  <c r="C7749" i="9"/>
  <c r="B7749" i="9"/>
  <c r="H7748" i="9"/>
  <c r="G7748" i="9"/>
  <c r="E7748" i="9"/>
  <c r="D7748" i="9"/>
  <c r="C7748" i="9"/>
  <c r="B7748" i="9"/>
  <c r="H7747" i="9"/>
  <c r="G7747" i="9"/>
  <c r="E7747" i="9"/>
  <c r="D7747" i="9"/>
  <c r="C7747" i="9"/>
  <c r="B7747" i="9"/>
  <c r="H7746" i="9"/>
  <c r="G7746" i="9"/>
  <c r="E7746" i="9"/>
  <c r="D7746" i="9"/>
  <c r="C7746" i="9"/>
  <c r="B7746" i="9"/>
  <c r="H7745" i="9"/>
  <c r="G7745" i="9"/>
  <c r="E7745" i="9"/>
  <c r="D7745" i="9"/>
  <c r="C7745" i="9"/>
  <c r="B7745" i="9"/>
  <c r="H7744" i="9"/>
  <c r="G7744" i="9"/>
  <c r="E7744" i="9"/>
  <c r="D7744" i="9"/>
  <c r="C7744" i="9"/>
  <c r="B7744" i="9"/>
  <c r="H7743" i="9"/>
  <c r="G7743" i="9"/>
  <c r="E7743" i="9"/>
  <c r="D7743" i="9"/>
  <c r="C7743" i="9"/>
  <c r="B7743" i="9"/>
  <c r="H7742" i="9"/>
  <c r="G7742" i="9"/>
  <c r="E7742" i="9"/>
  <c r="D7742" i="9"/>
  <c r="C7742" i="9"/>
  <c r="B7742" i="9"/>
  <c r="H7741" i="9"/>
  <c r="G7741" i="9"/>
  <c r="E7741" i="9"/>
  <c r="D7741" i="9"/>
  <c r="C7741" i="9"/>
  <c r="B7741" i="9"/>
  <c r="H7740" i="9"/>
  <c r="G7740" i="9"/>
  <c r="E7740" i="9"/>
  <c r="D7740" i="9"/>
  <c r="C7740" i="9"/>
  <c r="B7740" i="9"/>
  <c r="H7739" i="9"/>
  <c r="G7739" i="9"/>
  <c r="E7739" i="9"/>
  <c r="D7739" i="9"/>
  <c r="C7739" i="9"/>
  <c r="B7739" i="9"/>
  <c r="H7738" i="9"/>
  <c r="G7738" i="9"/>
  <c r="E7738" i="9"/>
  <c r="D7738" i="9"/>
  <c r="C7738" i="9"/>
  <c r="B7738" i="9"/>
  <c r="H7737" i="9"/>
  <c r="G7737" i="9"/>
  <c r="E7737" i="9"/>
  <c r="D7737" i="9"/>
  <c r="C7737" i="9"/>
  <c r="B7737" i="9"/>
  <c r="H7736" i="9"/>
  <c r="G7736" i="9"/>
  <c r="E7736" i="9"/>
  <c r="D7736" i="9"/>
  <c r="C7736" i="9"/>
  <c r="B7736" i="9"/>
  <c r="H7735" i="9"/>
  <c r="G7735" i="9"/>
  <c r="E7735" i="9"/>
  <c r="D7735" i="9"/>
  <c r="C7735" i="9"/>
  <c r="B7735" i="9"/>
  <c r="H7734" i="9"/>
  <c r="G7734" i="9"/>
  <c r="E7734" i="9"/>
  <c r="D7734" i="9"/>
  <c r="C7734" i="9"/>
  <c r="B7734" i="9"/>
  <c r="H7733" i="9"/>
  <c r="G7733" i="9"/>
  <c r="E7733" i="9"/>
  <c r="D7733" i="9"/>
  <c r="C7733" i="9"/>
  <c r="B7733" i="9"/>
  <c r="H7732" i="9"/>
  <c r="G7732" i="9"/>
  <c r="E7732" i="9"/>
  <c r="D7732" i="9"/>
  <c r="C7732" i="9"/>
  <c r="B7732" i="9"/>
  <c r="H7731" i="9"/>
  <c r="G7731" i="9"/>
  <c r="E7731" i="9"/>
  <c r="D7731" i="9"/>
  <c r="C7731" i="9"/>
  <c r="B7731" i="9"/>
  <c r="H7730" i="9"/>
  <c r="G7730" i="9"/>
  <c r="E7730" i="9"/>
  <c r="D7730" i="9"/>
  <c r="C7730" i="9"/>
  <c r="B7730" i="9"/>
  <c r="H7729" i="9"/>
  <c r="G7729" i="9"/>
  <c r="E7729" i="9"/>
  <c r="D7729" i="9"/>
  <c r="C7729" i="9"/>
  <c r="B7729" i="9"/>
  <c r="H7728" i="9"/>
  <c r="G7728" i="9"/>
  <c r="E7728" i="9"/>
  <c r="D7728" i="9"/>
  <c r="C7728" i="9"/>
  <c r="B7728" i="9"/>
  <c r="H7727" i="9"/>
  <c r="G7727" i="9"/>
  <c r="E7727" i="9"/>
  <c r="D7727" i="9"/>
  <c r="C7727" i="9"/>
  <c r="B7727" i="9"/>
  <c r="H7726" i="9"/>
  <c r="G7726" i="9"/>
  <c r="E7726" i="9"/>
  <c r="D7726" i="9"/>
  <c r="C7726" i="9"/>
  <c r="B7726" i="9"/>
  <c r="H7725" i="9"/>
  <c r="G7725" i="9"/>
  <c r="E7725" i="9"/>
  <c r="D7725" i="9"/>
  <c r="C7725" i="9"/>
  <c r="B7725" i="9"/>
  <c r="H7724" i="9"/>
  <c r="G7724" i="9"/>
  <c r="E7724" i="9"/>
  <c r="D7724" i="9"/>
  <c r="C7724" i="9"/>
  <c r="B7724" i="9"/>
  <c r="H7723" i="9"/>
  <c r="G7723" i="9"/>
  <c r="E7723" i="9"/>
  <c r="D7723" i="9"/>
  <c r="C7723" i="9"/>
  <c r="B7723" i="9"/>
  <c r="H7722" i="9"/>
  <c r="G7722" i="9"/>
  <c r="E7722" i="9"/>
  <c r="D7722" i="9"/>
  <c r="C7722" i="9"/>
  <c r="B7722" i="9"/>
  <c r="H7721" i="9"/>
  <c r="G7721" i="9"/>
  <c r="E7721" i="9"/>
  <c r="D7721" i="9"/>
  <c r="C7721" i="9"/>
  <c r="B7721" i="9"/>
  <c r="H7720" i="9"/>
  <c r="G7720" i="9"/>
  <c r="E7720" i="9"/>
  <c r="D7720" i="9"/>
  <c r="C7720" i="9"/>
  <c r="B7720" i="9"/>
  <c r="H7719" i="9"/>
  <c r="G7719" i="9"/>
  <c r="E7719" i="9"/>
  <c r="D7719" i="9"/>
  <c r="C7719" i="9"/>
  <c r="B7719" i="9"/>
  <c r="H7718" i="9"/>
  <c r="G7718" i="9"/>
  <c r="E7718" i="9"/>
  <c r="D7718" i="9"/>
  <c r="C7718" i="9"/>
  <c r="B7718" i="9"/>
  <c r="H7717" i="9"/>
  <c r="G7717" i="9"/>
  <c r="E7717" i="9"/>
  <c r="D7717" i="9"/>
  <c r="C7717" i="9"/>
  <c r="B7717" i="9"/>
  <c r="H7716" i="9"/>
  <c r="G7716" i="9"/>
  <c r="E7716" i="9"/>
  <c r="D7716" i="9"/>
  <c r="C7716" i="9"/>
  <c r="B7716" i="9"/>
  <c r="H7715" i="9"/>
  <c r="G7715" i="9"/>
  <c r="E7715" i="9"/>
  <c r="D7715" i="9"/>
  <c r="C7715" i="9"/>
  <c r="B7715" i="9"/>
  <c r="H7714" i="9"/>
  <c r="G7714" i="9"/>
  <c r="E7714" i="9"/>
  <c r="D7714" i="9"/>
  <c r="C7714" i="9"/>
  <c r="B7714" i="9"/>
  <c r="H7713" i="9"/>
  <c r="G7713" i="9"/>
  <c r="E7713" i="9"/>
  <c r="D7713" i="9"/>
  <c r="C7713" i="9"/>
  <c r="B7713" i="9"/>
  <c r="H7712" i="9"/>
  <c r="G7712" i="9"/>
  <c r="E7712" i="9"/>
  <c r="D7712" i="9"/>
  <c r="C7712" i="9"/>
  <c r="B7712" i="9"/>
  <c r="H7711" i="9"/>
  <c r="G7711" i="9"/>
  <c r="E7711" i="9"/>
  <c r="D7711" i="9"/>
  <c r="C7711" i="9"/>
  <c r="B7711" i="9"/>
  <c r="H7710" i="9"/>
  <c r="G7710" i="9"/>
  <c r="E7710" i="9"/>
  <c r="D7710" i="9"/>
  <c r="C7710" i="9"/>
  <c r="B7710" i="9"/>
  <c r="H7709" i="9"/>
  <c r="G7709" i="9"/>
  <c r="E7709" i="9"/>
  <c r="D7709" i="9"/>
  <c r="C7709" i="9"/>
  <c r="B7709" i="9"/>
  <c r="H7708" i="9"/>
  <c r="G7708" i="9"/>
  <c r="E7708" i="9"/>
  <c r="D7708" i="9"/>
  <c r="C7708" i="9"/>
  <c r="B7708" i="9"/>
  <c r="H7707" i="9"/>
  <c r="G7707" i="9"/>
  <c r="E7707" i="9"/>
  <c r="D7707" i="9"/>
  <c r="C7707" i="9"/>
  <c r="B7707" i="9"/>
  <c r="H7706" i="9"/>
  <c r="G7706" i="9"/>
  <c r="E7706" i="9"/>
  <c r="D7706" i="9"/>
  <c r="C7706" i="9"/>
  <c r="B7706" i="9"/>
  <c r="H7705" i="9"/>
  <c r="G7705" i="9"/>
  <c r="E7705" i="9"/>
  <c r="D7705" i="9"/>
  <c r="C7705" i="9"/>
  <c r="B7705" i="9"/>
  <c r="H7704" i="9"/>
  <c r="G7704" i="9"/>
  <c r="E7704" i="9"/>
  <c r="D7704" i="9"/>
  <c r="C7704" i="9"/>
  <c r="B7704" i="9"/>
  <c r="H7703" i="9"/>
  <c r="G7703" i="9"/>
  <c r="E7703" i="9"/>
  <c r="D7703" i="9"/>
  <c r="C7703" i="9"/>
  <c r="B7703" i="9"/>
  <c r="H7702" i="9"/>
  <c r="G7702" i="9"/>
  <c r="E7702" i="9"/>
  <c r="D7702" i="9"/>
  <c r="C7702" i="9"/>
  <c r="B7702" i="9"/>
  <c r="H7701" i="9"/>
  <c r="G7701" i="9"/>
  <c r="E7701" i="9"/>
  <c r="D7701" i="9"/>
  <c r="C7701" i="9"/>
  <c r="B7701" i="9"/>
  <c r="H7700" i="9"/>
  <c r="G7700" i="9"/>
  <c r="E7700" i="9"/>
  <c r="D7700" i="9"/>
  <c r="C7700" i="9"/>
  <c r="B7700" i="9"/>
  <c r="H7699" i="9"/>
  <c r="G7699" i="9"/>
  <c r="E7699" i="9"/>
  <c r="D7699" i="9"/>
  <c r="C7699" i="9"/>
  <c r="B7699" i="9"/>
  <c r="H7698" i="9"/>
  <c r="G7698" i="9"/>
  <c r="E7698" i="9"/>
  <c r="D7698" i="9"/>
  <c r="C7698" i="9"/>
  <c r="B7698" i="9"/>
  <c r="H7697" i="9"/>
  <c r="G7697" i="9"/>
  <c r="E7697" i="9"/>
  <c r="D7697" i="9"/>
  <c r="C7697" i="9"/>
  <c r="B7697" i="9"/>
  <c r="H7696" i="9"/>
  <c r="G7696" i="9"/>
  <c r="E7696" i="9"/>
  <c r="D7696" i="9"/>
  <c r="C7696" i="9"/>
  <c r="B7696" i="9"/>
  <c r="H7695" i="9"/>
  <c r="G7695" i="9"/>
  <c r="E7695" i="9"/>
  <c r="D7695" i="9"/>
  <c r="C7695" i="9"/>
  <c r="B7695" i="9"/>
  <c r="H7694" i="9"/>
  <c r="G7694" i="9"/>
  <c r="E7694" i="9"/>
  <c r="D7694" i="9"/>
  <c r="C7694" i="9"/>
  <c r="B7694" i="9"/>
  <c r="H7693" i="9"/>
  <c r="G7693" i="9"/>
  <c r="E7693" i="9"/>
  <c r="D7693" i="9"/>
  <c r="C7693" i="9"/>
  <c r="B7693" i="9"/>
  <c r="H7692" i="9"/>
  <c r="G7692" i="9"/>
  <c r="E7692" i="9"/>
  <c r="D7692" i="9"/>
  <c r="C7692" i="9"/>
  <c r="B7692" i="9"/>
  <c r="H7691" i="9"/>
  <c r="G7691" i="9"/>
  <c r="E7691" i="9"/>
  <c r="D7691" i="9"/>
  <c r="C7691" i="9"/>
  <c r="B7691" i="9"/>
  <c r="H7690" i="9"/>
  <c r="G7690" i="9"/>
  <c r="E7690" i="9"/>
  <c r="D7690" i="9"/>
  <c r="C7690" i="9"/>
  <c r="B7690" i="9"/>
  <c r="H7689" i="9"/>
  <c r="G7689" i="9"/>
  <c r="E7689" i="9"/>
  <c r="D7689" i="9"/>
  <c r="C7689" i="9"/>
  <c r="B7689" i="9"/>
  <c r="H7688" i="9"/>
  <c r="G7688" i="9"/>
  <c r="E7688" i="9"/>
  <c r="D7688" i="9"/>
  <c r="C7688" i="9"/>
  <c r="B7688" i="9"/>
  <c r="H7687" i="9"/>
  <c r="G7687" i="9"/>
  <c r="E7687" i="9"/>
  <c r="D7687" i="9"/>
  <c r="C7687" i="9"/>
  <c r="B7687" i="9"/>
  <c r="H7686" i="9"/>
  <c r="G7686" i="9"/>
  <c r="E7686" i="9"/>
  <c r="D7686" i="9"/>
  <c r="C7686" i="9"/>
  <c r="B7686" i="9"/>
  <c r="H7685" i="9"/>
  <c r="G7685" i="9"/>
  <c r="E7685" i="9"/>
  <c r="D7685" i="9"/>
  <c r="C7685" i="9"/>
  <c r="B7685" i="9"/>
  <c r="H7684" i="9"/>
  <c r="G7684" i="9"/>
  <c r="E7684" i="9"/>
  <c r="D7684" i="9"/>
  <c r="C7684" i="9"/>
  <c r="B7684" i="9"/>
  <c r="H7683" i="9"/>
  <c r="G7683" i="9"/>
  <c r="E7683" i="9"/>
  <c r="D7683" i="9"/>
  <c r="C7683" i="9"/>
  <c r="B7683" i="9"/>
  <c r="H7682" i="9"/>
  <c r="G7682" i="9"/>
  <c r="E7682" i="9"/>
  <c r="D7682" i="9"/>
  <c r="C7682" i="9"/>
  <c r="B7682" i="9"/>
  <c r="H7681" i="9"/>
  <c r="G7681" i="9"/>
  <c r="E7681" i="9"/>
  <c r="D7681" i="9"/>
  <c r="C7681" i="9"/>
  <c r="B7681" i="9"/>
  <c r="H7680" i="9"/>
  <c r="G7680" i="9"/>
  <c r="E7680" i="9"/>
  <c r="D7680" i="9"/>
  <c r="C7680" i="9"/>
  <c r="B7680" i="9"/>
  <c r="H7679" i="9"/>
  <c r="G7679" i="9"/>
  <c r="E7679" i="9"/>
  <c r="D7679" i="9"/>
  <c r="C7679" i="9"/>
  <c r="B7679" i="9"/>
  <c r="H7678" i="9"/>
  <c r="G7678" i="9"/>
  <c r="E7678" i="9"/>
  <c r="D7678" i="9"/>
  <c r="C7678" i="9"/>
  <c r="B7678" i="9"/>
  <c r="H7677" i="9"/>
  <c r="G7677" i="9"/>
  <c r="E7677" i="9"/>
  <c r="D7677" i="9"/>
  <c r="C7677" i="9"/>
  <c r="B7677" i="9"/>
  <c r="H7676" i="9"/>
  <c r="G7676" i="9"/>
  <c r="E7676" i="9"/>
  <c r="D7676" i="9"/>
  <c r="C7676" i="9"/>
  <c r="B7676" i="9"/>
  <c r="H7675" i="9"/>
  <c r="G7675" i="9"/>
  <c r="E7675" i="9"/>
  <c r="D7675" i="9"/>
  <c r="C7675" i="9"/>
  <c r="B7675" i="9"/>
  <c r="H7674" i="9"/>
  <c r="G7674" i="9"/>
  <c r="E7674" i="9"/>
  <c r="D7674" i="9"/>
  <c r="C7674" i="9"/>
  <c r="B7674" i="9"/>
  <c r="H7673" i="9"/>
  <c r="G7673" i="9"/>
  <c r="E7673" i="9"/>
  <c r="D7673" i="9"/>
  <c r="C7673" i="9"/>
  <c r="B7673" i="9"/>
  <c r="H7672" i="9"/>
  <c r="G7672" i="9"/>
  <c r="E7672" i="9"/>
  <c r="D7672" i="9"/>
  <c r="C7672" i="9"/>
  <c r="B7672" i="9"/>
  <c r="H7671" i="9"/>
  <c r="G7671" i="9"/>
  <c r="E7671" i="9"/>
  <c r="D7671" i="9"/>
  <c r="C7671" i="9"/>
  <c r="B7671" i="9"/>
  <c r="H7670" i="9"/>
  <c r="G7670" i="9"/>
  <c r="E7670" i="9"/>
  <c r="D7670" i="9"/>
  <c r="C7670" i="9"/>
  <c r="B7670" i="9"/>
  <c r="H7669" i="9"/>
  <c r="G7669" i="9"/>
  <c r="E7669" i="9"/>
  <c r="D7669" i="9"/>
  <c r="C7669" i="9"/>
  <c r="B7669" i="9"/>
  <c r="H7668" i="9"/>
  <c r="G7668" i="9"/>
  <c r="E7668" i="9"/>
  <c r="D7668" i="9"/>
  <c r="C7668" i="9"/>
  <c r="B7668" i="9"/>
  <c r="H7667" i="9"/>
  <c r="G7667" i="9"/>
  <c r="E7667" i="9"/>
  <c r="D7667" i="9"/>
  <c r="C7667" i="9"/>
  <c r="B7667" i="9"/>
  <c r="H7666" i="9"/>
  <c r="G7666" i="9"/>
  <c r="E7666" i="9"/>
  <c r="D7666" i="9"/>
  <c r="C7666" i="9"/>
  <c r="B7666" i="9"/>
  <c r="H7665" i="9"/>
  <c r="G7665" i="9"/>
  <c r="E7665" i="9"/>
  <c r="D7665" i="9"/>
  <c r="C7665" i="9"/>
  <c r="B7665" i="9"/>
  <c r="H7664" i="9"/>
  <c r="G7664" i="9"/>
  <c r="E7664" i="9"/>
  <c r="D7664" i="9"/>
  <c r="C7664" i="9"/>
  <c r="B7664" i="9"/>
  <c r="H7663" i="9"/>
  <c r="G7663" i="9"/>
  <c r="E7663" i="9"/>
  <c r="D7663" i="9"/>
  <c r="C7663" i="9"/>
  <c r="B7663" i="9"/>
  <c r="H7662" i="9"/>
  <c r="G7662" i="9"/>
  <c r="E7662" i="9"/>
  <c r="D7662" i="9"/>
  <c r="C7662" i="9"/>
  <c r="B7662" i="9"/>
  <c r="H7661" i="9"/>
  <c r="G7661" i="9"/>
  <c r="E7661" i="9"/>
  <c r="D7661" i="9"/>
  <c r="C7661" i="9"/>
  <c r="B7661" i="9"/>
  <c r="H7660" i="9"/>
  <c r="G7660" i="9"/>
  <c r="E7660" i="9"/>
  <c r="D7660" i="9"/>
  <c r="C7660" i="9"/>
  <c r="B7660" i="9"/>
  <c r="H7659" i="9"/>
  <c r="G7659" i="9"/>
  <c r="E7659" i="9"/>
  <c r="D7659" i="9"/>
  <c r="C7659" i="9"/>
  <c r="B7659" i="9"/>
  <c r="H7658" i="9"/>
  <c r="G7658" i="9"/>
  <c r="E7658" i="9"/>
  <c r="D7658" i="9"/>
  <c r="C7658" i="9"/>
  <c r="B7658" i="9"/>
  <c r="H7657" i="9"/>
  <c r="G7657" i="9"/>
  <c r="E7657" i="9"/>
  <c r="D7657" i="9"/>
  <c r="C7657" i="9"/>
  <c r="B7657" i="9"/>
  <c r="H7656" i="9"/>
  <c r="G7656" i="9"/>
  <c r="E7656" i="9"/>
  <c r="D7656" i="9"/>
  <c r="C7656" i="9"/>
  <c r="B7656" i="9"/>
  <c r="H7655" i="9"/>
  <c r="G7655" i="9"/>
  <c r="E7655" i="9"/>
  <c r="D7655" i="9"/>
  <c r="C7655" i="9"/>
  <c r="B7655" i="9"/>
  <c r="H7654" i="9"/>
  <c r="G7654" i="9"/>
  <c r="E7654" i="9"/>
  <c r="D7654" i="9"/>
  <c r="C7654" i="9"/>
  <c r="B7654" i="9"/>
  <c r="H7653" i="9"/>
  <c r="G7653" i="9"/>
  <c r="E7653" i="9"/>
  <c r="D7653" i="9"/>
  <c r="C7653" i="9"/>
  <c r="B7653" i="9"/>
  <c r="H7652" i="9"/>
  <c r="G7652" i="9"/>
  <c r="E7652" i="9"/>
  <c r="D7652" i="9"/>
  <c r="C7652" i="9"/>
  <c r="B7652" i="9"/>
  <c r="H7651" i="9"/>
  <c r="G7651" i="9"/>
  <c r="E7651" i="9"/>
  <c r="D7651" i="9"/>
  <c r="C7651" i="9"/>
  <c r="B7651" i="9"/>
  <c r="H7650" i="9"/>
  <c r="G7650" i="9"/>
  <c r="E7650" i="9"/>
  <c r="D7650" i="9"/>
  <c r="C7650" i="9"/>
  <c r="B7650" i="9"/>
  <c r="H7649" i="9"/>
  <c r="G7649" i="9"/>
  <c r="E7649" i="9"/>
  <c r="D7649" i="9"/>
  <c r="C7649" i="9"/>
  <c r="B7649" i="9"/>
  <c r="H7648" i="9"/>
  <c r="G7648" i="9"/>
  <c r="E7648" i="9"/>
  <c r="D7648" i="9"/>
  <c r="C7648" i="9"/>
  <c r="B7648" i="9"/>
  <c r="H7647" i="9"/>
  <c r="G7647" i="9"/>
  <c r="E7647" i="9"/>
  <c r="D7647" i="9"/>
  <c r="C7647" i="9"/>
  <c r="B7647" i="9"/>
  <c r="H7646" i="9"/>
  <c r="G7646" i="9"/>
  <c r="E7646" i="9"/>
  <c r="D7646" i="9"/>
  <c r="C7646" i="9"/>
  <c r="B7646" i="9"/>
  <c r="H7645" i="9"/>
  <c r="G7645" i="9"/>
  <c r="E7645" i="9"/>
  <c r="D7645" i="9"/>
  <c r="C7645" i="9"/>
  <c r="B7645" i="9"/>
  <c r="H7644" i="9"/>
  <c r="G7644" i="9"/>
  <c r="E7644" i="9"/>
  <c r="D7644" i="9"/>
  <c r="C7644" i="9"/>
  <c r="B7644" i="9"/>
  <c r="H7643" i="9"/>
  <c r="G7643" i="9"/>
  <c r="E7643" i="9"/>
  <c r="D7643" i="9"/>
  <c r="C7643" i="9"/>
  <c r="B7643" i="9"/>
  <c r="H7642" i="9"/>
  <c r="G7642" i="9"/>
  <c r="E7642" i="9"/>
  <c r="D7642" i="9"/>
  <c r="C7642" i="9"/>
  <c r="B7642" i="9"/>
  <c r="H7641" i="9"/>
  <c r="G7641" i="9"/>
  <c r="E7641" i="9"/>
  <c r="D7641" i="9"/>
  <c r="C7641" i="9"/>
  <c r="B7641" i="9"/>
  <c r="H7640" i="9"/>
  <c r="G7640" i="9"/>
  <c r="E7640" i="9"/>
  <c r="D7640" i="9"/>
  <c r="C7640" i="9"/>
  <c r="B7640" i="9"/>
  <c r="H7639" i="9"/>
  <c r="G7639" i="9"/>
  <c r="E7639" i="9"/>
  <c r="D7639" i="9"/>
  <c r="C7639" i="9"/>
  <c r="B7639" i="9"/>
  <c r="H7638" i="9"/>
  <c r="G7638" i="9"/>
  <c r="E7638" i="9"/>
  <c r="D7638" i="9"/>
  <c r="C7638" i="9"/>
  <c r="B7638" i="9"/>
  <c r="H7637" i="9"/>
  <c r="G7637" i="9"/>
  <c r="E7637" i="9"/>
  <c r="D7637" i="9"/>
  <c r="C7637" i="9"/>
  <c r="B7637" i="9"/>
  <c r="H7636" i="9"/>
  <c r="G7636" i="9"/>
  <c r="E7636" i="9"/>
  <c r="D7636" i="9"/>
  <c r="C7636" i="9"/>
  <c r="B7636" i="9"/>
  <c r="H7635" i="9"/>
  <c r="G7635" i="9"/>
  <c r="E7635" i="9"/>
  <c r="D7635" i="9"/>
  <c r="C7635" i="9"/>
  <c r="B7635" i="9"/>
  <c r="H7634" i="9"/>
  <c r="G7634" i="9"/>
  <c r="E7634" i="9"/>
  <c r="D7634" i="9"/>
  <c r="C7634" i="9"/>
  <c r="B7634" i="9"/>
  <c r="H7633" i="9"/>
  <c r="G7633" i="9"/>
  <c r="E7633" i="9"/>
  <c r="D7633" i="9"/>
  <c r="C7633" i="9"/>
  <c r="B7633" i="9"/>
  <c r="H7632" i="9"/>
  <c r="G7632" i="9"/>
  <c r="E7632" i="9"/>
  <c r="D7632" i="9"/>
  <c r="C7632" i="9"/>
  <c r="B7632" i="9"/>
  <c r="H7631" i="9"/>
  <c r="G7631" i="9"/>
  <c r="E7631" i="9"/>
  <c r="D7631" i="9"/>
  <c r="C7631" i="9"/>
  <c r="B7631" i="9"/>
  <c r="H7630" i="9"/>
  <c r="G7630" i="9"/>
  <c r="E7630" i="9"/>
  <c r="D7630" i="9"/>
  <c r="C7630" i="9"/>
  <c r="B7630" i="9"/>
  <c r="H7629" i="9"/>
  <c r="G7629" i="9"/>
  <c r="E7629" i="9"/>
  <c r="D7629" i="9"/>
  <c r="C7629" i="9"/>
  <c r="B7629" i="9"/>
  <c r="H7628" i="9"/>
  <c r="G7628" i="9"/>
  <c r="E7628" i="9"/>
  <c r="D7628" i="9"/>
  <c r="C7628" i="9"/>
  <c r="B7628" i="9"/>
  <c r="H7627" i="9"/>
  <c r="G7627" i="9"/>
  <c r="E7627" i="9"/>
  <c r="D7627" i="9"/>
  <c r="C7627" i="9"/>
  <c r="B7627" i="9"/>
  <c r="H7626" i="9"/>
  <c r="G7626" i="9"/>
  <c r="E7626" i="9"/>
  <c r="D7626" i="9"/>
  <c r="C7626" i="9"/>
  <c r="B7626" i="9"/>
  <c r="H7625" i="9"/>
  <c r="G7625" i="9"/>
  <c r="E7625" i="9"/>
  <c r="D7625" i="9"/>
  <c r="C7625" i="9"/>
  <c r="B7625" i="9"/>
  <c r="H7624" i="9"/>
  <c r="G7624" i="9"/>
  <c r="E7624" i="9"/>
  <c r="D7624" i="9"/>
  <c r="C7624" i="9"/>
  <c r="B7624" i="9"/>
  <c r="H7623" i="9"/>
  <c r="G7623" i="9"/>
  <c r="E7623" i="9"/>
  <c r="D7623" i="9"/>
  <c r="C7623" i="9"/>
  <c r="B7623" i="9"/>
  <c r="H7622" i="9"/>
  <c r="G7622" i="9"/>
  <c r="E7622" i="9"/>
  <c r="D7622" i="9"/>
  <c r="C7622" i="9"/>
  <c r="B7622" i="9"/>
  <c r="H7621" i="9"/>
  <c r="G7621" i="9"/>
  <c r="E7621" i="9"/>
  <c r="D7621" i="9"/>
  <c r="C7621" i="9"/>
  <c r="B7621" i="9"/>
  <c r="H7620" i="9"/>
  <c r="G7620" i="9"/>
  <c r="E7620" i="9"/>
  <c r="D7620" i="9"/>
  <c r="C7620" i="9"/>
  <c r="B7620" i="9"/>
  <c r="H7619" i="9"/>
  <c r="G7619" i="9"/>
  <c r="E7619" i="9"/>
  <c r="D7619" i="9"/>
  <c r="C7619" i="9"/>
  <c r="B7619" i="9"/>
  <c r="H7618" i="9"/>
  <c r="G7618" i="9"/>
  <c r="E7618" i="9"/>
  <c r="D7618" i="9"/>
  <c r="C7618" i="9"/>
  <c r="B7618" i="9"/>
  <c r="H7617" i="9"/>
  <c r="G7617" i="9"/>
  <c r="E7617" i="9"/>
  <c r="D7617" i="9"/>
  <c r="C7617" i="9"/>
  <c r="B7617" i="9"/>
  <c r="H7616" i="9"/>
  <c r="G7616" i="9"/>
  <c r="E7616" i="9"/>
  <c r="D7616" i="9"/>
  <c r="C7616" i="9"/>
  <c r="B7616" i="9"/>
  <c r="H7615" i="9"/>
  <c r="G7615" i="9"/>
  <c r="E7615" i="9"/>
  <c r="D7615" i="9"/>
  <c r="C7615" i="9"/>
  <c r="B7615" i="9"/>
  <c r="H7614" i="9"/>
  <c r="G7614" i="9"/>
  <c r="E7614" i="9"/>
  <c r="D7614" i="9"/>
  <c r="C7614" i="9"/>
  <c r="B7614" i="9"/>
  <c r="H7613" i="9"/>
  <c r="G7613" i="9"/>
  <c r="E7613" i="9"/>
  <c r="D7613" i="9"/>
  <c r="C7613" i="9"/>
  <c r="B7613" i="9"/>
  <c r="H7612" i="9"/>
  <c r="G7612" i="9"/>
  <c r="E7612" i="9"/>
  <c r="D7612" i="9"/>
  <c r="C7612" i="9"/>
  <c r="B7612" i="9"/>
  <c r="H7611" i="9"/>
  <c r="G7611" i="9"/>
  <c r="E7611" i="9"/>
  <c r="D7611" i="9"/>
  <c r="C7611" i="9"/>
  <c r="B7611" i="9"/>
  <c r="H7610" i="9"/>
  <c r="G7610" i="9"/>
  <c r="E7610" i="9"/>
  <c r="D7610" i="9"/>
  <c r="C7610" i="9"/>
  <c r="B7610" i="9"/>
  <c r="H7609" i="9"/>
  <c r="G7609" i="9"/>
  <c r="E7609" i="9"/>
  <c r="D7609" i="9"/>
  <c r="C7609" i="9"/>
  <c r="B7609" i="9"/>
  <c r="H7608" i="9"/>
  <c r="G7608" i="9"/>
  <c r="E7608" i="9"/>
  <c r="D7608" i="9"/>
  <c r="C7608" i="9"/>
  <c r="B7608" i="9"/>
  <c r="H7607" i="9"/>
  <c r="G7607" i="9"/>
  <c r="E7607" i="9"/>
  <c r="D7607" i="9"/>
  <c r="C7607" i="9"/>
  <c r="B7607" i="9"/>
  <c r="H7606" i="9"/>
  <c r="G7606" i="9"/>
  <c r="E7606" i="9"/>
  <c r="D7606" i="9"/>
  <c r="C7606" i="9"/>
  <c r="B7606" i="9"/>
  <c r="H7605" i="9"/>
  <c r="G7605" i="9"/>
  <c r="E7605" i="9"/>
  <c r="D7605" i="9"/>
  <c r="C7605" i="9"/>
  <c r="B7605" i="9"/>
  <c r="H7604" i="9"/>
  <c r="G7604" i="9"/>
  <c r="E7604" i="9"/>
  <c r="D7604" i="9"/>
  <c r="C7604" i="9"/>
  <c r="B7604" i="9"/>
  <c r="H7603" i="9"/>
  <c r="G7603" i="9"/>
  <c r="E7603" i="9"/>
  <c r="D7603" i="9"/>
  <c r="C7603" i="9"/>
  <c r="B7603" i="9"/>
  <c r="H7602" i="9"/>
  <c r="G7602" i="9"/>
  <c r="E7602" i="9"/>
  <c r="D7602" i="9"/>
  <c r="C7602" i="9"/>
  <c r="B7602" i="9"/>
  <c r="H7601" i="9"/>
  <c r="G7601" i="9"/>
  <c r="E7601" i="9"/>
  <c r="D7601" i="9"/>
  <c r="C7601" i="9"/>
  <c r="B7601" i="9"/>
  <c r="H7600" i="9"/>
  <c r="G7600" i="9"/>
  <c r="E7600" i="9"/>
  <c r="D7600" i="9"/>
  <c r="C7600" i="9"/>
  <c r="B7600" i="9"/>
  <c r="H7599" i="9"/>
  <c r="G7599" i="9"/>
  <c r="E7599" i="9"/>
  <c r="D7599" i="9"/>
  <c r="C7599" i="9"/>
  <c r="B7599" i="9"/>
  <c r="H7598" i="9"/>
  <c r="G7598" i="9"/>
  <c r="E7598" i="9"/>
  <c r="D7598" i="9"/>
  <c r="C7598" i="9"/>
  <c r="B7598" i="9"/>
  <c r="H7597" i="9"/>
  <c r="G7597" i="9"/>
  <c r="E7597" i="9"/>
  <c r="D7597" i="9"/>
  <c r="C7597" i="9"/>
  <c r="B7597" i="9"/>
  <c r="H7596" i="9"/>
  <c r="G7596" i="9"/>
  <c r="E7596" i="9"/>
  <c r="D7596" i="9"/>
  <c r="C7596" i="9"/>
  <c r="B7596" i="9"/>
  <c r="H7595" i="9"/>
  <c r="G7595" i="9"/>
  <c r="E7595" i="9"/>
  <c r="D7595" i="9"/>
  <c r="C7595" i="9"/>
  <c r="B7595" i="9"/>
  <c r="H7594" i="9"/>
  <c r="G7594" i="9"/>
  <c r="E7594" i="9"/>
  <c r="D7594" i="9"/>
  <c r="C7594" i="9"/>
  <c r="B7594" i="9"/>
  <c r="H7593" i="9"/>
  <c r="G7593" i="9"/>
  <c r="E7593" i="9"/>
  <c r="D7593" i="9"/>
  <c r="C7593" i="9"/>
  <c r="B7593" i="9"/>
  <c r="H7592" i="9"/>
  <c r="G7592" i="9"/>
  <c r="E7592" i="9"/>
  <c r="D7592" i="9"/>
  <c r="C7592" i="9"/>
  <c r="B7592" i="9"/>
  <c r="H7591" i="9"/>
  <c r="G7591" i="9"/>
  <c r="E7591" i="9"/>
  <c r="D7591" i="9"/>
  <c r="C7591" i="9"/>
  <c r="B7591" i="9"/>
  <c r="H7590" i="9"/>
  <c r="G7590" i="9"/>
  <c r="E7590" i="9"/>
  <c r="D7590" i="9"/>
  <c r="C7590" i="9"/>
  <c r="B7590" i="9"/>
  <c r="H7589" i="9"/>
  <c r="G7589" i="9"/>
  <c r="E7589" i="9"/>
  <c r="D7589" i="9"/>
  <c r="C7589" i="9"/>
  <c r="B7589" i="9"/>
  <c r="H7588" i="9"/>
  <c r="G7588" i="9"/>
  <c r="E7588" i="9"/>
  <c r="D7588" i="9"/>
  <c r="C7588" i="9"/>
  <c r="B7588" i="9"/>
  <c r="H7587" i="9"/>
  <c r="G7587" i="9"/>
  <c r="E7587" i="9"/>
  <c r="D7587" i="9"/>
  <c r="C7587" i="9"/>
  <c r="B7587" i="9"/>
  <c r="H7586" i="9"/>
  <c r="G7586" i="9"/>
  <c r="E7586" i="9"/>
  <c r="D7586" i="9"/>
  <c r="C7586" i="9"/>
  <c r="B7586" i="9"/>
  <c r="H7585" i="9"/>
  <c r="G7585" i="9"/>
  <c r="E7585" i="9"/>
  <c r="D7585" i="9"/>
  <c r="C7585" i="9"/>
  <c r="B7585" i="9"/>
  <c r="H7584" i="9"/>
  <c r="G7584" i="9"/>
  <c r="E7584" i="9"/>
  <c r="D7584" i="9"/>
  <c r="C7584" i="9"/>
  <c r="B7584" i="9"/>
  <c r="H7583" i="9"/>
  <c r="G7583" i="9"/>
  <c r="E7583" i="9"/>
  <c r="D7583" i="9"/>
  <c r="C7583" i="9"/>
  <c r="B7583" i="9"/>
  <c r="H7582" i="9"/>
  <c r="G7582" i="9"/>
  <c r="E7582" i="9"/>
  <c r="D7582" i="9"/>
  <c r="C7582" i="9"/>
  <c r="B7582" i="9"/>
  <c r="H7581" i="9"/>
  <c r="G7581" i="9"/>
  <c r="E7581" i="9"/>
  <c r="D7581" i="9"/>
  <c r="C7581" i="9"/>
  <c r="B7581" i="9"/>
  <c r="H7580" i="9"/>
  <c r="G7580" i="9"/>
  <c r="E7580" i="9"/>
  <c r="D7580" i="9"/>
  <c r="C7580" i="9"/>
  <c r="B7580" i="9"/>
  <c r="H7579" i="9"/>
  <c r="G7579" i="9"/>
  <c r="E7579" i="9"/>
  <c r="D7579" i="9"/>
  <c r="C7579" i="9"/>
  <c r="B7579" i="9"/>
  <c r="H7578" i="9"/>
  <c r="G7578" i="9"/>
  <c r="E7578" i="9"/>
  <c r="D7578" i="9"/>
  <c r="C7578" i="9"/>
  <c r="B7578" i="9"/>
  <c r="H7577" i="9"/>
  <c r="G7577" i="9"/>
  <c r="E7577" i="9"/>
  <c r="D7577" i="9"/>
  <c r="C7577" i="9"/>
  <c r="B7577" i="9"/>
  <c r="H7576" i="9"/>
  <c r="G7576" i="9"/>
  <c r="E7576" i="9"/>
  <c r="D7576" i="9"/>
  <c r="C7576" i="9"/>
  <c r="B7576" i="9"/>
  <c r="H7575" i="9"/>
  <c r="G7575" i="9"/>
  <c r="E7575" i="9"/>
  <c r="D7575" i="9"/>
  <c r="C7575" i="9"/>
  <c r="B7575" i="9"/>
  <c r="H7574" i="9"/>
  <c r="G7574" i="9"/>
  <c r="E7574" i="9"/>
  <c r="D7574" i="9"/>
  <c r="C7574" i="9"/>
  <c r="B7574" i="9"/>
  <c r="H7573" i="9"/>
  <c r="G7573" i="9"/>
  <c r="E7573" i="9"/>
  <c r="D7573" i="9"/>
  <c r="C7573" i="9"/>
  <c r="B7573" i="9"/>
  <c r="H7572" i="9"/>
  <c r="G7572" i="9"/>
  <c r="E7572" i="9"/>
  <c r="D7572" i="9"/>
  <c r="C7572" i="9"/>
  <c r="B7572" i="9"/>
  <c r="H7571" i="9"/>
  <c r="G7571" i="9"/>
  <c r="E7571" i="9"/>
  <c r="D7571" i="9"/>
  <c r="C7571" i="9"/>
  <c r="B7571" i="9"/>
  <c r="H7570" i="9"/>
  <c r="G7570" i="9"/>
  <c r="E7570" i="9"/>
  <c r="D7570" i="9"/>
  <c r="C7570" i="9"/>
  <c r="B7570" i="9"/>
  <c r="H7569" i="9"/>
  <c r="G7569" i="9"/>
  <c r="E7569" i="9"/>
  <c r="D7569" i="9"/>
  <c r="C7569" i="9"/>
  <c r="B7569" i="9"/>
  <c r="H7568" i="9"/>
  <c r="G7568" i="9"/>
  <c r="E7568" i="9"/>
  <c r="D7568" i="9"/>
  <c r="C7568" i="9"/>
  <c r="B7568" i="9"/>
  <c r="H7567" i="9"/>
  <c r="G7567" i="9"/>
  <c r="E7567" i="9"/>
  <c r="D7567" i="9"/>
  <c r="C7567" i="9"/>
  <c r="B7567" i="9"/>
  <c r="H7566" i="9"/>
  <c r="G7566" i="9"/>
  <c r="E7566" i="9"/>
  <c r="D7566" i="9"/>
  <c r="C7566" i="9"/>
  <c r="B7566" i="9"/>
  <c r="H7565" i="9"/>
  <c r="G7565" i="9"/>
  <c r="E7565" i="9"/>
  <c r="D7565" i="9"/>
  <c r="C7565" i="9"/>
  <c r="B7565" i="9"/>
  <c r="H7564" i="9"/>
  <c r="G7564" i="9"/>
  <c r="E7564" i="9"/>
  <c r="D7564" i="9"/>
  <c r="C7564" i="9"/>
  <c r="B7564" i="9"/>
  <c r="H7563" i="9"/>
  <c r="G7563" i="9"/>
  <c r="E7563" i="9"/>
  <c r="D7563" i="9"/>
  <c r="C7563" i="9"/>
  <c r="B7563" i="9"/>
  <c r="H7562" i="9"/>
  <c r="G7562" i="9"/>
  <c r="E7562" i="9"/>
  <c r="D7562" i="9"/>
  <c r="C7562" i="9"/>
  <c r="B7562" i="9"/>
  <c r="H7561" i="9"/>
  <c r="G7561" i="9"/>
  <c r="E7561" i="9"/>
  <c r="D7561" i="9"/>
  <c r="C7561" i="9"/>
  <c r="B7561" i="9"/>
  <c r="H7560" i="9"/>
  <c r="G7560" i="9"/>
  <c r="E7560" i="9"/>
  <c r="D7560" i="9"/>
  <c r="C7560" i="9"/>
  <c r="B7560" i="9"/>
  <c r="H7559" i="9"/>
  <c r="G7559" i="9"/>
  <c r="E7559" i="9"/>
  <c r="D7559" i="9"/>
  <c r="C7559" i="9"/>
  <c r="B7559" i="9"/>
  <c r="H7558" i="9"/>
  <c r="G7558" i="9"/>
  <c r="E7558" i="9"/>
  <c r="D7558" i="9"/>
  <c r="C7558" i="9"/>
  <c r="B7558" i="9"/>
  <c r="H7557" i="9"/>
  <c r="G7557" i="9"/>
  <c r="E7557" i="9"/>
  <c r="D7557" i="9"/>
  <c r="C7557" i="9"/>
  <c r="B7557" i="9"/>
  <c r="H7556" i="9"/>
  <c r="G7556" i="9"/>
  <c r="E7556" i="9"/>
  <c r="D7556" i="9"/>
  <c r="C7556" i="9"/>
  <c r="B7556" i="9"/>
  <c r="H7555" i="9"/>
  <c r="G7555" i="9"/>
  <c r="E7555" i="9"/>
  <c r="D7555" i="9"/>
  <c r="C7555" i="9"/>
  <c r="B7555" i="9"/>
  <c r="H7554" i="9"/>
  <c r="G7554" i="9"/>
  <c r="E7554" i="9"/>
  <c r="D7554" i="9"/>
  <c r="C7554" i="9"/>
  <c r="B7554" i="9"/>
  <c r="H7553" i="9"/>
  <c r="G7553" i="9"/>
  <c r="E7553" i="9"/>
  <c r="D7553" i="9"/>
  <c r="C7553" i="9"/>
  <c r="B7553" i="9"/>
  <c r="H7552" i="9"/>
  <c r="G7552" i="9"/>
  <c r="E7552" i="9"/>
  <c r="D7552" i="9"/>
  <c r="C7552" i="9"/>
  <c r="B7552" i="9"/>
  <c r="H7551" i="9"/>
  <c r="G7551" i="9"/>
  <c r="E7551" i="9"/>
  <c r="D7551" i="9"/>
  <c r="C7551" i="9"/>
  <c r="B7551" i="9"/>
  <c r="H7550" i="9"/>
  <c r="G7550" i="9"/>
  <c r="E7550" i="9"/>
  <c r="D7550" i="9"/>
  <c r="C7550" i="9"/>
  <c r="B7550" i="9"/>
  <c r="H7549" i="9"/>
  <c r="G7549" i="9"/>
  <c r="E7549" i="9"/>
  <c r="D7549" i="9"/>
  <c r="C7549" i="9"/>
  <c r="B7549" i="9"/>
  <c r="H7548" i="9"/>
  <c r="G7548" i="9"/>
  <c r="E7548" i="9"/>
  <c r="D7548" i="9"/>
  <c r="C7548" i="9"/>
  <c r="B7548" i="9"/>
  <c r="H7547" i="9"/>
  <c r="G7547" i="9"/>
  <c r="E7547" i="9"/>
  <c r="D7547" i="9"/>
  <c r="C7547" i="9"/>
  <c r="B7547" i="9"/>
  <c r="H7546" i="9"/>
  <c r="G7546" i="9"/>
  <c r="E7546" i="9"/>
  <c r="D7546" i="9"/>
  <c r="C7546" i="9"/>
  <c r="B7546" i="9"/>
  <c r="H7545" i="9"/>
  <c r="G7545" i="9"/>
  <c r="E7545" i="9"/>
  <c r="D7545" i="9"/>
  <c r="C7545" i="9"/>
  <c r="B7545" i="9"/>
  <c r="H7544" i="9"/>
  <c r="G7544" i="9"/>
  <c r="E7544" i="9"/>
  <c r="D7544" i="9"/>
  <c r="C7544" i="9"/>
  <c r="B7544" i="9"/>
  <c r="H7543" i="9"/>
  <c r="G7543" i="9"/>
  <c r="E7543" i="9"/>
  <c r="D7543" i="9"/>
  <c r="C7543" i="9"/>
  <c r="B7543" i="9"/>
  <c r="H7542" i="9"/>
  <c r="G7542" i="9"/>
  <c r="E7542" i="9"/>
  <c r="D7542" i="9"/>
  <c r="C7542" i="9"/>
  <c r="B7542" i="9"/>
  <c r="H7541" i="9"/>
  <c r="G7541" i="9"/>
  <c r="E7541" i="9"/>
  <c r="D7541" i="9"/>
  <c r="C7541" i="9"/>
  <c r="B7541" i="9"/>
  <c r="H7540" i="9"/>
  <c r="G7540" i="9"/>
  <c r="E7540" i="9"/>
  <c r="D7540" i="9"/>
  <c r="C7540" i="9"/>
  <c r="B7540" i="9"/>
  <c r="H7539" i="9"/>
  <c r="G7539" i="9"/>
  <c r="E7539" i="9"/>
  <c r="D7539" i="9"/>
  <c r="C7539" i="9"/>
  <c r="B7539" i="9"/>
  <c r="H7538" i="9"/>
  <c r="G7538" i="9"/>
  <c r="E7538" i="9"/>
  <c r="D7538" i="9"/>
  <c r="C7538" i="9"/>
  <c r="B7538" i="9"/>
  <c r="H7537" i="9"/>
  <c r="G7537" i="9"/>
  <c r="E7537" i="9"/>
  <c r="D7537" i="9"/>
  <c r="C7537" i="9"/>
  <c r="B7537" i="9"/>
  <c r="H7536" i="9"/>
  <c r="G7536" i="9"/>
  <c r="E7536" i="9"/>
  <c r="D7536" i="9"/>
  <c r="C7536" i="9"/>
  <c r="B7536" i="9"/>
  <c r="H7535" i="9"/>
  <c r="G7535" i="9"/>
  <c r="E7535" i="9"/>
  <c r="D7535" i="9"/>
  <c r="C7535" i="9"/>
  <c r="B7535" i="9"/>
  <c r="H7534" i="9"/>
  <c r="G7534" i="9"/>
  <c r="E7534" i="9"/>
  <c r="D7534" i="9"/>
  <c r="C7534" i="9"/>
  <c r="B7534" i="9"/>
  <c r="H7533" i="9"/>
  <c r="G7533" i="9"/>
  <c r="E7533" i="9"/>
  <c r="D7533" i="9"/>
  <c r="C7533" i="9"/>
  <c r="B7533" i="9"/>
  <c r="H7532" i="9"/>
  <c r="G7532" i="9"/>
  <c r="E7532" i="9"/>
  <c r="D7532" i="9"/>
  <c r="C7532" i="9"/>
  <c r="B7532" i="9"/>
  <c r="H7531" i="9"/>
  <c r="G7531" i="9"/>
  <c r="E7531" i="9"/>
  <c r="D7531" i="9"/>
  <c r="C7531" i="9"/>
  <c r="B7531" i="9"/>
  <c r="H7530" i="9"/>
  <c r="G7530" i="9"/>
  <c r="E7530" i="9"/>
  <c r="D7530" i="9"/>
  <c r="C7530" i="9"/>
  <c r="B7530" i="9"/>
  <c r="H7529" i="9"/>
  <c r="G7529" i="9"/>
  <c r="E7529" i="9"/>
  <c r="D7529" i="9"/>
  <c r="C7529" i="9"/>
  <c r="B7529" i="9"/>
  <c r="H7528" i="9"/>
  <c r="G7528" i="9"/>
  <c r="E7528" i="9"/>
  <c r="D7528" i="9"/>
  <c r="C7528" i="9"/>
  <c r="B7528" i="9"/>
  <c r="H7527" i="9"/>
  <c r="G7527" i="9"/>
  <c r="E7527" i="9"/>
  <c r="D7527" i="9"/>
  <c r="C7527" i="9"/>
  <c r="B7527" i="9"/>
  <c r="H7526" i="9"/>
  <c r="G7526" i="9"/>
  <c r="E7526" i="9"/>
  <c r="D7526" i="9"/>
  <c r="C7526" i="9"/>
  <c r="B7526" i="9"/>
  <c r="H7525" i="9"/>
  <c r="G7525" i="9"/>
  <c r="E7525" i="9"/>
  <c r="D7525" i="9"/>
  <c r="C7525" i="9"/>
  <c r="B7525" i="9"/>
  <c r="H7524" i="9"/>
  <c r="G7524" i="9"/>
  <c r="E7524" i="9"/>
  <c r="D7524" i="9"/>
  <c r="C7524" i="9"/>
  <c r="B7524" i="9"/>
  <c r="H7523" i="9"/>
  <c r="G7523" i="9"/>
  <c r="E7523" i="9"/>
  <c r="D7523" i="9"/>
  <c r="C7523" i="9"/>
  <c r="B7523" i="9"/>
  <c r="H7522" i="9"/>
  <c r="G7522" i="9"/>
  <c r="E7522" i="9"/>
  <c r="D7522" i="9"/>
  <c r="C7522" i="9"/>
  <c r="B7522" i="9"/>
  <c r="H7521" i="9"/>
  <c r="G7521" i="9"/>
  <c r="E7521" i="9"/>
  <c r="D7521" i="9"/>
  <c r="C7521" i="9"/>
  <c r="B7521" i="9"/>
  <c r="H7520" i="9"/>
  <c r="G7520" i="9"/>
  <c r="E7520" i="9"/>
  <c r="D7520" i="9"/>
  <c r="C7520" i="9"/>
  <c r="B7520" i="9"/>
  <c r="H7519" i="9"/>
  <c r="G7519" i="9"/>
  <c r="E7519" i="9"/>
  <c r="D7519" i="9"/>
  <c r="C7519" i="9"/>
  <c r="B7519" i="9"/>
  <c r="H7518" i="9"/>
  <c r="G7518" i="9"/>
  <c r="E7518" i="9"/>
  <c r="D7518" i="9"/>
  <c r="C7518" i="9"/>
  <c r="B7518" i="9"/>
  <c r="H7517" i="9"/>
  <c r="G7517" i="9"/>
  <c r="E7517" i="9"/>
  <c r="D7517" i="9"/>
  <c r="C7517" i="9"/>
  <c r="B7517" i="9"/>
  <c r="H7516" i="9"/>
  <c r="G7516" i="9"/>
  <c r="E7516" i="9"/>
  <c r="D7516" i="9"/>
  <c r="C7516" i="9"/>
  <c r="B7516" i="9"/>
  <c r="H7515" i="9"/>
  <c r="G7515" i="9"/>
  <c r="E7515" i="9"/>
  <c r="D7515" i="9"/>
  <c r="C7515" i="9"/>
  <c r="B7515" i="9"/>
  <c r="H7514" i="9"/>
  <c r="G7514" i="9"/>
  <c r="E7514" i="9"/>
  <c r="D7514" i="9"/>
  <c r="C7514" i="9"/>
  <c r="B7514" i="9"/>
  <c r="H7513" i="9"/>
  <c r="G7513" i="9"/>
  <c r="E7513" i="9"/>
  <c r="D7513" i="9"/>
  <c r="C7513" i="9"/>
  <c r="B7513" i="9"/>
  <c r="H7512" i="9"/>
  <c r="G7512" i="9"/>
  <c r="E7512" i="9"/>
  <c r="D7512" i="9"/>
  <c r="C7512" i="9"/>
  <c r="B7512" i="9"/>
  <c r="H7511" i="9"/>
  <c r="G7511" i="9"/>
  <c r="E7511" i="9"/>
  <c r="D7511" i="9"/>
  <c r="C7511" i="9"/>
  <c r="B7511" i="9"/>
  <c r="H7510" i="9"/>
  <c r="G7510" i="9"/>
  <c r="E7510" i="9"/>
  <c r="D7510" i="9"/>
  <c r="C7510" i="9"/>
  <c r="B7510" i="9"/>
  <c r="H7509" i="9"/>
  <c r="G7509" i="9"/>
  <c r="E7509" i="9"/>
  <c r="D7509" i="9"/>
  <c r="C7509" i="9"/>
  <c r="B7509" i="9"/>
  <c r="H7508" i="9"/>
  <c r="G7508" i="9"/>
  <c r="E7508" i="9"/>
  <c r="D7508" i="9"/>
  <c r="C7508" i="9"/>
  <c r="B7508" i="9"/>
  <c r="H7507" i="9"/>
  <c r="G7507" i="9"/>
  <c r="E7507" i="9"/>
  <c r="D7507" i="9"/>
  <c r="C7507" i="9"/>
  <c r="B7507" i="9"/>
  <c r="H7506" i="9"/>
  <c r="G7506" i="9"/>
  <c r="E7506" i="9"/>
  <c r="D7506" i="9"/>
  <c r="C7506" i="9"/>
  <c r="B7506" i="9"/>
  <c r="H7505" i="9"/>
  <c r="G7505" i="9"/>
  <c r="E7505" i="9"/>
  <c r="D7505" i="9"/>
  <c r="C7505" i="9"/>
  <c r="B7505" i="9"/>
  <c r="H7504" i="9"/>
  <c r="G7504" i="9"/>
  <c r="E7504" i="9"/>
  <c r="D7504" i="9"/>
  <c r="C7504" i="9"/>
  <c r="B7504" i="9"/>
  <c r="H7503" i="9"/>
  <c r="G7503" i="9"/>
  <c r="E7503" i="9"/>
  <c r="D7503" i="9"/>
  <c r="C7503" i="9"/>
  <c r="B7503" i="9"/>
  <c r="H7502" i="9"/>
  <c r="G7502" i="9"/>
  <c r="E7502" i="9"/>
  <c r="D7502" i="9"/>
  <c r="C7502" i="9"/>
  <c r="B7502" i="9"/>
  <c r="H7501" i="9"/>
  <c r="G7501" i="9"/>
  <c r="E7501" i="9"/>
  <c r="D7501" i="9"/>
  <c r="C7501" i="9"/>
  <c r="B7501" i="9"/>
  <c r="H7500" i="9"/>
  <c r="G7500" i="9"/>
  <c r="E7500" i="9"/>
  <c r="D7500" i="9"/>
  <c r="C7500" i="9"/>
  <c r="B7500" i="9"/>
  <c r="H7499" i="9"/>
  <c r="G7499" i="9"/>
  <c r="E7499" i="9"/>
  <c r="D7499" i="9"/>
  <c r="C7499" i="9"/>
  <c r="B7499" i="9"/>
  <c r="H7498" i="9"/>
  <c r="G7498" i="9"/>
  <c r="E7498" i="9"/>
  <c r="D7498" i="9"/>
  <c r="C7498" i="9"/>
  <c r="B7498" i="9"/>
  <c r="H7497" i="9"/>
  <c r="G7497" i="9"/>
  <c r="E7497" i="9"/>
  <c r="D7497" i="9"/>
  <c r="C7497" i="9"/>
  <c r="B7497" i="9"/>
  <c r="H7496" i="9"/>
  <c r="G7496" i="9"/>
  <c r="E7496" i="9"/>
  <c r="D7496" i="9"/>
  <c r="C7496" i="9"/>
  <c r="B7496" i="9"/>
  <c r="H7495" i="9"/>
  <c r="G7495" i="9"/>
  <c r="E7495" i="9"/>
  <c r="D7495" i="9"/>
  <c r="C7495" i="9"/>
  <c r="B7495" i="9"/>
  <c r="H7494" i="9"/>
  <c r="G7494" i="9"/>
  <c r="E7494" i="9"/>
  <c r="D7494" i="9"/>
  <c r="C7494" i="9"/>
  <c r="B7494" i="9"/>
  <c r="H7493" i="9"/>
  <c r="G7493" i="9"/>
  <c r="E7493" i="9"/>
  <c r="D7493" i="9"/>
  <c r="C7493" i="9"/>
  <c r="B7493" i="9"/>
  <c r="H7492" i="9"/>
  <c r="G7492" i="9"/>
  <c r="E7492" i="9"/>
  <c r="D7492" i="9"/>
  <c r="C7492" i="9"/>
  <c r="B7492" i="9"/>
  <c r="H7491" i="9"/>
  <c r="G7491" i="9"/>
  <c r="E7491" i="9"/>
  <c r="D7491" i="9"/>
  <c r="C7491" i="9"/>
  <c r="B7491" i="9"/>
  <c r="H7490" i="9"/>
  <c r="G7490" i="9"/>
  <c r="E7490" i="9"/>
  <c r="D7490" i="9"/>
  <c r="C7490" i="9"/>
  <c r="B7490" i="9"/>
  <c r="H7489" i="9"/>
  <c r="G7489" i="9"/>
  <c r="E7489" i="9"/>
  <c r="D7489" i="9"/>
  <c r="C7489" i="9"/>
  <c r="B7489" i="9"/>
  <c r="H7488" i="9"/>
  <c r="G7488" i="9"/>
  <c r="E7488" i="9"/>
  <c r="D7488" i="9"/>
  <c r="C7488" i="9"/>
  <c r="B7488" i="9"/>
  <c r="H7487" i="9"/>
  <c r="G7487" i="9"/>
  <c r="E7487" i="9"/>
  <c r="D7487" i="9"/>
  <c r="C7487" i="9"/>
  <c r="B7487" i="9"/>
  <c r="H7486" i="9"/>
  <c r="G7486" i="9"/>
  <c r="E7486" i="9"/>
  <c r="D7486" i="9"/>
  <c r="C7486" i="9"/>
  <c r="B7486" i="9"/>
  <c r="H7485" i="9"/>
  <c r="G7485" i="9"/>
  <c r="E7485" i="9"/>
  <c r="D7485" i="9"/>
  <c r="C7485" i="9"/>
  <c r="B7485" i="9"/>
  <c r="H7484" i="9"/>
  <c r="G7484" i="9"/>
  <c r="E7484" i="9"/>
  <c r="D7484" i="9"/>
  <c r="C7484" i="9"/>
  <c r="B7484" i="9"/>
  <c r="H7483" i="9"/>
  <c r="G7483" i="9"/>
  <c r="E7483" i="9"/>
  <c r="D7483" i="9"/>
  <c r="C7483" i="9"/>
  <c r="B7483" i="9"/>
  <c r="H7482" i="9"/>
  <c r="G7482" i="9"/>
  <c r="E7482" i="9"/>
  <c r="D7482" i="9"/>
  <c r="C7482" i="9"/>
  <c r="B7482" i="9"/>
  <c r="H7481" i="9"/>
  <c r="G7481" i="9"/>
  <c r="E7481" i="9"/>
  <c r="D7481" i="9"/>
  <c r="C7481" i="9"/>
  <c r="B7481" i="9"/>
  <c r="H7480" i="9"/>
  <c r="G7480" i="9"/>
  <c r="E7480" i="9"/>
  <c r="D7480" i="9"/>
  <c r="C7480" i="9"/>
  <c r="B7480" i="9"/>
  <c r="H7479" i="9"/>
  <c r="G7479" i="9"/>
  <c r="E7479" i="9"/>
  <c r="D7479" i="9"/>
  <c r="C7479" i="9"/>
  <c r="B7479" i="9"/>
  <c r="H7478" i="9"/>
  <c r="G7478" i="9"/>
  <c r="E7478" i="9"/>
  <c r="D7478" i="9"/>
  <c r="C7478" i="9"/>
  <c r="B7478" i="9"/>
  <c r="H7477" i="9"/>
  <c r="G7477" i="9"/>
  <c r="E7477" i="9"/>
  <c r="D7477" i="9"/>
  <c r="C7477" i="9"/>
  <c r="B7477" i="9"/>
  <c r="H7476" i="9"/>
  <c r="G7476" i="9"/>
  <c r="E7476" i="9"/>
  <c r="D7476" i="9"/>
  <c r="C7476" i="9"/>
  <c r="B7476" i="9"/>
  <c r="H7475" i="9"/>
  <c r="G7475" i="9"/>
  <c r="E7475" i="9"/>
  <c r="D7475" i="9"/>
  <c r="C7475" i="9"/>
  <c r="B7475" i="9"/>
  <c r="H7474" i="9"/>
  <c r="G7474" i="9"/>
  <c r="E7474" i="9"/>
  <c r="D7474" i="9"/>
  <c r="C7474" i="9"/>
  <c r="B7474" i="9"/>
  <c r="H7473" i="9"/>
  <c r="G7473" i="9"/>
  <c r="E7473" i="9"/>
  <c r="D7473" i="9"/>
  <c r="C7473" i="9"/>
  <c r="B7473" i="9"/>
  <c r="H7472" i="9"/>
  <c r="G7472" i="9"/>
  <c r="E7472" i="9"/>
  <c r="D7472" i="9"/>
  <c r="C7472" i="9"/>
  <c r="B7472" i="9"/>
  <c r="H7471" i="9"/>
  <c r="G7471" i="9"/>
  <c r="E7471" i="9"/>
  <c r="D7471" i="9"/>
  <c r="C7471" i="9"/>
  <c r="B7471" i="9"/>
  <c r="H7470" i="9"/>
  <c r="G7470" i="9"/>
  <c r="E7470" i="9"/>
  <c r="D7470" i="9"/>
  <c r="C7470" i="9"/>
  <c r="B7470" i="9"/>
  <c r="H7469" i="9"/>
  <c r="G7469" i="9"/>
  <c r="E7469" i="9"/>
  <c r="D7469" i="9"/>
  <c r="C7469" i="9"/>
  <c r="B7469" i="9"/>
  <c r="H7468" i="9"/>
  <c r="G7468" i="9"/>
  <c r="E7468" i="9"/>
  <c r="D7468" i="9"/>
  <c r="C7468" i="9"/>
  <c r="B7468" i="9"/>
  <c r="H7467" i="9"/>
  <c r="G7467" i="9"/>
  <c r="E7467" i="9"/>
  <c r="D7467" i="9"/>
  <c r="C7467" i="9"/>
  <c r="B7467" i="9"/>
  <c r="H7466" i="9"/>
  <c r="G7466" i="9"/>
  <c r="E7466" i="9"/>
  <c r="D7466" i="9"/>
  <c r="C7466" i="9"/>
  <c r="B7466" i="9"/>
  <c r="H7465" i="9"/>
  <c r="G7465" i="9"/>
  <c r="E7465" i="9"/>
  <c r="D7465" i="9"/>
  <c r="C7465" i="9"/>
  <c r="B7465" i="9"/>
  <c r="H7464" i="9"/>
  <c r="G7464" i="9"/>
  <c r="E7464" i="9"/>
  <c r="D7464" i="9"/>
  <c r="C7464" i="9"/>
  <c r="B7464" i="9"/>
  <c r="H7463" i="9"/>
  <c r="G7463" i="9"/>
  <c r="E7463" i="9"/>
  <c r="D7463" i="9"/>
  <c r="C7463" i="9"/>
  <c r="B7463" i="9"/>
  <c r="H7462" i="9"/>
  <c r="G7462" i="9"/>
  <c r="E7462" i="9"/>
  <c r="D7462" i="9"/>
  <c r="C7462" i="9"/>
  <c r="B7462" i="9"/>
  <c r="H7461" i="9"/>
  <c r="G7461" i="9"/>
  <c r="E7461" i="9"/>
  <c r="D7461" i="9"/>
  <c r="C7461" i="9"/>
  <c r="B7461" i="9"/>
  <c r="H7460" i="9"/>
  <c r="G7460" i="9"/>
  <c r="E7460" i="9"/>
  <c r="D7460" i="9"/>
  <c r="C7460" i="9"/>
  <c r="B7460" i="9"/>
  <c r="H7459" i="9"/>
  <c r="G7459" i="9"/>
  <c r="E7459" i="9"/>
  <c r="D7459" i="9"/>
  <c r="C7459" i="9"/>
  <c r="B7459" i="9"/>
  <c r="H7458" i="9"/>
  <c r="G7458" i="9"/>
  <c r="E7458" i="9"/>
  <c r="D7458" i="9"/>
  <c r="C7458" i="9"/>
  <c r="B7458" i="9"/>
  <c r="H7457" i="9"/>
  <c r="G7457" i="9"/>
  <c r="E7457" i="9"/>
  <c r="D7457" i="9"/>
  <c r="C7457" i="9"/>
  <c r="B7457" i="9"/>
  <c r="H7456" i="9"/>
  <c r="G7456" i="9"/>
  <c r="E7456" i="9"/>
  <c r="D7456" i="9"/>
  <c r="C7456" i="9"/>
  <c r="B7456" i="9"/>
  <c r="H7455" i="9"/>
  <c r="G7455" i="9"/>
  <c r="E7455" i="9"/>
  <c r="D7455" i="9"/>
  <c r="C7455" i="9"/>
  <c r="B7455" i="9"/>
  <c r="H7454" i="9"/>
  <c r="G7454" i="9"/>
  <c r="E7454" i="9"/>
  <c r="D7454" i="9"/>
  <c r="C7454" i="9"/>
  <c r="B7454" i="9"/>
  <c r="H7453" i="9"/>
  <c r="G7453" i="9"/>
  <c r="E7453" i="9"/>
  <c r="D7453" i="9"/>
  <c r="C7453" i="9"/>
  <c r="B7453" i="9"/>
  <c r="H7452" i="9"/>
  <c r="G7452" i="9"/>
  <c r="E7452" i="9"/>
  <c r="D7452" i="9"/>
  <c r="C7452" i="9"/>
  <c r="B7452" i="9"/>
  <c r="H7451" i="9"/>
  <c r="G7451" i="9"/>
  <c r="E7451" i="9"/>
  <c r="D7451" i="9"/>
  <c r="C7451" i="9"/>
  <c r="B7451" i="9"/>
  <c r="H7450" i="9"/>
  <c r="G7450" i="9"/>
  <c r="E7450" i="9"/>
  <c r="D7450" i="9"/>
  <c r="C7450" i="9"/>
  <c r="B7450" i="9"/>
  <c r="H7449" i="9"/>
  <c r="G7449" i="9"/>
  <c r="E7449" i="9"/>
  <c r="D7449" i="9"/>
  <c r="C7449" i="9"/>
  <c r="B7449" i="9"/>
  <c r="H7448" i="9"/>
  <c r="G7448" i="9"/>
  <c r="E7448" i="9"/>
  <c r="D7448" i="9"/>
  <c r="C7448" i="9"/>
  <c r="B7448" i="9"/>
  <c r="H7447" i="9"/>
  <c r="G7447" i="9"/>
  <c r="E7447" i="9"/>
  <c r="D7447" i="9"/>
  <c r="C7447" i="9"/>
  <c r="B7447" i="9"/>
  <c r="H7446" i="9"/>
  <c r="G7446" i="9"/>
  <c r="E7446" i="9"/>
  <c r="D7446" i="9"/>
  <c r="C7446" i="9"/>
  <c r="B7446" i="9"/>
  <c r="H7445" i="9"/>
  <c r="G7445" i="9"/>
  <c r="E7445" i="9"/>
  <c r="D7445" i="9"/>
  <c r="C7445" i="9"/>
  <c r="B7445" i="9"/>
  <c r="H7444" i="9"/>
  <c r="G7444" i="9"/>
  <c r="E7444" i="9"/>
  <c r="D7444" i="9"/>
  <c r="C7444" i="9"/>
  <c r="B7444" i="9"/>
  <c r="H7443" i="9"/>
  <c r="G7443" i="9"/>
  <c r="E7443" i="9"/>
  <c r="D7443" i="9"/>
  <c r="C7443" i="9"/>
  <c r="B7443" i="9"/>
  <c r="H7442" i="9"/>
  <c r="G7442" i="9"/>
  <c r="E7442" i="9"/>
  <c r="D7442" i="9"/>
  <c r="C7442" i="9"/>
  <c r="B7442" i="9"/>
  <c r="H7441" i="9"/>
  <c r="G7441" i="9"/>
  <c r="E7441" i="9"/>
  <c r="D7441" i="9"/>
  <c r="C7441" i="9"/>
  <c r="B7441" i="9"/>
  <c r="H7440" i="9"/>
  <c r="G7440" i="9"/>
  <c r="E7440" i="9"/>
  <c r="D7440" i="9"/>
  <c r="C7440" i="9"/>
  <c r="B7440" i="9"/>
  <c r="H7439" i="9"/>
  <c r="G7439" i="9"/>
  <c r="E7439" i="9"/>
  <c r="D7439" i="9"/>
  <c r="C7439" i="9"/>
  <c r="B7439" i="9"/>
  <c r="H7438" i="9"/>
  <c r="G7438" i="9"/>
  <c r="E7438" i="9"/>
  <c r="D7438" i="9"/>
  <c r="C7438" i="9"/>
  <c r="B7438" i="9"/>
  <c r="H7437" i="9"/>
  <c r="G7437" i="9"/>
  <c r="E7437" i="9"/>
  <c r="D7437" i="9"/>
  <c r="C7437" i="9"/>
  <c r="B7437" i="9"/>
  <c r="H7436" i="9"/>
  <c r="G7436" i="9"/>
  <c r="E7436" i="9"/>
  <c r="D7436" i="9"/>
  <c r="C7436" i="9"/>
  <c r="B7436" i="9"/>
  <c r="H7435" i="9"/>
  <c r="G7435" i="9"/>
  <c r="E7435" i="9"/>
  <c r="D7435" i="9"/>
  <c r="C7435" i="9"/>
  <c r="B7435" i="9"/>
  <c r="H7434" i="9"/>
  <c r="G7434" i="9"/>
  <c r="E7434" i="9"/>
  <c r="D7434" i="9"/>
  <c r="C7434" i="9"/>
  <c r="B7434" i="9"/>
  <c r="H7433" i="9"/>
  <c r="G7433" i="9"/>
  <c r="E7433" i="9"/>
  <c r="D7433" i="9"/>
  <c r="C7433" i="9"/>
  <c r="B7433" i="9"/>
  <c r="H7432" i="9"/>
  <c r="G7432" i="9"/>
  <c r="E7432" i="9"/>
  <c r="D7432" i="9"/>
  <c r="C7432" i="9"/>
  <c r="B7432" i="9"/>
  <c r="H7431" i="9"/>
  <c r="G7431" i="9"/>
  <c r="E7431" i="9"/>
  <c r="D7431" i="9"/>
  <c r="C7431" i="9"/>
  <c r="B7431" i="9"/>
  <c r="H7430" i="9"/>
  <c r="G7430" i="9"/>
  <c r="E7430" i="9"/>
  <c r="D7430" i="9"/>
  <c r="C7430" i="9"/>
  <c r="B7430" i="9"/>
  <c r="H7429" i="9"/>
  <c r="G7429" i="9"/>
  <c r="E7429" i="9"/>
  <c r="D7429" i="9"/>
  <c r="C7429" i="9"/>
  <c r="B7429" i="9"/>
  <c r="H7428" i="9"/>
  <c r="G7428" i="9"/>
  <c r="E7428" i="9"/>
  <c r="D7428" i="9"/>
  <c r="C7428" i="9"/>
  <c r="B7428" i="9"/>
  <c r="H7427" i="9"/>
  <c r="G7427" i="9"/>
  <c r="E7427" i="9"/>
  <c r="D7427" i="9"/>
  <c r="C7427" i="9"/>
  <c r="B7427" i="9"/>
  <c r="H7426" i="9"/>
  <c r="G7426" i="9"/>
  <c r="E7426" i="9"/>
  <c r="D7426" i="9"/>
  <c r="C7426" i="9"/>
  <c r="B7426" i="9"/>
  <c r="H7425" i="9"/>
  <c r="G7425" i="9"/>
  <c r="E7425" i="9"/>
  <c r="D7425" i="9"/>
  <c r="C7425" i="9"/>
  <c r="B7425" i="9"/>
  <c r="H7424" i="9"/>
  <c r="G7424" i="9"/>
  <c r="E7424" i="9"/>
  <c r="D7424" i="9"/>
  <c r="C7424" i="9"/>
  <c r="B7424" i="9"/>
  <c r="H7423" i="9"/>
  <c r="G7423" i="9"/>
  <c r="E7423" i="9"/>
  <c r="D7423" i="9"/>
  <c r="C7423" i="9"/>
  <c r="B7423" i="9"/>
  <c r="H7422" i="9"/>
  <c r="G7422" i="9"/>
  <c r="E7422" i="9"/>
  <c r="D7422" i="9"/>
  <c r="C7422" i="9"/>
  <c r="B7422" i="9"/>
  <c r="H7421" i="9"/>
  <c r="G7421" i="9"/>
  <c r="E7421" i="9"/>
  <c r="D7421" i="9"/>
  <c r="C7421" i="9"/>
  <c r="B7421" i="9"/>
  <c r="H7420" i="9"/>
  <c r="G7420" i="9"/>
  <c r="E7420" i="9"/>
  <c r="D7420" i="9"/>
  <c r="C7420" i="9"/>
  <c r="B7420" i="9"/>
  <c r="H7419" i="9"/>
  <c r="G7419" i="9"/>
  <c r="E7419" i="9"/>
  <c r="D7419" i="9"/>
  <c r="C7419" i="9"/>
  <c r="B7419" i="9"/>
  <c r="H7418" i="9"/>
  <c r="G7418" i="9"/>
  <c r="E7418" i="9"/>
  <c r="D7418" i="9"/>
  <c r="C7418" i="9"/>
  <c r="B7418" i="9"/>
  <c r="H7417" i="9"/>
  <c r="G7417" i="9"/>
  <c r="E7417" i="9"/>
  <c r="D7417" i="9"/>
  <c r="C7417" i="9"/>
  <c r="B7417" i="9"/>
  <c r="H7416" i="9"/>
  <c r="G7416" i="9"/>
  <c r="E7416" i="9"/>
  <c r="D7416" i="9"/>
  <c r="C7416" i="9"/>
  <c r="B7416" i="9"/>
  <c r="H7415" i="9"/>
  <c r="G7415" i="9"/>
  <c r="E7415" i="9"/>
  <c r="D7415" i="9"/>
  <c r="C7415" i="9"/>
  <c r="B7415" i="9"/>
  <c r="H7414" i="9"/>
  <c r="G7414" i="9"/>
  <c r="E7414" i="9"/>
  <c r="D7414" i="9"/>
  <c r="C7414" i="9"/>
  <c r="B7414" i="9"/>
  <c r="H7413" i="9"/>
  <c r="G7413" i="9"/>
  <c r="E7413" i="9"/>
  <c r="D7413" i="9"/>
  <c r="C7413" i="9"/>
  <c r="B7413" i="9"/>
  <c r="H7412" i="9"/>
  <c r="G7412" i="9"/>
  <c r="E7412" i="9"/>
  <c r="D7412" i="9"/>
  <c r="C7412" i="9"/>
  <c r="B7412" i="9"/>
  <c r="H7411" i="9"/>
  <c r="G7411" i="9"/>
  <c r="E7411" i="9"/>
  <c r="D7411" i="9"/>
  <c r="C7411" i="9"/>
  <c r="B7411" i="9"/>
  <c r="H7410" i="9"/>
  <c r="G7410" i="9"/>
  <c r="E7410" i="9"/>
  <c r="D7410" i="9"/>
  <c r="C7410" i="9"/>
  <c r="B7410" i="9"/>
  <c r="H7409" i="9"/>
  <c r="G7409" i="9"/>
  <c r="E7409" i="9"/>
  <c r="D7409" i="9"/>
  <c r="C7409" i="9"/>
  <c r="B7409" i="9"/>
  <c r="H7408" i="9"/>
  <c r="G7408" i="9"/>
  <c r="E7408" i="9"/>
  <c r="D7408" i="9"/>
  <c r="C7408" i="9"/>
  <c r="B7408" i="9"/>
  <c r="H7407" i="9"/>
  <c r="G7407" i="9"/>
  <c r="E7407" i="9"/>
  <c r="D7407" i="9"/>
  <c r="C7407" i="9"/>
  <c r="B7407" i="9"/>
  <c r="H7406" i="9"/>
  <c r="G7406" i="9"/>
  <c r="E7406" i="9"/>
  <c r="D7406" i="9"/>
  <c r="C7406" i="9"/>
  <c r="B7406" i="9"/>
  <c r="H7405" i="9"/>
  <c r="G7405" i="9"/>
  <c r="E7405" i="9"/>
  <c r="D7405" i="9"/>
  <c r="C7405" i="9"/>
  <c r="B7405" i="9"/>
  <c r="H7404" i="9"/>
  <c r="G7404" i="9"/>
  <c r="E7404" i="9"/>
  <c r="D7404" i="9"/>
  <c r="C7404" i="9"/>
  <c r="B7404" i="9"/>
  <c r="H7403" i="9"/>
  <c r="G7403" i="9"/>
  <c r="E7403" i="9"/>
  <c r="D7403" i="9"/>
  <c r="C7403" i="9"/>
  <c r="B7403" i="9"/>
  <c r="H7402" i="9"/>
  <c r="G7402" i="9"/>
  <c r="E7402" i="9"/>
  <c r="D7402" i="9"/>
  <c r="C7402" i="9"/>
  <c r="B7402" i="9"/>
  <c r="H7401" i="9"/>
  <c r="G7401" i="9"/>
  <c r="E7401" i="9"/>
  <c r="D7401" i="9"/>
  <c r="C7401" i="9"/>
  <c r="B7401" i="9"/>
  <c r="H7400" i="9"/>
  <c r="G7400" i="9"/>
  <c r="E7400" i="9"/>
  <c r="D7400" i="9"/>
  <c r="C7400" i="9"/>
  <c r="B7400" i="9"/>
  <c r="H7399" i="9"/>
  <c r="G7399" i="9"/>
  <c r="E7399" i="9"/>
  <c r="D7399" i="9"/>
  <c r="C7399" i="9"/>
  <c r="B7399" i="9"/>
  <c r="H7398" i="9"/>
  <c r="G7398" i="9"/>
  <c r="E7398" i="9"/>
  <c r="D7398" i="9"/>
  <c r="C7398" i="9"/>
  <c r="B7398" i="9"/>
  <c r="H7397" i="9"/>
  <c r="G7397" i="9"/>
  <c r="E7397" i="9"/>
  <c r="D7397" i="9"/>
  <c r="C7397" i="9"/>
  <c r="B7397" i="9"/>
  <c r="H7396" i="9"/>
  <c r="G7396" i="9"/>
  <c r="E7396" i="9"/>
  <c r="D7396" i="9"/>
  <c r="C7396" i="9"/>
  <c r="B7396" i="9"/>
  <c r="H7395" i="9"/>
  <c r="G7395" i="9"/>
  <c r="E7395" i="9"/>
  <c r="D7395" i="9"/>
  <c r="C7395" i="9"/>
  <c r="B7395" i="9"/>
  <c r="H7394" i="9"/>
  <c r="G7394" i="9"/>
  <c r="E7394" i="9"/>
  <c r="D7394" i="9"/>
  <c r="C7394" i="9"/>
  <c r="B7394" i="9"/>
  <c r="H7393" i="9"/>
  <c r="G7393" i="9"/>
  <c r="E7393" i="9"/>
  <c r="D7393" i="9"/>
  <c r="C7393" i="9"/>
  <c r="B7393" i="9"/>
  <c r="H7392" i="9"/>
  <c r="G7392" i="9"/>
  <c r="E7392" i="9"/>
  <c r="D7392" i="9"/>
  <c r="C7392" i="9"/>
  <c r="B7392" i="9"/>
  <c r="H7391" i="9"/>
  <c r="G7391" i="9"/>
  <c r="E7391" i="9"/>
  <c r="D7391" i="9"/>
  <c r="C7391" i="9"/>
  <c r="B7391" i="9"/>
  <c r="H7390" i="9"/>
  <c r="G7390" i="9"/>
  <c r="E7390" i="9"/>
  <c r="D7390" i="9"/>
  <c r="C7390" i="9"/>
  <c r="B7390" i="9"/>
  <c r="H7389" i="9"/>
  <c r="G7389" i="9"/>
  <c r="E7389" i="9"/>
  <c r="D7389" i="9"/>
  <c r="C7389" i="9"/>
  <c r="B7389" i="9"/>
  <c r="H7388" i="9"/>
  <c r="G7388" i="9"/>
  <c r="E7388" i="9"/>
  <c r="D7388" i="9"/>
  <c r="C7388" i="9"/>
  <c r="B7388" i="9"/>
  <c r="H7387" i="9"/>
  <c r="G7387" i="9"/>
  <c r="E7387" i="9"/>
  <c r="D7387" i="9"/>
  <c r="C7387" i="9"/>
  <c r="B7387" i="9"/>
  <c r="H7386" i="9"/>
  <c r="G7386" i="9"/>
  <c r="E7386" i="9"/>
  <c r="D7386" i="9"/>
  <c r="C7386" i="9"/>
  <c r="B7386" i="9"/>
  <c r="H7385" i="9"/>
  <c r="G7385" i="9"/>
  <c r="E7385" i="9"/>
  <c r="D7385" i="9"/>
  <c r="C7385" i="9"/>
  <c r="B7385" i="9"/>
  <c r="H7384" i="9"/>
  <c r="G7384" i="9"/>
  <c r="E7384" i="9"/>
  <c r="D7384" i="9"/>
  <c r="C7384" i="9"/>
  <c r="B7384" i="9"/>
  <c r="H7383" i="9"/>
  <c r="G7383" i="9"/>
  <c r="E7383" i="9"/>
  <c r="D7383" i="9"/>
  <c r="C7383" i="9"/>
  <c r="B7383" i="9"/>
  <c r="H7382" i="9"/>
  <c r="G7382" i="9"/>
  <c r="E7382" i="9"/>
  <c r="D7382" i="9"/>
  <c r="C7382" i="9"/>
  <c r="B7382" i="9"/>
  <c r="H7381" i="9"/>
  <c r="G7381" i="9"/>
  <c r="E7381" i="9"/>
  <c r="D7381" i="9"/>
  <c r="C7381" i="9"/>
  <c r="B7381" i="9"/>
  <c r="H7380" i="9"/>
  <c r="G7380" i="9"/>
  <c r="E7380" i="9"/>
  <c r="D7380" i="9"/>
  <c r="C7380" i="9"/>
  <c r="B7380" i="9"/>
  <c r="H7379" i="9"/>
  <c r="G7379" i="9"/>
  <c r="E7379" i="9"/>
  <c r="D7379" i="9"/>
  <c r="C7379" i="9"/>
  <c r="B7379" i="9"/>
  <c r="H7378" i="9"/>
  <c r="G7378" i="9"/>
  <c r="E7378" i="9"/>
  <c r="D7378" i="9"/>
  <c r="C7378" i="9"/>
  <c r="B7378" i="9"/>
  <c r="H7377" i="9"/>
  <c r="G7377" i="9"/>
  <c r="E7377" i="9"/>
  <c r="D7377" i="9"/>
  <c r="C7377" i="9"/>
  <c r="B7377" i="9"/>
  <c r="H7376" i="9"/>
  <c r="G7376" i="9"/>
  <c r="E7376" i="9"/>
  <c r="D7376" i="9"/>
  <c r="C7376" i="9"/>
  <c r="B7376" i="9"/>
  <c r="H7375" i="9"/>
  <c r="G7375" i="9"/>
  <c r="E7375" i="9"/>
  <c r="D7375" i="9"/>
  <c r="C7375" i="9"/>
  <c r="B7375" i="9"/>
  <c r="H7374" i="9"/>
  <c r="G7374" i="9"/>
  <c r="E7374" i="9"/>
  <c r="D7374" i="9"/>
  <c r="C7374" i="9"/>
  <c r="B7374" i="9"/>
  <c r="H7373" i="9"/>
  <c r="G7373" i="9"/>
  <c r="E7373" i="9"/>
  <c r="D7373" i="9"/>
  <c r="C7373" i="9"/>
  <c r="B7373" i="9"/>
  <c r="H7372" i="9"/>
  <c r="G7372" i="9"/>
  <c r="E7372" i="9"/>
  <c r="D7372" i="9"/>
  <c r="C7372" i="9"/>
  <c r="B7372" i="9"/>
  <c r="H7371" i="9"/>
  <c r="G7371" i="9"/>
  <c r="E7371" i="9"/>
  <c r="D7371" i="9"/>
  <c r="C7371" i="9"/>
  <c r="B7371" i="9"/>
  <c r="H7370" i="9"/>
  <c r="G7370" i="9"/>
  <c r="E7370" i="9"/>
  <c r="D7370" i="9"/>
  <c r="C7370" i="9"/>
  <c r="B7370" i="9"/>
  <c r="H7369" i="9"/>
  <c r="G7369" i="9"/>
  <c r="E7369" i="9"/>
  <c r="D7369" i="9"/>
  <c r="C7369" i="9"/>
  <c r="B7369" i="9"/>
  <c r="H7368" i="9"/>
  <c r="G7368" i="9"/>
  <c r="E7368" i="9"/>
  <c r="D7368" i="9"/>
  <c r="C7368" i="9"/>
  <c r="B7368" i="9"/>
  <c r="H7367" i="9"/>
  <c r="G7367" i="9"/>
  <c r="E7367" i="9"/>
  <c r="D7367" i="9"/>
  <c r="C7367" i="9"/>
  <c r="B7367" i="9"/>
  <c r="H7366" i="9"/>
  <c r="G7366" i="9"/>
  <c r="E7366" i="9"/>
  <c r="D7366" i="9"/>
  <c r="C7366" i="9"/>
  <c r="B7366" i="9"/>
  <c r="H7365" i="9"/>
  <c r="G7365" i="9"/>
  <c r="E7365" i="9"/>
  <c r="D7365" i="9"/>
  <c r="C7365" i="9"/>
  <c r="B7365" i="9"/>
  <c r="H7364" i="9"/>
  <c r="G7364" i="9"/>
  <c r="E7364" i="9"/>
  <c r="D7364" i="9"/>
  <c r="C7364" i="9"/>
  <c r="B7364" i="9"/>
  <c r="H7363" i="9"/>
  <c r="G7363" i="9"/>
  <c r="E7363" i="9"/>
  <c r="D7363" i="9"/>
  <c r="C7363" i="9"/>
  <c r="B7363" i="9"/>
  <c r="H7362" i="9"/>
  <c r="G7362" i="9"/>
  <c r="E7362" i="9"/>
  <c r="D7362" i="9"/>
  <c r="C7362" i="9"/>
  <c r="B7362" i="9"/>
  <c r="H7361" i="9"/>
  <c r="G7361" i="9"/>
  <c r="E7361" i="9"/>
  <c r="D7361" i="9"/>
  <c r="C7361" i="9"/>
  <c r="B7361" i="9"/>
  <c r="H7360" i="9"/>
  <c r="G7360" i="9"/>
  <c r="E7360" i="9"/>
  <c r="D7360" i="9"/>
  <c r="C7360" i="9"/>
  <c r="B7360" i="9"/>
  <c r="H7359" i="9"/>
  <c r="G7359" i="9"/>
  <c r="E7359" i="9"/>
  <c r="D7359" i="9"/>
  <c r="C7359" i="9"/>
  <c r="B7359" i="9"/>
  <c r="H7358" i="9"/>
  <c r="G7358" i="9"/>
  <c r="E7358" i="9"/>
  <c r="D7358" i="9"/>
  <c r="C7358" i="9"/>
  <c r="B7358" i="9"/>
  <c r="H7357" i="9"/>
  <c r="G7357" i="9"/>
  <c r="E7357" i="9"/>
  <c r="D7357" i="9"/>
  <c r="C7357" i="9"/>
  <c r="B7357" i="9"/>
  <c r="H7356" i="9"/>
  <c r="G7356" i="9"/>
  <c r="E7356" i="9"/>
  <c r="D7356" i="9"/>
  <c r="C7356" i="9"/>
  <c r="B7356" i="9"/>
  <c r="H7355" i="9"/>
  <c r="G7355" i="9"/>
  <c r="E7355" i="9"/>
  <c r="D7355" i="9"/>
  <c r="C7355" i="9"/>
  <c r="B7355" i="9"/>
  <c r="H7354" i="9"/>
  <c r="G7354" i="9"/>
  <c r="E7354" i="9"/>
  <c r="D7354" i="9"/>
  <c r="C7354" i="9"/>
  <c r="B7354" i="9"/>
  <c r="H7353" i="9"/>
  <c r="G7353" i="9"/>
  <c r="E7353" i="9"/>
  <c r="D7353" i="9"/>
  <c r="C7353" i="9"/>
  <c r="B7353" i="9"/>
  <c r="H7352" i="9"/>
  <c r="G7352" i="9"/>
  <c r="E7352" i="9"/>
  <c r="D7352" i="9"/>
  <c r="C7352" i="9"/>
  <c r="B7352" i="9"/>
  <c r="H7351" i="9"/>
  <c r="G7351" i="9"/>
  <c r="E7351" i="9"/>
  <c r="D7351" i="9"/>
  <c r="C7351" i="9"/>
  <c r="B7351" i="9"/>
  <c r="H7350" i="9"/>
  <c r="G7350" i="9"/>
  <c r="E7350" i="9"/>
  <c r="D7350" i="9"/>
  <c r="C7350" i="9"/>
  <c r="B7350" i="9"/>
  <c r="H7349" i="9"/>
  <c r="G7349" i="9"/>
  <c r="E7349" i="9"/>
  <c r="D7349" i="9"/>
  <c r="C7349" i="9"/>
  <c r="B7349" i="9"/>
  <c r="H7348" i="9"/>
  <c r="G7348" i="9"/>
  <c r="E7348" i="9"/>
  <c r="D7348" i="9"/>
  <c r="C7348" i="9"/>
  <c r="B7348" i="9"/>
  <c r="H7347" i="9"/>
  <c r="G7347" i="9"/>
  <c r="E7347" i="9"/>
  <c r="D7347" i="9"/>
  <c r="C7347" i="9"/>
  <c r="B7347" i="9"/>
  <c r="H7346" i="9"/>
  <c r="G7346" i="9"/>
  <c r="E7346" i="9"/>
  <c r="D7346" i="9"/>
  <c r="C7346" i="9"/>
  <c r="B7346" i="9"/>
  <c r="H7345" i="9"/>
  <c r="G7345" i="9"/>
  <c r="E7345" i="9"/>
  <c r="D7345" i="9"/>
  <c r="C7345" i="9"/>
  <c r="B7345" i="9"/>
  <c r="H7344" i="9"/>
  <c r="G7344" i="9"/>
  <c r="E7344" i="9"/>
  <c r="D7344" i="9"/>
  <c r="C7344" i="9"/>
  <c r="B7344" i="9"/>
  <c r="H7343" i="9"/>
  <c r="G7343" i="9"/>
  <c r="E7343" i="9"/>
  <c r="D7343" i="9"/>
  <c r="C7343" i="9"/>
  <c r="B7343" i="9"/>
  <c r="H7342" i="9"/>
  <c r="G7342" i="9"/>
  <c r="E7342" i="9"/>
  <c r="D7342" i="9"/>
  <c r="C7342" i="9"/>
  <c r="B7342" i="9"/>
  <c r="H7341" i="9"/>
  <c r="G7341" i="9"/>
  <c r="E7341" i="9"/>
  <c r="D7341" i="9"/>
  <c r="C7341" i="9"/>
  <c r="B7341" i="9"/>
  <c r="H7340" i="9"/>
  <c r="G7340" i="9"/>
  <c r="E7340" i="9"/>
  <c r="D7340" i="9"/>
  <c r="C7340" i="9"/>
  <c r="B7340" i="9"/>
  <c r="H7339" i="9"/>
  <c r="G7339" i="9"/>
  <c r="E7339" i="9"/>
  <c r="D7339" i="9"/>
  <c r="C7339" i="9"/>
  <c r="B7339" i="9"/>
  <c r="H7338" i="9"/>
  <c r="G7338" i="9"/>
  <c r="E7338" i="9"/>
  <c r="D7338" i="9"/>
  <c r="C7338" i="9"/>
  <c r="B7338" i="9"/>
  <c r="H7337" i="9"/>
  <c r="G7337" i="9"/>
  <c r="E7337" i="9"/>
  <c r="D7337" i="9"/>
  <c r="C7337" i="9"/>
  <c r="B7337" i="9"/>
  <c r="H7336" i="9"/>
  <c r="G7336" i="9"/>
  <c r="E7336" i="9"/>
  <c r="D7336" i="9"/>
  <c r="C7336" i="9"/>
  <c r="B7336" i="9"/>
  <c r="H7335" i="9"/>
  <c r="G7335" i="9"/>
  <c r="E7335" i="9"/>
  <c r="D7335" i="9"/>
  <c r="C7335" i="9"/>
  <c r="B7335" i="9"/>
  <c r="H7334" i="9"/>
  <c r="G7334" i="9"/>
  <c r="E7334" i="9"/>
  <c r="D7334" i="9"/>
  <c r="C7334" i="9"/>
  <c r="B7334" i="9"/>
  <c r="H7333" i="9"/>
  <c r="G7333" i="9"/>
  <c r="E7333" i="9"/>
  <c r="D7333" i="9"/>
  <c r="C7333" i="9"/>
  <c r="B7333" i="9"/>
  <c r="H7332" i="9"/>
  <c r="G7332" i="9"/>
  <c r="E7332" i="9"/>
  <c r="D7332" i="9"/>
  <c r="C7332" i="9"/>
  <c r="B7332" i="9"/>
  <c r="H7331" i="9"/>
  <c r="G7331" i="9"/>
  <c r="E7331" i="9"/>
  <c r="D7331" i="9"/>
  <c r="C7331" i="9"/>
  <c r="B7331" i="9"/>
  <c r="H7330" i="9"/>
  <c r="G7330" i="9"/>
  <c r="E7330" i="9"/>
  <c r="D7330" i="9"/>
  <c r="C7330" i="9"/>
  <c r="B7330" i="9"/>
  <c r="H7329" i="9"/>
  <c r="G7329" i="9"/>
  <c r="E7329" i="9"/>
  <c r="D7329" i="9"/>
  <c r="C7329" i="9"/>
  <c r="B7329" i="9"/>
  <c r="H7328" i="9"/>
  <c r="G7328" i="9"/>
  <c r="E7328" i="9"/>
  <c r="D7328" i="9"/>
  <c r="C7328" i="9"/>
  <c r="B7328" i="9"/>
  <c r="H7327" i="9"/>
  <c r="G7327" i="9"/>
  <c r="E7327" i="9"/>
  <c r="D7327" i="9"/>
  <c r="C7327" i="9"/>
  <c r="B7327" i="9"/>
  <c r="H7326" i="9"/>
  <c r="G7326" i="9"/>
  <c r="E7326" i="9"/>
  <c r="D7326" i="9"/>
  <c r="C7326" i="9"/>
  <c r="B7326" i="9"/>
  <c r="H7325" i="9"/>
  <c r="G7325" i="9"/>
  <c r="E7325" i="9"/>
  <c r="D7325" i="9"/>
  <c r="C7325" i="9"/>
  <c r="B7325" i="9"/>
  <c r="H7324" i="9"/>
  <c r="G7324" i="9"/>
  <c r="E7324" i="9"/>
  <c r="D7324" i="9"/>
  <c r="C7324" i="9"/>
  <c r="B7324" i="9"/>
  <c r="H7323" i="9"/>
  <c r="G7323" i="9"/>
  <c r="E7323" i="9"/>
  <c r="D7323" i="9"/>
  <c r="C7323" i="9"/>
  <c r="B7323" i="9"/>
  <c r="H7322" i="9"/>
  <c r="G7322" i="9"/>
  <c r="E7322" i="9"/>
  <c r="D7322" i="9"/>
  <c r="C7322" i="9"/>
  <c r="B7322" i="9"/>
  <c r="H7321" i="9"/>
  <c r="G7321" i="9"/>
  <c r="E7321" i="9"/>
  <c r="D7321" i="9"/>
  <c r="C7321" i="9"/>
  <c r="B7321" i="9"/>
  <c r="H7320" i="9"/>
  <c r="G7320" i="9"/>
  <c r="E7320" i="9"/>
  <c r="D7320" i="9"/>
  <c r="C7320" i="9"/>
  <c r="B7320" i="9"/>
  <c r="H7319" i="9"/>
  <c r="G7319" i="9"/>
  <c r="E7319" i="9"/>
  <c r="D7319" i="9"/>
  <c r="C7319" i="9"/>
  <c r="B7319" i="9"/>
  <c r="H7318" i="9"/>
  <c r="G7318" i="9"/>
  <c r="E7318" i="9"/>
  <c r="D7318" i="9"/>
  <c r="C7318" i="9"/>
  <c r="B7318" i="9"/>
  <c r="H7317" i="9"/>
  <c r="G7317" i="9"/>
  <c r="E7317" i="9"/>
  <c r="D7317" i="9"/>
  <c r="C7317" i="9"/>
  <c r="B7317" i="9"/>
  <c r="H7316" i="9"/>
  <c r="G7316" i="9"/>
  <c r="E7316" i="9"/>
  <c r="D7316" i="9"/>
  <c r="C7316" i="9"/>
  <c r="B7316" i="9"/>
  <c r="H7315" i="9"/>
  <c r="G7315" i="9"/>
  <c r="E7315" i="9"/>
  <c r="D7315" i="9"/>
  <c r="C7315" i="9"/>
  <c r="B7315" i="9"/>
  <c r="H7314" i="9"/>
  <c r="G7314" i="9"/>
  <c r="E7314" i="9"/>
  <c r="D7314" i="9"/>
  <c r="C7314" i="9"/>
  <c r="B7314" i="9"/>
  <c r="H7313" i="9"/>
  <c r="G7313" i="9"/>
  <c r="E7313" i="9"/>
  <c r="D7313" i="9"/>
  <c r="C7313" i="9"/>
  <c r="B7313" i="9"/>
  <c r="H7312" i="9"/>
  <c r="G7312" i="9"/>
  <c r="E7312" i="9"/>
  <c r="D7312" i="9"/>
  <c r="C7312" i="9"/>
  <c r="B7312" i="9"/>
  <c r="H7311" i="9"/>
  <c r="G7311" i="9"/>
  <c r="E7311" i="9"/>
  <c r="D7311" i="9"/>
  <c r="C7311" i="9"/>
  <c r="B7311" i="9"/>
  <c r="H7310" i="9"/>
  <c r="G7310" i="9"/>
  <c r="E7310" i="9"/>
  <c r="D7310" i="9"/>
  <c r="C7310" i="9"/>
  <c r="B7310" i="9"/>
  <c r="H7309" i="9"/>
  <c r="G7309" i="9"/>
  <c r="E7309" i="9"/>
  <c r="D7309" i="9"/>
  <c r="C7309" i="9"/>
  <c r="B7309" i="9"/>
  <c r="H7308" i="9"/>
  <c r="G7308" i="9"/>
  <c r="E7308" i="9"/>
  <c r="D7308" i="9"/>
  <c r="C7308" i="9"/>
  <c r="B7308" i="9"/>
  <c r="H7307" i="9"/>
  <c r="G7307" i="9"/>
  <c r="E7307" i="9"/>
  <c r="D7307" i="9"/>
  <c r="C7307" i="9"/>
  <c r="B7307" i="9"/>
  <c r="H7306" i="9"/>
  <c r="G7306" i="9"/>
  <c r="E7306" i="9"/>
  <c r="D7306" i="9"/>
  <c r="C7306" i="9"/>
  <c r="B7306" i="9"/>
  <c r="H7305" i="9"/>
  <c r="G7305" i="9"/>
  <c r="E7305" i="9"/>
  <c r="D7305" i="9"/>
  <c r="C7305" i="9"/>
  <c r="B7305" i="9"/>
  <c r="H7304" i="9"/>
  <c r="G7304" i="9"/>
  <c r="E7304" i="9"/>
  <c r="D7304" i="9"/>
  <c r="C7304" i="9"/>
  <c r="B7304" i="9"/>
  <c r="H7303" i="9"/>
  <c r="G7303" i="9"/>
  <c r="E7303" i="9"/>
  <c r="D7303" i="9"/>
  <c r="C7303" i="9"/>
  <c r="B7303" i="9"/>
  <c r="H7302" i="9"/>
  <c r="G7302" i="9"/>
  <c r="E7302" i="9"/>
  <c r="D7302" i="9"/>
  <c r="C7302" i="9"/>
  <c r="B7302" i="9"/>
  <c r="H7301" i="9"/>
  <c r="G7301" i="9"/>
  <c r="E7301" i="9"/>
  <c r="D7301" i="9"/>
  <c r="C7301" i="9"/>
  <c r="B7301" i="9"/>
  <c r="H7300" i="9"/>
  <c r="G7300" i="9"/>
  <c r="E7300" i="9"/>
  <c r="D7300" i="9"/>
  <c r="C7300" i="9"/>
  <c r="B7300" i="9"/>
  <c r="H7299" i="9"/>
  <c r="G7299" i="9"/>
  <c r="E7299" i="9"/>
  <c r="D7299" i="9"/>
  <c r="C7299" i="9"/>
  <c r="B7299" i="9"/>
  <c r="H7298" i="9"/>
  <c r="G7298" i="9"/>
  <c r="E7298" i="9"/>
  <c r="D7298" i="9"/>
  <c r="C7298" i="9"/>
  <c r="B7298" i="9"/>
  <c r="H7297" i="9"/>
  <c r="G7297" i="9"/>
  <c r="E7297" i="9"/>
  <c r="D7297" i="9"/>
  <c r="C7297" i="9"/>
  <c r="B7297" i="9"/>
  <c r="H7296" i="9"/>
  <c r="G7296" i="9"/>
  <c r="E7296" i="9"/>
  <c r="D7296" i="9"/>
  <c r="C7296" i="9"/>
  <c r="B7296" i="9"/>
  <c r="H7295" i="9"/>
  <c r="G7295" i="9"/>
  <c r="E7295" i="9"/>
  <c r="D7295" i="9"/>
  <c r="C7295" i="9"/>
  <c r="B7295" i="9"/>
  <c r="H7294" i="9"/>
  <c r="G7294" i="9"/>
  <c r="E7294" i="9"/>
  <c r="D7294" i="9"/>
  <c r="C7294" i="9"/>
  <c r="B7294" i="9"/>
  <c r="H7293" i="9"/>
  <c r="G7293" i="9"/>
  <c r="E7293" i="9"/>
  <c r="D7293" i="9"/>
  <c r="C7293" i="9"/>
  <c r="B7293" i="9"/>
  <c r="H7292" i="9"/>
  <c r="G7292" i="9"/>
  <c r="E7292" i="9"/>
  <c r="D7292" i="9"/>
  <c r="C7292" i="9"/>
  <c r="B7292" i="9"/>
  <c r="H7291" i="9"/>
  <c r="G7291" i="9"/>
  <c r="E7291" i="9"/>
  <c r="D7291" i="9"/>
  <c r="C7291" i="9"/>
  <c r="B7291" i="9"/>
  <c r="H7290" i="9"/>
  <c r="G7290" i="9"/>
  <c r="E7290" i="9"/>
  <c r="D7290" i="9"/>
  <c r="C7290" i="9"/>
  <c r="B7290" i="9"/>
  <c r="H7289" i="9"/>
  <c r="G7289" i="9"/>
  <c r="E7289" i="9"/>
  <c r="D7289" i="9"/>
  <c r="C7289" i="9"/>
  <c r="B7289" i="9"/>
  <c r="H7288" i="9"/>
  <c r="G7288" i="9"/>
  <c r="E7288" i="9"/>
  <c r="D7288" i="9"/>
  <c r="C7288" i="9"/>
  <c r="B7288" i="9"/>
  <c r="H7287" i="9"/>
  <c r="G7287" i="9"/>
  <c r="E7287" i="9"/>
  <c r="D7287" i="9"/>
  <c r="C7287" i="9"/>
  <c r="B7287" i="9"/>
  <c r="H7286" i="9"/>
  <c r="G7286" i="9"/>
  <c r="E7286" i="9"/>
  <c r="D7286" i="9"/>
  <c r="C7286" i="9"/>
  <c r="B7286" i="9"/>
  <c r="H7285" i="9"/>
  <c r="G7285" i="9"/>
  <c r="E7285" i="9"/>
  <c r="D7285" i="9"/>
  <c r="C7285" i="9"/>
  <c r="B7285" i="9"/>
  <c r="H7284" i="9"/>
  <c r="G7284" i="9"/>
  <c r="E7284" i="9"/>
  <c r="D7284" i="9"/>
  <c r="C7284" i="9"/>
  <c r="B7284" i="9"/>
  <c r="H7283" i="9"/>
  <c r="G7283" i="9"/>
  <c r="E7283" i="9"/>
  <c r="D7283" i="9"/>
  <c r="C7283" i="9"/>
  <c r="B7283" i="9"/>
  <c r="H7282" i="9"/>
  <c r="G7282" i="9"/>
  <c r="E7282" i="9"/>
  <c r="D7282" i="9"/>
  <c r="C7282" i="9"/>
  <c r="B7282" i="9"/>
  <c r="H7281" i="9"/>
  <c r="G7281" i="9"/>
  <c r="E7281" i="9"/>
  <c r="D7281" i="9"/>
  <c r="C7281" i="9"/>
  <c r="B7281" i="9"/>
  <c r="H7280" i="9"/>
  <c r="G7280" i="9"/>
  <c r="E7280" i="9"/>
  <c r="D7280" i="9"/>
  <c r="C7280" i="9"/>
  <c r="B7280" i="9"/>
  <c r="H7279" i="9"/>
  <c r="G7279" i="9"/>
  <c r="E7279" i="9"/>
  <c r="D7279" i="9"/>
  <c r="C7279" i="9"/>
  <c r="B7279" i="9"/>
  <c r="H7278" i="9"/>
  <c r="G7278" i="9"/>
  <c r="E7278" i="9"/>
  <c r="D7278" i="9"/>
  <c r="C7278" i="9"/>
  <c r="B7278" i="9"/>
  <c r="H7277" i="9"/>
  <c r="G7277" i="9"/>
  <c r="E7277" i="9"/>
  <c r="D7277" i="9"/>
  <c r="C7277" i="9"/>
  <c r="B7277" i="9"/>
  <c r="H7276" i="9"/>
  <c r="G7276" i="9"/>
  <c r="E7276" i="9"/>
  <c r="D7276" i="9"/>
  <c r="C7276" i="9"/>
  <c r="B7276" i="9"/>
  <c r="H7275" i="9"/>
  <c r="G7275" i="9"/>
  <c r="E7275" i="9"/>
  <c r="D7275" i="9"/>
  <c r="C7275" i="9"/>
  <c r="B7275" i="9"/>
  <c r="H7274" i="9"/>
  <c r="G7274" i="9"/>
  <c r="E7274" i="9"/>
  <c r="D7274" i="9"/>
  <c r="C7274" i="9"/>
  <c r="B7274" i="9"/>
  <c r="H7273" i="9"/>
  <c r="G7273" i="9"/>
  <c r="E7273" i="9"/>
  <c r="D7273" i="9"/>
  <c r="C7273" i="9"/>
  <c r="B7273" i="9"/>
  <c r="H7272" i="9"/>
  <c r="G7272" i="9"/>
  <c r="E7272" i="9"/>
  <c r="D7272" i="9"/>
  <c r="C7272" i="9"/>
  <c r="B7272" i="9"/>
  <c r="H7271" i="9"/>
  <c r="G7271" i="9"/>
  <c r="E7271" i="9"/>
  <c r="D7271" i="9"/>
  <c r="C7271" i="9"/>
  <c r="B7271" i="9"/>
  <c r="H7270" i="9"/>
  <c r="G7270" i="9"/>
  <c r="E7270" i="9"/>
  <c r="D7270" i="9"/>
  <c r="C7270" i="9"/>
  <c r="B7270" i="9"/>
  <c r="H7269" i="9"/>
  <c r="G7269" i="9"/>
  <c r="E7269" i="9"/>
  <c r="D7269" i="9"/>
  <c r="C7269" i="9"/>
  <c r="B7269" i="9"/>
  <c r="H7268" i="9"/>
  <c r="G7268" i="9"/>
  <c r="E7268" i="9"/>
  <c r="D7268" i="9"/>
  <c r="C7268" i="9"/>
  <c r="B7268" i="9"/>
  <c r="H7267" i="9"/>
  <c r="G7267" i="9"/>
  <c r="E7267" i="9"/>
  <c r="D7267" i="9"/>
  <c r="C7267" i="9"/>
  <c r="B7267" i="9"/>
  <c r="H7266" i="9"/>
  <c r="G7266" i="9"/>
  <c r="E7266" i="9"/>
  <c r="D7266" i="9"/>
  <c r="C7266" i="9"/>
  <c r="B7266" i="9"/>
  <c r="H7265" i="9"/>
  <c r="G7265" i="9"/>
  <c r="E7265" i="9"/>
  <c r="D7265" i="9"/>
  <c r="C7265" i="9"/>
  <c r="B7265" i="9"/>
  <c r="H7264" i="9"/>
  <c r="G7264" i="9"/>
  <c r="E7264" i="9"/>
  <c r="D7264" i="9"/>
  <c r="C7264" i="9"/>
  <c r="B7264" i="9"/>
  <c r="H7263" i="9"/>
  <c r="G7263" i="9"/>
  <c r="E7263" i="9"/>
  <c r="D7263" i="9"/>
  <c r="C7263" i="9"/>
  <c r="B7263" i="9"/>
  <c r="H7262" i="9"/>
  <c r="G7262" i="9"/>
  <c r="E7262" i="9"/>
  <c r="D7262" i="9"/>
  <c r="C7262" i="9"/>
  <c r="B7262" i="9"/>
  <c r="H7261" i="9"/>
  <c r="G7261" i="9"/>
  <c r="E7261" i="9"/>
  <c r="D7261" i="9"/>
  <c r="C7261" i="9"/>
  <c r="B7261" i="9"/>
  <c r="H7260" i="9"/>
  <c r="G7260" i="9"/>
  <c r="E7260" i="9"/>
  <c r="D7260" i="9"/>
  <c r="C7260" i="9"/>
  <c r="B7260" i="9"/>
  <c r="H7259" i="9"/>
  <c r="G7259" i="9"/>
  <c r="E7259" i="9"/>
  <c r="D7259" i="9"/>
  <c r="C7259" i="9"/>
  <c r="B7259" i="9"/>
  <c r="H7258" i="9"/>
  <c r="G7258" i="9"/>
  <c r="E7258" i="9"/>
  <c r="D7258" i="9"/>
  <c r="C7258" i="9"/>
  <c r="B7258" i="9"/>
  <c r="H7257" i="9"/>
  <c r="G7257" i="9"/>
  <c r="E7257" i="9"/>
  <c r="D7257" i="9"/>
  <c r="C7257" i="9"/>
  <c r="B7257" i="9"/>
  <c r="H7256" i="9"/>
  <c r="G7256" i="9"/>
  <c r="E7256" i="9"/>
  <c r="D7256" i="9"/>
  <c r="C7256" i="9"/>
  <c r="B7256" i="9"/>
  <c r="H7255" i="9"/>
  <c r="G7255" i="9"/>
  <c r="E7255" i="9"/>
  <c r="D7255" i="9"/>
  <c r="C7255" i="9"/>
  <c r="B7255" i="9"/>
  <c r="H7254" i="9"/>
  <c r="G7254" i="9"/>
  <c r="E7254" i="9"/>
  <c r="D7254" i="9"/>
  <c r="C7254" i="9"/>
  <c r="B7254" i="9"/>
  <c r="H7253" i="9"/>
  <c r="G7253" i="9"/>
  <c r="E7253" i="9"/>
  <c r="D7253" i="9"/>
  <c r="C7253" i="9"/>
  <c r="B7253" i="9"/>
  <c r="H7252" i="9"/>
  <c r="G7252" i="9"/>
  <c r="E7252" i="9"/>
  <c r="D7252" i="9"/>
  <c r="C7252" i="9"/>
  <c r="B7252" i="9"/>
  <c r="H7251" i="9"/>
  <c r="G7251" i="9"/>
  <c r="E7251" i="9"/>
  <c r="D7251" i="9"/>
  <c r="C7251" i="9"/>
  <c r="B7251" i="9"/>
  <c r="H7250" i="9"/>
  <c r="G7250" i="9"/>
  <c r="E7250" i="9"/>
  <c r="D7250" i="9"/>
  <c r="C7250" i="9"/>
  <c r="B7250" i="9"/>
  <c r="H7249" i="9"/>
  <c r="G7249" i="9"/>
  <c r="E7249" i="9"/>
  <c r="D7249" i="9"/>
  <c r="C7249" i="9"/>
  <c r="B7249" i="9"/>
  <c r="H7248" i="9"/>
  <c r="G7248" i="9"/>
  <c r="E7248" i="9"/>
  <c r="D7248" i="9"/>
  <c r="C7248" i="9"/>
  <c r="B7248" i="9"/>
  <c r="H7247" i="9"/>
  <c r="G7247" i="9"/>
  <c r="E7247" i="9"/>
  <c r="D7247" i="9"/>
  <c r="C7247" i="9"/>
  <c r="B7247" i="9"/>
  <c r="H7246" i="9"/>
  <c r="G7246" i="9"/>
  <c r="E7246" i="9"/>
  <c r="D7246" i="9"/>
  <c r="C7246" i="9"/>
  <c r="B7246" i="9"/>
  <c r="H7245" i="9"/>
  <c r="G7245" i="9"/>
  <c r="E7245" i="9"/>
  <c r="D7245" i="9"/>
  <c r="C7245" i="9"/>
  <c r="B7245" i="9"/>
  <c r="H7244" i="9"/>
  <c r="G7244" i="9"/>
  <c r="E7244" i="9"/>
  <c r="D7244" i="9"/>
  <c r="C7244" i="9"/>
  <c r="B7244" i="9"/>
  <c r="H7243" i="9"/>
  <c r="G7243" i="9"/>
  <c r="E7243" i="9"/>
  <c r="D7243" i="9"/>
  <c r="C7243" i="9"/>
  <c r="B7243" i="9"/>
  <c r="H7242" i="9"/>
  <c r="G7242" i="9"/>
  <c r="E7242" i="9"/>
  <c r="D7242" i="9"/>
  <c r="C7242" i="9"/>
  <c r="B7242" i="9"/>
  <c r="H7241" i="9"/>
  <c r="G7241" i="9"/>
  <c r="E7241" i="9"/>
  <c r="D7241" i="9"/>
  <c r="C7241" i="9"/>
  <c r="B7241" i="9"/>
  <c r="H7240" i="9"/>
  <c r="G7240" i="9"/>
  <c r="E7240" i="9"/>
  <c r="D7240" i="9"/>
  <c r="C7240" i="9"/>
  <c r="B7240" i="9"/>
  <c r="H7239" i="9"/>
  <c r="G7239" i="9"/>
  <c r="E7239" i="9"/>
  <c r="D7239" i="9"/>
  <c r="C7239" i="9"/>
  <c r="B7239" i="9"/>
  <c r="H7238" i="9"/>
  <c r="G7238" i="9"/>
  <c r="E7238" i="9"/>
  <c r="D7238" i="9"/>
  <c r="C7238" i="9"/>
  <c r="B7238" i="9"/>
  <c r="H7237" i="9"/>
  <c r="G7237" i="9"/>
  <c r="E7237" i="9"/>
  <c r="D7237" i="9"/>
  <c r="C7237" i="9"/>
  <c r="B7237" i="9"/>
  <c r="H7236" i="9"/>
  <c r="G7236" i="9"/>
  <c r="E7236" i="9"/>
  <c r="D7236" i="9"/>
  <c r="C7236" i="9"/>
  <c r="B7236" i="9"/>
  <c r="H7235" i="9"/>
  <c r="G7235" i="9"/>
  <c r="E7235" i="9"/>
  <c r="D7235" i="9"/>
  <c r="C7235" i="9"/>
  <c r="B7235" i="9"/>
  <c r="H7234" i="9"/>
  <c r="G7234" i="9"/>
  <c r="E7234" i="9"/>
  <c r="D7234" i="9"/>
  <c r="C7234" i="9"/>
  <c r="B7234" i="9"/>
  <c r="H7233" i="9"/>
  <c r="G7233" i="9"/>
  <c r="E7233" i="9"/>
  <c r="D7233" i="9"/>
  <c r="C7233" i="9"/>
  <c r="B7233" i="9"/>
  <c r="H7232" i="9"/>
  <c r="G7232" i="9"/>
  <c r="E7232" i="9"/>
  <c r="D7232" i="9"/>
  <c r="C7232" i="9"/>
  <c r="B7232" i="9"/>
  <c r="H7231" i="9"/>
  <c r="G7231" i="9"/>
  <c r="E7231" i="9"/>
  <c r="D7231" i="9"/>
  <c r="C7231" i="9"/>
  <c r="B7231" i="9"/>
  <c r="H7230" i="9"/>
  <c r="G7230" i="9"/>
  <c r="E7230" i="9"/>
  <c r="D7230" i="9"/>
  <c r="C7230" i="9"/>
  <c r="B7230" i="9"/>
  <c r="H7229" i="9"/>
  <c r="G7229" i="9"/>
  <c r="E7229" i="9"/>
  <c r="D7229" i="9"/>
  <c r="C7229" i="9"/>
  <c r="B7229" i="9"/>
  <c r="H7228" i="9"/>
  <c r="G7228" i="9"/>
  <c r="E7228" i="9"/>
  <c r="D7228" i="9"/>
  <c r="C7228" i="9"/>
  <c r="B7228" i="9"/>
  <c r="H7227" i="9"/>
  <c r="G7227" i="9"/>
  <c r="E7227" i="9"/>
  <c r="D7227" i="9"/>
  <c r="C7227" i="9"/>
  <c r="B7227" i="9"/>
  <c r="H7226" i="9"/>
  <c r="G7226" i="9"/>
  <c r="E7226" i="9"/>
  <c r="D7226" i="9"/>
  <c r="C7226" i="9"/>
  <c r="B7226" i="9"/>
  <c r="H7225" i="9"/>
  <c r="G7225" i="9"/>
  <c r="E7225" i="9"/>
  <c r="D7225" i="9"/>
  <c r="C7225" i="9"/>
  <c r="B7225" i="9"/>
  <c r="H7224" i="9"/>
  <c r="G7224" i="9"/>
  <c r="E7224" i="9"/>
  <c r="D7224" i="9"/>
  <c r="C7224" i="9"/>
  <c r="B7224" i="9"/>
  <c r="H7223" i="9"/>
  <c r="G7223" i="9"/>
  <c r="E7223" i="9"/>
  <c r="D7223" i="9"/>
  <c r="C7223" i="9"/>
  <c r="B7223" i="9"/>
  <c r="H7222" i="9"/>
  <c r="G7222" i="9"/>
  <c r="E7222" i="9"/>
  <c r="D7222" i="9"/>
  <c r="C7222" i="9"/>
  <c r="B7222" i="9"/>
  <c r="H7221" i="9"/>
  <c r="G7221" i="9"/>
  <c r="E7221" i="9"/>
  <c r="D7221" i="9"/>
  <c r="C7221" i="9"/>
  <c r="B7221" i="9"/>
  <c r="H7220" i="9"/>
  <c r="G7220" i="9"/>
  <c r="E7220" i="9"/>
  <c r="D7220" i="9"/>
  <c r="C7220" i="9"/>
  <c r="B7220" i="9"/>
  <c r="H7219" i="9"/>
  <c r="G7219" i="9"/>
  <c r="E7219" i="9"/>
  <c r="D7219" i="9"/>
  <c r="C7219" i="9"/>
  <c r="B7219" i="9"/>
  <c r="H7218" i="9"/>
  <c r="G7218" i="9"/>
  <c r="E7218" i="9"/>
  <c r="D7218" i="9"/>
  <c r="C7218" i="9"/>
  <c r="B7218" i="9"/>
  <c r="H7217" i="9"/>
  <c r="G7217" i="9"/>
  <c r="E7217" i="9"/>
  <c r="D7217" i="9"/>
  <c r="C7217" i="9"/>
  <c r="B7217" i="9"/>
  <c r="H7216" i="9"/>
  <c r="G7216" i="9"/>
  <c r="E7216" i="9"/>
  <c r="D7216" i="9"/>
  <c r="C7216" i="9"/>
  <c r="B7216" i="9"/>
  <c r="H7215" i="9"/>
  <c r="G7215" i="9"/>
  <c r="E7215" i="9"/>
  <c r="D7215" i="9"/>
  <c r="C7215" i="9"/>
  <c r="B7215" i="9"/>
  <c r="H7214" i="9"/>
  <c r="G7214" i="9"/>
  <c r="E7214" i="9"/>
  <c r="D7214" i="9"/>
  <c r="C7214" i="9"/>
  <c r="B7214" i="9"/>
  <c r="H7213" i="9"/>
  <c r="G7213" i="9"/>
  <c r="E7213" i="9"/>
  <c r="D7213" i="9"/>
  <c r="C7213" i="9"/>
  <c r="B7213" i="9"/>
  <c r="H7212" i="9"/>
  <c r="G7212" i="9"/>
  <c r="E7212" i="9"/>
  <c r="D7212" i="9"/>
  <c r="C7212" i="9"/>
  <c r="B7212" i="9"/>
  <c r="H7211" i="9"/>
  <c r="G7211" i="9"/>
  <c r="E7211" i="9"/>
  <c r="D7211" i="9"/>
  <c r="C7211" i="9"/>
  <c r="B7211" i="9"/>
  <c r="H7210" i="9"/>
  <c r="G7210" i="9"/>
  <c r="E7210" i="9"/>
  <c r="D7210" i="9"/>
  <c r="C7210" i="9"/>
  <c r="B7210" i="9"/>
  <c r="H7209" i="9"/>
  <c r="G7209" i="9"/>
  <c r="E7209" i="9"/>
  <c r="D7209" i="9"/>
  <c r="C7209" i="9"/>
  <c r="B7209" i="9"/>
  <c r="H7208" i="9"/>
  <c r="G7208" i="9"/>
  <c r="E7208" i="9"/>
  <c r="D7208" i="9"/>
  <c r="C7208" i="9"/>
  <c r="B7208" i="9"/>
  <c r="H7207" i="9"/>
  <c r="G7207" i="9"/>
  <c r="E7207" i="9"/>
  <c r="D7207" i="9"/>
  <c r="C7207" i="9"/>
  <c r="B7207" i="9"/>
  <c r="H7206" i="9"/>
  <c r="G7206" i="9"/>
  <c r="E7206" i="9"/>
  <c r="D7206" i="9"/>
  <c r="C7206" i="9"/>
  <c r="B7206" i="9"/>
  <c r="H7205" i="9"/>
  <c r="G7205" i="9"/>
  <c r="E7205" i="9"/>
  <c r="D7205" i="9"/>
  <c r="C7205" i="9"/>
  <c r="B7205" i="9"/>
  <c r="H7204" i="9"/>
  <c r="G7204" i="9"/>
  <c r="E7204" i="9"/>
  <c r="D7204" i="9"/>
  <c r="C7204" i="9"/>
  <c r="B7204" i="9"/>
  <c r="H7203" i="9"/>
  <c r="G7203" i="9"/>
  <c r="E7203" i="9"/>
  <c r="D7203" i="9"/>
  <c r="C7203" i="9"/>
  <c r="B7203" i="9"/>
  <c r="H7202" i="9"/>
  <c r="G7202" i="9"/>
  <c r="E7202" i="9"/>
  <c r="D7202" i="9"/>
  <c r="C7202" i="9"/>
  <c r="B7202" i="9"/>
  <c r="H7201" i="9"/>
  <c r="G7201" i="9"/>
  <c r="E7201" i="9"/>
  <c r="D7201" i="9"/>
  <c r="C7201" i="9"/>
  <c r="B7201" i="9"/>
  <c r="H7200" i="9"/>
  <c r="G7200" i="9"/>
  <c r="E7200" i="9"/>
  <c r="D7200" i="9"/>
  <c r="C7200" i="9"/>
  <c r="B7200" i="9"/>
  <c r="H7199" i="9"/>
  <c r="G7199" i="9"/>
  <c r="E7199" i="9"/>
  <c r="D7199" i="9"/>
  <c r="C7199" i="9"/>
  <c r="B7199" i="9"/>
  <c r="H7198" i="9"/>
  <c r="G7198" i="9"/>
  <c r="E7198" i="9"/>
  <c r="D7198" i="9"/>
  <c r="C7198" i="9"/>
  <c r="B7198" i="9"/>
  <c r="H7197" i="9"/>
  <c r="G7197" i="9"/>
  <c r="E7197" i="9"/>
  <c r="D7197" i="9"/>
  <c r="C7197" i="9"/>
  <c r="B7197" i="9"/>
  <c r="H7196" i="9"/>
  <c r="G7196" i="9"/>
  <c r="E7196" i="9"/>
  <c r="D7196" i="9"/>
  <c r="C7196" i="9"/>
  <c r="B7196" i="9"/>
  <c r="H7195" i="9"/>
  <c r="G7195" i="9"/>
  <c r="E7195" i="9"/>
  <c r="D7195" i="9"/>
  <c r="C7195" i="9"/>
  <c r="B7195" i="9"/>
  <c r="H7194" i="9"/>
  <c r="G7194" i="9"/>
  <c r="E7194" i="9"/>
  <c r="D7194" i="9"/>
  <c r="C7194" i="9"/>
  <c r="B7194" i="9"/>
  <c r="H7193" i="9"/>
  <c r="G7193" i="9"/>
  <c r="E7193" i="9"/>
  <c r="D7193" i="9"/>
  <c r="C7193" i="9"/>
  <c r="B7193" i="9"/>
  <c r="H7192" i="9"/>
  <c r="G7192" i="9"/>
  <c r="E7192" i="9"/>
  <c r="D7192" i="9"/>
  <c r="C7192" i="9"/>
  <c r="B7192" i="9"/>
  <c r="H7191" i="9"/>
  <c r="G7191" i="9"/>
  <c r="E7191" i="9"/>
  <c r="D7191" i="9"/>
  <c r="C7191" i="9"/>
  <c r="B7191" i="9"/>
  <c r="H7190" i="9"/>
  <c r="G7190" i="9"/>
  <c r="E7190" i="9"/>
  <c r="D7190" i="9"/>
  <c r="C7190" i="9"/>
  <c r="B7190" i="9"/>
  <c r="H7189" i="9"/>
  <c r="G7189" i="9"/>
  <c r="E7189" i="9"/>
  <c r="D7189" i="9"/>
  <c r="C7189" i="9"/>
  <c r="B7189" i="9"/>
  <c r="H7188" i="9"/>
  <c r="G7188" i="9"/>
  <c r="E7188" i="9"/>
  <c r="D7188" i="9"/>
  <c r="C7188" i="9"/>
  <c r="B7188" i="9"/>
  <c r="H7187" i="9"/>
  <c r="G7187" i="9"/>
  <c r="E7187" i="9"/>
  <c r="D7187" i="9"/>
  <c r="C7187" i="9"/>
  <c r="B7187" i="9"/>
  <c r="H7186" i="9"/>
  <c r="G7186" i="9"/>
  <c r="E7186" i="9"/>
  <c r="D7186" i="9"/>
  <c r="C7186" i="9"/>
  <c r="B7186" i="9"/>
  <c r="H7185" i="9"/>
  <c r="G7185" i="9"/>
  <c r="E7185" i="9"/>
  <c r="D7185" i="9"/>
  <c r="C7185" i="9"/>
  <c r="B7185" i="9"/>
  <c r="H7184" i="9"/>
  <c r="G7184" i="9"/>
  <c r="E7184" i="9"/>
  <c r="D7184" i="9"/>
  <c r="C7184" i="9"/>
  <c r="B7184" i="9"/>
  <c r="H7183" i="9"/>
  <c r="G7183" i="9"/>
  <c r="E7183" i="9"/>
  <c r="D7183" i="9"/>
  <c r="C7183" i="9"/>
  <c r="B7183" i="9"/>
  <c r="H7182" i="9"/>
  <c r="G7182" i="9"/>
  <c r="E7182" i="9"/>
  <c r="D7182" i="9"/>
  <c r="C7182" i="9"/>
  <c r="B7182" i="9"/>
  <c r="H7181" i="9"/>
  <c r="G7181" i="9"/>
  <c r="E7181" i="9"/>
  <c r="D7181" i="9"/>
  <c r="C7181" i="9"/>
  <c r="B7181" i="9"/>
  <c r="H7180" i="9"/>
  <c r="G7180" i="9"/>
  <c r="E7180" i="9"/>
  <c r="D7180" i="9"/>
  <c r="C7180" i="9"/>
  <c r="B7180" i="9"/>
  <c r="H7179" i="9"/>
  <c r="G7179" i="9"/>
  <c r="E7179" i="9"/>
  <c r="D7179" i="9"/>
  <c r="C7179" i="9"/>
  <c r="B7179" i="9"/>
  <c r="H7178" i="9"/>
  <c r="G7178" i="9"/>
  <c r="E7178" i="9"/>
  <c r="D7178" i="9"/>
  <c r="C7178" i="9"/>
  <c r="B7178" i="9"/>
  <c r="H7177" i="9"/>
  <c r="G7177" i="9"/>
  <c r="E7177" i="9"/>
  <c r="D7177" i="9"/>
  <c r="C7177" i="9"/>
  <c r="B7177" i="9"/>
  <c r="H7176" i="9"/>
  <c r="G7176" i="9"/>
  <c r="E7176" i="9"/>
  <c r="D7176" i="9"/>
  <c r="C7176" i="9"/>
  <c r="B7176" i="9"/>
  <c r="H7175" i="9"/>
  <c r="G7175" i="9"/>
  <c r="E7175" i="9"/>
  <c r="D7175" i="9"/>
  <c r="C7175" i="9"/>
  <c r="B7175" i="9"/>
  <c r="H7174" i="9"/>
  <c r="G7174" i="9"/>
  <c r="E7174" i="9"/>
  <c r="D7174" i="9"/>
  <c r="C7174" i="9"/>
  <c r="B7174" i="9"/>
  <c r="H7173" i="9"/>
  <c r="G7173" i="9"/>
  <c r="E7173" i="9"/>
  <c r="D7173" i="9"/>
  <c r="C7173" i="9"/>
  <c r="B7173" i="9"/>
  <c r="H7172" i="9"/>
  <c r="G7172" i="9"/>
  <c r="E7172" i="9"/>
  <c r="D7172" i="9"/>
  <c r="C7172" i="9"/>
  <c r="B7172" i="9"/>
  <c r="H7171" i="9"/>
  <c r="G7171" i="9"/>
  <c r="E7171" i="9"/>
  <c r="D7171" i="9"/>
  <c r="C7171" i="9"/>
  <c r="B7171" i="9"/>
  <c r="H7170" i="9"/>
  <c r="G7170" i="9"/>
  <c r="E7170" i="9"/>
  <c r="D7170" i="9"/>
  <c r="C7170" i="9"/>
  <c r="B7170" i="9"/>
  <c r="H7169" i="9"/>
  <c r="G7169" i="9"/>
  <c r="E7169" i="9"/>
  <c r="D7169" i="9"/>
  <c r="C7169" i="9"/>
  <c r="B7169" i="9"/>
  <c r="H7168" i="9"/>
  <c r="G7168" i="9"/>
  <c r="E7168" i="9"/>
  <c r="D7168" i="9"/>
  <c r="C7168" i="9"/>
  <c r="B7168" i="9"/>
  <c r="H7167" i="9"/>
  <c r="G7167" i="9"/>
  <c r="E7167" i="9"/>
  <c r="D7167" i="9"/>
  <c r="C7167" i="9"/>
  <c r="B7167" i="9"/>
  <c r="H7166" i="9"/>
  <c r="G7166" i="9"/>
  <c r="E7166" i="9"/>
  <c r="D7166" i="9"/>
  <c r="C7166" i="9"/>
  <c r="B7166" i="9"/>
  <c r="H7165" i="9"/>
  <c r="G7165" i="9"/>
  <c r="E7165" i="9"/>
  <c r="D7165" i="9"/>
  <c r="C7165" i="9"/>
  <c r="B7165" i="9"/>
  <c r="H7164" i="9"/>
  <c r="G7164" i="9"/>
  <c r="E7164" i="9"/>
  <c r="D7164" i="9"/>
  <c r="C7164" i="9"/>
  <c r="B7164" i="9"/>
  <c r="H7163" i="9"/>
  <c r="G7163" i="9"/>
  <c r="E7163" i="9"/>
  <c r="D7163" i="9"/>
  <c r="C7163" i="9"/>
  <c r="B7163" i="9"/>
  <c r="H7162" i="9"/>
  <c r="G7162" i="9"/>
  <c r="E7162" i="9"/>
  <c r="D7162" i="9"/>
  <c r="C7162" i="9"/>
  <c r="B7162" i="9"/>
  <c r="H7161" i="9"/>
  <c r="G7161" i="9"/>
  <c r="E7161" i="9"/>
  <c r="D7161" i="9"/>
  <c r="C7161" i="9"/>
  <c r="B7161" i="9"/>
  <c r="H7160" i="9"/>
  <c r="G7160" i="9"/>
  <c r="E7160" i="9"/>
  <c r="D7160" i="9"/>
  <c r="C7160" i="9"/>
  <c r="B7160" i="9"/>
  <c r="H7159" i="9"/>
  <c r="G7159" i="9"/>
  <c r="E7159" i="9"/>
  <c r="D7159" i="9"/>
  <c r="C7159" i="9"/>
  <c r="B7159" i="9"/>
  <c r="H7158" i="9"/>
  <c r="G7158" i="9"/>
  <c r="E7158" i="9"/>
  <c r="D7158" i="9"/>
  <c r="C7158" i="9"/>
  <c r="B7158" i="9"/>
  <c r="H7157" i="9"/>
  <c r="G7157" i="9"/>
  <c r="E7157" i="9"/>
  <c r="D7157" i="9"/>
  <c r="C7157" i="9"/>
  <c r="B7157" i="9"/>
  <c r="H7156" i="9"/>
  <c r="G7156" i="9"/>
  <c r="E7156" i="9"/>
  <c r="D7156" i="9"/>
  <c r="C7156" i="9"/>
  <c r="B7156" i="9"/>
  <c r="H7155" i="9"/>
  <c r="G7155" i="9"/>
  <c r="E7155" i="9"/>
  <c r="D7155" i="9"/>
  <c r="C7155" i="9"/>
  <c r="B7155" i="9"/>
  <c r="H7154" i="9"/>
  <c r="G7154" i="9"/>
  <c r="E7154" i="9"/>
  <c r="D7154" i="9"/>
  <c r="C7154" i="9"/>
  <c r="B7154" i="9"/>
  <c r="H7153" i="9"/>
  <c r="G7153" i="9"/>
  <c r="E7153" i="9"/>
  <c r="D7153" i="9"/>
  <c r="C7153" i="9"/>
  <c r="B7153" i="9"/>
  <c r="H7152" i="9"/>
  <c r="G7152" i="9"/>
  <c r="E7152" i="9"/>
  <c r="D7152" i="9"/>
  <c r="C7152" i="9"/>
  <c r="B7152" i="9"/>
  <c r="H7151" i="9"/>
  <c r="G7151" i="9"/>
  <c r="E7151" i="9"/>
  <c r="D7151" i="9"/>
  <c r="C7151" i="9"/>
  <c r="B7151" i="9"/>
  <c r="H7150" i="9"/>
  <c r="G7150" i="9"/>
  <c r="E7150" i="9"/>
  <c r="D7150" i="9"/>
  <c r="C7150" i="9"/>
  <c r="B7150" i="9"/>
  <c r="H7149" i="9"/>
  <c r="G7149" i="9"/>
  <c r="E7149" i="9"/>
  <c r="D7149" i="9"/>
  <c r="C7149" i="9"/>
  <c r="B7149" i="9"/>
  <c r="H7148" i="9"/>
  <c r="G7148" i="9"/>
  <c r="E7148" i="9"/>
  <c r="D7148" i="9"/>
  <c r="C7148" i="9"/>
  <c r="B7148" i="9"/>
  <c r="H7147" i="9"/>
  <c r="G7147" i="9"/>
  <c r="E7147" i="9"/>
  <c r="D7147" i="9"/>
  <c r="C7147" i="9"/>
  <c r="B7147" i="9"/>
  <c r="H7146" i="9"/>
  <c r="G7146" i="9"/>
  <c r="E7146" i="9"/>
  <c r="D7146" i="9"/>
  <c r="C7146" i="9"/>
  <c r="B7146" i="9"/>
  <c r="H7145" i="9"/>
  <c r="G7145" i="9"/>
  <c r="E7145" i="9"/>
  <c r="D7145" i="9"/>
  <c r="C7145" i="9"/>
  <c r="B7145" i="9"/>
  <c r="H7144" i="9"/>
  <c r="G7144" i="9"/>
  <c r="E7144" i="9"/>
  <c r="D7144" i="9"/>
  <c r="C7144" i="9"/>
  <c r="B7144" i="9"/>
  <c r="H7143" i="9"/>
  <c r="G7143" i="9"/>
  <c r="E7143" i="9"/>
  <c r="D7143" i="9"/>
  <c r="C7143" i="9"/>
  <c r="B7143" i="9"/>
  <c r="H7142" i="9"/>
  <c r="G7142" i="9"/>
  <c r="E7142" i="9"/>
  <c r="D7142" i="9"/>
  <c r="C7142" i="9"/>
  <c r="B7142" i="9"/>
  <c r="H7141" i="9"/>
  <c r="G7141" i="9"/>
  <c r="E7141" i="9"/>
  <c r="D7141" i="9"/>
  <c r="C7141" i="9"/>
  <c r="B7141" i="9"/>
  <c r="H7140" i="9"/>
  <c r="G7140" i="9"/>
  <c r="E7140" i="9"/>
  <c r="D7140" i="9"/>
  <c r="C7140" i="9"/>
  <c r="B7140" i="9"/>
  <c r="H7139" i="9"/>
  <c r="G7139" i="9"/>
  <c r="E7139" i="9"/>
  <c r="D7139" i="9"/>
  <c r="C7139" i="9"/>
  <c r="B7139" i="9"/>
  <c r="H7138" i="9"/>
  <c r="G7138" i="9"/>
  <c r="E7138" i="9"/>
  <c r="D7138" i="9"/>
  <c r="C7138" i="9"/>
  <c r="B7138" i="9"/>
  <c r="H7137" i="9"/>
  <c r="G7137" i="9"/>
  <c r="E7137" i="9"/>
  <c r="D7137" i="9"/>
  <c r="C7137" i="9"/>
  <c r="B7137" i="9"/>
  <c r="H7136" i="9"/>
  <c r="G7136" i="9"/>
  <c r="E7136" i="9"/>
  <c r="D7136" i="9"/>
  <c r="C7136" i="9"/>
  <c r="B7136" i="9"/>
  <c r="H7135" i="9"/>
  <c r="G7135" i="9"/>
  <c r="E7135" i="9"/>
  <c r="D7135" i="9"/>
  <c r="C7135" i="9"/>
  <c r="B7135" i="9"/>
  <c r="H7134" i="9"/>
  <c r="G7134" i="9"/>
  <c r="E7134" i="9"/>
  <c r="D7134" i="9"/>
  <c r="C7134" i="9"/>
  <c r="B7134" i="9"/>
  <c r="H7133" i="9"/>
  <c r="G7133" i="9"/>
  <c r="E7133" i="9"/>
  <c r="D7133" i="9"/>
  <c r="C7133" i="9"/>
  <c r="B7133" i="9"/>
  <c r="H7132" i="9"/>
  <c r="G7132" i="9"/>
  <c r="E7132" i="9"/>
  <c r="D7132" i="9"/>
  <c r="C7132" i="9"/>
  <c r="B7132" i="9"/>
  <c r="H7131" i="9"/>
  <c r="G7131" i="9"/>
  <c r="E7131" i="9"/>
  <c r="D7131" i="9"/>
  <c r="C7131" i="9"/>
  <c r="B7131" i="9"/>
  <c r="H7130" i="9"/>
  <c r="G7130" i="9"/>
  <c r="E7130" i="9"/>
  <c r="D7130" i="9"/>
  <c r="C7130" i="9"/>
  <c r="B7130" i="9"/>
  <c r="H7129" i="9"/>
  <c r="G7129" i="9"/>
  <c r="E7129" i="9"/>
  <c r="D7129" i="9"/>
  <c r="C7129" i="9"/>
  <c r="B7129" i="9"/>
  <c r="H7128" i="9"/>
  <c r="G7128" i="9"/>
  <c r="E7128" i="9"/>
  <c r="D7128" i="9"/>
  <c r="C7128" i="9"/>
  <c r="B7128" i="9"/>
  <c r="H7127" i="9"/>
  <c r="G7127" i="9"/>
  <c r="E7127" i="9"/>
  <c r="D7127" i="9"/>
  <c r="C7127" i="9"/>
  <c r="B7127" i="9"/>
  <c r="H7126" i="9"/>
  <c r="G7126" i="9"/>
  <c r="E7126" i="9"/>
  <c r="D7126" i="9"/>
  <c r="C7126" i="9"/>
  <c r="B7126" i="9"/>
  <c r="H7125" i="9"/>
  <c r="G7125" i="9"/>
  <c r="E7125" i="9"/>
  <c r="D7125" i="9"/>
  <c r="C7125" i="9"/>
  <c r="B7125" i="9"/>
  <c r="H7124" i="9"/>
  <c r="G7124" i="9"/>
  <c r="E7124" i="9"/>
  <c r="D7124" i="9"/>
  <c r="C7124" i="9"/>
  <c r="B7124" i="9"/>
  <c r="H7123" i="9"/>
  <c r="G7123" i="9"/>
  <c r="E7123" i="9"/>
  <c r="D7123" i="9"/>
  <c r="C7123" i="9"/>
  <c r="B7123" i="9"/>
  <c r="H7122" i="9"/>
  <c r="G7122" i="9"/>
  <c r="E7122" i="9"/>
  <c r="D7122" i="9"/>
  <c r="C7122" i="9"/>
  <c r="B7122" i="9"/>
  <c r="H7121" i="9"/>
  <c r="G7121" i="9"/>
  <c r="E7121" i="9"/>
  <c r="D7121" i="9"/>
  <c r="C7121" i="9"/>
  <c r="B7121" i="9"/>
  <c r="H7120" i="9"/>
  <c r="G7120" i="9"/>
  <c r="E7120" i="9"/>
  <c r="D7120" i="9"/>
  <c r="C7120" i="9"/>
  <c r="B7120" i="9"/>
  <c r="H7119" i="9"/>
  <c r="G7119" i="9"/>
  <c r="E7119" i="9"/>
  <c r="D7119" i="9"/>
  <c r="C7119" i="9"/>
  <c r="B7119" i="9"/>
  <c r="H7118" i="9"/>
  <c r="G7118" i="9"/>
  <c r="E7118" i="9"/>
  <c r="D7118" i="9"/>
  <c r="C7118" i="9"/>
  <c r="B7118" i="9"/>
  <c r="H7117" i="9"/>
  <c r="G7117" i="9"/>
  <c r="E7117" i="9"/>
  <c r="D7117" i="9"/>
  <c r="C7117" i="9"/>
  <c r="B7117" i="9"/>
  <c r="H7116" i="9"/>
  <c r="G7116" i="9"/>
  <c r="E7116" i="9"/>
  <c r="D7116" i="9"/>
  <c r="C7116" i="9"/>
  <c r="B7116" i="9"/>
  <c r="H7115" i="9"/>
  <c r="G7115" i="9"/>
  <c r="E7115" i="9"/>
  <c r="D7115" i="9"/>
  <c r="C7115" i="9"/>
  <c r="B7115" i="9"/>
  <c r="H7114" i="9"/>
  <c r="G7114" i="9"/>
  <c r="E7114" i="9"/>
  <c r="D7114" i="9"/>
  <c r="C7114" i="9"/>
  <c r="B7114" i="9"/>
  <c r="H7113" i="9"/>
  <c r="G7113" i="9"/>
  <c r="E7113" i="9"/>
  <c r="D7113" i="9"/>
  <c r="C7113" i="9"/>
  <c r="B7113" i="9"/>
  <c r="H7112" i="9"/>
  <c r="G7112" i="9"/>
  <c r="E7112" i="9"/>
  <c r="D7112" i="9"/>
  <c r="C7112" i="9"/>
  <c r="B7112" i="9"/>
  <c r="H7111" i="9"/>
  <c r="G7111" i="9"/>
  <c r="E7111" i="9"/>
  <c r="D7111" i="9"/>
  <c r="C7111" i="9"/>
  <c r="B7111" i="9"/>
  <c r="H7110" i="9"/>
  <c r="G7110" i="9"/>
  <c r="E7110" i="9"/>
  <c r="D7110" i="9"/>
  <c r="C7110" i="9"/>
  <c r="B7110" i="9"/>
  <c r="H7109" i="9"/>
  <c r="G7109" i="9"/>
  <c r="E7109" i="9"/>
  <c r="D7109" i="9"/>
  <c r="C7109" i="9"/>
  <c r="B7109" i="9"/>
  <c r="H7108" i="9"/>
  <c r="G7108" i="9"/>
  <c r="E7108" i="9"/>
  <c r="D7108" i="9"/>
  <c r="C7108" i="9"/>
  <c r="B7108" i="9"/>
  <c r="H7107" i="9"/>
  <c r="G7107" i="9"/>
  <c r="E7107" i="9"/>
  <c r="D7107" i="9"/>
  <c r="C7107" i="9"/>
  <c r="B7107" i="9"/>
  <c r="H7106" i="9"/>
  <c r="G7106" i="9"/>
  <c r="E7106" i="9"/>
  <c r="D7106" i="9"/>
  <c r="C7106" i="9"/>
  <c r="B7106" i="9"/>
  <c r="H7105" i="9"/>
  <c r="G7105" i="9"/>
  <c r="E7105" i="9"/>
  <c r="D7105" i="9"/>
  <c r="C7105" i="9"/>
  <c r="B7105" i="9"/>
  <c r="H7104" i="9"/>
  <c r="G7104" i="9"/>
  <c r="E7104" i="9"/>
  <c r="D7104" i="9"/>
  <c r="C7104" i="9"/>
  <c r="B7104" i="9"/>
  <c r="H7103" i="9"/>
  <c r="G7103" i="9"/>
  <c r="E7103" i="9"/>
  <c r="D7103" i="9"/>
  <c r="C7103" i="9"/>
  <c r="B7103" i="9"/>
  <c r="H7102" i="9"/>
  <c r="G7102" i="9"/>
  <c r="E7102" i="9"/>
  <c r="D7102" i="9"/>
  <c r="C7102" i="9"/>
  <c r="B7102" i="9"/>
  <c r="H7101" i="9"/>
  <c r="G7101" i="9"/>
  <c r="E7101" i="9"/>
  <c r="D7101" i="9"/>
  <c r="C7101" i="9"/>
  <c r="B7101" i="9"/>
  <c r="H7100" i="9"/>
  <c r="G7100" i="9"/>
  <c r="E7100" i="9"/>
  <c r="D7100" i="9"/>
  <c r="C7100" i="9"/>
  <c r="B7100" i="9"/>
  <c r="H7099" i="9"/>
  <c r="G7099" i="9"/>
  <c r="E7099" i="9"/>
  <c r="D7099" i="9"/>
  <c r="C7099" i="9"/>
  <c r="B7099" i="9"/>
  <c r="H7098" i="9"/>
  <c r="G7098" i="9"/>
  <c r="E7098" i="9"/>
  <c r="D7098" i="9"/>
  <c r="C7098" i="9"/>
  <c r="B7098" i="9"/>
  <c r="H7097" i="9"/>
  <c r="G7097" i="9"/>
  <c r="E7097" i="9"/>
  <c r="D7097" i="9"/>
  <c r="C7097" i="9"/>
  <c r="B7097" i="9"/>
  <c r="H7096" i="9"/>
  <c r="G7096" i="9"/>
  <c r="E7096" i="9"/>
  <c r="D7096" i="9"/>
  <c r="C7096" i="9"/>
  <c r="B7096" i="9"/>
  <c r="H7095" i="9"/>
  <c r="G7095" i="9"/>
  <c r="E7095" i="9"/>
  <c r="D7095" i="9"/>
  <c r="C7095" i="9"/>
  <c r="B7095" i="9"/>
  <c r="H7094" i="9"/>
  <c r="G7094" i="9"/>
  <c r="E7094" i="9"/>
  <c r="D7094" i="9"/>
  <c r="C7094" i="9"/>
  <c r="B7094" i="9"/>
  <c r="H7093" i="9"/>
  <c r="G7093" i="9"/>
  <c r="E7093" i="9"/>
  <c r="D7093" i="9"/>
  <c r="C7093" i="9"/>
  <c r="B7093" i="9"/>
  <c r="H7092" i="9"/>
  <c r="G7092" i="9"/>
  <c r="E7092" i="9"/>
  <c r="D7092" i="9"/>
  <c r="C7092" i="9"/>
  <c r="B7092" i="9"/>
  <c r="H7091" i="9"/>
  <c r="G7091" i="9"/>
  <c r="E7091" i="9"/>
  <c r="D7091" i="9"/>
  <c r="C7091" i="9"/>
  <c r="B7091" i="9"/>
  <c r="H7090" i="9"/>
  <c r="G7090" i="9"/>
  <c r="E7090" i="9"/>
  <c r="D7090" i="9"/>
  <c r="C7090" i="9"/>
  <c r="B7090" i="9"/>
  <c r="H7089" i="9"/>
  <c r="G7089" i="9"/>
  <c r="E7089" i="9"/>
  <c r="D7089" i="9"/>
  <c r="C7089" i="9"/>
  <c r="B7089" i="9"/>
  <c r="H7088" i="9"/>
  <c r="G7088" i="9"/>
  <c r="E7088" i="9"/>
  <c r="D7088" i="9"/>
  <c r="C7088" i="9"/>
  <c r="B7088" i="9"/>
  <c r="H7087" i="9"/>
  <c r="G7087" i="9"/>
  <c r="E7087" i="9"/>
  <c r="D7087" i="9"/>
  <c r="C7087" i="9"/>
  <c r="B7087" i="9"/>
  <c r="H7086" i="9"/>
  <c r="G7086" i="9"/>
  <c r="E7086" i="9"/>
  <c r="D7086" i="9"/>
  <c r="C7086" i="9"/>
  <c r="B7086" i="9"/>
  <c r="H7085" i="9"/>
  <c r="G7085" i="9"/>
  <c r="E7085" i="9"/>
  <c r="D7085" i="9"/>
  <c r="C7085" i="9"/>
  <c r="B7085" i="9"/>
  <c r="H7084" i="9"/>
  <c r="G7084" i="9"/>
  <c r="E7084" i="9"/>
  <c r="D7084" i="9"/>
  <c r="C7084" i="9"/>
  <c r="B7084" i="9"/>
  <c r="H7083" i="9"/>
  <c r="G7083" i="9"/>
  <c r="E7083" i="9"/>
  <c r="D7083" i="9"/>
  <c r="C7083" i="9"/>
  <c r="B7083" i="9"/>
  <c r="H7082" i="9"/>
  <c r="G7082" i="9"/>
  <c r="E7082" i="9"/>
  <c r="D7082" i="9"/>
  <c r="C7082" i="9"/>
  <c r="B7082" i="9"/>
  <c r="H7081" i="9"/>
  <c r="G7081" i="9"/>
  <c r="E7081" i="9"/>
  <c r="D7081" i="9"/>
  <c r="C7081" i="9"/>
  <c r="B7081" i="9"/>
  <c r="H7080" i="9"/>
  <c r="G7080" i="9"/>
  <c r="E7080" i="9"/>
  <c r="D7080" i="9"/>
  <c r="C7080" i="9"/>
  <c r="B7080" i="9"/>
  <c r="H7079" i="9"/>
  <c r="G7079" i="9"/>
  <c r="E7079" i="9"/>
  <c r="D7079" i="9"/>
  <c r="C7079" i="9"/>
  <c r="B7079" i="9"/>
  <c r="H7078" i="9"/>
  <c r="G7078" i="9"/>
  <c r="E7078" i="9"/>
  <c r="D7078" i="9"/>
  <c r="C7078" i="9"/>
  <c r="B7078" i="9"/>
  <c r="H7077" i="9"/>
  <c r="G7077" i="9"/>
  <c r="E7077" i="9"/>
  <c r="D7077" i="9"/>
  <c r="C7077" i="9"/>
  <c r="B7077" i="9"/>
  <c r="H7076" i="9"/>
  <c r="G7076" i="9"/>
  <c r="E7076" i="9"/>
  <c r="D7076" i="9"/>
  <c r="C7076" i="9"/>
  <c r="B7076" i="9"/>
  <c r="H7075" i="9"/>
  <c r="G7075" i="9"/>
  <c r="E7075" i="9"/>
  <c r="D7075" i="9"/>
  <c r="C7075" i="9"/>
  <c r="B7075" i="9"/>
  <c r="H7074" i="9"/>
  <c r="G7074" i="9"/>
  <c r="E7074" i="9"/>
  <c r="D7074" i="9"/>
  <c r="C7074" i="9"/>
  <c r="B7074" i="9"/>
  <c r="H7073" i="9"/>
  <c r="G7073" i="9"/>
  <c r="E7073" i="9"/>
  <c r="D7073" i="9"/>
  <c r="C7073" i="9"/>
  <c r="B7073" i="9"/>
  <c r="H7072" i="9"/>
  <c r="G7072" i="9"/>
  <c r="E7072" i="9"/>
  <c r="D7072" i="9"/>
  <c r="C7072" i="9"/>
  <c r="B7072" i="9"/>
  <c r="H7071" i="9"/>
  <c r="G7071" i="9"/>
  <c r="E7071" i="9"/>
  <c r="D7071" i="9"/>
  <c r="C7071" i="9"/>
  <c r="B7071" i="9"/>
  <c r="H7070" i="9"/>
  <c r="G7070" i="9"/>
  <c r="E7070" i="9"/>
  <c r="D7070" i="9"/>
  <c r="C7070" i="9"/>
  <c r="B7070" i="9"/>
  <c r="H7069" i="9"/>
  <c r="G7069" i="9"/>
  <c r="E7069" i="9"/>
  <c r="D7069" i="9"/>
  <c r="C7069" i="9"/>
  <c r="B7069" i="9"/>
  <c r="H7068" i="9"/>
  <c r="G7068" i="9"/>
  <c r="E7068" i="9"/>
  <c r="D7068" i="9"/>
  <c r="C7068" i="9"/>
  <c r="B7068" i="9"/>
  <c r="H7067" i="9"/>
  <c r="G7067" i="9"/>
  <c r="E7067" i="9"/>
  <c r="D7067" i="9"/>
  <c r="C7067" i="9"/>
  <c r="B7067" i="9"/>
  <c r="H7066" i="9"/>
  <c r="G7066" i="9"/>
  <c r="E7066" i="9"/>
  <c r="D7066" i="9"/>
  <c r="C7066" i="9"/>
  <c r="B7066" i="9"/>
  <c r="H7065" i="9"/>
  <c r="G7065" i="9"/>
  <c r="E7065" i="9"/>
  <c r="D7065" i="9"/>
  <c r="C7065" i="9"/>
  <c r="B7065" i="9"/>
  <c r="H7064" i="9"/>
  <c r="G7064" i="9"/>
  <c r="E7064" i="9"/>
  <c r="D7064" i="9"/>
  <c r="C7064" i="9"/>
  <c r="B7064" i="9"/>
  <c r="H7063" i="9"/>
  <c r="G7063" i="9"/>
  <c r="E7063" i="9"/>
  <c r="D7063" i="9"/>
  <c r="C7063" i="9"/>
  <c r="B7063" i="9"/>
  <c r="H7062" i="9"/>
  <c r="G7062" i="9"/>
  <c r="E7062" i="9"/>
  <c r="D7062" i="9"/>
  <c r="C7062" i="9"/>
  <c r="B7062" i="9"/>
  <c r="H7061" i="9"/>
  <c r="G7061" i="9"/>
  <c r="E7061" i="9"/>
  <c r="D7061" i="9"/>
  <c r="C7061" i="9"/>
  <c r="B7061" i="9"/>
  <c r="H7060" i="9"/>
  <c r="G7060" i="9"/>
  <c r="E7060" i="9"/>
  <c r="D7060" i="9"/>
  <c r="C7060" i="9"/>
  <c r="B7060" i="9"/>
  <c r="H7059" i="9"/>
  <c r="G7059" i="9"/>
  <c r="E7059" i="9"/>
  <c r="D7059" i="9"/>
  <c r="C7059" i="9"/>
  <c r="B7059" i="9"/>
  <c r="H7058" i="9"/>
  <c r="G7058" i="9"/>
  <c r="E7058" i="9"/>
  <c r="D7058" i="9"/>
  <c r="C7058" i="9"/>
  <c r="B7058" i="9"/>
  <c r="H7057" i="9"/>
  <c r="G7057" i="9"/>
  <c r="E7057" i="9"/>
  <c r="D7057" i="9"/>
  <c r="C7057" i="9"/>
  <c r="B7057" i="9"/>
  <c r="H7056" i="9"/>
  <c r="G7056" i="9"/>
  <c r="E7056" i="9"/>
  <c r="D7056" i="9"/>
  <c r="C7056" i="9"/>
  <c r="B7056" i="9"/>
  <c r="H7055" i="9"/>
  <c r="G7055" i="9"/>
  <c r="E7055" i="9"/>
  <c r="D7055" i="9"/>
  <c r="C7055" i="9"/>
  <c r="B7055" i="9"/>
  <c r="H7054" i="9"/>
  <c r="G7054" i="9"/>
  <c r="E7054" i="9"/>
  <c r="D7054" i="9"/>
  <c r="C7054" i="9"/>
  <c r="B7054" i="9"/>
  <c r="H7053" i="9"/>
  <c r="G7053" i="9"/>
  <c r="E7053" i="9"/>
  <c r="D7053" i="9"/>
  <c r="C7053" i="9"/>
  <c r="B7053" i="9"/>
  <c r="H7052" i="9"/>
  <c r="G7052" i="9"/>
  <c r="E7052" i="9"/>
  <c r="D7052" i="9"/>
  <c r="C7052" i="9"/>
  <c r="B7052" i="9"/>
  <c r="H7051" i="9"/>
  <c r="G7051" i="9"/>
  <c r="E7051" i="9"/>
  <c r="D7051" i="9"/>
  <c r="C7051" i="9"/>
  <c r="B7051" i="9"/>
  <c r="H7050" i="9"/>
  <c r="G7050" i="9"/>
  <c r="E7050" i="9"/>
  <c r="D7050" i="9"/>
  <c r="C7050" i="9"/>
  <c r="B7050" i="9"/>
  <c r="H7049" i="9"/>
  <c r="G7049" i="9"/>
  <c r="E7049" i="9"/>
  <c r="D7049" i="9"/>
  <c r="C7049" i="9"/>
  <c r="B7049" i="9"/>
  <c r="H7048" i="9"/>
  <c r="G7048" i="9"/>
  <c r="E7048" i="9"/>
  <c r="D7048" i="9"/>
  <c r="C7048" i="9"/>
  <c r="B7048" i="9"/>
  <c r="H7047" i="9"/>
  <c r="G7047" i="9"/>
  <c r="E7047" i="9"/>
  <c r="D7047" i="9"/>
  <c r="C7047" i="9"/>
  <c r="B7047" i="9"/>
  <c r="H7046" i="9"/>
  <c r="G7046" i="9"/>
  <c r="E7046" i="9"/>
  <c r="D7046" i="9"/>
  <c r="C7046" i="9"/>
  <c r="B7046" i="9"/>
  <c r="H7045" i="9"/>
  <c r="G7045" i="9"/>
  <c r="E7045" i="9"/>
  <c r="D7045" i="9"/>
  <c r="C7045" i="9"/>
  <c r="B7045" i="9"/>
  <c r="H7044" i="9"/>
  <c r="G7044" i="9"/>
  <c r="E7044" i="9"/>
  <c r="D7044" i="9"/>
  <c r="C7044" i="9"/>
  <c r="B7044" i="9"/>
  <c r="H7043" i="9"/>
  <c r="G7043" i="9"/>
  <c r="E7043" i="9"/>
  <c r="D7043" i="9"/>
  <c r="C7043" i="9"/>
  <c r="B7043" i="9"/>
  <c r="H7042" i="9"/>
  <c r="G7042" i="9"/>
  <c r="E7042" i="9"/>
  <c r="D7042" i="9"/>
  <c r="C7042" i="9"/>
  <c r="B7042" i="9"/>
  <c r="H7041" i="9"/>
  <c r="G7041" i="9"/>
  <c r="E7041" i="9"/>
  <c r="D7041" i="9"/>
  <c r="C7041" i="9"/>
  <c r="B7041" i="9"/>
  <c r="H7040" i="9"/>
  <c r="G7040" i="9"/>
  <c r="E7040" i="9"/>
  <c r="D7040" i="9"/>
  <c r="C7040" i="9"/>
  <c r="B7040" i="9"/>
  <c r="H7039" i="9"/>
  <c r="G7039" i="9"/>
  <c r="E7039" i="9"/>
  <c r="D7039" i="9"/>
  <c r="C7039" i="9"/>
  <c r="B7039" i="9"/>
  <c r="H7038" i="9"/>
  <c r="G7038" i="9"/>
  <c r="E7038" i="9"/>
  <c r="D7038" i="9"/>
  <c r="C7038" i="9"/>
  <c r="B7038" i="9"/>
  <c r="H7037" i="9"/>
  <c r="G7037" i="9"/>
  <c r="E7037" i="9"/>
  <c r="D7037" i="9"/>
  <c r="C7037" i="9"/>
  <c r="B7037" i="9"/>
  <c r="H7036" i="9"/>
  <c r="G7036" i="9"/>
  <c r="E7036" i="9"/>
  <c r="D7036" i="9"/>
  <c r="C7036" i="9"/>
  <c r="B7036" i="9"/>
  <c r="H7035" i="9"/>
  <c r="G7035" i="9"/>
  <c r="E7035" i="9"/>
  <c r="D7035" i="9"/>
  <c r="C7035" i="9"/>
  <c r="B7035" i="9"/>
  <c r="H7034" i="9"/>
  <c r="G7034" i="9"/>
  <c r="E7034" i="9"/>
  <c r="D7034" i="9"/>
  <c r="C7034" i="9"/>
  <c r="B7034" i="9"/>
  <c r="H7033" i="9"/>
  <c r="G7033" i="9"/>
  <c r="E7033" i="9"/>
  <c r="D7033" i="9"/>
  <c r="C7033" i="9"/>
  <c r="B7033" i="9"/>
  <c r="H7032" i="9"/>
  <c r="G7032" i="9"/>
  <c r="E7032" i="9"/>
  <c r="D7032" i="9"/>
  <c r="C7032" i="9"/>
  <c r="B7032" i="9"/>
  <c r="H7031" i="9"/>
  <c r="G7031" i="9"/>
  <c r="E7031" i="9"/>
  <c r="D7031" i="9"/>
  <c r="C7031" i="9"/>
  <c r="B7031" i="9"/>
  <c r="H7030" i="9"/>
  <c r="G7030" i="9"/>
  <c r="E7030" i="9"/>
  <c r="D7030" i="9"/>
  <c r="C7030" i="9"/>
  <c r="B7030" i="9"/>
  <c r="H7029" i="9"/>
  <c r="G7029" i="9"/>
  <c r="E7029" i="9"/>
  <c r="D7029" i="9"/>
  <c r="C7029" i="9"/>
  <c r="B7029" i="9"/>
  <c r="H7028" i="9"/>
  <c r="G7028" i="9"/>
  <c r="E7028" i="9"/>
  <c r="D7028" i="9"/>
  <c r="C7028" i="9"/>
  <c r="B7028" i="9"/>
  <c r="H7027" i="9"/>
  <c r="G7027" i="9"/>
  <c r="E7027" i="9"/>
  <c r="D7027" i="9"/>
  <c r="C7027" i="9"/>
  <c r="B7027" i="9"/>
  <c r="H7026" i="9"/>
  <c r="G7026" i="9"/>
  <c r="E7026" i="9"/>
  <c r="D7026" i="9"/>
  <c r="C7026" i="9"/>
  <c r="B7026" i="9"/>
  <c r="H7025" i="9"/>
  <c r="G7025" i="9"/>
  <c r="E7025" i="9"/>
  <c r="D7025" i="9"/>
  <c r="C7025" i="9"/>
  <c r="B7025" i="9"/>
  <c r="H7024" i="9"/>
  <c r="G7024" i="9"/>
  <c r="E7024" i="9"/>
  <c r="D7024" i="9"/>
  <c r="C7024" i="9"/>
  <c r="B7024" i="9"/>
  <c r="H7023" i="9"/>
  <c r="G7023" i="9"/>
  <c r="E7023" i="9"/>
  <c r="D7023" i="9"/>
  <c r="C7023" i="9"/>
  <c r="B7023" i="9"/>
  <c r="H7022" i="9"/>
  <c r="G7022" i="9"/>
  <c r="E7022" i="9"/>
  <c r="D7022" i="9"/>
  <c r="C7022" i="9"/>
  <c r="B7022" i="9"/>
  <c r="H7021" i="9"/>
  <c r="G7021" i="9"/>
  <c r="E7021" i="9"/>
  <c r="D7021" i="9"/>
  <c r="C7021" i="9"/>
  <c r="B7021" i="9"/>
  <c r="H7020" i="9"/>
  <c r="G7020" i="9"/>
  <c r="E7020" i="9"/>
  <c r="D7020" i="9"/>
  <c r="C7020" i="9"/>
  <c r="B7020" i="9"/>
  <c r="H7019" i="9"/>
  <c r="G7019" i="9"/>
  <c r="E7019" i="9"/>
  <c r="D7019" i="9"/>
  <c r="C7019" i="9"/>
  <c r="B7019" i="9"/>
  <c r="H7018" i="9"/>
  <c r="G7018" i="9"/>
  <c r="E7018" i="9"/>
  <c r="D7018" i="9"/>
  <c r="C7018" i="9"/>
  <c r="B7018" i="9"/>
  <c r="H7017" i="9"/>
  <c r="G7017" i="9"/>
  <c r="E7017" i="9"/>
  <c r="D7017" i="9"/>
  <c r="C7017" i="9"/>
  <c r="B7017" i="9"/>
  <c r="H7016" i="9"/>
  <c r="G7016" i="9"/>
  <c r="E7016" i="9"/>
  <c r="D7016" i="9"/>
  <c r="C7016" i="9"/>
  <c r="B7016" i="9"/>
  <c r="H7015" i="9"/>
  <c r="G7015" i="9"/>
  <c r="E7015" i="9"/>
  <c r="D7015" i="9"/>
  <c r="C7015" i="9"/>
  <c r="B7015" i="9"/>
  <c r="H7014" i="9"/>
  <c r="G7014" i="9"/>
  <c r="E7014" i="9"/>
  <c r="D7014" i="9"/>
  <c r="C7014" i="9"/>
  <c r="B7014" i="9"/>
  <c r="H7013" i="9"/>
  <c r="G7013" i="9"/>
  <c r="E7013" i="9"/>
  <c r="D7013" i="9"/>
  <c r="C7013" i="9"/>
  <c r="B7013" i="9"/>
  <c r="H7012" i="9"/>
  <c r="G7012" i="9"/>
  <c r="E7012" i="9"/>
  <c r="D7012" i="9"/>
  <c r="C7012" i="9"/>
  <c r="B7012" i="9"/>
  <c r="H7011" i="9"/>
  <c r="G7011" i="9"/>
  <c r="E7011" i="9"/>
  <c r="D7011" i="9"/>
  <c r="C7011" i="9"/>
  <c r="B7011" i="9"/>
  <c r="H7010" i="9"/>
  <c r="G7010" i="9"/>
  <c r="E7010" i="9"/>
  <c r="D7010" i="9"/>
  <c r="C7010" i="9"/>
  <c r="B7010" i="9"/>
  <c r="H7009" i="9"/>
  <c r="G7009" i="9"/>
  <c r="E7009" i="9"/>
  <c r="D7009" i="9"/>
  <c r="C7009" i="9"/>
  <c r="B7009" i="9"/>
  <c r="H7008" i="9"/>
  <c r="G7008" i="9"/>
  <c r="E7008" i="9"/>
  <c r="D7008" i="9"/>
  <c r="C7008" i="9"/>
  <c r="B7008" i="9"/>
  <c r="H7007" i="9"/>
  <c r="G7007" i="9"/>
  <c r="E7007" i="9"/>
  <c r="D7007" i="9"/>
  <c r="C7007" i="9"/>
  <c r="B7007" i="9"/>
  <c r="H7006" i="9"/>
  <c r="G7006" i="9"/>
  <c r="E7006" i="9"/>
  <c r="D7006" i="9"/>
  <c r="C7006" i="9"/>
  <c r="B7006" i="9"/>
  <c r="H7005" i="9"/>
  <c r="G7005" i="9"/>
  <c r="E7005" i="9"/>
  <c r="D7005" i="9"/>
  <c r="C7005" i="9"/>
  <c r="B7005" i="9"/>
  <c r="H7004" i="9"/>
  <c r="G7004" i="9"/>
  <c r="E7004" i="9"/>
  <c r="D7004" i="9"/>
  <c r="C7004" i="9"/>
  <c r="B7004" i="9"/>
  <c r="H7003" i="9"/>
  <c r="G7003" i="9"/>
  <c r="E7003" i="9"/>
  <c r="D7003" i="9"/>
  <c r="C7003" i="9"/>
  <c r="B7003" i="9"/>
  <c r="H7002" i="9"/>
  <c r="G7002" i="9"/>
  <c r="E7002" i="9"/>
  <c r="D7002" i="9"/>
  <c r="C7002" i="9"/>
  <c r="B7002" i="9"/>
  <c r="H7001" i="9"/>
  <c r="G7001" i="9"/>
  <c r="E7001" i="9"/>
  <c r="D7001" i="9"/>
  <c r="C7001" i="9"/>
  <c r="B7001" i="9"/>
  <c r="H7000" i="9"/>
  <c r="G7000" i="9"/>
  <c r="E7000" i="9"/>
  <c r="D7000" i="9"/>
  <c r="C7000" i="9"/>
  <c r="B7000" i="9"/>
  <c r="H6999" i="9"/>
  <c r="G6999" i="9"/>
  <c r="E6999" i="9"/>
  <c r="D6999" i="9"/>
  <c r="C6999" i="9"/>
  <c r="B6999" i="9"/>
  <c r="H6998" i="9"/>
  <c r="G6998" i="9"/>
  <c r="E6998" i="9"/>
  <c r="D6998" i="9"/>
  <c r="C6998" i="9"/>
  <c r="B6998" i="9"/>
  <c r="H6997" i="9"/>
  <c r="G6997" i="9"/>
  <c r="E6997" i="9"/>
  <c r="D6997" i="9"/>
  <c r="C6997" i="9"/>
  <c r="B6997" i="9"/>
  <c r="H6996" i="9"/>
  <c r="G6996" i="9"/>
  <c r="E6996" i="9"/>
  <c r="D6996" i="9"/>
  <c r="C6996" i="9"/>
  <c r="B6996" i="9"/>
  <c r="H6995" i="9"/>
  <c r="G6995" i="9"/>
  <c r="E6995" i="9"/>
  <c r="D6995" i="9"/>
  <c r="C6995" i="9"/>
  <c r="B6995" i="9"/>
  <c r="H6994" i="9"/>
  <c r="G6994" i="9"/>
  <c r="E6994" i="9"/>
  <c r="D6994" i="9"/>
  <c r="C6994" i="9"/>
  <c r="B6994" i="9"/>
  <c r="H6993" i="9"/>
  <c r="G6993" i="9"/>
  <c r="E6993" i="9"/>
  <c r="D6993" i="9"/>
  <c r="C6993" i="9"/>
  <c r="B6993" i="9"/>
  <c r="H6992" i="9"/>
  <c r="G6992" i="9"/>
  <c r="E6992" i="9"/>
  <c r="D6992" i="9"/>
  <c r="C6992" i="9"/>
  <c r="B6992" i="9"/>
  <c r="H6991" i="9"/>
  <c r="G6991" i="9"/>
  <c r="E6991" i="9"/>
  <c r="D6991" i="9"/>
  <c r="C6991" i="9"/>
  <c r="B6991" i="9"/>
  <c r="H6990" i="9"/>
  <c r="G6990" i="9"/>
  <c r="E6990" i="9"/>
  <c r="D6990" i="9"/>
  <c r="C6990" i="9"/>
  <c r="B6990" i="9"/>
  <c r="H6989" i="9"/>
  <c r="G6989" i="9"/>
  <c r="E6989" i="9"/>
  <c r="D6989" i="9"/>
  <c r="C6989" i="9"/>
  <c r="B6989" i="9"/>
  <c r="H6988" i="9"/>
  <c r="G6988" i="9"/>
  <c r="E6988" i="9"/>
  <c r="D6988" i="9"/>
  <c r="C6988" i="9"/>
  <c r="B6988" i="9"/>
  <c r="H6987" i="9"/>
  <c r="G6987" i="9"/>
  <c r="E6987" i="9"/>
  <c r="D6987" i="9"/>
  <c r="C6987" i="9"/>
  <c r="B6987" i="9"/>
  <c r="H6986" i="9"/>
  <c r="G6986" i="9"/>
  <c r="E6986" i="9"/>
  <c r="D6986" i="9"/>
  <c r="C6986" i="9"/>
  <c r="B6986" i="9"/>
  <c r="H6985" i="9"/>
  <c r="G6985" i="9"/>
  <c r="E6985" i="9"/>
  <c r="D6985" i="9"/>
  <c r="C6985" i="9"/>
  <c r="B6985" i="9"/>
  <c r="H6984" i="9"/>
  <c r="G6984" i="9"/>
  <c r="E6984" i="9"/>
  <c r="D6984" i="9"/>
  <c r="C6984" i="9"/>
  <c r="B6984" i="9"/>
  <c r="H6983" i="9"/>
  <c r="G6983" i="9"/>
  <c r="E6983" i="9"/>
  <c r="D6983" i="9"/>
  <c r="C6983" i="9"/>
  <c r="B6983" i="9"/>
  <c r="H6982" i="9"/>
  <c r="G6982" i="9"/>
  <c r="E6982" i="9"/>
  <c r="D6982" i="9"/>
  <c r="C6982" i="9"/>
  <c r="B6982" i="9"/>
  <c r="H6981" i="9"/>
  <c r="G6981" i="9"/>
  <c r="E6981" i="9"/>
  <c r="D6981" i="9"/>
  <c r="C6981" i="9"/>
  <c r="B6981" i="9"/>
  <c r="H6980" i="9"/>
  <c r="G6980" i="9"/>
  <c r="E6980" i="9"/>
  <c r="D6980" i="9"/>
  <c r="C6980" i="9"/>
  <c r="B6980" i="9"/>
  <c r="H6979" i="9"/>
  <c r="G6979" i="9"/>
  <c r="E6979" i="9"/>
  <c r="D6979" i="9"/>
  <c r="C6979" i="9"/>
  <c r="B6979" i="9"/>
  <c r="H6978" i="9"/>
  <c r="G6978" i="9"/>
  <c r="E6978" i="9"/>
  <c r="D6978" i="9"/>
  <c r="C6978" i="9"/>
  <c r="B6978" i="9"/>
  <c r="H6977" i="9"/>
  <c r="G6977" i="9"/>
  <c r="E6977" i="9"/>
  <c r="D6977" i="9"/>
  <c r="C6977" i="9"/>
  <c r="B6977" i="9"/>
  <c r="H6976" i="9"/>
  <c r="G6976" i="9"/>
  <c r="E6976" i="9"/>
  <c r="D6976" i="9"/>
  <c r="C6976" i="9"/>
  <c r="B6976" i="9"/>
  <c r="H6975" i="9"/>
  <c r="G6975" i="9"/>
  <c r="E6975" i="9"/>
  <c r="D6975" i="9"/>
  <c r="C6975" i="9"/>
  <c r="B6975" i="9"/>
  <c r="H6974" i="9"/>
  <c r="G6974" i="9"/>
  <c r="E6974" i="9"/>
  <c r="D6974" i="9"/>
  <c r="C6974" i="9"/>
  <c r="B6974" i="9"/>
  <c r="H6973" i="9"/>
  <c r="G6973" i="9"/>
  <c r="E6973" i="9"/>
  <c r="D6973" i="9"/>
  <c r="C6973" i="9"/>
  <c r="B6973" i="9"/>
  <c r="H6972" i="9"/>
  <c r="G6972" i="9"/>
  <c r="E6972" i="9"/>
  <c r="D6972" i="9"/>
  <c r="C6972" i="9"/>
  <c r="B6972" i="9"/>
  <c r="H6971" i="9"/>
  <c r="G6971" i="9"/>
  <c r="E6971" i="9"/>
  <c r="D6971" i="9"/>
  <c r="C6971" i="9"/>
  <c r="B6971" i="9"/>
  <c r="H6970" i="9"/>
  <c r="G6970" i="9"/>
  <c r="E6970" i="9"/>
  <c r="D6970" i="9"/>
  <c r="C6970" i="9"/>
  <c r="B6970" i="9"/>
  <c r="H6969" i="9"/>
  <c r="G6969" i="9"/>
  <c r="E6969" i="9"/>
  <c r="D6969" i="9"/>
  <c r="C6969" i="9"/>
  <c r="B6969" i="9"/>
  <c r="H6968" i="9"/>
  <c r="G6968" i="9"/>
  <c r="E6968" i="9"/>
  <c r="D6968" i="9"/>
  <c r="C6968" i="9"/>
  <c r="B6968" i="9"/>
  <c r="H6967" i="9"/>
  <c r="G6967" i="9"/>
  <c r="E6967" i="9"/>
  <c r="D6967" i="9"/>
  <c r="C6967" i="9"/>
  <c r="B6967" i="9"/>
  <c r="H6966" i="9"/>
  <c r="G6966" i="9"/>
  <c r="E6966" i="9"/>
  <c r="D6966" i="9"/>
  <c r="C6966" i="9"/>
  <c r="B6966" i="9"/>
  <c r="H6965" i="9"/>
  <c r="G6965" i="9"/>
  <c r="E6965" i="9"/>
  <c r="D6965" i="9"/>
  <c r="C6965" i="9"/>
  <c r="B6965" i="9"/>
  <c r="H6964" i="9"/>
  <c r="G6964" i="9"/>
  <c r="E6964" i="9"/>
  <c r="D6964" i="9"/>
  <c r="C6964" i="9"/>
  <c r="B6964" i="9"/>
  <c r="H6963" i="9"/>
  <c r="G6963" i="9"/>
  <c r="E6963" i="9"/>
  <c r="D6963" i="9"/>
  <c r="C6963" i="9"/>
  <c r="B6963" i="9"/>
  <c r="H6962" i="9"/>
  <c r="G6962" i="9"/>
  <c r="E6962" i="9"/>
  <c r="D6962" i="9"/>
  <c r="C6962" i="9"/>
  <c r="B6962" i="9"/>
  <c r="H6961" i="9"/>
  <c r="G6961" i="9"/>
  <c r="E6961" i="9"/>
  <c r="D6961" i="9"/>
  <c r="C6961" i="9"/>
  <c r="B6961" i="9"/>
  <c r="H6960" i="9"/>
  <c r="G6960" i="9"/>
  <c r="E6960" i="9"/>
  <c r="D6960" i="9"/>
  <c r="C6960" i="9"/>
  <c r="B6960" i="9"/>
  <c r="H6959" i="9"/>
  <c r="G6959" i="9"/>
  <c r="E6959" i="9"/>
  <c r="D6959" i="9"/>
  <c r="C6959" i="9"/>
  <c r="B6959" i="9"/>
  <c r="H6958" i="9"/>
  <c r="G6958" i="9"/>
  <c r="E6958" i="9"/>
  <c r="D6958" i="9"/>
  <c r="C6958" i="9"/>
  <c r="B6958" i="9"/>
  <c r="H6957" i="9"/>
  <c r="G6957" i="9"/>
  <c r="E6957" i="9"/>
  <c r="D6957" i="9"/>
  <c r="C6957" i="9"/>
  <c r="B6957" i="9"/>
  <c r="H6956" i="9"/>
  <c r="G6956" i="9"/>
  <c r="E6956" i="9"/>
  <c r="D6956" i="9"/>
  <c r="C6956" i="9"/>
  <c r="B6956" i="9"/>
  <c r="H6955" i="9"/>
  <c r="G6955" i="9"/>
  <c r="E6955" i="9"/>
  <c r="D6955" i="9"/>
  <c r="C6955" i="9"/>
  <c r="B6955" i="9"/>
  <c r="H6954" i="9"/>
  <c r="G6954" i="9"/>
  <c r="E6954" i="9"/>
  <c r="D6954" i="9"/>
  <c r="C6954" i="9"/>
  <c r="B6954" i="9"/>
  <c r="H6953" i="9"/>
  <c r="G6953" i="9"/>
  <c r="E6953" i="9"/>
  <c r="D6953" i="9"/>
  <c r="C6953" i="9"/>
  <c r="B6953" i="9"/>
  <c r="H6952" i="9"/>
  <c r="G6952" i="9"/>
  <c r="E6952" i="9"/>
  <c r="D6952" i="9"/>
  <c r="C6952" i="9"/>
  <c r="B6952" i="9"/>
  <c r="H6951" i="9"/>
  <c r="G6951" i="9"/>
  <c r="E6951" i="9"/>
  <c r="D6951" i="9"/>
  <c r="C6951" i="9"/>
  <c r="B6951" i="9"/>
  <c r="H6950" i="9"/>
  <c r="G6950" i="9"/>
  <c r="E6950" i="9"/>
  <c r="D6950" i="9"/>
  <c r="C6950" i="9"/>
  <c r="B6950" i="9"/>
  <c r="H6949" i="9"/>
  <c r="G6949" i="9"/>
  <c r="E6949" i="9"/>
  <c r="D6949" i="9"/>
  <c r="C6949" i="9"/>
  <c r="B6949" i="9"/>
  <c r="H6948" i="9"/>
  <c r="G6948" i="9"/>
  <c r="E6948" i="9"/>
  <c r="D6948" i="9"/>
  <c r="C6948" i="9"/>
  <c r="B6948" i="9"/>
  <c r="H6947" i="9"/>
  <c r="G6947" i="9"/>
  <c r="E6947" i="9"/>
  <c r="D6947" i="9"/>
  <c r="C6947" i="9"/>
  <c r="B6947" i="9"/>
  <c r="H6946" i="9"/>
  <c r="G6946" i="9"/>
  <c r="E6946" i="9"/>
  <c r="D6946" i="9"/>
  <c r="C6946" i="9"/>
  <c r="B6946" i="9"/>
  <c r="H6945" i="9"/>
  <c r="G6945" i="9"/>
  <c r="E6945" i="9"/>
  <c r="D6945" i="9"/>
  <c r="C6945" i="9"/>
  <c r="B6945" i="9"/>
  <c r="H6944" i="9"/>
  <c r="G6944" i="9"/>
  <c r="E6944" i="9"/>
  <c r="D6944" i="9"/>
  <c r="C6944" i="9"/>
  <c r="B6944" i="9"/>
  <c r="H6943" i="9"/>
  <c r="G6943" i="9"/>
  <c r="E6943" i="9"/>
  <c r="D6943" i="9"/>
  <c r="C6943" i="9"/>
  <c r="B6943" i="9"/>
  <c r="H6942" i="9"/>
  <c r="G6942" i="9"/>
  <c r="E6942" i="9"/>
  <c r="D6942" i="9"/>
  <c r="C6942" i="9"/>
  <c r="B6942" i="9"/>
  <c r="H6941" i="9"/>
  <c r="G6941" i="9"/>
  <c r="E6941" i="9"/>
  <c r="D6941" i="9"/>
  <c r="C6941" i="9"/>
  <c r="B6941" i="9"/>
  <c r="H6940" i="9"/>
  <c r="G6940" i="9"/>
  <c r="E6940" i="9"/>
  <c r="D6940" i="9"/>
  <c r="C6940" i="9"/>
  <c r="B6940" i="9"/>
  <c r="H6939" i="9"/>
  <c r="G6939" i="9"/>
  <c r="E6939" i="9"/>
  <c r="D6939" i="9"/>
  <c r="C6939" i="9"/>
  <c r="B6939" i="9"/>
  <c r="H6938" i="9"/>
  <c r="G6938" i="9"/>
  <c r="E6938" i="9"/>
  <c r="D6938" i="9"/>
  <c r="C6938" i="9"/>
  <c r="B6938" i="9"/>
  <c r="H6937" i="9"/>
  <c r="G6937" i="9"/>
  <c r="E6937" i="9"/>
  <c r="D6937" i="9"/>
  <c r="C6937" i="9"/>
  <c r="B6937" i="9"/>
  <c r="H6936" i="9"/>
  <c r="G6936" i="9"/>
  <c r="E6936" i="9"/>
  <c r="D6936" i="9"/>
  <c r="C6936" i="9"/>
  <c r="B6936" i="9"/>
  <c r="H6935" i="9"/>
  <c r="G6935" i="9"/>
  <c r="E6935" i="9"/>
  <c r="D6935" i="9"/>
  <c r="C6935" i="9"/>
  <c r="B6935" i="9"/>
  <c r="H6934" i="9"/>
  <c r="G6934" i="9"/>
  <c r="E6934" i="9"/>
  <c r="D6934" i="9"/>
  <c r="C6934" i="9"/>
  <c r="B6934" i="9"/>
  <c r="H6933" i="9"/>
  <c r="G6933" i="9"/>
  <c r="E6933" i="9"/>
  <c r="D6933" i="9"/>
  <c r="C6933" i="9"/>
  <c r="B6933" i="9"/>
  <c r="H6932" i="9"/>
  <c r="G6932" i="9"/>
  <c r="E6932" i="9"/>
  <c r="D6932" i="9"/>
  <c r="C6932" i="9"/>
  <c r="B6932" i="9"/>
  <c r="H6931" i="9"/>
  <c r="G6931" i="9"/>
  <c r="E6931" i="9"/>
  <c r="D6931" i="9"/>
  <c r="C6931" i="9"/>
  <c r="B6931" i="9"/>
  <c r="H6930" i="9"/>
  <c r="G6930" i="9"/>
  <c r="E6930" i="9"/>
  <c r="D6930" i="9"/>
  <c r="C6930" i="9"/>
  <c r="B6930" i="9"/>
  <c r="H6929" i="9"/>
  <c r="G6929" i="9"/>
  <c r="E6929" i="9"/>
  <c r="D6929" i="9"/>
  <c r="C6929" i="9"/>
  <c r="B6929" i="9"/>
  <c r="H6928" i="9"/>
  <c r="G6928" i="9"/>
  <c r="E6928" i="9"/>
  <c r="D6928" i="9"/>
  <c r="C6928" i="9"/>
  <c r="B6928" i="9"/>
  <c r="H6927" i="9"/>
  <c r="G6927" i="9"/>
  <c r="E6927" i="9"/>
  <c r="D6927" i="9"/>
  <c r="C6927" i="9"/>
  <c r="B6927" i="9"/>
  <c r="H6926" i="9"/>
  <c r="G6926" i="9"/>
  <c r="E6926" i="9"/>
  <c r="D6926" i="9"/>
  <c r="C6926" i="9"/>
  <c r="B6926" i="9"/>
  <c r="H6925" i="9"/>
  <c r="G6925" i="9"/>
  <c r="E6925" i="9"/>
  <c r="D6925" i="9"/>
  <c r="C6925" i="9"/>
  <c r="B6925" i="9"/>
  <c r="H6924" i="9"/>
  <c r="G6924" i="9"/>
  <c r="E6924" i="9"/>
  <c r="D6924" i="9"/>
  <c r="C6924" i="9"/>
  <c r="B6924" i="9"/>
  <c r="H6923" i="9"/>
  <c r="G6923" i="9"/>
  <c r="E6923" i="9"/>
  <c r="D6923" i="9"/>
  <c r="C6923" i="9"/>
  <c r="B6923" i="9"/>
  <c r="H6922" i="9"/>
  <c r="G6922" i="9"/>
  <c r="E6922" i="9"/>
  <c r="D6922" i="9"/>
  <c r="C6922" i="9"/>
  <c r="B6922" i="9"/>
  <c r="H6921" i="9"/>
  <c r="G6921" i="9"/>
  <c r="E6921" i="9"/>
  <c r="D6921" i="9"/>
  <c r="C6921" i="9"/>
  <c r="B6921" i="9"/>
  <c r="H6920" i="9"/>
  <c r="G6920" i="9"/>
  <c r="E6920" i="9"/>
  <c r="D6920" i="9"/>
  <c r="C6920" i="9"/>
  <c r="B6920" i="9"/>
  <c r="H6919" i="9"/>
  <c r="G6919" i="9"/>
  <c r="E6919" i="9"/>
  <c r="D6919" i="9"/>
  <c r="C6919" i="9"/>
  <c r="B6919" i="9"/>
  <c r="H6918" i="9"/>
  <c r="G6918" i="9"/>
  <c r="E6918" i="9"/>
  <c r="D6918" i="9"/>
  <c r="C6918" i="9"/>
  <c r="B6918" i="9"/>
  <c r="H6917" i="9"/>
  <c r="G6917" i="9"/>
  <c r="E6917" i="9"/>
  <c r="D6917" i="9"/>
  <c r="C6917" i="9"/>
  <c r="B6917" i="9"/>
  <c r="H6916" i="9"/>
  <c r="G6916" i="9"/>
  <c r="E6916" i="9"/>
  <c r="D6916" i="9"/>
  <c r="C6916" i="9"/>
  <c r="B6916" i="9"/>
  <c r="H6915" i="9"/>
  <c r="G6915" i="9"/>
  <c r="E6915" i="9"/>
  <c r="D6915" i="9"/>
  <c r="C6915" i="9"/>
  <c r="B6915" i="9"/>
  <c r="H6914" i="9"/>
  <c r="G6914" i="9"/>
  <c r="E6914" i="9"/>
  <c r="D6914" i="9"/>
  <c r="C6914" i="9"/>
  <c r="B6914" i="9"/>
  <c r="H6913" i="9"/>
  <c r="G6913" i="9"/>
  <c r="E6913" i="9"/>
  <c r="D6913" i="9"/>
  <c r="C6913" i="9"/>
  <c r="B6913" i="9"/>
  <c r="H6912" i="9"/>
  <c r="G6912" i="9"/>
  <c r="E6912" i="9"/>
  <c r="D6912" i="9"/>
  <c r="C6912" i="9"/>
  <c r="B6912" i="9"/>
  <c r="H6911" i="9"/>
  <c r="G6911" i="9"/>
  <c r="E6911" i="9"/>
  <c r="D6911" i="9"/>
  <c r="C6911" i="9"/>
  <c r="B6911" i="9"/>
  <c r="H6910" i="9"/>
  <c r="G6910" i="9"/>
  <c r="E6910" i="9"/>
  <c r="D6910" i="9"/>
  <c r="C6910" i="9"/>
  <c r="B6910" i="9"/>
  <c r="H6909" i="9"/>
  <c r="G6909" i="9"/>
  <c r="E6909" i="9"/>
  <c r="D6909" i="9"/>
  <c r="C6909" i="9"/>
  <c r="B6909" i="9"/>
  <c r="H6908" i="9"/>
  <c r="G6908" i="9"/>
  <c r="E6908" i="9"/>
  <c r="D6908" i="9"/>
  <c r="C6908" i="9"/>
  <c r="B6908" i="9"/>
  <c r="H6907" i="9"/>
  <c r="G6907" i="9"/>
  <c r="E6907" i="9"/>
  <c r="D6907" i="9"/>
  <c r="C6907" i="9"/>
  <c r="B6907" i="9"/>
  <c r="H6906" i="9"/>
  <c r="G6906" i="9"/>
  <c r="E6906" i="9"/>
  <c r="D6906" i="9"/>
  <c r="C6906" i="9"/>
  <c r="B6906" i="9"/>
  <c r="H6905" i="9"/>
  <c r="G6905" i="9"/>
  <c r="E6905" i="9"/>
  <c r="D6905" i="9"/>
  <c r="C6905" i="9"/>
  <c r="B6905" i="9"/>
  <c r="H6904" i="9"/>
  <c r="G6904" i="9"/>
  <c r="E6904" i="9"/>
  <c r="D6904" i="9"/>
  <c r="C6904" i="9"/>
  <c r="B6904" i="9"/>
  <c r="H6903" i="9"/>
  <c r="G6903" i="9"/>
  <c r="E6903" i="9"/>
  <c r="D6903" i="9"/>
  <c r="C6903" i="9"/>
  <c r="B6903" i="9"/>
  <c r="H6902" i="9"/>
  <c r="G6902" i="9"/>
  <c r="E6902" i="9"/>
  <c r="D6902" i="9"/>
  <c r="C6902" i="9"/>
  <c r="B6902" i="9"/>
  <c r="H6901" i="9"/>
  <c r="G6901" i="9"/>
  <c r="E6901" i="9"/>
  <c r="D6901" i="9"/>
  <c r="C6901" i="9"/>
  <c r="B6901" i="9"/>
  <c r="H6900" i="9"/>
  <c r="G6900" i="9"/>
  <c r="E6900" i="9"/>
  <c r="D6900" i="9"/>
  <c r="C6900" i="9"/>
  <c r="B6900" i="9"/>
  <c r="H6899" i="9"/>
  <c r="G6899" i="9"/>
  <c r="E6899" i="9"/>
  <c r="D6899" i="9"/>
  <c r="C6899" i="9"/>
  <c r="B6899" i="9"/>
  <c r="H6898" i="9"/>
  <c r="G6898" i="9"/>
  <c r="E6898" i="9"/>
  <c r="D6898" i="9"/>
  <c r="C6898" i="9"/>
  <c r="B6898" i="9"/>
  <c r="H6897" i="9"/>
  <c r="G6897" i="9"/>
  <c r="E6897" i="9"/>
  <c r="D6897" i="9"/>
  <c r="C6897" i="9"/>
  <c r="B6897" i="9"/>
  <c r="H6896" i="9"/>
  <c r="G6896" i="9"/>
  <c r="E6896" i="9"/>
  <c r="D6896" i="9"/>
  <c r="C6896" i="9"/>
  <c r="B6896" i="9"/>
  <c r="H6895" i="9"/>
  <c r="G6895" i="9"/>
  <c r="E6895" i="9"/>
  <c r="D6895" i="9"/>
  <c r="C6895" i="9"/>
  <c r="B6895" i="9"/>
  <c r="H6894" i="9"/>
  <c r="G6894" i="9"/>
  <c r="E6894" i="9"/>
  <c r="D6894" i="9"/>
  <c r="C6894" i="9"/>
  <c r="B6894" i="9"/>
  <c r="H6893" i="9"/>
  <c r="G6893" i="9"/>
  <c r="E6893" i="9"/>
  <c r="D6893" i="9"/>
  <c r="C6893" i="9"/>
  <c r="B6893" i="9"/>
  <c r="H6892" i="9"/>
  <c r="G6892" i="9"/>
  <c r="E6892" i="9"/>
  <c r="D6892" i="9"/>
  <c r="C6892" i="9"/>
  <c r="B6892" i="9"/>
  <c r="H6891" i="9"/>
  <c r="G6891" i="9"/>
  <c r="E6891" i="9"/>
  <c r="D6891" i="9"/>
  <c r="C6891" i="9"/>
  <c r="B6891" i="9"/>
  <c r="H6890" i="9"/>
  <c r="G6890" i="9"/>
  <c r="E6890" i="9"/>
  <c r="D6890" i="9"/>
  <c r="C6890" i="9"/>
  <c r="B6890" i="9"/>
  <c r="H6889" i="9"/>
  <c r="G6889" i="9"/>
  <c r="E6889" i="9"/>
  <c r="D6889" i="9"/>
  <c r="C6889" i="9"/>
  <c r="B6889" i="9"/>
  <c r="H6888" i="9"/>
  <c r="G6888" i="9"/>
  <c r="E6888" i="9"/>
  <c r="D6888" i="9"/>
  <c r="C6888" i="9"/>
  <c r="B6888" i="9"/>
  <c r="H6887" i="9"/>
  <c r="G6887" i="9"/>
  <c r="E6887" i="9"/>
  <c r="D6887" i="9"/>
  <c r="C6887" i="9"/>
  <c r="B6887" i="9"/>
  <c r="H6886" i="9"/>
  <c r="G6886" i="9"/>
  <c r="E6886" i="9"/>
  <c r="D6886" i="9"/>
  <c r="C6886" i="9"/>
  <c r="B6886" i="9"/>
  <c r="H6885" i="9"/>
  <c r="G6885" i="9"/>
  <c r="E6885" i="9"/>
  <c r="D6885" i="9"/>
  <c r="C6885" i="9"/>
  <c r="B6885" i="9"/>
  <c r="H6884" i="9"/>
  <c r="G6884" i="9"/>
  <c r="E6884" i="9"/>
  <c r="D6884" i="9"/>
  <c r="C6884" i="9"/>
  <c r="B6884" i="9"/>
  <c r="H6883" i="9"/>
  <c r="G6883" i="9"/>
  <c r="E6883" i="9"/>
  <c r="D6883" i="9"/>
  <c r="C6883" i="9"/>
  <c r="B6883" i="9"/>
  <c r="H6882" i="9"/>
  <c r="G6882" i="9"/>
  <c r="E6882" i="9"/>
  <c r="D6882" i="9"/>
  <c r="C6882" i="9"/>
  <c r="B6882" i="9"/>
  <c r="H6881" i="9"/>
  <c r="G6881" i="9"/>
  <c r="E6881" i="9"/>
  <c r="D6881" i="9"/>
  <c r="C6881" i="9"/>
  <c r="B6881" i="9"/>
  <c r="H6880" i="9"/>
  <c r="G6880" i="9"/>
  <c r="E6880" i="9"/>
  <c r="D6880" i="9"/>
  <c r="C6880" i="9"/>
  <c r="B6880" i="9"/>
  <c r="H6879" i="9"/>
  <c r="G6879" i="9"/>
  <c r="E6879" i="9"/>
  <c r="D6879" i="9"/>
  <c r="C6879" i="9"/>
  <c r="B6879" i="9"/>
  <c r="H6878" i="9"/>
  <c r="G6878" i="9"/>
  <c r="E6878" i="9"/>
  <c r="D6878" i="9"/>
  <c r="C6878" i="9"/>
  <c r="B6878" i="9"/>
  <c r="H6877" i="9"/>
  <c r="G6877" i="9"/>
  <c r="E6877" i="9"/>
  <c r="D6877" i="9"/>
  <c r="C6877" i="9"/>
  <c r="B6877" i="9"/>
  <c r="H6876" i="9"/>
  <c r="G6876" i="9"/>
  <c r="E6876" i="9"/>
  <c r="D6876" i="9"/>
  <c r="C6876" i="9"/>
  <c r="B6876" i="9"/>
  <c r="H6875" i="9"/>
  <c r="G6875" i="9"/>
  <c r="E6875" i="9"/>
  <c r="D6875" i="9"/>
  <c r="C6875" i="9"/>
  <c r="B6875" i="9"/>
  <c r="H6874" i="9"/>
  <c r="G6874" i="9"/>
  <c r="E6874" i="9"/>
  <c r="D6874" i="9"/>
  <c r="C6874" i="9"/>
  <c r="B6874" i="9"/>
  <c r="H6873" i="9"/>
  <c r="G6873" i="9"/>
  <c r="E6873" i="9"/>
  <c r="D6873" i="9"/>
  <c r="C6873" i="9"/>
  <c r="B6873" i="9"/>
  <c r="H6872" i="9"/>
  <c r="G6872" i="9"/>
  <c r="E6872" i="9"/>
  <c r="D6872" i="9"/>
  <c r="C6872" i="9"/>
  <c r="B6872" i="9"/>
  <c r="H6871" i="9"/>
  <c r="G6871" i="9"/>
  <c r="E6871" i="9"/>
  <c r="D6871" i="9"/>
  <c r="C6871" i="9"/>
  <c r="B6871" i="9"/>
  <c r="H6870" i="9"/>
  <c r="G6870" i="9"/>
  <c r="E6870" i="9"/>
  <c r="D6870" i="9"/>
  <c r="C6870" i="9"/>
  <c r="B6870" i="9"/>
  <c r="H6869" i="9"/>
  <c r="G6869" i="9"/>
  <c r="E6869" i="9"/>
  <c r="D6869" i="9"/>
  <c r="C6869" i="9"/>
  <c r="B6869" i="9"/>
  <c r="H6868" i="9"/>
  <c r="G6868" i="9"/>
  <c r="E6868" i="9"/>
  <c r="D6868" i="9"/>
  <c r="C6868" i="9"/>
  <c r="B6868" i="9"/>
  <c r="H6867" i="9"/>
  <c r="G6867" i="9"/>
  <c r="E6867" i="9"/>
  <c r="D6867" i="9"/>
  <c r="C6867" i="9"/>
  <c r="B6867" i="9"/>
  <c r="H6866" i="9"/>
  <c r="G6866" i="9"/>
  <c r="E6866" i="9"/>
  <c r="D6866" i="9"/>
  <c r="C6866" i="9"/>
  <c r="B6866" i="9"/>
  <c r="H6865" i="9"/>
  <c r="G6865" i="9"/>
  <c r="E6865" i="9"/>
  <c r="D6865" i="9"/>
  <c r="C6865" i="9"/>
  <c r="B6865" i="9"/>
  <c r="H6864" i="9"/>
  <c r="G6864" i="9"/>
  <c r="E6864" i="9"/>
  <c r="D6864" i="9"/>
  <c r="C6864" i="9"/>
  <c r="B6864" i="9"/>
  <c r="H6863" i="9"/>
  <c r="G6863" i="9"/>
  <c r="E6863" i="9"/>
  <c r="D6863" i="9"/>
  <c r="C6863" i="9"/>
  <c r="B6863" i="9"/>
  <c r="H6862" i="9"/>
  <c r="G6862" i="9"/>
  <c r="E6862" i="9"/>
  <c r="D6862" i="9"/>
  <c r="C6862" i="9"/>
  <c r="B6862" i="9"/>
  <c r="H6861" i="9"/>
  <c r="G6861" i="9"/>
  <c r="E6861" i="9"/>
  <c r="D6861" i="9"/>
  <c r="C6861" i="9"/>
  <c r="B6861" i="9"/>
  <c r="H6860" i="9"/>
  <c r="G6860" i="9"/>
  <c r="E6860" i="9"/>
  <c r="D6860" i="9"/>
  <c r="C6860" i="9"/>
  <c r="B6860" i="9"/>
  <c r="H6859" i="9"/>
  <c r="G6859" i="9"/>
  <c r="E6859" i="9"/>
  <c r="D6859" i="9"/>
  <c r="C6859" i="9"/>
  <c r="B6859" i="9"/>
  <c r="H6858" i="9"/>
  <c r="G6858" i="9"/>
  <c r="E6858" i="9"/>
  <c r="D6858" i="9"/>
  <c r="C6858" i="9"/>
  <c r="B6858" i="9"/>
  <c r="H6857" i="9"/>
  <c r="G6857" i="9"/>
  <c r="E6857" i="9"/>
  <c r="D6857" i="9"/>
  <c r="C6857" i="9"/>
  <c r="B6857" i="9"/>
  <c r="H6856" i="9"/>
  <c r="G6856" i="9"/>
  <c r="E6856" i="9"/>
  <c r="D6856" i="9"/>
  <c r="C6856" i="9"/>
  <c r="B6856" i="9"/>
  <c r="H6855" i="9"/>
  <c r="G6855" i="9"/>
  <c r="E6855" i="9"/>
  <c r="D6855" i="9"/>
  <c r="C6855" i="9"/>
  <c r="B6855" i="9"/>
  <c r="H6854" i="9"/>
  <c r="G6854" i="9"/>
  <c r="E6854" i="9"/>
  <c r="D6854" i="9"/>
  <c r="C6854" i="9"/>
  <c r="B6854" i="9"/>
  <c r="H6853" i="9"/>
  <c r="G6853" i="9"/>
  <c r="E6853" i="9"/>
  <c r="D6853" i="9"/>
  <c r="C6853" i="9"/>
  <c r="B6853" i="9"/>
  <c r="H6852" i="9"/>
  <c r="G6852" i="9"/>
  <c r="E6852" i="9"/>
  <c r="D6852" i="9"/>
  <c r="C6852" i="9"/>
  <c r="B6852" i="9"/>
  <c r="H6851" i="9"/>
  <c r="G6851" i="9"/>
  <c r="E6851" i="9"/>
  <c r="D6851" i="9"/>
  <c r="C6851" i="9"/>
  <c r="B6851" i="9"/>
  <c r="H6850" i="9"/>
  <c r="G6850" i="9"/>
  <c r="E6850" i="9"/>
  <c r="D6850" i="9"/>
  <c r="C6850" i="9"/>
  <c r="B6850" i="9"/>
  <c r="H6849" i="9"/>
  <c r="G6849" i="9"/>
  <c r="E6849" i="9"/>
  <c r="D6849" i="9"/>
  <c r="C6849" i="9"/>
  <c r="B6849" i="9"/>
  <c r="H6848" i="9"/>
  <c r="G6848" i="9"/>
  <c r="E6848" i="9"/>
  <c r="D6848" i="9"/>
  <c r="C6848" i="9"/>
  <c r="B6848" i="9"/>
  <c r="H6847" i="9"/>
  <c r="G6847" i="9"/>
  <c r="E6847" i="9"/>
  <c r="D6847" i="9"/>
  <c r="C6847" i="9"/>
  <c r="B6847" i="9"/>
  <c r="H6846" i="9"/>
  <c r="G6846" i="9"/>
  <c r="E6846" i="9"/>
  <c r="D6846" i="9"/>
  <c r="C6846" i="9"/>
  <c r="B6846" i="9"/>
  <c r="H6845" i="9"/>
  <c r="G6845" i="9"/>
  <c r="E6845" i="9"/>
  <c r="D6845" i="9"/>
  <c r="C6845" i="9"/>
  <c r="B6845" i="9"/>
  <c r="H6844" i="9"/>
  <c r="G6844" i="9"/>
  <c r="E6844" i="9"/>
  <c r="D6844" i="9"/>
  <c r="C6844" i="9"/>
  <c r="B6844" i="9"/>
  <c r="H6843" i="9"/>
  <c r="G6843" i="9"/>
  <c r="E6843" i="9"/>
  <c r="D6843" i="9"/>
  <c r="C6843" i="9"/>
  <c r="B6843" i="9"/>
  <c r="H6842" i="9"/>
  <c r="G6842" i="9"/>
  <c r="E6842" i="9"/>
  <c r="D6842" i="9"/>
  <c r="C6842" i="9"/>
  <c r="B6842" i="9"/>
  <c r="H6841" i="9"/>
  <c r="G6841" i="9"/>
  <c r="E6841" i="9"/>
  <c r="D6841" i="9"/>
  <c r="C6841" i="9"/>
  <c r="B6841" i="9"/>
  <c r="H6840" i="9"/>
  <c r="G6840" i="9"/>
  <c r="E6840" i="9"/>
  <c r="D6840" i="9"/>
  <c r="C6840" i="9"/>
  <c r="B6840" i="9"/>
  <c r="H6839" i="9"/>
  <c r="G6839" i="9"/>
  <c r="E6839" i="9"/>
  <c r="D6839" i="9"/>
  <c r="C6839" i="9"/>
  <c r="B6839" i="9"/>
  <c r="H6838" i="9"/>
  <c r="G6838" i="9"/>
  <c r="E6838" i="9"/>
  <c r="D6838" i="9"/>
  <c r="C6838" i="9"/>
  <c r="B6838" i="9"/>
  <c r="H6837" i="9"/>
  <c r="G6837" i="9"/>
  <c r="E6837" i="9"/>
  <c r="D6837" i="9"/>
  <c r="C6837" i="9"/>
  <c r="B6837" i="9"/>
  <c r="H6836" i="9"/>
  <c r="G6836" i="9"/>
  <c r="E6836" i="9"/>
  <c r="D6836" i="9"/>
  <c r="C6836" i="9"/>
  <c r="B6836" i="9"/>
  <c r="H6835" i="9"/>
  <c r="G6835" i="9"/>
  <c r="E6835" i="9"/>
  <c r="D6835" i="9"/>
  <c r="C6835" i="9"/>
  <c r="B6835" i="9"/>
  <c r="H6834" i="9"/>
  <c r="G6834" i="9"/>
  <c r="E6834" i="9"/>
  <c r="D6834" i="9"/>
  <c r="C6834" i="9"/>
  <c r="B6834" i="9"/>
  <c r="H6833" i="9"/>
  <c r="G6833" i="9"/>
  <c r="E6833" i="9"/>
  <c r="D6833" i="9"/>
  <c r="C6833" i="9"/>
  <c r="B6833" i="9"/>
  <c r="H6832" i="9"/>
  <c r="G6832" i="9"/>
  <c r="E6832" i="9"/>
  <c r="D6832" i="9"/>
  <c r="C6832" i="9"/>
  <c r="B6832" i="9"/>
  <c r="H6831" i="9"/>
  <c r="G6831" i="9"/>
  <c r="E6831" i="9"/>
  <c r="D6831" i="9"/>
  <c r="C6831" i="9"/>
  <c r="B6831" i="9"/>
  <c r="H6830" i="9"/>
  <c r="G6830" i="9"/>
  <c r="E6830" i="9"/>
  <c r="D6830" i="9"/>
  <c r="C6830" i="9"/>
  <c r="B6830" i="9"/>
  <c r="H6829" i="9"/>
  <c r="G6829" i="9"/>
  <c r="E6829" i="9"/>
  <c r="D6829" i="9"/>
  <c r="C6829" i="9"/>
  <c r="B6829" i="9"/>
  <c r="H6828" i="9"/>
  <c r="G6828" i="9"/>
  <c r="E6828" i="9"/>
  <c r="D6828" i="9"/>
  <c r="C6828" i="9"/>
  <c r="B6828" i="9"/>
  <c r="H6827" i="9"/>
  <c r="G6827" i="9"/>
  <c r="E6827" i="9"/>
  <c r="D6827" i="9"/>
  <c r="C6827" i="9"/>
  <c r="B6827" i="9"/>
  <c r="H6826" i="9"/>
  <c r="G6826" i="9"/>
  <c r="E6826" i="9"/>
  <c r="D6826" i="9"/>
  <c r="C6826" i="9"/>
  <c r="B6826" i="9"/>
  <c r="H6825" i="9"/>
  <c r="G6825" i="9"/>
  <c r="E6825" i="9"/>
  <c r="D6825" i="9"/>
  <c r="C6825" i="9"/>
  <c r="B6825" i="9"/>
  <c r="H6824" i="9"/>
  <c r="G6824" i="9"/>
  <c r="E6824" i="9"/>
  <c r="D6824" i="9"/>
  <c r="C6824" i="9"/>
  <c r="B6824" i="9"/>
  <c r="H6823" i="9"/>
  <c r="G6823" i="9"/>
  <c r="E6823" i="9"/>
  <c r="D6823" i="9"/>
  <c r="C6823" i="9"/>
  <c r="B6823" i="9"/>
  <c r="H6822" i="9"/>
  <c r="G6822" i="9"/>
  <c r="E6822" i="9"/>
  <c r="D6822" i="9"/>
  <c r="C6822" i="9"/>
  <c r="B6822" i="9"/>
  <c r="H6821" i="9"/>
  <c r="G6821" i="9"/>
  <c r="E6821" i="9"/>
  <c r="D6821" i="9"/>
  <c r="C6821" i="9"/>
  <c r="B6821" i="9"/>
  <c r="H6820" i="9"/>
  <c r="G6820" i="9"/>
  <c r="E6820" i="9"/>
  <c r="D6820" i="9"/>
  <c r="C6820" i="9"/>
  <c r="B6820" i="9"/>
  <c r="H6819" i="9"/>
  <c r="G6819" i="9"/>
  <c r="E6819" i="9"/>
  <c r="D6819" i="9"/>
  <c r="C6819" i="9"/>
  <c r="B6819" i="9"/>
  <c r="H6818" i="9"/>
  <c r="G6818" i="9"/>
  <c r="E6818" i="9"/>
  <c r="D6818" i="9"/>
  <c r="C6818" i="9"/>
  <c r="B6818" i="9"/>
  <c r="H6817" i="9"/>
  <c r="G6817" i="9"/>
  <c r="E6817" i="9"/>
  <c r="D6817" i="9"/>
  <c r="C6817" i="9"/>
  <c r="B6817" i="9"/>
  <c r="H6816" i="9"/>
  <c r="G6816" i="9"/>
  <c r="E6816" i="9"/>
  <c r="D6816" i="9"/>
  <c r="C6816" i="9"/>
  <c r="B6816" i="9"/>
  <c r="H6815" i="9"/>
  <c r="G6815" i="9"/>
  <c r="E6815" i="9"/>
  <c r="D6815" i="9"/>
  <c r="C6815" i="9"/>
  <c r="B6815" i="9"/>
  <c r="H6814" i="9"/>
  <c r="G6814" i="9"/>
  <c r="E6814" i="9"/>
  <c r="D6814" i="9"/>
  <c r="C6814" i="9"/>
  <c r="B6814" i="9"/>
  <c r="H6813" i="9"/>
  <c r="G6813" i="9"/>
  <c r="E6813" i="9"/>
  <c r="D6813" i="9"/>
  <c r="C6813" i="9"/>
  <c r="B6813" i="9"/>
  <c r="H6812" i="9"/>
  <c r="G6812" i="9"/>
  <c r="E6812" i="9"/>
  <c r="D6812" i="9"/>
  <c r="C6812" i="9"/>
  <c r="B6812" i="9"/>
  <c r="H6811" i="9"/>
  <c r="G6811" i="9"/>
  <c r="E6811" i="9"/>
  <c r="D6811" i="9"/>
  <c r="C6811" i="9"/>
  <c r="B6811" i="9"/>
  <c r="H6810" i="9"/>
  <c r="G6810" i="9"/>
  <c r="E6810" i="9"/>
  <c r="D6810" i="9"/>
  <c r="C6810" i="9"/>
  <c r="B6810" i="9"/>
  <c r="H6809" i="9"/>
  <c r="G6809" i="9"/>
  <c r="E6809" i="9"/>
  <c r="D6809" i="9"/>
  <c r="C6809" i="9"/>
  <c r="B6809" i="9"/>
  <c r="H6808" i="9"/>
  <c r="G6808" i="9"/>
  <c r="E6808" i="9"/>
  <c r="D6808" i="9"/>
  <c r="C6808" i="9"/>
  <c r="B6808" i="9"/>
  <c r="H6807" i="9"/>
  <c r="G6807" i="9"/>
  <c r="E6807" i="9"/>
  <c r="D6807" i="9"/>
  <c r="C6807" i="9"/>
  <c r="B6807" i="9"/>
  <c r="H6806" i="9"/>
  <c r="G6806" i="9"/>
  <c r="E6806" i="9"/>
  <c r="D6806" i="9"/>
  <c r="C6806" i="9"/>
  <c r="B6806" i="9"/>
  <c r="H6805" i="9"/>
  <c r="G6805" i="9"/>
  <c r="E6805" i="9"/>
  <c r="D6805" i="9"/>
  <c r="C6805" i="9"/>
  <c r="B6805" i="9"/>
  <c r="H6804" i="9"/>
  <c r="G6804" i="9"/>
  <c r="E6804" i="9"/>
  <c r="D6804" i="9"/>
  <c r="C6804" i="9"/>
  <c r="B6804" i="9"/>
  <c r="H6803" i="9"/>
  <c r="G6803" i="9"/>
  <c r="E6803" i="9"/>
  <c r="D6803" i="9"/>
  <c r="C6803" i="9"/>
  <c r="B6803" i="9"/>
  <c r="H6802" i="9"/>
  <c r="G6802" i="9"/>
  <c r="E6802" i="9"/>
  <c r="D6802" i="9"/>
  <c r="C6802" i="9"/>
  <c r="B6802" i="9"/>
  <c r="H6801" i="9"/>
  <c r="G6801" i="9"/>
  <c r="E6801" i="9"/>
  <c r="D6801" i="9"/>
  <c r="C6801" i="9"/>
  <c r="B6801" i="9"/>
  <c r="H6800" i="9"/>
  <c r="G6800" i="9"/>
  <c r="E6800" i="9"/>
  <c r="D6800" i="9"/>
  <c r="C6800" i="9"/>
  <c r="B6800" i="9"/>
  <c r="H6799" i="9"/>
  <c r="G6799" i="9"/>
  <c r="E6799" i="9"/>
  <c r="D6799" i="9"/>
  <c r="C6799" i="9"/>
  <c r="B6799" i="9"/>
  <c r="H6798" i="9"/>
  <c r="G6798" i="9"/>
  <c r="E6798" i="9"/>
  <c r="D6798" i="9"/>
  <c r="C6798" i="9"/>
  <c r="B6798" i="9"/>
  <c r="H6797" i="9"/>
  <c r="G6797" i="9"/>
  <c r="E6797" i="9"/>
  <c r="D6797" i="9"/>
  <c r="C6797" i="9"/>
  <c r="B6797" i="9"/>
  <c r="H6796" i="9"/>
  <c r="G6796" i="9"/>
  <c r="E6796" i="9"/>
  <c r="D6796" i="9"/>
  <c r="C6796" i="9"/>
  <c r="B6796" i="9"/>
  <c r="H6795" i="9"/>
  <c r="G6795" i="9"/>
  <c r="E6795" i="9"/>
  <c r="D6795" i="9"/>
  <c r="C6795" i="9"/>
  <c r="B6795" i="9"/>
  <c r="H6794" i="9"/>
  <c r="G6794" i="9"/>
  <c r="E6794" i="9"/>
  <c r="D6794" i="9"/>
  <c r="C6794" i="9"/>
  <c r="B6794" i="9"/>
  <c r="H6793" i="9"/>
  <c r="G6793" i="9"/>
  <c r="E6793" i="9"/>
  <c r="D6793" i="9"/>
  <c r="C6793" i="9"/>
  <c r="B6793" i="9"/>
  <c r="H6792" i="9"/>
  <c r="G6792" i="9"/>
  <c r="E6792" i="9"/>
  <c r="D6792" i="9"/>
  <c r="C6792" i="9"/>
  <c r="B6792" i="9"/>
  <c r="H6791" i="9"/>
  <c r="G6791" i="9"/>
  <c r="E6791" i="9"/>
  <c r="D6791" i="9"/>
  <c r="C6791" i="9"/>
  <c r="B6791" i="9"/>
  <c r="H6790" i="9"/>
  <c r="G6790" i="9"/>
  <c r="E6790" i="9"/>
  <c r="D6790" i="9"/>
  <c r="C6790" i="9"/>
  <c r="B6790" i="9"/>
  <c r="H6789" i="9"/>
  <c r="G6789" i="9"/>
  <c r="E6789" i="9"/>
  <c r="D6789" i="9"/>
  <c r="C6789" i="9"/>
  <c r="B6789" i="9"/>
  <c r="H6788" i="9"/>
  <c r="G6788" i="9"/>
  <c r="E6788" i="9"/>
  <c r="D6788" i="9"/>
  <c r="C6788" i="9"/>
  <c r="B6788" i="9"/>
  <c r="H6787" i="9"/>
  <c r="G6787" i="9"/>
  <c r="E6787" i="9"/>
  <c r="D6787" i="9"/>
  <c r="C6787" i="9"/>
  <c r="B6787" i="9"/>
  <c r="H6786" i="9"/>
  <c r="G6786" i="9"/>
  <c r="E6786" i="9"/>
  <c r="D6786" i="9"/>
  <c r="C6786" i="9"/>
  <c r="B6786" i="9"/>
  <c r="H6785" i="9"/>
  <c r="G6785" i="9"/>
  <c r="E6785" i="9"/>
  <c r="D6785" i="9"/>
  <c r="C6785" i="9"/>
  <c r="B6785" i="9"/>
  <c r="H6784" i="9"/>
  <c r="G6784" i="9"/>
  <c r="E6784" i="9"/>
  <c r="D6784" i="9"/>
  <c r="C6784" i="9"/>
  <c r="B6784" i="9"/>
  <c r="H6783" i="9"/>
  <c r="G6783" i="9"/>
  <c r="E6783" i="9"/>
  <c r="D6783" i="9"/>
  <c r="C6783" i="9"/>
  <c r="B6783" i="9"/>
  <c r="H6782" i="9"/>
  <c r="G6782" i="9"/>
  <c r="E6782" i="9"/>
  <c r="D6782" i="9"/>
  <c r="C6782" i="9"/>
  <c r="B6782" i="9"/>
  <c r="H6781" i="9"/>
  <c r="G6781" i="9"/>
  <c r="E6781" i="9"/>
  <c r="D6781" i="9"/>
  <c r="C6781" i="9"/>
  <c r="B6781" i="9"/>
  <c r="H6780" i="9"/>
  <c r="G6780" i="9"/>
  <c r="E6780" i="9"/>
  <c r="D6780" i="9"/>
  <c r="C6780" i="9"/>
  <c r="B6780" i="9"/>
  <c r="H6779" i="9"/>
  <c r="G6779" i="9"/>
  <c r="E6779" i="9"/>
  <c r="D6779" i="9"/>
  <c r="C6779" i="9"/>
  <c r="B6779" i="9"/>
  <c r="H6778" i="9"/>
  <c r="G6778" i="9"/>
  <c r="E6778" i="9"/>
  <c r="D6778" i="9"/>
  <c r="C6778" i="9"/>
  <c r="B6778" i="9"/>
  <c r="H6777" i="9"/>
  <c r="G6777" i="9"/>
  <c r="E6777" i="9"/>
  <c r="D6777" i="9"/>
  <c r="C6777" i="9"/>
  <c r="B6777" i="9"/>
  <c r="H6776" i="9"/>
  <c r="G6776" i="9"/>
  <c r="E6776" i="9"/>
  <c r="D6776" i="9"/>
  <c r="C6776" i="9"/>
  <c r="B6776" i="9"/>
  <c r="H6775" i="9"/>
  <c r="G6775" i="9"/>
  <c r="E6775" i="9"/>
  <c r="D6775" i="9"/>
  <c r="C6775" i="9"/>
  <c r="B6775" i="9"/>
  <c r="H6774" i="9"/>
  <c r="G6774" i="9"/>
  <c r="E6774" i="9"/>
  <c r="D6774" i="9"/>
  <c r="C6774" i="9"/>
  <c r="B6774" i="9"/>
  <c r="H6773" i="9"/>
  <c r="G6773" i="9"/>
  <c r="E6773" i="9"/>
  <c r="D6773" i="9"/>
  <c r="C6773" i="9"/>
  <c r="B6773" i="9"/>
  <c r="H6772" i="9"/>
  <c r="G6772" i="9"/>
  <c r="E6772" i="9"/>
  <c r="D6772" i="9"/>
  <c r="C6772" i="9"/>
  <c r="B6772" i="9"/>
  <c r="H6771" i="9"/>
  <c r="G6771" i="9"/>
  <c r="E6771" i="9"/>
  <c r="D6771" i="9"/>
  <c r="C6771" i="9"/>
  <c r="B6771" i="9"/>
  <c r="H6770" i="9"/>
  <c r="G6770" i="9"/>
  <c r="E6770" i="9"/>
  <c r="D6770" i="9"/>
  <c r="C6770" i="9"/>
  <c r="B6770" i="9"/>
  <c r="H6769" i="9"/>
  <c r="G6769" i="9"/>
  <c r="E6769" i="9"/>
  <c r="D6769" i="9"/>
  <c r="C6769" i="9"/>
  <c r="B6769" i="9"/>
  <c r="H6768" i="9"/>
  <c r="G6768" i="9"/>
  <c r="E6768" i="9"/>
  <c r="D6768" i="9"/>
  <c r="C6768" i="9"/>
  <c r="B6768" i="9"/>
  <c r="H6767" i="9"/>
  <c r="G6767" i="9"/>
  <c r="E6767" i="9"/>
  <c r="D6767" i="9"/>
  <c r="C6767" i="9"/>
  <c r="B6767" i="9"/>
  <c r="H6766" i="9"/>
  <c r="G6766" i="9"/>
  <c r="E6766" i="9"/>
  <c r="D6766" i="9"/>
  <c r="C6766" i="9"/>
  <c r="B6766" i="9"/>
  <c r="H6765" i="9"/>
  <c r="G6765" i="9"/>
  <c r="E6765" i="9"/>
  <c r="D6765" i="9"/>
  <c r="C6765" i="9"/>
  <c r="B6765" i="9"/>
  <c r="H6764" i="9"/>
  <c r="G6764" i="9"/>
  <c r="E6764" i="9"/>
  <c r="D6764" i="9"/>
  <c r="C6764" i="9"/>
  <c r="B6764" i="9"/>
  <c r="H6763" i="9"/>
  <c r="G6763" i="9"/>
  <c r="E6763" i="9"/>
  <c r="D6763" i="9"/>
  <c r="C6763" i="9"/>
  <c r="B6763" i="9"/>
  <c r="H6762" i="9"/>
  <c r="G6762" i="9"/>
  <c r="E6762" i="9"/>
  <c r="D6762" i="9"/>
  <c r="C6762" i="9"/>
  <c r="B6762" i="9"/>
  <c r="H6761" i="9"/>
  <c r="G6761" i="9"/>
  <c r="E6761" i="9"/>
  <c r="D6761" i="9"/>
  <c r="C6761" i="9"/>
  <c r="B6761" i="9"/>
  <c r="H6760" i="9"/>
  <c r="G6760" i="9"/>
  <c r="E6760" i="9"/>
  <c r="D6760" i="9"/>
  <c r="C6760" i="9"/>
  <c r="B6760" i="9"/>
  <c r="H6759" i="9"/>
  <c r="G6759" i="9"/>
  <c r="E6759" i="9"/>
  <c r="D6759" i="9"/>
  <c r="C6759" i="9"/>
  <c r="B6759" i="9"/>
  <c r="H6758" i="9"/>
  <c r="G6758" i="9"/>
  <c r="E6758" i="9"/>
  <c r="D6758" i="9"/>
  <c r="C6758" i="9"/>
  <c r="B6758" i="9"/>
  <c r="H6757" i="9"/>
  <c r="G6757" i="9"/>
  <c r="E6757" i="9"/>
  <c r="D6757" i="9"/>
  <c r="C6757" i="9"/>
  <c r="B6757" i="9"/>
  <c r="H6756" i="9"/>
  <c r="G6756" i="9"/>
  <c r="E6756" i="9"/>
  <c r="D6756" i="9"/>
  <c r="C6756" i="9"/>
  <c r="B6756" i="9"/>
  <c r="H6755" i="9"/>
  <c r="G6755" i="9"/>
  <c r="E6755" i="9"/>
  <c r="D6755" i="9"/>
  <c r="C6755" i="9"/>
  <c r="B6755" i="9"/>
  <c r="H6754" i="9"/>
  <c r="G6754" i="9"/>
  <c r="E6754" i="9"/>
  <c r="D6754" i="9"/>
  <c r="C6754" i="9"/>
  <c r="B6754" i="9"/>
  <c r="H6753" i="9"/>
  <c r="G6753" i="9"/>
  <c r="E6753" i="9"/>
  <c r="D6753" i="9"/>
  <c r="C6753" i="9"/>
  <c r="B6753" i="9"/>
  <c r="H6752" i="9"/>
  <c r="G6752" i="9"/>
  <c r="E6752" i="9"/>
  <c r="D6752" i="9"/>
  <c r="C6752" i="9"/>
  <c r="B6752" i="9"/>
  <c r="H6751" i="9"/>
  <c r="G6751" i="9"/>
  <c r="E6751" i="9"/>
  <c r="D6751" i="9"/>
  <c r="C6751" i="9"/>
  <c r="B6751" i="9"/>
  <c r="H6750" i="9"/>
  <c r="G6750" i="9"/>
  <c r="E6750" i="9"/>
  <c r="D6750" i="9"/>
  <c r="C6750" i="9"/>
  <c r="B6750" i="9"/>
  <c r="H6749" i="9"/>
  <c r="G6749" i="9"/>
  <c r="E6749" i="9"/>
  <c r="D6749" i="9"/>
  <c r="C6749" i="9"/>
  <c r="B6749" i="9"/>
  <c r="H6748" i="9"/>
  <c r="G6748" i="9"/>
  <c r="E6748" i="9"/>
  <c r="D6748" i="9"/>
  <c r="C6748" i="9"/>
  <c r="B6748" i="9"/>
  <c r="H6747" i="9"/>
  <c r="G6747" i="9"/>
  <c r="E6747" i="9"/>
  <c r="D6747" i="9"/>
  <c r="C6747" i="9"/>
  <c r="B6747" i="9"/>
  <c r="H6746" i="9"/>
  <c r="G6746" i="9"/>
  <c r="E6746" i="9"/>
  <c r="D6746" i="9"/>
  <c r="C6746" i="9"/>
  <c r="B6746" i="9"/>
  <c r="H6745" i="9"/>
  <c r="G6745" i="9"/>
  <c r="E6745" i="9"/>
  <c r="D6745" i="9"/>
  <c r="C6745" i="9"/>
  <c r="B6745" i="9"/>
  <c r="H6744" i="9"/>
  <c r="G6744" i="9"/>
  <c r="E6744" i="9"/>
  <c r="D6744" i="9"/>
  <c r="C6744" i="9"/>
  <c r="B6744" i="9"/>
  <c r="H6743" i="9"/>
  <c r="G6743" i="9"/>
  <c r="E6743" i="9"/>
  <c r="D6743" i="9"/>
  <c r="C6743" i="9"/>
  <c r="B6743" i="9"/>
  <c r="H6742" i="9"/>
  <c r="G6742" i="9"/>
  <c r="E6742" i="9"/>
  <c r="D6742" i="9"/>
  <c r="C6742" i="9"/>
  <c r="B6742" i="9"/>
  <c r="H6741" i="9"/>
  <c r="G6741" i="9"/>
  <c r="E6741" i="9"/>
  <c r="D6741" i="9"/>
  <c r="C6741" i="9"/>
  <c r="B6741" i="9"/>
  <c r="H6740" i="9"/>
  <c r="G6740" i="9"/>
  <c r="E6740" i="9"/>
  <c r="D6740" i="9"/>
  <c r="C6740" i="9"/>
  <c r="B6740" i="9"/>
  <c r="H6739" i="9"/>
  <c r="G6739" i="9"/>
  <c r="E6739" i="9"/>
  <c r="D6739" i="9"/>
  <c r="C6739" i="9"/>
  <c r="B6739" i="9"/>
  <c r="H6738" i="9"/>
  <c r="G6738" i="9"/>
  <c r="E6738" i="9"/>
  <c r="D6738" i="9"/>
  <c r="C6738" i="9"/>
  <c r="B6738" i="9"/>
  <c r="H6737" i="9"/>
  <c r="G6737" i="9"/>
  <c r="E6737" i="9"/>
  <c r="D6737" i="9"/>
  <c r="C6737" i="9"/>
  <c r="B6737" i="9"/>
  <c r="H6736" i="9"/>
  <c r="G6736" i="9"/>
  <c r="E6736" i="9"/>
  <c r="D6736" i="9"/>
  <c r="C6736" i="9"/>
  <c r="B6736" i="9"/>
  <c r="H6735" i="9"/>
  <c r="G6735" i="9"/>
  <c r="E6735" i="9"/>
  <c r="D6735" i="9"/>
  <c r="C6735" i="9"/>
  <c r="B6735" i="9"/>
  <c r="H6734" i="9"/>
  <c r="G6734" i="9"/>
  <c r="E6734" i="9"/>
  <c r="D6734" i="9"/>
  <c r="C6734" i="9"/>
  <c r="B6734" i="9"/>
  <c r="H6733" i="9"/>
  <c r="G6733" i="9"/>
  <c r="E6733" i="9"/>
  <c r="D6733" i="9"/>
  <c r="C6733" i="9"/>
  <c r="B6733" i="9"/>
  <c r="H6732" i="9"/>
  <c r="G6732" i="9"/>
  <c r="E6732" i="9"/>
  <c r="D6732" i="9"/>
  <c r="C6732" i="9"/>
  <c r="B6732" i="9"/>
  <c r="H6731" i="9"/>
  <c r="G6731" i="9"/>
  <c r="E6731" i="9"/>
  <c r="D6731" i="9"/>
  <c r="C6731" i="9"/>
  <c r="B6731" i="9"/>
  <c r="H6730" i="9"/>
  <c r="G6730" i="9"/>
  <c r="E6730" i="9"/>
  <c r="D6730" i="9"/>
  <c r="C6730" i="9"/>
  <c r="B6730" i="9"/>
  <c r="H6729" i="9"/>
  <c r="G6729" i="9"/>
  <c r="E6729" i="9"/>
  <c r="D6729" i="9"/>
  <c r="C6729" i="9"/>
  <c r="B6729" i="9"/>
  <c r="H6728" i="9"/>
  <c r="G6728" i="9"/>
  <c r="E6728" i="9"/>
  <c r="D6728" i="9"/>
  <c r="C6728" i="9"/>
  <c r="B6728" i="9"/>
  <c r="H6727" i="9"/>
  <c r="G6727" i="9"/>
  <c r="E6727" i="9"/>
  <c r="D6727" i="9"/>
  <c r="C6727" i="9"/>
  <c r="B6727" i="9"/>
  <c r="H6726" i="9"/>
  <c r="G6726" i="9"/>
  <c r="E6726" i="9"/>
  <c r="D6726" i="9"/>
  <c r="C6726" i="9"/>
  <c r="B6726" i="9"/>
  <c r="H6725" i="9"/>
  <c r="G6725" i="9"/>
  <c r="E6725" i="9"/>
  <c r="D6725" i="9"/>
  <c r="C6725" i="9"/>
  <c r="B6725" i="9"/>
  <c r="H6724" i="9"/>
  <c r="G6724" i="9"/>
  <c r="E6724" i="9"/>
  <c r="D6724" i="9"/>
  <c r="C6724" i="9"/>
  <c r="B6724" i="9"/>
  <c r="H6723" i="9"/>
  <c r="G6723" i="9"/>
  <c r="E6723" i="9"/>
  <c r="D6723" i="9"/>
  <c r="C6723" i="9"/>
  <c r="B6723" i="9"/>
  <c r="H6722" i="9"/>
  <c r="G6722" i="9"/>
  <c r="E6722" i="9"/>
  <c r="D6722" i="9"/>
  <c r="C6722" i="9"/>
  <c r="B6722" i="9"/>
  <c r="H6721" i="9"/>
  <c r="G6721" i="9"/>
  <c r="E6721" i="9"/>
  <c r="D6721" i="9"/>
  <c r="C6721" i="9"/>
  <c r="B6721" i="9"/>
  <c r="H6720" i="9"/>
  <c r="G6720" i="9"/>
  <c r="E6720" i="9"/>
  <c r="D6720" i="9"/>
  <c r="C6720" i="9"/>
  <c r="B6720" i="9"/>
  <c r="H6719" i="9"/>
  <c r="G6719" i="9"/>
  <c r="E6719" i="9"/>
  <c r="D6719" i="9"/>
  <c r="C6719" i="9"/>
  <c r="B6719" i="9"/>
  <c r="H6718" i="9"/>
  <c r="G6718" i="9"/>
  <c r="E6718" i="9"/>
  <c r="D6718" i="9"/>
  <c r="C6718" i="9"/>
  <c r="B6718" i="9"/>
  <c r="H6717" i="9"/>
  <c r="G6717" i="9"/>
  <c r="E6717" i="9"/>
  <c r="D6717" i="9"/>
  <c r="C6717" i="9"/>
  <c r="B6717" i="9"/>
  <c r="H6716" i="9"/>
  <c r="G6716" i="9"/>
  <c r="E6716" i="9"/>
  <c r="D6716" i="9"/>
  <c r="C6716" i="9"/>
  <c r="B6716" i="9"/>
  <c r="H6715" i="9"/>
  <c r="G6715" i="9"/>
  <c r="E6715" i="9"/>
  <c r="D6715" i="9"/>
  <c r="C6715" i="9"/>
  <c r="B6715" i="9"/>
  <c r="H6714" i="9"/>
  <c r="G6714" i="9"/>
  <c r="E6714" i="9"/>
  <c r="D6714" i="9"/>
  <c r="C6714" i="9"/>
  <c r="B6714" i="9"/>
  <c r="H6713" i="9"/>
  <c r="G6713" i="9"/>
  <c r="E6713" i="9"/>
  <c r="D6713" i="9"/>
  <c r="C6713" i="9"/>
  <c r="B6713" i="9"/>
  <c r="H6712" i="9"/>
  <c r="G6712" i="9"/>
  <c r="E6712" i="9"/>
  <c r="D6712" i="9"/>
  <c r="C6712" i="9"/>
  <c r="B6712" i="9"/>
  <c r="H6711" i="9"/>
  <c r="G6711" i="9"/>
  <c r="E6711" i="9"/>
  <c r="D6711" i="9"/>
  <c r="C6711" i="9"/>
  <c r="B6711" i="9"/>
  <c r="H6710" i="9"/>
  <c r="G6710" i="9"/>
  <c r="E6710" i="9"/>
  <c r="D6710" i="9"/>
  <c r="C6710" i="9"/>
  <c r="B6710" i="9"/>
  <c r="H6709" i="9"/>
  <c r="G6709" i="9"/>
  <c r="E6709" i="9"/>
  <c r="D6709" i="9"/>
  <c r="C6709" i="9"/>
  <c r="B6709" i="9"/>
  <c r="H6708" i="9"/>
  <c r="G6708" i="9"/>
  <c r="E6708" i="9"/>
  <c r="D6708" i="9"/>
  <c r="C6708" i="9"/>
  <c r="B6708" i="9"/>
  <c r="H6707" i="9"/>
  <c r="G6707" i="9"/>
  <c r="E6707" i="9"/>
  <c r="D6707" i="9"/>
  <c r="C6707" i="9"/>
  <c r="B6707" i="9"/>
  <c r="H6706" i="9"/>
  <c r="G6706" i="9"/>
  <c r="E6706" i="9"/>
  <c r="D6706" i="9"/>
  <c r="C6706" i="9"/>
  <c r="B6706" i="9"/>
  <c r="H6705" i="9"/>
  <c r="G6705" i="9"/>
  <c r="E6705" i="9"/>
  <c r="D6705" i="9"/>
  <c r="C6705" i="9"/>
  <c r="B6705" i="9"/>
  <c r="H6704" i="9"/>
  <c r="G6704" i="9"/>
  <c r="E6704" i="9"/>
  <c r="D6704" i="9"/>
  <c r="C6704" i="9"/>
  <c r="B6704" i="9"/>
  <c r="H6703" i="9"/>
  <c r="G6703" i="9"/>
  <c r="E6703" i="9"/>
  <c r="D6703" i="9"/>
  <c r="C6703" i="9"/>
  <c r="B6703" i="9"/>
  <c r="H6702" i="9"/>
  <c r="G6702" i="9"/>
  <c r="E6702" i="9"/>
  <c r="D6702" i="9"/>
  <c r="C6702" i="9"/>
  <c r="B6702" i="9"/>
  <c r="H6701" i="9"/>
  <c r="G6701" i="9"/>
  <c r="E6701" i="9"/>
  <c r="D6701" i="9"/>
  <c r="C6701" i="9"/>
  <c r="B6701" i="9"/>
  <c r="H6700" i="9"/>
  <c r="G6700" i="9"/>
  <c r="E6700" i="9"/>
  <c r="D6700" i="9"/>
  <c r="C6700" i="9"/>
  <c r="B6700" i="9"/>
  <c r="H6699" i="9"/>
  <c r="G6699" i="9"/>
  <c r="E6699" i="9"/>
  <c r="D6699" i="9"/>
  <c r="C6699" i="9"/>
  <c r="B6699" i="9"/>
  <c r="H6698" i="9"/>
  <c r="G6698" i="9"/>
  <c r="E6698" i="9"/>
  <c r="D6698" i="9"/>
  <c r="C6698" i="9"/>
  <c r="B6698" i="9"/>
  <c r="H6697" i="9"/>
  <c r="G6697" i="9"/>
  <c r="E6697" i="9"/>
  <c r="D6697" i="9"/>
  <c r="C6697" i="9"/>
  <c r="B6697" i="9"/>
  <c r="H6696" i="9"/>
  <c r="G6696" i="9"/>
  <c r="E6696" i="9"/>
  <c r="D6696" i="9"/>
  <c r="C6696" i="9"/>
  <c r="B6696" i="9"/>
  <c r="H6695" i="9"/>
  <c r="G6695" i="9"/>
  <c r="E6695" i="9"/>
  <c r="D6695" i="9"/>
  <c r="C6695" i="9"/>
  <c r="B6695" i="9"/>
  <c r="H6694" i="9"/>
  <c r="G6694" i="9"/>
  <c r="E6694" i="9"/>
  <c r="D6694" i="9"/>
  <c r="C6694" i="9"/>
  <c r="B6694" i="9"/>
  <c r="H6693" i="9"/>
  <c r="G6693" i="9"/>
  <c r="E6693" i="9"/>
  <c r="D6693" i="9"/>
  <c r="C6693" i="9"/>
  <c r="B6693" i="9"/>
  <c r="H6692" i="9"/>
  <c r="G6692" i="9"/>
  <c r="E6692" i="9"/>
  <c r="D6692" i="9"/>
  <c r="C6692" i="9"/>
  <c r="B6692" i="9"/>
  <c r="H6691" i="9"/>
  <c r="G6691" i="9"/>
  <c r="E6691" i="9"/>
  <c r="D6691" i="9"/>
  <c r="C6691" i="9"/>
  <c r="B6691" i="9"/>
  <c r="H6690" i="9"/>
  <c r="G6690" i="9"/>
  <c r="E6690" i="9"/>
  <c r="D6690" i="9"/>
  <c r="C6690" i="9"/>
  <c r="B6690" i="9"/>
  <c r="H6689" i="9"/>
  <c r="G6689" i="9"/>
  <c r="E6689" i="9"/>
  <c r="D6689" i="9"/>
  <c r="C6689" i="9"/>
  <c r="B6689" i="9"/>
  <c r="H6688" i="9"/>
  <c r="G6688" i="9"/>
  <c r="E6688" i="9"/>
  <c r="D6688" i="9"/>
  <c r="C6688" i="9"/>
  <c r="B6688" i="9"/>
  <c r="H6687" i="9"/>
  <c r="G6687" i="9"/>
  <c r="E6687" i="9"/>
  <c r="D6687" i="9"/>
  <c r="C6687" i="9"/>
  <c r="B6687" i="9"/>
  <c r="H6686" i="9"/>
  <c r="G6686" i="9"/>
  <c r="E6686" i="9"/>
  <c r="D6686" i="9"/>
  <c r="C6686" i="9"/>
  <c r="B6686" i="9"/>
  <c r="H6685" i="9"/>
  <c r="G6685" i="9"/>
  <c r="E6685" i="9"/>
  <c r="D6685" i="9"/>
  <c r="C6685" i="9"/>
  <c r="B6685" i="9"/>
  <c r="H6684" i="9"/>
  <c r="G6684" i="9"/>
  <c r="E6684" i="9"/>
  <c r="D6684" i="9"/>
  <c r="C6684" i="9"/>
  <c r="B6684" i="9"/>
  <c r="H6683" i="9"/>
  <c r="G6683" i="9"/>
  <c r="E6683" i="9"/>
  <c r="D6683" i="9"/>
  <c r="C6683" i="9"/>
  <c r="B6683" i="9"/>
  <c r="H6682" i="9"/>
  <c r="G6682" i="9"/>
  <c r="E6682" i="9"/>
  <c r="D6682" i="9"/>
  <c r="C6682" i="9"/>
  <c r="B6682" i="9"/>
  <c r="H6681" i="9"/>
  <c r="G6681" i="9"/>
  <c r="E6681" i="9"/>
  <c r="D6681" i="9"/>
  <c r="C6681" i="9"/>
  <c r="B6681" i="9"/>
  <c r="H6680" i="9"/>
  <c r="G6680" i="9"/>
  <c r="E6680" i="9"/>
  <c r="D6680" i="9"/>
  <c r="C6680" i="9"/>
  <c r="B6680" i="9"/>
  <c r="H6679" i="9"/>
  <c r="G6679" i="9"/>
  <c r="E6679" i="9"/>
  <c r="D6679" i="9"/>
  <c r="C6679" i="9"/>
  <c r="B6679" i="9"/>
  <c r="H6678" i="9"/>
  <c r="G6678" i="9"/>
  <c r="E6678" i="9"/>
  <c r="D6678" i="9"/>
  <c r="C6678" i="9"/>
  <c r="B6678" i="9"/>
  <c r="H6677" i="9"/>
  <c r="G6677" i="9"/>
  <c r="E6677" i="9"/>
  <c r="D6677" i="9"/>
  <c r="C6677" i="9"/>
  <c r="B6677" i="9"/>
  <c r="H6676" i="9"/>
  <c r="G6676" i="9"/>
  <c r="E6676" i="9"/>
  <c r="D6676" i="9"/>
  <c r="C6676" i="9"/>
  <c r="B6676" i="9"/>
  <c r="H6675" i="9"/>
  <c r="G6675" i="9"/>
  <c r="E6675" i="9"/>
  <c r="D6675" i="9"/>
  <c r="C6675" i="9"/>
  <c r="B6675" i="9"/>
  <c r="H6674" i="9"/>
  <c r="G6674" i="9"/>
  <c r="E6674" i="9"/>
  <c r="D6674" i="9"/>
  <c r="C6674" i="9"/>
  <c r="B6674" i="9"/>
  <c r="H6673" i="9"/>
  <c r="G6673" i="9"/>
  <c r="E6673" i="9"/>
  <c r="D6673" i="9"/>
  <c r="C6673" i="9"/>
  <c r="B6673" i="9"/>
  <c r="H6672" i="9"/>
  <c r="G6672" i="9"/>
  <c r="E6672" i="9"/>
  <c r="D6672" i="9"/>
  <c r="C6672" i="9"/>
  <c r="B6672" i="9"/>
  <c r="H6671" i="9"/>
  <c r="G6671" i="9"/>
  <c r="E6671" i="9"/>
  <c r="D6671" i="9"/>
  <c r="C6671" i="9"/>
  <c r="B6671" i="9"/>
  <c r="H6670" i="9"/>
  <c r="G6670" i="9"/>
  <c r="E6670" i="9"/>
  <c r="D6670" i="9"/>
  <c r="C6670" i="9"/>
  <c r="B6670" i="9"/>
  <c r="H6669" i="9"/>
  <c r="G6669" i="9"/>
  <c r="E6669" i="9"/>
  <c r="D6669" i="9"/>
  <c r="C6669" i="9"/>
  <c r="B6669" i="9"/>
  <c r="H6668" i="9"/>
  <c r="G6668" i="9"/>
  <c r="E6668" i="9"/>
  <c r="D6668" i="9"/>
  <c r="C6668" i="9"/>
  <c r="B6668" i="9"/>
  <c r="H6667" i="9"/>
  <c r="G6667" i="9"/>
  <c r="E6667" i="9"/>
  <c r="D6667" i="9"/>
  <c r="C6667" i="9"/>
  <c r="B6667" i="9"/>
  <c r="H6666" i="9"/>
  <c r="G6666" i="9"/>
  <c r="E6666" i="9"/>
  <c r="D6666" i="9"/>
  <c r="C6666" i="9"/>
  <c r="B6666" i="9"/>
  <c r="H6665" i="9"/>
  <c r="G6665" i="9"/>
  <c r="E6665" i="9"/>
  <c r="D6665" i="9"/>
  <c r="C6665" i="9"/>
  <c r="B6665" i="9"/>
  <c r="H6664" i="9"/>
  <c r="G6664" i="9"/>
  <c r="E6664" i="9"/>
  <c r="D6664" i="9"/>
  <c r="C6664" i="9"/>
  <c r="B6664" i="9"/>
  <c r="H6663" i="9"/>
  <c r="G6663" i="9"/>
  <c r="E6663" i="9"/>
  <c r="D6663" i="9"/>
  <c r="C6663" i="9"/>
  <c r="B6663" i="9"/>
  <c r="H6662" i="9"/>
  <c r="G6662" i="9"/>
  <c r="E6662" i="9"/>
  <c r="D6662" i="9"/>
  <c r="C6662" i="9"/>
  <c r="B6662" i="9"/>
  <c r="H6661" i="9"/>
  <c r="G6661" i="9"/>
  <c r="E6661" i="9"/>
  <c r="D6661" i="9"/>
  <c r="C6661" i="9"/>
  <c r="B6661" i="9"/>
  <c r="H6660" i="9"/>
  <c r="G6660" i="9"/>
  <c r="E6660" i="9"/>
  <c r="D6660" i="9"/>
  <c r="C6660" i="9"/>
  <c r="B6660" i="9"/>
  <c r="H6659" i="9"/>
  <c r="G6659" i="9"/>
  <c r="E6659" i="9"/>
  <c r="D6659" i="9"/>
  <c r="C6659" i="9"/>
  <c r="B6659" i="9"/>
  <c r="H6658" i="9"/>
  <c r="G6658" i="9"/>
  <c r="E6658" i="9"/>
  <c r="D6658" i="9"/>
  <c r="C6658" i="9"/>
  <c r="B6658" i="9"/>
  <c r="H6657" i="9"/>
  <c r="G6657" i="9"/>
  <c r="E6657" i="9"/>
  <c r="D6657" i="9"/>
  <c r="C6657" i="9"/>
  <c r="B6657" i="9"/>
  <c r="H6656" i="9"/>
  <c r="G6656" i="9"/>
  <c r="E6656" i="9"/>
  <c r="D6656" i="9"/>
  <c r="C6656" i="9"/>
  <c r="B6656" i="9"/>
  <c r="H6655" i="9"/>
  <c r="G6655" i="9"/>
  <c r="E6655" i="9"/>
  <c r="D6655" i="9"/>
  <c r="C6655" i="9"/>
  <c r="B6655" i="9"/>
  <c r="H6654" i="9"/>
  <c r="G6654" i="9"/>
  <c r="E6654" i="9"/>
  <c r="D6654" i="9"/>
  <c r="C6654" i="9"/>
  <c r="B6654" i="9"/>
  <c r="H6653" i="9"/>
  <c r="G6653" i="9"/>
  <c r="E6653" i="9"/>
  <c r="D6653" i="9"/>
  <c r="C6653" i="9"/>
  <c r="B6653" i="9"/>
  <c r="H6652" i="9"/>
  <c r="G6652" i="9"/>
  <c r="E6652" i="9"/>
  <c r="D6652" i="9"/>
  <c r="C6652" i="9"/>
  <c r="B6652" i="9"/>
  <c r="H6651" i="9"/>
  <c r="G6651" i="9"/>
  <c r="E6651" i="9"/>
  <c r="D6651" i="9"/>
  <c r="C6651" i="9"/>
  <c r="B6651" i="9"/>
  <c r="H6650" i="9"/>
  <c r="G6650" i="9"/>
  <c r="E6650" i="9"/>
  <c r="D6650" i="9"/>
  <c r="C6650" i="9"/>
  <c r="B6650" i="9"/>
  <c r="H6649" i="9"/>
  <c r="G6649" i="9"/>
  <c r="E6649" i="9"/>
  <c r="D6649" i="9"/>
  <c r="C6649" i="9"/>
  <c r="B6649" i="9"/>
  <c r="H6648" i="9"/>
  <c r="G6648" i="9"/>
  <c r="E6648" i="9"/>
  <c r="D6648" i="9"/>
  <c r="C6648" i="9"/>
  <c r="B6648" i="9"/>
  <c r="H6647" i="9"/>
  <c r="G6647" i="9"/>
  <c r="E6647" i="9"/>
  <c r="D6647" i="9"/>
  <c r="C6647" i="9"/>
  <c r="B6647" i="9"/>
  <c r="H6646" i="9"/>
  <c r="G6646" i="9"/>
  <c r="E6646" i="9"/>
  <c r="D6646" i="9"/>
  <c r="C6646" i="9"/>
  <c r="B6646" i="9"/>
  <c r="H6645" i="9"/>
  <c r="G6645" i="9"/>
  <c r="E6645" i="9"/>
  <c r="D6645" i="9"/>
  <c r="C6645" i="9"/>
  <c r="B6645" i="9"/>
  <c r="H6644" i="9"/>
  <c r="G6644" i="9"/>
  <c r="E6644" i="9"/>
  <c r="D6644" i="9"/>
  <c r="C6644" i="9"/>
  <c r="B6644" i="9"/>
  <c r="H6643" i="9"/>
  <c r="G6643" i="9"/>
  <c r="E6643" i="9"/>
  <c r="D6643" i="9"/>
  <c r="C6643" i="9"/>
  <c r="B6643" i="9"/>
  <c r="H6642" i="9"/>
  <c r="G6642" i="9"/>
  <c r="E6642" i="9"/>
  <c r="D6642" i="9"/>
  <c r="C6642" i="9"/>
  <c r="B6642" i="9"/>
  <c r="H6641" i="9"/>
  <c r="G6641" i="9"/>
  <c r="E6641" i="9"/>
  <c r="D6641" i="9"/>
  <c r="C6641" i="9"/>
  <c r="B6641" i="9"/>
  <c r="H6640" i="9"/>
  <c r="G6640" i="9"/>
  <c r="E6640" i="9"/>
  <c r="D6640" i="9"/>
  <c r="C6640" i="9"/>
  <c r="B6640" i="9"/>
  <c r="H6639" i="9"/>
  <c r="G6639" i="9"/>
  <c r="E6639" i="9"/>
  <c r="D6639" i="9"/>
  <c r="C6639" i="9"/>
  <c r="B6639" i="9"/>
  <c r="H6638" i="9"/>
  <c r="G6638" i="9"/>
  <c r="E6638" i="9"/>
  <c r="D6638" i="9"/>
  <c r="C6638" i="9"/>
  <c r="B6638" i="9"/>
  <c r="H6637" i="9"/>
  <c r="G6637" i="9"/>
  <c r="E6637" i="9"/>
  <c r="D6637" i="9"/>
  <c r="C6637" i="9"/>
  <c r="B6637" i="9"/>
  <c r="H6636" i="9"/>
  <c r="G6636" i="9"/>
  <c r="E6636" i="9"/>
  <c r="D6636" i="9"/>
  <c r="C6636" i="9"/>
  <c r="B6636" i="9"/>
  <c r="H6635" i="9"/>
  <c r="G6635" i="9"/>
  <c r="E6635" i="9"/>
  <c r="D6635" i="9"/>
  <c r="C6635" i="9"/>
  <c r="B6635" i="9"/>
  <c r="H6634" i="9"/>
  <c r="G6634" i="9"/>
  <c r="E6634" i="9"/>
  <c r="D6634" i="9"/>
  <c r="C6634" i="9"/>
  <c r="B6634" i="9"/>
  <c r="H6633" i="9"/>
  <c r="G6633" i="9"/>
  <c r="E6633" i="9"/>
  <c r="D6633" i="9"/>
  <c r="C6633" i="9"/>
  <c r="B6633" i="9"/>
  <c r="H6632" i="9"/>
  <c r="G6632" i="9"/>
  <c r="E6632" i="9"/>
  <c r="D6632" i="9"/>
  <c r="C6632" i="9"/>
  <c r="B6632" i="9"/>
  <c r="H6631" i="9"/>
  <c r="G6631" i="9"/>
  <c r="E6631" i="9"/>
  <c r="D6631" i="9"/>
  <c r="C6631" i="9"/>
  <c r="B6631" i="9"/>
  <c r="H6630" i="9"/>
  <c r="G6630" i="9"/>
  <c r="E6630" i="9"/>
  <c r="D6630" i="9"/>
  <c r="C6630" i="9"/>
  <c r="B6630" i="9"/>
  <c r="H6629" i="9"/>
  <c r="G6629" i="9"/>
  <c r="E6629" i="9"/>
  <c r="D6629" i="9"/>
  <c r="C6629" i="9"/>
  <c r="B6629" i="9"/>
  <c r="H6628" i="9"/>
  <c r="G6628" i="9"/>
  <c r="E6628" i="9"/>
  <c r="D6628" i="9"/>
  <c r="C6628" i="9"/>
  <c r="B6628" i="9"/>
  <c r="H6627" i="9"/>
  <c r="G6627" i="9"/>
  <c r="E6627" i="9"/>
  <c r="D6627" i="9"/>
  <c r="C6627" i="9"/>
  <c r="B6627" i="9"/>
  <c r="H6626" i="9"/>
  <c r="G6626" i="9"/>
  <c r="E6626" i="9"/>
  <c r="D6626" i="9"/>
  <c r="C6626" i="9"/>
  <c r="B6626" i="9"/>
  <c r="H6625" i="9"/>
  <c r="G6625" i="9"/>
  <c r="E6625" i="9"/>
  <c r="D6625" i="9"/>
  <c r="C6625" i="9"/>
  <c r="B6625" i="9"/>
  <c r="H6624" i="9"/>
  <c r="G6624" i="9"/>
  <c r="E6624" i="9"/>
  <c r="D6624" i="9"/>
  <c r="C6624" i="9"/>
  <c r="B6624" i="9"/>
  <c r="H6623" i="9"/>
  <c r="G6623" i="9"/>
  <c r="E6623" i="9"/>
  <c r="D6623" i="9"/>
  <c r="C6623" i="9"/>
  <c r="B6623" i="9"/>
  <c r="H6622" i="9"/>
  <c r="G6622" i="9"/>
  <c r="E6622" i="9"/>
  <c r="D6622" i="9"/>
  <c r="C6622" i="9"/>
  <c r="B6622" i="9"/>
  <c r="H6621" i="9"/>
  <c r="G6621" i="9"/>
  <c r="E6621" i="9"/>
  <c r="D6621" i="9"/>
  <c r="C6621" i="9"/>
  <c r="B6621" i="9"/>
  <c r="H6620" i="9"/>
  <c r="G6620" i="9"/>
  <c r="E6620" i="9"/>
  <c r="D6620" i="9"/>
  <c r="C6620" i="9"/>
  <c r="B6620" i="9"/>
  <c r="H6619" i="9"/>
  <c r="G6619" i="9"/>
  <c r="E6619" i="9"/>
  <c r="D6619" i="9"/>
  <c r="C6619" i="9"/>
  <c r="B6619" i="9"/>
  <c r="H6618" i="9"/>
  <c r="G6618" i="9"/>
  <c r="E6618" i="9"/>
  <c r="D6618" i="9"/>
  <c r="C6618" i="9"/>
  <c r="B6618" i="9"/>
  <c r="H6617" i="9"/>
  <c r="G6617" i="9"/>
  <c r="E6617" i="9"/>
  <c r="D6617" i="9"/>
  <c r="C6617" i="9"/>
  <c r="B6617" i="9"/>
  <c r="H6616" i="9"/>
  <c r="G6616" i="9"/>
  <c r="E6616" i="9"/>
  <c r="D6616" i="9"/>
  <c r="C6616" i="9"/>
  <c r="B6616" i="9"/>
  <c r="H6615" i="9"/>
  <c r="G6615" i="9"/>
  <c r="E6615" i="9"/>
  <c r="D6615" i="9"/>
  <c r="C6615" i="9"/>
  <c r="B6615" i="9"/>
  <c r="H6614" i="9"/>
  <c r="G6614" i="9"/>
  <c r="E6614" i="9"/>
  <c r="D6614" i="9"/>
  <c r="C6614" i="9"/>
  <c r="B6614" i="9"/>
  <c r="H6613" i="9"/>
  <c r="G6613" i="9"/>
  <c r="E6613" i="9"/>
  <c r="D6613" i="9"/>
  <c r="C6613" i="9"/>
  <c r="B6613" i="9"/>
  <c r="H6612" i="9"/>
  <c r="G6612" i="9"/>
  <c r="E6612" i="9"/>
  <c r="D6612" i="9"/>
  <c r="C6612" i="9"/>
  <c r="B6612" i="9"/>
  <c r="H6611" i="9"/>
  <c r="G6611" i="9"/>
  <c r="E6611" i="9"/>
  <c r="D6611" i="9"/>
  <c r="C6611" i="9"/>
  <c r="B6611" i="9"/>
  <c r="H6610" i="9"/>
  <c r="G6610" i="9"/>
  <c r="E6610" i="9"/>
  <c r="D6610" i="9"/>
  <c r="C6610" i="9"/>
  <c r="B6610" i="9"/>
  <c r="H6609" i="9"/>
  <c r="G6609" i="9"/>
  <c r="E6609" i="9"/>
  <c r="D6609" i="9"/>
  <c r="C6609" i="9"/>
  <c r="B6609" i="9"/>
  <c r="H6608" i="9"/>
  <c r="G6608" i="9"/>
  <c r="E6608" i="9"/>
  <c r="D6608" i="9"/>
  <c r="C6608" i="9"/>
  <c r="B6608" i="9"/>
  <c r="H6607" i="9"/>
  <c r="G6607" i="9"/>
  <c r="E6607" i="9"/>
  <c r="D6607" i="9"/>
  <c r="C6607" i="9"/>
  <c r="B6607" i="9"/>
  <c r="H6606" i="9"/>
  <c r="G6606" i="9"/>
  <c r="E6606" i="9"/>
  <c r="D6606" i="9"/>
  <c r="C6606" i="9"/>
  <c r="B6606" i="9"/>
  <c r="H6605" i="9"/>
  <c r="G6605" i="9"/>
  <c r="E6605" i="9"/>
  <c r="D6605" i="9"/>
  <c r="C6605" i="9"/>
  <c r="B6605" i="9"/>
  <c r="H6604" i="9"/>
  <c r="G6604" i="9"/>
  <c r="E6604" i="9"/>
  <c r="D6604" i="9"/>
  <c r="C6604" i="9"/>
  <c r="B6604" i="9"/>
  <c r="H6603" i="9"/>
  <c r="G6603" i="9"/>
  <c r="E6603" i="9"/>
  <c r="D6603" i="9"/>
  <c r="C6603" i="9"/>
  <c r="B6603" i="9"/>
  <c r="H6602" i="9"/>
  <c r="G6602" i="9"/>
  <c r="E6602" i="9"/>
  <c r="D6602" i="9"/>
  <c r="C6602" i="9"/>
  <c r="B6602" i="9"/>
  <c r="H6601" i="9"/>
  <c r="G6601" i="9"/>
  <c r="E6601" i="9"/>
  <c r="D6601" i="9"/>
  <c r="C6601" i="9"/>
  <c r="B6601" i="9"/>
  <c r="H6600" i="9"/>
  <c r="G6600" i="9"/>
  <c r="E6600" i="9"/>
  <c r="D6600" i="9"/>
  <c r="C6600" i="9"/>
  <c r="B6600" i="9"/>
  <c r="H6599" i="9"/>
  <c r="G6599" i="9"/>
  <c r="E6599" i="9"/>
  <c r="D6599" i="9"/>
  <c r="C6599" i="9"/>
  <c r="B6599" i="9"/>
  <c r="H6598" i="9"/>
  <c r="G6598" i="9"/>
  <c r="E6598" i="9"/>
  <c r="D6598" i="9"/>
  <c r="C6598" i="9"/>
  <c r="B6598" i="9"/>
  <c r="H6597" i="9"/>
  <c r="G6597" i="9"/>
  <c r="E6597" i="9"/>
  <c r="D6597" i="9"/>
  <c r="C6597" i="9"/>
  <c r="B6597" i="9"/>
  <c r="H6596" i="9"/>
  <c r="G6596" i="9"/>
  <c r="E6596" i="9"/>
  <c r="D6596" i="9"/>
  <c r="C6596" i="9"/>
  <c r="B6596" i="9"/>
  <c r="H6595" i="9"/>
  <c r="G6595" i="9"/>
  <c r="E6595" i="9"/>
  <c r="D6595" i="9"/>
  <c r="C6595" i="9"/>
  <c r="B6595" i="9"/>
  <c r="H6594" i="9"/>
  <c r="G6594" i="9"/>
  <c r="E6594" i="9"/>
  <c r="D6594" i="9"/>
  <c r="C6594" i="9"/>
  <c r="B6594" i="9"/>
  <c r="H6593" i="9"/>
  <c r="G6593" i="9"/>
  <c r="E6593" i="9"/>
  <c r="D6593" i="9"/>
  <c r="C6593" i="9"/>
  <c r="B6593" i="9"/>
  <c r="H6592" i="9"/>
  <c r="G6592" i="9"/>
  <c r="E6592" i="9"/>
  <c r="D6592" i="9"/>
  <c r="C6592" i="9"/>
  <c r="B6592" i="9"/>
  <c r="H6591" i="9"/>
  <c r="G6591" i="9"/>
  <c r="E6591" i="9"/>
  <c r="D6591" i="9"/>
  <c r="C6591" i="9"/>
  <c r="B6591" i="9"/>
  <c r="H6590" i="9"/>
  <c r="G6590" i="9"/>
  <c r="E6590" i="9"/>
  <c r="D6590" i="9"/>
  <c r="C6590" i="9"/>
  <c r="B6590" i="9"/>
  <c r="H6589" i="9"/>
  <c r="G6589" i="9"/>
  <c r="E6589" i="9"/>
  <c r="D6589" i="9"/>
  <c r="C6589" i="9"/>
  <c r="B6589" i="9"/>
  <c r="H6588" i="9"/>
  <c r="G6588" i="9"/>
  <c r="E6588" i="9"/>
  <c r="D6588" i="9"/>
  <c r="C6588" i="9"/>
  <c r="B6588" i="9"/>
  <c r="H6587" i="9"/>
  <c r="G6587" i="9"/>
  <c r="E6587" i="9"/>
  <c r="D6587" i="9"/>
  <c r="C6587" i="9"/>
  <c r="B6587" i="9"/>
  <c r="H6586" i="9"/>
  <c r="G6586" i="9"/>
  <c r="E6586" i="9"/>
  <c r="D6586" i="9"/>
  <c r="C6586" i="9"/>
  <c r="B6586" i="9"/>
  <c r="H6585" i="9"/>
  <c r="G6585" i="9"/>
  <c r="E6585" i="9"/>
  <c r="D6585" i="9"/>
  <c r="C6585" i="9"/>
  <c r="B6585" i="9"/>
  <c r="H6584" i="9"/>
  <c r="G6584" i="9"/>
  <c r="E6584" i="9"/>
  <c r="D6584" i="9"/>
  <c r="C6584" i="9"/>
  <c r="B6584" i="9"/>
  <c r="H6583" i="9"/>
  <c r="G6583" i="9"/>
  <c r="E6583" i="9"/>
  <c r="D6583" i="9"/>
  <c r="C6583" i="9"/>
  <c r="B6583" i="9"/>
  <c r="H6582" i="9"/>
  <c r="G6582" i="9"/>
  <c r="E6582" i="9"/>
  <c r="D6582" i="9"/>
  <c r="C6582" i="9"/>
  <c r="B6582" i="9"/>
  <c r="H6581" i="9"/>
  <c r="G6581" i="9"/>
  <c r="E6581" i="9"/>
  <c r="D6581" i="9"/>
  <c r="C6581" i="9"/>
  <c r="B6581" i="9"/>
  <c r="H6580" i="9"/>
  <c r="G6580" i="9"/>
  <c r="E6580" i="9"/>
  <c r="D6580" i="9"/>
  <c r="C6580" i="9"/>
  <c r="B6580" i="9"/>
  <c r="H6579" i="9"/>
  <c r="G6579" i="9"/>
  <c r="E6579" i="9"/>
  <c r="D6579" i="9"/>
  <c r="C6579" i="9"/>
  <c r="B6579" i="9"/>
  <c r="H6578" i="9"/>
  <c r="G6578" i="9"/>
  <c r="E6578" i="9"/>
  <c r="D6578" i="9"/>
  <c r="C6578" i="9"/>
  <c r="B6578" i="9"/>
  <c r="H6577" i="9"/>
  <c r="G6577" i="9"/>
  <c r="E6577" i="9"/>
  <c r="D6577" i="9"/>
  <c r="C6577" i="9"/>
  <c r="B6577" i="9"/>
  <c r="H6576" i="9"/>
  <c r="G6576" i="9"/>
  <c r="E6576" i="9"/>
  <c r="D6576" i="9"/>
  <c r="C6576" i="9"/>
  <c r="B6576" i="9"/>
  <c r="H6575" i="9"/>
  <c r="G6575" i="9"/>
  <c r="E6575" i="9"/>
  <c r="D6575" i="9"/>
  <c r="C6575" i="9"/>
  <c r="B6575" i="9"/>
  <c r="H6574" i="9"/>
  <c r="G6574" i="9"/>
  <c r="E6574" i="9"/>
  <c r="D6574" i="9"/>
  <c r="C6574" i="9"/>
  <c r="B6574" i="9"/>
  <c r="H6573" i="9"/>
  <c r="G6573" i="9"/>
  <c r="E6573" i="9"/>
  <c r="D6573" i="9"/>
  <c r="C6573" i="9"/>
  <c r="B6573" i="9"/>
  <c r="H6572" i="9"/>
  <c r="G6572" i="9"/>
  <c r="E6572" i="9"/>
  <c r="D6572" i="9"/>
  <c r="C6572" i="9"/>
  <c r="B6572" i="9"/>
  <c r="H6571" i="9"/>
  <c r="G6571" i="9"/>
  <c r="E6571" i="9"/>
  <c r="D6571" i="9"/>
  <c r="C6571" i="9"/>
  <c r="B6571" i="9"/>
  <c r="H6570" i="9"/>
  <c r="G6570" i="9"/>
  <c r="E6570" i="9"/>
  <c r="D6570" i="9"/>
  <c r="C6570" i="9"/>
  <c r="B6570" i="9"/>
  <c r="H6569" i="9"/>
  <c r="G6569" i="9"/>
  <c r="E6569" i="9"/>
  <c r="D6569" i="9"/>
  <c r="C6569" i="9"/>
  <c r="B6569" i="9"/>
  <c r="H6568" i="9"/>
  <c r="G6568" i="9"/>
  <c r="E6568" i="9"/>
  <c r="D6568" i="9"/>
  <c r="C6568" i="9"/>
  <c r="B6568" i="9"/>
  <c r="H6567" i="9"/>
  <c r="G6567" i="9"/>
  <c r="E6567" i="9"/>
  <c r="D6567" i="9"/>
  <c r="C6567" i="9"/>
  <c r="B6567" i="9"/>
  <c r="H6566" i="9"/>
  <c r="G6566" i="9"/>
  <c r="E6566" i="9"/>
  <c r="D6566" i="9"/>
  <c r="C6566" i="9"/>
  <c r="B6566" i="9"/>
  <c r="H6565" i="9"/>
  <c r="G6565" i="9"/>
  <c r="E6565" i="9"/>
  <c r="D6565" i="9"/>
  <c r="C6565" i="9"/>
  <c r="B6565" i="9"/>
  <c r="H6564" i="9"/>
  <c r="G6564" i="9"/>
  <c r="E6564" i="9"/>
  <c r="D6564" i="9"/>
  <c r="C6564" i="9"/>
  <c r="B6564" i="9"/>
  <c r="H6563" i="9"/>
  <c r="G6563" i="9"/>
  <c r="E6563" i="9"/>
  <c r="D6563" i="9"/>
  <c r="C6563" i="9"/>
  <c r="B6563" i="9"/>
  <c r="H6562" i="9"/>
  <c r="G6562" i="9"/>
  <c r="E6562" i="9"/>
  <c r="D6562" i="9"/>
  <c r="C6562" i="9"/>
  <c r="B6562" i="9"/>
  <c r="H6561" i="9"/>
  <c r="G6561" i="9"/>
  <c r="E6561" i="9"/>
  <c r="D6561" i="9"/>
  <c r="C6561" i="9"/>
  <c r="B6561" i="9"/>
  <c r="H6560" i="9"/>
  <c r="G6560" i="9"/>
  <c r="E6560" i="9"/>
  <c r="D6560" i="9"/>
  <c r="C6560" i="9"/>
  <c r="B6560" i="9"/>
  <c r="H6559" i="9"/>
  <c r="G6559" i="9"/>
  <c r="E6559" i="9"/>
  <c r="D6559" i="9"/>
  <c r="C6559" i="9"/>
  <c r="B6559" i="9"/>
  <c r="H6558" i="9"/>
  <c r="G6558" i="9"/>
  <c r="E6558" i="9"/>
  <c r="D6558" i="9"/>
  <c r="C6558" i="9"/>
  <c r="B6558" i="9"/>
  <c r="H6557" i="9"/>
  <c r="G6557" i="9"/>
  <c r="E6557" i="9"/>
  <c r="D6557" i="9"/>
  <c r="C6557" i="9"/>
  <c r="B6557" i="9"/>
  <c r="H6556" i="9"/>
  <c r="G6556" i="9"/>
  <c r="E6556" i="9"/>
  <c r="D6556" i="9"/>
  <c r="C6556" i="9"/>
  <c r="B6556" i="9"/>
  <c r="H6555" i="9"/>
  <c r="G6555" i="9"/>
  <c r="E6555" i="9"/>
  <c r="D6555" i="9"/>
  <c r="C6555" i="9"/>
  <c r="B6555" i="9"/>
  <c r="H6554" i="9"/>
  <c r="G6554" i="9"/>
  <c r="E6554" i="9"/>
  <c r="D6554" i="9"/>
  <c r="C6554" i="9"/>
  <c r="B6554" i="9"/>
  <c r="H6553" i="9"/>
  <c r="G6553" i="9"/>
  <c r="E6553" i="9"/>
  <c r="D6553" i="9"/>
  <c r="C6553" i="9"/>
  <c r="B6553" i="9"/>
  <c r="H6552" i="9"/>
  <c r="G6552" i="9"/>
  <c r="E6552" i="9"/>
  <c r="D6552" i="9"/>
  <c r="C6552" i="9"/>
  <c r="B6552" i="9"/>
  <c r="H6551" i="9"/>
  <c r="G6551" i="9"/>
  <c r="E6551" i="9"/>
  <c r="D6551" i="9"/>
  <c r="C6551" i="9"/>
  <c r="B6551" i="9"/>
  <c r="H6550" i="9"/>
  <c r="G6550" i="9"/>
  <c r="E6550" i="9"/>
  <c r="D6550" i="9"/>
  <c r="C6550" i="9"/>
  <c r="B6550" i="9"/>
  <c r="H6549" i="9"/>
  <c r="G6549" i="9"/>
  <c r="E6549" i="9"/>
  <c r="D6549" i="9"/>
  <c r="C6549" i="9"/>
  <c r="B6549" i="9"/>
  <c r="H6548" i="9"/>
  <c r="G6548" i="9"/>
  <c r="E6548" i="9"/>
  <c r="D6548" i="9"/>
  <c r="C6548" i="9"/>
  <c r="B6548" i="9"/>
  <c r="H6547" i="9"/>
  <c r="G6547" i="9"/>
  <c r="E6547" i="9"/>
  <c r="D6547" i="9"/>
  <c r="C6547" i="9"/>
  <c r="B6547" i="9"/>
  <c r="H6546" i="9"/>
  <c r="G6546" i="9"/>
  <c r="E6546" i="9"/>
  <c r="D6546" i="9"/>
  <c r="C6546" i="9"/>
  <c r="B6546" i="9"/>
  <c r="H6545" i="9"/>
  <c r="G6545" i="9"/>
  <c r="E6545" i="9"/>
  <c r="D6545" i="9"/>
  <c r="C6545" i="9"/>
  <c r="B6545" i="9"/>
  <c r="H6544" i="9"/>
  <c r="G6544" i="9"/>
  <c r="E6544" i="9"/>
  <c r="D6544" i="9"/>
  <c r="C6544" i="9"/>
  <c r="B6544" i="9"/>
  <c r="H6543" i="9"/>
  <c r="G6543" i="9"/>
  <c r="E6543" i="9"/>
  <c r="D6543" i="9"/>
  <c r="C6543" i="9"/>
  <c r="B6543" i="9"/>
  <c r="H6542" i="9"/>
  <c r="G6542" i="9"/>
  <c r="E6542" i="9"/>
  <c r="D6542" i="9"/>
  <c r="C6542" i="9"/>
  <c r="B6542" i="9"/>
  <c r="H6541" i="9"/>
  <c r="G6541" i="9"/>
  <c r="E6541" i="9"/>
  <c r="D6541" i="9"/>
  <c r="C6541" i="9"/>
  <c r="B6541" i="9"/>
  <c r="H6540" i="9"/>
  <c r="G6540" i="9"/>
  <c r="E6540" i="9"/>
  <c r="D6540" i="9"/>
  <c r="C6540" i="9"/>
  <c r="B6540" i="9"/>
  <c r="H6539" i="9"/>
  <c r="G6539" i="9"/>
  <c r="E6539" i="9"/>
  <c r="D6539" i="9"/>
  <c r="C6539" i="9"/>
  <c r="B6539" i="9"/>
  <c r="H6538" i="9"/>
  <c r="G6538" i="9"/>
  <c r="E6538" i="9"/>
  <c r="D6538" i="9"/>
  <c r="C6538" i="9"/>
  <c r="B6538" i="9"/>
  <c r="H6537" i="9"/>
  <c r="G6537" i="9"/>
  <c r="E6537" i="9"/>
  <c r="D6537" i="9"/>
  <c r="C6537" i="9"/>
  <c r="B6537" i="9"/>
  <c r="H6536" i="9"/>
  <c r="G6536" i="9"/>
  <c r="E6536" i="9"/>
  <c r="D6536" i="9"/>
  <c r="C6536" i="9"/>
  <c r="B6536" i="9"/>
  <c r="H6535" i="9"/>
  <c r="G6535" i="9"/>
  <c r="E6535" i="9"/>
  <c r="D6535" i="9"/>
  <c r="C6535" i="9"/>
  <c r="B6535" i="9"/>
  <c r="H6534" i="9"/>
  <c r="G6534" i="9"/>
  <c r="E6534" i="9"/>
  <c r="D6534" i="9"/>
  <c r="C6534" i="9"/>
  <c r="B6534" i="9"/>
  <c r="H6533" i="9"/>
  <c r="G6533" i="9"/>
  <c r="E6533" i="9"/>
  <c r="D6533" i="9"/>
  <c r="C6533" i="9"/>
  <c r="B6533" i="9"/>
  <c r="H6532" i="9"/>
  <c r="G6532" i="9"/>
  <c r="E6532" i="9"/>
  <c r="D6532" i="9"/>
  <c r="C6532" i="9"/>
  <c r="B6532" i="9"/>
  <c r="H6531" i="9"/>
  <c r="G6531" i="9"/>
  <c r="E6531" i="9"/>
  <c r="D6531" i="9"/>
  <c r="C6531" i="9"/>
  <c r="B6531" i="9"/>
  <c r="H6530" i="9"/>
  <c r="G6530" i="9"/>
  <c r="E6530" i="9"/>
  <c r="D6530" i="9"/>
  <c r="C6530" i="9"/>
  <c r="B6530" i="9"/>
  <c r="H6529" i="9"/>
  <c r="G6529" i="9"/>
  <c r="E6529" i="9"/>
  <c r="D6529" i="9"/>
  <c r="C6529" i="9"/>
  <c r="B6529" i="9"/>
  <c r="H6528" i="9"/>
  <c r="G6528" i="9"/>
  <c r="E6528" i="9"/>
  <c r="D6528" i="9"/>
  <c r="C6528" i="9"/>
  <c r="B6528" i="9"/>
  <c r="H6527" i="9"/>
  <c r="G6527" i="9"/>
  <c r="E6527" i="9"/>
  <c r="D6527" i="9"/>
  <c r="C6527" i="9"/>
  <c r="B6527" i="9"/>
  <c r="H6526" i="9"/>
  <c r="G6526" i="9"/>
  <c r="E6526" i="9"/>
  <c r="D6526" i="9"/>
  <c r="C6526" i="9"/>
  <c r="B6526" i="9"/>
  <c r="H6525" i="9"/>
  <c r="G6525" i="9"/>
  <c r="E6525" i="9"/>
  <c r="D6525" i="9"/>
  <c r="C6525" i="9"/>
  <c r="B6525" i="9"/>
  <c r="H6524" i="9"/>
  <c r="G6524" i="9"/>
  <c r="E6524" i="9"/>
  <c r="D6524" i="9"/>
  <c r="C6524" i="9"/>
  <c r="B6524" i="9"/>
  <c r="H6523" i="9"/>
  <c r="G6523" i="9"/>
  <c r="E6523" i="9"/>
  <c r="D6523" i="9"/>
  <c r="C6523" i="9"/>
  <c r="B6523" i="9"/>
  <c r="H6522" i="9"/>
  <c r="G6522" i="9"/>
  <c r="E6522" i="9"/>
  <c r="D6522" i="9"/>
  <c r="C6522" i="9"/>
  <c r="B6522" i="9"/>
  <c r="H6521" i="9"/>
  <c r="G6521" i="9"/>
  <c r="E6521" i="9"/>
  <c r="D6521" i="9"/>
  <c r="C6521" i="9"/>
  <c r="B6521" i="9"/>
  <c r="H6520" i="9"/>
  <c r="G6520" i="9"/>
  <c r="E6520" i="9"/>
  <c r="D6520" i="9"/>
  <c r="C6520" i="9"/>
  <c r="B6520" i="9"/>
  <c r="H6519" i="9"/>
  <c r="G6519" i="9"/>
  <c r="E6519" i="9"/>
  <c r="D6519" i="9"/>
  <c r="C6519" i="9"/>
  <c r="B6519" i="9"/>
  <c r="H6518" i="9"/>
  <c r="G6518" i="9"/>
  <c r="E6518" i="9"/>
  <c r="D6518" i="9"/>
  <c r="C6518" i="9"/>
  <c r="B6518" i="9"/>
  <c r="H6517" i="9"/>
  <c r="G6517" i="9"/>
  <c r="E6517" i="9"/>
  <c r="D6517" i="9"/>
  <c r="C6517" i="9"/>
  <c r="B6517" i="9"/>
  <c r="H6516" i="9"/>
  <c r="G6516" i="9"/>
  <c r="E6516" i="9"/>
  <c r="D6516" i="9"/>
  <c r="C6516" i="9"/>
  <c r="B6516" i="9"/>
  <c r="H6515" i="9"/>
  <c r="G6515" i="9"/>
  <c r="E6515" i="9"/>
  <c r="D6515" i="9"/>
  <c r="C6515" i="9"/>
  <c r="B6515" i="9"/>
  <c r="H6514" i="9"/>
  <c r="G6514" i="9"/>
  <c r="E6514" i="9"/>
  <c r="D6514" i="9"/>
  <c r="C6514" i="9"/>
  <c r="B6514" i="9"/>
  <c r="H6513" i="9"/>
  <c r="G6513" i="9"/>
  <c r="E6513" i="9"/>
  <c r="D6513" i="9"/>
  <c r="C6513" i="9"/>
  <c r="B6513" i="9"/>
  <c r="H6512" i="9"/>
  <c r="G6512" i="9"/>
  <c r="E6512" i="9"/>
  <c r="D6512" i="9"/>
  <c r="C6512" i="9"/>
  <c r="B6512" i="9"/>
  <c r="H6511" i="9"/>
  <c r="G6511" i="9"/>
  <c r="E6511" i="9"/>
  <c r="D6511" i="9"/>
  <c r="C6511" i="9"/>
  <c r="B6511" i="9"/>
  <c r="H6510" i="9"/>
  <c r="G6510" i="9"/>
  <c r="E6510" i="9"/>
  <c r="D6510" i="9"/>
  <c r="C6510" i="9"/>
  <c r="B6510" i="9"/>
  <c r="H6509" i="9"/>
  <c r="G6509" i="9"/>
  <c r="E6509" i="9"/>
  <c r="D6509" i="9"/>
  <c r="C6509" i="9"/>
  <c r="B6509" i="9"/>
  <c r="H6508" i="9"/>
  <c r="G6508" i="9"/>
  <c r="E6508" i="9"/>
  <c r="D6508" i="9"/>
  <c r="C6508" i="9"/>
  <c r="B6508" i="9"/>
  <c r="H6507" i="9"/>
  <c r="G6507" i="9"/>
  <c r="E6507" i="9"/>
  <c r="D6507" i="9"/>
  <c r="C6507" i="9"/>
  <c r="B6507" i="9"/>
  <c r="H6506" i="9"/>
  <c r="G6506" i="9"/>
  <c r="E6506" i="9"/>
  <c r="D6506" i="9"/>
  <c r="C6506" i="9"/>
  <c r="B6506" i="9"/>
  <c r="H6505" i="9"/>
  <c r="G6505" i="9"/>
  <c r="E6505" i="9"/>
  <c r="D6505" i="9"/>
  <c r="C6505" i="9"/>
  <c r="B6505" i="9"/>
  <c r="H6504" i="9"/>
  <c r="G6504" i="9"/>
  <c r="E6504" i="9"/>
  <c r="D6504" i="9"/>
  <c r="C6504" i="9"/>
  <c r="B6504" i="9"/>
  <c r="H6503" i="9"/>
  <c r="G6503" i="9"/>
  <c r="E6503" i="9"/>
  <c r="D6503" i="9"/>
  <c r="C6503" i="9"/>
  <c r="B6503" i="9"/>
  <c r="H6502" i="9"/>
  <c r="G6502" i="9"/>
  <c r="E6502" i="9"/>
  <c r="D6502" i="9"/>
  <c r="C6502" i="9"/>
  <c r="B6502" i="9"/>
  <c r="H6501" i="9"/>
  <c r="G6501" i="9"/>
  <c r="E6501" i="9"/>
  <c r="D6501" i="9"/>
  <c r="C6501" i="9"/>
  <c r="B6501" i="9"/>
  <c r="H6500" i="9"/>
  <c r="G6500" i="9"/>
  <c r="E6500" i="9"/>
  <c r="D6500" i="9"/>
  <c r="C6500" i="9"/>
  <c r="B6500" i="9"/>
  <c r="H6499" i="9"/>
  <c r="G6499" i="9"/>
  <c r="E6499" i="9"/>
  <c r="D6499" i="9"/>
  <c r="C6499" i="9"/>
  <c r="B6499" i="9"/>
  <c r="H6498" i="9"/>
  <c r="G6498" i="9"/>
  <c r="E6498" i="9"/>
  <c r="D6498" i="9"/>
  <c r="C6498" i="9"/>
  <c r="B6498" i="9"/>
  <c r="H6497" i="9"/>
  <c r="G6497" i="9"/>
  <c r="E6497" i="9"/>
  <c r="D6497" i="9"/>
  <c r="C6497" i="9"/>
  <c r="B6497" i="9"/>
  <c r="H6496" i="9"/>
  <c r="G6496" i="9"/>
  <c r="E6496" i="9"/>
  <c r="D6496" i="9"/>
  <c r="C6496" i="9"/>
  <c r="B6496" i="9"/>
  <c r="H6495" i="9"/>
  <c r="G6495" i="9"/>
  <c r="E6495" i="9"/>
  <c r="D6495" i="9"/>
  <c r="C6495" i="9"/>
  <c r="B6495" i="9"/>
  <c r="H6494" i="9"/>
  <c r="G6494" i="9"/>
  <c r="E6494" i="9"/>
  <c r="D6494" i="9"/>
  <c r="C6494" i="9"/>
  <c r="B6494" i="9"/>
  <c r="H6493" i="9"/>
  <c r="G6493" i="9"/>
  <c r="E6493" i="9"/>
  <c r="D6493" i="9"/>
  <c r="C6493" i="9"/>
  <c r="B6493" i="9"/>
  <c r="H6492" i="9"/>
  <c r="G6492" i="9"/>
  <c r="E6492" i="9"/>
  <c r="D6492" i="9"/>
  <c r="C6492" i="9"/>
  <c r="B6492" i="9"/>
  <c r="H6491" i="9"/>
  <c r="G6491" i="9"/>
  <c r="E6491" i="9"/>
  <c r="D6491" i="9"/>
  <c r="C6491" i="9"/>
  <c r="B6491" i="9"/>
  <c r="H6490" i="9"/>
  <c r="G6490" i="9"/>
  <c r="E6490" i="9"/>
  <c r="D6490" i="9"/>
  <c r="C6490" i="9"/>
  <c r="B6490" i="9"/>
  <c r="H6489" i="9"/>
  <c r="G6489" i="9"/>
  <c r="E6489" i="9"/>
  <c r="D6489" i="9"/>
  <c r="C6489" i="9"/>
  <c r="B6489" i="9"/>
  <c r="H6488" i="9"/>
  <c r="G6488" i="9"/>
  <c r="E6488" i="9"/>
  <c r="D6488" i="9"/>
  <c r="C6488" i="9"/>
  <c r="B6488" i="9"/>
  <c r="H6487" i="9"/>
  <c r="G6487" i="9"/>
  <c r="E6487" i="9"/>
  <c r="D6487" i="9"/>
  <c r="C6487" i="9"/>
  <c r="B6487" i="9"/>
  <c r="H6486" i="9"/>
  <c r="G6486" i="9"/>
  <c r="E6486" i="9"/>
  <c r="D6486" i="9"/>
  <c r="C6486" i="9"/>
  <c r="B6486" i="9"/>
  <c r="H6485" i="9"/>
  <c r="G6485" i="9"/>
  <c r="E6485" i="9"/>
  <c r="D6485" i="9"/>
  <c r="C6485" i="9"/>
  <c r="B6485" i="9"/>
  <c r="H6484" i="9"/>
  <c r="G6484" i="9"/>
  <c r="E6484" i="9"/>
  <c r="D6484" i="9"/>
  <c r="C6484" i="9"/>
  <c r="B6484" i="9"/>
  <c r="H6483" i="9"/>
  <c r="G6483" i="9"/>
  <c r="E6483" i="9"/>
  <c r="D6483" i="9"/>
  <c r="C6483" i="9"/>
  <c r="B6483" i="9"/>
  <c r="H6482" i="9"/>
  <c r="G6482" i="9"/>
  <c r="E6482" i="9"/>
  <c r="D6482" i="9"/>
  <c r="C6482" i="9"/>
  <c r="B6482" i="9"/>
  <c r="H6481" i="9"/>
  <c r="G6481" i="9"/>
  <c r="E6481" i="9"/>
  <c r="D6481" i="9"/>
  <c r="C6481" i="9"/>
  <c r="B6481" i="9"/>
  <c r="H6480" i="9"/>
  <c r="G6480" i="9"/>
  <c r="E6480" i="9"/>
  <c r="D6480" i="9"/>
  <c r="C6480" i="9"/>
  <c r="B6480" i="9"/>
  <c r="H6479" i="9"/>
  <c r="G6479" i="9"/>
  <c r="E6479" i="9"/>
  <c r="D6479" i="9"/>
  <c r="C6479" i="9"/>
  <c r="B6479" i="9"/>
  <c r="H6478" i="9"/>
  <c r="G6478" i="9"/>
  <c r="E6478" i="9"/>
  <c r="D6478" i="9"/>
  <c r="C6478" i="9"/>
  <c r="B6478" i="9"/>
  <c r="H6477" i="9"/>
  <c r="G6477" i="9"/>
  <c r="E6477" i="9"/>
  <c r="D6477" i="9"/>
  <c r="C6477" i="9"/>
  <c r="B6477" i="9"/>
  <c r="H6476" i="9"/>
  <c r="G6476" i="9"/>
  <c r="E6476" i="9"/>
  <c r="D6476" i="9"/>
  <c r="C6476" i="9"/>
  <c r="B6476" i="9"/>
  <c r="H6475" i="9"/>
  <c r="G6475" i="9"/>
  <c r="E6475" i="9"/>
  <c r="D6475" i="9"/>
  <c r="C6475" i="9"/>
  <c r="B6475" i="9"/>
  <c r="H6474" i="9"/>
  <c r="G6474" i="9"/>
  <c r="E6474" i="9"/>
  <c r="D6474" i="9"/>
  <c r="C6474" i="9"/>
  <c r="B6474" i="9"/>
  <c r="H6473" i="9"/>
  <c r="G6473" i="9"/>
  <c r="E6473" i="9"/>
  <c r="D6473" i="9"/>
  <c r="C6473" i="9"/>
  <c r="B6473" i="9"/>
  <c r="H6472" i="9"/>
  <c r="G6472" i="9"/>
  <c r="E6472" i="9"/>
  <c r="D6472" i="9"/>
  <c r="C6472" i="9"/>
  <c r="B6472" i="9"/>
  <c r="H6471" i="9"/>
  <c r="G6471" i="9"/>
  <c r="E6471" i="9"/>
  <c r="D6471" i="9"/>
  <c r="C6471" i="9"/>
  <c r="B6471" i="9"/>
  <c r="H6470" i="9"/>
  <c r="G6470" i="9"/>
  <c r="E6470" i="9"/>
  <c r="D6470" i="9"/>
  <c r="C6470" i="9"/>
  <c r="B6470" i="9"/>
  <c r="H6469" i="9"/>
  <c r="G6469" i="9"/>
  <c r="E6469" i="9"/>
  <c r="D6469" i="9"/>
  <c r="C6469" i="9"/>
  <c r="B6469" i="9"/>
  <c r="H6468" i="9"/>
  <c r="G6468" i="9"/>
  <c r="E6468" i="9"/>
  <c r="D6468" i="9"/>
  <c r="C6468" i="9"/>
  <c r="B6468" i="9"/>
  <c r="H6467" i="9"/>
  <c r="G6467" i="9"/>
  <c r="E6467" i="9"/>
  <c r="D6467" i="9"/>
  <c r="C6467" i="9"/>
  <c r="B6467" i="9"/>
  <c r="H6466" i="9"/>
  <c r="G6466" i="9"/>
  <c r="E6466" i="9"/>
  <c r="D6466" i="9"/>
  <c r="C6466" i="9"/>
  <c r="B6466" i="9"/>
  <c r="H6465" i="9"/>
  <c r="G6465" i="9"/>
  <c r="E6465" i="9"/>
  <c r="D6465" i="9"/>
  <c r="C6465" i="9"/>
  <c r="B6465" i="9"/>
  <c r="H6464" i="9"/>
  <c r="G6464" i="9"/>
  <c r="E6464" i="9"/>
  <c r="D6464" i="9"/>
  <c r="C6464" i="9"/>
  <c r="B6464" i="9"/>
  <c r="H6463" i="9"/>
  <c r="G6463" i="9"/>
  <c r="E6463" i="9"/>
  <c r="D6463" i="9"/>
  <c r="C6463" i="9"/>
  <c r="B6463" i="9"/>
  <c r="H6462" i="9"/>
  <c r="G6462" i="9"/>
  <c r="E6462" i="9"/>
  <c r="D6462" i="9"/>
  <c r="C6462" i="9"/>
  <c r="B6462" i="9"/>
  <c r="H6461" i="9"/>
  <c r="G6461" i="9"/>
  <c r="E6461" i="9"/>
  <c r="D6461" i="9"/>
  <c r="C6461" i="9"/>
  <c r="B6461" i="9"/>
  <c r="H6460" i="9"/>
  <c r="G6460" i="9"/>
  <c r="E6460" i="9"/>
  <c r="D6460" i="9"/>
  <c r="C6460" i="9"/>
  <c r="B6460" i="9"/>
  <c r="H6459" i="9"/>
  <c r="G6459" i="9"/>
  <c r="E6459" i="9"/>
  <c r="D6459" i="9"/>
  <c r="C6459" i="9"/>
  <c r="B6459" i="9"/>
  <c r="H6458" i="9"/>
  <c r="G6458" i="9"/>
  <c r="E6458" i="9"/>
  <c r="D6458" i="9"/>
  <c r="C6458" i="9"/>
  <c r="B6458" i="9"/>
  <c r="H6457" i="9"/>
  <c r="G6457" i="9"/>
  <c r="E6457" i="9"/>
  <c r="D6457" i="9"/>
  <c r="C6457" i="9"/>
  <c r="B6457" i="9"/>
  <c r="H6456" i="9"/>
  <c r="G6456" i="9"/>
  <c r="E6456" i="9"/>
  <c r="D6456" i="9"/>
  <c r="C6456" i="9"/>
  <c r="B6456" i="9"/>
  <c r="H6455" i="9"/>
  <c r="G6455" i="9"/>
  <c r="E6455" i="9"/>
  <c r="D6455" i="9"/>
  <c r="C6455" i="9"/>
  <c r="B6455" i="9"/>
  <c r="H6454" i="9"/>
  <c r="G6454" i="9"/>
  <c r="E6454" i="9"/>
  <c r="D6454" i="9"/>
  <c r="C6454" i="9"/>
  <c r="B6454" i="9"/>
  <c r="H6453" i="9"/>
  <c r="G6453" i="9"/>
  <c r="E6453" i="9"/>
  <c r="D6453" i="9"/>
  <c r="C6453" i="9"/>
  <c r="B6453" i="9"/>
  <c r="H6452" i="9"/>
  <c r="G6452" i="9"/>
  <c r="E6452" i="9"/>
  <c r="D6452" i="9"/>
  <c r="C6452" i="9"/>
  <c r="B6452" i="9"/>
  <c r="H6451" i="9"/>
  <c r="G6451" i="9"/>
  <c r="E6451" i="9"/>
  <c r="D6451" i="9"/>
  <c r="C6451" i="9"/>
  <c r="B6451" i="9"/>
  <c r="H6450" i="9"/>
  <c r="G6450" i="9"/>
  <c r="E6450" i="9"/>
  <c r="D6450" i="9"/>
  <c r="C6450" i="9"/>
  <c r="B6450" i="9"/>
  <c r="H6449" i="9"/>
  <c r="G6449" i="9"/>
  <c r="E6449" i="9"/>
  <c r="D6449" i="9"/>
  <c r="C6449" i="9"/>
  <c r="B6449" i="9"/>
  <c r="H6448" i="9"/>
  <c r="G6448" i="9"/>
  <c r="E6448" i="9"/>
  <c r="D6448" i="9"/>
  <c r="C6448" i="9"/>
  <c r="B6448" i="9"/>
  <c r="H6447" i="9"/>
  <c r="G6447" i="9"/>
  <c r="E6447" i="9"/>
  <c r="D6447" i="9"/>
  <c r="C6447" i="9"/>
  <c r="B6447" i="9"/>
  <c r="H6446" i="9"/>
  <c r="G6446" i="9"/>
  <c r="E6446" i="9"/>
  <c r="D6446" i="9"/>
  <c r="C6446" i="9"/>
  <c r="B6446" i="9"/>
  <c r="H6445" i="9"/>
  <c r="G6445" i="9"/>
  <c r="E6445" i="9"/>
  <c r="D6445" i="9"/>
  <c r="C6445" i="9"/>
  <c r="B6445" i="9"/>
  <c r="H6444" i="9"/>
  <c r="G6444" i="9"/>
  <c r="E6444" i="9"/>
  <c r="D6444" i="9"/>
  <c r="C6444" i="9"/>
  <c r="B6444" i="9"/>
  <c r="H6443" i="9"/>
  <c r="G6443" i="9"/>
  <c r="E6443" i="9"/>
  <c r="D6443" i="9"/>
  <c r="C6443" i="9"/>
  <c r="B6443" i="9"/>
  <c r="H6442" i="9"/>
  <c r="G6442" i="9"/>
  <c r="E6442" i="9"/>
  <c r="D6442" i="9"/>
  <c r="C6442" i="9"/>
  <c r="B6442" i="9"/>
  <c r="H6441" i="9"/>
  <c r="G6441" i="9"/>
  <c r="E6441" i="9"/>
  <c r="D6441" i="9"/>
  <c r="C6441" i="9"/>
  <c r="B6441" i="9"/>
  <c r="H6440" i="9"/>
  <c r="G6440" i="9"/>
  <c r="E6440" i="9"/>
  <c r="D6440" i="9"/>
  <c r="C6440" i="9"/>
  <c r="B6440" i="9"/>
  <c r="H6439" i="9"/>
  <c r="G6439" i="9"/>
  <c r="E6439" i="9"/>
  <c r="D6439" i="9"/>
  <c r="C6439" i="9"/>
  <c r="B6439" i="9"/>
  <c r="H6438" i="9"/>
  <c r="G6438" i="9"/>
  <c r="E6438" i="9"/>
  <c r="D6438" i="9"/>
  <c r="C6438" i="9"/>
  <c r="B6438" i="9"/>
  <c r="H6437" i="9"/>
  <c r="G6437" i="9"/>
  <c r="E6437" i="9"/>
  <c r="D6437" i="9"/>
  <c r="C6437" i="9"/>
  <c r="B6437" i="9"/>
  <c r="H6436" i="9"/>
  <c r="G6436" i="9"/>
  <c r="E6436" i="9"/>
  <c r="D6436" i="9"/>
  <c r="C6436" i="9"/>
  <c r="B6436" i="9"/>
  <c r="H6435" i="9"/>
  <c r="G6435" i="9"/>
  <c r="E6435" i="9"/>
  <c r="D6435" i="9"/>
  <c r="C6435" i="9"/>
  <c r="B6435" i="9"/>
  <c r="H6434" i="9"/>
  <c r="G6434" i="9"/>
  <c r="E6434" i="9"/>
  <c r="D6434" i="9"/>
  <c r="C6434" i="9"/>
  <c r="B6434" i="9"/>
  <c r="H6433" i="9"/>
  <c r="G6433" i="9"/>
  <c r="E6433" i="9"/>
  <c r="D6433" i="9"/>
  <c r="C6433" i="9"/>
  <c r="B6433" i="9"/>
  <c r="H6432" i="9"/>
  <c r="G6432" i="9"/>
  <c r="E6432" i="9"/>
  <c r="D6432" i="9"/>
  <c r="C6432" i="9"/>
  <c r="B6432" i="9"/>
  <c r="H6431" i="9"/>
  <c r="G6431" i="9"/>
  <c r="E6431" i="9"/>
  <c r="D6431" i="9"/>
  <c r="C6431" i="9"/>
  <c r="B6431" i="9"/>
  <c r="H6430" i="9"/>
  <c r="G6430" i="9"/>
  <c r="E6430" i="9"/>
  <c r="D6430" i="9"/>
  <c r="C6430" i="9"/>
  <c r="B6430" i="9"/>
  <c r="H6429" i="9"/>
  <c r="G6429" i="9"/>
  <c r="E6429" i="9"/>
  <c r="D6429" i="9"/>
  <c r="C6429" i="9"/>
  <c r="B6429" i="9"/>
  <c r="H6428" i="9"/>
  <c r="G6428" i="9"/>
  <c r="E6428" i="9"/>
  <c r="D6428" i="9"/>
  <c r="C6428" i="9"/>
  <c r="B6428" i="9"/>
  <c r="H6427" i="9"/>
  <c r="G6427" i="9"/>
  <c r="E6427" i="9"/>
  <c r="D6427" i="9"/>
  <c r="C6427" i="9"/>
  <c r="B6427" i="9"/>
  <c r="H6426" i="9"/>
  <c r="G6426" i="9"/>
  <c r="E6426" i="9"/>
  <c r="D6426" i="9"/>
  <c r="C6426" i="9"/>
  <c r="B6426" i="9"/>
  <c r="H6425" i="9"/>
  <c r="G6425" i="9"/>
  <c r="E6425" i="9"/>
  <c r="D6425" i="9"/>
  <c r="C6425" i="9"/>
  <c r="B6425" i="9"/>
  <c r="H6424" i="9"/>
  <c r="G6424" i="9"/>
  <c r="E6424" i="9"/>
  <c r="D6424" i="9"/>
  <c r="C6424" i="9"/>
  <c r="B6424" i="9"/>
  <c r="H6423" i="9"/>
  <c r="G6423" i="9"/>
  <c r="E6423" i="9"/>
  <c r="D6423" i="9"/>
  <c r="C6423" i="9"/>
  <c r="B6423" i="9"/>
  <c r="H6422" i="9"/>
  <c r="G6422" i="9"/>
  <c r="E6422" i="9"/>
  <c r="D6422" i="9"/>
  <c r="C6422" i="9"/>
  <c r="B6422" i="9"/>
  <c r="H6421" i="9"/>
  <c r="G6421" i="9"/>
  <c r="E6421" i="9"/>
  <c r="D6421" i="9"/>
  <c r="C6421" i="9"/>
  <c r="B6421" i="9"/>
  <c r="H6420" i="9"/>
  <c r="G6420" i="9"/>
  <c r="E6420" i="9"/>
  <c r="D6420" i="9"/>
  <c r="C6420" i="9"/>
  <c r="B6420" i="9"/>
  <c r="H6419" i="9"/>
  <c r="G6419" i="9"/>
  <c r="E6419" i="9"/>
  <c r="D6419" i="9"/>
  <c r="C6419" i="9"/>
  <c r="B6419" i="9"/>
  <c r="H6418" i="9"/>
  <c r="G6418" i="9"/>
  <c r="E6418" i="9"/>
  <c r="D6418" i="9"/>
  <c r="C6418" i="9"/>
  <c r="B6418" i="9"/>
  <c r="H6417" i="9"/>
  <c r="G6417" i="9"/>
  <c r="E6417" i="9"/>
  <c r="D6417" i="9"/>
  <c r="C6417" i="9"/>
  <c r="B6417" i="9"/>
  <c r="H6416" i="9"/>
  <c r="G6416" i="9"/>
  <c r="E6416" i="9"/>
  <c r="D6416" i="9"/>
  <c r="C6416" i="9"/>
  <c r="B6416" i="9"/>
  <c r="H6415" i="9"/>
  <c r="G6415" i="9"/>
  <c r="E6415" i="9"/>
  <c r="D6415" i="9"/>
  <c r="C6415" i="9"/>
  <c r="B6415" i="9"/>
  <c r="H6414" i="9"/>
  <c r="G6414" i="9"/>
  <c r="E6414" i="9"/>
  <c r="D6414" i="9"/>
  <c r="C6414" i="9"/>
  <c r="B6414" i="9"/>
  <c r="H6413" i="9"/>
  <c r="G6413" i="9"/>
  <c r="E6413" i="9"/>
  <c r="D6413" i="9"/>
  <c r="C6413" i="9"/>
  <c r="B6413" i="9"/>
  <c r="H6412" i="9"/>
  <c r="G6412" i="9"/>
  <c r="E6412" i="9"/>
  <c r="D6412" i="9"/>
  <c r="C6412" i="9"/>
  <c r="B6412" i="9"/>
  <c r="H6411" i="9"/>
  <c r="G6411" i="9"/>
  <c r="E6411" i="9"/>
  <c r="D6411" i="9"/>
  <c r="C6411" i="9"/>
  <c r="B6411" i="9"/>
  <c r="H6410" i="9"/>
  <c r="G6410" i="9"/>
  <c r="E6410" i="9"/>
  <c r="D6410" i="9"/>
  <c r="C6410" i="9"/>
  <c r="B6410" i="9"/>
  <c r="H6409" i="9"/>
  <c r="G6409" i="9"/>
  <c r="E6409" i="9"/>
  <c r="D6409" i="9"/>
  <c r="C6409" i="9"/>
  <c r="B6409" i="9"/>
  <c r="H6408" i="9"/>
  <c r="G6408" i="9"/>
  <c r="E6408" i="9"/>
  <c r="D6408" i="9"/>
  <c r="C6408" i="9"/>
  <c r="B6408" i="9"/>
  <c r="H6407" i="9"/>
  <c r="G6407" i="9"/>
  <c r="E6407" i="9"/>
  <c r="D6407" i="9"/>
  <c r="C6407" i="9"/>
  <c r="B6407" i="9"/>
  <c r="H6406" i="9"/>
  <c r="G6406" i="9"/>
  <c r="E6406" i="9"/>
  <c r="D6406" i="9"/>
  <c r="C6406" i="9"/>
  <c r="B6406" i="9"/>
  <c r="H6405" i="9"/>
  <c r="G6405" i="9"/>
  <c r="E6405" i="9"/>
  <c r="D6405" i="9"/>
  <c r="C6405" i="9"/>
  <c r="B6405" i="9"/>
  <c r="H6404" i="9"/>
  <c r="G6404" i="9"/>
  <c r="E6404" i="9"/>
  <c r="D6404" i="9"/>
  <c r="C6404" i="9"/>
  <c r="B6404" i="9"/>
  <c r="H6403" i="9"/>
  <c r="G6403" i="9"/>
  <c r="E6403" i="9"/>
  <c r="D6403" i="9"/>
  <c r="C6403" i="9"/>
  <c r="B6403" i="9"/>
  <c r="H6402" i="9"/>
  <c r="G6402" i="9"/>
  <c r="E6402" i="9"/>
  <c r="D6402" i="9"/>
  <c r="C6402" i="9"/>
  <c r="B6402" i="9"/>
  <c r="H6401" i="9"/>
  <c r="G6401" i="9"/>
  <c r="E6401" i="9"/>
  <c r="D6401" i="9"/>
  <c r="C6401" i="9"/>
  <c r="B6401" i="9"/>
  <c r="H6400" i="9"/>
  <c r="G6400" i="9"/>
  <c r="E6400" i="9"/>
  <c r="D6400" i="9"/>
  <c r="C6400" i="9"/>
  <c r="B6400" i="9"/>
  <c r="H6399" i="9"/>
  <c r="G6399" i="9"/>
  <c r="E6399" i="9"/>
  <c r="D6399" i="9"/>
  <c r="C6399" i="9"/>
  <c r="B6399" i="9"/>
  <c r="H6398" i="9"/>
  <c r="G6398" i="9"/>
  <c r="E6398" i="9"/>
  <c r="D6398" i="9"/>
  <c r="C6398" i="9"/>
  <c r="B6398" i="9"/>
  <c r="H6397" i="9"/>
  <c r="G6397" i="9"/>
  <c r="E6397" i="9"/>
  <c r="D6397" i="9"/>
  <c r="C6397" i="9"/>
  <c r="B6397" i="9"/>
  <c r="H6396" i="9"/>
  <c r="G6396" i="9"/>
  <c r="E6396" i="9"/>
  <c r="D6396" i="9"/>
  <c r="C6396" i="9"/>
  <c r="B6396" i="9"/>
  <c r="H6395" i="9"/>
  <c r="G6395" i="9"/>
  <c r="E6395" i="9"/>
  <c r="D6395" i="9"/>
  <c r="C6395" i="9"/>
  <c r="B6395" i="9"/>
  <c r="H6394" i="9"/>
  <c r="G6394" i="9"/>
  <c r="E6394" i="9"/>
  <c r="D6394" i="9"/>
  <c r="C6394" i="9"/>
  <c r="B6394" i="9"/>
  <c r="H6393" i="9"/>
  <c r="G6393" i="9"/>
  <c r="E6393" i="9"/>
  <c r="D6393" i="9"/>
  <c r="C6393" i="9"/>
  <c r="B6393" i="9"/>
  <c r="H6392" i="9"/>
  <c r="G6392" i="9"/>
  <c r="E6392" i="9"/>
  <c r="D6392" i="9"/>
  <c r="C6392" i="9"/>
  <c r="B6392" i="9"/>
  <c r="H6391" i="9"/>
  <c r="G6391" i="9"/>
  <c r="E6391" i="9"/>
  <c r="D6391" i="9"/>
  <c r="C6391" i="9"/>
  <c r="B6391" i="9"/>
  <c r="H6390" i="9"/>
  <c r="G6390" i="9"/>
  <c r="E6390" i="9"/>
  <c r="D6390" i="9"/>
  <c r="C6390" i="9"/>
  <c r="B6390" i="9"/>
  <c r="H6389" i="9"/>
  <c r="G6389" i="9"/>
  <c r="E6389" i="9"/>
  <c r="D6389" i="9"/>
  <c r="C6389" i="9"/>
  <c r="B6389" i="9"/>
  <c r="H6388" i="9"/>
  <c r="G6388" i="9"/>
  <c r="E6388" i="9"/>
  <c r="D6388" i="9"/>
  <c r="C6388" i="9"/>
  <c r="B6388" i="9"/>
  <c r="H6387" i="9"/>
  <c r="G6387" i="9"/>
  <c r="E6387" i="9"/>
  <c r="D6387" i="9"/>
  <c r="C6387" i="9"/>
  <c r="B6387" i="9"/>
  <c r="H6386" i="9"/>
  <c r="G6386" i="9"/>
  <c r="E6386" i="9"/>
  <c r="D6386" i="9"/>
  <c r="C6386" i="9"/>
  <c r="B6386" i="9"/>
  <c r="H6385" i="9"/>
  <c r="G6385" i="9"/>
  <c r="E6385" i="9"/>
  <c r="D6385" i="9"/>
  <c r="C6385" i="9"/>
  <c r="B6385" i="9"/>
  <c r="H6384" i="9"/>
  <c r="G6384" i="9"/>
  <c r="E6384" i="9"/>
  <c r="D6384" i="9"/>
  <c r="C6384" i="9"/>
  <c r="B6384" i="9"/>
  <c r="H6383" i="9"/>
  <c r="G6383" i="9"/>
  <c r="E6383" i="9"/>
  <c r="D6383" i="9"/>
  <c r="C6383" i="9"/>
  <c r="B6383" i="9"/>
  <c r="H6382" i="9"/>
  <c r="G6382" i="9"/>
  <c r="E6382" i="9"/>
  <c r="D6382" i="9"/>
  <c r="C6382" i="9"/>
  <c r="B6382" i="9"/>
  <c r="H6381" i="9"/>
  <c r="G6381" i="9"/>
  <c r="E6381" i="9"/>
  <c r="D6381" i="9"/>
  <c r="C6381" i="9"/>
  <c r="B6381" i="9"/>
  <c r="H6380" i="9"/>
  <c r="G6380" i="9"/>
  <c r="E6380" i="9"/>
  <c r="D6380" i="9"/>
  <c r="C6380" i="9"/>
  <c r="B6380" i="9"/>
  <c r="H6379" i="9"/>
  <c r="G6379" i="9"/>
  <c r="E6379" i="9"/>
  <c r="D6379" i="9"/>
  <c r="C6379" i="9"/>
  <c r="B6379" i="9"/>
  <c r="H6378" i="9"/>
  <c r="G6378" i="9"/>
  <c r="E6378" i="9"/>
  <c r="D6378" i="9"/>
  <c r="C6378" i="9"/>
  <c r="B6378" i="9"/>
  <c r="H6377" i="9"/>
  <c r="G6377" i="9"/>
  <c r="E6377" i="9"/>
  <c r="D6377" i="9"/>
  <c r="C6377" i="9"/>
  <c r="B6377" i="9"/>
  <c r="H6376" i="9"/>
  <c r="G6376" i="9"/>
  <c r="E6376" i="9"/>
  <c r="D6376" i="9"/>
  <c r="C6376" i="9"/>
  <c r="B6376" i="9"/>
  <c r="H6375" i="9"/>
  <c r="G6375" i="9"/>
  <c r="E6375" i="9"/>
  <c r="D6375" i="9"/>
  <c r="C6375" i="9"/>
  <c r="B6375" i="9"/>
  <c r="H6374" i="9"/>
  <c r="G6374" i="9"/>
  <c r="E6374" i="9"/>
  <c r="D6374" i="9"/>
  <c r="C6374" i="9"/>
  <c r="B6374" i="9"/>
  <c r="H6373" i="9"/>
  <c r="G6373" i="9"/>
  <c r="E6373" i="9"/>
  <c r="D6373" i="9"/>
  <c r="C6373" i="9"/>
  <c r="B6373" i="9"/>
  <c r="H6372" i="9"/>
  <c r="G6372" i="9"/>
  <c r="E6372" i="9"/>
  <c r="D6372" i="9"/>
  <c r="C6372" i="9"/>
  <c r="B6372" i="9"/>
  <c r="H6371" i="9"/>
  <c r="G6371" i="9"/>
  <c r="E6371" i="9"/>
  <c r="D6371" i="9"/>
  <c r="C6371" i="9"/>
  <c r="B6371" i="9"/>
  <c r="H6370" i="9"/>
  <c r="G6370" i="9"/>
  <c r="E6370" i="9"/>
  <c r="D6370" i="9"/>
  <c r="C6370" i="9"/>
  <c r="B6370" i="9"/>
  <c r="H6369" i="9"/>
  <c r="G6369" i="9"/>
  <c r="E6369" i="9"/>
  <c r="D6369" i="9"/>
  <c r="C6369" i="9"/>
  <c r="B6369" i="9"/>
  <c r="H6368" i="9"/>
  <c r="G6368" i="9"/>
  <c r="E6368" i="9"/>
  <c r="D6368" i="9"/>
  <c r="C6368" i="9"/>
  <c r="B6368" i="9"/>
  <c r="H6367" i="9"/>
  <c r="G6367" i="9"/>
  <c r="E6367" i="9"/>
  <c r="D6367" i="9"/>
  <c r="C6367" i="9"/>
  <c r="B6367" i="9"/>
  <c r="H6366" i="9"/>
  <c r="G6366" i="9"/>
  <c r="E6366" i="9"/>
  <c r="D6366" i="9"/>
  <c r="C6366" i="9"/>
  <c r="B6366" i="9"/>
  <c r="H6365" i="9"/>
  <c r="G6365" i="9"/>
  <c r="E6365" i="9"/>
  <c r="D6365" i="9"/>
  <c r="C6365" i="9"/>
  <c r="B6365" i="9"/>
  <c r="H6364" i="9"/>
  <c r="G6364" i="9"/>
  <c r="E6364" i="9"/>
  <c r="D6364" i="9"/>
  <c r="C6364" i="9"/>
  <c r="B6364" i="9"/>
  <c r="H6363" i="9"/>
  <c r="G6363" i="9"/>
  <c r="E6363" i="9"/>
  <c r="D6363" i="9"/>
  <c r="C6363" i="9"/>
  <c r="B6363" i="9"/>
  <c r="H6362" i="9"/>
  <c r="G6362" i="9"/>
  <c r="E6362" i="9"/>
  <c r="D6362" i="9"/>
  <c r="C6362" i="9"/>
  <c r="B6362" i="9"/>
  <c r="H6361" i="9"/>
  <c r="G6361" i="9"/>
  <c r="E6361" i="9"/>
  <c r="D6361" i="9"/>
  <c r="C6361" i="9"/>
  <c r="B6361" i="9"/>
  <c r="H6360" i="9"/>
  <c r="G6360" i="9"/>
  <c r="E6360" i="9"/>
  <c r="D6360" i="9"/>
  <c r="C6360" i="9"/>
  <c r="B6360" i="9"/>
  <c r="H6359" i="9"/>
  <c r="G6359" i="9"/>
  <c r="E6359" i="9"/>
  <c r="D6359" i="9"/>
  <c r="C6359" i="9"/>
  <c r="B6359" i="9"/>
  <c r="H6358" i="9"/>
  <c r="G6358" i="9"/>
  <c r="E6358" i="9"/>
  <c r="D6358" i="9"/>
  <c r="C6358" i="9"/>
  <c r="B6358" i="9"/>
  <c r="H6357" i="9"/>
  <c r="G6357" i="9"/>
  <c r="E6357" i="9"/>
  <c r="D6357" i="9"/>
  <c r="C6357" i="9"/>
  <c r="B6357" i="9"/>
  <c r="H6356" i="9"/>
  <c r="G6356" i="9"/>
  <c r="E6356" i="9"/>
  <c r="D6356" i="9"/>
  <c r="C6356" i="9"/>
  <c r="B6356" i="9"/>
  <c r="H6355" i="9"/>
  <c r="G6355" i="9"/>
  <c r="E6355" i="9"/>
  <c r="D6355" i="9"/>
  <c r="C6355" i="9"/>
  <c r="B6355" i="9"/>
  <c r="H6354" i="9"/>
  <c r="G6354" i="9"/>
  <c r="E6354" i="9"/>
  <c r="D6354" i="9"/>
  <c r="C6354" i="9"/>
  <c r="B6354" i="9"/>
  <c r="H6353" i="9"/>
  <c r="G6353" i="9"/>
  <c r="E6353" i="9"/>
  <c r="D6353" i="9"/>
  <c r="C6353" i="9"/>
  <c r="B6353" i="9"/>
  <c r="H6352" i="9"/>
  <c r="G6352" i="9"/>
  <c r="E6352" i="9"/>
  <c r="D6352" i="9"/>
  <c r="C6352" i="9"/>
  <c r="B6352" i="9"/>
  <c r="H6351" i="9"/>
  <c r="G6351" i="9"/>
  <c r="E6351" i="9"/>
  <c r="D6351" i="9"/>
  <c r="C6351" i="9"/>
  <c r="B6351" i="9"/>
  <c r="H6350" i="9"/>
  <c r="G6350" i="9"/>
  <c r="E6350" i="9"/>
  <c r="D6350" i="9"/>
  <c r="C6350" i="9"/>
  <c r="B6350" i="9"/>
  <c r="H6349" i="9"/>
  <c r="G6349" i="9"/>
  <c r="E6349" i="9"/>
  <c r="D6349" i="9"/>
  <c r="C6349" i="9"/>
  <c r="B6349" i="9"/>
  <c r="H6348" i="9"/>
  <c r="G6348" i="9"/>
  <c r="E6348" i="9"/>
  <c r="D6348" i="9"/>
  <c r="C6348" i="9"/>
  <c r="B6348" i="9"/>
  <c r="H6347" i="9"/>
  <c r="G6347" i="9"/>
  <c r="E6347" i="9"/>
  <c r="D6347" i="9"/>
  <c r="C6347" i="9"/>
  <c r="B6347" i="9"/>
  <c r="H6346" i="9"/>
  <c r="G6346" i="9"/>
  <c r="E6346" i="9"/>
  <c r="D6346" i="9"/>
  <c r="C6346" i="9"/>
  <c r="B6346" i="9"/>
  <c r="H6345" i="9"/>
  <c r="G6345" i="9"/>
  <c r="E6345" i="9"/>
  <c r="D6345" i="9"/>
  <c r="C6345" i="9"/>
  <c r="B6345" i="9"/>
  <c r="H6344" i="9"/>
  <c r="G6344" i="9"/>
  <c r="E6344" i="9"/>
  <c r="D6344" i="9"/>
  <c r="C6344" i="9"/>
  <c r="B6344" i="9"/>
  <c r="H6343" i="9"/>
  <c r="G6343" i="9"/>
  <c r="E6343" i="9"/>
  <c r="D6343" i="9"/>
  <c r="C6343" i="9"/>
  <c r="B6343" i="9"/>
  <c r="H6342" i="9"/>
  <c r="G6342" i="9"/>
  <c r="E6342" i="9"/>
  <c r="D6342" i="9"/>
  <c r="C6342" i="9"/>
  <c r="B6342" i="9"/>
  <c r="H6341" i="9"/>
  <c r="G6341" i="9"/>
  <c r="E6341" i="9"/>
  <c r="D6341" i="9"/>
  <c r="C6341" i="9"/>
  <c r="B6341" i="9"/>
  <c r="H6340" i="9"/>
  <c r="G6340" i="9"/>
  <c r="E6340" i="9"/>
  <c r="D6340" i="9"/>
  <c r="C6340" i="9"/>
  <c r="B6340" i="9"/>
  <c r="H6339" i="9"/>
  <c r="G6339" i="9"/>
  <c r="E6339" i="9"/>
  <c r="D6339" i="9"/>
  <c r="C6339" i="9"/>
  <c r="B6339" i="9"/>
  <c r="H6338" i="9"/>
  <c r="G6338" i="9"/>
  <c r="E6338" i="9"/>
  <c r="D6338" i="9"/>
  <c r="C6338" i="9"/>
  <c r="B6338" i="9"/>
  <c r="H6337" i="9"/>
  <c r="G6337" i="9"/>
  <c r="E6337" i="9"/>
  <c r="D6337" i="9"/>
  <c r="C6337" i="9"/>
  <c r="B6337" i="9"/>
  <c r="H6336" i="9"/>
  <c r="G6336" i="9"/>
  <c r="E6336" i="9"/>
  <c r="D6336" i="9"/>
  <c r="C6336" i="9"/>
  <c r="B6336" i="9"/>
  <c r="H6335" i="9"/>
  <c r="G6335" i="9"/>
  <c r="E6335" i="9"/>
  <c r="D6335" i="9"/>
  <c r="C6335" i="9"/>
  <c r="B6335" i="9"/>
  <c r="H6334" i="9"/>
  <c r="G6334" i="9"/>
  <c r="E6334" i="9"/>
  <c r="D6334" i="9"/>
  <c r="C6334" i="9"/>
  <c r="B6334" i="9"/>
  <c r="H6333" i="9"/>
  <c r="G6333" i="9"/>
  <c r="E6333" i="9"/>
  <c r="D6333" i="9"/>
  <c r="C6333" i="9"/>
  <c r="B6333" i="9"/>
  <c r="H6332" i="9"/>
  <c r="G6332" i="9"/>
  <c r="E6332" i="9"/>
  <c r="D6332" i="9"/>
  <c r="C6332" i="9"/>
  <c r="B6332" i="9"/>
  <c r="H6331" i="9"/>
  <c r="G6331" i="9"/>
  <c r="E6331" i="9"/>
  <c r="D6331" i="9"/>
  <c r="C6331" i="9"/>
  <c r="B6331" i="9"/>
  <c r="H6330" i="9"/>
  <c r="G6330" i="9"/>
  <c r="E6330" i="9"/>
  <c r="D6330" i="9"/>
  <c r="C6330" i="9"/>
  <c r="B6330" i="9"/>
  <c r="H6329" i="9"/>
  <c r="G6329" i="9"/>
  <c r="E6329" i="9"/>
  <c r="D6329" i="9"/>
  <c r="C6329" i="9"/>
  <c r="B6329" i="9"/>
  <c r="H6328" i="9"/>
  <c r="G6328" i="9"/>
  <c r="E6328" i="9"/>
  <c r="D6328" i="9"/>
  <c r="C6328" i="9"/>
  <c r="B6328" i="9"/>
  <c r="H6327" i="9"/>
  <c r="G6327" i="9"/>
  <c r="E6327" i="9"/>
  <c r="D6327" i="9"/>
  <c r="C6327" i="9"/>
  <c r="B6327" i="9"/>
  <c r="H6326" i="9"/>
  <c r="G6326" i="9"/>
  <c r="E6326" i="9"/>
  <c r="D6326" i="9"/>
  <c r="C6326" i="9"/>
  <c r="B6326" i="9"/>
  <c r="H6325" i="9"/>
  <c r="G6325" i="9"/>
  <c r="E6325" i="9"/>
  <c r="D6325" i="9"/>
  <c r="C6325" i="9"/>
  <c r="B6325" i="9"/>
  <c r="H6324" i="9"/>
  <c r="G6324" i="9"/>
  <c r="E6324" i="9"/>
  <c r="D6324" i="9"/>
  <c r="C6324" i="9"/>
  <c r="B6324" i="9"/>
  <c r="H6323" i="9"/>
  <c r="G6323" i="9"/>
  <c r="E6323" i="9"/>
  <c r="D6323" i="9"/>
  <c r="C6323" i="9"/>
  <c r="B6323" i="9"/>
  <c r="H6322" i="9"/>
  <c r="G6322" i="9"/>
  <c r="E6322" i="9"/>
  <c r="D6322" i="9"/>
  <c r="C6322" i="9"/>
  <c r="B6322" i="9"/>
  <c r="H6321" i="9"/>
  <c r="G6321" i="9"/>
  <c r="E6321" i="9"/>
  <c r="D6321" i="9"/>
  <c r="C6321" i="9"/>
  <c r="B6321" i="9"/>
  <c r="H6320" i="9"/>
  <c r="G6320" i="9"/>
  <c r="E6320" i="9"/>
  <c r="D6320" i="9"/>
  <c r="C6320" i="9"/>
  <c r="B6320" i="9"/>
  <c r="H6319" i="9"/>
  <c r="G6319" i="9"/>
  <c r="E6319" i="9"/>
  <c r="D6319" i="9"/>
  <c r="C6319" i="9"/>
  <c r="B6319" i="9"/>
  <c r="H6318" i="9"/>
  <c r="G6318" i="9"/>
  <c r="E6318" i="9"/>
  <c r="D6318" i="9"/>
  <c r="C6318" i="9"/>
  <c r="B6318" i="9"/>
  <c r="H6317" i="9"/>
  <c r="G6317" i="9"/>
  <c r="E6317" i="9"/>
  <c r="D6317" i="9"/>
  <c r="C6317" i="9"/>
  <c r="B6317" i="9"/>
  <c r="H6316" i="9"/>
  <c r="G6316" i="9"/>
  <c r="E6316" i="9"/>
  <c r="D6316" i="9"/>
  <c r="C6316" i="9"/>
  <c r="B6316" i="9"/>
  <c r="H6315" i="9"/>
  <c r="G6315" i="9"/>
  <c r="E6315" i="9"/>
  <c r="D6315" i="9"/>
  <c r="C6315" i="9"/>
  <c r="B6315" i="9"/>
  <c r="H6314" i="9"/>
  <c r="G6314" i="9"/>
  <c r="E6314" i="9"/>
  <c r="D6314" i="9"/>
  <c r="C6314" i="9"/>
  <c r="B6314" i="9"/>
  <c r="H6313" i="9"/>
  <c r="G6313" i="9"/>
  <c r="E6313" i="9"/>
  <c r="D6313" i="9"/>
  <c r="C6313" i="9"/>
  <c r="B6313" i="9"/>
  <c r="H6312" i="9"/>
  <c r="G6312" i="9"/>
  <c r="E6312" i="9"/>
  <c r="D6312" i="9"/>
  <c r="C6312" i="9"/>
  <c r="B6312" i="9"/>
  <c r="H6311" i="9"/>
  <c r="G6311" i="9"/>
  <c r="E6311" i="9"/>
  <c r="D6311" i="9"/>
  <c r="C6311" i="9"/>
  <c r="B6311" i="9"/>
  <c r="H6310" i="9"/>
  <c r="G6310" i="9"/>
  <c r="E6310" i="9"/>
  <c r="D6310" i="9"/>
  <c r="C6310" i="9"/>
  <c r="B6310" i="9"/>
  <c r="H6309" i="9"/>
  <c r="G6309" i="9"/>
  <c r="E6309" i="9"/>
  <c r="D6309" i="9"/>
  <c r="C6309" i="9"/>
  <c r="B6309" i="9"/>
  <c r="H6308" i="9"/>
  <c r="G6308" i="9"/>
  <c r="E6308" i="9"/>
  <c r="D6308" i="9"/>
  <c r="C6308" i="9"/>
  <c r="B6308" i="9"/>
  <c r="H6307" i="9"/>
  <c r="G6307" i="9"/>
  <c r="E6307" i="9"/>
  <c r="D6307" i="9"/>
  <c r="C6307" i="9"/>
  <c r="B6307" i="9"/>
  <c r="H6306" i="9"/>
  <c r="G6306" i="9"/>
  <c r="E6306" i="9"/>
  <c r="D6306" i="9"/>
  <c r="C6306" i="9"/>
  <c r="B6306" i="9"/>
  <c r="H6305" i="9"/>
  <c r="G6305" i="9"/>
  <c r="E6305" i="9"/>
  <c r="D6305" i="9"/>
  <c r="C6305" i="9"/>
  <c r="B6305" i="9"/>
  <c r="H6304" i="9"/>
  <c r="G6304" i="9"/>
  <c r="E6304" i="9"/>
  <c r="D6304" i="9"/>
  <c r="C6304" i="9"/>
  <c r="B6304" i="9"/>
  <c r="H6303" i="9"/>
  <c r="G6303" i="9"/>
  <c r="E6303" i="9"/>
  <c r="D6303" i="9"/>
  <c r="C6303" i="9"/>
  <c r="B6303" i="9"/>
  <c r="H6302" i="9"/>
  <c r="G6302" i="9"/>
  <c r="E6302" i="9"/>
  <c r="D6302" i="9"/>
  <c r="C6302" i="9"/>
  <c r="B6302" i="9"/>
  <c r="H6301" i="9"/>
  <c r="G6301" i="9"/>
  <c r="E6301" i="9"/>
  <c r="D6301" i="9"/>
  <c r="C6301" i="9"/>
  <c r="B6301" i="9"/>
  <c r="H6300" i="9"/>
  <c r="G6300" i="9"/>
  <c r="E6300" i="9"/>
  <c r="D6300" i="9"/>
  <c r="C6300" i="9"/>
  <c r="B6300" i="9"/>
  <c r="H6299" i="9"/>
  <c r="G6299" i="9"/>
  <c r="E6299" i="9"/>
  <c r="D6299" i="9"/>
  <c r="C6299" i="9"/>
  <c r="B6299" i="9"/>
  <c r="H6298" i="9"/>
  <c r="G6298" i="9"/>
  <c r="E6298" i="9"/>
  <c r="D6298" i="9"/>
  <c r="C6298" i="9"/>
  <c r="B6298" i="9"/>
  <c r="H6297" i="9"/>
  <c r="G6297" i="9"/>
  <c r="E6297" i="9"/>
  <c r="D6297" i="9"/>
  <c r="C6297" i="9"/>
  <c r="B6297" i="9"/>
  <c r="H6296" i="9"/>
  <c r="G6296" i="9"/>
  <c r="E6296" i="9"/>
  <c r="D6296" i="9"/>
  <c r="C6296" i="9"/>
  <c r="B6296" i="9"/>
  <c r="H6295" i="9"/>
  <c r="G6295" i="9"/>
  <c r="E6295" i="9"/>
  <c r="D6295" i="9"/>
  <c r="C6295" i="9"/>
  <c r="B6295" i="9"/>
  <c r="H6294" i="9"/>
  <c r="G6294" i="9"/>
  <c r="E6294" i="9"/>
  <c r="D6294" i="9"/>
  <c r="C6294" i="9"/>
  <c r="B6294" i="9"/>
  <c r="H6293" i="9"/>
  <c r="G6293" i="9"/>
  <c r="E6293" i="9"/>
  <c r="D6293" i="9"/>
  <c r="C6293" i="9"/>
  <c r="B6293" i="9"/>
  <c r="H6292" i="9"/>
  <c r="G6292" i="9"/>
  <c r="E6292" i="9"/>
  <c r="D6292" i="9"/>
  <c r="C6292" i="9"/>
  <c r="B6292" i="9"/>
  <c r="H6291" i="9"/>
  <c r="G6291" i="9"/>
  <c r="E6291" i="9"/>
  <c r="D6291" i="9"/>
  <c r="C6291" i="9"/>
  <c r="B6291" i="9"/>
  <c r="H6290" i="9"/>
  <c r="G6290" i="9"/>
  <c r="E6290" i="9"/>
  <c r="D6290" i="9"/>
  <c r="C6290" i="9"/>
  <c r="B6290" i="9"/>
  <c r="H6289" i="9"/>
  <c r="G6289" i="9"/>
  <c r="E6289" i="9"/>
  <c r="D6289" i="9"/>
  <c r="C6289" i="9"/>
  <c r="B6289" i="9"/>
  <c r="H6288" i="9"/>
  <c r="G6288" i="9"/>
  <c r="E6288" i="9"/>
  <c r="D6288" i="9"/>
  <c r="C6288" i="9"/>
  <c r="B6288" i="9"/>
  <c r="H6287" i="9"/>
  <c r="G6287" i="9"/>
  <c r="E6287" i="9"/>
  <c r="D6287" i="9"/>
  <c r="C6287" i="9"/>
  <c r="B6287" i="9"/>
  <c r="H6286" i="9"/>
  <c r="G6286" i="9"/>
  <c r="E6286" i="9"/>
  <c r="D6286" i="9"/>
  <c r="C6286" i="9"/>
  <c r="B6286" i="9"/>
  <c r="H6285" i="9"/>
  <c r="G6285" i="9"/>
  <c r="E6285" i="9"/>
  <c r="D6285" i="9"/>
  <c r="C6285" i="9"/>
  <c r="B6285" i="9"/>
  <c r="H6284" i="9"/>
  <c r="G6284" i="9"/>
  <c r="E6284" i="9"/>
  <c r="D6284" i="9"/>
  <c r="C6284" i="9"/>
  <c r="B6284" i="9"/>
  <c r="H6283" i="9"/>
  <c r="G6283" i="9"/>
  <c r="E6283" i="9"/>
  <c r="D6283" i="9"/>
  <c r="C6283" i="9"/>
  <c r="B6283" i="9"/>
  <c r="H6282" i="9"/>
  <c r="G6282" i="9"/>
  <c r="E6282" i="9"/>
  <c r="D6282" i="9"/>
  <c r="C6282" i="9"/>
  <c r="B6282" i="9"/>
  <c r="H6281" i="9"/>
  <c r="G6281" i="9"/>
  <c r="E6281" i="9"/>
  <c r="D6281" i="9"/>
  <c r="C6281" i="9"/>
  <c r="B6281" i="9"/>
  <c r="H6280" i="9"/>
  <c r="G6280" i="9"/>
  <c r="E6280" i="9"/>
  <c r="D6280" i="9"/>
  <c r="C6280" i="9"/>
  <c r="B6280" i="9"/>
  <c r="H6279" i="9"/>
  <c r="G6279" i="9"/>
  <c r="E6279" i="9"/>
  <c r="D6279" i="9"/>
  <c r="C6279" i="9"/>
  <c r="B6279" i="9"/>
  <c r="H6278" i="9"/>
  <c r="G6278" i="9"/>
  <c r="E6278" i="9"/>
  <c r="D6278" i="9"/>
  <c r="C6278" i="9"/>
  <c r="B6278" i="9"/>
  <c r="H6277" i="9"/>
  <c r="G6277" i="9"/>
  <c r="E6277" i="9"/>
  <c r="D6277" i="9"/>
  <c r="C6277" i="9"/>
  <c r="B6277" i="9"/>
  <c r="H6276" i="9"/>
  <c r="G6276" i="9"/>
  <c r="E6276" i="9"/>
  <c r="D6276" i="9"/>
  <c r="C6276" i="9"/>
  <c r="B6276" i="9"/>
  <c r="H6275" i="9"/>
  <c r="G6275" i="9"/>
  <c r="E6275" i="9"/>
  <c r="D6275" i="9"/>
  <c r="C6275" i="9"/>
  <c r="B6275" i="9"/>
  <c r="H6274" i="9"/>
  <c r="G6274" i="9"/>
  <c r="E6274" i="9"/>
  <c r="D6274" i="9"/>
  <c r="C6274" i="9"/>
  <c r="B6274" i="9"/>
  <c r="H6273" i="9"/>
  <c r="G6273" i="9"/>
  <c r="E6273" i="9"/>
  <c r="D6273" i="9"/>
  <c r="C6273" i="9"/>
  <c r="B6273" i="9"/>
  <c r="H6272" i="9"/>
  <c r="G6272" i="9"/>
  <c r="E6272" i="9"/>
  <c r="D6272" i="9"/>
  <c r="C6272" i="9"/>
  <c r="B6272" i="9"/>
  <c r="H6271" i="9"/>
  <c r="G6271" i="9"/>
  <c r="E6271" i="9"/>
  <c r="D6271" i="9"/>
  <c r="C6271" i="9"/>
  <c r="B6271" i="9"/>
  <c r="H6270" i="9"/>
  <c r="G6270" i="9"/>
  <c r="E6270" i="9"/>
  <c r="D6270" i="9"/>
  <c r="C6270" i="9"/>
  <c r="B6270" i="9"/>
  <c r="H6269" i="9"/>
  <c r="G6269" i="9"/>
  <c r="E6269" i="9"/>
  <c r="D6269" i="9"/>
  <c r="C6269" i="9"/>
  <c r="B6269" i="9"/>
  <c r="H6268" i="9"/>
  <c r="G6268" i="9"/>
  <c r="E6268" i="9"/>
  <c r="D6268" i="9"/>
  <c r="C6268" i="9"/>
  <c r="B6268" i="9"/>
  <c r="H6267" i="9"/>
  <c r="G6267" i="9"/>
  <c r="E6267" i="9"/>
  <c r="D6267" i="9"/>
  <c r="C6267" i="9"/>
  <c r="B6267" i="9"/>
  <c r="H6266" i="9"/>
  <c r="G6266" i="9"/>
  <c r="E6266" i="9"/>
  <c r="D6266" i="9"/>
  <c r="C6266" i="9"/>
  <c r="B6266" i="9"/>
  <c r="H6265" i="9"/>
  <c r="G6265" i="9"/>
  <c r="E6265" i="9"/>
  <c r="D6265" i="9"/>
  <c r="C6265" i="9"/>
  <c r="B6265" i="9"/>
  <c r="H6264" i="9"/>
  <c r="G6264" i="9"/>
  <c r="E6264" i="9"/>
  <c r="D6264" i="9"/>
  <c r="C6264" i="9"/>
  <c r="B6264" i="9"/>
  <c r="H6263" i="9"/>
  <c r="G6263" i="9"/>
  <c r="E6263" i="9"/>
  <c r="D6263" i="9"/>
  <c r="C6263" i="9"/>
  <c r="B6263" i="9"/>
  <c r="H6262" i="9"/>
  <c r="G6262" i="9"/>
  <c r="E6262" i="9"/>
  <c r="D6262" i="9"/>
  <c r="C6262" i="9"/>
  <c r="B6262" i="9"/>
  <c r="H6261" i="9"/>
  <c r="G6261" i="9"/>
  <c r="E6261" i="9"/>
  <c r="D6261" i="9"/>
  <c r="C6261" i="9"/>
  <c r="B6261" i="9"/>
  <c r="H6260" i="9"/>
  <c r="G6260" i="9"/>
  <c r="E6260" i="9"/>
  <c r="D6260" i="9"/>
  <c r="C6260" i="9"/>
  <c r="B6260" i="9"/>
  <c r="H6259" i="9"/>
  <c r="G6259" i="9"/>
  <c r="E6259" i="9"/>
  <c r="D6259" i="9"/>
  <c r="C6259" i="9"/>
  <c r="B6259" i="9"/>
  <c r="H6258" i="9"/>
  <c r="G6258" i="9"/>
  <c r="E6258" i="9"/>
  <c r="D6258" i="9"/>
  <c r="C6258" i="9"/>
  <c r="B6258" i="9"/>
  <c r="H6257" i="9"/>
  <c r="G6257" i="9"/>
  <c r="E6257" i="9"/>
  <c r="D6257" i="9"/>
  <c r="C6257" i="9"/>
  <c r="B6257" i="9"/>
  <c r="H6256" i="9"/>
  <c r="G6256" i="9"/>
  <c r="E6256" i="9"/>
  <c r="D6256" i="9"/>
  <c r="C6256" i="9"/>
  <c r="B6256" i="9"/>
  <c r="H6255" i="9"/>
  <c r="G6255" i="9"/>
  <c r="E6255" i="9"/>
  <c r="D6255" i="9"/>
  <c r="C6255" i="9"/>
  <c r="B6255" i="9"/>
  <c r="H6254" i="9"/>
  <c r="G6254" i="9"/>
  <c r="E6254" i="9"/>
  <c r="D6254" i="9"/>
  <c r="C6254" i="9"/>
  <c r="B6254" i="9"/>
  <c r="H6253" i="9"/>
  <c r="G6253" i="9"/>
  <c r="E6253" i="9"/>
  <c r="D6253" i="9"/>
  <c r="C6253" i="9"/>
  <c r="B6253" i="9"/>
  <c r="H6252" i="9"/>
  <c r="G6252" i="9"/>
  <c r="E6252" i="9"/>
  <c r="D6252" i="9"/>
  <c r="C6252" i="9"/>
  <c r="B6252" i="9"/>
  <c r="H6251" i="9"/>
  <c r="G6251" i="9"/>
  <c r="E6251" i="9"/>
  <c r="D6251" i="9"/>
  <c r="C6251" i="9"/>
  <c r="B6251" i="9"/>
  <c r="H6250" i="9"/>
  <c r="G6250" i="9"/>
  <c r="E6250" i="9"/>
  <c r="D6250" i="9"/>
  <c r="C6250" i="9"/>
  <c r="B6250" i="9"/>
  <c r="H6249" i="9"/>
  <c r="G6249" i="9"/>
  <c r="E6249" i="9"/>
  <c r="D6249" i="9"/>
  <c r="C6249" i="9"/>
  <c r="B6249" i="9"/>
  <c r="H6248" i="9"/>
  <c r="G6248" i="9"/>
  <c r="E6248" i="9"/>
  <c r="D6248" i="9"/>
  <c r="C6248" i="9"/>
  <c r="B6248" i="9"/>
  <c r="H6247" i="9"/>
  <c r="G6247" i="9"/>
  <c r="E6247" i="9"/>
  <c r="D6247" i="9"/>
  <c r="C6247" i="9"/>
  <c r="B6247" i="9"/>
  <c r="H6246" i="9"/>
  <c r="G6246" i="9"/>
  <c r="E6246" i="9"/>
  <c r="D6246" i="9"/>
  <c r="C6246" i="9"/>
  <c r="B6246" i="9"/>
  <c r="H6245" i="9"/>
  <c r="G6245" i="9"/>
  <c r="E6245" i="9"/>
  <c r="D6245" i="9"/>
  <c r="C6245" i="9"/>
  <c r="B6245" i="9"/>
  <c r="H6244" i="9"/>
  <c r="G6244" i="9"/>
  <c r="E6244" i="9"/>
  <c r="D6244" i="9"/>
  <c r="C6244" i="9"/>
  <c r="B6244" i="9"/>
  <c r="H6243" i="9"/>
  <c r="G6243" i="9"/>
  <c r="E6243" i="9"/>
  <c r="D6243" i="9"/>
  <c r="C6243" i="9"/>
  <c r="B6243" i="9"/>
  <c r="H6242" i="9"/>
  <c r="G6242" i="9"/>
  <c r="E6242" i="9"/>
  <c r="D6242" i="9"/>
  <c r="C6242" i="9"/>
  <c r="B6242" i="9"/>
  <c r="H6241" i="9"/>
  <c r="G6241" i="9"/>
  <c r="E6241" i="9"/>
  <c r="D6241" i="9"/>
  <c r="C6241" i="9"/>
  <c r="B6241" i="9"/>
  <c r="H6240" i="9"/>
  <c r="G6240" i="9"/>
  <c r="E6240" i="9"/>
  <c r="D6240" i="9"/>
  <c r="C6240" i="9"/>
  <c r="B6240" i="9"/>
  <c r="H6239" i="9"/>
  <c r="G6239" i="9"/>
  <c r="E6239" i="9"/>
  <c r="D6239" i="9"/>
  <c r="C6239" i="9"/>
  <c r="B6239" i="9"/>
  <c r="H6238" i="9"/>
  <c r="G6238" i="9"/>
  <c r="E6238" i="9"/>
  <c r="D6238" i="9"/>
  <c r="C6238" i="9"/>
  <c r="B6238" i="9"/>
  <c r="H6237" i="9"/>
  <c r="G6237" i="9"/>
  <c r="E6237" i="9"/>
  <c r="D6237" i="9"/>
  <c r="C6237" i="9"/>
  <c r="B6237" i="9"/>
  <c r="H6236" i="9"/>
  <c r="G6236" i="9"/>
  <c r="E6236" i="9"/>
  <c r="D6236" i="9"/>
  <c r="C6236" i="9"/>
  <c r="B6236" i="9"/>
  <c r="H6235" i="9"/>
  <c r="G6235" i="9"/>
  <c r="E6235" i="9"/>
  <c r="D6235" i="9"/>
  <c r="C6235" i="9"/>
  <c r="B6235" i="9"/>
  <c r="H6234" i="9"/>
  <c r="G6234" i="9"/>
  <c r="E6234" i="9"/>
  <c r="D6234" i="9"/>
  <c r="C6234" i="9"/>
  <c r="B6234" i="9"/>
  <c r="H6233" i="9"/>
  <c r="G6233" i="9"/>
  <c r="E6233" i="9"/>
  <c r="D6233" i="9"/>
  <c r="C6233" i="9"/>
  <c r="B6233" i="9"/>
  <c r="H6232" i="9"/>
  <c r="G6232" i="9"/>
  <c r="E6232" i="9"/>
  <c r="D6232" i="9"/>
  <c r="C6232" i="9"/>
  <c r="B6232" i="9"/>
  <c r="H6231" i="9"/>
  <c r="G6231" i="9"/>
  <c r="E6231" i="9"/>
  <c r="D6231" i="9"/>
  <c r="C6231" i="9"/>
  <c r="B6231" i="9"/>
  <c r="H6230" i="9"/>
  <c r="G6230" i="9"/>
  <c r="E6230" i="9"/>
  <c r="D6230" i="9"/>
  <c r="C6230" i="9"/>
  <c r="B6230" i="9"/>
  <c r="H6229" i="9"/>
  <c r="G6229" i="9"/>
  <c r="E6229" i="9"/>
  <c r="D6229" i="9"/>
  <c r="C6229" i="9"/>
  <c r="B6229" i="9"/>
  <c r="H6228" i="9"/>
  <c r="G6228" i="9"/>
  <c r="E6228" i="9"/>
  <c r="D6228" i="9"/>
  <c r="C6228" i="9"/>
  <c r="B6228" i="9"/>
  <c r="H6227" i="9"/>
  <c r="G6227" i="9"/>
  <c r="E6227" i="9"/>
  <c r="D6227" i="9"/>
  <c r="C6227" i="9"/>
  <c r="B6227" i="9"/>
  <c r="H6226" i="9"/>
  <c r="G6226" i="9"/>
  <c r="E6226" i="9"/>
  <c r="D6226" i="9"/>
  <c r="C6226" i="9"/>
  <c r="B6226" i="9"/>
  <c r="H6225" i="9"/>
  <c r="G6225" i="9"/>
  <c r="E6225" i="9"/>
  <c r="D6225" i="9"/>
  <c r="C6225" i="9"/>
  <c r="B6225" i="9"/>
  <c r="H6224" i="9"/>
  <c r="G6224" i="9"/>
  <c r="E6224" i="9"/>
  <c r="D6224" i="9"/>
  <c r="C6224" i="9"/>
  <c r="B6224" i="9"/>
  <c r="H6223" i="9"/>
  <c r="G6223" i="9"/>
  <c r="E6223" i="9"/>
  <c r="D6223" i="9"/>
  <c r="C6223" i="9"/>
  <c r="B6223" i="9"/>
  <c r="H6222" i="9"/>
  <c r="G6222" i="9"/>
  <c r="E6222" i="9"/>
  <c r="D6222" i="9"/>
  <c r="C6222" i="9"/>
  <c r="B6222" i="9"/>
  <c r="H6221" i="9"/>
  <c r="G6221" i="9"/>
  <c r="E6221" i="9"/>
  <c r="D6221" i="9"/>
  <c r="C6221" i="9"/>
  <c r="B6221" i="9"/>
  <c r="H6220" i="9"/>
  <c r="G6220" i="9"/>
  <c r="E6220" i="9"/>
  <c r="D6220" i="9"/>
  <c r="C6220" i="9"/>
  <c r="B6220" i="9"/>
  <c r="H6219" i="9"/>
  <c r="G6219" i="9"/>
  <c r="E6219" i="9"/>
  <c r="D6219" i="9"/>
  <c r="C6219" i="9"/>
  <c r="B6219" i="9"/>
  <c r="H6218" i="9"/>
  <c r="G6218" i="9"/>
  <c r="E6218" i="9"/>
  <c r="D6218" i="9"/>
  <c r="C6218" i="9"/>
  <c r="B6218" i="9"/>
  <c r="H6217" i="9"/>
  <c r="G6217" i="9"/>
  <c r="E6217" i="9"/>
  <c r="D6217" i="9"/>
  <c r="C6217" i="9"/>
  <c r="B6217" i="9"/>
  <c r="H6216" i="9"/>
  <c r="G6216" i="9"/>
  <c r="E6216" i="9"/>
  <c r="D6216" i="9"/>
  <c r="C6216" i="9"/>
  <c r="B6216" i="9"/>
  <c r="H6215" i="9"/>
  <c r="G6215" i="9"/>
  <c r="E6215" i="9"/>
  <c r="D6215" i="9"/>
  <c r="C6215" i="9"/>
  <c r="B6215" i="9"/>
  <c r="H6214" i="9"/>
  <c r="G6214" i="9"/>
  <c r="E6214" i="9"/>
  <c r="D6214" i="9"/>
  <c r="C6214" i="9"/>
  <c r="B6214" i="9"/>
  <c r="H6213" i="9"/>
  <c r="G6213" i="9"/>
  <c r="E6213" i="9"/>
  <c r="D6213" i="9"/>
  <c r="C6213" i="9"/>
  <c r="B6213" i="9"/>
  <c r="H6212" i="9"/>
  <c r="G6212" i="9"/>
  <c r="E6212" i="9"/>
  <c r="D6212" i="9"/>
  <c r="C6212" i="9"/>
  <c r="B6212" i="9"/>
  <c r="H6211" i="9"/>
  <c r="G6211" i="9"/>
  <c r="E6211" i="9"/>
  <c r="D6211" i="9"/>
  <c r="C6211" i="9"/>
  <c r="B6211" i="9"/>
  <c r="H6210" i="9"/>
  <c r="G6210" i="9"/>
  <c r="E6210" i="9"/>
  <c r="D6210" i="9"/>
  <c r="C6210" i="9"/>
  <c r="B6210" i="9"/>
  <c r="H6209" i="9"/>
  <c r="G6209" i="9"/>
  <c r="E6209" i="9"/>
  <c r="D6209" i="9"/>
  <c r="C6209" i="9"/>
  <c r="B6209" i="9"/>
  <c r="H6208" i="9"/>
  <c r="G6208" i="9"/>
  <c r="E6208" i="9"/>
  <c r="D6208" i="9"/>
  <c r="C6208" i="9"/>
  <c r="B6208" i="9"/>
  <c r="H6207" i="9"/>
  <c r="G6207" i="9"/>
  <c r="E6207" i="9"/>
  <c r="D6207" i="9"/>
  <c r="C6207" i="9"/>
  <c r="B6207" i="9"/>
  <c r="H6206" i="9"/>
  <c r="G6206" i="9"/>
  <c r="E6206" i="9"/>
  <c r="D6206" i="9"/>
  <c r="C6206" i="9"/>
  <c r="B6206" i="9"/>
  <c r="H6205" i="9"/>
  <c r="G6205" i="9"/>
  <c r="E6205" i="9"/>
  <c r="D6205" i="9"/>
  <c r="C6205" i="9"/>
  <c r="B6205" i="9"/>
  <c r="H6204" i="9"/>
  <c r="G6204" i="9"/>
  <c r="E6204" i="9"/>
  <c r="D6204" i="9"/>
  <c r="C6204" i="9"/>
  <c r="B6204" i="9"/>
  <c r="H6203" i="9"/>
  <c r="G6203" i="9"/>
  <c r="E6203" i="9"/>
  <c r="D6203" i="9"/>
  <c r="C6203" i="9"/>
  <c r="B6203" i="9"/>
  <c r="H6202" i="9"/>
  <c r="G6202" i="9"/>
  <c r="E6202" i="9"/>
  <c r="D6202" i="9"/>
  <c r="C6202" i="9"/>
  <c r="B6202" i="9"/>
  <c r="H6201" i="9"/>
  <c r="G6201" i="9"/>
  <c r="E6201" i="9"/>
  <c r="D6201" i="9"/>
  <c r="C6201" i="9"/>
  <c r="B6201" i="9"/>
  <c r="H6200" i="9"/>
  <c r="G6200" i="9"/>
  <c r="E6200" i="9"/>
  <c r="D6200" i="9"/>
  <c r="C6200" i="9"/>
  <c r="B6200" i="9"/>
  <c r="H6199" i="9"/>
  <c r="G6199" i="9"/>
  <c r="E6199" i="9"/>
  <c r="D6199" i="9"/>
  <c r="C6199" i="9"/>
  <c r="B6199" i="9"/>
  <c r="H6198" i="9"/>
  <c r="G6198" i="9"/>
  <c r="E6198" i="9"/>
  <c r="D6198" i="9"/>
  <c r="C6198" i="9"/>
  <c r="B6198" i="9"/>
  <c r="H6197" i="9"/>
  <c r="G6197" i="9"/>
  <c r="E6197" i="9"/>
  <c r="D6197" i="9"/>
  <c r="C6197" i="9"/>
  <c r="B6197" i="9"/>
  <c r="H6196" i="9"/>
  <c r="G6196" i="9"/>
  <c r="E6196" i="9"/>
  <c r="D6196" i="9"/>
  <c r="C6196" i="9"/>
  <c r="B6196" i="9"/>
  <c r="H6195" i="9"/>
  <c r="G6195" i="9"/>
  <c r="E6195" i="9"/>
  <c r="D6195" i="9"/>
  <c r="C6195" i="9"/>
  <c r="B6195" i="9"/>
  <c r="H6194" i="9"/>
  <c r="G6194" i="9"/>
  <c r="E6194" i="9"/>
  <c r="D6194" i="9"/>
  <c r="C6194" i="9"/>
  <c r="B6194" i="9"/>
  <c r="H6193" i="9"/>
  <c r="G6193" i="9"/>
  <c r="E6193" i="9"/>
  <c r="D6193" i="9"/>
  <c r="C6193" i="9"/>
  <c r="B6193" i="9"/>
  <c r="H6192" i="9"/>
  <c r="G6192" i="9"/>
  <c r="E6192" i="9"/>
  <c r="D6192" i="9"/>
  <c r="C6192" i="9"/>
  <c r="B6192" i="9"/>
  <c r="H6191" i="9"/>
  <c r="G6191" i="9"/>
  <c r="E6191" i="9"/>
  <c r="D6191" i="9"/>
  <c r="C6191" i="9"/>
  <c r="B6191" i="9"/>
  <c r="H6190" i="9"/>
  <c r="G6190" i="9"/>
  <c r="E6190" i="9"/>
  <c r="D6190" i="9"/>
  <c r="C6190" i="9"/>
  <c r="B6190" i="9"/>
  <c r="H6189" i="9"/>
  <c r="G6189" i="9"/>
  <c r="E6189" i="9"/>
  <c r="D6189" i="9"/>
  <c r="C6189" i="9"/>
  <c r="B6189" i="9"/>
  <c r="H6188" i="9"/>
  <c r="G6188" i="9"/>
  <c r="E6188" i="9"/>
  <c r="D6188" i="9"/>
  <c r="C6188" i="9"/>
  <c r="B6188" i="9"/>
  <c r="H6187" i="9"/>
  <c r="G6187" i="9"/>
  <c r="E6187" i="9"/>
  <c r="D6187" i="9"/>
  <c r="C6187" i="9"/>
  <c r="B6187" i="9"/>
  <c r="H6186" i="9"/>
  <c r="G6186" i="9"/>
  <c r="E6186" i="9"/>
  <c r="D6186" i="9"/>
  <c r="C6186" i="9"/>
  <c r="B6186" i="9"/>
  <c r="H6185" i="9"/>
  <c r="G6185" i="9"/>
  <c r="E6185" i="9"/>
  <c r="D6185" i="9"/>
  <c r="C6185" i="9"/>
  <c r="B6185" i="9"/>
  <c r="H6184" i="9"/>
  <c r="G6184" i="9"/>
  <c r="E6184" i="9"/>
  <c r="D6184" i="9"/>
  <c r="C6184" i="9"/>
  <c r="B6184" i="9"/>
  <c r="H6183" i="9"/>
  <c r="G6183" i="9"/>
  <c r="E6183" i="9"/>
  <c r="D6183" i="9"/>
  <c r="C6183" i="9"/>
  <c r="B6183" i="9"/>
  <c r="H6182" i="9"/>
  <c r="G6182" i="9"/>
  <c r="E6182" i="9"/>
  <c r="D6182" i="9"/>
  <c r="C6182" i="9"/>
  <c r="B6182" i="9"/>
  <c r="H6181" i="9"/>
  <c r="G6181" i="9"/>
  <c r="E6181" i="9"/>
  <c r="D6181" i="9"/>
  <c r="C6181" i="9"/>
  <c r="B6181" i="9"/>
  <c r="H6180" i="9"/>
  <c r="G6180" i="9"/>
  <c r="E6180" i="9"/>
  <c r="D6180" i="9"/>
  <c r="C6180" i="9"/>
  <c r="B6180" i="9"/>
  <c r="H6179" i="9"/>
  <c r="G6179" i="9"/>
  <c r="E6179" i="9"/>
  <c r="D6179" i="9"/>
  <c r="C6179" i="9"/>
  <c r="B6179" i="9"/>
  <c r="H6178" i="9"/>
  <c r="G6178" i="9"/>
  <c r="E6178" i="9"/>
  <c r="D6178" i="9"/>
  <c r="C6178" i="9"/>
  <c r="B6178" i="9"/>
  <c r="H6177" i="9"/>
  <c r="G6177" i="9"/>
  <c r="E6177" i="9"/>
  <c r="D6177" i="9"/>
  <c r="C6177" i="9"/>
  <c r="B6177" i="9"/>
  <c r="H6176" i="9"/>
  <c r="G6176" i="9"/>
  <c r="E6176" i="9"/>
  <c r="D6176" i="9"/>
  <c r="C6176" i="9"/>
  <c r="B6176" i="9"/>
  <c r="H6175" i="9"/>
  <c r="G6175" i="9"/>
  <c r="E6175" i="9"/>
  <c r="D6175" i="9"/>
  <c r="C6175" i="9"/>
  <c r="B6175" i="9"/>
  <c r="H6174" i="9"/>
  <c r="G6174" i="9"/>
  <c r="E6174" i="9"/>
  <c r="D6174" i="9"/>
  <c r="C6174" i="9"/>
  <c r="B6174" i="9"/>
  <c r="H6173" i="9"/>
  <c r="G6173" i="9"/>
  <c r="E6173" i="9"/>
  <c r="D6173" i="9"/>
  <c r="C6173" i="9"/>
  <c r="B6173" i="9"/>
  <c r="H6172" i="9"/>
  <c r="G6172" i="9"/>
  <c r="E6172" i="9"/>
  <c r="D6172" i="9"/>
  <c r="C6172" i="9"/>
  <c r="B6172" i="9"/>
  <c r="H6171" i="9"/>
  <c r="G6171" i="9"/>
  <c r="E6171" i="9"/>
  <c r="D6171" i="9"/>
  <c r="C6171" i="9"/>
  <c r="B6171" i="9"/>
  <c r="H6170" i="9"/>
  <c r="G6170" i="9"/>
  <c r="E6170" i="9"/>
  <c r="D6170" i="9"/>
  <c r="C6170" i="9"/>
  <c r="B6170" i="9"/>
  <c r="H6169" i="9"/>
  <c r="G6169" i="9"/>
  <c r="E6169" i="9"/>
  <c r="D6169" i="9"/>
  <c r="C6169" i="9"/>
  <c r="B6169" i="9"/>
  <c r="H6168" i="9"/>
  <c r="G6168" i="9"/>
  <c r="E6168" i="9"/>
  <c r="D6168" i="9"/>
  <c r="C6168" i="9"/>
  <c r="B6168" i="9"/>
  <c r="H6167" i="9"/>
  <c r="G6167" i="9"/>
  <c r="E6167" i="9"/>
  <c r="D6167" i="9"/>
  <c r="C6167" i="9"/>
  <c r="B6167" i="9"/>
  <c r="H6166" i="9"/>
  <c r="G6166" i="9"/>
  <c r="E6166" i="9"/>
  <c r="D6166" i="9"/>
  <c r="C6166" i="9"/>
  <c r="B6166" i="9"/>
  <c r="H6165" i="9"/>
  <c r="G6165" i="9"/>
  <c r="E6165" i="9"/>
  <c r="D6165" i="9"/>
  <c r="C6165" i="9"/>
  <c r="B6165" i="9"/>
  <c r="H6164" i="9"/>
  <c r="G6164" i="9"/>
  <c r="E6164" i="9"/>
  <c r="D6164" i="9"/>
  <c r="C6164" i="9"/>
  <c r="B6164" i="9"/>
  <c r="H6163" i="9"/>
  <c r="G6163" i="9"/>
  <c r="E6163" i="9"/>
  <c r="D6163" i="9"/>
  <c r="C6163" i="9"/>
  <c r="B6163" i="9"/>
  <c r="H6162" i="9"/>
  <c r="G6162" i="9"/>
  <c r="E6162" i="9"/>
  <c r="D6162" i="9"/>
  <c r="C6162" i="9"/>
  <c r="B6162" i="9"/>
  <c r="H6161" i="9"/>
  <c r="G6161" i="9"/>
  <c r="E6161" i="9"/>
  <c r="D6161" i="9"/>
  <c r="C6161" i="9"/>
  <c r="B6161" i="9"/>
  <c r="H6160" i="9"/>
  <c r="G6160" i="9"/>
  <c r="E6160" i="9"/>
  <c r="D6160" i="9"/>
  <c r="C6160" i="9"/>
  <c r="B6160" i="9"/>
  <c r="H6159" i="9"/>
  <c r="G6159" i="9"/>
  <c r="E6159" i="9"/>
  <c r="D6159" i="9"/>
  <c r="C6159" i="9"/>
  <c r="B6159" i="9"/>
  <c r="H6158" i="9"/>
  <c r="G6158" i="9"/>
  <c r="E6158" i="9"/>
  <c r="D6158" i="9"/>
  <c r="C6158" i="9"/>
  <c r="B6158" i="9"/>
  <c r="H6157" i="9"/>
  <c r="G6157" i="9"/>
  <c r="E6157" i="9"/>
  <c r="D6157" i="9"/>
  <c r="C6157" i="9"/>
  <c r="B6157" i="9"/>
  <c r="H6156" i="9"/>
  <c r="G6156" i="9"/>
  <c r="E6156" i="9"/>
  <c r="D6156" i="9"/>
  <c r="C6156" i="9"/>
  <c r="B6156" i="9"/>
  <c r="H6155" i="9"/>
  <c r="G6155" i="9"/>
  <c r="E6155" i="9"/>
  <c r="D6155" i="9"/>
  <c r="C6155" i="9"/>
  <c r="B6155" i="9"/>
  <c r="H6154" i="9"/>
  <c r="G6154" i="9"/>
  <c r="E6154" i="9"/>
  <c r="D6154" i="9"/>
  <c r="C6154" i="9"/>
  <c r="B6154" i="9"/>
  <c r="H6153" i="9"/>
  <c r="G6153" i="9"/>
  <c r="E6153" i="9"/>
  <c r="D6153" i="9"/>
  <c r="C6153" i="9"/>
  <c r="B6153" i="9"/>
  <c r="H6152" i="9"/>
  <c r="G6152" i="9"/>
  <c r="E6152" i="9"/>
  <c r="D6152" i="9"/>
  <c r="C6152" i="9"/>
  <c r="B6152" i="9"/>
  <c r="H6151" i="9"/>
  <c r="G6151" i="9"/>
  <c r="E6151" i="9"/>
  <c r="D6151" i="9"/>
  <c r="C6151" i="9"/>
  <c r="B6151" i="9"/>
  <c r="H6150" i="9"/>
  <c r="G6150" i="9"/>
  <c r="E6150" i="9"/>
  <c r="D6150" i="9"/>
  <c r="C6150" i="9"/>
  <c r="B6150" i="9"/>
  <c r="H6149" i="9"/>
  <c r="G6149" i="9"/>
  <c r="E6149" i="9"/>
  <c r="D6149" i="9"/>
  <c r="C6149" i="9"/>
  <c r="B6149" i="9"/>
  <c r="H6148" i="9"/>
  <c r="G6148" i="9"/>
  <c r="E6148" i="9"/>
  <c r="D6148" i="9"/>
  <c r="C6148" i="9"/>
  <c r="B6148" i="9"/>
  <c r="H6147" i="9"/>
  <c r="G6147" i="9"/>
  <c r="E6147" i="9"/>
  <c r="D6147" i="9"/>
  <c r="C6147" i="9"/>
  <c r="B6147" i="9"/>
  <c r="H6146" i="9"/>
  <c r="G6146" i="9"/>
  <c r="E6146" i="9"/>
  <c r="D6146" i="9"/>
  <c r="C6146" i="9"/>
  <c r="B6146" i="9"/>
  <c r="H6145" i="9"/>
  <c r="G6145" i="9"/>
  <c r="E6145" i="9"/>
  <c r="D6145" i="9"/>
  <c r="C6145" i="9"/>
  <c r="B6145" i="9"/>
  <c r="H6144" i="9"/>
  <c r="G6144" i="9"/>
  <c r="E6144" i="9"/>
  <c r="D6144" i="9"/>
  <c r="C6144" i="9"/>
  <c r="B6144" i="9"/>
  <c r="H6143" i="9"/>
  <c r="G6143" i="9"/>
  <c r="E6143" i="9"/>
  <c r="D6143" i="9"/>
  <c r="C6143" i="9"/>
  <c r="B6143" i="9"/>
  <c r="H6142" i="9"/>
  <c r="G6142" i="9"/>
  <c r="E6142" i="9"/>
  <c r="D6142" i="9"/>
  <c r="C6142" i="9"/>
  <c r="B6142" i="9"/>
  <c r="H6141" i="9"/>
  <c r="G6141" i="9"/>
  <c r="E6141" i="9"/>
  <c r="D6141" i="9"/>
  <c r="C6141" i="9"/>
  <c r="B6141" i="9"/>
  <c r="H6140" i="9"/>
  <c r="G6140" i="9"/>
  <c r="E6140" i="9"/>
  <c r="D6140" i="9"/>
  <c r="C6140" i="9"/>
  <c r="B6140" i="9"/>
  <c r="H6139" i="9"/>
  <c r="G6139" i="9"/>
  <c r="E6139" i="9"/>
  <c r="D6139" i="9"/>
  <c r="C6139" i="9"/>
  <c r="B6139" i="9"/>
  <c r="H6138" i="9"/>
  <c r="G6138" i="9"/>
  <c r="E6138" i="9"/>
  <c r="D6138" i="9"/>
  <c r="C6138" i="9"/>
  <c r="B6138" i="9"/>
  <c r="H6137" i="9"/>
  <c r="G6137" i="9"/>
  <c r="E6137" i="9"/>
  <c r="D6137" i="9"/>
  <c r="C6137" i="9"/>
  <c r="B6137" i="9"/>
  <c r="H6136" i="9"/>
  <c r="G6136" i="9"/>
  <c r="E6136" i="9"/>
  <c r="D6136" i="9"/>
  <c r="C6136" i="9"/>
  <c r="B6136" i="9"/>
  <c r="H6135" i="9"/>
  <c r="G6135" i="9"/>
  <c r="E6135" i="9"/>
  <c r="D6135" i="9"/>
  <c r="C6135" i="9"/>
  <c r="B6135" i="9"/>
  <c r="H6134" i="9"/>
  <c r="G6134" i="9"/>
  <c r="E6134" i="9"/>
  <c r="D6134" i="9"/>
  <c r="C6134" i="9"/>
  <c r="B6134" i="9"/>
  <c r="H6133" i="9"/>
  <c r="G6133" i="9"/>
  <c r="E6133" i="9"/>
  <c r="D6133" i="9"/>
  <c r="C6133" i="9"/>
  <c r="B6133" i="9"/>
  <c r="H6132" i="9"/>
  <c r="G6132" i="9"/>
  <c r="E6132" i="9"/>
  <c r="D6132" i="9"/>
  <c r="C6132" i="9"/>
  <c r="B6132" i="9"/>
  <c r="H6131" i="9"/>
  <c r="G6131" i="9"/>
  <c r="E6131" i="9"/>
  <c r="D6131" i="9"/>
  <c r="C6131" i="9"/>
  <c r="B6131" i="9"/>
  <c r="H6130" i="9"/>
  <c r="G6130" i="9"/>
  <c r="E6130" i="9"/>
  <c r="D6130" i="9"/>
  <c r="C6130" i="9"/>
  <c r="B6130" i="9"/>
  <c r="H6129" i="9"/>
  <c r="G6129" i="9"/>
  <c r="E6129" i="9"/>
  <c r="D6129" i="9"/>
  <c r="C6129" i="9"/>
  <c r="B6129" i="9"/>
  <c r="H6128" i="9"/>
  <c r="G6128" i="9"/>
  <c r="E6128" i="9"/>
  <c r="D6128" i="9"/>
  <c r="C6128" i="9"/>
  <c r="B6128" i="9"/>
  <c r="H6127" i="9"/>
  <c r="G6127" i="9"/>
  <c r="E6127" i="9"/>
  <c r="D6127" i="9"/>
  <c r="C6127" i="9"/>
  <c r="B6127" i="9"/>
  <c r="H6126" i="9"/>
  <c r="G6126" i="9"/>
  <c r="E6126" i="9"/>
  <c r="D6126" i="9"/>
  <c r="C6126" i="9"/>
  <c r="B6126" i="9"/>
  <c r="H6125" i="9"/>
  <c r="G6125" i="9"/>
  <c r="E6125" i="9"/>
  <c r="D6125" i="9"/>
  <c r="C6125" i="9"/>
  <c r="B6125" i="9"/>
  <c r="H6124" i="9"/>
  <c r="G6124" i="9"/>
  <c r="E6124" i="9"/>
  <c r="D6124" i="9"/>
  <c r="C6124" i="9"/>
  <c r="B6124" i="9"/>
  <c r="H6123" i="9"/>
  <c r="G6123" i="9"/>
  <c r="E6123" i="9"/>
  <c r="D6123" i="9"/>
  <c r="C6123" i="9"/>
  <c r="B6123" i="9"/>
  <c r="H6122" i="9"/>
  <c r="G6122" i="9"/>
  <c r="E6122" i="9"/>
  <c r="D6122" i="9"/>
  <c r="C6122" i="9"/>
  <c r="B6122" i="9"/>
  <c r="H6121" i="9"/>
  <c r="G6121" i="9"/>
  <c r="E6121" i="9"/>
  <c r="D6121" i="9"/>
  <c r="C6121" i="9"/>
  <c r="B6121" i="9"/>
  <c r="H6120" i="9"/>
  <c r="G6120" i="9"/>
  <c r="E6120" i="9"/>
  <c r="D6120" i="9"/>
  <c r="C6120" i="9"/>
  <c r="B6120" i="9"/>
  <c r="H6119" i="9"/>
  <c r="G6119" i="9"/>
  <c r="E6119" i="9"/>
  <c r="D6119" i="9"/>
  <c r="C6119" i="9"/>
  <c r="B6119" i="9"/>
  <c r="H6118" i="9"/>
  <c r="G6118" i="9"/>
  <c r="E6118" i="9"/>
  <c r="D6118" i="9"/>
  <c r="C6118" i="9"/>
  <c r="B6118" i="9"/>
  <c r="H6117" i="9"/>
  <c r="G6117" i="9"/>
  <c r="E6117" i="9"/>
  <c r="D6117" i="9"/>
  <c r="C6117" i="9"/>
  <c r="B6117" i="9"/>
  <c r="H6116" i="9"/>
  <c r="G6116" i="9"/>
  <c r="E6116" i="9"/>
  <c r="D6116" i="9"/>
  <c r="C6116" i="9"/>
  <c r="B6116" i="9"/>
  <c r="H6115" i="9"/>
  <c r="G6115" i="9"/>
  <c r="E6115" i="9"/>
  <c r="D6115" i="9"/>
  <c r="C6115" i="9"/>
  <c r="B6115" i="9"/>
  <c r="H6114" i="9"/>
  <c r="G6114" i="9"/>
  <c r="E6114" i="9"/>
  <c r="D6114" i="9"/>
  <c r="C6114" i="9"/>
  <c r="B6114" i="9"/>
  <c r="H6113" i="9"/>
  <c r="G6113" i="9"/>
  <c r="E6113" i="9"/>
  <c r="D6113" i="9"/>
  <c r="C6113" i="9"/>
  <c r="B6113" i="9"/>
  <c r="H6112" i="9"/>
  <c r="G6112" i="9"/>
  <c r="E6112" i="9"/>
  <c r="D6112" i="9"/>
  <c r="C6112" i="9"/>
  <c r="B6112" i="9"/>
  <c r="H6111" i="9"/>
  <c r="G6111" i="9"/>
  <c r="E6111" i="9"/>
  <c r="D6111" i="9"/>
  <c r="C6111" i="9"/>
  <c r="B6111" i="9"/>
  <c r="H6110" i="9"/>
  <c r="G6110" i="9"/>
  <c r="E6110" i="9"/>
  <c r="D6110" i="9"/>
  <c r="C6110" i="9"/>
  <c r="B6110" i="9"/>
  <c r="H6109" i="9"/>
  <c r="G6109" i="9"/>
  <c r="E6109" i="9"/>
  <c r="D6109" i="9"/>
  <c r="C6109" i="9"/>
  <c r="B6109" i="9"/>
  <c r="H6108" i="9"/>
  <c r="G6108" i="9"/>
  <c r="E6108" i="9"/>
  <c r="D6108" i="9"/>
  <c r="C6108" i="9"/>
  <c r="B6108" i="9"/>
  <c r="H6107" i="9"/>
  <c r="G6107" i="9"/>
  <c r="E6107" i="9"/>
  <c r="D6107" i="9"/>
  <c r="C6107" i="9"/>
  <c r="B6107" i="9"/>
  <c r="H6106" i="9"/>
  <c r="G6106" i="9"/>
  <c r="E6106" i="9"/>
  <c r="D6106" i="9"/>
  <c r="C6106" i="9"/>
  <c r="B6106" i="9"/>
  <c r="H6105" i="9"/>
  <c r="G6105" i="9"/>
  <c r="E6105" i="9"/>
  <c r="D6105" i="9"/>
  <c r="C6105" i="9"/>
  <c r="B6105" i="9"/>
  <c r="H6104" i="9"/>
  <c r="G6104" i="9"/>
  <c r="E6104" i="9"/>
  <c r="D6104" i="9"/>
  <c r="C6104" i="9"/>
  <c r="B6104" i="9"/>
  <c r="H6103" i="9"/>
  <c r="G6103" i="9"/>
  <c r="E6103" i="9"/>
  <c r="D6103" i="9"/>
  <c r="C6103" i="9"/>
  <c r="B6103" i="9"/>
  <c r="H6102" i="9"/>
  <c r="G6102" i="9"/>
  <c r="E6102" i="9"/>
  <c r="D6102" i="9"/>
  <c r="C6102" i="9"/>
  <c r="B6102" i="9"/>
  <c r="H6101" i="9"/>
  <c r="G6101" i="9"/>
  <c r="E6101" i="9"/>
  <c r="D6101" i="9"/>
  <c r="C6101" i="9"/>
  <c r="B6101" i="9"/>
  <c r="H6100" i="9"/>
  <c r="G6100" i="9"/>
  <c r="E6100" i="9"/>
  <c r="D6100" i="9"/>
  <c r="C6100" i="9"/>
  <c r="B6100" i="9"/>
  <c r="H6099" i="9"/>
  <c r="G6099" i="9"/>
  <c r="E6099" i="9"/>
  <c r="D6099" i="9"/>
  <c r="C6099" i="9"/>
  <c r="B6099" i="9"/>
  <c r="H6098" i="9"/>
  <c r="G6098" i="9"/>
  <c r="E6098" i="9"/>
  <c r="D6098" i="9"/>
  <c r="C6098" i="9"/>
  <c r="B6098" i="9"/>
  <c r="H6097" i="9"/>
  <c r="G6097" i="9"/>
  <c r="E6097" i="9"/>
  <c r="D6097" i="9"/>
  <c r="C6097" i="9"/>
  <c r="B6097" i="9"/>
  <c r="H6096" i="9"/>
  <c r="G6096" i="9"/>
  <c r="E6096" i="9"/>
  <c r="D6096" i="9"/>
  <c r="C6096" i="9"/>
  <c r="B6096" i="9"/>
  <c r="H6095" i="9"/>
  <c r="G6095" i="9"/>
  <c r="E6095" i="9"/>
  <c r="D6095" i="9"/>
  <c r="C6095" i="9"/>
  <c r="B6095" i="9"/>
  <c r="H6094" i="9"/>
  <c r="G6094" i="9"/>
  <c r="E6094" i="9"/>
  <c r="D6094" i="9"/>
  <c r="C6094" i="9"/>
  <c r="B6094" i="9"/>
  <c r="H6093" i="9"/>
  <c r="G6093" i="9"/>
  <c r="E6093" i="9"/>
  <c r="D6093" i="9"/>
  <c r="C6093" i="9"/>
  <c r="B6093" i="9"/>
  <c r="H6092" i="9"/>
  <c r="G6092" i="9"/>
  <c r="E6092" i="9"/>
  <c r="D6092" i="9"/>
  <c r="C6092" i="9"/>
  <c r="B6092" i="9"/>
  <c r="H6091" i="9"/>
  <c r="G6091" i="9"/>
  <c r="E6091" i="9"/>
  <c r="D6091" i="9"/>
  <c r="C6091" i="9"/>
  <c r="B6091" i="9"/>
  <c r="H6090" i="9"/>
  <c r="G6090" i="9"/>
  <c r="E6090" i="9"/>
  <c r="D6090" i="9"/>
  <c r="C6090" i="9"/>
  <c r="B6090" i="9"/>
  <c r="H6089" i="9"/>
  <c r="G6089" i="9"/>
  <c r="E6089" i="9"/>
  <c r="D6089" i="9"/>
  <c r="C6089" i="9"/>
  <c r="B6089" i="9"/>
  <c r="H6088" i="9"/>
  <c r="G6088" i="9"/>
  <c r="E6088" i="9"/>
  <c r="D6088" i="9"/>
  <c r="C6088" i="9"/>
  <c r="B6088" i="9"/>
  <c r="H6087" i="9"/>
  <c r="G6087" i="9"/>
  <c r="E6087" i="9"/>
  <c r="D6087" i="9"/>
  <c r="C6087" i="9"/>
  <c r="B6087" i="9"/>
  <c r="H6086" i="9"/>
  <c r="G6086" i="9"/>
  <c r="E6086" i="9"/>
  <c r="D6086" i="9"/>
  <c r="C6086" i="9"/>
  <c r="B6086" i="9"/>
  <c r="H6085" i="9"/>
  <c r="G6085" i="9"/>
  <c r="E6085" i="9"/>
  <c r="D6085" i="9"/>
  <c r="C6085" i="9"/>
  <c r="B6085" i="9"/>
  <c r="H6084" i="9"/>
  <c r="G6084" i="9"/>
  <c r="E6084" i="9"/>
  <c r="D6084" i="9"/>
  <c r="C6084" i="9"/>
  <c r="B6084" i="9"/>
  <c r="H6083" i="9"/>
  <c r="G6083" i="9"/>
  <c r="E6083" i="9"/>
  <c r="D6083" i="9"/>
  <c r="C6083" i="9"/>
  <c r="B6083" i="9"/>
  <c r="H6082" i="9"/>
  <c r="G6082" i="9"/>
  <c r="E6082" i="9"/>
  <c r="D6082" i="9"/>
  <c r="C6082" i="9"/>
  <c r="B6082" i="9"/>
  <c r="H6081" i="9"/>
  <c r="G6081" i="9"/>
  <c r="E6081" i="9"/>
  <c r="D6081" i="9"/>
  <c r="C6081" i="9"/>
  <c r="B6081" i="9"/>
  <c r="H6080" i="9"/>
  <c r="G6080" i="9"/>
  <c r="E6080" i="9"/>
  <c r="D6080" i="9"/>
  <c r="C6080" i="9"/>
  <c r="B6080" i="9"/>
  <c r="H6079" i="9"/>
  <c r="G6079" i="9"/>
  <c r="E6079" i="9"/>
  <c r="D6079" i="9"/>
  <c r="C6079" i="9"/>
  <c r="B6079" i="9"/>
  <c r="H6078" i="9"/>
  <c r="G6078" i="9"/>
  <c r="E6078" i="9"/>
  <c r="D6078" i="9"/>
  <c r="C6078" i="9"/>
  <c r="B6078" i="9"/>
  <c r="H6077" i="9"/>
  <c r="G6077" i="9"/>
  <c r="E6077" i="9"/>
  <c r="D6077" i="9"/>
  <c r="C6077" i="9"/>
  <c r="B6077" i="9"/>
  <c r="H6076" i="9"/>
  <c r="G6076" i="9"/>
  <c r="E6076" i="9"/>
  <c r="D6076" i="9"/>
  <c r="C6076" i="9"/>
  <c r="B6076" i="9"/>
  <c r="H6075" i="9"/>
  <c r="G6075" i="9"/>
  <c r="E6075" i="9"/>
  <c r="D6075" i="9"/>
  <c r="C6075" i="9"/>
  <c r="B6075" i="9"/>
  <c r="H6074" i="9"/>
  <c r="G6074" i="9"/>
  <c r="E6074" i="9"/>
  <c r="D6074" i="9"/>
  <c r="C6074" i="9"/>
  <c r="B6074" i="9"/>
  <c r="H6073" i="9"/>
  <c r="G6073" i="9"/>
  <c r="E6073" i="9"/>
  <c r="D6073" i="9"/>
  <c r="C6073" i="9"/>
  <c r="B6073" i="9"/>
  <c r="H6072" i="9"/>
  <c r="G6072" i="9"/>
  <c r="E6072" i="9"/>
  <c r="D6072" i="9"/>
  <c r="C6072" i="9"/>
  <c r="B6072" i="9"/>
  <c r="H6071" i="9"/>
  <c r="G6071" i="9"/>
  <c r="E6071" i="9"/>
  <c r="D6071" i="9"/>
  <c r="C6071" i="9"/>
  <c r="B6071" i="9"/>
  <c r="H6070" i="9"/>
  <c r="G6070" i="9"/>
  <c r="E6070" i="9"/>
  <c r="D6070" i="9"/>
  <c r="C6070" i="9"/>
  <c r="B6070" i="9"/>
  <c r="H6069" i="9"/>
  <c r="G6069" i="9"/>
  <c r="E6069" i="9"/>
  <c r="D6069" i="9"/>
  <c r="C6069" i="9"/>
  <c r="B6069" i="9"/>
  <c r="H6068" i="9"/>
  <c r="G6068" i="9"/>
  <c r="E6068" i="9"/>
  <c r="D6068" i="9"/>
  <c r="C6068" i="9"/>
  <c r="B6068" i="9"/>
  <c r="H6067" i="9"/>
  <c r="G6067" i="9"/>
  <c r="E6067" i="9"/>
  <c r="D6067" i="9"/>
  <c r="C6067" i="9"/>
  <c r="B6067" i="9"/>
  <c r="H6066" i="9"/>
  <c r="G6066" i="9"/>
  <c r="E6066" i="9"/>
  <c r="D6066" i="9"/>
  <c r="C6066" i="9"/>
  <c r="B6066" i="9"/>
  <c r="H6065" i="9"/>
  <c r="G6065" i="9"/>
  <c r="E6065" i="9"/>
  <c r="D6065" i="9"/>
  <c r="C6065" i="9"/>
  <c r="B6065" i="9"/>
  <c r="H6064" i="9"/>
  <c r="G6064" i="9"/>
  <c r="E6064" i="9"/>
  <c r="D6064" i="9"/>
  <c r="C6064" i="9"/>
  <c r="B6064" i="9"/>
  <c r="H6063" i="9"/>
  <c r="G6063" i="9"/>
  <c r="E6063" i="9"/>
  <c r="D6063" i="9"/>
  <c r="C6063" i="9"/>
  <c r="B6063" i="9"/>
  <c r="H6062" i="9"/>
  <c r="G6062" i="9"/>
  <c r="E6062" i="9"/>
  <c r="D6062" i="9"/>
  <c r="C6062" i="9"/>
  <c r="B6062" i="9"/>
  <c r="H6061" i="9"/>
  <c r="G6061" i="9"/>
  <c r="E6061" i="9"/>
  <c r="D6061" i="9"/>
  <c r="C6061" i="9"/>
  <c r="B6061" i="9"/>
  <c r="H6060" i="9"/>
  <c r="G6060" i="9"/>
  <c r="E6060" i="9"/>
  <c r="D6060" i="9"/>
  <c r="C6060" i="9"/>
  <c r="B6060" i="9"/>
  <c r="H6059" i="9"/>
  <c r="G6059" i="9"/>
  <c r="E6059" i="9"/>
  <c r="D6059" i="9"/>
  <c r="C6059" i="9"/>
  <c r="B6059" i="9"/>
  <c r="H6058" i="9"/>
  <c r="G6058" i="9"/>
  <c r="E6058" i="9"/>
  <c r="D6058" i="9"/>
  <c r="C6058" i="9"/>
  <c r="B6058" i="9"/>
  <c r="H6057" i="9"/>
  <c r="G6057" i="9"/>
  <c r="E6057" i="9"/>
  <c r="D6057" i="9"/>
  <c r="C6057" i="9"/>
  <c r="B6057" i="9"/>
  <c r="H6056" i="9"/>
  <c r="G6056" i="9"/>
  <c r="E6056" i="9"/>
  <c r="D6056" i="9"/>
  <c r="C6056" i="9"/>
  <c r="B6056" i="9"/>
  <c r="H6055" i="9"/>
  <c r="G6055" i="9"/>
  <c r="E6055" i="9"/>
  <c r="D6055" i="9"/>
  <c r="C6055" i="9"/>
  <c r="B6055" i="9"/>
  <c r="H6054" i="9"/>
  <c r="G6054" i="9"/>
  <c r="E6054" i="9"/>
  <c r="D6054" i="9"/>
  <c r="C6054" i="9"/>
  <c r="B6054" i="9"/>
  <c r="H6053" i="9"/>
  <c r="G6053" i="9"/>
  <c r="E6053" i="9"/>
  <c r="D6053" i="9"/>
  <c r="C6053" i="9"/>
  <c r="B6053" i="9"/>
  <c r="H6052" i="9"/>
  <c r="G6052" i="9"/>
  <c r="E6052" i="9"/>
  <c r="D6052" i="9"/>
  <c r="C6052" i="9"/>
  <c r="B6052" i="9"/>
  <c r="H6051" i="9"/>
  <c r="G6051" i="9"/>
  <c r="E6051" i="9"/>
  <c r="D6051" i="9"/>
  <c r="C6051" i="9"/>
  <c r="B6051" i="9"/>
  <c r="H6050" i="9"/>
  <c r="G6050" i="9"/>
  <c r="E6050" i="9"/>
  <c r="D6050" i="9"/>
  <c r="C6050" i="9"/>
  <c r="B6050" i="9"/>
  <c r="H6049" i="9"/>
  <c r="G6049" i="9"/>
  <c r="E6049" i="9"/>
  <c r="D6049" i="9"/>
  <c r="C6049" i="9"/>
  <c r="B6049" i="9"/>
  <c r="H6048" i="9"/>
  <c r="G6048" i="9"/>
  <c r="E6048" i="9"/>
  <c r="D6048" i="9"/>
  <c r="C6048" i="9"/>
  <c r="B6048" i="9"/>
  <c r="H6047" i="9"/>
  <c r="G6047" i="9"/>
  <c r="E6047" i="9"/>
  <c r="D6047" i="9"/>
  <c r="C6047" i="9"/>
  <c r="B6047" i="9"/>
  <c r="H6046" i="9"/>
  <c r="G6046" i="9"/>
  <c r="E6046" i="9"/>
  <c r="D6046" i="9"/>
  <c r="C6046" i="9"/>
  <c r="B6046" i="9"/>
  <c r="H6045" i="9"/>
  <c r="G6045" i="9"/>
  <c r="E6045" i="9"/>
  <c r="D6045" i="9"/>
  <c r="C6045" i="9"/>
  <c r="B6045" i="9"/>
  <c r="H6044" i="9"/>
  <c r="G6044" i="9"/>
  <c r="E6044" i="9"/>
  <c r="D6044" i="9"/>
  <c r="C6044" i="9"/>
  <c r="B6044" i="9"/>
  <c r="H6043" i="9"/>
  <c r="G6043" i="9"/>
  <c r="E6043" i="9"/>
  <c r="D6043" i="9"/>
  <c r="C6043" i="9"/>
  <c r="B6043" i="9"/>
  <c r="H6042" i="9"/>
  <c r="G6042" i="9"/>
  <c r="E6042" i="9"/>
  <c r="D6042" i="9"/>
  <c r="C6042" i="9"/>
  <c r="B6042" i="9"/>
  <c r="H6041" i="9"/>
  <c r="G6041" i="9"/>
  <c r="E6041" i="9"/>
  <c r="D6041" i="9"/>
  <c r="C6041" i="9"/>
  <c r="B6041" i="9"/>
  <c r="H6040" i="9"/>
  <c r="G6040" i="9"/>
  <c r="E6040" i="9"/>
  <c r="D6040" i="9"/>
  <c r="C6040" i="9"/>
  <c r="B6040" i="9"/>
  <c r="H6039" i="9"/>
  <c r="G6039" i="9"/>
  <c r="E6039" i="9"/>
  <c r="D6039" i="9"/>
  <c r="C6039" i="9"/>
  <c r="B6039" i="9"/>
  <c r="H6038" i="9"/>
  <c r="G6038" i="9"/>
  <c r="E6038" i="9"/>
  <c r="D6038" i="9"/>
  <c r="C6038" i="9"/>
  <c r="B6038" i="9"/>
  <c r="H6037" i="9"/>
  <c r="G6037" i="9"/>
  <c r="E6037" i="9"/>
  <c r="D6037" i="9"/>
  <c r="C6037" i="9"/>
  <c r="B6037" i="9"/>
  <c r="H6036" i="9"/>
  <c r="G6036" i="9"/>
  <c r="E6036" i="9"/>
  <c r="D6036" i="9"/>
  <c r="C6036" i="9"/>
  <c r="B6036" i="9"/>
  <c r="H6035" i="9"/>
  <c r="G6035" i="9"/>
  <c r="E6035" i="9"/>
  <c r="D6035" i="9"/>
  <c r="C6035" i="9"/>
  <c r="B6035" i="9"/>
  <c r="H6034" i="9"/>
  <c r="G6034" i="9"/>
  <c r="E6034" i="9"/>
  <c r="D6034" i="9"/>
  <c r="C6034" i="9"/>
  <c r="B6034" i="9"/>
  <c r="H6033" i="9"/>
  <c r="G6033" i="9"/>
  <c r="E6033" i="9"/>
  <c r="D6033" i="9"/>
  <c r="C6033" i="9"/>
  <c r="B6033" i="9"/>
  <c r="H6032" i="9"/>
  <c r="G6032" i="9"/>
  <c r="E6032" i="9"/>
  <c r="D6032" i="9"/>
  <c r="C6032" i="9"/>
  <c r="B6032" i="9"/>
  <c r="H6031" i="9"/>
  <c r="G6031" i="9"/>
  <c r="E6031" i="9"/>
  <c r="D6031" i="9"/>
  <c r="C6031" i="9"/>
  <c r="B6031" i="9"/>
  <c r="H6030" i="9"/>
  <c r="G6030" i="9"/>
  <c r="E6030" i="9"/>
  <c r="D6030" i="9"/>
  <c r="C6030" i="9"/>
  <c r="B6030" i="9"/>
  <c r="H6029" i="9"/>
  <c r="G6029" i="9"/>
  <c r="E6029" i="9"/>
  <c r="D6029" i="9"/>
  <c r="C6029" i="9"/>
  <c r="B6029" i="9"/>
  <c r="H6028" i="9"/>
  <c r="G6028" i="9"/>
  <c r="E6028" i="9"/>
  <c r="D6028" i="9"/>
  <c r="C6028" i="9"/>
  <c r="B6028" i="9"/>
  <c r="H6027" i="9"/>
  <c r="G6027" i="9"/>
  <c r="E6027" i="9"/>
  <c r="D6027" i="9"/>
  <c r="C6027" i="9"/>
  <c r="B6027" i="9"/>
  <c r="H6026" i="9"/>
  <c r="G6026" i="9"/>
  <c r="E6026" i="9"/>
  <c r="D6026" i="9"/>
  <c r="C6026" i="9"/>
  <c r="B6026" i="9"/>
  <c r="H6025" i="9"/>
  <c r="G6025" i="9"/>
  <c r="E6025" i="9"/>
  <c r="D6025" i="9"/>
  <c r="C6025" i="9"/>
  <c r="B6025" i="9"/>
  <c r="H6024" i="9"/>
  <c r="G6024" i="9"/>
  <c r="E6024" i="9"/>
  <c r="D6024" i="9"/>
  <c r="C6024" i="9"/>
  <c r="B6024" i="9"/>
  <c r="H6023" i="9"/>
  <c r="G6023" i="9"/>
  <c r="E6023" i="9"/>
  <c r="D6023" i="9"/>
  <c r="C6023" i="9"/>
  <c r="B6023" i="9"/>
  <c r="H6022" i="9"/>
  <c r="G6022" i="9"/>
  <c r="E6022" i="9"/>
  <c r="D6022" i="9"/>
  <c r="C6022" i="9"/>
  <c r="B6022" i="9"/>
  <c r="H6021" i="9"/>
  <c r="G6021" i="9"/>
  <c r="E6021" i="9"/>
  <c r="D6021" i="9"/>
  <c r="C6021" i="9"/>
  <c r="B6021" i="9"/>
  <c r="H6020" i="9"/>
  <c r="G6020" i="9"/>
  <c r="E6020" i="9"/>
  <c r="D6020" i="9"/>
  <c r="C6020" i="9"/>
  <c r="B6020" i="9"/>
  <c r="H6019" i="9"/>
  <c r="G6019" i="9"/>
  <c r="E6019" i="9"/>
  <c r="D6019" i="9"/>
  <c r="C6019" i="9"/>
  <c r="B6019" i="9"/>
  <c r="H6018" i="9"/>
  <c r="G6018" i="9"/>
  <c r="E6018" i="9"/>
  <c r="D6018" i="9"/>
  <c r="C6018" i="9"/>
  <c r="B6018" i="9"/>
  <c r="H6017" i="9"/>
  <c r="G6017" i="9"/>
  <c r="E6017" i="9"/>
  <c r="D6017" i="9"/>
  <c r="C6017" i="9"/>
  <c r="B6017" i="9"/>
  <c r="H6016" i="9"/>
  <c r="G6016" i="9"/>
  <c r="E6016" i="9"/>
  <c r="D6016" i="9"/>
  <c r="C6016" i="9"/>
  <c r="B6016" i="9"/>
  <c r="H6015" i="9"/>
  <c r="G6015" i="9"/>
  <c r="E6015" i="9"/>
  <c r="D6015" i="9"/>
  <c r="C6015" i="9"/>
  <c r="B6015" i="9"/>
  <c r="H6014" i="9"/>
  <c r="G6014" i="9"/>
  <c r="E6014" i="9"/>
  <c r="D6014" i="9"/>
  <c r="C6014" i="9"/>
  <c r="B6014" i="9"/>
  <c r="H6013" i="9"/>
  <c r="G6013" i="9"/>
  <c r="E6013" i="9"/>
  <c r="D6013" i="9"/>
  <c r="C6013" i="9"/>
  <c r="B6013" i="9"/>
  <c r="H6012" i="9"/>
  <c r="G6012" i="9"/>
  <c r="E6012" i="9"/>
  <c r="D6012" i="9"/>
  <c r="C6012" i="9"/>
  <c r="B6012" i="9"/>
  <c r="H6011" i="9"/>
  <c r="G6011" i="9"/>
  <c r="E6011" i="9"/>
  <c r="D6011" i="9"/>
  <c r="C6011" i="9"/>
  <c r="B6011" i="9"/>
  <c r="H6010" i="9"/>
  <c r="G6010" i="9"/>
  <c r="E6010" i="9"/>
  <c r="D6010" i="9"/>
  <c r="C6010" i="9"/>
  <c r="B6010" i="9"/>
  <c r="H6009" i="9"/>
  <c r="G6009" i="9"/>
  <c r="E6009" i="9"/>
  <c r="D6009" i="9"/>
  <c r="C6009" i="9"/>
  <c r="B6009" i="9"/>
  <c r="H6008" i="9"/>
  <c r="G6008" i="9"/>
  <c r="E6008" i="9"/>
  <c r="D6008" i="9"/>
  <c r="C6008" i="9"/>
  <c r="B6008" i="9"/>
  <c r="H6007" i="9"/>
  <c r="G6007" i="9"/>
  <c r="E6007" i="9"/>
  <c r="D6007" i="9"/>
  <c r="C6007" i="9"/>
  <c r="B6007" i="9"/>
  <c r="H6006" i="9"/>
  <c r="G6006" i="9"/>
  <c r="E6006" i="9"/>
  <c r="D6006" i="9"/>
  <c r="C6006" i="9"/>
  <c r="B6006" i="9"/>
  <c r="H6005" i="9"/>
  <c r="G6005" i="9"/>
  <c r="E6005" i="9"/>
  <c r="D6005" i="9"/>
  <c r="C6005" i="9"/>
  <c r="B6005" i="9"/>
  <c r="H6004" i="9"/>
  <c r="G6004" i="9"/>
  <c r="E6004" i="9"/>
  <c r="D6004" i="9"/>
  <c r="C6004" i="9"/>
  <c r="B6004" i="9"/>
  <c r="H6003" i="9"/>
  <c r="G6003" i="9"/>
  <c r="E6003" i="9"/>
  <c r="D6003" i="9"/>
  <c r="C6003" i="9"/>
  <c r="B6003" i="9"/>
  <c r="H6002" i="9"/>
  <c r="G6002" i="9"/>
  <c r="E6002" i="9"/>
  <c r="D6002" i="9"/>
  <c r="C6002" i="9"/>
  <c r="B6002" i="9"/>
  <c r="H6001" i="9"/>
  <c r="G6001" i="9"/>
  <c r="E6001" i="9"/>
  <c r="D6001" i="9"/>
  <c r="C6001" i="9"/>
  <c r="B6001" i="9"/>
  <c r="H6000" i="9"/>
  <c r="G6000" i="9"/>
  <c r="E6000" i="9"/>
  <c r="D6000" i="9"/>
  <c r="C6000" i="9"/>
  <c r="B6000" i="9"/>
  <c r="H5999" i="9"/>
  <c r="G5999" i="9"/>
  <c r="E5999" i="9"/>
  <c r="D5999" i="9"/>
  <c r="C5999" i="9"/>
  <c r="B5999" i="9"/>
  <c r="H5998" i="9"/>
  <c r="G5998" i="9"/>
  <c r="E5998" i="9"/>
  <c r="D5998" i="9"/>
  <c r="C5998" i="9"/>
  <c r="B5998" i="9"/>
  <c r="H5997" i="9"/>
  <c r="G5997" i="9"/>
  <c r="E5997" i="9"/>
  <c r="D5997" i="9"/>
  <c r="C5997" i="9"/>
  <c r="B5997" i="9"/>
  <c r="H5996" i="9"/>
  <c r="G5996" i="9"/>
  <c r="E5996" i="9"/>
  <c r="D5996" i="9"/>
  <c r="C5996" i="9"/>
  <c r="B5996" i="9"/>
  <c r="H5995" i="9"/>
  <c r="G5995" i="9"/>
  <c r="E5995" i="9"/>
  <c r="D5995" i="9"/>
  <c r="C5995" i="9"/>
  <c r="B5995" i="9"/>
  <c r="H5994" i="9"/>
  <c r="G5994" i="9"/>
  <c r="E5994" i="9"/>
  <c r="D5994" i="9"/>
  <c r="C5994" i="9"/>
  <c r="B5994" i="9"/>
  <c r="H5993" i="9"/>
  <c r="G5993" i="9"/>
  <c r="E5993" i="9"/>
  <c r="D5993" i="9"/>
  <c r="C5993" i="9"/>
  <c r="B5993" i="9"/>
  <c r="H5992" i="9"/>
  <c r="G5992" i="9"/>
  <c r="E5992" i="9"/>
  <c r="D5992" i="9"/>
  <c r="C5992" i="9"/>
  <c r="B5992" i="9"/>
  <c r="H5991" i="9"/>
  <c r="G5991" i="9"/>
  <c r="E5991" i="9"/>
  <c r="D5991" i="9"/>
  <c r="C5991" i="9"/>
  <c r="B5991" i="9"/>
  <c r="H5990" i="9"/>
  <c r="G5990" i="9"/>
  <c r="E5990" i="9"/>
  <c r="D5990" i="9"/>
  <c r="C5990" i="9"/>
  <c r="B5990" i="9"/>
  <c r="H5989" i="9"/>
  <c r="G5989" i="9"/>
  <c r="E5989" i="9"/>
  <c r="D5989" i="9"/>
  <c r="C5989" i="9"/>
  <c r="B5989" i="9"/>
  <c r="H5988" i="9"/>
  <c r="G5988" i="9"/>
  <c r="E5988" i="9"/>
  <c r="D5988" i="9"/>
  <c r="C5988" i="9"/>
  <c r="B5988" i="9"/>
  <c r="H5987" i="9"/>
  <c r="G5987" i="9"/>
  <c r="E5987" i="9"/>
  <c r="D5987" i="9"/>
  <c r="C5987" i="9"/>
  <c r="B5987" i="9"/>
  <c r="H5986" i="9"/>
  <c r="G5986" i="9"/>
  <c r="E5986" i="9"/>
  <c r="D5986" i="9"/>
  <c r="C5986" i="9"/>
  <c r="B5986" i="9"/>
  <c r="H5985" i="9"/>
  <c r="G5985" i="9"/>
  <c r="E5985" i="9"/>
  <c r="D5985" i="9"/>
  <c r="C5985" i="9"/>
  <c r="B5985" i="9"/>
  <c r="H5984" i="9"/>
  <c r="G5984" i="9"/>
  <c r="E5984" i="9"/>
  <c r="D5984" i="9"/>
  <c r="C5984" i="9"/>
  <c r="B5984" i="9"/>
  <c r="H5983" i="9"/>
  <c r="G5983" i="9"/>
  <c r="E5983" i="9"/>
  <c r="D5983" i="9"/>
  <c r="C5983" i="9"/>
  <c r="B5983" i="9"/>
  <c r="H5982" i="9"/>
  <c r="G5982" i="9"/>
  <c r="E5982" i="9"/>
  <c r="D5982" i="9"/>
  <c r="C5982" i="9"/>
  <c r="B5982" i="9"/>
  <c r="H5981" i="9"/>
  <c r="G5981" i="9"/>
  <c r="E5981" i="9"/>
  <c r="D5981" i="9"/>
  <c r="C5981" i="9"/>
  <c r="B5981" i="9"/>
  <c r="H5980" i="9"/>
  <c r="G5980" i="9"/>
  <c r="E5980" i="9"/>
  <c r="D5980" i="9"/>
  <c r="C5980" i="9"/>
  <c r="B5980" i="9"/>
  <c r="H5979" i="9"/>
  <c r="G5979" i="9"/>
  <c r="E5979" i="9"/>
  <c r="D5979" i="9"/>
  <c r="C5979" i="9"/>
  <c r="B5979" i="9"/>
  <c r="H5978" i="9"/>
  <c r="G5978" i="9"/>
  <c r="E5978" i="9"/>
  <c r="D5978" i="9"/>
  <c r="C5978" i="9"/>
  <c r="B5978" i="9"/>
  <c r="H5977" i="9"/>
  <c r="G5977" i="9"/>
  <c r="E5977" i="9"/>
  <c r="D5977" i="9"/>
  <c r="C5977" i="9"/>
  <c r="B5977" i="9"/>
  <c r="H5976" i="9"/>
  <c r="G5976" i="9"/>
  <c r="E5976" i="9"/>
  <c r="D5976" i="9"/>
  <c r="C5976" i="9"/>
  <c r="B5976" i="9"/>
  <c r="H5975" i="9"/>
  <c r="G5975" i="9"/>
  <c r="E5975" i="9"/>
  <c r="D5975" i="9"/>
  <c r="C5975" i="9"/>
  <c r="B5975" i="9"/>
  <c r="H5974" i="9"/>
  <c r="G5974" i="9"/>
  <c r="E5974" i="9"/>
  <c r="D5974" i="9"/>
  <c r="C5974" i="9"/>
  <c r="B5974" i="9"/>
  <c r="H5973" i="9"/>
  <c r="G5973" i="9"/>
  <c r="E5973" i="9"/>
  <c r="D5973" i="9"/>
  <c r="C5973" i="9"/>
  <c r="B5973" i="9"/>
  <c r="H5972" i="9"/>
  <c r="G5972" i="9"/>
  <c r="E5972" i="9"/>
  <c r="D5972" i="9"/>
  <c r="C5972" i="9"/>
  <c r="B5972" i="9"/>
  <c r="H5971" i="9"/>
  <c r="G5971" i="9"/>
  <c r="E5971" i="9"/>
  <c r="D5971" i="9"/>
  <c r="C5971" i="9"/>
  <c r="B5971" i="9"/>
  <c r="H5970" i="9"/>
  <c r="G5970" i="9"/>
  <c r="E5970" i="9"/>
  <c r="D5970" i="9"/>
  <c r="C5970" i="9"/>
  <c r="B5970" i="9"/>
  <c r="H5969" i="9"/>
  <c r="G5969" i="9"/>
  <c r="E5969" i="9"/>
  <c r="D5969" i="9"/>
  <c r="C5969" i="9"/>
  <c r="B5969" i="9"/>
  <c r="H5968" i="9"/>
  <c r="G5968" i="9"/>
  <c r="E5968" i="9"/>
  <c r="D5968" i="9"/>
  <c r="C5968" i="9"/>
  <c r="B5968" i="9"/>
  <c r="H5967" i="9"/>
  <c r="G5967" i="9"/>
  <c r="E5967" i="9"/>
  <c r="D5967" i="9"/>
  <c r="C5967" i="9"/>
  <c r="B5967" i="9"/>
  <c r="H5966" i="9"/>
  <c r="G5966" i="9"/>
  <c r="E5966" i="9"/>
  <c r="D5966" i="9"/>
  <c r="C5966" i="9"/>
  <c r="B5966" i="9"/>
  <c r="H5965" i="9"/>
  <c r="G5965" i="9"/>
  <c r="E5965" i="9"/>
  <c r="D5965" i="9"/>
  <c r="C5965" i="9"/>
  <c r="B5965" i="9"/>
  <c r="H5964" i="9"/>
  <c r="G5964" i="9"/>
  <c r="E5964" i="9"/>
  <c r="D5964" i="9"/>
  <c r="C5964" i="9"/>
  <c r="B5964" i="9"/>
  <c r="H5963" i="9"/>
  <c r="G5963" i="9"/>
  <c r="E5963" i="9"/>
  <c r="D5963" i="9"/>
  <c r="C5963" i="9"/>
  <c r="B5963" i="9"/>
  <c r="H5962" i="9"/>
  <c r="G5962" i="9"/>
  <c r="E5962" i="9"/>
  <c r="D5962" i="9"/>
  <c r="C5962" i="9"/>
  <c r="B5962" i="9"/>
  <c r="H5961" i="9"/>
  <c r="G5961" i="9"/>
  <c r="E5961" i="9"/>
  <c r="D5961" i="9"/>
  <c r="C5961" i="9"/>
  <c r="B5961" i="9"/>
  <c r="H5960" i="9"/>
  <c r="G5960" i="9"/>
  <c r="E5960" i="9"/>
  <c r="D5960" i="9"/>
  <c r="C5960" i="9"/>
  <c r="B5960" i="9"/>
  <c r="H5959" i="9"/>
  <c r="G5959" i="9"/>
  <c r="E5959" i="9"/>
  <c r="D5959" i="9"/>
  <c r="C5959" i="9"/>
  <c r="B5959" i="9"/>
  <c r="H5958" i="9"/>
  <c r="G5958" i="9"/>
  <c r="E5958" i="9"/>
  <c r="D5958" i="9"/>
  <c r="C5958" i="9"/>
  <c r="B5958" i="9"/>
  <c r="H5957" i="9"/>
  <c r="G5957" i="9"/>
  <c r="E5957" i="9"/>
  <c r="D5957" i="9"/>
  <c r="C5957" i="9"/>
  <c r="B5957" i="9"/>
  <c r="H5956" i="9"/>
  <c r="G5956" i="9"/>
  <c r="E5956" i="9"/>
  <c r="D5956" i="9"/>
  <c r="C5956" i="9"/>
  <c r="B5956" i="9"/>
  <c r="H5955" i="9"/>
  <c r="G5955" i="9"/>
  <c r="E5955" i="9"/>
  <c r="D5955" i="9"/>
  <c r="C5955" i="9"/>
  <c r="B5955" i="9"/>
  <c r="H5954" i="9"/>
  <c r="G5954" i="9"/>
  <c r="E5954" i="9"/>
  <c r="D5954" i="9"/>
  <c r="C5954" i="9"/>
  <c r="B5954" i="9"/>
  <c r="H5953" i="9"/>
  <c r="G5953" i="9"/>
  <c r="E5953" i="9"/>
  <c r="D5953" i="9"/>
  <c r="C5953" i="9"/>
  <c r="B5953" i="9"/>
  <c r="H5952" i="9"/>
  <c r="G5952" i="9"/>
  <c r="E5952" i="9"/>
  <c r="D5952" i="9"/>
  <c r="C5952" i="9"/>
  <c r="B5952" i="9"/>
  <c r="H5951" i="9"/>
  <c r="G5951" i="9"/>
  <c r="E5951" i="9"/>
  <c r="D5951" i="9"/>
  <c r="C5951" i="9"/>
  <c r="B5951" i="9"/>
  <c r="H5950" i="9"/>
  <c r="G5950" i="9"/>
  <c r="E5950" i="9"/>
  <c r="D5950" i="9"/>
  <c r="C5950" i="9"/>
  <c r="B5950" i="9"/>
  <c r="H5949" i="9"/>
  <c r="G5949" i="9"/>
  <c r="E5949" i="9"/>
  <c r="D5949" i="9"/>
  <c r="C5949" i="9"/>
  <c r="B5949" i="9"/>
  <c r="H5948" i="9"/>
  <c r="G5948" i="9"/>
  <c r="E5948" i="9"/>
  <c r="D5948" i="9"/>
  <c r="C5948" i="9"/>
  <c r="B5948" i="9"/>
  <c r="H5947" i="9"/>
  <c r="G5947" i="9"/>
  <c r="E5947" i="9"/>
  <c r="D5947" i="9"/>
  <c r="C5947" i="9"/>
  <c r="B5947" i="9"/>
  <c r="H5946" i="9"/>
  <c r="G5946" i="9"/>
  <c r="E5946" i="9"/>
  <c r="D5946" i="9"/>
  <c r="C5946" i="9"/>
  <c r="B5946" i="9"/>
  <c r="H5945" i="9"/>
  <c r="G5945" i="9"/>
  <c r="E5945" i="9"/>
  <c r="D5945" i="9"/>
  <c r="C5945" i="9"/>
  <c r="B5945" i="9"/>
  <c r="H5944" i="9"/>
  <c r="G5944" i="9"/>
  <c r="E5944" i="9"/>
  <c r="D5944" i="9"/>
  <c r="C5944" i="9"/>
  <c r="B5944" i="9"/>
  <c r="H5943" i="9"/>
  <c r="G5943" i="9"/>
  <c r="E5943" i="9"/>
  <c r="D5943" i="9"/>
  <c r="C5943" i="9"/>
  <c r="B5943" i="9"/>
  <c r="H5942" i="9"/>
  <c r="G5942" i="9"/>
  <c r="E5942" i="9"/>
  <c r="D5942" i="9"/>
  <c r="C5942" i="9"/>
  <c r="B5942" i="9"/>
  <c r="H5941" i="9"/>
  <c r="G5941" i="9"/>
  <c r="E5941" i="9"/>
  <c r="D5941" i="9"/>
  <c r="C5941" i="9"/>
  <c r="B5941" i="9"/>
  <c r="H5940" i="9"/>
  <c r="G5940" i="9"/>
  <c r="E5940" i="9"/>
  <c r="D5940" i="9"/>
  <c r="C5940" i="9"/>
  <c r="B5940" i="9"/>
  <c r="H5939" i="9"/>
  <c r="G5939" i="9"/>
  <c r="E5939" i="9"/>
  <c r="D5939" i="9"/>
  <c r="C5939" i="9"/>
  <c r="B5939" i="9"/>
  <c r="H5938" i="9"/>
  <c r="G5938" i="9"/>
  <c r="E5938" i="9"/>
  <c r="D5938" i="9"/>
  <c r="C5938" i="9"/>
  <c r="B5938" i="9"/>
  <c r="H5937" i="9"/>
  <c r="G5937" i="9"/>
  <c r="E5937" i="9"/>
  <c r="D5937" i="9"/>
  <c r="C5937" i="9"/>
  <c r="B5937" i="9"/>
  <c r="H5936" i="9"/>
  <c r="G5936" i="9"/>
  <c r="E5936" i="9"/>
  <c r="D5936" i="9"/>
  <c r="C5936" i="9"/>
  <c r="B5936" i="9"/>
  <c r="H5935" i="9"/>
  <c r="G5935" i="9"/>
  <c r="E5935" i="9"/>
  <c r="D5935" i="9"/>
  <c r="C5935" i="9"/>
  <c r="B5935" i="9"/>
  <c r="H5934" i="9"/>
  <c r="G5934" i="9"/>
  <c r="E5934" i="9"/>
  <c r="D5934" i="9"/>
  <c r="C5934" i="9"/>
  <c r="B5934" i="9"/>
  <c r="H5933" i="9"/>
  <c r="G5933" i="9"/>
  <c r="E5933" i="9"/>
  <c r="D5933" i="9"/>
  <c r="C5933" i="9"/>
  <c r="B5933" i="9"/>
  <c r="H5932" i="9"/>
  <c r="G5932" i="9"/>
  <c r="E5932" i="9"/>
  <c r="D5932" i="9"/>
  <c r="C5932" i="9"/>
  <c r="B5932" i="9"/>
  <c r="H5931" i="9"/>
  <c r="G5931" i="9"/>
  <c r="E5931" i="9"/>
  <c r="D5931" i="9"/>
  <c r="C5931" i="9"/>
  <c r="B5931" i="9"/>
  <c r="H5930" i="9"/>
  <c r="G5930" i="9"/>
  <c r="E5930" i="9"/>
  <c r="D5930" i="9"/>
  <c r="C5930" i="9"/>
  <c r="B5930" i="9"/>
  <c r="H5929" i="9"/>
  <c r="G5929" i="9"/>
  <c r="E5929" i="9"/>
  <c r="D5929" i="9"/>
  <c r="C5929" i="9"/>
  <c r="B5929" i="9"/>
  <c r="H5928" i="9"/>
  <c r="G5928" i="9"/>
  <c r="E5928" i="9"/>
  <c r="D5928" i="9"/>
  <c r="C5928" i="9"/>
  <c r="B5928" i="9"/>
  <c r="H5927" i="9"/>
  <c r="G5927" i="9"/>
  <c r="E5927" i="9"/>
  <c r="D5927" i="9"/>
  <c r="C5927" i="9"/>
  <c r="B5927" i="9"/>
  <c r="H5926" i="9"/>
  <c r="G5926" i="9"/>
  <c r="E5926" i="9"/>
  <c r="D5926" i="9"/>
  <c r="C5926" i="9"/>
  <c r="B5926" i="9"/>
  <c r="H5925" i="9"/>
  <c r="G5925" i="9"/>
  <c r="E5925" i="9"/>
  <c r="D5925" i="9"/>
  <c r="C5925" i="9"/>
  <c r="B5925" i="9"/>
  <c r="H5924" i="9"/>
  <c r="G5924" i="9"/>
  <c r="E5924" i="9"/>
  <c r="D5924" i="9"/>
  <c r="C5924" i="9"/>
  <c r="B5924" i="9"/>
  <c r="H5923" i="9"/>
  <c r="G5923" i="9"/>
  <c r="E5923" i="9"/>
  <c r="D5923" i="9"/>
  <c r="C5923" i="9"/>
  <c r="B5923" i="9"/>
  <c r="H5922" i="9"/>
  <c r="G5922" i="9"/>
  <c r="E5922" i="9"/>
  <c r="D5922" i="9"/>
  <c r="C5922" i="9"/>
  <c r="B5922" i="9"/>
  <c r="H5921" i="9"/>
  <c r="G5921" i="9"/>
  <c r="E5921" i="9"/>
  <c r="D5921" i="9"/>
  <c r="C5921" i="9"/>
  <c r="B5921" i="9"/>
  <c r="H5920" i="9"/>
  <c r="G5920" i="9"/>
  <c r="E5920" i="9"/>
  <c r="D5920" i="9"/>
  <c r="C5920" i="9"/>
  <c r="B5920" i="9"/>
  <c r="H5919" i="9"/>
  <c r="G5919" i="9"/>
  <c r="E5919" i="9"/>
  <c r="D5919" i="9"/>
  <c r="C5919" i="9"/>
  <c r="B5919" i="9"/>
  <c r="H5918" i="9"/>
  <c r="G5918" i="9"/>
  <c r="E5918" i="9"/>
  <c r="D5918" i="9"/>
  <c r="C5918" i="9"/>
  <c r="B5918" i="9"/>
  <c r="H5917" i="9"/>
  <c r="G5917" i="9"/>
  <c r="E5917" i="9"/>
  <c r="D5917" i="9"/>
  <c r="C5917" i="9"/>
  <c r="B5917" i="9"/>
  <c r="H5916" i="9"/>
  <c r="G5916" i="9"/>
  <c r="E5916" i="9"/>
  <c r="D5916" i="9"/>
  <c r="C5916" i="9"/>
  <c r="B5916" i="9"/>
  <c r="H5915" i="9"/>
  <c r="G5915" i="9"/>
  <c r="E5915" i="9"/>
  <c r="D5915" i="9"/>
  <c r="C5915" i="9"/>
  <c r="B5915" i="9"/>
  <c r="H5914" i="9"/>
  <c r="G5914" i="9"/>
  <c r="E5914" i="9"/>
  <c r="D5914" i="9"/>
  <c r="C5914" i="9"/>
  <c r="B5914" i="9"/>
  <c r="H5913" i="9"/>
  <c r="G5913" i="9"/>
  <c r="E5913" i="9"/>
  <c r="D5913" i="9"/>
  <c r="C5913" i="9"/>
  <c r="B5913" i="9"/>
  <c r="H5912" i="9"/>
  <c r="G5912" i="9"/>
  <c r="E5912" i="9"/>
  <c r="D5912" i="9"/>
  <c r="C5912" i="9"/>
  <c r="B5912" i="9"/>
  <c r="H5911" i="9"/>
  <c r="G5911" i="9"/>
  <c r="E5911" i="9"/>
  <c r="D5911" i="9"/>
  <c r="C5911" i="9"/>
  <c r="B5911" i="9"/>
  <c r="H5910" i="9"/>
  <c r="G5910" i="9"/>
  <c r="E5910" i="9"/>
  <c r="D5910" i="9"/>
  <c r="C5910" i="9"/>
  <c r="B5910" i="9"/>
  <c r="H5909" i="9"/>
  <c r="G5909" i="9"/>
  <c r="E5909" i="9"/>
  <c r="D5909" i="9"/>
  <c r="C5909" i="9"/>
  <c r="B5909" i="9"/>
  <c r="H5908" i="9"/>
  <c r="G5908" i="9"/>
  <c r="E5908" i="9"/>
  <c r="D5908" i="9"/>
  <c r="C5908" i="9"/>
  <c r="B5908" i="9"/>
  <c r="H5907" i="9"/>
  <c r="G5907" i="9"/>
  <c r="E5907" i="9"/>
  <c r="D5907" i="9"/>
  <c r="C5907" i="9"/>
  <c r="B5907" i="9"/>
  <c r="H5906" i="9"/>
  <c r="G5906" i="9"/>
  <c r="E5906" i="9"/>
  <c r="D5906" i="9"/>
  <c r="C5906" i="9"/>
  <c r="B5906" i="9"/>
  <c r="H5905" i="9"/>
  <c r="G5905" i="9"/>
  <c r="E5905" i="9"/>
  <c r="D5905" i="9"/>
  <c r="C5905" i="9"/>
  <c r="B5905" i="9"/>
  <c r="H5904" i="9"/>
  <c r="G5904" i="9"/>
  <c r="E5904" i="9"/>
  <c r="D5904" i="9"/>
  <c r="C5904" i="9"/>
  <c r="B5904" i="9"/>
  <c r="H5903" i="9"/>
  <c r="G5903" i="9"/>
  <c r="E5903" i="9"/>
  <c r="D5903" i="9"/>
  <c r="C5903" i="9"/>
  <c r="B5903" i="9"/>
  <c r="H5902" i="9"/>
  <c r="G5902" i="9"/>
  <c r="E5902" i="9"/>
  <c r="D5902" i="9"/>
  <c r="C5902" i="9"/>
  <c r="B5902" i="9"/>
  <c r="H5901" i="9"/>
  <c r="G5901" i="9"/>
  <c r="E5901" i="9"/>
  <c r="D5901" i="9"/>
  <c r="C5901" i="9"/>
  <c r="B5901" i="9"/>
  <c r="H5900" i="9"/>
  <c r="G5900" i="9"/>
  <c r="E5900" i="9"/>
  <c r="D5900" i="9"/>
  <c r="C5900" i="9"/>
  <c r="B5900" i="9"/>
  <c r="H5899" i="9"/>
  <c r="G5899" i="9"/>
  <c r="E5899" i="9"/>
  <c r="D5899" i="9"/>
  <c r="C5899" i="9"/>
  <c r="B5899" i="9"/>
  <c r="H5898" i="9"/>
  <c r="G5898" i="9"/>
  <c r="E5898" i="9"/>
  <c r="D5898" i="9"/>
  <c r="C5898" i="9"/>
  <c r="B5898" i="9"/>
  <c r="H5897" i="9"/>
  <c r="G5897" i="9"/>
  <c r="E5897" i="9"/>
  <c r="D5897" i="9"/>
  <c r="C5897" i="9"/>
  <c r="B5897" i="9"/>
  <c r="H5896" i="9"/>
  <c r="G5896" i="9"/>
  <c r="E5896" i="9"/>
  <c r="D5896" i="9"/>
  <c r="C5896" i="9"/>
  <c r="B5896" i="9"/>
  <c r="H5895" i="9"/>
  <c r="G5895" i="9"/>
  <c r="E5895" i="9"/>
  <c r="D5895" i="9"/>
  <c r="C5895" i="9"/>
  <c r="B5895" i="9"/>
  <c r="H5894" i="9"/>
  <c r="G5894" i="9"/>
  <c r="E5894" i="9"/>
  <c r="D5894" i="9"/>
  <c r="C5894" i="9"/>
  <c r="B5894" i="9"/>
  <c r="H5893" i="9"/>
  <c r="G5893" i="9"/>
  <c r="E5893" i="9"/>
  <c r="D5893" i="9"/>
  <c r="C5893" i="9"/>
  <c r="B5893" i="9"/>
  <c r="H5892" i="9"/>
  <c r="G5892" i="9"/>
  <c r="E5892" i="9"/>
  <c r="D5892" i="9"/>
  <c r="C5892" i="9"/>
  <c r="B5892" i="9"/>
  <c r="H5891" i="9"/>
  <c r="G5891" i="9"/>
  <c r="E5891" i="9"/>
  <c r="D5891" i="9"/>
  <c r="C5891" i="9"/>
  <c r="B5891" i="9"/>
  <c r="H5890" i="9"/>
  <c r="G5890" i="9"/>
  <c r="E5890" i="9"/>
  <c r="D5890" i="9"/>
  <c r="C5890" i="9"/>
  <c r="B5890" i="9"/>
  <c r="H5889" i="9"/>
  <c r="G5889" i="9"/>
  <c r="E5889" i="9"/>
  <c r="D5889" i="9"/>
  <c r="C5889" i="9"/>
  <c r="B5889" i="9"/>
  <c r="H5888" i="9"/>
  <c r="G5888" i="9"/>
  <c r="E5888" i="9"/>
  <c r="D5888" i="9"/>
  <c r="C5888" i="9"/>
  <c r="B5888" i="9"/>
  <c r="H5887" i="9"/>
  <c r="G5887" i="9"/>
  <c r="E5887" i="9"/>
  <c r="D5887" i="9"/>
  <c r="C5887" i="9"/>
  <c r="B5887" i="9"/>
  <c r="H5886" i="9"/>
  <c r="G5886" i="9"/>
  <c r="E5886" i="9"/>
  <c r="D5886" i="9"/>
  <c r="C5886" i="9"/>
  <c r="B5886" i="9"/>
  <c r="H5885" i="9"/>
  <c r="G5885" i="9"/>
  <c r="E5885" i="9"/>
  <c r="D5885" i="9"/>
  <c r="C5885" i="9"/>
  <c r="B5885" i="9"/>
  <c r="H5884" i="9"/>
  <c r="G5884" i="9"/>
  <c r="E5884" i="9"/>
  <c r="D5884" i="9"/>
  <c r="C5884" i="9"/>
  <c r="B5884" i="9"/>
  <c r="H5883" i="9"/>
  <c r="G5883" i="9"/>
  <c r="E5883" i="9"/>
  <c r="D5883" i="9"/>
  <c r="C5883" i="9"/>
  <c r="B5883" i="9"/>
  <c r="H5882" i="9"/>
  <c r="G5882" i="9"/>
  <c r="E5882" i="9"/>
  <c r="D5882" i="9"/>
  <c r="C5882" i="9"/>
  <c r="B5882" i="9"/>
  <c r="H5881" i="9"/>
  <c r="G5881" i="9"/>
  <c r="E5881" i="9"/>
  <c r="D5881" i="9"/>
  <c r="C5881" i="9"/>
  <c r="B5881" i="9"/>
  <c r="H5880" i="9"/>
  <c r="G5880" i="9"/>
  <c r="E5880" i="9"/>
  <c r="D5880" i="9"/>
  <c r="C5880" i="9"/>
  <c r="B5880" i="9"/>
  <c r="H5879" i="9"/>
  <c r="G5879" i="9"/>
  <c r="E5879" i="9"/>
  <c r="D5879" i="9"/>
  <c r="C5879" i="9"/>
  <c r="B5879" i="9"/>
  <c r="H5878" i="9"/>
  <c r="G5878" i="9"/>
  <c r="E5878" i="9"/>
  <c r="D5878" i="9"/>
  <c r="C5878" i="9"/>
  <c r="B5878" i="9"/>
  <c r="H5877" i="9"/>
  <c r="G5877" i="9"/>
  <c r="E5877" i="9"/>
  <c r="D5877" i="9"/>
  <c r="C5877" i="9"/>
  <c r="B5877" i="9"/>
  <c r="H5876" i="9"/>
  <c r="G5876" i="9"/>
  <c r="E5876" i="9"/>
  <c r="D5876" i="9"/>
  <c r="C5876" i="9"/>
  <c r="B5876" i="9"/>
  <c r="H5875" i="9"/>
  <c r="G5875" i="9"/>
  <c r="E5875" i="9"/>
  <c r="D5875" i="9"/>
  <c r="C5875" i="9"/>
  <c r="B5875" i="9"/>
  <c r="H5874" i="9"/>
  <c r="G5874" i="9"/>
  <c r="E5874" i="9"/>
  <c r="D5874" i="9"/>
  <c r="C5874" i="9"/>
  <c r="B5874" i="9"/>
  <c r="H5873" i="9"/>
  <c r="G5873" i="9"/>
  <c r="E5873" i="9"/>
  <c r="D5873" i="9"/>
  <c r="C5873" i="9"/>
  <c r="B5873" i="9"/>
  <c r="H5872" i="9"/>
  <c r="G5872" i="9"/>
  <c r="E5872" i="9"/>
  <c r="D5872" i="9"/>
  <c r="C5872" i="9"/>
  <c r="B5872" i="9"/>
  <c r="H5871" i="9"/>
  <c r="G5871" i="9"/>
  <c r="E5871" i="9"/>
  <c r="D5871" i="9"/>
  <c r="C5871" i="9"/>
  <c r="B5871" i="9"/>
  <c r="H5870" i="9"/>
  <c r="G5870" i="9"/>
  <c r="E5870" i="9"/>
  <c r="D5870" i="9"/>
  <c r="C5870" i="9"/>
  <c r="B5870" i="9"/>
  <c r="H5869" i="9"/>
  <c r="G5869" i="9"/>
  <c r="E5869" i="9"/>
  <c r="D5869" i="9"/>
  <c r="C5869" i="9"/>
  <c r="B5869" i="9"/>
  <c r="H5868" i="9"/>
  <c r="G5868" i="9"/>
  <c r="E5868" i="9"/>
  <c r="D5868" i="9"/>
  <c r="C5868" i="9"/>
  <c r="B5868" i="9"/>
  <c r="H5867" i="9"/>
  <c r="G5867" i="9"/>
  <c r="E5867" i="9"/>
  <c r="D5867" i="9"/>
  <c r="C5867" i="9"/>
  <c r="B5867" i="9"/>
  <c r="H5866" i="9"/>
  <c r="G5866" i="9"/>
  <c r="E5866" i="9"/>
  <c r="D5866" i="9"/>
  <c r="C5866" i="9"/>
  <c r="B5866" i="9"/>
  <c r="H5865" i="9"/>
  <c r="G5865" i="9"/>
  <c r="E5865" i="9"/>
  <c r="D5865" i="9"/>
  <c r="C5865" i="9"/>
  <c r="B5865" i="9"/>
  <c r="H5864" i="9"/>
  <c r="G5864" i="9"/>
  <c r="E5864" i="9"/>
  <c r="D5864" i="9"/>
  <c r="C5864" i="9"/>
  <c r="B5864" i="9"/>
  <c r="H5863" i="9"/>
  <c r="G5863" i="9"/>
  <c r="E5863" i="9"/>
  <c r="D5863" i="9"/>
  <c r="C5863" i="9"/>
  <c r="B5863" i="9"/>
  <c r="H5862" i="9"/>
  <c r="G5862" i="9"/>
  <c r="E5862" i="9"/>
  <c r="D5862" i="9"/>
  <c r="C5862" i="9"/>
  <c r="B5862" i="9"/>
  <c r="H5861" i="9"/>
  <c r="G5861" i="9"/>
  <c r="E5861" i="9"/>
  <c r="D5861" i="9"/>
  <c r="C5861" i="9"/>
  <c r="B5861" i="9"/>
  <c r="H5860" i="9"/>
  <c r="G5860" i="9"/>
  <c r="E5860" i="9"/>
  <c r="D5860" i="9"/>
  <c r="C5860" i="9"/>
  <c r="B5860" i="9"/>
  <c r="H5859" i="9"/>
  <c r="G5859" i="9"/>
  <c r="E5859" i="9"/>
  <c r="D5859" i="9"/>
  <c r="C5859" i="9"/>
  <c r="B5859" i="9"/>
  <c r="H5858" i="9"/>
  <c r="G5858" i="9"/>
  <c r="E5858" i="9"/>
  <c r="D5858" i="9"/>
  <c r="C5858" i="9"/>
  <c r="B5858" i="9"/>
  <c r="H5857" i="9"/>
  <c r="G5857" i="9"/>
  <c r="E5857" i="9"/>
  <c r="D5857" i="9"/>
  <c r="C5857" i="9"/>
  <c r="B5857" i="9"/>
  <c r="H5856" i="9"/>
  <c r="G5856" i="9"/>
  <c r="E5856" i="9"/>
  <c r="D5856" i="9"/>
  <c r="C5856" i="9"/>
  <c r="B5856" i="9"/>
  <c r="H5855" i="9"/>
  <c r="G5855" i="9"/>
  <c r="E5855" i="9"/>
  <c r="D5855" i="9"/>
  <c r="C5855" i="9"/>
  <c r="B5855" i="9"/>
  <c r="H5854" i="9"/>
  <c r="G5854" i="9"/>
  <c r="E5854" i="9"/>
  <c r="D5854" i="9"/>
  <c r="C5854" i="9"/>
  <c r="B5854" i="9"/>
  <c r="H5853" i="9"/>
  <c r="G5853" i="9"/>
  <c r="E5853" i="9"/>
  <c r="D5853" i="9"/>
  <c r="C5853" i="9"/>
  <c r="B5853" i="9"/>
  <c r="H5852" i="9"/>
  <c r="G5852" i="9"/>
  <c r="E5852" i="9"/>
  <c r="D5852" i="9"/>
  <c r="C5852" i="9"/>
  <c r="B5852" i="9"/>
  <c r="H5851" i="9"/>
  <c r="G5851" i="9"/>
  <c r="E5851" i="9"/>
  <c r="D5851" i="9"/>
  <c r="C5851" i="9"/>
  <c r="B5851" i="9"/>
  <c r="H5850" i="9"/>
  <c r="G5850" i="9"/>
  <c r="E5850" i="9"/>
  <c r="D5850" i="9"/>
  <c r="C5850" i="9"/>
  <c r="B5850" i="9"/>
  <c r="H5849" i="9"/>
  <c r="G5849" i="9"/>
  <c r="E5849" i="9"/>
  <c r="D5849" i="9"/>
  <c r="C5849" i="9"/>
  <c r="B5849" i="9"/>
  <c r="H5848" i="9"/>
  <c r="G5848" i="9"/>
  <c r="E5848" i="9"/>
  <c r="D5848" i="9"/>
  <c r="C5848" i="9"/>
  <c r="B5848" i="9"/>
  <c r="H5847" i="9"/>
  <c r="G5847" i="9"/>
  <c r="E5847" i="9"/>
  <c r="D5847" i="9"/>
  <c r="C5847" i="9"/>
  <c r="B5847" i="9"/>
  <c r="H5846" i="9"/>
  <c r="G5846" i="9"/>
  <c r="E5846" i="9"/>
  <c r="D5846" i="9"/>
  <c r="C5846" i="9"/>
  <c r="B5846" i="9"/>
  <c r="H5845" i="9"/>
  <c r="G5845" i="9"/>
  <c r="E5845" i="9"/>
  <c r="D5845" i="9"/>
  <c r="C5845" i="9"/>
  <c r="B5845" i="9"/>
  <c r="H5844" i="9"/>
  <c r="G5844" i="9"/>
  <c r="E5844" i="9"/>
  <c r="D5844" i="9"/>
  <c r="C5844" i="9"/>
  <c r="B5844" i="9"/>
  <c r="H5843" i="9"/>
  <c r="G5843" i="9"/>
  <c r="E5843" i="9"/>
  <c r="D5843" i="9"/>
  <c r="C5843" i="9"/>
  <c r="B5843" i="9"/>
  <c r="H5842" i="9"/>
  <c r="G5842" i="9"/>
  <c r="E5842" i="9"/>
  <c r="D5842" i="9"/>
  <c r="C5842" i="9"/>
  <c r="B5842" i="9"/>
  <c r="H5841" i="9"/>
  <c r="G5841" i="9"/>
  <c r="E5841" i="9"/>
  <c r="D5841" i="9"/>
  <c r="C5841" i="9"/>
  <c r="B5841" i="9"/>
  <c r="H5840" i="9"/>
  <c r="G5840" i="9"/>
  <c r="E5840" i="9"/>
  <c r="D5840" i="9"/>
  <c r="C5840" i="9"/>
  <c r="B5840" i="9"/>
  <c r="H5839" i="9"/>
  <c r="G5839" i="9"/>
  <c r="E5839" i="9"/>
  <c r="D5839" i="9"/>
  <c r="C5839" i="9"/>
  <c r="B5839" i="9"/>
  <c r="H5838" i="9"/>
  <c r="G5838" i="9"/>
  <c r="E5838" i="9"/>
  <c r="D5838" i="9"/>
  <c r="C5838" i="9"/>
  <c r="B5838" i="9"/>
  <c r="H5837" i="9"/>
  <c r="G5837" i="9"/>
  <c r="E5837" i="9"/>
  <c r="D5837" i="9"/>
  <c r="C5837" i="9"/>
  <c r="B5837" i="9"/>
  <c r="H5836" i="9"/>
  <c r="G5836" i="9"/>
  <c r="E5836" i="9"/>
  <c r="D5836" i="9"/>
  <c r="C5836" i="9"/>
  <c r="B5836" i="9"/>
  <c r="H5835" i="9"/>
  <c r="G5835" i="9"/>
  <c r="E5835" i="9"/>
  <c r="D5835" i="9"/>
  <c r="C5835" i="9"/>
  <c r="B5835" i="9"/>
  <c r="H5834" i="9"/>
  <c r="G5834" i="9"/>
  <c r="E5834" i="9"/>
  <c r="D5834" i="9"/>
  <c r="C5834" i="9"/>
  <c r="B5834" i="9"/>
  <c r="H5833" i="9"/>
  <c r="G5833" i="9"/>
  <c r="E5833" i="9"/>
  <c r="D5833" i="9"/>
  <c r="C5833" i="9"/>
  <c r="B5833" i="9"/>
  <c r="H5832" i="9"/>
  <c r="G5832" i="9"/>
  <c r="E5832" i="9"/>
  <c r="D5832" i="9"/>
  <c r="C5832" i="9"/>
  <c r="B5832" i="9"/>
  <c r="H5831" i="9"/>
  <c r="G5831" i="9"/>
  <c r="E5831" i="9"/>
  <c r="D5831" i="9"/>
  <c r="C5831" i="9"/>
  <c r="B5831" i="9"/>
  <c r="H5830" i="9"/>
  <c r="G5830" i="9"/>
  <c r="E5830" i="9"/>
  <c r="D5830" i="9"/>
  <c r="C5830" i="9"/>
  <c r="B5830" i="9"/>
  <c r="H5829" i="9"/>
  <c r="G5829" i="9"/>
  <c r="E5829" i="9"/>
  <c r="D5829" i="9"/>
  <c r="C5829" i="9"/>
  <c r="B5829" i="9"/>
  <c r="H5828" i="9"/>
  <c r="G5828" i="9"/>
  <c r="E5828" i="9"/>
  <c r="D5828" i="9"/>
  <c r="C5828" i="9"/>
  <c r="B5828" i="9"/>
  <c r="H5827" i="9"/>
  <c r="G5827" i="9"/>
  <c r="E5827" i="9"/>
  <c r="D5827" i="9"/>
  <c r="C5827" i="9"/>
  <c r="B5827" i="9"/>
  <c r="H5826" i="9"/>
  <c r="G5826" i="9"/>
  <c r="E5826" i="9"/>
  <c r="D5826" i="9"/>
  <c r="C5826" i="9"/>
  <c r="B5826" i="9"/>
  <c r="H5825" i="9"/>
  <c r="G5825" i="9"/>
  <c r="E5825" i="9"/>
  <c r="D5825" i="9"/>
  <c r="C5825" i="9"/>
  <c r="B5825" i="9"/>
  <c r="H5824" i="9"/>
  <c r="G5824" i="9"/>
  <c r="E5824" i="9"/>
  <c r="D5824" i="9"/>
  <c r="C5824" i="9"/>
  <c r="B5824" i="9"/>
  <c r="H5823" i="9"/>
  <c r="G5823" i="9"/>
  <c r="E5823" i="9"/>
  <c r="D5823" i="9"/>
  <c r="C5823" i="9"/>
  <c r="B5823" i="9"/>
  <c r="H5822" i="9"/>
  <c r="G5822" i="9"/>
  <c r="E5822" i="9"/>
  <c r="D5822" i="9"/>
  <c r="C5822" i="9"/>
  <c r="B5822" i="9"/>
  <c r="H5821" i="9"/>
  <c r="G5821" i="9"/>
  <c r="E5821" i="9"/>
  <c r="D5821" i="9"/>
  <c r="C5821" i="9"/>
  <c r="B5821" i="9"/>
  <c r="H5820" i="9"/>
  <c r="G5820" i="9"/>
  <c r="E5820" i="9"/>
  <c r="D5820" i="9"/>
  <c r="C5820" i="9"/>
  <c r="B5820" i="9"/>
  <c r="H5819" i="9"/>
  <c r="G5819" i="9"/>
  <c r="E5819" i="9"/>
  <c r="D5819" i="9"/>
  <c r="C5819" i="9"/>
  <c r="B5819" i="9"/>
  <c r="H5818" i="9"/>
  <c r="G5818" i="9"/>
  <c r="E5818" i="9"/>
  <c r="D5818" i="9"/>
  <c r="C5818" i="9"/>
  <c r="B5818" i="9"/>
  <c r="H5817" i="9"/>
  <c r="G5817" i="9"/>
  <c r="E5817" i="9"/>
  <c r="D5817" i="9"/>
  <c r="C5817" i="9"/>
  <c r="B5817" i="9"/>
  <c r="H5816" i="9"/>
  <c r="G5816" i="9"/>
  <c r="E5816" i="9"/>
  <c r="D5816" i="9"/>
  <c r="C5816" i="9"/>
  <c r="B5816" i="9"/>
  <c r="H5815" i="9"/>
  <c r="G5815" i="9"/>
  <c r="E5815" i="9"/>
  <c r="D5815" i="9"/>
  <c r="C5815" i="9"/>
  <c r="B5815" i="9"/>
  <c r="H5814" i="9"/>
  <c r="G5814" i="9"/>
  <c r="E5814" i="9"/>
  <c r="D5814" i="9"/>
  <c r="C5814" i="9"/>
  <c r="B5814" i="9"/>
  <c r="H5813" i="9"/>
  <c r="G5813" i="9"/>
  <c r="E5813" i="9"/>
  <c r="D5813" i="9"/>
  <c r="C5813" i="9"/>
  <c r="B5813" i="9"/>
  <c r="H5812" i="9"/>
  <c r="G5812" i="9"/>
  <c r="E5812" i="9"/>
  <c r="D5812" i="9"/>
  <c r="C5812" i="9"/>
  <c r="B5812" i="9"/>
  <c r="H5811" i="9"/>
  <c r="G5811" i="9"/>
  <c r="E5811" i="9"/>
  <c r="D5811" i="9"/>
  <c r="C5811" i="9"/>
  <c r="B5811" i="9"/>
  <c r="H5810" i="9"/>
  <c r="G5810" i="9"/>
  <c r="E5810" i="9"/>
  <c r="D5810" i="9"/>
  <c r="C5810" i="9"/>
  <c r="B5810" i="9"/>
  <c r="H5809" i="9"/>
  <c r="G5809" i="9"/>
  <c r="E5809" i="9"/>
  <c r="D5809" i="9"/>
  <c r="C5809" i="9"/>
  <c r="B5809" i="9"/>
  <c r="H5808" i="9"/>
  <c r="G5808" i="9"/>
  <c r="E5808" i="9"/>
  <c r="D5808" i="9"/>
  <c r="C5808" i="9"/>
  <c r="B5808" i="9"/>
  <c r="H5807" i="9"/>
  <c r="G5807" i="9"/>
  <c r="E5807" i="9"/>
  <c r="D5807" i="9"/>
  <c r="C5807" i="9"/>
  <c r="B5807" i="9"/>
  <c r="H5806" i="9"/>
  <c r="G5806" i="9"/>
  <c r="E5806" i="9"/>
  <c r="D5806" i="9"/>
  <c r="C5806" i="9"/>
  <c r="B5806" i="9"/>
  <c r="H5805" i="9"/>
  <c r="G5805" i="9"/>
  <c r="E5805" i="9"/>
  <c r="D5805" i="9"/>
  <c r="C5805" i="9"/>
  <c r="B5805" i="9"/>
  <c r="H5804" i="9"/>
  <c r="G5804" i="9"/>
  <c r="E5804" i="9"/>
  <c r="D5804" i="9"/>
  <c r="C5804" i="9"/>
  <c r="B5804" i="9"/>
  <c r="H5803" i="9"/>
  <c r="G5803" i="9"/>
  <c r="E5803" i="9"/>
  <c r="D5803" i="9"/>
  <c r="C5803" i="9"/>
  <c r="B5803" i="9"/>
  <c r="H5802" i="9"/>
  <c r="G5802" i="9"/>
  <c r="E5802" i="9"/>
  <c r="D5802" i="9"/>
  <c r="C5802" i="9"/>
  <c r="B5802" i="9"/>
  <c r="H5801" i="9"/>
  <c r="G5801" i="9"/>
  <c r="E5801" i="9"/>
  <c r="D5801" i="9"/>
  <c r="C5801" i="9"/>
  <c r="B5801" i="9"/>
  <c r="H5800" i="9"/>
  <c r="G5800" i="9"/>
  <c r="E5800" i="9"/>
  <c r="D5800" i="9"/>
  <c r="C5800" i="9"/>
  <c r="B5800" i="9"/>
  <c r="H5799" i="9"/>
  <c r="G5799" i="9"/>
  <c r="E5799" i="9"/>
  <c r="D5799" i="9"/>
  <c r="C5799" i="9"/>
  <c r="B5799" i="9"/>
  <c r="H5798" i="9"/>
  <c r="G5798" i="9"/>
  <c r="E5798" i="9"/>
  <c r="D5798" i="9"/>
  <c r="C5798" i="9"/>
  <c r="B5798" i="9"/>
  <c r="H5797" i="9"/>
  <c r="G5797" i="9"/>
  <c r="E5797" i="9"/>
  <c r="D5797" i="9"/>
  <c r="C5797" i="9"/>
  <c r="B5797" i="9"/>
  <c r="H5796" i="9"/>
  <c r="G5796" i="9"/>
  <c r="E5796" i="9"/>
  <c r="D5796" i="9"/>
  <c r="C5796" i="9"/>
  <c r="B5796" i="9"/>
  <c r="H5795" i="9"/>
  <c r="G5795" i="9"/>
  <c r="E5795" i="9"/>
  <c r="D5795" i="9"/>
  <c r="C5795" i="9"/>
  <c r="B5795" i="9"/>
  <c r="H5794" i="9"/>
  <c r="G5794" i="9"/>
  <c r="E5794" i="9"/>
  <c r="D5794" i="9"/>
  <c r="C5794" i="9"/>
  <c r="B5794" i="9"/>
  <c r="H5793" i="9"/>
  <c r="G5793" i="9"/>
  <c r="E5793" i="9"/>
  <c r="D5793" i="9"/>
  <c r="C5793" i="9"/>
  <c r="B5793" i="9"/>
  <c r="H5792" i="9"/>
  <c r="G5792" i="9"/>
  <c r="E5792" i="9"/>
  <c r="D5792" i="9"/>
  <c r="C5792" i="9"/>
  <c r="B5792" i="9"/>
  <c r="H5791" i="9"/>
  <c r="G5791" i="9"/>
  <c r="E5791" i="9"/>
  <c r="D5791" i="9"/>
  <c r="C5791" i="9"/>
  <c r="B5791" i="9"/>
  <c r="H5790" i="9"/>
  <c r="G5790" i="9"/>
  <c r="E5790" i="9"/>
  <c r="D5790" i="9"/>
  <c r="C5790" i="9"/>
  <c r="B5790" i="9"/>
  <c r="H5789" i="9"/>
  <c r="G5789" i="9"/>
  <c r="E5789" i="9"/>
  <c r="D5789" i="9"/>
  <c r="C5789" i="9"/>
  <c r="B5789" i="9"/>
  <c r="H5788" i="9"/>
  <c r="G5788" i="9"/>
  <c r="E5788" i="9"/>
  <c r="D5788" i="9"/>
  <c r="C5788" i="9"/>
  <c r="B5788" i="9"/>
  <c r="H5787" i="9"/>
  <c r="G5787" i="9"/>
  <c r="E5787" i="9"/>
  <c r="D5787" i="9"/>
  <c r="C5787" i="9"/>
  <c r="B5787" i="9"/>
  <c r="H5786" i="9"/>
  <c r="G5786" i="9"/>
  <c r="E5786" i="9"/>
  <c r="D5786" i="9"/>
  <c r="C5786" i="9"/>
  <c r="B5786" i="9"/>
  <c r="H5785" i="9"/>
  <c r="G5785" i="9"/>
  <c r="E5785" i="9"/>
  <c r="D5785" i="9"/>
  <c r="C5785" i="9"/>
  <c r="B5785" i="9"/>
  <c r="H5784" i="9"/>
  <c r="G5784" i="9"/>
  <c r="E5784" i="9"/>
  <c r="D5784" i="9"/>
  <c r="C5784" i="9"/>
  <c r="B5784" i="9"/>
  <c r="H5783" i="9"/>
  <c r="G5783" i="9"/>
  <c r="E5783" i="9"/>
  <c r="D5783" i="9"/>
  <c r="C5783" i="9"/>
  <c r="B5783" i="9"/>
  <c r="H5782" i="9"/>
  <c r="G5782" i="9"/>
  <c r="E5782" i="9"/>
  <c r="D5782" i="9"/>
  <c r="C5782" i="9"/>
  <c r="B5782" i="9"/>
  <c r="H5781" i="9"/>
  <c r="G5781" i="9"/>
  <c r="E5781" i="9"/>
  <c r="D5781" i="9"/>
  <c r="C5781" i="9"/>
  <c r="B5781" i="9"/>
  <c r="H5780" i="9"/>
  <c r="G5780" i="9"/>
  <c r="E5780" i="9"/>
  <c r="D5780" i="9"/>
  <c r="C5780" i="9"/>
  <c r="B5780" i="9"/>
  <c r="H5779" i="9"/>
  <c r="G5779" i="9"/>
  <c r="E5779" i="9"/>
  <c r="D5779" i="9"/>
  <c r="C5779" i="9"/>
  <c r="B5779" i="9"/>
  <c r="H5778" i="9"/>
  <c r="G5778" i="9"/>
  <c r="E5778" i="9"/>
  <c r="D5778" i="9"/>
  <c r="C5778" i="9"/>
  <c r="B5778" i="9"/>
  <c r="H5777" i="9"/>
  <c r="G5777" i="9"/>
  <c r="E5777" i="9"/>
  <c r="D5777" i="9"/>
  <c r="C5777" i="9"/>
  <c r="B5777" i="9"/>
  <c r="H5776" i="9"/>
  <c r="G5776" i="9"/>
  <c r="E5776" i="9"/>
  <c r="D5776" i="9"/>
  <c r="C5776" i="9"/>
  <c r="B5776" i="9"/>
  <c r="H5775" i="9"/>
  <c r="G5775" i="9"/>
  <c r="E5775" i="9"/>
  <c r="D5775" i="9"/>
  <c r="C5775" i="9"/>
  <c r="B5775" i="9"/>
  <c r="H5774" i="9"/>
  <c r="G5774" i="9"/>
  <c r="E5774" i="9"/>
  <c r="D5774" i="9"/>
  <c r="C5774" i="9"/>
  <c r="B5774" i="9"/>
  <c r="H5773" i="9"/>
  <c r="G5773" i="9"/>
  <c r="E5773" i="9"/>
  <c r="D5773" i="9"/>
  <c r="C5773" i="9"/>
  <c r="B5773" i="9"/>
  <c r="H5772" i="9"/>
  <c r="G5772" i="9"/>
  <c r="E5772" i="9"/>
  <c r="D5772" i="9"/>
  <c r="C5772" i="9"/>
  <c r="B5772" i="9"/>
  <c r="H5771" i="9"/>
  <c r="G5771" i="9"/>
  <c r="E5771" i="9"/>
  <c r="D5771" i="9"/>
  <c r="C5771" i="9"/>
  <c r="B5771" i="9"/>
  <c r="H5770" i="9"/>
  <c r="G5770" i="9"/>
  <c r="E5770" i="9"/>
  <c r="D5770" i="9"/>
  <c r="C5770" i="9"/>
  <c r="B5770" i="9"/>
  <c r="H5769" i="9"/>
  <c r="G5769" i="9"/>
  <c r="E5769" i="9"/>
  <c r="D5769" i="9"/>
  <c r="C5769" i="9"/>
  <c r="B5769" i="9"/>
  <c r="H5768" i="9"/>
  <c r="G5768" i="9"/>
  <c r="E5768" i="9"/>
  <c r="D5768" i="9"/>
  <c r="C5768" i="9"/>
  <c r="B5768" i="9"/>
  <c r="H5767" i="9"/>
  <c r="G5767" i="9"/>
  <c r="E5767" i="9"/>
  <c r="D5767" i="9"/>
  <c r="C5767" i="9"/>
  <c r="B5767" i="9"/>
  <c r="H5766" i="9"/>
  <c r="G5766" i="9"/>
  <c r="E5766" i="9"/>
  <c r="D5766" i="9"/>
  <c r="C5766" i="9"/>
  <c r="B5766" i="9"/>
  <c r="H5765" i="9"/>
  <c r="G5765" i="9"/>
  <c r="E5765" i="9"/>
  <c r="D5765" i="9"/>
  <c r="C5765" i="9"/>
  <c r="B5765" i="9"/>
  <c r="H5764" i="9"/>
  <c r="G5764" i="9"/>
  <c r="E5764" i="9"/>
  <c r="D5764" i="9"/>
  <c r="C5764" i="9"/>
  <c r="B5764" i="9"/>
  <c r="H5763" i="9"/>
  <c r="G5763" i="9"/>
  <c r="E5763" i="9"/>
  <c r="D5763" i="9"/>
  <c r="C5763" i="9"/>
  <c r="B5763" i="9"/>
  <c r="H5762" i="9"/>
  <c r="G5762" i="9"/>
  <c r="E5762" i="9"/>
  <c r="D5762" i="9"/>
  <c r="C5762" i="9"/>
  <c r="B5762" i="9"/>
  <c r="H5761" i="9"/>
  <c r="G5761" i="9"/>
  <c r="E5761" i="9"/>
  <c r="D5761" i="9"/>
  <c r="C5761" i="9"/>
  <c r="B5761" i="9"/>
  <c r="H5760" i="9"/>
  <c r="G5760" i="9"/>
  <c r="E5760" i="9"/>
  <c r="D5760" i="9"/>
  <c r="C5760" i="9"/>
  <c r="B5760" i="9"/>
  <c r="H5759" i="9"/>
  <c r="G5759" i="9"/>
  <c r="E5759" i="9"/>
  <c r="D5759" i="9"/>
  <c r="C5759" i="9"/>
  <c r="B5759" i="9"/>
  <c r="H5758" i="9"/>
  <c r="G5758" i="9"/>
  <c r="E5758" i="9"/>
  <c r="D5758" i="9"/>
  <c r="C5758" i="9"/>
  <c r="B5758" i="9"/>
  <c r="H5757" i="9"/>
  <c r="G5757" i="9"/>
  <c r="E5757" i="9"/>
  <c r="D5757" i="9"/>
  <c r="C5757" i="9"/>
  <c r="B5757" i="9"/>
  <c r="H5756" i="9"/>
  <c r="G5756" i="9"/>
  <c r="E5756" i="9"/>
  <c r="D5756" i="9"/>
  <c r="C5756" i="9"/>
  <c r="B5756" i="9"/>
  <c r="H5755" i="9"/>
  <c r="G5755" i="9"/>
  <c r="E5755" i="9"/>
  <c r="D5755" i="9"/>
  <c r="C5755" i="9"/>
  <c r="B5755" i="9"/>
  <c r="H5754" i="9"/>
  <c r="G5754" i="9"/>
  <c r="E5754" i="9"/>
  <c r="D5754" i="9"/>
  <c r="C5754" i="9"/>
  <c r="B5754" i="9"/>
  <c r="H5753" i="9"/>
  <c r="G5753" i="9"/>
  <c r="E5753" i="9"/>
  <c r="D5753" i="9"/>
  <c r="C5753" i="9"/>
  <c r="B5753" i="9"/>
  <c r="H5752" i="9"/>
  <c r="G5752" i="9"/>
  <c r="E5752" i="9"/>
  <c r="D5752" i="9"/>
  <c r="C5752" i="9"/>
  <c r="B5752" i="9"/>
  <c r="H5751" i="9"/>
  <c r="G5751" i="9"/>
  <c r="E5751" i="9"/>
  <c r="D5751" i="9"/>
  <c r="C5751" i="9"/>
  <c r="B5751" i="9"/>
  <c r="H5750" i="9"/>
  <c r="G5750" i="9"/>
  <c r="E5750" i="9"/>
  <c r="D5750" i="9"/>
  <c r="C5750" i="9"/>
  <c r="B5750" i="9"/>
  <c r="H5749" i="9"/>
  <c r="G5749" i="9"/>
  <c r="E5749" i="9"/>
  <c r="D5749" i="9"/>
  <c r="C5749" i="9"/>
  <c r="B5749" i="9"/>
  <c r="H5748" i="9"/>
  <c r="G5748" i="9"/>
  <c r="E5748" i="9"/>
  <c r="D5748" i="9"/>
  <c r="C5748" i="9"/>
  <c r="B5748" i="9"/>
  <c r="H5747" i="9"/>
  <c r="G5747" i="9"/>
  <c r="E5747" i="9"/>
  <c r="D5747" i="9"/>
  <c r="C5747" i="9"/>
  <c r="B5747" i="9"/>
  <c r="H5746" i="9"/>
  <c r="G5746" i="9"/>
  <c r="E5746" i="9"/>
  <c r="D5746" i="9"/>
  <c r="C5746" i="9"/>
  <c r="B5746" i="9"/>
  <c r="H5745" i="9"/>
  <c r="G5745" i="9"/>
  <c r="E5745" i="9"/>
  <c r="D5745" i="9"/>
  <c r="C5745" i="9"/>
  <c r="B5745" i="9"/>
  <c r="H5744" i="9"/>
  <c r="G5744" i="9"/>
  <c r="E5744" i="9"/>
  <c r="D5744" i="9"/>
  <c r="C5744" i="9"/>
  <c r="B5744" i="9"/>
  <c r="H5743" i="9"/>
  <c r="G5743" i="9"/>
  <c r="E5743" i="9"/>
  <c r="D5743" i="9"/>
  <c r="C5743" i="9"/>
  <c r="B5743" i="9"/>
  <c r="H5742" i="9"/>
  <c r="G5742" i="9"/>
  <c r="E5742" i="9"/>
  <c r="D5742" i="9"/>
  <c r="C5742" i="9"/>
  <c r="B5742" i="9"/>
  <c r="H5741" i="9"/>
  <c r="G5741" i="9"/>
  <c r="E5741" i="9"/>
  <c r="D5741" i="9"/>
  <c r="C5741" i="9"/>
  <c r="B5741" i="9"/>
  <c r="H5740" i="9"/>
  <c r="G5740" i="9"/>
  <c r="E5740" i="9"/>
  <c r="D5740" i="9"/>
  <c r="C5740" i="9"/>
  <c r="B5740" i="9"/>
  <c r="H5739" i="9"/>
  <c r="G5739" i="9"/>
  <c r="E5739" i="9"/>
  <c r="D5739" i="9"/>
  <c r="C5739" i="9"/>
  <c r="B5739" i="9"/>
  <c r="H5738" i="9"/>
  <c r="G5738" i="9"/>
  <c r="E5738" i="9"/>
  <c r="D5738" i="9"/>
  <c r="C5738" i="9"/>
  <c r="B5738" i="9"/>
  <c r="H5737" i="9"/>
  <c r="G5737" i="9"/>
  <c r="E5737" i="9"/>
  <c r="D5737" i="9"/>
  <c r="C5737" i="9"/>
  <c r="B5737" i="9"/>
  <c r="H5736" i="9"/>
  <c r="G5736" i="9"/>
  <c r="E5736" i="9"/>
  <c r="D5736" i="9"/>
  <c r="C5736" i="9"/>
  <c r="B5736" i="9"/>
  <c r="H5735" i="9"/>
  <c r="G5735" i="9"/>
  <c r="E5735" i="9"/>
  <c r="D5735" i="9"/>
  <c r="C5735" i="9"/>
  <c r="B5735" i="9"/>
  <c r="H5734" i="9"/>
  <c r="G5734" i="9"/>
  <c r="E5734" i="9"/>
  <c r="D5734" i="9"/>
  <c r="C5734" i="9"/>
  <c r="B5734" i="9"/>
  <c r="H5733" i="9"/>
  <c r="G5733" i="9"/>
  <c r="E5733" i="9"/>
  <c r="D5733" i="9"/>
  <c r="C5733" i="9"/>
  <c r="B5733" i="9"/>
  <c r="H5732" i="9"/>
  <c r="G5732" i="9"/>
  <c r="E5732" i="9"/>
  <c r="D5732" i="9"/>
  <c r="C5732" i="9"/>
  <c r="B5732" i="9"/>
  <c r="H5731" i="9"/>
  <c r="G5731" i="9"/>
  <c r="E5731" i="9"/>
  <c r="D5731" i="9"/>
  <c r="C5731" i="9"/>
  <c r="B5731" i="9"/>
  <c r="H5730" i="9"/>
  <c r="G5730" i="9"/>
  <c r="E5730" i="9"/>
  <c r="D5730" i="9"/>
  <c r="C5730" i="9"/>
  <c r="B5730" i="9"/>
  <c r="H5729" i="9"/>
  <c r="G5729" i="9"/>
  <c r="E5729" i="9"/>
  <c r="D5729" i="9"/>
  <c r="C5729" i="9"/>
  <c r="B5729" i="9"/>
  <c r="H5728" i="9"/>
  <c r="G5728" i="9"/>
  <c r="E5728" i="9"/>
  <c r="D5728" i="9"/>
  <c r="C5728" i="9"/>
  <c r="B5728" i="9"/>
  <c r="H5727" i="9"/>
  <c r="G5727" i="9"/>
  <c r="E5727" i="9"/>
  <c r="D5727" i="9"/>
  <c r="C5727" i="9"/>
  <c r="B5727" i="9"/>
  <c r="H5726" i="9"/>
  <c r="G5726" i="9"/>
  <c r="E5726" i="9"/>
  <c r="D5726" i="9"/>
  <c r="C5726" i="9"/>
  <c r="B5726" i="9"/>
  <c r="H5725" i="9"/>
  <c r="G5725" i="9"/>
  <c r="E5725" i="9"/>
  <c r="D5725" i="9"/>
  <c r="C5725" i="9"/>
  <c r="B5725" i="9"/>
  <c r="H5724" i="9"/>
  <c r="G5724" i="9"/>
  <c r="E5724" i="9"/>
  <c r="D5724" i="9"/>
  <c r="C5724" i="9"/>
  <c r="B5724" i="9"/>
  <c r="H5723" i="9"/>
  <c r="G5723" i="9"/>
  <c r="E5723" i="9"/>
  <c r="D5723" i="9"/>
  <c r="C5723" i="9"/>
  <c r="B5723" i="9"/>
  <c r="H5722" i="9"/>
  <c r="G5722" i="9"/>
  <c r="E5722" i="9"/>
  <c r="D5722" i="9"/>
  <c r="C5722" i="9"/>
  <c r="B5722" i="9"/>
  <c r="H5721" i="9"/>
  <c r="G5721" i="9"/>
  <c r="E5721" i="9"/>
  <c r="D5721" i="9"/>
  <c r="C5721" i="9"/>
  <c r="B5721" i="9"/>
  <c r="H5720" i="9"/>
  <c r="G5720" i="9"/>
  <c r="E5720" i="9"/>
  <c r="D5720" i="9"/>
  <c r="C5720" i="9"/>
  <c r="B5720" i="9"/>
  <c r="H5719" i="9"/>
  <c r="G5719" i="9"/>
  <c r="E5719" i="9"/>
  <c r="D5719" i="9"/>
  <c r="C5719" i="9"/>
  <c r="B5719" i="9"/>
  <c r="H5718" i="9"/>
  <c r="G5718" i="9"/>
  <c r="E5718" i="9"/>
  <c r="D5718" i="9"/>
  <c r="C5718" i="9"/>
  <c r="B5718" i="9"/>
  <c r="H5717" i="9"/>
  <c r="G5717" i="9"/>
  <c r="E5717" i="9"/>
  <c r="D5717" i="9"/>
  <c r="C5717" i="9"/>
  <c r="B5717" i="9"/>
  <c r="H5716" i="9"/>
  <c r="G5716" i="9"/>
  <c r="E5716" i="9"/>
  <c r="D5716" i="9"/>
  <c r="C5716" i="9"/>
  <c r="B5716" i="9"/>
  <c r="H5715" i="9"/>
  <c r="G5715" i="9"/>
  <c r="E5715" i="9"/>
  <c r="D5715" i="9"/>
  <c r="C5715" i="9"/>
  <c r="B5715" i="9"/>
  <c r="H5714" i="9"/>
  <c r="G5714" i="9"/>
  <c r="E5714" i="9"/>
  <c r="D5714" i="9"/>
  <c r="C5714" i="9"/>
  <c r="B5714" i="9"/>
  <c r="H5713" i="9"/>
  <c r="G5713" i="9"/>
  <c r="E5713" i="9"/>
  <c r="D5713" i="9"/>
  <c r="C5713" i="9"/>
  <c r="B5713" i="9"/>
  <c r="H5712" i="9"/>
  <c r="G5712" i="9"/>
  <c r="E5712" i="9"/>
  <c r="D5712" i="9"/>
  <c r="C5712" i="9"/>
  <c r="B5712" i="9"/>
  <c r="H5711" i="9"/>
  <c r="G5711" i="9"/>
  <c r="E5711" i="9"/>
  <c r="D5711" i="9"/>
  <c r="C5711" i="9"/>
  <c r="B5711" i="9"/>
  <c r="H5710" i="9"/>
  <c r="G5710" i="9"/>
  <c r="E5710" i="9"/>
  <c r="D5710" i="9"/>
  <c r="C5710" i="9"/>
  <c r="B5710" i="9"/>
  <c r="H5709" i="9"/>
  <c r="G5709" i="9"/>
  <c r="E5709" i="9"/>
  <c r="D5709" i="9"/>
  <c r="C5709" i="9"/>
  <c r="B5709" i="9"/>
  <c r="H5708" i="9"/>
  <c r="G5708" i="9"/>
  <c r="E5708" i="9"/>
  <c r="D5708" i="9"/>
  <c r="C5708" i="9"/>
  <c r="B5708" i="9"/>
  <c r="H5707" i="9"/>
  <c r="G5707" i="9"/>
  <c r="E5707" i="9"/>
  <c r="D5707" i="9"/>
  <c r="C5707" i="9"/>
  <c r="B5707" i="9"/>
  <c r="H5706" i="9"/>
  <c r="G5706" i="9"/>
  <c r="E5706" i="9"/>
  <c r="D5706" i="9"/>
  <c r="C5706" i="9"/>
  <c r="B5706" i="9"/>
  <c r="H5705" i="9"/>
  <c r="G5705" i="9"/>
  <c r="E5705" i="9"/>
  <c r="D5705" i="9"/>
  <c r="C5705" i="9"/>
  <c r="B5705" i="9"/>
  <c r="H5704" i="9"/>
  <c r="G5704" i="9"/>
  <c r="E5704" i="9"/>
  <c r="D5704" i="9"/>
  <c r="C5704" i="9"/>
  <c r="B5704" i="9"/>
  <c r="H5703" i="9"/>
  <c r="G5703" i="9"/>
  <c r="E5703" i="9"/>
  <c r="D5703" i="9"/>
  <c r="C5703" i="9"/>
  <c r="B5703" i="9"/>
  <c r="H5702" i="9"/>
  <c r="G5702" i="9"/>
  <c r="E5702" i="9"/>
  <c r="D5702" i="9"/>
  <c r="C5702" i="9"/>
  <c r="B5702" i="9"/>
  <c r="H5701" i="9"/>
  <c r="G5701" i="9"/>
  <c r="E5701" i="9"/>
  <c r="D5701" i="9"/>
  <c r="C5701" i="9"/>
  <c r="B5701" i="9"/>
  <c r="H5700" i="9"/>
  <c r="G5700" i="9"/>
  <c r="E5700" i="9"/>
  <c r="D5700" i="9"/>
  <c r="C5700" i="9"/>
  <c r="B5700" i="9"/>
  <c r="H5699" i="9"/>
  <c r="G5699" i="9"/>
  <c r="E5699" i="9"/>
  <c r="D5699" i="9"/>
  <c r="C5699" i="9"/>
  <c r="B5699" i="9"/>
  <c r="H5698" i="9"/>
  <c r="G5698" i="9"/>
  <c r="E5698" i="9"/>
  <c r="D5698" i="9"/>
  <c r="C5698" i="9"/>
  <c r="B5698" i="9"/>
  <c r="H5697" i="9"/>
  <c r="G5697" i="9"/>
  <c r="E5697" i="9"/>
  <c r="D5697" i="9"/>
  <c r="C5697" i="9"/>
  <c r="B5697" i="9"/>
  <c r="H5696" i="9"/>
  <c r="G5696" i="9"/>
  <c r="E5696" i="9"/>
  <c r="D5696" i="9"/>
  <c r="C5696" i="9"/>
  <c r="B5696" i="9"/>
  <c r="H5695" i="9"/>
  <c r="G5695" i="9"/>
  <c r="E5695" i="9"/>
  <c r="D5695" i="9"/>
  <c r="C5695" i="9"/>
  <c r="B5695" i="9"/>
  <c r="H5694" i="9"/>
  <c r="G5694" i="9"/>
  <c r="E5694" i="9"/>
  <c r="D5694" i="9"/>
  <c r="C5694" i="9"/>
  <c r="B5694" i="9"/>
  <c r="H5693" i="9"/>
  <c r="G5693" i="9"/>
  <c r="E5693" i="9"/>
  <c r="D5693" i="9"/>
  <c r="C5693" i="9"/>
  <c r="B5693" i="9"/>
  <c r="H5692" i="9"/>
  <c r="G5692" i="9"/>
  <c r="E5692" i="9"/>
  <c r="D5692" i="9"/>
  <c r="C5692" i="9"/>
  <c r="B5692" i="9"/>
  <c r="H5691" i="9"/>
  <c r="G5691" i="9"/>
  <c r="E5691" i="9"/>
  <c r="D5691" i="9"/>
  <c r="C5691" i="9"/>
  <c r="B5691" i="9"/>
  <c r="H5690" i="9"/>
  <c r="G5690" i="9"/>
  <c r="E5690" i="9"/>
  <c r="D5690" i="9"/>
  <c r="C5690" i="9"/>
  <c r="B5690" i="9"/>
  <c r="H5689" i="9"/>
  <c r="G5689" i="9"/>
  <c r="E5689" i="9"/>
  <c r="D5689" i="9"/>
  <c r="C5689" i="9"/>
  <c r="B5689" i="9"/>
  <c r="H5688" i="9"/>
  <c r="G5688" i="9"/>
  <c r="E5688" i="9"/>
  <c r="D5688" i="9"/>
  <c r="C5688" i="9"/>
  <c r="B5688" i="9"/>
  <c r="H5687" i="9"/>
  <c r="G5687" i="9"/>
  <c r="E5687" i="9"/>
  <c r="D5687" i="9"/>
  <c r="C5687" i="9"/>
  <c r="B5687" i="9"/>
  <c r="H5686" i="9"/>
  <c r="G5686" i="9"/>
  <c r="E5686" i="9"/>
  <c r="D5686" i="9"/>
  <c r="C5686" i="9"/>
  <c r="B5686" i="9"/>
  <c r="H5685" i="9"/>
  <c r="G5685" i="9"/>
  <c r="E5685" i="9"/>
  <c r="D5685" i="9"/>
  <c r="C5685" i="9"/>
  <c r="B5685" i="9"/>
  <c r="H5684" i="9"/>
  <c r="G5684" i="9"/>
  <c r="E5684" i="9"/>
  <c r="D5684" i="9"/>
  <c r="C5684" i="9"/>
  <c r="B5684" i="9"/>
  <c r="H5683" i="9"/>
  <c r="G5683" i="9"/>
  <c r="E5683" i="9"/>
  <c r="D5683" i="9"/>
  <c r="C5683" i="9"/>
  <c r="B5683" i="9"/>
  <c r="H5682" i="9"/>
  <c r="G5682" i="9"/>
  <c r="E5682" i="9"/>
  <c r="D5682" i="9"/>
  <c r="C5682" i="9"/>
  <c r="B5682" i="9"/>
  <c r="H5681" i="9"/>
  <c r="G5681" i="9"/>
  <c r="E5681" i="9"/>
  <c r="D5681" i="9"/>
  <c r="C5681" i="9"/>
  <c r="B5681" i="9"/>
  <c r="H5680" i="9"/>
  <c r="G5680" i="9"/>
  <c r="E5680" i="9"/>
  <c r="D5680" i="9"/>
  <c r="C5680" i="9"/>
  <c r="B5680" i="9"/>
  <c r="H5679" i="9"/>
  <c r="G5679" i="9"/>
  <c r="E5679" i="9"/>
  <c r="D5679" i="9"/>
  <c r="C5679" i="9"/>
  <c r="B5679" i="9"/>
  <c r="H5678" i="9"/>
  <c r="G5678" i="9"/>
  <c r="E5678" i="9"/>
  <c r="D5678" i="9"/>
  <c r="C5678" i="9"/>
  <c r="B5678" i="9"/>
  <c r="H5677" i="9"/>
  <c r="G5677" i="9"/>
  <c r="E5677" i="9"/>
  <c r="D5677" i="9"/>
  <c r="C5677" i="9"/>
  <c r="B5677" i="9"/>
  <c r="H5676" i="9"/>
  <c r="G5676" i="9"/>
  <c r="E5676" i="9"/>
  <c r="D5676" i="9"/>
  <c r="C5676" i="9"/>
  <c r="B5676" i="9"/>
  <c r="H5675" i="9"/>
  <c r="G5675" i="9"/>
  <c r="E5675" i="9"/>
  <c r="D5675" i="9"/>
  <c r="C5675" i="9"/>
  <c r="B5675" i="9"/>
  <c r="H5674" i="9"/>
  <c r="G5674" i="9"/>
  <c r="E5674" i="9"/>
  <c r="D5674" i="9"/>
  <c r="C5674" i="9"/>
  <c r="B5674" i="9"/>
  <c r="H5673" i="9"/>
  <c r="G5673" i="9"/>
  <c r="E5673" i="9"/>
  <c r="D5673" i="9"/>
  <c r="C5673" i="9"/>
  <c r="B5673" i="9"/>
  <c r="H5672" i="9"/>
  <c r="G5672" i="9"/>
  <c r="E5672" i="9"/>
  <c r="D5672" i="9"/>
  <c r="C5672" i="9"/>
  <c r="B5672" i="9"/>
  <c r="H5671" i="9"/>
  <c r="G5671" i="9"/>
  <c r="E5671" i="9"/>
  <c r="D5671" i="9"/>
  <c r="C5671" i="9"/>
  <c r="B5671" i="9"/>
  <c r="H5670" i="9"/>
  <c r="G5670" i="9"/>
  <c r="E5670" i="9"/>
  <c r="D5670" i="9"/>
  <c r="C5670" i="9"/>
  <c r="B5670" i="9"/>
  <c r="H5669" i="9"/>
  <c r="G5669" i="9"/>
  <c r="E5669" i="9"/>
  <c r="D5669" i="9"/>
  <c r="C5669" i="9"/>
  <c r="B5669" i="9"/>
  <c r="H5668" i="9"/>
  <c r="G5668" i="9"/>
  <c r="E5668" i="9"/>
  <c r="D5668" i="9"/>
  <c r="C5668" i="9"/>
  <c r="B5668" i="9"/>
  <c r="H5667" i="9"/>
  <c r="G5667" i="9"/>
  <c r="E5667" i="9"/>
  <c r="D5667" i="9"/>
  <c r="C5667" i="9"/>
  <c r="B5667" i="9"/>
  <c r="H5666" i="9"/>
  <c r="G5666" i="9"/>
  <c r="E5666" i="9"/>
  <c r="D5666" i="9"/>
  <c r="C5666" i="9"/>
  <c r="B5666" i="9"/>
  <c r="H5665" i="9"/>
  <c r="G5665" i="9"/>
  <c r="E5665" i="9"/>
  <c r="D5665" i="9"/>
  <c r="C5665" i="9"/>
  <c r="B5665" i="9"/>
  <c r="H5664" i="9"/>
  <c r="G5664" i="9"/>
  <c r="E5664" i="9"/>
  <c r="D5664" i="9"/>
  <c r="C5664" i="9"/>
  <c r="B5664" i="9"/>
  <c r="H5663" i="9"/>
  <c r="G5663" i="9"/>
  <c r="E5663" i="9"/>
  <c r="D5663" i="9"/>
  <c r="C5663" i="9"/>
  <c r="B5663" i="9"/>
  <c r="H5662" i="9"/>
  <c r="G5662" i="9"/>
  <c r="E5662" i="9"/>
  <c r="D5662" i="9"/>
  <c r="C5662" i="9"/>
  <c r="B5662" i="9"/>
  <c r="H5661" i="9"/>
  <c r="G5661" i="9"/>
  <c r="E5661" i="9"/>
  <c r="D5661" i="9"/>
  <c r="C5661" i="9"/>
  <c r="B5661" i="9"/>
  <c r="H5660" i="9"/>
  <c r="G5660" i="9"/>
  <c r="E5660" i="9"/>
  <c r="D5660" i="9"/>
  <c r="C5660" i="9"/>
  <c r="B5660" i="9"/>
  <c r="H5659" i="9"/>
  <c r="G5659" i="9"/>
  <c r="E5659" i="9"/>
  <c r="D5659" i="9"/>
  <c r="C5659" i="9"/>
  <c r="B5659" i="9"/>
  <c r="H5658" i="9"/>
  <c r="G5658" i="9"/>
  <c r="E5658" i="9"/>
  <c r="D5658" i="9"/>
  <c r="C5658" i="9"/>
  <c r="B5658" i="9"/>
  <c r="H5657" i="9"/>
  <c r="G5657" i="9"/>
  <c r="E5657" i="9"/>
  <c r="D5657" i="9"/>
  <c r="C5657" i="9"/>
  <c r="B5657" i="9"/>
  <c r="H5656" i="9"/>
  <c r="G5656" i="9"/>
  <c r="E5656" i="9"/>
  <c r="D5656" i="9"/>
  <c r="C5656" i="9"/>
  <c r="B5656" i="9"/>
  <c r="H5655" i="9"/>
  <c r="G5655" i="9"/>
  <c r="E5655" i="9"/>
  <c r="D5655" i="9"/>
  <c r="C5655" i="9"/>
  <c r="B5655" i="9"/>
  <c r="H5654" i="9"/>
  <c r="G5654" i="9"/>
  <c r="E5654" i="9"/>
  <c r="D5654" i="9"/>
  <c r="C5654" i="9"/>
  <c r="B5654" i="9"/>
  <c r="H5653" i="9"/>
  <c r="G5653" i="9"/>
  <c r="E5653" i="9"/>
  <c r="D5653" i="9"/>
  <c r="C5653" i="9"/>
  <c r="B5653" i="9"/>
  <c r="H5652" i="9"/>
  <c r="G5652" i="9"/>
  <c r="E5652" i="9"/>
  <c r="D5652" i="9"/>
  <c r="C5652" i="9"/>
  <c r="B5652" i="9"/>
  <c r="H5651" i="9"/>
  <c r="G5651" i="9"/>
  <c r="E5651" i="9"/>
  <c r="D5651" i="9"/>
  <c r="C5651" i="9"/>
  <c r="B5651" i="9"/>
  <c r="H5650" i="9"/>
  <c r="G5650" i="9"/>
  <c r="E5650" i="9"/>
  <c r="D5650" i="9"/>
  <c r="C5650" i="9"/>
  <c r="B5650" i="9"/>
  <c r="H5649" i="9"/>
  <c r="G5649" i="9"/>
  <c r="E5649" i="9"/>
  <c r="D5649" i="9"/>
  <c r="C5649" i="9"/>
  <c r="B5649" i="9"/>
  <c r="H5648" i="9"/>
  <c r="G5648" i="9"/>
  <c r="E5648" i="9"/>
  <c r="D5648" i="9"/>
  <c r="C5648" i="9"/>
  <c r="B5648" i="9"/>
  <c r="H5647" i="9"/>
  <c r="G5647" i="9"/>
  <c r="E5647" i="9"/>
  <c r="D5647" i="9"/>
  <c r="C5647" i="9"/>
  <c r="B5647" i="9"/>
  <c r="H5646" i="9"/>
  <c r="G5646" i="9"/>
  <c r="E5646" i="9"/>
  <c r="D5646" i="9"/>
  <c r="C5646" i="9"/>
  <c r="B5646" i="9"/>
  <c r="H5645" i="9"/>
  <c r="G5645" i="9"/>
  <c r="E5645" i="9"/>
  <c r="D5645" i="9"/>
  <c r="C5645" i="9"/>
  <c r="B5645" i="9"/>
  <c r="H5644" i="9"/>
  <c r="G5644" i="9"/>
  <c r="E5644" i="9"/>
  <c r="D5644" i="9"/>
  <c r="C5644" i="9"/>
  <c r="B5644" i="9"/>
  <c r="H5643" i="9"/>
  <c r="G5643" i="9"/>
  <c r="E5643" i="9"/>
  <c r="D5643" i="9"/>
  <c r="C5643" i="9"/>
  <c r="B5643" i="9"/>
  <c r="H5642" i="9"/>
  <c r="G5642" i="9"/>
  <c r="E5642" i="9"/>
  <c r="D5642" i="9"/>
  <c r="C5642" i="9"/>
  <c r="B5642" i="9"/>
  <c r="H5641" i="9"/>
  <c r="G5641" i="9"/>
  <c r="E5641" i="9"/>
  <c r="D5641" i="9"/>
  <c r="C5641" i="9"/>
  <c r="B5641" i="9"/>
  <c r="H5640" i="9"/>
  <c r="G5640" i="9"/>
  <c r="E5640" i="9"/>
  <c r="D5640" i="9"/>
  <c r="C5640" i="9"/>
  <c r="B5640" i="9"/>
  <c r="H5639" i="9"/>
  <c r="G5639" i="9"/>
  <c r="E5639" i="9"/>
  <c r="D5639" i="9"/>
  <c r="C5639" i="9"/>
  <c r="B5639" i="9"/>
  <c r="H5638" i="9"/>
  <c r="G5638" i="9"/>
  <c r="E5638" i="9"/>
  <c r="D5638" i="9"/>
  <c r="C5638" i="9"/>
  <c r="B5638" i="9"/>
  <c r="H5637" i="9"/>
  <c r="G5637" i="9"/>
  <c r="E5637" i="9"/>
  <c r="D5637" i="9"/>
  <c r="C5637" i="9"/>
  <c r="B5637" i="9"/>
  <c r="H5636" i="9"/>
  <c r="G5636" i="9"/>
  <c r="E5636" i="9"/>
  <c r="D5636" i="9"/>
  <c r="C5636" i="9"/>
  <c r="B5636" i="9"/>
  <c r="H5635" i="9"/>
  <c r="G5635" i="9"/>
  <c r="E5635" i="9"/>
  <c r="D5635" i="9"/>
  <c r="C5635" i="9"/>
  <c r="B5635" i="9"/>
  <c r="H5634" i="9"/>
  <c r="G5634" i="9"/>
  <c r="E5634" i="9"/>
  <c r="D5634" i="9"/>
  <c r="C5634" i="9"/>
  <c r="B5634" i="9"/>
  <c r="H5633" i="9"/>
  <c r="G5633" i="9"/>
  <c r="E5633" i="9"/>
  <c r="D5633" i="9"/>
  <c r="C5633" i="9"/>
  <c r="B5633" i="9"/>
  <c r="H5632" i="9"/>
  <c r="G5632" i="9"/>
  <c r="E5632" i="9"/>
  <c r="D5632" i="9"/>
  <c r="C5632" i="9"/>
  <c r="B5632" i="9"/>
  <c r="H5631" i="9"/>
  <c r="G5631" i="9"/>
  <c r="E5631" i="9"/>
  <c r="D5631" i="9"/>
  <c r="C5631" i="9"/>
  <c r="B5631" i="9"/>
  <c r="H5630" i="9"/>
  <c r="G5630" i="9"/>
  <c r="E5630" i="9"/>
  <c r="D5630" i="9"/>
  <c r="C5630" i="9"/>
  <c r="B5630" i="9"/>
  <c r="H5629" i="9"/>
  <c r="G5629" i="9"/>
  <c r="E5629" i="9"/>
  <c r="D5629" i="9"/>
  <c r="C5629" i="9"/>
  <c r="B5629" i="9"/>
  <c r="H5628" i="9"/>
  <c r="G5628" i="9"/>
  <c r="E5628" i="9"/>
  <c r="D5628" i="9"/>
  <c r="C5628" i="9"/>
  <c r="B5628" i="9"/>
  <c r="H5627" i="9"/>
  <c r="G5627" i="9"/>
  <c r="E5627" i="9"/>
  <c r="D5627" i="9"/>
  <c r="C5627" i="9"/>
  <c r="B5627" i="9"/>
  <c r="H5626" i="9"/>
  <c r="G5626" i="9"/>
  <c r="E5626" i="9"/>
  <c r="D5626" i="9"/>
  <c r="C5626" i="9"/>
  <c r="B5626" i="9"/>
  <c r="H5625" i="9"/>
  <c r="G5625" i="9"/>
  <c r="E5625" i="9"/>
  <c r="D5625" i="9"/>
  <c r="C5625" i="9"/>
  <c r="B5625" i="9"/>
  <c r="H5624" i="9"/>
  <c r="G5624" i="9"/>
  <c r="E5624" i="9"/>
  <c r="D5624" i="9"/>
  <c r="C5624" i="9"/>
  <c r="B5624" i="9"/>
  <c r="H5623" i="9"/>
  <c r="G5623" i="9"/>
  <c r="E5623" i="9"/>
  <c r="D5623" i="9"/>
  <c r="C5623" i="9"/>
  <c r="B5623" i="9"/>
  <c r="H5622" i="9"/>
  <c r="G5622" i="9"/>
  <c r="E5622" i="9"/>
  <c r="D5622" i="9"/>
  <c r="C5622" i="9"/>
  <c r="B5622" i="9"/>
  <c r="H5621" i="9"/>
  <c r="G5621" i="9"/>
  <c r="E5621" i="9"/>
  <c r="D5621" i="9"/>
  <c r="C5621" i="9"/>
  <c r="B5621" i="9"/>
  <c r="H5620" i="9"/>
  <c r="G5620" i="9"/>
  <c r="E5620" i="9"/>
  <c r="D5620" i="9"/>
  <c r="C5620" i="9"/>
  <c r="B5620" i="9"/>
  <c r="H5619" i="9"/>
  <c r="G5619" i="9"/>
  <c r="E5619" i="9"/>
  <c r="D5619" i="9"/>
  <c r="C5619" i="9"/>
  <c r="B5619" i="9"/>
  <c r="H5618" i="9"/>
  <c r="G5618" i="9"/>
  <c r="E5618" i="9"/>
  <c r="D5618" i="9"/>
  <c r="C5618" i="9"/>
  <c r="B5618" i="9"/>
  <c r="H5617" i="9"/>
  <c r="G5617" i="9"/>
  <c r="E5617" i="9"/>
  <c r="D5617" i="9"/>
  <c r="C5617" i="9"/>
  <c r="B5617" i="9"/>
  <c r="H5616" i="9"/>
  <c r="G5616" i="9"/>
  <c r="E5616" i="9"/>
  <c r="D5616" i="9"/>
  <c r="C5616" i="9"/>
  <c r="B5616" i="9"/>
  <c r="H5615" i="9"/>
  <c r="G5615" i="9"/>
  <c r="E5615" i="9"/>
  <c r="D5615" i="9"/>
  <c r="C5615" i="9"/>
  <c r="B5615" i="9"/>
  <c r="H5614" i="9"/>
  <c r="G5614" i="9"/>
  <c r="E5614" i="9"/>
  <c r="D5614" i="9"/>
  <c r="C5614" i="9"/>
  <c r="B5614" i="9"/>
  <c r="H5613" i="9"/>
  <c r="G5613" i="9"/>
  <c r="E5613" i="9"/>
  <c r="D5613" i="9"/>
  <c r="C5613" i="9"/>
  <c r="B5613" i="9"/>
  <c r="H5612" i="9"/>
  <c r="G5612" i="9"/>
  <c r="E5612" i="9"/>
  <c r="D5612" i="9"/>
  <c r="C5612" i="9"/>
  <c r="B5612" i="9"/>
  <c r="H5611" i="9"/>
  <c r="G5611" i="9"/>
  <c r="E5611" i="9"/>
  <c r="D5611" i="9"/>
  <c r="C5611" i="9"/>
  <c r="B5611" i="9"/>
  <c r="H5610" i="9"/>
  <c r="G5610" i="9"/>
  <c r="E5610" i="9"/>
  <c r="D5610" i="9"/>
  <c r="C5610" i="9"/>
  <c r="B5610" i="9"/>
  <c r="H5609" i="9"/>
  <c r="G5609" i="9"/>
  <c r="E5609" i="9"/>
  <c r="D5609" i="9"/>
  <c r="C5609" i="9"/>
  <c r="B5609" i="9"/>
  <c r="H5608" i="9"/>
  <c r="G5608" i="9"/>
  <c r="E5608" i="9"/>
  <c r="D5608" i="9"/>
  <c r="C5608" i="9"/>
  <c r="B5608" i="9"/>
  <c r="H5607" i="9"/>
  <c r="G5607" i="9"/>
  <c r="E5607" i="9"/>
  <c r="D5607" i="9"/>
  <c r="C5607" i="9"/>
  <c r="B5607" i="9"/>
  <c r="H5606" i="9"/>
  <c r="G5606" i="9"/>
  <c r="E5606" i="9"/>
  <c r="D5606" i="9"/>
  <c r="C5606" i="9"/>
  <c r="B5606" i="9"/>
  <c r="H5605" i="9"/>
  <c r="G5605" i="9"/>
  <c r="E5605" i="9"/>
  <c r="D5605" i="9"/>
  <c r="C5605" i="9"/>
  <c r="B5605" i="9"/>
  <c r="H5604" i="9"/>
  <c r="G5604" i="9"/>
  <c r="E5604" i="9"/>
  <c r="D5604" i="9"/>
  <c r="C5604" i="9"/>
  <c r="B5604" i="9"/>
  <c r="H5603" i="9"/>
  <c r="G5603" i="9"/>
  <c r="E5603" i="9"/>
  <c r="D5603" i="9"/>
  <c r="C5603" i="9"/>
  <c r="B5603" i="9"/>
  <c r="H5602" i="9"/>
  <c r="G5602" i="9"/>
  <c r="E5602" i="9"/>
  <c r="D5602" i="9"/>
  <c r="C5602" i="9"/>
  <c r="B5602" i="9"/>
  <c r="H5601" i="9"/>
  <c r="G5601" i="9"/>
  <c r="E5601" i="9"/>
  <c r="D5601" i="9"/>
  <c r="C5601" i="9"/>
  <c r="B5601" i="9"/>
  <c r="H5600" i="9"/>
  <c r="G5600" i="9"/>
  <c r="E5600" i="9"/>
  <c r="D5600" i="9"/>
  <c r="C5600" i="9"/>
  <c r="B5600" i="9"/>
  <c r="H5599" i="9"/>
  <c r="G5599" i="9"/>
  <c r="E5599" i="9"/>
  <c r="D5599" i="9"/>
  <c r="C5599" i="9"/>
  <c r="B5599" i="9"/>
  <c r="H5598" i="9"/>
  <c r="G5598" i="9"/>
  <c r="E5598" i="9"/>
  <c r="D5598" i="9"/>
  <c r="C5598" i="9"/>
  <c r="B5598" i="9"/>
  <c r="H5597" i="9"/>
  <c r="G5597" i="9"/>
  <c r="E5597" i="9"/>
  <c r="D5597" i="9"/>
  <c r="C5597" i="9"/>
  <c r="B5597" i="9"/>
  <c r="H5596" i="9"/>
  <c r="G5596" i="9"/>
  <c r="E5596" i="9"/>
  <c r="D5596" i="9"/>
  <c r="C5596" i="9"/>
  <c r="B5596" i="9"/>
  <c r="H5595" i="9"/>
  <c r="G5595" i="9"/>
  <c r="E5595" i="9"/>
  <c r="D5595" i="9"/>
  <c r="C5595" i="9"/>
  <c r="B5595" i="9"/>
  <c r="H5594" i="9"/>
  <c r="G5594" i="9"/>
  <c r="E5594" i="9"/>
  <c r="D5594" i="9"/>
  <c r="C5594" i="9"/>
  <c r="B5594" i="9"/>
  <c r="H5593" i="9"/>
  <c r="G5593" i="9"/>
  <c r="E5593" i="9"/>
  <c r="D5593" i="9"/>
  <c r="C5593" i="9"/>
  <c r="B5593" i="9"/>
  <c r="H5592" i="9"/>
  <c r="G5592" i="9"/>
  <c r="E5592" i="9"/>
  <c r="D5592" i="9"/>
  <c r="C5592" i="9"/>
  <c r="B5592" i="9"/>
  <c r="H5591" i="9"/>
  <c r="G5591" i="9"/>
  <c r="E5591" i="9"/>
  <c r="D5591" i="9"/>
  <c r="C5591" i="9"/>
  <c r="B5591" i="9"/>
  <c r="H5590" i="9"/>
  <c r="G5590" i="9"/>
  <c r="E5590" i="9"/>
  <c r="D5590" i="9"/>
  <c r="C5590" i="9"/>
  <c r="B5590" i="9"/>
  <c r="H5589" i="9"/>
  <c r="G5589" i="9"/>
  <c r="E5589" i="9"/>
  <c r="D5589" i="9"/>
  <c r="C5589" i="9"/>
  <c r="B5589" i="9"/>
  <c r="H5588" i="9"/>
  <c r="G5588" i="9"/>
  <c r="E5588" i="9"/>
  <c r="D5588" i="9"/>
  <c r="C5588" i="9"/>
  <c r="B5588" i="9"/>
  <c r="H5587" i="9"/>
  <c r="G5587" i="9"/>
  <c r="E5587" i="9"/>
  <c r="D5587" i="9"/>
  <c r="C5587" i="9"/>
  <c r="B5587" i="9"/>
  <c r="H5586" i="9"/>
  <c r="G5586" i="9"/>
  <c r="E5586" i="9"/>
  <c r="D5586" i="9"/>
  <c r="C5586" i="9"/>
  <c r="B5586" i="9"/>
  <c r="H5585" i="9"/>
  <c r="G5585" i="9"/>
  <c r="E5585" i="9"/>
  <c r="D5585" i="9"/>
  <c r="C5585" i="9"/>
  <c r="B5585" i="9"/>
  <c r="H5584" i="9"/>
  <c r="G5584" i="9"/>
  <c r="E5584" i="9"/>
  <c r="D5584" i="9"/>
  <c r="C5584" i="9"/>
  <c r="B5584" i="9"/>
  <c r="H5583" i="9"/>
  <c r="G5583" i="9"/>
  <c r="E5583" i="9"/>
  <c r="D5583" i="9"/>
  <c r="C5583" i="9"/>
  <c r="B5583" i="9"/>
  <c r="H5582" i="9"/>
  <c r="G5582" i="9"/>
  <c r="E5582" i="9"/>
  <c r="D5582" i="9"/>
  <c r="C5582" i="9"/>
  <c r="B5582" i="9"/>
  <c r="H5581" i="9"/>
  <c r="G5581" i="9"/>
  <c r="E5581" i="9"/>
  <c r="D5581" i="9"/>
  <c r="C5581" i="9"/>
  <c r="B5581" i="9"/>
  <c r="H5580" i="9"/>
  <c r="G5580" i="9"/>
  <c r="E5580" i="9"/>
  <c r="D5580" i="9"/>
  <c r="C5580" i="9"/>
  <c r="B5580" i="9"/>
  <c r="H5579" i="9"/>
  <c r="G5579" i="9"/>
  <c r="E5579" i="9"/>
  <c r="D5579" i="9"/>
  <c r="C5579" i="9"/>
  <c r="B5579" i="9"/>
  <c r="H5578" i="9"/>
  <c r="G5578" i="9"/>
  <c r="E5578" i="9"/>
  <c r="D5578" i="9"/>
  <c r="C5578" i="9"/>
  <c r="B5578" i="9"/>
  <c r="H5577" i="9"/>
  <c r="G5577" i="9"/>
  <c r="E5577" i="9"/>
  <c r="D5577" i="9"/>
  <c r="C5577" i="9"/>
  <c r="B5577" i="9"/>
  <c r="H5576" i="9"/>
  <c r="G5576" i="9"/>
  <c r="E5576" i="9"/>
  <c r="D5576" i="9"/>
  <c r="C5576" i="9"/>
  <c r="B5576" i="9"/>
  <c r="H5575" i="9"/>
  <c r="G5575" i="9"/>
  <c r="E5575" i="9"/>
  <c r="D5575" i="9"/>
  <c r="C5575" i="9"/>
  <c r="B5575" i="9"/>
  <c r="H5574" i="9"/>
  <c r="G5574" i="9"/>
  <c r="E5574" i="9"/>
  <c r="D5574" i="9"/>
  <c r="C5574" i="9"/>
  <c r="B5574" i="9"/>
  <c r="H5573" i="9"/>
  <c r="G5573" i="9"/>
  <c r="E5573" i="9"/>
  <c r="D5573" i="9"/>
  <c r="C5573" i="9"/>
  <c r="B5573" i="9"/>
  <c r="H5572" i="9"/>
  <c r="G5572" i="9"/>
  <c r="E5572" i="9"/>
  <c r="D5572" i="9"/>
  <c r="C5572" i="9"/>
  <c r="B5572" i="9"/>
  <c r="H5571" i="9"/>
  <c r="G5571" i="9"/>
  <c r="E5571" i="9"/>
  <c r="D5571" i="9"/>
  <c r="C5571" i="9"/>
  <c r="B5571" i="9"/>
  <c r="H5570" i="9"/>
  <c r="G5570" i="9"/>
  <c r="E5570" i="9"/>
  <c r="D5570" i="9"/>
  <c r="C5570" i="9"/>
  <c r="B5570" i="9"/>
  <c r="H5569" i="9"/>
  <c r="G5569" i="9"/>
  <c r="E5569" i="9"/>
  <c r="D5569" i="9"/>
  <c r="C5569" i="9"/>
  <c r="B5569" i="9"/>
  <c r="H5568" i="9"/>
  <c r="G5568" i="9"/>
  <c r="E5568" i="9"/>
  <c r="D5568" i="9"/>
  <c r="C5568" i="9"/>
  <c r="B5568" i="9"/>
  <c r="H5567" i="9"/>
  <c r="G5567" i="9"/>
  <c r="E5567" i="9"/>
  <c r="D5567" i="9"/>
  <c r="C5567" i="9"/>
  <c r="B5567" i="9"/>
  <c r="H5566" i="9"/>
  <c r="G5566" i="9"/>
  <c r="E5566" i="9"/>
  <c r="D5566" i="9"/>
  <c r="C5566" i="9"/>
  <c r="B5566" i="9"/>
  <c r="H5565" i="9"/>
  <c r="G5565" i="9"/>
  <c r="E5565" i="9"/>
  <c r="D5565" i="9"/>
  <c r="C5565" i="9"/>
  <c r="B5565" i="9"/>
  <c r="H5564" i="9"/>
  <c r="G5564" i="9"/>
  <c r="E5564" i="9"/>
  <c r="D5564" i="9"/>
  <c r="C5564" i="9"/>
  <c r="B5564" i="9"/>
  <c r="H5563" i="9"/>
  <c r="G5563" i="9"/>
  <c r="E5563" i="9"/>
  <c r="D5563" i="9"/>
  <c r="C5563" i="9"/>
  <c r="B5563" i="9"/>
  <c r="H5562" i="9"/>
  <c r="G5562" i="9"/>
  <c r="E5562" i="9"/>
  <c r="D5562" i="9"/>
  <c r="C5562" i="9"/>
  <c r="B5562" i="9"/>
  <c r="H5561" i="9"/>
  <c r="G5561" i="9"/>
  <c r="E5561" i="9"/>
  <c r="D5561" i="9"/>
  <c r="C5561" i="9"/>
  <c r="B5561" i="9"/>
  <c r="H5560" i="9"/>
  <c r="G5560" i="9"/>
  <c r="E5560" i="9"/>
  <c r="D5560" i="9"/>
  <c r="C5560" i="9"/>
  <c r="B5560" i="9"/>
  <c r="H5559" i="9"/>
  <c r="G5559" i="9"/>
  <c r="E5559" i="9"/>
  <c r="D5559" i="9"/>
  <c r="C5559" i="9"/>
  <c r="B5559" i="9"/>
  <c r="H5558" i="9"/>
  <c r="G5558" i="9"/>
  <c r="E5558" i="9"/>
  <c r="D5558" i="9"/>
  <c r="C5558" i="9"/>
  <c r="B5558" i="9"/>
  <c r="H5557" i="9"/>
  <c r="G5557" i="9"/>
  <c r="E5557" i="9"/>
  <c r="D5557" i="9"/>
  <c r="C5557" i="9"/>
  <c r="B5557" i="9"/>
  <c r="H5556" i="9"/>
  <c r="G5556" i="9"/>
  <c r="E5556" i="9"/>
  <c r="D5556" i="9"/>
  <c r="C5556" i="9"/>
  <c r="B5556" i="9"/>
  <c r="H5555" i="9"/>
  <c r="G5555" i="9"/>
  <c r="E5555" i="9"/>
  <c r="D5555" i="9"/>
  <c r="C5555" i="9"/>
  <c r="B5555" i="9"/>
  <c r="H5554" i="9"/>
  <c r="G5554" i="9"/>
  <c r="E5554" i="9"/>
  <c r="D5554" i="9"/>
  <c r="C5554" i="9"/>
  <c r="B5554" i="9"/>
  <c r="H5553" i="9"/>
  <c r="G5553" i="9"/>
  <c r="E5553" i="9"/>
  <c r="D5553" i="9"/>
  <c r="C5553" i="9"/>
  <c r="B5553" i="9"/>
  <c r="H5552" i="9"/>
  <c r="G5552" i="9"/>
  <c r="E5552" i="9"/>
  <c r="D5552" i="9"/>
  <c r="C5552" i="9"/>
  <c r="B5552" i="9"/>
  <c r="H5551" i="9"/>
  <c r="G5551" i="9"/>
  <c r="E5551" i="9"/>
  <c r="D5551" i="9"/>
  <c r="C5551" i="9"/>
  <c r="B5551" i="9"/>
  <c r="H5550" i="9"/>
  <c r="G5550" i="9"/>
  <c r="E5550" i="9"/>
  <c r="D5550" i="9"/>
  <c r="C5550" i="9"/>
  <c r="B5550" i="9"/>
  <c r="H5549" i="9"/>
  <c r="G5549" i="9"/>
  <c r="E5549" i="9"/>
  <c r="D5549" i="9"/>
  <c r="C5549" i="9"/>
  <c r="B5549" i="9"/>
  <c r="H5548" i="9"/>
  <c r="G5548" i="9"/>
  <c r="E5548" i="9"/>
  <c r="D5548" i="9"/>
  <c r="C5548" i="9"/>
  <c r="B5548" i="9"/>
  <c r="H5547" i="9"/>
  <c r="G5547" i="9"/>
  <c r="E5547" i="9"/>
  <c r="D5547" i="9"/>
  <c r="C5547" i="9"/>
  <c r="B5547" i="9"/>
  <c r="H5546" i="9"/>
  <c r="G5546" i="9"/>
  <c r="E5546" i="9"/>
  <c r="D5546" i="9"/>
  <c r="C5546" i="9"/>
  <c r="B5546" i="9"/>
  <c r="H5545" i="9"/>
  <c r="G5545" i="9"/>
  <c r="E5545" i="9"/>
  <c r="D5545" i="9"/>
  <c r="C5545" i="9"/>
  <c r="B5545" i="9"/>
  <c r="H5544" i="9"/>
  <c r="G5544" i="9"/>
  <c r="E5544" i="9"/>
  <c r="D5544" i="9"/>
  <c r="C5544" i="9"/>
  <c r="B5544" i="9"/>
  <c r="H5543" i="9"/>
  <c r="G5543" i="9"/>
  <c r="E5543" i="9"/>
  <c r="D5543" i="9"/>
  <c r="C5543" i="9"/>
  <c r="B5543" i="9"/>
  <c r="H5542" i="9"/>
  <c r="G5542" i="9"/>
  <c r="E5542" i="9"/>
  <c r="D5542" i="9"/>
  <c r="C5542" i="9"/>
  <c r="B5542" i="9"/>
  <c r="H5541" i="9"/>
  <c r="G5541" i="9"/>
  <c r="E5541" i="9"/>
  <c r="D5541" i="9"/>
  <c r="C5541" i="9"/>
  <c r="B5541" i="9"/>
  <c r="H5540" i="9"/>
  <c r="G5540" i="9"/>
  <c r="E5540" i="9"/>
  <c r="D5540" i="9"/>
  <c r="C5540" i="9"/>
  <c r="B5540" i="9"/>
  <c r="H5539" i="9"/>
  <c r="G5539" i="9"/>
  <c r="E5539" i="9"/>
  <c r="D5539" i="9"/>
  <c r="C5539" i="9"/>
  <c r="B5539" i="9"/>
  <c r="H5538" i="9"/>
  <c r="G5538" i="9"/>
  <c r="E5538" i="9"/>
  <c r="D5538" i="9"/>
  <c r="C5538" i="9"/>
  <c r="B5538" i="9"/>
  <c r="H5537" i="9"/>
  <c r="G5537" i="9"/>
  <c r="E5537" i="9"/>
  <c r="D5537" i="9"/>
  <c r="C5537" i="9"/>
  <c r="B5537" i="9"/>
  <c r="H5536" i="9"/>
  <c r="G5536" i="9"/>
  <c r="E5536" i="9"/>
  <c r="D5536" i="9"/>
  <c r="C5536" i="9"/>
  <c r="B5536" i="9"/>
  <c r="H5535" i="9"/>
  <c r="G5535" i="9"/>
  <c r="E5535" i="9"/>
  <c r="D5535" i="9"/>
  <c r="C5535" i="9"/>
  <c r="B5535" i="9"/>
  <c r="H5534" i="9"/>
  <c r="G5534" i="9"/>
  <c r="E5534" i="9"/>
  <c r="D5534" i="9"/>
  <c r="C5534" i="9"/>
  <c r="B5534" i="9"/>
  <c r="H5533" i="9"/>
  <c r="G5533" i="9"/>
  <c r="E5533" i="9"/>
  <c r="D5533" i="9"/>
  <c r="C5533" i="9"/>
  <c r="B5533" i="9"/>
  <c r="H5532" i="9"/>
  <c r="G5532" i="9"/>
  <c r="E5532" i="9"/>
  <c r="D5532" i="9"/>
  <c r="C5532" i="9"/>
  <c r="B5532" i="9"/>
  <c r="H5531" i="9"/>
  <c r="G5531" i="9"/>
  <c r="E5531" i="9"/>
  <c r="D5531" i="9"/>
  <c r="C5531" i="9"/>
  <c r="B5531" i="9"/>
  <c r="H5530" i="9"/>
  <c r="G5530" i="9"/>
  <c r="E5530" i="9"/>
  <c r="D5530" i="9"/>
  <c r="C5530" i="9"/>
  <c r="B5530" i="9"/>
  <c r="H5529" i="9"/>
  <c r="G5529" i="9"/>
  <c r="E5529" i="9"/>
  <c r="D5529" i="9"/>
  <c r="C5529" i="9"/>
  <c r="B5529" i="9"/>
  <c r="H5528" i="9"/>
  <c r="G5528" i="9"/>
  <c r="E5528" i="9"/>
  <c r="D5528" i="9"/>
  <c r="C5528" i="9"/>
  <c r="B5528" i="9"/>
  <c r="H5527" i="9"/>
  <c r="G5527" i="9"/>
  <c r="E5527" i="9"/>
  <c r="D5527" i="9"/>
  <c r="C5527" i="9"/>
  <c r="B5527" i="9"/>
  <c r="H5526" i="9"/>
  <c r="G5526" i="9"/>
  <c r="E5526" i="9"/>
  <c r="D5526" i="9"/>
  <c r="C5526" i="9"/>
  <c r="B5526" i="9"/>
  <c r="H5525" i="9"/>
  <c r="G5525" i="9"/>
  <c r="E5525" i="9"/>
  <c r="D5525" i="9"/>
  <c r="C5525" i="9"/>
  <c r="B5525" i="9"/>
  <c r="H5524" i="9"/>
  <c r="G5524" i="9"/>
  <c r="E5524" i="9"/>
  <c r="D5524" i="9"/>
  <c r="C5524" i="9"/>
  <c r="B5524" i="9"/>
  <c r="H5523" i="9"/>
  <c r="G5523" i="9"/>
  <c r="E5523" i="9"/>
  <c r="D5523" i="9"/>
  <c r="C5523" i="9"/>
  <c r="B5523" i="9"/>
  <c r="H5522" i="9"/>
  <c r="G5522" i="9"/>
  <c r="E5522" i="9"/>
  <c r="D5522" i="9"/>
  <c r="C5522" i="9"/>
  <c r="B5522" i="9"/>
  <c r="H5521" i="9"/>
  <c r="G5521" i="9"/>
  <c r="E5521" i="9"/>
  <c r="D5521" i="9"/>
  <c r="C5521" i="9"/>
  <c r="B5521" i="9"/>
  <c r="H5520" i="9"/>
  <c r="G5520" i="9"/>
  <c r="E5520" i="9"/>
  <c r="D5520" i="9"/>
  <c r="C5520" i="9"/>
  <c r="B5520" i="9"/>
  <c r="H5519" i="9"/>
  <c r="G5519" i="9"/>
  <c r="E5519" i="9"/>
  <c r="D5519" i="9"/>
  <c r="C5519" i="9"/>
  <c r="B5519" i="9"/>
  <c r="H5518" i="9"/>
  <c r="G5518" i="9"/>
  <c r="E5518" i="9"/>
  <c r="D5518" i="9"/>
  <c r="C5518" i="9"/>
  <c r="B5518" i="9"/>
  <c r="H5517" i="9"/>
  <c r="G5517" i="9"/>
  <c r="E5517" i="9"/>
  <c r="D5517" i="9"/>
  <c r="C5517" i="9"/>
  <c r="B5517" i="9"/>
  <c r="H5516" i="9"/>
  <c r="G5516" i="9"/>
  <c r="E5516" i="9"/>
  <c r="D5516" i="9"/>
  <c r="C5516" i="9"/>
  <c r="B5516" i="9"/>
  <c r="H5515" i="9"/>
  <c r="G5515" i="9"/>
  <c r="E5515" i="9"/>
  <c r="D5515" i="9"/>
  <c r="C5515" i="9"/>
  <c r="B5515" i="9"/>
  <c r="H5514" i="9"/>
  <c r="G5514" i="9"/>
  <c r="E5514" i="9"/>
  <c r="D5514" i="9"/>
  <c r="C5514" i="9"/>
  <c r="B5514" i="9"/>
  <c r="H5513" i="9"/>
  <c r="G5513" i="9"/>
  <c r="E5513" i="9"/>
  <c r="D5513" i="9"/>
  <c r="C5513" i="9"/>
  <c r="B5513" i="9"/>
  <c r="H5512" i="9"/>
  <c r="G5512" i="9"/>
  <c r="E5512" i="9"/>
  <c r="D5512" i="9"/>
  <c r="C5512" i="9"/>
  <c r="B5512" i="9"/>
  <c r="H5511" i="9"/>
  <c r="G5511" i="9"/>
  <c r="E5511" i="9"/>
  <c r="D5511" i="9"/>
  <c r="C5511" i="9"/>
  <c r="B5511" i="9"/>
  <c r="H5510" i="9"/>
  <c r="G5510" i="9"/>
  <c r="E5510" i="9"/>
  <c r="D5510" i="9"/>
  <c r="C5510" i="9"/>
  <c r="B5510" i="9"/>
  <c r="H5509" i="9"/>
  <c r="G5509" i="9"/>
  <c r="E5509" i="9"/>
  <c r="D5509" i="9"/>
  <c r="C5509" i="9"/>
  <c r="B5509" i="9"/>
  <c r="H5508" i="9"/>
  <c r="G5508" i="9"/>
  <c r="E5508" i="9"/>
  <c r="D5508" i="9"/>
  <c r="C5508" i="9"/>
  <c r="B5508" i="9"/>
  <c r="H5507" i="9"/>
  <c r="G5507" i="9"/>
  <c r="E5507" i="9"/>
  <c r="D5507" i="9"/>
  <c r="C5507" i="9"/>
  <c r="B5507" i="9"/>
  <c r="H5506" i="9"/>
  <c r="G5506" i="9"/>
  <c r="E5506" i="9"/>
  <c r="D5506" i="9"/>
  <c r="C5506" i="9"/>
  <c r="B5506" i="9"/>
  <c r="H5505" i="9"/>
  <c r="G5505" i="9"/>
  <c r="E5505" i="9"/>
  <c r="D5505" i="9"/>
  <c r="C5505" i="9"/>
  <c r="B5505" i="9"/>
  <c r="H5504" i="9"/>
  <c r="G5504" i="9"/>
  <c r="E5504" i="9"/>
  <c r="D5504" i="9"/>
  <c r="C5504" i="9"/>
  <c r="B5504" i="9"/>
  <c r="H5503" i="9"/>
  <c r="G5503" i="9"/>
  <c r="E5503" i="9"/>
  <c r="D5503" i="9"/>
  <c r="C5503" i="9"/>
  <c r="B5503" i="9"/>
  <c r="H5502" i="9"/>
  <c r="G5502" i="9"/>
  <c r="E5502" i="9"/>
  <c r="D5502" i="9"/>
  <c r="C5502" i="9"/>
  <c r="B5502" i="9"/>
  <c r="H5501" i="9"/>
  <c r="G5501" i="9"/>
  <c r="E5501" i="9"/>
  <c r="D5501" i="9"/>
  <c r="C5501" i="9"/>
  <c r="B5501" i="9"/>
  <c r="H5500" i="9"/>
  <c r="G5500" i="9"/>
  <c r="E5500" i="9"/>
  <c r="D5500" i="9"/>
  <c r="C5500" i="9"/>
  <c r="B5500" i="9"/>
  <c r="H5499" i="9"/>
  <c r="G5499" i="9"/>
  <c r="E5499" i="9"/>
  <c r="D5499" i="9"/>
  <c r="C5499" i="9"/>
  <c r="B5499" i="9"/>
  <c r="H5498" i="9"/>
  <c r="G5498" i="9"/>
  <c r="E5498" i="9"/>
  <c r="D5498" i="9"/>
  <c r="C5498" i="9"/>
  <c r="B5498" i="9"/>
  <c r="H5497" i="9"/>
  <c r="G5497" i="9"/>
  <c r="E5497" i="9"/>
  <c r="D5497" i="9"/>
  <c r="C5497" i="9"/>
  <c r="B5497" i="9"/>
  <c r="H5496" i="9"/>
  <c r="G5496" i="9"/>
  <c r="E5496" i="9"/>
  <c r="D5496" i="9"/>
  <c r="C5496" i="9"/>
  <c r="B5496" i="9"/>
  <c r="H5495" i="9"/>
  <c r="G5495" i="9"/>
  <c r="E5495" i="9"/>
  <c r="D5495" i="9"/>
  <c r="C5495" i="9"/>
  <c r="B5495" i="9"/>
  <c r="H5494" i="9"/>
  <c r="G5494" i="9"/>
  <c r="E5494" i="9"/>
  <c r="D5494" i="9"/>
  <c r="C5494" i="9"/>
  <c r="B5494" i="9"/>
  <c r="H5493" i="9"/>
  <c r="G5493" i="9"/>
  <c r="E5493" i="9"/>
  <c r="D5493" i="9"/>
  <c r="C5493" i="9"/>
  <c r="B5493" i="9"/>
  <c r="H5492" i="9"/>
  <c r="G5492" i="9"/>
  <c r="E5492" i="9"/>
  <c r="D5492" i="9"/>
  <c r="C5492" i="9"/>
  <c r="B5492" i="9"/>
  <c r="H5491" i="9"/>
  <c r="G5491" i="9"/>
  <c r="E5491" i="9"/>
  <c r="D5491" i="9"/>
  <c r="C5491" i="9"/>
  <c r="B5491" i="9"/>
  <c r="H5490" i="9"/>
  <c r="G5490" i="9"/>
  <c r="E5490" i="9"/>
  <c r="D5490" i="9"/>
  <c r="C5490" i="9"/>
  <c r="B5490" i="9"/>
  <c r="H5489" i="9"/>
  <c r="G5489" i="9"/>
  <c r="E5489" i="9"/>
  <c r="D5489" i="9"/>
  <c r="C5489" i="9"/>
  <c r="B5489" i="9"/>
  <c r="H5488" i="9"/>
  <c r="G5488" i="9"/>
  <c r="E5488" i="9"/>
  <c r="D5488" i="9"/>
  <c r="C5488" i="9"/>
  <c r="B5488" i="9"/>
  <c r="H5487" i="9"/>
  <c r="G5487" i="9"/>
  <c r="E5487" i="9"/>
  <c r="D5487" i="9"/>
  <c r="C5487" i="9"/>
  <c r="B5487" i="9"/>
  <c r="H5486" i="9"/>
  <c r="G5486" i="9"/>
  <c r="E5486" i="9"/>
  <c r="D5486" i="9"/>
  <c r="C5486" i="9"/>
  <c r="B5486" i="9"/>
  <c r="H5485" i="9"/>
  <c r="G5485" i="9"/>
  <c r="E5485" i="9"/>
  <c r="D5485" i="9"/>
  <c r="C5485" i="9"/>
  <c r="B5485" i="9"/>
  <c r="H5484" i="9"/>
  <c r="G5484" i="9"/>
  <c r="E5484" i="9"/>
  <c r="D5484" i="9"/>
  <c r="C5484" i="9"/>
  <c r="B5484" i="9"/>
  <c r="H5483" i="9"/>
  <c r="G5483" i="9"/>
  <c r="E5483" i="9"/>
  <c r="D5483" i="9"/>
  <c r="C5483" i="9"/>
  <c r="B5483" i="9"/>
  <c r="H5482" i="9"/>
  <c r="G5482" i="9"/>
  <c r="E5482" i="9"/>
  <c r="D5482" i="9"/>
  <c r="C5482" i="9"/>
  <c r="B5482" i="9"/>
  <c r="H5481" i="9"/>
  <c r="G5481" i="9"/>
  <c r="E5481" i="9"/>
  <c r="D5481" i="9"/>
  <c r="C5481" i="9"/>
  <c r="B5481" i="9"/>
  <c r="H5480" i="9"/>
  <c r="G5480" i="9"/>
  <c r="E5480" i="9"/>
  <c r="D5480" i="9"/>
  <c r="C5480" i="9"/>
  <c r="B5480" i="9"/>
  <c r="H5479" i="9"/>
  <c r="G5479" i="9"/>
  <c r="E5479" i="9"/>
  <c r="D5479" i="9"/>
  <c r="C5479" i="9"/>
  <c r="B5479" i="9"/>
  <c r="H5478" i="9"/>
  <c r="G5478" i="9"/>
  <c r="E5478" i="9"/>
  <c r="D5478" i="9"/>
  <c r="C5478" i="9"/>
  <c r="B5478" i="9"/>
  <c r="H5477" i="9"/>
  <c r="G5477" i="9"/>
  <c r="E5477" i="9"/>
  <c r="D5477" i="9"/>
  <c r="C5477" i="9"/>
  <c r="B5477" i="9"/>
  <c r="H5476" i="9"/>
  <c r="G5476" i="9"/>
  <c r="E5476" i="9"/>
  <c r="D5476" i="9"/>
  <c r="C5476" i="9"/>
  <c r="B5476" i="9"/>
  <c r="H5475" i="9"/>
  <c r="G5475" i="9"/>
  <c r="E5475" i="9"/>
  <c r="D5475" i="9"/>
  <c r="C5475" i="9"/>
  <c r="B5475" i="9"/>
  <c r="H5474" i="9"/>
  <c r="G5474" i="9"/>
  <c r="E5474" i="9"/>
  <c r="D5474" i="9"/>
  <c r="C5474" i="9"/>
  <c r="B5474" i="9"/>
  <c r="H5473" i="9"/>
  <c r="G5473" i="9"/>
  <c r="E5473" i="9"/>
  <c r="D5473" i="9"/>
  <c r="C5473" i="9"/>
  <c r="B5473" i="9"/>
  <c r="H5472" i="9"/>
  <c r="G5472" i="9"/>
  <c r="E5472" i="9"/>
  <c r="D5472" i="9"/>
  <c r="C5472" i="9"/>
  <c r="B5472" i="9"/>
  <c r="H5471" i="9"/>
  <c r="G5471" i="9"/>
  <c r="E5471" i="9"/>
  <c r="D5471" i="9"/>
  <c r="C5471" i="9"/>
  <c r="B5471" i="9"/>
  <c r="H5470" i="9"/>
  <c r="G5470" i="9"/>
  <c r="E5470" i="9"/>
  <c r="D5470" i="9"/>
  <c r="C5470" i="9"/>
  <c r="B5470" i="9"/>
  <c r="H5469" i="9"/>
  <c r="G5469" i="9"/>
  <c r="E5469" i="9"/>
  <c r="D5469" i="9"/>
  <c r="C5469" i="9"/>
  <c r="B5469" i="9"/>
  <c r="H5468" i="9"/>
  <c r="G5468" i="9"/>
  <c r="E5468" i="9"/>
  <c r="D5468" i="9"/>
  <c r="C5468" i="9"/>
  <c r="B5468" i="9"/>
  <c r="H5467" i="9"/>
  <c r="G5467" i="9"/>
  <c r="E5467" i="9"/>
  <c r="D5467" i="9"/>
  <c r="C5467" i="9"/>
  <c r="B5467" i="9"/>
  <c r="H5466" i="9"/>
  <c r="G5466" i="9"/>
  <c r="E5466" i="9"/>
  <c r="D5466" i="9"/>
  <c r="C5466" i="9"/>
  <c r="B5466" i="9"/>
  <c r="H5465" i="9"/>
  <c r="G5465" i="9"/>
  <c r="E5465" i="9"/>
  <c r="D5465" i="9"/>
  <c r="C5465" i="9"/>
  <c r="B5465" i="9"/>
  <c r="H5464" i="9"/>
  <c r="G5464" i="9"/>
  <c r="E5464" i="9"/>
  <c r="D5464" i="9"/>
  <c r="C5464" i="9"/>
  <c r="B5464" i="9"/>
  <c r="H5463" i="9"/>
  <c r="G5463" i="9"/>
  <c r="E5463" i="9"/>
  <c r="D5463" i="9"/>
  <c r="C5463" i="9"/>
  <c r="B5463" i="9"/>
  <c r="H5462" i="9"/>
  <c r="G5462" i="9"/>
  <c r="E5462" i="9"/>
  <c r="D5462" i="9"/>
  <c r="C5462" i="9"/>
  <c r="B5462" i="9"/>
  <c r="H5461" i="9"/>
  <c r="G5461" i="9"/>
  <c r="E5461" i="9"/>
  <c r="D5461" i="9"/>
  <c r="C5461" i="9"/>
  <c r="B5461" i="9"/>
  <c r="H5460" i="9"/>
  <c r="G5460" i="9"/>
  <c r="E5460" i="9"/>
  <c r="D5460" i="9"/>
  <c r="C5460" i="9"/>
  <c r="B5460" i="9"/>
  <c r="H5459" i="9"/>
  <c r="G5459" i="9"/>
  <c r="E5459" i="9"/>
  <c r="D5459" i="9"/>
  <c r="C5459" i="9"/>
  <c r="B5459" i="9"/>
  <c r="H5458" i="9"/>
  <c r="G5458" i="9"/>
  <c r="E5458" i="9"/>
  <c r="D5458" i="9"/>
  <c r="C5458" i="9"/>
  <c r="B5458" i="9"/>
  <c r="H5457" i="9"/>
  <c r="G5457" i="9"/>
  <c r="E5457" i="9"/>
  <c r="D5457" i="9"/>
  <c r="C5457" i="9"/>
  <c r="B5457" i="9"/>
  <c r="H5456" i="9"/>
  <c r="G5456" i="9"/>
  <c r="E5456" i="9"/>
  <c r="D5456" i="9"/>
  <c r="C5456" i="9"/>
  <c r="B5456" i="9"/>
  <c r="H5455" i="9"/>
  <c r="G5455" i="9"/>
  <c r="E5455" i="9"/>
  <c r="D5455" i="9"/>
  <c r="C5455" i="9"/>
  <c r="B5455" i="9"/>
  <c r="H5454" i="9"/>
  <c r="G5454" i="9"/>
  <c r="E5454" i="9"/>
  <c r="D5454" i="9"/>
  <c r="C5454" i="9"/>
  <c r="B5454" i="9"/>
  <c r="H5453" i="9"/>
  <c r="G5453" i="9"/>
  <c r="E5453" i="9"/>
  <c r="D5453" i="9"/>
  <c r="C5453" i="9"/>
  <c r="B5453" i="9"/>
  <c r="H5452" i="9"/>
  <c r="G5452" i="9"/>
  <c r="E5452" i="9"/>
  <c r="D5452" i="9"/>
  <c r="C5452" i="9"/>
  <c r="B5452" i="9"/>
  <c r="H5451" i="9"/>
  <c r="G5451" i="9"/>
  <c r="E5451" i="9"/>
  <c r="D5451" i="9"/>
  <c r="C5451" i="9"/>
  <c r="B5451" i="9"/>
  <c r="H5450" i="9"/>
  <c r="G5450" i="9"/>
  <c r="E5450" i="9"/>
  <c r="D5450" i="9"/>
  <c r="C5450" i="9"/>
  <c r="B5450" i="9"/>
  <c r="H5449" i="9"/>
  <c r="G5449" i="9"/>
  <c r="E5449" i="9"/>
  <c r="D5449" i="9"/>
  <c r="C5449" i="9"/>
  <c r="B5449" i="9"/>
  <c r="H5448" i="9"/>
  <c r="G5448" i="9"/>
  <c r="E5448" i="9"/>
  <c r="D5448" i="9"/>
  <c r="C5448" i="9"/>
  <c r="B5448" i="9"/>
  <c r="H5447" i="9"/>
  <c r="G5447" i="9"/>
  <c r="E5447" i="9"/>
  <c r="D5447" i="9"/>
  <c r="C5447" i="9"/>
  <c r="B5447" i="9"/>
  <c r="H5446" i="9"/>
  <c r="G5446" i="9"/>
  <c r="E5446" i="9"/>
  <c r="D5446" i="9"/>
  <c r="C5446" i="9"/>
  <c r="B5446" i="9"/>
  <c r="H5445" i="9"/>
  <c r="G5445" i="9"/>
  <c r="E5445" i="9"/>
  <c r="D5445" i="9"/>
  <c r="C5445" i="9"/>
  <c r="B5445" i="9"/>
  <c r="H5444" i="9"/>
  <c r="G5444" i="9"/>
  <c r="E5444" i="9"/>
  <c r="D5444" i="9"/>
  <c r="C5444" i="9"/>
  <c r="B5444" i="9"/>
  <c r="H5443" i="9"/>
  <c r="G5443" i="9"/>
  <c r="E5443" i="9"/>
  <c r="D5443" i="9"/>
  <c r="C5443" i="9"/>
  <c r="B5443" i="9"/>
  <c r="H5442" i="9"/>
  <c r="G5442" i="9"/>
  <c r="E5442" i="9"/>
  <c r="D5442" i="9"/>
  <c r="C5442" i="9"/>
  <c r="B5442" i="9"/>
  <c r="H5441" i="9"/>
  <c r="G5441" i="9"/>
  <c r="E5441" i="9"/>
  <c r="D5441" i="9"/>
  <c r="C5441" i="9"/>
  <c r="B5441" i="9"/>
  <c r="H5440" i="9"/>
  <c r="G5440" i="9"/>
  <c r="E5440" i="9"/>
  <c r="D5440" i="9"/>
  <c r="C5440" i="9"/>
  <c r="B5440" i="9"/>
  <c r="H5439" i="9"/>
  <c r="G5439" i="9"/>
  <c r="E5439" i="9"/>
  <c r="D5439" i="9"/>
  <c r="C5439" i="9"/>
  <c r="B5439" i="9"/>
  <c r="H5438" i="9"/>
  <c r="G5438" i="9"/>
  <c r="E5438" i="9"/>
  <c r="D5438" i="9"/>
  <c r="C5438" i="9"/>
  <c r="B5438" i="9"/>
  <c r="H5437" i="9"/>
  <c r="G5437" i="9"/>
  <c r="E5437" i="9"/>
  <c r="D5437" i="9"/>
  <c r="C5437" i="9"/>
  <c r="B5437" i="9"/>
  <c r="H5436" i="9"/>
  <c r="G5436" i="9"/>
  <c r="E5436" i="9"/>
  <c r="D5436" i="9"/>
  <c r="C5436" i="9"/>
  <c r="B5436" i="9"/>
  <c r="H5435" i="9"/>
  <c r="G5435" i="9"/>
  <c r="E5435" i="9"/>
  <c r="D5435" i="9"/>
  <c r="C5435" i="9"/>
  <c r="B5435" i="9"/>
  <c r="H5434" i="9"/>
  <c r="G5434" i="9"/>
  <c r="E5434" i="9"/>
  <c r="D5434" i="9"/>
  <c r="C5434" i="9"/>
  <c r="B5434" i="9"/>
  <c r="H5433" i="9"/>
  <c r="G5433" i="9"/>
  <c r="E5433" i="9"/>
  <c r="D5433" i="9"/>
  <c r="C5433" i="9"/>
  <c r="B5433" i="9"/>
  <c r="H5432" i="9"/>
  <c r="G5432" i="9"/>
  <c r="E5432" i="9"/>
  <c r="D5432" i="9"/>
  <c r="C5432" i="9"/>
  <c r="B5432" i="9"/>
  <c r="H5431" i="9"/>
  <c r="G5431" i="9"/>
  <c r="E5431" i="9"/>
  <c r="D5431" i="9"/>
  <c r="C5431" i="9"/>
  <c r="B5431" i="9"/>
  <c r="H5430" i="9"/>
  <c r="G5430" i="9"/>
  <c r="E5430" i="9"/>
  <c r="D5430" i="9"/>
  <c r="C5430" i="9"/>
  <c r="B5430" i="9"/>
  <c r="H5429" i="9"/>
  <c r="G5429" i="9"/>
  <c r="E5429" i="9"/>
  <c r="D5429" i="9"/>
  <c r="C5429" i="9"/>
  <c r="B5429" i="9"/>
  <c r="H5428" i="9"/>
  <c r="G5428" i="9"/>
  <c r="E5428" i="9"/>
  <c r="D5428" i="9"/>
  <c r="C5428" i="9"/>
  <c r="B5428" i="9"/>
  <c r="H5427" i="9"/>
  <c r="G5427" i="9"/>
  <c r="E5427" i="9"/>
  <c r="D5427" i="9"/>
  <c r="C5427" i="9"/>
  <c r="B5427" i="9"/>
  <c r="H5426" i="9"/>
  <c r="G5426" i="9"/>
  <c r="E5426" i="9"/>
  <c r="D5426" i="9"/>
  <c r="C5426" i="9"/>
  <c r="B5426" i="9"/>
  <c r="H5425" i="9"/>
  <c r="G5425" i="9"/>
  <c r="E5425" i="9"/>
  <c r="D5425" i="9"/>
  <c r="C5425" i="9"/>
  <c r="B5425" i="9"/>
  <c r="H5424" i="9"/>
  <c r="G5424" i="9"/>
  <c r="E5424" i="9"/>
  <c r="D5424" i="9"/>
  <c r="C5424" i="9"/>
  <c r="B5424" i="9"/>
  <c r="H5423" i="9"/>
  <c r="G5423" i="9"/>
  <c r="E5423" i="9"/>
  <c r="D5423" i="9"/>
  <c r="C5423" i="9"/>
  <c r="B5423" i="9"/>
  <c r="H5422" i="9"/>
  <c r="G5422" i="9"/>
  <c r="E5422" i="9"/>
  <c r="D5422" i="9"/>
  <c r="C5422" i="9"/>
  <c r="B5422" i="9"/>
  <c r="H5421" i="9"/>
  <c r="G5421" i="9"/>
  <c r="E5421" i="9"/>
  <c r="D5421" i="9"/>
  <c r="C5421" i="9"/>
  <c r="B5421" i="9"/>
  <c r="H5420" i="9"/>
  <c r="G5420" i="9"/>
  <c r="E5420" i="9"/>
  <c r="D5420" i="9"/>
  <c r="C5420" i="9"/>
  <c r="B5420" i="9"/>
  <c r="H5419" i="9"/>
  <c r="G5419" i="9"/>
  <c r="E5419" i="9"/>
  <c r="D5419" i="9"/>
  <c r="C5419" i="9"/>
  <c r="B5419" i="9"/>
  <c r="H5418" i="9"/>
  <c r="G5418" i="9"/>
  <c r="E5418" i="9"/>
  <c r="D5418" i="9"/>
  <c r="C5418" i="9"/>
  <c r="B5418" i="9"/>
  <c r="H5417" i="9"/>
  <c r="G5417" i="9"/>
  <c r="E5417" i="9"/>
  <c r="D5417" i="9"/>
  <c r="C5417" i="9"/>
  <c r="B5417" i="9"/>
  <c r="H5416" i="9"/>
  <c r="G5416" i="9"/>
  <c r="E5416" i="9"/>
  <c r="D5416" i="9"/>
  <c r="C5416" i="9"/>
  <c r="B5416" i="9"/>
  <c r="H5415" i="9"/>
  <c r="G5415" i="9"/>
  <c r="E5415" i="9"/>
  <c r="D5415" i="9"/>
  <c r="C5415" i="9"/>
  <c r="B5415" i="9"/>
  <c r="H5414" i="9"/>
  <c r="G5414" i="9"/>
  <c r="E5414" i="9"/>
  <c r="D5414" i="9"/>
  <c r="C5414" i="9"/>
  <c r="B5414" i="9"/>
  <c r="H5413" i="9"/>
  <c r="G5413" i="9"/>
  <c r="E5413" i="9"/>
  <c r="D5413" i="9"/>
  <c r="C5413" i="9"/>
  <c r="B5413" i="9"/>
  <c r="H5412" i="9"/>
  <c r="G5412" i="9"/>
  <c r="E5412" i="9"/>
  <c r="D5412" i="9"/>
  <c r="C5412" i="9"/>
  <c r="B5412" i="9"/>
  <c r="H5411" i="9"/>
  <c r="G5411" i="9"/>
  <c r="E5411" i="9"/>
  <c r="D5411" i="9"/>
  <c r="C5411" i="9"/>
  <c r="B5411" i="9"/>
  <c r="H5410" i="9"/>
  <c r="G5410" i="9"/>
  <c r="E5410" i="9"/>
  <c r="D5410" i="9"/>
  <c r="C5410" i="9"/>
  <c r="B5410" i="9"/>
  <c r="H5409" i="9"/>
  <c r="G5409" i="9"/>
  <c r="E5409" i="9"/>
  <c r="D5409" i="9"/>
  <c r="C5409" i="9"/>
  <c r="B5409" i="9"/>
  <c r="H5408" i="9"/>
  <c r="G5408" i="9"/>
  <c r="E5408" i="9"/>
  <c r="D5408" i="9"/>
  <c r="C5408" i="9"/>
  <c r="B5408" i="9"/>
  <c r="H5407" i="9"/>
  <c r="G5407" i="9"/>
  <c r="E5407" i="9"/>
  <c r="D5407" i="9"/>
  <c r="C5407" i="9"/>
  <c r="B5407" i="9"/>
  <c r="H5406" i="9"/>
  <c r="G5406" i="9"/>
  <c r="E5406" i="9"/>
  <c r="D5406" i="9"/>
  <c r="C5406" i="9"/>
  <c r="B5406" i="9"/>
  <c r="H5405" i="9"/>
  <c r="G5405" i="9"/>
  <c r="E5405" i="9"/>
  <c r="D5405" i="9"/>
  <c r="C5405" i="9"/>
  <c r="B5405" i="9"/>
  <c r="H5404" i="9"/>
  <c r="G5404" i="9"/>
  <c r="E5404" i="9"/>
  <c r="D5404" i="9"/>
  <c r="C5404" i="9"/>
  <c r="B5404" i="9"/>
  <c r="H5403" i="9"/>
  <c r="G5403" i="9"/>
  <c r="E5403" i="9"/>
  <c r="D5403" i="9"/>
  <c r="C5403" i="9"/>
  <c r="B5403" i="9"/>
  <c r="H5402" i="9"/>
  <c r="G5402" i="9"/>
  <c r="E5402" i="9"/>
  <c r="D5402" i="9"/>
  <c r="C5402" i="9"/>
  <c r="B5402" i="9"/>
  <c r="H5401" i="9"/>
  <c r="G5401" i="9"/>
  <c r="E5401" i="9"/>
  <c r="D5401" i="9"/>
  <c r="C5401" i="9"/>
  <c r="B5401" i="9"/>
  <c r="H5400" i="9"/>
  <c r="G5400" i="9"/>
  <c r="E5400" i="9"/>
  <c r="D5400" i="9"/>
  <c r="C5400" i="9"/>
  <c r="B5400" i="9"/>
  <c r="H5399" i="9"/>
  <c r="G5399" i="9"/>
  <c r="E5399" i="9"/>
  <c r="D5399" i="9"/>
  <c r="C5399" i="9"/>
  <c r="B5399" i="9"/>
  <c r="H5398" i="9"/>
  <c r="G5398" i="9"/>
  <c r="E5398" i="9"/>
  <c r="D5398" i="9"/>
  <c r="C5398" i="9"/>
  <c r="B5398" i="9"/>
  <c r="H5397" i="9"/>
  <c r="G5397" i="9"/>
  <c r="E5397" i="9"/>
  <c r="D5397" i="9"/>
  <c r="C5397" i="9"/>
  <c r="B5397" i="9"/>
  <c r="H5396" i="9"/>
  <c r="G5396" i="9"/>
  <c r="E5396" i="9"/>
  <c r="D5396" i="9"/>
  <c r="C5396" i="9"/>
  <c r="B5396" i="9"/>
  <c r="H5395" i="9"/>
  <c r="G5395" i="9"/>
  <c r="E5395" i="9"/>
  <c r="D5395" i="9"/>
  <c r="C5395" i="9"/>
  <c r="B5395" i="9"/>
  <c r="H5394" i="9"/>
  <c r="G5394" i="9"/>
  <c r="E5394" i="9"/>
  <c r="D5394" i="9"/>
  <c r="C5394" i="9"/>
  <c r="B5394" i="9"/>
  <c r="H5393" i="9"/>
  <c r="G5393" i="9"/>
  <c r="E5393" i="9"/>
  <c r="D5393" i="9"/>
  <c r="C5393" i="9"/>
  <c r="B5393" i="9"/>
  <c r="H5392" i="9"/>
  <c r="G5392" i="9"/>
  <c r="E5392" i="9"/>
  <c r="D5392" i="9"/>
  <c r="C5392" i="9"/>
  <c r="B5392" i="9"/>
  <c r="H5391" i="9"/>
  <c r="G5391" i="9"/>
  <c r="E5391" i="9"/>
  <c r="D5391" i="9"/>
  <c r="C5391" i="9"/>
  <c r="B5391" i="9"/>
  <c r="H5390" i="9"/>
  <c r="G5390" i="9"/>
  <c r="E5390" i="9"/>
  <c r="D5390" i="9"/>
  <c r="C5390" i="9"/>
  <c r="B5390" i="9"/>
  <c r="H5389" i="9"/>
  <c r="G5389" i="9"/>
  <c r="E5389" i="9"/>
  <c r="D5389" i="9"/>
  <c r="C5389" i="9"/>
  <c r="B5389" i="9"/>
  <c r="H5388" i="9"/>
  <c r="G5388" i="9"/>
  <c r="E5388" i="9"/>
  <c r="D5388" i="9"/>
  <c r="C5388" i="9"/>
  <c r="B5388" i="9"/>
  <c r="H5387" i="9"/>
  <c r="G5387" i="9"/>
  <c r="E5387" i="9"/>
  <c r="D5387" i="9"/>
  <c r="C5387" i="9"/>
  <c r="B5387" i="9"/>
  <c r="H5386" i="9"/>
  <c r="G5386" i="9"/>
  <c r="E5386" i="9"/>
  <c r="D5386" i="9"/>
  <c r="C5386" i="9"/>
  <c r="B5386" i="9"/>
  <c r="H5385" i="9"/>
  <c r="G5385" i="9"/>
  <c r="E5385" i="9"/>
  <c r="D5385" i="9"/>
  <c r="C5385" i="9"/>
  <c r="B5385" i="9"/>
  <c r="H5384" i="9"/>
  <c r="G5384" i="9"/>
  <c r="E5384" i="9"/>
  <c r="D5384" i="9"/>
  <c r="C5384" i="9"/>
  <c r="B5384" i="9"/>
  <c r="H5383" i="9"/>
  <c r="G5383" i="9"/>
  <c r="E5383" i="9"/>
  <c r="D5383" i="9"/>
  <c r="C5383" i="9"/>
  <c r="B5383" i="9"/>
  <c r="H5382" i="9"/>
  <c r="G5382" i="9"/>
  <c r="E5382" i="9"/>
  <c r="D5382" i="9"/>
  <c r="C5382" i="9"/>
  <c r="B5382" i="9"/>
  <c r="H5381" i="9"/>
  <c r="G5381" i="9"/>
  <c r="E5381" i="9"/>
  <c r="D5381" i="9"/>
  <c r="C5381" i="9"/>
  <c r="B5381" i="9"/>
  <c r="H5380" i="9"/>
  <c r="G5380" i="9"/>
  <c r="E5380" i="9"/>
  <c r="D5380" i="9"/>
  <c r="C5380" i="9"/>
  <c r="B5380" i="9"/>
  <c r="H5379" i="9"/>
  <c r="G5379" i="9"/>
  <c r="E5379" i="9"/>
  <c r="D5379" i="9"/>
  <c r="C5379" i="9"/>
  <c r="B5379" i="9"/>
  <c r="H5378" i="9"/>
  <c r="G5378" i="9"/>
  <c r="E5378" i="9"/>
  <c r="D5378" i="9"/>
  <c r="C5378" i="9"/>
  <c r="B5378" i="9"/>
  <c r="H5377" i="9"/>
  <c r="G5377" i="9"/>
  <c r="E5377" i="9"/>
  <c r="D5377" i="9"/>
  <c r="C5377" i="9"/>
  <c r="B5377" i="9"/>
  <c r="H5376" i="9"/>
  <c r="G5376" i="9"/>
  <c r="E5376" i="9"/>
  <c r="D5376" i="9"/>
  <c r="C5376" i="9"/>
  <c r="B5376" i="9"/>
  <c r="H5375" i="9"/>
  <c r="G5375" i="9"/>
  <c r="E5375" i="9"/>
  <c r="D5375" i="9"/>
  <c r="C5375" i="9"/>
  <c r="B5375" i="9"/>
  <c r="H5374" i="9"/>
  <c r="G5374" i="9"/>
  <c r="E5374" i="9"/>
  <c r="D5374" i="9"/>
  <c r="C5374" i="9"/>
  <c r="B5374" i="9"/>
  <c r="H5373" i="9"/>
  <c r="G5373" i="9"/>
  <c r="E5373" i="9"/>
  <c r="D5373" i="9"/>
  <c r="C5373" i="9"/>
  <c r="B5373" i="9"/>
  <c r="H5372" i="9"/>
  <c r="G5372" i="9"/>
  <c r="E5372" i="9"/>
  <c r="D5372" i="9"/>
  <c r="C5372" i="9"/>
  <c r="B5372" i="9"/>
  <c r="H5371" i="9"/>
  <c r="G5371" i="9"/>
  <c r="E5371" i="9"/>
  <c r="D5371" i="9"/>
  <c r="C5371" i="9"/>
  <c r="B5371" i="9"/>
  <c r="H5370" i="9"/>
  <c r="G5370" i="9"/>
  <c r="E5370" i="9"/>
  <c r="D5370" i="9"/>
  <c r="C5370" i="9"/>
  <c r="B5370" i="9"/>
  <c r="H5369" i="9"/>
  <c r="G5369" i="9"/>
  <c r="E5369" i="9"/>
  <c r="D5369" i="9"/>
  <c r="C5369" i="9"/>
  <c r="B5369" i="9"/>
  <c r="H5368" i="9"/>
  <c r="G5368" i="9"/>
  <c r="E5368" i="9"/>
  <c r="D5368" i="9"/>
  <c r="C5368" i="9"/>
  <c r="B5368" i="9"/>
  <c r="H5367" i="9"/>
  <c r="G5367" i="9"/>
  <c r="E5367" i="9"/>
  <c r="D5367" i="9"/>
  <c r="C5367" i="9"/>
  <c r="B5367" i="9"/>
  <c r="H5366" i="9"/>
  <c r="G5366" i="9"/>
  <c r="E5366" i="9"/>
  <c r="D5366" i="9"/>
  <c r="C5366" i="9"/>
  <c r="B5366" i="9"/>
  <c r="H5365" i="9"/>
  <c r="G5365" i="9"/>
  <c r="E5365" i="9"/>
  <c r="D5365" i="9"/>
  <c r="C5365" i="9"/>
  <c r="B5365" i="9"/>
  <c r="H5364" i="9"/>
  <c r="G5364" i="9"/>
  <c r="E5364" i="9"/>
  <c r="D5364" i="9"/>
  <c r="C5364" i="9"/>
  <c r="B5364" i="9"/>
  <c r="H5363" i="9"/>
  <c r="G5363" i="9"/>
  <c r="E5363" i="9"/>
  <c r="D5363" i="9"/>
  <c r="C5363" i="9"/>
  <c r="B5363" i="9"/>
  <c r="H5362" i="9"/>
  <c r="G5362" i="9"/>
  <c r="E5362" i="9"/>
  <c r="D5362" i="9"/>
  <c r="C5362" i="9"/>
  <c r="B5362" i="9"/>
  <c r="H5361" i="9"/>
  <c r="G5361" i="9"/>
  <c r="E5361" i="9"/>
  <c r="D5361" i="9"/>
  <c r="C5361" i="9"/>
  <c r="B5361" i="9"/>
  <c r="H5360" i="9"/>
  <c r="G5360" i="9"/>
  <c r="E5360" i="9"/>
  <c r="D5360" i="9"/>
  <c r="C5360" i="9"/>
  <c r="B5360" i="9"/>
  <c r="H5359" i="9"/>
  <c r="G5359" i="9"/>
  <c r="E5359" i="9"/>
  <c r="D5359" i="9"/>
  <c r="C5359" i="9"/>
  <c r="B5359" i="9"/>
  <c r="H5358" i="9"/>
  <c r="G5358" i="9"/>
  <c r="E5358" i="9"/>
  <c r="D5358" i="9"/>
  <c r="C5358" i="9"/>
  <c r="B5358" i="9"/>
  <c r="H5357" i="9"/>
  <c r="G5357" i="9"/>
  <c r="E5357" i="9"/>
  <c r="D5357" i="9"/>
  <c r="C5357" i="9"/>
  <c r="B5357" i="9"/>
  <c r="H5356" i="9"/>
  <c r="G5356" i="9"/>
  <c r="E5356" i="9"/>
  <c r="D5356" i="9"/>
  <c r="C5356" i="9"/>
  <c r="B5356" i="9"/>
  <c r="H5355" i="9"/>
  <c r="G5355" i="9"/>
  <c r="E5355" i="9"/>
  <c r="D5355" i="9"/>
  <c r="C5355" i="9"/>
  <c r="B5355" i="9"/>
  <c r="H5354" i="9"/>
  <c r="G5354" i="9"/>
  <c r="E5354" i="9"/>
  <c r="D5354" i="9"/>
  <c r="C5354" i="9"/>
  <c r="B5354" i="9"/>
  <c r="H5353" i="9"/>
  <c r="G5353" i="9"/>
  <c r="E5353" i="9"/>
  <c r="D5353" i="9"/>
  <c r="C5353" i="9"/>
  <c r="B5353" i="9"/>
  <c r="H5352" i="9"/>
  <c r="G5352" i="9"/>
  <c r="E5352" i="9"/>
  <c r="D5352" i="9"/>
  <c r="C5352" i="9"/>
  <c r="B5352" i="9"/>
  <c r="H5351" i="9"/>
  <c r="G5351" i="9"/>
  <c r="E5351" i="9"/>
  <c r="D5351" i="9"/>
  <c r="C5351" i="9"/>
  <c r="B5351" i="9"/>
  <c r="H5350" i="9"/>
  <c r="G5350" i="9"/>
  <c r="E5350" i="9"/>
  <c r="D5350" i="9"/>
  <c r="C5350" i="9"/>
  <c r="B5350" i="9"/>
  <c r="H5349" i="9"/>
  <c r="G5349" i="9"/>
  <c r="E5349" i="9"/>
  <c r="D5349" i="9"/>
  <c r="C5349" i="9"/>
  <c r="B5349" i="9"/>
  <c r="H5348" i="9"/>
  <c r="G5348" i="9"/>
  <c r="E5348" i="9"/>
  <c r="D5348" i="9"/>
  <c r="C5348" i="9"/>
  <c r="B5348" i="9"/>
  <c r="H5347" i="9"/>
  <c r="G5347" i="9"/>
  <c r="E5347" i="9"/>
  <c r="D5347" i="9"/>
  <c r="C5347" i="9"/>
  <c r="B5347" i="9"/>
  <c r="H5346" i="9"/>
  <c r="G5346" i="9"/>
  <c r="E5346" i="9"/>
  <c r="D5346" i="9"/>
  <c r="C5346" i="9"/>
  <c r="B5346" i="9"/>
  <c r="H5345" i="9"/>
  <c r="G5345" i="9"/>
  <c r="E5345" i="9"/>
  <c r="D5345" i="9"/>
  <c r="C5345" i="9"/>
  <c r="B5345" i="9"/>
  <c r="H5344" i="9"/>
  <c r="G5344" i="9"/>
  <c r="E5344" i="9"/>
  <c r="D5344" i="9"/>
  <c r="C5344" i="9"/>
  <c r="B5344" i="9"/>
  <c r="H5343" i="9"/>
  <c r="G5343" i="9"/>
  <c r="E5343" i="9"/>
  <c r="D5343" i="9"/>
  <c r="C5343" i="9"/>
  <c r="B5343" i="9"/>
  <c r="H5342" i="9"/>
  <c r="G5342" i="9"/>
  <c r="E5342" i="9"/>
  <c r="D5342" i="9"/>
  <c r="C5342" i="9"/>
  <c r="B5342" i="9"/>
  <c r="H5341" i="9"/>
  <c r="G5341" i="9"/>
  <c r="E5341" i="9"/>
  <c r="D5341" i="9"/>
  <c r="C5341" i="9"/>
  <c r="B5341" i="9"/>
  <c r="H5340" i="9"/>
  <c r="G5340" i="9"/>
  <c r="E5340" i="9"/>
  <c r="D5340" i="9"/>
  <c r="C5340" i="9"/>
  <c r="B5340" i="9"/>
  <c r="H5339" i="9"/>
  <c r="G5339" i="9"/>
  <c r="E5339" i="9"/>
  <c r="D5339" i="9"/>
  <c r="C5339" i="9"/>
  <c r="B5339" i="9"/>
  <c r="H5338" i="9"/>
  <c r="G5338" i="9"/>
  <c r="E5338" i="9"/>
  <c r="D5338" i="9"/>
  <c r="C5338" i="9"/>
  <c r="B5338" i="9"/>
  <c r="H5337" i="9"/>
  <c r="G5337" i="9"/>
  <c r="E5337" i="9"/>
  <c r="D5337" i="9"/>
  <c r="C5337" i="9"/>
  <c r="B5337" i="9"/>
  <c r="H5336" i="9"/>
  <c r="G5336" i="9"/>
  <c r="E5336" i="9"/>
  <c r="D5336" i="9"/>
  <c r="C5336" i="9"/>
  <c r="B5336" i="9"/>
  <c r="H5335" i="9"/>
  <c r="G5335" i="9"/>
  <c r="E5335" i="9"/>
  <c r="D5335" i="9"/>
  <c r="C5335" i="9"/>
  <c r="B5335" i="9"/>
  <c r="H5334" i="9"/>
  <c r="G5334" i="9"/>
  <c r="E5334" i="9"/>
  <c r="D5334" i="9"/>
  <c r="C5334" i="9"/>
  <c r="B5334" i="9"/>
  <c r="H5333" i="9"/>
  <c r="G5333" i="9"/>
  <c r="E5333" i="9"/>
  <c r="D5333" i="9"/>
  <c r="C5333" i="9"/>
  <c r="B5333" i="9"/>
  <c r="H5332" i="9"/>
  <c r="G5332" i="9"/>
  <c r="E5332" i="9"/>
  <c r="D5332" i="9"/>
  <c r="C5332" i="9"/>
  <c r="B5332" i="9"/>
  <c r="H5331" i="9"/>
  <c r="G5331" i="9"/>
  <c r="E5331" i="9"/>
  <c r="D5331" i="9"/>
  <c r="C5331" i="9"/>
  <c r="B5331" i="9"/>
  <c r="H5330" i="9"/>
  <c r="G5330" i="9"/>
  <c r="E5330" i="9"/>
  <c r="D5330" i="9"/>
  <c r="C5330" i="9"/>
  <c r="B5330" i="9"/>
  <c r="H5329" i="9"/>
  <c r="G5329" i="9"/>
  <c r="E5329" i="9"/>
  <c r="D5329" i="9"/>
  <c r="C5329" i="9"/>
  <c r="B5329" i="9"/>
  <c r="H5328" i="9"/>
  <c r="G5328" i="9"/>
  <c r="E5328" i="9"/>
  <c r="D5328" i="9"/>
  <c r="C5328" i="9"/>
  <c r="B5328" i="9"/>
  <c r="H5327" i="9"/>
  <c r="G5327" i="9"/>
  <c r="E5327" i="9"/>
  <c r="D5327" i="9"/>
  <c r="C5327" i="9"/>
  <c r="B5327" i="9"/>
  <c r="H5326" i="9"/>
  <c r="G5326" i="9"/>
  <c r="E5326" i="9"/>
  <c r="D5326" i="9"/>
  <c r="C5326" i="9"/>
  <c r="B5326" i="9"/>
  <c r="H5325" i="9"/>
  <c r="G5325" i="9"/>
  <c r="E5325" i="9"/>
  <c r="D5325" i="9"/>
  <c r="C5325" i="9"/>
  <c r="B5325" i="9"/>
  <c r="H5324" i="9"/>
  <c r="G5324" i="9"/>
  <c r="E5324" i="9"/>
  <c r="D5324" i="9"/>
  <c r="C5324" i="9"/>
  <c r="B5324" i="9"/>
  <c r="H5323" i="9"/>
  <c r="G5323" i="9"/>
  <c r="E5323" i="9"/>
  <c r="D5323" i="9"/>
  <c r="C5323" i="9"/>
  <c r="B5323" i="9"/>
  <c r="H5322" i="9"/>
  <c r="G5322" i="9"/>
  <c r="E5322" i="9"/>
  <c r="D5322" i="9"/>
  <c r="C5322" i="9"/>
  <c r="B5322" i="9"/>
  <c r="H5321" i="9"/>
  <c r="G5321" i="9"/>
  <c r="E5321" i="9"/>
  <c r="D5321" i="9"/>
  <c r="C5321" i="9"/>
  <c r="B5321" i="9"/>
  <c r="H5320" i="9"/>
  <c r="G5320" i="9"/>
  <c r="E5320" i="9"/>
  <c r="D5320" i="9"/>
  <c r="C5320" i="9"/>
  <c r="B5320" i="9"/>
  <c r="H5319" i="9"/>
  <c r="G5319" i="9"/>
  <c r="E5319" i="9"/>
  <c r="D5319" i="9"/>
  <c r="C5319" i="9"/>
  <c r="B5319" i="9"/>
  <c r="H5318" i="9"/>
  <c r="G5318" i="9"/>
  <c r="E5318" i="9"/>
  <c r="D5318" i="9"/>
  <c r="C5318" i="9"/>
  <c r="B5318" i="9"/>
  <c r="H5317" i="9"/>
  <c r="G5317" i="9"/>
  <c r="E5317" i="9"/>
  <c r="D5317" i="9"/>
  <c r="C5317" i="9"/>
  <c r="B5317" i="9"/>
  <c r="H5316" i="9"/>
  <c r="G5316" i="9"/>
  <c r="E5316" i="9"/>
  <c r="D5316" i="9"/>
  <c r="C5316" i="9"/>
  <c r="B5316" i="9"/>
  <c r="H5315" i="9"/>
  <c r="G5315" i="9"/>
  <c r="E5315" i="9"/>
  <c r="D5315" i="9"/>
  <c r="C5315" i="9"/>
  <c r="B5315" i="9"/>
  <c r="H5314" i="9"/>
  <c r="G5314" i="9"/>
  <c r="E5314" i="9"/>
  <c r="D5314" i="9"/>
  <c r="C5314" i="9"/>
  <c r="B5314" i="9"/>
  <c r="H5313" i="9"/>
  <c r="G5313" i="9"/>
  <c r="E5313" i="9"/>
  <c r="D5313" i="9"/>
  <c r="C5313" i="9"/>
  <c r="B5313" i="9"/>
  <c r="H5312" i="9"/>
  <c r="G5312" i="9"/>
  <c r="E5312" i="9"/>
  <c r="D5312" i="9"/>
  <c r="C5312" i="9"/>
  <c r="B5312" i="9"/>
  <c r="H5311" i="9"/>
  <c r="G5311" i="9"/>
  <c r="E5311" i="9"/>
  <c r="D5311" i="9"/>
  <c r="C5311" i="9"/>
  <c r="B5311" i="9"/>
  <c r="H5310" i="9"/>
  <c r="G5310" i="9"/>
  <c r="E5310" i="9"/>
  <c r="D5310" i="9"/>
  <c r="C5310" i="9"/>
  <c r="B5310" i="9"/>
  <c r="H5309" i="9"/>
  <c r="G5309" i="9"/>
  <c r="E5309" i="9"/>
  <c r="D5309" i="9"/>
  <c r="C5309" i="9"/>
  <c r="B5309" i="9"/>
  <c r="H5308" i="9"/>
  <c r="G5308" i="9"/>
  <c r="E5308" i="9"/>
  <c r="D5308" i="9"/>
  <c r="C5308" i="9"/>
  <c r="B5308" i="9"/>
  <c r="H5307" i="9"/>
  <c r="G5307" i="9"/>
  <c r="E5307" i="9"/>
  <c r="D5307" i="9"/>
  <c r="C5307" i="9"/>
  <c r="B5307" i="9"/>
  <c r="H5306" i="9"/>
  <c r="G5306" i="9"/>
  <c r="E5306" i="9"/>
  <c r="D5306" i="9"/>
  <c r="C5306" i="9"/>
  <c r="B5306" i="9"/>
  <c r="H5305" i="9"/>
  <c r="G5305" i="9"/>
  <c r="E5305" i="9"/>
  <c r="D5305" i="9"/>
  <c r="C5305" i="9"/>
  <c r="B5305" i="9"/>
  <c r="H5304" i="9"/>
  <c r="G5304" i="9"/>
  <c r="E5304" i="9"/>
  <c r="D5304" i="9"/>
  <c r="C5304" i="9"/>
  <c r="B5304" i="9"/>
  <c r="H5303" i="9"/>
  <c r="G5303" i="9"/>
  <c r="E5303" i="9"/>
  <c r="D5303" i="9"/>
  <c r="C5303" i="9"/>
  <c r="B5303" i="9"/>
  <c r="H5302" i="9"/>
  <c r="G5302" i="9"/>
  <c r="E5302" i="9"/>
  <c r="D5302" i="9"/>
  <c r="C5302" i="9"/>
  <c r="B5302" i="9"/>
  <c r="H5301" i="9"/>
  <c r="G5301" i="9"/>
  <c r="E5301" i="9"/>
  <c r="D5301" i="9"/>
  <c r="C5301" i="9"/>
  <c r="B5301" i="9"/>
  <c r="H5300" i="9"/>
  <c r="G5300" i="9"/>
  <c r="E5300" i="9"/>
  <c r="D5300" i="9"/>
  <c r="C5300" i="9"/>
  <c r="B5300" i="9"/>
  <c r="H5299" i="9"/>
  <c r="G5299" i="9"/>
  <c r="E5299" i="9"/>
  <c r="D5299" i="9"/>
  <c r="C5299" i="9"/>
  <c r="B5299" i="9"/>
  <c r="H5298" i="9"/>
  <c r="G5298" i="9"/>
  <c r="E5298" i="9"/>
  <c r="D5298" i="9"/>
  <c r="C5298" i="9"/>
  <c r="B5298" i="9"/>
  <c r="H5297" i="9"/>
  <c r="G5297" i="9"/>
  <c r="E5297" i="9"/>
  <c r="D5297" i="9"/>
  <c r="C5297" i="9"/>
  <c r="B5297" i="9"/>
  <c r="H5296" i="9"/>
  <c r="G5296" i="9"/>
  <c r="E5296" i="9"/>
  <c r="D5296" i="9"/>
  <c r="C5296" i="9"/>
  <c r="B5296" i="9"/>
  <c r="H5295" i="9"/>
  <c r="G5295" i="9"/>
  <c r="E5295" i="9"/>
  <c r="D5295" i="9"/>
  <c r="C5295" i="9"/>
  <c r="B5295" i="9"/>
  <c r="H5294" i="9"/>
  <c r="G5294" i="9"/>
  <c r="E5294" i="9"/>
  <c r="D5294" i="9"/>
  <c r="C5294" i="9"/>
  <c r="B5294" i="9"/>
  <c r="H5293" i="9"/>
  <c r="G5293" i="9"/>
  <c r="E5293" i="9"/>
  <c r="D5293" i="9"/>
  <c r="C5293" i="9"/>
  <c r="B5293" i="9"/>
  <c r="H5292" i="9"/>
  <c r="G5292" i="9"/>
  <c r="E5292" i="9"/>
  <c r="D5292" i="9"/>
  <c r="C5292" i="9"/>
  <c r="B5292" i="9"/>
  <c r="H5291" i="9"/>
  <c r="G5291" i="9"/>
  <c r="E5291" i="9"/>
  <c r="D5291" i="9"/>
  <c r="C5291" i="9"/>
  <c r="B5291" i="9"/>
  <c r="H5290" i="9"/>
  <c r="G5290" i="9"/>
  <c r="E5290" i="9"/>
  <c r="D5290" i="9"/>
  <c r="C5290" i="9"/>
  <c r="B5290" i="9"/>
  <c r="H5289" i="9"/>
  <c r="G5289" i="9"/>
  <c r="E5289" i="9"/>
  <c r="D5289" i="9"/>
  <c r="C5289" i="9"/>
  <c r="B5289" i="9"/>
  <c r="H5288" i="9"/>
  <c r="G5288" i="9"/>
  <c r="E5288" i="9"/>
  <c r="D5288" i="9"/>
  <c r="C5288" i="9"/>
  <c r="B5288" i="9"/>
  <c r="H5287" i="9"/>
  <c r="G5287" i="9"/>
  <c r="E5287" i="9"/>
  <c r="D5287" i="9"/>
  <c r="C5287" i="9"/>
  <c r="B5287" i="9"/>
  <c r="H5286" i="9"/>
  <c r="G5286" i="9"/>
  <c r="E5286" i="9"/>
  <c r="D5286" i="9"/>
  <c r="C5286" i="9"/>
  <c r="B5286" i="9"/>
  <c r="H5285" i="9"/>
  <c r="G5285" i="9"/>
  <c r="E5285" i="9"/>
  <c r="D5285" i="9"/>
  <c r="C5285" i="9"/>
  <c r="B5285" i="9"/>
  <c r="H5284" i="9"/>
  <c r="G5284" i="9"/>
  <c r="E5284" i="9"/>
  <c r="D5284" i="9"/>
  <c r="C5284" i="9"/>
  <c r="B5284" i="9"/>
  <c r="H5283" i="9"/>
  <c r="G5283" i="9"/>
  <c r="E5283" i="9"/>
  <c r="D5283" i="9"/>
  <c r="C5283" i="9"/>
  <c r="B5283" i="9"/>
  <c r="H5282" i="9"/>
  <c r="G5282" i="9"/>
  <c r="E5282" i="9"/>
  <c r="D5282" i="9"/>
  <c r="C5282" i="9"/>
  <c r="B5282" i="9"/>
  <c r="H5281" i="9"/>
  <c r="G5281" i="9"/>
  <c r="E5281" i="9"/>
  <c r="D5281" i="9"/>
  <c r="C5281" i="9"/>
  <c r="B5281" i="9"/>
  <c r="H5280" i="9"/>
  <c r="G5280" i="9"/>
  <c r="E5280" i="9"/>
  <c r="D5280" i="9"/>
  <c r="C5280" i="9"/>
  <c r="B5280" i="9"/>
  <c r="H5279" i="9"/>
  <c r="G5279" i="9"/>
  <c r="E5279" i="9"/>
  <c r="D5279" i="9"/>
  <c r="C5279" i="9"/>
  <c r="B5279" i="9"/>
  <c r="H5278" i="9"/>
  <c r="G5278" i="9"/>
  <c r="E5278" i="9"/>
  <c r="D5278" i="9"/>
  <c r="C5278" i="9"/>
  <c r="B5278" i="9"/>
  <c r="H5277" i="9"/>
  <c r="G5277" i="9"/>
  <c r="E5277" i="9"/>
  <c r="D5277" i="9"/>
  <c r="C5277" i="9"/>
  <c r="B5277" i="9"/>
  <c r="H5276" i="9"/>
  <c r="G5276" i="9"/>
  <c r="E5276" i="9"/>
  <c r="D5276" i="9"/>
  <c r="C5276" i="9"/>
  <c r="B5276" i="9"/>
  <c r="H5275" i="9"/>
  <c r="G5275" i="9"/>
  <c r="E5275" i="9"/>
  <c r="D5275" i="9"/>
  <c r="C5275" i="9"/>
  <c r="B5275" i="9"/>
  <c r="H5274" i="9"/>
  <c r="G5274" i="9"/>
  <c r="E5274" i="9"/>
  <c r="D5274" i="9"/>
  <c r="C5274" i="9"/>
  <c r="B5274" i="9"/>
  <c r="H5273" i="9"/>
  <c r="G5273" i="9"/>
  <c r="E5273" i="9"/>
  <c r="D5273" i="9"/>
  <c r="C5273" i="9"/>
  <c r="B5273" i="9"/>
  <c r="H5272" i="9"/>
  <c r="G5272" i="9"/>
  <c r="E5272" i="9"/>
  <c r="D5272" i="9"/>
  <c r="C5272" i="9"/>
  <c r="B5272" i="9"/>
  <c r="H5271" i="9"/>
  <c r="G5271" i="9"/>
  <c r="E5271" i="9"/>
  <c r="D5271" i="9"/>
  <c r="C5271" i="9"/>
  <c r="B5271" i="9"/>
  <c r="H5270" i="9"/>
  <c r="G5270" i="9"/>
  <c r="E5270" i="9"/>
  <c r="D5270" i="9"/>
  <c r="C5270" i="9"/>
  <c r="B5270" i="9"/>
  <c r="H5269" i="9"/>
  <c r="G5269" i="9"/>
  <c r="E5269" i="9"/>
  <c r="D5269" i="9"/>
  <c r="C5269" i="9"/>
  <c r="B5269" i="9"/>
  <c r="H5268" i="9"/>
  <c r="G5268" i="9"/>
  <c r="E5268" i="9"/>
  <c r="D5268" i="9"/>
  <c r="C5268" i="9"/>
  <c r="B5268" i="9"/>
  <c r="H5267" i="9"/>
  <c r="G5267" i="9"/>
  <c r="E5267" i="9"/>
  <c r="D5267" i="9"/>
  <c r="C5267" i="9"/>
  <c r="B5267" i="9"/>
  <c r="H5266" i="9"/>
  <c r="G5266" i="9"/>
  <c r="E5266" i="9"/>
  <c r="D5266" i="9"/>
  <c r="C5266" i="9"/>
  <c r="B5266" i="9"/>
  <c r="H5265" i="9"/>
  <c r="G5265" i="9"/>
  <c r="E5265" i="9"/>
  <c r="D5265" i="9"/>
  <c r="C5265" i="9"/>
  <c r="B5265" i="9"/>
  <c r="H5264" i="9"/>
  <c r="G5264" i="9"/>
  <c r="E5264" i="9"/>
  <c r="D5264" i="9"/>
  <c r="C5264" i="9"/>
  <c r="B5264" i="9"/>
  <c r="H5263" i="9"/>
  <c r="G5263" i="9"/>
  <c r="E5263" i="9"/>
  <c r="D5263" i="9"/>
  <c r="C5263" i="9"/>
  <c r="B5263" i="9"/>
  <c r="H5262" i="9"/>
  <c r="G5262" i="9"/>
  <c r="E5262" i="9"/>
  <c r="D5262" i="9"/>
  <c r="C5262" i="9"/>
  <c r="B5262" i="9"/>
  <c r="H5261" i="9"/>
  <c r="G5261" i="9"/>
  <c r="E5261" i="9"/>
  <c r="D5261" i="9"/>
  <c r="C5261" i="9"/>
  <c r="B5261" i="9"/>
  <c r="H5260" i="9"/>
  <c r="G5260" i="9"/>
  <c r="E5260" i="9"/>
  <c r="D5260" i="9"/>
  <c r="C5260" i="9"/>
  <c r="B5260" i="9"/>
  <c r="H5259" i="9"/>
  <c r="G5259" i="9"/>
  <c r="E5259" i="9"/>
  <c r="D5259" i="9"/>
  <c r="C5259" i="9"/>
  <c r="B5259" i="9"/>
  <c r="H5258" i="9"/>
  <c r="G5258" i="9"/>
  <c r="E5258" i="9"/>
  <c r="D5258" i="9"/>
  <c r="C5258" i="9"/>
  <c r="B5258" i="9"/>
  <c r="H5257" i="9"/>
  <c r="G5257" i="9"/>
  <c r="E5257" i="9"/>
  <c r="D5257" i="9"/>
  <c r="C5257" i="9"/>
  <c r="B5257" i="9"/>
  <c r="H5256" i="9"/>
  <c r="G5256" i="9"/>
  <c r="E5256" i="9"/>
  <c r="D5256" i="9"/>
  <c r="C5256" i="9"/>
  <c r="B5256" i="9"/>
  <c r="H5255" i="9"/>
  <c r="G5255" i="9"/>
  <c r="E5255" i="9"/>
  <c r="D5255" i="9"/>
  <c r="C5255" i="9"/>
  <c r="B5255" i="9"/>
  <c r="H5254" i="9"/>
  <c r="G5254" i="9"/>
  <c r="E5254" i="9"/>
  <c r="D5254" i="9"/>
  <c r="C5254" i="9"/>
  <c r="B5254" i="9"/>
  <c r="H5253" i="9"/>
  <c r="G5253" i="9"/>
  <c r="E5253" i="9"/>
  <c r="D5253" i="9"/>
  <c r="C5253" i="9"/>
  <c r="B5253" i="9"/>
  <c r="H5252" i="9"/>
  <c r="G5252" i="9"/>
  <c r="E5252" i="9"/>
  <c r="D5252" i="9"/>
  <c r="C5252" i="9"/>
  <c r="B5252" i="9"/>
  <c r="H5251" i="9"/>
  <c r="G5251" i="9"/>
  <c r="E5251" i="9"/>
  <c r="D5251" i="9"/>
  <c r="C5251" i="9"/>
  <c r="B5251" i="9"/>
  <c r="H5250" i="9"/>
  <c r="G5250" i="9"/>
  <c r="E5250" i="9"/>
  <c r="D5250" i="9"/>
  <c r="C5250" i="9"/>
  <c r="B5250" i="9"/>
  <c r="H5249" i="9"/>
  <c r="G5249" i="9"/>
  <c r="E5249" i="9"/>
  <c r="D5249" i="9"/>
  <c r="C5249" i="9"/>
  <c r="B5249" i="9"/>
  <c r="H5248" i="9"/>
  <c r="G5248" i="9"/>
  <c r="E5248" i="9"/>
  <c r="D5248" i="9"/>
  <c r="C5248" i="9"/>
  <c r="B5248" i="9"/>
  <c r="H5247" i="9"/>
  <c r="G5247" i="9"/>
  <c r="E5247" i="9"/>
  <c r="D5247" i="9"/>
  <c r="C5247" i="9"/>
  <c r="B5247" i="9"/>
  <c r="H5246" i="9"/>
  <c r="G5246" i="9"/>
  <c r="E5246" i="9"/>
  <c r="D5246" i="9"/>
  <c r="C5246" i="9"/>
  <c r="B5246" i="9"/>
  <c r="H5245" i="9"/>
  <c r="G5245" i="9"/>
  <c r="E5245" i="9"/>
  <c r="D5245" i="9"/>
  <c r="C5245" i="9"/>
  <c r="B5245" i="9"/>
  <c r="H5244" i="9"/>
  <c r="G5244" i="9"/>
  <c r="E5244" i="9"/>
  <c r="D5244" i="9"/>
  <c r="C5244" i="9"/>
  <c r="B5244" i="9"/>
  <c r="H5243" i="9"/>
  <c r="G5243" i="9"/>
  <c r="E5243" i="9"/>
  <c r="D5243" i="9"/>
  <c r="C5243" i="9"/>
  <c r="B5243" i="9"/>
  <c r="H5242" i="9"/>
  <c r="G5242" i="9"/>
  <c r="E5242" i="9"/>
  <c r="D5242" i="9"/>
  <c r="C5242" i="9"/>
  <c r="B5242" i="9"/>
  <c r="H5241" i="9"/>
  <c r="G5241" i="9"/>
  <c r="E5241" i="9"/>
  <c r="D5241" i="9"/>
  <c r="C5241" i="9"/>
  <c r="B5241" i="9"/>
  <c r="H5240" i="9"/>
  <c r="G5240" i="9"/>
  <c r="E5240" i="9"/>
  <c r="D5240" i="9"/>
  <c r="C5240" i="9"/>
  <c r="B5240" i="9"/>
  <c r="H5239" i="9"/>
  <c r="G5239" i="9"/>
  <c r="E5239" i="9"/>
  <c r="D5239" i="9"/>
  <c r="C5239" i="9"/>
  <c r="B5239" i="9"/>
  <c r="H5238" i="9"/>
  <c r="G5238" i="9"/>
  <c r="E5238" i="9"/>
  <c r="D5238" i="9"/>
  <c r="C5238" i="9"/>
  <c r="B5238" i="9"/>
  <c r="H5237" i="9"/>
  <c r="G5237" i="9"/>
  <c r="E5237" i="9"/>
  <c r="D5237" i="9"/>
  <c r="C5237" i="9"/>
  <c r="B5237" i="9"/>
  <c r="H5236" i="9"/>
  <c r="G5236" i="9"/>
  <c r="E5236" i="9"/>
  <c r="D5236" i="9"/>
  <c r="C5236" i="9"/>
  <c r="B5236" i="9"/>
  <c r="H5235" i="9"/>
  <c r="G5235" i="9"/>
  <c r="E5235" i="9"/>
  <c r="D5235" i="9"/>
  <c r="C5235" i="9"/>
  <c r="B5235" i="9"/>
  <c r="H5234" i="9"/>
  <c r="G5234" i="9"/>
  <c r="E5234" i="9"/>
  <c r="D5234" i="9"/>
  <c r="C5234" i="9"/>
  <c r="B5234" i="9"/>
  <c r="H5233" i="9"/>
  <c r="G5233" i="9"/>
  <c r="E5233" i="9"/>
  <c r="D5233" i="9"/>
  <c r="C5233" i="9"/>
  <c r="B5233" i="9"/>
  <c r="H5232" i="9"/>
  <c r="G5232" i="9"/>
  <c r="E5232" i="9"/>
  <c r="D5232" i="9"/>
  <c r="C5232" i="9"/>
  <c r="B5232" i="9"/>
  <c r="H5231" i="9"/>
  <c r="G5231" i="9"/>
  <c r="E5231" i="9"/>
  <c r="D5231" i="9"/>
  <c r="C5231" i="9"/>
  <c r="B5231" i="9"/>
  <c r="H5230" i="9"/>
  <c r="G5230" i="9"/>
  <c r="E5230" i="9"/>
  <c r="D5230" i="9"/>
  <c r="C5230" i="9"/>
  <c r="B5230" i="9"/>
  <c r="H5229" i="9"/>
  <c r="G5229" i="9"/>
  <c r="E5229" i="9"/>
  <c r="D5229" i="9"/>
  <c r="C5229" i="9"/>
  <c r="B5229" i="9"/>
  <c r="H5228" i="9"/>
  <c r="G5228" i="9"/>
  <c r="E5228" i="9"/>
  <c r="D5228" i="9"/>
  <c r="C5228" i="9"/>
  <c r="B5228" i="9"/>
  <c r="H5227" i="9"/>
  <c r="G5227" i="9"/>
  <c r="E5227" i="9"/>
  <c r="D5227" i="9"/>
  <c r="C5227" i="9"/>
  <c r="B5227" i="9"/>
  <c r="H5226" i="9"/>
  <c r="G5226" i="9"/>
  <c r="E5226" i="9"/>
  <c r="D5226" i="9"/>
  <c r="C5226" i="9"/>
  <c r="B5226" i="9"/>
  <c r="H5225" i="9"/>
  <c r="G5225" i="9"/>
  <c r="E5225" i="9"/>
  <c r="D5225" i="9"/>
  <c r="C5225" i="9"/>
  <c r="B5225" i="9"/>
  <c r="H5224" i="9"/>
  <c r="G5224" i="9"/>
  <c r="E5224" i="9"/>
  <c r="D5224" i="9"/>
  <c r="C5224" i="9"/>
  <c r="B5224" i="9"/>
  <c r="H5223" i="9"/>
  <c r="G5223" i="9"/>
  <c r="E5223" i="9"/>
  <c r="D5223" i="9"/>
  <c r="C5223" i="9"/>
  <c r="B5223" i="9"/>
  <c r="H5222" i="9"/>
  <c r="G5222" i="9"/>
  <c r="E5222" i="9"/>
  <c r="D5222" i="9"/>
  <c r="C5222" i="9"/>
  <c r="B5222" i="9"/>
  <c r="H5221" i="9"/>
  <c r="G5221" i="9"/>
  <c r="E5221" i="9"/>
  <c r="D5221" i="9"/>
  <c r="C5221" i="9"/>
  <c r="B5221" i="9"/>
  <c r="H5220" i="9"/>
  <c r="G5220" i="9"/>
  <c r="E5220" i="9"/>
  <c r="D5220" i="9"/>
  <c r="C5220" i="9"/>
  <c r="B5220" i="9"/>
  <c r="H5219" i="9"/>
  <c r="G5219" i="9"/>
  <c r="E5219" i="9"/>
  <c r="D5219" i="9"/>
  <c r="C5219" i="9"/>
  <c r="B5219" i="9"/>
  <c r="H5218" i="9"/>
  <c r="G5218" i="9"/>
  <c r="E5218" i="9"/>
  <c r="D5218" i="9"/>
  <c r="C5218" i="9"/>
  <c r="B5218" i="9"/>
  <c r="H5217" i="9"/>
  <c r="G5217" i="9"/>
  <c r="E5217" i="9"/>
  <c r="D5217" i="9"/>
  <c r="C5217" i="9"/>
  <c r="B5217" i="9"/>
  <c r="H5216" i="9"/>
  <c r="G5216" i="9"/>
  <c r="E5216" i="9"/>
  <c r="D5216" i="9"/>
  <c r="C5216" i="9"/>
  <c r="B5216" i="9"/>
  <c r="H5215" i="9"/>
  <c r="G5215" i="9"/>
  <c r="E5215" i="9"/>
  <c r="D5215" i="9"/>
  <c r="C5215" i="9"/>
  <c r="B5215" i="9"/>
  <c r="H5214" i="9"/>
  <c r="G5214" i="9"/>
  <c r="E5214" i="9"/>
  <c r="D5214" i="9"/>
  <c r="C5214" i="9"/>
  <c r="B5214" i="9"/>
  <c r="H5213" i="9"/>
  <c r="G5213" i="9"/>
  <c r="E5213" i="9"/>
  <c r="D5213" i="9"/>
  <c r="C5213" i="9"/>
  <c r="B5213" i="9"/>
  <c r="H5212" i="9"/>
  <c r="G5212" i="9"/>
  <c r="E5212" i="9"/>
  <c r="D5212" i="9"/>
  <c r="C5212" i="9"/>
  <c r="B5212" i="9"/>
  <c r="H5211" i="9"/>
  <c r="G5211" i="9"/>
  <c r="E5211" i="9"/>
  <c r="D5211" i="9"/>
  <c r="C5211" i="9"/>
  <c r="B5211" i="9"/>
  <c r="H5210" i="9"/>
  <c r="G5210" i="9"/>
  <c r="E5210" i="9"/>
  <c r="D5210" i="9"/>
  <c r="C5210" i="9"/>
  <c r="B5210" i="9"/>
  <c r="H5209" i="9"/>
  <c r="G5209" i="9"/>
  <c r="E5209" i="9"/>
  <c r="D5209" i="9"/>
  <c r="C5209" i="9"/>
  <c r="B5209" i="9"/>
  <c r="H5208" i="9"/>
  <c r="G5208" i="9"/>
  <c r="E5208" i="9"/>
  <c r="D5208" i="9"/>
  <c r="C5208" i="9"/>
  <c r="B5208" i="9"/>
  <c r="H5207" i="9"/>
  <c r="G5207" i="9"/>
  <c r="E5207" i="9"/>
  <c r="D5207" i="9"/>
  <c r="C5207" i="9"/>
  <c r="B5207" i="9"/>
  <c r="H5206" i="9"/>
  <c r="G5206" i="9"/>
  <c r="E5206" i="9"/>
  <c r="D5206" i="9"/>
  <c r="C5206" i="9"/>
  <c r="B5206" i="9"/>
  <c r="H5205" i="9"/>
  <c r="G5205" i="9"/>
  <c r="E5205" i="9"/>
  <c r="D5205" i="9"/>
  <c r="C5205" i="9"/>
  <c r="B5205" i="9"/>
  <c r="H5204" i="9"/>
  <c r="G5204" i="9"/>
  <c r="E5204" i="9"/>
  <c r="D5204" i="9"/>
  <c r="C5204" i="9"/>
  <c r="B5204" i="9"/>
  <c r="H5203" i="9"/>
  <c r="G5203" i="9"/>
  <c r="E5203" i="9"/>
  <c r="D5203" i="9"/>
  <c r="C5203" i="9"/>
  <c r="B5203" i="9"/>
  <c r="H5202" i="9"/>
  <c r="G5202" i="9"/>
  <c r="E5202" i="9"/>
  <c r="D5202" i="9"/>
  <c r="C5202" i="9"/>
  <c r="B5202" i="9"/>
  <c r="H5201" i="9"/>
  <c r="G5201" i="9"/>
  <c r="E5201" i="9"/>
  <c r="D5201" i="9"/>
  <c r="C5201" i="9"/>
  <c r="B5201" i="9"/>
  <c r="H5200" i="9"/>
  <c r="G5200" i="9"/>
  <c r="E5200" i="9"/>
  <c r="D5200" i="9"/>
  <c r="C5200" i="9"/>
  <c r="B5200" i="9"/>
  <c r="H5199" i="9"/>
  <c r="G5199" i="9"/>
  <c r="E5199" i="9"/>
  <c r="D5199" i="9"/>
  <c r="C5199" i="9"/>
  <c r="B5199" i="9"/>
  <c r="H5198" i="9"/>
  <c r="G5198" i="9"/>
  <c r="E5198" i="9"/>
  <c r="D5198" i="9"/>
  <c r="C5198" i="9"/>
  <c r="B5198" i="9"/>
  <c r="H5197" i="9"/>
  <c r="G5197" i="9"/>
  <c r="E5197" i="9"/>
  <c r="D5197" i="9"/>
  <c r="C5197" i="9"/>
  <c r="B5197" i="9"/>
  <c r="H5196" i="9"/>
  <c r="G5196" i="9"/>
  <c r="E5196" i="9"/>
  <c r="D5196" i="9"/>
  <c r="C5196" i="9"/>
  <c r="B5196" i="9"/>
  <c r="H5195" i="9"/>
  <c r="G5195" i="9"/>
  <c r="E5195" i="9"/>
  <c r="D5195" i="9"/>
  <c r="C5195" i="9"/>
  <c r="B5195" i="9"/>
  <c r="H5194" i="9"/>
  <c r="G5194" i="9"/>
  <c r="E5194" i="9"/>
  <c r="D5194" i="9"/>
  <c r="C5194" i="9"/>
  <c r="B5194" i="9"/>
  <c r="H5193" i="9"/>
  <c r="G5193" i="9"/>
  <c r="E5193" i="9"/>
  <c r="D5193" i="9"/>
  <c r="C5193" i="9"/>
  <c r="B5193" i="9"/>
  <c r="H5192" i="9"/>
  <c r="G5192" i="9"/>
  <c r="E5192" i="9"/>
  <c r="D5192" i="9"/>
  <c r="C5192" i="9"/>
  <c r="B5192" i="9"/>
  <c r="H5191" i="9"/>
  <c r="G5191" i="9"/>
  <c r="E5191" i="9"/>
  <c r="D5191" i="9"/>
  <c r="C5191" i="9"/>
  <c r="B5191" i="9"/>
  <c r="H5190" i="9"/>
  <c r="G5190" i="9"/>
  <c r="E5190" i="9"/>
  <c r="D5190" i="9"/>
  <c r="C5190" i="9"/>
  <c r="B5190" i="9"/>
  <c r="H5189" i="9"/>
  <c r="G5189" i="9"/>
  <c r="E5189" i="9"/>
  <c r="D5189" i="9"/>
  <c r="C5189" i="9"/>
  <c r="B5189" i="9"/>
  <c r="H5188" i="9"/>
  <c r="G5188" i="9"/>
  <c r="E5188" i="9"/>
  <c r="D5188" i="9"/>
  <c r="C5188" i="9"/>
  <c r="B5188" i="9"/>
  <c r="H5187" i="9"/>
  <c r="G5187" i="9"/>
  <c r="E5187" i="9"/>
  <c r="D5187" i="9"/>
  <c r="C5187" i="9"/>
  <c r="B5187" i="9"/>
  <c r="H5186" i="9"/>
  <c r="G5186" i="9"/>
  <c r="E5186" i="9"/>
  <c r="D5186" i="9"/>
  <c r="C5186" i="9"/>
  <c r="B5186" i="9"/>
  <c r="H5185" i="9"/>
  <c r="G5185" i="9"/>
  <c r="E5185" i="9"/>
  <c r="D5185" i="9"/>
  <c r="C5185" i="9"/>
  <c r="B5185" i="9"/>
  <c r="H5184" i="9"/>
  <c r="G5184" i="9"/>
  <c r="E5184" i="9"/>
  <c r="D5184" i="9"/>
  <c r="C5184" i="9"/>
  <c r="B5184" i="9"/>
  <c r="H5183" i="9"/>
  <c r="G5183" i="9"/>
  <c r="E5183" i="9"/>
  <c r="D5183" i="9"/>
  <c r="C5183" i="9"/>
  <c r="B5183" i="9"/>
  <c r="H5182" i="9"/>
  <c r="G5182" i="9"/>
  <c r="E5182" i="9"/>
  <c r="D5182" i="9"/>
  <c r="C5182" i="9"/>
  <c r="B5182" i="9"/>
  <c r="H5181" i="9"/>
  <c r="G5181" i="9"/>
  <c r="E5181" i="9"/>
  <c r="D5181" i="9"/>
  <c r="C5181" i="9"/>
  <c r="B5181" i="9"/>
  <c r="H5180" i="9"/>
  <c r="G5180" i="9"/>
  <c r="E5180" i="9"/>
  <c r="D5180" i="9"/>
  <c r="C5180" i="9"/>
  <c r="B5180" i="9"/>
  <c r="H5179" i="9"/>
  <c r="G5179" i="9"/>
  <c r="E5179" i="9"/>
  <c r="D5179" i="9"/>
  <c r="C5179" i="9"/>
  <c r="B5179" i="9"/>
  <c r="H5178" i="9"/>
  <c r="G5178" i="9"/>
  <c r="E5178" i="9"/>
  <c r="D5178" i="9"/>
  <c r="C5178" i="9"/>
  <c r="B5178" i="9"/>
  <c r="H5177" i="9"/>
  <c r="G5177" i="9"/>
  <c r="E5177" i="9"/>
  <c r="D5177" i="9"/>
  <c r="C5177" i="9"/>
  <c r="B5177" i="9"/>
  <c r="H5176" i="9"/>
  <c r="G5176" i="9"/>
  <c r="E5176" i="9"/>
  <c r="D5176" i="9"/>
  <c r="C5176" i="9"/>
  <c r="B5176" i="9"/>
  <c r="H5175" i="9"/>
  <c r="G5175" i="9"/>
  <c r="E5175" i="9"/>
  <c r="D5175" i="9"/>
  <c r="C5175" i="9"/>
  <c r="B5175" i="9"/>
  <c r="H5174" i="9"/>
  <c r="G5174" i="9"/>
  <c r="E5174" i="9"/>
  <c r="D5174" i="9"/>
  <c r="C5174" i="9"/>
  <c r="B5174" i="9"/>
  <c r="H5173" i="9"/>
  <c r="G5173" i="9"/>
  <c r="E5173" i="9"/>
  <c r="D5173" i="9"/>
  <c r="C5173" i="9"/>
  <c r="B5173" i="9"/>
  <c r="H5172" i="9"/>
  <c r="G5172" i="9"/>
  <c r="E5172" i="9"/>
  <c r="D5172" i="9"/>
  <c r="C5172" i="9"/>
  <c r="B5172" i="9"/>
  <c r="H5171" i="9"/>
  <c r="G5171" i="9"/>
  <c r="E5171" i="9"/>
  <c r="D5171" i="9"/>
  <c r="C5171" i="9"/>
  <c r="B5171" i="9"/>
  <c r="H5170" i="9"/>
  <c r="G5170" i="9"/>
  <c r="E5170" i="9"/>
  <c r="D5170" i="9"/>
  <c r="C5170" i="9"/>
  <c r="B5170" i="9"/>
  <c r="H5169" i="9"/>
  <c r="G5169" i="9"/>
  <c r="E5169" i="9"/>
  <c r="D5169" i="9"/>
  <c r="C5169" i="9"/>
  <c r="B5169" i="9"/>
  <c r="H5168" i="9"/>
  <c r="G5168" i="9"/>
  <c r="E5168" i="9"/>
  <c r="D5168" i="9"/>
  <c r="C5168" i="9"/>
  <c r="B5168" i="9"/>
  <c r="H5167" i="9"/>
  <c r="G5167" i="9"/>
  <c r="E5167" i="9"/>
  <c r="D5167" i="9"/>
  <c r="C5167" i="9"/>
  <c r="B5167" i="9"/>
  <c r="H5166" i="9"/>
  <c r="G5166" i="9"/>
  <c r="E5166" i="9"/>
  <c r="D5166" i="9"/>
  <c r="C5166" i="9"/>
  <c r="B5166" i="9"/>
  <c r="H5165" i="9"/>
  <c r="G5165" i="9"/>
  <c r="E5165" i="9"/>
  <c r="D5165" i="9"/>
  <c r="C5165" i="9"/>
  <c r="B5165" i="9"/>
  <c r="H5164" i="9"/>
  <c r="G5164" i="9"/>
  <c r="E5164" i="9"/>
  <c r="D5164" i="9"/>
  <c r="C5164" i="9"/>
  <c r="B5164" i="9"/>
  <c r="H5163" i="9"/>
  <c r="G5163" i="9"/>
  <c r="E5163" i="9"/>
  <c r="D5163" i="9"/>
  <c r="C5163" i="9"/>
  <c r="B5163" i="9"/>
  <c r="H5162" i="9"/>
  <c r="G5162" i="9"/>
  <c r="E5162" i="9"/>
  <c r="D5162" i="9"/>
  <c r="C5162" i="9"/>
  <c r="B5162" i="9"/>
  <c r="H5161" i="9"/>
  <c r="G5161" i="9"/>
  <c r="E5161" i="9"/>
  <c r="D5161" i="9"/>
  <c r="C5161" i="9"/>
  <c r="B5161" i="9"/>
  <c r="H5160" i="9"/>
  <c r="G5160" i="9"/>
  <c r="E5160" i="9"/>
  <c r="D5160" i="9"/>
  <c r="C5160" i="9"/>
  <c r="B5160" i="9"/>
  <c r="H5159" i="9"/>
  <c r="G5159" i="9"/>
  <c r="E5159" i="9"/>
  <c r="D5159" i="9"/>
  <c r="C5159" i="9"/>
  <c r="B5159" i="9"/>
  <c r="H5158" i="9"/>
  <c r="G5158" i="9"/>
  <c r="E5158" i="9"/>
  <c r="D5158" i="9"/>
  <c r="C5158" i="9"/>
  <c r="B5158" i="9"/>
  <c r="H5157" i="9"/>
  <c r="G5157" i="9"/>
  <c r="E5157" i="9"/>
  <c r="D5157" i="9"/>
  <c r="C5157" i="9"/>
  <c r="B5157" i="9"/>
  <c r="H5156" i="9"/>
  <c r="G5156" i="9"/>
  <c r="E5156" i="9"/>
  <c r="D5156" i="9"/>
  <c r="C5156" i="9"/>
  <c r="B5156" i="9"/>
  <c r="H5155" i="9"/>
  <c r="G5155" i="9"/>
  <c r="E5155" i="9"/>
  <c r="D5155" i="9"/>
  <c r="C5155" i="9"/>
  <c r="B5155" i="9"/>
  <c r="H5154" i="9"/>
  <c r="G5154" i="9"/>
  <c r="E5154" i="9"/>
  <c r="D5154" i="9"/>
  <c r="C5154" i="9"/>
  <c r="B5154" i="9"/>
  <c r="H5153" i="9"/>
  <c r="G5153" i="9"/>
  <c r="E5153" i="9"/>
  <c r="D5153" i="9"/>
  <c r="C5153" i="9"/>
  <c r="B5153" i="9"/>
  <c r="H5152" i="9"/>
  <c r="G5152" i="9"/>
  <c r="E5152" i="9"/>
  <c r="D5152" i="9"/>
  <c r="C5152" i="9"/>
  <c r="B5152" i="9"/>
  <c r="H5151" i="9"/>
  <c r="G5151" i="9"/>
  <c r="E5151" i="9"/>
  <c r="D5151" i="9"/>
  <c r="C5151" i="9"/>
  <c r="B5151" i="9"/>
  <c r="H5150" i="9"/>
  <c r="G5150" i="9"/>
  <c r="E5150" i="9"/>
  <c r="D5150" i="9"/>
  <c r="C5150" i="9"/>
  <c r="B5150" i="9"/>
  <c r="H5149" i="9"/>
  <c r="G5149" i="9"/>
  <c r="E5149" i="9"/>
  <c r="D5149" i="9"/>
  <c r="C5149" i="9"/>
  <c r="B5149" i="9"/>
  <c r="H5148" i="9"/>
  <c r="G5148" i="9"/>
  <c r="E5148" i="9"/>
  <c r="D5148" i="9"/>
  <c r="C5148" i="9"/>
  <c r="B5148" i="9"/>
  <c r="H5147" i="9"/>
  <c r="G5147" i="9"/>
  <c r="E5147" i="9"/>
  <c r="D5147" i="9"/>
  <c r="C5147" i="9"/>
  <c r="B5147" i="9"/>
  <c r="H5146" i="9"/>
  <c r="G5146" i="9"/>
  <c r="E5146" i="9"/>
  <c r="D5146" i="9"/>
  <c r="C5146" i="9"/>
  <c r="B5146" i="9"/>
  <c r="H5145" i="9"/>
  <c r="G5145" i="9"/>
  <c r="E5145" i="9"/>
  <c r="D5145" i="9"/>
  <c r="C5145" i="9"/>
  <c r="B5145" i="9"/>
  <c r="H5144" i="9"/>
  <c r="G5144" i="9"/>
  <c r="E5144" i="9"/>
  <c r="D5144" i="9"/>
  <c r="C5144" i="9"/>
  <c r="B5144" i="9"/>
  <c r="H5143" i="9"/>
  <c r="G5143" i="9"/>
  <c r="E5143" i="9"/>
  <c r="D5143" i="9"/>
  <c r="C5143" i="9"/>
  <c r="B5143" i="9"/>
  <c r="H5142" i="9"/>
  <c r="G5142" i="9"/>
  <c r="E5142" i="9"/>
  <c r="D5142" i="9"/>
  <c r="C5142" i="9"/>
  <c r="B5142" i="9"/>
  <c r="H5141" i="9"/>
  <c r="G5141" i="9"/>
  <c r="E5141" i="9"/>
  <c r="D5141" i="9"/>
  <c r="C5141" i="9"/>
  <c r="B5141" i="9"/>
  <c r="H5140" i="9"/>
  <c r="G5140" i="9"/>
  <c r="E5140" i="9"/>
  <c r="D5140" i="9"/>
  <c r="C5140" i="9"/>
  <c r="B5140" i="9"/>
  <c r="H5139" i="9"/>
  <c r="G5139" i="9"/>
  <c r="E5139" i="9"/>
  <c r="D5139" i="9"/>
  <c r="C5139" i="9"/>
  <c r="B5139" i="9"/>
  <c r="H5138" i="9"/>
  <c r="G5138" i="9"/>
  <c r="E5138" i="9"/>
  <c r="D5138" i="9"/>
  <c r="C5138" i="9"/>
  <c r="B5138" i="9"/>
  <c r="H5137" i="9"/>
  <c r="G5137" i="9"/>
  <c r="E5137" i="9"/>
  <c r="D5137" i="9"/>
  <c r="C5137" i="9"/>
  <c r="B5137" i="9"/>
  <c r="H5136" i="9"/>
  <c r="G5136" i="9"/>
  <c r="E5136" i="9"/>
  <c r="D5136" i="9"/>
  <c r="C5136" i="9"/>
  <c r="B5136" i="9"/>
  <c r="H5135" i="9"/>
  <c r="G5135" i="9"/>
  <c r="E5135" i="9"/>
  <c r="D5135" i="9"/>
  <c r="C5135" i="9"/>
  <c r="B5135" i="9"/>
  <c r="H5134" i="9"/>
  <c r="G5134" i="9"/>
  <c r="E5134" i="9"/>
  <c r="D5134" i="9"/>
  <c r="C5134" i="9"/>
  <c r="B5134" i="9"/>
  <c r="H5133" i="9"/>
  <c r="G5133" i="9"/>
  <c r="E5133" i="9"/>
  <c r="D5133" i="9"/>
  <c r="C5133" i="9"/>
  <c r="B5133" i="9"/>
  <c r="H5132" i="9"/>
  <c r="G5132" i="9"/>
  <c r="E5132" i="9"/>
  <c r="D5132" i="9"/>
  <c r="C5132" i="9"/>
  <c r="B5132" i="9"/>
  <c r="H5131" i="9"/>
  <c r="G5131" i="9"/>
  <c r="E5131" i="9"/>
  <c r="D5131" i="9"/>
  <c r="C5131" i="9"/>
  <c r="B5131" i="9"/>
  <c r="H5130" i="9"/>
  <c r="G5130" i="9"/>
  <c r="E5130" i="9"/>
  <c r="D5130" i="9"/>
  <c r="C5130" i="9"/>
  <c r="B5130" i="9"/>
  <c r="H5129" i="9"/>
  <c r="G5129" i="9"/>
  <c r="E5129" i="9"/>
  <c r="D5129" i="9"/>
  <c r="C5129" i="9"/>
  <c r="B5129" i="9"/>
  <c r="H5128" i="9"/>
  <c r="G5128" i="9"/>
  <c r="E5128" i="9"/>
  <c r="D5128" i="9"/>
  <c r="C5128" i="9"/>
  <c r="B5128" i="9"/>
  <c r="H5127" i="9"/>
  <c r="G5127" i="9"/>
  <c r="E5127" i="9"/>
  <c r="D5127" i="9"/>
  <c r="C5127" i="9"/>
  <c r="B5127" i="9"/>
  <c r="H5126" i="9"/>
  <c r="G5126" i="9"/>
  <c r="E5126" i="9"/>
  <c r="D5126" i="9"/>
  <c r="C5126" i="9"/>
  <c r="B5126" i="9"/>
  <c r="H5125" i="9"/>
  <c r="G5125" i="9"/>
  <c r="E5125" i="9"/>
  <c r="D5125" i="9"/>
  <c r="C5125" i="9"/>
  <c r="B5125" i="9"/>
  <c r="H5124" i="9"/>
  <c r="G5124" i="9"/>
  <c r="E5124" i="9"/>
  <c r="D5124" i="9"/>
  <c r="C5124" i="9"/>
  <c r="B5124" i="9"/>
  <c r="H5123" i="9"/>
  <c r="G5123" i="9"/>
  <c r="E5123" i="9"/>
  <c r="D5123" i="9"/>
  <c r="C5123" i="9"/>
  <c r="B5123" i="9"/>
  <c r="H5122" i="9"/>
  <c r="G5122" i="9"/>
  <c r="E5122" i="9"/>
  <c r="D5122" i="9"/>
  <c r="C5122" i="9"/>
  <c r="B5122" i="9"/>
  <c r="H5121" i="9"/>
  <c r="G5121" i="9"/>
  <c r="E5121" i="9"/>
  <c r="D5121" i="9"/>
  <c r="C5121" i="9"/>
  <c r="B5121" i="9"/>
  <c r="H5120" i="9"/>
  <c r="G5120" i="9"/>
  <c r="E5120" i="9"/>
  <c r="D5120" i="9"/>
  <c r="C5120" i="9"/>
  <c r="B5120" i="9"/>
  <c r="H5119" i="9"/>
  <c r="G5119" i="9"/>
  <c r="E5119" i="9"/>
  <c r="D5119" i="9"/>
  <c r="C5119" i="9"/>
  <c r="B5119" i="9"/>
  <c r="H5118" i="9"/>
  <c r="G5118" i="9"/>
  <c r="E5118" i="9"/>
  <c r="D5118" i="9"/>
  <c r="C5118" i="9"/>
  <c r="B5118" i="9"/>
  <c r="H5117" i="9"/>
  <c r="G5117" i="9"/>
  <c r="E5117" i="9"/>
  <c r="D5117" i="9"/>
  <c r="C5117" i="9"/>
  <c r="B5117" i="9"/>
  <c r="H5116" i="9"/>
  <c r="G5116" i="9"/>
  <c r="E5116" i="9"/>
  <c r="D5116" i="9"/>
  <c r="C5116" i="9"/>
  <c r="B5116" i="9"/>
  <c r="H5115" i="9"/>
  <c r="G5115" i="9"/>
  <c r="E5115" i="9"/>
  <c r="D5115" i="9"/>
  <c r="C5115" i="9"/>
  <c r="B5115" i="9"/>
  <c r="H5114" i="9"/>
  <c r="G5114" i="9"/>
  <c r="E5114" i="9"/>
  <c r="D5114" i="9"/>
  <c r="C5114" i="9"/>
  <c r="B5114" i="9"/>
  <c r="H5113" i="9"/>
  <c r="G5113" i="9"/>
  <c r="E5113" i="9"/>
  <c r="D5113" i="9"/>
  <c r="C5113" i="9"/>
  <c r="B5113" i="9"/>
  <c r="H5112" i="9"/>
  <c r="G5112" i="9"/>
  <c r="E5112" i="9"/>
  <c r="D5112" i="9"/>
  <c r="C5112" i="9"/>
  <c r="B5112" i="9"/>
  <c r="H5111" i="9"/>
  <c r="G5111" i="9"/>
  <c r="E5111" i="9"/>
  <c r="D5111" i="9"/>
  <c r="C5111" i="9"/>
  <c r="B5111" i="9"/>
  <c r="H5110" i="9"/>
  <c r="G5110" i="9"/>
  <c r="E5110" i="9"/>
  <c r="D5110" i="9"/>
  <c r="C5110" i="9"/>
  <c r="B5110" i="9"/>
  <c r="H5109" i="9"/>
  <c r="G5109" i="9"/>
  <c r="E5109" i="9"/>
  <c r="D5109" i="9"/>
  <c r="C5109" i="9"/>
  <c r="B5109" i="9"/>
  <c r="H5108" i="9"/>
  <c r="G5108" i="9"/>
  <c r="E5108" i="9"/>
  <c r="D5108" i="9"/>
  <c r="C5108" i="9"/>
  <c r="B5108" i="9"/>
  <c r="H5107" i="9"/>
  <c r="G5107" i="9"/>
  <c r="E5107" i="9"/>
  <c r="D5107" i="9"/>
  <c r="C5107" i="9"/>
  <c r="B5107" i="9"/>
  <c r="H5106" i="9"/>
  <c r="G5106" i="9"/>
  <c r="E5106" i="9"/>
  <c r="D5106" i="9"/>
  <c r="C5106" i="9"/>
  <c r="B5106" i="9"/>
  <c r="H5105" i="9"/>
  <c r="G5105" i="9"/>
  <c r="E5105" i="9"/>
  <c r="D5105" i="9"/>
  <c r="C5105" i="9"/>
  <c r="B5105" i="9"/>
  <c r="H5104" i="9"/>
  <c r="G5104" i="9"/>
  <c r="E5104" i="9"/>
  <c r="D5104" i="9"/>
  <c r="C5104" i="9"/>
  <c r="B5104" i="9"/>
  <c r="H5103" i="9"/>
  <c r="G5103" i="9"/>
  <c r="E5103" i="9"/>
  <c r="D5103" i="9"/>
  <c r="C5103" i="9"/>
  <c r="B5103" i="9"/>
  <c r="H5102" i="9"/>
  <c r="G5102" i="9"/>
  <c r="E5102" i="9"/>
  <c r="D5102" i="9"/>
  <c r="C5102" i="9"/>
  <c r="B5102" i="9"/>
  <c r="H5101" i="9"/>
  <c r="G5101" i="9"/>
  <c r="E5101" i="9"/>
  <c r="D5101" i="9"/>
  <c r="C5101" i="9"/>
  <c r="B5101" i="9"/>
  <c r="H5100" i="9"/>
  <c r="G5100" i="9"/>
  <c r="E5100" i="9"/>
  <c r="D5100" i="9"/>
  <c r="C5100" i="9"/>
  <c r="B5100" i="9"/>
  <c r="H5099" i="9"/>
  <c r="G5099" i="9"/>
  <c r="E5099" i="9"/>
  <c r="D5099" i="9"/>
  <c r="C5099" i="9"/>
  <c r="B5099" i="9"/>
  <c r="H5098" i="9"/>
  <c r="G5098" i="9"/>
  <c r="E5098" i="9"/>
  <c r="D5098" i="9"/>
  <c r="C5098" i="9"/>
  <c r="B5098" i="9"/>
  <c r="H5097" i="9"/>
  <c r="G5097" i="9"/>
  <c r="E5097" i="9"/>
  <c r="D5097" i="9"/>
  <c r="C5097" i="9"/>
  <c r="B5097" i="9"/>
  <c r="H5096" i="9"/>
  <c r="G5096" i="9"/>
  <c r="E5096" i="9"/>
  <c r="D5096" i="9"/>
  <c r="C5096" i="9"/>
  <c r="B5096" i="9"/>
  <c r="H5095" i="9"/>
  <c r="G5095" i="9"/>
  <c r="E5095" i="9"/>
  <c r="D5095" i="9"/>
  <c r="C5095" i="9"/>
  <c r="B5095" i="9"/>
  <c r="H5094" i="9"/>
  <c r="G5094" i="9"/>
  <c r="E5094" i="9"/>
  <c r="D5094" i="9"/>
  <c r="C5094" i="9"/>
  <c r="B5094" i="9"/>
  <c r="H5093" i="9"/>
  <c r="G5093" i="9"/>
  <c r="E5093" i="9"/>
  <c r="D5093" i="9"/>
  <c r="C5093" i="9"/>
  <c r="B5093" i="9"/>
  <c r="H5092" i="9"/>
  <c r="G5092" i="9"/>
  <c r="E5092" i="9"/>
  <c r="D5092" i="9"/>
  <c r="C5092" i="9"/>
  <c r="B5092" i="9"/>
  <c r="H5091" i="9"/>
  <c r="G5091" i="9"/>
  <c r="E5091" i="9"/>
  <c r="D5091" i="9"/>
  <c r="C5091" i="9"/>
  <c r="B5091" i="9"/>
  <c r="H5090" i="9"/>
  <c r="G5090" i="9"/>
  <c r="E5090" i="9"/>
  <c r="D5090" i="9"/>
  <c r="C5090" i="9"/>
  <c r="B5090" i="9"/>
  <c r="H5089" i="9"/>
  <c r="G5089" i="9"/>
  <c r="E5089" i="9"/>
  <c r="D5089" i="9"/>
  <c r="C5089" i="9"/>
  <c r="B5089" i="9"/>
  <c r="H5088" i="9"/>
  <c r="G5088" i="9"/>
  <c r="E5088" i="9"/>
  <c r="D5088" i="9"/>
  <c r="C5088" i="9"/>
  <c r="B5088" i="9"/>
  <c r="H5087" i="9"/>
  <c r="G5087" i="9"/>
  <c r="E5087" i="9"/>
  <c r="D5087" i="9"/>
  <c r="C5087" i="9"/>
  <c r="B5087" i="9"/>
  <c r="H5086" i="9"/>
  <c r="G5086" i="9"/>
  <c r="E5086" i="9"/>
  <c r="D5086" i="9"/>
  <c r="C5086" i="9"/>
  <c r="B5086" i="9"/>
  <c r="H5085" i="9"/>
  <c r="G5085" i="9"/>
  <c r="E5085" i="9"/>
  <c r="D5085" i="9"/>
  <c r="C5085" i="9"/>
  <c r="B5085" i="9"/>
  <c r="H5084" i="9"/>
  <c r="G5084" i="9"/>
  <c r="E5084" i="9"/>
  <c r="D5084" i="9"/>
  <c r="C5084" i="9"/>
  <c r="B5084" i="9"/>
  <c r="H5083" i="9"/>
  <c r="G5083" i="9"/>
  <c r="E5083" i="9"/>
  <c r="D5083" i="9"/>
  <c r="C5083" i="9"/>
  <c r="B5083" i="9"/>
  <c r="H5082" i="9"/>
  <c r="G5082" i="9"/>
  <c r="E5082" i="9"/>
  <c r="D5082" i="9"/>
  <c r="C5082" i="9"/>
  <c r="B5082" i="9"/>
  <c r="H5081" i="9"/>
  <c r="G5081" i="9"/>
  <c r="E5081" i="9"/>
  <c r="D5081" i="9"/>
  <c r="C5081" i="9"/>
  <c r="B5081" i="9"/>
  <c r="H5080" i="9"/>
  <c r="G5080" i="9"/>
  <c r="E5080" i="9"/>
  <c r="D5080" i="9"/>
  <c r="C5080" i="9"/>
  <c r="B5080" i="9"/>
  <c r="H5079" i="9"/>
  <c r="G5079" i="9"/>
  <c r="E5079" i="9"/>
  <c r="D5079" i="9"/>
  <c r="C5079" i="9"/>
  <c r="B5079" i="9"/>
  <c r="H5078" i="9"/>
  <c r="G5078" i="9"/>
  <c r="E5078" i="9"/>
  <c r="D5078" i="9"/>
  <c r="C5078" i="9"/>
  <c r="B5078" i="9"/>
  <c r="H5077" i="9"/>
  <c r="G5077" i="9"/>
  <c r="E5077" i="9"/>
  <c r="D5077" i="9"/>
  <c r="C5077" i="9"/>
  <c r="B5077" i="9"/>
  <c r="H5076" i="9"/>
  <c r="G5076" i="9"/>
  <c r="E5076" i="9"/>
  <c r="D5076" i="9"/>
  <c r="C5076" i="9"/>
  <c r="B5076" i="9"/>
  <c r="H5075" i="9"/>
  <c r="G5075" i="9"/>
  <c r="E5075" i="9"/>
  <c r="D5075" i="9"/>
  <c r="C5075" i="9"/>
  <c r="B5075" i="9"/>
  <c r="H5074" i="9"/>
  <c r="G5074" i="9"/>
  <c r="E5074" i="9"/>
  <c r="D5074" i="9"/>
  <c r="C5074" i="9"/>
  <c r="B5074" i="9"/>
  <c r="H5073" i="9"/>
  <c r="G5073" i="9"/>
  <c r="E5073" i="9"/>
  <c r="D5073" i="9"/>
  <c r="C5073" i="9"/>
  <c r="B5073" i="9"/>
  <c r="H5072" i="9"/>
  <c r="G5072" i="9"/>
  <c r="E5072" i="9"/>
  <c r="D5072" i="9"/>
  <c r="C5072" i="9"/>
  <c r="B5072" i="9"/>
  <c r="H5071" i="9"/>
  <c r="G5071" i="9"/>
  <c r="E5071" i="9"/>
  <c r="D5071" i="9"/>
  <c r="C5071" i="9"/>
  <c r="B5071" i="9"/>
  <c r="H5070" i="9"/>
  <c r="G5070" i="9"/>
  <c r="E5070" i="9"/>
  <c r="D5070" i="9"/>
  <c r="C5070" i="9"/>
  <c r="B5070" i="9"/>
  <c r="H5069" i="9"/>
  <c r="G5069" i="9"/>
  <c r="E5069" i="9"/>
  <c r="D5069" i="9"/>
  <c r="C5069" i="9"/>
  <c r="B5069" i="9"/>
  <c r="H5068" i="9"/>
  <c r="G5068" i="9"/>
  <c r="E5068" i="9"/>
  <c r="D5068" i="9"/>
  <c r="C5068" i="9"/>
  <c r="B5068" i="9"/>
  <c r="H5067" i="9"/>
  <c r="G5067" i="9"/>
  <c r="E5067" i="9"/>
  <c r="D5067" i="9"/>
  <c r="C5067" i="9"/>
  <c r="B5067" i="9"/>
  <c r="H5066" i="9"/>
  <c r="G5066" i="9"/>
  <c r="E5066" i="9"/>
  <c r="D5066" i="9"/>
  <c r="C5066" i="9"/>
  <c r="B5066" i="9"/>
  <c r="H5065" i="9"/>
  <c r="G5065" i="9"/>
  <c r="E5065" i="9"/>
  <c r="D5065" i="9"/>
  <c r="C5065" i="9"/>
  <c r="B5065" i="9"/>
  <c r="H5064" i="9"/>
  <c r="G5064" i="9"/>
  <c r="E5064" i="9"/>
  <c r="D5064" i="9"/>
  <c r="C5064" i="9"/>
  <c r="B5064" i="9"/>
  <c r="H5063" i="9"/>
  <c r="G5063" i="9"/>
  <c r="E5063" i="9"/>
  <c r="D5063" i="9"/>
  <c r="C5063" i="9"/>
  <c r="B5063" i="9"/>
  <c r="H5062" i="9"/>
  <c r="G5062" i="9"/>
  <c r="E5062" i="9"/>
  <c r="D5062" i="9"/>
  <c r="C5062" i="9"/>
  <c r="B5062" i="9"/>
  <c r="H5061" i="9"/>
  <c r="G5061" i="9"/>
  <c r="E5061" i="9"/>
  <c r="D5061" i="9"/>
  <c r="C5061" i="9"/>
  <c r="B5061" i="9"/>
  <c r="H5060" i="9"/>
  <c r="G5060" i="9"/>
  <c r="E5060" i="9"/>
  <c r="D5060" i="9"/>
  <c r="C5060" i="9"/>
  <c r="B5060" i="9"/>
  <c r="H5059" i="9"/>
  <c r="G5059" i="9"/>
  <c r="E5059" i="9"/>
  <c r="D5059" i="9"/>
  <c r="C5059" i="9"/>
  <c r="B5059" i="9"/>
  <c r="H5058" i="9"/>
  <c r="G5058" i="9"/>
  <c r="E5058" i="9"/>
  <c r="D5058" i="9"/>
  <c r="C5058" i="9"/>
  <c r="B5058" i="9"/>
  <c r="H5057" i="9"/>
  <c r="G5057" i="9"/>
  <c r="E5057" i="9"/>
  <c r="D5057" i="9"/>
  <c r="C5057" i="9"/>
  <c r="B5057" i="9"/>
  <c r="H5056" i="9"/>
  <c r="G5056" i="9"/>
  <c r="E5056" i="9"/>
  <c r="D5056" i="9"/>
  <c r="C5056" i="9"/>
  <c r="B5056" i="9"/>
  <c r="H5055" i="9"/>
  <c r="G5055" i="9"/>
  <c r="E5055" i="9"/>
  <c r="D5055" i="9"/>
  <c r="C5055" i="9"/>
  <c r="B5055" i="9"/>
  <c r="H5054" i="9"/>
  <c r="G5054" i="9"/>
  <c r="E5054" i="9"/>
  <c r="D5054" i="9"/>
  <c r="C5054" i="9"/>
  <c r="B5054" i="9"/>
  <c r="H5053" i="9"/>
  <c r="G5053" i="9"/>
  <c r="E5053" i="9"/>
  <c r="D5053" i="9"/>
  <c r="C5053" i="9"/>
  <c r="B5053" i="9"/>
  <c r="H5052" i="9"/>
  <c r="G5052" i="9"/>
  <c r="E5052" i="9"/>
  <c r="D5052" i="9"/>
  <c r="C5052" i="9"/>
  <c r="B5052" i="9"/>
  <c r="H5051" i="9"/>
  <c r="G5051" i="9"/>
  <c r="E5051" i="9"/>
  <c r="D5051" i="9"/>
  <c r="C5051" i="9"/>
  <c r="B5051" i="9"/>
  <c r="H5050" i="9"/>
  <c r="G5050" i="9"/>
  <c r="E5050" i="9"/>
  <c r="D5050" i="9"/>
  <c r="C5050" i="9"/>
  <c r="B5050" i="9"/>
  <c r="H5049" i="9"/>
  <c r="G5049" i="9"/>
  <c r="E5049" i="9"/>
  <c r="D5049" i="9"/>
  <c r="C5049" i="9"/>
  <c r="B5049" i="9"/>
  <c r="H5048" i="9"/>
  <c r="G5048" i="9"/>
  <c r="E5048" i="9"/>
  <c r="D5048" i="9"/>
  <c r="C5048" i="9"/>
  <c r="B5048" i="9"/>
  <c r="H5047" i="9"/>
  <c r="G5047" i="9"/>
  <c r="E5047" i="9"/>
  <c r="D5047" i="9"/>
  <c r="C5047" i="9"/>
  <c r="B5047" i="9"/>
  <c r="H5046" i="9"/>
  <c r="G5046" i="9"/>
  <c r="E5046" i="9"/>
  <c r="D5046" i="9"/>
  <c r="C5046" i="9"/>
  <c r="B5046" i="9"/>
  <c r="H5045" i="9"/>
  <c r="G5045" i="9"/>
  <c r="E5045" i="9"/>
  <c r="D5045" i="9"/>
  <c r="C5045" i="9"/>
  <c r="B5045" i="9"/>
  <c r="H5044" i="9"/>
  <c r="G5044" i="9"/>
  <c r="E5044" i="9"/>
  <c r="D5044" i="9"/>
  <c r="C5044" i="9"/>
  <c r="B5044" i="9"/>
  <c r="H5043" i="9"/>
  <c r="G5043" i="9"/>
  <c r="E5043" i="9"/>
  <c r="D5043" i="9"/>
  <c r="C5043" i="9"/>
  <c r="B5043" i="9"/>
  <c r="H5042" i="9"/>
  <c r="G5042" i="9"/>
  <c r="E5042" i="9"/>
  <c r="D5042" i="9"/>
  <c r="C5042" i="9"/>
  <c r="B5042" i="9"/>
  <c r="H5041" i="9"/>
  <c r="G5041" i="9"/>
  <c r="E5041" i="9"/>
  <c r="D5041" i="9"/>
  <c r="C5041" i="9"/>
  <c r="B5041" i="9"/>
  <c r="H5040" i="9"/>
  <c r="G5040" i="9"/>
  <c r="E5040" i="9"/>
  <c r="D5040" i="9"/>
  <c r="C5040" i="9"/>
  <c r="B5040" i="9"/>
  <c r="H5039" i="9"/>
  <c r="G5039" i="9"/>
  <c r="E5039" i="9"/>
  <c r="D5039" i="9"/>
  <c r="C5039" i="9"/>
  <c r="B5039" i="9"/>
  <c r="H5038" i="9"/>
  <c r="G5038" i="9"/>
  <c r="E5038" i="9"/>
  <c r="D5038" i="9"/>
  <c r="C5038" i="9"/>
  <c r="B5038" i="9"/>
  <c r="H5037" i="9"/>
  <c r="G5037" i="9"/>
  <c r="E5037" i="9"/>
  <c r="D5037" i="9"/>
  <c r="C5037" i="9"/>
  <c r="B5037" i="9"/>
  <c r="H5036" i="9"/>
  <c r="G5036" i="9"/>
  <c r="E5036" i="9"/>
  <c r="D5036" i="9"/>
  <c r="C5036" i="9"/>
  <c r="B5036" i="9"/>
  <c r="H5035" i="9"/>
  <c r="G5035" i="9"/>
  <c r="E5035" i="9"/>
  <c r="D5035" i="9"/>
  <c r="C5035" i="9"/>
  <c r="B5035" i="9"/>
  <c r="H5034" i="9"/>
  <c r="G5034" i="9"/>
  <c r="E5034" i="9"/>
  <c r="D5034" i="9"/>
  <c r="C5034" i="9"/>
  <c r="B5034" i="9"/>
  <c r="H5033" i="9"/>
  <c r="G5033" i="9"/>
  <c r="E5033" i="9"/>
  <c r="D5033" i="9"/>
  <c r="C5033" i="9"/>
  <c r="B5033" i="9"/>
  <c r="H5032" i="9"/>
  <c r="G5032" i="9"/>
  <c r="E5032" i="9"/>
  <c r="D5032" i="9"/>
  <c r="C5032" i="9"/>
  <c r="B5032" i="9"/>
  <c r="H5031" i="9"/>
  <c r="G5031" i="9"/>
  <c r="E5031" i="9"/>
  <c r="D5031" i="9"/>
  <c r="C5031" i="9"/>
  <c r="B5031" i="9"/>
  <c r="H5030" i="9"/>
  <c r="G5030" i="9"/>
  <c r="E5030" i="9"/>
  <c r="D5030" i="9"/>
  <c r="C5030" i="9"/>
  <c r="B5030" i="9"/>
  <c r="H5029" i="9"/>
  <c r="G5029" i="9"/>
  <c r="E5029" i="9"/>
  <c r="D5029" i="9"/>
  <c r="C5029" i="9"/>
  <c r="B5029" i="9"/>
  <c r="H5028" i="9"/>
  <c r="G5028" i="9"/>
  <c r="E5028" i="9"/>
  <c r="D5028" i="9"/>
  <c r="C5028" i="9"/>
  <c r="B5028" i="9"/>
  <c r="H5027" i="9"/>
  <c r="G5027" i="9"/>
  <c r="E5027" i="9"/>
  <c r="D5027" i="9"/>
  <c r="C5027" i="9"/>
  <c r="B5027" i="9"/>
  <c r="H5026" i="9"/>
  <c r="G5026" i="9"/>
  <c r="E5026" i="9"/>
  <c r="D5026" i="9"/>
  <c r="C5026" i="9"/>
  <c r="B5026" i="9"/>
  <c r="H5025" i="9"/>
  <c r="G5025" i="9"/>
  <c r="E5025" i="9"/>
  <c r="D5025" i="9"/>
  <c r="C5025" i="9"/>
  <c r="B5025" i="9"/>
  <c r="H5024" i="9"/>
  <c r="G5024" i="9"/>
  <c r="E5024" i="9"/>
  <c r="D5024" i="9"/>
  <c r="C5024" i="9"/>
  <c r="B5024" i="9"/>
  <c r="H5023" i="9"/>
  <c r="G5023" i="9"/>
  <c r="E5023" i="9"/>
  <c r="D5023" i="9"/>
  <c r="C5023" i="9"/>
  <c r="B5023" i="9"/>
  <c r="H5022" i="9"/>
  <c r="G5022" i="9"/>
  <c r="E5022" i="9"/>
  <c r="D5022" i="9"/>
  <c r="C5022" i="9"/>
  <c r="B5022" i="9"/>
  <c r="H5021" i="9"/>
  <c r="G5021" i="9"/>
  <c r="E5021" i="9"/>
  <c r="D5021" i="9"/>
  <c r="C5021" i="9"/>
  <c r="B5021" i="9"/>
  <c r="H5020" i="9"/>
  <c r="G5020" i="9"/>
  <c r="E5020" i="9"/>
  <c r="D5020" i="9"/>
  <c r="C5020" i="9"/>
  <c r="B5020" i="9"/>
  <c r="H5019" i="9"/>
  <c r="G5019" i="9"/>
  <c r="E5019" i="9"/>
  <c r="D5019" i="9"/>
  <c r="C5019" i="9"/>
  <c r="B5019" i="9"/>
  <c r="H5018" i="9"/>
  <c r="G5018" i="9"/>
  <c r="E5018" i="9"/>
  <c r="D5018" i="9"/>
  <c r="C5018" i="9"/>
  <c r="B5018" i="9"/>
  <c r="H5017" i="9"/>
  <c r="G5017" i="9"/>
  <c r="E5017" i="9"/>
  <c r="D5017" i="9"/>
  <c r="C5017" i="9"/>
  <c r="B5017" i="9"/>
  <c r="H5016" i="9"/>
  <c r="G5016" i="9"/>
  <c r="E5016" i="9"/>
  <c r="D5016" i="9"/>
  <c r="C5016" i="9"/>
  <c r="B5016" i="9"/>
  <c r="H5015" i="9"/>
  <c r="G5015" i="9"/>
  <c r="E5015" i="9"/>
  <c r="D5015" i="9"/>
  <c r="C5015" i="9"/>
  <c r="B5015" i="9"/>
  <c r="H5014" i="9"/>
  <c r="G5014" i="9"/>
  <c r="E5014" i="9"/>
  <c r="D5014" i="9"/>
  <c r="C5014" i="9"/>
  <c r="B5014" i="9"/>
  <c r="H5013" i="9"/>
  <c r="G5013" i="9"/>
  <c r="E5013" i="9"/>
  <c r="D5013" i="9"/>
  <c r="C5013" i="9"/>
  <c r="B5013" i="9"/>
  <c r="H5012" i="9"/>
  <c r="G5012" i="9"/>
  <c r="E5012" i="9"/>
  <c r="D5012" i="9"/>
  <c r="C5012" i="9"/>
  <c r="B5012" i="9"/>
  <c r="H5011" i="9"/>
  <c r="G5011" i="9"/>
  <c r="E5011" i="9"/>
  <c r="D5011" i="9"/>
  <c r="C5011" i="9"/>
  <c r="B5011" i="9"/>
  <c r="H5010" i="9"/>
  <c r="G5010" i="9"/>
  <c r="E5010" i="9"/>
  <c r="D5010" i="9"/>
  <c r="C5010" i="9"/>
  <c r="B5010" i="9"/>
  <c r="H5009" i="9"/>
  <c r="G5009" i="9"/>
  <c r="E5009" i="9"/>
  <c r="D5009" i="9"/>
  <c r="C5009" i="9"/>
  <c r="B5009" i="9"/>
  <c r="H5008" i="9"/>
  <c r="G5008" i="9"/>
  <c r="E5008" i="9"/>
  <c r="D5008" i="9"/>
  <c r="C5008" i="9"/>
  <c r="B5008" i="9"/>
  <c r="H5007" i="9"/>
  <c r="G5007" i="9"/>
  <c r="E5007" i="9"/>
  <c r="D5007" i="9"/>
  <c r="C5007" i="9"/>
  <c r="B5007" i="9"/>
  <c r="H5006" i="9"/>
  <c r="G5006" i="9"/>
  <c r="E5006" i="9"/>
  <c r="D5006" i="9"/>
  <c r="C5006" i="9"/>
  <c r="B5006" i="9"/>
  <c r="H5005" i="9"/>
  <c r="G5005" i="9"/>
  <c r="E5005" i="9"/>
  <c r="D5005" i="9"/>
  <c r="C5005" i="9"/>
  <c r="B5005" i="9"/>
  <c r="H5004" i="9"/>
  <c r="G5004" i="9"/>
  <c r="E5004" i="9"/>
  <c r="D5004" i="9"/>
  <c r="C5004" i="9"/>
  <c r="B5004" i="9"/>
  <c r="H5003" i="9"/>
  <c r="G5003" i="9"/>
  <c r="E5003" i="9"/>
  <c r="D5003" i="9"/>
  <c r="C5003" i="9"/>
  <c r="B5003" i="9"/>
  <c r="H5002" i="9"/>
  <c r="G5002" i="9"/>
  <c r="E5002" i="9"/>
  <c r="D5002" i="9"/>
  <c r="C5002" i="9"/>
  <c r="B5002" i="9"/>
  <c r="H5001" i="9"/>
  <c r="G5001" i="9"/>
  <c r="E5001" i="9"/>
  <c r="D5001" i="9"/>
  <c r="C5001" i="9"/>
  <c r="B5001" i="9"/>
  <c r="H5000" i="9"/>
  <c r="G5000" i="9"/>
  <c r="E5000" i="9"/>
  <c r="D5000" i="9"/>
  <c r="C5000" i="9"/>
  <c r="B5000" i="9"/>
  <c r="H4999" i="9"/>
  <c r="G4999" i="9"/>
  <c r="E4999" i="9"/>
  <c r="D4999" i="9"/>
  <c r="C4999" i="9"/>
  <c r="B4999" i="9"/>
  <c r="H4998" i="9"/>
  <c r="G4998" i="9"/>
  <c r="E4998" i="9"/>
  <c r="D4998" i="9"/>
  <c r="C4998" i="9"/>
  <c r="B4998" i="9"/>
  <c r="H4997" i="9"/>
  <c r="G4997" i="9"/>
  <c r="E4997" i="9"/>
  <c r="D4997" i="9"/>
  <c r="C4997" i="9"/>
  <c r="B4997" i="9"/>
  <c r="H4996" i="9"/>
  <c r="G4996" i="9"/>
  <c r="E4996" i="9"/>
  <c r="D4996" i="9"/>
  <c r="C4996" i="9"/>
  <c r="B4996" i="9"/>
  <c r="H4995" i="9"/>
  <c r="G4995" i="9"/>
  <c r="E4995" i="9"/>
  <c r="D4995" i="9"/>
  <c r="C4995" i="9"/>
  <c r="B4995" i="9"/>
  <c r="H4994" i="9"/>
  <c r="G4994" i="9"/>
  <c r="E4994" i="9"/>
  <c r="D4994" i="9"/>
  <c r="C4994" i="9"/>
  <c r="B4994" i="9"/>
  <c r="H4993" i="9"/>
  <c r="G4993" i="9"/>
  <c r="E4993" i="9"/>
  <c r="D4993" i="9"/>
  <c r="C4993" i="9"/>
  <c r="B4993" i="9"/>
  <c r="H4992" i="9"/>
  <c r="G4992" i="9"/>
  <c r="E4992" i="9"/>
  <c r="D4992" i="9"/>
  <c r="C4992" i="9"/>
  <c r="B4992" i="9"/>
  <c r="H4991" i="9"/>
  <c r="G4991" i="9"/>
  <c r="E4991" i="9"/>
  <c r="D4991" i="9"/>
  <c r="C4991" i="9"/>
  <c r="B4991" i="9"/>
  <c r="H4990" i="9"/>
  <c r="G4990" i="9"/>
  <c r="E4990" i="9"/>
  <c r="D4990" i="9"/>
  <c r="C4990" i="9"/>
  <c r="B4990" i="9"/>
  <c r="H4989" i="9"/>
  <c r="G4989" i="9"/>
  <c r="E4989" i="9"/>
  <c r="D4989" i="9"/>
  <c r="C4989" i="9"/>
  <c r="B4989" i="9"/>
  <c r="H4988" i="9"/>
  <c r="G4988" i="9"/>
  <c r="E4988" i="9"/>
  <c r="D4988" i="9"/>
  <c r="C4988" i="9"/>
  <c r="B4988" i="9"/>
  <c r="H4987" i="9"/>
  <c r="G4987" i="9"/>
  <c r="E4987" i="9"/>
  <c r="D4987" i="9"/>
  <c r="C4987" i="9"/>
  <c r="B4987" i="9"/>
  <c r="H4986" i="9"/>
  <c r="G4986" i="9"/>
  <c r="E4986" i="9"/>
  <c r="D4986" i="9"/>
  <c r="C4986" i="9"/>
  <c r="B4986" i="9"/>
  <c r="H4985" i="9"/>
  <c r="G4985" i="9"/>
  <c r="E4985" i="9"/>
  <c r="D4985" i="9"/>
  <c r="C4985" i="9"/>
  <c r="B4985" i="9"/>
  <c r="H4984" i="9"/>
  <c r="G4984" i="9"/>
  <c r="E4984" i="9"/>
  <c r="D4984" i="9"/>
  <c r="C4984" i="9"/>
  <c r="B4984" i="9"/>
  <c r="H4983" i="9"/>
  <c r="G4983" i="9"/>
  <c r="E4983" i="9"/>
  <c r="D4983" i="9"/>
  <c r="C4983" i="9"/>
  <c r="B4983" i="9"/>
  <c r="H4982" i="9"/>
  <c r="G4982" i="9"/>
  <c r="E4982" i="9"/>
  <c r="D4982" i="9"/>
  <c r="C4982" i="9"/>
  <c r="B4982" i="9"/>
  <c r="H4981" i="9"/>
  <c r="G4981" i="9"/>
  <c r="E4981" i="9"/>
  <c r="D4981" i="9"/>
  <c r="C4981" i="9"/>
  <c r="B4981" i="9"/>
  <c r="H4980" i="9"/>
  <c r="G4980" i="9"/>
  <c r="E4980" i="9"/>
  <c r="D4980" i="9"/>
  <c r="C4980" i="9"/>
  <c r="B4980" i="9"/>
  <c r="H4979" i="9"/>
  <c r="G4979" i="9"/>
  <c r="E4979" i="9"/>
  <c r="D4979" i="9"/>
  <c r="C4979" i="9"/>
  <c r="B4979" i="9"/>
  <c r="H4978" i="9"/>
  <c r="G4978" i="9"/>
  <c r="E4978" i="9"/>
  <c r="D4978" i="9"/>
  <c r="C4978" i="9"/>
  <c r="B4978" i="9"/>
  <c r="H4977" i="9"/>
  <c r="G4977" i="9"/>
  <c r="E4977" i="9"/>
  <c r="D4977" i="9"/>
  <c r="C4977" i="9"/>
  <c r="B4977" i="9"/>
  <c r="H4976" i="9"/>
  <c r="G4976" i="9"/>
  <c r="E4976" i="9"/>
  <c r="D4976" i="9"/>
  <c r="C4976" i="9"/>
  <c r="B4976" i="9"/>
  <c r="H4975" i="9"/>
  <c r="G4975" i="9"/>
  <c r="E4975" i="9"/>
  <c r="D4975" i="9"/>
  <c r="C4975" i="9"/>
  <c r="B4975" i="9"/>
  <c r="H4974" i="9"/>
  <c r="G4974" i="9"/>
  <c r="E4974" i="9"/>
  <c r="D4974" i="9"/>
  <c r="C4974" i="9"/>
  <c r="B4974" i="9"/>
  <c r="H4973" i="9"/>
  <c r="G4973" i="9"/>
  <c r="E4973" i="9"/>
  <c r="D4973" i="9"/>
  <c r="C4973" i="9"/>
  <c r="B4973" i="9"/>
  <c r="H4972" i="9"/>
  <c r="G4972" i="9"/>
  <c r="E4972" i="9"/>
  <c r="D4972" i="9"/>
  <c r="C4972" i="9"/>
  <c r="B4972" i="9"/>
  <c r="H4971" i="9"/>
  <c r="G4971" i="9"/>
  <c r="E4971" i="9"/>
  <c r="D4971" i="9"/>
  <c r="C4971" i="9"/>
  <c r="B4971" i="9"/>
  <c r="H4970" i="9"/>
  <c r="G4970" i="9"/>
  <c r="E4970" i="9"/>
  <c r="D4970" i="9"/>
  <c r="C4970" i="9"/>
  <c r="B4970" i="9"/>
  <c r="H4969" i="9"/>
  <c r="G4969" i="9"/>
  <c r="E4969" i="9"/>
  <c r="D4969" i="9"/>
  <c r="C4969" i="9"/>
  <c r="B4969" i="9"/>
  <c r="H4968" i="9"/>
  <c r="G4968" i="9"/>
  <c r="E4968" i="9"/>
  <c r="D4968" i="9"/>
  <c r="C4968" i="9"/>
  <c r="B4968" i="9"/>
  <c r="H4967" i="9"/>
  <c r="G4967" i="9"/>
  <c r="E4967" i="9"/>
  <c r="D4967" i="9"/>
  <c r="C4967" i="9"/>
  <c r="B4967" i="9"/>
  <c r="H4966" i="9"/>
  <c r="G4966" i="9"/>
  <c r="E4966" i="9"/>
  <c r="D4966" i="9"/>
  <c r="C4966" i="9"/>
  <c r="B4966" i="9"/>
  <c r="H4965" i="9"/>
  <c r="G4965" i="9"/>
  <c r="E4965" i="9"/>
  <c r="D4965" i="9"/>
  <c r="C4965" i="9"/>
  <c r="B4965" i="9"/>
  <c r="H4964" i="9"/>
  <c r="G4964" i="9"/>
  <c r="E4964" i="9"/>
  <c r="D4964" i="9"/>
  <c r="C4964" i="9"/>
  <c r="B4964" i="9"/>
  <c r="H4963" i="9"/>
  <c r="G4963" i="9"/>
  <c r="E4963" i="9"/>
  <c r="D4963" i="9"/>
  <c r="C4963" i="9"/>
  <c r="B4963" i="9"/>
  <c r="H4962" i="9"/>
  <c r="G4962" i="9"/>
  <c r="E4962" i="9"/>
  <c r="D4962" i="9"/>
  <c r="C4962" i="9"/>
  <c r="B4962" i="9"/>
  <c r="H4961" i="9"/>
  <c r="G4961" i="9"/>
  <c r="E4961" i="9"/>
  <c r="D4961" i="9"/>
  <c r="C4961" i="9"/>
  <c r="B4961" i="9"/>
  <c r="H4960" i="9"/>
  <c r="G4960" i="9"/>
  <c r="E4960" i="9"/>
  <c r="D4960" i="9"/>
  <c r="C4960" i="9"/>
  <c r="B4960" i="9"/>
  <c r="H4959" i="9"/>
  <c r="G4959" i="9"/>
  <c r="E4959" i="9"/>
  <c r="D4959" i="9"/>
  <c r="C4959" i="9"/>
  <c r="B4959" i="9"/>
  <c r="H4958" i="9"/>
  <c r="G4958" i="9"/>
  <c r="E4958" i="9"/>
  <c r="D4958" i="9"/>
  <c r="C4958" i="9"/>
  <c r="B4958" i="9"/>
  <c r="H4957" i="9"/>
  <c r="G4957" i="9"/>
  <c r="E4957" i="9"/>
  <c r="D4957" i="9"/>
  <c r="C4957" i="9"/>
  <c r="B4957" i="9"/>
  <c r="H4956" i="9"/>
  <c r="G4956" i="9"/>
  <c r="E4956" i="9"/>
  <c r="D4956" i="9"/>
  <c r="C4956" i="9"/>
  <c r="B4956" i="9"/>
  <c r="H4955" i="9"/>
  <c r="G4955" i="9"/>
  <c r="E4955" i="9"/>
  <c r="D4955" i="9"/>
  <c r="C4955" i="9"/>
  <c r="B4955" i="9"/>
  <c r="H4954" i="9"/>
  <c r="G4954" i="9"/>
  <c r="E4954" i="9"/>
  <c r="D4954" i="9"/>
  <c r="C4954" i="9"/>
  <c r="B4954" i="9"/>
  <c r="H4953" i="9"/>
  <c r="G4953" i="9"/>
  <c r="E4953" i="9"/>
  <c r="D4953" i="9"/>
  <c r="C4953" i="9"/>
  <c r="B4953" i="9"/>
  <c r="H4952" i="9"/>
  <c r="G4952" i="9"/>
  <c r="E4952" i="9"/>
  <c r="D4952" i="9"/>
  <c r="C4952" i="9"/>
  <c r="B4952" i="9"/>
  <c r="H4951" i="9"/>
  <c r="G4951" i="9"/>
  <c r="E4951" i="9"/>
  <c r="D4951" i="9"/>
  <c r="C4951" i="9"/>
  <c r="B4951" i="9"/>
  <c r="H4950" i="9"/>
  <c r="G4950" i="9"/>
  <c r="E4950" i="9"/>
  <c r="D4950" i="9"/>
  <c r="C4950" i="9"/>
  <c r="B4950" i="9"/>
  <c r="H4949" i="9"/>
  <c r="G4949" i="9"/>
  <c r="E4949" i="9"/>
  <c r="D4949" i="9"/>
  <c r="C4949" i="9"/>
  <c r="B4949" i="9"/>
  <c r="H4948" i="9"/>
  <c r="G4948" i="9"/>
  <c r="E4948" i="9"/>
  <c r="D4948" i="9"/>
  <c r="C4948" i="9"/>
  <c r="B4948" i="9"/>
  <c r="H4947" i="9"/>
  <c r="G4947" i="9"/>
  <c r="E4947" i="9"/>
  <c r="D4947" i="9"/>
  <c r="C4947" i="9"/>
  <c r="B4947" i="9"/>
  <c r="H4946" i="9"/>
  <c r="G4946" i="9"/>
  <c r="E4946" i="9"/>
  <c r="D4946" i="9"/>
  <c r="C4946" i="9"/>
  <c r="B4946" i="9"/>
  <c r="H4945" i="9"/>
  <c r="G4945" i="9"/>
  <c r="E4945" i="9"/>
  <c r="D4945" i="9"/>
  <c r="C4945" i="9"/>
  <c r="B4945" i="9"/>
  <c r="H4944" i="9"/>
  <c r="G4944" i="9"/>
  <c r="E4944" i="9"/>
  <c r="D4944" i="9"/>
  <c r="C4944" i="9"/>
  <c r="B4944" i="9"/>
  <c r="H4943" i="9"/>
  <c r="G4943" i="9"/>
  <c r="E4943" i="9"/>
  <c r="D4943" i="9"/>
  <c r="C4943" i="9"/>
  <c r="B4943" i="9"/>
  <c r="H4942" i="9"/>
  <c r="G4942" i="9"/>
  <c r="E4942" i="9"/>
  <c r="D4942" i="9"/>
  <c r="C4942" i="9"/>
  <c r="B4942" i="9"/>
  <c r="H4941" i="9"/>
  <c r="G4941" i="9"/>
  <c r="E4941" i="9"/>
  <c r="D4941" i="9"/>
  <c r="C4941" i="9"/>
  <c r="B4941" i="9"/>
  <c r="H4940" i="9"/>
  <c r="G4940" i="9"/>
  <c r="E4940" i="9"/>
  <c r="D4940" i="9"/>
  <c r="C4940" i="9"/>
  <c r="B4940" i="9"/>
  <c r="H4939" i="9"/>
  <c r="G4939" i="9"/>
  <c r="E4939" i="9"/>
  <c r="D4939" i="9"/>
  <c r="C4939" i="9"/>
  <c r="B4939" i="9"/>
  <c r="H4938" i="9"/>
  <c r="G4938" i="9"/>
  <c r="E4938" i="9"/>
  <c r="D4938" i="9"/>
  <c r="C4938" i="9"/>
  <c r="B4938" i="9"/>
  <c r="H4937" i="9"/>
  <c r="G4937" i="9"/>
  <c r="E4937" i="9"/>
  <c r="D4937" i="9"/>
  <c r="C4937" i="9"/>
  <c r="B4937" i="9"/>
  <c r="H4936" i="9"/>
  <c r="G4936" i="9"/>
  <c r="E4936" i="9"/>
  <c r="D4936" i="9"/>
  <c r="C4936" i="9"/>
  <c r="B4936" i="9"/>
  <c r="H4935" i="9"/>
  <c r="G4935" i="9"/>
  <c r="E4935" i="9"/>
  <c r="D4935" i="9"/>
  <c r="C4935" i="9"/>
  <c r="B4935" i="9"/>
  <c r="H4934" i="9"/>
  <c r="G4934" i="9"/>
  <c r="E4934" i="9"/>
  <c r="D4934" i="9"/>
  <c r="C4934" i="9"/>
  <c r="B4934" i="9"/>
  <c r="H4933" i="9"/>
  <c r="G4933" i="9"/>
  <c r="E4933" i="9"/>
  <c r="D4933" i="9"/>
  <c r="C4933" i="9"/>
  <c r="B4933" i="9"/>
  <c r="H4932" i="9"/>
  <c r="G4932" i="9"/>
  <c r="E4932" i="9"/>
  <c r="D4932" i="9"/>
  <c r="C4932" i="9"/>
  <c r="B4932" i="9"/>
  <c r="H4931" i="9"/>
  <c r="G4931" i="9"/>
  <c r="E4931" i="9"/>
  <c r="D4931" i="9"/>
  <c r="C4931" i="9"/>
  <c r="B4931" i="9"/>
  <c r="H4930" i="9"/>
  <c r="G4930" i="9"/>
  <c r="E4930" i="9"/>
  <c r="D4930" i="9"/>
  <c r="C4930" i="9"/>
  <c r="B4930" i="9"/>
  <c r="H4929" i="9"/>
  <c r="G4929" i="9"/>
  <c r="E4929" i="9"/>
  <c r="D4929" i="9"/>
  <c r="C4929" i="9"/>
  <c r="B4929" i="9"/>
  <c r="H4928" i="9"/>
  <c r="G4928" i="9"/>
  <c r="E4928" i="9"/>
  <c r="D4928" i="9"/>
  <c r="C4928" i="9"/>
  <c r="B4928" i="9"/>
  <c r="H4927" i="9"/>
  <c r="G4927" i="9"/>
  <c r="E4927" i="9"/>
  <c r="D4927" i="9"/>
  <c r="C4927" i="9"/>
  <c r="B4927" i="9"/>
  <c r="H4926" i="9"/>
  <c r="G4926" i="9"/>
  <c r="E4926" i="9"/>
  <c r="D4926" i="9"/>
  <c r="C4926" i="9"/>
  <c r="B4926" i="9"/>
  <c r="H4925" i="9"/>
  <c r="G4925" i="9"/>
  <c r="E4925" i="9"/>
  <c r="D4925" i="9"/>
  <c r="C4925" i="9"/>
  <c r="B4925" i="9"/>
  <c r="H4924" i="9"/>
  <c r="G4924" i="9"/>
  <c r="E4924" i="9"/>
  <c r="D4924" i="9"/>
  <c r="C4924" i="9"/>
  <c r="B4924" i="9"/>
  <c r="H4923" i="9"/>
  <c r="G4923" i="9"/>
  <c r="E4923" i="9"/>
  <c r="D4923" i="9"/>
  <c r="C4923" i="9"/>
  <c r="B4923" i="9"/>
  <c r="H4922" i="9"/>
  <c r="G4922" i="9"/>
  <c r="E4922" i="9"/>
  <c r="D4922" i="9"/>
  <c r="C4922" i="9"/>
  <c r="B4922" i="9"/>
  <c r="H4921" i="9"/>
  <c r="G4921" i="9"/>
  <c r="E4921" i="9"/>
  <c r="D4921" i="9"/>
  <c r="C4921" i="9"/>
  <c r="B4921" i="9"/>
  <c r="H4920" i="9"/>
  <c r="G4920" i="9"/>
  <c r="E4920" i="9"/>
  <c r="D4920" i="9"/>
  <c r="C4920" i="9"/>
  <c r="B4920" i="9"/>
  <c r="H4919" i="9"/>
  <c r="G4919" i="9"/>
  <c r="E4919" i="9"/>
  <c r="D4919" i="9"/>
  <c r="C4919" i="9"/>
  <c r="B4919" i="9"/>
  <c r="H4918" i="9"/>
  <c r="G4918" i="9"/>
  <c r="E4918" i="9"/>
  <c r="D4918" i="9"/>
  <c r="C4918" i="9"/>
  <c r="B4918" i="9"/>
  <c r="H4917" i="9"/>
  <c r="G4917" i="9"/>
  <c r="E4917" i="9"/>
  <c r="D4917" i="9"/>
  <c r="C4917" i="9"/>
  <c r="B4917" i="9"/>
  <c r="H4916" i="9"/>
  <c r="G4916" i="9"/>
  <c r="E4916" i="9"/>
  <c r="D4916" i="9"/>
  <c r="C4916" i="9"/>
  <c r="B4916" i="9"/>
  <c r="H4915" i="9"/>
  <c r="G4915" i="9"/>
  <c r="E4915" i="9"/>
  <c r="D4915" i="9"/>
  <c r="C4915" i="9"/>
  <c r="B4915" i="9"/>
  <c r="H4914" i="9"/>
  <c r="G4914" i="9"/>
  <c r="E4914" i="9"/>
  <c r="D4914" i="9"/>
  <c r="C4914" i="9"/>
  <c r="B4914" i="9"/>
  <c r="H4913" i="9"/>
  <c r="G4913" i="9"/>
  <c r="E4913" i="9"/>
  <c r="D4913" i="9"/>
  <c r="C4913" i="9"/>
  <c r="B4913" i="9"/>
  <c r="H4912" i="9"/>
  <c r="G4912" i="9"/>
  <c r="E4912" i="9"/>
  <c r="D4912" i="9"/>
  <c r="C4912" i="9"/>
  <c r="B4912" i="9"/>
  <c r="H4911" i="9"/>
  <c r="G4911" i="9"/>
  <c r="E4911" i="9"/>
  <c r="D4911" i="9"/>
  <c r="C4911" i="9"/>
  <c r="B4911" i="9"/>
  <c r="H4910" i="9"/>
  <c r="G4910" i="9"/>
  <c r="E4910" i="9"/>
  <c r="D4910" i="9"/>
  <c r="C4910" i="9"/>
  <c r="B4910" i="9"/>
  <c r="H4909" i="9"/>
  <c r="G4909" i="9"/>
  <c r="E4909" i="9"/>
  <c r="D4909" i="9"/>
  <c r="C4909" i="9"/>
  <c r="B4909" i="9"/>
  <c r="H4908" i="9"/>
  <c r="G4908" i="9"/>
  <c r="E4908" i="9"/>
  <c r="D4908" i="9"/>
  <c r="C4908" i="9"/>
  <c r="B4908" i="9"/>
  <c r="H4907" i="9"/>
  <c r="G4907" i="9"/>
  <c r="E4907" i="9"/>
  <c r="D4907" i="9"/>
  <c r="C4907" i="9"/>
  <c r="B4907" i="9"/>
  <c r="H4906" i="9"/>
  <c r="G4906" i="9"/>
  <c r="E4906" i="9"/>
  <c r="D4906" i="9"/>
  <c r="C4906" i="9"/>
  <c r="B4906" i="9"/>
  <c r="H4905" i="9"/>
  <c r="G4905" i="9"/>
  <c r="E4905" i="9"/>
  <c r="D4905" i="9"/>
  <c r="C4905" i="9"/>
  <c r="B4905" i="9"/>
  <c r="H4904" i="9"/>
  <c r="G4904" i="9"/>
  <c r="E4904" i="9"/>
  <c r="D4904" i="9"/>
  <c r="C4904" i="9"/>
  <c r="B4904" i="9"/>
  <c r="H4903" i="9"/>
  <c r="G4903" i="9"/>
  <c r="E4903" i="9"/>
  <c r="D4903" i="9"/>
  <c r="C4903" i="9"/>
  <c r="B4903" i="9"/>
  <c r="H4902" i="9"/>
  <c r="G4902" i="9"/>
  <c r="E4902" i="9"/>
  <c r="D4902" i="9"/>
  <c r="C4902" i="9"/>
  <c r="B4902" i="9"/>
  <c r="H4901" i="9"/>
  <c r="G4901" i="9"/>
  <c r="E4901" i="9"/>
  <c r="D4901" i="9"/>
  <c r="C4901" i="9"/>
  <c r="B4901" i="9"/>
  <c r="H4900" i="9"/>
  <c r="G4900" i="9"/>
  <c r="E4900" i="9"/>
  <c r="D4900" i="9"/>
  <c r="C4900" i="9"/>
  <c r="B4900" i="9"/>
  <c r="H4899" i="9"/>
  <c r="G4899" i="9"/>
  <c r="E4899" i="9"/>
  <c r="D4899" i="9"/>
  <c r="C4899" i="9"/>
  <c r="B4899" i="9"/>
  <c r="H4898" i="9"/>
  <c r="G4898" i="9"/>
  <c r="E4898" i="9"/>
  <c r="D4898" i="9"/>
  <c r="C4898" i="9"/>
  <c r="B4898" i="9"/>
  <c r="H4897" i="9"/>
  <c r="G4897" i="9"/>
  <c r="E4897" i="9"/>
  <c r="D4897" i="9"/>
  <c r="C4897" i="9"/>
  <c r="B4897" i="9"/>
  <c r="H4896" i="9"/>
  <c r="G4896" i="9"/>
  <c r="E4896" i="9"/>
  <c r="D4896" i="9"/>
  <c r="C4896" i="9"/>
  <c r="B4896" i="9"/>
  <c r="H4895" i="9"/>
  <c r="G4895" i="9"/>
  <c r="E4895" i="9"/>
  <c r="D4895" i="9"/>
  <c r="C4895" i="9"/>
  <c r="B4895" i="9"/>
  <c r="H4894" i="9"/>
  <c r="G4894" i="9"/>
  <c r="E4894" i="9"/>
  <c r="D4894" i="9"/>
  <c r="C4894" i="9"/>
  <c r="B4894" i="9"/>
  <c r="H4893" i="9"/>
  <c r="G4893" i="9"/>
  <c r="E4893" i="9"/>
  <c r="D4893" i="9"/>
  <c r="C4893" i="9"/>
  <c r="B4893" i="9"/>
  <c r="H4892" i="9"/>
  <c r="G4892" i="9"/>
  <c r="E4892" i="9"/>
  <c r="D4892" i="9"/>
  <c r="C4892" i="9"/>
  <c r="B4892" i="9"/>
  <c r="H4891" i="9"/>
  <c r="G4891" i="9"/>
  <c r="E4891" i="9"/>
  <c r="D4891" i="9"/>
  <c r="C4891" i="9"/>
  <c r="B4891" i="9"/>
  <c r="H4890" i="9"/>
  <c r="G4890" i="9"/>
  <c r="E4890" i="9"/>
  <c r="D4890" i="9"/>
  <c r="C4890" i="9"/>
  <c r="B4890" i="9"/>
  <c r="H4889" i="9"/>
  <c r="G4889" i="9"/>
  <c r="E4889" i="9"/>
  <c r="D4889" i="9"/>
  <c r="C4889" i="9"/>
  <c r="B4889" i="9"/>
  <c r="H4888" i="9"/>
  <c r="G4888" i="9"/>
  <c r="E4888" i="9"/>
  <c r="D4888" i="9"/>
  <c r="C4888" i="9"/>
  <c r="B4888" i="9"/>
  <c r="H4887" i="9"/>
  <c r="G4887" i="9"/>
  <c r="E4887" i="9"/>
  <c r="D4887" i="9"/>
  <c r="C4887" i="9"/>
  <c r="B4887" i="9"/>
  <c r="H4886" i="9"/>
  <c r="G4886" i="9"/>
  <c r="E4886" i="9"/>
  <c r="D4886" i="9"/>
  <c r="C4886" i="9"/>
  <c r="B4886" i="9"/>
  <c r="H4885" i="9"/>
  <c r="G4885" i="9"/>
  <c r="E4885" i="9"/>
  <c r="D4885" i="9"/>
  <c r="C4885" i="9"/>
  <c r="B4885" i="9"/>
  <c r="H4884" i="9"/>
  <c r="G4884" i="9"/>
  <c r="E4884" i="9"/>
  <c r="D4884" i="9"/>
  <c r="C4884" i="9"/>
  <c r="B4884" i="9"/>
  <c r="H4883" i="9"/>
  <c r="G4883" i="9"/>
  <c r="E4883" i="9"/>
  <c r="D4883" i="9"/>
  <c r="C4883" i="9"/>
  <c r="B4883" i="9"/>
  <c r="H4882" i="9"/>
  <c r="G4882" i="9"/>
  <c r="E4882" i="9"/>
  <c r="D4882" i="9"/>
  <c r="C4882" i="9"/>
  <c r="B4882" i="9"/>
  <c r="H4881" i="9"/>
  <c r="G4881" i="9"/>
  <c r="E4881" i="9"/>
  <c r="D4881" i="9"/>
  <c r="C4881" i="9"/>
  <c r="B4881" i="9"/>
  <c r="H4880" i="9"/>
  <c r="G4880" i="9"/>
  <c r="E4880" i="9"/>
  <c r="D4880" i="9"/>
  <c r="C4880" i="9"/>
  <c r="B4880" i="9"/>
  <c r="H4879" i="9"/>
  <c r="G4879" i="9"/>
  <c r="E4879" i="9"/>
  <c r="D4879" i="9"/>
  <c r="C4879" i="9"/>
  <c r="B4879" i="9"/>
  <c r="H4878" i="9"/>
  <c r="G4878" i="9"/>
  <c r="E4878" i="9"/>
  <c r="D4878" i="9"/>
  <c r="C4878" i="9"/>
  <c r="B4878" i="9"/>
  <c r="H4877" i="9"/>
  <c r="G4877" i="9"/>
  <c r="E4877" i="9"/>
  <c r="D4877" i="9"/>
  <c r="C4877" i="9"/>
  <c r="B4877" i="9"/>
  <c r="H4876" i="9"/>
  <c r="G4876" i="9"/>
  <c r="E4876" i="9"/>
  <c r="D4876" i="9"/>
  <c r="C4876" i="9"/>
  <c r="B4876" i="9"/>
  <c r="H4875" i="9"/>
  <c r="G4875" i="9"/>
  <c r="E4875" i="9"/>
  <c r="D4875" i="9"/>
  <c r="C4875" i="9"/>
  <c r="B4875" i="9"/>
  <c r="H4874" i="9"/>
  <c r="G4874" i="9"/>
  <c r="E4874" i="9"/>
  <c r="D4874" i="9"/>
  <c r="C4874" i="9"/>
  <c r="B4874" i="9"/>
  <c r="H4873" i="9"/>
  <c r="G4873" i="9"/>
  <c r="E4873" i="9"/>
  <c r="D4873" i="9"/>
  <c r="C4873" i="9"/>
  <c r="B4873" i="9"/>
  <c r="H4872" i="9"/>
  <c r="G4872" i="9"/>
  <c r="E4872" i="9"/>
  <c r="D4872" i="9"/>
  <c r="C4872" i="9"/>
  <c r="B4872" i="9"/>
  <c r="H4871" i="9"/>
  <c r="G4871" i="9"/>
  <c r="E4871" i="9"/>
  <c r="D4871" i="9"/>
  <c r="C4871" i="9"/>
  <c r="B4871" i="9"/>
  <c r="H4870" i="9"/>
  <c r="G4870" i="9"/>
  <c r="E4870" i="9"/>
  <c r="D4870" i="9"/>
  <c r="C4870" i="9"/>
  <c r="B4870" i="9"/>
  <c r="H4869" i="9"/>
  <c r="G4869" i="9"/>
  <c r="E4869" i="9"/>
  <c r="D4869" i="9"/>
  <c r="C4869" i="9"/>
  <c r="B4869" i="9"/>
  <c r="H4868" i="9"/>
  <c r="G4868" i="9"/>
  <c r="E4868" i="9"/>
  <c r="D4868" i="9"/>
  <c r="C4868" i="9"/>
  <c r="B4868" i="9"/>
  <c r="H4867" i="9"/>
  <c r="G4867" i="9"/>
  <c r="E4867" i="9"/>
  <c r="D4867" i="9"/>
  <c r="C4867" i="9"/>
  <c r="B4867" i="9"/>
  <c r="H4866" i="9"/>
  <c r="G4866" i="9"/>
  <c r="E4866" i="9"/>
  <c r="D4866" i="9"/>
  <c r="C4866" i="9"/>
  <c r="B4866" i="9"/>
  <c r="H4865" i="9"/>
  <c r="G4865" i="9"/>
  <c r="E4865" i="9"/>
  <c r="D4865" i="9"/>
  <c r="C4865" i="9"/>
  <c r="B4865" i="9"/>
  <c r="H4864" i="9"/>
  <c r="G4864" i="9"/>
  <c r="E4864" i="9"/>
  <c r="D4864" i="9"/>
  <c r="C4864" i="9"/>
  <c r="B4864" i="9"/>
  <c r="H4863" i="9"/>
  <c r="G4863" i="9"/>
  <c r="E4863" i="9"/>
  <c r="D4863" i="9"/>
  <c r="C4863" i="9"/>
  <c r="B4863" i="9"/>
  <c r="H4862" i="9"/>
  <c r="G4862" i="9"/>
  <c r="E4862" i="9"/>
  <c r="D4862" i="9"/>
  <c r="C4862" i="9"/>
  <c r="B4862" i="9"/>
  <c r="H4861" i="9"/>
  <c r="G4861" i="9"/>
  <c r="E4861" i="9"/>
  <c r="D4861" i="9"/>
  <c r="C4861" i="9"/>
  <c r="B4861" i="9"/>
  <c r="H4860" i="9"/>
  <c r="G4860" i="9"/>
  <c r="E4860" i="9"/>
  <c r="D4860" i="9"/>
  <c r="C4860" i="9"/>
  <c r="B4860" i="9"/>
  <c r="H4859" i="9"/>
  <c r="G4859" i="9"/>
  <c r="E4859" i="9"/>
  <c r="D4859" i="9"/>
  <c r="C4859" i="9"/>
  <c r="B4859" i="9"/>
  <c r="H4858" i="9"/>
  <c r="G4858" i="9"/>
  <c r="E4858" i="9"/>
  <c r="D4858" i="9"/>
  <c r="C4858" i="9"/>
  <c r="B4858" i="9"/>
  <c r="H4857" i="9"/>
  <c r="G4857" i="9"/>
  <c r="E4857" i="9"/>
  <c r="D4857" i="9"/>
  <c r="C4857" i="9"/>
  <c r="B4857" i="9"/>
  <c r="H4856" i="9"/>
  <c r="G4856" i="9"/>
  <c r="E4856" i="9"/>
  <c r="D4856" i="9"/>
  <c r="C4856" i="9"/>
  <c r="B4856" i="9"/>
  <c r="H4855" i="9"/>
  <c r="G4855" i="9"/>
  <c r="E4855" i="9"/>
  <c r="D4855" i="9"/>
  <c r="C4855" i="9"/>
  <c r="B4855" i="9"/>
  <c r="H4854" i="9"/>
  <c r="G4854" i="9"/>
  <c r="E4854" i="9"/>
  <c r="D4854" i="9"/>
  <c r="C4854" i="9"/>
  <c r="B4854" i="9"/>
  <c r="H4853" i="9"/>
  <c r="G4853" i="9"/>
  <c r="E4853" i="9"/>
  <c r="D4853" i="9"/>
  <c r="C4853" i="9"/>
  <c r="B4853" i="9"/>
  <c r="H4852" i="9"/>
  <c r="G4852" i="9"/>
  <c r="E4852" i="9"/>
  <c r="D4852" i="9"/>
  <c r="C4852" i="9"/>
  <c r="B4852" i="9"/>
  <c r="H4851" i="9"/>
  <c r="G4851" i="9"/>
  <c r="E4851" i="9"/>
  <c r="D4851" i="9"/>
  <c r="C4851" i="9"/>
  <c r="B4851" i="9"/>
  <c r="H4850" i="9"/>
  <c r="G4850" i="9"/>
  <c r="E4850" i="9"/>
  <c r="D4850" i="9"/>
  <c r="C4850" i="9"/>
  <c r="B4850" i="9"/>
  <c r="H4849" i="9"/>
  <c r="G4849" i="9"/>
  <c r="E4849" i="9"/>
  <c r="D4849" i="9"/>
  <c r="C4849" i="9"/>
  <c r="B4849" i="9"/>
  <c r="H4848" i="9"/>
  <c r="G4848" i="9"/>
  <c r="E4848" i="9"/>
  <c r="D4848" i="9"/>
  <c r="C4848" i="9"/>
  <c r="B4848" i="9"/>
  <c r="H4847" i="9"/>
  <c r="G4847" i="9"/>
  <c r="E4847" i="9"/>
  <c r="D4847" i="9"/>
  <c r="C4847" i="9"/>
  <c r="B4847" i="9"/>
  <c r="H4846" i="9"/>
  <c r="G4846" i="9"/>
  <c r="E4846" i="9"/>
  <c r="D4846" i="9"/>
  <c r="C4846" i="9"/>
  <c r="B4846" i="9"/>
  <c r="H4845" i="9"/>
  <c r="G4845" i="9"/>
  <c r="E4845" i="9"/>
  <c r="D4845" i="9"/>
  <c r="C4845" i="9"/>
  <c r="B4845" i="9"/>
  <c r="H4844" i="9"/>
  <c r="G4844" i="9"/>
  <c r="E4844" i="9"/>
  <c r="D4844" i="9"/>
  <c r="C4844" i="9"/>
  <c r="B4844" i="9"/>
  <c r="H4843" i="9"/>
  <c r="G4843" i="9"/>
  <c r="E4843" i="9"/>
  <c r="D4843" i="9"/>
  <c r="C4843" i="9"/>
  <c r="B4843" i="9"/>
  <c r="H4842" i="9"/>
  <c r="G4842" i="9"/>
  <c r="E4842" i="9"/>
  <c r="D4842" i="9"/>
  <c r="C4842" i="9"/>
  <c r="B4842" i="9"/>
  <c r="H4841" i="9"/>
  <c r="G4841" i="9"/>
  <c r="E4841" i="9"/>
  <c r="D4841" i="9"/>
  <c r="C4841" i="9"/>
  <c r="B4841" i="9"/>
  <c r="H4840" i="9"/>
  <c r="G4840" i="9"/>
  <c r="E4840" i="9"/>
  <c r="D4840" i="9"/>
  <c r="C4840" i="9"/>
  <c r="B4840" i="9"/>
  <c r="H4839" i="9"/>
  <c r="G4839" i="9"/>
  <c r="E4839" i="9"/>
  <c r="D4839" i="9"/>
  <c r="C4839" i="9"/>
  <c r="B4839" i="9"/>
  <c r="H4838" i="9"/>
  <c r="G4838" i="9"/>
  <c r="E4838" i="9"/>
  <c r="D4838" i="9"/>
  <c r="C4838" i="9"/>
  <c r="B4838" i="9"/>
  <c r="H4837" i="9"/>
  <c r="G4837" i="9"/>
  <c r="E4837" i="9"/>
  <c r="D4837" i="9"/>
  <c r="C4837" i="9"/>
  <c r="B4837" i="9"/>
  <c r="H4836" i="9"/>
  <c r="G4836" i="9"/>
  <c r="E4836" i="9"/>
  <c r="D4836" i="9"/>
  <c r="C4836" i="9"/>
  <c r="B4836" i="9"/>
  <c r="H4835" i="9"/>
  <c r="G4835" i="9"/>
  <c r="E4835" i="9"/>
  <c r="D4835" i="9"/>
  <c r="C4835" i="9"/>
  <c r="B4835" i="9"/>
  <c r="H4834" i="9"/>
  <c r="G4834" i="9"/>
  <c r="E4834" i="9"/>
  <c r="D4834" i="9"/>
  <c r="C4834" i="9"/>
  <c r="B4834" i="9"/>
  <c r="H4833" i="9"/>
  <c r="G4833" i="9"/>
  <c r="E4833" i="9"/>
  <c r="D4833" i="9"/>
  <c r="C4833" i="9"/>
  <c r="B4833" i="9"/>
  <c r="H4832" i="9"/>
  <c r="G4832" i="9"/>
  <c r="E4832" i="9"/>
  <c r="D4832" i="9"/>
  <c r="C4832" i="9"/>
  <c r="B4832" i="9"/>
  <c r="H4831" i="9"/>
  <c r="G4831" i="9"/>
  <c r="E4831" i="9"/>
  <c r="D4831" i="9"/>
  <c r="C4831" i="9"/>
  <c r="B4831" i="9"/>
  <c r="H4830" i="9"/>
  <c r="G4830" i="9"/>
  <c r="E4830" i="9"/>
  <c r="D4830" i="9"/>
  <c r="C4830" i="9"/>
  <c r="B4830" i="9"/>
  <c r="H4829" i="9"/>
  <c r="G4829" i="9"/>
  <c r="E4829" i="9"/>
  <c r="D4829" i="9"/>
  <c r="C4829" i="9"/>
  <c r="B4829" i="9"/>
  <c r="H4828" i="9"/>
  <c r="G4828" i="9"/>
  <c r="E4828" i="9"/>
  <c r="D4828" i="9"/>
  <c r="C4828" i="9"/>
  <c r="B4828" i="9"/>
  <c r="H4827" i="9"/>
  <c r="G4827" i="9"/>
  <c r="E4827" i="9"/>
  <c r="D4827" i="9"/>
  <c r="C4827" i="9"/>
  <c r="B4827" i="9"/>
  <c r="H4826" i="9"/>
  <c r="G4826" i="9"/>
  <c r="E4826" i="9"/>
  <c r="D4826" i="9"/>
  <c r="C4826" i="9"/>
  <c r="B4826" i="9"/>
  <c r="H4825" i="9"/>
  <c r="G4825" i="9"/>
  <c r="E4825" i="9"/>
  <c r="D4825" i="9"/>
  <c r="C4825" i="9"/>
  <c r="B4825" i="9"/>
  <c r="H4824" i="9"/>
  <c r="G4824" i="9"/>
  <c r="E4824" i="9"/>
  <c r="D4824" i="9"/>
  <c r="C4824" i="9"/>
  <c r="B4824" i="9"/>
  <c r="H4823" i="9"/>
  <c r="G4823" i="9"/>
  <c r="E4823" i="9"/>
  <c r="D4823" i="9"/>
  <c r="C4823" i="9"/>
  <c r="B4823" i="9"/>
  <c r="H4822" i="9"/>
  <c r="G4822" i="9"/>
  <c r="E4822" i="9"/>
  <c r="D4822" i="9"/>
  <c r="C4822" i="9"/>
  <c r="B4822" i="9"/>
  <c r="H4821" i="9"/>
  <c r="G4821" i="9"/>
  <c r="E4821" i="9"/>
  <c r="D4821" i="9"/>
  <c r="C4821" i="9"/>
  <c r="B4821" i="9"/>
  <c r="H4820" i="9"/>
  <c r="G4820" i="9"/>
  <c r="E4820" i="9"/>
  <c r="D4820" i="9"/>
  <c r="C4820" i="9"/>
  <c r="B4820" i="9"/>
  <c r="H4819" i="9"/>
  <c r="G4819" i="9"/>
  <c r="E4819" i="9"/>
  <c r="D4819" i="9"/>
  <c r="C4819" i="9"/>
  <c r="B4819" i="9"/>
  <c r="H4818" i="9"/>
  <c r="G4818" i="9"/>
  <c r="E4818" i="9"/>
  <c r="D4818" i="9"/>
  <c r="C4818" i="9"/>
  <c r="B4818" i="9"/>
  <c r="H4817" i="9"/>
  <c r="G4817" i="9"/>
  <c r="E4817" i="9"/>
  <c r="D4817" i="9"/>
  <c r="C4817" i="9"/>
  <c r="B4817" i="9"/>
  <c r="H4816" i="9"/>
  <c r="G4816" i="9"/>
  <c r="E4816" i="9"/>
  <c r="D4816" i="9"/>
  <c r="C4816" i="9"/>
  <c r="B4816" i="9"/>
  <c r="H4815" i="9"/>
  <c r="G4815" i="9"/>
  <c r="E4815" i="9"/>
  <c r="D4815" i="9"/>
  <c r="C4815" i="9"/>
  <c r="B4815" i="9"/>
  <c r="H4814" i="9"/>
  <c r="G4814" i="9"/>
  <c r="E4814" i="9"/>
  <c r="D4814" i="9"/>
  <c r="C4814" i="9"/>
  <c r="B4814" i="9"/>
  <c r="H4813" i="9"/>
  <c r="G4813" i="9"/>
  <c r="E4813" i="9"/>
  <c r="D4813" i="9"/>
  <c r="C4813" i="9"/>
  <c r="B4813" i="9"/>
  <c r="H4812" i="9"/>
  <c r="G4812" i="9"/>
  <c r="E4812" i="9"/>
  <c r="D4812" i="9"/>
  <c r="C4812" i="9"/>
  <c r="B4812" i="9"/>
  <c r="H4811" i="9"/>
  <c r="G4811" i="9"/>
  <c r="E4811" i="9"/>
  <c r="D4811" i="9"/>
  <c r="C4811" i="9"/>
  <c r="B4811" i="9"/>
  <c r="H4810" i="9"/>
  <c r="G4810" i="9"/>
  <c r="E4810" i="9"/>
  <c r="D4810" i="9"/>
  <c r="C4810" i="9"/>
  <c r="B4810" i="9"/>
  <c r="H4809" i="9"/>
  <c r="G4809" i="9"/>
  <c r="E4809" i="9"/>
  <c r="D4809" i="9"/>
  <c r="C4809" i="9"/>
  <c r="B4809" i="9"/>
  <c r="H4808" i="9"/>
  <c r="G4808" i="9"/>
  <c r="E4808" i="9"/>
  <c r="D4808" i="9"/>
  <c r="C4808" i="9"/>
  <c r="B4808" i="9"/>
  <c r="H4807" i="9"/>
  <c r="G4807" i="9"/>
  <c r="E4807" i="9"/>
  <c r="D4807" i="9"/>
  <c r="C4807" i="9"/>
  <c r="B4807" i="9"/>
  <c r="H4806" i="9"/>
  <c r="G4806" i="9"/>
  <c r="E4806" i="9"/>
  <c r="D4806" i="9"/>
  <c r="C4806" i="9"/>
  <c r="B4806" i="9"/>
  <c r="H4805" i="9"/>
  <c r="G4805" i="9"/>
  <c r="E4805" i="9"/>
  <c r="D4805" i="9"/>
  <c r="C4805" i="9"/>
  <c r="B4805" i="9"/>
  <c r="H4804" i="9"/>
  <c r="G4804" i="9"/>
  <c r="E4804" i="9"/>
  <c r="D4804" i="9"/>
  <c r="C4804" i="9"/>
  <c r="B4804" i="9"/>
  <c r="H4803" i="9"/>
  <c r="G4803" i="9"/>
  <c r="E4803" i="9"/>
  <c r="D4803" i="9"/>
  <c r="C4803" i="9"/>
  <c r="B4803" i="9"/>
  <c r="H4802" i="9"/>
  <c r="G4802" i="9"/>
  <c r="E4802" i="9"/>
  <c r="D4802" i="9"/>
  <c r="C4802" i="9"/>
  <c r="B4802" i="9"/>
  <c r="H4801" i="9"/>
  <c r="G4801" i="9"/>
  <c r="E4801" i="9"/>
  <c r="D4801" i="9"/>
  <c r="C4801" i="9"/>
  <c r="B4801" i="9"/>
  <c r="H4800" i="9"/>
  <c r="G4800" i="9"/>
  <c r="E4800" i="9"/>
  <c r="D4800" i="9"/>
  <c r="C4800" i="9"/>
  <c r="B4800" i="9"/>
  <c r="H4799" i="9"/>
  <c r="G4799" i="9"/>
  <c r="E4799" i="9"/>
  <c r="D4799" i="9"/>
  <c r="C4799" i="9"/>
  <c r="B4799" i="9"/>
  <c r="H4798" i="9"/>
  <c r="G4798" i="9"/>
  <c r="E4798" i="9"/>
  <c r="D4798" i="9"/>
  <c r="C4798" i="9"/>
  <c r="B4798" i="9"/>
  <c r="H4797" i="9"/>
  <c r="G4797" i="9"/>
  <c r="E4797" i="9"/>
  <c r="D4797" i="9"/>
  <c r="C4797" i="9"/>
  <c r="B4797" i="9"/>
  <c r="H4796" i="9"/>
  <c r="G4796" i="9"/>
  <c r="E4796" i="9"/>
  <c r="D4796" i="9"/>
  <c r="C4796" i="9"/>
  <c r="B4796" i="9"/>
  <c r="H4795" i="9"/>
  <c r="G4795" i="9"/>
  <c r="E4795" i="9"/>
  <c r="D4795" i="9"/>
  <c r="C4795" i="9"/>
  <c r="B4795" i="9"/>
  <c r="H4794" i="9"/>
  <c r="G4794" i="9"/>
  <c r="E4794" i="9"/>
  <c r="D4794" i="9"/>
  <c r="C4794" i="9"/>
  <c r="B4794" i="9"/>
  <c r="H4793" i="9"/>
  <c r="G4793" i="9"/>
  <c r="E4793" i="9"/>
  <c r="D4793" i="9"/>
  <c r="C4793" i="9"/>
  <c r="B4793" i="9"/>
  <c r="H4792" i="9"/>
  <c r="G4792" i="9"/>
  <c r="E4792" i="9"/>
  <c r="D4792" i="9"/>
  <c r="C4792" i="9"/>
  <c r="B4792" i="9"/>
  <c r="H4791" i="9"/>
  <c r="G4791" i="9"/>
  <c r="E4791" i="9"/>
  <c r="D4791" i="9"/>
  <c r="C4791" i="9"/>
  <c r="B4791" i="9"/>
  <c r="H4790" i="9"/>
  <c r="G4790" i="9"/>
  <c r="E4790" i="9"/>
  <c r="D4790" i="9"/>
  <c r="C4790" i="9"/>
  <c r="B4790" i="9"/>
  <c r="H4789" i="9"/>
  <c r="G4789" i="9"/>
  <c r="E4789" i="9"/>
  <c r="D4789" i="9"/>
  <c r="C4789" i="9"/>
  <c r="B4789" i="9"/>
  <c r="H4788" i="9"/>
  <c r="G4788" i="9"/>
  <c r="E4788" i="9"/>
  <c r="D4788" i="9"/>
  <c r="C4788" i="9"/>
  <c r="B4788" i="9"/>
  <c r="H4787" i="9"/>
  <c r="G4787" i="9"/>
  <c r="E4787" i="9"/>
  <c r="D4787" i="9"/>
  <c r="C4787" i="9"/>
  <c r="B4787" i="9"/>
  <c r="H4786" i="9"/>
  <c r="G4786" i="9"/>
  <c r="E4786" i="9"/>
  <c r="D4786" i="9"/>
  <c r="C4786" i="9"/>
  <c r="B4786" i="9"/>
  <c r="H4785" i="9"/>
  <c r="G4785" i="9"/>
  <c r="E4785" i="9"/>
  <c r="D4785" i="9"/>
  <c r="C4785" i="9"/>
  <c r="B4785" i="9"/>
  <c r="H4784" i="9"/>
  <c r="G4784" i="9"/>
  <c r="E4784" i="9"/>
  <c r="D4784" i="9"/>
  <c r="C4784" i="9"/>
  <c r="B4784" i="9"/>
  <c r="H4783" i="9"/>
  <c r="G4783" i="9"/>
  <c r="E4783" i="9"/>
  <c r="D4783" i="9"/>
  <c r="C4783" i="9"/>
  <c r="B4783" i="9"/>
  <c r="H4782" i="9"/>
  <c r="G4782" i="9"/>
  <c r="E4782" i="9"/>
  <c r="D4782" i="9"/>
  <c r="C4782" i="9"/>
  <c r="B4782" i="9"/>
  <c r="H4781" i="9"/>
  <c r="G4781" i="9"/>
  <c r="E4781" i="9"/>
  <c r="D4781" i="9"/>
  <c r="C4781" i="9"/>
  <c r="B4781" i="9"/>
  <c r="H4780" i="9"/>
  <c r="G4780" i="9"/>
  <c r="E4780" i="9"/>
  <c r="D4780" i="9"/>
  <c r="C4780" i="9"/>
  <c r="B4780" i="9"/>
  <c r="H4779" i="9"/>
  <c r="G4779" i="9"/>
  <c r="E4779" i="9"/>
  <c r="D4779" i="9"/>
  <c r="C4779" i="9"/>
  <c r="B4779" i="9"/>
  <c r="H4778" i="9"/>
  <c r="G4778" i="9"/>
  <c r="E4778" i="9"/>
  <c r="D4778" i="9"/>
  <c r="C4778" i="9"/>
  <c r="B4778" i="9"/>
  <c r="H4777" i="9"/>
  <c r="G4777" i="9"/>
  <c r="E4777" i="9"/>
  <c r="D4777" i="9"/>
  <c r="C4777" i="9"/>
  <c r="B4777" i="9"/>
  <c r="H4776" i="9"/>
  <c r="G4776" i="9"/>
  <c r="E4776" i="9"/>
  <c r="D4776" i="9"/>
  <c r="C4776" i="9"/>
  <c r="B4776" i="9"/>
  <c r="H4775" i="9"/>
  <c r="G4775" i="9"/>
  <c r="E4775" i="9"/>
  <c r="D4775" i="9"/>
  <c r="C4775" i="9"/>
  <c r="B4775" i="9"/>
  <c r="H4774" i="9"/>
  <c r="G4774" i="9"/>
  <c r="E4774" i="9"/>
  <c r="D4774" i="9"/>
  <c r="C4774" i="9"/>
  <c r="B4774" i="9"/>
  <c r="H4773" i="9"/>
  <c r="G4773" i="9"/>
  <c r="E4773" i="9"/>
  <c r="D4773" i="9"/>
  <c r="C4773" i="9"/>
  <c r="B4773" i="9"/>
  <c r="H4772" i="9"/>
  <c r="G4772" i="9"/>
  <c r="E4772" i="9"/>
  <c r="D4772" i="9"/>
  <c r="C4772" i="9"/>
  <c r="B4772" i="9"/>
  <c r="H4771" i="9"/>
  <c r="G4771" i="9"/>
  <c r="E4771" i="9"/>
  <c r="D4771" i="9"/>
  <c r="C4771" i="9"/>
  <c r="B4771" i="9"/>
  <c r="H4770" i="9"/>
  <c r="G4770" i="9"/>
  <c r="E4770" i="9"/>
  <c r="D4770" i="9"/>
  <c r="C4770" i="9"/>
  <c r="B4770" i="9"/>
  <c r="H4769" i="9"/>
  <c r="G4769" i="9"/>
  <c r="E4769" i="9"/>
  <c r="D4769" i="9"/>
  <c r="C4769" i="9"/>
  <c r="B4769" i="9"/>
  <c r="H4768" i="9"/>
  <c r="G4768" i="9"/>
  <c r="E4768" i="9"/>
  <c r="D4768" i="9"/>
  <c r="C4768" i="9"/>
  <c r="B4768" i="9"/>
  <c r="H4767" i="9"/>
  <c r="G4767" i="9"/>
  <c r="E4767" i="9"/>
  <c r="D4767" i="9"/>
  <c r="C4767" i="9"/>
  <c r="B4767" i="9"/>
  <c r="H4766" i="9"/>
  <c r="G4766" i="9"/>
  <c r="E4766" i="9"/>
  <c r="D4766" i="9"/>
  <c r="C4766" i="9"/>
  <c r="B4766" i="9"/>
  <c r="H4765" i="9"/>
  <c r="G4765" i="9"/>
  <c r="E4765" i="9"/>
  <c r="D4765" i="9"/>
  <c r="C4765" i="9"/>
  <c r="B4765" i="9"/>
  <c r="H4764" i="9"/>
  <c r="G4764" i="9"/>
  <c r="E4764" i="9"/>
  <c r="D4764" i="9"/>
  <c r="C4764" i="9"/>
  <c r="B4764" i="9"/>
  <c r="H4763" i="9"/>
  <c r="G4763" i="9"/>
  <c r="E4763" i="9"/>
  <c r="D4763" i="9"/>
  <c r="C4763" i="9"/>
  <c r="B4763" i="9"/>
  <c r="H4762" i="9"/>
  <c r="G4762" i="9"/>
  <c r="E4762" i="9"/>
  <c r="D4762" i="9"/>
  <c r="C4762" i="9"/>
  <c r="B4762" i="9"/>
  <c r="H4761" i="9"/>
  <c r="G4761" i="9"/>
  <c r="E4761" i="9"/>
  <c r="D4761" i="9"/>
  <c r="C4761" i="9"/>
  <c r="B4761" i="9"/>
  <c r="H4760" i="9"/>
  <c r="G4760" i="9"/>
  <c r="E4760" i="9"/>
  <c r="D4760" i="9"/>
  <c r="C4760" i="9"/>
  <c r="B4760" i="9"/>
  <c r="H4759" i="9"/>
  <c r="G4759" i="9"/>
  <c r="E4759" i="9"/>
  <c r="D4759" i="9"/>
  <c r="C4759" i="9"/>
  <c r="B4759" i="9"/>
  <c r="H4758" i="9"/>
  <c r="G4758" i="9"/>
  <c r="E4758" i="9"/>
  <c r="D4758" i="9"/>
  <c r="C4758" i="9"/>
  <c r="B4758" i="9"/>
  <c r="H4757" i="9"/>
  <c r="G4757" i="9"/>
  <c r="E4757" i="9"/>
  <c r="D4757" i="9"/>
  <c r="C4757" i="9"/>
  <c r="B4757" i="9"/>
  <c r="H4756" i="9"/>
  <c r="G4756" i="9"/>
  <c r="E4756" i="9"/>
  <c r="D4756" i="9"/>
  <c r="C4756" i="9"/>
  <c r="B4756" i="9"/>
  <c r="H4755" i="9"/>
  <c r="G4755" i="9"/>
  <c r="E4755" i="9"/>
  <c r="D4755" i="9"/>
  <c r="C4755" i="9"/>
  <c r="B4755" i="9"/>
  <c r="H4754" i="9"/>
  <c r="G4754" i="9"/>
  <c r="E4754" i="9"/>
  <c r="D4754" i="9"/>
  <c r="C4754" i="9"/>
  <c r="B4754" i="9"/>
  <c r="H4753" i="9"/>
  <c r="G4753" i="9"/>
  <c r="E4753" i="9"/>
  <c r="D4753" i="9"/>
  <c r="C4753" i="9"/>
  <c r="B4753" i="9"/>
  <c r="H4752" i="9"/>
  <c r="G4752" i="9"/>
  <c r="E4752" i="9"/>
  <c r="D4752" i="9"/>
  <c r="C4752" i="9"/>
  <c r="B4752" i="9"/>
  <c r="H4751" i="9"/>
  <c r="G4751" i="9"/>
  <c r="E4751" i="9"/>
  <c r="D4751" i="9"/>
  <c r="C4751" i="9"/>
  <c r="B4751" i="9"/>
  <c r="H4750" i="9"/>
  <c r="G4750" i="9"/>
  <c r="E4750" i="9"/>
  <c r="D4750" i="9"/>
  <c r="C4750" i="9"/>
  <c r="B4750" i="9"/>
  <c r="H4749" i="9"/>
  <c r="G4749" i="9"/>
  <c r="E4749" i="9"/>
  <c r="D4749" i="9"/>
  <c r="C4749" i="9"/>
  <c r="B4749" i="9"/>
  <c r="H4748" i="9"/>
  <c r="G4748" i="9"/>
  <c r="E4748" i="9"/>
  <c r="D4748" i="9"/>
  <c r="C4748" i="9"/>
  <c r="B4748" i="9"/>
  <c r="H4747" i="9"/>
  <c r="G4747" i="9"/>
  <c r="E4747" i="9"/>
  <c r="D4747" i="9"/>
  <c r="C4747" i="9"/>
  <c r="B4747" i="9"/>
  <c r="H4746" i="9"/>
  <c r="G4746" i="9"/>
  <c r="E4746" i="9"/>
  <c r="D4746" i="9"/>
  <c r="C4746" i="9"/>
  <c r="B4746" i="9"/>
  <c r="H4745" i="9"/>
  <c r="G4745" i="9"/>
  <c r="E4745" i="9"/>
  <c r="D4745" i="9"/>
  <c r="C4745" i="9"/>
  <c r="B4745" i="9"/>
  <c r="H4744" i="9"/>
  <c r="G4744" i="9"/>
  <c r="E4744" i="9"/>
  <c r="D4744" i="9"/>
  <c r="C4744" i="9"/>
  <c r="B4744" i="9"/>
  <c r="H4743" i="9"/>
  <c r="G4743" i="9"/>
  <c r="E4743" i="9"/>
  <c r="D4743" i="9"/>
  <c r="C4743" i="9"/>
  <c r="B4743" i="9"/>
  <c r="H4742" i="9"/>
  <c r="G4742" i="9"/>
  <c r="E4742" i="9"/>
  <c r="D4742" i="9"/>
  <c r="C4742" i="9"/>
  <c r="B4742" i="9"/>
  <c r="H4741" i="9"/>
  <c r="G4741" i="9"/>
  <c r="E4741" i="9"/>
  <c r="D4741" i="9"/>
  <c r="C4741" i="9"/>
  <c r="B4741" i="9"/>
  <c r="H4740" i="9"/>
  <c r="G4740" i="9"/>
  <c r="E4740" i="9"/>
  <c r="D4740" i="9"/>
  <c r="C4740" i="9"/>
  <c r="B4740" i="9"/>
  <c r="H4739" i="9"/>
  <c r="G4739" i="9"/>
  <c r="E4739" i="9"/>
  <c r="D4739" i="9"/>
  <c r="C4739" i="9"/>
  <c r="B4739" i="9"/>
  <c r="H4738" i="9"/>
  <c r="G4738" i="9"/>
  <c r="E4738" i="9"/>
  <c r="D4738" i="9"/>
  <c r="C4738" i="9"/>
  <c r="B4738" i="9"/>
  <c r="H4737" i="9"/>
  <c r="G4737" i="9"/>
  <c r="E4737" i="9"/>
  <c r="D4737" i="9"/>
  <c r="C4737" i="9"/>
  <c r="B4737" i="9"/>
  <c r="H4736" i="9"/>
  <c r="G4736" i="9"/>
  <c r="E4736" i="9"/>
  <c r="D4736" i="9"/>
  <c r="C4736" i="9"/>
  <c r="B4736" i="9"/>
  <c r="H4735" i="9"/>
  <c r="G4735" i="9"/>
  <c r="E4735" i="9"/>
  <c r="D4735" i="9"/>
  <c r="C4735" i="9"/>
  <c r="B4735" i="9"/>
  <c r="H4734" i="9"/>
  <c r="G4734" i="9"/>
  <c r="E4734" i="9"/>
  <c r="D4734" i="9"/>
  <c r="C4734" i="9"/>
  <c r="B4734" i="9"/>
  <c r="H4733" i="9"/>
  <c r="G4733" i="9"/>
  <c r="E4733" i="9"/>
  <c r="D4733" i="9"/>
  <c r="C4733" i="9"/>
  <c r="B4733" i="9"/>
  <c r="H4732" i="9"/>
  <c r="G4732" i="9"/>
  <c r="E4732" i="9"/>
  <c r="D4732" i="9"/>
  <c r="C4732" i="9"/>
  <c r="B4732" i="9"/>
  <c r="H4731" i="9"/>
  <c r="G4731" i="9"/>
  <c r="E4731" i="9"/>
  <c r="D4731" i="9"/>
  <c r="C4731" i="9"/>
  <c r="B4731" i="9"/>
  <c r="H4730" i="9"/>
  <c r="G4730" i="9"/>
  <c r="E4730" i="9"/>
  <c r="D4730" i="9"/>
  <c r="C4730" i="9"/>
  <c r="B4730" i="9"/>
  <c r="H4729" i="9"/>
  <c r="G4729" i="9"/>
  <c r="E4729" i="9"/>
  <c r="D4729" i="9"/>
  <c r="C4729" i="9"/>
  <c r="B4729" i="9"/>
  <c r="H4728" i="9"/>
  <c r="G4728" i="9"/>
  <c r="E4728" i="9"/>
  <c r="D4728" i="9"/>
  <c r="C4728" i="9"/>
  <c r="B4728" i="9"/>
  <c r="H4727" i="9"/>
  <c r="G4727" i="9"/>
  <c r="E4727" i="9"/>
  <c r="D4727" i="9"/>
  <c r="C4727" i="9"/>
  <c r="B4727" i="9"/>
  <c r="H4726" i="9"/>
  <c r="G4726" i="9"/>
  <c r="E4726" i="9"/>
  <c r="D4726" i="9"/>
  <c r="C4726" i="9"/>
  <c r="B4726" i="9"/>
  <c r="H4725" i="9"/>
  <c r="G4725" i="9"/>
  <c r="E4725" i="9"/>
  <c r="D4725" i="9"/>
  <c r="C4725" i="9"/>
  <c r="B4725" i="9"/>
  <c r="H4724" i="9"/>
  <c r="G4724" i="9"/>
  <c r="E4724" i="9"/>
  <c r="D4724" i="9"/>
  <c r="C4724" i="9"/>
  <c r="B4724" i="9"/>
  <c r="H4723" i="9"/>
  <c r="G4723" i="9"/>
  <c r="E4723" i="9"/>
  <c r="D4723" i="9"/>
  <c r="C4723" i="9"/>
  <c r="B4723" i="9"/>
  <c r="H4722" i="9"/>
  <c r="G4722" i="9"/>
  <c r="E4722" i="9"/>
  <c r="D4722" i="9"/>
  <c r="C4722" i="9"/>
  <c r="B4722" i="9"/>
  <c r="H4721" i="9"/>
  <c r="G4721" i="9"/>
  <c r="E4721" i="9"/>
  <c r="D4721" i="9"/>
  <c r="C4721" i="9"/>
  <c r="B4721" i="9"/>
  <c r="H4720" i="9"/>
  <c r="G4720" i="9"/>
  <c r="E4720" i="9"/>
  <c r="D4720" i="9"/>
  <c r="C4720" i="9"/>
  <c r="B4720" i="9"/>
  <c r="H4719" i="9"/>
  <c r="G4719" i="9"/>
  <c r="E4719" i="9"/>
  <c r="D4719" i="9"/>
  <c r="C4719" i="9"/>
  <c r="B4719" i="9"/>
  <c r="H4718" i="9"/>
  <c r="G4718" i="9"/>
  <c r="E4718" i="9"/>
  <c r="D4718" i="9"/>
  <c r="C4718" i="9"/>
  <c r="B4718" i="9"/>
  <c r="H4717" i="9"/>
  <c r="G4717" i="9"/>
  <c r="E4717" i="9"/>
  <c r="D4717" i="9"/>
  <c r="C4717" i="9"/>
  <c r="B4717" i="9"/>
  <c r="H4716" i="9"/>
  <c r="G4716" i="9"/>
  <c r="E4716" i="9"/>
  <c r="D4716" i="9"/>
  <c r="C4716" i="9"/>
  <c r="B4716" i="9"/>
  <c r="H4715" i="9"/>
  <c r="G4715" i="9"/>
  <c r="E4715" i="9"/>
  <c r="D4715" i="9"/>
  <c r="C4715" i="9"/>
  <c r="B4715" i="9"/>
  <c r="H4714" i="9"/>
  <c r="G4714" i="9"/>
  <c r="E4714" i="9"/>
  <c r="D4714" i="9"/>
  <c r="C4714" i="9"/>
  <c r="B4714" i="9"/>
  <c r="H4713" i="9"/>
  <c r="G4713" i="9"/>
  <c r="E4713" i="9"/>
  <c r="D4713" i="9"/>
  <c r="C4713" i="9"/>
  <c r="B4713" i="9"/>
  <c r="H4712" i="9"/>
  <c r="G4712" i="9"/>
  <c r="E4712" i="9"/>
  <c r="D4712" i="9"/>
  <c r="C4712" i="9"/>
  <c r="B4712" i="9"/>
  <c r="H4711" i="9"/>
  <c r="G4711" i="9"/>
  <c r="E4711" i="9"/>
  <c r="D4711" i="9"/>
  <c r="C4711" i="9"/>
  <c r="B4711" i="9"/>
  <c r="H4710" i="9"/>
  <c r="G4710" i="9"/>
  <c r="E4710" i="9"/>
  <c r="D4710" i="9"/>
  <c r="C4710" i="9"/>
  <c r="B4710" i="9"/>
  <c r="H4709" i="9"/>
  <c r="G4709" i="9"/>
  <c r="E4709" i="9"/>
  <c r="D4709" i="9"/>
  <c r="C4709" i="9"/>
  <c r="B4709" i="9"/>
  <c r="H4708" i="9"/>
  <c r="G4708" i="9"/>
  <c r="E4708" i="9"/>
  <c r="D4708" i="9"/>
  <c r="C4708" i="9"/>
  <c r="B4708" i="9"/>
  <c r="H4707" i="9"/>
  <c r="G4707" i="9"/>
  <c r="E4707" i="9"/>
  <c r="D4707" i="9"/>
  <c r="C4707" i="9"/>
  <c r="B4707" i="9"/>
  <c r="H4706" i="9"/>
  <c r="G4706" i="9"/>
  <c r="E4706" i="9"/>
  <c r="D4706" i="9"/>
  <c r="C4706" i="9"/>
  <c r="B4706" i="9"/>
  <c r="H4705" i="9"/>
  <c r="G4705" i="9"/>
  <c r="E4705" i="9"/>
  <c r="D4705" i="9"/>
  <c r="C4705" i="9"/>
  <c r="B4705" i="9"/>
  <c r="H4704" i="9"/>
  <c r="G4704" i="9"/>
  <c r="E4704" i="9"/>
  <c r="D4704" i="9"/>
  <c r="C4704" i="9"/>
  <c r="B4704" i="9"/>
  <c r="H4703" i="9"/>
  <c r="G4703" i="9"/>
  <c r="E4703" i="9"/>
  <c r="D4703" i="9"/>
  <c r="C4703" i="9"/>
  <c r="B4703" i="9"/>
  <c r="H4702" i="9"/>
  <c r="G4702" i="9"/>
  <c r="E4702" i="9"/>
  <c r="D4702" i="9"/>
  <c r="C4702" i="9"/>
  <c r="B4702" i="9"/>
  <c r="H4701" i="9"/>
  <c r="G4701" i="9"/>
  <c r="E4701" i="9"/>
  <c r="D4701" i="9"/>
  <c r="C4701" i="9"/>
  <c r="B4701" i="9"/>
  <c r="H4700" i="9"/>
  <c r="G4700" i="9"/>
  <c r="E4700" i="9"/>
  <c r="D4700" i="9"/>
  <c r="C4700" i="9"/>
  <c r="B4700" i="9"/>
  <c r="H4699" i="9"/>
  <c r="G4699" i="9"/>
  <c r="E4699" i="9"/>
  <c r="D4699" i="9"/>
  <c r="C4699" i="9"/>
  <c r="B4699" i="9"/>
  <c r="H4698" i="9"/>
  <c r="G4698" i="9"/>
  <c r="E4698" i="9"/>
  <c r="D4698" i="9"/>
  <c r="C4698" i="9"/>
  <c r="B4698" i="9"/>
  <c r="H4697" i="9"/>
  <c r="G4697" i="9"/>
  <c r="E4697" i="9"/>
  <c r="D4697" i="9"/>
  <c r="C4697" i="9"/>
  <c r="B4697" i="9"/>
  <c r="H4696" i="9"/>
  <c r="G4696" i="9"/>
  <c r="E4696" i="9"/>
  <c r="D4696" i="9"/>
  <c r="C4696" i="9"/>
  <c r="B4696" i="9"/>
  <c r="H4695" i="9"/>
  <c r="G4695" i="9"/>
  <c r="E4695" i="9"/>
  <c r="D4695" i="9"/>
  <c r="C4695" i="9"/>
  <c r="B4695" i="9"/>
  <c r="H4694" i="9"/>
  <c r="G4694" i="9"/>
  <c r="E4694" i="9"/>
  <c r="D4694" i="9"/>
  <c r="C4694" i="9"/>
  <c r="B4694" i="9"/>
  <c r="H4693" i="9"/>
  <c r="G4693" i="9"/>
  <c r="E4693" i="9"/>
  <c r="D4693" i="9"/>
  <c r="C4693" i="9"/>
  <c r="B4693" i="9"/>
  <c r="H4692" i="9"/>
  <c r="G4692" i="9"/>
  <c r="E4692" i="9"/>
  <c r="D4692" i="9"/>
  <c r="C4692" i="9"/>
  <c r="B4692" i="9"/>
  <c r="H4691" i="9"/>
  <c r="G4691" i="9"/>
  <c r="E4691" i="9"/>
  <c r="D4691" i="9"/>
  <c r="C4691" i="9"/>
  <c r="B4691" i="9"/>
  <c r="H4690" i="9"/>
  <c r="G4690" i="9"/>
  <c r="E4690" i="9"/>
  <c r="D4690" i="9"/>
  <c r="C4690" i="9"/>
  <c r="B4690" i="9"/>
  <c r="H4689" i="9"/>
  <c r="G4689" i="9"/>
  <c r="E4689" i="9"/>
  <c r="D4689" i="9"/>
  <c r="C4689" i="9"/>
  <c r="B4689" i="9"/>
  <c r="H4688" i="9"/>
  <c r="G4688" i="9"/>
  <c r="E4688" i="9"/>
  <c r="D4688" i="9"/>
  <c r="C4688" i="9"/>
  <c r="B4688" i="9"/>
  <c r="H4687" i="9"/>
  <c r="G4687" i="9"/>
  <c r="E4687" i="9"/>
  <c r="D4687" i="9"/>
  <c r="C4687" i="9"/>
  <c r="B4687" i="9"/>
  <c r="H4686" i="9"/>
  <c r="G4686" i="9"/>
  <c r="E4686" i="9"/>
  <c r="D4686" i="9"/>
  <c r="C4686" i="9"/>
  <c r="B4686" i="9"/>
  <c r="H4685" i="9"/>
  <c r="G4685" i="9"/>
  <c r="E4685" i="9"/>
  <c r="D4685" i="9"/>
  <c r="C4685" i="9"/>
  <c r="B4685" i="9"/>
  <c r="H4684" i="9"/>
  <c r="G4684" i="9"/>
  <c r="E4684" i="9"/>
  <c r="D4684" i="9"/>
  <c r="C4684" i="9"/>
  <c r="B4684" i="9"/>
  <c r="H4683" i="9"/>
  <c r="G4683" i="9"/>
  <c r="E4683" i="9"/>
  <c r="D4683" i="9"/>
  <c r="C4683" i="9"/>
  <c r="B4683" i="9"/>
  <c r="H4682" i="9"/>
  <c r="G4682" i="9"/>
  <c r="E4682" i="9"/>
  <c r="D4682" i="9"/>
  <c r="C4682" i="9"/>
  <c r="B4682" i="9"/>
  <c r="H4681" i="9"/>
  <c r="G4681" i="9"/>
  <c r="E4681" i="9"/>
  <c r="D4681" i="9"/>
  <c r="C4681" i="9"/>
  <c r="B4681" i="9"/>
  <c r="H4680" i="9"/>
  <c r="G4680" i="9"/>
  <c r="E4680" i="9"/>
  <c r="D4680" i="9"/>
  <c r="C4680" i="9"/>
  <c r="B4680" i="9"/>
  <c r="H4679" i="9"/>
  <c r="G4679" i="9"/>
  <c r="E4679" i="9"/>
  <c r="D4679" i="9"/>
  <c r="C4679" i="9"/>
  <c r="B4679" i="9"/>
  <c r="H4678" i="9"/>
  <c r="G4678" i="9"/>
  <c r="E4678" i="9"/>
  <c r="D4678" i="9"/>
  <c r="C4678" i="9"/>
  <c r="B4678" i="9"/>
  <c r="H4677" i="9"/>
  <c r="G4677" i="9"/>
  <c r="E4677" i="9"/>
  <c r="D4677" i="9"/>
  <c r="C4677" i="9"/>
  <c r="B4677" i="9"/>
  <c r="H4676" i="9"/>
  <c r="G4676" i="9"/>
  <c r="E4676" i="9"/>
  <c r="D4676" i="9"/>
  <c r="C4676" i="9"/>
  <c r="B4676" i="9"/>
  <c r="H4675" i="9"/>
  <c r="G4675" i="9"/>
  <c r="E4675" i="9"/>
  <c r="D4675" i="9"/>
  <c r="C4675" i="9"/>
  <c r="B4675" i="9"/>
  <c r="H4674" i="9"/>
  <c r="G4674" i="9"/>
  <c r="E4674" i="9"/>
  <c r="D4674" i="9"/>
  <c r="C4674" i="9"/>
  <c r="B4674" i="9"/>
  <c r="H4673" i="9"/>
  <c r="G4673" i="9"/>
  <c r="E4673" i="9"/>
  <c r="D4673" i="9"/>
  <c r="C4673" i="9"/>
  <c r="B4673" i="9"/>
  <c r="H4672" i="9"/>
  <c r="G4672" i="9"/>
  <c r="E4672" i="9"/>
  <c r="D4672" i="9"/>
  <c r="C4672" i="9"/>
  <c r="B4672" i="9"/>
  <c r="H4671" i="9"/>
  <c r="G4671" i="9"/>
  <c r="E4671" i="9"/>
  <c r="D4671" i="9"/>
  <c r="C4671" i="9"/>
  <c r="B4671" i="9"/>
  <c r="H4670" i="9"/>
  <c r="G4670" i="9"/>
  <c r="E4670" i="9"/>
  <c r="D4670" i="9"/>
  <c r="C4670" i="9"/>
  <c r="B4670" i="9"/>
  <c r="H4669" i="9"/>
  <c r="G4669" i="9"/>
  <c r="E4669" i="9"/>
  <c r="D4669" i="9"/>
  <c r="C4669" i="9"/>
  <c r="B4669" i="9"/>
  <c r="H4668" i="9"/>
  <c r="G4668" i="9"/>
  <c r="E4668" i="9"/>
  <c r="D4668" i="9"/>
  <c r="C4668" i="9"/>
  <c r="B4668" i="9"/>
  <c r="H4667" i="9"/>
  <c r="G4667" i="9"/>
  <c r="E4667" i="9"/>
  <c r="D4667" i="9"/>
  <c r="C4667" i="9"/>
  <c r="B4667" i="9"/>
  <c r="H4666" i="9"/>
  <c r="G4666" i="9"/>
  <c r="E4666" i="9"/>
  <c r="D4666" i="9"/>
  <c r="C4666" i="9"/>
  <c r="B4666" i="9"/>
  <c r="H4665" i="9"/>
  <c r="G4665" i="9"/>
  <c r="E4665" i="9"/>
  <c r="D4665" i="9"/>
  <c r="C4665" i="9"/>
  <c r="B4665" i="9"/>
  <c r="H4664" i="9"/>
  <c r="G4664" i="9"/>
  <c r="E4664" i="9"/>
  <c r="D4664" i="9"/>
  <c r="C4664" i="9"/>
  <c r="B4664" i="9"/>
  <c r="H4663" i="9"/>
  <c r="G4663" i="9"/>
  <c r="E4663" i="9"/>
  <c r="D4663" i="9"/>
  <c r="C4663" i="9"/>
  <c r="B4663" i="9"/>
  <c r="H4662" i="9"/>
  <c r="G4662" i="9"/>
  <c r="E4662" i="9"/>
  <c r="D4662" i="9"/>
  <c r="C4662" i="9"/>
  <c r="B4662" i="9"/>
  <c r="H4661" i="9"/>
  <c r="G4661" i="9"/>
  <c r="E4661" i="9"/>
  <c r="D4661" i="9"/>
  <c r="C4661" i="9"/>
  <c r="B4661" i="9"/>
  <c r="H4660" i="9"/>
  <c r="G4660" i="9"/>
  <c r="E4660" i="9"/>
  <c r="D4660" i="9"/>
  <c r="C4660" i="9"/>
  <c r="B4660" i="9"/>
  <c r="H4659" i="9"/>
  <c r="G4659" i="9"/>
  <c r="E4659" i="9"/>
  <c r="D4659" i="9"/>
  <c r="C4659" i="9"/>
  <c r="B4659" i="9"/>
  <c r="H4658" i="9"/>
  <c r="G4658" i="9"/>
  <c r="E4658" i="9"/>
  <c r="D4658" i="9"/>
  <c r="C4658" i="9"/>
  <c r="B4658" i="9"/>
  <c r="H4657" i="9"/>
  <c r="G4657" i="9"/>
  <c r="E4657" i="9"/>
  <c r="D4657" i="9"/>
  <c r="C4657" i="9"/>
  <c r="B4657" i="9"/>
  <c r="H4656" i="9"/>
  <c r="G4656" i="9"/>
  <c r="E4656" i="9"/>
  <c r="D4656" i="9"/>
  <c r="C4656" i="9"/>
  <c r="B4656" i="9"/>
  <c r="H4655" i="9"/>
  <c r="G4655" i="9"/>
  <c r="E4655" i="9"/>
  <c r="D4655" i="9"/>
  <c r="C4655" i="9"/>
  <c r="B4655" i="9"/>
  <c r="H4654" i="9"/>
  <c r="G4654" i="9"/>
  <c r="E4654" i="9"/>
  <c r="D4654" i="9"/>
  <c r="C4654" i="9"/>
  <c r="B4654" i="9"/>
  <c r="H4653" i="9"/>
  <c r="G4653" i="9"/>
  <c r="E4653" i="9"/>
  <c r="D4653" i="9"/>
  <c r="C4653" i="9"/>
  <c r="B4653" i="9"/>
  <c r="H4652" i="9"/>
  <c r="G4652" i="9"/>
  <c r="E4652" i="9"/>
  <c r="D4652" i="9"/>
  <c r="C4652" i="9"/>
  <c r="B4652" i="9"/>
  <c r="H4651" i="9"/>
  <c r="G4651" i="9"/>
  <c r="E4651" i="9"/>
  <c r="D4651" i="9"/>
  <c r="C4651" i="9"/>
  <c r="B4651" i="9"/>
  <c r="H4650" i="9"/>
  <c r="G4650" i="9"/>
  <c r="E4650" i="9"/>
  <c r="D4650" i="9"/>
  <c r="C4650" i="9"/>
  <c r="B4650" i="9"/>
  <c r="H4649" i="9"/>
  <c r="G4649" i="9"/>
  <c r="E4649" i="9"/>
  <c r="D4649" i="9"/>
  <c r="C4649" i="9"/>
  <c r="B4649" i="9"/>
  <c r="H4648" i="9"/>
  <c r="G4648" i="9"/>
  <c r="E4648" i="9"/>
  <c r="D4648" i="9"/>
  <c r="C4648" i="9"/>
  <c r="B4648" i="9"/>
  <c r="H4647" i="9"/>
  <c r="G4647" i="9"/>
  <c r="E4647" i="9"/>
  <c r="D4647" i="9"/>
  <c r="C4647" i="9"/>
  <c r="B4647" i="9"/>
  <c r="H4646" i="9"/>
  <c r="G4646" i="9"/>
  <c r="E4646" i="9"/>
  <c r="D4646" i="9"/>
  <c r="C4646" i="9"/>
  <c r="B4646" i="9"/>
  <c r="H4645" i="9"/>
  <c r="G4645" i="9"/>
  <c r="E4645" i="9"/>
  <c r="D4645" i="9"/>
  <c r="C4645" i="9"/>
  <c r="B4645" i="9"/>
  <c r="H4644" i="9"/>
  <c r="G4644" i="9"/>
  <c r="E4644" i="9"/>
  <c r="D4644" i="9"/>
  <c r="C4644" i="9"/>
  <c r="B4644" i="9"/>
  <c r="H4643" i="9"/>
  <c r="G4643" i="9"/>
  <c r="E4643" i="9"/>
  <c r="D4643" i="9"/>
  <c r="C4643" i="9"/>
  <c r="B4643" i="9"/>
  <c r="H4642" i="9"/>
  <c r="G4642" i="9"/>
  <c r="E4642" i="9"/>
  <c r="D4642" i="9"/>
  <c r="C4642" i="9"/>
  <c r="B4642" i="9"/>
  <c r="H4641" i="9"/>
  <c r="G4641" i="9"/>
  <c r="E4641" i="9"/>
  <c r="D4641" i="9"/>
  <c r="C4641" i="9"/>
  <c r="B4641" i="9"/>
  <c r="H4640" i="9"/>
  <c r="G4640" i="9"/>
  <c r="E4640" i="9"/>
  <c r="D4640" i="9"/>
  <c r="C4640" i="9"/>
  <c r="B4640" i="9"/>
  <c r="H4639" i="9"/>
  <c r="G4639" i="9"/>
  <c r="E4639" i="9"/>
  <c r="D4639" i="9"/>
  <c r="C4639" i="9"/>
  <c r="B4639" i="9"/>
  <c r="H4638" i="9"/>
  <c r="G4638" i="9"/>
  <c r="E4638" i="9"/>
  <c r="D4638" i="9"/>
  <c r="C4638" i="9"/>
  <c r="B4638" i="9"/>
  <c r="H4637" i="9"/>
  <c r="G4637" i="9"/>
  <c r="E4637" i="9"/>
  <c r="D4637" i="9"/>
  <c r="C4637" i="9"/>
  <c r="B4637" i="9"/>
  <c r="H4636" i="9"/>
  <c r="G4636" i="9"/>
  <c r="E4636" i="9"/>
  <c r="D4636" i="9"/>
  <c r="C4636" i="9"/>
  <c r="B4636" i="9"/>
  <c r="H4635" i="9"/>
  <c r="G4635" i="9"/>
  <c r="E4635" i="9"/>
  <c r="D4635" i="9"/>
  <c r="C4635" i="9"/>
  <c r="B4635" i="9"/>
  <c r="H4634" i="9"/>
  <c r="G4634" i="9"/>
  <c r="E4634" i="9"/>
  <c r="D4634" i="9"/>
  <c r="C4634" i="9"/>
  <c r="B4634" i="9"/>
  <c r="H4633" i="9"/>
  <c r="G4633" i="9"/>
  <c r="E4633" i="9"/>
  <c r="D4633" i="9"/>
  <c r="C4633" i="9"/>
  <c r="B4633" i="9"/>
  <c r="H4632" i="9"/>
  <c r="G4632" i="9"/>
  <c r="E4632" i="9"/>
  <c r="D4632" i="9"/>
  <c r="C4632" i="9"/>
  <c r="B4632" i="9"/>
  <c r="H4631" i="9"/>
  <c r="G4631" i="9"/>
  <c r="E4631" i="9"/>
  <c r="D4631" i="9"/>
  <c r="C4631" i="9"/>
  <c r="B4631" i="9"/>
  <c r="H4630" i="9"/>
  <c r="G4630" i="9"/>
  <c r="E4630" i="9"/>
  <c r="D4630" i="9"/>
  <c r="C4630" i="9"/>
  <c r="B4630" i="9"/>
  <c r="H4629" i="9"/>
  <c r="G4629" i="9"/>
  <c r="E4629" i="9"/>
  <c r="D4629" i="9"/>
  <c r="C4629" i="9"/>
  <c r="B4629" i="9"/>
  <c r="H4628" i="9"/>
  <c r="G4628" i="9"/>
  <c r="E4628" i="9"/>
  <c r="D4628" i="9"/>
  <c r="C4628" i="9"/>
  <c r="B4628" i="9"/>
  <c r="H4627" i="9"/>
  <c r="G4627" i="9"/>
  <c r="E4627" i="9"/>
  <c r="D4627" i="9"/>
  <c r="C4627" i="9"/>
  <c r="B4627" i="9"/>
  <c r="H4626" i="9"/>
  <c r="G4626" i="9"/>
  <c r="E4626" i="9"/>
  <c r="D4626" i="9"/>
  <c r="C4626" i="9"/>
  <c r="B4626" i="9"/>
  <c r="H4625" i="9"/>
  <c r="G4625" i="9"/>
  <c r="E4625" i="9"/>
  <c r="D4625" i="9"/>
  <c r="C4625" i="9"/>
  <c r="B4625" i="9"/>
  <c r="H4624" i="9"/>
  <c r="G4624" i="9"/>
  <c r="E4624" i="9"/>
  <c r="D4624" i="9"/>
  <c r="C4624" i="9"/>
  <c r="B4624" i="9"/>
  <c r="H4623" i="9"/>
  <c r="G4623" i="9"/>
  <c r="E4623" i="9"/>
  <c r="D4623" i="9"/>
  <c r="C4623" i="9"/>
  <c r="B4623" i="9"/>
  <c r="H4622" i="9"/>
  <c r="G4622" i="9"/>
  <c r="E4622" i="9"/>
  <c r="D4622" i="9"/>
  <c r="C4622" i="9"/>
  <c r="B4622" i="9"/>
  <c r="H4621" i="9"/>
  <c r="G4621" i="9"/>
  <c r="E4621" i="9"/>
  <c r="D4621" i="9"/>
  <c r="C4621" i="9"/>
  <c r="B4621" i="9"/>
  <c r="H4620" i="9"/>
  <c r="G4620" i="9"/>
  <c r="E4620" i="9"/>
  <c r="D4620" i="9"/>
  <c r="C4620" i="9"/>
  <c r="B4620" i="9"/>
  <c r="H4619" i="9"/>
  <c r="G4619" i="9"/>
  <c r="E4619" i="9"/>
  <c r="D4619" i="9"/>
  <c r="C4619" i="9"/>
  <c r="B4619" i="9"/>
  <c r="H4618" i="9"/>
  <c r="G4618" i="9"/>
  <c r="E4618" i="9"/>
  <c r="D4618" i="9"/>
  <c r="C4618" i="9"/>
  <c r="B4618" i="9"/>
  <c r="H4617" i="9"/>
  <c r="G4617" i="9"/>
  <c r="E4617" i="9"/>
  <c r="D4617" i="9"/>
  <c r="C4617" i="9"/>
  <c r="B4617" i="9"/>
  <c r="H4616" i="9"/>
  <c r="G4616" i="9"/>
  <c r="E4616" i="9"/>
  <c r="D4616" i="9"/>
  <c r="C4616" i="9"/>
  <c r="B4616" i="9"/>
  <c r="H4615" i="9"/>
  <c r="G4615" i="9"/>
  <c r="E4615" i="9"/>
  <c r="D4615" i="9"/>
  <c r="C4615" i="9"/>
  <c r="B4615" i="9"/>
  <c r="H4614" i="9"/>
  <c r="G4614" i="9"/>
  <c r="E4614" i="9"/>
  <c r="D4614" i="9"/>
  <c r="C4614" i="9"/>
  <c r="B4614" i="9"/>
  <c r="H4613" i="9"/>
  <c r="G4613" i="9"/>
  <c r="E4613" i="9"/>
  <c r="D4613" i="9"/>
  <c r="C4613" i="9"/>
  <c r="B4613" i="9"/>
  <c r="H4612" i="9"/>
  <c r="G4612" i="9"/>
  <c r="E4612" i="9"/>
  <c r="D4612" i="9"/>
  <c r="C4612" i="9"/>
  <c r="B4612" i="9"/>
  <c r="H4611" i="9"/>
  <c r="G4611" i="9"/>
  <c r="E4611" i="9"/>
  <c r="D4611" i="9"/>
  <c r="C4611" i="9"/>
  <c r="B4611" i="9"/>
  <c r="H4610" i="9"/>
  <c r="G4610" i="9"/>
  <c r="E4610" i="9"/>
  <c r="D4610" i="9"/>
  <c r="C4610" i="9"/>
  <c r="B4610" i="9"/>
  <c r="H4609" i="9"/>
  <c r="G4609" i="9"/>
  <c r="E4609" i="9"/>
  <c r="D4609" i="9"/>
  <c r="C4609" i="9"/>
  <c r="B4609" i="9"/>
  <c r="H4608" i="9"/>
  <c r="G4608" i="9"/>
  <c r="E4608" i="9"/>
  <c r="D4608" i="9"/>
  <c r="C4608" i="9"/>
  <c r="B4608" i="9"/>
  <c r="H4607" i="9"/>
  <c r="G4607" i="9"/>
  <c r="E4607" i="9"/>
  <c r="D4607" i="9"/>
  <c r="C4607" i="9"/>
  <c r="B4607" i="9"/>
  <c r="H4606" i="9"/>
  <c r="G4606" i="9"/>
  <c r="E4606" i="9"/>
  <c r="D4606" i="9"/>
  <c r="C4606" i="9"/>
  <c r="B4606" i="9"/>
  <c r="H4605" i="9"/>
  <c r="G4605" i="9"/>
  <c r="E4605" i="9"/>
  <c r="D4605" i="9"/>
  <c r="C4605" i="9"/>
  <c r="B4605" i="9"/>
  <c r="H4604" i="9"/>
  <c r="G4604" i="9"/>
  <c r="E4604" i="9"/>
  <c r="D4604" i="9"/>
  <c r="C4604" i="9"/>
  <c r="B4604" i="9"/>
  <c r="H4603" i="9"/>
  <c r="G4603" i="9"/>
  <c r="E4603" i="9"/>
  <c r="D4603" i="9"/>
  <c r="C4603" i="9"/>
  <c r="B4603" i="9"/>
  <c r="H4602" i="9"/>
  <c r="G4602" i="9"/>
  <c r="E4602" i="9"/>
  <c r="D4602" i="9"/>
  <c r="C4602" i="9"/>
  <c r="B4602" i="9"/>
  <c r="H4601" i="9"/>
  <c r="G4601" i="9"/>
  <c r="E4601" i="9"/>
  <c r="D4601" i="9"/>
  <c r="C4601" i="9"/>
  <c r="B4601" i="9"/>
  <c r="H4600" i="9"/>
  <c r="G4600" i="9"/>
  <c r="E4600" i="9"/>
  <c r="D4600" i="9"/>
  <c r="C4600" i="9"/>
  <c r="B4600" i="9"/>
  <c r="H4599" i="9"/>
  <c r="G4599" i="9"/>
  <c r="E4599" i="9"/>
  <c r="D4599" i="9"/>
  <c r="C4599" i="9"/>
  <c r="B4599" i="9"/>
  <c r="H4598" i="9"/>
  <c r="G4598" i="9"/>
  <c r="E4598" i="9"/>
  <c r="D4598" i="9"/>
  <c r="C4598" i="9"/>
  <c r="B4598" i="9"/>
  <c r="H4597" i="9"/>
  <c r="G4597" i="9"/>
  <c r="E4597" i="9"/>
  <c r="D4597" i="9"/>
  <c r="C4597" i="9"/>
  <c r="B4597" i="9"/>
  <c r="H4596" i="9"/>
  <c r="G4596" i="9"/>
  <c r="E4596" i="9"/>
  <c r="D4596" i="9"/>
  <c r="C4596" i="9"/>
  <c r="B4596" i="9"/>
  <c r="H4595" i="9"/>
  <c r="G4595" i="9"/>
  <c r="E4595" i="9"/>
  <c r="D4595" i="9"/>
  <c r="C4595" i="9"/>
  <c r="B4595" i="9"/>
  <c r="H4594" i="9"/>
  <c r="G4594" i="9"/>
  <c r="E4594" i="9"/>
  <c r="D4594" i="9"/>
  <c r="C4594" i="9"/>
  <c r="B4594" i="9"/>
  <c r="H4593" i="9"/>
  <c r="G4593" i="9"/>
  <c r="E4593" i="9"/>
  <c r="D4593" i="9"/>
  <c r="C4593" i="9"/>
  <c r="B4593" i="9"/>
  <c r="H4592" i="9"/>
  <c r="G4592" i="9"/>
  <c r="E4592" i="9"/>
  <c r="D4592" i="9"/>
  <c r="C4592" i="9"/>
  <c r="B4592" i="9"/>
  <c r="H4591" i="9"/>
  <c r="G4591" i="9"/>
  <c r="E4591" i="9"/>
  <c r="D4591" i="9"/>
  <c r="C4591" i="9"/>
  <c r="B4591" i="9"/>
  <c r="H4590" i="9"/>
  <c r="G4590" i="9"/>
  <c r="E4590" i="9"/>
  <c r="D4590" i="9"/>
  <c r="C4590" i="9"/>
  <c r="B4590" i="9"/>
  <c r="H4589" i="9"/>
  <c r="G4589" i="9"/>
  <c r="E4589" i="9"/>
  <c r="D4589" i="9"/>
  <c r="C4589" i="9"/>
  <c r="B4589" i="9"/>
  <c r="H4588" i="9"/>
  <c r="G4588" i="9"/>
  <c r="E4588" i="9"/>
  <c r="D4588" i="9"/>
  <c r="C4588" i="9"/>
  <c r="B4588" i="9"/>
  <c r="H4587" i="9"/>
  <c r="G4587" i="9"/>
  <c r="E4587" i="9"/>
  <c r="D4587" i="9"/>
  <c r="C4587" i="9"/>
  <c r="B4587" i="9"/>
  <c r="H4586" i="9"/>
  <c r="G4586" i="9"/>
  <c r="E4586" i="9"/>
  <c r="D4586" i="9"/>
  <c r="C4586" i="9"/>
  <c r="B4586" i="9"/>
  <c r="H4585" i="9"/>
  <c r="G4585" i="9"/>
  <c r="E4585" i="9"/>
  <c r="D4585" i="9"/>
  <c r="C4585" i="9"/>
  <c r="B4585" i="9"/>
  <c r="H4584" i="9"/>
  <c r="G4584" i="9"/>
  <c r="E4584" i="9"/>
  <c r="D4584" i="9"/>
  <c r="C4584" i="9"/>
  <c r="B4584" i="9"/>
  <c r="H4583" i="9"/>
  <c r="G4583" i="9"/>
  <c r="E4583" i="9"/>
  <c r="D4583" i="9"/>
  <c r="C4583" i="9"/>
  <c r="B4583" i="9"/>
  <c r="H4582" i="9"/>
  <c r="G4582" i="9"/>
  <c r="E4582" i="9"/>
  <c r="D4582" i="9"/>
  <c r="C4582" i="9"/>
  <c r="B4582" i="9"/>
  <c r="H4581" i="9"/>
  <c r="G4581" i="9"/>
  <c r="E4581" i="9"/>
  <c r="D4581" i="9"/>
  <c r="C4581" i="9"/>
  <c r="B4581" i="9"/>
  <c r="H4580" i="9"/>
  <c r="G4580" i="9"/>
  <c r="E4580" i="9"/>
  <c r="D4580" i="9"/>
  <c r="C4580" i="9"/>
  <c r="B4580" i="9"/>
  <c r="H4579" i="9"/>
  <c r="G4579" i="9"/>
  <c r="E4579" i="9"/>
  <c r="D4579" i="9"/>
  <c r="C4579" i="9"/>
  <c r="B4579" i="9"/>
  <c r="H4578" i="9"/>
  <c r="G4578" i="9"/>
  <c r="E4578" i="9"/>
  <c r="D4578" i="9"/>
  <c r="C4578" i="9"/>
  <c r="B4578" i="9"/>
  <c r="H4577" i="9"/>
  <c r="G4577" i="9"/>
  <c r="E4577" i="9"/>
  <c r="D4577" i="9"/>
  <c r="C4577" i="9"/>
  <c r="B4577" i="9"/>
  <c r="H4576" i="9"/>
  <c r="G4576" i="9"/>
  <c r="E4576" i="9"/>
  <c r="D4576" i="9"/>
  <c r="C4576" i="9"/>
  <c r="B4576" i="9"/>
  <c r="H4575" i="9"/>
  <c r="G4575" i="9"/>
  <c r="E4575" i="9"/>
  <c r="D4575" i="9"/>
  <c r="C4575" i="9"/>
  <c r="B4575" i="9"/>
  <c r="H4574" i="9"/>
  <c r="G4574" i="9"/>
  <c r="E4574" i="9"/>
  <c r="D4574" i="9"/>
  <c r="C4574" i="9"/>
  <c r="B4574" i="9"/>
  <c r="H4573" i="9"/>
  <c r="G4573" i="9"/>
  <c r="E4573" i="9"/>
  <c r="D4573" i="9"/>
  <c r="C4573" i="9"/>
  <c r="B4573" i="9"/>
  <c r="H4572" i="9"/>
  <c r="G4572" i="9"/>
  <c r="E4572" i="9"/>
  <c r="D4572" i="9"/>
  <c r="C4572" i="9"/>
  <c r="B4572" i="9"/>
  <c r="H4571" i="9"/>
  <c r="G4571" i="9"/>
  <c r="E4571" i="9"/>
  <c r="D4571" i="9"/>
  <c r="C4571" i="9"/>
  <c r="B4571" i="9"/>
  <c r="H4570" i="9"/>
  <c r="G4570" i="9"/>
  <c r="E4570" i="9"/>
  <c r="D4570" i="9"/>
  <c r="C4570" i="9"/>
  <c r="B4570" i="9"/>
  <c r="H4569" i="9"/>
  <c r="G4569" i="9"/>
  <c r="E4569" i="9"/>
  <c r="D4569" i="9"/>
  <c r="C4569" i="9"/>
  <c r="B4569" i="9"/>
  <c r="H4568" i="9"/>
  <c r="G4568" i="9"/>
  <c r="E4568" i="9"/>
  <c r="D4568" i="9"/>
  <c r="C4568" i="9"/>
  <c r="B4568" i="9"/>
  <c r="H4567" i="9"/>
  <c r="G4567" i="9"/>
  <c r="E4567" i="9"/>
  <c r="D4567" i="9"/>
  <c r="C4567" i="9"/>
  <c r="B4567" i="9"/>
  <c r="H4566" i="9"/>
  <c r="G4566" i="9"/>
  <c r="E4566" i="9"/>
  <c r="D4566" i="9"/>
  <c r="C4566" i="9"/>
  <c r="B4566" i="9"/>
  <c r="H4565" i="9"/>
  <c r="G4565" i="9"/>
  <c r="E4565" i="9"/>
  <c r="D4565" i="9"/>
  <c r="C4565" i="9"/>
  <c r="B4565" i="9"/>
  <c r="H4564" i="9"/>
  <c r="G4564" i="9"/>
  <c r="E4564" i="9"/>
  <c r="D4564" i="9"/>
  <c r="C4564" i="9"/>
  <c r="B4564" i="9"/>
  <c r="H4563" i="9"/>
  <c r="G4563" i="9"/>
  <c r="E4563" i="9"/>
  <c r="D4563" i="9"/>
  <c r="C4563" i="9"/>
  <c r="B4563" i="9"/>
  <c r="H4562" i="9"/>
  <c r="G4562" i="9"/>
  <c r="E4562" i="9"/>
  <c r="D4562" i="9"/>
  <c r="C4562" i="9"/>
  <c r="B4562" i="9"/>
  <c r="H4561" i="9"/>
  <c r="G4561" i="9"/>
  <c r="E4561" i="9"/>
  <c r="D4561" i="9"/>
  <c r="C4561" i="9"/>
  <c r="B4561" i="9"/>
  <c r="H4560" i="9"/>
  <c r="G4560" i="9"/>
  <c r="E4560" i="9"/>
  <c r="D4560" i="9"/>
  <c r="C4560" i="9"/>
  <c r="B4560" i="9"/>
  <c r="H4559" i="9"/>
  <c r="G4559" i="9"/>
  <c r="E4559" i="9"/>
  <c r="D4559" i="9"/>
  <c r="C4559" i="9"/>
  <c r="B4559" i="9"/>
  <c r="H4558" i="9"/>
  <c r="G4558" i="9"/>
  <c r="E4558" i="9"/>
  <c r="D4558" i="9"/>
  <c r="C4558" i="9"/>
  <c r="B4558" i="9"/>
  <c r="H4557" i="9"/>
  <c r="G4557" i="9"/>
  <c r="E4557" i="9"/>
  <c r="D4557" i="9"/>
  <c r="C4557" i="9"/>
  <c r="B4557" i="9"/>
  <c r="H4556" i="9"/>
  <c r="G4556" i="9"/>
  <c r="E4556" i="9"/>
  <c r="D4556" i="9"/>
  <c r="C4556" i="9"/>
  <c r="B4556" i="9"/>
  <c r="H4555" i="9"/>
  <c r="G4555" i="9"/>
  <c r="E4555" i="9"/>
  <c r="D4555" i="9"/>
  <c r="C4555" i="9"/>
  <c r="B4555" i="9"/>
  <c r="H4554" i="9"/>
  <c r="G4554" i="9"/>
  <c r="E4554" i="9"/>
  <c r="D4554" i="9"/>
  <c r="C4554" i="9"/>
  <c r="B4554" i="9"/>
  <c r="H4553" i="9"/>
  <c r="G4553" i="9"/>
  <c r="E4553" i="9"/>
  <c r="D4553" i="9"/>
  <c r="C4553" i="9"/>
  <c r="B4553" i="9"/>
  <c r="H4552" i="9"/>
  <c r="G4552" i="9"/>
  <c r="E4552" i="9"/>
  <c r="D4552" i="9"/>
  <c r="C4552" i="9"/>
  <c r="B4552" i="9"/>
  <c r="H4551" i="9"/>
  <c r="G4551" i="9"/>
  <c r="E4551" i="9"/>
  <c r="D4551" i="9"/>
  <c r="C4551" i="9"/>
  <c r="B4551" i="9"/>
  <c r="H4550" i="9"/>
  <c r="G4550" i="9"/>
  <c r="E4550" i="9"/>
  <c r="D4550" i="9"/>
  <c r="C4550" i="9"/>
  <c r="B4550" i="9"/>
  <c r="H4549" i="9"/>
  <c r="G4549" i="9"/>
  <c r="E4549" i="9"/>
  <c r="D4549" i="9"/>
  <c r="C4549" i="9"/>
  <c r="B4549" i="9"/>
  <c r="H4548" i="9"/>
  <c r="G4548" i="9"/>
  <c r="E4548" i="9"/>
  <c r="D4548" i="9"/>
  <c r="C4548" i="9"/>
  <c r="B4548" i="9"/>
  <c r="H4547" i="9"/>
  <c r="G4547" i="9"/>
  <c r="E4547" i="9"/>
  <c r="D4547" i="9"/>
  <c r="C4547" i="9"/>
  <c r="B4547" i="9"/>
  <c r="H4546" i="9"/>
  <c r="G4546" i="9"/>
  <c r="E4546" i="9"/>
  <c r="D4546" i="9"/>
  <c r="C4546" i="9"/>
  <c r="B4546" i="9"/>
  <c r="H4545" i="9"/>
  <c r="G4545" i="9"/>
  <c r="E4545" i="9"/>
  <c r="D4545" i="9"/>
  <c r="C4545" i="9"/>
  <c r="B4545" i="9"/>
  <c r="H4544" i="9"/>
  <c r="G4544" i="9"/>
  <c r="E4544" i="9"/>
  <c r="D4544" i="9"/>
  <c r="C4544" i="9"/>
  <c r="B4544" i="9"/>
  <c r="H4543" i="9"/>
  <c r="G4543" i="9"/>
  <c r="E4543" i="9"/>
  <c r="D4543" i="9"/>
  <c r="C4543" i="9"/>
  <c r="B4543" i="9"/>
  <c r="H4542" i="9"/>
  <c r="G4542" i="9"/>
  <c r="E4542" i="9"/>
  <c r="D4542" i="9"/>
  <c r="C4542" i="9"/>
  <c r="B4542" i="9"/>
  <c r="H4541" i="9"/>
  <c r="G4541" i="9"/>
  <c r="E4541" i="9"/>
  <c r="D4541" i="9"/>
  <c r="C4541" i="9"/>
  <c r="B4541" i="9"/>
  <c r="H4540" i="9"/>
  <c r="G4540" i="9"/>
  <c r="E4540" i="9"/>
  <c r="D4540" i="9"/>
  <c r="C4540" i="9"/>
  <c r="B4540" i="9"/>
  <c r="H4539" i="9"/>
  <c r="G4539" i="9"/>
  <c r="E4539" i="9"/>
  <c r="D4539" i="9"/>
  <c r="C4539" i="9"/>
  <c r="B4539" i="9"/>
  <c r="H4538" i="9"/>
  <c r="G4538" i="9"/>
  <c r="E4538" i="9"/>
  <c r="D4538" i="9"/>
  <c r="C4538" i="9"/>
  <c r="B4538" i="9"/>
  <c r="H4537" i="9"/>
  <c r="G4537" i="9"/>
  <c r="E4537" i="9"/>
  <c r="D4537" i="9"/>
  <c r="C4537" i="9"/>
  <c r="B4537" i="9"/>
  <c r="H4536" i="9"/>
  <c r="G4536" i="9"/>
  <c r="E4536" i="9"/>
  <c r="D4536" i="9"/>
  <c r="C4536" i="9"/>
  <c r="B4536" i="9"/>
  <c r="H4535" i="9"/>
  <c r="G4535" i="9"/>
  <c r="E4535" i="9"/>
  <c r="D4535" i="9"/>
  <c r="C4535" i="9"/>
  <c r="B4535" i="9"/>
  <c r="H4534" i="9"/>
  <c r="G4534" i="9"/>
  <c r="E4534" i="9"/>
  <c r="D4534" i="9"/>
  <c r="C4534" i="9"/>
  <c r="B4534" i="9"/>
  <c r="H4533" i="9"/>
  <c r="G4533" i="9"/>
  <c r="E4533" i="9"/>
  <c r="D4533" i="9"/>
  <c r="C4533" i="9"/>
  <c r="B4533" i="9"/>
  <c r="H4532" i="9"/>
  <c r="G4532" i="9"/>
  <c r="E4532" i="9"/>
  <c r="D4532" i="9"/>
  <c r="C4532" i="9"/>
  <c r="B4532" i="9"/>
  <c r="H4531" i="9"/>
  <c r="G4531" i="9"/>
  <c r="E4531" i="9"/>
  <c r="D4531" i="9"/>
  <c r="C4531" i="9"/>
  <c r="B4531" i="9"/>
  <c r="H4530" i="9"/>
  <c r="G4530" i="9"/>
  <c r="E4530" i="9"/>
  <c r="D4530" i="9"/>
  <c r="C4530" i="9"/>
  <c r="B4530" i="9"/>
  <c r="H4529" i="9"/>
  <c r="G4529" i="9"/>
  <c r="E4529" i="9"/>
  <c r="D4529" i="9"/>
  <c r="C4529" i="9"/>
  <c r="B4529" i="9"/>
  <c r="H4528" i="9"/>
  <c r="G4528" i="9"/>
  <c r="E4528" i="9"/>
  <c r="D4528" i="9"/>
  <c r="C4528" i="9"/>
  <c r="B4528" i="9"/>
  <c r="H4527" i="9"/>
  <c r="G4527" i="9"/>
  <c r="E4527" i="9"/>
  <c r="D4527" i="9"/>
  <c r="C4527" i="9"/>
  <c r="B4527" i="9"/>
  <c r="H4526" i="9"/>
  <c r="G4526" i="9"/>
  <c r="E4526" i="9"/>
  <c r="D4526" i="9"/>
  <c r="C4526" i="9"/>
  <c r="B4526" i="9"/>
  <c r="H4525" i="9"/>
  <c r="G4525" i="9"/>
  <c r="E4525" i="9"/>
  <c r="D4525" i="9"/>
  <c r="C4525" i="9"/>
  <c r="B4525" i="9"/>
  <c r="H4524" i="9"/>
  <c r="G4524" i="9"/>
  <c r="E4524" i="9"/>
  <c r="D4524" i="9"/>
  <c r="C4524" i="9"/>
  <c r="B4524" i="9"/>
  <c r="H4523" i="9"/>
  <c r="G4523" i="9"/>
  <c r="E4523" i="9"/>
  <c r="D4523" i="9"/>
  <c r="C4523" i="9"/>
  <c r="B4523" i="9"/>
  <c r="H4522" i="9"/>
  <c r="G4522" i="9"/>
  <c r="E4522" i="9"/>
  <c r="D4522" i="9"/>
  <c r="C4522" i="9"/>
  <c r="B4522" i="9"/>
  <c r="H4521" i="9"/>
  <c r="G4521" i="9"/>
  <c r="E4521" i="9"/>
  <c r="D4521" i="9"/>
  <c r="C4521" i="9"/>
  <c r="B4521" i="9"/>
  <c r="H4520" i="9"/>
  <c r="G4520" i="9"/>
  <c r="E4520" i="9"/>
  <c r="D4520" i="9"/>
  <c r="C4520" i="9"/>
  <c r="B4520" i="9"/>
  <c r="H4519" i="9"/>
  <c r="G4519" i="9"/>
  <c r="E4519" i="9"/>
  <c r="D4519" i="9"/>
  <c r="C4519" i="9"/>
  <c r="B4519" i="9"/>
  <c r="H4518" i="9"/>
  <c r="G4518" i="9"/>
  <c r="E4518" i="9"/>
  <c r="D4518" i="9"/>
  <c r="C4518" i="9"/>
  <c r="B4518" i="9"/>
  <c r="H4517" i="9"/>
  <c r="G4517" i="9"/>
  <c r="E4517" i="9"/>
  <c r="D4517" i="9"/>
  <c r="C4517" i="9"/>
  <c r="B4517" i="9"/>
  <c r="H4516" i="9"/>
  <c r="G4516" i="9"/>
  <c r="E4516" i="9"/>
  <c r="D4516" i="9"/>
  <c r="C4516" i="9"/>
  <c r="B4516" i="9"/>
  <c r="H4515" i="9"/>
  <c r="G4515" i="9"/>
  <c r="E4515" i="9"/>
  <c r="D4515" i="9"/>
  <c r="C4515" i="9"/>
  <c r="B4515" i="9"/>
  <c r="H4514" i="9"/>
  <c r="G4514" i="9"/>
  <c r="E4514" i="9"/>
  <c r="D4514" i="9"/>
  <c r="C4514" i="9"/>
  <c r="B4514" i="9"/>
  <c r="H4513" i="9"/>
  <c r="G4513" i="9"/>
  <c r="E4513" i="9"/>
  <c r="D4513" i="9"/>
  <c r="C4513" i="9"/>
  <c r="B4513" i="9"/>
  <c r="H4512" i="9"/>
  <c r="G4512" i="9"/>
  <c r="E4512" i="9"/>
  <c r="D4512" i="9"/>
  <c r="C4512" i="9"/>
  <c r="B4512" i="9"/>
  <c r="H4511" i="9"/>
  <c r="G4511" i="9"/>
  <c r="E4511" i="9"/>
  <c r="D4511" i="9"/>
  <c r="C4511" i="9"/>
  <c r="B4511" i="9"/>
  <c r="H4510" i="9"/>
  <c r="G4510" i="9"/>
  <c r="E4510" i="9"/>
  <c r="D4510" i="9"/>
  <c r="C4510" i="9"/>
  <c r="B4510" i="9"/>
  <c r="H4509" i="9"/>
  <c r="G4509" i="9"/>
  <c r="E4509" i="9"/>
  <c r="D4509" i="9"/>
  <c r="C4509" i="9"/>
  <c r="B4509" i="9"/>
  <c r="H4508" i="9"/>
  <c r="G4508" i="9"/>
  <c r="E4508" i="9"/>
  <c r="D4508" i="9"/>
  <c r="C4508" i="9"/>
  <c r="B4508" i="9"/>
  <c r="H4507" i="9"/>
  <c r="G4507" i="9"/>
  <c r="E4507" i="9"/>
  <c r="D4507" i="9"/>
  <c r="C4507" i="9"/>
  <c r="B4507" i="9"/>
  <c r="H4506" i="9"/>
  <c r="G4506" i="9"/>
  <c r="E4506" i="9"/>
  <c r="D4506" i="9"/>
  <c r="C4506" i="9"/>
  <c r="B4506" i="9"/>
  <c r="H4505" i="9"/>
  <c r="G4505" i="9"/>
  <c r="E4505" i="9"/>
  <c r="D4505" i="9"/>
  <c r="C4505" i="9"/>
  <c r="B4505" i="9"/>
  <c r="H4504" i="9"/>
  <c r="G4504" i="9"/>
  <c r="E4504" i="9"/>
  <c r="D4504" i="9"/>
  <c r="C4504" i="9"/>
  <c r="B4504" i="9"/>
  <c r="H4503" i="9"/>
  <c r="G4503" i="9"/>
  <c r="E4503" i="9"/>
  <c r="D4503" i="9"/>
  <c r="C4503" i="9"/>
  <c r="B4503" i="9"/>
  <c r="H4502" i="9"/>
  <c r="G4502" i="9"/>
  <c r="E4502" i="9"/>
  <c r="D4502" i="9"/>
  <c r="C4502" i="9"/>
  <c r="B4502" i="9"/>
  <c r="H4501" i="9"/>
  <c r="G4501" i="9"/>
  <c r="E4501" i="9"/>
  <c r="D4501" i="9"/>
  <c r="C4501" i="9"/>
  <c r="B4501" i="9"/>
  <c r="H4500" i="9"/>
  <c r="G4500" i="9"/>
  <c r="E4500" i="9"/>
  <c r="D4500" i="9"/>
  <c r="C4500" i="9"/>
  <c r="B4500" i="9"/>
  <c r="H4499" i="9"/>
  <c r="G4499" i="9"/>
  <c r="E4499" i="9"/>
  <c r="D4499" i="9"/>
  <c r="C4499" i="9"/>
  <c r="B4499" i="9"/>
  <c r="H4498" i="9"/>
  <c r="G4498" i="9"/>
  <c r="E4498" i="9"/>
  <c r="D4498" i="9"/>
  <c r="C4498" i="9"/>
  <c r="B4498" i="9"/>
  <c r="H4497" i="9"/>
  <c r="G4497" i="9"/>
  <c r="E4497" i="9"/>
  <c r="D4497" i="9"/>
  <c r="C4497" i="9"/>
  <c r="B4497" i="9"/>
  <c r="H4496" i="9"/>
  <c r="G4496" i="9"/>
  <c r="E4496" i="9"/>
  <c r="D4496" i="9"/>
  <c r="C4496" i="9"/>
  <c r="B4496" i="9"/>
  <c r="H4495" i="9"/>
  <c r="G4495" i="9"/>
  <c r="E4495" i="9"/>
  <c r="D4495" i="9"/>
  <c r="C4495" i="9"/>
  <c r="B4495" i="9"/>
  <c r="H4494" i="9"/>
  <c r="G4494" i="9"/>
  <c r="E4494" i="9"/>
  <c r="D4494" i="9"/>
  <c r="C4494" i="9"/>
  <c r="B4494" i="9"/>
  <c r="H4493" i="9"/>
  <c r="G4493" i="9"/>
  <c r="E4493" i="9"/>
  <c r="D4493" i="9"/>
  <c r="C4493" i="9"/>
  <c r="B4493" i="9"/>
  <c r="H4492" i="9"/>
  <c r="G4492" i="9"/>
  <c r="E4492" i="9"/>
  <c r="D4492" i="9"/>
  <c r="C4492" i="9"/>
  <c r="B4492" i="9"/>
  <c r="H4491" i="9"/>
  <c r="G4491" i="9"/>
  <c r="E4491" i="9"/>
  <c r="D4491" i="9"/>
  <c r="C4491" i="9"/>
  <c r="B4491" i="9"/>
  <c r="H4490" i="9"/>
  <c r="G4490" i="9"/>
  <c r="E4490" i="9"/>
  <c r="D4490" i="9"/>
  <c r="C4490" i="9"/>
  <c r="B4490" i="9"/>
  <c r="H4489" i="9"/>
  <c r="G4489" i="9"/>
  <c r="E4489" i="9"/>
  <c r="D4489" i="9"/>
  <c r="C4489" i="9"/>
  <c r="B4489" i="9"/>
  <c r="H4488" i="9"/>
  <c r="G4488" i="9"/>
  <c r="E4488" i="9"/>
  <c r="D4488" i="9"/>
  <c r="C4488" i="9"/>
  <c r="B4488" i="9"/>
  <c r="H4487" i="9"/>
  <c r="G4487" i="9"/>
  <c r="E4487" i="9"/>
  <c r="D4487" i="9"/>
  <c r="C4487" i="9"/>
  <c r="B4487" i="9"/>
  <c r="H4486" i="9"/>
  <c r="G4486" i="9"/>
  <c r="E4486" i="9"/>
  <c r="D4486" i="9"/>
  <c r="C4486" i="9"/>
  <c r="B4486" i="9"/>
  <c r="H4485" i="9"/>
  <c r="G4485" i="9"/>
  <c r="E4485" i="9"/>
  <c r="D4485" i="9"/>
  <c r="C4485" i="9"/>
  <c r="B4485" i="9"/>
  <c r="H4484" i="9"/>
  <c r="G4484" i="9"/>
  <c r="E4484" i="9"/>
  <c r="D4484" i="9"/>
  <c r="C4484" i="9"/>
  <c r="B4484" i="9"/>
  <c r="H4483" i="9"/>
  <c r="G4483" i="9"/>
  <c r="E4483" i="9"/>
  <c r="D4483" i="9"/>
  <c r="C4483" i="9"/>
  <c r="B4483" i="9"/>
  <c r="H4482" i="9"/>
  <c r="G4482" i="9"/>
  <c r="E4482" i="9"/>
  <c r="D4482" i="9"/>
  <c r="C4482" i="9"/>
  <c r="B4482" i="9"/>
  <c r="H4481" i="9"/>
  <c r="G4481" i="9"/>
  <c r="E4481" i="9"/>
  <c r="D4481" i="9"/>
  <c r="C4481" i="9"/>
  <c r="B4481" i="9"/>
  <c r="H4480" i="9"/>
  <c r="G4480" i="9"/>
  <c r="E4480" i="9"/>
  <c r="D4480" i="9"/>
  <c r="C4480" i="9"/>
  <c r="B4480" i="9"/>
  <c r="H4479" i="9"/>
  <c r="G4479" i="9"/>
  <c r="E4479" i="9"/>
  <c r="D4479" i="9"/>
  <c r="C4479" i="9"/>
  <c r="B4479" i="9"/>
  <c r="H4478" i="9"/>
  <c r="G4478" i="9"/>
  <c r="E4478" i="9"/>
  <c r="D4478" i="9"/>
  <c r="C4478" i="9"/>
  <c r="B4478" i="9"/>
  <c r="H4477" i="9"/>
  <c r="G4477" i="9"/>
  <c r="E4477" i="9"/>
  <c r="D4477" i="9"/>
  <c r="C4477" i="9"/>
  <c r="B4477" i="9"/>
  <c r="H4476" i="9"/>
  <c r="G4476" i="9"/>
  <c r="E4476" i="9"/>
  <c r="D4476" i="9"/>
  <c r="C4476" i="9"/>
  <c r="B4476" i="9"/>
  <c r="H4475" i="9"/>
  <c r="G4475" i="9"/>
  <c r="E4475" i="9"/>
  <c r="D4475" i="9"/>
  <c r="C4475" i="9"/>
  <c r="B4475" i="9"/>
  <c r="H4474" i="9"/>
  <c r="G4474" i="9"/>
  <c r="E4474" i="9"/>
  <c r="D4474" i="9"/>
  <c r="C4474" i="9"/>
  <c r="B4474" i="9"/>
  <c r="H4473" i="9"/>
  <c r="G4473" i="9"/>
  <c r="E4473" i="9"/>
  <c r="D4473" i="9"/>
  <c r="C4473" i="9"/>
  <c r="B4473" i="9"/>
  <c r="H4472" i="9"/>
  <c r="G4472" i="9"/>
  <c r="E4472" i="9"/>
  <c r="D4472" i="9"/>
  <c r="C4472" i="9"/>
  <c r="B4472" i="9"/>
  <c r="H4471" i="9"/>
  <c r="G4471" i="9"/>
  <c r="E4471" i="9"/>
  <c r="D4471" i="9"/>
  <c r="C4471" i="9"/>
  <c r="B4471" i="9"/>
  <c r="H4470" i="9"/>
  <c r="G4470" i="9"/>
  <c r="E4470" i="9"/>
  <c r="D4470" i="9"/>
  <c r="C4470" i="9"/>
  <c r="B4470" i="9"/>
  <c r="H4469" i="9"/>
  <c r="G4469" i="9"/>
  <c r="E4469" i="9"/>
  <c r="D4469" i="9"/>
  <c r="C4469" i="9"/>
  <c r="B4469" i="9"/>
  <c r="H4468" i="9"/>
  <c r="G4468" i="9"/>
  <c r="E4468" i="9"/>
  <c r="D4468" i="9"/>
  <c r="C4468" i="9"/>
  <c r="B4468" i="9"/>
  <c r="H4467" i="9"/>
  <c r="G4467" i="9"/>
  <c r="E4467" i="9"/>
  <c r="D4467" i="9"/>
  <c r="C4467" i="9"/>
  <c r="B4467" i="9"/>
  <c r="H4466" i="9"/>
  <c r="G4466" i="9"/>
  <c r="E4466" i="9"/>
  <c r="D4466" i="9"/>
  <c r="C4466" i="9"/>
  <c r="B4466" i="9"/>
  <c r="H4465" i="9"/>
  <c r="G4465" i="9"/>
  <c r="E4465" i="9"/>
  <c r="D4465" i="9"/>
  <c r="C4465" i="9"/>
  <c r="B4465" i="9"/>
  <c r="H4464" i="9"/>
  <c r="G4464" i="9"/>
  <c r="E4464" i="9"/>
  <c r="D4464" i="9"/>
  <c r="C4464" i="9"/>
  <c r="B4464" i="9"/>
  <c r="H4463" i="9"/>
  <c r="G4463" i="9"/>
  <c r="E4463" i="9"/>
  <c r="D4463" i="9"/>
  <c r="C4463" i="9"/>
  <c r="B4463" i="9"/>
  <c r="H4462" i="9"/>
  <c r="G4462" i="9"/>
  <c r="E4462" i="9"/>
  <c r="D4462" i="9"/>
  <c r="C4462" i="9"/>
  <c r="B4462" i="9"/>
  <c r="H4461" i="9"/>
  <c r="G4461" i="9"/>
  <c r="E4461" i="9"/>
  <c r="D4461" i="9"/>
  <c r="C4461" i="9"/>
  <c r="B4461" i="9"/>
  <c r="H4460" i="9"/>
  <c r="G4460" i="9"/>
  <c r="E4460" i="9"/>
  <c r="D4460" i="9"/>
  <c r="C4460" i="9"/>
  <c r="B4460" i="9"/>
  <c r="H4459" i="9"/>
  <c r="G4459" i="9"/>
  <c r="E4459" i="9"/>
  <c r="D4459" i="9"/>
  <c r="C4459" i="9"/>
  <c r="B4459" i="9"/>
  <c r="H4458" i="9"/>
  <c r="G4458" i="9"/>
  <c r="E4458" i="9"/>
  <c r="D4458" i="9"/>
  <c r="C4458" i="9"/>
  <c r="B4458" i="9"/>
  <c r="H4457" i="9"/>
  <c r="G4457" i="9"/>
  <c r="E4457" i="9"/>
  <c r="D4457" i="9"/>
  <c r="C4457" i="9"/>
  <c r="B4457" i="9"/>
  <c r="H4456" i="9"/>
  <c r="G4456" i="9"/>
  <c r="E4456" i="9"/>
  <c r="D4456" i="9"/>
  <c r="C4456" i="9"/>
  <c r="B4456" i="9"/>
  <c r="H4455" i="9"/>
  <c r="G4455" i="9"/>
  <c r="E4455" i="9"/>
  <c r="D4455" i="9"/>
  <c r="C4455" i="9"/>
  <c r="B4455" i="9"/>
  <c r="H4454" i="9"/>
  <c r="G4454" i="9"/>
  <c r="E4454" i="9"/>
  <c r="D4454" i="9"/>
  <c r="C4454" i="9"/>
  <c r="B4454" i="9"/>
  <c r="H4453" i="9"/>
  <c r="G4453" i="9"/>
  <c r="E4453" i="9"/>
  <c r="D4453" i="9"/>
  <c r="C4453" i="9"/>
  <c r="B4453" i="9"/>
  <c r="H4452" i="9"/>
  <c r="G4452" i="9"/>
  <c r="E4452" i="9"/>
  <c r="D4452" i="9"/>
  <c r="C4452" i="9"/>
  <c r="B4452" i="9"/>
  <c r="H4451" i="9"/>
  <c r="G4451" i="9"/>
  <c r="E4451" i="9"/>
  <c r="D4451" i="9"/>
  <c r="C4451" i="9"/>
  <c r="B4451" i="9"/>
  <c r="H4450" i="9"/>
  <c r="G4450" i="9"/>
  <c r="E4450" i="9"/>
  <c r="D4450" i="9"/>
  <c r="C4450" i="9"/>
  <c r="B4450" i="9"/>
  <c r="H4449" i="9"/>
  <c r="G4449" i="9"/>
  <c r="E4449" i="9"/>
  <c r="D4449" i="9"/>
  <c r="C4449" i="9"/>
  <c r="B4449" i="9"/>
  <c r="H4448" i="9"/>
  <c r="G4448" i="9"/>
  <c r="E4448" i="9"/>
  <c r="D4448" i="9"/>
  <c r="C4448" i="9"/>
  <c r="B4448" i="9"/>
  <c r="H4447" i="9"/>
  <c r="G4447" i="9"/>
  <c r="E4447" i="9"/>
  <c r="D4447" i="9"/>
  <c r="C4447" i="9"/>
  <c r="B4447" i="9"/>
  <c r="H4446" i="9"/>
  <c r="G4446" i="9"/>
  <c r="E4446" i="9"/>
  <c r="D4446" i="9"/>
  <c r="C4446" i="9"/>
  <c r="B4446" i="9"/>
  <c r="H4445" i="9"/>
  <c r="G4445" i="9"/>
  <c r="E4445" i="9"/>
  <c r="D4445" i="9"/>
  <c r="C4445" i="9"/>
  <c r="B4445" i="9"/>
  <c r="H4444" i="9"/>
  <c r="G4444" i="9"/>
  <c r="E4444" i="9"/>
  <c r="D4444" i="9"/>
  <c r="C4444" i="9"/>
  <c r="B4444" i="9"/>
  <c r="H4443" i="9"/>
  <c r="G4443" i="9"/>
  <c r="E4443" i="9"/>
  <c r="D4443" i="9"/>
  <c r="C4443" i="9"/>
  <c r="B4443" i="9"/>
  <c r="H4442" i="9"/>
  <c r="G4442" i="9"/>
  <c r="E4442" i="9"/>
  <c r="D4442" i="9"/>
  <c r="C4442" i="9"/>
  <c r="B4442" i="9"/>
  <c r="H4441" i="9"/>
  <c r="G4441" i="9"/>
  <c r="E4441" i="9"/>
  <c r="D4441" i="9"/>
  <c r="C4441" i="9"/>
  <c r="B4441" i="9"/>
  <c r="H4440" i="9"/>
  <c r="G4440" i="9"/>
  <c r="E4440" i="9"/>
  <c r="D4440" i="9"/>
  <c r="C4440" i="9"/>
  <c r="B4440" i="9"/>
  <c r="H4439" i="9"/>
  <c r="G4439" i="9"/>
  <c r="E4439" i="9"/>
  <c r="D4439" i="9"/>
  <c r="C4439" i="9"/>
  <c r="B4439" i="9"/>
  <c r="H4438" i="9"/>
  <c r="G4438" i="9"/>
  <c r="E4438" i="9"/>
  <c r="D4438" i="9"/>
  <c r="C4438" i="9"/>
  <c r="B4438" i="9"/>
  <c r="H4437" i="9"/>
  <c r="G4437" i="9"/>
  <c r="E4437" i="9"/>
  <c r="D4437" i="9"/>
  <c r="C4437" i="9"/>
  <c r="B4437" i="9"/>
  <c r="H4436" i="9"/>
  <c r="G4436" i="9"/>
  <c r="E4436" i="9"/>
  <c r="D4436" i="9"/>
  <c r="C4436" i="9"/>
  <c r="B4436" i="9"/>
  <c r="H4435" i="9"/>
  <c r="G4435" i="9"/>
  <c r="E4435" i="9"/>
  <c r="D4435" i="9"/>
  <c r="C4435" i="9"/>
  <c r="B4435" i="9"/>
  <c r="H4434" i="9"/>
  <c r="G4434" i="9"/>
  <c r="E4434" i="9"/>
  <c r="D4434" i="9"/>
  <c r="C4434" i="9"/>
  <c r="B4434" i="9"/>
  <c r="H4433" i="9"/>
  <c r="G4433" i="9"/>
  <c r="E4433" i="9"/>
  <c r="D4433" i="9"/>
  <c r="C4433" i="9"/>
  <c r="B4433" i="9"/>
  <c r="H4432" i="9"/>
  <c r="G4432" i="9"/>
  <c r="E4432" i="9"/>
  <c r="D4432" i="9"/>
  <c r="C4432" i="9"/>
  <c r="B4432" i="9"/>
  <c r="H4431" i="9"/>
  <c r="G4431" i="9"/>
  <c r="E4431" i="9"/>
  <c r="D4431" i="9"/>
  <c r="C4431" i="9"/>
  <c r="B4431" i="9"/>
  <c r="H4430" i="9"/>
  <c r="G4430" i="9"/>
  <c r="E4430" i="9"/>
  <c r="D4430" i="9"/>
  <c r="C4430" i="9"/>
  <c r="B4430" i="9"/>
  <c r="H4429" i="9"/>
  <c r="G4429" i="9"/>
  <c r="E4429" i="9"/>
  <c r="D4429" i="9"/>
  <c r="C4429" i="9"/>
  <c r="B4429" i="9"/>
  <c r="H4428" i="9"/>
  <c r="G4428" i="9"/>
  <c r="E4428" i="9"/>
  <c r="D4428" i="9"/>
  <c r="C4428" i="9"/>
  <c r="B4428" i="9"/>
  <c r="H4427" i="9"/>
  <c r="G4427" i="9"/>
  <c r="E4427" i="9"/>
  <c r="D4427" i="9"/>
  <c r="C4427" i="9"/>
  <c r="B4427" i="9"/>
  <c r="H4426" i="9"/>
  <c r="G4426" i="9"/>
  <c r="E4426" i="9"/>
  <c r="D4426" i="9"/>
  <c r="C4426" i="9"/>
  <c r="B4426" i="9"/>
  <c r="H4425" i="9"/>
  <c r="G4425" i="9"/>
  <c r="E4425" i="9"/>
  <c r="D4425" i="9"/>
  <c r="C4425" i="9"/>
  <c r="B4425" i="9"/>
  <c r="H4424" i="9"/>
  <c r="G4424" i="9"/>
  <c r="E4424" i="9"/>
  <c r="D4424" i="9"/>
  <c r="C4424" i="9"/>
  <c r="B4424" i="9"/>
  <c r="H4423" i="9"/>
  <c r="G4423" i="9"/>
  <c r="E4423" i="9"/>
  <c r="D4423" i="9"/>
  <c r="C4423" i="9"/>
  <c r="B4423" i="9"/>
  <c r="H4422" i="9"/>
  <c r="G4422" i="9"/>
  <c r="E4422" i="9"/>
  <c r="D4422" i="9"/>
  <c r="C4422" i="9"/>
  <c r="B4422" i="9"/>
  <c r="H4421" i="9"/>
  <c r="G4421" i="9"/>
  <c r="E4421" i="9"/>
  <c r="D4421" i="9"/>
  <c r="C4421" i="9"/>
  <c r="B4421" i="9"/>
  <c r="H4420" i="9"/>
  <c r="G4420" i="9"/>
  <c r="E4420" i="9"/>
  <c r="D4420" i="9"/>
  <c r="C4420" i="9"/>
  <c r="B4420" i="9"/>
  <c r="H4419" i="9"/>
  <c r="G4419" i="9"/>
  <c r="E4419" i="9"/>
  <c r="D4419" i="9"/>
  <c r="C4419" i="9"/>
  <c r="B4419" i="9"/>
  <c r="H4418" i="9"/>
  <c r="G4418" i="9"/>
  <c r="E4418" i="9"/>
  <c r="D4418" i="9"/>
  <c r="C4418" i="9"/>
  <c r="B4418" i="9"/>
  <c r="H4417" i="9"/>
  <c r="G4417" i="9"/>
  <c r="E4417" i="9"/>
  <c r="D4417" i="9"/>
  <c r="C4417" i="9"/>
  <c r="B4417" i="9"/>
  <c r="H4416" i="9"/>
  <c r="G4416" i="9"/>
  <c r="E4416" i="9"/>
  <c r="D4416" i="9"/>
  <c r="C4416" i="9"/>
  <c r="B4416" i="9"/>
  <c r="H4415" i="9"/>
  <c r="G4415" i="9"/>
  <c r="E4415" i="9"/>
  <c r="D4415" i="9"/>
  <c r="C4415" i="9"/>
  <c r="B4415" i="9"/>
  <c r="H4414" i="9"/>
  <c r="G4414" i="9"/>
  <c r="E4414" i="9"/>
  <c r="D4414" i="9"/>
  <c r="C4414" i="9"/>
  <c r="B4414" i="9"/>
  <c r="H4413" i="9"/>
  <c r="G4413" i="9"/>
  <c r="E4413" i="9"/>
  <c r="D4413" i="9"/>
  <c r="C4413" i="9"/>
  <c r="B4413" i="9"/>
  <c r="H4412" i="9"/>
  <c r="G4412" i="9"/>
  <c r="E4412" i="9"/>
  <c r="D4412" i="9"/>
  <c r="C4412" i="9"/>
  <c r="B4412" i="9"/>
  <c r="H4411" i="9"/>
  <c r="G4411" i="9"/>
  <c r="E4411" i="9"/>
  <c r="D4411" i="9"/>
  <c r="C4411" i="9"/>
  <c r="B4411" i="9"/>
  <c r="H4410" i="9"/>
  <c r="G4410" i="9"/>
  <c r="E4410" i="9"/>
  <c r="D4410" i="9"/>
  <c r="C4410" i="9"/>
  <c r="B4410" i="9"/>
  <c r="H4409" i="9"/>
  <c r="G4409" i="9"/>
  <c r="E4409" i="9"/>
  <c r="D4409" i="9"/>
  <c r="C4409" i="9"/>
  <c r="B4409" i="9"/>
  <c r="H4408" i="9"/>
  <c r="G4408" i="9"/>
  <c r="E4408" i="9"/>
  <c r="D4408" i="9"/>
  <c r="C4408" i="9"/>
  <c r="B4408" i="9"/>
  <c r="H4407" i="9"/>
  <c r="G4407" i="9"/>
  <c r="E4407" i="9"/>
  <c r="D4407" i="9"/>
  <c r="C4407" i="9"/>
  <c r="B4407" i="9"/>
  <c r="H4406" i="9"/>
  <c r="G4406" i="9"/>
  <c r="E4406" i="9"/>
  <c r="D4406" i="9"/>
  <c r="C4406" i="9"/>
  <c r="B4406" i="9"/>
  <c r="H4405" i="9"/>
  <c r="G4405" i="9"/>
  <c r="E4405" i="9"/>
  <c r="D4405" i="9"/>
  <c r="C4405" i="9"/>
  <c r="B4405" i="9"/>
  <c r="H4404" i="9"/>
  <c r="G4404" i="9"/>
  <c r="E4404" i="9"/>
  <c r="D4404" i="9"/>
  <c r="C4404" i="9"/>
  <c r="B4404" i="9"/>
  <c r="H4403" i="9"/>
  <c r="G4403" i="9"/>
  <c r="E4403" i="9"/>
  <c r="D4403" i="9"/>
  <c r="C4403" i="9"/>
  <c r="B4403" i="9"/>
  <c r="H4402" i="9"/>
  <c r="G4402" i="9"/>
  <c r="E4402" i="9"/>
  <c r="D4402" i="9"/>
  <c r="C4402" i="9"/>
  <c r="B4402" i="9"/>
  <c r="H4401" i="9"/>
  <c r="G4401" i="9"/>
  <c r="E4401" i="9"/>
  <c r="D4401" i="9"/>
  <c r="C4401" i="9"/>
  <c r="B4401" i="9"/>
  <c r="H4400" i="9"/>
  <c r="G4400" i="9"/>
  <c r="E4400" i="9"/>
  <c r="D4400" i="9"/>
  <c r="C4400" i="9"/>
  <c r="B4400" i="9"/>
  <c r="H4399" i="9"/>
  <c r="G4399" i="9"/>
  <c r="E4399" i="9"/>
  <c r="D4399" i="9"/>
  <c r="C4399" i="9"/>
  <c r="B4399" i="9"/>
  <c r="H4398" i="9"/>
  <c r="G4398" i="9"/>
  <c r="E4398" i="9"/>
  <c r="D4398" i="9"/>
  <c r="C4398" i="9"/>
  <c r="B4398" i="9"/>
  <c r="H4397" i="9"/>
  <c r="G4397" i="9"/>
  <c r="E4397" i="9"/>
  <c r="D4397" i="9"/>
  <c r="C4397" i="9"/>
  <c r="B4397" i="9"/>
  <c r="H4396" i="9"/>
  <c r="G4396" i="9"/>
  <c r="E4396" i="9"/>
  <c r="D4396" i="9"/>
  <c r="C4396" i="9"/>
  <c r="B4396" i="9"/>
  <c r="H4395" i="9"/>
  <c r="G4395" i="9"/>
  <c r="E4395" i="9"/>
  <c r="D4395" i="9"/>
  <c r="C4395" i="9"/>
  <c r="B4395" i="9"/>
  <c r="H4394" i="9"/>
  <c r="G4394" i="9"/>
  <c r="E4394" i="9"/>
  <c r="D4394" i="9"/>
  <c r="C4394" i="9"/>
  <c r="B4394" i="9"/>
  <c r="H4393" i="9"/>
  <c r="G4393" i="9"/>
  <c r="E4393" i="9"/>
  <c r="D4393" i="9"/>
  <c r="C4393" i="9"/>
  <c r="B4393" i="9"/>
  <c r="H4392" i="9"/>
  <c r="G4392" i="9"/>
  <c r="E4392" i="9"/>
  <c r="D4392" i="9"/>
  <c r="C4392" i="9"/>
  <c r="B4392" i="9"/>
  <c r="H4391" i="9"/>
  <c r="G4391" i="9"/>
  <c r="E4391" i="9"/>
  <c r="D4391" i="9"/>
  <c r="C4391" i="9"/>
  <c r="B4391" i="9"/>
  <c r="H4390" i="9"/>
  <c r="G4390" i="9"/>
  <c r="E4390" i="9"/>
  <c r="D4390" i="9"/>
  <c r="C4390" i="9"/>
  <c r="B4390" i="9"/>
  <c r="H4389" i="9"/>
  <c r="G4389" i="9"/>
  <c r="E4389" i="9"/>
  <c r="D4389" i="9"/>
  <c r="C4389" i="9"/>
  <c r="B4389" i="9"/>
  <c r="H4388" i="9"/>
  <c r="G4388" i="9"/>
  <c r="E4388" i="9"/>
  <c r="D4388" i="9"/>
  <c r="C4388" i="9"/>
  <c r="B4388" i="9"/>
  <c r="H4387" i="9"/>
  <c r="G4387" i="9"/>
  <c r="E4387" i="9"/>
  <c r="D4387" i="9"/>
  <c r="C4387" i="9"/>
  <c r="B4387" i="9"/>
  <c r="H4386" i="9"/>
  <c r="G4386" i="9"/>
  <c r="E4386" i="9"/>
  <c r="D4386" i="9"/>
  <c r="C4386" i="9"/>
  <c r="B4386" i="9"/>
  <c r="H4385" i="9"/>
  <c r="G4385" i="9"/>
  <c r="E4385" i="9"/>
  <c r="D4385" i="9"/>
  <c r="C4385" i="9"/>
  <c r="B4385" i="9"/>
  <c r="H4384" i="9"/>
  <c r="G4384" i="9"/>
  <c r="E4384" i="9"/>
  <c r="D4384" i="9"/>
  <c r="C4384" i="9"/>
  <c r="B4384" i="9"/>
  <c r="H4383" i="9"/>
  <c r="G4383" i="9"/>
  <c r="E4383" i="9"/>
  <c r="D4383" i="9"/>
  <c r="C4383" i="9"/>
  <c r="B4383" i="9"/>
  <c r="H4382" i="9"/>
  <c r="G4382" i="9"/>
  <c r="E4382" i="9"/>
  <c r="D4382" i="9"/>
  <c r="C4382" i="9"/>
  <c r="B4382" i="9"/>
  <c r="H4381" i="9"/>
  <c r="G4381" i="9"/>
  <c r="E4381" i="9"/>
  <c r="D4381" i="9"/>
  <c r="C4381" i="9"/>
  <c r="B4381" i="9"/>
  <c r="H4380" i="9"/>
  <c r="G4380" i="9"/>
  <c r="E4380" i="9"/>
  <c r="D4380" i="9"/>
  <c r="C4380" i="9"/>
  <c r="B4380" i="9"/>
  <c r="H4379" i="9"/>
  <c r="G4379" i="9"/>
  <c r="E4379" i="9"/>
  <c r="D4379" i="9"/>
  <c r="C4379" i="9"/>
  <c r="B4379" i="9"/>
  <c r="H4378" i="9"/>
  <c r="G4378" i="9"/>
  <c r="E4378" i="9"/>
  <c r="D4378" i="9"/>
  <c r="C4378" i="9"/>
  <c r="B4378" i="9"/>
  <c r="H4377" i="9"/>
  <c r="G4377" i="9"/>
  <c r="E4377" i="9"/>
  <c r="D4377" i="9"/>
  <c r="C4377" i="9"/>
  <c r="B4377" i="9"/>
  <c r="H4376" i="9"/>
  <c r="G4376" i="9"/>
  <c r="E4376" i="9"/>
  <c r="D4376" i="9"/>
  <c r="C4376" i="9"/>
  <c r="B4376" i="9"/>
  <c r="H4375" i="9"/>
  <c r="G4375" i="9"/>
  <c r="E4375" i="9"/>
  <c r="D4375" i="9"/>
  <c r="C4375" i="9"/>
  <c r="B4375" i="9"/>
  <c r="H4374" i="9"/>
  <c r="G4374" i="9"/>
  <c r="E4374" i="9"/>
  <c r="D4374" i="9"/>
  <c r="C4374" i="9"/>
  <c r="B4374" i="9"/>
  <c r="H4373" i="9"/>
  <c r="G4373" i="9"/>
  <c r="E4373" i="9"/>
  <c r="D4373" i="9"/>
  <c r="C4373" i="9"/>
  <c r="B4373" i="9"/>
  <c r="H4372" i="9"/>
  <c r="G4372" i="9"/>
  <c r="E4372" i="9"/>
  <c r="D4372" i="9"/>
  <c r="C4372" i="9"/>
  <c r="B4372" i="9"/>
  <c r="H4371" i="9"/>
  <c r="G4371" i="9"/>
  <c r="E4371" i="9"/>
  <c r="D4371" i="9"/>
  <c r="C4371" i="9"/>
  <c r="B4371" i="9"/>
  <c r="H4370" i="9"/>
  <c r="G4370" i="9"/>
  <c r="E4370" i="9"/>
  <c r="D4370" i="9"/>
  <c r="C4370" i="9"/>
  <c r="B4370" i="9"/>
  <c r="H4369" i="9"/>
  <c r="G4369" i="9"/>
  <c r="E4369" i="9"/>
  <c r="D4369" i="9"/>
  <c r="C4369" i="9"/>
  <c r="B4369" i="9"/>
  <c r="H4368" i="9"/>
  <c r="G4368" i="9"/>
  <c r="E4368" i="9"/>
  <c r="D4368" i="9"/>
  <c r="C4368" i="9"/>
  <c r="B4368" i="9"/>
  <c r="H4367" i="9"/>
  <c r="G4367" i="9"/>
  <c r="E4367" i="9"/>
  <c r="D4367" i="9"/>
  <c r="C4367" i="9"/>
  <c r="B4367" i="9"/>
  <c r="H4366" i="9"/>
  <c r="G4366" i="9"/>
  <c r="E4366" i="9"/>
  <c r="D4366" i="9"/>
  <c r="C4366" i="9"/>
  <c r="B4366" i="9"/>
  <c r="H4365" i="9"/>
  <c r="G4365" i="9"/>
  <c r="E4365" i="9"/>
  <c r="D4365" i="9"/>
  <c r="C4365" i="9"/>
  <c r="B4365" i="9"/>
  <c r="H4364" i="9"/>
  <c r="G4364" i="9"/>
  <c r="E4364" i="9"/>
  <c r="D4364" i="9"/>
  <c r="C4364" i="9"/>
  <c r="B4364" i="9"/>
  <c r="H4363" i="9"/>
  <c r="G4363" i="9"/>
  <c r="E4363" i="9"/>
  <c r="D4363" i="9"/>
  <c r="C4363" i="9"/>
  <c r="B4363" i="9"/>
  <c r="H4362" i="9"/>
  <c r="G4362" i="9"/>
  <c r="E4362" i="9"/>
  <c r="D4362" i="9"/>
  <c r="C4362" i="9"/>
  <c r="B4362" i="9"/>
  <c r="H4361" i="9"/>
  <c r="G4361" i="9"/>
  <c r="E4361" i="9"/>
  <c r="D4361" i="9"/>
  <c r="C4361" i="9"/>
  <c r="B4361" i="9"/>
  <c r="H4360" i="9"/>
  <c r="G4360" i="9"/>
  <c r="E4360" i="9"/>
  <c r="D4360" i="9"/>
  <c r="C4360" i="9"/>
  <c r="B4360" i="9"/>
  <c r="H4359" i="9"/>
  <c r="G4359" i="9"/>
  <c r="E4359" i="9"/>
  <c r="D4359" i="9"/>
  <c r="C4359" i="9"/>
  <c r="B4359" i="9"/>
  <c r="H4358" i="9"/>
  <c r="G4358" i="9"/>
  <c r="E4358" i="9"/>
  <c r="D4358" i="9"/>
  <c r="C4358" i="9"/>
  <c r="B4358" i="9"/>
  <c r="H4357" i="9"/>
  <c r="G4357" i="9"/>
  <c r="E4357" i="9"/>
  <c r="D4357" i="9"/>
  <c r="C4357" i="9"/>
  <c r="B4357" i="9"/>
  <c r="H4356" i="9"/>
  <c r="G4356" i="9"/>
  <c r="E4356" i="9"/>
  <c r="D4356" i="9"/>
  <c r="C4356" i="9"/>
  <c r="B4356" i="9"/>
  <c r="H4355" i="9"/>
  <c r="G4355" i="9"/>
  <c r="E4355" i="9"/>
  <c r="D4355" i="9"/>
  <c r="C4355" i="9"/>
  <c r="B4355" i="9"/>
  <c r="H4354" i="9"/>
  <c r="G4354" i="9"/>
  <c r="E4354" i="9"/>
  <c r="D4354" i="9"/>
  <c r="C4354" i="9"/>
  <c r="B4354" i="9"/>
  <c r="H4353" i="9"/>
  <c r="G4353" i="9"/>
  <c r="E4353" i="9"/>
  <c r="D4353" i="9"/>
  <c r="C4353" i="9"/>
  <c r="B4353" i="9"/>
  <c r="H4352" i="9"/>
  <c r="G4352" i="9"/>
  <c r="E4352" i="9"/>
  <c r="D4352" i="9"/>
  <c r="C4352" i="9"/>
  <c r="B4352" i="9"/>
  <c r="H4351" i="9"/>
  <c r="G4351" i="9"/>
  <c r="E4351" i="9"/>
  <c r="D4351" i="9"/>
  <c r="C4351" i="9"/>
  <c r="B4351" i="9"/>
  <c r="H4350" i="9"/>
  <c r="G4350" i="9"/>
  <c r="E4350" i="9"/>
  <c r="D4350" i="9"/>
  <c r="C4350" i="9"/>
  <c r="B4350" i="9"/>
  <c r="H4349" i="9"/>
  <c r="G4349" i="9"/>
  <c r="E4349" i="9"/>
  <c r="D4349" i="9"/>
  <c r="C4349" i="9"/>
  <c r="B4349" i="9"/>
  <c r="H4348" i="9"/>
  <c r="G4348" i="9"/>
  <c r="E4348" i="9"/>
  <c r="D4348" i="9"/>
  <c r="C4348" i="9"/>
  <c r="B4348" i="9"/>
  <c r="H4347" i="9"/>
  <c r="G4347" i="9"/>
  <c r="E4347" i="9"/>
  <c r="D4347" i="9"/>
  <c r="C4347" i="9"/>
  <c r="B4347" i="9"/>
  <c r="H4346" i="9"/>
  <c r="G4346" i="9"/>
  <c r="E4346" i="9"/>
  <c r="D4346" i="9"/>
  <c r="C4346" i="9"/>
  <c r="B4346" i="9"/>
  <c r="H4345" i="9"/>
  <c r="G4345" i="9"/>
  <c r="E4345" i="9"/>
  <c r="D4345" i="9"/>
  <c r="C4345" i="9"/>
  <c r="B4345" i="9"/>
  <c r="H4344" i="9"/>
  <c r="G4344" i="9"/>
  <c r="E4344" i="9"/>
  <c r="D4344" i="9"/>
  <c r="C4344" i="9"/>
  <c r="B4344" i="9"/>
  <c r="H4343" i="9"/>
  <c r="G4343" i="9"/>
  <c r="E4343" i="9"/>
  <c r="D4343" i="9"/>
  <c r="C4343" i="9"/>
  <c r="B4343" i="9"/>
  <c r="H4342" i="9"/>
  <c r="G4342" i="9"/>
  <c r="E4342" i="9"/>
  <c r="D4342" i="9"/>
  <c r="C4342" i="9"/>
  <c r="B4342" i="9"/>
  <c r="H4341" i="9"/>
  <c r="G4341" i="9"/>
  <c r="E4341" i="9"/>
  <c r="D4341" i="9"/>
  <c r="C4341" i="9"/>
  <c r="B4341" i="9"/>
  <c r="H4340" i="9"/>
  <c r="G4340" i="9"/>
  <c r="E4340" i="9"/>
  <c r="D4340" i="9"/>
  <c r="C4340" i="9"/>
  <c r="B4340" i="9"/>
  <c r="H4339" i="9"/>
  <c r="G4339" i="9"/>
  <c r="E4339" i="9"/>
  <c r="D4339" i="9"/>
  <c r="C4339" i="9"/>
  <c r="B4339" i="9"/>
  <c r="H4338" i="9"/>
  <c r="G4338" i="9"/>
  <c r="E4338" i="9"/>
  <c r="D4338" i="9"/>
  <c r="C4338" i="9"/>
  <c r="B4338" i="9"/>
  <c r="H4337" i="9"/>
  <c r="G4337" i="9"/>
  <c r="E4337" i="9"/>
  <c r="D4337" i="9"/>
  <c r="C4337" i="9"/>
  <c r="B4337" i="9"/>
  <c r="H4336" i="9"/>
  <c r="G4336" i="9"/>
  <c r="E4336" i="9"/>
  <c r="D4336" i="9"/>
  <c r="C4336" i="9"/>
  <c r="B4336" i="9"/>
  <c r="H4335" i="9"/>
  <c r="G4335" i="9"/>
  <c r="E4335" i="9"/>
  <c r="D4335" i="9"/>
  <c r="C4335" i="9"/>
  <c r="B4335" i="9"/>
  <c r="H4334" i="9"/>
  <c r="G4334" i="9"/>
  <c r="E4334" i="9"/>
  <c r="D4334" i="9"/>
  <c r="C4334" i="9"/>
  <c r="B4334" i="9"/>
  <c r="H4333" i="9"/>
  <c r="G4333" i="9"/>
  <c r="E4333" i="9"/>
  <c r="D4333" i="9"/>
  <c r="C4333" i="9"/>
  <c r="B4333" i="9"/>
  <c r="H4332" i="9"/>
  <c r="G4332" i="9"/>
  <c r="E4332" i="9"/>
  <c r="D4332" i="9"/>
  <c r="C4332" i="9"/>
  <c r="B4332" i="9"/>
  <c r="H4331" i="9"/>
  <c r="G4331" i="9"/>
  <c r="E4331" i="9"/>
  <c r="D4331" i="9"/>
  <c r="C4331" i="9"/>
  <c r="B4331" i="9"/>
  <c r="H4330" i="9"/>
  <c r="G4330" i="9"/>
  <c r="E4330" i="9"/>
  <c r="D4330" i="9"/>
  <c r="C4330" i="9"/>
  <c r="B4330" i="9"/>
  <c r="H4329" i="9"/>
  <c r="G4329" i="9"/>
  <c r="E4329" i="9"/>
  <c r="D4329" i="9"/>
  <c r="C4329" i="9"/>
  <c r="B4329" i="9"/>
  <c r="H4328" i="9"/>
  <c r="G4328" i="9"/>
  <c r="E4328" i="9"/>
  <c r="D4328" i="9"/>
  <c r="C4328" i="9"/>
  <c r="B4328" i="9"/>
  <c r="H4327" i="9"/>
  <c r="G4327" i="9"/>
  <c r="E4327" i="9"/>
  <c r="D4327" i="9"/>
  <c r="C4327" i="9"/>
  <c r="B4327" i="9"/>
  <c r="H4326" i="9"/>
  <c r="G4326" i="9"/>
  <c r="E4326" i="9"/>
  <c r="D4326" i="9"/>
  <c r="C4326" i="9"/>
  <c r="B4326" i="9"/>
  <c r="H4325" i="9"/>
  <c r="G4325" i="9"/>
  <c r="E4325" i="9"/>
  <c r="D4325" i="9"/>
  <c r="C4325" i="9"/>
  <c r="B4325" i="9"/>
  <c r="H4324" i="9"/>
  <c r="G4324" i="9"/>
  <c r="E4324" i="9"/>
  <c r="D4324" i="9"/>
  <c r="C4324" i="9"/>
  <c r="B4324" i="9"/>
  <c r="H4323" i="9"/>
  <c r="G4323" i="9"/>
  <c r="E4323" i="9"/>
  <c r="D4323" i="9"/>
  <c r="C4323" i="9"/>
  <c r="B4323" i="9"/>
  <c r="H4322" i="9"/>
  <c r="G4322" i="9"/>
  <c r="E4322" i="9"/>
  <c r="D4322" i="9"/>
  <c r="C4322" i="9"/>
  <c r="B4322" i="9"/>
  <c r="H4321" i="9"/>
  <c r="G4321" i="9"/>
  <c r="E4321" i="9"/>
  <c r="D4321" i="9"/>
  <c r="C4321" i="9"/>
  <c r="B4321" i="9"/>
  <c r="H4320" i="9"/>
  <c r="G4320" i="9"/>
  <c r="E4320" i="9"/>
  <c r="D4320" i="9"/>
  <c r="C4320" i="9"/>
  <c r="B4320" i="9"/>
  <c r="H4319" i="9"/>
  <c r="G4319" i="9"/>
  <c r="E4319" i="9"/>
  <c r="D4319" i="9"/>
  <c r="C4319" i="9"/>
  <c r="B4319" i="9"/>
  <c r="H4318" i="9"/>
  <c r="G4318" i="9"/>
  <c r="E4318" i="9"/>
  <c r="D4318" i="9"/>
  <c r="C4318" i="9"/>
  <c r="B4318" i="9"/>
  <c r="H4317" i="9"/>
  <c r="G4317" i="9"/>
  <c r="E4317" i="9"/>
  <c r="D4317" i="9"/>
  <c r="C4317" i="9"/>
  <c r="B4317" i="9"/>
  <c r="H4316" i="9"/>
  <c r="G4316" i="9"/>
  <c r="E4316" i="9"/>
  <c r="D4316" i="9"/>
  <c r="C4316" i="9"/>
  <c r="B4316" i="9"/>
  <c r="H4315" i="9"/>
  <c r="G4315" i="9"/>
  <c r="E4315" i="9"/>
  <c r="D4315" i="9"/>
  <c r="C4315" i="9"/>
  <c r="B4315" i="9"/>
  <c r="H4314" i="9"/>
  <c r="G4314" i="9"/>
  <c r="E4314" i="9"/>
  <c r="D4314" i="9"/>
  <c r="C4314" i="9"/>
  <c r="B4314" i="9"/>
  <c r="H4313" i="9"/>
  <c r="G4313" i="9"/>
  <c r="E4313" i="9"/>
  <c r="D4313" i="9"/>
  <c r="C4313" i="9"/>
  <c r="B4313" i="9"/>
  <c r="H4312" i="9"/>
  <c r="G4312" i="9"/>
  <c r="E4312" i="9"/>
  <c r="D4312" i="9"/>
  <c r="C4312" i="9"/>
  <c r="B4312" i="9"/>
  <c r="H4311" i="9"/>
  <c r="G4311" i="9"/>
  <c r="E4311" i="9"/>
  <c r="D4311" i="9"/>
  <c r="C4311" i="9"/>
  <c r="B4311" i="9"/>
  <c r="H4310" i="9"/>
  <c r="G4310" i="9"/>
  <c r="E4310" i="9"/>
  <c r="D4310" i="9"/>
  <c r="C4310" i="9"/>
  <c r="B4310" i="9"/>
  <c r="H4309" i="9"/>
  <c r="G4309" i="9"/>
  <c r="E4309" i="9"/>
  <c r="D4309" i="9"/>
  <c r="C4309" i="9"/>
  <c r="B4309" i="9"/>
  <c r="H4308" i="9"/>
  <c r="G4308" i="9"/>
  <c r="E4308" i="9"/>
  <c r="D4308" i="9"/>
  <c r="C4308" i="9"/>
  <c r="B4308" i="9"/>
  <c r="H4307" i="9"/>
  <c r="G4307" i="9"/>
  <c r="E4307" i="9"/>
  <c r="D4307" i="9"/>
  <c r="C4307" i="9"/>
  <c r="B4307" i="9"/>
  <c r="H4306" i="9"/>
  <c r="G4306" i="9"/>
  <c r="E4306" i="9"/>
  <c r="D4306" i="9"/>
  <c r="C4306" i="9"/>
  <c r="B4306" i="9"/>
  <c r="H4305" i="9"/>
  <c r="G4305" i="9"/>
  <c r="E4305" i="9"/>
  <c r="D4305" i="9"/>
  <c r="C4305" i="9"/>
  <c r="B4305" i="9"/>
  <c r="H4304" i="9"/>
  <c r="G4304" i="9"/>
  <c r="E4304" i="9"/>
  <c r="D4304" i="9"/>
  <c r="C4304" i="9"/>
  <c r="B4304" i="9"/>
  <c r="H4303" i="9"/>
  <c r="G4303" i="9"/>
  <c r="E4303" i="9"/>
  <c r="D4303" i="9"/>
  <c r="C4303" i="9"/>
  <c r="B4303" i="9"/>
  <c r="H4302" i="9"/>
  <c r="G4302" i="9"/>
  <c r="E4302" i="9"/>
  <c r="D4302" i="9"/>
  <c r="C4302" i="9"/>
  <c r="B4302" i="9"/>
  <c r="H4301" i="9"/>
  <c r="G4301" i="9"/>
  <c r="E4301" i="9"/>
  <c r="D4301" i="9"/>
  <c r="C4301" i="9"/>
  <c r="B4301" i="9"/>
  <c r="H4300" i="9"/>
  <c r="G4300" i="9"/>
  <c r="E4300" i="9"/>
  <c r="D4300" i="9"/>
  <c r="C4300" i="9"/>
  <c r="B4300" i="9"/>
  <c r="H4299" i="9"/>
  <c r="G4299" i="9"/>
  <c r="E4299" i="9"/>
  <c r="D4299" i="9"/>
  <c r="C4299" i="9"/>
  <c r="B4299" i="9"/>
  <c r="H4298" i="9"/>
  <c r="G4298" i="9"/>
  <c r="E4298" i="9"/>
  <c r="D4298" i="9"/>
  <c r="C4298" i="9"/>
  <c r="B4298" i="9"/>
  <c r="H4297" i="9"/>
  <c r="G4297" i="9"/>
  <c r="E4297" i="9"/>
  <c r="D4297" i="9"/>
  <c r="C4297" i="9"/>
  <c r="B4297" i="9"/>
  <c r="H4296" i="9"/>
  <c r="G4296" i="9"/>
  <c r="E4296" i="9"/>
  <c r="D4296" i="9"/>
  <c r="C4296" i="9"/>
  <c r="B4296" i="9"/>
  <c r="H4295" i="9"/>
  <c r="G4295" i="9"/>
  <c r="E4295" i="9"/>
  <c r="D4295" i="9"/>
  <c r="C4295" i="9"/>
  <c r="B4295" i="9"/>
  <c r="H4294" i="9"/>
  <c r="G4294" i="9"/>
  <c r="E4294" i="9"/>
  <c r="D4294" i="9"/>
  <c r="C4294" i="9"/>
  <c r="B4294" i="9"/>
  <c r="H4293" i="9"/>
  <c r="G4293" i="9"/>
  <c r="E4293" i="9"/>
  <c r="D4293" i="9"/>
  <c r="C4293" i="9"/>
  <c r="B4293" i="9"/>
  <c r="H4292" i="9"/>
  <c r="G4292" i="9"/>
  <c r="E4292" i="9"/>
  <c r="D4292" i="9"/>
  <c r="C4292" i="9"/>
  <c r="B4292" i="9"/>
  <c r="H4291" i="9"/>
  <c r="G4291" i="9"/>
  <c r="E4291" i="9"/>
  <c r="D4291" i="9"/>
  <c r="C4291" i="9"/>
  <c r="B4291" i="9"/>
  <c r="H4290" i="9"/>
  <c r="G4290" i="9"/>
  <c r="E4290" i="9"/>
  <c r="D4290" i="9"/>
  <c r="C4290" i="9"/>
  <c r="B4290" i="9"/>
  <c r="H4289" i="9"/>
  <c r="G4289" i="9"/>
  <c r="E4289" i="9"/>
  <c r="D4289" i="9"/>
  <c r="C4289" i="9"/>
  <c r="B4289" i="9"/>
  <c r="H4288" i="9"/>
  <c r="G4288" i="9"/>
  <c r="E4288" i="9"/>
  <c r="D4288" i="9"/>
  <c r="C4288" i="9"/>
  <c r="B4288" i="9"/>
  <c r="H4287" i="9"/>
  <c r="G4287" i="9"/>
  <c r="E4287" i="9"/>
  <c r="D4287" i="9"/>
  <c r="C4287" i="9"/>
  <c r="B4287" i="9"/>
  <c r="H4286" i="9"/>
  <c r="G4286" i="9"/>
  <c r="E4286" i="9"/>
  <c r="D4286" i="9"/>
  <c r="C4286" i="9"/>
  <c r="B4286" i="9"/>
  <c r="H4285" i="9"/>
  <c r="G4285" i="9"/>
  <c r="E4285" i="9"/>
  <c r="D4285" i="9"/>
  <c r="C4285" i="9"/>
  <c r="B4285" i="9"/>
  <c r="H4284" i="9"/>
  <c r="G4284" i="9"/>
  <c r="E4284" i="9"/>
  <c r="D4284" i="9"/>
  <c r="C4284" i="9"/>
  <c r="B4284" i="9"/>
  <c r="H4283" i="9"/>
  <c r="G4283" i="9"/>
  <c r="E4283" i="9"/>
  <c r="D4283" i="9"/>
  <c r="C4283" i="9"/>
  <c r="B4283" i="9"/>
  <c r="H4282" i="9"/>
  <c r="G4282" i="9"/>
  <c r="E4282" i="9"/>
  <c r="D4282" i="9"/>
  <c r="C4282" i="9"/>
  <c r="B4282" i="9"/>
  <c r="H4281" i="9"/>
  <c r="G4281" i="9"/>
  <c r="E4281" i="9"/>
  <c r="D4281" i="9"/>
  <c r="C4281" i="9"/>
  <c r="B4281" i="9"/>
  <c r="H4280" i="9"/>
  <c r="G4280" i="9"/>
  <c r="E4280" i="9"/>
  <c r="D4280" i="9"/>
  <c r="C4280" i="9"/>
  <c r="B4280" i="9"/>
  <c r="H4279" i="9"/>
  <c r="G4279" i="9"/>
  <c r="E4279" i="9"/>
  <c r="D4279" i="9"/>
  <c r="C4279" i="9"/>
  <c r="B4279" i="9"/>
  <c r="H4278" i="9"/>
  <c r="G4278" i="9"/>
  <c r="E4278" i="9"/>
  <c r="D4278" i="9"/>
  <c r="C4278" i="9"/>
  <c r="B4278" i="9"/>
  <c r="H4277" i="9"/>
  <c r="G4277" i="9"/>
  <c r="E4277" i="9"/>
  <c r="D4277" i="9"/>
  <c r="C4277" i="9"/>
  <c r="B4277" i="9"/>
  <c r="H4276" i="9"/>
  <c r="G4276" i="9"/>
  <c r="E4276" i="9"/>
  <c r="D4276" i="9"/>
  <c r="C4276" i="9"/>
  <c r="B4276" i="9"/>
  <c r="H4275" i="9"/>
  <c r="G4275" i="9"/>
  <c r="E4275" i="9"/>
  <c r="D4275" i="9"/>
  <c r="C4275" i="9"/>
  <c r="B4275" i="9"/>
  <c r="H4274" i="9"/>
  <c r="G4274" i="9"/>
  <c r="E4274" i="9"/>
  <c r="D4274" i="9"/>
  <c r="C4274" i="9"/>
  <c r="B4274" i="9"/>
  <c r="H4273" i="9"/>
  <c r="G4273" i="9"/>
  <c r="E4273" i="9"/>
  <c r="D4273" i="9"/>
  <c r="C4273" i="9"/>
  <c r="B4273" i="9"/>
  <c r="H4272" i="9"/>
  <c r="G4272" i="9"/>
  <c r="E4272" i="9"/>
  <c r="D4272" i="9"/>
  <c r="C4272" i="9"/>
  <c r="B4272" i="9"/>
  <c r="H4271" i="9"/>
  <c r="G4271" i="9"/>
  <c r="E4271" i="9"/>
  <c r="D4271" i="9"/>
  <c r="C4271" i="9"/>
  <c r="B4271" i="9"/>
  <c r="H4270" i="9"/>
  <c r="G4270" i="9"/>
  <c r="E4270" i="9"/>
  <c r="D4270" i="9"/>
  <c r="C4270" i="9"/>
  <c r="B4270" i="9"/>
  <c r="H4269" i="9"/>
  <c r="G4269" i="9"/>
  <c r="E4269" i="9"/>
  <c r="D4269" i="9"/>
  <c r="C4269" i="9"/>
  <c r="B4269" i="9"/>
  <c r="H4268" i="9"/>
  <c r="G4268" i="9"/>
  <c r="E4268" i="9"/>
  <c r="D4268" i="9"/>
  <c r="C4268" i="9"/>
  <c r="B4268" i="9"/>
  <c r="H4267" i="9"/>
  <c r="G4267" i="9"/>
  <c r="E4267" i="9"/>
  <c r="D4267" i="9"/>
  <c r="C4267" i="9"/>
  <c r="B4267" i="9"/>
  <c r="H4266" i="9"/>
  <c r="G4266" i="9"/>
  <c r="E4266" i="9"/>
  <c r="D4266" i="9"/>
  <c r="C4266" i="9"/>
  <c r="B4266" i="9"/>
  <c r="H4265" i="9"/>
  <c r="G4265" i="9"/>
  <c r="E4265" i="9"/>
  <c r="D4265" i="9"/>
  <c r="C4265" i="9"/>
  <c r="B4265" i="9"/>
  <c r="H4264" i="9"/>
  <c r="G4264" i="9"/>
  <c r="E4264" i="9"/>
  <c r="D4264" i="9"/>
  <c r="C4264" i="9"/>
  <c r="B4264" i="9"/>
  <c r="H4263" i="9"/>
  <c r="G4263" i="9"/>
  <c r="E4263" i="9"/>
  <c r="D4263" i="9"/>
  <c r="C4263" i="9"/>
  <c r="B4263" i="9"/>
  <c r="H4262" i="9"/>
  <c r="G4262" i="9"/>
  <c r="E4262" i="9"/>
  <c r="D4262" i="9"/>
  <c r="C4262" i="9"/>
  <c r="B4262" i="9"/>
  <c r="H4261" i="9"/>
  <c r="G4261" i="9"/>
  <c r="E4261" i="9"/>
  <c r="D4261" i="9"/>
  <c r="C4261" i="9"/>
  <c r="B4261" i="9"/>
  <c r="H4260" i="9"/>
  <c r="G4260" i="9"/>
  <c r="E4260" i="9"/>
  <c r="D4260" i="9"/>
  <c r="C4260" i="9"/>
  <c r="B4260" i="9"/>
  <c r="H4259" i="9"/>
  <c r="G4259" i="9"/>
  <c r="E4259" i="9"/>
  <c r="D4259" i="9"/>
  <c r="C4259" i="9"/>
  <c r="B4259" i="9"/>
  <c r="H4258" i="9"/>
  <c r="G4258" i="9"/>
  <c r="E4258" i="9"/>
  <c r="D4258" i="9"/>
  <c r="C4258" i="9"/>
  <c r="B4258" i="9"/>
  <c r="H4257" i="9"/>
  <c r="G4257" i="9"/>
  <c r="E4257" i="9"/>
  <c r="D4257" i="9"/>
  <c r="C4257" i="9"/>
  <c r="B4257" i="9"/>
  <c r="H4256" i="9"/>
  <c r="G4256" i="9"/>
  <c r="E4256" i="9"/>
  <c r="D4256" i="9"/>
  <c r="C4256" i="9"/>
  <c r="B4256" i="9"/>
  <c r="H4255" i="9"/>
  <c r="G4255" i="9"/>
  <c r="E4255" i="9"/>
  <c r="D4255" i="9"/>
  <c r="C4255" i="9"/>
  <c r="B4255" i="9"/>
  <c r="H4254" i="9"/>
  <c r="G4254" i="9"/>
  <c r="E4254" i="9"/>
  <c r="D4254" i="9"/>
  <c r="C4254" i="9"/>
  <c r="B4254" i="9"/>
  <c r="H4253" i="9"/>
  <c r="G4253" i="9"/>
  <c r="E4253" i="9"/>
  <c r="D4253" i="9"/>
  <c r="C4253" i="9"/>
  <c r="B4253" i="9"/>
  <c r="H4252" i="9"/>
  <c r="G4252" i="9"/>
  <c r="E4252" i="9"/>
  <c r="D4252" i="9"/>
  <c r="C4252" i="9"/>
  <c r="B4252" i="9"/>
  <c r="H4251" i="9"/>
  <c r="G4251" i="9"/>
  <c r="E4251" i="9"/>
  <c r="D4251" i="9"/>
  <c r="C4251" i="9"/>
  <c r="B4251" i="9"/>
  <c r="H4250" i="9"/>
  <c r="G4250" i="9"/>
  <c r="E4250" i="9"/>
  <c r="D4250" i="9"/>
  <c r="C4250" i="9"/>
  <c r="B4250" i="9"/>
  <c r="H4249" i="9"/>
  <c r="G4249" i="9"/>
  <c r="E4249" i="9"/>
  <c r="D4249" i="9"/>
  <c r="C4249" i="9"/>
  <c r="B4249" i="9"/>
  <c r="H4248" i="9"/>
  <c r="G4248" i="9"/>
  <c r="E4248" i="9"/>
  <c r="D4248" i="9"/>
  <c r="C4248" i="9"/>
  <c r="B4248" i="9"/>
  <c r="H4247" i="9"/>
  <c r="G4247" i="9"/>
  <c r="E4247" i="9"/>
  <c r="D4247" i="9"/>
  <c r="C4247" i="9"/>
  <c r="B4247" i="9"/>
  <c r="H4246" i="9"/>
  <c r="G4246" i="9"/>
  <c r="E4246" i="9"/>
  <c r="D4246" i="9"/>
  <c r="C4246" i="9"/>
  <c r="B4246" i="9"/>
  <c r="H4245" i="9"/>
  <c r="G4245" i="9"/>
  <c r="E4245" i="9"/>
  <c r="D4245" i="9"/>
  <c r="C4245" i="9"/>
  <c r="B4245" i="9"/>
  <c r="H4244" i="9"/>
  <c r="G4244" i="9"/>
  <c r="E4244" i="9"/>
  <c r="D4244" i="9"/>
  <c r="C4244" i="9"/>
  <c r="B4244" i="9"/>
  <c r="H4243" i="9"/>
  <c r="G4243" i="9"/>
  <c r="E4243" i="9"/>
  <c r="D4243" i="9"/>
  <c r="C4243" i="9"/>
  <c r="B4243" i="9"/>
  <c r="H4242" i="9"/>
  <c r="G4242" i="9"/>
  <c r="E4242" i="9"/>
  <c r="D4242" i="9"/>
  <c r="C4242" i="9"/>
  <c r="B4242" i="9"/>
  <c r="H4241" i="9"/>
  <c r="G4241" i="9"/>
  <c r="E4241" i="9"/>
  <c r="D4241" i="9"/>
  <c r="C4241" i="9"/>
  <c r="B4241" i="9"/>
  <c r="H4240" i="9"/>
  <c r="G4240" i="9"/>
  <c r="E4240" i="9"/>
  <c r="D4240" i="9"/>
  <c r="C4240" i="9"/>
  <c r="B4240" i="9"/>
  <c r="H4239" i="9"/>
  <c r="G4239" i="9"/>
  <c r="E4239" i="9"/>
  <c r="D4239" i="9"/>
  <c r="C4239" i="9"/>
  <c r="B4239" i="9"/>
  <c r="H4238" i="9"/>
  <c r="G4238" i="9"/>
  <c r="E4238" i="9"/>
  <c r="D4238" i="9"/>
  <c r="C4238" i="9"/>
  <c r="B4238" i="9"/>
  <c r="H4237" i="9"/>
  <c r="G4237" i="9"/>
  <c r="E4237" i="9"/>
  <c r="D4237" i="9"/>
  <c r="C4237" i="9"/>
  <c r="B4237" i="9"/>
  <c r="H4236" i="9"/>
  <c r="G4236" i="9"/>
  <c r="E4236" i="9"/>
  <c r="D4236" i="9"/>
  <c r="C4236" i="9"/>
  <c r="B4236" i="9"/>
  <c r="H4235" i="9"/>
  <c r="G4235" i="9"/>
  <c r="E4235" i="9"/>
  <c r="D4235" i="9"/>
  <c r="C4235" i="9"/>
  <c r="B4235" i="9"/>
  <c r="H4234" i="9"/>
  <c r="G4234" i="9"/>
  <c r="E4234" i="9"/>
  <c r="D4234" i="9"/>
  <c r="C4234" i="9"/>
  <c r="B4234" i="9"/>
  <c r="H4233" i="9"/>
  <c r="G4233" i="9"/>
  <c r="E4233" i="9"/>
  <c r="D4233" i="9"/>
  <c r="C4233" i="9"/>
  <c r="B4233" i="9"/>
  <c r="H4232" i="9"/>
  <c r="G4232" i="9"/>
  <c r="E4232" i="9"/>
  <c r="D4232" i="9"/>
  <c r="C4232" i="9"/>
  <c r="B4232" i="9"/>
  <c r="H4231" i="9"/>
  <c r="G4231" i="9"/>
  <c r="E4231" i="9"/>
  <c r="D4231" i="9"/>
  <c r="C4231" i="9"/>
  <c r="B4231" i="9"/>
  <c r="H4230" i="9"/>
  <c r="G4230" i="9"/>
  <c r="E4230" i="9"/>
  <c r="D4230" i="9"/>
  <c r="C4230" i="9"/>
  <c r="B4230" i="9"/>
  <c r="H4229" i="9"/>
  <c r="G4229" i="9"/>
  <c r="E4229" i="9"/>
  <c r="D4229" i="9"/>
  <c r="C4229" i="9"/>
  <c r="B4229" i="9"/>
  <c r="H4228" i="9"/>
  <c r="G4228" i="9"/>
  <c r="E4228" i="9"/>
  <c r="D4228" i="9"/>
  <c r="C4228" i="9"/>
  <c r="B4228" i="9"/>
  <c r="H4227" i="9"/>
  <c r="G4227" i="9"/>
  <c r="E4227" i="9"/>
  <c r="D4227" i="9"/>
  <c r="C4227" i="9"/>
  <c r="B4227" i="9"/>
  <c r="H4226" i="9"/>
  <c r="G4226" i="9"/>
  <c r="E4226" i="9"/>
  <c r="D4226" i="9"/>
  <c r="C4226" i="9"/>
  <c r="B4226" i="9"/>
  <c r="H4225" i="9"/>
  <c r="G4225" i="9"/>
  <c r="E4225" i="9"/>
  <c r="D4225" i="9"/>
  <c r="C4225" i="9"/>
  <c r="B4225" i="9"/>
  <c r="H4224" i="9"/>
  <c r="G4224" i="9"/>
  <c r="E4224" i="9"/>
  <c r="D4224" i="9"/>
  <c r="C4224" i="9"/>
  <c r="B4224" i="9"/>
  <c r="H4223" i="9"/>
  <c r="G4223" i="9"/>
  <c r="E4223" i="9"/>
  <c r="D4223" i="9"/>
  <c r="C4223" i="9"/>
  <c r="B4223" i="9"/>
  <c r="H4222" i="9"/>
  <c r="G4222" i="9"/>
  <c r="E4222" i="9"/>
  <c r="D4222" i="9"/>
  <c r="C4222" i="9"/>
  <c r="B4222" i="9"/>
  <c r="H4221" i="9"/>
  <c r="G4221" i="9"/>
  <c r="E4221" i="9"/>
  <c r="D4221" i="9"/>
  <c r="C4221" i="9"/>
  <c r="B4221" i="9"/>
  <c r="H4220" i="9"/>
  <c r="G4220" i="9"/>
  <c r="E4220" i="9"/>
  <c r="D4220" i="9"/>
  <c r="C4220" i="9"/>
  <c r="B4220" i="9"/>
  <c r="H4219" i="9"/>
  <c r="G4219" i="9"/>
  <c r="E4219" i="9"/>
  <c r="D4219" i="9"/>
  <c r="C4219" i="9"/>
  <c r="B4219" i="9"/>
  <c r="H4218" i="9"/>
  <c r="G4218" i="9"/>
  <c r="E4218" i="9"/>
  <c r="D4218" i="9"/>
  <c r="C4218" i="9"/>
  <c r="B4218" i="9"/>
  <c r="H4217" i="9"/>
  <c r="G4217" i="9"/>
  <c r="E4217" i="9"/>
  <c r="D4217" i="9"/>
  <c r="C4217" i="9"/>
  <c r="B4217" i="9"/>
  <c r="H4216" i="9"/>
  <c r="G4216" i="9"/>
  <c r="E4216" i="9"/>
  <c r="D4216" i="9"/>
  <c r="C4216" i="9"/>
  <c r="B4216" i="9"/>
  <c r="H4215" i="9"/>
  <c r="G4215" i="9"/>
  <c r="E4215" i="9"/>
  <c r="D4215" i="9"/>
  <c r="C4215" i="9"/>
  <c r="B4215" i="9"/>
  <c r="H4214" i="9"/>
  <c r="G4214" i="9"/>
  <c r="E4214" i="9"/>
  <c r="D4214" i="9"/>
  <c r="C4214" i="9"/>
  <c r="B4214" i="9"/>
  <c r="H4213" i="9"/>
  <c r="G4213" i="9"/>
  <c r="E4213" i="9"/>
  <c r="D4213" i="9"/>
  <c r="C4213" i="9"/>
  <c r="B4213" i="9"/>
  <c r="H4212" i="9"/>
  <c r="G4212" i="9"/>
  <c r="E4212" i="9"/>
  <c r="D4212" i="9"/>
  <c r="C4212" i="9"/>
  <c r="B4212" i="9"/>
  <c r="H4211" i="9"/>
  <c r="G4211" i="9"/>
  <c r="E4211" i="9"/>
  <c r="D4211" i="9"/>
  <c r="C4211" i="9"/>
  <c r="B4211" i="9"/>
  <c r="H4210" i="9"/>
  <c r="G4210" i="9"/>
  <c r="E4210" i="9"/>
  <c r="D4210" i="9"/>
  <c r="C4210" i="9"/>
  <c r="B4210" i="9"/>
  <c r="H4209" i="9"/>
  <c r="G4209" i="9"/>
  <c r="E4209" i="9"/>
  <c r="D4209" i="9"/>
  <c r="C4209" i="9"/>
  <c r="B4209" i="9"/>
  <c r="H4208" i="9"/>
  <c r="G4208" i="9"/>
  <c r="E4208" i="9"/>
  <c r="D4208" i="9"/>
  <c r="C4208" i="9"/>
  <c r="B4208" i="9"/>
  <c r="H4207" i="9"/>
  <c r="G4207" i="9"/>
  <c r="E4207" i="9"/>
  <c r="D4207" i="9"/>
  <c r="C4207" i="9"/>
  <c r="B4207" i="9"/>
  <c r="H4206" i="9"/>
  <c r="G4206" i="9"/>
  <c r="E4206" i="9"/>
  <c r="D4206" i="9"/>
  <c r="C4206" i="9"/>
  <c r="B4206" i="9"/>
  <c r="H4205" i="9"/>
  <c r="G4205" i="9"/>
  <c r="E4205" i="9"/>
  <c r="D4205" i="9"/>
  <c r="C4205" i="9"/>
  <c r="B4205" i="9"/>
  <c r="H4204" i="9"/>
  <c r="G4204" i="9"/>
  <c r="E4204" i="9"/>
  <c r="D4204" i="9"/>
  <c r="C4204" i="9"/>
  <c r="B4204" i="9"/>
  <c r="H4203" i="9"/>
  <c r="G4203" i="9"/>
  <c r="E4203" i="9"/>
  <c r="D4203" i="9"/>
  <c r="C4203" i="9"/>
  <c r="B4203" i="9"/>
  <c r="H4202" i="9"/>
  <c r="G4202" i="9"/>
  <c r="E4202" i="9"/>
  <c r="D4202" i="9"/>
  <c r="C4202" i="9"/>
  <c r="B4202" i="9"/>
  <c r="H4201" i="9"/>
  <c r="G4201" i="9"/>
  <c r="E4201" i="9"/>
  <c r="D4201" i="9"/>
  <c r="C4201" i="9"/>
  <c r="B4201" i="9"/>
  <c r="H4200" i="9"/>
  <c r="G4200" i="9"/>
  <c r="E4200" i="9"/>
  <c r="D4200" i="9"/>
  <c r="C4200" i="9"/>
  <c r="B4200" i="9"/>
  <c r="H4199" i="9"/>
  <c r="G4199" i="9"/>
  <c r="E4199" i="9"/>
  <c r="D4199" i="9"/>
  <c r="C4199" i="9"/>
  <c r="B4199" i="9"/>
  <c r="H4198" i="9"/>
  <c r="G4198" i="9"/>
  <c r="E4198" i="9"/>
  <c r="D4198" i="9"/>
  <c r="C4198" i="9"/>
  <c r="B4198" i="9"/>
  <c r="H4197" i="9"/>
  <c r="G4197" i="9"/>
  <c r="E4197" i="9"/>
  <c r="D4197" i="9"/>
  <c r="C4197" i="9"/>
  <c r="B4197" i="9"/>
  <c r="H4196" i="9"/>
  <c r="G4196" i="9"/>
  <c r="E4196" i="9"/>
  <c r="D4196" i="9"/>
  <c r="C4196" i="9"/>
  <c r="B4196" i="9"/>
  <c r="H4195" i="9"/>
  <c r="G4195" i="9"/>
  <c r="E4195" i="9"/>
  <c r="D4195" i="9"/>
  <c r="C4195" i="9"/>
  <c r="B4195" i="9"/>
  <c r="H4194" i="9"/>
  <c r="G4194" i="9"/>
  <c r="E4194" i="9"/>
  <c r="D4194" i="9"/>
  <c r="C4194" i="9"/>
  <c r="B4194" i="9"/>
  <c r="H4193" i="9"/>
  <c r="G4193" i="9"/>
  <c r="E4193" i="9"/>
  <c r="D4193" i="9"/>
  <c r="C4193" i="9"/>
  <c r="B4193" i="9"/>
  <c r="H4192" i="9"/>
  <c r="G4192" i="9"/>
  <c r="E4192" i="9"/>
  <c r="D4192" i="9"/>
  <c r="C4192" i="9"/>
  <c r="B4192" i="9"/>
  <c r="H4191" i="9"/>
  <c r="G4191" i="9"/>
  <c r="E4191" i="9"/>
  <c r="D4191" i="9"/>
  <c r="C4191" i="9"/>
  <c r="B4191" i="9"/>
  <c r="H4190" i="9"/>
  <c r="G4190" i="9"/>
  <c r="E4190" i="9"/>
  <c r="D4190" i="9"/>
  <c r="C4190" i="9"/>
  <c r="B4190" i="9"/>
  <c r="H4189" i="9"/>
  <c r="G4189" i="9"/>
  <c r="E4189" i="9"/>
  <c r="D4189" i="9"/>
  <c r="C4189" i="9"/>
  <c r="B4189" i="9"/>
  <c r="H4188" i="9"/>
  <c r="G4188" i="9"/>
  <c r="E4188" i="9"/>
  <c r="D4188" i="9"/>
  <c r="C4188" i="9"/>
  <c r="B4188" i="9"/>
  <c r="H4187" i="9"/>
  <c r="G4187" i="9"/>
  <c r="E4187" i="9"/>
  <c r="D4187" i="9"/>
  <c r="C4187" i="9"/>
  <c r="B4187" i="9"/>
  <c r="H4186" i="9"/>
  <c r="G4186" i="9"/>
  <c r="E4186" i="9"/>
  <c r="D4186" i="9"/>
  <c r="C4186" i="9"/>
  <c r="B4186" i="9"/>
  <c r="H4185" i="9"/>
  <c r="G4185" i="9"/>
  <c r="E4185" i="9"/>
  <c r="D4185" i="9"/>
  <c r="C4185" i="9"/>
  <c r="B4185" i="9"/>
  <c r="H4184" i="9"/>
  <c r="G4184" i="9"/>
  <c r="E4184" i="9"/>
  <c r="D4184" i="9"/>
  <c r="C4184" i="9"/>
  <c r="B4184" i="9"/>
  <c r="H4183" i="9"/>
  <c r="G4183" i="9"/>
  <c r="E4183" i="9"/>
  <c r="D4183" i="9"/>
  <c r="C4183" i="9"/>
  <c r="B4183" i="9"/>
  <c r="H4182" i="9"/>
  <c r="G4182" i="9"/>
  <c r="E4182" i="9"/>
  <c r="D4182" i="9"/>
  <c r="C4182" i="9"/>
  <c r="B4182" i="9"/>
  <c r="H4181" i="9"/>
  <c r="G4181" i="9"/>
  <c r="E4181" i="9"/>
  <c r="D4181" i="9"/>
  <c r="C4181" i="9"/>
  <c r="B4181" i="9"/>
  <c r="H4180" i="9"/>
  <c r="G4180" i="9"/>
  <c r="E4180" i="9"/>
  <c r="D4180" i="9"/>
  <c r="C4180" i="9"/>
  <c r="B4180" i="9"/>
  <c r="H4179" i="9"/>
  <c r="G4179" i="9"/>
  <c r="E4179" i="9"/>
  <c r="D4179" i="9"/>
  <c r="C4179" i="9"/>
  <c r="B4179" i="9"/>
  <c r="H4178" i="9"/>
  <c r="G4178" i="9"/>
  <c r="E4178" i="9"/>
  <c r="D4178" i="9"/>
  <c r="C4178" i="9"/>
  <c r="B4178" i="9"/>
  <c r="H4177" i="9"/>
  <c r="G4177" i="9"/>
  <c r="E4177" i="9"/>
  <c r="D4177" i="9"/>
  <c r="C4177" i="9"/>
  <c r="B4177" i="9"/>
  <c r="H4176" i="9"/>
  <c r="G4176" i="9"/>
  <c r="E4176" i="9"/>
  <c r="D4176" i="9"/>
  <c r="C4176" i="9"/>
  <c r="B4176" i="9"/>
  <c r="H4175" i="9"/>
  <c r="G4175" i="9"/>
  <c r="E4175" i="9"/>
  <c r="D4175" i="9"/>
  <c r="C4175" i="9"/>
  <c r="B4175" i="9"/>
  <c r="H4174" i="9"/>
  <c r="G4174" i="9"/>
  <c r="E4174" i="9"/>
  <c r="D4174" i="9"/>
  <c r="C4174" i="9"/>
  <c r="B4174" i="9"/>
  <c r="H4173" i="9"/>
  <c r="G4173" i="9"/>
  <c r="E4173" i="9"/>
  <c r="D4173" i="9"/>
  <c r="C4173" i="9"/>
  <c r="B4173" i="9"/>
  <c r="H4172" i="9"/>
  <c r="G4172" i="9"/>
  <c r="E4172" i="9"/>
  <c r="D4172" i="9"/>
  <c r="C4172" i="9"/>
  <c r="B4172" i="9"/>
  <c r="H4171" i="9"/>
  <c r="G4171" i="9"/>
  <c r="E4171" i="9"/>
  <c r="D4171" i="9"/>
  <c r="C4171" i="9"/>
  <c r="B4171" i="9"/>
  <c r="H4170" i="9"/>
  <c r="G4170" i="9"/>
  <c r="E4170" i="9"/>
  <c r="D4170" i="9"/>
  <c r="C4170" i="9"/>
  <c r="B4170" i="9"/>
  <c r="H4169" i="9"/>
  <c r="G4169" i="9"/>
  <c r="E4169" i="9"/>
  <c r="D4169" i="9"/>
  <c r="C4169" i="9"/>
  <c r="B4169" i="9"/>
  <c r="H4168" i="9"/>
  <c r="G4168" i="9"/>
  <c r="E4168" i="9"/>
  <c r="D4168" i="9"/>
  <c r="C4168" i="9"/>
  <c r="B4168" i="9"/>
  <c r="H4167" i="9"/>
  <c r="G4167" i="9"/>
  <c r="E4167" i="9"/>
  <c r="D4167" i="9"/>
  <c r="C4167" i="9"/>
  <c r="B4167" i="9"/>
  <c r="H4166" i="9"/>
  <c r="G4166" i="9"/>
  <c r="E4166" i="9"/>
  <c r="D4166" i="9"/>
  <c r="C4166" i="9"/>
  <c r="B4166" i="9"/>
  <c r="H4165" i="9"/>
  <c r="G4165" i="9"/>
  <c r="E4165" i="9"/>
  <c r="D4165" i="9"/>
  <c r="C4165" i="9"/>
  <c r="B4165" i="9"/>
  <c r="H4164" i="9"/>
  <c r="G4164" i="9"/>
  <c r="E4164" i="9"/>
  <c r="D4164" i="9"/>
  <c r="C4164" i="9"/>
  <c r="B4164" i="9"/>
  <c r="H4163" i="9"/>
  <c r="G4163" i="9"/>
  <c r="E4163" i="9"/>
  <c r="D4163" i="9"/>
  <c r="C4163" i="9"/>
  <c r="B4163" i="9"/>
  <c r="H4162" i="9"/>
  <c r="G4162" i="9"/>
  <c r="E4162" i="9"/>
  <c r="D4162" i="9"/>
  <c r="C4162" i="9"/>
  <c r="B4162" i="9"/>
  <c r="H4161" i="9"/>
  <c r="G4161" i="9"/>
  <c r="E4161" i="9"/>
  <c r="D4161" i="9"/>
  <c r="C4161" i="9"/>
  <c r="B4161" i="9"/>
  <c r="H4160" i="9"/>
  <c r="G4160" i="9"/>
  <c r="E4160" i="9"/>
  <c r="D4160" i="9"/>
  <c r="C4160" i="9"/>
  <c r="B4160" i="9"/>
  <c r="H4159" i="9"/>
  <c r="G4159" i="9"/>
  <c r="E4159" i="9"/>
  <c r="D4159" i="9"/>
  <c r="C4159" i="9"/>
  <c r="B4159" i="9"/>
  <c r="H4158" i="9"/>
  <c r="G4158" i="9"/>
  <c r="E4158" i="9"/>
  <c r="D4158" i="9"/>
  <c r="C4158" i="9"/>
  <c r="B4158" i="9"/>
  <c r="H4157" i="9"/>
  <c r="G4157" i="9"/>
  <c r="E4157" i="9"/>
  <c r="D4157" i="9"/>
  <c r="C4157" i="9"/>
  <c r="B4157" i="9"/>
  <c r="H4156" i="9"/>
  <c r="G4156" i="9"/>
  <c r="E4156" i="9"/>
  <c r="D4156" i="9"/>
  <c r="C4156" i="9"/>
  <c r="B4156" i="9"/>
  <c r="H4155" i="9"/>
  <c r="G4155" i="9"/>
  <c r="E4155" i="9"/>
  <c r="D4155" i="9"/>
  <c r="C4155" i="9"/>
  <c r="B4155" i="9"/>
  <c r="H4154" i="9"/>
  <c r="G4154" i="9"/>
  <c r="E4154" i="9"/>
  <c r="D4154" i="9"/>
  <c r="C4154" i="9"/>
  <c r="B4154" i="9"/>
  <c r="H4153" i="9"/>
  <c r="G4153" i="9"/>
  <c r="E4153" i="9"/>
  <c r="D4153" i="9"/>
  <c r="C4153" i="9"/>
  <c r="B4153" i="9"/>
  <c r="H4152" i="9"/>
  <c r="G4152" i="9"/>
  <c r="E4152" i="9"/>
  <c r="D4152" i="9"/>
  <c r="C4152" i="9"/>
  <c r="B4152" i="9"/>
  <c r="H4151" i="9"/>
  <c r="G4151" i="9"/>
  <c r="E4151" i="9"/>
  <c r="D4151" i="9"/>
  <c r="C4151" i="9"/>
  <c r="B4151" i="9"/>
  <c r="H4150" i="9"/>
  <c r="G4150" i="9"/>
  <c r="E4150" i="9"/>
  <c r="D4150" i="9"/>
  <c r="C4150" i="9"/>
  <c r="B4150" i="9"/>
  <c r="H4149" i="9"/>
  <c r="G4149" i="9"/>
  <c r="E4149" i="9"/>
  <c r="D4149" i="9"/>
  <c r="C4149" i="9"/>
  <c r="B4149" i="9"/>
  <c r="H4148" i="9"/>
  <c r="G4148" i="9"/>
  <c r="E4148" i="9"/>
  <c r="D4148" i="9"/>
  <c r="C4148" i="9"/>
  <c r="B4148" i="9"/>
  <c r="H4147" i="9"/>
  <c r="G4147" i="9"/>
  <c r="E4147" i="9"/>
  <c r="D4147" i="9"/>
  <c r="C4147" i="9"/>
  <c r="B4147" i="9"/>
  <c r="H4146" i="9"/>
  <c r="G4146" i="9"/>
  <c r="E4146" i="9"/>
  <c r="D4146" i="9"/>
  <c r="C4146" i="9"/>
  <c r="B4146" i="9"/>
  <c r="H4145" i="9"/>
  <c r="G4145" i="9"/>
  <c r="E4145" i="9"/>
  <c r="D4145" i="9"/>
  <c r="C4145" i="9"/>
  <c r="B4145" i="9"/>
  <c r="H4144" i="9"/>
  <c r="G4144" i="9"/>
  <c r="E4144" i="9"/>
  <c r="D4144" i="9"/>
  <c r="C4144" i="9"/>
  <c r="B4144" i="9"/>
  <c r="H4143" i="9"/>
  <c r="G4143" i="9"/>
  <c r="E4143" i="9"/>
  <c r="D4143" i="9"/>
  <c r="C4143" i="9"/>
  <c r="B4143" i="9"/>
  <c r="H4142" i="9"/>
  <c r="G4142" i="9"/>
  <c r="E4142" i="9"/>
  <c r="D4142" i="9"/>
  <c r="C4142" i="9"/>
  <c r="B4142" i="9"/>
  <c r="H4141" i="9"/>
  <c r="G4141" i="9"/>
  <c r="E4141" i="9"/>
  <c r="D4141" i="9"/>
  <c r="C4141" i="9"/>
  <c r="B4141" i="9"/>
  <c r="H4140" i="9"/>
  <c r="G4140" i="9"/>
  <c r="E4140" i="9"/>
  <c r="D4140" i="9"/>
  <c r="C4140" i="9"/>
  <c r="B4140" i="9"/>
  <c r="H4139" i="9"/>
  <c r="G4139" i="9"/>
  <c r="E4139" i="9"/>
  <c r="D4139" i="9"/>
  <c r="C4139" i="9"/>
  <c r="B4139" i="9"/>
  <c r="H4138" i="9"/>
  <c r="G4138" i="9"/>
  <c r="E4138" i="9"/>
  <c r="D4138" i="9"/>
  <c r="C4138" i="9"/>
  <c r="B4138" i="9"/>
  <c r="H4137" i="9"/>
  <c r="G4137" i="9"/>
  <c r="E4137" i="9"/>
  <c r="D4137" i="9"/>
  <c r="C4137" i="9"/>
  <c r="B4137" i="9"/>
  <c r="H4136" i="9"/>
  <c r="G4136" i="9"/>
  <c r="E4136" i="9"/>
  <c r="D4136" i="9"/>
  <c r="C4136" i="9"/>
  <c r="B4136" i="9"/>
  <c r="H4135" i="9"/>
  <c r="G4135" i="9"/>
  <c r="E4135" i="9"/>
  <c r="D4135" i="9"/>
  <c r="C4135" i="9"/>
  <c r="B4135" i="9"/>
  <c r="H4134" i="9"/>
  <c r="G4134" i="9"/>
  <c r="E4134" i="9"/>
  <c r="D4134" i="9"/>
  <c r="C4134" i="9"/>
  <c r="B4134" i="9"/>
  <c r="H4133" i="9"/>
  <c r="G4133" i="9"/>
  <c r="E4133" i="9"/>
  <c r="D4133" i="9"/>
  <c r="C4133" i="9"/>
  <c r="B4133" i="9"/>
  <c r="H4132" i="9"/>
  <c r="G4132" i="9"/>
  <c r="E4132" i="9"/>
  <c r="D4132" i="9"/>
  <c r="C4132" i="9"/>
  <c r="B4132" i="9"/>
  <c r="H4131" i="9"/>
  <c r="G4131" i="9"/>
  <c r="E4131" i="9"/>
  <c r="D4131" i="9"/>
  <c r="C4131" i="9"/>
  <c r="B4131" i="9"/>
  <c r="H4130" i="9"/>
  <c r="G4130" i="9"/>
  <c r="E4130" i="9"/>
  <c r="D4130" i="9"/>
  <c r="C4130" i="9"/>
  <c r="B4130" i="9"/>
  <c r="H4129" i="9"/>
  <c r="G4129" i="9"/>
  <c r="E4129" i="9"/>
  <c r="D4129" i="9"/>
  <c r="C4129" i="9"/>
  <c r="B4129" i="9"/>
  <c r="H4128" i="9"/>
  <c r="G4128" i="9"/>
  <c r="E4128" i="9"/>
  <c r="D4128" i="9"/>
  <c r="C4128" i="9"/>
  <c r="B4128" i="9"/>
  <c r="H4127" i="9"/>
  <c r="G4127" i="9"/>
  <c r="E4127" i="9"/>
  <c r="D4127" i="9"/>
  <c r="C4127" i="9"/>
  <c r="B4127" i="9"/>
  <c r="H4126" i="9"/>
  <c r="G4126" i="9"/>
  <c r="E4126" i="9"/>
  <c r="D4126" i="9"/>
  <c r="C4126" i="9"/>
  <c r="B4126" i="9"/>
  <c r="H4125" i="9"/>
  <c r="G4125" i="9"/>
  <c r="E4125" i="9"/>
  <c r="D4125" i="9"/>
  <c r="C4125" i="9"/>
  <c r="B4125" i="9"/>
  <c r="H4124" i="9"/>
  <c r="G4124" i="9"/>
  <c r="E4124" i="9"/>
  <c r="D4124" i="9"/>
  <c r="C4124" i="9"/>
  <c r="B4124" i="9"/>
  <c r="H4123" i="9"/>
  <c r="G4123" i="9"/>
  <c r="E4123" i="9"/>
  <c r="D4123" i="9"/>
  <c r="C4123" i="9"/>
  <c r="B4123" i="9"/>
  <c r="H4122" i="9"/>
  <c r="G4122" i="9"/>
  <c r="E4122" i="9"/>
  <c r="D4122" i="9"/>
  <c r="C4122" i="9"/>
  <c r="B4122" i="9"/>
  <c r="H4121" i="9"/>
  <c r="G4121" i="9"/>
  <c r="E4121" i="9"/>
  <c r="D4121" i="9"/>
  <c r="C4121" i="9"/>
  <c r="B4121" i="9"/>
  <c r="H4120" i="9"/>
  <c r="G4120" i="9"/>
  <c r="E4120" i="9"/>
  <c r="D4120" i="9"/>
  <c r="C4120" i="9"/>
  <c r="B4120" i="9"/>
  <c r="H4119" i="9"/>
  <c r="G4119" i="9"/>
  <c r="E4119" i="9"/>
  <c r="D4119" i="9"/>
  <c r="C4119" i="9"/>
  <c r="B4119" i="9"/>
  <c r="H4118" i="9"/>
  <c r="G4118" i="9"/>
  <c r="E4118" i="9"/>
  <c r="D4118" i="9"/>
  <c r="C4118" i="9"/>
  <c r="B4118" i="9"/>
  <c r="H4117" i="9"/>
  <c r="G4117" i="9"/>
  <c r="E4117" i="9"/>
  <c r="D4117" i="9"/>
  <c r="C4117" i="9"/>
  <c r="B4117" i="9"/>
  <c r="H4116" i="9"/>
  <c r="G4116" i="9"/>
  <c r="E4116" i="9"/>
  <c r="D4116" i="9"/>
  <c r="C4116" i="9"/>
  <c r="B4116" i="9"/>
  <c r="H4115" i="9"/>
  <c r="G4115" i="9"/>
  <c r="E4115" i="9"/>
  <c r="D4115" i="9"/>
  <c r="C4115" i="9"/>
  <c r="B4115" i="9"/>
  <c r="H4114" i="9"/>
  <c r="G4114" i="9"/>
  <c r="E4114" i="9"/>
  <c r="D4114" i="9"/>
  <c r="C4114" i="9"/>
  <c r="B4114" i="9"/>
  <c r="H4113" i="9"/>
  <c r="G4113" i="9"/>
  <c r="E4113" i="9"/>
  <c r="D4113" i="9"/>
  <c r="C4113" i="9"/>
  <c r="B4113" i="9"/>
  <c r="H4112" i="9"/>
  <c r="G4112" i="9"/>
  <c r="E4112" i="9"/>
  <c r="D4112" i="9"/>
  <c r="C4112" i="9"/>
  <c r="B4112" i="9"/>
  <c r="H4111" i="9"/>
  <c r="G4111" i="9"/>
  <c r="E4111" i="9"/>
  <c r="D4111" i="9"/>
  <c r="C4111" i="9"/>
  <c r="B4111" i="9"/>
  <c r="H4110" i="9"/>
  <c r="G4110" i="9"/>
  <c r="E4110" i="9"/>
  <c r="D4110" i="9"/>
  <c r="C4110" i="9"/>
  <c r="B4110" i="9"/>
  <c r="H4109" i="9"/>
  <c r="G4109" i="9"/>
  <c r="E4109" i="9"/>
  <c r="D4109" i="9"/>
  <c r="C4109" i="9"/>
  <c r="B4109" i="9"/>
  <c r="H4108" i="9"/>
  <c r="G4108" i="9"/>
  <c r="E4108" i="9"/>
  <c r="D4108" i="9"/>
  <c r="C4108" i="9"/>
  <c r="B4108" i="9"/>
  <c r="H4107" i="9"/>
  <c r="G4107" i="9"/>
  <c r="E4107" i="9"/>
  <c r="D4107" i="9"/>
  <c r="C4107" i="9"/>
  <c r="B4107" i="9"/>
  <c r="H4106" i="9"/>
  <c r="G4106" i="9"/>
  <c r="E4106" i="9"/>
  <c r="D4106" i="9"/>
  <c r="C4106" i="9"/>
  <c r="B4106" i="9"/>
  <c r="H4105" i="9"/>
  <c r="G4105" i="9"/>
  <c r="E4105" i="9"/>
  <c r="D4105" i="9"/>
  <c r="C4105" i="9"/>
  <c r="B4105" i="9"/>
  <c r="H4104" i="9"/>
  <c r="G4104" i="9"/>
  <c r="E4104" i="9"/>
  <c r="D4104" i="9"/>
  <c r="C4104" i="9"/>
  <c r="B4104" i="9"/>
  <c r="H4103" i="9"/>
  <c r="G4103" i="9"/>
  <c r="E4103" i="9"/>
  <c r="D4103" i="9"/>
  <c r="C4103" i="9"/>
  <c r="B4103" i="9"/>
  <c r="H4102" i="9"/>
  <c r="G4102" i="9"/>
  <c r="E4102" i="9"/>
  <c r="D4102" i="9"/>
  <c r="C4102" i="9"/>
  <c r="B4102" i="9"/>
  <c r="H4101" i="9"/>
  <c r="G4101" i="9"/>
  <c r="E4101" i="9"/>
  <c r="D4101" i="9"/>
  <c r="C4101" i="9"/>
  <c r="B4101" i="9"/>
  <c r="H4100" i="9"/>
  <c r="G4100" i="9"/>
  <c r="E4100" i="9"/>
  <c r="D4100" i="9"/>
  <c r="C4100" i="9"/>
  <c r="B4100" i="9"/>
  <c r="H4099" i="9"/>
  <c r="G4099" i="9"/>
  <c r="E4099" i="9"/>
  <c r="D4099" i="9"/>
  <c r="C4099" i="9"/>
  <c r="B4099" i="9"/>
  <c r="H4098" i="9"/>
  <c r="G4098" i="9"/>
  <c r="E4098" i="9"/>
  <c r="D4098" i="9"/>
  <c r="C4098" i="9"/>
  <c r="B4098" i="9"/>
  <c r="H4097" i="9"/>
  <c r="G4097" i="9"/>
  <c r="E4097" i="9"/>
  <c r="D4097" i="9"/>
  <c r="C4097" i="9"/>
  <c r="B4097" i="9"/>
  <c r="H4096" i="9"/>
  <c r="G4096" i="9"/>
  <c r="E4096" i="9"/>
  <c r="D4096" i="9"/>
  <c r="C4096" i="9"/>
  <c r="B4096" i="9"/>
  <c r="H4095" i="9"/>
  <c r="G4095" i="9"/>
  <c r="E4095" i="9"/>
  <c r="D4095" i="9"/>
  <c r="C4095" i="9"/>
  <c r="B4095" i="9"/>
  <c r="H4094" i="9"/>
  <c r="G4094" i="9"/>
  <c r="E4094" i="9"/>
  <c r="D4094" i="9"/>
  <c r="C4094" i="9"/>
  <c r="B4094" i="9"/>
  <c r="H4093" i="9"/>
  <c r="G4093" i="9"/>
  <c r="E4093" i="9"/>
  <c r="D4093" i="9"/>
  <c r="C4093" i="9"/>
  <c r="B4093" i="9"/>
  <c r="H4092" i="9"/>
  <c r="G4092" i="9"/>
  <c r="E4092" i="9"/>
  <c r="D4092" i="9"/>
  <c r="C4092" i="9"/>
  <c r="B4092" i="9"/>
  <c r="H4091" i="9"/>
  <c r="G4091" i="9"/>
  <c r="E4091" i="9"/>
  <c r="D4091" i="9"/>
  <c r="C4091" i="9"/>
  <c r="B4091" i="9"/>
  <c r="H4090" i="9"/>
  <c r="G4090" i="9"/>
  <c r="E4090" i="9"/>
  <c r="D4090" i="9"/>
  <c r="C4090" i="9"/>
  <c r="B4090" i="9"/>
  <c r="H4089" i="9"/>
  <c r="G4089" i="9"/>
  <c r="E4089" i="9"/>
  <c r="D4089" i="9"/>
  <c r="C4089" i="9"/>
  <c r="B4089" i="9"/>
  <c r="H4088" i="9"/>
  <c r="G4088" i="9"/>
  <c r="E4088" i="9"/>
  <c r="D4088" i="9"/>
  <c r="C4088" i="9"/>
  <c r="B4088" i="9"/>
  <c r="H4087" i="9"/>
  <c r="G4087" i="9"/>
  <c r="E4087" i="9"/>
  <c r="D4087" i="9"/>
  <c r="C4087" i="9"/>
  <c r="B4087" i="9"/>
  <c r="H4086" i="9"/>
  <c r="G4086" i="9"/>
  <c r="E4086" i="9"/>
  <c r="D4086" i="9"/>
  <c r="C4086" i="9"/>
  <c r="B4086" i="9"/>
  <c r="H4085" i="9"/>
  <c r="G4085" i="9"/>
  <c r="E4085" i="9"/>
  <c r="D4085" i="9"/>
  <c r="C4085" i="9"/>
  <c r="B4085" i="9"/>
  <c r="H4084" i="9"/>
  <c r="G4084" i="9"/>
  <c r="E4084" i="9"/>
  <c r="D4084" i="9"/>
  <c r="C4084" i="9"/>
  <c r="B4084" i="9"/>
  <c r="H4083" i="9"/>
  <c r="G4083" i="9"/>
  <c r="E4083" i="9"/>
  <c r="D4083" i="9"/>
  <c r="C4083" i="9"/>
  <c r="B4083" i="9"/>
  <c r="H4082" i="9"/>
  <c r="G4082" i="9"/>
  <c r="E4082" i="9"/>
  <c r="D4082" i="9"/>
  <c r="C4082" i="9"/>
  <c r="B4082" i="9"/>
  <c r="H4081" i="9"/>
  <c r="G4081" i="9"/>
  <c r="E4081" i="9"/>
  <c r="D4081" i="9"/>
  <c r="C4081" i="9"/>
  <c r="B4081" i="9"/>
  <c r="H4080" i="9"/>
  <c r="G4080" i="9"/>
  <c r="E4080" i="9"/>
  <c r="D4080" i="9"/>
  <c r="C4080" i="9"/>
  <c r="B4080" i="9"/>
  <c r="H4079" i="9"/>
  <c r="G4079" i="9"/>
  <c r="E4079" i="9"/>
  <c r="D4079" i="9"/>
  <c r="C4079" i="9"/>
  <c r="B4079" i="9"/>
  <c r="H4078" i="9"/>
  <c r="G4078" i="9"/>
  <c r="E4078" i="9"/>
  <c r="D4078" i="9"/>
  <c r="C4078" i="9"/>
  <c r="B4078" i="9"/>
  <c r="H4077" i="9"/>
  <c r="G4077" i="9"/>
  <c r="E4077" i="9"/>
  <c r="D4077" i="9"/>
  <c r="C4077" i="9"/>
  <c r="B4077" i="9"/>
  <c r="H4076" i="9"/>
  <c r="G4076" i="9"/>
  <c r="E4076" i="9"/>
  <c r="D4076" i="9"/>
  <c r="C4076" i="9"/>
  <c r="B4076" i="9"/>
  <c r="H4075" i="9"/>
  <c r="G4075" i="9"/>
  <c r="E4075" i="9"/>
  <c r="D4075" i="9"/>
  <c r="C4075" i="9"/>
  <c r="B4075" i="9"/>
  <c r="H4074" i="9"/>
  <c r="G4074" i="9"/>
  <c r="E4074" i="9"/>
  <c r="D4074" i="9"/>
  <c r="C4074" i="9"/>
  <c r="B4074" i="9"/>
  <c r="H4073" i="9"/>
  <c r="G4073" i="9"/>
  <c r="E4073" i="9"/>
  <c r="D4073" i="9"/>
  <c r="C4073" i="9"/>
  <c r="B4073" i="9"/>
  <c r="H4072" i="9"/>
  <c r="G4072" i="9"/>
  <c r="E4072" i="9"/>
  <c r="D4072" i="9"/>
  <c r="C4072" i="9"/>
  <c r="B4072" i="9"/>
  <c r="H4071" i="9"/>
  <c r="G4071" i="9"/>
  <c r="E4071" i="9"/>
  <c r="D4071" i="9"/>
  <c r="C4071" i="9"/>
  <c r="B4071" i="9"/>
  <c r="H4070" i="9"/>
  <c r="G4070" i="9"/>
  <c r="E4070" i="9"/>
  <c r="D4070" i="9"/>
  <c r="C4070" i="9"/>
  <c r="B4070" i="9"/>
  <c r="H4069" i="9"/>
  <c r="G4069" i="9"/>
  <c r="E4069" i="9"/>
  <c r="D4069" i="9"/>
  <c r="C4069" i="9"/>
  <c r="B4069" i="9"/>
  <c r="H4068" i="9"/>
  <c r="G4068" i="9"/>
  <c r="E4068" i="9"/>
  <c r="D4068" i="9"/>
  <c r="C4068" i="9"/>
  <c r="B4068" i="9"/>
  <c r="H4067" i="9"/>
  <c r="G4067" i="9"/>
  <c r="E4067" i="9"/>
  <c r="D4067" i="9"/>
  <c r="C4067" i="9"/>
  <c r="B4067" i="9"/>
  <c r="H4066" i="9"/>
  <c r="G4066" i="9"/>
  <c r="E4066" i="9"/>
  <c r="D4066" i="9"/>
  <c r="C4066" i="9"/>
  <c r="B4066" i="9"/>
  <c r="H4065" i="9"/>
  <c r="G4065" i="9"/>
  <c r="E4065" i="9"/>
  <c r="D4065" i="9"/>
  <c r="C4065" i="9"/>
  <c r="B4065" i="9"/>
  <c r="H4064" i="9"/>
  <c r="G4064" i="9"/>
  <c r="E4064" i="9"/>
  <c r="D4064" i="9"/>
  <c r="C4064" i="9"/>
  <c r="B4064" i="9"/>
  <c r="H4063" i="9"/>
  <c r="G4063" i="9"/>
  <c r="E4063" i="9"/>
  <c r="D4063" i="9"/>
  <c r="C4063" i="9"/>
  <c r="B4063" i="9"/>
  <c r="H4062" i="9"/>
  <c r="G4062" i="9"/>
  <c r="E4062" i="9"/>
  <c r="D4062" i="9"/>
  <c r="C4062" i="9"/>
  <c r="B4062" i="9"/>
  <c r="H4061" i="9"/>
  <c r="G4061" i="9"/>
  <c r="E4061" i="9"/>
  <c r="D4061" i="9"/>
  <c r="C4061" i="9"/>
  <c r="B4061" i="9"/>
  <c r="H4060" i="9"/>
  <c r="G4060" i="9"/>
  <c r="E4060" i="9"/>
  <c r="D4060" i="9"/>
  <c r="C4060" i="9"/>
  <c r="B4060" i="9"/>
  <c r="H4059" i="9"/>
  <c r="G4059" i="9"/>
  <c r="E4059" i="9"/>
  <c r="D4059" i="9"/>
  <c r="C4059" i="9"/>
  <c r="B4059" i="9"/>
  <c r="H4058" i="9"/>
  <c r="G4058" i="9"/>
  <c r="E4058" i="9"/>
  <c r="D4058" i="9"/>
  <c r="C4058" i="9"/>
  <c r="B4058" i="9"/>
  <c r="H4057" i="9"/>
  <c r="G4057" i="9"/>
  <c r="E4057" i="9"/>
  <c r="D4057" i="9"/>
  <c r="C4057" i="9"/>
  <c r="B4057" i="9"/>
  <c r="H4056" i="9"/>
  <c r="G4056" i="9"/>
  <c r="E4056" i="9"/>
  <c r="D4056" i="9"/>
  <c r="C4056" i="9"/>
  <c r="B4056" i="9"/>
  <c r="H4055" i="9"/>
  <c r="G4055" i="9"/>
  <c r="E4055" i="9"/>
  <c r="D4055" i="9"/>
  <c r="C4055" i="9"/>
  <c r="B4055" i="9"/>
  <c r="H4054" i="9"/>
  <c r="G4054" i="9"/>
  <c r="E4054" i="9"/>
  <c r="D4054" i="9"/>
  <c r="C4054" i="9"/>
  <c r="B4054" i="9"/>
  <c r="H4053" i="9"/>
  <c r="G4053" i="9"/>
  <c r="E4053" i="9"/>
  <c r="D4053" i="9"/>
  <c r="C4053" i="9"/>
  <c r="B4053" i="9"/>
  <c r="H4052" i="9"/>
  <c r="G4052" i="9"/>
  <c r="E4052" i="9"/>
  <c r="D4052" i="9"/>
  <c r="C4052" i="9"/>
  <c r="B4052" i="9"/>
  <c r="H4051" i="9"/>
  <c r="G4051" i="9"/>
  <c r="E4051" i="9"/>
  <c r="D4051" i="9"/>
  <c r="C4051" i="9"/>
  <c r="B4051" i="9"/>
  <c r="H4050" i="9"/>
  <c r="G4050" i="9"/>
  <c r="E4050" i="9"/>
  <c r="D4050" i="9"/>
  <c r="C4050" i="9"/>
  <c r="B4050" i="9"/>
  <c r="H4049" i="9"/>
  <c r="G4049" i="9"/>
  <c r="E4049" i="9"/>
  <c r="D4049" i="9"/>
  <c r="C4049" i="9"/>
  <c r="B4049" i="9"/>
  <c r="H4048" i="9"/>
  <c r="G4048" i="9"/>
  <c r="E4048" i="9"/>
  <c r="D4048" i="9"/>
  <c r="C4048" i="9"/>
  <c r="B4048" i="9"/>
  <c r="H4047" i="9"/>
  <c r="G4047" i="9"/>
  <c r="E4047" i="9"/>
  <c r="D4047" i="9"/>
  <c r="C4047" i="9"/>
  <c r="B4047" i="9"/>
  <c r="H4046" i="9"/>
  <c r="G4046" i="9"/>
  <c r="E4046" i="9"/>
  <c r="D4046" i="9"/>
  <c r="C4046" i="9"/>
  <c r="B4046" i="9"/>
  <c r="H4045" i="9"/>
  <c r="G4045" i="9"/>
  <c r="E4045" i="9"/>
  <c r="D4045" i="9"/>
  <c r="C4045" i="9"/>
  <c r="B4045" i="9"/>
  <c r="H4044" i="9"/>
  <c r="G4044" i="9"/>
  <c r="E4044" i="9"/>
  <c r="D4044" i="9"/>
  <c r="C4044" i="9"/>
  <c r="B4044" i="9"/>
  <c r="H4043" i="9"/>
  <c r="G4043" i="9"/>
  <c r="E4043" i="9"/>
  <c r="D4043" i="9"/>
  <c r="C4043" i="9"/>
  <c r="B4043" i="9"/>
  <c r="H4042" i="9"/>
  <c r="G4042" i="9"/>
  <c r="E4042" i="9"/>
  <c r="D4042" i="9"/>
  <c r="C4042" i="9"/>
  <c r="B4042" i="9"/>
  <c r="H4041" i="9"/>
  <c r="G4041" i="9"/>
  <c r="E4041" i="9"/>
  <c r="D4041" i="9"/>
  <c r="C4041" i="9"/>
  <c r="B4041" i="9"/>
  <c r="H4040" i="9"/>
  <c r="G4040" i="9"/>
  <c r="E4040" i="9"/>
  <c r="D4040" i="9"/>
  <c r="C4040" i="9"/>
  <c r="B4040" i="9"/>
  <c r="H4039" i="9"/>
  <c r="G4039" i="9"/>
  <c r="E4039" i="9"/>
  <c r="D4039" i="9"/>
  <c r="C4039" i="9"/>
  <c r="B4039" i="9"/>
  <c r="H4038" i="9"/>
  <c r="G4038" i="9"/>
  <c r="E4038" i="9"/>
  <c r="D4038" i="9"/>
  <c r="C4038" i="9"/>
  <c r="B4038" i="9"/>
  <c r="H4037" i="9"/>
  <c r="G4037" i="9"/>
  <c r="E4037" i="9"/>
  <c r="D4037" i="9"/>
  <c r="C4037" i="9"/>
  <c r="B4037" i="9"/>
  <c r="H4036" i="9"/>
  <c r="G4036" i="9"/>
  <c r="E4036" i="9"/>
  <c r="D4036" i="9"/>
  <c r="C4036" i="9"/>
  <c r="B4036" i="9"/>
  <c r="H4035" i="9"/>
  <c r="G4035" i="9"/>
  <c r="E4035" i="9"/>
  <c r="D4035" i="9"/>
  <c r="C4035" i="9"/>
  <c r="B4035" i="9"/>
  <c r="H4034" i="9"/>
  <c r="G4034" i="9"/>
  <c r="E4034" i="9"/>
  <c r="D4034" i="9"/>
  <c r="C4034" i="9"/>
  <c r="B4034" i="9"/>
  <c r="H4033" i="9"/>
  <c r="G4033" i="9"/>
  <c r="E4033" i="9"/>
  <c r="D4033" i="9"/>
  <c r="C4033" i="9"/>
  <c r="B4033" i="9"/>
  <c r="H4032" i="9"/>
  <c r="G4032" i="9"/>
  <c r="E4032" i="9"/>
  <c r="D4032" i="9"/>
  <c r="C4032" i="9"/>
  <c r="B4032" i="9"/>
  <c r="H4031" i="9"/>
  <c r="G4031" i="9"/>
  <c r="E4031" i="9"/>
  <c r="D4031" i="9"/>
  <c r="C4031" i="9"/>
  <c r="B4031" i="9"/>
  <c r="H4030" i="9"/>
  <c r="G4030" i="9"/>
  <c r="E4030" i="9"/>
  <c r="D4030" i="9"/>
  <c r="C4030" i="9"/>
  <c r="B4030" i="9"/>
  <c r="H4029" i="9"/>
  <c r="G4029" i="9"/>
  <c r="E4029" i="9"/>
  <c r="D4029" i="9"/>
  <c r="C4029" i="9"/>
  <c r="B4029" i="9"/>
  <c r="H4028" i="9"/>
  <c r="G4028" i="9"/>
  <c r="E4028" i="9"/>
  <c r="D4028" i="9"/>
  <c r="C4028" i="9"/>
  <c r="B4028" i="9"/>
  <c r="H4027" i="9"/>
  <c r="G4027" i="9"/>
  <c r="E4027" i="9"/>
  <c r="D4027" i="9"/>
  <c r="C4027" i="9"/>
  <c r="B4027" i="9"/>
  <c r="H4026" i="9"/>
  <c r="G4026" i="9"/>
  <c r="E4026" i="9"/>
  <c r="D4026" i="9"/>
  <c r="C4026" i="9"/>
  <c r="B4026" i="9"/>
  <c r="H4025" i="9"/>
  <c r="G4025" i="9"/>
  <c r="E4025" i="9"/>
  <c r="D4025" i="9"/>
  <c r="C4025" i="9"/>
  <c r="B4025" i="9"/>
  <c r="H4024" i="9"/>
  <c r="G4024" i="9"/>
  <c r="E4024" i="9"/>
  <c r="D4024" i="9"/>
  <c r="C4024" i="9"/>
  <c r="B4024" i="9"/>
  <c r="H4023" i="9"/>
  <c r="G4023" i="9"/>
  <c r="E4023" i="9"/>
  <c r="D4023" i="9"/>
  <c r="C4023" i="9"/>
  <c r="B4023" i="9"/>
  <c r="H4022" i="9"/>
  <c r="G4022" i="9"/>
  <c r="E4022" i="9"/>
  <c r="D4022" i="9"/>
  <c r="C4022" i="9"/>
  <c r="B4022" i="9"/>
  <c r="H4021" i="9"/>
  <c r="G4021" i="9"/>
  <c r="E4021" i="9"/>
  <c r="D4021" i="9"/>
  <c r="C4021" i="9"/>
  <c r="B4021" i="9"/>
  <c r="H4020" i="9"/>
  <c r="G4020" i="9"/>
  <c r="E4020" i="9"/>
  <c r="D4020" i="9"/>
  <c r="C4020" i="9"/>
  <c r="B4020" i="9"/>
  <c r="H4019" i="9"/>
  <c r="G4019" i="9"/>
  <c r="E4019" i="9"/>
  <c r="D4019" i="9"/>
  <c r="C4019" i="9"/>
  <c r="B4019" i="9"/>
  <c r="H4018" i="9"/>
  <c r="G4018" i="9"/>
  <c r="E4018" i="9"/>
  <c r="D4018" i="9"/>
  <c r="C4018" i="9"/>
  <c r="B4018" i="9"/>
  <c r="H4017" i="9"/>
  <c r="G4017" i="9"/>
  <c r="E4017" i="9"/>
  <c r="D4017" i="9"/>
  <c r="C4017" i="9"/>
  <c r="B4017" i="9"/>
  <c r="H4016" i="9"/>
  <c r="G4016" i="9"/>
  <c r="E4016" i="9"/>
  <c r="D4016" i="9"/>
  <c r="C4016" i="9"/>
  <c r="B4016" i="9"/>
  <c r="H4015" i="9"/>
  <c r="G4015" i="9"/>
  <c r="E4015" i="9"/>
  <c r="D4015" i="9"/>
  <c r="C4015" i="9"/>
  <c r="B4015" i="9"/>
  <c r="H4014" i="9"/>
  <c r="G4014" i="9"/>
  <c r="E4014" i="9"/>
  <c r="D4014" i="9"/>
  <c r="C4014" i="9"/>
  <c r="B4014" i="9"/>
  <c r="H4013" i="9"/>
  <c r="G4013" i="9"/>
  <c r="E4013" i="9"/>
  <c r="D4013" i="9"/>
  <c r="C4013" i="9"/>
  <c r="B4013" i="9"/>
  <c r="H4012" i="9"/>
  <c r="G4012" i="9"/>
  <c r="E4012" i="9"/>
  <c r="D4012" i="9"/>
  <c r="C4012" i="9"/>
  <c r="B4012" i="9"/>
  <c r="H4011" i="9"/>
  <c r="G4011" i="9"/>
  <c r="E4011" i="9"/>
  <c r="D4011" i="9"/>
  <c r="C4011" i="9"/>
  <c r="B4011" i="9"/>
  <c r="H4010" i="9"/>
  <c r="G4010" i="9"/>
  <c r="E4010" i="9"/>
  <c r="D4010" i="9"/>
  <c r="C4010" i="9"/>
  <c r="B4010" i="9"/>
  <c r="H4009" i="9"/>
  <c r="G4009" i="9"/>
  <c r="E4009" i="9"/>
  <c r="D4009" i="9"/>
  <c r="C4009" i="9"/>
  <c r="B4009" i="9"/>
  <c r="H4008" i="9"/>
  <c r="G4008" i="9"/>
  <c r="E4008" i="9"/>
  <c r="D4008" i="9"/>
  <c r="C4008" i="9"/>
  <c r="B4008" i="9"/>
  <c r="H4007" i="9"/>
  <c r="G4007" i="9"/>
  <c r="E4007" i="9"/>
  <c r="D4007" i="9"/>
  <c r="C4007" i="9"/>
  <c r="B4007" i="9"/>
  <c r="H4006" i="9"/>
  <c r="G4006" i="9"/>
  <c r="E4006" i="9"/>
  <c r="D4006" i="9"/>
  <c r="C4006" i="9"/>
  <c r="B4006" i="9"/>
  <c r="H4005" i="9"/>
  <c r="G4005" i="9"/>
  <c r="E4005" i="9"/>
  <c r="D4005" i="9"/>
  <c r="C4005" i="9"/>
  <c r="B4005" i="9"/>
  <c r="H4004" i="9"/>
  <c r="G4004" i="9"/>
  <c r="E4004" i="9"/>
  <c r="D4004" i="9"/>
  <c r="C4004" i="9"/>
  <c r="B4004" i="9"/>
  <c r="H4003" i="9"/>
  <c r="G4003" i="9"/>
  <c r="E4003" i="9"/>
  <c r="D4003" i="9"/>
  <c r="C4003" i="9"/>
  <c r="B4003" i="9"/>
  <c r="H4002" i="9"/>
  <c r="G4002" i="9"/>
  <c r="E4002" i="9"/>
  <c r="D4002" i="9"/>
  <c r="C4002" i="9"/>
  <c r="B4002" i="9"/>
  <c r="H4001" i="9"/>
  <c r="G4001" i="9"/>
  <c r="E4001" i="9"/>
  <c r="D4001" i="9"/>
  <c r="C4001" i="9"/>
  <c r="B4001" i="9"/>
  <c r="H4000" i="9"/>
  <c r="G4000" i="9"/>
  <c r="E4000" i="9"/>
  <c r="D4000" i="9"/>
  <c r="C4000" i="9"/>
  <c r="B4000" i="9"/>
  <c r="H3999" i="9"/>
  <c r="G3999" i="9"/>
  <c r="E3999" i="9"/>
  <c r="D3999" i="9"/>
  <c r="C3999" i="9"/>
  <c r="B3999" i="9"/>
  <c r="H3998" i="9"/>
  <c r="G3998" i="9"/>
  <c r="E3998" i="9"/>
  <c r="D3998" i="9"/>
  <c r="C3998" i="9"/>
  <c r="B3998" i="9"/>
  <c r="H3997" i="9"/>
  <c r="G3997" i="9"/>
  <c r="E3997" i="9"/>
  <c r="D3997" i="9"/>
  <c r="C3997" i="9"/>
  <c r="B3997" i="9"/>
  <c r="H3996" i="9"/>
  <c r="G3996" i="9"/>
  <c r="E3996" i="9"/>
  <c r="D3996" i="9"/>
  <c r="C3996" i="9"/>
  <c r="B3996" i="9"/>
  <c r="H3995" i="9"/>
  <c r="G3995" i="9"/>
  <c r="E3995" i="9"/>
  <c r="D3995" i="9"/>
  <c r="C3995" i="9"/>
  <c r="B3995" i="9"/>
  <c r="H3994" i="9"/>
  <c r="G3994" i="9"/>
  <c r="E3994" i="9"/>
  <c r="D3994" i="9"/>
  <c r="C3994" i="9"/>
  <c r="B3994" i="9"/>
  <c r="H3993" i="9"/>
  <c r="G3993" i="9"/>
  <c r="E3993" i="9"/>
  <c r="D3993" i="9"/>
  <c r="C3993" i="9"/>
  <c r="B3993" i="9"/>
  <c r="H3992" i="9"/>
  <c r="G3992" i="9"/>
  <c r="E3992" i="9"/>
  <c r="D3992" i="9"/>
  <c r="C3992" i="9"/>
  <c r="B3992" i="9"/>
  <c r="H3991" i="9"/>
  <c r="G3991" i="9"/>
  <c r="E3991" i="9"/>
  <c r="D3991" i="9"/>
  <c r="C3991" i="9"/>
  <c r="B3991" i="9"/>
  <c r="H3990" i="9"/>
  <c r="G3990" i="9"/>
  <c r="E3990" i="9"/>
  <c r="D3990" i="9"/>
  <c r="C3990" i="9"/>
  <c r="B3990" i="9"/>
  <c r="H3989" i="9"/>
  <c r="G3989" i="9"/>
  <c r="E3989" i="9"/>
  <c r="D3989" i="9"/>
  <c r="C3989" i="9"/>
  <c r="B3989" i="9"/>
  <c r="H3988" i="9"/>
  <c r="G3988" i="9"/>
  <c r="E3988" i="9"/>
  <c r="D3988" i="9"/>
  <c r="C3988" i="9"/>
  <c r="B3988" i="9"/>
  <c r="H3987" i="9"/>
  <c r="G3987" i="9"/>
  <c r="E3987" i="9"/>
  <c r="D3987" i="9"/>
  <c r="C3987" i="9"/>
  <c r="B3987" i="9"/>
  <c r="H3986" i="9"/>
  <c r="G3986" i="9"/>
  <c r="E3986" i="9"/>
  <c r="D3986" i="9"/>
  <c r="C3986" i="9"/>
  <c r="B3986" i="9"/>
  <c r="H3985" i="9"/>
  <c r="G3985" i="9"/>
  <c r="E3985" i="9"/>
  <c r="D3985" i="9"/>
  <c r="C3985" i="9"/>
  <c r="B3985" i="9"/>
  <c r="H3984" i="9"/>
  <c r="G3984" i="9"/>
  <c r="E3984" i="9"/>
  <c r="D3984" i="9"/>
  <c r="C3984" i="9"/>
  <c r="B3984" i="9"/>
  <c r="H3983" i="9"/>
  <c r="G3983" i="9"/>
  <c r="E3983" i="9"/>
  <c r="D3983" i="9"/>
  <c r="C3983" i="9"/>
  <c r="B3983" i="9"/>
  <c r="H3982" i="9"/>
  <c r="G3982" i="9"/>
  <c r="E3982" i="9"/>
  <c r="D3982" i="9"/>
  <c r="C3982" i="9"/>
  <c r="B3982" i="9"/>
  <c r="H3981" i="9"/>
  <c r="G3981" i="9"/>
  <c r="E3981" i="9"/>
  <c r="D3981" i="9"/>
  <c r="C3981" i="9"/>
  <c r="B3981" i="9"/>
  <c r="H3980" i="9"/>
  <c r="G3980" i="9"/>
  <c r="E3980" i="9"/>
  <c r="D3980" i="9"/>
  <c r="C3980" i="9"/>
  <c r="B3980" i="9"/>
  <c r="H3979" i="9"/>
  <c r="G3979" i="9"/>
  <c r="E3979" i="9"/>
  <c r="D3979" i="9"/>
  <c r="C3979" i="9"/>
  <c r="B3979" i="9"/>
  <c r="H3978" i="9"/>
  <c r="G3978" i="9"/>
  <c r="E3978" i="9"/>
  <c r="D3978" i="9"/>
  <c r="C3978" i="9"/>
  <c r="B3978" i="9"/>
  <c r="H3977" i="9"/>
  <c r="G3977" i="9"/>
  <c r="E3977" i="9"/>
  <c r="D3977" i="9"/>
  <c r="C3977" i="9"/>
  <c r="B3977" i="9"/>
  <c r="H3976" i="9"/>
  <c r="G3976" i="9"/>
  <c r="E3976" i="9"/>
  <c r="D3976" i="9"/>
  <c r="C3976" i="9"/>
  <c r="B3976" i="9"/>
  <c r="H3975" i="9"/>
  <c r="G3975" i="9"/>
  <c r="E3975" i="9"/>
  <c r="D3975" i="9"/>
  <c r="C3975" i="9"/>
  <c r="B3975" i="9"/>
  <c r="H3974" i="9"/>
  <c r="G3974" i="9"/>
  <c r="E3974" i="9"/>
  <c r="D3974" i="9"/>
  <c r="C3974" i="9"/>
  <c r="B3974" i="9"/>
  <c r="H3973" i="9"/>
  <c r="G3973" i="9"/>
  <c r="E3973" i="9"/>
  <c r="D3973" i="9"/>
  <c r="C3973" i="9"/>
  <c r="B3973" i="9"/>
  <c r="H3972" i="9"/>
  <c r="G3972" i="9"/>
  <c r="E3972" i="9"/>
  <c r="D3972" i="9"/>
  <c r="C3972" i="9"/>
  <c r="B3972" i="9"/>
  <c r="H3971" i="9"/>
  <c r="G3971" i="9"/>
  <c r="E3971" i="9"/>
  <c r="D3971" i="9"/>
  <c r="C3971" i="9"/>
  <c r="B3971" i="9"/>
  <c r="H3970" i="9"/>
  <c r="G3970" i="9"/>
  <c r="E3970" i="9"/>
  <c r="D3970" i="9"/>
  <c r="C3970" i="9"/>
  <c r="B3970" i="9"/>
  <c r="H3969" i="9"/>
  <c r="G3969" i="9"/>
  <c r="E3969" i="9"/>
  <c r="D3969" i="9"/>
  <c r="C3969" i="9"/>
  <c r="B3969" i="9"/>
  <c r="H3968" i="9"/>
  <c r="G3968" i="9"/>
  <c r="E3968" i="9"/>
  <c r="D3968" i="9"/>
  <c r="C3968" i="9"/>
  <c r="B3968" i="9"/>
  <c r="H3967" i="9"/>
  <c r="G3967" i="9"/>
  <c r="E3967" i="9"/>
  <c r="D3967" i="9"/>
  <c r="C3967" i="9"/>
  <c r="B3967" i="9"/>
  <c r="H3966" i="9"/>
  <c r="G3966" i="9"/>
  <c r="E3966" i="9"/>
  <c r="D3966" i="9"/>
  <c r="C3966" i="9"/>
  <c r="B3966" i="9"/>
  <c r="H3965" i="9"/>
  <c r="G3965" i="9"/>
  <c r="E3965" i="9"/>
  <c r="D3965" i="9"/>
  <c r="C3965" i="9"/>
  <c r="B3965" i="9"/>
  <c r="H3964" i="9"/>
  <c r="G3964" i="9"/>
  <c r="E3964" i="9"/>
  <c r="D3964" i="9"/>
  <c r="C3964" i="9"/>
  <c r="B3964" i="9"/>
  <c r="H3963" i="9"/>
  <c r="G3963" i="9"/>
  <c r="E3963" i="9"/>
  <c r="D3963" i="9"/>
  <c r="C3963" i="9"/>
  <c r="B3963" i="9"/>
  <c r="H3962" i="9"/>
  <c r="G3962" i="9"/>
  <c r="E3962" i="9"/>
  <c r="D3962" i="9"/>
  <c r="C3962" i="9"/>
  <c r="B3962" i="9"/>
  <c r="H3961" i="9"/>
  <c r="G3961" i="9"/>
  <c r="E3961" i="9"/>
  <c r="D3961" i="9"/>
  <c r="C3961" i="9"/>
  <c r="B3961" i="9"/>
  <c r="H3960" i="9"/>
  <c r="G3960" i="9"/>
  <c r="E3960" i="9"/>
  <c r="D3960" i="9"/>
  <c r="C3960" i="9"/>
  <c r="B3960" i="9"/>
  <c r="H3959" i="9"/>
  <c r="G3959" i="9"/>
  <c r="E3959" i="9"/>
  <c r="D3959" i="9"/>
  <c r="C3959" i="9"/>
  <c r="B3959" i="9"/>
  <c r="H3958" i="9"/>
  <c r="G3958" i="9"/>
  <c r="E3958" i="9"/>
  <c r="D3958" i="9"/>
  <c r="C3958" i="9"/>
  <c r="B3958" i="9"/>
  <c r="H3957" i="9"/>
  <c r="G3957" i="9"/>
  <c r="E3957" i="9"/>
  <c r="D3957" i="9"/>
  <c r="C3957" i="9"/>
  <c r="B3957" i="9"/>
  <c r="H3956" i="9"/>
  <c r="G3956" i="9"/>
  <c r="E3956" i="9"/>
  <c r="D3956" i="9"/>
  <c r="C3956" i="9"/>
  <c r="B3956" i="9"/>
  <c r="H3955" i="9"/>
  <c r="G3955" i="9"/>
  <c r="E3955" i="9"/>
  <c r="D3955" i="9"/>
  <c r="C3955" i="9"/>
  <c r="B3955" i="9"/>
  <c r="H3954" i="9"/>
  <c r="G3954" i="9"/>
  <c r="E3954" i="9"/>
  <c r="D3954" i="9"/>
  <c r="C3954" i="9"/>
  <c r="B3954" i="9"/>
  <c r="H3953" i="9"/>
  <c r="G3953" i="9"/>
  <c r="E3953" i="9"/>
  <c r="D3953" i="9"/>
  <c r="C3953" i="9"/>
  <c r="B3953" i="9"/>
  <c r="H3952" i="9"/>
  <c r="G3952" i="9"/>
  <c r="E3952" i="9"/>
  <c r="D3952" i="9"/>
  <c r="C3952" i="9"/>
  <c r="B3952" i="9"/>
  <c r="H3951" i="9"/>
  <c r="G3951" i="9"/>
  <c r="E3951" i="9"/>
  <c r="D3951" i="9"/>
  <c r="C3951" i="9"/>
  <c r="B3951" i="9"/>
  <c r="H3950" i="9"/>
  <c r="G3950" i="9"/>
  <c r="E3950" i="9"/>
  <c r="D3950" i="9"/>
  <c r="C3950" i="9"/>
  <c r="B3950" i="9"/>
  <c r="H3949" i="9"/>
  <c r="G3949" i="9"/>
  <c r="E3949" i="9"/>
  <c r="D3949" i="9"/>
  <c r="C3949" i="9"/>
  <c r="B3949" i="9"/>
  <c r="H3948" i="9"/>
  <c r="G3948" i="9"/>
  <c r="E3948" i="9"/>
  <c r="D3948" i="9"/>
  <c r="C3948" i="9"/>
  <c r="B3948" i="9"/>
  <c r="H3947" i="9"/>
  <c r="G3947" i="9"/>
  <c r="E3947" i="9"/>
  <c r="D3947" i="9"/>
  <c r="C3947" i="9"/>
  <c r="B3947" i="9"/>
  <c r="H3946" i="9"/>
  <c r="G3946" i="9"/>
  <c r="E3946" i="9"/>
  <c r="D3946" i="9"/>
  <c r="C3946" i="9"/>
  <c r="B3946" i="9"/>
  <c r="H3945" i="9"/>
  <c r="G3945" i="9"/>
  <c r="E3945" i="9"/>
  <c r="D3945" i="9"/>
  <c r="C3945" i="9"/>
  <c r="B3945" i="9"/>
  <c r="H3944" i="9"/>
  <c r="G3944" i="9"/>
  <c r="E3944" i="9"/>
  <c r="D3944" i="9"/>
  <c r="C3944" i="9"/>
  <c r="B3944" i="9"/>
  <c r="H3943" i="9"/>
  <c r="G3943" i="9"/>
  <c r="E3943" i="9"/>
  <c r="D3943" i="9"/>
  <c r="C3943" i="9"/>
  <c r="B3943" i="9"/>
  <c r="H3942" i="9"/>
  <c r="G3942" i="9"/>
  <c r="E3942" i="9"/>
  <c r="D3942" i="9"/>
  <c r="C3942" i="9"/>
  <c r="B3942" i="9"/>
  <c r="H3941" i="9"/>
  <c r="G3941" i="9"/>
  <c r="E3941" i="9"/>
  <c r="D3941" i="9"/>
  <c r="C3941" i="9"/>
  <c r="B3941" i="9"/>
  <c r="H3940" i="9"/>
  <c r="G3940" i="9"/>
  <c r="E3940" i="9"/>
  <c r="D3940" i="9"/>
  <c r="C3940" i="9"/>
  <c r="B3940" i="9"/>
  <c r="H3939" i="9"/>
  <c r="G3939" i="9"/>
  <c r="E3939" i="9"/>
  <c r="D3939" i="9"/>
  <c r="C3939" i="9"/>
  <c r="B3939" i="9"/>
  <c r="H3938" i="9"/>
  <c r="G3938" i="9"/>
  <c r="E3938" i="9"/>
  <c r="D3938" i="9"/>
  <c r="C3938" i="9"/>
  <c r="B3938" i="9"/>
  <c r="H3937" i="9"/>
  <c r="G3937" i="9"/>
  <c r="E3937" i="9"/>
  <c r="D3937" i="9"/>
  <c r="C3937" i="9"/>
  <c r="B3937" i="9"/>
  <c r="H3936" i="9"/>
  <c r="G3936" i="9"/>
  <c r="E3936" i="9"/>
  <c r="D3936" i="9"/>
  <c r="C3936" i="9"/>
  <c r="B3936" i="9"/>
  <c r="H3935" i="9"/>
  <c r="G3935" i="9"/>
  <c r="E3935" i="9"/>
  <c r="D3935" i="9"/>
  <c r="C3935" i="9"/>
  <c r="B3935" i="9"/>
  <c r="H3934" i="9"/>
  <c r="G3934" i="9"/>
  <c r="E3934" i="9"/>
  <c r="D3934" i="9"/>
  <c r="C3934" i="9"/>
  <c r="B3934" i="9"/>
  <c r="H3933" i="9"/>
  <c r="G3933" i="9"/>
  <c r="E3933" i="9"/>
  <c r="D3933" i="9"/>
  <c r="C3933" i="9"/>
  <c r="B3933" i="9"/>
  <c r="H3932" i="9"/>
  <c r="G3932" i="9"/>
  <c r="E3932" i="9"/>
  <c r="D3932" i="9"/>
  <c r="C3932" i="9"/>
  <c r="B3932" i="9"/>
  <c r="H3931" i="9"/>
  <c r="G3931" i="9"/>
  <c r="E3931" i="9"/>
  <c r="D3931" i="9"/>
  <c r="C3931" i="9"/>
  <c r="B3931" i="9"/>
  <c r="H3930" i="9"/>
  <c r="G3930" i="9"/>
  <c r="E3930" i="9"/>
  <c r="D3930" i="9"/>
  <c r="C3930" i="9"/>
  <c r="B3930" i="9"/>
  <c r="H3929" i="9"/>
  <c r="G3929" i="9"/>
  <c r="E3929" i="9"/>
  <c r="D3929" i="9"/>
  <c r="C3929" i="9"/>
  <c r="B3929" i="9"/>
  <c r="H3928" i="9"/>
  <c r="G3928" i="9"/>
  <c r="E3928" i="9"/>
  <c r="D3928" i="9"/>
  <c r="C3928" i="9"/>
  <c r="B3928" i="9"/>
  <c r="H3927" i="9"/>
  <c r="G3927" i="9"/>
  <c r="E3927" i="9"/>
  <c r="D3927" i="9"/>
  <c r="C3927" i="9"/>
  <c r="B3927" i="9"/>
  <c r="H3926" i="9"/>
  <c r="G3926" i="9"/>
  <c r="E3926" i="9"/>
  <c r="D3926" i="9"/>
  <c r="C3926" i="9"/>
  <c r="B3926" i="9"/>
  <c r="H3925" i="9"/>
  <c r="G3925" i="9"/>
  <c r="E3925" i="9"/>
  <c r="D3925" i="9"/>
  <c r="C3925" i="9"/>
  <c r="B3925" i="9"/>
  <c r="H3924" i="9"/>
  <c r="G3924" i="9"/>
  <c r="E3924" i="9"/>
  <c r="D3924" i="9"/>
  <c r="C3924" i="9"/>
  <c r="B3924" i="9"/>
  <c r="H3923" i="9"/>
  <c r="G3923" i="9"/>
  <c r="E3923" i="9"/>
  <c r="D3923" i="9"/>
  <c r="C3923" i="9"/>
  <c r="B3923" i="9"/>
  <c r="H3922" i="9"/>
  <c r="G3922" i="9"/>
  <c r="E3922" i="9"/>
  <c r="D3922" i="9"/>
  <c r="C3922" i="9"/>
  <c r="B3922" i="9"/>
  <c r="H3921" i="9"/>
  <c r="G3921" i="9"/>
  <c r="E3921" i="9"/>
  <c r="D3921" i="9"/>
  <c r="C3921" i="9"/>
  <c r="B3921" i="9"/>
  <c r="H3920" i="9"/>
  <c r="G3920" i="9"/>
  <c r="E3920" i="9"/>
  <c r="D3920" i="9"/>
  <c r="C3920" i="9"/>
  <c r="B3920" i="9"/>
  <c r="H3919" i="9"/>
  <c r="G3919" i="9"/>
  <c r="E3919" i="9"/>
  <c r="D3919" i="9"/>
  <c r="C3919" i="9"/>
  <c r="B3919" i="9"/>
  <c r="H3918" i="9"/>
  <c r="G3918" i="9"/>
  <c r="E3918" i="9"/>
  <c r="D3918" i="9"/>
  <c r="C3918" i="9"/>
  <c r="B3918" i="9"/>
  <c r="H3917" i="9"/>
  <c r="G3917" i="9"/>
  <c r="E3917" i="9"/>
  <c r="D3917" i="9"/>
  <c r="C3917" i="9"/>
  <c r="B3917" i="9"/>
  <c r="H3916" i="9"/>
  <c r="G3916" i="9"/>
  <c r="E3916" i="9"/>
  <c r="D3916" i="9"/>
  <c r="C3916" i="9"/>
  <c r="B3916" i="9"/>
  <c r="H3915" i="9"/>
  <c r="G3915" i="9"/>
  <c r="E3915" i="9"/>
  <c r="D3915" i="9"/>
  <c r="C3915" i="9"/>
  <c r="B3915" i="9"/>
  <c r="H3914" i="9"/>
  <c r="G3914" i="9"/>
  <c r="E3914" i="9"/>
  <c r="D3914" i="9"/>
  <c r="C3914" i="9"/>
  <c r="B3914" i="9"/>
  <c r="H3913" i="9"/>
  <c r="G3913" i="9"/>
  <c r="E3913" i="9"/>
  <c r="D3913" i="9"/>
  <c r="C3913" i="9"/>
  <c r="B3913" i="9"/>
  <c r="H3912" i="9"/>
  <c r="G3912" i="9"/>
  <c r="E3912" i="9"/>
  <c r="D3912" i="9"/>
  <c r="C3912" i="9"/>
  <c r="B3912" i="9"/>
  <c r="H3911" i="9"/>
  <c r="G3911" i="9"/>
  <c r="E3911" i="9"/>
  <c r="D3911" i="9"/>
  <c r="C3911" i="9"/>
  <c r="B3911" i="9"/>
  <c r="H3910" i="9"/>
  <c r="G3910" i="9"/>
  <c r="E3910" i="9"/>
  <c r="D3910" i="9"/>
  <c r="C3910" i="9"/>
  <c r="B3910" i="9"/>
  <c r="H3909" i="9"/>
  <c r="G3909" i="9"/>
  <c r="E3909" i="9"/>
  <c r="D3909" i="9"/>
  <c r="C3909" i="9"/>
  <c r="B3909" i="9"/>
  <c r="H3908" i="9"/>
  <c r="G3908" i="9"/>
  <c r="E3908" i="9"/>
  <c r="D3908" i="9"/>
  <c r="C3908" i="9"/>
  <c r="B3908" i="9"/>
  <c r="H3907" i="9"/>
  <c r="G3907" i="9"/>
  <c r="E3907" i="9"/>
  <c r="D3907" i="9"/>
  <c r="C3907" i="9"/>
  <c r="B3907" i="9"/>
  <c r="H3906" i="9"/>
  <c r="G3906" i="9"/>
  <c r="E3906" i="9"/>
  <c r="D3906" i="9"/>
  <c r="C3906" i="9"/>
  <c r="B3906" i="9"/>
  <c r="H3905" i="9"/>
  <c r="G3905" i="9"/>
  <c r="E3905" i="9"/>
  <c r="D3905" i="9"/>
  <c r="C3905" i="9"/>
  <c r="B3905" i="9"/>
  <c r="H3904" i="9"/>
  <c r="G3904" i="9"/>
  <c r="E3904" i="9"/>
  <c r="D3904" i="9"/>
  <c r="C3904" i="9"/>
  <c r="B3904" i="9"/>
  <c r="H3903" i="9"/>
  <c r="G3903" i="9"/>
  <c r="E3903" i="9"/>
  <c r="D3903" i="9"/>
  <c r="C3903" i="9"/>
  <c r="B3903" i="9"/>
  <c r="H3902" i="9"/>
  <c r="G3902" i="9"/>
  <c r="E3902" i="9"/>
  <c r="D3902" i="9"/>
  <c r="C3902" i="9"/>
  <c r="B3902" i="9"/>
  <c r="H3901" i="9"/>
  <c r="G3901" i="9"/>
  <c r="E3901" i="9"/>
  <c r="D3901" i="9"/>
  <c r="C3901" i="9"/>
  <c r="B3901" i="9"/>
  <c r="H3900" i="9"/>
  <c r="G3900" i="9"/>
  <c r="E3900" i="9"/>
  <c r="D3900" i="9"/>
  <c r="C3900" i="9"/>
  <c r="B3900" i="9"/>
  <c r="H3899" i="9"/>
  <c r="G3899" i="9"/>
  <c r="E3899" i="9"/>
  <c r="D3899" i="9"/>
  <c r="C3899" i="9"/>
  <c r="B3899" i="9"/>
  <c r="H3898" i="9"/>
  <c r="G3898" i="9"/>
  <c r="E3898" i="9"/>
  <c r="D3898" i="9"/>
  <c r="C3898" i="9"/>
  <c r="B3898" i="9"/>
  <c r="H3897" i="9"/>
  <c r="G3897" i="9"/>
  <c r="E3897" i="9"/>
  <c r="D3897" i="9"/>
  <c r="C3897" i="9"/>
  <c r="B3897" i="9"/>
  <c r="H3896" i="9"/>
  <c r="G3896" i="9"/>
  <c r="E3896" i="9"/>
  <c r="D3896" i="9"/>
  <c r="C3896" i="9"/>
  <c r="B3896" i="9"/>
  <c r="H3895" i="9"/>
  <c r="G3895" i="9"/>
  <c r="E3895" i="9"/>
  <c r="D3895" i="9"/>
  <c r="C3895" i="9"/>
  <c r="B3895" i="9"/>
  <c r="H3894" i="9"/>
  <c r="G3894" i="9"/>
  <c r="E3894" i="9"/>
  <c r="D3894" i="9"/>
  <c r="C3894" i="9"/>
  <c r="B3894" i="9"/>
  <c r="H3893" i="9"/>
  <c r="G3893" i="9"/>
  <c r="E3893" i="9"/>
  <c r="D3893" i="9"/>
  <c r="C3893" i="9"/>
  <c r="B3893" i="9"/>
  <c r="H3892" i="9"/>
  <c r="G3892" i="9"/>
  <c r="E3892" i="9"/>
  <c r="D3892" i="9"/>
  <c r="C3892" i="9"/>
  <c r="B3892" i="9"/>
  <c r="H3891" i="9"/>
  <c r="G3891" i="9"/>
  <c r="E3891" i="9"/>
  <c r="D3891" i="9"/>
  <c r="C3891" i="9"/>
  <c r="B3891" i="9"/>
  <c r="H3890" i="9"/>
  <c r="G3890" i="9"/>
  <c r="E3890" i="9"/>
  <c r="D3890" i="9"/>
  <c r="C3890" i="9"/>
  <c r="B3890" i="9"/>
  <c r="H3889" i="9"/>
  <c r="G3889" i="9"/>
  <c r="E3889" i="9"/>
  <c r="D3889" i="9"/>
  <c r="C3889" i="9"/>
  <c r="B3889" i="9"/>
  <c r="H3888" i="9"/>
  <c r="G3888" i="9"/>
  <c r="E3888" i="9"/>
  <c r="D3888" i="9"/>
  <c r="C3888" i="9"/>
  <c r="B3888" i="9"/>
  <c r="H3887" i="9"/>
  <c r="G3887" i="9"/>
  <c r="E3887" i="9"/>
  <c r="D3887" i="9"/>
  <c r="C3887" i="9"/>
  <c r="B3887" i="9"/>
  <c r="H3886" i="9"/>
  <c r="G3886" i="9"/>
  <c r="E3886" i="9"/>
  <c r="D3886" i="9"/>
  <c r="C3886" i="9"/>
  <c r="B3886" i="9"/>
  <c r="H3885" i="9"/>
  <c r="G3885" i="9"/>
  <c r="E3885" i="9"/>
  <c r="D3885" i="9"/>
  <c r="C3885" i="9"/>
  <c r="B3885" i="9"/>
  <c r="H3884" i="9"/>
  <c r="G3884" i="9"/>
  <c r="E3884" i="9"/>
  <c r="D3884" i="9"/>
  <c r="C3884" i="9"/>
  <c r="B3884" i="9"/>
  <c r="H3883" i="9"/>
  <c r="G3883" i="9"/>
  <c r="E3883" i="9"/>
  <c r="D3883" i="9"/>
  <c r="C3883" i="9"/>
  <c r="B3883" i="9"/>
  <c r="H3882" i="9"/>
  <c r="G3882" i="9"/>
  <c r="E3882" i="9"/>
  <c r="D3882" i="9"/>
  <c r="C3882" i="9"/>
  <c r="B3882" i="9"/>
  <c r="H3881" i="9"/>
  <c r="G3881" i="9"/>
  <c r="E3881" i="9"/>
  <c r="D3881" i="9"/>
  <c r="C3881" i="9"/>
  <c r="B3881" i="9"/>
  <c r="H3880" i="9"/>
  <c r="G3880" i="9"/>
  <c r="E3880" i="9"/>
  <c r="D3880" i="9"/>
  <c r="C3880" i="9"/>
  <c r="B3880" i="9"/>
  <c r="H3879" i="9"/>
  <c r="G3879" i="9"/>
  <c r="E3879" i="9"/>
  <c r="D3879" i="9"/>
  <c r="C3879" i="9"/>
  <c r="B3879" i="9"/>
  <c r="H3878" i="9"/>
  <c r="G3878" i="9"/>
  <c r="E3878" i="9"/>
  <c r="D3878" i="9"/>
  <c r="C3878" i="9"/>
  <c r="B3878" i="9"/>
  <c r="H3877" i="9"/>
  <c r="G3877" i="9"/>
  <c r="E3877" i="9"/>
  <c r="D3877" i="9"/>
  <c r="C3877" i="9"/>
  <c r="B3877" i="9"/>
  <c r="H3876" i="9"/>
  <c r="G3876" i="9"/>
  <c r="E3876" i="9"/>
  <c r="D3876" i="9"/>
  <c r="C3876" i="9"/>
  <c r="B3876" i="9"/>
  <c r="H3875" i="9"/>
  <c r="G3875" i="9"/>
  <c r="E3875" i="9"/>
  <c r="D3875" i="9"/>
  <c r="C3875" i="9"/>
  <c r="B3875" i="9"/>
  <c r="H3874" i="9"/>
  <c r="G3874" i="9"/>
  <c r="E3874" i="9"/>
  <c r="D3874" i="9"/>
  <c r="C3874" i="9"/>
  <c r="B3874" i="9"/>
  <c r="H3873" i="9"/>
  <c r="G3873" i="9"/>
  <c r="E3873" i="9"/>
  <c r="D3873" i="9"/>
  <c r="C3873" i="9"/>
  <c r="B3873" i="9"/>
  <c r="H3872" i="9"/>
  <c r="G3872" i="9"/>
  <c r="E3872" i="9"/>
  <c r="D3872" i="9"/>
  <c r="C3872" i="9"/>
  <c r="B3872" i="9"/>
  <c r="H3871" i="9"/>
  <c r="G3871" i="9"/>
  <c r="E3871" i="9"/>
  <c r="D3871" i="9"/>
  <c r="C3871" i="9"/>
  <c r="B3871" i="9"/>
  <c r="H3870" i="9"/>
  <c r="G3870" i="9"/>
  <c r="E3870" i="9"/>
  <c r="D3870" i="9"/>
  <c r="C3870" i="9"/>
  <c r="B3870" i="9"/>
  <c r="H3869" i="9"/>
  <c r="G3869" i="9"/>
  <c r="E3869" i="9"/>
  <c r="D3869" i="9"/>
  <c r="C3869" i="9"/>
  <c r="B3869" i="9"/>
  <c r="H3868" i="9"/>
  <c r="G3868" i="9"/>
  <c r="E3868" i="9"/>
  <c r="D3868" i="9"/>
  <c r="C3868" i="9"/>
  <c r="B3868" i="9"/>
  <c r="H3867" i="9"/>
  <c r="G3867" i="9"/>
  <c r="E3867" i="9"/>
  <c r="D3867" i="9"/>
  <c r="C3867" i="9"/>
  <c r="B3867" i="9"/>
  <c r="H3866" i="9"/>
  <c r="G3866" i="9"/>
  <c r="E3866" i="9"/>
  <c r="D3866" i="9"/>
  <c r="C3866" i="9"/>
  <c r="B3866" i="9"/>
  <c r="H3865" i="9"/>
  <c r="G3865" i="9"/>
  <c r="E3865" i="9"/>
  <c r="D3865" i="9"/>
  <c r="C3865" i="9"/>
  <c r="B3865" i="9"/>
  <c r="H3864" i="9"/>
  <c r="G3864" i="9"/>
  <c r="E3864" i="9"/>
  <c r="D3864" i="9"/>
  <c r="C3864" i="9"/>
  <c r="B3864" i="9"/>
  <c r="H3863" i="9"/>
  <c r="G3863" i="9"/>
  <c r="E3863" i="9"/>
  <c r="D3863" i="9"/>
  <c r="C3863" i="9"/>
  <c r="B3863" i="9"/>
  <c r="H3862" i="9"/>
  <c r="G3862" i="9"/>
  <c r="E3862" i="9"/>
  <c r="D3862" i="9"/>
  <c r="C3862" i="9"/>
  <c r="B3862" i="9"/>
  <c r="H3861" i="9"/>
  <c r="G3861" i="9"/>
  <c r="E3861" i="9"/>
  <c r="D3861" i="9"/>
  <c r="C3861" i="9"/>
  <c r="B3861" i="9"/>
  <c r="H3860" i="9"/>
  <c r="G3860" i="9"/>
  <c r="E3860" i="9"/>
  <c r="D3860" i="9"/>
  <c r="C3860" i="9"/>
  <c r="B3860" i="9"/>
  <c r="H3859" i="9"/>
  <c r="G3859" i="9"/>
  <c r="E3859" i="9"/>
  <c r="D3859" i="9"/>
  <c r="C3859" i="9"/>
  <c r="B3859" i="9"/>
  <c r="H3858" i="9"/>
  <c r="G3858" i="9"/>
  <c r="E3858" i="9"/>
  <c r="D3858" i="9"/>
  <c r="C3858" i="9"/>
  <c r="B3858" i="9"/>
  <c r="H3857" i="9"/>
  <c r="G3857" i="9"/>
  <c r="E3857" i="9"/>
  <c r="D3857" i="9"/>
  <c r="C3857" i="9"/>
  <c r="B3857" i="9"/>
  <c r="H3856" i="9"/>
  <c r="G3856" i="9"/>
  <c r="E3856" i="9"/>
  <c r="D3856" i="9"/>
  <c r="C3856" i="9"/>
  <c r="B3856" i="9"/>
  <c r="H3855" i="9"/>
  <c r="G3855" i="9"/>
  <c r="E3855" i="9"/>
  <c r="D3855" i="9"/>
  <c r="C3855" i="9"/>
  <c r="B3855" i="9"/>
  <c r="H3854" i="9"/>
  <c r="G3854" i="9"/>
  <c r="E3854" i="9"/>
  <c r="D3854" i="9"/>
  <c r="C3854" i="9"/>
  <c r="B3854" i="9"/>
  <c r="H3853" i="9"/>
  <c r="G3853" i="9"/>
  <c r="E3853" i="9"/>
  <c r="D3853" i="9"/>
  <c r="C3853" i="9"/>
  <c r="B3853" i="9"/>
  <c r="H3852" i="9"/>
  <c r="G3852" i="9"/>
  <c r="E3852" i="9"/>
  <c r="D3852" i="9"/>
  <c r="C3852" i="9"/>
  <c r="B3852" i="9"/>
  <c r="H3851" i="9"/>
  <c r="G3851" i="9"/>
  <c r="E3851" i="9"/>
  <c r="D3851" i="9"/>
  <c r="C3851" i="9"/>
  <c r="B3851" i="9"/>
  <c r="H3850" i="9"/>
  <c r="G3850" i="9"/>
  <c r="E3850" i="9"/>
  <c r="D3850" i="9"/>
  <c r="C3850" i="9"/>
  <c r="B3850" i="9"/>
  <c r="H3849" i="9"/>
  <c r="G3849" i="9"/>
  <c r="E3849" i="9"/>
  <c r="D3849" i="9"/>
  <c r="C3849" i="9"/>
  <c r="B3849" i="9"/>
  <c r="H3848" i="9"/>
  <c r="G3848" i="9"/>
  <c r="E3848" i="9"/>
  <c r="D3848" i="9"/>
  <c r="C3848" i="9"/>
  <c r="B3848" i="9"/>
  <c r="H3847" i="9"/>
  <c r="G3847" i="9"/>
  <c r="E3847" i="9"/>
  <c r="D3847" i="9"/>
  <c r="C3847" i="9"/>
  <c r="B3847" i="9"/>
  <c r="H3846" i="9"/>
  <c r="G3846" i="9"/>
  <c r="E3846" i="9"/>
  <c r="D3846" i="9"/>
  <c r="C3846" i="9"/>
  <c r="B3846" i="9"/>
  <c r="H3845" i="9"/>
  <c r="G3845" i="9"/>
  <c r="E3845" i="9"/>
  <c r="D3845" i="9"/>
  <c r="C3845" i="9"/>
  <c r="B3845" i="9"/>
  <c r="H3844" i="9"/>
  <c r="G3844" i="9"/>
  <c r="E3844" i="9"/>
  <c r="D3844" i="9"/>
  <c r="C3844" i="9"/>
  <c r="B3844" i="9"/>
  <c r="H3843" i="9"/>
  <c r="G3843" i="9"/>
  <c r="E3843" i="9"/>
  <c r="D3843" i="9"/>
  <c r="C3843" i="9"/>
  <c r="B3843" i="9"/>
  <c r="H3842" i="9"/>
  <c r="G3842" i="9"/>
  <c r="E3842" i="9"/>
  <c r="D3842" i="9"/>
  <c r="C3842" i="9"/>
  <c r="B3842" i="9"/>
  <c r="H3841" i="9"/>
  <c r="G3841" i="9"/>
  <c r="E3841" i="9"/>
  <c r="D3841" i="9"/>
  <c r="C3841" i="9"/>
  <c r="B3841" i="9"/>
  <c r="H3840" i="9"/>
  <c r="G3840" i="9"/>
  <c r="E3840" i="9"/>
  <c r="D3840" i="9"/>
  <c r="C3840" i="9"/>
  <c r="B3840" i="9"/>
  <c r="H3839" i="9"/>
  <c r="G3839" i="9"/>
  <c r="E3839" i="9"/>
  <c r="D3839" i="9"/>
  <c r="C3839" i="9"/>
  <c r="B3839" i="9"/>
  <c r="H3838" i="9"/>
  <c r="G3838" i="9"/>
  <c r="E3838" i="9"/>
  <c r="D3838" i="9"/>
  <c r="C3838" i="9"/>
  <c r="B3838" i="9"/>
  <c r="H3837" i="9"/>
  <c r="G3837" i="9"/>
  <c r="E3837" i="9"/>
  <c r="D3837" i="9"/>
  <c r="C3837" i="9"/>
  <c r="B3837" i="9"/>
  <c r="H3836" i="9"/>
  <c r="G3836" i="9"/>
  <c r="E3836" i="9"/>
  <c r="D3836" i="9"/>
  <c r="C3836" i="9"/>
  <c r="B3836" i="9"/>
  <c r="H3835" i="9"/>
  <c r="G3835" i="9"/>
  <c r="E3835" i="9"/>
  <c r="D3835" i="9"/>
  <c r="C3835" i="9"/>
  <c r="B3835" i="9"/>
  <c r="H3834" i="9"/>
  <c r="G3834" i="9"/>
  <c r="E3834" i="9"/>
  <c r="D3834" i="9"/>
  <c r="C3834" i="9"/>
  <c r="B3834" i="9"/>
  <c r="H3833" i="9"/>
  <c r="G3833" i="9"/>
  <c r="E3833" i="9"/>
  <c r="D3833" i="9"/>
  <c r="C3833" i="9"/>
  <c r="B3833" i="9"/>
  <c r="H3832" i="9"/>
  <c r="G3832" i="9"/>
  <c r="E3832" i="9"/>
  <c r="D3832" i="9"/>
  <c r="C3832" i="9"/>
  <c r="B3832" i="9"/>
  <c r="H3831" i="9"/>
  <c r="G3831" i="9"/>
  <c r="E3831" i="9"/>
  <c r="D3831" i="9"/>
  <c r="C3831" i="9"/>
  <c r="B3831" i="9"/>
  <c r="H3830" i="9"/>
  <c r="G3830" i="9"/>
  <c r="E3830" i="9"/>
  <c r="D3830" i="9"/>
  <c r="C3830" i="9"/>
  <c r="B3830" i="9"/>
  <c r="H3829" i="9"/>
  <c r="G3829" i="9"/>
  <c r="E3829" i="9"/>
  <c r="D3829" i="9"/>
  <c r="C3829" i="9"/>
  <c r="B3829" i="9"/>
  <c r="H3828" i="9"/>
  <c r="G3828" i="9"/>
  <c r="E3828" i="9"/>
  <c r="D3828" i="9"/>
  <c r="C3828" i="9"/>
  <c r="B3828" i="9"/>
  <c r="H3827" i="9"/>
  <c r="G3827" i="9"/>
  <c r="E3827" i="9"/>
  <c r="D3827" i="9"/>
  <c r="C3827" i="9"/>
  <c r="B3827" i="9"/>
  <c r="H3826" i="9"/>
  <c r="G3826" i="9"/>
  <c r="E3826" i="9"/>
  <c r="D3826" i="9"/>
  <c r="C3826" i="9"/>
  <c r="B3826" i="9"/>
  <c r="H3825" i="9"/>
  <c r="G3825" i="9"/>
  <c r="E3825" i="9"/>
  <c r="D3825" i="9"/>
  <c r="C3825" i="9"/>
  <c r="B3825" i="9"/>
  <c r="H3824" i="9"/>
  <c r="G3824" i="9"/>
  <c r="E3824" i="9"/>
  <c r="D3824" i="9"/>
  <c r="C3824" i="9"/>
  <c r="B3824" i="9"/>
  <c r="H3823" i="9"/>
  <c r="G3823" i="9"/>
  <c r="E3823" i="9"/>
  <c r="D3823" i="9"/>
  <c r="C3823" i="9"/>
  <c r="B3823" i="9"/>
  <c r="H3822" i="9"/>
  <c r="G3822" i="9"/>
  <c r="E3822" i="9"/>
  <c r="D3822" i="9"/>
  <c r="C3822" i="9"/>
  <c r="B3822" i="9"/>
  <c r="H3821" i="9"/>
  <c r="G3821" i="9"/>
  <c r="E3821" i="9"/>
  <c r="D3821" i="9"/>
  <c r="C3821" i="9"/>
  <c r="B3821" i="9"/>
  <c r="H3820" i="9"/>
  <c r="G3820" i="9"/>
  <c r="E3820" i="9"/>
  <c r="D3820" i="9"/>
  <c r="C3820" i="9"/>
  <c r="B3820" i="9"/>
  <c r="H3819" i="9"/>
  <c r="G3819" i="9"/>
  <c r="E3819" i="9"/>
  <c r="D3819" i="9"/>
  <c r="C3819" i="9"/>
  <c r="B3819" i="9"/>
  <c r="H3818" i="9"/>
  <c r="G3818" i="9"/>
  <c r="E3818" i="9"/>
  <c r="D3818" i="9"/>
  <c r="C3818" i="9"/>
  <c r="B3818" i="9"/>
  <c r="H3817" i="9"/>
  <c r="G3817" i="9"/>
  <c r="E3817" i="9"/>
  <c r="D3817" i="9"/>
  <c r="C3817" i="9"/>
  <c r="B3817" i="9"/>
  <c r="H3816" i="9"/>
  <c r="G3816" i="9"/>
  <c r="E3816" i="9"/>
  <c r="D3816" i="9"/>
  <c r="C3816" i="9"/>
  <c r="B3816" i="9"/>
  <c r="H3815" i="9"/>
  <c r="G3815" i="9"/>
  <c r="E3815" i="9"/>
  <c r="D3815" i="9"/>
  <c r="C3815" i="9"/>
  <c r="B3815" i="9"/>
  <c r="H3814" i="9"/>
  <c r="G3814" i="9"/>
  <c r="E3814" i="9"/>
  <c r="D3814" i="9"/>
  <c r="C3814" i="9"/>
  <c r="B3814" i="9"/>
  <c r="H3813" i="9"/>
  <c r="G3813" i="9"/>
  <c r="E3813" i="9"/>
  <c r="D3813" i="9"/>
  <c r="C3813" i="9"/>
  <c r="B3813" i="9"/>
  <c r="H3812" i="9"/>
  <c r="G3812" i="9"/>
  <c r="E3812" i="9"/>
  <c r="D3812" i="9"/>
  <c r="C3812" i="9"/>
  <c r="B3812" i="9"/>
  <c r="H3811" i="9"/>
  <c r="G3811" i="9"/>
  <c r="E3811" i="9"/>
  <c r="D3811" i="9"/>
  <c r="C3811" i="9"/>
  <c r="B3811" i="9"/>
  <c r="H3810" i="9"/>
  <c r="G3810" i="9"/>
  <c r="E3810" i="9"/>
  <c r="D3810" i="9"/>
  <c r="C3810" i="9"/>
  <c r="B3810" i="9"/>
  <c r="H3809" i="9"/>
  <c r="G3809" i="9"/>
  <c r="E3809" i="9"/>
  <c r="D3809" i="9"/>
  <c r="C3809" i="9"/>
  <c r="B3809" i="9"/>
  <c r="H3808" i="9"/>
  <c r="G3808" i="9"/>
  <c r="E3808" i="9"/>
  <c r="D3808" i="9"/>
  <c r="C3808" i="9"/>
  <c r="B3808" i="9"/>
  <c r="H3807" i="9"/>
  <c r="G3807" i="9"/>
  <c r="E3807" i="9"/>
  <c r="D3807" i="9"/>
  <c r="C3807" i="9"/>
  <c r="B3807" i="9"/>
  <c r="H3806" i="9"/>
  <c r="G3806" i="9"/>
  <c r="E3806" i="9"/>
  <c r="D3806" i="9"/>
  <c r="C3806" i="9"/>
  <c r="B3806" i="9"/>
  <c r="H3805" i="9"/>
  <c r="G3805" i="9"/>
  <c r="E3805" i="9"/>
  <c r="D3805" i="9"/>
  <c r="C3805" i="9"/>
  <c r="B3805" i="9"/>
  <c r="H3804" i="9"/>
  <c r="G3804" i="9"/>
  <c r="E3804" i="9"/>
  <c r="D3804" i="9"/>
  <c r="C3804" i="9"/>
  <c r="B3804" i="9"/>
  <c r="H3803" i="9"/>
  <c r="G3803" i="9"/>
  <c r="E3803" i="9"/>
  <c r="D3803" i="9"/>
  <c r="C3803" i="9"/>
  <c r="B3803" i="9"/>
  <c r="H3802" i="9"/>
  <c r="G3802" i="9"/>
  <c r="E3802" i="9"/>
  <c r="D3802" i="9"/>
  <c r="C3802" i="9"/>
  <c r="B3802" i="9"/>
  <c r="H3801" i="9"/>
  <c r="G3801" i="9"/>
  <c r="E3801" i="9"/>
  <c r="D3801" i="9"/>
  <c r="C3801" i="9"/>
  <c r="B3801" i="9"/>
  <c r="H3800" i="9"/>
  <c r="G3800" i="9"/>
  <c r="E3800" i="9"/>
  <c r="D3800" i="9"/>
  <c r="C3800" i="9"/>
  <c r="B3800" i="9"/>
  <c r="H3799" i="9"/>
  <c r="G3799" i="9"/>
  <c r="E3799" i="9"/>
  <c r="D3799" i="9"/>
  <c r="C3799" i="9"/>
  <c r="B3799" i="9"/>
  <c r="H3798" i="9"/>
  <c r="G3798" i="9"/>
  <c r="E3798" i="9"/>
  <c r="D3798" i="9"/>
  <c r="C3798" i="9"/>
  <c r="B3798" i="9"/>
  <c r="H3797" i="9"/>
  <c r="G3797" i="9"/>
  <c r="E3797" i="9"/>
  <c r="D3797" i="9"/>
  <c r="C3797" i="9"/>
  <c r="B3797" i="9"/>
  <c r="H3796" i="9"/>
  <c r="G3796" i="9"/>
  <c r="E3796" i="9"/>
  <c r="D3796" i="9"/>
  <c r="C3796" i="9"/>
  <c r="B3796" i="9"/>
  <c r="H3795" i="9"/>
  <c r="G3795" i="9"/>
  <c r="E3795" i="9"/>
  <c r="D3795" i="9"/>
  <c r="C3795" i="9"/>
  <c r="B3795" i="9"/>
  <c r="H3794" i="9"/>
  <c r="G3794" i="9"/>
  <c r="E3794" i="9"/>
  <c r="D3794" i="9"/>
  <c r="C3794" i="9"/>
  <c r="B3794" i="9"/>
  <c r="H3793" i="9"/>
  <c r="G3793" i="9"/>
  <c r="E3793" i="9"/>
  <c r="D3793" i="9"/>
  <c r="C3793" i="9"/>
  <c r="B3793" i="9"/>
  <c r="H3792" i="9"/>
  <c r="G3792" i="9"/>
  <c r="E3792" i="9"/>
  <c r="D3792" i="9"/>
  <c r="C3792" i="9"/>
  <c r="B3792" i="9"/>
  <c r="H3791" i="9"/>
  <c r="G3791" i="9"/>
  <c r="E3791" i="9"/>
  <c r="D3791" i="9"/>
  <c r="C3791" i="9"/>
  <c r="B3791" i="9"/>
  <c r="H3790" i="9"/>
  <c r="G3790" i="9"/>
  <c r="E3790" i="9"/>
  <c r="D3790" i="9"/>
  <c r="C3790" i="9"/>
  <c r="B3790" i="9"/>
  <c r="H3789" i="9"/>
  <c r="G3789" i="9"/>
  <c r="E3789" i="9"/>
  <c r="D3789" i="9"/>
  <c r="C3789" i="9"/>
  <c r="B3789" i="9"/>
  <c r="H3788" i="9"/>
  <c r="G3788" i="9"/>
  <c r="E3788" i="9"/>
  <c r="D3788" i="9"/>
  <c r="C3788" i="9"/>
  <c r="B3788" i="9"/>
  <c r="H3787" i="9"/>
  <c r="G3787" i="9"/>
  <c r="E3787" i="9"/>
  <c r="D3787" i="9"/>
  <c r="C3787" i="9"/>
  <c r="B3787" i="9"/>
  <c r="H3786" i="9"/>
  <c r="G3786" i="9"/>
  <c r="E3786" i="9"/>
  <c r="D3786" i="9"/>
  <c r="C3786" i="9"/>
  <c r="B3786" i="9"/>
  <c r="H3785" i="9"/>
  <c r="G3785" i="9"/>
  <c r="E3785" i="9"/>
  <c r="D3785" i="9"/>
  <c r="C3785" i="9"/>
  <c r="B3785" i="9"/>
  <c r="H3784" i="9"/>
  <c r="G3784" i="9"/>
  <c r="E3784" i="9"/>
  <c r="D3784" i="9"/>
  <c r="C3784" i="9"/>
  <c r="B3784" i="9"/>
  <c r="H3783" i="9"/>
  <c r="G3783" i="9"/>
  <c r="E3783" i="9"/>
  <c r="D3783" i="9"/>
  <c r="C3783" i="9"/>
  <c r="B3783" i="9"/>
  <c r="H3782" i="9"/>
  <c r="G3782" i="9"/>
  <c r="E3782" i="9"/>
  <c r="D3782" i="9"/>
  <c r="C3782" i="9"/>
  <c r="B3782" i="9"/>
  <c r="H3781" i="9"/>
  <c r="G3781" i="9"/>
  <c r="E3781" i="9"/>
  <c r="D3781" i="9"/>
  <c r="C3781" i="9"/>
  <c r="B3781" i="9"/>
  <c r="H3780" i="9"/>
  <c r="G3780" i="9"/>
  <c r="E3780" i="9"/>
  <c r="D3780" i="9"/>
  <c r="C3780" i="9"/>
  <c r="B3780" i="9"/>
  <c r="H3779" i="9"/>
  <c r="G3779" i="9"/>
  <c r="E3779" i="9"/>
  <c r="D3779" i="9"/>
  <c r="C3779" i="9"/>
  <c r="B3779" i="9"/>
  <c r="H3778" i="9"/>
  <c r="G3778" i="9"/>
  <c r="E3778" i="9"/>
  <c r="D3778" i="9"/>
  <c r="C3778" i="9"/>
  <c r="B3778" i="9"/>
  <c r="H3777" i="9"/>
  <c r="G3777" i="9"/>
  <c r="E3777" i="9"/>
  <c r="D3777" i="9"/>
  <c r="C3777" i="9"/>
  <c r="B3777" i="9"/>
  <c r="H3776" i="9"/>
  <c r="G3776" i="9"/>
  <c r="E3776" i="9"/>
  <c r="D3776" i="9"/>
  <c r="C3776" i="9"/>
  <c r="B3776" i="9"/>
  <c r="H3775" i="9"/>
  <c r="G3775" i="9"/>
  <c r="E3775" i="9"/>
  <c r="D3775" i="9"/>
  <c r="C3775" i="9"/>
  <c r="B3775" i="9"/>
  <c r="H3774" i="9"/>
  <c r="G3774" i="9"/>
  <c r="E3774" i="9"/>
  <c r="D3774" i="9"/>
  <c r="C3774" i="9"/>
  <c r="B3774" i="9"/>
  <c r="H3773" i="9"/>
  <c r="G3773" i="9"/>
  <c r="E3773" i="9"/>
  <c r="D3773" i="9"/>
  <c r="C3773" i="9"/>
  <c r="B3773" i="9"/>
  <c r="H3772" i="9"/>
  <c r="G3772" i="9"/>
  <c r="E3772" i="9"/>
  <c r="D3772" i="9"/>
  <c r="C3772" i="9"/>
  <c r="B3772" i="9"/>
  <c r="H3771" i="9"/>
  <c r="G3771" i="9"/>
  <c r="E3771" i="9"/>
  <c r="D3771" i="9"/>
  <c r="C3771" i="9"/>
  <c r="B3771" i="9"/>
  <c r="H3770" i="9"/>
  <c r="G3770" i="9"/>
  <c r="E3770" i="9"/>
  <c r="D3770" i="9"/>
  <c r="C3770" i="9"/>
  <c r="B3770" i="9"/>
  <c r="H3769" i="9"/>
  <c r="G3769" i="9"/>
  <c r="E3769" i="9"/>
  <c r="D3769" i="9"/>
  <c r="C3769" i="9"/>
  <c r="B3769" i="9"/>
  <c r="H3768" i="9"/>
  <c r="G3768" i="9"/>
  <c r="E3768" i="9"/>
  <c r="D3768" i="9"/>
  <c r="C3768" i="9"/>
  <c r="B3768" i="9"/>
  <c r="H3767" i="9"/>
  <c r="G3767" i="9"/>
  <c r="E3767" i="9"/>
  <c r="D3767" i="9"/>
  <c r="C3767" i="9"/>
  <c r="B3767" i="9"/>
  <c r="H3766" i="9"/>
  <c r="G3766" i="9"/>
  <c r="E3766" i="9"/>
  <c r="D3766" i="9"/>
  <c r="C3766" i="9"/>
  <c r="B3766" i="9"/>
  <c r="H3765" i="9"/>
  <c r="G3765" i="9"/>
  <c r="E3765" i="9"/>
  <c r="D3765" i="9"/>
  <c r="C3765" i="9"/>
  <c r="B3765" i="9"/>
  <c r="H3764" i="9"/>
  <c r="G3764" i="9"/>
  <c r="E3764" i="9"/>
  <c r="D3764" i="9"/>
  <c r="C3764" i="9"/>
  <c r="B3764" i="9"/>
  <c r="H3763" i="9"/>
  <c r="G3763" i="9"/>
  <c r="E3763" i="9"/>
  <c r="D3763" i="9"/>
  <c r="C3763" i="9"/>
  <c r="B3763" i="9"/>
  <c r="H3762" i="9"/>
  <c r="G3762" i="9"/>
  <c r="E3762" i="9"/>
  <c r="D3762" i="9"/>
  <c r="C3762" i="9"/>
  <c r="B3762" i="9"/>
  <c r="H3761" i="9"/>
  <c r="G3761" i="9"/>
  <c r="E3761" i="9"/>
  <c r="D3761" i="9"/>
  <c r="C3761" i="9"/>
  <c r="B3761" i="9"/>
  <c r="H3760" i="9"/>
  <c r="G3760" i="9"/>
  <c r="E3760" i="9"/>
  <c r="D3760" i="9"/>
  <c r="C3760" i="9"/>
  <c r="B3760" i="9"/>
  <c r="H3759" i="9"/>
  <c r="G3759" i="9"/>
  <c r="E3759" i="9"/>
  <c r="D3759" i="9"/>
  <c r="C3759" i="9"/>
  <c r="B3759" i="9"/>
  <c r="H3758" i="9"/>
  <c r="G3758" i="9"/>
  <c r="E3758" i="9"/>
  <c r="D3758" i="9"/>
  <c r="C3758" i="9"/>
  <c r="B3758" i="9"/>
  <c r="H3757" i="9"/>
  <c r="G3757" i="9"/>
  <c r="E3757" i="9"/>
  <c r="D3757" i="9"/>
  <c r="C3757" i="9"/>
  <c r="B3757" i="9"/>
  <c r="H3756" i="9"/>
  <c r="G3756" i="9"/>
  <c r="E3756" i="9"/>
  <c r="D3756" i="9"/>
  <c r="C3756" i="9"/>
  <c r="B3756" i="9"/>
  <c r="H3755" i="9"/>
  <c r="G3755" i="9"/>
  <c r="E3755" i="9"/>
  <c r="D3755" i="9"/>
  <c r="C3755" i="9"/>
  <c r="B3755" i="9"/>
  <c r="H3754" i="9"/>
  <c r="G3754" i="9"/>
  <c r="E3754" i="9"/>
  <c r="D3754" i="9"/>
  <c r="C3754" i="9"/>
  <c r="B3754" i="9"/>
  <c r="H3753" i="9"/>
  <c r="G3753" i="9"/>
  <c r="E3753" i="9"/>
  <c r="D3753" i="9"/>
  <c r="C3753" i="9"/>
  <c r="B3753" i="9"/>
  <c r="H3752" i="9"/>
  <c r="G3752" i="9"/>
  <c r="E3752" i="9"/>
  <c r="D3752" i="9"/>
  <c r="C3752" i="9"/>
  <c r="B3752" i="9"/>
  <c r="H3751" i="9"/>
  <c r="G3751" i="9"/>
  <c r="E3751" i="9"/>
  <c r="D3751" i="9"/>
  <c r="C3751" i="9"/>
  <c r="B3751" i="9"/>
  <c r="H3750" i="9"/>
  <c r="G3750" i="9"/>
  <c r="E3750" i="9"/>
  <c r="D3750" i="9"/>
  <c r="C3750" i="9"/>
  <c r="B3750" i="9"/>
  <c r="H3749" i="9"/>
  <c r="G3749" i="9"/>
  <c r="E3749" i="9"/>
  <c r="D3749" i="9"/>
  <c r="C3749" i="9"/>
  <c r="B3749" i="9"/>
  <c r="H3748" i="9"/>
  <c r="G3748" i="9"/>
  <c r="E3748" i="9"/>
  <c r="D3748" i="9"/>
  <c r="C3748" i="9"/>
  <c r="B3748" i="9"/>
  <c r="H3747" i="9"/>
  <c r="G3747" i="9"/>
  <c r="E3747" i="9"/>
  <c r="D3747" i="9"/>
  <c r="C3747" i="9"/>
  <c r="B3747" i="9"/>
  <c r="H3746" i="9"/>
  <c r="G3746" i="9"/>
  <c r="E3746" i="9"/>
  <c r="D3746" i="9"/>
  <c r="C3746" i="9"/>
  <c r="B3746" i="9"/>
  <c r="H3745" i="9"/>
  <c r="G3745" i="9"/>
  <c r="E3745" i="9"/>
  <c r="D3745" i="9"/>
  <c r="C3745" i="9"/>
  <c r="B3745" i="9"/>
  <c r="H3744" i="9"/>
  <c r="G3744" i="9"/>
  <c r="E3744" i="9"/>
  <c r="D3744" i="9"/>
  <c r="C3744" i="9"/>
  <c r="B3744" i="9"/>
  <c r="H3743" i="9"/>
  <c r="G3743" i="9"/>
  <c r="E3743" i="9"/>
  <c r="D3743" i="9"/>
  <c r="C3743" i="9"/>
  <c r="B3743" i="9"/>
  <c r="H3742" i="9"/>
  <c r="G3742" i="9"/>
  <c r="E3742" i="9"/>
  <c r="D3742" i="9"/>
  <c r="C3742" i="9"/>
  <c r="B3742" i="9"/>
  <c r="H3741" i="9"/>
  <c r="G3741" i="9"/>
  <c r="E3741" i="9"/>
  <c r="D3741" i="9"/>
  <c r="C3741" i="9"/>
  <c r="B3741" i="9"/>
  <c r="H3740" i="9"/>
  <c r="G3740" i="9"/>
  <c r="E3740" i="9"/>
  <c r="D3740" i="9"/>
  <c r="C3740" i="9"/>
  <c r="B3740" i="9"/>
  <c r="H3739" i="9"/>
  <c r="G3739" i="9"/>
  <c r="E3739" i="9"/>
  <c r="D3739" i="9"/>
  <c r="C3739" i="9"/>
  <c r="B3739" i="9"/>
  <c r="H3738" i="9"/>
  <c r="G3738" i="9"/>
  <c r="E3738" i="9"/>
  <c r="D3738" i="9"/>
  <c r="C3738" i="9"/>
  <c r="B3738" i="9"/>
  <c r="H3737" i="9"/>
  <c r="G3737" i="9"/>
  <c r="E3737" i="9"/>
  <c r="D3737" i="9"/>
  <c r="C3737" i="9"/>
  <c r="B3737" i="9"/>
  <c r="H3736" i="9"/>
  <c r="G3736" i="9"/>
  <c r="E3736" i="9"/>
  <c r="D3736" i="9"/>
  <c r="C3736" i="9"/>
  <c r="B3736" i="9"/>
  <c r="H3735" i="9"/>
  <c r="G3735" i="9"/>
  <c r="E3735" i="9"/>
  <c r="D3735" i="9"/>
  <c r="C3735" i="9"/>
  <c r="B3735" i="9"/>
  <c r="H3734" i="9"/>
  <c r="G3734" i="9"/>
  <c r="E3734" i="9"/>
  <c r="D3734" i="9"/>
  <c r="C3734" i="9"/>
  <c r="B3734" i="9"/>
  <c r="H3733" i="9"/>
  <c r="G3733" i="9"/>
  <c r="E3733" i="9"/>
  <c r="D3733" i="9"/>
  <c r="C3733" i="9"/>
  <c r="B3733" i="9"/>
  <c r="H3732" i="9"/>
  <c r="G3732" i="9"/>
  <c r="E3732" i="9"/>
  <c r="D3732" i="9"/>
  <c r="C3732" i="9"/>
  <c r="B3732" i="9"/>
  <c r="H3731" i="9"/>
  <c r="G3731" i="9"/>
  <c r="E3731" i="9"/>
  <c r="D3731" i="9"/>
  <c r="C3731" i="9"/>
  <c r="B3731" i="9"/>
  <c r="H3730" i="9"/>
  <c r="G3730" i="9"/>
  <c r="E3730" i="9"/>
  <c r="D3730" i="9"/>
  <c r="C3730" i="9"/>
  <c r="B3730" i="9"/>
  <c r="H3729" i="9"/>
  <c r="G3729" i="9"/>
  <c r="E3729" i="9"/>
  <c r="D3729" i="9"/>
  <c r="C3729" i="9"/>
  <c r="B3729" i="9"/>
  <c r="H3728" i="9"/>
  <c r="G3728" i="9"/>
  <c r="E3728" i="9"/>
  <c r="D3728" i="9"/>
  <c r="C3728" i="9"/>
  <c r="B3728" i="9"/>
  <c r="H3727" i="9"/>
  <c r="G3727" i="9"/>
  <c r="E3727" i="9"/>
  <c r="D3727" i="9"/>
  <c r="C3727" i="9"/>
  <c r="B3727" i="9"/>
  <c r="H3726" i="9"/>
  <c r="G3726" i="9"/>
  <c r="E3726" i="9"/>
  <c r="D3726" i="9"/>
  <c r="C3726" i="9"/>
  <c r="B3726" i="9"/>
  <c r="H3725" i="9"/>
  <c r="G3725" i="9"/>
  <c r="E3725" i="9"/>
  <c r="D3725" i="9"/>
  <c r="C3725" i="9"/>
  <c r="B3725" i="9"/>
  <c r="H3724" i="9"/>
  <c r="G3724" i="9"/>
  <c r="E3724" i="9"/>
  <c r="D3724" i="9"/>
  <c r="C3724" i="9"/>
  <c r="B3724" i="9"/>
  <c r="H3723" i="9"/>
  <c r="G3723" i="9"/>
  <c r="E3723" i="9"/>
  <c r="D3723" i="9"/>
  <c r="C3723" i="9"/>
  <c r="B3723" i="9"/>
  <c r="H3722" i="9"/>
  <c r="G3722" i="9"/>
  <c r="E3722" i="9"/>
  <c r="D3722" i="9"/>
  <c r="C3722" i="9"/>
  <c r="B3722" i="9"/>
  <c r="H3721" i="9"/>
  <c r="G3721" i="9"/>
  <c r="E3721" i="9"/>
  <c r="D3721" i="9"/>
  <c r="C3721" i="9"/>
  <c r="B3721" i="9"/>
  <c r="H3720" i="9"/>
  <c r="G3720" i="9"/>
  <c r="E3720" i="9"/>
  <c r="D3720" i="9"/>
  <c r="C3720" i="9"/>
  <c r="B3720" i="9"/>
  <c r="H3719" i="9"/>
  <c r="G3719" i="9"/>
  <c r="E3719" i="9"/>
  <c r="D3719" i="9"/>
  <c r="C3719" i="9"/>
  <c r="B3719" i="9"/>
  <c r="H3718" i="9"/>
  <c r="G3718" i="9"/>
  <c r="E3718" i="9"/>
  <c r="D3718" i="9"/>
  <c r="C3718" i="9"/>
  <c r="B3718" i="9"/>
  <c r="H3717" i="9"/>
  <c r="G3717" i="9"/>
  <c r="E3717" i="9"/>
  <c r="D3717" i="9"/>
  <c r="C3717" i="9"/>
  <c r="B3717" i="9"/>
  <c r="H3716" i="9"/>
  <c r="G3716" i="9"/>
  <c r="E3716" i="9"/>
  <c r="D3716" i="9"/>
  <c r="C3716" i="9"/>
  <c r="B3716" i="9"/>
  <c r="H3715" i="9"/>
  <c r="G3715" i="9"/>
  <c r="E3715" i="9"/>
  <c r="D3715" i="9"/>
  <c r="C3715" i="9"/>
  <c r="B3715" i="9"/>
  <c r="H3714" i="9"/>
  <c r="G3714" i="9"/>
  <c r="E3714" i="9"/>
  <c r="D3714" i="9"/>
  <c r="C3714" i="9"/>
  <c r="B3714" i="9"/>
  <c r="H3713" i="9"/>
  <c r="G3713" i="9"/>
  <c r="E3713" i="9"/>
  <c r="D3713" i="9"/>
  <c r="C3713" i="9"/>
  <c r="B3713" i="9"/>
  <c r="H3712" i="9"/>
  <c r="G3712" i="9"/>
  <c r="E3712" i="9"/>
  <c r="D3712" i="9"/>
  <c r="C3712" i="9"/>
  <c r="B3712" i="9"/>
  <c r="H3711" i="9"/>
  <c r="G3711" i="9"/>
  <c r="E3711" i="9"/>
  <c r="D3711" i="9"/>
  <c r="C3711" i="9"/>
  <c r="B3711" i="9"/>
  <c r="H3710" i="9"/>
  <c r="G3710" i="9"/>
  <c r="E3710" i="9"/>
  <c r="D3710" i="9"/>
  <c r="C3710" i="9"/>
  <c r="B3710" i="9"/>
  <c r="H3709" i="9"/>
  <c r="G3709" i="9"/>
  <c r="E3709" i="9"/>
  <c r="D3709" i="9"/>
  <c r="C3709" i="9"/>
  <c r="B3709" i="9"/>
  <c r="H3708" i="9"/>
  <c r="G3708" i="9"/>
  <c r="E3708" i="9"/>
  <c r="D3708" i="9"/>
  <c r="C3708" i="9"/>
  <c r="B3708" i="9"/>
  <c r="H3707" i="9"/>
  <c r="G3707" i="9"/>
  <c r="E3707" i="9"/>
  <c r="D3707" i="9"/>
  <c r="C3707" i="9"/>
  <c r="B3707" i="9"/>
  <c r="H3706" i="9"/>
  <c r="G3706" i="9"/>
  <c r="E3706" i="9"/>
  <c r="D3706" i="9"/>
  <c r="C3706" i="9"/>
  <c r="B3706" i="9"/>
  <c r="H3705" i="9"/>
  <c r="G3705" i="9"/>
  <c r="E3705" i="9"/>
  <c r="D3705" i="9"/>
  <c r="C3705" i="9"/>
  <c r="B3705" i="9"/>
  <c r="H3704" i="9"/>
  <c r="G3704" i="9"/>
  <c r="E3704" i="9"/>
  <c r="D3704" i="9"/>
  <c r="C3704" i="9"/>
  <c r="B3704" i="9"/>
  <c r="H3703" i="9"/>
  <c r="G3703" i="9"/>
  <c r="E3703" i="9"/>
  <c r="D3703" i="9"/>
  <c r="C3703" i="9"/>
  <c r="B3703" i="9"/>
  <c r="H3702" i="9"/>
  <c r="G3702" i="9"/>
  <c r="E3702" i="9"/>
  <c r="D3702" i="9"/>
  <c r="C3702" i="9"/>
  <c r="B3702" i="9"/>
  <c r="H3701" i="9"/>
  <c r="G3701" i="9"/>
  <c r="E3701" i="9"/>
  <c r="D3701" i="9"/>
  <c r="C3701" i="9"/>
  <c r="B3701" i="9"/>
  <c r="H3700" i="9"/>
  <c r="G3700" i="9"/>
  <c r="E3700" i="9"/>
  <c r="D3700" i="9"/>
  <c r="C3700" i="9"/>
  <c r="B3700" i="9"/>
  <c r="H3699" i="9"/>
  <c r="G3699" i="9"/>
  <c r="E3699" i="9"/>
  <c r="D3699" i="9"/>
  <c r="C3699" i="9"/>
  <c r="B3699" i="9"/>
  <c r="H3698" i="9"/>
  <c r="G3698" i="9"/>
  <c r="E3698" i="9"/>
  <c r="D3698" i="9"/>
  <c r="C3698" i="9"/>
  <c r="B3698" i="9"/>
  <c r="H3697" i="9"/>
  <c r="G3697" i="9"/>
  <c r="E3697" i="9"/>
  <c r="D3697" i="9"/>
  <c r="C3697" i="9"/>
  <c r="B3697" i="9"/>
  <c r="H3696" i="9"/>
  <c r="G3696" i="9"/>
  <c r="E3696" i="9"/>
  <c r="D3696" i="9"/>
  <c r="C3696" i="9"/>
  <c r="B3696" i="9"/>
  <c r="H3695" i="9"/>
  <c r="G3695" i="9"/>
  <c r="E3695" i="9"/>
  <c r="D3695" i="9"/>
  <c r="C3695" i="9"/>
  <c r="B3695" i="9"/>
  <c r="H3694" i="9"/>
  <c r="G3694" i="9"/>
  <c r="E3694" i="9"/>
  <c r="D3694" i="9"/>
  <c r="C3694" i="9"/>
  <c r="B3694" i="9"/>
  <c r="H3693" i="9"/>
  <c r="G3693" i="9"/>
  <c r="E3693" i="9"/>
  <c r="D3693" i="9"/>
  <c r="C3693" i="9"/>
  <c r="B3693" i="9"/>
  <c r="H3692" i="9"/>
  <c r="G3692" i="9"/>
  <c r="E3692" i="9"/>
  <c r="D3692" i="9"/>
  <c r="C3692" i="9"/>
  <c r="B3692" i="9"/>
  <c r="H3691" i="9"/>
  <c r="G3691" i="9"/>
  <c r="E3691" i="9"/>
  <c r="D3691" i="9"/>
  <c r="C3691" i="9"/>
  <c r="B3691" i="9"/>
  <c r="H3690" i="9"/>
  <c r="G3690" i="9"/>
  <c r="E3690" i="9"/>
  <c r="D3690" i="9"/>
  <c r="C3690" i="9"/>
  <c r="B3690" i="9"/>
  <c r="H3689" i="9"/>
  <c r="G3689" i="9"/>
  <c r="E3689" i="9"/>
  <c r="D3689" i="9"/>
  <c r="C3689" i="9"/>
  <c r="B3689" i="9"/>
  <c r="H3688" i="9"/>
  <c r="G3688" i="9"/>
  <c r="E3688" i="9"/>
  <c r="D3688" i="9"/>
  <c r="C3688" i="9"/>
  <c r="B3688" i="9"/>
  <c r="H3687" i="9"/>
  <c r="G3687" i="9"/>
  <c r="E3687" i="9"/>
  <c r="D3687" i="9"/>
  <c r="C3687" i="9"/>
  <c r="B3687" i="9"/>
  <c r="H3686" i="9"/>
  <c r="G3686" i="9"/>
  <c r="E3686" i="9"/>
  <c r="D3686" i="9"/>
  <c r="C3686" i="9"/>
  <c r="B3686" i="9"/>
  <c r="H3685" i="9"/>
  <c r="G3685" i="9"/>
  <c r="E3685" i="9"/>
  <c r="D3685" i="9"/>
  <c r="C3685" i="9"/>
  <c r="B3685" i="9"/>
  <c r="H3684" i="9"/>
  <c r="G3684" i="9"/>
  <c r="E3684" i="9"/>
  <c r="D3684" i="9"/>
  <c r="C3684" i="9"/>
  <c r="B3684" i="9"/>
  <c r="H3683" i="9"/>
  <c r="G3683" i="9"/>
  <c r="E3683" i="9"/>
  <c r="D3683" i="9"/>
  <c r="C3683" i="9"/>
  <c r="B3683" i="9"/>
  <c r="H3682" i="9"/>
  <c r="G3682" i="9"/>
  <c r="E3682" i="9"/>
  <c r="D3682" i="9"/>
  <c r="C3682" i="9"/>
  <c r="B3682" i="9"/>
  <c r="H3681" i="9"/>
  <c r="G3681" i="9"/>
  <c r="E3681" i="9"/>
  <c r="D3681" i="9"/>
  <c r="C3681" i="9"/>
  <c r="B3681" i="9"/>
  <c r="H3680" i="9"/>
  <c r="G3680" i="9"/>
  <c r="E3680" i="9"/>
  <c r="D3680" i="9"/>
  <c r="C3680" i="9"/>
  <c r="B3680" i="9"/>
  <c r="H3679" i="9"/>
  <c r="G3679" i="9"/>
  <c r="E3679" i="9"/>
  <c r="D3679" i="9"/>
  <c r="C3679" i="9"/>
  <c r="B3679" i="9"/>
  <c r="H3678" i="9"/>
  <c r="G3678" i="9"/>
  <c r="E3678" i="9"/>
  <c r="D3678" i="9"/>
  <c r="C3678" i="9"/>
  <c r="B3678" i="9"/>
  <c r="H3677" i="9"/>
  <c r="G3677" i="9"/>
  <c r="E3677" i="9"/>
  <c r="D3677" i="9"/>
  <c r="C3677" i="9"/>
  <c r="B3677" i="9"/>
  <c r="H3676" i="9"/>
  <c r="G3676" i="9"/>
  <c r="E3676" i="9"/>
  <c r="D3676" i="9"/>
  <c r="C3676" i="9"/>
  <c r="B3676" i="9"/>
  <c r="H3675" i="9"/>
  <c r="G3675" i="9"/>
  <c r="E3675" i="9"/>
  <c r="D3675" i="9"/>
  <c r="C3675" i="9"/>
  <c r="B3675" i="9"/>
  <c r="H3674" i="9"/>
  <c r="G3674" i="9"/>
  <c r="E3674" i="9"/>
  <c r="D3674" i="9"/>
  <c r="C3674" i="9"/>
  <c r="B3674" i="9"/>
  <c r="H3673" i="9"/>
  <c r="G3673" i="9"/>
  <c r="E3673" i="9"/>
  <c r="D3673" i="9"/>
  <c r="C3673" i="9"/>
  <c r="B3673" i="9"/>
  <c r="H3672" i="9"/>
  <c r="G3672" i="9"/>
  <c r="E3672" i="9"/>
  <c r="D3672" i="9"/>
  <c r="C3672" i="9"/>
  <c r="B3672" i="9"/>
  <c r="H3671" i="9"/>
  <c r="G3671" i="9"/>
  <c r="E3671" i="9"/>
  <c r="D3671" i="9"/>
  <c r="C3671" i="9"/>
  <c r="B3671" i="9"/>
  <c r="H3670" i="9"/>
  <c r="G3670" i="9"/>
  <c r="E3670" i="9"/>
  <c r="D3670" i="9"/>
  <c r="C3670" i="9"/>
  <c r="B3670" i="9"/>
  <c r="H3669" i="9"/>
  <c r="G3669" i="9"/>
  <c r="E3669" i="9"/>
  <c r="D3669" i="9"/>
  <c r="C3669" i="9"/>
  <c r="B3669" i="9"/>
  <c r="H3668" i="9"/>
  <c r="G3668" i="9"/>
  <c r="E3668" i="9"/>
  <c r="D3668" i="9"/>
  <c r="C3668" i="9"/>
  <c r="B3668" i="9"/>
  <c r="H3667" i="9"/>
  <c r="G3667" i="9"/>
  <c r="E3667" i="9"/>
  <c r="D3667" i="9"/>
  <c r="C3667" i="9"/>
  <c r="B3667" i="9"/>
  <c r="H3666" i="9"/>
  <c r="G3666" i="9"/>
  <c r="E3666" i="9"/>
  <c r="D3666" i="9"/>
  <c r="C3666" i="9"/>
  <c r="B3666" i="9"/>
  <c r="H3665" i="9"/>
  <c r="G3665" i="9"/>
  <c r="E3665" i="9"/>
  <c r="D3665" i="9"/>
  <c r="C3665" i="9"/>
  <c r="B3665" i="9"/>
  <c r="H3664" i="9"/>
  <c r="G3664" i="9"/>
  <c r="E3664" i="9"/>
  <c r="D3664" i="9"/>
  <c r="C3664" i="9"/>
  <c r="B3664" i="9"/>
  <c r="H3663" i="9"/>
  <c r="G3663" i="9"/>
  <c r="E3663" i="9"/>
  <c r="D3663" i="9"/>
  <c r="C3663" i="9"/>
  <c r="B3663" i="9"/>
  <c r="H3662" i="9"/>
  <c r="G3662" i="9"/>
  <c r="E3662" i="9"/>
  <c r="D3662" i="9"/>
  <c r="C3662" i="9"/>
  <c r="B3662" i="9"/>
  <c r="H3661" i="9"/>
  <c r="G3661" i="9"/>
  <c r="E3661" i="9"/>
  <c r="D3661" i="9"/>
  <c r="C3661" i="9"/>
  <c r="B3661" i="9"/>
  <c r="H3660" i="9"/>
  <c r="G3660" i="9"/>
  <c r="E3660" i="9"/>
  <c r="D3660" i="9"/>
  <c r="C3660" i="9"/>
  <c r="B3660" i="9"/>
  <c r="H3659" i="9"/>
  <c r="G3659" i="9"/>
  <c r="E3659" i="9"/>
  <c r="D3659" i="9"/>
  <c r="C3659" i="9"/>
  <c r="B3659" i="9"/>
  <c r="H3658" i="9"/>
  <c r="G3658" i="9"/>
  <c r="E3658" i="9"/>
  <c r="D3658" i="9"/>
  <c r="C3658" i="9"/>
  <c r="B3658" i="9"/>
  <c r="H3657" i="9"/>
  <c r="G3657" i="9"/>
  <c r="E3657" i="9"/>
  <c r="D3657" i="9"/>
  <c r="C3657" i="9"/>
  <c r="B3657" i="9"/>
  <c r="H3656" i="9"/>
  <c r="G3656" i="9"/>
  <c r="E3656" i="9"/>
  <c r="D3656" i="9"/>
  <c r="C3656" i="9"/>
  <c r="B3656" i="9"/>
  <c r="H3655" i="9"/>
  <c r="G3655" i="9"/>
  <c r="E3655" i="9"/>
  <c r="D3655" i="9"/>
  <c r="C3655" i="9"/>
  <c r="B3655" i="9"/>
  <c r="H3654" i="9"/>
  <c r="G3654" i="9"/>
  <c r="E3654" i="9"/>
  <c r="D3654" i="9"/>
  <c r="C3654" i="9"/>
  <c r="B3654" i="9"/>
  <c r="H3653" i="9"/>
  <c r="G3653" i="9"/>
  <c r="E3653" i="9"/>
  <c r="D3653" i="9"/>
  <c r="C3653" i="9"/>
  <c r="B3653" i="9"/>
  <c r="H3652" i="9"/>
  <c r="G3652" i="9"/>
  <c r="E3652" i="9"/>
  <c r="D3652" i="9"/>
  <c r="C3652" i="9"/>
  <c r="B3652" i="9"/>
  <c r="H3651" i="9"/>
  <c r="G3651" i="9"/>
  <c r="E3651" i="9"/>
  <c r="D3651" i="9"/>
  <c r="C3651" i="9"/>
  <c r="B3651" i="9"/>
  <c r="H3650" i="9"/>
  <c r="G3650" i="9"/>
  <c r="E3650" i="9"/>
  <c r="D3650" i="9"/>
  <c r="C3650" i="9"/>
  <c r="B3650" i="9"/>
  <c r="H3649" i="9"/>
  <c r="G3649" i="9"/>
  <c r="E3649" i="9"/>
  <c r="D3649" i="9"/>
  <c r="C3649" i="9"/>
  <c r="B3649" i="9"/>
  <c r="H3648" i="9"/>
  <c r="G3648" i="9"/>
  <c r="E3648" i="9"/>
  <c r="D3648" i="9"/>
  <c r="C3648" i="9"/>
  <c r="B3648" i="9"/>
  <c r="H3647" i="9"/>
  <c r="G3647" i="9"/>
  <c r="E3647" i="9"/>
  <c r="D3647" i="9"/>
  <c r="C3647" i="9"/>
  <c r="B3647" i="9"/>
  <c r="H3646" i="9"/>
  <c r="G3646" i="9"/>
  <c r="E3646" i="9"/>
  <c r="D3646" i="9"/>
  <c r="C3646" i="9"/>
  <c r="B3646" i="9"/>
  <c r="H3645" i="9"/>
  <c r="G3645" i="9"/>
  <c r="E3645" i="9"/>
  <c r="D3645" i="9"/>
  <c r="C3645" i="9"/>
  <c r="B3645" i="9"/>
  <c r="H3644" i="9"/>
  <c r="G3644" i="9"/>
  <c r="E3644" i="9"/>
  <c r="D3644" i="9"/>
  <c r="C3644" i="9"/>
  <c r="B3644" i="9"/>
  <c r="H3643" i="9"/>
  <c r="G3643" i="9"/>
  <c r="E3643" i="9"/>
  <c r="D3643" i="9"/>
  <c r="C3643" i="9"/>
  <c r="B3643" i="9"/>
  <c r="H3642" i="9"/>
  <c r="G3642" i="9"/>
  <c r="E3642" i="9"/>
  <c r="D3642" i="9"/>
  <c r="C3642" i="9"/>
  <c r="B3642" i="9"/>
  <c r="H3641" i="9"/>
  <c r="G3641" i="9"/>
  <c r="E3641" i="9"/>
  <c r="D3641" i="9"/>
  <c r="C3641" i="9"/>
  <c r="B3641" i="9"/>
  <c r="H3640" i="9"/>
  <c r="G3640" i="9"/>
  <c r="E3640" i="9"/>
  <c r="D3640" i="9"/>
  <c r="C3640" i="9"/>
  <c r="B3640" i="9"/>
  <c r="H3639" i="9"/>
  <c r="G3639" i="9"/>
  <c r="E3639" i="9"/>
  <c r="D3639" i="9"/>
  <c r="C3639" i="9"/>
  <c r="B3639" i="9"/>
  <c r="H3638" i="9"/>
  <c r="G3638" i="9"/>
  <c r="E3638" i="9"/>
  <c r="D3638" i="9"/>
  <c r="C3638" i="9"/>
  <c r="B3638" i="9"/>
  <c r="H3637" i="9"/>
  <c r="G3637" i="9"/>
  <c r="E3637" i="9"/>
  <c r="D3637" i="9"/>
  <c r="C3637" i="9"/>
  <c r="B3637" i="9"/>
  <c r="H3636" i="9"/>
  <c r="G3636" i="9"/>
  <c r="E3636" i="9"/>
  <c r="D3636" i="9"/>
  <c r="C3636" i="9"/>
  <c r="B3636" i="9"/>
  <c r="H3635" i="9"/>
  <c r="G3635" i="9"/>
  <c r="E3635" i="9"/>
  <c r="D3635" i="9"/>
  <c r="C3635" i="9"/>
  <c r="B3635" i="9"/>
  <c r="H3634" i="9"/>
  <c r="G3634" i="9"/>
  <c r="E3634" i="9"/>
  <c r="D3634" i="9"/>
  <c r="C3634" i="9"/>
  <c r="B3634" i="9"/>
  <c r="H3633" i="9"/>
  <c r="G3633" i="9"/>
  <c r="E3633" i="9"/>
  <c r="D3633" i="9"/>
  <c r="C3633" i="9"/>
  <c r="B3633" i="9"/>
  <c r="H3632" i="9"/>
  <c r="G3632" i="9"/>
  <c r="E3632" i="9"/>
  <c r="D3632" i="9"/>
  <c r="C3632" i="9"/>
  <c r="B3632" i="9"/>
  <c r="H3631" i="9"/>
  <c r="G3631" i="9"/>
  <c r="E3631" i="9"/>
  <c r="D3631" i="9"/>
  <c r="C3631" i="9"/>
  <c r="B3631" i="9"/>
  <c r="H3630" i="9"/>
  <c r="G3630" i="9"/>
  <c r="E3630" i="9"/>
  <c r="D3630" i="9"/>
  <c r="C3630" i="9"/>
  <c r="B3630" i="9"/>
  <c r="H3629" i="9"/>
  <c r="G3629" i="9"/>
  <c r="E3629" i="9"/>
  <c r="D3629" i="9"/>
  <c r="C3629" i="9"/>
  <c r="B3629" i="9"/>
  <c r="H3628" i="9"/>
  <c r="G3628" i="9"/>
  <c r="E3628" i="9"/>
  <c r="D3628" i="9"/>
  <c r="C3628" i="9"/>
  <c r="B3628" i="9"/>
  <c r="H3627" i="9"/>
  <c r="G3627" i="9"/>
  <c r="E3627" i="9"/>
  <c r="D3627" i="9"/>
  <c r="C3627" i="9"/>
  <c r="B3627" i="9"/>
  <c r="H3626" i="9"/>
  <c r="G3626" i="9"/>
  <c r="E3626" i="9"/>
  <c r="D3626" i="9"/>
  <c r="C3626" i="9"/>
  <c r="B3626" i="9"/>
  <c r="H3625" i="9"/>
  <c r="G3625" i="9"/>
  <c r="E3625" i="9"/>
  <c r="D3625" i="9"/>
  <c r="C3625" i="9"/>
  <c r="B3625" i="9"/>
  <c r="H3624" i="9"/>
  <c r="G3624" i="9"/>
  <c r="E3624" i="9"/>
  <c r="D3624" i="9"/>
  <c r="C3624" i="9"/>
  <c r="B3624" i="9"/>
  <c r="H3623" i="9"/>
  <c r="G3623" i="9"/>
  <c r="E3623" i="9"/>
  <c r="D3623" i="9"/>
  <c r="C3623" i="9"/>
  <c r="B3623" i="9"/>
  <c r="H3622" i="9"/>
  <c r="G3622" i="9"/>
  <c r="E3622" i="9"/>
  <c r="D3622" i="9"/>
  <c r="C3622" i="9"/>
  <c r="B3622" i="9"/>
  <c r="H3621" i="9"/>
  <c r="G3621" i="9"/>
  <c r="E3621" i="9"/>
  <c r="D3621" i="9"/>
  <c r="C3621" i="9"/>
  <c r="B3621" i="9"/>
  <c r="H3620" i="9"/>
  <c r="G3620" i="9"/>
  <c r="E3620" i="9"/>
  <c r="D3620" i="9"/>
  <c r="C3620" i="9"/>
  <c r="B3620" i="9"/>
  <c r="H3619" i="9"/>
  <c r="G3619" i="9"/>
  <c r="E3619" i="9"/>
  <c r="D3619" i="9"/>
  <c r="C3619" i="9"/>
  <c r="B3619" i="9"/>
  <c r="H3618" i="9"/>
  <c r="G3618" i="9"/>
  <c r="E3618" i="9"/>
  <c r="D3618" i="9"/>
  <c r="C3618" i="9"/>
  <c r="B3618" i="9"/>
  <c r="H3617" i="9"/>
  <c r="G3617" i="9"/>
  <c r="E3617" i="9"/>
  <c r="D3617" i="9"/>
  <c r="C3617" i="9"/>
  <c r="B3617" i="9"/>
  <c r="H3616" i="9"/>
  <c r="G3616" i="9"/>
  <c r="E3616" i="9"/>
  <c r="D3616" i="9"/>
  <c r="C3616" i="9"/>
  <c r="B3616" i="9"/>
  <c r="H3615" i="9"/>
  <c r="G3615" i="9"/>
  <c r="E3615" i="9"/>
  <c r="D3615" i="9"/>
  <c r="C3615" i="9"/>
  <c r="B3615" i="9"/>
  <c r="H3614" i="9"/>
  <c r="G3614" i="9"/>
  <c r="E3614" i="9"/>
  <c r="D3614" i="9"/>
  <c r="C3614" i="9"/>
  <c r="B3614" i="9"/>
  <c r="H3613" i="9"/>
  <c r="G3613" i="9"/>
  <c r="E3613" i="9"/>
  <c r="D3613" i="9"/>
  <c r="C3613" i="9"/>
  <c r="B3613" i="9"/>
  <c r="H3612" i="9"/>
  <c r="G3612" i="9"/>
  <c r="E3612" i="9"/>
  <c r="D3612" i="9"/>
  <c r="C3612" i="9"/>
  <c r="B3612" i="9"/>
  <c r="H3611" i="9"/>
  <c r="G3611" i="9"/>
  <c r="E3611" i="9"/>
  <c r="D3611" i="9"/>
  <c r="C3611" i="9"/>
  <c r="B3611" i="9"/>
  <c r="H3610" i="9"/>
  <c r="G3610" i="9"/>
  <c r="E3610" i="9"/>
  <c r="D3610" i="9"/>
  <c r="C3610" i="9"/>
  <c r="B3610" i="9"/>
  <c r="H3609" i="9"/>
  <c r="G3609" i="9"/>
  <c r="E3609" i="9"/>
  <c r="D3609" i="9"/>
  <c r="C3609" i="9"/>
  <c r="B3609" i="9"/>
  <c r="H3608" i="9"/>
  <c r="G3608" i="9"/>
  <c r="E3608" i="9"/>
  <c r="D3608" i="9"/>
  <c r="C3608" i="9"/>
  <c r="B3608" i="9"/>
  <c r="H3607" i="9"/>
  <c r="G3607" i="9"/>
  <c r="E3607" i="9"/>
  <c r="D3607" i="9"/>
  <c r="C3607" i="9"/>
  <c r="B3607" i="9"/>
  <c r="H3606" i="9"/>
  <c r="G3606" i="9"/>
  <c r="E3606" i="9"/>
  <c r="D3606" i="9"/>
  <c r="C3606" i="9"/>
  <c r="B3606" i="9"/>
  <c r="H3605" i="9"/>
  <c r="G3605" i="9"/>
  <c r="E3605" i="9"/>
  <c r="D3605" i="9"/>
  <c r="C3605" i="9"/>
  <c r="B3605" i="9"/>
  <c r="H3604" i="9"/>
  <c r="G3604" i="9"/>
  <c r="E3604" i="9"/>
  <c r="D3604" i="9"/>
  <c r="C3604" i="9"/>
  <c r="B3604" i="9"/>
  <c r="H3603" i="9"/>
  <c r="G3603" i="9"/>
  <c r="E3603" i="9"/>
  <c r="D3603" i="9"/>
  <c r="C3603" i="9"/>
  <c r="B3603" i="9"/>
  <c r="H3602" i="9"/>
  <c r="G3602" i="9"/>
  <c r="E3602" i="9"/>
  <c r="D3602" i="9"/>
  <c r="C3602" i="9"/>
  <c r="B3602" i="9"/>
  <c r="H3601" i="9"/>
  <c r="G3601" i="9"/>
  <c r="E3601" i="9"/>
  <c r="D3601" i="9"/>
  <c r="C3601" i="9"/>
  <c r="B3601" i="9"/>
  <c r="H3600" i="9"/>
  <c r="G3600" i="9"/>
  <c r="E3600" i="9"/>
  <c r="D3600" i="9"/>
  <c r="C3600" i="9"/>
  <c r="B3600" i="9"/>
  <c r="H3599" i="9"/>
  <c r="G3599" i="9"/>
  <c r="E3599" i="9"/>
  <c r="D3599" i="9"/>
  <c r="C3599" i="9"/>
  <c r="B3599" i="9"/>
  <c r="H3598" i="9"/>
  <c r="G3598" i="9"/>
  <c r="E3598" i="9"/>
  <c r="D3598" i="9"/>
  <c r="C3598" i="9"/>
  <c r="B3598" i="9"/>
  <c r="H3597" i="9"/>
  <c r="G3597" i="9"/>
  <c r="E3597" i="9"/>
  <c r="D3597" i="9"/>
  <c r="C3597" i="9"/>
  <c r="B3597" i="9"/>
  <c r="H3596" i="9"/>
  <c r="G3596" i="9"/>
  <c r="E3596" i="9"/>
  <c r="D3596" i="9"/>
  <c r="C3596" i="9"/>
  <c r="B3596" i="9"/>
  <c r="H3595" i="9"/>
  <c r="G3595" i="9"/>
  <c r="E3595" i="9"/>
  <c r="D3595" i="9"/>
  <c r="C3595" i="9"/>
  <c r="B3595" i="9"/>
  <c r="H3594" i="9"/>
  <c r="G3594" i="9"/>
  <c r="E3594" i="9"/>
  <c r="D3594" i="9"/>
  <c r="C3594" i="9"/>
  <c r="B3594" i="9"/>
  <c r="H3593" i="9"/>
  <c r="G3593" i="9"/>
  <c r="E3593" i="9"/>
  <c r="D3593" i="9"/>
  <c r="C3593" i="9"/>
  <c r="B3593" i="9"/>
  <c r="H3592" i="9"/>
  <c r="G3592" i="9"/>
  <c r="E3592" i="9"/>
  <c r="D3592" i="9"/>
  <c r="C3592" i="9"/>
  <c r="B3592" i="9"/>
  <c r="H3591" i="9"/>
  <c r="G3591" i="9"/>
  <c r="E3591" i="9"/>
  <c r="D3591" i="9"/>
  <c r="C3591" i="9"/>
  <c r="B3591" i="9"/>
  <c r="H3590" i="9"/>
  <c r="G3590" i="9"/>
  <c r="E3590" i="9"/>
  <c r="D3590" i="9"/>
  <c r="C3590" i="9"/>
  <c r="B3590" i="9"/>
  <c r="H3589" i="9"/>
  <c r="G3589" i="9"/>
  <c r="E3589" i="9"/>
  <c r="D3589" i="9"/>
  <c r="C3589" i="9"/>
  <c r="B3589" i="9"/>
  <c r="H3588" i="9"/>
  <c r="G3588" i="9"/>
  <c r="E3588" i="9"/>
  <c r="D3588" i="9"/>
  <c r="C3588" i="9"/>
  <c r="B3588" i="9"/>
  <c r="H3587" i="9"/>
  <c r="G3587" i="9"/>
  <c r="E3587" i="9"/>
  <c r="D3587" i="9"/>
  <c r="C3587" i="9"/>
  <c r="B3587" i="9"/>
  <c r="H3586" i="9"/>
  <c r="G3586" i="9"/>
  <c r="E3586" i="9"/>
  <c r="D3586" i="9"/>
  <c r="C3586" i="9"/>
  <c r="B3586" i="9"/>
  <c r="H3585" i="9"/>
  <c r="G3585" i="9"/>
  <c r="E3585" i="9"/>
  <c r="D3585" i="9"/>
  <c r="C3585" i="9"/>
  <c r="B3585" i="9"/>
  <c r="H3584" i="9"/>
  <c r="G3584" i="9"/>
  <c r="E3584" i="9"/>
  <c r="D3584" i="9"/>
  <c r="C3584" i="9"/>
  <c r="B3584" i="9"/>
  <c r="H3583" i="9"/>
  <c r="G3583" i="9"/>
  <c r="E3583" i="9"/>
  <c r="D3583" i="9"/>
  <c r="C3583" i="9"/>
  <c r="B3583" i="9"/>
  <c r="H3582" i="9"/>
  <c r="G3582" i="9"/>
  <c r="E3582" i="9"/>
  <c r="D3582" i="9"/>
  <c r="C3582" i="9"/>
  <c r="B3582" i="9"/>
  <c r="H3581" i="9"/>
  <c r="G3581" i="9"/>
  <c r="E3581" i="9"/>
  <c r="D3581" i="9"/>
  <c r="C3581" i="9"/>
  <c r="B3581" i="9"/>
  <c r="H3580" i="9"/>
  <c r="G3580" i="9"/>
  <c r="E3580" i="9"/>
  <c r="D3580" i="9"/>
  <c r="C3580" i="9"/>
  <c r="B3580" i="9"/>
  <c r="H3579" i="9"/>
  <c r="G3579" i="9"/>
  <c r="E3579" i="9"/>
  <c r="D3579" i="9"/>
  <c r="C3579" i="9"/>
  <c r="B3579" i="9"/>
  <c r="H3578" i="9"/>
  <c r="G3578" i="9"/>
  <c r="E3578" i="9"/>
  <c r="D3578" i="9"/>
  <c r="C3578" i="9"/>
  <c r="B3578" i="9"/>
  <c r="H3577" i="9"/>
  <c r="G3577" i="9"/>
  <c r="E3577" i="9"/>
  <c r="D3577" i="9"/>
  <c r="C3577" i="9"/>
  <c r="B3577" i="9"/>
  <c r="H3576" i="9"/>
  <c r="G3576" i="9"/>
  <c r="E3576" i="9"/>
  <c r="D3576" i="9"/>
  <c r="C3576" i="9"/>
  <c r="B3576" i="9"/>
  <c r="H3575" i="9"/>
  <c r="G3575" i="9"/>
  <c r="E3575" i="9"/>
  <c r="D3575" i="9"/>
  <c r="C3575" i="9"/>
  <c r="B3575" i="9"/>
  <c r="H3574" i="9"/>
  <c r="G3574" i="9"/>
  <c r="E3574" i="9"/>
  <c r="D3574" i="9"/>
  <c r="C3574" i="9"/>
  <c r="B3574" i="9"/>
  <c r="H3573" i="9"/>
  <c r="G3573" i="9"/>
  <c r="E3573" i="9"/>
  <c r="D3573" i="9"/>
  <c r="C3573" i="9"/>
  <c r="B3573" i="9"/>
  <c r="H3572" i="9"/>
  <c r="G3572" i="9"/>
  <c r="E3572" i="9"/>
  <c r="D3572" i="9"/>
  <c r="C3572" i="9"/>
  <c r="B3572" i="9"/>
  <c r="H3571" i="9"/>
  <c r="G3571" i="9"/>
  <c r="E3571" i="9"/>
  <c r="D3571" i="9"/>
  <c r="C3571" i="9"/>
  <c r="B3571" i="9"/>
  <c r="H3570" i="9"/>
  <c r="G3570" i="9"/>
  <c r="E3570" i="9"/>
  <c r="D3570" i="9"/>
  <c r="C3570" i="9"/>
  <c r="B3570" i="9"/>
  <c r="H3569" i="9"/>
  <c r="G3569" i="9"/>
  <c r="E3569" i="9"/>
  <c r="D3569" i="9"/>
  <c r="C3569" i="9"/>
  <c r="B3569" i="9"/>
  <c r="H3568" i="9"/>
  <c r="G3568" i="9"/>
  <c r="E3568" i="9"/>
  <c r="D3568" i="9"/>
  <c r="C3568" i="9"/>
  <c r="B3568" i="9"/>
  <c r="H3567" i="9"/>
  <c r="G3567" i="9"/>
  <c r="E3567" i="9"/>
  <c r="D3567" i="9"/>
  <c r="C3567" i="9"/>
  <c r="B3567" i="9"/>
  <c r="H3566" i="9"/>
  <c r="G3566" i="9"/>
  <c r="E3566" i="9"/>
  <c r="D3566" i="9"/>
  <c r="C3566" i="9"/>
  <c r="B3566" i="9"/>
  <c r="H3565" i="9"/>
  <c r="G3565" i="9"/>
  <c r="E3565" i="9"/>
  <c r="D3565" i="9"/>
  <c r="C3565" i="9"/>
  <c r="B3565" i="9"/>
  <c r="H3564" i="9"/>
  <c r="G3564" i="9"/>
  <c r="E3564" i="9"/>
  <c r="D3564" i="9"/>
  <c r="C3564" i="9"/>
  <c r="B3564" i="9"/>
  <c r="H3563" i="9"/>
  <c r="G3563" i="9"/>
  <c r="E3563" i="9"/>
  <c r="D3563" i="9"/>
  <c r="C3563" i="9"/>
  <c r="B3563" i="9"/>
  <c r="H3562" i="9"/>
  <c r="G3562" i="9"/>
  <c r="E3562" i="9"/>
  <c r="D3562" i="9"/>
  <c r="C3562" i="9"/>
  <c r="B3562" i="9"/>
  <c r="H3561" i="9"/>
  <c r="G3561" i="9"/>
  <c r="E3561" i="9"/>
  <c r="D3561" i="9"/>
  <c r="C3561" i="9"/>
  <c r="B3561" i="9"/>
  <c r="H3560" i="9"/>
  <c r="G3560" i="9"/>
  <c r="E3560" i="9"/>
  <c r="D3560" i="9"/>
  <c r="C3560" i="9"/>
  <c r="B3560" i="9"/>
  <c r="H3559" i="9"/>
  <c r="G3559" i="9"/>
  <c r="E3559" i="9"/>
  <c r="D3559" i="9"/>
  <c r="C3559" i="9"/>
  <c r="B3559" i="9"/>
  <c r="H3558" i="9"/>
  <c r="G3558" i="9"/>
  <c r="E3558" i="9"/>
  <c r="D3558" i="9"/>
  <c r="C3558" i="9"/>
  <c r="B3558" i="9"/>
  <c r="H3557" i="9"/>
  <c r="G3557" i="9"/>
  <c r="E3557" i="9"/>
  <c r="D3557" i="9"/>
  <c r="C3557" i="9"/>
  <c r="B3557" i="9"/>
  <c r="H3556" i="9"/>
  <c r="G3556" i="9"/>
  <c r="E3556" i="9"/>
  <c r="D3556" i="9"/>
  <c r="C3556" i="9"/>
  <c r="B3556" i="9"/>
  <c r="H3555" i="9"/>
  <c r="G3555" i="9"/>
  <c r="E3555" i="9"/>
  <c r="D3555" i="9"/>
  <c r="C3555" i="9"/>
  <c r="B3555" i="9"/>
  <c r="H3554" i="9"/>
  <c r="G3554" i="9"/>
  <c r="E3554" i="9"/>
  <c r="D3554" i="9"/>
  <c r="C3554" i="9"/>
  <c r="B3554" i="9"/>
  <c r="H3553" i="9"/>
  <c r="G3553" i="9"/>
  <c r="E3553" i="9"/>
  <c r="D3553" i="9"/>
  <c r="C3553" i="9"/>
  <c r="B3553" i="9"/>
  <c r="H3552" i="9"/>
  <c r="G3552" i="9"/>
  <c r="E3552" i="9"/>
  <c r="D3552" i="9"/>
  <c r="C3552" i="9"/>
  <c r="B3552" i="9"/>
  <c r="H3551" i="9"/>
  <c r="G3551" i="9"/>
  <c r="E3551" i="9"/>
  <c r="D3551" i="9"/>
  <c r="C3551" i="9"/>
  <c r="B3551" i="9"/>
  <c r="H3550" i="9"/>
  <c r="G3550" i="9"/>
  <c r="E3550" i="9"/>
  <c r="D3550" i="9"/>
  <c r="C3550" i="9"/>
  <c r="B3550" i="9"/>
  <c r="H3549" i="9"/>
  <c r="G3549" i="9"/>
  <c r="E3549" i="9"/>
  <c r="D3549" i="9"/>
  <c r="C3549" i="9"/>
  <c r="B3549" i="9"/>
  <c r="H3548" i="9"/>
  <c r="G3548" i="9"/>
  <c r="E3548" i="9"/>
  <c r="D3548" i="9"/>
  <c r="C3548" i="9"/>
  <c r="B3548" i="9"/>
  <c r="H3547" i="9"/>
  <c r="G3547" i="9"/>
  <c r="E3547" i="9"/>
  <c r="D3547" i="9"/>
  <c r="C3547" i="9"/>
  <c r="B3547" i="9"/>
  <c r="H3546" i="9"/>
  <c r="G3546" i="9"/>
  <c r="E3546" i="9"/>
  <c r="D3546" i="9"/>
  <c r="C3546" i="9"/>
  <c r="B3546" i="9"/>
  <c r="H3545" i="9"/>
  <c r="G3545" i="9"/>
  <c r="E3545" i="9"/>
  <c r="D3545" i="9"/>
  <c r="C3545" i="9"/>
  <c r="B3545" i="9"/>
  <c r="H3544" i="9"/>
  <c r="G3544" i="9"/>
  <c r="E3544" i="9"/>
  <c r="D3544" i="9"/>
  <c r="C3544" i="9"/>
  <c r="B3544" i="9"/>
  <c r="H3543" i="9"/>
  <c r="G3543" i="9"/>
  <c r="E3543" i="9"/>
  <c r="D3543" i="9"/>
  <c r="C3543" i="9"/>
  <c r="B3543" i="9"/>
  <c r="H3542" i="9"/>
  <c r="G3542" i="9"/>
  <c r="E3542" i="9"/>
  <c r="D3542" i="9"/>
  <c r="C3542" i="9"/>
  <c r="B3542" i="9"/>
  <c r="H3541" i="9"/>
  <c r="G3541" i="9"/>
  <c r="E3541" i="9"/>
  <c r="D3541" i="9"/>
  <c r="C3541" i="9"/>
  <c r="B3541" i="9"/>
  <c r="H3540" i="9"/>
  <c r="G3540" i="9"/>
  <c r="E3540" i="9"/>
  <c r="D3540" i="9"/>
  <c r="C3540" i="9"/>
  <c r="B3540" i="9"/>
  <c r="H3539" i="9"/>
  <c r="G3539" i="9"/>
  <c r="E3539" i="9"/>
  <c r="D3539" i="9"/>
  <c r="C3539" i="9"/>
  <c r="B3539" i="9"/>
  <c r="H3538" i="9"/>
  <c r="G3538" i="9"/>
  <c r="E3538" i="9"/>
  <c r="D3538" i="9"/>
  <c r="C3538" i="9"/>
  <c r="B3538" i="9"/>
  <c r="H3537" i="9"/>
  <c r="G3537" i="9"/>
  <c r="E3537" i="9"/>
  <c r="D3537" i="9"/>
  <c r="C3537" i="9"/>
  <c r="B3537" i="9"/>
  <c r="H3536" i="9"/>
  <c r="G3536" i="9"/>
  <c r="E3536" i="9"/>
  <c r="D3536" i="9"/>
  <c r="C3536" i="9"/>
  <c r="B3536" i="9"/>
  <c r="H3535" i="9"/>
  <c r="G3535" i="9"/>
  <c r="E3535" i="9"/>
  <c r="D3535" i="9"/>
  <c r="C3535" i="9"/>
  <c r="B3535" i="9"/>
  <c r="H3534" i="9"/>
  <c r="G3534" i="9"/>
  <c r="E3534" i="9"/>
  <c r="D3534" i="9"/>
  <c r="C3534" i="9"/>
  <c r="B3534" i="9"/>
  <c r="H3533" i="9"/>
  <c r="G3533" i="9"/>
  <c r="E3533" i="9"/>
  <c r="D3533" i="9"/>
  <c r="C3533" i="9"/>
  <c r="B3533" i="9"/>
  <c r="H3532" i="9"/>
  <c r="G3532" i="9"/>
  <c r="E3532" i="9"/>
  <c r="D3532" i="9"/>
  <c r="C3532" i="9"/>
  <c r="B3532" i="9"/>
  <c r="H3531" i="9"/>
  <c r="G3531" i="9"/>
  <c r="E3531" i="9"/>
  <c r="D3531" i="9"/>
  <c r="C3531" i="9"/>
  <c r="B3531" i="9"/>
  <c r="H3530" i="9"/>
  <c r="G3530" i="9"/>
  <c r="E3530" i="9"/>
  <c r="D3530" i="9"/>
  <c r="C3530" i="9"/>
  <c r="B3530" i="9"/>
  <c r="H3529" i="9"/>
  <c r="G3529" i="9"/>
  <c r="E3529" i="9"/>
  <c r="D3529" i="9"/>
  <c r="C3529" i="9"/>
  <c r="B3529" i="9"/>
  <c r="H3528" i="9"/>
  <c r="G3528" i="9"/>
  <c r="E3528" i="9"/>
  <c r="D3528" i="9"/>
  <c r="C3528" i="9"/>
  <c r="B3528" i="9"/>
  <c r="H3527" i="9"/>
  <c r="G3527" i="9"/>
  <c r="E3527" i="9"/>
  <c r="D3527" i="9"/>
  <c r="C3527" i="9"/>
  <c r="B3527" i="9"/>
  <c r="H3526" i="9"/>
  <c r="G3526" i="9"/>
  <c r="E3526" i="9"/>
  <c r="D3526" i="9"/>
  <c r="C3526" i="9"/>
  <c r="B3526" i="9"/>
  <c r="H3525" i="9"/>
  <c r="G3525" i="9"/>
  <c r="E3525" i="9"/>
  <c r="D3525" i="9"/>
  <c r="C3525" i="9"/>
  <c r="B3525" i="9"/>
  <c r="H3524" i="9"/>
  <c r="G3524" i="9"/>
  <c r="E3524" i="9"/>
  <c r="D3524" i="9"/>
  <c r="C3524" i="9"/>
  <c r="B3524" i="9"/>
  <c r="H3523" i="9"/>
  <c r="G3523" i="9"/>
  <c r="E3523" i="9"/>
  <c r="D3523" i="9"/>
  <c r="C3523" i="9"/>
  <c r="B3523" i="9"/>
  <c r="H3522" i="9"/>
  <c r="G3522" i="9"/>
  <c r="E3522" i="9"/>
  <c r="D3522" i="9"/>
  <c r="C3522" i="9"/>
  <c r="B3522" i="9"/>
  <c r="H3521" i="9"/>
  <c r="G3521" i="9"/>
  <c r="E3521" i="9"/>
  <c r="D3521" i="9"/>
  <c r="C3521" i="9"/>
  <c r="B3521" i="9"/>
  <c r="H3520" i="9"/>
  <c r="G3520" i="9"/>
  <c r="E3520" i="9"/>
  <c r="D3520" i="9"/>
  <c r="C3520" i="9"/>
  <c r="B3520" i="9"/>
  <c r="H3519" i="9"/>
  <c r="G3519" i="9"/>
  <c r="E3519" i="9"/>
  <c r="D3519" i="9"/>
  <c r="C3519" i="9"/>
  <c r="B3519" i="9"/>
  <c r="H3518" i="9"/>
  <c r="G3518" i="9"/>
  <c r="E3518" i="9"/>
  <c r="D3518" i="9"/>
  <c r="C3518" i="9"/>
  <c r="B3518" i="9"/>
  <c r="H3517" i="9"/>
  <c r="G3517" i="9"/>
  <c r="E3517" i="9"/>
  <c r="D3517" i="9"/>
  <c r="C3517" i="9"/>
  <c r="B3517" i="9"/>
  <c r="H3516" i="9"/>
  <c r="G3516" i="9"/>
  <c r="E3516" i="9"/>
  <c r="D3516" i="9"/>
  <c r="C3516" i="9"/>
  <c r="B3516" i="9"/>
  <c r="H3515" i="9"/>
  <c r="G3515" i="9"/>
  <c r="E3515" i="9"/>
  <c r="D3515" i="9"/>
  <c r="C3515" i="9"/>
  <c r="B3515" i="9"/>
  <c r="H3514" i="9"/>
  <c r="G3514" i="9"/>
  <c r="E3514" i="9"/>
  <c r="D3514" i="9"/>
  <c r="C3514" i="9"/>
  <c r="B3514" i="9"/>
  <c r="H3513" i="9"/>
  <c r="G3513" i="9"/>
  <c r="E3513" i="9"/>
  <c r="D3513" i="9"/>
  <c r="C3513" i="9"/>
  <c r="B3513" i="9"/>
  <c r="H3512" i="9"/>
  <c r="G3512" i="9"/>
  <c r="E3512" i="9"/>
  <c r="D3512" i="9"/>
  <c r="C3512" i="9"/>
  <c r="B3512" i="9"/>
  <c r="H3511" i="9"/>
  <c r="G3511" i="9"/>
  <c r="E3511" i="9"/>
  <c r="D3511" i="9"/>
  <c r="C3511" i="9"/>
  <c r="B3511" i="9"/>
  <c r="H3510" i="9"/>
  <c r="G3510" i="9"/>
  <c r="E3510" i="9"/>
  <c r="D3510" i="9"/>
  <c r="C3510" i="9"/>
  <c r="B3510" i="9"/>
  <c r="H3509" i="9"/>
  <c r="G3509" i="9"/>
  <c r="E3509" i="9"/>
  <c r="D3509" i="9"/>
  <c r="C3509" i="9"/>
  <c r="B3509" i="9"/>
  <c r="H3508" i="9"/>
  <c r="G3508" i="9"/>
  <c r="E3508" i="9"/>
  <c r="D3508" i="9"/>
  <c r="C3508" i="9"/>
  <c r="B3508" i="9"/>
  <c r="H3507" i="9"/>
  <c r="G3507" i="9"/>
  <c r="E3507" i="9"/>
  <c r="D3507" i="9"/>
  <c r="C3507" i="9"/>
  <c r="B3507" i="9"/>
  <c r="H3506" i="9"/>
  <c r="G3506" i="9"/>
  <c r="E3506" i="9"/>
  <c r="D3506" i="9"/>
  <c r="C3506" i="9"/>
  <c r="B3506" i="9"/>
  <c r="H3505" i="9"/>
  <c r="G3505" i="9"/>
  <c r="E3505" i="9"/>
  <c r="D3505" i="9"/>
  <c r="C3505" i="9"/>
  <c r="B3505" i="9"/>
  <c r="H3504" i="9"/>
  <c r="G3504" i="9"/>
  <c r="E3504" i="9"/>
  <c r="D3504" i="9"/>
  <c r="C3504" i="9"/>
  <c r="B3504" i="9"/>
  <c r="H3503" i="9"/>
  <c r="G3503" i="9"/>
  <c r="E3503" i="9"/>
  <c r="D3503" i="9"/>
  <c r="C3503" i="9"/>
  <c r="B3503" i="9"/>
  <c r="H3502" i="9"/>
  <c r="G3502" i="9"/>
  <c r="E3502" i="9"/>
  <c r="D3502" i="9"/>
  <c r="C3502" i="9"/>
  <c r="B3502" i="9"/>
  <c r="H3501" i="9"/>
  <c r="G3501" i="9"/>
  <c r="E3501" i="9"/>
  <c r="D3501" i="9"/>
  <c r="C3501" i="9"/>
  <c r="B3501" i="9"/>
  <c r="H3500" i="9"/>
  <c r="G3500" i="9"/>
  <c r="E3500" i="9"/>
  <c r="D3500" i="9"/>
  <c r="C3500" i="9"/>
  <c r="B3500" i="9"/>
  <c r="H3499" i="9"/>
  <c r="G3499" i="9"/>
  <c r="E3499" i="9"/>
  <c r="D3499" i="9"/>
  <c r="C3499" i="9"/>
  <c r="B3499" i="9"/>
  <c r="H3498" i="9"/>
  <c r="G3498" i="9"/>
  <c r="E3498" i="9"/>
  <c r="D3498" i="9"/>
  <c r="C3498" i="9"/>
  <c r="B3498" i="9"/>
  <c r="H3497" i="9"/>
  <c r="G3497" i="9"/>
  <c r="E3497" i="9"/>
  <c r="D3497" i="9"/>
  <c r="C3497" i="9"/>
  <c r="B3497" i="9"/>
  <c r="H3496" i="9"/>
  <c r="G3496" i="9"/>
  <c r="E3496" i="9"/>
  <c r="D3496" i="9"/>
  <c r="C3496" i="9"/>
  <c r="B3496" i="9"/>
  <c r="H3495" i="9"/>
  <c r="G3495" i="9"/>
  <c r="E3495" i="9"/>
  <c r="D3495" i="9"/>
  <c r="C3495" i="9"/>
  <c r="B3495" i="9"/>
  <c r="H3494" i="9"/>
  <c r="G3494" i="9"/>
  <c r="E3494" i="9"/>
  <c r="D3494" i="9"/>
  <c r="C3494" i="9"/>
  <c r="B3494" i="9"/>
  <c r="H3493" i="9"/>
  <c r="G3493" i="9"/>
  <c r="E3493" i="9"/>
  <c r="D3493" i="9"/>
  <c r="C3493" i="9"/>
  <c r="B3493" i="9"/>
  <c r="H3492" i="9"/>
  <c r="G3492" i="9"/>
  <c r="E3492" i="9"/>
  <c r="D3492" i="9"/>
  <c r="C3492" i="9"/>
  <c r="B3492" i="9"/>
  <c r="H3491" i="9"/>
  <c r="G3491" i="9"/>
  <c r="E3491" i="9"/>
  <c r="D3491" i="9"/>
  <c r="C3491" i="9"/>
  <c r="B3491" i="9"/>
  <c r="H3490" i="9"/>
  <c r="G3490" i="9"/>
  <c r="E3490" i="9"/>
  <c r="D3490" i="9"/>
  <c r="C3490" i="9"/>
  <c r="B3490" i="9"/>
  <c r="H3489" i="9"/>
  <c r="G3489" i="9"/>
  <c r="E3489" i="9"/>
  <c r="D3489" i="9"/>
  <c r="C3489" i="9"/>
  <c r="B3489" i="9"/>
  <c r="H3488" i="9"/>
  <c r="G3488" i="9"/>
  <c r="E3488" i="9"/>
  <c r="D3488" i="9"/>
  <c r="C3488" i="9"/>
  <c r="B3488" i="9"/>
  <c r="H3487" i="9"/>
  <c r="G3487" i="9"/>
  <c r="E3487" i="9"/>
  <c r="D3487" i="9"/>
  <c r="C3487" i="9"/>
  <c r="B3487" i="9"/>
  <c r="H3486" i="9"/>
  <c r="G3486" i="9"/>
  <c r="E3486" i="9"/>
  <c r="D3486" i="9"/>
  <c r="C3486" i="9"/>
  <c r="B3486" i="9"/>
  <c r="H3485" i="9"/>
  <c r="G3485" i="9"/>
  <c r="E3485" i="9"/>
  <c r="D3485" i="9"/>
  <c r="C3485" i="9"/>
  <c r="B3485" i="9"/>
  <c r="H3484" i="9"/>
  <c r="G3484" i="9"/>
  <c r="E3484" i="9"/>
  <c r="D3484" i="9"/>
  <c r="C3484" i="9"/>
  <c r="B3484" i="9"/>
  <c r="H3483" i="9"/>
  <c r="G3483" i="9"/>
  <c r="E3483" i="9"/>
  <c r="D3483" i="9"/>
  <c r="C3483" i="9"/>
  <c r="B3483" i="9"/>
  <c r="H3482" i="9"/>
  <c r="G3482" i="9"/>
  <c r="E3482" i="9"/>
  <c r="D3482" i="9"/>
  <c r="C3482" i="9"/>
  <c r="B3482" i="9"/>
  <c r="H3481" i="9"/>
  <c r="G3481" i="9"/>
  <c r="E3481" i="9"/>
  <c r="D3481" i="9"/>
  <c r="C3481" i="9"/>
  <c r="B3481" i="9"/>
  <c r="H3480" i="9"/>
  <c r="G3480" i="9"/>
  <c r="E3480" i="9"/>
  <c r="D3480" i="9"/>
  <c r="C3480" i="9"/>
  <c r="B3480" i="9"/>
  <c r="H3479" i="9"/>
  <c r="G3479" i="9"/>
  <c r="E3479" i="9"/>
  <c r="D3479" i="9"/>
  <c r="C3479" i="9"/>
  <c r="B3479" i="9"/>
  <c r="H3478" i="9"/>
  <c r="G3478" i="9"/>
  <c r="E3478" i="9"/>
  <c r="D3478" i="9"/>
  <c r="C3478" i="9"/>
  <c r="B3478" i="9"/>
  <c r="H3477" i="9"/>
  <c r="G3477" i="9"/>
  <c r="E3477" i="9"/>
  <c r="D3477" i="9"/>
  <c r="C3477" i="9"/>
  <c r="B3477" i="9"/>
  <c r="H3476" i="9"/>
  <c r="G3476" i="9"/>
  <c r="E3476" i="9"/>
  <c r="D3476" i="9"/>
  <c r="C3476" i="9"/>
  <c r="B3476" i="9"/>
  <c r="H3475" i="9"/>
  <c r="G3475" i="9"/>
  <c r="E3475" i="9"/>
  <c r="D3475" i="9"/>
  <c r="C3475" i="9"/>
  <c r="B3475" i="9"/>
  <c r="H3474" i="9"/>
  <c r="G3474" i="9"/>
  <c r="E3474" i="9"/>
  <c r="D3474" i="9"/>
  <c r="C3474" i="9"/>
  <c r="B3474" i="9"/>
  <c r="H3473" i="9"/>
  <c r="G3473" i="9"/>
  <c r="E3473" i="9"/>
  <c r="D3473" i="9"/>
  <c r="C3473" i="9"/>
  <c r="B3473" i="9"/>
  <c r="H3472" i="9"/>
  <c r="G3472" i="9"/>
  <c r="E3472" i="9"/>
  <c r="D3472" i="9"/>
  <c r="C3472" i="9"/>
  <c r="B3472" i="9"/>
  <c r="H3471" i="9"/>
  <c r="G3471" i="9"/>
  <c r="E3471" i="9"/>
  <c r="D3471" i="9"/>
  <c r="C3471" i="9"/>
  <c r="B3471" i="9"/>
  <c r="H3470" i="9"/>
  <c r="G3470" i="9"/>
  <c r="E3470" i="9"/>
  <c r="D3470" i="9"/>
  <c r="C3470" i="9"/>
  <c r="B3470" i="9"/>
  <c r="H3469" i="9"/>
  <c r="G3469" i="9"/>
  <c r="E3469" i="9"/>
  <c r="D3469" i="9"/>
  <c r="C3469" i="9"/>
  <c r="B3469" i="9"/>
  <c r="H3468" i="9"/>
  <c r="G3468" i="9"/>
  <c r="E3468" i="9"/>
  <c r="D3468" i="9"/>
  <c r="C3468" i="9"/>
  <c r="B3468" i="9"/>
  <c r="H3467" i="9"/>
  <c r="G3467" i="9"/>
  <c r="E3467" i="9"/>
  <c r="D3467" i="9"/>
  <c r="C3467" i="9"/>
  <c r="B3467" i="9"/>
  <c r="H3466" i="9"/>
  <c r="G3466" i="9"/>
  <c r="E3466" i="9"/>
  <c r="D3466" i="9"/>
  <c r="C3466" i="9"/>
  <c r="B3466" i="9"/>
  <c r="H3465" i="9"/>
  <c r="G3465" i="9"/>
  <c r="E3465" i="9"/>
  <c r="D3465" i="9"/>
  <c r="C3465" i="9"/>
  <c r="B3465" i="9"/>
  <c r="H3464" i="9"/>
  <c r="G3464" i="9"/>
  <c r="E3464" i="9"/>
  <c r="D3464" i="9"/>
  <c r="C3464" i="9"/>
  <c r="B3464" i="9"/>
  <c r="H3463" i="9"/>
  <c r="G3463" i="9"/>
  <c r="E3463" i="9"/>
  <c r="D3463" i="9"/>
  <c r="C3463" i="9"/>
  <c r="B3463" i="9"/>
  <c r="H3462" i="9"/>
  <c r="G3462" i="9"/>
  <c r="E3462" i="9"/>
  <c r="D3462" i="9"/>
  <c r="C3462" i="9"/>
  <c r="B3462" i="9"/>
  <c r="H3461" i="9"/>
  <c r="G3461" i="9"/>
  <c r="E3461" i="9"/>
  <c r="D3461" i="9"/>
  <c r="C3461" i="9"/>
  <c r="B3461" i="9"/>
  <c r="H3460" i="9"/>
  <c r="G3460" i="9"/>
  <c r="E3460" i="9"/>
  <c r="D3460" i="9"/>
  <c r="C3460" i="9"/>
  <c r="B3460" i="9"/>
  <c r="H3459" i="9"/>
  <c r="G3459" i="9"/>
  <c r="E3459" i="9"/>
  <c r="D3459" i="9"/>
  <c r="C3459" i="9"/>
  <c r="B3459" i="9"/>
  <c r="H3458" i="9"/>
  <c r="G3458" i="9"/>
  <c r="E3458" i="9"/>
  <c r="D3458" i="9"/>
  <c r="C3458" i="9"/>
  <c r="B3458" i="9"/>
  <c r="H3457" i="9"/>
  <c r="G3457" i="9"/>
  <c r="E3457" i="9"/>
  <c r="D3457" i="9"/>
  <c r="C3457" i="9"/>
  <c r="B3457" i="9"/>
  <c r="H3456" i="9"/>
  <c r="G3456" i="9"/>
  <c r="E3456" i="9"/>
  <c r="D3456" i="9"/>
  <c r="C3456" i="9"/>
  <c r="B3456" i="9"/>
  <c r="H3455" i="9"/>
  <c r="G3455" i="9"/>
  <c r="E3455" i="9"/>
  <c r="D3455" i="9"/>
  <c r="C3455" i="9"/>
  <c r="B3455" i="9"/>
  <c r="H3454" i="9"/>
  <c r="G3454" i="9"/>
  <c r="E3454" i="9"/>
  <c r="D3454" i="9"/>
  <c r="C3454" i="9"/>
  <c r="B3454" i="9"/>
  <c r="H3453" i="9"/>
  <c r="G3453" i="9"/>
  <c r="E3453" i="9"/>
  <c r="D3453" i="9"/>
  <c r="C3453" i="9"/>
  <c r="B3453" i="9"/>
  <c r="H3452" i="9"/>
  <c r="G3452" i="9"/>
  <c r="E3452" i="9"/>
  <c r="D3452" i="9"/>
  <c r="C3452" i="9"/>
  <c r="B3452" i="9"/>
  <c r="H3451" i="9"/>
  <c r="G3451" i="9"/>
  <c r="E3451" i="9"/>
  <c r="D3451" i="9"/>
  <c r="C3451" i="9"/>
  <c r="B3451" i="9"/>
  <c r="H3450" i="9"/>
  <c r="G3450" i="9"/>
  <c r="E3450" i="9"/>
  <c r="D3450" i="9"/>
  <c r="C3450" i="9"/>
  <c r="B3450" i="9"/>
  <c r="H3449" i="9"/>
  <c r="G3449" i="9"/>
  <c r="E3449" i="9"/>
  <c r="D3449" i="9"/>
  <c r="C3449" i="9"/>
  <c r="B3449" i="9"/>
  <c r="H3448" i="9"/>
  <c r="G3448" i="9"/>
  <c r="E3448" i="9"/>
  <c r="D3448" i="9"/>
  <c r="C3448" i="9"/>
  <c r="B3448" i="9"/>
  <c r="H3447" i="9"/>
  <c r="G3447" i="9"/>
  <c r="E3447" i="9"/>
  <c r="D3447" i="9"/>
  <c r="C3447" i="9"/>
  <c r="B3447" i="9"/>
  <c r="H3446" i="9"/>
  <c r="G3446" i="9"/>
  <c r="E3446" i="9"/>
  <c r="D3446" i="9"/>
  <c r="C3446" i="9"/>
  <c r="B3446" i="9"/>
  <c r="H3445" i="9"/>
  <c r="G3445" i="9"/>
  <c r="E3445" i="9"/>
  <c r="D3445" i="9"/>
  <c r="C3445" i="9"/>
  <c r="B3445" i="9"/>
  <c r="H3444" i="9"/>
  <c r="G3444" i="9"/>
  <c r="E3444" i="9"/>
  <c r="D3444" i="9"/>
  <c r="C3444" i="9"/>
  <c r="B3444" i="9"/>
  <c r="H3443" i="9"/>
  <c r="G3443" i="9"/>
  <c r="E3443" i="9"/>
  <c r="D3443" i="9"/>
  <c r="C3443" i="9"/>
  <c r="B3443" i="9"/>
  <c r="H3442" i="9"/>
  <c r="G3442" i="9"/>
  <c r="E3442" i="9"/>
  <c r="D3442" i="9"/>
  <c r="C3442" i="9"/>
  <c r="B3442" i="9"/>
  <c r="H3441" i="9"/>
  <c r="G3441" i="9"/>
  <c r="E3441" i="9"/>
  <c r="D3441" i="9"/>
  <c r="C3441" i="9"/>
  <c r="B3441" i="9"/>
  <c r="H3440" i="9"/>
  <c r="G3440" i="9"/>
  <c r="E3440" i="9"/>
  <c r="D3440" i="9"/>
  <c r="C3440" i="9"/>
  <c r="B3440" i="9"/>
  <c r="H3439" i="9"/>
  <c r="G3439" i="9"/>
  <c r="E3439" i="9"/>
  <c r="D3439" i="9"/>
  <c r="C3439" i="9"/>
  <c r="B3439" i="9"/>
  <c r="H3438" i="9"/>
  <c r="G3438" i="9"/>
  <c r="E3438" i="9"/>
  <c r="D3438" i="9"/>
  <c r="C3438" i="9"/>
  <c r="B3438" i="9"/>
  <c r="H3437" i="9"/>
  <c r="G3437" i="9"/>
  <c r="E3437" i="9"/>
  <c r="D3437" i="9"/>
  <c r="C3437" i="9"/>
  <c r="B3437" i="9"/>
  <c r="H3436" i="9"/>
  <c r="G3436" i="9"/>
  <c r="E3436" i="9"/>
  <c r="D3436" i="9"/>
  <c r="C3436" i="9"/>
  <c r="B3436" i="9"/>
  <c r="H3435" i="9"/>
  <c r="G3435" i="9"/>
  <c r="E3435" i="9"/>
  <c r="D3435" i="9"/>
  <c r="C3435" i="9"/>
  <c r="B3435" i="9"/>
  <c r="H3434" i="9"/>
  <c r="G3434" i="9"/>
  <c r="E3434" i="9"/>
  <c r="D3434" i="9"/>
  <c r="C3434" i="9"/>
  <c r="B3434" i="9"/>
  <c r="H3433" i="9"/>
  <c r="G3433" i="9"/>
  <c r="E3433" i="9"/>
  <c r="D3433" i="9"/>
  <c r="C3433" i="9"/>
  <c r="B3433" i="9"/>
  <c r="H3432" i="9"/>
  <c r="G3432" i="9"/>
  <c r="E3432" i="9"/>
  <c r="D3432" i="9"/>
  <c r="C3432" i="9"/>
  <c r="B3432" i="9"/>
  <c r="H3431" i="9"/>
  <c r="G3431" i="9"/>
  <c r="E3431" i="9"/>
  <c r="D3431" i="9"/>
  <c r="C3431" i="9"/>
  <c r="B3431" i="9"/>
  <c r="H3430" i="9"/>
  <c r="G3430" i="9"/>
  <c r="E3430" i="9"/>
  <c r="D3430" i="9"/>
  <c r="C3430" i="9"/>
  <c r="B3430" i="9"/>
  <c r="H3429" i="9"/>
  <c r="G3429" i="9"/>
  <c r="E3429" i="9"/>
  <c r="D3429" i="9"/>
  <c r="C3429" i="9"/>
  <c r="B3429" i="9"/>
  <c r="H3428" i="9"/>
  <c r="G3428" i="9"/>
  <c r="E3428" i="9"/>
  <c r="D3428" i="9"/>
  <c r="C3428" i="9"/>
  <c r="B3428" i="9"/>
  <c r="H3427" i="9"/>
  <c r="G3427" i="9"/>
  <c r="E3427" i="9"/>
  <c r="D3427" i="9"/>
  <c r="C3427" i="9"/>
  <c r="B3427" i="9"/>
  <c r="H3426" i="9"/>
  <c r="G3426" i="9"/>
  <c r="E3426" i="9"/>
  <c r="D3426" i="9"/>
  <c r="C3426" i="9"/>
  <c r="B3426" i="9"/>
  <c r="H3425" i="9"/>
  <c r="G3425" i="9"/>
  <c r="E3425" i="9"/>
  <c r="D3425" i="9"/>
  <c r="C3425" i="9"/>
  <c r="B3425" i="9"/>
  <c r="H3424" i="9"/>
  <c r="G3424" i="9"/>
  <c r="E3424" i="9"/>
  <c r="D3424" i="9"/>
  <c r="C3424" i="9"/>
  <c r="B3424" i="9"/>
  <c r="H3423" i="9"/>
  <c r="G3423" i="9"/>
  <c r="E3423" i="9"/>
  <c r="D3423" i="9"/>
  <c r="C3423" i="9"/>
  <c r="B3423" i="9"/>
  <c r="H3422" i="9"/>
  <c r="G3422" i="9"/>
  <c r="E3422" i="9"/>
  <c r="D3422" i="9"/>
  <c r="C3422" i="9"/>
  <c r="B3422" i="9"/>
  <c r="H3421" i="9"/>
  <c r="G3421" i="9"/>
  <c r="E3421" i="9"/>
  <c r="D3421" i="9"/>
  <c r="C3421" i="9"/>
  <c r="B3421" i="9"/>
  <c r="H3420" i="9"/>
  <c r="G3420" i="9"/>
  <c r="E3420" i="9"/>
  <c r="D3420" i="9"/>
  <c r="C3420" i="9"/>
  <c r="B3420" i="9"/>
  <c r="H3419" i="9"/>
  <c r="G3419" i="9"/>
  <c r="E3419" i="9"/>
  <c r="D3419" i="9"/>
  <c r="C3419" i="9"/>
  <c r="B3419" i="9"/>
  <c r="H3418" i="9"/>
  <c r="G3418" i="9"/>
  <c r="E3418" i="9"/>
  <c r="D3418" i="9"/>
  <c r="C3418" i="9"/>
  <c r="B3418" i="9"/>
  <c r="H3417" i="9"/>
  <c r="G3417" i="9"/>
  <c r="E3417" i="9"/>
  <c r="D3417" i="9"/>
  <c r="C3417" i="9"/>
  <c r="B3417" i="9"/>
  <c r="H3416" i="9"/>
  <c r="G3416" i="9"/>
  <c r="E3416" i="9"/>
  <c r="D3416" i="9"/>
  <c r="C3416" i="9"/>
  <c r="B3416" i="9"/>
  <c r="H3415" i="9"/>
  <c r="G3415" i="9"/>
  <c r="E3415" i="9"/>
  <c r="D3415" i="9"/>
  <c r="C3415" i="9"/>
  <c r="B3415" i="9"/>
  <c r="H3414" i="9"/>
  <c r="G3414" i="9"/>
  <c r="E3414" i="9"/>
  <c r="D3414" i="9"/>
  <c r="C3414" i="9"/>
  <c r="B3414" i="9"/>
  <c r="H3413" i="9"/>
  <c r="G3413" i="9"/>
  <c r="E3413" i="9"/>
  <c r="D3413" i="9"/>
  <c r="C3413" i="9"/>
  <c r="B3413" i="9"/>
  <c r="H3412" i="9"/>
  <c r="G3412" i="9"/>
  <c r="E3412" i="9"/>
  <c r="D3412" i="9"/>
  <c r="C3412" i="9"/>
  <c r="B3412" i="9"/>
  <c r="H3411" i="9"/>
  <c r="G3411" i="9"/>
  <c r="E3411" i="9"/>
  <c r="D3411" i="9"/>
  <c r="C3411" i="9"/>
  <c r="B3411" i="9"/>
  <c r="H3410" i="9"/>
  <c r="G3410" i="9"/>
  <c r="E3410" i="9"/>
  <c r="D3410" i="9"/>
  <c r="C3410" i="9"/>
  <c r="B3410" i="9"/>
  <c r="H3409" i="9"/>
  <c r="G3409" i="9"/>
  <c r="E3409" i="9"/>
  <c r="D3409" i="9"/>
  <c r="C3409" i="9"/>
  <c r="B3409" i="9"/>
  <c r="H3408" i="9"/>
  <c r="G3408" i="9"/>
  <c r="E3408" i="9"/>
  <c r="D3408" i="9"/>
  <c r="C3408" i="9"/>
  <c r="B3408" i="9"/>
  <c r="H3407" i="9"/>
  <c r="G3407" i="9"/>
  <c r="E3407" i="9"/>
  <c r="D3407" i="9"/>
  <c r="C3407" i="9"/>
  <c r="B3407" i="9"/>
  <c r="H3406" i="9"/>
  <c r="G3406" i="9"/>
  <c r="E3406" i="9"/>
  <c r="D3406" i="9"/>
  <c r="C3406" i="9"/>
  <c r="B3406" i="9"/>
  <c r="H3405" i="9"/>
  <c r="G3405" i="9"/>
  <c r="E3405" i="9"/>
  <c r="D3405" i="9"/>
  <c r="C3405" i="9"/>
  <c r="B3405" i="9"/>
  <c r="H3404" i="9"/>
  <c r="G3404" i="9"/>
  <c r="E3404" i="9"/>
  <c r="D3404" i="9"/>
  <c r="C3404" i="9"/>
  <c r="B3404" i="9"/>
  <c r="H3403" i="9"/>
  <c r="G3403" i="9"/>
  <c r="E3403" i="9"/>
  <c r="D3403" i="9"/>
  <c r="C3403" i="9"/>
  <c r="B3403" i="9"/>
  <c r="H3402" i="9"/>
  <c r="G3402" i="9"/>
  <c r="E3402" i="9"/>
  <c r="D3402" i="9"/>
  <c r="C3402" i="9"/>
  <c r="B3402" i="9"/>
  <c r="H3401" i="9"/>
  <c r="G3401" i="9"/>
  <c r="E3401" i="9"/>
  <c r="D3401" i="9"/>
  <c r="C3401" i="9"/>
  <c r="B3401" i="9"/>
  <c r="H3400" i="9"/>
  <c r="G3400" i="9"/>
  <c r="E3400" i="9"/>
  <c r="D3400" i="9"/>
  <c r="C3400" i="9"/>
  <c r="B3400" i="9"/>
  <c r="H3399" i="9"/>
  <c r="G3399" i="9"/>
  <c r="E3399" i="9"/>
  <c r="D3399" i="9"/>
  <c r="C3399" i="9"/>
  <c r="B3399" i="9"/>
  <c r="H3398" i="9"/>
  <c r="G3398" i="9"/>
  <c r="E3398" i="9"/>
  <c r="D3398" i="9"/>
  <c r="C3398" i="9"/>
  <c r="B3398" i="9"/>
  <c r="H3397" i="9"/>
  <c r="G3397" i="9"/>
  <c r="E3397" i="9"/>
  <c r="D3397" i="9"/>
  <c r="C3397" i="9"/>
  <c r="B3397" i="9"/>
  <c r="H3396" i="9"/>
  <c r="G3396" i="9"/>
  <c r="E3396" i="9"/>
  <c r="D3396" i="9"/>
  <c r="C3396" i="9"/>
  <c r="B3396" i="9"/>
  <c r="H3395" i="9"/>
  <c r="G3395" i="9"/>
  <c r="E3395" i="9"/>
  <c r="D3395" i="9"/>
  <c r="C3395" i="9"/>
  <c r="B3395" i="9"/>
  <c r="H3394" i="9"/>
  <c r="G3394" i="9"/>
  <c r="E3394" i="9"/>
  <c r="D3394" i="9"/>
  <c r="C3394" i="9"/>
  <c r="B3394" i="9"/>
  <c r="H3393" i="9"/>
  <c r="G3393" i="9"/>
  <c r="E3393" i="9"/>
  <c r="D3393" i="9"/>
  <c r="C3393" i="9"/>
  <c r="B3393" i="9"/>
  <c r="H3392" i="9"/>
  <c r="G3392" i="9"/>
  <c r="E3392" i="9"/>
  <c r="D3392" i="9"/>
  <c r="C3392" i="9"/>
  <c r="B3392" i="9"/>
  <c r="H3391" i="9"/>
  <c r="G3391" i="9"/>
  <c r="E3391" i="9"/>
  <c r="D3391" i="9"/>
  <c r="C3391" i="9"/>
  <c r="B3391" i="9"/>
  <c r="H3390" i="9"/>
  <c r="G3390" i="9"/>
  <c r="E3390" i="9"/>
  <c r="D3390" i="9"/>
  <c r="C3390" i="9"/>
  <c r="B3390" i="9"/>
  <c r="H3389" i="9"/>
  <c r="G3389" i="9"/>
  <c r="E3389" i="9"/>
  <c r="D3389" i="9"/>
  <c r="C3389" i="9"/>
  <c r="B3389" i="9"/>
  <c r="H3388" i="9"/>
  <c r="G3388" i="9"/>
  <c r="E3388" i="9"/>
  <c r="D3388" i="9"/>
  <c r="C3388" i="9"/>
  <c r="B3388" i="9"/>
  <c r="H3387" i="9"/>
  <c r="G3387" i="9"/>
  <c r="E3387" i="9"/>
  <c r="D3387" i="9"/>
  <c r="C3387" i="9"/>
  <c r="B3387" i="9"/>
  <c r="H3386" i="9"/>
  <c r="G3386" i="9"/>
  <c r="E3386" i="9"/>
  <c r="D3386" i="9"/>
  <c r="C3386" i="9"/>
  <c r="B3386" i="9"/>
  <c r="H3385" i="9"/>
  <c r="G3385" i="9"/>
  <c r="E3385" i="9"/>
  <c r="D3385" i="9"/>
  <c r="C3385" i="9"/>
  <c r="B3385" i="9"/>
  <c r="H3384" i="9"/>
  <c r="G3384" i="9"/>
  <c r="E3384" i="9"/>
  <c r="D3384" i="9"/>
  <c r="C3384" i="9"/>
  <c r="B3384" i="9"/>
  <c r="H3383" i="9"/>
  <c r="G3383" i="9"/>
  <c r="E3383" i="9"/>
  <c r="D3383" i="9"/>
  <c r="C3383" i="9"/>
  <c r="B3383" i="9"/>
  <c r="H3382" i="9"/>
  <c r="G3382" i="9"/>
  <c r="E3382" i="9"/>
  <c r="D3382" i="9"/>
  <c r="C3382" i="9"/>
  <c r="B3382" i="9"/>
  <c r="H3381" i="9"/>
  <c r="G3381" i="9"/>
  <c r="E3381" i="9"/>
  <c r="D3381" i="9"/>
  <c r="C3381" i="9"/>
  <c r="B3381" i="9"/>
  <c r="H3380" i="9"/>
  <c r="G3380" i="9"/>
  <c r="E3380" i="9"/>
  <c r="D3380" i="9"/>
  <c r="C3380" i="9"/>
  <c r="B3380" i="9"/>
  <c r="H3379" i="9"/>
  <c r="G3379" i="9"/>
  <c r="E3379" i="9"/>
  <c r="D3379" i="9"/>
  <c r="C3379" i="9"/>
  <c r="B3379" i="9"/>
  <c r="H3378" i="9"/>
  <c r="G3378" i="9"/>
  <c r="E3378" i="9"/>
  <c r="D3378" i="9"/>
  <c r="C3378" i="9"/>
  <c r="B3378" i="9"/>
  <c r="H3377" i="9"/>
  <c r="G3377" i="9"/>
  <c r="E3377" i="9"/>
  <c r="D3377" i="9"/>
  <c r="C3377" i="9"/>
  <c r="B3377" i="9"/>
  <c r="H3376" i="9"/>
  <c r="G3376" i="9"/>
  <c r="E3376" i="9"/>
  <c r="D3376" i="9"/>
  <c r="C3376" i="9"/>
  <c r="B3376" i="9"/>
  <c r="H3375" i="9"/>
  <c r="G3375" i="9"/>
  <c r="E3375" i="9"/>
  <c r="D3375" i="9"/>
  <c r="C3375" i="9"/>
  <c r="B3375" i="9"/>
  <c r="H3374" i="9"/>
  <c r="G3374" i="9"/>
  <c r="E3374" i="9"/>
  <c r="D3374" i="9"/>
  <c r="C3374" i="9"/>
  <c r="B3374" i="9"/>
  <c r="H3373" i="9"/>
  <c r="G3373" i="9"/>
  <c r="E3373" i="9"/>
  <c r="D3373" i="9"/>
  <c r="C3373" i="9"/>
  <c r="B3373" i="9"/>
  <c r="H3372" i="9"/>
  <c r="G3372" i="9"/>
  <c r="E3372" i="9"/>
  <c r="D3372" i="9"/>
  <c r="C3372" i="9"/>
  <c r="B3372" i="9"/>
  <c r="H3371" i="9"/>
  <c r="G3371" i="9"/>
  <c r="E3371" i="9"/>
  <c r="D3371" i="9"/>
  <c r="C3371" i="9"/>
  <c r="B3371" i="9"/>
  <c r="H3370" i="9"/>
  <c r="G3370" i="9"/>
  <c r="E3370" i="9"/>
  <c r="D3370" i="9"/>
  <c r="C3370" i="9"/>
  <c r="B3370" i="9"/>
  <c r="H3369" i="9"/>
  <c r="G3369" i="9"/>
  <c r="E3369" i="9"/>
  <c r="D3369" i="9"/>
  <c r="C3369" i="9"/>
  <c r="B3369" i="9"/>
  <c r="H3368" i="9"/>
  <c r="G3368" i="9"/>
  <c r="E3368" i="9"/>
  <c r="D3368" i="9"/>
  <c r="C3368" i="9"/>
  <c r="B3368" i="9"/>
  <c r="H3367" i="9"/>
  <c r="G3367" i="9"/>
  <c r="E3367" i="9"/>
  <c r="D3367" i="9"/>
  <c r="C3367" i="9"/>
  <c r="B3367" i="9"/>
  <c r="H3366" i="9"/>
  <c r="G3366" i="9"/>
  <c r="E3366" i="9"/>
  <c r="D3366" i="9"/>
  <c r="C3366" i="9"/>
  <c r="B3366" i="9"/>
  <c r="H3365" i="9"/>
  <c r="G3365" i="9"/>
  <c r="E3365" i="9"/>
  <c r="D3365" i="9"/>
  <c r="C3365" i="9"/>
  <c r="B3365" i="9"/>
  <c r="H3364" i="9"/>
  <c r="G3364" i="9"/>
  <c r="E3364" i="9"/>
  <c r="D3364" i="9"/>
  <c r="C3364" i="9"/>
  <c r="B3364" i="9"/>
  <c r="H3363" i="9"/>
  <c r="G3363" i="9"/>
  <c r="E3363" i="9"/>
  <c r="D3363" i="9"/>
  <c r="C3363" i="9"/>
  <c r="B3363" i="9"/>
  <c r="H3362" i="9"/>
  <c r="G3362" i="9"/>
  <c r="E3362" i="9"/>
  <c r="D3362" i="9"/>
  <c r="C3362" i="9"/>
  <c r="B3362" i="9"/>
  <c r="H3361" i="9"/>
  <c r="G3361" i="9"/>
  <c r="E3361" i="9"/>
  <c r="D3361" i="9"/>
  <c r="C3361" i="9"/>
  <c r="B3361" i="9"/>
  <c r="H3360" i="9"/>
  <c r="G3360" i="9"/>
  <c r="E3360" i="9"/>
  <c r="D3360" i="9"/>
  <c r="C3360" i="9"/>
  <c r="B3360" i="9"/>
  <c r="H3359" i="9"/>
  <c r="G3359" i="9"/>
  <c r="E3359" i="9"/>
  <c r="D3359" i="9"/>
  <c r="C3359" i="9"/>
  <c r="B3359" i="9"/>
  <c r="H3358" i="9"/>
  <c r="G3358" i="9"/>
  <c r="E3358" i="9"/>
  <c r="D3358" i="9"/>
  <c r="C3358" i="9"/>
  <c r="B3358" i="9"/>
  <c r="H3357" i="9"/>
  <c r="G3357" i="9"/>
  <c r="E3357" i="9"/>
  <c r="D3357" i="9"/>
  <c r="C3357" i="9"/>
  <c r="B3357" i="9"/>
  <c r="H3356" i="9"/>
  <c r="G3356" i="9"/>
  <c r="E3356" i="9"/>
  <c r="D3356" i="9"/>
  <c r="C3356" i="9"/>
  <c r="B3356" i="9"/>
  <c r="H3355" i="9"/>
  <c r="G3355" i="9"/>
  <c r="E3355" i="9"/>
  <c r="D3355" i="9"/>
  <c r="C3355" i="9"/>
  <c r="B3355" i="9"/>
  <c r="H3354" i="9"/>
  <c r="G3354" i="9"/>
  <c r="E3354" i="9"/>
  <c r="D3354" i="9"/>
  <c r="C3354" i="9"/>
  <c r="B3354" i="9"/>
  <c r="H3353" i="9"/>
  <c r="G3353" i="9"/>
  <c r="E3353" i="9"/>
  <c r="D3353" i="9"/>
  <c r="C3353" i="9"/>
  <c r="B3353" i="9"/>
  <c r="H3352" i="9"/>
  <c r="G3352" i="9"/>
  <c r="E3352" i="9"/>
  <c r="D3352" i="9"/>
  <c r="C3352" i="9"/>
  <c r="B3352" i="9"/>
  <c r="H3351" i="9"/>
  <c r="G3351" i="9"/>
  <c r="E3351" i="9"/>
  <c r="D3351" i="9"/>
  <c r="C3351" i="9"/>
  <c r="B3351" i="9"/>
  <c r="H3350" i="9"/>
  <c r="G3350" i="9"/>
  <c r="E3350" i="9"/>
  <c r="D3350" i="9"/>
  <c r="C3350" i="9"/>
  <c r="B3350" i="9"/>
  <c r="H3349" i="9"/>
  <c r="G3349" i="9"/>
  <c r="E3349" i="9"/>
  <c r="D3349" i="9"/>
  <c r="C3349" i="9"/>
  <c r="B3349" i="9"/>
  <c r="H3348" i="9"/>
  <c r="G3348" i="9"/>
  <c r="E3348" i="9"/>
  <c r="D3348" i="9"/>
  <c r="C3348" i="9"/>
  <c r="B3348" i="9"/>
  <c r="H3347" i="9"/>
  <c r="G3347" i="9"/>
  <c r="E3347" i="9"/>
  <c r="D3347" i="9"/>
  <c r="C3347" i="9"/>
  <c r="B3347" i="9"/>
  <c r="H3346" i="9"/>
  <c r="G3346" i="9"/>
  <c r="E3346" i="9"/>
  <c r="D3346" i="9"/>
  <c r="C3346" i="9"/>
  <c r="B3346" i="9"/>
  <c r="H3345" i="9"/>
  <c r="G3345" i="9"/>
  <c r="E3345" i="9"/>
  <c r="D3345" i="9"/>
  <c r="C3345" i="9"/>
  <c r="B3345" i="9"/>
  <c r="H3344" i="9"/>
  <c r="G3344" i="9"/>
  <c r="E3344" i="9"/>
  <c r="D3344" i="9"/>
  <c r="C3344" i="9"/>
  <c r="B3344" i="9"/>
  <c r="H3343" i="9"/>
  <c r="G3343" i="9"/>
  <c r="E3343" i="9"/>
  <c r="D3343" i="9"/>
  <c r="C3343" i="9"/>
  <c r="B3343" i="9"/>
  <c r="H3342" i="9"/>
  <c r="G3342" i="9"/>
  <c r="E3342" i="9"/>
  <c r="D3342" i="9"/>
  <c r="C3342" i="9"/>
  <c r="B3342" i="9"/>
  <c r="H3341" i="9"/>
  <c r="G3341" i="9"/>
  <c r="E3341" i="9"/>
  <c r="D3341" i="9"/>
  <c r="C3341" i="9"/>
  <c r="B3341" i="9"/>
  <c r="H3340" i="9"/>
  <c r="G3340" i="9"/>
  <c r="E3340" i="9"/>
  <c r="D3340" i="9"/>
  <c r="C3340" i="9"/>
  <c r="B3340" i="9"/>
  <c r="H3339" i="9"/>
  <c r="G3339" i="9"/>
  <c r="E3339" i="9"/>
  <c r="D3339" i="9"/>
  <c r="C3339" i="9"/>
  <c r="B3339" i="9"/>
  <c r="H3338" i="9"/>
  <c r="G3338" i="9"/>
  <c r="E3338" i="9"/>
  <c r="D3338" i="9"/>
  <c r="C3338" i="9"/>
  <c r="B3338" i="9"/>
  <c r="H3337" i="9"/>
  <c r="G3337" i="9"/>
  <c r="E3337" i="9"/>
  <c r="D3337" i="9"/>
  <c r="C3337" i="9"/>
  <c r="B3337" i="9"/>
  <c r="H3336" i="9"/>
  <c r="G3336" i="9"/>
  <c r="E3336" i="9"/>
  <c r="D3336" i="9"/>
  <c r="C3336" i="9"/>
  <c r="B3336" i="9"/>
  <c r="H3335" i="9"/>
  <c r="G3335" i="9"/>
  <c r="E3335" i="9"/>
  <c r="D3335" i="9"/>
  <c r="C3335" i="9"/>
  <c r="B3335" i="9"/>
  <c r="H3334" i="9"/>
  <c r="G3334" i="9"/>
  <c r="E3334" i="9"/>
  <c r="D3334" i="9"/>
  <c r="C3334" i="9"/>
  <c r="B3334" i="9"/>
  <c r="H3333" i="9"/>
  <c r="G3333" i="9"/>
  <c r="E3333" i="9"/>
  <c r="D3333" i="9"/>
  <c r="C3333" i="9"/>
  <c r="B3333" i="9"/>
  <c r="H3332" i="9"/>
  <c r="G3332" i="9"/>
  <c r="E3332" i="9"/>
  <c r="D3332" i="9"/>
  <c r="C3332" i="9"/>
  <c r="B3332" i="9"/>
  <c r="H3331" i="9"/>
  <c r="G3331" i="9"/>
  <c r="E3331" i="9"/>
  <c r="D3331" i="9"/>
  <c r="C3331" i="9"/>
  <c r="B3331" i="9"/>
  <c r="H3330" i="9"/>
  <c r="G3330" i="9"/>
  <c r="E3330" i="9"/>
  <c r="D3330" i="9"/>
  <c r="C3330" i="9"/>
  <c r="B3330" i="9"/>
  <c r="H3329" i="9"/>
  <c r="G3329" i="9"/>
  <c r="E3329" i="9"/>
  <c r="D3329" i="9"/>
  <c r="C3329" i="9"/>
  <c r="B3329" i="9"/>
  <c r="H3328" i="9"/>
  <c r="G3328" i="9"/>
  <c r="E3328" i="9"/>
  <c r="D3328" i="9"/>
  <c r="C3328" i="9"/>
  <c r="B3328" i="9"/>
  <c r="H3327" i="9"/>
  <c r="G3327" i="9"/>
  <c r="E3327" i="9"/>
  <c r="D3327" i="9"/>
  <c r="C3327" i="9"/>
  <c r="B3327" i="9"/>
  <c r="H3326" i="9"/>
  <c r="G3326" i="9"/>
  <c r="E3326" i="9"/>
  <c r="D3326" i="9"/>
  <c r="C3326" i="9"/>
  <c r="B3326" i="9"/>
  <c r="H3325" i="9"/>
  <c r="G3325" i="9"/>
  <c r="E3325" i="9"/>
  <c r="D3325" i="9"/>
  <c r="C3325" i="9"/>
  <c r="B3325" i="9"/>
  <c r="H3324" i="9"/>
  <c r="G3324" i="9"/>
  <c r="E3324" i="9"/>
  <c r="D3324" i="9"/>
  <c r="C3324" i="9"/>
  <c r="B3324" i="9"/>
  <c r="H3323" i="9"/>
  <c r="G3323" i="9"/>
  <c r="E3323" i="9"/>
  <c r="D3323" i="9"/>
  <c r="C3323" i="9"/>
  <c r="B3323" i="9"/>
  <c r="H3322" i="9"/>
  <c r="G3322" i="9"/>
  <c r="E3322" i="9"/>
  <c r="D3322" i="9"/>
  <c r="C3322" i="9"/>
  <c r="B3322" i="9"/>
  <c r="H3321" i="9"/>
  <c r="G3321" i="9"/>
  <c r="E3321" i="9"/>
  <c r="D3321" i="9"/>
  <c r="C3321" i="9"/>
  <c r="B3321" i="9"/>
  <c r="H3320" i="9"/>
  <c r="G3320" i="9"/>
  <c r="E3320" i="9"/>
  <c r="D3320" i="9"/>
  <c r="C3320" i="9"/>
  <c r="B3320" i="9"/>
  <c r="H3319" i="9"/>
  <c r="G3319" i="9"/>
  <c r="E3319" i="9"/>
  <c r="D3319" i="9"/>
  <c r="C3319" i="9"/>
  <c r="B3319" i="9"/>
  <c r="H3318" i="9"/>
  <c r="G3318" i="9"/>
  <c r="E3318" i="9"/>
  <c r="D3318" i="9"/>
  <c r="C3318" i="9"/>
  <c r="B3318" i="9"/>
  <c r="H3317" i="9"/>
  <c r="G3317" i="9"/>
  <c r="E3317" i="9"/>
  <c r="D3317" i="9"/>
  <c r="C3317" i="9"/>
  <c r="B3317" i="9"/>
  <c r="H3316" i="9"/>
  <c r="G3316" i="9"/>
  <c r="E3316" i="9"/>
  <c r="D3316" i="9"/>
  <c r="C3316" i="9"/>
  <c r="B3316" i="9"/>
  <c r="H3315" i="9"/>
  <c r="G3315" i="9"/>
  <c r="E3315" i="9"/>
  <c r="D3315" i="9"/>
  <c r="C3315" i="9"/>
  <c r="B3315" i="9"/>
  <c r="H3314" i="9"/>
  <c r="G3314" i="9"/>
  <c r="E3314" i="9"/>
  <c r="D3314" i="9"/>
  <c r="C3314" i="9"/>
  <c r="B3314" i="9"/>
  <c r="H3313" i="9"/>
  <c r="G3313" i="9"/>
  <c r="E3313" i="9"/>
  <c r="D3313" i="9"/>
  <c r="C3313" i="9"/>
  <c r="B3313" i="9"/>
  <c r="H3312" i="9"/>
  <c r="G3312" i="9"/>
  <c r="E3312" i="9"/>
  <c r="D3312" i="9"/>
  <c r="C3312" i="9"/>
  <c r="B3312" i="9"/>
  <c r="H3311" i="9"/>
  <c r="G3311" i="9"/>
  <c r="E3311" i="9"/>
  <c r="D3311" i="9"/>
  <c r="C3311" i="9"/>
  <c r="B3311" i="9"/>
  <c r="H3310" i="9"/>
  <c r="G3310" i="9"/>
  <c r="E3310" i="9"/>
  <c r="D3310" i="9"/>
  <c r="C3310" i="9"/>
  <c r="B3310" i="9"/>
  <c r="H3309" i="9"/>
  <c r="G3309" i="9"/>
  <c r="E3309" i="9"/>
  <c r="D3309" i="9"/>
  <c r="C3309" i="9"/>
  <c r="B3309" i="9"/>
  <c r="H3308" i="9"/>
  <c r="G3308" i="9"/>
  <c r="E3308" i="9"/>
  <c r="D3308" i="9"/>
  <c r="C3308" i="9"/>
  <c r="B3308" i="9"/>
  <c r="H3307" i="9"/>
  <c r="G3307" i="9"/>
  <c r="E3307" i="9"/>
  <c r="D3307" i="9"/>
  <c r="C3307" i="9"/>
  <c r="B3307" i="9"/>
  <c r="H3306" i="9"/>
  <c r="G3306" i="9"/>
  <c r="E3306" i="9"/>
  <c r="D3306" i="9"/>
  <c r="C3306" i="9"/>
  <c r="B3306" i="9"/>
  <c r="H3305" i="9"/>
  <c r="G3305" i="9"/>
  <c r="E3305" i="9"/>
  <c r="D3305" i="9"/>
  <c r="C3305" i="9"/>
  <c r="B3305" i="9"/>
  <c r="H3304" i="9"/>
  <c r="G3304" i="9"/>
  <c r="E3304" i="9"/>
  <c r="D3304" i="9"/>
  <c r="C3304" i="9"/>
  <c r="B3304" i="9"/>
  <c r="H3303" i="9"/>
  <c r="G3303" i="9"/>
  <c r="E3303" i="9"/>
  <c r="D3303" i="9"/>
  <c r="C3303" i="9"/>
  <c r="B3303" i="9"/>
  <c r="H3302" i="9"/>
  <c r="G3302" i="9"/>
  <c r="E3302" i="9"/>
  <c r="D3302" i="9"/>
  <c r="C3302" i="9"/>
  <c r="B3302" i="9"/>
  <c r="H3301" i="9"/>
  <c r="G3301" i="9"/>
  <c r="E3301" i="9"/>
  <c r="D3301" i="9"/>
  <c r="C3301" i="9"/>
  <c r="B3301" i="9"/>
  <c r="H3300" i="9"/>
  <c r="G3300" i="9"/>
  <c r="E3300" i="9"/>
  <c r="D3300" i="9"/>
  <c r="C3300" i="9"/>
  <c r="B3300" i="9"/>
  <c r="H3299" i="9"/>
  <c r="G3299" i="9"/>
  <c r="E3299" i="9"/>
  <c r="D3299" i="9"/>
  <c r="C3299" i="9"/>
  <c r="B3299" i="9"/>
  <c r="H3298" i="9"/>
  <c r="G3298" i="9"/>
  <c r="E3298" i="9"/>
  <c r="D3298" i="9"/>
  <c r="C3298" i="9"/>
  <c r="B3298" i="9"/>
  <c r="H3297" i="9"/>
  <c r="G3297" i="9"/>
  <c r="E3297" i="9"/>
  <c r="D3297" i="9"/>
  <c r="C3297" i="9"/>
  <c r="B3297" i="9"/>
  <c r="H3296" i="9"/>
  <c r="G3296" i="9"/>
  <c r="E3296" i="9"/>
  <c r="D3296" i="9"/>
  <c r="C3296" i="9"/>
  <c r="B3296" i="9"/>
  <c r="H3295" i="9"/>
  <c r="G3295" i="9"/>
  <c r="E3295" i="9"/>
  <c r="D3295" i="9"/>
  <c r="C3295" i="9"/>
  <c r="B3295" i="9"/>
  <c r="H3294" i="9"/>
  <c r="G3294" i="9"/>
  <c r="E3294" i="9"/>
  <c r="D3294" i="9"/>
  <c r="C3294" i="9"/>
  <c r="B3294" i="9"/>
  <c r="H3293" i="9"/>
  <c r="G3293" i="9"/>
  <c r="E3293" i="9"/>
  <c r="D3293" i="9"/>
  <c r="C3293" i="9"/>
  <c r="B3293" i="9"/>
  <c r="H3292" i="9"/>
  <c r="G3292" i="9"/>
  <c r="E3292" i="9"/>
  <c r="D3292" i="9"/>
  <c r="C3292" i="9"/>
  <c r="B3292" i="9"/>
  <c r="H3291" i="9"/>
  <c r="G3291" i="9"/>
  <c r="E3291" i="9"/>
  <c r="D3291" i="9"/>
  <c r="C3291" i="9"/>
  <c r="B3291" i="9"/>
  <c r="H3290" i="9"/>
  <c r="G3290" i="9"/>
  <c r="E3290" i="9"/>
  <c r="D3290" i="9"/>
  <c r="C3290" i="9"/>
  <c r="B3290" i="9"/>
  <c r="H3289" i="9"/>
  <c r="G3289" i="9"/>
  <c r="E3289" i="9"/>
  <c r="D3289" i="9"/>
  <c r="C3289" i="9"/>
  <c r="B3289" i="9"/>
  <c r="H3288" i="9"/>
  <c r="G3288" i="9"/>
  <c r="E3288" i="9"/>
  <c r="D3288" i="9"/>
  <c r="C3288" i="9"/>
  <c r="B3288" i="9"/>
  <c r="H3287" i="9"/>
  <c r="G3287" i="9"/>
  <c r="E3287" i="9"/>
  <c r="D3287" i="9"/>
  <c r="C3287" i="9"/>
  <c r="B3287" i="9"/>
  <c r="H3286" i="9"/>
  <c r="G3286" i="9"/>
  <c r="E3286" i="9"/>
  <c r="D3286" i="9"/>
  <c r="C3286" i="9"/>
  <c r="B3286" i="9"/>
  <c r="H3285" i="9"/>
  <c r="G3285" i="9"/>
  <c r="E3285" i="9"/>
  <c r="D3285" i="9"/>
  <c r="C3285" i="9"/>
  <c r="B3285" i="9"/>
  <c r="H3284" i="9"/>
  <c r="G3284" i="9"/>
  <c r="E3284" i="9"/>
  <c r="D3284" i="9"/>
  <c r="C3284" i="9"/>
  <c r="B3284" i="9"/>
  <c r="H3283" i="9"/>
  <c r="G3283" i="9"/>
  <c r="E3283" i="9"/>
  <c r="D3283" i="9"/>
  <c r="C3283" i="9"/>
  <c r="B3283" i="9"/>
  <c r="H3282" i="9"/>
  <c r="G3282" i="9"/>
  <c r="E3282" i="9"/>
  <c r="D3282" i="9"/>
  <c r="C3282" i="9"/>
  <c r="B3282" i="9"/>
  <c r="H3281" i="9"/>
  <c r="G3281" i="9"/>
  <c r="E3281" i="9"/>
  <c r="D3281" i="9"/>
  <c r="C3281" i="9"/>
  <c r="B3281" i="9"/>
  <c r="H3280" i="9"/>
  <c r="G3280" i="9"/>
  <c r="E3280" i="9"/>
  <c r="D3280" i="9"/>
  <c r="C3280" i="9"/>
  <c r="B3280" i="9"/>
  <c r="H3279" i="9"/>
  <c r="G3279" i="9"/>
  <c r="E3279" i="9"/>
  <c r="D3279" i="9"/>
  <c r="C3279" i="9"/>
  <c r="B3279" i="9"/>
  <c r="H3278" i="9"/>
  <c r="G3278" i="9"/>
  <c r="E3278" i="9"/>
  <c r="D3278" i="9"/>
  <c r="C3278" i="9"/>
  <c r="B3278" i="9"/>
  <c r="H3277" i="9"/>
  <c r="G3277" i="9"/>
  <c r="E3277" i="9"/>
  <c r="D3277" i="9"/>
  <c r="C3277" i="9"/>
  <c r="B3277" i="9"/>
  <c r="H3276" i="9"/>
  <c r="G3276" i="9"/>
  <c r="E3276" i="9"/>
  <c r="D3276" i="9"/>
  <c r="C3276" i="9"/>
  <c r="B3276" i="9"/>
  <c r="H3275" i="9"/>
  <c r="G3275" i="9"/>
  <c r="E3275" i="9"/>
  <c r="D3275" i="9"/>
  <c r="C3275" i="9"/>
  <c r="B3275" i="9"/>
  <c r="H3274" i="9"/>
  <c r="G3274" i="9"/>
  <c r="E3274" i="9"/>
  <c r="D3274" i="9"/>
  <c r="C3274" i="9"/>
  <c r="B3274" i="9"/>
  <c r="H3273" i="9"/>
  <c r="G3273" i="9"/>
  <c r="E3273" i="9"/>
  <c r="D3273" i="9"/>
  <c r="C3273" i="9"/>
  <c r="B3273" i="9"/>
  <c r="H3272" i="9"/>
  <c r="G3272" i="9"/>
  <c r="E3272" i="9"/>
  <c r="D3272" i="9"/>
  <c r="C3272" i="9"/>
  <c r="B3272" i="9"/>
  <c r="H3271" i="9"/>
  <c r="G3271" i="9"/>
  <c r="E3271" i="9"/>
  <c r="D3271" i="9"/>
  <c r="C3271" i="9"/>
  <c r="B3271" i="9"/>
  <c r="H3270" i="9"/>
  <c r="G3270" i="9"/>
  <c r="E3270" i="9"/>
  <c r="D3270" i="9"/>
  <c r="C3270" i="9"/>
  <c r="B3270" i="9"/>
  <c r="H3269" i="9"/>
  <c r="G3269" i="9"/>
  <c r="E3269" i="9"/>
  <c r="D3269" i="9"/>
  <c r="C3269" i="9"/>
  <c r="B3269" i="9"/>
  <c r="H3268" i="9"/>
  <c r="G3268" i="9"/>
  <c r="E3268" i="9"/>
  <c r="D3268" i="9"/>
  <c r="C3268" i="9"/>
  <c r="B3268" i="9"/>
  <c r="H3267" i="9"/>
  <c r="G3267" i="9"/>
  <c r="E3267" i="9"/>
  <c r="D3267" i="9"/>
  <c r="C3267" i="9"/>
  <c r="B3267" i="9"/>
  <c r="H3266" i="9"/>
  <c r="G3266" i="9"/>
  <c r="E3266" i="9"/>
  <c r="D3266" i="9"/>
  <c r="C3266" i="9"/>
  <c r="B3266" i="9"/>
  <c r="H3265" i="9"/>
  <c r="G3265" i="9"/>
  <c r="E3265" i="9"/>
  <c r="D3265" i="9"/>
  <c r="C3265" i="9"/>
  <c r="B3265" i="9"/>
  <c r="H3264" i="9"/>
  <c r="G3264" i="9"/>
  <c r="E3264" i="9"/>
  <c r="D3264" i="9"/>
  <c r="C3264" i="9"/>
  <c r="B3264" i="9"/>
  <c r="H3263" i="9"/>
  <c r="G3263" i="9"/>
  <c r="E3263" i="9"/>
  <c r="D3263" i="9"/>
  <c r="C3263" i="9"/>
  <c r="B3263" i="9"/>
  <c r="H3262" i="9"/>
  <c r="G3262" i="9"/>
  <c r="E3262" i="9"/>
  <c r="D3262" i="9"/>
  <c r="C3262" i="9"/>
  <c r="B3262" i="9"/>
  <c r="H3261" i="9"/>
  <c r="G3261" i="9"/>
  <c r="E3261" i="9"/>
  <c r="D3261" i="9"/>
  <c r="C3261" i="9"/>
  <c r="B3261" i="9"/>
  <c r="H3260" i="9"/>
  <c r="G3260" i="9"/>
  <c r="E3260" i="9"/>
  <c r="D3260" i="9"/>
  <c r="C3260" i="9"/>
  <c r="B3260" i="9"/>
  <c r="H3259" i="9"/>
  <c r="G3259" i="9"/>
  <c r="E3259" i="9"/>
  <c r="D3259" i="9"/>
  <c r="C3259" i="9"/>
  <c r="B3259" i="9"/>
  <c r="H3258" i="9"/>
  <c r="G3258" i="9"/>
  <c r="E3258" i="9"/>
  <c r="D3258" i="9"/>
  <c r="C3258" i="9"/>
  <c r="B3258" i="9"/>
  <c r="H3257" i="9"/>
  <c r="G3257" i="9"/>
  <c r="E3257" i="9"/>
  <c r="D3257" i="9"/>
  <c r="C3257" i="9"/>
  <c r="B3257" i="9"/>
  <c r="H3256" i="9"/>
  <c r="G3256" i="9"/>
  <c r="E3256" i="9"/>
  <c r="D3256" i="9"/>
  <c r="C3256" i="9"/>
  <c r="B3256" i="9"/>
  <c r="H3255" i="9"/>
  <c r="G3255" i="9"/>
  <c r="E3255" i="9"/>
  <c r="D3255" i="9"/>
  <c r="C3255" i="9"/>
  <c r="B3255" i="9"/>
  <c r="H3254" i="9"/>
  <c r="G3254" i="9"/>
  <c r="E3254" i="9"/>
  <c r="D3254" i="9"/>
  <c r="C3254" i="9"/>
  <c r="B3254" i="9"/>
  <c r="H3253" i="9"/>
  <c r="G3253" i="9"/>
  <c r="E3253" i="9"/>
  <c r="D3253" i="9"/>
  <c r="C3253" i="9"/>
  <c r="B3253" i="9"/>
  <c r="H3252" i="9"/>
  <c r="G3252" i="9"/>
  <c r="E3252" i="9"/>
  <c r="D3252" i="9"/>
  <c r="C3252" i="9"/>
  <c r="B3252" i="9"/>
  <c r="H3251" i="9"/>
  <c r="G3251" i="9"/>
  <c r="E3251" i="9"/>
  <c r="D3251" i="9"/>
  <c r="C3251" i="9"/>
  <c r="B3251" i="9"/>
  <c r="H3250" i="9"/>
  <c r="G3250" i="9"/>
  <c r="E3250" i="9"/>
  <c r="D3250" i="9"/>
  <c r="C3250" i="9"/>
  <c r="B3250" i="9"/>
  <c r="H3249" i="9"/>
  <c r="G3249" i="9"/>
  <c r="E3249" i="9"/>
  <c r="D3249" i="9"/>
  <c r="C3249" i="9"/>
  <c r="B3249" i="9"/>
  <c r="H3248" i="9"/>
  <c r="G3248" i="9"/>
  <c r="E3248" i="9"/>
  <c r="D3248" i="9"/>
  <c r="C3248" i="9"/>
  <c r="B3248" i="9"/>
  <c r="H3247" i="9"/>
  <c r="G3247" i="9"/>
  <c r="E3247" i="9"/>
  <c r="D3247" i="9"/>
  <c r="C3247" i="9"/>
  <c r="B3247" i="9"/>
  <c r="H3246" i="9"/>
  <c r="G3246" i="9"/>
  <c r="E3246" i="9"/>
  <c r="D3246" i="9"/>
  <c r="C3246" i="9"/>
  <c r="B3246" i="9"/>
  <c r="H3245" i="9"/>
  <c r="G3245" i="9"/>
  <c r="E3245" i="9"/>
  <c r="D3245" i="9"/>
  <c r="C3245" i="9"/>
  <c r="B3245" i="9"/>
  <c r="H3244" i="9"/>
  <c r="G3244" i="9"/>
  <c r="E3244" i="9"/>
  <c r="D3244" i="9"/>
  <c r="C3244" i="9"/>
  <c r="B3244" i="9"/>
  <c r="H3243" i="9"/>
  <c r="G3243" i="9"/>
  <c r="E3243" i="9"/>
  <c r="D3243" i="9"/>
  <c r="C3243" i="9"/>
  <c r="B3243" i="9"/>
  <c r="H3242" i="9"/>
  <c r="G3242" i="9"/>
  <c r="E3242" i="9"/>
  <c r="D3242" i="9"/>
  <c r="C3242" i="9"/>
  <c r="B3242" i="9"/>
  <c r="H3241" i="9"/>
  <c r="G3241" i="9"/>
  <c r="E3241" i="9"/>
  <c r="D3241" i="9"/>
  <c r="C3241" i="9"/>
  <c r="B3241" i="9"/>
  <c r="H3240" i="9"/>
  <c r="G3240" i="9"/>
  <c r="E3240" i="9"/>
  <c r="D3240" i="9"/>
  <c r="C3240" i="9"/>
  <c r="B3240" i="9"/>
  <c r="H3239" i="9"/>
  <c r="G3239" i="9"/>
  <c r="E3239" i="9"/>
  <c r="D3239" i="9"/>
  <c r="C3239" i="9"/>
  <c r="B3239" i="9"/>
  <c r="H3238" i="9"/>
  <c r="G3238" i="9"/>
  <c r="E3238" i="9"/>
  <c r="D3238" i="9"/>
  <c r="C3238" i="9"/>
  <c r="B3238" i="9"/>
  <c r="H3237" i="9"/>
  <c r="G3237" i="9"/>
  <c r="E3237" i="9"/>
  <c r="D3237" i="9"/>
  <c r="C3237" i="9"/>
  <c r="B3237" i="9"/>
  <c r="H3236" i="9"/>
  <c r="G3236" i="9"/>
  <c r="E3236" i="9"/>
  <c r="D3236" i="9"/>
  <c r="C3236" i="9"/>
  <c r="B3236" i="9"/>
  <c r="H3235" i="9"/>
  <c r="G3235" i="9"/>
  <c r="E3235" i="9"/>
  <c r="D3235" i="9"/>
  <c r="C3235" i="9"/>
  <c r="B3235" i="9"/>
  <c r="H3234" i="9"/>
  <c r="G3234" i="9"/>
  <c r="E3234" i="9"/>
  <c r="D3234" i="9"/>
  <c r="C3234" i="9"/>
  <c r="B3234" i="9"/>
  <c r="H3233" i="9"/>
  <c r="G3233" i="9"/>
  <c r="E3233" i="9"/>
  <c r="D3233" i="9"/>
  <c r="C3233" i="9"/>
  <c r="B3233" i="9"/>
  <c r="H3232" i="9"/>
  <c r="G3232" i="9"/>
  <c r="E3232" i="9"/>
  <c r="D3232" i="9"/>
  <c r="C3232" i="9"/>
  <c r="B3232" i="9"/>
  <c r="H3231" i="9"/>
  <c r="G3231" i="9"/>
  <c r="E3231" i="9"/>
  <c r="D3231" i="9"/>
  <c r="C3231" i="9"/>
  <c r="B3231" i="9"/>
  <c r="H3230" i="9"/>
  <c r="G3230" i="9"/>
  <c r="E3230" i="9"/>
  <c r="D3230" i="9"/>
  <c r="C3230" i="9"/>
  <c r="B3230" i="9"/>
  <c r="H3229" i="9"/>
  <c r="G3229" i="9"/>
  <c r="E3229" i="9"/>
  <c r="D3229" i="9"/>
  <c r="C3229" i="9"/>
  <c r="B3229" i="9"/>
  <c r="H3228" i="9"/>
  <c r="G3228" i="9"/>
  <c r="E3228" i="9"/>
  <c r="D3228" i="9"/>
  <c r="C3228" i="9"/>
  <c r="B3228" i="9"/>
  <c r="H3227" i="9"/>
  <c r="G3227" i="9"/>
  <c r="E3227" i="9"/>
  <c r="D3227" i="9"/>
  <c r="C3227" i="9"/>
  <c r="B3227" i="9"/>
  <c r="H3226" i="9"/>
  <c r="G3226" i="9"/>
  <c r="E3226" i="9"/>
  <c r="D3226" i="9"/>
  <c r="C3226" i="9"/>
  <c r="B3226" i="9"/>
  <c r="H3225" i="9"/>
  <c r="G3225" i="9"/>
  <c r="E3225" i="9"/>
  <c r="D3225" i="9"/>
  <c r="C3225" i="9"/>
  <c r="B3225" i="9"/>
  <c r="H3224" i="9"/>
  <c r="G3224" i="9"/>
  <c r="E3224" i="9"/>
  <c r="D3224" i="9"/>
  <c r="C3224" i="9"/>
  <c r="B3224" i="9"/>
  <c r="H3223" i="9"/>
  <c r="G3223" i="9"/>
  <c r="E3223" i="9"/>
  <c r="D3223" i="9"/>
  <c r="C3223" i="9"/>
  <c r="B3223" i="9"/>
  <c r="H3222" i="9"/>
  <c r="G3222" i="9"/>
  <c r="E3222" i="9"/>
  <c r="D3222" i="9"/>
  <c r="C3222" i="9"/>
  <c r="B3222" i="9"/>
  <c r="H3221" i="9"/>
  <c r="G3221" i="9"/>
  <c r="E3221" i="9"/>
  <c r="D3221" i="9"/>
  <c r="C3221" i="9"/>
  <c r="B3221" i="9"/>
  <c r="H3220" i="9"/>
  <c r="G3220" i="9"/>
  <c r="E3220" i="9"/>
  <c r="D3220" i="9"/>
  <c r="C3220" i="9"/>
  <c r="B3220" i="9"/>
  <c r="H3219" i="9"/>
  <c r="G3219" i="9"/>
  <c r="E3219" i="9"/>
  <c r="D3219" i="9"/>
  <c r="C3219" i="9"/>
  <c r="B3219" i="9"/>
  <c r="H3218" i="9"/>
  <c r="G3218" i="9"/>
  <c r="E3218" i="9"/>
  <c r="D3218" i="9"/>
  <c r="C3218" i="9"/>
  <c r="B3218" i="9"/>
  <c r="H3217" i="9"/>
  <c r="G3217" i="9"/>
  <c r="E3217" i="9"/>
  <c r="D3217" i="9"/>
  <c r="C3217" i="9"/>
  <c r="B3217" i="9"/>
  <c r="H3216" i="9"/>
  <c r="G3216" i="9"/>
  <c r="E3216" i="9"/>
  <c r="D3216" i="9"/>
  <c r="C3216" i="9"/>
  <c r="B3216" i="9"/>
  <c r="H3215" i="9"/>
  <c r="G3215" i="9"/>
  <c r="E3215" i="9"/>
  <c r="D3215" i="9"/>
  <c r="C3215" i="9"/>
  <c r="B3215" i="9"/>
  <c r="H3214" i="9"/>
  <c r="G3214" i="9"/>
  <c r="E3214" i="9"/>
  <c r="D3214" i="9"/>
  <c r="C3214" i="9"/>
  <c r="B3214" i="9"/>
  <c r="H3213" i="9"/>
  <c r="G3213" i="9"/>
  <c r="E3213" i="9"/>
  <c r="D3213" i="9"/>
  <c r="C3213" i="9"/>
  <c r="B3213" i="9"/>
  <c r="H3212" i="9"/>
  <c r="G3212" i="9"/>
  <c r="E3212" i="9"/>
  <c r="D3212" i="9"/>
  <c r="C3212" i="9"/>
  <c r="B3212" i="9"/>
  <c r="H3211" i="9"/>
  <c r="G3211" i="9"/>
  <c r="E3211" i="9"/>
  <c r="D3211" i="9"/>
  <c r="C3211" i="9"/>
  <c r="B3211" i="9"/>
  <c r="H3210" i="9"/>
  <c r="G3210" i="9"/>
  <c r="E3210" i="9"/>
  <c r="D3210" i="9"/>
  <c r="C3210" i="9"/>
  <c r="B3210" i="9"/>
  <c r="H3209" i="9"/>
  <c r="G3209" i="9"/>
  <c r="E3209" i="9"/>
  <c r="D3209" i="9"/>
  <c r="C3209" i="9"/>
  <c r="B3209" i="9"/>
  <c r="H3208" i="9"/>
  <c r="G3208" i="9"/>
  <c r="E3208" i="9"/>
  <c r="D3208" i="9"/>
  <c r="C3208" i="9"/>
  <c r="B3208" i="9"/>
  <c r="H3207" i="9"/>
  <c r="G3207" i="9"/>
  <c r="E3207" i="9"/>
  <c r="D3207" i="9"/>
  <c r="C3207" i="9"/>
  <c r="B3207" i="9"/>
  <c r="H3206" i="9"/>
  <c r="G3206" i="9"/>
  <c r="E3206" i="9"/>
  <c r="D3206" i="9"/>
  <c r="C3206" i="9"/>
  <c r="B3206" i="9"/>
  <c r="H3205" i="9"/>
  <c r="G3205" i="9"/>
  <c r="E3205" i="9"/>
  <c r="D3205" i="9"/>
  <c r="C3205" i="9"/>
  <c r="B3205" i="9"/>
  <c r="H3204" i="9"/>
  <c r="G3204" i="9"/>
  <c r="E3204" i="9"/>
  <c r="D3204" i="9"/>
  <c r="C3204" i="9"/>
  <c r="B3204" i="9"/>
  <c r="H3203" i="9"/>
  <c r="G3203" i="9"/>
  <c r="E3203" i="9"/>
  <c r="D3203" i="9"/>
  <c r="C3203" i="9"/>
  <c r="B3203" i="9"/>
  <c r="H3202" i="9"/>
  <c r="G3202" i="9"/>
  <c r="E3202" i="9"/>
  <c r="D3202" i="9"/>
  <c r="C3202" i="9"/>
  <c r="B3202" i="9"/>
  <c r="H3201" i="9"/>
  <c r="G3201" i="9"/>
  <c r="E3201" i="9"/>
  <c r="D3201" i="9"/>
  <c r="C3201" i="9"/>
  <c r="B3201" i="9"/>
  <c r="H3200" i="9"/>
  <c r="G3200" i="9"/>
  <c r="E3200" i="9"/>
  <c r="D3200" i="9"/>
  <c r="C3200" i="9"/>
  <c r="B3200" i="9"/>
  <c r="H3199" i="9"/>
  <c r="G3199" i="9"/>
  <c r="E3199" i="9"/>
  <c r="D3199" i="9"/>
  <c r="C3199" i="9"/>
  <c r="B3199" i="9"/>
  <c r="H3198" i="9"/>
  <c r="G3198" i="9"/>
  <c r="E3198" i="9"/>
  <c r="D3198" i="9"/>
  <c r="C3198" i="9"/>
  <c r="B3198" i="9"/>
  <c r="H3197" i="9"/>
  <c r="G3197" i="9"/>
  <c r="E3197" i="9"/>
  <c r="D3197" i="9"/>
  <c r="C3197" i="9"/>
  <c r="B3197" i="9"/>
  <c r="H3196" i="9"/>
  <c r="G3196" i="9"/>
  <c r="E3196" i="9"/>
  <c r="D3196" i="9"/>
  <c r="C3196" i="9"/>
  <c r="B3196" i="9"/>
  <c r="H3195" i="9"/>
  <c r="G3195" i="9"/>
  <c r="E3195" i="9"/>
  <c r="D3195" i="9"/>
  <c r="C3195" i="9"/>
  <c r="B3195" i="9"/>
  <c r="H3194" i="9"/>
  <c r="G3194" i="9"/>
  <c r="E3194" i="9"/>
  <c r="D3194" i="9"/>
  <c r="C3194" i="9"/>
  <c r="B3194" i="9"/>
  <c r="H3193" i="9"/>
  <c r="G3193" i="9"/>
  <c r="E3193" i="9"/>
  <c r="D3193" i="9"/>
  <c r="C3193" i="9"/>
  <c r="B3193" i="9"/>
  <c r="H3192" i="9"/>
  <c r="G3192" i="9"/>
  <c r="E3192" i="9"/>
  <c r="D3192" i="9"/>
  <c r="C3192" i="9"/>
  <c r="B3192" i="9"/>
  <c r="H3191" i="9"/>
  <c r="G3191" i="9"/>
  <c r="E3191" i="9"/>
  <c r="D3191" i="9"/>
  <c r="C3191" i="9"/>
  <c r="B3191" i="9"/>
  <c r="H3190" i="9"/>
  <c r="G3190" i="9"/>
  <c r="E3190" i="9"/>
  <c r="D3190" i="9"/>
  <c r="C3190" i="9"/>
  <c r="B3190" i="9"/>
  <c r="H3189" i="9"/>
  <c r="G3189" i="9"/>
  <c r="E3189" i="9"/>
  <c r="D3189" i="9"/>
  <c r="C3189" i="9"/>
  <c r="B3189" i="9"/>
  <c r="H3188" i="9"/>
  <c r="G3188" i="9"/>
  <c r="E3188" i="9"/>
  <c r="D3188" i="9"/>
  <c r="C3188" i="9"/>
  <c r="B3188" i="9"/>
  <c r="H3187" i="9"/>
  <c r="G3187" i="9"/>
  <c r="E3187" i="9"/>
  <c r="D3187" i="9"/>
  <c r="C3187" i="9"/>
  <c r="B3187" i="9"/>
  <c r="H3186" i="9"/>
  <c r="G3186" i="9"/>
  <c r="E3186" i="9"/>
  <c r="D3186" i="9"/>
  <c r="C3186" i="9"/>
  <c r="B3186" i="9"/>
  <c r="H3185" i="9"/>
  <c r="G3185" i="9"/>
  <c r="E3185" i="9"/>
  <c r="D3185" i="9"/>
  <c r="C3185" i="9"/>
  <c r="B3185" i="9"/>
  <c r="H3184" i="9"/>
  <c r="G3184" i="9"/>
  <c r="E3184" i="9"/>
  <c r="D3184" i="9"/>
  <c r="C3184" i="9"/>
  <c r="B3184" i="9"/>
  <c r="H3183" i="9"/>
  <c r="G3183" i="9"/>
  <c r="E3183" i="9"/>
  <c r="D3183" i="9"/>
  <c r="C3183" i="9"/>
  <c r="B3183" i="9"/>
  <c r="H3182" i="9"/>
  <c r="G3182" i="9"/>
  <c r="E3182" i="9"/>
  <c r="D3182" i="9"/>
  <c r="C3182" i="9"/>
  <c r="B3182" i="9"/>
  <c r="H3181" i="9"/>
  <c r="G3181" i="9"/>
  <c r="E3181" i="9"/>
  <c r="D3181" i="9"/>
  <c r="C3181" i="9"/>
  <c r="B3181" i="9"/>
  <c r="H3180" i="9"/>
  <c r="G3180" i="9"/>
  <c r="E3180" i="9"/>
  <c r="D3180" i="9"/>
  <c r="C3180" i="9"/>
  <c r="B3180" i="9"/>
  <c r="H3179" i="9"/>
  <c r="G3179" i="9"/>
  <c r="E3179" i="9"/>
  <c r="D3179" i="9"/>
  <c r="C3179" i="9"/>
  <c r="B3179" i="9"/>
  <c r="H3178" i="9"/>
  <c r="G3178" i="9"/>
  <c r="E3178" i="9"/>
  <c r="D3178" i="9"/>
  <c r="C3178" i="9"/>
  <c r="B3178" i="9"/>
  <c r="H3177" i="9"/>
  <c r="G3177" i="9"/>
  <c r="E3177" i="9"/>
  <c r="D3177" i="9"/>
  <c r="C3177" i="9"/>
  <c r="B3177" i="9"/>
  <c r="H3176" i="9"/>
  <c r="G3176" i="9"/>
  <c r="E3176" i="9"/>
  <c r="D3176" i="9"/>
  <c r="C3176" i="9"/>
  <c r="B3176" i="9"/>
  <c r="H3175" i="9"/>
  <c r="G3175" i="9"/>
  <c r="E3175" i="9"/>
  <c r="D3175" i="9"/>
  <c r="C3175" i="9"/>
  <c r="B3175" i="9"/>
  <c r="H3174" i="9"/>
  <c r="G3174" i="9"/>
  <c r="E3174" i="9"/>
  <c r="D3174" i="9"/>
  <c r="C3174" i="9"/>
  <c r="B3174" i="9"/>
  <c r="H3173" i="9"/>
  <c r="G3173" i="9"/>
  <c r="E3173" i="9"/>
  <c r="D3173" i="9"/>
  <c r="C3173" i="9"/>
  <c r="B3173" i="9"/>
  <c r="H3172" i="9"/>
  <c r="G3172" i="9"/>
  <c r="E3172" i="9"/>
  <c r="D3172" i="9"/>
  <c r="C3172" i="9"/>
  <c r="B3172" i="9"/>
  <c r="H3171" i="9"/>
  <c r="G3171" i="9"/>
  <c r="E3171" i="9"/>
  <c r="D3171" i="9"/>
  <c r="C3171" i="9"/>
  <c r="B3171" i="9"/>
  <c r="H3170" i="9"/>
  <c r="G3170" i="9"/>
  <c r="E3170" i="9"/>
  <c r="D3170" i="9"/>
  <c r="C3170" i="9"/>
  <c r="B3170" i="9"/>
  <c r="H3169" i="9"/>
  <c r="G3169" i="9"/>
  <c r="E3169" i="9"/>
  <c r="D3169" i="9"/>
  <c r="C3169" i="9"/>
  <c r="B3169" i="9"/>
  <c r="H3168" i="9"/>
  <c r="G3168" i="9"/>
  <c r="E3168" i="9"/>
  <c r="D3168" i="9"/>
  <c r="C3168" i="9"/>
  <c r="B3168" i="9"/>
  <c r="H3167" i="9"/>
  <c r="G3167" i="9"/>
  <c r="E3167" i="9"/>
  <c r="D3167" i="9"/>
  <c r="C3167" i="9"/>
  <c r="B3167" i="9"/>
  <c r="H3166" i="9"/>
  <c r="G3166" i="9"/>
  <c r="E3166" i="9"/>
  <c r="D3166" i="9"/>
  <c r="C3166" i="9"/>
  <c r="B3166" i="9"/>
  <c r="H3165" i="9"/>
  <c r="G3165" i="9"/>
  <c r="E3165" i="9"/>
  <c r="D3165" i="9"/>
  <c r="C3165" i="9"/>
  <c r="B3165" i="9"/>
  <c r="H3164" i="9"/>
  <c r="G3164" i="9"/>
  <c r="E3164" i="9"/>
  <c r="D3164" i="9"/>
  <c r="C3164" i="9"/>
  <c r="B3164" i="9"/>
  <c r="H3163" i="9"/>
  <c r="G3163" i="9"/>
  <c r="E3163" i="9"/>
  <c r="D3163" i="9"/>
  <c r="C3163" i="9"/>
  <c r="B3163" i="9"/>
  <c r="H3162" i="9"/>
  <c r="G3162" i="9"/>
  <c r="E3162" i="9"/>
  <c r="D3162" i="9"/>
  <c r="C3162" i="9"/>
  <c r="B3162" i="9"/>
  <c r="H3161" i="9"/>
  <c r="G3161" i="9"/>
  <c r="E3161" i="9"/>
  <c r="D3161" i="9"/>
  <c r="C3161" i="9"/>
  <c r="B3161" i="9"/>
  <c r="H3160" i="9"/>
  <c r="G3160" i="9"/>
  <c r="E3160" i="9"/>
  <c r="D3160" i="9"/>
  <c r="C3160" i="9"/>
  <c r="B3160" i="9"/>
  <c r="H3159" i="9"/>
  <c r="G3159" i="9"/>
  <c r="E3159" i="9"/>
  <c r="D3159" i="9"/>
  <c r="C3159" i="9"/>
  <c r="B3159" i="9"/>
  <c r="H3158" i="9"/>
  <c r="G3158" i="9"/>
  <c r="E3158" i="9"/>
  <c r="D3158" i="9"/>
  <c r="C3158" i="9"/>
  <c r="B3158" i="9"/>
  <c r="H3157" i="9"/>
  <c r="G3157" i="9"/>
  <c r="E3157" i="9"/>
  <c r="D3157" i="9"/>
  <c r="C3157" i="9"/>
  <c r="B3157" i="9"/>
  <c r="H3156" i="9"/>
  <c r="G3156" i="9"/>
  <c r="E3156" i="9"/>
  <c r="D3156" i="9"/>
  <c r="C3156" i="9"/>
  <c r="B3156" i="9"/>
  <c r="H3155" i="9"/>
  <c r="G3155" i="9"/>
  <c r="E3155" i="9"/>
  <c r="D3155" i="9"/>
  <c r="C3155" i="9"/>
  <c r="B3155" i="9"/>
  <c r="H3154" i="9"/>
  <c r="G3154" i="9"/>
  <c r="E3154" i="9"/>
  <c r="D3154" i="9"/>
  <c r="C3154" i="9"/>
  <c r="B3154" i="9"/>
  <c r="H3153" i="9"/>
  <c r="G3153" i="9"/>
  <c r="E3153" i="9"/>
  <c r="D3153" i="9"/>
  <c r="C3153" i="9"/>
  <c r="B3153" i="9"/>
  <c r="H3152" i="9"/>
  <c r="G3152" i="9"/>
  <c r="E3152" i="9"/>
  <c r="D3152" i="9"/>
  <c r="C3152" i="9"/>
  <c r="B3152" i="9"/>
  <c r="H3151" i="9"/>
  <c r="G3151" i="9"/>
  <c r="E3151" i="9"/>
  <c r="D3151" i="9"/>
  <c r="C3151" i="9"/>
  <c r="B3151" i="9"/>
  <c r="H3150" i="9"/>
  <c r="G3150" i="9"/>
  <c r="E3150" i="9"/>
  <c r="D3150" i="9"/>
  <c r="C3150" i="9"/>
  <c r="B3150" i="9"/>
  <c r="H3149" i="9"/>
  <c r="G3149" i="9"/>
  <c r="E3149" i="9"/>
  <c r="D3149" i="9"/>
  <c r="C3149" i="9"/>
  <c r="B3149" i="9"/>
  <c r="H3148" i="9"/>
  <c r="G3148" i="9"/>
  <c r="E3148" i="9"/>
  <c r="D3148" i="9"/>
  <c r="C3148" i="9"/>
  <c r="B3148" i="9"/>
  <c r="H3147" i="9"/>
  <c r="G3147" i="9"/>
  <c r="E3147" i="9"/>
  <c r="D3147" i="9"/>
  <c r="C3147" i="9"/>
  <c r="B3147" i="9"/>
  <c r="H3146" i="9"/>
  <c r="G3146" i="9"/>
  <c r="E3146" i="9"/>
  <c r="D3146" i="9"/>
  <c r="C3146" i="9"/>
  <c r="B3146" i="9"/>
  <c r="H3145" i="9"/>
  <c r="G3145" i="9"/>
  <c r="E3145" i="9"/>
  <c r="D3145" i="9"/>
  <c r="C3145" i="9"/>
  <c r="B3145" i="9"/>
  <c r="H3144" i="9"/>
  <c r="G3144" i="9"/>
  <c r="E3144" i="9"/>
  <c r="D3144" i="9"/>
  <c r="C3144" i="9"/>
  <c r="B3144" i="9"/>
  <c r="H3143" i="9"/>
  <c r="G3143" i="9"/>
  <c r="E3143" i="9"/>
  <c r="D3143" i="9"/>
  <c r="C3143" i="9"/>
  <c r="B3143" i="9"/>
  <c r="H3142" i="9"/>
  <c r="G3142" i="9"/>
  <c r="E3142" i="9"/>
  <c r="D3142" i="9"/>
  <c r="C3142" i="9"/>
  <c r="B3142" i="9"/>
  <c r="H3141" i="9"/>
  <c r="G3141" i="9"/>
  <c r="E3141" i="9"/>
  <c r="D3141" i="9"/>
  <c r="C3141" i="9"/>
  <c r="B3141" i="9"/>
  <c r="H3140" i="9"/>
  <c r="G3140" i="9"/>
  <c r="E3140" i="9"/>
  <c r="D3140" i="9"/>
  <c r="C3140" i="9"/>
  <c r="B3140" i="9"/>
  <c r="H3139" i="9"/>
  <c r="G3139" i="9"/>
  <c r="E3139" i="9"/>
  <c r="D3139" i="9"/>
  <c r="C3139" i="9"/>
  <c r="B3139" i="9"/>
  <c r="H3138" i="9"/>
  <c r="G3138" i="9"/>
  <c r="E3138" i="9"/>
  <c r="D3138" i="9"/>
  <c r="C3138" i="9"/>
  <c r="B3138" i="9"/>
  <c r="H3137" i="9"/>
  <c r="G3137" i="9"/>
  <c r="E3137" i="9"/>
  <c r="D3137" i="9"/>
  <c r="C3137" i="9"/>
  <c r="B3137" i="9"/>
  <c r="H3136" i="9"/>
  <c r="G3136" i="9"/>
  <c r="E3136" i="9"/>
  <c r="D3136" i="9"/>
  <c r="C3136" i="9"/>
  <c r="B3136" i="9"/>
  <c r="H3135" i="9"/>
  <c r="G3135" i="9"/>
  <c r="E3135" i="9"/>
  <c r="D3135" i="9"/>
  <c r="C3135" i="9"/>
  <c r="B3135" i="9"/>
  <c r="H3134" i="9"/>
  <c r="G3134" i="9"/>
  <c r="E3134" i="9"/>
  <c r="D3134" i="9"/>
  <c r="C3134" i="9"/>
  <c r="B3134" i="9"/>
  <c r="H3133" i="9"/>
  <c r="G3133" i="9"/>
  <c r="E3133" i="9"/>
  <c r="D3133" i="9"/>
  <c r="C3133" i="9"/>
  <c r="B3133" i="9"/>
  <c r="H3132" i="9"/>
  <c r="G3132" i="9"/>
  <c r="E3132" i="9"/>
  <c r="D3132" i="9"/>
  <c r="C3132" i="9"/>
  <c r="B3132" i="9"/>
  <c r="H3131" i="9"/>
  <c r="G3131" i="9"/>
  <c r="E3131" i="9"/>
  <c r="D3131" i="9"/>
  <c r="C3131" i="9"/>
  <c r="B3131" i="9"/>
  <c r="H3130" i="9"/>
  <c r="G3130" i="9"/>
  <c r="E3130" i="9"/>
  <c r="D3130" i="9"/>
  <c r="C3130" i="9"/>
  <c r="B3130" i="9"/>
  <c r="H3129" i="9"/>
  <c r="G3129" i="9"/>
  <c r="E3129" i="9"/>
  <c r="D3129" i="9"/>
  <c r="C3129" i="9"/>
  <c r="B3129" i="9"/>
  <c r="H3128" i="9"/>
  <c r="G3128" i="9"/>
  <c r="E3128" i="9"/>
  <c r="D3128" i="9"/>
  <c r="C3128" i="9"/>
  <c r="B3128" i="9"/>
  <c r="H3127" i="9"/>
  <c r="G3127" i="9"/>
  <c r="E3127" i="9"/>
  <c r="D3127" i="9"/>
  <c r="C3127" i="9"/>
  <c r="B3127" i="9"/>
  <c r="H3126" i="9"/>
  <c r="G3126" i="9"/>
  <c r="E3126" i="9"/>
  <c r="D3126" i="9"/>
  <c r="C3126" i="9"/>
  <c r="B3126" i="9"/>
  <c r="H3125" i="9"/>
  <c r="G3125" i="9"/>
  <c r="E3125" i="9"/>
  <c r="D3125" i="9"/>
  <c r="C3125" i="9"/>
  <c r="B3125" i="9"/>
  <c r="H3124" i="9"/>
  <c r="G3124" i="9"/>
  <c r="E3124" i="9"/>
  <c r="D3124" i="9"/>
  <c r="C3124" i="9"/>
  <c r="B3124" i="9"/>
  <c r="H3123" i="9"/>
  <c r="G3123" i="9"/>
  <c r="E3123" i="9"/>
  <c r="D3123" i="9"/>
  <c r="C3123" i="9"/>
  <c r="B3123" i="9"/>
  <c r="H3122" i="9"/>
  <c r="G3122" i="9"/>
  <c r="E3122" i="9"/>
  <c r="D3122" i="9"/>
  <c r="C3122" i="9"/>
  <c r="B3122" i="9"/>
  <c r="H3121" i="9"/>
  <c r="G3121" i="9"/>
  <c r="E3121" i="9"/>
  <c r="D3121" i="9"/>
  <c r="C3121" i="9"/>
  <c r="B3121" i="9"/>
  <c r="H3120" i="9"/>
  <c r="G3120" i="9"/>
  <c r="E3120" i="9"/>
  <c r="D3120" i="9"/>
  <c r="C3120" i="9"/>
  <c r="B3120" i="9"/>
  <c r="H3119" i="9"/>
  <c r="G3119" i="9"/>
  <c r="E3119" i="9"/>
  <c r="D3119" i="9"/>
  <c r="C3119" i="9"/>
  <c r="B3119" i="9"/>
  <c r="H3118" i="9"/>
  <c r="G3118" i="9"/>
  <c r="E3118" i="9"/>
  <c r="D3118" i="9"/>
  <c r="C3118" i="9"/>
  <c r="B3118" i="9"/>
  <c r="H3117" i="9"/>
  <c r="G3117" i="9"/>
  <c r="E3117" i="9"/>
  <c r="D3117" i="9"/>
  <c r="C3117" i="9"/>
  <c r="B3117" i="9"/>
  <c r="H3116" i="9"/>
  <c r="G3116" i="9"/>
  <c r="E3116" i="9"/>
  <c r="D3116" i="9"/>
  <c r="C3116" i="9"/>
  <c r="B3116" i="9"/>
  <c r="H3115" i="9"/>
  <c r="G3115" i="9"/>
  <c r="E3115" i="9"/>
  <c r="D3115" i="9"/>
  <c r="C3115" i="9"/>
  <c r="B3115" i="9"/>
  <c r="H3114" i="9"/>
  <c r="G3114" i="9"/>
  <c r="E3114" i="9"/>
  <c r="D3114" i="9"/>
  <c r="C3114" i="9"/>
  <c r="B3114" i="9"/>
  <c r="H3113" i="9"/>
  <c r="G3113" i="9"/>
  <c r="E3113" i="9"/>
  <c r="D3113" i="9"/>
  <c r="C3113" i="9"/>
  <c r="B3113" i="9"/>
  <c r="H3112" i="9"/>
  <c r="G3112" i="9"/>
  <c r="E3112" i="9"/>
  <c r="D3112" i="9"/>
  <c r="C3112" i="9"/>
  <c r="B3112" i="9"/>
  <c r="H3111" i="9"/>
  <c r="G3111" i="9"/>
  <c r="E3111" i="9"/>
  <c r="D3111" i="9"/>
  <c r="C3111" i="9"/>
  <c r="B3111" i="9"/>
  <c r="H3110" i="9"/>
  <c r="G3110" i="9"/>
  <c r="E3110" i="9"/>
  <c r="D3110" i="9"/>
  <c r="C3110" i="9"/>
  <c r="B3110" i="9"/>
  <c r="H3109" i="9"/>
  <c r="G3109" i="9"/>
  <c r="E3109" i="9"/>
  <c r="D3109" i="9"/>
  <c r="C3109" i="9"/>
  <c r="B3109" i="9"/>
  <c r="H3108" i="9"/>
  <c r="G3108" i="9"/>
  <c r="E3108" i="9"/>
  <c r="D3108" i="9"/>
  <c r="C3108" i="9"/>
  <c r="B3108" i="9"/>
  <c r="H3107" i="9"/>
  <c r="G3107" i="9"/>
  <c r="E3107" i="9"/>
  <c r="D3107" i="9"/>
  <c r="C3107" i="9"/>
  <c r="B3107" i="9"/>
  <c r="H3106" i="9"/>
  <c r="G3106" i="9"/>
  <c r="E3106" i="9"/>
  <c r="D3106" i="9"/>
  <c r="C3106" i="9"/>
  <c r="B3106" i="9"/>
  <c r="H3105" i="9"/>
  <c r="G3105" i="9"/>
  <c r="E3105" i="9"/>
  <c r="D3105" i="9"/>
  <c r="C3105" i="9"/>
  <c r="B3105" i="9"/>
  <c r="H3104" i="9"/>
  <c r="G3104" i="9"/>
  <c r="E3104" i="9"/>
  <c r="D3104" i="9"/>
  <c r="C3104" i="9"/>
  <c r="B3104" i="9"/>
  <c r="H3103" i="9"/>
  <c r="G3103" i="9"/>
  <c r="E3103" i="9"/>
  <c r="D3103" i="9"/>
  <c r="C3103" i="9"/>
  <c r="B3103" i="9"/>
  <c r="H3102" i="9"/>
  <c r="G3102" i="9"/>
  <c r="E3102" i="9"/>
  <c r="D3102" i="9"/>
  <c r="C3102" i="9"/>
  <c r="B3102" i="9"/>
  <c r="H3101" i="9"/>
  <c r="G3101" i="9"/>
  <c r="E3101" i="9"/>
  <c r="D3101" i="9"/>
  <c r="C3101" i="9"/>
  <c r="B3101" i="9"/>
  <c r="H3100" i="9"/>
  <c r="G3100" i="9"/>
  <c r="E3100" i="9"/>
  <c r="D3100" i="9"/>
  <c r="C3100" i="9"/>
  <c r="B3100" i="9"/>
  <c r="H3099" i="9"/>
  <c r="G3099" i="9"/>
  <c r="E3099" i="9"/>
  <c r="D3099" i="9"/>
  <c r="C3099" i="9"/>
  <c r="B3099" i="9"/>
  <c r="H3098" i="9"/>
  <c r="G3098" i="9"/>
  <c r="E3098" i="9"/>
  <c r="D3098" i="9"/>
  <c r="C3098" i="9"/>
  <c r="B3098" i="9"/>
  <c r="H3097" i="9"/>
  <c r="G3097" i="9"/>
  <c r="E3097" i="9"/>
  <c r="D3097" i="9"/>
  <c r="C3097" i="9"/>
  <c r="B3097" i="9"/>
  <c r="H3096" i="9"/>
  <c r="G3096" i="9"/>
  <c r="E3096" i="9"/>
  <c r="D3096" i="9"/>
  <c r="C3096" i="9"/>
  <c r="B3096" i="9"/>
  <c r="H3095" i="9"/>
  <c r="G3095" i="9"/>
  <c r="E3095" i="9"/>
  <c r="D3095" i="9"/>
  <c r="C3095" i="9"/>
  <c r="B3095" i="9"/>
  <c r="H3094" i="9"/>
  <c r="G3094" i="9"/>
  <c r="E3094" i="9"/>
  <c r="D3094" i="9"/>
  <c r="C3094" i="9"/>
  <c r="B3094" i="9"/>
  <c r="H3093" i="9"/>
  <c r="G3093" i="9"/>
  <c r="E3093" i="9"/>
  <c r="D3093" i="9"/>
  <c r="C3093" i="9"/>
  <c r="B3093" i="9"/>
  <c r="H3092" i="9"/>
  <c r="G3092" i="9"/>
  <c r="E3092" i="9"/>
  <c r="D3092" i="9"/>
  <c r="C3092" i="9"/>
  <c r="B3092" i="9"/>
  <c r="H3091" i="9"/>
  <c r="G3091" i="9"/>
  <c r="E3091" i="9"/>
  <c r="D3091" i="9"/>
  <c r="C3091" i="9"/>
  <c r="B3091" i="9"/>
  <c r="H3090" i="9"/>
  <c r="G3090" i="9"/>
  <c r="E3090" i="9"/>
  <c r="D3090" i="9"/>
  <c r="C3090" i="9"/>
  <c r="B3090" i="9"/>
  <c r="H3089" i="9"/>
  <c r="G3089" i="9"/>
  <c r="E3089" i="9"/>
  <c r="D3089" i="9"/>
  <c r="C3089" i="9"/>
  <c r="B3089" i="9"/>
  <c r="H3088" i="9"/>
  <c r="G3088" i="9"/>
  <c r="E3088" i="9"/>
  <c r="D3088" i="9"/>
  <c r="C3088" i="9"/>
  <c r="B3088" i="9"/>
  <c r="H3087" i="9"/>
  <c r="G3087" i="9"/>
  <c r="E3087" i="9"/>
  <c r="D3087" i="9"/>
  <c r="C3087" i="9"/>
  <c r="B3087" i="9"/>
  <c r="H3086" i="9"/>
  <c r="G3086" i="9"/>
  <c r="E3086" i="9"/>
  <c r="D3086" i="9"/>
  <c r="C3086" i="9"/>
  <c r="B3086" i="9"/>
  <c r="H3085" i="9"/>
  <c r="G3085" i="9"/>
  <c r="E3085" i="9"/>
  <c r="D3085" i="9"/>
  <c r="C3085" i="9"/>
  <c r="B3085" i="9"/>
  <c r="H3084" i="9"/>
  <c r="G3084" i="9"/>
  <c r="E3084" i="9"/>
  <c r="D3084" i="9"/>
  <c r="C3084" i="9"/>
  <c r="B3084" i="9"/>
  <c r="H3083" i="9"/>
  <c r="G3083" i="9"/>
  <c r="E3083" i="9"/>
  <c r="D3083" i="9"/>
  <c r="C3083" i="9"/>
  <c r="B3083" i="9"/>
  <c r="H3082" i="9"/>
  <c r="G3082" i="9"/>
  <c r="E3082" i="9"/>
  <c r="D3082" i="9"/>
  <c r="C3082" i="9"/>
  <c r="B3082" i="9"/>
  <c r="H3081" i="9"/>
  <c r="G3081" i="9"/>
  <c r="E3081" i="9"/>
  <c r="D3081" i="9"/>
  <c r="C3081" i="9"/>
  <c r="B3081" i="9"/>
  <c r="H3080" i="9"/>
  <c r="G3080" i="9"/>
  <c r="E3080" i="9"/>
  <c r="D3080" i="9"/>
  <c r="C3080" i="9"/>
  <c r="B3080" i="9"/>
  <c r="H3079" i="9"/>
  <c r="G3079" i="9"/>
  <c r="E3079" i="9"/>
  <c r="D3079" i="9"/>
  <c r="C3079" i="9"/>
  <c r="B3079" i="9"/>
  <c r="H3078" i="9"/>
  <c r="G3078" i="9"/>
  <c r="E3078" i="9"/>
  <c r="D3078" i="9"/>
  <c r="C3078" i="9"/>
  <c r="B3078" i="9"/>
  <c r="H3077" i="9"/>
  <c r="G3077" i="9"/>
  <c r="E3077" i="9"/>
  <c r="D3077" i="9"/>
  <c r="C3077" i="9"/>
  <c r="B3077" i="9"/>
  <c r="H3076" i="9"/>
  <c r="G3076" i="9"/>
  <c r="E3076" i="9"/>
  <c r="D3076" i="9"/>
  <c r="C3076" i="9"/>
  <c r="B3076" i="9"/>
  <c r="H3075" i="9"/>
  <c r="G3075" i="9"/>
  <c r="E3075" i="9"/>
  <c r="D3075" i="9"/>
  <c r="C3075" i="9"/>
  <c r="B3075" i="9"/>
  <c r="H3074" i="9"/>
  <c r="G3074" i="9"/>
  <c r="E3074" i="9"/>
  <c r="D3074" i="9"/>
  <c r="C3074" i="9"/>
  <c r="B3074" i="9"/>
  <c r="H3073" i="9"/>
  <c r="G3073" i="9"/>
  <c r="E3073" i="9"/>
  <c r="D3073" i="9"/>
  <c r="C3073" i="9"/>
  <c r="B3073" i="9"/>
  <c r="H3072" i="9"/>
  <c r="G3072" i="9"/>
  <c r="E3072" i="9"/>
  <c r="D3072" i="9"/>
  <c r="C3072" i="9"/>
  <c r="B3072" i="9"/>
  <c r="H3071" i="9"/>
  <c r="G3071" i="9"/>
  <c r="E3071" i="9"/>
  <c r="D3071" i="9"/>
  <c r="C3071" i="9"/>
  <c r="B3071" i="9"/>
  <c r="H3070" i="9"/>
  <c r="G3070" i="9"/>
  <c r="E3070" i="9"/>
  <c r="D3070" i="9"/>
  <c r="C3070" i="9"/>
  <c r="B3070" i="9"/>
  <c r="H3069" i="9"/>
  <c r="G3069" i="9"/>
  <c r="E3069" i="9"/>
  <c r="D3069" i="9"/>
  <c r="C3069" i="9"/>
  <c r="B3069" i="9"/>
  <c r="H3068" i="9"/>
  <c r="G3068" i="9"/>
  <c r="E3068" i="9"/>
  <c r="D3068" i="9"/>
  <c r="C3068" i="9"/>
  <c r="B3068" i="9"/>
  <c r="H3067" i="9"/>
  <c r="G3067" i="9"/>
  <c r="E3067" i="9"/>
  <c r="D3067" i="9"/>
  <c r="C3067" i="9"/>
  <c r="B3067" i="9"/>
  <c r="H3066" i="9"/>
  <c r="G3066" i="9"/>
  <c r="E3066" i="9"/>
  <c r="D3066" i="9"/>
  <c r="C3066" i="9"/>
  <c r="B3066" i="9"/>
  <c r="H3065" i="9"/>
  <c r="G3065" i="9"/>
  <c r="E3065" i="9"/>
  <c r="D3065" i="9"/>
  <c r="C3065" i="9"/>
  <c r="B3065" i="9"/>
  <c r="H3064" i="9"/>
  <c r="G3064" i="9"/>
  <c r="E3064" i="9"/>
  <c r="D3064" i="9"/>
  <c r="C3064" i="9"/>
  <c r="B3064" i="9"/>
  <c r="H3063" i="9"/>
  <c r="G3063" i="9"/>
  <c r="E3063" i="9"/>
  <c r="D3063" i="9"/>
  <c r="C3063" i="9"/>
  <c r="B3063" i="9"/>
  <c r="H3062" i="9"/>
  <c r="G3062" i="9"/>
  <c r="E3062" i="9"/>
  <c r="D3062" i="9"/>
  <c r="C3062" i="9"/>
  <c r="B3062" i="9"/>
  <c r="H3061" i="9"/>
  <c r="G3061" i="9"/>
  <c r="E3061" i="9"/>
  <c r="D3061" i="9"/>
  <c r="C3061" i="9"/>
  <c r="B3061" i="9"/>
  <c r="H3060" i="9"/>
  <c r="G3060" i="9"/>
  <c r="E3060" i="9"/>
  <c r="D3060" i="9"/>
  <c r="C3060" i="9"/>
  <c r="B3060" i="9"/>
  <c r="H3059" i="9"/>
  <c r="G3059" i="9"/>
  <c r="E3059" i="9"/>
  <c r="D3059" i="9"/>
  <c r="C3059" i="9"/>
  <c r="B3059" i="9"/>
  <c r="H3058" i="9"/>
  <c r="G3058" i="9"/>
  <c r="E3058" i="9"/>
  <c r="D3058" i="9"/>
  <c r="C3058" i="9"/>
  <c r="B3058" i="9"/>
  <c r="H3057" i="9"/>
  <c r="G3057" i="9"/>
  <c r="E3057" i="9"/>
  <c r="D3057" i="9"/>
  <c r="C3057" i="9"/>
  <c r="B3057" i="9"/>
  <c r="H3056" i="9"/>
  <c r="G3056" i="9"/>
  <c r="E3056" i="9"/>
  <c r="D3056" i="9"/>
  <c r="C3056" i="9"/>
  <c r="B3056" i="9"/>
  <c r="H3055" i="9"/>
  <c r="G3055" i="9"/>
  <c r="E3055" i="9"/>
  <c r="D3055" i="9"/>
  <c r="C3055" i="9"/>
  <c r="B3055" i="9"/>
  <c r="H3054" i="9"/>
  <c r="G3054" i="9"/>
  <c r="E3054" i="9"/>
  <c r="D3054" i="9"/>
  <c r="C3054" i="9"/>
  <c r="B3054" i="9"/>
  <c r="H3053" i="9"/>
  <c r="G3053" i="9"/>
  <c r="E3053" i="9"/>
  <c r="D3053" i="9"/>
  <c r="C3053" i="9"/>
  <c r="B3053" i="9"/>
  <c r="H3052" i="9"/>
  <c r="G3052" i="9"/>
  <c r="E3052" i="9"/>
  <c r="D3052" i="9"/>
  <c r="C3052" i="9"/>
  <c r="B3052" i="9"/>
  <c r="H3051" i="9"/>
  <c r="G3051" i="9"/>
  <c r="E3051" i="9"/>
  <c r="D3051" i="9"/>
  <c r="C3051" i="9"/>
  <c r="B3051" i="9"/>
  <c r="H3050" i="9"/>
  <c r="G3050" i="9"/>
  <c r="E3050" i="9"/>
  <c r="D3050" i="9"/>
  <c r="C3050" i="9"/>
  <c r="B3050" i="9"/>
  <c r="H3049" i="9"/>
  <c r="G3049" i="9"/>
  <c r="E3049" i="9"/>
  <c r="D3049" i="9"/>
  <c r="C3049" i="9"/>
  <c r="B3049" i="9"/>
  <c r="H3048" i="9"/>
  <c r="G3048" i="9"/>
  <c r="E3048" i="9"/>
  <c r="D3048" i="9"/>
  <c r="C3048" i="9"/>
  <c r="B3048" i="9"/>
  <c r="H3047" i="9"/>
  <c r="G3047" i="9"/>
  <c r="E3047" i="9"/>
  <c r="D3047" i="9"/>
  <c r="C3047" i="9"/>
  <c r="B3047" i="9"/>
  <c r="H3046" i="9"/>
  <c r="G3046" i="9"/>
  <c r="E3046" i="9"/>
  <c r="D3046" i="9"/>
  <c r="C3046" i="9"/>
  <c r="B3046" i="9"/>
  <c r="H3045" i="9"/>
  <c r="G3045" i="9"/>
  <c r="E3045" i="9"/>
  <c r="D3045" i="9"/>
  <c r="C3045" i="9"/>
  <c r="B3045" i="9"/>
  <c r="H3044" i="9"/>
  <c r="G3044" i="9"/>
  <c r="E3044" i="9"/>
  <c r="D3044" i="9"/>
  <c r="C3044" i="9"/>
  <c r="B3044" i="9"/>
  <c r="H3043" i="9"/>
  <c r="G3043" i="9"/>
  <c r="E3043" i="9"/>
  <c r="D3043" i="9"/>
  <c r="C3043" i="9"/>
  <c r="B3043" i="9"/>
  <c r="H3042" i="9"/>
  <c r="G3042" i="9"/>
  <c r="E3042" i="9"/>
  <c r="D3042" i="9"/>
  <c r="C3042" i="9"/>
  <c r="B3042" i="9"/>
  <c r="H3041" i="9"/>
  <c r="G3041" i="9"/>
  <c r="E3041" i="9"/>
  <c r="D3041" i="9"/>
  <c r="C3041" i="9"/>
  <c r="B3041" i="9"/>
  <c r="H3040" i="9"/>
  <c r="G3040" i="9"/>
  <c r="E3040" i="9"/>
  <c r="D3040" i="9"/>
  <c r="C3040" i="9"/>
  <c r="B3040" i="9"/>
  <c r="H3039" i="9"/>
  <c r="G3039" i="9"/>
  <c r="E3039" i="9"/>
  <c r="D3039" i="9"/>
  <c r="C3039" i="9"/>
  <c r="B3039" i="9"/>
  <c r="H3038" i="9"/>
  <c r="G3038" i="9"/>
  <c r="E3038" i="9"/>
  <c r="D3038" i="9"/>
  <c r="C3038" i="9"/>
  <c r="B3038" i="9"/>
  <c r="H3037" i="9"/>
  <c r="G3037" i="9"/>
  <c r="E3037" i="9"/>
  <c r="D3037" i="9"/>
  <c r="C3037" i="9"/>
  <c r="B3037" i="9"/>
  <c r="H3036" i="9"/>
  <c r="G3036" i="9"/>
  <c r="E3036" i="9"/>
  <c r="D3036" i="9"/>
  <c r="C3036" i="9"/>
  <c r="B3036" i="9"/>
  <c r="H3035" i="9"/>
  <c r="G3035" i="9"/>
  <c r="E3035" i="9"/>
  <c r="D3035" i="9"/>
  <c r="C3035" i="9"/>
  <c r="B3035" i="9"/>
  <c r="H3034" i="9"/>
  <c r="G3034" i="9"/>
  <c r="E3034" i="9"/>
  <c r="D3034" i="9"/>
  <c r="C3034" i="9"/>
  <c r="B3034" i="9"/>
  <c r="H3033" i="9"/>
  <c r="G3033" i="9"/>
  <c r="E3033" i="9"/>
  <c r="D3033" i="9"/>
  <c r="C3033" i="9"/>
  <c r="B3033" i="9"/>
  <c r="H3032" i="9"/>
  <c r="G3032" i="9"/>
  <c r="E3032" i="9"/>
  <c r="D3032" i="9"/>
  <c r="C3032" i="9"/>
  <c r="B3032" i="9"/>
  <c r="H3031" i="9"/>
  <c r="G3031" i="9"/>
  <c r="E3031" i="9"/>
  <c r="D3031" i="9"/>
  <c r="C3031" i="9"/>
  <c r="B3031" i="9"/>
  <c r="H3030" i="9"/>
  <c r="G3030" i="9"/>
  <c r="E3030" i="9"/>
  <c r="D3030" i="9"/>
  <c r="C3030" i="9"/>
  <c r="B3030" i="9"/>
  <c r="H3029" i="9"/>
  <c r="G3029" i="9"/>
  <c r="E3029" i="9"/>
  <c r="D3029" i="9"/>
  <c r="C3029" i="9"/>
  <c r="B3029" i="9"/>
  <c r="H3028" i="9"/>
  <c r="G3028" i="9"/>
  <c r="E3028" i="9"/>
  <c r="D3028" i="9"/>
  <c r="C3028" i="9"/>
  <c r="B3028" i="9"/>
  <c r="H3027" i="9"/>
  <c r="G3027" i="9"/>
  <c r="E3027" i="9"/>
  <c r="D3027" i="9"/>
  <c r="C3027" i="9"/>
  <c r="B3027" i="9"/>
  <c r="H3026" i="9"/>
  <c r="G3026" i="9"/>
  <c r="E3026" i="9"/>
  <c r="D3026" i="9"/>
  <c r="C3026" i="9"/>
  <c r="B3026" i="9"/>
  <c r="H3025" i="9"/>
  <c r="G3025" i="9"/>
  <c r="E3025" i="9"/>
  <c r="D3025" i="9"/>
  <c r="C3025" i="9"/>
  <c r="B3025" i="9"/>
  <c r="H3024" i="9"/>
  <c r="G3024" i="9"/>
  <c r="E3024" i="9"/>
  <c r="D3024" i="9"/>
  <c r="C3024" i="9"/>
  <c r="B3024" i="9"/>
  <c r="H3023" i="9"/>
  <c r="G3023" i="9"/>
  <c r="E3023" i="9"/>
  <c r="D3023" i="9"/>
  <c r="C3023" i="9"/>
  <c r="B3023" i="9"/>
  <c r="H3022" i="9"/>
  <c r="G3022" i="9"/>
  <c r="E3022" i="9"/>
  <c r="D3022" i="9"/>
  <c r="C3022" i="9"/>
  <c r="B3022" i="9"/>
  <c r="H3021" i="9"/>
  <c r="G3021" i="9"/>
  <c r="E3021" i="9"/>
  <c r="D3021" i="9"/>
  <c r="C3021" i="9"/>
  <c r="B3021" i="9"/>
  <c r="H3020" i="9"/>
  <c r="G3020" i="9"/>
  <c r="E3020" i="9"/>
  <c r="D3020" i="9"/>
  <c r="C3020" i="9"/>
  <c r="B3020" i="9"/>
  <c r="H3019" i="9"/>
  <c r="G3019" i="9"/>
  <c r="E3019" i="9"/>
  <c r="D3019" i="9"/>
  <c r="C3019" i="9"/>
  <c r="B3019" i="9"/>
  <c r="H3018" i="9"/>
  <c r="G3018" i="9"/>
  <c r="E3018" i="9"/>
  <c r="D3018" i="9"/>
  <c r="C3018" i="9"/>
  <c r="B3018" i="9"/>
  <c r="H3017" i="9"/>
  <c r="G3017" i="9"/>
  <c r="E3017" i="9"/>
  <c r="D3017" i="9"/>
  <c r="C3017" i="9"/>
  <c r="B3017" i="9"/>
  <c r="H3016" i="9"/>
  <c r="G3016" i="9"/>
  <c r="E3016" i="9"/>
  <c r="D3016" i="9"/>
  <c r="C3016" i="9"/>
  <c r="B3016" i="9"/>
  <c r="H3015" i="9"/>
  <c r="G3015" i="9"/>
  <c r="E3015" i="9"/>
  <c r="D3015" i="9"/>
  <c r="C3015" i="9"/>
  <c r="B3015" i="9"/>
  <c r="H3014" i="9"/>
  <c r="G3014" i="9"/>
  <c r="E3014" i="9"/>
  <c r="D3014" i="9"/>
  <c r="C3014" i="9"/>
  <c r="B3014" i="9"/>
  <c r="H3013" i="9"/>
  <c r="G3013" i="9"/>
  <c r="E3013" i="9"/>
  <c r="D3013" i="9"/>
  <c r="C3013" i="9"/>
  <c r="B3013" i="9"/>
  <c r="H3012" i="9"/>
  <c r="G3012" i="9"/>
  <c r="E3012" i="9"/>
  <c r="D3012" i="9"/>
  <c r="C3012" i="9"/>
  <c r="B3012" i="9"/>
  <c r="H3011" i="9"/>
  <c r="G3011" i="9"/>
  <c r="E3011" i="9"/>
  <c r="D3011" i="9"/>
  <c r="C3011" i="9"/>
  <c r="B3011" i="9"/>
  <c r="H3010" i="9"/>
  <c r="G3010" i="9"/>
  <c r="E3010" i="9"/>
  <c r="D3010" i="9"/>
  <c r="C3010" i="9"/>
  <c r="B3010" i="9"/>
  <c r="H3009" i="9"/>
  <c r="G3009" i="9"/>
  <c r="E3009" i="9"/>
  <c r="D3009" i="9"/>
  <c r="C3009" i="9"/>
  <c r="B3009" i="9"/>
  <c r="H3008" i="9"/>
  <c r="G3008" i="9"/>
  <c r="E3008" i="9"/>
  <c r="D3008" i="9"/>
  <c r="C3008" i="9"/>
  <c r="B3008" i="9"/>
  <c r="H3007" i="9"/>
  <c r="G3007" i="9"/>
  <c r="E3007" i="9"/>
  <c r="D3007" i="9"/>
  <c r="C3007" i="9"/>
  <c r="B3007" i="9"/>
  <c r="H3006" i="9"/>
  <c r="G3006" i="9"/>
  <c r="E3006" i="9"/>
  <c r="D3006" i="9"/>
  <c r="C3006" i="9"/>
  <c r="B3006" i="9"/>
  <c r="H3005" i="9"/>
  <c r="G3005" i="9"/>
  <c r="E3005" i="9"/>
  <c r="D3005" i="9"/>
  <c r="C3005" i="9"/>
  <c r="B3005" i="9"/>
  <c r="H3004" i="9"/>
  <c r="G3004" i="9"/>
  <c r="E3004" i="9"/>
  <c r="D3004" i="9"/>
  <c r="C3004" i="9"/>
  <c r="B3004" i="9"/>
  <c r="H3003" i="9"/>
  <c r="G3003" i="9"/>
  <c r="E3003" i="9"/>
  <c r="D3003" i="9"/>
  <c r="C3003" i="9"/>
  <c r="B3003" i="9"/>
  <c r="H3002" i="9"/>
  <c r="G3002" i="9"/>
  <c r="E3002" i="9"/>
  <c r="D3002" i="9"/>
  <c r="C3002" i="9"/>
  <c r="B3002" i="9"/>
  <c r="H3001" i="9"/>
  <c r="G3001" i="9"/>
  <c r="E3001" i="9"/>
  <c r="D3001" i="9"/>
  <c r="C3001" i="9"/>
  <c r="B3001" i="9"/>
  <c r="H3000" i="9"/>
  <c r="G3000" i="9"/>
  <c r="E3000" i="9"/>
  <c r="D3000" i="9"/>
  <c r="C3000" i="9"/>
  <c r="B3000" i="9"/>
  <c r="H2999" i="9"/>
  <c r="G2999" i="9"/>
  <c r="E2999" i="9"/>
  <c r="D2999" i="9"/>
  <c r="C2999" i="9"/>
  <c r="B2999" i="9"/>
  <c r="H2998" i="9"/>
  <c r="G2998" i="9"/>
  <c r="E2998" i="9"/>
  <c r="D2998" i="9"/>
  <c r="C2998" i="9"/>
  <c r="B2998" i="9"/>
  <c r="H2997" i="9"/>
  <c r="G2997" i="9"/>
  <c r="E2997" i="9"/>
  <c r="D2997" i="9"/>
  <c r="C2997" i="9"/>
  <c r="B2997" i="9"/>
  <c r="H2996" i="9"/>
  <c r="G2996" i="9"/>
  <c r="E2996" i="9"/>
  <c r="D2996" i="9"/>
  <c r="C2996" i="9"/>
  <c r="B2996" i="9"/>
  <c r="H2995" i="9"/>
  <c r="G2995" i="9"/>
  <c r="E2995" i="9"/>
  <c r="D2995" i="9"/>
  <c r="C2995" i="9"/>
  <c r="B2995" i="9"/>
  <c r="H2994" i="9"/>
  <c r="G2994" i="9"/>
  <c r="E2994" i="9"/>
  <c r="D2994" i="9"/>
  <c r="C2994" i="9"/>
  <c r="B2994" i="9"/>
  <c r="H2993" i="9"/>
  <c r="G2993" i="9"/>
  <c r="E2993" i="9"/>
  <c r="D2993" i="9"/>
  <c r="C2993" i="9"/>
  <c r="B2993" i="9"/>
  <c r="H2992" i="9"/>
  <c r="G2992" i="9"/>
  <c r="E2992" i="9"/>
  <c r="D2992" i="9"/>
  <c r="C2992" i="9"/>
  <c r="B2992" i="9"/>
  <c r="H2991" i="9"/>
  <c r="G2991" i="9"/>
  <c r="E2991" i="9"/>
  <c r="D2991" i="9"/>
  <c r="C2991" i="9"/>
  <c r="B2991" i="9"/>
  <c r="H2990" i="9"/>
  <c r="G2990" i="9"/>
  <c r="E2990" i="9"/>
  <c r="D2990" i="9"/>
  <c r="C2990" i="9"/>
  <c r="B2990" i="9"/>
  <c r="H2989" i="9"/>
  <c r="G2989" i="9"/>
  <c r="E2989" i="9"/>
  <c r="D2989" i="9"/>
  <c r="C2989" i="9"/>
  <c r="B2989" i="9"/>
  <c r="H2988" i="9"/>
  <c r="G2988" i="9"/>
  <c r="E2988" i="9"/>
  <c r="D2988" i="9"/>
  <c r="C2988" i="9"/>
  <c r="B2988" i="9"/>
  <c r="H2987" i="9"/>
  <c r="G2987" i="9"/>
  <c r="E2987" i="9"/>
  <c r="D2987" i="9"/>
  <c r="C2987" i="9"/>
  <c r="B2987" i="9"/>
  <c r="H2986" i="9"/>
  <c r="G2986" i="9"/>
  <c r="E2986" i="9"/>
  <c r="D2986" i="9"/>
  <c r="C2986" i="9"/>
  <c r="B2986" i="9"/>
  <c r="H2985" i="9"/>
  <c r="G2985" i="9"/>
  <c r="E2985" i="9"/>
  <c r="D2985" i="9"/>
  <c r="C2985" i="9"/>
  <c r="B2985" i="9"/>
  <c r="H2984" i="9"/>
  <c r="G2984" i="9"/>
  <c r="E2984" i="9"/>
  <c r="D2984" i="9"/>
  <c r="C2984" i="9"/>
  <c r="B2984" i="9"/>
  <c r="H2983" i="9"/>
  <c r="G2983" i="9"/>
  <c r="E2983" i="9"/>
  <c r="D2983" i="9"/>
  <c r="C2983" i="9"/>
  <c r="B2983" i="9"/>
  <c r="H2982" i="9"/>
  <c r="G2982" i="9"/>
  <c r="E2982" i="9"/>
  <c r="D2982" i="9"/>
  <c r="C2982" i="9"/>
  <c r="B2982" i="9"/>
  <c r="H2981" i="9"/>
  <c r="G2981" i="9"/>
  <c r="E2981" i="9"/>
  <c r="D2981" i="9"/>
  <c r="C2981" i="9"/>
  <c r="B2981" i="9"/>
  <c r="H2980" i="9"/>
  <c r="G2980" i="9"/>
  <c r="E2980" i="9"/>
  <c r="D2980" i="9"/>
  <c r="C2980" i="9"/>
  <c r="B2980" i="9"/>
  <c r="H2979" i="9"/>
  <c r="G2979" i="9"/>
  <c r="E2979" i="9"/>
  <c r="D2979" i="9"/>
  <c r="C2979" i="9"/>
  <c r="B2979" i="9"/>
  <c r="H2978" i="9"/>
  <c r="G2978" i="9"/>
  <c r="E2978" i="9"/>
  <c r="D2978" i="9"/>
  <c r="C2978" i="9"/>
  <c r="B2978" i="9"/>
  <c r="H2977" i="9"/>
  <c r="G2977" i="9"/>
  <c r="E2977" i="9"/>
  <c r="D2977" i="9"/>
  <c r="C2977" i="9"/>
  <c r="B2977" i="9"/>
  <c r="H2976" i="9"/>
  <c r="G2976" i="9"/>
  <c r="E2976" i="9"/>
  <c r="D2976" i="9"/>
  <c r="C2976" i="9"/>
  <c r="B2976" i="9"/>
  <c r="H2975" i="9"/>
  <c r="G2975" i="9"/>
  <c r="E2975" i="9"/>
  <c r="D2975" i="9"/>
  <c r="C2975" i="9"/>
  <c r="B2975" i="9"/>
  <c r="H2974" i="9"/>
  <c r="G2974" i="9"/>
  <c r="E2974" i="9"/>
  <c r="D2974" i="9"/>
  <c r="C2974" i="9"/>
  <c r="B2974" i="9"/>
  <c r="H2973" i="9"/>
  <c r="G2973" i="9"/>
  <c r="E2973" i="9"/>
  <c r="D2973" i="9"/>
  <c r="C2973" i="9"/>
  <c r="B2973" i="9"/>
  <c r="H2972" i="9"/>
  <c r="G2972" i="9"/>
  <c r="E2972" i="9"/>
  <c r="D2972" i="9"/>
  <c r="C2972" i="9"/>
  <c r="B2972" i="9"/>
  <c r="H2971" i="9"/>
  <c r="G2971" i="9"/>
  <c r="E2971" i="9"/>
  <c r="D2971" i="9"/>
  <c r="C2971" i="9"/>
  <c r="B2971" i="9"/>
  <c r="H2970" i="9"/>
  <c r="G2970" i="9"/>
  <c r="E2970" i="9"/>
  <c r="D2970" i="9"/>
  <c r="C2970" i="9"/>
  <c r="B2970" i="9"/>
  <c r="H2969" i="9"/>
  <c r="G2969" i="9"/>
  <c r="E2969" i="9"/>
  <c r="D2969" i="9"/>
  <c r="C2969" i="9"/>
  <c r="B2969" i="9"/>
  <c r="H2968" i="9"/>
  <c r="G2968" i="9"/>
  <c r="E2968" i="9"/>
  <c r="D2968" i="9"/>
  <c r="C2968" i="9"/>
  <c r="B2968" i="9"/>
  <c r="H2967" i="9"/>
  <c r="G2967" i="9"/>
  <c r="E2967" i="9"/>
  <c r="D2967" i="9"/>
  <c r="C2967" i="9"/>
  <c r="B2967" i="9"/>
  <c r="H2966" i="9"/>
  <c r="G2966" i="9"/>
  <c r="E2966" i="9"/>
  <c r="D2966" i="9"/>
  <c r="C2966" i="9"/>
  <c r="B2966" i="9"/>
  <c r="H2965" i="9"/>
  <c r="G2965" i="9"/>
  <c r="E2965" i="9"/>
  <c r="D2965" i="9"/>
  <c r="C2965" i="9"/>
  <c r="B2965" i="9"/>
  <c r="H2964" i="9"/>
  <c r="G2964" i="9"/>
  <c r="E2964" i="9"/>
  <c r="D2964" i="9"/>
  <c r="C2964" i="9"/>
  <c r="B2964" i="9"/>
  <c r="H2963" i="9"/>
  <c r="G2963" i="9"/>
  <c r="E2963" i="9"/>
  <c r="D2963" i="9"/>
  <c r="C2963" i="9"/>
  <c r="B2963" i="9"/>
  <c r="H2962" i="9"/>
  <c r="G2962" i="9"/>
  <c r="E2962" i="9"/>
  <c r="D2962" i="9"/>
  <c r="C2962" i="9"/>
  <c r="B2962" i="9"/>
  <c r="H2961" i="9"/>
  <c r="G2961" i="9"/>
  <c r="E2961" i="9"/>
  <c r="D2961" i="9"/>
  <c r="C2961" i="9"/>
  <c r="B2961" i="9"/>
  <c r="H2960" i="9"/>
  <c r="G2960" i="9"/>
  <c r="E2960" i="9"/>
  <c r="D2960" i="9"/>
  <c r="C2960" i="9"/>
  <c r="B2960" i="9"/>
  <c r="H2959" i="9"/>
  <c r="G2959" i="9"/>
  <c r="E2959" i="9"/>
  <c r="D2959" i="9"/>
  <c r="C2959" i="9"/>
  <c r="B2959" i="9"/>
  <c r="H2958" i="9"/>
  <c r="G2958" i="9"/>
  <c r="E2958" i="9"/>
  <c r="D2958" i="9"/>
  <c r="C2958" i="9"/>
  <c r="B2958" i="9"/>
  <c r="H2957" i="9"/>
  <c r="G2957" i="9"/>
  <c r="E2957" i="9"/>
  <c r="D2957" i="9"/>
  <c r="C2957" i="9"/>
  <c r="B2957" i="9"/>
  <c r="H2956" i="9"/>
  <c r="G2956" i="9"/>
  <c r="E2956" i="9"/>
  <c r="D2956" i="9"/>
  <c r="C2956" i="9"/>
  <c r="B2956" i="9"/>
  <c r="H2955" i="9"/>
  <c r="G2955" i="9"/>
  <c r="E2955" i="9"/>
  <c r="D2955" i="9"/>
  <c r="C2955" i="9"/>
  <c r="B2955" i="9"/>
  <c r="H2954" i="9"/>
  <c r="G2954" i="9"/>
  <c r="E2954" i="9"/>
  <c r="D2954" i="9"/>
  <c r="C2954" i="9"/>
  <c r="B2954" i="9"/>
  <c r="H2953" i="9"/>
  <c r="G2953" i="9"/>
  <c r="E2953" i="9"/>
  <c r="D2953" i="9"/>
  <c r="C2953" i="9"/>
  <c r="B2953" i="9"/>
  <c r="H2952" i="9"/>
  <c r="G2952" i="9"/>
  <c r="E2952" i="9"/>
  <c r="D2952" i="9"/>
  <c r="C2952" i="9"/>
  <c r="B2952" i="9"/>
  <c r="H2951" i="9"/>
  <c r="G2951" i="9"/>
  <c r="E2951" i="9"/>
  <c r="D2951" i="9"/>
  <c r="C2951" i="9"/>
  <c r="B2951" i="9"/>
  <c r="H2950" i="9"/>
  <c r="G2950" i="9"/>
  <c r="E2950" i="9"/>
  <c r="D2950" i="9"/>
  <c r="C2950" i="9"/>
  <c r="B2950" i="9"/>
  <c r="H2949" i="9"/>
  <c r="G2949" i="9"/>
  <c r="E2949" i="9"/>
  <c r="D2949" i="9"/>
  <c r="C2949" i="9"/>
  <c r="B2949" i="9"/>
  <c r="H2948" i="9"/>
  <c r="G2948" i="9"/>
  <c r="E2948" i="9"/>
  <c r="D2948" i="9"/>
  <c r="C2948" i="9"/>
  <c r="B2948" i="9"/>
  <c r="H2947" i="9"/>
  <c r="G2947" i="9"/>
  <c r="E2947" i="9"/>
  <c r="D2947" i="9"/>
  <c r="C2947" i="9"/>
  <c r="B2947" i="9"/>
  <c r="H2946" i="9"/>
  <c r="G2946" i="9"/>
  <c r="E2946" i="9"/>
  <c r="D2946" i="9"/>
  <c r="C2946" i="9"/>
  <c r="B2946" i="9"/>
  <c r="H2945" i="9"/>
  <c r="G2945" i="9"/>
  <c r="E2945" i="9"/>
  <c r="D2945" i="9"/>
  <c r="C2945" i="9"/>
  <c r="B2945" i="9"/>
  <c r="H2944" i="9"/>
  <c r="G2944" i="9"/>
  <c r="E2944" i="9"/>
  <c r="D2944" i="9"/>
  <c r="C2944" i="9"/>
  <c r="B2944" i="9"/>
  <c r="H2943" i="9"/>
  <c r="G2943" i="9"/>
  <c r="E2943" i="9"/>
  <c r="D2943" i="9"/>
  <c r="C2943" i="9"/>
  <c r="B2943" i="9"/>
  <c r="H2942" i="9"/>
  <c r="G2942" i="9"/>
  <c r="E2942" i="9"/>
  <c r="D2942" i="9"/>
  <c r="C2942" i="9"/>
  <c r="B2942" i="9"/>
  <c r="H2941" i="9"/>
  <c r="G2941" i="9"/>
  <c r="E2941" i="9"/>
  <c r="D2941" i="9"/>
  <c r="C2941" i="9"/>
  <c r="B2941" i="9"/>
  <c r="H2940" i="9"/>
  <c r="G2940" i="9"/>
  <c r="E2940" i="9"/>
  <c r="D2940" i="9"/>
  <c r="C2940" i="9"/>
  <c r="B2940" i="9"/>
  <c r="H2939" i="9"/>
  <c r="G2939" i="9"/>
  <c r="E2939" i="9"/>
  <c r="D2939" i="9"/>
  <c r="C2939" i="9"/>
  <c r="B2939" i="9"/>
  <c r="H2938" i="9"/>
  <c r="G2938" i="9"/>
  <c r="E2938" i="9"/>
  <c r="D2938" i="9"/>
  <c r="C2938" i="9"/>
  <c r="B2938" i="9"/>
  <c r="H2937" i="9"/>
  <c r="G2937" i="9"/>
  <c r="E2937" i="9"/>
  <c r="D2937" i="9"/>
  <c r="C2937" i="9"/>
  <c r="B2937" i="9"/>
  <c r="H2936" i="9"/>
  <c r="G2936" i="9"/>
  <c r="E2936" i="9"/>
  <c r="D2936" i="9"/>
  <c r="C2936" i="9"/>
  <c r="B2936" i="9"/>
  <c r="H2935" i="9"/>
  <c r="G2935" i="9"/>
  <c r="E2935" i="9"/>
  <c r="D2935" i="9"/>
  <c r="C2935" i="9"/>
  <c r="B2935" i="9"/>
  <c r="H2934" i="9"/>
  <c r="G2934" i="9"/>
  <c r="E2934" i="9"/>
  <c r="D2934" i="9"/>
  <c r="C2934" i="9"/>
  <c r="B2934" i="9"/>
  <c r="H2933" i="9"/>
  <c r="G2933" i="9"/>
  <c r="E2933" i="9"/>
  <c r="D2933" i="9"/>
  <c r="C2933" i="9"/>
  <c r="B2933" i="9"/>
  <c r="H2932" i="9"/>
  <c r="G2932" i="9"/>
  <c r="E2932" i="9"/>
  <c r="D2932" i="9"/>
  <c r="C2932" i="9"/>
  <c r="B2932" i="9"/>
  <c r="H2931" i="9"/>
  <c r="G2931" i="9"/>
  <c r="E2931" i="9"/>
  <c r="D2931" i="9"/>
  <c r="C2931" i="9"/>
  <c r="B2931" i="9"/>
  <c r="H2930" i="9"/>
  <c r="G2930" i="9"/>
  <c r="E2930" i="9"/>
  <c r="D2930" i="9"/>
  <c r="C2930" i="9"/>
  <c r="B2930" i="9"/>
  <c r="H2929" i="9"/>
  <c r="G2929" i="9"/>
  <c r="E2929" i="9"/>
  <c r="D2929" i="9"/>
  <c r="C2929" i="9"/>
  <c r="B2929" i="9"/>
  <c r="H2928" i="9"/>
  <c r="G2928" i="9"/>
  <c r="E2928" i="9"/>
  <c r="D2928" i="9"/>
  <c r="C2928" i="9"/>
  <c r="B2928" i="9"/>
  <c r="H2927" i="9"/>
  <c r="G2927" i="9"/>
  <c r="E2927" i="9"/>
  <c r="D2927" i="9"/>
  <c r="C2927" i="9"/>
  <c r="B2927" i="9"/>
  <c r="H2926" i="9"/>
  <c r="G2926" i="9"/>
  <c r="E2926" i="9"/>
  <c r="D2926" i="9"/>
  <c r="C2926" i="9"/>
  <c r="B2926" i="9"/>
  <c r="H2925" i="9"/>
  <c r="G2925" i="9"/>
  <c r="E2925" i="9"/>
  <c r="D2925" i="9"/>
  <c r="C2925" i="9"/>
  <c r="B2925" i="9"/>
  <c r="H2924" i="9"/>
  <c r="G2924" i="9"/>
  <c r="E2924" i="9"/>
  <c r="D2924" i="9"/>
  <c r="C2924" i="9"/>
  <c r="B2924" i="9"/>
  <c r="H2923" i="9"/>
  <c r="G2923" i="9"/>
  <c r="E2923" i="9"/>
  <c r="D2923" i="9"/>
  <c r="C2923" i="9"/>
  <c r="B2923" i="9"/>
  <c r="H2922" i="9"/>
  <c r="G2922" i="9"/>
  <c r="E2922" i="9"/>
  <c r="D2922" i="9"/>
  <c r="C2922" i="9"/>
  <c r="B2922" i="9"/>
  <c r="H2921" i="9"/>
  <c r="G2921" i="9"/>
  <c r="E2921" i="9"/>
  <c r="D2921" i="9"/>
  <c r="C2921" i="9"/>
  <c r="B2921" i="9"/>
  <c r="H2920" i="9"/>
  <c r="G2920" i="9"/>
  <c r="E2920" i="9"/>
  <c r="D2920" i="9"/>
  <c r="C2920" i="9"/>
  <c r="B2920" i="9"/>
  <c r="H2919" i="9"/>
  <c r="G2919" i="9"/>
  <c r="E2919" i="9"/>
  <c r="D2919" i="9"/>
  <c r="C2919" i="9"/>
  <c r="B2919" i="9"/>
  <c r="H2918" i="9"/>
  <c r="G2918" i="9"/>
  <c r="E2918" i="9"/>
  <c r="D2918" i="9"/>
  <c r="C2918" i="9"/>
  <c r="B2918" i="9"/>
  <c r="H2917" i="9"/>
  <c r="G2917" i="9"/>
  <c r="E2917" i="9"/>
  <c r="D2917" i="9"/>
  <c r="C2917" i="9"/>
  <c r="B2917" i="9"/>
  <c r="H2916" i="9"/>
  <c r="G2916" i="9"/>
  <c r="E2916" i="9"/>
  <c r="D2916" i="9"/>
  <c r="C2916" i="9"/>
  <c r="B2916" i="9"/>
  <c r="H2915" i="9"/>
  <c r="G2915" i="9"/>
  <c r="E2915" i="9"/>
  <c r="D2915" i="9"/>
  <c r="C2915" i="9"/>
  <c r="B2915" i="9"/>
  <c r="H2914" i="9"/>
  <c r="G2914" i="9"/>
  <c r="E2914" i="9"/>
  <c r="D2914" i="9"/>
  <c r="C2914" i="9"/>
  <c r="B2914" i="9"/>
  <c r="H2913" i="9"/>
  <c r="G2913" i="9"/>
  <c r="E2913" i="9"/>
  <c r="D2913" i="9"/>
  <c r="C2913" i="9"/>
  <c r="B2913" i="9"/>
  <c r="H2912" i="9"/>
  <c r="G2912" i="9"/>
  <c r="E2912" i="9"/>
  <c r="D2912" i="9"/>
  <c r="C2912" i="9"/>
  <c r="B2912" i="9"/>
  <c r="H2911" i="9"/>
  <c r="G2911" i="9"/>
  <c r="E2911" i="9"/>
  <c r="D2911" i="9"/>
  <c r="C2911" i="9"/>
  <c r="B2911" i="9"/>
  <c r="H2910" i="9"/>
  <c r="G2910" i="9"/>
  <c r="E2910" i="9"/>
  <c r="D2910" i="9"/>
  <c r="C2910" i="9"/>
  <c r="B2910" i="9"/>
  <c r="H2909" i="9"/>
  <c r="G2909" i="9"/>
  <c r="E2909" i="9"/>
  <c r="D2909" i="9"/>
  <c r="C2909" i="9"/>
  <c r="B2909" i="9"/>
  <c r="H2908" i="9"/>
  <c r="G2908" i="9"/>
  <c r="E2908" i="9"/>
  <c r="D2908" i="9"/>
  <c r="C2908" i="9"/>
  <c r="B2908" i="9"/>
  <c r="H2907" i="9"/>
  <c r="G2907" i="9"/>
  <c r="E2907" i="9"/>
  <c r="D2907" i="9"/>
  <c r="C2907" i="9"/>
  <c r="B2907" i="9"/>
  <c r="H2906" i="9"/>
  <c r="G2906" i="9"/>
  <c r="E2906" i="9"/>
  <c r="D2906" i="9"/>
  <c r="C2906" i="9"/>
  <c r="B2906" i="9"/>
  <c r="H2905" i="9"/>
  <c r="G2905" i="9"/>
  <c r="E2905" i="9"/>
  <c r="D2905" i="9"/>
  <c r="C2905" i="9"/>
  <c r="B2905" i="9"/>
  <c r="H2904" i="9"/>
  <c r="G2904" i="9"/>
  <c r="E2904" i="9"/>
  <c r="D2904" i="9"/>
  <c r="C2904" i="9"/>
  <c r="B2904" i="9"/>
  <c r="H2903" i="9"/>
  <c r="G2903" i="9"/>
  <c r="E2903" i="9"/>
  <c r="D2903" i="9"/>
  <c r="C2903" i="9"/>
  <c r="B2903" i="9"/>
  <c r="H2902" i="9"/>
  <c r="G2902" i="9"/>
  <c r="E2902" i="9"/>
  <c r="D2902" i="9"/>
  <c r="C2902" i="9"/>
  <c r="B2902" i="9"/>
  <c r="H2901" i="9"/>
  <c r="G2901" i="9"/>
  <c r="E2901" i="9"/>
  <c r="D2901" i="9"/>
  <c r="C2901" i="9"/>
  <c r="B2901" i="9"/>
  <c r="H2900" i="9"/>
  <c r="G2900" i="9"/>
  <c r="E2900" i="9"/>
  <c r="D2900" i="9"/>
  <c r="C2900" i="9"/>
  <c r="B2900" i="9"/>
  <c r="H2899" i="9"/>
  <c r="G2899" i="9"/>
  <c r="E2899" i="9"/>
  <c r="D2899" i="9"/>
  <c r="C2899" i="9"/>
  <c r="B2899" i="9"/>
  <c r="H2898" i="9"/>
  <c r="G2898" i="9"/>
  <c r="E2898" i="9"/>
  <c r="D2898" i="9"/>
  <c r="C2898" i="9"/>
  <c r="B2898" i="9"/>
  <c r="H2897" i="9"/>
  <c r="G2897" i="9"/>
  <c r="E2897" i="9"/>
  <c r="D2897" i="9"/>
  <c r="C2897" i="9"/>
  <c r="B2897" i="9"/>
  <c r="H2896" i="9"/>
  <c r="G2896" i="9"/>
  <c r="E2896" i="9"/>
  <c r="D2896" i="9"/>
  <c r="C2896" i="9"/>
  <c r="B2896" i="9"/>
  <c r="H2895" i="9"/>
  <c r="G2895" i="9"/>
  <c r="E2895" i="9"/>
  <c r="D2895" i="9"/>
  <c r="C2895" i="9"/>
  <c r="B2895" i="9"/>
  <c r="H2894" i="9"/>
  <c r="G2894" i="9"/>
  <c r="E2894" i="9"/>
  <c r="D2894" i="9"/>
  <c r="C2894" i="9"/>
  <c r="B2894" i="9"/>
  <c r="H2893" i="9"/>
  <c r="G2893" i="9"/>
  <c r="E2893" i="9"/>
  <c r="D2893" i="9"/>
  <c r="C2893" i="9"/>
  <c r="B2893" i="9"/>
  <c r="H2892" i="9"/>
  <c r="G2892" i="9"/>
  <c r="E2892" i="9"/>
  <c r="D2892" i="9"/>
  <c r="C2892" i="9"/>
  <c r="B2892" i="9"/>
  <c r="H2891" i="9"/>
  <c r="G2891" i="9"/>
  <c r="E2891" i="9"/>
  <c r="D2891" i="9"/>
  <c r="C2891" i="9"/>
  <c r="B2891" i="9"/>
  <c r="H2890" i="9"/>
  <c r="G2890" i="9"/>
  <c r="E2890" i="9"/>
  <c r="D2890" i="9"/>
  <c r="C2890" i="9"/>
  <c r="B2890" i="9"/>
  <c r="H2889" i="9"/>
  <c r="G2889" i="9"/>
  <c r="E2889" i="9"/>
  <c r="D2889" i="9"/>
  <c r="C2889" i="9"/>
  <c r="B2889" i="9"/>
  <c r="H2888" i="9"/>
  <c r="G2888" i="9"/>
  <c r="E2888" i="9"/>
  <c r="D2888" i="9"/>
  <c r="C2888" i="9"/>
  <c r="B2888" i="9"/>
  <c r="H2887" i="9"/>
  <c r="G2887" i="9"/>
  <c r="E2887" i="9"/>
  <c r="D2887" i="9"/>
  <c r="C2887" i="9"/>
  <c r="B2887" i="9"/>
  <c r="H2886" i="9"/>
  <c r="G2886" i="9"/>
  <c r="E2886" i="9"/>
  <c r="D2886" i="9"/>
  <c r="C2886" i="9"/>
  <c r="B2886" i="9"/>
  <c r="H2885" i="9"/>
  <c r="G2885" i="9"/>
  <c r="E2885" i="9"/>
  <c r="D2885" i="9"/>
  <c r="C2885" i="9"/>
  <c r="B2885" i="9"/>
  <c r="H2884" i="9"/>
  <c r="G2884" i="9"/>
  <c r="E2884" i="9"/>
  <c r="D2884" i="9"/>
  <c r="C2884" i="9"/>
  <c r="B2884" i="9"/>
  <c r="H2883" i="9"/>
  <c r="G2883" i="9"/>
  <c r="E2883" i="9"/>
  <c r="D2883" i="9"/>
  <c r="C2883" i="9"/>
  <c r="B2883" i="9"/>
  <c r="H2882" i="9"/>
  <c r="G2882" i="9"/>
  <c r="E2882" i="9"/>
  <c r="D2882" i="9"/>
  <c r="C2882" i="9"/>
  <c r="B2882" i="9"/>
  <c r="H2881" i="9"/>
  <c r="G2881" i="9"/>
  <c r="E2881" i="9"/>
  <c r="D2881" i="9"/>
  <c r="C2881" i="9"/>
  <c r="B2881" i="9"/>
  <c r="H2880" i="9"/>
  <c r="G2880" i="9"/>
  <c r="E2880" i="9"/>
  <c r="D2880" i="9"/>
  <c r="C2880" i="9"/>
  <c r="B2880" i="9"/>
  <c r="H2879" i="9"/>
  <c r="G2879" i="9"/>
  <c r="E2879" i="9"/>
  <c r="D2879" i="9"/>
  <c r="C2879" i="9"/>
  <c r="B2879" i="9"/>
  <c r="H2878" i="9"/>
  <c r="G2878" i="9"/>
  <c r="E2878" i="9"/>
  <c r="D2878" i="9"/>
  <c r="C2878" i="9"/>
  <c r="B2878" i="9"/>
  <c r="H2877" i="9"/>
  <c r="G2877" i="9"/>
  <c r="E2877" i="9"/>
  <c r="D2877" i="9"/>
  <c r="C2877" i="9"/>
  <c r="B2877" i="9"/>
  <c r="H2876" i="9"/>
  <c r="G2876" i="9"/>
  <c r="E2876" i="9"/>
  <c r="D2876" i="9"/>
  <c r="C2876" i="9"/>
  <c r="B2876" i="9"/>
  <c r="H2875" i="9"/>
  <c r="G2875" i="9"/>
  <c r="E2875" i="9"/>
  <c r="D2875" i="9"/>
  <c r="C2875" i="9"/>
  <c r="B2875" i="9"/>
  <c r="H2874" i="9"/>
  <c r="G2874" i="9"/>
  <c r="E2874" i="9"/>
  <c r="D2874" i="9"/>
  <c r="C2874" i="9"/>
  <c r="B2874" i="9"/>
  <c r="H2873" i="9"/>
  <c r="G2873" i="9"/>
  <c r="E2873" i="9"/>
  <c r="D2873" i="9"/>
  <c r="C2873" i="9"/>
  <c r="B2873" i="9"/>
  <c r="H2872" i="9"/>
  <c r="G2872" i="9"/>
  <c r="E2872" i="9"/>
  <c r="D2872" i="9"/>
  <c r="C2872" i="9"/>
  <c r="B2872" i="9"/>
  <c r="H2871" i="9"/>
  <c r="G2871" i="9"/>
  <c r="E2871" i="9"/>
  <c r="D2871" i="9"/>
  <c r="C2871" i="9"/>
  <c r="B2871" i="9"/>
  <c r="H2870" i="9"/>
  <c r="G2870" i="9"/>
  <c r="E2870" i="9"/>
  <c r="D2870" i="9"/>
  <c r="C2870" i="9"/>
  <c r="B2870" i="9"/>
  <c r="H2869" i="9"/>
  <c r="G2869" i="9"/>
  <c r="E2869" i="9"/>
  <c r="D2869" i="9"/>
  <c r="C2869" i="9"/>
  <c r="B2869" i="9"/>
  <c r="H2868" i="9"/>
  <c r="G2868" i="9"/>
  <c r="E2868" i="9"/>
  <c r="D2868" i="9"/>
  <c r="C2868" i="9"/>
  <c r="B2868" i="9"/>
  <c r="H2867" i="9"/>
  <c r="G2867" i="9"/>
  <c r="E2867" i="9"/>
  <c r="D2867" i="9"/>
  <c r="C2867" i="9"/>
  <c r="B2867" i="9"/>
  <c r="H2866" i="9"/>
  <c r="G2866" i="9"/>
  <c r="E2866" i="9"/>
  <c r="D2866" i="9"/>
  <c r="C2866" i="9"/>
  <c r="B2866" i="9"/>
  <c r="H2865" i="9"/>
  <c r="G2865" i="9"/>
  <c r="E2865" i="9"/>
  <c r="D2865" i="9"/>
  <c r="C2865" i="9"/>
  <c r="B2865" i="9"/>
  <c r="H2864" i="9"/>
  <c r="G2864" i="9"/>
  <c r="E2864" i="9"/>
  <c r="D2864" i="9"/>
  <c r="C2864" i="9"/>
  <c r="B2864" i="9"/>
  <c r="H2863" i="9"/>
  <c r="G2863" i="9"/>
  <c r="E2863" i="9"/>
  <c r="D2863" i="9"/>
  <c r="C2863" i="9"/>
  <c r="B2863" i="9"/>
  <c r="H2862" i="9"/>
  <c r="G2862" i="9"/>
  <c r="E2862" i="9"/>
  <c r="D2862" i="9"/>
  <c r="C2862" i="9"/>
  <c r="B2862" i="9"/>
  <c r="H2861" i="9"/>
  <c r="G2861" i="9"/>
  <c r="E2861" i="9"/>
  <c r="D2861" i="9"/>
  <c r="C2861" i="9"/>
  <c r="B2861" i="9"/>
  <c r="H2860" i="9"/>
  <c r="G2860" i="9"/>
  <c r="E2860" i="9"/>
  <c r="D2860" i="9"/>
  <c r="C2860" i="9"/>
  <c r="B2860" i="9"/>
  <c r="H2859" i="9"/>
  <c r="G2859" i="9"/>
  <c r="E2859" i="9"/>
  <c r="D2859" i="9"/>
  <c r="C2859" i="9"/>
  <c r="B2859" i="9"/>
  <c r="H2858" i="9"/>
  <c r="G2858" i="9"/>
  <c r="E2858" i="9"/>
  <c r="D2858" i="9"/>
  <c r="C2858" i="9"/>
  <c r="B2858" i="9"/>
  <c r="H2857" i="9"/>
  <c r="G2857" i="9"/>
  <c r="E2857" i="9"/>
  <c r="D2857" i="9"/>
  <c r="C2857" i="9"/>
  <c r="B2857" i="9"/>
  <c r="H2856" i="9"/>
  <c r="G2856" i="9"/>
  <c r="E2856" i="9"/>
  <c r="D2856" i="9"/>
  <c r="C2856" i="9"/>
  <c r="B2856" i="9"/>
  <c r="H2855" i="9"/>
  <c r="G2855" i="9"/>
  <c r="E2855" i="9"/>
  <c r="D2855" i="9"/>
  <c r="C2855" i="9"/>
  <c r="B2855" i="9"/>
  <c r="H2854" i="9"/>
  <c r="G2854" i="9"/>
  <c r="E2854" i="9"/>
  <c r="D2854" i="9"/>
  <c r="C2854" i="9"/>
  <c r="B2854" i="9"/>
  <c r="H2853" i="9"/>
  <c r="G2853" i="9"/>
  <c r="E2853" i="9"/>
  <c r="D2853" i="9"/>
  <c r="C2853" i="9"/>
  <c r="B2853" i="9"/>
  <c r="H2852" i="9"/>
  <c r="G2852" i="9"/>
  <c r="E2852" i="9"/>
  <c r="D2852" i="9"/>
  <c r="C2852" i="9"/>
  <c r="B2852" i="9"/>
  <c r="H2851" i="9"/>
  <c r="G2851" i="9"/>
  <c r="E2851" i="9"/>
  <c r="D2851" i="9"/>
  <c r="C2851" i="9"/>
  <c r="B2851" i="9"/>
  <c r="H2850" i="9"/>
  <c r="G2850" i="9"/>
  <c r="E2850" i="9"/>
  <c r="D2850" i="9"/>
  <c r="C2850" i="9"/>
  <c r="B2850" i="9"/>
  <c r="H2849" i="9"/>
  <c r="G2849" i="9"/>
  <c r="E2849" i="9"/>
  <c r="D2849" i="9"/>
  <c r="C2849" i="9"/>
  <c r="B2849" i="9"/>
  <c r="H2848" i="9"/>
  <c r="G2848" i="9"/>
  <c r="E2848" i="9"/>
  <c r="D2848" i="9"/>
  <c r="C2848" i="9"/>
  <c r="B2848" i="9"/>
  <c r="H2847" i="9"/>
  <c r="G2847" i="9"/>
  <c r="E2847" i="9"/>
  <c r="D2847" i="9"/>
  <c r="C2847" i="9"/>
  <c r="B2847" i="9"/>
  <c r="H2846" i="9"/>
  <c r="G2846" i="9"/>
  <c r="E2846" i="9"/>
  <c r="D2846" i="9"/>
  <c r="C2846" i="9"/>
  <c r="B2846" i="9"/>
  <c r="H2845" i="9"/>
  <c r="G2845" i="9"/>
  <c r="E2845" i="9"/>
  <c r="D2845" i="9"/>
  <c r="C2845" i="9"/>
  <c r="B2845" i="9"/>
  <c r="H2844" i="9"/>
  <c r="G2844" i="9"/>
  <c r="E2844" i="9"/>
  <c r="D2844" i="9"/>
  <c r="C2844" i="9"/>
  <c r="B2844" i="9"/>
  <c r="H2843" i="9"/>
  <c r="G2843" i="9"/>
  <c r="E2843" i="9"/>
  <c r="D2843" i="9"/>
  <c r="C2843" i="9"/>
  <c r="B2843" i="9"/>
  <c r="H2842" i="9"/>
  <c r="G2842" i="9"/>
  <c r="E2842" i="9"/>
  <c r="D2842" i="9"/>
  <c r="C2842" i="9"/>
  <c r="B2842" i="9"/>
  <c r="H2841" i="9"/>
  <c r="G2841" i="9"/>
  <c r="E2841" i="9"/>
  <c r="D2841" i="9"/>
  <c r="C2841" i="9"/>
  <c r="B2841" i="9"/>
  <c r="H2840" i="9"/>
  <c r="G2840" i="9"/>
  <c r="E2840" i="9"/>
  <c r="D2840" i="9"/>
  <c r="C2840" i="9"/>
  <c r="B2840" i="9"/>
  <c r="H2839" i="9"/>
  <c r="G2839" i="9"/>
  <c r="E2839" i="9"/>
  <c r="D2839" i="9"/>
  <c r="C2839" i="9"/>
  <c r="B2839" i="9"/>
  <c r="H2838" i="9"/>
  <c r="G2838" i="9"/>
  <c r="E2838" i="9"/>
  <c r="D2838" i="9"/>
  <c r="C2838" i="9"/>
  <c r="B2838" i="9"/>
  <c r="H2837" i="9"/>
  <c r="G2837" i="9"/>
  <c r="E2837" i="9"/>
  <c r="D2837" i="9"/>
  <c r="C2837" i="9"/>
  <c r="B2837" i="9"/>
  <c r="H2836" i="9"/>
  <c r="G2836" i="9"/>
  <c r="E2836" i="9"/>
  <c r="D2836" i="9"/>
  <c r="C2836" i="9"/>
  <c r="B2836" i="9"/>
  <c r="H2835" i="9"/>
  <c r="G2835" i="9"/>
  <c r="E2835" i="9"/>
  <c r="D2835" i="9"/>
  <c r="C2835" i="9"/>
  <c r="B2835" i="9"/>
  <c r="H2834" i="9"/>
  <c r="G2834" i="9"/>
  <c r="E2834" i="9"/>
  <c r="D2834" i="9"/>
  <c r="C2834" i="9"/>
  <c r="B2834" i="9"/>
  <c r="H2833" i="9"/>
  <c r="G2833" i="9"/>
  <c r="E2833" i="9"/>
  <c r="D2833" i="9"/>
  <c r="C2833" i="9"/>
  <c r="B2833" i="9"/>
  <c r="H2832" i="9"/>
  <c r="G2832" i="9"/>
  <c r="E2832" i="9"/>
  <c r="D2832" i="9"/>
  <c r="C2832" i="9"/>
  <c r="B2832" i="9"/>
  <c r="H2831" i="9"/>
  <c r="G2831" i="9"/>
  <c r="E2831" i="9"/>
  <c r="D2831" i="9"/>
  <c r="C2831" i="9"/>
  <c r="B2831" i="9"/>
  <c r="H2830" i="9"/>
  <c r="G2830" i="9"/>
  <c r="E2830" i="9"/>
  <c r="D2830" i="9"/>
  <c r="C2830" i="9"/>
  <c r="B2830" i="9"/>
  <c r="H2829" i="9"/>
  <c r="G2829" i="9"/>
  <c r="E2829" i="9"/>
  <c r="D2829" i="9"/>
  <c r="C2829" i="9"/>
  <c r="B2829" i="9"/>
  <c r="H2828" i="9"/>
  <c r="G2828" i="9"/>
  <c r="E2828" i="9"/>
  <c r="D2828" i="9"/>
  <c r="C2828" i="9"/>
  <c r="B2828" i="9"/>
  <c r="H2827" i="9"/>
  <c r="G2827" i="9"/>
  <c r="E2827" i="9"/>
  <c r="D2827" i="9"/>
  <c r="C2827" i="9"/>
  <c r="B2827" i="9"/>
  <c r="H2826" i="9"/>
  <c r="G2826" i="9"/>
  <c r="E2826" i="9"/>
  <c r="D2826" i="9"/>
  <c r="C2826" i="9"/>
  <c r="B2826" i="9"/>
  <c r="H2825" i="9"/>
  <c r="G2825" i="9"/>
  <c r="E2825" i="9"/>
  <c r="D2825" i="9"/>
  <c r="C2825" i="9"/>
  <c r="B2825" i="9"/>
  <c r="H2824" i="9"/>
  <c r="G2824" i="9"/>
  <c r="E2824" i="9"/>
  <c r="D2824" i="9"/>
  <c r="C2824" i="9"/>
  <c r="B2824" i="9"/>
  <c r="H2823" i="9"/>
  <c r="G2823" i="9"/>
  <c r="E2823" i="9"/>
  <c r="D2823" i="9"/>
  <c r="C2823" i="9"/>
  <c r="B2823" i="9"/>
  <c r="H2822" i="9"/>
  <c r="G2822" i="9"/>
  <c r="E2822" i="9"/>
  <c r="D2822" i="9"/>
  <c r="C2822" i="9"/>
  <c r="B2822" i="9"/>
  <c r="H2821" i="9"/>
  <c r="G2821" i="9"/>
  <c r="E2821" i="9"/>
  <c r="D2821" i="9"/>
  <c r="C2821" i="9"/>
  <c r="B2821" i="9"/>
  <c r="H2820" i="9"/>
  <c r="G2820" i="9"/>
  <c r="E2820" i="9"/>
  <c r="D2820" i="9"/>
  <c r="C2820" i="9"/>
  <c r="B2820" i="9"/>
  <c r="H2819" i="9"/>
  <c r="G2819" i="9"/>
  <c r="E2819" i="9"/>
  <c r="D2819" i="9"/>
  <c r="C2819" i="9"/>
  <c r="B2819" i="9"/>
  <c r="H2818" i="9"/>
  <c r="G2818" i="9"/>
  <c r="E2818" i="9"/>
  <c r="D2818" i="9"/>
  <c r="C2818" i="9"/>
  <c r="B2818" i="9"/>
  <c r="H2817" i="9"/>
  <c r="G2817" i="9"/>
  <c r="E2817" i="9"/>
  <c r="D2817" i="9"/>
  <c r="C2817" i="9"/>
  <c r="B2817" i="9"/>
  <c r="H2816" i="9"/>
  <c r="G2816" i="9"/>
  <c r="E2816" i="9"/>
  <c r="D2816" i="9"/>
  <c r="C2816" i="9"/>
  <c r="B2816" i="9"/>
  <c r="H2815" i="9"/>
  <c r="G2815" i="9"/>
  <c r="E2815" i="9"/>
  <c r="D2815" i="9"/>
  <c r="C2815" i="9"/>
  <c r="B2815" i="9"/>
  <c r="H2814" i="9"/>
  <c r="G2814" i="9"/>
  <c r="E2814" i="9"/>
  <c r="D2814" i="9"/>
  <c r="C2814" i="9"/>
  <c r="B2814" i="9"/>
  <c r="H2813" i="9"/>
  <c r="G2813" i="9"/>
  <c r="E2813" i="9"/>
  <c r="D2813" i="9"/>
  <c r="C2813" i="9"/>
  <c r="B2813" i="9"/>
  <c r="H2812" i="9"/>
  <c r="G2812" i="9"/>
  <c r="E2812" i="9"/>
  <c r="D2812" i="9"/>
  <c r="C2812" i="9"/>
  <c r="B2812" i="9"/>
  <c r="H2811" i="9"/>
  <c r="G2811" i="9"/>
  <c r="E2811" i="9"/>
  <c r="D2811" i="9"/>
  <c r="C2811" i="9"/>
  <c r="B2811" i="9"/>
  <c r="H2810" i="9"/>
  <c r="G2810" i="9"/>
  <c r="E2810" i="9"/>
  <c r="D2810" i="9"/>
  <c r="C2810" i="9"/>
  <c r="B2810" i="9"/>
  <c r="H2809" i="9"/>
  <c r="G2809" i="9"/>
  <c r="E2809" i="9"/>
  <c r="D2809" i="9"/>
  <c r="C2809" i="9"/>
  <c r="B2809" i="9"/>
  <c r="H2808" i="9"/>
  <c r="G2808" i="9"/>
  <c r="E2808" i="9"/>
  <c r="D2808" i="9"/>
  <c r="C2808" i="9"/>
  <c r="B2808" i="9"/>
  <c r="H2807" i="9"/>
  <c r="G2807" i="9"/>
  <c r="E2807" i="9"/>
  <c r="D2807" i="9"/>
  <c r="C2807" i="9"/>
  <c r="B2807" i="9"/>
  <c r="H2806" i="9"/>
  <c r="G2806" i="9"/>
  <c r="E2806" i="9"/>
  <c r="D2806" i="9"/>
  <c r="C2806" i="9"/>
  <c r="B2806" i="9"/>
  <c r="H2805" i="9"/>
  <c r="G2805" i="9"/>
  <c r="E2805" i="9"/>
  <c r="D2805" i="9"/>
  <c r="C2805" i="9"/>
  <c r="B2805" i="9"/>
  <c r="H2804" i="9"/>
  <c r="G2804" i="9"/>
  <c r="E2804" i="9"/>
  <c r="D2804" i="9"/>
  <c r="C2804" i="9"/>
  <c r="B2804" i="9"/>
  <c r="H2803" i="9"/>
  <c r="G2803" i="9"/>
  <c r="E2803" i="9"/>
  <c r="D2803" i="9"/>
  <c r="C2803" i="9"/>
  <c r="B2803" i="9"/>
  <c r="H2802" i="9"/>
  <c r="G2802" i="9"/>
  <c r="E2802" i="9"/>
  <c r="D2802" i="9"/>
  <c r="C2802" i="9"/>
  <c r="B2802" i="9"/>
  <c r="H2801" i="9"/>
  <c r="G2801" i="9"/>
  <c r="E2801" i="9"/>
  <c r="D2801" i="9"/>
  <c r="C2801" i="9"/>
  <c r="B2801" i="9"/>
  <c r="H2800" i="9"/>
  <c r="G2800" i="9"/>
  <c r="E2800" i="9"/>
  <c r="D2800" i="9"/>
  <c r="C2800" i="9"/>
  <c r="B2800" i="9"/>
  <c r="H2799" i="9"/>
  <c r="G2799" i="9"/>
  <c r="E2799" i="9"/>
  <c r="D2799" i="9"/>
  <c r="C2799" i="9"/>
  <c r="B2799" i="9"/>
  <c r="H2798" i="9"/>
  <c r="G2798" i="9"/>
  <c r="E2798" i="9"/>
  <c r="D2798" i="9"/>
  <c r="C2798" i="9"/>
  <c r="B2798" i="9"/>
  <c r="H2797" i="9"/>
  <c r="G2797" i="9"/>
  <c r="E2797" i="9"/>
  <c r="D2797" i="9"/>
  <c r="C2797" i="9"/>
  <c r="B2797" i="9"/>
  <c r="H2796" i="9"/>
  <c r="G2796" i="9"/>
  <c r="E2796" i="9"/>
  <c r="D2796" i="9"/>
  <c r="C2796" i="9"/>
  <c r="B2796" i="9"/>
  <c r="H2795" i="9"/>
  <c r="G2795" i="9"/>
  <c r="E2795" i="9"/>
  <c r="D2795" i="9"/>
  <c r="C2795" i="9"/>
  <c r="B2795" i="9"/>
  <c r="H2794" i="9"/>
  <c r="G2794" i="9"/>
  <c r="E2794" i="9"/>
  <c r="D2794" i="9"/>
  <c r="C2794" i="9"/>
  <c r="B2794" i="9"/>
  <c r="H2793" i="9"/>
  <c r="G2793" i="9"/>
  <c r="E2793" i="9"/>
  <c r="D2793" i="9"/>
  <c r="C2793" i="9"/>
  <c r="B2793" i="9"/>
  <c r="H2792" i="9"/>
  <c r="G2792" i="9"/>
  <c r="E2792" i="9"/>
  <c r="D2792" i="9"/>
  <c r="C2792" i="9"/>
  <c r="B2792" i="9"/>
  <c r="H2791" i="9"/>
  <c r="G2791" i="9"/>
  <c r="E2791" i="9"/>
  <c r="D2791" i="9"/>
  <c r="C2791" i="9"/>
  <c r="B2791" i="9"/>
  <c r="H2790" i="9"/>
  <c r="G2790" i="9"/>
  <c r="E2790" i="9"/>
  <c r="D2790" i="9"/>
  <c r="C2790" i="9"/>
  <c r="B2790" i="9"/>
  <c r="H2789" i="9"/>
  <c r="G2789" i="9"/>
  <c r="E2789" i="9"/>
  <c r="D2789" i="9"/>
  <c r="C2789" i="9"/>
  <c r="B2789" i="9"/>
  <c r="H2788" i="9"/>
  <c r="G2788" i="9"/>
  <c r="E2788" i="9"/>
  <c r="D2788" i="9"/>
  <c r="C2788" i="9"/>
  <c r="B2788" i="9"/>
  <c r="H2787" i="9"/>
  <c r="G2787" i="9"/>
  <c r="E2787" i="9"/>
  <c r="D2787" i="9"/>
  <c r="C2787" i="9"/>
  <c r="B2787" i="9"/>
  <c r="H2786" i="9"/>
  <c r="G2786" i="9"/>
  <c r="E2786" i="9"/>
  <c r="D2786" i="9"/>
  <c r="C2786" i="9"/>
  <c r="B2786" i="9"/>
  <c r="H2785" i="9"/>
  <c r="G2785" i="9"/>
  <c r="E2785" i="9"/>
  <c r="D2785" i="9"/>
  <c r="C2785" i="9"/>
  <c r="B2785" i="9"/>
  <c r="H2784" i="9"/>
  <c r="G2784" i="9"/>
  <c r="E2784" i="9"/>
  <c r="D2784" i="9"/>
  <c r="C2784" i="9"/>
  <c r="B2784" i="9"/>
  <c r="H2783" i="9"/>
  <c r="G2783" i="9"/>
  <c r="E2783" i="9"/>
  <c r="D2783" i="9"/>
  <c r="C2783" i="9"/>
  <c r="B2783" i="9"/>
  <c r="H2782" i="9"/>
  <c r="G2782" i="9"/>
  <c r="E2782" i="9"/>
  <c r="D2782" i="9"/>
  <c r="C2782" i="9"/>
  <c r="B2782" i="9"/>
  <c r="H2781" i="9"/>
  <c r="G2781" i="9"/>
  <c r="E2781" i="9"/>
  <c r="D2781" i="9"/>
  <c r="C2781" i="9"/>
  <c r="B2781" i="9"/>
  <c r="H2780" i="9"/>
  <c r="G2780" i="9"/>
  <c r="E2780" i="9"/>
  <c r="D2780" i="9"/>
  <c r="C2780" i="9"/>
  <c r="B2780" i="9"/>
  <c r="H2779" i="9"/>
  <c r="G2779" i="9"/>
  <c r="E2779" i="9"/>
  <c r="D2779" i="9"/>
  <c r="C2779" i="9"/>
  <c r="B2779" i="9"/>
  <c r="H2778" i="9"/>
  <c r="G2778" i="9"/>
  <c r="E2778" i="9"/>
  <c r="D2778" i="9"/>
  <c r="C2778" i="9"/>
  <c r="B2778" i="9"/>
  <c r="H2777" i="9"/>
  <c r="G2777" i="9"/>
  <c r="E2777" i="9"/>
  <c r="D2777" i="9"/>
  <c r="C2777" i="9"/>
  <c r="B2777" i="9"/>
  <c r="H2776" i="9"/>
  <c r="G2776" i="9"/>
  <c r="E2776" i="9"/>
  <c r="D2776" i="9"/>
  <c r="C2776" i="9"/>
  <c r="B2776" i="9"/>
  <c r="H2775" i="9"/>
  <c r="G2775" i="9"/>
  <c r="E2775" i="9"/>
  <c r="D2775" i="9"/>
  <c r="C2775" i="9"/>
  <c r="B2775" i="9"/>
  <c r="H2774" i="9"/>
  <c r="G2774" i="9"/>
  <c r="E2774" i="9"/>
  <c r="D2774" i="9"/>
  <c r="C2774" i="9"/>
  <c r="B2774" i="9"/>
  <c r="H2773" i="9"/>
  <c r="G2773" i="9"/>
  <c r="E2773" i="9"/>
  <c r="D2773" i="9"/>
  <c r="C2773" i="9"/>
  <c r="B2773" i="9"/>
  <c r="H2772" i="9"/>
  <c r="G2772" i="9"/>
  <c r="E2772" i="9"/>
  <c r="D2772" i="9"/>
  <c r="C2772" i="9"/>
  <c r="B2772" i="9"/>
  <c r="H2771" i="9"/>
  <c r="G2771" i="9"/>
  <c r="E2771" i="9"/>
  <c r="D2771" i="9"/>
  <c r="C2771" i="9"/>
  <c r="B2771" i="9"/>
  <c r="H2770" i="9"/>
  <c r="G2770" i="9"/>
  <c r="E2770" i="9"/>
  <c r="D2770" i="9"/>
  <c r="C2770" i="9"/>
  <c r="B2770" i="9"/>
  <c r="H2769" i="9"/>
  <c r="G2769" i="9"/>
  <c r="E2769" i="9"/>
  <c r="D2769" i="9"/>
  <c r="C2769" i="9"/>
  <c r="B2769" i="9"/>
  <c r="H2768" i="9"/>
  <c r="G2768" i="9"/>
  <c r="E2768" i="9"/>
  <c r="D2768" i="9"/>
  <c r="C2768" i="9"/>
  <c r="B2768" i="9"/>
  <c r="H2767" i="9"/>
  <c r="G2767" i="9"/>
  <c r="E2767" i="9"/>
  <c r="D2767" i="9"/>
  <c r="C2767" i="9"/>
  <c r="B2767" i="9"/>
  <c r="H2766" i="9"/>
  <c r="G2766" i="9"/>
  <c r="E2766" i="9"/>
  <c r="D2766" i="9"/>
  <c r="C2766" i="9"/>
  <c r="B2766" i="9"/>
  <c r="H2765" i="9"/>
  <c r="G2765" i="9"/>
  <c r="E2765" i="9"/>
  <c r="D2765" i="9"/>
  <c r="C2765" i="9"/>
  <c r="B2765" i="9"/>
  <c r="H2764" i="9"/>
  <c r="G2764" i="9"/>
  <c r="E2764" i="9"/>
  <c r="D2764" i="9"/>
  <c r="C2764" i="9"/>
  <c r="B2764" i="9"/>
  <c r="H2763" i="9"/>
  <c r="G2763" i="9"/>
  <c r="E2763" i="9"/>
  <c r="D2763" i="9"/>
  <c r="C2763" i="9"/>
  <c r="B2763" i="9"/>
  <c r="H2762" i="9"/>
  <c r="G2762" i="9"/>
  <c r="E2762" i="9"/>
  <c r="D2762" i="9"/>
  <c r="C2762" i="9"/>
  <c r="B2762" i="9"/>
  <c r="H2761" i="9"/>
  <c r="G2761" i="9"/>
  <c r="E2761" i="9"/>
  <c r="D2761" i="9"/>
  <c r="C2761" i="9"/>
  <c r="B2761" i="9"/>
  <c r="H2760" i="9"/>
  <c r="G2760" i="9"/>
  <c r="E2760" i="9"/>
  <c r="D2760" i="9"/>
  <c r="C2760" i="9"/>
  <c r="B2760" i="9"/>
  <c r="H2759" i="9"/>
  <c r="G2759" i="9"/>
  <c r="E2759" i="9"/>
  <c r="D2759" i="9"/>
  <c r="C2759" i="9"/>
  <c r="B2759" i="9"/>
  <c r="H2758" i="9"/>
  <c r="G2758" i="9"/>
  <c r="E2758" i="9"/>
  <c r="D2758" i="9"/>
  <c r="C2758" i="9"/>
  <c r="B2758" i="9"/>
  <c r="H2757" i="9"/>
  <c r="G2757" i="9"/>
  <c r="E2757" i="9"/>
  <c r="D2757" i="9"/>
  <c r="C2757" i="9"/>
  <c r="B2757" i="9"/>
  <c r="H2756" i="9"/>
  <c r="G2756" i="9"/>
  <c r="E2756" i="9"/>
  <c r="D2756" i="9"/>
  <c r="C2756" i="9"/>
  <c r="B2756" i="9"/>
  <c r="H2755" i="9"/>
  <c r="G2755" i="9"/>
  <c r="E2755" i="9"/>
  <c r="D2755" i="9"/>
  <c r="C2755" i="9"/>
  <c r="B2755" i="9"/>
  <c r="H2754" i="9"/>
  <c r="G2754" i="9"/>
  <c r="E2754" i="9"/>
  <c r="D2754" i="9"/>
  <c r="C2754" i="9"/>
  <c r="B2754" i="9"/>
  <c r="H2753" i="9"/>
  <c r="G2753" i="9"/>
  <c r="E2753" i="9"/>
  <c r="D2753" i="9"/>
  <c r="C2753" i="9"/>
  <c r="B2753" i="9"/>
  <c r="H2752" i="9"/>
  <c r="G2752" i="9"/>
  <c r="E2752" i="9"/>
  <c r="D2752" i="9"/>
  <c r="C2752" i="9"/>
  <c r="B2752" i="9"/>
  <c r="H2751" i="9"/>
  <c r="G2751" i="9"/>
  <c r="E2751" i="9"/>
  <c r="D2751" i="9"/>
  <c r="C2751" i="9"/>
  <c r="B2751" i="9"/>
  <c r="H2750" i="9"/>
  <c r="G2750" i="9"/>
  <c r="E2750" i="9"/>
  <c r="D2750" i="9"/>
  <c r="C2750" i="9"/>
  <c r="B2750" i="9"/>
  <c r="H2749" i="9"/>
  <c r="G2749" i="9"/>
  <c r="E2749" i="9"/>
  <c r="D2749" i="9"/>
  <c r="C2749" i="9"/>
  <c r="B2749" i="9"/>
  <c r="H2748" i="9"/>
  <c r="G2748" i="9"/>
  <c r="E2748" i="9"/>
  <c r="D2748" i="9"/>
  <c r="C2748" i="9"/>
  <c r="B2748" i="9"/>
  <c r="H2747" i="9"/>
  <c r="G2747" i="9"/>
  <c r="E2747" i="9"/>
  <c r="D2747" i="9"/>
  <c r="C2747" i="9"/>
  <c r="B2747" i="9"/>
  <c r="H2746" i="9"/>
  <c r="G2746" i="9"/>
  <c r="E2746" i="9"/>
  <c r="D2746" i="9"/>
  <c r="C2746" i="9"/>
  <c r="B2746" i="9"/>
  <c r="H2745" i="9"/>
  <c r="G2745" i="9"/>
  <c r="E2745" i="9"/>
  <c r="D2745" i="9"/>
  <c r="C2745" i="9"/>
  <c r="B2745" i="9"/>
  <c r="H2744" i="9"/>
  <c r="G2744" i="9"/>
  <c r="E2744" i="9"/>
  <c r="D2744" i="9"/>
  <c r="C2744" i="9"/>
  <c r="B2744" i="9"/>
  <c r="H2743" i="9"/>
  <c r="G2743" i="9"/>
  <c r="E2743" i="9"/>
  <c r="D2743" i="9"/>
  <c r="C2743" i="9"/>
  <c r="B2743" i="9"/>
  <c r="H2742" i="9"/>
  <c r="G2742" i="9"/>
  <c r="E2742" i="9"/>
  <c r="D2742" i="9"/>
  <c r="C2742" i="9"/>
  <c r="B2742" i="9"/>
  <c r="H2741" i="9"/>
  <c r="G2741" i="9"/>
  <c r="E2741" i="9"/>
  <c r="D2741" i="9"/>
  <c r="C2741" i="9"/>
  <c r="B2741" i="9"/>
  <c r="H2740" i="9"/>
  <c r="G2740" i="9"/>
  <c r="E2740" i="9"/>
  <c r="D2740" i="9"/>
  <c r="C2740" i="9"/>
  <c r="B2740" i="9"/>
  <c r="H2739" i="9"/>
  <c r="G2739" i="9"/>
  <c r="E2739" i="9"/>
  <c r="D2739" i="9"/>
  <c r="C2739" i="9"/>
  <c r="B2739" i="9"/>
  <c r="H2738" i="9"/>
  <c r="G2738" i="9"/>
  <c r="E2738" i="9"/>
  <c r="D2738" i="9"/>
  <c r="C2738" i="9"/>
  <c r="B2738" i="9"/>
  <c r="H2737" i="9"/>
  <c r="G2737" i="9"/>
  <c r="E2737" i="9"/>
  <c r="D2737" i="9"/>
  <c r="C2737" i="9"/>
  <c r="B2737" i="9"/>
  <c r="H2736" i="9"/>
  <c r="G2736" i="9"/>
  <c r="E2736" i="9"/>
  <c r="D2736" i="9"/>
  <c r="C2736" i="9"/>
  <c r="B2736" i="9"/>
  <c r="H2735" i="9"/>
  <c r="G2735" i="9"/>
  <c r="E2735" i="9"/>
  <c r="D2735" i="9"/>
  <c r="C2735" i="9"/>
  <c r="B2735" i="9"/>
  <c r="H2734" i="9"/>
  <c r="G2734" i="9"/>
  <c r="E2734" i="9"/>
  <c r="D2734" i="9"/>
  <c r="C2734" i="9"/>
  <c r="B2734" i="9"/>
  <c r="H2733" i="9"/>
  <c r="G2733" i="9"/>
  <c r="E2733" i="9"/>
  <c r="D2733" i="9"/>
  <c r="C2733" i="9"/>
  <c r="B2733" i="9"/>
  <c r="H2732" i="9"/>
  <c r="G2732" i="9"/>
  <c r="E2732" i="9"/>
  <c r="D2732" i="9"/>
  <c r="C2732" i="9"/>
  <c r="B2732" i="9"/>
  <c r="H2731" i="9"/>
  <c r="G2731" i="9"/>
  <c r="E2731" i="9"/>
  <c r="D2731" i="9"/>
  <c r="C2731" i="9"/>
  <c r="B2731" i="9"/>
  <c r="H2730" i="9"/>
  <c r="G2730" i="9"/>
  <c r="E2730" i="9"/>
  <c r="D2730" i="9"/>
  <c r="C2730" i="9"/>
  <c r="B2730" i="9"/>
  <c r="H2729" i="9"/>
  <c r="G2729" i="9"/>
  <c r="E2729" i="9"/>
  <c r="D2729" i="9"/>
  <c r="C2729" i="9"/>
  <c r="B2729" i="9"/>
  <c r="H2728" i="9"/>
  <c r="G2728" i="9"/>
  <c r="E2728" i="9"/>
  <c r="D2728" i="9"/>
  <c r="C2728" i="9"/>
  <c r="B2728" i="9"/>
  <c r="H2727" i="9"/>
  <c r="G2727" i="9"/>
  <c r="E2727" i="9"/>
  <c r="D2727" i="9"/>
  <c r="C2727" i="9"/>
  <c r="B2727" i="9"/>
  <c r="H2726" i="9"/>
  <c r="G2726" i="9"/>
  <c r="E2726" i="9"/>
  <c r="D2726" i="9"/>
  <c r="C2726" i="9"/>
  <c r="B2726" i="9"/>
  <c r="H2725" i="9"/>
  <c r="G2725" i="9"/>
  <c r="E2725" i="9"/>
  <c r="D2725" i="9"/>
  <c r="C2725" i="9"/>
  <c r="B2725" i="9"/>
  <c r="H2724" i="9"/>
  <c r="G2724" i="9"/>
  <c r="E2724" i="9"/>
  <c r="D2724" i="9"/>
  <c r="C2724" i="9"/>
  <c r="B2724" i="9"/>
  <c r="H2723" i="9"/>
  <c r="G2723" i="9"/>
  <c r="E2723" i="9"/>
  <c r="D2723" i="9"/>
  <c r="C2723" i="9"/>
  <c r="B2723" i="9"/>
  <c r="H2722" i="9"/>
  <c r="G2722" i="9"/>
  <c r="E2722" i="9"/>
  <c r="D2722" i="9"/>
  <c r="C2722" i="9"/>
  <c r="B2722" i="9"/>
  <c r="H2721" i="9"/>
  <c r="G2721" i="9"/>
  <c r="E2721" i="9"/>
  <c r="D2721" i="9"/>
  <c r="C2721" i="9"/>
  <c r="B2721" i="9"/>
  <c r="H2720" i="9"/>
  <c r="G2720" i="9"/>
  <c r="E2720" i="9"/>
  <c r="D2720" i="9"/>
  <c r="C2720" i="9"/>
  <c r="B2720" i="9"/>
  <c r="H2719" i="9"/>
  <c r="G2719" i="9"/>
  <c r="E2719" i="9"/>
  <c r="D2719" i="9"/>
  <c r="C2719" i="9"/>
  <c r="B2719" i="9"/>
  <c r="H2718" i="9"/>
  <c r="G2718" i="9"/>
  <c r="E2718" i="9"/>
  <c r="D2718" i="9"/>
  <c r="C2718" i="9"/>
  <c r="B2718" i="9"/>
  <c r="H2717" i="9"/>
  <c r="G2717" i="9"/>
  <c r="E2717" i="9"/>
  <c r="D2717" i="9"/>
  <c r="C2717" i="9"/>
  <c r="B2717" i="9"/>
  <c r="H2716" i="9"/>
  <c r="G2716" i="9"/>
  <c r="E2716" i="9"/>
  <c r="D2716" i="9"/>
  <c r="C2716" i="9"/>
  <c r="B2716" i="9"/>
  <c r="H2715" i="9"/>
  <c r="G2715" i="9"/>
  <c r="E2715" i="9"/>
  <c r="D2715" i="9"/>
  <c r="C2715" i="9"/>
  <c r="B2715" i="9"/>
  <c r="H2714" i="9"/>
  <c r="G2714" i="9"/>
  <c r="E2714" i="9"/>
  <c r="D2714" i="9"/>
  <c r="C2714" i="9"/>
  <c r="B2714" i="9"/>
  <c r="H2713" i="9"/>
  <c r="G2713" i="9"/>
  <c r="E2713" i="9"/>
  <c r="D2713" i="9"/>
  <c r="C2713" i="9"/>
  <c r="B2713" i="9"/>
  <c r="H2712" i="9"/>
  <c r="G2712" i="9"/>
  <c r="E2712" i="9"/>
  <c r="D2712" i="9"/>
  <c r="C2712" i="9"/>
  <c r="B2712" i="9"/>
  <c r="H2711" i="9"/>
  <c r="G2711" i="9"/>
  <c r="E2711" i="9"/>
  <c r="D2711" i="9"/>
  <c r="C2711" i="9"/>
  <c r="B2711" i="9"/>
  <c r="H2710" i="9"/>
  <c r="G2710" i="9"/>
  <c r="E2710" i="9"/>
  <c r="D2710" i="9"/>
  <c r="C2710" i="9"/>
  <c r="B2710" i="9"/>
  <c r="H2709" i="9"/>
  <c r="G2709" i="9"/>
  <c r="E2709" i="9"/>
  <c r="D2709" i="9"/>
  <c r="C2709" i="9"/>
  <c r="B2709" i="9"/>
  <c r="H2708" i="9"/>
  <c r="G2708" i="9"/>
  <c r="E2708" i="9"/>
  <c r="D2708" i="9"/>
  <c r="C2708" i="9"/>
  <c r="B2708" i="9"/>
  <c r="H2707" i="9"/>
  <c r="G2707" i="9"/>
  <c r="E2707" i="9"/>
  <c r="D2707" i="9"/>
  <c r="C2707" i="9"/>
  <c r="B2707" i="9"/>
  <c r="H2706" i="9"/>
  <c r="G2706" i="9"/>
  <c r="E2706" i="9"/>
  <c r="D2706" i="9"/>
  <c r="C2706" i="9"/>
  <c r="B2706" i="9"/>
  <c r="H2705" i="9"/>
  <c r="G2705" i="9"/>
  <c r="E2705" i="9"/>
  <c r="D2705" i="9"/>
  <c r="C2705" i="9"/>
  <c r="B2705" i="9"/>
  <c r="H2704" i="9"/>
  <c r="G2704" i="9"/>
  <c r="E2704" i="9"/>
  <c r="D2704" i="9"/>
  <c r="C2704" i="9"/>
  <c r="B2704" i="9"/>
  <c r="H2703" i="9"/>
  <c r="G2703" i="9"/>
  <c r="E2703" i="9"/>
  <c r="D2703" i="9"/>
  <c r="C2703" i="9"/>
  <c r="B2703" i="9"/>
  <c r="H2702" i="9"/>
  <c r="G2702" i="9"/>
  <c r="E2702" i="9"/>
  <c r="D2702" i="9"/>
  <c r="C2702" i="9"/>
  <c r="B2702" i="9"/>
  <c r="H2701" i="9"/>
  <c r="G2701" i="9"/>
  <c r="E2701" i="9"/>
  <c r="D2701" i="9"/>
  <c r="C2701" i="9"/>
  <c r="B2701" i="9"/>
  <c r="H2700" i="9"/>
  <c r="G2700" i="9"/>
  <c r="E2700" i="9"/>
  <c r="D2700" i="9"/>
  <c r="C2700" i="9"/>
  <c r="B2700" i="9"/>
  <c r="H2699" i="9"/>
  <c r="G2699" i="9"/>
  <c r="E2699" i="9"/>
  <c r="D2699" i="9"/>
  <c r="C2699" i="9"/>
  <c r="B2699" i="9"/>
  <c r="H2698" i="9"/>
  <c r="G2698" i="9"/>
  <c r="E2698" i="9"/>
  <c r="D2698" i="9"/>
  <c r="C2698" i="9"/>
  <c r="B2698" i="9"/>
  <c r="H2697" i="9"/>
  <c r="G2697" i="9"/>
  <c r="E2697" i="9"/>
  <c r="D2697" i="9"/>
  <c r="C2697" i="9"/>
  <c r="B2697" i="9"/>
  <c r="H2696" i="9"/>
  <c r="G2696" i="9"/>
  <c r="E2696" i="9"/>
  <c r="D2696" i="9"/>
  <c r="C2696" i="9"/>
  <c r="B2696" i="9"/>
  <c r="H2695" i="9"/>
  <c r="G2695" i="9"/>
  <c r="E2695" i="9"/>
  <c r="D2695" i="9"/>
  <c r="C2695" i="9"/>
  <c r="B2695" i="9"/>
  <c r="H2694" i="9"/>
  <c r="G2694" i="9"/>
  <c r="E2694" i="9"/>
  <c r="D2694" i="9"/>
  <c r="C2694" i="9"/>
  <c r="B2694" i="9"/>
  <c r="H2693" i="9"/>
  <c r="G2693" i="9"/>
  <c r="E2693" i="9"/>
  <c r="D2693" i="9"/>
  <c r="C2693" i="9"/>
  <c r="B2693" i="9"/>
  <c r="H2692" i="9"/>
  <c r="G2692" i="9"/>
  <c r="E2692" i="9"/>
  <c r="D2692" i="9"/>
  <c r="C2692" i="9"/>
  <c r="B2692" i="9"/>
  <c r="H2691" i="9"/>
  <c r="G2691" i="9"/>
  <c r="E2691" i="9"/>
  <c r="D2691" i="9"/>
  <c r="C2691" i="9"/>
  <c r="B2691" i="9"/>
  <c r="H2690" i="9"/>
  <c r="G2690" i="9"/>
  <c r="E2690" i="9"/>
  <c r="D2690" i="9"/>
  <c r="C2690" i="9"/>
  <c r="B2690" i="9"/>
  <c r="H2689" i="9"/>
  <c r="G2689" i="9"/>
  <c r="E2689" i="9"/>
  <c r="D2689" i="9"/>
  <c r="C2689" i="9"/>
  <c r="B2689" i="9"/>
  <c r="H2688" i="9"/>
  <c r="G2688" i="9"/>
  <c r="E2688" i="9"/>
  <c r="D2688" i="9"/>
  <c r="C2688" i="9"/>
  <c r="B2688" i="9"/>
  <c r="H2687" i="9"/>
  <c r="G2687" i="9"/>
  <c r="E2687" i="9"/>
  <c r="D2687" i="9"/>
  <c r="C2687" i="9"/>
  <c r="B2687" i="9"/>
  <c r="H2686" i="9"/>
  <c r="G2686" i="9"/>
  <c r="E2686" i="9"/>
  <c r="D2686" i="9"/>
  <c r="C2686" i="9"/>
  <c r="B2686" i="9"/>
  <c r="H2685" i="9"/>
  <c r="G2685" i="9"/>
  <c r="E2685" i="9"/>
  <c r="D2685" i="9"/>
  <c r="C2685" i="9"/>
  <c r="B2685" i="9"/>
  <c r="H2684" i="9"/>
  <c r="G2684" i="9"/>
  <c r="E2684" i="9"/>
  <c r="D2684" i="9"/>
  <c r="C2684" i="9"/>
  <c r="B2684" i="9"/>
  <c r="H2683" i="9"/>
  <c r="G2683" i="9"/>
  <c r="E2683" i="9"/>
  <c r="D2683" i="9"/>
  <c r="C2683" i="9"/>
  <c r="B2683" i="9"/>
  <c r="H2682" i="9"/>
  <c r="G2682" i="9"/>
  <c r="E2682" i="9"/>
  <c r="D2682" i="9"/>
  <c r="C2682" i="9"/>
  <c r="B2682" i="9"/>
  <c r="H2681" i="9"/>
  <c r="G2681" i="9"/>
  <c r="E2681" i="9"/>
  <c r="D2681" i="9"/>
  <c r="C2681" i="9"/>
  <c r="B2681" i="9"/>
  <c r="H2680" i="9"/>
  <c r="G2680" i="9"/>
  <c r="E2680" i="9"/>
  <c r="D2680" i="9"/>
  <c r="C2680" i="9"/>
  <c r="B2680" i="9"/>
  <c r="H2679" i="9"/>
  <c r="G2679" i="9"/>
  <c r="E2679" i="9"/>
  <c r="D2679" i="9"/>
  <c r="C2679" i="9"/>
  <c r="B2679" i="9"/>
  <c r="H2678" i="9"/>
  <c r="G2678" i="9"/>
  <c r="E2678" i="9"/>
  <c r="D2678" i="9"/>
  <c r="C2678" i="9"/>
  <c r="B2678" i="9"/>
  <c r="H2677" i="9"/>
  <c r="G2677" i="9"/>
  <c r="E2677" i="9"/>
  <c r="D2677" i="9"/>
  <c r="C2677" i="9"/>
  <c r="B2677" i="9"/>
  <c r="H2676" i="9"/>
  <c r="G2676" i="9"/>
  <c r="E2676" i="9"/>
  <c r="D2676" i="9"/>
  <c r="C2676" i="9"/>
  <c r="B2676" i="9"/>
  <c r="H2675" i="9"/>
  <c r="G2675" i="9"/>
  <c r="E2675" i="9"/>
  <c r="D2675" i="9"/>
  <c r="C2675" i="9"/>
  <c r="B2675" i="9"/>
  <c r="H2674" i="9"/>
  <c r="G2674" i="9"/>
  <c r="E2674" i="9"/>
  <c r="D2674" i="9"/>
  <c r="C2674" i="9"/>
  <c r="B2674" i="9"/>
  <c r="H2673" i="9"/>
  <c r="G2673" i="9"/>
  <c r="E2673" i="9"/>
  <c r="D2673" i="9"/>
  <c r="C2673" i="9"/>
  <c r="B2673" i="9"/>
  <c r="H2672" i="9"/>
  <c r="G2672" i="9"/>
  <c r="E2672" i="9"/>
  <c r="D2672" i="9"/>
  <c r="C2672" i="9"/>
  <c r="B2672" i="9"/>
  <c r="H2671" i="9"/>
  <c r="G2671" i="9"/>
  <c r="E2671" i="9"/>
  <c r="D2671" i="9"/>
  <c r="C2671" i="9"/>
  <c r="B2671" i="9"/>
  <c r="H2670" i="9"/>
  <c r="G2670" i="9"/>
  <c r="E2670" i="9"/>
  <c r="D2670" i="9"/>
  <c r="C2670" i="9"/>
  <c r="B2670" i="9"/>
  <c r="H2669" i="9"/>
  <c r="G2669" i="9"/>
  <c r="E2669" i="9"/>
  <c r="D2669" i="9"/>
  <c r="C2669" i="9"/>
  <c r="B2669" i="9"/>
  <c r="H2668" i="9"/>
  <c r="G2668" i="9"/>
  <c r="E2668" i="9"/>
  <c r="D2668" i="9"/>
  <c r="C2668" i="9"/>
  <c r="B2668" i="9"/>
  <c r="H2667" i="9"/>
  <c r="G2667" i="9"/>
  <c r="E2667" i="9"/>
  <c r="D2667" i="9"/>
  <c r="C2667" i="9"/>
  <c r="B2667" i="9"/>
  <c r="H2666" i="9"/>
  <c r="G2666" i="9"/>
  <c r="E2666" i="9"/>
  <c r="D2666" i="9"/>
  <c r="C2666" i="9"/>
  <c r="B2666" i="9"/>
  <c r="H2665" i="9"/>
  <c r="G2665" i="9"/>
  <c r="E2665" i="9"/>
  <c r="D2665" i="9"/>
  <c r="C2665" i="9"/>
  <c r="B2665" i="9"/>
  <c r="H2664" i="9"/>
  <c r="G2664" i="9"/>
  <c r="E2664" i="9"/>
  <c r="D2664" i="9"/>
  <c r="C2664" i="9"/>
  <c r="B2664" i="9"/>
  <c r="H2663" i="9"/>
  <c r="G2663" i="9"/>
  <c r="E2663" i="9"/>
  <c r="D2663" i="9"/>
  <c r="C2663" i="9"/>
  <c r="B2663" i="9"/>
  <c r="H2662" i="9"/>
  <c r="G2662" i="9"/>
  <c r="E2662" i="9"/>
  <c r="D2662" i="9"/>
  <c r="C2662" i="9"/>
  <c r="B2662" i="9"/>
  <c r="H2661" i="9"/>
  <c r="G2661" i="9"/>
  <c r="E2661" i="9"/>
  <c r="D2661" i="9"/>
  <c r="C2661" i="9"/>
  <c r="B2661" i="9"/>
  <c r="H2660" i="9"/>
  <c r="G2660" i="9"/>
  <c r="E2660" i="9"/>
  <c r="D2660" i="9"/>
  <c r="C2660" i="9"/>
  <c r="B2660" i="9"/>
  <c r="H2659" i="9"/>
  <c r="G2659" i="9"/>
  <c r="E2659" i="9"/>
  <c r="D2659" i="9"/>
  <c r="C2659" i="9"/>
  <c r="B2659" i="9"/>
  <c r="H2658" i="9"/>
  <c r="G2658" i="9"/>
  <c r="E2658" i="9"/>
  <c r="D2658" i="9"/>
  <c r="C2658" i="9"/>
  <c r="B2658" i="9"/>
  <c r="H2657" i="9"/>
  <c r="G2657" i="9"/>
  <c r="E2657" i="9"/>
  <c r="D2657" i="9"/>
  <c r="C2657" i="9"/>
  <c r="B2657" i="9"/>
  <c r="H2656" i="9"/>
  <c r="G2656" i="9"/>
  <c r="E2656" i="9"/>
  <c r="D2656" i="9"/>
  <c r="C2656" i="9"/>
  <c r="B2656" i="9"/>
  <c r="H2655" i="9"/>
  <c r="G2655" i="9"/>
  <c r="E2655" i="9"/>
  <c r="D2655" i="9"/>
  <c r="C2655" i="9"/>
  <c r="B2655" i="9"/>
  <c r="H2654" i="9"/>
  <c r="G2654" i="9"/>
  <c r="E2654" i="9"/>
  <c r="D2654" i="9"/>
  <c r="C2654" i="9"/>
  <c r="B2654" i="9"/>
  <c r="H2653" i="9"/>
  <c r="G2653" i="9"/>
  <c r="E2653" i="9"/>
  <c r="D2653" i="9"/>
  <c r="C2653" i="9"/>
  <c r="B2653" i="9"/>
  <c r="H2652" i="9"/>
  <c r="G2652" i="9"/>
  <c r="E2652" i="9"/>
  <c r="D2652" i="9"/>
  <c r="C2652" i="9"/>
  <c r="B2652" i="9"/>
  <c r="H2651" i="9"/>
  <c r="G2651" i="9"/>
  <c r="E2651" i="9"/>
  <c r="D2651" i="9"/>
  <c r="C2651" i="9"/>
  <c r="B2651" i="9"/>
  <c r="H2650" i="9"/>
  <c r="G2650" i="9"/>
  <c r="E2650" i="9"/>
  <c r="D2650" i="9"/>
  <c r="C2650" i="9"/>
  <c r="B2650" i="9"/>
  <c r="H2649" i="9"/>
  <c r="G2649" i="9"/>
  <c r="E2649" i="9"/>
  <c r="D2649" i="9"/>
  <c r="C2649" i="9"/>
  <c r="B2649" i="9"/>
  <c r="H2648" i="9"/>
  <c r="G2648" i="9"/>
  <c r="E2648" i="9"/>
  <c r="D2648" i="9"/>
  <c r="C2648" i="9"/>
  <c r="B2648" i="9"/>
  <c r="H2647" i="9"/>
  <c r="G2647" i="9"/>
  <c r="E2647" i="9"/>
  <c r="D2647" i="9"/>
  <c r="C2647" i="9"/>
  <c r="B2647" i="9"/>
  <c r="H2646" i="9"/>
  <c r="G2646" i="9"/>
  <c r="E2646" i="9"/>
  <c r="D2646" i="9"/>
  <c r="C2646" i="9"/>
  <c r="B2646" i="9"/>
  <c r="H2645" i="9"/>
  <c r="G2645" i="9"/>
  <c r="E2645" i="9"/>
  <c r="D2645" i="9"/>
  <c r="C2645" i="9"/>
  <c r="B2645" i="9"/>
  <c r="H2644" i="9"/>
  <c r="G2644" i="9"/>
  <c r="E2644" i="9"/>
  <c r="D2644" i="9"/>
  <c r="C2644" i="9"/>
  <c r="B2644" i="9"/>
  <c r="H2643" i="9"/>
  <c r="G2643" i="9"/>
  <c r="E2643" i="9"/>
  <c r="D2643" i="9"/>
  <c r="C2643" i="9"/>
  <c r="B2643" i="9"/>
  <c r="H2642" i="9"/>
  <c r="G2642" i="9"/>
  <c r="E2642" i="9"/>
  <c r="D2642" i="9"/>
  <c r="C2642" i="9"/>
  <c r="B2642" i="9"/>
  <c r="H2641" i="9"/>
  <c r="G2641" i="9"/>
  <c r="E2641" i="9"/>
  <c r="D2641" i="9"/>
  <c r="C2641" i="9"/>
  <c r="B2641" i="9"/>
  <c r="H2640" i="9"/>
  <c r="G2640" i="9"/>
  <c r="E2640" i="9"/>
  <c r="D2640" i="9"/>
  <c r="C2640" i="9"/>
  <c r="B2640" i="9"/>
  <c r="H2639" i="9"/>
  <c r="G2639" i="9"/>
  <c r="E2639" i="9"/>
  <c r="D2639" i="9"/>
  <c r="C2639" i="9"/>
  <c r="B2639" i="9"/>
  <c r="H2638" i="9"/>
  <c r="G2638" i="9"/>
  <c r="E2638" i="9"/>
  <c r="D2638" i="9"/>
  <c r="C2638" i="9"/>
  <c r="B2638" i="9"/>
  <c r="H2637" i="9"/>
  <c r="G2637" i="9"/>
  <c r="E2637" i="9"/>
  <c r="D2637" i="9"/>
  <c r="C2637" i="9"/>
  <c r="B2637" i="9"/>
  <c r="H2636" i="9"/>
  <c r="G2636" i="9"/>
  <c r="E2636" i="9"/>
  <c r="D2636" i="9"/>
  <c r="C2636" i="9"/>
  <c r="B2636" i="9"/>
  <c r="H2635" i="9"/>
  <c r="G2635" i="9"/>
  <c r="E2635" i="9"/>
  <c r="D2635" i="9"/>
  <c r="C2635" i="9"/>
  <c r="B2635" i="9"/>
  <c r="H2634" i="9"/>
  <c r="G2634" i="9"/>
  <c r="E2634" i="9"/>
  <c r="D2634" i="9"/>
  <c r="C2634" i="9"/>
  <c r="B2634" i="9"/>
  <c r="H2633" i="9"/>
  <c r="G2633" i="9"/>
  <c r="E2633" i="9"/>
  <c r="D2633" i="9"/>
  <c r="C2633" i="9"/>
  <c r="B2633" i="9"/>
  <c r="H2632" i="9"/>
  <c r="G2632" i="9"/>
  <c r="E2632" i="9"/>
  <c r="D2632" i="9"/>
  <c r="C2632" i="9"/>
  <c r="B2632" i="9"/>
  <c r="H2631" i="9"/>
  <c r="G2631" i="9"/>
  <c r="E2631" i="9"/>
  <c r="D2631" i="9"/>
  <c r="C2631" i="9"/>
  <c r="B2631" i="9"/>
  <c r="H2630" i="9"/>
  <c r="G2630" i="9"/>
  <c r="E2630" i="9"/>
  <c r="D2630" i="9"/>
  <c r="C2630" i="9"/>
  <c r="B2630" i="9"/>
  <c r="H2629" i="9"/>
  <c r="G2629" i="9"/>
  <c r="E2629" i="9"/>
  <c r="D2629" i="9"/>
  <c r="C2629" i="9"/>
  <c r="B2629" i="9"/>
  <c r="H2628" i="9"/>
  <c r="G2628" i="9"/>
  <c r="E2628" i="9"/>
  <c r="D2628" i="9"/>
  <c r="C2628" i="9"/>
  <c r="B2628" i="9"/>
  <c r="H2627" i="9"/>
  <c r="G2627" i="9"/>
  <c r="E2627" i="9"/>
  <c r="D2627" i="9"/>
  <c r="C2627" i="9"/>
  <c r="B2627" i="9"/>
  <c r="H2626" i="9"/>
  <c r="G2626" i="9"/>
  <c r="E2626" i="9"/>
  <c r="D2626" i="9"/>
  <c r="C2626" i="9"/>
  <c r="B2626" i="9"/>
  <c r="H2625" i="9"/>
  <c r="G2625" i="9"/>
  <c r="E2625" i="9"/>
  <c r="D2625" i="9"/>
  <c r="C2625" i="9"/>
  <c r="B2625" i="9"/>
  <c r="H2624" i="9"/>
  <c r="G2624" i="9"/>
  <c r="E2624" i="9"/>
  <c r="D2624" i="9"/>
  <c r="C2624" i="9"/>
  <c r="B2624" i="9"/>
  <c r="H2623" i="9"/>
  <c r="G2623" i="9"/>
  <c r="E2623" i="9"/>
  <c r="D2623" i="9"/>
  <c r="C2623" i="9"/>
  <c r="B2623" i="9"/>
  <c r="H2622" i="9"/>
  <c r="G2622" i="9"/>
  <c r="E2622" i="9"/>
  <c r="D2622" i="9"/>
  <c r="C2622" i="9"/>
  <c r="B2622" i="9"/>
  <c r="H2621" i="9"/>
  <c r="G2621" i="9"/>
  <c r="E2621" i="9"/>
  <c r="D2621" i="9"/>
  <c r="C2621" i="9"/>
  <c r="B2621" i="9"/>
  <c r="H2620" i="9"/>
  <c r="G2620" i="9"/>
  <c r="E2620" i="9"/>
  <c r="D2620" i="9"/>
  <c r="C2620" i="9"/>
  <c r="B2620" i="9"/>
  <c r="H2619" i="9"/>
  <c r="G2619" i="9"/>
  <c r="E2619" i="9"/>
  <c r="D2619" i="9"/>
  <c r="C2619" i="9"/>
  <c r="B2619" i="9"/>
  <c r="H2618" i="9"/>
  <c r="G2618" i="9"/>
  <c r="E2618" i="9"/>
  <c r="D2618" i="9"/>
  <c r="C2618" i="9"/>
  <c r="B2618" i="9"/>
  <c r="H2617" i="9"/>
  <c r="G2617" i="9"/>
  <c r="E2617" i="9"/>
  <c r="D2617" i="9"/>
  <c r="C2617" i="9"/>
  <c r="B2617" i="9"/>
  <c r="H2616" i="9"/>
  <c r="G2616" i="9"/>
  <c r="E2616" i="9"/>
  <c r="D2616" i="9"/>
  <c r="C2616" i="9"/>
  <c r="B2616" i="9"/>
  <c r="H2615" i="9"/>
  <c r="G2615" i="9"/>
  <c r="E2615" i="9"/>
  <c r="D2615" i="9"/>
  <c r="C2615" i="9"/>
  <c r="B2615" i="9"/>
  <c r="H2614" i="9"/>
  <c r="G2614" i="9"/>
  <c r="E2614" i="9"/>
  <c r="D2614" i="9"/>
  <c r="C2614" i="9"/>
  <c r="B2614" i="9"/>
  <c r="H2613" i="9"/>
  <c r="G2613" i="9"/>
  <c r="E2613" i="9"/>
  <c r="D2613" i="9"/>
  <c r="C2613" i="9"/>
  <c r="B2613" i="9"/>
  <c r="H2612" i="9"/>
  <c r="G2612" i="9"/>
  <c r="E2612" i="9"/>
  <c r="D2612" i="9"/>
  <c r="C2612" i="9"/>
  <c r="B2612" i="9"/>
  <c r="H2611" i="9"/>
  <c r="G2611" i="9"/>
  <c r="E2611" i="9"/>
  <c r="D2611" i="9"/>
  <c r="C2611" i="9"/>
  <c r="B2611" i="9"/>
  <c r="H2610" i="9"/>
  <c r="G2610" i="9"/>
  <c r="E2610" i="9"/>
  <c r="D2610" i="9"/>
  <c r="C2610" i="9"/>
  <c r="B2610" i="9"/>
  <c r="H2609" i="9"/>
  <c r="G2609" i="9"/>
  <c r="E2609" i="9"/>
  <c r="D2609" i="9"/>
  <c r="C2609" i="9"/>
  <c r="B2609" i="9"/>
  <c r="H2608" i="9"/>
  <c r="G2608" i="9"/>
  <c r="E2608" i="9"/>
  <c r="D2608" i="9"/>
  <c r="C2608" i="9"/>
  <c r="B2608" i="9"/>
  <c r="H2607" i="9"/>
  <c r="G2607" i="9"/>
  <c r="E2607" i="9"/>
  <c r="D2607" i="9"/>
  <c r="C2607" i="9"/>
  <c r="B2607" i="9"/>
  <c r="H2606" i="9"/>
  <c r="G2606" i="9"/>
  <c r="E2606" i="9"/>
  <c r="D2606" i="9"/>
  <c r="C2606" i="9"/>
  <c r="B2606" i="9"/>
  <c r="H2605" i="9"/>
  <c r="G2605" i="9"/>
  <c r="E2605" i="9"/>
  <c r="D2605" i="9"/>
  <c r="C2605" i="9"/>
  <c r="B2605" i="9"/>
  <c r="H2604" i="9"/>
  <c r="G2604" i="9"/>
  <c r="E2604" i="9"/>
  <c r="D2604" i="9"/>
  <c r="C2604" i="9"/>
  <c r="B2604" i="9"/>
  <c r="H2603" i="9"/>
  <c r="G2603" i="9"/>
  <c r="E2603" i="9"/>
  <c r="D2603" i="9"/>
  <c r="C2603" i="9"/>
  <c r="B2603" i="9"/>
  <c r="H2602" i="9"/>
  <c r="G2602" i="9"/>
  <c r="E2602" i="9"/>
  <c r="D2602" i="9"/>
  <c r="C2602" i="9"/>
  <c r="B2602" i="9"/>
  <c r="H2601" i="9"/>
  <c r="G2601" i="9"/>
  <c r="E2601" i="9"/>
  <c r="D2601" i="9"/>
  <c r="C2601" i="9"/>
  <c r="B2601" i="9"/>
  <c r="H2600" i="9"/>
  <c r="G2600" i="9"/>
  <c r="E2600" i="9"/>
  <c r="D2600" i="9"/>
  <c r="C2600" i="9"/>
  <c r="B2600" i="9"/>
  <c r="H2599" i="9"/>
  <c r="G2599" i="9"/>
  <c r="E2599" i="9"/>
  <c r="D2599" i="9"/>
  <c r="C2599" i="9"/>
  <c r="B2599" i="9"/>
  <c r="H2598" i="9"/>
  <c r="G2598" i="9"/>
  <c r="E2598" i="9"/>
  <c r="D2598" i="9"/>
  <c r="C2598" i="9"/>
  <c r="B2598" i="9"/>
  <c r="H2597" i="9"/>
  <c r="G2597" i="9"/>
  <c r="E2597" i="9"/>
  <c r="D2597" i="9"/>
  <c r="C2597" i="9"/>
  <c r="B2597" i="9"/>
  <c r="H2596" i="9"/>
  <c r="G2596" i="9"/>
  <c r="E2596" i="9"/>
  <c r="D2596" i="9"/>
  <c r="C2596" i="9"/>
  <c r="B2596" i="9"/>
  <c r="H2595" i="9"/>
  <c r="G2595" i="9"/>
  <c r="E2595" i="9"/>
  <c r="D2595" i="9"/>
  <c r="C2595" i="9"/>
  <c r="B2595" i="9"/>
  <c r="H2594" i="9"/>
  <c r="G2594" i="9"/>
  <c r="E2594" i="9"/>
  <c r="D2594" i="9"/>
  <c r="C2594" i="9"/>
  <c r="B2594" i="9"/>
  <c r="H2593" i="9"/>
  <c r="G2593" i="9"/>
  <c r="E2593" i="9"/>
  <c r="D2593" i="9"/>
  <c r="C2593" i="9"/>
  <c r="B2593" i="9"/>
  <c r="H2592" i="9"/>
  <c r="G2592" i="9"/>
  <c r="E2592" i="9"/>
  <c r="D2592" i="9"/>
  <c r="C2592" i="9"/>
  <c r="B2592" i="9"/>
  <c r="H2591" i="9"/>
  <c r="G2591" i="9"/>
  <c r="E2591" i="9"/>
  <c r="D2591" i="9"/>
  <c r="C2591" i="9"/>
  <c r="B2591" i="9"/>
  <c r="H2590" i="9"/>
  <c r="G2590" i="9"/>
  <c r="E2590" i="9"/>
  <c r="D2590" i="9"/>
  <c r="C2590" i="9"/>
  <c r="B2590" i="9"/>
  <c r="H2589" i="9"/>
  <c r="G2589" i="9"/>
  <c r="E2589" i="9"/>
  <c r="D2589" i="9"/>
  <c r="C2589" i="9"/>
  <c r="B2589" i="9"/>
  <c r="H2588" i="9"/>
  <c r="G2588" i="9"/>
  <c r="E2588" i="9"/>
  <c r="D2588" i="9"/>
  <c r="C2588" i="9"/>
  <c r="B2588" i="9"/>
  <c r="H2587" i="9"/>
  <c r="G2587" i="9"/>
  <c r="E2587" i="9"/>
  <c r="D2587" i="9"/>
  <c r="C2587" i="9"/>
  <c r="B2587" i="9"/>
  <c r="H2586" i="9"/>
  <c r="G2586" i="9"/>
  <c r="E2586" i="9"/>
  <c r="D2586" i="9"/>
  <c r="C2586" i="9"/>
  <c r="B2586" i="9"/>
  <c r="H2585" i="9"/>
  <c r="G2585" i="9"/>
  <c r="E2585" i="9"/>
  <c r="D2585" i="9"/>
  <c r="C2585" i="9"/>
  <c r="B2585" i="9"/>
  <c r="H2584" i="9"/>
  <c r="G2584" i="9"/>
  <c r="E2584" i="9"/>
  <c r="D2584" i="9"/>
  <c r="C2584" i="9"/>
  <c r="B2584" i="9"/>
  <c r="H2583" i="9"/>
  <c r="G2583" i="9"/>
  <c r="E2583" i="9"/>
  <c r="D2583" i="9"/>
  <c r="C2583" i="9"/>
  <c r="B2583" i="9"/>
  <c r="H2582" i="9"/>
  <c r="G2582" i="9"/>
  <c r="E2582" i="9"/>
  <c r="D2582" i="9"/>
  <c r="C2582" i="9"/>
  <c r="B2582" i="9"/>
  <c r="H2581" i="9"/>
  <c r="G2581" i="9"/>
  <c r="E2581" i="9"/>
  <c r="D2581" i="9"/>
  <c r="C2581" i="9"/>
  <c r="B2581" i="9"/>
  <c r="H2580" i="9"/>
  <c r="G2580" i="9"/>
  <c r="E2580" i="9"/>
  <c r="D2580" i="9"/>
  <c r="C2580" i="9"/>
  <c r="B2580" i="9"/>
  <c r="H2579" i="9"/>
  <c r="G2579" i="9"/>
  <c r="E2579" i="9"/>
  <c r="D2579" i="9"/>
  <c r="C2579" i="9"/>
  <c r="B2579" i="9"/>
  <c r="H2578" i="9"/>
  <c r="G2578" i="9"/>
  <c r="E2578" i="9"/>
  <c r="D2578" i="9"/>
  <c r="C2578" i="9"/>
  <c r="B2578" i="9"/>
  <c r="H2577" i="9"/>
  <c r="G2577" i="9"/>
  <c r="E2577" i="9"/>
  <c r="D2577" i="9"/>
  <c r="C2577" i="9"/>
  <c r="B2577" i="9"/>
  <c r="H2576" i="9"/>
  <c r="G2576" i="9"/>
  <c r="E2576" i="9"/>
  <c r="D2576" i="9"/>
  <c r="C2576" i="9"/>
  <c r="B2576" i="9"/>
  <c r="H2575" i="9"/>
  <c r="G2575" i="9"/>
  <c r="E2575" i="9"/>
  <c r="D2575" i="9"/>
  <c r="C2575" i="9"/>
  <c r="B2575" i="9"/>
  <c r="H2574" i="9"/>
  <c r="G2574" i="9"/>
  <c r="E2574" i="9"/>
  <c r="D2574" i="9"/>
  <c r="C2574" i="9"/>
  <c r="B2574" i="9"/>
  <c r="H2573" i="9"/>
  <c r="G2573" i="9"/>
  <c r="E2573" i="9"/>
  <c r="D2573" i="9"/>
  <c r="C2573" i="9"/>
  <c r="B2573" i="9"/>
  <c r="H2572" i="9"/>
  <c r="G2572" i="9"/>
  <c r="E2572" i="9"/>
  <c r="D2572" i="9"/>
  <c r="C2572" i="9"/>
  <c r="B2572" i="9"/>
  <c r="H2571" i="9"/>
  <c r="G2571" i="9"/>
  <c r="E2571" i="9"/>
  <c r="D2571" i="9"/>
  <c r="C2571" i="9"/>
  <c r="B2571" i="9"/>
  <c r="H2570" i="9"/>
  <c r="G2570" i="9"/>
  <c r="E2570" i="9"/>
  <c r="D2570" i="9"/>
  <c r="C2570" i="9"/>
  <c r="B2570" i="9"/>
  <c r="H2569" i="9"/>
  <c r="G2569" i="9"/>
  <c r="E2569" i="9"/>
  <c r="D2569" i="9"/>
  <c r="C2569" i="9"/>
  <c r="B2569" i="9"/>
  <c r="H2568" i="9"/>
  <c r="G2568" i="9"/>
  <c r="E2568" i="9"/>
  <c r="D2568" i="9"/>
  <c r="C2568" i="9"/>
  <c r="B2568" i="9"/>
  <c r="H2567" i="9"/>
  <c r="G2567" i="9"/>
  <c r="E2567" i="9"/>
  <c r="D2567" i="9"/>
  <c r="C2567" i="9"/>
  <c r="B2567" i="9"/>
  <c r="H2566" i="9"/>
  <c r="G2566" i="9"/>
  <c r="E2566" i="9"/>
  <c r="D2566" i="9"/>
  <c r="C2566" i="9"/>
  <c r="B2566" i="9"/>
  <c r="H2565" i="9"/>
  <c r="G2565" i="9"/>
  <c r="E2565" i="9"/>
  <c r="D2565" i="9"/>
  <c r="C2565" i="9"/>
  <c r="B2565" i="9"/>
  <c r="H2564" i="9"/>
  <c r="G2564" i="9"/>
  <c r="E2564" i="9"/>
  <c r="D2564" i="9"/>
  <c r="C2564" i="9"/>
  <c r="B2564" i="9"/>
  <c r="H2563" i="9"/>
  <c r="G2563" i="9"/>
  <c r="E2563" i="9"/>
  <c r="D2563" i="9"/>
  <c r="C2563" i="9"/>
  <c r="B2563" i="9"/>
  <c r="H2562" i="9"/>
  <c r="G2562" i="9"/>
  <c r="E2562" i="9"/>
  <c r="D2562" i="9"/>
  <c r="C2562" i="9"/>
  <c r="B2562" i="9"/>
  <c r="H2561" i="9"/>
  <c r="G2561" i="9"/>
  <c r="E2561" i="9"/>
  <c r="D2561" i="9"/>
  <c r="C2561" i="9"/>
  <c r="B2561" i="9"/>
  <c r="H2560" i="9"/>
  <c r="G2560" i="9"/>
  <c r="E2560" i="9"/>
  <c r="D2560" i="9"/>
  <c r="C2560" i="9"/>
  <c r="B2560" i="9"/>
  <c r="H2559" i="9"/>
  <c r="G2559" i="9"/>
  <c r="E2559" i="9"/>
  <c r="D2559" i="9"/>
  <c r="C2559" i="9"/>
  <c r="B2559" i="9"/>
  <c r="H2558" i="9"/>
  <c r="G2558" i="9"/>
  <c r="E2558" i="9"/>
  <c r="D2558" i="9"/>
  <c r="C2558" i="9"/>
  <c r="B2558" i="9"/>
  <c r="H2557" i="9"/>
  <c r="G2557" i="9"/>
  <c r="E2557" i="9"/>
  <c r="D2557" i="9"/>
  <c r="C2557" i="9"/>
  <c r="B2557" i="9"/>
  <c r="H2556" i="9"/>
  <c r="G2556" i="9"/>
  <c r="E2556" i="9"/>
  <c r="D2556" i="9"/>
  <c r="C2556" i="9"/>
  <c r="B2556" i="9"/>
  <c r="H2555" i="9"/>
  <c r="G2555" i="9"/>
  <c r="E2555" i="9"/>
  <c r="D2555" i="9"/>
  <c r="C2555" i="9"/>
  <c r="B2555" i="9"/>
  <c r="H2554" i="9"/>
  <c r="G2554" i="9"/>
  <c r="E2554" i="9"/>
  <c r="D2554" i="9"/>
  <c r="C2554" i="9"/>
  <c r="B2554" i="9"/>
  <c r="H2553" i="9"/>
  <c r="G2553" i="9"/>
  <c r="E2553" i="9"/>
  <c r="D2553" i="9"/>
  <c r="C2553" i="9"/>
  <c r="B2553" i="9"/>
  <c r="H2552" i="9"/>
  <c r="G2552" i="9"/>
  <c r="E2552" i="9"/>
  <c r="D2552" i="9"/>
  <c r="C2552" i="9"/>
  <c r="B2552" i="9"/>
  <c r="H2551" i="9"/>
  <c r="G2551" i="9"/>
  <c r="E2551" i="9"/>
  <c r="D2551" i="9"/>
  <c r="C2551" i="9"/>
  <c r="B2551" i="9"/>
  <c r="H2550" i="9"/>
  <c r="G2550" i="9"/>
  <c r="E2550" i="9"/>
  <c r="D2550" i="9"/>
  <c r="C2550" i="9"/>
  <c r="B2550" i="9"/>
  <c r="H2549" i="9"/>
  <c r="G2549" i="9"/>
  <c r="E2549" i="9"/>
  <c r="D2549" i="9"/>
  <c r="C2549" i="9"/>
  <c r="B2549" i="9"/>
  <c r="H2548" i="9"/>
  <c r="G2548" i="9"/>
  <c r="E2548" i="9"/>
  <c r="D2548" i="9"/>
  <c r="C2548" i="9"/>
  <c r="B2548" i="9"/>
  <c r="H2547" i="9"/>
  <c r="G2547" i="9"/>
  <c r="E2547" i="9"/>
  <c r="D2547" i="9"/>
  <c r="C2547" i="9"/>
  <c r="B2547" i="9"/>
  <c r="H2546" i="9"/>
  <c r="G2546" i="9"/>
  <c r="E2546" i="9"/>
  <c r="D2546" i="9"/>
  <c r="C2546" i="9"/>
  <c r="B2546" i="9"/>
  <c r="H2545" i="9"/>
  <c r="G2545" i="9"/>
  <c r="E2545" i="9"/>
  <c r="D2545" i="9"/>
  <c r="C2545" i="9"/>
  <c r="B2545" i="9"/>
  <c r="H2544" i="9"/>
  <c r="G2544" i="9"/>
  <c r="E2544" i="9"/>
  <c r="D2544" i="9"/>
  <c r="C2544" i="9"/>
  <c r="B2544" i="9"/>
  <c r="H2543" i="9"/>
  <c r="G2543" i="9"/>
  <c r="E2543" i="9"/>
  <c r="D2543" i="9"/>
  <c r="C2543" i="9"/>
  <c r="B2543" i="9"/>
  <c r="H2542" i="9"/>
  <c r="G2542" i="9"/>
  <c r="E2542" i="9"/>
  <c r="D2542" i="9"/>
  <c r="C2542" i="9"/>
  <c r="B2542" i="9"/>
  <c r="H2541" i="9"/>
  <c r="G2541" i="9"/>
  <c r="E2541" i="9"/>
  <c r="D2541" i="9"/>
  <c r="C2541" i="9"/>
  <c r="B2541" i="9"/>
  <c r="H2540" i="9"/>
  <c r="G2540" i="9"/>
  <c r="E2540" i="9"/>
  <c r="D2540" i="9"/>
  <c r="C2540" i="9"/>
  <c r="B2540" i="9"/>
  <c r="H2539" i="9"/>
  <c r="G2539" i="9"/>
  <c r="E2539" i="9"/>
  <c r="D2539" i="9"/>
  <c r="C2539" i="9"/>
  <c r="B2539" i="9"/>
  <c r="H2538" i="9"/>
  <c r="G2538" i="9"/>
  <c r="E2538" i="9"/>
  <c r="D2538" i="9"/>
  <c r="C2538" i="9"/>
  <c r="B2538" i="9"/>
  <c r="H2537" i="9"/>
  <c r="G2537" i="9"/>
  <c r="E2537" i="9"/>
  <c r="D2537" i="9"/>
  <c r="C2537" i="9"/>
  <c r="B2537" i="9"/>
  <c r="H2536" i="9"/>
  <c r="G2536" i="9"/>
  <c r="E2536" i="9"/>
  <c r="D2536" i="9"/>
  <c r="C2536" i="9"/>
  <c r="B2536" i="9"/>
  <c r="H2535" i="9"/>
  <c r="G2535" i="9"/>
  <c r="E2535" i="9"/>
  <c r="D2535" i="9"/>
  <c r="C2535" i="9"/>
  <c r="B2535" i="9"/>
  <c r="H2534" i="9"/>
  <c r="G2534" i="9"/>
  <c r="E2534" i="9"/>
  <c r="D2534" i="9"/>
  <c r="C2534" i="9"/>
  <c r="B2534" i="9"/>
  <c r="H2533" i="9"/>
  <c r="G2533" i="9"/>
  <c r="E2533" i="9"/>
  <c r="D2533" i="9"/>
  <c r="C2533" i="9"/>
  <c r="B2533" i="9"/>
  <c r="H2532" i="9"/>
  <c r="G2532" i="9"/>
  <c r="E2532" i="9"/>
  <c r="D2532" i="9"/>
  <c r="C2532" i="9"/>
  <c r="B2532" i="9"/>
  <c r="H2531" i="9"/>
  <c r="G2531" i="9"/>
  <c r="E2531" i="9"/>
  <c r="D2531" i="9"/>
  <c r="C2531" i="9"/>
  <c r="B2531" i="9"/>
  <c r="H2530" i="9"/>
  <c r="G2530" i="9"/>
  <c r="E2530" i="9"/>
  <c r="D2530" i="9"/>
  <c r="C2530" i="9"/>
  <c r="B2530" i="9"/>
  <c r="H2529" i="9"/>
  <c r="G2529" i="9"/>
  <c r="E2529" i="9"/>
  <c r="D2529" i="9"/>
  <c r="C2529" i="9"/>
  <c r="B2529" i="9"/>
  <c r="H2528" i="9"/>
  <c r="G2528" i="9"/>
  <c r="E2528" i="9"/>
  <c r="D2528" i="9"/>
  <c r="C2528" i="9"/>
  <c r="B2528" i="9"/>
  <c r="H2527" i="9"/>
  <c r="G2527" i="9"/>
  <c r="E2527" i="9"/>
  <c r="D2527" i="9"/>
  <c r="C2527" i="9"/>
  <c r="B2527" i="9"/>
  <c r="H2526" i="9"/>
  <c r="G2526" i="9"/>
  <c r="E2526" i="9"/>
  <c r="D2526" i="9"/>
  <c r="C2526" i="9"/>
  <c r="B2526" i="9"/>
  <c r="H2525" i="9"/>
  <c r="G2525" i="9"/>
  <c r="E2525" i="9"/>
  <c r="D2525" i="9"/>
  <c r="C2525" i="9"/>
  <c r="B2525" i="9"/>
  <c r="H2524" i="9"/>
  <c r="G2524" i="9"/>
  <c r="E2524" i="9"/>
  <c r="D2524" i="9"/>
  <c r="C2524" i="9"/>
  <c r="B2524" i="9"/>
  <c r="H2523" i="9"/>
  <c r="G2523" i="9"/>
  <c r="E2523" i="9"/>
  <c r="D2523" i="9"/>
  <c r="C2523" i="9"/>
  <c r="B2523" i="9"/>
  <c r="H2522" i="9"/>
  <c r="G2522" i="9"/>
  <c r="E2522" i="9"/>
  <c r="D2522" i="9"/>
  <c r="C2522" i="9"/>
  <c r="B2522" i="9"/>
  <c r="H2521" i="9"/>
  <c r="G2521" i="9"/>
  <c r="E2521" i="9"/>
  <c r="D2521" i="9"/>
  <c r="C2521" i="9"/>
  <c r="B2521" i="9"/>
  <c r="H2520" i="9"/>
  <c r="G2520" i="9"/>
  <c r="E2520" i="9"/>
  <c r="D2520" i="9"/>
  <c r="C2520" i="9"/>
  <c r="B2520" i="9"/>
  <c r="H2519" i="9"/>
  <c r="G2519" i="9"/>
  <c r="E2519" i="9"/>
  <c r="D2519" i="9"/>
  <c r="C2519" i="9"/>
  <c r="B2519" i="9"/>
  <c r="H2518" i="9"/>
  <c r="G2518" i="9"/>
  <c r="E2518" i="9"/>
  <c r="D2518" i="9"/>
  <c r="C2518" i="9"/>
  <c r="B2518" i="9"/>
  <c r="H2517" i="9"/>
  <c r="G2517" i="9"/>
  <c r="E2517" i="9"/>
  <c r="D2517" i="9"/>
  <c r="C2517" i="9"/>
  <c r="B2517" i="9"/>
  <c r="H2516" i="9"/>
  <c r="G2516" i="9"/>
  <c r="E2516" i="9"/>
  <c r="D2516" i="9"/>
  <c r="C2516" i="9"/>
  <c r="B2516" i="9"/>
  <c r="H2515" i="9"/>
  <c r="G2515" i="9"/>
  <c r="E2515" i="9"/>
  <c r="D2515" i="9"/>
  <c r="C2515" i="9"/>
  <c r="B2515" i="9"/>
  <c r="H2514" i="9"/>
  <c r="G2514" i="9"/>
  <c r="E2514" i="9"/>
  <c r="D2514" i="9"/>
  <c r="C2514" i="9"/>
  <c r="B2514" i="9"/>
  <c r="H2513" i="9"/>
  <c r="G2513" i="9"/>
  <c r="E2513" i="9"/>
  <c r="D2513" i="9"/>
  <c r="C2513" i="9"/>
  <c r="B2513" i="9"/>
  <c r="H2512" i="9"/>
  <c r="G2512" i="9"/>
  <c r="E2512" i="9"/>
  <c r="D2512" i="9"/>
  <c r="C2512" i="9"/>
  <c r="B2512" i="9"/>
  <c r="H2511" i="9"/>
  <c r="G2511" i="9"/>
  <c r="E2511" i="9"/>
  <c r="D2511" i="9"/>
  <c r="C2511" i="9"/>
  <c r="B2511" i="9"/>
  <c r="H2510" i="9"/>
  <c r="G2510" i="9"/>
  <c r="E2510" i="9"/>
  <c r="D2510" i="9"/>
  <c r="C2510" i="9"/>
  <c r="B2510" i="9"/>
  <c r="H2509" i="9"/>
  <c r="G2509" i="9"/>
  <c r="E2509" i="9"/>
  <c r="D2509" i="9"/>
  <c r="C2509" i="9"/>
  <c r="B2509" i="9"/>
  <c r="H2508" i="9"/>
  <c r="G2508" i="9"/>
  <c r="E2508" i="9"/>
  <c r="D2508" i="9"/>
  <c r="C2508" i="9"/>
  <c r="B2508" i="9"/>
  <c r="H2507" i="9"/>
  <c r="G2507" i="9"/>
  <c r="E2507" i="9"/>
  <c r="D2507" i="9"/>
  <c r="C2507" i="9"/>
  <c r="B2507" i="9"/>
  <c r="H2506" i="9"/>
  <c r="G2506" i="9"/>
  <c r="E2506" i="9"/>
  <c r="D2506" i="9"/>
  <c r="C2506" i="9"/>
  <c r="B2506" i="9"/>
  <c r="H2505" i="9"/>
  <c r="G2505" i="9"/>
  <c r="E2505" i="9"/>
  <c r="D2505" i="9"/>
  <c r="C2505" i="9"/>
  <c r="B2505" i="9"/>
  <c r="H2504" i="9"/>
  <c r="G2504" i="9"/>
  <c r="E2504" i="9"/>
  <c r="D2504" i="9"/>
  <c r="C2504" i="9"/>
  <c r="B2504" i="9"/>
  <c r="H2503" i="9"/>
  <c r="G2503" i="9"/>
  <c r="E2503" i="9"/>
  <c r="D2503" i="9"/>
  <c r="C2503" i="9"/>
  <c r="B2503" i="9"/>
  <c r="H2502" i="9"/>
  <c r="G2502" i="9"/>
  <c r="E2502" i="9"/>
  <c r="D2502" i="9"/>
  <c r="C2502" i="9"/>
  <c r="B2502" i="9"/>
  <c r="H2501" i="9"/>
  <c r="G2501" i="9"/>
  <c r="E2501" i="9"/>
  <c r="D2501" i="9"/>
  <c r="C2501" i="9"/>
  <c r="B2501" i="9"/>
  <c r="H2500" i="9"/>
  <c r="G2500" i="9"/>
  <c r="E2500" i="9"/>
  <c r="D2500" i="9"/>
  <c r="C2500" i="9"/>
  <c r="B2500" i="9"/>
  <c r="H2499" i="9"/>
  <c r="G2499" i="9"/>
  <c r="E2499" i="9"/>
  <c r="D2499" i="9"/>
  <c r="C2499" i="9"/>
  <c r="B2499" i="9"/>
  <c r="H2498" i="9"/>
  <c r="G2498" i="9"/>
  <c r="E2498" i="9"/>
  <c r="D2498" i="9"/>
  <c r="C2498" i="9"/>
  <c r="B2498" i="9"/>
  <c r="H2497" i="9"/>
  <c r="G2497" i="9"/>
  <c r="E2497" i="9"/>
  <c r="D2497" i="9"/>
  <c r="C2497" i="9"/>
  <c r="B2497" i="9"/>
  <c r="H2496" i="9"/>
  <c r="G2496" i="9"/>
  <c r="E2496" i="9"/>
  <c r="D2496" i="9"/>
  <c r="C2496" i="9"/>
  <c r="B2496" i="9"/>
  <c r="H2495" i="9"/>
  <c r="G2495" i="9"/>
  <c r="E2495" i="9"/>
  <c r="D2495" i="9"/>
  <c r="C2495" i="9"/>
  <c r="B2495" i="9"/>
  <c r="H2494" i="9"/>
  <c r="G2494" i="9"/>
  <c r="E2494" i="9"/>
  <c r="D2494" i="9"/>
  <c r="C2494" i="9"/>
  <c r="B2494" i="9"/>
  <c r="H2493" i="9"/>
  <c r="G2493" i="9"/>
  <c r="E2493" i="9"/>
  <c r="D2493" i="9"/>
  <c r="C2493" i="9"/>
  <c r="B2493" i="9"/>
  <c r="H2492" i="9"/>
  <c r="G2492" i="9"/>
  <c r="E2492" i="9"/>
  <c r="D2492" i="9"/>
  <c r="C2492" i="9"/>
  <c r="B2492" i="9"/>
  <c r="H2491" i="9"/>
  <c r="G2491" i="9"/>
  <c r="E2491" i="9"/>
  <c r="D2491" i="9"/>
  <c r="C2491" i="9"/>
  <c r="B2491" i="9"/>
  <c r="H2490" i="9"/>
  <c r="G2490" i="9"/>
  <c r="E2490" i="9"/>
  <c r="D2490" i="9"/>
  <c r="C2490" i="9"/>
  <c r="B2490" i="9"/>
  <c r="H2489" i="9"/>
  <c r="G2489" i="9"/>
  <c r="E2489" i="9"/>
  <c r="D2489" i="9"/>
  <c r="C2489" i="9"/>
  <c r="B2489" i="9"/>
  <c r="H2488" i="9"/>
  <c r="G2488" i="9"/>
  <c r="E2488" i="9"/>
  <c r="D2488" i="9"/>
  <c r="C2488" i="9"/>
  <c r="B2488" i="9"/>
  <c r="H2487" i="9"/>
  <c r="G2487" i="9"/>
  <c r="E2487" i="9"/>
  <c r="D2487" i="9"/>
  <c r="C2487" i="9"/>
  <c r="B2487" i="9"/>
  <c r="H2486" i="9"/>
  <c r="G2486" i="9"/>
  <c r="E2486" i="9"/>
  <c r="D2486" i="9"/>
  <c r="C2486" i="9"/>
  <c r="B2486" i="9"/>
  <c r="H2485" i="9"/>
  <c r="G2485" i="9"/>
  <c r="E2485" i="9"/>
  <c r="D2485" i="9"/>
  <c r="C2485" i="9"/>
  <c r="B2485" i="9"/>
  <c r="H2484" i="9"/>
  <c r="G2484" i="9"/>
  <c r="E2484" i="9"/>
  <c r="D2484" i="9"/>
  <c r="C2484" i="9"/>
  <c r="B2484" i="9"/>
  <c r="H2483" i="9"/>
  <c r="G2483" i="9"/>
  <c r="E2483" i="9"/>
  <c r="D2483" i="9"/>
  <c r="C2483" i="9"/>
  <c r="B2483" i="9"/>
  <c r="H2482" i="9"/>
  <c r="G2482" i="9"/>
  <c r="E2482" i="9"/>
  <c r="D2482" i="9"/>
  <c r="C2482" i="9"/>
  <c r="B2482" i="9"/>
  <c r="H2481" i="9"/>
  <c r="G2481" i="9"/>
  <c r="E2481" i="9"/>
  <c r="D2481" i="9"/>
  <c r="C2481" i="9"/>
  <c r="B2481" i="9"/>
  <c r="H2480" i="9"/>
  <c r="G2480" i="9"/>
  <c r="E2480" i="9"/>
  <c r="D2480" i="9"/>
  <c r="C2480" i="9"/>
  <c r="B2480" i="9"/>
  <c r="H2479" i="9"/>
  <c r="G2479" i="9"/>
  <c r="E2479" i="9"/>
  <c r="D2479" i="9"/>
  <c r="C2479" i="9"/>
  <c r="B2479" i="9"/>
  <c r="H2478" i="9"/>
  <c r="G2478" i="9"/>
  <c r="E2478" i="9"/>
  <c r="D2478" i="9"/>
  <c r="C2478" i="9"/>
  <c r="B2478" i="9"/>
  <c r="H2477" i="9"/>
  <c r="G2477" i="9"/>
  <c r="E2477" i="9"/>
  <c r="D2477" i="9"/>
  <c r="C2477" i="9"/>
  <c r="B2477" i="9"/>
  <c r="H2476" i="9"/>
  <c r="G2476" i="9"/>
  <c r="E2476" i="9"/>
  <c r="D2476" i="9"/>
  <c r="C2476" i="9"/>
  <c r="B2476" i="9"/>
  <c r="H2475" i="9"/>
  <c r="G2475" i="9"/>
  <c r="E2475" i="9"/>
  <c r="D2475" i="9"/>
  <c r="C2475" i="9"/>
  <c r="B2475" i="9"/>
  <c r="H2474" i="9"/>
  <c r="G2474" i="9"/>
  <c r="E2474" i="9"/>
  <c r="D2474" i="9"/>
  <c r="C2474" i="9"/>
  <c r="B2474" i="9"/>
  <c r="H2473" i="9"/>
  <c r="G2473" i="9"/>
  <c r="E2473" i="9"/>
  <c r="D2473" i="9"/>
  <c r="C2473" i="9"/>
  <c r="B2473" i="9"/>
  <c r="H2472" i="9"/>
  <c r="G2472" i="9"/>
  <c r="E2472" i="9"/>
  <c r="D2472" i="9"/>
  <c r="C2472" i="9"/>
  <c r="B2472" i="9"/>
  <c r="H2471" i="9"/>
  <c r="G2471" i="9"/>
  <c r="E2471" i="9"/>
  <c r="D2471" i="9"/>
  <c r="C2471" i="9"/>
  <c r="B2471" i="9"/>
  <c r="H2470" i="9"/>
  <c r="G2470" i="9"/>
  <c r="E2470" i="9"/>
  <c r="D2470" i="9"/>
  <c r="C2470" i="9"/>
  <c r="B2470" i="9"/>
  <c r="H2469" i="9"/>
  <c r="G2469" i="9"/>
  <c r="E2469" i="9"/>
  <c r="D2469" i="9"/>
  <c r="C2469" i="9"/>
  <c r="B2469" i="9"/>
  <c r="H2468" i="9"/>
  <c r="G2468" i="9"/>
  <c r="E2468" i="9"/>
  <c r="D2468" i="9"/>
  <c r="C2468" i="9"/>
  <c r="B2468" i="9"/>
  <c r="H2467" i="9"/>
  <c r="G2467" i="9"/>
  <c r="E2467" i="9"/>
  <c r="D2467" i="9"/>
  <c r="C2467" i="9"/>
  <c r="B2467" i="9"/>
  <c r="H2466" i="9"/>
  <c r="G2466" i="9"/>
  <c r="E2466" i="9"/>
  <c r="D2466" i="9"/>
  <c r="C2466" i="9"/>
  <c r="B2466" i="9"/>
  <c r="H2465" i="9"/>
  <c r="G2465" i="9"/>
  <c r="E2465" i="9"/>
  <c r="D2465" i="9"/>
  <c r="C2465" i="9"/>
  <c r="B2465" i="9"/>
  <c r="H2464" i="9"/>
  <c r="G2464" i="9"/>
  <c r="E2464" i="9"/>
  <c r="D2464" i="9"/>
  <c r="C2464" i="9"/>
  <c r="B2464" i="9"/>
  <c r="H2463" i="9"/>
  <c r="G2463" i="9"/>
  <c r="E2463" i="9"/>
  <c r="D2463" i="9"/>
  <c r="C2463" i="9"/>
  <c r="B2463" i="9"/>
  <c r="H2462" i="9"/>
  <c r="G2462" i="9"/>
  <c r="E2462" i="9"/>
  <c r="D2462" i="9"/>
  <c r="C2462" i="9"/>
  <c r="B2462" i="9"/>
  <c r="H2461" i="9"/>
  <c r="G2461" i="9"/>
  <c r="E2461" i="9"/>
  <c r="D2461" i="9"/>
  <c r="C2461" i="9"/>
  <c r="B2461" i="9"/>
  <c r="H2460" i="9"/>
  <c r="G2460" i="9"/>
  <c r="E2460" i="9"/>
  <c r="D2460" i="9"/>
  <c r="C2460" i="9"/>
  <c r="B2460" i="9"/>
  <c r="H2459" i="9"/>
  <c r="G2459" i="9"/>
  <c r="E2459" i="9"/>
  <c r="D2459" i="9"/>
  <c r="C2459" i="9"/>
  <c r="B2459" i="9"/>
  <c r="H2458" i="9"/>
  <c r="G2458" i="9"/>
  <c r="E2458" i="9"/>
  <c r="D2458" i="9"/>
  <c r="C2458" i="9"/>
  <c r="B2458" i="9"/>
  <c r="H2457" i="9"/>
  <c r="G2457" i="9"/>
  <c r="E2457" i="9"/>
  <c r="D2457" i="9"/>
  <c r="C2457" i="9"/>
  <c r="B2457" i="9"/>
  <c r="H2456" i="9"/>
  <c r="G2456" i="9"/>
  <c r="E2456" i="9"/>
  <c r="D2456" i="9"/>
  <c r="C2456" i="9"/>
  <c r="B2456" i="9"/>
  <c r="H2455" i="9"/>
  <c r="G2455" i="9"/>
  <c r="E2455" i="9"/>
  <c r="D2455" i="9"/>
  <c r="C2455" i="9"/>
  <c r="B2455" i="9"/>
  <c r="H2454" i="9"/>
  <c r="G2454" i="9"/>
  <c r="E2454" i="9"/>
  <c r="D2454" i="9"/>
  <c r="C2454" i="9"/>
  <c r="B2454" i="9"/>
  <c r="H2453" i="9"/>
  <c r="G2453" i="9"/>
  <c r="E2453" i="9"/>
  <c r="D2453" i="9"/>
  <c r="C2453" i="9"/>
  <c r="B2453" i="9"/>
  <c r="H2452" i="9"/>
  <c r="G2452" i="9"/>
  <c r="E2452" i="9"/>
  <c r="D2452" i="9"/>
  <c r="C2452" i="9"/>
  <c r="B2452" i="9"/>
  <c r="H2451" i="9"/>
  <c r="G2451" i="9"/>
  <c r="E2451" i="9"/>
  <c r="D2451" i="9"/>
  <c r="C2451" i="9"/>
  <c r="B2451" i="9"/>
  <c r="H2450" i="9"/>
  <c r="G2450" i="9"/>
  <c r="E2450" i="9"/>
  <c r="D2450" i="9"/>
  <c r="C2450" i="9"/>
  <c r="B2450" i="9"/>
  <c r="H2449" i="9"/>
  <c r="G2449" i="9"/>
  <c r="E2449" i="9"/>
  <c r="D2449" i="9"/>
  <c r="C2449" i="9"/>
  <c r="B2449" i="9"/>
  <c r="H2448" i="9"/>
  <c r="G2448" i="9"/>
  <c r="E2448" i="9"/>
  <c r="D2448" i="9"/>
  <c r="C2448" i="9"/>
  <c r="B2448" i="9"/>
  <c r="H2447" i="9"/>
  <c r="G2447" i="9"/>
  <c r="E2447" i="9"/>
  <c r="D2447" i="9"/>
  <c r="C2447" i="9"/>
  <c r="B2447" i="9"/>
  <c r="H2446" i="9"/>
  <c r="G2446" i="9"/>
  <c r="E2446" i="9"/>
  <c r="D2446" i="9"/>
  <c r="C2446" i="9"/>
  <c r="B2446" i="9"/>
  <c r="H2445" i="9"/>
  <c r="G2445" i="9"/>
  <c r="E2445" i="9"/>
  <c r="D2445" i="9"/>
  <c r="C2445" i="9"/>
  <c r="B2445" i="9"/>
  <c r="H2444" i="9"/>
  <c r="G2444" i="9"/>
  <c r="E2444" i="9"/>
  <c r="D2444" i="9"/>
  <c r="C2444" i="9"/>
  <c r="B2444" i="9"/>
  <c r="H2443" i="9"/>
  <c r="G2443" i="9"/>
  <c r="E2443" i="9"/>
  <c r="D2443" i="9"/>
  <c r="C2443" i="9"/>
  <c r="B2443" i="9"/>
  <c r="H2442" i="9"/>
  <c r="G2442" i="9"/>
  <c r="E2442" i="9"/>
  <c r="D2442" i="9"/>
  <c r="C2442" i="9"/>
  <c r="B2442" i="9"/>
  <c r="H2441" i="9"/>
  <c r="G2441" i="9"/>
  <c r="E2441" i="9"/>
  <c r="D2441" i="9"/>
  <c r="C2441" i="9"/>
  <c r="B2441" i="9"/>
  <c r="H2440" i="9"/>
  <c r="G2440" i="9"/>
  <c r="E2440" i="9"/>
  <c r="D2440" i="9"/>
  <c r="C2440" i="9"/>
  <c r="B2440" i="9"/>
  <c r="H2439" i="9"/>
  <c r="G2439" i="9"/>
  <c r="E2439" i="9"/>
  <c r="D2439" i="9"/>
  <c r="C2439" i="9"/>
  <c r="B2439" i="9"/>
  <c r="H2438" i="9"/>
  <c r="G2438" i="9"/>
  <c r="E2438" i="9"/>
  <c r="D2438" i="9"/>
  <c r="C2438" i="9"/>
  <c r="B2438" i="9"/>
  <c r="H2437" i="9"/>
  <c r="G2437" i="9"/>
  <c r="E2437" i="9"/>
  <c r="D2437" i="9"/>
  <c r="C2437" i="9"/>
  <c r="B2437" i="9"/>
  <c r="H2436" i="9"/>
  <c r="G2436" i="9"/>
  <c r="E2436" i="9"/>
  <c r="D2436" i="9"/>
  <c r="C2436" i="9"/>
  <c r="B2436" i="9"/>
  <c r="H2435" i="9"/>
  <c r="G2435" i="9"/>
  <c r="E2435" i="9"/>
  <c r="D2435" i="9"/>
  <c r="C2435" i="9"/>
  <c r="B2435" i="9"/>
  <c r="H2434" i="9"/>
  <c r="G2434" i="9"/>
  <c r="E2434" i="9"/>
  <c r="D2434" i="9"/>
  <c r="C2434" i="9"/>
  <c r="B2434" i="9"/>
  <c r="H2433" i="9"/>
  <c r="G2433" i="9"/>
  <c r="E2433" i="9"/>
  <c r="D2433" i="9"/>
  <c r="C2433" i="9"/>
  <c r="B2433" i="9"/>
  <c r="H2432" i="9"/>
  <c r="G2432" i="9"/>
  <c r="E2432" i="9"/>
  <c r="D2432" i="9"/>
  <c r="C2432" i="9"/>
  <c r="B2432" i="9"/>
  <c r="H2431" i="9"/>
  <c r="G2431" i="9"/>
  <c r="E2431" i="9"/>
  <c r="D2431" i="9"/>
  <c r="C2431" i="9"/>
  <c r="B2431" i="9"/>
  <c r="H2430" i="9"/>
  <c r="G2430" i="9"/>
  <c r="E2430" i="9"/>
  <c r="D2430" i="9"/>
  <c r="C2430" i="9"/>
  <c r="B2430" i="9"/>
  <c r="H2429" i="9"/>
  <c r="G2429" i="9"/>
  <c r="E2429" i="9"/>
  <c r="D2429" i="9"/>
  <c r="C2429" i="9"/>
  <c r="B2429" i="9"/>
  <c r="H2428" i="9"/>
  <c r="G2428" i="9"/>
  <c r="E2428" i="9"/>
  <c r="D2428" i="9"/>
  <c r="C2428" i="9"/>
  <c r="B2428" i="9"/>
  <c r="H2427" i="9"/>
  <c r="G2427" i="9"/>
  <c r="E2427" i="9"/>
  <c r="D2427" i="9"/>
  <c r="C2427" i="9"/>
  <c r="B2427" i="9"/>
  <c r="H2426" i="9"/>
  <c r="G2426" i="9"/>
  <c r="E2426" i="9"/>
  <c r="D2426" i="9"/>
  <c r="C2426" i="9"/>
  <c r="B2426" i="9"/>
  <c r="H2425" i="9"/>
  <c r="G2425" i="9"/>
  <c r="E2425" i="9"/>
  <c r="D2425" i="9"/>
  <c r="C2425" i="9"/>
  <c r="B2425" i="9"/>
  <c r="H2424" i="9"/>
  <c r="G2424" i="9"/>
  <c r="E2424" i="9"/>
  <c r="D2424" i="9"/>
  <c r="C2424" i="9"/>
  <c r="B2424" i="9"/>
  <c r="H2423" i="9"/>
  <c r="G2423" i="9"/>
  <c r="E2423" i="9"/>
  <c r="D2423" i="9"/>
  <c r="C2423" i="9"/>
  <c r="B2423" i="9"/>
  <c r="H2422" i="9"/>
  <c r="G2422" i="9"/>
  <c r="E2422" i="9"/>
  <c r="D2422" i="9"/>
  <c r="C2422" i="9"/>
  <c r="B2422" i="9"/>
  <c r="H2421" i="9"/>
  <c r="G2421" i="9"/>
  <c r="E2421" i="9"/>
  <c r="D2421" i="9"/>
  <c r="C2421" i="9"/>
  <c r="B2421" i="9"/>
  <c r="H2420" i="9"/>
  <c r="G2420" i="9"/>
  <c r="E2420" i="9"/>
  <c r="D2420" i="9"/>
  <c r="C2420" i="9"/>
  <c r="B2420" i="9"/>
  <c r="H2419" i="9"/>
  <c r="G2419" i="9"/>
  <c r="E2419" i="9"/>
  <c r="D2419" i="9"/>
  <c r="C2419" i="9"/>
  <c r="B2419" i="9"/>
  <c r="H2418" i="9"/>
  <c r="G2418" i="9"/>
  <c r="E2418" i="9"/>
  <c r="D2418" i="9"/>
  <c r="C2418" i="9"/>
  <c r="B2418" i="9"/>
  <c r="H2417" i="9"/>
  <c r="G2417" i="9"/>
  <c r="E2417" i="9"/>
  <c r="D2417" i="9"/>
  <c r="C2417" i="9"/>
  <c r="B2417" i="9"/>
  <c r="H2416" i="9"/>
  <c r="G2416" i="9"/>
  <c r="E2416" i="9"/>
  <c r="D2416" i="9"/>
  <c r="C2416" i="9"/>
  <c r="B2416" i="9"/>
  <c r="H2415" i="9"/>
  <c r="G2415" i="9"/>
  <c r="E2415" i="9"/>
  <c r="D2415" i="9"/>
  <c r="C2415" i="9"/>
  <c r="B2415" i="9"/>
  <c r="H2414" i="9"/>
  <c r="G2414" i="9"/>
  <c r="E2414" i="9"/>
  <c r="D2414" i="9"/>
  <c r="C2414" i="9"/>
  <c r="B2414" i="9"/>
  <c r="H2413" i="9"/>
  <c r="G2413" i="9"/>
  <c r="E2413" i="9"/>
  <c r="D2413" i="9"/>
  <c r="C2413" i="9"/>
  <c r="B2413" i="9"/>
  <c r="H2412" i="9"/>
  <c r="G2412" i="9"/>
  <c r="E2412" i="9"/>
  <c r="D2412" i="9"/>
  <c r="C2412" i="9"/>
  <c r="B2412" i="9"/>
  <c r="H2411" i="9"/>
  <c r="G2411" i="9"/>
  <c r="E2411" i="9"/>
  <c r="D2411" i="9"/>
  <c r="C2411" i="9"/>
  <c r="B2411" i="9"/>
  <c r="H2410" i="9"/>
  <c r="G2410" i="9"/>
  <c r="E2410" i="9"/>
  <c r="D2410" i="9"/>
  <c r="C2410" i="9"/>
  <c r="B2410" i="9"/>
  <c r="H2409" i="9"/>
  <c r="G2409" i="9"/>
  <c r="E2409" i="9"/>
  <c r="D2409" i="9"/>
  <c r="C2409" i="9"/>
  <c r="B2409" i="9"/>
  <c r="H2408" i="9"/>
  <c r="G2408" i="9"/>
  <c r="E2408" i="9"/>
  <c r="D2408" i="9"/>
  <c r="C2408" i="9"/>
  <c r="B2408" i="9"/>
  <c r="H2407" i="9"/>
  <c r="G2407" i="9"/>
  <c r="E2407" i="9"/>
  <c r="D2407" i="9"/>
  <c r="C2407" i="9"/>
  <c r="B2407" i="9"/>
  <c r="H2406" i="9"/>
  <c r="G2406" i="9"/>
  <c r="E2406" i="9"/>
  <c r="D2406" i="9"/>
  <c r="C2406" i="9"/>
  <c r="B2406" i="9"/>
  <c r="H2405" i="9"/>
  <c r="G2405" i="9"/>
  <c r="E2405" i="9"/>
  <c r="D2405" i="9"/>
  <c r="C2405" i="9"/>
  <c r="B2405" i="9"/>
  <c r="H2404" i="9"/>
  <c r="G2404" i="9"/>
  <c r="E2404" i="9"/>
  <c r="D2404" i="9"/>
  <c r="C2404" i="9"/>
  <c r="B2404" i="9"/>
  <c r="H2403" i="9"/>
  <c r="G2403" i="9"/>
  <c r="E2403" i="9"/>
  <c r="D2403" i="9"/>
  <c r="C2403" i="9"/>
  <c r="B2403" i="9"/>
  <c r="H2402" i="9"/>
  <c r="G2402" i="9"/>
  <c r="E2402" i="9"/>
  <c r="D2402" i="9"/>
  <c r="C2402" i="9"/>
  <c r="B2402" i="9"/>
  <c r="H2401" i="9"/>
  <c r="G2401" i="9"/>
  <c r="E2401" i="9"/>
  <c r="D2401" i="9"/>
  <c r="C2401" i="9"/>
  <c r="B2401" i="9"/>
  <c r="H2400" i="9"/>
  <c r="G2400" i="9"/>
  <c r="E2400" i="9"/>
  <c r="D2400" i="9"/>
  <c r="C2400" i="9"/>
  <c r="B2400" i="9"/>
  <c r="H2399" i="9"/>
  <c r="G2399" i="9"/>
  <c r="E2399" i="9"/>
  <c r="D2399" i="9"/>
  <c r="C2399" i="9"/>
  <c r="B2399" i="9"/>
  <c r="H2398" i="9"/>
  <c r="G2398" i="9"/>
  <c r="E2398" i="9"/>
  <c r="D2398" i="9"/>
  <c r="C2398" i="9"/>
  <c r="B2398" i="9"/>
  <c r="H2397" i="9"/>
  <c r="G2397" i="9"/>
  <c r="E2397" i="9"/>
  <c r="D2397" i="9"/>
  <c r="C2397" i="9"/>
  <c r="B2397" i="9"/>
  <c r="H2396" i="9"/>
  <c r="G2396" i="9"/>
  <c r="E2396" i="9"/>
  <c r="D2396" i="9"/>
  <c r="C2396" i="9"/>
  <c r="B2396" i="9"/>
  <c r="H2395" i="9"/>
  <c r="G2395" i="9"/>
  <c r="E2395" i="9"/>
  <c r="D2395" i="9"/>
  <c r="C2395" i="9"/>
  <c r="B2395" i="9"/>
  <c r="H2394" i="9"/>
  <c r="G2394" i="9"/>
  <c r="E2394" i="9"/>
  <c r="D2394" i="9"/>
  <c r="C2394" i="9"/>
  <c r="B2394" i="9"/>
  <c r="H2393" i="9"/>
  <c r="G2393" i="9"/>
  <c r="E2393" i="9"/>
  <c r="D2393" i="9"/>
  <c r="C2393" i="9"/>
  <c r="B2393" i="9"/>
  <c r="H2392" i="9"/>
  <c r="G2392" i="9"/>
  <c r="E2392" i="9"/>
  <c r="D2392" i="9"/>
  <c r="C2392" i="9"/>
  <c r="B2392" i="9"/>
  <c r="H2391" i="9"/>
  <c r="G2391" i="9"/>
  <c r="E2391" i="9"/>
  <c r="D2391" i="9"/>
  <c r="C2391" i="9"/>
  <c r="B2391" i="9"/>
  <c r="H2390" i="9"/>
  <c r="G2390" i="9"/>
  <c r="E2390" i="9"/>
  <c r="D2390" i="9"/>
  <c r="C2390" i="9"/>
  <c r="B2390" i="9"/>
  <c r="H2389" i="9"/>
  <c r="G2389" i="9"/>
  <c r="E2389" i="9"/>
  <c r="D2389" i="9"/>
  <c r="C2389" i="9"/>
  <c r="B2389" i="9"/>
  <c r="H2388" i="9"/>
  <c r="G2388" i="9"/>
  <c r="E2388" i="9"/>
  <c r="D2388" i="9"/>
  <c r="C2388" i="9"/>
  <c r="B2388" i="9"/>
  <c r="H2387" i="9"/>
  <c r="G2387" i="9"/>
  <c r="E2387" i="9"/>
  <c r="D2387" i="9"/>
  <c r="C2387" i="9"/>
  <c r="B2387" i="9"/>
  <c r="H2386" i="9"/>
  <c r="G2386" i="9"/>
  <c r="E2386" i="9"/>
  <c r="D2386" i="9"/>
  <c r="C2386" i="9"/>
  <c r="B2386" i="9"/>
  <c r="H2385" i="9"/>
  <c r="G2385" i="9"/>
  <c r="E2385" i="9"/>
  <c r="D2385" i="9"/>
  <c r="C2385" i="9"/>
  <c r="B2385" i="9"/>
  <c r="H2384" i="9"/>
  <c r="G2384" i="9"/>
  <c r="E2384" i="9"/>
  <c r="D2384" i="9"/>
  <c r="C2384" i="9"/>
  <c r="B2384" i="9"/>
  <c r="H2383" i="9"/>
  <c r="G2383" i="9"/>
  <c r="E2383" i="9"/>
  <c r="D2383" i="9"/>
  <c r="C2383" i="9"/>
  <c r="B2383" i="9"/>
  <c r="H2382" i="9"/>
  <c r="G2382" i="9"/>
  <c r="E2382" i="9"/>
  <c r="D2382" i="9"/>
  <c r="C2382" i="9"/>
  <c r="B2382" i="9"/>
  <c r="H2381" i="9"/>
  <c r="G2381" i="9"/>
  <c r="E2381" i="9"/>
  <c r="D2381" i="9"/>
  <c r="C2381" i="9"/>
  <c r="B2381" i="9"/>
  <c r="H2380" i="9"/>
  <c r="G2380" i="9"/>
  <c r="E2380" i="9"/>
  <c r="D2380" i="9"/>
  <c r="C2380" i="9"/>
  <c r="B2380" i="9"/>
  <c r="H2379" i="9"/>
  <c r="G2379" i="9"/>
  <c r="E2379" i="9"/>
  <c r="D2379" i="9"/>
  <c r="C2379" i="9"/>
  <c r="B2379" i="9"/>
  <c r="H2378" i="9"/>
  <c r="G2378" i="9"/>
  <c r="E2378" i="9"/>
  <c r="D2378" i="9"/>
  <c r="C2378" i="9"/>
  <c r="B2378" i="9"/>
  <c r="H2377" i="9"/>
  <c r="G2377" i="9"/>
  <c r="E2377" i="9"/>
  <c r="D2377" i="9"/>
  <c r="C2377" i="9"/>
  <c r="B2377" i="9"/>
  <c r="H2376" i="9"/>
  <c r="G2376" i="9"/>
  <c r="E2376" i="9"/>
  <c r="D2376" i="9"/>
  <c r="C2376" i="9"/>
  <c r="B2376" i="9"/>
  <c r="H2375" i="9"/>
  <c r="G2375" i="9"/>
  <c r="E2375" i="9"/>
  <c r="D2375" i="9"/>
  <c r="C2375" i="9"/>
  <c r="B2375" i="9"/>
  <c r="H2374" i="9"/>
  <c r="G2374" i="9"/>
  <c r="E2374" i="9"/>
  <c r="D2374" i="9"/>
  <c r="C2374" i="9"/>
  <c r="B2374" i="9"/>
  <c r="H2373" i="9"/>
  <c r="G2373" i="9"/>
  <c r="E2373" i="9"/>
  <c r="D2373" i="9"/>
  <c r="C2373" i="9"/>
  <c r="B2373" i="9"/>
  <c r="H2372" i="9"/>
  <c r="G2372" i="9"/>
  <c r="E2372" i="9"/>
  <c r="D2372" i="9"/>
  <c r="C2372" i="9"/>
  <c r="B2372" i="9"/>
  <c r="H2371" i="9"/>
  <c r="G2371" i="9"/>
  <c r="E2371" i="9"/>
  <c r="D2371" i="9"/>
  <c r="C2371" i="9"/>
  <c r="B2371" i="9"/>
  <c r="H2370" i="9"/>
  <c r="G2370" i="9"/>
  <c r="E2370" i="9"/>
  <c r="D2370" i="9"/>
  <c r="C2370" i="9"/>
  <c r="B2370" i="9"/>
  <c r="H2369" i="9"/>
  <c r="G2369" i="9"/>
  <c r="E2369" i="9"/>
  <c r="D2369" i="9"/>
  <c r="C2369" i="9"/>
  <c r="B2369" i="9"/>
  <c r="H2368" i="9"/>
  <c r="G2368" i="9"/>
  <c r="E2368" i="9"/>
  <c r="D2368" i="9"/>
  <c r="C2368" i="9"/>
  <c r="B2368" i="9"/>
  <c r="H2367" i="9"/>
  <c r="G2367" i="9"/>
  <c r="E2367" i="9"/>
  <c r="D2367" i="9"/>
  <c r="C2367" i="9"/>
  <c r="B2367" i="9"/>
  <c r="H2366" i="9"/>
  <c r="G2366" i="9"/>
  <c r="E2366" i="9"/>
  <c r="D2366" i="9"/>
  <c r="C2366" i="9"/>
  <c r="B2366" i="9"/>
  <c r="H2365" i="9"/>
  <c r="G2365" i="9"/>
  <c r="E2365" i="9"/>
  <c r="D2365" i="9"/>
  <c r="C2365" i="9"/>
  <c r="B2365" i="9"/>
  <c r="H2364" i="9"/>
  <c r="G2364" i="9"/>
  <c r="E2364" i="9"/>
  <c r="D2364" i="9"/>
  <c r="C2364" i="9"/>
  <c r="B2364" i="9"/>
  <c r="H2363" i="9"/>
  <c r="G2363" i="9"/>
  <c r="E2363" i="9"/>
  <c r="D2363" i="9"/>
  <c r="C2363" i="9"/>
  <c r="B2363" i="9"/>
  <c r="H2362" i="9"/>
  <c r="G2362" i="9"/>
  <c r="E2362" i="9"/>
  <c r="D2362" i="9"/>
  <c r="C2362" i="9"/>
  <c r="B2362" i="9"/>
  <c r="H2361" i="9"/>
  <c r="G2361" i="9"/>
  <c r="E2361" i="9"/>
  <c r="D2361" i="9"/>
  <c r="C2361" i="9"/>
  <c r="B2361" i="9"/>
  <c r="H2360" i="9"/>
  <c r="G2360" i="9"/>
  <c r="E2360" i="9"/>
  <c r="D2360" i="9"/>
  <c r="C2360" i="9"/>
  <c r="B2360" i="9"/>
  <c r="H2359" i="9"/>
  <c r="G2359" i="9"/>
  <c r="E2359" i="9"/>
  <c r="D2359" i="9"/>
  <c r="C2359" i="9"/>
  <c r="B2359" i="9"/>
  <c r="H2358" i="9"/>
  <c r="G2358" i="9"/>
  <c r="E2358" i="9"/>
  <c r="D2358" i="9"/>
  <c r="C2358" i="9"/>
  <c r="B2358" i="9"/>
  <c r="H2357" i="9"/>
  <c r="G2357" i="9"/>
  <c r="E2357" i="9"/>
  <c r="D2357" i="9"/>
  <c r="C2357" i="9"/>
  <c r="B2357" i="9"/>
  <c r="H2356" i="9"/>
  <c r="G2356" i="9"/>
  <c r="E2356" i="9"/>
  <c r="D2356" i="9"/>
  <c r="C2356" i="9"/>
  <c r="B2356" i="9"/>
  <c r="H2355" i="9"/>
  <c r="G2355" i="9"/>
  <c r="E2355" i="9"/>
  <c r="D2355" i="9"/>
  <c r="C2355" i="9"/>
  <c r="B2355" i="9"/>
  <c r="H2354" i="9"/>
  <c r="G2354" i="9"/>
  <c r="E2354" i="9"/>
  <c r="D2354" i="9"/>
  <c r="C2354" i="9"/>
  <c r="B2354" i="9"/>
  <c r="H2353" i="9"/>
  <c r="G2353" i="9"/>
  <c r="E2353" i="9"/>
  <c r="D2353" i="9"/>
  <c r="C2353" i="9"/>
  <c r="B2353" i="9"/>
  <c r="H2352" i="9"/>
  <c r="G2352" i="9"/>
  <c r="E2352" i="9"/>
  <c r="D2352" i="9"/>
  <c r="C2352" i="9"/>
  <c r="B2352" i="9"/>
  <c r="H2351" i="9"/>
  <c r="G2351" i="9"/>
  <c r="E2351" i="9"/>
  <c r="D2351" i="9"/>
  <c r="C2351" i="9"/>
  <c r="B2351" i="9"/>
  <c r="H2350" i="9"/>
  <c r="G2350" i="9"/>
  <c r="E2350" i="9"/>
  <c r="D2350" i="9"/>
  <c r="C2350" i="9"/>
  <c r="B2350" i="9"/>
  <c r="H2349" i="9"/>
  <c r="G2349" i="9"/>
  <c r="E2349" i="9"/>
  <c r="D2349" i="9"/>
  <c r="C2349" i="9"/>
  <c r="B2349" i="9"/>
  <c r="H2348" i="9"/>
  <c r="G2348" i="9"/>
  <c r="E2348" i="9"/>
  <c r="D2348" i="9"/>
  <c r="C2348" i="9"/>
  <c r="B2348" i="9"/>
  <c r="H2347" i="9"/>
  <c r="G2347" i="9"/>
  <c r="E2347" i="9"/>
  <c r="D2347" i="9"/>
  <c r="C2347" i="9"/>
  <c r="B2347" i="9"/>
  <c r="H2346" i="9"/>
  <c r="G2346" i="9"/>
  <c r="E2346" i="9"/>
  <c r="D2346" i="9"/>
  <c r="C2346" i="9"/>
  <c r="B2346" i="9"/>
  <c r="H2345" i="9"/>
  <c r="G2345" i="9"/>
  <c r="E2345" i="9"/>
  <c r="D2345" i="9"/>
  <c r="C2345" i="9"/>
  <c r="B2345" i="9"/>
  <c r="H2344" i="9"/>
  <c r="G2344" i="9"/>
  <c r="E2344" i="9"/>
  <c r="D2344" i="9"/>
  <c r="C2344" i="9"/>
  <c r="B2344" i="9"/>
  <c r="H2343" i="9"/>
  <c r="G2343" i="9"/>
  <c r="E2343" i="9"/>
  <c r="D2343" i="9"/>
  <c r="C2343" i="9"/>
  <c r="B2343" i="9"/>
  <c r="H2342" i="9"/>
  <c r="G2342" i="9"/>
  <c r="E2342" i="9"/>
  <c r="D2342" i="9"/>
  <c r="C2342" i="9"/>
  <c r="B2342" i="9"/>
  <c r="H2341" i="9"/>
  <c r="G2341" i="9"/>
  <c r="E2341" i="9"/>
  <c r="D2341" i="9"/>
  <c r="C2341" i="9"/>
  <c r="B2341" i="9"/>
  <c r="H2340" i="9"/>
  <c r="G2340" i="9"/>
  <c r="E2340" i="9"/>
  <c r="D2340" i="9"/>
  <c r="C2340" i="9"/>
  <c r="B2340" i="9"/>
  <c r="H2339" i="9"/>
  <c r="G2339" i="9"/>
  <c r="E2339" i="9"/>
  <c r="D2339" i="9"/>
  <c r="C2339" i="9"/>
  <c r="B2339" i="9"/>
  <c r="H2338" i="9"/>
  <c r="G2338" i="9"/>
  <c r="E2338" i="9"/>
  <c r="D2338" i="9"/>
  <c r="C2338" i="9"/>
  <c r="B2338" i="9"/>
  <c r="H2337" i="9"/>
  <c r="G2337" i="9"/>
  <c r="E2337" i="9"/>
  <c r="D2337" i="9"/>
  <c r="C2337" i="9"/>
  <c r="B2337" i="9"/>
  <c r="H2336" i="9"/>
  <c r="G2336" i="9"/>
  <c r="E2336" i="9"/>
  <c r="D2336" i="9"/>
  <c r="C2336" i="9"/>
  <c r="B2336" i="9"/>
  <c r="H2335" i="9"/>
  <c r="G2335" i="9"/>
  <c r="E2335" i="9"/>
  <c r="D2335" i="9"/>
  <c r="C2335" i="9"/>
  <c r="B2335" i="9"/>
  <c r="H2334" i="9"/>
  <c r="G2334" i="9"/>
  <c r="E2334" i="9"/>
  <c r="D2334" i="9"/>
  <c r="C2334" i="9"/>
  <c r="B2334" i="9"/>
  <c r="H2333" i="9"/>
  <c r="G2333" i="9"/>
  <c r="E2333" i="9"/>
  <c r="D2333" i="9"/>
  <c r="C2333" i="9"/>
  <c r="B2333" i="9"/>
  <c r="H2332" i="9"/>
  <c r="G2332" i="9"/>
  <c r="E2332" i="9"/>
  <c r="D2332" i="9"/>
  <c r="C2332" i="9"/>
  <c r="B2332" i="9"/>
  <c r="H2331" i="9"/>
  <c r="G2331" i="9"/>
  <c r="E2331" i="9"/>
  <c r="D2331" i="9"/>
  <c r="C2331" i="9"/>
  <c r="B2331" i="9"/>
  <c r="H2330" i="9"/>
  <c r="G2330" i="9"/>
  <c r="E2330" i="9"/>
  <c r="D2330" i="9"/>
  <c r="C2330" i="9"/>
  <c r="B2330" i="9"/>
  <c r="H2329" i="9"/>
  <c r="G2329" i="9"/>
  <c r="E2329" i="9"/>
  <c r="D2329" i="9"/>
  <c r="C2329" i="9"/>
  <c r="B2329" i="9"/>
  <c r="H2328" i="9"/>
  <c r="G2328" i="9"/>
  <c r="E2328" i="9"/>
  <c r="D2328" i="9"/>
  <c r="C2328" i="9"/>
  <c r="B2328" i="9"/>
  <c r="H2327" i="9"/>
  <c r="G2327" i="9"/>
  <c r="E2327" i="9"/>
  <c r="D2327" i="9"/>
  <c r="C2327" i="9"/>
  <c r="B2327" i="9"/>
  <c r="H2326" i="9"/>
  <c r="G2326" i="9"/>
  <c r="E2326" i="9"/>
  <c r="D2326" i="9"/>
  <c r="C2326" i="9"/>
  <c r="B2326" i="9"/>
  <c r="H2325" i="9"/>
  <c r="G2325" i="9"/>
  <c r="E2325" i="9"/>
  <c r="D2325" i="9"/>
  <c r="C2325" i="9"/>
  <c r="B2325" i="9"/>
  <c r="H2324" i="9"/>
  <c r="G2324" i="9"/>
  <c r="E2324" i="9"/>
  <c r="D2324" i="9"/>
  <c r="C2324" i="9"/>
  <c r="B2324" i="9"/>
  <c r="H2323" i="9"/>
  <c r="G2323" i="9"/>
  <c r="E2323" i="9"/>
  <c r="D2323" i="9"/>
  <c r="C2323" i="9"/>
  <c r="B2323" i="9"/>
  <c r="H2322" i="9"/>
  <c r="G2322" i="9"/>
  <c r="E2322" i="9"/>
  <c r="D2322" i="9"/>
  <c r="C2322" i="9"/>
  <c r="B2322" i="9"/>
  <c r="H2321" i="9"/>
  <c r="G2321" i="9"/>
  <c r="E2321" i="9"/>
  <c r="D2321" i="9"/>
  <c r="C2321" i="9"/>
  <c r="B2321" i="9"/>
  <c r="H2320" i="9"/>
  <c r="G2320" i="9"/>
  <c r="E2320" i="9"/>
  <c r="D2320" i="9"/>
  <c r="C2320" i="9"/>
  <c r="B2320" i="9"/>
  <c r="H2319" i="9"/>
  <c r="G2319" i="9"/>
  <c r="E2319" i="9"/>
  <c r="D2319" i="9"/>
  <c r="C2319" i="9"/>
  <c r="B2319" i="9"/>
  <c r="H2318" i="9"/>
  <c r="G2318" i="9"/>
  <c r="E2318" i="9"/>
  <c r="D2318" i="9"/>
  <c r="C2318" i="9"/>
  <c r="B2318" i="9"/>
  <c r="H2317" i="9"/>
  <c r="G2317" i="9"/>
  <c r="E2317" i="9"/>
  <c r="D2317" i="9"/>
  <c r="C2317" i="9"/>
  <c r="B2317" i="9"/>
  <c r="H2316" i="9"/>
  <c r="G2316" i="9"/>
  <c r="E2316" i="9"/>
  <c r="D2316" i="9"/>
  <c r="C2316" i="9"/>
  <c r="B2316" i="9"/>
  <c r="H2315" i="9"/>
  <c r="G2315" i="9"/>
  <c r="E2315" i="9"/>
  <c r="D2315" i="9"/>
  <c r="C2315" i="9"/>
  <c r="B2315" i="9"/>
  <c r="H2314" i="9"/>
  <c r="G2314" i="9"/>
  <c r="E2314" i="9"/>
  <c r="D2314" i="9"/>
  <c r="C2314" i="9"/>
  <c r="B2314" i="9"/>
  <c r="H2313" i="9"/>
  <c r="G2313" i="9"/>
  <c r="E2313" i="9"/>
  <c r="D2313" i="9"/>
  <c r="C2313" i="9"/>
  <c r="B2313" i="9"/>
  <c r="H2312" i="9"/>
  <c r="G2312" i="9"/>
  <c r="E2312" i="9"/>
  <c r="D2312" i="9"/>
  <c r="C2312" i="9"/>
  <c r="B2312" i="9"/>
  <c r="H2311" i="9"/>
  <c r="G2311" i="9"/>
  <c r="E2311" i="9"/>
  <c r="D2311" i="9"/>
  <c r="C2311" i="9"/>
  <c r="B2311" i="9"/>
  <c r="H2310" i="9"/>
  <c r="G2310" i="9"/>
  <c r="E2310" i="9"/>
  <c r="D2310" i="9"/>
  <c r="C2310" i="9"/>
  <c r="B2310" i="9"/>
  <c r="H2309" i="9"/>
  <c r="G2309" i="9"/>
  <c r="E2309" i="9"/>
  <c r="D2309" i="9"/>
  <c r="C2309" i="9"/>
  <c r="B2309" i="9"/>
  <c r="H2308" i="9"/>
  <c r="G2308" i="9"/>
  <c r="E2308" i="9"/>
  <c r="D2308" i="9"/>
  <c r="C2308" i="9"/>
  <c r="B2308" i="9"/>
  <c r="H2307" i="9"/>
  <c r="G2307" i="9"/>
  <c r="E2307" i="9"/>
  <c r="D2307" i="9"/>
  <c r="C2307" i="9"/>
  <c r="B2307" i="9"/>
  <c r="H2306" i="9"/>
  <c r="G2306" i="9"/>
  <c r="E2306" i="9"/>
  <c r="D2306" i="9"/>
  <c r="C2306" i="9"/>
  <c r="B2306" i="9"/>
  <c r="H2305" i="9"/>
  <c r="G2305" i="9"/>
  <c r="E2305" i="9"/>
  <c r="D2305" i="9"/>
  <c r="C2305" i="9"/>
  <c r="B2305" i="9"/>
  <c r="H2304" i="9"/>
  <c r="G2304" i="9"/>
  <c r="E2304" i="9"/>
  <c r="D2304" i="9"/>
  <c r="C2304" i="9"/>
  <c r="B2304" i="9"/>
  <c r="H2303" i="9"/>
  <c r="G2303" i="9"/>
  <c r="E2303" i="9"/>
  <c r="D2303" i="9"/>
  <c r="C2303" i="9"/>
  <c r="B2303" i="9"/>
  <c r="H2302" i="9"/>
  <c r="G2302" i="9"/>
  <c r="E2302" i="9"/>
  <c r="D2302" i="9"/>
  <c r="C2302" i="9"/>
  <c r="B2302" i="9"/>
  <c r="H2301" i="9"/>
  <c r="G2301" i="9"/>
  <c r="E2301" i="9"/>
  <c r="D2301" i="9"/>
  <c r="C2301" i="9"/>
  <c r="B2301" i="9"/>
  <c r="H2300" i="9"/>
  <c r="G2300" i="9"/>
  <c r="E2300" i="9"/>
  <c r="D2300" i="9"/>
  <c r="C2300" i="9"/>
  <c r="B2300" i="9"/>
  <c r="H2299" i="9"/>
  <c r="G2299" i="9"/>
  <c r="E2299" i="9"/>
  <c r="D2299" i="9"/>
  <c r="C2299" i="9"/>
  <c r="B2299" i="9"/>
  <c r="H2298" i="9"/>
  <c r="G2298" i="9"/>
  <c r="E2298" i="9"/>
  <c r="D2298" i="9"/>
  <c r="C2298" i="9"/>
  <c r="B2298" i="9"/>
  <c r="H2297" i="9"/>
  <c r="G2297" i="9"/>
  <c r="E2297" i="9"/>
  <c r="D2297" i="9"/>
  <c r="C2297" i="9"/>
  <c r="B2297" i="9"/>
  <c r="H2296" i="9"/>
  <c r="G2296" i="9"/>
  <c r="E2296" i="9"/>
  <c r="D2296" i="9"/>
  <c r="C2296" i="9"/>
  <c r="B2296" i="9"/>
  <c r="H2295" i="9"/>
  <c r="G2295" i="9"/>
  <c r="E2295" i="9"/>
  <c r="D2295" i="9"/>
  <c r="C2295" i="9"/>
  <c r="B2295" i="9"/>
  <c r="H2294" i="9"/>
  <c r="G2294" i="9"/>
  <c r="E2294" i="9"/>
  <c r="D2294" i="9"/>
  <c r="C2294" i="9"/>
  <c r="B2294" i="9"/>
  <c r="H2293" i="9"/>
  <c r="G2293" i="9"/>
  <c r="E2293" i="9"/>
  <c r="D2293" i="9"/>
  <c r="C2293" i="9"/>
  <c r="B2293" i="9"/>
  <c r="H2292" i="9"/>
  <c r="G2292" i="9"/>
  <c r="E2292" i="9"/>
  <c r="D2292" i="9"/>
  <c r="C2292" i="9"/>
  <c r="B2292" i="9"/>
  <c r="H2291" i="9"/>
  <c r="G2291" i="9"/>
  <c r="E2291" i="9"/>
  <c r="D2291" i="9"/>
  <c r="C2291" i="9"/>
  <c r="B2291" i="9"/>
  <c r="H2290" i="9"/>
  <c r="G2290" i="9"/>
  <c r="E2290" i="9"/>
  <c r="D2290" i="9"/>
  <c r="C2290" i="9"/>
  <c r="B2290" i="9"/>
  <c r="H2289" i="9"/>
  <c r="G2289" i="9"/>
  <c r="E2289" i="9"/>
  <c r="D2289" i="9"/>
  <c r="C2289" i="9"/>
  <c r="B2289" i="9"/>
  <c r="H2288" i="9"/>
  <c r="G2288" i="9"/>
  <c r="E2288" i="9"/>
  <c r="D2288" i="9"/>
  <c r="C2288" i="9"/>
  <c r="B2288" i="9"/>
  <c r="H2287" i="9"/>
  <c r="G2287" i="9"/>
  <c r="E2287" i="9"/>
  <c r="D2287" i="9"/>
  <c r="C2287" i="9"/>
  <c r="B2287" i="9"/>
  <c r="H2286" i="9"/>
  <c r="G2286" i="9"/>
  <c r="E2286" i="9"/>
  <c r="D2286" i="9"/>
  <c r="C2286" i="9"/>
  <c r="B2286" i="9"/>
  <c r="H2285" i="9"/>
  <c r="G2285" i="9"/>
  <c r="E2285" i="9"/>
  <c r="D2285" i="9"/>
  <c r="C2285" i="9"/>
  <c r="B2285" i="9"/>
  <c r="H2284" i="9"/>
  <c r="G2284" i="9"/>
  <c r="E2284" i="9"/>
  <c r="D2284" i="9"/>
  <c r="C2284" i="9"/>
  <c r="B2284" i="9"/>
  <c r="H2283" i="9"/>
  <c r="G2283" i="9"/>
  <c r="E2283" i="9"/>
  <c r="D2283" i="9"/>
  <c r="C2283" i="9"/>
  <c r="B2283" i="9"/>
  <c r="H2282" i="9"/>
  <c r="G2282" i="9"/>
  <c r="E2282" i="9"/>
  <c r="D2282" i="9"/>
  <c r="C2282" i="9"/>
  <c r="B2282" i="9"/>
  <c r="H2281" i="9"/>
  <c r="G2281" i="9"/>
  <c r="E2281" i="9"/>
  <c r="D2281" i="9"/>
  <c r="C2281" i="9"/>
  <c r="B2281" i="9"/>
  <c r="H2280" i="9"/>
  <c r="G2280" i="9"/>
  <c r="E2280" i="9"/>
  <c r="D2280" i="9"/>
  <c r="C2280" i="9"/>
  <c r="B2280" i="9"/>
  <c r="H2279" i="9"/>
  <c r="G2279" i="9"/>
  <c r="E2279" i="9"/>
  <c r="D2279" i="9"/>
  <c r="C2279" i="9"/>
  <c r="B2279" i="9"/>
  <c r="H2278" i="9"/>
  <c r="G2278" i="9"/>
  <c r="E2278" i="9"/>
  <c r="D2278" i="9"/>
  <c r="C2278" i="9"/>
  <c r="B2278" i="9"/>
  <c r="H2277" i="9"/>
  <c r="G2277" i="9"/>
  <c r="E2277" i="9"/>
  <c r="D2277" i="9"/>
  <c r="C2277" i="9"/>
  <c r="B2277" i="9"/>
  <c r="H2276" i="9"/>
  <c r="G2276" i="9"/>
  <c r="E2276" i="9"/>
  <c r="D2276" i="9"/>
  <c r="C2276" i="9"/>
  <c r="B2276" i="9"/>
  <c r="H2275" i="9"/>
  <c r="G2275" i="9"/>
  <c r="E2275" i="9"/>
  <c r="D2275" i="9"/>
  <c r="C2275" i="9"/>
  <c r="B2275" i="9"/>
  <c r="H2274" i="9"/>
  <c r="G2274" i="9"/>
  <c r="E2274" i="9"/>
  <c r="D2274" i="9"/>
  <c r="C2274" i="9"/>
  <c r="B2274" i="9"/>
  <c r="H2273" i="9"/>
  <c r="G2273" i="9"/>
  <c r="E2273" i="9"/>
  <c r="D2273" i="9"/>
  <c r="C2273" i="9"/>
  <c r="B2273" i="9"/>
  <c r="H2272" i="9"/>
  <c r="G2272" i="9"/>
  <c r="E2272" i="9"/>
  <c r="D2272" i="9"/>
  <c r="C2272" i="9"/>
  <c r="B2272" i="9"/>
  <c r="H2271" i="9"/>
  <c r="G2271" i="9"/>
  <c r="E2271" i="9"/>
  <c r="D2271" i="9"/>
  <c r="C2271" i="9"/>
  <c r="B2271" i="9"/>
  <c r="H2270" i="9"/>
  <c r="G2270" i="9"/>
  <c r="E2270" i="9"/>
  <c r="D2270" i="9"/>
  <c r="C2270" i="9"/>
  <c r="B2270" i="9"/>
  <c r="H2269" i="9"/>
  <c r="G2269" i="9"/>
  <c r="E2269" i="9"/>
  <c r="D2269" i="9"/>
  <c r="C2269" i="9"/>
  <c r="B2269" i="9"/>
  <c r="H2268" i="9"/>
  <c r="G2268" i="9"/>
  <c r="E2268" i="9"/>
  <c r="D2268" i="9"/>
  <c r="C2268" i="9"/>
  <c r="B2268" i="9"/>
  <c r="H2267" i="9"/>
  <c r="G2267" i="9"/>
  <c r="E2267" i="9"/>
  <c r="D2267" i="9"/>
  <c r="C2267" i="9"/>
  <c r="B2267" i="9"/>
  <c r="H2266" i="9"/>
  <c r="G2266" i="9"/>
  <c r="E2266" i="9"/>
  <c r="D2266" i="9"/>
  <c r="C2266" i="9"/>
  <c r="B2266" i="9"/>
  <c r="H2265" i="9"/>
  <c r="G2265" i="9"/>
  <c r="E2265" i="9"/>
  <c r="D2265" i="9"/>
  <c r="C2265" i="9"/>
  <c r="B2265" i="9"/>
  <c r="H2264" i="9"/>
  <c r="G2264" i="9"/>
  <c r="E2264" i="9"/>
  <c r="D2264" i="9"/>
  <c r="C2264" i="9"/>
  <c r="B2264" i="9"/>
  <c r="H2263" i="9"/>
  <c r="G2263" i="9"/>
  <c r="E2263" i="9"/>
  <c r="D2263" i="9"/>
  <c r="C2263" i="9"/>
  <c r="B2263" i="9"/>
  <c r="H2262" i="9"/>
  <c r="G2262" i="9"/>
  <c r="E2262" i="9"/>
  <c r="D2262" i="9"/>
  <c r="C2262" i="9"/>
  <c r="B2262" i="9"/>
  <c r="H2261" i="9"/>
  <c r="G2261" i="9"/>
  <c r="E2261" i="9"/>
  <c r="D2261" i="9"/>
  <c r="C2261" i="9"/>
  <c r="B2261" i="9"/>
  <c r="H2260" i="9"/>
  <c r="G2260" i="9"/>
  <c r="E2260" i="9"/>
  <c r="D2260" i="9"/>
  <c r="C2260" i="9"/>
  <c r="B2260" i="9"/>
  <c r="H2259" i="9"/>
  <c r="G2259" i="9"/>
  <c r="E2259" i="9"/>
  <c r="D2259" i="9"/>
  <c r="C2259" i="9"/>
  <c r="B2259" i="9"/>
  <c r="H2258" i="9"/>
  <c r="G2258" i="9"/>
  <c r="E2258" i="9"/>
  <c r="D2258" i="9"/>
  <c r="C2258" i="9"/>
  <c r="B2258" i="9"/>
  <c r="H2257" i="9"/>
  <c r="G2257" i="9"/>
  <c r="E2257" i="9"/>
  <c r="D2257" i="9"/>
  <c r="C2257" i="9"/>
  <c r="B2257" i="9"/>
  <c r="H2256" i="9"/>
  <c r="G2256" i="9"/>
  <c r="E2256" i="9"/>
  <c r="D2256" i="9"/>
  <c r="C2256" i="9"/>
  <c r="B2256" i="9"/>
  <c r="H2255" i="9"/>
  <c r="G2255" i="9"/>
  <c r="E2255" i="9"/>
  <c r="D2255" i="9"/>
  <c r="C2255" i="9"/>
  <c r="B2255" i="9"/>
  <c r="H2254" i="9"/>
  <c r="G2254" i="9"/>
  <c r="E2254" i="9"/>
  <c r="D2254" i="9"/>
  <c r="C2254" i="9"/>
  <c r="B2254" i="9"/>
  <c r="H2253" i="9"/>
  <c r="G2253" i="9"/>
  <c r="E2253" i="9"/>
  <c r="D2253" i="9"/>
  <c r="C2253" i="9"/>
  <c r="B2253" i="9"/>
  <c r="H2252" i="9"/>
  <c r="G2252" i="9"/>
  <c r="E2252" i="9"/>
  <c r="D2252" i="9"/>
  <c r="C2252" i="9"/>
  <c r="B2252" i="9"/>
  <c r="H2251" i="9"/>
  <c r="G2251" i="9"/>
  <c r="E2251" i="9"/>
  <c r="D2251" i="9"/>
  <c r="C2251" i="9"/>
  <c r="B2251" i="9"/>
  <c r="H2250" i="9"/>
  <c r="G2250" i="9"/>
  <c r="E2250" i="9"/>
  <c r="D2250" i="9"/>
  <c r="C2250" i="9"/>
  <c r="B2250" i="9"/>
  <c r="H2249" i="9"/>
  <c r="G2249" i="9"/>
  <c r="E2249" i="9"/>
  <c r="D2249" i="9"/>
  <c r="C2249" i="9"/>
  <c r="B2249" i="9"/>
  <c r="H2248" i="9"/>
  <c r="G2248" i="9"/>
  <c r="E2248" i="9"/>
  <c r="D2248" i="9"/>
  <c r="C2248" i="9"/>
  <c r="B2248" i="9"/>
  <c r="H2247" i="9"/>
  <c r="G2247" i="9"/>
  <c r="E2247" i="9"/>
  <c r="D2247" i="9"/>
  <c r="C2247" i="9"/>
  <c r="B2247" i="9"/>
  <c r="H2246" i="9"/>
  <c r="G2246" i="9"/>
  <c r="E2246" i="9"/>
  <c r="D2246" i="9"/>
  <c r="C2246" i="9"/>
  <c r="B2246" i="9"/>
  <c r="H2245" i="9"/>
  <c r="G2245" i="9"/>
  <c r="E2245" i="9"/>
  <c r="D2245" i="9"/>
  <c r="C2245" i="9"/>
  <c r="B2245" i="9"/>
  <c r="H2244" i="9"/>
  <c r="G2244" i="9"/>
  <c r="E2244" i="9"/>
  <c r="D2244" i="9"/>
  <c r="C2244" i="9"/>
  <c r="B2244" i="9"/>
  <c r="H2243" i="9"/>
  <c r="G2243" i="9"/>
  <c r="E2243" i="9"/>
  <c r="D2243" i="9"/>
  <c r="C2243" i="9"/>
  <c r="B2243" i="9"/>
  <c r="H2242" i="9"/>
  <c r="G2242" i="9"/>
  <c r="E2242" i="9"/>
  <c r="D2242" i="9"/>
  <c r="C2242" i="9"/>
  <c r="B2242" i="9"/>
  <c r="H2241" i="9"/>
  <c r="G2241" i="9"/>
  <c r="E2241" i="9"/>
  <c r="D2241" i="9"/>
  <c r="C2241" i="9"/>
  <c r="B2241" i="9"/>
  <c r="H2240" i="9"/>
  <c r="G2240" i="9"/>
  <c r="E2240" i="9"/>
  <c r="D2240" i="9"/>
  <c r="C2240" i="9"/>
  <c r="B2240" i="9"/>
  <c r="H2239" i="9"/>
  <c r="G2239" i="9"/>
  <c r="E2239" i="9"/>
  <c r="D2239" i="9"/>
  <c r="C2239" i="9"/>
  <c r="B2239" i="9"/>
  <c r="H2238" i="9"/>
  <c r="G2238" i="9"/>
  <c r="E2238" i="9"/>
  <c r="D2238" i="9"/>
  <c r="C2238" i="9"/>
  <c r="B2238" i="9"/>
  <c r="H2237" i="9"/>
  <c r="G2237" i="9"/>
  <c r="E2237" i="9"/>
  <c r="D2237" i="9"/>
  <c r="C2237" i="9"/>
  <c r="B2237" i="9"/>
  <c r="H2236" i="9"/>
  <c r="G2236" i="9"/>
  <c r="E2236" i="9"/>
  <c r="D2236" i="9"/>
  <c r="C2236" i="9"/>
  <c r="B2236" i="9"/>
  <c r="H2235" i="9"/>
  <c r="G2235" i="9"/>
  <c r="E2235" i="9"/>
  <c r="D2235" i="9"/>
  <c r="C2235" i="9"/>
  <c r="B2235" i="9"/>
  <c r="H2234" i="9"/>
  <c r="G2234" i="9"/>
  <c r="E2234" i="9"/>
  <c r="D2234" i="9"/>
  <c r="C2234" i="9"/>
  <c r="B2234" i="9"/>
  <c r="H2233" i="9"/>
  <c r="G2233" i="9"/>
  <c r="E2233" i="9"/>
  <c r="D2233" i="9"/>
  <c r="C2233" i="9"/>
  <c r="B2233" i="9"/>
  <c r="H2232" i="9"/>
  <c r="G2232" i="9"/>
  <c r="E2232" i="9"/>
  <c r="D2232" i="9"/>
  <c r="C2232" i="9"/>
  <c r="B2232" i="9"/>
  <c r="H2231" i="9"/>
  <c r="G2231" i="9"/>
  <c r="E2231" i="9"/>
  <c r="D2231" i="9"/>
  <c r="C2231" i="9"/>
  <c r="B2231" i="9"/>
  <c r="H2230" i="9"/>
  <c r="G2230" i="9"/>
  <c r="E2230" i="9"/>
  <c r="D2230" i="9"/>
  <c r="C2230" i="9"/>
  <c r="B2230" i="9"/>
  <c r="H2229" i="9"/>
  <c r="G2229" i="9"/>
  <c r="E2229" i="9"/>
  <c r="D2229" i="9"/>
  <c r="C2229" i="9"/>
  <c r="B2229" i="9"/>
  <c r="H2228" i="9"/>
  <c r="G2228" i="9"/>
  <c r="E2228" i="9"/>
  <c r="D2228" i="9"/>
  <c r="C2228" i="9"/>
  <c r="B2228" i="9"/>
  <c r="H2227" i="9"/>
  <c r="G2227" i="9"/>
  <c r="E2227" i="9"/>
  <c r="D2227" i="9"/>
  <c r="C2227" i="9"/>
  <c r="B2227" i="9"/>
  <c r="H2226" i="9"/>
  <c r="G2226" i="9"/>
  <c r="E2226" i="9"/>
  <c r="D2226" i="9"/>
  <c r="C2226" i="9"/>
  <c r="B2226" i="9"/>
  <c r="H2225" i="9"/>
  <c r="G2225" i="9"/>
  <c r="E2225" i="9"/>
  <c r="D2225" i="9"/>
  <c r="C2225" i="9"/>
  <c r="B2225" i="9"/>
  <c r="H2224" i="9"/>
  <c r="G2224" i="9"/>
  <c r="E2224" i="9"/>
  <c r="D2224" i="9"/>
  <c r="C2224" i="9"/>
  <c r="B2224" i="9"/>
  <c r="H2223" i="9"/>
  <c r="G2223" i="9"/>
  <c r="E2223" i="9"/>
  <c r="D2223" i="9"/>
  <c r="C2223" i="9"/>
  <c r="B2223" i="9"/>
  <c r="H2222" i="9"/>
  <c r="G2222" i="9"/>
  <c r="E2222" i="9"/>
  <c r="D2222" i="9"/>
  <c r="C2222" i="9"/>
  <c r="B2222" i="9"/>
  <c r="H2221" i="9"/>
  <c r="G2221" i="9"/>
  <c r="E2221" i="9"/>
  <c r="D2221" i="9"/>
  <c r="C2221" i="9"/>
  <c r="B2221" i="9"/>
  <c r="H2220" i="9"/>
  <c r="G2220" i="9"/>
  <c r="E2220" i="9"/>
  <c r="D2220" i="9"/>
  <c r="C2220" i="9"/>
  <c r="B2220" i="9"/>
  <c r="H2219" i="9"/>
  <c r="G2219" i="9"/>
  <c r="E2219" i="9"/>
  <c r="D2219" i="9"/>
  <c r="C2219" i="9"/>
  <c r="B2219" i="9"/>
  <c r="H2218" i="9"/>
  <c r="G2218" i="9"/>
  <c r="E2218" i="9"/>
  <c r="D2218" i="9"/>
  <c r="C2218" i="9"/>
  <c r="B2218" i="9"/>
  <c r="H2217" i="9"/>
  <c r="G2217" i="9"/>
  <c r="E2217" i="9"/>
  <c r="D2217" i="9"/>
  <c r="C2217" i="9"/>
  <c r="B2217" i="9"/>
  <c r="H2216" i="9"/>
  <c r="G2216" i="9"/>
  <c r="E2216" i="9"/>
  <c r="D2216" i="9"/>
  <c r="C2216" i="9"/>
  <c r="B2216" i="9"/>
  <c r="H2215" i="9"/>
  <c r="G2215" i="9"/>
  <c r="E2215" i="9"/>
  <c r="D2215" i="9"/>
  <c r="C2215" i="9"/>
  <c r="B2215" i="9"/>
  <c r="H2214" i="9"/>
  <c r="G2214" i="9"/>
  <c r="E2214" i="9"/>
  <c r="D2214" i="9"/>
  <c r="C2214" i="9"/>
  <c r="B2214" i="9"/>
  <c r="H2213" i="9"/>
  <c r="G2213" i="9"/>
  <c r="E2213" i="9"/>
  <c r="D2213" i="9"/>
  <c r="C2213" i="9"/>
  <c r="B2213" i="9"/>
  <c r="H2212" i="9"/>
  <c r="G2212" i="9"/>
  <c r="E2212" i="9"/>
  <c r="D2212" i="9"/>
  <c r="C2212" i="9"/>
  <c r="B2212" i="9"/>
  <c r="H2211" i="9"/>
  <c r="G2211" i="9"/>
  <c r="E2211" i="9"/>
  <c r="D2211" i="9"/>
  <c r="C2211" i="9"/>
  <c r="B2211" i="9"/>
  <c r="H2210" i="9"/>
  <c r="G2210" i="9"/>
  <c r="E2210" i="9"/>
  <c r="D2210" i="9"/>
  <c r="C2210" i="9"/>
  <c r="B2210" i="9"/>
  <c r="H2209" i="9"/>
  <c r="G2209" i="9"/>
  <c r="E2209" i="9"/>
  <c r="D2209" i="9"/>
  <c r="C2209" i="9"/>
  <c r="B2209" i="9"/>
  <c r="H2208" i="9"/>
  <c r="G2208" i="9"/>
  <c r="E2208" i="9"/>
  <c r="D2208" i="9"/>
  <c r="C2208" i="9"/>
  <c r="B2208" i="9"/>
  <c r="H2207" i="9"/>
  <c r="G2207" i="9"/>
  <c r="E2207" i="9"/>
  <c r="D2207" i="9"/>
  <c r="C2207" i="9"/>
  <c r="B2207" i="9"/>
  <c r="H2206" i="9"/>
  <c r="G2206" i="9"/>
  <c r="E2206" i="9"/>
  <c r="D2206" i="9"/>
  <c r="C2206" i="9"/>
  <c r="B2206" i="9"/>
  <c r="H2205" i="9"/>
  <c r="G2205" i="9"/>
  <c r="E2205" i="9"/>
  <c r="D2205" i="9"/>
  <c r="C2205" i="9"/>
  <c r="B2205" i="9"/>
  <c r="H2204" i="9"/>
  <c r="G2204" i="9"/>
  <c r="E2204" i="9"/>
  <c r="D2204" i="9"/>
  <c r="C2204" i="9"/>
  <c r="B2204" i="9"/>
  <c r="H2203" i="9"/>
  <c r="G2203" i="9"/>
  <c r="E2203" i="9"/>
  <c r="D2203" i="9"/>
  <c r="C2203" i="9"/>
  <c r="B2203" i="9"/>
  <c r="H2202" i="9"/>
  <c r="G2202" i="9"/>
  <c r="E2202" i="9"/>
  <c r="D2202" i="9"/>
  <c r="C2202" i="9"/>
  <c r="B2202" i="9"/>
  <c r="H2201" i="9"/>
  <c r="G2201" i="9"/>
  <c r="E2201" i="9"/>
  <c r="D2201" i="9"/>
  <c r="C2201" i="9"/>
  <c r="B2201" i="9"/>
  <c r="H2200" i="9"/>
  <c r="G2200" i="9"/>
  <c r="E2200" i="9"/>
  <c r="D2200" i="9"/>
  <c r="C2200" i="9"/>
  <c r="B2200" i="9"/>
  <c r="H2199" i="9"/>
  <c r="G2199" i="9"/>
  <c r="E2199" i="9"/>
  <c r="D2199" i="9"/>
  <c r="C2199" i="9"/>
  <c r="B2199" i="9"/>
  <c r="H2198" i="9"/>
  <c r="G2198" i="9"/>
  <c r="E2198" i="9"/>
  <c r="D2198" i="9"/>
  <c r="C2198" i="9"/>
  <c r="B2198" i="9"/>
  <c r="H2197" i="9"/>
  <c r="G2197" i="9"/>
  <c r="E2197" i="9"/>
  <c r="D2197" i="9"/>
  <c r="C2197" i="9"/>
  <c r="B2197" i="9"/>
  <c r="H2196" i="9"/>
  <c r="G2196" i="9"/>
  <c r="E2196" i="9"/>
  <c r="D2196" i="9"/>
  <c r="C2196" i="9"/>
  <c r="B2196" i="9"/>
  <c r="H2195" i="9"/>
  <c r="G2195" i="9"/>
  <c r="E2195" i="9"/>
  <c r="D2195" i="9"/>
  <c r="C2195" i="9"/>
  <c r="B2195" i="9"/>
  <c r="H2194" i="9"/>
  <c r="G2194" i="9"/>
  <c r="E2194" i="9"/>
  <c r="D2194" i="9"/>
  <c r="C2194" i="9"/>
  <c r="B2194" i="9"/>
  <c r="H2193" i="9"/>
  <c r="G2193" i="9"/>
  <c r="E2193" i="9"/>
  <c r="D2193" i="9"/>
  <c r="C2193" i="9"/>
  <c r="B2193" i="9"/>
  <c r="H2192" i="9"/>
  <c r="G2192" i="9"/>
  <c r="E2192" i="9"/>
  <c r="D2192" i="9"/>
  <c r="C2192" i="9"/>
  <c r="B2192" i="9"/>
  <c r="H2191" i="9"/>
  <c r="G2191" i="9"/>
  <c r="E2191" i="9"/>
  <c r="D2191" i="9"/>
  <c r="C2191" i="9"/>
  <c r="B2191" i="9"/>
  <c r="H2190" i="9"/>
  <c r="G2190" i="9"/>
  <c r="E2190" i="9"/>
  <c r="D2190" i="9"/>
  <c r="C2190" i="9"/>
  <c r="B2190" i="9"/>
  <c r="H2189" i="9"/>
  <c r="G2189" i="9"/>
  <c r="E2189" i="9"/>
  <c r="D2189" i="9"/>
  <c r="C2189" i="9"/>
  <c r="B2189" i="9"/>
  <c r="H2188" i="9"/>
  <c r="G2188" i="9"/>
  <c r="E2188" i="9"/>
  <c r="D2188" i="9"/>
  <c r="C2188" i="9"/>
  <c r="B2188" i="9"/>
  <c r="H2187" i="9"/>
  <c r="G2187" i="9"/>
  <c r="E2187" i="9"/>
  <c r="D2187" i="9"/>
  <c r="C2187" i="9"/>
  <c r="B2187" i="9"/>
  <c r="H2186" i="9"/>
  <c r="G2186" i="9"/>
  <c r="E2186" i="9"/>
  <c r="D2186" i="9"/>
  <c r="C2186" i="9"/>
  <c r="B2186" i="9"/>
  <c r="H2185" i="9"/>
  <c r="G2185" i="9"/>
  <c r="E2185" i="9"/>
  <c r="D2185" i="9"/>
  <c r="C2185" i="9"/>
  <c r="B2185" i="9"/>
  <c r="H2184" i="9"/>
  <c r="G2184" i="9"/>
  <c r="E2184" i="9"/>
  <c r="D2184" i="9"/>
  <c r="C2184" i="9"/>
  <c r="B2184" i="9"/>
  <c r="H2183" i="9"/>
  <c r="G2183" i="9"/>
  <c r="E2183" i="9"/>
  <c r="D2183" i="9"/>
  <c r="C2183" i="9"/>
  <c r="B2183" i="9"/>
  <c r="H2182" i="9"/>
  <c r="G2182" i="9"/>
  <c r="E2182" i="9"/>
  <c r="D2182" i="9"/>
  <c r="C2182" i="9"/>
  <c r="B2182" i="9"/>
  <c r="H2181" i="9"/>
  <c r="G2181" i="9"/>
  <c r="E2181" i="9"/>
  <c r="D2181" i="9"/>
  <c r="C2181" i="9"/>
  <c r="B2181" i="9"/>
  <c r="H2180" i="9"/>
  <c r="G2180" i="9"/>
  <c r="E2180" i="9"/>
  <c r="D2180" i="9"/>
  <c r="C2180" i="9"/>
  <c r="B2180" i="9"/>
  <c r="H2179" i="9"/>
  <c r="G2179" i="9"/>
  <c r="E2179" i="9"/>
  <c r="D2179" i="9"/>
  <c r="C2179" i="9"/>
  <c r="B2179" i="9"/>
  <c r="H2178" i="9"/>
  <c r="G2178" i="9"/>
  <c r="E2178" i="9"/>
  <c r="D2178" i="9"/>
  <c r="C2178" i="9"/>
  <c r="B2178" i="9"/>
  <c r="H2177" i="9"/>
  <c r="G2177" i="9"/>
  <c r="E2177" i="9"/>
  <c r="D2177" i="9"/>
  <c r="C2177" i="9"/>
  <c r="B2177" i="9"/>
  <c r="H2176" i="9"/>
  <c r="G2176" i="9"/>
  <c r="E2176" i="9"/>
  <c r="D2176" i="9"/>
  <c r="C2176" i="9"/>
  <c r="B2176" i="9"/>
  <c r="H2175" i="9"/>
  <c r="G2175" i="9"/>
  <c r="E2175" i="9"/>
  <c r="D2175" i="9"/>
  <c r="C2175" i="9"/>
  <c r="B2175" i="9"/>
  <c r="H2174" i="9"/>
  <c r="G2174" i="9"/>
  <c r="E2174" i="9"/>
  <c r="D2174" i="9"/>
  <c r="C2174" i="9"/>
  <c r="B2174" i="9"/>
  <c r="H2173" i="9"/>
  <c r="G2173" i="9"/>
  <c r="E2173" i="9"/>
  <c r="D2173" i="9"/>
  <c r="C2173" i="9"/>
  <c r="B2173" i="9"/>
  <c r="H2172" i="9"/>
  <c r="G2172" i="9"/>
  <c r="E2172" i="9"/>
  <c r="D2172" i="9"/>
  <c r="C2172" i="9"/>
  <c r="B2172" i="9"/>
  <c r="H2171" i="9"/>
  <c r="G2171" i="9"/>
  <c r="E2171" i="9"/>
  <c r="D2171" i="9"/>
  <c r="C2171" i="9"/>
  <c r="B2171" i="9"/>
  <c r="H2170" i="9"/>
  <c r="G2170" i="9"/>
  <c r="E2170" i="9"/>
  <c r="D2170" i="9"/>
  <c r="C2170" i="9"/>
  <c r="B2170" i="9"/>
  <c r="H2169" i="9"/>
  <c r="G2169" i="9"/>
  <c r="E2169" i="9"/>
  <c r="D2169" i="9"/>
  <c r="C2169" i="9"/>
  <c r="B2169" i="9"/>
  <c r="H2168" i="9"/>
  <c r="G2168" i="9"/>
  <c r="E2168" i="9"/>
  <c r="D2168" i="9"/>
  <c r="C2168" i="9"/>
  <c r="B2168" i="9"/>
  <c r="H2167" i="9"/>
  <c r="G2167" i="9"/>
  <c r="E2167" i="9"/>
  <c r="D2167" i="9"/>
  <c r="C2167" i="9"/>
  <c r="B2167" i="9"/>
  <c r="H2166" i="9"/>
  <c r="G2166" i="9"/>
  <c r="E2166" i="9"/>
  <c r="D2166" i="9"/>
  <c r="C2166" i="9"/>
  <c r="B2166" i="9"/>
  <c r="H2165" i="9"/>
  <c r="G2165" i="9"/>
  <c r="E2165" i="9"/>
  <c r="D2165" i="9"/>
  <c r="C2165" i="9"/>
  <c r="B2165" i="9"/>
  <c r="H2164" i="9"/>
  <c r="G2164" i="9"/>
  <c r="E2164" i="9"/>
  <c r="D2164" i="9"/>
  <c r="C2164" i="9"/>
  <c r="B2164" i="9"/>
  <c r="H2163" i="9"/>
  <c r="G2163" i="9"/>
  <c r="E2163" i="9"/>
  <c r="D2163" i="9"/>
  <c r="C2163" i="9"/>
  <c r="B2163" i="9"/>
  <c r="H2162" i="9"/>
  <c r="G2162" i="9"/>
  <c r="E2162" i="9"/>
  <c r="D2162" i="9"/>
  <c r="C2162" i="9"/>
  <c r="B2162" i="9"/>
  <c r="H2161" i="9"/>
  <c r="G2161" i="9"/>
  <c r="E2161" i="9"/>
  <c r="D2161" i="9"/>
  <c r="C2161" i="9"/>
  <c r="B2161" i="9"/>
  <c r="H2160" i="9"/>
  <c r="G2160" i="9"/>
  <c r="E2160" i="9"/>
  <c r="D2160" i="9"/>
  <c r="C2160" i="9"/>
  <c r="B2160" i="9"/>
  <c r="H2159" i="9"/>
  <c r="G2159" i="9"/>
  <c r="E2159" i="9"/>
  <c r="D2159" i="9"/>
  <c r="C2159" i="9"/>
  <c r="B2159" i="9"/>
  <c r="H2158" i="9"/>
  <c r="G2158" i="9"/>
  <c r="E2158" i="9"/>
  <c r="D2158" i="9"/>
  <c r="C2158" i="9"/>
  <c r="B2158" i="9"/>
  <c r="H2157" i="9"/>
  <c r="G2157" i="9"/>
  <c r="E2157" i="9"/>
  <c r="D2157" i="9"/>
  <c r="C2157" i="9"/>
  <c r="B2157" i="9"/>
  <c r="H2156" i="9"/>
  <c r="G2156" i="9"/>
  <c r="E2156" i="9"/>
  <c r="D2156" i="9"/>
  <c r="C2156" i="9"/>
  <c r="B2156" i="9"/>
  <c r="H2155" i="9"/>
  <c r="G2155" i="9"/>
  <c r="E2155" i="9"/>
  <c r="D2155" i="9"/>
  <c r="C2155" i="9"/>
  <c r="B2155" i="9"/>
  <c r="H2154" i="9"/>
  <c r="G2154" i="9"/>
  <c r="E2154" i="9"/>
  <c r="D2154" i="9"/>
  <c r="C2154" i="9"/>
  <c r="B2154" i="9"/>
  <c r="H2153" i="9"/>
  <c r="G2153" i="9"/>
  <c r="E2153" i="9"/>
  <c r="D2153" i="9"/>
  <c r="C2153" i="9"/>
  <c r="B2153" i="9"/>
  <c r="H2152" i="9"/>
  <c r="G2152" i="9"/>
  <c r="E2152" i="9"/>
  <c r="D2152" i="9"/>
  <c r="C2152" i="9"/>
  <c r="B2152" i="9"/>
  <c r="H2151" i="9"/>
  <c r="G2151" i="9"/>
  <c r="E2151" i="9"/>
  <c r="D2151" i="9"/>
  <c r="C2151" i="9"/>
  <c r="B2151" i="9"/>
  <c r="H2150" i="9"/>
  <c r="G2150" i="9"/>
  <c r="E2150" i="9"/>
  <c r="D2150" i="9"/>
  <c r="C2150" i="9"/>
  <c r="B2150" i="9"/>
  <c r="H2149" i="9"/>
  <c r="G2149" i="9"/>
  <c r="E2149" i="9"/>
  <c r="D2149" i="9"/>
  <c r="C2149" i="9"/>
  <c r="B2149" i="9"/>
  <c r="H2148" i="9"/>
  <c r="G2148" i="9"/>
  <c r="E2148" i="9"/>
  <c r="D2148" i="9"/>
  <c r="C2148" i="9"/>
  <c r="B2148" i="9"/>
  <c r="H2147" i="9"/>
  <c r="G2147" i="9"/>
  <c r="E2147" i="9"/>
  <c r="D2147" i="9"/>
  <c r="C2147" i="9"/>
  <c r="B2147" i="9"/>
  <c r="H2146" i="9"/>
  <c r="G2146" i="9"/>
  <c r="E2146" i="9"/>
  <c r="D2146" i="9"/>
  <c r="C2146" i="9"/>
  <c r="B2146" i="9"/>
  <c r="H2145" i="9"/>
  <c r="G2145" i="9"/>
  <c r="E2145" i="9"/>
  <c r="D2145" i="9"/>
  <c r="C2145" i="9"/>
  <c r="B2145" i="9"/>
  <c r="H2144" i="9"/>
  <c r="G2144" i="9"/>
  <c r="E2144" i="9"/>
  <c r="D2144" i="9"/>
  <c r="C2144" i="9"/>
  <c r="B2144" i="9"/>
  <c r="H2143" i="9"/>
  <c r="G2143" i="9"/>
  <c r="E2143" i="9"/>
  <c r="D2143" i="9"/>
  <c r="C2143" i="9"/>
  <c r="B2143" i="9"/>
  <c r="H2142" i="9"/>
  <c r="G2142" i="9"/>
  <c r="E2142" i="9"/>
  <c r="D2142" i="9"/>
  <c r="C2142" i="9"/>
  <c r="B2142" i="9"/>
  <c r="H2141" i="9"/>
  <c r="G2141" i="9"/>
  <c r="E2141" i="9"/>
  <c r="D2141" i="9"/>
  <c r="C2141" i="9"/>
  <c r="B2141" i="9"/>
  <c r="H2140" i="9"/>
  <c r="G2140" i="9"/>
  <c r="E2140" i="9"/>
  <c r="D2140" i="9"/>
  <c r="C2140" i="9"/>
  <c r="B2140" i="9"/>
  <c r="H2139" i="9"/>
  <c r="G2139" i="9"/>
  <c r="E2139" i="9"/>
  <c r="D2139" i="9"/>
  <c r="C2139" i="9"/>
  <c r="B2139" i="9"/>
  <c r="H2138" i="9"/>
  <c r="G2138" i="9"/>
  <c r="E2138" i="9"/>
  <c r="D2138" i="9"/>
  <c r="C2138" i="9"/>
  <c r="B2138" i="9"/>
  <c r="H2137" i="9"/>
  <c r="G2137" i="9"/>
  <c r="E2137" i="9"/>
  <c r="D2137" i="9"/>
  <c r="C2137" i="9"/>
  <c r="B2137" i="9"/>
  <c r="H2136" i="9"/>
  <c r="G2136" i="9"/>
  <c r="E2136" i="9"/>
  <c r="D2136" i="9"/>
  <c r="C2136" i="9"/>
  <c r="B2136" i="9"/>
  <c r="H2135" i="9"/>
  <c r="G2135" i="9"/>
  <c r="E2135" i="9"/>
  <c r="D2135" i="9"/>
  <c r="C2135" i="9"/>
  <c r="B2135" i="9"/>
  <c r="H2134" i="9"/>
  <c r="G2134" i="9"/>
  <c r="E2134" i="9"/>
  <c r="D2134" i="9"/>
  <c r="C2134" i="9"/>
  <c r="B2134" i="9"/>
  <c r="H2133" i="9"/>
  <c r="G2133" i="9"/>
  <c r="E2133" i="9"/>
  <c r="D2133" i="9"/>
  <c r="C2133" i="9"/>
  <c r="B2133" i="9"/>
  <c r="H2132" i="9"/>
  <c r="G2132" i="9"/>
  <c r="E2132" i="9"/>
  <c r="D2132" i="9"/>
  <c r="C2132" i="9"/>
  <c r="B2132" i="9"/>
  <c r="H2131" i="9"/>
  <c r="G2131" i="9"/>
  <c r="E2131" i="9"/>
  <c r="D2131" i="9"/>
  <c r="C2131" i="9"/>
  <c r="B2131" i="9"/>
  <c r="H2130" i="9"/>
  <c r="G2130" i="9"/>
  <c r="E2130" i="9"/>
  <c r="D2130" i="9"/>
  <c r="C2130" i="9"/>
  <c r="B2130" i="9"/>
  <c r="H2129" i="9"/>
  <c r="G2129" i="9"/>
  <c r="E2129" i="9"/>
  <c r="D2129" i="9"/>
  <c r="C2129" i="9"/>
  <c r="B2129" i="9"/>
  <c r="H2128" i="9"/>
  <c r="G2128" i="9"/>
  <c r="E2128" i="9"/>
  <c r="D2128" i="9"/>
  <c r="C2128" i="9"/>
  <c r="B2128" i="9"/>
  <c r="H2127" i="9"/>
  <c r="G2127" i="9"/>
  <c r="E2127" i="9"/>
  <c r="D2127" i="9"/>
  <c r="C2127" i="9"/>
  <c r="B2127" i="9"/>
  <c r="H2126" i="9"/>
  <c r="G2126" i="9"/>
  <c r="E2126" i="9"/>
  <c r="D2126" i="9"/>
  <c r="C2126" i="9"/>
  <c r="B2126" i="9"/>
  <c r="H2125" i="9"/>
  <c r="G2125" i="9"/>
  <c r="E2125" i="9"/>
  <c r="D2125" i="9"/>
  <c r="C2125" i="9"/>
  <c r="B2125" i="9"/>
  <c r="H2124" i="9"/>
  <c r="G2124" i="9"/>
  <c r="E2124" i="9"/>
  <c r="D2124" i="9"/>
  <c r="C2124" i="9"/>
  <c r="B2124" i="9"/>
  <c r="H2123" i="9"/>
  <c r="G2123" i="9"/>
  <c r="E2123" i="9"/>
  <c r="D2123" i="9"/>
  <c r="C2123" i="9"/>
  <c r="B2123" i="9"/>
  <c r="H2122" i="9"/>
  <c r="G2122" i="9"/>
  <c r="E2122" i="9"/>
  <c r="D2122" i="9"/>
  <c r="C2122" i="9"/>
  <c r="B2122" i="9"/>
  <c r="H2121" i="9"/>
  <c r="G2121" i="9"/>
  <c r="E2121" i="9"/>
  <c r="D2121" i="9"/>
  <c r="C2121" i="9"/>
  <c r="B2121" i="9"/>
  <c r="H2120" i="9"/>
  <c r="G2120" i="9"/>
  <c r="E2120" i="9"/>
  <c r="D2120" i="9"/>
  <c r="C2120" i="9"/>
  <c r="B2120" i="9"/>
  <c r="H2119" i="9"/>
  <c r="G2119" i="9"/>
  <c r="E2119" i="9"/>
  <c r="D2119" i="9"/>
  <c r="C2119" i="9"/>
  <c r="B2119" i="9"/>
  <c r="H2118" i="9"/>
  <c r="G2118" i="9"/>
  <c r="E2118" i="9"/>
  <c r="D2118" i="9"/>
  <c r="C2118" i="9"/>
  <c r="B2118" i="9"/>
  <c r="H2117" i="9"/>
  <c r="G2117" i="9"/>
  <c r="E2117" i="9"/>
  <c r="D2117" i="9"/>
  <c r="C2117" i="9"/>
  <c r="B2117" i="9"/>
  <c r="H2116" i="9"/>
  <c r="G2116" i="9"/>
  <c r="E2116" i="9"/>
  <c r="D2116" i="9"/>
  <c r="C2116" i="9"/>
  <c r="B2116" i="9"/>
  <c r="H2115" i="9"/>
  <c r="G2115" i="9"/>
  <c r="E2115" i="9"/>
  <c r="D2115" i="9"/>
  <c r="C2115" i="9"/>
  <c r="B2115" i="9"/>
  <c r="H2114" i="9"/>
  <c r="G2114" i="9"/>
  <c r="E2114" i="9"/>
  <c r="D2114" i="9"/>
  <c r="C2114" i="9"/>
  <c r="B2114" i="9"/>
  <c r="H2113" i="9"/>
  <c r="G2113" i="9"/>
  <c r="E2113" i="9"/>
  <c r="D2113" i="9"/>
  <c r="C2113" i="9"/>
  <c r="B2113" i="9"/>
  <c r="H2112" i="9"/>
  <c r="G2112" i="9"/>
  <c r="E2112" i="9"/>
  <c r="D2112" i="9"/>
  <c r="C2112" i="9"/>
  <c r="B2112" i="9"/>
  <c r="H2111" i="9"/>
  <c r="G2111" i="9"/>
  <c r="E2111" i="9"/>
  <c r="D2111" i="9"/>
  <c r="C2111" i="9"/>
  <c r="B2111" i="9"/>
  <c r="H2110" i="9"/>
  <c r="G2110" i="9"/>
  <c r="E2110" i="9"/>
  <c r="D2110" i="9"/>
  <c r="C2110" i="9"/>
  <c r="B2110" i="9"/>
  <c r="H2109" i="9"/>
  <c r="G2109" i="9"/>
  <c r="E2109" i="9"/>
  <c r="D2109" i="9"/>
  <c r="C2109" i="9"/>
  <c r="B2109" i="9"/>
  <c r="H2108" i="9"/>
  <c r="G2108" i="9"/>
  <c r="E2108" i="9"/>
  <c r="D2108" i="9"/>
  <c r="C2108" i="9"/>
  <c r="B2108" i="9"/>
  <c r="H2107" i="9"/>
  <c r="G2107" i="9"/>
  <c r="E2107" i="9"/>
  <c r="D2107" i="9"/>
  <c r="C2107" i="9"/>
  <c r="B2107" i="9"/>
  <c r="H2106" i="9"/>
  <c r="G2106" i="9"/>
  <c r="E2106" i="9"/>
  <c r="D2106" i="9"/>
  <c r="C2106" i="9"/>
  <c r="B2106" i="9"/>
  <c r="H2105" i="9"/>
  <c r="G2105" i="9"/>
  <c r="E2105" i="9"/>
  <c r="D2105" i="9"/>
  <c r="C2105" i="9"/>
  <c r="B2105" i="9"/>
  <c r="H2104" i="9"/>
  <c r="G2104" i="9"/>
  <c r="E2104" i="9"/>
  <c r="D2104" i="9"/>
  <c r="C2104" i="9"/>
  <c r="B2104" i="9"/>
  <c r="H2103" i="9"/>
  <c r="G2103" i="9"/>
  <c r="E2103" i="9"/>
  <c r="D2103" i="9"/>
  <c r="C2103" i="9"/>
  <c r="B2103" i="9"/>
  <c r="H2102" i="9"/>
  <c r="G2102" i="9"/>
  <c r="E2102" i="9"/>
  <c r="D2102" i="9"/>
  <c r="C2102" i="9"/>
  <c r="B2102" i="9"/>
  <c r="H2101" i="9"/>
  <c r="G2101" i="9"/>
  <c r="E2101" i="9"/>
  <c r="D2101" i="9"/>
  <c r="C2101" i="9"/>
  <c r="B2101" i="9"/>
  <c r="H2100" i="9"/>
  <c r="G2100" i="9"/>
  <c r="E2100" i="9"/>
  <c r="D2100" i="9"/>
  <c r="C2100" i="9"/>
  <c r="B2100" i="9"/>
  <c r="H2099" i="9"/>
  <c r="G2099" i="9"/>
  <c r="E2099" i="9"/>
  <c r="D2099" i="9"/>
  <c r="C2099" i="9"/>
  <c r="B2099" i="9"/>
  <c r="H2098" i="9"/>
  <c r="G2098" i="9"/>
  <c r="E2098" i="9"/>
  <c r="D2098" i="9"/>
  <c r="C2098" i="9"/>
  <c r="B2098" i="9"/>
  <c r="H2097" i="9"/>
  <c r="G2097" i="9"/>
  <c r="E2097" i="9"/>
  <c r="D2097" i="9"/>
  <c r="C2097" i="9"/>
  <c r="B2097" i="9"/>
  <c r="H2096" i="9"/>
  <c r="G2096" i="9"/>
  <c r="E2096" i="9"/>
  <c r="D2096" i="9"/>
  <c r="C2096" i="9"/>
  <c r="B2096" i="9"/>
  <c r="H2095" i="9"/>
  <c r="G2095" i="9"/>
  <c r="E2095" i="9"/>
  <c r="D2095" i="9"/>
  <c r="C2095" i="9"/>
  <c r="B2095" i="9"/>
  <c r="H2094" i="9"/>
  <c r="G2094" i="9"/>
  <c r="E2094" i="9"/>
  <c r="D2094" i="9"/>
  <c r="C2094" i="9"/>
  <c r="B2094" i="9"/>
  <c r="H2093" i="9"/>
  <c r="G2093" i="9"/>
  <c r="E2093" i="9"/>
  <c r="D2093" i="9"/>
  <c r="C2093" i="9"/>
  <c r="B2093" i="9"/>
  <c r="H2092" i="9"/>
  <c r="G2092" i="9"/>
  <c r="E2092" i="9"/>
  <c r="D2092" i="9"/>
  <c r="C2092" i="9"/>
  <c r="B2092" i="9"/>
  <c r="H2091" i="9"/>
  <c r="G2091" i="9"/>
  <c r="E2091" i="9"/>
  <c r="D2091" i="9"/>
  <c r="C2091" i="9"/>
  <c r="B2091" i="9"/>
  <c r="H2090" i="9"/>
  <c r="G2090" i="9"/>
  <c r="E2090" i="9"/>
  <c r="D2090" i="9"/>
  <c r="C2090" i="9"/>
  <c r="B2090" i="9"/>
  <c r="H2089" i="9"/>
  <c r="G2089" i="9"/>
  <c r="E2089" i="9"/>
  <c r="D2089" i="9"/>
  <c r="C2089" i="9"/>
  <c r="B2089" i="9"/>
  <c r="H2088" i="9"/>
  <c r="G2088" i="9"/>
  <c r="E2088" i="9"/>
  <c r="D2088" i="9"/>
  <c r="C2088" i="9"/>
  <c r="B2088" i="9"/>
  <c r="H2087" i="9"/>
  <c r="G2087" i="9"/>
  <c r="E2087" i="9"/>
  <c r="D2087" i="9"/>
  <c r="C2087" i="9"/>
  <c r="B2087" i="9"/>
  <c r="H2086" i="9"/>
  <c r="G2086" i="9"/>
  <c r="E2086" i="9"/>
  <c r="D2086" i="9"/>
  <c r="C2086" i="9"/>
  <c r="B2086" i="9"/>
  <c r="H2085" i="9"/>
  <c r="G2085" i="9"/>
  <c r="E2085" i="9"/>
  <c r="D2085" i="9"/>
  <c r="C2085" i="9"/>
  <c r="B2085" i="9"/>
  <c r="H2084" i="9"/>
  <c r="G2084" i="9"/>
  <c r="E2084" i="9"/>
  <c r="D2084" i="9"/>
  <c r="C2084" i="9"/>
  <c r="B2084" i="9"/>
  <c r="H2083" i="9"/>
  <c r="G2083" i="9"/>
  <c r="E2083" i="9"/>
  <c r="D2083" i="9"/>
  <c r="C2083" i="9"/>
  <c r="B2083" i="9"/>
  <c r="H2082" i="9"/>
  <c r="G2082" i="9"/>
  <c r="E2082" i="9"/>
  <c r="D2082" i="9"/>
  <c r="C2082" i="9"/>
  <c r="B2082" i="9"/>
  <c r="H2081" i="9"/>
  <c r="G2081" i="9"/>
  <c r="E2081" i="9"/>
  <c r="D2081" i="9"/>
  <c r="C2081" i="9"/>
  <c r="B2081" i="9"/>
  <c r="H2080" i="9"/>
  <c r="G2080" i="9"/>
  <c r="E2080" i="9"/>
  <c r="D2080" i="9"/>
  <c r="C2080" i="9"/>
  <c r="B2080" i="9"/>
  <c r="H2079" i="9"/>
  <c r="G2079" i="9"/>
  <c r="E2079" i="9"/>
  <c r="D2079" i="9"/>
  <c r="C2079" i="9"/>
  <c r="B2079" i="9"/>
  <c r="H2078" i="9"/>
  <c r="G2078" i="9"/>
  <c r="E2078" i="9"/>
  <c r="D2078" i="9"/>
  <c r="C2078" i="9"/>
  <c r="B2078" i="9"/>
  <c r="H2077" i="9"/>
  <c r="G2077" i="9"/>
  <c r="E2077" i="9"/>
  <c r="D2077" i="9"/>
  <c r="C2077" i="9"/>
  <c r="B2077" i="9"/>
  <c r="H2076" i="9"/>
  <c r="G2076" i="9"/>
  <c r="E2076" i="9"/>
  <c r="D2076" i="9"/>
  <c r="C2076" i="9"/>
  <c r="B2076" i="9"/>
  <c r="H2075" i="9"/>
  <c r="G2075" i="9"/>
  <c r="E2075" i="9"/>
  <c r="D2075" i="9"/>
  <c r="C2075" i="9"/>
  <c r="B2075" i="9"/>
  <c r="H2074" i="9"/>
  <c r="G2074" i="9"/>
  <c r="E2074" i="9"/>
  <c r="D2074" i="9"/>
  <c r="C2074" i="9"/>
  <c r="B2074" i="9"/>
  <c r="H2073" i="9"/>
  <c r="G2073" i="9"/>
  <c r="E2073" i="9"/>
  <c r="D2073" i="9"/>
  <c r="C2073" i="9"/>
  <c r="B2073" i="9"/>
  <c r="H2072" i="9"/>
  <c r="G2072" i="9"/>
  <c r="E2072" i="9"/>
  <c r="D2072" i="9"/>
  <c r="C2072" i="9"/>
  <c r="B2072" i="9"/>
  <c r="H2071" i="9"/>
  <c r="G2071" i="9"/>
  <c r="E2071" i="9"/>
  <c r="D2071" i="9"/>
  <c r="C2071" i="9"/>
  <c r="B2071" i="9"/>
  <c r="H2070" i="9"/>
  <c r="G2070" i="9"/>
  <c r="E2070" i="9"/>
  <c r="D2070" i="9"/>
  <c r="C2070" i="9"/>
  <c r="B2070" i="9"/>
  <c r="H2069" i="9"/>
  <c r="G2069" i="9"/>
  <c r="E2069" i="9"/>
  <c r="D2069" i="9"/>
  <c r="C2069" i="9"/>
  <c r="B2069" i="9"/>
  <c r="H2068" i="9"/>
  <c r="G2068" i="9"/>
  <c r="E2068" i="9"/>
  <c r="D2068" i="9"/>
  <c r="C2068" i="9"/>
  <c r="B2068" i="9"/>
  <c r="H2067" i="9"/>
  <c r="G2067" i="9"/>
  <c r="E2067" i="9"/>
  <c r="D2067" i="9"/>
  <c r="C2067" i="9"/>
  <c r="B2067" i="9"/>
  <c r="H2066" i="9"/>
  <c r="G2066" i="9"/>
  <c r="E2066" i="9"/>
  <c r="D2066" i="9"/>
  <c r="C2066" i="9"/>
  <c r="B2066" i="9"/>
  <c r="H2065" i="9"/>
  <c r="G2065" i="9"/>
  <c r="E2065" i="9"/>
  <c r="D2065" i="9"/>
  <c r="C2065" i="9"/>
  <c r="B2065" i="9"/>
  <c r="H2064" i="9"/>
  <c r="G2064" i="9"/>
  <c r="E2064" i="9"/>
  <c r="D2064" i="9"/>
  <c r="C2064" i="9"/>
  <c r="B2064" i="9"/>
  <c r="H2063" i="9"/>
  <c r="G2063" i="9"/>
  <c r="E2063" i="9"/>
  <c r="D2063" i="9"/>
  <c r="C2063" i="9"/>
  <c r="B2063" i="9"/>
  <c r="H2062" i="9"/>
  <c r="G2062" i="9"/>
  <c r="E2062" i="9"/>
  <c r="D2062" i="9"/>
  <c r="C2062" i="9"/>
  <c r="B2062" i="9"/>
  <c r="H2061" i="9"/>
  <c r="G2061" i="9"/>
  <c r="E2061" i="9"/>
  <c r="D2061" i="9"/>
  <c r="C2061" i="9"/>
  <c r="B2061" i="9"/>
  <c r="H2060" i="9"/>
  <c r="G2060" i="9"/>
  <c r="E2060" i="9"/>
  <c r="D2060" i="9"/>
  <c r="C2060" i="9"/>
  <c r="B2060" i="9"/>
  <c r="H2059" i="9"/>
  <c r="G2059" i="9"/>
  <c r="E2059" i="9"/>
  <c r="D2059" i="9"/>
  <c r="C2059" i="9"/>
  <c r="B2059" i="9"/>
  <c r="H2058" i="9"/>
  <c r="G2058" i="9"/>
  <c r="E2058" i="9"/>
  <c r="D2058" i="9"/>
  <c r="C2058" i="9"/>
  <c r="B2058" i="9"/>
  <c r="H2057" i="9"/>
  <c r="G2057" i="9"/>
  <c r="E2057" i="9"/>
  <c r="D2057" i="9"/>
  <c r="C2057" i="9"/>
  <c r="B2057" i="9"/>
  <c r="H2056" i="9"/>
  <c r="G2056" i="9"/>
  <c r="E2056" i="9"/>
  <c r="D2056" i="9"/>
  <c r="C2056" i="9"/>
  <c r="B2056" i="9"/>
  <c r="H2055" i="9"/>
  <c r="G2055" i="9"/>
  <c r="E2055" i="9"/>
  <c r="D2055" i="9"/>
  <c r="C2055" i="9"/>
  <c r="B2055" i="9"/>
  <c r="H2054" i="9"/>
  <c r="G2054" i="9"/>
  <c r="E2054" i="9"/>
  <c r="D2054" i="9"/>
  <c r="C2054" i="9"/>
  <c r="B2054" i="9"/>
  <c r="H2053" i="9"/>
  <c r="G2053" i="9"/>
  <c r="E2053" i="9"/>
  <c r="D2053" i="9"/>
  <c r="C2053" i="9"/>
  <c r="B2053" i="9"/>
  <c r="H2052" i="9"/>
  <c r="G2052" i="9"/>
  <c r="E2052" i="9"/>
  <c r="D2052" i="9"/>
  <c r="C2052" i="9"/>
  <c r="B2052" i="9"/>
  <c r="H2051" i="9"/>
  <c r="G2051" i="9"/>
  <c r="E2051" i="9"/>
  <c r="D2051" i="9"/>
  <c r="C2051" i="9"/>
  <c r="B2051" i="9"/>
  <c r="H2050" i="9"/>
  <c r="G2050" i="9"/>
  <c r="E2050" i="9"/>
  <c r="D2050" i="9"/>
  <c r="C2050" i="9"/>
  <c r="B2050" i="9"/>
  <c r="H2049" i="9"/>
  <c r="G2049" i="9"/>
  <c r="E2049" i="9"/>
  <c r="D2049" i="9"/>
  <c r="C2049" i="9"/>
  <c r="B2049" i="9"/>
  <c r="H2048" i="9"/>
  <c r="G2048" i="9"/>
  <c r="E2048" i="9"/>
  <c r="D2048" i="9"/>
  <c r="C2048" i="9"/>
  <c r="B2048" i="9"/>
  <c r="H2047" i="9"/>
  <c r="G2047" i="9"/>
  <c r="E2047" i="9"/>
  <c r="D2047" i="9"/>
  <c r="C2047" i="9"/>
  <c r="B2047" i="9"/>
  <c r="H2046" i="9"/>
  <c r="G2046" i="9"/>
  <c r="E2046" i="9"/>
  <c r="D2046" i="9"/>
  <c r="C2046" i="9"/>
  <c r="B2046" i="9"/>
  <c r="H2045" i="9"/>
  <c r="G2045" i="9"/>
  <c r="E2045" i="9"/>
  <c r="D2045" i="9"/>
  <c r="C2045" i="9"/>
  <c r="B2045" i="9"/>
  <c r="H2044" i="9"/>
  <c r="G2044" i="9"/>
  <c r="E2044" i="9"/>
  <c r="D2044" i="9"/>
  <c r="C2044" i="9"/>
  <c r="B2044" i="9"/>
  <c r="H2043" i="9"/>
  <c r="G2043" i="9"/>
  <c r="E2043" i="9"/>
  <c r="D2043" i="9"/>
  <c r="C2043" i="9"/>
  <c r="B2043" i="9"/>
  <c r="H2042" i="9"/>
  <c r="G2042" i="9"/>
  <c r="E2042" i="9"/>
  <c r="D2042" i="9"/>
  <c r="C2042" i="9"/>
  <c r="B2042" i="9"/>
  <c r="H2041" i="9"/>
  <c r="G2041" i="9"/>
  <c r="E2041" i="9"/>
  <c r="D2041" i="9"/>
  <c r="C2041" i="9"/>
  <c r="B2041" i="9"/>
  <c r="H2040" i="9"/>
  <c r="G2040" i="9"/>
  <c r="E2040" i="9"/>
  <c r="D2040" i="9"/>
  <c r="C2040" i="9"/>
  <c r="B2040" i="9"/>
  <c r="H2039" i="9"/>
  <c r="G2039" i="9"/>
  <c r="E2039" i="9"/>
  <c r="D2039" i="9"/>
  <c r="C2039" i="9"/>
  <c r="B2039" i="9"/>
  <c r="H2038" i="9"/>
  <c r="G2038" i="9"/>
  <c r="E2038" i="9"/>
  <c r="D2038" i="9"/>
  <c r="C2038" i="9"/>
  <c r="B2038" i="9"/>
  <c r="H2037" i="9"/>
  <c r="G2037" i="9"/>
  <c r="E2037" i="9"/>
  <c r="D2037" i="9"/>
  <c r="C2037" i="9"/>
  <c r="B2037" i="9"/>
  <c r="H2036" i="9"/>
  <c r="G2036" i="9"/>
  <c r="E2036" i="9"/>
  <c r="D2036" i="9"/>
  <c r="C2036" i="9"/>
  <c r="B2036" i="9"/>
  <c r="H2035" i="9"/>
  <c r="G2035" i="9"/>
  <c r="E2035" i="9"/>
  <c r="D2035" i="9"/>
  <c r="C2035" i="9"/>
  <c r="B2035" i="9"/>
  <c r="H2034" i="9"/>
  <c r="G2034" i="9"/>
  <c r="E2034" i="9"/>
  <c r="D2034" i="9"/>
  <c r="C2034" i="9"/>
  <c r="B2034" i="9"/>
  <c r="H2033" i="9"/>
  <c r="G2033" i="9"/>
  <c r="E2033" i="9"/>
  <c r="D2033" i="9"/>
  <c r="C2033" i="9"/>
  <c r="B2033" i="9"/>
  <c r="H2032" i="9"/>
  <c r="G2032" i="9"/>
  <c r="E2032" i="9"/>
  <c r="D2032" i="9"/>
  <c r="C2032" i="9"/>
  <c r="B2032" i="9"/>
  <c r="H2031" i="9"/>
  <c r="G2031" i="9"/>
  <c r="E2031" i="9"/>
  <c r="D2031" i="9"/>
  <c r="C2031" i="9"/>
  <c r="B2031" i="9"/>
  <c r="H2030" i="9"/>
  <c r="G2030" i="9"/>
  <c r="E2030" i="9"/>
  <c r="D2030" i="9"/>
  <c r="C2030" i="9"/>
  <c r="B2030" i="9"/>
  <c r="H2029" i="9"/>
  <c r="G2029" i="9"/>
  <c r="E2029" i="9"/>
  <c r="D2029" i="9"/>
  <c r="C2029" i="9"/>
  <c r="B2029" i="9"/>
  <c r="H2028" i="9"/>
  <c r="G2028" i="9"/>
  <c r="E2028" i="9"/>
  <c r="D2028" i="9"/>
  <c r="C2028" i="9"/>
  <c r="B2028" i="9"/>
  <c r="H2027" i="9"/>
  <c r="G2027" i="9"/>
  <c r="E2027" i="9"/>
  <c r="D2027" i="9"/>
  <c r="C2027" i="9"/>
  <c r="B2027" i="9"/>
  <c r="H2026" i="9"/>
  <c r="G2026" i="9"/>
  <c r="E2026" i="9"/>
  <c r="D2026" i="9"/>
  <c r="C2026" i="9"/>
  <c r="B2026" i="9"/>
  <c r="H2025" i="9"/>
  <c r="G2025" i="9"/>
  <c r="E2025" i="9"/>
  <c r="D2025" i="9"/>
  <c r="C2025" i="9"/>
  <c r="B2025" i="9"/>
  <c r="H2024" i="9"/>
  <c r="G2024" i="9"/>
  <c r="E2024" i="9"/>
  <c r="D2024" i="9"/>
  <c r="C2024" i="9"/>
  <c r="B2024" i="9"/>
  <c r="H2023" i="9"/>
  <c r="G2023" i="9"/>
  <c r="E2023" i="9"/>
  <c r="D2023" i="9"/>
  <c r="C2023" i="9"/>
  <c r="B2023" i="9"/>
  <c r="H2022" i="9"/>
  <c r="G2022" i="9"/>
  <c r="E2022" i="9"/>
  <c r="D2022" i="9"/>
  <c r="C2022" i="9"/>
  <c r="B2022" i="9"/>
  <c r="H2021" i="9"/>
  <c r="G2021" i="9"/>
  <c r="E2021" i="9"/>
  <c r="D2021" i="9"/>
  <c r="C2021" i="9"/>
  <c r="B2021" i="9"/>
  <c r="H2020" i="9"/>
  <c r="G2020" i="9"/>
  <c r="E2020" i="9"/>
  <c r="D2020" i="9"/>
  <c r="C2020" i="9"/>
  <c r="B2020" i="9"/>
  <c r="H2019" i="9"/>
  <c r="G2019" i="9"/>
  <c r="E2019" i="9"/>
  <c r="D2019" i="9"/>
  <c r="C2019" i="9"/>
  <c r="B2019" i="9"/>
  <c r="H2018" i="9"/>
  <c r="G2018" i="9"/>
  <c r="E2018" i="9"/>
  <c r="D2018" i="9"/>
  <c r="C2018" i="9"/>
  <c r="B2018" i="9"/>
  <c r="H2017" i="9"/>
  <c r="G2017" i="9"/>
  <c r="E2017" i="9"/>
  <c r="D2017" i="9"/>
  <c r="C2017" i="9"/>
  <c r="B2017" i="9"/>
  <c r="H2016" i="9"/>
  <c r="G2016" i="9"/>
  <c r="E2016" i="9"/>
  <c r="D2016" i="9"/>
  <c r="C2016" i="9"/>
  <c r="B2016" i="9"/>
  <c r="H2015" i="9"/>
  <c r="G2015" i="9"/>
  <c r="E2015" i="9"/>
  <c r="D2015" i="9"/>
  <c r="C2015" i="9"/>
  <c r="B2015" i="9"/>
  <c r="H2014" i="9"/>
  <c r="G2014" i="9"/>
  <c r="E2014" i="9"/>
  <c r="D2014" i="9"/>
  <c r="C2014" i="9"/>
  <c r="B2014" i="9"/>
  <c r="H2013" i="9"/>
  <c r="G2013" i="9"/>
  <c r="E2013" i="9"/>
  <c r="D2013" i="9"/>
  <c r="C2013" i="9"/>
  <c r="B2013" i="9"/>
  <c r="H2012" i="9"/>
  <c r="G2012" i="9"/>
  <c r="E2012" i="9"/>
  <c r="D2012" i="9"/>
  <c r="C2012" i="9"/>
  <c r="B2012" i="9"/>
  <c r="H2011" i="9"/>
  <c r="G2011" i="9"/>
  <c r="E2011" i="9"/>
  <c r="D2011" i="9"/>
  <c r="C2011" i="9"/>
  <c r="B2011" i="9"/>
  <c r="H2010" i="9"/>
  <c r="G2010" i="9"/>
  <c r="E2010" i="9"/>
  <c r="D2010" i="9"/>
  <c r="C2010" i="9"/>
  <c r="B2010" i="9"/>
  <c r="H2009" i="9"/>
  <c r="G2009" i="9"/>
  <c r="E2009" i="9"/>
  <c r="D2009" i="9"/>
  <c r="C2009" i="9"/>
  <c r="B2009" i="9"/>
  <c r="H2008" i="9"/>
  <c r="G2008" i="9"/>
  <c r="E2008" i="9"/>
  <c r="D2008" i="9"/>
  <c r="C2008" i="9"/>
  <c r="B2008" i="9"/>
  <c r="H2007" i="9"/>
  <c r="G2007" i="9"/>
  <c r="E2007" i="9"/>
  <c r="D2007" i="9"/>
  <c r="C2007" i="9"/>
  <c r="B2007" i="9"/>
  <c r="H2006" i="9"/>
  <c r="G2006" i="9"/>
  <c r="E2006" i="9"/>
  <c r="D2006" i="9"/>
  <c r="C2006" i="9"/>
  <c r="B2006" i="9"/>
  <c r="H2005" i="9"/>
  <c r="G2005" i="9"/>
  <c r="E2005" i="9"/>
  <c r="D2005" i="9"/>
  <c r="C2005" i="9"/>
  <c r="B2005" i="9"/>
  <c r="H2004" i="9"/>
  <c r="G2004" i="9"/>
  <c r="E2004" i="9"/>
  <c r="D2004" i="9"/>
  <c r="C2004" i="9"/>
  <c r="B2004" i="9"/>
  <c r="H2003" i="9"/>
  <c r="G2003" i="9"/>
  <c r="E2003" i="9"/>
  <c r="D2003" i="9"/>
  <c r="B2003" i="9"/>
  <c r="H2002" i="9"/>
  <c r="G2002" i="9"/>
  <c r="E2002" i="9"/>
  <c r="D2002" i="9"/>
  <c r="B2002" i="9"/>
  <c r="H2001" i="9"/>
  <c r="G2001" i="9"/>
  <c r="E2001" i="9"/>
  <c r="D2001" i="9"/>
  <c r="B2001" i="9"/>
  <c r="H2000" i="9"/>
  <c r="G2000" i="9"/>
  <c r="E2000" i="9"/>
  <c r="D2000" i="9"/>
  <c r="B2000" i="9"/>
  <c r="H1999" i="9"/>
  <c r="G1999" i="9"/>
  <c r="E1999" i="9"/>
  <c r="D1999" i="9"/>
  <c r="B1999" i="9"/>
  <c r="H1998" i="9"/>
  <c r="G1998" i="9"/>
  <c r="E1998" i="9"/>
  <c r="D1998" i="9"/>
  <c r="B1998" i="9"/>
  <c r="H1997" i="9"/>
  <c r="G1997" i="9"/>
  <c r="E1997" i="9"/>
  <c r="D1997" i="9"/>
  <c r="B1997" i="9"/>
  <c r="H1996" i="9"/>
  <c r="G1996" i="9"/>
  <c r="E1996" i="9"/>
  <c r="D1996" i="9"/>
  <c r="B1996" i="9"/>
  <c r="H1995" i="9"/>
  <c r="G1995" i="9"/>
  <c r="E1995" i="9"/>
  <c r="D1995" i="9"/>
  <c r="B1995" i="9"/>
  <c r="H1994" i="9"/>
  <c r="G1994" i="9"/>
  <c r="E1994" i="9"/>
  <c r="D1994" i="9"/>
  <c r="B1994" i="9"/>
  <c r="H1993" i="9"/>
  <c r="G1993" i="9"/>
  <c r="E1993" i="9"/>
  <c r="D1993" i="9"/>
  <c r="B1993" i="9"/>
  <c r="H1992" i="9"/>
  <c r="G1992" i="9"/>
  <c r="E1992" i="9"/>
  <c r="D1992" i="9"/>
  <c r="B1992" i="9"/>
  <c r="H1991" i="9"/>
  <c r="G1991" i="9"/>
  <c r="E1991" i="9"/>
  <c r="D1991" i="9"/>
  <c r="B1991" i="9"/>
  <c r="H1990" i="9"/>
  <c r="G1990" i="9"/>
  <c r="E1990" i="9"/>
  <c r="D1990" i="9"/>
  <c r="B1990" i="9"/>
  <c r="H1989" i="9"/>
  <c r="G1989" i="9"/>
  <c r="E1989" i="9"/>
  <c r="D1989" i="9"/>
  <c r="B1989" i="9"/>
  <c r="H1988" i="9"/>
  <c r="G1988" i="9"/>
  <c r="E1988" i="9"/>
  <c r="D1988" i="9"/>
  <c r="B1988" i="9"/>
  <c r="H1987" i="9"/>
  <c r="G1987" i="9"/>
  <c r="E1987" i="9"/>
  <c r="D1987" i="9"/>
  <c r="B1987" i="9"/>
  <c r="H1986" i="9"/>
  <c r="G1986" i="9"/>
  <c r="E1986" i="9"/>
  <c r="D1986" i="9"/>
  <c r="B1986" i="9"/>
  <c r="H1985" i="9"/>
  <c r="G1985" i="9"/>
  <c r="E1985" i="9"/>
  <c r="D1985" i="9"/>
  <c r="B1985" i="9"/>
  <c r="H1984" i="9"/>
  <c r="G1984" i="9"/>
  <c r="E1984" i="9"/>
  <c r="D1984" i="9"/>
  <c r="B1984" i="9"/>
  <c r="H1983" i="9"/>
  <c r="G1983" i="9"/>
  <c r="E1983" i="9"/>
  <c r="D1983" i="9"/>
  <c r="B1983" i="9"/>
  <c r="H1982" i="9"/>
  <c r="G1982" i="9"/>
  <c r="E1982" i="9"/>
  <c r="D1982" i="9"/>
  <c r="B1982" i="9"/>
  <c r="H1981" i="9"/>
  <c r="G1981" i="9"/>
  <c r="E1981" i="9"/>
  <c r="D1981" i="9"/>
  <c r="B1981" i="9"/>
  <c r="H1980" i="9"/>
  <c r="G1980" i="9"/>
  <c r="E1980" i="9"/>
  <c r="D1980" i="9"/>
  <c r="B1980" i="9"/>
  <c r="H1979" i="9"/>
  <c r="G1979" i="9"/>
  <c r="E1979" i="9"/>
  <c r="D1979" i="9"/>
  <c r="B1979" i="9"/>
  <c r="H1978" i="9"/>
  <c r="G1978" i="9"/>
  <c r="E1978" i="9"/>
  <c r="D1978" i="9"/>
  <c r="B1978" i="9"/>
  <c r="H1977" i="9"/>
  <c r="G1977" i="9"/>
  <c r="E1977" i="9"/>
  <c r="D1977" i="9"/>
  <c r="B1977" i="9"/>
  <c r="H1976" i="9"/>
  <c r="G1976" i="9"/>
  <c r="E1976" i="9"/>
  <c r="D1976" i="9"/>
  <c r="B1976" i="9"/>
  <c r="H1975" i="9"/>
  <c r="G1975" i="9"/>
  <c r="E1975" i="9"/>
  <c r="D1975" i="9"/>
  <c r="B1975" i="9"/>
  <c r="H1974" i="9"/>
  <c r="G1974" i="9"/>
  <c r="E1974" i="9"/>
  <c r="D1974" i="9"/>
  <c r="B1974" i="9"/>
  <c r="H1973" i="9"/>
  <c r="G1973" i="9"/>
  <c r="E1973" i="9"/>
  <c r="D1973" i="9"/>
  <c r="B1973" i="9"/>
  <c r="H1972" i="9"/>
  <c r="G1972" i="9"/>
  <c r="E1972" i="9"/>
  <c r="D1972" i="9"/>
  <c r="B1972" i="9"/>
  <c r="H1971" i="9"/>
  <c r="G1971" i="9"/>
  <c r="E1971" i="9"/>
  <c r="D1971" i="9"/>
  <c r="B1971" i="9"/>
  <c r="H1970" i="9"/>
  <c r="G1970" i="9"/>
  <c r="E1970" i="9"/>
  <c r="D1970" i="9"/>
  <c r="B1970" i="9"/>
  <c r="H1969" i="9"/>
  <c r="G1969" i="9"/>
  <c r="E1969" i="9"/>
  <c r="D1969" i="9"/>
  <c r="B1969" i="9"/>
  <c r="H1968" i="9"/>
  <c r="G1968" i="9"/>
  <c r="E1968" i="9"/>
  <c r="D1968" i="9"/>
  <c r="B1968" i="9"/>
  <c r="H1967" i="9"/>
  <c r="G1967" i="9"/>
  <c r="E1967" i="9"/>
  <c r="D1967" i="9"/>
  <c r="B1967" i="9"/>
  <c r="H1966" i="9"/>
  <c r="G1966" i="9"/>
  <c r="E1966" i="9"/>
  <c r="D1966" i="9"/>
  <c r="B1966" i="9"/>
  <c r="H1965" i="9"/>
  <c r="G1965" i="9"/>
  <c r="E1965" i="9"/>
  <c r="D1965" i="9"/>
  <c r="B1965" i="9"/>
  <c r="H1964" i="9"/>
  <c r="G1964" i="9"/>
  <c r="E1964" i="9"/>
  <c r="D1964" i="9"/>
  <c r="B1964" i="9"/>
  <c r="H1963" i="9"/>
  <c r="G1963" i="9"/>
  <c r="E1963" i="9"/>
  <c r="D1963" i="9"/>
  <c r="B1963" i="9"/>
  <c r="H1962" i="9"/>
  <c r="G1962" i="9"/>
  <c r="E1962" i="9"/>
  <c r="D1962" i="9"/>
  <c r="B1962" i="9"/>
  <c r="H1961" i="9"/>
  <c r="G1961" i="9"/>
  <c r="E1961" i="9"/>
  <c r="D1961" i="9"/>
  <c r="B1961" i="9"/>
  <c r="H1960" i="9"/>
  <c r="G1960" i="9"/>
  <c r="E1960" i="9"/>
  <c r="D1960" i="9"/>
  <c r="B1960" i="9"/>
  <c r="H1959" i="9"/>
  <c r="G1959" i="9"/>
  <c r="E1959" i="9"/>
  <c r="D1959" i="9"/>
  <c r="B1959" i="9"/>
  <c r="H1958" i="9"/>
  <c r="G1958" i="9"/>
  <c r="E1958" i="9"/>
  <c r="D1958" i="9"/>
  <c r="B1958" i="9"/>
  <c r="H1957" i="9"/>
  <c r="G1957" i="9"/>
  <c r="E1957" i="9"/>
  <c r="D1957" i="9"/>
  <c r="B1957" i="9"/>
  <c r="H1956" i="9"/>
  <c r="G1956" i="9"/>
  <c r="E1956" i="9"/>
  <c r="D1956" i="9"/>
  <c r="B1956" i="9"/>
  <c r="H1955" i="9"/>
  <c r="G1955" i="9"/>
  <c r="E1955" i="9"/>
  <c r="D1955" i="9"/>
  <c r="B1955" i="9"/>
  <c r="H1954" i="9"/>
  <c r="G1954" i="9"/>
  <c r="E1954" i="9"/>
  <c r="D1954" i="9"/>
  <c r="B1954" i="9"/>
  <c r="H1953" i="9"/>
  <c r="G1953" i="9"/>
  <c r="E1953" i="9"/>
  <c r="D1953" i="9"/>
  <c r="B1953" i="9"/>
  <c r="H1952" i="9"/>
  <c r="G1952" i="9"/>
  <c r="E1952" i="9"/>
  <c r="D1952" i="9"/>
  <c r="B1952" i="9"/>
  <c r="H1951" i="9"/>
  <c r="G1951" i="9"/>
  <c r="E1951" i="9"/>
  <c r="D1951" i="9"/>
  <c r="B1951" i="9"/>
  <c r="H1950" i="9"/>
  <c r="G1950" i="9"/>
  <c r="E1950" i="9"/>
  <c r="D1950" i="9"/>
  <c r="B1950" i="9"/>
  <c r="H1949" i="9"/>
  <c r="G1949" i="9"/>
  <c r="E1949" i="9"/>
  <c r="D1949" i="9"/>
  <c r="B1949" i="9"/>
  <c r="H1948" i="9"/>
  <c r="G1948" i="9"/>
  <c r="E1948" i="9"/>
  <c r="D1948" i="9"/>
  <c r="B1948" i="9"/>
  <c r="H1947" i="9"/>
  <c r="G1947" i="9"/>
  <c r="E1947" i="9"/>
  <c r="D1947" i="9"/>
  <c r="B1947" i="9"/>
  <c r="H1946" i="9"/>
  <c r="G1946" i="9"/>
  <c r="E1946" i="9"/>
  <c r="D1946" i="9"/>
  <c r="B1946" i="9"/>
  <c r="H1945" i="9"/>
  <c r="G1945" i="9"/>
  <c r="E1945" i="9"/>
  <c r="D1945" i="9"/>
  <c r="B1945" i="9"/>
  <c r="H1944" i="9"/>
  <c r="G1944" i="9"/>
  <c r="E1944" i="9"/>
  <c r="D1944" i="9"/>
  <c r="B1944" i="9"/>
  <c r="H1943" i="9"/>
  <c r="G1943" i="9"/>
  <c r="E1943" i="9"/>
  <c r="D1943" i="9"/>
  <c r="B1943" i="9"/>
  <c r="H1942" i="9"/>
  <c r="G1942" i="9"/>
  <c r="E1942" i="9"/>
  <c r="D1942" i="9"/>
  <c r="B1942" i="9"/>
  <c r="H1941" i="9"/>
  <c r="G1941" i="9"/>
  <c r="E1941" i="9"/>
  <c r="D1941" i="9"/>
  <c r="B1941" i="9"/>
  <c r="H1940" i="9"/>
  <c r="G1940" i="9"/>
  <c r="E1940" i="9"/>
  <c r="D1940" i="9"/>
  <c r="B1940" i="9"/>
  <c r="H1939" i="9"/>
  <c r="G1939" i="9"/>
  <c r="E1939" i="9"/>
  <c r="D1939" i="9"/>
  <c r="B1939" i="9"/>
  <c r="H1938" i="9"/>
  <c r="G1938" i="9"/>
  <c r="E1938" i="9"/>
  <c r="D1938" i="9"/>
  <c r="B1938" i="9"/>
  <c r="H1937" i="9"/>
  <c r="G1937" i="9"/>
  <c r="E1937" i="9"/>
  <c r="D1937" i="9"/>
  <c r="B1937" i="9"/>
  <c r="H1936" i="9"/>
  <c r="G1936" i="9"/>
  <c r="E1936" i="9"/>
  <c r="D1936" i="9"/>
  <c r="B1936" i="9"/>
  <c r="H1935" i="9"/>
  <c r="G1935" i="9"/>
  <c r="E1935" i="9"/>
  <c r="D1935" i="9"/>
  <c r="B1935" i="9"/>
  <c r="H1934" i="9"/>
  <c r="G1934" i="9"/>
  <c r="E1934" i="9"/>
  <c r="D1934" i="9"/>
  <c r="B1934" i="9"/>
  <c r="H1933" i="9"/>
  <c r="G1933" i="9"/>
  <c r="E1933" i="9"/>
  <c r="D1933" i="9"/>
  <c r="B1933" i="9"/>
  <c r="H1932" i="9"/>
  <c r="G1932" i="9"/>
  <c r="E1932" i="9"/>
  <c r="D1932" i="9"/>
  <c r="B1932" i="9"/>
  <c r="H1931" i="9"/>
  <c r="G1931" i="9"/>
  <c r="E1931" i="9"/>
  <c r="D1931" i="9"/>
  <c r="B1931" i="9"/>
  <c r="H1930" i="9"/>
  <c r="G1930" i="9"/>
  <c r="E1930" i="9"/>
  <c r="D1930" i="9"/>
  <c r="B1930" i="9"/>
  <c r="H1929" i="9"/>
  <c r="G1929" i="9"/>
  <c r="E1929" i="9"/>
  <c r="D1929" i="9"/>
  <c r="B1929" i="9"/>
  <c r="H1928" i="9"/>
  <c r="G1928" i="9"/>
  <c r="E1928" i="9"/>
  <c r="D1928" i="9"/>
  <c r="B1928" i="9"/>
  <c r="H1927" i="9"/>
  <c r="G1927" i="9"/>
  <c r="E1927" i="9"/>
  <c r="D1927" i="9"/>
  <c r="B1927" i="9"/>
  <c r="H1926" i="9"/>
  <c r="G1926" i="9"/>
  <c r="E1926" i="9"/>
  <c r="D1926" i="9"/>
  <c r="B1926" i="9"/>
  <c r="H1925" i="9"/>
  <c r="G1925" i="9"/>
  <c r="E1925" i="9"/>
  <c r="D1925" i="9"/>
  <c r="B1925" i="9"/>
  <c r="H1924" i="9"/>
  <c r="G1924" i="9"/>
  <c r="E1924" i="9"/>
  <c r="D1924" i="9"/>
  <c r="B1924" i="9"/>
  <c r="H1923" i="9"/>
  <c r="G1923" i="9"/>
  <c r="E1923" i="9"/>
  <c r="D1923" i="9"/>
  <c r="B1923" i="9"/>
  <c r="H1922" i="9"/>
  <c r="G1922" i="9"/>
  <c r="E1922" i="9"/>
  <c r="D1922" i="9"/>
  <c r="B1922" i="9"/>
  <c r="H1921" i="9"/>
  <c r="G1921" i="9"/>
  <c r="E1921" i="9"/>
  <c r="D1921" i="9"/>
  <c r="B1921" i="9"/>
  <c r="H1920" i="9"/>
  <c r="G1920" i="9"/>
  <c r="E1920" i="9"/>
  <c r="D1920" i="9"/>
  <c r="B1920" i="9"/>
  <c r="H1919" i="9"/>
  <c r="G1919" i="9"/>
  <c r="E1919" i="9"/>
  <c r="D1919" i="9"/>
  <c r="B1919" i="9"/>
  <c r="H1918" i="9"/>
  <c r="G1918" i="9"/>
  <c r="E1918" i="9"/>
  <c r="D1918" i="9"/>
  <c r="B1918" i="9"/>
  <c r="H1917" i="9"/>
  <c r="G1917" i="9"/>
  <c r="E1917" i="9"/>
  <c r="D1917" i="9"/>
  <c r="B1917" i="9"/>
  <c r="H1916" i="9"/>
  <c r="G1916" i="9"/>
  <c r="E1916" i="9"/>
  <c r="D1916" i="9"/>
  <c r="B1916" i="9"/>
  <c r="H1915" i="9"/>
  <c r="G1915" i="9"/>
  <c r="E1915" i="9"/>
  <c r="D1915" i="9"/>
  <c r="B1915" i="9"/>
  <c r="H1914" i="9"/>
  <c r="G1914" i="9"/>
  <c r="E1914" i="9"/>
  <c r="D1914" i="9"/>
  <c r="B1914" i="9"/>
  <c r="H1913" i="9"/>
  <c r="G1913" i="9"/>
  <c r="E1913" i="9"/>
  <c r="D1913" i="9"/>
  <c r="B1913" i="9"/>
  <c r="H1912" i="9"/>
  <c r="G1912" i="9"/>
  <c r="E1912" i="9"/>
  <c r="D1912" i="9"/>
  <c r="B1912" i="9"/>
  <c r="H1911" i="9"/>
  <c r="G1911" i="9"/>
  <c r="E1911" i="9"/>
  <c r="D1911" i="9"/>
  <c r="B1911" i="9"/>
  <c r="H1910" i="9"/>
  <c r="G1910" i="9"/>
  <c r="E1910" i="9"/>
  <c r="D1910" i="9"/>
  <c r="B1910" i="9"/>
  <c r="H1909" i="9"/>
  <c r="G1909" i="9"/>
  <c r="E1909" i="9"/>
  <c r="D1909" i="9"/>
  <c r="B1909" i="9"/>
  <c r="H1908" i="9"/>
  <c r="G1908" i="9"/>
  <c r="E1908" i="9"/>
  <c r="D1908" i="9"/>
  <c r="B1908" i="9"/>
  <c r="H1907" i="9"/>
  <c r="G1907" i="9"/>
  <c r="E1907" i="9"/>
  <c r="D1907" i="9"/>
  <c r="B1907" i="9"/>
  <c r="H1906" i="9"/>
  <c r="G1906" i="9"/>
  <c r="E1906" i="9"/>
  <c r="D1906" i="9"/>
  <c r="B1906" i="9"/>
  <c r="H1905" i="9"/>
  <c r="G1905" i="9"/>
  <c r="E1905" i="9"/>
  <c r="D1905" i="9"/>
  <c r="B1905" i="9"/>
  <c r="H1904" i="9"/>
  <c r="G1904" i="9"/>
  <c r="E1904" i="9"/>
  <c r="D1904" i="9"/>
  <c r="B1904" i="9"/>
  <c r="H1903" i="9"/>
  <c r="G1903" i="9"/>
  <c r="E1903" i="9"/>
  <c r="D1903" i="9"/>
  <c r="B1903" i="9"/>
  <c r="H1902" i="9"/>
  <c r="G1902" i="9"/>
  <c r="E1902" i="9"/>
  <c r="D1902" i="9"/>
  <c r="B1902" i="9"/>
  <c r="H1901" i="9"/>
  <c r="G1901" i="9"/>
  <c r="E1901" i="9"/>
  <c r="D1901" i="9"/>
  <c r="B1901" i="9"/>
  <c r="H1900" i="9"/>
  <c r="G1900" i="9"/>
  <c r="E1900" i="9"/>
  <c r="D1900" i="9"/>
  <c r="B1900" i="9"/>
  <c r="H1899" i="9"/>
  <c r="G1899" i="9"/>
  <c r="E1899" i="9"/>
  <c r="D1899" i="9"/>
  <c r="B1899" i="9"/>
  <c r="H1898" i="9"/>
  <c r="G1898" i="9"/>
  <c r="E1898" i="9"/>
  <c r="D1898" i="9"/>
  <c r="B1898" i="9"/>
  <c r="H1897" i="9"/>
  <c r="G1897" i="9"/>
  <c r="E1897" i="9"/>
  <c r="D1897" i="9"/>
  <c r="B1897" i="9"/>
  <c r="H1896" i="9"/>
  <c r="G1896" i="9"/>
  <c r="E1896" i="9"/>
  <c r="D1896" i="9"/>
  <c r="B1896" i="9"/>
  <c r="H1895" i="9"/>
  <c r="G1895" i="9"/>
  <c r="E1895" i="9"/>
  <c r="D1895" i="9"/>
  <c r="B1895" i="9"/>
  <c r="H1894" i="9"/>
  <c r="G1894" i="9"/>
  <c r="E1894" i="9"/>
  <c r="D1894" i="9"/>
  <c r="B1894" i="9"/>
  <c r="H1893" i="9"/>
  <c r="G1893" i="9"/>
  <c r="E1893" i="9"/>
  <c r="D1893" i="9"/>
  <c r="B1893" i="9"/>
  <c r="H1892" i="9"/>
  <c r="G1892" i="9"/>
  <c r="E1892" i="9"/>
  <c r="D1892" i="9"/>
  <c r="B1892" i="9"/>
  <c r="H1891" i="9"/>
  <c r="G1891" i="9"/>
  <c r="E1891" i="9"/>
  <c r="D1891" i="9"/>
  <c r="B1891" i="9"/>
  <c r="H1890" i="9"/>
  <c r="G1890" i="9"/>
  <c r="E1890" i="9"/>
  <c r="D1890" i="9"/>
  <c r="B1890" i="9"/>
  <c r="H1889" i="9"/>
  <c r="G1889" i="9"/>
  <c r="E1889" i="9"/>
  <c r="D1889" i="9"/>
  <c r="B1889" i="9"/>
  <c r="H1888" i="9"/>
  <c r="G1888" i="9"/>
  <c r="E1888" i="9"/>
  <c r="D1888" i="9"/>
  <c r="B1888" i="9"/>
  <c r="H1887" i="9"/>
  <c r="G1887" i="9"/>
  <c r="E1887" i="9"/>
  <c r="D1887" i="9"/>
  <c r="B1887" i="9"/>
  <c r="H1886" i="9"/>
  <c r="G1886" i="9"/>
  <c r="E1886" i="9"/>
  <c r="D1886" i="9"/>
  <c r="B1886" i="9"/>
  <c r="H1885" i="9"/>
  <c r="G1885" i="9"/>
  <c r="E1885" i="9"/>
  <c r="D1885" i="9"/>
  <c r="B1885" i="9"/>
  <c r="H1884" i="9"/>
  <c r="G1884" i="9"/>
  <c r="E1884" i="9"/>
  <c r="D1884" i="9"/>
  <c r="B1884" i="9"/>
  <c r="H1883" i="9"/>
  <c r="G1883" i="9"/>
  <c r="E1883" i="9"/>
  <c r="D1883" i="9"/>
  <c r="B1883" i="9"/>
  <c r="H1882" i="9"/>
  <c r="G1882" i="9"/>
  <c r="E1882" i="9"/>
  <c r="D1882" i="9"/>
  <c r="B1882" i="9"/>
  <c r="H1881" i="9"/>
  <c r="G1881" i="9"/>
  <c r="E1881" i="9"/>
  <c r="D1881" i="9"/>
  <c r="B1881" i="9"/>
  <c r="H1880" i="9"/>
  <c r="G1880" i="9"/>
  <c r="E1880" i="9"/>
  <c r="D1880" i="9"/>
  <c r="B1880" i="9"/>
  <c r="H1879" i="9"/>
  <c r="G1879" i="9"/>
  <c r="E1879" i="9"/>
  <c r="D1879" i="9"/>
  <c r="B1879" i="9"/>
  <c r="H1878" i="9"/>
  <c r="G1878" i="9"/>
  <c r="E1878" i="9"/>
  <c r="D1878" i="9"/>
  <c r="B1878" i="9"/>
  <c r="H1877" i="9"/>
  <c r="G1877" i="9"/>
  <c r="E1877" i="9"/>
  <c r="D1877" i="9"/>
  <c r="B1877" i="9"/>
  <c r="H1876" i="9"/>
  <c r="G1876" i="9"/>
  <c r="E1876" i="9"/>
  <c r="D1876" i="9"/>
  <c r="B1876" i="9"/>
  <c r="H1875" i="9"/>
  <c r="G1875" i="9"/>
  <c r="E1875" i="9"/>
  <c r="D1875" i="9"/>
  <c r="B1875" i="9"/>
  <c r="H1874" i="9"/>
  <c r="G1874" i="9"/>
  <c r="E1874" i="9"/>
  <c r="D1874" i="9"/>
  <c r="B1874" i="9"/>
  <c r="H1873" i="9"/>
  <c r="G1873" i="9"/>
  <c r="E1873" i="9"/>
  <c r="D1873" i="9"/>
  <c r="B1873" i="9"/>
  <c r="H1872" i="9"/>
  <c r="G1872" i="9"/>
  <c r="E1872" i="9"/>
  <c r="D1872" i="9"/>
  <c r="B1872" i="9"/>
  <c r="H1871" i="9"/>
  <c r="G1871" i="9"/>
  <c r="E1871" i="9"/>
  <c r="D1871" i="9"/>
  <c r="B1871" i="9"/>
  <c r="H1870" i="9"/>
  <c r="G1870" i="9"/>
  <c r="E1870" i="9"/>
  <c r="D1870" i="9"/>
  <c r="B1870" i="9"/>
  <c r="H1869" i="9"/>
  <c r="G1869" i="9"/>
  <c r="E1869" i="9"/>
  <c r="D1869" i="9"/>
  <c r="B1869" i="9"/>
  <c r="H1868" i="9"/>
  <c r="G1868" i="9"/>
  <c r="E1868" i="9"/>
  <c r="D1868" i="9"/>
  <c r="B1868" i="9"/>
  <c r="H1867" i="9"/>
  <c r="G1867" i="9"/>
  <c r="E1867" i="9"/>
  <c r="D1867" i="9"/>
  <c r="B1867" i="9"/>
  <c r="H1866" i="9"/>
  <c r="G1866" i="9"/>
  <c r="E1866" i="9"/>
  <c r="D1866" i="9"/>
  <c r="B1866" i="9"/>
  <c r="H1865" i="9"/>
  <c r="G1865" i="9"/>
  <c r="E1865" i="9"/>
  <c r="D1865" i="9"/>
  <c r="B1865" i="9"/>
  <c r="H1864" i="9"/>
  <c r="G1864" i="9"/>
  <c r="E1864" i="9"/>
  <c r="D1864" i="9"/>
  <c r="B1864" i="9"/>
  <c r="H1863" i="9"/>
  <c r="G1863" i="9"/>
  <c r="E1863" i="9"/>
  <c r="D1863" i="9"/>
  <c r="B1863" i="9"/>
  <c r="H1862" i="9"/>
  <c r="G1862" i="9"/>
  <c r="E1862" i="9"/>
  <c r="D1862" i="9"/>
  <c r="B1862" i="9"/>
  <c r="H1861" i="9"/>
  <c r="G1861" i="9"/>
  <c r="E1861" i="9"/>
  <c r="D1861" i="9"/>
  <c r="B1861" i="9"/>
  <c r="H1860" i="9"/>
  <c r="G1860" i="9"/>
  <c r="E1860" i="9"/>
  <c r="D1860" i="9"/>
  <c r="B1860" i="9"/>
  <c r="H1859" i="9"/>
  <c r="G1859" i="9"/>
  <c r="E1859" i="9"/>
  <c r="D1859" i="9"/>
  <c r="B1859" i="9"/>
  <c r="H1858" i="9"/>
  <c r="G1858" i="9"/>
  <c r="E1858" i="9"/>
  <c r="D1858" i="9"/>
  <c r="B1858" i="9"/>
  <c r="H1857" i="9"/>
  <c r="G1857" i="9"/>
  <c r="E1857" i="9"/>
  <c r="D1857" i="9"/>
  <c r="B1857" i="9"/>
  <c r="H1856" i="9"/>
  <c r="G1856" i="9"/>
  <c r="E1856" i="9"/>
  <c r="D1856" i="9"/>
  <c r="B1856" i="9"/>
  <c r="H1855" i="9"/>
  <c r="G1855" i="9"/>
  <c r="E1855" i="9"/>
  <c r="D1855" i="9"/>
  <c r="B1855" i="9"/>
  <c r="H1854" i="9"/>
  <c r="G1854" i="9"/>
  <c r="E1854" i="9"/>
  <c r="D1854" i="9"/>
  <c r="B1854" i="9"/>
  <c r="H1853" i="9"/>
  <c r="G1853" i="9"/>
  <c r="E1853" i="9"/>
  <c r="D1853" i="9"/>
  <c r="B1853" i="9"/>
  <c r="H1852" i="9"/>
  <c r="G1852" i="9"/>
  <c r="E1852" i="9"/>
  <c r="D1852" i="9"/>
  <c r="B1852" i="9"/>
  <c r="H1851" i="9"/>
  <c r="G1851" i="9"/>
  <c r="E1851" i="9"/>
  <c r="D1851" i="9"/>
  <c r="B1851" i="9"/>
  <c r="H1850" i="9"/>
  <c r="G1850" i="9"/>
  <c r="E1850" i="9"/>
  <c r="D1850" i="9"/>
  <c r="B1850" i="9"/>
  <c r="H1849" i="9"/>
  <c r="G1849" i="9"/>
  <c r="E1849" i="9"/>
  <c r="D1849" i="9"/>
  <c r="B1849" i="9"/>
  <c r="H1848" i="9"/>
  <c r="G1848" i="9"/>
  <c r="E1848" i="9"/>
  <c r="D1848" i="9"/>
  <c r="B1848" i="9"/>
  <c r="H1847" i="9"/>
  <c r="G1847" i="9"/>
  <c r="E1847" i="9"/>
  <c r="D1847" i="9"/>
  <c r="B1847" i="9"/>
  <c r="H1846" i="9"/>
  <c r="G1846" i="9"/>
  <c r="E1846" i="9"/>
  <c r="D1846" i="9"/>
  <c r="B1846" i="9"/>
  <c r="H1845" i="9"/>
  <c r="G1845" i="9"/>
  <c r="E1845" i="9"/>
  <c r="D1845" i="9"/>
  <c r="B1845" i="9"/>
  <c r="H1844" i="9"/>
  <c r="G1844" i="9"/>
  <c r="E1844" i="9"/>
  <c r="D1844" i="9"/>
  <c r="B1844" i="9"/>
  <c r="H1843" i="9"/>
  <c r="G1843" i="9"/>
  <c r="E1843" i="9"/>
  <c r="D1843" i="9"/>
  <c r="B1843" i="9"/>
  <c r="H1842" i="9"/>
  <c r="G1842" i="9"/>
  <c r="E1842" i="9"/>
  <c r="D1842" i="9"/>
  <c r="B1842" i="9"/>
  <c r="H1841" i="9"/>
  <c r="G1841" i="9"/>
  <c r="E1841" i="9"/>
  <c r="D1841" i="9"/>
  <c r="B1841" i="9"/>
  <c r="H1840" i="9"/>
  <c r="G1840" i="9"/>
  <c r="E1840" i="9"/>
  <c r="D1840" i="9"/>
  <c r="B1840" i="9"/>
  <c r="H1839" i="9"/>
  <c r="G1839" i="9"/>
  <c r="E1839" i="9"/>
  <c r="D1839" i="9"/>
  <c r="B1839" i="9"/>
  <c r="H1838" i="9"/>
  <c r="G1838" i="9"/>
  <c r="E1838" i="9"/>
  <c r="D1838" i="9"/>
  <c r="B1838" i="9"/>
  <c r="H1837" i="9"/>
  <c r="G1837" i="9"/>
  <c r="E1837" i="9"/>
  <c r="D1837" i="9"/>
  <c r="B1837" i="9"/>
  <c r="H1836" i="9"/>
  <c r="G1836" i="9"/>
  <c r="E1836" i="9"/>
  <c r="D1836" i="9"/>
  <c r="B1836" i="9"/>
  <c r="H1835" i="9"/>
  <c r="G1835" i="9"/>
  <c r="E1835" i="9"/>
  <c r="D1835" i="9"/>
  <c r="B1835" i="9"/>
  <c r="H1834" i="9"/>
  <c r="G1834" i="9"/>
  <c r="E1834" i="9"/>
  <c r="D1834" i="9"/>
  <c r="B1834" i="9"/>
  <c r="H1833" i="9"/>
  <c r="G1833" i="9"/>
  <c r="E1833" i="9"/>
  <c r="D1833" i="9"/>
  <c r="B1833" i="9"/>
  <c r="H1832" i="9"/>
  <c r="G1832" i="9"/>
  <c r="E1832" i="9"/>
  <c r="D1832" i="9"/>
  <c r="B1832" i="9"/>
  <c r="H1831" i="9"/>
  <c r="G1831" i="9"/>
  <c r="E1831" i="9"/>
  <c r="D1831" i="9"/>
  <c r="B1831" i="9"/>
  <c r="H1830" i="9"/>
  <c r="G1830" i="9"/>
  <c r="E1830" i="9"/>
  <c r="D1830" i="9"/>
  <c r="B1830" i="9"/>
  <c r="H1829" i="9"/>
  <c r="G1829" i="9"/>
  <c r="E1829" i="9"/>
  <c r="D1829" i="9"/>
  <c r="B1829" i="9"/>
  <c r="H1828" i="9"/>
  <c r="G1828" i="9"/>
  <c r="E1828" i="9"/>
  <c r="D1828" i="9"/>
  <c r="B1828" i="9"/>
  <c r="H1827" i="9"/>
  <c r="G1827" i="9"/>
  <c r="E1827" i="9"/>
  <c r="D1827" i="9"/>
  <c r="B1827" i="9"/>
  <c r="H1826" i="9"/>
  <c r="G1826" i="9"/>
  <c r="E1826" i="9"/>
  <c r="D1826" i="9"/>
  <c r="B1826" i="9"/>
  <c r="H1825" i="9"/>
  <c r="G1825" i="9"/>
  <c r="E1825" i="9"/>
  <c r="D1825" i="9"/>
  <c r="B1825" i="9"/>
  <c r="H1824" i="9"/>
  <c r="G1824" i="9"/>
  <c r="E1824" i="9"/>
  <c r="D1824" i="9"/>
  <c r="B1824" i="9"/>
  <c r="H1823" i="9"/>
  <c r="G1823" i="9"/>
  <c r="E1823" i="9"/>
  <c r="D1823" i="9"/>
  <c r="B1823" i="9"/>
  <c r="H1822" i="9"/>
  <c r="G1822" i="9"/>
  <c r="E1822" i="9"/>
  <c r="D1822" i="9"/>
  <c r="B1822" i="9"/>
  <c r="H1821" i="9"/>
  <c r="G1821" i="9"/>
  <c r="E1821" i="9"/>
  <c r="D1821" i="9"/>
  <c r="B1821" i="9"/>
  <c r="H1820" i="9"/>
  <c r="G1820" i="9"/>
  <c r="E1820" i="9"/>
  <c r="D1820" i="9"/>
  <c r="B1820" i="9"/>
  <c r="H1819" i="9"/>
  <c r="G1819" i="9"/>
  <c r="E1819" i="9"/>
  <c r="D1819" i="9"/>
  <c r="B1819" i="9"/>
  <c r="H1818" i="9"/>
  <c r="G1818" i="9"/>
  <c r="E1818" i="9"/>
  <c r="D1818" i="9"/>
  <c r="B1818" i="9"/>
  <c r="H1817" i="9"/>
  <c r="G1817" i="9"/>
  <c r="E1817" i="9"/>
  <c r="D1817" i="9"/>
  <c r="B1817" i="9"/>
  <c r="H1816" i="9"/>
  <c r="G1816" i="9"/>
  <c r="E1816" i="9"/>
  <c r="D1816" i="9"/>
  <c r="B1816" i="9"/>
  <c r="H1815" i="9"/>
  <c r="G1815" i="9"/>
  <c r="E1815" i="9"/>
  <c r="D1815" i="9"/>
  <c r="B1815" i="9"/>
  <c r="H1814" i="9"/>
  <c r="G1814" i="9"/>
  <c r="E1814" i="9"/>
  <c r="D1814" i="9"/>
  <c r="B1814" i="9"/>
  <c r="H1813" i="9"/>
  <c r="G1813" i="9"/>
  <c r="E1813" i="9"/>
  <c r="D1813" i="9"/>
  <c r="B1813" i="9"/>
  <c r="H1812" i="9"/>
  <c r="G1812" i="9"/>
  <c r="E1812" i="9"/>
  <c r="D1812" i="9"/>
  <c r="B1812" i="9"/>
  <c r="H1811" i="9"/>
  <c r="G1811" i="9"/>
  <c r="E1811" i="9"/>
  <c r="D1811" i="9"/>
  <c r="B1811" i="9"/>
  <c r="H1810" i="9"/>
  <c r="G1810" i="9"/>
  <c r="E1810" i="9"/>
  <c r="D1810" i="9"/>
  <c r="B1810" i="9"/>
  <c r="H1809" i="9"/>
  <c r="G1809" i="9"/>
  <c r="E1809" i="9"/>
  <c r="D1809" i="9"/>
  <c r="B1809" i="9"/>
  <c r="H1808" i="9"/>
  <c r="G1808" i="9"/>
  <c r="E1808" i="9"/>
  <c r="D1808" i="9"/>
  <c r="B1808" i="9"/>
  <c r="H1807" i="9"/>
  <c r="G1807" i="9"/>
  <c r="E1807" i="9"/>
  <c r="D1807" i="9"/>
  <c r="B1807" i="9"/>
  <c r="H1806" i="9"/>
  <c r="G1806" i="9"/>
  <c r="E1806" i="9"/>
  <c r="D1806" i="9"/>
  <c r="B1806" i="9"/>
  <c r="H1805" i="9"/>
  <c r="G1805" i="9"/>
  <c r="E1805" i="9"/>
  <c r="D1805" i="9"/>
  <c r="B1805" i="9"/>
  <c r="H1804" i="9"/>
  <c r="G1804" i="9"/>
  <c r="E1804" i="9"/>
  <c r="D1804" i="9"/>
  <c r="B1804" i="9"/>
  <c r="H1803" i="9"/>
  <c r="G1803" i="9"/>
  <c r="E1803" i="9"/>
  <c r="D1803" i="9"/>
  <c r="B1803" i="9"/>
  <c r="H1802" i="9"/>
  <c r="G1802" i="9"/>
  <c r="E1802" i="9"/>
  <c r="D1802" i="9"/>
  <c r="B1802" i="9"/>
  <c r="H1801" i="9"/>
  <c r="G1801" i="9"/>
  <c r="E1801" i="9"/>
  <c r="D1801" i="9"/>
  <c r="B1801" i="9"/>
  <c r="H1800" i="9"/>
  <c r="G1800" i="9"/>
  <c r="E1800" i="9"/>
  <c r="D1800" i="9"/>
  <c r="B1800" i="9"/>
  <c r="H1799" i="9"/>
  <c r="G1799" i="9"/>
  <c r="E1799" i="9"/>
  <c r="D1799" i="9"/>
  <c r="B1799" i="9"/>
  <c r="H1798" i="9"/>
  <c r="G1798" i="9"/>
  <c r="E1798" i="9"/>
  <c r="D1798" i="9"/>
  <c r="B1798" i="9"/>
  <c r="H1797" i="9"/>
  <c r="G1797" i="9"/>
  <c r="E1797" i="9"/>
  <c r="D1797" i="9"/>
  <c r="B1797" i="9"/>
  <c r="H1796" i="9"/>
  <c r="G1796" i="9"/>
  <c r="E1796" i="9"/>
  <c r="D1796" i="9"/>
  <c r="B1796" i="9"/>
  <c r="H1795" i="9"/>
  <c r="G1795" i="9"/>
  <c r="E1795" i="9"/>
  <c r="D1795" i="9"/>
  <c r="B1795" i="9"/>
  <c r="H1794" i="9"/>
  <c r="G1794" i="9"/>
  <c r="E1794" i="9"/>
  <c r="D1794" i="9"/>
  <c r="B1794" i="9"/>
  <c r="H1793" i="9"/>
  <c r="G1793" i="9"/>
  <c r="E1793" i="9"/>
  <c r="D1793" i="9"/>
  <c r="B1793" i="9"/>
  <c r="H1792" i="9"/>
  <c r="G1792" i="9"/>
  <c r="E1792" i="9"/>
  <c r="D1792" i="9"/>
  <c r="B1792" i="9"/>
  <c r="H1791" i="9"/>
  <c r="G1791" i="9"/>
  <c r="E1791" i="9"/>
  <c r="D1791" i="9"/>
  <c r="B1791" i="9"/>
  <c r="H1790" i="9"/>
  <c r="G1790" i="9"/>
  <c r="E1790" i="9"/>
  <c r="D1790" i="9"/>
  <c r="B1790" i="9"/>
  <c r="H1789" i="9"/>
  <c r="G1789" i="9"/>
  <c r="E1789" i="9"/>
  <c r="D1789" i="9"/>
  <c r="B1789" i="9"/>
  <c r="H1788" i="9"/>
  <c r="G1788" i="9"/>
  <c r="E1788" i="9"/>
  <c r="D1788" i="9"/>
  <c r="B1788" i="9"/>
  <c r="H1787" i="9"/>
  <c r="G1787" i="9"/>
  <c r="E1787" i="9"/>
  <c r="D1787" i="9"/>
  <c r="B1787" i="9"/>
  <c r="H1786" i="9"/>
  <c r="G1786" i="9"/>
  <c r="E1786" i="9"/>
  <c r="D1786" i="9"/>
  <c r="B1786" i="9"/>
  <c r="H1785" i="9"/>
  <c r="G1785" i="9"/>
  <c r="E1785" i="9"/>
  <c r="D1785" i="9"/>
  <c r="B1785" i="9"/>
  <c r="H1784" i="9"/>
  <c r="G1784" i="9"/>
  <c r="E1784" i="9"/>
  <c r="D1784" i="9"/>
  <c r="B1784" i="9"/>
  <c r="H1783" i="9"/>
  <c r="G1783" i="9"/>
  <c r="E1783" i="9"/>
  <c r="D1783" i="9"/>
  <c r="B1783" i="9"/>
  <c r="H1782" i="9"/>
  <c r="G1782" i="9"/>
  <c r="E1782" i="9"/>
  <c r="D1782" i="9"/>
  <c r="B1782" i="9"/>
  <c r="H1781" i="9"/>
  <c r="G1781" i="9"/>
  <c r="E1781" i="9"/>
  <c r="D1781" i="9"/>
  <c r="B1781" i="9"/>
  <c r="H1780" i="9"/>
  <c r="G1780" i="9"/>
  <c r="E1780" i="9"/>
  <c r="D1780" i="9"/>
  <c r="B1780" i="9"/>
  <c r="H1779" i="9"/>
  <c r="G1779" i="9"/>
  <c r="E1779" i="9"/>
  <c r="D1779" i="9"/>
  <c r="B1779" i="9"/>
  <c r="H1778" i="9"/>
  <c r="G1778" i="9"/>
  <c r="E1778" i="9"/>
  <c r="D1778" i="9"/>
  <c r="B1778" i="9"/>
  <c r="H1777" i="9"/>
  <c r="G1777" i="9"/>
  <c r="E1777" i="9"/>
  <c r="D1777" i="9"/>
  <c r="B1777" i="9"/>
  <c r="H1776" i="9"/>
  <c r="G1776" i="9"/>
  <c r="E1776" i="9"/>
  <c r="D1776" i="9"/>
  <c r="B1776" i="9"/>
  <c r="H1775" i="9"/>
  <c r="G1775" i="9"/>
  <c r="E1775" i="9"/>
  <c r="D1775" i="9"/>
  <c r="B1775" i="9"/>
  <c r="H1774" i="9"/>
  <c r="G1774" i="9"/>
  <c r="E1774" i="9"/>
  <c r="D1774" i="9"/>
  <c r="B1774" i="9"/>
  <c r="H1773" i="9"/>
  <c r="G1773" i="9"/>
  <c r="E1773" i="9"/>
  <c r="D1773" i="9"/>
  <c r="B1773" i="9"/>
  <c r="H1772" i="9"/>
  <c r="G1772" i="9"/>
  <c r="E1772" i="9"/>
  <c r="D1772" i="9"/>
  <c r="B1772" i="9"/>
  <c r="H1771" i="9"/>
  <c r="G1771" i="9"/>
  <c r="E1771" i="9"/>
  <c r="D1771" i="9"/>
  <c r="B1771" i="9"/>
  <c r="H1770" i="9"/>
  <c r="G1770" i="9"/>
  <c r="E1770" i="9"/>
  <c r="D1770" i="9"/>
  <c r="B1770" i="9"/>
  <c r="H1769" i="9"/>
  <c r="G1769" i="9"/>
  <c r="E1769" i="9"/>
  <c r="D1769" i="9"/>
  <c r="B1769" i="9"/>
  <c r="H1768" i="9"/>
  <c r="G1768" i="9"/>
  <c r="E1768" i="9"/>
  <c r="D1768" i="9"/>
  <c r="B1768" i="9"/>
  <c r="H1767" i="9"/>
  <c r="G1767" i="9"/>
  <c r="E1767" i="9"/>
  <c r="D1767" i="9"/>
  <c r="B1767" i="9"/>
  <c r="H1766" i="9"/>
  <c r="G1766" i="9"/>
  <c r="E1766" i="9"/>
  <c r="D1766" i="9"/>
  <c r="B1766" i="9"/>
  <c r="H1765" i="9"/>
  <c r="G1765" i="9"/>
  <c r="E1765" i="9"/>
  <c r="D1765" i="9"/>
  <c r="B1765" i="9"/>
  <c r="H1764" i="9"/>
  <c r="G1764" i="9"/>
  <c r="E1764" i="9"/>
  <c r="D1764" i="9"/>
  <c r="B1764" i="9"/>
  <c r="H1763" i="9"/>
  <c r="G1763" i="9"/>
  <c r="E1763" i="9"/>
  <c r="D1763" i="9"/>
  <c r="B1763" i="9"/>
  <c r="H1762" i="9"/>
  <c r="G1762" i="9"/>
  <c r="E1762" i="9"/>
  <c r="D1762" i="9"/>
  <c r="B1762" i="9"/>
  <c r="H1761" i="9"/>
  <c r="G1761" i="9"/>
  <c r="E1761" i="9"/>
  <c r="D1761" i="9"/>
  <c r="B1761" i="9"/>
  <c r="H1760" i="9"/>
  <c r="G1760" i="9"/>
  <c r="E1760" i="9"/>
  <c r="D1760" i="9"/>
  <c r="B1760" i="9"/>
  <c r="H1759" i="9"/>
  <c r="G1759" i="9"/>
  <c r="E1759" i="9"/>
  <c r="D1759" i="9"/>
  <c r="B1759" i="9"/>
  <c r="H1758" i="9"/>
  <c r="G1758" i="9"/>
  <c r="E1758" i="9"/>
  <c r="D1758" i="9"/>
  <c r="B1758" i="9"/>
  <c r="H1757" i="9"/>
  <c r="G1757" i="9"/>
  <c r="E1757" i="9"/>
  <c r="D1757" i="9"/>
  <c r="B1757" i="9"/>
  <c r="H1756" i="9"/>
  <c r="G1756" i="9"/>
  <c r="E1756" i="9"/>
  <c r="D1756" i="9"/>
  <c r="B1756" i="9"/>
  <c r="H1755" i="9"/>
  <c r="G1755" i="9"/>
  <c r="E1755" i="9"/>
  <c r="D1755" i="9"/>
  <c r="B1755" i="9"/>
  <c r="H1754" i="9"/>
  <c r="G1754" i="9"/>
  <c r="E1754" i="9"/>
  <c r="D1754" i="9"/>
  <c r="B1754" i="9"/>
  <c r="H1753" i="9"/>
  <c r="G1753" i="9"/>
  <c r="E1753" i="9"/>
  <c r="D1753" i="9"/>
  <c r="B1753" i="9"/>
  <c r="H1752" i="9"/>
  <c r="G1752" i="9"/>
  <c r="E1752" i="9"/>
  <c r="D1752" i="9"/>
  <c r="B1752" i="9"/>
  <c r="H1751" i="9"/>
  <c r="G1751" i="9"/>
  <c r="E1751" i="9"/>
  <c r="D1751" i="9"/>
  <c r="B1751" i="9"/>
  <c r="H1750" i="9"/>
  <c r="G1750" i="9"/>
  <c r="E1750" i="9"/>
  <c r="D1750" i="9"/>
  <c r="B1750" i="9"/>
  <c r="H1749" i="9"/>
  <c r="G1749" i="9"/>
  <c r="E1749" i="9"/>
  <c r="D1749" i="9"/>
  <c r="B1749" i="9"/>
  <c r="H1748" i="9"/>
  <c r="G1748" i="9"/>
  <c r="E1748" i="9"/>
  <c r="D1748" i="9"/>
  <c r="B1748" i="9"/>
  <c r="H1747" i="9"/>
  <c r="G1747" i="9"/>
  <c r="E1747" i="9"/>
  <c r="D1747" i="9"/>
  <c r="B1747" i="9"/>
  <c r="H1746" i="9"/>
  <c r="G1746" i="9"/>
  <c r="E1746" i="9"/>
  <c r="D1746" i="9"/>
  <c r="B1746" i="9"/>
  <c r="H1745" i="9"/>
  <c r="G1745" i="9"/>
  <c r="E1745" i="9"/>
  <c r="D1745" i="9"/>
  <c r="B1745" i="9"/>
  <c r="H1744" i="9"/>
  <c r="G1744" i="9"/>
  <c r="E1744" i="9"/>
  <c r="D1744" i="9"/>
  <c r="B1744" i="9"/>
  <c r="H1743" i="9"/>
  <c r="G1743" i="9"/>
  <c r="E1743" i="9"/>
  <c r="D1743" i="9"/>
  <c r="B1743" i="9"/>
  <c r="H1742" i="9"/>
  <c r="G1742" i="9"/>
  <c r="E1742" i="9"/>
  <c r="D1742" i="9"/>
  <c r="B1742" i="9"/>
  <c r="H1741" i="9"/>
  <c r="G1741" i="9"/>
  <c r="E1741" i="9"/>
  <c r="D1741" i="9"/>
  <c r="B1741" i="9"/>
  <c r="H1740" i="9"/>
  <c r="G1740" i="9"/>
  <c r="E1740" i="9"/>
  <c r="D1740" i="9"/>
  <c r="B1740" i="9"/>
  <c r="H1739" i="9"/>
  <c r="G1739" i="9"/>
  <c r="E1739" i="9"/>
  <c r="D1739" i="9"/>
  <c r="B1739" i="9"/>
  <c r="H1738" i="9"/>
  <c r="G1738" i="9"/>
  <c r="E1738" i="9"/>
  <c r="D1738" i="9"/>
  <c r="B1738" i="9"/>
  <c r="H1737" i="9"/>
  <c r="G1737" i="9"/>
  <c r="E1737" i="9"/>
  <c r="D1737" i="9"/>
  <c r="B1737" i="9"/>
  <c r="H1736" i="9"/>
  <c r="G1736" i="9"/>
  <c r="E1736" i="9"/>
  <c r="D1736" i="9"/>
  <c r="B1736" i="9"/>
  <c r="H1735" i="9"/>
  <c r="G1735" i="9"/>
  <c r="E1735" i="9"/>
  <c r="D1735" i="9"/>
  <c r="B1735" i="9"/>
  <c r="H1734" i="9"/>
  <c r="G1734" i="9"/>
  <c r="E1734" i="9"/>
  <c r="D1734" i="9"/>
  <c r="B1734" i="9"/>
  <c r="H1733" i="9"/>
  <c r="G1733" i="9"/>
  <c r="E1733" i="9"/>
  <c r="D1733" i="9"/>
  <c r="B1733" i="9"/>
  <c r="H1732" i="9"/>
  <c r="G1732" i="9"/>
  <c r="E1732" i="9"/>
  <c r="D1732" i="9"/>
  <c r="B1732" i="9"/>
  <c r="H1731" i="9"/>
  <c r="G1731" i="9"/>
  <c r="E1731" i="9"/>
  <c r="D1731" i="9"/>
  <c r="B1731" i="9"/>
  <c r="H1730" i="9"/>
  <c r="G1730" i="9"/>
  <c r="E1730" i="9"/>
  <c r="D1730" i="9"/>
  <c r="B1730" i="9"/>
  <c r="H1729" i="9"/>
  <c r="G1729" i="9"/>
  <c r="E1729" i="9"/>
  <c r="D1729" i="9"/>
  <c r="B1729" i="9"/>
  <c r="H1728" i="9"/>
  <c r="G1728" i="9"/>
  <c r="E1728" i="9"/>
  <c r="D1728" i="9"/>
  <c r="B1728" i="9"/>
  <c r="H1727" i="9"/>
  <c r="G1727" i="9"/>
  <c r="E1727" i="9"/>
  <c r="D1727" i="9"/>
  <c r="B1727" i="9"/>
  <c r="H1726" i="9"/>
  <c r="G1726" i="9"/>
  <c r="E1726" i="9"/>
  <c r="D1726" i="9"/>
  <c r="B1726" i="9"/>
  <c r="H1725" i="9"/>
  <c r="G1725" i="9"/>
  <c r="E1725" i="9"/>
  <c r="D1725" i="9"/>
  <c r="B1725" i="9"/>
  <c r="H1724" i="9"/>
  <c r="G1724" i="9"/>
  <c r="E1724" i="9"/>
  <c r="D1724" i="9"/>
  <c r="B1724" i="9"/>
  <c r="H1723" i="9"/>
  <c r="G1723" i="9"/>
  <c r="E1723" i="9"/>
  <c r="D1723" i="9"/>
  <c r="B1723" i="9"/>
  <c r="H1722" i="9"/>
  <c r="G1722" i="9"/>
  <c r="E1722" i="9"/>
  <c r="D1722" i="9"/>
  <c r="B1722" i="9"/>
  <c r="H1721" i="9"/>
  <c r="G1721" i="9"/>
  <c r="E1721" i="9"/>
  <c r="D1721" i="9"/>
  <c r="B1721" i="9"/>
  <c r="H1720" i="9"/>
  <c r="G1720" i="9"/>
  <c r="E1720" i="9"/>
  <c r="D1720" i="9"/>
  <c r="B1720" i="9"/>
  <c r="H1719" i="9"/>
  <c r="G1719" i="9"/>
  <c r="E1719" i="9"/>
  <c r="D1719" i="9"/>
  <c r="B1719" i="9"/>
  <c r="H1718" i="9"/>
  <c r="G1718" i="9"/>
  <c r="E1718" i="9"/>
  <c r="D1718" i="9"/>
  <c r="B1718" i="9"/>
  <c r="H1717" i="9"/>
  <c r="G1717" i="9"/>
  <c r="E1717" i="9"/>
  <c r="D1717" i="9"/>
  <c r="B1717" i="9"/>
  <c r="H1716" i="9"/>
  <c r="G1716" i="9"/>
  <c r="E1716" i="9"/>
  <c r="D1716" i="9"/>
  <c r="B1716" i="9"/>
  <c r="H1715" i="9"/>
  <c r="G1715" i="9"/>
  <c r="E1715" i="9"/>
  <c r="D1715" i="9"/>
  <c r="B1715" i="9"/>
  <c r="H1714" i="9"/>
  <c r="G1714" i="9"/>
  <c r="E1714" i="9"/>
  <c r="D1714" i="9"/>
  <c r="B1714" i="9"/>
  <c r="H1713" i="9"/>
  <c r="G1713" i="9"/>
  <c r="E1713" i="9"/>
  <c r="D1713" i="9"/>
  <c r="B1713" i="9"/>
  <c r="H1712" i="9"/>
  <c r="G1712" i="9"/>
  <c r="E1712" i="9"/>
  <c r="D1712" i="9"/>
  <c r="B1712" i="9"/>
  <c r="H1711" i="9"/>
  <c r="G1711" i="9"/>
  <c r="E1711" i="9"/>
  <c r="D1711" i="9"/>
  <c r="B1711" i="9"/>
  <c r="H1710" i="9"/>
  <c r="G1710" i="9"/>
  <c r="E1710" i="9"/>
  <c r="D1710" i="9"/>
  <c r="B1710" i="9"/>
  <c r="H1709" i="9"/>
  <c r="G1709" i="9"/>
  <c r="E1709" i="9"/>
  <c r="D1709" i="9"/>
  <c r="B1709" i="9"/>
  <c r="H1708" i="9"/>
  <c r="G1708" i="9"/>
  <c r="E1708" i="9"/>
  <c r="D1708" i="9"/>
  <c r="B1708" i="9"/>
  <c r="H1707" i="9"/>
  <c r="G1707" i="9"/>
  <c r="E1707" i="9"/>
  <c r="D1707" i="9"/>
  <c r="B1707" i="9"/>
  <c r="H1706" i="9"/>
  <c r="G1706" i="9"/>
  <c r="E1706" i="9"/>
  <c r="D1706" i="9"/>
  <c r="B1706" i="9"/>
  <c r="H1705" i="9"/>
  <c r="G1705" i="9"/>
  <c r="E1705" i="9"/>
  <c r="D1705" i="9"/>
  <c r="B1705" i="9"/>
  <c r="H1704" i="9"/>
  <c r="G1704" i="9"/>
  <c r="E1704" i="9"/>
  <c r="D1704" i="9"/>
  <c r="B1704" i="9"/>
  <c r="H1703" i="9"/>
  <c r="G1703" i="9"/>
  <c r="E1703" i="9"/>
  <c r="D1703" i="9"/>
  <c r="B1703" i="9"/>
  <c r="H1702" i="9"/>
  <c r="G1702" i="9"/>
  <c r="E1702" i="9"/>
  <c r="D1702" i="9"/>
  <c r="B1702" i="9"/>
  <c r="H1701" i="9"/>
  <c r="G1701" i="9"/>
  <c r="E1701" i="9"/>
  <c r="D1701" i="9"/>
  <c r="B1701" i="9"/>
  <c r="H1700" i="9"/>
  <c r="G1700" i="9"/>
  <c r="E1700" i="9"/>
  <c r="D1700" i="9"/>
  <c r="B1700" i="9"/>
  <c r="H1699" i="9"/>
  <c r="G1699" i="9"/>
  <c r="E1699" i="9"/>
  <c r="D1699" i="9"/>
  <c r="B1699" i="9"/>
  <c r="H1698" i="9"/>
  <c r="G1698" i="9"/>
  <c r="E1698" i="9"/>
  <c r="D1698" i="9"/>
  <c r="B1698" i="9"/>
  <c r="H1697" i="9"/>
  <c r="G1697" i="9"/>
  <c r="E1697" i="9"/>
  <c r="D1697" i="9"/>
  <c r="B1697" i="9"/>
  <c r="H1696" i="9"/>
  <c r="G1696" i="9"/>
  <c r="E1696" i="9"/>
  <c r="D1696" i="9"/>
  <c r="B1696" i="9"/>
  <c r="H1695" i="9"/>
  <c r="G1695" i="9"/>
  <c r="E1695" i="9"/>
  <c r="D1695" i="9"/>
  <c r="B1695" i="9"/>
  <c r="H1694" i="9"/>
  <c r="G1694" i="9"/>
  <c r="E1694" i="9"/>
  <c r="D1694" i="9"/>
  <c r="B1694" i="9"/>
  <c r="H1693" i="9"/>
  <c r="G1693" i="9"/>
  <c r="E1693" i="9"/>
  <c r="D1693" i="9"/>
  <c r="B1693" i="9"/>
  <c r="H1692" i="9"/>
  <c r="G1692" i="9"/>
  <c r="E1692" i="9"/>
  <c r="D1692" i="9"/>
  <c r="B1692" i="9"/>
  <c r="H1691" i="9"/>
  <c r="G1691" i="9"/>
  <c r="E1691" i="9"/>
  <c r="D1691" i="9"/>
  <c r="B1691" i="9"/>
  <c r="H1690" i="9"/>
  <c r="G1690" i="9"/>
  <c r="E1690" i="9"/>
  <c r="D1690" i="9"/>
  <c r="B1690" i="9"/>
  <c r="H1689" i="9"/>
  <c r="G1689" i="9"/>
  <c r="E1689" i="9"/>
  <c r="D1689" i="9"/>
  <c r="B1689" i="9"/>
  <c r="H1688" i="9"/>
  <c r="G1688" i="9"/>
  <c r="E1688" i="9"/>
  <c r="D1688" i="9"/>
  <c r="B1688" i="9"/>
  <c r="H1687" i="9"/>
  <c r="G1687" i="9"/>
  <c r="E1687" i="9"/>
  <c r="D1687" i="9"/>
  <c r="B1687" i="9"/>
  <c r="H1686" i="9"/>
  <c r="G1686" i="9"/>
  <c r="E1686" i="9"/>
  <c r="D1686" i="9"/>
  <c r="B1686" i="9"/>
  <c r="H1685" i="9"/>
  <c r="G1685" i="9"/>
  <c r="E1685" i="9"/>
  <c r="D1685" i="9"/>
  <c r="B1685" i="9"/>
  <c r="H1684" i="9"/>
  <c r="G1684" i="9"/>
  <c r="E1684" i="9"/>
  <c r="D1684" i="9"/>
  <c r="B1684" i="9"/>
  <c r="H1683" i="9"/>
  <c r="G1683" i="9"/>
  <c r="E1683" i="9"/>
  <c r="D1683" i="9"/>
  <c r="B1683" i="9"/>
  <c r="H1682" i="9"/>
  <c r="G1682" i="9"/>
  <c r="E1682" i="9"/>
  <c r="D1682" i="9"/>
  <c r="B1682" i="9"/>
  <c r="H1681" i="9"/>
  <c r="G1681" i="9"/>
  <c r="E1681" i="9"/>
  <c r="D1681" i="9"/>
  <c r="B1681" i="9"/>
  <c r="H1680" i="9"/>
  <c r="G1680" i="9"/>
  <c r="E1680" i="9"/>
  <c r="D1680" i="9"/>
  <c r="B1680" i="9"/>
  <c r="H1679" i="9"/>
  <c r="G1679" i="9"/>
  <c r="E1679" i="9"/>
  <c r="D1679" i="9"/>
  <c r="B1679" i="9"/>
  <c r="H1678" i="9"/>
  <c r="G1678" i="9"/>
  <c r="E1678" i="9"/>
  <c r="D1678" i="9"/>
  <c r="B1678" i="9"/>
  <c r="H1677" i="9"/>
  <c r="G1677" i="9"/>
  <c r="E1677" i="9"/>
  <c r="D1677" i="9"/>
  <c r="B1677" i="9"/>
  <c r="H1676" i="9"/>
  <c r="G1676" i="9"/>
  <c r="E1676" i="9"/>
  <c r="D1676" i="9"/>
  <c r="B1676" i="9"/>
  <c r="H1675" i="9"/>
  <c r="G1675" i="9"/>
  <c r="E1675" i="9"/>
  <c r="D1675" i="9"/>
  <c r="B1675" i="9"/>
  <c r="H1674" i="9"/>
  <c r="G1674" i="9"/>
  <c r="E1674" i="9"/>
  <c r="D1674" i="9"/>
  <c r="B1674" i="9"/>
  <c r="H1673" i="9"/>
  <c r="G1673" i="9"/>
  <c r="E1673" i="9"/>
  <c r="D1673" i="9"/>
  <c r="B1673" i="9"/>
  <c r="H1672" i="9"/>
  <c r="G1672" i="9"/>
  <c r="E1672" i="9"/>
  <c r="D1672" i="9"/>
  <c r="B1672" i="9"/>
  <c r="H1671" i="9"/>
  <c r="G1671" i="9"/>
  <c r="E1671" i="9"/>
  <c r="D1671" i="9"/>
  <c r="B1671" i="9"/>
  <c r="H1670" i="9"/>
  <c r="G1670" i="9"/>
  <c r="E1670" i="9"/>
  <c r="D1670" i="9"/>
  <c r="B1670" i="9"/>
  <c r="H1669" i="9"/>
  <c r="G1669" i="9"/>
  <c r="E1669" i="9"/>
  <c r="D1669" i="9"/>
  <c r="B1669" i="9"/>
  <c r="H1668" i="9"/>
  <c r="G1668" i="9"/>
  <c r="E1668" i="9"/>
  <c r="D1668" i="9"/>
  <c r="B1668" i="9"/>
  <c r="H1667" i="9"/>
  <c r="G1667" i="9"/>
  <c r="E1667" i="9"/>
  <c r="D1667" i="9"/>
  <c r="B1667" i="9"/>
  <c r="H1666" i="9"/>
  <c r="G1666" i="9"/>
  <c r="E1666" i="9"/>
  <c r="D1666" i="9"/>
  <c r="B1666" i="9"/>
  <c r="H1665" i="9"/>
  <c r="G1665" i="9"/>
  <c r="E1665" i="9"/>
  <c r="D1665" i="9"/>
  <c r="B1665" i="9"/>
  <c r="H1664" i="9"/>
  <c r="G1664" i="9"/>
  <c r="E1664" i="9"/>
  <c r="D1664" i="9"/>
  <c r="B1664" i="9"/>
  <c r="H1663" i="9"/>
  <c r="G1663" i="9"/>
  <c r="E1663" i="9"/>
  <c r="D1663" i="9"/>
  <c r="B1663" i="9"/>
  <c r="H1662" i="9"/>
  <c r="G1662" i="9"/>
  <c r="E1662" i="9"/>
  <c r="D1662" i="9"/>
  <c r="B1662" i="9"/>
  <c r="H1661" i="9"/>
  <c r="G1661" i="9"/>
  <c r="E1661" i="9"/>
  <c r="D1661" i="9"/>
  <c r="B1661" i="9"/>
  <c r="H1660" i="9"/>
  <c r="G1660" i="9"/>
  <c r="E1660" i="9"/>
  <c r="D1660" i="9"/>
  <c r="B1660" i="9"/>
  <c r="H1659" i="9"/>
  <c r="G1659" i="9"/>
  <c r="E1659" i="9"/>
  <c r="D1659" i="9"/>
  <c r="B1659" i="9"/>
  <c r="H1658" i="9"/>
  <c r="G1658" i="9"/>
  <c r="E1658" i="9"/>
  <c r="D1658" i="9"/>
  <c r="B1658" i="9"/>
  <c r="H1657" i="9"/>
  <c r="G1657" i="9"/>
  <c r="E1657" i="9"/>
  <c r="D1657" i="9"/>
  <c r="B1657" i="9"/>
  <c r="H1656" i="9"/>
  <c r="G1656" i="9"/>
  <c r="E1656" i="9"/>
  <c r="D1656" i="9"/>
  <c r="B1656" i="9"/>
  <c r="H1655" i="9"/>
  <c r="G1655" i="9"/>
  <c r="E1655" i="9"/>
  <c r="D1655" i="9"/>
  <c r="B1655" i="9"/>
  <c r="H1654" i="9"/>
  <c r="G1654" i="9"/>
  <c r="E1654" i="9"/>
  <c r="D1654" i="9"/>
  <c r="B1654" i="9"/>
  <c r="H1653" i="9"/>
  <c r="G1653" i="9"/>
  <c r="E1653" i="9"/>
  <c r="D1653" i="9"/>
  <c r="B1653" i="9"/>
  <c r="H1652" i="9"/>
  <c r="G1652" i="9"/>
  <c r="E1652" i="9"/>
  <c r="D1652" i="9"/>
  <c r="B1652" i="9"/>
  <c r="H1651" i="9"/>
  <c r="G1651" i="9"/>
  <c r="E1651" i="9"/>
  <c r="D1651" i="9"/>
  <c r="B1651" i="9"/>
  <c r="H1650" i="9"/>
  <c r="G1650" i="9"/>
  <c r="E1650" i="9"/>
  <c r="D1650" i="9"/>
  <c r="B1650" i="9"/>
  <c r="H1649" i="9"/>
  <c r="G1649" i="9"/>
  <c r="E1649" i="9"/>
  <c r="D1649" i="9"/>
  <c r="B1649" i="9"/>
  <c r="H1648" i="9"/>
  <c r="G1648" i="9"/>
  <c r="E1648" i="9"/>
  <c r="D1648" i="9"/>
  <c r="B1648" i="9"/>
  <c r="H1647" i="9"/>
  <c r="G1647" i="9"/>
  <c r="E1647" i="9"/>
  <c r="D1647" i="9"/>
  <c r="B1647" i="9"/>
  <c r="H1646" i="9"/>
  <c r="G1646" i="9"/>
  <c r="E1646" i="9"/>
  <c r="D1646" i="9"/>
  <c r="B1646" i="9"/>
  <c r="H1645" i="9"/>
  <c r="G1645" i="9"/>
  <c r="E1645" i="9"/>
  <c r="D1645" i="9"/>
  <c r="B1645" i="9"/>
  <c r="H1644" i="9"/>
  <c r="G1644" i="9"/>
  <c r="E1644" i="9"/>
  <c r="D1644" i="9"/>
  <c r="B1644" i="9"/>
  <c r="H1643" i="9"/>
  <c r="G1643" i="9"/>
  <c r="E1643" i="9"/>
  <c r="D1643" i="9"/>
  <c r="B1643" i="9"/>
  <c r="H1642" i="9"/>
  <c r="G1642" i="9"/>
  <c r="E1642" i="9"/>
  <c r="D1642" i="9"/>
  <c r="B1642" i="9"/>
  <c r="H1641" i="9"/>
  <c r="G1641" i="9"/>
  <c r="E1641" i="9"/>
  <c r="D1641" i="9"/>
  <c r="B1641" i="9"/>
  <c r="H1640" i="9"/>
  <c r="G1640" i="9"/>
  <c r="E1640" i="9"/>
  <c r="D1640" i="9"/>
  <c r="B1640" i="9"/>
  <c r="H1639" i="9"/>
  <c r="G1639" i="9"/>
  <c r="E1639" i="9"/>
  <c r="D1639" i="9"/>
  <c r="B1639" i="9"/>
  <c r="H1638" i="9"/>
  <c r="G1638" i="9"/>
  <c r="E1638" i="9"/>
  <c r="D1638" i="9"/>
  <c r="B1638" i="9"/>
  <c r="H1637" i="9"/>
  <c r="G1637" i="9"/>
  <c r="E1637" i="9"/>
  <c r="D1637" i="9"/>
  <c r="B1637" i="9"/>
  <c r="H1636" i="9"/>
  <c r="G1636" i="9"/>
  <c r="E1636" i="9"/>
  <c r="D1636" i="9"/>
  <c r="B1636" i="9"/>
  <c r="H1635" i="9"/>
  <c r="G1635" i="9"/>
  <c r="E1635" i="9"/>
  <c r="D1635" i="9"/>
  <c r="B1635" i="9"/>
  <c r="H1634" i="9"/>
  <c r="G1634" i="9"/>
  <c r="E1634" i="9"/>
  <c r="D1634" i="9"/>
  <c r="B1634" i="9"/>
  <c r="H1633" i="9"/>
  <c r="G1633" i="9"/>
  <c r="E1633" i="9"/>
  <c r="D1633" i="9"/>
  <c r="B1633" i="9"/>
  <c r="H1632" i="9"/>
  <c r="G1632" i="9"/>
  <c r="E1632" i="9"/>
  <c r="D1632" i="9"/>
  <c r="B1632" i="9"/>
  <c r="H1631" i="9"/>
  <c r="G1631" i="9"/>
  <c r="E1631" i="9"/>
  <c r="D1631" i="9"/>
  <c r="B1631" i="9"/>
  <c r="H1630" i="9"/>
  <c r="G1630" i="9"/>
  <c r="E1630" i="9"/>
  <c r="D1630" i="9"/>
  <c r="B1630" i="9"/>
  <c r="H1629" i="9"/>
  <c r="G1629" i="9"/>
  <c r="E1629" i="9"/>
  <c r="D1629" i="9"/>
  <c r="B1629" i="9"/>
  <c r="H1628" i="9"/>
  <c r="G1628" i="9"/>
  <c r="E1628" i="9"/>
  <c r="D1628" i="9"/>
  <c r="B1628" i="9"/>
  <c r="H1627" i="9"/>
  <c r="G1627" i="9"/>
  <c r="E1627" i="9"/>
  <c r="D1627" i="9"/>
  <c r="B1627" i="9"/>
  <c r="H1626" i="9"/>
  <c r="G1626" i="9"/>
  <c r="E1626" i="9"/>
  <c r="D1626" i="9"/>
  <c r="B1626" i="9"/>
  <c r="H1625" i="9"/>
  <c r="G1625" i="9"/>
  <c r="E1625" i="9"/>
  <c r="D1625" i="9"/>
  <c r="B1625" i="9"/>
  <c r="H1624" i="9"/>
  <c r="G1624" i="9"/>
  <c r="E1624" i="9"/>
  <c r="D1624" i="9"/>
  <c r="B1624" i="9"/>
  <c r="H1623" i="9"/>
  <c r="G1623" i="9"/>
  <c r="E1623" i="9"/>
  <c r="D1623" i="9"/>
  <c r="B1623" i="9"/>
  <c r="H1622" i="9"/>
  <c r="G1622" i="9"/>
  <c r="E1622" i="9"/>
  <c r="D1622" i="9"/>
  <c r="B1622" i="9"/>
  <c r="H1621" i="9"/>
  <c r="G1621" i="9"/>
  <c r="E1621" i="9"/>
  <c r="D1621" i="9"/>
  <c r="B1621" i="9"/>
  <c r="H1620" i="9"/>
  <c r="G1620" i="9"/>
  <c r="E1620" i="9"/>
  <c r="D1620" i="9"/>
  <c r="B1620" i="9"/>
  <c r="H1619" i="9"/>
  <c r="G1619" i="9"/>
  <c r="E1619" i="9"/>
  <c r="D1619" i="9"/>
  <c r="B1619" i="9"/>
  <c r="H1618" i="9"/>
  <c r="G1618" i="9"/>
  <c r="E1618" i="9"/>
  <c r="D1618" i="9"/>
  <c r="B1618" i="9"/>
  <c r="H1617" i="9"/>
  <c r="G1617" i="9"/>
  <c r="E1617" i="9"/>
  <c r="D1617" i="9"/>
  <c r="B1617" i="9"/>
  <c r="H1616" i="9"/>
  <c r="G1616" i="9"/>
  <c r="E1616" i="9"/>
  <c r="D1616" i="9"/>
  <c r="B1616" i="9"/>
  <c r="H1615" i="9"/>
  <c r="G1615" i="9"/>
  <c r="E1615" i="9"/>
  <c r="D1615" i="9"/>
  <c r="B1615" i="9"/>
  <c r="H1614" i="9"/>
  <c r="G1614" i="9"/>
  <c r="E1614" i="9"/>
  <c r="D1614" i="9"/>
  <c r="B1614" i="9"/>
  <c r="H1613" i="9"/>
  <c r="G1613" i="9"/>
  <c r="E1613" i="9"/>
  <c r="D1613" i="9"/>
  <c r="B1613" i="9"/>
  <c r="H1612" i="9"/>
  <c r="G1612" i="9"/>
  <c r="E1612" i="9"/>
  <c r="D1612" i="9"/>
  <c r="B1612" i="9"/>
  <c r="H1611" i="9"/>
  <c r="G1611" i="9"/>
  <c r="E1611" i="9"/>
  <c r="D1611" i="9"/>
  <c r="B1611" i="9"/>
  <c r="H1610" i="9"/>
  <c r="G1610" i="9"/>
  <c r="E1610" i="9"/>
  <c r="D1610" i="9"/>
  <c r="B1610" i="9"/>
  <c r="H1609" i="9"/>
  <c r="G1609" i="9"/>
  <c r="E1609" i="9"/>
  <c r="D1609" i="9"/>
  <c r="B1609" i="9"/>
  <c r="H1608" i="9"/>
  <c r="G1608" i="9"/>
  <c r="E1608" i="9"/>
  <c r="D1608" i="9"/>
  <c r="B1608" i="9"/>
  <c r="H1607" i="9"/>
  <c r="G1607" i="9"/>
  <c r="E1607" i="9"/>
  <c r="D1607" i="9"/>
  <c r="B1607" i="9"/>
  <c r="H1606" i="9"/>
  <c r="G1606" i="9"/>
  <c r="E1606" i="9"/>
  <c r="D1606" i="9"/>
  <c r="B1606" i="9"/>
  <c r="H1605" i="9"/>
  <c r="G1605" i="9"/>
  <c r="E1605" i="9"/>
  <c r="D1605" i="9"/>
  <c r="B1605" i="9"/>
  <c r="H1604" i="9"/>
  <c r="G1604" i="9"/>
  <c r="E1604" i="9"/>
  <c r="D1604" i="9"/>
  <c r="B1604" i="9"/>
  <c r="H1603" i="9"/>
  <c r="G1603" i="9"/>
  <c r="E1603" i="9"/>
  <c r="D1603" i="9"/>
  <c r="B1603" i="9"/>
  <c r="H1602" i="9"/>
  <c r="G1602" i="9"/>
  <c r="E1602" i="9"/>
  <c r="D1602" i="9"/>
  <c r="B1602" i="9"/>
  <c r="H1601" i="9"/>
  <c r="G1601" i="9"/>
  <c r="E1601" i="9"/>
  <c r="D1601" i="9"/>
  <c r="B1601" i="9"/>
  <c r="H1600" i="9"/>
  <c r="G1600" i="9"/>
  <c r="E1600" i="9"/>
  <c r="D1600" i="9"/>
  <c r="B1600" i="9"/>
  <c r="H1599" i="9"/>
  <c r="G1599" i="9"/>
  <c r="E1599" i="9"/>
  <c r="D1599" i="9"/>
  <c r="B1599" i="9"/>
  <c r="H1598" i="9"/>
  <c r="G1598" i="9"/>
  <c r="E1598" i="9"/>
  <c r="D1598" i="9"/>
  <c r="B1598" i="9"/>
  <c r="H1597" i="9"/>
  <c r="G1597" i="9"/>
  <c r="E1597" i="9"/>
  <c r="D1597" i="9"/>
  <c r="B1597" i="9"/>
  <c r="H1596" i="9"/>
  <c r="G1596" i="9"/>
  <c r="E1596" i="9"/>
  <c r="D1596" i="9"/>
  <c r="B1596" i="9"/>
  <c r="H1595" i="9"/>
  <c r="G1595" i="9"/>
  <c r="E1595" i="9"/>
  <c r="D1595" i="9"/>
  <c r="B1595" i="9"/>
  <c r="H1594" i="9"/>
  <c r="G1594" i="9"/>
  <c r="E1594" i="9"/>
  <c r="D1594" i="9"/>
  <c r="B1594" i="9"/>
  <c r="H1593" i="9"/>
  <c r="G1593" i="9"/>
  <c r="E1593" i="9"/>
  <c r="D1593" i="9"/>
  <c r="B1593" i="9"/>
  <c r="H1592" i="9"/>
  <c r="G1592" i="9"/>
  <c r="E1592" i="9"/>
  <c r="D1592" i="9"/>
  <c r="B1592" i="9"/>
  <c r="H1591" i="9"/>
  <c r="G1591" i="9"/>
  <c r="E1591" i="9"/>
  <c r="D1591" i="9"/>
  <c r="B1591" i="9"/>
  <c r="H1590" i="9"/>
  <c r="G1590" i="9"/>
  <c r="E1590" i="9"/>
  <c r="D1590" i="9"/>
  <c r="B1590" i="9"/>
  <c r="H1589" i="9"/>
  <c r="G1589" i="9"/>
  <c r="E1589" i="9"/>
  <c r="D1589" i="9"/>
  <c r="B1589" i="9"/>
  <c r="H1588" i="9"/>
  <c r="G1588" i="9"/>
  <c r="E1588" i="9"/>
  <c r="D1588" i="9"/>
  <c r="B1588" i="9"/>
  <c r="H1587" i="9"/>
  <c r="G1587" i="9"/>
  <c r="E1587" i="9"/>
  <c r="D1587" i="9"/>
  <c r="B1587" i="9"/>
  <c r="H1586" i="9"/>
  <c r="G1586" i="9"/>
  <c r="E1586" i="9"/>
  <c r="D1586" i="9"/>
  <c r="B1586" i="9"/>
  <c r="H1585" i="9"/>
  <c r="G1585" i="9"/>
  <c r="E1585" i="9"/>
  <c r="D1585" i="9"/>
  <c r="B1585" i="9"/>
  <c r="H1584" i="9"/>
  <c r="G1584" i="9"/>
  <c r="E1584" i="9"/>
  <c r="D1584" i="9"/>
  <c r="B1584" i="9"/>
  <c r="H1583" i="9"/>
  <c r="G1583" i="9"/>
  <c r="E1583" i="9"/>
  <c r="D1583" i="9"/>
  <c r="B1583" i="9"/>
  <c r="H1582" i="9"/>
  <c r="G1582" i="9"/>
  <c r="E1582" i="9"/>
  <c r="D1582" i="9"/>
  <c r="B1582" i="9"/>
  <c r="H1581" i="9"/>
  <c r="G1581" i="9"/>
  <c r="E1581" i="9"/>
  <c r="D1581" i="9"/>
  <c r="B1581" i="9"/>
  <c r="H1580" i="9"/>
  <c r="G1580" i="9"/>
  <c r="E1580" i="9"/>
  <c r="D1580" i="9"/>
  <c r="B1580" i="9"/>
  <c r="H1579" i="9"/>
  <c r="G1579" i="9"/>
  <c r="E1579" i="9"/>
  <c r="D1579" i="9"/>
  <c r="B1579" i="9"/>
  <c r="H1578" i="9"/>
  <c r="G1578" i="9"/>
  <c r="E1578" i="9"/>
  <c r="D1578" i="9"/>
  <c r="B1578" i="9"/>
  <c r="H1577" i="9"/>
  <c r="G1577" i="9"/>
  <c r="E1577" i="9"/>
  <c r="D1577" i="9"/>
  <c r="B1577" i="9"/>
  <c r="H1576" i="9"/>
  <c r="G1576" i="9"/>
  <c r="E1576" i="9"/>
  <c r="D1576" i="9"/>
  <c r="B1576" i="9"/>
  <c r="H1575" i="9"/>
  <c r="G1575" i="9"/>
  <c r="E1575" i="9"/>
  <c r="D1575" i="9"/>
  <c r="B1575" i="9"/>
  <c r="H1574" i="9"/>
  <c r="G1574" i="9"/>
  <c r="E1574" i="9"/>
  <c r="D1574" i="9"/>
  <c r="B1574" i="9"/>
  <c r="H1573" i="9"/>
  <c r="G1573" i="9"/>
  <c r="E1573" i="9"/>
  <c r="D1573" i="9"/>
  <c r="B1573" i="9"/>
  <c r="H1572" i="9"/>
  <c r="G1572" i="9"/>
  <c r="E1572" i="9"/>
  <c r="D1572" i="9"/>
  <c r="B1572" i="9"/>
  <c r="H1571" i="9"/>
  <c r="G1571" i="9"/>
  <c r="E1571" i="9"/>
  <c r="D1571" i="9"/>
  <c r="B1571" i="9"/>
  <c r="H1570" i="9"/>
  <c r="G1570" i="9"/>
  <c r="E1570" i="9"/>
  <c r="D1570" i="9"/>
  <c r="B1570" i="9"/>
  <c r="H1569" i="9"/>
  <c r="G1569" i="9"/>
  <c r="E1569" i="9"/>
  <c r="D1569" i="9"/>
  <c r="B1569" i="9"/>
  <c r="H1568" i="9"/>
  <c r="G1568" i="9"/>
  <c r="E1568" i="9"/>
  <c r="D1568" i="9"/>
  <c r="B1568" i="9"/>
  <c r="H1567" i="9"/>
  <c r="G1567" i="9"/>
  <c r="E1567" i="9"/>
  <c r="D1567" i="9"/>
  <c r="B1567" i="9"/>
  <c r="H1566" i="9"/>
  <c r="G1566" i="9"/>
  <c r="E1566" i="9"/>
  <c r="D1566" i="9"/>
  <c r="B1566" i="9"/>
  <c r="H1565" i="9"/>
  <c r="G1565" i="9"/>
  <c r="E1565" i="9"/>
  <c r="D1565" i="9"/>
  <c r="B1565" i="9"/>
  <c r="H1564" i="9"/>
  <c r="G1564" i="9"/>
  <c r="E1564" i="9"/>
  <c r="D1564" i="9"/>
  <c r="B1564" i="9"/>
  <c r="H1563" i="9"/>
  <c r="G1563" i="9"/>
  <c r="E1563" i="9"/>
  <c r="D1563" i="9"/>
  <c r="B1563" i="9"/>
  <c r="H1562" i="9"/>
  <c r="G1562" i="9"/>
  <c r="E1562" i="9"/>
  <c r="D1562" i="9"/>
  <c r="B1562" i="9"/>
  <c r="H1561" i="9"/>
  <c r="G1561" i="9"/>
  <c r="E1561" i="9"/>
  <c r="D1561" i="9"/>
  <c r="B1561" i="9"/>
  <c r="H1560" i="9"/>
  <c r="G1560" i="9"/>
  <c r="E1560" i="9"/>
  <c r="D1560" i="9"/>
  <c r="B1560" i="9"/>
  <c r="H1559" i="9"/>
  <c r="G1559" i="9"/>
  <c r="E1559" i="9"/>
  <c r="D1559" i="9"/>
  <c r="B1559" i="9"/>
  <c r="H1558" i="9"/>
  <c r="G1558" i="9"/>
  <c r="E1558" i="9"/>
  <c r="D1558" i="9"/>
  <c r="B1558" i="9"/>
  <c r="H1557" i="9"/>
  <c r="G1557" i="9"/>
  <c r="E1557" i="9"/>
  <c r="D1557" i="9"/>
  <c r="B1557" i="9"/>
  <c r="H1556" i="9"/>
  <c r="G1556" i="9"/>
  <c r="E1556" i="9"/>
  <c r="D1556" i="9"/>
  <c r="B1556" i="9"/>
  <c r="H1555" i="9"/>
  <c r="G1555" i="9"/>
  <c r="E1555" i="9"/>
  <c r="D1555" i="9"/>
  <c r="B1555" i="9"/>
  <c r="H1554" i="9"/>
  <c r="G1554" i="9"/>
  <c r="E1554" i="9"/>
  <c r="D1554" i="9"/>
  <c r="B1554" i="9"/>
  <c r="H1553" i="9"/>
  <c r="G1553" i="9"/>
  <c r="E1553" i="9"/>
  <c r="D1553" i="9"/>
  <c r="B1553" i="9"/>
  <c r="H1552" i="9"/>
  <c r="G1552" i="9"/>
  <c r="E1552" i="9"/>
  <c r="D1552" i="9"/>
  <c r="B1552" i="9"/>
  <c r="H1551" i="9"/>
  <c r="G1551" i="9"/>
  <c r="E1551" i="9"/>
  <c r="D1551" i="9"/>
  <c r="B1551" i="9"/>
  <c r="H1550" i="9"/>
  <c r="G1550" i="9"/>
  <c r="E1550" i="9"/>
  <c r="D1550" i="9"/>
  <c r="B1550" i="9"/>
  <c r="H1549" i="9"/>
  <c r="G1549" i="9"/>
  <c r="E1549" i="9"/>
  <c r="D1549" i="9"/>
  <c r="B1549" i="9"/>
  <c r="H1548" i="9"/>
  <c r="G1548" i="9"/>
  <c r="E1548" i="9"/>
  <c r="D1548" i="9"/>
  <c r="B1548" i="9"/>
  <c r="H1547" i="9"/>
  <c r="G1547" i="9"/>
  <c r="E1547" i="9"/>
  <c r="D1547" i="9"/>
  <c r="B1547" i="9"/>
  <c r="H1546" i="9"/>
  <c r="G1546" i="9"/>
  <c r="E1546" i="9"/>
  <c r="D1546" i="9"/>
  <c r="B1546" i="9"/>
  <c r="H1545" i="9"/>
  <c r="G1545" i="9"/>
  <c r="E1545" i="9"/>
  <c r="D1545" i="9"/>
  <c r="B1545" i="9"/>
  <c r="H1544" i="9"/>
  <c r="G1544" i="9"/>
  <c r="E1544" i="9"/>
  <c r="D1544" i="9"/>
  <c r="B1544" i="9"/>
  <c r="H1543" i="9"/>
  <c r="G1543" i="9"/>
  <c r="E1543" i="9"/>
  <c r="D1543" i="9"/>
  <c r="B1543" i="9"/>
  <c r="H1542" i="9"/>
  <c r="G1542" i="9"/>
  <c r="E1542" i="9"/>
  <c r="D1542" i="9"/>
  <c r="B1542" i="9"/>
  <c r="H1541" i="9"/>
  <c r="G1541" i="9"/>
  <c r="E1541" i="9"/>
  <c r="D1541" i="9"/>
  <c r="B1541" i="9"/>
  <c r="H1540" i="9"/>
  <c r="G1540" i="9"/>
  <c r="E1540" i="9"/>
  <c r="D1540" i="9"/>
  <c r="B1540" i="9"/>
  <c r="H1539" i="9"/>
  <c r="G1539" i="9"/>
  <c r="E1539" i="9"/>
  <c r="D1539" i="9"/>
  <c r="B1539" i="9"/>
  <c r="H1538" i="9"/>
  <c r="G1538" i="9"/>
  <c r="E1538" i="9"/>
  <c r="D1538" i="9"/>
  <c r="B1538" i="9"/>
  <c r="H1537" i="9"/>
  <c r="G1537" i="9"/>
  <c r="E1537" i="9"/>
  <c r="D1537" i="9"/>
  <c r="B1537" i="9"/>
  <c r="H1536" i="9"/>
  <c r="G1536" i="9"/>
  <c r="E1536" i="9"/>
  <c r="D1536" i="9"/>
  <c r="B1536" i="9"/>
  <c r="H1535" i="9"/>
  <c r="G1535" i="9"/>
  <c r="E1535" i="9"/>
  <c r="D1535" i="9"/>
  <c r="B1535" i="9"/>
  <c r="H1534" i="9"/>
  <c r="G1534" i="9"/>
  <c r="E1534" i="9"/>
  <c r="D1534" i="9"/>
  <c r="B1534" i="9"/>
  <c r="H1533" i="9"/>
  <c r="G1533" i="9"/>
  <c r="E1533" i="9"/>
  <c r="D1533" i="9"/>
  <c r="B1533" i="9"/>
  <c r="H1532" i="9"/>
  <c r="G1532" i="9"/>
  <c r="E1532" i="9"/>
  <c r="D1532" i="9"/>
  <c r="B1532" i="9"/>
  <c r="H1531" i="9"/>
  <c r="G1531" i="9"/>
  <c r="E1531" i="9"/>
  <c r="D1531" i="9"/>
  <c r="B1531" i="9"/>
  <c r="H1530" i="9"/>
  <c r="G1530" i="9"/>
  <c r="E1530" i="9"/>
  <c r="D1530" i="9"/>
  <c r="B1530" i="9"/>
  <c r="H1529" i="9"/>
  <c r="G1529" i="9"/>
  <c r="E1529" i="9"/>
  <c r="D1529" i="9"/>
  <c r="B1529" i="9"/>
  <c r="H1528" i="9"/>
  <c r="G1528" i="9"/>
  <c r="E1528" i="9"/>
  <c r="D1528" i="9"/>
  <c r="B1528" i="9"/>
  <c r="H1527" i="9"/>
  <c r="G1527" i="9"/>
  <c r="E1527" i="9"/>
  <c r="D1527" i="9"/>
  <c r="B1527" i="9"/>
  <c r="H1526" i="9"/>
  <c r="G1526" i="9"/>
  <c r="E1526" i="9"/>
  <c r="D1526" i="9"/>
  <c r="B1526" i="9"/>
  <c r="H1525" i="9"/>
  <c r="G1525" i="9"/>
  <c r="E1525" i="9"/>
  <c r="D1525" i="9"/>
  <c r="B1525" i="9"/>
  <c r="H1524" i="9"/>
  <c r="G1524" i="9"/>
  <c r="E1524" i="9"/>
  <c r="D1524" i="9"/>
  <c r="B1524" i="9"/>
  <c r="H1523" i="9"/>
  <c r="G1523" i="9"/>
  <c r="E1523" i="9"/>
  <c r="D1523" i="9"/>
  <c r="B1523" i="9"/>
  <c r="H1522" i="9"/>
  <c r="G1522" i="9"/>
  <c r="E1522" i="9"/>
  <c r="D1522" i="9"/>
  <c r="B1522" i="9"/>
  <c r="H1521" i="9"/>
  <c r="G1521" i="9"/>
  <c r="E1521" i="9"/>
  <c r="D1521" i="9"/>
  <c r="B1521" i="9"/>
  <c r="H1520" i="9"/>
  <c r="G1520" i="9"/>
  <c r="E1520" i="9"/>
  <c r="D1520" i="9"/>
  <c r="B1520" i="9"/>
  <c r="H1519" i="9"/>
  <c r="G1519" i="9"/>
  <c r="E1519" i="9"/>
  <c r="D1519" i="9"/>
  <c r="B1519" i="9"/>
  <c r="H1518" i="9"/>
  <c r="G1518" i="9"/>
  <c r="E1518" i="9"/>
  <c r="D1518" i="9"/>
  <c r="B1518" i="9"/>
  <c r="H1517" i="9"/>
  <c r="G1517" i="9"/>
  <c r="E1517" i="9"/>
  <c r="D1517" i="9"/>
  <c r="B1517" i="9"/>
  <c r="H1516" i="9"/>
  <c r="G1516" i="9"/>
  <c r="E1516" i="9"/>
  <c r="D1516" i="9"/>
  <c r="B1516" i="9"/>
  <c r="H1515" i="9"/>
  <c r="G1515" i="9"/>
  <c r="E1515" i="9"/>
  <c r="D1515" i="9"/>
  <c r="B1515" i="9"/>
  <c r="H1514" i="9"/>
  <c r="G1514" i="9"/>
  <c r="E1514" i="9"/>
  <c r="D1514" i="9"/>
  <c r="B1514" i="9"/>
  <c r="H1513" i="9"/>
  <c r="G1513" i="9"/>
  <c r="E1513" i="9"/>
  <c r="D1513" i="9"/>
  <c r="B1513" i="9"/>
  <c r="H1512" i="9"/>
  <c r="G1512" i="9"/>
  <c r="E1512" i="9"/>
  <c r="D1512" i="9"/>
  <c r="B1512" i="9"/>
  <c r="H1511" i="9"/>
  <c r="G1511" i="9"/>
  <c r="E1511" i="9"/>
  <c r="D1511" i="9"/>
  <c r="B1511" i="9"/>
  <c r="H1510" i="9"/>
  <c r="G1510" i="9"/>
  <c r="E1510" i="9"/>
  <c r="D1510" i="9"/>
  <c r="B1510" i="9"/>
  <c r="H1509" i="9"/>
  <c r="G1509" i="9"/>
  <c r="E1509" i="9"/>
  <c r="D1509" i="9"/>
  <c r="B1509" i="9"/>
  <c r="H1508" i="9"/>
  <c r="G1508" i="9"/>
  <c r="E1508" i="9"/>
  <c r="D1508" i="9"/>
  <c r="B1508" i="9"/>
  <c r="H1507" i="9"/>
  <c r="G1507" i="9"/>
  <c r="E1507" i="9"/>
  <c r="D1507" i="9"/>
  <c r="B1507" i="9"/>
  <c r="H1506" i="9"/>
  <c r="G1506" i="9"/>
  <c r="E1506" i="9"/>
  <c r="D1506" i="9"/>
  <c r="B1506" i="9"/>
  <c r="H1505" i="9"/>
  <c r="G1505" i="9"/>
  <c r="E1505" i="9"/>
  <c r="D1505" i="9"/>
  <c r="B1505" i="9"/>
  <c r="H1504" i="9"/>
  <c r="G1504" i="9"/>
  <c r="E1504" i="9"/>
  <c r="D1504" i="9"/>
  <c r="B1504" i="9"/>
  <c r="H1503" i="9"/>
  <c r="G1503" i="9"/>
  <c r="E1503" i="9"/>
  <c r="D1503" i="9"/>
  <c r="B1503" i="9"/>
  <c r="H1502" i="9"/>
  <c r="G1502" i="9"/>
  <c r="E1502" i="9"/>
  <c r="D1502" i="9"/>
  <c r="B1502" i="9"/>
  <c r="H1501" i="9"/>
  <c r="G1501" i="9"/>
  <c r="E1501" i="9"/>
  <c r="D1501" i="9"/>
  <c r="B1501" i="9"/>
  <c r="H1500" i="9"/>
  <c r="G1500" i="9"/>
  <c r="E1500" i="9"/>
  <c r="D1500" i="9"/>
  <c r="B1500" i="9"/>
  <c r="H1499" i="9"/>
  <c r="G1499" i="9"/>
  <c r="E1499" i="9"/>
  <c r="D1499" i="9"/>
  <c r="B1499" i="9"/>
  <c r="H1498" i="9"/>
  <c r="G1498" i="9"/>
  <c r="E1498" i="9"/>
  <c r="D1498" i="9"/>
  <c r="B1498" i="9"/>
  <c r="H1497" i="9"/>
  <c r="G1497" i="9"/>
  <c r="E1497" i="9"/>
  <c r="D1497" i="9"/>
  <c r="B1497" i="9"/>
  <c r="H1496" i="9"/>
  <c r="G1496" i="9"/>
  <c r="E1496" i="9"/>
  <c r="D1496" i="9"/>
  <c r="B1496" i="9"/>
  <c r="H1495" i="9"/>
  <c r="G1495" i="9"/>
  <c r="E1495" i="9"/>
  <c r="D1495" i="9"/>
  <c r="B1495" i="9"/>
  <c r="H1494" i="9"/>
  <c r="G1494" i="9"/>
  <c r="E1494" i="9"/>
  <c r="D1494" i="9"/>
  <c r="B1494" i="9"/>
  <c r="H1493" i="9"/>
  <c r="G1493" i="9"/>
  <c r="E1493" i="9"/>
  <c r="D1493" i="9"/>
  <c r="B1493" i="9"/>
  <c r="H1492" i="9"/>
  <c r="G1492" i="9"/>
  <c r="E1492" i="9"/>
  <c r="D1492" i="9"/>
  <c r="B1492" i="9"/>
  <c r="H1491" i="9"/>
  <c r="G1491" i="9"/>
  <c r="E1491" i="9"/>
  <c r="D1491" i="9"/>
  <c r="B1491" i="9"/>
  <c r="H1490" i="9"/>
  <c r="G1490" i="9"/>
  <c r="E1490" i="9"/>
  <c r="D1490" i="9"/>
  <c r="B1490" i="9"/>
  <c r="H1489" i="9"/>
  <c r="G1489" i="9"/>
  <c r="E1489" i="9"/>
  <c r="D1489" i="9"/>
  <c r="B1489" i="9"/>
  <c r="H1488" i="9"/>
  <c r="G1488" i="9"/>
  <c r="E1488" i="9"/>
  <c r="D1488" i="9"/>
  <c r="B1488" i="9"/>
  <c r="H1487" i="9"/>
  <c r="G1487" i="9"/>
  <c r="E1487" i="9"/>
  <c r="D1487" i="9"/>
  <c r="B1487" i="9"/>
  <c r="H1486" i="9"/>
  <c r="G1486" i="9"/>
  <c r="E1486" i="9"/>
  <c r="D1486" i="9"/>
  <c r="B1486" i="9"/>
  <c r="H1485" i="9"/>
  <c r="G1485" i="9"/>
  <c r="E1485" i="9"/>
  <c r="D1485" i="9"/>
  <c r="B1485" i="9"/>
  <c r="H1484" i="9"/>
  <c r="G1484" i="9"/>
  <c r="E1484" i="9"/>
  <c r="D1484" i="9"/>
  <c r="B1484" i="9"/>
  <c r="H1483" i="9"/>
  <c r="G1483" i="9"/>
  <c r="E1483" i="9"/>
  <c r="D1483" i="9"/>
  <c r="B1483" i="9"/>
  <c r="H1482" i="9"/>
  <c r="G1482" i="9"/>
  <c r="E1482" i="9"/>
  <c r="D1482" i="9"/>
  <c r="B1482" i="9"/>
  <c r="H1481" i="9"/>
  <c r="G1481" i="9"/>
  <c r="E1481" i="9"/>
  <c r="D1481" i="9"/>
  <c r="B1481" i="9"/>
  <c r="H1480" i="9"/>
  <c r="G1480" i="9"/>
  <c r="E1480" i="9"/>
  <c r="D1480" i="9"/>
  <c r="B1480" i="9"/>
  <c r="H1479" i="9"/>
  <c r="G1479" i="9"/>
  <c r="E1479" i="9"/>
  <c r="D1479" i="9"/>
  <c r="B1479" i="9"/>
  <c r="H1478" i="9"/>
  <c r="G1478" i="9"/>
  <c r="E1478" i="9"/>
  <c r="D1478" i="9"/>
  <c r="B1478" i="9"/>
  <c r="H1477" i="9"/>
  <c r="G1477" i="9"/>
  <c r="E1477" i="9"/>
  <c r="D1477" i="9"/>
  <c r="B1477" i="9"/>
  <c r="H1476" i="9"/>
  <c r="G1476" i="9"/>
  <c r="E1476" i="9"/>
  <c r="D1476" i="9"/>
  <c r="B1476" i="9"/>
  <c r="H1475" i="9"/>
  <c r="G1475" i="9"/>
  <c r="E1475" i="9"/>
  <c r="D1475" i="9"/>
  <c r="B1475" i="9"/>
  <c r="H1474" i="9"/>
  <c r="G1474" i="9"/>
  <c r="E1474" i="9"/>
  <c r="D1474" i="9"/>
  <c r="B1474" i="9"/>
  <c r="H1473" i="9"/>
  <c r="G1473" i="9"/>
  <c r="E1473" i="9"/>
  <c r="D1473" i="9"/>
  <c r="B1473" i="9"/>
  <c r="H1472" i="9"/>
  <c r="G1472" i="9"/>
  <c r="E1472" i="9"/>
  <c r="D1472" i="9"/>
  <c r="B1472" i="9"/>
  <c r="H1471" i="9"/>
  <c r="G1471" i="9"/>
  <c r="E1471" i="9"/>
  <c r="D1471" i="9"/>
  <c r="B1471" i="9"/>
  <c r="H1470" i="9"/>
  <c r="G1470" i="9"/>
  <c r="E1470" i="9"/>
  <c r="D1470" i="9"/>
  <c r="B1470" i="9"/>
  <c r="H1469" i="9"/>
  <c r="G1469" i="9"/>
  <c r="E1469" i="9"/>
  <c r="D1469" i="9"/>
  <c r="B1469" i="9"/>
  <c r="H1468" i="9"/>
  <c r="G1468" i="9"/>
  <c r="E1468" i="9"/>
  <c r="D1468" i="9"/>
  <c r="B1468" i="9"/>
  <c r="H1467" i="9"/>
  <c r="G1467" i="9"/>
  <c r="E1467" i="9"/>
  <c r="D1467" i="9"/>
  <c r="B1467" i="9"/>
  <c r="H1466" i="9"/>
  <c r="G1466" i="9"/>
  <c r="E1466" i="9"/>
  <c r="D1466" i="9"/>
  <c r="B1466" i="9"/>
  <c r="H1465" i="9"/>
  <c r="G1465" i="9"/>
  <c r="E1465" i="9"/>
  <c r="D1465" i="9"/>
  <c r="B1465" i="9"/>
  <c r="H1464" i="9"/>
  <c r="G1464" i="9"/>
  <c r="E1464" i="9"/>
  <c r="D1464" i="9"/>
  <c r="B1464" i="9"/>
  <c r="H1463" i="9"/>
  <c r="G1463" i="9"/>
  <c r="E1463" i="9"/>
  <c r="D1463" i="9"/>
  <c r="B1463" i="9"/>
  <c r="H1462" i="9"/>
  <c r="G1462" i="9"/>
  <c r="E1462" i="9"/>
  <c r="D1462" i="9"/>
  <c r="B1462" i="9"/>
  <c r="H1461" i="9"/>
  <c r="G1461" i="9"/>
  <c r="E1461" i="9"/>
  <c r="D1461" i="9"/>
  <c r="B1461" i="9"/>
  <c r="H1460" i="9"/>
  <c r="G1460" i="9"/>
  <c r="E1460" i="9"/>
  <c r="D1460" i="9"/>
  <c r="B1460" i="9"/>
  <c r="H1459" i="9"/>
  <c r="G1459" i="9"/>
  <c r="E1459" i="9"/>
  <c r="D1459" i="9"/>
  <c r="B1459" i="9"/>
  <c r="H1458" i="9"/>
  <c r="G1458" i="9"/>
  <c r="E1458" i="9"/>
  <c r="D1458" i="9"/>
  <c r="B1458" i="9"/>
  <c r="H1457" i="9"/>
  <c r="G1457" i="9"/>
  <c r="E1457" i="9"/>
  <c r="D1457" i="9"/>
  <c r="B1457" i="9"/>
  <c r="H1456" i="9"/>
  <c r="G1456" i="9"/>
  <c r="E1456" i="9"/>
  <c r="D1456" i="9"/>
  <c r="B1456" i="9"/>
  <c r="H1455" i="9"/>
  <c r="G1455" i="9"/>
  <c r="E1455" i="9"/>
  <c r="D1455" i="9"/>
  <c r="B1455" i="9"/>
  <c r="H1454" i="9"/>
  <c r="G1454" i="9"/>
  <c r="E1454" i="9"/>
  <c r="D1454" i="9"/>
  <c r="B1454" i="9"/>
  <c r="H1453" i="9"/>
  <c r="G1453" i="9"/>
  <c r="E1453" i="9"/>
  <c r="D1453" i="9"/>
  <c r="B1453" i="9"/>
  <c r="H1452" i="9"/>
  <c r="G1452" i="9"/>
  <c r="E1452" i="9"/>
  <c r="D1452" i="9"/>
  <c r="B1452" i="9"/>
  <c r="H1451" i="9"/>
  <c r="G1451" i="9"/>
  <c r="E1451" i="9"/>
  <c r="D1451" i="9"/>
  <c r="B1451" i="9"/>
  <c r="H1450" i="9"/>
  <c r="G1450" i="9"/>
  <c r="E1450" i="9"/>
  <c r="D1450" i="9"/>
  <c r="B1450" i="9"/>
  <c r="H1449" i="9"/>
  <c r="G1449" i="9"/>
  <c r="E1449" i="9"/>
  <c r="D1449" i="9"/>
  <c r="B1449" i="9"/>
  <c r="H1448" i="9"/>
  <c r="G1448" i="9"/>
  <c r="E1448" i="9"/>
  <c r="D1448" i="9"/>
  <c r="B1448" i="9"/>
  <c r="H1447" i="9"/>
  <c r="G1447" i="9"/>
  <c r="E1447" i="9"/>
  <c r="D1447" i="9"/>
  <c r="B1447" i="9"/>
  <c r="H1446" i="9"/>
  <c r="G1446" i="9"/>
  <c r="E1446" i="9"/>
  <c r="D1446" i="9"/>
  <c r="B1446" i="9"/>
  <c r="H1445" i="9"/>
  <c r="G1445" i="9"/>
  <c r="E1445" i="9"/>
  <c r="D1445" i="9"/>
  <c r="B1445" i="9"/>
  <c r="H1444" i="9"/>
  <c r="G1444" i="9"/>
  <c r="E1444" i="9"/>
  <c r="D1444" i="9"/>
  <c r="B1444" i="9"/>
  <c r="H1443" i="9"/>
  <c r="G1443" i="9"/>
  <c r="E1443" i="9"/>
  <c r="D1443" i="9"/>
  <c r="B1443" i="9"/>
  <c r="H1442" i="9"/>
  <c r="G1442" i="9"/>
  <c r="E1442" i="9"/>
  <c r="D1442" i="9"/>
  <c r="B1442" i="9"/>
  <c r="H1441" i="9"/>
  <c r="G1441" i="9"/>
  <c r="E1441" i="9"/>
  <c r="D1441" i="9"/>
  <c r="B1441" i="9"/>
  <c r="H1440" i="9"/>
  <c r="G1440" i="9"/>
  <c r="E1440" i="9"/>
  <c r="D1440" i="9"/>
  <c r="B1440" i="9"/>
  <c r="H1439" i="9"/>
  <c r="G1439" i="9"/>
  <c r="E1439" i="9"/>
  <c r="D1439" i="9"/>
  <c r="B1439" i="9"/>
  <c r="H1438" i="9"/>
  <c r="G1438" i="9"/>
  <c r="E1438" i="9"/>
  <c r="D1438" i="9"/>
  <c r="B1438" i="9"/>
  <c r="H1437" i="9"/>
  <c r="G1437" i="9"/>
  <c r="E1437" i="9"/>
  <c r="D1437" i="9"/>
  <c r="B1437" i="9"/>
  <c r="H1436" i="9"/>
  <c r="G1436" i="9"/>
  <c r="E1436" i="9"/>
  <c r="D1436" i="9"/>
  <c r="B1436" i="9"/>
  <c r="H1435" i="9"/>
  <c r="G1435" i="9"/>
  <c r="E1435" i="9"/>
  <c r="D1435" i="9"/>
  <c r="B1435" i="9"/>
  <c r="H1434" i="9"/>
  <c r="G1434" i="9"/>
  <c r="E1434" i="9"/>
  <c r="D1434" i="9"/>
  <c r="B1434" i="9"/>
  <c r="H1433" i="9"/>
  <c r="G1433" i="9"/>
  <c r="E1433" i="9"/>
  <c r="D1433" i="9"/>
  <c r="B1433" i="9"/>
  <c r="H1432" i="9"/>
  <c r="G1432" i="9"/>
  <c r="E1432" i="9"/>
  <c r="D1432" i="9"/>
  <c r="B1432" i="9"/>
  <c r="H1431" i="9"/>
  <c r="G1431" i="9"/>
  <c r="E1431" i="9"/>
  <c r="D1431" i="9"/>
  <c r="B1431" i="9"/>
  <c r="H1430" i="9"/>
  <c r="G1430" i="9"/>
  <c r="E1430" i="9"/>
  <c r="D1430" i="9"/>
  <c r="B1430" i="9"/>
  <c r="H1429" i="9"/>
  <c r="G1429" i="9"/>
  <c r="E1429" i="9"/>
  <c r="D1429" i="9"/>
  <c r="B1429" i="9"/>
  <c r="H1428" i="9"/>
  <c r="G1428" i="9"/>
  <c r="E1428" i="9"/>
  <c r="D1428" i="9"/>
  <c r="B1428" i="9"/>
  <c r="H1427" i="9"/>
  <c r="G1427" i="9"/>
  <c r="E1427" i="9"/>
  <c r="D1427" i="9"/>
  <c r="B1427" i="9"/>
  <c r="H1426" i="9"/>
  <c r="G1426" i="9"/>
  <c r="E1426" i="9"/>
  <c r="D1426" i="9"/>
  <c r="B1426" i="9"/>
  <c r="H1425" i="9"/>
  <c r="G1425" i="9"/>
  <c r="E1425" i="9"/>
  <c r="D1425" i="9"/>
  <c r="B1425" i="9"/>
  <c r="H1424" i="9"/>
  <c r="G1424" i="9"/>
  <c r="E1424" i="9"/>
  <c r="D1424" i="9"/>
  <c r="B1424" i="9"/>
  <c r="H1423" i="9"/>
  <c r="G1423" i="9"/>
  <c r="E1423" i="9"/>
  <c r="D1423" i="9"/>
  <c r="B1423" i="9"/>
  <c r="H1422" i="9"/>
  <c r="G1422" i="9"/>
  <c r="E1422" i="9"/>
  <c r="D1422" i="9"/>
  <c r="B1422" i="9"/>
  <c r="H1421" i="9"/>
  <c r="G1421" i="9"/>
  <c r="E1421" i="9"/>
  <c r="D1421" i="9"/>
  <c r="B1421" i="9"/>
  <c r="H1420" i="9"/>
  <c r="G1420" i="9"/>
  <c r="E1420" i="9"/>
  <c r="D1420" i="9"/>
  <c r="B1420" i="9"/>
  <c r="H1419" i="9"/>
  <c r="G1419" i="9"/>
  <c r="E1419" i="9"/>
  <c r="D1419" i="9"/>
  <c r="B1419" i="9"/>
  <c r="H1418" i="9"/>
  <c r="G1418" i="9"/>
  <c r="E1418" i="9"/>
  <c r="D1418" i="9"/>
  <c r="B1418" i="9"/>
  <c r="H1417" i="9"/>
  <c r="G1417" i="9"/>
  <c r="E1417" i="9"/>
  <c r="D1417" i="9"/>
  <c r="B1417" i="9"/>
  <c r="H1416" i="9"/>
  <c r="G1416" i="9"/>
  <c r="E1416" i="9"/>
  <c r="D1416" i="9"/>
  <c r="B1416" i="9"/>
  <c r="H1415" i="9"/>
  <c r="G1415" i="9"/>
  <c r="E1415" i="9"/>
  <c r="D1415" i="9"/>
  <c r="B1415" i="9"/>
  <c r="H1414" i="9"/>
  <c r="G1414" i="9"/>
  <c r="E1414" i="9"/>
  <c r="D1414" i="9"/>
  <c r="B1414" i="9"/>
  <c r="H1413" i="9"/>
  <c r="G1413" i="9"/>
  <c r="E1413" i="9"/>
  <c r="D1413" i="9"/>
  <c r="B1413" i="9"/>
  <c r="H1412" i="9"/>
  <c r="G1412" i="9"/>
  <c r="E1412" i="9"/>
  <c r="D1412" i="9"/>
  <c r="B1412" i="9"/>
  <c r="H1411" i="9"/>
  <c r="G1411" i="9"/>
  <c r="E1411" i="9"/>
  <c r="D1411" i="9"/>
  <c r="B1411" i="9"/>
  <c r="H1410" i="9"/>
  <c r="G1410" i="9"/>
  <c r="E1410" i="9"/>
  <c r="D1410" i="9"/>
  <c r="B1410" i="9"/>
  <c r="H1409" i="9"/>
  <c r="G1409" i="9"/>
  <c r="E1409" i="9"/>
  <c r="D1409" i="9"/>
  <c r="B1409" i="9"/>
  <c r="H1408" i="9"/>
  <c r="G1408" i="9"/>
  <c r="E1408" i="9"/>
  <c r="D1408" i="9"/>
  <c r="B1408" i="9"/>
  <c r="H1407" i="9"/>
  <c r="G1407" i="9"/>
  <c r="E1407" i="9"/>
  <c r="D1407" i="9"/>
  <c r="B1407" i="9"/>
  <c r="H1406" i="9"/>
  <c r="G1406" i="9"/>
  <c r="E1406" i="9"/>
  <c r="D1406" i="9"/>
  <c r="B1406" i="9"/>
  <c r="H1405" i="9"/>
  <c r="G1405" i="9"/>
  <c r="E1405" i="9"/>
  <c r="D1405" i="9"/>
  <c r="B1405" i="9"/>
  <c r="H1404" i="9"/>
  <c r="G1404" i="9"/>
  <c r="E1404" i="9"/>
  <c r="D1404" i="9"/>
  <c r="B1404" i="9"/>
  <c r="H1403" i="9"/>
  <c r="G1403" i="9"/>
  <c r="E1403" i="9"/>
  <c r="D1403" i="9"/>
  <c r="B1403" i="9"/>
  <c r="H1402" i="9"/>
  <c r="G1402" i="9"/>
  <c r="E1402" i="9"/>
  <c r="D1402" i="9"/>
  <c r="B1402" i="9"/>
  <c r="H1401" i="9"/>
  <c r="G1401" i="9"/>
  <c r="E1401" i="9"/>
  <c r="D1401" i="9"/>
  <c r="B1401" i="9"/>
  <c r="H1400" i="9"/>
  <c r="G1400" i="9"/>
  <c r="E1400" i="9"/>
  <c r="D1400" i="9"/>
  <c r="B1400" i="9"/>
  <c r="H1399" i="9"/>
  <c r="G1399" i="9"/>
  <c r="E1399" i="9"/>
  <c r="D1399" i="9"/>
  <c r="B1399" i="9"/>
  <c r="H1398" i="9"/>
  <c r="G1398" i="9"/>
  <c r="E1398" i="9"/>
  <c r="D1398" i="9"/>
  <c r="B1398" i="9"/>
  <c r="H1397" i="9"/>
  <c r="G1397" i="9"/>
  <c r="E1397" i="9"/>
  <c r="D1397" i="9"/>
  <c r="B1397" i="9"/>
  <c r="H1396" i="9"/>
  <c r="G1396" i="9"/>
  <c r="E1396" i="9"/>
  <c r="D1396" i="9"/>
  <c r="B1396" i="9"/>
  <c r="H1395" i="9"/>
  <c r="G1395" i="9"/>
  <c r="E1395" i="9"/>
  <c r="D1395" i="9"/>
  <c r="B1395" i="9"/>
  <c r="H1394" i="9"/>
  <c r="G1394" i="9"/>
  <c r="E1394" i="9"/>
  <c r="D1394" i="9"/>
  <c r="B1394" i="9"/>
  <c r="H1393" i="9"/>
  <c r="G1393" i="9"/>
  <c r="E1393" i="9"/>
  <c r="D1393" i="9"/>
  <c r="B1393" i="9"/>
  <c r="H1392" i="9"/>
  <c r="G1392" i="9"/>
  <c r="E1392" i="9"/>
  <c r="D1392" i="9"/>
  <c r="B1392" i="9"/>
  <c r="H1391" i="9"/>
  <c r="G1391" i="9"/>
  <c r="E1391" i="9"/>
  <c r="D1391" i="9"/>
  <c r="B1391" i="9"/>
  <c r="H1390" i="9"/>
  <c r="G1390" i="9"/>
  <c r="E1390" i="9"/>
  <c r="D1390" i="9"/>
  <c r="B1390" i="9"/>
  <c r="H1389" i="9"/>
  <c r="G1389" i="9"/>
  <c r="E1389" i="9"/>
  <c r="D1389" i="9"/>
  <c r="B1389" i="9"/>
  <c r="H1388" i="9"/>
  <c r="G1388" i="9"/>
  <c r="E1388" i="9"/>
  <c r="D1388" i="9"/>
  <c r="B1388" i="9"/>
  <c r="H1387" i="9"/>
  <c r="G1387" i="9"/>
  <c r="E1387" i="9"/>
  <c r="D1387" i="9"/>
  <c r="B1387" i="9"/>
  <c r="H1386" i="9"/>
  <c r="G1386" i="9"/>
  <c r="E1386" i="9"/>
  <c r="D1386" i="9"/>
  <c r="B1386" i="9"/>
  <c r="H1385" i="9"/>
  <c r="G1385" i="9"/>
  <c r="E1385" i="9"/>
  <c r="D1385" i="9"/>
  <c r="B1385" i="9"/>
  <c r="H1384" i="9"/>
  <c r="G1384" i="9"/>
  <c r="E1384" i="9"/>
  <c r="D1384" i="9"/>
  <c r="B1384" i="9"/>
  <c r="H1383" i="9"/>
  <c r="G1383" i="9"/>
  <c r="E1383" i="9"/>
  <c r="D1383" i="9"/>
  <c r="B1383" i="9"/>
  <c r="H1382" i="9"/>
  <c r="G1382" i="9"/>
  <c r="E1382" i="9"/>
  <c r="D1382" i="9"/>
  <c r="B1382" i="9"/>
  <c r="H1381" i="9"/>
  <c r="G1381" i="9"/>
  <c r="E1381" i="9"/>
  <c r="D1381" i="9"/>
  <c r="B1381" i="9"/>
  <c r="H1380" i="9"/>
  <c r="G1380" i="9"/>
  <c r="E1380" i="9"/>
  <c r="D1380" i="9"/>
  <c r="B1380" i="9"/>
  <c r="H1379" i="9"/>
  <c r="G1379" i="9"/>
  <c r="E1379" i="9"/>
  <c r="D1379" i="9"/>
  <c r="B1379" i="9"/>
  <c r="H1378" i="9"/>
  <c r="G1378" i="9"/>
  <c r="E1378" i="9"/>
  <c r="D1378" i="9"/>
  <c r="B1378" i="9"/>
  <c r="H1377" i="9"/>
  <c r="G1377" i="9"/>
  <c r="E1377" i="9"/>
  <c r="D1377" i="9"/>
  <c r="B1377" i="9"/>
  <c r="H1376" i="9"/>
  <c r="G1376" i="9"/>
  <c r="E1376" i="9"/>
  <c r="D1376" i="9"/>
  <c r="B1376" i="9"/>
  <c r="H1375" i="9"/>
  <c r="G1375" i="9"/>
  <c r="E1375" i="9"/>
  <c r="D1375" i="9"/>
  <c r="B1375" i="9"/>
  <c r="H1374" i="9"/>
  <c r="G1374" i="9"/>
  <c r="E1374" i="9"/>
  <c r="D1374" i="9"/>
  <c r="B1374" i="9"/>
  <c r="H1373" i="9"/>
  <c r="G1373" i="9"/>
  <c r="E1373" i="9"/>
  <c r="D1373" i="9"/>
  <c r="B1373" i="9"/>
  <c r="H1372" i="9"/>
  <c r="G1372" i="9"/>
  <c r="E1372" i="9"/>
  <c r="D1372" i="9"/>
  <c r="B1372" i="9"/>
  <c r="H1371" i="9"/>
  <c r="G1371" i="9"/>
  <c r="E1371" i="9"/>
  <c r="D1371" i="9"/>
  <c r="B1371" i="9"/>
  <c r="H1370" i="9"/>
  <c r="G1370" i="9"/>
  <c r="E1370" i="9"/>
  <c r="D1370" i="9"/>
  <c r="B1370" i="9"/>
  <c r="H1369" i="9"/>
  <c r="G1369" i="9"/>
  <c r="E1369" i="9"/>
  <c r="D1369" i="9"/>
  <c r="B1369" i="9"/>
  <c r="H1368" i="9"/>
  <c r="G1368" i="9"/>
  <c r="E1368" i="9"/>
  <c r="D1368" i="9"/>
  <c r="B1368" i="9"/>
  <c r="H1367" i="9"/>
  <c r="G1367" i="9"/>
  <c r="E1367" i="9"/>
  <c r="D1367" i="9"/>
  <c r="B1367" i="9"/>
  <c r="H1366" i="9"/>
  <c r="G1366" i="9"/>
  <c r="E1366" i="9"/>
  <c r="D1366" i="9"/>
  <c r="B1366" i="9"/>
  <c r="H1365" i="9"/>
  <c r="G1365" i="9"/>
  <c r="E1365" i="9"/>
  <c r="D1365" i="9"/>
  <c r="B1365" i="9"/>
  <c r="H1364" i="9"/>
  <c r="G1364" i="9"/>
  <c r="E1364" i="9"/>
  <c r="D1364" i="9"/>
  <c r="B1364" i="9"/>
  <c r="H1363" i="9"/>
  <c r="G1363" i="9"/>
  <c r="E1363" i="9"/>
  <c r="D1363" i="9"/>
  <c r="B1363" i="9"/>
  <c r="H1362" i="9"/>
  <c r="G1362" i="9"/>
  <c r="E1362" i="9"/>
  <c r="D1362" i="9"/>
  <c r="B1362" i="9"/>
  <c r="H1361" i="9"/>
  <c r="G1361" i="9"/>
  <c r="E1361" i="9"/>
  <c r="D1361" i="9"/>
  <c r="B1361" i="9"/>
  <c r="H1360" i="9"/>
  <c r="G1360" i="9"/>
  <c r="E1360" i="9"/>
  <c r="D1360" i="9"/>
  <c r="B1360" i="9"/>
  <c r="H1359" i="9"/>
  <c r="G1359" i="9"/>
  <c r="E1359" i="9"/>
  <c r="D1359" i="9"/>
  <c r="B1359" i="9"/>
  <c r="H1358" i="9"/>
  <c r="G1358" i="9"/>
  <c r="E1358" i="9"/>
  <c r="D1358" i="9"/>
  <c r="B1358" i="9"/>
  <c r="H1357" i="9"/>
  <c r="G1357" i="9"/>
  <c r="E1357" i="9"/>
  <c r="D1357" i="9"/>
  <c r="B1357" i="9"/>
  <c r="H1356" i="9"/>
  <c r="G1356" i="9"/>
  <c r="E1356" i="9"/>
  <c r="D1356" i="9"/>
  <c r="B1356" i="9"/>
  <c r="H1355" i="9"/>
  <c r="G1355" i="9"/>
  <c r="E1355" i="9"/>
  <c r="D1355" i="9"/>
  <c r="B1355" i="9"/>
  <c r="H1354" i="9"/>
  <c r="G1354" i="9"/>
  <c r="E1354" i="9"/>
  <c r="D1354" i="9"/>
  <c r="B1354" i="9"/>
  <c r="H1353" i="9"/>
  <c r="G1353" i="9"/>
  <c r="E1353" i="9"/>
  <c r="D1353" i="9"/>
  <c r="B1353" i="9"/>
  <c r="H1352" i="9"/>
  <c r="G1352" i="9"/>
  <c r="E1352" i="9"/>
  <c r="D1352" i="9"/>
  <c r="B1352" i="9"/>
  <c r="H1351" i="9"/>
  <c r="G1351" i="9"/>
  <c r="E1351" i="9"/>
  <c r="D1351" i="9"/>
  <c r="B1351" i="9"/>
  <c r="H1350" i="9"/>
  <c r="G1350" i="9"/>
  <c r="E1350" i="9"/>
  <c r="D1350" i="9"/>
  <c r="B1350" i="9"/>
  <c r="H1349" i="9"/>
  <c r="G1349" i="9"/>
  <c r="E1349" i="9"/>
  <c r="D1349" i="9"/>
  <c r="B1349" i="9"/>
  <c r="H1348" i="9"/>
  <c r="G1348" i="9"/>
  <c r="E1348" i="9"/>
  <c r="D1348" i="9"/>
  <c r="B1348" i="9"/>
  <c r="H1347" i="9"/>
  <c r="G1347" i="9"/>
  <c r="E1347" i="9"/>
  <c r="D1347" i="9"/>
  <c r="B1347" i="9"/>
  <c r="H1346" i="9"/>
  <c r="G1346" i="9"/>
  <c r="E1346" i="9"/>
  <c r="D1346" i="9"/>
  <c r="B1346" i="9"/>
  <c r="H1345" i="9"/>
  <c r="G1345" i="9"/>
  <c r="E1345" i="9"/>
  <c r="D1345" i="9"/>
  <c r="B1345" i="9"/>
  <c r="H1344" i="9"/>
  <c r="G1344" i="9"/>
  <c r="E1344" i="9"/>
  <c r="D1344" i="9"/>
  <c r="B1344" i="9"/>
  <c r="H1343" i="9"/>
  <c r="G1343" i="9"/>
  <c r="E1343" i="9"/>
  <c r="D1343" i="9"/>
  <c r="B1343" i="9"/>
  <c r="H1342" i="9"/>
  <c r="G1342" i="9"/>
  <c r="E1342" i="9"/>
  <c r="D1342" i="9"/>
  <c r="B1342" i="9"/>
  <c r="H1341" i="9"/>
  <c r="G1341" i="9"/>
  <c r="E1341" i="9"/>
  <c r="D1341" i="9"/>
  <c r="B1341" i="9"/>
  <c r="H1340" i="9"/>
  <c r="G1340" i="9"/>
  <c r="E1340" i="9"/>
  <c r="D1340" i="9"/>
  <c r="B1340" i="9"/>
  <c r="H1339" i="9"/>
  <c r="G1339" i="9"/>
  <c r="E1339" i="9"/>
  <c r="D1339" i="9"/>
  <c r="B1339" i="9"/>
  <c r="H1338" i="9"/>
  <c r="G1338" i="9"/>
  <c r="E1338" i="9"/>
  <c r="D1338" i="9"/>
  <c r="B1338" i="9"/>
  <c r="H1337" i="9"/>
  <c r="G1337" i="9"/>
  <c r="E1337" i="9"/>
  <c r="D1337" i="9"/>
  <c r="B1337" i="9"/>
  <c r="H1336" i="9"/>
  <c r="G1336" i="9"/>
  <c r="E1336" i="9"/>
  <c r="D1336" i="9"/>
  <c r="B1336" i="9"/>
  <c r="H1335" i="9"/>
  <c r="G1335" i="9"/>
  <c r="E1335" i="9"/>
  <c r="D1335" i="9"/>
  <c r="B1335" i="9"/>
  <c r="H1334" i="9"/>
  <c r="G1334" i="9"/>
  <c r="E1334" i="9"/>
  <c r="D1334" i="9"/>
  <c r="B1334" i="9"/>
  <c r="H1333" i="9"/>
  <c r="G1333" i="9"/>
  <c r="E1333" i="9"/>
  <c r="D1333" i="9"/>
  <c r="B1333" i="9"/>
  <c r="H1332" i="9"/>
  <c r="G1332" i="9"/>
  <c r="E1332" i="9"/>
  <c r="D1332" i="9"/>
  <c r="B1332" i="9"/>
  <c r="H1331" i="9"/>
  <c r="G1331" i="9"/>
  <c r="E1331" i="9"/>
  <c r="D1331" i="9"/>
  <c r="B1331" i="9"/>
  <c r="H1330" i="9"/>
  <c r="G1330" i="9"/>
  <c r="E1330" i="9"/>
  <c r="D1330" i="9"/>
  <c r="B1330" i="9"/>
  <c r="H1329" i="9"/>
  <c r="G1329" i="9"/>
  <c r="E1329" i="9"/>
  <c r="D1329" i="9"/>
  <c r="B1329" i="9"/>
  <c r="H1328" i="9"/>
  <c r="G1328" i="9"/>
  <c r="E1328" i="9"/>
  <c r="D1328" i="9"/>
  <c r="B1328" i="9"/>
  <c r="H1327" i="9"/>
  <c r="G1327" i="9"/>
  <c r="E1327" i="9"/>
  <c r="D1327" i="9"/>
  <c r="B1327" i="9"/>
  <c r="H1326" i="9"/>
  <c r="G1326" i="9"/>
  <c r="E1326" i="9"/>
  <c r="D1326" i="9"/>
  <c r="B1326" i="9"/>
  <c r="H1325" i="9"/>
  <c r="G1325" i="9"/>
  <c r="E1325" i="9"/>
  <c r="D1325" i="9"/>
  <c r="B1325" i="9"/>
  <c r="H1324" i="9"/>
  <c r="G1324" i="9"/>
  <c r="E1324" i="9"/>
  <c r="D1324" i="9"/>
  <c r="B1324" i="9"/>
  <c r="H1323" i="9"/>
  <c r="G1323" i="9"/>
  <c r="E1323" i="9"/>
  <c r="D1323" i="9"/>
  <c r="B1323" i="9"/>
  <c r="H1322" i="9"/>
  <c r="G1322" i="9"/>
  <c r="E1322" i="9"/>
  <c r="D1322" i="9"/>
  <c r="B1322" i="9"/>
  <c r="H1321" i="9"/>
  <c r="G1321" i="9"/>
  <c r="E1321" i="9"/>
  <c r="D1321" i="9"/>
  <c r="B1321" i="9"/>
  <c r="H1320" i="9"/>
  <c r="G1320" i="9"/>
  <c r="E1320" i="9"/>
  <c r="D1320" i="9"/>
  <c r="B1320" i="9"/>
  <c r="H1319" i="9"/>
  <c r="G1319" i="9"/>
  <c r="E1319" i="9"/>
  <c r="D1319" i="9"/>
  <c r="B1319" i="9"/>
  <c r="H1318" i="9"/>
  <c r="G1318" i="9"/>
  <c r="E1318" i="9"/>
  <c r="D1318" i="9"/>
  <c r="B1318" i="9"/>
  <c r="H1317" i="9"/>
  <c r="G1317" i="9"/>
  <c r="E1317" i="9"/>
  <c r="D1317" i="9"/>
  <c r="B1317" i="9"/>
  <c r="H1316" i="9"/>
  <c r="G1316" i="9"/>
  <c r="E1316" i="9"/>
  <c r="D1316" i="9"/>
  <c r="B1316" i="9"/>
  <c r="H1315" i="9"/>
  <c r="G1315" i="9"/>
  <c r="E1315" i="9"/>
  <c r="D1315" i="9"/>
  <c r="B1315" i="9"/>
  <c r="H1314" i="9"/>
  <c r="G1314" i="9"/>
  <c r="E1314" i="9"/>
  <c r="D1314" i="9"/>
  <c r="B1314" i="9"/>
  <c r="H1313" i="9"/>
  <c r="G1313" i="9"/>
  <c r="E1313" i="9"/>
  <c r="D1313" i="9"/>
  <c r="B1313" i="9"/>
  <c r="H1312" i="9"/>
  <c r="G1312" i="9"/>
  <c r="E1312" i="9"/>
  <c r="D1312" i="9"/>
  <c r="B1312" i="9"/>
  <c r="H1311" i="9"/>
  <c r="G1311" i="9"/>
  <c r="E1311" i="9"/>
  <c r="D1311" i="9"/>
  <c r="B1311" i="9"/>
  <c r="H1310" i="9"/>
  <c r="G1310" i="9"/>
  <c r="E1310" i="9"/>
  <c r="D1310" i="9"/>
  <c r="B1310" i="9"/>
  <c r="H1309" i="9"/>
  <c r="G1309" i="9"/>
  <c r="E1309" i="9"/>
  <c r="D1309" i="9"/>
  <c r="B1309" i="9"/>
  <c r="H1308" i="9"/>
  <c r="G1308" i="9"/>
  <c r="E1308" i="9"/>
  <c r="D1308" i="9"/>
  <c r="B1308" i="9"/>
  <c r="H1307" i="9"/>
  <c r="G1307" i="9"/>
  <c r="E1307" i="9"/>
  <c r="D1307" i="9"/>
  <c r="B1307" i="9"/>
  <c r="H1306" i="9"/>
  <c r="G1306" i="9"/>
  <c r="E1306" i="9"/>
  <c r="D1306" i="9"/>
  <c r="B1306" i="9"/>
  <c r="H1305" i="9"/>
  <c r="G1305" i="9"/>
  <c r="E1305" i="9"/>
  <c r="D1305" i="9"/>
  <c r="B1305" i="9"/>
  <c r="H1304" i="9"/>
  <c r="G1304" i="9"/>
  <c r="E1304" i="9"/>
  <c r="D1304" i="9"/>
  <c r="B1304" i="9"/>
  <c r="H1303" i="9"/>
  <c r="G1303" i="9"/>
  <c r="E1303" i="9"/>
  <c r="D1303" i="9"/>
  <c r="B1303" i="9"/>
  <c r="H1302" i="9"/>
  <c r="G1302" i="9"/>
  <c r="E1302" i="9"/>
  <c r="D1302" i="9"/>
  <c r="B1302" i="9"/>
  <c r="H1301" i="9"/>
  <c r="G1301" i="9"/>
  <c r="E1301" i="9"/>
  <c r="D1301" i="9"/>
  <c r="B1301" i="9"/>
  <c r="H1300" i="9"/>
  <c r="G1300" i="9"/>
  <c r="E1300" i="9"/>
  <c r="D1300" i="9"/>
  <c r="B1300" i="9"/>
  <c r="H1299" i="9"/>
  <c r="G1299" i="9"/>
  <c r="E1299" i="9"/>
  <c r="D1299" i="9"/>
  <c r="B1299" i="9"/>
  <c r="H1298" i="9"/>
  <c r="G1298" i="9"/>
  <c r="E1298" i="9"/>
  <c r="D1298" i="9"/>
  <c r="B1298" i="9"/>
  <c r="H1297" i="9"/>
  <c r="G1297" i="9"/>
  <c r="E1297" i="9"/>
  <c r="D1297" i="9"/>
  <c r="B1297" i="9"/>
  <c r="H1296" i="9"/>
  <c r="G1296" i="9"/>
  <c r="E1296" i="9"/>
  <c r="D1296" i="9"/>
  <c r="B1296" i="9"/>
  <c r="H1295" i="9"/>
  <c r="G1295" i="9"/>
  <c r="E1295" i="9"/>
  <c r="D1295" i="9"/>
  <c r="B1295" i="9"/>
  <c r="H1294" i="9"/>
  <c r="G1294" i="9"/>
  <c r="E1294" i="9"/>
  <c r="D1294" i="9"/>
  <c r="B1294" i="9"/>
  <c r="H1293" i="9"/>
  <c r="G1293" i="9"/>
  <c r="E1293" i="9"/>
  <c r="D1293" i="9"/>
  <c r="B1293" i="9"/>
  <c r="H1292" i="9"/>
  <c r="G1292" i="9"/>
  <c r="E1292" i="9"/>
  <c r="D1292" i="9"/>
  <c r="B1292" i="9"/>
  <c r="H1291" i="9"/>
  <c r="G1291" i="9"/>
  <c r="E1291" i="9"/>
  <c r="D1291" i="9"/>
  <c r="B1291" i="9"/>
  <c r="H1290" i="9"/>
  <c r="G1290" i="9"/>
  <c r="E1290" i="9"/>
  <c r="D1290" i="9"/>
  <c r="B1290" i="9"/>
  <c r="H1289" i="9"/>
  <c r="G1289" i="9"/>
  <c r="E1289" i="9"/>
  <c r="D1289" i="9"/>
  <c r="B1289" i="9"/>
  <c r="H1288" i="9"/>
  <c r="G1288" i="9"/>
  <c r="E1288" i="9"/>
  <c r="D1288" i="9"/>
  <c r="B1288" i="9"/>
  <c r="H1287" i="9"/>
  <c r="G1287" i="9"/>
  <c r="E1287" i="9"/>
  <c r="D1287" i="9"/>
  <c r="B1287" i="9"/>
  <c r="H1286" i="9"/>
  <c r="G1286" i="9"/>
  <c r="E1286" i="9"/>
  <c r="D1286" i="9"/>
  <c r="B1286" i="9"/>
  <c r="H1285" i="9"/>
  <c r="G1285" i="9"/>
  <c r="E1285" i="9"/>
  <c r="D1285" i="9"/>
  <c r="B1285" i="9"/>
  <c r="H1284" i="9"/>
  <c r="G1284" i="9"/>
  <c r="E1284" i="9"/>
  <c r="D1284" i="9"/>
  <c r="B1284" i="9"/>
  <c r="H1283" i="9"/>
  <c r="G1283" i="9"/>
  <c r="E1283" i="9"/>
  <c r="D1283" i="9"/>
  <c r="B1283" i="9"/>
  <c r="H1282" i="9"/>
  <c r="G1282" i="9"/>
  <c r="E1282" i="9"/>
  <c r="D1282" i="9"/>
  <c r="B1282" i="9"/>
  <c r="H1281" i="9"/>
  <c r="G1281" i="9"/>
  <c r="E1281" i="9"/>
  <c r="D1281" i="9"/>
  <c r="B1281" i="9"/>
  <c r="H1280" i="9"/>
  <c r="G1280" i="9"/>
  <c r="E1280" i="9"/>
  <c r="D1280" i="9"/>
  <c r="B1280" i="9"/>
  <c r="H1279" i="9"/>
  <c r="G1279" i="9"/>
  <c r="E1279" i="9"/>
  <c r="D1279" i="9"/>
  <c r="B1279" i="9"/>
  <c r="H1278" i="9"/>
  <c r="G1278" i="9"/>
  <c r="E1278" i="9"/>
  <c r="D1278" i="9"/>
  <c r="B1278" i="9"/>
  <c r="H1277" i="9"/>
  <c r="G1277" i="9"/>
  <c r="E1277" i="9"/>
  <c r="D1277" i="9"/>
  <c r="B1277" i="9"/>
  <c r="H1276" i="9"/>
  <c r="G1276" i="9"/>
  <c r="E1276" i="9"/>
  <c r="D1276" i="9"/>
  <c r="B1276" i="9"/>
  <c r="H1275" i="9"/>
  <c r="G1275" i="9"/>
  <c r="E1275" i="9"/>
  <c r="D1275" i="9"/>
  <c r="B1275" i="9"/>
  <c r="H1274" i="9"/>
  <c r="G1274" i="9"/>
  <c r="E1274" i="9"/>
  <c r="D1274" i="9"/>
  <c r="B1274" i="9"/>
  <c r="H1273" i="9"/>
  <c r="G1273" i="9"/>
  <c r="E1273" i="9"/>
  <c r="D1273" i="9"/>
  <c r="B1273" i="9"/>
  <c r="H1272" i="9"/>
  <c r="G1272" i="9"/>
  <c r="E1272" i="9"/>
  <c r="D1272" i="9"/>
  <c r="B1272" i="9"/>
  <c r="H1271" i="9"/>
  <c r="G1271" i="9"/>
  <c r="E1271" i="9"/>
  <c r="D1271" i="9"/>
  <c r="B1271" i="9"/>
  <c r="H1270" i="9"/>
  <c r="G1270" i="9"/>
  <c r="E1270" i="9"/>
  <c r="D1270" i="9"/>
  <c r="B1270" i="9"/>
  <c r="H1269" i="9"/>
  <c r="G1269" i="9"/>
  <c r="E1269" i="9"/>
  <c r="D1269" i="9"/>
  <c r="B1269" i="9"/>
  <c r="H1268" i="9"/>
  <c r="G1268" i="9"/>
  <c r="E1268" i="9"/>
  <c r="D1268" i="9"/>
  <c r="B1268" i="9"/>
  <c r="H1267" i="9"/>
  <c r="G1267" i="9"/>
  <c r="E1267" i="9"/>
  <c r="D1267" i="9"/>
  <c r="B1267" i="9"/>
  <c r="H1266" i="9"/>
  <c r="G1266" i="9"/>
  <c r="E1266" i="9"/>
  <c r="D1266" i="9"/>
  <c r="B1266" i="9"/>
  <c r="H1265" i="9"/>
  <c r="G1265" i="9"/>
  <c r="E1265" i="9"/>
  <c r="D1265" i="9"/>
  <c r="B1265" i="9"/>
  <c r="H1264" i="9"/>
  <c r="G1264" i="9"/>
  <c r="E1264" i="9"/>
  <c r="D1264" i="9"/>
  <c r="B1264" i="9"/>
  <c r="H1263" i="9"/>
  <c r="G1263" i="9"/>
  <c r="E1263" i="9"/>
  <c r="D1263" i="9"/>
  <c r="B1263" i="9"/>
  <c r="H1262" i="9"/>
  <c r="G1262" i="9"/>
  <c r="E1262" i="9"/>
  <c r="D1262" i="9"/>
  <c r="B1262" i="9"/>
  <c r="H1261" i="9"/>
  <c r="G1261" i="9"/>
  <c r="E1261" i="9"/>
  <c r="D1261" i="9"/>
  <c r="B1261" i="9"/>
  <c r="H1260" i="9"/>
  <c r="G1260" i="9"/>
  <c r="E1260" i="9"/>
  <c r="D1260" i="9"/>
  <c r="B1260" i="9"/>
  <c r="H1259" i="9"/>
  <c r="G1259" i="9"/>
  <c r="E1259" i="9"/>
  <c r="D1259" i="9"/>
  <c r="B1259" i="9"/>
  <c r="H1258" i="9"/>
  <c r="G1258" i="9"/>
  <c r="E1258" i="9"/>
  <c r="D1258" i="9"/>
  <c r="B1258" i="9"/>
  <c r="H1257" i="9"/>
  <c r="G1257" i="9"/>
  <c r="E1257" i="9"/>
  <c r="D1257" i="9"/>
  <c r="B1257" i="9"/>
  <c r="H1256" i="9"/>
  <c r="G1256" i="9"/>
  <c r="E1256" i="9"/>
  <c r="D1256" i="9"/>
  <c r="B1256" i="9"/>
  <c r="H1255" i="9"/>
  <c r="G1255" i="9"/>
  <c r="E1255" i="9"/>
  <c r="D1255" i="9"/>
  <c r="B1255" i="9"/>
  <c r="H1254" i="9"/>
  <c r="G1254" i="9"/>
  <c r="E1254" i="9"/>
  <c r="D1254" i="9"/>
  <c r="B1254" i="9"/>
  <c r="H1253" i="9"/>
  <c r="G1253" i="9"/>
  <c r="E1253" i="9"/>
  <c r="D1253" i="9"/>
  <c r="B1253" i="9"/>
  <c r="H1252" i="9"/>
  <c r="G1252" i="9"/>
  <c r="E1252" i="9"/>
  <c r="D1252" i="9"/>
  <c r="B1252" i="9"/>
  <c r="H1251" i="9"/>
  <c r="G1251" i="9"/>
  <c r="E1251" i="9"/>
  <c r="D1251" i="9"/>
  <c r="B1251" i="9"/>
  <c r="H1250" i="9"/>
  <c r="G1250" i="9"/>
  <c r="E1250" i="9"/>
  <c r="D1250" i="9"/>
  <c r="B1250" i="9"/>
  <c r="H1249" i="9"/>
  <c r="G1249" i="9"/>
  <c r="E1249" i="9"/>
  <c r="D1249" i="9"/>
  <c r="B1249" i="9"/>
  <c r="H1248" i="9"/>
  <c r="G1248" i="9"/>
  <c r="E1248" i="9"/>
  <c r="D1248" i="9"/>
  <c r="B1248" i="9"/>
  <c r="H1247" i="9"/>
  <c r="G1247" i="9"/>
  <c r="E1247" i="9"/>
  <c r="D1247" i="9"/>
  <c r="B1247" i="9"/>
  <c r="H1246" i="9"/>
  <c r="G1246" i="9"/>
  <c r="E1246" i="9"/>
  <c r="D1246" i="9"/>
  <c r="B1246" i="9"/>
  <c r="H1245" i="9"/>
  <c r="G1245" i="9"/>
  <c r="E1245" i="9"/>
  <c r="D1245" i="9"/>
  <c r="B1245" i="9"/>
  <c r="H1244" i="9"/>
  <c r="G1244" i="9"/>
  <c r="E1244" i="9"/>
  <c r="D1244" i="9"/>
  <c r="B1244" i="9"/>
  <c r="H1243" i="9"/>
  <c r="G1243" i="9"/>
  <c r="E1243" i="9"/>
  <c r="D1243" i="9"/>
  <c r="B1243" i="9"/>
  <c r="H1242" i="9"/>
  <c r="G1242" i="9"/>
  <c r="E1242" i="9"/>
  <c r="D1242" i="9"/>
  <c r="B1242" i="9"/>
  <c r="H1241" i="9"/>
  <c r="G1241" i="9"/>
  <c r="E1241" i="9"/>
  <c r="D1241" i="9"/>
  <c r="B1241" i="9"/>
  <c r="H1240" i="9"/>
  <c r="G1240" i="9"/>
  <c r="E1240" i="9"/>
  <c r="D1240" i="9"/>
  <c r="B1240" i="9"/>
  <c r="H1239" i="9"/>
  <c r="G1239" i="9"/>
  <c r="E1239" i="9"/>
  <c r="D1239" i="9"/>
  <c r="B1239" i="9"/>
  <c r="H1238" i="9"/>
  <c r="G1238" i="9"/>
  <c r="E1238" i="9"/>
  <c r="D1238" i="9"/>
  <c r="B1238" i="9"/>
  <c r="H1237" i="9"/>
  <c r="G1237" i="9"/>
  <c r="E1237" i="9"/>
  <c r="D1237" i="9"/>
  <c r="B1237" i="9"/>
  <c r="H1236" i="9"/>
  <c r="G1236" i="9"/>
  <c r="E1236" i="9"/>
  <c r="D1236" i="9"/>
  <c r="B1236" i="9"/>
  <c r="H1235" i="9"/>
  <c r="G1235" i="9"/>
  <c r="E1235" i="9"/>
  <c r="D1235" i="9"/>
  <c r="B1235" i="9"/>
  <c r="H1234" i="9"/>
  <c r="G1234" i="9"/>
  <c r="E1234" i="9"/>
  <c r="D1234" i="9"/>
  <c r="B1234" i="9"/>
  <c r="H1233" i="9"/>
  <c r="G1233" i="9"/>
  <c r="E1233" i="9"/>
  <c r="D1233" i="9"/>
  <c r="B1233" i="9"/>
  <c r="H1232" i="9"/>
  <c r="G1232" i="9"/>
  <c r="E1232" i="9"/>
  <c r="D1232" i="9"/>
  <c r="B1232" i="9"/>
  <c r="H1231" i="9"/>
  <c r="G1231" i="9"/>
  <c r="E1231" i="9"/>
  <c r="D1231" i="9"/>
  <c r="B1231" i="9"/>
  <c r="H1230" i="9"/>
  <c r="G1230" i="9"/>
  <c r="E1230" i="9"/>
  <c r="D1230" i="9"/>
  <c r="B1230" i="9"/>
  <c r="H1229" i="9"/>
  <c r="G1229" i="9"/>
  <c r="E1229" i="9"/>
  <c r="D1229" i="9"/>
  <c r="B1229" i="9"/>
  <c r="H1228" i="9"/>
  <c r="G1228" i="9"/>
  <c r="E1228" i="9"/>
  <c r="D1228" i="9"/>
  <c r="B1228" i="9"/>
  <c r="H1227" i="9"/>
  <c r="G1227" i="9"/>
  <c r="E1227" i="9"/>
  <c r="D1227" i="9"/>
  <c r="B1227" i="9"/>
  <c r="H1226" i="9"/>
  <c r="G1226" i="9"/>
  <c r="E1226" i="9"/>
  <c r="D1226" i="9"/>
  <c r="B1226" i="9"/>
  <c r="H1225" i="9"/>
  <c r="G1225" i="9"/>
  <c r="E1225" i="9"/>
  <c r="D1225" i="9"/>
  <c r="B1225" i="9"/>
  <c r="H1224" i="9"/>
  <c r="G1224" i="9"/>
  <c r="E1224" i="9"/>
  <c r="D1224" i="9"/>
  <c r="B1224" i="9"/>
  <c r="H1223" i="9"/>
  <c r="G1223" i="9"/>
  <c r="E1223" i="9"/>
  <c r="D1223" i="9"/>
  <c r="B1223" i="9"/>
  <c r="H1222" i="9"/>
  <c r="G1222" i="9"/>
  <c r="E1222" i="9"/>
  <c r="D1222" i="9"/>
  <c r="B1222" i="9"/>
  <c r="H1221" i="9"/>
  <c r="G1221" i="9"/>
  <c r="E1221" i="9"/>
  <c r="D1221" i="9"/>
  <c r="B1221" i="9"/>
  <c r="H1220" i="9"/>
  <c r="G1220" i="9"/>
  <c r="E1220" i="9"/>
  <c r="D1220" i="9"/>
  <c r="B1220" i="9"/>
  <c r="H1219" i="9"/>
  <c r="G1219" i="9"/>
  <c r="E1219" i="9"/>
  <c r="D1219" i="9"/>
  <c r="B1219" i="9"/>
  <c r="H1218" i="9"/>
  <c r="G1218" i="9"/>
  <c r="E1218" i="9"/>
  <c r="D1218" i="9"/>
  <c r="B1218" i="9"/>
  <c r="H1217" i="9"/>
  <c r="G1217" i="9"/>
  <c r="E1217" i="9"/>
  <c r="D1217" i="9"/>
  <c r="B1217" i="9"/>
  <c r="H1216" i="9"/>
  <c r="G1216" i="9"/>
  <c r="E1216" i="9"/>
  <c r="D1216" i="9"/>
  <c r="B1216" i="9"/>
  <c r="H1215" i="9"/>
  <c r="G1215" i="9"/>
  <c r="E1215" i="9"/>
  <c r="D1215" i="9"/>
  <c r="B1215" i="9"/>
  <c r="H1214" i="9"/>
  <c r="G1214" i="9"/>
  <c r="E1214" i="9"/>
  <c r="D1214" i="9"/>
  <c r="B1214" i="9"/>
  <c r="H1213" i="9"/>
  <c r="G1213" i="9"/>
  <c r="E1213" i="9"/>
  <c r="D1213" i="9"/>
  <c r="B1213" i="9"/>
  <c r="H1212" i="9"/>
  <c r="G1212" i="9"/>
  <c r="E1212" i="9"/>
  <c r="D1212" i="9"/>
  <c r="B1212" i="9"/>
  <c r="H1211" i="9"/>
  <c r="G1211" i="9"/>
  <c r="E1211" i="9"/>
  <c r="D1211" i="9"/>
  <c r="B1211" i="9"/>
  <c r="H1210" i="9"/>
  <c r="G1210" i="9"/>
  <c r="E1210" i="9"/>
  <c r="D1210" i="9"/>
  <c r="B1210" i="9"/>
  <c r="H1209" i="9"/>
  <c r="G1209" i="9"/>
  <c r="E1209" i="9"/>
  <c r="D1209" i="9"/>
  <c r="B1209" i="9"/>
  <c r="H1208" i="9"/>
  <c r="G1208" i="9"/>
  <c r="E1208" i="9"/>
  <c r="D1208" i="9"/>
  <c r="B1208" i="9"/>
  <c r="H1207" i="9"/>
  <c r="G1207" i="9"/>
  <c r="E1207" i="9"/>
  <c r="D1207" i="9"/>
  <c r="B1207" i="9"/>
  <c r="H1206" i="9"/>
  <c r="G1206" i="9"/>
  <c r="E1206" i="9"/>
  <c r="D1206" i="9"/>
  <c r="B1206" i="9"/>
  <c r="H1205" i="9"/>
  <c r="G1205" i="9"/>
  <c r="E1205" i="9"/>
  <c r="D1205" i="9"/>
  <c r="B1205" i="9"/>
  <c r="H1204" i="9"/>
  <c r="G1204" i="9"/>
  <c r="E1204" i="9"/>
  <c r="D1204" i="9"/>
  <c r="B1204" i="9"/>
  <c r="H1203" i="9"/>
  <c r="G1203" i="9"/>
  <c r="E1203" i="9"/>
  <c r="D1203" i="9"/>
  <c r="B1203" i="9"/>
  <c r="H1202" i="9"/>
  <c r="G1202" i="9"/>
  <c r="E1202" i="9"/>
  <c r="D1202" i="9"/>
  <c r="B1202" i="9"/>
  <c r="H1201" i="9"/>
  <c r="G1201" i="9"/>
  <c r="E1201" i="9"/>
  <c r="D1201" i="9"/>
  <c r="B1201" i="9"/>
  <c r="H1200" i="9"/>
  <c r="G1200" i="9"/>
  <c r="E1200" i="9"/>
  <c r="D1200" i="9"/>
  <c r="B1200" i="9"/>
  <c r="H1199" i="9"/>
  <c r="G1199" i="9"/>
  <c r="E1199" i="9"/>
  <c r="D1199" i="9"/>
  <c r="B1199" i="9"/>
  <c r="H1198" i="9"/>
  <c r="G1198" i="9"/>
  <c r="E1198" i="9"/>
  <c r="D1198" i="9"/>
  <c r="B1198" i="9"/>
  <c r="H1197" i="9"/>
  <c r="G1197" i="9"/>
  <c r="E1197" i="9"/>
  <c r="D1197" i="9"/>
  <c r="B1197" i="9"/>
  <c r="H1196" i="9"/>
  <c r="G1196" i="9"/>
  <c r="E1196" i="9"/>
  <c r="D1196" i="9"/>
  <c r="B1196" i="9"/>
  <c r="H1195" i="9"/>
  <c r="G1195" i="9"/>
  <c r="E1195" i="9"/>
  <c r="D1195" i="9"/>
  <c r="B1195" i="9"/>
  <c r="H1194" i="9"/>
  <c r="G1194" i="9"/>
  <c r="E1194" i="9"/>
  <c r="D1194" i="9"/>
  <c r="B1194" i="9"/>
  <c r="H1193" i="9"/>
  <c r="G1193" i="9"/>
  <c r="E1193" i="9"/>
  <c r="D1193" i="9"/>
  <c r="B1193" i="9"/>
  <c r="H1192" i="9"/>
  <c r="G1192" i="9"/>
  <c r="E1192" i="9"/>
  <c r="D1192" i="9"/>
  <c r="B1192" i="9"/>
  <c r="H1191" i="9"/>
  <c r="G1191" i="9"/>
  <c r="E1191" i="9"/>
  <c r="D1191" i="9"/>
  <c r="B1191" i="9"/>
  <c r="H1190" i="9"/>
  <c r="G1190" i="9"/>
  <c r="E1190" i="9"/>
  <c r="D1190" i="9"/>
  <c r="B1190" i="9"/>
  <c r="H1189" i="9"/>
  <c r="G1189" i="9"/>
  <c r="E1189" i="9"/>
  <c r="D1189" i="9"/>
  <c r="B1189" i="9"/>
  <c r="H1188" i="9"/>
  <c r="G1188" i="9"/>
  <c r="E1188" i="9"/>
  <c r="D1188" i="9"/>
  <c r="B1188" i="9"/>
  <c r="H1187" i="9"/>
  <c r="G1187" i="9"/>
  <c r="E1187" i="9"/>
  <c r="D1187" i="9"/>
  <c r="B1187" i="9"/>
  <c r="H1186" i="9"/>
  <c r="G1186" i="9"/>
  <c r="E1186" i="9"/>
  <c r="D1186" i="9"/>
  <c r="B1186" i="9"/>
  <c r="H1185" i="9"/>
  <c r="G1185" i="9"/>
  <c r="E1185" i="9"/>
  <c r="D1185" i="9"/>
  <c r="B1185" i="9"/>
  <c r="H1184" i="9"/>
  <c r="G1184" i="9"/>
  <c r="E1184" i="9"/>
  <c r="D1184" i="9"/>
  <c r="B1184" i="9"/>
  <c r="H1183" i="9"/>
  <c r="G1183" i="9"/>
  <c r="E1183" i="9"/>
  <c r="D1183" i="9"/>
  <c r="B1183" i="9"/>
  <c r="H1182" i="9"/>
  <c r="G1182" i="9"/>
  <c r="E1182" i="9"/>
  <c r="D1182" i="9"/>
  <c r="B1182" i="9"/>
  <c r="H1181" i="9"/>
  <c r="G1181" i="9"/>
  <c r="E1181" i="9"/>
  <c r="D1181" i="9"/>
  <c r="B1181" i="9"/>
  <c r="H1180" i="9"/>
  <c r="G1180" i="9"/>
  <c r="E1180" i="9"/>
  <c r="D1180" i="9"/>
  <c r="B1180" i="9"/>
  <c r="H1179" i="9"/>
  <c r="G1179" i="9"/>
  <c r="E1179" i="9"/>
  <c r="D1179" i="9"/>
  <c r="B1179" i="9"/>
  <c r="H1178" i="9"/>
  <c r="G1178" i="9"/>
  <c r="E1178" i="9"/>
  <c r="D1178" i="9"/>
  <c r="B1178" i="9"/>
  <c r="H1177" i="9"/>
  <c r="G1177" i="9"/>
  <c r="E1177" i="9"/>
  <c r="D1177" i="9"/>
  <c r="B1177" i="9"/>
  <c r="H1176" i="9"/>
  <c r="G1176" i="9"/>
  <c r="E1176" i="9"/>
  <c r="D1176" i="9"/>
  <c r="B1176" i="9"/>
  <c r="H1175" i="9"/>
  <c r="G1175" i="9"/>
  <c r="E1175" i="9"/>
  <c r="D1175" i="9"/>
  <c r="B1175" i="9"/>
  <c r="H1174" i="9"/>
  <c r="G1174" i="9"/>
  <c r="E1174" i="9"/>
  <c r="D1174" i="9"/>
  <c r="B1174" i="9"/>
  <c r="H1173" i="9"/>
  <c r="G1173" i="9"/>
  <c r="E1173" i="9"/>
  <c r="D1173" i="9"/>
  <c r="B1173" i="9"/>
  <c r="H1172" i="9"/>
  <c r="G1172" i="9"/>
  <c r="E1172" i="9"/>
  <c r="D1172" i="9"/>
  <c r="B1172" i="9"/>
  <c r="H1171" i="9"/>
  <c r="G1171" i="9"/>
  <c r="E1171" i="9"/>
  <c r="D1171" i="9"/>
  <c r="B1171" i="9"/>
  <c r="H1170" i="9"/>
  <c r="G1170" i="9"/>
  <c r="E1170" i="9"/>
  <c r="D1170" i="9"/>
  <c r="B1170" i="9"/>
  <c r="H1169" i="9"/>
  <c r="G1169" i="9"/>
  <c r="E1169" i="9"/>
  <c r="D1169" i="9"/>
  <c r="B1169" i="9"/>
  <c r="H1168" i="9"/>
  <c r="G1168" i="9"/>
  <c r="E1168" i="9"/>
  <c r="D1168" i="9"/>
  <c r="B1168" i="9"/>
  <c r="H1167" i="9"/>
  <c r="G1167" i="9"/>
  <c r="E1167" i="9"/>
  <c r="D1167" i="9"/>
  <c r="B1167" i="9"/>
  <c r="H1166" i="9"/>
  <c r="G1166" i="9"/>
  <c r="E1166" i="9"/>
  <c r="D1166" i="9"/>
  <c r="B1166" i="9"/>
  <c r="H1165" i="9"/>
  <c r="G1165" i="9"/>
  <c r="E1165" i="9"/>
  <c r="D1165" i="9"/>
  <c r="B1165" i="9"/>
  <c r="H1164" i="9"/>
  <c r="G1164" i="9"/>
  <c r="E1164" i="9"/>
  <c r="D1164" i="9"/>
  <c r="B1164" i="9"/>
  <c r="H1163" i="9"/>
  <c r="G1163" i="9"/>
  <c r="E1163" i="9"/>
  <c r="D1163" i="9"/>
  <c r="B1163" i="9"/>
  <c r="H1162" i="9"/>
  <c r="G1162" i="9"/>
  <c r="E1162" i="9"/>
  <c r="D1162" i="9"/>
  <c r="B1162" i="9"/>
  <c r="H1161" i="9"/>
  <c r="G1161" i="9"/>
  <c r="E1161" i="9"/>
  <c r="D1161" i="9"/>
  <c r="B1161" i="9"/>
  <c r="H1160" i="9"/>
  <c r="G1160" i="9"/>
  <c r="E1160" i="9"/>
  <c r="D1160" i="9"/>
  <c r="B1160" i="9"/>
  <c r="H1159" i="9"/>
  <c r="G1159" i="9"/>
  <c r="E1159" i="9"/>
  <c r="D1159" i="9"/>
  <c r="B1159" i="9"/>
  <c r="H1158" i="9"/>
  <c r="G1158" i="9"/>
  <c r="E1158" i="9"/>
  <c r="D1158" i="9"/>
  <c r="B1158" i="9"/>
  <c r="H1157" i="9"/>
  <c r="G1157" i="9"/>
  <c r="E1157" i="9"/>
  <c r="D1157" i="9"/>
  <c r="B1157" i="9"/>
  <c r="H1156" i="9"/>
  <c r="G1156" i="9"/>
  <c r="E1156" i="9"/>
  <c r="D1156" i="9"/>
  <c r="B1156" i="9"/>
  <c r="H1155" i="9"/>
  <c r="G1155" i="9"/>
  <c r="E1155" i="9"/>
  <c r="D1155" i="9"/>
  <c r="B1155" i="9"/>
  <c r="H1154" i="9"/>
  <c r="G1154" i="9"/>
  <c r="E1154" i="9"/>
  <c r="D1154" i="9"/>
  <c r="B1154" i="9"/>
  <c r="H1153" i="9"/>
  <c r="G1153" i="9"/>
  <c r="E1153" i="9"/>
  <c r="D1153" i="9"/>
  <c r="B1153" i="9"/>
  <c r="H1152" i="9"/>
  <c r="G1152" i="9"/>
  <c r="E1152" i="9"/>
  <c r="D1152" i="9"/>
  <c r="B1152" i="9"/>
  <c r="H1151" i="9"/>
  <c r="G1151" i="9"/>
  <c r="E1151" i="9"/>
  <c r="D1151" i="9"/>
  <c r="B1151" i="9"/>
  <c r="H1150" i="9"/>
  <c r="G1150" i="9"/>
  <c r="E1150" i="9"/>
  <c r="D1150" i="9"/>
  <c r="B1150" i="9"/>
  <c r="H1149" i="9"/>
  <c r="G1149" i="9"/>
  <c r="E1149" i="9"/>
  <c r="D1149" i="9"/>
  <c r="B1149" i="9"/>
  <c r="H1148" i="9"/>
  <c r="G1148" i="9"/>
  <c r="E1148" i="9"/>
  <c r="D1148" i="9"/>
  <c r="B1148" i="9"/>
  <c r="H1147" i="9"/>
  <c r="G1147" i="9"/>
  <c r="E1147" i="9"/>
  <c r="D1147" i="9"/>
  <c r="B1147" i="9"/>
  <c r="H1146" i="9"/>
  <c r="G1146" i="9"/>
  <c r="E1146" i="9"/>
  <c r="D1146" i="9"/>
  <c r="B1146" i="9"/>
  <c r="H1145" i="9"/>
  <c r="G1145" i="9"/>
  <c r="E1145" i="9"/>
  <c r="D1145" i="9"/>
  <c r="B1145" i="9"/>
  <c r="H1144" i="9"/>
  <c r="G1144" i="9"/>
  <c r="E1144" i="9"/>
  <c r="D1144" i="9"/>
  <c r="B1144" i="9"/>
  <c r="H1143" i="9"/>
  <c r="G1143" i="9"/>
  <c r="E1143" i="9"/>
  <c r="D1143" i="9"/>
  <c r="B1143" i="9"/>
  <c r="H1142" i="9"/>
  <c r="G1142" i="9"/>
  <c r="E1142" i="9"/>
  <c r="D1142" i="9"/>
  <c r="B1142" i="9"/>
  <c r="H1141" i="9"/>
  <c r="G1141" i="9"/>
  <c r="E1141" i="9"/>
  <c r="D1141" i="9"/>
  <c r="B1141" i="9"/>
  <c r="H1140" i="9"/>
  <c r="G1140" i="9"/>
  <c r="E1140" i="9"/>
  <c r="D1140" i="9"/>
  <c r="B1140" i="9"/>
  <c r="H1139" i="9"/>
  <c r="G1139" i="9"/>
  <c r="E1139" i="9"/>
  <c r="D1139" i="9"/>
  <c r="B1139" i="9"/>
  <c r="H1138" i="9"/>
  <c r="G1138" i="9"/>
  <c r="E1138" i="9"/>
  <c r="D1138" i="9"/>
  <c r="B1138" i="9"/>
  <c r="H1137" i="9"/>
  <c r="G1137" i="9"/>
  <c r="E1137" i="9"/>
  <c r="D1137" i="9"/>
  <c r="B1137" i="9"/>
  <c r="H1136" i="9"/>
  <c r="G1136" i="9"/>
  <c r="E1136" i="9"/>
  <c r="D1136" i="9"/>
  <c r="B1136" i="9"/>
  <c r="H1135" i="9"/>
  <c r="G1135" i="9"/>
  <c r="E1135" i="9"/>
  <c r="D1135" i="9"/>
  <c r="B1135" i="9"/>
  <c r="H1134" i="9"/>
  <c r="G1134" i="9"/>
  <c r="E1134" i="9"/>
  <c r="D1134" i="9"/>
  <c r="B1134" i="9"/>
  <c r="H1133" i="9"/>
  <c r="G1133" i="9"/>
  <c r="E1133" i="9"/>
  <c r="D1133" i="9"/>
  <c r="B1133" i="9"/>
  <c r="H1132" i="9"/>
  <c r="G1132" i="9"/>
  <c r="E1132" i="9"/>
  <c r="D1132" i="9"/>
  <c r="B1132" i="9"/>
  <c r="H1131" i="9"/>
  <c r="G1131" i="9"/>
  <c r="E1131" i="9"/>
  <c r="D1131" i="9"/>
  <c r="B1131" i="9"/>
  <c r="H1130" i="9"/>
  <c r="G1130" i="9"/>
  <c r="E1130" i="9"/>
  <c r="D1130" i="9"/>
  <c r="B1130" i="9"/>
  <c r="H1129" i="9"/>
  <c r="G1129" i="9"/>
  <c r="E1129" i="9"/>
  <c r="D1129" i="9"/>
  <c r="B1129" i="9"/>
  <c r="H1128" i="9"/>
  <c r="G1128" i="9"/>
  <c r="E1128" i="9"/>
  <c r="D1128" i="9"/>
  <c r="B1128" i="9"/>
  <c r="H1127" i="9"/>
  <c r="G1127" i="9"/>
  <c r="E1127" i="9"/>
  <c r="D1127" i="9"/>
  <c r="B1127" i="9"/>
  <c r="H1126" i="9"/>
  <c r="G1126" i="9"/>
  <c r="E1126" i="9"/>
  <c r="D1126" i="9"/>
  <c r="B1126" i="9"/>
  <c r="H1125" i="9"/>
  <c r="G1125" i="9"/>
  <c r="E1125" i="9"/>
  <c r="D1125" i="9"/>
  <c r="B1125" i="9"/>
  <c r="H1124" i="9"/>
  <c r="G1124" i="9"/>
  <c r="E1124" i="9"/>
  <c r="D1124" i="9"/>
  <c r="B1124" i="9"/>
  <c r="H1123" i="9"/>
  <c r="G1123" i="9"/>
  <c r="E1123" i="9"/>
  <c r="D1123" i="9"/>
  <c r="B1123" i="9"/>
  <c r="H1122" i="9"/>
  <c r="G1122" i="9"/>
  <c r="E1122" i="9"/>
  <c r="D1122" i="9"/>
  <c r="B1122" i="9"/>
  <c r="H1121" i="9"/>
  <c r="G1121" i="9"/>
  <c r="E1121" i="9"/>
  <c r="D1121" i="9"/>
  <c r="B1121" i="9"/>
  <c r="H1120" i="9"/>
  <c r="G1120" i="9"/>
  <c r="E1120" i="9"/>
  <c r="D1120" i="9"/>
  <c r="B1120" i="9"/>
  <c r="H1119" i="9"/>
  <c r="G1119" i="9"/>
  <c r="E1119" i="9"/>
  <c r="D1119" i="9"/>
  <c r="B1119" i="9"/>
  <c r="H1118" i="9"/>
  <c r="G1118" i="9"/>
  <c r="E1118" i="9"/>
  <c r="D1118" i="9"/>
  <c r="B1118" i="9"/>
  <c r="H1117" i="9"/>
  <c r="G1117" i="9"/>
  <c r="E1117" i="9"/>
  <c r="D1117" i="9"/>
  <c r="B1117" i="9"/>
  <c r="H1116" i="9"/>
  <c r="G1116" i="9"/>
  <c r="E1116" i="9"/>
  <c r="D1116" i="9"/>
  <c r="B1116" i="9"/>
  <c r="H1115" i="9"/>
  <c r="G1115" i="9"/>
  <c r="E1115" i="9"/>
  <c r="D1115" i="9"/>
  <c r="B1115" i="9"/>
  <c r="H1114" i="9"/>
  <c r="G1114" i="9"/>
  <c r="E1114" i="9"/>
  <c r="D1114" i="9"/>
  <c r="B1114" i="9"/>
  <c r="H1113" i="9"/>
  <c r="G1113" i="9"/>
  <c r="E1113" i="9"/>
  <c r="D1113" i="9"/>
  <c r="B1113" i="9"/>
  <c r="H1112" i="9"/>
  <c r="G1112" i="9"/>
  <c r="E1112" i="9"/>
  <c r="D1112" i="9"/>
  <c r="B1112" i="9"/>
  <c r="H1111" i="9"/>
  <c r="G1111" i="9"/>
  <c r="E1111" i="9"/>
  <c r="D1111" i="9"/>
  <c r="B1111" i="9"/>
  <c r="H1110" i="9"/>
  <c r="G1110" i="9"/>
  <c r="E1110" i="9"/>
  <c r="D1110" i="9"/>
  <c r="B1110" i="9"/>
  <c r="H1109" i="9"/>
  <c r="G1109" i="9"/>
  <c r="E1109" i="9"/>
  <c r="D1109" i="9"/>
  <c r="B1109" i="9"/>
  <c r="H1108" i="9"/>
  <c r="G1108" i="9"/>
  <c r="E1108" i="9"/>
  <c r="D1108" i="9"/>
  <c r="B1108" i="9"/>
  <c r="H1107" i="9"/>
  <c r="G1107" i="9"/>
  <c r="E1107" i="9"/>
  <c r="D1107" i="9"/>
  <c r="B1107" i="9"/>
  <c r="H1106" i="9"/>
  <c r="G1106" i="9"/>
  <c r="E1106" i="9"/>
  <c r="D1106" i="9"/>
  <c r="B1106" i="9"/>
  <c r="H1105" i="9"/>
  <c r="G1105" i="9"/>
  <c r="E1105" i="9"/>
  <c r="D1105" i="9"/>
  <c r="B1105" i="9"/>
  <c r="H1104" i="9"/>
  <c r="G1104" i="9"/>
  <c r="E1104" i="9"/>
  <c r="D1104" i="9"/>
  <c r="B1104" i="9"/>
  <c r="H1103" i="9"/>
  <c r="G1103" i="9"/>
  <c r="E1103" i="9"/>
  <c r="D1103" i="9"/>
  <c r="B1103" i="9"/>
  <c r="H1102" i="9"/>
  <c r="G1102" i="9"/>
  <c r="E1102" i="9"/>
  <c r="D1102" i="9"/>
  <c r="B1102" i="9"/>
  <c r="H1101" i="9"/>
  <c r="G1101" i="9"/>
  <c r="E1101" i="9"/>
  <c r="D1101" i="9"/>
  <c r="B1101" i="9"/>
  <c r="H1100" i="9"/>
  <c r="G1100" i="9"/>
  <c r="E1100" i="9"/>
  <c r="D1100" i="9"/>
  <c r="B1100" i="9"/>
  <c r="H1099" i="9"/>
  <c r="G1099" i="9"/>
  <c r="E1099" i="9"/>
  <c r="D1099" i="9"/>
  <c r="B1099" i="9"/>
  <c r="H1098" i="9"/>
  <c r="G1098" i="9"/>
  <c r="E1098" i="9"/>
  <c r="D1098" i="9"/>
  <c r="B1098" i="9"/>
  <c r="H1097" i="9"/>
  <c r="G1097" i="9"/>
  <c r="E1097" i="9"/>
  <c r="D1097" i="9"/>
  <c r="B1097" i="9"/>
  <c r="H1096" i="9"/>
  <c r="G1096" i="9"/>
  <c r="E1096" i="9"/>
  <c r="D1096" i="9"/>
  <c r="B1096" i="9"/>
  <c r="H1095" i="9"/>
  <c r="G1095" i="9"/>
  <c r="E1095" i="9"/>
  <c r="D1095" i="9"/>
  <c r="B1095" i="9"/>
  <c r="H1094" i="9"/>
  <c r="G1094" i="9"/>
  <c r="E1094" i="9"/>
  <c r="D1094" i="9"/>
  <c r="B1094" i="9"/>
  <c r="H1093" i="9"/>
  <c r="G1093" i="9"/>
  <c r="E1093" i="9"/>
  <c r="D1093" i="9"/>
  <c r="B1093" i="9"/>
  <c r="H1092" i="9"/>
  <c r="G1092" i="9"/>
  <c r="E1092" i="9"/>
  <c r="D1092" i="9"/>
  <c r="B1092" i="9"/>
  <c r="H1091" i="9"/>
  <c r="G1091" i="9"/>
  <c r="E1091" i="9"/>
  <c r="D1091" i="9"/>
  <c r="B1091" i="9"/>
  <c r="H1090" i="9"/>
  <c r="G1090" i="9"/>
  <c r="E1090" i="9"/>
  <c r="D1090" i="9"/>
  <c r="B1090" i="9"/>
  <c r="H1089" i="9"/>
  <c r="G1089" i="9"/>
  <c r="E1089" i="9"/>
  <c r="D1089" i="9"/>
  <c r="B1089" i="9"/>
  <c r="H1088" i="9"/>
  <c r="G1088" i="9"/>
  <c r="E1088" i="9"/>
  <c r="D1088" i="9"/>
  <c r="B1088" i="9"/>
  <c r="H1087" i="9"/>
  <c r="G1087" i="9"/>
  <c r="E1087" i="9"/>
  <c r="D1087" i="9"/>
  <c r="B1087" i="9"/>
  <c r="H1086" i="9"/>
  <c r="G1086" i="9"/>
  <c r="E1086" i="9"/>
  <c r="D1086" i="9"/>
  <c r="B1086" i="9"/>
  <c r="H1085" i="9"/>
  <c r="G1085" i="9"/>
  <c r="E1085" i="9"/>
  <c r="D1085" i="9"/>
  <c r="B1085" i="9"/>
  <c r="H1084" i="9"/>
  <c r="G1084" i="9"/>
  <c r="E1084" i="9"/>
  <c r="D1084" i="9"/>
  <c r="B1084" i="9"/>
  <c r="H1083" i="9"/>
  <c r="G1083" i="9"/>
  <c r="E1083" i="9"/>
  <c r="D1083" i="9"/>
  <c r="B1083" i="9"/>
  <c r="H1082" i="9"/>
  <c r="G1082" i="9"/>
  <c r="E1082" i="9"/>
  <c r="D1082" i="9"/>
  <c r="B1082" i="9"/>
  <c r="H1081" i="9"/>
  <c r="G1081" i="9"/>
  <c r="E1081" i="9"/>
  <c r="D1081" i="9"/>
  <c r="B1081" i="9"/>
  <c r="H1080" i="9"/>
  <c r="G1080" i="9"/>
  <c r="E1080" i="9"/>
  <c r="D1080" i="9"/>
  <c r="B1080" i="9"/>
  <c r="H1079" i="9"/>
  <c r="G1079" i="9"/>
  <c r="E1079" i="9"/>
  <c r="D1079" i="9"/>
  <c r="B1079" i="9"/>
  <c r="H1078" i="9"/>
  <c r="G1078" i="9"/>
  <c r="E1078" i="9"/>
  <c r="D1078" i="9"/>
  <c r="B1078" i="9"/>
  <c r="H1077" i="9"/>
  <c r="G1077" i="9"/>
  <c r="E1077" i="9"/>
  <c r="D1077" i="9"/>
  <c r="B1077" i="9"/>
  <c r="H1076" i="9"/>
  <c r="G1076" i="9"/>
  <c r="E1076" i="9"/>
  <c r="D1076" i="9"/>
  <c r="B1076" i="9"/>
  <c r="H1075" i="9"/>
  <c r="G1075" i="9"/>
  <c r="E1075" i="9"/>
  <c r="D1075" i="9"/>
  <c r="B1075" i="9"/>
  <c r="H1074" i="9"/>
  <c r="G1074" i="9"/>
  <c r="E1074" i="9"/>
  <c r="D1074" i="9"/>
  <c r="B1074" i="9"/>
  <c r="H1073" i="9"/>
  <c r="G1073" i="9"/>
  <c r="E1073" i="9"/>
  <c r="D1073" i="9"/>
  <c r="B1073" i="9"/>
  <c r="H1072" i="9"/>
  <c r="G1072" i="9"/>
  <c r="E1072" i="9"/>
  <c r="D1072" i="9"/>
  <c r="B1072" i="9"/>
  <c r="H1071" i="9"/>
  <c r="G1071" i="9"/>
  <c r="E1071" i="9"/>
  <c r="D1071" i="9"/>
  <c r="B1071" i="9"/>
  <c r="H1070" i="9"/>
  <c r="G1070" i="9"/>
  <c r="E1070" i="9"/>
  <c r="D1070" i="9"/>
  <c r="B1070" i="9"/>
  <c r="H1069" i="9"/>
  <c r="G1069" i="9"/>
  <c r="E1069" i="9"/>
  <c r="D1069" i="9"/>
  <c r="B1069" i="9"/>
  <c r="H1068" i="9"/>
  <c r="G1068" i="9"/>
  <c r="E1068" i="9"/>
  <c r="D1068" i="9"/>
  <c r="B1068" i="9"/>
  <c r="H1067" i="9"/>
  <c r="G1067" i="9"/>
  <c r="E1067" i="9"/>
  <c r="D1067" i="9"/>
  <c r="B1067" i="9"/>
  <c r="H1066" i="9"/>
  <c r="G1066" i="9"/>
  <c r="E1066" i="9"/>
  <c r="D1066" i="9"/>
  <c r="B1066" i="9"/>
  <c r="H1065" i="9"/>
  <c r="G1065" i="9"/>
  <c r="E1065" i="9"/>
  <c r="D1065" i="9"/>
  <c r="B1065" i="9"/>
  <c r="H1064" i="9"/>
  <c r="G1064" i="9"/>
  <c r="E1064" i="9"/>
  <c r="D1064" i="9"/>
  <c r="B1064" i="9"/>
  <c r="H1063" i="9"/>
  <c r="G1063" i="9"/>
  <c r="E1063" i="9"/>
  <c r="D1063" i="9"/>
  <c r="B1063" i="9"/>
  <c r="H1062" i="9"/>
  <c r="G1062" i="9"/>
  <c r="E1062" i="9"/>
  <c r="D1062" i="9"/>
  <c r="B1062" i="9"/>
  <c r="H1061" i="9"/>
  <c r="G1061" i="9"/>
  <c r="E1061" i="9"/>
  <c r="D1061" i="9"/>
  <c r="B1061" i="9"/>
  <c r="H1060" i="9"/>
  <c r="G1060" i="9"/>
  <c r="E1060" i="9"/>
  <c r="D1060" i="9"/>
  <c r="B1060" i="9"/>
  <c r="H1059" i="9"/>
  <c r="G1059" i="9"/>
  <c r="E1059" i="9"/>
  <c r="D1059" i="9"/>
  <c r="B1059" i="9"/>
  <c r="H1058" i="9"/>
  <c r="G1058" i="9"/>
  <c r="E1058" i="9"/>
  <c r="D1058" i="9"/>
  <c r="B1058" i="9"/>
  <c r="H1057" i="9"/>
  <c r="G1057" i="9"/>
  <c r="E1057" i="9"/>
  <c r="D1057" i="9"/>
  <c r="B1057" i="9"/>
  <c r="H1056" i="9"/>
  <c r="G1056" i="9"/>
  <c r="E1056" i="9"/>
  <c r="D1056" i="9"/>
  <c r="B1056" i="9"/>
  <c r="H1055" i="9"/>
  <c r="G1055" i="9"/>
  <c r="E1055" i="9"/>
  <c r="D1055" i="9"/>
  <c r="B1055" i="9"/>
  <c r="H1054" i="9"/>
  <c r="G1054" i="9"/>
  <c r="E1054" i="9"/>
  <c r="D1054" i="9"/>
  <c r="B1054" i="9"/>
  <c r="H1053" i="9"/>
  <c r="G1053" i="9"/>
  <c r="E1053" i="9"/>
  <c r="D1053" i="9"/>
  <c r="B1053" i="9"/>
  <c r="H1052" i="9"/>
  <c r="G1052" i="9"/>
  <c r="E1052" i="9"/>
  <c r="D1052" i="9"/>
  <c r="B1052" i="9"/>
  <c r="H1051" i="9"/>
  <c r="G1051" i="9"/>
  <c r="E1051" i="9"/>
  <c r="D1051" i="9"/>
  <c r="B1051" i="9"/>
  <c r="H1050" i="9"/>
  <c r="G1050" i="9"/>
  <c r="E1050" i="9"/>
  <c r="D1050" i="9"/>
  <c r="B1050" i="9"/>
  <c r="H1049" i="9"/>
  <c r="G1049" i="9"/>
  <c r="E1049" i="9"/>
  <c r="D1049" i="9"/>
  <c r="B1049" i="9"/>
  <c r="H1048" i="9"/>
  <c r="G1048" i="9"/>
  <c r="E1048" i="9"/>
  <c r="D1048" i="9"/>
  <c r="B1048" i="9"/>
  <c r="H1047" i="9"/>
  <c r="G1047" i="9"/>
  <c r="E1047" i="9"/>
  <c r="D1047" i="9"/>
  <c r="B1047" i="9"/>
  <c r="H1046" i="9"/>
  <c r="G1046" i="9"/>
  <c r="E1046" i="9"/>
  <c r="D1046" i="9"/>
  <c r="B1046" i="9"/>
  <c r="H1045" i="9"/>
  <c r="G1045" i="9"/>
  <c r="E1045" i="9"/>
  <c r="D1045" i="9"/>
  <c r="B1045" i="9"/>
  <c r="H1044" i="9"/>
  <c r="G1044" i="9"/>
  <c r="E1044" i="9"/>
  <c r="D1044" i="9"/>
  <c r="B1044" i="9"/>
  <c r="H1043" i="9"/>
  <c r="G1043" i="9"/>
  <c r="E1043" i="9"/>
  <c r="D1043" i="9"/>
  <c r="B1043" i="9"/>
  <c r="H1042" i="9"/>
  <c r="G1042" i="9"/>
  <c r="E1042" i="9"/>
  <c r="D1042" i="9"/>
  <c r="B1042" i="9"/>
  <c r="H1041" i="9"/>
  <c r="G1041" i="9"/>
  <c r="E1041" i="9"/>
  <c r="D1041" i="9"/>
  <c r="B1041" i="9"/>
  <c r="H1040" i="9"/>
  <c r="G1040" i="9"/>
  <c r="E1040" i="9"/>
  <c r="D1040" i="9"/>
  <c r="B1040" i="9"/>
  <c r="H1039" i="9"/>
  <c r="G1039" i="9"/>
  <c r="E1039" i="9"/>
  <c r="D1039" i="9"/>
  <c r="B1039" i="9"/>
  <c r="H1038" i="9"/>
  <c r="G1038" i="9"/>
  <c r="E1038" i="9"/>
  <c r="D1038" i="9"/>
  <c r="B1038" i="9"/>
  <c r="H1037" i="9"/>
  <c r="G1037" i="9"/>
  <c r="E1037" i="9"/>
  <c r="D1037" i="9"/>
  <c r="B1037" i="9"/>
  <c r="H1036" i="9"/>
  <c r="G1036" i="9"/>
  <c r="E1036" i="9"/>
  <c r="D1036" i="9"/>
  <c r="B1036" i="9"/>
  <c r="H1035" i="9"/>
  <c r="G1035" i="9"/>
  <c r="E1035" i="9"/>
  <c r="D1035" i="9"/>
  <c r="B1035" i="9"/>
  <c r="H1034" i="9"/>
  <c r="G1034" i="9"/>
  <c r="E1034" i="9"/>
  <c r="D1034" i="9"/>
  <c r="B1034" i="9"/>
  <c r="H1033" i="9"/>
  <c r="G1033" i="9"/>
  <c r="E1033" i="9"/>
  <c r="D1033" i="9"/>
  <c r="B1033" i="9"/>
  <c r="H1032" i="9"/>
  <c r="G1032" i="9"/>
  <c r="E1032" i="9"/>
  <c r="D1032" i="9"/>
  <c r="B1032" i="9"/>
  <c r="H1031" i="9"/>
  <c r="G1031" i="9"/>
  <c r="E1031" i="9"/>
  <c r="D1031" i="9"/>
  <c r="B1031" i="9"/>
  <c r="H1030" i="9"/>
  <c r="G1030" i="9"/>
  <c r="E1030" i="9"/>
  <c r="D1030" i="9"/>
  <c r="B1030" i="9"/>
  <c r="H1029" i="9"/>
  <c r="G1029" i="9"/>
  <c r="E1029" i="9"/>
  <c r="D1029" i="9"/>
  <c r="B1029" i="9"/>
  <c r="H1028" i="9"/>
  <c r="G1028" i="9"/>
  <c r="E1028" i="9"/>
  <c r="D1028" i="9"/>
  <c r="B1028" i="9"/>
  <c r="H1027" i="9"/>
  <c r="G1027" i="9"/>
  <c r="E1027" i="9"/>
  <c r="D1027" i="9"/>
  <c r="B1027" i="9"/>
  <c r="H1026" i="9"/>
  <c r="G1026" i="9"/>
  <c r="E1026" i="9"/>
  <c r="D1026" i="9"/>
  <c r="B1026" i="9"/>
  <c r="H1025" i="9"/>
  <c r="G1025" i="9"/>
  <c r="E1025" i="9"/>
  <c r="D1025" i="9"/>
  <c r="B1025" i="9"/>
  <c r="H1024" i="9"/>
  <c r="G1024" i="9"/>
  <c r="E1024" i="9"/>
  <c r="D1024" i="9"/>
  <c r="B1024" i="9"/>
  <c r="H1023" i="9"/>
  <c r="G1023" i="9"/>
  <c r="E1023" i="9"/>
  <c r="D1023" i="9"/>
  <c r="B1023" i="9"/>
  <c r="H1022" i="9"/>
  <c r="G1022" i="9"/>
  <c r="E1022" i="9"/>
  <c r="D1022" i="9"/>
  <c r="B1022" i="9"/>
  <c r="H1021" i="9"/>
  <c r="G1021" i="9"/>
  <c r="E1021" i="9"/>
  <c r="D1021" i="9"/>
  <c r="B1021" i="9"/>
  <c r="H1020" i="9"/>
  <c r="G1020" i="9"/>
  <c r="E1020" i="9"/>
  <c r="D1020" i="9"/>
  <c r="B1020" i="9"/>
  <c r="H1019" i="9"/>
  <c r="G1019" i="9"/>
  <c r="E1019" i="9"/>
  <c r="D1019" i="9"/>
  <c r="B1019" i="9"/>
  <c r="H1018" i="9"/>
  <c r="G1018" i="9"/>
  <c r="E1018" i="9"/>
  <c r="D1018" i="9"/>
  <c r="B1018" i="9"/>
  <c r="H1017" i="9"/>
  <c r="G1017" i="9"/>
  <c r="E1017" i="9"/>
  <c r="D1017" i="9"/>
  <c r="B1017" i="9"/>
  <c r="H1016" i="9"/>
  <c r="G1016" i="9"/>
  <c r="E1016" i="9"/>
  <c r="D1016" i="9"/>
  <c r="B1016" i="9"/>
  <c r="H1015" i="9"/>
  <c r="G1015" i="9"/>
  <c r="E1015" i="9"/>
  <c r="D1015" i="9"/>
  <c r="B1015" i="9"/>
  <c r="H1014" i="9"/>
  <c r="G1014" i="9"/>
  <c r="E1014" i="9"/>
  <c r="D1014" i="9"/>
  <c r="B1014" i="9"/>
  <c r="H1013" i="9"/>
  <c r="G1013" i="9"/>
  <c r="E1013" i="9"/>
  <c r="D1013" i="9"/>
  <c r="B1013" i="9"/>
  <c r="H1012" i="9"/>
  <c r="G1012" i="9"/>
  <c r="E1012" i="9"/>
  <c r="D1012" i="9"/>
  <c r="B1012" i="9"/>
  <c r="H1011" i="9"/>
  <c r="G1011" i="9"/>
  <c r="E1011" i="9"/>
  <c r="D1011" i="9"/>
  <c r="B1011" i="9"/>
  <c r="H1010" i="9"/>
  <c r="G1010" i="9"/>
  <c r="E1010" i="9"/>
  <c r="D1010" i="9"/>
  <c r="B1010" i="9"/>
  <c r="H1009" i="9"/>
  <c r="G1009" i="9"/>
  <c r="E1009" i="9"/>
  <c r="D1009" i="9"/>
  <c r="B1009" i="9"/>
  <c r="H1008" i="9"/>
  <c r="G1008" i="9"/>
  <c r="E1008" i="9"/>
  <c r="D1008" i="9"/>
  <c r="B1008" i="9"/>
  <c r="H1007" i="9"/>
  <c r="G1007" i="9"/>
  <c r="E1007" i="9"/>
  <c r="D1007" i="9"/>
  <c r="B1007" i="9"/>
  <c r="H1006" i="9"/>
  <c r="G1006" i="9"/>
  <c r="E1006" i="9"/>
  <c r="D1006" i="9"/>
  <c r="B1006" i="9"/>
  <c r="H1005" i="9"/>
  <c r="G1005" i="9"/>
  <c r="E1005" i="9"/>
  <c r="D1005" i="9"/>
  <c r="B1005" i="9"/>
  <c r="H1004" i="9"/>
  <c r="G1004" i="9"/>
  <c r="E1004" i="9"/>
  <c r="D1004" i="9"/>
  <c r="B1004" i="9"/>
  <c r="H1003" i="9"/>
  <c r="G1003" i="9"/>
  <c r="E1003" i="9"/>
  <c r="D1003" i="9"/>
  <c r="B1003" i="9"/>
  <c r="H1002" i="9"/>
  <c r="G1002" i="9"/>
  <c r="E1002" i="9"/>
  <c r="D1002" i="9"/>
  <c r="B1002" i="9"/>
  <c r="H1001" i="9"/>
  <c r="G1001" i="9"/>
  <c r="E1001" i="9"/>
  <c r="D1001" i="9"/>
  <c r="B1001" i="9"/>
  <c r="H1000" i="9"/>
  <c r="G1000" i="9"/>
  <c r="E1000" i="9"/>
  <c r="D1000" i="9"/>
  <c r="B1000" i="9"/>
  <c r="H999" i="9"/>
  <c r="G999" i="9"/>
  <c r="E999" i="9"/>
  <c r="D999" i="9"/>
  <c r="B999" i="9"/>
  <c r="H998" i="9"/>
  <c r="G998" i="9"/>
  <c r="E998" i="9"/>
  <c r="D998" i="9"/>
  <c r="B998" i="9"/>
  <c r="H997" i="9"/>
  <c r="G997" i="9"/>
  <c r="E997" i="9"/>
  <c r="D997" i="9"/>
  <c r="B997" i="9"/>
  <c r="H996" i="9"/>
  <c r="G996" i="9"/>
  <c r="E996" i="9"/>
  <c r="D996" i="9"/>
  <c r="B996" i="9"/>
  <c r="H995" i="9"/>
  <c r="G995" i="9"/>
  <c r="E995" i="9"/>
  <c r="D995" i="9"/>
  <c r="B995" i="9"/>
  <c r="H994" i="9"/>
  <c r="G994" i="9"/>
  <c r="E994" i="9"/>
  <c r="D994" i="9"/>
  <c r="B994" i="9"/>
  <c r="H993" i="9"/>
  <c r="G993" i="9"/>
  <c r="E993" i="9"/>
  <c r="D993" i="9"/>
  <c r="B993" i="9"/>
  <c r="H992" i="9"/>
  <c r="G992" i="9"/>
  <c r="E992" i="9"/>
  <c r="D992" i="9"/>
  <c r="B992" i="9"/>
  <c r="H991" i="9"/>
  <c r="G991" i="9"/>
  <c r="E991" i="9"/>
  <c r="D991" i="9"/>
  <c r="B991" i="9"/>
  <c r="H990" i="9"/>
  <c r="G990" i="9"/>
  <c r="E990" i="9"/>
  <c r="D990" i="9"/>
  <c r="B990" i="9"/>
  <c r="H989" i="9"/>
  <c r="G989" i="9"/>
  <c r="E989" i="9"/>
  <c r="D989" i="9"/>
  <c r="B989" i="9"/>
  <c r="H988" i="9"/>
  <c r="G988" i="9"/>
  <c r="E988" i="9"/>
  <c r="D988" i="9"/>
  <c r="B988" i="9"/>
  <c r="H987" i="9"/>
  <c r="G987" i="9"/>
  <c r="E987" i="9"/>
  <c r="D987" i="9"/>
  <c r="B987" i="9"/>
  <c r="H986" i="9"/>
  <c r="G986" i="9"/>
  <c r="E986" i="9"/>
  <c r="D986" i="9"/>
  <c r="B986" i="9"/>
  <c r="H985" i="9"/>
  <c r="G985" i="9"/>
  <c r="E985" i="9"/>
  <c r="D985" i="9"/>
  <c r="B985" i="9"/>
  <c r="H984" i="9"/>
  <c r="G984" i="9"/>
  <c r="E984" i="9"/>
  <c r="D984" i="9"/>
  <c r="B984" i="9"/>
  <c r="H983" i="9"/>
  <c r="G983" i="9"/>
  <c r="E983" i="9"/>
  <c r="D983" i="9"/>
  <c r="B983" i="9"/>
  <c r="H982" i="9"/>
  <c r="G982" i="9"/>
  <c r="E982" i="9"/>
  <c r="D982" i="9"/>
  <c r="B982" i="9"/>
  <c r="H981" i="9"/>
  <c r="G981" i="9"/>
  <c r="E981" i="9"/>
  <c r="D981" i="9"/>
  <c r="B981" i="9"/>
  <c r="H980" i="9"/>
  <c r="G980" i="9"/>
  <c r="E980" i="9"/>
  <c r="D980" i="9"/>
  <c r="B980" i="9"/>
  <c r="H979" i="9"/>
  <c r="G979" i="9"/>
  <c r="E979" i="9"/>
  <c r="D979" i="9"/>
  <c r="B979" i="9"/>
  <c r="H978" i="9"/>
  <c r="G978" i="9"/>
  <c r="E978" i="9"/>
  <c r="D978" i="9"/>
  <c r="B978" i="9"/>
  <c r="H977" i="9"/>
  <c r="G977" i="9"/>
  <c r="E977" i="9"/>
  <c r="D977" i="9"/>
  <c r="B977" i="9"/>
  <c r="H976" i="9"/>
  <c r="G976" i="9"/>
  <c r="E976" i="9"/>
  <c r="D976" i="9"/>
  <c r="B976" i="9"/>
  <c r="H975" i="9"/>
  <c r="G975" i="9"/>
  <c r="E975" i="9"/>
  <c r="D975" i="9"/>
  <c r="B975" i="9"/>
  <c r="H974" i="9"/>
  <c r="G974" i="9"/>
  <c r="E974" i="9"/>
  <c r="D974" i="9"/>
  <c r="B974" i="9"/>
  <c r="H973" i="9"/>
  <c r="G973" i="9"/>
  <c r="E973" i="9"/>
  <c r="D973" i="9"/>
  <c r="B973" i="9"/>
  <c r="H972" i="9"/>
  <c r="G972" i="9"/>
  <c r="E972" i="9"/>
  <c r="D972" i="9"/>
  <c r="B972" i="9"/>
  <c r="H971" i="9"/>
  <c r="G971" i="9"/>
  <c r="E971" i="9"/>
  <c r="D971" i="9"/>
  <c r="B971" i="9"/>
  <c r="H970" i="9"/>
  <c r="G970" i="9"/>
  <c r="E970" i="9"/>
  <c r="D970" i="9"/>
  <c r="B970" i="9"/>
  <c r="H969" i="9"/>
  <c r="G969" i="9"/>
  <c r="E969" i="9"/>
  <c r="D969" i="9"/>
  <c r="B969" i="9"/>
  <c r="H968" i="9"/>
  <c r="G968" i="9"/>
  <c r="E968" i="9"/>
  <c r="D968" i="9"/>
  <c r="B968" i="9"/>
  <c r="H967" i="9"/>
  <c r="G967" i="9"/>
  <c r="E967" i="9"/>
  <c r="D967" i="9"/>
  <c r="B967" i="9"/>
  <c r="H966" i="9"/>
  <c r="G966" i="9"/>
  <c r="E966" i="9"/>
  <c r="D966" i="9"/>
  <c r="B966" i="9"/>
  <c r="H965" i="9"/>
  <c r="G965" i="9"/>
  <c r="E965" i="9"/>
  <c r="D965" i="9"/>
  <c r="B965" i="9"/>
  <c r="H964" i="9"/>
  <c r="G964" i="9"/>
  <c r="E964" i="9"/>
  <c r="D964" i="9"/>
  <c r="B964" i="9"/>
  <c r="H963" i="9"/>
  <c r="G963" i="9"/>
  <c r="E963" i="9"/>
  <c r="D963" i="9"/>
  <c r="B963" i="9"/>
  <c r="H962" i="9"/>
  <c r="G962" i="9"/>
  <c r="E962" i="9"/>
  <c r="D962" i="9"/>
  <c r="B962" i="9"/>
  <c r="H961" i="9"/>
  <c r="G961" i="9"/>
  <c r="E961" i="9"/>
  <c r="D961" i="9"/>
  <c r="B961" i="9"/>
  <c r="H960" i="9"/>
  <c r="G960" i="9"/>
  <c r="E960" i="9"/>
  <c r="D960" i="9"/>
  <c r="B960" i="9"/>
  <c r="H959" i="9"/>
  <c r="G959" i="9"/>
  <c r="E959" i="9"/>
  <c r="D959" i="9"/>
  <c r="B959" i="9"/>
  <c r="H958" i="9"/>
  <c r="G958" i="9"/>
  <c r="E958" i="9"/>
  <c r="D958" i="9"/>
  <c r="B958" i="9"/>
  <c r="H957" i="9"/>
  <c r="G957" i="9"/>
  <c r="E957" i="9"/>
  <c r="D957" i="9"/>
  <c r="B957" i="9"/>
  <c r="H956" i="9"/>
  <c r="G956" i="9"/>
  <c r="E956" i="9"/>
  <c r="D956" i="9"/>
  <c r="B956" i="9"/>
  <c r="H955" i="9"/>
  <c r="G955" i="9"/>
  <c r="E955" i="9"/>
  <c r="D955" i="9"/>
  <c r="B955" i="9"/>
  <c r="H954" i="9"/>
  <c r="G954" i="9"/>
  <c r="E954" i="9"/>
  <c r="D954" i="9"/>
  <c r="B954" i="9"/>
  <c r="H953" i="9"/>
  <c r="G953" i="9"/>
  <c r="E953" i="9"/>
  <c r="D953" i="9"/>
  <c r="B953" i="9"/>
  <c r="H952" i="9"/>
  <c r="G952" i="9"/>
  <c r="E952" i="9"/>
  <c r="D952" i="9"/>
  <c r="B952" i="9"/>
  <c r="H951" i="9"/>
  <c r="G951" i="9"/>
  <c r="E951" i="9"/>
  <c r="D951" i="9"/>
  <c r="B951" i="9"/>
  <c r="H950" i="9"/>
  <c r="G950" i="9"/>
  <c r="E950" i="9"/>
  <c r="D950" i="9"/>
  <c r="B950" i="9"/>
  <c r="H949" i="9"/>
  <c r="G949" i="9"/>
  <c r="E949" i="9"/>
  <c r="D949" i="9"/>
  <c r="B949" i="9"/>
  <c r="H948" i="9"/>
  <c r="G948" i="9"/>
  <c r="E948" i="9"/>
  <c r="D948" i="9"/>
  <c r="B948" i="9"/>
  <c r="H947" i="9"/>
  <c r="G947" i="9"/>
  <c r="E947" i="9"/>
  <c r="D947" i="9"/>
  <c r="B947" i="9"/>
  <c r="H946" i="9"/>
  <c r="G946" i="9"/>
  <c r="E946" i="9"/>
  <c r="D946" i="9"/>
  <c r="B946" i="9"/>
  <c r="H945" i="9"/>
  <c r="G945" i="9"/>
  <c r="E945" i="9"/>
  <c r="D945" i="9"/>
  <c r="B945" i="9"/>
  <c r="H944" i="9"/>
  <c r="G944" i="9"/>
  <c r="E944" i="9"/>
  <c r="D944" i="9"/>
  <c r="B944" i="9"/>
  <c r="H943" i="9"/>
  <c r="G943" i="9"/>
  <c r="E943" i="9"/>
  <c r="D943" i="9"/>
  <c r="B943" i="9"/>
  <c r="H942" i="9"/>
  <c r="G942" i="9"/>
  <c r="E942" i="9"/>
  <c r="D942" i="9"/>
  <c r="B942" i="9"/>
  <c r="H941" i="9"/>
  <c r="G941" i="9"/>
  <c r="E941" i="9"/>
  <c r="D941" i="9"/>
  <c r="B941" i="9"/>
  <c r="H940" i="9"/>
  <c r="G940" i="9"/>
  <c r="E940" i="9"/>
  <c r="D940" i="9"/>
  <c r="B940" i="9"/>
  <c r="H939" i="9"/>
  <c r="G939" i="9"/>
  <c r="E939" i="9"/>
  <c r="D939" i="9"/>
  <c r="B939" i="9"/>
  <c r="H938" i="9"/>
  <c r="G938" i="9"/>
  <c r="E938" i="9"/>
  <c r="D938" i="9"/>
  <c r="B938" i="9"/>
  <c r="H937" i="9"/>
  <c r="G937" i="9"/>
  <c r="E937" i="9"/>
  <c r="D937" i="9"/>
  <c r="B937" i="9"/>
  <c r="H936" i="9"/>
  <c r="G936" i="9"/>
  <c r="E936" i="9"/>
  <c r="D936" i="9"/>
  <c r="B936" i="9"/>
  <c r="H935" i="9"/>
  <c r="G935" i="9"/>
  <c r="E935" i="9"/>
  <c r="D935" i="9"/>
  <c r="B935" i="9"/>
  <c r="H934" i="9"/>
  <c r="G934" i="9"/>
  <c r="E934" i="9"/>
  <c r="D934" i="9"/>
  <c r="B934" i="9"/>
  <c r="H933" i="9"/>
  <c r="G933" i="9"/>
  <c r="E933" i="9"/>
  <c r="D933" i="9"/>
  <c r="B933" i="9"/>
  <c r="H932" i="9"/>
  <c r="G932" i="9"/>
  <c r="E932" i="9"/>
  <c r="D932" i="9"/>
  <c r="B932" i="9"/>
  <c r="H931" i="9"/>
  <c r="G931" i="9"/>
  <c r="E931" i="9"/>
  <c r="D931" i="9"/>
  <c r="B931" i="9"/>
  <c r="H930" i="9"/>
  <c r="G930" i="9"/>
  <c r="E930" i="9"/>
  <c r="D930" i="9"/>
  <c r="B930" i="9"/>
  <c r="H929" i="9"/>
  <c r="G929" i="9"/>
  <c r="E929" i="9"/>
  <c r="D929" i="9"/>
  <c r="B929" i="9"/>
  <c r="H928" i="9"/>
  <c r="G928" i="9"/>
  <c r="E928" i="9"/>
  <c r="D928" i="9"/>
  <c r="B928" i="9"/>
  <c r="H927" i="9"/>
  <c r="G927" i="9"/>
  <c r="E927" i="9"/>
  <c r="D927" i="9"/>
  <c r="B927" i="9"/>
  <c r="H926" i="9"/>
  <c r="G926" i="9"/>
  <c r="E926" i="9"/>
  <c r="D926" i="9"/>
  <c r="B926" i="9"/>
  <c r="H925" i="9"/>
  <c r="G925" i="9"/>
  <c r="E925" i="9"/>
  <c r="D925" i="9"/>
  <c r="B925" i="9"/>
  <c r="H924" i="9"/>
  <c r="G924" i="9"/>
  <c r="E924" i="9"/>
  <c r="D924" i="9"/>
  <c r="B924" i="9"/>
  <c r="H923" i="9"/>
  <c r="G923" i="9"/>
  <c r="E923" i="9"/>
  <c r="D923" i="9"/>
  <c r="B923" i="9"/>
  <c r="H922" i="9"/>
  <c r="G922" i="9"/>
  <c r="E922" i="9"/>
  <c r="D922" i="9"/>
  <c r="B922" i="9"/>
  <c r="H921" i="9"/>
  <c r="G921" i="9"/>
  <c r="E921" i="9"/>
  <c r="D921" i="9"/>
  <c r="B921" i="9"/>
  <c r="H920" i="9"/>
  <c r="G920" i="9"/>
  <c r="E920" i="9"/>
  <c r="D920" i="9"/>
  <c r="B920" i="9"/>
  <c r="H919" i="9"/>
  <c r="G919" i="9"/>
  <c r="E919" i="9"/>
  <c r="D919" i="9"/>
  <c r="B919" i="9"/>
  <c r="H918" i="9"/>
  <c r="G918" i="9"/>
  <c r="E918" i="9"/>
  <c r="D918" i="9"/>
  <c r="B918" i="9"/>
  <c r="H917" i="9"/>
  <c r="G917" i="9"/>
  <c r="E917" i="9"/>
  <c r="D917" i="9"/>
  <c r="B917" i="9"/>
  <c r="H916" i="9"/>
  <c r="G916" i="9"/>
  <c r="E916" i="9"/>
  <c r="D916" i="9"/>
  <c r="B916" i="9"/>
  <c r="H915" i="9"/>
  <c r="G915" i="9"/>
  <c r="E915" i="9"/>
  <c r="D915" i="9"/>
  <c r="B915" i="9"/>
  <c r="H914" i="9"/>
  <c r="G914" i="9"/>
  <c r="E914" i="9"/>
  <c r="D914" i="9"/>
  <c r="B914" i="9"/>
  <c r="H913" i="9"/>
  <c r="G913" i="9"/>
  <c r="E913" i="9"/>
  <c r="D913" i="9"/>
  <c r="B913" i="9"/>
  <c r="H912" i="9"/>
  <c r="G912" i="9"/>
  <c r="E912" i="9"/>
  <c r="D912" i="9"/>
  <c r="B912" i="9"/>
  <c r="H911" i="9"/>
  <c r="G911" i="9"/>
  <c r="E911" i="9"/>
  <c r="D911" i="9"/>
  <c r="B911" i="9"/>
  <c r="H910" i="9"/>
  <c r="G910" i="9"/>
  <c r="E910" i="9"/>
  <c r="D910" i="9"/>
  <c r="B910" i="9"/>
  <c r="H909" i="9"/>
  <c r="G909" i="9"/>
  <c r="E909" i="9"/>
  <c r="D909" i="9"/>
  <c r="B909" i="9"/>
  <c r="H908" i="9"/>
  <c r="G908" i="9"/>
  <c r="E908" i="9"/>
  <c r="D908" i="9"/>
  <c r="B908" i="9"/>
  <c r="H907" i="9"/>
  <c r="G907" i="9"/>
  <c r="E907" i="9"/>
  <c r="D907" i="9"/>
  <c r="B907" i="9"/>
  <c r="H906" i="9"/>
  <c r="G906" i="9"/>
  <c r="E906" i="9"/>
  <c r="D906" i="9"/>
  <c r="B906" i="9"/>
  <c r="H905" i="9"/>
  <c r="G905" i="9"/>
  <c r="E905" i="9"/>
  <c r="D905" i="9"/>
  <c r="B905" i="9"/>
  <c r="H904" i="9"/>
  <c r="G904" i="9"/>
  <c r="E904" i="9"/>
  <c r="D904" i="9"/>
  <c r="B904" i="9"/>
  <c r="H903" i="9"/>
  <c r="G903" i="9"/>
  <c r="E903" i="9"/>
  <c r="D903" i="9"/>
  <c r="B903" i="9"/>
  <c r="H902" i="9"/>
  <c r="G902" i="9"/>
  <c r="E902" i="9"/>
  <c r="D902" i="9"/>
  <c r="B902" i="9"/>
  <c r="H901" i="9"/>
  <c r="G901" i="9"/>
  <c r="E901" i="9"/>
  <c r="D901" i="9"/>
  <c r="B901" i="9"/>
  <c r="H900" i="9"/>
  <c r="G900" i="9"/>
  <c r="E900" i="9"/>
  <c r="D900" i="9"/>
  <c r="B900" i="9"/>
  <c r="H899" i="9"/>
  <c r="G899" i="9"/>
  <c r="E899" i="9"/>
  <c r="D899" i="9"/>
  <c r="B899" i="9"/>
  <c r="H898" i="9"/>
  <c r="G898" i="9"/>
  <c r="E898" i="9"/>
  <c r="D898" i="9"/>
  <c r="B898" i="9"/>
  <c r="H897" i="9"/>
  <c r="G897" i="9"/>
  <c r="E897" i="9"/>
  <c r="D897" i="9"/>
  <c r="B897" i="9"/>
  <c r="H896" i="9"/>
  <c r="G896" i="9"/>
  <c r="E896" i="9"/>
  <c r="D896" i="9"/>
  <c r="B896" i="9"/>
  <c r="H895" i="9"/>
  <c r="G895" i="9"/>
  <c r="E895" i="9"/>
  <c r="D895" i="9"/>
  <c r="B895" i="9"/>
  <c r="H894" i="9"/>
  <c r="G894" i="9"/>
  <c r="E894" i="9"/>
  <c r="D894" i="9"/>
  <c r="B894" i="9"/>
  <c r="H893" i="9"/>
  <c r="G893" i="9"/>
  <c r="E893" i="9"/>
  <c r="D893" i="9"/>
  <c r="B893" i="9"/>
  <c r="H892" i="9"/>
  <c r="G892" i="9"/>
  <c r="E892" i="9"/>
  <c r="D892" i="9"/>
  <c r="B892" i="9"/>
  <c r="H891" i="9"/>
  <c r="G891" i="9"/>
  <c r="E891" i="9"/>
  <c r="D891" i="9"/>
  <c r="B891" i="9"/>
  <c r="H890" i="9"/>
  <c r="G890" i="9"/>
  <c r="E890" i="9"/>
  <c r="D890" i="9"/>
  <c r="B890" i="9"/>
  <c r="H889" i="9"/>
  <c r="G889" i="9"/>
  <c r="E889" i="9"/>
  <c r="D889" i="9"/>
  <c r="B889" i="9"/>
  <c r="H888" i="9"/>
  <c r="G888" i="9"/>
  <c r="E888" i="9"/>
  <c r="D888" i="9"/>
  <c r="B888" i="9"/>
  <c r="H887" i="9"/>
  <c r="G887" i="9"/>
  <c r="E887" i="9"/>
  <c r="D887" i="9"/>
  <c r="B887" i="9"/>
  <c r="H886" i="9"/>
  <c r="G886" i="9"/>
  <c r="E886" i="9"/>
  <c r="D886" i="9"/>
  <c r="B886" i="9"/>
  <c r="H885" i="9"/>
  <c r="G885" i="9"/>
  <c r="E885" i="9"/>
  <c r="D885" i="9"/>
  <c r="B885" i="9"/>
  <c r="H884" i="9"/>
  <c r="G884" i="9"/>
  <c r="E884" i="9"/>
  <c r="D884" i="9"/>
  <c r="B884" i="9"/>
  <c r="H883" i="9"/>
  <c r="G883" i="9"/>
  <c r="E883" i="9"/>
  <c r="D883" i="9"/>
  <c r="B883" i="9"/>
  <c r="H882" i="9"/>
  <c r="G882" i="9"/>
  <c r="E882" i="9"/>
  <c r="D882" i="9"/>
  <c r="B882" i="9"/>
  <c r="H881" i="9"/>
  <c r="G881" i="9"/>
  <c r="E881" i="9"/>
  <c r="D881" i="9"/>
  <c r="B881" i="9"/>
  <c r="H880" i="9"/>
  <c r="G880" i="9"/>
  <c r="E880" i="9"/>
  <c r="D880" i="9"/>
  <c r="B880" i="9"/>
  <c r="H879" i="9"/>
  <c r="G879" i="9"/>
  <c r="E879" i="9"/>
  <c r="D879" i="9"/>
  <c r="B879" i="9"/>
  <c r="H878" i="9"/>
  <c r="G878" i="9"/>
  <c r="E878" i="9"/>
  <c r="D878" i="9"/>
  <c r="B878" i="9"/>
  <c r="H877" i="9"/>
  <c r="G877" i="9"/>
  <c r="E877" i="9"/>
  <c r="D877" i="9"/>
  <c r="B877" i="9"/>
  <c r="H876" i="9"/>
  <c r="G876" i="9"/>
  <c r="E876" i="9"/>
  <c r="D876" i="9"/>
  <c r="B876" i="9"/>
  <c r="H875" i="9"/>
  <c r="G875" i="9"/>
  <c r="E875" i="9"/>
  <c r="D875" i="9"/>
  <c r="B875" i="9"/>
  <c r="H874" i="9"/>
  <c r="G874" i="9"/>
  <c r="E874" i="9"/>
  <c r="D874" i="9"/>
  <c r="B874" i="9"/>
  <c r="H873" i="9"/>
  <c r="G873" i="9"/>
  <c r="E873" i="9"/>
  <c r="D873" i="9"/>
  <c r="B873" i="9"/>
  <c r="H872" i="9"/>
  <c r="G872" i="9"/>
  <c r="E872" i="9"/>
  <c r="D872" i="9"/>
  <c r="B872" i="9"/>
  <c r="H871" i="9"/>
  <c r="G871" i="9"/>
  <c r="E871" i="9"/>
  <c r="D871" i="9"/>
  <c r="B871" i="9"/>
  <c r="H870" i="9"/>
  <c r="G870" i="9"/>
  <c r="E870" i="9"/>
  <c r="D870" i="9"/>
  <c r="B870" i="9"/>
  <c r="H869" i="9"/>
  <c r="G869" i="9"/>
  <c r="E869" i="9"/>
  <c r="D869" i="9"/>
  <c r="B869" i="9"/>
  <c r="H868" i="9"/>
  <c r="G868" i="9"/>
  <c r="E868" i="9"/>
  <c r="D868" i="9"/>
  <c r="B868" i="9"/>
  <c r="H867" i="9"/>
  <c r="G867" i="9"/>
  <c r="E867" i="9"/>
  <c r="D867" i="9"/>
  <c r="B867" i="9"/>
  <c r="H866" i="9"/>
  <c r="G866" i="9"/>
  <c r="E866" i="9"/>
  <c r="D866" i="9"/>
  <c r="B866" i="9"/>
  <c r="H865" i="9"/>
  <c r="G865" i="9"/>
  <c r="E865" i="9"/>
  <c r="D865" i="9"/>
  <c r="B865" i="9"/>
  <c r="H864" i="9"/>
  <c r="G864" i="9"/>
  <c r="E864" i="9"/>
  <c r="D864" i="9"/>
  <c r="B864" i="9"/>
  <c r="H863" i="9"/>
  <c r="G863" i="9"/>
  <c r="E863" i="9"/>
  <c r="D863" i="9"/>
  <c r="B863" i="9"/>
  <c r="H862" i="9"/>
  <c r="G862" i="9"/>
  <c r="E862" i="9"/>
  <c r="D862" i="9"/>
  <c r="B862" i="9"/>
  <c r="H861" i="9"/>
  <c r="G861" i="9"/>
  <c r="E861" i="9"/>
  <c r="D861" i="9"/>
  <c r="B861" i="9"/>
  <c r="H860" i="9"/>
  <c r="G860" i="9"/>
  <c r="E860" i="9"/>
  <c r="D860" i="9"/>
  <c r="B860" i="9"/>
  <c r="H859" i="9"/>
  <c r="G859" i="9"/>
  <c r="E859" i="9"/>
  <c r="D859" i="9"/>
  <c r="B859" i="9"/>
  <c r="H858" i="9"/>
  <c r="G858" i="9"/>
  <c r="E858" i="9"/>
  <c r="D858" i="9"/>
  <c r="B858" i="9"/>
  <c r="H857" i="9"/>
  <c r="G857" i="9"/>
  <c r="E857" i="9"/>
  <c r="D857" i="9"/>
  <c r="B857" i="9"/>
  <c r="H856" i="9"/>
  <c r="G856" i="9"/>
  <c r="E856" i="9"/>
  <c r="D856" i="9"/>
  <c r="B856" i="9"/>
  <c r="H855" i="9"/>
  <c r="G855" i="9"/>
  <c r="E855" i="9"/>
  <c r="D855" i="9"/>
  <c r="B855" i="9"/>
  <c r="H854" i="9"/>
  <c r="G854" i="9"/>
  <c r="E854" i="9"/>
  <c r="D854" i="9"/>
  <c r="B854" i="9"/>
  <c r="H853" i="9"/>
  <c r="G853" i="9"/>
  <c r="E853" i="9"/>
  <c r="D853" i="9"/>
  <c r="B853" i="9"/>
  <c r="H852" i="9"/>
  <c r="G852" i="9"/>
  <c r="E852" i="9"/>
  <c r="D852" i="9"/>
  <c r="B852" i="9"/>
  <c r="H851" i="9"/>
  <c r="G851" i="9"/>
  <c r="E851" i="9"/>
  <c r="D851" i="9"/>
  <c r="B851" i="9"/>
  <c r="H850" i="9"/>
  <c r="G850" i="9"/>
  <c r="E850" i="9"/>
  <c r="D850" i="9"/>
  <c r="B850" i="9"/>
  <c r="H849" i="9"/>
  <c r="G849" i="9"/>
  <c r="E849" i="9"/>
  <c r="D849" i="9"/>
  <c r="B849" i="9"/>
  <c r="H848" i="9"/>
  <c r="G848" i="9"/>
  <c r="E848" i="9"/>
  <c r="D848" i="9"/>
  <c r="B848" i="9"/>
  <c r="H847" i="9"/>
  <c r="G847" i="9"/>
  <c r="E847" i="9"/>
  <c r="D847" i="9"/>
  <c r="B847" i="9"/>
  <c r="H846" i="9"/>
  <c r="G846" i="9"/>
  <c r="E846" i="9"/>
  <c r="D846" i="9"/>
  <c r="B846" i="9"/>
  <c r="H845" i="9"/>
  <c r="G845" i="9"/>
  <c r="E845" i="9"/>
  <c r="D845" i="9"/>
  <c r="B845" i="9"/>
  <c r="H844" i="9"/>
  <c r="G844" i="9"/>
  <c r="E844" i="9"/>
  <c r="D844" i="9"/>
  <c r="B844" i="9"/>
  <c r="H843" i="9"/>
  <c r="G843" i="9"/>
  <c r="E843" i="9"/>
  <c r="D843" i="9"/>
  <c r="B843" i="9"/>
  <c r="H842" i="9"/>
  <c r="G842" i="9"/>
  <c r="E842" i="9"/>
  <c r="D842" i="9"/>
  <c r="B842" i="9"/>
  <c r="H841" i="9"/>
  <c r="G841" i="9"/>
  <c r="E841" i="9"/>
  <c r="D841" i="9"/>
  <c r="B841" i="9"/>
  <c r="H840" i="9"/>
  <c r="G840" i="9"/>
  <c r="E840" i="9"/>
  <c r="D840" i="9"/>
  <c r="B840" i="9"/>
  <c r="H839" i="9"/>
  <c r="G839" i="9"/>
  <c r="E839" i="9"/>
  <c r="D839" i="9"/>
  <c r="B839" i="9"/>
  <c r="H838" i="9"/>
  <c r="G838" i="9"/>
  <c r="E838" i="9"/>
  <c r="D838" i="9"/>
  <c r="B838" i="9"/>
  <c r="H837" i="9"/>
  <c r="G837" i="9"/>
  <c r="E837" i="9"/>
  <c r="D837" i="9"/>
  <c r="B837" i="9"/>
  <c r="H836" i="9"/>
  <c r="G836" i="9"/>
  <c r="E836" i="9"/>
  <c r="D836" i="9"/>
  <c r="B836" i="9"/>
  <c r="H835" i="9"/>
  <c r="G835" i="9"/>
  <c r="E835" i="9"/>
  <c r="D835" i="9"/>
  <c r="B835" i="9"/>
  <c r="H834" i="9"/>
  <c r="G834" i="9"/>
  <c r="E834" i="9"/>
  <c r="D834" i="9"/>
  <c r="B834" i="9"/>
  <c r="H833" i="9"/>
  <c r="G833" i="9"/>
  <c r="E833" i="9"/>
  <c r="D833" i="9"/>
  <c r="B833" i="9"/>
  <c r="H832" i="9"/>
  <c r="G832" i="9"/>
  <c r="E832" i="9"/>
  <c r="D832" i="9"/>
  <c r="B832" i="9"/>
  <c r="H831" i="9"/>
  <c r="G831" i="9"/>
  <c r="E831" i="9"/>
  <c r="D831" i="9"/>
  <c r="B831" i="9"/>
  <c r="H830" i="9"/>
  <c r="G830" i="9"/>
  <c r="E830" i="9"/>
  <c r="D830" i="9"/>
  <c r="B830" i="9"/>
  <c r="H829" i="9"/>
  <c r="G829" i="9"/>
  <c r="E829" i="9"/>
  <c r="D829" i="9"/>
  <c r="B829" i="9"/>
  <c r="H828" i="9"/>
  <c r="G828" i="9"/>
  <c r="E828" i="9"/>
  <c r="D828" i="9"/>
  <c r="B828" i="9"/>
  <c r="H827" i="9"/>
  <c r="G827" i="9"/>
  <c r="E827" i="9"/>
  <c r="D827" i="9"/>
  <c r="B827" i="9"/>
  <c r="H826" i="9"/>
  <c r="G826" i="9"/>
  <c r="E826" i="9"/>
  <c r="D826" i="9"/>
  <c r="B826" i="9"/>
  <c r="H825" i="9"/>
  <c r="G825" i="9"/>
  <c r="E825" i="9"/>
  <c r="D825" i="9"/>
  <c r="B825" i="9"/>
  <c r="H824" i="9"/>
  <c r="G824" i="9"/>
  <c r="E824" i="9"/>
  <c r="D824" i="9"/>
  <c r="B824" i="9"/>
  <c r="H823" i="9"/>
  <c r="G823" i="9"/>
  <c r="E823" i="9"/>
  <c r="D823" i="9"/>
  <c r="B823" i="9"/>
  <c r="H822" i="9"/>
  <c r="G822" i="9"/>
  <c r="E822" i="9"/>
  <c r="D822" i="9"/>
  <c r="B822" i="9"/>
  <c r="H821" i="9"/>
  <c r="G821" i="9"/>
  <c r="E821" i="9"/>
  <c r="D821" i="9"/>
  <c r="B821" i="9"/>
  <c r="H820" i="9"/>
  <c r="G820" i="9"/>
  <c r="E820" i="9"/>
  <c r="D820" i="9"/>
  <c r="B820" i="9"/>
  <c r="H819" i="9"/>
  <c r="G819" i="9"/>
  <c r="E819" i="9"/>
  <c r="D819" i="9"/>
  <c r="B819" i="9"/>
  <c r="H818" i="9"/>
  <c r="G818" i="9"/>
  <c r="E818" i="9"/>
  <c r="D818" i="9"/>
  <c r="B818" i="9"/>
  <c r="H817" i="9"/>
  <c r="G817" i="9"/>
  <c r="E817" i="9"/>
  <c r="D817" i="9"/>
  <c r="B817" i="9"/>
  <c r="H816" i="9"/>
  <c r="G816" i="9"/>
  <c r="E816" i="9"/>
  <c r="D816" i="9"/>
  <c r="B816" i="9"/>
  <c r="H815" i="9"/>
  <c r="G815" i="9"/>
  <c r="E815" i="9"/>
  <c r="D815" i="9"/>
  <c r="B815" i="9"/>
  <c r="H814" i="9"/>
  <c r="G814" i="9"/>
  <c r="E814" i="9"/>
  <c r="D814" i="9"/>
  <c r="B814" i="9"/>
  <c r="H813" i="9"/>
  <c r="G813" i="9"/>
  <c r="E813" i="9"/>
  <c r="D813" i="9"/>
  <c r="B813" i="9"/>
  <c r="H812" i="9"/>
  <c r="G812" i="9"/>
  <c r="E812" i="9"/>
  <c r="D812" i="9"/>
  <c r="B812" i="9"/>
  <c r="H811" i="9"/>
  <c r="G811" i="9"/>
  <c r="E811" i="9"/>
  <c r="D811" i="9"/>
  <c r="B811" i="9"/>
  <c r="H810" i="9"/>
  <c r="G810" i="9"/>
  <c r="E810" i="9"/>
  <c r="D810" i="9"/>
  <c r="B810" i="9"/>
  <c r="H809" i="9"/>
  <c r="G809" i="9"/>
  <c r="E809" i="9"/>
  <c r="D809" i="9"/>
  <c r="B809" i="9"/>
  <c r="H808" i="9"/>
  <c r="G808" i="9"/>
  <c r="E808" i="9"/>
  <c r="D808" i="9"/>
  <c r="B808" i="9"/>
  <c r="H807" i="9"/>
  <c r="G807" i="9"/>
  <c r="E807" i="9"/>
  <c r="D807" i="9"/>
  <c r="B807" i="9"/>
  <c r="H806" i="9"/>
  <c r="G806" i="9"/>
  <c r="E806" i="9"/>
  <c r="D806" i="9"/>
  <c r="B806" i="9"/>
  <c r="H805" i="9"/>
  <c r="G805" i="9"/>
  <c r="E805" i="9"/>
  <c r="D805" i="9"/>
  <c r="B805" i="9"/>
  <c r="H804" i="9"/>
  <c r="G804" i="9"/>
  <c r="E804" i="9"/>
  <c r="D804" i="9"/>
  <c r="B804" i="9"/>
  <c r="H803" i="9"/>
  <c r="G803" i="9"/>
  <c r="E803" i="9"/>
  <c r="D803" i="9"/>
  <c r="B803" i="9"/>
  <c r="H802" i="9"/>
  <c r="G802" i="9"/>
  <c r="E802" i="9"/>
  <c r="D802" i="9"/>
  <c r="B802" i="9"/>
  <c r="H801" i="9"/>
  <c r="G801" i="9"/>
  <c r="E801" i="9"/>
  <c r="D801" i="9"/>
  <c r="B801" i="9"/>
  <c r="H800" i="9"/>
  <c r="G800" i="9"/>
  <c r="E800" i="9"/>
  <c r="D800" i="9"/>
  <c r="B800" i="9"/>
  <c r="H799" i="9"/>
  <c r="G799" i="9"/>
  <c r="E799" i="9"/>
  <c r="D799" i="9"/>
  <c r="B799" i="9"/>
  <c r="H798" i="9"/>
  <c r="G798" i="9"/>
  <c r="E798" i="9"/>
  <c r="D798" i="9"/>
  <c r="B798" i="9"/>
  <c r="H797" i="9"/>
  <c r="G797" i="9"/>
  <c r="E797" i="9"/>
  <c r="D797" i="9"/>
  <c r="B797" i="9"/>
  <c r="H796" i="9"/>
  <c r="G796" i="9"/>
  <c r="E796" i="9"/>
  <c r="D796" i="9"/>
  <c r="B796" i="9"/>
  <c r="H795" i="9"/>
  <c r="G795" i="9"/>
  <c r="E795" i="9"/>
  <c r="D795" i="9"/>
  <c r="B795" i="9"/>
  <c r="H794" i="9"/>
  <c r="G794" i="9"/>
  <c r="E794" i="9"/>
  <c r="D794" i="9"/>
  <c r="B794" i="9"/>
  <c r="H793" i="9"/>
  <c r="G793" i="9"/>
  <c r="E793" i="9"/>
  <c r="D793" i="9"/>
  <c r="B793" i="9"/>
  <c r="H792" i="9"/>
  <c r="G792" i="9"/>
  <c r="E792" i="9"/>
  <c r="D792" i="9"/>
  <c r="B792" i="9"/>
  <c r="H791" i="9"/>
  <c r="G791" i="9"/>
  <c r="E791" i="9"/>
  <c r="D791" i="9"/>
  <c r="B791" i="9"/>
  <c r="H790" i="9"/>
  <c r="G790" i="9"/>
  <c r="E790" i="9"/>
  <c r="D790" i="9"/>
  <c r="B790" i="9"/>
  <c r="H789" i="9"/>
  <c r="G789" i="9"/>
  <c r="E789" i="9"/>
  <c r="D789" i="9"/>
  <c r="B789" i="9"/>
  <c r="H788" i="9"/>
  <c r="G788" i="9"/>
  <c r="E788" i="9"/>
  <c r="D788" i="9"/>
  <c r="B788" i="9"/>
  <c r="H787" i="9"/>
  <c r="G787" i="9"/>
  <c r="E787" i="9"/>
  <c r="D787" i="9"/>
  <c r="B787" i="9"/>
  <c r="H786" i="9"/>
  <c r="G786" i="9"/>
  <c r="E786" i="9"/>
  <c r="D786" i="9"/>
  <c r="B786" i="9"/>
  <c r="H785" i="9"/>
  <c r="G785" i="9"/>
  <c r="E785" i="9"/>
  <c r="D785" i="9"/>
  <c r="B785" i="9"/>
  <c r="H784" i="9"/>
  <c r="G784" i="9"/>
  <c r="E784" i="9"/>
  <c r="D784" i="9"/>
  <c r="B784" i="9"/>
  <c r="H783" i="9"/>
  <c r="G783" i="9"/>
  <c r="E783" i="9"/>
  <c r="D783" i="9"/>
  <c r="B783" i="9"/>
  <c r="H782" i="9"/>
  <c r="G782" i="9"/>
  <c r="E782" i="9"/>
  <c r="D782" i="9"/>
  <c r="B782" i="9"/>
  <c r="H781" i="9"/>
  <c r="G781" i="9"/>
  <c r="E781" i="9"/>
  <c r="D781" i="9"/>
  <c r="B781" i="9"/>
  <c r="H780" i="9"/>
  <c r="G780" i="9"/>
  <c r="E780" i="9"/>
  <c r="D780" i="9"/>
  <c r="B780" i="9"/>
  <c r="H779" i="9"/>
  <c r="G779" i="9"/>
  <c r="E779" i="9"/>
  <c r="D779" i="9"/>
  <c r="B779" i="9"/>
  <c r="H778" i="9"/>
  <c r="G778" i="9"/>
  <c r="E778" i="9"/>
  <c r="D778" i="9"/>
  <c r="B778" i="9"/>
  <c r="H777" i="9"/>
  <c r="G777" i="9"/>
  <c r="E777" i="9"/>
  <c r="D777" i="9"/>
  <c r="B777" i="9"/>
  <c r="H776" i="9"/>
  <c r="G776" i="9"/>
  <c r="E776" i="9"/>
  <c r="D776" i="9"/>
  <c r="B776" i="9"/>
  <c r="H775" i="9"/>
  <c r="G775" i="9"/>
  <c r="E775" i="9"/>
  <c r="D775" i="9"/>
  <c r="B775" i="9"/>
  <c r="H774" i="9"/>
  <c r="G774" i="9"/>
  <c r="E774" i="9"/>
  <c r="D774" i="9"/>
  <c r="B774" i="9"/>
  <c r="H773" i="9"/>
  <c r="G773" i="9"/>
  <c r="E773" i="9"/>
  <c r="D773" i="9"/>
  <c r="B773" i="9"/>
  <c r="H772" i="9"/>
  <c r="G772" i="9"/>
  <c r="E772" i="9"/>
  <c r="D772" i="9"/>
  <c r="B772" i="9"/>
  <c r="H771" i="9"/>
  <c r="G771" i="9"/>
  <c r="E771" i="9"/>
  <c r="D771" i="9"/>
  <c r="B771" i="9"/>
  <c r="H770" i="9"/>
  <c r="G770" i="9"/>
  <c r="E770" i="9"/>
  <c r="D770" i="9"/>
  <c r="B770" i="9"/>
  <c r="H769" i="9"/>
  <c r="G769" i="9"/>
  <c r="E769" i="9"/>
  <c r="D769" i="9"/>
  <c r="B769" i="9"/>
  <c r="H768" i="9"/>
  <c r="G768" i="9"/>
  <c r="E768" i="9"/>
  <c r="D768" i="9"/>
  <c r="B768" i="9"/>
  <c r="H767" i="9"/>
  <c r="G767" i="9"/>
  <c r="E767" i="9"/>
  <c r="D767" i="9"/>
  <c r="B767" i="9"/>
  <c r="H766" i="9"/>
  <c r="G766" i="9"/>
  <c r="E766" i="9"/>
  <c r="D766" i="9"/>
  <c r="B766" i="9"/>
  <c r="H765" i="9"/>
  <c r="G765" i="9"/>
  <c r="E765" i="9"/>
  <c r="D765" i="9"/>
  <c r="B765" i="9"/>
  <c r="H764" i="9"/>
  <c r="G764" i="9"/>
  <c r="E764" i="9"/>
  <c r="D764" i="9"/>
  <c r="B764" i="9"/>
  <c r="H763" i="9"/>
  <c r="G763" i="9"/>
  <c r="E763" i="9"/>
  <c r="D763" i="9"/>
  <c r="B763" i="9"/>
  <c r="H762" i="9"/>
  <c r="G762" i="9"/>
  <c r="E762" i="9"/>
  <c r="D762" i="9"/>
  <c r="B762" i="9"/>
  <c r="H761" i="9"/>
  <c r="G761" i="9"/>
  <c r="E761" i="9"/>
  <c r="D761" i="9"/>
  <c r="B761" i="9"/>
  <c r="H760" i="9"/>
  <c r="G760" i="9"/>
  <c r="E760" i="9"/>
  <c r="D760" i="9"/>
  <c r="B760" i="9"/>
  <c r="H759" i="9"/>
  <c r="G759" i="9"/>
  <c r="E759" i="9"/>
  <c r="D759" i="9"/>
  <c r="B759" i="9"/>
  <c r="H758" i="9"/>
  <c r="G758" i="9"/>
  <c r="E758" i="9"/>
  <c r="D758" i="9"/>
  <c r="B758" i="9"/>
  <c r="H757" i="9"/>
  <c r="G757" i="9"/>
  <c r="E757" i="9"/>
  <c r="D757" i="9"/>
  <c r="B757" i="9"/>
  <c r="H756" i="9"/>
  <c r="G756" i="9"/>
  <c r="E756" i="9"/>
  <c r="D756" i="9"/>
  <c r="B756" i="9"/>
  <c r="H755" i="9"/>
  <c r="G755" i="9"/>
  <c r="E755" i="9"/>
  <c r="D755" i="9"/>
  <c r="B755" i="9"/>
  <c r="H754" i="9"/>
  <c r="G754" i="9"/>
  <c r="E754" i="9"/>
  <c r="D754" i="9"/>
  <c r="B754" i="9"/>
  <c r="H753" i="9"/>
  <c r="G753" i="9"/>
  <c r="E753" i="9"/>
  <c r="D753" i="9"/>
  <c r="B753" i="9"/>
  <c r="H752" i="9"/>
  <c r="G752" i="9"/>
  <c r="E752" i="9"/>
  <c r="D752" i="9"/>
  <c r="B752" i="9"/>
  <c r="H751" i="9"/>
  <c r="G751" i="9"/>
  <c r="E751" i="9"/>
  <c r="D751" i="9"/>
  <c r="B751" i="9"/>
  <c r="H750" i="9"/>
  <c r="G750" i="9"/>
  <c r="E750" i="9"/>
  <c r="D750" i="9"/>
  <c r="B750" i="9"/>
  <c r="H749" i="9"/>
  <c r="G749" i="9"/>
  <c r="E749" i="9"/>
  <c r="D749" i="9"/>
  <c r="B749" i="9"/>
  <c r="H748" i="9"/>
  <c r="G748" i="9"/>
  <c r="E748" i="9"/>
  <c r="D748" i="9"/>
  <c r="B748" i="9"/>
  <c r="H747" i="9"/>
  <c r="G747" i="9"/>
  <c r="E747" i="9"/>
  <c r="D747" i="9"/>
  <c r="B747" i="9"/>
  <c r="H746" i="9"/>
  <c r="G746" i="9"/>
  <c r="E746" i="9"/>
  <c r="D746" i="9"/>
  <c r="B746" i="9"/>
  <c r="H745" i="9"/>
  <c r="G745" i="9"/>
  <c r="E745" i="9"/>
  <c r="D745" i="9"/>
  <c r="B745" i="9"/>
  <c r="H744" i="9"/>
  <c r="G744" i="9"/>
  <c r="E744" i="9"/>
  <c r="D744" i="9"/>
  <c r="B744" i="9"/>
  <c r="H743" i="9"/>
  <c r="G743" i="9"/>
  <c r="E743" i="9"/>
  <c r="D743" i="9"/>
  <c r="B743" i="9"/>
  <c r="H742" i="9"/>
  <c r="G742" i="9"/>
  <c r="E742" i="9"/>
  <c r="D742" i="9"/>
  <c r="B742" i="9"/>
  <c r="H741" i="9"/>
  <c r="G741" i="9"/>
  <c r="E741" i="9"/>
  <c r="D741" i="9"/>
  <c r="B741" i="9"/>
  <c r="H740" i="9"/>
  <c r="G740" i="9"/>
  <c r="E740" i="9"/>
  <c r="D740" i="9"/>
  <c r="B740" i="9"/>
  <c r="H739" i="9"/>
  <c r="G739" i="9"/>
  <c r="E739" i="9"/>
  <c r="D739" i="9"/>
  <c r="B739" i="9"/>
  <c r="H738" i="9"/>
  <c r="G738" i="9"/>
  <c r="E738" i="9"/>
  <c r="D738" i="9"/>
  <c r="B738" i="9"/>
  <c r="H737" i="9"/>
  <c r="G737" i="9"/>
  <c r="E737" i="9"/>
  <c r="D737" i="9"/>
  <c r="B737" i="9"/>
  <c r="H736" i="9"/>
  <c r="G736" i="9"/>
  <c r="E736" i="9"/>
  <c r="D736" i="9"/>
  <c r="B736" i="9"/>
  <c r="H735" i="9"/>
  <c r="G735" i="9"/>
  <c r="E735" i="9"/>
  <c r="D735" i="9"/>
  <c r="B735" i="9"/>
  <c r="H734" i="9"/>
  <c r="G734" i="9"/>
  <c r="E734" i="9"/>
  <c r="D734" i="9"/>
  <c r="B734" i="9"/>
  <c r="H733" i="9"/>
  <c r="G733" i="9"/>
  <c r="E733" i="9"/>
  <c r="D733" i="9"/>
  <c r="B733" i="9"/>
  <c r="H732" i="9"/>
  <c r="G732" i="9"/>
  <c r="E732" i="9"/>
  <c r="D732" i="9"/>
  <c r="B732" i="9"/>
  <c r="H731" i="9"/>
  <c r="G731" i="9"/>
  <c r="E731" i="9"/>
  <c r="D731" i="9"/>
  <c r="B731" i="9"/>
  <c r="H730" i="9"/>
  <c r="G730" i="9"/>
  <c r="E730" i="9"/>
  <c r="D730" i="9"/>
  <c r="B730" i="9"/>
  <c r="H729" i="9"/>
  <c r="G729" i="9"/>
  <c r="E729" i="9"/>
  <c r="D729" i="9"/>
  <c r="B729" i="9"/>
  <c r="H728" i="9"/>
  <c r="G728" i="9"/>
  <c r="E728" i="9"/>
  <c r="D728" i="9"/>
  <c r="B728" i="9"/>
  <c r="H727" i="9"/>
  <c r="G727" i="9"/>
  <c r="E727" i="9"/>
  <c r="D727" i="9"/>
  <c r="B727" i="9"/>
  <c r="H726" i="9"/>
  <c r="G726" i="9"/>
  <c r="E726" i="9"/>
  <c r="D726" i="9"/>
  <c r="B726" i="9"/>
  <c r="H725" i="9"/>
  <c r="G725" i="9"/>
  <c r="E725" i="9"/>
  <c r="D725" i="9"/>
  <c r="B725" i="9"/>
  <c r="H724" i="9"/>
  <c r="G724" i="9"/>
  <c r="E724" i="9"/>
  <c r="D724" i="9"/>
  <c r="B724" i="9"/>
  <c r="H723" i="9"/>
  <c r="G723" i="9"/>
  <c r="E723" i="9"/>
  <c r="D723" i="9"/>
  <c r="B723" i="9"/>
  <c r="H722" i="9"/>
  <c r="G722" i="9"/>
  <c r="E722" i="9"/>
  <c r="D722" i="9"/>
  <c r="B722" i="9"/>
  <c r="H721" i="9"/>
  <c r="G721" i="9"/>
  <c r="E721" i="9"/>
  <c r="D721" i="9"/>
  <c r="B721" i="9"/>
  <c r="H720" i="9"/>
  <c r="G720" i="9"/>
  <c r="E720" i="9"/>
  <c r="D720" i="9"/>
  <c r="B720" i="9"/>
  <c r="H719" i="9"/>
  <c r="G719" i="9"/>
  <c r="E719" i="9"/>
  <c r="D719" i="9"/>
  <c r="B719" i="9"/>
  <c r="H718" i="9"/>
  <c r="G718" i="9"/>
  <c r="E718" i="9"/>
  <c r="D718" i="9"/>
  <c r="B718" i="9"/>
  <c r="H717" i="9"/>
  <c r="G717" i="9"/>
  <c r="E717" i="9"/>
  <c r="D717" i="9"/>
  <c r="B717" i="9"/>
  <c r="H716" i="9"/>
  <c r="G716" i="9"/>
  <c r="E716" i="9"/>
  <c r="D716" i="9"/>
  <c r="B716" i="9"/>
  <c r="H715" i="9"/>
  <c r="G715" i="9"/>
  <c r="E715" i="9"/>
  <c r="D715" i="9"/>
  <c r="B715" i="9"/>
  <c r="H714" i="9"/>
  <c r="G714" i="9"/>
  <c r="E714" i="9"/>
  <c r="D714" i="9"/>
  <c r="B714" i="9"/>
  <c r="H713" i="9"/>
  <c r="G713" i="9"/>
  <c r="E713" i="9"/>
  <c r="D713" i="9"/>
  <c r="B713" i="9"/>
  <c r="H712" i="9"/>
  <c r="G712" i="9"/>
  <c r="E712" i="9"/>
  <c r="D712" i="9"/>
  <c r="B712" i="9"/>
  <c r="H711" i="9"/>
  <c r="G711" i="9"/>
  <c r="E711" i="9"/>
  <c r="D711" i="9"/>
  <c r="B711" i="9"/>
  <c r="H710" i="9"/>
  <c r="G710" i="9"/>
  <c r="E710" i="9"/>
  <c r="D710" i="9"/>
  <c r="B710" i="9"/>
  <c r="H709" i="9"/>
  <c r="G709" i="9"/>
  <c r="E709" i="9"/>
  <c r="D709" i="9"/>
  <c r="B709" i="9"/>
  <c r="H708" i="9"/>
  <c r="G708" i="9"/>
  <c r="E708" i="9"/>
  <c r="D708" i="9"/>
  <c r="B708" i="9"/>
  <c r="H707" i="9"/>
  <c r="G707" i="9"/>
  <c r="E707" i="9"/>
  <c r="D707" i="9"/>
  <c r="B707" i="9"/>
  <c r="H706" i="9"/>
  <c r="G706" i="9"/>
  <c r="E706" i="9"/>
  <c r="D706" i="9"/>
  <c r="B706" i="9"/>
  <c r="H705" i="9"/>
  <c r="G705" i="9"/>
  <c r="E705" i="9"/>
  <c r="D705" i="9"/>
  <c r="B705" i="9"/>
  <c r="H704" i="9"/>
  <c r="G704" i="9"/>
  <c r="E704" i="9"/>
  <c r="D704" i="9"/>
  <c r="B704" i="9"/>
  <c r="H703" i="9"/>
  <c r="G703" i="9"/>
  <c r="E703" i="9"/>
  <c r="D703" i="9"/>
  <c r="B703" i="9"/>
  <c r="H702" i="9"/>
  <c r="G702" i="9"/>
  <c r="E702" i="9"/>
  <c r="D702" i="9"/>
  <c r="B702" i="9"/>
  <c r="H701" i="9"/>
  <c r="G701" i="9"/>
  <c r="E701" i="9"/>
  <c r="D701" i="9"/>
  <c r="B701" i="9"/>
  <c r="H700" i="9"/>
  <c r="G700" i="9"/>
  <c r="E700" i="9"/>
  <c r="D700" i="9"/>
  <c r="B700" i="9"/>
  <c r="H699" i="9"/>
  <c r="G699" i="9"/>
  <c r="E699" i="9"/>
  <c r="D699" i="9"/>
  <c r="B699" i="9"/>
  <c r="H698" i="9"/>
  <c r="G698" i="9"/>
  <c r="E698" i="9"/>
  <c r="D698" i="9"/>
  <c r="B698" i="9"/>
  <c r="H697" i="9"/>
  <c r="G697" i="9"/>
  <c r="E697" i="9"/>
  <c r="D697" i="9"/>
  <c r="B697" i="9"/>
  <c r="H696" i="9"/>
  <c r="G696" i="9"/>
  <c r="E696" i="9"/>
  <c r="D696" i="9"/>
  <c r="B696" i="9"/>
  <c r="H695" i="9"/>
  <c r="G695" i="9"/>
  <c r="E695" i="9"/>
  <c r="D695" i="9"/>
  <c r="B695" i="9"/>
  <c r="H694" i="9"/>
  <c r="G694" i="9"/>
  <c r="E694" i="9"/>
  <c r="D694" i="9"/>
  <c r="B694" i="9"/>
  <c r="H693" i="9"/>
  <c r="G693" i="9"/>
  <c r="E693" i="9"/>
  <c r="D693" i="9"/>
  <c r="B693" i="9"/>
  <c r="H692" i="9"/>
  <c r="G692" i="9"/>
  <c r="E692" i="9"/>
  <c r="D692" i="9"/>
  <c r="B692" i="9"/>
  <c r="H691" i="9"/>
  <c r="G691" i="9"/>
  <c r="E691" i="9"/>
  <c r="D691" i="9"/>
  <c r="B691" i="9"/>
  <c r="H690" i="9"/>
  <c r="G690" i="9"/>
  <c r="E690" i="9"/>
  <c r="D690" i="9"/>
  <c r="B690" i="9"/>
  <c r="H689" i="9"/>
  <c r="G689" i="9"/>
  <c r="E689" i="9"/>
  <c r="D689" i="9"/>
  <c r="B689" i="9"/>
  <c r="H688" i="9"/>
  <c r="G688" i="9"/>
  <c r="E688" i="9"/>
  <c r="D688" i="9"/>
  <c r="B688" i="9"/>
  <c r="H687" i="9"/>
  <c r="G687" i="9"/>
  <c r="E687" i="9"/>
  <c r="D687" i="9"/>
  <c r="B687" i="9"/>
  <c r="H686" i="9"/>
  <c r="G686" i="9"/>
  <c r="E686" i="9"/>
  <c r="D686" i="9"/>
  <c r="B686" i="9"/>
  <c r="H685" i="9"/>
  <c r="G685" i="9"/>
  <c r="E685" i="9"/>
  <c r="D685" i="9"/>
  <c r="B685" i="9"/>
  <c r="H684" i="9"/>
  <c r="G684" i="9"/>
  <c r="E684" i="9"/>
  <c r="D684" i="9"/>
  <c r="B684" i="9"/>
  <c r="H683" i="9"/>
  <c r="G683" i="9"/>
  <c r="E683" i="9"/>
  <c r="D683" i="9"/>
  <c r="B683" i="9"/>
  <c r="H682" i="9"/>
  <c r="G682" i="9"/>
  <c r="E682" i="9"/>
  <c r="D682" i="9"/>
  <c r="B682" i="9"/>
  <c r="H681" i="9"/>
  <c r="G681" i="9"/>
  <c r="E681" i="9"/>
  <c r="D681" i="9"/>
  <c r="B681" i="9"/>
  <c r="H680" i="9"/>
  <c r="G680" i="9"/>
  <c r="E680" i="9"/>
  <c r="D680" i="9"/>
  <c r="B680" i="9"/>
  <c r="H679" i="9"/>
  <c r="G679" i="9"/>
  <c r="E679" i="9"/>
  <c r="D679" i="9"/>
  <c r="B679" i="9"/>
  <c r="H678" i="9"/>
  <c r="G678" i="9"/>
  <c r="E678" i="9"/>
  <c r="D678" i="9"/>
  <c r="B678" i="9"/>
  <c r="H677" i="9"/>
  <c r="G677" i="9"/>
  <c r="E677" i="9"/>
  <c r="D677" i="9"/>
  <c r="B677" i="9"/>
  <c r="H676" i="9"/>
  <c r="G676" i="9"/>
  <c r="E676" i="9"/>
  <c r="D676" i="9"/>
  <c r="B676" i="9"/>
  <c r="H675" i="9"/>
  <c r="G675" i="9"/>
  <c r="E675" i="9"/>
  <c r="D675" i="9"/>
  <c r="B675" i="9"/>
  <c r="H674" i="9"/>
  <c r="G674" i="9"/>
  <c r="E674" i="9"/>
  <c r="D674" i="9"/>
  <c r="B674" i="9"/>
  <c r="H673" i="9"/>
  <c r="G673" i="9"/>
  <c r="E673" i="9"/>
  <c r="D673" i="9"/>
  <c r="B673" i="9"/>
  <c r="H672" i="9"/>
  <c r="G672" i="9"/>
  <c r="E672" i="9"/>
  <c r="D672" i="9"/>
  <c r="B672" i="9"/>
  <c r="H671" i="9"/>
  <c r="G671" i="9"/>
  <c r="E671" i="9"/>
  <c r="D671" i="9"/>
  <c r="B671" i="9"/>
  <c r="H670" i="9"/>
  <c r="G670" i="9"/>
  <c r="E670" i="9"/>
  <c r="D670" i="9"/>
  <c r="B670" i="9"/>
  <c r="H669" i="9"/>
  <c r="G669" i="9"/>
  <c r="E669" i="9"/>
  <c r="D669" i="9"/>
  <c r="B669" i="9"/>
  <c r="H668" i="9"/>
  <c r="G668" i="9"/>
  <c r="E668" i="9"/>
  <c r="D668" i="9"/>
  <c r="B668" i="9"/>
  <c r="H667" i="9"/>
  <c r="G667" i="9"/>
  <c r="E667" i="9"/>
  <c r="D667" i="9"/>
  <c r="B667" i="9"/>
  <c r="H666" i="9"/>
  <c r="G666" i="9"/>
  <c r="E666" i="9"/>
  <c r="D666" i="9"/>
  <c r="B666" i="9"/>
  <c r="H665" i="9"/>
  <c r="G665" i="9"/>
  <c r="E665" i="9"/>
  <c r="D665" i="9"/>
  <c r="B665" i="9"/>
  <c r="H664" i="9"/>
  <c r="G664" i="9"/>
  <c r="E664" i="9"/>
  <c r="D664" i="9"/>
  <c r="B664" i="9"/>
  <c r="H663" i="9"/>
  <c r="G663" i="9"/>
  <c r="E663" i="9"/>
  <c r="D663" i="9"/>
  <c r="B663" i="9"/>
  <c r="H662" i="9"/>
  <c r="G662" i="9"/>
  <c r="E662" i="9"/>
  <c r="D662" i="9"/>
  <c r="B662" i="9"/>
  <c r="H661" i="9"/>
  <c r="G661" i="9"/>
  <c r="E661" i="9"/>
  <c r="D661" i="9"/>
  <c r="B661" i="9"/>
  <c r="H660" i="9"/>
  <c r="G660" i="9"/>
  <c r="E660" i="9"/>
  <c r="D660" i="9"/>
  <c r="B660" i="9"/>
  <c r="H659" i="9"/>
  <c r="G659" i="9"/>
  <c r="E659" i="9"/>
  <c r="D659" i="9"/>
  <c r="B659" i="9"/>
  <c r="H658" i="9"/>
  <c r="G658" i="9"/>
  <c r="E658" i="9"/>
  <c r="D658" i="9"/>
  <c r="B658" i="9"/>
  <c r="H657" i="9"/>
  <c r="G657" i="9"/>
  <c r="E657" i="9"/>
  <c r="D657" i="9"/>
  <c r="B657" i="9"/>
  <c r="H656" i="9"/>
  <c r="G656" i="9"/>
  <c r="E656" i="9"/>
  <c r="D656" i="9"/>
  <c r="B656" i="9"/>
  <c r="H655" i="9"/>
  <c r="G655" i="9"/>
  <c r="E655" i="9"/>
  <c r="D655" i="9"/>
  <c r="B655" i="9"/>
  <c r="H654" i="9"/>
  <c r="G654" i="9"/>
  <c r="E654" i="9"/>
  <c r="D654" i="9"/>
  <c r="B654" i="9"/>
  <c r="H653" i="9"/>
  <c r="G653" i="9"/>
  <c r="E653" i="9"/>
  <c r="D653" i="9"/>
  <c r="B653" i="9"/>
  <c r="H652" i="9"/>
  <c r="G652" i="9"/>
  <c r="E652" i="9"/>
  <c r="D652" i="9"/>
  <c r="B652" i="9"/>
  <c r="H651" i="9"/>
  <c r="G651" i="9"/>
  <c r="E651" i="9"/>
  <c r="D651" i="9"/>
  <c r="B651" i="9"/>
  <c r="H650" i="9"/>
  <c r="G650" i="9"/>
  <c r="E650" i="9"/>
  <c r="D650" i="9"/>
  <c r="B650" i="9"/>
  <c r="H649" i="9"/>
  <c r="G649" i="9"/>
  <c r="E649" i="9"/>
  <c r="D649" i="9"/>
  <c r="B649" i="9"/>
  <c r="H648" i="9"/>
  <c r="G648" i="9"/>
  <c r="E648" i="9"/>
  <c r="D648" i="9"/>
  <c r="B648" i="9"/>
  <c r="H647" i="9"/>
  <c r="G647" i="9"/>
  <c r="E647" i="9"/>
  <c r="D647" i="9"/>
  <c r="B647" i="9"/>
  <c r="H646" i="9"/>
  <c r="G646" i="9"/>
  <c r="E646" i="9"/>
  <c r="D646" i="9"/>
  <c r="B646" i="9"/>
  <c r="H645" i="9"/>
  <c r="G645" i="9"/>
  <c r="E645" i="9"/>
  <c r="D645" i="9"/>
  <c r="B645" i="9"/>
  <c r="H644" i="9"/>
  <c r="G644" i="9"/>
  <c r="E644" i="9"/>
  <c r="D644" i="9"/>
  <c r="B644" i="9"/>
  <c r="H643" i="9"/>
  <c r="G643" i="9"/>
  <c r="E643" i="9"/>
  <c r="D643" i="9"/>
  <c r="B643" i="9"/>
  <c r="H642" i="9"/>
  <c r="G642" i="9"/>
  <c r="E642" i="9"/>
  <c r="D642" i="9"/>
  <c r="B642" i="9"/>
  <c r="H641" i="9"/>
  <c r="G641" i="9"/>
  <c r="E641" i="9"/>
  <c r="D641" i="9"/>
  <c r="B641" i="9"/>
  <c r="H640" i="9"/>
  <c r="G640" i="9"/>
  <c r="E640" i="9"/>
  <c r="D640" i="9"/>
  <c r="B640" i="9"/>
  <c r="H639" i="9"/>
  <c r="G639" i="9"/>
  <c r="E639" i="9"/>
  <c r="D639" i="9"/>
  <c r="B639" i="9"/>
  <c r="H638" i="9"/>
  <c r="G638" i="9"/>
  <c r="E638" i="9"/>
  <c r="D638" i="9"/>
  <c r="B638" i="9"/>
  <c r="H637" i="9"/>
  <c r="G637" i="9"/>
  <c r="E637" i="9"/>
  <c r="D637" i="9"/>
  <c r="B637" i="9"/>
  <c r="H636" i="9"/>
  <c r="G636" i="9"/>
  <c r="E636" i="9"/>
  <c r="D636" i="9"/>
  <c r="B636" i="9"/>
  <c r="H635" i="9"/>
  <c r="G635" i="9"/>
  <c r="E635" i="9"/>
  <c r="D635" i="9"/>
  <c r="B635" i="9"/>
  <c r="H634" i="9"/>
  <c r="G634" i="9"/>
  <c r="E634" i="9"/>
  <c r="D634" i="9"/>
  <c r="B634" i="9"/>
  <c r="H633" i="9"/>
  <c r="G633" i="9"/>
  <c r="E633" i="9"/>
  <c r="D633" i="9"/>
  <c r="B633" i="9"/>
  <c r="H632" i="9"/>
  <c r="G632" i="9"/>
  <c r="E632" i="9"/>
  <c r="D632" i="9"/>
  <c r="B632" i="9"/>
  <c r="H631" i="9"/>
  <c r="G631" i="9"/>
  <c r="E631" i="9"/>
  <c r="D631" i="9"/>
  <c r="B631" i="9"/>
  <c r="H630" i="9"/>
  <c r="G630" i="9"/>
  <c r="E630" i="9"/>
  <c r="D630" i="9"/>
  <c r="B630" i="9"/>
  <c r="H629" i="9"/>
  <c r="G629" i="9"/>
  <c r="E629" i="9"/>
  <c r="D629" i="9"/>
  <c r="B629" i="9"/>
  <c r="H628" i="9"/>
  <c r="G628" i="9"/>
  <c r="E628" i="9"/>
  <c r="D628" i="9"/>
  <c r="B628" i="9"/>
  <c r="H627" i="9"/>
  <c r="G627" i="9"/>
  <c r="E627" i="9"/>
  <c r="D627" i="9"/>
  <c r="B627" i="9"/>
  <c r="H626" i="9"/>
  <c r="G626" i="9"/>
  <c r="E626" i="9"/>
  <c r="D626" i="9"/>
  <c r="B626" i="9"/>
  <c r="H625" i="9"/>
  <c r="G625" i="9"/>
  <c r="E625" i="9"/>
  <c r="D625" i="9"/>
  <c r="B625" i="9"/>
  <c r="H624" i="9"/>
  <c r="G624" i="9"/>
  <c r="E624" i="9"/>
  <c r="D624" i="9"/>
  <c r="B624" i="9"/>
  <c r="H623" i="9"/>
  <c r="G623" i="9"/>
  <c r="E623" i="9"/>
  <c r="D623" i="9"/>
  <c r="B623" i="9"/>
  <c r="H622" i="9"/>
  <c r="G622" i="9"/>
  <c r="E622" i="9"/>
  <c r="D622" i="9"/>
  <c r="B622" i="9"/>
  <c r="H621" i="9"/>
  <c r="G621" i="9"/>
  <c r="E621" i="9"/>
  <c r="D621" i="9"/>
  <c r="B621" i="9"/>
  <c r="H620" i="9"/>
  <c r="G620" i="9"/>
  <c r="E620" i="9"/>
  <c r="D620" i="9"/>
  <c r="B620" i="9"/>
  <c r="H619" i="9"/>
  <c r="G619" i="9"/>
  <c r="E619" i="9"/>
  <c r="D619" i="9"/>
  <c r="B619" i="9"/>
  <c r="H618" i="9"/>
  <c r="G618" i="9"/>
  <c r="E618" i="9"/>
  <c r="D618" i="9"/>
  <c r="B618" i="9"/>
  <c r="H617" i="9"/>
  <c r="G617" i="9"/>
  <c r="E617" i="9"/>
  <c r="D617" i="9"/>
  <c r="B617" i="9"/>
  <c r="H616" i="9"/>
  <c r="G616" i="9"/>
  <c r="E616" i="9"/>
  <c r="D616" i="9"/>
  <c r="B616" i="9"/>
  <c r="H615" i="9"/>
  <c r="G615" i="9"/>
  <c r="E615" i="9"/>
  <c r="D615" i="9"/>
  <c r="B615" i="9"/>
  <c r="H614" i="9"/>
  <c r="G614" i="9"/>
  <c r="E614" i="9"/>
  <c r="D614" i="9"/>
  <c r="B614" i="9"/>
  <c r="H613" i="9"/>
  <c r="G613" i="9"/>
  <c r="E613" i="9"/>
  <c r="D613" i="9"/>
  <c r="B613" i="9"/>
  <c r="H612" i="9"/>
  <c r="G612" i="9"/>
  <c r="E612" i="9"/>
  <c r="D612" i="9"/>
  <c r="B612" i="9"/>
  <c r="H611" i="9"/>
  <c r="G611" i="9"/>
  <c r="E611" i="9"/>
  <c r="D611" i="9"/>
  <c r="B611" i="9"/>
  <c r="H610" i="9"/>
  <c r="G610" i="9"/>
  <c r="E610" i="9"/>
  <c r="D610" i="9"/>
  <c r="B610" i="9"/>
  <c r="H609" i="9"/>
  <c r="G609" i="9"/>
  <c r="E609" i="9"/>
  <c r="D609" i="9"/>
  <c r="B609" i="9"/>
  <c r="H608" i="9"/>
  <c r="G608" i="9"/>
  <c r="E608" i="9"/>
  <c r="D608" i="9"/>
  <c r="B608" i="9"/>
  <c r="H607" i="9"/>
  <c r="G607" i="9"/>
  <c r="E607" i="9"/>
  <c r="D607" i="9"/>
  <c r="B607" i="9"/>
  <c r="H606" i="9"/>
  <c r="G606" i="9"/>
  <c r="E606" i="9"/>
  <c r="D606" i="9"/>
  <c r="B606" i="9"/>
  <c r="H605" i="9"/>
  <c r="G605" i="9"/>
  <c r="E605" i="9"/>
  <c r="D605" i="9"/>
  <c r="B605" i="9"/>
  <c r="H604" i="9"/>
  <c r="G604" i="9"/>
  <c r="E604" i="9"/>
  <c r="D604" i="9"/>
  <c r="B604" i="9"/>
  <c r="H603" i="9"/>
  <c r="G603" i="9"/>
  <c r="E603" i="9"/>
  <c r="D603" i="9"/>
  <c r="B603" i="9"/>
  <c r="H602" i="9"/>
  <c r="G602" i="9"/>
  <c r="E602" i="9"/>
  <c r="D602" i="9"/>
  <c r="B602" i="9"/>
  <c r="H601" i="9"/>
  <c r="G601" i="9"/>
  <c r="E601" i="9"/>
  <c r="D601" i="9"/>
  <c r="B601" i="9"/>
  <c r="H600" i="9"/>
  <c r="G600" i="9"/>
  <c r="E600" i="9"/>
  <c r="D600" i="9"/>
  <c r="B600" i="9"/>
  <c r="H599" i="9"/>
  <c r="G599" i="9"/>
  <c r="E599" i="9"/>
  <c r="D599" i="9"/>
  <c r="B599" i="9"/>
  <c r="H598" i="9"/>
  <c r="G598" i="9"/>
  <c r="E598" i="9"/>
  <c r="D598" i="9"/>
  <c r="B598" i="9"/>
  <c r="H597" i="9"/>
  <c r="G597" i="9"/>
  <c r="E597" i="9"/>
  <c r="D597" i="9"/>
  <c r="B597" i="9"/>
  <c r="H596" i="9"/>
  <c r="G596" i="9"/>
  <c r="E596" i="9"/>
  <c r="D596" i="9"/>
  <c r="B596" i="9"/>
  <c r="H595" i="9"/>
  <c r="G595" i="9"/>
  <c r="E595" i="9"/>
  <c r="D595" i="9"/>
  <c r="B595" i="9"/>
  <c r="H594" i="9"/>
  <c r="G594" i="9"/>
  <c r="E594" i="9"/>
  <c r="D594" i="9"/>
  <c r="B594" i="9"/>
  <c r="H593" i="9"/>
  <c r="G593" i="9"/>
  <c r="E593" i="9"/>
  <c r="D593" i="9"/>
  <c r="B593" i="9"/>
  <c r="H592" i="9"/>
  <c r="G592" i="9"/>
  <c r="E592" i="9"/>
  <c r="D592" i="9"/>
  <c r="B592" i="9"/>
  <c r="H591" i="9"/>
  <c r="G591" i="9"/>
  <c r="E591" i="9"/>
  <c r="D591" i="9"/>
  <c r="B591" i="9"/>
  <c r="H590" i="9"/>
  <c r="G590" i="9"/>
  <c r="E590" i="9"/>
  <c r="D590" i="9"/>
  <c r="B590" i="9"/>
  <c r="H589" i="9"/>
  <c r="G589" i="9"/>
  <c r="E589" i="9"/>
  <c r="D589" i="9"/>
  <c r="B589" i="9"/>
  <c r="H588" i="9"/>
  <c r="G588" i="9"/>
  <c r="E588" i="9"/>
  <c r="D588" i="9"/>
  <c r="B588" i="9"/>
  <c r="H587" i="9"/>
  <c r="G587" i="9"/>
  <c r="E587" i="9"/>
  <c r="D587" i="9"/>
  <c r="B587" i="9"/>
  <c r="H586" i="9"/>
  <c r="G586" i="9"/>
  <c r="E586" i="9"/>
  <c r="D586" i="9"/>
  <c r="B586" i="9"/>
  <c r="H585" i="9"/>
  <c r="G585" i="9"/>
  <c r="E585" i="9"/>
  <c r="D585" i="9"/>
  <c r="B585" i="9"/>
  <c r="H584" i="9"/>
  <c r="G584" i="9"/>
  <c r="E584" i="9"/>
  <c r="D584" i="9"/>
  <c r="B584" i="9"/>
  <c r="H583" i="9"/>
  <c r="G583" i="9"/>
  <c r="E583" i="9"/>
  <c r="D583" i="9"/>
  <c r="B583" i="9"/>
  <c r="H582" i="9"/>
  <c r="G582" i="9"/>
  <c r="E582" i="9"/>
  <c r="D582" i="9"/>
  <c r="B582" i="9"/>
  <c r="H581" i="9"/>
  <c r="G581" i="9"/>
  <c r="E581" i="9"/>
  <c r="D581" i="9"/>
  <c r="B581" i="9"/>
  <c r="H580" i="9"/>
  <c r="G580" i="9"/>
  <c r="E580" i="9"/>
  <c r="D580" i="9"/>
  <c r="B580" i="9"/>
  <c r="H579" i="9"/>
  <c r="G579" i="9"/>
  <c r="E579" i="9"/>
  <c r="D579" i="9"/>
  <c r="B579" i="9"/>
  <c r="H578" i="9"/>
  <c r="G578" i="9"/>
  <c r="E578" i="9"/>
  <c r="D578" i="9"/>
  <c r="B578" i="9"/>
  <c r="H577" i="9"/>
  <c r="G577" i="9"/>
  <c r="E577" i="9"/>
  <c r="D577" i="9"/>
  <c r="B577" i="9"/>
  <c r="H576" i="9"/>
  <c r="G576" i="9"/>
  <c r="E576" i="9"/>
  <c r="D576" i="9"/>
  <c r="B576" i="9"/>
  <c r="H575" i="9"/>
  <c r="G575" i="9"/>
  <c r="E575" i="9"/>
  <c r="D575" i="9"/>
  <c r="B575" i="9"/>
  <c r="H574" i="9"/>
  <c r="G574" i="9"/>
  <c r="E574" i="9"/>
  <c r="D574" i="9"/>
  <c r="B574" i="9"/>
  <c r="H573" i="9"/>
  <c r="G573" i="9"/>
  <c r="E573" i="9"/>
  <c r="D573" i="9"/>
  <c r="B573" i="9"/>
  <c r="H572" i="9"/>
  <c r="G572" i="9"/>
  <c r="E572" i="9"/>
  <c r="D572" i="9"/>
  <c r="B572" i="9"/>
  <c r="H571" i="9"/>
  <c r="G571" i="9"/>
  <c r="E571" i="9"/>
  <c r="D571" i="9"/>
  <c r="B571" i="9"/>
  <c r="H570" i="9"/>
  <c r="G570" i="9"/>
  <c r="E570" i="9"/>
  <c r="D570" i="9"/>
  <c r="B570" i="9"/>
  <c r="H569" i="9"/>
  <c r="G569" i="9"/>
  <c r="E569" i="9"/>
  <c r="D569" i="9"/>
  <c r="B569" i="9"/>
  <c r="H568" i="9"/>
  <c r="G568" i="9"/>
  <c r="E568" i="9"/>
  <c r="D568" i="9"/>
  <c r="B568" i="9"/>
  <c r="H567" i="9"/>
  <c r="G567" i="9"/>
  <c r="E567" i="9"/>
  <c r="D567" i="9"/>
  <c r="B567" i="9"/>
  <c r="H566" i="9"/>
  <c r="G566" i="9"/>
  <c r="E566" i="9"/>
  <c r="D566" i="9"/>
  <c r="B566" i="9"/>
  <c r="H565" i="9"/>
  <c r="G565" i="9"/>
  <c r="E565" i="9"/>
  <c r="D565" i="9"/>
  <c r="B565" i="9"/>
  <c r="H564" i="9"/>
  <c r="G564" i="9"/>
  <c r="E564" i="9"/>
  <c r="D564" i="9"/>
  <c r="B564" i="9"/>
  <c r="H563" i="9"/>
  <c r="G563" i="9"/>
  <c r="E563" i="9"/>
  <c r="D563" i="9"/>
  <c r="B563" i="9"/>
  <c r="H562" i="9"/>
  <c r="G562" i="9"/>
  <c r="E562" i="9"/>
  <c r="D562" i="9"/>
  <c r="B562" i="9"/>
  <c r="H561" i="9"/>
  <c r="G561" i="9"/>
  <c r="E561" i="9"/>
  <c r="D561" i="9"/>
  <c r="B561" i="9"/>
  <c r="H560" i="9"/>
  <c r="G560" i="9"/>
  <c r="E560" i="9"/>
  <c r="D560" i="9"/>
  <c r="B560" i="9"/>
  <c r="H559" i="9"/>
  <c r="G559" i="9"/>
  <c r="E559" i="9"/>
  <c r="D559" i="9"/>
  <c r="B559" i="9"/>
  <c r="H558" i="9"/>
  <c r="G558" i="9"/>
  <c r="E558" i="9"/>
  <c r="D558" i="9"/>
  <c r="B558" i="9"/>
  <c r="H557" i="9"/>
  <c r="G557" i="9"/>
  <c r="E557" i="9"/>
  <c r="D557" i="9"/>
  <c r="B557" i="9"/>
  <c r="H556" i="9"/>
  <c r="G556" i="9"/>
  <c r="E556" i="9"/>
  <c r="D556" i="9"/>
  <c r="B556" i="9"/>
  <c r="H555" i="9"/>
  <c r="G555" i="9"/>
  <c r="E555" i="9"/>
  <c r="D555" i="9"/>
  <c r="B555" i="9"/>
  <c r="H554" i="9"/>
  <c r="G554" i="9"/>
  <c r="E554" i="9"/>
  <c r="D554" i="9"/>
  <c r="B554" i="9"/>
  <c r="H553" i="9"/>
  <c r="G553" i="9"/>
  <c r="E553" i="9"/>
  <c r="D553" i="9"/>
  <c r="B553" i="9"/>
  <c r="H552" i="9"/>
  <c r="G552" i="9"/>
  <c r="E552" i="9"/>
  <c r="D552" i="9"/>
  <c r="B552" i="9"/>
  <c r="H551" i="9"/>
  <c r="G551" i="9"/>
  <c r="E551" i="9"/>
  <c r="D551" i="9"/>
  <c r="B551" i="9"/>
  <c r="H550" i="9"/>
  <c r="G550" i="9"/>
  <c r="E550" i="9"/>
  <c r="D550" i="9"/>
  <c r="B550" i="9"/>
  <c r="H549" i="9"/>
  <c r="G549" i="9"/>
  <c r="E549" i="9"/>
  <c r="D549" i="9"/>
  <c r="B549" i="9"/>
  <c r="H548" i="9"/>
  <c r="G548" i="9"/>
  <c r="E548" i="9"/>
  <c r="D548" i="9"/>
  <c r="B548" i="9"/>
  <c r="H547" i="9"/>
  <c r="G547" i="9"/>
  <c r="E547" i="9"/>
  <c r="D547" i="9"/>
  <c r="B547" i="9"/>
  <c r="H546" i="9"/>
  <c r="G546" i="9"/>
  <c r="E546" i="9"/>
  <c r="D546" i="9"/>
  <c r="B546" i="9"/>
  <c r="H545" i="9"/>
  <c r="G545" i="9"/>
  <c r="E545" i="9"/>
  <c r="D545" i="9"/>
  <c r="B545" i="9"/>
  <c r="H544" i="9"/>
  <c r="G544" i="9"/>
  <c r="E544" i="9"/>
  <c r="D544" i="9"/>
  <c r="B544" i="9"/>
  <c r="H543" i="9"/>
  <c r="G543" i="9"/>
  <c r="E543" i="9"/>
  <c r="D543" i="9"/>
  <c r="B543" i="9"/>
  <c r="H542" i="9"/>
  <c r="G542" i="9"/>
  <c r="E542" i="9"/>
  <c r="D542" i="9"/>
  <c r="B542" i="9"/>
  <c r="H541" i="9"/>
  <c r="G541" i="9"/>
  <c r="E541" i="9"/>
  <c r="D541" i="9"/>
  <c r="B541" i="9"/>
  <c r="H540" i="9"/>
  <c r="G540" i="9"/>
  <c r="E540" i="9"/>
  <c r="D540" i="9"/>
  <c r="B540" i="9"/>
  <c r="H539" i="9"/>
  <c r="G539" i="9"/>
  <c r="E539" i="9"/>
  <c r="D539" i="9"/>
  <c r="B539" i="9"/>
  <c r="H538" i="9"/>
  <c r="G538" i="9"/>
  <c r="E538" i="9"/>
  <c r="D538" i="9"/>
  <c r="B538" i="9"/>
  <c r="H537" i="9"/>
  <c r="G537" i="9"/>
  <c r="E537" i="9"/>
  <c r="D537" i="9"/>
  <c r="B537" i="9"/>
  <c r="H536" i="9"/>
  <c r="G536" i="9"/>
  <c r="E536" i="9"/>
  <c r="D536" i="9"/>
  <c r="B536" i="9"/>
  <c r="H535" i="9"/>
  <c r="G535" i="9"/>
  <c r="E535" i="9"/>
  <c r="D535" i="9"/>
  <c r="B535" i="9"/>
  <c r="H534" i="9"/>
  <c r="G534" i="9"/>
  <c r="E534" i="9"/>
  <c r="D534" i="9"/>
  <c r="B534" i="9"/>
  <c r="H533" i="9"/>
  <c r="G533" i="9"/>
  <c r="E533" i="9"/>
  <c r="D533" i="9"/>
  <c r="B533" i="9"/>
  <c r="H532" i="9"/>
  <c r="G532" i="9"/>
  <c r="E532" i="9"/>
  <c r="D532" i="9"/>
  <c r="B532" i="9"/>
  <c r="H531" i="9"/>
  <c r="G531" i="9"/>
  <c r="E531" i="9"/>
  <c r="D531" i="9"/>
  <c r="B531" i="9"/>
  <c r="H530" i="9"/>
  <c r="G530" i="9"/>
  <c r="E530" i="9"/>
  <c r="D530" i="9"/>
  <c r="B530" i="9"/>
  <c r="H529" i="9"/>
  <c r="G529" i="9"/>
  <c r="E529" i="9"/>
  <c r="D529" i="9"/>
  <c r="B529" i="9"/>
  <c r="H528" i="9"/>
  <c r="G528" i="9"/>
  <c r="E528" i="9"/>
  <c r="D528" i="9"/>
  <c r="B528" i="9"/>
  <c r="H527" i="9"/>
  <c r="G527" i="9"/>
  <c r="E527" i="9"/>
  <c r="D527" i="9"/>
  <c r="B527" i="9"/>
  <c r="H526" i="9"/>
  <c r="G526" i="9"/>
  <c r="E526" i="9"/>
  <c r="D526" i="9"/>
  <c r="B526" i="9"/>
  <c r="H525" i="9"/>
  <c r="G525" i="9"/>
  <c r="E525" i="9"/>
  <c r="D525" i="9"/>
  <c r="B525" i="9"/>
  <c r="H524" i="9"/>
  <c r="G524" i="9"/>
  <c r="E524" i="9"/>
  <c r="D524" i="9"/>
  <c r="B524" i="9"/>
  <c r="H523" i="9"/>
  <c r="G523" i="9"/>
  <c r="E523" i="9"/>
  <c r="D523" i="9"/>
  <c r="B523" i="9"/>
  <c r="H522" i="9"/>
  <c r="G522" i="9"/>
  <c r="E522" i="9"/>
  <c r="D522" i="9"/>
  <c r="B522" i="9"/>
  <c r="H521" i="9"/>
  <c r="G521" i="9"/>
  <c r="E521" i="9"/>
  <c r="D521" i="9"/>
  <c r="B521" i="9"/>
  <c r="H520" i="9"/>
  <c r="G520" i="9"/>
  <c r="E520" i="9"/>
  <c r="D520" i="9"/>
  <c r="B520" i="9"/>
  <c r="H519" i="9"/>
  <c r="G519" i="9"/>
  <c r="E519" i="9"/>
  <c r="D519" i="9"/>
  <c r="B519" i="9"/>
  <c r="H518" i="9"/>
  <c r="G518" i="9"/>
  <c r="E518" i="9"/>
  <c r="D518" i="9"/>
  <c r="B518" i="9"/>
  <c r="H517" i="9"/>
  <c r="G517" i="9"/>
  <c r="E517" i="9"/>
  <c r="D517" i="9"/>
  <c r="B517" i="9"/>
  <c r="H516" i="9"/>
  <c r="G516" i="9"/>
  <c r="E516" i="9"/>
  <c r="D516" i="9"/>
  <c r="B516" i="9"/>
  <c r="H515" i="9"/>
  <c r="G515" i="9"/>
  <c r="E515" i="9"/>
  <c r="D515" i="9"/>
  <c r="B515" i="9"/>
  <c r="H514" i="9"/>
  <c r="G514" i="9"/>
  <c r="E514" i="9"/>
  <c r="D514" i="9"/>
  <c r="B514" i="9"/>
  <c r="H513" i="9"/>
  <c r="G513" i="9"/>
  <c r="E513" i="9"/>
  <c r="D513" i="9"/>
  <c r="B513" i="9"/>
  <c r="H512" i="9"/>
  <c r="G512" i="9"/>
  <c r="E512" i="9"/>
  <c r="D512" i="9"/>
  <c r="B512" i="9"/>
  <c r="H511" i="9"/>
  <c r="G511" i="9"/>
  <c r="E511" i="9"/>
  <c r="D511" i="9"/>
  <c r="B511" i="9"/>
  <c r="H510" i="9"/>
  <c r="G510" i="9"/>
  <c r="E510" i="9"/>
  <c r="D510" i="9"/>
  <c r="B510" i="9"/>
  <c r="H509" i="9"/>
  <c r="G509" i="9"/>
  <c r="E509" i="9"/>
  <c r="D509" i="9"/>
  <c r="B509" i="9"/>
  <c r="H508" i="9"/>
  <c r="G508" i="9"/>
  <c r="E508" i="9"/>
  <c r="D508" i="9"/>
  <c r="B508" i="9"/>
  <c r="H507" i="9"/>
  <c r="G507" i="9"/>
  <c r="E507" i="9"/>
  <c r="D507" i="9"/>
  <c r="B507" i="9"/>
  <c r="H506" i="9"/>
  <c r="G506" i="9"/>
  <c r="E506" i="9"/>
  <c r="D506" i="9"/>
  <c r="B506" i="9"/>
  <c r="H505" i="9"/>
  <c r="G505" i="9"/>
  <c r="E505" i="9"/>
  <c r="D505" i="9"/>
  <c r="B505" i="9"/>
  <c r="H504" i="9"/>
  <c r="G504" i="9"/>
  <c r="E504" i="9"/>
  <c r="D504" i="9"/>
  <c r="B504" i="9"/>
  <c r="H503" i="9"/>
  <c r="G503" i="9"/>
  <c r="E503" i="9"/>
  <c r="D503" i="9"/>
  <c r="B503" i="9"/>
  <c r="H502" i="9"/>
  <c r="G502" i="9"/>
  <c r="E502" i="9"/>
  <c r="D502" i="9"/>
  <c r="B502" i="9"/>
  <c r="H501" i="9"/>
  <c r="G501" i="9"/>
  <c r="E501" i="9"/>
  <c r="D501" i="9"/>
  <c r="B501" i="9"/>
  <c r="H500" i="9"/>
  <c r="G500" i="9"/>
  <c r="E500" i="9"/>
  <c r="D500" i="9"/>
  <c r="B500" i="9"/>
  <c r="H499" i="9"/>
  <c r="G499" i="9"/>
  <c r="E499" i="9"/>
  <c r="D499" i="9"/>
  <c r="B499" i="9"/>
  <c r="H498" i="9"/>
  <c r="G498" i="9"/>
  <c r="E498" i="9"/>
  <c r="D498" i="9"/>
  <c r="B498" i="9"/>
  <c r="H497" i="9"/>
  <c r="G497" i="9"/>
  <c r="E497" i="9"/>
  <c r="D497" i="9"/>
  <c r="B497" i="9"/>
  <c r="H496" i="9"/>
  <c r="G496" i="9"/>
  <c r="E496" i="9"/>
  <c r="D496" i="9"/>
  <c r="B496" i="9"/>
  <c r="H495" i="9"/>
  <c r="G495" i="9"/>
  <c r="E495" i="9"/>
  <c r="D495" i="9"/>
  <c r="B495" i="9"/>
  <c r="H494" i="9"/>
  <c r="G494" i="9"/>
  <c r="E494" i="9"/>
  <c r="D494" i="9"/>
  <c r="B494" i="9"/>
  <c r="H493" i="9"/>
  <c r="G493" i="9"/>
  <c r="E493" i="9"/>
  <c r="D493" i="9"/>
  <c r="B493" i="9"/>
  <c r="H492" i="9"/>
  <c r="G492" i="9"/>
  <c r="E492" i="9"/>
  <c r="D492" i="9"/>
  <c r="B492" i="9"/>
  <c r="H491" i="9"/>
  <c r="G491" i="9"/>
  <c r="E491" i="9"/>
  <c r="D491" i="9"/>
  <c r="B491" i="9"/>
  <c r="H490" i="9"/>
  <c r="G490" i="9"/>
  <c r="E490" i="9"/>
  <c r="D490" i="9"/>
  <c r="B490" i="9"/>
  <c r="H489" i="9"/>
  <c r="G489" i="9"/>
  <c r="E489" i="9"/>
  <c r="D489" i="9"/>
  <c r="B489" i="9"/>
  <c r="H488" i="9"/>
  <c r="G488" i="9"/>
  <c r="E488" i="9"/>
  <c r="D488" i="9"/>
  <c r="B488" i="9"/>
  <c r="H487" i="9"/>
  <c r="G487" i="9"/>
  <c r="E487" i="9"/>
  <c r="D487" i="9"/>
  <c r="B487" i="9"/>
  <c r="H486" i="9"/>
  <c r="G486" i="9"/>
  <c r="E486" i="9"/>
  <c r="D486" i="9"/>
  <c r="B486" i="9"/>
  <c r="H485" i="9"/>
  <c r="G485" i="9"/>
  <c r="E485" i="9"/>
  <c r="D485" i="9"/>
  <c r="B485" i="9"/>
  <c r="H484" i="9"/>
  <c r="G484" i="9"/>
  <c r="E484" i="9"/>
  <c r="D484" i="9"/>
  <c r="B484" i="9"/>
  <c r="H483" i="9"/>
  <c r="G483" i="9"/>
  <c r="E483" i="9"/>
  <c r="D483" i="9"/>
  <c r="B483" i="9"/>
  <c r="H482" i="9"/>
  <c r="G482" i="9"/>
  <c r="E482" i="9"/>
  <c r="D482" i="9"/>
  <c r="B482" i="9"/>
  <c r="H481" i="9"/>
  <c r="G481" i="9"/>
  <c r="E481" i="9"/>
  <c r="D481" i="9"/>
  <c r="B481" i="9"/>
  <c r="H480" i="9"/>
  <c r="G480" i="9"/>
  <c r="E480" i="9"/>
  <c r="D480" i="9"/>
  <c r="B480" i="9"/>
  <c r="H479" i="9"/>
  <c r="G479" i="9"/>
  <c r="E479" i="9"/>
  <c r="D479" i="9"/>
  <c r="B479" i="9"/>
  <c r="H478" i="9"/>
  <c r="G478" i="9"/>
  <c r="E478" i="9"/>
  <c r="D478" i="9"/>
  <c r="B478" i="9"/>
  <c r="H477" i="9"/>
  <c r="G477" i="9"/>
  <c r="E477" i="9"/>
  <c r="D477" i="9"/>
  <c r="B477" i="9"/>
  <c r="H476" i="9"/>
  <c r="G476" i="9"/>
  <c r="E476" i="9"/>
  <c r="D476" i="9"/>
  <c r="B476" i="9"/>
  <c r="H475" i="9"/>
  <c r="G475" i="9"/>
  <c r="E475" i="9"/>
  <c r="D475" i="9"/>
  <c r="B475" i="9"/>
  <c r="H474" i="9"/>
  <c r="G474" i="9"/>
  <c r="E474" i="9"/>
  <c r="D474" i="9"/>
  <c r="B474" i="9"/>
  <c r="H473" i="9"/>
  <c r="G473" i="9"/>
  <c r="E473" i="9"/>
  <c r="D473" i="9"/>
  <c r="B473" i="9"/>
  <c r="H472" i="9"/>
  <c r="G472" i="9"/>
  <c r="E472" i="9"/>
  <c r="D472" i="9"/>
  <c r="B472" i="9"/>
  <c r="H471" i="9"/>
  <c r="G471" i="9"/>
  <c r="E471" i="9"/>
  <c r="D471" i="9"/>
  <c r="B471" i="9"/>
  <c r="H470" i="9"/>
  <c r="G470" i="9"/>
  <c r="E470" i="9"/>
  <c r="D470" i="9"/>
  <c r="B470" i="9"/>
  <c r="AF469" i="9"/>
  <c r="AE469" i="9"/>
  <c r="AD469" i="9"/>
  <c r="AC469" i="9"/>
  <c r="AB469" i="9"/>
  <c r="AA469" i="9"/>
  <c r="Z469" i="9"/>
  <c r="Y469" i="9"/>
  <c r="X469" i="9"/>
  <c r="W469" i="9"/>
  <c r="V469" i="9"/>
  <c r="U469" i="9"/>
  <c r="T469" i="9"/>
  <c r="S469" i="9"/>
  <c r="R469" i="9"/>
  <c r="Q469" i="9"/>
  <c r="P469" i="9"/>
  <c r="O469" i="9"/>
  <c r="N469" i="9"/>
  <c r="M469" i="9"/>
  <c r="L469" i="9"/>
  <c r="H469" i="9"/>
  <c r="G469" i="9"/>
  <c r="E469" i="9"/>
  <c r="D469" i="9"/>
  <c r="B469" i="9"/>
  <c r="AE468" i="9"/>
  <c r="X468" i="9"/>
  <c r="Q468" i="9"/>
  <c r="H468" i="9"/>
  <c r="G468" i="9"/>
  <c r="E468" i="9"/>
  <c r="D468" i="9"/>
  <c r="B468" i="9"/>
  <c r="H467" i="9"/>
  <c r="G467" i="9"/>
  <c r="E467" i="9"/>
  <c r="D467" i="9"/>
  <c r="B467" i="9"/>
  <c r="H466" i="9"/>
  <c r="G466" i="9"/>
  <c r="E466" i="9"/>
  <c r="D466" i="9"/>
  <c r="B466" i="9"/>
  <c r="H465" i="9"/>
  <c r="G465" i="9"/>
  <c r="E465" i="9"/>
  <c r="D465" i="9"/>
  <c r="B465" i="9"/>
  <c r="H464" i="9"/>
  <c r="G464" i="9"/>
  <c r="E464" i="9"/>
  <c r="D464" i="9"/>
  <c r="B464" i="9"/>
  <c r="H463" i="9"/>
  <c r="G463" i="9"/>
  <c r="E463" i="9"/>
  <c r="D463" i="9"/>
  <c r="B463" i="9"/>
  <c r="H462" i="9"/>
  <c r="G462" i="9"/>
  <c r="E462" i="9"/>
  <c r="D462" i="9"/>
  <c r="B462" i="9"/>
  <c r="H461" i="9"/>
  <c r="G461" i="9"/>
  <c r="E461" i="9"/>
  <c r="D461" i="9"/>
  <c r="B461" i="9"/>
  <c r="H460" i="9"/>
  <c r="G460" i="9"/>
  <c r="E460" i="9"/>
  <c r="D460" i="9"/>
  <c r="B460" i="9"/>
  <c r="H459" i="9"/>
  <c r="G459" i="9"/>
  <c r="E459" i="9"/>
  <c r="D459" i="9"/>
  <c r="B459" i="9"/>
  <c r="H458" i="9"/>
  <c r="G458" i="9"/>
  <c r="E458" i="9"/>
  <c r="D458" i="9"/>
  <c r="B458" i="9"/>
  <c r="H457" i="9"/>
  <c r="G457" i="9"/>
  <c r="E457" i="9"/>
  <c r="D457" i="9"/>
  <c r="B457" i="9"/>
  <c r="H456" i="9"/>
  <c r="G456" i="9"/>
  <c r="E456" i="9"/>
  <c r="D456" i="9"/>
  <c r="B456" i="9"/>
  <c r="AE455" i="9"/>
  <c r="X455" i="9"/>
  <c r="Q455" i="9"/>
  <c r="H455" i="9"/>
  <c r="G455" i="9"/>
  <c r="E455" i="9"/>
  <c r="D455" i="9"/>
  <c r="B455" i="9"/>
  <c r="AE454" i="9"/>
  <c r="X454" i="9"/>
  <c r="Q454" i="9"/>
  <c r="H454" i="9"/>
  <c r="G454" i="9"/>
  <c r="E454" i="9"/>
  <c r="D454" i="9"/>
  <c r="B454" i="9"/>
  <c r="AE453" i="9"/>
  <c r="X453" i="9"/>
  <c r="Q453" i="9"/>
  <c r="H453" i="9"/>
  <c r="G453" i="9"/>
  <c r="E453" i="9"/>
  <c r="D453" i="9"/>
  <c r="B453" i="9"/>
  <c r="H452" i="9"/>
  <c r="G452" i="9"/>
  <c r="E452" i="9"/>
  <c r="D452" i="9"/>
  <c r="B452" i="9"/>
  <c r="H451" i="9"/>
  <c r="G451" i="9"/>
  <c r="E451" i="9"/>
  <c r="D451" i="9"/>
  <c r="B451" i="9"/>
  <c r="H450" i="9"/>
  <c r="G450" i="9"/>
  <c r="E450" i="9"/>
  <c r="D450" i="9"/>
  <c r="B450" i="9"/>
  <c r="H449" i="9"/>
  <c r="G449" i="9"/>
  <c r="E449" i="9"/>
  <c r="D449" i="9"/>
  <c r="B449" i="9"/>
  <c r="H448" i="9"/>
  <c r="G448" i="9"/>
  <c r="E448" i="9"/>
  <c r="D448" i="9"/>
  <c r="B448" i="9"/>
  <c r="H447" i="9"/>
  <c r="G447" i="9"/>
  <c r="E447" i="9"/>
  <c r="D447" i="9"/>
  <c r="B447" i="9"/>
  <c r="H446" i="9"/>
  <c r="G446" i="9"/>
  <c r="E446" i="9"/>
  <c r="D446" i="9"/>
  <c r="B446" i="9"/>
  <c r="H445" i="9"/>
  <c r="G445" i="9"/>
  <c r="E445" i="9"/>
  <c r="D445" i="9"/>
  <c r="B445" i="9"/>
  <c r="H444" i="9"/>
  <c r="G444" i="9"/>
  <c r="E444" i="9"/>
  <c r="D444" i="9"/>
  <c r="B444" i="9"/>
  <c r="H443" i="9"/>
  <c r="G443" i="9"/>
  <c r="E443" i="9"/>
  <c r="D443" i="9"/>
  <c r="B443" i="9"/>
  <c r="H442" i="9"/>
  <c r="G442" i="9"/>
  <c r="E442" i="9"/>
  <c r="D442" i="9"/>
  <c r="B442" i="9"/>
  <c r="H441" i="9"/>
  <c r="G441" i="9"/>
  <c r="E441" i="9"/>
  <c r="D441" i="9"/>
  <c r="B441" i="9"/>
  <c r="H440" i="9"/>
  <c r="G440" i="9"/>
  <c r="E440" i="9"/>
  <c r="D440" i="9"/>
  <c r="B440" i="9"/>
  <c r="H439" i="9"/>
  <c r="G439" i="9"/>
  <c r="E439" i="9"/>
  <c r="D439" i="9"/>
  <c r="B439" i="9"/>
  <c r="AE438" i="9"/>
  <c r="X438" i="9"/>
  <c r="Q438" i="9"/>
  <c r="H438" i="9"/>
  <c r="G438" i="9"/>
  <c r="E438" i="9"/>
  <c r="D438" i="9"/>
  <c r="B438" i="9"/>
  <c r="H437" i="9"/>
  <c r="G437" i="9"/>
  <c r="E437" i="9"/>
  <c r="D437" i="9"/>
  <c r="B437" i="9"/>
  <c r="H436" i="9"/>
  <c r="G436" i="9"/>
  <c r="E436" i="9"/>
  <c r="D436" i="9"/>
  <c r="B436" i="9"/>
  <c r="H435" i="9"/>
  <c r="G435" i="9"/>
  <c r="E435" i="9"/>
  <c r="D435" i="9"/>
  <c r="B435" i="9"/>
  <c r="H434" i="9"/>
  <c r="G434" i="9"/>
  <c r="E434" i="9"/>
  <c r="D434" i="9"/>
  <c r="B434" i="9"/>
  <c r="H433" i="9"/>
  <c r="G433" i="9"/>
  <c r="E433" i="9"/>
  <c r="D433" i="9"/>
  <c r="B433" i="9"/>
  <c r="H432" i="9"/>
  <c r="G432" i="9"/>
  <c r="E432" i="9"/>
  <c r="D432" i="9"/>
  <c r="B432" i="9"/>
  <c r="H431" i="9"/>
  <c r="G431" i="9"/>
  <c r="E431" i="9"/>
  <c r="D431" i="9"/>
  <c r="B431" i="9"/>
  <c r="H430" i="9"/>
  <c r="G430" i="9"/>
  <c r="E430" i="9"/>
  <c r="D430" i="9"/>
  <c r="B430" i="9"/>
  <c r="H429" i="9"/>
  <c r="G429" i="9"/>
  <c r="E429" i="9"/>
  <c r="D429" i="9"/>
  <c r="B429" i="9"/>
  <c r="H428" i="9"/>
  <c r="G428" i="9"/>
  <c r="E428" i="9"/>
  <c r="D428" i="9"/>
  <c r="B428" i="9"/>
  <c r="H427" i="9"/>
  <c r="G427" i="9"/>
  <c r="E427" i="9"/>
  <c r="D427" i="9"/>
  <c r="B427" i="9"/>
  <c r="H426" i="9"/>
  <c r="G426" i="9"/>
  <c r="E426" i="9"/>
  <c r="D426" i="9"/>
  <c r="B426" i="9"/>
  <c r="H425" i="9"/>
  <c r="G425" i="9"/>
  <c r="E425" i="9"/>
  <c r="D425" i="9"/>
  <c r="B425" i="9"/>
  <c r="H424" i="9"/>
  <c r="G424" i="9"/>
  <c r="E424" i="9"/>
  <c r="D424" i="9"/>
  <c r="B424" i="9"/>
  <c r="AE423" i="9"/>
  <c r="X423" i="9"/>
  <c r="Q423" i="9"/>
  <c r="H423" i="9"/>
  <c r="G423" i="9"/>
  <c r="E423" i="9"/>
  <c r="D423" i="9"/>
  <c r="B423" i="9"/>
  <c r="H422" i="9"/>
  <c r="G422" i="9"/>
  <c r="E422" i="9"/>
  <c r="D422" i="9"/>
  <c r="B422" i="9"/>
  <c r="H421" i="9"/>
  <c r="G421" i="9"/>
  <c r="E421" i="9"/>
  <c r="D421" i="9"/>
  <c r="B421" i="9"/>
  <c r="H420" i="9"/>
  <c r="G420" i="9"/>
  <c r="E420" i="9"/>
  <c r="D420" i="9"/>
  <c r="B420" i="9"/>
  <c r="H419" i="9"/>
  <c r="G419" i="9"/>
  <c r="E419" i="9"/>
  <c r="D419" i="9"/>
  <c r="B419" i="9"/>
  <c r="H418" i="9"/>
  <c r="G418" i="9"/>
  <c r="E418" i="9"/>
  <c r="D418" i="9"/>
  <c r="B418" i="9"/>
  <c r="H417" i="9"/>
  <c r="G417" i="9"/>
  <c r="E417" i="9"/>
  <c r="D417" i="9"/>
  <c r="B417" i="9"/>
  <c r="H416" i="9"/>
  <c r="G416" i="9"/>
  <c r="E416" i="9"/>
  <c r="D416" i="9"/>
  <c r="B416" i="9"/>
  <c r="H415" i="9"/>
  <c r="G415" i="9"/>
  <c r="E415" i="9"/>
  <c r="D415" i="9"/>
  <c r="B415" i="9"/>
  <c r="H414" i="9"/>
  <c r="G414" i="9"/>
  <c r="E414" i="9"/>
  <c r="D414" i="9"/>
  <c r="B414" i="9"/>
  <c r="H413" i="9"/>
  <c r="G413" i="9"/>
  <c r="E413" i="9"/>
  <c r="D413" i="9"/>
  <c r="B413" i="9"/>
  <c r="H412" i="9"/>
  <c r="G412" i="9"/>
  <c r="E412" i="9"/>
  <c r="D412" i="9"/>
  <c r="B412" i="9"/>
  <c r="H411" i="9"/>
  <c r="G411" i="9"/>
  <c r="E411" i="9"/>
  <c r="D411" i="9"/>
  <c r="B411" i="9"/>
  <c r="H410" i="9"/>
  <c r="G410" i="9"/>
  <c r="E410" i="9"/>
  <c r="D410" i="9"/>
  <c r="B410" i="9"/>
  <c r="H409" i="9"/>
  <c r="G409" i="9"/>
  <c r="E409" i="9"/>
  <c r="D409" i="9"/>
  <c r="B409" i="9"/>
  <c r="H408" i="9"/>
  <c r="G408" i="9"/>
  <c r="E408" i="9"/>
  <c r="D408" i="9"/>
  <c r="B408" i="9"/>
  <c r="H407" i="9"/>
  <c r="G407" i="9"/>
  <c r="E407" i="9"/>
  <c r="D407" i="9"/>
  <c r="B407" i="9"/>
  <c r="H406" i="9"/>
  <c r="G406" i="9"/>
  <c r="E406" i="9"/>
  <c r="D406" i="9"/>
  <c r="B406" i="9"/>
  <c r="H405" i="9"/>
  <c r="G405" i="9"/>
  <c r="E405" i="9"/>
  <c r="D405" i="9"/>
  <c r="B405" i="9"/>
  <c r="AE404" i="9"/>
  <c r="X404" i="9"/>
  <c r="Q404" i="9"/>
  <c r="H404" i="9"/>
  <c r="G404" i="9"/>
  <c r="E404" i="9"/>
  <c r="D404" i="9"/>
  <c r="B404" i="9"/>
  <c r="AE403" i="9"/>
  <c r="X403" i="9"/>
  <c r="Q403" i="9"/>
  <c r="H403" i="9"/>
  <c r="G403" i="9"/>
  <c r="E403" i="9"/>
  <c r="D403" i="9"/>
  <c r="B403" i="9"/>
  <c r="H402" i="9"/>
  <c r="G402" i="9"/>
  <c r="E402" i="9"/>
  <c r="D402" i="9"/>
  <c r="B402" i="9"/>
  <c r="H401" i="9"/>
  <c r="G401" i="9"/>
  <c r="E401" i="9"/>
  <c r="D401" i="9"/>
  <c r="B401" i="9"/>
  <c r="H400" i="9"/>
  <c r="G400" i="9"/>
  <c r="E400" i="9"/>
  <c r="D400" i="9"/>
  <c r="B400" i="9"/>
  <c r="H399" i="9"/>
  <c r="G399" i="9"/>
  <c r="E399" i="9"/>
  <c r="D399" i="9"/>
  <c r="B399" i="9"/>
  <c r="H398" i="9"/>
  <c r="G398" i="9"/>
  <c r="E398" i="9"/>
  <c r="D398" i="9"/>
  <c r="B398" i="9"/>
  <c r="H397" i="9"/>
  <c r="G397" i="9"/>
  <c r="E397" i="9"/>
  <c r="D397" i="9"/>
  <c r="B397" i="9"/>
  <c r="H396" i="9"/>
  <c r="G396" i="9"/>
  <c r="E396" i="9"/>
  <c r="D396" i="9"/>
  <c r="B396" i="9"/>
  <c r="H395" i="9"/>
  <c r="G395" i="9"/>
  <c r="E395" i="9"/>
  <c r="D395" i="9"/>
  <c r="B395" i="9"/>
  <c r="H394" i="9"/>
  <c r="G394" i="9"/>
  <c r="E394" i="9"/>
  <c r="D394" i="9"/>
  <c r="B394" i="9"/>
  <c r="H393" i="9"/>
  <c r="G393" i="9"/>
  <c r="E393" i="9"/>
  <c r="D393" i="9"/>
  <c r="B393" i="9"/>
  <c r="H392" i="9"/>
  <c r="G392" i="9"/>
  <c r="E392" i="9"/>
  <c r="D392" i="9"/>
  <c r="B392" i="9"/>
  <c r="H391" i="9"/>
  <c r="G391" i="9"/>
  <c r="E391" i="9"/>
  <c r="D391" i="9"/>
  <c r="B391" i="9"/>
  <c r="H390" i="9"/>
  <c r="G390" i="9"/>
  <c r="E390" i="9"/>
  <c r="D390" i="9"/>
  <c r="B390" i="9"/>
  <c r="H389" i="9"/>
  <c r="G389" i="9"/>
  <c r="E389" i="9"/>
  <c r="D389" i="9"/>
  <c r="B389" i="9"/>
  <c r="H388" i="9"/>
  <c r="G388" i="9"/>
  <c r="E388" i="9"/>
  <c r="D388" i="9"/>
  <c r="B388" i="9"/>
  <c r="AE387" i="9"/>
  <c r="X387" i="9"/>
  <c r="Q387" i="9"/>
  <c r="H387" i="9"/>
  <c r="G387" i="9"/>
  <c r="E387" i="9"/>
  <c r="D387" i="9"/>
  <c r="B387" i="9"/>
  <c r="H386" i="9"/>
  <c r="G386" i="9"/>
  <c r="E386" i="9"/>
  <c r="D386" i="9"/>
  <c r="B386" i="9"/>
  <c r="H385" i="9"/>
  <c r="G385" i="9"/>
  <c r="E385" i="9"/>
  <c r="D385" i="9"/>
  <c r="B385" i="9"/>
  <c r="H384" i="9"/>
  <c r="G384" i="9"/>
  <c r="E384" i="9"/>
  <c r="D384" i="9"/>
  <c r="B384" i="9"/>
  <c r="H383" i="9"/>
  <c r="G383" i="9"/>
  <c r="E383" i="9"/>
  <c r="D383" i="9"/>
  <c r="B383" i="9"/>
  <c r="H382" i="9"/>
  <c r="G382" i="9"/>
  <c r="E382" i="9"/>
  <c r="D382" i="9"/>
  <c r="B382" i="9"/>
  <c r="H381" i="9"/>
  <c r="G381" i="9"/>
  <c r="E381" i="9"/>
  <c r="D381" i="9"/>
  <c r="B381" i="9"/>
  <c r="H380" i="9"/>
  <c r="G380" i="9"/>
  <c r="E380" i="9"/>
  <c r="D380" i="9"/>
  <c r="B380" i="9"/>
  <c r="H379" i="9"/>
  <c r="G379" i="9"/>
  <c r="E379" i="9"/>
  <c r="D379" i="9"/>
  <c r="B379" i="9"/>
  <c r="H378" i="9"/>
  <c r="G378" i="9"/>
  <c r="E378" i="9"/>
  <c r="D378" i="9"/>
  <c r="B378" i="9"/>
  <c r="H377" i="9"/>
  <c r="G377" i="9"/>
  <c r="E377" i="9"/>
  <c r="D377" i="9"/>
  <c r="B377" i="9"/>
  <c r="H376" i="9"/>
  <c r="G376" i="9"/>
  <c r="E376" i="9"/>
  <c r="D376" i="9"/>
  <c r="B376" i="9"/>
  <c r="H375" i="9"/>
  <c r="G375" i="9"/>
  <c r="E375" i="9"/>
  <c r="D375" i="9"/>
  <c r="B375" i="9"/>
  <c r="H374" i="9"/>
  <c r="G374" i="9"/>
  <c r="E374" i="9"/>
  <c r="D374" i="9"/>
  <c r="B374" i="9"/>
  <c r="H373" i="9"/>
  <c r="G373" i="9"/>
  <c r="E373" i="9"/>
  <c r="D373" i="9"/>
  <c r="B373" i="9"/>
  <c r="H372" i="9"/>
  <c r="G372" i="9"/>
  <c r="E372" i="9"/>
  <c r="D372" i="9"/>
  <c r="B372" i="9"/>
  <c r="H371" i="9"/>
  <c r="G371" i="9"/>
  <c r="E371" i="9"/>
  <c r="D371" i="9"/>
  <c r="B371" i="9"/>
  <c r="H370" i="9"/>
  <c r="G370" i="9"/>
  <c r="E370" i="9"/>
  <c r="D370" i="9"/>
  <c r="B370" i="9"/>
  <c r="H369" i="9"/>
  <c r="G369" i="9"/>
  <c r="E369" i="9"/>
  <c r="D369" i="9"/>
  <c r="B369" i="9"/>
  <c r="H368" i="9"/>
  <c r="G368" i="9"/>
  <c r="E368" i="9"/>
  <c r="D368" i="9"/>
  <c r="B368" i="9"/>
  <c r="H367" i="9"/>
  <c r="G367" i="9"/>
  <c r="E367" i="9"/>
  <c r="D367" i="9"/>
  <c r="B367" i="9"/>
  <c r="H366" i="9"/>
  <c r="G366" i="9"/>
  <c r="E366" i="9"/>
  <c r="D366" i="9"/>
  <c r="B366" i="9"/>
  <c r="H365" i="9"/>
  <c r="G365" i="9"/>
  <c r="E365" i="9"/>
  <c r="D365" i="9"/>
  <c r="B365" i="9"/>
  <c r="H364" i="9"/>
  <c r="G364" i="9"/>
  <c r="E364" i="9"/>
  <c r="D364" i="9"/>
  <c r="B364" i="9"/>
  <c r="H363" i="9"/>
  <c r="G363" i="9"/>
  <c r="E363" i="9"/>
  <c r="D363" i="9"/>
  <c r="B363" i="9"/>
  <c r="H362" i="9"/>
  <c r="G362" i="9"/>
  <c r="E362" i="9"/>
  <c r="D362" i="9"/>
  <c r="B362" i="9"/>
  <c r="H361" i="9"/>
  <c r="G361" i="9"/>
  <c r="E361" i="9"/>
  <c r="D361" i="9"/>
  <c r="B361" i="9"/>
  <c r="H360" i="9"/>
  <c r="G360" i="9"/>
  <c r="E360" i="9"/>
  <c r="D360" i="9"/>
  <c r="B360" i="9"/>
  <c r="H359" i="9"/>
  <c r="G359" i="9"/>
  <c r="E359" i="9"/>
  <c r="D359" i="9"/>
  <c r="B359" i="9"/>
  <c r="H358" i="9"/>
  <c r="G358" i="9"/>
  <c r="E358" i="9"/>
  <c r="D358" i="9"/>
  <c r="B358" i="9"/>
  <c r="H357" i="9"/>
  <c r="G357" i="9"/>
  <c r="E357" i="9"/>
  <c r="D357" i="9"/>
  <c r="B357" i="9"/>
  <c r="H356" i="9"/>
  <c r="G356" i="9"/>
  <c r="E356" i="9"/>
  <c r="D356" i="9"/>
  <c r="B356" i="9"/>
  <c r="H355" i="9"/>
  <c r="G355" i="9"/>
  <c r="E355" i="9"/>
  <c r="D355" i="9"/>
  <c r="B355" i="9"/>
  <c r="H354" i="9"/>
  <c r="G354" i="9"/>
  <c r="E354" i="9"/>
  <c r="D354" i="9"/>
  <c r="B354" i="9"/>
  <c r="H353" i="9"/>
  <c r="G353" i="9"/>
  <c r="E353" i="9"/>
  <c r="D353" i="9"/>
  <c r="B353" i="9"/>
  <c r="H352" i="9"/>
  <c r="G352" i="9"/>
  <c r="E352" i="9"/>
  <c r="D352" i="9"/>
  <c r="B352" i="9"/>
  <c r="H351" i="9"/>
  <c r="G351" i="9"/>
  <c r="E351" i="9"/>
  <c r="D351" i="9"/>
  <c r="B351" i="9"/>
  <c r="H350" i="9"/>
  <c r="G350" i="9"/>
  <c r="E350" i="9"/>
  <c r="D350" i="9"/>
  <c r="B350" i="9"/>
  <c r="H349" i="9"/>
  <c r="G349" i="9"/>
  <c r="E349" i="9"/>
  <c r="D349" i="9"/>
  <c r="B349" i="9"/>
  <c r="H348" i="9"/>
  <c r="G348" i="9"/>
  <c r="E348" i="9"/>
  <c r="D348" i="9"/>
  <c r="B348" i="9"/>
  <c r="H347" i="9"/>
  <c r="G347" i="9"/>
  <c r="E347" i="9"/>
  <c r="D347" i="9"/>
  <c r="B347" i="9"/>
  <c r="H346" i="9"/>
  <c r="G346" i="9"/>
  <c r="E346" i="9"/>
  <c r="D346" i="9"/>
  <c r="B346" i="9"/>
  <c r="H345" i="9"/>
  <c r="G345" i="9"/>
  <c r="E345" i="9"/>
  <c r="D345" i="9"/>
  <c r="B345" i="9"/>
  <c r="H344" i="9"/>
  <c r="G344" i="9"/>
  <c r="E344" i="9"/>
  <c r="D344" i="9"/>
  <c r="B344" i="9"/>
  <c r="H343" i="9"/>
  <c r="G343" i="9"/>
  <c r="E343" i="9"/>
  <c r="D343" i="9"/>
  <c r="B343" i="9"/>
  <c r="H342" i="9"/>
  <c r="G342" i="9"/>
  <c r="E342" i="9"/>
  <c r="D342" i="9"/>
  <c r="B342" i="9"/>
  <c r="H341" i="9"/>
  <c r="G341" i="9"/>
  <c r="E341" i="9"/>
  <c r="D341" i="9"/>
  <c r="B341" i="9"/>
  <c r="H340" i="9"/>
  <c r="G340" i="9"/>
  <c r="E340" i="9"/>
  <c r="D340" i="9"/>
  <c r="B340" i="9"/>
  <c r="H339" i="9"/>
  <c r="G339" i="9"/>
  <c r="E339" i="9"/>
  <c r="D339" i="9"/>
  <c r="B339" i="9"/>
  <c r="H338" i="9"/>
  <c r="G338" i="9"/>
  <c r="E338" i="9"/>
  <c r="D338" i="9"/>
  <c r="B338" i="9"/>
  <c r="H337" i="9"/>
  <c r="G337" i="9"/>
  <c r="E337" i="9"/>
  <c r="D337" i="9"/>
  <c r="B337" i="9"/>
  <c r="H336" i="9"/>
  <c r="G336" i="9"/>
  <c r="E336" i="9"/>
  <c r="D336" i="9"/>
  <c r="B336" i="9"/>
  <c r="H335" i="9"/>
  <c r="G335" i="9"/>
  <c r="E335" i="9"/>
  <c r="D335" i="9"/>
  <c r="B335" i="9"/>
  <c r="H334" i="9"/>
  <c r="G334" i="9"/>
  <c r="E334" i="9"/>
  <c r="D334" i="9"/>
  <c r="B334" i="9"/>
  <c r="H333" i="9"/>
  <c r="G333" i="9"/>
  <c r="E333" i="9"/>
  <c r="D333" i="9"/>
  <c r="B333" i="9"/>
  <c r="H332" i="9"/>
  <c r="G332" i="9"/>
  <c r="E332" i="9"/>
  <c r="D332" i="9"/>
  <c r="B332" i="9"/>
  <c r="H331" i="9"/>
  <c r="G331" i="9"/>
  <c r="E331" i="9"/>
  <c r="D331" i="9"/>
  <c r="B331" i="9"/>
  <c r="H330" i="9"/>
  <c r="G330" i="9"/>
  <c r="E330" i="9"/>
  <c r="D330" i="9"/>
  <c r="B330" i="9"/>
  <c r="H329" i="9"/>
  <c r="G329" i="9"/>
  <c r="E329" i="9"/>
  <c r="D329" i="9"/>
  <c r="B329" i="9"/>
  <c r="H328" i="9"/>
  <c r="G328" i="9"/>
  <c r="E328" i="9"/>
  <c r="D328" i="9"/>
  <c r="B328" i="9"/>
  <c r="H327" i="9"/>
  <c r="G327" i="9"/>
  <c r="E327" i="9"/>
  <c r="D327" i="9"/>
  <c r="B327" i="9"/>
  <c r="H326" i="9"/>
  <c r="G326" i="9"/>
  <c r="E326" i="9"/>
  <c r="D326" i="9"/>
  <c r="B326" i="9"/>
  <c r="H325" i="9"/>
  <c r="G325" i="9"/>
  <c r="E325" i="9"/>
  <c r="D325" i="9"/>
  <c r="B325" i="9"/>
  <c r="N324" i="9"/>
  <c r="H324" i="9"/>
  <c r="G324" i="9"/>
  <c r="E324" i="9"/>
  <c r="D324" i="9"/>
  <c r="B324" i="9"/>
  <c r="M323" i="9"/>
  <c r="L323" i="9"/>
  <c r="H323" i="9"/>
  <c r="G323" i="9"/>
  <c r="E323" i="9"/>
  <c r="D323" i="9"/>
  <c r="B323" i="9"/>
  <c r="H322" i="9"/>
  <c r="G322" i="9"/>
  <c r="E322" i="9"/>
  <c r="D322" i="9"/>
  <c r="B322" i="9"/>
  <c r="H321" i="9"/>
  <c r="G321" i="9"/>
  <c r="E321" i="9"/>
  <c r="D321" i="9"/>
  <c r="B321" i="9"/>
  <c r="H320" i="9"/>
  <c r="G320" i="9"/>
  <c r="E320" i="9"/>
  <c r="D320" i="9"/>
  <c r="B320" i="9"/>
  <c r="H319" i="9"/>
  <c r="G319" i="9"/>
  <c r="E319" i="9"/>
  <c r="D319" i="9"/>
  <c r="B319" i="9"/>
  <c r="H318" i="9"/>
  <c r="G318" i="9"/>
  <c r="E318" i="9"/>
  <c r="D318" i="9"/>
  <c r="B318" i="9"/>
  <c r="H317" i="9"/>
  <c r="G317" i="9"/>
  <c r="E317" i="9"/>
  <c r="D317" i="9"/>
  <c r="B317" i="9"/>
  <c r="H316" i="9"/>
  <c r="G316" i="9"/>
  <c r="E316" i="9"/>
  <c r="D316" i="9"/>
  <c r="B316" i="9"/>
  <c r="H315" i="9"/>
  <c r="G315" i="9"/>
  <c r="E315" i="9"/>
  <c r="D315" i="9"/>
  <c r="B315" i="9"/>
  <c r="H314" i="9"/>
  <c r="G314" i="9"/>
  <c r="E314" i="9"/>
  <c r="D314" i="9"/>
  <c r="B314" i="9"/>
  <c r="H313" i="9"/>
  <c r="G313" i="9"/>
  <c r="E313" i="9"/>
  <c r="D313" i="9"/>
  <c r="B313" i="9"/>
  <c r="H312" i="9"/>
  <c r="G312" i="9"/>
  <c r="E312" i="9"/>
  <c r="D312" i="9"/>
  <c r="B312" i="9"/>
  <c r="H311" i="9"/>
  <c r="G311" i="9"/>
  <c r="E311" i="9"/>
  <c r="D311" i="9"/>
  <c r="B311" i="9"/>
  <c r="H310" i="9"/>
  <c r="G310" i="9"/>
  <c r="E310" i="9"/>
  <c r="D310" i="9"/>
  <c r="B310" i="9"/>
  <c r="H309" i="9"/>
  <c r="G309" i="9"/>
  <c r="E309" i="9"/>
  <c r="D309" i="9"/>
  <c r="B309" i="9"/>
  <c r="H308" i="9"/>
  <c r="G308" i="9"/>
  <c r="E308" i="9"/>
  <c r="D308" i="9"/>
  <c r="B308" i="9"/>
  <c r="H307" i="9"/>
  <c r="G307" i="9"/>
  <c r="E307" i="9"/>
  <c r="D307" i="9"/>
  <c r="B307" i="9"/>
  <c r="H306" i="9"/>
  <c r="G306" i="9"/>
  <c r="E306" i="9"/>
  <c r="D306" i="9"/>
  <c r="B306" i="9"/>
  <c r="H305" i="9"/>
  <c r="G305" i="9"/>
  <c r="E305" i="9"/>
  <c r="D305" i="9"/>
  <c r="B305" i="9"/>
  <c r="H304" i="9"/>
  <c r="G304" i="9"/>
  <c r="E304" i="9"/>
  <c r="D304" i="9"/>
  <c r="B304" i="9"/>
  <c r="H303" i="9"/>
  <c r="G303" i="9"/>
  <c r="E303" i="9"/>
  <c r="D303" i="9"/>
  <c r="B303" i="9"/>
  <c r="H302" i="9"/>
  <c r="G302" i="9"/>
  <c r="E302" i="9"/>
  <c r="D302" i="9"/>
  <c r="B302" i="9"/>
  <c r="H301" i="9"/>
  <c r="G301" i="9"/>
  <c r="E301" i="9"/>
  <c r="D301" i="9"/>
  <c r="B301" i="9"/>
  <c r="H300" i="9"/>
  <c r="G300" i="9"/>
  <c r="E300" i="9"/>
  <c r="D300" i="9"/>
  <c r="B300" i="9"/>
  <c r="H299" i="9"/>
  <c r="G299" i="9"/>
  <c r="E299" i="9"/>
  <c r="D299" i="9"/>
  <c r="B299" i="9"/>
  <c r="H298" i="9"/>
  <c r="G298" i="9"/>
  <c r="E298" i="9"/>
  <c r="D298" i="9"/>
  <c r="B298" i="9"/>
  <c r="H297" i="9"/>
  <c r="G297" i="9"/>
  <c r="E297" i="9"/>
  <c r="D297" i="9"/>
  <c r="B297" i="9"/>
  <c r="H296" i="9"/>
  <c r="G296" i="9"/>
  <c r="E296" i="9"/>
  <c r="D296" i="9"/>
  <c r="B296" i="9"/>
  <c r="H295" i="9"/>
  <c r="G295" i="9"/>
  <c r="E295" i="9"/>
  <c r="D295" i="9"/>
  <c r="B295" i="9"/>
  <c r="H294" i="9"/>
  <c r="G294" i="9"/>
  <c r="E294" i="9"/>
  <c r="D294" i="9"/>
  <c r="B294" i="9"/>
  <c r="H293" i="9"/>
  <c r="G293" i="9"/>
  <c r="E293" i="9"/>
  <c r="D293" i="9"/>
  <c r="B293" i="9"/>
  <c r="H292" i="9"/>
  <c r="G292" i="9"/>
  <c r="E292" i="9"/>
  <c r="D292" i="9"/>
  <c r="B292" i="9"/>
  <c r="H291" i="9"/>
  <c r="G291" i="9"/>
  <c r="E291" i="9"/>
  <c r="D291" i="9"/>
  <c r="B291" i="9"/>
  <c r="H290" i="9"/>
  <c r="G290" i="9"/>
  <c r="E290" i="9"/>
  <c r="D290" i="9"/>
  <c r="B290" i="9"/>
  <c r="H289" i="9"/>
  <c r="G289" i="9"/>
  <c r="E289" i="9"/>
  <c r="D289" i="9"/>
  <c r="B289" i="9"/>
  <c r="H288" i="9"/>
  <c r="G288" i="9"/>
  <c r="E288" i="9"/>
  <c r="D288" i="9"/>
  <c r="B288" i="9"/>
  <c r="H287" i="9"/>
  <c r="G287" i="9"/>
  <c r="E287" i="9"/>
  <c r="D287" i="9"/>
  <c r="B287" i="9"/>
  <c r="T286" i="9"/>
  <c r="S286" i="9"/>
  <c r="T287" i="9" s="1"/>
  <c r="R286" i="9"/>
  <c r="Q286" i="9"/>
  <c r="H286" i="9"/>
  <c r="G286" i="9"/>
  <c r="E286" i="9"/>
  <c r="D286" i="9"/>
  <c r="B286" i="9"/>
  <c r="H285" i="9"/>
  <c r="G285" i="9"/>
  <c r="E285" i="9"/>
  <c r="D285" i="9"/>
  <c r="B285" i="9"/>
  <c r="H284" i="9"/>
  <c r="G284" i="9"/>
  <c r="E284" i="9"/>
  <c r="D284" i="9"/>
  <c r="B284" i="9"/>
  <c r="H283" i="9"/>
  <c r="G283" i="9"/>
  <c r="E283" i="9"/>
  <c r="D283" i="9"/>
  <c r="B283" i="9"/>
  <c r="H282" i="9"/>
  <c r="G282" i="9"/>
  <c r="E282" i="9"/>
  <c r="D282" i="9"/>
  <c r="B282" i="9"/>
  <c r="H281" i="9"/>
  <c r="G281" i="9"/>
  <c r="E281" i="9"/>
  <c r="D281" i="9"/>
  <c r="B281" i="9"/>
  <c r="H280" i="9"/>
  <c r="G280" i="9"/>
  <c r="E280" i="9"/>
  <c r="D280" i="9"/>
  <c r="B280" i="9"/>
  <c r="H279" i="9"/>
  <c r="G279" i="9"/>
  <c r="E279" i="9"/>
  <c r="D279" i="9"/>
  <c r="B279" i="9"/>
  <c r="H278" i="9"/>
  <c r="G278" i="9"/>
  <c r="E278" i="9"/>
  <c r="D278" i="9"/>
  <c r="B278" i="9"/>
  <c r="H277" i="9"/>
  <c r="G277" i="9"/>
  <c r="E277" i="9"/>
  <c r="D277" i="9"/>
  <c r="B277" i="9"/>
  <c r="H276" i="9"/>
  <c r="G276" i="9"/>
  <c r="E276" i="9"/>
  <c r="D276" i="9"/>
  <c r="B276" i="9"/>
  <c r="H275" i="9"/>
  <c r="G275" i="9"/>
  <c r="E275" i="9"/>
  <c r="D275" i="9"/>
  <c r="B275" i="9"/>
  <c r="H274" i="9"/>
  <c r="G274" i="9"/>
  <c r="E274" i="9"/>
  <c r="D274" i="9"/>
  <c r="B274" i="9"/>
  <c r="H273" i="9"/>
  <c r="G273" i="9"/>
  <c r="E273" i="9"/>
  <c r="D273" i="9"/>
  <c r="B273" i="9"/>
  <c r="H272" i="9"/>
  <c r="G272" i="9"/>
  <c r="E272" i="9"/>
  <c r="D272" i="9"/>
  <c r="B272" i="9"/>
  <c r="H271" i="9"/>
  <c r="G271" i="9"/>
  <c r="E271" i="9"/>
  <c r="D271" i="9"/>
  <c r="B271" i="9"/>
  <c r="H270" i="9"/>
  <c r="G270" i="9"/>
  <c r="E270" i="9"/>
  <c r="D270" i="9"/>
  <c r="B270" i="9"/>
  <c r="H269" i="9"/>
  <c r="G269" i="9"/>
  <c r="E269" i="9"/>
  <c r="D269" i="9"/>
  <c r="B269" i="9"/>
  <c r="H268" i="9"/>
  <c r="G268" i="9"/>
  <c r="E268" i="9"/>
  <c r="D268" i="9"/>
  <c r="B268" i="9"/>
  <c r="H267" i="9"/>
  <c r="G267" i="9"/>
  <c r="E267" i="9"/>
  <c r="D267" i="9"/>
  <c r="B267" i="9"/>
  <c r="H266" i="9"/>
  <c r="G266" i="9"/>
  <c r="E266" i="9"/>
  <c r="D266" i="9"/>
  <c r="B266" i="9"/>
  <c r="H265" i="9"/>
  <c r="G265" i="9"/>
  <c r="E265" i="9"/>
  <c r="D265" i="9"/>
  <c r="B265" i="9"/>
  <c r="H264" i="9"/>
  <c r="G264" i="9"/>
  <c r="E264" i="9"/>
  <c r="D264" i="9"/>
  <c r="B264" i="9"/>
  <c r="H263" i="9"/>
  <c r="G263" i="9"/>
  <c r="E263" i="9"/>
  <c r="D263" i="9"/>
  <c r="B263" i="9"/>
  <c r="H262" i="9"/>
  <c r="G262" i="9"/>
  <c r="E262" i="9"/>
  <c r="D262" i="9"/>
  <c r="B262" i="9"/>
  <c r="H261" i="9"/>
  <c r="G261" i="9"/>
  <c r="E261" i="9"/>
  <c r="D261" i="9"/>
  <c r="B261" i="9"/>
  <c r="H260" i="9"/>
  <c r="G260" i="9"/>
  <c r="E260" i="9"/>
  <c r="D260" i="9"/>
  <c r="B260" i="9"/>
  <c r="H259" i="9"/>
  <c r="G259" i="9"/>
  <c r="E259" i="9"/>
  <c r="D259" i="9"/>
  <c r="B259" i="9"/>
  <c r="H258" i="9"/>
  <c r="G258" i="9"/>
  <c r="E258" i="9"/>
  <c r="D258" i="9"/>
  <c r="B258" i="9"/>
  <c r="H257" i="9"/>
  <c r="G257" i="9"/>
  <c r="E257" i="9"/>
  <c r="D257" i="9"/>
  <c r="B257" i="9"/>
  <c r="H256" i="9"/>
  <c r="G256" i="9"/>
  <c r="E256" i="9"/>
  <c r="D256" i="9"/>
  <c r="B256" i="9"/>
  <c r="H255" i="9"/>
  <c r="G255" i="9"/>
  <c r="E255" i="9"/>
  <c r="D255" i="9"/>
  <c r="B255" i="9"/>
  <c r="H254" i="9"/>
  <c r="G254" i="9"/>
  <c r="E254" i="9"/>
  <c r="D254" i="9"/>
  <c r="B254" i="9"/>
  <c r="H253" i="9"/>
  <c r="G253" i="9"/>
  <c r="E253" i="9"/>
  <c r="D253" i="9"/>
  <c r="B253" i="9"/>
  <c r="H252" i="9"/>
  <c r="G252" i="9"/>
  <c r="E252" i="9"/>
  <c r="D252" i="9"/>
  <c r="B252" i="9"/>
  <c r="P251" i="9"/>
  <c r="O251" i="9"/>
  <c r="N251" i="9"/>
  <c r="M251" i="9"/>
  <c r="L251" i="9"/>
  <c r="M252" i="9" s="1"/>
  <c r="H251" i="9"/>
  <c r="G251" i="9"/>
  <c r="E251" i="9"/>
  <c r="D251" i="9"/>
  <c r="B251" i="9"/>
  <c r="H250" i="9"/>
  <c r="G250" i="9"/>
  <c r="E250" i="9"/>
  <c r="D250" i="9"/>
  <c r="B250" i="9"/>
  <c r="H249" i="9"/>
  <c r="G249" i="9"/>
  <c r="E249" i="9"/>
  <c r="D249" i="9"/>
  <c r="B249" i="9"/>
  <c r="H248" i="9"/>
  <c r="G248" i="9"/>
  <c r="E248" i="9"/>
  <c r="D248" i="9"/>
  <c r="B248" i="9"/>
  <c r="H247" i="9"/>
  <c r="G247" i="9"/>
  <c r="E247" i="9"/>
  <c r="D247" i="9"/>
  <c r="B247" i="9"/>
  <c r="H246" i="9"/>
  <c r="G246" i="9"/>
  <c r="E246" i="9"/>
  <c r="D246" i="9"/>
  <c r="B246" i="9"/>
  <c r="H245" i="9"/>
  <c r="G245" i="9"/>
  <c r="E245" i="9"/>
  <c r="D245" i="9"/>
  <c r="B245" i="9"/>
  <c r="H244" i="9"/>
  <c r="G244" i="9"/>
  <c r="E244" i="9"/>
  <c r="D244" i="9"/>
  <c r="B244" i="9"/>
  <c r="H243" i="9"/>
  <c r="G243" i="9"/>
  <c r="E243" i="9"/>
  <c r="D243" i="9"/>
  <c r="B243" i="9"/>
  <c r="H242" i="9"/>
  <c r="G242" i="9"/>
  <c r="E242" i="9"/>
  <c r="D242" i="9"/>
  <c r="B242" i="9"/>
  <c r="H241" i="9"/>
  <c r="G241" i="9"/>
  <c r="E241" i="9"/>
  <c r="D241" i="9"/>
  <c r="B241" i="9"/>
  <c r="H240" i="9"/>
  <c r="G240" i="9"/>
  <c r="E240" i="9"/>
  <c r="D240" i="9"/>
  <c r="B240" i="9"/>
  <c r="H239" i="9"/>
  <c r="G239" i="9"/>
  <c r="E239" i="9"/>
  <c r="D239" i="9"/>
  <c r="B239" i="9"/>
  <c r="H238" i="9"/>
  <c r="G238" i="9"/>
  <c r="E238" i="9"/>
  <c r="D238" i="9"/>
  <c r="B238" i="9"/>
  <c r="H237" i="9"/>
  <c r="G237" i="9"/>
  <c r="E237" i="9"/>
  <c r="D237" i="9"/>
  <c r="B237" i="9"/>
  <c r="H236" i="9"/>
  <c r="G236" i="9"/>
  <c r="E236" i="9"/>
  <c r="D236" i="9"/>
  <c r="B236" i="9"/>
  <c r="H235" i="9"/>
  <c r="G235" i="9"/>
  <c r="E235" i="9"/>
  <c r="D235" i="9"/>
  <c r="B235" i="9"/>
  <c r="H234" i="9"/>
  <c r="G234" i="9"/>
  <c r="E234" i="9"/>
  <c r="D234" i="9"/>
  <c r="B234" i="9"/>
  <c r="H233" i="9"/>
  <c r="G233" i="9"/>
  <c r="E233" i="9"/>
  <c r="D233" i="9"/>
  <c r="B233" i="9"/>
  <c r="H232" i="9"/>
  <c r="G232" i="9"/>
  <c r="E232" i="9"/>
  <c r="D232" i="9"/>
  <c r="B232" i="9"/>
  <c r="H231" i="9"/>
  <c r="G231" i="9"/>
  <c r="E231" i="9"/>
  <c r="D231" i="9"/>
  <c r="B231" i="9"/>
  <c r="H230" i="9"/>
  <c r="G230" i="9"/>
  <c r="E230" i="9"/>
  <c r="D230" i="9"/>
  <c r="B230" i="9"/>
  <c r="H229" i="9"/>
  <c r="G229" i="9"/>
  <c r="E229" i="9"/>
  <c r="D229" i="9"/>
  <c r="B229" i="9"/>
  <c r="H228" i="9"/>
  <c r="G228" i="9"/>
  <c r="E228" i="9"/>
  <c r="D228" i="9"/>
  <c r="B228" i="9"/>
  <c r="H227" i="9"/>
  <c r="G227" i="9"/>
  <c r="E227" i="9"/>
  <c r="D227" i="9"/>
  <c r="B227" i="9"/>
  <c r="H226" i="9"/>
  <c r="G226" i="9"/>
  <c r="E226" i="9"/>
  <c r="D226" i="9"/>
  <c r="B226" i="9"/>
  <c r="H225" i="9"/>
  <c r="G225" i="9"/>
  <c r="E225" i="9"/>
  <c r="D225" i="9"/>
  <c r="B225" i="9"/>
  <c r="H224" i="9"/>
  <c r="G224" i="9"/>
  <c r="E224" i="9"/>
  <c r="D224" i="9"/>
  <c r="B224" i="9"/>
  <c r="H223" i="9"/>
  <c r="G223" i="9"/>
  <c r="E223" i="9"/>
  <c r="D223" i="9"/>
  <c r="B223" i="9"/>
  <c r="H222" i="9"/>
  <c r="G222" i="9"/>
  <c r="E222" i="9"/>
  <c r="D222" i="9"/>
  <c r="B222" i="9"/>
  <c r="H221" i="9"/>
  <c r="G221" i="9"/>
  <c r="E221" i="9"/>
  <c r="D221" i="9"/>
  <c r="B221" i="9"/>
  <c r="H220" i="9"/>
  <c r="G220" i="9"/>
  <c r="E220" i="9"/>
  <c r="D220" i="9"/>
  <c r="B220" i="9"/>
  <c r="H219" i="9"/>
  <c r="G219" i="9"/>
  <c r="E219" i="9"/>
  <c r="D219" i="9"/>
  <c r="B219" i="9"/>
  <c r="H218" i="9"/>
  <c r="G218" i="9"/>
  <c r="E218" i="9"/>
  <c r="D218" i="9"/>
  <c r="B218" i="9"/>
  <c r="H217" i="9"/>
  <c r="G217" i="9"/>
  <c r="E217" i="9"/>
  <c r="D217" i="9"/>
  <c r="B217" i="9"/>
  <c r="H216" i="9"/>
  <c r="G216" i="9"/>
  <c r="E216" i="9"/>
  <c r="D216" i="9"/>
  <c r="B216" i="9"/>
  <c r="H215" i="9"/>
  <c r="G215" i="9"/>
  <c r="E215" i="9"/>
  <c r="D215" i="9"/>
  <c r="B215" i="9"/>
  <c r="H214" i="9"/>
  <c r="G214" i="9"/>
  <c r="E214" i="9"/>
  <c r="D214" i="9"/>
  <c r="B214" i="9"/>
  <c r="H213" i="9"/>
  <c r="G213" i="9"/>
  <c r="E213" i="9"/>
  <c r="D213" i="9"/>
  <c r="B213" i="9"/>
  <c r="P212" i="9"/>
  <c r="O212" i="9"/>
  <c r="N212" i="9"/>
  <c r="O213" i="9" s="1"/>
  <c r="M212" i="9"/>
  <c r="L212" i="9"/>
  <c r="M213" i="9" s="1"/>
  <c r="H212" i="9"/>
  <c r="G212" i="9"/>
  <c r="E212" i="9"/>
  <c r="D212" i="9"/>
  <c r="B212" i="9"/>
  <c r="H211" i="9"/>
  <c r="G211" i="9"/>
  <c r="E211" i="9"/>
  <c r="D211" i="9"/>
  <c r="B211" i="9"/>
  <c r="H210" i="9"/>
  <c r="G210" i="9"/>
  <c r="E210" i="9"/>
  <c r="D210" i="9"/>
  <c r="B210" i="9"/>
  <c r="H209" i="9"/>
  <c r="G209" i="9"/>
  <c r="E209" i="9"/>
  <c r="D209" i="9"/>
  <c r="B209" i="9"/>
  <c r="N208" i="9"/>
  <c r="M208" i="9"/>
  <c r="L208" i="9"/>
  <c r="H208" i="9"/>
  <c r="G208" i="9"/>
  <c r="E208" i="9"/>
  <c r="D208" i="9"/>
  <c r="B208" i="9"/>
  <c r="H207" i="9"/>
  <c r="G207" i="9"/>
  <c r="E207" i="9"/>
  <c r="D207" i="9"/>
  <c r="B207" i="9"/>
  <c r="O206" i="9"/>
  <c r="H206" i="9"/>
  <c r="G206" i="9"/>
  <c r="E206" i="9"/>
  <c r="D206" i="9"/>
  <c r="B206" i="9"/>
  <c r="O205" i="9"/>
  <c r="H205" i="9"/>
  <c r="G205" i="9"/>
  <c r="E205" i="9"/>
  <c r="D205" i="9"/>
  <c r="B205" i="9"/>
  <c r="O204" i="9"/>
  <c r="H204" i="9"/>
  <c r="G204" i="9"/>
  <c r="E204" i="9"/>
  <c r="D204" i="9"/>
  <c r="B204" i="9"/>
  <c r="O203" i="9"/>
  <c r="O208" i="9" s="1"/>
  <c r="H203" i="9"/>
  <c r="G203" i="9"/>
  <c r="E203" i="9"/>
  <c r="D203" i="9"/>
  <c r="B203" i="9"/>
  <c r="H202" i="9"/>
  <c r="G202" i="9"/>
  <c r="E202" i="9"/>
  <c r="D202" i="9"/>
  <c r="B202" i="9"/>
  <c r="H201" i="9"/>
  <c r="G201" i="9"/>
  <c r="E201" i="9"/>
  <c r="D201" i="9"/>
  <c r="B201" i="9"/>
  <c r="H200" i="9"/>
  <c r="G200" i="9"/>
  <c r="E200" i="9"/>
  <c r="D200" i="9"/>
  <c r="B200" i="9"/>
  <c r="H199" i="9"/>
  <c r="G199" i="9"/>
  <c r="E199" i="9"/>
  <c r="D199" i="9"/>
  <c r="B199" i="9"/>
  <c r="H198" i="9"/>
  <c r="G198" i="9"/>
  <c r="E198" i="9"/>
  <c r="D198" i="9"/>
  <c r="B198" i="9"/>
  <c r="AC197" i="9"/>
  <c r="AB197" i="9"/>
  <c r="AA197" i="9"/>
  <c r="Z197" i="9"/>
  <c r="Y197" i="9"/>
  <c r="H197" i="9"/>
  <c r="G197" i="9"/>
  <c r="E197" i="9"/>
  <c r="D197" i="9"/>
  <c r="B197" i="9"/>
  <c r="Y196" i="9"/>
  <c r="X196" i="9"/>
  <c r="W196" i="9"/>
  <c r="V196" i="9"/>
  <c r="U196" i="9"/>
  <c r="H196" i="9"/>
  <c r="G196" i="9"/>
  <c r="E196" i="9"/>
  <c r="D196" i="9"/>
  <c r="B196" i="9"/>
  <c r="T195" i="9"/>
  <c r="S195" i="9"/>
  <c r="R195" i="9"/>
  <c r="Q195" i="9"/>
  <c r="P195" i="9"/>
  <c r="H195" i="9"/>
  <c r="G195" i="9"/>
  <c r="E195" i="9"/>
  <c r="D195" i="9"/>
  <c r="B195" i="9"/>
  <c r="H194" i="9"/>
  <c r="G194" i="9"/>
  <c r="E194" i="9"/>
  <c r="D194" i="9"/>
  <c r="B194" i="9"/>
  <c r="H193" i="9"/>
  <c r="G193" i="9"/>
  <c r="E193" i="9"/>
  <c r="D193" i="9"/>
  <c r="B193" i="9"/>
  <c r="H192" i="9"/>
  <c r="G192" i="9"/>
  <c r="E192" i="9"/>
  <c r="D192" i="9"/>
  <c r="B192" i="9"/>
  <c r="H191" i="9"/>
  <c r="G191" i="9"/>
  <c r="E191" i="9"/>
  <c r="D191" i="9"/>
  <c r="B191" i="9"/>
  <c r="H190" i="9"/>
  <c r="G190" i="9"/>
  <c r="E190" i="9"/>
  <c r="D190" i="9"/>
  <c r="B190" i="9"/>
  <c r="H189" i="9"/>
  <c r="G189" i="9"/>
  <c r="E189" i="9"/>
  <c r="D189" i="9"/>
  <c r="B189" i="9"/>
  <c r="H188" i="9"/>
  <c r="G188" i="9"/>
  <c r="E188" i="9"/>
  <c r="D188" i="9"/>
  <c r="B188" i="9"/>
  <c r="H187" i="9"/>
  <c r="G187" i="9"/>
  <c r="E187" i="9"/>
  <c r="D187" i="9"/>
  <c r="B187" i="9"/>
  <c r="H186" i="9"/>
  <c r="G186" i="9"/>
  <c r="E186" i="9"/>
  <c r="D186" i="9"/>
  <c r="B186" i="9"/>
  <c r="H185" i="9"/>
  <c r="G185" i="9"/>
  <c r="E185" i="9"/>
  <c r="D185" i="9"/>
  <c r="B185" i="9"/>
  <c r="H184" i="9"/>
  <c r="G184" i="9"/>
  <c r="E184" i="9"/>
  <c r="D184" i="9"/>
  <c r="B184" i="9"/>
  <c r="H183" i="9"/>
  <c r="G183" i="9"/>
  <c r="E183" i="9"/>
  <c r="D183" i="9"/>
  <c r="B183" i="9"/>
  <c r="H182" i="9"/>
  <c r="G182" i="9"/>
  <c r="E182" i="9"/>
  <c r="D182" i="9"/>
  <c r="B182" i="9"/>
  <c r="H181" i="9"/>
  <c r="G181" i="9"/>
  <c r="E181" i="9"/>
  <c r="D181" i="9"/>
  <c r="B181" i="9"/>
  <c r="H180" i="9"/>
  <c r="G180" i="9"/>
  <c r="E180" i="9"/>
  <c r="D180" i="9"/>
  <c r="B180" i="9"/>
  <c r="H179" i="9"/>
  <c r="G179" i="9"/>
  <c r="E179" i="9"/>
  <c r="D179" i="9"/>
  <c r="B179" i="9"/>
  <c r="H178" i="9"/>
  <c r="G178" i="9"/>
  <c r="E178" i="9"/>
  <c r="D178" i="9"/>
  <c r="B178" i="9"/>
  <c r="H177" i="9"/>
  <c r="G177" i="9"/>
  <c r="E177" i="9"/>
  <c r="D177" i="9"/>
  <c r="B177" i="9"/>
  <c r="H176" i="9"/>
  <c r="G176" i="9"/>
  <c r="E176" i="9"/>
  <c r="D176" i="9"/>
  <c r="B176" i="9"/>
  <c r="H175" i="9"/>
  <c r="G175" i="9"/>
  <c r="E175" i="9"/>
  <c r="D175" i="9"/>
  <c r="B175" i="9"/>
  <c r="H174" i="9"/>
  <c r="G174" i="9"/>
  <c r="E174" i="9"/>
  <c r="D174" i="9"/>
  <c r="B174" i="9"/>
  <c r="H173" i="9"/>
  <c r="G173" i="9"/>
  <c r="E173" i="9"/>
  <c r="D173" i="9"/>
  <c r="B173" i="9"/>
  <c r="H172" i="9"/>
  <c r="G172" i="9"/>
  <c r="E172" i="9"/>
  <c r="D172" i="9"/>
  <c r="B172" i="9"/>
  <c r="H171" i="9"/>
  <c r="G171" i="9"/>
  <c r="E171" i="9"/>
  <c r="D171" i="9"/>
  <c r="B171" i="9"/>
  <c r="H170" i="9"/>
  <c r="G170" i="9"/>
  <c r="E170" i="9"/>
  <c r="D170" i="9"/>
  <c r="B170" i="9"/>
  <c r="H169" i="9"/>
  <c r="G169" i="9"/>
  <c r="E169" i="9"/>
  <c r="D169" i="9"/>
  <c r="B169" i="9"/>
  <c r="H168" i="9"/>
  <c r="G168" i="9"/>
  <c r="E168" i="9"/>
  <c r="D168" i="9"/>
  <c r="B168" i="9"/>
  <c r="H167" i="9"/>
  <c r="G167" i="9"/>
  <c r="E167" i="9"/>
  <c r="D167" i="9"/>
  <c r="B167" i="9"/>
  <c r="H166" i="9"/>
  <c r="G166" i="9"/>
  <c r="E166" i="9"/>
  <c r="D166" i="9"/>
  <c r="B166" i="9"/>
  <c r="H165" i="9"/>
  <c r="G165" i="9"/>
  <c r="E165" i="9"/>
  <c r="D165" i="9"/>
  <c r="B165" i="9"/>
  <c r="H164" i="9"/>
  <c r="G164" i="9"/>
  <c r="E164" i="9"/>
  <c r="D164" i="9"/>
  <c r="B164" i="9"/>
  <c r="H163" i="9"/>
  <c r="G163" i="9"/>
  <c r="E163" i="9"/>
  <c r="D163" i="9"/>
  <c r="B163" i="9"/>
  <c r="H162" i="9"/>
  <c r="G162" i="9"/>
  <c r="E162" i="9"/>
  <c r="D162" i="9"/>
  <c r="B162" i="9"/>
  <c r="H161" i="9"/>
  <c r="G161" i="9"/>
  <c r="E161" i="9"/>
  <c r="D161" i="9"/>
  <c r="B161" i="9"/>
  <c r="H160" i="9"/>
  <c r="G160" i="9"/>
  <c r="E160" i="9"/>
  <c r="D160" i="9"/>
  <c r="B160" i="9"/>
  <c r="H159" i="9"/>
  <c r="G159" i="9"/>
  <c r="E159" i="9"/>
  <c r="D159" i="9"/>
  <c r="B159" i="9"/>
  <c r="H158" i="9"/>
  <c r="G158" i="9"/>
  <c r="E158" i="9"/>
  <c r="D158" i="9"/>
  <c r="B158" i="9"/>
  <c r="H157" i="9"/>
  <c r="G157" i="9"/>
  <c r="E157" i="9"/>
  <c r="D157" i="9"/>
  <c r="B157" i="9"/>
  <c r="H156" i="9"/>
  <c r="G156" i="9"/>
  <c r="E156" i="9"/>
  <c r="D156" i="9"/>
  <c r="B156" i="9"/>
  <c r="O155" i="9"/>
  <c r="H155" i="9"/>
  <c r="G155" i="9"/>
  <c r="E155" i="9"/>
  <c r="D155" i="9"/>
  <c r="B155" i="9"/>
  <c r="H154" i="9"/>
  <c r="G154" i="9"/>
  <c r="E154" i="9"/>
  <c r="D154" i="9"/>
  <c r="B154" i="9"/>
  <c r="H153" i="9"/>
  <c r="G153" i="9"/>
  <c r="E153" i="9"/>
  <c r="D153" i="9"/>
  <c r="B153" i="9"/>
  <c r="H152" i="9"/>
  <c r="G152" i="9"/>
  <c r="E152" i="9"/>
  <c r="D152" i="9"/>
  <c r="B152" i="9"/>
  <c r="H151" i="9"/>
  <c r="G151" i="9"/>
  <c r="E151" i="9"/>
  <c r="D151" i="9"/>
  <c r="B151" i="9"/>
  <c r="H150" i="9"/>
  <c r="G150" i="9"/>
  <c r="E150" i="9"/>
  <c r="D150" i="9"/>
  <c r="B150" i="9"/>
  <c r="H149" i="9"/>
  <c r="G149" i="9"/>
  <c r="E149" i="9"/>
  <c r="D149" i="9"/>
  <c r="B149" i="9"/>
  <c r="H148" i="9"/>
  <c r="G148" i="9"/>
  <c r="E148" i="9"/>
  <c r="D148" i="9"/>
  <c r="B148" i="9"/>
  <c r="H147" i="9"/>
  <c r="G147" i="9"/>
  <c r="E147" i="9"/>
  <c r="D147" i="9"/>
  <c r="B147" i="9"/>
  <c r="H146" i="9"/>
  <c r="G146" i="9"/>
  <c r="E146" i="9"/>
  <c r="D146" i="9"/>
  <c r="B146" i="9"/>
  <c r="H145" i="9"/>
  <c r="G145" i="9"/>
  <c r="E145" i="9"/>
  <c r="D145" i="9"/>
  <c r="B145" i="9"/>
  <c r="H144" i="9"/>
  <c r="G144" i="9"/>
  <c r="E144" i="9"/>
  <c r="D144" i="9"/>
  <c r="B144" i="9"/>
  <c r="H143" i="9"/>
  <c r="G143" i="9"/>
  <c r="E143" i="9"/>
  <c r="D143" i="9"/>
  <c r="B143" i="9"/>
  <c r="H142" i="9"/>
  <c r="G142" i="9"/>
  <c r="E142" i="9"/>
  <c r="D142" i="9"/>
  <c r="B142" i="9"/>
  <c r="H141" i="9"/>
  <c r="G141" i="9"/>
  <c r="E141" i="9"/>
  <c r="D141" i="9"/>
  <c r="B141" i="9"/>
  <c r="H140" i="9"/>
  <c r="G140" i="9"/>
  <c r="E140" i="9"/>
  <c r="D140" i="9"/>
  <c r="B140" i="9"/>
  <c r="H139" i="9"/>
  <c r="G139" i="9"/>
  <c r="E139" i="9"/>
  <c r="D139" i="9"/>
  <c r="B139" i="9"/>
  <c r="H138" i="9"/>
  <c r="G138" i="9"/>
  <c r="E138" i="9"/>
  <c r="D138" i="9"/>
  <c r="B138" i="9"/>
  <c r="H137" i="9"/>
  <c r="G137" i="9"/>
  <c r="E137" i="9"/>
  <c r="D137" i="9"/>
  <c r="B137" i="9"/>
  <c r="H136" i="9"/>
  <c r="G136" i="9"/>
  <c r="E136" i="9"/>
  <c r="D136" i="9"/>
  <c r="B136" i="9"/>
  <c r="H135" i="9"/>
  <c r="G135" i="9"/>
  <c r="E135" i="9"/>
  <c r="D135" i="9"/>
  <c r="B135" i="9"/>
  <c r="H134" i="9"/>
  <c r="G134" i="9"/>
  <c r="E134" i="9"/>
  <c r="D134" i="9"/>
  <c r="B134" i="9"/>
  <c r="H133" i="9"/>
  <c r="G133" i="9"/>
  <c r="E133" i="9"/>
  <c r="D133" i="9"/>
  <c r="B133" i="9"/>
  <c r="H132" i="9"/>
  <c r="G132" i="9"/>
  <c r="E132" i="9"/>
  <c r="D132" i="9"/>
  <c r="B132" i="9"/>
  <c r="H131" i="9"/>
  <c r="G131" i="9"/>
  <c r="E131" i="9"/>
  <c r="D131" i="9"/>
  <c r="B131" i="9"/>
  <c r="H130" i="9"/>
  <c r="G130" i="9"/>
  <c r="E130" i="9"/>
  <c r="D130" i="9"/>
  <c r="B130" i="9"/>
  <c r="H129" i="9"/>
  <c r="G129" i="9"/>
  <c r="E129" i="9"/>
  <c r="D129" i="9"/>
  <c r="B129" i="9"/>
  <c r="H128" i="9"/>
  <c r="G128" i="9"/>
  <c r="E128" i="9"/>
  <c r="D128" i="9"/>
  <c r="B128" i="9"/>
  <c r="H127" i="9"/>
  <c r="G127" i="9"/>
  <c r="E127" i="9"/>
  <c r="D127" i="9"/>
  <c r="B127" i="9"/>
  <c r="H126" i="9"/>
  <c r="G126" i="9"/>
  <c r="E126" i="9"/>
  <c r="D126" i="9"/>
  <c r="B126" i="9"/>
  <c r="H125" i="9"/>
  <c r="G125" i="9"/>
  <c r="E125" i="9"/>
  <c r="D125" i="9"/>
  <c r="B125" i="9"/>
  <c r="H124" i="9"/>
  <c r="G124" i="9"/>
  <c r="E124" i="9"/>
  <c r="D124" i="9"/>
  <c r="B124" i="9"/>
  <c r="H123" i="9"/>
  <c r="G123" i="9"/>
  <c r="E123" i="9"/>
  <c r="D123" i="9"/>
  <c r="B123" i="9"/>
  <c r="H122" i="9"/>
  <c r="G122" i="9"/>
  <c r="E122" i="9"/>
  <c r="D122" i="9"/>
  <c r="B122" i="9"/>
  <c r="H121" i="9"/>
  <c r="G121" i="9"/>
  <c r="E121" i="9"/>
  <c r="D121" i="9"/>
  <c r="B121" i="9"/>
  <c r="H120" i="9"/>
  <c r="G120" i="9"/>
  <c r="E120" i="9"/>
  <c r="D120" i="9"/>
  <c r="B120" i="9"/>
  <c r="H119" i="9"/>
  <c r="G119" i="9"/>
  <c r="E119" i="9"/>
  <c r="D119" i="9"/>
  <c r="B119" i="9"/>
  <c r="H118" i="9"/>
  <c r="G118" i="9"/>
  <c r="E118" i="9"/>
  <c r="D118" i="9"/>
  <c r="B118" i="9"/>
  <c r="H117" i="9"/>
  <c r="G117" i="9"/>
  <c r="E117" i="9"/>
  <c r="D117" i="9"/>
  <c r="B117" i="9"/>
  <c r="H116" i="9"/>
  <c r="G116" i="9"/>
  <c r="E116" i="9"/>
  <c r="D116" i="9"/>
  <c r="B116" i="9"/>
  <c r="H115" i="9"/>
  <c r="G115" i="9"/>
  <c r="E115" i="9"/>
  <c r="D115" i="9"/>
  <c r="B115" i="9"/>
  <c r="M114" i="9"/>
  <c r="H114" i="9"/>
  <c r="G114" i="9"/>
  <c r="E114" i="9"/>
  <c r="D114" i="9"/>
  <c r="B114" i="9"/>
  <c r="H113" i="9"/>
  <c r="G113" i="9"/>
  <c r="E113" i="9"/>
  <c r="D113" i="9"/>
  <c r="B113" i="9"/>
  <c r="H112" i="9"/>
  <c r="G112" i="9"/>
  <c r="E112" i="9"/>
  <c r="D112" i="9"/>
  <c r="B112" i="9"/>
  <c r="H111" i="9"/>
  <c r="G111" i="9"/>
  <c r="E111" i="9"/>
  <c r="D111" i="9"/>
  <c r="B111" i="9"/>
  <c r="H110" i="9"/>
  <c r="G110" i="9"/>
  <c r="E110" i="9"/>
  <c r="D110" i="9"/>
  <c r="B110" i="9"/>
  <c r="H109" i="9"/>
  <c r="G109" i="9"/>
  <c r="E109" i="9"/>
  <c r="D109" i="9"/>
  <c r="B109" i="9"/>
  <c r="H108" i="9"/>
  <c r="G108" i="9"/>
  <c r="E108" i="9"/>
  <c r="D108" i="9"/>
  <c r="B108" i="9"/>
  <c r="H107" i="9"/>
  <c r="G107" i="9"/>
  <c r="E107" i="9"/>
  <c r="D107" i="9"/>
  <c r="B107" i="9"/>
  <c r="H106" i="9"/>
  <c r="G106" i="9"/>
  <c r="E106" i="9"/>
  <c r="D106" i="9"/>
  <c r="B106" i="9"/>
  <c r="H105" i="9"/>
  <c r="G105" i="9"/>
  <c r="E105" i="9"/>
  <c r="D105" i="9"/>
  <c r="B105" i="9"/>
  <c r="H104" i="9"/>
  <c r="G104" i="9"/>
  <c r="E104" i="9"/>
  <c r="D104" i="9"/>
  <c r="B104" i="9"/>
  <c r="H103" i="9"/>
  <c r="G103" i="9"/>
  <c r="E103" i="9"/>
  <c r="D103" i="9"/>
  <c r="B103" i="9"/>
  <c r="H102" i="9"/>
  <c r="G102" i="9"/>
  <c r="E102" i="9"/>
  <c r="D102" i="9"/>
  <c r="B102" i="9"/>
  <c r="H101" i="9"/>
  <c r="G101" i="9"/>
  <c r="E101" i="9"/>
  <c r="D101" i="9"/>
  <c r="B101" i="9"/>
  <c r="H100" i="9"/>
  <c r="G100" i="9"/>
  <c r="E100" i="9"/>
  <c r="D100" i="9"/>
  <c r="B100" i="9"/>
  <c r="H99" i="9"/>
  <c r="G99" i="9"/>
  <c r="E99" i="9"/>
  <c r="D99" i="9"/>
  <c r="B99" i="9"/>
  <c r="H98" i="9"/>
  <c r="G98" i="9"/>
  <c r="E98" i="9"/>
  <c r="D98" i="9"/>
  <c r="B98" i="9"/>
  <c r="H97" i="9"/>
  <c r="G97" i="9"/>
  <c r="E97" i="9"/>
  <c r="D97" i="9"/>
  <c r="B97" i="9"/>
  <c r="H96" i="9"/>
  <c r="G96" i="9"/>
  <c r="E96" i="9"/>
  <c r="D96" i="9"/>
  <c r="B96" i="9"/>
  <c r="H95" i="9"/>
  <c r="G95" i="9"/>
  <c r="E95" i="9"/>
  <c r="D95" i="9"/>
  <c r="B95" i="9"/>
  <c r="H94" i="9"/>
  <c r="G94" i="9"/>
  <c r="E94" i="9"/>
  <c r="D94" i="9"/>
  <c r="B94" i="9"/>
  <c r="H93" i="9"/>
  <c r="G93" i="9"/>
  <c r="E93" i="9"/>
  <c r="D93" i="9"/>
  <c r="B93" i="9"/>
  <c r="H92" i="9"/>
  <c r="G92" i="9"/>
  <c r="E92" i="9"/>
  <c r="D92" i="9"/>
  <c r="B92" i="9"/>
  <c r="H91" i="9"/>
  <c r="G91" i="9"/>
  <c r="E91" i="9"/>
  <c r="D91" i="9"/>
  <c r="B91" i="9"/>
  <c r="H90" i="9"/>
  <c r="G90" i="9"/>
  <c r="E90" i="9"/>
  <c r="D90" i="9"/>
  <c r="B90" i="9"/>
  <c r="H89" i="9"/>
  <c r="G89" i="9"/>
  <c r="E89" i="9"/>
  <c r="D89" i="9"/>
  <c r="B89" i="9"/>
  <c r="H88" i="9"/>
  <c r="G88" i="9"/>
  <c r="E88" i="9"/>
  <c r="D88" i="9"/>
  <c r="B88" i="9"/>
  <c r="H87" i="9"/>
  <c r="G87" i="9"/>
  <c r="E87" i="9"/>
  <c r="D87" i="9"/>
  <c r="B87" i="9"/>
  <c r="H86" i="9"/>
  <c r="G86" i="9"/>
  <c r="E86" i="9"/>
  <c r="D86" i="9"/>
  <c r="B86" i="9"/>
  <c r="H85" i="9"/>
  <c r="G85" i="9"/>
  <c r="E85" i="9"/>
  <c r="D85" i="9"/>
  <c r="B85" i="9"/>
  <c r="H84" i="9"/>
  <c r="G84" i="9"/>
  <c r="E84" i="9"/>
  <c r="D84" i="9"/>
  <c r="B84" i="9"/>
  <c r="H83" i="9"/>
  <c r="G83" i="9"/>
  <c r="E83" i="9"/>
  <c r="D83" i="9"/>
  <c r="B83" i="9"/>
  <c r="H82" i="9"/>
  <c r="G82" i="9"/>
  <c r="E82" i="9"/>
  <c r="D82" i="9"/>
  <c r="B82" i="9"/>
  <c r="H81" i="9"/>
  <c r="G81" i="9"/>
  <c r="E81" i="9"/>
  <c r="D81" i="9"/>
  <c r="B81" i="9"/>
  <c r="H80" i="9"/>
  <c r="G80" i="9"/>
  <c r="E80" i="9"/>
  <c r="D80" i="9"/>
  <c r="B80" i="9"/>
  <c r="H79" i="9"/>
  <c r="G79" i="9"/>
  <c r="E79" i="9"/>
  <c r="D79" i="9"/>
  <c r="B79" i="9"/>
  <c r="H78" i="9"/>
  <c r="G78" i="9"/>
  <c r="E78" i="9"/>
  <c r="D78" i="9"/>
  <c r="B78" i="9"/>
  <c r="H77" i="9"/>
  <c r="G77" i="9"/>
  <c r="E77" i="9"/>
  <c r="D77" i="9"/>
  <c r="B77" i="9"/>
  <c r="AC76" i="9"/>
  <c r="H76" i="9"/>
  <c r="G76" i="9"/>
  <c r="E76" i="9"/>
  <c r="D76" i="9"/>
  <c r="B76" i="9"/>
  <c r="H75" i="9"/>
  <c r="G75" i="9"/>
  <c r="E75" i="9"/>
  <c r="D75" i="9"/>
  <c r="B75" i="9"/>
  <c r="H74" i="9"/>
  <c r="G74" i="9"/>
  <c r="E74" i="9"/>
  <c r="D74" i="9"/>
  <c r="B74" i="9"/>
  <c r="H73" i="9"/>
  <c r="G73" i="9"/>
  <c r="E73" i="9"/>
  <c r="D73" i="9"/>
  <c r="B73" i="9"/>
  <c r="H72" i="9"/>
  <c r="G72" i="9"/>
  <c r="E72" i="9"/>
  <c r="D72" i="9"/>
  <c r="B72" i="9"/>
  <c r="H71" i="9"/>
  <c r="G71" i="9"/>
  <c r="E71" i="9"/>
  <c r="D71" i="9"/>
  <c r="B71" i="9"/>
  <c r="H70" i="9"/>
  <c r="G70" i="9"/>
  <c r="E70" i="9"/>
  <c r="D70" i="9"/>
  <c r="B70" i="9"/>
  <c r="H69" i="9"/>
  <c r="G69" i="9"/>
  <c r="E69" i="9"/>
  <c r="D69" i="9"/>
  <c r="B69" i="9"/>
  <c r="H68" i="9"/>
  <c r="G68" i="9"/>
  <c r="E68" i="9"/>
  <c r="D68" i="9"/>
  <c r="B68" i="9"/>
  <c r="AE67" i="9"/>
  <c r="AC77" i="9" s="1"/>
  <c r="AD67" i="9"/>
  <c r="AC67" i="9"/>
  <c r="AB67" i="9"/>
  <c r="AA67" i="9"/>
  <c r="Z67" i="9"/>
  <c r="Y67" i="9"/>
  <c r="W67" i="9"/>
  <c r="H67" i="9"/>
  <c r="G67" i="9"/>
  <c r="E67" i="9"/>
  <c r="D67" i="9"/>
  <c r="B67" i="9"/>
  <c r="H66" i="9"/>
  <c r="G66" i="9"/>
  <c r="E66" i="9"/>
  <c r="D66" i="9"/>
  <c r="B66" i="9"/>
  <c r="H65" i="9"/>
  <c r="G65" i="9"/>
  <c r="E65" i="9"/>
  <c r="D65" i="9"/>
  <c r="B65" i="9"/>
  <c r="H64" i="9"/>
  <c r="G64" i="9"/>
  <c r="E64" i="9"/>
  <c r="D64" i="9"/>
  <c r="B64" i="9"/>
  <c r="H63" i="9"/>
  <c r="G63" i="9"/>
  <c r="E63" i="9"/>
  <c r="D63" i="9"/>
  <c r="B63" i="9"/>
  <c r="H62" i="9"/>
  <c r="G62" i="9"/>
  <c r="E62" i="9"/>
  <c r="D62" i="9"/>
  <c r="B62" i="9"/>
  <c r="H61" i="9"/>
  <c r="G61" i="9"/>
  <c r="E61" i="9"/>
  <c r="D61" i="9"/>
  <c r="B61" i="9"/>
  <c r="H60" i="9"/>
  <c r="G60" i="9"/>
  <c r="E60" i="9"/>
  <c r="D60" i="9"/>
  <c r="B60" i="9"/>
  <c r="H59" i="9"/>
  <c r="G59" i="9"/>
  <c r="E59" i="9"/>
  <c r="D59" i="9"/>
  <c r="B59" i="9"/>
  <c r="H58" i="9"/>
  <c r="G58" i="9"/>
  <c r="E58" i="9"/>
  <c r="D58" i="9"/>
  <c r="B58" i="9"/>
  <c r="H57" i="9"/>
  <c r="G57" i="9"/>
  <c r="E57" i="9"/>
  <c r="D57" i="9"/>
  <c r="B57" i="9"/>
  <c r="H56" i="9"/>
  <c r="G56" i="9"/>
  <c r="E56" i="9"/>
  <c r="D56" i="9"/>
  <c r="B56" i="9"/>
  <c r="H55" i="9"/>
  <c r="G55" i="9"/>
  <c r="E55" i="9"/>
  <c r="D55" i="9"/>
  <c r="B55" i="9"/>
  <c r="H54" i="9"/>
  <c r="G54" i="9"/>
  <c r="E54" i="9"/>
  <c r="D54" i="9"/>
  <c r="B54" i="9"/>
  <c r="H53" i="9"/>
  <c r="G53" i="9"/>
  <c r="E53" i="9"/>
  <c r="D53" i="9"/>
  <c r="B53" i="9"/>
  <c r="H52" i="9"/>
  <c r="G52" i="9"/>
  <c r="E52" i="9"/>
  <c r="D52" i="9"/>
  <c r="B52" i="9"/>
  <c r="H51" i="9"/>
  <c r="G51" i="9"/>
  <c r="E51" i="9"/>
  <c r="D51" i="9"/>
  <c r="B51" i="9"/>
  <c r="H50" i="9"/>
  <c r="G50" i="9"/>
  <c r="E50" i="9"/>
  <c r="D50" i="9"/>
  <c r="B50" i="9"/>
  <c r="H49" i="9"/>
  <c r="G49" i="9"/>
  <c r="E49" i="9"/>
  <c r="D49" i="9"/>
  <c r="B49" i="9"/>
  <c r="H48" i="9"/>
  <c r="G48" i="9"/>
  <c r="E48" i="9"/>
  <c r="D48" i="9"/>
  <c r="B48" i="9"/>
  <c r="H47" i="9"/>
  <c r="G47" i="9"/>
  <c r="E47" i="9"/>
  <c r="D47" i="9"/>
  <c r="B47" i="9"/>
  <c r="H46" i="9"/>
  <c r="G46" i="9"/>
  <c r="E46" i="9"/>
  <c r="D46" i="9"/>
  <c r="B46" i="9"/>
  <c r="H45" i="9"/>
  <c r="G45" i="9"/>
  <c r="E45" i="9"/>
  <c r="D45" i="9"/>
  <c r="B45" i="9"/>
  <c r="H44" i="9"/>
  <c r="G44" i="9"/>
  <c r="E44" i="9"/>
  <c r="D44" i="9"/>
  <c r="B44" i="9"/>
  <c r="H43" i="9"/>
  <c r="G43" i="9"/>
  <c r="E43" i="9"/>
  <c r="D43" i="9"/>
  <c r="B43" i="9"/>
  <c r="H42" i="9"/>
  <c r="G42" i="9"/>
  <c r="E42" i="9"/>
  <c r="D42" i="9"/>
  <c r="B42" i="9"/>
  <c r="H41" i="9"/>
  <c r="G41" i="9"/>
  <c r="E41" i="9"/>
  <c r="D41" i="9"/>
  <c r="B41" i="9"/>
  <c r="H40" i="9"/>
  <c r="G40" i="9"/>
  <c r="E40" i="9"/>
  <c r="D40" i="9"/>
  <c r="B40" i="9"/>
  <c r="H39" i="9"/>
  <c r="G39" i="9"/>
  <c r="E39" i="9"/>
  <c r="D39" i="9"/>
  <c r="B39" i="9"/>
  <c r="H38" i="9"/>
  <c r="G38" i="9"/>
  <c r="E38" i="9"/>
  <c r="D38" i="9"/>
  <c r="B38" i="9"/>
  <c r="H37" i="9"/>
  <c r="G37" i="9"/>
  <c r="E37" i="9"/>
  <c r="D37" i="9"/>
  <c r="B37" i="9"/>
  <c r="H36" i="9"/>
  <c r="G36" i="9"/>
  <c r="E36" i="9"/>
  <c r="D36" i="9"/>
  <c r="B36" i="9"/>
  <c r="H35" i="9"/>
  <c r="G35" i="9"/>
  <c r="E35" i="9"/>
  <c r="D35" i="9"/>
  <c r="B35" i="9"/>
  <c r="M34" i="9"/>
  <c r="H34" i="9"/>
  <c r="G34" i="9"/>
  <c r="E34" i="9"/>
  <c r="D34" i="9"/>
  <c r="B34" i="9"/>
  <c r="H33" i="9"/>
  <c r="G33" i="9"/>
  <c r="E33" i="9"/>
  <c r="D33" i="9"/>
  <c r="B33" i="9"/>
  <c r="H32" i="9"/>
  <c r="G32" i="9"/>
  <c r="E32" i="9"/>
  <c r="D32" i="9"/>
  <c r="B32" i="9"/>
  <c r="H31" i="9"/>
  <c r="G31" i="9"/>
  <c r="E31" i="9"/>
  <c r="D31" i="9"/>
  <c r="B31" i="9"/>
  <c r="H30" i="9"/>
  <c r="G30" i="9"/>
  <c r="E30" i="9"/>
  <c r="D30" i="9"/>
  <c r="B30" i="9"/>
  <c r="H29" i="9"/>
  <c r="G29" i="9"/>
  <c r="E29" i="9"/>
  <c r="D29" i="9"/>
  <c r="B29" i="9"/>
  <c r="H28" i="9"/>
  <c r="G28" i="9"/>
  <c r="E28" i="9"/>
  <c r="D28" i="9"/>
  <c r="B28" i="9"/>
  <c r="H27" i="9"/>
  <c r="G27" i="9"/>
  <c r="E27" i="9"/>
  <c r="D27" i="9"/>
  <c r="B27" i="9"/>
  <c r="H26" i="9"/>
  <c r="G26" i="9"/>
  <c r="E26" i="9"/>
  <c r="D26" i="9"/>
  <c r="B26" i="9"/>
  <c r="H25" i="9"/>
  <c r="G25" i="9"/>
  <c r="E25" i="9"/>
  <c r="D25" i="9"/>
  <c r="B25" i="9"/>
  <c r="H24" i="9"/>
  <c r="G24" i="9"/>
  <c r="E24" i="9"/>
  <c r="D24" i="9"/>
  <c r="B24" i="9"/>
  <c r="H23" i="9"/>
  <c r="G23" i="9"/>
  <c r="E23" i="9"/>
  <c r="D23" i="9"/>
  <c r="B23" i="9"/>
  <c r="H22" i="9"/>
  <c r="G22" i="9"/>
  <c r="E22" i="9"/>
  <c r="D22" i="9"/>
  <c r="B22" i="9"/>
  <c r="H21" i="9"/>
  <c r="G21" i="9"/>
  <c r="E21" i="9"/>
  <c r="D21" i="9"/>
  <c r="B21" i="9"/>
  <c r="H20" i="9"/>
  <c r="G20" i="9"/>
  <c r="E20" i="9"/>
  <c r="D20" i="9"/>
  <c r="B20" i="9"/>
  <c r="H19" i="9"/>
  <c r="G19" i="9"/>
  <c r="E19" i="9"/>
  <c r="D19" i="9"/>
  <c r="B19" i="9"/>
  <c r="H18" i="9"/>
  <c r="G18" i="9"/>
  <c r="E18" i="9"/>
  <c r="D18" i="9"/>
  <c r="B18" i="9"/>
  <c r="H17" i="9"/>
  <c r="G17" i="9"/>
  <c r="E17" i="9"/>
  <c r="D17" i="9"/>
  <c r="B17" i="9"/>
  <c r="H16" i="9"/>
  <c r="G16" i="9"/>
  <c r="E16" i="9"/>
  <c r="D16" i="9"/>
  <c r="B16" i="9"/>
  <c r="H15" i="9"/>
  <c r="G15" i="9"/>
  <c r="E15" i="9"/>
  <c r="D15" i="9"/>
  <c r="B15" i="9"/>
  <c r="H14" i="9"/>
  <c r="G14" i="9"/>
  <c r="E14" i="9"/>
  <c r="D14" i="9"/>
  <c r="B14" i="9"/>
  <c r="H13" i="9"/>
  <c r="G13" i="9"/>
  <c r="E13" i="9"/>
  <c r="D13" i="9"/>
  <c r="B13" i="9"/>
  <c r="H12" i="9"/>
  <c r="G12" i="9"/>
  <c r="E12" i="9"/>
  <c r="D12" i="9"/>
  <c r="B12" i="9"/>
  <c r="H11" i="9"/>
  <c r="G11" i="9"/>
  <c r="E11" i="9"/>
  <c r="D11" i="9"/>
  <c r="B11" i="9"/>
  <c r="H10" i="9"/>
  <c r="G10" i="9"/>
  <c r="E10" i="9"/>
  <c r="D10" i="9"/>
  <c r="B10" i="9"/>
  <c r="H9" i="9"/>
  <c r="G9" i="9"/>
  <c r="E9" i="9"/>
  <c r="D9" i="9"/>
  <c r="B9" i="9"/>
  <c r="H8" i="9"/>
  <c r="G8" i="9"/>
  <c r="E8" i="9"/>
  <c r="D8" i="9"/>
  <c r="B8" i="9"/>
  <c r="H7" i="9"/>
  <c r="G7" i="9"/>
  <c r="E7" i="9"/>
  <c r="D7" i="9"/>
  <c r="B7" i="9"/>
  <c r="H6" i="9"/>
  <c r="G6" i="9"/>
  <c r="E6" i="9"/>
  <c r="D6" i="9"/>
  <c r="B6" i="9"/>
  <c r="H5" i="9"/>
  <c r="G5" i="9"/>
  <c r="E5" i="9"/>
  <c r="D5" i="9"/>
  <c r="B5" i="9"/>
  <c r="H4" i="9"/>
  <c r="G4" i="9"/>
  <c r="E4" i="9"/>
  <c r="D4" i="9"/>
  <c r="B4" i="9"/>
  <c r="H3" i="9"/>
  <c r="G3" i="9"/>
  <c r="E3" i="9"/>
  <c r="D3" i="9"/>
  <c r="B3" i="9"/>
  <c r="V2" i="9"/>
  <c r="L123" i="9"/>
  <c r="X52" i="9"/>
  <c r="Y50" i="9"/>
  <c r="L124" i="9"/>
  <c r="L48" i="9"/>
  <c r="X35" i="9"/>
  <c r="Y53" i="9"/>
  <c r="Y55" i="9"/>
  <c r="Y49" i="9"/>
  <c r="Y41" i="9"/>
  <c r="O157" i="9"/>
  <c r="X56" i="9"/>
  <c r="Y39" i="9"/>
  <c r="Y35" i="9"/>
  <c r="L122" i="9"/>
  <c r="Y45" i="9"/>
  <c r="Z56" i="9"/>
  <c r="X36" i="9"/>
  <c r="L51" i="9"/>
  <c r="M116" i="9"/>
  <c r="L37" i="9"/>
  <c r="X45" i="9"/>
  <c r="L42" i="9"/>
  <c r="L41" i="9"/>
  <c r="L116" i="9"/>
  <c r="Y52" i="9"/>
  <c r="Y46" i="9"/>
  <c r="Y54" i="9"/>
  <c r="O153" i="9"/>
  <c r="X51" i="9"/>
  <c r="L38" i="9"/>
  <c r="X49" i="9"/>
  <c r="L44" i="9"/>
  <c r="L56" i="9"/>
  <c r="Y42" i="9"/>
  <c r="G6" i="8"/>
  <c r="L45" i="9"/>
  <c r="L125" i="9"/>
  <c r="O158" i="9"/>
  <c r="L118" i="9"/>
  <c r="L128" i="9"/>
  <c r="L46" i="9"/>
  <c r="M125" i="9"/>
  <c r="Z49" i="9"/>
  <c r="Y43" i="9"/>
  <c r="X50" i="9"/>
  <c r="L135" i="9"/>
  <c r="L43" i="9"/>
  <c r="Z53" i="9"/>
  <c r="L39" i="9"/>
  <c r="L50" i="9"/>
  <c r="X38" i="9"/>
  <c r="Y37" i="9"/>
  <c r="X40" i="9"/>
  <c r="Y38" i="9"/>
  <c r="Z38" i="9"/>
  <c r="X42" i="9"/>
  <c r="X47" i="9"/>
  <c r="G7" i="8"/>
  <c r="L132" i="9"/>
  <c r="M118" i="9"/>
  <c r="Z52" i="9"/>
  <c r="Z46" i="9"/>
  <c r="Z45" i="9"/>
  <c r="M131" i="9"/>
  <c r="Y51" i="9"/>
  <c r="M123" i="9"/>
  <c r="X55" i="9"/>
  <c r="Z50" i="9"/>
  <c r="V291" i="9"/>
  <c r="Z41" i="9"/>
  <c r="M119" i="9"/>
  <c r="T33" i="9"/>
  <c r="L55" i="9"/>
  <c r="X39" i="9"/>
  <c r="Z43" i="9"/>
  <c r="X48" i="9"/>
  <c r="L54" i="9"/>
  <c r="L119" i="9"/>
  <c r="Z51" i="9"/>
  <c r="G10" i="8"/>
  <c r="Z40" i="9"/>
  <c r="L52" i="9"/>
  <c r="X43" i="9"/>
  <c r="Y56" i="9"/>
  <c r="Z44" i="9"/>
  <c r="O154" i="9"/>
  <c r="L129" i="9"/>
  <c r="L35" i="9"/>
  <c r="Y47" i="9"/>
  <c r="G8" i="8"/>
  <c r="M122" i="9"/>
  <c r="Y36" i="9"/>
  <c r="Y48" i="9"/>
  <c r="Z54" i="9"/>
  <c r="X44" i="9"/>
  <c r="X53" i="9"/>
  <c r="Z55" i="9"/>
  <c r="Z37" i="9"/>
  <c r="Y40" i="9"/>
  <c r="X41" i="9"/>
  <c r="L49" i="9"/>
  <c r="Z39" i="9"/>
  <c r="M126" i="9"/>
  <c r="Z48" i="9"/>
  <c r="L127" i="9"/>
  <c r="X46" i="9"/>
  <c r="L130" i="9"/>
  <c r="L126" i="9"/>
  <c r="M120" i="9"/>
  <c r="X37" i="9"/>
  <c r="G9" i="8"/>
  <c r="L134" i="9"/>
  <c r="L121" i="9"/>
  <c r="Z36" i="9"/>
  <c r="Z47" i="9"/>
  <c r="Z35" i="9"/>
  <c r="L53" i="9"/>
  <c r="X54" i="9"/>
  <c r="L115" i="9"/>
  <c r="Z42" i="9"/>
  <c r="L131" i="9"/>
  <c r="L36" i="9"/>
  <c r="L47" i="9"/>
  <c r="Y44" i="9"/>
  <c r="L120" i="9"/>
  <c r="L117" i="9"/>
  <c r="L40" i="9"/>
  <c r="M42" i="9"/>
  <c r="M121" i="9"/>
  <c r="E64" i="10" l="1"/>
  <c r="E63" i="10"/>
  <c r="E69" i="10" s="1"/>
  <c r="M118" i="10"/>
  <c r="K119" i="10"/>
  <c r="K126" i="10"/>
  <c r="K130" i="10" s="1"/>
  <c r="K132" i="10" s="1"/>
  <c r="M123" i="10"/>
  <c r="G140" i="10"/>
  <c r="E140" i="10" s="1"/>
  <c r="G142" i="10"/>
  <c r="E142" i="10" s="1"/>
  <c r="G143" i="10"/>
  <c r="E143" i="10" s="1"/>
  <c r="G144" i="10"/>
  <c r="E144" i="10" s="1"/>
  <c r="G139" i="10"/>
  <c r="E139" i="10" s="1"/>
  <c r="G138" i="10"/>
  <c r="E138" i="10" s="1"/>
  <c r="G146" i="10"/>
  <c r="E146" i="10" s="1"/>
  <c r="G188" i="10"/>
  <c r="E188" i="10" s="1"/>
  <c r="G184" i="10"/>
  <c r="E184" i="10" s="1"/>
  <c r="G182" i="10"/>
  <c r="E182" i="10" s="1"/>
  <c r="G181" i="10"/>
  <c r="E181" i="10" s="1"/>
  <c r="G180" i="10"/>
  <c r="E180" i="10" s="1"/>
  <c r="G186" i="10"/>
  <c r="E186" i="10" s="1"/>
  <c r="G185" i="10"/>
  <c r="E185" i="10" s="1"/>
  <c r="L105" i="10"/>
  <c r="K106" i="10"/>
  <c r="E70" i="10"/>
  <c r="G71" i="10"/>
  <c r="M105" i="10"/>
  <c r="G101" i="10"/>
  <c r="E101" i="10" s="1"/>
  <c r="G100" i="10"/>
  <c r="E100" i="10" s="1"/>
  <c r="G98" i="10"/>
  <c r="E98" i="10" s="1"/>
  <c r="G97" i="10"/>
  <c r="E97" i="10" s="1"/>
  <c r="G96" i="10"/>
  <c r="G102" i="10"/>
  <c r="E102" i="10" s="1"/>
  <c r="AC199" i="9"/>
  <c r="N114" i="9"/>
  <c r="AE470" i="9"/>
  <c r="X199" i="9"/>
  <c r="Q470" i="9"/>
  <c r="T199" i="9"/>
  <c r="O252" i="9"/>
  <c r="P253" i="9" s="1"/>
  <c r="AB51" i="9"/>
  <c r="L136" i="9"/>
  <c r="L137" i="9" s="1"/>
  <c r="L57" i="9"/>
  <c r="L58" i="9" s="1"/>
  <c r="X57" i="9"/>
  <c r="X58" i="9" s="1"/>
  <c r="Y57" i="9"/>
  <c r="Y58" i="9" s="1"/>
  <c r="Z57" i="9"/>
  <c r="Z58" i="9" s="1"/>
  <c r="P153" i="9"/>
  <c r="R287" i="9"/>
  <c r="P214" i="9"/>
  <c r="X470" i="9"/>
  <c r="N34" i="9"/>
  <c r="M127" i="9"/>
  <c r="M54" i="9"/>
  <c r="M53" i="9"/>
  <c r="M49" i="9"/>
  <c r="M43" i="9"/>
  <c r="M48" i="9"/>
  <c r="M130" i="9"/>
  <c r="M44" i="9"/>
  <c r="M134" i="9"/>
  <c r="M124" i="9"/>
  <c r="M38" i="9"/>
  <c r="M41" i="9"/>
  <c r="M37" i="9"/>
  <c r="M36" i="9"/>
  <c r="M55" i="9"/>
  <c r="M52" i="9"/>
  <c r="M35" i="9"/>
  <c r="M40" i="9"/>
  <c r="M115" i="9"/>
  <c r="M117" i="9"/>
  <c r="M46" i="9"/>
  <c r="M50" i="9"/>
  <c r="M51" i="9"/>
  <c r="M45" i="9"/>
  <c r="M39" i="9"/>
  <c r="M56" i="9"/>
  <c r="M132" i="9"/>
  <c r="M47" i="9"/>
  <c r="M128" i="9"/>
  <c r="M129" i="9"/>
  <c r="M135" i="9"/>
  <c r="M119" i="10" l="1"/>
  <c r="N118" i="10" s="1"/>
  <c r="L119" i="10"/>
  <c r="K120" i="10"/>
  <c r="K133" i="10"/>
  <c r="L132" i="10"/>
  <c r="M132" i="10"/>
  <c r="N123" i="10" s="1"/>
  <c r="N102" i="10"/>
  <c r="L102" i="10" s="1"/>
  <c r="N98" i="10"/>
  <c r="L98" i="10" s="1"/>
  <c r="N97" i="10"/>
  <c r="L97" i="10" s="1"/>
  <c r="N100" i="10"/>
  <c r="L100" i="10" s="1"/>
  <c r="N96" i="10"/>
  <c r="N101" i="10"/>
  <c r="L101" i="10" s="1"/>
  <c r="N104" i="10"/>
  <c r="L104" i="10" s="1"/>
  <c r="E201" i="10"/>
  <c r="E183" i="10"/>
  <c r="G189" i="10"/>
  <c r="E141" i="10"/>
  <c r="G147" i="10"/>
  <c r="E197" i="10"/>
  <c r="G203" i="10"/>
  <c r="E145" i="10"/>
  <c r="E187" i="10"/>
  <c r="E96" i="10"/>
  <c r="E99" i="10" s="1"/>
  <c r="G105" i="10"/>
  <c r="E103" i="10"/>
  <c r="N132" i="9"/>
  <c r="N127" i="9"/>
  <c r="N122" i="9"/>
  <c r="N123" i="9"/>
  <c r="N124" i="9"/>
  <c r="N126" i="9"/>
  <c r="N117" i="9"/>
  <c r="N130" i="9"/>
  <c r="N118" i="9"/>
  <c r="O114" i="9"/>
  <c r="M57" i="9"/>
  <c r="M58" i="9" s="1"/>
  <c r="M136" i="9"/>
  <c r="M137" i="9" s="1"/>
  <c r="O34" i="9"/>
  <c r="N128" i="9"/>
  <c r="N119" i="9"/>
  <c r="N50" i="9"/>
  <c r="N44" i="9"/>
  <c r="N53" i="9"/>
  <c r="N121" i="9"/>
  <c r="N54" i="9"/>
  <c r="N37" i="9"/>
  <c r="N116" i="9"/>
  <c r="N45" i="9"/>
  <c r="N135" i="9"/>
  <c r="N51" i="9"/>
  <c r="N129" i="9"/>
  <c r="N39" i="9"/>
  <c r="N55" i="9"/>
  <c r="O119" i="9"/>
  <c r="N120" i="9"/>
  <c r="O115" i="9"/>
  <c r="O125" i="9"/>
  <c r="N40" i="9"/>
  <c r="N36" i="9"/>
  <c r="N131" i="9"/>
  <c r="N125" i="9"/>
  <c r="N47" i="9"/>
  <c r="N115" i="9"/>
  <c r="N48" i="9"/>
  <c r="N52" i="9"/>
  <c r="N56" i="9"/>
  <c r="N49" i="9"/>
  <c r="N35" i="9"/>
  <c r="N41" i="9"/>
  <c r="O135" i="9"/>
  <c r="O128" i="9"/>
  <c r="O117" i="9"/>
  <c r="N42" i="9"/>
  <c r="N38" i="9"/>
  <c r="N46" i="9"/>
  <c r="N43" i="9"/>
  <c r="O134" i="9"/>
  <c r="N134" i="9"/>
  <c r="O130" i="9"/>
  <c r="L96" i="10" l="1"/>
  <c r="L99" i="10" s="1"/>
  <c r="N105" i="10"/>
  <c r="N110" i="10"/>
  <c r="L110" i="10" s="1"/>
  <c r="N115" i="10"/>
  <c r="L115" i="10" s="1"/>
  <c r="N111" i="10"/>
  <c r="L111" i="10" s="1"/>
  <c r="N112" i="10"/>
  <c r="L112" i="10" s="1"/>
  <c r="N114" i="10"/>
  <c r="L114" i="10" s="1"/>
  <c r="N116" i="10"/>
  <c r="L116" i="10" s="1"/>
  <c r="L118" i="10"/>
  <c r="L123" i="10"/>
  <c r="N127" i="10"/>
  <c r="L127" i="10" s="1"/>
  <c r="N128" i="10"/>
  <c r="L128" i="10" s="1"/>
  <c r="N124" i="10"/>
  <c r="L124" i="10" s="1"/>
  <c r="N125" i="10"/>
  <c r="L125" i="10" s="1"/>
  <c r="N131" i="10"/>
  <c r="L131" i="10" s="1"/>
  <c r="N129" i="10"/>
  <c r="L129" i="10" s="1"/>
  <c r="L103" i="10"/>
  <c r="N136" i="9"/>
  <c r="N137" i="9" s="1"/>
  <c r="P114" i="9"/>
  <c r="N57" i="9"/>
  <c r="N58" i="9" s="1"/>
  <c r="P34" i="9"/>
  <c r="O131" i="9"/>
  <c r="O40" i="9"/>
  <c r="O41" i="9"/>
  <c r="O36" i="9"/>
  <c r="O122" i="9"/>
  <c r="O124" i="9"/>
  <c r="O49" i="9"/>
  <c r="O54" i="9"/>
  <c r="O127" i="9"/>
  <c r="O116" i="9"/>
  <c r="O39" i="9"/>
  <c r="O129" i="9"/>
  <c r="O126" i="9"/>
  <c r="O51" i="9"/>
  <c r="O123" i="9"/>
  <c r="O43" i="9"/>
  <c r="O42" i="9"/>
  <c r="O132" i="9"/>
  <c r="O52" i="9"/>
  <c r="O37" i="9"/>
  <c r="O44" i="9"/>
  <c r="O53" i="9"/>
  <c r="O118" i="9"/>
  <c r="O55" i="9"/>
  <c r="O56" i="9"/>
  <c r="O121" i="9"/>
  <c r="P119" i="9"/>
  <c r="O120" i="9"/>
  <c r="O50" i="9"/>
  <c r="O46" i="9"/>
  <c r="O47" i="9"/>
  <c r="O48" i="9"/>
  <c r="O45" i="9"/>
  <c r="O38" i="9"/>
  <c r="O35" i="9"/>
  <c r="P123" i="9"/>
  <c r="N119" i="10" l="1"/>
  <c r="L113" i="10"/>
  <c r="L117" i="10"/>
  <c r="L126" i="10"/>
  <c r="N132" i="10"/>
  <c r="L130" i="10"/>
  <c r="O136" i="9"/>
  <c r="O137" i="9" s="1"/>
  <c r="Q114" i="9"/>
  <c r="O57" i="9"/>
  <c r="O58" i="9" s="1"/>
  <c r="Q34" i="9"/>
  <c r="P118" i="9"/>
  <c r="P52" i="9"/>
  <c r="P131" i="9"/>
  <c r="P49" i="9"/>
  <c r="P46" i="9"/>
  <c r="P126" i="9"/>
  <c r="P134" i="9"/>
  <c r="P125" i="9"/>
  <c r="P115" i="9"/>
  <c r="P51" i="9"/>
  <c r="P40" i="9"/>
  <c r="P55" i="9"/>
  <c r="P56" i="9"/>
  <c r="P45" i="9"/>
  <c r="P48" i="9"/>
  <c r="P47" i="9"/>
  <c r="P44" i="9"/>
  <c r="P39" i="9"/>
  <c r="P130" i="9"/>
  <c r="P50" i="9"/>
  <c r="P135" i="9"/>
  <c r="P37" i="9"/>
  <c r="P128" i="9"/>
  <c r="P121" i="9"/>
  <c r="P127" i="9"/>
  <c r="P42" i="9"/>
  <c r="P122" i="9"/>
  <c r="P116" i="9"/>
  <c r="P120" i="9"/>
  <c r="P132" i="9"/>
  <c r="P41" i="9"/>
  <c r="P53" i="9"/>
  <c r="P117" i="9"/>
  <c r="P43" i="9"/>
  <c r="P35" i="9"/>
  <c r="P124" i="9"/>
  <c r="P36" i="9"/>
  <c r="P129" i="9"/>
  <c r="P38" i="9"/>
  <c r="P54" i="9"/>
  <c r="Q121" i="9" l="1"/>
  <c r="Q126" i="9"/>
  <c r="Q122" i="9"/>
  <c r="P136" i="9"/>
  <c r="P137" i="9" s="1"/>
  <c r="R114" i="9"/>
  <c r="S114" i="9" s="1"/>
  <c r="P57" i="9"/>
  <c r="P58" i="9" s="1"/>
  <c r="R34" i="9"/>
  <c r="Q47" i="9"/>
  <c r="Q48" i="9"/>
  <c r="R117" i="9"/>
  <c r="Q56" i="9"/>
  <c r="Q127" i="9"/>
  <c r="R127" i="9"/>
  <c r="Q120" i="9"/>
  <c r="Q125" i="9"/>
  <c r="Q51" i="9"/>
  <c r="Q45" i="9"/>
  <c r="Q117" i="9"/>
  <c r="Q115" i="9"/>
  <c r="Q130" i="9"/>
  <c r="Q50" i="9"/>
  <c r="Q118" i="9"/>
  <c r="Q36" i="9"/>
  <c r="Q42" i="9"/>
  <c r="Q38" i="9"/>
  <c r="Q119" i="9"/>
  <c r="R132" i="9"/>
  <c r="Q54" i="9"/>
  <c r="R135" i="9"/>
  <c r="Q129" i="9"/>
  <c r="R119" i="9"/>
  <c r="R130" i="9"/>
  <c r="R121" i="9"/>
  <c r="R128" i="9"/>
  <c r="Q37" i="9"/>
  <c r="Q55" i="9"/>
  <c r="Q128" i="9"/>
  <c r="Q131" i="9"/>
  <c r="Q35" i="9"/>
  <c r="Q53" i="9"/>
  <c r="Q135" i="9"/>
  <c r="Q46" i="9"/>
  <c r="Q52" i="9"/>
  <c r="Q134" i="9"/>
  <c r="Q49" i="9"/>
  <c r="Q124" i="9"/>
  <c r="Q43" i="9"/>
  <c r="Q39" i="9"/>
  <c r="R118" i="9"/>
  <c r="Q132" i="9"/>
  <c r="Q41" i="9"/>
  <c r="R125" i="9"/>
  <c r="Q40" i="9"/>
  <c r="R129" i="9"/>
  <c r="R131" i="9"/>
  <c r="Q116" i="9"/>
  <c r="Q44" i="9"/>
  <c r="Q123" i="9"/>
  <c r="R115" i="9"/>
  <c r="Q136" i="9" l="1"/>
  <c r="Q137" i="9" s="1"/>
  <c r="Q57" i="9"/>
  <c r="Q58" i="9" s="1"/>
  <c r="S34" i="9"/>
  <c r="T114" i="9"/>
  <c r="R122" i="9"/>
  <c r="R43" i="9"/>
  <c r="S123" i="9"/>
  <c r="S130" i="9"/>
  <c r="R40" i="9"/>
  <c r="S117" i="9"/>
  <c r="R44" i="9"/>
  <c r="S119" i="9"/>
  <c r="R49" i="9"/>
  <c r="R55" i="9"/>
  <c r="S121" i="9"/>
  <c r="R48" i="9"/>
  <c r="S129" i="9"/>
  <c r="R116" i="9"/>
  <c r="R53" i="9"/>
  <c r="S122" i="9"/>
  <c r="S126" i="9"/>
  <c r="R46" i="9"/>
  <c r="R41" i="9"/>
  <c r="R134" i="9"/>
  <c r="S131" i="9"/>
  <c r="S115" i="9"/>
  <c r="R35" i="9"/>
  <c r="R120" i="9"/>
  <c r="R124" i="9"/>
  <c r="S124" i="9"/>
  <c r="S128" i="9"/>
  <c r="R123" i="9"/>
  <c r="R54" i="9"/>
  <c r="R50" i="9"/>
  <c r="R45" i="9"/>
  <c r="R38" i="9"/>
  <c r="R36" i="9"/>
  <c r="S134" i="9"/>
  <c r="S120" i="9"/>
  <c r="S125" i="9"/>
  <c r="S132" i="9"/>
  <c r="S118" i="9"/>
  <c r="R126" i="9"/>
  <c r="S135" i="9"/>
  <c r="R52" i="9"/>
  <c r="R56" i="9"/>
  <c r="R39" i="9"/>
  <c r="R42" i="9"/>
  <c r="S116" i="9"/>
  <c r="R47" i="9"/>
  <c r="R51" i="9"/>
  <c r="S127" i="9"/>
  <c r="R37" i="9"/>
  <c r="R136" i="9" l="1"/>
  <c r="R137" i="9" s="1"/>
  <c r="R57" i="9"/>
  <c r="R58" i="9" s="1"/>
  <c r="S136" i="9"/>
  <c r="S137" i="9" s="1"/>
  <c r="T34" i="9"/>
  <c r="U114" i="9"/>
  <c r="S44" i="9"/>
  <c r="T128" i="9"/>
  <c r="S43" i="9"/>
  <c r="T120" i="9"/>
  <c r="T122" i="9"/>
  <c r="S56" i="9"/>
  <c r="T126" i="9"/>
  <c r="S42" i="9"/>
  <c r="S51" i="9"/>
  <c r="T131" i="9"/>
  <c r="T118" i="9"/>
  <c r="S53" i="9"/>
  <c r="S35" i="9"/>
  <c r="S49" i="9"/>
  <c r="S54" i="9"/>
  <c r="S47" i="9"/>
  <c r="T135" i="9"/>
  <c r="T121" i="9"/>
  <c r="T125" i="9"/>
  <c r="S41" i="9"/>
  <c r="T124" i="9"/>
  <c r="T134" i="9"/>
  <c r="S37" i="9"/>
  <c r="T132" i="9"/>
  <c r="T123" i="9"/>
  <c r="T130" i="9"/>
  <c r="S40" i="9"/>
  <c r="S45" i="9"/>
  <c r="T117" i="9"/>
  <c r="T127" i="9"/>
  <c r="S52" i="9"/>
  <c r="T129" i="9"/>
  <c r="S39" i="9"/>
  <c r="S36" i="9"/>
  <c r="S48" i="9"/>
  <c r="S38" i="9"/>
  <c r="S55" i="9"/>
  <c r="T115" i="9"/>
  <c r="S50" i="9"/>
  <c r="T119" i="9"/>
  <c r="T116" i="9"/>
  <c r="S46" i="9"/>
  <c r="S57" i="9" l="1"/>
  <c r="S58" i="9" s="1"/>
  <c r="T136" i="9"/>
  <c r="T137" i="9" s="1"/>
  <c r="U34" i="9"/>
  <c r="V114" i="9"/>
  <c r="U128" i="9"/>
  <c r="U124" i="9"/>
  <c r="U116" i="9"/>
  <c r="U119" i="9"/>
  <c r="T39" i="9"/>
  <c r="T44" i="9"/>
  <c r="T53" i="9"/>
  <c r="T40" i="9"/>
  <c r="T38" i="9"/>
  <c r="T50" i="9"/>
  <c r="U131" i="9"/>
  <c r="U127" i="9"/>
  <c r="T45" i="9"/>
  <c r="U115" i="9"/>
  <c r="U132" i="9"/>
  <c r="T41" i="9"/>
  <c r="T51" i="9"/>
  <c r="U118" i="9"/>
  <c r="U134" i="9"/>
  <c r="T37" i="9"/>
  <c r="T52" i="9"/>
  <c r="T43" i="9"/>
  <c r="U126" i="9"/>
  <c r="U130" i="9"/>
  <c r="T47" i="9"/>
  <c r="T42" i="9"/>
  <c r="T54" i="9"/>
  <c r="T48" i="9"/>
  <c r="T49" i="9"/>
  <c r="U135" i="9"/>
  <c r="U121" i="9"/>
  <c r="U125" i="9"/>
  <c r="T35" i="9"/>
  <c r="T56" i="9"/>
  <c r="U129" i="9"/>
  <c r="T36" i="9"/>
  <c r="U122" i="9"/>
  <c r="U120" i="9"/>
  <c r="U117" i="9"/>
  <c r="T46" i="9"/>
  <c r="T55" i="9"/>
  <c r="U123" i="9"/>
  <c r="T57" i="9" l="1"/>
  <c r="T58" i="9" s="1"/>
  <c r="U136" i="9"/>
  <c r="U137" i="9" s="1"/>
  <c r="V34" i="9"/>
  <c r="W114" i="9"/>
  <c r="V122" i="9"/>
  <c r="V131" i="9"/>
  <c r="V134" i="9"/>
  <c r="V116" i="9"/>
  <c r="V124" i="9"/>
  <c r="U37" i="9"/>
  <c r="V117" i="9"/>
  <c r="V130" i="9"/>
  <c r="U53" i="9"/>
  <c r="V127" i="9"/>
  <c r="V121" i="9"/>
  <c r="U56" i="9"/>
  <c r="U38" i="9"/>
  <c r="U42" i="9"/>
  <c r="U50" i="9"/>
  <c r="V132" i="9"/>
  <c r="U39" i="9"/>
  <c r="U54" i="9"/>
  <c r="V119" i="9"/>
  <c r="V123" i="9"/>
  <c r="V129" i="9"/>
  <c r="U52" i="9"/>
  <c r="U49" i="9"/>
  <c r="V120" i="9"/>
  <c r="U36" i="9"/>
  <c r="V126" i="9"/>
  <c r="U41" i="9"/>
  <c r="U48" i="9"/>
  <c r="U40" i="9"/>
  <c r="V135" i="9"/>
  <c r="V128" i="9"/>
  <c r="U35" i="9"/>
  <c r="U46" i="9"/>
  <c r="U47" i="9"/>
  <c r="U45" i="9"/>
  <c r="V118" i="9"/>
  <c r="U51" i="9"/>
  <c r="V125" i="9"/>
  <c r="V115" i="9"/>
  <c r="U44" i="9"/>
  <c r="U55" i="9"/>
  <c r="U43" i="9"/>
  <c r="U57" i="9" l="1"/>
  <c r="U58" i="9" s="1"/>
  <c r="V136" i="9"/>
  <c r="V137" i="9" s="1"/>
  <c r="X114" i="9"/>
  <c r="W34" i="9"/>
  <c r="W123" i="9"/>
  <c r="V42" i="9"/>
  <c r="V38" i="9"/>
  <c r="W115" i="9"/>
  <c r="V55" i="9"/>
  <c r="V43" i="9"/>
  <c r="W132" i="9"/>
  <c r="W128" i="9"/>
  <c r="V36" i="9"/>
  <c r="W125" i="9"/>
  <c r="V50" i="9"/>
  <c r="V45" i="9"/>
  <c r="W134" i="9"/>
  <c r="W131" i="9"/>
  <c r="V52" i="9"/>
  <c r="V40" i="9"/>
  <c r="V41" i="9"/>
  <c r="V46" i="9"/>
  <c r="W126" i="9"/>
  <c r="W130" i="9"/>
  <c r="V37" i="9"/>
  <c r="V49" i="9"/>
  <c r="V53" i="9"/>
  <c r="W135" i="9"/>
  <c r="W117" i="9"/>
  <c r="W127" i="9"/>
  <c r="W124" i="9"/>
  <c r="V48" i="9"/>
  <c r="V39" i="9"/>
  <c r="V35" i="9"/>
  <c r="V56" i="9"/>
  <c r="V54" i="9"/>
  <c r="W129" i="9"/>
  <c r="W118" i="9"/>
  <c r="W120" i="9"/>
  <c r="V51" i="9"/>
  <c r="W119" i="9"/>
  <c r="W122" i="9"/>
  <c r="V44" i="9"/>
  <c r="W121" i="9"/>
  <c r="W116" i="9"/>
  <c r="V47" i="9"/>
  <c r="W136" i="9" l="1"/>
  <c r="W137" i="9" s="1"/>
  <c r="V57" i="9"/>
  <c r="V58" i="9" s="1"/>
  <c r="Y114" i="9"/>
  <c r="W50" i="9"/>
  <c r="W55" i="9"/>
  <c r="X123" i="9"/>
  <c r="W37" i="9"/>
  <c r="X119" i="9"/>
  <c r="X128" i="9"/>
  <c r="W36" i="9"/>
  <c r="X120" i="9"/>
  <c r="W40" i="9"/>
  <c r="X124" i="9"/>
  <c r="X130" i="9"/>
  <c r="W54" i="9"/>
  <c r="W48" i="9"/>
  <c r="W43" i="9"/>
  <c r="X135" i="9"/>
  <c r="W45" i="9"/>
  <c r="W42" i="9"/>
  <c r="W47" i="9"/>
  <c r="W44" i="9"/>
  <c r="W56" i="9"/>
  <c r="X127" i="9"/>
  <c r="W41" i="9"/>
  <c r="W52" i="9"/>
  <c r="W35" i="9"/>
  <c r="X118" i="9"/>
  <c r="X116" i="9"/>
  <c r="X125" i="9"/>
  <c r="X132" i="9"/>
  <c r="X129" i="9"/>
  <c r="W53" i="9"/>
  <c r="W39" i="9"/>
  <c r="X115" i="9"/>
  <c r="X126" i="9"/>
  <c r="W49" i="9"/>
  <c r="X134" i="9"/>
  <c r="X131" i="9"/>
  <c r="X121" i="9"/>
  <c r="X122" i="9"/>
  <c r="W51" i="9"/>
  <c r="W46" i="9"/>
  <c r="X117" i="9"/>
  <c r="W38" i="9"/>
  <c r="W57" i="9" l="1"/>
  <c r="W58" i="9" s="1"/>
  <c r="X136" i="9"/>
  <c r="X137" i="9" s="1"/>
  <c r="Z114" i="9"/>
  <c r="Y125" i="9"/>
  <c r="Y135" i="9"/>
  <c r="Y121" i="9"/>
  <c r="Y123" i="9"/>
  <c r="Y116" i="9"/>
  <c r="Y134" i="9"/>
  <c r="Y126" i="9"/>
  <c r="Y117" i="9"/>
  <c r="Y127" i="9"/>
  <c r="Y120" i="9"/>
  <c r="Y118" i="9"/>
  <c r="Y132" i="9"/>
  <c r="Y115" i="9"/>
  <c r="Y131" i="9"/>
  <c r="Y124" i="9"/>
  <c r="Y129" i="9"/>
  <c r="Y122" i="9"/>
  <c r="Y128" i="9"/>
  <c r="Y130" i="9"/>
  <c r="Y119" i="9"/>
  <c r="Y136" i="9" l="1"/>
  <c r="Y137" i="9" s="1"/>
  <c r="AA114" i="9"/>
  <c r="Z122" i="9"/>
  <c r="Z118" i="9"/>
  <c r="Z125" i="9"/>
  <c r="Z128" i="9"/>
  <c r="Z129" i="9"/>
  <c r="Z134" i="9"/>
  <c r="Z135" i="9"/>
  <c r="Z127" i="9"/>
  <c r="Z117" i="9"/>
  <c r="Z120" i="9"/>
  <c r="Z131" i="9"/>
  <c r="Z123" i="9"/>
  <c r="Z121" i="9"/>
  <c r="Z132" i="9"/>
  <c r="Z130" i="9"/>
  <c r="Z119" i="9"/>
  <c r="Z115" i="9"/>
  <c r="Z126" i="9"/>
  <c r="Z124" i="9"/>
  <c r="Z116" i="9"/>
  <c r="Z136" i="9" l="1"/>
  <c r="Z137" i="9" s="1"/>
  <c r="AB114" i="9"/>
  <c r="AA118" i="9"/>
  <c r="AA116" i="9"/>
  <c r="AA123" i="9"/>
  <c r="AA132" i="9"/>
  <c r="AA134" i="9"/>
  <c r="AA127" i="9"/>
  <c r="AA135" i="9"/>
  <c r="AA120" i="9"/>
  <c r="AA130" i="9"/>
  <c r="AA115" i="9"/>
  <c r="AA125" i="9"/>
  <c r="AA121" i="9"/>
  <c r="AA117" i="9"/>
  <c r="AA122" i="9"/>
  <c r="AA126" i="9"/>
  <c r="AA131" i="9"/>
  <c r="AA129" i="9"/>
  <c r="AA124" i="9"/>
  <c r="AA119" i="9"/>
  <c r="AA128" i="9"/>
  <c r="AA136" i="9" l="1"/>
  <c r="AA137" i="9" s="1"/>
  <c r="AC114" i="9"/>
  <c r="AB127" i="9"/>
  <c r="AB118" i="9"/>
  <c r="AB119" i="9"/>
  <c r="AB115" i="9"/>
  <c r="AB122" i="9"/>
  <c r="AB128" i="9"/>
  <c r="AB120" i="9"/>
  <c r="AB126" i="9"/>
  <c r="AB124" i="9"/>
  <c r="AB135" i="9"/>
  <c r="AB129" i="9"/>
  <c r="AB132" i="9"/>
  <c r="AB123" i="9"/>
  <c r="AB121" i="9"/>
  <c r="AB116" i="9"/>
  <c r="AB134" i="9"/>
  <c r="AB130" i="9"/>
  <c r="AB117" i="9"/>
  <c r="AB125" i="9"/>
  <c r="AB131" i="9"/>
  <c r="AB136" i="9" l="1"/>
  <c r="AB137" i="9" s="1"/>
  <c r="AD114" i="9"/>
  <c r="AC117" i="9"/>
  <c r="AC116" i="9"/>
  <c r="AC127" i="9"/>
  <c r="AC115" i="9"/>
  <c r="AC129" i="9"/>
  <c r="AC130" i="9"/>
  <c r="AC118" i="9"/>
  <c r="AC124" i="9"/>
  <c r="AC123" i="9"/>
  <c r="AC134" i="9"/>
  <c r="AC119" i="9"/>
  <c r="AC122" i="9"/>
  <c r="AC135" i="9"/>
  <c r="AC128" i="9"/>
  <c r="AC120" i="9"/>
  <c r="AC132" i="9"/>
  <c r="AC125" i="9"/>
  <c r="AC131" i="9"/>
  <c r="AC126" i="9"/>
  <c r="AC121" i="9"/>
  <c r="AC136" i="9" l="1"/>
  <c r="AC137" i="9" s="1"/>
  <c r="AE114" i="9"/>
  <c r="AD135" i="9"/>
  <c r="AD119" i="9"/>
  <c r="AD117" i="9"/>
  <c r="AD128" i="9"/>
  <c r="AD127" i="9"/>
  <c r="AD118" i="9"/>
  <c r="AD124" i="9"/>
  <c r="AD122" i="9"/>
  <c r="AD120" i="9"/>
  <c r="AD131" i="9"/>
  <c r="AD132" i="9"/>
  <c r="AD129" i="9"/>
  <c r="AD125" i="9"/>
  <c r="AD130" i="9"/>
  <c r="AD121" i="9"/>
  <c r="AD126" i="9"/>
  <c r="AD116" i="9"/>
  <c r="AD134" i="9"/>
  <c r="AD115" i="9"/>
  <c r="AD123" i="9"/>
  <c r="AD136" i="9" l="1"/>
  <c r="AD137" i="9" s="1"/>
  <c r="AF114" i="9"/>
  <c r="AE122" i="9"/>
  <c r="AE120" i="9"/>
  <c r="AE130" i="9"/>
  <c r="AE115" i="9"/>
  <c r="AE118" i="9"/>
  <c r="AE131" i="9"/>
  <c r="AE121" i="9"/>
  <c r="AE135" i="9"/>
  <c r="AE123" i="9"/>
  <c r="AE128" i="9"/>
  <c r="AE134" i="9"/>
  <c r="AE125" i="9"/>
  <c r="AE116" i="9"/>
  <c r="AE132" i="9"/>
  <c r="AE127" i="9"/>
  <c r="AE129" i="9"/>
  <c r="AE117" i="9"/>
  <c r="AE124" i="9"/>
  <c r="AE126" i="9"/>
  <c r="AE119" i="9"/>
  <c r="AE136" i="9" l="1"/>
  <c r="AE137" i="9" s="1"/>
  <c r="AG114" i="9"/>
  <c r="AF125" i="9"/>
  <c r="AF128" i="9"/>
  <c r="AF130" i="9"/>
  <c r="AF117" i="9"/>
  <c r="AF121" i="9"/>
  <c r="AF115" i="9"/>
  <c r="AF134" i="9"/>
  <c r="AF127" i="9"/>
  <c r="AF135" i="9"/>
  <c r="AF132" i="9"/>
  <c r="AF131" i="9"/>
  <c r="AF123" i="9"/>
  <c r="AF120" i="9"/>
  <c r="AF118" i="9"/>
  <c r="AF126" i="9"/>
  <c r="AF119" i="9"/>
  <c r="AF129" i="9"/>
  <c r="AF116" i="9"/>
  <c r="AF122" i="9"/>
  <c r="AF124" i="9"/>
  <c r="AF136" i="9" l="1"/>
  <c r="AF137" i="9" s="1"/>
  <c r="AH114" i="9"/>
  <c r="AG119" i="9"/>
  <c r="AG117" i="9"/>
  <c r="AG134" i="9"/>
  <c r="AG123" i="9"/>
  <c r="AG127" i="9"/>
  <c r="AG129" i="9"/>
  <c r="AG132" i="9"/>
  <c r="AG120" i="9"/>
  <c r="AG121" i="9"/>
  <c r="AG125" i="9"/>
  <c r="AG126" i="9"/>
  <c r="AG122" i="9"/>
  <c r="AG135" i="9"/>
  <c r="AG118" i="9"/>
  <c r="AG115" i="9"/>
  <c r="AG131" i="9"/>
  <c r="AG130" i="9"/>
  <c r="AG128" i="9"/>
  <c r="AG116" i="9"/>
  <c r="AG124" i="9"/>
  <c r="AG136" i="9" l="1"/>
  <c r="AG137" i="9" s="1"/>
  <c r="AI114" i="9"/>
  <c r="AH119" i="9"/>
  <c r="AH126" i="9"/>
  <c r="AH134" i="9"/>
  <c r="AH120" i="9"/>
  <c r="AH125" i="9"/>
  <c r="AH115" i="9"/>
  <c r="AH124" i="9"/>
  <c r="AH118" i="9"/>
  <c r="AH117" i="9"/>
  <c r="AH121" i="9"/>
  <c r="AH116" i="9"/>
  <c r="AH131" i="9"/>
  <c r="AH128" i="9"/>
  <c r="AH129" i="9"/>
  <c r="AH135" i="9"/>
  <c r="AH130" i="9"/>
  <c r="AH127" i="9"/>
  <c r="AH123" i="9"/>
  <c r="AH122" i="9"/>
  <c r="AH132" i="9"/>
  <c r="AH136" i="9" l="1"/>
  <c r="AH137" i="9" s="1"/>
  <c r="AJ114" i="9"/>
  <c r="AI115" i="9"/>
  <c r="AI124" i="9"/>
  <c r="AI120" i="9"/>
  <c r="AI121" i="9"/>
  <c r="AI117" i="9"/>
  <c r="AI119" i="9"/>
  <c r="AI134" i="9"/>
  <c r="AI116" i="9"/>
  <c r="AI132" i="9"/>
  <c r="AI123" i="9"/>
  <c r="AI126" i="9"/>
  <c r="AI129" i="9"/>
  <c r="AI128" i="9"/>
  <c r="AI122" i="9"/>
  <c r="AI125" i="9"/>
  <c r="AI135" i="9"/>
  <c r="AI127" i="9"/>
  <c r="AI131" i="9"/>
  <c r="AI130" i="9"/>
  <c r="AI118" i="9"/>
  <c r="AI136" i="9" l="1"/>
  <c r="AI137" i="9" s="1"/>
  <c r="AK114" i="9"/>
  <c r="AJ115" i="9"/>
  <c r="AJ126" i="9"/>
  <c r="AJ131" i="9"/>
  <c r="AJ123" i="9"/>
  <c r="AJ121" i="9"/>
  <c r="AJ134" i="9"/>
  <c r="AJ125" i="9"/>
  <c r="AJ135" i="9"/>
  <c r="AJ132" i="9"/>
  <c r="AJ119" i="9"/>
  <c r="AJ124" i="9"/>
  <c r="AJ130" i="9"/>
  <c r="AJ122" i="9"/>
  <c r="AJ127" i="9"/>
  <c r="AJ118" i="9"/>
  <c r="AJ116" i="9"/>
  <c r="AJ129" i="9"/>
  <c r="AJ117" i="9"/>
  <c r="AJ120" i="9"/>
  <c r="AJ128" i="9"/>
  <c r="AJ136" i="9" l="1"/>
  <c r="AJ137" i="9" s="1"/>
  <c r="AL114" i="9"/>
  <c r="AK119" i="9"/>
  <c r="AK124" i="9"/>
  <c r="AK117" i="9"/>
  <c r="AK129" i="9"/>
  <c r="AK123" i="9"/>
  <c r="AK134" i="9"/>
  <c r="AK122" i="9"/>
  <c r="AK120" i="9"/>
  <c r="AK127" i="9"/>
  <c r="AK121" i="9"/>
  <c r="AK135" i="9"/>
  <c r="AK132" i="9"/>
  <c r="AK131" i="9"/>
  <c r="AK130" i="9"/>
  <c r="AK128" i="9"/>
  <c r="AK115" i="9"/>
  <c r="AK126" i="9"/>
  <c r="AK116" i="9"/>
  <c r="AK125" i="9"/>
  <c r="AK118" i="9"/>
  <c r="AK136" i="9" l="1"/>
  <c r="AK137" i="9" s="1"/>
  <c r="AM114" i="9"/>
  <c r="AL116" i="9"/>
  <c r="AL130" i="9"/>
  <c r="AL115" i="9"/>
  <c r="AL124" i="9"/>
  <c r="AL119" i="9"/>
  <c r="AL121" i="9"/>
  <c r="AL129" i="9"/>
  <c r="AL126" i="9"/>
  <c r="AL120" i="9"/>
  <c r="AL117" i="9"/>
  <c r="AL122" i="9"/>
  <c r="AL127" i="9"/>
  <c r="AL128" i="9"/>
  <c r="AL135" i="9"/>
  <c r="AL132" i="9"/>
  <c r="AL131" i="9"/>
  <c r="AL118" i="9"/>
  <c r="AL125" i="9"/>
  <c r="AL123" i="9"/>
  <c r="AL134" i="9"/>
  <c r="AL136" i="9" l="1"/>
  <c r="AL137" i="9" s="1"/>
  <c r="AN114" i="9"/>
  <c r="AM131" i="9"/>
  <c r="AM123" i="9"/>
  <c r="AM115" i="9"/>
  <c r="AM121" i="9"/>
  <c r="AM117" i="9"/>
  <c r="AM132" i="9"/>
  <c r="AM127" i="9"/>
  <c r="AM128" i="9"/>
  <c r="AM130" i="9"/>
  <c r="AM124" i="9"/>
  <c r="AM135" i="9"/>
  <c r="AM122" i="9"/>
  <c r="AM126" i="9"/>
  <c r="AM116" i="9"/>
  <c r="AM134" i="9"/>
  <c r="AM120" i="9"/>
  <c r="AM125" i="9"/>
  <c r="AM118" i="9"/>
  <c r="AM119" i="9"/>
  <c r="AM129" i="9"/>
  <c r="AM136" i="9" l="1"/>
  <c r="AM137" i="9" s="1"/>
  <c r="AO114" i="9"/>
  <c r="AN132" i="9"/>
  <c r="AN126" i="9"/>
  <c r="AN135" i="9"/>
  <c r="AN128" i="9"/>
  <c r="AN119" i="9"/>
  <c r="AN121" i="9"/>
  <c r="AN127" i="9"/>
  <c r="AN125" i="9"/>
  <c r="AN120" i="9"/>
  <c r="AN117" i="9"/>
  <c r="AN124" i="9"/>
  <c r="AN118" i="9"/>
  <c r="AN123" i="9"/>
  <c r="AN122" i="9"/>
  <c r="AN115" i="9"/>
  <c r="AN129" i="9"/>
  <c r="AN131" i="9"/>
  <c r="AN134" i="9"/>
  <c r="AN130" i="9"/>
  <c r="AN116" i="9"/>
  <c r="AN136" i="9" l="1"/>
  <c r="AN137" i="9" s="1"/>
  <c r="AP114" i="9"/>
  <c r="AO129" i="9"/>
  <c r="AO115" i="9"/>
  <c r="AO124" i="9"/>
  <c r="AO120" i="9"/>
  <c r="AO135" i="9"/>
  <c r="AO130" i="9"/>
  <c r="AO131" i="9"/>
  <c r="AO134" i="9"/>
  <c r="AO126" i="9"/>
  <c r="AO125" i="9"/>
  <c r="AO116" i="9"/>
  <c r="AO117" i="9"/>
  <c r="AO123" i="9"/>
  <c r="AO128" i="9"/>
  <c r="AO132" i="9"/>
  <c r="AO118" i="9"/>
  <c r="AO122" i="9"/>
  <c r="AO121" i="9"/>
  <c r="AO127" i="9"/>
  <c r="AO119" i="9"/>
  <c r="AO136" i="9" l="1"/>
  <c r="AO137" i="9" s="1"/>
  <c r="AQ114" i="9"/>
  <c r="AP134" i="9"/>
  <c r="AP118" i="9"/>
  <c r="AP129" i="9"/>
  <c r="AP130" i="9"/>
  <c r="AP128" i="9"/>
  <c r="AP132" i="9"/>
  <c r="AP115" i="9"/>
  <c r="AP126" i="9"/>
  <c r="AP122" i="9"/>
  <c r="AP119" i="9"/>
  <c r="AP121" i="9"/>
  <c r="AP116" i="9"/>
  <c r="AP127" i="9"/>
  <c r="AP135" i="9"/>
  <c r="AP123" i="9"/>
  <c r="AP120" i="9"/>
  <c r="AP124" i="9"/>
  <c r="AP125" i="9"/>
  <c r="AP117" i="9"/>
  <c r="AP131" i="9"/>
  <c r="AP136" i="9" l="1"/>
  <c r="AP137" i="9" s="1"/>
  <c r="AR114" i="9"/>
  <c r="AQ130" i="9"/>
  <c r="AQ132" i="9"/>
  <c r="AQ129" i="9"/>
  <c r="AQ116" i="9"/>
  <c r="AQ117" i="9"/>
  <c r="AQ120" i="9"/>
  <c r="AQ118" i="9"/>
  <c r="AQ135" i="9"/>
  <c r="AQ127" i="9"/>
  <c r="AQ125" i="9"/>
  <c r="AQ134" i="9"/>
  <c r="AQ123" i="9"/>
  <c r="AQ126" i="9"/>
  <c r="AQ121" i="9"/>
  <c r="AQ131" i="9"/>
  <c r="AQ119" i="9"/>
  <c r="AQ115" i="9"/>
  <c r="AQ122" i="9"/>
  <c r="AQ124" i="9"/>
  <c r="AQ128" i="9"/>
  <c r="AQ136" i="9" l="1"/>
  <c r="AQ137" i="9" s="1"/>
  <c r="AS114" i="9"/>
  <c r="AR118" i="9"/>
  <c r="AR116" i="9"/>
  <c r="AR127" i="9"/>
  <c r="AR124" i="9"/>
  <c r="AR119" i="9"/>
  <c r="AR129" i="9"/>
  <c r="AR131" i="9"/>
  <c r="AR128" i="9"/>
  <c r="AR121" i="9"/>
  <c r="AR134" i="9"/>
  <c r="AR125" i="9"/>
  <c r="AR115" i="9"/>
  <c r="AR122" i="9"/>
  <c r="AR130" i="9"/>
  <c r="AR132" i="9"/>
  <c r="AR117" i="9"/>
  <c r="AR135" i="9"/>
  <c r="AR126" i="9"/>
  <c r="AR120" i="9"/>
  <c r="AR123" i="9"/>
  <c r="AR136" i="9" l="1"/>
  <c r="AR137" i="9" s="1"/>
  <c r="AT114" i="9"/>
  <c r="AS124" i="9"/>
  <c r="AS131" i="9"/>
  <c r="AS123" i="9"/>
  <c r="AS132" i="9"/>
  <c r="AS128" i="9"/>
  <c r="AS115" i="9"/>
  <c r="AS135" i="9"/>
  <c r="AS118" i="9"/>
  <c r="AS126" i="9"/>
  <c r="AS130" i="9"/>
  <c r="AS127" i="9"/>
  <c r="AS119" i="9"/>
  <c r="AS116" i="9"/>
  <c r="AS117" i="9"/>
  <c r="AS125" i="9"/>
  <c r="AS120" i="9"/>
  <c r="AS129" i="9"/>
  <c r="AS134" i="9"/>
  <c r="AS121" i="9"/>
  <c r="AS122" i="9"/>
  <c r="AS136" i="9" l="1"/>
  <c r="AS137" i="9" s="1"/>
  <c r="AU114" i="9"/>
  <c r="AT121" i="9"/>
  <c r="AT119" i="9"/>
  <c r="AT135" i="9"/>
  <c r="AT124" i="9"/>
  <c r="AT132" i="9"/>
  <c r="AT115" i="9"/>
  <c r="AT125" i="9"/>
  <c r="AT116" i="9"/>
  <c r="AT126" i="9"/>
  <c r="AT123" i="9"/>
  <c r="AT118" i="9"/>
  <c r="AT117" i="9"/>
  <c r="AT120" i="9"/>
  <c r="AT134" i="9"/>
  <c r="AT128" i="9"/>
  <c r="AT127" i="9"/>
  <c r="AT131" i="9"/>
  <c r="AT122" i="9"/>
  <c r="AT130" i="9"/>
  <c r="AT129" i="9"/>
  <c r="AT136" i="9" l="1"/>
  <c r="AT137" i="9" s="1"/>
  <c r="AV114" i="9"/>
  <c r="AU123" i="9"/>
  <c r="AU119" i="9"/>
  <c r="AU132" i="9"/>
  <c r="AU135" i="9"/>
  <c r="AU120" i="9"/>
  <c r="AU131" i="9"/>
  <c r="AU124" i="9"/>
  <c r="AU125" i="9"/>
  <c r="AU134" i="9"/>
  <c r="AU128" i="9"/>
  <c r="AU117" i="9"/>
  <c r="AU118" i="9"/>
  <c r="AU115" i="9"/>
  <c r="AU129" i="9"/>
  <c r="AU116" i="9"/>
  <c r="AU121" i="9"/>
  <c r="AU130" i="9"/>
  <c r="AU122" i="9"/>
  <c r="AU127" i="9"/>
  <c r="AU126" i="9"/>
  <c r="AU136" i="9" l="1"/>
  <c r="AU137" i="9" s="1"/>
  <c r="AW114" i="9"/>
  <c r="AV130" i="9"/>
  <c r="AV131" i="9"/>
  <c r="AV135" i="9"/>
  <c r="AV134" i="9"/>
  <c r="AV123" i="9"/>
  <c r="AV125" i="9"/>
  <c r="AV124" i="9"/>
  <c r="AV116" i="9"/>
  <c r="AV120" i="9"/>
  <c r="AV119" i="9"/>
  <c r="AV117" i="9"/>
  <c r="AV132" i="9"/>
  <c r="AV118" i="9"/>
  <c r="AV128" i="9"/>
  <c r="AV121" i="9"/>
  <c r="AV115" i="9"/>
  <c r="AV129" i="9"/>
  <c r="AV122" i="9"/>
  <c r="AV127" i="9"/>
  <c r="AV126" i="9"/>
  <c r="AV136" i="9" l="1"/>
  <c r="AV137" i="9" s="1"/>
  <c r="AX114" i="9"/>
  <c r="AW134" i="9"/>
  <c r="AW124" i="9"/>
  <c r="AW135" i="9"/>
  <c r="AW130" i="9"/>
  <c r="AW123" i="9"/>
  <c r="AW118" i="9"/>
  <c r="AW122" i="9"/>
  <c r="AW127" i="9"/>
  <c r="AW128" i="9"/>
  <c r="AW115" i="9"/>
  <c r="AW129" i="9"/>
  <c r="AW120" i="9"/>
  <c r="AW121" i="9"/>
  <c r="AW116" i="9"/>
  <c r="AW125" i="9"/>
  <c r="AW132" i="9"/>
  <c r="AW126" i="9"/>
  <c r="AW119" i="9"/>
  <c r="AW117" i="9"/>
  <c r="AW131" i="9"/>
  <c r="AW136" i="9" l="1"/>
  <c r="AW137" i="9" s="1"/>
  <c r="AY114" i="9"/>
  <c r="AX135" i="9"/>
  <c r="AX121" i="9"/>
  <c r="AX122" i="9"/>
  <c r="AX125" i="9"/>
  <c r="AX123" i="9"/>
  <c r="AX132" i="9"/>
  <c r="AX130" i="9"/>
  <c r="AX118" i="9"/>
  <c r="AX124" i="9"/>
  <c r="AX128" i="9"/>
  <c r="AX117" i="9"/>
  <c r="AX129" i="9"/>
  <c r="AX127" i="9"/>
  <c r="AX126" i="9"/>
  <c r="AX116" i="9"/>
  <c r="AX115" i="9"/>
  <c r="AX134" i="9"/>
  <c r="AX120" i="9"/>
  <c r="AX119" i="9"/>
  <c r="AX131" i="9"/>
  <c r="AX136" i="9" l="1"/>
  <c r="AX137" i="9" s="1"/>
  <c r="AZ114" i="9"/>
  <c r="AY126" i="9"/>
  <c r="AY135" i="9"/>
  <c r="AY122" i="9"/>
  <c r="AY119" i="9"/>
  <c r="AY134" i="9"/>
  <c r="AY131" i="9"/>
  <c r="AY117" i="9"/>
  <c r="AY130" i="9"/>
  <c r="AY120" i="9"/>
  <c r="AY129" i="9"/>
  <c r="AY123" i="9"/>
  <c r="AY128" i="9"/>
  <c r="AY127" i="9"/>
  <c r="AY115" i="9"/>
  <c r="AY116" i="9"/>
  <c r="AY125" i="9"/>
  <c r="AY121" i="9"/>
  <c r="AY132" i="9"/>
  <c r="AY124" i="9"/>
  <c r="AY118" i="9"/>
  <c r="AY136" i="9" l="1"/>
  <c r="AY137" i="9" s="1"/>
  <c r="BA114" i="9"/>
  <c r="AZ130" i="9"/>
  <c r="AZ131" i="9"/>
  <c r="AZ132" i="9"/>
  <c r="AZ122" i="9"/>
  <c r="AZ128" i="9"/>
  <c r="AZ120" i="9"/>
  <c r="AZ118" i="9"/>
  <c r="AZ115" i="9"/>
  <c r="AZ124" i="9"/>
  <c r="AZ127" i="9"/>
  <c r="AZ129" i="9"/>
  <c r="AZ121" i="9"/>
  <c r="AZ123" i="9"/>
  <c r="AZ116" i="9"/>
  <c r="AZ126" i="9"/>
  <c r="AZ117" i="9"/>
  <c r="AZ125" i="9"/>
  <c r="AZ134" i="9"/>
  <c r="AZ135" i="9"/>
  <c r="AZ119" i="9"/>
  <c r="AZ136" i="9" l="1"/>
  <c r="AZ137" i="9" s="1"/>
  <c r="BB114" i="9"/>
  <c r="BA115" i="9"/>
  <c r="BA121" i="9"/>
  <c r="BA130" i="9"/>
  <c r="BA118" i="9"/>
  <c r="BA127" i="9"/>
  <c r="BA128" i="9"/>
  <c r="BA135" i="9"/>
  <c r="BA125" i="9"/>
  <c r="BA134" i="9"/>
  <c r="BA116" i="9"/>
  <c r="BA129" i="9"/>
  <c r="BA124" i="9"/>
  <c r="BA132" i="9"/>
  <c r="BA123" i="9"/>
  <c r="BA126" i="9"/>
  <c r="BA119" i="9"/>
  <c r="BA131" i="9"/>
  <c r="BA117" i="9"/>
  <c r="BA120" i="9"/>
  <c r="BA122" i="9"/>
  <c r="BA136" i="9" l="1"/>
  <c r="BA137" i="9" s="1"/>
  <c r="BC114" i="9"/>
  <c r="BB135" i="9"/>
  <c r="BB120" i="9"/>
  <c r="BB121" i="9"/>
  <c r="BB118" i="9"/>
  <c r="BB129" i="9"/>
  <c r="BB123" i="9"/>
  <c r="BB128" i="9"/>
  <c r="BB132" i="9"/>
  <c r="BB126" i="9"/>
  <c r="BB115" i="9"/>
  <c r="BB119" i="9"/>
  <c r="BB127" i="9"/>
  <c r="BB125" i="9"/>
  <c r="BB131" i="9"/>
  <c r="BB122" i="9"/>
  <c r="BB117" i="9"/>
  <c r="BB116" i="9"/>
  <c r="BB130" i="9"/>
  <c r="BB124" i="9"/>
  <c r="BB134" i="9"/>
  <c r="BB136" i="9" l="1"/>
  <c r="BB137" i="9" s="1"/>
  <c r="BD114" i="9"/>
  <c r="BC124" i="9"/>
  <c r="BC135" i="9"/>
  <c r="BC130" i="9"/>
  <c r="BC121" i="9"/>
  <c r="BC131" i="9"/>
  <c r="BC117" i="9"/>
  <c r="BC118" i="9"/>
  <c r="BC115" i="9"/>
  <c r="BC126" i="9"/>
  <c r="BC120" i="9"/>
  <c r="BC122" i="9"/>
  <c r="BC123" i="9"/>
  <c r="BC134" i="9"/>
  <c r="BC127" i="9"/>
  <c r="BC119" i="9"/>
  <c r="BC132" i="9"/>
  <c r="BC125" i="9"/>
  <c r="BC128" i="9"/>
  <c r="BC129" i="9"/>
  <c r="BC116" i="9"/>
  <c r="BC136" i="9" l="1"/>
  <c r="BC137" i="9" s="1"/>
  <c r="BD119" i="9"/>
  <c r="BD122" i="9"/>
  <c r="BD120" i="9"/>
  <c r="BD127" i="9"/>
  <c r="BD126" i="9"/>
  <c r="BD117" i="9"/>
  <c r="BD130" i="9"/>
  <c r="BD121" i="9"/>
  <c r="BD128" i="9"/>
  <c r="BD131" i="9"/>
  <c r="BD123" i="9"/>
  <c r="BD115" i="9"/>
  <c r="BD129" i="9"/>
  <c r="BD118" i="9"/>
  <c r="BD134" i="9"/>
  <c r="BD132" i="9"/>
  <c r="BD124" i="9"/>
  <c r="BD116" i="9"/>
  <c r="BD135" i="9"/>
  <c r="BD125" i="9"/>
  <c r="BD136" i="9" l="1"/>
  <c r="BD137" i="9" s="1"/>
  <c r="AC78" i="9" l="1"/>
  <c r="J29" i="2" l="1"/>
  <c r="C7" i="2"/>
  <c r="C8" i="2" s="1"/>
  <c r="C10" i="2"/>
  <c r="C11" i="2" s="1"/>
  <c r="C13" i="2"/>
  <c r="C14" i="2" s="1"/>
  <c r="C16" i="2"/>
  <c r="C20" i="2"/>
  <c r="C21" i="2" s="1"/>
  <c r="C23" i="2"/>
  <c r="C24" i="2" s="1"/>
  <c r="C26" i="2"/>
  <c r="C27" i="2" s="1"/>
  <c r="E30" i="8"/>
  <c r="E29" i="8"/>
  <c r="E28" i="8"/>
  <c r="E27" i="8"/>
  <c r="E26" i="8"/>
  <c r="E25" i="8"/>
  <c r="E24" i="8"/>
  <c r="E23" i="8"/>
  <c r="E22" i="8"/>
  <c r="E21" i="8"/>
  <c r="G38" i="7"/>
  <c r="K43" i="7" s="1"/>
  <c r="G32" i="7"/>
  <c r="K35" i="7" s="1"/>
  <c r="G27" i="7"/>
  <c r="G19" i="7"/>
  <c r="K19" i="7" s="1"/>
  <c r="B14" i="7"/>
  <c r="B37" i="7"/>
  <c r="G37" i="7" s="1"/>
  <c r="B12" i="7"/>
  <c r="B11" i="7"/>
  <c r="B10" i="7"/>
  <c r="B9" i="7"/>
  <c r="B8" i="7"/>
  <c r="B7" i="7"/>
  <c r="B6" i="7"/>
  <c r="B5" i="7"/>
  <c r="K47" i="2"/>
  <c r="BF45" i="10" s="1"/>
  <c r="K48" i="2"/>
  <c r="K46" i="2"/>
  <c r="J48" i="2"/>
  <c r="J42" i="2"/>
  <c r="J43" i="2" s="1"/>
  <c r="K42" i="2"/>
  <c r="K43" i="2" s="1"/>
  <c r="I42" i="2"/>
  <c r="I43" i="2" s="1"/>
  <c r="L29" i="2"/>
  <c r="L26" i="2"/>
  <c r="C46" i="6"/>
  <c r="J13" i="2"/>
  <c r="K4" i="6"/>
  <c r="E23" i="6"/>
  <c r="D23" i="6"/>
  <c r="C23" i="6"/>
  <c r="K31" i="2"/>
  <c r="G31" i="2"/>
  <c r="V22" i="5"/>
  <c r="R22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3" i="5"/>
  <c r="C22" i="5"/>
  <c r="N22" i="5"/>
  <c r="I22" i="5"/>
  <c r="D22" i="5"/>
  <c r="L31" i="1"/>
  <c r="L30" i="1"/>
  <c r="L29" i="1"/>
  <c r="K31" i="1"/>
  <c r="K30" i="1"/>
  <c r="K29" i="1"/>
  <c r="J31" i="1"/>
  <c r="J30" i="1"/>
  <c r="J29" i="1"/>
  <c r="I31" i="1"/>
  <c r="I30" i="1"/>
  <c r="I29" i="1"/>
  <c r="H31" i="1"/>
  <c r="H30" i="1"/>
  <c r="H29" i="1"/>
  <c r="G30" i="1"/>
  <c r="G31" i="1"/>
  <c r="G29" i="1"/>
  <c r="F14" i="7" l="1"/>
  <c r="L34" i="7" s="1"/>
  <c r="C14" i="7"/>
  <c r="B26" i="7"/>
  <c r="F12" i="7"/>
  <c r="L32" i="7" s="1"/>
  <c r="C12" i="7"/>
  <c r="B31" i="7"/>
  <c r="F11" i="7"/>
  <c r="C31" i="7" s="1"/>
  <c r="E31" i="7" s="1"/>
  <c r="C11" i="7"/>
  <c r="B30" i="7"/>
  <c r="C10" i="7"/>
  <c r="B35" i="7"/>
  <c r="C9" i="7"/>
  <c r="B22" i="7"/>
  <c r="F8" i="7"/>
  <c r="C8" i="7"/>
  <c r="B34" i="7"/>
  <c r="F7" i="7"/>
  <c r="C7" i="7"/>
  <c r="B29" i="7"/>
  <c r="C6" i="7"/>
  <c r="B33" i="7"/>
  <c r="F5" i="7"/>
  <c r="C5" i="7"/>
  <c r="D12" i="2"/>
  <c r="H12" i="2" s="1"/>
  <c r="D15" i="2"/>
  <c r="H15" i="2" s="1"/>
  <c r="J15" i="2" s="1"/>
  <c r="L15" i="2" s="1"/>
  <c r="L14" i="11"/>
  <c r="D25" i="2"/>
  <c r="H25" i="2" s="1"/>
  <c r="J25" i="2" s="1"/>
  <c r="L25" i="2" s="1"/>
  <c r="D6" i="2"/>
  <c r="H6" i="2" s="1"/>
  <c r="D9" i="2"/>
  <c r="J59" i="11"/>
  <c r="J28" i="11"/>
  <c r="D19" i="2"/>
  <c r="D31" i="2"/>
  <c r="I23" i="5"/>
  <c r="AA22" i="5"/>
  <c r="O22" i="5"/>
  <c r="D28" i="2"/>
  <c r="H28" i="2" s="1"/>
  <c r="J28" i="2" s="1"/>
  <c r="L28" i="2" s="1"/>
  <c r="E22" i="5"/>
  <c r="D22" i="2"/>
  <c r="J22" i="5"/>
  <c r="J57" i="2"/>
  <c r="I57" i="2"/>
  <c r="K49" i="2"/>
  <c r="K57" i="2"/>
  <c r="C20" i="7"/>
  <c r="E20" i="7" s="1"/>
  <c r="L25" i="7"/>
  <c r="L33" i="7"/>
  <c r="B24" i="7"/>
  <c r="H10" i="7"/>
  <c r="H8" i="7"/>
  <c r="C36" i="7"/>
  <c r="E36" i="7" s="1"/>
  <c r="H36" i="7" s="1"/>
  <c r="H12" i="7"/>
  <c r="L40" i="7" s="1"/>
  <c r="L65" i="7" s="1"/>
  <c r="H14" i="7"/>
  <c r="L42" i="7" s="1"/>
  <c r="L67" i="7" s="1"/>
  <c r="L26" i="7"/>
  <c r="L22" i="7"/>
  <c r="C22" i="7"/>
  <c r="E22" i="7" s="1"/>
  <c r="C25" i="7"/>
  <c r="E25" i="7" s="1"/>
  <c r="H25" i="7" s="1"/>
  <c r="B21" i="7"/>
  <c r="F27" i="8"/>
  <c r="F26" i="8"/>
  <c r="F24" i="8"/>
  <c r="G14" i="8"/>
  <c r="F21" i="8"/>
  <c r="F25" i="8"/>
  <c r="F28" i="8"/>
  <c r="F23" i="8"/>
  <c r="F22" i="8"/>
  <c r="B36" i="7"/>
  <c r="B25" i="7"/>
  <c r="B28" i="7"/>
  <c r="B20" i="7"/>
  <c r="B23" i="7"/>
  <c r="J12" i="2" l="1"/>
  <c r="I54" i="2"/>
  <c r="J22" i="11"/>
  <c r="L22" i="11" s="1"/>
  <c r="F10" i="7"/>
  <c r="G10" i="7" s="1"/>
  <c r="I11" i="2"/>
  <c r="H9" i="2"/>
  <c r="H19" i="2"/>
  <c r="I20" i="2"/>
  <c r="D34" i="2"/>
  <c r="E34" i="2"/>
  <c r="G34" i="2"/>
  <c r="G7" i="7"/>
  <c r="G14" i="7"/>
  <c r="G11" i="7"/>
  <c r="G12" i="7"/>
  <c r="L29" i="7"/>
  <c r="G8" i="7"/>
  <c r="G5" i="7"/>
  <c r="L59" i="7"/>
  <c r="J56" i="11"/>
  <c r="J11" i="11"/>
  <c r="J6" i="11"/>
  <c r="L6" i="11" s="1"/>
  <c r="K59" i="11"/>
  <c r="L28" i="11"/>
  <c r="L59" i="11" s="1"/>
  <c r="I19" i="11"/>
  <c r="K48" i="11" s="1"/>
  <c r="E35" i="11"/>
  <c r="H36" i="11"/>
  <c r="D35" i="11"/>
  <c r="J60" i="11"/>
  <c r="J30" i="11"/>
  <c r="H32" i="11"/>
  <c r="J25" i="11"/>
  <c r="J58" i="11"/>
  <c r="C28" i="7"/>
  <c r="E28" i="7" s="1"/>
  <c r="L58" i="7"/>
  <c r="V23" i="5"/>
  <c r="R23" i="5" s="1"/>
  <c r="R24" i="5" s="1"/>
  <c r="L24" i="5"/>
  <c r="M24" i="5" s="1"/>
  <c r="H22" i="2"/>
  <c r="D30" i="2"/>
  <c r="H30" i="2" s="1"/>
  <c r="L36" i="7"/>
  <c r="L61" i="7" s="1"/>
  <c r="C34" i="7"/>
  <c r="E34" i="7" s="1"/>
  <c r="H34" i="7" s="1"/>
  <c r="L37" i="7"/>
  <c r="L62" i="7" s="1"/>
  <c r="J6" i="2"/>
  <c r="C37" i="7"/>
  <c r="E37" i="7" s="1"/>
  <c r="H37" i="7" s="1"/>
  <c r="L41" i="7"/>
  <c r="L66" i="7" s="1"/>
  <c r="L39" i="7"/>
  <c r="L64" i="7" s="1"/>
  <c r="C35" i="7"/>
  <c r="E35" i="7" s="1"/>
  <c r="H35" i="7" s="1"/>
  <c r="L38" i="7"/>
  <c r="L63" i="7" s="1"/>
  <c r="L20" i="7"/>
  <c r="C26" i="7"/>
  <c r="E26" i="7" s="1"/>
  <c r="L24" i="7"/>
  <c r="L57" i="7" s="1"/>
  <c r="L23" i="7"/>
  <c r="H15" i="7"/>
  <c r="C24" i="7"/>
  <c r="E24" i="7" s="1"/>
  <c r="L21" i="7"/>
  <c r="O40" i="11"/>
  <c r="C33" i="7"/>
  <c r="E33" i="7" s="1"/>
  <c r="H33" i="7" s="1"/>
  <c r="C23" i="7"/>
  <c r="E23" i="7" s="1"/>
  <c r="C21" i="7"/>
  <c r="E21" i="7" s="1"/>
  <c r="H21" i="7" s="1"/>
  <c r="O42" i="11"/>
  <c r="O41" i="11"/>
  <c r="O39" i="11"/>
  <c r="F30" i="8"/>
  <c r="H35" i="11" l="1"/>
  <c r="J30" i="2"/>
  <c r="I58" i="2"/>
  <c r="AO50" i="10"/>
  <c r="AO50" i="13"/>
  <c r="AO9" i="10"/>
  <c r="AL9" i="13"/>
  <c r="AN9" i="13" s="1"/>
  <c r="AO15" i="10"/>
  <c r="AO15" i="13"/>
  <c r="AL15" i="13" s="1"/>
  <c r="F9" i="7"/>
  <c r="P20" i="11"/>
  <c r="L12" i="2"/>
  <c r="K54" i="2" s="1"/>
  <c r="J54" i="2"/>
  <c r="AN9" i="10"/>
  <c r="I53" i="2"/>
  <c r="H31" i="2"/>
  <c r="H32" i="2" s="1"/>
  <c r="G33" i="2" s="1"/>
  <c r="H33" i="2" s="1"/>
  <c r="I10" i="2"/>
  <c r="AL8" i="13" s="1"/>
  <c r="I55" i="2"/>
  <c r="J19" i="2"/>
  <c r="L54" i="7"/>
  <c r="O38" i="11"/>
  <c r="L25" i="11"/>
  <c r="L58" i="11" s="1"/>
  <c r="K58" i="11"/>
  <c r="K56" i="11"/>
  <c r="L11" i="11"/>
  <c r="L56" i="11" s="1"/>
  <c r="J18" i="11"/>
  <c r="L18" i="11" s="1"/>
  <c r="J57" i="11"/>
  <c r="K60" i="11"/>
  <c r="L30" i="11"/>
  <c r="L60" i="11" s="1"/>
  <c r="I9" i="11"/>
  <c r="F6" i="7" s="1"/>
  <c r="J55" i="11"/>
  <c r="H5" i="8"/>
  <c r="N42" i="2"/>
  <c r="O44" i="11"/>
  <c r="I8" i="7"/>
  <c r="H8" i="8"/>
  <c r="J8" i="8" s="1"/>
  <c r="N41" i="2"/>
  <c r="O43" i="11"/>
  <c r="N36" i="2"/>
  <c r="I24" i="2"/>
  <c r="AO18" i="13" s="1"/>
  <c r="AL18" i="13" s="1"/>
  <c r="I56" i="2"/>
  <c r="N39" i="2"/>
  <c r="AN15" i="10"/>
  <c r="N40" i="2"/>
  <c r="I5" i="7"/>
  <c r="N37" i="2"/>
  <c r="N38" i="2"/>
  <c r="C15" i="7"/>
  <c r="L30" i="2"/>
  <c r="K58" i="2" s="1"/>
  <c r="J58" i="2"/>
  <c r="L6" i="2"/>
  <c r="F31" i="8"/>
  <c r="F36" i="8" s="1"/>
  <c r="G9" i="7" l="1"/>
  <c r="L30" i="7"/>
  <c r="L55" i="7" s="1"/>
  <c r="AK9" i="13"/>
  <c r="D132" i="13" s="1"/>
  <c r="AN15" i="13"/>
  <c r="AK15" i="13"/>
  <c r="D174" i="13" s="1"/>
  <c r="AO49" i="10"/>
  <c r="AO49" i="13"/>
  <c r="AN8" i="13"/>
  <c r="AF8" i="13"/>
  <c r="D110" i="13" s="1"/>
  <c r="AO51" i="10"/>
  <c r="AO51" i="13"/>
  <c r="AI18" i="13"/>
  <c r="AN18" i="13"/>
  <c r="I59" i="2"/>
  <c r="I60" i="2" s="1"/>
  <c r="I61" i="2" s="1"/>
  <c r="F132" i="10"/>
  <c r="F133" i="10" s="1"/>
  <c r="AO8" i="10"/>
  <c r="J47" i="2"/>
  <c r="J9" i="2"/>
  <c r="L19" i="2"/>
  <c r="K55" i="2" s="1"/>
  <c r="J55" i="2"/>
  <c r="L28" i="7"/>
  <c r="L53" i="7" s="1"/>
  <c r="G6" i="7"/>
  <c r="C19" i="7"/>
  <c r="E19" i="7" s="1"/>
  <c r="H19" i="7" s="1"/>
  <c r="O45" i="11"/>
  <c r="O46" i="11" s="1"/>
  <c r="J61" i="11"/>
  <c r="J62" i="11" s="1"/>
  <c r="J63" i="11" s="1"/>
  <c r="K57" i="11"/>
  <c r="L57" i="11"/>
  <c r="J8" i="11"/>
  <c r="I31" i="11"/>
  <c r="K49" i="11"/>
  <c r="K51" i="11" s="1"/>
  <c r="J5" i="8"/>
  <c r="I5" i="8"/>
  <c r="G21" i="8"/>
  <c r="H21" i="8" s="1"/>
  <c r="H12" i="8"/>
  <c r="P42" i="11"/>
  <c r="I11" i="7"/>
  <c r="H11" i="8"/>
  <c r="H7" i="8"/>
  <c r="P39" i="11"/>
  <c r="H14" i="8"/>
  <c r="P44" i="11"/>
  <c r="P43" i="11"/>
  <c r="H13" i="8"/>
  <c r="I31" i="2"/>
  <c r="J22" i="2"/>
  <c r="J31" i="2" s="1"/>
  <c r="J32" i="2" s="1"/>
  <c r="AO18" i="10"/>
  <c r="J46" i="2"/>
  <c r="F174" i="10"/>
  <c r="N43" i="2"/>
  <c r="N44" i="2" s="1"/>
  <c r="C29" i="7"/>
  <c r="E29" i="7" s="1"/>
  <c r="I12" i="7"/>
  <c r="O40" i="2"/>
  <c r="I13" i="7"/>
  <c r="O41" i="2"/>
  <c r="I14" i="7"/>
  <c r="O42" i="2"/>
  <c r="I7" i="7"/>
  <c r="O37" i="2"/>
  <c r="I8" i="8"/>
  <c r="I24" i="8" s="1"/>
  <c r="G24" i="8"/>
  <c r="H24" i="8" s="1"/>
  <c r="J49" i="2" l="1"/>
  <c r="J53" i="2"/>
  <c r="L9" i="2"/>
  <c r="K53" i="2" s="1"/>
  <c r="BF49" i="13" s="1"/>
  <c r="P40" i="11"/>
  <c r="O38" i="2"/>
  <c r="H9" i="8"/>
  <c r="I9" i="7"/>
  <c r="D133" i="13"/>
  <c r="F132" i="13"/>
  <c r="D175" i="13"/>
  <c r="F174" i="13"/>
  <c r="F110" i="13"/>
  <c r="F119" i="13" s="1"/>
  <c r="D113" i="13"/>
  <c r="D117" i="13" s="1"/>
  <c r="D119" i="13" s="1"/>
  <c r="BF51" i="10"/>
  <c r="BF51" i="13"/>
  <c r="D110" i="10"/>
  <c r="AN8" i="10"/>
  <c r="E133" i="10"/>
  <c r="D134" i="10"/>
  <c r="I19" i="7"/>
  <c r="I18" i="7" s="1"/>
  <c r="L19" i="7"/>
  <c r="J13" i="8"/>
  <c r="G29" i="8"/>
  <c r="H29" i="8" s="1"/>
  <c r="I21" i="8"/>
  <c r="J21" i="8"/>
  <c r="K55" i="11"/>
  <c r="K61" i="11" s="1"/>
  <c r="K62" i="11" s="1"/>
  <c r="J31" i="11"/>
  <c r="J32" i="11" s="1"/>
  <c r="L8" i="11"/>
  <c r="J11" i="8"/>
  <c r="I11" i="8"/>
  <c r="G27" i="8"/>
  <c r="H27" i="8" s="1"/>
  <c r="J12" i="8"/>
  <c r="I12" i="8"/>
  <c r="G28" i="8"/>
  <c r="H28" i="8" s="1"/>
  <c r="G23" i="8"/>
  <c r="H23" i="8" s="1"/>
  <c r="J7" i="8"/>
  <c r="I7" i="8"/>
  <c r="G30" i="8"/>
  <c r="H30" i="8" s="1"/>
  <c r="I14" i="8"/>
  <c r="J14" i="8"/>
  <c r="P40" i="2"/>
  <c r="Q42" i="11"/>
  <c r="H6" i="8"/>
  <c r="P38" i="11"/>
  <c r="P41" i="2"/>
  <c r="Q43" i="11"/>
  <c r="P42" i="2"/>
  <c r="Q44" i="11"/>
  <c r="P37" i="2"/>
  <c r="Q39" i="11"/>
  <c r="F15" i="7"/>
  <c r="G15" i="7" s="1"/>
  <c r="L31" i="7"/>
  <c r="L56" i="7" s="1"/>
  <c r="J56" i="2"/>
  <c r="L22" i="2"/>
  <c r="AN18" i="10"/>
  <c r="C30" i="7"/>
  <c r="E30" i="7" s="1"/>
  <c r="E175" i="10"/>
  <c r="D176" i="10"/>
  <c r="F175" i="10"/>
  <c r="G130" i="10"/>
  <c r="G128" i="10"/>
  <c r="G126" i="10"/>
  <c r="G125" i="10"/>
  <c r="G129" i="10"/>
  <c r="G124" i="10"/>
  <c r="G132" i="10"/>
  <c r="D113" i="10"/>
  <c r="D117" i="10" s="1"/>
  <c r="F110" i="10"/>
  <c r="I6" i="7"/>
  <c r="O36" i="2"/>
  <c r="C27" i="7"/>
  <c r="E27" i="7" s="1"/>
  <c r="I27" i="7" s="1"/>
  <c r="I21" i="7" s="1"/>
  <c r="I22" i="7" s="1"/>
  <c r="J24" i="8"/>
  <c r="J59" i="2" l="1"/>
  <c r="J60" i="2" s="1"/>
  <c r="J61" i="2" s="1"/>
  <c r="G25" i="8"/>
  <c r="H25" i="8" s="1"/>
  <c r="J9" i="8"/>
  <c r="I9" i="8"/>
  <c r="P38" i="2"/>
  <c r="Q40" i="11"/>
  <c r="D134" i="13"/>
  <c r="E133" i="13"/>
  <c r="F133" i="13"/>
  <c r="G132" i="13" s="1"/>
  <c r="E175" i="13"/>
  <c r="D176" i="13"/>
  <c r="F175" i="13"/>
  <c r="G174" i="13" s="1"/>
  <c r="G116" i="13"/>
  <c r="G114" i="13"/>
  <c r="G118" i="13"/>
  <c r="G111" i="13"/>
  <c r="G115" i="13"/>
  <c r="G112" i="13"/>
  <c r="G110" i="13"/>
  <c r="D120" i="13"/>
  <c r="E119" i="13"/>
  <c r="E110" i="13" s="1"/>
  <c r="E130" i="10"/>
  <c r="E126" i="10"/>
  <c r="E129" i="10"/>
  <c r="E132" i="10"/>
  <c r="E124" i="10"/>
  <c r="E125" i="10"/>
  <c r="E128" i="10"/>
  <c r="E131" i="10" s="1"/>
  <c r="G133" i="10"/>
  <c r="L52" i="7"/>
  <c r="L27" i="7"/>
  <c r="F17" i="7"/>
  <c r="K63" i="11"/>
  <c r="L31" i="11"/>
  <c r="L32" i="11" s="1"/>
  <c r="L55" i="11"/>
  <c r="L61" i="11" s="1"/>
  <c r="L62" i="11" s="1"/>
  <c r="I27" i="8"/>
  <c r="J27" i="8"/>
  <c r="I6" i="8"/>
  <c r="J6" i="8"/>
  <c r="G22" i="8"/>
  <c r="I28" i="8"/>
  <c r="J28" i="8"/>
  <c r="J23" i="8"/>
  <c r="I23" i="8"/>
  <c r="J30" i="8"/>
  <c r="I30" i="8"/>
  <c r="H10" i="8"/>
  <c r="H15" i="8" s="1"/>
  <c r="P41" i="11"/>
  <c r="P45" i="11" s="1"/>
  <c r="P46" i="11" s="1"/>
  <c r="P36" i="2"/>
  <c r="Q38" i="11"/>
  <c r="K56" i="2"/>
  <c r="K59" i="2" s="1"/>
  <c r="K60" i="2" s="1"/>
  <c r="L31" i="2"/>
  <c r="L32" i="2" s="1"/>
  <c r="F211" i="10"/>
  <c r="D214" i="10"/>
  <c r="I10" i="7"/>
  <c r="O39" i="2"/>
  <c r="O43" i="2" s="1"/>
  <c r="O44" i="2" s="1"/>
  <c r="G172" i="10"/>
  <c r="E172" i="10" s="1"/>
  <c r="G170" i="10"/>
  <c r="E170" i="10" s="1"/>
  <c r="G168" i="10"/>
  <c r="E168" i="10" s="1"/>
  <c r="G167" i="10"/>
  <c r="E167" i="10" s="1"/>
  <c r="G171" i="10"/>
  <c r="E171" i="10" s="1"/>
  <c r="G166" i="10"/>
  <c r="G174" i="10"/>
  <c r="E174" i="10" s="1"/>
  <c r="E119" i="10"/>
  <c r="D120" i="10"/>
  <c r="F119" i="10"/>
  <c r="G110" i="10" s="1"/>
  <c r="BF49" i="10"/>
  <c r="I17" i="7"/>
  <c r="J17" i="7"/>
  <c r="E114" i="13" l="1"/>
  <c r="E118" i="13"/>
  <c r="E115" i="13"/>
  <c r="E116" i="13"/>
  <c r="E111" i="13"/>
  <c r="I25" i="8"/>
  <c r="J25" i="8"/>
  <c r="E132" i="13"/>
  <c r="G126" i="13"/>
  <c r="E126" i="13" s="1"/>
  <c r="G130" i="13"/>
  <c r="E130" i="13" s="1"/>
  <c r="G125" i="13"/>
  <c r="E125" i="13" s="1"/>
  <c r="G129" i="13"/>
  <c r="E129" i="13" s="1"/>
  <c r="G128" i="13"/>
  <c r="E128" i="13" s="1"/>
  <c r="G124" i="13"/>
  <c r="E124" i="13" s="1"/>
  <c r="E174" i="13"/>
  <c r="G171" i="13"/>
  <c r="E171" i="13" s="1"/>
  <c r="G170" i="13"/>
  <c r="E170" i="13" s="1"/>
  <c r="G167" i="13"/>
  <c r="E167" i="13" s="1"/>
  <c r="G172" i="13"/>
  <c r="E172" i="13" s="1"/>
  <c r="G168" i="13"/>
  <c r="E168" i="13" s="1"/>
  <c r="G166" i="13"/>
  <c r="E166" i="13" s="1"/>
  <c r="E112" i="13"/>
  <c r="E113" i="13" s="1"/>
  <c r="G119" i="13"/>
  <c r="E117" i="13"/>
  <c r="E127" i="10"/>
  <c r="L60" i="7"/>
  <c r="M52" i="7"/>
  <c r="L35" i="7"/>
  <c r="M27" i="7"/>
  <c r="G16" i="7"/>
  <c r="I15" i="7"/>
  <c r="C38" i="7" s="1"/>
  <c r="E38" i="7" s="1"/>
  <c r="H38" i="7" s="1"/>
  <c r="I38" i="7" s="1"/>
  <c r="C32" i="7"/>
  <c r="E32" i="7" s="1"/>
  <c r="H32" i="7" s="1"/>
  <c r="I32" i="7" s="1"/>
  <c r="L63" i="11"/>
  <c r="I15" i="8"/>
  <c r="J22" i="8"/>
  <c r="I22" i="8"/>
  <c r="H22" i="8"/>
  <c r="I10" i="8"/>
  <c r="J10" i="8"/>
  <c r="J15" i="8" s="1"/>
  <c r="H31" i="8" s="1"/>
  <c r="F38" i="8" s="1"/>
  <c r="G26" i="8"/>
  <c r="P39" i="2"/>
  <c r="P43" i="2" s="1"/>
  <c r="P44" i="2" s="1"/>
  <c r="Q41" i="11"/>
  <c r="Q45" i="11" s="1"/>
  <c r="Q46" i="11" s="1"/>
  <c r="K61" i="2"/>
  <c r="D217" i="10"/>
  <c r="E216" i="10"/>
  <c r="F216" i="10"/>
  <c r="G211" i="10" s="1"/>
  <c r="E166" i="10"/>
  <c r="E169" i="10" s="1"/>
  <c r="G175" i="10"/>
  <c r="E173" i="10"/>
  <c r="E110" i="10"/>
  <c r="G114" i="10"/>
  <c r="E114" i="10" s="1"/>
  <c r="G111" i="10"/>
  <c r="E111" i="10" s="1"/>
  <c r="G112" i="10"/>
  <c r="E112" i="10" s="1"/>
  <c r="G118" i="10"/>
  <c r="E118" i="10" s="1"/>
  <c r="G115" i="10"/>
  <c r="E115" i="10" s="1"/>
  <c r="G116" i="10"/>
  <c r="E116" i="10" s="1"/>
  <c r="E127" i="13" l="1"/>
  <c r="E131" i="13"/>
  <c r="M60" i="7"/>
  <c r="L68" i="7"/>
  <c r="M68" i="7" s="1"/>
  <c r="G133" i="13"/>
  <c r="G175" i="13"/>
  <c r="E173" i="13"/>
  <c r="E169" i="13"/>
  <c r="M35" i="7"/>
  <c r="L43" i="7"/>
  <c r="M43" i="7" s="1"/>
  <c r="E211" i="10"/>
  <c r="I31" i="8"/>
  <c r="F39" i="8" s="1"/>
  <c r="J31" i="8"/>
  <c r="I26" i="8"/>
  <c r="J26" i="8"/>
  <c r="H26" i="8"/>
  <c r="G31" i="8"/>
  <c r="F37" i="8" s="1"/>
  <c r="G209" i="10"/>
  <c r="E209" i="10" s="1"/>
  <c r="G212" i="10"/>
  <c r="E212" i="10" s="1"/>
  <c r="G207" i="10"/>
  <c r="G208" i="10"/>
  <c r="E208" i="10" s="1"/>
  <c r="G215" i="10"/>
  <c r="E215" i="10" s="1"/>
  <c r="G213" i="10"/>
  <c r="E213" i="10" s="1"/>
  <c r="G119" i="10"/>
  <c r="E117" i="10"/>
  <c r="E113" i="10"/>
  <c r="F48" i="8" l="1"/>
  <c r="E50" i="8"/>
  <c r="F47" i="8"/>
  <c r="F50" i="8"/>
  <c r="F49" i="8"/>
  <c r="E48" i="8"/>
  <c r="E47" i="8"/>
  <c r="E49" i="8"/>
  <c r="F42" i="8"/>
  <c r="F41" i="8"/>
  <c r="F43" i="8"/>
  <c r="G216" i="10"/>
  <c r="E207" i="10"/>
  <c r="E210" i="10" s="1"/>
  <c r="E214" i="10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<sst xmlns="http://schemas.openxmlformats.org/spreadsheetml/2006/main" count="28372" uniqueCount="330">
  <si>
    <t>ROAD TO 3K — Q2 2026 (Apr / May / Jun)</t>
  </si>
  <si>
    <t>Baseline tháng 3 (Daily_Mar): ~66.5 bil/day = 2k2  |  Target Jun: 3k (~97 bil/day, ~3,008 bil/tháng)</t>
  </si>
  <si>
    <t>Daily_Mar</t>
  </si>
  <si>
    <t>Initiatives</t>
  </si>
  <si>
    <t>Group Initiative</t>
  </si>
  <si>
    <t>Incremental</t>
  </si>
  <si>
    <t>Daily_Apr</t>
  </si>
  <si>
    <t>Daily_May</t>
  </si>
  <si>
    <t>Daily_Jun</t>
  </si>
  <si>
    <t>PIC</t>
  </si>
  <si>
    <t>Status</t>
  </si>
  <si>
    <t>[VDS] - Cashloan</t>
  </si>
  <si>
    <t>- Universal pool</t>
  </si>
  <si>
    <t>Risk Enhance</t>
  </si>
  <si>
    <t>Risk</t>
  </si>
  <si>
    <t>Live</t>
  </si>
  <si>
    <t>- Risk: request = approve (50%)</t>
  </si>
  <si>
    <t>In progress</t>
  </si>
  <si>
    <t>- Risk: request = approve (70%)</t>
  </si>
  <si>
    <t>[VDS] - Payday</t>
  </si>
  <si>
    <t>- VDS PD tăng app từ 5k lên 6k (Jan benchmark)</t>
  </si>
  <si>
    <t>App Growth</t>
  </si>
  <si>
    <t>MKT</t>
  </si>
  <si>
    <t>New</t>
  </si>
  <si>
    <t>[Cake] - Cashloan</t>
  </si>
  <si>
    <t>- Cake CL tăng app từ 5k6 lên 6k8 (Jan benchmark)</t>
  </si>
  <si>
    <t>- Universal Pool</t>
  </si>
  <si>
    <t>- Cake CL tăng app từ 6k8 lên 7k5</t>
  </si>
  <si>
    <t>[Cake] - Payday</t>
  </si>
  <si>
    <t>- Cake PD tăng app từ 7k5 lên 8k2 (Jan benchmark)</t>
  </si>
  <si>
    <t>- Ticket size 4mil-5mil (repeat segment)</t>
  </si>
  <si>
    <t>[ZALOPAY] - Cashloan</t>
  </si>
  <si>
    <t>- ZLP CL tăng app 600 app lên 800 app (Jan benchmark)</t>
  </si>
  <si>
    <t>Sales</t>
  </si>
  <si>
    <t>- Pool non-score</t>
  </si>
  <si>
    <t>Squad team</t>
  </si>
  <si>
    <t>[MWG] - Cashloan</t>
  </si>
  <si>
    <t>- MWG tăng app từ 350 lên 400 app</t>
  </si>
  <si>
    <t>- MWG tăng app từ 400 lên 550 app (Jan benchmark)</t>
  </si>
  <si>
    <t>[MWG] - Paylater (QTV)</t>
  </si>
  <si>
    <t>- Benchmark với Jan</t>
  </si>
  <si>
    <t>- Live CD 1:1</t>
  </si>
  <si>
    <t>New Feature/Product/Partner</t>
  </si>
  <si>
    <t>[VNPAY]</t>
  </si>
  <si>
    <t>- Tối ưu luồng sản phẩm tăng 50% Appin</t>
  </si>
  <si>
    <t>[FIZA] - Payday</t>
  </si>
  <si>
    <t>Others</t>
  </si>
  <si>
    <t>Total</t>
  </si>
  <si>
    <t>Monthly total (bil)</t>
  </si>
  <si>
    <t>Avg ticket size (mil)</t>
  </si>
  <si>
    <t>Tăng ticket size</t>
  </si>
  <si>
    <t>[MWG] - Payday</t>
  </si>
  <si>
    <t>New product launch</t>
  </si>
  <si>
    <t>report_date</t>
  </si>
  <si>
    <t>lending_product_transform</t>
  </si>
  <si>
    <t>[MWG] - Cashloan (QTV)</t>
  </si>
  <si>
    <t>All</t>
  </si>
  <si>
    <t>[VNPAY] - Cashloan</t>
  </si>
  <si>
    <t>[VDS] - Payroll Cashloan</t>
  </si>
  <si>
    <t>[VNPAY] - Paylater</t>
  </si>
  <si>
    <t>[MISA] - Cashloan</t>
  </si>
  <si>
    <t>[VDS] - Payroll Payday</t>
  </si>
  <si>
    <t>[VDS] - Paylater</t>
  </si>
  <si>
    <t>[VNPAY] - Payday</t>
  </si>
  <si>
    <t>[NORTHSTAR] - Cashloan</t>
  </si>
  <si>
    <t>[BE] - Cashloan</t>
  </si>
  <si>
    <t>[BE] - Paylater</t>
  </si>
  <si>
    <t>[Cake] - Overdraft</t>
  </si>
  <si>
    <t>Grand Total</t>
  </si>
  <si>
    <t>Sum of Total</t>
  </si>
  <si>
    <t>Baseline tháng 3 (Daily_MTD Apr): ~75 bil/day  |  Target Jun: 3k (~97 bil/day, ~3,008 bil/tháng)</t>
  </si>
  <si>
    <t>Daily_MTD Apr</t>
  </si>
  <si>
    <t>Daily_MTG</t>
  </si>
  <si>
    <t>- Tăng ticket nhóm repeat từ 4,7tr lên 5tr2</t>
  </si>
  <si>
    <t>disbursed_date (Date)</t>
  </si>
  <si>
    <t>Disbursed application</t>
  </si>
  <si>
    <t>Disbursed amount (mil VND)</t>
  </si>
  <si>
    <t>Ticket size (mil VND)</t>
  </si>
  <si>
    <t>Universal</t>
  </si>
  <si>
    <t># Application</t>
  </si>
  <si>
    <t># Loscheck</t>
  </si>
  <si>
    <t># Los process</t>
  </si>
  <si>
    <t># Reject</t>
  </si>
  <si>
    <t># Approve</t>
  </si>
  <si>
    <t># Sign</t>
  </si>
  <si>
    <t># Disburse</t>
  </si>
  <si>
    <t># Cancel</t>
  </si>
  <si>
    <t># Paid off</t>
  </si>
  <si>
    <t>null</t>
  </si>
  <si>
    <t>- Cake CL tăng app new (loại universal pool) từ 3k8 lên 5k4</t>
  </si>
  <si>
    <t>Disburse amount (mil VND)</t>
  </si>
  <si>
    <t>repeat</t>
  </si>
  <si>
    <t>- Ticket size 3,5-4,5mil (repeat segment)</t>
  </si>
  <si>
    <t>- VDS PD tăng app từ 5k7 lên 6k (Jan benchmark)</t>
  </si>
  <si>
    <t>- Risk: request = approve (50%-70%)</t>
  </si>
  <si>
    <t>application_date_T</t>
  </si>
  <si>
    <t>% Approve rate</t>
  </si>
  <si>
    <t>% Sign rate</t>
  </si>
  <si>
    <t>0.5309103658</t>
  </si>
  <si>
    <t>0.9374862426</t>
  </si>
  <si>
    <t>0.5285584769</t>
  </si>
  <si>
    <t>0.9316344033</t>
  </si>
  <si>
    <t>0.5353547753</t>
  </si>
  <si>
    <t>0.9362531529</t>
  </si>
  <si>
    <t>0.5328587772</t>
  </si>
  <si>
    <t>0.942509542</t>
  </si>
  <si>
    <t>0.5348542459</t>
  </si>
  <si>
    <t>0.9379146919</t>
  </si>
  <si>
    <t>0.5455319149</t>
  </si>
  <si>
    <t>0.9360374415</t>
  </si>
  <si>
    <t>0.5454545455</t>
  </si>
  <si>
    <t>0.9346910112</t>
  </si>
  <si>
    <t>0.5389155293</t>
  </si>
  <si>
    <t>0.9301848049</t>
  </si>
  <si>
    <t>0.5467523198</t>
  </si>
  <si>
    <t>0.9377719756</t>
  </si>
  <si>
    <t>0.6000776172</t>
  </si>
  <si>
    <t>0.9351657235</t>
  </si>
  <si>
    <t>0.5590269497</t>
  </si>
  <si>
    <t>0.9389931741</t>
  </si>
  <si>
    <t>0.5447455387</t>
  </si>
  <si>
    <t>0.9386071342</t>
  </si>
  <si>
    <t>0.5114977491</t>
  </si>
  <si>
    <t>0.9352997146</t>
  </si>
  <si>
    <t>0.5217339097</t>
  </si>
  <si>
    <t>0.9215189873</t>
  </si>
  <si>
    <t>0.5318521638</t>
  </si>
  <si>
    <t>0.9107107503</t>
  </si>
  <si>
    <t>0.5239578342</t>
  </si>
  <si>
    <t>0.9238683128</t>
  </si>
  <si>
    <t>0.5291038265</t>
  </si>
  <si>
    <t>0.9222614841</t>
  </si>
  <si>
    <t>0.5200155461</t>
  </si>
  <si>
    <t>0.9222720478</t>
  </si>
  <si>
    <t>0.5278557114</t>
  </si>
  <si>
    <t>0.9260946596</t>
  </si>
  <si>
    <t>- Tăng ticket size (14mil-16mil)</t>
  </si>
  <si>
    <t>- Tăng AR 50%-55%</t>
  </si>
  <si>
    <t>TARGET DAILY</t>
  </si>
  <si>
    <t>VDS</t>
  </si>
  <si>
    <t>CHANNEL</t>
  </si>
  <si>
    <t>MAY</t>
  </si>
  <si>
    <t>APR</t>
  </si>
  <si>
    <t>JUN</t>
  </si>
  <si>
    <t>CAKE</t>
  </si>
  <si>
    <t>ZLP</t>
  </si>
  <si>
    <t>MWG</t>
  </si>
  <si>
    <t>NEW CHANNEL</t>
  </si>
  <si>
    <t>OTHERS</t>
  </si>
  <si>
    <t>DAILY DISBURSE</t>
  </si>
  <si>
    <t>MONTLY DISBURSE</t>
  </si>
  <si>
    <t>BY INITIATIVES</t>
  </si>
  <si>
    <t>Cake</t>
  </si>
  <si>
    <t>WATERFALL DATA — Road to 3k Q2 2026</t>
  </si>
  <si>
    <t>Product Summary</t>
  </si>
  <si>
    <t>Product</t>
  </si>
  <si>
    <t>Incr_May</t>
  </si>
  <si>
    <t>Incr_Jun</t>
  </si>
  <si>
    <t>Waterfall Chart Data</t>
  </si>
  <si>
    <t>Category</t>
  </si>
  <si>
    <t>Value</t>
  </si>
  <si>
    <t>Is Total</t>
  </si>
  <si>
    <t>Value (bil)</t>
  </si>
  <si>
    <t>VDS CL</t>
  </si>
  <si>
    <t>Cake CL</t>
  </si>
  <si>
    <t>Cake PD</t>
  </si>
  <si>
    <t>ZLP CL</t>
  </si>
  <si>
    <t>MWG CL</t>
  </si>
  <si>
    <t>MWG PL QTV</t>
  </si>
  <si>
    <t>VNPAY</t>
  </si>
  <si>
    <t>VDS PD</t>
  </si>
  <si>
    <t>Mapping</t>
  </si>
  <si>
    <t>Channel</t>
  </si>
  <si>
    <t>%</t>
  </si>
  <si>
    <t>Gap with Target</t>
  </si>
  <si>
    <t>[ZLP] - Cashloan</t>
  </si>
  <si>
    <t>[MWG] - Paylater</t>
  </si>
  <si>
    <t>TRACKING DASHBOARD — Week 15 vs Target 82 Bil/day</t>
  </si>
  <si>
    <t>Gap (bil)</t>
  </si>
  <si>
    <t>% Achieved</t>
  </si>
  <si>
    <t>TOTAL</t>
  </si>
  <si>
    <t>KEY METRICS SUMMARY</t>
  </si>
  <si>
    <t>Summary</t>
  </si>
  <si>
    <t>Daily disbursement amount</t>
  </si>
  <si>
    <t>Total Actual (bil/day)</t>
  </si>
  <si>
    <t>Total Target (bil/day)</t>
  </si>
  <si>
    <t>Total Gap with Target (bil/day)</t>
  </si>
  <si>
    <t>Overall Achievement</t>
  </si>
  <si>
    <t>Products Below 80% Target</t>
  </si>
  <si>
    <t>/ 9 products</t>
  </si>
  <si>
    <t>Products Near Target (80-99%)</t>
  </si>
  <si>
    <t>Products On Track (≥100%)</t>
  </si>
  <si>
    <t>Gap with Target (bil/day)</t>
  </si>
  <si>
    <t>cop thêm tháng mới vào bên dưới</t>
  </si>
  <si>
    <t>Year</t>
  </si>
  <si>
    <t>Month</t>
  </si>
  <si>
    <t>Weeknum</t>
  </si>
  <si>
    <t>Day</t>
  </si>
  <si>
    <t>Product_use</t>
  </si>
  <si>
    <t>Product Group</t>
  </si>
  <si>
    <t>MONTHLY</t>
  </si>
  <si>
    <t xml:space="preserve">Last updated: </t>
  </si>
  <si>
    <t>Column Labels</t>
  </si>
  <si>
    <t xml:space="preserve"> 2,025  Total</t>
  </si>
  <si>
    <t xml:space="preserve"> 2,026  Total</t>
  </si>
  <si>
    <t>Row Labels</t>
  </si>
  <si>
    <t>[NGS] - Cashloan</t>
  </si>
  <si>
    <t>[VDS] - Cashloan LP</t>
  </si>
  <si>
    <t>[FPT] - Paylater</t>
  </si>
  <si>
    <t>[VNPOST] - Cashloan</t>
  </si>
  <si>
    <t>[ZLP] - Payday</t>
  </si>
  <si>
    <t>CL PD</t>
  </si>
  <si>
    <t>cashloan</t>
  </si>
  <si>
    <t>overdraft</t>
  </si>
  <si>
    <t>payday</t>
  </si>
  <si>
    <t>Paylater</t>
  </si>
  <si>
    <t>paylater</t>
  </si>
  <si>
    <t>WEEKLY</t>
  </si>
  <si>
    <t>a</t>
  </si>
  <si>
    <t>[VDS] - Cashloan O2O</t>
  </si>
  <si>
    <t>(All)</t>
  </si>
  <si>
    <t>[VDS] - Cashloan LP (VDS)</t>
  </si>
  <si>
    <t>[VDS] - Cashloan LP (VTPOST)</t>
  </si>
  <si>
    <t>[VDS] - Cashloan LP (VTT)</t>
  </si>
  <si>
    <t>(Multiple Items)</t>
  </si>
  <si>
    <t>T8</t>
  </si>
  <si>
    <t>T9</t>
  </si>
  <si>
    <t>T10</t>
  </si>
  <si>
    <t>Disb_amt</t>
  </si>
  <si>
    <t>2 tuần cuối/ 2 tuần đầu</t>
  </si>
  <si>
    <t>Avg T8-T10</t>
  </si>
  <si>
    <t xml:space="preserve">Cake </t>
  </si>
  <si>
    <t>Monthly avg - all</t>
  </si>
  <si>
    <t>Daily</t>
  </si>
  <si>
    <t>[ZALOPAY] - Payday</t>
  </si>
  <si>
    <t>*5 days</t>
  </si>
  <si>
    <t>*2 days</t>
  </si>
  <si>
    <t>[NORTHSTAR] - Cashloan Pension</t>
  </si>
  <si>
    <t>[VDS] - Cashloan LP - (VDS)</t>
  </si>
  <si>
    <t>[VDS] - Cashloan LP - (VTT)</t>
  </si>
  <si>
    <t>MTD-Daily Disbursement</t>
  </si>
  <si>
    <t>Daily_Apr_Target</t>
  </si>
  <si>
    <t>May</t>
  </si>
  <si>
    <t>Action Month</t>
  </si>
  <si>
    <t>Apr</t>
  </si>
  <si>
    <t>Jun</t>
  </si>
  <si>
    <t>May, Jun</t>
  </si>
  <si>
    <t>Contribution by Initiatives</t>
  </si>
  <si>
    <t>Total Incremental (+)</t>
  </si>
  <si>
    <t>MONTHLY DISBURSE</t>
  </si>
  <si>
    <t>Impact Apr</t>
  </si>
  <si>
    <t>Impact May</t>
  </si>
  <si>
    <t>Impact Jun</t>
  </si>
  <si>
    <t>App</t>
  </si>
  <si>
    <t>#App</t>
  </si>
  <si>
    <t>AR</t>
  </si>
  <si>
    <t>Ticket size</t>
  </si>
  <si>
    <t>%AR</t>
  </si>
  <si>
    <t>%Sign</t>
  </si>
  <si>
    <t>%Loscheck</t>
  </si>
  <si>
    <t>%Losprocess</t>
  </si>
  <si>
    <t>Daily Disburse amt</t>
  </si>
  <si>
    <t>APRIL</t>
  </si>
  <si>
    <t>Daily Actual - MTD</t>
  </si>
  <si>
    <t>Daily Target</t>
  </si>
  <si>
    <t>Daily Actual - Last Week</t>
  </si>
  <si>
    <t>Impact factors</t>
  </si>
  <si>
    <t>+/-</t>
  </si>
  <si>
    <t>Daily app-in</t>
  </si>
  <si>
    <t>%Disb</t>
  </si>
  <si>
    <t>Disb_app</t>
  </si>
  <si>
    <t>Daily disburse</t>
  </si>
  <si>
    <t>MWG PL - QTV</t>
  </si>
  <si>
    <t>Active acct</t>
  </si>
  <si>
    <t>Avg Spending per acct</t>
  </si>
  <si>
    <t>Total spending per month</t>
  </si>
  <si>
    <t>Avg Daily Spending</t>
  </si>
  <si>
    <t>Daily App in</t>
  </si>
  <si>
    <t>New Issue account</t>
  </si>
  <si>
    <t>Accumulated Issued account</t>
  </si>
  <si>
    <t>%Active</t>
  </si>
  <si>
    <t>Daily App-in</t>
  </si>
  <si>
    <t>#Losprocess_app</t>
  </si>
  <si>
    <t>VDS Payday - App</t>
  </si>
  <si>
    <t>VDS Payday - Ticket</t>
  </si>
  <si>
    <t>VDS CL - Jun</t>
  </si>
  <si>
    <t>Daily Target May</t>
  </si>
  <si>
    <t>Daily Target Jun</t>
  </si>
  <si>
    <t>Cake CL - Risk Jun</t>
  </si>
  <si>
    <t>Run Rate to Jun</t>
  </si>
  <si>
    <t>Ticket size (Mil VND)</t>
  </si>
  <si>
    <t>Daily disburse (Mil VND)</t>
  </si>
  <si>
    <t>Total spending per month (Mil VND)</t>
  </si>
  <si>
    <t>Avg Spending per acct (Mil VND)</t>
  </si>
  <si>
    <t>Avg Daily Spending (Mil VND)</t>
  </si>
  <si>
    <t>Total month New Issue account</t>
  </si>
  <si>
    <t>Target</t>
  </si>
  <si>
    <t>- Ticket size 4,5-6mil (repeat segment)</t>
  </si>
  <si>
    <t>- Tăng ticket size avg 4.5 =&gt; 5.5 mil (repeat segment)</t>
  </si>
  <si>
    <t>Target May</t>
  </si>
  <si>
    <t>Target May (bil)</t>
  </si>
  <si>
    <t>Daily Disbursement (bil)</t>
  </si>
  <si>
    <t>Top Largest Gaps</t>
  </si>
  <si>
    <t>Daily Actual</t>
  </si>
  <si>
    <t>+/- Gap with target</t>
  </si>
  <si>
    <t>Lossprocess_app</t>
  </si>
  <si>
    <t>Cake CL - App</t>
  </si>
  <si>
    <t>ZLP CL - ticket size</t>
  </si>
  <si>
    <t>Actual performance</t>
  </si>
  <si>
    <t>- Live CDL 1:1</t>
  </si>
  <si>
    <t>Actual Performance</t>
  </si>
  <si>
    <t>VNPAY CL</t>
  </si>
  <si>
    <t>VNPAY PAYDAY</t>
  </si>
  <si>
    <t>VNPAY PAYLATER</t>
  </si>
  <si>
    <t>Done</t>
  </si>
  <si>
    <t>On hold</t>
  </si>
  <si>
    <t>- Risk: request = approve</t>
  </si>
  <si>
    <t>Lived</t>
  </si>
  <si>
    <t>- Tăng ticket size cho nhóm NTB1/2/3</t>
  </si>
  <si>
    <t>- Tăng ticket size nhóm repeat</t>
  </si>
  <si>
    <t>To live this week</t>
  </si>
  <si>
    <t>- Paylater pool</t>
  </si>
  <si>
    <t>- Cake PD daily app 9k9 (vs Apr 8k6)</t>
  </si>
  <si>
    <t>- Cake CL daily app 11k5 (vs Apr 8k9)</t>
  </si>
  <si>
    <t>[Cake] - Cashloan Affiliate</t>
  </si>
  <si>
    <t>Daily_May_MTD</t>
  </si>
  <si>
    <t>Daily_MTD May</t>
  </si>
  <si>
    <t>MTD</t>
  </si>
  <si>
    <t>VDS Payday</t>
  </si>
  <si>
    <t>Lived (W19 VDS PD App-in hit 6,797 app/daily)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</si>
</sst>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B1dd\-mmm\-yy"/>
    <numFmt numFmtId="165" formatCode="_-* #,##0.00_-;\-* #,##0.00_-;_-* &quot;-&quot;??_-;_-@_-"/>
    <numFmt numFmtId="166" formatCode="_-* #,##0.0_-;\-* #,##0.0_-;_-* &quot;-&quot;??_-;_-@_-"/>
    <numFmt numFmtId="167" formatCode="_-* #,##0_-;\-* #,##0_-;_-* &quot;-&quot;??_-;_-@_-"/>
    <numFmt numFmtId="168" formatCode="0.0%"/>
    <numFmt numFmtId="169" formatCode="_(* #,##0_);_(* \(#,##0\);_(* &quot;-&quot;??_);_(@_)"/>
    <numFmt numFmtId="170" formatCode="0.0"/>
    <numFmt numFmtId="171" formatCode="#,##0.0"/>
    <numFmt numFmtId="172" formatCode="_(* #,##0.0_);_(* \(#,##0.0\);_(* &quot;-&quot;??_);_(@_)"/>
  </numFmts>
  <fonts count="76" x14ac:knownFonts="1">
    <font>
      <sz val="11"/>
      <color theme="1"/>
      <name val="Calibri"/>
      <family val="2"/>
      <scheme val="minor"/>
    </font>
    <font>
      <b/>
      <sz val="16"/>
      <color rgb="FFFFFFFF"/>
      <name val="Aptos Narrow"/>
    </font>
    <font>
      <i/>
      <sz val="10"/>
      <color rgb="FF1F3864"/>
      <name val="Aptos Narrow"/>
    </font>
    <font>
      <b/>
      <sz val="12"/>
      <color rgb="FFFFFFFF"/>
      <name val="Aptos Narrow"/>
    </font>
    <font>
      <b/>
      <sz val="12"/>
      <color rgb="FF000000"/>
      <name val="Aptos Narrow"/>
    </font>
    <font>
      <sz val="12"/>
      <name val="Aptos Narrow"/>
    </font>
    <font>
      <i/>
      <sz val="12"/>
      <color rgb="FF595959"/>
      <name val="Aptos Narrow"/>
    </font>
    <font>
      <b/>
      <sz val="12"/>
      <name val="Aptos Narrow"/>
    </font>
    <font>
      <b/>
      <sz val="12"/>
      <color rgb="FF7030A0"/>
      <name val="Aptos Narrow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i/>
      <sz val="12"/>
      <color rgb="FF595959"/>
      <name val="Aptos Narrow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0" tint="-0.499984740745262"/>
      <name val="Arial"/>
      <family val="2"/>
    </font>
    <font>
      <b/>
      <sz val="11"/>
      <color theme="5"/>
      <name val="Arial"/>
      <family val="2"/>
    </font>
    <font>
      <b/>
      <sz val="14"/>
      <color rgb="FFCC0000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4"/>
      <color rgb="FF9C65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 tint="0.249977111117893"/>
      <name val="Arial"/>
      <family val="2"/>
    </font>
    <font>
      <sz val="12"/>
      <color theme="0"/>
      <name val="Aptos Narrow"/>
    </font>
    <font>
      <b/>
      <sz val="12"/>
      <color theme="0"/>
      <name val="Aptos Narrow"/>
    </font>
    <font>
      <sz val="12"/>
      <color theme="1"/>
      <name val="Calibri"/>
      <family val="2"/>
      <scheme val="minor"/>
    </font>
    <font>
      <i/>
      <sz val="12"/>
      <color rgb="FFFF3399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i/>
      <sz val="12"/>
      <color rgb="FFFF0000"/>
      <name val="Arial"/>
      <family val="2"/>
    </font>
    <font>
      <sz val="11"/>
      <color theme="0"/>
      <name val="Arial"/>
      <family val="2"/>
    </font>
    <font>
      <sz val="11"/>
      <color theme="9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rgb="FFFFFFFF"/>
      <name val="Calibri"/>
      <family val="2"/>
    </font>
    <font>
      <sz val="12"/>
      <color rgb="FF000000"/>
      <name val="Calibri"/>
      <family val="2"/>
    </font>
    <font>
      <sz val="12"/>
      <color rgb="FF7030A0"/>
      <name val="Calibri"/>
      <family val="2"/>
    </font>
    <font>
      <sz val="12"/>
      <color rgb="FF00857C"/>
      <name val="Calibri"/>
      <family val="2"/>
    </font>
    <font>
      <sz val="12"/>
      <color theme="9" tint="-0.499984740745262"/>
      <name val="Calibri"/>
      <family val="2"/>
    </font>
    <font>
      <sz val="12"/>
      <name val="Aptos Narrow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002060"/>
      <name val="Arial"/>
      <family val="2"/>
    </font>
    <font>
      <b/>
      <sz val="14"/>
      <name val="Calibri"/>
      <family val="2"/>
    </font>
    <font>
      <sz val="12"/>
      <color theme="9" tint="-0.499984740745262"/>
      <name val="Arial"/>
      <family val="2"/>
    </font>
    <font>
      <sz val="12"/>
      <color rgb="FF000000"/>
      <name val="Arial"/>
      <family val="2"/>
    </font>
    <font>
      <b/>
      <sz val="15"/>
      <color theme="0"/>
      <name val="Arial"/>
      <family val="2"/>
    </font>
    <font>
      <sz val="15"/>
      <color rgb="FF002060"/>
      <name val="Calibri"/>
      <family val="2"/>
      <scheme val="minor"/>
    </font>
    <font>
      <b/>
      <sz val="15"/>
      <color rgb="FF002060"/>
      <name val="Arial"/>
      <family val="2"/>
    </font>
    <font>
      <sz val="15"/>
      <color rgb="FF002060"/>
      <name val="Arial"/>
      <family val="2"/>
    </font>
    <font>
      <b/>
      <sz val="11"/>
      <color rgb="FFFF3399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i/>
      <sz val="12"/>
      <color rgb="FF595959"/>
      <name val="Aptos Narrow"/>
      <family val="2"/>
    </font>
    <font>
      <b/>
      <sz val="12"/>
      <name val="Aptos Narrow"/>
      <family val="2"/>
    </font>
    <font>
      <b/>
      <sz val="12"/>
      <color rgb="FF000000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sz val="11"/>
      <color theme="0"/>
      <name val="Arial"/>
      <family val="2"/>
    </font>
    <font>
      <b/>
      <sz val="12"/>
      <color rgb="FFFFFFFF"/>
      <name val="Aptos Narrow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AE3F3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D6F0ED"/>
        <bgColor indexed="64"/>
      </patternFill>
    </fill>
    <fill>
      <patternFill patternType="solid">
        <fgColor rgb="FFFFE5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C5D9F1"/>
        <bgColor indexed="64"/>
      </patternFill>
    </fill>
    <fill>
      <patternFill patternType="solid">
        <fgColor rgb="FF2E75B6"/>
        <bgColor indexed="64"/>
      </patternFill>
    </fill>
  </fills>
  <borders count="8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double">
        <color rgb="FF333333"/>
      </top>
      <bottom style="thin">
        <color rgb="FFD9D9D9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dashed">
        <color theme="0" tint="-0.34998626667073579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 style="thin">
        <color indexed="64"/>
      </bottom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thin">
        <color indexed="64"/>
      </top>
      <bottom style="thin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thin">
        <color indexed="64"/>
      </top>
      <bottom style="thin">
        <color indexed="64"/>
      </bottom>
      <diagonal/>
    </border>
    <border>
      <left style="dashed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 style="thin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indexed="64"/>
      </left>
      <right style="dashed">
        <color theme="0" tint="-0.499984740745262"/>
      </right>
      <top style="dashed">
        <color theme="0" tint="-0.499984740745262"/>
      </top>
      <bottom style="thin">
        <color indexed="64"/>
      </bottom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thin">
        <color indexed="64"/>
      </bottom>
      <diagonal/>
    </border>
    <border>
      <left style="dashed">
        <color theme="0" tint="-0.499984740745262"/>
      </left>
      <right style="thin">
        <color indexed="64"/>
      </right>
      <top style="dashed">
        <color theme="0" tint="-0.499984740745262"/>
      </top>
      <bottom style="thin">
        <color indexed="64"/>
      </bottom>
      <diagonal/>
    </border>
    <border>
      <left style="thin">
        <color indexed="64"/>
      </left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 style="thin">
        <color indexed="64"/>
      </right>
      <top/>
      <bottom style="dashed">
        <color theme="0" tint="-0.499984740745262"/>
      </bottom>
      <diagonal/>
    </border>
    <border>
      <left style="thin">
        <color indexed="64"/>
      </left>
      <right style="dashed">
        <color theme="0" tint="-0.499984740745262"/>
      </right>
      <top style="thin">
        <color indexed="64"/>
      </top>
      <bottom style="thin">
        <color indexed="64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indexed="64"/>
      </top>
      <bottom style="thin">
        <color indexed="64"/>
      </bottom>
      <diagonal/>
    </border>
    <border>
      <left style="dashed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dashed">
        <color theme="0" tint="-0.499984740745262"/>
      </left>
      <right/>
      <top/>
      <bottom style="dashed">
        <color theme="0" tint="-0.499984740745262"/>
      </bottom>
      <diagonal/>
    </border>
    <border>
      <left style="dashed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/>
      <top style="dashed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dashed">
        <color theme="0" tint="-0.499984740745262"/>
      </right>
      <top style="thin">
        <color indexed="64"/>
      </top>
      <bottom style="dashed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indexed="64"/>
      </top>
      <bottom style="dashed">
        <color theme="0" tint="-0.499984740745262"/>
      </bottom>
      <diagonal/>
    </border>
    <border>
      <left style="dashed">
        <color theme="0" tint="-0.499984740745262"/>
      </left>
      <right style="thin">
        <color indexed="64"/>
      </right>
      <top style="thin">
        <color indexed="64"/>
      </top>
      <bottom style="dashed">
        <color theme="0" tint="-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indexed="64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 style="dashed">
        <color theme="0" tint="-0.499984740745262"/>
      </right>
      <top/>
      <bottom style="thin">
        <color indexed="64"/>
      </bottom>
      <diagonal/>
    </border>
    <border>
      <left/>
      <right style="dashed">
        <color theme="0" tint="-0.499984740745262"/>
      </right>
      <top style="thin">
        <color indexed="64"/>
      </top>
      <bottom/>
      <diagonal/>
    </border>
    <border>
      <left/>
      <right style="dashed">
        <color theme="0" tint="-0.499984740745262"/>
      </right>
      <top/>
      <bottom/>
      <diagonal/>
    </border>
    <border>
      <left/>
      <right style="dashed">
        <color theme="0" tint="-0.499984740745262"/>
      </right>
      <top/>
      <bottom style="thin">
        <color indexed="64"/>
      </bottom>
      <diagonal/>
    </border>
    <border>
      <left/>
      <right style="dashed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dashed">
        <color theme="0" tint="-0.499984740745262"/>
      </right>
      <top/>
      <bottom/>
      <diagonal/>
    </border>
    <border>
      <left style="thin">
        <color indexed="64"/>
      </left>
      <right style="dashed">
        <color theme="0" tint="-0.499984740745262"/>
      </right>
      <top/>
      <bottom style="thin">
        <color indexed="64"/>
      </bottom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</cellStyleXfs>
  <cellXfs count="627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41" fontId="5" fillId="0" borderId="1" xfId="0" applyNumberFormat="1" applyFont="1" applyBorder="1"/>
    <xf numFmtId="0" fontId="5" fillId="0" borderId="1" xfId="0" applyFont="1" applyBorder="1"/>
    <xf numFmtId="0" fontId="6" fillId="5" borderId="1" xfId="0" applyFont="1" applyFill="1" applyBorder="1"/>
    <xf numFmtId="0" fontId="7" fillId="6" borderId="1" xfId="0" applyFont="1" applyFill="1" applyBorder="1"/>
    <xf numFmtId="41" fontId="7" fillId="6" borderId="1" xfId="0" applyNumberFormat="1" applyFont="1" applyFill="1" applyBorder="1"/>
    <xf numFmtId="0" fontId="8" fillId="7" borderId="1" xfId="0" applyFont="1" applyFill="1" applyBorder="1"/>
    <xf numFmtId="0" fontId="6" fillId="0" borderId="1" xfId="0" applyFont="1" applyBorder="1"/>
    <xf numFmtId="0" fontId="3" fillId="4" borderId="2" xfId="0" applyFont="1" applyFill="1" applyBorder="1" applyAlignment="1">
      <alignment horizontal="center" vertical="center"/>
    </xf>
    <xf numFmtId="0" fontId="9" fillId="0" borderId="0" xfId="0" applyFont="1"/>
    <xf numFmtId="41" fontId="0" fillId="0" borderId="0" xfId="0" applyNumberFormat="1"/>
    <xf numFmtId="41" fontId="10" fillId="0" borderId="0" xfId="0" applyNumberFormat="1" applyFont="1"/>
    <xf numFmtId="0" fontId="10" fillId="0" borderId="0" xfId="0" applyFont="1"/>
    <xf numFmtId="41" fontId="4" fillId="0" borderId="0" xfId="0" applyNumberFormat="1" applyFont="1"/>
    <xf numFmtId="0" fontId="5" fillId="0" borderId="0" xfId="0" applyFont="1"/>
    <xf numFmtId="41" fontId="13" fillId="0" borderId="0" xfId="0" applyNumberFormat="1" applyFont="1"/>
    <xf numFmtId="0" fontId="13" fillId="0" borderId="0" xfId="0" applyFont="1"/>
    <xf numFmtId="0" fontId="14" fillId="0" borderId="3" xfId="0" applyFont="1" applyBorder="1" applyAlignment="1">
      <alignment readingOrder="1"/>
    </xf>
    <xf numFmtId="0" fontId="14" fillId="0" borderId="4" xfId="0" applyFont="1" applyBorder="1" applyAlignment="1">
      <alignment readingOrder="1"/>
    </xf>
    <xf numFmtId="0" fontId="14" fillId="0" borderId="5" xfId="0" applyFont="1" applyBorder="1" applyAlignment="1">
      <alignment readingOrder="1"/>
    </xf>
    <xf numFmtId="164" fontId="14" fillId="0" borderId="6" xfId="0" applyNumberFormat="1" applyFont="1" applyBorder="1" applyAlignment="1">
      <alignment readingOrder="1"/>
    </xf>
    <xf numFmtId="0" fontId="14" fillId="0" borderId="7" xfId="0" applyFont="1" applyBorder="1" applyAlignment="1">
      <alignment readingOrder="1"/>
    </xf>
    <xf numFmtId="0" fontId="14" fillId="0" borderId="8" xfId="0" applyFont="1" applyBorder="1" applyAlignment="1">
      <alignment readingOrder="1"/>
    </xf>
    <xf numFmtId="164" fontId="14" fillId="0" borderId="9" xfId="0" applyNumberFormat="1" applyFont="1" applyBorder="1" applyAlignment="1">
      <alignment readingOrder="1"/>
    </xf>
    <xf numFmtId="0" fontId="14" fillId="0" borderId="10" xfId="0" applyFont="1" applyBorder="1" applyAlignment="1">
      <alignment readingOrder="1"/>
    </xf>
    <xf numFmtId="0" fontId="14" fillId="0" borderId="11" xfId="0" applyFont="1" applyBorder="1" applyAlignment="1">
      <alignment readingOrder="1"/>
    </xf>
    <xf numFmtId="0" fontId="0" fillId="0" borderId="0" xfId="0" pivotButton="1"/>
    <xf numFmtId="165" fontId="0" fillId="0" borderId="0" xfId="0" applyNumberFormat="1"/>
    <xf numFmtId="167" fontId="0" fillId="0" borderId="0" xfId="0" applyNumberFormat="1"/>
    <xf numFmtId="0" fontId="3" fillId="9" borderId="1" xfId="0" applyFont="1" applyFill="1" applyBorder="1" applyAlignment="1">
      <alignment horizontal="center" vertical="center"/>
    </xf>
    <xf numFmtId="0" fontId="5" fillId="0" borderId="1" xfId="0" quotePrefix="1" applyFont="1" applyBorder="1"/>
    <xf numFmtId="3" fontId="14" fillId="0" borderId="8" xfId="0" applyNumberFormat="1" applyFont="1" applyBorder="1" applyAlignment="1">
      <alignment readingOrder="1"/>
    </xf>
    <xf numFmtId="3" fontId="14" fillId="0" borderId="11" xfId="0" applyNumberFormat="1" applyFont="1" applyBorder="1" applyAlignment="1">
      <alignment readingOrder="1"/>
    </xf>
    <xf numFmtId="3" fontId="0" fillId="0" borderId="0" xfId="0" applyNumberFormat="1"/>
    <xf numFmtId="167" fontId="14" fillId="0" borderId="7" xfId="0" applyNumberFormat="1" applyFont="1" applyBorder="1" applyAlignment="1">
      <alignment readingOrder="1"/>
    </xf>
    <xf numFmtId="167" fontId="14" fillId="0" borderId="8" xfId="0" applyNumberFormat="1" applyFont="1" applyBorder="1" applyAlignment="1">
      <alignment readingOrder="1"/>
    </xf>
    <xf numFmtId="167" fontId="14" fillId="0" borderId="10" xfId="0" applyNumberFormat="1" applyFont="1" applyBorder="1" applyAlignment="1">
      <alignment readingOrder="1"/>
    </xf>
    <xf numFmtId="9" fontId="0" fillId="0" borderId="0" xfId="0" applyNumberFormat="1"/>
    <xf numFmtId="168" fontId="0" fillId="0" borderId="0" xfId="0" applyNumberFormat="1"/>
    <xf numFmtId="0" fontId="5" fillId="10" borderId="1" xfId="0" applyFont="1" applyFill="1" applyBorder="1"/>
    <xf numFmtId="0" fontId="5" fillId="10" borderId="0" xfId="0" applyFont="1" applyFill="1"/>
    <xf numFmtId="41" fontId="13" fillId="10" borderId="0" xfId="0" applyNumberFormat="1" applyFont="1" applyFill="1"/>
    <xf numFmtId="0" fontId="0" fillId="10" borderId="0" xfId="0" applyFill="1"/>
    <xf numFmtId="0" fontId="4" fillId="10" borderId="1" xfId="0" applyFont="1" applyFill="1" applyBorder="1"/>
    <xf numFmtId="167" fontId="13" fillId="0" borderId="0" xfId="0" applyNumberFormat="1" applyFont="1"/>
    <xf numFmtId="41" fontId="4" fillId="10" borderId="0" xfId="0" applyNumberFormat="1" applyFont="1" applyFill="1"/>
    <xf numFmtId="41" fontId="7" fillId="10" borderId="1" xfId="0" applyNumberFormat="1" applyFont="1" applyFill="1" applyBorder="1"/>
    <xf numFmtId="0" fontId="7" fillId="10" borderId="1" xfId="0" quotePrefix="1" applyFont="1" applyFill="1" applyBorder="1"/>
    <xf numFmtId="0" fontId="7" fillId="10" borderId="0" xfId="0" applyFont="1" applyFill="1"/>
    <xf numFmtId="0" fontId="12" fillId="10" borderId="0" xfId="0" applyFont="1" applyFill="1"/>
    <xf numFmtId="0" fontId="7" fillId="10" borderId="1" xfId="0" applyFont="1" applyFill="1" applyBorder="1"/>
    <xf numFmtId="0" fontId="4" fillId="10" borderId="0" xfId="0" applyFont="1" applyFill="1"/>
    <xf numFmtId="41" fontId="7" fillId="0" borderId="1" xfId="0" applyNumberFormat="1" applyFont="1" applyBorder="1"/>
    <xf numFmtId="0" fontId="15" fillId="10" borderId="0" xfId="0" applyFont="1" applyFill="1"/>
    <xf numFmtId="0" fontId="12" fillId="10" borderId="1" xfId="0" applyFont="1" applyFill="1" applyBorder="1"/>
    <xf numFmtId="0" fontId="16" fillId="5" borderId="1" xfId="0" applyFont="1" applyFill="1" applyBorder="1"/>
    <xf numFmtId="0" fontId="4" fillId="0" borderId="0" xfId="0" applyFont="1"/>
    <xf numFmtId="0" fontId="17" fillId="0" borderId="0" xfId="0" applyFont="1"/>
    <xf numFmtId="167" fontId="17" fillId="0" borderId="0" xfId="0" applyNumberFormat="1" applyFont="1"/>
    <xf numFmtId="0" fontId="18" fillId="0" borderId="0" xfId="0" applyFont="1"/>
    <xf numFmtId="167" fontId="18" fillId="0" borderId="0" xfId="0" applyNumberFormat="1" applyFont="1"/>
    <xf numFmtId="43" fontId="0" fillId="0" borderId="0" xfId="0" applyNumberFormat="1"/>
    <xf numFmtId="166" fontId="18" fillId="0" borderId="0" xfId="0" applyNumberFormat="1" applyFont="1"/>
    <xf numFmtId="165" fontId="18" fillId="0" borderId="0" xfId="0" applyNumberFormat="1" applyFont="1"/>
    <xf numFmtId="169" fontId="0" fillId="0" borderId="0" xfId="1" applyNumberFormat="1" applyFont="1"/>
    <xf numFmtId="0" fontId="21" fillId="0" borderId="0" xfId="0" applyFont="1"/>
    <xf numFmtId="0" fontId="22" fillId="0" borderId="0" xfId="0" applyFont="1"/>
    <xf numFmtId="0" fontId="23" fillId="11" borderId="12" xfId="0" applyFont="1" applyFill="1" applyBorder="1"/>
    <xf numFmtId="0" fontId="23" fillId="11" borderId="12" xfId="0" applyFont="1" applyFill="1" applyBorder="1" applyAlignment="1">
      <alignment horizontal="center"/>
    </xf>
    <xf numFmtId="0" fontId="0" fillId="0" borderId="12" xfId="0" applyBorder="1"/>
    <xf numFmtId="3" fontId="0" fillId="0" borderId="12" xfId="1" applyNumberFormat="1" applyFont="1" applyBorder="1"/>
    <xf numFmtId="3" fontId="23" fillId="11" borderId="12" xfId="1" applyNumberFormat="1" applyFont="1" applyFill="1" applyBorder="1"/>
    <xf numFmtId="0" fontId="23" fillId="11" borderId="0" xfId="0" applyFont="1" applyFill="1"/>
    <xf numFmtId="0" fontId="23" fillId="0" borderId="0" xfId="0" applyFont="1"/>
    <xf numFmtId="170" fontId="0" fillId="0" borderId="0" xfId="0" applyNumberFormat="1"/>
    <xf numFmtId="170" fontId="0" fillId="12" borderId="0" xfId="0" applyNumberFormat="1" applyFill="1"/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9" fontId="0" fillId="0" borderId="0" xfId="1" applyNumberFormat="1" applyFont="1"/>
    <xf numFmtId="169" fontId="12" fillId="0" borderId="0" xfId="0" applyNumberFormat="1" applyFont="1"/>
    <xf numFmtId="9" fontId="12" fillId="0" borderId="0" xfId="1" applyNumberFormat="1" applyFont="1"/>
    <xf numFmtId="0" fontId="19" fillId="13" borderId="1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4" borderId="12" xfId="0" applyFill="1" applyBorder="1"/>
    <xf numFmtId="171" fontId="0" fillId="14" borderId="12" xfId="0" applyNumberForma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171" fontId="0" fillId="0" borderId="12" xfId="0" applyNumberFormat="1" applyBorder="1" applyAlignment="1">
      <alignment horizontal="center"/>
    </xf>
    <xf numFmtId="0" fontId="0" fillId="0" borderId="13" xfId="0" applyBorder="1"/>
    <xf numFmtId="171" fontId="0" fillId="0" borderId="13" xfId="0" applyNumberFormat="1" applyBorder="1" applyAlignment="1">
      <alignment horizontal="center"/>
    </xf>
    <xf numFmtId="0" fontId="12" fillId="14" borderId="14" xfId="0" applyFont="1" applyFill="1" applyBorder="1"/>
    <xf numFmtId="171" fontId="12" fillId="14" borderId="14" xfId="0" applyNumberFormat="1" applyFont="1" applyFill="1" applyBorder="1" applyAlignment="1">
      <alignment horizontal="center"/>
    </xf>
    <xf numFmtId="9" fontId="12" fillId="14" borderId="14" xfId="0" applyNumberFormat="1" applyFont="1" applyFill="1" applyBorder="1" applyAlignment="1">
      <alignment horizontal="center"/>
    </xf>
    <xf numFmtId="0" fontId="23" fillId="13" borderId="12" xfId="0" applyFont="1" applyFill="1" applyBorder="1" applyAlignment="1">
      <alignment horizontal="center" vertical="center"/>
    </xf>
    <xf numFmtId="0" fontId="27" fillId="0" borderId="15" xfId="0" applyFont="1" applyBorder="1"/>
    <xf numFmtId="171" fontId="27" fillId="0" borderId="16" xfId="0" applyNumberFormat="1" applyFont="1" applyBorder="1"/>
    <xf numFmtId="0" fontId="27" fillId="0" borderId="17" xfId="0" applyFont="1" applyBorder="1"/>
    <xf numFmtId="171" fontId="27" fillId="0" borderId="18" xfId="0" applyNumberFormat="1" applyFont="1" applyBorder="1"/>
    <xf numFmtId="0" fontId="28" fillId="0" borderId="17" xfId="0" applyFont="1" applyBorder="1"/>
    <xf numFmtId="171" fontId="28" fillId="0" borderId="18" xfId="0" applyNumberFormat="1" applyFont="1" applyBorder="1"/>
    <xf numFmtId="0" fontId="28" fillId="0" borderId="19" xfId="0" applyFont="1" applyBorder="1"/>
    <xf numFmtId="9" fontId="28" fillId="0" borderId="20" xfId="0" applyNumberFormat="1" applyFont="1" applyBorder="1"/>
    <xf numFmtId="169" fontId="29" fillId="0" borderId="0" xfId="1" applyNumberFormat="1" applyFont="1"/>
    <xf numFmtId="0" fontId="30" fillId="0" borderId="0" xfId="0" applyFont="1"/>
    <xf numFmtId="169" fontId="31" fillId="0" borderId="0" xfId="1" applyNumberFormat="1" applyFont="1"/>
    <xf numFmtId="169" fontId="32" fillId="0" borderId="0" xfId="1" applyNumberFormat="1" applyFont="1"/>
    <xf numFmtId="0" fontId="33" fillId="15" borderId="15" xfId="0" applyFont="1" applyFill="1" applyBorder="1" applyAlignment="1">
      <alignment horizontal="center" vertical="center"/>
    </xf>
    <xf numFmtId="0" fontId="34" fillId="16" borderId="15" xfId="0" applyFont="1" applyFill="1" applyBorder="1"/>
    <xf numFmtId="171" fontId="34" fillId="16" borderId="16" xfId="0" applyNumberFormat="1" applyFont="1" applyFill="1" applyBorder="1" applyAlignment="1">
      <alignment horizontal="center"/>
    </xf>
    <xf numFmtId="0" fontId="34" fillId="16" borderId="17" xfId="0" applyFont="1" applyFill="1" applyBorder="1"/>
    <xf numFmtId="171" fontId="34" fillId="16" borderId="18" xfId="0" applyNumberFormat="1" applyFont="1" applyFill="1" applyBorder="1" applyAlignment="1">
      <alignment horizontal="center"/>
    </xf>
    <xf numFmtId="171" fontId="0" fillId="0" borderId="0" xfId="0" applyNumberFormat="1"/>
    <xf numFmtId="41" fontId="35" fillId="0" borderId="1" xfId="0" applyNumberFormat="1" applyFont="1" applyBorder="1"/>
    <xf numFmtId="0" fontId="20" fillId="0" borderId="1" xfId="0" applyFont="1" applyBorder="1"/>
    <xf numFmtId="0" fontId="36" fillId="5" borderId="1" xfId="0" applyFont="1" applyFill="1" applyBorder="1"/>
    <xf numFmtId="0" fontId="35" fillId="5" borderId="1" xfId="0" applyFont="1" applyFill="1" applyBorder="1"/>
    <xf numFmtId="41" fontId="36" fillId="0" borderId="1" xfId="0" applyNumberFormat="1" applyFont="1" applyBorder="1"/>
    <xf numFmtId="169" fontId="13" fillId="0" borderId="0" xfId="1" applyNumberFormat="1" applyFont="1"/>
    <xf numFmtId="169" fontId="0" fillId="0" borderId="12" xfId="1" applyNumberFormat="1" applyFont="1" applyBorder="1"/>
    <xf numFmtId="169" fontId="23" fillId="11" borderId="12" xfId="1" applyNumberFormat="1" applyFont="1" applyFill="1" applyBorder="1"/>
    <xf numFmtId="172" fontId="0" fillId="0" borderId="0" xfId="1" applyNumberFormat="1" applyFont="1"/>
    <xf numFmtId="0" fontId="38" fillId="0" borderId="0" xfId="2" applyFont="1"/>
    <xf numFmtId="0" fontId="39" fillId="0" borderId="0" xfId="2" applyFont="1"/>
    <xf numFmtId="0" fontId="40" fillId="0" borderId="0" xfId="2" applyFont="1"/>
    <xf numFmtId="169" fontId="40" fillId="0" borderId="0" xfId="2" applyNumberFormat="1" applyFont="1"/>
    <xf numFmtId="0" fontId="41" fillId="17" borderId="0" xfId="2" applyFont="1" applyFill="1"/>
    <xf numFmtId="0" fontId="42" fillId="0" borderId="0" xfId="2" applyFont="1"/>
    <xf numFmtId="15" fontId="42" fillId="0" borderId="0" xfId="2" applyNumberFormat="1" applyFont="1"/>
    <xf numFmtId="15" fontId="39" fillId="0" borderId="0" xfId="2" applyNumberFormat="1" applyFont="1"/>
    <xf numFmtId="169" fontId="39" fillId="0" borderId="0" xfId="3" applyNumberFormat="1" applyFont="1"/>
    <xf numFmtId="169" fontId="39" fillId="0" borderId="0" xfId="2" applyNumberFormat="1" applyFont="1"/>
    <xf numFmtId="0" fontId="37" fillId="0" borderId="0" xfId="2"/>
    <xf numFmtId="9" fontId="39" fillId="0" borderId="0" xfId="2" applyNumberFormat="1" applyFont="1"/>
    <xf numFmtId="172" fontId="39" fillId="0" borderId="0" xfId="3" applyNumberFormat="1" applyFont="1"/>
    <xf numFmtId="0" fontId="40" fillId="0" borderId="0" xfId="2" applyFont="1" applyAlignment="1">
      <alignment horizontal="left"/>
    </xf>
    <xf numFmtId="0" fontId="40" fillId="0" borderId="0" xfId="2" applyFont="1" applyAlignment="1">
      <alignment horizontal="center"/>
    </xf>
    <xf numFmtId="0" fontId="39" fillId="0" borderId="0" xfId="2" applyFont="1" applyAlignment="1">
      <alignment horizontal="left"/>
    </xf>
    <xf numFmtId="169" fontId="0" fillId="0" borderId="0" xfId="3" applyNumberFormat="1" applyFont="1"/>
    <xf numFmtId="169" fontId="37" fillId="0" borderId="0" xfId="2" applyNumberFormat="1"/>
    <xf numFmtId="0" fontId="39" fillId="0" borderId="0" xfId="2" applyFont="1" applyAlignment="1">
      <alignment horizontal="center"/>
    </xf>
    <xf numFmtId="169" fontId="40" fillId="0" borderId="0" xfId="2" applyNumberFormat="1" applyFont="1" applyAlignment="1">
      <alignment horizontal="center"/>
    </xf>
    <xf numFmtId="172" fontId="0" fillId="0" borderId="0" xfId="3" applyNumberFormat="1" applyFont="1"/>
    <xf numFmtId="169" fontId="39" fillId="0" borderId="0" xfId="3" applyNumberFormat="1" applyFont="1" applyFill="1"/>
    <xf numFmtId="43" fontId="37" fillId="0" borderId="0" xfId="2" applyNumberFormat="1"/>
    <xf numFmtId="9" fontId="12" fillId="0" borderId="0" xfId="2" applyNumberFormat="1" applyFont="1"/>
    <xf numFmtId="0" fontId="12" fillId="0" borderId="0" xfId="2" applyFont="1"/>
    <xf numFmtId="0" fontId="22" fillId="0" borderId="21" xfId="2" applyFont="1" applyBorder="1"/>
    <xf numFmtId="0" fontId="37" fillId="0" borderId="22" xfId="2" applyBorder="1"/>
    <xf numFmtId="0" fontId="37" fillId="0" borderId="23" xfId="2" applyBorder="1"/>
    <xf numFmtId="0" fontId="12" fillId="0" borderId="24" xfId="2" applyFont="1" applyBorder="1"/>
    <xf numFmtId="0" fontId="22" fillId="0" borderId="0" xfId="2" applyFont="1" applyAlignment="1">
      <alignment horizontal="center"/>
    </xf>
    <xf numFmtId="0" fontId="12" fillId="0" borderId="25" xfId="2" applyFont="1" applyBorder="1" applyAlignment="1">
      <alignment horizontal="center"/>
    </xf>
    <xf numFmtId="0" fontId="37" fillId="0" borderId="24" xfId="2" applyBorder="1"/>
    <xf numFmtId="9" fontId="0" fillId="0" borderId="0" xfId="3" applyNumberFormat="1" applyFont="1"/>
    <xf numFmtId="9" fontId="37" fillId="0" borderId="0" xfId="2" applyNumberFormat="1"/>
    <xf numFmtId="9" fontId="12" fillId="0" borderId="25" xfId="2" applyNumberFormat="1" applyFont="1" applyBorder="1"/>
    <xf numFmtId="0" fontId="12" fillId="0" borderId="25" xfId="2" applyFont="1" applyBorder="1"/>
    <xf numFmtId="0" fontId="12" fillId="0" borderId="26" xfId="2" applyFont="1" applyBorder="1"/>
    <xf numFmtId="9" fontId="12" fillId="0" borderId="27" xfId="2" applyNumberFormat="1" applyFont="1" applyBorder="1"/>
    <xf numFmtId="9" fontId="12" fillId="0" borderId="28" xfId="2" applyNumberFormat="1" applyFont="1" applyBorder="1"/>
    <xf numFmtId="0" fontId="39" fillId="0" borderId="0" xfId="2" quotePrefix="1" applyFont="1"/>
    <xf numFmtId="169" fontId="40" fillId="0" borderId="0" xfId="3" applyNumberFormat="1" applyFont="1"/>
    <xf numFmtId="0" fontId="39" fillId="13" borderId="0" xfId="2" applyFont="1" applyFill="1"/>
    <xf numFmtId="0" fontId="39" fillId="12" borderId="0" xfId="2" applyFont="1" applyFill="1"/>
    <xf numFmtId="15" fontId="39" fillId="12" borderId="0" xfId="2" applyNumberFormat="1" applyFont="1" applyFill="1"/>
    <xf numFmtId="169" fontId="39" fillId="12" borderId="0" xfId="3" applyNumberFormat="1" applyFont="1" applyFill="1"/>
    <xf numFmtId="15" fontId="37" fillId="0" borderId="0" xfId="2" applyNumberFormat="1"/>
    <xf numFmtId="43" fontId="39" fillId="0" borderId="0" xfId="3" applyFont="1"/>
    <xf numFmtId="169" fontId="43" fillId="13" borderId="0" xfId="0" applyNumberFormat="1" applyFont="1" applyFill="1"/>
    <xf numFmtId="0" fontId="17" fillId="0" borderId="0" xfId="0" pivotButton="1" applyFont="1"/>
    <xf numFmtId="169" fontId="17" fillId="0" borderId="0" xfId="0" applyNumberFormat="1" applyFont="1" applyAlignment="1">
      <alignment horizontal="left"/>
    </xf>
    <xf numFmtId="0" fontId="43" fillId="13" borderId="0" xfId="0" applyFont="1" applyFill="1"/>
    <xf numFmtId="169" fontId="17" fillId="0" borderId="0" xfId="0" applyNumberFormat="1" applyFont="1"/>
    <xf numFmtId="0" fontId="17" fillId="0" borderId="0" xfId="0" applyFont="1" applyAlignment="1">
      <alignment horizontal="left"/>
    </xf>
    <xf numFmtId="0" fontId="43" fillId="13" borderId="0" xfId="0" applyFont="1" applyFill="1" applyAlignment="1">
      <alignment horizontal="left"/>
    </xf>
    <xf numFmtId="0" fontId="17" fillId="13" borderId="0" xfId="0" applyFont="1" applyFill="1"/>
    <xf numFmtId="169" fontId="43" fillId="13" borderId="0" xfId="0" applyNumberFormat="1" applyFont="1" applyFill="1" applyAlignment="1">
      <alignment horizontal="left"/>
    </xf>
    <xf numFmtId="169" fontId="17" fillId="12" borderId="0" xfId="0" applyNumberFormat="1" applyFont="1" applyFill="1"/>
    <xf numFmtId="169" fontId="17" fillId="13" borderId="0" xfId="0" applyNumberFormat="1" applyFont="1" applyFill="1"/>
    <xf numFmtId="9" fontId="0" fillId="14" borderId="12" xfId="0" applyNumberFormat="1" applyFill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45" fillId="14" borderId="12" xfId="0" applyFont="1" applyFill="1" applyBorder="1" applyAlignment="1">
      <alignment horizontal="center"/>
    </xf>
    <xf numFmtId="0" fontId="45" fillId="0" borderId="12" xfId="0" applyFont="1" applyBorder="1" applyAlignment="1">
      <alignment horizontal="center"/>
    </xf>
    <xf numFmtId="0" fontId="46" fillId="14" borderId="12" xfId="0" applyFont="1" applyFill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14" borderId="14" xfId="0" applyFont="1" applyFill="1" applyBorder="1" applyAlignment="1">
      <alignment horizontal="center"/>
    </xf>
    <xf numFmtId="170" fontId="12" fillId="0" borderId="0" xfId="0" applyNumberFormat="1" applyFont="1"/>
    <xf numFmtId="2" fontId="12" fillId="0" borderId="0" xfId="0" applyNumberFormat="1" applyFont="1"/>
    <xf numFmtId="172" fontId="12" fillId="0" borderId="0" xfId="1" applyNumberFormat="1" applyFont="1"/>
    <xf numFmtId="0" fontId="48" fillId="11" borderId="12" xfId="0" applyFont="1" applyFill="1" applyBorder="1" applyAlignment="1">
      <alignment horizontal="center" vertical="center" wrapText="1" readingOrder="1"/>
    </xf>
    <xf numFmtId="0" fontId="49" fillId="14" borderId="1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49" fillId="14" borderId="12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quotePrefix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50" fillId="20" borderId="12" xfId="0" applyFont="1" applyFill="1" applyBorder="1" applyAlignment="1">
      <alignment horizontal="center" vertical="center" wrapText="1" readingOrder="1"/>
    </xf>
    <xf numFmtId="0" fontId="47" fillId="20" borderId="0" xfId="0" applyFont="1" applyFill="1" applyAlignment="1">
      <alignment horizontal="center" vertical="center"/>
    </xf>
    <xf numFmtId="0" fontId="52" fillId="18" borderId="12" xfId="0" applyFont="1" applyFill="1" applyBorder="1" applyAlignment="1">
      <alignment horizontal="center" vertical="center" wrapText="1" readingOrder="1"/>
    </xf>
    <xf numFmtId="0" fontId="53" fillId="0" borderId="0" xfId="0" applyFont="1" applyAlignment="1">
      <alignment vertical="center"/>
    </xf>
    <xf numFmtId="0" fontId="44" fillId="19" borderId="0" xfId="0" applyFont="1" applyFill="1" applyAlignment="1">
      <alignment horizontal="center" vertical="center"/>
    </xf>
    <xf numFmtId="0" fontId="51" fillId="21" borderId="12" xfId="0" applyFont="1" applyFill="1" applyBorder="1" applyAlignment="1">
      <alignment horizontal="center" vertical="center" wrapText="1" readingOrder="1"/>
    </xf>
    <xf numFmtId="169" fontId="0" fillId="0" borderId="1" xfId="1" applyNumberFormat="1" applyFont="1" applyBorder="1"/>
    <xf numFmtId="167" fontId="55" fillId="0" borderId="31" xfId="0" applyNumberFormat="1" applyFont="1" applyBorder="1" applyAlignment="1">
      <alignment horizontal="center"/>
    </xf>
    <xf numFmtId="172" fontId="55" fillId="0" borderId="31" xfId="1" applyNumberFormat="1" applyFont="1" applyBorder="1" applyAlignment="1">
      <alignment horizontal="center"/>
    </xf>
    <xf numFmtId="0" fontId="56" fillId="0" borderId="34" xfId="0" applyFont="1" applyBorder="1" applyAlignment="1">
      <alignment horizontal="left"/>
    </xf>
    <xf numFmtId="172" fontId="55" fillId="0" borderId="35" xfId="1" applyNumberFormat="1" applyFont="1" applyBorder="1" applyAlignment="1">
      <alignment horizontal="center"/>
    </xf>
    <xf numFmtId="0" fontId="56" fillId="0" borderId="38" xfId="0" applyFont="1" applyBorder="1" applyAlignment="1">
      <alignment horizontal="left"/>
    </xf>
    <xf numFmtId="167" fontId="55" fillId="0" borderId="30" xfId="0" applyNumberFormat="1" applyFont="1" applyBorder="1" applyAlignment="1">
      <alignment horizontal="center"/>
    </xf>
    <xf numFmtId="172" fontId="55" fillId="0" borderId="30" xfId="1" applyNumberFormat="1" applyFont="1" applyBorder="1" applyAlignment="1">
      <alignment horizontal="center"/>
    </xf>
    <xf numFmtId="172" fontId="55" fillId="0" borderId="39" xfId="1" applyNumberFormat="1" applyFont="1" applyBorder="1" applyAlignment="1">
      <alignment horizontal="center"/>
    </xf>
    <xf numFmtId="172" fontId="57" fillId="16" borderId="33" xfId="1" applyNumberFormat="1" applyFont="1" applyFill="1" applyBorder="1" applyAlignment="1">
      <alignment horizontal="center" vertical="center"/>
    </xf>
    <xf numFmtId="172" fontId="57" fillId="16" borderId="37" xfId="1" applyNumberFormat="1" applyFont="1" applyFill="1" applyBorder="1" applyAlignment="1">
      <alignment horizontal="center" vertical="center"/>
    </xf>
    <xf numFmtId="0" fontId="57" fillId="16" borderId="36" xfId="0" quotePrefix="1" applyFont="1" applyFill="1" applyBorder="1" applyAlignment="1">
      <alignment horizontal="left" vertical="center"/>
    </xf>
    <xf numFmtId="0" fontId="33" fillId="15" borderId="40" xfId="0" applyFont="1" applyFill="1" applyBorder="1" applyAlignment="1">
      <alignment horizontal="left" vertical="center"/>
    </xf>
    <xf numFmtId="0" fontId="33" fillId="15" borderId="41" xfId="0" applyFont="1" applyFill="1" applyBorder="1" applyAlignment="1">
      <alignment horizontal="center" vertical="center"/>
    </xf>
    <xf numFmtId="0" fontId="33" fillId="15" borderId="42" xfId="0" applyFont="1" applyFill="1" applyBorder="1" applyAlignment="1">
      <alignment horizontal="center" vertical="center"/>
    </xf>
    <xf numFmtId="0" fontId="57" fillId="16" borderId="34" xfId="0" applyFont="1" applyFill="1" applyBorder="1" applyAlignment="1">
      <alignment horizontal="left"/>
    </xf>
    <xf numFmtId="172" fontId="57" fillId="16" borderId="31" xfId="1" applyNumberFormat="1" applyFont="1" applyFill="1" applyBorder="1" applyAlignment="1">
      <alignment horizontal="center"/>
    </xf>
    <xf numFmtId="172" fontId="57" fillId="16" borderId="35" xfId="1" applyNumberFormat="1" applyFont="1" applyFill="1" applyBorder="1" applyAlignment="1">
      <alignment horizontal="center"/>
    </xf>
    <xf numFmtId="0" fontId="57" fillId="16" borderId="36" xfId="0" applyFont="1" applyFill="1" applyBorder="1" applyAlignment="1">
      <alignment horizontal="left"/>
    </xf>
    <xf numFmtId="172" fontId="57" fillId="16" borderId="33" xfId="1" applyNumberFormat="1" applyFont="1" applyFill="1" applyBorder="1" applyAlignment="1">
      <alignment horizontal="center"/>
    </xf>
    <xf numFmtId="172" fontId="57" fillId="16" borderId="37" xfId="1" applyNumberFormat="1" applyFont="1" applyFill="1" applyBorder="1" applyAlignment="1">
      <alignment horizontal="center"/>
    </xf>
    <xf numFmtId="169" fontId="0" fillId="0" borderId="0" xfId="1" applyNumberFormat="1" applyFont="1" applyAlignment="1">
      <alignment vertical="center"/>
    </xf>
    <xf numFmtId="0" fontId="48" fillId="11" borderId="29" xfId="0" applyFont="1" applyFill="1" applyBorder="1" applyAlignment="1">
      <alignment horizontal="center" vertical="center" wrapText="1" readingOrder="1"/>
    </xf>
    <xf numFmtId="0" fontId="52" fillId="19" borderId="29" xfId="0" applyFont="1" applyFill="1" applyBorder="1" applyAlignment="1">
      <alignment horizontal="center" vertical="center" wrapText="1" readingOrder="1"/>
    </xf>
    <xf numFmtId="169" fontId="0" fillId="0" borderId="0" xfId="1" applyNumberFormat="1" applyFont="1" applyFill="1" applyAlignment="1">
      <alignment vertical="center"/>
    </xf>
    <xf numFmtId="0" fontId="0" fillId="0" borderId="1" xfId="0" applyBorder="1" applyAlignment="1">
      <alignment vertical="center"/>
    </xf>
    <xf numFmtId="169" fontId="0" fillId="0" borderId="0" xfId="0" applyNumberFormat="1" applyAlignment="1">
      <alignment vertical="center"/>
    </xf>
    <xf numFmtId="0" fontId="59" fillId="16" borderId="45" xfId="0" applyFont="1" applyFill="1" applyBorder="1" applyAlignment="1">
      <alignment horizontal="center" vertical="center" readingOrder="1"/>
    </xf>
    <xf numFmtId="0" fontId="59" fillId="16" borderId="46" xfId="0" applyFont="1" applyFill="1" applyBorder="1" applyAlignment="1">
      <alignment horizontal="center" vertical="center" readingOrder="1"/>
    </xf>
    <xf numFmtId="169" fontId="59" fillId="16" borderId="47" xfId="1" applyNumberFormat="1" applyFont="1" applyFill="1" applyBorder="1" applyAlignment="1">
      <alignment horizontal="center" vertical="center" readingOrder="1"/>
    </xf>
    <xf numFmtId="0" fontId="59" fillId="16" borderId="45" xfId="0" applyFont="1" applyFill="1" applyBorder="1" applyAlignment="1">
      <alignment horizontal="center" vertical="center"/>
    </xf>
    <xf numFmtId="0" fontId="59" fillId="16" borderId="46" xfId="0" applyFont="1" applyFill="1" applyBorder="1" applyAlignment="1">
      <alignment horizontal="center" vertical="center"/>
    </xf>
    <xf numFmtId="169" fontId="59" fillId="16" borderId="47" xfId="1" applyNumberFormat="1" applyFont="1" applyFill="1" applyBorder="1" applyAlignment="1">
      <alignment horizontal="center" vertical="center"/>
    </xf>
    <xf numFmtId="0" fontId="59" fillId="16" borderId="48" xfId="0" applyFont="1" applyFill="1" applyBorder="1" applyAlignment="1">
      <alignment horizontal="center" vertical="center"/>
    </xf>
    <xf numFmtId="0" fontId="59" fillId="16" borderId="49" xfId="0" applyFont="1" applyFill="1" applyBorder="1" applyAlignment="1">
      <alignment horizontal="center" vertical="center"/>
    </xf>
    <xf numFmtId="169" fontId="59" fillId="16" borderId="50" xfId="1" applyNumberFormat="1" applyFont="1" applyFill="1" applyBorder="1" applyAlignment="1">
      <alignment horizontal="center" vertical="center"/>
    </xf>
    <xf numFmtId="0" fontId="59" fillId="22" borderId="45" xfId="0" applyFont="1" applyFill="1" applyBorder="1" applyAlignment="1">
      <alignment horizontal="center" vertical="center" readingOrder="1"/>
    </xf>
    <xf numFmtId="0" fontId="59" fillId="22" borderId="46" xfId="0" applyFont="1" applyFill="1" applyBorder="1" applyAlignment="1">
      <alignment horizontal="center" vertical="center" readingOrder="1"/>
    </xf>
    <xf numFmtId="0" fontId="59" fillId="22" borderId="45" xfId="0" applyFont="1" applyFill="1" applyBorder="1" applyAlignment="1">
      <alignment horizontal="center" vertical="center"/>
    </xf>
    <xf numFmtId="0" fontId="59" fillId="22" borderId="46" xfId="0" applyFont="1" applyFill="1" applyBorder="1" applyAlignment="1">
      <alignment horizontal="center" vertical="center"/>
    </xf>
    <xf numFmtId="0" fontId="59" fillId="22" borderId="48" xfId="0" applyFont="1" applyFill="1" applyBorder="1" applyAlignment="1">
      <alignment horizontal="center" vertical="center"/>
    </xf>
    <xf numFmtId="0" fontId="59" fillId="22" borderId="49" xfId="0" applyFont="1" applyFill="1" applyBorder="1" applyAlignment="1">
      <alignment horizontal="center" vertical="center"/>
    </xf>
    <xf numFmtId="169" fontId="60" fillId="0" borderId="45" xfId="1" applyNumberFormat="1" applyFont="1" applyFill="1" applyBorder="1" applyAlignment="1">
      <alignment horizontal="center" vertical="center" readingOrder="1"/>
    </xf>
    <xf numFmtId="169" fontId="60" fillId="0" borderId="46" xfId="1" applyNumberFormat="1" applyFont="1" applyFill="1" applyBorder="1" applyAlignment="1">
      <alignment horizontal="center" vertical="center" readingOrder="1"/>
    </xf>
    <xf numFmtId="169" fontId="60" fillId="0" borderId="47" xfId="1" applyNumberFormat="1" applyFont="1" applyFill="1" applyBorder="1" applyAlignment="1">
      <alignment horizontal="center" vertical="center" readingOrder="1"/>
    </xf>
    <xf numFmtId="41" fontId="39" fillId="0" borderId="45" xfId="0" applyNumberFormat="1" applyFont="1" applyBorder="1" applyAlignment="1">
      <alignment vertical="center"/>
    </xf>
    <xf numFmtId="41" fontId="39" fillId="0" borderId="46" xfId="0" applyNumberFormat="1" applyFont="1" applyBorder="1" applyAlignment="1">
      <alignment vertical="center"/>
    </xf>
    <xf numFmtId="41" fontId="39" fillId="0" borderId="47" xfId="0" applyNumberFormat="1" applyFont="1" applyBorder="1" applyAlignment="1">
      <alignment vertical="center"/>
    </xf>
    <xf numFmtId="169" fontId="39" fillId="0" borderId="45" xfId="1" applyNumberFormat="1" applyFont="1" applyFill="1" applyBorder="1" applyAlignment="1">
      <alignment vertical="center"/>
    </xf>
    <xf numFmtId="169" fontId="39" fillId="0" borderId="46" xfId="1" applyNumberFormat="1" applyFont="1" applyFill="1" applyBorder="1" applyAlignment="1">
      <alignment vertical="center"/>
    </xf>
    <xf numFmtId="169" fontId="39" fillId="0" borderId="47" xfId="1" applyNumberFormat="1" applyFont="1" applyFill="1" applyBorder="1" applyAlignment="1">
      <alignment vertical="center"/>
    </xf>
    <xf numFmtId="0" fontId="60" fillId="0" borderId="45" xfId="0" applyFont="1" applyBorder="1" applyAlignment="1">
      <alignment horizontal="center" vertical="center" readingOrder="1"/>
    </xf>
    <xf numFmtId="0" fontId="60" fillId="0" borderId="46" xfId="0" applyFont="1" applyBorder="1" applyAlignment="1">
      <alignment horizontal="center" vertical="center" readingOrder="1"/>
    </xf>
    <xf numFmtId="0" fontId="60" fillId="0" borderId="47" xfId="0" applyFont="1" applyBorder="1" applyAlignment="1">
      <alignment horizontal="center" vertical="center" readingOrder="1"/>
    </xf>
    <xf numFmtId="0" fontId="39" fillId="0" borderId="45" xfId="0" applyFont="1" applyBorder="1" applyAlignment="1">
      <alignment vertical="center"/>
    </xf>
    <xf numFmtId="0" fontId="39" fillId="0" borderId="46" xfId="0" applyFont="1" applyBorder="1" applyAlignment="1">
      <alignment vertical="center"/>
    </xf>
    <xf numFmtId="0" fontId="39" fillId="0" borderId="47" xfId="0" applyFont="1" applyBorder="1" applyAlignment="1">
      <alignment vertical="center"/>
    </xf>
    <xf numFmtId="41" fontId="60" fillId="0" borderId="45" xfId="0" applyNumberFormat="1" applyFont="1" applyBorder="1" applyAlignment="1">
      <alignment horizontal="center" vertical="center" readingOrder="1"/>
    </xf>
    <xf numFmtId="41" fontId="60" fillId="0" borderId="46" xfId="0" applyNumberFormat="1" applyFont="1" applyBorder="1" applyAlignment="1">
      <alignment horizontal="center" vertical="center" readingOrder="1"/>
    </xf>
    <xf numFmtId="41" fontId="60" fillId="0" borderId="47" xfId="0" applyNumberFormat="1" applyFont="1" applyBorder="1" applyAlignment="1">
      <alignment horizontal="center" vertical="center" readingOrder="1"/>
    </xf>
    <xf numFmtId="0" fontId="60" fillId="0" borderId="48" xfId="0" applyFont="1" applyBorder="1" applyAlignment="1">
      <alignment vertical="center"/>
    </xf>
    <xf numFmtId="0" fontId="60" fillId="0" borderId="49" xfId="0" applyFont="1" applyBorder="1" applyAlignment="1">
      <alignment vertical="center"/>
    </xf>
    <xf numFmtId="0" fontId="60" fillId="0" borderId="50" xfId="0" applyFont="1" applyBorder="1" applyAlignment="1">
      <alignment vertical="center"/>
    </xf>
    <xf numFmtId="169" fontId="59" fillId="22" borderId="46" xfId="1" applyNumberFormat="1" applyFont="1" applyFill="1" applyBorder="1" applyAlignment="1">
      <alignment horizontal="center" vertical="center" readingOrder="1"/>
    </xf>
    <xf numFmtId="169" fontId="60" fillId="10" borderId="47" xfId="1" applyNumberFormat="1" applyFont="1" applyFill="1" applyBorder="1" applyAlignment="1">
      <alignment horizontal="center" vertical="center" readingOrder="1"/>
    </xf>
    <xf numFmtId="169" fontId="59" fillId="22" borderId="46" xfId="1" applyNumberFormat="1" applyFont="1" applyFill="1" applyBorder="1" applyAlignment="1">
      <alignment horizontal="center" vertical="center"/>
    </xf>
    <xf numFmtId="169" fontId="39" fillId="10" borderId="47" xfId="1" applyNumberFormat="1" applyFont="1" applyFill="1" applyBorder="1" applyAlignment="1">
      <alignment vertical="center"/>
    </xf>
    <xf numFmtId="169" fontId="59" fillId="22" borderId="49" xfId="1" applyNumberFormat="1" applyFont="1" applyFill="1" applyBorder="1" applyAlignment="1">
      <alignment horizontal="center" vertical="center"/>
    </xf>
    <xf numFmtId="169" fontId="60" fillId="10" borderId="50" xfId="1" applyNumberFormat="1" applyFont="1" applyFill="1" applyBorder="1" applyAlignment="1">
      <alignment vertical="center"/>
    </xf>
    <xf numFmtId="169" fontId="54" fillId="16" borderId="45" xfId="1" applyNumberFormat="1" applyFont="1" applyFill="1" applyBorder="1" applyAlignment="1">
      <alignment horizontal="center" vertical="center" readingOrder="1"/>
    </xf>
    <xf numFmtId="169" fontId="54" fillId="16" borderId="46" xfId="1" applyNumberFormat="1" applyFont="1" applyFill="1" applyBorder="1" applyAlignment="1">
      <alignment horizontal="center" vertical="center" readingOrder="1"/>
    </xf>
    <xf numFmtId="169" fontId="54" fillId="16" borderId="47" xfId="1" applyNumberFormat="1" applyFont="1" applyFill="1" applyBorder="1" applyAlignment="1">
      <alignment horizontal="center" vertical="center" readingOrder="1"/>
    </xf>
    <xf numFmtId="41" fontId="54" fillId="16" borderId="45" xfId="0" applyNumberFormat="1" applyFont="1" applyFill="1" applyBorder="1" applyAlignment="1">
      <alignment vertical="center"/>
    </xf>
    <xf numFmtId="41" fontId="54" fillId="16" borderId="46" xfId="0" applyNumberFormat="1" applyFont="1" applyFill="1" applyBorder="1" applyAlignment="1">
      <alignment vertical="center"/>
    </xf>
    <xf numFmtId="41" fontId="54" fillId="16" borderId="47" xfId="0" applyNumberFormat="1" applyFont="1" applyFill="1" applyBorder="1" applyAlignment="1">
      <alignment vertical="center"/>
    </xf>
    <xf numFmtId="169" fontId="54" fillId="16" borderId="45" xfId="1" applyNumberFormat="1" applyFont="1" applyFill="1" applyBorder="1" applyAlignment="1">
      <alignment vertical="center"/>
    </xf>
    <xf numFmtId="169" fontId="54" fillId="16" borderId="46" xfId="1" applyNumberFormat="1" applyFont="1" applyFill="1" applyBorder="1" applyAlignment="1">
      <alignment vertical="center"/>
    </xf>
    <xf numFmtId="169" fontId="54" fillId="16" borderId="47" xfId="1" applyNumberFormat="1" applyFont="1" applyFill="1" applyBorder="1" applyAlignment="1">
      <alignment vertical="center"/>
    </xf>
    <xf numFmtId="41" fontId="54" fillId="16" borderId="45" xfId="0" applyNumberFormat="1" applyFont="1" applyFill="1" applyBorder="1" applyAlignment="1">
      <alignment horizontal="center" vertical="center" readingOrder="1"/>
    </xf>
    <xf numFmtId="41" fontId="54" fillId="16" borderId="46" xfId="0" applyNumberFormat="1" applyFont="1" applyFill="1" applyBorder="1" applyAlignment="1">
      <alignment horizontal="center" vertical="center" readingOrder="1"/>
    </xf>
    <xf numFmtId="41" fontId="54" fillId="16" borderId="47" xfId="0" applyNumberFormat="1" applyFont="1" applyFill="1" applyBorder="1" applyAlignment="1">
      <alignment horizontal="center" vertical="center" readingOrder="1"/>
    </xf>
    <xf numFmtId="0" fontId="54" fillId="16" borderId="45" xfId="0" applyFont="1" applyFill="1" applyBorder="1" applyAlignment="1">
      <alignment horizontal="center" vertical="center" readingOrder="1"/>
    </xf>
    <xf numFmtId="0" fontId="54" fillId="16" borderId="46" xfId="0" applyFont="1" applyFill="1" applyBorder="1" applyAlignment="1">
      <alignment horizontal="center" vertical="center" readingOrder="1"/>
    </xf>
    <xf numFmtId="0" fontId="54" fillId="16" borderId="47" xfId="0" applyFont="1" applyFill="1" applyBorder="1" applyAlignment="1">
      <alignment horizontal="center" vertical="center" readingOrder="1"/>
    </xf>
    <xf numFmtId="41" fontId="54" fillId="16" borderId="48" xfId="0" applyNumberFormat="1" applyFont="1" applyFill="1" applyBorder="1" applyAlignment="1">
      <alignment vertical="center"/>
    </xf>
    <xf numFmtId="41" fontId="54" fillId="16" borderId="49" xfId="0" applyNumberFormat="1" applyFont="1" applyFill="1" applyBorder="1" applyAlignment="1">
      <alignment vertical="center"/>
    </xf>
    <xf numFmtId="41" fontId="54" fillId="16" borderId="50" xfId="0" applyNumberFormat="1" applyFont="1" applyFill="1" applyBorder="1" applyAlignment="1">
      <alignment vertical="center"/>
    </xf>
    <xf numFmtId="41" fontId="39" fillId="10" borderId="47" xfId="0" applyNumberFormat="1" applyFont="1" applyFill="1" applyBorder="1" applyAlignment="1">
      <alignment vertical="center"/>
    </xf>
    <xf numFmtId="0" fontId="60" fillId="10" borderId="47" xfId="0" applyFont="1" applyFill="1" applyBorder="1" applyAlignment="1">
      <alignment horizontal="center" vertical="center" readingOrder="1"/>
    </xf>
    <xf numFmtId="0" fontId="39" fillId="10" borderId="47" xfId="0" applyFont="1" applyFill="1" applyBorder="1" applyAlignment="1">
      <alignment vertical="center"/>
    </xf>
    <xf numFmtId="41" fontId="60" fillId="10" borderId="47" xfId="0" applyNumberFormat="1" applyFont="1" applyFill="1" applyBorder="1" applyAlignment="1">
      <alignment horizontal="center" vertical="center" readingOrder="1"/>
    </xf>
    <xf numFmtId="0" fontId="60" fillId="10" borderId="50" xfId="0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59" fillId="16" borderId="51" xfId="0" applyFont="1" applyFill="1" applyBorder="1" applyAlignment="1">
      <alignment horizontal="center" vertical="center" readingOrder="1"/>
    </xf>
    <xf numFmtId="0" fontId="59" fillId="16" borderId="52" xfId="0" applyFont="1" applyFill="1" applyBorder="1" applyAlignment="1">
      <alignment horizontal="center" vertical="center" readingOrder="1"/>
    </xf>
    <xf numFmtId="169" fontId="59" fillId="16" borderId="53" xfId="1" applyNumberFormat="1" applyFont="1" applyFill="1" applyBorder="1" applyAlignment="1">
      <alignment horizontal="center" vertical="center" readingOrder="1"/>
    </xf>
    <xf numFmtId="0" fontId="59" fillId="22" borderId="51" xfId="0" applyFont="1" applyFill="1" applyBorder="1" applyAlignment="1">
      <alignment horizontal="center" vertical="center" readingOrder="1"/>
    </xf>
    <xf numFmtId="0" fontId="59" fillId="22" borderId="52" xfId="0" applyFont="1" applyFill="1" applyBorder="1" applyAlignment="1">
      <alignment horizontal="center" vertical="center" readingOrder="1"/>
    </xf>
    <xf numFmtId="169" fontId="59" fillId="22" borderId="52" xfId="1" applyNumberFormat="1" applyFont="1" applyFill="1" applyBorder="1" applyAlignment="1">
      <alignment horizontal="center" vertical="center" readingOrder="1"/>
    </xf>
    <xf numFmtId="169" fontId="60" fillId="10" borderId="53" xfId="1" applyNumberFormat="1" applyFont="1" applyFill="1" applyBorder="1" applyAlignment="1">
      <alignment horizontal="center" vertical="center" readingOrder="1"/>
    </xf>
    <xf numFmtId="169" fontId="60" fillId="0" borderId="51" xfId="1" applyNumberFormat="1" applyFont="1" applyFill="1" applyBorder="1" applyAlignment="1">
      <alignment horizontal="center" vertical="center" readingOrder="1"/>
    </xf>
    <xf numFmtId="169" fontId="60" fillId="0" borderId="52" xfId="1" applyNumberFormat="1" applyFont="1" applyFill="1" applyBorder="1" applyAlignment="1">
      <alignment horizontal="center" vertical="center" readingOrder="1"/>
    </xf>
    <xf numFmtId="169" fontId="60" fillId="0" borderId="53" xfId="1" applyNumberFormat="1" applyFont="1" applyFill="1" applyBorder="1" applyAlignment="1">
      <alignment horizontal="center" vertical="center" readingOrder="1"/>
    </xf>
    <xf numFmtId="169" fontId="54" fillId="16" borderId="51" xfId="1" applyNumberFormat="1" applyFont="1" applyFill="1" applyBorder="1" applyAlignment="1">
      <alignment horizontal="center" vertical="center" readingOrder="1"/>
    </xf>
    <xf numFmtId="169" fontId="54" fillId="16" borderId="52" xfId="1" applyNumberFormat="1" applyFont="1" applyFill="1" applyBorder="1" applyAlignment="1">
      <alignment horizontal="center" vertical="center" readingOrder="1"/>
    </xf>
    <xf numFmtId="169" fontId="54" fillId="16" borderId="53" xfId="1" applyNumberFormat="1" applyFont="1" applyFill="1" applyBorder="1" applyAlignment="1">
      <alignment horizontal="center" vertical="center" readingOrder="1"/>
    </xf>
    <xf numFmtId="0" fontId="58" fillId="16" borderId="54" xfId="0" applyFont="1" applyFill="1" applyBorder="1" applyAlignment="1">
      <alignment horizontal="center" vertical="center" readingOrder="1"/>
    </xf>
    <xf numFmtId="0" fontId="58" fillId="16" borderId="55" xfId="0" applyFont="1" applyFill="1" applyBorder="1" applyAlignment="1">
      <alignment horizontal="center" vertical="center" readingOrder="1"/>
    </xf>
    <xf numFmtId="0" fontId="58" fillId="16" borderId="56" xfId="0" applyFont="1" applyFill="1" applyBorder="1" applyAlignment="1">
      <alignment horizontal="center" vertical="center" readingOrder="1"/>
    </xf>
    <xf numFmtId="0" fontId="58" fillId="22" borderId="54" xfId="0" applyFont="1" applyFill="1" applyBorder="1" applyAlignment="1">
      <alignment horizontal="center" vertical="center" readingOrder="1"/>
    </xf>
    <xf numFmtId="0" fontId="58" fillId="22" borderId="55" xfId="0" applyFont="1" applyFill="1" applyBorder="1" applyAlignment="1">
      <alignment horizontal="center" vertical="center" readingOrder="1"/>
    </xf>
    <xf numFmtId="0" fontId="58" fillId="10" borderId="56" xfId="0" applyFont="1" applyFill="1" applyBorder="1" applyAlignment="1">
      <alignment horizontal="center" vertical="center" readingOrder="1"/>
    </xf>
    <xf numFmtId="169" fontId="59" fillId="16" borderId="51" xfId="1" applyNumberFormat="1" applyFont="1" applyFill="1" applyBorder="1" applyAlignment="1">
      <alignment horizontal="center" vertical="center" readingOrder="1"/>
    </xf>
    <xf numFmtId="9" fontId="59" fillId="16" borderId="52" xfId="0" applyNumberFormat="1" applyFont="1" applyFill="1" applyBorder="1" applyAlignment="1">
      <alignment horizontal="center" vertical="center" readingOrder="1"/>
    </xf>
    <xf numFmtId="168" fontId="59" fillId="16" borderId="52" xfId="0" applyNumberFormat="1" applyFont="1" applyFill="1" applyBorder="1" applyAlignment="1">
      <alignment horizontal="center" vertical="center" readingOrder="1"/>
    </xf>
    <xf numFmtId="172" fontId="59" fillId="16" borderId="52" xfId="1" applyNumberFormat="1" applyFont="1" applyFill="1" applyBorder="1" applyAlignment="1">
      <alignment horizontal="center" vertical="center" readingOrder="1"/>
    </xf>
    <xf numFmtId="169" fontId="59" fillId="16" borderId="45" xfId="1" applyNumberFormat="1" applyFont="1" applyFill="1" applyBorder="1" applyAlignment="1">
      <alignment horizontal="center" vertical="center" readingOrder="1"/>
    </xf>
    <xf numFmtId="9" fontId="59" fillId="16" borderId="46" xfId="0" applyNumberFormat="1" applyFont="1" applyFill="1" applyBorder="1" applyAlignment="1">
      <alignment horizontal="center" vertical="center" readingOrder="1"/>
    </xf>
    <xf numFmtId="168" fontId="59" fillId="16" borderId="46" xfId="0" applyNumberFormat="1" applyFont="1" applyFill="1" applyBorder="1" applyAlignment="1">
      <alignment horizontal="center" vertical="center" readingOrder="1"/>
    </xf>
    <xf numFmtId="172" fontId="59" fillId="16" borderId="46" xfId="1" applyNumberFormat="1" applyFont="1" applyFill="1" applyBorder="1" applyAlignment="1">
      <alignment horizontal="center" vertical="center" readingOrder="1"/>
    </xf>
    <xf numFmtId="0" fontId="59" fillId="23" borderId="46" xfId="0" applyFont="1" applyFill="1" applyBorder="1" applyAlignment="1">
      <alignment horizontal="center" vertical="center" readingOrder="1"/>
    </xf>
    <xf numFmtId="169" fontId="59" fillId="23" borderId="47" xfId="1" applyNumberFormat="1" applyFont="1" applyFill="1" applyBorder="1" applyAlignment="1">
      <alignment horizontal="center" vertical="center" readingOrder="1"/>
    </xf>
    <xf numFmtId="43" fontId="0" fillId="0" borderId="0" xfId="0" applyNumberFormat="1" applyAlignment="1">
      <alignment vertical="center"/>
    </xf>
    <xf numFmtId="172" fontId="59" fillId="23" borderId="46" xfId="1" applyNumberFormat="1" applyFont="1" applyFill="1" applyBorder="1" applyAlignment="1">
      <alignment horizontal="center" vertical="center" readingOrder="1"/>
    </xf>
    <xf numFmtId="169" fontId="60" fillId="23" borderId="47" xfId="1" applyNumberFormat="1" applyFont="1" applyFill="1" applyBorder="1" applyAlignment="1">
      <alignment horizontal="center" vertical="center" readingOrder="1"/>
    </xf>
    <xf numFmtId="169" fontId="59" fillId="22" borderId="45" xfId="0" applyNumberFormat="1" applyFont="1" applyFill="1" applyBorder="1" applyAlignment="1">
      <alignment horizontal="center" vertical="center" readingOrder="1"/>
    </xf>
    <xf numFmtId="9" fontId="59" fillId="22" borderId="46" xfId="0" applyNumberFormat="1" applyFont="1" applyFill="1" applyBorder="1" applyAlignment="1">
      <alignment horizontal="center" vertical="center" readingOrder="1"/>
    </xf>
    <xf numFmtId="0" fontId="58" fillId="22" borderId="57" xfId="0" applyFont="1" applyFill="1" applyBorder="1" applyAlignment="1">
      <alignment horizontal="center" vertical="center" readingOrder="1"/>
    </xf>
    <xf numFmtId="169" fontId="59" fillId="22" borderId="58" xfId="1" applyNumberFormat="1" applyFont="1" applyFill="1" applyBorder="1" applyAlignment="1">
      <alignment horizontal="center" vertical="center" readingOrder="1"/>
    </xf>
    <xf numFmtId="169" fontId="59" fillId="22" borderId="59" xfId="1" applyNumberFormat="1" applyFont="1" applyFill="1" applyBorder="1" applyAlignment="1">
      <alignment horizontal="center" vertical="center"/>
    </xf>
    <xf numFmtId="169" fontId="59" fillId="22" borderId="59" xfId="1" applyNumberFormat="1" applyFont="1" applyFill="1" applyBorder="1" applyAlignment="1">
      <alignment horizontal="center" vertical="center" readingOrder="1"/>
    </xf>
    <xf numFmtId="169" fontId="59" fillId="22" borderId="60" xfId="1" applyNumberFormat="1" applyFont="1" applyFill="1" applyBorder="1" applyAlignment="1">
      <alignment horizontal="center" vertical="center"/>
    </xf>
    <xf numFmtId="169" fontId="59" fillId="22" borderId="45" xfId="1" applyNumberFormat="1" applyFont="1" applyFill="1" applyBorder="1" applyAlignment="1">
      <alignment horizontal="center" vertical="center" readingOrder="1"/>
    </xf>
    <xf numFmtId="43" fontId="59" fillId="22" borderId="46" xfId="1" applyFont="1" applyFill="1" applyBorder="1" applyAlignment="1">
      <alignment horizontal="center" vertical="center" readingOrder="1"/>
    </xf>
    <xf numFmtId="172" fontId="59" fillId="22" borderId="46" xfId="1" applyNumberFormat="1" applyFont="1" applyFill="1" applyBorder="1" applyAlignment="1">
      <alignment horizontal="center" vertical="center" readingOrder="1"/>
    </xf>
    <xf numFmtId="9" fontId="62" fillId="0" borderId="0" xfId="0" applyNumberFormat="1" applyFont="1" applyAlignment="1">
      <alignment vertical="center"/>
    </xf>
    <xf numFmtId="9" fontId="59" fillId="22" borderId="52" xfId="1" applyNumberFormat="1" applyFont="1" applyFill="1" applyBorder="1" applyAlignment="1">
      <alignment horizontal="center" vertical="center" readingOrder="1"/>
    </xf>
    <xf numFmtId="172" fontId="59" fillId="22" borderId="52" xfId="1" applyNumberFormat="1" applyFont="1" applyFill="1" applyBorder="1" applyAlignment="1">
      <alignment horizontal="center" vertical="center" readingOrder="1"/>
    </xf>
    <xf numFmtId="169" fontId="59" fillId="22" borderId="51" xfId="1" applyNumberFormat="1" applyFont="1" applyFill="1" applyBorder="1" applyAlignment="1">
      <alignment horizontal="center" vertical="center" readingOrder="1"/>
    </xf>
    <xf numFmtId="168" fontId="59" fillId="22" borderId="46" xfId="0" applyNumberFormat="1" applyFont="1" applyFill="1" applyBorder="1" applyAlignment="1">
      <alignment horizontal="center" vertical="center" readingOrder="1"/>
    </xf>
    <xf numFmtId="169" fontId="59" fillId="22" borderId="45" xfId="0" applyNumberFormat="1" applyFont="1" applyFill="1" applyBorder="1" applyAlignment="1">
      <alignment horizontal="center" vertical="center"/>
    </xf>
    <xf numFmtId="9" fontId="59" fillId="22" borderId="46" xfId="0" applyNumberFormat="1" applyFont="1" applyFill="1" applyBorder="1" applyAlignment="1">
      <alignment horizontal="center" vertical="center"/>
    </xf>
    <xf numFmtId="172" fontId="59" fillId="22" borderId="46" xfId="1" applyNumberFormat="1" applyFont="1" applyFill="1" applyBorder="1" applyAlignment="1">
      <alignment horizontal="center" vertical="center"/>
    </xf>
    <xf numFmtId="168" fontId="59" fillId="22" borderId="46" xfId="0" applyNumberFormat="1" applyFont="1" applyFill="1" applyBorder="1" applyAlignment="1">
      <alignment horizontal="center" vertical="center"/>
    </xf>
    <xf numFmtId="172" fontId="59" fillId="22" borderId="59" xfId="1" applyNumberFormat="1" applyFont="1" applyFill="1" applyBorder="1" applyAlignment="1">
      <alignment horizontal="center" vertical="center"/>
    </xf>
    <xf numFmtId="169" fontId="59" fillId="12" borderId="59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169" fontId="59" fillId="12" borderId="45" xfId="0" applyNumberFormat="1" applyFont="1" applyFill="1" applyBorder="1" applyAlignment="1">
      <alignment horizontal="center" vertical="center"/>
    </xf>
    <xf numFmtId="9" fontId="59" fillId="12" borderId="46" xfId="0" applyNumberFormat="1" applyFont="1" applyFill="1" applyBorder="1" applyAlignment="1">
      <alignment horizontal="center" vertical="center"/>
    </xf>
    <xf numFmtId="172" fontId="59" fillId="12" borderId="46" xfId="1" applyNumberFormat="1" applyFont="1" applyFill="1" applyBorder="1" applyAlignment="1">
      <alignment horizontal="center" vertical="center"/>
    </xf>
    <xf numFmtId="169" fontId="59" fillId="12" borderId="46" xfId="1" applyNumberFormat="1" applyFont="1" applyFill="1" applyBorder="1" applyAlignment="1">
      <alignment horizontal="center" vertical="center"/>
    </xf>
    <xf numFmtId="169" fontId="59" fillId="12" borderId="45" xfId="1" applyNumberFormat="1" applyFont="1" applyFill="1" applyBorder="1" applyAlignment="1">
      <alignment horizontal="center" vertical="center" readingOrder="1"/>
    </xf>
    <xf numFmtId="9" fontId="59" fillId="12" borderId="46" xfId="0" applyNumberFormat="1" applyFont="1" applyFill="1" applyBorder="1" applyAlignment="1">
      <alignment horizontal="center" vertical="center" readingOrder="1"/>
    </xf>
    <xf numFmtId="168" fontId="59" fillId="12" borderId="46" xfId="0" applyNumberFormat="1" applyFont="1" applyFill="1" applyBorder="1" applyAlignment="1">
      <alignment horizontal="center" vertical="center" readingOrder="1"/>
    </xf>
    <xf numFmtId="0" fontId="59" fillId="12" borderId="46" xfId="0" applyFont="1" applyFill="1" applyBorder="1" applyAlignment="1">
      <alignment horizontal="center" vertical="center" readingOrder="1"/>
    </xf>
    <xf numFmtId="169" fontId="59" fillId="12" borderId="47" xfId="1" applyNumberFormat="1" applyFont="1" applyFill="1" applyBorder="1" applyAlignment="1">
      <alignment horizontal="center" vertical="center" readingOrder="1"/>
    </xf>
    <xf numFmtId="172" fontId="59" fillId="12" borderId="46" xfId="1" applyNumberFormat="1" applyFont="1" applyFill="1" applyBorder="1" applyAlignment="1">
      <alignment horizontal="center" vertical="center" readingOrder="1"/>
    </xf>
    <xf numFmtId="169" fontId="59" fillId="12" borderId="59" xfId="1" applyNumberFormat="1" applyFont="1" applyFill="1" applyBorder="1" applyAlignment="1">
      <alignment horizontal="center" vertical="center" readingOrder="1"/>
    </xf>
    <xf numFmtId="172" fontId="59" fillId="12" borderId="46" xfId="0" applyNumberFormat="1" applyFont="1" applyFill="1" applyBorder="1" applyAlignment="1">
      <alignment horizontal="center" vertical="center" readingOrder="1"/>
    </xf>
    <xf numFmtId="169" fontId="59" fillId="12" borderId="46" xfId="1" applyNumberFormat="1" applyFont="1" applyFill="1" applyBorder="1" applyAlignment="1">
      <alignment horizontal="center" vertical="center" readingOrder="1"/>
    </xf>
    <xf numFmtId="0" fontId="59" fillId="12" borderId="45" xfId="0" applyFont="1" applyFill="1" applyBorder="1" applyAlignment="1">
      <alignment horizontal="center" vertical="center"/>
    </xf>
    <xf numFmtId="0" fontId="59" fillId="12" borderId="46" xfId="0" applyFont="1" applyFill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40" xfId="0" applyFont="1" applyBorder="1" applyAlignment="1">
      <alignment horizontal="center" vertical="center"/>
    </xf>
    <xf numFmtId="0" fontId="65" fillId="0" borderId="61" xfId="0" applyFont="1" applyBorder="1" applyAlignment="1">
      <alignment horizontal="center" vertical="center"/>
    </xf>
    <xf numFmtId="0" fontId="0" fillId="0" borderId="38" xfId="0" applyBorder="1"/>
    <xf numFmtId="169" fontId="0" fillId="0" borderId="30" xfId="1" applyNumberFormat="1" applyFont="1" applyBorder="1"/>
    <xf numFmtId="168" fontId="0" fillId="0" borderId="62" xfId="0" applyNumberFormat="1" applyBorder="1"/>
    <xf numFmtId="0" fontId="0" fillId="0" borderId="34" xfId="0" applyBorder="1"/>
    <xf numFmtId="168" fontId="0" fillId="0" borderId="31" xfId="0" applyNumberFormat="1" applyBorder="1"/>
    <xf numFmtId="168" fontId="0" fillId="0" borderId="63" xfId="0" applyNumberFormat="1" applyBorder="1"/>
    <xf numFmtId="9" fontId="0" fillId="0" borderId="31" xfId="0" applyNumberFormat="1" applyBorder="1"/>
    <xf numFmtId="0" fontId="67" fillId="0" borderId="34" xfId="0" applyFont="1" applyBorder="1"/>
    <xf numFmtId="9" fontId="67" fillId="0" borderId="31" xfId="1" applyNumberFormat="1" applyFont="1" applyBorder="1"/>
    <xf numFmtId="168" fontId="67" fillId="0" borderId="63" xfId="0" applyNumberFormat="1" applyFont="1" applyBorder="1"/>
    <xf numFmtId="0" fontId="25" fillId="0" borderId="34" xfId="0" applyFont="1" applyBorder="1"/>
    <xf numFmtId="169" fontId="25" fillId="0" borderId="31" xfId="1" applyNumberFormat="1" applyFont="1" applyBorder="1"/>
    <xf numFmtId="168" fontId="25" fillId="0" borderId="63" xfId="0" applyNumberFormat="1" applyFont="1" applyBorder="1"/>
    <xf numFmtId="172" fontId="0" fillId="0" borderId="31" xfId="1" applyNumberFormat="1" applyFont="1" applyBorder="1"/>
    <xf numFmtId="0" fontId="66" fillId="0" borderId="36" xfId="0" applyFont="1" applyBorder="1"/>
    <xf numFmtId="169" fontId="66" fillId="0" borderId="33" xfId="1" applyNumberFormat="1" applyFont="1" applyBorder="1"/>
    <xf numFmtId="168" fontId="66" fillId="0" borderId="64" xfId="0" applyNumberFormat="1" applyFont="1" applyBorder="1"/>
    <xf numFmtId="168" fontId="0" fillId="0" borderId="0" xfId="0" applyNumberFormat="1" applyAlignment="1">
      <alignment vertical="center"/>
    </xf>
    <xf numFmtId="169" fontId="59" fillId="0" borderId="47" xfId="1" applyNumberFormat="1" applyFont="1" applyFill="1" applyBorder="1" applyAlignment="1">
      <alignment horizontal="center" vertical="center" readingOrder="1"/>
    </xf>
    <xf numFmtId="169" fontId="59" fillId="0" borderId="46" xfId="1" applyNumberFormat="1" applyFont="1" applyFill="1" applyBorder="1" applyAlignment="1">
      <alignment horizontal="center" vertical="center"/>
    </xf>
    <xf numFmtId="169" fontId="59" fillId="0" borderId="59" xfId="1" applyNumberFormat="1" applyFont="1" applyFill="1" applyBorder="1" applyAlignment="1">
      <alignment horizontal="center" vertical="center" readingOrder="1"/>
    </xf>
    <xf numFmtId="43" fontId="0" fillId="0" borderId="0" xfId="1" applyFont="1" applyAlignment="1">
      <alignment vertical="center"/>
    </xf>
    <xf numFmtId="172" fontId="0" fillId="0" borderId="0" xfId="1" applyNumberFormat="1" applyFont="1" applyAlignment="1">
      <alignment vertical="center"/>
    </xf>
    <xf numFmtId="169" fontId="0" fillId="12" borderId="0" xfId="1" applyNumberFormat="1" applyFont="1" applyFill="1" applyAlignment="1">
      <alignment vertical="center"/>
    </xf>
    <xf numFmtId="0" fontId="0" fillId="0" borderId="52" xfId="0" applyBorder="1" applyAlignment="1">
      <alignment vertical="center"/>
    </xf>
    <xf numFmtId="0" fontId="0" fillId="0" borderId="46" xfId="0" applyBorder="1" applyAlignment="1">
      <alignment vertical="center"/>
    </xf>
    <xf numFmtId="10" fontId="0" fillId="0" borderId="46" xfId="0" applyNumberFormat="1" applyBorder="1" applyAlignment="1">
      <alignment vertical="center"/>
    </xf>
    <xf numFmtId="169" fontId="0" fillId="0" borderId="46" xfId="1" applyNumberFormat="1" applyFont="1" applyBorder="1" applyAlignment="1">
      <alignment vertical="center"/>
    </xf>
    <xf numFmtId="9" fontId="0" fillId="0" borderId="46" xfId="1" applyNumberFormat="1" applyFont="1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45" xfId="0" applyBorder="1" applyAlignment="1">
      <alignment vertical="center"/>
    </xf>
    <xf numFmtId="9" fontId="0" fillId="0" borderId="47" xfId="0" applyNumberFormat="1" applyBorder="1" applyAlignment="1">
      <alignment vertical="center"/>
    </xf>
    <xf numFmtId="0" fontId="0" fillId="0" borderId="48" xfId="0" applyBorder="1" applyAlignment="1">
      <alignment vertical="center"/>
    </xf>
    <xf numFmtId="169" fontId="0" fillId="0" borderId="49" xfId="1" applyNumberFormat="1" applyFont="1" applyBorder="1" applyAlignment="1">
      <alignment vertical="center"/>
    </xf>
    <xf numFmtId="0" fontId="0" fillId="0" borderId="51" xfId="0" applyBorder="1" applyAlignment="1">
      <alignment vertical="center"/>
    </xf>
    <xf numFmtId="169" fontId="0" fillId="0" borderId="0" xfId="1" applyNumberFormat="1" applyFont="1" applyFill="1" applyBorder="1" applyAlignment="1">
      <alignment vertical="center"/>
    </xf>
    <xf numFmtId="9" fontId="0" fillId="0" borderId="0" xfId="1" applyNumberFormat="1" applyFont="1" applyFill="1" applyBorder="1" applyAlignment="1">
      <alignment vertical="center"/>
    </xf>
    <xf numFmtId="9" fontId="0" fillId="0" borderId="47" xfId="1" applyNumberFormat="1" applyFont="1" applyBorder="1" applyAlignment="1">
      <alignment vertical="center"/>
    </xf>
    <xf numFmtId="9" fontId="0" fillId="0" borderId="53" xfId="1" applyNumberFormat="1" applyFont="1" applyBorder="1" applyAlignment="1">
      <alignment vertical="center"/>
    </xf>
    <xf numFmtId="0" fontId="65" fillId="0" borderId="56" xfId="0" applyFont="1" applyBorder="1" applyAlignment="1">
      <alignment horizontal="center" vertical="center"/>
    </xf>
    <xf numFmtId="0" fontId="65" fillId="0" borderId="54" xfId="0" applyFont="1" applyBorder="1" applyAlignment="1">
      <alignment vertical="center"/>
    </xf>
    <xf numFmtId="0" fontId="65" fillId="0" borderId="55" xfId="0" applyFont="1" applyBorder="1" applyAlignment="1">
      <alignment horizontal="center" vertical="center"/>
    </xf>
    <xf numFmtId="0" fontId="65" fillId="16" borderId="41" xfId="0" applyFont="1" applyFill="1" applyBorder="1" applyAlignment="1">
      <alignment horizontal="center" vertical="center" wrapText="1"/>
    </xf>
    <xf numFmtId="0" fontId="65" fillId="16" borderId="41" xfId="0" quotePrefix="1" applyFont="1" applyFill="1" applyBorder="1" applyAlignment="1">
      <alignment horizontal="center" vertical="center" wrapText="1"/>
    </xf>
    <xf numFmtId="9" fontId="0" fillId="0" borderId="46" xfId="0" applyNumberFormat="1" applyBorder="1" applyAlignment="1">
      <alignment vertical="center"/>
    </xf>
    <xf numFmtId="172" fontId="0" fillId="0" borderId="46" xfId="1" applyNumberFormat="1" applyFont="1" applyBorder="1" applyAlignment="1">
      <alignment vertical="center"/>
    </xf>
    <xf numFmtId="3" fontId="0" fillId="0" borderId="66" xfId="0" applyNumberFormat="1" applyBorder="1" applyAlignment="1">
      <alignment vertical="center"/>
    </xf>
    <xf numFmtId="0" fontId="0" fillId="0" borderId="50" xfId="0" applyBorder="1" applyAlignment="1">
      <alignment vertical="center"/>
    </xf>
    <xf numFmtId="9" fontId="67" fillId="0" borderId="67" xfId="0" applyNumberFormat="1" applyFont="1" applyBorder="1" applyAlignment="1">
      <alignment horizontal="right" vertical="center"/>
    </xf>
    <xf numFmtId="0" fontId="12" fillId="0" borderId="45" xfId="0" applyFont="1" applyBorder="1" applyAlignment="1">
      <alignment vertical="center"/>
    </xf>
    <xf numFmtId="169" fontId="12" fillId="0" borderId="46" xfId="1" applyNumberFormat="1" applyFont="1" applyBorder="1" applyAlignment="1">
      <alignment vertical="center"/>
    </xf>
    <xf numFmtId="9" fontId="12" fillId="0" borderId="47" xfId="1" applyNumberFormat="1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169" fontId="12" fillId="0" borderId="49" xfId="1" applyNumberFormat="1" applyFont="1" applyBorder="1" applyAlignment="1">
      <alignment vertical="center"/>
    </xf>
    <xf numFmtId="9" fontId="12" fillId="0" borderId="50" xfId="1" applyNumberFormat="1" applyFont="1" applyBorder="1" applyAlignment="1">
      <alignment vertical="center"/>
    </xf>
    <xf numFmtId="9" fontId="20" fillId="0" borderId="0" xfId="0" applyNumberFormat="1" applyFont="1" applyAlignment="1">
      <alignment vertical="center"/>
    </xf>
    <xf numFmtId="9" fontId="19" fillId="0" borderId="0" xfId="0" applyNumberFormat="1" applyFont="1" applyAlignment="1">
      <alignment vertical="center"/>
    </xf>
    <xf numFmtId="169" fontId="0" fillId="0" borderId="31" xfId="1" applyNumberFormat="1" applyFont="1" applyBorder="1"/>
    <xf numFmtId="0" fontId="68" fillId="0" borderId="34" xfId="0" applyFont="1" applyBorder="1"/>
    <xf numFmtId="169" fontId="68" fillId="0" borderId="31" xfId="1" applyNumberFormat="1" applyFont="1" applyBorder="1"/>
    <xf numFmtId="168" fontId="68" fillId="0" borderId="63" xfId="0" applyNumberFormat="1" applyFont="1" applyBorder="1"/>
    <xf numFmtId="168" fontId="0" fillId="0" borderId="31" xfId="1" applyNumberFormat="1" applyFont="1" applyBorder="1"/>
    <xf numFmtId="0" fontId="0" fillId="0" borderId="0" xfId="0" quotePrefix="1" applyAlignment="1">
      <alignment vertical="center"/>
    </xf>
    <xf numFmtId="169" fontId="0" fillId="12" borderId="0" xfId="0" applyNumberFormat="1" applyFill="1" applyAlignment="1">
      <alignment vertical="center"/>
    </xf>
    <xf numFmtId="0" fontId="66" fillId="0" borderId="0" xfId="0" applyFont="1"/>
    <xf numFmtId="169" fontId="66" fillId="0" borderId="0" xfId="1" applyNumberFormat="1" applyFont="1" applyBorder="1"/>
    <xf numFmtId="168" fontId="66" fillId="0" borderId="0" xfId="0" applyNumberFormat="1" applyFont="1"/>
    <xf numFmtId="169" fontId="0" fillId="0" borderId="0" xfId="1" applyNumberFormat="1" applyFont="1" applyBorder="1"/>
    <xf numFmtId="0" fontId="65" fillId="0" borderId="0" xfId="0" applyFont="1" applyAlignment="1">
      <alignment horizontal="center" vertical="center"/>
    </xf>
    <xf numFmtId="169" fontId="0" fillId="0" borderId="0" xfId="1" applyNumberFormat="1" applyFont="1" applyFill="1" applyBorder="1"/>
    <xf numFmtId="0" fontId="68" fillId="0" borderId="0" xfId="0" applyFont="1"/>
    <xf numFmtId="169" fontId="68" fillId="0" borderId="0" xfId="1" applyNumberFormat="1" applyFont="1" applyFill="1" applyBorder="1"/>
    <xf numFmtId="168" fontId="68" fillId="0" borderId="0" xfId="0" applyNumberFormat="1" applyFont="1"/>
    <xf numFmtId="168" fontId="0" fillId="0" borderId="0" xfId="1" applyNumberFormat="1" applyFont="1" applyFill="1" applyBorder="1"/>
    <xf numFmtId="0" fontId="67" fillId="0" borderId="0" xfId="0" applyFont="1"/>
    <xf numFmtId="9" fontId="67" fillId="0" borderId="0" xfId="1" applyNumberFormat="1" applyFont="1" applyFill="1" applyBorder="1"/>
    <xf numFmtId="168" fontId="67" fillId="0" borderId="0" xfId="0" applyNumberFormat="1" applyFont="1"/>
    <xf numFmtId="169" fontId="25" fillId="0" borderId="0" xfId="1" applyNumberFormat="1" applyFont="1" applyFill="1" applyBorder="1"/>
    <xf numFmtId="168" fontId="25" fillId="0" borderId="0" xfId="0" applyNumberFormat="1" applyFont="1"/>
    <xf numFmtId="172" fontId="0" fillId="0" borderId="0" xfId="1" applyNumberFormat="1" applyFont="1" applyFill="1" applyBorder="1"/>
    <xf numFmtId="169" fontId="66" fillId="0" borderId="0" xfId="1" applyNumberFormat="1" applyFont="1" applyFill="1" applyBorder="1"/>
    <xf numFmtId="169" fontId="0" fillId="0" borderId="52" xfId="1" applyNumberFormat="1" applyFont="1" applyBorder="1" applyAlignment="1">
      <alignment vertical="center"/>
    </xf>
    <xf numFmtId="0" fontId="65" fillId="0" borderId="48" xfId="0" applyFont="1" applyBorder="1" applyAlignment="1">
      <alignment vertical="center"/>
    </xf>
    <xf numFmtId="169" fontId="65" fillId="0" borderId="49" xfId="1" applyNumberFormat="1" applyFont="1" applyBorder="1" applyAlignment="1">
      <alignment vertical="center"/>
    </xf>
    <xf numFmtId="9" fontId="65" fillId="0" borderId="50" xfId="1" applyNumberFormat="1" applyFont="1" applyBorder="1" applyAlignment="1">
      <alignment vertical="center"/>
    </xf>
    <xf numFmtId="0" fontId="65" fillId="0" borderId="45" xfId="0" applyFont="1" applyBorder="1" applyAlignment="1">
      <alignment vertical="center"/>
    </xf>
    <xf numFmtId="169" fontId="65" fillId="0" borderId="46" xfId="1" applyNumberFormat="1" applyFont="1" applyBorder="1" applyAlignment="1">
      <alignment vertical="center"/>
    </xf>
    <xf numFmtId="9" fontId="65" fillId="0" borderId="47" xfId="1" applyNumberFormat="1" applyFont="1" applyBorder="1" applyAlignment="1">
      <alignment vertical="center"/>
    </xf>
    <xf numFmtId="169" fontId="0" fillId="0" borderId="50" xfId="0" applyNumberFormat="1" applyBorder="1" applyAlignment="1">
      <alignment vertical="center"/>
    </xf>
    <xf numFmtId="0" fontId="53" fillId="0" borderId="1" xfId="0" quotePrefix="1" applyFont="1" applyBorder="1" applyAlignment="1">
      <alignment vertical="center"/>
    </xf>
    <xf numFmtId="0" fontId="53" fillId="0" borderId="1" xfId="0" quotePrefix="1" applyFont="1" applyBorder="1"/>
    <xf numFmtId="9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9" fontId="65" fillId="0" borderId="0" xfId="0" applyNumberFormat="1" applyFont="1" applyAlignment="1">
      <alignment vertical="center"/>
    </xf>
    <xf numFmtId="0" fontId="25" fillId="0" borderId="45" xfId="0" applyFont="1" applyBorder="1" applyAlignment="1">
      <alignment vertical="center"/>
    </xf>
    <xf numFmtId="169" fontId="25" fillId="0" borderId="46" xfId="1" applyNumberFormat="1" applyFont="1" applyBorder="1" applyAlignment="1">
      <alignment vertical="center"/>
    </xf>
    <xf numFmtId="9" fontId="25" fillId="0" borderId="47" xfId="0" applyNumberFormat="1" applyFont="1" applyBorder="1" applyAlignment="1">
      <alignment vertical="center"/>
    </xf>
    <xf numFmtId="172" fontId="0" fillId="0" borderId="0" xfId="0" applyNumberFormat="1"/>
    <xf numFmtId="43" fontId="0" fillId="0" borderId="0" xfId="1" applyFont="1"/>
    <xf numFmtId="169" fontId="0" fillId="0" borderId="0" xfId="0" applyNumberFormat="1"/>
    <xf numFmtId="0" fontId="3" fillId="4" borderId="0" xfId="0" applyFont="1" applyFill="1" applyAlignment="1">
      <alignment horizontal="center" vertical="center"/>
    </xf>
    <xf numFmtId="41" fontId="5" fillId="0" borderId="0" xfId="0" applyNumberFormat="1" applyFont="1"/>
    <xf numFmtId="169" fontId="13" fillId="0" borderId="0" xfId="1" applyNumberFormat="1" applyFont="1" applyBorder="1"/>
    <xf numFmtId="41" fontId="7" fillId="0" borderId="0" xfId="0" applyNumberFormat="1" applyFont="1"/>
    <xf numFmtId="169" fontId="4" fillId="0" borderId="0" xfId="1" applyNumberFormat="1" applyFont="1" applyBorder="1"/>
    <xf numFmtId="0" fontId="6" fillId="0" borderId="0" xfId="0" applyFont="1"/>
    <xf numFmtId="0" fontId="4" fillId="10" borderId="22" xfId="0" applyFont="1" applyFill="1" applyBorder="1"/>
    <xf numFmtId="41" fontId="7" fillId="10" borderId="22" xfId="0" applyNumberFormat="1" applyFont="1" applyFill="1" applyBorder="1"/>
    <xf numFmtId="41" fontId="13" fillId="10" borderId="22" xfId="0" applyNumberFormat="1" applyFont="1" applyFill="1" applyBorder="1"/>
    <xf numFmtId="41" fontId="4" fillId="10" borderId="22" xfId="0" applyNumberFormat="1" applyFont="1" applyFill="1" applyBorder="1"/>
    <xf numFmtId="0" fontId="0" fillId="0" borderId="27" xfId="0" applyBorder="1"/>
    <xf numFmtId="41" fontId="13" fillId="0" borderId="27" xfId="0" applyNumberFormat="1" applyFont="1" applyBorder="1"/>
    <xf numFmtId="169" fontId="13" fillId="0" borderId="27" xfId="1" applyNumberFormat="1" applyFont="1" applyBorder="1"/>
    <xf numFmtId="0" fontId="3" fillId="4" borderId="32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41" fontId="7" fillId="10" borderId="32" xfId="0" applyNumberFormat="1" applyFont="1" applyFill="1" applyBorder="1"/>
    <xf numFmtId="41" fontId="4" fillId="10" borderId="32" xfId="0" applyNumberFormat="1" applyFont="1" applyFill="1" applyBorder="1"/>
    <xf numFmtId="0" fontId="12" fillId="10" borderId="32" xfId="0" applyFont="1" applyFill="1" applyBorder="1"/>
    <xf numFmtId="41" fontId="70" fillId="26" borderId="32" xfId="0" applyNumberFormat="1" applyFont="1" applyFill="1" applyBorder="1"/>
    <xf numFmtId="41" fontId="71" fillId="26" borderId="32" xfId="0" applyNumberFormat="1" applyFont="1" applyFill="1" applyBorder="1"/>
    <xf numFmtId="0" fontId="12" fillId="26" borderId="44" xfId="0" applyFont="1" applyFill="1" applyBorder="1"/>
    <xf numFmtId="0" fontId="3" fillId="4" borderId="55" xfId="0" applyFont="1" applyFill="1" applyBorder="1" applyAlignment="1">
      <alignment horizontal="center" vertical="center"/>
    </xf>
    <xf numFmtId="41" fontId="4" fillId="10" borderId="71" xfId="0" applyNumberFormat="1" applyFont="1" applyFill="1" applyBorder="1"/>
    <xf numFmtId="41" fontId="13" fillId="0" borderId="72" xfId="0" applyNumberFormat="1" applyFont="1" applyBorder="1"/>
    <xf numFmtId="41" fontId="13" fillId="0" borderId="73" xfId="0" applyNumberFormat="1" applyFont="1" applyBorder="1"/>
    <xf numFmtId="0" fontId="8" fillId="0" borderId="0" xfId="0" applyFont="1"/>
    <xf numFmtId="0" fontId="3" fillId="27" borderId="43" xfId="0" applyFont="1" applyFill="1" applyBorder="1" applyAlignment="1">
      <alignment horizontal="center" vertical="center"/>
    </xf>
    <xf numFmtId="0" fontId="72" fillId="27" borderId="43" xfId="0" applyFont="1" applyFill="1" applyBorder="1"/>
    <xf numFmtId="41" fontId="72" fillId="27" borderId="32" xfId="0" applyNumberFormat="1" applyFont="1" applyFill="1" applyBorder="1"/>
    <xf numFmtId="0" fontId="20" fillId="27" borderId="32" xfId="0" applyFont="1" applyFill="1" applyBorder="1"/>
    <xf numFmtId="0" fontId="20" fillId="27" borderId="44" xfId="0" applyFont="1" applyFill="1" applyBorder="1"/>
    <xf numFmtId="0" fontId="72" fillId="27" borderId="26" xfId="0" applyFont="1" applyFill="1" applyBorder="1"/>
    <xf numFmtId="0" fontId="19" fillId="27" borderId="27" xfId="0" applyFont="1" applyFill="1" applyBorder="1"/>
    <xf numFmtId="0" fontId="72" fillId="27" borderId="27" xfId="0" applyFont="1" applyFill="1" applyBorder="1"/>
    <xf numFmtId="0" fontId="19" fillId="27" borderId="28" xfId="0" applyFont="1" applyFill="1" applyBorder="1"/>
    <xf numFmtId="41" fontId="4" fillId="10" borderId="55" xfId="0" applyNumberFormat="1" applyFont="1" applyFill="1" applyBorder="1"/>
    <xf numFmtId="41" fontId="71" fillId="26" borderId="55" xfId="0" applyNumberFormat="1" applyFont="1" applyFill="1" applyBorder="1"/>
    <xf numFmtId="41" fontId="72" fillId="27" borderId="55" xfId="0" applyNumberFormat="1" applyFont="1" applyFill="1" applyBorder="1"/>
    <xf numFmtId="169" fontId="72" fillId="27" borderId="73" xfId="1" applyNumberFormat="1" applyFont="1" applyFill="1" applyBorder="1"/>
    <xf numFmtId="0" fontId="5" fillId="10" borderId="71" xfId="0" applyFont="1" applyFill="1" applyBorder="1"/>
    <xf numFmtId="0" fontId="5" fillId="0" borderId="72" xfId="0" applyFont="1" applyBorder="1"/>
    <xf numFmtId="0" fontId="5" fillId="0" borderId="73" xfId="0" applyFont="1" applyBorder="1"/>
    <xf numFmtId="0" fontId="7" fillId="10" borderId="71" xfId="0" applyFont="1" applyFill="1" applyBorder="1"/>
    <xf numFmtId="0" fontId="7" fillId="10" borderId="55" xfId="0" applyFont="1" applyFill="1" applyBorder="1"/>
    <xf numFmtId="0" fontId="12" fillId="26" borderId="55" xfId="0" applyFont="1" applyFill="1" applyBorder="1"/>
    <xf numFmtId="0" fontId="5" fillId="10" borderId="74" xfId="0" applyFont="1" applyFill="1" applyBorder="1"/>
    <xf numFmtId="0" fontId="12" fillId="26" borderId="77" xfId="0" applyFont="1" applyFill="1" applyBorder="1"/>
    <xf numFmtId="0" fontId="5" fillId="0" borderId="73" xfId="0" quotePrefix="1" applyFont="1" applyBorder="1"/>
    <xf numFmtId="0" fontId="7" fillId="10" borderId="71" xfId="0" quotePrefix="1" applyFont="1" applyFill="1" applyBorder="1"/>
    <xf numFmtId="0" fontId="5" fillId="0" borderId="72" xfId="0" quotePrefix="1" applyFont="1" applyBorder="1"/>
    <xf numFmtId="0" fontId="53" fillId="0" borderId="73" xfId="0" quotePrefix="1" applyFont="1" applyBorder="1"/>
    <xf numFmtId="0" fontId="12" fillId="10" borderId="55" xfId="0" applyFont="1" applyFill="1" applyBorder="1"/>
    <xf numFmtId="169" fontId="13" fillId="0" borderId="0" xfId="1" applyNumberFormat="1" applyFont="1" applyFill="1" applyBorder="1"/>
    <xf numFmtId="0" fontId="0" fillId="10" borderId="71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28" xfId="0" applyBorder="1" applyAlignment="1">
      <alignment horizontal="center"/>
    </xf>
    <xf numFmtId="0" fontId="12" fillId="10" borderId="71" xfId="0" applyFont="1" applyFill="1" applyBorder="1" applyAlignment="1">
      <alignment horizontal="center"/>
    </xf>
    <xf numFmtId="0" fontId="12" fillId="10" borderId="23" xfId="0" applyFont="1" applyFill="1" applyBorder="1" applyAlignment="1">
      <alignment horizontal="center"/>
    </xf>
    <xf numFmtId="0" fontId="15" fillId="10" borderId="55" xfId="0" applyFont="1" applyFill="1" applyBorder="1" applyAlignment="1">
      <alignment horizontal="center"/>
    </xf>
    <xf numFmtId="0" fontId="15" fillId="10" borderId="44" xfId="0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7" fillId="10" borderId="74" xfId="0" applyFont="1" applyFill="1" applyBorder="1" applyAlignment="1">
      <alignment horizontal="center"/>
    </xf>
    <xf numFmtId="0" fontId="5" fillId="10" borderId="74" xfId="0" applyFont="1" applyFill="1" applyBorder="1" applyAlignment="1">
      <alignment horizontal="center"/>
    </xf>
    <xf numFmtId="0" fontId="7" fillId="10" borderId="77" xfId="0" applyFont="1" applyFill="1" applyBorder="1" applyAlignment="1">
      <alignment horizontal="center"/>
    </xf>
    <xf numFmtId="0" fontId="33" fillId="27" borderId="40" xfId="0" applyFont="1" applyFill="1" applyBorder="1" applyAlignment="1">
      <alignment horizontal="left" vertical="center"/>
    </xf>
    <xf numFmtId="0" fontId="33" fillId="27" borderId="41" xfId="0" applyFont="1" applyFill="1" applyBorder="1" applyAlignment="1">
      <alignment horizontal="center" vertical="center"/>
    </xf>
    <xf numFmtId="0" fontId="33" fillId="27" borderId="42" xfId="0" applyFont="1" applyFill="1" applyBorder="1" applyAlignment="1">
      <alignment horizontal="center" vertical="center"/>
    </xf>
    <xf numFmtId="169" fontId="39" fillId="0" borderId="0" xfId="1" applyNumberFormat="1" applyFont="1"/>
    <xf numFmtId="0" fontId="0" fillId="0" borderId="0" xfId="0" applyAlignment="1">
      <alignment horizontal="left"/>
    </xf>
    <xf numFmtId="0" fontId="74" fillId="13" borderId="0" xfId="0" applyFont="1" applyFill="1"/>
    <xf numFmtId="169" fontId="55" fillId="0" borderId="0" xfId="0" applyNumberFormat="1" applyFont="1"/>
    <xf numFmtId="169" fontId="74" fillId="13" borderId="0" xfId="0" applyNumberFormat="1" applyFont="1" applyFill="1"/>
    <xf numFmtId="0" fontId="55" fillId="0" borderId="0" xfId="0" applyFont="1" applyAlignment="1">
      <alignment horizontal="left"/>
    </xf>
    <xf numFmtId="0" fontId="74" fillId="13" borderId="0" xfId="0" applyFont="1" applyFill="1" applyAlignment="1">
      <alignment horizontal="left"/>
    </xf>
    <xf numFmtId="0" fontId="55" fillId="13" borderId="0" xfId="0" applyFont="1" applyFill="1"/>
    <xf numFmtId="169" fontId="55" fillId="13" borderId="0" xfId="0" applyNumberFormat="1" applyFont="1" applyFill="1"/>
    <xf numFmtId="0" fontId="41" fillId="25" borderId="68" xfId="0" applyFont="1" applyFill="1" applyBorder="1"/>
    <xf numFmtId="0" fontId="41" fillId="25" borderId="69" xfId="0" applyFont="1" applyFill="1" applyBorder="1"/>
    <xf numFmtId="169" fontId="41" fillId="25" borderId="70" xfId="0" applyNumberFormat="1" applyFont="1" applyFill="1" applyBorder="1"/>
    <xf numFmtId="15" fontId="39" fillId="24" borderId="68" xfId="0" applyNumberFormat="1" applyFont="1" applyFill="1" applyBorder="1"/>
    <xf numFmtId="169" fontId="39" fillId="24" borderId="69" xfId="3" applyNumberFormat="1" applyFont="1" applyFill="1" applyBorder="1"/>
    <xf numFmtId="0" fontId="39" fillId="24" borderId="69" xfId="0" applyFont="1" applyFill="1" applyBorder="1"/>
    <xf numFmtId="169" fontId="39" fillId="24" borderId="69" xfId="0" applyNumberFormat="1" applyFont="1" applyFill="1" applyBorder="1"/>
    <xf numFmtId="0" fontId="0" fillId="24" borderId="69" xfId="0" applyFill="1" applyBorder="1"/>
    <xf numFmtId="169" fontId="0" fillId="24" borderId="70" xfId="3" applyNumberFormat="1" applyFont="1" applyFill="1" applyBorder="1"/>
    <xf numFmtId="15" fontId="39" fillId="0" borderId="68" xfId="0" applyNumberFormat="1" applyFont="1" applyBorder="1"/>
    <xf numFmtId="169" fontId="39" fillId="0" borderId="69" xfId="3" applyNumberFormat="1" applyFont="1" applyBorder="1"/>
    <xf numFmtId="0" fontId="39" fillId="0" borderId="69" xfId="0" applyFont="1" applyBorder="1"/>
    <xf numFmtId="169" fontId="39" fillId="0" borderId="69" xfId="0" applyNumberFormat="1" applyFont="1" applyBorder="1"/>
    <xf numFmtId="0" fontId="0" fillId="0" borderId="69" xfId="0" applyBorder="1"/>
    <xf numFmtId="169" fontId="0" fillId="0" borderId="70" xfId="3" applyNumberFormat="1" applyFont="1" applyBorder="1"/>
    <xf numFmtId="0" fontId="0" fillId="24" borderId="70" xfId="0" applyFill="1" applyBorder="1"/>
    <xf numFmtId="0" fontId="0" fillId="0" borderId="70" xfId="0" applyBorder="1"/>
    <xf numFmtId="15" fontId="0" fillId="0" borderId="0" xfId="0" applyNumberFormat="1"/>
    <xf numFmtId="169" fontId="0" fillId="0" borderId="0" xfId="0" applyNumberFormat="1" applyAlignment="1">
      <alignment horizontal="left"/>
    </xf>
    <xf numFmtId="169" fontId="14" fillId="0" borderId="8" xfId="1" applyNumberFormat="1" applyFont="1" applyBorder="1" applyAlignment="1">
      <alignment readingOrder="1"/>
    </xf>
    <xf numFmtId="169" fontId="14" fillId="0" borderId="11" xfId="1" applyNumberFormat="1" applyFont="1" applyBorder="1" applyAlignment="1">
      <alignment readingOrder="1"/>
    </xf>
    <xf numFmtId="15" fontId="14" fillId="0" borderId="6" xfId="0" applyNumberFormat="1" applyFont="1" applyBorder="1" applyAlignment="1">
      <alignment readingOrder="1"/>
    </xf>
    <xf numFmtId="15" fontId="14" fillId="0" borderId="9" xfId="0" applyNumberFormat="1" applyFont="1" applyBorder="1" applyAlignment="1">
      <alignment readingOrder="1"/>
    </xf>
    <xf numFmtId="167" fontId="12" fillId="0" borderId="0" xfId="0" applyNumberFormat="1" applyFont="1"/>
    <xf numFmtId="0" fontId="75" fillId="4" borderId="55" xfId="0" applyFont="1" applyFill="1" applyBorder="1" applyAlignment="1">
      <alignment horizontal="center" vertical="center"/>
    </xf>
    <xf numFmtId="0" fontId="65" fillId="0" borderId="61" xfId="0" quotePrefix="1" applyFont="1" applyBorder="1" applyAlignment="1">
      <alignment horizontal="center" vertical="center"/>
    </xf>
    <xf numFmtId="9" fontId="0" fillId="0" borderId="30" xfId="1" applyNumberFormat="1" applyFont="1" applyBorder="1"/>
    <xf numFmtId="169" fontId="25" fillId="0" borderId="30" xfId="1" applyNumberFormat="1" applyFont="1" applyBorder="1"/>
    <xf numFmtId="168" fontId="25" fillId="0" borderId="62" xfId="0" applyNumberFormat="1" applyFont="1" applyBorder="1"/>
    <xf numFmtId="168" fontId="0" fillId="0" borderId="46" xfId="0" applyNumberFormat="1" applyBorder="1" applyAlignment="1">
      <alignment vertical="center"/>
    </xf>
    <xf numFmtId="1" fontId="0" fillId="0" borderId="52" xfId="0" applyNumberFormat="1" applyBorder="1" applyAlignment="1">
      <alignment vertical="center"/>
    </xf>
    <xf numFmtId="172" fontId="0" fillId="0" borderId="46" xfId="0" applyNumberFormat="1" applyBorder="1" applyAlignment="1">
      <alignment vertical="center"/>
    </xf>
    <xf numFmtId="168" fontId="0" fillId="0" borderId="46" xfId="1" applyNumberFormat="1" applyFont="1" applyBorder="1" applyAlignment="1">
      <alignment vertical="center"/>
    </xf>
    <xf numFmtId="172" fontId="0" fillId="12" borderId="0" xfId="1" applyNumberFormat="1" applyFont="1" applyFill="1" applyAlignment="1">
      <alignment vertical="center"/>
    </xf>
    <xf numFmtId="0" fontId="5" fillId="0" borderId="72" xfId="0" quotePrefix="1" applyFont="1" applyBorder="1" applyAlignment="1">
      <alignment vertical="center"/>
    </xf>
    <xf numFmtId="0" fontId="53" fillId="0" borderId="76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1" fontId="13" fillId="0" borderId="72" xfId="0" applyNumberFormat="1" applyFont="1" applyBorder="1" applyAlignment="1">
      <alignment vertical="center"/>
    </xf>
    <xf numFmtId="0" fontId="0" fillId="0" borderId="7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10" borderId="78" xfId="0" applyFont="1" applyFill="1" applyBorder="1"/>
    <xf numFmtId="41" fontId="73" fillId="0" borderId="79" xfId="0" applyNumberFormat="1" applyFont="1" applyBorder="1"/>
    <xf numFmtId="0" fontId="72" fillId="0" borderId="79" xfId="0" applyFont="1" applyBorder="1"/>
    <xf numFmtId="0" fontId="20" fillId="0" borderId="80" xfId="0" applyFont="1" applyBorder="1"/>
    <xf numFmtId="0" fontId="35" fillId="0" borderId="79" xfId="0" applyFont="1" applyBorder="1"/>
    <xf numFmtId="0" fontId="20" fillId="0" borderId="79" xfId="0" applyFont="1" applyBorder="1"/>
    <xf numFmtId="0" fontId="35" fillId="0" borderId="80" xfId="0" applyFont="1" applyBorder="1"/>
    <xf numFmtId="0" fontId="20" fillId="0" borderId="79" xfId="0" applyFont="1" applyBorder="1" applyAlignment="1">
      <alignment vertical="center"/>
    </xf>
    <xf numFmtId="41" fontId="36" fillId="0" borderId="79" xfId="0" applyNumberFormat="1" applyFont="1" applyBorder="1"/>
    <xf numFmtId="0" fontId="36" fillId="0" borderId="79" xfId="0" applyFont="1" applyBorder="1"/>
    <xf numFmtId="0" fontId="4" fillId="10" borderId="54" xfId="0" applyFont="1" applyFill="1" applyBorder="1"/>
    <xf numFmtId="0" fontId="4" fillId="26" borderId="54" xfId="0" applyFont="1" applyFill="1" applyBorder="1"/>
    <xf numFmtId="0" fontId="69" fillId="26" borderId="54" xfId="0" applyFont="1" applyFill="1" applyBorder="1"/>
    <xf numFmtId="16" fontId="0" fillId="0" borderId="0" xfId="0" applyNumberFormat="1"/>
    <xf numFmtId="169" fontId="4" fillId="0" borderId="0" xfId="1" applyNumberFormat="1" applyFont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1" fillId="13" borderId="43" xfId="0" applyFont="1" applyFill="1" applyBorder="1" applyAlignment="1">
      <alignment horizontal="center" vertical="center" shrinkToFit="1"/>
    </xf>
    <xf numFmtId="0" fontId="61" fillId="13" borderId="32" xfId="0" applyFont="1" applyFill="1" applyBorder="1" applyAlignment="1">
      <alignment horizontal="center" vertical="center" shrinkToFit="1"/>
    </xf>
    <xf numFmtId="0" fontId="61" fillId="13" borderId="44" xfId="0" applyFont="1" applyFill="1" applyBorder="1" applyAlignment="1">
      <alignment horizontal="center" vertical="center" shrinkToFit="1"/>
    </xf>
    <xf numFmtId="0" fontId="61" fillId="13" borderId="24" xfId="0" applyFont="1" applyFill="1" applyBorder="1" applyAlignment="1">
      <alignment horizontal="center" vertical="center" shrinkToFit="1"/>
    </xf>
    <xf numFmtId="0" fontId="61" fillId="13" borderId="0" xfId="0" applyFont="1" applyFill="1" applyAlignment="1">
      <alignment horizontal="center" vertical="center" shrinkToFit="1"/>
    </xf>
    <xf numFmtId="0" fontId="63" fillId="22" borderId="43" xfId="0" applyFont="1" applyFill="1" applyBorder="1" applyAlignment="1">
      <alignment horizontal="center" vertical="center" shrinkToFit="1"/>
    </xf>
    <xf numFmtId="0" fontId="63" fillId="22" borderId="32" xfId="0" applyFont="1" applyFill="1" applyBorder="1" applyAlignment="1">
      <alignment horizontal="center" vertical="center" shrinkToFit="1"/>
    </xf>
    <xf numFmtId="0" fontId="63" fillId="22" borderId="44" xfId="0" applyFont="1" applyFill="1" applyBorder="1" applyAlignment="1">
      <alignment horizontal="center" vertical="center" shrinkToFit="1"/>
    </xf>
    <xf numFmtId="0" fontId="63" fillId="16" borderId="43" xfId="0" applyFont="1" applyFill="1" applyBorder="1" applyAlignment="1">
      <alignment horizontal="center" vertical="center" shrinkToFit="1"/>
    </xf>
    <xf numFmtId="0" fontId="63" fillId="16" borderId="32" xfId="0" applyFont="1" applyFill="1" applyBorder="1" applyAlignment="1">
      <alignment horizontal="center" vertical="center" shrinkToFit="1"/>
    </xf>
    <xf numFmtId="0" fontId="63" fillId="16" borderId="44" xfId="0" applyFont="1" applyFill="1" applyBorder="1" applyAlignment="1">
      <alignment horizontal="center" vertical="center" shrinkToFit="1"/>
    </xf>
  </cellXfs>
  <cellStyles count="4">
    <cellStyle name="Comma" xfId="1" builtinId="3"/>
    <cellStyle name="Comma 2" xfId="3" xr:uid="{7E524C30-10FD-4CF6-9379-C326741C8815}"/>
    <cellStyle name="Normal" xfId="0" builtinId="0"/>
    <cellStyle name="Normal 2" xfId="2" xr:uid="{E6E584ED-8A16-435D-B0A3-A333112ECD3E}"/>
  </cellStyles>
  <dxfs count="747"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ill>
        <patternFill patternType="solid"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ill>
        <patternFill patternType="solid"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ont>
        <color theme="0"/>
      </font>
      <fill>
        <patternFill patternType="solid">
          <fgColor indexed="64"/>
          <bgColor rgb="FFFF3399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ill>
        <patternFill patternType="solid"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ill>
        <patternFill patternType="solid"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ill>
        <patternFill patternType="solid"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numFmt numFmtId="169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rgb="FFFF3399"/>
        </patternFill>
      </fill>
    </dxf>
    <dxf>
      <numFmt numFmtId="169" formatCode="_(* #,##0_);_(* \(#,##0\);_(* &quot;-&quot;??_);_(@_)"/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numFmt numFmtId="169" formatCode="_(* #,##0_);_(* \(#,##0\);_(* &quot;-&quot;??_);_(@_)"/>
    </dxf>
    <dxf>
      <font>
        <color theme="0"/>
      </font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FF3399"/>
        </patternFill>
      </fill>
    </dxf>
    <dxf>
      <numFmt numFmtId="169" formatCode="_(* #,##0_);_(* \(#,##0\);_(* &quot;-&quot;??_);_(@_)"/>
    </dxf>
    <dxf>
      <numFmt numFmtId="167" formatCode="_-* #,##0_-;\-* #,##0_-;_-* &quot;-&quot;??_-;_-@_-"/>
    </dxf>
  </dxfs>
  <tableStyles count="0" defaultTableStyle="TableStyleMedium9" defaultPivotStyle="PivotStyleLight16"/>
  <colors>
    <mruColors>
      <color rgb="FFFF3399"/>
      <color rgb="FF2E75B6"/>
      <color rgb="FFC5D9F1"/>
      <color rgb="FFFFE5F2"/>
      <color rgb="FFFFC5E2"/>
      <color rgb="FFFFEB9C"/>
      <color rgb="FF7030A0"/>
      <color rgb="FFE2D0F0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Disbursement W13 vs Target Apr (bil VND)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'Tracking daily Target'!$F$20</c:f>
              <c:strCache>
                <c:ptCount val="1"/>
                <c:pt idx="0">
                  <c:v>Daily Disbursement (bil)</c:v>
                </c:pt>
              </c:strCache>
            </c:strRef>
          </c:tx>
          <c:spPr>
            <a:solidFill>
              <a:srgbClr val="FF3399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'Tracking daily Target'!$E$21:$E$31</c:f>
              <c:strCache>
                <c:ptCount val="11"/>
                <c:pt idx="0">
                  <c:v>[VDS] - Cashloan</c:v>
                </c:pt>
                <c:pt idx="1">
                  <c:v>[VDS] - Payday</c:v>
                </c:pt>
                <c:pt idx="2">
                  <c:v>[Cake] - Cashloan</c:v>
                </c:pt>
                <c:pt idx="3">
                  <c:v>[Cake] - Payday</c:v>
                </c:pt>
                <c:pt idx="4">
                  <c:v>[ZALOPAY] - Cashloan</c:v>
                </c:pt>
                <c:pt idx="5">
                  <c:v>[MWG] - Cashloan</c:v>
                </c:pt>
                <c:pt idx="6">
                  <c:v>[MWG] - Paylater (QTV)</c:v>
                </c:pt>
                <c:pt idx="7">
                  <c:v>[VNPAY]</c:v>
                </c:pt>
                <c:pt idx="8">
                  <c:v>[FIZA] - Payday</c:v>
                </c:pt>
                <c:pt idx="9">
                  <c:v>Others</c:v>
                </c:pt>
                <c:pt idx="10">
                  <c:v>TOTAL</c:v>
                </c:pt>
              </c:strCache>
            </c:strRef>
          </c:cat>
          <c:val>
            <c:numRef>
              <c:f>'Tracking daily Target'!$F$21:$F$31</c:f>
              <c:numCache>
                <c:formatCode>#,##0.0</c:formatCode>
                <c:ptCount val="11"/>
                <c:pt idx="0">
                  <c:v>16.811778</c:v>
                </c:pt>
                <c:pt idx="1">
                  <c:v>11.9993292</c:v>
                </c:pt>
                <c:pt idx="2">
                  <c:v>14.780525000000001</c:v>
                </c:pt>
                <c:pt idx="3">
                  <c:v>15.7621248</c:v>
                </c:pt>
                <c:pt idx="4">
                  <c:v>6.0270479999999997</c:v>
                </c:pt>
                <c:pt idx="5">
                  <c:v>3.793806</c:v>
                </c:pt>
                <c:pt idx="6">
                  <c:v>1.3363773267000001</c:v>
                </c:pt>
                <c:pt idx="7">
                  <c:v>1.8051788374000002</c:v>
                </c:pt>
                <c:pt idx="9">
                  <c:v>3.9214341132000121</c:v>
                </c:pt>
                <c:pt idx="10">
                  <c:v>76.23760127730003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3-4125-8ABB-A4AE1BB7EA17}"/>
            </c:ext>
          </c:extLst>
        </c:ser>
        <c:ser>
          <c:idx val="1"/>
          <c:order val="1"/>
          <c:tx>
            <c:strRef>
              <c:f>'Tracking daily Target'!$G$20</c:f>
              <c:strCache>
                <c:ptCount val="1"/>
                <c:pt idx="0">
                  <c:v>Target May (bil)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999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'Tracking daily Target'!$E$21:$E$31</c:f>
              <c:strCache>
                <c:ptCount val="11"/>
                <c:pt idx="0">
                  <c:v>[VDS] - Cashloan</c:v>
                </c:pt>
                <c:pt idx="1">
                  <c:v>[VDS] - Payday</c:v>
                </c:pt>
                <c:pt idx="2">
                  <c:v>[Cake] - Cashloan</c:v>
                </c:pt>
                <c:pt idx="3">
                  <c:v>[Cake] - Payday</c:v>
                </c:pt>
                <c:pt idx="4">
                  <c:v>[ZALOPAY] - Cashloan</c:v>
                </c:pt>
                <c:pt idx="5">
                  <c:v>[MWG] - Cashloan</c:v>
                </c:pt>
                <c:pt idx="6">
                  <c:v>[MWG] - Paylater (QTV)</c:v>
                </c:pt>
                <c:pt idx="7">
                  <c:v>[VNPAY]</c:v>
                </c:pt>
                <c:pt idx="8">
                  <c:v>[FIZA] - Payday</c:v>
                </c:pt>
                <c:pt idx="9">
                  <c:v>Others</c:v>
                </c:pt>
                <c:pt idx="10">
                  <c:v>TOTAL</c:v>
                </c:pt>
              </c:strCache>
            </c:strRef>
          </c:cat>
          <c:val>
            <c:numRef>
              <c:f>'Tracking daily Target'!$G$21:$G$31</c:f>
              <c:numCache>
                <c:formatCode>#,##0.0</c:formatCode>
                <c:ptCount val="11"/>
                <c:pt idx="0">
                  <c:v>18.402516333333335</c:v>
                </c:pt>
                <c:pt idx="1">
                  <c:v>11.685130105263157</c:v>
                </c:pt>
                <c:pt idx="2">
                  <c:v>22.233542033333336</c:v>
                </c:pt>
                <c:pt idx="3">
                  <c:v>18.32050928</c:v>
                </c:pt>
                <c:pt idx="4">
                  <c:v>7.7270828571428565</c:v>
                </c:pt>
                <c:pt idx="5">
                  <c:v>4.8856967333333339</c:v>
                </c:pt>
                <c:pt idx="6">
                  <c:v>3.4524288708333328</c:v>
                </c:pt>
                <c:pt idx="7">
                  <c:v>2.2158571462666665</c:v>
                </c:pt>
                <c:pt idx="8">
                  <c:v>0.7</c:v>
                </c:pt>
                <c:pt idx="9">
                  <c:v>3.815496727066658</c:v>
                </c:pt>
                <c:pt idx="10">
                  <c:v>93.438260086572683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3-4125-8ABB-A4AE1BB7EA17}"/>
            </c:ext>
          </c:extLst>
        </c:ser>
        <c:ser>
          <c:idx val="2"/>
          <c:order val="2"/>
          <c:tx>
            <c:strRef>
              <c:f>'Tracking daily Target'!$H$20</c:f>
              <c:strCache>
                <c:ptCount val="1"/>
                <c:pt idx="0">
                  <c:v>Gap (bil)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'Tracking daily Target'!$E$21:$E$31</c:f>
              <c:strCache>
                <c:ptCount val="11"/>
                <c:pt idx="0">
                  <c:v>[VDS] - Cashloan</c:v>
                </c:pt>
                <c:pt idx="1">
                  <c:v>[VDS] - Payday</c:v>
                </c:pt>
                <c:pt idx="2">
                  <c:v>[Cake] - Cashloan</c:v>
                </c:pt>
                <c:pt idx="3">
                  <c:v>[Cake] - Payday</c:v>
                </c:pt>
                <c:pt idx="4">
                  <c:v>[ZALOPAY] - Cashloan</c:v>
                </c:pt>
                <c:pt idx="5">
                  <c:v>[MWG] - Cashloan</c:v>
                </c:pt>
                <c:pt idx="6">
                  <c:v>[MWG] - Paylater (QTV)</c:v>
                </c:pt>
                <c:pt idx="7">
                  <c:v>[VNPAY]</c:v>
                </c:pt>
                <c:pt idx="8">
                  <c:v>[FIZA] - Payday</c:v>
                </c:pt>
                <c:pt idx="9">
                  <c:v>Others</c:v>
                </c:pt>
                <c:pt idx="10">
                  <c:v>TOTAL</c:v>
                </c:pt>
              </c:strCache>
            </c:strRef>
          </c:cat>
          <c:val>
            <c:numRef>
              <c:f>'Tracking daily Target'!$H$21:$H$31</c:f>
              <c:numCache>
                <c:formatCode>#,##0.0</c:formatCode>
                <c:ptCount val="11"/>
                <c:pt idx="0">
                  <c:v>-1.5907383333333343</c:v>
                </c:pt>
                <c:pt idx="1">
                  <c:v>0.31419909473684271</c:v>
                </c:pt>
                <c:pt idx="2">
                  <c:v>-7.4530170333333352</c:v>
                </c:pt>
                <c:pt idx="3">
                  <c:v>-2.5583844799999991</c:v>
                </c:pt>
                <c:pt idx="4">
                  <c:v>-1.7000348571428567</c:v>
                </c:pt>
                <c:pt idx="5">
                  <c:v>-1.0918907333333339</c:v>
                </c:pt>
                <c:pt idx="6">
                  <c:v>-2.1160515441333327</c:v>
                </c:pt>
                <c:pt idx="7">
                  <c:v>-0.41067830886666634</c:v>
                </c:pt>
                <c:pt idx="8">
                  <c:v>-0.7</c:v>
                </c:pt>
                <c:pt idx="9">
                  <c:v>0.10593738613335413</c:v>
                </c:pt>
                <c:pt idx="10">
                  <c:v>-17.200658809272667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3-4125-8ABB-A4AE1BB7EA17}"/>
            </c:ext>
          </c:extLst>
        </c:ser>
        <c:ser>
          <c:idx val="3"/>
          <c:order val="3"/>
          <c:tx>
            <c:strRef>
              <c:f>'Tracking daily Target'!$I$20</c:f>
              <c:strCache>
                <c:ptCount val="1"/>
                <c:pt idx="0">
                  <c:v>% Achieved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'Tracking daily Target'!$E$21:$E$31</c:f>
              <c:strCache>
                <c:ptCount val="11"/>
                <c:pt idx="0">
                  <c:v>[VDS] - Cashloan</c:v>
                </c:pt>
                <c:pt idx="1">
                  <c:v>[VDS] - Payday</c:v>
                </c:pt>
                <c:pt idx="2">
                  <c:v>[Cake] - Cashloan</c:v>
                </c:pt>
                <c:pt idx="3">
                  <c:v>[Cake] - Payday</c:v>
                </c:pt>
                <c:pt idx="4">
                  <c:v>[ZALOPAY] - Cashloan</c:v>
                </c:pt>
                <c:pt idx="5">
                  <c:v>[MWG] - Cashloan</c:v>
                </c:pt>
                <c:pt idx="6">
                  <c:v>[MWG] - Paylater (QTV)</c:v>
                </c:pt>
                <c:pt idx="7">
                  <c:v>[VNPAY]</c:v>
                </c:pt>
                <c:pt idx="8">
                  <c:v>[FIZA] - Payday</c:v>
                </c:pt>
                <c:pt idx="9">
                  <c:v>Others</c:v>
                </c:pt>
                <c:pt idx="10">
                  <c:v>TOTAL</c:v>
                </c:pt>
              </c:strCache>
            </c:strRef>
          </c:cat>
          <c:val>
            <c:numRef>
              <c:f>'Tracking daily Target'!$I$21:$I$31</c:f>
              <c:numCache>
                <c:formatCode>0%</c:formatCode>
                <c:ptCount val="11"/>
                <c:pt idx="0">
                  <c:v>0.91355865119098101</c:v>
                </c:pt>
                <c:pt idx="1">
                  <c:v>1.0268887972924943</c:v>
                </c:pt>
                <c:pt idx="2">
                  <c:v>0.66478498917718543</c:v>
                </c:pt>
                <c:pt idx="3">
                  <c:v>0.86035407417451448</c:v>
                </c:pt>
                <c:pt idx="4">
                  <c:v>0.77999008311767259</c:v>
                </c:pt>
                <c:pt idx="5">
                  <c:v>0.77651278969409621</c:v>
                </c:pt>
                <c:pt idx="6">
                  <c:v>0.38708323232664626</c:v>
                </c:pt>
                <c:pt idx="7">
                  <c:v>0.81466390576730641</c:v>
                </c:pt>
                <c:pt idx="9">
                  <c:v>1.027765031321308</c:v>
                </c:pt>
                <c:pt idx="10">
                  <c:v>0.81591417912388498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73-4125-8ABB-A4AE1BB7E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19"/>
        <c:axId val="1749576655"/>
        <c:axId val="1749582895"/>
      </c:barChart>
      <c:catAx>
        <c:axId val="174957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82895"/>
        <c:crosses val="autoZero"/>
        <c:auto val="1"/>
        <c:lblAlgn val="ctr"/>
        <c:lblOffset val="100"/>
        <c:noMultiLvlLbl val="0"/>
      </c:catAx>
      <c:valAx>
        <c:axId val="174958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 VND/day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7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1831723-7D9E-49F9-B4F0-CC518B7DA8DE}">
          <cx:tx>
            <cx:txData>
              <cx:f>_xlchart.v1.1</cx:f>
              <cx:v>Value (bil)</cx:v>
            </cx:txData>
          </cx:tx>
          <cx:spPr>
            <a:solidFill>
              <a:srgbClr val="FF3399"/>
            </a:solidFill>
          </cx:spPr>
          <cx:dataPt idx="0">
            <cx:spPr>
              <a:solidFill>
                <a:sysClr val="window" lastClr="FFFFFF">
                  <a:lumMod val="75000"/>
                </a:sysClr>
              </a:solidFill>
            </cx:spPr>
          </cx:dataPt>
          <cx:dataPt idx="8">
            <cx:spPr>
              <a:solidFill>
                <a:sysClr val="window" lastClr="FFFFFF">
                  <a:lumMod val="75000"/>
                </a:sysClr>
              </a:solidFill>
            </cx:spPr>
          </cx:dataPt>
          <cx:dataPt idx="16">
            <cx:spPr>
              <a:solidFill>
                <a:sysClr val="window" lastClr="FFFFFF">
                  <a:lumMod val="75000"/>
                </a:sysClr>
              </a:solidFill>
            </cx:spPr>
          </cx:dataPt>
          <cx:dataPt idx="24">
            <cx:spPr>
              <a:solidFill>
                <a:sysClr val="window" lastClr="FFFFFF">
                  <a:lumMod val="75000"/>
                </a:sys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 b="1">
                    <a:solidFill>
                      <a:srgbClr val="002060"/>
                    </a:solidFill>
                  </a:defRPr>
                </a:pPr>
                <a:endParaRPr lang="en-US" sz="1800" b="1" i="0" u="none" strike="noStrike" baseline="0">
                  <a:solidFill>
                    <a:srgbClr val="002060"/>
                  </a:solidFill>
                  <a:latin typeface="Calibri"/>
                </a:endParaRPr>
              </a:p>
            </cx:txPr>
            <cx:visibility seriesName="0" categoryName="0" value="1"/>
            <cx:dataLabel idx="0">
              <cx:spPr>
                <a:solidFill>
                  <a:srgbClr val="FF3399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Calibri"/>
                    </a:rPr>
                    <a:t>71.5</a:t>
                  </a:r>
                </a:p>
              </cx:txPr>
            </cx:dataLabel>
            <cx:dataLabel idx="8">
              <cx:spPr>
                <a:solidFill>
                  <a:srgbClr val="FF3399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Calibri"/>
                    </a:rPr>
                    <a:t>71.5</a:t>
                  </a:r>
                </a:p>
              </cx:txPr>
            </cx:dataLabel>
            <cx:dataLabel idx="16">
              <cx:spPr>
                <a:solidFill>
                  <a:srgbClr val="FF3399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Calibri"/>
                    </a:rPr>
                    <a:t>93.4</a:t>
                  </a:r>
                </a:p>
              </cx:txPr>
            </cx:dataLabel>
            <cx:dataLabel idx="24">
              <cx:spPr>
                <a:solidFill>
                  <a:srgbClr val="FF3399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n-US" sz="1800" b="1" i="0" u="none" strike="noStrike" baseline="0">
                      <a:solidFill>
                        <a:schemeClr val="bg1"/>
                      </a:solidFill>
                      <a:latin typeface="Calibri"/>
                    </a:rPr>
                    <a:t>97.7</a:t>
                  </a:r>
                </a:p>
              </cx:txPr>
            </cx:dataLabel>
          </cx:dataLabels>
          <cx:dataId val="0"/>
          <cx:layoutPr>
            <cx:subtotals>
              <cx:idx val="0"/>
              <cx:idx val="8"/>
              <cx:idx val="16"/>
              <cx:idx val="24"/>
            </cx:subtotals>
          </cx:layoutPr>
        </cx:series>
      </cx:plotAreaRegion>
      <cx:axis id="0">
        <cx:catScaling gapWidth="0.300000012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200"/>
            <a:t>Chart Title</a:t>
          </a:r>
        </a:p>
      </cx:txPr>
    </cx:title>
    <cx:plotArea>
      <cx:plotAreaRegion>
        <cx:series layoutId="waterfall" uniqueId="{AD167B50-A221-4BC2-B8AA-965BF2957A08}">
          <cx:tx>
            <cx:txData>
              <cx:f>_xlchart.v1.4</cx:f>
              <cx:v>Value (bil)</cx:v>
            </cx:txData>
          </cx:tx>
          <cx:spPr>
            <a:solidFill>
              <a:srgbClr val="FF3399"/>
            </a:solidFill>
          </cx:spPr>
          <cx:dataPt idx="0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8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6">
            <cx:spPr>
              <a:solidFill>
                <a:sysClr val="window" lastClr="FFFFFF">
                  <a:lumMod val="65000"/>
                </a:sys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rgbClr val="002060"/>
                    </a:solidFill>
                  </a:defRPr>
                </a:pPr>
                <a:endParaRPr lang="en-US" sz="1200" b="1" i="0" u="none" strike="noStrike" baseline="0">
                  <a:solidFill>
                    <a:srgbClr val="002060"/>
                  </a:solidFill>
                  <a:latin typeface="Calibri"/>
                </a:endParaRPr>
              </a:p>
            </cx:txPr>
            <cx:visibility seriesName="0" categoryName="0" value="1"/>
            <cx:dataLabel idx="0">
              <cx:spPr>
                <a:solidFill>
                  <a:srgbClr val="FF3399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200" b="1" i="0" u="none" strike="noStrike" baseline="0">
                      <a:solidFill>
                        <a:schemeClr val="bg1"/>
                      </a:solidFill>
                      <a:latin typeface="Calibri"/>
                    </a:rPr>
                    <a:t>71.5</a:t>
                  </a:r>
                </a:p>
              </cx:txPr>
            </cx:dataLabel>
            <cx:dataLabel idx="8">
              <cx:spPr>
                <a:solidFill>
                  <a:srgbClr val="FF3399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n-US" sz="1200" b="1" i="0" u="none" strike="noStrike" baseline="0">
                      <a:solidFill>
                        <a:schemeClr val="bg1"/>
                      </a:solidFill>
                      <a:latin typeface="Calibri"/>
                    </a:rPr>
                    <a:t>93.4</a:t>
                  </a:r>
                </a:p>
              </cx:txPr>
            </cx:dataLabel>
            <cx:dataLabel idx="16">
              <cx:spPr>
                <a:solidFill>
                  <a:srgbClr val="FF3399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n-US" sz="1200" b="1" i="0" u="none" strike="noStrike" baseline="0">
                      <a:solidFill>
                        <a:schemeClr val="bg1"/>
                      </a:solidFill>
                      <a:latin typeface="Calibri"/>
                    </a:rPr>
                    <a:t>97.7</a:t>
                  </a:r>
                </a:p>
              </cx:txPr>
            </cx:dataLabel>
          </cx:dataLabels>
          <cx:dataId val="0"/>
          <cx:layoutPr>
            <cx:subtotals>
              <cx:idx val="0"/>
              <cx:idx val="8"/>
              <cx:idx val="1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1200"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70518</xdr:colOff>
      <xdr:row>15</xdr:row>
      <xdr:rowOff>154878</xdr:rowOff>
    </xdr:from>
    <xdr:to>
      <xdr:col>47</xdr:col>
      <xdr:colOff>118481</xdr:colOff>
      <xdr:row>47</xdr:row>
      <xdr:rowOff>77109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C2DD191-39C5-5525-7BBC-2F660F14ED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36618" y="3075878"/>
              <a:ext cx="21587163" cy="60309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42333</xdr:colOff>
      <xdr:row>49</xdr:row>
      <xdr:rowOff>66488</xdr:rowOff>
    </xdr:from>
    <xdr:to>
      <xdr:col>37</xdr:col>
      <xdr:colOff>286371</xdr:colOff>
      <xdr:row>70</xdr:row>
      <xdr:rowOff>149412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203041B-312E-6DCB-853F-81B714CFA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08433" y="9477188"/>
              <a:ext cx="15052238" cy="4083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1510923</xdr:colOff>
      <xdr:row>51</xdr:row>
      <xdr:rowOff>166340</xdr:rowOff>
    </xdr:from>
    <xdr:to>
      <xdr:col>10</xdr:col>
      <xdr:colOff>303182</xdr:colOff>
      <xdr:row>83</xdr:row>
      <xdr:rowOff>34819</xdr:rowOff>
    </xdr:to>
    <xdr:graphicFrame macro="">
      <xdr:nvGraphicFramePr>
        <xdr:cNvPr id="2" name="Tracking82Bil">
          <a:extLst>
            <a:ext uri="{FF2B5EF4-FFF2-40B4-BE49-F238E27FC236}">
              <a16:creationId xmlns:a16="http://schemas.microsoft.com/office/drawing/2014/main" id="{F9DE9E89-E063-4E3E-8DC7-33F544090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kedigital-my.sharepoint.com/personal/dam_ho_cake_vn/Documents/Performance%20Tracking_2025.xlsx" TargetMode="External"/><Relationship Id="rId1" Type="http://schemas.openxmlformats.org/officeDocument/2006/relationships/externalLinkPath" Target="https://cakedigital-my.sharepoint.com/personal/dam_ho_cake_vn/Documents/Performance%20Tracking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kedigital-my.sharepoint.com/personal/tien_nguyen9_cake_vn/Documents/Tien%20-%20Back%20up/1.%20Weekly%20report/Weekly/2026/Claude%20-%20W15/Road%20to%203k.xlsx" TargetMode="External"/><Relationship Id="rId1" Type="http://schemas.openxmlformats.org/officeDocument/2006/relationships/externalLinkPath" Target="https://cakedigital-my.sharepoint.com/personal/tien_nguyen9_cake_vn/Documents/Tien%20-%20Back%20up/1.%20Weekly%20report/Weekly/2026/Claude%20-%20W15/Road%20to%203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kedigital-my.sharepoint.com/personal/tien_nguyen9_cake_vn/Documents/Tien%20-%20Back%20up/1.%20Weekly%20report/Weekly/2026/15.%20Week%2016%20-%2013Apr%20-%2019Apr/weekly%20W16%20-%20share.xlsx" TargetMode="External"/><Relationship Id="rId1" Type="http://schemas.openxmlformats.org/officeDocument/2006/relationships/externalLinkPath" Target="https://cakedigital-my.sharepoint.com/personal/tien_nguyen9_cake_vn/Documents/Tien%20-%20Back%20up/1.%20Weekly%20report/Weekly/2026/15.%20Week%2016%20-%2013Apr%20-%2019Apr/weekly%20W16%20-%20sh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 - to Apr"/>
      <sheetName val="RF_Paylater"/>
      <sheetName val="Raw_RF B0-B1"/>
      <sheetName val="Raw_B0"/>
      <sheetName val="Actual vs 11k6 target"/>
      <sheetName val="Chart - to Jul"/>
      <sheetName val="Actual vs 17k9 target"/>
      <sheetName val="Tracking KPI_cal"/>
      <sheetName val="Aspiration Target - 17k9"/>
      <sheetName val="Actual vs 17k9 target (2)"/>
      <sheetName val="Cashloan"/>
      <sheetName val="Payday"/>
      <sheetName val="Paylater"/>
      <sheetName val="OD"/>
      <sheetName val="Source App"/>
      <sheetName val="Source disb"/>
      <sheetName val="Source PL"/>
      <sheetName val="Source balance PL"/>
      <sheetName val="Paylater_backup"/>
      <sheetName val="Budget_detail"/>
      <sheetName val="Road to 40bil per day"/>
      <sheetName val="Sheet1"/>
      <sheetName val="Tracking KPI"/>
      <sheetName val="Performance Trackin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AP9">
            <v>11616.264263333333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ad to 3k v1"/>
      <sheetName val="Road to 3k"/>
      <sheetName val="Initiative tracking"/>
      <sheetName val="waterfall 3k"/>
      <sheetName val="Tracking daily Target"/>
      <sheetName val="source"/>
    </sheetNames>
    <sheetDataSet>
      <sheetData sheetId="0"/>
      <sheetData sheetId="1">
        <row r="6">
          <cell r="C6" t="str">
            <v>[VDS] - Cashloan</v>
          </cell>
        </row>
        <row r="9">
          <cell r="C9" t="str">
            <v>[VDS] - Payday</v>
          </cell>
        </row>
        <row r="11">
          <cell r="C11" t="str">
            <v>[Cake] - Cashloan</v>
          </cell>
        </row>
        <row r="14">
          <cell r="C14" t="str">
            <v>[Cake] - Payday</v>
          </cell>
        </row>
        <row r="16">
          <cell r="C16" t="str">
            <v>[ZALOPAY] - Cashloan</v>
          </cell>
        </row>
        <row r="19">
          <cell r="C19" t="str">
            <v>[MWG] - Cashloan</v>
          </cell>
        </row>
        <row r="21">
          <cell r="C21" t="str">
            <v>[MWG] - Paylater (QTV)</v>
          </cell>
        </row>
        <row r="23">
          <cell r="C23" t="str">
            <v>[VNPAY]</v>
          </cell>
        </row>
        <row r="25">
          <cell r="C25" t="str">
            <v>Others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D"/>
      <sheetName val="PD"/>
      <sheetName val="Brainstorm"/>
      <sheetName val="Action Plan 2024"/>
      <sheetName val="x1"/>
      <sheetName val="Lookback 2025"/>
      <sheetName val="Action Plan Q2.2026"/>
      <sheetName val="Action Plan Q1.2026"/>
      <sheetName val="Action Plan Jan.2026"/>
      <sheetName val="Action Plan Feb.2026"/>
      <sheetName val="Tracking Q1.26"/>
      <sheetName val="Projection 2026"/>
      <sheetName val="Tracking Q1.26-"/>
      <sheetName val="Action Plan Mar-Apr 2026"/>
      <sheetName val="1. Weekly Forecast - CL-PD-OD"/>
      <sheetName val="2. Weekly Forecast - Paylater"/>
      <sheetName val="Road to 2k"/>
      <sheetName val="Slide 1"/>
      <sheetName val="Slide 2"/>
      <sheetName val="source paylater"/>
      <sheetName val="source"/>
      <sheetName val="Road to 1kbil"/>
      <sheetName val="Sale Projection"/>
      <sheetName val="Road to 2kbil"/>
      <sheetName val="Mapping"/>
      <sheetName val="Projection 2025 (2)"/>
      <sheetName val="Forecast (2)"/>
      <sheetName val="Projection_New Version (2)"/>
      <sheetName val="Landing page"/>
      <sheetName val="weekly W16 - sha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2">
          <cell r="M42">
            <v>55517.696253000002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 t="str">
            <v>Field</v>
          </cell>
          <cell r="C3" t="str">
            <v>Mapping</v>
          </cell>
          <cell r="D3" t="str">
            <v>Product group</v>
          </cell>
        </row>
        <row r="4">
          <cell r="B4" t="str">
            <v>[BE] - Cashloan</v>
          </cell>
          <cell r="C4" t="str">
            <v>[BE] - Cashloan</v>
          </cell>
          <cell r="D4" t="str">
            <v>cashloan</v>
          </cell>
        </row>
        <row r="5">
          <cell r="B5" t="str">
            <v>[BE] - Paylater</v>
          </cell>
          <cell r="C5" t="str">
            <v>[BE] - Paylater</v>
          </cell>
          <cell r="D5" t="str">
            <v>paylater</v>
          </cell>
        </row>
        <row r="6">
          <cell r="B6" t="str">
            <v>[Cake] - Cashloan</v>
          </cell>
          <cell r="C6" t="str">
            <v>[Cake] - Cashloan</v>
          </cell>
          <cell r="D6" t="str">
            <v>cashloan</v>
          </cell>
        </row>
        <row r="7">
          <cell r="B7" t="str">
            <v>[Cake] - Overdraft</v>
          </cell>
          <cell r="C7" t="str">
            <v>[Cake] - Overdraft</v>
          </cell>
          <cell r="D7" t="str">
            <v>overdraft</v>
          </cell>
        </row>
        <row r="8">
          <cell r="B8" t="str">
            <v>[Cake] - Payday</v>
          </cell>
          <cell r="C8" t="str">
            <v>[Cake] - Payday</v>
          </cell>
          <cell r="D8" t="str">
            <v>payday</v>
          </cell>
        </row>
        <row r="9">
          <cell r="B9" t="str">
            <v>[FPT] - Paylater</v>
          </cell>
          <cell r="C9" t="str">
            <v>[FPT] - Paylater</v>
          </cell>
          <cell r="D9" t="str">
            <v>paylater</v>
          </cell>
        </row>
        <row r="10">
          <cell r="B10" t="str">
            <v>[MWG] - Cashloan</v>
          </cell>
          <cell r="C10" t="str">
            <v>[MWG] - Cashloan</v>
          </cell>
          <cell r="D10" t="str">
            <v>cashloan</v>
          </cell>
        </row>
        <row r="11">
          <cell r="B11" t="str">
            <v>[NGS] - Cashloan</v>
          </cell>
          <cell r="C11" t="str">
            <v>[NGS] - Cashloan</v>
          </cell>
          <cell r="D11" t="str">
            <v>cashloan</v>
          </cell>
        </row>
        <row r="12">
          <cell r="B12" t="str">
            <v>[VDS] - Cashloan</v>
          </cell>
          <cell r="C12" t="str">
            <v>[VDS] - Cashloan</v>
          </cell>
          <cell r="D12" t="str">
            <v>cashloan</v>
          </cell>
        </row>
        <row r="13">
          <cell r="B13" t="str">
            <v>[VDS] - Cashloan LP (VDS)</v>
          </cell>
          <cell r="C13" t="str">
            <v>[VDS] - Cashloan LP</v>
          </cell>
          <cell r="D13" t="str">
            <v>cashloan</v>
          </cell>
        </row>
        <row r="14">
          <cell r="B14" t="str">
            <v>[VDS] - Cashloan LP (VTPOST)</v>
          </cell>
          <cell r="C14" t="str">
            <v>[VDS] - Cashloan LP</v>
          </cell>
          <cell r="D14" t="str">
            <v>cashloan</v>
          </cell>
        </row>
        <row r="15">
          <cell r="B15" t="str">
            <v>[VDS] - Cashloan LP (VTT)</v>
          </cell>
          <cell r="C15" t="str">
            <v>[VDS] - Cashloan LP</v>
          </cell>
          <cell r="D15" t="str">
            <v>cashloan</v>
          </cell>
        </row>
        <row r="16">
          <cell r="B16" t="str">
            <v>[VDS] - Cashloan LP - (VTT)</v>
          </cell>
          <cell r="C16" t="str">
            <v>[VDS] - Cashloan LP</v>
          </cell>
          <cell r="D16" t="str">
            <v>cashloan</v>
          </cell>
        </row>
        <row r="17">
          <cell r="B17" t="str">
            <v>[VDS] - Cashloan LP - (VDS)</v>
          </cell>
          <cell r="C17" t="str">
            <v>[VDS] - Cashloan LP</v>
          </cell>
          <cell r="D17" t="str">
            <v>cashloan</v>
          </cell>
        </row>
        <row r="18">
          <cell r="B18" t="str">
            <v>[VDS] - Cashloan LP - (VTPOST)</v>
          </cell>
          <cell r="C18" t="str">
            <v>[VDS] - Cashloan LP</v>
          </cell>
          <cell r="D18" t="str">
            <v>cashloan</v>
          </cell>
        </row>
        <row r="19">
          <cell r="B19" t="str">
            <v>[VDS] - Payday</v>
          </cell>
          <cell r="C19" t="str">
            <v>[VDS] - Payday</v>
          </cell>
          <cell r="D19" t="str">
            <v>payday</v>
          </cell>
        </row>
        <row r="20">
          <cell r="B20" t="str">
            <v>[VDS] - Paylater</v>
          </cell>
          <cell r="C20" t="str">
            <v>[VDS] - Paylater</v>
          </cell>
          <cell r="D20" t="str">
            <v>paylater</v>
          </cell>
        </row>
        <row r="21">
          <cell r="B21" t="str">
            <v>[VDS] - Payroll Cashloan</v>
          </cell>
          <cell r="C21" t="str">
            <v>[VDS] - Payroll Cashloan</v>
          </cell>
          <cell r="D21" t="str">
            <v>cashloan</v>
          </cell>
        </row>
        <row r="22">
          <cell r="B22" t="str">
            <v>[VDS] - Payroll Payday</v>
          </cell>
          <cell r="C22" t="str">
            <v>[VDS] - Payroll Payday</v>
          </cell>
          <cell r="D22" t="str">
            <v>payday</v>
          </cell>
        </row>
        <row r="23">
          <cell r="B23" t="str">
            <v>[VDS] - Cashloan O2O</v>
          </cell>
          <cell r="C23" t="str">
            <v>[VDS] - Cashloan</v>
          </cell>
          <cell r="D23" t="str">
            <v>cashloan</v>
          </cell>
        </row>
        <row r="24">
          <cell r="B24" t="str">
            <v>[VNPAY] - Cashloan</v>
          </cell>
          <cell r="C24" t="str">
            <v>[VNPAY] - Cashloan</v>
          </cell>
          <cell r="D24" t="str">
            <v>cashloan</v>
          </cell>
        </row>
        <row r="25">
          <cell r="B25" t="str">
            <v>[VNPAY] - Paylater</v>
          </cell>
          <cell r="C25" t="str">
            <v>[VNPAY] - Paylater</v>
          </cell>
          <cell r="D25" t="str">
            <v>paylater</v>
          </cell>
        </row>
        <row r="26">
          <cell r="B26" t="str">
            <v>[VNP] - Paylater</v>
          </cell>
          <cell r="C26" t="str">
            <v>[VNPAY] - Paylater</v>
          </cell>
          <cell r="D26" t="str">
            <v>paylater</v>
          </cell>
        </row>
        <row r="27">
          <cell r="B27" t="str">
            <v>[VNPOST] - Cashloan</v>
          </cell>
          <cell r="C27" t="str">
            <v>[VNPOST] - Cashloan</v>
          </cell>
          <cell r="D27" t="str">
            <v>cashloan</v>
          </cell>
        </row>
        <row r="28">
          <cell r="B28" t="str">
            <v>[NORTHSTAR] - Cashloan</v>
          </cell>
          <cell r="C28" t="str">
            <v>[VNPOST] - Cashloan</v>
          </cell>
          <cell r="D28" t="str">
            <v>cashloan</v>
          </cell>
        </row>
        <row r="29">
          <cell r="B29" t="str">
            <v>[MWG] - Paylater</v>
          </cell>
          <cell r="C29" t="str">
            <v>[MWG] - Paylater</v>
          </cell>
          <cell r="D29" t="str">
            <v>paylater</v>
          </cell>
        </row>
        <row r="30">
          <cell r="B30" t="str">
            <v>[MWG] - Paylater (QTV)</v>
          </cell>
          <cell r="C30" t="str">
            <v>[MWG] - Paylater</v>
          </cell>
          <cell r="D30" t="str">
            <v>paylater</v>
          </cell>
        </row>
        <row r="31">
          <cell r="B31" t="str">
            <v>[ZALOPAY] - Cashloan</v>
          </cell>
          <cell r="C31" t="str">
            <v>[ZLP] - Cashloan</v>
          </cell>
          <cell r="D31" t="str">
            <v>cashloan</v>
          </cell>
        </row>
        <row r="32">
          <cell r="B32" t="str">
            <v>[VNPAY] - Payday</v>
          </cell>
          <cell r="C32" t="str">
            <v>[VNPAY] - Payday</v>
          </cell>
          <cell r="D32" t="str">
            <v>payday</v>
          </cell>
        </row>
        <row r="33">
          <cell r="B33" t="str">
            <v>All</v>
          </cell>
          <cell r="C33">
            <v>0</v>
          </cell>
          <cell r="D33">
            <v>0</v>
          </cell>
        </row>
        <row r="34">
          <cell r="B34" t="str">
            <v>[ZALOPAY] - Payday</v>
          </cell>
          <cell r="C34" t="str">
            <v>[ZLP] - Payday</v>
          </cell>
          <cell r="D34" t="str">
            <v>payday</v>
          </cell>
        </row>
        <row r="35">
          <cell r="B35" t="str">
            <v>[MISA] - Cashloan</v>
          </cell>
          <cell r="C35" t="str">
            <v>[MISA] - Cashloan</v>
          </cell>
          <cell r="D35" t="str">
            <v>cashloan</v>
          </cell>
        </row>
        <row r="36">
          <cell r="B36" t="str">
            <v>[NORTHSTAR] - Cashloan Pension</v>
          </cell>
          <cell r="C36" t="str">
            <v>[VNPOST] - Cashloan</v>
          </cell>
          <cell r="D36" t="str">
            <v>cashloan</v>
          </cell>
        </row>
        <row r="37">
          <cell r="B37" t="str">
            <v>[MWG] - Cashloan (QTV)</v>
          </cell>
          <cell r="C37" t="str">
            <v>[MWG] - Cashloan</v>
          </cell>
          <cell r="D37" t="str">
            <v>cashloan</v>
          </cell>
        </row>
      </sheetData>
      <sheetData sheetId="26"/>
      <sheetData sheetId="27"/>
      <sheetData sheetId="28"/>
      <sheetData sheetId="29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kedigital-my.sharepoint.com/personal/tien_nguyen9_cake_vn/Documents/Tien%20-%20Back%20up/1.%20Weekly%20report/Weekly/2026/15.%20Week%2016%20-%2013Apr%20-%2019Apr/weekly%20W16%20-%20shar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PhạmTuyếtTiên(" refreshedDate="46132.611271643516" createdVersion="8" refreshedVersion="8" minRefreshableVersion="3" recordCount="14778" xr:uid="{3B012C6A-CD71-4BC1-B922-3C301174D009}">
  <cacheSource type="worksheet">
    <worksheetSource name="source" r:id="rId2"/>
  </cacheSource>
  <cacheFields count="9">
    <cacheField name="report_date" numFmtId="15">
      <sharedItems containsSemiMixedTypes="0" containsNonDate="0" containsDate="1" containsString="0" minDate="2024-01-01T00:00:00" maxDate="2026-04-20T00:00:00"/>
    </cacheField>
    <cacheField name="Year" numFmtId="169">
      <sharedItems containsSemiMixedTypes="0" containsString="0" containsNumber="1" containsInteger="1" minValue="2024" maxValue="2026" count="3"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num" numFmtId="169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Day" numFmtId="169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lending_product_transform" numFmtId="0">
      <sharedItems containsBlank="1" count="36">
        <s v="[VDS] - Payday"/>
        <s v="[VDS] - Payroll Cashloan"/>
        <s v="[VDS] - Cashloan"/>
        <s v="[BE] - Cashloan"/>
        <s v="All"/>
        <s v="[Cake] - Overdraft"/>
        <s v="[VDS] - Payroll Payday"/>
        <s v="[VDS] - Paylater"/>
        <s v="[NGS] - Cashloan"/>
        <s v="[VDS] - Cashloan LP - (VDS)"/>
        <s v="[VDS] - Cashloan LP - (VTT)"/>
        <s v="[BE] - Paylater"/>
        <s v="[Cake] - Cashloan"/>
        <s v="[VNP] - Paylater"/>
        <s v="[MWG] - Cashloan"/>
        <s v="[FPT] - Paylater"/>
        <s v="[VDS] - Cashloan LP - (VTPOST)"/>
        <s v="[VDS] - Cashloan LP (VDS)"/>
        <s v="[VNPAY] - Cashloan"/>
        <s v="[VNPAY] - Paylater"/>
        <s v="[VDS] - Cashloan LP (VTPOST)"/>
        <s v="[VDS] - Cashloan LP (VTT)"/>
        <s v="[VNPOST] - Cashloan"/>
        <s v="[MWG] - Paylater"/>
        <s v="[ZALOPAY] - Cashloan"/>
        <s v="[VDS] - Cashloan O2O"/>
        <s v="[NORTHSTAR] - Cashloan"/>
        <s v="[Cake] - Payday"/>
        <s v="[MWG] - Paylater (QTV)"/>
        <s v="[VNPAY] - Payday"/>
        <s v="[ZALOPAY] - Payday"/>
        <s v="[MISA] - Cashloan"/>
        <s v="[NORTHSTAR] - Cashloan Pension"/>
        <s v="[MWG] - Cashloan (QTV)"/>
        <s v="[Cake] - Overdraft Odim" u="1"/>
        <m u="1"/>
      </sharedItems>
    </cacheField>
    <cacheField name="Product_use" numFmtId="0">
      <sharedItems containsMixedTypes="1" containsNumber="1" containsInteger="1" minValue="0" maxValue="0" count="23">
        <s v="[VDS] - Payday"/>
        <s v="[VDS] - Payroll Cashloan"/>
        <s v="[VDS] - Cashloan"/>
        <s v="[BE] - Cashloan"/>
        <n v="0"/>
        <s v="[Cake] - Overdraft"/>
        <s v="[VDS] - Payroll Payday"/>
        <s v="[VDS] - Paylater"/>
        <s v="[NGS] - Cashloan"/>
        <s v="[VDS] - Cashloan LP"/>
        <s v="[BE] - Paylater"/>
        <s v="[Cake] - Cashloan"/>
        <s v="[VNPAY] - Paylater"/>
        <s v="[MWG] - Cashloan"/>
        <s v="[FPT] - Paylater"/>
        <s v="[VNPAY] - Cashloan"/>
        <s v="[VNPOST] - Cashloan"/>
        <s v="[MWG] - Paylater"/>
        <s v="[ZLP] - Cashloan"/>
        <s v="[Cake] - Payday"/>
        <s v="[VNPAY] - Payday"/>
        <s v="[ZLP] - Payday"/>
        <s v="[MISA] - Cashloan"/>
      </sharedItems>
    </cacheField>
    <cacheField name="Product Group" numFmtId="0">
      <sharedItems containsMixedTypes="1" containsNumber="1" containsInteger="1" minValue="0" maxValue="0" count="5">
        <s v="payday"/>
        <s v="cashloan"/>
        <n v="0"/>
        <s v="overdraft"/>
        <s v="paylater"/>
      </sharedItems>
    </cacheField>
    <cacheField name="Total" numFmtId="0">
      <sharedItems containsString="0" containsBlank="1" containsNumber="1" containsInteger="1" minValue="0" maxValue="292056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PhạmTuyếtTiên(" refreshedDate="46135.707007291669" createdVersion="8" refreshedVersion="8" minRefreshableVersion="3" recordCount="3136" xr:uid="{5EC82C71-2159-45C4-8CFA-6B93350DA967}">
  <cacheSource type="worksheet">
    <worksheetSource ref="A1:I3137" sheet="Sheet2"/>
  </cacheSource>
  <cacheFields count="11">
    <cacheField name="report_date" numFmtId="15">
      <sharedItems containsSemiMixedTypes="0" containsNonDate="0" containsDate="1" containsString="0" minDate="2026-01-01T00:00:00" maxDate="2026-04-23T00:00:00" count="11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</sharedItems>
      <fieldGroup par="10"/>
    </cacheField>
    <cacheField name="Year" numFmtId="169">
      <sharedItems containsSemiMixedTypes="0" containsString="0" containsNumber="1" containsInteger="1" minValue="2026" maxValue="2026" count="1">
        <n v="2026"/>
      </sharedItems>
    </cacheField>
    <cacheField name="Month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Weeknum" numFmtId="169">
      <sharedItems containsSemiMixedTypes="0" containsString="0" containsNumber="1" containsInteger="1" minValue="1" maxValue="17"/>
    </cacheField>
    <cacheField name="Day" numFmtId="169">
      <sharedItems containsSemiMixedTypes="0" containsString="0" containsNumber="1" containsInteger="1" minValue="1" maxValue="31"/>
    </cacheField>
    <cacheField name="lending_product_transform" numFmtId="0">
      <sharedItems count="28">
        <s v="[BE] - Cashloan"/>
        <s v="[BE] - Paylater"/>
        <s v="[Cake] - Cashloan"/>
        <s v="[Cake] - Overdraft"/>
        <s v="[Cake] - Payday"/>
        <s v="[FPT] - Paylater"/>
        <s v="[MISA] - Cashloan"/>
        <s v="[MWG] - Cashloan"/>
        <s v="[MWG] - Cashloan (QTV)"/>
        <s v="[MWG] - Paylater"/>
        <s v="[MWG] - Paylater (QTV)"/>
        <s v="[NGS] - Cashloan"/>
        <s v="[NORTHSTAR] - Cashloan"/>
        <s v="[NORTHSTAR] - Cashloan Pension"/>
        <s v="[VDS] - Cashloan"/>
        <s v="[VDS] - Cashloan LP (VDS)"/>
        <s v="[VDS] - Cashloan LP (VTPOST)"/>
        <s v="[VDS] - Cashloan LP (VTT)"/>
        <s v="[VDS] - Cashloan O2O"/>
        <s v="[VDS] - Payday"/>
        <s v="[VDS] - Paylater"/>
        <s v="[VDS] - Payroll Cashloan"/>
        <s v="[VDS] - Payroll Payday"/>
        <s v="[VNPAY] - Cashloan"/>
        <s v="[VNPAY] - Payday"/>
        <s v="[VNPAY] - Paylater"/>
        <s v="[ZALOPAY] - Cashloan"/>
        <s v="[ZALOPAY] - Payday"/>
      </sharedItems>
    </cacheField>
    <cacheField name="Product_use" numFmtId="0">
      <sharedItems/>
    </cacheField>
    <cacheField name="Product Group" numFmtId="0">
      <sharedItems count="4">
        <s v="cashloan"/>
        <s v="paylater"/>
        <s v="overdraft"/>
        <s v="payday"/>
      </sharedItems>
    </cacheField>
    <cacheField name="Total" numFmtId="0">
      <sharedItems containsSemiMixedTypes="0" containsString="0" containsNumber="1" containsInteger="1" minValue="0" maxValue="23880010000"/>
    </cacheField>
    <cacheField name="Days (report_date)" numFmtId="0" databaseField="0">
      <fieldGroup base="0">
        <rangePr groupBy="days" startDate="2026-01-01T00:00:00" endDate="2026-04-23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3/2026"/>
        </groupItems>
      </fieldGroup>
    </cacheField>
    <cacheField name="Months (report_date)" numFmtId="0" databaseField="0">
      <fieldGroup base="0">
        <rangePr groupBy="months" startDate="2026-01-01T00:00:00" endDate="2026-04-23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PhạmTuyếtTiên(" refreshedDate="46153.60252083333" createdVersion="8" refreshedVersion="8" minRefreshableVersion="3" recordCount="15372" xr:uid="{D9793061-6E46-4886-99E6-74971C89D83E}">
  <cacheSource type="worksheet">
    <worksheetSource name="source"/>
  </cacheSource>
  <cacheFields count="9">
    <cacheField name="report_date" numFmtId="15">
      <sharedItems containsSemiMixedTypes="0" containsNonDate="0" containsDate="1" containsString="0" minDate="2024-01-01T00:00:00" maxDate="2026-05-11T00:00:00" count="85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</sharedItems>
    </cacheField>
    <cacheField name="Year" numFmtId="169">
      <sharedItems containsSemiMixedTypes="0" containsString="0" containsNumber="1" containsInteger="1" minValue="2024" maxValue="2026" count="3"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num" numFmtId="169">
      <sharedItems containsSemiMixedTypes="0" containsString="0" containsNumber="1" containsInteger="1" minValue="1" maxValue="53"/>
    </cacheField>
    <cacheField name="Day" numFmtId="169">
      <sharedItems containsSemiMixedTypes="0" containsString="0" containsNumber="1" containsInteger="1" minValue="1" maxValue="31"/>
    </cacheField>
    <cacheField name="lending_product_transform" numFmtId="0">
      <sharedItems count="35">
        <s v="[VDS] - Payday"/>
        <s v="[VDS] - Payroll Cashloan"/>
        <s v="[VDS] - Cashloan"/>
        <s v="[BE] - Cashloan"/>
        <s v="All"/>
        <s v="[Cake] - Overdraft"/>
        <s v="[VDS] - Payroll Payday"/>
        <s v="[VDS] - Paylater"/>
        <s v="[NGS] - Cashloan"/>
        <s v="[VDS] - Cashloan LP - (VDS)"/>
        <s v="[VDS] - Cashloan LP - (VTT)"/>
        <s v="[BE] - Paylater"/>
        <s v="[Cake] - Cashloan"/>
        <s v="[VNP] - Paylater"/>
        <s v="[MWG] - Cashloan"/>
        <s v="[FPT] - Paylater"/>
        <s v="[VDS] - Cashloan LP - (VTPOST)"/>
        <s v="[VDS] - Cashloan LP (VDS)"/>
        <s v="[VNPAY] - Cashloan"/>
        <s v="[VNPAY] - Paylater"/>
        <s v="[VDS] - Cashloan LP (VTPOST)"/>
        <s v="[VDS] - Cashloan LP (VTT)"/>
        <s v="[VNPOST] - Cashloan"/>
        <s v="[MWG] - Paylater"/>
        <s v="[ZALOPAY] - Cashloan"/>
        <s v="[VDS] - Cashloan O2O"/>
        <s v="[NORTHSTAR] - Cashloan"/>
        <s v="[Cake] - Payday"/>
        <s v="[MWG] - Paylater (QTV)"/>
        <s v="[VNPAY] - Payday"/>
        <s v="[ZALOPAY] - Payday"/>
        <s v="[MISA] - Cashloan"/>
        <s v="[NORTHSTAR] - Cashloan Pension"/>
        <s v="[MWG] - Cashloan (QTV)"/>
        <s v="[Cake] - Cashloan Affiliate"/>
      </sharedItems>
    </cacheField>
    <cacheField name="Product_use" numFmtId="0">
      <sharedItems containsMixedTypes="1" containsNumber="1" containsInteger="1" minValue="0" maxValue="0" count="23">
        <s v="[VDS] - Payday"/>
        <s v="[VDS] - Payroll Cashloan"/>
        <s v="[VDS] - Cashloan"/>
        <s v="[BE] - Cashloan"/>
        <n v="0"/>
        <s v="[Cake] - Overdraft"/>
        <s v="[VDS] - Payroll Payday"/>
        <s v="[VDS] - Paylater"/>
        <s v="[NGS] - Cashloan"/>
        <s v="[VDS] - Cashloan LP"/>
        <s v="[BE] - Paylater"/>
        <s v="[Cake] - Cashloan"/>
        <s v="[VNPAY] - Paylater"/>
        <s v="[MWG] - Cashloan"/>
        <s v="[FPT] - Paylater"/>
        <s v="[VNPAY] - Cashloan"/>
        <s v="[VNPOST] - Cashloan"/>
        <s v="[MWG] - Paylater"/>
        <s v="[ZLP] - Cashloan"/>
        <s v="[Cake] - Payday"/>
        <s v="[VNPAY] - Payday"/>
        <s v="[ZLP] - Payday"/>
        <s v="[MISA] - Cashloan"/>
      </sharedItems>
    </cacheField>
    <cacheField name="Product Group" numFmtId="0">
      <sharedItems containsMixedTypes="1" containsNumber="1" containsInteger="1" minValue="0" maxValue="0"/>
    </cacheField>
    <cacheField name="Total" numFmtId="0">
      <sharedItems containsString="0" containsBlank="1" containsNumber="1" containsInteger="1" minValue="0" maxValue="292056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PhạmTuyếtTiên(" refreshedDate="46153.611801157407" createdVersion="8" refreshedVersion="8" minRefreshableVersion="3" recordCount="840" xr:uid="{721E8408-7A92-4276-AD92-AA2D72864686}">
  <cacheSource type="worksheet">
    <worksheetSource ref="B2:D842" sheet="RawMTD"/>
  </cacheSource>
  <cacheFields count="3">
    <cacheField name="report_date" numFmtId="15">
      <sharedItems containsSemiMixedTypes="0" containsNonDate="0" containsDate="1" containsString="0" minDate="2026-04-01T00:00:00" maxDate="2026-05-01T00:00:00"/>
    </cacheField>
    <cacheField name="lending_product_transform" numFmtId="0">
      <sharedItems containsBlank="1" count="30">
        <s v="[BE] - Cashloan"/>
        <s v="[BE] - Paylater"/>
        <s v="[Cake] - Cashloan"/>
        <s v="[Cake] - Overdraft"/>
        <s v="[Cake] - Payday"/>
        <s v="[FPT] - Paylater"/>
        <s v="[MISA] - Cashloan"/>
        <s v="[MWG] - Cashloan"/>
        <s v="[MWG] - Cashloan (QTV)"/>
        <s v="[MWG] - Paylater"/>
        <s v="[MWG] - Paylater (QTV)"/>
        <s v="[NGS] - Cashloan"/>
        <s v="[NORTHSTAR] - Cashloan"/>
        <s v="[NORTHSTAR] - Cashloan Pension"/>
        <s v="[VDS] - Cashloan"/>
        <s v="[VDS] - Cashloan LP (VDS)"/>
        <s v="[VDS] - Cashloan LP (VTPOST)"/>
        <s v="[VDS] - Cashloan LP (VTT)"/>
        <s v="[VDS] - Cashloan O2O"/>
        <s v="[VDS] - Payday"/>
        <s v="[VDS] - Paylater"/>
        <s v="[VDS] - Payroll Cashloan"/>
        <s v="[VDS] - Payroll Payday"/>
        <s v="[VNPAY] - Cashloan"/>
        <s v="[VNPAY] - Payday"/>
        <s v="[VNPAY] - Paylater"/>
        <s v="[ZALOPAY] - Cashloan"/>
        <s v="[ZALOPAY] - Payday"/>
        <s v="[Cake] - Cashloan Affiliate" u="1"/>
        <m u="1"/>
      </sharedItems>
    </cacheField>
    <cacheField name="Total" numFmtId="169">
      <sharedItems containsSemiMixedTypes="0" containsString="0" containsNumber="1" containsInteger="1" minValue="0" maxValue="227313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78">
  <r>
    <d v="2024-01-01T00:00:00"/>
    <x v="0"/>
    <x v="0"/>
    <x v="0"/>
    <x v="0"/>
    <x v="0"/>
    <x v="0"/>
    <x v="0"/>
    <n v="885500000"/>
  </r>
  <r>
    <d v="2024-01-01T00:00:00"/>
    <x v="0"/>
    <x v="0"/>
    <x v="0"/>
    <x v="0"/>
    <x v="1"/>
    <x v="1"/>
    <x v="1"/>
    <n v="63000000"/>
  </r>
  <r>
    <d v="2024-01-01T00:00:00"/>
    <x v="0"/>
    <x v="0"/>
    <x v="0"/>
    <x v="0"/>
    <x v="2"/>
    <x v="2"/>
    <x v="1"/>
    <n v="1360850000"/>
  </r>
  <r>
    <d v="2024-01-01T00:00:00"/>
    <x v="0"/>
    <x v="0"/>
    <x v="0"/>
    <x v="0"/>
    <x v="3"/>
    <x v="3"/>
    <x v="1"/>
    <n v="178500000"/>
  </r>
  <r>
    <d v="2024-01-01T00:00:00"/>
    <x v="0"/>
    <x v="0"/>
    <x v="0"/>
    <x v="0"/>
    <x v="4"/>
    <x v="4"/>
    <x v="2"/>
    <n v="4603693408"/>
  </r>
  <r>
    <d v="2024-01-01T00:00:00"/>
    <x v="0"/>
    <x v="0"/>
    <x v="0"/>
    <x v="0"/>
    <x v="5"/>
    <x v="5"/>
    <x v="3"/>
    <n v="2100843408"/>
  </r>
  <r>
    <d v="2024-01-01T00:00:00"/>
    <x v="0"/>
    <x v="0"/>
    <x v="0"/>
    <x v="0"/>
    <x v="6"/>
    <x v="6"/>
    <x v="0"/>
    <n v="15000000"/>
  </r>
  <r>
    <d v="2024-01-02T00:00:00"/>
    <x v="0"/>
    <x v="0"/>
    <x v="0"/>
    <x v="1"/>
    <x v="3"/>
    <x v="3"/>
    <x v="1"/>
    <n v="555450000"/>
  </r>
  <r>
    <d v="2024-01-02T00:00:00"/>
    <x v="0"/>
    <x v="0"/>
    <x v="0"/>
    <x v="1"/>
    <x v="5"/>
    <x v="5"/>
    <x v="3"/>
    <n v="2821136978"/>
  </r>
  <r>
    <d v="2024-01-02T00:00:00"/>
    <x v="0"/>
    <x v="0"/>
    <x v="0"/>
    <x v="1"/>
    <x v="0"/>
    <x v="0"/>
    <x v="0"/>
    <n v="1403000000"/>
  </r>
  <r>
    <d v="2024-01-02T00:00:00"/>
    <x v="0"/>
    <x v="0"/>
    <x v="0"/>
    <x v="1"/>
    <x v="1"/>
    <x v="1"/>
    <x v="1"/>
    <n v="63000000"/>
  </r>
  <r>
    <d v="2024-01-02T00:00:00"/>
    <x v="0"/>
    <x v="0"/>
    <x v="0"/>
    <x v="1"/>
    <x v="2"/>
    <x v="2"/>
    <x v="1"/>
    <n v="3798050000"/>
  </r>
  <r>
    <d v="2024-01-02T00:00:00"/>
    <x v="0"/>
    <x v="0"/>
    <x v="0"/>
    <x v="1"/>
    <x v="4"/>
    <x v="4"/>
    <x v="2"/>
    <n v="8648636978"/>
  </r>
  <r>
    <d v="2024-01-02T00:00:00"/>
    <x v="0"/>
    <x v="0"/>
    <x v="0"/>
    <x v="1"/>
    <x v="6"/>
    <x v="6"/>
    <x v="0"/>
    <n v="8000000"/>
  </r>
  <r>
    <d v="2024-01-03T00:00:00"/>
    <x v="0"/>
    <x v="0"/>
    <x v="0"/>
    <x v="2"/>
    <x v="4"/>
    <x v="4"/>
    <x v="2"/>
    <n v="8212311764"/>
  </r>
  <r>
    <d v="2024-01-03T00:00:00"/>
    <x v="0"/>
    <x v="0"/>
    <x v="0"/>
    <x v="2"/>
    <x v="0"/>
    <x v="0"/>
    <x v="0"/>
    <n v="1471500000"/>
  </r>
  <r>
    <d v="2024-01-03T00:00:00"/>
    <x v="0"/>
    <x v="0"/>
    <x v="0"/>
    <x v="2"/>
    <x v="5"/>
    <x v="5"/>
    <x v="3"/>
    <n v="2702011764"/>
  </r>
  <r>
    <d v="2024-01-03T00:00:00"/>
    <x v="0"/>
    <x v="0"/>
    <x v="0"/>
    <x v="2"/>
    <x v="3"/>
    <x v="3"/>
    <x v="1"/>
    <n v="369600000"/>
  </r>
  <r>
    <d v="2024-01-03T00:00:00"/>
    <x v="0"/>
    <x v="0"/>
    <x v="0"/>
    <x v="2"/>
    <x v="1"/>
    <x v="1"/>
    <x v="1"/>
    <n v="51500000"/>
  </r>
  <r>
    <d v="2024-01-03T00:00:00"/>
    <x v="0"/>
    <x v="0"/>
    <x v="0"/>
    <x v="2"/>
    <x v="6"/>
    <x v="6"/>
    <x v="0"/>
    <n v="5000000"/>
  </r>
  <r>
    <d v="2024-01-03T00:00:00"/>
    <x v="0"/>
    <x v="0"/>
    <x v="0"/>
    <x v="2"/>
    <x v="2"/>
    <x v="2"/>
    <x v="1"/>
    <n v="3612700000"/>
  </r>
  <r>
    <d v="2024-01-04T00:00:00"/>
    <x v="0"/>
    <x v="0"/>
    <x v="0"/>
    <x v="3"/>
    <x v="4"/>
    <x v="4"/>
    <x v="2"/>
    <n v="8026608163"/>
  </r>
  <r>
    <d v="2024-01-04T00:00:00"/>
    <x v="0"/>
    <x v="0"/>
    <x v="0"/>
    <x v="3"/>
    <x v="1"/>
    <x v="1"/>
    <x v="1"/>
    <n v="0"/>
  </r>
  <r>
    <d v="2024-01-04T00:00:00"/>
    <x v="0"/>
    <x v="0"/>
    <x v="0"/>
    <x v="3"/>
    <x v="3"/>
    <x v="3"/>
    <x v="1"/>
    <n v="140750000"/>
  </r>
  <r>
    <d v="2024-01-04T00:00:00"/>
    <x v="0"/>
    <x v="0"/>
    <x v="0"/>
    <x v="3"/>
    <x v="5"/>
    <x v="5"/>
    <x v="3"/>
    <n v="2723808163"/>
  </r>
  <r>
    <d v="2024-01-04T00:00:00"/>
    <x v="0"/>
    <x v="0"/>
    <x v="0"/>
    <x v="3"/>
    <x v="6"/>
    <x v="6"/>
    <x v="0"/>
    <n v="0"/>
  </r>
  <r>
    <d v="2024-01-04T00:00:00"/>
    <x v="0"/>
    <x v="0"/>
    <x v="0"/>
    <x v="3"/>
    <x v="0"/>
    <x v="0"/>
    <x v="0"/>
    <n v="1522000000"/>
  </r>
  <r>
    <d v="2024-01-04T00:00:00"/>
    <x v="0"/>
    <x v="0"/>
    <x v="0"/>
    <x v="3"/>
    <x v="2"/>
    <x v="2"/>
    <x v="1"/>
    <n v="3640050000"/>
  </r>
  <r>
    <d v="2024-01-05T00:00:00"/>
    <x v="0"/>
    <x v="0"/>
    <x v="0"/>
    <x v="4"/>
    <x v="1"/>
    <x v="1"/>
    <x v="1"/>
    <n v="134450000"/>
  </r>
  <r>
    <d v="2024-01-05T00:00:00"/>
    <x v="0"/>
    <x v="0"/>
    <x v="0"/>
    <x v="4"/>
    <x v="3"/>
    <x v="3"/>
    <x v="1"/>
    <n v="162750000"/>
  </r>
  <r>
    <d v="2024-01-05T00:00:00"/>
    <x v="0"/>
    <x v="0"/>
    <x v="0"/>
    <x v="4"/>
    <x v="5"/>
    <x v="5"/>
    <x v="3"/>
    <n v="2399718960"/>
  </r>
  <r>
    <d v="2024-01-05T00:00:00"/>
    <x v="0"/>
    <x v="0"/>
    <x v="0"/>
    <x v="4"/>
    <x v="6"/>
    <x v="6"/>
    <x v="0"/>
    <n v="37000000"/>
  </r>
  <r>
    <d v="2024-01-05T00:00:00"/>
    <x v="0"/>
    <x v="0"/>
    <x v="0"/>
    <x v="4"/>
    <x v="0"/>
    <x v="0"/>
    <x v="0"/>
    <n v="634500000"/>
  </r>
  <r>
    <d v="2024-01-05T00:00:00"/>
    <x v="0"/>
    <x v="0"/>
    <x v="0"/>
    <x v="4"/>
    <x v="2"/>
    <x v="2"/>
    <x v="1"/>
    <n v="3216250000"/>
  </r>
  <r>
    <d v="2024-01-05T00:00:00"/>
    <x v="0"/>
    <x v="0"/>
    <x v="0"/>
    <x v="4"/>
    <x v="4"/>
    <x v="4"/>
    <x v="2"/>
    <n v="6584668960"/>
  </r>
  <r>
    <d v="2024-01-06T00:00:00"/>
    <x v="0"/>
    <x v="0"/>
    <x v="0"/>
    <x v="5"/>
    <x v="5"/>
    <x v="5"/>
    <x v="3"/>
    <n v="1875629049"/>
  </r>
  <r>
    <d v="2024-01-06T00:00:00"/>
    <x v="0"/>
    <x v="0"/>
    <x v="0"/>
    <x v="5"/>
    <x v="1"/>
    <x v="1"/>
    <x v="1"/>
    <n v="21000000"/>
  </r>
  <r>
    <d v="2024-01-06T00:00:00"/>
    <x v="0"/>
    <x v="0"/>
    <x v="0"/>
    <x v="5"/>
    <x v="6"/>
    <x v="6"/>
    <x v="0"/>
    <n v="12000000"/>
  </r>
  <r>
    <d v="2024-01-06T00:00:00"/>
    <x v="0"/>
    <x v="0"/>
    <x v="0"/>
    <x v="5"/>
    <x v="4"/>
    <x v="4"/>
    <x v="2"/>
    <n v="6253329049"/>
  </r>
  <r>
    <d v="2024-01-06T00:00:00"/>
    <x v="0"/>
    <x v="0"/>
    <x v="0"/>
    <x v="5"/>
    <x v="0"/>
    <x v="0"/>
    <x v="0"/>
    <n v="1726500000"/>
  </r>
  <r>
    <d v="2024-01-06T00:00:00"/>
    <x v="0"/>
    <x v="0"/>
    <x v="0"/>
    <x v="5"/>
    <x v="2"/>
    <x v="2"/>
    <x v="1"/>
    <n v="2544700000"/>
  </r>
  <r>
    <d v="2024-01-06T00:00:00"/>
    <x v="0"/>
    <x v="0"/>
    <x v="0"/>
    <x v="5"/>
    <x v="3"/>
    <x v="3"/>
    <x v="1"/>
    <n v="73500000"/>
  </r>
  <r>
    <d v="2024-01-07T00:00:00"/>
    <x v="0"/>
    <x v="0"/>
    <x v="0"/>
    <x v="6"/>
    <x v="3"/>
    <x v="3"/>
    <x v="1"/>
    <n v="168000000"/>
  </r>
  <r>
    <d v="2024-01-07T00:00:00"/>
    <x v="0"/>
    <x v="0"/>
    <x v="0"/>
    <x v="6"/>
    <x v="1"/>
    <x v="1"/>
    <x v="1"/>
    <n v="29400000"/>
  </r>
  <r>
    <d v="2024-01-07T00:00:00"/>
    <x v="0"/>
    <x v="0"/>
    <x v="0"/>
    <x v="6"/>
    <x v="2"/>
    <x v="2"/>
    <x v="1"/>
    <n v="2609450000"/>
  </r>
  <r>
    <d v="2024-01-07T00:00:00"/>
    <x v="0"/>
    <x v="0"/>
    <x v="0"/>
    <x v="6"/>
    <x v="4"/>
    <x v="4"/>
    <x v="2"/>
    <n v="5667284937"/>
  </r>
  <r>
    <d v="2024-01-07T00:00:00"/>
    <x v="0"/>
    <x v="0"/>
    <x v="0"/>
    <x v="6"/>
    <x v="0"/>
    <x v="0"/>
    <x v="0"/>
    <n v="1258500000"/>
  </r>
  <r>
    <d v="2024-01-07T00:00:00"/>
    <x v="0"/>
    <x v="0"/>
    <x v="0"/>
    <x v="6"/>
    <x v="5"/>
    <x v="5"/>
    <x v="3"/>
    <n v="1568934937"/>
  </r>
  <r>
    <d v="2024-01-07T00:00:00"/>
    <x v="0"/>
    <x v="0"/>
    <x v="0"/>
    <x v="6"/>
    <x v="6"/>
    <x v="6"/>
    <x v="0"/>
    <n v="33000000"/>
  </r>
  <r>
    <d v="2024-01-08T00:00:00"/>
    <x v="0"/>
    <x v="0"/>
    <x v="1"/>
    <x v="7"/>
    <x v="0"/>
    <x v="0"/>
    <x v="0"/>
    <n v="1285000000"/>
  </r>
  <r>
    <d v="2024-01-08T00:00:00"/>
    <x v="0"/>
    <x v="0"/>
    <x v="1"/>
    <x v="7"/>
    <x v="4"/>
    <x v="4"/>
    <x v="2"/>
    <n v="8024473205"/>
  </r>
  <r>
    <d v="2024-01-08T00:00:00"/>
    <x v="0"/>
    <x v="0"/>
    <x v="1"/>
    <x v="7"/>
    <x v="1"/>
    <x v="1"/>
    <x v="1"/>
    <n v="15750000"/>
  </r>
  <r>
    <d v="2024-01-08T00:00:00"/>
    <x v="0"/>
    <x v="0"/>
    <x v="1"/>
    <x v="7"/>
    <x v="2"/>
    <x v="2"/>
    <x v="1"/>
    <n v="4071250000"/>
  </r>
  <r>
    <d v="2024-01-08T00:00:00"/>
    <x v="0"/>
    <x v="0"/>
    <x v="1"/>
    <x v="7"/>
    <x v="6"/>
    <x v="6"/>
    <x v="0"/>
    <n v="36000000"/>
  </r>
  <r>
    <d v="2024-01-08T00:00:00"/>
    <x v="0"/>
    <x v="0"/>
    <x v="1"/>
    <x v="7"/>
    <x v="3"/>
    <x v="3"/>
    <x v="1"/>
    <n v="217350000"/>
  </r>
  <r>
    <d v="2024-01-08T00:00:00"/>
    <x v="0"/>
    <x v="0"/>
    <x v="1"/>
    <x v="7"/>
    <x v="5"/>
    <x v="5"/>
    <x v="3"/>
    <n v="2399123205"/>
  </r>
  <r>
    <d v="2024-01-09T00:00:00"/>
    <x v="0"/>
    <x v="0"/>
    <x v="1"/>
    <x v="8"/>
    <x v="4"/>
    <x v="4"/>
    <x v="2"/>
    <n v="7322937922"/>
  </r>
  <r>
    <d v="2024-01-09T00:00:00"/>
    <x v="0"/>
    <x v="0"/>
    <x v="1"/>
    <x v="8"/>
    <x v="6"/>
    <x v="6"/>
    <x v="0"/>
    <n v="4000000"/>
  </r>
  <r>
    <d v="2024-01-09T00:00:00"/>
    <x v="0"/>
    <x v="0"/>
    <x v="1"/>
    <x v="8"/>
    <x v="2"/>
    <x v="2"/>
    <x v="1"/>
    <n v="3581800000"/>
  </r>
  <r>
    <d v="2024-01-09T00:00:00"/>
    <x v="0"/>
    <x v="0"/>
    <x v="1"/>
    <x v="8"/>
    <x v="5"/>
    <x v="5"/>
    <x v="3"/>
    <n v="2129037922"/>
  </r>
  <r>
    <d v="2024-01-09T00:00:00"/>
    <x v="0"/>
    <x v="0"/>
    <x v="1"/>
    <x v="8"/>
    <x v="0"/>
    <x v="0"/>
    <x v="0"/>
    <n v="1260500000"/>
  </r>
  <r>
    <d v="2024-01-09T00:00:00"/>
    <x v="0"/>
    <x v="0"/>
    <x v="1"/>
    <x v="8"/>
    <x v="1"/>
    <x v="1"/>
    <x v="1"/>
    <n v="63050000"/>
  </r>
  <r>
    <d v="2024-01-09T00:00:00"/>
    <x v="0"/>
    <x v="0"/>
    <x v="1"/>
    <x v="8"/>
    <x v="3"/>
    <x v="3"/>
    <x v="1"/>
    <n v="284550000"/>
  </r>
  <r>
    <d v="2024-01-10T00:00:00"/>
    <x v="0"/>
    <x v="0"/>
    <x v="1"/>
    <x v="9"/>
    <x v="3"/>
    <x v="3"/>
    <x v="1"/>
    <n v="339150000"/>
  </r>
  <r>
    <d v="2024-01-10T00:00:00"/>
    <x v="0"/>
    <x v="0"/>
    <x v="1"/>
    <x v="9"/>
    <x v="0"/>
    <x v="0"/>
    <x v="0"/>
    <n v="1513500000"/>
  </r>
  <r>
    <d v="2024-01-10T00:00:00"/>
    <x v="0"/>
    <x v="0"/>
    <x v="1"/>
    <x v="9"/>
    <x v="1"/>
    <x v="1"/>
    <x v="1"/>
    <n v="0"/>
  </r>
  <r>
    <d v="2024-01-10T00:00:00"/>
    <x v="0"/>
    <x v="0"/>
    <x v="1"/>
    <x v="9"/>
    <x v="2"/>
    <x v="2"/>
    <x v="1"/>
    <n v="3518400000"/>
  </r>
  <r>
    <d v="2024-01-10T00:00:00"/>
    <x v="0"/>
    <x v="0"/>
    <x v="1"/>
    <x v="9"/>
    <x v="5"/>
    <x v="5"/>
    <x v="3"/>
    <n v="2300205804"/>
  </r>
  <r>
    <d v="2024-01-10T00:00:00"/>
    <x v="0"/>
    <x v="0"/>
    <x v="1"/>
    <x v="9"/>
    <x v="4"/>
    <x v="4"/>
    <x v="2"/>
    <n v="7703255804"/>
  </r>
  <r>
    <d v="2024-01-10T00:00:00"/>
    <x v="0"/>
    <x v="0"/>
    <x v="1"/>
    <x v="9"/>
    <x v="6"/>
    <x v="6"/>
    <x v="0"/>
    <n v="32000000"/>
  </r>
  <r>
    <d v="2024-01-11T00:00:00"/>
    <x v="0"/>
    <x v="0"/>
    <x v="1"/>
    <x v="10"/>
    <x v="4"/>
    <x v="4"/>
    <x v="2"/>
    <n v="6113037614"/>
  </r>
  <r>
    <d v="2024-01-11T00:00:00"/>
    <x v="0"/>
    <x v="0"/>
    <x v="1"/>
    <x v="10"/>
    <x v="2"/>
    <x v="2"/>
    <x v="1"/>
    <n v="2634900000"/>
  </r>
  <r>
    <d v="2024-01-11T00:00:00"/>
    <x v="0"/>
    <x v="0"/>
    <x v="1"/>
    <x v="10"/>
    <x v="5"/>
    <x v="5"/>
    <x v="3"/>
    <n v="1751887614"/>
  </r>
  <r>
    <d v="2024-01-11T00:00:00"/>
    <x v="0"/>
    <x v="0"/>
    <x v="1"/>
    <x v="10"/>
    <x v="0"/>
    <x v="0"/>
    <x v="0"/>
    <n v="1433000000"/>
  </r>
  <r>
    <d v="2024-01-11T00:00:00"/>
    <x v="0"/>
    <x v="0"/>
    <x v="1"/>
    <x v="10"/>
    <x v="3"/>
    <x v="3"/>
    <x v="1"/>
    <n v="257250000"/>
  </r>
  <r>
    <d v="2024-01-11T00:00:00"/>
    <x v="0"/>
    <x v="0"/>
    <x v="1"/>
    <x v="10"/>
    <x v="1"/>
    <x v="1"/>
    <x v="1"/>
    <n v="21000000"/>
  </r>
  <r>
    <d v="2024-01-11T00:00:00"/>
    <x v="0"/>
    <x v="0"/>
    <x v="1"/>
    <x v="10"/>
    <x v="6"/>
    <x v="6"/>
    <x v="0"/>
    <n v="15000000"/>
  </r>
  <r>
    <d v="2024-01-12T00:00:00"/>
    <x v="0"/>
    <x v="0"/>
    <x v="1"/>
    <x v="11"/>
    <x v="3"/>
    <x v="3"/>
    <x v="1"/>
    <n v="264600000"/>
  </r>
  <r>
    <d v="2024-01-12T00:00:00"/>
    <x v="0"/>
    <x v="0"/>
    <x v="1"/>
    <x v="11"/>
    <x v="4"/>
    <x v="4"/>
    <x v="2"/>
    <n v="7160082244"/>
  </r>
  <r>
    <d v="2024-01-12T00:00:00"/>
    <x v="0"/>
    <x v="0"/>
    <x v="1"/>
    <x v="11"/>
    <x v="6"/>
    <x v="6"/>
    <x v="0"/>
    <n v="38000000"/>
  </r>
  <r>
    <d v="2024-01-12T00:00:00"/>
    <x v="0"/>
    <x v="0"/>
    <x v="1"/>
    <x v="11"/>
    <x v="5"/>
    <x v="5"/>
    <x v="3"/>
    <n v="2059682244"/>
  </r>
  <r>
    <d v="2024-01-12T00:00:00"/>
    <x v="0"/>
    <x v="0"/>
    <x v="1"/>
    <x v="11"/>
    <x v="0"/>
    <x v="0"/>
    <x v="0"/>
    <n v="1726500000"/>
  </r>
  <r>
    <d v="2024-01-12T00:00:00"/>
    <x v="0"/>
    <x v="0"/>
    <x v="1"/>
    <x v="11"/>
    <x v="1"/>
    <x v="1"/>
    <x v="1"/>
    <n v="52500000"/>
  </r>
  <r>
    <d v="2024-01-12T00:00:00"/>
    <x v="0"/>
    <x v="0"/>
    <x v="1"/>
    <x v="11"/>
    <x v="2"/>
    <x v="2"/>
    <x v="1"/>
    <n v="3018800000"/>
  </r>
  <r>
    <d v="2024-01-13T00:00:00"/>
    <x v="0"/>
    <x v="0"/>
    <x v="1"/>
    <x v="12"/>
    <x v="5"/>
    <x v="5"/>
    <x v="3"/>
    <n v="1692046747"/>
  </r>
  <r>
    <d v="2024-01-13T00:00:00"/>
    <x v="0"/>
    <x v="0"/>
    <x v="1"/>
    <x v="12"/>
    <x v="0"/>
    <x v="0"/>
    <x v="0"/>
    <n v="1379500000"/>
  </r>
  <r>
    <d v="2024-01-13T00:00:00"/>
    <x v="0"/>
    <x v="0"/>
    <x v="1"/>
    <x v="12"/>
    <x v="6"/>
    <x v="6"/>
    <x v="0"/>
    <n v="29000000"/>
  </r>
  <r>
    <d v="2024-01-13T00:00:00"/>
    <x v="0"/>
    <x v="0"/>
    <x v="1"/>
    <x v="12"/>
    <x v="3"/>
    <x v="3"/>
    <x v="1"/>
    <n v="430650000"/>
  </r>
  <r>
    <d v="2024-01-13T00:00:00"/>
    <x v="0"/>
    <x v="0"/>
    <x v="1"/>
    <x v="12"/>
    <x v="1"/>
    <x v="1"/>
    <x v="1"/>
    <n v="21000000"/>
  </r>
  <r>
    <d v="2024-01-13T00:00:00"/>
    <x v="0"/>
    <x v="0"/>
    <x v="1"/>
    <x v="12"/>
    <x v="4"/>
    <x v="4"/>
    <x v="2"/>
    <n v="6169996747"/>
  </r>
  <r>
    <d v="2024-01-13T00:00:00"/>
    <x v="0"/>
    <x v="0"/>
    <x v="1"/>
    <x v="12"/>
    <x v="2"/>
    <x v="2"/>
    <x v="1"/>
    <n v="2617800000"/>
  </r>
  <r>
    <d v="2024-01-14T00:00:00"/>
    <x v="0"/>
    <x v="0"/>
    <x v="1"/>
    <x v="13"/>
    <x v="2"/>
    <x v="2"/>
    <x v="1"/>
    <n v="1710100000"/>
  </r>
  <r>
    <d v="2024-01-14T00:00:00"/>
    <x v="0"/>
    <x v="0"/>
    <x v="1"/>
    <x v="13"/>
    <x v="1"/>
    <x v="1"/>
    <x v="1"/>
    <n v="21000000"/>
  </r>
  <r>
    <d v="2024-01-14T00:00:00"/>
    <x v="0"/>
    <x v="0"/>
    <x v="1"/>
    <x v="13"/>
    <x v="3"/>
    <x v="3"/>
    <x v="1"/>
    <n v="275100000"/>
  </r>
  <r>
    <d v="2024-01-14T00:00:00"/>
    <x v="0"/>
    <x v="0"/>
    <x v="1"/>
    <x v="13"/>
    <x v="0"/>
    <x v="0"/>
    <x v="0"/>
    <n v="1399000000"/>
  </r>
  <r>
    <d v="2024-01-14T00:00:00"/>
    <x v="0"/>
    <x v="0"/>
    <x v="1"/>
    <x v="13"/>
    <x v="5"/>
    <x v="5"/>
    <x v="3"/>
    <n v="1611265412"/>
  </r>
  <r>
    <d v="2024-01-14T00:00:00"/>
    <x v="0"/>
    <x v="0"/>
    <x v="1"/>
    <x v="13"/>
    <x v="4"/>
    <x v="4"/>
    <x v="2"/>
    <n v="5024465412"/>
  </r>
  <r>
    <d v="2024-01-14T00:00:00"/>
    <x v="0"/>
    <x v="0"/>
    <x v="1"/>
    <x v="13"/>
    <x v="6"/>
    <x v="6"/>
    <x v="0"/>
    <n v="8000000"/>
  </r>
  <r>
    <d v="2024-01-15T00:00:00"/>
    <x v="0"/>
    <x v="0"/>
    <x v="2"/>
    <x v="14"/>
    <x v="4"/>
    <x v="4"/>
    <x v="2"/>
    <n v="7566861477"/>
  </r>
  <r>
    <d v="2024-01-15T00:00:00"/>
    <x v="0"/>
    <x v="0"/>
    <x v="2"/>
    <x v="14"/>
    <x v="6"/>
    <x v="6"/>
    <x v="0"/>
    <n v="5000000"/>
  </r>
  <r>
    <d v="2024-01-15T00:00:00"/>
    <x v="0"/>
    <x v="0"/>
    <x v="2"/>
    <x v="14"/>
    <x v="3"/>
    <x v="3"/>
    <x v="1"/>
    <n v="268800000"/>
  </r>
  <r>
    <d v="2024-01-15T00:00:00"/>
    <x v="0"/>
    <x v="0"/>
    <x v="2"/>
    <x v="14"/>
    <x v="2"/>
    <x v="2"/>
    <x v="1"/>
    <n v="2940100000"/>
  </r>
  <r>
    <d v="2024-01-15T00:00:00"/>
    <x v="0"/>
    <x v="0"/>
    <x v="2"/>
    <x v="14"/>
    <x v="1"/>
    <x v="1"/>
    <x v="1"/>
    <n v="26250000"/>
  </r>
  <r>
    <d v="2024-01-15T00:00:00"/>
    <x v="0"/>
    <x v="0"/>
    <x v="2"/>
    <x v="14"/>
    <x v="0"/>
    <x v="0"/>
    <x v="0"/>
    <n v="1800500000"/>
  </r>
  <r>
    <d v="2024-01-15T00:00:00"/>
    <x v="0"/>
    <x v="0"/>
    <x v="2"/>
    <x v="14"/>
    <x v="5"/>
    <x v="5"/>
    <x v="3"/>
    <n v="2526211477"/>
  </r>
  <r>
    <d v="2024-01-16T00:00:00"/>
    <x v="0"/>
    <x v="0"/>
    <x v="2"/>
    <x v="15"/>
    <x v="2"/>
    <x v="2"/>
    <x v="1"/>
    <n v="2519250000"/>
  </r>
  <r>
    <d v="2024-01-16T00:00:00"/>
    <x v="0"/>
    <x v="0"/>
    <x v="2"/>
    <x v="15"/>
    <x v="3"/>
    <x v="3"/>
    <x v="1"/>
    <n v="576450000"/>
  </r>
  <r>
    <d v="2024-01-16T00:00:00"/>
    <x v="0"/>
    <x v="0"/>
    <x v="2"/>
    <x v="15"/>
    <x v="5"/>
    <x v="5"/>
    <x v="3"/>
    <n v="1820445407"/>
  </r>
  <r>
    <d v="2024-01-16T00:00:00"/>
    <x v="0"/>
    <x v="0"/>
    <x v="2"/>
    <x v="15"/>
    <x v="0"/>
    <x v="0"/>
    <x v="0"/>
    <n v="1430000000"/>
  </r>
  <r>
    <d v="2024-01-16T00:00:00"/>
    <x v="0"/>
    <x v="0"/>
    <x v="2"/>
    <x v="15"/>
    <x v="4"/>
    <x v="4"/>
    <x v="2"/>
    <n v="6412345407"/>
  </r>
  <r>
    <d v="2024-01-16T00:00:00"/>
    <x v="0"/>
    <x v="0"/>
    <x v="2"/>
    <x v="15"/>
    <x v="6"/>
    <x v="6"/>
    <x v="0"/>
    <n v="0"/>
  </r>
  <r>
    <d v="2024-01-16T00:00:00"/>
    <x v="0"/>
    <x v="0"/>
    <x v="2"/>
    <x v="15"/>
    <x v="1"/>
    <x v="1"/>
    <x v="1"/>
    <n v="66200000"/>
  </r>
  <r>
    <d v="2024-01-17T00:00:00"/>
    <x v="0"/>
    <x v="0"/>
    <x v="2"/>
    <x v="16"/>
    <x v="5"/>
    <x v="5"/>
    <x v="3"/>
    <n v="2051206656"/>
  </r>
  <r>
    <d v="2024-01-17T00:00:00"/>
    <x v="0"/>
    <x v="0"/>
    <x v="2"/>
    <x v="16"/>
    <x v="3"/>
    <x v="3"/>
    <x v="1"/>
    <n v="475750000"/>
  </r>
  <r>
    <d v="2024-01-17T00:00:00"/>
    <x v="0"/>
    <x v="0"/>
    <x v="2"/>
    <x v="16"/>
    <x v="6"/>
    <x v="6"/>
    <x v="0"/>
    <n v="8000000"/>
  </r>
  <r>
    <d v="2024-01-17T00:00:00"/>
    <x v="0"/>
    <x v="0"/>
    <x v="2"/>
    <x v="16"/>
    <x v="0"/>
    <x v="0"/>
    <x v="0"/>
    <n v="1516000000"/>
  </r>
  <r>
    <d v="2024-01-17T00:00:00"/>
    <x v="0"/>
    <x v="0"/>
    <x v="2"/>
    <x v="16"/>
    <x v="1"/>
    <x v="1"/>
    <x v="1"/>
    <n v="42000000"/>
  </r>
  <r>
    <d v="2024-01-17T00:00:00"/>
    <x v="0"/>
    <x v="0"/>
    <x v="2"/>
    <x v="16"/>
    <x v="4"/>
    <x v="4"/>
    <x v="2"/>
    <n v="6570656656"/>
  </r>
  <r>
    <d v="2024-01-17T00:00:00"/>
    <x v="0"/>
    <x v="0"/>
    <x v="2"/>
    <x v="16"/>
    <x v="2"/>
    <x v="2"/>
    <x v="1"/>
    <n v="2477700000"/>
  </r>
  <r>
    <d v="2024-01-18T00:00:00"/>
    <x v="0"/>
    <x v="0"/>
    <x v="2"/>
    <x v="17"/>
    <x v="3"/>
    <x v="3"/>
    <x v="1"/>
    <n v="380700000"/>
  </r>
  <r>
    <d v="2024-01-18T00:00:00"/>
    <x v="0"/>
    <x v="0"/>
    <x v="2"/>
    <x v="17"/>
    <x v="5"/>
    <x v="5"/>
    <x v="3"/>
    <n v="1597780747"/>
  </r>
  <r>
    <d v="2024-01-18T00:00:00"/>
    <x v="0"/>
    <x v="0"/>
    <x v="2"/>
    <x v="17"/>
    <x v="2"/>
    <x v="2"/>
    <x v="1"/>
    <n v="2851550000"/>
  </r>
  <r>
    <d v="2024-01-18T00:00:00"/>
    <x v="0"/>
    <x v="0"/>
    <x v="2"/>
    <x v="17"/>
    <x v="6"/>
    <x v="6"/>
    <x v="0"/>
    <n v="22000000"/>
  </r>
  <r>
    <d v="2024-01-18T00:00:00"/>
    <x v="0"/>
    <x v="0"/>
    <x v="2"/>
    <x v="17"/>
    <x v="1"/>
    <x v="1"/>
    <x v="1"/>
    <n v="94500000"/>
  </r>
  <r>
    <d v="2024-01-18T00:00:00"/>
    <x v="0"/>
    <x v="0"/>
    <x v="2"/>
    <x v="17"/>
    <x v="0"/>
    <x v="0"/>
    <x v="0"/>
    <n v="1574000000"/>
  </r>
  <r>
    <d v="2024-01-18T00:00:00"/>
    <x v="0"/>
    <x v="0"/>
    <x v="2"/>
    <x v="17"/>
    <x v="4"/>
    <x v="4"/>
    <x v="2"/>
    <n v="6520530747"/>
  </r>
  <r>
    <d v="2024-01-19T00:00:00"/>
    <x v="0"/>
    <x v="0"/>
    <x v="2"/>
    <x v="18"/>
    <x v="1"/>
    <x v="1"/>
    <x v="1"/>
    <n v="0"/>
  </r>
  <r>
    <d v="2024-01-19T00:00:00"/>
    <x v="0"/>
    <x v="0"/>
    <x v="2"/>
    <x v="18"/>
    <x v="4"/>
    <x v="4"/>
    <x v="2"/>
    <n v="6898819560"/>
  </r>
  <r>
    <d v="2024-01-19T00:00:00"/>
    <x v="0"/>
    <x v="0"/>
    <x v="2"/>
    <x v="18"/>
    <x v="6"/>
    <x v="6"/>
    <x v="0"/>
    <n v="0"/>
  </r>
  <r>
    <d v="2024-01-19T00:00:00"/>
    <x v="0"/>
    <x v="0"/>
    <x v="2"/>
    <x v="18"/>
    <x v="3"/>
    <x v="3"/>
    <x v="1"/>
    <n v="446250000"/>
  </r>
  <r>
    <d v="2024-01-19T00:00:00"/>
    <x v="0"/>
    <x v="0"/>
    <x v="2"/>
    <x v="18"/>
    <x v="0"/>
    <x v="0"/>
    <x v="0"/>
    <n v="1724500000"/>
  </r>
  <r>
    <d v="2024-01-19T00:00:00"/>
    <x v="0"/>
    <x v="0"/>
    <x v="2"/>
    <x v="18"/>
    <x v="2"/>
    <x v="2"/>
    <x v="1"/>
    <n v="2787000000"/>
  </r>
  <r>
    <d v="2024-01-19T00:00:00"/>
    <x v="0"/>
    <x v="0"/>
    <x v="2"/>
    <x v="18"/>
    <x v="5"/>
    <x v="5"/>
    <x v="3"/>
    <n v="1941069560"/>
  </r>
  <r>
    <d v="2024-01-20T00:00:00"/>
    <x v="0"/>
    <x v="0"/>
    <x v="2"/>
    <x v="19"/>
    <x v="1"/>
    <x v="1"/>
    <x v="1"/>
    <n v="0"/>
  </r>
  <r>
    <d v="2024-01-20T00:00:00"/>
    <x v="0"/>
    <x v="0"/>
    <x v="2"/>
    <x v="19"/>
    <x v="6"/>
    <x v="6"/>
    <x v="0"/>
    <n v="10000000"/>
  </r>
  <r>
    <d v="2024-01-20T00:00:00"/>
    <x v="0"/>
    <x v="0"/>
    <x v="2"/>
    <x v="19"/>
    <x v="3"/>
    <x v="3"/>
    <x v="1"/>
    <n v="289800000"/>
  </r>
  <r>
    <d v="2024-01-20T00:00:00"/>
    <x v="0"/>
    <x v="0"/>
    <x v="2"/>
    <x v="19"/>
    <x v="2"/>
    <x v="2"/>
    <x v="1"/>
    <n v="1925950000"/>
  </r>
  <r>
    <d v="2024-01-20T00:00:00"/>
    <x v="0"/>
    <x v="0"/>
    <x v="2"/>
    <x v="19"/>
    <x v="5"/>
    <x v="5"/>
    <x v="3"/>
    <n v="1581446021"/>
  </r>
  <r>
    <d v="2024-01-20T00:00:00"/>
    <x v="0"/>
    <x v="0"/>
    <x v="2"/>
    <x v="19"/>
    <x v="4"/>
    <x v="4"/>
    <x v="2"/>
    <n v="5289696021"/>
  </r>
  <r>
    <d v="2024-01-20T00:00:00"/>
    <x v="0"/>
    <x v="0"/>
    <x v="2"/>
    <x v="19"/>
    <x v="0"/>
    <x v="0"/>
    <x v="0"/>
    <n v="1482500000"/>
  </r>
  <r>
    <d v="2024-01-21T00:00:00"/>
    <x v="0"/>
    <x v="0"/>
    <x v="2"/>
    <x v="20"/>
    <x v="3"/>
    <x v="3"/>
    <x v="1"/>
    <n v="316050000"/>
  </r>
  <r>
    <d v="2024-01-21T00:00:00"/>
    <x v="0"/>
    <x v="0"/>
    <x v="2"/>
    <x v="20"/>
    <x v="6"/>
    <x v="6"/>
    <x v="0"/>
    <n v="15000000"/>
  </r>
  <r>
    <d v="2024-01-21T00:00:00"/>
    <x v="0"/>
    <x v="0"/>
    <x v="2"/>
    <x v="20"/>
    <x v="2"/>
    <x v="2"/>
    <x v="1"/>
    <n v="1615700000"/>
  </r>
  <r>
    <d v="2024-01-21T00:00:00"/>
    <x v="0"/>
    <x v="0"/>
    <x v="2"/>
    <x v="20"/>
    <x v="4"/>
    <x v="4"/>
    <x v="2"/>
    <n v="5137674543"/>
  </r>
  <r>
    <d v="2024-01-21T00:00:00"/>
    <x v="0"/>
    <x v="0"/>
    <x v="2"/>
    <x v="20"/>
    <x v="1"/>
    <x v="1"/>
    <x v="1"/>
    <n v="58800000"/>
  </r>
  <r>
    <d v="2024-01-21T00:00:00"/>
    <x v="0"/>
    <x v="0"/>
    <x v="2"/>
    <x v="20"/>
    <x v="0"/>
    <x v="0"/>
    <x v="0"/>
    <n v="1439000000"/>
  </r>
  <r>
    <d v="2024-01-21T00:00:00"/>
    <x v="0"/>
    <x v="0"/>
    <x v="2"/>
    <x v="20"/>
    <x v="5"/>
    <x v="5"/>
    <x v="3"/>
    <n v="1693124543"/>
  </r>
  <r>
    <d v="2024-01-22T00:00:00"/>
    <x v="0"/>
    <x v="0"/>
    <x v="3"/>
    <x v="21"/>
    <x v="4"/>
    <x v="4"/>
    <x v="2"/>
    <n v="6554511705"/>
  </r>
  <r>
    <d v="2024-01-22T00:00:00"/>
    <x v="0"/>
    <x v="0"/>
    <x v="3"/>
    <x v="21"/>
    <x v="3"/>
    <x v="3"/>
    <x v="1"/>
    <n v="153300000"/>
  </r>
  <r>
    <d v="2024-01-22T00:00:00"/>
    <x v="0"/>
    <x v="0"/>
    <x v="3"/>
    <x v="21"/>
    <x v="2"/>
    <x v="2"/>
    <x v="1"/>
    <n v="2636150000"/>
  </r>
  <r>
    <d v="2024-01-22T00:00:00"/>
    <x v="0"/>
    <x v="0"/>
    <x v="3"/>
    <x v="21"/>
    <x v="6"/>
    <x v="6"/>
    <x v="0"/>
    <n v="20000000"/>
  </r>
  <r>
    <d v="2024-01-22T00:00:00"/>
    <x v="0"/>
    <x v="0"/>
    <x v="3"/>
    <x v="21"/>
    <x v="0"/>
    <x v="0"/>
    <x v="0"/>
    <n v="1575000000"/>
  </r>
  <r>
    <d v="2024-01-22T00:00:00"/>
    <x v="0"/>
    <x v="0"/>
    <x v="3"/>
    <x v="21"/>
    <x v="1"/>
    <x v="1"/>
    <x v="1"/>
    <n v="52500000"/>
  </r>
  <r>
    <d v="2024-01-22T00:00:00"/>
    <x v="0"/>
    <x v="0"/>
    <x v="3"/>
    <x v="21"/>
    <x v="5"/>
    <x v="5"/>
    <x v="3"/>
    <n v="2117561705"/>
  </r>
  <r>
    <d v="2024-01-23T00:00:00"/>
    <x v="0"/>
    <x v="0"/>
    <x v="3"/>
    <x v="22"/>
    <x v="2"/>
    <x v="2"/>
    <x v="1"/>
    <n v="2264300000"/>
  </r>
  <r>
    <d v="2024-01-23T00:00:00"/>
    <x v="0"/>
    <x v="0"/>
    <x v="3"/>
    <x v="22"/>
    <x v="6"/>
    <x v="6"/>
    <x v="0"/>
    <n v="15000000"/>
  </r>
  <r>
    <d v="2024-01-23T00:00:00"/>
    <x v="0"/>
    <x v="0"/>
    <x v="3"/>
    <x v="22"/>
    <x v="4"/>
    <x v="4"/>
    <x v="2"/>
    <n v="6223735898"/>
  </r>
  <r>
    <d v="2024-01-23T00:00:00"/>
    <x v="0"/>
    <x v="0"/>
    <x v="3"/>
    <x v="22"/>
    <x v="1"/>
    <x v="1"/>
    <x v="1"/>
    <n v="83000000"/>
  </r>
  <r>
    <d v="2024-01-23T00:00:00"/>
    <x v="0"/>
    <x v="0"/>
    <x v="3"/>
    <x v="22"/>
    <x v="0"/>
    <x v="0"/>
    <x v="0"/>
    <n v="1487000000"/>
  </r>
  <r>
    <d v="2024-01-23T00:00:00"/>
    <x v="0"/>
    <x v="0"/>
    <x v="3"/>
    <x v="22"/>
    <x v="5"/>
    <x v="5"/>
    <x v="3"/>
    <n v="2034235898"/>
  </r>
  <r>
    <d v="2024-01-23T00:00:00"/>
    <x v="0"/>
    <x v="0"/>
    <x v="3"/>
    <x v="22"/>
    <x v="3"/>
    <x v="3"/>
    <x v="1"/>
    <n v="340200000"/>
  </r>
  <r>
    <d v="2024-01-24T00:00:00"/>
    <x v="0"/>
    <x v="0"/>
    <x v="3"/>
    <x v="23"/>
    <x v="2"/>
    <x v="2"/>
    <x v="1"/>
    <n v="2172600000"/>
  </r>
  <r>
    <d v="2024-01-24T00:00:00"/>
    <x v="0"/>
    <x v="0"/>
    <x v="3"/>
    <x v="23"/>
    <x v="0"/>
    <x v="0"/>
    <x v="0"/>
    <n v="1495000000"/>
  </r>
  <r>
    <d v="2024-01-24T00:00:00"/>
    <x v="0"/>
    <x v="0"/>
    <x v="3"/>
    <x v="23"/>
    <x v="5"/>
    <x v="5"/>
    <x v="3"/>
    <n v="2037683916"/>
  </r>
  <r>
    <d v="2024-01-24T00:00:00"/>
    <x v="0"/>
    <x v="0"/>
    <x v="3"/>
    <x v="23"/>
    <x v="3"/>
    <x v="3"/>
    <x v="1"/>
    <n v="210000000"/>
  </r>
  <r>
    <d v="2024-01-24T00:00:00"/>
    <x v="0"/>
    <x v="0"/>
    <x v="3"/>
    <x v="23"/>
    <x v="4"/>
    <x v="4"/>
    <x v="2"/>
    <n v="5942283916"/>
  </r>
  <r>
    <d v="2024-01-24T00:00:00"/>
    <x v="0"/>
    <x v="0"/>
    <x v="3"/>
    <x v="23"/>
    <x v="6"/>
    <x v="6"/>
    <x v="0"/>
    <n v="7000000"/>
  </r>
  <r>
    <d v="2024-01-24T00:00:00"/>
    <x v="0"/>
    <x v="0"/>
    <x v="3"/>
    <x v="23"/>
    <x v="1"/>
    <x v="1"/>
    <x v="1"/>
    <n v="20000000"/>
  </r>
  <r>
    <d v="2024-01-25T00:00:00"/>
    <x v="0"/>
    <x v="0"/>
    <x v="3"/>
    <x v="24"/>
    <x v="4"/>
    <x v="4"/>
    <x v="2"/>
    <n v="6330594134"/>
  </r>
  <r>
    <d v="2024-01-25T00:00:00"/>
    <x v="0"/>
    <x v="0"/>
    <x v="3"/>
    <x v="24"/>
    <x v="3"/>
    <x v="3"/>
    <x v="1"/>
    <n v="177500000"/>
  </r>
  <r>
    <d v="2024-01-25T00:00:00"/>
    <x v="0"/>
    <x v="0"/>
    <x v="3"/>
    <x v="24"/>
    <x v="1"/>
    <x v="1"/>
    <x v="1"/>
    <n v="10500000"/>
  </r>
  <r>
    <d v="2024-01-25T00:00:00"/>
    <x v="0"/>
    <x v="0"/>
    <x v="3"/>
    <x v="24"/>
    <x v="5"/>
    <x v="5"/>
    <x v="3"/>
    <n v="2235894134"/>
  </r>
  <r>
    <d v="2024-01-25T00:00:00"/>
    <x v="0"/>
    <x v="0"/>
    <x v="3"/>
    <x v="24"/>
    <x v="6"/>
    <x v="6"/>
    <x v="0"/>
    <n v="15000000"/>
  </r>
  <r>
    <d v="2024-01-25T00:00:00"/>
    <x v="0"/>
    <x v="0"/>
    <x v="3"/>
    <x v="24"/>
    <x v="0"/>
    <x v="0"/>
    <x v="0"/>
    <n v="1372000000"/>
  </r>
  <r>
    <d v="2024-01-25T00:00:00"/>
    <x v="0"/>
    <x v="0"/>
    <x v="3"/>
    <x v="24"/>
    <x v="2"/>
    <x v="2"/>
    <x v="1"/>
    <n v="2519700000"/>
  </r>
  <r>
    <d v="2024-01-26T00:00:00"/>
    <x v="0"/>
    <x v="0"/>
    <x v="3"/>
    <x v="25"/>
    <x v="5"/>
    <x v="5"/>
    <x v="3"/>
    <n v="1865227312"/>
  </r>
  <r>
    <d v="2024-01-26T00:00:00"/>
    <x v="0"/>
    <x v="0"/>
    <x v="3"/>
    <x v="25"/>
    <x v="6"/>
    <x v="6"/>
    <x v="0"/>
    <n v="2000000"/>
  </r>
  <r>
    <d v="2024-01-26T00:00:00"/>
    <x v="0"/>
    <x v="0"/>
    <x v="3"/>
    <x v="25"/>
    <x v="3"/>
    <x v="3"/>
    <x v="1"/>
    <n v="231000000"/>
  </r>
  <r>
    <d v="2024-01-26T00:00:00"/>
    <x v="0"/>
    <x v="0"/>
    <x v="3"/>
    <x v="25"/>
    <x v="0"/>
    <x v="0"/>
    <x v="0"/>
    <n v="1371500000"/>
  </r>
  <r>
    <d v="2024-01-26T00:00:00"/>
    <x v="0"/>
    <x v="0"/>
    <x v="3"/>
    <x v="25"/>
    <x v="1"/>
    <x v="1"/>
    <x v="1"/>
    <n v="44100000"/>
  </r>
  <r>
    <d v="2024-01-26T00:00:00"/>
    <x v="0"/>
    <x v="0"/>
    <x v="3"/>
    <x v="25"/>
    <x v="2"/>
    <x v="2"/>
    <x v="1"/>
    <n v="1924200000"/>
  </r>
  <r>
    <d v="2024-01-26T00:00:00"/>
    <x v="0"/>
    <x v="0"/>
    <x v="3"/>
    <x v="25"/>
    <x v="4"/>
    <x v="4"/>
    <x v="2"/>
    <n v="5438027312"/>
  </r>
  <r>
    <d v="2024-01-27T00:00:00"/>
    <x v="0"/>
    <x v="0"/>
    <x v="3"/>
    <x v="26"/>
    <x v="4"/>
    <x v="4"/>
    <x v="2"/>
    <n v="4868990983"/>
  </r>
  <r>
    <d v="2024-01-27T00:00:00"/>
    <x v="0"/>
    <x v="0"/>
    <x v="3"/>
    <x v="26"/>
    <x v="5"/>
    <x v="5"/>
    <x v="3"/>
    <n v="1483440983"/>
  </r>
  <r>
    <d v="2024-01-27T00:00:00"/>
    <x v="0"/>
    <x v="0"/>
    <x v="3"/>
    <x v="26"/>
    <x v="2"/>
    <x v="2"/>
    <x v="1"/>
    <n v="1944050000"/>
  </r>
  <r>
    <d v="2024-01-27T00:00:00"/>
    <x v="0"/>
    <x v="0"/>
    <x v="3"/>
    <x v="26"/>
    <x v="3"/>
    <x v="3"/>
    <x v="1"/>
    <n v="168000000"/>
  </r>
  <r>
    <d v="2024-01-27T00:00:00"/>
    <x v="0"/>
    <x v="0"/>
    <x v="3"/>
    <x v="26"/>
    <x v="0"/>
    <x v="0"/>
    <x v="0"/>
    <n v="1273500000"/>
  </r>
  <r>
    <d v="2024-01-27T00:00:00"/>
    <x v="0"/>
    <x v="0"/>
    <x v="3"/>
    <x v="26"/>
    <x v="6"/>
    <x v="6"/>
    <x v="0"/>
    <n v="0"/>
  </r>
  <r>
    <d v="2024-01-27T00:00:00"/>
    <x v="0"/>
    <x v="0"/>
    <x v="3"/>
    <x v="26"/>
    <x v="1"/>
    <x v="1"/>
    <x v="1"/>
    <n v="0"/>
  </r>
  <r>
    <d v="2024-01-28T00:00:00"/>
    <x v="0"/>
    <x v="0"/>
    <x v="3"/>
    <x v="27"/>
    <x v="2"/>
    <x v="2"/>
    <x v="1"/>
    <n v="2036200000"/>
  </r>
  <r>
    <d v="2024-01-28T00:00:00"/>
    <x v="0"/>
    <x v="0"/>
    <x v="3"/>
    <x v="27"/>
    <x v="1"/>
    <x v="1"/>
    <x v="1"/>
    <n v="0"/>
  </r>
  <r>
    <d v="2024-01-28T00:00:00"/>
    <x v="0"/>
    <x v="0"/>
    <x v="3"/>
    <x v="27"/>
    <x v="3"/>
    <x v="3"/>
    <x v="1"/>
    <n v="296100000"/>
  </r>
  <r>
    <d v="2024-01-28T00:00:00"/>
    <x v="0"/>
    <x v="0"/>
    <x v="3"/>
    <x v="27"/>
    <x v="5"/>
    <x v="5"/>
    <x v="3"/>
    <n v="1910275185"/>
  </r>
  <r>
    <d v="2024-01-28T00:00:00"/>
    <x v="0"/>
    <x v="0"/>
    <x v="3"/>
    <x v="27"/>
    <x v="0"/>
    <x v="0"/>
    <x v="0"/>
    <n v="1140000000"/>
  </r>
  <r>
    <d v="2024-01-28T00:00:00"/>
    <x v="0"/>
    <x v="0"/>
    <x v="3"/>
    <x v="27"/>
    <x v="4"/>
    <x v="4"/>
    <x v="2"/>
    <n v="5382575185"/>
  </r>
  <r>
    <d v="2024-01-28T00:00:00"/>
    <x v="0"/>
    <x v="0"/>
    <x v="3"/>
    <x v="27"/>
    <x v="6"/>
    <x v="6"/>
    <x v="0"/>
    <n v="0"/>
  </r>
  <r>
    <d v="2024-01-29T00:00:00"/>
    <x v="0"/>
    <x v="0"/>
    <x v="4"/>
    <x v="28"/>
    <x v="5"/>
    <x v="5"/>
    <x v="3"/>
    <n v="3158142809"/>
  </r>
  <r>
    <d v="2024-01-29T00:00:00"/>
    <x v="0"/>
    <x v="0"/>
    <x v="4"/>
    <x v="28"/>
    <x v="4"/>
    <x v="4"/>
    <x v="2"/>
    <n v="7988492809"/>
  </r>
  <r>
    <d v="2024-01-29T00:00:00"/>
    <x v="0"/>
    <x v="0"/>
    <x v="4"/>
    <x v="28"/>
    <x v="6"/>
    <x v="6"/>
    <x v="0"/>
    <n v="2000000"/>
  </r>
  <r>
    <d v="2024-01-29T00:00:00"/>
    <x v="0"/>
    <x v="0"/>
    <x v="4"/>
    <x v="28"/>
    <x v="1"/>
    <x v="1"/>
    <x v="1"/>
    <n v="21000000"/>
  </r>
  <r>
    <d v="2024-01-29T00:00:00"/>
    <x v="0"/>
    <x v="0"/>
    <x v="4"/>
    <x v="28"/>
    <x v="2"/>
    <x v="2"/>
    <x v="1"/>
    <n v="3015700000"/>
  </r>
  <r>
    <d v="2024-01-29T00:00:00"/>
    <x v="0"/>
    <x v="0"/>
    <x v="4"/>
    <x v="28"/>
    <x v="3"/>
    <x v="3"/>
    <x v="1"/>
    <n v="265650000"/>
  </r>
  <r>
    <d v="2024-01-29T00:00:00"/>
    <x v="0"/>
    <x v="0"/>
    <x v="4"/>
    <x v="28"/>
    <x v="0"/>
    <x v="0"/>
    <x v="0"/>
    <n v="1526000000"/>
  </r>
  <r>
    <d v="2024-01-30T00:00:00"/>
    <x v="0"/>
    <x v="0"/>
    <x v="4"/>
    <x v="29"/>
    <x v="0"/>
    <x v="0"/>
    <x v="0"/>
    <n v="1385000000"/>
  </r>
  <r>
    <d v="2024-01-30T00:00:00"/>
    <x v="0"/>
    <x v="0"/>
    <x v="4"/>
    <x v="29"/>
    <x v="2"/>
    <x v="2"/>
    <x v="1"/>
    <n v="2225350000"/>
  </r>
  <r>
    <d v="2024-01-30T00:00:00"/>
    <x v="0"/>
    <x v="0"/>
    <x v="4"/>
    <x v="29"/>
    <x v="6"/>
    <x v="6"/>
    <x v="0"/>
    <n v="33000000"/>
  </r>
  <r>
    <d v="2024-01-30T00:00:00"/>
    <x v="0"/>
    <x v="0"/>
    <x v="4"/>
    <x v="29"/>
    <x v="1"/>
    <x v="1"/>
    <x v="1"/>
    <n v="41000000"/>
  </r>
  <r>
    <d v="2024-01-30T00:00:00"/>
    <x v="0"/>
    <x v="0"/>
    <x v="4"/>
    <x v="29"/>
    <x v="3"/>
    <x v="3"/>
    <x v="1"/>
    <n v="264650000"/>
  </r>
  <r>
    <d v="2024-01-30T00:00:00"/>
    <x v="0"/>
    <x v="0"/>
    <x v="4"/>
    <x v="29"/>
    <x v="5"/>
    <x v="5"/>
    <x v="3"/>
    <n v="2761160790"/>
  </r>
  <r>
    <d v="2024-01-30T00:00:00"/>
    <x v="0"/>
    <x v="0"/>
    <x v="4"/>
    <x v="29"/>
    <x v="4"/>
    <x v="4"/>
    <x v="2"/>
    <n v="6710160790"/>
  </r>
  <r>
    <d v="2024-01-31T00:00:00"/>
    <x v="0"/>
    <x v="0"/>
    <x v="4"/>
    <x v="30"/>
    <x v="3"/>
    <x v="3"/>
    <x v="1"/>
    <n v="455750000"/>
  </r>
  <r>
    <d v="2024-01-31T00:00:00"/>
    <x v="0"/>
    <x v="0"/>
    <x v="4"/>
    <x v="30"/>
    <x v="2"/>
    <x v="2"/>
    <x v="1"/>
    <n v="2016600000"/>
  </r>
  <r>
    <d v="2024-01-31T00:00:00"/>
    <x v="0"/>
    <x v="0"/>
    <x v="4"/>
    <x v="30"/>
    <x v="1"/>
    <x v="1"/>
    <x v="1"/>
    <n v="31500000"/>
  </r>
  <r>
    <d v="2024-01-31T00:00:00"/>
    <x v="0"/>
    <x v="0"/>
    <x v="4"/>
    <x v="30"/>
    <x v="5"/>
    <x v="5"/>
    <x v="3"/>
    <n v="2490876024"/>
  </r>
  <r>
    <d v="2024-01-31T00:00:00"/>
    <x v="0"/>
    <x v="0"/>
    <x v="4"/>
    <x v="30"/>
    <x v="0"/>
    <x v="0"/>
    <x v="0"/>
    <n v="1471000000"/>
  </r>
  <r>
    <d v="2024-01-31T00:00:00"/>
    <x v="0"/>
    <x v="0"/>
    <x v="4"/>
    <x v="30"/>
    <x v="6"/>
    <x v="6"/>
    <x v="0"/>
    <n v="41000000"/>
  </r>
  <r>
    <d v="2024-01-31T00:00:00"/>
    <x v="0"/>
    <x v="0"/>
    <x v="4"/>
    <x v="30"/>
    <x v="4"/>
    <x v="4"/>
    <x v="2"/>
    <n v="6506726024"/>
  </r>
  <r>
    <d v="2024-02-01T00:00:00"/>
    <x v="0"/>
    <x v="1"/>
    <x v="4"/>
    <x v="0"/>
    <x v="5"/>
    <x v="5"/>
    <x v="3"/>
    <n v="3510551482"/>
  </r>
  <r>
    <d v="2024-02-01T00:00:00"/>
    <x v="0"/>
    <x v="1"/>
    <x v="4"/>
    <x v="0"/>
    <x v="1"/>
    <x v="1"/>
    <x v="1"/>
    <n v="106050000"/>
  </r>
  <r>
    <d v="2024-02-01T00:00:00"/>
    <x v="0"/>
    <x v="1"/>
    <x v="4"/>
    <x v="0"/>
    <x v="2"/>
    <x v="2"/>
    <x v="1"/>
    <n v="2979150000"/>
  </r>
  <r>
    <d v="2024-02-01T00:00:00"/>
    <x v="0"/>
    <x v="1"/>
    <x v="4"/>
    <x v="0"/>
    <x v="3"/>
    <x v="3"/>
    <x v="1"/>
    <n v="274350000"/>
  </r>
  <r>
    <d v="2024-02-01T00:00:00"/>
    <x v="0"/>
    <x v="1"/>
    <x v="4"/>
    <x v="0"/>
    <x v="0"/>
    <x v="0"/>
    <x v="0"/>
    <n v="1716500000"/>
  </r>
  <r>
    <d v="2024-02-01T00:00:00"/>
    <x v="0"/>
    <x v="1"/>
    <x v="4"/>
    <x v="0"/>
    <x v="6"/>
    <x v="6"/>
    <x v="0"/>
    <n v="12000000"/>
  </r>
  <r>
    <d v="2024-02-01T00:00:00"/>
    <x v="0"/>
    <x v="1"/>
    <x v="4"/>
    <x v="0"/>
    <x v="4"/>
    <x v="4"/>
    <x v="2"/>
    <n v="8598601482"/>
  </r>
  <r>
    <d v="2024-02-02T00:00:00"/>
    <x v="0"/>
    <x v="1"/>
    <x v="4"/>
    <x v="1"/>
    <x v="5"/>
    <x v="5"/>
    <x v="3"/>
    <n v="3215317784"/>
  </r>
  <r>
    <d v="2024-02-02T00:00:00"/>
    <x v="0"/>
    <x v="1"/>
    <x v="4"/>
    <x v="1"/>
    <x v="6"/>
    <x v="6"/>
    <x v="0"/>
    <n v="30000000"/>
  </r>
  <r>
    <d v="2024-02-02T00:00:00"/>
    <x v="0"/>
    <x v="1"/>
    <x v="4"/>
    <x v="1"/>
    <x v="4"/>
    <x v="4"/>
    <x v="2"/>
    <n v="7990617784"/>
  </r>
  <r>
    <d v="2024-02-02T00:00:00"/>
    <x v="0"/>
    <x v="1"/>
    <x v="4"/>
    <x v="1"/>
    <x v="3"/>
    <x v="3"/>
    <x v="1"/>
    <n v="156500000"/>
  </r>
  <r>
    <d v="2024-02-02T00:00:00"/>
    <x v="0"/>
    <x v="1"/>
    <x v="4"/>
    <x v="1"/>
    <x v="2"/>
    <x v="2"/>
    <x v="1"/>
    <n v="3059800000"/>
  </r>
  <r>
    <d v="2024-02-02T00:00:00"/>
    <x v="0"/>
    <x v="1"/>
    <x v="4"/>
    <x v="1"/>
    <x v="1"/>
    <x v="1"/>
    <x v="1"/>
    <n v="42000000"/>
  </r>
  <r>
    <d v="2024-02-02T00:00:00"/>
    <x v="0"/>
    <x v="1"/>
    <x v="4"/>
    <x v="1"/>
    <x v="0"/>
    <x v="0"/>
    <x v="0"/>
    <n v="1487000000"/>
  </r>
  <r>
    <d v="2024-02-03T00:00:00"/>
    <x v="0"/>
    <x v="1"/>
    <x v="4"/>
    <x v="2"/>
    <x v="3"/>
    <x v="3"/>
    <x v="1"/>
    <n v="147000000"/>
  </r>
  <r>
    <d v="2024-02-03T00:00:00"/>
    <x v="0"/>
    <x v="1"/>
    <x v="4"/>
    <x v="2"/>
    <x v="4"/>
    <x v="4"/>
    <x v="2"/>
    <n v="6644252477"/>
  </r>
  <r>
    <d v="2024-02-03T00:00:00"/>
    <x v="0"/>
    <x v="1"/>
    <x v="4"/>
    <x v="2"/>
    <x v="1"/>
    <x v="1"/>
    <x v="1"/>
    <n v="93450000"/>
  </r>
  <r>
    <d v="2024-02-03T00:00:00"/>
    <x v="0"/>
    <x v="1"/>
    <x v="4"/>
    <x v="2"/>
    <x v="5"/>
    <x v="5"/>
    <x v="3"/>
    <n v="2454002477"/>
  </r>
  <r>
    <d v="2024-02-03T00:00:00"/>
    <x v="0"/>
    <x v="1"/>
    <x v="4"/>
    <x v="2"/>
    <x v="6"/>
    <x v="6"/>
    <x v="0"/>
    <n v="18000000"/>
  </r>
  <r>
    <d v="2024-02-03T00:00:00"/>
    <x v="0"/>
    <x v="1"/>
    <x v="4"/>
    <x v="2"/>
    <x v="0"/>
    <x v="0"/>
    <x v="0"/>
    <n v="1562000000"/>
  </r>
  <r>
    <d v="2024-02-03T00:00:00"/>
    <x v="0"/>
    <x v="1"/>
    <x v="4"/>
    <x v="2"/>
    <x v="2"/>
    <x v="2"/>
    <x v="1"/>
    <n v="2369800000"/>
  </r>
  <r>
    <d v="2024-02-04T00:00:00"/>
    <x v="0"/>
    <x v="1"/>
    <x v="4"/>
    <x v="3"/>
    <x v="0"/>
    <x v="0"/>
    <x v="0"/>
    <n v="1414500000"/>
  </r>
  <r>
    <d v="2024-02-04T00:00:00"/>
    <x v="0"/>
    <x v="1"/>
    <x v="4"/>
    <x v="3"/>
    <x v="4"/>
    <x v="4"/>
    <x v="2"/>
    <n v="6362040259"/>
  </r>
  <r>
    <d v="2024-02-04T00:00:00"/>
    <x v="0"/>
    <x v="1"/>
    <x v="4"/>
    <x v="3"/>
    <x v="6"/>
    <x v="6"/>
    <x v="0"/>
    <n v="37000000"/>
  </r>
  <r>
    <d v="2024-02-04T00:00:00"/>
    <x v="0"/>
    <x v="1"/>
    <x v="4"/>
    <x v="3"/>
    <x v="1"/>
    <x v="1"/>
    <x v="1"/>
    <n v="83000000"/>
  </r>
  <r>
    <d v="2024-02-04T00:00:00"/>
    <x v="0"/>
    <x v="1"/>
    <x v="4"/>
    <x v="3"/>
    <x v="3"/>
    <x v="3"/>
    <x v="1"/>
    <n v="304500000"/>
  </r>
  <r>
    <d v="2024-02-04T00:00:00"/>
    <x v="0"/>
    <x v="1"/>
    <x v="4"/>
    <x v="3"/>
    <x v="5"/>
    <x v="5"/>
    <x v="3"/>
    <n v="2268490259"/>
  </r>
  <r>
    <d v="2024-02-04T00:00:00"/>
    <x v="0"/>
    <x v="1"/>
    <x v="4"/>
    <x v="3"/>
    <x v="2"/>
    <x v="2"/>
    <x v="1"/>
    <n v="2254550000"/>
  </r>
  <r>
    <d v="2024-02-05T00:00:00"/>
    <x v="0"/>
    <x v="1"/>
    <x v="5"/>
    <x v="4"/>
    <x v="0"/>
    <x v="0"/>
    <x v="0"/>
    <n v="1919500000"/>
  </r>
  <r>
    <d v="2024-02-05T00:00:00"/>
    <x v="0"/>
    <x v="1"/>
    <x v="5"/>
    <x v="4"/>
    <x v="5"/>
    <x v="5"/>
    <x v="3"/>
    <n v="2986917763"/>
  </r>
  <r>
    <d v="2024-02-05T00:00:00"/>
    <x v="0"/>
    <x v="1"/>
    <x v="5"/>
    <x v="4"/>
    <x v="4"/>
    <x v="4"/>
    <x v="2"/>
    <n v="8671267763"/>
  </r>
  <r>
    <d v="2024-02-05T00:00:00"/>
    <x v="0"/>
    <x v="1"/>
    <x v="5"/>
    <x v="4"/>
    <x v="2"/>
    <x v="2"/>
    <x v="1"/>
    <n v="3007500000"/>
  </r>
  <r>
    <d v="2024-02-05T00:00:00"/>
    <x v="0"/>
    <x v="1"/>
    <x v="5"/>
    <x v="4"/>
    <x v="1"/>
    <x v="1"/>
    <x v="1"/>
    <n v="231000000"/>
  </r>
  <r>
    <d v="2024-02-05T00:00:00"/>
    <x v="0"/>
    <x v="1"/>
    <x v="5"/>
    <x v="4"/>
    <x v="6"/>
    <x v="6"/>
    <x v="0"/>
    <n v="120000000"/>
  </r>
  <r>
    <d v="2024-02-05T00:00:00"/>
    <x v="0"/>
    <x v="1"/>
    <x v="5"/>
    <x v="4"/>
    <x v="3"/>
    <x v="3"/>
    <x v="1"/>
    <n v="406350000"/>
  </r>
  <r>
    <d v="2024-02-06T00:00:00"/>
    <x v="0"/>
    <x v="1"/>
    <x v="5"/>
    <x v="5"/>
    <x v="0"/>
    <x v="0"/>
    <x v="0"/>
    <n v="1932500000"/>
  </r>
  <r>
    <d v="2024-02-06T00:00:00"/>
    <x v="0"/>
    <x v="1"/>
    <x v="5"/>
    <x v="5"/>
    <x v="6"/>
    <x v="6"/>
    <x v="0"/>
    <n v="72000000"/>
  </r>
  <r>
    <d v="2024-02-06T00:00:00"/>
    <x v="0"/>
    <x v="1"/>
    <x v="5"/>
    <x v="5"/>
    <x v="2"/>
    <x v="2"/>
    <x v="1"/>
    <n v="3047950000"/>
  </r>
  <r>
    <d v="2024-02-06T00:00:00"/>
    <x v="0"/>
    <x v="1"/>
    <x v="5"/>
    <x v="5"/>
    <x v="1"/>
    <x v="1"/>
    <x v="1"/>
    <n v="147000000"/>
  </r>
  <r>
    <d v="2024-02-06T00:00:00"/>
    <x v="0"/>
    <x v="1"/>
    <x v="5"/>
    <x v="5"/>
    <x v="4"/>
    <x v="4"/>
    <x v="2"/>
    <n v="8458780971"/>
  </r>
  <r>
    <d v="2024-02-06T00:00:00"/>
    <x v="0"/>
    <x v="1"/>
    <x v="5"/>
    <x v="5"/>
    <x v="3"/>
    <x v="3"/>
    <x v="1"/>
    <n v="397950000"/>
  </r>
  <r>
    <d v="2024-02-06T00:00:00"/>
    <x v="0"/>
    <x v="1"/>
    <x v="5"/>
    <x v="5"/>
    <x v="5"/>
    <x v="5"/>
    <x v="3"/>
    <n v="2861380971"/>
  </r>
  <r>
    <d v="2024-02-07T00:00:00"/>
    <x v="0"/>
    <x v="1"/>
    <x v="5"/>
    <x v="6"/>
    <x v="5"/>
    <x v="5"/>
    <x v="3"/>
    <n v="2279321173"/>
  </r>
  <r>
    <d v="2024-02-07T00:00:00"/>
    <x v="0"/>
    <x v="1"/>
    <x v="5"/>
    <x v="6"/>
    <x v="0"/>
    <x v="0"/>
    <x v="0"/>
    <n v="1726500000"/>
  </r>
  <r>
    <d v="2024-02-07T00:00:00"/>
    <x v="0"/>
    <x v="1"/>
    <x v="5"/>
    <x v="6"/>
    <x v="6"/>
    <x v="6"/>
    <x v="0"/>
    <n v="0"/>
  </r>
  <r>
    <d v="2024-02-07T00:00:00"/>
    <x v="0"/>
    <x v="1"/>
    <x v="5"/>
    <x v="6"/>
    <x v="2"/>
    <x v="2"/>
    <x v="1"/>
    <n v="2536650000"/>
  </r>
  <r>
    <d v="2024-02-07T00:00:00"/>
    <x v="0"/>
    <x v="1"/>
    <x v="5"/>
    <x v="6"/>
    <x v="3"/>
    <x v="3"/>
    <x v="1"/>
    <n v="170100000"/>
  </r>
  <r>
    <d v="2024-02-07T00:00:00"/>
    <x v="0"/>
    <x v="1"/>
    <x v="5"/>
    <x v="6"/>
    <x v="4"/>
    <x v="4"/>
    <x v="2"/>
    <n v="6712571173"/>
  </r>
  <r>
    <d v="2024-02-07T00:00:00"/>
    <x v="0"/>
    <x v="1"/>
    <x v="5"/>
    <x v="6"/>
    <x v="1"/>
    <x v="1"/>
    <x v="1"/>
    <n v="0"/>
  </r>
  <r>
    <d v="2024-02-08T00:00:00"/>
    <x v="0"/>
    <x v="1"/>
    <x v="5"/>
    <x v="7"/>
    <x v="4"/>
    <x v="4"/>
    <x v="2"/>
    <n v="5084174338"/>
  </r>
  <r>
    <d v="2024-02-08T00:00:00"/>
    <x v="0"/>
    <x v="1"/>
    <x v="5"/>
    <x v="7"/>
    <x v="2"/>
    <x v="2"/>
    <x v="1"/>
    <n v="2010550000"/>
  </r>
  <r>
    <d v="2024-02-08T00:00:00"/>
    <x v="0"/>
    <x v="1"/>
    <x v="5"/>
    <x v="7"/>
    <x v="6"/>
    <x v="6"/>
    <x v="0"/>
    <n v="0"/>
  </r>
  <r>
    <d v="2024-02-08T00:00:00"/>
    <x v="0"/>
    <x v="1"/>
    <x v="5"/>
    <x v="7"/>
    <x v="0"/>
    <x v="0"/>
    <x v="0"/>
    <n v="1354000000"/>
  </r>
  <r>
    <d v="2024-02-08T00:00:00"/>
    <x v="0"/>
    <x v="1"/>
    <x v="5"/>
    <x v="7"/>
    <x v="3"/>
    <x v="3"/>
    <x v="1"/>
    <n v="95850000"/>
  </r>
  <r>
    <d v="2024-02-08T00:00:00"/>
    <x v="0"/>
    <x v="1"/>
    <x v="5"/>
    <x v="7"/>
    <x v="5"/>
    <x v="5"/>
    <x v="3"/>
    <n v="1623774338"/>
  </r>
  <r>
    <d v="2024-02-08T00:00:00"/>
    <x v="0"/>
    <x v="1"/>
    <x v="5"/>
    <x v="7"/>
    <x v="1"/>
    <x v="1"/>
    <x v="1"/>
    <n v="0"/>
  </r>
  <r>
    <d v="2024-02-09T00:00:00"/>
    <x v="0"/>
    <x v="1"/>
    <x v="5"/>
    <x v="8"/>
    <x v="2"/>
    <x v="2"/>
    <x v="1"/>
    <n v="1741800000"/>
  </r>
  <r>
    <d v="2024-02-09T00:00:00"/>
    <x v="0"/>
    <x v="1"/>
    <x v="5"/>
    <x v="8"/>
    <x v="4"/>
    <x v="4"/>
    <x v="2"/>
    <n v="4767104561"/>
  </r>
  <r>
    <d v="2024-02-09T00:00:00"/>
    <x v="0"/>
    <x v="1"/>
    <x v="5"/>
    <x v="8"/>
    <x v="0"/>
    <x v="0"/>
    <x v="0"/>
    <n v="1126500000"/>
  </r>
  <r>
    <d v="2024-02-09T00:00:00"/>
    <x v="0"/>
    <x v="1"/>
    <x v="5"/>
    <x v="8"/>
    <x v="6"/>
    <x v="6"/>
    <x v="0"/>
    <n v="0"/>
  </r>
  <r>
    <d v="2024-02-09T00:00:00"/>
    <x v="0"/>
    <x v="1"/>
    <x v="5"/>
    <x v="8"/>
    <x v="1"/>
    <x v="1"/>
    <x v="1"/>
    <n v="0"/>
  </r>
  <r>
    <d v="2024-02-09T00:00:00"/>
    <x v="0"/>
    <x v="1"/>
    <x v="5"/>
    <x v="8"/>
    <x v="3"/>
    <x v="3"/>
    <x v="1"/>
    <n v="63000000"/>
  </r>
  <r>
    <d v="2024-02-09T00:00:00"/>
    <x v="0"/>
    <x v="1"/>
    <x v="5"/>
    <x v="8"/>
    <x v="5"/>
    <x v="5"/>
    <x v="3"/>
    <n v="1835804561"/>
  </r>
  <r>
    <d v="2024-02-10T00:00:00"/>
    <x v="0"/>
    <x v="1"/>
    <x v="5"/>
    <x v="9"/>
    <x v="5"/>
    <x v="5"/>
    <x v="3"/>
    <n v="602866026"/>
  </r>
  <r>
    <d v="2024-02-10T00:00:00"/>
    <x v="0"/>
    <x v="1"/>
    <x v="5"/>
    <x v="9"/>
    <x v="3"/>
    <x v="3"/>
    <x v="1"/>
    <n v="12600000"/>
  </r>
  <r>
    <d v="2024-02-10T00:00:00"/>
    <x v="0"/>
    <x v="1"/>
    <x v="5"/>
    <x v="9"/>
    <x v="0"/>
    <x v="0"/>
    <x v="0"/>
    <n v="392500000"/>
  </r>
  <r>
    <d v="2024-02-10T00:00:00"/>
    <x v="0"/>
    <x v="1"/>
    <x v="5"/>
    <x v="9"/>
    <x v="1"/>
    <x v="1"/>
    <x v="1"/>
    <n v="0"/>
  </r>
  <r>
    <d v="2024-02-10T00:00:00"/>
    <x v="0"/>
    <x v="1"/>
    <x v="5"/>
    <x v="9"/>
    <x v="6"/>
    <x v="6"/>
    <x v="0"/>
    <n v="0"/>
  </r>
  <r>
    <d v="2024-02-10T00:00:00"/>
    <x v="0"/>
    <x v="1"/>
    <x v="5"/>
    <x v="9"/>
    <x v="2"/>
    <x v="2"/>
    <x v="1"/>
    <n v="384050000"/>
  </r>
  <r>
    <d v="2024-02-10T00:00:00"/>
    <x v="0"/>
    <x v="1"/>
    <x v="5"/>
    <x v="9"/>
    <x v="4"/>
    <x v="4"/>
    <x v="2"/>
    <n v="1392016026"/>
  </r>
  <r>
    <d v="2024-02-11T00:00:00"/>
    <x v="0"/>
    <x v="1"/>
    <x v="5"/>
    <x v="10"/>
    <x v="0"/>
    <x v="0"/>
    <x v="0"/>
    <n v="506000000"/>
  </r>
  <r>
    <d v="2024-02-11T00:00:00"/>
    <x v="0"/>
    <x v="1"/>
    <x v="5"/>
    <x v="10"/>
    <x v="1"/>
    <x v="1"/>
    <x v="1"/>
    <n v="0"/>
  </r>
  <r>
    <d v="2024-02-11T00:00:00"/>
    <x v="0"/>
    <x v="1"/>
    <x v="5"/>
    <x v="10"/>
    <x v="3"/>
    <x v="3"/>
    <x v="1"/>
    <n v="47250000"/>
  </r>
  <r>
    <d v="2024-02-11T00:00:00"/>
    <x v="0"/>
    <x v="1"/>
    <x v="5"/>
    <x v="10"/>
    <x v="4"/>
    <x v="4"/>
    <x v="2"/>
    <n v="1837851977"/>
  </r>
  <r>
    <d v="2024-02-11T00:00:00"/>
    <x v="0"/>
    <x v="1"/>
    <x v="5"/>
    <x v="10"/>
    <x v="2"/>
    <x v="2"/>
    <x v="1"/>
    <n v="537600000"/>
  </r>
  <r>
    <d v="2024-02-11T00:00:00"/>
    <x v="0"/>
    <x v="1"/>
    <x v="5"/>
    <x v="10"/>
    <x v="5"/>
    <x v="5"/>
    <x v="3"/>
    <n v="747001977"/>
  </r>
  <r>
    <d v="2024-02-11T00:00:00"/>
    <x v="0"/>
    <x v="1"/>
    <x v="5"/>
    <x v="10"/>
    <x v="6"/>
    <x v="6"/>
    <x v="0"/>
    <n v="0"/>
  </r>
  <r>
    <d v="2024-02-12T00:00:00"/>
    <x v="0"/>
    <x v="1"/>
    <x v="6"/>
    <x v="11"/>
    <x v="4"/>
    <x v="4"/>
    <x v="2"/>
    <n v="1931850888"/>
  </r>
  <r>
    <d v="2024-02-12T00:00:00"/>
    <x v="0"/>
    <x v="1"/>
    <x v="6"/>
    <x v="11"/>
    <x v="2"/>
    <x v="2"/>
    <x v="1"/>
    <n v="504150000"/>
  </r>
  <r>
    <d v="2024-02-12T00:00:00"/>
    <x v="0"/>
    <x v="1"/>
    <x v="6"/>
    <x v="11"/>
    <x v="0"/>
    <x v="0"/>
    <x v="0"/>
    <n v="663500000"/>
  </r>
  <r>
    <d v="2024-02-12T00:00:00"/>
    <x v="0"/>
    <x v="1"/>
    <x v="6"/>
    <x v="11"/>
    <x v="5"/>
    <x v="5"/>
    <x v="3"/>
    <n v="743200888"/>
  </r>
  <r>
    <d v="2024-02-12T00:00:00"/>
    <x v="0"/>
    <x v="1"/>
    <x v="6"/>
    <x v="11"/>
    <x v="3"/>
    <x v="3"/>
    <x v="1"/>
    <n v="21000000"/>
  </r>
  <r>
    <d v="2024-02-12T00:00:00"/>
    <x v="0"/>
    <x v="1"/>
    <x v="6"/>
    <x v="11"/>
    <x v="6"/>
    <x v="6"/>
    <x v="0"/>
    <n v="0"/>
  </r>
  <r>
    <d v="2024-02-12T00:00:00"/>
    <x v="0"/>
    <x v="1"/>
    <x v="6"/>
    <x v="11"/>
    <x v="1"/>
    <x v="1"/>
    <x v="1"/>
    <n v="0"/>
  </r>
  <r>
    <d v="2024-02-13T00:00:00"/>
    <x v="0"/>
    <x v="1"/>
    <x v="6"/>
    <x v="12"/>
    <x v="2"/>
    <x v="2"/>
    <x v="1"/>
    <n v="814750000"/>
  </r>
  <r>
    <d v="2024-02-13T00:00:00"/>
    <x v="0"/>
    <x v="1"/>
    <x v="6"/>
    <x v="12"/>
    <x v="3"/>
    <x v="3"/>
    <x v="1"/>
    <n v="62000000"/>
  </r>
  <r>
    <d v="2024-02-13T00:00:00"/>
    <x v="0"/>
    <x v="1"/>
    <x v="6"/>
    <x v="12"/>
    <x v="6"/>
    <x v="6"/>
    <x v="0"/>
    <n v="0"/>
  </r>
  <r>
    <d v="2024-02-13T00:00:00"/>
    <x v="0"/>
    <x v="1"/>
    <x v="6"/>
    <x v="12"/>
    <x v="4"/>
    <x v="4"/>
    <x v="2"/>
    <n v="2471124499"/>
  </r>
  <r>
    <d v="2024-02-13T00:00:00"/>
    <x v="0"/>
    <x v="1"/>
    <x v="6"/>
    <x v="12"/>
    <x v="1"/>
    <x v="1"/>
    <x v="1"/>
    <n v="0"/>
  </r>
  <r>
    <d v="2024-02-13T00:00:00"/>
    <x v="0"/>
    <x v="1"/>
    <x v="6"/>
    <x v="12"/>
    <x v="5"/>
    <x v="5"/>
    <x v="3"/>
    <n v="836374499"/>
  </r>
  <r>
    <d v="2024-02-13T00:00:00"/>
    <x v="0"/>
    <x v="1"/>
    <x v="6"/>
    <x v="12"/>
    <x v="0"/>
    <x v="0"/>
    <x v="0"/>
    <n v="758000000"/>
  </r>
  <r>
    <d v="2024-02-14T00:00:00"/>
    <x v="0"/>
    <x v="1"/>
    <x v="6"/>
    <x v="13"/>
    <x v="2"/>
    <x v="2"/>
    <x v="1"/>
    <n v="1072500000"/>
  </r>
  <r>
    <d v="2024-02-14T00:00:00"/>
    <x v="0"/>
    <x v="1"/>
    <x v="6"/>
    <x v="13"/>
    <x v="1"/>
    <x v="1"/>
    <x v="1"/>
    <n v="0"/>
  </r>
  <r>
    <d v="2024-02-14T00:00:00"/>
    <x v="0"/>
    <x v="1"/>
    <x v="6"/>
    <x v="13"/>
    <x v="6"/>
    <x v="6"/>
    <x v="0"/>
    <n v="0"/>
  </r>
  <r>
    <d v="2024-02-14T00:00:00"/>
    <x v="0"/>
    <x v="1"/>
    <x v="6"/>
    <x v="13"/>
    <x v="5"/>
    <x v="5"/>
    <x v="3"/>
    <n v="1113290957"/>
  </r>
  <r>
    <d v="2024-02-14T00:00:00"/>
    <x v="0"/>
    <x v="1"/>
    <x v="6"/>
    <x v="13"/>
    <x v="3"/>
    <x v="3"/>
    <x v="1"/>
    <n v="105000000"/>
  </r>
  <r>
    <d v="2024-02-14T00:00:00"/>
    <x v="0"/>
    <x v="1"/>
    <x v="6"/>
    <x v="13"/>
    <x v="0"/>
    <x v="0"/>
    <x v="0"/>
    <n v="1159000000"/>
  </r>
  <r>
    <d v="2024-02-14T00:00:00"/>
    <x v="0"/>
    <x v="1"/>
    <x v="6"/>
    <x v="13"/>
    <x v="4"/>
    <x v="4"/>
    <x v="2"/>
    <n v="3449790957"/>
  </r>
  <r>
    <d v="2024-02-15T00:00:00"/>
    <x v="0"/>
    <x v="1"/>
    <x v="6"/>
    <x v="14"/>
    <x v="2"/>
    <x v="2"/>
    <x v="1"/>
    <n v="1851450000"/>
  </r>
  <r>
    <d v="2024-02-15T00:00:00"/>
    <x v="0"/>
    <x v="1"/>
    <x v="6"/>
    <x v="14"/>
    <x v="1"/>
    <x v="1"/>
    <x v="1"/>
    <n v="391700000"/>
  </r>
  <r>
    <d v="2024-02-15T00:00:00"/>
    <x v="0"/>
    <x v="1"/>
    <x v="6"/>
    <x v="14"/>
    <x v="6"/>
    <x v="6"/>
    <x v="0"/>
    <n v="126000000"/>
  </r>
  <r>
    <d v="2024-02-15T00:00:00"/>
    <x v="0"/>
    <x v="1"/>
    <x v="6"/>
    <x v="14"/>
    <x v="4"/>
    <x v="4"/>
    <x v="2"/>
    <n v="6668909221"/>
  </r>
  <r>
    <d v="2024-02-15T00:00:00"/>
    <x v="0"/>
    <x v="1"/>
    <x v="6"/>
    <x v="14"/>
    <x v="3"/>
    <x v="3"/>
    <x v="1"/>
    <n v="200550000"/>
  </r>
  <r>
    <d v="2024-02-15T00:00:00"/>
    <x v="0"/>
    <x v="1"/>
    <x v="6"/>
    <x v="14"/>
    <x v="5"/>
    <x v="5"/>
    <x v="3"/>
    <n v="2128209221"/>
  </r>
  <r>
    <d v="2024-02-15T00:00:00"/>
    <x v="0"/>
    <x v="1"/>
    <x v="6"/>
    <x v="14"/>
    <x v="0"/>
    <x v="0"/>
    <x v="0"/>
    <n v="1971000000"/>
  </r>
  <r>
    <d v="2024-02-16T00:00:00"/>
    <x v="0"/>
    <x v="1"/>
    <x v="6"/>
    <x v="15"/>
    <x v="6"/>
    <x v="6"/>
    <x v="0"/>
    <n v="14000000"/>
  </r>
  <r>
    <d v="2024-02-16T00:00:00"/>
    <x v="0"/>
    <x v="1"/>
    <x v="6"/>
    <x v="15"/>
    <x v="1"/>
    <x v="1"/>
    <x v="1"/>
    <n v="20500000"/>
  </r>
  <r>
    <d v="2024-02-16T00:00:00"/>
    <x v="0"/>
    <x v="1"/>
    <x v="6"/>
    <x v="15"/>
    <x v="0"/>
    <x v="0"/>
    <x v="0"/>
    <n v="1748000000"/>
  </r>
  <r>
    <d v="2024-02-16T00:00:00"/>
    <x v="0"/>
    <x v="1"/>
    <x v="6"/>
    <x v="15"/>
    <x v="3"/>
    <x v="3"/>
    <x v="1"/>
    <n v="52500000"/>
  </r>
  <r>
    <d v="2024-02-16T00:00:00"/>
    <x v="0"/>
    <x v="1"/>
    <x v="6"/>
    <x v="15"/>
    <x v="4"/>
    <x v="4"/>
    <x v="2"/>
    <n v="5143292964"/>
  </r>
  <r>
    <d v="2024-02-16T00:00:00"/>
    <x v="0"/>
    <x v="1"/>
    <x v="6"/>
    <x v="15"/>
    <x v="2"/>
    <x v="2"/>
    <x v="1"/>
    <n v="1854550000"/>
  </r>
  <r>
    <d v="2024-02-16T00:00:00"/>
    <x v="0"/>
    <x v="1"/>
    <x v="6"/>
    <x v="15"/>
    <x v="5"/>
    <x v="5"/>
    <x v="3"/>
    <n v="1453742964"/>
  </r>
  <r>
    <d v="2024-02-17T00:00:00"/>
    <x v="0"/>
    <x v="1"/>
    <x v="6"/>
    <x v="16"/>
    <x v="1"/>
    <x v="1"/>
    <x v="1"/>
    <n v="21000000"/>
  </r>
  <r>
    <d v="2024-02-17T00:00:00"/>
    <x v="0"/>
    <x v="1"/>
    <x v="6"/>
    <x v="16"/>
    <x v="3"/>
    <x v="3"/>
    <x v="1"/>
    <n v="136500000"/>
  </r>
  <r>
    <d v="2024-02-17T00:00:00"/>
    <x v="0"/>
    <x v="1"/>
    <x v="6"/>
    <x v="16"/>
    <x v="6"/>
    <x v="6"/>
    <x v="0"/>
    <n v="34000000"/>
  </r>
  <r>
    <d v="2024-02-17T00:00:00"/>
    <x v="0"/>
    <x v="1"/>
    <x v="6"/>
    <x v="16"/>
    <x v="4"/>
    <x v="4"/>
    <x v="2"/>
    <n v="4363252155"/>
  </r>
  <r>
    <d v="2024-02-17T00:00:00"/>
    <x v="0"/>
    <x v="1"/>
    <x v="6"/>
    <x v="16"/>
    <x v="2"/>
    <x v="2"/>
    <x v="1"/>
    <n v="1304450000"/>
  </r>
  <r>
    <d v="2024-02-17T00:00:00"/>
    <x v="0"/>
    <x v="1"/>
    <x v="6"/>
    <x v="16"/>
    <x v="5"/>
    <x v="5"/>
    <x v="3"/>
    <n v="1499802155"/>
  </r>
  <r>
    <d v="2024-02-17T00:00:00"/>
    <x v="0"/>
    <x v="1"/>
    <x v="6"/>
    <x v="16"/>
    <x v="0"/>
    <x v="0"/>
    <x v="0"/>
    <n v="1367500000"/>
  </r>
  <r>
    <d v="2024-02-18T00:00:00"/>
    <x v="0"/>
    <x v="1"/>
    <x v="6"/>
    <x v="17"/>
    <x v="0"/>
    <x v="0"/>
    <x v="0"/>
    <n v="1278000000"/>
  </r>
  <r>
    <d v="2024-02-18T00:00:00"/>
    <x v="0"/>
    <x v="1"/>
    <x v="6"/>
    <x v="17"/>
    <x v="6"/>
    <x v="6"/>
    <x v="0"/>
    <n v="10000000"/>
  </r>
  <r>
    <d v="2024-02-18T00:00:00"/>
    <x v="0"/>
    <x v="1"/>
    <x v="6"/>
    <x v="17"/>
    <x v="2"/>
    <x v="2"/>
    <x v="1"/>
    <n v="1083350000"/>
  </r>
  <r>
    <d v="2024-02-18T00:00:00"/>
    <x v="0"/>
    <x v="1"/>
    <x v="6"/>
    <x v="17"/>
    <x v="1"/>
    <x v="1"/>
    <x v="1"/>
    <n v="31500000"/>
  </r>
  <r>
    <d v="2024-02-18T00:00:00"/>
    <x v="0"/>
    <x v="1"/>
    <x v="6"/>
    <x v="17"/>
    <x v="5"/>
    <x v="5"/>
    <x v="3"/>
    <n v="1283675740"/>
  </r>
  <r>
    <d v="2024-02-18T00:00:00"/>
    <x v="0"/>
    <x v="1"/>
    <x v="6"/>
    <x v="17"/>
    <x v="4"/>
    <x v="4"/>
    <x v="2"/>
    <n v="3760025740"/>
  </r>
  <r>
    <d v="2024-02-18T00:00:00"/>
    <x v="0"/>
    <x v="1"/>
    <x v="6"/>
    <x v="17"/>
    <x v="3"/>
    <x v="3"/>
    <x v="1"/>
    <n v="73500000"/>
  </r>
  <r>
    <d v="2024-02-19T00:00:00"/>
    <x v="0"/>
    <x v="1"/>
    <x v="7"/>
    <x v="18"/>
    <x v="0"/>
    <x v="0"/>
    <x v="0"/>
    <n v="1598000000"/>
  </r>
  <r>
    <d v="2024-02-19T00:00:00"/>
    <x v="0"/>
    <x v="1"/>
    <x v="7"/>
    <x v="18"/>
    <x v="4"/>
    <x v="4"/>
    <x v="2"/>
    <n v="5628132708"/>
  </r>
  <r>
    <d v="2024-02-19T00:00:00"/>
    <x v="0"/>
    <x v="1"/>
    <x v="7"/>
    <x v="18"/>
    <x v="1"/>
    <x v="1"/>
    <x v="1"/>
    <n v="52500000"/>
  </r>
  <r>
    <d v="2024-02-19T00:00:00"/>
    <x v="0"/>
    <x v="1"/>
    <x v="7"/>
    <x v="18"/>
    <x v="3"/>
    <x v="3"/>
    <x v="1"/>
    <n v="239400000"/>
  </r>
  <r>
    <d v="2024-02-19T00:00:00"/>
    <x v="0"/>
    <x v="1"/>
    <x v="7"/>
    <x v="18"/>
    <x v="6"/>
    <x v="6"/>
    <x v="0"/>
    <n v="10000000"/>
  </r>
  <r>
    <d v="2024-02-19T00:00:00"/>
    <x v="0"/>
    <x v="1"/>
    <x v="7"/>
    <x v="18"/>
    <x v="5"/>
    <x v="5"/>
    <x v="3"/>
    <n v="2005982708"/>
  </r>
  <r>
    <d v="2024-02-19T00:00:00"/>
    <x v="0"/>
    <x v="1"/>
    <x v="7"/>
    <x v="18"/>
    <x v="2"/>
    <x v="2"/>
    <x v="1"/>
    <n v="1722250000"/>
  </r>
  <r>
    <d v="2024-02-20T00:00:00"/>
    <x v="0"/>
    <x v="1"/>
    <x v="7"/>
    <x v="19"/>
    <x v="2"/>
    <x v="2"/>
    <x v="1"/>
    <n v="1552600000"/>
  </r>
  <r>
    <d v="2024-02-20T00:00:00"/>
    <x v="0"/>
    <x v="1"/>
    <x v="7"/>
    <x v="19"/>
    <x v="4"/>
    <x v="4"/>
    <x v="2"/>
    <n v="5194226766"/>
  </r>
  <r>
    <d v="2024-02-20T00:00:00"/>
    <x v="0"/>
    <x v="1"/>
    <x v="7"/>
    <x v="19"/>
    <x v="1"/>
    <x v="1"/>
    <x v="1"/>
    <n v="63000000"/>
  </r>
  <r>
    <d v="2024-02-20T00:00:00"/>
    <x v="0"/>
    <x v="1"/>
    <x v="7"/>
    <x v="19"/>
    <x v="5"/>
    <x v="5"/>
    <x v="3"/>
    <n v="1843876766"/>
  </r>
  <r>
    <d v="2024-02-20T00:00:00"/>
    <x v="0"/>
    <x v="1"/>
    <x v="7"/>
    <x v="19"/>
    <x v="3"/>
    <x v="3"/>
    <x v="1"/>
    <n v="78750000"/>
  </r>
  <r>
    <d v="2024-02-20T00:00:00"/>
    <x v="0"/>
    <x v="1"/>
    <x v="7"/>
    <x v="19"/>
    <x v="6"/>
    <x v="6"/>
    <x v="0"/>
    <n v="19000000"/>
  </r>
  <r>
    <d v="2024-02-20T00:00:00"/>
    <x v="0"/>
    <x v="1"/>
    <x v="7"/>
    <x v="19"/>
    <x v="0"/>
    <x v="0"/>
    <x v="0"/>
    <n v="1637000000"/>
  </r>
  <r>
    <d v="2024-02-21T00:00:00"/>
    <x v="0"/>
    <x v="1"/>
    <x v="7"/>
    <x v="20"/>
    <x v="4"/>
    <x v="4"/>
    <x v="2"/>
    <n v="5279952364"/>
  </r>
  <r>
    <d v="2024-02-21T00:00:00"/>
    <x v="0"/>
    <x v="1"/>
    <x v="7"/>
    <x v="20"/>
    <x v="2"/>
    <x v="2"/>
    <x v="1"/>
    <n v="1660400000"/>
  </r>
  <r>
    <d v="2024-02-21T00:00:00"/>
    <x v="0"/>
    <x v="1"/>
    <x v="7"/>
    <x v="20"/>
    <x v="0"/>
    <x v="0"/>
    <x v="0"/>
    <n v="1728000000"/>
  </r>
  <r>
    <d v="2024-02-21T00:00:00"/>
    <x v="0"/>
    <x v="1"/>
    <x v="7"/>
    <x v="20"/>
    <x v="6"/>
    <x v="6"/>
    <x v="0"/>
    <n v="17000000"/>
  </r>
  <r>
    <d v="2024-02-21T00:00:00"/>
    <x v="0"/>
    <x v="1"/>
    <x v="7"/>
    <x v="20"/>
    <x v="1"/>
    <x v="1"/>
    <x v="1"/>
    <n v="35750000"/>
  </r>
  <r>
    <d v="2024-02-21T00:00:00"/>
    <x v="0"/>
    <x v="1"/>
    <x v="7"/>
    <x v="20"/>
    <x v="5"/>
    <x v="5"/>
    <x v="3"/>
    <n v="1696002364"/>
  </r>
  <r>
    <d v="2024-02-21T00:00:00"/>
    <x v="0"/>
    <x v="1"/>
    <x v="7"/>
    <x v="20"/>
    <x v="3"/>
    <x v="3"/>
    <x v="1"/>
    <n v="142800000"/>
  </r>
  <r>
    <d v="2024-02-22T00:00:00"/>
    <x v="0"/>
    <x v="1"/>
    <x v="7"/>
    <x v="21"/>
    <x v="1"/>
    <x v="1"/>
    <x v="1"/>
    <n v="104000000"/>
  </r>
  <r>
    <d v="2024-02-22T00:00:00"/>
    <x v="0"/>
    <x v="1"/>
    <x v="7"/>
    <x v="21"/>
    <x v="0"/>
    <x v="0"/>
    <x v="0"/>
    <n v="1946500000"/>
  </r>
  <r>
    <d v="2024-02-22T00:00:00"/>
    <x v="0"/>
    <x v="1"/>
    <x v="7"/>
    <x v="21"/>
    <x v="4"/>
    <x v="4"/>
    <x v="2"/>
    <n v="5102615849"/>
  </r>
  <r>
    <d v="2024-02-22T00:00:00"/>
    <x v="0"/>
    <x v="1"/>
    <x v="7"/>
    <x v="21"/>
    <x v="6"/>
    <x v="6"/>
    <x v="0"/>
    <n v="6000000"/>
  </r>
  <r>
    <d v="2024-02-22T00:00:00"/>
    <x v="0"/>
    <x v="1"/>
    <x v="7"/>
    <x v="21"/>
    <x v="3"/>
    <x v="3"/>
    <x v="1"/>
    <n v="63000000"/>
  </r>
  <r>
    <d v="2024-02-22T00:00:00"/>
    <x v="0"/>
    <x v="1"/>
    <x v="7"/>
    <x v="21"/>
    <x v="5"/>
    <x v="5"/>
    <x v="3"/>
    <n v="1777265849"/>
  </r>
  <r>
    <d v="2024-02-22T00:00:00"/>
    <x v="0"/>
    <x v="1"/>
    <x v="7"/>
    <x v="21"/>
    <x v="2"/>
    <x v="2"/>
    <x v="1"/>
    <n v="1205850000"/>
  </r>
  <r>
    <d v="2024-02-23T00:00:00"/>
    <x v="0"/>
    <x v="1"/>
    <x v="7"/>
    <x v="22"/>
    <x v="6"/>
    <x v="6"/>
    <x v="0"/>
    <n v="24000000"/>
  </r>
  <r>
    <d v="2024-02-23T00:00:00"/>
    <x v="0"/>
    <x v="1"/>
    <x v="7"/>
    <x v="22"/>
    <x v="1"/>
    <x v="1"/>
    <x v="1"/>
    <n v="21000000"/>
  </r>
  <r>
    <d v="2024-02-23T00:00:00"/>
    <x v="0"/>
    <x v="1"/>
    <x v="7"/>
    <x v="22"/>
    <x v="4"/>
    <x v="4"/>
    <x v="2"/>
    <n v="5114306899"/>
  </r>
  <r>
    <d v="2024-02-23T00:00:00"/>
    <x v="0"/>
    <x v="1"/>
    <x v="7"/>
    <x v="22"/>
    <x v="3"/>
    <x v="3"/>
    <x v="1"/>
    <n v="86100000"/>
  </r>
  <r>
    <d v="2024-02-23T00:00:00"/>
    <x v="0"/>
    <x v="1"/>
    <x v="7"/>
    <x v="22"/>
    <x v="0"/>
    <x v="0"/>
    <x v="0"/>
    <n v="1815000000"/>
  </r>
  <r>
    <d v="2024-02-23T00:00:00"/>
    <x v="0"/>
    <x v="1"/>
    <x v="7"/>
    <x v="22"/>
    <x v="5"/>
    <x v="5"/>
    <x v="3"/>
    <n v="1600506899"/>
  </r>
  <r>
    <d v="2024-02-23T00:00:00"/>
    <x v="0"/>
    <x v="1"/>
    <x v="7"/>
    <x v="22"/>
    <x v="2"/>
    <x v="2"/>
    <x v="1"/>
    <n v="1567700000"/>
  </r>
  <r>
    <d v="2024-02-24T00:00:00"/>
    <x v="0"/>
    <x v="1"/>
    <x v="7"/>
    <x v="23"/>
    <x v="2"/>
    <x v="2"/>
    <x v="1"/>
    <n v="1386400000"/>
  </r>
  <r>
    <d v="2024-02-24T00:00:00"/>
    <x v="0"/>
    <x v="1"/>
    <x v="7"/>
    <x v="23"/>
    <x v="6"/>
    <x v="6"/>
    <x v="0"/>
    <n v="17000000"/>
  </r>
  <r>
    <d v="2024-02-24T00:00:00"/>
    <x v="0"/>
    <x v="1"/>
    <x v="7"/>
    <x v="23"/>
    <x v="1"/>
    <x v="1"/>
    <x v="1"/>
    <n v="0"/>
  </r>
  <r>
    <d v="2024-02-24T00:00:00"/>
    <x v="0"/>
    <x v="1"/>
    <x v="7"/>
    <x v="23"/>
    <x v="0"/>
    <x v="0"/>
    <x v="0"/>
    <n v="1643000000"/>
  </r>
  <r>
    <d v="2024-02-24T00:00:00"/>
    <x v="0"/>
    <x v="1"/>
    <x v="7"/>
    <x v="23"/>
    <x v="5"/>
    <x v="5"/>
    <x v="3"/>
    <n v="1697685067"/>
  </r>
  <r>
    <d v="2024-02-24T00:00:00"/>
    <x v="0"/>
    <x v="1"/>
    <x v="7"/>
    <x v="23"/>
    <x v="4"/>
    <x v="4"/>
    <x v="2"/>
    <n v="4902635067"/>
  </r>
  <r>
    <d v="2024-02-24T00:00:00"/>
    <x v="0"/>
    <x v="1"/>
    <x v="7"/>
    <x v="23"/>
    <x v="3"/>
    <x v="3"/>
    <x v="1"/>
    <n v="158550000"/>
  </r>
  <r>
    <d v="2024-02-25T00:00:00"/>
    <x v="0"/>
    <x v="1"/>
    <x v="7"/>
    <x v="24"/>
    <x v="4"/>
    <x v="4"/>
    <x v="2"/>
    <n v="4237232198"/>
  </r>
  <r>
    <d v="2024-02-25T00:00:00"/>
    <x v="0"/>
    <x v="1"/>
    <x v="7"/>
    <x v="24"/>
    <x v="0"/>
    <x v="0"/>
    <x v="0"/>
    <n v="1581000000"/>
  </r>
  <r>
    <d v="2024-02-25T00:00:00"/>
    <x v="0"/>
    <x v="1"/>
    <x v="7"/>
    <x v="24"/>
    <x v="3"/>
    <x v="3"/>
    <x v="1"/>
    <n v="152300000"/>
  </r>
  <r>
    <d v="2024-02-25T00:00:00"/>
    <x v="0"/>
    <x v="1"/>
    <x v="7"/>
    <x v="24"/>
    <x v="1"/>
    <x v="1"/>
    <x v="1"/>
    <n v="31500000"/>
  </r>
  <r>
    <d v="2024-02-25T00:00:00"/>
    <x v="0"/>
    <x v="1"/>
    <x v="7"/>
    <x v="24"/>
    <x v="6"/>
    <x v="6"/>
    <x v="0"/>
    <n v="22000000"/>
  </r>
  <r>
    <d v="2024-02-25T00:00:00"/>
    <x v="0"/>
    <x v="1"/>
    <x v="7"/>
    <x v="24"/>
    <x v="2"/>
    <x v="2"/>
    <x v="1"/>
    <n v="1037300000"/>
  </r>
  <r>
    <d v="2024-02-25T00:00:00"/>
    <x v="0"/>
    <x v="1"/>
    <x v="7"/>
    <x v="24"/>
    <x v="5"/>
    <x v="5"/>
    <x v="3"/>
    <n v="1413132198"/>
  </r>
  <r>
    <d v="2024-02-26T00:00:00"/>
    <x v="0"/>
    <x v="1"/>
    <x v="8"/>
    <x v="25"/>
    <x v="4"/>
    <x v="4"/>
    <x v="2"/>
    <n v="6413162105"/>
  </r>
  <r>
    <d v="2024-02-26T00:00:00"/>
    <x v="0"/>
    <x v="1"/>
    <x v="8"/>
    <x v="25"/>
    <x v="3"/>
    <x v="3"/>
    <x v="1"/>
    <n v="136500000"/>
  </r>
  <r>
    <d v="2024-02-26T00:00:00"/>
    <x v="0"/>
    <x v="1"/>
    <x v="8"/>
    <x v="25"/>
    <x v="2"/>
    <x v="2"/>
    <x v="1"/>
    <n v="2093300000"/>
  </r>
  <r>
    <d v="2024-02-26T00:00:00"/>
    <x v="0"/>
    <x v="1"/>
    <x v="8"/>
    <x v="25"/>
    <x v="0"/>
    <x v="0"/>
    <x v="0"/>
    <n v="1850500000"/>
  </r>
  <r>
    <d v="2024-02-26T00:00:00"/>
    <x v="0"/>
    <x v="1"/>
    <x v="8"/>
    <x v="25"/>
    <x v="1"/>
    <x v="1"/>
    <x v="1"/>
    <n v="77750000"/>
  </r>
  <r>
    <d v="2024-02-26T00:00:00"/>
    <x v="0"/>
    <x v="1"/>
    <x v="8"/>
    <x v="25"/>
    <x v="6"/>
    <x v="6"/>
    <x v="0"/>
    <n v="37000000"/>
  </r>
  <r>
    <d v="2024-02-26T00:00:00"/>
    <x v="0"/>
    <x v="1"/>
    <x v="8"/>
    <x v="25"/>
    <x v="5"/>
    <x v="5"/>
    <x v="3"/>
    <n v="2218112105"/>
  </r>
  <r>
    <d v="2024-02-27T00:00:00"/>
    <x v="0"/>
    <x v="1"/>
    <x v="8"/>
    <x v="26"/>
    <x v="5"/>
    <x v="5"/>
    <x v="3"/>
    <n v="1746714188"/>
  </r>
  <r>
    <d v="2024-02-27T00:00:00"/>
    <x v="0"/>
    <x v="1"/>
    <x v="8"/>
    <x v="26"/>
    <x v="6"/>
    <x v="6"/>
    <x v="0"/>
    <n v="53000000"/>
  </r>
  <r>
    <d v="2024-02-27T00:00:00"/>
    <x v="0"/>
    <x v="1"/>
    <x v="8"/>
    <x v="26"/>
    <x v="3"/>
    <x v="3"/>
    <x v="1"/>
    <n v="268800000"/>
  </r>
  <r>
    <d v="2024-02-27T00:00:00"/>
    <x v="0"/>
    <x v="1"/>
    <x v="8"/>
    <x v="26"/>
    <x v="0"/>
    <x v="0"/>
    <x v="0"/>
    <n v="1758000000"/>
  </r>
  <r>
    <d v="2024-02-27T00:00:00"/>
    <x v="0"/>
    <x v="1"/>
    <x v="8"/>
    <x v="26"/>
    <x v="1"/>
    <x v="1"/>
    <x v="1"/>
    <n v="0"/>
  </r>
  <r>
    <d v="2024-02-27T00:00:00"/>
    <x v="0"/>
    <x v="1"/>
    <x v="8"/>
    <x v="26"/>
    <x v="2"/>
    <x v="2"/>
    <x v="1"/>
    <n v="1189850000"/>
  </r>
  <r>
    <d v="2024-02-27T00:00:00"/>
    <x v="0"/>
    <x v="1"/>
    <x v="8"/>
    <x v="26"/>
    <x v="4"/>
    <x v="4"/>
    <x v="2"/>
    <n v="5016364188"/>
  </r>
  <r>
    <d v="2024-02-28T00:00:00"/>
    <x v="0"/>
    <x v="1"/>
    <x v="8"/>
    <x v="27"/>
    <x v="1"/>
    <x v="1"/>
    <x v="1"/>
    <n v="156500000"/>
  </r>
  <r>
    <d v="2024-02-28T00:00:00"/>
    <x v="0"/>
    <x v="1"/>
    <x v="8"/>
    <x v="27"/>
    <x v="0"/>
    <x v="0"/>
    <x v="0"/>
    <n v="1998500000"/>
  </r>
  <r>
    <d v="2024-02-28T00:00:00"/>
    <x v="0"/>
    <x v="1"/>
    <x v="8"/>
    <x v="27"/>
    <x v="5"/>
    <x v="5"/>
    <x v="3"/>
    <n v="1934855018"/>
  </r>
  <r>
    <d v="2024-02-28T00:00:00"/>
    <x v="0"/>
    <x v="1"/>
    <x v="8"/>
    <x v="27"/>
    <x v="6"/>
    <x v="6"/>
    <x v="0"/>
    <n v="40000000"/>
  </r>
  <r>
    <d v="2024-02-28T00:00:00"/>
    <x v="0"/>
    <x v="1"/>
    <x v="8"/>
    <x v="27"/>
    <x v="2"/>
    <x v="2"/>
    <x v="1"/>
    <n v="1739200000"/>
  </r>
  <r>
    <d v="2024-02-28T00:00:00"/>
    <x v="0"/>
    <x v="1"/>
    <x v="8"/>
    <x v="27"/>
    <x v="4"/>
    <x v="4"/>
    <x v="2"/>
    <n v="6072755018"/>
  </r>
  <r>
    <d v="2024-02-28T00:00:00"/>
    <x v="0"/>
    <x v="1"/>
    <x v="8"/>
    <x v="27"/>
    <x v="3"/>
    <x v="3"/>
    <x v="1"/>
    <n v="203700000"/>
  </r>
  <r>
    <d v="2024-02-29T00:00:00"/>
    <x v="0"/>
    <x v="1"/>
    <x v="8"/>
    <x v="28"/>
    <x v="6"/>
    <x v="6"/>
    <x v="0"/>
    <n v="57000000"/>
  </r>
  <r>
    <d v="2024-02-29T00:00:00"/>
    <x v="0"/>
    <x v="1"/>
    <x v="8"/>
    <x v="28"/>
    <x v="0"/>
    <x v="0"/>
    <x v="0"/>
    <n v="2100500000"/>
  </r>
  <r>
    <d v="2024-02-29T00:00:00"/>
    <x v="0"/>
    <x v="1"/>
    <x v="8"/>
    <x v="28"/>
    <x v="1"/>
    <x v="1"/>
    <x v="1"/>
    <n v="88200000"/>
  </r>
  <r>
    <d v="2024-02-29T00:00:00"/>
    <x v="0"/>
    <x v="1"/>
    <x v="8"/>
    <x v="28"/>
    <x v="2"/>
    <x v="2"/>
    <x v="1"/>
    <n v="1413850000"/>
  </r>
  <r>
    <d v="2024-02-29T00:00:00"/>
    <x v="0"/>
    <x v="1"/>
    <x v="8"/>
    <x v="28"/>
    <x v="5"/>
    <x v="5"/>
    <x v="3"/>
    <n v="2493489443"/>
  </r>
  <r>
    <d v="2024-02-29T00:00:00"/>
    <x v="0"/>
    <x v="1"/>
    <x v="8"/>
    <x v="28"/>
    <x v="3"/>
    <x v="3"/>
    <x v="1"/>
    <n v="128100000"/>
  </r>
  <r>
    <d v="2024-02-29T00:00:00"/>
    <x v="0"/>
    <x v="1"/>
    <x v="8"/>
    <x v="28"/>
    <x v="4"/>
    <x v="4"/>
    <x v="2"/>
    <n v="6281139443"/>
  </r>
  <r>
    <d v="2024-03-01T00:00:00"/>
    <x v="0"/>
    <x v="2"/>
    <x v="8"/>
    <x v="0"/>
    <x v="5"/>
    <x v="5"/>
    <x v="3"/>
    <n v="3416046217"/>
  </r>
  <r>
    <d v="2024-03-01T00:00:00"/>
    <x v="0"/>
    <x v="2"/>
    <x v="8"/>
    <x v="0"/>
    <x v="3"/>
    <x v="3"/>
    <x v="1"/>
    <n v="78750000"/>
  </r>
  <r>
    <d v="2024-03-01T00:00:00"/>
    <x v="0"/>
    <x v="2"/>
    <x v="8"/>
    <x v="0"/>
    <x v="4"/>
    <x v="4"/>
    <x v="2"/>
    <n v="8228146217"/>
  </r>
  <r>
    <d v="2024-03-01T00:00:00"/>
    <x v="0"/>
    <x v="2"/>
    <x v="8"/>
    <x v="0"/>
    <x v="6"/>
    <x v="6"/>
    <x v="0"/>
    <n v="24000000"/>
  </r>
  <r>
    <d v="2024-03-01T00:00:00"/>
    <x v="0"/>
    <x v="2"/>
    <x v="8"/>
    <x v="0"/>
    <x v="1"/>
    <x v="1"/>
    <x v="1"/>
    <n v="117600000"/>
  </r>
  <r>
    <d v="2024-03-01T00:00:00"/>
    <x v="0"/>
    <x v="2"/>
    <x v="8"/>
    <x v="0"/>
    <x v="2"/>
    <x v="2"/>
    <x v="1"/>
    <n v="2332750000"/>
  </r>
  <r>
    <d v="2024-03-01T00:00:00"/>
    <x v="0"/>
    <x v="2"/>
    <x v="8"/>
    <x v="0"/>
    <x v="0"/>
    <x v="0"/>
    <x v="0"/>
    <n v="2259000000"/>
  </r>
  <r>
    <d v="2024-03-02T00:00:00"/>
    <x v="0"/>
    <x v="2"/>
    <x v="8"/>
    <x v="1"/>
    <x v="3"/>
    <x v="3"/>
    <x v="1"/>
    <n v="150150000"/>
  </r>
  <r>
    <d v="2024-03-02T00:00:00"/>
    <x v="0"/>
    <x v="2"/>
    <x v="8"/>
    <x v="1"/>
    <x v="2"/>
    <x v="2"/>
    <x v="1"/>
    <n v="1609000000"/>
  </r>
  <r>
    <d v="2024-03-02T00:00:00"/>
    <x v="0"/>
    <x v="2"/>
    <x v="8"/>
    <x v="1"/>
    <x v="1"/>
    <x v="1"/>
    <x v="1"/>
    <n v="62000000"/>
  </r>
  <r>
    <d v="2024-03-02T00:00:00"/>
    <x v="0"/>
    <x v="2"/>
    <x v="8"/>
    <x v="1"/>
    <x v="6"/>
    <x v="6"/>
    <x v="0"/>
    <n v="19000000"/>
  </r>
  <r>
    <d v="2024-03-02T00:00:00"/>
    <x v="0"/>
    <x v="2"/>
    <x v="8"/>
    <x v="1"/>
    <x v="4"/>
    <x v="4"/>
    <x v="2"/>
    <n v="6350797884"/>
  </r>
  <r>
    <d v="2024-03-02T00:00:00"/>
    <x v="0"/>
    <x v="2"/>
    <x v="8"/>
    <x v="1"/>
    <x v="0"/>
    <x v="0"/>
    <x v="0"/>
    <n v="1889000000"/>
  </r>
  <r>
    <d v="2024-03-02T00:00:00"/>
    <x v="0"/>
    <x v="2"/>
    <x v="8"/>
    <x v="1"/>
    <x v="5"/>
    <x v="5"/>
    <x v="3"/>
    <n v="2621647884"/>
  </r>
  <r>
    <d v="2024-03-03T00:00:00"/>
    <x v="0"/>
    <x v="2"/>
    <x v="8"/>
    <x v="2"/>
    <x v="5"/>
    <x v="5"/>
    <x v="3"/>
    <n v="2078927796"/>
  </r>
  <r>
    <d v="2024-03-03T00:00:00"/>
    <x v="0"/>
    <x v="2"/>
    <x v="8"/>
    <x v="2"/>
    <x v="1"/>
    <x v="1"/>
    <x v="1"/>
    <n v="0"/>
  </r>
  <r>
    <d v="2024-03-03T00:00:00"/>
    <x v="0"/>
    <x v="2"/>
    <x v="8"/>
    <x v="2"/>
    <x v="3"/>
    <x v="3"/>
    <x v="1"/>
    <n v="78750000"/>
  </r>
  <r>
    <d v="2024-03-03T00:00:00"/>
    <x v="0"/>
    <x v="2"/>
    <x v="8"/>
    <x v="2"/>
    <x v="2"/>
    <x v="2"/>
    <x v="1"/>
    <n v="1425400000"/>
  </r>
  <r>
    <d v="2024-03-03T00:00:00"/>
    <x v="0"/>
    <x v="2"/>
    <x v="8"/>
    <x v="2"/>
    <x v="6"/>
    <x v="6"/>
    <x v="0"/>
    <n v="47000000"/>
  </r>
  <r>
    <d v="2024-03-03T00:00:00"/>
    <x v="0"/>
    <x v="2"/>
    <x v="8"/>
    <x v="2"/>
    <x v="4"/>
    <x v="4"/>
    <x v="2"/>
    <n v="5330577796"/>
  </r>
  <r>
    <d v="2024-03-03T00:00:00"/>
    <x v="0"/>
    <x v="2"/>
    <x v="8"/>
    <x v="2"/>
    <x v="0"/>
    <x v="0"/>
    <x v="0"/>
    <n v="1700500000"/>
  </r>
  <r>
    <d v="2024-03-04T00:00:00"/>
    <x v="0"/>
    <x v="2"/>
    <x v="9"/>
    <x v="3"/>
    <x v="3"/>
    <x v="3"/>
    <x v="1"/>
    <n v="134400000"/>
  </r>
  <r>
    <d v="2024-03-04T00:00:00"/>
    <x v="0"/>
    <x v="2"/>
    <x v="9"/>
    <x v="3"/>
    <x v="4"/>
    <x v="4"/>
    <x v="2"/>
    <n v="6550966933"/>
  </r>
  <r>
    <d v="2024-03-04T00:00:00"/>
    <x v="0"/>
    <x v="2"/>
    <x v="9"/>
    <x v="3"/>
    <x v="5"/>
    <x v="5"/>
    <x v="3"/>
    <n v="2589056933"/>
  </r>
  <r>
    <d v="2024-03-04T00:00:00"/>
    <x v="0"/>
    <x v="2"/>
    <x v="9"/>
    <x v="3"/>
    <x v="2"/>
    <x v="2"/>
    <x v="1"/>
    <n v="1594010000"/>
  </r>
  <r>
    <d v="2024-03-04T00:00:00"/>
    <x v="0"/>
    <x v="2"/>
    <x v="9"/>
    <x v="3"/>
    <x v="1"/>
    <x v="1"/>
    <x v="1"/>
    <n v="78000000"/>
  </r>
  <r>
    <d v="2024-03-04T00:00:00"/>
    <x v="0"/>
    <x v="2"/>
    <x v="9"/>
    <x v="3"/>
    <x v="0"/>
    <x v="0"/>
    <x v="0"/>
    <n v="2145500000"/>
  </r>
  <r>
    <d v="2024-03-04T00:00:00"/>
    <x v="0"/>
    <x v="2"/>
    <x v="9"/>
    <x v="3"/>
    <x v="6"/>
    <x v="6"/>
    <x v="0"/>
    <n v="10000000"/>
  </r>
  <r>
    <d v="2024-03-05T00:00:00"/>
    <x v="0"/>
    <x v="2"/>
    <x v="9"/>
    <x v="4"/>
    <x v="2"/>
    <x v="2"/>
    <x v="1"/>
    <n v="1555620000"/>
  </r>
  <r>
    <d v="2024-03-05T00:00:00"/>
    <x v="0"/>
    <x v="2"/>
    <x v="9"/>
    <x v="4"/>
    <x v="6"/>
    <x v="6"/>
    <x v="0"/>
    <n v="42000000"/>
  </r>
  <r>
    <d v="2024-03-05T00:00:00"/>
    <x v="0"/>
    <x v="2"/>
    <x v="9"/>
    <x v="4"/>
    <x v="1"/>
    <x v="1"/>
    <x v="1"/>
    <n v="42000000"/>
  </r>
  <r>
    <d v="2024-03-05T00:00:00"/>
    <x v="0"/>
    <x v="2"/>
    <x v="9"/>
    <x v="4"/>
    <x v="4"/>
    <x v="4"/>
    <x v="2"/>
    <n v="6638732547"/>
  </r>
  <r>
    <d v="2024-03-05T00:00:00"/>
    <x v="0"/>
    <x v="2"/>
    <x v="9"/>
    <x v="4"/>
    <x v="0"/>
    <x v="0"/>
    <x v="0"/>
    <n v="2303500000"/>
  </r>
  <r>
    <d v="2024-03-05T00:00:00"/>
    <x v="0"/>
    <x v="2"/>
    <x v="9"/>
    <x v="4"/>
    <x v="5"/>
    <x v="5"/>
    <x v="3"/>
    <n v="2532862547"/>
  </r>
  <r>
    <d v="2024-03-05T00:00:00"/>
    <x v="0"/>
    <x v="2"/>
    <x v="9"/>
    <x v="4"/>
    <x v="3"/>
    <x v="3"/>
    <x v="1"/>
    <n v="162750000"/>
  </r>
  <r>
    <d v="2024-03-06T00:00:00"/>
    <x v="0"/>
    <x v="2"/>
    <x v="9"/>
    <x v="5"/>
    <x v="2"/>
    <x v="2"/>
    <x v="1"/>
    <n v="2131460000"/>
  </r>
  <r>
    <d v="2024-03-06T00:00:00"/>
    <x v="0"/>
    <x v="2"/>
    <x v="9"/>
    <x v="5"/>
    <x v="1"/>
    <x v="1"/>
    <x v="1"/>
    <n v="42000000"/>
  </r>
  <r>
    <d v="2024-03-06T00:00:00"/>
    <x v="0"/>
    <x v="2"/>
    <x v="9"/>
    <x v="5"/>
    <x v="3"/>
    <x v="3"/>
    <x v="1"/>
    <n v="115500000"/>
  </r>
  <r>
    <d v="2024-03-06T00:00:00"/>
    <x v="0"/>
    <x v="2"/>
    <x v="9"/>
    <x v="5"/>
    <x v="6"/>
    <x v="6"/>
    <x v="0"/>
    <n v="30000000"/>
  </r>
  <r>
    <d v="2024-03-06T00:00:00"/>
    <x v="0"/>
    <x v="2"/>
    <x v="9"/>
    <x v="5"/>
    <x v="5"/>
    <x v="5"/>
    <x v="3"/>
    <n v="2818688899"/>
  </r>
  <r>
    <d v="2024-03-06T00:00:00"/>
    <x v="0"/>
    <x v="2"/>
    <x v="9"/>
    <x v="5"/>
    <x v="0"/>
    <x v="0"/>
    <x v="0"/>
    <n v="2202500000"/>
  </r>
  <r>
    <d v="2024-03-06T00:00:00"/>
    <x v="0"/>
    <x v="2"/>
    <x v="9"/>
    <x v="5"/>
    <x v="4"/>
    <x v="4"/>
    <x v="2"/>
    <n v="7340148899"/>
  </r>
  <r>
    <d v="2024-03-07T00:00:00"/>
    <x v="0"/>
    <x v="2"/>
    <x v="9"/>
    <x v="6"/>
    <x v="5"/>
    <x v="5"/>
    <x v="3"/>
    <n v="2213357647"/>
  </r>
  <r>
    <d v="2024-03-07T00:00:00"/>
    <x v="0"/>
    <x v="2"/>
    <x v="9"/>
    <x v="6"/>
    <x v="2"/>
    <x v="2"/>
    <x v="1"/>
    <n v="1608320000"/>
  </r>
  <r>
    <d v="2024-03-07T00:00:00"/>
    <x v="0"/>
    <x v="2"/>
    <x v="9"/>
    <x v="6"/>
    <x v="6"/>
    <x v="6"/>
    <x v="0"/>
    <n v="67000000"/>
  </r>
  <r>
    <d v="2024-03-07T00:00:00"/>
    <x v="0"/>
    <x v="2"/>
    <x v="9"/>
    <x v="6"/>
    <x v="4"/>
    <x v="4"/>
    <x v="2"/>
    <n v="6241227647"/>
  </r>
  <r>
    <d v="2024-03-07T00:00:00"/>
    <x v="0"/>
    <x v="2"/>
    <x v="9"/>
    <x v="6"/>
    <x v="1"/>
    <x v="1"/>
    <x v="1"/>
    <n v="79000000"/>
  </r>
  <r>
    <d v="2024-03-07T00:00:00"/>
    <x v="0"/>
    <x v="2"/>
    <x v="9"/>
    <x v="6"/>
    <x v="0"/>
    <x v="0"/>
    <x v="0"/>
    <n v="2115000000"/>
  </r>
  <r>
    <d v="2024-03-07T00:00:00"/>
    <x v="0"/>
    <x v="2"/>
    <x v="9"/>
    <x v="6"/>
    <x v="3"/>
    <x v="3"/>
    <x v="1"/>
    <n v="158550000"/>
  </r>
  <r>
    <d v="2024-03-08T00:00:00"/>
    <x v="0"/>
    <x v="2"/>
    <x v="9"/>
    <x v="7"/>
    <x v="5"/>
    <x v="5"/>
    <x v="3"/>
    <n v="2528824692"/>
  </r>
  <r>
    <d v="2024-03-08T00:00:00"/>
    <x v="0"/>
    <x v="2"/>
    <x v="9"/>
    <x v="7"/>
    <x v="0"/>
    <x v="0"/>
    <x v="0"/>
    <n v="1999000000"/>
  </r>
  <r>
    <d v="2024-03-08T00:00:00"/>
    <x v="0"/>
    <x v="2"/>
    <x v="9"/>
    <x v="7"/>
    <x v="6"/>
    <x v="6"/>
    <x v="0"/>
    <n v="39000000"/>
  </r>
  <r>
    <d v="2024-03-08T00:00:00"/>
    <x v="0"/>
    <x v="2"/>
    <x v="9"/>
    <x v="7"/>
    <x v="3"/>
    <x v="3"/>
    <x v="1"/>
    <n v="159600000"/>
  </r>
  <r>
    <d v="2024-03-08T00:00:00"/>
    <x v="0"/>
    <x v="2"/>
    <x v="9"/>
    <x v="7"/>
    <x v="1"/>
    <x v="1"/>
    <x v="1"/>
    <n v="31500000"/>
  </r>
  <r>
    <d v="2024-03-08T00:00:00"/>
    <x v="0"/>
    <x v="2"/>
    <x v="9"/>
    <x v="7"/>
    <x v="2"/>
    <x v="2"/>
    <x v="1"/>
    <n v="1366390000"/>
  </r>
  <r>
    <d v="2024-03-08T00:00:00"/>
    <x v="0"/>
    <x v="2"/>
    <x v="9"/>
    <x v="7"/>
    <x v="4"/>
    <x v="4"/>
    <x v="2"/>
    <n v="6124314692"/>
  </r>
  <r>
    <d v="2024-03-09T00:00:00"/>
    <x v="0"/>
    <x v="2"/>
    <x v="9"/>
    <x v="8"/>
    <x v="0"/>
    <x v="0"/>
    <x v="0"/>
    <n v="1924000000"/>
  </r>
  <r>
    <d v="2024-03-09T00:00:00"/>
    <x v="0"/>
    <x v="2"/>
    <x v="9"/>
    <x v="8"/>
    <x v="1"/>
    <x v="1"/>
    <x v="1"/>
    <n v="72500000"/>
  </r>
  <r>
    <d v="2024-03-09T00:00:00"/>
    <x v="0"/>
    <x v="2"/>
    <x v="9"/>
    <x v="8"/>
    <x v="2"/>
    <x v="2"/>
    <x v="1"/>
    <n v="1468850000"/>
  </r>
  <r>
    <d v="2024-03-09T00:00:00"/>
    <x v="0"/>
    <x v="2"/>
    <x v="9"/>
    <x v="8"/>
    <x v="3"/>
    <x v="3"/>
    <x v="1"/>
    <n v="99750000"/>
  </r>
  <r>
    <d v="2024-03-09T00:00:00"/>
    <x v="0"/>
    <x v="2"/>
    <x v="9"/>
    <x v="8"/>
    <x v="4"/>
    <x v="4"/>
    <x v="2"/>
    <n v="5525151251"/>
  </r>
  <r>
    <d v="2024-03-09T00:00:00"/>
    <x v="0"/>
    <x v="2"/>
    <x v="9"/>
    <x v="8"/>
    <x v="5"/>
    <x v="5"/>
    <x v="3"/>
    <n v="1934051251"/>
  </r>
  <r>
    <d v="2024-03-09T00:00:00"/>
    <x v="0"/>
    <x v="2"/>
    <x v="9"/>
    <x v="8"/>
    <x v="6"/>
    <x v="6"/>
    <x v="0"/>
    <n v="26000000"/>
  </r>
  <r>
    <d v="2024-03-10T00:00:00"/>
    <x v="0"/>
    <x v="2"/>
    <x v="9"/>
    <x v="9"/>
    <x v="6"/>
    <x v="6"/>
    <x v="0"/>
    <n v="33000000"/>
  </r>
  <r>
    <d v="2024-03-10T00:00:00"/>
    <x v="0"/>
    <x v="2"/>
    <x v="9"/>
    <x v="9"/>
    <x v="4"/>
    <x v="4"/>
    <x v="2"/>
    <n v="5021270777"/>
  </r>
  <r>
    <d v="2024-03-10T00:00:00"/>
    <x v="0"/>
    <x v="2"/>
    <x v="9"/>
    <x v="9"/>
    <x v="0"/>
    <x v="0"/>
    <x v="0"/>
    <n v="1570000000"/>
  </r>
  <r>
    <d v="2024-03-10T00:00:00"/>
    <x v="0"/>
    <x v="2"/>
    <x v="9"/>
    <x v="9"/>
    <x v="2"/>
    <x v="2"/>
    <x v="1"/>
    <n v="1220070000"/>
  </r>
  <r>
    <d v="2024-03-10T00:00:00"/>
    <x v="0"/>
    <x v="2"/>
    <x v="9"/>
    <x v="9"/>
    <x v="5"/>
    <x v="5"/>
    <x v="3"/>
    <n v="1951450777"/>
  </r>
  <r>
    <d v="2024-03-10T00:00:00"/>
    <x v="0"/>
    <x v="2"/>
    <x v="9"/>
    <x v="9"/>
    <x v="1"/>
    <x v="1"/>
    <x v="1"/>
    <n v="57750000"/>
  </r>
  <r>
    <d v="2024-03-10T00:00:00"/>
    <x v="0"/>
    <x v="2"/>
    <x v="9"/>
    <x v="9"/>
    <x v="3"/>
    <x v="3"/>
    <x v="1"/>
    <n v="189000000"/>
  </r>
  <r>
    <d v="2024-03-11T00:00:00"/>
    <x v="0"/>
    <x v="2"/>
    <x v="10"/>
    <x v="10"/>
    <x v="6"/>
    <x v="6"/>
    <x v="0"/>
    <n v="62000000"/>
  </r>
  <r>
    <d v="2024-03-11T00:00:00"/>
    <x v="0"/>
    <x v="2"/>
    <x v="10"/>
    <x v="10"/>
    <x v="5"/>
    <x v="5"/>
    <x v="3"/>
    <n v="2471531139"/>
  </r>
  <r>
    <d v="2024-03-11T00:00:00"/>
    <x v="0"/>
    <x v="2"/>
    <x v="10"/>
    <x v="10"/>
    <x v="4"/>
    <x v="4"/>
    <x v="2"/>
    <n v="6503891139"/>
  </r>
  <r>
    <d v="2024-03-11T00:00:00"/>
    <x v="0"/>
    <x v="2"/>
    <x v="10"/>
    <x v="10"/>
    <x v="0"/>
    <x v="0"/>
    <x v="0"/>
    <n v="1986000000"/>
  </r>
  <r>
    <d v="2024-03-11T00:00:00"/>
    <x v="0"/>
    <x v="2"/>
    <x v="10"/>
    <x v="10"/>
    <x v="1"/>
    <x v="1"/>
    <x v="1"/>
    <n v="69850000"/>
  </r>
  <r>
    <d v="2024-03-11T00:00:00"/>
    <x v="0"/>
    <x v="2"/>
    <x v="10"/>
    <x v="10"/>
    <x v="2"/>
    <x v="2"/>
    <x v="1"/>
    <n v="1792710000"/>
  </r>
  <r>
    <d v="2024-03-11T00:00:00"/>
    <x v="0"/>
    <x v="2"/>
    <x v="10"/>
    <x v="10"/>
    <x v="3"/>
    <x v="3"/>
    <x v="1"/>
    <n v="121800000"/>
  </r>
  <r>
    <d v="2024-03-12T00:00:00"/>
    <x v="0"/>
    <x v="2"/>
    <x v="10"/>
    <x v="11"/>
    <x v="3"/>
    <x v="3"/>
    <x v="1"/>
    <n v="277750000"/>
  </r>
  <r>
    <d v="2024-03-12T00:00:00"/>
    <x v="0"/>
    <x v="2"/>
    <x v="10"/>
    <x v="11"/>
    <x v="4"/>
    <x v="4"/>
    <x v="2"/>
    <n v="6346205853"/>
  </r>
  <r>
    <d v="2024-03-12T00:00:00"/>
    <x v="0"/>
    <x v="2"/>
    <x v="10"/>
    <x v="11"/>
    <x v="1"/>
    <x v="1"/>
    <x v="1"/>
    <n v="135500000"/>
  </r>
  <r>
    <d v="2024-03-12T00:00:00"/>
    <x v="0"/>
    <x v="2"/>
    <x v="10"/>
    <x v="11"/>
    <x v="6"/>
    <x v="6"/>
    <x v="0"/>
    <n v="48000000"/>
  </r>
  <r>
    <d v="2024-03-12T00:00:00"/>
    <x v="0"/>
    <x v="2"/>
    <x v="10"/>
    <x v="11"/>
    <x v="0"/>
    <x v="0"/>
    <x v="0"/>
    <n v="1875500000"/>
  </r>
  <r>
    <d v="2024-03-12T00:00:00"/>
    <x v="0"/>
    <x v="2"/>
    <x v="10"/>
    <x v="11"/>
    <x v="2"/>
    <x v="2"/>
    <x v="1"/>
    <n v="2002630000"/>
  </r>
  <r>
    <d v="2024-03-12T00:00:00"/>
    <x v="0"/>
    <x v="2"/>
    <x v="10"/>
    <x v="11"/>
    <x v="5"/>
    <x v="5"/>
    <x v="3"/>
    <n v="2006825853"/>
  </r>
  <r>
    <d v="2024-03-13T00:00:00"/>
    <x v="0"/>
    <x v="2"/>
    <x v="10"/>
    <x v="12"/>
    <x v="1"/>
    <x v="1"/>
    <x v="1"/>
    <n v="63000000"/>
  </r>
  <r>
    <d v="2024-03-13T00:00:00"/>
    <x v="0"/>
    <x v="2"/>
    <x v="10"/>
    <x v="12"/>
    <x v="0"/>
    <x v="0"/>
    <x v="0"/>
    <n v="1931000000"/>
  </r>
  <r>
    <d v="2024-03-13T00:00:00"/>
    <x v="0"/>
    <x v="2"/>
    <x v="10"/>
    <x v="12"/>
    <x v="5"/>
    <x v="5"/>
    <x v="3"/>
    <n v="1727246651"/>
  </r>
  <r>
    <d v="2024-03-13T00:00:00"/>
    <x v="0"/>
    <x v="2"/>
    <x v="10"/>
    <x v="12"/>
    <x v="6"/>
    <x v="6"/>
    <x v="0"/>
    <n v="36000000"/>
  </r>
  <r>
    <d v="2024-03-13T00:00:00"/>
    <x v="0"/>
    <x v="2"/>
    <x v="10"/>
    <x v="12"/>
    <x v="2"/>
    <x v="2"/>
    <x v="1"/>
    <n v="1933140000"/>
  </r>
  <r>
    <d v="2024-03-13T00:00:00"/>
    <x v="0"/>
    <x v="2"/>
    <x v="10"/>
    <x v="12"/>
    <x v="4"/>
    <x v="4"/>
    <x v="2"/>
    <n v="5868886651"/>
  </r>
  <r>
    <d v="2024-03-13T00:00:00"/>
    <x v="0"/>
    <x v="2"/>
    <x v="10"/>
    <x v="12"/>
    <x v="3"/>
    <x v="3"/>
    <x v="1"/>
    <n v="178500000"/>
  </r>
  <r>
    <d v="2024-03-14T00:00:00"/>
    <x v="0"/>
    <x v="2"/>
    <x v="10"/>
    <x v="13"/>
    <x v="2"/>
    <x v="2"/>
    <x v="1"/>
    <n v="1951780000"/>
  </r>
  <r>
    <d v="2024-03-14T00:00:00"/>
    <x v="0"/>
    <x v="2"/>
    <x v="10"/>
    <x v="13"/>
    <x v="5"/>
    <x v="5"/>
    <x v="3"/>
    <n v="2145948677"/>
  </r>
  <r>
    <d v="2024-03-14T00:00:00"/>
    <x v="0"/>
    <x v="2"/>
    <x v="10"/>
    <x v="13"/>
    <x v="3"/>
    <x v="3"/>
    <x v="1"/>
    <n v="148050000"/>
  </r>
  <r>
    <d v="2024-03-14T00:00:00"/>
    <x v="0"/>
    <x v="2"/>
    <x v="10"/>
    <x v="13"/>
    <x v="4"/>
    <x v="4"/>
    <x v="2"/>
    <n v="6218278677"/>
  </r>
  <r>
    <d v="2024-03-14T00:00:00"/>
    <x v="0"/>
    <x v="2"/>
    <x v="10"/>
    <x v="13"/>
    <x v="1"/>
    <x v="1"/>
    <x v="1"/>
    <n v="21000000"/>
  </r>
  <r>
    <d v="2024-03-14T00:00:00"/>
    <x v="0"/>
    <x v="2"/>
    <x v="10"/>
    <x v="13"/>
    <x v="0"/>
    <x v="0"/>
    <x v="0"/>
    <n v="1935500000"/>
  </r>
  <r>
    <d v="2024-03-14T00:00:00"/>
    <x v="0"/>
    <x v="2"/>
    <x v="10"/>
    <x v="13"/>
    <x v="6"/>
    <x v="6"/>
    <x v="0"/>
    <n v="16000000"/>
  </r>
  <r>
    <d v="2024-03-15T00:00:00"/>
    <x v="0"/>
    <x v="2"/>
    <x v="10"/>
    <x v="14"/>
    <x v="3"/>
    <x v="3"/>
    <x v="1"/>
    <n v="213200000"/>
  </r>
  <r>
    <d v="2024-03-15T00:00:00"/>
    <x v="0"/>
    <x v="2"/>
    <x v="10"/>
    <x v="14"/>
    <x v="1"/>
    <x v="1"/>
    <x v="1"/>
    <n v="57250000"/>
  </r>
  <r>
    <d v="2024-03-15T00:00:00"/>
    <x v="0"/>
    <x v="2"/>
    <x v="10"/>
    <x v="14"/>
    <x v="5"/>
    <x v="5"/>
    <x v="3"/>
    <n v="2412573873"/>
  </r>
  <r>
    <d v="2024-03-15T00:00:00"/>
    <x v="0"/>
    <x v="2"/>
    <x v="10"/>
    <x v="14"/>
    <x v="0"/>
    <x v="0"/>
    <x v="0"/>
    <n v="1950500000"/>
  </r>
  <r>
    <d v="2024-03-15T00:00:00"/>
    <x v="0"/>
    <x v="2"/>
    <x v="10"/>
    <x v="14"/>
    <x v="4"/>
    <x v="4"/>
    <x v="2"/>
    <n v="6266413873"/>
  </r>
  <r>
    <d v="2024-03-15T00:00:00"/>
    <x v="0"/>
    <x v="2"/>
    <x v="10"/>
    <x v="14"/>
    <x v="2"/>
    <x v="2"/>
    <x v="1"/>
    <n v="1607890000"/>
  </r>
  <r>
    <d v="2024-03-15T00:00:00"/>
    <x v="0"/>
    <x v="2"/>
    <x v="10"/>
    <x v="14"/>
    <x v="6"/>
    <x v="6"/>
    <x v="0"/>
    <n v="25000000"/>
  </r>
  <r>
    <d v="2024-03-16T00:00:00"/>
    <x v="0"/>
    <x v="2"/>
    <x v="10"/>
    <x v="15"/>
    <x v="4"/>
    <x v="4"/>
    <x v="2"/>
    <n v="5041001781"/>
  </r>
  <r>
    <d v="2024-03-16T00:00:00"/>
    <x v="0"/>
    <x v="2"/>
    <x v="10"/>
    <x v="15"/>
    <x v="2"/>
    <x v="2"/>
    <x v="1"/>
    <n v="1520660000"/>
  </r>
  <r>
    <d v="2024-03-16T00:00:00"/>
    <x v="0"/>
    <x v="2"/>
    <x v="10"/>
    <x v="15"/>
    <x v="1"/>
    <x v="1"/>
    <x v="1"/>
    <n v="93450000"/>
  </r>
  <r>
    <d v="2024-03-16T00:00:00"/>
    <x v="0"/>
    <x v="2"/>
    <x v="10"/>
    <x v="15"/>
    <x v="3"/>
    <x v="3"/>
    <x v="1"/>
    <n v="26250000"/>
  </r>
  <r>
    <d v="2024-03-16T00:00:00"/>
    <x v="0"/>
    <x v="2"/>
    <x v="10"/>
    <x v="15"/>
    <x v="5"/>
    <x v="5"/>
    <x v="3"/>
    <n v="1527141781"/>
  </r>
  <r>
    <d v="2024-03-16T00:00:00"/>
    <x v="0"/>
    <x v="2"/>
    <x v="10"/>
    <x v="15"/>
    <x v="0"/>
    <x v="0"/>
    <x v="0"/>
    <n v="1855500000"/>
  </r>
  <r>
    <d v="2024-03-16T00:00:00"/>
    <x v="0"/>
    <x v="2"/>
    <x v="10"/>
    <x v="15"/>
    <x v="6"/>
    <x v="6"/>
    <x v="0"/>
    <n v="18000000"/>
  </r>
  <r>
    <d v="2024-03-17T00:00:00"/>
    <x v="0"/>
    <x v="2"/>
    <x v="10"/>
    <x v="16"/>
    <x v="3"/>
    <x v="3"/>
    <x v="1"/>
    <n v="78750000"/>
  </r>
  <r>
    <d v="2024-03-17T00:00:00"/>
    <x v="0"/>
    <x v="2"/>
    <x v="10"/>
    <x v="16"/>
    <x v="2"/>
    <x v="2"/>
    <x v="1"/>
    <n v="1307100000"/>
  </r>
  <r>
    <d v="2024-03-17T00:00:00"/>
    <x v="0"/>
    <x v="2"/>
    <x v="10"/>
    <x v="16"/>
    <x v="5"/>
    <x v="5"/>
    <x v="3"/>
    <n v="1628683941"/>
  </r>
  <r>
    <d v="2024-03-17T00:00:00"/>
    <x v="0"/>
    <x v="2"/>
    <x v="10"/>
    <x v="16"/>
    <x v="6"/>
    <x v="6"/>
    <x v="0"/>
    <n v="5000000"/>
  </r>
  <r>
    <d v="2024-03-17T00:00:00"/>
    <x v="0"/>
    <x v="2"/>
    <x v="10"/>
    <x v="16"/>
    <x v="1"/>
    <x v="1"/>
    <x v="1"/>
    <n v="94500000"/>
  </r>
  <r>
    <d v="2024-03-17T00:00:00"/>
    <x v="0"/>
    <x v="2"/>
    <x v="10"/>
    <x v="16"/>
    <x v="4"/>
    <x v="4"/>
    <x v="2"/>
    <n v="4906033941"/>
  </r>
  <r>
    <d v="2024-03-17T00:00:00"/>
    <x v="0"/>
    <x v="2"/>
    <x v="10"/>
    <x v="16"/>
    <x v="0"/>
    <x v="0"/>
    <x v="0"/>
    <n v="1792000000"/>
  </r>
  <r>
    <d v="2024-03-18T00:00:00"/>
    <x v="0"/>
    <x v="2"/>
    <x v="11"/>
    <x v="17"/>
    <x v="1"/>
    <x v="1"/>
    <x v="1"/>
    <n v="99900000"/>
  </r>
  <r>
    <d v="2024-03-18T00:00:00"/>
    <x v="0"/>
    <x v="2"/>
    <x v="11"/>
    <x v="17"/>
    <x v="6"/>
    <x v="6"/>
    <x v="0"/>
    <n v="9000000"/>
  </r>
  <r>
    <d v="2024-03-18T00:00:00"/>
    <x v="0"/>
    <x v="2"/>
    <x v="11"/>
    <x v="17"/>
    <x v="2"/>
    <x v="2"/>
    <x v="1"/>
    <n v="1789410000"/>
  </r>
  <r>
    <d v="2024-03-18T00:00:00"/>
    <x v="0"/>
    <x v="2"/>
    <x v="11"/>
    <x v="17"/>
    <x v="0"/>
    <x v="0"/>
    <x v="0"/>
    <n v="2054000000"/>
  </r>
  <r>
    <d v="2024-03-18T00:00:00"/>
    <x v="0"/>
    <x v="2"/>
    <x v="11"/>
    <x v="17"/>
    <x v="4"/>
    <x v="4"/>
    <x v="2"/>
    <n v="6273067938"/>
  </r>
  <r>
    <d v="2024-03-18T00:00:00"/>
    <x v="0"/>
    <x v="2"/>
    <x v="11"/>
    <x v="17"/>
    <x v="3"/>
    <x v="3"/>
    <x v="1"/>
    <n v="126000000"/>
  </r>
  <r>
    <d v="2024-03-18T00:00:00"/>
    <x v="0"/>
    <x v="2"/>
    <x v="11"/>
    <x v="17"/>
    <x v="5"/>
    <x v="5"/>
    <x v="3"/>
    <n v="2194757938"/>
  </r>
  <r>
    <d v="2024-03-19T00:00:00"/>
    <x v="0"/>
    <x v="2"/>
    <x v="11"/>
    <x v="18"/>
    <x v="1"/>
    <x v="1"/>
    <x v="1"/>
    <n v="94500000"/>
  </r>
  <r>
    <d v="2024-03-19T00:00:00"/>
    <x v="0"/>
    <x v="2"/>
    <x v="11"/>
    <x v="18"/>
    <x v="2"/>
    <x v="2"/>
    <x v="1"/>
    <n v="1533910000"/>
  </r>
  <r>
    <d v="2024-03-19T00:00:00"/>
    <x v="0"/>
    <x v="2"/>
    <x v="11"/>
    <x v="18"/>
    <x v="4"/>
    <x v="4"/>
    <x v="2"/>
    <n v="5433584662"/>
  </r>
  <r>
    <d v="2024-03-19T00:00:00"/>
    <x v="0"/>
    <x v="2"/>
    <x v="11"/>
    <x v="18"/>
    <x v="5"/>
    <x v="5"/>
    <x v="3"/>
    <n v="1830624662"/>
  </r>
  <r>
    <d v="2024-03-19T00:00:00"/>
    <x v="0"/>
    <x v="2"/>
    <x v="11"/>
    <x v="18"/>
    <x v="6"/>
    <x v="6"/>
    <x v="0"/>
    <n v="72000000"/>
  </r>
  <r>
    <d v="2024-03-19T00:00:00"/>
    <x v="0"/>
    <x v="2"/>
    <x v="11"/>
    <x v="18"/>
    <x v="0"/>
    <x v="0"/>
    <x v="0"/>
    <n v="1582000000"/>
  </r>
  <r>
    <d v="2024-03-19T00:00:00"/>
    <x v="0"/>
    <x v="2"/>
    <x v="11"/>
    <x v="18"/>
    <x v="3"/>
    <x v="3"/>
    <x v="1"/>
    <n v="320550000"/>
  </r>
  <r>
    <d v="2024-03-20T00:00:00"/>
    <x v="0"/>
    <x v="2"/>
    <x v="11"/>
    <x v="19"/>
    <x v="6"/>
    <x v="6"/>
    <x v="0"/>
    <n v="14000000"/>
  </r>
  <r>
    <d v="2024-03-20T00:00:00"/>
    <x v="0"/>
    <x v="2"/>
    <x v="11"/>
    <x v="19"/>
    <x v="1"/>
    <x v="1"/>
    <x v="1"/>
    <n v="94500000"/>
  </r>
  <r>
    <d v="2024-03-20T00:00:00"/>
    <x v="0"/>
    <x v="2"/>
    <x v="11"/>
    <x v="19"/>
    <x v="4"/>
    <x v="4"/>
    <x v="2"/>
    <n v="5453000928"/>
  </r>
  <r>
    <d v="2024-03-20T00:00:00"/>
    <x v="0"/>
    <x v="2"/>
    <x v="11"/>
    <x v="19"/>
    <x v="5"/>
    <x v="5"/>
    <x v="3"/>
    <n v="1737460928"/>
  </r>
  <r>
    <d v="2024-03-20T00:00:00"/>
    <x v="0"/>
    <x v="2"/>
    <x v="11"/>
    <x v="19"/>
    <x v="2"/>
    <x v="2"/>
    <x v="1"/>
    <n v="1607640000"/>
  </r>
  <r>
    <d v="2024-03-20T00:00:00"/>
    <x v="0"/>
    <x v="2"/>
    <x v="11"/>
    <x v="19"/>
    <x v="3"/>
    <x v="3"/>
    <x v="1"/>
    <n v="176400000"/>
  </r>
  <r>
    <d v="2024-03-20T00:00:00"/>
    <x v="0"/>
    <x v="2"/>
    <x v="11"/>
    <x v="19"/>
    <x v="0"/>
    <x v="0"/>
    <x v="0"/>
    <n v="1823000000"/>
  </r>
  <r>
    <d v="2024-03-21T00:00:00"/>
    <x v="0"/>
    <x v="2"/>
    <x v="11"/>
    <x v="20"/>
    <x v="4"/>
    <x v="4"/>
    <x v="2"/>
    <n v="5470373779"/>
  </r>
  <r>
    <d v="2024-03-21T00:00:00"/>
    <x v="0"/>
    <x v="2"/>
    <x v="11"/>
    <x v="20"/>
    <x v="7"/>
    <x v="7"/>
    <x v="4"/>
    <n v="25000"/>
  </r>
  <r>
    <d v="2024-03-21T00:00:00"/>
    <x v="0"/>
    <x v="2"/>
    <x v="11"/>
    <x v="20"/>
    <x v="3"/>
    <x v="3"/>
    <x v="1"/>
    <n v="159600000"/>
  </r>
  <r>
    <d v="2024-03-21T00:00:00"/>
    <x v="0"/>
    <x v="2"/>
    <x v="11"/>
    <x v="20"/>
    <x v="1"/>
    <x v="1"/>
    <x v="1"/>
    <n v="49900000"/>
  </r>
  <r>
    <d v="2024-03-21T00:00:00"/>
    <x v="0"/>
    <x v="2"/>
    <x v="11"/>
    <x v="20"/>
    <x v="6"/>
    <x v="6"/>
    <x v="0"/>
    <n v="64000000"/>
  </r>
  <r>
    <d v="2024-03-21T00:00:00"/>
    <x v="0"/>
    <x v="2"/>
    <x v="11"/>
    <x v="20"/>
    <x v="2"/>
    <x v="2"/>
    <x v="1"/>
    <n v="1414930000"/>
  </r>
  <r>
    <d v="2024-03-21T00:00:00"/>
    <x v="0"/>
    <x v="2"/>
    <x v="11"/>
    <x v="20"/>
    <x v="0"/>
    <x v="0"/>
    <x v="0"/>
    <n v="2019000000"/>
  </r>
  <r>
    <d v="2024-03-21T00:00:00"/>
    <x v="0"/>
    <x v="2"/>
    <x v="11"/>
    <x v="20"/>
    <x v="5"/>
    <x v="5"/>
    <x v="3"/>
    <n v="1762918779"/>
  </r>
  <r>
    <d v="2024-03-22T00:00:00"/>
    <x v="0"/>
    <x v="2"/>
    <x v="11"/>
    <x v="21"/>
    <x v="2"/>
    <x v="2"/>
    <x v="1"/>
    <n v="1450480000"/>
  </r>
  <r>
    <d v="2024-03-22T00:00:00"/>
    <x v="0"/>
    <x v="2"/>
    <x v="11"/>
    <x v="21"/>
    <x v="7"/>
    <x v="7"/>
    <x v="4"/>
    <n v="168769"/>
  </r>
  <r>
    <d v="2024-03-22T00:00:00"/>
    <x v="0"/>
    <x v="2"/>
    <x v="11"/>
    <x v="21"/>
    <x v="5"/>
    <x v="5"/>
    <x v="3"/>
    <n v="2328694861"/>
  </r>
  <r>
    <d v="2024-03-22T00:00:00"/>
    <x v="0"/>
    <x v="2"/>
    <x v="11"/>
    <x v="21"/>
    <x v="6"/>
    <x v="6"/>
    <x v="0"/>
    <n v="36000000"/>
  </r>
  <r>
    <d v="2024-03-22T00:00:00"/>
    <x v="0"/>
    <x v="2"/>
    <x v="11"/>
    <x v="21"/>
    <x v="1"/>
    <x v="1"/>
    <x v="1"/>
    <n v="73500000"/>
  </r>
  <r>
    <d v="2024-03-22T00:00:00"/>
    <x v="0"/>
    <x v="2"/>
    <x v="11"/>
    <x v="21"/>
    <x v="4"/>
    <x v="4"/>
    <x v="2"/>
    <n v="6242343630"/>
  </r>
  <r>
    <d v="2024-03-22T00:00:00"/>
    <x v="0"/>
    <x v="2"/>
    <x v="11"/>
    <x v="21"/>
    <x v="0"/>
    <x v="0"/>
    <x v="0"/>
    <n v="2144000000"/>
  </r>
  <r>
    <d v="2024-03-22T00:00:00"/>
    <x v="0"/>
    <x v="2"/>
    <x v="11"/>
    <x v="21"/>
    <x v="3"/>
    <x v="3"/>
    <x v="1"/>
    <n v="209500000"/>
  </r>
  <r>
    <d v="2024-03-23T00:00:00"/>
    <x v="0"/>
    <x v="2"/>
    <x v="11"/>
    <x v="22"/>
    <x v="5"/>
    <x v="5"/>
    <x v="3"/>
    <n v="1643105261"/>
  </r>
  <r>
    <d v="2024-03-23T00:00:00"/>
    <x v="0"/>
    <x v="2"/>
    <x v="11"/>
    <x v="22"/>
    <x v="6"/>
    <x v="6"/>
    <x v="0"/>
    <n v="42000000"/>
  </r>
  <r>
    <d v="2024-03-23T00:00:00"/>
    <x v="0"/>
    <x v="2"/>
    <x v="11"/>
    <x v="22"/>
    <x v="1"/>
    <x v="1"/>
    <x v="1"/>
    <n v="78750000"/>
  </r>
  <r>
    <d v="2024-03-23T00:00:00"/>
    <x v="0"/>
    <x v="2"/>
    <x v="11"/>
    <x v="22"/>
    <x v="2"/>
    <x v="2"/>
    <x v="1"/>
    <n v="1514420000"/>
  </r>
  <r>
    <d v="2024-03-23T00:00:00"/>
    <x v="0"/>
    <x v="2"/>
    <x v="11"/>
    <x v="22"/>
    <x v="7"/>
    <x v="7"/>
    <x v="4"/>
    <n v="45356"/>
  </r>
  <r>
    <d v="2024-03-23T00:00:00"/>
    <x v="0"/>
    <x v="2"/>
    <x v="11"/>
    <x v="22"/>
    <x v="3"/>
    <x v="3"/>
    <x v="1"/>
    <n v="73500000"/>
  </r>
  <r>
    <d v="2024-03-23T00:00:00"/>
    <x v="0"/>
    <x v="2"/>
    <x v="11"/>
    <x v="22"/>
    <x v="0"/>
    <x v="0"/>
    <x v="0"/>
    <n v="1749500000"/>
  </r>
  <r>
    <d v="2024-03-23T00:00:00"/>
    <x v="0"/>
    <x v="2"/>
    <x v="11"/>
    <x v="22"/>
    <x v="4"/>
    <x v="4"/>
    <x v="2"/>
    <n v="5101320617"/>
  </r>
  <r>
    <d v="2024-03-24T00:00:00"/>
    <x v="0"/>
    <x v="2"/>
    <x v="11"/>
    <x v="23"/>
    <x v="0"/>
    <x v="0"/>
    <x v="0"/>
    <n v="1557000000"/>
  </r>
  <r>
    <d v="2024-03-24T00:00:00"/>
    <x v="0"/>
    <x v="2"/>
    <x v="11"/>
    <x v="23"/>
    <x v="1"/>
    <x v="1"/>
    <x v="1"/>
    <n v="125500000"/>
  </r>
  <r>
    <d v="2024-03-24T00:00:00"/>
    <x v="0"/>
    <x v="2"/>
    <x v="11"/>
    <x v="23"/>
    <x v="3"/>
    <x v="3"/>
    <x v="1"/>
    <n v="108200000"/>
  </r>
  <r>
    <d v="2024-03-24T00:00:00"/>
    <x v="0"/>
    <x v="2"/>
    <x v="11"/>
    <x v="23"/>
    <x v="7"/>
    <x v="7"/>
    <x v="4"/>
    <n v="0"/>
  </r>
  <r>
    <d v="2024-03-24T00:00:00"/>
    <x v="0"/>
    <x v="2"/>
    <x v="11"/>
    <x v="23"/>
    <x v="6"/>
    <x v="6"/>
    <x v="0"/>
    <n v="37000000"/>
  </r>
  <r>
    <d v="2024-03-24T00:00:00"/>
    <x v="0"/>
    <x v="2"/>
    <x v="11"/>
    <x v="23"/>
    <x v="4"/>
    <x v="4"/>
    <x v="2"/>
    <n v="4836062027"/>
  </r>
  <r>
    <d v="2024-03-24T00:00:00"/>
    <x v="0"/>
    <x v="2"/>
    <x v="11"/>
    <x v="23"/>
    <x v="2"/>
    <x v="2"/>
    <x v="1"/>
    <n v="1125010000"/>
  </r>
  <r>
    <d v="2024-03-24T00:00:00"/>
    <x v="0"/>
    <x v="2"/>
    <x v="11"/>
    <x v="23"/>
    <x v="5"/>
    <x v="5"/>
    <x v="3"/>
    <n v="1883352027"/>
  </r>
  <r>
    <d v="2024-03-25T00:00:00"/>
    <x v="0"/>
    <x v="2"/>
    <x v="12"/>
    <x v="24"/>
    <x v="7"/>
    <x v="7"/>
    <x v="4"/>
    <n v="71056"/>
  </r>
  <r>
    <d v="2024-03-25T00:00:00"/>
    <x v="0"/>
    <x v="2"/>
    <x v="12"/>
    <x v="24"/>
    <x v="5"/>
    <x v="5"/>
    <x v="3"/>
    <n v="1666741556"/>
  </r>
  <r>
    <d v="2024-03-25T00:00:00"/>
    <x v="0"/>
    <x v="2"/>
    <x v="12"/>
    <x v="24"/>
    <x v="6"/>
    <x v="6"/>
    <x v="0"/>
    <n v="69000000"/>
  </r>
  <r>
    <d v="2024-03-25T00:00:00"/>
    <x v="0"/>
    <x v="2"/>
    <x v="12"/>
    <x v="24"/>
    <x v="1"/>
    <x v="1"/>
    <x v="1"/>
    <n v="99750000"/>
  </r>
  <r>
    <d v="2024-03-25T00:00:00"/>
    <x v="0"/>
    <x v="2"/>
    <x v="12"/>
    <x v="24"/>
    <x v="4"/>
    <x v="4"/>
    <x v="2"/>
    <n v="6029302612"/>
  </r>
  <r>
    <d v="2024-03-25T00:00:00"/>
    <x v="0"/>
    <x v="2"/>
    <x v="12"/>
    <x v="24"/>
    <x v="0"/>
    <x v="0"/>
    <x v="0"/>
    <n v="2167000000"/>
  </r>
  <r>
    <d v="2024-03-25T00:00:00"/>
    <x v="0"/>
    <x v="2"/>
    <x v="12"/>
    <x v="24"/>
    <x v="2"/>
    <x v="2"/>
    <x v="1"/>
    <n v="1801490000"/>
  </r>
  <r>
    <d v="2024-03-25T00:00:00"/>
    <x v="0"/>
    <x v="2"/>
    <x v="12"/>
    <x v="24"/>
    <x v="3"/>
    <x v="3"/>
    <x v="1"/>
    <n v="225250000"/>
  </r>
  <r>
    <d v="2024-03-26T00:00:00"/>
    <x v="0"/>
    <x v="2"/>
    <x v="12"/>
    <x v="25"/>
    <x v="0"/>
    <x v="0"/>
    <x v="0"/>
    <n v="1892000000"/>
  </r>
  <r>
    <d v="2024-03-26T00:00:00"/>
    <x v="0"/>
    <x v="2"/>
    <x v="12"/>
    <x v="25"/>
    <x v="3"/>
    <x v="3"/>
    <x v="1"/>
    <n v="94500000"/>
  </r>
  <r>
    <d v="2024-03-26T00:00:00"/>
    <x v="0"/>
    <x v="2"/>
    <x v="12"/>
    <x v="25"/>
    <x v="5"/>
    <x v="5"/>
    <x v="3"/>
    <n v="1908240123"/>
  </r>
  <r>
    <d v="2024-03-26T00:00:00"/>
    <x v="0"/>
    <x v="2"/>
    <x v="12"/>
    <x v="25"/>
    <x v="6"/>
    <x v="6"/>
    <x v="0"/>
    <n v="28000000"/>
  </r>
  <r>
    <d v="2024-03-26T00:00:00"/>
    <x v="0"/>
    <x v="2"/>
    <x v="12"/>
    <x v="25"/>
    <x v="4"/>
    <x v="4"/>
    <x v="2"/>
    <n v="5770060123"/>
  </r>
  <r>
    <d v="2024-03-26T00:00:00"/>
    <x v="0"/>
    <x v="2"/>
    <x v="12"/>
    <x v="25"/>
    <x v="1"/>
    <x v="1"/>
    <x v="1"/>
    <n v="63000000"/>
  </r>
  <r>
    <d v="2024-03-26T00:00:00"/>
    <x v="0"/>
    <x v="2"/>
    <x v="12"/>
    <x v="25"/>
    <x v="7"/>
    <x v="7"/>
    <x v="4"/>
    <n v="0"/>
  </r>
  <r>
    <d v="2024-03-26T00:00:00"/>
    <x v="0"/>
    <x v="2"/>
    <x v="12"/>
    <x v="25"/>
    <x v="2"/>
    <x v="2"/>
    <x v="1"/>
    <n v="1784320000"/>
  </r>
  <r>
    <d v="2024-03-27T00:00:00"/>
    <x v="0"/>
    <x v="2"/>
    <x v="12"/>
    <x v="26"/>
    <x v="5"/>
    <x v="5"/>
    <x v="3"/>
    <n v="1892157279"/>
  </r>
  <r>
    <d v="2024-03-27T00:00:00"/>
    <x v="0"/>
    <x v="2"/>
    <x v="12"/>
    <x v="26"/>
    <x v="6"/>
    <x v="6"/>
    <x v="0"/>
    <n v="41000000"/>
  </r>
  <r>
    <d v="2024-03-27T00:00:00"/>
    <x v="0"/>
    <x v="2"/>
    <x v="12"/>
    <x v="26"/>
    <x v="2"/>
    <x v="2"/>
    <x v="1"/>
    <n v="1956130000"/>
  </r>
  <r>
    <d v="2024-03-27T00:00:00"/>
    <x v="0"/>
    <x v="2"/>
    <x v="12"/>
    <x v="26"/>
    <x v="3"/>
    <x v="3"/>
    <x v="1"/>
    <n v="136500000"/>
  </r>
  <r>
    <d v="2024-03-27T00:00:00"/>
    <x v="0"/>
    <x v="2"/>
    <x v="12"/>
    <x v="26"/>
    <x v="1"/>
    <x v="1"/>
    <x v="1"/>
    <n v="94500000"/>
  </r>
  <r>
    <d v="2024-03-27T00:00:00"/>
    <x v="0"/>
    <x v="2"/>
    <x v="12"/>
    <x v="26"/>
    <x v="4"/>
    <x v="4"/>
    <x v="2"/>
    <n v="5897787279"/>
  </r>
  <r>
    <d v="2024-03-27T00:00:00"/>
    <x v="0"/>
    <x v="2"/>
    <x v="12"/>
    <x v="26"/>
    <x v="0"/>
    <x v="0"/>
    <x v="0"/>
    <n v="1777500000"/>
  </r>
  <r>
    <d v="2024-03-27T00:00:00"/>
    <x v="0"/>
    <x v="2"/>
    <x v="12"/>
    <x v="26"/>
    <x v="7"/>
    <x v="7"/>
    <x v="4"/>
    <n v="0"/>
  </r>
  <r>
    <d v="2024-03-28T00:00:00"/>
    <x v="0"/>
    <x v="2"/>
    <x v="12"/>
    <x v="27"/>
    <x v="1"/>
    <x v="1"/>
    <x v="1"/>
    <n v="63000000"/>
  </r>
  <r>
    <d v="2024-03-28T00:00:00"/>
    <x v="0"/>
    <x v="2"/>
    <x v="12"/>
    <x v="27"/>
    <x v="3"/>
    <x v="3"/>
    <x v="1"/>
    <n v="96600000"/>
  </r>
  <r>
    <d v="2024-03-28T00:00:00"/>
    <x v="0"/>
    <x v="2"/>
    <x v="12"/>
    <x v="27"/>
    <x v="2"/>
    <x v="2"/>
    <x v="1"/>
    <n v="1591320000"/>
  </r>
  <r>
    <d v="2024-03-28T00:00:00"/>
    <x v="0"/>
    <x v="2"/>
    <x v="12"/>
    <x v="27"/>
    <x v="5"/>
    <x v="5"/>
    <x v="3"/>
    <n v="1733341018"/>
  </r>
  <r>
    <d v="2024-03-28T00:00:00"/>
    <x v="0"/>
    <x v="2"/>
    <x v="12"/>
    <x v="27"/>
    <x v="4"/>
    <x v="4"/>
    <x v="2"/>
    <n v="5411266018"/>
  </r>
  <r>
    <d v="2024-03-28T00:00:00"/>
    <x v="0"/>
    <x v="2"/>
    <x v="12"/>
    <x v="27"/>
    <x v="7"/>
    <x v="7"/>
    <x v="4"/>
    <n v="5000"/>
  </r>
  <r>
    <d v="2024-03-28T00:00:00"/>
    <x v="0"/>
    <x v="2"/>
    <x v="12"/>
    <x v="27"/>
    <x v="6"/>
    <x v="6"/>
    <x v="0"/>
    <n v="48000000"/>
  </r>
  <r>
    <d v="2024-03-28T00:00:00"/>
    <x v="0"/>
    <x v="2"/>
    <x v="12"/>
    <x v="27"/>
    <x v="0"/>
    <x v="0"/>
    <x v="0"/>
    <n v="1879000000"/>
  </r>
  <r>
    <d v="2024-03-29T00:00:00"/>
    <x v="0"/>
    <x v="2"/>
    <x v="12"/>
    <x v="28"/>
    <x v="7"/>
    <x v="7"/>
    <x v="4"/>
    <n v="730689"/>
  </r>
  <r>
    <d v="2024-03-29T00:00:00"/>
    <x v="0"/>
    <x v="2"/>
    <x v="12"/>
    <x v="28"/>
    <x v="6"/>
    <x v="6"/>
    <x v="0"/>
    <n v="38000000"/>
  </r>
  <r>
    <d v="2024-03-29T00:00:00"/>
    <x v="0"/>
    <x v="2"/>
    <x v="12"/>
    <x v="28"/>
    <x v="4"/>
    <x v="4"/>
    <x v="2"/>
    <n v="6303437639"/>
  </r>
  <r>
    <d v="2024-03-29T00:00:00"/>
    <x v="0"/>
    <x v="2"/>
    <x v="12"/>
    <x v="28"/>
    <x v="5"/>
    <x v="5"/>
    <x v="3"/>
    <n v="2258666950"/>
  </r>
  <r>
    <d v="2024-03-29T00:00:00"/>
    <x v="0"/>
    <x v="2"/>
    <x v="12"/>
    <x v="28"/>
    <x v="1"/>
    <x v="1"/>
    <x v="1"/>
    <n v="21000000"/>
  </r>
  <r>
    <d v="2024-03-29T00:00:00"/>
    <x v="0"/>
    <x v="2"/>
    <x v="12"/>
    <x v="28"/>
    <x v="0"/>
    <x v="0"/>
    <x v="0"/>
    <n v="2088000000"/>
  </r>
  <r>
    <d v="2024-03-29T00:00:00"/>
    <x v="0"/>
    <x v="2"/>
    <x v="12"/>
    <x v="28"/>
    <x v="2"/>
    <x v="2"/>
    <x v="1"/>
    <n v="1673390000"/>
  </r>
  <r>
    <d v="2024-03-29T00:00:00"/>
    <x v="0"/>
    <x v="2"/>
    <x v="12"/>
    <x v="28"/>
    <x v="3"/>
    <x v="3"/>
    <x v="1"/>
    <n v="223650000"/>
  </r>
  <r>
    <d v="2024-03-30T00:00:00"/>
    <x v="0"/>
    <x v="2"/>
    <x v="12"/>
    <x v="29"/>
    <x v="5"/>
    <x v="5"/>
    <x v="3"/>
    <n v="1741872390"/>
  </r>
  <r>
    <d v="2024-03-30T00:00:00"/>
    <x v="0"/>
    <x v="2"/>
    <x v="12"/>
    <x v="29"/>
    <x v="7"/>
    <x v="7"/>
    <x v="4"/>
    <n v="0"/>
  </r>
  <r>
    <d v="2024-03-30T00:00:00"/>
    <x v="0"/>
    <x v="2"/>
    <x v="12"/>
    <x v="29"/>
    <x v="1"/>
    <x v="1"/>
    <x v="1"/>
    <n v="83000000"/>
  </r>
  <r>
    <d v="2024-03-30T00:00:00"/>
    <x v="0"/>
    <x v="2"/>
    <x v="12"/>
    <x v="29"/>
    <x v="2"/>
    <x v="2"/>
    <x v="1"/>
    <n v="1433850000"/>
  </r>
  <r>
    <d v="2024-03-30T00:00:00"/>
    <x v="0"/>
    <x v="2"/>
    <x v="12"/>
    <x v="29"/>
    <x v="6"/>
    <x v="6"/>
    <x v="0"/>
    <n v="10000000"/>
  </r>
  <r>
    <d v="2024-03-30T00:00:00"/>
    <x v="0"/>
    <x v="2"/>
    <x v="12"/>
    <x v="29"/>
    <x v="3"/>
    <x v="3"/>
    <x v="1"/>
    <n v="130250000"/>
  </r>
  <r>
    <d v="2024-03-30T00:00:00"/>
    <x v="0"/>
    <x v="2"/>
    <x v="12"/>
    <x v="29"/>
    <x v="0"/>
    <x v="0"/>
    <x v="0"/>
    <n v="1924000000"/>
  </r>
  <r>
    <d v="2024-03-30T00:00:00"/>
    <x v="0"/>
    <x v="2"/>
    <x v="12"/>
    <x v="29"/>
    <x v="4"/>
    <x v="4"/>
    <x v="2"/>
    <n v="5322972390"/>
  </r>
  <r>
    <d v="2024-03-31T00:00:00"/>
    <x v="0"/>
    <x v="2"/>
    <x v="12"/>
    <x v="30"/>
    <x v="1"/>
    <x v="1"/>
    <x v="1"/>
    <n v="115500000"/>
  </r>
  <r>
    <d v="2024-03-31T00:00:00"/>
    <x v="0"/>
    <x v="2"/>
    <x v="12"/>
    <x v="30"/>
    <x v="2"/>
    <x v="2"/>
    <x v="1"/>
    <n v="1437610000"/>
  </r>
  <r>
    <d v="2024-03-31T00:00:00"/>
    <x v="0"/>
    <x v="2"/>
    <x v="12"/>
    <x v="30"/>
    <x v="3"/>
    <x v="3"/>
    <x v="1"/>
    <n v="42000000"/>
  </r>
  <r>
    <d v="2024-03-31T00:00:00"/>
    <x v="0"/>
    <x v="2"/>
    <x v="12"/>
    <x v="30"/>
    <x v="5"/>
    <x v="5"/>
    <x v="3"/>
    <n v="1507177240"/>
  </r>
  <r>
    <d v="2024-03-31T00:00:00"/>
    <x v="0"/>
    <x v="2"/>
    <x v="12"/>
    <x v="30"/>
    <x v="0"/>
    <x v="0"/>
    <x v="0"/>
    <n v="1730000000"/>
  </r>
  <r>
    <d v="2024-03-31T00:00:00"/>
    <x v="0"/>
    <x v="2"/>
    <x v="12"/>
    <x v="30"/>
    <x v="4"/>
    <x v="4"/>
    <x v="2"/>
    <n v="4877287240"/>
  </r>
  <r>
    <d v="2024-03-31T00:00:00"/>
    <x v="0"/>
    <x v="2"/>
    <x v="12"/>
    <x v="30"/>
    <x v="7"/>
    <x v="7"/>
    <x v="4"/>
    <n v="0"/>
  </r>
  <r>
    <d v="2024-03-31T00:00:00"/>
    <x v="0"/>
    <x v="2"/>
    <x v="12"/>
    <x v="30"/>
    <x v="6"/>
    <x v="6"/>
    <x v="0"/>
    <n v="45000000"/>
  </r>
  <r>
    <d v="2024-04-01T00:00:00"/>
    <x v="0"/>
    <x v="3"/>
    <x v="13"/>
    <x v="0"/>
    <x v="7"/>
    <x v="7"/>
    <x v="4"/>
    <n v="0"/>
  </r>
  <r>
    <d v="2024-04-01T00:00:00"/>
    <x v="0"/>
    <x v="3"/>
    <x v="13"/>
    <x v="0"/>
    <x v="0"/>
    <x v="0"/>
    <x v="0"/>
    <n v="2358500000"/>
  </r>
  <r>
    <d v="2024-04-01T00:00:00"/>
    <x v="0"/>
    <x v="3"/>
    <x v="13"/>
    <x v="0"/>
    <x v="5"/>
    <x v="5"/>
    <x v="3"/>
    <n v="3651306103"/>
  </r>
  <r>
    <d v="2024-04-01T00:00:00"/>
    <x v="0"/>
    <x v="3"/>
    <x v="13"/>
    <x v="0"/>
    <x v="2"/>
    <x v="2"/>
    <x v="1"/>
    <n v="2165120000"/>
  </r>
  <r>
    <d v="2024-04-01T00:00:00"/>
    <x v="0"/>
    <x v="3"/>
    <x v="13"/>
    <x v="0"/>
    <x v="4"/>
    <x v="4"/>
    <x v="2"/>
    <n v="8431176103"/>
  </r>
  <r>
    <d v="2024-04-01T00:00:00"/>
    <x v="0"/>
    <x v="3"/>
    <x v="13"/>
    <x v="0"/>
    <x v="1"/>
    <x v="1"/>
    <x v="1"/>
    <n v="84000000"/>
  </r>
  <r>
    <d v="2024-04-01T00:00:00"/>
    <x v="0"/>
    <x v="3"/>
    <x v="13"/>
    <x v="0"/>
    <x v="3"/>
    <x v="3"/>
    <x v="1"/>
    <n v="125250000"/>
  </r>
  <r>
    <d v="2024-04-01T00:00:00"/>
    <x v="0"/>
    <x v="3"/>
    <x v="13"/>
    <x v="0"/>
    <x v="6"/>
    <x v="6"/>
    <x v="0"/>
    <n v="47000000"/>
  </r>
  <r>
    <d v="2024-04-02T00:00:00"/>
    <x v="0"/>
    <x v="3"/>
    <x v="13"/>
    <x v="1"/>
    <x v="6"/>
    <x v="6"/>
    <x v="0"/>
    <n v="36000000"/>
  </r>
  <r>
    <d v="2024-04-02T00:00:00"/>
    <x v="0"/>
    <x v="3"/>
    <x v="13"/>
    <x v="1"/>
    <x v="1"/>
    <x v="1"/>
    <x v="1"/>
    <n v="130250000"/>
  </r>
  <r>
    <d v="2024-04-02T00:00:00"/>
    <x v="0"/>
    <x v="3"/>
    <x v="13"/>
    <x v="1"/>
    <x v="0"/>
    <x v="0"/>
    <x v="0"/>
    <n v="2266000000"/>
  </r>
  <r>
    <d v="2024-04-02T00:00:00"/>
    <x v="0"/>
    <x v="3"/>
    <x v="13"/>
    <x v="1"/>
    <x v="2"/>
    <x v="2"/>
    <x v="1"/>
    <n v="2443410000"/>
  </r>
  <r>
    <d v="2024-04-02T00:00:00"/>
    <x v="0"/>
    <x v="3"/>
    <x v="13"/>
    <x v="1"/>
    <x v="3"/>
    <x v="3"/>
    <x v="1"/>
    <n v="138600000"/>
  </r>
  <r>
    <d v="2024-04-02T00:00:00"/>
    <x v="0"/>
    <x v="3"/>
    <x v="13"/>
    <x v="1"/>
    <x v="5"/>
    <x v="5"/>
    <x v="3"/>
    <n v="3086410832"/>
  </r>
  <r>
    <d v="2024-04-02T00:00:00"/>
    <x v="0"/>
    <x v="3"/>
    <x v="13"/>
    <x v="1"/>
    <x v="7"/>
    <x v="7"/>
    <x v="4"/>
    <n v="0"/>
  </r>
  <r>
    <d v="2024-04-02T00:00:00"/>
    <x v="0"/>
    <x v="3"/>
    <x v="13"/>
    <x v="1"/>
    <x v="4"/>
    <x v="4"/>
    <x v="2"/>
    <n v="8100670832"/>
  </r>
  <r>
    <d v="2024-04-03T00:00:00"/>
    <x v="0"/>
    <x v="3"/>
    <x v="13"/>
    <x v="2"/>
    <x v="0"/>
    <x v="0"/>
    <x v="0"/>
    <n v="2292500000"/>
  </r>
  <r>
    <d v="2024-04-03T00:00:00"/>
    <x v="0"/>
    <x v="3"/>
    <x v="13"/>
    <x v="2"/>
    <x v="5"/>
    <x v="5"/>
    <x v="3"/>
    <n v="2488062461"/>
  </r>
  <r>
    <d v="2024-04-03T00:00:00"/>
    <x v="0"/>
    <x v="3"/>
    <x v="13"/>
    <x v="2"/>
    <x v="7"/>
    <x v="7"/>
    <x v="4"/>
    <n v="0"/>
  </r>
  <r>
    <d v="2024-04-03T00:00:00"/>
    <x v="0"/>
    <x v="3"/>
    <x v="13"/>
    <x v="2"/>
    <x v="1"/>
    <x v="1"/>
    <x v="1"/>
    <n v="131250000"/>
  </r>
  <r>
    <d v="2024-04-03T00:00:00"/>
    <x v="0"/>
    <x v="3"/>
    <x v="13"/>
    <x v="2"/>
    <x v="2"/>
    <x v="2"/>
    <x v="1"/>
    <n v="2152090000"/>
  </r>
  <r>
    <d v="2024-04-03T00:00:00"/>
    <x v="0"/>
    <x v="3"/>
    <x v="13"/>
    <x v="2"/>
    <x v="3"/>
    <x v="3"/>
    <x v="1"/>
    <n v="103950000"/>
  </r>
  <r>
    <d v="2024-04-03T00:00:00"/>
    <x v="0"/>
    <x v="3"/>
    <x v="13"/>
    <x v="2"/>
    <x v="4"/>
    <x v="4"/>
    <x v="2"/>
    <n v="7191852461"/>
  </r>
  <r>
    <d v="2024-04-03T00:00:00"/>
    <x v="0"/>
    <x v="3"/>
    <x v="13"/>
    <x v="2"/>
    <x v="6"/>
    <x v="6"/>
    <x v="0"/>
    <n v="24000000"/>
  </r>
  <r>
    <d v="2024-04-04T00:00:00"/>
    <x v="0"/>
    <x v="3"/>
    <x v="13"/>
    <x v="3"/>
    <x v="5"/>
    <x v="5"/>
    <x v="3"/>
    <n v="2938356490"/>
  </r>
  <r>
    <d v="2024-04-04T00:00:00"/>
    <x v="0"/>
    <x v="3"/>
    <x v="13"/>
    <x v="3"/>
    <x v="2"/>
    <x v="2"/>
    <x v="1"/>
    <n v="2640850000"/>
  </r>
  <r>
    <d v="2024-04-04T00:00:00"/>
    <x v="0"/>
    <x v="3"/>
    <x v="13"/>
    <x v="3"/>
    <x v="0"/>
    <x v="0"/>
    <x v="0"/>
    <n v="2153000000"/>
  </r>
  <r>
    <d v="2024-04-04T00:00:00"/>
    <x v="0"/>
    <x v="3"/>
    <x v="13"/>
    <x v="3"/>
    <x v="1"/>
    <x v="1"/>
    <x v="1"/>
    <n v="115500000"/>
  </r>
  <r>
    <d v="2024-04-04T00:00:00"/>
    <x v="0"/>
    <x v="3"/>
    <x v="13"/>
    <x v="3"/>
    <x v="3"/>
    <x v="3"/>
    <x v="1"/>
    <n v="84000000"/>
  </r>
  <r>
    <d v="2024-04-04T00:00:00"/>
    <x v="0"/>
    <x v="3"/>
    <x v="13"/>
    <x v="3"/>
    <x v="6"/>
    <x v="6"/>
    <x v="0"/>
    <n v="54000000"/>
  </r>
  <r>
    <d v="2024-04-04T00:00:00"/>
    <x v="0"/>
    <x v="3"/>
    <x v="13"/>
    <x v="3"/>
    <x v="7"/>
    <x v="7"/>
    <x v="4"/>
    <n v="0"/>
  </r>
  <r>
    <d v="2024-04-04T00:00:00"/>
    <x v="0"/>
    <x v="3"/>
    <x v="13"/>
    <x v="3"/>
    <x v="4"/>
    <x v="4"/>
    <x v="2"/>
    <n v="7985706490"/>
  </r>
  <r>
    <d v="2024-04-05T00:00:00"/>
    <x v="0"/>
    <x v="3"/>
    <x v="13"/>
    <x v="4"/>
    <x v="7"/>
    <x v="7"/>
    <x v="4"/>
    <n v="0"/>
  </r>
  <r>
    <d v="2024-04-05T00:00:00"/>
    <x v="0"/>
    <x v="3"/>
    <x v="13"/>
    <x v="4"/>
    <x v="1"/>
    <x v="1"/>
    <x v="1"/>
    <n v="128100000"/>
  </r>
  <r>
    <d v="2024-04-05T00:00:00"/>
    <x v="0"/>
    <x v="3"/>
    <x v="13"/>
    <x v="4"/>
    <x v="5"/>
    <x v="5"/>
    <x v="3"/>
    <n v="2508782365"/>
  </r>
  <r>
    <d v="2024-04-05T00:00:00"/>
    <x v="0"/>
    <x v="3"/>
    <x v="13"/>
    <x v="4"/>
    <x v="0"/>
    <x v="0"/>
    <x v="0"/>
    <n v="2523500000"/>
  </r>
  <r>
    <d v="2024-04-05T00:00:00"/>
    <x v="0"/>
    <x v="3"/>
    <x v="13"/>
    <x v="4"/>
    <x v="6"/>
    <x v="6"/>
    <x v="0"/>
    <n v="34000000"/>
  </r>
  <r>
    <d v="2024-04-05T00:00:00"/>
    <x v="0"/>
    <x v="3"/>
    <x v="13"/>
    <x v="4"/>
    <x v="2"/>
    <x v="2"/>
    <x v="1"/>
    <n v="2529520000"/>
  </r>
  <r>
    <d v="2024-04-05T00:00:00"/>
    <x v="0"/>
    <x v="3"/>
    <x v="13"/>
    <x v="4"/>
    <x v="3"/>
    <x v="3"/>
    <x v="1"/>
    <n v="100300000"/>
  </r>
  <r>
    <d v="2024-04-05T00:00:00"/>
    <x v="0"/>
    <x v="3"/>
    <x v="13"/>
    <x v="4"/>
    <x v="4"/>
    <x v="4"/>
    <x v="2"/>
    <n v="7824202365"/>
  </r>
  <r>
    <d v="2024-04-06T00:00:00"/>
    <x v="0"/>
    <x v="3"/>
    <x v="13"/>
    <x v="5"/>
    <x v="5"/>
    <x v="5"/>
    <x v="3"/>
    <n v="1724129265"/>
  </r>
  <r>
    <d v="2024-04-06T00:00:00"/>
    <x v="0"/>
    <x v="3"/>
    <x v="13"/>
    <x v="5"/>
    <x v="1"/>
    <x v="1"/>
    <x v="1"/>
    <n v="63000000"/>
  </r>
  <r>
    <d v="2024-04-06T00:00:00"/>
    <x v="0"/>
    <x v="3"/>
    <x v="13"/>
    <x v="5"/>
    <x v="3"/>
    <x v="3"/>
    <x v="1"/>
    <n v="10500000"/>
  </r>
  <r>
    <d v="2024-04-06T00:00:00"/>
    <x v="0"/>
    <x v="3"/>
    <x v="13"/>
    <x v="5"/>
    <x v="0"/>
    <x v="0"/>
    <x v="0"/>
    <n v="2241500000"/>
  </r>
  <r>
    <d v="2024-04-06T00:00:00"/>
    <x v="0"/>
    <x v="3"/>
    <x v="13"/>
    <x v="5"/>
    <x v="2"/>
    <x v="2"/>
    <x v="1"/>
    <n v="2075520000"/>
  </r>
  <r>
    <d v="2024-04-06T00:00:00"/>
    <x v="0"/>
    <x v="3"/>
    <x v="13"/>
    <x v="5"/>
    <x v="6"/>
    <x v="6"/>
    <x v="0"/>
    <n v="55000000"/>
  </r>
  <r>
    <d v="2024-04-06T00:00:00"/>
    <x v="0"/>
    <x v="3"/>
    <x v="13"/>
    <x v="5"/>
    <x v="7"/>
    <x v="7"/>
    <x v="4"/>
    <n v="0"/>
  </r>
  <r>
    <d v="2024-04-06T00:00:00"/>
    <x v="0"/>
    <x v="3"/>
    <x v="13"/>
    <x v="5"/>
    <x v="4"/>
    <x v="4"/>
    <x v="2"/>
    <n v="6169649265"/>
  </r>
  <r>
    <d v="2024-04-07T00:00:00"/>
    <x v="0"/>
    <x v="3"/>
    <x v="13"/>
    <x v="6"/>
    <x v="3"/>
    <x v="3"/>
    <x v="1"/>
    <n v="75600000"/>
  </r>
  <r>
    <d v="2024-04-07T00:00:00"/>
    <x v="0"/>
    <x v="3"/>
    <x v="13"/>
    <x v="6"/>
    <x v="5"/>
    <x v="5"/>
    <x v="3"/>
    <n v="1560471811"/>
  </r>
  <r>
    <d v="2024-04-07T00:00:00"/>
    <x v="0"/>
    <x v="3"/>
    <x v="13"/>
    <x v="6"/>
    <x v="0"/>
    <x v="0"/>
    <x v="0"/>
    <n v="1718000000"/>
  </r>
  <r>
    <d v="2024-04-07T00:00:00"/>
    <x v="0"/>
    <x v="3"/>
    <x v="13"/>
    <x v="6"/>
    <x v="2"/>
    <x v="2"/>
    <x v="1"/>
    <n v="1724210000"/>
  </r>
  <r>
    <d v="2024-04-07T00:00:00"/>
    <x v="0"/>
    <x v="3"/>
    <x v="13"/>
    <x v="6"/>
    <x v="1"/>
    <x v="1"/>
    <x v="1"/>
    <n v="31500000"/>
  </r>
  <r>
    <d v="2024-04-07T00:00:00"/>
    <x v="0"/>
    <x v="3"/>
    <x v="13"/>
    <x v="6"/>
    <x v="6"/>
    <x v="6"/>
    <x v="0"/>
    <n v="25000000"/>
  </r>
  <r>
    <d v="2024-04-07T00:00:00"/>
    <x v="0"/>
    <x v="3"/>
    <x v="13"/>
    <x v="6"/>
    <x v="4"/>
    <x v="4"/>
    <x v="2"/>
    <n v="5134781811"/>
  </r>
  <r>
    <d v="2024-04-07T00:00:00"/>
    <x v="0"/>
    <x v="3"/>
    <x v="13"/>
    <x v="6"/>
    <x v="7"/>
    <x v="7"/>
    <x v="4"/>
    <n v="0"/>
  </r>
  <r>
    <d v="2024-04-08T00:00:00"/>
    <x v="0"/>
    <x v="3"/>
    <x v="14"/>
    <x v="7"/>
    <x v="0"/>
    <x v="0"/>
    <x v="0"/>
    <n v="2303500000"/>
  </r>
  <r>
    <d v="2024-04-08T00:00:00"/>
    <x v="0"/>
    <x v="3"/>
    <x v="14"/>
    <x v="7"/>
    <x v="7"/>
    <x v="7"/>
    <x v="4"/>
    <n v="0"/>
  </r>
  <r>
    <d v="2024-04-08T00:00:00"/>
    <x v="0"/>
    <x v="3"/>
    <x v="14"/>
    <x v="7"/>
    <x v="1"/>
    <x v="1"/>
    <x v="1"/>
    <n v="63000000"/>
  </r>
  <r>
    <d v="2024-04-08T00:00:00"/>
    <x v="0"/>
    <x v="3"/>
    <x v="14"/>
    <x v="7"/>
    <x v="2"/>
    <x v="2"/>
    <x v="1"/>
    <n v="3138280000"/>
  </r>
  <r>
    <d v="2024-04-08T00:00:00"/>
    <x v="0"/>
    <x v="3"/>
    <x v="14"/>
    <x v="7"/>
    <x v="3"/>
    <x v="3"/>
    <x v="1"/>
    <n v="268800000"/>
  </r>
  <r>
    <d v="2024-04-08T00:00:00"/>
    <x v="0"/>
    <x v="3"/>
    <x v="14"/>
    <x v="7"/>
    <x v="6"/>
    <x v="6"/>
    <x v="0"/>
    <n v="55000000"/>
  </r>
  <r>
    <d v="2024-04-08T00:00:00"/>
    <x v="0"/>
    <x v="3"/>
    <x v="14"/>
    <x v="7"/>
    <x v="4"/>
    <x v="4"/>
    <x v="2"/>
    <n v="8248143317"/>
  </r>
  <r>
    <d v="2024-04-08T00:00:00"/>
    <x v="0"/>
    <x v="3"/>
    <x v="14"/>
    <x v="7"/>
    <x v="5"/>
    <x v="5"/>
    <x v="3"/>
    <n v="2419563317"/>
  </r>
  <r>
    <d v="2024-04-09T00:00:00"/>
    <x v="0"/>
    <x v="3"/>
    <x v="14"/>
    <x v="8"/>
    <x v="3"/>
    <x v="3"/>
    <x v="1"/>
    <n v="284550000"/>
  </r>
  <r>
    <d v="2024-04-09T00:00:00"/>
    <x v="0"/>
    <x v="3"/>
    <x v="14"/>
    <x v="8"/>
    <x v="8"/>
    <x v="8"/>
    <x v="1"/>
    <n v="41730000"/>
  </r>
  <r>
    <d v="2024-04-09T00:00:00"/>
    <x v="0"/>
    <x v="3"/>
    <x v="14"/>
    <x v="8"/>
    <x v="0"/>
    <x v="0"/>
    <x v="0"/>
    <n v="1910500000"/>
  </r>
  <r>
    <d v="2024-04-09T00:00:00"/>
    <x v="0"/>
    <x v="3"/>
    <x v="14"/>
    <x v="8"/>
    <x v="2"/>
    <x v="2"/>
    <x v="1"/>
    <n v="2300330000"/>
  </r>
  <r>
    <d v="2024-04-09T00:00:00"/>
    <x v="0"/>
    <x v="3"/>
    <x v="14"/>
    <x v="8"/>
    <x v="1"/>
    <x v="1"/>
    <x v="1"/>
    <n v="88200000"/>
  </r>
  <r>
    <d v="2024-04-09T00:00:00"/>
    <x v="0"/>
    <x v="3"/>
    <x v="14"/>
    <x v="8"/>
    <x v="5"/>
    <x v="5"/>
    <x v="3"/>
    <n v="2030176958"/>
  </r>
  <r>
    <d v="2024-04-09T00:00:00"/>
    <x v="0"/>
    <x v="3"/>
    <x v="14"/>
    <x v="8"/>
    <x v="7"/>
    <x v="7"/>
    <x v="4"/>
    <n v="0"/>
  </r>
  <r>
    <d v="2024-04-09T00:00:00"/>
    <x v="0"/>
    <x v="3"/>
    <x v="14"/>
    <x v="8"/>
    <x v="4"/>
    <x v="4"/>
    <x v="2"/>
    <n v="6668486958"/>
  </r>
  <r>
    <d v="2024-04-09T00:00:00"/>
    <x v="0"/>
    <x v="3"/>
    <x v="14"/>
    <x v="8"/>
    <x v="6"/>
    <x v="6"/>
    <x v="0"/>
    <n v="13000000"/>
  </r>
  <r>
    <d v="2024-04-10T00:00:00"/>
    <x v="0"/>
    <x v="3"/>
    <x v="14"/>
    <x v="9"/>
    <x v="1"/>
    <x v="1"/>
    <x v="1"/>
    <n v="57750000"/>
  </r>
  <r>
    <d v="2024-04-10T00:00:00"/>
    <x v="0"/>
    <x v="3"/>
    <x v="14"/>
    <x v="9"/>
    <x v="0"/>
    <x v="0"/>
    <x v="0"/>
    <n v="2493000000"/>
  </r>
  <r>
    <d v="2024-04-10T00:00:00"/>
    <x v="0"/>
    <x v="3"/>
    <x v="14"/>
    <x v="9"/>
    <x v="6"/>
    <x v="6"/>
    <x v="0"/>
    <n v="32000000"/>
  </r>
  <r>
    <d v="2024-04-10T00:00:00"/>
    <x v="0"/>
    <x v="3"/>
    <x v="14"/>
    <x v="9"/>
    <x v="5"/>
    <x v="5"/>
    <x v="3"/>
    <n v="2554247508"/>
  </r>
  <r>
    <d v="2024-04-10T00:00:00"/>
    <x v="0"/>
    <x v="3"/>
    <x v="14"/>
    <x v="9"/>
    <x v="4"/>
    <x v="4"/>
    <x v="2"/>
    <n v="9511717508"/>
  </r>
  <r>
    <d v="2024-04-10T00:00:00"/>
    <x v="0"/>
    <x v="3"/>
    <x v="14"/>
    <x v="9"/>
    <x v="7"/>
    <x v="7"/>
    <x v="4"/>
    <n v="0"/>
  </r>
  <r>
    <d v="2024-04-10T00:00:00"/>
    <x v="0"/>
    <x v="3"/>
    <x v="14"/>
    <x v="9"/>
    <x v="3"/>
    <x v="3"/>
    <x v="1"/>
    <n v="117600000"/>
  </r>
  <r>
    <d v="2024-04-10T00:00:00"/>
    <x v="0"/>
    <x v="3"/>
    <x v="14"/>
    <x v="9"/>
    <x v="8"/>
    <x v="8"/>
    <x v="1"/>
    <n v="24610000"/>
  </r>
  <r>
    <d v="2024-04-10T00:00:00"/>
    <x v="0"/>
    <x v="3"/>
    <x v="14"/>
    <x v="9"/>
    <x v="2"/>
    <x v="2"/>
    <x v="1"/>
    <n v="4232510000"/>
  </r>
  <r>
    <d v="2024-04-11T00:00:00"/>
    <x v="0"/>
    <x v="3"/>
    <x v="14"/>
    <x v="10"/>
    <x v="2"/>
    <x v="2"/>
    <x v="1"/>
    <n v="4193370000"/>
  </r>
  <r>
    <d v="2024-04-11T00:00:00"/>
    <x v="0"/>
    <x v="3"/>
    <x v="14"/>
    <x v="10"/>
    <x v="4"/>
    <x v="4"/>
    <x v="2"/>
    <n v="8639804872"/>
  </r>
  <r>
    <d v="2024-04-11T00:00:00"/>
    <x v="0"/>
    <x v="3"/>
    <x v="14"/>
    <x v="10"/>
    <x v="7"/>
    <x v="7"/>
    <x v="4"/>
    <n v="0"/>
  </r>
  <r>
    <d v="2024-04-11T00:00:00"/>
    <x v="0"/>
    <x v="3"/>
    <x v="14"/>
    <x v="10"/>
    <x v="5"/>
    <x v="5"/>
    <x v="3"/>
    <n v="1851514872"/>
  </r>
  <r>
    <d v="2024-04-11T00:00:00"/>
    <x v="0"/>
    <x v="3"/>
    <x v="14"/>
    <x v="10"/>
    <x v="8"/>
    <x v="8"/>
    <x v="1"/>
    <n v="59920000"/>
  </r>
  <r>
    <d v="2024-04-11T00:00:00"/>
    <x v="0"/>
    <x v="3"/>
    <x v="14"/>
    <x v="10"/>
    <x v="1"/>
    <x v="1"/>
    <x v="1"/>
    <n v="62500000"/>
  </r>
  <r>
    <d v="2024-04-11T00:00:00"/>
    <x v="0"/>
    <x v="3"/>
    <x v="14"/>
    <x v="10"/>
    <x v="3"/>
    <x v="3"/>
    <x v="1"/>
    <n v="115000000"/>
  </r>
  <r>
    <d v="2024-04-11T00:00:00"/>
    <x v="0"/>
    <x v="3"/>
    <x v="14"/>
    <x v="10"/>
    <x v="6"/>
    <x v="6"/>
    <x v="0"/>
    <n v="39000000"/>
  </r>
  <r>
    <d v="2024-04-11T00:00:00"/>
    <x v="0"/>
    <x v="3"/>
    <x v="14"/>
    <x v="10"/>
    <x v="0"/>
    <x v="0"/>
    <x v="0"/>
    <n v="2318500000"/>
  </r>
  <r>
    <d v="2024-04-12T00:00:00"/>
    <x v="0"/>
    <x v="3"/>
    <x v="14"/>
    <x v="11"/>
    <x v="8"/>
    <x v="8"/>
    <x v="1"/>
    <n v="165850000"/>
  </r>
  <r>
    <d v="2024-04-12T00:00:00"/>
    <x v="0"/>
    <x v="3"/>
    <x v="14"/>
    <x v="11"/>
    <x v="2"/>
    <x v="2"/>
    <x v="1"/>
    <n v="3871010000"/>
  </r>
  <r>
    <d v="2024-04-12T00:00:00"/>
    <x v="0"/>
    <x v="3"/>
    <x v="14"/>
    <x v="11"/>
    <x v="5"/>
    <x v="5"/>
    <x v="3"/>
    <n v="1871598023"/>
  </r>
  <r>
    <d v="2024-04-12T00:00:00"/>
    <x v="0"/>
    <x v="3"/>
    <x v="14"/>
    <x v="11"/>
    <x v="7"/>
    <x v="7"/>
    <x v="4"/>
    <n v="0"/>
  </r>
  <r>
    <d v="2024-04-12T00:00:00"/>
    <x v="0"/>
    <x v="3"/>
    <x v="14"/>
    <x v="11"/>
    <x v="6"/>
    <x v="6"/>
    <x v="0"/>
    <n v="35000000"/>
  </r>
  <r>
    <d v="2024-04-12T00:00:00"/>
    <x v="0"/>
    <x v="3"/>
    <x v="14"/>
    <x v="11"/>
    <x v="0"/>
    <x v="0"/>
    <x v="0"/>
    <n v="2046000000"/>
  </r>
  <r>
    <d v="2024-04-12T00:00:00"/>
    <x v="0"/>
    <x v="3"/>
    <x v="14"/>
    <x v="11"/>
    <x v="3"/>
    <x v="3"/>
    <x v="1"/>
    <n v="110800000"/>
  </r>
  <r>
    <d v="2024-04-12T00:00:00"/>
    <x v="0"/>
    <x v="3"/>
    <x v="14"/>
    <x v="11"/>
    <x v="4"/>
    <x v="4"/>
    <x v="2"/>
    <n v="8206308023"/>
  </r>
  <r>
    <d v="2024-04-12T00:00:00"/>
    <x v="0"/>
    <x v="3"/>
    <x v="14"/>
    <x v="11"/>
    <x v="1"/>
    <x v="1"/>
    <x v="1"/>
    <n v="106050000"/>
  </r>
  <r>
    <d v="2024-04-13T00:00:00"/>
    <x v="0"/>
    <x v="3"/>
    <x v="14"/>
    <x v="12"/>
    <x v="0"/>
    <x v="0"/>
    <x v="0"/>
    <n v="2223000000"/>
  </r>
  <r>
    <d v="2024-04-13T00:00:00"/>
    <x v="0"/>
    <x v="3"/>
    <x v="14"/>
    <x v="12"/>
    <x v="2"/>
    <x v="2"/>
    <x v="1"/>
    <n v="3379420000"/>
  </r>
  <r>
    <d v="2024-04-13T00:00:00"/>
    <x v="0"/>
    <x v="3"/>
    <x v="14"/>
    <x v="12"/>
    <x v="3"/>
    <x v="3"/>
    <x v="1"/>
    <n v="125000000"/>
  </r>
  <r>
    <d v="2024-04-13T00:00:00"/>
    <x v="0"/>
    <x v="3"/>
    <x v="14"/>
    <x v="12"/>
    <x v="1"/>
    <x v="1"/>
    <x v="1"/>
    <n v="26250000"/>
  </r>
  <r>
    <d v="2024-04-13T00:00:00"/>
    <x v="0"/>
    <x v="3"/>
    <x v="14"/>
    <x v="12"/>
    <x v="5"/>
    <x v="5"/>
    <x v="3"/>
    <n v="1866130519"/>
  </r>
  <r>
    <d v="2024-04-13T00:00:00"/>
    <x v="0"/>
    <x v="3"/>
    <x v="14"/>
    <x v="12"/>
    <x v="4"/>
    <x v="4"/>
    <x v="2"/>
    <n v="7678780519"/>
  </r>
  <r>
    <d v="2024-04-13T00:00:00"/>
    <x v="0"/>
    <x v="3"/>
    <x v="14"/>
    <x v="12"/>
    <x v="8"/>
    <x v="8"/>
    <x v="1"/>
    <n v="14980000"/>
  </r>
  <r>
    <d v="2024-04-13T00:00:00"/>
    <x v="0"/>
    <x v="3"/>
    <x v="14"/>
    <x v="12"/>
    <x v="6"/>
    <x v="6"/>
    <x v="0"/>
    <n v="44000000"/>
  </r>
  <r>
    <d v="2024-04-13T00:00:00"/>
    <x v="0"/>
    <x v="3"/>
    <x v="14"/>
    <x v="12"/>
    <x v="7"/>
    <x v="7"/>
    <x v="4"/>
    <n v="0"/>
  </r>
  <r>
    <d v="2024-04-14T00:00:00"/>
    <x v="0"/>
    <x v="3"/>
    <x v="14"/>
    <x v="13"/>
    <x v="5"/>
    <x v="5"/>
    <x v="3"/>
    <n v="1831794053"/>
  </r>
  <r>
    <d v="2024-04-14T00:00:00"/>
    <x v="0"/>
    <x v="3"/>
    <x v="14"/>
    <x v="13"/>
    <x v="7"/>
    <x v="7"/>
    <x v="4"/>
    <n v="0"/>
  </r>
  <r>
    <d v="2024-04-14T00:00:00"/>
    <x v="0"/>
    <x v="3"/>
    <x v="14"/>
    <x v="13"/>
    <x v="4"/>
    <x v="4"/>
    <x v="2"/>
    <n v="7086614053"/>
  </r>
  <r>
    <d v="2024-04-14T00:00:00"/>
    <x v="0"/>
    <x v="3"/>
    <x v="14"/>
    <x v="13"/>
    <x v="8"/>
    <x v="8"/>
    <x v="1"/>
    <n v="0"/>
  </r>
  <r>
    <d v="2024-04-14T00:00:00"/>
    <x v="0"/>
    <x v="3"/>
    <x v="14"/>
    <x v="13"/>
    <x v="6"/>
    <x v="6"/>
    <x v="0"/>
    <n v="9000000"/>
  </r>
  <r>
    <d v="2024-04-14T00:00:00"/>
    <x v="0"/>
    <x v="3"/>
    <x v="14"/>
    <x v="13"/>
    <x v="3"/>
    <x v="3"/>
    <x v="1"/>
    <n v="195850000"/>
  </r>
  <r>
    <d v="2024-04-14T00:00:00"/>
    <x v="0"/>
    <x v="3"/>
    <x v="14"/>
    <x v="13"/>
    <x v="1"/>
    <x v="1"/>
    <x v="1"/>
    <n v="82500000"/>
  </r>
  <r>
    <d v="2024-04-14T00:00:00"/>
    <x v="0"/>
    <x v="3"/>
    <x v="14"/>
    <x v="13"/>
    <x v="0"/>
    <x v="0"/>
    <x v="0"/>
    <n v="1899500000"/>
  </r>
  <r>
    <d v="2024-04-14T00:00:00"/>
    <x v="0"/>
    <x v="3"/>
    <x v="14"/>
    <x v="13"/>
    <x v="2"/>
    <x v="2"/>
    <x v="1"/>
    <n v="3067970000"/>
  </r>
  <r>
    <d v="2024-04-15T00:00:00"/>
    <x v="0"/>
    <x v="3"/>
    <x v="15"/>
    <x v="14"/>
    <x v="5"/>
    <x v="5"/>
    <x v="3"/>
    <n v="2588638596"/>
  </r>
  <r>
    <d v="2024-04-15T00:00:00"/>
    <x v="0"/>
    <x v="3"/>
    <x v="15"/>
    <x v="14"/>
    <x v="2"/>
    <x v="2"/>
    <x v="1"/>
    <n v="4699210000"/>
  </r>
  <r>
    <d v="2024-04-15T00:00:00"/>
    <x v="0"/>
    <x v="3"/>
    <x v="15"/>
    <x v="14"/>
    <x v="8"/>
    <x v="8"/>
    <x v="1"/>
    <n v="35310000"/>
  </r>
  <r>
    <d v="2024-04-15T00:00:00"/>
    <x v="0"/>
    <x v="3"/>
    <x v="15"/>
    <x v="14"/>
    <x v="0"/>
    <x v="0"/>
    <x v="0"/>
    <n v="2834500000"/>
  </r>
  <r>
    <d v="2024-04-15T00:00:00"/>
    <x v="0"/>
    <x v="3"/>
    <x v="15"/>
    <x v="14"/>
    <x v="3"/>
    <x v="3"/>
    <x v="1"/>
    <n v="273000000"/>
  </r>
  <r>
    <d v="2024-04-15T00:00:00"/>
    <x v="0"/>
    <x v="3"/>
    <x v="15"/>
    <x v="14"/>
    <x v="1"/>
    <x v="1"/>
    <x v="1"/>
    <n v="104000000"/>
  </r>
  <r>
    <d v="2024-04-15T00:00:00"/>
    <x v="0"/>
    <x v="3"/>
    <x v="15"/>
    <x v="14"/>
    <x v="7"/>
    <x v="7"/>
    <x v="4"/>
    <n v="0"/>
  </r>
  <r>
    <d v="2024-04-15T00:00:00"/>
    <x v="0"/>
    <x v="3"/>
    <x v="15"/>
    <x v="14"/>
    <x v="4"/>
    <x v="4"/>
    <x v="2"/>
    <n v="10544658596"/>
  </r>
  <r>
    <d v="2024-04-15T00:00:00"/>
    <x v="0"/>
    <x v="3"/>
    <x v="15"/>
    <x v="14"/>
    <x v="6"/>
    <x v="6"/>
    <x v="0"/>
    <n v="10000000"/>
  </r>
  <r>
    <d v="2024-04-16T00:00:00"/>
    <x v="0"/>
    <x v="3"/>
    <x v="15"/>
    <x v="15"/>
    <x v="3"/>
    <x v="3"/>
    <x v="1"/>
    <n v="210550000"/>
  </r>
  <r>
    <d v="2024-04-16T00:00:00"/>
    <x v="0"/>
    <x v="3"/>
    <x v="15"/>
    <x v="15"/>
    <x v="2"/>
    <x v="2"/>
    <x v="1"/>
    <n v="3828720000"/>
  </r>
  <r>
    <d v="2024-04-16T00:00:00"/>
    <x v="0"/>
    <x v="3"/>
    <x v="15"/>
    <x v="15"/>
    <x v="0"/>
    <x v="0"/>
    <x v="0"/>
    <n v="2345000000"/>
  </r>
  <r>
    <d v="2024-04-16T00:00:00"/>
    <x v="0"/>
    <x v="3"/>
    <x v="15"/>
    <x v="15"/>
    <x v="5"/>
    <x v="5"/>
    <x v="3"/>
    <n v="2203403983"/>
  </r>
  <r>
    <d v="2024-04-16T00:00:00"/>
    <x v="0"/>
    <x v="3"/>
    <x v="15"/>
    <x v="15"/>
    <x v="1"/>
    <x v="1"/>
    <x v="1"/>
    <n v="110250000"/>
  </r>
  <r>
    <d v="2024-04-16T00:00:00"/>
    <x v="0"/>
    <x v="3"/>
    <x v="15"/>
    <x v="15"/>
    <x v="8"/>
    <x v="8"/>
    <x v="1"/>
    <n v="146590000"/>
  </r>
  <r>
    <d v="2024-04-16T00:00:00"/>
    <x v="0"/>
    <x v="3"/>
    <x v="15"/>
    <x v="15"/>
    <x v="6"/>
    <x v="6"/>
    <x v="0"/>
    <n v="62000000"/>
  </r>
  <r>
    <d v="2024-04-16T00:00:00"/>
    <x v="0"/>
    <x v="3"/>
    <x v="15"/>
    <x v="15"/>
    <x v="4"/>
    <x v="4"/>
    <x v="2"/>
    <n v="8906523983"/>
  </r>
  <r>
    <d v="2024-04-16T00:00:00"/>
    <x v="0"/>
    <x v="3"/>
    <x v="15"/>
    <x v="15"/>
    <x v="7"/>
    <x v="7"/>
    <x v="4"/>
    <n v="10000"/>
  </r>
  <r>
    <d v="2024-04-17T00:00:00"/>
    <x v="0"/>
    <x v="3"/>
    <x v="15"/>
    <x v="16"/>
    <x v="7"/>
    <x v="7"/>
    <x v="4"/>
    <n v="20000"/>
  </r>
  <r>
    <d v="2024-04-17T00:00:00"/>
    <x v="0"/>
    <x v="3"/>
    <x v="15"/>
    <x v="16"/>
    <x v="2"/>
    <x v="2"/>
    <x v="1"/>
    <n v="3483390000"/>
  </r>
  <r>
    <d v="2024-04-17T00:00:00"/>
    <x v="0"/>
    <x v="3"/>
    <x v="15"/>
    <x v="16"/>
    <x v="0"/>
    <x v="0"/>
    <x v="0"/>
    <n v="2341500000"/>
  </r>
  <r>
    <d v="2024-04-17T00:00:00"/>
    <x v="0"/>
    <x v="3"/>
    <x v="15"/>
    <x v="16"/>
    <x v="4"/>
    <x v="4"/>
    <x v="2"/>
    <n v="7871544676"/>
  </r>
  <r>
    <d v="2024-04-17T00:00:00"/>
    <x v="0"/>
    <x v="3"/>
    <x v="15"/>
    <x v="16"/>
    <x v="3"/>
    <x v="3"/>
    <x v="1"/>
    <n v="140750000"/>
  </r>
  <r>
    <d v="2024-04-17T00:00:00"/>
    <x v="0"/>
    <x v="3"/>
    <x v="15"/>
    <x v="16"/>
    <x v="5"/>
    <x v="5"/>
    <x v="3"/>
    <n v="1706624676"/>
  </r>
  <r>
    <d v="2024-04-17T00:00:00"/>
    <x v="0"/>
    <x v="3"/>
    <x v="15"/>
    <x v="16"/>
    <x v="6"/>
    <x v="6"/>
    <x v="0"/>
    <n v="31000000"/>
  </r>
  <r>
    <d v="2024-04-17T00:00:00"/>
    <x v="0"/>
    <x v="3"/>
    <x v="15"/>
    <x v="16"/>
    <x v="1"/>
    <x v="1"/>
    <x v="1"/>
    <n v="42000000"/>
  </r>
  <r>
    <d v="2024-04-17T00:00:00"/>
    <x v="0"/>
    <x v="3"/>
    <x v="15"/>
    <x v="16"/>
    <x v="8"/>
    <x v="8"/>
    <x v="1"/>
    <n v="126260000"/>
  </r>
  <r>
    <d v="2024-04-18T00:00:00"/>
    <x v="0"/>
    <x v="3"/>
    <x v="15"/>
    <x v="17"/>
    <x v="4"/>
    <x v="4"/>
    <x v="2"/>
    <n v="6709074587"/>
  </r>
  <r>
    <d v="2024-04-18T00:00:00"/>
    <x v="0"/>
    <x v="3"/>
    <x v="15"/>
    <x v="17"/>
    <x v="8"/>
    <x v="8"/>
    <x v="1"/>
    <n v="88810000"/>
  </r>
  <r>
    <d v="2024-04-18T00:00:00"/>
    <x v="0"/>
    <x v="3"/>
    <x v="15"/>
    <x v="17"/>
    <x v="6"/>
    <x v="6"/>
    <x v="0"/>
    <n v="25000000"/>
  </r>
  <r>
    <d v="2024-04-18T00:00:00"/>
    <x v="0"/>
    <x v="3"/>
    <x v="15"/>
    <x v="17"/>
    <x v="2"/>
    <x v="2"/>
    <x v="1"/>
    <n v="2984110000"/>
  </r>
  <r>
    <d v="2024-04-18T00:00:00"/>
    <x v="0"/>
    <x v="3"/>
    <x v="15"/>
    <x v="17"/>
    <x v="5"/>
    <x v="5"/>
    <x v="3"/>
    <n v="1603404587"/>
  </r>
  <r>
    <d v="2024-04-18T00:00:00"/>
    <x v="0"/>
    <x v="3"/>
    <x v="15"/>
    <x v="17"/>
    <x v="7"/>
    <x v="7"/>
    <x v="4"/>
    <n v="50000"/>
  </r>
  <r>
    <d v="2024-04-18T00:00:00"/>
    <x v="0"/>
    <x v="3"/>
    <x v="15"/>
    <x v="17"/>
    <x v="0"/>
    <x v="0"/>
    <x v="0"/>
    <n v="1733000000"/>
  </r>
  <r>
    <d v="2024-04-18T00:00:00"/>
    <x v="0"/>
    <x v="3"/>
    <x v="15"/>
    <x v="17"/>
    <x v="3"/>
    <x v="3"/>
    <x v="1"/>
    <n v="154950000"/>
  </r>
  <r>
    <d v="2024-04-18T00:00:00"/>
    <x v="0"/>
    <x v="3"/>
    <x v="15"/>
    <x v="17"/>
    <x v="1"/>
    <x v="1"/>
    <x v="1"/>
    <n v="119750000"/>
  </r>
  <r>
    <d v="2024-04-19T00:00:00"/>
    <x v="0"/>
    <x v="3"/>
    <x v="15"/>
    <x v="18"/>
    <x v="3"/>
    <x v="3"/>
    <x v="1"/>
    <n v="184900000"/>
  </r>
  <r>
    <d v="2024-04-19T00:00:00"/>
    <x v="0"/>
    <x v="3"/>
    <x v="15"/>
    <x v="18"/>
    <x v="1"/>
    <x v="1"/>
    <x v="1"/>
    <n v="15750000"/>
  </r>
  <r>
    <d v="2024-04-19T00:00:00"/>
    <x v="0"/>
    <x v="3"/>
    <x v="15"/>
    <x v="18"/>
    <x v="2"/>
    <x v="2"/>
    <x v="1"/>
    <n v="3917820000"/>
  </r>
  <r>
    <d v="2024-04-19T00:00:00"/>
    <x v="0"/>
    <x v="3"/>
    <x v="15"/>
    <x v="18"/>
    <x v="6"/>
    <x v="6"/>
    <x v="0"/>
    <n v="5000000"/>
  </r>
  <r>
    <d v="2024-04-19T00:00:00"/>
    <x v="0"/>
    <x v="3"/>
    <x v="15"/>
    <x v="18"/>
    <x v="4"/>
    <x v="4"/>
    <x v="2"/>
    <n v="8692696512"/>
  </r>
  <r>
    <d v="2024-04-19T00:00:00"/>
    <x v="0"/>
    <x v="3"/>
    <x v="15"/>
    <x v="18"/>
    <x v="5"/>
    <x v="5"/>
    <x v="3"/>
    <n v="1970529923"/>
  </r>
  <r>
    <d v="2024-04-19T00:00:00"/>
    <x v="0"/>
    <x v="3"/>
    <x v="15"/>
    <x v="18"/>
    <x v="8"/>
    <x v="8"/>
    <x v="1"/>
    <n v="233260000"/>
  </r>
  <r>
    <d v="2024-04-19T00:00:00"/>
    <x v="0"/>
    <x v="3"/>
    <x v="15"/>
    <x v="18"/>
    <x v="7"/>
    <x v="7"/>
    <x v="4"/>
    <n v="436589"/>
  </r>
  <r>
    <d v="2024-04-19T00:00:00"/>
    <x v="0"/>
    <x v="3"/>
    <x v="15"/>
    <x v="18"/>
    <x v="0"/>
    <x v="0"/>
    <x v="0"/>
    <n v="2365000000"/>
  </r>
  <r>
    <d v="2024-04-20T00:00:00"/>
    <x v="0"/>
    <x v="3"/>
    <x v="15"/>
    <x v="19"/>
    <x v="3"/>
    <x v="3"/>
    <x v="1"/>
    <n v="189000000"/>
  </r>
  <r>
    <d v="2024-04-20T00:00:00"/>
    <x v="0"/>
    <x v="3"/>
    <x v="15"/>
    <x v="19"/>
    <x v="2"/>
    <x v="2"/>
    <x v="1"/>
    <n v="3292600000"/>
  </r>
  <r>
    <d v="2024-04-20T00:00:00"/>
    <x v="0"/>
    <x v="3"/>
    <x v="15"/>
    <x v="19"/>
    <x v="8"/>
    <x v="8"/>
    <x v="1"/>
    <n v="134820000"/>
  </r>
  <r>
    <d v="2024-04-20T00:00:00"/>
    <x v="0"/>
    <x v="3"/>
    <x v="15"/>
    <x v="19"/>
    <x v="0"/>
    <x v="0"/>
    <x v="0"/>
    <n v="2297500000"/>
  </r>
  <r>
    <d v="2024-04-20T00:00:00"/>
    <x v="0"/>
    <x v="3"/>
    <x v="15"/>
    <x v="19"/>
    <x v="6"/>
    <x v="6"/>
    <x v="0"/>
    <n v="2000000"/>
  </r>
  <r>
    <d v="2024-04-20T00:00:00"/>
    <x v="0"/>
    <x v="3"/>
    <x v="15"/>
    <x v="19"/>
    <x v="4"/>
    <x v="4"/>
    <x v="2"/>
    <n v="7707342696"/>
  </r>
  <r>
    <d v="2024-04-20T00:00:00"/>
    <x v="0"/>
    <x v="3"/>
    <x v="15"/>
    <x v="19"/>
    <x v="5"/>
    <x v="5"/>
    <x v="3"/>
    <n v="1791339741"/>
  </r>
  <r>
    <d v="2024-04-20T00:00:00"/>
    <x v="0"/>
    <x v="3"/>
    <x v="15"/>
    <x v="19"/>
    <x v="1"/>
    <x v="1"/>
    <x v="1"/>
    <n v="0"/>
  </r>
  <r>
    <d v="2024-04-20T00:00:00"/>
    <x v="0"/>
    <x v="3"/>
    <x v="15"/>
    <x v="19"/>
    <x v="7"/>
    <x v="7"/>
    <x v="4"/>
    <n v="82955"/>
  </r>
  <r>
    <d v="2024-04-21T00:00:00"/>
    <x v="0"/>
    <x v="3"/>
    <x v="15"/>
    <x v="20"/>
    <x v="7"/>
    <x v="7"/>
    <x v="4"/>
    <n v="15000"/>
  </r>
  <r>
    <d v="2024-04-21T00:00:00"/>
    <x v="0"/>
    <x v="3"/>
    <x v="15"/>
    <x v="20"/>
    <x v="4"/>
    <x v="4"/>
    <x v="2"/>
    <n v="6494151612"/>
  </r>
  <r>
    <d v="2024-04-21T00:00:00"/>
    <x v="0"/>
    <x v="3"/>
    <x v="15"/>
    <x v="20"/>
    <x v="5"/>
    <x v="5"/>
    <x v="3"/>
    <n v="1708686612"/>
  </r>
  <r>
    <d v="2024-04-21T00:00:00"/>
    <x v="0"/>
    <x v="3"/>
    <x v="15"/>
    <x v="20"/>
    <x v="2"/>
    <x v="2"/>
    <x v="1"/>
    <n v="2633300000"/>
  </r>
  <r>
    <d v="2024-04-21T00:00:00"/>
    <x v="0"/>
    <x v="3"/>
    <x v="15"/>
    <x v="20"/>
    <x v="6"/>
    <x v="6"/>
    <x v="0"/>
    <n v="50000000"/>
  </r>
  <r>
    <d v="2024-04-21T00:00:00"/>
    <x v="0"/>
    <x v="3"/>
    <x v="15"/>
    <x v="20"/>
    <x v="3"/>
    <x v="3"/>
    <x v="1"/>
    <n v="117900000"/>
  </r>
  <r>
    <d v="2024-04-21T00:00:00"/>
    <x v="0"/>
    <x v="3"/>
    <x v="15"/>
    <x v="20"/>
    <x v="1"/>
    <x v="1"/>
    <x v="1"/>
    <n v="47250000"/>
  </r>
  <r>
    <d v="2024-04-21T00:00:00"/>
    <x v="0"/>
    <x v="3"/>
    <x v="15"/>
    <x v="20"/>
    <x v="0"/>
    <x v="0"/>
    <x v="0"/>
    <n v="1937000000"/>
  </r>
  <r>
    <d v="2024-04-21T00:00:00"/>
    <x v="0"/>
    <x v="3"/>
    <x v="15"/>
    <x v="20"/>
    <x v="8"/>
    <x v="8"/>
    <x v="1"/>
    <n v="0"/>
  </r>
  <r>
    <d v="2024-04-22T00:00:00"/>
    <x v="0"/>
    <x v="3"/>
    <x v="16"/>
    <x v="21"/>
    <x v="8"/>
    <x v="8"/>
    <x v="1"/>
    <n v="95600000"/>
  </r>
  <r>
    <d v="2024-04-22T00:00:00"/>
    <x v="0"/>
    <x v="3"/>
    <x v="16"/>
    <x v="21"/>
    <x v="7"/>
    <x v="7"/>
    <x v="4"/>
    <n v="311585"/>
  </r>
  <r>
    <d v="2024-04-22T00:00:00"/>
    <x v="0"/>
    <x v="3"/>
    <x v="16"/>
    <x v="21"/>
    <x v="3"/>
    <x v="3"/>
    <x v="1"/>
    <n v="317100000"/>
  </r>
  <r>
    <d v="2024-04-22T00:00:00"/>
    <x v="0"/>
    <x v="3"/>
    <x v="16"/>
    <x v="21"/>
    <x v="2"/>
    <x v="2"/>
    <x v="1"/>
    <n v="4076840000"/>
  </r>
  <r>
    <d v="2024-04-22T00:00:00"/>
    <x v="0"/>
    <x v="3"/>
    <x v="16"/>
    <x v="21"/>
    <x v="0"/>
    <x v="0"/>
    <x v="0"/>
    <n v="2515000000"/>
  </r>
  <r>
    <d v="2024-04-22T00:00:00"/>
    <x v="0"/>
    <x v="3"/>
    <x v="16"/>
    <x v="21"/>
    <x v="6"/>
    <x v="6"/>
    <x v="0"/>
    <n v="73000000"/>
  </r>
  <r>
    <d v="2024-04-22T00:00:00"/>
    <x v="0"/>
    <x v="3"/>
    <x v="16"/>
    <x v="21"/>
    <x v="4"/>
    <x v="4"/>
    <x v="2"/>
    <n v="9328249068"/>
  </r>
  <r>
    <d v="2024-04-22T00:00:00"/>
    <x v="0"/>
    <x v="3"/>
    <x v="16"/>
    <x v="21"/>
    <x v="1"/>
    <x v="1"/>
    <x v="1"/>
    <n v="152250000"/>
  </r>
  <r>
    <d v="2024-04-22T00:00:00"/>
    <x v="0"/>
    <x v="3"/>
    <x v="16"/>
    <x v="21"/>
    <x v="5"/>
    <x v="5"/>
    <x v="3"/>
    <n v="2098147483"/>
  </r>
  <r>
    <d v="2024-04-23T00:00:00"/>
    <x v="0"/>
    <x v="3"/>
    <x v="16"/>
    <x v="22"/>
    <x v="2"/>
    <x v="2"/>
    <x v="1"/>
    <n v="3194470000"/>
  </r>
  <r>
    <d v="2024-04-23T00:00:00"/>
    <x v="0"/>
    <x v="3"/>
    <x v="16"/>
    <x v="22"/>
    <x v="8"/>
    <x v="8"/>
    <x v="1"/>
    <n v="150870000"/>
  </r>
  <r>
    <d v="2024-04-23T00:00:00"/>
    <x v="0"/>
    <x v="3"/>
    <x v="16"/>
    <x v="22"/>
    <x v="1"/>
    <x v="1"/>
    <x v="1"/>
    <n v="41500000"/>
  </r>
  <r>
    <d v="2024-04-23T00:00:00"/>
    <x v="0"/>
    <x v="3"/>
    <x v="16"/>
    <x v="22"/>
    <x v="5"/>
    <x v="5"/>
    <x v="3"/>
    <n v="1829502296"/>
  </r>
  <r>
    <d v="2024-04-23T00:00:00"/>
    <x v="0"/>
    <x v="3"/>
    <x v="16"/>
    <x v="22"/>
    <x v="3"/>
    <x v="3"/>
    <x v="1"/>
    <n v="315100000"/>
  </r>
  <r>
    <d v="2024-04-23T00:00:00"/>
    <x v="0"/>
    <x v="3"/>
    <x v="16"/>
    <x v="22"/>
    <x v="6"/>
    <x v="6"/>
    <x v="0"/>
    <n v="12000000"/>
  </r>
  <r>
    <d v="2024-04-23T00:00:00"/>
    <x v="0"/>
    <x v="3"/>
    <x v="16"/>
    <x v="22"/>
    <x v="4"/>
    <x v="4"/>
    <x v="2"/>
    <n v="7808952296"/>
  </r>
  <r>
    <d v="2024-04-23T00:00:00"/>
    <x v="0"/>
    <x v="3"/>
    <x v="16"/>
    <x v="22"/>
    <x v="0"/>
    <x v="0"/>
    <x v="0"/>
    <n v="2265500000"/>
  </r>
  <r>
    <d v="2024-04-23T00:00:00"/>
    <x v="0"/>
    <x v="3"/>
    <x v="16"/>
    <x v="22"/>
    <x v="7"/>
    <x v="7"/>
    <x v="4"/>
    <n v="10000"/>
  </r>
  <r>
    <d v="2024-04-24T00:00:00"/>
    <x v="0"/>
    <x v="3"/>
    <x v="16"/>
    <x v="23"/>
    <x v="1"/>
    <x v="1"/>
    <x v="1"/>
    <n v="36750000"/>
  </r>
  <r>
    <d v="2024-04-24T00:00:00"/>
    <x v="0"/>
    <x v="3"/>
    <x v="16"/>
    <x v="23"/>
    <x v="2"/>
    <x v="2"/>
    <x v="1"/>
    <n v="3643210000"/>
  </r>
  <r>
    <d v="2024-04-24T00:00:00"/>
    <x v="0"/>
    <x v="3"/>
    <x v="16"/>
    <x v="23"/>
    <x v="3"/>
    <x v="3"/>
    <x v="1"/>
    <n v="341350000"/>
  </r>
  <r>
    <d v="2024-04-24T00:00:00"/>
    <x v="0"/>
    <x v="3"/>
    <x v="16"/>
    <x v="23"/>
    <x v="0"/>
    <x v="0"/>
    <x v="0"/>
    <n v="2478000000"/>
  </r>
  <r>
    <d v="2024-04-24T00:00:00"/>
    <x v="0"/>
    <x v="3"/>
    <x v="16"/>
    <x v="23"/>
    <x v="4"/>
    <x v="4"/>
    <x v="2"/>
    <n v="8981895147"/>
  </r>
  <r>
    <d v="2024-04-24T00:00:00"/>
    <x v="0"/>
    <x v="3"/>
    <x v="16"/>
    <x v="23"/>
    <x v="8"/>
    <x v="8"/>
    <x v="1"/>
    <n v="99510000"/>
  </r>
  <r>
    <d v="2024-04-24T00:00:00"/>
    <x v="0"/>
    <x v="3"/>
    <x v="16"/>
    <x v="23"/>
    <x v="5"/>
    <x v="5"/>
    <x v="3"/>
    <n v="2324050147"/>
  </r>
  <r>
    <d v="2024-04-24T00:00:00"/>
    <x v="0"/>
    <x v="3"/>
    <x v="16"/>
    <x v="23"/>
    <x v="7"/>
    <x v="7"/>
    <x v="4"/>
    <n v="25000"/>
  </r>
  <r>
    <d v="2024-04-24T00:00:00"/>
    <x v="0"/>
    <x v="3"/>
    <x v="16"/>
    <x v="23"/>
    <x v="6"/>
    <x v="6"/>
    <x v="0"/>
    <n v="59000000"/>
  </r>
  <r>
    <d v="2024-04-25T00:00:00"/>
    <x v="0"/>
    <x v="3"/>
    <x v="16"/>
    <x v="24"/>
    <x v="2"/>
    <x v="2"/>
    <x v="1"/>
    <n v="4055580000"/>
  </r>
  <r>
    <d v="2024-04-25T00:00:00"/>
    <x v="0"/>
    <x v="3"/>
    <x v="16"/>
    <x v="24"/>
    <x v="4"/>
    <x v="4"/>
    <x v="2"/>
    <n v="9544462173"/>
  </r>
  <r>
    <d v="2024-04-25T00:00:00"/>
    <x v="0"/>
    <x v="3"/>
    <x v="16"/>
    <x v="24"/>
    <x v="0"/>
    <x v="0"/>
    <x v="0"/>
    <n v="2857000000"/>
  </r>
  <r>
    <d v="2024-04-25T00:00:00"/>
    <x v="0"/>
    <x v="3"/>
    <x v="16"/>
    <x v="24"/>
    <x v="1"/>
    <x v="1"/>
    <x v="1"/>
    <n v="116600000"/>
  </r>
  <r>
    <d v="2024-04-25T00:00:00"/>
    <x v="0"/>
    <x v="3"/>
    <x v="16"/>
    <x v="24"/>
    <x v="7"/>
    <x v="7"/>
    <x v="4"/>
    <n v="23000"/>
  </r>
  <r>
    <d v="2024-04-25T00:00:00"/>
    <x v="0"/>
    <x v="3"/>
    <x v="16"/>
    <x v="24"/>
    <x v="8"/>
    <x v="8"/>
    <x v="1"/>
    <n v="38520000"/>
  </r>
  <r>
    <d v="2024-04-25T00:00:00"/>
    <x v="0"/>
    <x v="3"/>
    <x v="16"/>
    <x v="24"/>
    <x v="6"/>
    <x v="6"/>
    <x v="0"/>
    <n v="28000000"/>
  </r>
  <r>
    <d v="2024-04-25T00:00:00"/>
    <x v="0"/>
    <x v="3"/>
    <x v="16"/>
    <x v="24"/>
    <x v="3"/>
    <x v="3"/>
    <x v="1"/>
    <n v="295250000"/>
  </r>
  <r>
    <d v="2024-04-25T00:00:00"/>
    <x v="0"/>
    <x v="3"/>
    <x v="16"/>
    <x v="24"/>
    <x v="5"/>
    <x v="5"/>
    <x v="3"/>
    <n v="2153489173"/>
  </r>
  <r>
    <d v="2024-04-26T00:00:00"/>
    <x v="0"/>
    <x v="3"/>
    <x v="16"/>
    <x v="25"/>
    <x v="3"/>
    <x v="3"/>
    <x v="1"/>
    <n v="135500000"/>
  </r>
  <r>
    <d v="2024-04-26T00:00:00"/>
    <x v="0"/>
    <x v="3"/>
    <x v="16"/>
    <x v="25"/>
    <x v="7"/>
    <x v="7"/>
    <x v="4"/>
    <n v="55000"/>
  </r>
  <r>
    <d v="2024-04-26T00:00:00"/>
    <x v="0"/>
    <x v="3"/>
    <x v="16"/>
    <x v="25"/>
    <x v="5"/>
    <x v="5"/>
    <x v="3"/>
    <n v="1997704361"/>
  </r>
  <r>
    <d v="2024-04-26T00:00:00"/>
    <x v="0"/>
    <x v="3"/>
    <x v="16"/>
    <x v="25"/>
    <x v="1"/>
    <x v="1"/>
    <x v="1"/>
    <n v="88250000"/>
  </r>
  <r>
    <d v="2024-04-26T00:00:00"/>
    <x v="0"/>
    <x v="3"/>
    <x v="16"/>
    <x v="25"/>
    <x v="8"/>
    <x v="8"/>
    <x v="1"/>
    <n v="166920000"/>
  </r>
  <r>
    <d v="2024-04-26T00:00:00"/>
    <x v="0"/>
    <x v="3"/>
    <x v="16"/>
    <x v="25"/>
    <x v="4"/>
    <x v="4"/>
    <x v="2"/>
    <n v="8677649361"/>
  </r>
  <r>
    <d v="2024-04-26T00:00:00"/>
    <x v="0"/>
    <x v="3"/>
    <x v="16"/>
    <x v="25"/>
    <x v="6"/>
    <x v="6"/>
    <x v="0"/>
    <n v="26000000"/>
  </r>
  <r>
    <d v="2024-04-26T00:00:00"/>
    <x v="0"/>
    <x v="3"/>
    <x v="16"/>
    <x v="25"/>
    <x v="2"/>
    <x v="2"/>
    <x v="1"/>
    <n v="3381720000"/>
  </r>
  <r>
    <d v="2024-04-26T00:00:00"/>
    <x v="0"/>
    <x v="3"/>
    <x v="16"/>
    <x v="25"/>
    <x v="0"/>
    <x v="0"/>
    <x v="0"/>
    <n v="2881500000"/>
  </r>
  <r>
    <d v="2024-04-27T00:00:00"/>
    <x v="0"/>
    <x v="3"/>
    <x v="16"/>
    <x v="26"/>
    <x v="8"/>
    <x v="8"/>
    <x v="1"/>
    <n v="34240000"/>
  </r>
  <r>
    <d v="2024-04-27T00:00:00"/>
    <x v="0"/>
    <x v="3"/>
    <x v="16"/>
    <x v="26"/>
    <x v="2"/>
    <x v="2"/>
    <x v="1"/>
    <n v="2435930000"/>
  </r>
  <r>
    <d v="2024-04-27T00:00:00"/>
    <x v="0"/>
    <x v="3"/>
    <x v="16"/>
    <x v="26"/>
    <x v="0"/>
    <x v="0"/>
    <x v="0"/>
    <n v="2398000000"/>
  </r>
  <r>
    <d v="2024-04-27T00:00:00"/>
    <x v="0"/>
    <x v="3"/>
    <x v="16"/>
    <x v="26"/>
    <x v="7"/>
    <x v="7"/>
    <x v="4"/>
    <n v="420000"/>
  </r>
  <r>
    <d v="2024-04-27T00:00:00"/>
    <x v="0"/>
    <x v="3"/>
    <x v="16"/>
    <x v="26"/>
    <x v="5"/>
    <x v="5"/>
    <x v="3"/>
    <n v="1538773481"/>
  </r>
  <r>
    <d v="2024-04-27T00:00:00"/>
    <x v="0"/>
    <x v="3"/>
    <x v="16"/>
    <x v="26"/>
    <x v="1"/>
    <x v="1"/>
    <x v="1"/>
    <n v="52500000"/>
  </r>
  <r>
    <d v="2024-04-27T00:00:00"/>
    <x v="0"/>
    <x v="3"/>
    <x v="16"/>
    <x v="26"/>
    <x v="4"/>
    <x v="4"/>
    <x v="2"/>
    <n v="6556663481"/>
  </r>
  <r>
    <d v="2024-04-27T00:00:00"/>
    <x v="0"/>
    <x v="3"/>
    <x v="16"/>
    <x v="26"/>
    <x v="6"/>
    <x v="6"/>
    <x v="0"/>
    <n v="38000000"/>
  </r>
  <r>
    <d v="2024-04-27T00:00:00"/>
    <x v="0"/>
    <x v="3"/>
    <x v="16"/>
    <x v="26"/>
    <x v="3"/>
    <x v="3"/>
    <x v="1"/>
    <n v="58800000"/>
  </r>
  <r>
    <d v="2024-04-28T00:00:00"/>
    <x v="0"/>
    <x v="3"/>
    <x v="16"/>
    <x v="27"/>
    <x v="6"/>
    <x v="6"/>
    <x v="0"/>
    <n v="33000000"/>
  </r>
  <r>
    <d v="2024-04-28T00:00:00"/>
    <x v="0"/>
    <x v="3"/>
    <x v="16"/>
    <x v="27"/>
    <x v="8"/>
    <x v="8"/>
    <x v="1"/>
    <n v="0"/>
  </r>
  <r>
    <d v="2024-04-28T00:00:00"/>
    <x v="0"/>
    <x v="3"/>
    <x v="16"/>
    <x v="27"/>
    <x v="7"/>
    <x v="7"/>
    <x v="4"/>
    <n v="2772000"/>
  </r>
  <r>
    <d v="2024-04-28T00:00:00"/>
    <x v="0"/>
    <x v="3"/>
    <x v="16"/>
    <x v="27"/>
    <x v="5"/>
    <x v="5"/>
    <x v="3"/>
    <n v="1370513890"/>
  </r>
  <r>
    <d v="2024-04-28T00:00:00"/>
    <x v="0"/>
    <x v="3"/>
    <x v="16"/>
    <x v="27"/>
    <x v="4"/>
    <x v="4"/>
    <x v="2"/>
    <n v="5434995890"/>
  </r>
  <r>
    <d v="2024-04-28T00:00:00"/>
    <x v="0"/>
    <x v="3"/>
    <x v="16"/>
    <x v="27"/>
    <x v="2"/>
    <x v="2"/>
    <x v="1"/>
    <n v="1964210000"/>
  </r>
  <r>
    <d v="2024-04-28T00:00:00"/>
    <x v="0"/>
    <x v="3"/>
    <x v="16"/>
    <x v="27"/>
    <x v="0"/>
    <x v="0"/>
    <x v="0"/>
    <n v="2022500000"/>
  </r>
  <r>
    <d v="2024-04-28T00:00:00"/>
    <x v="0"/>
    <x v="3"/>
    <x v="16"/>
    <x v="27"/>
    <x v="1"/>
    <x v="1"/>
    <x v="1"/>
    <n v="21000000"/>
  </r>
  <r>
    <d v="2024-04-28T00:00:00"/>
    <x v="0"/>
    <x v="3"/>
    <x v="16"/>
    <x v="27"/>
    <x v="3"/>
    <x v="3"/>
    <x v="1"/>
    <n v="21000000"/>
  </r>
  <r>
    <d v="2024-04-29T00:00:00"/>
    <x v="0"/>
    <x v="3"/>
    <x v="17"/>
    <x v="28"/>
    <x v="0"/>
    <x v="0"/>
    <x v="0"/>
    <n v="2062500000"/>
  </r>
  <r>
    <d v="2024-04-29T00:00:00"/>
    <x v="0"/>
    <x v="3"/>
    <x v="17"/>
    <x v="28"/>
    <x v="3"/>
    <x v="3"/>
    <x v="1"/>
    <n v="84050000"/>
  </r>
  <r>
    <d v="2024-04-29T00:00:00"/>
    <x v="0"/>
    <x v="3"/>
    <x v="17"/>
    <x v="28"/>
    <x v="1"/>
    <x v="1"/>
    <x v="1"/>
    <n v="10000000"/>
  </r>
  <r>
    <d v="2024-04-29T00:00:00"/>
    <x v="0"/>
    <x v="3"/>
    <x v="17"/>
    <x v="28"/>
    <x v="2"/>
    <x v="2"/>
    <x v="1"/>
    <n v="2965480000"/>
  </r>
  <r>
    <d v="2024-04-29T00:00:00"/>
    <x v="0"/>
    <x v="3"/>
    <x v="17"/>
    <x v="28"/>
    <x v="7"/>
    <x v="7"/>
    <x v="4"/>
    <n v="2562800"/>
  </r>
  <r>
    <d v="2024-04-29T00:00:00"/>
    <x v="0"/>
    <x v="3"/>
    <x v="17"/>
    <x v="28"/>
    <x v="4"/>
    <x v="4"/>
    <x v="2"/>
    <n v="6789835967"/>
  </r>
  <r>
    <d v="2024-04-29T00:00:00"/>
    <x v="0"/>
    <x v="3"/>
    <x v="17"/>
    <x v="28"/>
    <x v="6"/>
    <x v="6"/>
    <x v="0"/>
    <n v="32000000"/>
  </r>
  <r>
    <d v="2024-04-29T00:00:00"/>
    <x v="0"/>
    <x v="3"/>
    <x v="17"/>
    <x v="28"/>
    <x v="8"/>
    <x v="8"/>
    <x v="1"/>
    <n v="0"/>
  </r>
  <r>
    <d v="2024-04-29T00:00:00"/>
    <x v="0"/>
    <x v="3"/>
    <x v="17"/>
    <x v="28"/>
    <x v="5"/>
    <x v="5"/>
    <x v="3"/>
    <n v="1633243167"/>
  </r>
  <r>
    <d v="2024-04-30T00:00:00"/>
    <x v="0"/>
    <x v="3"/>
    <x v="17"/>
    <x v="29"/>
    <x v="8"/>
    <x v="8"/>
    <x v="1"/>
    <n v="13910000"/>
  </r>
  <r>
    <d v="2024-04-30T00:00:00"/>
    <x v="0"/>
    <x v="3"/>
    <x v="17"/>
    <x v="29"/>
    <x v="9"/>
    <x v="9"/>
    <x v="1"/>
    <n v="10700000"/>
  </r>
  <r>
    <d v="2024-04-30T00:00:00"/>
    <x v="0"/>
    <x v="3"/>
    <x v="17"/>
    <x v="29"/>
    <x v="2"/>
    <x v="2"/>
    <x v="1"/>
    <n v="1977840000"/>
  </r>
  <r>
    <d v="2024-04-30T00:00:00"/>
    <x v="0"/>
    <x v="3"/>
    <x v="17"/>
    <x v="29"/>
    <x v="5"/>
    <x v="5"/>
    <x v="3"/>
    <n v="1653725036"/>
  </r>
  <r>
    <d v="2024-04-30T00:00:00"/>
    <x v="0"/>
    <x v="3"/>
    <x v="17"/>
    <x v="29"/>
    <x v="0"/>
    <x v="0"/>
    <x v="0"/>
    <n v="1660500000"/>
  </r>
  <r>
    <d v="2024-04-30T00:00:00"/>
    <x v="0"/>
    <x v="3"/>
    <x v="17"/>
    <x v="29"/>
    <x v="4"/>
    <x v="4"/>
    <x v="2"/>
    <n v="5461640533"/>
  </r>
  <r>
    <d v="2024-04-30T00:00:00"/>
    <x v="0"/>
    <x v="3"/>
    <x v="17"/>
    <x v="29"/>
    <x v="7"/>
    <x v="7"/>
    <x v="4"/>
    <n v="12315497"/>
  </r>
  <r>
    <d v="2024-04-30T00:00:00"/>
    <x v="0"/>
    <x v="3"/>
    <x v="17"/>
    <x v="29"/>
    <x v="6"/>
    <x v="6"/>
    <x v="0"/>
    <n v="15000000"/>
  </r>
  <r>
    <d v="2024-04-30T00:00:00"/>
    <x v="0"/>
    <x v="3"/>
    <x v="17"/>
    <x v="29"/>
    <x v="3"/>
    <x v="3"/>
    <x v="1"/>
    <n v="75650000"/>
  </r>
  <r>
    <d v="2024-04-30T00:00:00"/>
    <x v="0"/>
    <x v="3"/>
    <x v="17"/>
    <x v="29"/>
    <x v="1"/>
    <x v="1"/>
    <x v="1"/>
    <n v="42000000"/>
  </r>
  <r>
    <d v="2024-05-01T00:00:00"/>
    <x v="0"/>
    <x v="4"/>
    <x v="17"/>
    <x v="0"/>
    <x v="7"/>
    <x v="7"/>
    <x v="4"/>
    <n v="12406162"/>
  </r>
  <r>
    <d v="2024-05-01T00:00:00"/>
    <x v="0"/>
    <x v="4"/>
    <x v="17"/>
    <x v="0"/>
    <x v="3"/>
    <x v="3"/>
    <x v="1"/>
    <n v="101850000"/>
  </r>
  <r>
    <d v="2024-05-01T00:00:00"/>
    <x v="0"/>
    <x v="4"/>
    <x v="17"/>
    <x v="0"/>
    <x v="8"/>
    <x v="8"/>
    <x v="1"/>
    <n v="10700000"/>
  </r>
  <r>
    <d v="2024-05-01T00:00:00"/>
    <x v="0"/>
    <x v="4"/>
    <x v="17"/>
    <x v="0"/>
    <x v="1"/>
    <x v="1"/>
    <x v="1"/>
    <n v="49350000"/>
  </r>
  <r>
    <d v="2024-05-01T00:00:00"/>
    <x v="0"/>
    <x v="4"/>
    <x v="17"/>
    <x v="0"/>
    <x v="4"/>
    <x v="4"/>
    <x v="2"/>
    <n v="6852705710"/>
  </r>
  <r>
    <d v="2024-05-01T00:00:00"/>
    <x v="0"/>
    <x v="4"/>
    <x v="17"/>
    <x v="0"/>
    <x v="6"/>
    <x v="6"/>
    <x v="0"/>
    <n v="19000000"/>
  </r>
  <r>
    <d v="2024-05-01T00:00:00"/>
    <x v="0"/>
    <x v="4"/>
    <x v="17"/>
    <x v="0"/>
    <x v="9"/>
    <x v="9"/>
    <x v="1"/>
    <n v="0"/>
  </r>
  <r>
    <d v="2024-05-01T00:00:00"/>
    <x v="0"/>
    <x v="4"/>
    <x v="17"/>
    <x v="0"/>
    <x v="2"/>
    <x v="2"/>
    <x v="1"/>
    <n v="2128310000"/>
  </r>
  <r>
    <d v="2024-05-01T00:00:00"/>
    <x v="0"/>
    <x v="4"/>
    <x v="17"/>
    <x v="0"/>
    <x v="5"/>
    <x v="5"/>
    <x v="3"/>
    <n v="2369589548"/>
  </r>
  <r>
    <d v="2024-05-01T00:00:00"/>
    <x v="0"/>
    <x v="4"/>
    <x v="17"/>
    <x v="0"/>
    <x v="0"/>
    <x v="0"/>
    <x v="0"/>
    <n v="2161500000"/>
  </r>
  <r>
    <d v="2024-05-02T00:00:00"/>
    <x v="0"/>
    <x v="4"/>
    <x v="17"/>
    <x v="1"/>
    <x v="1"/>
    <x v="1"/>
    <x v="1"/>
    <n v="184350000"/>
  </r>
  <r>
    <d v="2024-05-02T00:00:00"/>
    <x v="0"/>
    <x v="4"/>
    <x v="17"/>
    <x v="1"/>
    <x v="2"/>
    <x v="2"/>
    <x v="1"/>
    <n v="3443710000"/>
  </r>
  <r>
    <d v="2024-05-02T00:00:00"/>
    <x v="0"/>
    <x v="4"/>
    <x v="17"/>
    <x v="1"/>
    <x v="0"/>
    <x v="0"/>
    <x v="0"/>
    <n v="2573500000"/>
  </r>
  <r>
    <d v="2024-05-02T00:00:00"/>
    <x v="0"/>
    <x v="4"/>
    <x v="17"/>
    <x v="1"/>
    <x v="6"/>
    <x v="6"/>
    <x v="0"/>
    <n v="43000000"/>
  </r>
  <r>
    <d v="2024-05-02T00:00:00"/>
    <x v="0"/>
    <x v="4"/>
    <x v="17"/>
    <x v="1"/>
    <x v="8"/>
    <x v="8"/>
    <x v="1"/>
    <n v="52430000"/>
  </r>
  <r>
    <d v="2024-05-02T00:00:00"/>
    <x v="0"/>
    <x v="4"/>
    <x v="17"/>
    <x v="1"/>
    <x v="4"/>
    <x v="4"/>
    <x v="2"/>
    <n v="9888118246"/>
  </r>
  <r>
    <d v="2024-05-02T00:00:00"/>
    <x v="0"/>
    <x v="4"/>
    <x v="17"/>
    <x v="1"/>
    <x v="7"/>
    <x v="7"/>
    <x v="4"/>
    <n v="13958374"/>
  </r>
  <r>
    <d v="2024-05-02T00:00:00"/>
    <x v="0"/>
    <x v="4"/>
    <x v="17"/>
    <x v="1"/>
    <x v="5"/>
    <x v="5"/>
    <x v="3"/>
    <n v="3412269872"/>
  </r>
  <r>
    <d v="2024-05-02T00:00:00"/>
    <x v="0"/>
    <x v="4"/>
    <x v="17"/>
    <x v="1"/>
    <x v="9"/>
    <x v="9"/>
    <x v="1"/>
    <n v="0"/>
  </r>
  <r>
    <d v="2024-05-02T00:00:00"/>
    <x v="0"/>
    <x v="4"/>
    <x v="17"/>
    <x v="1"/>
    <x v="3"/>
    <x v="3"/>
    <x v="1"/>
    <n v="164900000"/>
  </r>
  <r>
    <d v="2024-05-03T00:00:00"/>
    <x v="0"/>
    <x v="4"/>
    <x v="17"/>
    <x v="2"/>
    <x v="7"/>
    <x v="7"/>
    <x v="4"/>
    <n v="30947121"/>
  </r>
  <r>
    <d v="2024-05-03T00:00:00"/>
    <x v="0"/>
    <x v="4"/>
    <x v="17"/>
    <x v="2"/>
    <x v="1"/>
    <x v="1"/>
    <x v="1"/>
    <n v="57250000"/>
  </r>
  <r>
    <d v="2024-05-03T00:00:00"/>
    <x v="0"/>
    <x v="4"/>
    <x v="17"/>
    <x v="2"/>
    <x v="8"/>
    <x v="8"/>
    <x v="1"/>
    <n v="75970000"/>
  </r>
  <r>
    <d v="2024-05-03T00:00:00"/>
    <x v="0"/>
    <x v="4"/>
    <x v="17"/>
    <x v="2"/>
    <x v="4"/>
    <x v="4"/>
    <x v="2"/>
    <n v="9854009235"/>
  </r>
  <r>
    <d v="2024-05-03T00:00:00"/>
    <x v="0"/>
    <x v="4"/>
    <x v="17"/>
    <x v="2"/>
    <x v="6"/>
    <x v="6"/>
    <x v="0"/>
    <n v="26000000"/>
  </r>
  <r>
    <d v="2024-05-03T00:00:00"/>
    <x v="0"/>
    <x v="4"/>
    <x v="17"/>
    <x v="2"/>
    <x v="9"/>
    <x v="9"/>
    <x v="1"/>
    <n v="0"/>
  </r>
  <r>
    <d v="2024-05-03T00:00:00"/>
    <x v="0"/>
    <x v="4"/>
    <x v="17"/>
    <x v="2"/>
    <x v="3"/>
    <x v="3"/>
    <x v="1"/>
    <n v="89300000"/>
  </r>
  <r>
    <d v="2024-05-03T00:00:00"/>
    <x v="0"/>
    <x v="4"/>
    <x v="17"/>
    <x v="2"/>
    <x v="5"/>
    <x v="5"/>
    <x v="3"/>
    <n v="2655142114"/>
  </r>
  <r>
    <d v="2024-05-03T00:00:00"/>
    <x v="0"/>
    <x v="4"/>
    <x v="17"/>
    <x v="2"/>
    <x v="2"/>
    <x v="2"/>
    <x v="1"/>
    <n v="3913900000"/>
  </r>
  <r>
    <d v="2024-05-03T00:00:00"/>
    <x v="0"/>
    <x v="4"/>
    <x v="17"/>
    <x v="2"/>
    <x v="0"/>
    <x v="0"/>
    <x v="0"/>
    <n v="3005500000"/>
  </r>
  <r>
    <d v="2024-05-04T00:00:00"/>
    <x v="0"/>
    <x v="4"/>
    <x v="17"/>
    <x v="3"/>
    <x v="5"/>
    <x v="5"/>
    <x v="3"/>
    <n v="2479216421"/>
  </r>
  <r>
    <d v="2024-05-04T00:00:00"/>
    <x v="0"/>
    <x v="4"/>
    <x v="17"/>
    <x v="3"/>
    <x v="2"/>
    <x v="2"/>
    <x v="1"/>
    <n v="3181290000"/>
  </r>
  <r>
    <d v="2024-05-04T00:00:00"/>
    <x v="0"/>
    <x v="4"/>
    <x v="17"/>
    <x v="3"/>
    <x v="0"/>
    <x v="0"/>
    <x v="0"/>
    <n v="2776500000"/>
  </r>
  <r>
    <d v="2024-05-04T00:00:00"/>
    <x v="0"/>
    <x v="4"/>
    <x v="17"/>
    <x v="3"/>
    <x v="6"/>
    <x v="6"/>
    <x v="0"/>
    <n v="27000000"/>
  </r>
  <r>
    <d v="2024-05-04T00:00:00"/>
    <x v="0"/>
    <x v="4"/>
    <x v="17"/>
    <x v="3"/>
    <x v="1"/>
    <x v="1"/>
    <x v="1"/>
    <n v="52000000"/>
  </r>
  <r>
    <d v="2024-05-04T00:00:00"/>
    <x v="0"/>
    <x v="4"/>
    <x v="17"/>
    <x v="3"/>
    <x v="3"/>
    <x v="3"/>
    <x v="1"/>
    <n v="73500000"/>
  </r>
  <r>
    <d v="2024-05-04T00:00:00"/>
    <x v="0"/>
    <x v="4"/>
    <x v="17"/>
    <x v="3"/>
    <x v="9"/>
    <x v="9"/>
    <x v="1"/>
    <n v="0"/>
  </r>
  <r>
    <d v="2024-05-04T00:00:00"/>
    <x v="0"/>
    <x v="4"/>
    <x v="17"/>
    <x v="3"/>
    <x v="4"/>
    <x v="4"/>
    <x v="2"/>
    <n v="8808524770"/>
  </r>
  <r>
    <d v="2024-05-04T00:00:00"/>
    <x v="0"/>
    <x v="4"/>
    <x v="17"/>
    <x v="3"/>
    <x v="8"/>
    <x v="8"/>
    <x v="1"/>
    <n v="175480000"/>
  </r>
  <r>
    <d v="2024-05-04T00:00:00"/>
    <x v="0"/>
    <x v="4"/>
    <x v="17"/>
    <x v="3"/>
    <x v="7"/>
    <x v="7"/>
    <x v="4"/>
    <n v="43538349"/>
  </r>
  <r>
    <d v="2024-05-05T00:00:00"/>
    <x v="0"/>
    <x v="4"/>
    <x v="17"/>
    <x v="4"/>
    <x v="4"/>
    <x v="4"/>
    <x v="2"/>
    <n v="7059564904"/>
  </r>
  <r>
    <d v="2024-05-05T00:00:00"/>
    <x v="0"/>
    <x v="4"/>
    <x v="17"/>
    <x v="4"/>
    <x v="7"/>
    <x v="7"/>
    <x v="4"/>
    <n v="30329010"/>
  </r>
  <r>
    <d v="2024-05-05T00:00:00"/>
    <x v="0"/>
    <x v="4"/>
    <x v="17"/>
    <x v="4"/>
    <x v="9"/>
    <x v="9"/>
    <x v="1"/>
    <n v="0"/>
  </r>
  <r>
    <d v="2024-05-05T00:00:00"/>
    <x v="0"/>
    <x v="4"/>
    <x v="17"/>
    <x v="4"/>
    <x v="0"/>
    <x v="0"/>
    <x v="0"/>
    <n v="2395000000"/>
  </r>
  <r>
    <d v="2024-05-05T00:00:00"/>
    <x v="0"/>
    <x v="4"/>
    <x v="17"/>
    <x v="4"/>
    <x v="1"/>
    <x v="1"/>
    <x v="1"/>
    <n v="13650000"/>
  </r>
  <r>
    <d v="2024-05-05T00:00:00"/>
    <x v="0"/>
    <x v="4"/>
    <x v="17"/>
    <x v="4"/>
    <x v="3"/>
    <x v="3"/>
    <x v="1"/>
    <n v="69300000"/>
  </r>
  <r>
    <d v="2024-05-05T00:00:00"/>
    <x v="0"/>
    <x v="4"/>
    <x v="17"/>
    <x v="4"/>
    <x v="6"/>
    <x v="6"/>
    <x v="0"/>
    <n v="68000000"/>
  </r>
  <r>
    <d v="2024-05-05T00:00:00"/>
    <x v="0"/>
    <x v="4"/>
    <x v="17"/>
    <x v="4"/>
    <x v="8"/>
    <x v="8"/>
    <x v="1"/>
    <n v="26750000"/>
  </r>
  <r>
    <d v="2024-05-05T00:00:00"/>
    <x v="0"/>
    <x v="4"/>
    <x v="17"/>
    <x v="4"/>
    <x v="2"/>
    <x v="2"/>
    <x v="1"/>
    <n v="2410780000"/>
  </r>
  <r>
    <d v="2024-05-05T00:00:00"/>
    <x v="0"/>
    <x v="4"/>
    <x v="17"/>
    <x v="4"/>
    <x v="5"/>
    <x v="5"/>
    <x v="3"/>
    <n v="2045755894"/>
  </r>
  <r>
    <d v="2024-05-06T00:00:00"/>
    <x v="0"/>
    <x v="4"/>
    <x v="18"/>
    <x v="5"/>
    <x v="8"/>
    <x v="8"/>
    <x v="1"/>
    <n v="222560000"/>
  </r>
  <r>
    <d v="2024-05-06T00:00:00"/>
    <x v="0"/>
    <x v="4"/>
    <x v="18"/>
    <x v="5"/>
    <x v="3"/>
    <x v="3"/>
    <x v="1"/>
    <n v="152250000"/>
  </r>
  <r>
    <d v="2024-05-06T00:00:00"/>
    <x v="0"/>
    <x v="4"/>
    <x v="18"/>
    <x v="5"/>
    <x v="5"/>
    <x v="5"/>
    <x v="3"/>
    <n v="2396624435"/>
  </r>
  <r>
    <d v="2024-05-06T00:00:00"/>
    <x v="0"/>
    <x v="4"/>
    <x v="18"/>
    <x v="5"/>
    <x v="1"/>
    <x v="1"/>
    <x v="1"/>
    <n v="161750000"/>
  </r>
  <r>
    <d v="2024-05-06T00:00:00"/>
    <x v="0"/>
    <x v="4"/>
    <x v="18"/>
    <x v="5"/>
    <x v="6"/>
    <x v="6"/>
    <x v="0"/>
    <n v="57000000"/>
  </r>
  <r>
    <d v="2024-05-06T00:00:00"/>
    <x v="0"/>
    <x v="4"/>
    <x v="18"/>
    <x v="5"/>
    <x v="7"/>
    <x v="7"/>
    <x v="4"/>
    <n v="32361625"/>
  </r>
  <r>
    <d v="2024-05-06T00:00:00"/>
    <x v="0"/>
    <x v="4"/>
    <x v="18"/>
    <x v="5"/>
    <x v="4"/>
    <x v="4"/>
    <x v="2"/>
    <n v="10405976060"/>
  </r>
  <r>
    <d v="2024-05-06T00:00:00"/>
    <x v="0"/>
    <x v="4"/>
    <x v="18"/>
    <x v="5"/>
    <x v="9"/>
    <x v="9"/>
    <x v="1"/>
    <n v="0"/>
  </r>
  <r>
    <d v="2024-05-06T00:00:00"/>
    <x v="0"/>
    <x v="4"/>
    <x v="18"/>
    <x v="5"/>
    <x v="0"/>
    <x v="0"/>
    <x v="0"/>
    <n v="3299500000"/>
  </r>
  <r>
    <d v="2024-05-06T00:00:00"/>
    <x v="0"/>
    <x v="4"/>
    <x v="18"/>
    <x v="5"/>
    <x v="2"/>
    <x v="2"/>
    <x v="1"/>
    <n v="4083930000"/>
  </r>
  <r>
    <d v="2024-05-07T00:00:00"/>
    <x v="0"/>
    <x v="4"/>
    <x v="18"/>
    <x v="6"/>
    <x v="2"/>
    <x v="2"/>
    <x v="1"/>
    <n v="4381160000"/>
  </r>
  <r>
    <d v="2024-05-07T00:00:00"/>
    <x v="0"/>
    <x v="4"/>
    <x v="18"/>
    <x v="6"/>
    <x v="9"/>
    <x v="9"/>
    <x v="1"/>
    <n v="16050000"/>
  </r>
  <r>
    <d v="2024-05-07T00:00:00"/>
    <x v="0"/>
    <x v="4"/>
    <x v="18"/>
    <x v="6"/>
    <x v="8"/>
    <x v="8"/>
    <x v="1"/>
    <n v="128400000"/>
  </r>
  <r>
    <d v="2024-05-07T00:00:00"/>
    <x v="0"/>
    <x v="4"/>
    <x v="18"/>
    <x v="6"/>
    <x v="3"/>
    <x v="3"/>
    <x v="1"/>
    <n v="142100000"/>
  </r>
  <r>
    <d v="2024-05-07T00:00:00"/>
    <x v="0"/>
    <x v="4"/>
    <x v="18"/>
    <x v="6"/>
    <x v="4"/>
    <x v="4"/>
    <x v="2"/>
    <n v="9365394251"/>
  </r>
  <r>
    <d v="2024-05-07T00:00:00"/>
    <x v="0"/>
    <x v="4"/>
    <x v="18"/>
    <x v="6"/>
    <x v="5"/>
    <x v="5"/>
    <x v="3"/>
    <n v="1822966158"/>
  </r>
  <r>
    <d v="2024-05-07T00:00:00"/>
    <x v="0"/>
    <x v="4"/>
    <x v="18"/>
    <x v="6"/>
    <x v="6"/>
    <x v="6"/>
    <x v="0"/>
    <n v="38000000"/>
  </r>
  <r>
    <d v="2024-05-07T00:00:00"/>
    <x v="0"/>
    <x v="4"/>
    <x v="18"/>
    <x v="6"/>
    <x v="7"/>
    <x v="7"/>
    <x v="4"/>
    <n v="28668093"/>
  </r>
  <r>
    <d v="2024-05-07T00:00:00"/>
    <x v="0"/>
    <x v="4"/>
    <x v="18"/>
    <x v="6"/>
    <x v="0"/>
    <x v="0"/>
    <x v="0"/>
    <n v="2712500000"/>
  </r>
  <r>
    <d v="2024-05-07T00:00:00"/>
    <x v="0"/>
    <x v="4"/>
    <x v="18"/>
    <x v="6"/>
    <x v="1"/>
    <x v="1"/>
    <x v="1"/>
    <n v="95550000"/>
  </r>
  <r>
    <d v="2024-05-08T00:00:00"/>
    <x v="0"/>
    <x v="4"/>
    <x v="18"/>
    <x v="7"/>
    <x v="2"/>
    <x v="2"/>
    <x v="1"/>
    <n v="4063820000"/>
  </r>
  <r>
    <d v="2024-05-08T00:00:00"/>
    <x v="0"/>
    <x v="4"/>
    <x v="18"/>
    <x v="7"/>
    <x v="0"/>
    <x v="0"/>
    <x v="0"/>
    <n v="2272500000"/>
  </r>
  <r>
    <d v="2024-05-08T00:00:00"/>
    <x v="0"/>
    <x v="4"/>
    <x v="18"/>
    <x v="7"/>
    <x v="5"/>
    <x v="5"/>
    <x v="3"/>
    <n v="2368109740"/>
  </r>
  <r>
    <d v="2024-05-08T00:00:00"/>
    <x v="0"/>
    <x v="4"/>
    <x v="18"/>
    <x v="7"/>
    <x v="8"/>
    <x v="8"/>
    <x v="1"/>
    <n v="151940000"/>
  </r>
  <r>
    <d v="2024-05-08T00:00:00"/>
    <x v="0"/>
    <x v="4"/>
    <x v="18"/>
    <x v="7"/>
    <x v="7"/>
    <x v="7"/>
    <x v="4"/>
    <n v="30583491"/>
  </r>
  <r>
    <d v="2024-05-08T00:00:00"/>
    <x v="0"/>
    <x v="4"/>
    <x v="18"/>
    <x v="7"/>
    <x v="4"/>
    <x v="4"/>
    <x v="2"/>
    <n v="9106913231"/>
  </r>
  <r>
    <d v="2024-05-08T00:00:00"/>
    <x v="0"/>
    <x v="4"/>
    <x v="18"/>
    <x v="7"/>
    <x v="6"/>
    <x v="6"/>
    <x v="0"/>
    <n v="14000000"/>
  </r>
  <r>
    <d v="2024-05-08T00:00:00"/>
    <x v="0"/>
    <x v="4"/>
    <x v="18"/>
    <x v="7"/>
    <x v="9"/>
    <x v="9"/>
    <x v="1"/>
    <n v="8560000"/>
  </r>
  <r>
    <d v="2024-05-08T00:00:00"/>
    <x v="0"/>
    <x v="4"/>
    <x v="18"/>
    <x v="7"/>
    <x v="3"/>
    <x v="3"/>
    <x v="1"/>
    <n v="186900000"/>
  </r>
  <r>
    <d v="2024-05-08T00:00:00"/>
    <x v="0"/>
    <x v="4"/>
    <x v="18"/>
    <x v="7"/>
    <x v="1"/>
    <x v="1"/>
    <x v="1"/>
    <n v="10500000"/>
  </r>
  <r>
    <d v="2024-05-09T00:00:00"/>
    <x v="0"/>
    <x v="4"/>
    <x v="18"/>
    <x v="8"/>
    <x v="2"/>
    <x v="2"/>
    <x v="1"/>
    <n v="3753110000"/>
  </r>
  <r>
    <d v="2024-05-09T00:00:00"/>
    <x v="0"/>
    <x v="4"/>
    <x v="18"/>
    <x v="8"/>
    <x v="1"/>
    <x v="1"/>
    <x v="1"/>
    <n v="121050000"/>
  </r>
  <r>
    <d v="2024-05-09T00:00:00"/>
    <x v="0"/>
    <x v="4"/>
    <x v="18"/>
    <x v="8"/>
    <x v="8"/>
    <x v="8"/>
    <x v="1"/>
    <n v="240050000"/>
  </r>
  <r>
    <d v="2024-05-09T00:00:00"/>
    <x v="0"/>
    <x v="4"/>
    <x v="18"/>
    <x v="8"/>
    <x v="0"/>
    <x v="0"/>
    <x v="0"/>
    <n v="2731000000"/>
  </r>
  <r>
    <d v="2024-05-09T00:00:00"/>
    <x v="0"/>
    <x v="4"/>
    <x v="18"/>
    <x v="8"/>
    <x v="4"/>
    <x v="4"/>
    <x v="2"/>
    <n v="9034555214"/>
  </r>
  <r>
    <d v="2024-05-09T00:00:00"/>
    <x v="0"/>
    <x v="4"/>
    <x v="18"/>
    <x v="8"/>
    <x v="6"/>
    <x v="6"/>
    <x v="0"/>
    <n v="35000000"/>
  </r>
  <r>
    <d v="2024-05-09T00:00:00"/>
    <x v="0"/>
    <x v="4"/>
    <x v="18"/>
    <x v="8"/>
    <x v="3"/>
    <x v="3"/>
    <x v="1"/>
    <n v="109250000"/>
  </r>
  <r>
    <d v="2024-05-09T00:00:00"/>
    <x v="0"/>
    <x v="4"/>
    <x v="18"/>
    <x v="8"/>
    <x v="5"/>
    <x v="5"/>
    <x v="3"/>
    <n v="2015083710"/>
  </r>
  <r>
    <d v="2024-05-09T00:00:00"/>
    <x v="0"/>
    <x v="4"/>
    <x v="18"/>
    <x v="8"/>
    <x v="7"/>
    <x v="7"/>
    <x v="4"/>
    <n v="30011504"/>
  </r>
  <r>
    <d v="2024-05-09T00:00:00"/>
    <x v="0"/>
    <x v="4"/>
    <x v="18"/>
    <x v="8"/>
    <x v="9"/>
    <x v="9"/>
    <x v="1"/>
    <n v="0"/>
  </r>
  <r>
    <d v="2024-05-10T00:00:00"/>
    <x v="0"/>
    <x v="4"/>
    <x v="18"/>
    <x v="9"/>
    <x v="8"/>
    <x v="8"/>
    <x v="1"/>
    <n v="247170000"/>
  </r>
  <r>
    <d v="2024-05-10T00:00:00"/>
    <x v="0"/>
    <x v="4"/>
    <x v="18"/>
    <x v="9"/>
    <x v="1"/>
    <x v="1"/>
    <x v="1"/>
    <n v="52500000"/>
  </r>
  <r>
    <d v="2024-05-10T00:00:00"/>
    <x v="0"/>
    <x v="4"/>
    <x v="18"/>
    <x v="9"/>
    <x v="6"/>
    <x v="6"/>
    <x v="0"/>
    <n v="48000000"/>
  </r>
  <r>
    <d v="2024-05-10T00:00:00"/>
    <x v="0"/>
    <x v="4"/>
    <x v="18"/>
    <x v="9"/>
    <x v="2"/>
    <x v="2"/>
    <x v="1"/>
    <n v="4187740000"/>
  </r>
  <r>
    <d v="2024-05-10T00:00:00"/>
    <x v="0"/>
    <x v="4"/>
    <x v="18"/>
    <x v="9"/>
    <x v="7"/>
    <x v="7"/>
    <x v="4"/>
    <n v="38102756"/>
  </r>
  <r>
    <d v="2024-05-10T00:00:00"/>
    <x v="0"/>
    <x v="4"/>
    <x v="18"/>
    <x v="9"/>
    <x v="0"/>
    <x v="0"/>
    <x v="0"/>
    <n v="3162000000"/>
  </r>
  <r>
    <d v="2024-05-10T00:00:00"/>
    <x v="0"/>
    <x v="4"/>
    <x v="18"/>
    <x v="9"/>
    <x v="9"/>
    <x v="9"/>
    <x v="1"/>
    <n v="0"/>
  </r>
  <r>
    <d v="2024-05-10T00:00:00"/>
    <x v="0"/>
    <x v="4"/>
    <x v="18"/>
    <x v="9"/>
    <x v="4"/>
    <x v="4"/>
    <x v="2"/>
    <n v="10284143152"/>
  </r>
  <r>
    <d v="2024-05-10T00:00:00"/>
    <x v="0"/>
    <x v="4"/>
    <x v="18"/>
    <x v="9"/>
    <x v="5"/>
    <x v="5"/>
    <x v="3"/>
    <n v="2455180396"/>
  </r>
  <r>
    <d v="2024-05-10T00:00:00"/>
    <x v="0"/>
    <x v="4"/>
    <x v="18"/>
    <x v="9"/>
    <x v="3"/>
    <x v="3"/>
    <x v="1"/>
    <n v="93450000"/>
  </r>
  <r>
    <d v="2024-05-11T00:00:00"/>
    <x v="0"/>
    <x v="4"/>
    <x v="18"/>
    <x v="10"/>
    <x v="0"/>
    <x v="0"/>
    <x v="0"/>
    <n v="2605500000"/>
  </r>
  <r>
    <d v="2024-05-11T00:00:00"/>
    <x v="0"/>
    <x v="4"/>
    <x v="18"/>
    <x v="10"/>
    <x v="8"/>
    <x v="8"/>
    <x v="1"/>
    <n v="111280000"/>
  </r>
  <r>
    <d v="2024-05-11T00:00:00"/>
    <x v="0"/>
    <x v="4"/>
    <x v="18"/>
    <x v="10"/>
    <x v="3"/>
    <x v="3"/>
    <x v="1"/>
    <n v="73500000"/>
  </r>
  <r>
    <d v="2024-05-11T00:00:00"/>
    <x v="0"/>
    <x v="4"/>
    <x v="18"/>
    <x v="10"/>
    <x v="4"/>
    <x v="4"/>
    <x v="2"/>
    <n v="7670783824"/>
  </r>
  <r>
    <d v="2024-05-11T00:00:00"/>
    <x v="0"/>
    <x v="4"/>
    <x v="18"/>
    <x v="10"/>
    <x v="6"/>
    <x v="6"/>
    <x v="0"/>
    <n v="43000000"/>
  </r>
  <r>
    <d v="2024-05-11T00:00:00"/>
    <x v="0"/>
    <x v="4"/>
    <x v="18"/>
    <x v="10"/>
    <x v="1"/>
    <x v="1"/>
    <x v="1"/>
    <n v="42000000"/>
  </r>
  <r>
    <d v="2024-05-11T00:00:00"/>
    <x v="0"/>
    <x v="4"/>
    <x v="18"/>
    <x v="10"/>
    <x v="9"/>
    <x v="9"/>
    <x v="1"/>
    <n v="0"/>
  </r>
  <r>
    <d v="2024-05-11T00:00:00"/>
    <x v="0"/>
    <x v="4"/>
    <x v="18"/>
    <x v="10"/>
    <x v="5"/>
    <x v="5"/>
    <x v="3"/>
    <n v="1817259725"/>
  </r>
  <r>
    <d v="2024-05-11T00:00:00"/>
    <x v="0"/>
    <x v="4"/>
    <x v="18"/>
    <x v="10"/>
    <x v="2"/>
    <x v="2"/>
    <x v="1"/>
    <n v="2959970000"/>
  </r>
  <r>
    <d v="2024-05-11T00:00:00"/>
    <x v="0"/>
    <x v="4"/>
    <x v="18"/>
    <x v="10"/>
    <x v="7"/>
    <x v="7"/>
    <x v="4"/>
    <n v="18274099"/>
  </r>
  <r>
    <d v="2024-05-12T00:00:00"/>
    <x v="0"/>
    <x v="4"/>
    <x v="18"/>
    <x v="11"/>
    <x v="2"/>
    <x v="2"/>
    <x v="1"/>
    <n v="2831900000"/>
  </r>
  <r>
    <d v="2024-05-12T00:00:00"/>
    <x v="0"/>
    <x v="4"/>
    <x v="18"/>
    <x v="11"/>
    <x v="3"/>
    <x v="3"/>
    <x v="1"/>
    <n v="176400000"/>
  </r>
  <r>
    <d v="2024-05-12T00:00:00"/>
    <x v="0"/>
    <x v="4"/>
    <x v="18"/>
    <x v="11"/>
    <x v="0"/>
    <x v="0"/>
    <x v="0"/>
    <n v="2182500000"/>
  </r>
  <r>
    <d v="2024-05-12T00:00:00"/>
    <x v="0"/>
    <x v="4"/>
    <x v="18"/>
    <x v="11"/>
    <x v="1"/>
    <x v="1"/>
    <x v="1"/>
    <n v="72750000"/>
  </r>
  <r>
    <d v="2024-05-12T00:00:00"/>
    <x v="0"/>
    <x v="4"/>
    <x v="18"/>
    <x v="11"/>
    <x v="7"/>
    <x v="7"/>
    <x v="4"/>
    <n v="26686524"/>
  </r>
  <r>
    <d v="2024-05-12T00:00:00"/>
    <x v="0"/>
    <x v="4"/>
    <x v="18"/>
    <x v="11"/>
    <x v="9"/>
    <x v="9"/>
    <x v="1"/>
    <n v="0"/>
  </r>
  <r>
    <d v="2024-05-12T00:00:00"/>
    <x v="0"/>
    <x v="4"/>
    <x v="18"/>
    <x v="11"/>
    <x v="6"/>
    <x v="6"/>
    <x v="0"/>
    <n v="25000000"/>
  </r>
  <r>
    <d v="2024-05-12T00:00:00"/>
    <x v="0"/>
    <x v="4"/>
    <x v="18"/>
    <x v="11"/>
    <x v="5"/>
    <x v="5"/>
    <x v="3"/>
    <n v="1574723031"/>
  </r>
  <r>
    <d v="2024-05-12T00:00:00"/>
    <x v="0"/>
    <x v="4"/>
    <x v="18"/>
    <x v="11"/>
    <x v="4"/>
    <x v="4"/>
    <x v="2"/>
    <n v="6903869555"/>
  </r>
  <r>
    <d v="2024-05-12T00:00:00"/>
    <x v="0"/>
    <x v="4"/>
    <x v="18"/>
    <x v="11"/>
    <x v="8"/>
    <x v="8"/>
    <x v="1"/>
    <n v="13910000"/>
  </r>
  <r>
    <d v="2024-05-13T00:00:00"/>
    <x v="0"/>
    <x v="4"/>
    <x v="19"/>
    <x v="12"/>
    <x v="6"/>
    <x v="6"/>
    <x v="0"/>
    <n v="17000000"/>
  </r>
  <r>
    <d v="2024-05-13T00:00:00"/>
    <x v="0"/>
    <x v="4"/>
    <x v="19"/>
    <x v="12"/>
    <x v="1"/>
    <x v="1"/>
    <x v="1"/>
    <n v="94500000"/>
  </r>
  <r>
    <d v="2024-05-13T00:00:00"/>
    <x v="0"/>
    <x v="4"/>
    <x v="19"/>
    <x v="12"/>
    <x v="7"/>
    <x v="7"/>
    <x v="4"/>
    <n v="26529304"/>
  </r>
  <r>
    <d v="2024-05-13T00:00:00"/>
    <x v="0"/>
    <x v="4"/>
    <x v="19"/>
    <x v="12"/>
    <x v="2"/>
    <x v="2"/>
    <x v="1"/>
    <n v="4040970000"/>
  </r>
  <r>
    <d v="2024-05-13T00:00:00"/>
    <x v="0"/>
    <x v="4"/>
    <x v="19"/>
    <x v="12"/>
    <x v="8"/>
    <x v="8"/>
    <x v="1"/>
    <n v="342400000"/>
  </r>
  <r>
    <d v="2024-05-13T00:00:00"/>
    <x v="0"/>
    <x v="4"/>
    <x v="19"/>
    <x v="12"/>
    <x v="4"/>
    <x v="4"/>
    <x v="2"/>
    <n v="9151068491"/>
  </r>
  <r>
    <d v="2024-05-13T00:00:00"/>
    <x v="0"/>
    <x v="4"/>
    <x v="19"/>
    <x v="12"/>
    <x v="0"/>
    <x v="0"/>
    <x v="0"/>
    <n v="2673000000"/>
  </r>
  <r>
    <d v="2024-05-13T00:00:00"/>
    <x v="0"/>
    <x v="4"/>
    <x v="19"/>
    <x v="12"/>
    <x v="5"/>
    <x v="5"/>
    <x v="3"/>
    <n v="1790469187"/>
  </r>
  <r>
    <d v="2024-05-13T00:00:00"/>
    <x v="0"/>
    <x v="4"/>
    <x v="19"/>
    <x v="12"/>
    <x v="9"/>
    <x v="9"/>
    <x v="1"/>
    <n v="0"/>
  </r>
  <r>
    <d v="2024-05-13T00:00:00"/>
    <x v="0"/>
    <x v="4"/>
    <x v="19"/>
    <x v="12"/>
    <x v="3"/>
    <x v="3"/>
    <x v="1"/>
    <n v="166200000"/>
  </r>
  <r>
    <d v="2024-05-14T00:00:00"/>
    <x v="0"/>
    <x v="4"/>
    <x v="19"/>
    <x v="13"/>
    <x v="0"/>
    <x v="0"/>
    <x v="0"/>
    <n v="2625500000"/>
  </r>
  <r>
    <d v="2024-05-14T00:00:00"/>
    <x v="0"/>
    <x v="4"/>
    <x v="19"/>
    <x v="13"/>
    <x v="8"/>
    <x v="8"/>
    <x v="1"/>
    <n v="191530000"/>
  </r>
  <r>
    <d v="2024-05-14T00:00:00"/>
    <x v="0"/>
    <x v="4"/>
    <x v="19"/>
    <x v="13"/>
    <x v="9"/>
    <x v="9"/>
    <x v="1"/>
    <n v="26420000"/>
  </r>
  <r>
    <d v="2024-05-14T00:00:00"/>
    <x v="0"/>
    <x v="4"/>
    <x v="19"/>
    <x v="13"/>
    <x v="1"/>
    <x v="1"/>
    <x v="1"/>
    <n v="153300000"/>
  </r>
  <r>
    <d v="2024-05-14T00:00:00"/>
    <x v="0"/>
    <x v="4"/>
    <x v="19"/>
    <x v="13"/>
    <x v="6"/>
    <x v="6"/>
    <x v="0"/>
    <n v="20000000"/>
  </r>
  <r>
    <d v="2024-05-14T00:00:00"/>
    <x v="0"/>
    <x v="4"/>
    <x v="19"/>
    <x v="13"/>
    <x v="7"/>
    <x v="7"/>
    <x v="4"/>
    <n v="33209811"/>
  </r>
  <r>
    <d v="2024-05-14T00:00:00"/>
    <x v="0"/>
    <x v="4"/>
    <x v="19"/>
    <x v="13"/>
    <x v="4"/>
    <x v="4"/>
    <x v="2"/>
    <n v="8960730873"/>
  </r>
  <r>
    <d v="2024-05-14T00:00:00"/>
    <x v="0"/>
    <x v="4"/>
    <x v="19"/>
    <x v="13"/>
    <x v="2"/>
    <x v="2"/>
    <x v="1"/>
    <n v="3782920000"/>
  </r>
  <r>
    <d v="2024-05-14T00:00:00"/>
    <x v="0"/>
    <x v="4"/>
    <x v="19"/>
    <x v="13"/>
    <x v="3"/>
    <x v="3"/>
    <x v="1"/>
    <n v="161700000"/>
  </r>
  <r>
    <d v="2024-05-14T00:00:00"/>
    <x v="0"/>
    <x v="4"/>
    <x v="19"/>
    <x v="13"/>
    <x v="5"/>
    <x v="5"/>
    <x v="3"/>
    <n v="1966151062"/>
  </r>
  <r>
    <d v="2024-05-15T00:00:00"/>
    <x v="0"/>
    <x v="4"/>
    <x v="19"/>
    <x v="14"/>
    <x v="7"/>
    <x v="7"/>
    <x v="4"/>
    <n v="52934052"/>
  </r>
  <r>
    <d v="2024-05-15T00:00:00"/>
    <x v="0"/>
    <x v="4"/>
    <x v="19"/>
    <x v="14"/>
    <x v="2"/>
    <x v="2"/>
    <x v="1"/>
    <n v="3782450000"/>
  </r>
  <r>
    <d v="2024-05-15T00:00:00"/>
    <x v="0"/>
    <x v="4"/>
    <x v="19"/>
    <x v="14"/>
    <x v="3"/>
    <x v="3"/>
    <x v="1"/>
    <n v="120250000"/>
  </r>
  <r>
    <d v="2024-05-15T00:00:00"/>
    <x v="0"/>
    <x v="4"/>
    <x v="19"/>
    <x v="14"/>
    <x v="8"/>
    <x v="8"/>
    <x v="1"/>
    <n v="267330000"/>
  </r>
  <r>
    <d v="2024-05-15T00:00:00"/>
    <x v="0"/>
    <x v="4"/>
    <x v="19"/>
    <x v="14"/>
    <x v="9"/>
    <x v="9"/>
    <x v="1"/>
    <n v="0"/>
  </r>
  <r>
    <d v="2024-05-15T00:00:00"/>
    <x v="0"/>
    <x v="4"/>
    <x v="19"/>
    <x v="14"/>
    <x v="6"/>
    <x v="6"/>
    <x v="0"/>
    <n v="26000000"/>
  </r>
  <r>
    <d v="2024-05-15T00:00:00"/>
    <x v="0"/>
    <x v="4"/>
    <x v="19"/>
    <x v="14"/>
    <x v="1"/>
    <x v="1"/>
    <x v="1"/>
    <n v="116550000"/>
  </r>
  <r>
    <d v="2024-05-15T00:00:00"/>
    <x v="0"/>
    <x v="4"/>
    <x v="19"/>
    <x v="14"/>
    <x v="4"/>
    <x v="4"/>
    <x v="2"/>
    <n v="9339919848"/>
  </r>
  <r>
    <d v="2024-05-15T00:00:00"/>
    <x v="0"/>
    <x v="4"/>
    <x v="19"/>
    <x v="14"/>
    <x v="5"/>
    <x v="5"/>
    <x v="3"/>
    <n v="2246405796"/>
  </r>
  <r>
    <d v="2024-05-15T00:00:00"/>
    <x v="0"/>
    <x v="4"/>
    <x v="19"/>
    <x v="14"/>
    <x v="0"/>
    <x v="0"/>
    <x v="0"/>
    <n v="2728000000"/>
  </r>
  <r>
    <d v="2024-05-16T00:00:00"/>
    <x v="0"/>
    <x v="4"/>
    <x v="19"/>
    <x v="15"/>
    <x v="9"/>
    <x v="9"/>
    <x v="1"/>
    <n v="14000000"/>
  </r>
  <r>
    <d v="2024-05-16T00:00:00"/>
    <x v="0"/>
    <x v="4"/>
    <x v="19"/>
    <x v="15"/>
    <x v="3"/>
    <x v="3"/>
    <x v="1"/>
    <n v="189000000"/>
  </r>
  <r>
    <d v="2024-05-16T00:00:00"/>
    <x v="0"/>
    <x v="4"/>
    <x v="19"/>
    <x v="15"/>
    <x v="7"/>
    <x v="7"/>
    <x v="4"/>
    <n v="38926320"/>
  </r>
  <r>
    <d v="2024-05-16T00:00:00"/>
    <x v="0"/>
    <x v="4"/>
    <x v="19"/>
    <x v="15"/>
    <x v="0"/>
    <x v="0"/>
    <x v="0"/>
    <n v="2621000000"/>
  </r>
  <r>
    <d v="2024-05-16T00:00:00"/>
    <x v="0"/>
    <x v="4"/>
    <x v="19"/>
    <x v="15"/>
    <x v="1"/>
    <x v="1"/>
    <x v="1"/>
    <n v="47250000"/>
  </r>
  <r>
    <d v="2024-05-16T00:00:00"/>
    <x v="0"/>
    <x v="4"/>
    <x v="19"/>
    <x v="15"/>
    <x v="2"/>
    <x v="2"/>
    <x v="1"/>
    <n v="3433540000"/>
  </r>
  <r>
    <d v="2024-05-16T00:00:00"/>
    <x v="0"/>
    <x v="4"/>
    <x v="19"/>
    <x v="15"/>
    <x v="6"/>
    <x v="6"/>
    <x v="0"/>
    <n v="19000000"/>
  </r>
  <r>
    <d v="2024-05-16T00:00:00"/>
    <x v="0"/>
    <x v="4"/>
    <x v="19"/>
    <x v="15"/>
    <x v="4"/>
    <x v="4"/>
    <x v="2"/>
    <n v="8514101335"/>
  </r>
  <r>
    <d v="2024-05-16T00:00:00"/>
    <x v="0"/>
    <x v="4"/>
    <x v="19"/>
    <x v="15"/>
    <x v="8"/>
    <x v="8"/>
    <x v="1"/>
    <n v="225770000"/>
  </r>
  <r>
    <d v="2024-05-16T00:00:00"/>
    <x v="0"/>
    <x v="4"/>
    <x v="19"/>
    <x v="15"/>
    <x v="5"/>
    <x v="5"/>
    <x v="3"/>
    <n v="1925615015"/>
  </r>
  <r>
    <d v="2024-05-17T00:00:00"/>
    <x v="0"/>
    <x v="4"/>
    <x v="19"/>
    <x v="16"/>
    <x v="1"/>
    <x v="1"/>
    <x v="1"/>
    <n v="19950000"/>
  </r>
  <r>
    <d v="2024-05-17T00:00:00"/>
    <x v="0"/>
    <x v="4"/>
    <x v="19"/>
    <x v="16"/>
    <x v="0"/>
    <x v="0"/>
    <x v="0"/>
    <n v="2618500000"/>
  </r>
  <r>
    <d v="2024-05-17T00:00:00"/>
    <x v="0"/>
    <x v="4"/>
    <x v="19"/>
    <x v="16"/>
    <x v="9"/>
    <x v="9"/>
    <x v="1"/>
    <n v="0"/>
  </r>
  <r>
    <d v="2024-05-17T00:00:00"/>
    <x v="0"/>
    <x v="4"/>
    <x v="19"/>
    <x v="16"/>
    <x v="2"/>
    <x v="2"/>
    <x v="1"/>
    <n v="3405390000"/>
  </r>
  <r>
    <d v="2024-05-17T00:00:00"/>
    <x v="0"/>
    <x v="4"/>
    <x v="19"/>
    <x v="16"/>
    <x v="8"/>
    <x v="8"/>
    <x v="1"/>
    <n v="207580000"/>
  </r>
  <r>
    <d v="2024-05-17T00:00:00"/>
    <x v="0"/>
    <x v="4"/>
    <x v="19"/>
    <x v="16"/>
    <x v="4"/>
    <x v="4"/>
    <x v="2"/>
    <n v="8123784134"/>
  </r>
  <r>
    <d v="2024-05-17T00:00:00"/>
    <x v="0"/>
    <x v="4"/>
    <x v="19"/>
    <x v="16"/>
    <x v="5"/>
    <x v="5"/>
    <x v="3"/>
    <n v="1701853054"/>
  </r>
  <r>
    <d v="2024-05-17T00:00:00"/>
    <x v="0"/>
    <x v="4"/>
    <x v="19"/>
    <x v="16"/>
    <x v="3"/>
    <x v="3"/>
    <x v="1"/>
    <n v="82950000"/>
  </r>
  <r>
    <d v="2024-05-17T00:00:00"/>
    <x v="0"/>
    <x v="4"/>
    <x v="19"/>
    <x v="16"/>
    <x v="6"/>
    <x v="6"/>
    <x v="0"/>
    <n v="29000000"/>
  </r>
  <r>
    <d v="2024-05-17T00:00:00"/>
    <x v="0"/>
    <x v="4"/>
    <x v="19"/>
    <x v="16"/>
    <x v="7"/>
    <x v="7"/>
    <x v="4"/>
    <n v="58561080"/>
  </r>
  <r>
    <d v="2024-05-18T00:00:00"/>
    <x v="0"/>
    <x v="4"/>
    <x v="19"/>
    <x v="17"/>
    <x v="8"/>
    <x v="8"/>
    <x v="1"/>
    <n v="145750000"/>
  </r>
  <r>
    <d v="2024-05-18T00:00:00"/>
    <x v="0"/>
    <x v="4"/>
    <x v="19"/>
    <x v="17"/>
    <x v="2"/>
    <x v="2"/>
    <x v="1"/>
    <n v="2085900000"/>
  </r>
  <r>
    <d v="2024-05-18T00:00:00"/>
    <x v="0"/>
    <x v="4"/>
    <x v="19"/>
    <x v="17"/>
    <x v="9"/>
    <x v="9"/>
    <x v="1"/>
    <n v="8560000"/>
  </r>
  <r>
    <d v="2024-05-18T00:00:00"/>
    <x v="0"/>
    <x v="4"/>
    <x v="19"/>
    <x v="17"/>
    <x v="7"/>
    <x v="7"/>
    <x v="4"/>
    <n v="38791442"/>
  </r>
  <r>
    <d v="2024-05-18T00:00:00"/>
    <x v="0"/>
    <x v="4"/>
    <x v="19"/>
    <x v="17"/>
    <x v="1"/>
    <x v="1"/>
    <x v="1"/>
    <n v="31500000"/>
  </r>
  <r>
    <d v="2024-05-18T00:00:00"/>
    <x v="0"/>
    <x v="4"/>
    <x v="19"/>
    <x v="17"/>
    <x v="4"/>
    <x v="4"/>
    <x v="2"/>
    <n v="5645176414"/>
  </r>
  <r>
    <d v="2024-05-18T00:00:00"/>
    <x v="0"/>
    <x v="4"/>
    <x v="19"/>
    <x v="17"/>
    <x v="3"/>
    <x v="3"/>
    <x v="1"/>
    <n v="42000000"/>
  </r>
  <r>
    <d v="2024-05-18T00:00:00"/>
    <x v="0"/>
    <x v="4"/>
    <x v="19"/>
    <x v="17"/>
    <x v="0"/>
    <x v="0"/>
    <x v="0"/>
    <n v="1801000000"/>
  </r>
  <r>
    <d v="2024-05-18T00:00:00"/>
    <x v="0"/>
    <x v="4"/>
    <x v="19"/>
    <x v="17"/>
    <x v="5"/>
    <x v="5"/>
    <x v="3"/>
    <n v="1469674972"/>
  </r>
  <r>
    <d v="2024-05-18T00:00:00"/>
    <x v="0"/>
    <x v="4"/>
    <x v="19"/>
    <x v="17"/>
    <x v="6"/>
    <x v="6"/>
    <x v="0"/>
    <n v="22000000"/>
  </r>
  <r>
    <d v="2024-05-19T00:00:00"/>
    <x v="0"/>
    <x v="4"/>
    <x v="19"/>
    <x v="18"/>
    <x v="0"/>
    <x v="0"/>
    <x v="0"/>
    <n v="2295000000"/>
  </r>
  <r>
    <d v="2024-05-19T00:00:00"/>
    <x v="0"/>
    <x v="4"/>
    <x v="19"/>
    <x v="18"/>
    <x v="8"/>
    <x v="8"/>
    <x v="1"/>
    <n v="11770000"/>
  </r>
  <r>
    <d v="2024-05-19T00:00:00"/>
    <x v="0"/>
    <x v="4"/>
    <x v="19"/>
    <x v="18"/>
    <x v="4"/>
    <x v="4"/>
    <x v="2"/>
    <n v="7349023950"/>
  </r>
  <r>
    <d v="2024-05-19T00:00:00"/>
    <x v="0"/>
    <x v="4"/>
    <x v="19"/>
    <x v="18"/>
    <x v="9"/>
    <x v="9"/>
    <x v="1"/>
    <n v="21400000"/>
  </r>
  <r>
    <d v="2024-05-19T00:00:00"/>
    <x v="0"/>
    <x v="4"/>
    <x v="19"/>
    <x v="18"/>
    <x v="2"/>
    <x v="2"/>
    <x v="1"/>
    <n v="3371590000"/>
  </r>
  <r>
    <d v="2024-05-19T00:00:00"/>
    <x v="0"/>
    <x v="4"/>
    <x v="19"/>
    <x v="18"/>
    <x v="5"/>
    <x v="5"/>
    <x v="3"/>
    <n v="1504707618"/>
  </r>
  <r>
    <d v="2024-05-19T00:00:00"/>
    <x v="0"/>
    <x v="4"/>
    <x v="19"/>
    <x v="18"/>
    <x v="6"/>
    <x v="6"/>
    <x v="0"/>
    <n v="14000000"/>
  </r>
  <r>
    <d v="2024-05-19T00:00:00"/>
    <x v="0"/>
    <x v="4"/>
    <x v="19"/>
    <x v="18"/>
    <x v="7"/>
    <x v="7"/>
    <x v="4"/>
    <n v="21356332"/>
  </r>
  <r>
    <d v="2024-05-19T00:00:00"/>
    <x v="0"/>
    <x v="4"/>
    <x v="19"/>
    <x v="18"/>
    <x v="3"/>
    <x v="3"/>
    <x v="1"/>
    <n v="72450000"/>
  </r>
  <r>
    <d v="2024-05-19T00:00:00"/>
    <x v="0"/>
    <x v="4"/>
    <x v="19"/>
    <x v="18"/>
    <x v="1"/>
    <x v="1"/>
    <x v="1"/>
    <n v="36750000"/>
  </r>
  <r>
    <d v="2024-05-20T00:00:00"/>
    <x v="0"/>
    <x v="4"/>
    <x v="20"/>
    <x v="19"/>
    <x v="3"/>
    <x v="3"/>
    <x v="1"/>
    <n v="262500000"/>
  </r>
  <r>
    <d v="2024-05-20T00:00:00"/>
    <x v="0"/>
    <x v="4"/>
    <x v="20"/>
    <x v="19"/>
    <x v="2"/>
    <x v="2"/>
    <x v="1"/>
    <n v="3971860000"/>
  </r>
  <r>
    <d v="2024-05-20T00:00:00"/>
    <x v="0"/>
    <x v="4"/>
    <x v="20"/>
    <x v="19"/>
    <x v="1"/>
    <x v="1"/>
    <x v="1"/>
    <n v="84000000"/>
  </r>
  <r>
    <d v="2024-05-20T00:00:00"/>
    <x v="0"/>
    <x v="4"/>
    <x v="20"/>
    <x v="19"/>
    <x v="0"/>
    <x v="0"/>
    <x v="0"/>
    <n v="2880500000"/>
  </r>
  <r>
    <d v="2024-05-20T00:00:00"/>
    <x v="0"/>
    <x v="4"/>
    <x v="20"/>
    <x v="19"/>
    <x v="7"/>
    <x v="7"/>
    <x v="4"/>
    <n v="33953818"/>
  </r>
  <r>
    <d v="2024-05-20T00:00:00"/>
    <x v="0"/>
    <x v="4"/>
    <x v="20"/>
    <x v="19"/>
    <x v="6"/>
    <x v="6"/>
    <x v="0"/>
    <n v="72000000"/>
  </r>
  <r>
    <d v="2024-05-20T00:00:00"/>
    <x v="0"/>
    <x v="4"/>
    <x v="20"/>
    <x v="19"/>
    <x v="5"/>
    <x v="5"/>
    <x v="3"/>
    <n v="2412624909"/>
  </r>
  <r>
    <d v="2024-05-20T00:00:00"/>
    <x v="0"/>
    <x v="4"/>
    <x v="20"/>
    <x v="19"/>
    <x v="9"/>
    <x v="9"/>
    <x v="1"/>
    <n v="10700000"/>
  </r>
  <r>
    <d v="2024-05-20T00:00:00"/>
    <x v="0"/>
    <x v="4"/>
    <x v="20"/>
    <x v="19"/>
    <x v="4"/>
    <x v="4"/>
    <x v="2"/>
    <n v="9926088727"/>
  </r>
  <r>
    <d v="2024-05-20T00:00:00"/>
    <x v="0"/>
    <x v="4"/>
    <x v="20"/>
    <x v="19"/>
    <x v="8"/>
    <x v="8"/>
    <x v="1"/>
    <n v="197950000"/>
  </r>
  <r>
    <d v="2024-05-21T00:00:00"/>
    <x v="0"/>
    <x v="4"/>
    <x v="20"/>
    <x v="20"/>
    <x v="2"/>
    <x v="2"/>
    <x v="1"/>
    <n v="3445590000"/>
  </r>
  <r>
    <d v="2024-05-21T00:00:00"/>
    <x v="0"/>
    <x v="4"/>
    <x v="20"/>
    <x v="20"/>
    <x v="0"/>
    <x v="0"/>
    <x v="0"/>
    <n v="2449000000"/>
  </r>
  <r>
    <d v="2024-05-21T00:00:00"/>
    <x v="0"/>
    <x v="4"/>
    <x v="20"/>
    <x v="20"/>
    <x v="5"/>
    <x v="5"/>
    <x v="3"/>
    <n v="2521759199"/>
  </r>
  <r>
    <d v="2024-05-21T00:00:00"/>
    <x v="0"/>
    <x v="4"/>
    <x v="20"/>
    <x v="20"/>
    <x v="4"/>
    <x v="4"/>
    <x v="2"/>
    <n v="8972893418"/>
  </r>
  <r>
    <d v="2024-05-21T00:00:00"/>
    <x v="0"/>
    <x v="4"/>
    <x v="20"/>
    <x v="20"/>
    <x v="8"/>
    <x v="8"/>
    <x v="1"/>
    <n v="201160000"/>
  </r>
  <r>
    <d v="2024-05-21T00:00:00"/>
    <x v="0"/>
    <x v="4"/>
    <x v="20"/>
    <x v="20"/>
    <x v="6"/>
    <x v="6"/>
    <x v="0"/>
    <n v="46000000"/>
  </r>
  <r>
    <d v="2024-05-21T00:00:00"/>
    <x v="0"/>
    <x v="4"/>
    <x v="20"/>
    <x v="20"/>
    <x v="3"/>
    <x v="3"/>
    <x v="1"/>
    <n v="186900000"/>
  </r>
  <r>
    <d v="2024-05-21T00:00:00"/>
    <x v="0"/>
    <x v="4"/>
    <x v="20"/>
    <x v="20"/>
    <x v="9"/>
    <x v="9"/>
    <x v="1"/>
    <n v="15000000"/>
  </r>
  <r>
    <d v="2024-05-21T00:00:00"/>
    <x v="0"/>
    <x v="4"/>
    <x v="20"/>
    <x v="20"/>
    <x v="1"/>
    <x v="1"/>
    <x v="1"/>
    <n v="70350000"/>
  </r>
  <r>
    <d v="2024-05-21T00:00:00"/>
    <x v="0"/>
    <x v="4"/>
    <x v="20"/>
    <x v="20"/>
    <x v="7"/>
    <x v="7"/>
    <x v="4"/>
    <n v="37134219"/>
  </r>
  <r>
    <d v="2024-05-22T00:00:00"/>
    <x v="0"/>
    <x v="4"/>
    <x v="20"/>
    <x v="21"/>
    <x v="9"/>
    <x v="9"/>
    <x v="1"/>
    <n v="21400000"/>
  </r>
  <r>
    <d v="2024-05-22T00:00:00"/>
    <x v="0"/>
    <x v="4"/>
    <x v="20"/>
    <x v="21"/>
    <x v="7"/>
    <x v="7"/>
    <x v="4"/>
    <n v="27860027"/>
  </r>
  <r>
    <d v="2024-05-22T00:00:00"/>
    <x v="0"/>
    <x v="4"/>
    <x v="20"/>
    <x v="21"/>
    <x v="5"/>
    <x v="5"/>
    <x v="3"/>
    <n v="1753188978"/>
  </r>
  <r>
    <d v="2024-05-22T00:00:00"/>
    <x v="0"/>
    <x v="4"/>
    <x v="20"/>
    <x v="21"/>
    <x v="1"/>
    <x v="1"/>
    <x v="1"/>
    <n v="26250000"/>
  </r>
  <r>
    <d v="2024-05-22T00:00:00"/>
    <x v="0"/>
    <x v="4"/>
    <x v="20"/>
    <x v="21"/>
    <x v="0"/>
    <x v="0"/>
    <x v="0"/>
    <n v="2558500000"/>
  </r>
  <r>
    <d v="2024-05-22T00:00:00"/>
    <x v="0"/>
    <x v="4"/>
    <x v="20"/>
    <x v="21"/>
    <x v="6"/>
    <x v="6"/>
    <x v="0"/>
    <n v="15000000"/>
  </r>
  <r>
    <d v="2024-05-22T00:00:00"/>
    <x v="0"/>
    <x v="4"/>
    <x v="20"/>
    <x v="21"/>
    <x v="4"/>
    <x v="4"/>
    <x v="2"/>
    <n v="8326459005"/>
  </r>
  <r>
    <d v="2024-05-22T00:00:00"/>
    <x v="0"/>
    <x v="4"/>
    <x v="20"/>
    <x v="21"/>
    <x v="8"/>
    <x v="8"/>
    <x v="1"/>
    <n v="156220000"/>
  </r>
  <r>
    <d v="2024-05-22T00:00:00"/>
    <x v="0"/>
    <x v="4"/>
    <x v="20"/>
    <x v="21"/>
    <x v="3"/>
    <x v="3"/>
    <x v="1"/>
    <n v="120750000"/>
  </r>
  <r>
    <d v="2024-05-22T00:00:00"/>
    <x v="0"/>
    <x v="4"/>
    <x v="20"/>
    <x v="21"/>
    <x v="2"/>
    <x v="2"/>
    <x v="1"/>
    <n v="3647290000"/>
  </r>
  <r>
    <d v="2024-05-23T00:00:00"/>
    <x v="0"/>
    <x v="4"/>
    <x v="20"/>
    <x v="22"/>
    <x v="5"/>
    <x v="5"/>
    <x v="3"/>
    <n v="1831898572"/>
  </r>
  <r>
    <d v="2024-05-23T00:00:00"/>
    <x v="0"/>
    <x v="4"/>
    <x v="20"/>
    <x v="22"/>
    <x v="3"/>
    <x v="3"/>
    <x v="1"/>
    <n v="130200000"/>
  </r>
  <r>
    <d v="2024-05-23T00:00:00"/>
    <x v="0"/>
    <x v="4"/>
    <x v="20"/>
    <x v="22"/>
    <x v="8"/>
    <x v="8"/>
    <x v="1"/>
    <n v="159660000"/>
  </r>
  <r>
    <d v="2024-05-23T00:00:00"/>
    <x v="0"/>
    <x v="4"/>
    <x v="20"/>
    <x v="22"/>
    <x v="0"/>
    <x v="0"/>
    <x v="0"/>
    <n v="2330500000"/>
  </r>
  <r>
    <d v="2024-05-23T00:00:00"/>
    <x v="0"/>
    <x v="4"/>
    <x v="20"/>
    <x v="22"/>
    <x v="1"/>
    <x v="1"/>
    <x v="1"/>
    <n v="20500000"/>
  </r>
  <r>
    <d v="2024-05-23T00:00:00"/>
    <x v="0"/>
    <x v="4"/>
    <x v="20"/>
    <x v="22"/>
    <x v="4"/>
    <x v="4"/>
    <x v="2"/>
    <n v="7725853315"/>
  </r>
  <r>
    <d v="2024-05-23T00:00:00"/>
    <x v="0"/>
    <x v="4"/>
    <x v="20"/>
    <x v="22"/>
    <x v="7"/>
    <x v="7"/>
    <x v="4"/>
    <n v="36554743"/>
  </r>
  <r>
    <d v="2024-05-23T00:00:00"/>
    <x v="0"/>
    <x v="4"/>
    <x v="20"/>
    <x v="22"/>
    <x v="6"/>
    <x v="6"/>
    <x v="0"/>
    <n v="13000000"/>
  </r>
  <r>
    <d v="2024-05-23T00:00:00"/>
    <x v="0"/>
    <x v="4"/>
    <x v="20"/>
    <x v="22"/>
    <x v="9"/>
    <x v="9"/>
    <x v="1"/>
    <n v="0"/>
  </r>
  <r>
    <d v="2024-05-23T00:00:00"/>
    <x v="0"/>
    <x v="4"/>
    <x v="20"/>
    <x v="22"/>
    <x v="2"/>
    <x v="2"/>
    <x v="1"/>
    <n v="3203540000"/>
  </r>
  <r>
    <d v="2024-05-24T00:00:00"/>
    <x v="0"/>
    <x v="4"/>
    <x v="20"/>
    <x v="23"/>
    <x v="0"/>
    <x v="0"/>
    <x v="0"/>
    <n v="2647500000"/>
  </r>
  <r>
    <d v="2024-05-24T00:00:00"/>
    <x v="0"/>
    <x v="4"/>
    <x v="20"/>
    <x v="23"/>
    <x v="3"/>
    <x v="3"/>
    <x v="1"/>
    <n v="115000000"/>
  </r>
  <r>
    <d v="2024-05-24T00:00:00"/>
    <x v="0"/>
    <x v="4"/>
    <x v="20"/>
    <x v="23"/>
    <x v="2"/>
    <x v="2"/>
    <x v="1"/>
    <n v="3425530000"/>
  </r>
  <r>
    <d v="2024-05-24T00:00:00"/>
    <x v="0"/>
    <x v="4"/>
    <x v="20"/>
    <x v="23"/>
    <x v="6"/>
    <x v="6"/>
    <x v="0"/>
    <n v="45000000"/>
  </r>
  <r>
    <d v="2024-05-24T00:00:00"/>
    <x v="0"/>
    <x v="4"/>
    <x v="20"/>
    <x v="23"/>
    <x v="4"/>
    <x v="4"/>
    <x v="2"/>
    <n v="8594852085"/>
  </r>
  <r>
    <d v="2024-05-24T00:00:00"/>
    <x v="0"/>
    <x v="4"/>
    <x v="20"/>
    <x v="23"/>
    <x v="7"/>
    <x v="7"/>
    <x v="4"/>
    <n v="30400767"/>
  </r>
  <r>
    <d v="2024-05-24T00:00:00"/>
    <x v="0"/>
    <x v="4"/>
    <x v="20"/>
    <x v="23"/>
    <x v="9"/>
    <x v="9"/>
    <x v="1"/>
    <n v="38520000"/>
  </r>
  <r>
    <d v="2024-05-24T00:00:00"/>
    <x v="0"/>
    <x v="4"/>
    <x v="20"/>
    <x v="23"/>
    <x v="1"/>
    <x v="1"/>
    <x v="1"/>
    <n v="82950000"/>
  </r>
  <r>
    <d v="2024-05-24T00:00:00"/>
    <x v="0"/>
    <x v="4"/>
    <x v="20"/>
    <x v="23"/>
    <x v="8"/>
    <x v="8"/>
    <x v="1"/>
    <n v="289060000"/>
  </r>
  <r>
    <d v="2024-05-24T00:00:00"/>
    <x v="0"/>
    <x v="4"/>
    <x v="20"/>
    <x v="23"/>
    <x v="5"/>
    <x v="5"/>
    <x v="3"/>
    <n v="1920891318"/>
  </r>
  <r>
    <d v="2024-05-25T00:00:00"/>
    <x v="0"/>
    <x v="4"/>
    <x v="20"/>
    <x v="24"/>
    <x v="8"/>
    <x v="8"/>
    <x v="1"/>
    <n v="217210000"/>
  </r>
  <r>
    <d v="2024-05-25T00:00:00"/>
    <x v="0"/>
    <x v="4"/>
    <x v="20"/>
    <x v="24"/>
    <x v="1"/>
    <x v="1"/>
    <x v="1"/>
    <n v="31500000"/>
  </r>
  <r>
    <d v="2024-05-25T00:00:00"/>
    <x v="0"/>
    <x v="4"/>
    <x v="20"/>
    <x v="24"/>
    <x v="0"/>
    <x v="0"/>
    <x v="0"/>
    <n v="2469000000"/>
  </r>
  <r>
    <d v="2024-05-25T00:00:00"/>
    <x v="0"/>
    <x v="4"/>
    <x v="20"/>
    <x v="24"/>
    <x v="4"/>
    <x v="4"/>
    <x v="2"/>
    <n v="7290933394"/>
  </r>
  <r>
    <d v="2024-05-25T00:00:00"/>
    <x v="0"/>
    <x v="4"/>
    <x v="20"/>
    <x v="24"/>
    <x v="7"/>
    <x v="7"/>
    <x v="4"/>
    <n v="30585395"/>
  </r>
  <r>
    <d v="2024-05-25T00:00:00"/>
    <x v="0"/>
    <x v="4"/>
    <x v="20"/>
    <x v="24"/>
    <x v="5"/>
    <x v="5"/>
    <x v="3"/>
    <n v="1607167999"/>
  </r>
  <r>
    <d v="2024-05-25T00:00:00"/>
    <x v="0"/>
    <x v="4"/>
    <x v="20"/>
    <x v="24"/>
    <x v="2"/>
    <x v="2"/>
    <x v="1"/>
    <n v="2804160000"/>
  </r>
  <r>
    <d v="2024-05-25T00:00:00"/>
    <x v="0"/>
    <x v="4"/>
    <x v="20"/>
    <x v="24"/>
    <x v="6"/>
    <x v="6"/>
    <x v="0"/>
    <n v="24000000"/>
  </r>
  <r>
    <d v="2024-05-25T00:00:00"/>
    <x v="0"/>
    <x v="4"/>
    <x v="20"/>
    <x v="24"/>
    <x v="9"/>
    <x v="9"/>
    <x v="1"/>
    <n v="28560000"/>
  </r>
  <r>
    <d v="2024-05-25T00:00:00"/>
    <x v="0"/>
    <x v="4"/>
    <x v="20"/>
    <x v="24"/>
    <x v="3"/>
    <x v="3"/>
    <x v="1"/>
    <n v="78750000"/>
  </r>
  <r>
    <d v="2024-05-26T00:00:00"/>
    <x v="0"/>
    <x v="4"/>
    <x v="20"/>
    <x v="25"/>
    <x v="1"/>
    <x v="1"/>
    <x v="1"/>
    <n v="57750000"/>
  </r>
  <r>
    <d v="2024-05-26T00:00:00"/>
    <x v="0"/>
    <x v="4"/>
    <x v="20"/>
    <x v="25"/>
    <x v="7"/>
    <x v="7"/>
    <x v="4"/>
    <n v="36066114"/>
  </r>
  <r>
    <d v="2024-05-26T00:00:00"/>
    <x v="0"/>
    <x v="4"/>
    <x v="20"/>
    <x v="25"/>
    <x v="2"/>
    <x v="2"/>
    <x v="1"/>
    <n v="3095010000"/>
  </r>
  <r>
    <d v="2024-05-26T00:00:00"/>
    <x v="0"/>
    <x v="4"/>
    <x v="20"/>
    <x v="25"/>
    <x v="0"/>
    <x v="0"/>
    <x v="0"/>
    <n v="2219500000"/>
  </r>
  <r>
    <d v="2024-05-26T00:00:00"/>
    <x v="0"/>
    <x v="4"/>
    <x v="20"/>
    <x v="25"/>
    <x v="8"/>
    <x v="8"/>
    <x v="1"/>
    <n v="40660000"/>
  </r>
  <r>
    <d v="2024-05-26T00:00:00"/>
    <x v="0"/>
    <x v="4"/>
    <x v="20"/>
    <x v="25"/>
    <x v="5"/>
    <x v="5"/>
    <x v="3"/>
    <n v="1471655317"/>
  </r>
  <r>
    <d v="2024-05-26T00:00:00"/>
    <x v="0"/>
    <x v="4"/>
    <x v="20"/>
    <x v="25"/>
    <x v="3"/>
    <x v="3"/>
    <x v="1"/>
    <n v="100800000"/>
  </r>
  <r>
    <d v="2024-05-26T00:00:00"/>
    <x v="0"/>
    <x v="4"/>
    <x v="20"/>
    <x v="25"/>
    <x v="4"/>
    <x v="4"/>
    <x v="2"/>
    <n v="7044441431"/>
  </r>
  <r>
    <d v="2024-05-26T00:00:00"/>
    <x v="0"/>
    <x v="4"/>
    <x v="20"/>
    <x v="25"/>
    <x v="6"/>
    <x v="6"/>
    <x v="0"/>
    <n v="23000000"/>
  </r>
  <r>
    <d v="2024-05-26T00:00:00"/>
    <x v="0"/>
    <x v="4"/>
    <x v="20"/>
    <x v="25"/>
    <x v="9"/>
    <x v="9"/>
    <x v="1"/>
    <n v="0"/>
  </r>
  <r>
    <d v="2024-05-27T00:00:00"/>
    <x v="0"/>
    <x v="4"/>
    <x v="21"/>
    <x v="26"/>
    <x v="5"/>
    <x v="5"/>
    <x v="3"/>
    <n v="1901570224"/>
  </r>
  <r>
    <d v="2024-05-27T00:00:00"/>
    <x v="0"/>
    <x v="4"/>
    <x v="21"/>
    <x v="26"/>
    <x v="0"/>
    <x v="0"/>
    <x v="0"/>
    <n v="2592500000"/>
  </r>
  <r>
    <d v="2024-05-27T00:00:00"/>
    <x v="0"/>
    <x v="4"/>
    <x v="21"/>
    <x v="26"/>
    <x v="3"/>
    <x v="3"/>
    <x v="1"/>
    <n v="182750000"/>
  </r>
  <r>
    <d v="2024-05-27T00:00:00"/>
    <x v="0"/>
    <x v="4"/>
    <x v="21"/>
    <x v="26"/>
    <x v="4"/>
    <x v="4"/>
    <x v="2"/>
    <n v="8631974968"/>
  </r>
  <r>
    <d v="2024-05-27T00:00:00"/>
    <x v="0"/>
    <x v="4"/>
    <x v="21"/>
    <x v="26"/>
    <x v="7"/>
    <x v="7"/>
    <x v="4"/>
    <n v="46114744"/>
  </r>
  <r>
    <d v="2024-05-27T00:00:00"/>
    <x v="0"/>
    <x v="4"/>
    <x v="21"/>
    <x v="26"/>
    <x v="6"/>
    <x v="6"/>
    <x v="0"/>
    <n v="23000000"/>
  </r>
  <r>
    <d v="2024-05-27T00:00:00"/>
    <x v="0"/>
    <x v="4"/>
    <x v="21"/>
    <x v="26"/>
    <x v="9"/>
    <x v="9"/>
    <x v="1"/>
    <n v="41400000"/>
  </r>
  <r>
    <d v="2024-05-27T00:00:00"/>
    <x v="0"/>
    <x v="4"/>
    <x v="21"/>
    <x v="26"/>
    <x v="8"/>
    <x v="8"/>
    <x v="1"/>
    <n v="172270000"/>
  </r>
  <r>
    <d v="2024-05-27T00:00:00"/>
    <x v="0"/>
    <x v="4"/>
    <x v="21"/>
    <x v="26"/>
    <x v="1"/>
    <x v="1"/>
    <x v="1"/>
    <n v="83000000"/>
  </r>
  <r>
    <d v="2024-05-27T00:00:00"/>
    <x v="0"/>
    <x v="4"/>
    <x v="21"/>
    <x v="26"/>
    <x v="2"/>
    <x v="2"/>
    <x v="1"/>
    <n v="3589370000"/>
  </r>
  <r>
    <d v="2024-05-28T00:00:00"/>
    <x v="0"/>
    <x v="4"/>
    <x v="21"/>
    <x v="27"/>
    <x v="2"/>
    <x v="2"/>
    <x v="1"/>
    <n v="3334940000"/>
  </r>
  <r>
    <d v="2024-05-28T00:00:00"/>
    <x v="0"/>
    <x v="4"/>
    <x v="21"/>
    <x v="27"/>
    <x v="9"/>
    <x v="9"/>
    <x v="1"/>
    <n v="26750000"/>
  </r>
  <r>
    <d v="2024-05-28T00:00:00"/>
    <x v="0"/>
    <x v="4"/>
    <x v="21"/>
    <x v="27"/>
    <x v="0"/>
    <x v="0"/>
    <x v="0"/>
    <n v="2397000000"/>
  </r>
  <r>
    <d v="2024-05-28T00:00:00"/>
    <x v="0"/>
    <x v="4"/>
    <x v="21"/>
    <x v="27"/>
    <x v="7"/>
    <x v="7"/>
    <x v="4"/>
    <n v="51180548"/>
  </r>
  <r>
    <d v="2024-05-28T00:00:00"/>
    <x v="0"/>
    <x v="4"/>
    <x v="21"/>
    <x v="27"/>
    <x v="1"/>
    <x v="1"/>
    <x v="1"/>
    <n v="73500000"/>
  </r>
  <r>
    <d v="2024-05-28T00:00:00"/>
    <x v="0"/>
    <x v="4"/>
    <x v="21"/>
    <x v="27"/>
    <x v="5"/>
    <x v="5"/>
    <x v="3"/>
    <n v="2181506546"/>
  </r>
  <r>
    <d v="2024-05-28T00:00:00"/>
    <x v="0"/>
    <x v="4"/>
    <x v="21"/>
    <x v="27"/>
    <x v="8"/>
    <x v="8"/>
    <x v="1"/>
    <n v="105930000"/>
  </r>
  <r>
    <d v="2024-05-28T00:00:00"/>
    <x v="0"/>
    <x v="4"/>
    <x v="21"/>
    <x v="27"/>
    <x v="4"/>
    <x v="4"/>
    <x v="2"/>
    <n v="8336057094"/>
  </r>
  <r>
    <d v="2024-05-28T00:00:00"/>
    <x v="0"/>
    <x v="4"/>
    <x v="21"/>
    <x v="27"/>
    <x v="6"/>
    <x v="6"/>
    <x v="0"/>
    <n v="34000000"/>
  </r>
  <r>
    <d v="2024-05-28T00:00:00"/>
    <x v="0"/>
    <x v="4"/>
    <x v="21"/>
    <x v="27"/>
    <x v="3"/>
    <x v="3"/>
    <x v="1"/>
    <n v="131250000"/>
  </r>
  <r>
    <d v="2024-05-29T00:00:00"/>
    <x v="0"/>
    <x v="4"/>
    <x v="21"/>
    <x v="28"/>
    <x v="0"/>
    <x v="0"/>
    <x v="0"/>
    <n v="2288500000"/>
  </r>
  <r>
    <d v="2024-05-29T00:00:00"/>
    <x v="0"/>
    <x v="4"/>
    <x v="21"/>
    <x v="28"/>
    <x v="5"/>
    <x v="5"/>
    <x v="3"/>
    <n v="2111710934"/>
  </r>
  <r>
    <d v="2024-05-29T00:00:00"/>
    <x v="0"/>
    <x v="4"/>
    <x v="21"/>
    <x v="28"/>
    <x v="8"/>
    <x v="8"/>
    <x v="1"/>
    <n v="108070000"/>
  </r>
  <r>
    <d v="2024-05-29T00:00:00"/>
    <x v="0"/>
    <x v="4"/>
    <x v="21"/>
    <x v="28"/>
    <x v="2"/>
    <x v="2"/>
    <x v="1"/>
    <n v="3509680000"/>
  </r>
  <r>
    <d v="2024-05-29T00:00:00"/>
    <x v="0"/>
    <x v="4"/>
    <x v="21"/>
    <x v="28"/>
    <x v="4"/>
    <x v="4"/>
    <x v="2"/>
    <n v="8218281097"/>
  </r>
  <r>
    <d v="2024-05-29T00:00:00"/>
    <x v="0"/>
    <x v="4"/>
    <x v="21"/>
    <x v="28"/>
    <x v="9"/>
    <x v="9"/>
    <x v="1"/>
    <n v="41400000"/>
  </r>
  <r>
    <d v="2024-05-29T00:00:00"/>
    <x v="0"/>
    <x v="4"/>
    <x v="21"/>
    <x v="28"/>
    <x v="3"/>
    <x v="3"/>
    <x v="1"/>
    <n v="93450000"/>
  </r>
  <r>
    <d v="2024-05-29T00:00:00"/>
    <x v="0"/>
    <x v="4"/>
    <x v="21"/>
    <x v="28"/>
    <x v="7"/>
    <x v="7"/>
    <x v="4"/>
    <n v="33470163"/>
  </r>
  <r>
    <d v="2024-05-29T00:00:00"/>
    <x v="0"/>
    <x v="4"/>
    <x v="21"/>
    <x v="28"/>
    <x v="1"/>
    <x v="1"/>
    <x v="1"/>
    <n v="21000000"/>
  </r>
  <r>
    <d v="2024-05-29T00:00:00"/>
    <x v="0"/>
    <x v="4"/>
    <x v="21"/>
    <x v="28"/>
    <x v="6"/>
    <x v="6"/>
    <x v="0"/>
    <n v="11000000"/>
  </r>
  <r>
    <d v="2024-05-30T00:00:00"/>
    <x v="0"/>
    <x v="4"/>
    <x v="21"/>
    <x v="29"/>
    <x v="6"/>
    <x v="6"/>
    <x v="0"/>
    <n v="27000000"/>
  </r>
  <r>
    <d v="2024-05-30T00:00:00"/>
    <x v="0"/>
    <x v="4"/>
    <x v="21"/>
    <x v="29"/>
    <x v="9"/>
    <x v="9"/>
    <x v="1"/>
    <n v="28000000"/>
  </r>
  <r>
    <d v="2024-05-30T00:00:00"/>
    <x v="0"/>
    <x v="4"/>
    <x v="21"/>
    <x v="29"/>
    <x v="8"/>
    <x v="8"/>
    <x v="1"/>
    <n v="111280000"/>
  </r>
  <r>
    <d v="2024-05-30T00:00:00"/>
    <x v="0"/>
    <x v="4"/>
    <x v="21"/>
    <x v="29"/>
    <x v="1"/>
    <x v="1"/>
    <x v="1"/>
    <n v="47250000"/>
  </r>
  <r>
    <d v="2024-05-30T00:00:00"/>
    <x v="0"/>
    <x v="4"/>
    <x v="21"/>
    <x v="29"/>
    <x v="4"/>
    <x v="4"/>
    <x v="2"/>
    <n v="8108640832"/>
  </r>
  <r>
    <d v="2024-05-30T00:00:00"/>
    <x v="0"/>
    <x v="4"/>
    <x v="21"/>
    <x v="29"/>
    <x v="5"/>
    <x v="5"/>
    <x v="3"/>
    <n v="1925788567"/>
  </r>
  <r>
    <d v="2024-05-30T00:00:00"/>
    <x v="0"/>
    <x v="4"/>
    <x v="21"/>
    <x v="29"/>
    <x v="0"/>
    <x v="0"/>
    <x v="0"/>
    <n v="2529500000"/>
  </r>
  <r>
    <d v="2024-05-30T00:00:00"/>
    <x v="0"/>
    <x v="4"/>
    <x v="21"/>
    <x v="29"/>
    <x v="7"/>
    <x v="7"/>
    <x v="4"/>
    <n v="33062265"/>
  </r>
  <r>
    <d v="2024-05-30T00:00:00"/>
    <x v="0"/>
    <x v="4"/>
    <x v="21"/>
    <x v="29"/>
    <x v="3"/>
    <x v="3"/>
    <x v="1"/>
    <n v="157500000"/>
  </r>
  <r>
    <d v="2024-05-30T00:00:00"/>
    <x v="0"/>
    <x v="4"/>
    <x v="21"/>
    <x v="29"/>
    <x v="2"/>
    <x v="2"/>
    <x v="1"/>
    <n v="3249260000"/>
  </r>
  <r>
    <d v="2024-05-31T00:00:00"/>
    <x v="0"/>
    <x v="4"/>
    <x v="21"/>
    <x v="30"/>
    <x v="8"/>
    <x v="8"/>
    <x v="1"/>
    <n v="173340000"/>
  </r>
  <r>
    <d v="2024-05-31T00:00:00"/>
    <x v="0"/>
    <x v="4"/>
    <x v="21"/>
    <x v="30"/>
    <x v="0"/>
    <x v="0"/>
    <x v="0"/>
    <n v="2773500000"/>
  </r>
  <r>
    <d v="2024-05-31T00:00:00"/>
    <x v="0"/>
    <x v="4"/>
    <x v="21"/>
    <x v="30"/>
    <x v="6"/>
    <x v="6"/>
    <x v="0"/>
    <n v="46000000"/>
  </r>
  <r>
    <d v="2024-05-31T00:00:00"/>
    <x v="0"/>
    <x v="4"/>
    <x v="21"/>
    <x v="30"/>
    <x v="5"/>
    <x v="5"/>
    <x v="3"/>
    <n v="2494341190"/>
  </r>
  <r>
    <d v="2024-05-31T00:00:00"/>
    <x v="0"/>
    <x v="4"/>
    <x v="21"/>
    <x v="30"/>
    <x v="1"/>
    <x v="1"/>
    <x v="1"/>
    <n v="0"/>
  </r>
  <r>
    <d v="2024-05-31T00:00:00"/>
    <x v="0"/>
    <x v="4"/>
    <x v="21"/>
    <x v="30"/>
    <x v="2"/>
    <x v="2"/>
    <x v="1"/>
    <n v="3814030000"/>
  </r>
  <r>
    <d v="2024-05-31T00:00:00"/>
    <x v="0"/>
    <x v="4"/>
    <x v="21"/>
    <x v="30"/>
    <x v="4"/>
    <x v="4"/>
    <x v="2"/>
    <n v="9527906568"/>
  </r>
  <r>
    <d v="2024-05-31T00:00:00"/>
    <x v="0"/>
    <x v="4"/>
    <x v="21"/>
    <x v="30"/>
    <x v="7"/>
    <x v="7"/>
    <x v="4"/>
    <n v="47545378"/>
  </r>
  <r>
    <d v="2024-05-31T00:00:00"/>
    <x v="0"/>
    <x v="4"/>
    <x v="21"/>
    <x v="30"/>
    <x v="3"/>
    <x v="3"/>
    <x v="1"/>
    <n v="156450000"/>
  </r>
  <r>
    <d v="2024-05-31T00:00:00"/>
    <x v="0"/>
    <x v="4"/>
    <x v="21"/>
    <x v="30"/>
    <x v="10"/>
    <x v="9"/>
    <x v="1"/>
    <n v="10700000"/>
  </r>
  <r>
    <d v="2024-05-31T00:00:00"/>
    <x v="0"/>
    <x v="4"/>
    <x v="21"/>
    <x v="30"/>
    <x v="9"/>
    <x v="9"/>
    <x v="1"/>
    <n v="12000000"/>
  </r>
  <r>
    <d v="2024-06-01T00:00:00"/>
    <x v="0"/>
    <x v="5"/>
    <x v="21"/>
    <x v="0"/>
    <x v="1"/>
    <x v="1"/>
    <x v="1"/>
    <n v="23100000"/>
  </r>
  <r>
    <d v="2024-06-01T00:00:00"/>
    <x v="0"/>
    <x v="5"/>
    <x v="21"/>
    <x v="0"/>
    <x v="2"/>
    <x v="2"/>
    <x v="1"/>
    <n v="3614890000"/>
  </r>
  <r>
    <d v="2024-06-01T00:00:00"/>
    <x v="0"/>
    <x v="5"/>
    <x v="21"/>
    <x v="0"/>
    <x v="9"/>
    <x v="9"/>
    <x v="1"/>
    <n v="41680000"/>
  </r>
  <r>
    <d v="2024-06-01T00:00:00"/>
    <x v="0"/>
    <x v="5"/>
    <x v="21"/>
    <x v="0"/>
    <x v="3"/>
    <x v="3"/>
    <x v="1"/>
    <n v="116850000"/>
  </r>
  <r>
    <d v="2024-06-01T00:00:00"/>
    <x v="0"/>
    <x v="5"/>
    <x v="21"/>
    <x v="0"/>
    <x v="10"/>
    <x v="9"/>
    <x v="1"/>
    <n v="115560000"/>
  </r>
  <r>
    <d v="2024-06-01T00:00:00"/>
    <x v="0"/>
    <x v="5"/>
    <x v="21"/>
    <x v="0"/>
    <x v="0"/>
    <x v="0"/>
    <x v="0"/>
    <n v="3223500000"/>
  </r>
  <r>
    <d v="2024-06-01T00:00:00"/>
    <x v="0"/>
    <x v="5"/>
    <x v="21"/>
    <x v="0"/>
    <x v="4"/>
    <x v="4"/>
    <x v="2"/>
    <n v="10530966249"/>
  </r>
  <r>
    <d v="2024-06-01T00:00:00"/>
    <x v="0"/>
    <x v="5"/>
    <x v="21"/>
    <x v="0"/>
    <x v="7"/>
    <x v="7"/>
    <x v="4"/>
    <n v="29498921"/>
  </r>
  <r>
    <d v="2024-06-01T00:00:00"/>
    <x v="0"/>
    <x v="5"/>
    <x v="21"/>
    <x v="0"/>
    <x v="6"/>
    <x v="6"/>
    <x v="0"/>
    <n v="73000000"/>
  </r>
  <r>
    <d v="2024-06-01T00:00:00"/>
    <x v="0"/>
    <x v="5"/>
    <x v="21"/>
    <x v="0"/>
    <x v="5"/>
    <x v="5"/>
    <x v="3"/>
    <n v="3255437328"/>
  </r>
  <r>
    <d v="2024-06-01T00:00:00"/>
    <x v="0"/>
    <x v="5"/>
    <x v="21"/>
    <x v="0"/>
    <x v="8"/>
    <x v="8"/>
    <x v="1"/>
    <n v="37450000"/>
  </r>
  <r>
    <d v="2024-06-02T00:00:00"/>
    <x v="0"/>
    <x v="5"/>
    <x v="21"/>
    <x v="1"/>
    <x v="8"/>
    <x v="8"/>
    <x v="1"/>
    <n v="44940000"/>
  </r>
  <r>
    <d v="2024-06-02T00:00:00"/>
    <x v="0"/>
    <x v="5"/>
    <x v="21"/>
    <x v="1"/>
    <x v="0"/>
    <x v="0"/>
    <x v="0"/>
    <n v="2579000000"/>
  </r>
  <r>
    <d v="2024-06-02T00:00:00"/>
    <x v="0"/>
    <x v="5"/>
    <x v="21"/>
    <x v="1"/>
    <x v="1"/>
    <x v="1"/>
    <x v="1"/>
    <n v="0"/>
  </r>
  <r>
    <d v="2024-06-02T00:00:00"/>
    <x v="0"/>
    <x v="5"/>
    <x v="21"/>
    <x v="1"/>
    <x v="9"/>
    <x v="9"/>
    <x v="1"/>
    <n v="48660000"/>
  </r>
  <r>
    <d v="2024-06-02T00:00:00"/>
    <x v="0"/>
    <x v="5"/>
    <x v="21"/>
    <x v="1"/>
    <x v="3"/>
    <x v="3"/>
    <x v="1"/>
    <n v="105000000"/>
  </r>
  <r>
    <d v="2024-06-02T00:00:00"/>
    <x v="0"/>
    <x v="5"/>
    <x v="21"/>
    <x v="1"/>
    <x v="7"/>
    <x v="7"/>
    <x v="4"/>
    <n v="35509644"/>
  </r>
  <r>
    <d v="2024-06-02T00:00:00"/>
    <x v="0"/>
    <x v="5"/>
    <x v="21"/>
    <x v="1"/>
    <x v="4"/>
    <x v="4"/>
    <x v="2"/>
    <n v="8529377936"/>
  </r>
  <r>
    <d v="2024-06-02T00:00:00"/>
    <x v="0"/>
    <x v="5"/>
    <x v="21"/>
    <x v="1"/>
    <x v="10"/>
    <x v="9"/>
    <x v="1"/>
    <n v="112160000"/>
  </r>
  <r>
    <d v="2024-06-02T00:00:00"/>
    <x v="0"/>
    <x v="5"/>
    <x v="21"/>
    <x v="1"/>
    <x v="6"/>
    <x v="6"/>
    <x v="0"/>
    <n v="27000000"/>
  </r>
  <r>
    <d v="2024-06-02T00:00:00"/>
    <x v="0"/>
    <x v="5"/>
    <x v="21"/>
    <x v="1"/>
    <x v="2"/>
    <x v="2"/>
    <x v="1"/>
    <n v="2912430000"/>
  </r>
  <r>
    <d v="2024-06-02T00:00:00"/>
    <x v="0"/>
    <x v="5"/>
    <x v="21"/>
    <x v="1"/>
    <x v="5"/>
    <x v="5"/>
    <x v="3"/>
    <n v="2664678292"/>
  </r>
  <r>
    <d v="2024-06-03T00:00:00"/>
    <x v="0"/>
    <x v="5"/>
    <x v="22"/>
    <x v="2"/>
    <x v="7"/>
    <x v="7"/>
    <x v="4"/>
    <n v="57665380"/>
  </r>
  <r>
    <d v="2024-06-03T00:00:00"/>
    <x v="0"/>
    <x v="5"/>
    <x v="22"/>
    <x v="2"/>
    <x v="8"/>
    <x v="8"/>
    <x v="1"/>
    <n v="63130000"/>
  </r>
  <r>
    <d v="2024-06-03T00:00:00"/>
    <x v="0"/>
    <x v="5"/>
    <x v="22"/>
    <x v="2"/>
    <x v="6"/>
    <x v="6"/>
    <x v="0"/>
    <n v="35000000"/>
  </r>
  <r>
    <d v="2024-06-03T00:00:00"/>
    <x v="0"/>
    <x v="5"/>
    <x v="22"/>
    <x v="2"/>
    <x v="5"/>
    <x v="5"/>
    <x v="3"/>
    <n v="2851459569"/>
  </r>
  <r>
    <d v="2024-06-03T00:00:00"/>
    <x v="0"/>
    <x v="5"/>
    <x v="22"/>
    <x v="2"/>
    <x v="9"/>
    <x v="9"/>
    <x v="1"/>
    <n v="0"/>
  </r>
  <r>
    <d v="2024-06-03T00:00:00"/>
    <x v="0"/>
    <x v="5"/>
    <x v="22"/>
    <x v="2"/>
    <x v="10"/>
    <x v="9"/>
    <x v="1"/>
    <n v="97180000"/>
  </r>
  <r>
    <d v="2024-06-03T00:00:00"/>
    <x v="0"/>
    <x v="5"/>
    <x v="22"/>
    <x v="2"/>
    <x v="1"/>
    <x v="1"/>
    <x v="1"/>
    <n v="62500000"/>
  </r>
  <r>
    <d v="2024-06-03T00:00:00"/>
    <x v="0"/>
    <x v="5"/>
    <x v="22"/>
    <x v="2"/>
    <x v="4"/>
    <x v="4"/>
    <x v="2"/>
    <n v="11780764949"/>
  </r>
  <r>
    <d v="2024-06-03T00:00:00"/>
    <x v="0"/>
    <x v="5"/>
    <x v="22"/>
    <x v="2"/>
    <x v="3"/>
    <x v="3"/>
    <x v="1"/>
    <n v="167000000"/>
  </r>
  <r>
    <d v="2024-06-03T00:00:00"/>
    <x v="0"/>
    <x v="5"/>
    <x v="22"/>
    <x v="2"/>
    <x v="2"/>
    <x v="2"/>
    <x v="1"/>
    <n v="5082330000"/>
  </r>
  <r>
    <d v="2024-06-03T00:00:00"/>
    <x v="0"/>
    <x v="5"/>
    <x v="22"/>
    <x v="2"/>
    <x v="0"/>
    <x v="0"/>
    <x v="0"/>
    <n v="3364500000"/>
  </r>
  <r>
    <d v="2024-06-04T00:00:00"/>
    <x v="0"/>
    <x v="5"/>
    <x v="22"/>
    <x v="3"/>
    <x v="10"/>
    <x v="9"/>
    <x v="1"/>
    <n v="108070000"/>
  </r>
  <r>
    <d v="2024-06-04T00:00:00"/>
    <x v="0"/>
    <x v="5"/>
    <x v="22"/>
    <x v="3"/>
    <x v="7"/>
    <x v="7"/>
    <x v="4"/>
    <n v="81077103"/>
  </r>
  <r>
    <d v="2024-06-04T00:00:00"/>
    <x v="0"/>
    <x v="5"/>
    <x v="22"/>
    <x v="3"/>
    <x v="0"/>
    <x v="0"/>
    <x v="0"/>
    <n v="3177000000"/>
  </r>
  <r>
    <d v="2024-06-04T00:00:00"/>
    <x v="0"/>
    <x v="5"/>
    <x v="22"/>
    <x v="3"/>
    <x v="6"/>
    <x v="6"/>
    <x v="0"/>
    <n v="15000000"/>
  </r>
  <r>
    <d v="2024-06-04T00:00:00"/>
    <x v="0"/>
    <x v="5"/>
    <x v="22"/>
    <x v="3"/>
    <x v="2"/>
    <x v="2"/>
    <x v="1"/>
    <n v="5017700000"/>
  </r>
  <r>
    <d v="2024-06-04T00:00:00"/>
    <x v="0"/>
    <x v="5"/>
    <x v="22"/>
    <x v="3"/>
    <x v="4"/>
    <x v="4"/>
    <x v="2"/>
    <n v="11598870896"/>
  </r>
  <r>
    <d v="2024-06-04T00:00:00"/>
    <x v="0"/>
    <x v="5"/>
    <x v="22"/>
    <x v="3"/>
    <x v="8"/>
    <x v="8"/>
    <x v="1"/>
    <n v="114490000"/>
  </r>
  <r>
    <d v="2024-06-04T00:00:00"/>
    <x v="0"/>
    <x v="5"/>
    <x v="22"/>
    <x v="3"/>
    <x v="3"/>
    <x v="3"/>
    <x v="1"/>
    <n v="246800000"/>
  </r>
  <r>
    <d v="2024-06-04T00:00:00"/>
    <x v="0"/>
    <x v="5"/>
    <x v="22"/>
    <x v="3"/>
    <x v="9"/>
    <x v="9"/>
    <x v="1"/>
    <n v="0"/>
  </r>
  <r>
    <d v="2024-06-04T00:00:00"/>
    <x v="0"/>
    <x v="5"/>
    <x v="22"/>
    <x v="3"/>
    <x v="5"/>
    <x v="5"/>
    <x v="3"/>
    <n v="2796733793"/>
  </r>
  <r>
    <d v="2024-06-04T00:00:00"/>
    <x v="0"/>
    <x v="5"/>
    <x v="22"/>
    <x v="3"/>
    <x v="1"/>
    <x v="1"/>
    <x v="1"/>
    <n v="42000000"/>
  </r>
  <r>
    <d v="2024-06-05T00:00:00"/>
    <x v="0"/>
    <x v="5"/>
    <x v="22"/>
    <x v="4"/>
    <x v="10"/>
    <x v="9"/>
    <x v="1"/>
    <n v="160860000"/>
  </r>
  <r>
    <d v="2024-06-05T00:00:00"/>
    <x v="0"/>
    <x v="5"/>
    <x v="22"/>
    <x v="4"/>
    <x v="9"/>
    <x v="9"/>
    <x v="1"/>
    <n v="0"/>
  </r>
  <r>
    <d v="2024-06-05T00:00:00"/>
    <x v="0"/>
    <x v="5"/>
    <x v="22"/>
    <x v="4"/>
    <x v="6"/>
    <x v="6"/>
    <x v="0"/>
    <n v="50000000"/>
  </r>
  <r>
    <d v="2024-06-05T00:00:00"/>
    <x v="0"/>
    <x v="5"/>
    <x v="22"/>
    <x v="4"/>
    <x v="4"/>
    <x v="4"/>
    <x v="2"/>
    <n v="11440221174"/>
  </r>
  <r>
    <d v="2024-06-05T00:00:00"/>
    <x v="0"/>
    <x v="5"/>
    <x v="22"/>
    <x v="4"/>
    <x v="7"/>
    <x v="7"/>
    <x v="4"/>
    <n v="74148298"/>
  </r>
  <r>
    <d v="2024-06-05T00:00:00"/>
    <x v="0"/>
    <x v="5"/>
    <x v="22"/>
    <x v="4"/>
    <x v="1"/>
    <x v="1"/>
    <x v="1"/>
    <n v="36750000"/>
  </r>
  <r>
    <d v="2024-06-05T00:00:00"/>
    <x v="0"/>
    <x v="5"/>
    <x v="22"/>
    <x v="4"/>
    <x v="0"/>
    <x v="0"/>
    <x v="0"/>
    <n v="3573500000"/>
  </r>
  <r>
    <d v="2024-06-05T00:00:00"/>
    <x v="0"/>
    <x v="5"/>
    <x v="22"/>
    <x v="4"/>
    <x v="3"/>
    <x v="3"/>
    <x v="1"/>
    <n v="297150000"/>
  </r>
  <r>
    <d v="2024-06-05T00:00:00"/>
    <x v="0"/>
    <x v="5"/>
    <x v="22"/>
    <x v="4"/>
    <x v="8"/>
    <x v="8"/>
    <x v="1"/>
    <n v="53500000"/>
  </r>
  <r>
    <d v="2024-06-05T00:00:00"/>
    <x v="0"/>
    <x v="5"/>
    <x v="22"/>
    <x v="4"/>
    <x v="5"/>
    <x v="5"/>
    <x v="3"/>
    <n v="2386222876"/>
  </r>
  <r>
    <d v="2024-06-05T00:00:00"/>
    <x v="0"/>
    <x v="5"/>
    <x v="22"/>
    <x v="4"/>
    <x v="2"/>
    <x v="2"/>
    <x v="1"/>
    <n v="4808090000"/>
  </r>
  <r>
    <d v="2024-06-06T00:00:00"/>
    <x v="0"/>
    <x v="5"/>
    <x v="22"/>
    <x v="5"/>
    <x v="7"/>
    <x v="7"/>
    <x v="4"/>
    <n v="100728013"/>
  </r>
  <r>
    <d v="2024-06-06T00:00:00"/>
    <x v="0"/>
    <x v="5"/>
    <x v="22"/>
    <x v="5"/>
    <x v="2"/>
    <x v="2"/>
    <x v="1"/>
    <n v="4168540000"/>
  </r>
  <r>
    <d v="2024-06-06T00:00:00"/>
    <x v="0"/>
    <x v="5"/>
    <x v="22"/>
    <x v="5"/>
    <x v="6"/>
    <x v="6"/>
    <x v="0"/>
    <n v="31000000"/>
  </r>
  <r>
    <d v="2024-06-06T00:00:00"/>
    <x v="0"/>
    <x v="5"/>
    <x v="22"/>
    <x v="5"/>
    <x v="10"/>
    <x v="9"/>
    <x v="1"/>
    <n v="172640000"/>
  </r>
  <r>
    <d v="2024-06-06T00:00:00"/>
    <x v="0"/>
    <x v="5"/>
    <x v="22"/>
    <x v="5"/>
    <x v="8"/>
    <x v="8"/>
    <x v="1"/>
    <n v="199990000"/>
  </r>
  <r>
    <d v="2024-06-06T00:00:00"/>
    <x v="0"/>
    <x v="5"/>
    <x v="22"/>
    <x v="5"/>
    <x v="0"/>
    <x v="0"/>
    <x v="0"/>
    <n v="3314500000"/>
  </r>
  <r>
    <d v="2024-06-06T00:00:00"/>
    <x v="0"/>
    <x v="5"/>
    <x v="22"/>
    <x v="5"/>
    <x v="1"/>
    <x v="1"/>
    <x v="1"/>
    <n v="25200000"/>
  </r>
  <r>
    <d v="2024-06-06T00:00:00"/>
    <x v="0"/>
    <x v="5"/>
    <x v="22"/>
    <x v="5"/>
    <x v="9"/>
    <x v="9"/>
    <x v="1"/>
    <n v="31030000"/>
  </r>
  <r>
    <d v="2024-06-06T00:00:00"/>
    <x v="0"/>
    <x v="5"/>
    <x v="22"/>
    <x v="5"/>
    <x v="4"/>
    <x v="4"/>
    <x v="2"/>
    <n v="10398537295"/>
  </r>
  <r>
    <d v="2024-06-06T00:00:00"/>
    <x v="0"/>
    <x v="5"/>
    <x v="22"/>
    <x v="5"/>
    <x v="3"/>
    <x v="3"/>
    <x v="1"/>
    <n v="236800000"/>
  </r>
  <r>
    <d v="2024-06-06T00:00:00"/>
    <x v="0"/>
    <x v="5"/>
    <x v="22"/>
    <x v="5"/>
    <x v="5"/>
    <x v="5"/>
    <x v="3"/>
    <n v="2118109282"/>
  </r>
  <r>
    <d v="2024-06-07T00:00:00"/>
    <x v="0"/>
    <x v="5"/>
    <x v="22"/>
    <x v="6"/>
    <x v="0"/>
    <x v="0"/>
    <x v="0"/>
    <n v="3018500000"/>
  </r>
  <r>
    <d v="2024-06-07T00:00:00"/>
    <x v="0"/>
    <x v="5"/>
    <x v="22"/>
    <x v="6"/>
    <x v="5"/>
    <x v="5"/>
    <x v="3"/>
    <n v="1975387485"/>
  </r>
  <r>
    <d v="2024-06-07T00:00:00"/>
    <x v="0"/>
    <x v="5"/>
    <x v="22"/>
    <x v="6"/>
    <x v="8"/>
    <x v="8"/>
    <x v="1"/>
    <n v="310300000"/>
  </r>
  <r>
    <d v="2024-06-07T00:00:00"/>
    <x v="0"/>
    <x v="5"/>
    <x v="22"/>
    <x v="6"/>
    <x v="9"/>
    <x v="9"/>
    <x v="1"/>
    <n v="34420000"/>
  </r>
  <r>
    <d v="2024-06-07T00:00:00"/>
    <x v="0"/>
    <x v="5"/>
    <x v="22"/>
    <x v="6"/>
    <x v="3"/>
    <x v="3"/>
    <x v="1"/>
    <n v="92400000"/>
  </r>
  <r>
    <d v="2024-06-07T00:00:00"/>
    <x v="0"/>
    <x v="5"/>
    <x v="22"/>
    <x v="6"/>
    <x v="1"/>
    <x v="1"/>
    <x v="1"/>
    <n v="10500000"/>
  </r>
  <r>
    <d v="2024-06-07T00:00:00"/>
    <x v="0"/>
    <x v="5"/>
    <x v="22"/>
    <x v="6"/>
    <x v="6"/>
    <x v="6"/>
    <x v="0"/>
    <n v="42000000"/>
  </r>
  <r>
    <d v="2024-06-07T00:00:00"/>
    <x v="0"/>
    <x v="5"/>
    <x v="22"/>
    <x v="6"/>
    <x v="2"/>
    <x v="2"/>
    <x v="1"/>
    <n v="4081160000"/>
  </r>
  <r>
    <d v="2024-06-07T00:00:00"/>
    <x v="0"/>
    <x v="5"/>
    <x v="22"/>
    <x v="6"/>
    <x v="4"/>
    <x v="4"/>
    <x v="2"/>
    <n v="9774769392"/>
  </r>
  <r>
    <d v="2024-06-07T00:00:00"/>
    <x v="0"/>
    <x v="5"/>
    <x v="22"/>
    <x v="6"/>
    <x v="7"/>
    <x v="7"/>
    <x v="4"/>
    <n v="99521907"/>
  </r>
  <r>
    <d v="2024-06-07T00:00:00"/>
    <x v="0"/>
    <x v="5"/>
    <x v="22"/>
    <x v="6"/>
    <x v="10"/>
    <x v="9"/>
    <x v="1"/>
    <n v="110580000"/>
  </r>
  <r>
    <d v="2024-06-08T00:00:00"/>
    <x v="0"/>
    <x v="5"/>
    <x v="22"/>
    <x v="7"/>
    <x v="0"/>
    <x v="0"/>
    <x v="0"/>
    <n v="2730500000"/>
  </r>
  <r>
    <d v="2024-06-08T00:00:00"/>
    <x v="0"/>
    <x v="5"/>
    <x v="22"/>
    <x v="7"/>
    <x v="2"/>
    <x v="2"/>
    <x v="1"/>
    <n v="4452720000"/>
  </r>
  <r>
    <d v="2024-06-08T00:00:00"/>
    <x v="0"/>
    <x v="5"/>
    <x v="22"/>
    <x v="7"/>
    <x v="5"/>
    <x v="5"/>
    <x v="3"/>
    <n v="1817924991"/>
  </r>
  <r>
    <d v="2024-06-08T00:00:00"/>
    <x v="0"/>
    <x v="5"/>
    <x v="22"/>
    <x v="7"/>
    <x v="3"/>
    <x v="3"/>
    <x v="1"/>
    <n v="177600000"/>
  </r>
  <r>
    <d v="2024-06-08T00:00:00"/>
    <x v="0"/>
    <x v="5"/>
    <x v="22"/>
    <x v="7"/>
    <x v="4"/>
    <x v="4"/>
    <x v="2"/>
    <n v="9925566411"/>
  </r>
  <r>
    <d v="2024-06-08T00:00:00"/>
    <x v="0"/>
    <x v="5"/>
    <x v="22"/>
    <x v="7"/>
    <x v="6"/>
    <x v="6"/>
    <x v="0"/>
    <n v="23000000"/>
  </r>
  <r>
    <d v="2024-06-08T00:00:00"/>
    <x v="0"/>
    <x v="5"/>
    <x v="22"/>
    <x v="7"/>
    <x v="10"/>
    <x v="9"/>
    <x v="1"/>
    <n v="94900000"/>
  </r>
  <r>
    <d v="2024-06-08T00:00:00"/>
    <x v="0"/>
    <x v="5"/>
    <x v="22"/>
    <x v="7"/>
    <x v="1"/>
    <x v="1"/>
    <x v="1"/>
    <n v="10500000"/>
  </r>
  <r>
    <d v="2024-06-08T00:00:00"/>
    <x v="0"/>
    <x v="5"/>
    <x v="22"/>
    <x v="7"/>
    <x v="9"/>
    <x v="9"/>
    <x v="1"/>
    <n v="75970000"/>
  </r>
  <r>
    <d v="2024-06-08T00:00:00"/>
    <x v="0"/>
    <x v="5"/>
    <x v="22"/>
    <x v="7"/>
    <x v="8"/>
    <x v="8"/>
    <x v="1"/>
    <n v="463310000"/>
  </r>
  <r>
    <d v="2024-06-08T00:00:00"/>
    <x v="0"/>
    <x v="5"/>
    <x v="22"/>
    <x v="7"/>
    <x v="7"/>
    <x v="7"/>
    <x v="4"/>
    <n v="79141420"/>
  </r>
  <r>
    <d v="2024-06-09T00:00:00"/>
    <x v="0"/>
    <x v="5"/>
    <x v="22"/>
    <x v="8"/>
    <x v="8"/>
    <x v="8"/>
    <x v="1"/>
    <n v="40660000"/>
  </r>
  <r>
    <d v="2024-06-09T00:00:00"/>
    <x v="0"/>
    <x v="5"/>
    <x v="22"/>
    <x v="8"/>
    <x v="1"/>
    <x v="1"/>
    <x v="1"/>
    <n v="52500000"/>
  </r>
  <r>
    <d v="2024-06-09T00:00:00"/>
    <x v="0"/>
    <x v="5"/>
    <x v="22"/>
    <x v="8"/>
    <x v="7"/>
    <x v="7"/>
    <x v="4"/>
    <n v="46261744"/>
  </r>
  <r>
    <d v="2024-06-09T00:00:00"/>
    <x v="0"/>
    <x v="5"/>
    <x v="22"/>
    <x v="8"/>
    <x v="4"/>
    <x v="4"/>
    <x v="2"/>
    <n v="8134430087"/>
  </r>
  <r>
    <d v="2024-06-09T00:00:00"/>
    <x v="0"/>
    <x v="5"/>
    <x v="22"/>
    <x v="8"/>
    <x v="6"/>
    <x v="6"/>
    <x v="0"/>
    <n v="34000000"/>
  </r>
  <r>
    <d v="2024-06-09T00:00:00"/>
    <x v="0"/>
    <x v="5"/>
    <x v="22"/>
    <x v="8"/>
    <x v="3"/>
    <x v="3"/>
    <x v="1"/>
    <n v="131250000"/>
  </r>
  <r>
    <d v="2024-06-09T00:00:00"/>
    <x v="0"/>
    <x v="5"/>
    <x v="22"/>
    <x v="8"/>
    <x v="9"/>
    <x v="9"/>
    <x v="1"/>
    <n v="21400000"/>
  </r>
  <r>
    <d v="2024-06-09T00:00:00"/>
    <x v="0"/>
    <x v="5"/>
    <x v="22"/>
    <x v="8"/>
    <x v="10"/>
    <x v="9"/>
    <x v="1"/>
    <n v="121980000"/>
  </r>
  <r>
    <d v="2024-06-09T00:00:00"/>
    <x v="0"/>
    <x v="5"/>
    <x v="22"/>
    <x v="8"/>
    <x v="0"/>
    <x v="0"/>
    <x v="0"/>
    <n v="2280500000"/>
  </r>
  <r>
    <d v="2024-06-09T00:00:00"/>
    <x v="0"/>
    <x v="5"/>
    <x v="22"/>
    <x v="8"/>
    <x v="5"/>
    <x v="5"/>
    <x v="3"/>
    <n v="1888048343"/>
  </r>
  <r>
    <d v="2024-06-09T00:00:00"/>
    <x v="0"/>
    <x v="5"/>
    <x v="22"/>
    <x v="8"/>
    <x v="2"/>
    <x v="2"/>
    <x v="1"/>
    <n v="3517830000"/>
  </r>
  <r>
    <d v="2024-06-10T00:00:00"/>
    <x v="0"/>
    <x v="5"/>
    <x v="23"/>
    <x v="9"/>
    <x v="2"/>
    <x v="2"/>
    <x v="1"/>
    <n v="5257830000"/>
  </r>
  <r>
    <d v="2024-06-10T00:00:00"/>
    <x v="0"/>
    <x v="5"/>
    <x v="23"/>
    <x v="9"/>
    <x v="8"/>
    <x v="8"/>
    <x v="1"/>
    <n v="512530000"/>
  </r>
  <r>
    <d v="2024-06-10T00:00:00"/>
    <x v="0"/>
    <x v="5"/>
    <x v="23"/>
    <x v="9"/>
    <x v="1"/>
    <x v="1"/>
    <x v="1"/>
    <n v="10500000"/>
  </r>
  <r>
    <d v="2024-06-10T00:00:00"/>
    <x v="0"/>
    <x v="5"/>
    <x v="23"/>
    <x v="9"/>
    <x v="5"/>
    <x v="5"/>
    <x v="3"/>
    <n v="2457935552"/>
  </r>
  <r>
    <d v="2024-06-10T00:00:00"/>
    <x v="0"/>
    <x v="5"/>
    <x v="23"/>
    <x v="9"/>
    <x v="10"/>
    <x v="9"/>
    <x v="1"/>
    <n v="80250000"/>
  </r>
  <r>
    <d v="2024-06-10T00:00:00"/>
    <x v="0"/>
    <x v="5"/>
    <x v="23"/>
    <x v="9"/>
    <x v="7"/>
    <x v="7"/>
    <x v="4"/>
    <n v="54929933"/>
  </r>
  <r>
    <d v="2024-06-10T00:00:00"/>
    <x v="0"/>
    <x v="5"/>
    <x v="23"/>
    <x v="9"/>
    <x v="6"/>
    <x v="6"/>
    <x v="0"/>
    <n v="46000000"/>
  </r>
  <r>
    <d v="2024-06-10T00:00:00"/>
    <x v="0"/>
    <x v="5"/>
    <x v="23"/>
    <x v="9"/>
    <x v="0"/>
    <x v="0"/>
    <x v="0"/>
    <n v="3705000000"/>
  </r>
  <r>
    <d v="2024-06-10T00:00:00"/>
    <x v="0"/>
    <x v="5"/>
    <x v="23"/>
    <x v="9"/>
    <x v="4"/>
    <x v="4"/>
    <x v="2"/>
    <n v="12336985485"/>
  </r>
  <r>
    <d v="2024-06-10T00:00:00"/>
    <x v="0"/>
    <x v="5"/>
    <x v="23"/>
    <x v="9"/>
    <x v="9"/>
    <x v="9"/>
    <x v="1"/>
    <n v="51360000"/>
  </r>
  <r>
    <d v="2024-06-10T00:00:00"/>
    <x v="0"/>
    <x v="5"/>
    <x v="23"/>
    <x v="9"/>
    <x v="3"/>
    <x v="3"/>
    <x v="1"/>
    <n v="160650000"/>
  </r>
  <r>
    <d v="2024-06-11T00:00:00"/>
    <x v="0"/>
    <x v="5"/>
    <x v="23"/>
    <x v="10"/>
    <x v="3"/>
    <x v="3"/>
    <x v="1"/>
    <n v="278850000"/>
  </r>
  <r>
    <d v="2024-06-11T00:00:00"/>
    <x v="0"/>
    <x v="5"/>
    <x v="23"/>
    <x v="10"/>
    <x v="7"/>
    <x v="7"/>
    <x v="4"/>
    <n v="64559975"/>
  </r>
  <r>
    <d v="2024-06-11T00:00:00"/>
    <x v="0"/>
    <x v="5"/>
    <x v="23"/>
    <x v="10"/>
    <x v="1"/>
    <x v="1"/>
    <x v="1"/>
    <n v="0"/>
  </r>
  <r>
    <d v="2024-06-11T00:00:00"/>
    <x v="0"/>
    <x v="5"/>
    <x v="23"/>
    <x v="10"/>
    <x v="2"/>
    <x v="2"/>
    <x v="1"/>
    <n v="4075270000"/>
  </r>
  <r>
    <d v="2024-06-11T00:00:00"/>
    <x v="0"/>
    <x v="5"/>
    <x v="23"/>
    <x v="10"/>
    <x v="8"/>
    <x v="8"/>
    <x v="1"/>
    <n v="481500000"/>
  </r>
  <r>
    <d v="2024-06-11T00:00:00"/>
    <x v="0"/>
    <x v="5"/>
    <x v="23"/>
    <x v="10"/>
    <x v="4"/>
    <x v="4"/>
    <x v="2"/>
    <n v="10389817454"/>
  </r>
  <r>
    <d v="2024-06-11T00:00:00"/>
    <x v="0"/>
    <x v="5"/>
    <x v="23"/>
    <x v="10"/>
    <x v="6"/>
    <x v="6"/>
    <x v="0"/>
    <n v="44000000"/>
  </r>
  <r>
    <d v="2024-06-11T00:00:00"/>
    <x v="0"/>
    <x v="5"/>
    <x v="23"/>
    <x v="10"/>
    <x v="9"/>
    <x v="9"/>
    <x v="1"/>
    <n v="96300000"/>
  </r>
  <r>
    <d v="2024-06-11T00:00:00"/>
    <x v="0"/>
    <x v="5"/>
    <x v="23"/>
    <x v="10"/>
    <x v="5"/>
    <x v="5"/>
    <x v="3"/>
    <n v="2048547479"/>
  </r>
  <r>
    <d v="2024-06-11T00:00:00"/>
    <x v="0"/>
    <x v="5"/>
    <x v="23"/>
    <x v="10"/>
    <x v="10"/>
    <x v="9"/>
    <x v="1"/>
    <n v="136790000"/>
  </r>
  <r>
    <d v="2024-06-11T00:00:00"/>
    <x v="0"/>
    <x v="5"/>
    <x v="23"/>
    <x v="10"/>
    <x v="0"/>
    <x v="0"/>
    <x v="0"/>
    <n v="3164000000"/>
  </r>
  <r>
    <d v="2024-06-12T00:00:00"/>
    <x v="0"/>
    <x v="5"/>
    <x v="23"/>
    <x v="11"/>
    <x v="9"/>
    <x v="9"/>
    <x v="1"/>
    <n v="99180000"/>
  </r>
  <r>
    <d v="2024-06-12T00:00:00"/>
    <x v="0"/>
    <x v="5"/>
    <x v="23"/>
    <x v="11"/>
    <x v="0"/>
    <x v="0"/>
    <x v="0"/>
    <n v="3044500000"/>
  </r>
  <r>
    <d v="2024-06-12T00:00:00"/>
    <x v="0"/>
    <x v="5"/>
    <x v="23"/>
    <x v="11"/>
    <x v="2"/>
    <x v="2"/>
    <x v="1"/>
    <n v="4977530000"/>
  </r>
  <r>
    <d v="2024-06-12T00:00:00"/>
    <x v="0"/>
    <x v="5"/>
    <x v="23"/>
    <x v="11"/>
    <x v="7"/>
    <x v="7"/>
    <x v="4"/>
    <n v="69442397"/>
  </r>
  <r>
    <d v="2024-06-12T00:00:00"/>
    <x v="0"/>
    <x v="5"/>
    <x v="23"/>
    <x v="11"/>
    <x v="3"/>
    <x v="3"/>
    <x v="1"/>
    <n v="400600000"/>
  </r>
  <r>
    <d v="2024-06-12T00:00:00"/>
    <x v="0"/>
    <x v="5"/>
    <x v="23"/>
    <x v="11"/>
    <x v="6"/>
    <x v="6"/>
    <x v="0"/>
    <n v="24000000"/>
  </r>
  <r>
    <d v="2024-06-12T00:00:00"/>
    <x v="0"/>
    <x v="5"/>
    <x v="23"/>
    <x v="11"/>
    <x v="1"/>
    <x v="1"/>
    <x v="1"/>
    <n v="42000000"/>
  </r>
  <r>
    <d v="2024-06-12T00:00:00"/>
    <x v="0"/>
    <x v="5"/>
    <x v="23"/>
    <x v="11"/>
    <x v="8"/>
    <x v="8"/>
    <x v="1"/>
    <n v="585660000"/>
  </r>
  <r>
    <d v="2024-06-12T00:00:00"/>
    <x v="0"/>
    <x v="5"/>
    <x v="23"/>
    <x v="11"/>
    <x v="10"/>
    <x v="9"/>
    <x v="1"/>
    <n v="195430000"/>
  </r>
  <r>
    <d v="2024-06-12T00:00:00"/>
    <x v="0"/>
    <x v="5"/>
    <x v="23"/>
    <x v="11"/>
    <x v="5"/>
    <x v="5"/>
    <x v="3"/>
    <n v="2118529033"/>
  </r>
  <r>
    <d v="2024-06-12T00:00:00"/>
    <x v="0"/>
    <x v="5"/>
    <x v="23"/>
    <x v="11"/>
    <x v="4"/>
    <x v="4"/>
    <x v="2"/>
    <n v="11556871430"/>
  </r>
  <r>
    <d v="2024-06-13T00:00:00"/>
    <x v="0"/>
    <x v="5"/>
    <x v="23"/>
    <x v="12"/>
    <x v="11"/>
    <x v="10"/>
    <x v="4"/>
    <n v="2129700"/>
  </r>
  <r>
    <d v="2024-06-13T00:00:00"/>
    <x v="0"/>
    <x v="5"/>
    <x v="23"/>
    <x v="12"/>
    <x v="10"/>
    <x v="9"/>
    <x v="1"/>
    <n v="127300000"/>
  </r>
  <r>
    <d v="2024-06-13T00:00:00"/>
    <x v="0"/>
    <x v="5"/>
    <x v="23"/>
    <x v="12"/>
    <x v="7"/>
    <x v="7"/>
    <x v="4"/>
    <n v="76467996"/>
  </r>
  <r>
    <d v="2024-06-13T00:00:00"/>
    <x v="0"/>
    <x v="5"/>
    <x v="23"/>
    <x v="12"/>
    <x v="5"/>
    <x v="5"/>
    <x v="3"/>
    <n v="2568552779"/>
  </r>
  <r>
    <d v="2024-06-13T00:00:00"/>
    <x v="0"/>
    <x v="5"/>
    <x v="23"/>
    <x v="12"/>
    <x v="3"/>
    <x v="3"/>
    <x v="1"/>
    <n v="303450000"/>
  </r>
  <r>
    <d v="2024-06-13T00:00:00"/>
    <x v="0"/>
    <x v="5"/>
    <x v="23"/>
    <x v="12"/>
    <x v="2"/>
    <x v="2"/>
    <x v="1"/>
    <n v="4472390000"/>
  </r>
  <r>
    <d v="2024-06-13T00:00:00"/>
    <x v="0"/>
    <x v="5"/>
    <x v="23"/>
    <x v="12"/>
    <x v="9"/>
    <x v="9"/>
    <x v="1"/>
    <n v="97370000"/>
  </r>
  <r>
    <d v="2024-06-13T00:00:00"/>
    <x v="0"/>
    <x v="5"/>
    <x v="23"/>
    <x v="12"/>
    <x v="6"/>
    <x v="6"/>
    <x v="0"/>
    <n v="8000000"/>
  </r>
  <r>
    <d v="2024-06-13T00:00:00"/>
    <x v="0"/>
    <x v="5"/>
    <x v="23"/>
    <x v="12"/>
    <x v="4"/>
    <x v="4"/>
    <x v="2"/>
    <n v="11279630475"/>
  </r>
  <r>
    <d v="2024-06-13T00:00:00"/>
    <x v="0"/>
    <x v="5"/>
    <x v="23"/>
    <x v="12"/>
    <x v="1"/>
    <x v="1"/>
    <x v="1"/>
    <n v="36750000"/>
  </r>
  <r>
    <d v="2024-06-13T00:00:00"/>
    <x v="0"/>
    <x v="5"/>
    <x v="23"/>
    <x v="12"/>
    <x v="8"/>
    <x v="8"/>
    <x v="1"/>
    <n v="711220000"/>
  </r>
  <r>
    <d v="2024-06-13T00:00:00"/>
    <x v="0"/>
    <x v="5"/>
    <x v="23"/>
    <x v="12"/>
    <x v="0"/>
    <x v="0"/>
    <x v="0"/>
    <n v="2876000000"/>
  </r>
  <r>
    <d v="2024-06-14T00:00:00"/>
    <x v="0"/>
    <x v="5"/>
    <x v="23"/>
    <x v="13"/>
    <x v="11"/>
    <x v="10"/>
    <x v="4"/>
    <n v="1219000"/>
  </r>
  <r>
    <d v="2024-06-14T00:00:00"/>
    <x v="0"/>
    <x v="5"/>
    <x v="23"/>
    <x v="13"/>
    <x v="10"/>
    <x v="9"/>
    <x v="1"/>
    <n v="78060000"/>
  </r>
  <r>
    <d v="2024-06-14T00:00:00"/>
    <x v="0"/>
    <x v="5"/>
    <x v="23"/>
    <x v="13"/>
    <x v="8"/>
    <x v="8"/>
    <x v="1"/>
    <n v="773770000"/>
  </r>
  <r>
    <d v="2024-06-14T00:00:00"/>
    <x v="0"/>
    <x v="5"/>
    <x v="23"/>
    <x v="13"/>
    <x v="4"/>
    <x v="4"/>
    <x v="2"/>
    <n v="11395618833"/>
  </r>
  <r>
    <d v="2024-06-14T00:00:00"/>
    <x v="0"/>
    <x v="5"/>
    <x v="23"/>
    <x v="13"/>
    <x v="5"/>
    <x v="5"/>
    <x v="3"/>
    <n v="2516376316"/>
  </r>
  <r>
    <d v="2024-06-14T00:00:00"/>
    <x v="0"/>
    <x v="5"/>
    <x v="23"/>
    <x v="13"/>
    <x v="6"/>
    <x v="6"/>
    <x v="0"/>
    <n v="29000000"/>
  </r>
  <r>
    <d v="2024-06-14T00:00:00"/>
    <x v="0"/>
    <x v="5"/>
    <x v="23"/>
    <x v="13"/>
    <x v="7"/>
    <x v="7"/>
    <x v="4"/>
    <n v="75083517"/>
  </r>
  <r>
    <d v="2024-06-14T00:00:00"/>
    <x v="0"/>
    <x v="5"/>
    <x v="23"/>
    <x v="13"/>
    <x v="9"/>
    <x v="9"/>
    <x v="1"/>
    <n v="65270000"/>
  </r>
  <r>
    <d v="2024-06-14T00:00:00"/>
    <x v="0"/>
    <x v="5"/>
    <x v="23"/>
    <x v="13"/>
    <x v="0"/>
    <x v="0"/>
    <x v="0"/>
    <n v="3226500000"/>
  </r>
  <r>
    <d v="2024-06-14T00:00:00"/>
    <x v="0"/>
    <x v="5"/>
    <x v="23"/>
    <x v="13"/>
    <x v="3"/>
    <x v="3"/>
    <x v="1"/>
    <n v="155400000"/>
  </r>
  <r>
    <d v="2024-06-14T00:00:00"/>
    <x v="0"/>
    <x v="5"/>
    <x v="23"/>
    <x v="13"/>
    <x v="2"/>
    <x v="2"/>
    <x v="1"/>
    <n v="4464440000"/>
  </r>
  <r>
    <d v="2024-06-14T00:00:00"/>
    <x v="0"/>
    <x v="5"/>
    <x v="23"/>
    <x v="13"/>
    <x v="1"/>
    <x v="1"/>
    <x v="1"/>
    <n v="10500000"/>
  </r>
  <r>
    <d v="2024-06-15T00:00:00"/>
    <x v="0"/>
    <x v="5"/>
    <x v="23"/>
    <x v="14"/>
    <x v="10"/>
    <x v="9"/>
    <x v="1"/>
    <n v="116860000"/>
  </r>
  <r>
    <d v="2024-06-15T00:00:00"/>
    <x v="0"/>
    <x v="5"/>
    <x v="23"/>
    <x v="14"/>
    <x v="3"/>
    <x v="3"/>
    <x v="1"/>
    <n v="211100000"/>
  </r>
  <r>
    <d v="2024-06-15T00:00:00"/>
    <x v="0"/>
    <x v="5"/>
    <x v="23"/>
    <x v="14"/>
    <x v="9"/>
    <x v="9"/>
    <x v="1"/>
    <n v="61660000"/>
  </r>
  <r>
    <d v="2024-06-15T00:00:00"/>
    <x v="0"/>
    <x v="5"/>
    <x v="23"/>
    <x v="14"/>
    <x v="2"/>
    <x v="2"/>
    <x v="1"/>
    <n v="4564080000"/>
  </r>
  <r>
    <d v="2024-06-15T00:00:00"/>
    <x v="0"/>
    <x v="5"/>
    <x v="23"/>
    <x v="14"/>
    <x v="6"/>
    <x v="6"/>
    <x v="0"/>
    <n v="22000000"/>
  </r>
  <r>
    <d v="2024-06-15T00:00:00"/>
    <x v="0"/>
    <x v="5"/>
    <x v="23"/>
    <x v="14"/>
    <x v="4"/>
    <x v="4"/>
    <x v="2"/>
    <n v="10879268864"/>
  </r>
  <r>
    <d v="2024-06-15T00:00:00"/>
    <x v="0"/>
    <x v="5"/>
    <x v="23"/>
    <x v="14"/>
    <x v="7"/>
    <x v="7"/>
    <x v="4"/>
    <n v="88678130"/>
  </r>
  <r>
    <d v="2024-06-15T00:00:00"/>
    <x v="0"/>
    <x v="5"/>
    <x v="23"/>
    <x v="14"/>
    <x v="11"/>
    <x v="10"/>
    <x v="4"/>
    <n v="138000"/>
  </r>
  <r>
    <d v="2024-06-15T00:00:00"/>
    <x v="0"/>
    <x v="5"/>
    <x v="23"/>
    <x v="14"/>
    <x v="0"/>
    <x v="0"/>
    <x v="0"/>
    <n v="3021000000"/>
  </r>
  <r>
    <d v="2024-06-15T00:00:00"/>
    <x v="0"/>
    <x v="5"/>
    <x v="23"/>
    <x v="14"/>
    <x v="8"/>
    <x v="8"/>
    <x v="1"/>
    <n v="721430000"/>
  </r>
  <r>
    <d v="2024-06-15T00:00:00"/>
    <x v="0"/>
    <x v="5"/>
    <x v="23"/>
    <x v="14"/>
    <x v="1"/>
    <x v="1"/>
    <x v="1"/>
    <n v="24150000"/>
  </r>
  <r>
    <d v="2024-06-15T00:00:00"/>
    <x v="0"/>
    <x v="5"/>
    <x v="23"/>
    <x v="14"/>
    <x v="5"/>
    <x v="5"/>
    <x v="3"/>
    <n v="2048172734"/>
  </r>
  <r>
    <d v="2024-06-16T00:00:00"/>
    <x v="0"/>
    <x v="5"/>
    <x v="23"/>
    <x v="15"/>
    <x v="5"/>
    <x v="5"/>
    <x v="3"/>
    <n v="1794079018"/>
  </r>
  <r>
    <d v="2024-06-16T00:00:00"/>
    <x v="0"/>
    <x v="5"/>
    <x v="23"/>
    <x v="15"/>
    <x v="3"/>
    <x v="3"/>
    <x v="1"/>
    <n v="176400000"/>
  </r>
  <r>
    <d v="2024-06-16T00:00:00"/>
    <x v="0"/>
    <x v="5"/>
    <x v="23"/>
    <x v="15"/>
    <x v="8"/>
    <x v="8"/>
    <x v="1"/>
    <n v="192600000"/>
  </r>
  <r>
    <d v="2024-06-16T00:00:00"/>
    <x v="0"/>
    <x v="5"/>
    <x v="23"/>
    <x v="15"/>
    <x v="0"/>
    <x v="0"/>
    <x v="0"/>
    <n v="2587000000"/>
  </r>
  <r>
    <d v="2024-06-16T00:00:00"/>
    <x v="0"/>
    <x v="5"/>
    <x v="23"/>
    <x v="15"/>
    <x v="4"/>
    <x v="4"/>
    <x v="2"/>
    <n v="8821738237"/>
  </r>
  <r>
    <d v="2024-06-16T00:00:00"/>
    <x v="0"/>
    <x v="5"/>
    <x v="23"/>
    <x v="15"/>
    <x v="9"/>
    <x v="9"/>
    <x v="1"/>
    <n v="58800000"/>
  </r>
  <r>
    <d v="2024-06-16T00:00:00"/>
    <x v="0"/>
    <x v="5"/>
    <x v="23"/>
    <x v="15"/>
    <x v="6"/>
    <x v="6"/>
    <x v="0"/>
    <n v="15000000"/>
  </r>
  <r>
    <d v="2024-06-16T00:00:00"/>
    <x v="0"/>
    <x v="5"/>
    <x v="23"/>
    <x v="15"/>
    <x v="1"/>
    <x v="1"/>
    <x v="1"/>
    <n v="10500000"/>
  </r>
  <r>
    <d v="2024-06-16T00:00:00"/>
    <x v="0"/>
    <x v="5"/>
    <x v="23"/>
    <x v="15"/>
    <x v="7"/>
    <x v="7"/>
    <x v="4"/>
    <n v="79889219"/>
  </r>
  <r>
    <d v="2024-06-16T00:00:00"/>
    <x v="0"/>
    <x v="5"/>
    <x v="23"/>
    <x v="15"/>
    <x v="11"/>
    <x v="10"/>
    <x v="4"/>
    <n v="0"/>
  </r>
  <r>
    <d v="2024-06-16T00:00:00"/>
    <x v="0"/>
    <x v="5"/>
    <x v="23"/>
    <x v="15"/>
    <x v="2"/>
    <x v="2"/>
    <x v="1"/>
    <n v="3846810000"/>
  </r>
  <r>
    <d v="2024-06-16T00:00:00"/>
    <x v="0"/>
    <x v="5"/>
    <x v="23"/>
    <x v="15"/>
    <x v="10"/>
    <x v="9"/>
    <x v="1"/>
    <n v="60660000"/>
  </r>
  <r>
    <d v="2024-06-17T00:00:00"/>
    <x v="0"/>
    <x v="5"/>
    <x v="24"/>
    <x v="16"/>
    <x v="2"/>
    <x v="2"/>
    <x v="1"/>
    <n v="5252480000"/>
  </r>
  <r>
    <d v="2024-06-17T00:00:00"/>
    <x v="0"/>
    <x v="5"/>
    <x v="24"/>
    <x v="16"/>
    <x v="5"/>
    <x v="5"/>
    <x v="3"/>
    <n v="2589093258"/>
  </r>
  <r>
    <d v="2024-06-17T00:00:00"/>
    <x v="0"/>
    <x v="5"/>
    <x v="24"/>
    <x v="16"/>
    <x v="1"/>
    <x v="1"/>
    <x v="1"/>
    <n v="46500000"/>
  </r>
  <r>
    <d v="2024-06-17T00:00:00"/>
    <x v="0"/>
    <x v="5"/>
    <x v="24"/>
    <x v="16"/>
    <x v="9"/>
    <x v="9"/>
    <x v="1"/>
    <n v="0"/>
  </r>
  <r>
    <d v="2024-06-17T00:00:00"/>
    <x v="0"/>
    <x v="5"/>
    <x v="24"/>
    <x v="16"/>
    <x v="7"/>
    <x v="7"/>
    <x v="4"/>
    <n v="117257026"/>
  </r>
  <r>
    <d v="2024-06-17T00:00:00"/>
    <x v="0"/>
    <x v="5"/>
    <x v="24"/>
    <x v="16"/>
    <x v="3"/>
    <x v="3"/>
    <x v="1"/>
    <n v="169450000"/>
  </r>
  <r>
    <d v="2024-06-17T00:00:00"/>
    <x v="0"/>
    <x v="5"/>
    <x v="24"/>
    <x v="16"/>
    <x v="6"/>
    <x v="6"/>
    <x v="0"/>
    <n v="31000000"/>
  </r>
  <r>
    <d v="2024-06-17T00:00:00"/>
    <x v="0"/>
    <x v="5"/>
    <x v="24"/>
    <x v="16"/>
    <x v="4"/>
    <x v="4"/>
    <x v="2"/>
    <n v="12314630084"/>
  </r>
  <r>
    <d v="2024-06-17T00:00:00"/>
    <x v="0"/>
    <x v="5"/>
    <x v="24"/>
    <x v="16"/>
    <x v="11"/>
    <x v="10"/>
    <x v="4"/>
    <n v="359800"/>
  </r>
  <r>
    <d v="2024-06-17T00:00:00"/>
    <x v="0"/>
    <x v="5"/>
    <x v="24"/>
    <x v="16"/>
    <x v="10"/>
    <x v="9"/>
    <x v="1"/>
    <n v="104110000"/>
  </r>
  <r>
    <d v="2024-06-17T00:00:00"/>
    <x v="0"/>
    <x v="5"/>
    <x v="24"/>
    <x v="16"/>
    <x v="0"/>
    <x v="0"/>
    <x v="0"/>
    <n v="3165500000"/>
  </r>
  <r>
    <d v="2024-06-17T00:00:00"/>
    <x v="0"/>
    <x v="5"/>
    <x v="24"/>
    <x v="16"/>
    <x v="8"/>
    <x v="8"/>
    <x v="1"/>
    <n v="838880000"/>
  </r>
  <r>
    <d v="2024-06-18T00:00:00"/>
    <x v="0"/>
    <x v="5"/>
    <x v="24"/>
    <x v="17"/>
    <x v="2"/>
    <x v="2"/>
    <x v="1"/>
    <n v="6215520000"/>
  </r>
  <r>
    <d v="2024-06-18T00:00:00"/>
    <x v="0"/>
    <x v="5"/>
    <x v="24"/>
    <x v="17"/>
    <x v="10"/>
    <x v="9"/>
    <x v="1"/>
    <n v="169840000"/>
  </r>
  <r>
    <d v="2024-06-18T00:00:00"/>
    <x v="0"/>
    <x v="5"/>
    <x v="24"/>
    <x v="17"/>
    <x v="8"/>
    <x v="8"/>
    <x v="1"/>
    <n v="2550830000"/>
  </r>
  <r>
    <d v="2024-06-18T00:00:00"/>
    <x v="0"/>
    <x v="5"/>
    <x v="24"/>
    <x v="17"/>
    <x v="11"/>
    <x v="10"/>
    <x v="4"/>
    <n v="770990"/>
  </r>
  <r>
    <d v="2024-06-18T00:00:00"/>
    <x v="0"/>
    <x v="5"/>
    <x v="24"/>
    <x v="17"/>
    <x v="7"/>
    <x v="7"/>
    <x v="4"/>
    <n v="111292560"/>
  </r>
  <r>
    <d v="2024-06-18T00:00:00"/>
    <x v="0"/>
    <x v="5"/>
    <x v="24"/>
    <x v="17"/>
    <x v="4"/>
    <x v="4"/>
    <x v="2"/>
    <n v="14523985483"/>
  </r>
  <r>
    <d v="2024-06-18T00:00:00"/>
    <x v="0"/>
    <x v="5"/>
    <x v="24"/>
    <x v="17"/>
    <x v="9"/>
    <x v="9"/>
    <x v="1"/>
    <n v="0"/>
  </r>
  <r>
    <d v="2024-06-18T00:00:00"/>
    <x v="0"/>
    <x v="5"/>
    <x v="24"/>
    <x v="17"/>
    <x v="0"/>
    <x v="0"/>
    <x v="0"/>
    <n v="3057000000"/>
  </r>
  <r>
    <d v="2024-06-18T00:00:00"/>
    <x v="0"/>
    <x v="5"/>
    <x v="24"/>
    <x v="17"/>
    <x v="6"/>
    <x v="6"/>
    <x v="0"/>
    <n v="40000000"/>
  </r>
  <r>
    <d v="2024-06-18T00:00:00"/>
    <x v="0"/>
    <x v="5"/>
    <x v="24"/>
    <x v="17"/>
    <x v="1"/>
    <x v="1"/>
    <x v="1"/>
    <n v="21000000"/>
  </r>
  <r>
    <d v="2024-06-18T00:00:00"/>
    <x v="0"/>
    <x v="5"/>
    <x v="24"/>
    <x v="17"/>
    <x v="5"/>
    <x v="5"/>
    <x v="3"/>
    <n v="2161381933"/>
  </r>
  <r>
    <d v="2024-06-18T00:00:00"/>
    <x v="0"/>
    <x v="5"/>
    <x v="24"/>
    <x v="17"/>
    <x v="3"/>
    <x v="3"/>
    <x v="1"/>
    <n v="196350000"/>
  </r>
  <r>
    <d v="2024-06-19T00:00:00"/>
    <x v="0"/>
    <x v="5"/>
    <x v="24"/>
    <x v="18"/>
    <x v="0"/>
    <x v="0"/>
    <x v="0"/>
    <n v="2851000000"/>
  </r>
  <r>
    <d v="2024-06-19T00:00:00"/>
    <x v="0"/>
    <x v="5"/>
    <x v="24"/>
    <x v="18"/>
    <x v="2"/>
    <x v="2"/>
    <x v="1"/>
    <n v="5451400000"/>
  </r>
  <r>
    <d v="2024-06-19T00:00:00"/>
    <x v="0"/>
    <x v="5"/>
    <x v="24"/>
    <x v="18"/>
    <x v="9"/>
    <x v="9"/>
    <x v="1"/>
    <n v="67220000"/>
  </r>
  <r>
    <d v="2024-06-19T00:00:00"/>
    <x v="0"/>
    <x v="5"/>
    <x v="24"/>
    <x v="18"/>
    <x v="5"/>
    <x v="5"/>
    <x v="3"/>
    <n v="2143204581"/>
  </r>
  <r>
    <d v="2024-06-19T00:00:00"/>
    <x v="0"/>
    <x v="5"/>
    <x v="24"/>
    <x v="18"/>
    <x v="4"/>
    <x v="4"/>
    <x v="2"/>
    <n v="12277252661"/>
  </r>
  <r>
    <d v="2024-06-19T00:00:00"/>
    <x v="0"/>
    <x v="5"/>
    <x v="24"/>
    <x v="18"/>
    <x v="6"/>
    <x v="6"/>
    <x v="0"/>
    <n v="22000000"/>
  </r>
  <r>
    <d v="2024-06-19T00:00:00"/>
    <x v="0"/>
    <x v="5"/>
    <x v="24"/>
    <x v="18"/>
    <x v="11"/>
    <x v="10"/>
    <x v="4"/>
    <n v="308000"/>
  </r>
  <r>
    <d v="2024-06-19T00:00:00"/>
    <x v="0"/>
    <x v="5"/>
    <x v="24"/>
    <x v="18"/>
    <x v="8"/>
    <x v="8"/>
    <x v="1"/>
    <n v="1412000000"/>
  </r>
  <r>
    <d v="2024-06-19T00:00:00"/>
    <x v="0"/>
    <x v="5"/>
    <x v="24"/>
    <x v="18"/>
    <x v="10"/>
    <x v="9"/>
    <x v="1"/>
    <n v="122490000"/>
  </r>
  <r>
    <d v="2024-06-19T00:00:00"/>
    <x v="0"/>
    <x v="5"/>
    <x v="24"/>
    <x v="18"/>
    <x v="7"/>
    <x v="7"/>
    <x v="4"/>
    <n v="126780080"/>
  </r>
  <r>
    <d v="2024-06-19T00:00:00"/>
    <x v="0"/>
    <x v="5"/>
    <x v="24"/>
    <x v="18"/>
    <x v="3"/>
    <x v="3"/>
    <x v="1"/>
    <n v="50400000"/>
  </r>
  <r>
    <d v="2024-06-19T00:00:00"/>
    <x v="0"/>
    <x v="5"/>
    <x v="24"/>
    <x v="18"/>
    <x v="1"/>
    <x v="1"/>
    <x v="1"/>
    <n v="30450000"/>
  </r>
  <r>
    <d v="2024-06-20T00:00:00"/>
    <x v="0"/>
    <x v="5"/>
    <x v="24"/>
    <x v="19"/>
    <x v="3"/>
    <x v="3"/>
    <x v="1"/>
    <n v="116550000"/>
  </r>
  <r>
    <d v="2024-06-20T00:00:00"/>
    <x v="0"/>
    <x v="5"/>
    <x v="24"/>
    <x v="19"/>
    <x v="2"/>
    <x v="2"/>
    <x v="1"/>
    <n v="5897670000"/>
  </r>
  <r>
    <d v="2024-06-20T00:00:00"/>
    <x v="0"/>
    <x v="5"/>
    <x v="24"/>
    <x v="19"/>
    <x v="1"/>
    <x v="1"/>
    <x v="1"/>
    <n v="21000000"/>
  </r>
  <r>
    <d v="2024-06-20T00:00:00"/>
    <x v="0"/>
    <x v="5"/>
    <x v="24"/>
    <x v="19"/>
    <x v="7"/>
    <x v="7"/>
    <x v="4"/>
    <n v="124653104"/>
  </r>
  <r>
    <d v="2024-06-20T00:00:00"/>
    <x v="0"/>
    <x v="5"/>
    <x v="24"/>
    <x v="19"/>
    <x v="0"/>
    <x v="0"/>
    <x v="0"/>
    <n v="3262000000"/>
  </r>
  <r>
    <d v="2024-06-20T00:00:00"/>
    <x v="0"/>
    <x v="5"/>
    <x v="24"/>
    <x v="19"/>
    <x v="5"/>
    <x v="5"/>
    <x v="3"/>
    <n v="2519642733"/>
  </r>
  <r>
    <d v="2024-06-20T00:00:00"/>
    <x v="0"/>
    <x v="5"/>
    <x v="24"/>
    <x v="19"/>
    <x v="11"/>
    <x v="10"/>
    <x v="4"/>
    <n v="537000"/>
  </r>
  <r>
    <d v="2024-06-20T00:00:00"/>
    <x v="0"/>
    <x v="5"/>
    <x v="24"/>
    <x v="19"/>
    <x v="4"/>
    <x v="4"/>
    <x v="2"/>
    <n v="14323822837"/>
  </r>
  <r>
    <d v="2024-06-20T00:00:00"/>
    <x v="0"/>
    <x v="5"/>
    <x v="24"/>
    <x v="19"/>
    <x v="6"/>
    <x v="6"/>
    <x v="0"/>
    <n v="33000000"/>
  </r>
  <r>
    <d v="2024-06-20T00:00:00"/>
    <x v="0"/>
    <x v="5"/>
    <x v="24"/>
    <x v="19"/>
    <x v="9"/>
    <x v="9"/>
    <x v="1"/>
    <n v="21400000"/>
  </r>
  <r>
    <d v="2024-06-20T00:00:00"/>
    <x v="0"/>
    <x v="5"/>
    <x v="24"/>
    <x v="19"/>
    <x v="12"/>
    <x v="11"/>
    <x v="1"/>
    <n v="721260000"/>
  </r>
  <r>
    <d v="2024-06-20T00:00:00"/>
    <x v="0"/>
    <x v="5"/>
    <x v="24"/>
    <x v="19"/>
    <x v="10"/>
    <x v="9"/>
    <x v="1"/>
    <n v="184990000"/>
  </r>
  <r>
    <d v="2024-06-20T00:00:00"/>
    <x v="0"/>
    <x v="5"/>
    <x v="24"/>
    <x v="19"/>
    <x v="8"/>
    <x v="8"/>
    <x v="1"/>
    <n v="1421120000"/>
  </r>
  <r>
    <d v="2024-06-21T00:00:00"/>
    <x v="0"/>
    <x v="5"/>
    <x v="24"/>
    <x v="20"/>
    <x v="2"/>
    <x v="2"/>
    <x v="1"/>
    <n v="5273440000"/>
  </r>
  <r>
    <d v="2024-06-21T00:00:00"/>
    <x v="0"/>
    <x v="5"/>
    <x v="24"/>
    <x v="20"/>
    <x v="11"/>
    <x v="10"/>
    <x v="4"/>
    <n v="993000"/>
  </r>
  <r>
    <d v="2024-06-21T00:00:00"/>
    <x v="0"/>
    <x v="5"/>
    <x v="24"/>
    <x v="20"/>
    <x v="0"/>
    <x v="0"/>
    <x v="0"/>
    <n v="3203500000"/>
  </r>
  <r>
    <d v="2024-06-21T00:00:00"/>
    <x v="0"/>
    <x v="5"/>
    <x v="24"/>
    <x v="20"/>
    <x v="12"/>
    <x v="11"/>
    <x v="1"/>
    <n v="609165000"/>
  </r>
  <r>
    <d v="2024-06-21T00:00:00"/>
    <x v="0"/>
    <x v="5"/>
    <x v="24"/>
    <x v="20"/>
    <x v="6"/>
    <x v="6"/>
    <x v="0"/>
    <n v="20000000"/>
  </r>
  <r>
    <d v="2024-06-21T00:00:00"/>
    <x v="0"/>
    <x v="5"/>
    <x v="24"/>
    <x v="20"/>
    <x v="3"/>
    <x v="3"/>
    <x v="1"/>
    <n v="180650000"/>
  </r>
  <r>
    <d v="2024-06-21T00:00:00"/>
    <x v="0"/>
    <x v="5"/>
    <x v="24"/>
    <x v="20"/>
    <x v="10"/>
    <x v="9"/>
    <x v="1"/>
    <n v="212550000"/>
  </r>
  <r>
    <d v="2024-06-21T00:00:00"/>
    <x v="0"/>
    <x v="5"/>
    <x v="24"/>
    <x v="20"/>
    <x v="9"/>
    <x v="9"/>
    <x v="1"/>
    <n v="16050000"/>
  </r>
  <r>
    <d v="2024-06-21T00:00:00"/>
    <x v="0"/>
    <x v="5"/>
    <x v="24"/>
    <x v="20"/>
    <x v="4"/>
    <x v="4"/>
    <x v="2"/>
    <n v="13870235074"/>
  </r>
  <r>
    <d v="2024-06-21T00:00:00"/>
    <x v="0"/>
    <x v="5"/>
    <x v="24"/>
    <x v="20"/>
    <x v="8"/>
    <x v="8"/>
    <x v="1"/>
    <n v="1501300000"/>
  </r>
  <r>
    <d v="2024-06-21T00:00:00"/>
    <x v="0"/>
    <x v="5"/>
    <x v="24"/>
    <x v="20"/>
    <x v="7"/>
    <x v="7"/>
    <x v="4"/>
    <n v="127448635"/>
  </r>
  <r>
    <d v="2024-06-21T00:00:00"/>
    <x v="0"/>
    <x v="5"/>
    <x v="24"/>
    <x v="20"/>
    <x v="5"/>
    <x v="5"/>
    <x v="3"/>
    <n v="2672638439"/>
  </r>
  <r>
    <d v="2024-06-21T00:00:00"/>
    <x v="0"/>
    <x v="5"/>
    <x v="24"/>
    <x v="20"/>
    <x v="1"/>
    <x v="1"/>
    <x v="1"/>
    <n v="52500000"/>
  </r>
  <r>
    <d v="2024-06-22T00:00:00"/>
    <x v="0"/>
    <x v="5"/>
    <x v="24"/>
    <x v="21"/>
    <x v="5"/>
    <x v="5"/>
    <x v="3"/>
    <n v="1989775929"/>
  </r>
  <r>
    <d v="2024-06-22T00:00:00"/>
    <x v="0"/>
    <x v="5"/>
    <x v="24"/>
    <x v="21"/>
    <x v="0"/>
    <x v="0"/>
    <x v="0"/>
    <n v="3111000000"/>
  </r>
  <r>
    <d v="2024-06-22T00:00:00"/>
    <x v="0"/>
    <x v="5"/>
    <x v="24"/>
    <x v="21"/>
    <x v="10"/>
    <x v="9"/>
    <x v="1"/>
    <n v="112740000"/>
  </r>
  <r>
    <d v="2024-06-22T00:00:00"/>
    <x v="0"/>
    <x v="5"/>
    <x v="24"/>
    <x v="21"/>
    <x v="2"/>
    <x v="2"/>
    <x v="1"/>
    <n v="5149900000"/>
  </r>
  <r>
    <d v="2024-06-22T00:00:00"/>
    <x v="0"/>
    <x v="5"/>
    <x v="24"/>
    <x v="21"/>
    <x v="8"/>
    <x v="8"/>
    <x v="1"/>
    <n v="1086050000"/>
  </r>
  <r>
    <d v="2024-06-22T00:00:00"/>
    <x v="0"/>
    <x v="5"/>
    <x v="24"/>
    <x v="21"/>
    <x v="11"/>
    <x v="10"/>
    <x v="4"/>
    <n v="282850"/>
  </r>
  <r>
    <d v="2024-06-22T00:00:00"/>
    <x v="0"/>
    <x v="5"/>
    <x v="24"/>
    <x v="21"/>
    <x v="12"/>
    <x v="11"/>
    <x v="1"/>
    <n v="2538805000"/>
  </r>
  <r>
    <d v="2024-06-22T00:00:00"/>
    <x v="0"/>
    <x v="5"/>
    <x v="24"/>
    <x v="21"/>
    <x v="4"/>
    <x v="4"/>
    <x v="2"/>
    <n v="14448850634"/>
  </r>
  <r>
    <d v="2024-06-22T00:00:00"/>
    <x v="0"/>
    <x v="5"/>
    <x v="24"/>
    <x v="21"/>
    <x v="9"/>
    <x v="9"/>
    <x v="1"/>
    <n v="21400000"/>
  </r>
  <r>
    <d v="2024-06-22T00:00:00"/>
    <x v="0"/>
    <x v="5"/>
    <x v="24"/>
    <x v="21"/>
    <x v="6"/>
    <x v="6"/>
    <x v="0"/>
    <n v="50000000"/>
  </r>
  <r>
    <d v="2024-06-22T00:00:00"/>
    <x v="0"/>
    <x v="5"/>
    <x v="24"/>
    <x v="21"/>
    <x v="7"/>
    <x v="7"/>
    <x v="4"/>
    <n v="106446855"/>
  </r>
  <r>
    <d v="2024-06-22T00:00:00"/>
    <x v="0"/>
    <x v="5"/>
    <x v="24"/>
    <x v="21"/>
    <x v="1"/>
    <x v="1"/>
    <x v="1"/>
    <n v="54600000"/>
  </r>
  <r>
    <d v="2024-06-22T00:00:00"/>
    <x v="0"/>
    <x v="5"/>
    <x v="24"/>
    <x v="21"/>
    <x v="3"/>
    <x v="3"/>
    <x v="1"/>
    <n v="227850000"/>
  </r>
  <r>
    <d v="2024-06-23T00:00:00"/>
    <x v="0"/>
    <x v="5"/>
    <x v="24"/>
    <x v="22"/>
    <x v="1"/>
    <x v="1"/>
    <x v="1"/>
    <n v="52500000"/>
  </r>
  <r>
    <d v="2024-06-23T00:00:00"/>
    <x v="0"/>
    <x v="5"/>
    <x v="24"/>
    <x v="22"/>
    <x v="8"/>
    <x v="8"/>
    <x v="1"/>
    <n v="120910000"/>
  </r>
  <r>
    <d v="2024-06-23T00:00:00"/>
    <x v="0"/>
    <x v="5"/>
    <x v="24"/>
    <x v="22"/>
    <x v="9"/>
    <x v="9"/>
    <x v="1"/>
    <n v="0"/>
  </r>
  <r>
    <d v="2024-06-23T00:00:00"/>
    <x v="0"/>
    <x v="5"/>
    <x v="24"/>
    <x v="22"/>
    <x v="2"/>
    <x v="2"/>
    <x v="1"/>
    <n v="4070010000"/>
  </r>
  <r>
    <d v="2024-06-23T00:00:00"/>
    <x v="0"/>
    <x v="5"/>
    <x v="24"/>
    <x v="22"/>
    <x v="12"/>
    <x v="11"/>
    <x v="1"/>
    <n v="4415630000"/>
  </r>
  <r>
    <d v="2024-06-23T00:00:00"/>
    <x v="0"/>
    <x v="5"/>
    <x v="24"/>
    <x v="22"/>
    <x v="5"/>
    <x v="5"/>
    <x v="3"/>
    <n v="1630683142"/>
  </r>
  <r>
    <d v="2024-06-23T00:00:00"/>
    <x v="0"/>
    <x v="5"/>
    <x v="24"/>
    <x v="22"/>
    <x v="0"/>
    <x v="0"/>
    <x v="0"/>
    <n v="2567000000"/>
  </r>
  <r>
    <d v="2024-06-23T00:00:00"/>
    <x v="0"/>
    <x v="5"/>
    <x v="24"/>
    <x v="22"/>
    <x v="3"/>
    <x v="3"/>
    <x v="1"/>
    <n v="99750000"/>
  </r>
  <r>
    <d v="2024-06-23T00:00:00"/>
    <x v="0"/>
    <x v="5"/>
    <x v="24"/>
    <x v="22"/>
    <x v="11"/>
    <x v="10"/>
    <x v="4"/>
    <n v="428000"/>
  </r>
  <r>
    <d v="2024-06-23T00:00:00"/>
    <x v="0"/>
    <x v="5"/>
    <x v="24"/>
    <x v="22"/>
    <x v="4"/>
    <x v="4"/>
    <x v="2"/>
    <n v="13161895562"/>
  </r>
  <r>
    <d v="2024-06-23T00:00:00"/>
    <x v="0"/>
    <x v="5"/>
    <x v="24"/>
    <x v="22"/>
    <x v="10"/>
    <x v="9"/>
    <x v="1"/>
    <n v="71690000"/>
  </r>
  <r>
    <d v="2024-06-23T00:00:00"/>
    <x v="0"/>
    <x v="5"/>
    <x v="24"/>
    <x v="22"/>
    <x v="6"/>
    <x v="6"/>
    <x v="0"/>
    <n v="40000000"/>
  </r>
  <r>
    <d v="2024-06-23T00:00:00"/>
    <x v="0"/>
    <x v="5"/>
    <x v="24"/>
    <x v="22"/>
    <x v="7"/>
    <x v="7"/>
    <x v="4"/>
    <n v="93294420"/>
  </r>
  <r>
    <d v="2024-06-24T00:00:00"/>
    <x v="0"/>
    <x v="5"/>
    <x v="25"/>
    <x v="23"/>
    <x v="1"/>
    <x v="1"/>
    <x v="1"/>
    <n v="84000000"/>
  </r>
  <r>
    <d v="2024-06-24T00:00:00"/>
    <x v="0"/>
    <x v="5"/>
    <x v="25"/>
    <x v="23"/>
    <x v="2"/>
    <x v="2"/>
    <x v="1"/>
    <n v="6080920000"/>
  </r>
  <r>
    <d v="2024-06-24T00:00:00"/>
    <x v="0"/>
    <x v="5"/>
    <x v="25"/>
    <x v="23"/>
    <x v="0"/>
    <x v="0"/>
    <x v="0"/>
    <n v="3285500000"/>
  </r>
  <r>
    <d v="2024-06-24T00:00:00"/>
    <x v="0"/>
    <x v="5"/>
    <x v="25"/>
    <x v="23"/>
    <x v="5"/>
    <x v="5"/>
    <x v="3"/>
    <n v="2704764891"/>
  </r>
  <r>
    <d v="2024-06-24T00:00:00"/>
    <x v="0"/>
    <x v="5"/>
    <x v="25"/>
    <x v="23"/>
    <x v="8"/>
    <x v="8"/>
    <x v="1"/>
    <n v="1306470000"/>
  </r>
  <r>
    <d v="2024-06-24T00:00:00"/>
    <x v="0"/>
    <x v="5"/>
    <x v="25"/>
    <x v="23"/>
    <x v="6"/>
    <x v="6"/>
    <x v="0"/>
    <n v="37000000"/>
  </r>
  <r>
    <d v="2024-06-24T00:00:00"/>
    <x v="0"/>
    <x v="5"/>
    <x v="25"/>
    <x v="23"/>
    <x v="4"/>
    <x v="4"/>
    <x v="2"/>
    <n v="27254899302"/>
  </r>
  <r>
    <d v="2024-06-24T00:00:00"/>
    <x v="0"/>
    <x v="5"/>
    <x v="25"/>
    <x v="23"/>
    <x v="11"/>
    <x v="10"/>
    <x v="4"/>
    <n v="1164900"/>
  </r>
  <r>
    <d v="2024-06-24T00:00:00"/>
    <x v="0"/>
    <x v="5"/>
    <x v="25"/>
    <x v="23"/>
    <x v="10"/>
    <x v="9"/>
    <x v="1"/>
    <n v="125560000"/>
  </r>
  <r>
    <d v="2024-06-24T00:00:00"/>
    <x v="0"/>
    <x v="5"/>
    <x v="25"/>
    <x v="23"/>
    <x v="7"/>
    <x v="7"/>
    <x v="4"/>
    <n v="105249502"/>
  </r>
  <r>
    <d v="2024-06-24T00:00:00"/>
    <x v="0"/>
    <x v="5"/>
    <x v="25"/>
    <x v="23"/>
    <x v="9"/>
    <x v="9"/>
    <x v="1"/>
    <n v="0"/>
  </r>
  <r>
    <d v="2024-06-24T00:00:00"/>
    <x v="0"/>
    <x v="5"/>
    <x v="25"/>
    <x v="23"/>
    <x v="12"/>
    <x v="11"/>
    <x v="1"/>
    <n v="13418220009"/>
  </r>
  <r>
    <d v="2024-06-24T00:00:00"/>
    <x v="0"/>
    <x v="5"/>
    <x v="25"/>
    <x v="23"/>
    <x v="3"/>
    <x v="3"/>
    <x v="1"/>
    <n v="106050000"/>
  </r>
  <r>
    <d v="2024-06-25T00:00:00"/>
    <x v="0"/>
    <x v="5"/>
    <x v="25"/>
    <x v="24"/>
    <x v="12"/>
    <x v="11"/>
    <x v="1"/>
    <n v="8321579875"/>
  </r>
  <r>
    <d v="2024-06-25T00:00:00"/>
    <x v="0"/>
    <x v="5"/>
    <x v="25"/>
    <x v="24"/>
    <x v="11"/>
    <x v="10"/>
    <x v="4"/>
    <n v="244000"/>
  </r>
  <r>
    <d v="2024-06-25T00:00:00"/>
    <x v="0"/>
    <x v="5"/>
    <x v="25"/>
    <x v="24"/>
    <x v="10"/>
    <x v="9"/>
    <x v="1"/>
    <n v="59220000"/>
  </r>
  <r>
    <d v="2024-06-25T00:00:00"/>
    <x v="0"/>
    <x v="5"/>
    <x v="25"/>
    <x v="24"/>
    <x v="1"/>
    <x v="1"/>
    <x v="1"/>
    <n v="31500000"/>
  </r>
  <r>
    <d v="2024-06-25T00:00:00"/>
    <x v="0"/>
    <x v="5"/>
    <x v="25"/>
    <x v="24"/>
    <x v="5"/>
    <x v="5"/>
    <x v="3"/>
    <n v="2332115218"/>
  </r>
  <r>
    <d v="2024-06-25T00:00:00"/>
    <x v="0"/>
    <x v="5"/>
    <x v="25"/>
    <x v="24"/>
    <x v="4"/>
    <x v="4"/>
    <x v="2"/>
    <n v="21688381584"/>
  </r>
  <r>
    <d v="2024-06-25T00:00:00"/>
    <x v="0"/>
    <x v="5"/>
    <x v="25"/>
    <x v="24"/>
    <x v="2"/>
    <x v="2"/>
    <x v="1"/>
    <n v="6167770000"/>
  </r>
  <r>
    <d v="2024-06-25T00:00:00"/>
    <x v="0"/>
    <x v="5"/>
    <x v="25"/>
    <x v="24"/>
    <x v="9"/>
    <x v="9"/>
    <x v="1"/>
    <n v="6420000"/>
  </r>
  <r>
    <d v="2024-06-25T00:00:00"/>
    <x v="0"/>
    <x v="5"/>
    <x v="25"/>
    <x v="24"/>
    <x v="6"/>
    <x v="6"/>
    <x v="0"/>
    <n v="50000000"/>
  </r>
  <r>
    <d v="2024-06-25T00:00:00"/>
    <x v="0"/>
    <x v="5"/>
    <x v="25"/>
    <x v="24"/>
    <x v="7"/>
    <x v="7"/>
    <x v="4"/>
    <n v="113192491"/>
  </r>
  <r>
    <d v="2024-06-25T00:00:00"/>
    <x v="0"/>
    <x v="5"/>
    <x v="25"/>
    <x v="24"/>
    <x v="8"/>
    <x v="8"/>
    <x v="1"/>
    <n v="1263040000"/>
  </r>
  <r>
    <d v="2024-06-25T00:00:00"/>
    <x v="0"/>
    <x v="5"/>
    <x v="25"/>
    <x v="24"/>
    <x v="0"/>
    <x v="0"/>
    <x v="0"/>
    <n v="3263500000"/>
  </r>
  <r>
    <d v="2024-06-25T00:00:00"/>
    <x v="0"/>
    <x v="5"/>
    <x v="25"/>
    <x v="24"/>
    <x v="3"/>
    <x v="3"/>
    <x v="1"/>
    <n v="79800000"/>
  </r>
  <r>
    <d v="2024-06-26T00:00:00"/>
    <x v="0"/>
    <x v="5"/>
    <x v="25"/>
    <x v="25"/>
    <x v="1"/>
    <x v="1"/>
    <x v="1"/>
    <n v="0"/>
  </r>
  <r>
    <d v="2024-06-26T00:00:00"/>
    <x v="0"/>
    <x v="5"/>
    <x v="25"/>
    <x v="25"/>
    <x v="12"/>
    <x v="11"/>
    <x v="1"/>
    <n v="8705740000"/>
  </r>
  <r>
    <d v="2024-06-26T00:00:00"/>
    <x v="0"/>
    <x v="5"/>
    <x v="25"/>
    <x v="25"/>
    <x v="9"/>
    <x v="9"/>
    <x v="1"/>
    <n v="39400000"/>
  </r>
  <r>
    <d v="2024-06-26T00:00:00"/>
    <x v="0"/>
    <x v="5"/>
    <x v="25"/>
    <x v="25"/>
    <x v="7"/>
    <x v="7"/>
    <x v="4"/>
    <n v="83306867"/>
  </r>
  <r>
    <d v="2024-06-26T00:00:00"/>
    <x v="0"/>
    <x v="5"/>
    <x v="25"/>
    <x v="25"/>
    <x v="10"/>
    <x v="9"/>
    <x v="1"/>
    <n v="78110000"/>
  </r>
  <r>
    <d v="2024-06-26T00:00:00"/>
    <x v="0"/>
    <x v="5"/>
    <x v="25"/>
    <x v="25"/>
    <x v="4"/>
    <x v="4"/>
    <x v="2"/>
    <n v="22830917137"/>
  </r>
  <r>
    <d v="2024-06-26T00:00:00"/>
    <x v="0"/>
    <x v="5"/>
    <x v="25"/>
    <x v="25"/>
    <x v="3"/>
    <x v="3"/>
    <x v="1"/>
    <n v="255700000"/>
  </r>
  <r>
    <d v="2024-06-26T00:00:00"/>
    <x v="0"/>
    <x v="5"/>
    <x v="25"/>
    <x v="25"/>
    <x v="8"/>
    <x v="8"/>
    <x v="1"/>
    <n v="1448780000"/>
  </r>
  <r>
    <d v="2024-06-26T00:00:00"/>
    <x v="0"/>
    <x v="5"/>
    <x v="25"/>
    <x v="25"/>
    <x v="11"/>
    <x v="10"/>
    <x v="4"/>
    <n v="1842450"/>
  </r>
  <r>
    <d v="2024-06-26T00:00:00"/>
    <x v="0"/>
    <x v="5"/>
    <x v="25"/>
    <x v="25"/>
    <x v="6"/>
    <x v="6"/>
    <x v="0"/>
    <n v="96000000"/>
  </r>
  <r>
    <d v="2024-06-26T00:00:00"/>
    <x v="0"/>
    <x v="5"/>
    <x v="25"/>
    <x v="25"/>
    <x v="0"/>
    <x v="0"/>
    <x v="0"/>
    <n v="3647500000"/>
  </r>
  <r>
    <d v="2024-06-26T00:00:00"/>
    <x v="0"/>
    <x v="5"/>
    <x v="25"/>
    <x v="25"/>
    <x v="5"/>
    <x v="5"/>
    <x v="3"/>
    <n v="2607727820"/>
  </r>
  <r>
    <d v="2024-06-26T00:00:00"/>
    <x v="0"/>
    <x v="5"/>
    <x v="25"/>
    <x v="25"/>
    <x v="2"/>
    <x v="2"/>
    <x v="1"/>
    <n v="5866810000"/>
  </r>
  <r>
    <d v="2024-06-27T00:00:00"/>
    <x v="0"/>
    <x v="5"/>
    <x v="25"/>
    <x v="26"/>
    <x v="3"/>
    <x v="3"/>
    <x v="1"/>
    <n v="265650000"/>
  </r>
  <r>
    <d v="2024-06-27T00:00:00"/>
    <x v="0"/>
    <x v="5"/>
    <x v="25"/>
    <x v="26"/>
    <x v="2"/>
    <x v="2"/>
    <x v="1"/>
    <n v="4726220000"/>
  </r>
  <r>
    <d v="2024-06-27T00:00:00"/>
    <x v="0"/>
    <x v="5"/>
    <x v="25"/>
    <x v="26"/>
    <x v="12"/>
    <x v="11"/>
    <x v="1"/>
    <n v="9626130000"/>
  </r>
  <r>
    <d v="2024-06-27T00:00:00"/>
    <x v="0"/>
    <x v="5"/>
    <x v="25"/>
    <x v="26"/>
    <x v="11"/>
    <x v="10"/>
    <x v="4"/>
    <n v="5965610"/>
  </r>
  <r>
    <d v="2024-06-27T00:00:00"/>
    <x v="0"/>
    <x v="5"/>
    <x v="25"/>
    <x v="26"/>
    <x v="10"/>
    <x v="9"/>
    <x v="1"/>
    <n v="0"/>
  </r>
  <r>
    <d v="2024-06-27T00:00:00"/>
    <x v="0"/>
    <x v="5"/>
    <x v="25"/>
    <x v="26"/>
    <x v="9"/>
    <x v="9"/>
    <x v="1"/>
    <n v="0"/>
  </r>
  <r>
    <d v="2024-06-27T00:00:00"/>
    <x v="0"/>
    <x v="5"/>
    <x v="25"/>
    <x v="26"/>
    <x v="4"/>
    <x v="4"/>
    <x v="2"/>
    <n v="22392298410"/>
  </r>
  <r>
    <d v="2024-06-27T00:00:00"/>
    <x v="0"/>
    <x v="5"/>
    <x v="25"/>
    <x v="26"/>
    <x v="8"/>
    <x v="8"/>
    <x v="1"/>
    <n v="1614630000"/>
  </r>
  <r>
    <d v="2024-06-27T00:00:00"/>
    <x v="0"/>
    <x v="5"/>
    <x v="25"/>
    <x v="26"/>
    <x v="1"/>
    <x v="1"/>
    <x v="1"/>
    <n v="31500000"/>
  </r>
  <r>
    <d v="2024-06-27T00:00:00"/>
    <x v="0"/>
    <x v="5"/>
    <x v="25"/>
    <x v="26"/>
    <x v="7"/>
    <x v="7"/>
    <x v="4"/>
    <n v="74630360"/>
  </r>
  <r>
    <d v="2024-06-27T00:00:00"/>
    <x v="0"/>
    <x v="5"/>
    <x v="25"/>
    <x v="26"/>
    <x v="6"/>
    <x v="6"/>
    <x v="0"/>
    <n v="52000000"/>
  </r>
  <r>
    <d v="2024-06-27T00:00:00"/>
    <x v="0"/>
    <x v="5"/>
    <x v="25"/>
    <x v="26"/>
    <x v="0"/>
    <x v="0"/>
    <x v="0"/>
    <n v="3346500000"/>
  </r>
  <r>
    <d v="2024-06-27T00:00:00"/>
    <x v="0"/>
    <x v="5"/>
    <x v="25"/>
    <x v="26"/>
    <x v="5"/>
    <x v="5"/>
    <x v="3"/>
    <n v="2649072440"/>
  </r>
  <r>
    <d v="2024-06-28T00:00:00"/>
    <x v="0"/>
    <x v="5"/>
    <x v="25"/>
    <x v="27"/>
    <x v="1"/>
    <x v="1"/>
    <x v="1"/>
    <n v="42000000"/>
  </r>
  <r>
    <d v="2024-06-28T00:00:00"/>
    <x v="0"/>
    <x v="5"/>
    <x v="25"/>
    <x v="27"/>
    <x v="0"/>
    <x v="0"/>
    <x v="0"/>
    <n v="3553500000"/>
  </r>
  <r>
    <d v="2024-06-28T00:00:00"/>
    <x v="0"/>
    <x v="5"/>
    <x v="25"/>
    <x v="27"/>
    <x v="5"/>
    <x v="5"/>
    <x v="3"/>
    <n v="2880060638"/>
  </r>
  <r>
    <d v="2024-06-28T00:00:00"/>
    <x v="0"/>
    <x v="5"/>
    <x v="25"/>
    <x v="27"/>
    <x v="3"/>
    <x v="3"/>
    <x v="1"/>
    <n v="70350000"/>
  </r>
  <r>
    <d v="2024-06-28T00:00:00"/>
    <x v="0"/>
    <x v="5"/>
    <x v="25"/>
    <x v="27"/>
    <x v="4"/>
    <x v="4"/>
    <x v="2"/>
    <n v="20077454021"/>
  </r>
  <r>
    <d v="2024-06-28T00:00:00"/>
    <x v="0"/>
    <x v="5"/>
    <x v="25"/>
    <x v="27"/>
    <x v="12"/>
    <x v="11"/>
    <x v="1"/>
    <n v="6924780000"/>
  </r>
  <r>
    <d v="2024-06-28T00:00:00"/>
    <x v="0"/>
    <x v="5"/>
    <x v="25"/>
    <x v="27"/>
    <x v="2"/>
    <x v="2"/>
    <x v="1"/>
    <n v="5110270000"/>
  </r>
  <r>
    <d v="2024-06-28T00:00:00"/>
    <x v="0"/>
    <x v="5"/>
    <x v="25"/>
    <x v="27"/>
    <x v="10"/>
    <x v="9"/>
    <x v="1"/>
    <n v="59920000"/>
  </r>
  <r>
    <d v="2024-06-28T00:00:00"/>
    <x v="0"/>
    <x v="5"/>
    <x v="25"/>
    <x v="27"/>
    <x v="9"/>
    <x v="9"/>
    <x v="1"/>
    <n v="26750000"/>
  </r>
  <r>
    <d v="2024-06-28T00:00:00"/>
    <x v="0"/>
    <x v="5"/>
    <x v="25"/>
    <x v="27"/>
    <x v="6"/>
    <x v="6"/>
    <x v="0"/>
    <n v="36000000"/>
  </r>
  <r>
    <d v="2024-06-28T00:00:00"/>
    <x v="0"/>
    <x v="5"/>
    <x v="25"/>
    <x v="27"/>
    <x v="7"/>
    <x v="7"/>
    <x v="4"/>
    <n v="77421353"/>
  </r>
  <r>
    <d v="2024-06-28T00:00:00"/>
    <x v="0"/>
    <x v="5"/>
    <x v="25"/>
    <x v="27"/>
    <x v="11"/>
    <x v="10"/>
    <x v="4"/>
    <n v="9192030"/>
  </r>
  <r>
    <d v="2024-06-28T00:00:00"/>
    <x v="0"/>
    <x v="5"/>
    <x v="25"/>
    <x v="27"/>
    <x v="8"/>
    <x v="8"/>
    <x v="1"/>
    <n v="1287210000"/>
  </r>
  <r>
    <d v="2024-06-29T00:00:00"/>
    <x v="0"/>
    <x v="5"/>
    <x v="25"/>
    <x v="28"/>
    <x v="8"/>
    <x v="8"/>
    <x v="1"/>
    <n v="1200860000"/>
  </r>
  <r>
    <d v="2024-06-29T00:00:00"/>
    <x v="0"/>
    <x v="5"/>
    <x v="25"/>
    <x v="28"/>
    <x v="7"/>
    <x v="7"/>
    <x v="4"/>
    <n v="77570376"/>
  </r>
  <r>
    <d v="2024-06-29T00:00:00"/>
    <x v="0"/>
    <x v="5"/>
    <x v="25"/>
    <x v="28"/>
    <x v="2"/>
    <x v="2"/>
    <x v="1"/>
    <n v="5075100000"/>
  </r>
  <r>
    <d v="2024-06-29T00:00:00"/>
    <x v="0"/>
    <x v="5"/>
    <x v="25"/>
    <x v="28"/>
    <x v="0"/>
    <x v="0"/>
    <x v="0"/>
    <n v="3177000000"/>
  </r>
  <r>
    <d v="2024-06-29T00:00:00"/>
    <x v="0"/>
    <x v="5"/>
    <x v="25"/>
    <x v="28"/>
    <x v="4"/>
    <x v="4"/>
    <x v="2"/>
    <n v="20176928459"/>
  </r>
  <r>
    <d v="2024-06-29T00:00:00"/>
    <x v="0"/>
    <x v="5"/>
    <x v="25"/>
    <x v="28"/>
    <x v="5"/>
    <x v="5"/>
    <x v="3"/>
    <n v="2806112903"/>
  </r>
  <r>
    <d v="2024-06-29T00:00:00"/>
    <x v="0"/>
    <x v="5"/>
    <x v="25"/>
    <x v="28"/>
    <x v="10"/>
    <x v="9"/>
    <x v="1"/>
    <n v="122350000"/>
  </r>
  <r>
    <d v="2024-06-29T00:00:00"/>
    <x v="0"/>
    <x v="5"/>
    <x v="25"/>
    <x v="28"/>
    <x v="9"/>
    <x v="9"/>
    <x v="1"/>
    <n v="0"/>
  </r>
  <r>
    <d v="2024-06-29T00:00:00"/>
    <x v="0"/>
    <x v="5"/>
    <x v="25"/>
    <x v="28"/>
    <x v="12"/>
    <x v="11"/>
    <x v="1"/>
    <n v="7235250000"/>
  </r>
  <r>
    <d v="2024-06-29T00:00:00"/>
    <x v="0"/>
    <x v="5"/>
    <x v="25"/>
    <x v="28"/>
    <x v="11"/>
    <x v="10"/>
    <x v="4"/>
    <n v="10135180"/>
  </r>
  <r>
    <d v="2024-06-29T00:00:00"/>
    <x v="0"/>
    <x v="5"/>
    <x v="25"/>
    <x v="28"/>
    <x v="1"/>
    <x v="1"/>
    <x v="1"/>
    <n v="53750000"/>
  </r>
  <r>
    <d v="2024-06-29T00:00:00"/>
    <x v="0"/>
    <x v="5"/>
    <x v="25"/>
    <x v="28"/>
    <x v="6"/>
    <x v="6"/>
    <x v="0"/>
    <n v="56000000"/>
  </r>
  <r>
    <d v="2024-06-29T00:00:00"/>
    <x v="0"/>
    <x v="5"/>
    <x v="25"/>
    <x v="28"/>
    <x v="3"/>
    <x v="3"/>
    <x v="1"/>
    <n v="362800000"/>
  </r>
  <r>
    <d v="2024-06-30T00:00:00"/>
    <x v="0"/>
    <x v="5"/>
    <x v="25"/>
    <x v="29"/>
    <x v="9"/>
    <x v="9"/>
    <x v="1"/>
    <n v="0"/>
  </r>
  <r>
    <d v="2024-06-30T00:00:00"/>
    <x v="0"/>
    <x v="5"/>
    <x v="25"/>
    <x v="29"/>
    <x v="11"/>
    <x v="10"/>
    <x v="4"/>
    <n v="8357120"/>
  </r>
  <r>
    <d v="2024-06-30T00:00:00"/>
    <x v="0"/>
    <x v="5"/>
    <x v="25"/>
    <x v="29"/>
    <x v="6"/>
    <x v="6"/>
    <x v="0"/>
    <n v="51000000"/>
  </r>
  <r>
    <d v="2024-06-30T00:00:00"/>
    <x v="0"/>
    <x v="5"/>
    <x v="25"/>
    <x v="29"/>
    <x v="10"/>
    <x v="9"/>
    <x v="1"/>
    <n v="51380000"/>
  </r>
  <r>
    <d v="2024-06-30T00:00:00"/>
    <x v="0"/>
    <x v="5"/>
    <x v="25"/>
    <x v="29"/>
    <x v="8"/>
    <x v="8"/>
    <x v="1"/>
    <n v="230050000"/>
  </r>
  <r>
    <d v="2024-06-30T00:00:00"/>
    <x v="0"/>
    <x v="5"/>
    <x v="25"/>
    <x v="29"/>
    <x v="12"/>
    <x v="11"/>
    <x v="1"/>
    <n v="5564780000"/>
  </r>
  <r>
    <d v="2024-06-30T00:00:00"/>
    <x v="0"/>
    <x v="5"/>
    <x v="25"/>
    <x v="29"/>
    <x v="7"/>
    <x v="7"/>
    <x v="4"/>
    <n v="71272041"/>
  </r>
  <r>
    <d v="2024-06-30T00:00:00"/>
    <x v="0"/>
    <x v="5"/>
    <x v="25"/>
    <x v="29"/>
    <x v="0"/>
    <x v="0"/>
    <x v="0"/>
    <n v="2939500000"/>
  </r>
  <r>
    <d v="2024-06-30T00:00:00"/>
    <x v="0"/>
    <x v="5"/>
    <x v="25"/>
    <x v="29"/>
    <x v="3"/>
    <x v="3"/>
    <x v="1"/>
    <n v="450500000"/>
  </r>
  <r>
    <d v="2024-06-30T00:00:00"/>
    <x v="0"/>
    <x v="5"/>
    <x v="25"/>
    <x v="29"/>
    <x v="1"/>
    <x v="1"/>
    <x v="1"/>
    <n v="10500000"/>
  </r>
  <r>
    <d v="2024-06-30T00:00:00"/>
    <x v="0"/>
    <x v="5"/>
    <x v="25"/>
    <x v="29"/>
    <x v="2"/>
    <x v="2"/>
    <x v="1"/>
    <n v="4497960000"/>
  </r>
  <r>
    <d v="2024-06-30T00:00:00"/>
    <x v="0"/>
    <x v="5"/>
    <x v="25"/>
    <x v="29"/>
    <x v="5"/>
    <x v="5"/>
    <x v="3"/>
    <n v="2433875179"/>
  </r>
  <r>
    <d v="2024-06-30T00:00:00"/>
    <x v="0"/>
    <x v="5"/>
    <x v="25"/>
    <x v="29"/>
    <x v="4"/>
    <x v="4"/>
    <x v="2"/>
    <n v="16309174340"/>
  </r>
  <r>
    <d v="2024-07-01T00:00:00"/>
    <x v="0"/>
    <x v="6"/>
    <x v="26"/>
    <x v="0"/>
    <x v="10"/>
    <x v="9"/>
    <x v="1"/>
    <n v="83460000"/>
  </r>
  <r>
    <d v="2024-07-01T00:00:00"/>
    <x v="0"/>
    <x v="6"/>
    <x v="26"/>
    <x v="0"/>
    <x v="3"/>
    <x v="3"/>
    <x v="1"/>
    <n v="306550000"/>
  </r>
  <r>
    <d v="2024-07-01T00:00:00"/>
    <x v="0"/>
    <x v="6"/>
    <x v="26"/>
    <x v="0"/>
    <x v="7"/>
    <x v="7"/>
    <x v="4"/>
    <n v="76945556"/>
  </r>
  <r>
    <d v="2024-07-01T00:00:00"/>
    <x v="0"/>
    <x v="6"/>
    <x v="26"/>
    <x v="0"/>
    <x v="0"/>
    <x v="0"/>
    <x v="0"/>
    <n v="3865000000"/>
  </r>
  <r>
    <d v="2024-07-01T00:00:00"/>
    <x v="0"/>
    <x v="6"/>
    <x v="26"/>
    <x v="0"/>
    <x v="8"/>
    <x v="8"/>
    <x v="1"/>
    <n v="1288740000"/>
  </r>
  <r>
    <d v="2024-07-01T00:00:00"/>
    <x v="0"/>
    <x v="6"/>
    <x v="26"/>
    <x v="0"/>
    <x v="2"/>
    <x v="2"/>
    <x v="1"/>
    <n v="6181640000"/>
  </r>
  <r>
    <d v="2024-07-01T00:00:00"/>
    <x v="0"/>
    <x v="6"/>
    <x v="26"/>
    <x v="0"/>
    <x v="1"/>
    <x v="1"/>
    <x v="1"/>
    <n v="42000000"/>
  </r>
  <r>
    <d v="2024-07-01T00:00:00"/>
    <x v="0"/>
    <x v="6"/>
    <x v="26"/>
    <x v="0"/>
    <x v="9"/>
    <x v="9"/>
    <x v="1"/>
    <n v="16050000"/>
  </r>
  <r>
    <d v="2024-07-01T00:00:00"/>
    <x v="0"/>
    <x v="6"/>
    <x v="26"/>
    <x v="0"/>
    <x v="6"/>
    <x v="6"/>
    <x v="0"/>
    <n v="52000000"/>
  </r>
  <r>
    <d v="2024-07-01T00:00:00"/>
    <x v="0"/>
    <x v="6"/>
    <x v="26"/>
    <x v="0"/>
    <x v="12"/>
    <x v="11"/>
    <x v="1"/>
    <n v="7348430000"/>
  </r>
  <r>
    <d v="2024-07-01T00:00:00"/>
    <x v="0"/>
    <x v="6"/>
    <x v="26"/>
    <x v="0"/>
    <x v="5"/>
    <x v="5"/>
    <x v="3"/>
    <n v="4081557292"/>
  </r>
  <r>
    <d v="2024-07-01T00:00:00"/>
    <x v="0"/>
    <x v="6"/>
    <x v="26"/>
    <x v="0"/>
    <x v="11"/>
    <x v="10"/>
    <x v="4"/>
    <n v="8938625"/>
  </r>
  <r>
    <d v="2024-07-02T00:00:00"/>
    <x v="0"/>
    <x v="6"/>
    <x v="26"/>
    <x v="1"/>
    <x v="8"/>
    <x v="8"/>
    <x v="1"/>
    <n v="1501210000"/>
  </r>
  <r>
    <d v="2024-07-02T00:00:00"/>
    <x v="0"/>
    <x v="6"/>
    <x v="26"/>
    <x v="1"/>
    <x v="6"/>
    <x v="6"/>
    <x v="0"/>
    <n v="32000000"/>
  </r>
  <r>
    <d v="2024-07-02T00:00:00"/>
    <x v="0"/>
    <x v="6"/>
    <x v="26"/>
    <x v="1"/>
    <x v="0"/>
    <x v="0"/>
    <x v="0"/>
    <n v="3601000000"/>
  </r>
  <r>
    <d v="2024-07-02T00:00:00"/>
    <x v="0"/>
    <x v="6"/>
    <x v="26"/>
    <x v="1"/>
    <x v="1"/>
    <x v="1"/>
    <x v="1"/>
    <n v="26250000"/>
  </r>
  <r>
    <d v="2024-07-02T00:00:00"/>
    <x v="0"/>
    <x v="6"/>
    <x v="26"/>
    <x v="1"/>
    <x v="9"/>
    <x v="9"/>
    <x v="1"/>
    <n v="15000000"/>
  </r>
  <r>
    <d v="2024-07-02T00:00:00"/>
    <x v="0"/>
    <x v="6"/>
    <x v="26"/>
    <x v="1"/>
    <x v="5"/>
    <x v="5"/>
    <x v="3"/>
    <n v="3728980619"/>
  </r>
  <r>
    <d v="2024-07-02T00:00:00"/>
    <x v="0"/>
    <x v="6"/>
    <x v="26"/>
    <x v="1"/>
    <x v="10"/>
    <x v="9"/>
    <x v="1"/>
    <n v="94530000"/>
  </r>
  <r>
    <d v="2024-07-02T00:00:00"/>
    <x v="0"/>
    <x v="6"/>
    <x v="26"/>
    <x v="1"/>
    <x v="12"/>
    <x v="11"/>
    <x v="1"/>
    <n v="4968960000"/>
  </r>
  <r>
    <d v="2024-07-02T00:00:00"/>
    <x v="0"/>
    <x v="6"/>
    <x v="26"/>
    <x v="1"/>
    <x v="7"/>
    <x v="7"/>
    <x v="4"/>
    <n v="113264546"/>
  </r>
  <r>
    <d v="2024-07-02T00:00:00"/>
    <x v="0"/>
    <x v="6"/>
    <x v="26"/>
    <x v="1"/>
    <x v="2"/>
    <x v="2"/>
    <x v="1"/>
    <n v="5351920000"/>
  </r>
  <r>
    <d v="2024-07-02T00:00:00"/>
    <x v="0"/>
    <x v="6"/>
    <x v="26"/>
    <x v="1"/>
    <x v="11"/>
    <x v="10"/>
    <x v="4"/>
    <n v="12410620"/>
  </r>
  <r>
    <d v="2024-07-02T00:00:00"/>
    <x v="0"/>
    <x v="6"/>
    <x v="26"/>
    <x v="1"/>
    <x v="3"/>
    <x v="3"/>
    <x v="1"/>
    <n v="201600000"/>
  </r>
  <r>
    <d v="2024-07-03T00:00:00"/>
    <x v="0"/>
    <x v="6"/>
    <x v="26"/>
    <x v="2"/>
    <x v="6"/>
    <x v="6"/>
    <x v="0"/>
    <n v="29000000"/>
  </r>
  <r>
    <d v="2024-07-03T00:00:00"/>
    <x v="0"/>
    <x v="6"/>
    <x v="26"/>
    <x v="2"/>
    <x v="0"/>
    <x v="0"/>
    <x v="0"/>
    <n v="3844500000"/>
  </r>
  <r>
    <d v="2024-07-03T00:00:00"/>
    <x v="0"/>
    <x v="6"/>
    <x v="26"/>
    <x v="2"/>
    <x v="1"/>
    <x v="1"/>
    <x v="1"/>
    <n v="10500000"/>
  </r>
  <r>
    <d v="2024-07-03T00:00:00"/>
    <x v="0"/>
    <x v="6"/>
    <x v="26"/>
    <x v="2"/>
    <x v="9"/>
    <x v="9"/>
    <x v="1"/>
    <n v="0"/>
  </r>
  <r>
    <d v="2024-07-03T00:00:00"/>
    <x v="0"/>
    <x v="6"/>
    <x v="26"/>
    <x v="2"/>
    <x v="2"/>
    <x v="2"/>
    <x v="1"/>
    <n v="2285220000"/>
  </r>
  <r>
    <d v="2024-07-03T00:00:00"/>
    <x v="0"/>
    <x v="6"/>
    <x v="26"/>
    <x v="2"/>
    <x v="11"/>
    <x v="10"/>
    <x v="4"/>
    <n v="8190450"/>
  </r>
  <r>
    <d v="2024-07-03T00:00:00"/>
    <x v="0"/>
    <x v="6"/>
    <x v="26"/>
    <x v="2"/>
    <x v="12"/>
    <x v="11"/>
    <x v="1"/>
    <n v="5393440000"/>
  </r>
  <r>
    <d v="2024-07-03T00:00:00"/>
    <x v="0"/>
    <x v="6"/>
    <x v="26"/>
    <x v="2"/>
    <x v="8"/>
    <x v="8"/>
    <x v="1"/>
    <n v="1134360000"/>
  </r>
  <r>
    <d v="2024-07-03T00:00:00"/>
    <x v="0"/>
    <x v="6"/>
    <x v="26"/>
    <x v="2"/>
    <x v="10"/>
    <x v="9"/>
    <x v="1"/>
    <n v="59220000"/>
  </r>
  <r>
    <d v="2024-07-03T00:00:00"/>
    <x v="0"/>
    <x v="6"/>
    <x v="26"/>
    <x v="2"/>
    <x v="7"/>
    <x v="7"/>
    <x v="4"/>
    <n v="131385786"/>
  </r>
  <r>
    <d v="2024-07-03T00:00:00"/>
    <x v="0"/>
    <x v="6"/>
    <x v="26"/>
    <x v="2"/>
    <x v="3"/>
    <x v="3"/>
    <x v="1"/>
    <n v="201000000"/>
  </r>
  <r>
    <d v="2024-07-03T00:00:00"/>
    <x v="0"/>
    <x v="6"/>
    <x v="26"/>
    <x v="2"/>
    <x v="5"/>
    <x v="5"/>
    <x v="3"/>
    <n v="3331904356"/>
  </r>
  <r>
    <d v="2024-07-04T00:00:00"/>
    <x v="0"/>
    <x v="6"/>
    <x v="26"/>
    <x v="3"/>
    <x v="12"/>
    <x v="11"/>
    <x v="1"/>
    <n v="4805640000"/>
  </r>
  <r>
    <d v="2024-07-04T00:00:00"/>
    <x v="0"/>
    <x v="6"/>
    <x v="26"/>
    <x v="3"/>
    <x v="2"/>
    <x v="2"/>
    <x v="1"/>
    <n v="3353640000"/>
  </r>
  <r>
    <d v="2024-07-04T00:00:00"/>
    <x v="0"/>
    <x v="6"/>
    <x v="26"/>
    <x v="3"/>
    <x v="0"/>
    <x v="0"/>
    <x v="0"/>
    <n v="3243000000"/>
  </r>
  <r>
    <d v="2024-07-04T00:00:00"/>
    <x v="0"/>
    <x v="6"/>
    <x v="26"/>
    <x v="3"/>
    <x v="1"/>
    <x v="1"/>
    <x v="1"/>
    <n v="71400000"/>
  </r>
  <r>
    <d v="2024-07-04T00:00:00"/>
    <x v="0"/>
    <x v="6"/>
    <x v="26"/>
    <x v="3"/>
    <x v="5"/>
    <x v="5"/>
    <x v="3"/>
    <n v="3117791512"/>
  </r>
  <r>
    <d v="2024-07-04T00:00:00"/>
    <x v="0"/>
    <x v="6"/>
    <x v="26"/>
    <x v="3"/>
    <x v="3"/>
    <x v="3"/>
    <x v="1"/>
    <n v="228400000"/>
  </r>
  <r>
    <d v="2024-07-04T00:00:00"/>
    <x v="0"/>
    <x v="6"/>
    <x v="26"/>
    <x v="3"/>
    <x v="9"/>
    <x v="9"/>
    <x v="1"/>
    <n v="17120000"/>
  </r>
  <r>
    <d v="2024-07-04T00:00:00"/>
    <x v="0"/>
    <x v="6"/>
    <x v="26"/>
    <x v="3"/>
    <x v="11"/>
    <x v="10"/>
    <x v="4"/>
    <n v="9847370"/>
  </r>
  <r>
    <d v="2024-07-04T00:00:00"/>
    <x v="0"/>
    <x v="6"/>
    <x v="26"/>
    <x v="3"/>
    <x v="8"/>
    <x v="8"/>
    <x v="1"/>
    <n v="584220000"/>
  </r>
  <r>
    <d v="2024-07-04T00:00:00"/>
    <x v="0"/>
    <x v="6"/>
    <x v="26"/>
    <x v="3"/>
    <x v="6"/>
    <x v="6"/>
    <x v="0"/>
    <n v="25000000"/>
  </r>
  <r>
    <d v="2024-07-04T00:00:00"/>
    <x v="0"/>
    <x v="6"/>
    <x v="26"/>
    <x v="3"/>
    <x v="7"/>
    <x v="7"/>
    <x v="4"/>
    <n v="154844263"/>
  </r>
  <r>
    <d v="2024-07-04T00:00:00"/>
    <x v="0"/>
    <x v="6"/>
    <x v="26"/>
    <x v="3"/>
    <x v="10"/>
    <x v="9"/>
    <x v="1"/>
    <n v="56660000"/>
  </r>
  <r>
    <d v="2024-07-05T00:00:00"/>
    <x v="0"/>
    <x v="6"/>
    <x v="26"/>
    <x v="4"/>
    <x v="5"/>
    <x v="5"/>
    <x v="3"/>
    <n v="3788810482"/>
  </r>
  <r>
    <d v="2024-07-05T00:00:00"/>
    <x v="0"/>
    <x v="6"/>
    <x v="26"/>
    <x v="4"/>
    <x v="3"/>
    <x v="3"/>
    <x v="1"/>
    <n v="173250000"/>
  </r>
  <r>
    <d v="2024-07-05T00:00:00"/>
    <x v="0"/>
    <x v="6"/>
    <x v="26"/>
    <x v="4"/>
    <x v="10"/>
    <x v="9"/>
    <x v="1"/>
    <n v="96950000"/>
  </r>
  <r>
    <d v="2024-07-05T00:00:00"/>
    <x v="0"/>
    <x v="6"/>
    <x v="26"/>
    <x v="4"/>
    <x v="1"/>
    <x v="1"/>
    <x v="1"/>
    <n v="42000000"/>
  </r>
  <r>
    <d v="2024-07-05T00:00:00"/>
    <x v="0"/>
    <x v="6"/>
    <x v="26"/>
    <x v="4"/>
    <x v="12"/>
    <x v="11"/>
    <x v="1"/>
    <n v="5769270000"/>
  </r>
  <r>
    <d v="2024-07-05T00:00:00"/>
    <x v="0"/>
    <x v="6"/>
    <x v="26"/>
    <x v="4"/>
    <x v="6"/>
    <x v="6"/>
    <x v="0"/>
    <n v="27000000"/>
  </r>
  <r>
    <d v="2024-07-05T00:00:00"/>
    <x v="0"/>
    <x v="6"/>
    <x v="26"/>
    <x v="4"/>
    <x v="2"/>
    <x v="2"/>
    <x v="1"/>
    <n v="7723180000"/>
  </r>
  <r>
    <d v="2024-07-05T00:00:00"/>
    <x v="0"/>
    <x v="6"/>
    <x v="26"/>
    <x v="4"/>
    <x v="11"/>
    <x v="10"/>
    <x v="4"/>
    <n v="11874890"/>
  </r>
  <r>
    <d v="2024-07-05T00:00:00"/>
    <x v="0"/>
    <x v="6"/>
    <x v="26"/>
    <x v="4"/>
    <x v="8"/>
    <x v="8"/>
    <x v="1"/>
    <n v="1555780000"/>
  </r>
  <r>
    <d v="2024-07-05T00:00:00"/>
    <x v="0"/>
    <x v="6"/>
    <x v="26"/>
    <x v="4"/>
    <x v="7"/>
    <x v="7"/>
    <x v="4"/>
    <n v="195000265"/>
  </r>
  <r>
    <d v="2024-07-05T00:00:00"/>
    <x v="0"/>
    <x v="6"/>
    <x v="26"/>
    <x v="4"/>
    <x v="9"/>
    <x v="9"/>
    <x v="1"/>
    <n v="17120000"/>
  </r>
  <r>
    <d v="2024-07-05T00:00:00"/>
    <x v="0"/>
    <x v="6"/>
    <x v="26"/>
    <x v="4"/>
    <x v="0"/>
    <x v="0"/>
    <x v="0"/>
    <n v="4600000000"/>
  </r>
  <r>
    <d v="2024-07-06T00:00:00"/>
    <x v="0"/>
    <x v="6"/>
    <x v="26"/>
    <x v="5"/>
    <x v="0"/>
    <x v="0"/>
    <x v="0"/>
    <n v="3822500000"/>
  </r>
  <r>
    <d v="2024-07-06T00:00:00"/>
    <x v="0"/>
    <x v="6"/>
    <x v="26"/>
    <x v="5"/>
    <x v="12"/>
    <x v="11"/>
    <x v="1"/>
    <n v="4380180000"/>
  </r>
  <r>
    <d v="2024-07-06T00:00:00"/>
    <x v="0"/>
    <x v="6"/>
    <x v="26"/>
    <x v="5"/>
    <x v="5"/>
    <x v="5"/>
    <x v="3"/>
    <n v="2235724225"/>
  </r>
  <r>
    <d v="2024-07-06T00:00:00"/>
    <x v="0"/>
    <x v="6"/>
    <x v="26"/>
    <x v="5"/>
    <x v="8"/>
    <x v="8"/>
    <x v="1"/>
    <n v="1701670000"/>
  </r>
  <r>
    <d v="2024-07-06T00:00:00"/>
    <x v="0"/>
    <x v="6"/>
    <x v="26"/>
    <x v="5"/>
    <x v="3"/>
    <x v="3"/>
    <x v="1"/>
    <n v="109200000"/>
  </r>
  <r>
    <d v="2024-07-06T00:00:00"/>
    <x v="0"/>
    <x v="6"/>
    <x v="26"/>
    <x v="5"/>
    <x v="7"/>
    <x v="7"/>
    <x v="4"/>
    <n v="159139090"/>
  </r>
  <r>
    <d v="2024-07-06T00:00:00"/>
    <x v="0"/>
    <x v="6"/>
    <x v="26"/>
    <x v="5"/>
    <x v="10"/>
    <x v="9"/>
    <x v="1"/>
    <n v="49220000"/>
  </r>
  <r>
    <d v="2024-07-06T00:00:00"/>
    <x v="0"/>
    <x v="6"/>
    <x v="26"/>
    <x v="5"/>
    <x v="1"/>
    <x v="1"/>
    <x v="1"/>
    <n v="33600000"/>
  </r>
  <r>
    <d v="2024-07-06T00:00:00"/>
    <x v="0"/>
    <x v="6"/>
    <x v="26"/>
    <x v="5"/>
    <x v="2"/>
    <x v="2"/>
    <x v="1"/>
    <n v="6972950000"/>
  </r>
  <r>
    <d v="2024-07-06T00:00:00"/>
    <x v="0"/>
    <x v="6"/>
    <x v="26"/>
    <x v="5"/>
    <x v="6"/>
    <x v="6"/>
    <x v="0"/>
    <n v="51000000"/>
  </r>
  <r>
    <d v="2024-07-06T00:00:00"/>
    <x v="0"/>
    <x v="6"/>
    <x v="26"/>
    <x v="5"/>
    <x v="9"/>
    <x v="9"/>
    <x v="1"/>
    <n v="0"/>
  </r>
  <r>
    <d v="2024-07-06T00:00:00"/>
    <x v="0"/>
    <x v="6"/>
    <x v="26"/>
    <x v="5"/>
    <x v="11"/>
    <x v="10"/>
    <x v="4"/>
    <n v="9143900"/>
  </r>
  <r>
    <d v="2024-07-07T00:00:00"/>
    <x v="0"/>
    <x v="6"/>
    <x v="26"/>
    <x v="6"/>
    <x v="10"/>
    <x v="9"/>
    <x v="1"/>
    <n v="76270000"/>
  </r>
  <r>
    <d v="2024-07-07T00:00:00"/>
    <x v="0"/>
    <x v="6"/>
    <x v="26"/>
    <x v="6"/>
    <x v="1"/>
    <x v="1"/>
    <x v="1"/>
    <n v="42000000"/>
  </r>
  <r>
    <d v="2024-07-07T00:00:00"/>
    <x v="0"/>
    <x v="6"/>
    <x v="26"/>
    <x v="6"/>
    <x v="12"/>
    <x v="11"/>
    <x v="1"/>
    <n v="3717210000"/>
  </r>
  <r>
    <d v="2024-07-07T00:00:00"/>
    <x v="0"/>
    <x v="6"/>
    <x v="26"/>
    <x v="6"/>
    <x v="9"/>
    <x v="9"/>
    <x v="1"/>
    <n v="0"/>
  </r>
  <r>
    <d v="2024-07-07T00:00:00"/>
    <x v="0"/>
    <x v="6"/>
    <x v="26"/>
    <x v="6"/>
    <x v="3"/>
    <x v="3"/>
    <x v="1"/>
    <n v="176850000"/>
  </r>
  <r>
    <d v="2024-07-07T00:00:00"/>
    <x v="0"/>
    <x v="6"/>
    <x v="26"/>
    <x v="6"/>
    <x v="11"/>
    <x v="10"/>
    <x v="4"/>
    <n v="10519900"/>
  </r>
  <r>
    <d v="2024-07-07T00:00:00"/>
    <x v="0"/>
    <x v="6"/>
    <x v="26"/>
    <x v="6"/>
    <x v="2"/>
    <x v="2"/>
    <x v="1"/>
    <n v="6081390000"/>
  </r>
  <r>
    <d v="2024-07-07T00:00:00"/>
    <x v="0"/>
    <x v="6"/>
    <x v="26"/>
    <x v="6"/>
    <x v="0"/>
    <x v="0"/>
    <x v="0"/>
    <n v="3382000000"/>
  </r>
  <r>
    <d v="2024-07-07T00:00:00"/>
    <x v="0"/>
    <x v="6"/>
    <x v="26"/>
    <x v="6"/>
    <x v="5"/>
    <x v="5"/>
    <x v="3"/>
    <n v="2077816418"/>
  </r>
  <r>
    <d v="2024-07-07T00:00:00"/>
    <x v="0"/>
    <x v="6"/>
    <x v="26"/>
    <x v="6"/>
    <x v="7"/>
    <x v="7"/>
    <x v="4"/>
    <n v="134465072"/>
  </r>
  <r>
    <d v="2024-07-07T00:00:00"/>
    <x v="0"/>
    <x v="6"/>
    <x v="26"/>
    <x v="6"/>
    <x v="6"/>
    <x v="6"/>
    <x v="0"/>
    <n v="62000000"/>
  </r>
  <r>
    <d v="2024-07-07T00:00:00"/>
    <x v="0"/>
    <x v="6"/>
    <x v="26"/>
    <x v="6"/>
    <x v="8"/>
    <x v="8"/>
    <x v="1"/>
    <n v="289970000"/>
  </r>
  <r>
    <d v="2024-07-08T00:00:00"/>
    <x v="0"/>
    <x v="6"/>
    <x v="27"/>
    <x v="7"/>
    <x v="8"/>
    <x v="8"/>
    <x v="1"/>
    <n v="1762520000"/>
  </r>
  <r>
    <d v="2024-07-08T00:00:00"/>
    <x v="0"/>
    <x v="6"/>
    <x v="27"/>
    <x v="7"/>
    <x v="0"/>
    <x v="0"/>
    <x v="0"/>
    <n v="3926500000"/>
  </r>
  <r>
    <d v="2024-07-08T00:00:00"/>
    <x v="0"/>
    <x v="6"/>
    <x v="27"/>
    <x v="7"/>
    <x v="11"/>
    <x v="10"/>
    <x v="4"/>
    <n v="10015750"/>
  </r>
  <r>
    <d v="2024-07-08T00:00:00"/>
    <x v="0"/>
    <x v="6"/>
    <x v="27"/>
    <x v="7"/>
    <x v="1"/>
    <x v="1"/>
    <x v="1"/>
    <n v="51500000"/>
  </r>
  <r>
    <d v="2024-07-08T00:00:00"/>
    <x v="0"/>
    <x v="6"/>
    <x v="27"/>
    <x v="7"/>
    <x v="6"/>
    <x v="6"/>
    <x v="0"/>
    <n v="23000000"/>
  </r>
  <r>
    <d v="2024-07-08T00:00:00"/>
    <x v="0"/>
    <x v="6"/>
    <x v="27"/>
    <x v="7"/>
    <x v="2"/>
    <x v="2"/>
    <x v="1"/>
    <n v="4945610000"/>
  </r>
  <r>
    <d v="2024-07-08T00:00:00"/>
    <x v="0"/>
    <x v="6"/>
    <x v="27"/>
    <x v="7"/>
    <x v="12"/>
    <x v="11"/>
    <x v="1"/>
    <n v="3903700000"/>
  </r>
  <r>
    <d v="2024-07-08T00:00:00"/>
    <x v="0"/>
    <x v="6"/>
    <x v="27"/>
    <x v="7"/>
    <x v="3"/>
    <x v="3"/>
    <x v="1"/>
    <n v="187800000"/>
  </r>
  <r>
    <d v="2024-07-08T00:00:00"/>
    <x v="0"/>
    <x v="6"/>
    <x v="27"/>
    <x v="7"/>
    <x v="9"/>
    <x v="9"/>
    <x v="1"/>
    <n v="0"/>
  </r>
  <r>
    <d v="2024-07-08T00:00:00"/>
    <x v="0"/>
    <x v="6"/>
    <x v="27"/>
    <x v="7"/>
    <x v="5"/>
    <x v="5"/>
    <x v="3"/>
    <n v="2818127396"/>
  </r>
  <r>
    <d v="2024-07-08T00:00:00"/>
    <x v="0"/>
    <x v="6"/>
    <x v="27"/>
    <x v="7"/>
    <x v="10"/>
    <x v="9"/>
    <x v="1"/>
    <n v="85780000"/>
  </r>
  <r>
    <d v="2024-07-08T00:00:00"/>
    <x v="0"/>
    <x v="6"/>
    <x v="27"/>
    <x v="7"/>
    <x v="7"/>
    <x v="7"/>
    <x v="4"/>
    <n v="143221238"/>
  </r>
  <r>
    <d v="2024-07-09T00:00:00"/>
    <x v="0"/>
    <x v="6"/>
    <x v="27"/>
    <x v="8"/>
    <x v="11"/>
    <x v="10"/>
    <x v="4"/>
    <n v="12674650"/>
  </r>
  <r>
    <d v="2024-07-09T00:00:00"/>
    <x v="0"/>
    <x v="6"/>
    <x v="27"/>
    <x v="8"/>
    <x v="10"/>
    <x v="9"/>
    <x v="1"/>
    <n v="67080000"/>
  </r>
  <r>
    <d v="2024-07-09T00:00:00"/>
    <x v="0"/>
    <x v="6"/>
    <x v="27"/>
    <x v="8"/>
    <x v="1"/>
    <x v="1"/>
    <x v="1"/>
    <n v="10500000"/>
  </r>
  <r>
    <d v="2024-07-09T00:00:00"/>
    <x v="0"/>
    <x v="6"/>
    <x v="27"/>
    <x v="8"/>
    <x v="3"/>
    <x v="3"/>
    <x v="1"/>
    <n v="207950000"/>
  </r>
  <r>
    <d v="2024-07-09T00:00:00"/>
    <x v="0"/>
    <x v="6"/>
    <x v="27"/>
    <x v="8"/>
    <x v="12"/>
    <x v="11"/>
    <x v="1"/>
    <n v="3888090000"/>
  </r>
  <r>
    <d v="2024-07-09T00:00:00"/>
    <x v="0"/>
    <x v="6"/>
    <x v="27"/>
    <x v="8"/>
    <x v="8"/>
    <x v="8"/>
    <x v="1"/>
    <n v="1590360000"/>
  </r>
  <r>
    <d v="2024-07-09T00:00:00"/>
    <x v="0"/>
    <x v="6"/>
    <x v="27"/>
    <x v="8"/>
    <x v="7"/>
    <x v="7"/>
    <x v="4"/>
    <n v="181957213"/>
  </r>
  <r>
    <d v="2024-07-09T00:00:00"/>
    <x v="0"/>
    <x v="6"/>
    <x v="27"/>
    <x v="8"/>
    <x v="5"/>
    <x v="5"/>
    <x v="3"/>
    <n v="2569048590"/>
  </r>
  <r>
    <d v="2024-07-09T00:00:00"/>
    <x v="0"/>
    <x v="6"/>
    <x v="27"/>
    <x v="8"/>
    <x v="2"/>
    <x v="2"/>
    <x v="1"/>
    <n v="6477740000"/>
  </r>
  <r>
    <d v="2024-07-09T00:00:00"/>
    <x v="0"/>
    <x v="6"/>
    <x v="27"/>
    <x v="8"/>
    <x v="0"/>
    <x v="0"/>
    <x v="0"/>
    <n v="3698000000"/>
  </r>
  <r>
    <d v="2024-07-09T00:00:00"/>
    <x v="0"/>
    <x v="6"/>
    <x v="27"/>
    <x v="8"/>
    <x v="9"/>
    <x v="9"/>
    <x v="1"/>
    <n v="23120000"/>
  </r>
  <r>
    <d v="2024-07-09T00:00:00"/>
    <x v="0"/>
    <x v="6"/>
    <x v="27"/>
    <x v="8"/>
    <x v="6"/>
    <x v="6"/>
    <x v="0"/>
    <n v="25000000"/>
  </r>
  <r>
    <d v="2024-07-10T00:00:00"/>
    <x v="0"/>
    <x v="6"/>
    <x v="27"/>
    <x v="9"/>
    <x v="3"/>
    <x v="3"/>
    <x v="1"/>
    <n v="94750000"/>
  </r>
  <r>
    <d v="2024-07-10T00:00:00"/>
    <x v="0"/>
    <x v="6"/>
    <x v="27"/>
    <x v="9"/>
    <x v="0"/>
    <x v="0"/>
    <x v="0"/>
    <n v="4407500000"/>
  </r>
  <r>
    <d v="2024-07-10T00:00:00"/>
    <x v="0"/>
    <x v="6"/>
    <x v="27"/>
    <x v="9"/>
    <x v="12"/>
    <x v="11"/>
    <x v="1"/>
    <n v="4644210000"/>
  </r>
  <r>
    <d v="2024-07-10T00:00:00"/>
    <x v="0"/>
    <x v="6"/>
    <x v="27"/>
    <x v="9"/>
    <x v="5"/>
    <x v="5"/>
    <x v="3"/>
    <n v="3712357674"/>
  </r>
  <r>
    <d v="2024-07-10T00:00:00"/>
    <x v="0"/>
    <x v="6"/>
    <x v="27"/>
    <x v="9"/>
    <x v="11"/>
    <x v="10"/>
    <x v="4"/>
    <n v="6990570"/>
  </r>
  <r>
    <d v="2024-07-10T00:00:00"/>
    <x v="0"/>
    <x v="6"/>
    <x v="27"/>
    <x v="9"/>
    <x v="6"/>
    <x v="6"/>
    <x v="0"/>
    <n v="27000000"/>
  </r>
  <r>
    <d v="2024-07-10T00:00:00"/>
    <x v="0"/>
    <x v="6"/>
    <x v="27"/>
    <x v="9"/>
    <x v="1"/>
    <x v="1"/>
    <x v="1"/>
    <n v="42000000"/>
  </r>
  <r>
    <d v="2024-07-10T00:00:00"/>
    <x v="0"/>
    <x v="6"/>
    <x v="27"/>
    <x v="9"/>
    <x v="10"/>
    <x v="9"/>
    <x v="1"/>
    <n v="151140000"/>
  </r>
  <r>
    <d v="2024-07-10T00:00:00"/>
    <x v="0"/>
    <x v="6"/>
    <x v="27"/>
    <x v="9"/>
    <x v="7"/>
    <x v="7"/>
    <x v="4"/>
    <n v="160368653"/>
  </r>
  <r>
    <d v="2024-07-10T00:00:00"/>
    <x v="0"/>
    <x v="6"/>
    <x v="27"/>
    <x v="9"/>
    <x v="2"/>
    <x v="2"/>
    <x v="1"/>
    <n v="6739510000"/>
  </r>
  <r>
    <d v="2024-07-10T00:00:00"/>
    <x v="0"/>
    <x v="6"/>
    <x v="27"/>
    <x v="9"/>
    <x v="9"/>
    <x v="9"/>
    <x v="1"/>
    <n v="0"/>
  </r>
  <r>
    <d v="2024-07-10T00:00:00"/>
    <x v="0"/>
    <x v="6"/>
    <x v="27"/>
    <x v="9"/>
    <x v="8"/>
    <x v="8"/>
    <x v="1"/>
    <n v="1838650000"/>
  </r>
  <r>
    <d v="2024-07-11T00:00:00"/>
    <x v="0"/>
    <x v="6"/>
    <x v="27"/>
    <x v="10"/>
    <x v="11"/>
    <x v="10"/>
    <x v="4"/>
    <n v="9885399"/>
  </r>
  <r>
    <d v="2024-07-11T00:00:00"/>
    <x v="0"/>
    <x v="6"/>
    <x v="27"/>
    <x v="10"/>
    <x v="8"/>
    <x v="8"/>
    <x v="1"/>
    <n v="2072070000"/>
  </r>
  <r>
    <d v="2024-07-11T00:00:00"/>
    <x v="0"/>
    <x v="6"/>
    <x v="27"/>
    <x v="10"/>
    <x v="2"/>
    <x v="2"/>
    <x v="1"/>
    <n v="6361160000"/>
  </r>
  <r>
    <d v="2024-07-11T00:00:00"/>
    <x v="0"/>
    <x v="6"/>
    <x v="27"/>
    <x v="10"/>
    <x v="1"/>
    <x v="1"/>
    <x v="1"/>
    <n v="52500000"/>
  </r>
  <r>
    <d v="2024-07-11T00:00:00"/>
    <x v="0"/>
    <x v="6"/>
    <x v="27"/>
    <x v="10"/>
    <x v="0"/>
    <x v="0"/>
    <x v="0"/>
    <n v="3808500000"/>
  </r>
  <r>
    <d v="2024-07-11T00:00:00"/>
    <x v="0"/>
    <x v="6"/>
    <x v="27"/>
    <x v="10"/>
    <x v="7"/>
    <x v="7"/>
    <x v="4"/>
    <n v="148792777"/>
  </r>
  <r>
    <d v="2024-07-11T00:00:00"/>
    <x v="0"/>
    <x v="6"/>
    <x v="27"/>
    <x v="10"/>
    <x v="3"/>
    <x v="3"/>
    <x v="1"/>
    <n v="98700000"/>
  </r>
  <r>
    <d v="2024-07-11T00:00:00"/>
    <x v="0"/>
    <x v="6"/>
    <x v="27"/>
    <x v="10"/>
    <x v="9"/>
    <x v="9"/>
    <x v="1"/>
    <n v="0"/>
  </r>
  <r>
    <d v="2024-07-11T00:00:00"/>
    <x v="0"/>
    <x v="6"/>
    <x v="27"/>
    <x v="10"/>
    <x v="6"/>
    <x v="6"/>
    <x v="0"/>
    <n v="61000000"/>
  </r>
  <r>
    <d v="2024-07-11T00:00:00"/>
    <x v="0"/>
    <x v="6"/>
    <x v="27"/>
    <x v="10"/>
    <x v="12"/>
    <x v="11"/>
    <x v="1"/>
    <n v="4426290000"/>
  </r>
  <r>
    <d v="2024-07-11T00:00:00"/>
    <x v="0"/>
    <x v="6"/>
    <x v="27"/>
    <x v="10"/>
    <x v="5"/>
    <x v="5"/>
    <x v="3"/>
    <n v="2610710868"/>
  </r>
  <r>
    <d v="2024-07-11T00:00:00"/>
    <x v="0"/>
    <x v="6"/>
    <x v="27"/>
    <x v="10"/>
    <x v="10"/>
    <x v="9"/>
    <x v="1"/>
    <n v="38520000"/>
  </r>
  <r>
    <d v="2024-07-12T00:00:00"/>
    <x v="0"/>
    <x v="6"/>
    <x v="27"/>
    <x v="11"/>
    <x v="3"/>
    <x v="3"/>
    <x v="1"/>
    <n v="109200000"/>
  </r>
  <r>
    <d v="2024-07-12T00:00:00"/>
    <x v="0"/>
    <x v="6"/>
    <x v="27"/>
    <x v="11"/>
    <x v="5"/>
    <x v="5"/>
    <x v="3"/>
    <n v="2468306245"/>
  </r>
  <r>
    <d v="2024-07-12T00:00:00"/>
    <x v="0"/>
    <x v="6"/>
    <x v="27"/>
    <x v="11"/>
    <x v="7"/>
    <x v="7"/>
    <x v="4"/>
    <n v="144724081"/>
  </r>
  <r>
    <d v="2024-07-12T00:00:00"/>
    <x v="0"/>
    <x v="6"/>
    <x v="27"/>
    <x v="11"/>
    <x v="6"/>
    <x v="6"/>
    <x v="0"/>
    <n v="53000000"/>
  </r>
  <r>
    <d v="2024-07-12T00:00:00"/>
    <x v="0"/>
    <x v="6"/>
    <x v="27"/>
    <x v="11"/>
    <x v="12"/>
    <x v="11"/>
    <x v="1"/>
    <n v="4436950000"/>
  </r>
  <r>
    <d v="2024-07-12T00:00:00"/>
    <x v="0"/>
    <x v="6"/>
    <x v="27"/>
    <x v="11"/>
    <x v="10"/>
    <x v="9"/>
    <x v="1"/>
    <n v="47450000"/>
  </r>
  <r>
    <d v="2024-07-12T00:00:00"/>
    <x v="0"/>
    <x v="6"/>
    <x v="27"/>
    <x v="11"/>
    <x v="1"/>
    <x v="1"/>
    <x v="1"/>
    <n v="52500000"/>
  </r>
  <r>
    <d v="2024-07-12T00:00:00"/>
    <x v="0"/>
    <x v="6"/>
    <x v="27"/>
    <x v="11"/>
    <x v="9"/>
    <x v="9"/>
    <x v="1"/>
    <n v="0"/>
  </r>
  <r>
    <d v="2024-07-12T00:00:00"/>
    <x v="0"/>
    <x v="6"/>
    <x v="27"/>
    <x v="11"/>
    <x v="0"/>
    <x v="0"/>
    <x v="0"/>
    <n v="3774000000"/>
  </r>
  <r>
    <d v="2024-07-12T00:00:00"/>
    <x v="0"/>
    <x v="6"/>
    <x v="27"/>
    <x v="11"/>
    <x v="8"/>
    <x v="8"/>
    <x v="1"/>
    <n v="2133580000"/>
  </r>
  <r>
    <d v="2024-07-12T00:00:00"/>
    <x v="0"/>
    <x v="6"/>
    <x v="27"/>
    <x v="11"/>
    <x v="2"/>
    <x v="2"/>
    <x v="1"/>
    <n v="5457100000"/>
  </r>
  <r>
    <d v="2024-07-12T00:00:00"/>
    <x v="0"/>
    <x v="6"/>
    <x v="27"/>
    <x v="11"/>
    <x v="11"/>
    <x v="10"/>
    <x v="4"/>
    <n v="7174600"/>
  </r>
  <r>
    <d v="2024-07-13T00:00:00"/>
    <x v="0"/>
    <x v="6"/>
    <x v="27"/>
    <x v="12"/>
    <x v="0"/>
    <x v="0"/>
    <x v="0"/>
    <n v="3517000000"/>
  </r>
  <r>
    <d v="2024-07-13T00:00:00"/>
    <x v="0"/>
    <x v="6"/>
    <x v="27"/>
    <x v="12"/>
    <x v="2"/>
    <x v="2"/>
    <x v="1"/>
    <n v="4494780000"/>
  </r>
  <r>
    <d v="2024-07-13T00:00:00"/>
    <x v="0"/>
    <x v="6"/>
    <x v="27"/>
    <x v="12"/>
    <x v="8"/>
    <x v="8"/>
    <x v="1"/>
    <n v="1690600000"/>
  </r>
  <r>
    <d v="2024-07-13T00:00:00"/>
    <x v="0"/>
    <x v="6"/>
    <x v="27"/>
    <x v="12"/>
    <x v="10"/>
    <x v="9"/>
    <x v="1"/>
    <n v="53500000"/>
  </r>
  <r>
    <d v="2024-07-13T00:00:00"/>
    <x v="0"/>
    <x v="6"/>
    <x v="27"/>
    <x v="12"/>
    <x v="3"/>
    <x v="3"/>
    <x v="1"/>
    <n v="150300000"/>
  </r>
  <r>
    <d v="2024-07-13T00:00:00"/>
    <x v="0"/>
    <x v="6"/>
    <x v="27"/>
    <x v="12"/>
    <x v="1"/>
    <x v="1"/>
    <x v="1"/>
    <n v="52550000"/>
  </r>
  <r>
    <d v="2024-07-13T00:00:00"/>
    <x v="0"/>
    <x v="6"/>
    <x v="27"/>
    <x v="12"/>
    <x v="9"/>
    <x v="9"/>
    <x v="1"/>
    <n v="0"/>
  </r>
  <r>
    <d v="2024-07-13T00:00:00"/>
    <x v="0"/>
    <x v="6"/>
    <x v="27"/>
    <x v="12"/>
    <x v="6"/>
    <x v="6"/>
    <x v="0"/>
    <n v="31000000"/>
  </r>
  <r>
    <d v="2024-07-13T00:00:00"/>
    <x v="0"/>
    <x v="6"/>
    <x v="27"/>
    <x v="12"/>
    <x v="12"/>
    <x v="11"/>
    <x v="1"/>
    <n v="3547390000"/>
  </r>
  <r>
    <d v="2024-07-13T00:00:00"/>
    <x v="0"/>
    <x v="6"/>
    <x v="27"/>
    <x v="12"/>
    <x v="7"/>
    <x v="7"/>
    <x v="4"/>
    <n v="139634692"/>
  </r>
  <r>
    <d v="2024-07-13T00:00:00"/>
    <x v="0"/>
    <x v="6"/>
    <x v="27"/>
    <x v="12"/>
    <x v="5"/>
    <x v="5"/>
    <x v="3"/>
    <n v="1930942692"/>
  </r>
  <r>
    <d v="2024-07-13T00:00:00"/>
    <x v="0"/>
    <x v="6"/>
    <x v="27"/>
    <x v="12"/>
    <x v="11"/>
    <x v="10"/>
    <x v="4"/>
    <n v="9374550"/>
  </r>
  <r>
    <d v="2024-07-14T00:00:00"/>
    <x v="0"/>
    <x v="6"/>
    <x v="27"/>
    <x v="13"/>
    <x v="7"/>
    <x v="7"/>
    <x v="4"/>
    <n v="150960104"/>
  </r>
  <r>
    <d v="2024-07-14T00:00:00"/>
    <x v="0"/>
    <x v="6"/>
    <x v="27"/>
    <x v="13"/>
    <x v="11"/>
    <x v="10"/>
    <x v="4"/>
    <n v="16285109"/>
  </r>
  <r>
    <d v="2024-07-14T00:00:00"/>
    <x v="0"/>
    <x v="6"/>
    <x v="27"/>
    <x v="13"/>
    <x v="6"/>
    <x v="6"/>
    <x v="0"/>
    <n v="48000000"/>
  </r>
  <r>
    <d v="2024-07-14T00:00:00"/>
    <x v="0"/>
    <x v="6"/>
    <x v="27"/>
    <x v="13"/>
    <x v="2"/>
    <x v="2"/>
    <x v="1"/>
    <n v="4840510000"/>
  </r>
  <r>
    <d v="2024-07-14T00:00:00"/>
    <x v="0"/>
    <x v="6"/>
    <x v="27"/>
    <x v="13"/>
    <x v="1"/>
    <x v="1"/>
    <x v="1"/>
    <n v="21000000"/>
  </r>
  <r>
    <d v="2024-07-14T00:00:00"/>
    <x v="0"/>
    <x v="6"/>
    <x v="27"/>
    <x v="13"/>
    <x v="0"/>
    <x v="0"/>
    <x v="0"/>
    <n v="3394500000"/>
  </r>
  <r>
    <d v="2024-07-14T00:00:00"/>
    <x v="0"/>
    <x v="6"/>
    <x v="27"/>
    <x v="13"/>
    <x v="3"/>
    <x v="3"/>
    <x v="1"/>
    <n v="84000000"/>
  </r>
  <r>
    <d v="2024-07-14T00:00:00"/>
    <x v="0"/>
    <x v="6"/>
    <x v="27"/>
    <x v="13"/>
    <x v="8"/>
    <x v="8"/>
    <x v="1"/>
    <n v="645180000"/>
  </r>
  <r>
    <d v="2024-07-14T00:00:00"/>
    <x v="0"/>
    <x v="6"/>
    <x v="27"/>
    <x v="13"/>
    <x v="5"/>
    <x v="5"/>
    <x v="3"/>
    <n v="2303081443"/>
  </r>
  <r>
    <d v="2024-07-14T00:00:00"/>
    <x v="0"/>
    <x v="6"/>
    <x v="27"/>
    <x v="13"/>
    <x v="10"/>
    <x v="9"/>
    <x v="1"/>
    <n v="24980000"/>
  </r>
  <r>
    <d v="2024-07-14T00:00:00"/>
    <x v="0"/>
    <x v="6"/>
    <x v="27"/>
    <x v="13"/>
    <x v="9"/>
    <x v="9"/>
    <x v="1"/>
    <n v="0"/>
  </r>
  <r>
    <d v="2024-07-14T00:00:00"/>
    <x v="0"/>
    <x v="6"/>
    <x v="27"/>
    <x v="13"/>
    <x v="12"/>
    <x v="11"/>
    <x v="1"/>
    <n v="3281880000"/>
  </r>
  <r>
    <d v="2024-07-15T00:00:00"/>
    <x v="0"/>
    <x v="6"/>
    <x v="28"/>
    <x v="14"/>
    <x v="2"/>
    <x v="2"/>
    <x v="1"/>
    <n v="6710950000"/>
  </r>
  <r>
    <d v="2024-07-15T00:00:00"/>
    <x v="0"/>
    <x v="6"/>
    <x v="28"/>
    <x v="14"/>
    <x v="8"/>
    <x v="8"/>
    <x v="1"/>
    <n v="1941350000"/>
  </r>
  <r>
    <d v="2024-07-15T00:00:00"/>
    <x v="0"/>
    <x v="6"/>
    <x v="28"/>
    <x v="14"/>
    <x v="12"/>
    <x v="11"/>
    <x v="1"/>
    <n v="5358670000"/>
  </r>
  <r>
    <d v="2024-07-15T00:00:00"/>
    <x v="0"/>
    <x v="6"/>
    <x v="28"/>
    <x v="14"/>
    <x v="3"/>
    <x v="3"/>
    <x v="1"/>
    <n v="84000000"/>
  </r>
  <r>
    <d v="2024-07-15T00:00:00"/>
    <x v="0"/>
    <x v="6"/>
    <x v="28"/>
    <x v="14"/>
    <x v="6"/>
    <x v="6"/>
    <x v="0"/>
    <n v="46000000"/>
  </r>
  <r>
    <d v="2024-07-15T00:00:00"/>
    <x v="0"/>
    <x v="6"/>
    <x v="28"/>
    <x v="14"/>
    <x v="1"/>
    <x v="1"/>
    <x v="1"/>
    <n v="115500000"/>
  </r>
  <r>
    <d v="2024-07-15T00:00:00"/>
    <x v="0"/>
    <x v="6"/>
    <x v="28"/>
    <x v="14"/>
    <x v="0"/>
    <x v="0"/>
    <x v="0"/>
    <n v="4459500000"/>
  </r>
  <r>
    <d v="2024-07-15T00:00:00"/>
    <x v="0"/>
    <x v="6"/>
    <x v="28"/>
    <x v="14"/>
    <x v="7"/>
    <x v="7"/>
    <x v="4"/>
    <n v="139225844"/>
  </r>
  <r>
    <d v="2024-07-15T00:00:00"/>
    <x v="0"/>
    <x v="6"/>
    <x v="28"/>
    <x v="14"/>
    <x v="10"/>
    <x v="9"/>
    <x v="1"/>
    <n v="14980000"/>
  </r>
  <r>
    <d v="2024-07-15T00:00:00"/>
    <x v="0"/>
    <x v="6"/>
    <x v="28"/>
    <x v="14"/>
    <x v="9"/>
    <x v="9"/>
    <x v="1"/>
    <n v="18000000"/>
  </r>
  <r>
    <d v="2024-07-15T00:00:00"/>
    <x v="0"/>
    <x v="6"/>
    <x v="28"/>
    <x v="14"/>
    <x v="5"/>
    <x v="5"/>
    <x v="3"/>
    <n v="2823095065"/>
  </r>
  <r>
    <d v="2024-07-15T00:00:00"/>
    <x v="0"/>
    <x v="6"/>
    <x v="28"/>
    <x v="14"/>
    <x v="11"/>
    <x v="10"/>
    <x v="4"/>
    <n v="17100450"/>
  </r>
  <r>
    <d v="2024-07-16T00:00:00"/>
    <x v="0"/>
    <x v="6"/>
    <x v="28"/>
    <x v="15"/>
    <x v="12"/>
    <x v="11"/>
    <x v="1"/>
    <n v="2836260000"/>
  </r>
  <r>
    <d v="2024-07-16T00:00:00"/>
    <x v="0"/>
    <x v="6"/>
    <x v="28"/>
    <x v="15"/>
    <x v="11"/>
    <x v="10"/>
    <x v="4"/>
    <n v="20267295"/>
  </r>
  <r>
    <d v="2024-07-16T00:00:00"/>
    <x v="0"/>
    <x v="6"/>
    <x v="28"/>
    <x v="15"/>
    <x v="2"/>
    <x v="2"/>
    <x v="1"/>
    <n v="6031900000"/>
  </r>
  <r>
    <d v="2024-07-16T00:00:00"/>
    <x v="0"/>
    <x v="6"/>
    <x v="28"/>
    <x v="15"/>
    <x v="3"/>
    <x v="3"/>
    <x v="1"/>
    <n v="122850000"/>
  </r>
  <r>
    <d v="2024-07-16T00:00:00"/>
    <x v="0"/>
    <x v="6"/>
    <x v="28"/>
    <x v="15"/>
    <x v="9"/>
    <x v="9"/>
    <x v="1"/>
    <n v="0"/>
  </r>
  <r>
    <d v="2024-07-16T00:00:00"/>
    <x v="0"/>
    <x v="6"/>
    <x v="28"/>
    <x v="15"/>
    <x v="6"/>
    <x v="6"/>
    <x v="0"/>
    <n v="66000000"/>
  </r>
  <r>
    <d v="2024-07-16T00:00:00"/>
    <x v="0"/>
    <x v="6"/>
    <x v="28"/>
    <x v="15"/>
    <x v="10"/>
    <x v="9"/>
    <x v="1"/>
    <n v="85600000"/>
  </r>
  <r>
    <d v="2024-07-16T00:00:00"/>
    <x v="0"/>
    <x v="6"/>
    <x v="28"/>
    <x v="15"/>
    <x v="5"/>
    <x v="5"/>
    <x v="3"/>
    <n v="2128293547"/>
  </r>
  <r>
    <d v="2024-07-16T00:00:00"/>
    <x v="0"/>
    <x v="6"/>
    <x v="28"/>
    <x v="15"/>
    <x v="0"/>
    <x v="0"/>
    <x v="0"/>
    <n v="3683500000"/>
  </r>
  <r>
    <d v="2024-07-16T00:00:00"/>
    <x v="0"/>
    <x v="6"/>
    <x v="28"/>
    <x v="15"/>
    <x v="8"/>
    <x v="8"/>
    <x v="1"/>
    <n v="2012290000"/>
  </r>
  <r>
    <d v="2024-07-16T00:00:00"/>
    <x v="0"/>
    <x v="6"/>
    <x v="28"/>
    <x v="15"/>
    <x v="1"/>
    <x v="1"/>
    <x v="1"/>
    <n v="30500000"/>
  </r>
  <r>
    <d v="2024-07-16T00:00:00"/>
    <x v="0"/>
    <x v="6"/>
    <x v="28"/>
    <x v="15"/>
    <x v="7"/>
    <x v="7"/>
    <x v="4"/>
    <n v="145346445"/>
  </r>
  <r>
    <d v="2024-07-17T00:00:00"/>
    <x v="0"/>
    <x v="6"/>
    <x v="28"/>
    <x v="16"/>
    <x v="10"/>
    <x v="9"/>
    <x v="1"/>
    <n v="78850000"/>
  </r>
  <r>
    <d v="2024-07-17T00:00:00"/>
    <x v="0"/>
    <x v="6"/>
    <x v="28"/>
    <x v="16"/>
    <x v="3"/>
    <x v="3"/>
    <x v="1"/>
    <n v="124950000"/>
  </r>
  <r>
    <d v="2024-07-17T00:00:00"/>
    <x v="0"/>
    <x v="6"/>
    <x v="28"/>
    <x v="16"/>
    <x v="6"/>
    <x v="6"/>
    <x v="0"/>
    <n v="35000000"/>
  </r>
  <r>
    <d v="2024-07-17T00:00:00"/>
    <x v="0"/>
    <x v="6"/>
    <x v="28"/>
    <x v="16"/>
    <x v="7"/>
    <x v="7"/>
    <x v="4"/>
    <n v="128517336"/>
  </r>
  <r>
    <d v="2024-07-17T00:00:00"/>
    <x v="0"/>
    <x v="6"/>
    <x v="28"/>
    <x v="16"/>
    <x v="1"/>
    <x v="1"/>
    <x v="1"/>
    <n v="72750000"/>
  </r>
  <r>
    <d v="2024-07-17T00:00:00"/>
    <x v="0"/>
    <x v="6"/>
    <x v="28"/>
    <x v="16"/>
    <x v="9"/>
    <x v="9"/>
    <x v="1"/>
    <n v="6420000"/>
  </r>
  <r>
    <d v="2024-07-17T00:00:00"/>
    <x v="0"/>
    <x v="6"/>
    <x v="28"/>
    <x v="16"/>
    <x v="11"/>
    <x v="10"/>
    <x v="4"/>
    <n v="10828315"/>
  </r>
  <r>
    <d v="2024-07-17T00:00:00"/>
    <x v="0"/>
    <x v="6"/>
    <x v="28"/>
    <x v="16"/>
    <x v="8"/>
    <x v="8"/>
    <x v="1"/>
    <n v="1924930000"/>
  </r>
  <r>
    <d v="2024-07-17T00:00:00"/>
    <x v="0"/>
    <x v="6"/>
    <x v="28"/>
    <x v="16"/>
    <x v="0"/>
    <x v="0"/>
    <x v="0"/>
    <n v="3576000000"/>
  </r>
  <r>
    <d v="2024-07-17T00:00:00"/>
    <x v="0"/>
    <x v="6"/>
    <x v="28"/>
    <x v="16"/>
    <x v="2"/>
    <x v="2"/>
    <x v="1"/>
    <n v="5384580000"/>
  </r>
  <r>
    <d v="2024-07-17T00:00:00"/>
    <x v="0"/>
    <x v="6"/>
    <x v="28"/>
    <x v="16"/>
    <x v="5"/>
    <x v="5"/>
    <x v="3"/>
    <n v="2231225552"/>
  </r>
  <r>
    <d v="2024-07-17T00:00:00"/>
    <x v="0"/>
    <x v="6"/>
    <x v="28"/>
    <x v="16"/>
    <x v="12"/>
    <x v="11"/>
    <x v="1"/>
    <n v="4858670000"/>
  </r>
  <r>
    <d v="2024-07-18T00:00:00"/>
    <x v="0"/>
    <x v="6"/>
    <x v="28"/>
    <x v="17"/>
    <x v="1"/>
    <x v="1"/>
    <x v="1"/>
    <n v="56750000"/>
  </r>
  <r>
    <d v="2024-07-18T00:00:00"/>
    <x v="0"/>
    <x v="6"/>
    <x v="28"/>
    <x v="17"/>
    <x v="10"/>
    <x v="9"/>
    <x v="1"/>
    <n v="60800000"/>
  </r>
  <r>
    <d v="2024-07-18T00:00:00"/>
    <x v="0"/>
    <x v="6"/>
    <x v="28"/>
    <x v="17"/>
    <x v="12"/>
    <x v="11"/>
    <x v="1"/>
    <n v="4168970000"/>
  </r>
  <r>
    <d v="2024-07-18T00:00:00"/>
    <x v="0"/>
    <x v="6"/>
    <x v="28"/>
    <x v="17"/>
    <x v="9"/>
    <x v="9"/>
    <x v="1"/>
    <n v="0"/>
  </r>
  <r>
    <d v="2024-07-18T00:00:00"/>
    <x v="0"/>
    <x v="6"/>
    <x v="28"/>
    <x v="17"/>
    <x v="11"/>
    <x v="10"/>
    <x v="4"/>
    <n v="9022790"/>
  </r>
  <r>
    <d v="2024-07-18T00:00:00"/>
    <x v="0"/>
    <x v="6"/>
    <x v="28"/>
    <x v="17"/>
    <x v="8"/>
    <x v="8"/>
    <x v="1"/>
    <n v="1873570000"/>
  </r>
  <r>
    <d v="2024-07-18T00:00:00"/>
    <x v="0"/>
    <x v="6"/>
    <x v="28"/>
    <x v="17"/>
    <x v="3"/>
    <x v="3"/>
    <x v="1"/>
    <n v="433700000"/>
  </r>
  <r>
    <d v="2024-07-18T00:00:00"/>
    <x v="0"/>
    <x v="6"/>
    <x v="28"/>
    <x v="17"/>
    <x v="5"/>
    <x v="5"/>
    <x v="3"/>
    <n v="2190605646"/>
  </r>
  <r>
    <d v="2024-07-18T00:00:00"/>
    <x v="0"/>
    <x v="6"/>
    <x v="28"/>
    <x v="17"/>
    <x v="6"/>
    <x v="6"/>
    <x v="0"/>
    <n v="33000000"/>
  </r>
  <r>
    <d v="2024-07-18T00:00:00"/>
    <x v="0"/>
    <x v="6"/>
    <x v="28"/>
    <x v="17"/>
    <x v="0"/>
    <x v="0"/>
    <x v="0"/>
    <n v="3498500000"/>
  </r>
  <r>
    <d v="2024-07-18T00:00:00"/>
    <x v="0"/>
    <x v="6"/>
    <x v="28"/>
    <x v="17"/>
    <x v="7"/>
    <x v="7"/>
    <x v="4"/>
    <n v="157932849"/>
  </r>
  <r>
    <d v="2024-07-18T00:00:00"/>
    <x v="0"/>
    <x v="6"/>
    <x v="28"/>
    <x v="17"/>
    <x v="2"/>
    <x v="2"/>
    <x v="1"/>
    <n v="4825660000"/>
  </r>
  <r>
    <d v="2024-07-19T00:00:00"/>
    <x v="0"/>
    <x v="6"/>
    <x v="28"/>
    <x v="18"/>
    <x v="5"/>
    <x v="5"/>
    <x v="3"/>
    <n v="2117265272"/>
  </r>
  <r>
    <d v="2024-07-19T00:00:00"/>
    <x v="0"/>
    <x v="6"/>
    <x v="28"/>
    <x v="18"/>
    <x v="12"/>
    <x v="11"/>
    <x v="1"/>
    <n v="4201050000"/>
  </r>
  <r>
    <d v="2024-07-19T00:00:00"/>
    <x v="0"/>
    <x v="6"/>
    <x v="28"/>
    <x v="18"/>
    <x v="9"/>
    <x v="9"/>
    <x v="1"/>
    <n v="0"/>
  </r>
  <r>
    <d v="2024-07-19T00:00:00"/>
    <x v="0"/>
    <x v="6"/>
    <x v="28"/>
    <x v="18"/>
    <x v="1"/>
    <x v="1"/>
    <x v="1"/>
    <n v="68250000"/>
  </r>
  <r>
    <d v="2024-07-19T00:00:00"/>
    <x v="0"/>
    <x v="6"/>
    <x v="28"/>
    <x v="18"/>
    <x v="2"/>
    <x v="2"/>
    <x v="1"/>
    <n v="5094720000"/>
  </r>
  <r>
    <d v="2024-07-19T00:00:00"/>
    <x v="0"/>
    <x v="6"/>
    <x v="28"/>
    <x v="18"/>
    <x v="0"/>
    <x v="0"/>
    <x v="0"/>
    <n v="3561500000"/>
  </r>
  <r>
    <d v="2024-07-19T00:00:00"/>
    <x v="0"/>
    <x v="6"/>
    <x v="28"/>
    <x v="18"/>
    <x v="6"/>
    <x v="6"/>
    <x v="0"/>
    <n v="41000000"/>
  </r>
  <r>
    <d v="2024-07-19T00:00:00"/>
    <x v="0"/>
    <x v="6"/>
    <x v="28"/>
    <x v="18"/>
    <x v="7"/>
    <x v="7"/>
    <x v="4"/>
    <n v="152653326"/>
  </r>
  <r>
    <d v="2024-07-19T00:00:00"/>
    <x v="0"/>
    <x v="6"/>
    <x v="28"/>
    <x v="18"/>
    <x v="10"/>
    <x v="9"/>
    <x v="1"/>
    <n v="33170000"/>
  </r>
  <r>
    <d v="2024-07-19T00:00:00"/>
    <x v="0"/>
    <x v="6"/>
    <x v="28"/>
    <x v="18"/>
    <x v="11"/>
    <x v="10"/>
    <x v="4"/>
    <n v="13405660"/>
  </r>
  <r>
    <d v="2024-07-19T00:00:00"/>
    <x v="0"/>
    <x v="6"/>
    <x v="28"/>
    <x v="18"/>
    <x v="3"/>
    <x v="3"/>
    <x v="1"/>
    <n v="132300000"/>
  </r>
  <r>
    <d v="2024-07-19T00:00:00"/>
    <x v="0"/>
    <x v="6"/>
    <x v="28"/>
    <x v="18"/>
    <x v="8"/>
    <x v="8"/>
    <x v="1"/>
    <n v="1837560000"/>
  </r>
  <r>
    <d v="2024-07-20T00:00:00"/>
    <x v="0"/>
    <x v="6"/>
    <x v="28"/>
    <x v="19"/>
    <x v="12"/>
    <x v="11"/>
    <x v="1"/>
    <n v="4646480000"/>
  </r>
  <r>
    <d v="2024-07-20T00:00:00"/>
    <x v="0"/>
    <x v="6"/>
    <x v="28"/>
    <x v="19"/>
    <x v="8"/>
    <x v="8"/>
    <x v="1"/>
    <n v="1545380000"/>
  </r>
  <r>
    <d v="2024-07-20T00:00:00"/>
    <x v="0"/>
    <x v="6"/>
    <x v="28"/>
    <x v="19"/>
    <x v="7"/>
    <x v="7"/>
    <x v="4"/>
    <n v="138223219"/>
  </r>
  <r>
    <d v="2024-07-20T00:00:00"/>
    <x v="0"/>
    <x v="6"/>
    <x v="28"/>
    <x v="19"/>
    <x v="2"/>
    <x v="2"/>
    <x v="1"/>
    <n v="4421280000"/>
  </r>
  <r>
    <d v="2024-07-20T00:00:00"/>
    <x v="0"/>
    <x v="6"/>
    <x v="28"/>
    <x v="19"/>
    <x v="1"/>
    <x v="1"/>
    <x v="1"/>
    <n v="0"/>
  </r>
  <r>
    <d v="2024-07-20T00:00:00"/>
    <x v="0"/>
    <x v="6"/>
    <x v="28"/>
    <x v="19"/>
    <x v="10"/>
    <x v="9"/>
    <x v="1"/>
    <n v="53500000"/>
  </r>
  <r>
    <d v="2024-07-20T00:00:00"/>
    <x v="0"/>
    <x v="6"/>
    <x v="28"/>
    <x v="19"/>
    <x v="9"/>
    <x v="9"/>
    <x v="1"/>
    <n v="0"/>
  </r>
  <r>
    <d v="2024-07-20T00:00:00"/>
    <x v="0"/>
    <x v="6"/>
    <x v="28"/>
    <x v="19"/>
    <x v="6"/>
    <x v="6"/>
    <x v="0"/>
    <n v="21000000"/>
  </r>
  <r>
    <d v="2024-07-20T00:00:00"/>
    <x v="0"/>
    <x v="6"/>
    <x v="28"/>
    <x v="19"/>
    <x v="5"/>
    <x v="5"/>
    <x v="3"/>
    <n v="2068970344"/>
  </r>
  <r>
    <d v="2024-07-20T00:00:00"/>
    <x v="0"/>
    <x v="6"/>
    <x v="28"/>
    <x v="19"/>
    <x v="11"/>
    <x v="10"/>
    <x v="4"/>
    <n v="10894670"/>
  </r>
  <r>
    <d v="2024-07-20T00:00:00"/>
    <x v="0"/>
    <x v="6"/>
    <x v="28"/>
    <x v="19"/>
    <x v="3"/>
    <x v="3"/>
    <x v="1"/>
    <n v="161000000"/>
  </r>
  <r>
    <d v="2024-07-20T00:00:00"/>
    <x v="0"/>
    <x v="6"/>
    <x v="28"/>
    <x v="19"/>
    <x v="0"/>
    <x v="0"/>
    <x v="0"/>
    <n v="3867500000"/>
  </r>
  <r>
    <d v="2024-07-21T00:00:00"/>
    <x v="0"/>
    <x v="6"/>
    <x v="28"/>
    <x v="20"/>
    <x v="1"/>
    <x v="1"/>
    <x v="1"/>
    <n v="107100000"/>
  </r>
  <r>
    <d v="2024-07-21T00:00:00"/>
    <x v="0"/>
    <x v="6"/>
    <x v="28"/>
    <x v="20"/>
    <x v="8"/>
    <x v="8"/>
    <x v="1"/>
    <n v="960160000"/>
  </r>
  <r>
    <d v="2024-07-21T00:00:00"/>
    <x v="0"/>
    <x v="6"/>
    <x v="28"/>
    <x v="20"/>
    <x v="11"/>
    <x v="10"/>
    <x v="4"/>
    <n v="12703416"/>
  </r>
  <r>
    <d v="2024-07-21T00:00:00"/>
    <x v="0"/>
    <x v="6"/>
    <x v="28"/>
    <x v="20"/>
    <x v="9"/>
    <x v="9"/>
    <x v="1"/>
    <n v="0"/>
  </r>
  <r>
    <d v="2024-07-21T00:00:00"/>
    <x v="0"/>
    <x v="6"/>
    <x v="28"/>
    <x v="20"/>
    <x v="12"/>
    <x v="11"/>
    <x v="1"/>
    <n v="3745010000"/>
  </r>
  <r>
    <d v="2024-07-21T00:00:00"/>
    <x v="0"/>
    <x v="6"/>
    <x v="28"/>
    <x v="20"/>
    <x v="6"/>
    <x v="6"/>
    <x v="0"/>
    <n v="80000000"/>
  </r>
  <r>
    <d v="2024-07-21T00:00:00"/>
    <x v="0"/>
    <x v="6"/>
    <x v="28"/>
    <x v="20"/>
    <x v="10"/>
    <x v="9"/>
    <x v="1"/>
    <n v="97180000"/>
  </r>
  <r>
    <d v="2024-07-21T00:00:00"/>
    <x v="0"/>
    <x v="6"/>
    <x v="28"/>
    <x v="20"/>
    <x v="0"/>
    <x v="0"/>
    <x v="0"/>
    <n v="3139000000"/>
  </r>
  <r>
    <d v="2024-07-21T00:00:00"/>
    <x v="0"/>
    <x v="6"/>
    <x v="28"/>
    <x v="20"/>
    <x v="2"/>
    <x v="2"/>
    <x v="1"/>
    <n v="3950210000"/>
  </r>
  <r>
    <d v="2024-07-21T00:00:00"/>
    <x v="0"/>
    <x v="6"/>
    <x v="28"/>
    <x v="20"/>
    <x v="3"/>
    <x v="3"/>
    <x v="1"/>
    <n v="70350000"/>
  </r>
  <r>
    <d v="2024-07-21T00:00:00"/>
    <x v="0"/>
    <x v="6"/>
    <x v="28"/>
    <x v="20"/>
    <x v="5"/>
    <x v="5"/>
    <x v="3"/>
    <n v="1721068296"/>
  </r>
  <r>
    <d v="2024-07-21T00:00:00"/>
    <x v="0"/>
    <x v="6"/>
    <x v="28"/>
    <x v="20"/>
    <x v="7"/>
    <x v="7"/>
    <x v="4"/>
    <n v="158575918"/>
  </r>
  <r>
    <d v="2024-07-22T00:00:00"/>
    <x v="0"/>
    <x v="6"/>
    <x v="29"/>
    <x v="21"/>
    <x v="9"/>
    <x v="9"/>
    <x v="1"/>
    <n v="0"/>
  </r>
  <r>
    <d v="2024-07-22T00:00:00"/>
    <x v="0"/>
    <x v="6"/>
    <x v="29"/>
    <x v="21"/>
    <x v="12"/>
    <x v="11"/>
    <x v="1"/>
    <n v="3720450000"/>
  </r>
  <r>
    <d v="2024-07-22T00:00:00"/>
    <x v="0"/>
    <x v="6"/>
    <x v="29"/>
    <x v="21"/>
    <x v="3"/>
    <x v="3"/>
    <x v="1"/>
    <n v="163100000"/>
  </r>
  <r>
    <d v="2024-07-22T00:00:00"/>
    <x v="0"/>
    <x v="6"/>
    <x v="29"/>
    <x v="21"/>
    <x v="10"/>
    <x v="9"/>
    <x v="1"/>
    <n v="83460000"/>
  </r>
  <r>
    <d v="2024-07-22T00:00:00"/>
    <x v="0"/>
    <x v="6"/>
    <x v="29"/>
    <x v="21"/>
    <x v="5"/>
    <x v="5"/>
    <x v="3"/>
    <n v="2571930778"/>
  </r>
  <r>
    <d v="2024-07-22T00:00:00"/>
    <x v="0"/>
    <x v="6"/>
    <x v="29"/>
    <x v="21"/>
    <x v="6"/>
    <x v="6"/>
    <x v="0"/>
    <n v="22000000"/>
  </r>
  <r>
    <d v="2024-07-22T00:00:00"/>
    <x v="0"/>
    <x v="6"/>
    <x v="29"/>
    <x v="21"/>
    <x v="1"/>
    <x v="1"/>
    <x v="1"/>
    <n v="36750000"/>
  </r>
  <r>
    <d v="2024-07-22T00:00:00"/>
    <x v="0"/>
    <x v="6"/>
    <x v="29"/>
    <x v="21"/>
    <x v="7"/>
    <x v="7"/>
    <x v="4"/>
    <n v="131678489"/>
  </r>
  <r>
    <d v="2024-07-22T00:00:00"/>
    <x v="0"/>
    <x v="6"/>
    <x v="29"/>
    <x v="21"/>
    <x v="0"/>
    <x v="0"/>
    <x v="0"/>
    <n v="3913500000"/>
  </r>
  <r>
    <d v="2024-07-22T00:00:00"/>
    <x v="0"/>
    <x v="6"/>
    <x v="29"/>
    <x v="21"/>
    <x v="2"/>
    <x v="2"/>
    <x v="1"/>
    <n v="5346920000"/>
  </r>
  <r>
    <d v="2024-07-22T00:00:00"/>
    <x v="0"/>
    <x v="6"/>
    <x v="29"/>
    <x v="21"/>
    <x v="8"/>
    <x v="8"/>
    <x v="1"/>
    <n v="1866450000"/>
  </r>
  <r>
    <d v="2024-07-22T00:00:00"/>
    <x v="0"/>
    <x v="6"/>
    <x v="29"/>
    <x v="21"/>
    <x v="11"/>
    <x v="10"/>
    <x v="4"/>
    <n v="10525050"/>
  </r>
  <r>
    <d v="2024-07-23T00:00:00"/>
    <x v="0"/>
    <x v="6"/>
    <x v="29"/>
    <x v="22"/>
    <x v="5"/>
    <x v="5"/>
    <x v="3"/>
    <n v="2435350914"/>
  </r>
  <r>
    <d v="2024-07-23T00:00:00"/>
    <x v="0"/>
    <x v="6"/>
    <x v="29"/>
    <x v="22"/>
    <x v="6"/>
    <x v="6"/>
    <x v="0"/>
    <n v="68000000"/>
  </r>
  <r>
    <d v="2024-07-23T00:00:00"/>
    <x v="0"/>
    <x v="6"/>
    <x v="29"/>
    <x v="22"/>
    <x v="0"/>
    <x v="0"/>
    <x v="0"/>
    <n v="3292000000"/>
  </r>
  <r>
    <d v="2024-07-23T00:00:00"/>
    <x v="0"/>
    <x v="6"/>
    <x v="29"/>
    <x v="22"/>
    <x v="9"/>
    <x v="9"/>
    <x v="1"/>
    <n v="0"/>
  </r>
  <r>
    <d v="2024-07-23T00:00:00"/>
    <x v="0"/>
    <x v="6"/>
    <x v="29"/>
    <x v="22"/>
    <x v="11"/>
    <x v="10"/>
    <x v="4"/>
    <n v="30159214"/>
  </r>
  <r>
    <d v="2024-07-23T00:00:00"/>
    <x v="0"/>
    <x v="6"/>
    <x v="29"/>
    <x v="22"/>
    <x v="8"/>
    <x v="8"/>
    <x v="1"/>
    <n v="1231570000"/>
  </r>
  <r>
    <d v="2024-07-23T00:00:00"/>
    <x v="0"/>
    <x v="6"/>
    <x v="29"/>
    <x v="22"/>
    <x v="12"/>
    <x v="11"/>
    <x v="1"/>
    <n v="1803840000"/>
  </r>
  <r>
    <d v="2024-07-23T00:00:00"/>
    <x v="0"/>
    <x v="6"/>
    <x v="29"/>
    <x v="22"/>
    <x v="7"/>
    <x v="7"/>
    <x v="4"/>
    <n v="127240658"/>
  </r>
  <r>
    <d v="2024-07-23T00:00:00"/>
    <x v="0"/>
    <x v="6"/>
    <x v="29"/>
    <x v="22"/>
    <x v="1"/>
    <x v="1"/>
    <x v="1"/>
    <n v="44100000"/>
  </r>
  <r>
    <d v="2024-07-23T00:00:00"/>
    <x v="0"/>
    <x v="6"/>
    <x v="29"/>
    <x v="22"/>
    <x v="3"/>
    <x v="3"/>
    <x v="1"/>
    <n v="166900000"/>
  </r>
  <r>
    <d v="2024-07-23T00:00:00"/>
    <x v="0"/>
    <x v="6"/>
    <x v="29"/>
    <x v="22"/>
    <x v="10"/>
    <x v="9"/>
    <x v="1"/>
    <n v="117720000"/>
  </r>
  <r>
    <d v="2024-07-23T00:00:00"/>
    <x v="0"/>
    <x v="6"/>
    <x v="29"/>
    <x v="22"/>
    <x v="2"/>
    <x v="2"/>
    <x v="1"/>
    <n v="4898300000"/>
  </r>
  <r>
    <d v="2024-07-24T00:00:00"/>
    <x v="0"/>
    <x v="6"/>
    <x v="29"/>
    <x v="23"/>
    <x v="0"/>
    <x v="0"/>
    <x v="0"/>
    <n v="3713500000"/>
  </r>
  <r>
    <d v="2024-07-24T00:00:00"/>
    <x v="0"/>
    <x v="6"/>
    <x v="29"/>
    <x v="23"/>
    <x v="2"/>
    <x v="2"/>
    <x v="1"/>
    <n v="4406610000"/>
  </r>
  <r>
    <d v="2024-07-24T00:00:00"/>
    <x v="0"/>
    <x v="6"/>
    <x v="29"/>
    <x v="23"/>
    <x v="11"/>
    <x v="10"/>
    <x v="4"/>
    <n v="25099365"/>
  </r>
  <r>
    <d v="2024-07-24T00:00:00"/>
    <x v="0"/>
    <x v="6"/>
    <x v="29"/>
    <x v="23"/>
    <x v="1"/>
    <x v="1"/>
    <x v="1"/>
    <n v="30500000"/>
  </r>
  <r>
    <d v="2024-07-24T00:00:00"/>
    <x v="0"/>
    <x v="6"/>
    <x v="29"/>
    <x v="23"/>
    <x v="5"/>
    <x v="5"/>
    <x v="3"/>
    <n v="2701304333"/>
  </r>
  <r>
    <d v="2024-07-24T00:00:00"/>
    <x v="0"/>
    <x v="6"/>
    <x v="29"/>
    <x v="23"/>
    <x v="7"/>
    <x v="7"/>
    <x v="4"/>
    <n v="145479476"/>
  </r>
  <r>
    <d v="2024-07-24T00:00:00"/>
    <x v="0"/>
    <x v="6"/>
    <x v="29"/>
    <x v="23"/>
    <x v="9"/>
    <x v="9"/>
    <x v="1"/>
    <n v="17120000"/>
  </r>
  <r>
    <d v="2024-07-24T00:00:00"/>
    <x v="0"/>
    <x v="6"/>
    <x v="29"/>
    <x v="23"/>
    <x v="10"/>
    <x v="9"/>
    <x v="1"/>
    <n v="73130000"/>
  </r>
  <r>
    <d v="2024-07-24T00:00:00"/>
    <x v="0"/>
    <x v="6"/>
    <x v="29"/>
    <x v="23"/>
    <x v="3"/>
    <x v="3"/>
    <x v="1"/>
    <n v="379350000"/>
  </r>
  <r>
    <d v="2024-07-24T00:00:00"/>
    <x v="0"/>
    <x v="6"/>
    <x v="29"/>
    <x v="23"/>
    <x v="12"/>
    <x v="11"/>
    <x v="1"/>
    <n v="2588010000"/>
  </r>
  <r>
    <d v="2024-07-24T00:00:00"/>
    <x v="0"/>
    <x v="6"/>
    <x v="29"/>
    <x v="23"/>
    <x v="6"/>
    <x v="6"/>
    <x v="0"/>
    <n v="78000000"/>
  </r>
  <r>
    <d v="2024-07-24T00:00:00"/>
    <x v="0"/>
    <x v="6"/>
    <x v="29"/>
    <x v="23"/>
    <x v="8"/>
    <x v="8"/>
    <x v="1"/>
    <n v="1388860000"/>
  </r>
  <r>
    <d v="2024-07-25T00:00:00"/>
    <x v="0"/>
    <x v="6"/>
    <x v="29"/>
    <x v="24"/>
    <x v="8"/>
    <x v="8"/>
    <x v="1"/>
    <n v="1798110000"/>
  </r>
  <r>
    <d v="2024-07-25T00:00:00"/>
    <x v="0"/>
    <x v="6"/>
    <x v="29"/>
    <x v="24"/>
    <x v="12"/>
    <x v="11"/>
    <x v="1"/>
    <n v="2060060000"/>
  </r>
  <r>
    <d v="2024-07-25T00:00:00"/>
    <x v="0"/>
    <x v="6"/>
    <x v="29"/>
    <x v="24"/>
    <x v="9"/>
    <x v="9"/>
    <x v="1"/>
    <n v="0"/>
  </r>
  <r>
    <d v="2024-07-25T00:00:00"/>
    <x v="0"/>
    <x v="6"/>
    <x v="29"/>
    <x v="24"/>
    <x v="1"/>
    <x v="1"/>
    <x v="1"/>
    <n v="31500000"/>
  </r>
  <r>
    <d v="2024-07-25T00:00:00"/>
    <x v="0"/>
    <x v="6"/>
    <x v="29"/>
    <x v="24"/>
    <x v="11"/>
    <x v="10"/>
    <x v="4"/>
    <n v="17444360"/>
  </r>
  <r>
    <d v="2024-07-25T00:00:00"/>
    <x v="0"/>
    <x v="6"/>
    <x v="29"/>
    <x v="24"/>
    <x v="3"/>
    <x v="3"/>
    <x v="1"/>
    <n v="122100000"/>
  </r>
  <r>
    <d v="2024-07-25T00:00:00"/>
    <x v="0"/>
    <x v="6"/>
    <x v="29"/>
    <x v="24"/>
    <x v="6"/>
    <x v="6"/>
    <x v="0"/>
    <n v="64000000"/>
  </r>
  <r>
    <d v="2024-07-25T00:00:00"/>
    <x v="0"/>
    <x v="6"/>
    <x v="29"/>
    <x v="24"/>
    <x v="10"/>
    <x v="9"/>
    <x v="1"/>
    <n v="36380000"/>
  </r>
  <r>
    <d v="2024-07-25T00:00:00"/>
    <x v="0"/>
    <x v="6"/>
    <x v="29"/>
    <x v="24"/>
    <x v="5"/>
    <x v="5"/>
    <x v="3"/>
    <n v="2846138674"/>
  </r>
  <r>
    <d v="2024-07-25T00:00:00"/>
    <x v="0"/>
    <x v="6"/>
    <x v="29"/>
    <x v="24"/>
    <x v="7"/>
    <x v="7"/>
    <x v="4"/>
    <n v="126943044"/>
  </r>
  <r>
    <d v="2024-07-25T00:00:00"/>
    <x v="0"/>
    <x v="6"/>
    <x v="29"/>
    <x v="24"/>
    <x v="2"/>
    <x v="2"/>
    <x v="1"/>
    <n v="4960040000"/>
  </r>
  <r>
    <d v="2024-07-25T00:00:00"/>
    <x v="0"/>
    <x v="6"/>
    <x v="29"/>
    <x v="24"/>
    <x v="0"/>
    <x v="0"/>
    <x v="0"/>
    <n v="3726500000"/>
  </r>
  <r>
    <d v="2024-07-26T00:00:00"/>
    <x v="0"/>
    <x v="6"/>
    <x v="29"/>
    <x v="25"/>
    <x v="12"/>
    <x v="11"/>
    <x v="1"/>
    <n v="1943320000"/>
  </r>
  <r>
    <d v="2024-07-26T00:00:00"/>
    <x v="0"/>
    <x v="6"/>
    <x v="29"/>
    <x v="25"/>
    <x v="11"/>
    <x v="10"/>
    <x v="4"/>
    <n v="26429843"/>
  </r>
  <r>
    <d v="2024-07-26T00:00:00"/>
    <x v="0"/>
    <x v="6"/>
    <x v="29"/>
    <x v="25"/>
    <x v="3"/>
    <x v="3"/>
    <x v="1"/>
    <n v="106050000"/>
  </r>
  <r>
    <d v="2024-07-26T00:00:00"/>
    <x v="0"/>
    <x v="6"/>
    <x v="29"/>
    <x v="25"/>
    <x v="7"/>
    <x v="7"/>
    <x v="4"/>
    <n v="127690262"/>
  </r>
  <r>
    <d v="2024-07-26T00:00:00"/>
    <x v="0"/>
    <x v="6"/>
    <x v="29"/>
    <x v="25"/>
    <x v="6"/>
    <x v="6"/>
    <x v="0"/>
    <n v="28000000"/>
  </r>
  <r>
    <d v="2024-07-26T00:00:00"/>
    <x v="0"/>
    <x v="6"/>
    <x v="29"/>
    <x v="25"/>
    <x v="0"/>
    <x v="0"/>
    <x v="0"/>
    <n v="3517000000"/>
  </r>
  <r>
    <d v="2024-07-26T00:00:00"/>
    <x v="0"/>
    <x v="6"/>
    <x v="29"/>
    <x v="25"/>
    <x v="8"/>
    <x v="8"/>
    <x v="1"/>
    <n v="2143740000"/>
  </r>
  <r>
    <d v="2024-07-26T00:00:00"/>
    <x v="0"/>
    <x v="6"/>
    <x v="29"/>
    <x v="25"/>
    <x v="9"/>
    <x v="9"/>
    <x v="1"/>
    <n v="0"/>
  </r>
  <r>
    <d v="2024-07-26T00:00:00"/>
    <x v="0"/>
    <x v="6"/>
    <x v="29"/>
    <x v="25"/>
    <x v="10"/>
    <x v="9"/>
    <x v="1"/>
    <n v="19260000"/>
  </r>
  <r>
    <d v="2024-07-26T00:00:00"/>
    <x v="0"/>
    <x v="6"/>
    <x v="29"/>
    <x v="25"/>
    <x v="1"/>
    <x v="1"/>
    <x v="1"/>
    <n v="15750000"/>
  </r>
  <r>
    <d v="2024-07-26T00:00:00"/>
    <x v="0"/>
    <x v="6"/>
    <x v="29"/>
    <x v="25"/>
    <x v="5"/>
    <x v="5"/>
    <x v="3"/>
    <n v="2377981093"/>
  </r>
  <r>
    <d v="2024-07-26T00:00:00"/>
    <x v="0"/>
    <x v="6"/>
    <x v="29"/>
    <x v="25"/>
    <x v="2"/>
    <x v="2"/>
    <x v="1"/>
    <n v="4463500000"/>
  </r>
  <r>
    <d v="2024-07-27T00:00:00"/>
    <x v="0"/>
    <x v="6"/>
    <x v="29"/>
    <x v="26"/>
    <x v="3"/>
    <x v="3"/>
    <x v="1"/>
    <n v="80850000"/>
  </r>
  <r>
    <d v="2024-07-27T00:00:00"/>
    <x v="0"/>
    <x v="6"/>
    <x v="29"/>
    <x v="26"/>
    <x v="5"/>
    <x v="5"/>
    <x v="3"/>
    <n v="1777002702"/>
  </r>
  <r>
    <d v="2024-07-27T00:00:00"/>
    <x v="0"/>
    <x v="6"/>
    <x v="29"/>
    <x v="26"/>
    <x v="10"/>
    <x v="9"/>
    <x v="1"/>
    <n v="10700000"/>
  </r>
  <r>
    <d v="2024-07-27T00:00:00"/>
    <x v="0"/>
    <x v="6"/>
    <x v="29"/>
    <x v="26"/>
    <x v="8"/>
    <x v="8"/>
    <x v="1"/>
    <n v="2080470000"/>
  </r>
  <r>
    <d v="2024-07-27T00:00:00"/>
    <x v="0"/>
    <x v="6"/>
    <x v="29"/>
    <x v="26"/>
    <x v="6"/>
    <x v="6"/>
    <x v="0"/>
    <n v="76000000"/>
  </r>
  <r>
    <d v="2024-07-27T00:00:00"/>
    <x v="0"/>
    <x v="6"/>
    <x v="29"/>
    <x v="26"/>
    <x v="0"/>
    <x v="0"/>
    <x v="0"/>
    <n v="3142500000"/>
  </r>
  <r>
    <d v="2024-07-27T00:00:00"/>
    <x v="0"/>
    <x v="6"/>
    <x v="29"/>
    <x v="26"/>
    <x v="12"/>
    <x v="11"/>
    <x v="1"/>
    <n v="1986040000"/>
  </r>
  <r>
    <d v="2024-07-27T00:00:00"/>
    <x v="0"/>
    <x v="6"/>
    <x v="29"/>
    <x v="26"/>
    <x v="7"/>
    <x v="7"/>
    <x v="4"/>
    <n v="121497473"/>
  </r>
  <r>
    <d v="2024-07-27T00:00:00"/>
    <x v="0"/>
    <x v="6"/>
    <x v="29"/>
    <x v="26"/>
    <x v="1"/>
    <x v="1"/>
    <x v="1"/>
    <n v="31500000"/>
  </r>
  <r>
    <d v="2024-07-27T00:00:00"/>
    <x v="0"/>
    <x v="6"/>
    <x v="29"/>
    <x v="26"/>
    <x v="11"/>
    <x v="10"/>
    <x v="4"/>
    <n v="30815077"/>
  </r>
  <r>
    <d v="2024-07-27T00:00:00"/>
    <x v="0"/>
    <x v="6"/>
    <x v="29"/>
    <x v="26"/>
    <x v="2"/>
    <x v="2"/>
    <x v="1"/>
    <n v="4005940000"/>
  </r>
  <r>
    <d v="2024-07-27T00:00:00"/>
    <x v="0"/>
    <x v="6"/>
    <x v="29"/>
    <x v="26"/>
    <x v="9"/>
    <x v="9"/>
    <x v="1"/>
    <n v="0"/>
  </r>
  <r>
    <d v="2024-07-28T00:00:00"/>
    <x v="0"/>
    <x v="6"/>
    <x v="29"/>
    <x v="27"/>
    <x v="5"/>
    <x v="5"/>
    <x v="3"/>
    <n v="1877564120"/>
  </r>
  <r>
    <d v="2024-07-28T00:00:00"/>
    <x v="0"/>
    <x v="6"/>
    <x v="29"/>
    <x v="27"/>
    <x v="3"/>
    <x v="3"/>
    <x v="1"/>
    <n v="161900000"/>
  </r>
  <r>
    <d v="2024-07-28T00:00:00"/>
    <x v="0"/>
    <x v="6"/>
    <x v="29"/>
    <x v="27"/>
    <x v="9"/>
    <x v="9"/>
    <x v="1"/>
    <n v="26420000"/>
  </r>
  <r>
    <d v="2024-07-28T00:00:00"/>
    <x v="0"/>
    <x v="6"/>
    <x v="29"/>
    <x v="27"/>
    <x v="1"/>
    <x v="1"/>
    <x v="1"/>
    <n v="31500000"/>
  </r>
  <r>
    <d v="2024-07-28T00:00:00"/>
    <x v="0"/>
    <x v="6"/>
    <x v="29"/>
    <x v="27"/>
    <x v="11"/>
    <x v="10"/>
    <x v="4"/>
    <n v="25744120"/>
  </r>
  <r>
    <d v="2024-07-28T00:00:00"/>
    <x v="0"/>
    <x v="6"/>
    <x v="29"/>
    <x v="27"/>
    <x v="10"/>
    <x v="9"/>
    <x v="1"/>
    <n v="10000000"/>
  </r>
  <r>
    <d v="2024-07-28T00:00:00"/>
    <x v="0"/>
    <x v="6"/>
    <x v="29"/>
    <x v="27"/>
    <x v="8"/>
    <x v="8"/>
    <x v="1"/>
    <n v="968350000"/>
  </r>
  <r>
    <d v="2024-07-28T00:00:00"/>
    <x v="0"/>
    <x v="6"/>
    <x v="29"/>
    <x v="27"/>
    <x v="0"/>
    <x v="0"/>
    <x v="0"/>
    <n v="3041500000"/>
  </r>
  <r>
    <d v="2024-07-28T00:00:00"/>
    <x v="0"/>
    <x v="6"/>
    <x v="29"/>
    <x v="27"/>
    <x v="7"/>
    <x v="7"/>
    <x v="4"/>
    <n v="137865797"/>
  </r>
  <r>
    <d v="2024-07-28T00:00:00"/>
    <x v="0"/>
    <x v="6"/>
    <x v="29"/>
    <x v="27"/>
    <x v="6"/>
    <x v="6"/>
    <x v="0"/>
    <n v="12000000"/>
  </r>
  <r>
    <d v="2024-07-28T00:00:00"/>
    <x v="0"/>
    <x v="6"/>
    <x v="29"/>
    <x v="27"/>
    <x v="12"/>
    <x v="11"/>
    <x v="1"/>
    <n v="1762040000"/>
  </r>
  <r>
    <d v="2024-07-28T00:00:00"/>
    <x v="0"/>
    <x v="6"/>
    <x v="29"/>
    <x v="27"/>
    <x v="2"/>
    <x v="2"/>
    <x v="1"/>
    <n v="3657320000"/>
  </r>
  <r>
    <d v="2024-07-29T00:00:00"/>
    <x v="0"/>
    <x v="6"/>
    <x v="30"/>
    <x v="28"/>
    <x v="0"/>
    <x v="0"/>
    <x v="0"/>
    <n v="3530000000"/>
  </r>
  <r>
    <d v="2024-07-29T00:00:00"/>
    <x v="0"/>
    <x v="6"/>
    <x v="30"/>
    <x v="28"/>
    <x v="6"/>
    <x v="6"/>
    <x v="0"/>
    <n v="87000000"/>
  </r>
  <r>
    <d v="2024-07-29T00:00:00"/>
    <x v="0"/>
    <x v="6"/>
    <x v="30"/>
    <x v="28"/>
    <x v="2"/>
    <x v="2"/>
    <x v="1"/>
    <n v="4645080000"/>
  </r>
  <r>
    <d v="2024-07-29T00:00:00"/>
    <x v="0"/>
    <x v="6"/>
    <x v="30"/>
    <x v="28"/>
    <x v="7"/>
    <x v="7"/>
    <x v="4"/>
    <n v="130034933"/>
  </r>
  <r>
    <d v="2024-07-29T00:00:00"/>
    <x v="0"/>
    <x v="6"/>
    <x v="30"/>
    <x v="28"/>
    <x v="10"/>
    <x v="9"/>
    <x v="1"/>
    <n v="37450000"/>
  </r>
  <r>
    <d v="2024-07-29T00:00:00"/>
    <x v="0"/>
    <x v="6"/>
    <x v="30"/>
    <x v="28"/>
    <x v="5"/>
    <x v="5"/>
    <x v="3"/>
    <n v="2529088864"/>
  </r>
  <r>
    <d v="2024-07-29T00:00:00"/>
    <x v="0"/>
    <x v="6"/>
    <x v="30"/>
    <x v="28"/>
    <x v="11"/>
    <x v="10"/>
    <x v="4"/>
    <n v="24335824"/>
  </r>
  <r>
    <d v="2024-07-29T00:00:00"/>
    <x v="0"/>
    <x v="6"/>
    <x v="30"/>
    <x v="28"/>
    <x v="9"/>
    <x v="9"/>
    <x v="1"/>
    <n v="18000000"/>
  </r>
  <r>
    <d v="2024-07-29T00:00:00"/>
    <x v="0"/>
    <x v="6"/>
    <x v="30"/>
    <x v="28"/>
    <x v="8"/>
    <x v="8"/>
    <x v="1"/>
    <n v="1843980000"/>
  </r>
  <r>
    <d v="2024-07-29T00:00:00"/>
    <x v="0"/>
    <x v="6"/>
    <x v="30"/>
    <x v="28"/>
    <x v="12"/>
    <x v="11"/>
    <x v="1"/>
    <n v="2043710000"/>
  </r>
  <r>
    <d v="2024-07-29T00:00:00"/>
    <x v="0"/>
    <x v="6"/>
    <x v="30"/>
    <x v="28"/>
    <x v="1"/>
    <x v="1"/>
    <x v="1"/>
    <n v="0"/>
  </r>
  <r>
    <d v="2024-07-29T00:00:00"/>
    <x v="0"/>
    <x v="6"/>
    <x v="30"/>
    <x v="28"/>
    <x v="3"/>
    <x v="3"/>
    <x v="1"/>
    <n v="117600000"/>
  </r>
  <r>
    <d v="2024-07-30T00:00:00"/>
    <x v="0"/>
    <x v="6"/>
    <x v="30"/>
    <x v="29"/>
    <x v="10"/>
    <x v="9"/>
    <x v="1"/>
    <n v="14980000"/>
  </r>
  <r>
    <d v="2024-07-30T00:00:00"/>
    <x v="0"/>
    <x v="6"/>
    <x v="30"/>
    <x v="29"/>
    <x v="3"/>
    <x v="3"/>
    <x v="1"/>
    <n v="132850000"/>
  </r>
  <r>
    <d v="2024-07-30T00:00:00"/>
    <x v="0"/>
    <x v="6"/>
    <x v="30"/>
    <x v="29"/>
    <x v="6"/>
    <x v="6"/>
    <x v="0"/>
    <n v="77000000"/>
  </r>
  <r>
    <d v="2024-07-30T00:00:00"/>
    <x v="0"/>
    <x v="6"/>
    <x v="30"/>
    <x v="29"/>
    <x v="0"/>
    <x v="0"/>
    <x v="0"/>
    <n v="3645500000"/>
  </r>
  <r>
    <d v="2024-07-30T00:00:00"/>
    <x v="0"/>
    <x v="6"/>
    <x v="30"/>
    <x v="29"/>
    <x v="2"/>
    <x v="2"/>
    <x v="1"/>
    <n v="4537320000"/>
  </r>
  <r>
    <d v="2024-07-30T00:00:00"/>
    <x v="0"/>
    <x v="6"/>
    <x v="30"/>
    <x v="29"/>
    <x v="11"/>
    <x v="10"/>
    <x v="4"/>
    <n v="27737197"/>
  </r>
  <r>
    <d v="2024-07-30T00:00:00"/>
    <x v="0"/>
    <x v="6"/>
    <x v="30"/>
    <x v="29"/>
    <x v="7"/>
    <x v="7"/>
    <x v="4"/>
    <n v="125965486"/>
  </r>
  <r>
    <d v="2024-07-30T00:00:00"/>
    <x v="0"/>
    <x v="6"/>
    <x v="30"/>
    <x v="29"/>
    <x v="12"/>
    <x v="11"/>
    <x v="1"/>
    <n v="1722360000"/>
  </r>
  <r>
    <d v="2024-07-30T00:00:00"/>
    <x v="0"/>
    <x v="6"/>
    <x v="30"/>
    <x v="29"/>
    <x v="8"/>
    <x v="8"/>
    <x v="1"/>
    <n v="1941740000"/>
  </r>
  <r>
    <d v="2024-07-30T00:00:00"/>
    <x v="0"/>
    <x v="6"/>
    <x v="30"/>
    <x v="29"/>
    <x v="5"/>
    <x v="5"/>
    <x v="3"/>
    <n v="2845676626"/>
  </r>
  <r>
    <d v="2024-07-30T00:00:00"/>
    <x v="0"/>
    <x v="6"/>
    <x v="30"/>
    <x v="29"/>
    <x v="1"/>
    <x v="1"/>
    <x v="1"/>
    <n v="35000000"/>
  </r>
  <r>
    <d v="2024-07-30T00:00:00"/>
    <x v="0"/>
    <x v="6"/>
    <x v="30"/>
    <x v="29"/>
    <x v="9"/>
    <x v="9"/>
    <x v="1"/>
    <n v="0"/>
  </r>
  <r>
    <d v="2024-07-31T00:00:00"/>
    <x v="0"/>
    <x v="6"/>
    <x v="30"/>
    <x v="30"/>
    <x v="6"/>
    <x v="6"/>
    <x v="0"/>
    <n v="56000000"/>
  </r>
  <r>
    <d v="2024-07-31T00:00:00"/>
    <x v="0"/>
    <x v="6"/>
    <x v="30"/>
    <x v="30"/>
    <x v="9"/>
    <x v="9"/>
    <x v="1"/>
    <n v="0"/>
  </r>
  <r>
    <d v="2024-07-31T00:00:00"/>
    <x v="0"/>
    <x v="6"/>
    <x v="30"/>
    <x v="30"/>
    <x v="10"/>
    <x v="9"/>
    <x v="1"/>
    <n v="69640000"/>
  </r>
  <r>
    <d v="2024-07-31T00:00:00"/>
    <x v="0"/>
    <x v="6"/>
    <x v="30"/>
    <x v="30"/>
    <x v="11"/>
    <x v="10"/>
    <x v="4"/>
    <n v="25972500"/>
  </r>
  <r>
    <d v="2024-07-31T00:00:00"/>
    <x v="0"/>
    <x v="6"/>
    <x v="30"/>
    <x v="30"/>
    <x v="7"/>
    <x v="7"/>
    <x v="4"/>
    <n v="140835600"/>
  </r>
  <r>
    <d v="2024-07-31T00:00:00"/>
    <x v="0"/>
    <x v="6"/>
    <x v="30"/>
    <x v="30"/>
    <x v="1"/>
    <x v="1"/>
    <x v="1"/>
    <n v="73500000"/>
  </r>
  <r>
    <d v="2024-07-31T00:00:00"/>
    <x v="0"/>
    <x v="6"/>
    <x v="30"/>
    <x v="30"/>
    <x v="3"/>
    <x v="3"/>
    <x v="1"/>
    <n v="205800000"/>
  </r>
  <r>
    <d v="2024-07-31T00:00:00"/>
    <x v="0"/>
    <x v="6"/>
    <x v="30"/>
    <x v="30"/>
    <x v="8"/>
    <x v="8"/>
    <x v="1"/>
    <n v="2163540000"/>
  </r>
  <r>
    <d v="2024-07-31T00:00:00"/>
    <x v="0"/>
    <x v="6"/>
    <x v="30"/>
    <x v="30"/>
    <x v="12"/>
    <x v="11"/>
    <x v="1"/>
    <n v="1833610000"/>
  </r>
  <r>
    <d v="2024-07-31T00:00:00"/>
    <x v="0"/>
    <x v="6"/>
    <x v="30"/>
    <x v="30"/>
    <x v="0"/>
    <x v="0"/>
    <x v="0"/>
    <n v="3811500000"/>
  </r>
  <r>
    <d v="2024-07-31T00:00:00"/>
    <x v="0"/>
    <x v="6"/>
    <x v="30"/>
    <x v="30"/>
    <x v="5"/>
    <x v="5"/>
    <x v="3"/>
    <n v="2851335766"/>
  </r>
  <r>
    <d v="2024-07-31T00:00:00"/>
    <x v="0"/>
    <x v="6"/>
    <x v="30"/>
    <x v="30"/>
    <x v="2"/>
    <x v="2"/>
    <x v="1"/>
    <n v="4674260000"/>
  </r>
  <r>
    <d v="2024-08-01T00:00:00"/>
    <x v="0"/>
    <x v="7"/>
    <x v="30"/>
    <x v="0"/>
    <x v="0"/>
    <x v="0"/>
    <x v="0"/>
    <n v="4133500000"/>
  </r>
  <r>
    <d v="2024-08-01T00:00:00"/>
    <x v="0"/>
    <x v="7"/>
    <x v="30"/>
    <x v="0"/>
    <x v="8"/>
    <x v="8"/>
    <x v="1"/>
    <n v="1704510000"/>
  </r>
  <r>
    <d v="2024-08-01T00:00:00"/>
    <x v="0"/>
    <x v="7"/>
    <x v="30"/>
    <x v="0"/>
    <x v="7"/>
    <x v="7"/>
    <x v="4"/>
    <n v="179475954"/>
  </r>
  <r>
    <d v="2024-08-01T00:00:00"/>
    <x v="0"/>
    <x v="7"/>
    <x v="30"/>
    <x v="0"/>
    <x v="2"/>
    <x v="2"/>
    <x v="1"/>
    <n v="4942760000"/>
  </r>
  <r>
    <d v="2024-08-01T00:00:00"/>
    <x v="0"/>
    <x v="7"/>
    <x v="30"/>
    <x v="0"/>
    <x v="12"/>
    <x v="11"/>
    <x v="1"/>
    <n v="2054140000"/>
  </r>
  <r>
    <d v="2024-08-01T00:00:00"/>
    <x v="0"/>
    <x v="7"/>
    <x v="30"/>
    <x v="0"/>
    <x v="5"/>
    <x v="5"/>
    <x v="3"/>
    <n v="4448879712"/>
  </r>
  <r>
    <d v="2024-08-01T00:00:00"/>
    <x v="0"/>
    <x v="7"/>
    <x v="30"/>
    <x v="0"/>
    <x v="6"/>
    <x v="6"/>
    <x v="0"/>
    <n v="59000000"/>
  </r>
  <r>
    <d v="2024-08-01T00:00:00"/>
    <x v="0"/>
    <x v="7"/>
    <x v="30"/>
    <x v="0"/>
    <x v="11"/>
    <x v="10"/>
    <x v="4"/>
    <n v="24879383"/>
  </r>
  <r>
    <d v="2024-08-01T00:00:00"/>
    <x v="0"/>
    <x v="7"/>
    <x v="30"/>
    <x v="0"/>
    <x v="3"/>
    <x v="3"/>
    <x v="1"/>
    <n v="221550000"/>
  </r>
  <r>
    <d v="2024-08-01T00:00:00"/>
    <x v="0"/>
    <x v="7"/>
    <x v="30"/>
    <x v="0"/>
    <x v="10"/>
    <x v="9"/>
    <x v="1"/>
    <n v="36380000"/>
  </r>
  <r>
    <d v="2024-08-01T00:00:00"/>
    <x v="0"/>
    <x v="7"/>
    <x v="30"/>
    <x v="0"/>
    <x v="9"/>
    <x v="9"/>
    <x v="1"/>
    <n v="0"/>
  </r>
  <r>
    <d v="2024-08-01T00:00:00"/>
    <x v="0"/>
    <x v="7"/>
    <x v="30"/>
    <x v="0"/>
    <x v="1"/>
    <x v="1"/>
    <x v="1"/>
    <n v="62250000"/>
  </r>
  <r>
    <d v="2024-08-01T00:00:00"/>
    <x v="0"/>
    <x v="7"/>
    <x v="30"/>
    <x v="0"/>
    <x v="7"/>
    <x v="7"/>
    <x v="4"/>
    <n v="176086012"/>
  </r>
  <r>
    <d v="2024-08-02T00:00:00"/>
    <x v="0"/>
    <x v="7"/>
    <x v="30"/>
    <x v="1"/>
    <x v="8"/>
    <x v="8"/>
    <x v="1"/>
    <n v="2188530000"/>
  </r>
  <r>
    <d v="2024-08-02T00:00:00"/>
    <x v="0"/>
    <x v="7"/>
    <x v="30"/>
    <x v="1"/>
    <x v="9"/>
    <x v="9"/>
    <x v="1"/>
    <n v="0"/>
  </r>
  <r>
    <d v="2024-08-02T00:00:00"/>
    <x v="0"/>
    <x v="7"/>
    <x v="30"/>
    <x v="1"/>
    <x v="2"/>
    <x v="2"/>
    <x v="1"/>
    <n v="4863960000"/>
  </r>
  <r>
    <d v="2024-08-02T00:00:00"/>
    <x v="0"/>
    <x v="7"/>
    <x v="30"/>
    <x v="1"/>
    <x v="6"/>
    <x v="6"/>
    <x v="0"/>
    <n v="26000000"/>
  </r>
  <r>
    <d v="2024-08-02T00:00:00"/>
    <x v="0"/>
    <x v="7"/>
    <x v="30"/>
    <x v="1"/>
    <x v="5"/>
    <x v="5"/>
    <x v="3"/>
    <n v="3765035529"/>
  </r>
  <r>
    <d v="2024-08-02T00:00:00"/>
    <x v="0"/>
    <x v="7"/>
    <x v="30"/>
    <x v="1"/>
    <x v="12"/>
    <x v="11"/>
    <x v="1"/>
    <n v="1742260000"/>
  </r>
  <r>
    <d v="2024-08-02T00:00:00"/>
    <x v="0"/>
    <x v="7"/>
    <x v="30"/>
    <x v="1"/>
    <x v="1"/>
    <x v="1"/>
    <x v="1"/>
    <n v="41500000"/>
  </r>
  <r>
    <d v="2024-08-02T00:00:00"/>
    <x v="0"/>
    <x v="7"/>
    <x v="30"/>
    <x v="1"/>
    <x v="10"/>
    <x v="9"/>
    <x v="1"/>
    <n v="24420000"/>
  </r>
  <r>
    <d v="2024-08-02T00:00:00"/>
    <x v="0"/>
    <x v="7"/>
    <x v="30"/>
    <x v="1"/>
    <x v="3"/>
    <x v="3"/>
    <x v="1"/>
    <n v="88200000"/>
  </r>
  <r>
    <d v="2024-08-02T00:00:00"/>
    <x v="0"/>
    <x v="7"/>
    <x v="30"/>
    <x v="1"/>
    <x v="0"/>
    <x v="0"/>
    <x v="0"/>
    <n v="4106000000"/>
  </r>
  <r>
    <d v="2024-08-02T00:00:00"/>
    <x v="0"/>
    <x v="7"/>
    <x v="30"/>
    <x v="1"/>
    <x v="11"/>
    <x v="10"/>
    <x v="4"/>
    <n v="30846700"/>
  </r>
  <r>
    <d v="2024-08-02T00:00:00"/>
    <x v="0"/>
    <x v="7"/>
    <x v="30"/>
    <x v="1"/>
    <x v="0"/>
    <x v="0"/>
    <x v="0"/>
    <n v="3896000000"/>
  </r>
  <r>
    <d v="2024-08-02T00:00:00"/>
    <x v="0"/>
    <x v="7"/>
    <x v="30"/>
    <x v="1"/>
    <x v="7"/>
    <x v="7"/>
    <x v="4"/>
    <n v="217104708"/>
  </r>
  <r>
    <d v="2024-08-03T00:00:00"/>
    <x v="0"/>
    <x v="7"/>
    <x v="30"/>
    <x v="2"/>
    <x v="6"/>
    <x v="6"/>
    <x v="0"/>
    <n v="54000000"/>
  </r>
  <r>
    <d v="2024-08-03T00:00:00"/>
    <x v="0"/>
    <x v="7"/>
    <x v="30"/>
    <x v="2"/>
    <x v="3"/>
    <x v="3"/>
    <x v="1"/>
    <n v="86100000"/>
  </r>
  <r>
    <d v="2024-08-03T00:00:00"/>
    <x v="0"/>
    <x v="7"/>
    <x v="30"/>
    <x v="2"/>
    <x v="11"/>
    <x v="10"/>
    <x v="4"/>
    <n v="32833051"/>
  </r>
  <r>
    <d v="2024-08-03T00:00:00"/>
    <x v="0"/>
    <x v="7"/>
    <x v="30"/>
    <x v="2"/>
    <x v="12"/>
    <x v="11"/>
    <x v="1"/>
    <n v="1512960000"/>
  </r>
  <r>
    <d v="2024-08-03T00:00:00"/>
    <x v="0"/>
    <x v="7"/>
    <x v="30"/>
    <x v="2"/>
    <x v="1"/>
    <x v="1"/>
    <x v="1"/>
    <n v="42000000"/>
  </r>
  <r>
    <d v="2024-08-03T00:00:00"/>
    <x v="0"/>
    <x v="7"/>
    <x v="30"/>
    <x v="2"/>
    <x v="2"/>
    <x v="2"/>
    <x v="1"/>
    <n v="4645030000"/>
  </r>
  <r>
    <d v="2024-08-03T00:00:00"/>
    <x v="0"/>
    <x v="7"/>
    <x v="30"/>
    <x v="2"/>
    <x v="5"/>
    <x v="5"/>
    <x v="3"/>
    <n v="3013634506"/>
  </r>
  <r>
    <d v="2024-08-03T00:00:00"/>
    <x v="0"/>
    <x v="7"/>
    <x v="30"/>
    <x v="2"/>
    <x v="9"/>
    <x v="9"/>
    <x v="1"/>
    <n v="0"/>
  </r>
  <r>
    <d v="2024-08-03T00:00:00"/>
    <x v="0"/>
    <x v="7"/>
    <x v="30"/>
    <x v="2"/>
    <x v="10"/>
    <x v="9"/>
    <x v="1"/>
    <n v="21400000"/>
  </r>
  <r>
    <d v="2024-08-03T00:00:00"/>
    <x v="0"/>
    <x v="7"/>
    <x v="30"/>
    <x v="2"/>
    <x v="8"/>
    <x v="8"/>
    <x v="1"/>
    <n v="1432560000"/>
  </r>
  <r>
    <d v="2024-08-04T00:00:00"/>
    <x v="0"/>
    <x v="7"/>
    <x v="30"/>
    <x v="3"/>
    <x v="10"/>
    <x v="9"/>
    <x v="1"/>
    <n v="42800000"/>
  </r>
  <r>
    <d v="2024-08-04T00:00:00"/>
    <x v="0"/>
    <x v="7"/>
    <x v="30"/>
    <x v="3"/>
    <x v="11"/>
    <x v="10"/>
    <x v="4"/>
    <n v="40069797"/>
  </r>
  <r>
    <d v="2024-08-04T00:00:00"/>
    <x v="0"/>
    <x v="7"/>
    <x v="30"/>
    <x v="3"/>
    <x v="9"/>
    <x v="9"/>
    <x v="1"/>
    <n v="0"/>
  </r>
  <r>
    <d v="2024-08-04T00:00:00"/>
    <x v="0"/>
    <x v="7"/>
    <x v="30"/>
    <x v="3"/>
    <x v="3"/>
    <x v="3"/>
    <x v="1"/>
    <n v="152200000"/>
  </r>
  <r>
    <d v="2024-08-04T00:00:00"/>
    <x v="0"/>
    <x v="7"/>
    <x v="30"/>
    <x v="3"/>
    <x v="7"/>
    <x v="7"/>
    <x v="4"/>
    <n v="346103560"/>
  </r>
  <r>
    <d v="2024-08-04T00:00:00"/>
    <x v="0"/>
    <x v="7"/>
    <x v="30"/>
    <x v="3"/>
    <x v="8"/>
    <x v="8"/>
    <x v="1"/>
    <n v="481150000"/>
  </r>
  <r>
    <d v="2024-08-04T00:00:00"/>
    <x v="0"/>
    <x v="7"/>
    <x v="30"/>
    <x v="3"/>
    <x v="6"/>
    <x v="6"/>
    <x v="0"/>
    <n v="32000000"/>
  </r>
  <r>
    <d v="2024-08-04T00:00:00"/>
    <x v="0"/>
    <x v="7"/>
    <x v="30"/>
    <x v="3"/>
    <x v="12"/>
    <x v="11"/>
    <x v="1"/>
    <n v="1535190000"/>
  </r>
  <r>
    <d v="2024-08-04T00:00:00"/>
    <x v="0"/>
    <x v="7"/>
    <x v="30"/>
    <x v="3"/>
    <x v="1"/>
    <x v="1"/>
    <x v="1"/>
    <n v="30500000"/>
  </r>
  <r>
    <d v="2024-08-04T00:00:00"/>
    <x v="0"/>
    <x v="7"/>
    <x v="30"/>
    <x v="3"/>
    <x v="0"/>
    <x v="0"/>
    <x v="0"/>
    <n v="3385500000"/>
  </r>
  <r>
    <d v="2024-08-04T00:00:00"/>
    <x v="0"/>
    <x v="7"/>
    <x v="30"/>
    <x v="3"/>
    <x v="2"/>
    <x v="2"/>
    <x v="1"/>
    <n v="3993670000"/>
  </r>
  <r>
    <d v="2024-08-04T00:00:00"/>
    <x v="0"/>
    <x v="7"/>
    <x v="30"/>
    <x v="3"/>
    <x v="5"/>
    <x v="5"/>
    <x v="3"/>
    <n v="2738288820"/>
  </r>
  <r>
    <d v="2024-08-05T00:00:00"/>
    <x v="0"/>
    <x v="7"/>
    <x v="31"/>
    <x v="4"/>
    <x v="8"/>
    <x v="8"/>
    <x v="1"/>
    <n v="1363550000"/>
  </r>
  <r>
    <d v="2024-08-05T00:00:00"/>
    <x v="0"/>
    <x v="7"/>
    <x v="31"/>
    <x v="4"/>
    <x v="6"/>
    <x v="6"/>
    <x v="0"/>
    <n v="61000000"/>
  </r>
  <r>
    <d v="2024-08-05T00:00:00"/>
    <x v="0"/>
    <x v="7"/>
    <x v="31"/>
    <x v="4"/>
    <x v="10"/>
    <x v="9"/>
    <x v="1"/>
    <n v="39960000"/>
  </r>
  <r>
    <d v="2024-08-05T00:00:00"/>
    <x v="0"/>
    <x v="7"/>
    <x v="31"/>
    <x v="4"/>
    <x v="9"/>
    <x v="9"/>
    <x v="1"/>
    <n v="0"/>
  </r>
  <r>
    <d v="2024-08-05T00:00:00"/>
    <x v="0"/>
    <x v="7"/>
    <x v="31"/>
    <x v="4"/>
    <x v="2"/>
    <x v="2"/>
    <x v="1"/>
    <n v="6604450000"/>
  </r>
  <r>
    <d v="2024-08-05T00:00:00"/>
    <x v="0"/>
    <x v="7"/>
    <x v="31"/>
    <x v="4"/>
    <x v="3"/>
    <x v="3"/>
    <x v="1"/>
    <n v="163300000"/>
  </r>
  <r>
    <d v="2024-08-05T00:00:00"/>
    <x v="0"/>
    <x v="7"/>
    <x v="31"/>
    <x v="4"/>
    <x v="5"/>
    <x v="5"/>
    <x v="3"/>
    <n v="3874846777"/>
  </r>
  <r>
    <d v="2024-08-05T00:00:00"/>
    <x v="0"/>
    <x v="7"/>
    <x v="31"/>
    <x v="4"/>
    <x v="11"/>
    <x v="10"/>
    <x v="4"/>
    <n v="39201165"/>
  </r>
  <r>
    <d v="2024-08-05T00:00:00"/>
    <x v="0"/>
    <x v="7"/>
    <x v="31"/>
    <x v="4"/>
    <x v="1"/>
    <x v="1"/>
    <x v="1"/>
    <n v="33600000"/>
  </r>
  <r>
    <d v="2024-08-05T00:00:00"/>
    <x v="0"/>
    <x v="7"/>
    <x v="31"/>
    <x v="4"/>
    <x v="7"/>
    <x v="7"/>
    <x v="4"/>
    <n v="275345365"/>
  </r>
  <r>
    <d v="2024-08-05T00:00:00"/>
    <x v="0"/>
    <x v="7"/>
    <x v="31"/>
    <x v="4"/>
    <x v="4"/>
    <x v="4"/>
    <x v="2"/>
    <n v="19641763307"/>
  </r>
  <r>
    <d v="2024-08-05T00:00:00"/>
    <x v="0"/>
    <x v="7"/>
    <x v="31"/>
    <x v="4"/>
    <x v="0"/>
    <x v="0"/>
    <x v="0"/>
    <n v="4977000000"/>
  </r>
  <r>
    <d v="2024-08-05T00:00:00"/>
    <x v="0"/>
    <x v="7"/>
    <x v="31"/>
    <x v="4"/>
    <x v="12"/>
    <x v="11"/>
    <x v="1"/>
    <n v="2209510000"/>
  </r>
  <r>
    <d v="2024-08-06T00:00:00"/>
    <x v="0"/>
    <x v="7"/>
    <x v="31"/>
    <x v="5"/>
    <x v="6"/>
    <x v="6"/>
    <x v="0"/>
    <n v="69000000"/>
  </r>
  <r>
    <d v="2024-08-06T00:00:00"/>
    <x v="0"/>
    <x v="7"/>
    <x v="31"/>
    <x v="5"/>
    <x v="2"/>
    <x v="2"/>
    <x v="1"/>
    <n v="5511480000"/>
  </r>
  <r>
    <d v="2024-08-06T00:00:00"/>
    <x v="0"/>
    <x v="7"/>
    <x v="31"/>
    <x v="5"/>
    <x v="7"/>
    <x v="7"/>
    <x v="4"/>
    <n v="270090474"/>
  </r>
  <r>
    <d v="2024-08-06T00:00:00"/>
    <x v="0"/>
    <x v="7"/>
    <x v="31"/>
    <x v="5"/>
    <x v="3"/>
    <x v="3"/>
    <x v="1"/>
    <n v="225750000"/>
  </r>
  <r>
    <d v="2024-08-06T00:00:00"/>
    <x v="0"/>
    <x v="7"/>
    <x v="31"/>
    <x v="5"/>
    <x v="12"/>
    <x v="11"/>
    <x v="1"/>
    <n v="2573760000"/>
  </r>
  <r>
    <d v="2024-08-06T00:00:00"/>
    <x v="0"/>
    <x v="7"/>
    <x v="31"/>
    <x v="5"/>
    <x v="0"/>
    <x v="0"/>
    <x v="0"/>
    <n v="3893000000"/>
  </r>
  <r>
    <d v="2024-08-06T00:00:00"/>
    <x v="0"/>
    <x v="7"/>
    <x v="31"/>
    <x v="5"/>
    <x v="11"/>
    <x v="10"/>
    <x v="4"/>
    <n v="32935645"/>
  </r>
  <r>
    <d v="2024-08-06T00:00:00"/>
    <x v="0"/>
    <x v="7"/>
    <x v="31"/>
    <x v="5"/>
    <x v="4"/>
    <x v="4"/>
    <x v="2"/>
    <n v="16557294151"/>
  </r>
  <r>
    <d v="2024-08-06T00:00:00"/>
    <x v="0"/>
    <x v="7"/>
    <x v="31"/>
    <x v="5"/>
    <x v="9"/>
    <x v="9"/>
    <x v="1"/>
    <n v="18000000"/>
  </r>
  <r>
    <d v="2024-08-06T00:00:00"/>
    <x v="0"/>
    <x v="7"/>
    <x v="31"/>
    <x v="5"/>
    <x v="5"/>
    <x v="5"/>
    <x v="3"/>
    <n v="2801218032"/>
  </r>
  <r>
    <d v="2024-08-06T00:00:00"/>
    <x v="0"/>
    <x v="7"/>
    <x v="31"/>
    <x v="5"/>
    <x v="8"/>
    <x v="8"/>
    <x v="1"/>
    <n v="1067860000"/>
  </r>
  <r>
    <d v="2024-08-06T00:00:00"/>
    <x v="0"/>
    <x v="7"/>
    <x v="31"/>
    <x v="5"/>
    <x v="10"/>
    <x v="9"/>
    <x v="1"/>
    <n v="20700000"/>
  </r>
  <r>
    <d v="2024-08-06T00:00:00"/>
    <x v="0"/>
    <x v="7"/>
    <x v="31"/>
    <x v="5"/>
    <x v="1"/>
    <x v="1"/>
    <x v="1"/>
    <n v="73500000"/>
  </r>
  <r>
    <d v="2024-08-07T00:00:00"/>
    <x v="0"/>
    <x v="7"/>
    <x v="31"/>
    <x v="6"/>
    <x v="9"/>
    <x v="9"/>
    <x v="1"/>
    <n v="0"/>
  </r>
  <r>
    <d v="2024-08-07T00:00:00"/>
    <x v="0"/>
    <x v="7"/>
    <x v="31"/>
    <x v="6"/>
    <x v="11"/>
    <x v="10"/>
    <x v="4"/>
    <n v="36765833"/>
  </r>
  <r>
    <d v="2024-08-07T00:00:00"/>
    <x v="0"/>
    <x v="7"/>
    <x v="31"/>
    <x v="6"/>
    <x v="10"/>
    <x v="9"/>
    <x v="1"/>
    <n v="10700000"/>
  </r>
  <r>
    <d v="2024-08-07T00:00:00"/>
    <x v="0"/>
    <x v="7"/>
    <x v="31"/>
    <x v="6"/>
    <x v="1"/>
    <x v="1"/>
    <x v="1"/>
    <n v="67250000"/>
  </r>
  <r>
    <d v="2024-08-07T00:00:00"/>
    <x v="0"/>
    <x v="7"/>
    <x v="31"/>
    <x v="6"/>
    <x v="6"/>
    <x v="6"/>
    <x v="0"/>
    <n v="128000000"/>
  </r>
  <r>
    <d v="2024-08-07T00:00:00"/>
    <x v="0"/>
    <x v="7"/>
    <x v="31"/>
    <x v="6"/>
    <x v="8"/>
    <x v="8"/>
    <x v="1"/>
    <n v="1354210000"/>
  </r>
  <r>
    <d v="2024-08-07T00:00:00"/>
    <x v="0"/>
    <x v="7"/>
    <x v="31"/>
    <x v="6"/>
    <x v="0"/>
    <x v="0"/>
    <x v="0"/>
    <n v="3830000000"/>
  </r>
  <r>
    <d v="2024-08-07T00:00:00"/>
    <x v="0"/>
    <x v="7"/>
    <x v="31"/>
    <x v="6"/>
    <x v="5"/>
    <x v="5"/>
    <x v="3"/>
    <n v="2259544229"/>
  </r>
  <r>
    <d v="2024-08-07T00:00:00"/>
    <x v="0"/>
    <x v="7"/>
    <x v="31"/>
    <x v="6"/>
    <x v="2"/>
    <x v="2"/>
    <x v="1"/>
    <n v="5600060000"/>
  </r>
  <r>
    <d v="2024-08-07T00:00:00"/>
    <x v="0"/>
    <x v="7"/>
    <x v="31"/>
    <x v="6"/>
    <x v="7"/>
    <x v="7"/>
    <x v="4"/>
    <n v="246075081"/>
  </r>
  <r>
    <d v="2024-08-07T00:00:00"/>
    <x v="0"/>
    <x v="7"/>
    <x v="31"/>
    <x v="6"/>
    <x v="12"/>
    <x v="11"/>
    <x v="1"/>
    <n v="2464740000"/>
  </r>
  <r>
    <d v="2024-08-07T00:00:00"/>
    <x v="0"/>
    <x v="7"/>
    <x v="31"/>
    <x v="6"/>
    <x v="4"/>
    <x v="4"/>
    <x v="2"/>
    <n v="16111795143"/>
  </r>
  <r>
    <d v="2024-08-07T00:00:00"/>
    <x v="0"/>
    <x v="7"/>
    <x v="31"/>
    <x v="6"/>
    <x v="3"/>
    <x v="3"/>
    <x v="1"/>
    <n v="114450000"/>
  </r>
  <r>
    <d v="2024-08-08T00:00:00"/>
    <x v="0"/>
    <x v="7"/>
    <x v="31"/>
    <x v="7"/>
    <x v="7"/>
    <x v="7"/>
    <x v="4"/>
    <n v="229123338"/>
  </r>
  <r>
    <d v="2024-08-08T00:00:00"/>
    <x v="0"/>
    <x v="7"/>
    <x v="31"/>
    <x v="7"/>
    <x v="1"/>
    <x v="1"/>
    <x v="1"/>
    <n v="42000000"/>
  </r>
  <r>
    <d v="2024-08-08T00:00:00"/>
    <x v="0"/>
    <x v="7"/>
    <x v="31"/>
    <x v="7"/>
    <x v="6"/>
    <x v="6"/>
    <x v="0"/>
    <n v="46000000"/>
  </r>
  <r>
    <d v="2024-08-08T00:00:00"/>
    <x v="0"/>
    <x v="7"/>
    <x v="31"/>
    <x v="7"/>
    <x v="4"/>
    <x v="4"/>
    <x v="2"/>
    <n v="16416699609"/>
  </r>
  <r>
    <d v="2024-08-08T00:00:00"/>
    <x v="0"/>
    <x v="7"/>
    <x v="31"/>
    <x v="7"/>
    <x v="5"/>
    <x v="5"/>
    <x v="3"/>
    <n v="2807414989"/>
  </r>
  <r>
    <d v="2024-08-08T00:00:00"/>
    <x v="0"/>
    <x v="7"/>
    <x v="31"/>
    <x v="7"/>
    <x v="3"/>
    <x v="3"/>
    <x v="1"/>
    <n v="95550000"/>
  </r>
  <r>
    <d v="2024-08-08T00:00:00"/>
    <x v="0"/>
    <x v="7"/>
    <x v="31"/>
    <x v="7"/>
    <x v="0"/>
    <x v="0"/>
    <x v="0"/>
    <n v="4085000000"/>
  </r>
  <r>
    <d v="2024-08-08T00:00:00"/>
    <x v="0"/>
    <x v="7"/>
    <x v="31"/>
    <x v="7"/>
    <x v="2"/>
    <x v="2"/>
    <x v="1"/>
    <n v="5450640000"/>
  </r>
  <r>
    <d v="2024-08-08T00:00:00"/>
    <x v="0"/>
    <x v="7"/>
    <x v="31"/>
    <x v="7"/>
    <x v="12"/>
    <x v="11"/>
    <x v="1"/>
    <n v="2593360000"/>
  </r>
  <r>
    <d v="2024-08-08T00:00:00"/>
    <x v="0"/>
    <x v="7"/>
    <x v="31"/>
    <x v="7"/>
    <x v="11"/>
    <x v="10"/>
    <x v="4"/>
    <n v="26951282"/>
  </r>
  <r>
    <d v="2024-08-08T00:00:00"/>
    <x v="0"/>
    <x v="7"/>
    <x v="31"/>
    <x v="7"/>
    <x v="10"/>
    <x v="9"/>
    <x v="1"/>
    <n v="0"/>
  </r>
  <r>
    <d v="2024-08-08T00:00:00"/>
    <x v="0"/>
    <x v="7"/>
    <x v="31"/>
    <x v="7"/>
    <x v="9"/>
    <x v="9"/>
    <x v="1"/>
    <n v="0"/>
  </r>
  <r>
    <d v="2024-08-08T00:00:00"/>
    <x v="0"/>
    <x v="7"/>
    <x v="31"/>
    <x v="7"/>
    <x v="8"/>
    <x v="8"/>
    <x v="1"/>
    <n v="1040660000"/>
  </r>
  <r>
    <d v="2024-08-09T00:00:00"/>
    <x v="0"/>
    <x v="7"/>
    <x v="31"/>
    <x v="8"/>
    <x v="1"/>
    <x v="1"/>
    <x v="1"/>
    <n v="42000000"/>
  </r>
  <r>
    <d v="2024-08-09T00:00:00"/>
    <x v="0"/>
    <x v="7"/>
    <x v="31"/>
    <x v="8"/>
    <x v="12"/>
    <x v="11"/>
    <x v="1"/>
    <n v="2306520000"/>
  </r>
  <r>
    <d v="2024-08-09T00:00:00"/>
    <x v="0"/>
    <x v="7"/>
    <x v="31"/>
    <x v="8"/>
    <x v="2"/>
    <x v="2"/>
    <x v="1"/>
    <n v="6296150000"/>
  </r>
  <r>
    <d v="2024-08-09T00:00:00"/>
    <x v="0"/>
    <x v="7"/>
    <x v="31"/>
    <x v="8"/>
    <x v="5"/>
    <x v="5"/>
    <x v="3"/>
    <n v="2799906262"/>
  </r>
  <r>
    <d v="2024-08-09T00:00:00"/>
    <x v="0"/>
    <x v="7"/>
    <x v="31"/>
    <x v="8"/>
    <x v="3"/>
    <x v="3"/>
    <x v="1"/>
    <n v="69300000"/>
  </r>
  <r>
    <d v="2024-08-09T00:00:00"/>
    <x v="0"/>
    <x v="7"/>
    <x v="31"/>
    <x v="8"/>
    <x v="11"/>
    <x v="10"/>
    <x v="4"/>
    <n v="41095650"/>
  </r>
  <r>
    <d v="2024-08-09T00:00:00"/>
    <x v="0"/>
    <x v="7"/>
    <x v="31"/>
    <x v="8"/>
    <x v="0"/>
    <x v="0"/>
    <x v="0"/>
    <n v="4475500000"/>
  </r>
  <r>
    <d v="2024-08-09T00:00:00"/>
    <x v="0"/>
    <x v="7"/>
    <x v="31"/>
    <x v="8"/>
    <x v="6"/>
    <x v="6"/>
    <x v="0"/>
    <n v="72000000"/>
  </r>
  <r>
    <d v="2024-08-09T00:00:00"/>
    <x v="0"/>
    <x v="7"/>
    <x v="31"/>
    <x v="8"/>
    <x v="8"/>
    <x v="8"/>
    <x v="1"/>
    <n v="1245150000"/>
  </r>
  <r>
    <d v="2024-08-09T00:00:00"/>
    <x v="0"/>
    <x v="7"/>
    <x v="31"/>
    <x v="8"/>
    <x v="7"/>
    <x v="7"/>
    <x v="4"/>
    <n v="204083998"/>
  </r>
  <r>
    <d v="2024-08-09T00:00:00"/>
    <x v="0"/>
    <x v="7"/>
    <x v="31"/>
    <x v="8"/>
    <x v="10"/>
    <x v="9"/>
    <x v="1"/>
    <n v="0"/>
  </r>
  <r>
    <d v="2024-08-09T00:00:00"/>
    <x v="0"/>
    <x v="7"/>
    <x v="31"/>
    <x v="8"/>
    <x v="4"/>
    <x v="4"/>
    <x v="2"/>
    <n v="17560265910"/>
  </r>
  <r>
    <d v="2024-08-09T00:00:00"/>
    <x v="0"/>
    <x v="7"/>
    <x v="31"/>
    <x v="8"/>
    <x v="9"/>
    <x v="9"/>
    <x v="1"/>
    <n v="8560000"/>
  </r>
  <r>
    <d v="2024-08-10T00:00:00"/>
    <x v="0"/>
    <x v="7"/>
    <x v="31"/>
    <x v="9"/>
    <x v="5"/>
    <x v="5"/>
    <x v="3"/>
    <n v="2506066767"/>
  </r>
  <r>
    <d v="2024-08-10T00:00:00"/>
    <x v="0"/>
    <x v="7"/>
    <x v="31"/>
    <x v="9"/>
    <x v="11"/>
    <x v="10"/>
    <x v="4"/>
    <n v="38667787"/>
  </r>
  <r>
    <d v="2024-08-10T00:00:00"/>
    <x v="0"/>
    <x v="7"/>
    <x v="31"/>
    <x v="9"/>
    <x v="6"/>
    <x v="6"/>
    <x v="0"/>
    <n v="40000000"/>
  </r>
  <r>
    <d v="2024-08-10T00:00:00"/>
    <x v="0"/>
    <x v="7"/>
    <x v="31"/>
    <x v="9"/>
    <x v="2"/>
    <x v="2"/>
    <x v="1"/>
    <n v="5790810000"/>
  </r>
  <r>
    <d v="2024-08-10T00:00:00"/>
    <x v="0"/>
    <x v="7"/>
    <x v="31"/>
    <x v="9"/>
    <x v="7"/>
    <x v="7"/>
    <x v="4"/>
    <n v="200087381"/>
  </r>
  <r>
    <d v="2024-08-10T00:00:00"/>
    <x v="0"/>
    <x v="7"/>
    <x v="31"/>
    <x v="9"/>
    <x v="10"/>
    <x v="9"/>
    <x v="1"/>
    <n v="0"/>
  </r>
  <r>
    <d v="2024-08-10T00:00:00"/>
    <x v="0"/>
    <x v="7"/>
    <x v="31"/>
    <x v="9"/>
    <x v="9"/>
    <x v="9"/>
    <x v="1"/>
    <n v="0"/>
  </r>
  <r>
    <d v="2024-08-10T00:00:00"/>
    <x v="0"/>
    <x v="7"/>
    <x v="31"/>
    <x v="9"/>
    <x v="1"/>
    <x v="1"/>
    <x v="1"/>
    <n v="44100000"/>
  </r>
  <r>
    <d v="2024-08-10T00:00:00"/>
    <x v="0"/>
    <x v="7"/>
    <x v="31"/>
    <x v="9"/>
    <x v="4"/>
    <x v="4"/>
    <x v="2"/>
    <n v="17380021935"/>
  </r>
  <r>
    <d v="2024-08-10T00:00:00"/>
    <x v="0"/>
    <x v="7"/>
    <x v="31"/>
    <x v="9"/>
    <x v="12"/>
    <x v="11"/>
    <x v="1"/>
    <n v="2618570000"/>
  </r>
  <r>
    <d v="2024-08-10T00:00:00"/>
    <x v="0"/>
    <x v="7"/>
    <x v="31"/>
    <x v="9"/>
    <x v="0"/>
    <x v="0"/>
    <x v="0"/>
    <n v="4537000000"/>
  </r>
  <r>
    <d v="2024-08-10T00:00:00"/>
    <x v="0"/>
    <x v="7"/>
    <x v="31"/>
    <x v="9"/>
    <x v="3"/>
    <x v="3"/>
    <x v="1"/>
    <n v="54600000"/>
  </r>
  <r>
    <d v="2024-08-10T00:00:00"/>
    <x v="0"/>
    <x v="7"/>
    <x v="31"/>
    <x v="9"/>
    <x v="8"/>
    <x v="8"/>
    <x v="1"/>
    <n v="1550120000"/>
  </r>
  <r>
    <d v="2024-08-11T00:00:00"/>
    <x v="0"/>
    <x v="7"/>
    <x v="31"/>
    <x v="10"/>
    <x v="4"/>
    <x v="4"/>
    <x v="2"/>
    <n v="12357492848"/>
  </r>
  <r>
    <d v="2024-08-11T00:00:00"/>
    <x v="0"/>
    <x v="7"/>
    <x v="31"/>
    <x v="10"/>
    <x v="6"/>
    <x v="6"/>
    <x v="0"/>
    <n v="31000000"/>
  </r>
  <r>
    <d v="2024-08-11T00:00:00"/>
    <x v="0"/>
    <x v="7"/>
    <x v="31"/>
    <x v="10"/>
    <x v="3"/>
    <x v="3"/>
    <x v="1"/>
    <n v="57750000"/>
  </r>
  <r>
    <d v="2024-08-11T00:00:00"/>
    <x v="0"/>
    <x v="7"/>
    <x v="31"/>
    <x v="10"/>
    <x v="12"/>
    <x v="11"/>
    <x v="1"/>
    <n v="1776650000"/>
  </r>
  <r>
    <d v="2024-08-11T00:00:00"/>
    <x v="0"/>
    <x v="7"/>
    <x v="31"/>
    <x v="10"/>
    <x v="7"/>
    <x v="7"/>
    <x v="4"/>
    <n v="136003530"/>
  </r>
  <r>
    <d v="2024-08-11T00:00:00"/>
    <x v="0"/>
    <x v="7"/>
    <x v="31"/>
    <x v="10"/>
    <x v="8"/>
    <x v="8"/>
    <x v="1"/>
    <n v="432280000"/>
  </r>
  <r>
    <d v="2024-08-11T00:00:00"/>
    <x v="0"/>
    <x v="7"/>
    <x v="31"/>
    <x v="10"/>
    <x v="1"/>
    <x v="1"/>
    <x v="1"/>
    <n v="46750000"/>
  </r>
  <r>
    <d v="2024-08-11T00:00:00"/>
    <x v="0"/>
    <x v="7"/>
    <x v="31"/>
    <x v="10"/>
    <x v="5"/>
    <x v="5"/>
    <x v="3"/>
    <n v="1769767742"/>
  </r>
  <r>
    <d v="2024-08-11T00:00:00"/>
    <x v="0"/>
    <x v="7"/>
    <x v="31"/>
    <x v="10"/>
    <x v="11"/>
    <x v="10"/>
    <x v="4"/>
    <n v="29461576"/>
  </r>
  <r>
    <d v="2024-08-11T00:00:00"/>
    <x v="0"/>
    <x v="7"/>
    <x v="31"/>
    <x v="10"/>
    <x v="0"/>
    <x v="0"/>
    <x v="0"/>
    <n v="3521500000"/>
  </r>
  <r>
    <d v="2024-08-11T00:00:00"/>
    <x v="0"/>
    <x v="7"/>
    <x v="31"/>
    <x v="10"/>
    <x v="9"/>
    <x v="9"/>
    <x v="1"/>
    <n v="0"/>
  </r>
  <r>
    <d v="2024-08-11T00:00:00"/>
    <x v="0"/>
    <x v="7"/>
    <x v="31"/>
    <x v="10"/>
    <x v="10"/>
    <x v="9"/>
    <x v="1"/>
    <n v="0"/>
  </r>
  <r>
    <d v="2024-08-11T00:00:00"/>
    <x v="0"/>
    <x v="7"/>
    <x v="31"/>
    <x v="10"/>
    <x v="2"/>
    <x v="2"/>
    <x v="1"/>
    <n v="4556330000"/>
  </r>
  <r>
    <d v="2024-08-12T00:00:00"/>
    <x v="0"/>
    <x v="7"/>
    <x v="32"/>
    <x v="11"/>
    <x v="12"/>
    <x v="11"/>
    <x v="1"/>
    <n v="2640230000"/>
  </r>
  <r>
    <d v="2024-08-12T00:00:00"/>
    <x v="0"/>
    <x v="7"/>
    <x v="32"/>
    <x v="11"/>
    <x v="5"/>
    <x v="5"/>
    <x v="3"/>
    <n v="2685094474"/>
  </r>
  <r>
    <d v="2024-08-12T00:00:00"/>
    <x v="0"/>
    <x v="7"/>
    <x v="32"/>
    <x v="11"/>
    <x v="2"/>
    <x v="2"/>
    <x v="1"/>
    <n v="6423030000"/>
  </r>
  <r>
    <d v="2024-08-12T00:00:00"/>
    <x v="0"/>
    <x v="7"/>
    <x v="32"/>
    <x v="11"/>
    <x v="9"/>
    <x v="9"/>
    <x v="1"/>
    <n v="0"/>
  </r>
  <r>
    <d v="2024-08-12T00:00:00"/>
    <x v="0"/>
    <x v="7"/>
    <x v="32"/>
    <x v="11"/>
    <x v="10"/>
    <x v="9"/>
    <x v="1"/>
    <n v="0"/>
  </r>
  <r>
    <d v="2024-08-12T00:00:00"/>
    <x v="0"/>
    <x v="7"/>
    <x v="32"/>
    <x v="11"/>
    <x v="4"/>
    <x v="4"/>
    <x v="2"/>
    <n v="18505530494"/>
  </r>
  <r>
    <d v="2024-08-12T00:00:00"/>
    <x v="0"/>
    <x v="7"/>
    <x v="32"/>
    <x v="11"/>
    <x v="0"/>
    <x v="0"/>
    <x v="0"/>
    <n v="4266000000"/>
  </r>
  <r>
    <d v="2024-08-12T00:00:00"/>
    <x v="0"/>
    <x v="7"/>
    <x v="32"/>
    <x v="11"/>
    <x v="11"/>
    <x v="10"/>
    <x v="4"/>
    <n v="36085229"/>
  </r>
  <r>
    <d v="2024-08-12T00:00:00"/>
    <x v="0"/>
    <x v="7"/>
    <x v="32"/>
    <x v="11"/>
    <x v="6"/>
    <x v="6"/>
    <x v="0"/>
    <n v="84000000"/>
  </r>
  <r>
    <d v="2024-08-12T00:00:00"/>
    <x v="0"/>
    <x v="7"/>
    <x v="32"/>
    <x v="11"/>
    <x v="7"/>
    <x v="7"/>
    <x v="4"/>
    <n v="219150791"/>
  </r>
  <r>
    <d v="2024-08-12T00:00:00"/>
    <x v="0"/>
    <x v="7"/>
    <x v="32"/>
    <x v="11"/>
    <x v="3"/>
    <x v="3"/>
    <x v="1"/>
    <n v="248850000"/>
  </r>
  <r>
    <d v="2024-08-12T00:00:00"/>
    <x v="0"/>
    <x v="7"/>
    <x v="32"/>
    <x v="11"/>
    <x v="1"/>
    <x v="1"/>
    <x v="1"/>
    <n v="21000000"/>
  </r>
  <r>
    <d v="2024-08-12T00:00:00"/>
    <x v="0"/>
    <x v="7"/>
    <x v="32"/>
    <x v="11"/>
    <x v="8"/>
    <x v="8"/>
    <x v="1"/>
    <n v="1882090000"/>
  </r>
  <r>
    <d v="2024-08-13T00:00:00"/>
    <x v="0"/>
    <x v="7"/>
    <x v="32"/>
    <x v="12"/>
    <x v="12"/>
    <x v="11"/>
    <x v="1"/>
    <n v="2777960000"/>
  </r>
  <r>
    <d v="2024-08-13T00:00:00"/>
    <x v="0"/>
    <x v="7"/>
    <x v="32"/>
    <x v="12"/>
    <x v="5"/>
    <x v="5"/>
    <x v="3"/>
    <n v="2612197570"/>
  </r>
  <r>
    <d v="2024-08-13T00:00:00"/>
    <x v="0"/>
    <x v="7"/>
    <x v="32"/>
    <x v="12"/>
    <x v="11"/>
    <x v="10"/>
    <x v="4"/>
    <n v="44660943"/>
  </r>
  <r>
    <d v="2024-08-13T00:00:00"/>
    <x v="0"/>
    <x v="7"/>
    <x v="32"/>
    <x v="12"/>
    <x v="0"/>
    <x v="0"/>
    <x v="0"/>
    <n v="3932000000"/>
  </r>
  <r>
    <d v="2024-08-13T00:00:00"/>
    <x v="0"/>
    <x v="7"/>
    <x v="32"/>
    <x v="12"/>
    <x v="4"/>
    <x v="4"/>
    <x v="2"/>
    <n v="17391434614"/>
  </r>
  <r>
    <d v="2024-08-13T00:00:00"/>
    <x v="0"/>
    <x v="7"/>
    <x v="32"/>
    <x v="12"/>
    <x v="9"/>
    <x v="9"/>
    <x v="1"/>
    <n v="0"/>
  </r>
  <r>
    <d v="2024-08-13T00:00:00"/>
    <x v="0"/>
    <x v="7"/>
    <x v="32"/>
    <x v="12"/>
    <x v="7"/>
    <x v="7"/>
    <x v="4"/>
    <n v="215936101"/>
  </r>
  <r>
    <d v="2024-08-13T00:00:00"/>
    <x v="0"/>
    <x v="7"/>
    <x v="32"/>
    <x v="12"/>
    <x v="1"/>
    <x v="1"/>
    <x v="1"/>
    <n v="21000000"/>
  </r>
  <r>
    <d v="2024-08-13T00:00:00"/>
    <x v="0"/>
    <x v="7"/>
    <x v="32"/>
    <x v="12"/>
    <x v="3"/>
    <x v="3"/>
    <x v="1"/>
    <n v="204300000"/>
  </r>
  <r>
    <d v="2024-08-13T00:00:00"/>
    <x v="0"/>
    <x v="7"/>
    <x v="32"/>
    <x v="12"/>
    <x v="10"/>
    <x v="9"/>
    <x v="1"/>
    <n v="30700000"/>
  </r>
  <r>
    <d v="2024-08-13T00:00:00"/>
    <x v="0"/>
    <x v="7"/>
    <x v="32"/>
    <x v="12"/>
    <x v="6"/>
    <x v="6"/>
    <x v="0"/>
    <n v="83000000"/>
  </r>
  <r>
    <d v="2024-08-13T00:00:00"/>
    <x v="0"/>
    <x v="7"/>
    <x v="32"/>
    <x v="12"/>
    <x v="8"/>
    <x v="8"/>
    <x v="1"/>
    <n v="2075840000"/>
  </r>
  <r>
    <d v="2024-08-13T00:00:00"/>
    <x v="0"/>
    <x v="7"/>
    <x v="32"/>
    <x v="12"/>
    <x v="2"/>
    <x v="2"/>
    <x v="1"/>
    <n v="5393840000"/>
  </r>
  <r>
    <d v="2024-08-14T00:00:00"/>
    <x v="0"/>
    <x v="7"/>
    <x v="32"/>
    <x v="13"/>
    <x v="12"/>
    <x v="11"/>
    <x v="1"/>
    <n v="2553470000"/>
  </r>
  <r>
    <d v="2024-08-14T00:00:00"/>
    <x v="0"/>
    <x v="7"/>
    <x v="32"/>
    <x v="13"/>
    <x v="8"/>
    <x v="8"/>
    <x v="1"/>
    <n v="2092920000"/>
  </r>
  <r>
    <d v="2024-08-14T00:00:00"/>
    <x v="0"/>
    <x v="7"/>
    <x v="32"/>
    <x v="13"/>
    <x v="3"/>
    <x v="3"/>
    <x v="1"/>
    <n v="219450000"/>
  </r>
  <r>
    <d v="2024-08-14T00:00:00"/>
    <x v="0"/>
    <x v="7"/>
    <x v="32"/>
    <x v="13"/>
    <x v="1"/>
    <x v="1"/>
    <x v="1"/>
    <n v="98700000"/>
  </r>
  <r>
    <d v="2024-08-14T00:00:00"/>
    <x v="0"/>
    <x v="7"/>
    <x v="32"/>
    <x v="13"/>
    <x v="6"/>
    <x v="6"/>
    <x v="0"/>
    <n v="38000000"/>
  </r>
  <r>
    <d v="2024-08-14T00:00:00"/>
    <x v="0"/>
    <x v="7"/>
    <x v="32"/>
    <x v="13"/>
    <x v="2"/>
    <x v="2"/>
    <x v="1"/>
    <n v="5845390000"/>
  </r>
  <r>
    <d v="2024-08-14T00:00:00"/>
    <x v="0"/>
    <x v="7"/>
    <x v="32"/>
    <x v="13"/>
    <x v="11"/>
    <x v="10"/>
    <x v="4"/>
    <n v="35845994"/>
  </r>
  <r>
    <d v="2024-08-14T00:00:00"/>
    <x v="0"/>
    <x v="7"/>
    <x v="32"/>
    <x v="13"/>
    <x v="4"/>
    <x v="4"/>
    <x v="2"/>
    <n v="17408859122"/>
  </r>
  <r>
    <d v="2024-08-14T00:00:00"/>
    <x v="0"/>
    <x v="7"/>
    <x v="32"/>
    <x v="13"/>
    <x v="10"/>
    <x v="9"/>
    <x v="1"/>
    <n v="0"/>
  </r>
  <r>
    <d v="2024-08-14T00:00:00"/>
    <x v="0"/>
    <x v="7"/>
    <x v="32"/>
    <x v="13"/>
    <x v="9"/>
    <x v="9"/>
    <x v="1"/>
    <n v="0"/>
  </r>
  <r>
    <d v="2024-08-14T00:00:00"/>
    <x v="0"/>
    <x v="7"/>
    <x v="32"/>
    <x v="13"/>
    <x v="5"/>
    <x v="5"/>
    <x v="3"/>
    <n v="2572566027"/>
  </r>
  <r>
    <d v="2024-08-14T00:00:00"/>
    <x v="0"/>
    <x v="7"/>
    <x v="32"/>
    <x v="13"/>
    <x v="0"/>
    <x v="0"/>
    <x v="0"/>
    <n v="3735000000"/>
  </r>
  <r>
    <d v="2024-08-14T00:00:00"/>
    <x v="0"/>
    <x v="7"/>
    <x v="32"/>
    <x v="13"/>
    <x v="7"/>
    <x v="7"/>
    <x v="4"/>
    <n v="217517101"/>
  </r>
  <r>
    <d v="2024-08-15T00:00:00"/>
    <x v="0"/>
    <x v="7"/>
    <x v="32"/>
    <x v="14"/>
    <x v="12"/>
    <x v="11"/>
    <x v="1"/>
    <n v="2676440000"/>
  </r>
  <r>
    <d v="2024-08-15T00:00:00"/>
    <x v="0"/>
    <x v="7"/>
    <x v="32"/>
    <x v="14"/>
    <x v="9"/>
    <x v="9"/>
    <x v="1"/>
    <n v="0"/>
  </r>
  <r>
    <d v="2024-08-15T00:00:00"/>
    <x v="0"/>
    <x v="7"/>
    <x v="32"/>
    <x v="14"/>
    <x v="3"/>
    <x v="3"/>
    <x v="1"/>
    <n v="162750000"/>
  </r>
  <r>
    <d v="2024-08-15T00:00:00"/>
    <x v="0"/>
    <x v="7"/>
    <x v="32"/>
    <x v="14"/>
    <x v="11"/>
    <x v="10"/>
    <x v="4"/>
    <n v="38327326"/>
  </r>
  <r>
    <d v="2024-08-15T00:00:00"/>
    <x v="0"/>
    <x v="7"/>
    <x v="32"/>
    <x v="14"/>
    <x v="4"/>
    <x v="4"/>
    <x v="2"/>
    <n v="18143781145"/>
  </r>
  <r>
    <d v="2024-08-15T00:00:00"/>
    <x v="0"/>
    <x v="7"/>
    <x v="32"/>
    <x v="14"/>
    <x v="6"/>
    <x v="6"/>
    <x v="0"/>
    <n v="66000000"/>
  </r>
  <r>
    <d v="2024-08-15T00:00:00"/>
    <x v="0"/>
    <x v="7"/>
    <x v="32"/>
    <x v="14"/>
    <x v="0"/>
    <x v="0"/>
    <x v="0"/>
    <n v="4731000000"/>
  </r>
  <r>
    <d v="2024-08-15T00:00:00"/>
    <x v="0"/>
    <x v="7"/>
    <x v="32"/>
    <x v="14"/>
    <x v="5"/>
    <x v="5"/>
    <x v="3"/>
    <n v="2731039768"/>
  </r>
  <r>
    <d v="2024-08-15T00:00:00"/>
    <x v="0"/>
    <x v="7"/>
    <x v="32"/>
    <x v="14"/>
    <x v="7"/>
    <x v="7"/>
    <x v="4"/>
    <n v="207034051"/>
  </r>
  <r>
    <d v="2024-08-15T00:00:00"/>
    <x v="0"/>
    <x v="7"/>
    <x v="32"/>
    <x v="14"/>
    <x v="8"/>
    <x v="8"/>
    <x v="1"/>
    <n v="1485610000"/>
  </r>
  <r>
    <d v="2024-08-15T00:00:00"/>
    <x v="0"/>
    <x v="7"/>
    <x v="32"/>
    <x v="14"/>
    <x v="10"/>
    <x v="9"/>
    <x v="1"/>
    <n v="15000000"/>
  </r>
  <r>
    <d v="2024-08-15T00:00:00"/>
    <x v="0"/>
    <x v="7"/>
    <x v="32"/>
    <x v="14"/>
    <x v="1"/>
    <x v="1"/>
    <x v="1"/>
    <n v="63000000"/>
  </r>
  <r>
    <d v="2024-08-15T00:00:00"/>
    <x v="0"/>
    <x v="7"/>
    <x v="32"/>
    <x v="14"/>
    <x v="2"/>
    <x v="2"/>
    <x v="1"/>
    <n v="5967580000"/>
  </r>
  <r>
    <d v="2024-08-16T00:00:00"/>
    <x v="0"/>
    <x v="7"/>
    <x v="32"/>
    <x v="15"/>
    <x v="9"/>
    <x v="9"/>
    <x v="1"/>
    <n v="0"/>
  </r>
  <r>
    <d v="2024-08-16T00:00:00"/>
    <x v="0"/>
    <x v="7"/>
    <x v="32"/>
    <x v="15"/>
    <x v="3"/>
    <x v="3"/>
    <x v="1"/>
    <n v="121800000"/>
  </r>
  <r>
    <d v="2024-08-16T00:00:00"/>
    <x v="0"/>
    <x v="7"/>
    <x v="32"/>
    <x v="15"/>
    <x v="10"/>
    <x v="9"/>
    <x v="1"/>
    <n v="0"/>
  </r>
  <r>
    <d v="2024-08-16T00:00:00"/>
    <x v="0"/>
    <x v="7"/>
    <x v="32"/>
    <x v="15"/>
    <x v="1"/>
    <x v="1"/>
    <x v="1"/>
    <n v="42000000"/>
  </r>
  <r>
    <d v="2024-08-16T00:00:00"/>
    <x v="0"/>
    <x v="7"/>
    <x v="32"/>
    <x v="15"/>
    <x v="8"/>
    <x v="8"/>
    <x v="1"/>
    <n v="1207930000"/>
  </r>
  <r>
    <d v="2024-08-16T00:00:00"/>
    <x v="0"/>
    <x v="7"/>
    <x v="32"/>
    <x v="15"/>
    <x v="6"/>
    <x v="6"/>
    <x v="0"/>
    <n v="33000000"/>
  </r>
  <r>
    <d v="2024-08-16T00:00:00"/>
    <x v="0"/>
    <x v="7"/>
    <x v="32"/>
    <x v="15"/>
    <x v="12"/>
    <x v="11"/>
    <x v="1"/>
    <n v="2101900000"/>
  </r>
  <r>
    <d v="2024-08-16T00:00:00"/>
    <x v="0"/>
    <x v="7"/>
    <x v="32"/>
    <x v="15"/>
    <x v="2"/>
    <x v="2"/>
    <x v="1"/>
    <n v="7280970000"/>
  </r>
  <r>
    <d v="2024-08-16T00:00:00"/>
    <x v="0"/>
    <x v="7"/>
    <x v="32"/>
    <x v="15"/>
    <x v="4"/>
    <x v="4"/>
    <x v="2"/>
    <n v="17689868662"/>
  </r>
  <r>
    <d v="2024-08-16T00:00:00"/>
    <x v="0"/>
    <x v="7"/>
    <x v="32"/>
    <x v="15"/>
    <x v="0"/>
    <x v="0"/>
    <x v="0"/>
    <n v="4367500000"/>
  </r>
  <r>
    <d v="2024-08-16T00:00:00"/>
    <x v="0"/>
    <x v="7"/>
    <x v="32"/>
    <x v="15"/>
    <x v="11"/>
    <x v="10"/>
    <x v="4"/>
    <n v="41786768"/>
  </r>
  <r>
    <d v="2024-08-16T00:00:00"/>
    <x v="0"/>
    <x v="7"/>
    <x v="32"/>
    <x v="15"/>
    <x v="5"/>
    <x v="5"/>
    <x v="3"/>
    <n v="2285287750"/>
  </r>
  <r>
    <d v="2024-08-16T00:00:00"/>
    <x v="0"/>
    <x v="7"/>
    <x v="32"/>
    <x v="15"/>
    <x v="7"/>
    <x v="7"/>
    <x v="4"/>
    <n v="207694144"/>
  </r>
  <r>
    <d v="2024-08-17T00:00:00"/>
    <x v="0"/>
    <x v="7"/>
    <x v="32"/>
    <x v="16"/>
    <x v="1"/>
    <x v="1"/>
    <x v="1"/>
    <n v="0"/>
  </r>
  <r>
    <d v="2024-08-17T00:00:00"/>
    <x v="0"/>
    <x v="7"/>
    <x v="32"/>
    <x v="16"/>
    <x v="8"/>
    <x v="8"/>
    <x v="1"/>
    <n v="581400000"/>
  </r>
  <r>
    <d v="2024-08-17T00:00:00"/>
    <x v="0"/>
    <x v="7"/>
    <x v="32"/>
    <x v="16"/>
    <x v="5"/>
    <x v="5"/>
    <x v="3"/>
    <n v="2205517984"/>
  </r>
  <r>
    <d v="2024-08-17T00:00:00"/>
    <x v="0"/>
    <x v="7"/>
    <x v="32"/>
    <x v="16"/>
    <x v="11"/>
    <x v="10"/>
    <x v="4"/>
    <n v="25612445"/>
  </r>
  <r>
    <d v="2024-08-17T00:00:00"/>
    <x v="0"/>
    <x v="7"/>
    <x v="32"/>
    <x v="16"/>
    <x v="4"/>
    <x v="4"/>
    <x v="2"/>
    <n v="15033592785"/>
  </r>
  <r>
    <d v="2024-08-17T00:00:00"/>
    <x v="0"/>
    <x v="7"/>
    <x v="32"/>
    <x v="16"/>
    <x v="2"/>
    <x v="2"/>
    <x v="1"/>
    <n v="5991490000"/>
  </r>
  <r>
    <d v="2024-08-17T00:00:00"/>
    <x v="0"/>
    <x v="7"/>
    <x v="32"/>
    <x v="16"/>
    <x v="10"/>
    <x v="9"/>
    <x v="1"/>
    <n v="19260000"/>
  </r>
  <r>
    <d v="2024-08-17T00:00:00"/>
    <x v="0"/>
    <x v="7"/>
    <x v="32"/>
    <x v="16"/>
    <x v="12"/>
    <x v="11"/>
    <x v="1"/>
    <n v="2049680000"/>
  </r>
  <r>
    <d v="2024-08-17T00:00:00"/>
    <x v="0"/>
    <x v="7"/>
    <x v="32"/>
    <x v="16"/>
    <x v="9"/>
    <x v="9"/>
    <x v="1"/>
    <n v="0"/>
  </r>
  <r>
    <d v="2024-08-17T00:00:00"/>
    <x v="0"/>
    <x v="7"/>
    <x v="32"/>
    <x v="16"/>
    <x v="7"/>
    <x v="7"/>
    <x v="4"/>
    <n v="167032356"/>
  </r>
  <r>
    <d v="2024-08-17T00:00:00"/>
    <x v="0"/>
    <x v="7"/>
    <x v="32"/>
    <x v="16"/>
    <x v="6"/>
    <x v="6"/>
    <x v="0"/>
    <n v="46000000"/>
  </r>
  <r>
    <d v="2024-08-17T00:00:00"/>
    <x v="0"/>
    <x v="7"/>
    <x v="32"/>
    <x v="16"/>
    <x v="0"/>
    <x v="0"/>
    <x v="0"/>
    <n v="3861500000"/>
  </r>
  <r>
    <d v="2024-08-17T00:00:00"/>
    <x v="0"/>
    <x v="7"/>
    <x v="32"/>
    <x v="16"/>
    <x v="3"/>
    <x v="3"/>
    <x v="1"/>
    <n v="86100000"/>
  </r>
  <r>
    <d v="2024-08-18T00:00:00"/>
    <x v="0"/>
    <x v="7"/>
    <x v="32"/>
    <x v="17"/>
    <x v="8"/>
    <x v="8"/>
    <x v="1"/>
    <n v="65270000"/>
  </r>
  <r>
    <d v="2024-08-18T00:00:00"/>
    <x v="0"/>
    <x v="7"/>
    <x v="32"/>
    <x v="17"/>
    <x v="4"/>
    <x v="4"/>
    <x v="2"/>
    <n v="12888762026"/>
  </r>
  <r>
    <d v="2024-08-18T00:00:00"/>
    <x v="0"/>
    <x v="7"/>
    <x v="32"/>
    <x v="17"/>
    <x v="0"/>
    <x v="0"/>
    <x v="0"/>
    <n v="3330000000"/>
  </r>
  <r>
    <d v="2024-08-18T00:00:00"/>
    <x v="0"/>
    <x v="7"/>
    <x v="32"/>
    <x v="17"/>
    <x v="7"/>
    <x v="7"/>
    <x v="4"/>
    <n v="145144732"/>
  </r>
  <r>
    <d v="2024-08-18T00:00:00"/>
    <x v="0"/>
    <x v="7"/>
    <x v="32"/>
    <x v="17"/>
    <x v="5"/>
    <x v="5"/>
    <x v="3"/>
    <n v="2014866410"/>
  </r>
  <r>
    <d v="2024-08-18T00:00:00"/>
    <x v="0"/>
    <x v="7"/>
    <x v="32"/>
    <x v="17"/>
    <x v="2"/>
    <x v="2"/>
    <x v="1"/>
    <n v="5210210000"/>
  </r>
  <r>
    <d v="2024-08-18T00:00:00"/>
    <x v="0"/>
    <x v="7"/>
    <x v="32"/>
    <x v="17"/>
    <x v="6"/>
    <x v="6"/>
    <x v="0"/>
    <n v="39000000"/>
  </r>
  <r>
    <d v="2024-08-18T00:00:00"/>
    <x v="0"/>
    <x v="7"/>
    <x v="32"/>
    <x v="17"/>
    <x v="9"/>
    <x v="9"/>
    <x v="1"/>
    <n v="0"/>
  </r>
  <r>
    <d v="2024-08-18T00:00:00"/>
    <x v="0"/>
    <x v="7"/>
    <x v="32"/>
    <x v="17"/>
    <x v="3"/>
    <x v="3"/>
    <x v="1"/>
    <n v="90300000"/>
  </r>
  <r>
    <d v="2024-08-18T00:00:00"/>
    <x v="0"/>
    <x v="7"/>
    <x v="32"/>
    <x v="17"/>
    <x v="1"/>
    <x v="1"/>
    <x v="1"/>
    <n v="36750000"/>
  </r>
  <r>
    <d v="2024-08-18T00:00:00"/>
    <x v="0"/>
    <x v="7"/>
    <x v="32"/>
    <x v="17"/>
    <x v="10"/>
    <x v="9"/>
    <x v="1"/>
    <n v="31030000"/>
  </r>
  <r>
    <d v="2024-08-18T00:00:00"/>
    <x v="0"/>
    <x v="7"/>
    <x v="32"/>
    <x v="17"/>
    <x v="11"/>
    <x v="10"/>
    <x v="4"/>
    <n v="30880884"/>
  </r>
  <r>
    <d v="2024-08-18T00:00:00"/>
    <x v="0"/>
    <x v="7"/>
    <x v="32"/>
    <x v="17"/>
    <x v="12"/>
    <x v="11"/>
    <x v="1"/>
    <n v="1895310000"/>
  </r>
  <r>
    <d v="2024-08-25T00:00:00"/>
    <x v="0"/>
    <x v="7"/>
    <x v="33"/>
    <x v="24"/>
    <x v="1"/>
    <x v="1"/>
    <x v="1"/>
    <n v="42000000"/>
  </r>
  <r>
    <d v="2024-08-25T00:00:00"/>
    <x v="0"/>
    <x v="7"/>
    <x v="33"/>
    <x v="24"/>
    <x v="5"/>
    <x v="5"/>
    <x v="3"/>
    <n v="2512907741"/>
  </r>
  <r>
    <d v="2024-08-25T00:00:00"/>
    <x v="0"/>
    <x v="7"/>
    <x v="33"/>
    <x v="24"/>
    <x v="3"/>
    <x v="3"/>
    <x v="1"/>
    <n v="166150000"/>
  </r>
  <r>
    <d v="2024-08-25T00:00:00"/>
    <x v="0"/>
    <x v="7"/>
    <x v="33"/>
    <x v="24"/>
    <x v="2"/>
    <x v="2"/>
    <x v="1"/>
    <n v="7802820000"/>
  </r>
  <r>
    <d v="2024-08-25T00:00:00"/>
    <x v="0"/>
    <x v="7"/>
    <x v="33"/>
    <x v="24"/>
    <x v="6"/>
    <x v="6"/>
    <x v="0"/>
    <n v="24000000"/>
  </r>
  <r>
    <d v="2024-08-25T00:00:00"/>
    <x v="0"/>
    <x v="7"/>
    <x v="33"/>
    <x v="24"/>
    <x v="12"/>
    <x v="11"/>
    <x v="1"/>
    <n v="2491950000"/>
  </r>
  <r>
    <d v="2024-08-25T00:00:00"/>
    <x v="0"/>
    <x v="7"/>
    <x v="33"/>
    <x v="24"/>
    <x v="11"/>
    <x v="10"/>
    <x v="4"/>
    <n v="26593081"/>
  </r>
  <r>
    <d v="2024-08-25T00:00:00"/>
    <x v="0"/>
    <x v="7"/>
    <x v="33"/>
    <x v="24"/>
    <x v="0"/>
    <x v="0"/>
    <x v="0"/>
    <n v="4041500000"/>
  </r>
  <r>
    <d v="2024-08-25T00:00:00"/>
    <x v="0"/>
    <x v="7"/>
    <x v="33"/>
    <x v="24"/>
    <x v="8"/>
    <x v="8"/>
    <x v="1"/>
    <n v="936450000"/>
  </r>
  <r>
    <d v="2024-08-25T00:00:00"/>
    <x v="0"/>
    <x v="7"/>
    <x v="33"/>
    <x v="24"/>
    <x v="9"/>
    <x v="9"/>
    <x v="1"/>
    <n v="21400000"/>
  </r>
  <r>
    <d v="2024-08-25T00:00:00"/>
    <x v="0"/>
    <x v="7"/>
    <x v="33"/>
    <x v="24"/>
    <x v="7"/>
    <x v="7"/>
    <x v="4"/>
    <n v="188287818"/>
  </r>
  <r>
    <d v="2024-08-25T00:00:00"/>
    <x v="0"/>
    <x v="7"/>
    <x v="33"/>
    <x v="24"/>
    <x v="10"/>
    <x v="9"/>
    <x v="1"/>
    <n v="0"/>
  </r>
  <r>
    <d v="2024-08-25T00:00:00"/>
    <x v="0"/>
    <x v="7"/>
    <x v="33"/>
    <x v="24"/>
    <x v="3"/>
    <x v="3"/>
    <x v="1"/>
    <n v="136500000"/>
  </r>
  <r>
    <d v="2024-08-25T00:00:00"/>
    <x v="0"/>
    <x v="7"/>
    <x v="33"/>
    <x v="24"/>
    <x v="1"/>
    <x v="1"/>
    <x v="1"/>
    <n v="58800000"/>
  </r>
  <r>
    <d v="2024-08-25T00:00:00"/>
    <x v="0"/>
    <x v="7"/>
    <x v="33"/>
    <x v="24"/>
    <x v="6"/>
    <x v="6"/>
    <x v="0"/>
    <n v="71000000"/>
  </r>
  <r>
    <d v="2024-08-25T00:00:00"/>
    <x v="0"/>
    <x v="7"/>
    <x v="33"/>
    <x v="24"/>
    <x v="9"/>
    <x v="9"/>
    <x v="1"/>
    <n v="21400000"/>
  </r>
  <r>
    <d v="2024-08-25T00:00:00"/>
    <x v="0"/>
    <x v="7"/>
    <x v="33"/>
    <x v="24"/>
    <x v="10"/>
    <x v="9"/>
    <x v="1"/>
    <n v="27120000"/>
  </r>
  <r>
    <d v="2024-08-25T00:00:00"/>
    <x v="0"/>
    <x v="7"/>
    <x v="33"/>
    <x v="24"/>
    <x v="11"/>
    <x v="10"/>
    <x v="4"/>
    <n v="20728155"/>
  </r>
  <r>
    <d v="2024-08-25T00:00:00"/>
    <x v="0"/>
    <x v="7"/>
    <x v="33"/>
    <x v="24"/>
    <x v="8"/>
    <x v="8"/>
    <x v="1"/>
    <n v="553190000"/>
  </r>
  <r>
    <d v="2024-08-25T00:00:00"/>
    <x v="0"/>
    <x v="7"/>
    <x v="33"/>
    <x v="24"/>
    <x v="5"/>
    <x v="5"/>
    <x v="3"/>
    <n v="2525067800"/>
  </r>
  <r>
    <d v="2024-08-25T00:00:00"/>
    <x v="0"/>
    <x v="7"/>
    <x v="33"/>
    <x v="24"/>
    <x v="7"/>
    <x v="7"/>
    <x v="4"/>
    <n v="178002653"/>
  </r>
  <r>
    <d v="2024-08-25T00:00:00"/>
    <x v="0"/>
    <x v="7"/>
    <x v="33"/>
    <x v="24"/>
    <x v="0"/>
    <x v="0"/>
    <x v="0"/>
    <n v="4244000000"/>
  </r>
  <r>
    <d v="2024-08-25T00:00:00"/>
    <x v="0"/>
    <x v="7"/>
    <x v="33"/>
    <x v="24"/>
    <x v="12"/>
    <x v="11"/>
    <x v="1"/>
    <n v="2575110000"/>
  </r>
  <r>
    <d v="2024-08-25T00:00:00"/>
    <x v="0"/>
    <x v="7"/>
    <x v="33"/>
    <x v="24"/>
    <x v="2"/>
    <x v="2"/>
    <x v="1"/>
    <n v="6911660000"/>
  </r>
  <r>
    <d v="2024-08-25T00:00:00"/>
    <x v="0"/>
    <x v="7"/>
    <x v="33"/>
    <x v="24"/>
    <x v="2"/>
    <x v="2"/>
    <x v="1"/>
    <n v="6175000000"/>
  </r>
  <r>
    <d v="2024-08-25T00:00:00"/>
    <x v="0"/>
    <x v="7"/>
    <x v="33"/>
    <x v="24"/>
    <x v="10"/>
    <x v="9"/>
    <x v="1"/>
    <n v="21400000"/>
  </r>
  <r>
    <d v="2024-08-25T00:00:00"/>
    <x v="0"/>
    <x v="7"/>
    <x v="33"/>
    <x v="24"/>
    <x v="6"/>
    <x v="6"/>
    <x v="0"/>
    <n v="100000000"/>
  </r>
  <r>
    <d v="2024-08-25T00:00:00"/>
    <x v="0"/>
    <x v="7"/>
    <x v="33"/>
    <x v="24"/>
    <x v="7"/>
    <x v="7"/>
    <x v="4"/>
    <n v="216579425"/>
  </r>
  <r>
    <d v="2024-08-25T00:00:00"/>
    <x v="0"/>
    <x v="7"/>
    <x v="33"/>
    <x v="24"/>
    <x v="12"/>
    <x v="11"/>
    <x v="1"/>
    <n v="2204170000"/>
  </r>
  <r>
    <d v="2024-08-25T00:00:00"/>
    <x v="0"/>
    <x v="7"/>
    <x v="33"/>
    <x v="24"/>
    <x v="11"/>
    <x v="10"/>
    <x v="4"/>
    <n v="19763175"/>
  </r>
  <r>
    <d v="2024-08-25T00:00:00"/>
    <x v="0"/>
    <x v="7"/>
    <x v="33"/>
    <x v="24"/>
    <x v="8"/>
    <x v="8"/>
    <x v="1"/>
    <n v="842090000"/>
  </r>
  <r>
    <d v="2024-08-25T00:00:00"/>
    <x v="0"/>
    <x v="7"/>
    <x v="33"/>
    <x v="24"/>
    <x v="5"/>
    <x v="5"/>
    <x v="3"/>
    <n v="2544794596"/>
  </r>
  <r>
    <d v="2024-08-25T00:00:00"/>
    <x v="0"/>
    <x v="7"/>
    <x v="33"/>
    <x v="24"/>
    <x v="3"/>
    <x v="3"/>
    <x v="1"/>
    <n v="197400000"/>
  </r>
  <r>
    <d v="2024-08-25T00:00:00"/>
    <x v="0"/>
    <x v="7"/>
    <x v="33"/>
    <x v="24"/>
    <x v="1"/>
    <x v="1"/>
    <x v="1"/>
    <n v="33600000"/>
  </r>
  <r>
    <d v="2024-08-25T00:00:00"/>
    <x v="0"/>
    <x v="7"/>
    <x v="33"/>
    <x v="24"/>
    <x v="0"/>
    <x v="0"/>
    <x v="0"/>
    <n v="4082000000"/>
  </r>
  <r>
    <d v="2024-08-25T00:00:00"/>
    <x v="0"/>
    <x v="7"/>
    <x v="33"/>
    <x v="24"/>
    <x v="9"/>
    <x v="9"/>
    <x v="1"/>
    <n v="0"/>
  </r>
  <r>
    <d v="2024-08-25T00:00:00"/>
    <x v="0"/>
    <x v="7"/>
    <x v="33"/>
    <x v="24"/>
    <x v="8"/>
    <x v="8"/>
    <x v="1"/>
    <n v="733200000"/>
  </r>
  <r>
    <d v="2024-08-25T00:00:00"/>
    <x v="0"/>
    <x v="7"/>
    <x v="33"/>
    <x v="24"/>
    <x v="3"/>
    <x v="3"/>
    <x v="1"/>
    <n v="85050000"/>
  </r>
  <r>
    <d v="2024-08-25T00:00:00"/>
    <x v="0"/>
    <x v="7"/>
    <x v="33"/>
    <x v="24"/>
    <x v="5"/>
    <x v="5"/>
    <x v="3"/>
    <n v="2561211381"/>
  </r>
  <r>
    <d v="2024-08-25T00:00:00"/>
    <x v="0"/>
    <x v="7"/>
    <x v="33"/>
    <x v="24"/>
    <x v="6"/>
    <x v="6"/>
    <x v="0"/>
    <n v="52000000"/>
  </r>
  <r>
    <d v="2024-08-25T00:00:00"/>
    <x v="0"/>
    <x v="7"/>
    <x v="33"/>
    <x v="24"/>
    <x v="12"/>
    <x v="11"/>
    <x v="1"/>
    <n v="2119920000"/>
  </r>
  <r>
    <d v="2024-08-25T00:00:00"/>
    <x v="0"/>
    <x v="7"/>
    <x v="33"/>
    <x v="24"/>
    <x v="11"/>
    <x v="10"/>
    <x v="4"/>
    <n v="25820695"/>
  </r>
  <r>
    <d v="2024-08-25T00:00:00"/>
    <x v="0"/>
    <x v="7"/>
    <x v="33"/>
    <x v="24"/>
    <x v="0"/>
    <x v="0"/>
    <x v="0"/>
    <n v="3958000000"/>
  </r>
  <r>
    <d v="2024-08-25T00:00:00"/>
    <x v="0"/>
    <x v="7"/>
    <x v="33"/>
    <x v="24"/>
    <x v="9"/>
    <x v="9"/>
    <x v="1"/>
    <n v="0"/>
  </r>
  <r>
    <d v="2024-08-25T00:00:00"/>
    <x v="0"/>
    <x v="7"/>
    <x v="33"/>
    <x v="24"/>
    <x v="7"/>
    <x v="7"/>
    <x v="4"/>
    <n v="182772869"/>
  </r>
  <r>
    <d v="2024-08-25T00:00:00"/>
    <x v="0"/>
    <x v="7"/>
    <x v="33"/>
    <x v="24"/>
    <x v="1"/>
    <x v="1"/>
    <x v="1"/>
    <n v="68250000"/>
  </r>
  <r>
    <d v="2024-08-25T00:00:00"/>
    <x v="0"/>
    <x v="7"/>
    <x v="33"/>
    <x v="24"/>
    <x v="10"/>
    <x v="9"/>
    <x v="1"/>
    <n v="20000000"/>
  </r>
  <r>
    <d v="2024-08-25T00:00:00"/>
    <x v="0"/>
    <x v="7"/>
    <x v="33"/>
    <x v="24"/>
    <x v="2"/>
    <x v="2"/>
    <x v="1"/>
    <n v="6001010000"/>
  </r>
  <r>
    <d v="2024-08-25T00:00:00"/>
    <x v="0"/>
    <x v="7"/>
    <x v="33"/>
    <x v="24"/>
    <x v="7"/>
    <x v="7"/>
    <x v="4"/>
    <n v="177789087"/>
  </r>
  <r>
    <d v="2024-08-25T00:00:00"/>
    <x v="0"/>
    <x v="7"/>
    <x v="33"/>
    <x v="24"/>
    <x v="1"/>
    <x v="1"/>
    <x v="1"/>
    <n v="21000000"/>
  </r>
  <r>
    <d v="2024-08-25T00:00:00"/>
    <x v="0"/>
    <x v="7"/>
    <x v="33"/>
    <x v="24"/>
    <x v="5"/>
    <x v="5"/>
    <x v="3"/>
    <n v="2386903058"/>
  </r>
  <r>
    <d v="2024-08-25T00:00:00"/>
    <x v="0"/>
    <x v="7"/>
    <x v="33"/>
    <x v="24"/>
    <x v="10"/>
    <x v="9"/>
    <x v="1"/>
    <n v="22470000"/>
  </r>
  <r>
    <d v="2024-08-25T00:00:00"/>
    <x v="0"/>
    <x v="7"/>
    <x v="33"/>
    <x v="24"/>
    <x v="9"/>
    <x v="9"/>
    <x v="1"/>
    <n v="0"/>
  </r>
  <r>
    <d v="2024-08-25T00:00:00"/>
    <x v="0"/>
    <x v="7"/>
    <x v="33"/>
    <x v="24"/>
    <x v="8"/>
    <x v="8"/>
    <x v="1"/>
    <n v="380920000"/>
  </r>
  <r>
    <d v="2024-08-25T00:00:00"/>
    <x v="0"/>
    <x v="7"/>
    <x v="33"/>
    <x v="24"/>
    <x v="3"/>
    <x v="3"/>
    <x v="1"/>
    <n v="75900000"/>
  </r>
  <r>
    <d v="2024-08-25T00:00:00"/>
    <x v="0"/>
    <x v="7"/>
    <x v="33"/>
    <x v="24"/>
    <x v="2"/>
    <x v="2"/>
    <x v="1"/>
    <n v="5874430000"/>
  </r>
  <r>
    <d v="2024-08-25T00:00:00"/>
    <x v="0"/>
    <x v="7"/>
    <x v="33"/>
    <x v="24"/>
    <x v="11"/>
    <x v="10"/>
    <x v="4"/>
    <n v="34839665"/>
  </r>
  <r>
    <d v="2024-08-25T00:00:00"/>
    <x v="0"/>
    <x v="7"/>
    <x v="33"/>
    <x v="24"/>
    <x v="12"/>
    <x v="11"/>
    <x v="1"/>
    <n v="2116550000"/>
  </r>
  <r>
    <d v="2024-08-25T00:00:00"/>
    <x v="0"/>
    <x v="7"/>
    <x v="33"/>
    <x v="24"/>
    <x v="0"/>
    <x v="0"/>
    <x v="0"/>
    <n v="3894000000"/>
  </r>
  <r>
    <d v="2024-08-25T00:00:00"/>
    <x v="0"/>
    <x v="7"/>
    <x v="33"/>
    <x v="24"/>
    <x v="6"/>
    <x v="6"/>
    <x v="0"/>
    <n v="46000000"/>
  </r>
  <r>
    <d v="2024-08-25T00:00:00"/>
    <x v="0"/>
    <x v="7"/>
    <x v="33"/>
    <x v="24"/>
    <x v="9"/>
    <x v="9"/>
    <x v="1"/>
    <n v="20000000"/>
  </r>
  <r>
    <d v="2024-08-25T00:00:00"/>
    <x v="0"/>
    <x v="7"/>
    <x v="33"/>
    <x v="24"/>
    <x v="11"/>
    <x v="10"/>
    <x v="4"/>
    <n v="32320883"/>
  </r>
  <r>
    <d v="2024-08-25T00:00:00"/>
    <x v="0"/>
    <x v="7"/>
    <x v="33"/>
    <x v="24"/>
    <x v="3"/>
    <x v="3"/>
    <x v="1"/>
    <n v="30450000"/>
  </r>
  <r>
    <d v="2024-08-25T00:00:00"/>
    <x v="0"/>
    <x v="7"/>
    <x v="33"/>
    <x v="24"/>
    <x v="1"/>
    <x v="1"/>
    <x v="1"/>
    <n v="31500000"/>
  </r>
  <r>
    <d v="2024-08-25T00:00:00"/>
    <x v="0"/>
    <x v="7"/>
    <x v="33"/>
    <x v="24"/>
    <x v="5"/>
    <x v="5"/>
    <x v="3"/>
    <n v="2616639245"/>
  </r>
  <r>
    <d v="2024-08-25T00:00:00"/>
    <x v="0"/>
    <x v="7"/>
    <x v="33"/>
    <x v="24"/>
    <x v="2"/>
    <x v="2"/>
    <x v="1"/>
    <n v="5655910000"/>
  </r>
  <r>
    <d v="2024-08-25T00:00:00"/>
    <x v="0"/>
    <x v="7"/>
    <x v="33"/>
    <x v="24"/>
    <x v="6"/>
    <x v="6"/>
    <x v="0"/>
    <n v="83000000"/>
  </r>
  <r>
    <d v="2024-08-25T00:00:00"/>
    <x v="0"/>
    <x v="7"/>
    <x v="33"/>
    <x v="24"/>
    <x v="10"/>
    <x v="9"/>
    <x v="1"/>
    <n v="21400000"/>
  </r>
  <r>
    <d v="2024-08-25T00:00:00"/>
    <x v="0"/>
    <x v="7"/>
    <x v="33"/>
    <x v="24"/>
    <x v="12"/>
    <x v="11"/>
    <x v="1"/>
    <n v="1962660000"/>
  </r>
  <r>
    <d v="2024-08-25T00:00:00"/>
    <x v="0"/>
    <x v="7"/>
    <x v="33"/>
    <x v="24"/>
    <x v="8"/>
    <x v="8"/>
    <x v="1"/>
    <n v="195810000"/>
  </r>
  <r>
    <d v="2024-08-25T00:00:00"/>
    <x v="0"/>
    <x v="7"/>
    <x v="33"/>
    <x v="24"/>
    <x v="0"/>
    <x v="0"/>
    <x v="0"/>
    <n v="3736500000"/>
  </r>
  <r>
    <d v="2024-08-25T00:00:00"/>
    <x v="0"/>
    <x v="7"/>
    <x v="33"/>
    <x v="24"/>
    <x v="7"/>
    <x v="7"/>
    <x v="4"/>
    <n v="150655403"/>
  </r>
  <r>
    <d v="2024-08-25T00:00:00"/>
    <x v="0"/>
    <x v="7"/>
    <x v="33"/>
    <x v="24"/>
    <x v="6"/>
    <x v="6"/>
    <x v="0"/>
    <n v="54000000"/>
  </r>
  <r>
    <d v="2024-08-25T00:00:00"/>
    <x v="0"/>
    <x v="7"/>
    <x v="33"/>
    <x v="24"/>
    <x v="3"/>
    <x v="3"/>
    <x v="1"/>
    <n v="66150000"/>
  </r>
  <r>
    <d v="2024-08-25T00:00:00"/>
    <x v="0"/>
    <x v="7"/>
    <x v="33"/>
    <x v="24"/>
    <x v="11"/>
    <x v="10"/>
    <x v="4"/>
    <n v="30304939"/>
  </r>
  <r>
    <d v="2024-08-25T00:00:00"/>
    <x v="0"/>
    <x v="7"/>
    <x v="33"/>
    <x v="24"/>
    <x v="9"/>
    <x v="9"/>
    <x v="1"/>
    <n v="0"/>
  </r>
  <r>
    <d v="2024-08-25T00:00:00"/>
    <x v="0"/>
    <x v="7"/>
    <x v="33"/>
    <x v="24"/>
    <x v="12"/>
    <x v="11"/>
    <x v="1"/>
    <n v="1926810000"/>
  </r>
  <r>
    <d v="2024-08-25T00:00:00"/>
    <x v="0"/>
    <x v="7"/>
    <x v="33"/>
    <x v="24"/>
    <x v="10"/>
    <x v="9"/>
    <x v="1"/>
    <n v="29540000"/>
  </r>
  <r>
    <d v="2024-08-25T00:00:00"/>
    <x v="0"/>
    <x v="7"/>
    <x v="33"/>
    <x v="24"/>
    <x v="8"/>
    <x v="8"/>
    <x v="1"/>
    <n v="27820000"/>
  </r>
  <r>
    <d v="2024-08-25T00:00:00"/>
    <x v="0"/>
    <x v="7"/>
    <x v="33"/>
    <x v="24"/>
    <x v="7"/>
    <x v="7"/>
    <x v="4"/>
    <n v="187118446"/>
  </r>
  <r>
    <d v="2024-08-25T00:00:00"/>
    <x v="0"/>
    <x v="7"/>
    <x v="33"/>
    <x v="24"/>
    <x v="0"/>
    <x v="0"/>
    <x v="0"/>
    <n v="3378500000"/>
  </r>
  <r>
    <d v="2024-08-25T00:00:00"/>
    <x v="0"/>
    <x v="7"/>
    <x v="33"/>
    <x v="24"/>
    <x v="2"/>
    <x v="2"/>
    <x v="1"/>
    <n v="5362250000"/>
  </r>
  <r>
    <d v="2024-08-25T00:00:00"/>
    <x v="0"/>
    <x v="7"/>
    <x v="33"/>
    <x v="24"/>
    <x v="5"/>
    <x v="5"/>
    <x v="3"/>
    <n v="2267336692"/>
  </r>
  <r>
    <d v="2024-08-25T00:00:00"/>
    <x v="0"/>
    <x v="7"/>
    <x v="33"/>
    <x v="24"/>
    <x v="1"/>
    <x v="1"/>
    <x v="1"/>
    <n v="31500000"/>
  </r>
  <r>
    <d v="2024-08-26T00:00:00"/>
    <x v="0"/>
    <x v="7"/>
    <x v="34"/>
    <x v="25"/>
    <x v="5"/>
    <x v="5"/>
    <x v="3"/>
    <n v="2954824736"/>
  </r>
  <r>
    <d v="2024-08-26T00:00:00"/>
    <x v="0"/>
    <x v="7"/>
    <x v="34"/>
    <x v="25"/>
    <x v="3"/>
    <x v="3"/>
    <x v="1"/>
    <n v="112650000"/>
  </r>
  <r>
    <d v="2024-08-26T00:00:00"/>
    <x v="0"/>
    <x v="7"/>
    <x v="34"/>
    <x v="25"/>
    <x v="2"/>
    <x v="2"/>
    <x v="1"/>
    <n v="6285750000"/>
  </r>
  <r>
    <d v="2024-08-26T00:00:00"/>
    <x v="0"/>
    <x v="7"/>
    <x v="34"/>
    <x v="25"/>
    <x v="8"/>
    <x v="8"/>
    <x v="1"/>
    <n v="269640000"/>
  </r>
  <r>
    <d v="2024-08-26T00:00:00"/>
    <x v="0"/>
    <x v="7"/>
    <x v="34"/>
    <x v="25"/>
    <x v="10"/>
    <x v="9"/>
    <x v="1"/>
    <n v="10700000"/>
  </r>
  <r>
    <d v="2024-08-26T00:00:00"/>
    <x v="0"/>
    <x v="7"/>
    <x v="34"/>
    <x v="25"/>
    <x v="6"/>
    <x v="6"/>
    <x v="0"/>
    <n v="73000000"/>
  </r>
  <r>
    <d v="2024-08-26T00:00:00"/>
    <x v="0"/>
    <x v="7"/>
    <x v="34"/>
    <x v="25"/>
    <x v="9"/>
    <x v="9"/>
    <x v="1"/>
    <n v="0"/>
  </r>
  <r>
    <d v="2024-08-26T00:00:00"/>
    <x v="0"/>
    <x v="7"/>
    <x v="34"/>
    <x v="25"/>
    <x v="7"/>
    <x v="7"/>
    <x v="4"/>
    <n v="197855029"/>
  </r>
  <r>
    <d v="2024-08-26T00:00:00"/>
    <x v="0"/>
    <x v="7"/>
    <x v="34"/>
    <x v="25"/>
    <x v="12"/>
    <x v="11"/>
    <x v="1"/>
    <n v="2182150000"/>
  </r>
  <r>
    <d v="2024-08-26T00:00:00"/>
    <x v="0"/>
    <x v="7"/>
    <x v="34"/>
    <x v="25"/>
    <x v="1"/>
    <x v="1"/>
    <x v="1"/>
    <n v="21000000"/>
  </r>
  <r>
    <d v="2024-08-26T00:00:00"/>
    <x v="0"/>
    <x v="7"/>
    <x v="34"/>
    <x v="25"/>
    <x v="0"/>
    <x v="0"/>
    <x v="0"/>
    <n v="3837000000"/>
  </r>
  <r>
    <d v="2024-08-26T00:00:00"/>
    <x v="0"/>
    <x v="7"/>
    <x v="34"/>
    <x v="25"/>
    <x v="11"/>
    <x v="10"/>
    <x v="4"/>
    <n v="27263693"/>
  </r>
  <r>
    <d v="2024-08-26T00:00:00"/>
    <x v="0"/>
    <x v="7"/>
    <x v="34"/>
    <x v="25"/>
    <x v="4"/>
    <x v="4"/>
    <x v="2"/>
    <n v="15971833458"/>
  </r>
  <r>
    <d v="2024-08-27T00:00:00"/>
    <x v="0"/>
    <x v="7"/>
    <x v="34"/>
    <x v="26"/>
    <x v="3"/>
    <x v="3"/>
    <x v="1"/>
    <n v="70350000"/>
  </r>
  <r>
    <d v="2024-08-27T00:00:00"/>
    <x v="0"/>
    <x v="7"/>
    <x v="34"/>
    <x v="26"/>
    <x v="5"/>
    <x v="5"/>
    <x v="3"/>
    <n v="2622107807"/>
  </r>
  <r>
    <d v="2024-08-27T00:00:00"/>
    <x v="0"/>
    <x v="7"/>
    <x v="34"/>
    <x v="26"/>
    <x v="10"/>
    <x v="9"/>
    <x v="1"/>
    <n v="0"/>
  </r>
  <r>
    <d v="2024-08-27T00:00:00"/>
    <x v="0"/>
    <x v="7"/>
    <x v="34"/>
    <x v="26"/>
    <x v="4"/>
    <x v="4"/>
    <x v="2"/>
    <n v="15322783439"/>
  </r>
  <r>
    <d v="2024-08-27T00:00:00"/>
    <x v="0"/>
    <x v="7"/>
    <x v="34"/>
    <x v="26"/>
    <x v="2"/>
    <x v="2"/>
    <x v="1"/>
    <n v="6332220000"/>
  </r>
  <r>
    <d v="2024-08-27T00:00:00"/>
    <x v="0"/>
    <x v="7"/>
    <x v="34"/>
    <x v="26"/>
    <x v="6"/>
    <x v="6"/>
    <x v="0"/>
    <n v="87000000"/>
  </r>
  <r>
    <d v="2024-08-27T00:00:00"/>
    <x v="0"/>
    <x v="7"/>
    <x v="34"/>
    <x v="26"/>
    <x v="12"/>
    <x v="11"/>
    <x v="1"/>
    <n v="2254120000"/>
  </r>
  <r>
    <d v="2024-08-27T00:00:00"/>
    <x v="0"/>
    <x v="7"/>
    <x v="34"/>
    <x v="26"/>
    <x v="7"/>
    <x v="7"/>
    <x v="4"/>
    <n v="161645591"/>
  </r>
  <r>
    <d v="2024-08-27T00:00:00"/>
    <x v="0"/>
    <x v="7"/>
    <x v="34"/>
    <x v="26"/>
    <x v="9"/>
    <x v="9"/>
    <x v="1"/>
    <n v="0"/>
  </r>
  <r>
    <d v="2024-08-27T00:00:00"/>
    <x v="0"/>
    <x v="7"/>
    <x v="34"/>
    <x v="26"/>
    <x v="1"/>
    <x v="1"/>
    <x v="1"/>
    <n v="0"/>
  </r>
  <r>
    <d v="2024-08-27T00:00:00"/>
    <x v="0"/>
    <x v="7"/>
    <x v="34"/>
    <x v="26"/>
    <x v="0"/>
    <x v="0"/>
    <x v="0"/>
    <n v="3549500000"/>
  </r>
  <r>
    <d v="2024-08-27T00:00:00"/>
    <x v="0"/>
    <x v="7"/>
    <x v="34"/>
    <x v="26"/>
    <x v="11"/>
    <x v="10"/>
    <x v="4"/>
    <n v="29590041"/>
  </r>
  <r>
    <d v="2024-08-27T00:00:00"/>
    <x v="0"/>
    <x v="7"/>
    <x v="34"/>
    <x v="26"/>
    <x v="8"/>
    <x v="8"/>
    <x v="1"/>
    <n v="216250000"/>
  </r>
  <r>
    <d v="2024-08-28T00:00:00"/>
    <x v="0"/>
    <x v="7"/>
    <x v="34"/>
    <x v="27"/>
    <x v="11"/>
    <x v="10"/>
    <x v="4"/>
    <n v="27649044"/>
  </r>
  <r>
    <d v="2024-08-28T00:00:00"/>
    <x v="0"/>
    <x v="7"/>
    <x v="34"/>
    <x v="27"/>
    <x v="4"/>
    <x v="4"/>
    <x v="2"/>
    <n v="15471274773"/>
  </r>
  <r>
    <d v="2024-08-28T00:00:00"/>
    <x v="0"/>
    <x v="7"/>
    <x v="34"/>
    <x v="27"/>
    <x v="7"/>
    <x v="7"/>
    <x v="4"/>
    <n v="159856543"/>
  </r>
  <r>
    <d v="2024-08-28T00:00:00"/>
    <x v="0"/>
    <x v="7"/>
    <x v="34"/>
    <x v="27"/>
    <x v="10"/>
    <x v="9"/>
    <x v="1"/>
    <n v="29540000"/>
  </r>
  <r>
    <d v="2024-08-28T00:00:00"/>
    <x v="0"/>
    <x v="7"/>
    <x v="34"/>
    <x v="27"/>
    <x v="5"/>
    <x v="5"/>
    <x v="3"/>
    <n v="2744699186"/>
  </r>
  <r>
    <d v="2024-08-28T00:00:00"/>
    <x v="0"/>
    <x v="7"/>
    <x v="34"/>
    <x v="27"/>
    <x v="8"/>
    <x v="8"/>
    <x v="1"/>
    <n v="172270000"/>
  </r>
  <r>
    <d v="2024-08-28T00:00:00"/>
    <x v="0"/>
    <x v="7"/>
    <x v="34"/>
    <x v="27"/>
    <x v="3"/>
    <x v="3"/>
    <x v="1"/>
    <n v="393700000"/>
  </r>
  <r>
    <d v="2024-08-28T00:00:00"/>
    <x v="0"/>
    <x v="7"/>
    <x v="34"/>
    <x v="27"/>
    <x v="1"/>
    <x v="1"/>
    <x v="1"/>
    <n v="10500000"/>
  </r>
  <r>
    <d v="2024-08-28T00:00:00"/>
    <x v="0"/>
    <x v="7"/>
    <x v="34"/>
    <x v="27"/>
    <x v="0"/>
    <x v="0"/>
    <x v="0"/>
    <n v="3547500000"/>
  </r>
  <r>
    <d v="2024-08-28T00:00:00"/>
    <x v="0"/>
    <x v="7"/>
    <x v="34"/>
    <x v="27"/>
    <x v="12"/>
    <x v="11"/>
    <x v="1"/>
    <n v="2214780000"/>
  </r>
  <r>
    <d v="2024-08-28T00:00:00"/>
    <x v="0"/>
    <x v="7"/>
    <x v="34"/>
    <x v="27"/>
    <x v="6"/>
    <x v="6"/>
    <x v="0"/>
    <n v="64000000"/>
  </r>
  <r>
    <d v="2024-08-28T00:00:00"/>
    <x v="0"/>
    <x v="7"/>
    <x v="34"/>
    <x v="27"/>
    <x v="2"/>
    <x v="2"/>
    <x v="1"/>
    <n v="6106780000"/>
  </r>
  <r>
    <d v="2024-08-28T00:00:00"/>
    <x v="0"/>
    <x v="7"/>
    <x v="34"/>
    <x v="27"/>
    <x v="9"/>
    <x v="9"/>
    <x v="1"/>
    <n v="0"/>
  </r>
  <r>
    <d v="2024-08-29T00:00:00"/>
    <x v="0"/>
    <x v="7"/>
    <x v="34"/>
    <x v="28"/>
    <x v="4"/>
    <x v="4"/>
    <x v="2"/>
    <n v="15973496530"/>
  </r>
  <r>
    <d v="2024-08-29T00:00:00"/>
    <x v="0"/>
    <x v="7"/>
    <x v="34"/>
    <x v="28"/>
    <x v="6"/>
    <x v="6"/>
    <x v="0"/>
    <n v="43000000"/>
  </r>
  <r>
    <d v="2024-08-29T00:00:00"/>
    <x v="0"/>
    <x v="7"/>
    <x v="34"/>
    <x v="28"/>
    <x v="7"/>
    <x v="7"/>
    <x v="4"/>
    <n v="163456705"/>
  </r>
  <r>
    <d v="2024-08-29T00:00:00"/>
    <x v="0"/>
    <x v="7"/>
    <x v="34"/>
    <x v="28"/>
    <x v="5"/>
    <x v="5"/>
    <x v="3"/>
    <n v="3108274555"/>
  </r>
  <r>
    <d v="2024-08-29T00:00:00"/>
    <x v="0"/>
    <x v="7"/>
    <x v="34"/>
    <x v="28"/>
    <x v="2"/>
    <x v="2"/>
    <x v="1"/>
    <n v="6015420000"/>
  </r>
  <r>
    <d v="2024-08-29T00:00:00"/>
    <x v="0"/>
    <x v="7"/>
    <x v="34"/>
    <x v="28"/>
    <x v="10"/>
    <x v="9"/>
    <x v="1"/>
    <n v="6420000"/>
  </r>
  <r>
    <d v="2024-08-29T00:00:00"/>
    <x v="0"/>
    <x v="7"/>
    <x v="34"/>
    <x v="28"/>
    <x v="11"/>
    <x v="10"/>
    <x v="4"/>
    <n v="23255270"/>
  </r>
  <r>
    <d v="2024-08-29T00:00:00"/>
    <x v="0"/>
    <x v="7"/>
    <x v="34"/>
    <x v="28"/>
    <x v="3"/>
    <x v="3"/>
    <x v="1"/>
    <n v="255450000"/>
  </r>
  <r>
    <d v="2024-08-29T00:00:00"/>
    <x v="0"/>
    <x v="7"/>
    <x v="34"/>
    <x v="28"/>
    <x v="8"/>
    <x v="8"/>
    <x v="1"/>
    <n v="79180000"/>
  </r>
  <r>
    <d v="2024-08-29T00:00:00"/>
    <x v="0"/>
    <x v="7"/>
    <x v="34"/>
    <x v="28"/>
    <x v="12"/>
    <x v="11"/>
    <x v="1"/>
    <n v="2364790000"/>
  </r>
  <r>
    <d v="2024-08-29T00:00:00"/>
    <x v="0"/>
    <x v="7"/>
    <x v="34"/>
    <x v="28"/>
    <x v="0"/>
    <x v="0"/>
    <x v="0"/>
    <n v="3873000000"/>
  </r>
  <r>
    <d v="2024-08-29T00:00:00"/>
    <x v="0"/>
    <x v="7"/>
    <x v="34"/>
    <x v="28"/>
    <x v="9"/>
    <x v="9"/>
    <x v="1"/>
    <n v="0"/>
  </r>
  <r>
    <d v="2024-08-29T00:00:00"/>
    <x v="0"/>
    <x v="7"/>
    <x v="34"/>
    <x v="28"/>
    <x v="1"/>
    <x v="1"/>
    <x v="1"/>
    <n v="41250000"/>
  </r>
  <r>
    <d v="2024-08-30T00:00:00"/>
    <x v="0"/>
    <x v="7"/>
    <x v="34"/>
    <x v="29"/>
    <x v="6"/>
    <x v="6"/>
    <x v="0"/>
    <n v="103000000"/>
  </r>
  <r>
    <d v="2024-08-30T00:00:00"/>
    <x v="0"/>
    <x v="7"/>
    <x v="34"/>
    <x v="29"/>
    <x v="7"/>
    <x v="7"/>
    <x v="4"/>
    <n v="190906204"/>
  </r>
  <r>
    <d v="2024-08-30T00:00:00"/>
    <x v="0"/>
    <x v="7"/>
    <x v="34"/>
    <x v="29"/>
    <x v="0"/>
    <x v="0"/>
    <x v="0"/>
    <n v="4291500000"/>
  </r>
  <r>
    <d v="2024-08-30T00:00:00"/>
    <x v="0"/>
    <x v="7"/>
    <x v="34"/>
    <x v="29"/>
    <x v="2"/>
    <x v="2"/>
    <x v="1"/>
    <n v="6435150000"/>
  </r>
  <r>
    <d v="2024-08-30T00:00:00"/>
    <x v="0"/>
    <x v="7"/>
    <x v="34"/>
    <x v="29"/>
    <x v="12"/>
    <x v="11"/>
    <x v="1"/>
    <n v="2183250000"/>
  </r>
  <r>
    <d v="2024-08-30T00:00:00"/>
    <x v="0"/>
    <x v="7"/>
    <x v="34"/>
    <x v="29"/>
    <x v="8"/>
    <x v="8"/>
    <x v="1"/>
    <n v="62060000"/>
  </r>
  <r>
    <d v="2024-08-30T00:00:00"/>
    <x v="0"/>
    <x v="7"/>
    <x v="34"/>
    <x v="29"/>
    <x v="9"/>
    <x v="9"/>
    <x v="1"/>
    <n v="0"/>
  </r>
  <r>
    <d v="2024-08-30T00:00:00"/>
    <x v="0"/>
    <x v="7"/>
    <x v="34"/>
    <x v="29"/>
    <x v="11"/>
    <x v="10"/>
    <x v="4"/>
    <n v="36740776"/>
  </r>
  <r>
    <d v="2024-08-30T00:00:00"/>
    <x v="0"/>
    <x v="7"/>
    <x v="34"/>
    <x v="29"/>
    <x v="3"/>
    <x v="3"/>
    <x v="1"/>
    <n v="126000000"/>
  </r>
  <r>
    <d v="2024-08-30T00:00:00"/>
    <x v="0"/>
    <x v="7"/>
    <x v="34"/>
    <x v="29"/>
    <x v="5"/>
    <x v="5"/>
    <x v="3"/>
    <n v="3435083083"/>
  </r>
  <r>
    <d v="2024-08-30T00:00:00"/>
    <x v="0"/>
    <x v="7"/>
    <x v="34"/>
    <x v="29"/>
    <x v="4"/>
    <x v="4"/>
    <x v="2"/>
    <n v="16906860063"/>
  </r>
  <r>
    <d v="2024-08-30T00:00:00"/>
    <x v="0"/>
    <x v="7"/>
    <x v="34"/>
    <x v="29"/>
    <x v="1"/>
    <x v="1"/>
    <x v="1"/>
    <n v="36750000"/>
  </r>
  <r>
    <d v="2024-08-30T00:00:00"/>
    <x v="0"/>
    <x v="7"/>
    <x v="34"/>
    <x v="29"/>
    <x v="10"/>
    <x v="9"/>
    <x v="1"/>
    <n v="6420000"/>
  </r>
  <r>
    <d v="2024-08-31T00:00:00"/>
    <x v="0"/>
    <x v="7"/>
    <x v="34"/>
    <x v="30"/>
    <x v="9"/>
    <x v="9"/>
    <x v="1"/>
    <n v="0"/>
  </r>
  <r>
    <d v="2024-08-31T00:00:00"/>
    <x v="0"/>
    <x v="7"/>
    <x v="34"/>
    <x v="30"/>
    <x v="2"/>
    <x v="2"/>
    <x v="1"/>
    <n v="5634400000"/>
  </r>
  <r>
    <d v="2024-08-31T00:00:00"/>
    <x v="0"/>
    <x v="7"/>
    <x v="34"/>
    <x v="30"/>
    <x v="6"/>
    <x v="6"/>
    <x v="0"/>
    <n v="31000000"/>
  </r>
  <r>
    <d v="2024-08-31T00:00:00"/>
    <x v="0"/>
    <x v="7"/>
    <x v="34"/>
    <x v="30"/>
    <x v="11"/>
    <x v="10"/>
    <x v="4"/>
    <n v="45597774"/>
  </r>
  <r>
    <d v="2024-08-31T00:00:00"/>
    <x v="0"/>
    <x v="7"/>
    <x v="34"/>
    <x v="30"/>
    <x v="1"/>
    <x v="1"/>
    <x v="1"/>
    <n v="31500000"/>
  </r>
  <r>
    <d v="2024-08-31T00:00:00"/>
    <x v="0"/>
    <x v="7"/>
    <x v="34"/>
    <x v="30"/>
    <x v="10"/>
    <x v="9"/>
    <x v="1"/>
    <n v="6420000"/>
  </r>
  <r>
    <d v="2024-08-31T00:00:00"/>
    <x v="0"/>
    <x v="7"/>
    <x v="34"/>
    <x v="30"/>
    <x v="8"/>
    <x v="8"/>
    <x v="1"/>
    <n v="42800000"/>
  </r>
  <r>
    <d v="2024-08-31T00:00:00"/>
    <x v="0"/>
    <x v="7"/>
    <x v="34"/>
    <x v="30"/>
    <x v="4"/>
    <x v="4"/>
    <x v="2"/>
    <n v="14508913012"/>
  </r>
  <r>
    <d v="2024-08-31T00:00:00"/>
    <x v="0"/>
    <x v="7"/>
    <x v="34"/>
    <x v="30"/>
    <x v="3"/>
    <x v="3"/>
    <x v="1"/>
    <n v="206500000"/>
  </r>
  <r>
    <d v="2024-08-31T00:00:00"/>
    <x v="0"/>
    <x v="7"/>
    <x v="34"/>
    <x v="30"/>
    <x v="7"/>
    <x v="7"/>
    <x v="4"/>
    <n v="167008073"/>
  </r>
  <r>
    <d v="2024-08-31T00:00:00"/>
    <x v="0"/>
    <x v="7"/>
    <x v="34"/>
    <x v="30"/>
    <x v="5"/>
    <x v="5"/>
    <x v="3"/>
    <n v="2550887165"/>
  </r>
  <r>
    <d v="2024-08-31T00:00:00"/>
    <x v="0"/>
    <x v="7"/>
    <x v="34"/>
    <x v="30"/>
    <x v="0"/>
    <x v="0"/>
    <x v="0"/>
    <n v="4114500000"/>
  </r>
  <r>
    <d v="2024-08-31T00:00:00"/>
    <x v="0"/>
    <x v="7"/>
    <x v="34"/>
    <x v="30"/>
    <x v="12"/>
    <x v="11"/>
    <x v="1"/>
    <n v="1678300000"/>
  </r>
  <r>
    <d v="2024-09-01T00:00:00"/>
    <x v="0"/>
    <x v="8"/>
    <x v="34"/>
    <x v="0"/>
    <x v="4"/>
    <x v="4"/>
    <x v="2"/>
    <m/>
  </r>
  <r>
    <d v="2024-09-01T00:00:00"/>
    <x v="0"/>
    <x v="8"/>
    <x v="34"/>
    <x v="0"/>
    <x v="1"/>
    <x v="1"/>
    <x v="1"/>
    <n v="77750000"/>
  </r>
  <r>
    <d v="2024-09-01T00:00:00"/>
    <x v="0"/>
    <x v="8"/>
    <x v="34"/>
    <x v="0"/>
    <x v="10"/>
    <x v="9"/>
    <x v="1"/>
    <n v="7490000"/>
  </r>
  <r>
    <d v="2024-09-01T00:00:00"/>
    <x v="0"/>
    <x v="8"/>
    <x v="34"/>
    <x v="0"/>
    <x v="9"/>
    <x v="9"/>
    <x v="1"/>
    <n v="0"/>
  </r>
  <r>
    <d v="2024-09-01T00:00:00"/>
    <x v="0"/>
    <x v="8"/>
    <x v="34"/>
    <x v="0"/>
    <x v="8"/>
    <x v="8"/>
    <x v="1"/>
    <n v="0"/>
  </r>
  <r>
    <d v="2024-09-01T00:00:00"/>
    <x v="0"/>
    <x v="8"/>
    <x v="34"/>
    <x v="0"/>
    <x v="3"/>
    <x v="3"/>
    <x v="1"/>
    <n v="75600000"/>
  </r>
  <r>
    <d v="2024-09-01T00:00:00"/>
    <x v="0"/>
    <x v="8"/>
    <x v="34"/>
    <x v="0"/>
    <x v="7"/>
    <x v="7"/>
    <x v="4"/>
    <n v="207376518"/>
  </r>
  <r>
    <d v="2024-09-01T00:00:00"/>
    <x v="0"/>
    <x v="8"/>
    <x v="34"/>
    <x v="0"/>
    <x v="6"/>
    <x v="6"/>
    <x v="0"/>
    <n v="63000000"/>
  </r>
  <r>
    <d v="2024-09-01T00:00:00"/>
    <x v="0"/>
    <x v="8"/>
    <x v="34"/>
    <x v="0"/>
    <x v="11"/>
    <x v="10"/>
    <x v="4"/>
    <n v="37735728"/>
  </r>
  <r>
    <d v="2024-09-01T00:00:00"/>
    <x v="0"/>
    <x v="8"/>
    <x v="34"/>
    <x v="0"/>
    <x v="12"/>
    <x v="11"/>
    <x v="1"/>
    <n v="1889280000"/>
  </r>
  <r>
    <d v="2024-09-01T00:00:00"/>
    <x v="0"/>
    <x v="8"/>
    <x v="34"/>
    <x v="0"/>
    <x v="0"/>
    <x v="0"/>
    <x v="0"/>
    <n v="3748500000"/>
  </r>
  <r>
    <d v="2024-09-01T00:00:00"/>
    <x v="0"/>
    <x v="8"/>
    <x v="34"/>
    <x v="0"/>
    <x v="5"/>
    <x v="5"/>
    <x v="3"/>
    <n v="4018778982"/>
  </r>
  <r>
    <d v="2024-09-01T00:00:00"/>
    <x v="0"/>
    <x v="8"/>
    <x v="34"/>
    <x v="0"/>
    <x v="2"/>
    <x v="2"/>
    <x v="1"/>
    <n v="5218720000"/>
  </r>
  <r>
    <d v="2024-09-02T00:00:00"/>
    <x v="0"/>
    <x v="8"/>
    <x v="35"/>
    <x v="1"/>
    <x v="4"/>
    <x v="4"/>
    <x v="2"/>
    <m/>
  </r>
  <r>
    <d v="2024-09-02T00:00:00"/>
    <x v="0"/>
    <x v="8"/>
    <x v="35"/>
    <x v="1"/>
    <x v="7"/>
    <x v="7"/>
    <x v="4"/>
    <n v="181623144"/>
  </r>
  <r>
    <d v="2024-09-02T00:00:00"/>
    <x v="0"/>
    <x v="8"/>
    <x v="35"/>
    <x v="1"/>
    <x v="5"/>
    <x v="5"/>
    <x v="3"/>
    <n v="3069738364"/>
  </r>
  <r>
    <d v="2024-09-02T00:00:00"/>
    <x v="0"/>
    <x v="8"/>
    <x v="35"/>
    <x v="1"/>
    <x v="2"/>
    <x v="2"/>
    <x v="1"/>
    <n v="4823500000"/>
  </r>
  <r>
    <d v="2024-09-02T00:00:00"/>
    <x v="0"/>
    <x v="8"/>
    <x v="35"/>
    <x v="1"/>
    <x v="8"/>
    <x v="8"/>
    <x v="1"/>
    <n v="46010000"/>
  </r>
  <r>
    <d v="2024-09-02T00:00:00"/>
    <x v="0"/>
    <x v="8"/>
    <x v="35"/>
    <x v="1"/>
    <x v="3"/>
    <x v="3"/>
    <x v="1"/>
    <n v="93500000"/>
  </r>
  <r>
    <d v="2024-09-02T00:00:00"/>
    <x v="0"/>
    <x v="8"/>
    <x v="35"/>
    <x v="1"/>
    <x v="9"/>
    <x v="9"/>
    <x v="1"/>
    <n v="6420000"/>
  </r>
  <r>
    <d v="2024-09-02T00:00:00"/>
    <x v="0"/>
    <x v="8"/>
    <x v="35"/>
    <x v="1"/>
    <x v="1"/>
    <x v="1"/>
    <x v="1"/>
    <n v="31500000"/>
  </r>
  <r>
    <d v="2024-09-02T00:00:00"/>
    <x v="0"/>
    <x v="8"/>
    <x v="35"/>
    <x v="1"/>
    <x v="6"/>
    <x v="6"/>
    <x v="0"/>
    <n v="39000000"/>
  </r>
  <r>
    <d v="2024-09-02T00:00:00"/>
    <x v="0"/>
    <x v="8"/>
    <x v="35"/>
    <x v="1"/>
    <x v="10"/>
    <x v="9"/>
    <x v="1"/>
    <n v="22050000"/>
  </r>
  <r>
    <d v="2024-09-02T00:00:00"/>
    <x v="0"/>
    <x v="8"/>
    <x v="35"/>
    <x v="1"/>
    <x v="0"/>
    <x v="0"/>
    <x v="0"/>
    <n v="3036500000"/>
  </r>
  <r>
    <d v="2024-09-02T00:00:00"/>
    <x v="0"/>
    <x v="8"/>
    <x v="35"/>
    <x v="1"/>
    <x v="12"/>
    <x v="11"/>
    <x v="1"/>
    <n v="1764220000"/>
  </r>
  <r>
    <d v="2024-09-02T00:00:00"/>
    <x v="0"/>
    <x v="8"/>
    <x v="35"/>
    <x v="1"/>
    <x v="11"/>
    <x v="10"/>
    <x v="4"/>
    <n v="38644951"/>
  </r>
  <r>
    <d v="2024-09-03T00:00:00"/>
    <x v="0"/>
    <x v="8"/>
    <x v="35"/>
    <x v="2"/>
    <x v="4"/>
    <x v="4"/>
    <x v="2"/>
    <n v="15248125042"/>
  </r>
  <r>
    <d v="2024-09-03T00:00:00"/>
    <x v="0"/>
    <x v="8"/>
    <x v="35"/>
    <x v="2"/>
    <x v="8"/>
    <x v="8"/>
    <x v="1"/>
    <n v="0"/>
  </r>
  <r>
    <d v="2024-09-03T00:00:00"/>
    <x v="0"/>
    <x v="8"/>
    <x v="35"/>
    <x v="2"/>
    <x v="2"/>
    <x v="2"/>
    <x v="1"/>
    <n v="6369230000"/>
  </r>
  <r>
    <d v="2024-09-03T00:00:00"/>
    <x v="0"/>
    <x v="8"/>
    <x v="35"/>
    <x v="2"/>
    <x v="5"/>
    <x v="5"/>
    <x v="3"/>
    <n v="2807514631"/>
  </r>
  <r>
    <d v="2024-09-03T00:00:00"/>
    <x v="0"/>
    <x v="8"/>
    <x v="35"/>
    <x v="2"/>
    <x v="12"/>
    <x v="11"/>
    <x v="1"/>
    <n v="1978650000"/>
  </r>
  <r>
    <d v="2024-09-03T00:00:00"/>
    <x v="0"/>
    <x v="8"/>
    <x v="35"/>
    <x v="2"/>
    <x v="7"/>
    <x v="7"/>
    <x v="4"/>
    <n v="274373699"/>
  </r>
  <r>
    <d v="2024-09-03T00:00:00"/>
    <x v="0"/>
    <x v="8"/>
    <x v="35"/>
    <x v="2"/>
    <x v="10"/>
    <x v="9"/>
    <x v="1"/>
    <n v="32420000"/>
  </r>
  <r>
    <d v="2024-09-03T00:00:00"/>
    <x v="0"/>
    <x v="8"/>
    <x v="35"/>
    <x v="2"/>
    <x v="3"/>
    <x v="3"/>
    <x v="1"/>
    <n v="77200000"/>
  </r>
  <r>
    <d v="2024-09-03T00:00:00"/>
    <x v="0"/>
    <x v="8"/>
    <x v="35"/>
    <x v="2"/>
    <x v="0"/>
    <x v="0"/>
    <x v="0"/>
    <n v="3558500000"/>
  </r>
  <r>
    <d v="2024-09-03T00:00:00"/>
    <x v="0"/>
    <x v="8"/>
    <x v="35"/>
    <x v="2"/>
    <x v="11"/>
    <x v="10"/>
    <x v="4"/>
    <n v="32236712"/>
  </r>
  <r>
    <d v="2024-09-03T00:00:00"/>
    <x v="0"/>
    <x v="8"/>
    <x v="35"/>
    <x v="2"/>
    <x v="1"/>
    <x v="1"/>
    <x v="1"/>
    <n v="42000000"/>
  </r>
  <r>
    <d v="2024-09-03T00:00:00"/>
    <x v="0"/>
    <x v="8"/>
    <x v="35"/>
    <x v="2"/>
    <x v="6"/>
    <x v="6"/>
    <x v="0"/>
    <n v="76000000"/>
  </r>
  <r>
    <d v="2024-09-03T00:00:00"/>
    <x v="0"/>
    <x v="8"/>
    <x v="35"/>
    <x v="2"/>
    <x v="9"/>
    <x v="9"/>
    <x v="1"/>
    <n v="0"/>
  </r>
  <r>
    <d v="2024-09-04T00:00:00"/>
    <x v="0"/>
    <x v="8"/>
    <x v="35"/>
    <x v="3"/>
    <x v="10"/>
    <x v="9"/>
    <x v="1"/>
    <n v="0"/>
  </r>
  <r>
    <d v="2024-09-04T00:00:00"/>
    <x v="0"/>
    <x v="8"/>
    <x v="35"/>
    <x v="3"/>
    <x v="5"/>
    <x v="5"/>
    <x v="3"/>
    <n v="4573773276"/>
  </r>
  <r>
    <d v="2024-09-04T00:00:00"/>
    <x v="0"/>
    <x v="8"/>
    <x v="35"/>
    <x v="3"/>
    <x v="4"/>
    <x v="4"/>
    <x v="2"/>
    <n v="21054219546"/>
  </r>
  <r>
    <d v="2024-09-04T00:00:00"/>
    <x v="0"/>
    <x v="8"/>
    <x v="35"/>
    <x v="3"/>
    <x v="1"/>
    <x v="1"/>
    <x v="1"/>
    <n v="10500000"/>
  </r>
  <r>
    <d v="2024-09-04T00:00:00"/>
    <x v="0"/>
    <x v="8"/>
    <x v="35"/>
    <x v="3"/>
    <x v="0"/>
    <x v="0"/>
    <x v="0"/>
    <n v="5224000000"/>
  </r>
  <r>
    <d v="2024-09-04T00:00:00"/>
    <x v="0"/>
    <x v="8"/>
    <x v="35"/>
    <x v="3"/>
    <x v="2"/>
    <x v="2"/>
    <x v="1"/>
    <n v="7840770000"/>
  </r>
  <r>
    <d v="2024-09-04T00:00:00"/>
    <x v="0"/>
    <x v="8"/>
    <x v="35"/>
    <x v="3"/>
    <x v="9"/>
    <x v="9"/>
    <x v="1"/>
    <n v="10700000"/>
  </r>
  <r>
    <d v="2024-09-04T00:00:00"/>
    <x v="0"/>
    <x v="8"/>
    <x v="35"/>
    <x v="3"/>
    <x v="12"/>
    <x v="11"/>
    <x v="1"/>
    <n v="2614880000"/>
  </r>
  <r>
    <d v="2024-09-04T00:00:00"/>
    <x v="0"/>
    <x v="8"/>
    <x v="35"/>
    <x v="3"/>
    <x v="7"/>
    <x v="7"/>
    <x v="4"/>
    <n v="425600160"/>
  </r>
  <r>
    <d v="2024-09-04T00:00:00"/>
    <x v="0"/>
    <x v="8"/>
    <x v="35"/>
    <x v="3"/>
    <x v="11"/>
    <x v="10"/>
    <x v="4"/>
    <n v="64686110"/>
  </r>
  <r>
    <d v="2024-09-04T00:00:00"/>
    <x v="0"/>
    <x v="8"/>
    <x v="35"/>
    <x v="3"/>
    <x v="3"/>
    <x v="3"/>
    <x v="1"/>
    <n v="165700000"/>
  </r>
  <r>
    <d v="2024-09-04T00:00:00"/>
    <x v="0"/>
    <x v="8"/>
    <x v="35"/>
    <x v="3"/>
    <x v="8"/>
    <x v="8"/>
    <x v="1"/>
    <n v="24610000"/>
  </r>
  <r>
    <d v="2024-09-04T00:00:00"/>
    <x v="0"/>
    <x v="8"/>
    <x v="35"/>
    <x v="3"/>
    <x v="6"/>
    <x v="6"/>
    <x v="0"/>
    <n v="99000000"/>
  </r>
  <r>
    <d v="2024-09-05T00:00:00"/>
    <x v="0"/>
    <x v="8"/>
    <x v="35"/>
    <x v="4"/>
    <x v="12"/>
    <x v="11"/>
    <x v="1"/>
    <n v="2902100000"/>
  </r>
  <r>
    <d v="2024-09-05T00:00:00"/>
    <x v="0"/>
    <x v="8"/>
    <x v="35"/>
    <x v="4"/>
    <x v="7"/>
    <x v="7"/>
    <x v="4"/>
    <n v="360246204"/>
  </r>
  <r>
    <d v="2024-09-05T00:00:00"/>
    <x v="0"/>
    <x v="8"/>
    <x v="35"/>
    <x v="4"/>
    <x v="9"/>
    <x v="9"/>
    <x v="1"/>
    <n v="27820000"/>
  </r>
  <r>
    <d v="2024-09-05T00:00:00"/>
    <x v="0"/>
    <x v="8"/>
    <x v="35"/>
    <x v="4"/>
    <x v="4"/>
    <x v="4"/>
    <x v="2"/>
    <n v="18736012565"/>
  </r>
  <r>
    <d v="2024-09-05T00:00:00"/>
    <x v="0"/>
    <x v="8"/>
    <x v="35"/>
    <x v="4"/>
    <x v="10"/>
    <x v="9"/>
    <x v="1"/>
    <n v="44100000"/>
  </r>
  <r>
    <d v="2024-09-05T00:00:00"/>
    <x v="0"/>
    <x v="8"/>
    <x v="35"/>
    <x v="4"/>
    <x v="11"/>
    <x v="10"/>
    <x v="4"/>
    <n v="69894223"/>
  </r>
  <r>
    <d v="2024-09-05T00:00:00"/>
    <x v="0"/>
    <x v="8"/>
    <x v="35"/>
    <x v="4"/>
    <x v="8"/>
    <x v="8"/>
    <x v="1"/>
    <n v="0"/>
  </r>
  <r>
    <d v="2024-09-05T00:00:00"/>
    <x v="0"/>
    <x v="8"/>
    <x v="35"/>
    <x v="4"/>
    <x v="3"/>
    <x v="3"/>
    <x v="1"/>
    <n v="40950000"/>
  </r>
  <r>
    <d v="2024-09-05T00:00:00"/>
    <x v="0"/>
    <x v="8"/>
    <x v="35"/>
    <x v="4"/>
    <x v="2"/>
    <x v="2"/>
    <x v="1"/>
    <n v="7985830000"/>
  </r>
  <r>
    <d v="2024-09-05T00:00:00"/>
    <x v="0"/>
    <x v="8"/>
    <x v="35"/>
    <x v="4"/>
    <x v="6"/>
    <x v="6"/>
    <x v="0"/>
    <n v="92000000"/>
  </r>
  <r>
    <d v="2024-09-05T00:00:00"/>
    <x v="0"/>
    <x v="8"/>
    <x v="35"/>
    <x v="4"/>
    <x v="0"/>
    <x v="0"/>
    <x v="0"/>
    <n v="2951500000"/>
  </r>
  <r>
    <d v="2024-09-05T00:00:00"/>
    <x v="0"/>
    <x v="8"/>
    <x v="35"/>
    <x v="4"/>
    <x v="5"/>
    <x v="5"/>
    <x v="3"/>
    <n v="4198572138"/>
  </r>
  <r>
    <d v="2024-09-05T00:00:00"/>
    <x v="0"/>
    <x v="8"/>
    <x v="35"/>
    <x v="4"/>
    <x v="1"/>
    <x v="1"/>
    <x v="1"/>
    <n v="63000000"/>
  </r>
  <r>
    <d v="2024-09-06T00:00:00"/>
    <x v="0"/>
    <x v="8"/>
    <x v="35"/>
    <x v="5"/>
    <x v="1"/>
    <x v="1"/>
    <x v="1"/>
    <n v="56750000"/>
  </r>
  <r>
    <d v="2024-09-06T00:00:00"/>
    <x v="0"/>
    <x v="8"/>
    <x v="35"/>
    <x v="5"/>
    <x v="8"/>
    <x v="8"/>
    <x v="1"/>
    <n v="12000000"/>
  </r>
  <r>
    <d v="2024-09-06T00:00:00"/>
    <x v="0"/>
    <x v="8"/>
    <x v="35"/>
    <x v="5"/>
    <x v="0"/>
    <x v="0"/>
    <x v="0"/>
    <n v="3488000000"/>
  </r>
  <r>
    <d v="2024-09-06T00:00:00"/>
    <x v="0"/>
    <x v="8"/>
    <x v="35"/>
    <x v="5"/>
    <x v="5"/>
    <x v="5"/>
    <x v="3"/>
    <n v="2879426720"/>
  </r>
  <r>
    <d v="2024-09-06T00:00:00"/>
    <x v="0"/>
    <x v="8"/>
    <x v="35"/>
    <x v="5"/>
    <x v="2"/>
    <x v="2"/>
    <x v="1"/>
    <n v="7457480000"/>
  </r>
  <r>
    <d v="2024-09-06T00:00:00"/>
    <x v="0"/>
    <x v="8"/>
    <x v="35"/>
    <x v="5"/>
    <x v="4"/>
    <x v="4"/>
    <x v="2"/>
    <n v="16606045526"/>
  </r>
  <r>
    <d v="2024-09-06T00:00:00"/>
    <x v="0"/>
    <x v="8"/>
    <x v="35"/>
    <x v="5"/>
    <x v="7"/>
    <x v="7"/>
    <x v="4"/>
    <n v="310872408"/>
  </r>
  <r>
    <d v="2024-09-06T00:00:00"/>
    <x v="0"/>
    <x v="8"/>
    <x v="35"/>
    <x v="5"/>
    <x v="10"/>
    <x v="9"/>
    <x v="1"/>
    <n v="10700000"/>
  </r>
  <r>
    <d v="2024-09-06T00:00:00"/>
    <x v="0"/>
    <x v="8"/>
    <x v="35"/>
    <x v="5"/>
    <x v="11"/>
    <x v="10"/>
    <x v="4"/>
    <n v="54216398"/>
  </r>
  <r>
    <d v="2024-09-06T00:00:00"/>
    <x v="0"/>
    <x v="8"/>
    <x v="35"/>
    <x v="5"/>
    <x v="6"/>
    <x v="6"/>
    <x v="0"/>
    <n v="46000000"/>
  </r>
  <r>
    <d v="2024-09-06T00:00:00"/>
    <x v="0"/>
    <x v="8"/>
    <x v="35"/>
    <x v="5"/>
    <x v="9"/>
    <x v="9"/>
    <x v="1"/>
    <n v="0"/>
  </r>
  <r>
    <d v="2024-09-06T00:00:00"/>
    <x v="0"/>
    <x v="8"/>
    <x v="35"/>
    <x v="5"/>
    <x v="3"/>
    <x v="3"/>
    <x v="1"/>
    <n v="68550000"/>
  </r>
  <r>
    <d v="2024-09-06T00:00:00"/>
    <x v="0"/>
    <x v="8"/>
    <x v="35"/>
    <x v="5"/>
    <x v="12"/>
    <x v="11"/>
    <x v="1"/>
    <n v="2222050000"/>
  </r>
  <r>
    <d v="2024-09-07T00:00:00"/>
    <x v="0"/>
    <x v="8"/>
    <x v="35"/>
    <x v="6"/>
    <x v="11"/>
    <x v="10"/>
    <x v="4"/>
    <n v="46274728"/>
  </r>
  <r>
    <d v="2024-09-07T00:00:00"/>
    <x v="0"/>
    <x v="8"/>
    <x v="35"/>
    <x v="6"/>
    <x v="7"/>
    <x v="7"/>
    <x v="4"/>
    <n v="234377308"/>
  </r>
  <r>
    <d v="2024-09-07T00:00:00"/>
    <x v="0"/>
    <x v="8"/>
    <x v="35"/>
    <x v="6"/>
    <x v="8"/>
    <x v="8"/>
    <x v="1"/>
    <n v="12000000"/>
  </r>
  <r>
    <d v="2024-09-07T00:00:00"/>
    <x v="0"/>
    <x v="8"/>
    <x v="35"/>
    <x v="6"/>
    <x v="12"/>
    <x v="11"/>
    <x v="1"/>
    <n v="1874890000"/>
  </r>
  <r>
    <d v="2024-09-07T00:00:00"/>
    <x v="0"/>
    <x v="8"/>
    <x v="35"/>
    <x v="6"/>
    <x v="10"/>
    <x v="9"/>
    <x v="1"/>
    <n v="21400000"/>
  </r>
  <r>
    <d v="2024-09-07T00:00:00"/>
    <x v="0"/>
    <x v="8"/>
    <x v="35"/>
    <x v="6"/>
    <x v="2"/>
    <x v="2"/>
    <x v="1"/>
    <n v="5931830000"/>
  </r>
  <r>
    <d v="2024-09-07T00:00:00"/>
    <x v="0"/>
    <x v="8"/>
    <x v="35"/>
    <x v="6"/>
    <x v="4"/>
    <x v="4"/>
    <x v="2"/>
    <n v="14366110903"/>
  </r>
  <r>
    <d v="2024-09-07T00:00:00"/>
    <x v="0"/>
    <x v="8"/>
    <x v="35"/>
    <x v="6"/>
    <x v="1"/>
    <x v="1"/>
    <x v="1"/>
    <n v="36750000"/>
  </r>
  <r>
    <d v="2024-09-07T00:00:00"/>
    <x v="0"/>
    <x v="8"/>
    <x v="35"/>
    <x v="6"/>
    <x v="9"/>
    <x v="9"/>
    <x v="1"/>
    <n v="0"/>
  </r>
  <r>
    <d v="2024-09-07T00:00:00"/>
    <x v="0"/>
    <x v="8"/>
    <x v="35"/>
    <x v="6"/>
    <x v="5"/>
    <x v="5"/>
    <x v="3"/>
    <n v="2178088867"/>
  </r>
  <r>
    <d v="2024-09-07T00:00:00"/>
    <x v="0"/>
    <x v="8"/>
    <x v="35"/>
    <x v="6"/>
    <x v="0"/>
    <x v="0"/>
    <x v="0"/>
    <n v="3897500000"/>
  </r>
  <r>
    <d v="2024-09-07T00:00:00"/>
    <x v="0"/>
    <x v="8"/>
    <x v="35"/>
    <x v="6"/>
    <x v="3"/>
    <x v="3"/>
    <x v="1"/>
    <n v="42000000"/>
  </r>
  <r>
    <d v="2024-09-07T00:00:00"/>
    <x v="0"/>
    <x v="8"/>
    <x v="35"/>
    <x v="6"/>
    <x v="6"/>
    <x v="6"/>
    <x v="0"/>
    <n v="91000000"/>
  </r>
  <r>
    <d v="2024-09-08T00:00:00"/>
    <x v="0"/>
    <x v="8"/>
    <x v="35"/>
    <x v="7"/>
    <x v="1"/>
    <x v="1"/>
    <x v="1"/>
    <n v="42000000"/>
  </r>
  <r>
    <d v="2024-09-08T00:00:00"/>
    <x v="0"/>
    <x v="8"/>
    <x v="35"/>
    <x v="7"/>
    <x v="9"/>
    <x v="9"/>
    <x v="1"/>
    <n v="0"/>
  </r>
  <r>
    <d v="2024-09-08T00:00:00"/>
    <x v="0"/>
    <x v="8"/>
    <x v="35"/>
    <x v="7"/>
    <x v="10"/>
    <x v="9"/>
    <x v="1"/>
    <n v="0"/>
  </r>
  <r>
    <d v="2024-09-08T00:00:00"/>
    <x v="0"/>
    <x v="8"/>
    <x v="35"/>
    <x v="7"/>
    <x v="2"/>
    <x v="2"/>
    <x v="1"/>
    <n v="4965160000"/>
  </r>
  <r>
    <d v="2024-09-08T00:00:00"/>
    <x v="0"/>
    <x v="8"/>
    <x v="35"/>
    <x v="7"/>
    <x v="0"/>
    <x v="0"/>
    <x v="0"/>
    <n v="3457500000"/>
  </r>
  <r>
    <d v="2024-09-08T00:00:00"/>
    <x v="0"/>
    <x v="8"/>
    <x v="35"/>
    <x v="7"/>
    <x v="11"/>
    <x v="10"/>
    <x v="4"/>
    <n v="48325142"/>
  </r>
  <r>
    <d v="2024-09-08T00:00:00"/>
    <x v="0"/>
    <x v="8"/>
    <x v="35"/>
    <x v="7"/>
    <x v="8"/>
    <x v="8"/>
    <x v="1"/>
    <n v="0"/>
  </r>
  <r>
    <d v="2024-09-08T00:00:00"/>
    <x v="0"/>
    <x v="8"/>
    <x v="35"/>
    <x v="7"/>
    <x v="4"/>
    <x v="4"/>
    <x v="2"/>
    <n v="12786457111"/>
  </r>
  <r>
    <d v="2024-09-08T00:00:00"/>
    <x v="0"/>
    <x v="8"/>
    <x v="35"/>
    <x v="7"/>
    <x v="3"/>
    <x v="3"/>
    <x v="1"/>
    <n v="73000000"/>
  </r>
  <r>
    <d v="2024-09-08T00:00:00"/>
    <x v="0"/>
    <x v="8"/>
    <x v="35"/>
    <x v="7"/>
    <x v="12"/>
    <x v="11"/>
    <x v="1"/>
    <n v="1494010000"/>
  </r>
  <r>
    <d v="2024-09-08T00:00:00"/>
    <x v="0"/>
    <x v="8"/>
    <x v="35"/>
    <x v="7"/>
    <x v="6"/>
    <x v="6"/>
    <x v="0"/>
    <n v="44000000"/>
  </r>
  <r>
    <d v="2024-09-08T00:00:00"/>
    <x v="0"/>
    <x v="8"/>
    <x v="35"/>
    <x v="7"/>
    <x v="7"/>
    <x v="7"/>
    <x v="4"/>
    <n v="156447824"/>
  </r>
  <r>
    <d v="2024-09-08T00:00:00"/>
    <x v="0"/>
    <x v="8"/>
    <x v="35"/>
    <x v="7"/>
    <x v="5"/>
    <x v="5"/>
    <x v="3"/>
    <n v="2506014145"/>
  </r>
  <r>
    <d v="2024-09-09T00:00:00"/>
    <x v="0"/>
    <x v="8"/>
    <x v="36"/>
    <x v="8"/>
    <x v="4"/>
    <x v="4"/>
    <x v="2"/>
    <n v="17416469127"/>
  </r>
  <r>
    <d v="2024-09-09T00:00:00"/>
    <x v="0"/>
    <x v="8"/>
    <x v="36"/>
    <x v="8"/>
    <x v="10"/>
    <x v="9"/>
    <x v="1"/>
    <n v="32100000"/>
  </r>
  <r>
    <d v="2024-09-09T00:00:00"/>
    <x v="0"/>
    <x v="8"/>
    <x v="36"/>
    <x v="8"/>
    <x v="12"/>
    <x v="11"/>
    <x v="1"/>
    <n v="2182070000"/>
  </r>
  <r>
    <d v="2024-09-09T00:00:00"/>
    <x v="0"/>
    <x v="8"/>
    <x v="36"/>
    <x v="8"/>
    <x v="6"/>
    <x v="6"/>
    <x v="0"/>
    <n v="82000000"/>
  </r>
  <r>
    <d v="2024-09-09T00:00:00"/>
    <x v="0"/>
    <x v="8"/>
    <x v="36"/>
    <x v="8"/>
    <x v="3"/>
    <x v="3"/>
    <x v="1"/>
    <n v="97000000"/>
  </r>
  <r>
    <d v="2024-09-09T00:00:00"/>
    <x v="0"/>
    <x v="8"/>
    <x v="36"/>
    <x v="8"/>
    <x v="9"/>
    <x v="9"/>
    <x v="1"/>
    <n v="0"/>
  </r>
  <r>
    <d v="2024-09-09T00:00:00"/>
    <x v="0"/>
    <x v="8"/>
    <x v="36"/>
    <x v="8"/>
    <x v="0"/>
    <x v="0"/>
    <x v="0"/>
    <n v="4436000000"/>
  </r>
  <r>
    <d v="2024-09-09T00:00:00"/>
    <x v="0"/>
    <x v="8"/>
    <x v="36"/>
    <x v="8"/>
    <x v="1"/>
    <x v="1"/>
    <x v="1"/>
    <n v="42000000"/>
  </r>
  <r>
    <d v="2024-09-09T00:00:00"/>
    <x v="0"/>
    <x v="8"/>
    <x v="36"/>
    <x v="8"/>
    <x v="8"/>
    <x v="8"/>
    <x v="1"/>
    <n v="0"/>
  </r>
  <r>
    <d v="2024-09-09T00:00:00"/>
    <x v="0"/>
    <x v="8"/>
    <x v="36"/>
    <x v="8"/>
    <x v="5"/>
    <x v="5"/>
    <x v="3"/>
    <n v="3487622641"/>
  </r>
  <r>
    <d v="2024-09-09T00:00:00"/>
    <x v="0"/>
    <x v="8"/>
    <x v="36"/>
    <x v="8"/>
    <x v="11"/>
    <x v="10"/>
    <x v="4"/>
    <n v="44663034"/>
  </r>
  <r>
    <d v="2024-09-09T00:00:00"/>
    <x v="0"/>
    <x v="8"/>
    <x v="36"/>
    <x v="8"/>
    <x v="2"/>
    <x v="2"/>
    <x v="1"/>
    <n v="6743310000"/>
  </r>
  <r>
    <d v="2024-09-09T00:00:00"/>
    <x v="0"/>
    <x v="8"/>
    <x v="36"/>
    <x v="8"/>
    <x v="7"/>
    <x v="7"/>
    <x v="4"/>
    <n v="269703452"/>
  </r>
  <r>
    <d v="2024-09-10T00:00:00"/>
    <x v="0"/>
    <x v="8"/>
    <x v="36"/>
    <x v="9"/>
    <x v="4"/>
    <x v="4"/>
    <x v="2"/>
    <n v="18379938781"/>
  </r>
  <r>
    <d v="2024-09-10T00:00:00"/>
    <x v="0"/>
    <x v="8"/>
    <x v="36"/>
    <x v="9"/>
    <x v="11"/>
    <x v="10"/>
    <x v="4"/>
    <n v="45403481"/>
  </r>
  <r>
    <d v="2024-09-10T00:00:00"/>
    <x v="0"/>
    <x v="8"/>
    <x v="36"/>
    <x v="9"/>
    <x v="10"/>
    <x v="9"/>
    <x v="1"/>
    <n v="6420000"/>
  </r>
  <r>
    <d v="2024-09-10T00:00:00"/>
    <x v="0"/>
    <x v="8"/>
    <x v="36"/>
    <x v="9"/>
    <x v="3"/>
    <x v="3"/>
    <x v="1"/>
    <n v="140000000"/>
  </r>
  <r>
    <d v="2024-09-10T00:00:00"/>
    <x v="0"/>
    <x v="8"/>
    <x v="36"/>
    <x v="9"/>
    <x v="8"/>
    <x v="8"/>
    <x v="1"/>
    <n v="0"/>
  </r>
  <r>
    <d v="2024-09-10T00:00:00"/>
    <x v="0"/>
    <x v="8"/>
    <x v="36"/>
    <x v="9"/>
    <x v="7"/>
    <x v="7"/>
    <x v="4"/>
    <n v="238654927"/>
  </r>
  <r>
    <d v="2024-09-10T00:00:00"/>
    <x v="0"/>
    <x v="8"/>
    <x v="36"/>
    <x v="9"/>
    <x v="1"/>
    <x v="1"/>
    <x v="1"/>
    <n v="73000000"/>
  </r>
  <r>
    <d v="2024-09-10T00:00:00"/>
    <x v="0"/>
    <x v="8"/>
    <x v="36"/>
    <x v="9"/>
    <x v="5"/>
    <x v="5"/>
    <x v="3"/>
    <n v="3221580373"/>
  </r>
  <r>
    <d v="2024-09-10T00:00:00"/>
    <x v="0"/>
    <x v="8"/>
    <x v="36"/>
    <x v="9"/>
    <x v="6"/>
    <x v="6"/>
    <x v="0"/>
    <n v="79000000"/>
  </r>
  <r>
    <d v="2024-09-10T00:00:00"/>
    <x v="0"/>
    <x v="8"/>
    <x v="36"/>
    <x v="9"/>
    <x v="9"/>
    <x v="9"/>
    <x v="1"/>
    <n v="21400000"/>
  </r>
  <r>
    <d v="2024-09-10T00:00:00"/>
    <x v="0"/>
    <x v="8"/>
    <x v="36"/>
    <x v="9"/>
    <x v="0"/>
    <x v="0"/>
    <x v="0"/>
    <n v="5598000000"/>
  </r>
  <r>
    <d v="2024-09-10T00:00:00"/>
    <x v="0"/>
    <x v="8"/>
    <x v="36"/>
    <x v="9"/>
    <x v="2"/>
    <x v="2"/>
    <x v="1"/>
    <n v="6611980000"/>
  </r>
  <r>
    <d v="2024-09-10T00:00:00"/>
    <x v="0"/>
    <x v="8"/>
    <x v="36"/>
    <x v="9"/>
    <x v="12"/>
    <x v="11"/>
    <x v="1"/>
    <n v="2344500000"/>
  </r>
  <r>
    <d v="2024-09-11T00:00:00"/>
    <x v="0"/>
    <x v="8"/>
    <x v="36"/>
    <x v="10"/>
    <x v="10"/>
    <x v="9"/>
    <x v="1"/>
    <n v="6420000"/>
  </r>
  <r>
    <d v="2024-09-11T00:00:00"/>
    <x v="0"/>
    <x v="8"/>
    <x v="36"/>
    <x v="10"/>
    <x v="8"/>
    <x v="8"/>
    <x v="1"/>
    <n v="28000000"/>
  </r>
  <r>
    <d v="2024-09-11T00:00:00"/>
    <x v="0"/>
    <x v="8"/>
    <x v="36"/>
    <x v="10"/>
    <x v="11"/>
    <x v="10"/>
    <x v="4"/>
    <n v="32664785"/>
  </r>
  <r>
    <d v="2024-09-11T00:00:00"/>
    <x v="0"/>
    <x v="8"/>
    <x v="36"/>
    <x v="10"/>
    <x v="1"/>
    <x v="1"/>
    <x v="1"/>
    <n v="31500000"/>
  </r>
  <r>
    <d v="2024-09-11T00:00:00"/>
    <x v="0"/>
    <x v="8"/>
    <x v="36"/>
    <x v="10"/>
    <x v="6"/>
    <x v="6"/>
    <x v="0"/>
    <n v="23000000"/>
  </r>
  <r>
    <d v="2024-09-11T00:00:00"/>
    <x v="0"/>
    <x v="8"/>
    <x v="36"/>
    <x v="10"/>
    <x v="9"/>
    <x v="9"/>
    <x v="1"/>
    <n v="0"/>
  </r>
  <r>
    <d v="2024-09-11T00:00:00"/>
    <x v="0"/>
    <x v="8"/>
    <x v="36"/>
    <x v="10"/>
    <x v="3"/>
    <x v="3"/>
    <x v="1"/>
    <n v="149000000"/>
  </r>
  <r>
    <d v="2024-09-11T00:00:00"/>
    <x v="0"/>
    <x v="8"/>
    <x v="36"/>
    <x v="10"/>
    <x v="2"/>
    <x v="2"/>
    <x v="1"/>
    <n v="5945860000"/>
  </r>
  <r>
    <d v="2024-09-11T00:00:00"/>
    <x v="0"/>
    <x v="8"/>
    <x v="36"/>
    <x v="10"/>
    <x v="0"/>
    <x v="0"/>
    <x v="0"/>
    <n v="4268500000"/>
  </r>
  <r>
    <d v="2024-09-11T00:00:00"/>
    <x v="0"/>
    <x v="8"/>
    <x v="36"/>
    <x v="10"/>
    <x v="5"/>
    <x v="5"/>
    <x v="3"/>
    <n v="2638375612"/>
  </r>
  <r>
    <d v="2024-09-11T00:00:00"/>
    <x v="0"/>
    <x v="8"/>
    <x v="36"/>
    <x v="10"/>
    <x v="7"/>
    <x v="7"/>
    <x v="4"/>
    <n v="207767994"/>
  </r>
  <r>
    <d v="2024-09-11T00:00:00"/>
    <x v="0"/>
    <x v="8"/>
    <x v="36"/>
    <x v="10"/>
    <x v="12"/>
    <x v="11"/>
    <x v="1"/>
    <n v="2144440000"/>
  </r>
  <r>
    <d v="2024-09-11T00:00:00"/>
    <x v="0"/>
    <x v="8"/>
    <x v="36"/>
    <x v="10"/>
    <x v="4"/>
    <x v="4"/>
    <x v="2"/>
    <n v="15475528391"/>
  </r>
  <r>
    <d v="2024-09-12T00:00:00"/>
    <x v="0"/>
    <x v="8"/>
    <x v="36"/>
    <x v="11"/>
    <x v="11"/>
    <x v="10"/>
    <x v="4"/>
    <n v="32065959"/>
  </r>
  <r>
    <d v="2024-09-12T00:00:00"/>
    <x v="0"/>
    <x v="8"/>
    <x v="36"/>
    <x v="11"/>
    <x v="8"/>
    <x v="8"/>
    <x v="1"/>
    <n v="0"/>
  </r>
  <r>
    <d v="2024-09-12T00:00:00"/>
    <x v="0"/>
    <x v="8"/>
    <x v="36"/>
    <x v="11"/>
    <x v="4"/>
    <x v="4"/>
    <x v="2"/>
    <n v="14793881138"/>
  </r>
  <r>
    <d v="2024-09-12T00:00:00"/>
    <x v="0"/>
    <x v="8"/>
    <x v="36"/>
    <x v="11"/>
    <x v="0"/>
    <x v="0"/>
    <x v="0"/>
    <n v="4242500000"/>
  </r>
  <r>
    <d v="2024-09-12T00:00:00"/>
    <x v="0"/>
    <x v="8"/>
    <x v="36"/>
    <x v="11"/>
    <x v="9"/>
    <x v="9"/>
    <x v="1"/>
    <n v="0"/>
  </r>
  <r>
    <d v="2024-09-12T00:00:00"/>
    <x v="0"/>
    <x v="8"/>
    <x v="36"/>
    <x v="11"/>
    <x v="10"/>
    <x v="9"/>
    <x v="1"/>
    <n v="57800000"/>
  </r>
  <r>
    <d v="2024-09-12T00:00:00"/>
    <x v="0"/>
    <x v="8"/>
    <x v="36"/>
    <x v="11"/>
    <x v="1"/>
    <x v="1"/>
    <x v="1"/>
    <n v="26250000"/>
  </r>
  <r>
    <d v="2024-09-12T00:00:00"/>
    <x v="0"/>
    <x v="8"/>
    <x v="36"/>
    <x v="11"/>
    <x v="7"/>
    <x v="7"/>
    <x v="4"/>
    <n v="179562371"/>
  </r>
  <r>
    <d v="2024-09-12T00:00:00"/>
    <x v="0"/>
    <x v="8"/>
    <x v="36"/>
    <x v="11"/>
    <x v="6"/>
    <x v="6"/>
    <x v="0"/>
    <n v="23000000"/>
  </r>
  <r>
    <d v="2024-09-12T00:00:00"/>
    <x v="0"/>
    <x v="8"/>
    <x v="36"/>
    <x v="11"/>
    <x v="5"/>
    <x v="5"/>
    <x v="3"/>
    <n v="2732272808"/>
  </r>
  <r>
    <d v="2024-09-12T00:00:00"/>
    <x v="0"/>
    <x v="8"/>
    <x v="36"/>
    <x v="11"/>
    <x v="2"/>
    <x v="2"/>
    <x v="1"/>
    <n v="5549390000"/>
  </r>
  <r>
    <d v="2024-09-12T00:00:00"/>
    <x v="0"/>
    <x v="8"/>
    <x v="36"/>
    <x v="11"/>
    <x v="3"/>
    <x v="3"/>
    <x v="1"/>
    <n v="63000000"/>
  </r>
  <r>
    <d v="2024-09-12T00:00:00"/>
    <x v="0"/>
    <x v="8"/>
    <x v="36"/>
    <x v="11"/>
    <x v="12"/>
    <x v="11"/>
    <x v="1"/>
    <n v="1888040000"/>
  </r>
  <r>
    <d v="2024-09-13T00:00:00"/>
    <x v="0"/>
    <x v="8"/>
    <x v="36"/>
    <x v="12"/>
    <x v="3"/>
    <x v="3"/>
    <x v="1"/>
    <n v="82950000"/>
  </r>
  <r>
    <d v="2024-09-13T00:00:00"/>
    <x v="0"/>
    <x v="8"/>
    <x v="36"/>
    <x v="12"/>
    <x v="10"/>
    <x v="9"/>
    <x v="1"/>
    <n v="0"/>
  </r>
  <r>
    <d v="2024-09-13T00:00:00"/>
    <x v="0"/>
    <x v="8"/>
    <x v="36"/>
    <x v="12"/>
    <x v="2"/>
    <x v="2"/>
    <x v="1"/>
    <n v="5923360000"/>
  </r>
  <r>
    <d v="2024-09-13T00:00:00"/>
    <x v="0"/>
    <x v="8"/>
    <x v="36"/>
    <x v="12"/>
    <x v="12"/>
    <x v="11"/>
    <x v="1"/>
    <n v="2256200000"/>
  </r>
  <r>
    <d v="2024-09-13T00:00:00"/>
    <x v="0"/>
    <x v="8"/>
    <x v="36"/>
    <x v="12"/>
    <x v="8"/>
    <x v="8"/>
    <x v="1"/>
    <n v="0"/>
  </r>
  <r>
    <d v="2024-09-13T00:00:00"/>
    <x v="0"/>
    <x v="8"/>
    <x v="36"/>
    <x v="12"/>
    <x v="4"/>
    <x v="4"/>
    <x v="2"/>
    <n v="15455802088"/>
  </r>
  <r>
    <d v="2024-09-13T00:00:00"/>
    <x v="0"/>
    <x v="8"/>
    <x v="36"/>
    <x v="12"/>
    <x v="6"/>
    <x v="6"/>
    <x v="0"/>
    <n v="11000000"/>
  </r>
  <r>
    <d v="2024-09-13T00:00:00"/>
    <x v="0"/>
    <x v="8"/>
    <x v="36"/>
    <x v="12"/>
    <x v="1"/>
    <x v="1"/>
    <x v="1"/>
    <n v="0"/>
  </r>
  <r>
    <d v="2024-09-13T00:00:00"/>
    <x v="0"/>
    <x v="8"/>
    <x v="36"/>
    <x v="12"/>
    <x v="7"/>
    <x v="7"/>
    <x v="4"/>
    <n v="192664417"/>
  </r>
  <r>
    <d v="2024-09-13T00:00:00"/>
    <x v="0"/>
    <x v="8"/>
    <x v="36"/>
    <x v="12"/>
    <x v="11"/>
    <x v="10"/>
    <x v="4"/>
    <n v="26173438"/>
  </r>
  <r>
    <d v="2024-09-13T00:00:00"/>
    <x v="0"/>
    <x v="8"/>
    <x v="36"/>
    <x v="12"/>
    <x v="0"/>
    <x v="0"/>
    <x v="0"/>
    <n v="4137000000"/>
  </r>
  <r>
    <d v="2024-09-13T00:00:00"/>
    <x v="0"/>
    <x v="8"/>
    <x v="36"/>
    <x v="12"/>
    <x v="9"/>
    <x v="9"/>
    <x v="1"/>
    <n v="0"/>
  </r>
  <r>
    <d v="2024-09-13T00:00:00"/>
    <x v="0"/>
    <x v="8"/>
    <x v="36"/>
    <x v="12"/>
    <x v="5"/>
    <x v="5"/>
    <x v="3"/>
    <n v="2826454233"/>
  </r>
  <r>
    <d v="2024-09-14T00:00:00"/>
    <x v="0"/>
    <x v="8"/>
    <x v="36"/>
    <x v="13"/>
    <x v="4"/>
    <x v="4"/>
    <x v="2"/>
    <n v="14258269311"/>
  </r>
  <r>
    <d v="2024-09-14T00:00:00"/>
    <x v="0"/>
    <x v="8"/>
    <x v="36"/>
    <x v="13"/>
    <x v="0"/>
    <x v="0"/>
    <x v="0"/>
    <n v="4116000000"/>
  </r>
  <r>
    <d v="2024-09-14T00:00:00"/>
    <x v="0"/>
    <x v="8"/>
    <x v="36"/>
    <x v="13"/>
    <x v="1"/>
    <x v="1"/>
    <x v="1"/>
    <n v="26250000"/>
  </r>
  <r>
    <d v="2024-09-14T00:00:00"/>
    <x v="0"/>
    <x v="8"/>
    <x v="36"/>
    <x v="13"/>
    <x v="12"/>
    <x v="11"/>
    <x v="1"/>
    <n v="1904020000"/>
  </r>
  <r>
    <d v="2024-09-14T00:00:00"/>
    <x v="0"/>
    <x v="8"/>
    <x v="36"/>
    <x v="13"/>
    <x v="7"/>
    <x v="7"/>
    <x v="4"/>
    <n v="213989710"/>
  </r>
  <r>
    <d v="2024-09-14T00:00:00"/>
    <x v="0"/>
    <x v="8"/>
    <x v="36"/>
    <x v="13"/>
    <x v="8"/>
    <x v="8"/>
    <x v="1"/>
    <n v="0"/>
  </r>
  <r>
    <d v="2024-09-14T00:00:00"/>
    <x v="0"/>
    <x v="8"/>
    <x v="36"/>
    <x v="13"/>
    <x v="5"/>
    <x v="5"/>
    <x v="3"/>
    <n v="2703255668"/>
  </r>
  <r>
    <d v="2024-09-14T00:00:00"/>
    <x v="0"/>
    <x v="8"/>
    <x v="36"/>
    <x v="13"/>
    <x v="2"/>
    <x v="2"/>
    <x v="1"/>
    <n v="5084660000"/>
  </r>
  <r>
    <d v="2024-09-14T00:00:00"/>
    <x v="0"/>
    <x v="8"/>
    <x v="36"/>
    <x v="13"/>
    <x v="10"/>
    <x v="9"/>
    <x v="1"/>
    <n v="7490000"/>
  </r>
  <r>
    <d v="2024-09-14T00:00:00"/>
    <x v="0"/>
    <x v="8"/>
    <x v="36"/>
    <x v="13"/>
    <x v="11"/>
    <x v="10"/>
    <x v="4"/>
    <n v="31453933"/>
  </r>
  <r>
    <d v="2024-09-14T00:00:00"/>
    <x v="0"/>
    <x v="8"/>
    <x v="36"/>
    <x v="13"/>
    <x v="6"/>
    <x v="6"/>
    <x v="0"/>
    <n v="14000000"/>
  </r>
  <r>
    <d v="2024-09-14T00:00:00"/>
    <x v="0"/>
    <x v="8"/>
    <x v="36"/>
    <x v="13"/>
    <x v="3"/>
    <x v="3"/>
    <x v="1"/>
    <n v="157150000"/>
  </r>
  <r>
    <d v="2024-09-14T00:00:00"/>
    <x v="0"/>
    <x v="8"/>
    <x v="36"/>
    <x v="13"/>
    <x v="9"/>
    <x v="9"/>
    <x v="1"/>
    <n v="0"/>
  </r>
  <r>
    <d v="2024-09-15T00:00:00"/>
    <x v="0"/>
    <x v="8"/>
    <x v="36"/>
    <x v="14"/>
    <x v="2"/>
    <x v="2"/>
    <x v="1"/>
    <n v="5785480000"/>
  </r>
  <r>
    <d v="2024-09-15T00:00:00"/>
    <x v="0"/>
    <x v="8"/>
    <x v="36"/>
    <x v="14"/>
    <x v="10"/>
    <x v="9"/>
    <x v="1"/>
    <n v="21400000"/>
  </r>
  <r>
    <d v="2024-09-15T00:00:00"/>
    <x v="0"/>
    <x v="8"/>
    <x v="36"/>
    <x v="14"/>
    <x v="0"/>
    <x v="0"/>
    <x v="0"/>
    <n v="4058000000"/>
  </r>
  <r>
    <d v="2024-09-15T00:00:00"/>
    <x v="0"/>
    <x v="8"/>
    <x v="36"/>
    <x v="14"/>
    <x v="7"/>
    <x v="7"/>
    <x v="4"/>
    <n v="196909568"/>
  </r>
  <r>
    <d v="2024-09-15T00:00:00"/>
    <x v="0"/>
    <x v="8"/>
    <x v="36"/>
    <x v="14"/>
    <x v="1"/>
    <x v="1"/>
    <x v="1"/>
    <n v="94500000"/>
  </r>
  <r>
    <d v="2024-09-15T00:00:00"/>
    <x v="0"/>
    <x v="8"/>
    <x v="36"/>
    <x v="14"/>
    <x v="11"/>
    <x v="10"/>
    <x v="4"/>
    <n v="38007483"/>
  </r>
  <r>
    <d v="2024-09-15T00:00:00"/>
    <x v="0"/>
    <x v="8"/>
    <x v="36"/>
    <x v="14"/>
    <x v="5"/>
    <x v="5"/>
    <x v="3"/>
    <n v="2784114016"/>
  </r>
  <r>
    <d v="2024-09-15T00:00:00"/>
    <x v="0"/>
    <x v="8"/>
    <x v="36"/>
    <x v="14"/>
    <x v="4"/>
    <x v="4"/>
    <x v="2"/>
    <n v="14980001067"/>
  </r>
  <r>
    <d v="2024-09-15T00:00:00"/>
    <x v="0"/>
    <x v="8"/>
    <x v="36"/>
    <x v="14"/>
    <x v="9"/>
    <x v="9"/>
    <x v="1"/>
    <n v="0"/>
  </r>
  <r>
    <d v="2024-09-15T00:00:00"/>
    <x v="0"/>
    <x v="8"/>
    <x v="36"/>
    <x v="14"/>
    <x v="12"/>
    <x v="11"/>
    <x v="1"/>
    <n v="1898890000"/>
  </r>
  <r>
    <d v="2024-09-15T00:00:00"/>
    <x v="0"/>
    <x v="8"/>
    <x v="36"/>
    <x v="14"/>
    <x v="6"/>
    <x v="6"/>
    <x v="0"/>
    <n v="32000000"/>
  </r>
  <r>
    <d v="2024-09-15T00:00:00"/>
    <x v="0"/>
    <x v="8"/>
    <x v="36"/>
    <x v="14"/>
    <x v="3"/>
    <x v="3"/>
    <x v="1"/>
    <n v="70700000"/>
  </r>
  <r>
    <d v="2024-09-15T00:00:00"/>
    <x v="0"/>
    <x v="8"/>
    <x v="36"/>
    <x v="14"/>
    <x v="8"/>
    <x v="8"/>
    <x v="1"/>
    <n v="0"/>
  </r>
  <r>
    <d v="2024-09-16T00:00:00"/>
    <x v="0"/>
    <x v="8"/>
    <x v="37"/>
    <x v="15"/>
    <x v="12"/>
    <x v="11"/>
    <x v="1"/>
    <n v="2345310000"/>
  </r>
  <r>
    <d v="2024-09-16T00:00:00"/>
    <x v="0"/>
    <x v="8"/>
    <x v="37"/>
    <x v="15"/>
    <x v="7"/>
    <x v="7"/>
    <x v="4"/>
    <n v="236626423"/>
  </r>
  <r>
    <d v="2024-09-16T00:00:00"/>
    <x v="0"/>
    <x v="8"/>
    <x v="37"/>
    <x v="15"/>
    <x v="2"/>
    <x v="2"/>
    <x v="1"/>
    <n v="6493940000"/>
  </r>
  <r>
    <d v="2024-09-16T00:00:00"/>
    <x v="0"/>
    <x v="8"/>
    <x v="37"/>
    <x v="15"/>
    <x v="3"/>
    <x v="3"/>
    <x v="1"/>
    <n v="78750000"/>
  </r>
  <r>
    <d v="2024-09-16T00:00:00"/>
    <x v="0"/>
    <x v="8"/>
    <x v="37"/>
    <x v="15"/>
    <x v="1"/>
    <x v="1"/>
    <x v="1"/>
    <n v="124950000"/>
  </r>
  <r>
    <d v="2024-09-16T00:00:00"/>
    <x v="0"/>
    <x v="8"/>
    <x v="37"/>
    <x v="15"/>
    <x v="10"/>
    <x v="9"/>
    <x v="1"/>
    <n v="28840000"/>
  </r>
  <r>
    <d v="2024-09-16T00:00:00"/>
    <x v="0"/>
    <x v="8"/>
    <x v="37"/>
    <x v="15"/>
    <x v="6"/>
    <x v="6"/>
    <x v="0"/>
    <n v="3000000"/>
  </r>
  <r>
    <d v="2024-09-16T00:00:00"/>
    <x v="0"/>
    <x v="8"/>
    <x v="37"/>
    <x v="15"/>
    <x v="8"/>
    <x v="8"/>
    <x v="1"/>
    <n v="0"/>
  </r>
  <r>
    <d v="2024-09-16T00:00:00"/>
    <x v="0"/>
    <x v="8"/>
    <x v="37"/>
    <x v="15"/>
    <x v="0"/>
    <x v="0"/>
    <x v="0"/>
    <n v="4733000000"/>
  </r>
  <r>
    <d v="2024-09-16T00:00:00"/>
    <x v="0"/>
    <x v="8"/>
    <x v="37"/>
    <x v="15"/>
    <x v="9"/>
    <x v="9"/>
    <x v="1"/>
    <n v="6000000"/>
  </r>
  <r>
    <d v="2024-09-16T00:00:00"/>
    <x v="0"/>
    <x v="8"/>
    <x v="37"/>
    <x v="15"/>
    <x v="4"/>
    <x v="4"/>
    <x v="2"/>
    <n v="16989837852"/>
  </r>
  <r>
    <d v="2024-09-16T00:00:00"/>
    <x v="0"/>
    <x v="8"/>
    <x v="37"/>
    <x v="15"/>
    <x v="11"/>
    <x v="10"/>
    <x v="4"/>
    <n v="36389302"/>
  </r>
  <r>
    <d v="2024-09-16T00:00:00"/>
    <x v="0"/>
    <x v="8"/>
    <x v="37"/>
    <x v="15"/>
    <x v="5"/>
    <x v="5"/>
    <x v="3"/>
    <n v="2903032127"/>
  </r>
  <r>
    <d v="2024-09-17T00:00:00"/>
    <x v="0"/>
    <x v="8"/>
    <x v="37"/>
    <x v="16"/>
    <x v="8"/>
    <x v="8"/>
    <x v="1"/>
    <n v="0"/>
  </r>
  <r>
    <d v="2024-09-17T00:00:00"/>
    <x v="0"/>
    <x v="8"/>
    <x v="37"/>
    <x v="16"/>
    <x v="7"/>
    <x v="7"/>
    <x v="4"/>
    <n v="177359459"/>
  </r>
  <r>
    <d v="2024-09-17T00:00:00"/>
    <x v="0"/>
    <x v="8"/>
    <x v="37"/>
    <x v="16"/>
    <x v="0"/>
    <x v="0"/>
    <x v="0"/>
    <n v="4206500000"/>
  </r>
  <r>
    <d v="2024-09-17T00:00:00"/>
    <x v="0"/>
    <x v="8"/>
    <x v="37"/>
    <x v="16"/>
    <x v="4"/>
    <x v="4"/>
    <x v="2"/>
    <n v="18751606046"/>
  </r>
  <r>
    <d v="2024-09-17T00:00:00"/>
    <x v="0"/>
    <x v="8"/>
    <x v="37"/>
    <x v="16"/>
    <x v="10"/>
    <x v="9"/>
    <x v="1"/>
    <n v="0"/>
  </r>
  <r>
    <d v="2024-09-17T00:00:00"/>
    <x v="0"/>
    <x v="8"/>
    <x v="37"/>
    <x v="16"/>
    <x v="12"/>
    <x v="11"/>
    <x v="1"/>
    <n v="2310080000"/>
  </r>
  <r>
    <d v="2024-09-17T00:00:00"/>
    <x v="0"/>
    <x v="8"/>
    <x v="37"/>
    <x v="16"/>
    <x v="9"/>
    <x v="9"/>
    <x v="1"/>
    <n v="0"/>
  </r>
  <r>
    <d v="2024-09-17T00:00:00"/>
    <x v="0"/>
    <x v="8"/>
    <x v="37"/>
    <x v="16"/>
    <x v="1"/>
    <x v="1"/>
    <x v="1"/>
    <n v="67250000"/>
  </r>
  <r>
    <d v="2024-09-17T00:00:00"/>
    <x v="0"/>
    <x v="8"/>
    <x v="37"/>
    <x v="16"/>
    <x v="11"/>
    <x v="10"/>
    <x v="4"/>
    <n v="30231920"/>
  </r>
  <r>
    <d v="2024-09-17T00:00:00"/>
    <x v="0"/>
    <x v="8"/>
    <x v="37"/>
    <x v="16"/>
    <x v="5"/>
    <x v="5"/>
    <x v="3"/>
    <n v="2836904667"/>
  </r>
  <r>
    <d v="2024-09-17T00:00:00"/>
    <x v="0"/>
    <x v="8"/>
    <x v="37"/>
    <x v="16"/>
    <x v="3"/>
    <x v="3"/>
    <x v="1"/>
    <n v="122550000"/>
  </r>
  <r>
    <d v="2024-09-17T00:00:00"/>
    <x v="0"/>
    <x v="8"/>
    <x v="37"/>
    <x v="16"/>
    <x v="2"/>
    <x v="2"/>
    <x v="1"/>
    <n v="8974730000"/>
  </r>
  <r>
    <d v="2024-09-17T00:00:00"/>
    <x v="0"/>
    <x v="8"/>
    <x v="37"/>
    <x v="16"/>
    <x v="6"/>
    <x v="6"/>
    <x v="0"/>
    <n v="26000000"/>
  </r>
  <r>
    <d v="2024-09-18T00:00:00"/>
    <x v="0"/>
    <x v="8"/>
    <x v="37"/>
    <x v="17"/>
    <x v="8"/>
    <x v="8"/>
    <x v="1"/>
    <n v="0"/>
  </r>
  <r>
    <d v="2024-09-18T00:00:00"/>
    <x v="0"/>
    <x v="8"/>
    <x v="37"/>
    <x v="17"/>
    <x v="2"/>
    <x v="2"/>
    <x v="1"/>
    <n v="9446570000"/>
  </r>
  <r>
    <d v="2024-09-18T00:00:00"/>
    <x v="0"/>
    <x v="8"/>
    <x v="37"/>
    <x v="17"/>
    <x v="10"/>
    <x v="9"/>
    <x v="1"/>
    <n v="58850000"/>
  </r>
  <r>
    <d v="2024-09-18T00:00:00"/>
    <x v="0"/>
    <x v="8"/>
    <x v="37"/>
    <x v="17"/>
    <x v="6"/>
    <x v="6"/>
    <x v="0"/>
    <n v="16000000"/>
  </r>
  <r>
    <d v="2024-09-18T00:00:00"/>
    <x v="0"/>
    <x v="8"/>
    <x v="37"/>
    <x v="17"/>
    <x v="0"/>
    <x v="0"/>
    <x v="0"/>
    <n v="4144000000"/>
  </r>
  <r>
    <d v="2024-09-18T00:00:00"/>
    <x v="0"/>
    <x v="8"/>
    <x v="37"/>
    <x v="17"/>
    <x v="7"/>
    <x v="7"/>
    <x v="4"/>
    <n v="174740894"/>
  </r>
  <r>
    <d v="2024-09-18T00:00:00"/>
    <x v="0"/>
    <x v="8"/>
    <x v="37"/>
    <x v="17"/>
    <x v="12"/>
    <x v="11"/>
    <x v="1"/>
    <n v="2175600000"/>
  </r>
  <r>
    <d v="2024-09-18T00:00:00"/>
    <x v="0"/>
    <x v="8"/>
    <x v="37"/>
    <x v="17"/>
    <x v="11"/>
    <x v="10"/>
    <x v="4"/>
    <n v="34419160"/>
  </r>
  <r>
    <d v="2024-09-18T00:00:00"/>
    <x v="0"/>
    <x v="8"/>
    <x v="37"/>
    <x v="17"/>
    <x v="5"/>
    <x v="5"/>
    <x v="3"/>
    <n v="2688272211"/>
  </r>
  <r>
    <d v="2024-09-18T00:00:00"/>
    <x v="0"/>
    <x v="8"/>
    <x v="37"/>
    <x v="17"/>
    <x v="3"/>
    <x v="3"/>
    <x v="1"/>
    <n v="85600000"/>
  </r>
  <r>
    <d v="2024-09-18T00:00:00"/>
    <x v="0"/>
    <x v="8"/>
    <x v="37"/>
    <x v="17"/>
    <x v="4"/>
    <x v="4"/>
    <x v="2"/>
    <n v="18845052265"/>
  </r>
  <r>
    <d v="2024-09-18T00:00:00"/>
    <x v="0"/>
    <x v="8"/>
    <x v="37"/>
    <x v="17"/>
    <x v="1"/>
    <x v="1"/>
    <x v="1"/>
    <n v="21000000"/>
  </r>
  <r>
    <d v="2024-09-18T00:00:00"/>
    <x v="0"/>
    <x v="8"/>
    <x v="37"/>
    <x v="17"/>
    <x v="9"/>
    <x v="9"/>
    <x v="1"/>
    <n v="0"/>
  </r>
  <r>
    <d v="2024-09-19T00:00:00"/>
    <x v="0"/>
    <x v="8"/>
    <x v="37"/>
    <x v="18"/>
    <x v="8"/>
    <x v="8"/>
    <x v="1"/>
    <n v="0"/>
  </r>
  <r>
    <d v="2024-09-19T00:00:00"/>
    <x v="0"/>
    <x v="8"/>
    <x v="37"/>
    <x v="18"/>
    <x v="7"/>
    <x v="7"/>
    <x v="4"/>
    <n v="178671263"/>
  </r>
  <r>
    <d v="2024-09-19T00:00:00"/>
    <x v="0"/>
    <x v="8"/>
    <x v="37"/>
    <x v="18"/>
    <x v="9"/>
    <x v="9"/>
    <x v="1"/>
    <n v="6000000"/>
  </r>
  <r>
    <d v="2024-09-19T00:00:00"/>
    <x v="0"/>
    <x v="8"/>
    <x v="37"/>
    <x v="18"/>
    <x v="5"/>
    <x v="5"/>
    <x v="3"/>
    <n v="2843777174"/>
  </r>
  <r>
    <d v="2024-09-19T00:00:00"/>
    <x v="0"/>
    <x v="8"/>
    <x v="37"/>
    <x v="18"/>
    <x v="4"/>
    <x v="4"/>
    <x v="2"/>
    <n v="19680295187"/>
  </r>
  <r>
    <d v="2024-09-19T00:00:00"/>
    <x v="0"/>
    <x v="8"/>
    <x v="37"/>
    <x v="18"/>
    <x v="10"/>
    <x v="9"/>
    <x v="1"/>
    <n v="10700000"/>
  </r>
  <r>
    <d v="2024-09-19T00:00:00"/>
    <x v="0"/>
    <x v="8"/>
    <x v="37"/>
    <x v="18"/>
    <x v="1"/>
    <x v="1"/>
    <x v="1"/>
    <n v="42000000"/>
  </r>
  <r>
    <d v="2024-09-19T00:00:00"/>
    <x v="0"/>
    <x v="8"/>
    <x v="37"/>
    <x v="18"/>
    <x v="0"/>
    <x v="0"/>
    <x v="0"/>
    <n v="4098500000"/>
  </r>
  <r>
    <d v="2024-09-19T00:00:00"/>
    <x v="0"/>
    <x v="8"/>
    <x v="37"/>
    <x v="18"/>
    <x v="11"/>
    <x v="10"/>
    <x v="4"/>
    <n v="33336750"/>
  </r>
  <r>
    <d v="2024-09-19T00:00:00"/>
    <x v="0"/>
    <x v="8"/>
    <x v="37"/>
    <x v="18"/>
    <x v="12"/>
    <x v="11"/>
    <x v="1"/>
    <n v="2463570000"/>
  </r>
  <r>
    <d v="2024-09-19T00:00:00"/>
    <x v="0"/>
    <x v="8"/>
    <x v="37"/>
    <x v="18"/>
    <x v="3"/>
    <x v="3"/>
    <x v="1"/>
    <n v="23100000"/>
  </r>
  <r>
    <d v="2024-09-19T00:00:00"/>
    <x v="0"/>
    <x v="8"/>
    <x v="37"/>
    <x v="18"/>
    <x v="6"/>
    <x v="6"/>
    <x v="0"/>
    <n v="10000000"/>
  </r>
  <r>
    <d v="2024-09-19T00:00:00"/>
    <x v="0"/>
    <x v="8"/>
    <x v="37"/>
    <x v="18"/>
    <x v="2"/>
    <x v="2"/>
    <x v="1"/>
    <n v="9970640000"/>
  </r>
  <r>
    <d v="2024-09-20T00:00:00"/>
    <x v="0"/>
    <x v="8"/>
    <x v="37"/>
    <x v="19"/>
    <x v="10"/>
    <x v="9"/>
    <x v="1"/>
    <n v="0"/>
  </r>
  <r>
    <d v="2024-09-20T00:00:00"/>
    <x v="0"/>
    <x v="8"/>
    <x v="37"/>
    <x v="19"/>
    <x v="12"/>
    <x v="11"/>
    <x v="1"/>
    <n v="2891760000"/>
  </r>
  <r>
    <d v="2024-09-20T00:00:00"/>
    <x v="0"/>
    <x v="8"/>
    <x v="37"/>
    <x v="19"/>
    <x v="3"/>
    <x v="3"/>
    <x v="1"/>
    <n v="116550000"/>
  </r>
  <r>
    <d v="2024-09-20T00:00:00"/>
    <x v="0"/>
    <x v="8"/>
    <x v="37"/>
    <x v="19"/>
    <x v="4"/>
    <x v="4"/>
    <x v="2"/>
    <n v="19686490130"/>
  </r>
  <r>
    <d v="2024-09-20T00:00:00"/>
    <x v="0"/>
    <x v="8"/>
    <x v="37"/>
    <x v="19"/>
    <x v="5"/>
    <x v="5"/>
    <x v="3"/>
    <n v="2926954139"/>
  </r>
  <r>
    <d v="2024-09-20T00:00:00"/>
    <x v="0"/>
    <x v="8"/>
    <x v="37"/>
    <x v="19"/>
    <x v="1"/>
    <x v="1"/>
    <x v="1"/>
    <n v="0"/>
  </r>
  <r>
    <d v="2024-09-20T00:00:00"/>
    <x v="0"/>
    <x v="8"/>
    <x v="37"/>
    <x v="19"/>
    <x v="6"/>
    <x v="6"/>
    <x v="0"/>
    <n v="57000000"/>
  </r>
  <r>
    <d v="2024-09-20T00:00:00"/>
    <x v="0"/>
    <x v="8"/>
    <x v="37"/>
    <x v="19"/>
    <x v="7"/>
    <x v="7"/>
    <x v="4"/>
    <n v="171927742"/>
  </r>
  <r>
    <d v="2024-09-20T00:00:00"/>
    <x v="0"/>
    <x v="8"/>
    <x v="37"/>
    <x v="19"/>
    <x v="11"/>
    <x v="10"/>
    <x v="4"/>
    <n v="33128249"/>
  </r>
  <r>
    <d v="2024-09-20T00:00:00"/>
    <x v="0"/>
    <x v="8"/>
    <x v="37"/>
    <x v="19"/>
    <x v="0"/>
    <x v="0"/>
    <x v="0"/>
    <n v="4262000000"/>
  </r>
  <r>
    <d v="2024-09-20T00:00:00"/>
    <x v="0"/>
    <x v="8"/>
    <x v="37"/>
    <x v="19"/>
    <x v="8"/>
    <x v="8"/>
    <x v="1"/>
    <n v="0"/>
  </r>
  <r>
    <d v="2024-09-20T00:00:00"/>
    <x v="0"/>
    <x v="8"/>
    <x v="37"/>
    <x v="19"/>
    <x v="9"/>
    <x v="9"/>
    <x v="1"/>
    <n v="0"/>
  </r>
  <r>
    <d v="2024-09-20T00:00:00"/>
    <x v="0"/>
    <x v="8"/>
    <x v="37"/>
    <x v="19"/>
    <x v="2"/>
    <x v="2"/>
    <x v="1"/>
    <n v="9227170000"/>
  </r>
  <r>
    <d v="2024-09-21T00:00:00"/>
    <x v="0"/>
    <x v="8"/>
    <x v="37"/>
    <x v="20"/>
    <x v="6"/>
    <x v="6"/>
    <x v="0"/>
    <n v="41000000"/>
  </r>
  <r>
    <d v="2024-09-21T00:00:00"/>
    <x v="0"/>
    <x v="8"/>
    <x v="37"/>
    <x v="20"/>
    <x v="4"/>
    <x v="4"/>
    <x v="2"/>
    <n v="18134400831"/>
  </r>
  <r>
    <d v="2024-09-21T00:00:00"/>
    <x v="0"/>
    <x v="8"/>
    <x v="37"/>
    <x v="20"/>
    <x v="5"/>
    <x v="5"/>
    <x v="3"/>
    <n v="2475222254"/>
  </r>
  <r>
    <d v="2024-09-21T00:00:00"/>
    <x v="0"/>
    <x v="8"/>
    <x v="37"/>
    <x v="20"/>
    <x v="9"/>
    <x v="9"/>
    <x v="1"/>
    <n v="0"/>
  </r>
  <r>
    <d v="2024-09-21T00:00:00"/>
    <x v="0"/>
    <x v="8"/>
    <x v="37"/>
    <x v="20"/>
    <x v="11"/>
    <x v="10"/>
    <x v="4"/>
    <n v="30294246"/>
  </r>
  <r>
    <d v="2024-09-21T00:00:00"/>
    <x v="0"/>
    <x v="8"/>
    <x v="37"/>
    <x v="20"/>
    <x v="0"/>
    <x v="0"/>
    <x v="0"/>
    <n v="3997500000"/>
  </r>
  <r>
    <d v="2024-09-21T00:00:00"/>
    <x v="0"/>
    <x v="8"/>
    <x v="37"/>
    <x v="20"/>
    <x v="7"/>
    <x v="7"/>
    <x v="4"/>
    <n v="193424331"/>
  </r>
  <r>
    <d v="2024-09-21T00:00:00"/>
    <x v="0"/>
    <x v="8"/>
    <x v="37"/>
    <x v="20"/>
    <x v="12"/>
    <x v="11"/>
    <x v="1"/>
    <n v="2866960000"/>
  </r>
  <r>
    <d v="2024-09-21T00:00:00"/>
    <x v="0"/>
    <x v="8"/>
    <x v="37"/>
    <x v="20"/>
    <x v="3"/>
    <x v="3"/>
    <x v="1"/>
    <n v="54100000"/>
  </r>
  <r>
    <d v="2024-09-21T00:00:00"/>
    <x v="0"/>
    <x v="8"/>
    <x v="37"/>
    <x v="20"/>
    <x v="10"/>
    <x v="9"/>
    <x v="1"/>
    <n v="0"/>
  </r>
  <r>
    <d v="2024-09-21T00:00:00"/>
    <x v="0"/>
    <x v="8"/>
    <x v="37"/>
    <x v="20"/>
    <x v="1"/>
    <x v="1"/>
    <x v="1"/>
    <n v="47250000"/>
  </r>
  <r>
    <d v="2024-09-21T00:00:00"/>
    <x v="0"/>
    <x v="8"/>
    <x v="37"/>
    <x v="20"/>
    <x v="8"/>
    <x v="8"/>
    <x v="1"/>
    <n v="0"/>
  </r>
  <r>
    <d v="2024-09-21T00:00:00"/>
    <x v="0"/>
    <x v="8"/>
    <x v="37"/>
    <x v="20"/>
    <x v="2"/>
    <x v="2"/>
    <x v="1"/>
    <n v="8428650000"/>
  </r>
  <r>
    <d v="2024-09-22T00:00:00"/>
    <x v="0"/>
    <x v="8"/>
    <x v="37"/>
    <x v="21"/>
    <x v="4"/>
    <x v="4"/>
    <x v="2"/>
    <n v="17270401237"/>
  </r>
  <r>
    <d v="2024-09-22T00:00:00"/>
    <x v="0"/>
    <x v="8"/>
    <x v="37"/>
    <x v="21"/>
    <x v="6"/>
    <x v="6"/>
    <x v="0"/>
    <n v="114000000"/>
  </r>
  <r>
    <d v="2024-09-22T00:00:00"/>
    <x v="0"/>
    <x v="8"/>
    <x v="37"/>
    <x v="21"/>
    <x v="7"/>
    <x v="7"/>
    <x v="4"/>
    <n v="188026862"/>
  </r>
  <r>
    <d v="2024-09-22T00:00:00"/>
    <x v="0"/>
    <x v="8"/>
    <x v="37"/>
    <x v="21"/>
    <x v="8"/>
    <x v="8"/>
    <x v="1"/>
    <n v="0"/>
  </r>
  <r>
    <d v="2024-09-22T00:00:00"/>
    <x v="0"/>
    <x v="8"/>
    <x v="37"/>
    <x v="21"/>
    <x v="2"/>
    <x v="2"/>
    <x v="1"/>
    <n v="8160370000"/>
  </r>
  <r>
    <d v="2024-09-22T00:00:00"/>
    <x v="0"/>
    <x v="8"/>
    <x v="37"/>
    <x v="21"/>
    <x v="12"/>
    <x v="11"/>
    <x v="1"/>
    <n v="2680160000"/>
  </r>
  <r>
    <d v="2024-09-22T00:00:00"/>
    <x v="0"/>
    <x v="8"/>
    <x v="37"/>
    <x v="21"/>
    <x v="0"/>
    <x v="0"/>
    <x v="0"/>
    <n v="3682000000"/>
  </r>
  <r>
    <d v="2024-09-22T00:00:00"/>
    <x v="0"/>
    <x v="8"/>
    <x v="37"/>
    <x v="21"/>
    <x v="11"/>
    <x v="10"/>
    <x v="4"/>
    <n v="33423155"/>
  </r>
  <r>
    <d v="2024-09-22T00:00:00"/>
    <x v="0"/>
    <x v="8"/>
    <x v="37"/>
    <x v="21"/>
    <x v="1"/>
    <x v="1"/>
    <x v="1"/>
    <n v="42000000"/>
  </r>
  <r>
    <d v="2024-09-22T00:00:00"/>
    <x v="0"/>
    <x v="8"/>
    <x v="37"/>
    <x v="21"/>
    <x v="3"/>
    <x v="3"/>
    <x v="1"/>
    <n v="26250000"/>
  </r>
  <r>
    <d v="2024-09-22T00:00:00"/>
    <x v="0"/>
    <x v="8"/>
    <x v="37"/>
    <x v="21"/>
    <x v="10"/>
    <x v="9"/>
    <x v="1"/>
    <n v="22700000"/>
  </r>
  <r>
    <d v="2024-09-22T00:00:00"/>
    <x v="0"/>
    <x v="8"/>
    <x v="37"/>
    <x v="21"/>
    <x v="9"/>
    <x v="9"/>
    <x v="1"/>
    <n v="0"/>
  </r>
  <r>
    <d v="2024-09-22T00:00:00"/>
    <x v="0"/>
    <x v="8"/>
    <x v="37"/>
    <x v="21"/>
    <x v="5"/>
    <x v="5"/>
    <x v="3"/>
    <n v="2321471220"/>
  </r>
  <r>
    <d v="2024-09-23T00:00:00"/>
    <x v="0"/>
    <x v="8"/>
    <x v="38"/>
    <x v="22"/>
    <x v="9"/>
    <x v="9"/>
    <x v="1"/>
    <n v="0"/>
  </r>
  <r>
    <d v="2024-09-23T00:00:00"/>
    <x v="0"/>
    <x v="8"/>
    <x v="38"/>
    <x v="22"/>
    <x v="4"/>
    <x v="4"/>
    <x v="2"/>
    <n v="21437265259"/>
  </r>
  <r>
    <d v="2024-09-23T00:00:00"/>
    <x v="0"/>
    <x v="8"/>
    <x v="38"/>
    <x v="22"/>
    <x v="5"/>
    <x v="5"/>
    <x v="3"/>
    <n v="3019488342"/>
  </r>
  <r>
    <d v="2024-09-23T00:00:00"/>
    <x v="0"/>
    <x v="8"/>
    <x v="38"/>
    <x v="22"/>
    <x v="11"/>
    <x v="10"/>
    <x v="4"/>
    <n v="24184846"/>
  </r>
  <r>
    <d v="2024-09-23T00:00:00"/>
    <x v="0"/>
    <x v="8"/>
    <x v="38"/>
    <x v="22"/>
    <x v="12"/>
    <x v="11"/>
    <x v="1"/>
    <n v="3737840000"/>
  </r>
  <r>
    <d v="2024-09-23T00:00:00"/>
    <x v="0"/>
    <x v="8"/>
    <x v="38"/>
    <x v="22"/>
    <x v="10"/>
    <x v="9"/>
    <x v="1"/>
    <n v="7490000"/>
  </r>
  <r>
    <d v="2024-09-23T00:00:00"/>
    <x v="0"/>
    <x v="8"/>
    <x v="38"/>
    <x v="22"/>
    <x v="6"/>
    <x v="6"/>
    <x v="0"/>
    <n v="65000000"/>
  </r>
  <r>
    <d v="2024-09-23T00:00:00"/>
    <x v="0"/>
    <x v="8"/>
    <x v="38"/>
    <x v="22"/>
    <x v="1"/>
    <x v="1"/>
    <x v="1"/>
    <n v="49350000"/>
  </r>
  <r>
    <d v="2024-09-23T00:00:00"/>
    <x v="0"/>
    <x v="8"/>
    <x v="38"/>
    <x v="22"/>
    <x v="3"/>
    <x v="3"/>
    <x v="1"/>
    <n v="202150000"/>
  </r>
  <r>
    <d v="2024-09-23T00:00:00"/>
    <x v="0"/>
    <x v="8"/>
    <x v="38"/>
    <x v="22"/>
    <x v="8"/>
    <x v="8"/>
    <x v="1"/>
    <n v="0"/>
  </r>
  <r>
    <d v="2024-09-23T00:00:00"/>
    <x v="0"/>
    <x v="8"/>
    <x v="38"/>
    <x v="22"/>
    <x v="7"/>
    <x v="7"/>
    <x v="4"/>
    <n v="194882071"/>
  </r>
  <r>
    <d v="2024-09-23T00:00:00"/>
    <x v="0"/>
    <x v="8"/>
    <x v="38"/>
    <x v="22"/>
    <x v="0"/>
    <x v="0"/>
    <x v="0"/>
    <n v="4285500000"/>
  </r>
  <r>
    <d v="2024-09-23T00:00:00"/>
    <x v="0"/>
    <x v="8"/>
    <x v="38"/>
    <x v="22"/>
    <x v="2"/>
    <x v="2"/>
    <x v="1"/>
    <n v="9851380000"/>
  </r>
  <r>
    <d v="2024-09-24T00:00:00"/>
    <x v="0"/>
    <x v="8"/>
    <x v="38"/>
    <x v="23"/>
    <x v="7"/>
    <x v="7"/>
    <x v="4"/>
    <n v="167747940"/>
  </r>
  <r>
    <d v="2024-09-24T00:00:00"/>
    <x v="0"/>
    <x v="8"/>
    <x v="38"/>
    <x v="23"/>
    <x v="11"/>
    <x v="10"/>
    <x v="4"/>
    <n v="31181404"/>
  </r>
  <r>
    <d v="2024-09-24T00:00:00"/>
    <x v="0"/>
    <x v="8"/>
    <x v="38"/>
    <x v="23"/>
    <x v="3"/>
    <x v="3"/>
    <x v="1"/>
    <n v="106050000"/>
  </r>
  <r>
    <d v="2024-09-24T00:00:00"/>
    <x v="0"/>
    <x v="8"/>
    <x v="38"/>
    <x v="23"/>
    <x v="2"/>
    <x v="2"/>
    <x v="1"/>
    <n v="9052980000"/>
  </r>
  <r>
    <d v="2024-09-24T00:00:00"/>
    <x v="0"/>
    <x v="8"/>
    <x v="38"/>
    <x v="23"/>
    <x v="4"/>
    <x v="4"/>
    <x v="2"/>
    <n v="19709192635"/>
  </r>
  <r>
    <d v="2024-09-24T00:00:00"/>
    <x v="0"/>
    <x v="8"/>
    <x v="38"/>
    <x v="23"/>
    <x v="5"/>
    <x v="5"/>
    <x v="3"/>
    <n v="3219733291"/>
  </r>
  <r>
    <d v="2024-09-24T00:00:00"/>
    <x v="0"/>
    <x v="8"/>
    <x v="38"/>
    <x v="23"/>
    <x v="10"/>
    <x v="9"/>
    <x v="1"/>
    <n v="180500000"/>
  </r>
  <r>
    <d v="2024-09-24T00:00:00"/>
    <x v="0"/>
    <x v="8"/>
    <x v="38"/>
    <x v="23"/>
    <x v="8"/>
    <x v="8"/>
    <x v="1"/>
    <n v="0"/>
  </r>
  <r>
    <d v="2024-09-24T00:00:00"/>
    <x v="0"/>
    <x v="8"/>
    <x v="38"/>
    <x v="23"/>
    <x v="9"/>
    <x v="9"/>
    <x v="1"/>
    <n v="6420000"/>
  </r>
  <r>
    <d v="2024-09-24T00:00:00"/>
    <x v="0"/>
    <x v="8"/>
    <x v="38"/>
    <x v="23"/>
    <x v="6"/>
    <x v="6"/>
    <x v="0"/>
    <n v="38000000"/>
  </r>
  <r>
    <d v="2024-09-24T00:00:00"/>
    <x v="0"/>
    <x v="8"/>
    <x v="38"/>
    <x v="23"/>
    <x v="1"/>
    <x v="1"/>
    <x v="1"/>
    <n v="75600000"/>
  </r>
  <r>
    <d v="2024-09-24T00:00:00"/>
    <x v="0"/>
    <x v="8"/>
    <x v="38"/>
    <x v="23"/>
    <x v="0"/>
    <x v="0"/>
    <x v="0"/>
    <n v="3572000000"/>
  </r>
  <r>
    <d v="2024-09-24T00:00:00"/>
    <x v="0"/>
    <x v="8"/>
    <x v="38"/>
    <x v="23"/>
    <x v="12"/>
    <x v="11"/>
    <x v="1"/>
    <n v="3258980000"/>
  </r>
  <r>
    <d v="2024-09-25T00:00:00"/>
    <x v="0"/>
    <x v="8"/>
    <x v="38"/>
    <x v="24"/>
    <x v="3"/>
    <x v="3"/>
    <x v="1"/>
    <n v="259650000"/>
  </r>
  <r>
    <d v="2024-09-25T00:00:00"/>
    <x v="0"/>
    <x v="8"/>
    <x v="38"/>
    <x v="24"/>
    <x v="9"/>
    <x v="9"/>
    <x v="1"/>
    <n v="0"/>
  </r>
  <r>
    <d v="2024-09-25T00:00:00"/>
    <x v="0"/>
    <x v="8"/>
    <x v="38"/>
    <x v="24"/>
    <x v="12"/>
    <x v="11"/>
    <x v="1"/>
    <n v="3089110000"/>
  </r>
  <r>
    <d v="2024-09-25T00:00:00"/>
    <x v="0"/>
    <x v="8"/>
    <x v="38"/>
    <x v="24"/>
    <x v="8"/>
    <x v="8"/>
    <x v="1"/>
    <n v="25680000"/>
  </r>
  <r>
    <d v="2024-09-25T00:00:00"/>
    <x v="0"/>
    <x v="8"/>
    <x v="38"/>
    <x v="24"/>
    <x v="1"/>
    <x v="1"/>
    <x v="1"/>
    <n v="52500000"/>
  </r>
  <r>
    <d v="2024-09-25T00:00:00"/>
    <x v="0"/>
    <x v="8"/>
    <x v="38"/>
    <x v="24"/>
    <x v="5"/>
    <x v="5"/>
    <x v="3"/>
    <n v="2907957430"/>
  </r>
  <r>
    <d v="2024-09-25T00:00:00"/>
    <x v="0"/>
    <x v="8"/>
    <x v="38"/>
    <x v="24"/>
    <x v="4"/>
    <x v="4"/>
    <x v="2"/>
    <n v="19438187510"/>
  </r>
  <r>
    <d v="2024-09-25T00:00:00"/>
    <x v="0"/>
    <x v="8"/>
    <x v="38"/>
    <x v="24"/>
    <x v="2"/>
    <x v="2"/>
    <x v="1"/>
    <n v="8534550000"/>
  </r>
  <r>
    <d v="2024-09-25T00:00:00"/>
    <x v="0"/>
    <x v="8"/>
    <x v="38"/>
    <x v="24"/>
    <x v="6"/>
    <x v="6"/>
    <x v="0"/>
    <n v="64000000"/>
  </r>
  <r>
    <d v="2024-09-25T00:00:00"/>
    <x v="0"/>
    <x v="8"/>
    <x v="38"/>
    <x v="24"/>
    <x v="0"/>
    <x v="0"/>
    <x v="0"/>
    <n v="4149000000"/>
  </r>
  <r>
    <d v="2024-09-25T00:00:00"/>
    <x v="0"/>
    <x v="8"/>
    <x v="38"/>
    <x v="24"/>
    <x v="7"/>
    <x v="7"/>
    <x v="4"/>
    <n v="169643926"/>
  </r>
  <r>
    <d v="2024-09-25T00:00:00"/>
    <x v="0"/>
    <x v="8"/>
    <x v="38"/>
    <x v="24"/>
    <x v="10"/>
    <x v="9"/>
    <x v="1"/>
    <n v="145890000"/>
  </r>
  <r>
    <d v="2024-09-25T00:00:00"/>
    <x v="0"/>
    <x v="8"/>
    <x v="38"/>
    <x v="24"/>
    <x v="11"/>
    <x v="10"/>
    <x v="4"/>
    <n v="40206154"/>
  </r>
  <r>
    <d v="2024-09-26T00:00:00"/>
    <x v="0"/>
    <x v="8"/>
    <x v="38"/>
    <x v="25"/>
    <x v="7"/>
    <x v="7"/>
    <x v="4"/>
    <n v="192571944"/>
  </r>
  <r>
    <d v="2024-09-26T00:00:00"/>
    <x v="0"/>
    <x v="8"/>
    <x v="38"/>
    <x v="25"/>
    <x v="11"/>
    <x v="10"/>
    <x v="4"/>
    <n v="32165487"/>
  </r>
  <r>
    <d v="2024-09-26T00:00:00"/>
    <x v="0"/>
    <x v="8"/>
    <x v="38"/>
    <x v="25"/>
    <x v="10"/>
    <x v="9"/>
    <x v="1"/>
    <n v="56660000"/>
  </r>
  <r>
    <d v="2024-09-26T00:00:00"/>
    <x v="0"/>
    <x v="8"/>
    <x v="38"/>
    <x v="25"/>
    <x v="2"/>
    <x v="2"/>
    <x v="1"/>
    <n v="7839290000"/>
  </r>
  <r>
    <d v="2024-09-26T00:00:00"/>
    <x v="0"/>
    <x v="8"/>
    <x v="38"/>
    <x v="25"/>
    <x v="0"/>
    <x v="0"/>
    <x v="0"/>
    <n v="3941500000"/>
  </r>
  <r>
    <d v="2024-09-26T00:00:00"/>
    <x v="0"/>
    <x v="8"/>
    <x v="38"/>
    <x v="25"/>
    <x v="12"/>
    <x v="11"/>
    <x v="1"/>
    <n v="3879240000"/>
  </r>
  <r>
    <d v="2024-09-26T00:00:00"/>
    <x v="0"/>
    <x v="8"/>
    <x v="38"/>
    <x v="25"/>
    <x v="1"/>
    <x v="1"/>
    <x v="1"/>
    <n v="62000000"/>
  </r>
  <r>
    <d v="2024-09-26T00:00:00"/>
    <x v="0"/>
    <x v="8"/>
    <x v="38"/>
    <x v="25"/>
    <x v="6"/>
    <x v="6"/>
    <x v="0"/>
    <n v="52000000"/>
  </r>
  <r>
    <d v="2024-09-26T00:00:00"/>
    <x v="0"/>
    <x v="8"/>
    <x v="38"/>
    <x v="25"/>
    <x v="8"/>
    <x v="8"/>
    <x v="1"/>
    <n v="0"/>
  </r>
  <r>
    <d v="2024-09-26T00:00:00"/>
    <x v="0"/>
    <x v="8"/>
    <x v="38"/>
    <x v="25"/>
    <x v="3"/>
    <x v="3"/>
    <x v="1"/>
    <n v="111750000"/>
  </r>
  <r>
    <d v="2024-09-26T00:00:00"/>
    <x v="0"/>
    <x v="8"/>
    <x v="38"/>
    <x v="25"/>
    <x v="4"/>
    <x v="4"/>
    <x v="2"/>
    <n v="19150642375"/>
  </r>
  <r>
    <d v="2024-09-26T00:00:00"/>
    <x v="0"/>
    <x v="8"/>
    <x v="38"/>
    <x v="25"/>
    <x v="5"/>
    <x v="5"/>
    <x v="3"/>
    <n v="2983464944"/>
  </r>
  <r>
    <d v="2024-09-26T00:00:00"/>
    <x v="0"/>
    <x v="8"/>
    <x v="38"/>
    <x v="25"/>
    <x v="9"/>
    <x v="9"/>
    <x v="1"/>
    <n v="0"/>
  </r>
  <r>
    <d v="2024-09-27T00:00:00"/>
    <x v="0"/>
    <x v="8"/>
    <x v="38"/>
    <x v="26"/>
    <x v="0"/>
    <x v="0"/>
    <x v="0"/>
    <n v="3917500000"/>
  </r>
  <r>
    <d v="2024-09-27T00:00:00"/>
    <x v="0"/>
    <x v="8"/>
    <x v="38"/>
    <x v="26"/>
    <x v="6"/>
    <x v="6"/>
    <x v="0"/>
    <n v="90000000"/>
  </r>
  <r>
    <d v="2024-09-27T00:00:00"/>
    <x v="0"/>
    <x v="8"/>
    <x v="38"/>
    <x v="26"/>
    <x v="3"/>
    <x v="3"/>
    <x v="1"/>
    <n v="0"/>
  </r>
  <r>
    <d v="2024-09-27T00:00:00"/>
    <x v="0"/>
    <x v="8"/>
    <x v="38"/>
    <x v="26"/>
    <x v="10"/>
    <x v="9"/>
    <x v="1"/>
    <n v="34240000"/>
  </r>
  <r>
    <d v="2024-09-27T00:00:00"/>
    <x v="0"/>
    <x v="8"/>
    <x v="38"/>
    <x v="26"/>
    <x v="7"/>
    <x v="7"/>
    <x v="4"/>
    <n v="171218451"/>
  </r>
  <r>
    <d v="2024-09-27T00:00:00"/>
    <x v="0"/>
    <x v="8"/>
    <x v="38"/>
    <x v="26"/>
    <x v="5"/>
    <x v="5"/>
    <x v="3"/>
    <n v="3228626280"/>
  </r>
  <r>
    <d v="2024-09-27T00:00:00"/>
    <x v="0"/>
    <x v="8"/>
    <x v="38"/>
    <x v="26"/>
    <x v="2"/>
    <x v="2"/>
    <x v="1"/>
    <n v="7096030000"/>
  </r>
  <r>
    <d v="2024-09-27T00:00:00"/>
    <x v="0"/>
    <x v="8"/>
    <x v="38"/>
    <x v="26"/>
    <x v="12"/>
    <x v="11"/>
    <x v="1"/>
    <n v="3628920000"/>
  </r>
  <r>
    <d v="2024-09-27T00:00:00"/>
    <x v="0"/>
    <x v="8"/>
    <x v="38"/>
    <x v="26"/>
    <x v="11"/>
    <x v="10"/>
    <x v="4"/>
    <n v="37206742"/>
  </r>
  <r>
    <d v="2024-09-27T00:00:00"/>
    <x v="0"/>
    <x v="8"/>
    <x v="38"/>
    <x v="26"/>
    <x v="1"/>
    <x v="1"/>
    <x v="1"/>
    <n v="31500000"/>
  </r>
  <r>
    <d v="2024-09-27T00:00:00"/>
    <x v="0"/>
    <x v="8"/>
    <x v="38"/>
    <x v="26"/>
    <x v="8"/>
    <x v="8"/>
    <x v="1"/>
    <n v="0"/>
  </r>
  <r>
    <d v="2024-09-27T00:00:00"/>
    <x v="0"/>
    <x v="8"/>
    <x v="38"/>
    <x v="26"/>
    <x v="4"/>
    <x v="4"/>
    <x v="2"/>
    <n v="18256641473"/>
  </r>
  <r>
    <d v="2024-09-27T00:00:00"/>
    <x v="0"/>
    <x v="8"/>
    <x v="38"/>
    <x v="26"/>
    <x v="9"/>
    <x v="9"/>
    <x v="1"/>
    <n v="21400000"/>
  </r>
  <r>
    <d v="2024-09-28T00:00:00"/>
    <x v="0"/>
    <x v="8"/>
    <x v="38"/>
    <x v="27"/>
    <x v="10"/>
    <x v="9"/>
    <x v="1"/>
    <n v="21400000"/>
  </r>
  <r>
    <d v="2024-09-28T00:00:00"/>
    <x v="0"/>
    <x v="8"/>
    <x v="38"/>
    <x v="27"/>
    <x v="8"/>
    <x v="8"/>
    <x v="1"/>
    <n v="0"/>
  </r>
  <r>
    <d v="2024-09-28T00:00:00"/>
    <x v="0"/>
    <x v="8"/>
    <x v="38"/>
    <x v="27"/>
    <x v="5"/>
    <x v="5"/>
    <x v="3"/>
    <n v="3167431937"/>
  </r>
  <r>
    <d v="2024-09-28T00:00:00"/>
    <x v="0"/>
    <x v="8"/>
    <x v="38"/>
    <x v="27"/>
    <x v="1"/>
    <x v="1"/>
    <x v="1"/>
    <n v="51450000"/>
  </r>
  <r>
    <d v="2024-09-28T00:00:00"/>
    <x v="0"/>
    <x v="8"/>
    <x v="38"/>
    <x v="27"/>
    <x v="2"/>
    <x v="2"/>
    <x v="1"/>
    <n v="6946690000"/>
  </r>
  <r>
    <d v="2024-09-28T00:00:00"/>
    <x v="0"/>
    <x v="8"/>
    <x v="38"/>
    <x v="27"/>
    <x v="6"/>
    <x v="6"/>
    <x v="0"/>
    <n v="84000000"/>
  </r>
  <r>
    <d v="2024-09-28T00:00:00"/>
    <x v="0"/>
    <x v="8"/>
    <x v="38"/>
    <x v="27"/>
    <x v="12"/>
    <x v="11"/>
    <x v="1"/>
    <n v="3170070000"/>
  </r>
  <r>
    <d v="2024-09-28T00:00:00"/>
    <x v="0"/>
    <x v="8"/>
    <x v="38"/>
    <x v="27"/>
    <x v="11"/>
    <x v="10"/>
    <x v="4"/>
    <n v="40671170"/>
  </r>
  <r>
    <d v="2024-09-28T00:00:00"/>
    <x v="0"/>
    <x v="8"/>
    <x v="38"/>
    <x v="27"/>
    <x v="3"/>
    <x v="3"/>
    <x v="1"/>
    <n v="36750000"/>
  </r>
  <r>
    <d v="2024-09-28T00:00:00"/>
    <x v="0"/>
    <x v="8"/>
    <x v="38"/>
    <x v="27"/>
    <x v="0"/>
    <x v="0"/>
    <x v="0"/>
    <n v="3792000000"/>
  </r>
  <r>
    <d v="2024-09-28T00:00:00"/>
    <x v="0"/>
    <x v="8"/>
    <x v="38"/>
    <x v="27"/>
    <x v="7"/>
    <x v="7"/>
    <x v="4"/>
    <n v="183231020"/>
  </r>
  <r>
    <d v="2024-09-28T00:00:00"/>
    <x v="0"/>
    <x v="8"/>
    <x v="38"/>
    <x v="27"/>
    <x v="4"/>
    <x v="4"/>
    <x v="2"/>
    <n v="17500114127"/>
  </r>
  <r>
    <d v="2024-09-28T00:00:00"/>
    <x v="0"/>
    <x v="8"/>
    <x v="38"/>
    <x v="27"/>
    <x v="9"/>
    <x v="9"/>
    <x v="1"/>
    <n v="6420000"/>
  </r>
  <r>
    <d v="2024-09-29T00:00:00"/>
    <x v="0"/>
    <x v="8"/>
    <x v="38"/>
    <x v="28"/>
    <x v="4"/>
    <x v="4"/>
    <x v="2"/>
    <n v="15765590835"/>
  </r>
  <r>
    <d v="2024-09-29T00:00:00"/>
    <x v="0"/>
    <x v="8"/>
    <x v="38"/>
    <x v="28"/>
    <x v="0"/>
    <x v="0"/>
    <x v="0"/>
    <n v="3416500000"/>
  </r>
  <r>
    <d v="2024-09-29T00:00:00"/>
    <x v="0"/>
    <x v="8"/>
    <x v="38"/>
    <x v="28"/>
    <x v="5"/>
    <x v="5"/>
    <x v="3"/>
    <n v="2793333037"/>
  </r>
  <r>
    <d v="2024-09-29T00:00:00"/>
    <x v="0"/>
    <x v="8"/>
    <x v="38"/>
    <x v="28"/>
    <x v="11"/>
    <x v="10"/>
    <x v="4"/>
    <n v="36275602"/>
  </r>
  <r>
    <d v="2024-09-29T00:00:00"/>
    <x v="0"/>
    <x v="8"/>
    <x v="38"/>
    <x v="28"/>
    <x v="3"/>
    <x v="3"/>
    <x v="1"/>
    <n v="26250000"/>
  </r>
  <r>
    <d v="2024-09-29T00:00:00"/>
    <x v="0"/>
    <x v="8"/>
    <x v="38"/>
    <x v="28"/>
    <x v="9"/>
    <x v="9"/>
    <x v="1"/>
    <n v="0"/>
  </r>
  <r>
    <d v="2024-09-29T00:00:00"/>
    <x v="0"/>
    <x v="8"/>
    <x v="38"/>
    <x v="28"/>
    <x v="10"/>
    <x v="9"/>
    <x v="1"/>
    <n v="48150000"/>
  </r>
  <r>
    <d v="2024-09-29T00:00:00"/>
    <x v="0"/>
    <x v="8"/>
    <x v="38"/>
    <x v="28"/>
    <x v="6"/>
    <x v="6"/>
    <x v="0"/>
    <n v="71000000"/>
  </r>
  <r>
    <d v="2024-09-29T00:00:00"/>
    <x v="0"/>
    <x v="8"/>
    <x v="38"/>
    <x v="28"/>
    <x v="1"/>
    <x v="1"/>
    <x v="1"/>
    <n v="10500000"/>
  </r>
  <r>
    <d v="2024-09-29T00:00:00"/>
    <x v="0"/>
    <x v="8"/>
    <x v="38"/>
    <x v="28"/>
    <x v="8"/>
    <x v="8"/>
    <x v="1"/>
    <n v="0"/>
  </r>
  <r>
    <d v="2024-09-29T00:00:00"/>
    <x v="0"/>
    <x v="8"/>
    <x v="38"/>
    <x v="28"/>
    <x v="7"/>
    <x v="7"/>
    <x v="4"/>
    <n v="175022196"/>
  </r>
  <r>
    <d v="2024-09-29T00:00:00"/>
    <x v="0"/>
    <x v="8"/>
    <x v="38"/>
    <x v="28"/>
    <x v="12"/>
    <x v="11"/>
    <x v="1"/>
    <n v="2688240000"/>
  </r>
  <r>
    <d v="2024-09-29T00:00:00"/>
    <x v="0"/>
    <x v="8"/>
    <x v="38"/>
    <x v="28"/>
    <x v="2"/>
    <x v="2"/>
    <x v="1"/>
    <n v="6500320000"/>
  </r>
  <r>
    <d v="2024-09-30T00:00:00"/>
    <x v="0"/>
    <x v="8"/>
    <x v="39"/>
    <x v="29"/>
    <x v="3"/>
    <x v="3"/>
    <x v="1"/>
    <n v="75600000"/>
  </r>
  <r>
    <d v="2024-09-30T00:00:00"/>
    <x v="0"/>
    <x v="8"/>
    <x v="39"/>
    <x v="29"/>
    <x v="7"/>
    <x v="7"/>
    <x v="4"/>
    <n v="194349994"/>
  </r>
  <r>
    <d v="2024-09-30T00:00:00"/>
    <x v="0"/>
    <x v="8"/>
    <x v="39"/>
    <x v="29"/>
    <x v="11"/>
    <x v="10"/>
    <x v="4"/>
    <n v="32312203"/>
  </r>
  <r>
    <d v="2024-09-30T00:00:00"/>
    <x v="0"/>
    <x v="8"/>
    <x v="39"/>
    <x v="29"/>
    <x v="2"/>
    <x v="2"/>
    <x v="1"/>
    <n v="9113780000"/>
  </r>
  <r>
    <d v="2024-09-30T00:00:00"/>
    <x v="0"/>
    <x v="8"/>
    <x v="39"/>
    <x v="29"/>
    <x v="0"/>
    <x v="0"/>
    <x v="0"/>
    <n v="4239000000"/>
  </r>
  <r>
    <d v="2024-09-30T00:00:00"/>
    <x v="0"/>
    <x v="8"/>
    <x v="39"/>
    <x v="29"/>
    <x v="10"/>
    <x v="9"/>
    <x v="1"/>
    <n v="27820000"/>
  </r>
  <r>
    <d v="2024-09-30T00:00:00"/>
    <x v="0"/>
    <x v="8"/>
    <x v="39"/>
    <x v="29"/>
    <x v="6"/>
    <x v="6"/>
    <x v="0"/>
    <n v="54000000"/>
  </r>
  <r>
    <d v="2024-09-30T00:00:00"/>
    <x v="0"/>
    <x v="8"/>
    <x v="39"/>
    <x v="29"/>
    <x v="5"/>
    <x v="5"/>
    <x v="3"/>
    <n v="4118375050"/>
  </r>
  <r>
    <d v="2024-09-30T00:00:00"/>
    <x v="0"/>
    <x v="8"/>
    <x v="39"/>
    <x v="29"/>
    <x v="8"/>
    <x v="8"/>
    <x v="1"/>
    <n v="0"/>
  </r>
  <r>
    <d v="2024-09-30T00:00:00"/>
    <x v="0"/>
    <x v="8"/>
    <x v="39"/>
    <x v="29"/>
    <x v="1"/>
    <x v="1"/>
    <x v="1"/>
    <n v="107100000"/>
  </r>
  <r>
    <d v="2024-09-30T00:00:00"/>
    <x v="0"/>
    <x v="8"/>
    <x v="39"/>
    <x v="29"/>
    <x v="9"/>
    <x v="9"/>
    <x v="1"/>
    <n v="0"/>
  </r>
  <r>
    <d v="2024-09-30T00:00:00"/>
    <x v="0"/>
    <x v="8"/>
    <x v="39"/>
    <x v="29"/>
    <x v="12"/>
    <x v="11"/>
    <x v="1"/>
    <n v="4161760000"/>
  </r>
  <r>
    <d v="2024-10-01T00:00:00"/>
    <x v="0"/>
    <x v="9"/>
    <x v="39"/>
    <x v="0"/>
    <x v="6"/>
    <x v="6"/>
    <x v="0"/>
    <n v="79000000"/>
  </r>
  <r>
    <d v="2024-10-01T00:00:00"/>
    <x v="0"/>
    <x v="9"/>
    <x v="39"/>
    <x v="0"/>
    <x v="3"/>
    <x v="3"/>
    <x v="1"/>
    <n v="92700000"/>
  </r>
  <r>
    <d v="2024-10-01T00:00:00"/>
    <x v="0"/>
    <x v="9"/>
    <x v="39"/>
    <x v="0"/>
    <x v="8"/>
    <x v="8"/>
    <x v="1"/>
    <n v="0"/>
  </r>
  <r>
    <d v="2024-10-01T00:00:00"/>
    <x v="0"/>
    <x v="9"/>
    <x v="39"/>
    <x v="0"/>
    <x v="5"/>
    <x v="5"/>
    <x v="3"/>
    <n v="5657744784"/>
  </r>
  <r>
    <d v="2024-10-01T00:00:00"/>
    <x v="0"/>
    <x v="9"/>
    <x v="39"/>
    <x v="0"/>
    <x v="12"/>
    <x v="11"/>
    <x v="1"/>
    <n v="4068960000"/>
  </r>
  <r>
    <d v="2024-10-01T00:00:00"/>
    <x v="0"/>
    <x v="9"/>
    <x v="39"/>
    <x v="0"/>
    <x v="10"/>
    <x v="9"/>
    <x v="1"/>
    <n v="29540000"/>
  </r>
  <r>
    <d v="2024-10-01T00:00:00"/>
    <x v="0"/>
    <x v="9"/>
    <x v="39"/>
    <x v="0"/>
    <x v="2"/>
    <x v="2"/>
    <x v="1"/>
    <n v="8229370000"/>
  </r>
  <r>
    <d v="2024-10-01T00:00:00"/>
    <x v="0"/>
    <x v="9"/>
    <x v="39"/>
    <x v="0"/>
    <x v="0"/>
    <x v="0"/>
    <x v="0"/>
    <n v="4779500000"/>
  </r>
  <r>
    <d v="2024-10-01T00:00:00"/>
    <x v="0"/>
    <x v="9"/>
    <x v="39"/>
    <x v="0"/>
    <x v="7"/>
    <x v="7"/>
    <x v="4"/>
    <n v="246816337"/>
  </r>
  <r>
    <d v="2024-10-01T00:00:00"/>
    <x v="0"/>
    <x v="9"/>
    <x v="39"/>
    <x v="0"/>
    <x v="11"/>
    <x v="10"/>
    <x v="4"/>
    <n v="41070702"/>
  </r>
  <r>
    <d v="2024-10-01T00:00:00"/>
    <x v="0"/>
    <x v="9"/>
    <x v="39"/>
    <x v="0"/>
    <x v="9"/>
    <x v="9"/>
    <x v="1"/>
    <n v="0"/>
  </r>
  <r>
    <d v="2024-10-01T00:00:00"/>
    <x v="0"/>
    <x v="9"/>
    <x v="39"/>
    <x v="0"/>
    <x v="1"/>
    <x v="1"/>
    <x v="1"/>
    <n v="31500000"/>
  </r>
  <r>
    <d v="2024-10-02T00:00:00"/>
    <x v="0"/>
    <x v="9"/>
    <x v="39"/>
    <x v="1"/>
    <x v="13"/>
    <x v="12"/>
    <x v="4"/>
    <n v="30000"/>
  </r>
  <r>
    <d v="2024-10-02T00:00:00"/>
    <x v="0"/>
    <x v="9"/>
    <x v="39"/>
    <x v="1"/>
    <x v="8"/>
    <x v="8"/>
    <x v="1"/>
    <n v="0"/>
  </r>
  <r>
    <d v="2024-10-02T00:00:00"/>
    <x v="0"/>
    <x v="9"/>
    <x v="39"/>
    <x v="1"/>
    <x v="11"/>
    <x v="10"/>
    <x v="4"/>
    <n v="39459713"/>
  </r>
  <r>
    <d v="2024-10-02T00:00:00"/>
    <x v="0"/>
    <x v="9"/>
    <x v="39"/>
    <x v="1"/>
    <x v="6"/>
    <x v="6"/>
    <x v="0"/>
    <n v="75000000"/>
  </r>
  <r>
    <d v="2024-10-02T00:00:00"/>
    <x v="0"/>
    <x v="9"/>
    <x v="39"/>
    <x v="1"/>
    <x v="1"/>
    <x v="1"/>
    <x v="1"/>
    <n v="80850000"/>
  </r>
  <r>
    <d v="2024-10-02T00:00:00"/>
    <x v="0"/>
    <x v="9"/>
    <x v="39"/>
    <x v="1"/>
    <x v="9"/>
    <x v="9"/>
    <x v="1"/>
    <n v="0"/>
  </r>
  <r>
    <d v="2024-10-02T00:00:00"/>
    <x v="0"/>
    <x v="9"/>
    <x v="39"/>
    <x v="1"/>
    <x v="2"/>
    <x v="2"/>
    <x v="1"/>
    <n v="8669410000"/>
  </r>
  <r>
    <d v="2024-10-02T00:00:00"/>
    <x v="0"/>
    <x v="9"/>
    <x v="39"/>
    <x v="1"/>
    <x v="0"/>
    <x v="0"/>
    <x v="0"/>
    <n v="4493000000"/>
  </r>
  <r>
    <d v="2024-10-02T00:00:00"/>
    <x v="0"/>
    <x v="9"/>
    <x v="39"/>
    <x v="1"/>
    <x v="7"/>
    <x v="7"/>
    <x v="4"/>
    <n v="239162861"/>
  </r>
  <r>
    <d v="2024-10-02T00:00:00"/>
    <x v="0"/>
    <x v="9"/>
    <x v="39"/>
    <x v="1"/>
    <x v="3"/>
    <x v="3"/>
    <x v="1"/>
    <n v="259450000"/>
  </r>
  <r>
    <d v="2024-10-02T00:00:00"/>
    <x v="0"/>
    <x v="9"/>
    <x v="39"/>
    <x v="1"/>
    <x v="12"/>
    <x v="11"/>
    <x v="1"/>
    <n v="3411330000"/>
  </r>
  <r>
    <d v="2024-10-02T00:00:00"/>
    <x v="0"/>
    <x v="9"/>
    <x v="39"/>
    <x v="1"/>
    <x v="10"/>
    <x v="9"/>
    <x v="1"/>
    <n v="22470000"/>
  </r>
  <r>
    <d v="2024-10-02T00:00:00"/>
    <x v="0"/>
    <x v="9"/>
    <x v="39"/>
    <x v="1"/>
    <x v="5"/>
    <x v="5"/>
    <x v="3"/>
    <n v="4844123637"/>
  </r>
  <r>
    <d v="2024-10-03T00:00:00"/>
    <x v="0"/>
    <x v="9"/>
    <x v="39"/>
    <x v="2"/>
    <x v="3"/>
    <x v="3"/>
    <x v="1"/>
    <n v="84000000"/>
  </r>
  <r>
    <d v="2024-10-03T00:00:00"/>
    <x v="0"/>
    <x v="9"/>
    <x v="39"/>
    <x v="2"/>
    <x v="13"/>
    <x v="12"/>
    <x v="4"/>
    <n v="34000"/>
  </r>
  <r>
    <d v="2024-10-03T00:00:00"/>
    <x v="0"/>
    <x v="9"/>
    <x v="39"/>
    <x v="2"/>
    <x v="12"/>
    <x v="11"/>
    <x v="1"/>
    <n v="4126750000"/>
  </r>
  <r>
    <d v="2024-10-03T00:00:00"/>
    <x v="0"/>
    <x v="9"/>
    <x v="39"/>
    <x v="2"/>
    <x v="6"/>
    <x v="6"/>
    <x v="0"/>
    <n v="44000000"/>
  </r>
  <r>
    <d v="2024-10-03T00:00:00"/>
    <x v="0"/>
    <x v="9"/>
    <x v="39"/>
    <x v="2"/>
    <x v="5"/>
    <x v="5"/>
    <x v="3"/>
    <n v="3744730369"/>
  </r>
  <r>
    <d v="2024-10-03T00:00:00"/>
    <x v="0"/>
    <x v="9"/>
    <x v="39"/>
    <x v="2"/>
    <x v="11"/>
    <x v="10"/>
    <x v="4"/>
    <n v="49592899"/>
  </r>
  <r>
    <d v="2024-10-03T00:00:00"/>
    <x v="0"/>
    <x v="9"/>
    <x v="39"/>
    <x v="2"/>
    <x v="8"/>
    <x v="8"/>
    <x v="1"/>
    <n v="0"/>
  </r>
  <r>
    <d v="2024-10-03T00:00:00"/>
    <x v="0"/>
    <x v="9"/>
    <x v="39"/>
    <x v="2"/>
    <x v="2"/>
    <x v="2"/>
    <x v="1"/>
    <n v="7496820000"/>
  </r>
  <r>
    <d v="2024-10-03T00:00:00"/>
    <x v="0"/>
    <x v="9"/>
    <x v="39"/>
    <x v="2"/>
    <x v="10"/>
    <x v="9"/>
    <x v="1"/>
    <n v="0"/>
  </r>
  <r>
    <d v="2024-10-03T00:00:00"/>
    <x v="0"/>
    <x v="9"/>
    <x v="39"/>
    <x v="2"/>
    <x v="9"/>
    <x v="9"/>
    <x v="1"/>
    <n v="6420000"/>
  </r>
  <r>
    <d v="2024-10-03T00:00:00"/>
    <x v="0"/>
    <x v="9"/>
    <x v="39"/>
    <x v="2"/>
    <x v="1"/>
    <x v="1"/>
    <x v="1"/>
    <n v="115500000"/>
  </r>
  <r>
    <d v="2024-10-03T00:00:00"/>
    <x v="0"/>
    <x v="9"/>
    <x v="39"/>
    <x v="2"/>
    <x v="7"/>
    <x v="7"/>
    <x v="4"/>
    <n v="284719543"/>
  </r>
  <r>
    <d v="2024-10-03T00:00:00"/>
    <x v="0"/>
    <x v="9"/>
    <x v="39"/>
    <x v="2"/>
    <x v="0"/>
    <x v="0"/>
    <x v="0"/>
    <n v="3936000000"/>
  </r>
  <r>
    <d v="2024-10-04T00:00:00"/>
    <x v="0"/>
    <x v="9"/>
    <x v="39"/>
    <x v="3"/>
    <x v="13"/>
    <x v="12"/>
    <x v="4"/>
    <n v="38000"/>
  </r>
  <r>
    <d v="2024-10-04T00:00:00"/>
    <x v="0"/>
    <x v="9"/>
    <x v="39"/>
    <x v="3"/>
    <x v="6"/>
    <x v="6"/>
    <x v="0"/>
    <n v="35000000"/>
  </r>
  <r>
    <d v="2024-10-04T00:00:00"/>
    <x v="0"/>
    <x v="9"/>
    <x v="39"/>
    <x v="3"/>
    <x v="12"/>
    <x v="11"/>
    <x v="1"/>
    <n v="4345110000"/>
  </r>
  <r>
    <d v="2024-10-04T00:00:00"/>
    <x v="0"/>
    <x v="9"/>
    <x v="39"/>
    <x v="3"/>
    <x v="0"/>
    <x v="0"/>
    <x v="0"/>
    <n v="4289500000"/>
  </r>
  <r>
    <d v="2024-10-04T00:00:00"/>
    <x v="0"/>
    <x v="9"/>
    <x v="39"/>
    <x v="3"/>
    <x v="10"/>
    <x v="9"/>
    <x v="1"/>
    <n v="10700000"/>
  </r>
  <r>
    <d v="2024-10-04T00:00:00"/>
    <x v="0"/>
    <x v="9"/>
    <x v="39"/>
    <x v="3"/>
    <x v="8"/>
    <x v="8"/>
    <x v="1"/>
    <n v="0"/>
  </r>
  <r>
    <d v="2024-10-04T00:00:00"/>
    <x v="0"/>
    <x v="9"/>
    <x v="39"/>
    <x v="3"/>
    <x v="5"/>
    <x v="5"/>
    <x v="3"/>
    <n v="3996046624"/>
  </r>
  <r>
    <d v="2024-10-04T00:00:00"/>
    <x v="0"/>
    <x v="9"/>
    <x v="39"/>
    <x v="3"/>
    <x v="9"/>
    <x v="9"/>
    <x v="1"/>
    <n v="27820000"/>
  </r>
  <r>
    <d v="2024-10-04T00:00:00"/>
    <x v="0"/>
    <x v="9"/>
    <x v="39"/>
    <x v="3"/>
    <x v="1"/>
    <x v="1"/>
    <x v="1"/>
    <n v="51500000"/>
  </r>
  <r>
    <d v="2024-10-04T00:00:00"/>
    <x v="0"/>
    <x v="9"/>
    <x v="39"/>
    <x v="3"/>
    <x v="11"/>
    <x v="10"/>
    <x v="4"/>
    <n v="57825964"/>
  </r>
  <r>
    <d v="2024-10-04T00:00:00"/>
    <x v="0"/>
    <x v="9"/>
    <x v="39"/>
    <x v="3"/>
    <x v="7"/>
    <x v="7"/>
    <x v="4"/>
    <n v="304830544"/>
  </r>
  <r>
    <d v="2024-10-04T00:00:00"/>
    <x v="0"/>
    <x v="9"/>
    <x v="39"/>
    <x v="3"/>
    <x v="3"/>
    <x v="3"/>
    <x v="1"/>
    <n v="42000000"/>
  </r>
  <r>
    <d v="2024-10-04T00:00:00"/>
    <x v="0"/>
    <x v="9"/>
    <x v="39"/>
    <x v="3"/>
    <x v="2"/>
    <x v="2"/>
    <x v="1"/>
    <n v="7375490000"/>
  </r>
  <r>
    <d v="2024-10-05T00:00:00"/>
    <x v="0"/>
    <x v="9"/>
    <x v="39"/>
    <x v="4"/>
    <x v="1"/>
    <x v="1"/>
    <x v="1"/>
    <n v="10500000"/>
  </r>
  <r>
    <d v="2024-10-05T00:00:00"/>
    <x v="0"/>
    <x v="9"/>
    <x v="39"/>
    <x v="4"/>
    <x v="0"/>
    <x v="0"/>
    <x v="0"/>
    <n v="4362500000"/>
  </r>
  <r>
    <d v="2024-10-05T00:00:00"/>
    <x v="0"/>
    <x v="9"/>
    <x v="39"/>
    <x v="4"/>
    <x v="9"/>
    <x v="9"/>
    <x v="1"/>
    <n v="18190000"/>
  </r>
  <r>
    <d v="2024-10-05T00:00:00"/>
    <x v="0"/>
    <x v="9"/>
    <x v="39"/>
    <x v="4"/>
    <x v="5"/>
    <x v="5"/>
    <x v="3"/>
    <n v="3555549597"/>
  </r>
  <r>
    <d v="2024-10-05T00:00:00"/>
    <x v="0"/>
    <x v="9"/>
    <x v="39"/>
    <x v="4"/>
    <x v="8"/>
    <x v="8"/>
    <x v="1"/>
    <n v="0"/>
  </r>
  <r>
    <d v="2024-10-05T00:00:00"/>
    <x v="0"/>
    <x v="9"/>
    <x v="39"/>
    <x v="4"/>
    <x v="6"/>
    <x v="6"/>
    <x v="0"/>
    <n v="57000000"/>
  </r>
  <r>
    <d v="2024-10-05T00:00:00"/>
    <x v="0"/>
    <x v="9"/>
    <x v="39"/>
    <x v="4"/>
    <x v="13"/>
    <x v="12"/>
    <x v="4"/>
    <n v="0"/>
  </r>
  <r>
    <d v="2024-10-05T00:00:00"/>
    <x v="0"/>
    <x v="9"/>
    <x v="39"/>
    <x v="4"/>
    <x v="2"/>
    <x v="2"/>
    <x v="1"/>
    <n v="7153210000"/>
  </r>
  <r>
    <d v="2024-10-05T00:00:00"/>
    <x v="0"/>
    <x v="9"/>
    <x v="39"/>
    <x v="4"/>
    <x v="7"/>
    <x v="7"/>
    <x v="4"/>
    <n v="478550379"/>
  </r>
  <r>
    <d v="2024-10-05T00:00:00"/>
    <x v="0"/>
    <x v="9"/>
    <x v="39"/>
    <x v="4"/>
    <x v="11"/>
    <x v="10"/>
    <x v="4"/>
    <n v="80061142"/>
  </r>
  <r>
    <d v="2024-10-05T00:00:00"/>
    <x v="0"/>
    <x v="9"/>
    <x v="39"/>
    <x v="4"/>
    <x v="3"/>
    <x v="3"/>
    <x v="1"/>
    <n v="42000000"/>
  </r>
  <r>
    <d v="2024-10-05T00:00:00"/>
    <x v="0"/>
    <x v="9"/>
    <x v="39"/>
    <x v="4"/>
    <x v="12"/>
    <x v="11"/>
    <x v="1"/>
    <n v="4153870000"/>
  </r>
  <r>
    <d v="2024-10-05T00:00:00"/>
    <x v="0"/>
    <x v="9"/>
    <x v="39"/>
    <x v="4"/>
    <x v="10"/>
    <x v="9"/>
    <x v="1"/>
    <n v="22700000"/>
  </r>
  <r>
    <d v="2024-10-06T00:00:00"/>
    <x v="0"/>
    <x v="9"/>
    <x v="39"/>
    <x v="5"/>
    <x v="13"/>
    <x v="12"/>
    <x v="4"/>
    <n v="0"/>
  </r>
  <r>
    <d v="2024-10-06T00:00:00"/>
    <x v="0"/>
    <x v="9"/>
    <x v="39"/>
    <x v="5"/>
    <x v="6"/>
    <x v="6"/>
    <x v="0"/>
    <n v="47000000"/>
  </r>
  <r>
    <d v="2024-10-06T00:00:00"/>
    <x v="0"/>
    <x v="9"/>
    <x v="39"/>
    <x v="5"/>
    <x v="0"/>
    <x v="0"/>
    <x v="0"/>
    <n v="3526000000"/>
  </r>
  <r>
    <d v="2024-10-06T00:00:00"/>
    <x v="0"/>
    <x v="9"/>
    <x v="39"/>
    <x v="5"/>
    <x v="8"/>
    <x v="8"/>
    <x v="1"/>
    <n v="0"/>
  </r>
  <r>
    <d v="2024-10-06T00:00:00"/>
    <x v="0"/>
    <x v="9"/>
    <x v="39"/>
    <x v="5"/>
    <x v="3"/>
    <x v="3"/>
    <x v="1"/>
    <n v="0"/>
  </r>
  <r>
    <d v="2024-10-06T00:00:00"/>
    <x v="0"/>
    <x v="9"/>
    <x v="39"/>
    <x v="5"/>
    <x v="11"/>
    <x v="10"/>
    <x v="4"/>
    <n v="79074752"/>
  </r>
  <r>
    <d v="2024-10-06T00:00:00"/>
    <x v="0"/>
    <x v="9"/>
    <x v="39"/>
    <x v="5"/>
    <x v="1"/>
    <x v="1"/>
    <x v="1"/>
    <n v="21000000"/>
  </r>
  <r>
    <d v="2024-10-06T00:00:00"/>
    <x v="0"/>
    <x v="9"/>
    <x v="39"/>
    <x v="5"/>
    <x v="9"/>
    <x v="9"/>
    <x v="1"/>
    <n v="0"/>
  </r>
  <r>
    <d v="2024-10-06T00:00:00"/>
    <x v="0"/>
    <x v="9"/>
    <x v="39"/>
    <x v="5"/>
    <x v="10"/>
    <x v="9"/>
    <x v="1"/>
    <n v="42800000"/>
  </r>
  <r>
    <d v="2024-10-06T00:00:00"/>
    <x v="0"/>
    <x v="9"/>
    <x v="39"/>
    <x v="5"/>
    <x v="5"/>
    <x v="5"/>
    <x v="3"/>
    <n v="3075836334"/>
  </r>
  <r>
    <d v="2024-10-06T00:00:00"/>
    <x v="0"/>
    <x v="9"/>
    <x v="39"/>
    <x v="5"/>
    <x v="2"/>
    <x v="2"/>
    <x v="1"/>
    <n v="6586630000"/>
  </r>
  <r>
    <d v="2024-10-06T00:00:00"/>
    <x v="0"/>
    <x v="9"/>
    <x v="39"/>
    <x v="5"/>
    <x v="7"/>
    <x v="7"/>
    <x v="4"/>
    <n v="336267812"/>
  </r>
  <r>
    <d v="2024-10-06T00:00:00"/>
    <x v="0"/>
    <x v="9"/>
    <x v="39"/>
    <x v="5"/>
    <x v="12"/>
    <x v="11"/>
    <x v="1"/>
    <n v="2970270000"/>
  </r>
  <r>
    <d v="2024-10-07T00:00:00"/>
    <x v="0"/>
    <x v="9"/>
    <x v="40"/>
    <x v="6"/>
    <x v="4"/>
    <x v="4"/>
    <x v="2"/>
    <n v="22393830824"/>
  </r>
  <r>
    <d v="2024-10-07T00:00:00"/>
    <x v="0"/>
    <x v="9"/>
    <x v="40"/>
    <x v="6"/>
    <x v="0"/>
    <x v="0"/>
    <x v="0"/>
    <n v="4908500000"/>
  </r>
  <r>
    <d v="2024-10-07T00:00:00"/>
    <x v="0"/>
    <x v="9"/>
    <x v="40"/>
    <x v="6"/>
    <x v="2"/>
    <x v="2"/>
    <x v="1"/>
    <n v="9096980000"/>
  </r>
  <r>
    <d v="2024-10-07T00:00:00"/>
    <x v="0"/>
    <x v="9"/>
    <x v="40"/>
    <x v="6"/>
    <x v="12"/>
    <x v="11"/>
    <x v="1"/>
    <n v="3818290000"/>
  </r>
  <r>
    <d v="2024-10-07T00:00:00"/>
    <x v="0"/>
    <x v="9"/>
    <x v="40"/>
    <x v="6"/>
    <x v="13"/>
    <x v="12"/>
    <x v="4"/>
    <n v="100000"/>
  </r>
  <r>
    <d v="2024-10-07T00:00:00"/>
    <x v="0"/>
    <x v="9"/>
    <x v="40"/>
    <x v="6"/>
    <x v="6"/>
    <x v="6"/>
    <x v="0"/>
    <n v="33000000"/>
  </r>
  <r>
    <d v="2024-10-07T00:00:00"/>
    <x v="0"/>
    <x v="9"/>
    <x v="40"/>
    <x v="6"/>
    <x v="9"/>
    <x v="9"/>
    <x v="1"/>
    <n v="0"/>
  </r>
  <r>
    <d v="2024-10-07T00:00:00"/>
    <x v="0"/>
    <x v="9"/>
    <x v="40"/>
    <x v="6"/>
    <x v="10"/>
    <x v="9"/>
    <x v="1"/>
    <n v="27820000"/>
  </r>
  <r>
    <d v="2024-10-07T00:00:00"/>
    <x v="0"/>
    <x v="9"/>
    <x v="40"/>
    <x v="6"/>
    <x v="11"/>
    <x v="10"/>
    <x v="4"/>
    <n v="69379751"/>
  </r>
  <r>
    <d v="2024-10-07T00:00:00"/>
    <x v="0"/>
    <x v="9"/>
    <x v="40"/>
    <x v="6"/>
    <x v="5"/>
    <x v="5"/>
    <x v="3"/>
    <n v="3837175385"/>
  </r>
  <r>
    <d v="2024-10-07T00:00:00"/>
    <x v="0"/>
    <x v="9"/>
    <x v="40"/>
    <x v="6"/>
    <x v="8"/>
    <x v="8"/>
    <x v="1"/>
    <n v="0"/>
  </r>
  <r>
    <d v="2024-10-07T00:00:00"/>
    <x v="0"/>
    <x v="9"/>
    <x v="40"/>
    <x v="6"/>
    <x v="3"/>
    <x v="3"/>
    <x v="1"/>
    <n v="132600000"/>
  </r>
  <r>
    <d v="2024-10-07T00:00:00"/>
    <x v="0"/>
    <x v="9"/>
    <x v="40"/>
    <x v="6"/>
    <x v="1"/>
    <x v="1"/>
    <x v="1"/>
    <n v="73500000"/>
  </r>
  <r>
    <d v="2024-10-07T00:00:00"/>
    <x v="0"/>
    <x v="9"/>
    <x v="40"/>
    <x v="6"/>
    <x v="7"/>
    <x v="7"/>
    <x v="4"/>
    <n v="396485688"/>
  </r>
  <r>
    <d v="2024-10-08T00:00:00"/>
    <x v="0"/>
    <x v="9"/>
    <x v="40"/>
    <x v="7"/>
    <x v="1"/>
    <x v="1"/>
    <x v="1"/>
    <n v="10500000"/>
  </r>
  <r>
    <d v="2024-10-08T00:00:00"/>
    <x v="0"/>
    <x v="9"/>
    <x v="40"/>
    <x v="7"/>
    <x v="6"/>
    <x v="6"/>
    <x v="0"/>
    <n v="62000000"/>
  </r>
  <r>
    <d v="2024-10-08T00:00:00"/>
    <x v="0"/>
    <x v="9"/>
    <x v="40"/>
    <x v="7"/>
    <x v="13"/>
    <x v="12"/>
    <x v="4"/>
    <n v="33050"/>
  </r>
  <r>
    <d v="2024-10-08T00:00:00"/>
    <x v="0"/>
    <x v="9"/>
    <x v="40"/>
    <x v="7"/>
    <x v="9"/>
    <x v="9"/>
    <x v="1"/>
    <n v="65270000"/>
  </r>
  <r>
    <d v="2024-10-08T00:00:00"/>
    <x v="0"/>
    <x v="9"/>
    <x v="40"/>
    <x v="7"/>
    <x v="8"/>
    <x v="8"/>
    <x v="1"/>
    <n v="0"/>
  </r>
  <r>
    <d v="2024-10-08T00:00:00"/>
    <x v="0"/>
    <x v="9"/>
    <x v="40"/>
    <x v="7"/>
    <x v="4"/>
    <x v="4"/>
    <x v="2"/>
    <n v="20436775269"/>
  </r>
  <r>
    <d v="2024-10-08T00:00:00"/>
    <x v="0"/>
    <x v="9"/>
    <x v="40"/>
    <x v="7"/>
    <x v="7"/>
    <x v="7"/>
    <x v="4"/>
    <n v="330089066"/>
  </r>
  <r>
    <d v="2024-10-08T00:00:00"/>
    <x v="0"/>
    <x v="9"/>
    <x v="40"/>
    <x v="7"/>
    <x v="2"/>
    <x v="2"/>
    <x v="1"/>
    <n v="8537240000"/>
  </r>
  <r>
    <d v="2024-10-08T00:00:00"/>
    <x v="0"/>
    <x v="9"/>
    <x v="40"/>
    <x v="7"/>
    <x v="11"/>
    <x v="10"/>
    <x v="4"/>
    <n v="62799503"/>
  </r>
  <r>
    <d v="2024-10-08T00:00:00"/>
    <x v="0"/>
    <x v="9"/>
    <x v="40"/>
    <x v="7"/>
    <x v="10"/>
    <x v="9"/>
    <x v="1"/>
    <n v="69920000"/>
  </r>
  <r>
    <d v="2024-10-08T00:00:00"/>
    <x v="0"/>
    <x v="9"/>
    <x v="40"/>
    <x v="7"/>
    <x v="12"/>
    <x v="11"/>
    <x v="1"/>
    <n v="3475010000"/>
  </r>
  <r>
    <d v="2024-10-08T00:00:00"/>
    <x v="0"/>
    <x v="9"/>
    <x v="40"/>
    <x v="7"/>
    <x v="0"/>
    <x v="0"/>
    <x v="0"/>
    <n v="4333000000"/>
  </r>
  <r>
    <d v="2024-10-08T00:00:00"/>
    <x v="0"/>
    <x v="9"/>
    <x v="40"/>
    <x v="7"/>
    <x v="3"/>
    <x v="3"/>
    <x v="1"/>
    <n v="138400000"/>
  </r>
  <r>
    <d v="2024-10-08T00:00:00"/>
    <x v="0"/>
    <x v="9"/>
    <x v="40"/>
    <x v="7"/>
    <x v="5"/>
    <x v="5"/>
    <x v="3"/>
    <n v="3352513650"/>
  </r>
  <r>
    <d v="2024-10-09T00:00:00"/>
    <x v="0"/>
    <x v="9"/>
    <x v="40"/>
    <x v="8"/>
    <x v="5"/>
    <x v="5"/>
    <x v="3"/>
    <n v="3261476163"/>
  </r>
  <r>
    <d v="2024-10-09T00:00:00"/>
    <x v="0"/>
    <x v="9"/>
    <x v="40"/>
    <x v="8"/>
    <x v="3"/>
    <x v="3"/>
    <x v="1"/>
    <n v="76500000"/>
  </r>
  <r>
    <d v="2024-10-09T00:00:00"/>
    <x v="0"/>
    <x v="9"/>
    <x v="40"/>
    <x v="8"/>
    <x v="4"/>
    <x v="4"/>
    <x v="2"/>
    <n v="20342777528"/>
  </r>
  <r>
    <d v="2024-10-09T00:00:00"/>
    <x v="0"/>
    <x v="9"/>
    <x v="40"/>
    <x v="8"/>
    <x v="6"/>
    <x v="6"/>
    <x v="0"/>
    <n v="0"/>
  </r>
  <r>
    <d v="2024-10-09T00:00:00"/>
    <x v="0"/>
    <x v="9"/>
    <x v="40"/>
    <x v="8"/>
    <x v="7"/>
    <x v="7"/>
    <x v="4"/>
    <n v="280910839"/>
  </r>
  <r>
    <d v="2024-10-09T00:00:00"/>
    <x v="0"/>
    <x v="9"/>
    <x v="40"/>
    <x v="8"/>
    <x v="1"/>
    <x v="1"/>
    <x v="1"/>
    <n v="64050000"/>
  </r>
  <r>
    <d v="2024-10-09T00:00:00"/>
    <x v="0"/>
    <x v="9"/>
    <x v="40"/>
    <x v="8"/>
    <x v="13"/>
    <x v="12"/>
    <x v="4"/>
    <n v="0"/>
  </r>
  <r>
    <d v="2024-10-09T00:00:00"/>
    <x v="0"/>
    <x v="9"/>
    <x v="40"/>
    <x v="8"/>
    <x v="11"/>
    <x v="10"/>
    <x v="4"/>
    <n v="53350526"/>
  </r>
  <r>
    <d v="2024-10-09T00:00:00"/>
    <x v="0"/>
    <x v="9"/>
    <x v="40"/>
    <x v="8"/>
    <x v="9"/>
    <x v="9"/>
    <x v="1"/>
    <n v="31400000"/>
  </r>
  <r>
    <d v="2024-10-09T00:00:00"/>
    <x v="0"/>
    <x v="9"/>
    <x v="40"/>
    <x v="8"/>
    <x v="8"/>
    <x v="8"/>
    <x v="1"/>
    <n v="0"/>
  </r>
  <r>
    <d v="2024-10-09T00:00:00"/>
    <x v="0"/>
    <x v="9"/>
    <x v="40"/>
    <x v="8"/>
    <x v="10"/>
    <x v="9"/>
    <x v="1"/>
    <n v="65270000"/>
  </r>
  <r>
    <d v="2024-10-09T00:00:00"/>
    <x v="0"/>
    <x v="9"/>
    <x v="40"/>
    <x v="8"/>
    <x v="2"/>
    <x v="2"/>
    <x v="1"/>
    <n v="8084500000"/>
  </r>
  <r>
    <d v="2024-10-09T00:00:00"/>
    <x v="0"/>
    <x v="9"/>
    <x v="40"/>
    <x v="8"/>
    <x v="12"/>
    <x v="11"/>
    <x v="1"/>
    <n v="4214820000"/>
  </r>
  <r>
    <d v="2024-10-09T00:00:00"/>
    <x v="0"/>
    <x v="9"/>
    <x v="40"/>
    <x v="8"/>
    <x v="0"/>
    <x v="0"/>
    <x v="0"/>
    <n v="4210500000"/>
  </r>
  <r>
    <d v="2024-10-10T00:00:00"/>
    <x v="0"/>
    <x v="9"/>
    <x v="40"/>
    <x v="9"/>
    <x v="8"/>
    <x v="8"/>
    <x v="1"/>
    <n v="0"/>
  </r>
  <r>
    <d v="2024-10-10T00:00:00"/>
    <x v="0"/>
    <x v="9"/>
    <x v="40"/>
    <x v="9"/>
    <x v="7"/>
    <x v="7"/>
    <x v="4"/>
    <n v="259237720"/>
  </r>
  <r>
    <d v="2024-10-10T00:00:00"/>
    <x v="0"/>
    <x v="9"/>
    <x v="40"/>
    <x v="9"/>
    <x v="11"/>
    <x v="10"/>
    <x v="4"/>
    <n v="53455178"/>
  </r>
  <r>
    <d v="2024-10-10T00:00:00"/>
    <x v="0"/>
    <x v="9"/>
    <x v="40"/>
    <x v="9"/>
    <x v="5"/>
    <x v="5"/>
    <x v="3"/>
    <n v="3970042557"/>
  </r>
  <r>
    <d v="2024-10-10T00:00:00"/>
    <x v="0"/>
    <x v="9"/>
    <x v="40"/>
    <x v="9"/>
    <x v="2"/>
    <x v="2"/>
    <x v="1"/>
    <n v="8020900000"/>
  </r>
  <r>
    <d v="2024-10-10T00:00:00"/>
    <x v="0"/>
    <x v="9"/>
    <x v="40"/>
    <x v="9"/>
    <x v="0"/>
    <x v="0"/>
    <x v="0"/>
    <n v="5404500000"/>
  </r>
  <r>
    <d v="2024-10-10T00:00:00"/>
    <x v="0"/>
    <x v="9"/>
    <x v="40"/>
    <x v="9"/>
    <x v="1"/>
    <x v="1"/>
    <x v="1"/>
    <n v="114500000"/>
  </r>
  <r>
    <d v="2024-10-10T00:00:00"/>
    <x v="0"/>
    <x v="9"/>
    <x v="40"/>
    <x v="9"/>
    <x v="9"/>
    <x v="9"/>
    <x v="1"/>
    <n v="22470000"/>
  </r>
  <r>
    <d v="2024-10-10T00:00:00"/>
    <x v="0"/>
    <x v="9"/>
    <x v="40"/>
    <x v="9"/>
    <x v="10"/>
    <x v="9"/>
    <x v="1"/>
    <n v="52800000"/>
  </r>
  <r>
    <d v="2024-10-10T00:00:00"/>
    <x v="0"/>
    <x v="9"/>
    <x v="40"/>
    <x v="9"/>
    <x v="13"/>
    <x v="12"/>
    <x v="4"/>
    <n v="5000"/>
  </r>
  <r>
    <d v="2024-10-10T00:00:00"/>
    <x v="0"/>
    <x v="9"/>
    <x v="40"/>
    <x v="9"/>
    <x v="3"/>
    <x v="3"/>
    <x v="1"/>
    <n v="74850000"/>
  </r>
  <r>
    <d v="2024-10-10T00:00:00"/>
    <x v="0"/>
    <x v="9"/>
    <x v="40"/>
    <x v="9"/>
    <x v="14"/>
    <x v="13"/>
    <x v="1"/>
    <n v="8560000"/>
  </r>
  <r>
    <d v="2024-10-10T00:00:00"/>
    <x v="0"/>
    <x v="9"/>
    <x v="40"/>
    <x v="9"/>
    <x v="6"/>
    <x v="6"/>
    <x v="0"/>
    <n v="95000000"/>
  </r>
  <r>
    <d v="2024-10-10T00:00:00"/>
    <x v="0"/>
    <x v="9"/>
    <x v="40"/>
    <x v="9"/>
    <x v="4"/>
    <x v="4"/>
    <x v="2"/>
    <n v="21848320455"/>
  </r>
  <r>
    <d v="2024-10-10T00:00:00"/>
    <x v="0"/>
    <x v="9"/>
    <x v="40"/>
    <x v="9"/>
    <x v="12"/>
    <x v="11"/>
    <x v="1"/>
    <n v="3772000000"/>
  </r>
  <r>
    <d v="2024-10-11T00:00:00"/>
    <x v="0"/>
    <x v="9"/>
    <x v="40"/>
    <x v="10"/>
    <x v="10"/>
    <x v="9"/>
    <x v="1"/>
    <n v="53080000"/>
  </r>
  <r>
    <d v="2024-10-11T00:00:00"/>
    <x v="0"/>
    <x v="9"/>
    <x v="40"/>
    <x v="10"/>
    <x v="2"/>
    <x v="2"/>
    <x v="1"/>
    <n v="7538700000"/>
  </r>
  <r>
    <d v="2024-10-11T00:00:00"/>
    <x v="0"/>
    <x v="9"/>
    <x v="40"/>
    <x v="10"/>
    <x v="5"/>
    <x v="5"/>
    <x v="3"/>
    <n v="3024005346"/>
  </r>
  <r>
    <d v="2024-10-11T00:00:00"/>
    <x v="0"/>
    <x v="9"/>
    <x v="40"/>
    <x v="10"/>
    <x v="0"/>
    <x v="0"/>
    <x v="0"/>
    <n v="4422500000"/>
  </r>
  <r>
    <d v="2024-10-11T00:00:00"/>
    <x v="0"/>
    <x v="9"/>
    <x v="40"/>
    <x v="10"/>
    <x v="11"/>
    <x v="10"/>
    <x v="4"/>
    <n v="44297829"/>
  </r>
  <r>
    <d v="2024-10-11T00:00:00"/>
    <x v="0"/>
    <x v="9"/>
    <x v="40"/>
    <x v="10"/>
    <x v="7"/>
    <x v="7"/>
    <x v="4"/>
    <n v="293416649"/>
  </r>
  <r>
    <d v="2024-10-11T00:00:00"/>
    <x v="0"/>
    <x v="9"/>
    <x v="40"/>
    <x v="10"/>
    <x v="4"/>
    <x v="4"/>
    <x v="2"/>
    <n v="18967808124"/>
  </r>
  <r>
    <d v="2024-10-11T00:00:00"/>
    <x v="0"/>
    <x v="9"/>
    <x v="40"/>
    <x v="10"/>
    <x v="12"/>
    <x v="11"/>
    <x v="1"/>
    <n v="3476200000"/>
  </r>
  <r>
    <d v="2024-10-11T00:00:00"/>
    <x v="0"/>
    <x v="9"/>
    <x v="40"/>
    <x v="10"/>
    <x v="9"/>
    <x v="9"/>
    <x v="1"/>
    <n v="32100000"/>
  </r>
  <r>
    <d v="2024-10-11T00:00:00"/>
    <x v="0"/>
    <x v="9"/>
    <x v="40"/>
    <x v="10"/>
    <x v="13"/>
    <x v="12"/>
    <x v="4"/>
    <n v="8300"/>
  </r>
  <r>
    <d v="2024-10-11T00:00:00"/>
    <x v="0"/>
    <x v="9"/>
    <x v="40"/>
    <x v="10"/>
    <x v="14"/>
    <x v="13"/>
    <x v="1"/>
    <n v="8000000"/>
  </r>
  <r>
    <d v="2024-10-11T00:00:00"/>
    <x v="0"/>
    <x v="9"/>
    <x v="40"/>
    <x v="10"/>
    <x v="6"/>
    <x v="6"/>
    <x v="0"/>
    <n v="50000000"/>
  </r>
  <r>
    <d v="2024-10-11T00:00:00"/>
    <x v="0"/>
    <x v="9"/>
    <x v="40"/>
    <x v="10"/>
    <x v="1"/>
    <x v="1"/>
    <x v="1"/>
    <n v="10500000"/>
  </r>
  <r>
    <d v="2024-10-11T00:00:00"/>
    <x v="0"/>
    <x v="9"/>
    <x v="40"/>
    <x v="10"/>
    <x v="8"/>
    <x v="8"/>
    <x v="1"/>
    <n v="0"/>
  </r>
  <r>
    <d v="2024-10-11T00:00:00"/>
    <x v="0"/>
    <x v="9"/>
    <x v="40"/>
    <x v="10"/>
    <x v="3"/>
    <x v="3"/>
    <x v="1"/>
    <n v="15000000"/>
  </r>
  <r>
    <d v="2024-10-12T00:00:00"/>
    <x v="0"/>
    <x v="9"/>
    <x v="40"/>
    <x v="11"/>
    <x v="3"/>
    <x v="3"/>
    <x v="1"/>
    <n v="0"/>
  </r>
  <r>
    <d v="2024-10-12T00:00:00"/>
    <x v="0"/>
    <x v="9"/>
    <x v="40"/>
    <x v="11"/>
    <x v="4"/>
    <x v="4"/>
    <x v="2"/>
    <n v="18772745715"/>
  </r>
  <r>
    <d v="2024-10-12T00:00:00"/>
    <x v="0"/>
    <x v="9"/>
    <x v="40"/>
    <x v="11"/>
    <x v="12"/>
    <x v="11"/>
    <x v="1"/>
    <n v="3222050000"/>
  </r>
  <r>
    <d v="2024-10-12T00:00:00"/>
    <x v="0"/>
    <x v="9"/>
    <x v="40"/>
    <x v="11"/>
    <x v="5"/>
    <x v="5"/>
    <x v="3"/>
    <n v="3028013912"/>
  </r>
  <r>
    <d v="2024-10-12T00:00:00"/>
    <x v="0"/>
    <x v="9"/>
    <x v="40"/>
    <x v="11"/>
    <x v="6"/>
    <x v="6"/>
    <x v="0"/>
    <n v="48000000"/>
  </r>
  <r>
    <d v="2024-10-12T00:00:00"/>
    <x v="0"/>
    <x v="9"/>
    <x v="40"/>
    <x v="11"/>
    <x v="2"/>
    <x v="2"/>
    <x v="1"/>
    <n v="7824150000"/>
  </r>
  <r>
    <d v="2024-10-12T00:00:00"/>
    <x v="0"/>
    <x v="9"/>
    <x v="40"/>
    <x v="11"/>
    <x v="7"/>
    <x v="7"/>
    <x v="4"/>
    <n v="224510008"/>
  </r>
  <r>
    <d v="2024-10-12T00:00:00"/>
    <x v="0"/>
    <x v="9"/>
    <x v="40"/>
    <x v="11"/>
    <x v="11"/>
    <x v="10"/>
    <x v="4"/>
    <n v="52131795"/>
  </r>
  <r>
    <d v="2024-10-12T00:00:00"/>
    <x v="0"/>
    <x v="9"/>
    <x v="40"/>
    <x v="11"/>
    <x v="8"/>
    <x v="8"/>
    <x v="1"/>
    <n v="0"/>
  </r>
  <r>
    <d v="2024-10-12T00:00:00"/>
    <x v="0"/>
    <x v="9"/>
    <x v="40"/>
    <x v="11"/>
    <x v="14"/>
    <x v="13"/>
    <x v="1"/>
    <n v="10700000"/>
  </r>
  <r>
    <d v="2024-10-12T00:00:00"/>
    <x v="0"/>
    <x v="9"/>
    <x v="40"/>
    <x v="11"/>
    <x v="1"/>
    <x v="1"/>
    <x v="1"/>
    <n v="63000000"/>
  </r>
  <r>
    <d v="2024-10-12T00:00:00"/>
    <x v="0"/>
    <x v="9"/>
    <x v="40"/>
    <x v="11"/>
    <x v="9"/>
    <x v="9"/>
    <x v="1"/>
    <n v="12840000"/>
  </r>
  <r>
    <d v="2024-10-12T00:00:00"/>
    <x v="0"/>
    <x v="9"/>
    <x v="40"/>
    <x v="11"/>
    <x v="10"/>
    <x v="9"/>
    <x v="1"/>
    <n v="148350000"/>
  </r>
  <r>
    <d v="2024-10-12T00:00:00"/>
    <x v="0"/>
    <x v="9"/>
    <x v="40"/>
    <x v="11"/>
    <x v="0"/>
    <x v="0"/>
    <x v="0"/>
    <n v="4139000000"/>
  </r>
  <r>
    <d v="2024-10-12T00:00:00"/>
    <x v="0"/>
    <x v="9"/>
    <x v="40"/>
    <x v="11"/>
    <x v="13"/>
    <x v="12"/>
    <x v="4"/>
    <n v="0"/>
  </r>
  <r>
    <d v="2024-10-13T00:00:00"/>
    <x v="0"/>
    <x v="9"/>
    <x v="40"/>
    <x v="12"/>
    <x v="13"/>
    <x v="12"/>
    <x v="4"/>
    <n v="0"/>
  </r>
  <r>
    <d v="2024-10-13T00:00:00"/>
    <x v="0"/>
    <x v="9"/>
    <x v="40"/>
    <x v="12"/>
    <x v="4"/>
    <x v="4"/>
    <x v="2"/>
    <n v="16871890988"/>
  </r>
  <r>
    <d v="2024-10-13T00:00:00"/>
    <x v="0"/>
    <x v="9"/>
    <x v="40"/>
    <x v="12"/>
    <x v="14"/>
    <x v="13"/>
    <x v="1"/>
    <n v="7490000"/>
  </r>
  <r>
    <d v="2024-10-13T00:00:00"/>
    <x v="0"/>
    <x v="9"/>
    <x v="40"/>
    <x v="12"/>
    <x v="11"/>
    <x v="10"/>
    <x v="4"/>
    <n v="57877659"/>
  </r>
  <r>
    <d v="2024-10-13T00:00:00"/>
    <x v="0"/>
    <x v="9"/>
    <x v="40"/>
    <x v="12"/>
    <x v="6"/>
    <x v="6"/>
    <x v="0"/>
    <n v="58000000"/>
  </r>
  <r>
    <d v="2024-10-13T00:00:00"/>
    <x v="0"/>
    <x v="9"/>
    <x v="40"/>
    <x v="12"/>
    <x v="8"/>
    <x v="8"/>
    <x v="1"/>
    <n v="0"/>
  </r>
  <r>
    <d v="2024-10-13T00:00:00"/>
    <x v="0"/>
    <x v="9"/>
    <x v="40"/>
    <x v="12"/>
    <x v="12"/>
    <x v="11"/>
    <x v="1"/>
    <n v="3242000000"/>
  </r>
  <r>
    <d v="2024-10-13T00:00:00"/>
    <x v="0"/>
    <x v="9"/>
    <x v="40"/>
    <x v="12"/>
    <x v="5"/>
    <x v="5"/>
    <x v="3"/>
    <n v="2516802464"/>
  </r>
  <r>
    <d v="2024-10-13T00:00:00"/>
    <x v="0"/>
    <x v="9"/>
    <x v="40"/>
    <x v="12"/>
    <x v="3"/>
    <x v="3"/>
    <x v="1"/>
    <n v="20000000"/>
  </r>
  <r>
    <d v="2024-10-13T00:00:00"/>
    <x v="0"/>
    <x v="9"/>
    <x v="40"/>
    <x v="12"/>
    <x v="1"/>
    <x v="1"/>
    <x v="1"/>
    <n v="28350000"/>
  </r>
  <r>
    <d v="2024-10-13T00:00:00"/>
    <x v="0"/>
    <x v="9"/>
    <x v="40"/>
    <x v="12"/>
    <x v="7"/>
    <x v="7"/>
    <x v="4"/>
    <n v="231730865"/>
  </r>
  <r>
    <d v="2024-10-13T00:00:00"/>
    <x v="0"/>
    <x v="9"/>
    <x v="40"/>
    <x v="12"/>
    <x v="9"/>
    <x v="9"/>
    <x v="1"/>
    <n v="53500000"/>
  </r>
  <r>
    <d v="2024-10-13T00:00:00"/>
    <x v="0"/>
    <x v="9"/>
    <x v="40"/>
    <x v="12"/>
    <x v="10"/>
    <x v="9"/>
    <x v="1"/>
    <n v="70620000"/>
  </r>
  <r>
    <d v="2024-10-13T00:00:00"/>
    <x v="0"/>
    <x v="9"/>
    <x v="40"/>
    <x v="12"/>
    <x v="2"/>
    <x v="2"/>
    <x v="1"/>
    <n v="6984020000"/>
  </r>
  <r>
    <d v="2024-10-13T00:00:00"/>
    <x v="0"/>
    <x v="9"/>
    <x v="40"/>
    <x v="12"/>
    <x v="0"/>
    <x v="0"/>
    <x v="0"/>
    <n v="3601500000"/>
  </r>
  <r>
    <d v="2024-10-14T00:00:00"/>
    <x v="0"/>
    <x v="9"/>
    <x v="41"/>
    <x v="13"/>
    <x v="12"/>
    <x v="11"/>
    <x v="1"/>
    <n v="3633460000"/>
  </r>
  <r>
    <d v="2024-10-14T00:00:00"/>
    <x v="0"/>
    <x v="9"/>
    <x v="41"/>
    <x v="13"/>
    <x v="0"/>
    <x v="0"/>
    <x v="0"/>
    <n v="4250500000"/>
  </r>
  <r>
    <d v="2024-10-14T00:00:00"/>
    <x v="0"/>
    <x v="9"/>
    <x v="41"/>
    <x v="13"/>
    <x v="6"/>
    <x v="6"/>
    <x v="0"/>
    <n v="18000000"/>
  </r>
  <r>
    <d v="2024-10-14T00:00:00"/>
    <x v="0"/>
    <x v="9"/>
    <x v="41"/>
    <x v="13"/>
    <x v="8"/>
    <x v="8"/>
    <x v="1"/>
    <n v="0"/>
  </r>
  <r>
    <d v="2024-10-14T00:00:00"/>
    <x v="0"/>
    <x v="9"/>
    <x v="41"/>
    <x v="13"/>
    <x v="5"/>
    <x v="5"/>
    <x v="3"/>
    <n v="3796717664"/>
  </r>
  <r>
    <d v="2024-10-14T00:00:00"/>
    <x v="0"/>
    <x v="9"/>
    <x v="41"/>
    <x v="13"/>
    <x v="11"/>
    <x v="10"/>
    <x v="4"/>
    <n v="53510291"/>
  </r>
  <r>
    <d v="2024-10-14T00:00:00"/>
    <x v="0"/>
    <x v="9"/>
    <x v="41"/>
    <x v="13"/>
    <x v="14"/>
    <x v="13"/>
    <x v="1"/>
    <n v="26750000"/>
  </r>
  <r>
    <d v="2024-10-14T00:00:00"/>
    <x v="0"/>
    <x v="9"/>
    <x v="41"/>
    <x v="13"/>
    <x v="3"/>
    <x v="3"/>
    <x v="1"/>
    <n v="66150000"/>
  </r>
  <r>
    <d v="2024-10-14T00:00:00"/>
    <x v="0"/>
    <x v="9"/>
    <x v="41"/>
    <x v="13"/>
    <x v="2"/>
    <x v="2"/>
    <x v="1"/>
    <n v="8854990000"/>
  </r>
  <r>
    <d v="2024-10-14T00:00:00"/>
    <x v="0"/>
    <x v="9"/>
    <x v="41"/>
    <x v="13"/>
    <x v="9"/>
    <x v="9"/>
    <x v="1"/>
    <n v="10000000"/>
  </r>
  <r>
    <d v="2024-10-14T00:00:00"/>
    <x v="0"/>
    <x v="9"/>
    <x v="41"/>
    <x v="13"/>
    <x v="10"/>
    <x v="9"/>
    <x v="1"/>
    <n v="165930000"/>
  </r>
  <r>
    <d v="2024-10-14T00:00:00"/>
    <x v="0"/>
    <x v="9"/>
    <x v="41"/>
    <x v="13"/>
    <x v="7"/>
    <x v="7"/>
    <x v="4"/>
    <n v="228768666"/>
  </r>
  <r>
    <d v="2024-10-14T00:00:00"/>
    <x v="0"/>
    <x v="9"/>
    <x v="41"/>
    <x v="13"/>
    <x v="13"/>
    <x v="12"/>
    <x v="4"/>
    <n v="0"/>
  </r>
  <r>
    <d v="2024-10-14T00:00:00"/>
    <x v="0"/>
    <x v="9"/>
    <x v="41"/>
    <x v="13"/>
    <x v="1"/>
    <x v="1"/>
    <x v="1"/>
    <n v="31500000"/>
  </r>
  <r>
    <d v="2024-10-15T00:00:00"/>
    <x v="0"/>
    <x v="9"/>
    <x v="41"/>
    <x v="14"/>
    <x v="0"/>
    <x v="0"/>
    <x v="0"/>
    <n v="4882500000"/>
  </r>
  <r>
    <d v="2024-10-15T00:00:00"/>
    <x v="0"/>
    <x v="9"/>
    <x v="41"/>
    <x v="14"/>
    <x v="1"/>
    <x v="1"/>
    <x v="1"/>
    <n v="71000000"/>
  </r>
  <r>
    <d v="2024-10-15T00:00:00"/>
    <x v="0"/>
    <x v="9"/>
    <x v="41"/>
    <x v="14"/>
    <x v="14"/>
    <x v="13"/>
    <x v="1"/>
    <n v="21400000"/>
  </r>
  <r>
    <d v="2024-10-15T00:00:00"/>
    <x v="0"/>
    <x v="9"/>
    <x v="41"/>
    <x v="14"/>
    <x v="9"/>
    <x v="9"/>
    <x v="1"/>
    <n v="0"/>
  </r>
  <r>
    <d v="2024-10-15T00:00:00"/>
    <x v="0"/>
    <x v="9"/>
    <x v="41"/>
    <x v="14"/>
    <x v="6"/>
    <x v="6"/>
    <x v="0"/>
    <n v="46000000"/>
  </r>
  <r>
    <d v="2024-10-15T00:00:00"/>
    <x v="0"/>
    <x v="9"/>
    <x v="41"/>
    <x v="14"/>
    <x v="10"/>
    <x v="9"/>
    <x v="1"/>
    <n v="37820000"/>
  </r>
  <r>
    <d v="2024-10-15T00:00:00"/>
    <x v="0"/>
    <x v="9"/>
    <x v="41"/>
    <x v="14"/>
    <x v="5"/>
    <x v="5"/>
    <x v="3"/>
    <n v="4056070284"/>
  </r>
  <r>
    <d v="2024-10-15T00:00:00"/>
    <x v="0"/>
    <x v="9"/>
    <x v="41"/>
    <x v="14"/>
    <x v="13"/>
    <x v="12"/>
    <x v="4"/>
    <n v="0"/>
  </r>
  <r>
    <d v="2024-10-15T00:00:00"/>
    <x v="0"/>
    <x v="9"/>
    <x v="41"/>
    <x v="14"/>
    <x v="2"/>
    <x v="2"/>
    <x v="1"/>
    <n v="8997190000"/>
  </r>
  <r>
    <d v="2024-10-15T00:00:00"/>
    <x v="0"/>
    <x v="9"/>
    <x v="41"/>
    <x v="14"/>
    <x v="7"/>
    <x v="7"/>
    <x v="4"/>
    <n v="239740931"/>
  </r>
  <r>
    <d v="2024-10-15T00:00:00"/>
    <x v="0"/>
    <x v="9"/>
    <x v="41"/>
    <x v="14"/>
    <x v="8"/>
    <x v="8"/>
    <x v="1"/>
    <n v="0"/>
  </r>
  <r>
    <d v="2024-10-15T00:00:00"/>
    <x v="0"/>
    <x v="9"/>
    <x v="41"/>
    <x v="14"/>
    <x v="11"/>
    <x v="10"/>
    <x v="4"/>
    <n v="46685454"/>
  </r>
  <r>
    <d v="2024-10-15T00:00:00"/>
    <x v="0"/>
    <x v="9"/>
    <x v="41"/>
    <x v="14"/>
    <x v="3"/>
    <x v="3"/>
    <x v="1"/>
    <n v="98750000"/>
  </r>
  <r>
    <d v="2024-10-15T00:00:00"/>
    <x v="0"/>
    <x v="9"/>
    <x v="41"/>
    <x v="14"/>
    <x v="12"/>
    <x v="11"/>
    <x v="1"/>
    <n v="3907370000"/>
  </r>
  <r>
    <d v="2024-10-16T00:00:00"/>
    <x v="0"/>
    <x v="9"/>
    <x v="41"/>
    <x v="15"/>
    <x v="5"/>
    <x v="5"/>
    <x v="3"/>
    <n v="3220466756"/>
  </r>
  <r>
    <d v="2024-10-16T00:00:00"/>
    <x v="0"/>
    <x v="9"/>
    <x v="41"/>
    <x v="15"/>
    <x v="10"/>
    <x v="9"/>
    <x v="1"/>
    <n v="57820000"/>
  </r>
  <r>
    <d v="2024-10-16T00:00:00"/>
    <x v="0"/>
    <x v="9"/>
    <x v="41"/>
    <x v="15"/>
    <x v="12"/>
    <x v="11"/>
    <x v="1"/>
    <n v="3695940000"/>
  </r>
  <r>
    <d v="2024-10-16T00:00:00"/>
    <x v="0"/>
    <x v="9"/>
    <x v="41"/>
    <x v="15"/>
    <x v="9"/>
    <x v="9"/>
    <x v="1"/>
    <n v="10700000"/>
  </r>
  <r>
    <d v="2024-10-16T00:00:00"/>
    <x v="0"/>
    <x v="9"/>
    <x v="41"/>
    <x v="15"/>
    <x v="13"/>
    <x v="12"/>
    <x v="4"/>
    <n v="0"/>
  </r>
  <r>
    <d v="2024-10-16T00:00:00"/>
    <x v="0"/>
    <x v="9"/>
    <x v="41"/>
    <x v="15"/>
    <x v="14"/>
    <x v="13"/>
    <x v="1"/>
    <n v="10000000"/>
  </r>
  <r>
    <d v="2024-10-16T00:00:00"/>
    <x v="0"/>
    <x v="9"/>
    <x v="41"/>
    <x v="15"/>
    <x v="2"/>
    <x v="2"/>
    <x v="1"/>
    <n v="7857700000"/>
  </r>
  <r>
    <d v="2024-10-16T00:00:00"/>
    <x v="0"/>
    <x v="9"/>
    <x v="41"/>
    <x v="15"/>
    <x v="0"/>
    <x v="0"/>
    <x v="0"/>
    <n v="4917000000"/>
  </r>
  <r>
    <d v="2024-10-16T00:00:00"/>
    <x v="0"/>
    <x v="9"/>
    <x v="41"/>
    <x v="15"/>
    <x v="6"/>
    <x v="6"/>
    <x v="0"/>
    <n v="4000000"/>
  </r>
  <r>
    <d v="2024-10-16T00:00:00"/>
    <x v="0"/>
    <x v="9"/>
    <x v="41"/>
    <x v="15"/>
    <x v="11"/>
    <x v="10"/>
    <x v="4"/>
    <n v="41691268"/>
  </r>
  <r>
    <d v="2024-10-16T00:00:00"/>
    <x v="0"/>
    <x v="9"/>
    <x v="41"/>
    <x v="15"/>
    <x v="8"/>
    <x v="8"/>
    <x v="1"/>
    <n v="0"/>
  </r>
  <r>
    <d v="2024-10-16T00:00:00"/>
    <x v="0"/>
    <x v="9"/>
    <x v="41"/>
    <x v="15"/>
    <x v="3"/>
    <x v="3"/>
    <x v="1"/>
    <n v="0"/>
  </r>
  <r>
    <d v="2024-10-16T00:00:00"/>
    <x v="0"/>
    <x v="9"/>
    <x v="41"/>
    <x v="15"/>
    <x v="1"/>
    <x v="1"/>
    <x v="1"/>
    <n v="10500000"/>
  </r>
  <r>
    <d v="2024-10-16T00:00:00"/>
    <x v="0"/>
    <x v="9"/>
    <x v="41"/>
    <x v="15"/>
    <x v="7"/>
    <x v="7"/>
    <x v="4"/>
    <n v="262804168"/>
  </r>
  <r>
    <d v="2024-10-17T00:00:00"/>
    <x v="0"/>
    <x v="9"/>
    <x v="41"/>
    <x v="16"/>
    <x v="1"/>
    <x v="1"/>
    <x v="1"/>
    <n v="30500000"/>
  </r>
  <r>
    <d v="2024-10-17T00:00:00"/>
    <x v="0"/>
    <x v="9"/>
    <x v="41"/>
    <x v="16"/>
    <x v="7"/>
    <x v="7"/>
    <x v="4"/>
    <n v="386736787"/>
  </r>
  <r>
    <d v="2024-10-17T00:00:00"/>
    <x v="0"/>
    <x v="9"/>
    <x v="41"/>
    <x v="16"/>
    <x v="10"/>
    <x v="9"/>
    <x v="1"/>
    <n v="36750000"/>
  </r>
  <r>
    <d v="2024-10-17T00:00:00"/>
    <x v="0"/>
    <x v="9"/>
    <x v="41"/>
    <x v="16"/>
    <x v="14"/>
    <x v="13"/>
    <x v="1"/>
    <n v="19260000"/>
  </r>
  <r>
    <d v="2024-10-17T00:00:00"/>
    <x v="0"/>
    <x v="9"/>
    <x v="41"/>
    <x v="16"/>
    <x v="5"/>
    <x v="5"/>
    <x v="3"/>
    <n v="2802876864"/>
  </r>
  <r>
    <d v="2024-10-17T00:00:00"/>
    <x v="0"/>
    <x v="9"/>
    <x v="41"/>
    <x v="16"/>
    <x v="13"/>
    <x v="12"/>
    <x v="4"/>
    <n v="0"/>
  </r>
  <r>
    <d v="2024-10-17T00:00:00"/>
    <x v="0"/>
    <x v="9"/>
    <x v="41"/>
    <x v="16"/>
    <x v="6"/>
    <x v="6"/>
    <x v="0"/>
    <n v="31000000"/>
  </r>
  <r>
    <d v="2024-10-17T00:00:00"/>
    <x v="0"/>
    <x v="9"/>
    <x v="41"/>
    <x v="16"/>
    <x v="12"/>
    <x v="11"/>
    <x v="1"/>
    <n v="3611540000"/>
  </r>
  <r>
    <d v="2024-10-17T00:00:00"/>
    <x v="0"/>
    <x v="9"/>
    <x v="41"/>
    <x v="16"/>
    <x v="2"/>
    <x v="2"/>
    <x v="1"/>
    <n v="8364080000"/>
  </r>
  <r>
    <d v="2024-10-17T00:00:00"/>
    <x v="0"/>
    <x v="9"/>
    <x v="41"/>
    <x v="16"/>
    <x v="0"/>
    <x v="0"/>
    <x v="0"/>
    <n v="4731000000"/>
  </r>
  <r>
    <d v="2024-10-17T00:00:00"/>
    <x v="0"/>
    <x v="9"/>
    <x v="41"/>
    <x v="16"/>
    <x v="8"/>
    <x v="8"/>
    <x v="1"/>
    <n v="0"/>
  </r>
  <r>
    <d v="2024-10-17T00:00:00"/>
    <x v="0"/>
    <x v="9"/>
    <x v="41"/>
    <x v="16"/>
    <x v="9"/>
    <x v="9"/>
    <x v="1"/>
    <n v="20000000"/>
  </r>
  <r>
    <d v="2024-10-17T00:00:00"/>
    <x v="0"/>
    <x v="9"/>
    <x v="41"/>
    <x v="16"/>
    <x v="11"/>
    <x v="10"/>
    <x v="4"/>
    <n v="36179581"/>
  </r>
  <r>
    <d v="2024-10-17T00:00:00"/>
    <x v="0"/>
    <x v="9"/>
    <x v="41"/>
    <x v="16"/>
    <x v="3"/>
    <x v="3"/>
    <x v="1"/>
    <n v="13650000"/>
  </r>
  <r>
    <d v="2024-10-18T00:00:00"/>
    <x v="0"/>
    <x v="9"/>
    <x v="41"/>
    <x v="17"/>
    <x v="1"/>
    <x v="1"/>
    <x v="1"/>
    <n v="21000000"/>
  </r>
  <r>
    <d v="2024-10-18T00:00:00"/>
    <x v="0"/>
    <x v="9"/>
    <x v="41"/>
    <x v="17"/>
    <x v="9"/>
    <x v="9"/>
    <x v="1"/>
    <n v="0"/>
  </r>
  <r>
    <d v="2024-10-18T00:00:00"/>
    <x v="0"/>
    <x v="9"/>
    <x v="41"/>
    <x v="17"/>
    <x v="3"/>
    <x v="3"/>
    <x v="1"/>
    <n v="31500000"/>
  </r>
  <r>
    <d v="2024-10-18T00:00:00"/>
    <x v="0"/>
    <x v="9"/>
    <x v="41"/>
    <x v="17"/>
    <x v="10"/>
    <x v="9"/>
    <x v="1"/>
    <n v="70620000"/>
  </r>
  <r>
    <d v="2024-10-18T00:00:00"/>
    <x v="0"/>
    <x v="9"/>
    <x v="41"/>
    <x v="17"/>
    <x v="13"/>
    <x v="12"/>
    <x v="4"/>
    <n v="0"/>
  </r>
  <r>
    <d v="2024-10-18T00:00:00"/>
    <x v="0"/>
    <x v="9"/>
    <x v="41"/>
    <x v="17"/>
    <x v="0"/>
    <x v="0"/>
    <x v="0"/>
    <n v="4401500000"/>
  </r>
  <r>
    <d v="2024-10-18T00:00:00"/>
    <x v="0"/>
    <x v="9"/>
    <x v="41"/>
    <x v="17"/>
    <x v="7"/>
    <x v="7"/>
    <x v="4"/>
    <n v="307556045"/>
  </r>
  <r>
    <d v="2024-10-18T00:00:00"/>
    <x v="0"/>
    <x v="9"/>
    <x v="41"/>
    <x v="17"/>
    <x v="14"/>
    <x v="13"/>
    <x v="1"/>
    <n v="12840000"/>
  </r>
  <r>
    <d v="2024-10-18T00:00:00"/>
    <x v="0"/>
    <x v="9"/>
    <x v="41"/>
    <x v="17"/>
    <x v="6"/>
    <x v="6"/>
    <x v="0"/>
    <n v="78000000"/>
  </r>
  <r>
    <d v="2024-10-18T00:00:00"/>
    <x v="0"/>
    <x v="9"/>
    <x v="41"/>
    <x v="17"/>
    <x v="2"/>
    <x v="2"/>
    <x v="1"/>
    <n v="8549010000"/>
  </r>
  <r>
    <d v="2024-10-18T00:00:00"/>
    <x v="0"/>
    <x v="9"/>
    <x v="41"/>
    <x v="17"/>
    <x v="12"/>
    <x v="11"/>
    <x v="1"/>
    <n v="3338290000"/>
  </r>
  <r>
    <d v="2024-10-18T00:00:00"/>
    <x v="0"/>
    <x v="9"/>
    <x v="41"/>
    <x v="17"/>
    <x v="5"/>
    <x v="5"/>
    <x v="3"/>
    <n v="3009403693"/>
  </r>
  <r>
    <d v="2024-10-18T00:00:00"/>
    <x v="0"/>
    <x v="9"/>
    <x v="41"/>
    <x v="17"/>
    <x v="8"/>
    <x v="8"/>
    <x v="1"/>
    <n v="0"/>
  </r>
  <r>
    <d v="2024-10-18T00:00:00"/>
    <x v="0"/>
    <x v="9"/>
    <x v="41"/>
    <x v="17"/>
    <x v="11"/>
    <x v="10"/>
    <x v="4"/>
    <n v="43633368"/>
  </r>
  <r>
    <d v="2024-10-19T00:00:00"/>
    <x v="0"/>
    <x v="9"/>
    <x v="41"/>
    <x v="18"/>
    <x v="11"/>
    <x v="10"/>
    <x v="4"/>
    <n v="49301437"/>
  </r>
  <r>
    <d v="2024-10-19T00:00:00"/>
    <x v="0"/>
    <x v="9"/>
    <x v="41"/>
    <x v="18"/>
    <x v="10"/>
    <x v="9"/>
    <x v="1"/>
    <n v="27820000"/>
  </r>
  <r>
    <d v="2024-10-19T00:00:00"/>
    <x v="0"/>
    <x v="9"/>
    <x v="41"/>
    <x v="18"/>
    <x v="3"/>
    <x v="3"/>
    <x v="1"/>
    <n v="0"/>
  </r>
  <r>
    <d v="2024-10-19T00:00:00"/>
    <x v="0"/>
    <x v="9"/>
    <x v="41"/>
    <x v="18"/>
    <x v="13"/>
    <x v="12"/>
    <x v="4"/>
    <n v="0"/>
  </r>
  <r>
    <d v="2024-10-19T00:00:00"/>
    <x v="0"/>
    <x v="9"/>
    <x v="41"/>
    <x v="18"/>
    <x v="12"/>
    <x v="11"/>
    <x v="1"/>
    <n v="3178390000"/>
  </r>
  <r>
    <d v="2024-10-19T00:00:00"/>
    <x v="0"/>
    <x v="9"/>
    <x v="41"/>
    <x v="18"/>
    <x v="7"/>
    <x v="7"/>
    <x v="4"/>
    <n v="333906331"/>
  </r>
  <r>
    <d v="2024-10-19T00:00:00"/>
    <x v="0"/>
    <x v="9"/>
    <x v="41"/>
    <x v="18"/>
    <x v="14"/>
    <x v="13"/>
    <x v="1"/>
    <n v="12840000"/>
  </r>
  <r>
    <d v="2024-10-19T00:00:00"/>
    <x v="0"/>
    <x v="9"/>
    <x v="41"/>
    <x v="18"/>
    <x v="6"/>
    <x v="6"/>
    <x v="0"/>
    <n v="15000000"/>
  </r>
  <r>
    <d v="2024-10-19T00:00:00"/>
    <x v="0"/>
    <x v="9"/>
    <x v="41"/>
    <x v="18"/>
    <x v="8"/>
    <x v="8"/>
    <x v="1"/>
    <n v="0"/>
  </r>
  <r>
    <d v="2024-10-19T00:00:00"/>
    <x v="0"/>
    <x v="9"/>
    <x v="41"/>
    <x v="18"/>
    <x v="1"/>
    <x v="1"/>
    <x v="1"/>
    <n v="103950000"/>
  </r>
  <r>
    <d v="2024-10-19T00:00:00"/>
    <x v="0"/>
    <x v="9"/>
    <x v="41"/>
    <x v="18"/>
    <x v="0"/>
    <x v="0"/>
    <x v="0"/>
    <n v="4646000000"/>
  </r>
  <r>
    <d v="2024-10-19T00:00:00"/>
    <x v="0"/>
    <x v="9"/>
    <x v="41"/>
    <x v="18"/>
    <x v="2"/>
    <x v="2"/>
    <x v="1"/>
    <n v="8499280000"/>
  </r>
  <r>
    <d v="2024-10-19T00:00:00"/>
    <x v="0"/>
    <x v="9"/>
    <x v="41"/>
    <x v="18"/>
    <x v="5"/>
    <x v="5"/>
    <x v="3"/>
    <n v="2846412817"/>
  </r>
  <r>
    <d v="2024-10-19T00:00:00"/>
    <x v="0"/>
    <x v="9"/>
    <x v="41"/>
    <x v="18"/>
    <x v="9"/>
    <x v="9"/>
    <x v="1"/>
    <n v="6420000"/>
  </r>
  <r>
    <d v="2024-10-20T00:00:00"/>
    <x v="0"/>
    <x v="9"/>
    <x v="41"/>
    <x v="19"/>
    <x v="8"/>
    <x v="8"/>
    <x v="1"/>
    <n v="0"/>
  </r>
  <r>
    <d v="2024-10-20T00:00:00"/>
    <x v="0"/>
    <x v="9"/>
    <x v="41"/>
    <x v="19"/>
    <x v="3"/>
    <x v="3"/>
    <x v="1"/>
    <n v="0"/>
  </r>
  <r>
    <d v="2024-10-20T00:00:00"/>
    <x v="0"/>
    <x v="9"/>
    <x v="41"/>
    <x v="19"/>
    <x v="5"/>
    <x v="5"/>
    <x v="3"/>
    <n v="2936509666"/>
  </r>
  <r>
    <d v="2024-10-20T00:00:00"/>
    <x v="0"/>
    <x v="9"/>
    <x v="41"/>
    <x v="19"/>
    <x v="1"/>
    <x v="1"/>
    <x v="1"/>
    <n v="31500000"/>
  </r>
  <r>
    <d v="2024-10-20T00:00:00"/>
    <x v="0"/>
    <x v="9"/>
    <x v="41"/>
    <x v="19"/>
    <x v="11"/>
    <x v="10"/>
    <x v="4"/>
    <n v="60493446"/>
  </r>
  <r>
    <d v="2024-10-20T00:00:00"/>
    <x v="0"/>
    <x v="9"/>
    <x v="41"/>
    <x v="19"/>
    <x v="9"/>
    <x v="9"/>
    <x v="1"/>
    <n v="6420000"/>
  </r>
  <r>
    <d v="2024-10-20T00:00:00"/>
    <x v="0"/>
    <x v="9"/>
    <x v="41"/>
    <x v="19"/>
    <x v="6"/>
    <x v="6"/>
    <x v="0"/>
    <n v="35000000"/>
  </r>
  <r>
    <d v="2024-10-20T00:00:00"/>
    <x v="0"/>
    <x v="9"/>
    <x v="41"/>
    <x v="19"/>
    <x v="13"/>
    <x v="12"/>
    <x v="4"/>
    <n v="0"/>
  </r>
  <r>
    <d v="2024-10-20T00:00:00"/>
    <x v="0"/>
    <x v="9"/>
    <x v="41"/>
    <x v="19"/>
    <x v="14"/>
    <x v="13"/>
    <x v="1"/>
    <n v="37680000"/>
  </r>
  <r>
    <d v="2024-10-20T00:00:00"/>
    <x v="0"/>
    <x v="9"/>
    <x v="41"/>
    <x v="19"/>
    <x v="10"/>
    <x v="9"/>
    <x v="1"/>
    <n v="48520000"/>
  </r>
  <r>
    <d v="2024-10-20T00:00:00"/>
    <x v="0"/>
    <x v="9"/>
    <x v="41"/>
    <x v="19"/>
    <x v="12"/>
    <x v="11"/>
    <x v="1"/>
    <n v="3064790000"/>
  </r>
  <r>
    <d v="2024-10-20T00:00:00"/>
    <x v="0"/>
    <x v="9"/>
    <x v="41"/>
    <x v="19"/>
    <x v="7"/>
    <x v="7"/>
    <x v="4"/>
    <n v="276830642"/>
  </r>
  <r>
    <d v="2024-10-20T00:00:00"/>
    <x v="0"/>
    <x v="9"/>
    <x v="41"/>
    <x v="19"/>
    <x v="2"/>
    <x v="2"/>
    <x v="1"/>
    <n v="7318570000"/>
  </r>
  <r>
    <d v="2024-10-20T00:00:00"/>
    <x v="0"/>
    <x v="9"/>
    <x v="41"/>
    <x v="19"/>
    <x v="0"/>
    <x v="0"/>
    <x v="0"/>
    <n v="4293500000"/>
  </r>
  <r>
    <d v="2024-10-21T00:00:00"/>
    <x v="0"/>
    <x v="9"/>
    <x v="42"/>
    <x v="20"/>
    <x v="8"/>
    <x v="8"/>
    <x v="1"/>
    <n v="0"/>
  </r>
  <r>
    <d v="2024-10-21T00:00:00"/>
    <x v="0"/>
    <x v="9"/>
    <x v="42"/>
    <x v="20"/>
    <x v="2"/>
    <x v="2"/>
    <x v="1"/>
    <n v="8566110000"/>
  </r>
  <r>
    <d v="2024-10-21T00:00:00"/>
    <x v="0"/>
    <x v="9"/>
    <x v="42"/>
    <x v="20"/>
    <x v="6"/>
    <x v="6"/>
    <x v="0"/>
    <n v="24000000"/>
  </r>
  <r>
    <d v="2024-10-21T00:00:00"/>
    <x v="0"/>
    <x v="9"/>
    <x v="42"/>
    <x v="20"/>
    <x v="9"/>
    <x v="9"/>
    <x v="1"/>
    <n v="0"/>
  </r>
  <r>
    <d v="2024-10-21T00:00:00"/>
    <x v="0"/>
    <x v="9"/>
    <x v="42"/>
    <x v="20"/>
    <x v="14"/>
    <x v="13"/>
    <x v="1"/>
    <n v="10700000"/>
  </r>
  <r>
    <d v="2024-10-21T00:00:00"/>
    <x v="0"/>
    <x v="9"/>
    <x v="42"/>
    <x v="20"/>
    <x v="12"/>
    <x v="11"/>
    <x v="1"/>
    <n v="1607810000"/>
  </r>
  <r>
    <d v="2024-10-21T00:00:00"/>
    <x v="0"/>
    <x v="9"/>
    <x v="42"/>
    <x v="20"/>
    <x v="13"/>
    <x v="12"/>
    <x v="4"/>
    <n v="0"/>
  </r>
  <r>
    <d v="2024-10-21T00:00:00"/>
    <x v="0"/>
    <x v="9"/>
    <x v="42"/>
    <x v="20"/>
    <x v="11"/>
    <x v="10"/>
    <x v="4"/>
    <n v="46377289"/>
  </r>
  <r>
    <d v="2024-10-21T00:00:00"/>
    <x v="0"/>
    <x v="9"/>
    <x v="42"/>
    <x v="20"/>
    <x v="7"/>
    <x v="7"/>
    <x v="4"/>
    <n v="363870763"/>
  </r>
  <r>
    <d v="2024-10-21T00:00:00"/>
    <x v="0"/>
    <x v="9"/>
    <x v="42"/>
    <x v="20"/>
    <x v="5"/>
    <x v="5"/>
    <x v="3"/>
    <n v="3545992383"/>
  </r>
  <r>
    <d v="2024-10-21T00:00:00"/>
    <x v="0"/>
    <x v="9"/>
    <x v="42"/>
    <x v="20"/>
    <x v="3"/>
    <x v="3"/>
    <x v="1"/>
    <n v="45150000"/>
  </r>
  <r>
    <d v="2024-10-21T00:00:00"/>
    <x v="0"/>
    <x v="9"/>
    <x v="42"/>
    <x v="20"/>
    <x v="1"/>
    <x v="1"/>
    <x v="1"/>
    <n v="30450000"/>
  </r>
  <r>
    <d v="2024-10-21T00:00:00"/>
    <x v="0"/>
    <x v="9"/>
    <x v="42"/>
    <x v="20"/>
    <x v="0"/>
    <x v="0"/>
    <x v="0"/>
    <n v="4081000000"/>
  </r>
  <r>
    <d v="2024-10-21T00:00:00"/>
    <x v="0"/>
    <x v="9"/>
    <x v="42"/>
    <x v="20"/>
    <x v="10"/>
    <x v="9"/>
    <x v="1"/>
    <n v="72760000"/>
  </r>
  <r>
    <d v="2024-10-22T00:00:00"/>
    <x v="0"/>
    <x v="9"/>
    <x v="42"/>
    <x v="21"/>
    <x v="7"/>
    <x v="7"/>
    <x v="4"/>
    <n v="307454014"/>
  </r>
  <r>
    <d v="2024-10-22T00:00:00"/>
    <x v="0"/>
    <x v="9"/>
    <x v="42"/>
    <x v="21"/>
    <x v="11"/>
    <x v="10"/>
    <x v="4"/>
    <n v="38812912"/>
  </r>
  <r>
    <d v="2024-10-22T00:00:00"/>
    <x v="0"/>
    <x v="9"/>
    <x v="42"/>
    <x v="21"/>
    <x v="5"/>
    <x v="5"/>
    <x v="3"/>
    <n v="3140135365"/>
  </r>
  <r>
    <d v="2024-10-22T00:00:00"/>
    <x v="0"/>
    <x v="9"/>
    <x v="42"/>
    <x v="21"/>
    <x v="9"/>
    <x v="9"/>
    <x v="1"/>
    <n v="0"/>
  </r>
  <r>
    <d v="2024-10-22T00:00:00"/>
    <x v="0"/>
    <x v="9"/>
    <x v="42"/>
    <x v="21"/>
    <x v="13"/>
    <x v="12"/>
    <x v="4"/>
    <n v="0"/>
  </r>
  <r>
    <d v="2024-10-22T00:00:00"/>
    <x v="0"/>
    <x v="9"/>
    <x v="42"/>
    <x v="21"/>
    <x v="2"/>
    <x v="2"/>
    <x v="1"/>
    <n v="8061310000"/>
  </r>
  <r>
    <d v="2024-10-22T00:00:00"/>
    <x v="0"/>
    <x v="9"/>
    <x v="42"/>
    <x v="21"/>
    <x v="10"/>
    <x v="9"/>
    <x v="1"/>
    <n v="98440000"/>
  </r>
  <r>
    <d v="2024-10-22T00:00:00"/>
    <x v="0"/>
    <x v="9"/>
    <x v="42"/>
    <x v="21"/>
    <x v="0"/>
    <x v="0"/>
    <x v="0"/>
    <n v="3998500000"/>
  </r>
  <r>
    <d v="2024-10-22T00:00:00"/>
    <x v="0"/>
    <x v="9"/>
    <x v="42"/>
    <x v="21"/>
    <x v="14"/>
    <x v="13"/>
    <x v="1"/>
    <n v="59540000"/>
  </r>
  <r>
    <d v="2024-10-22T00:00:00"/>
    <x v="0"/>
    <x v="9"/>
    <x v="42"/>
    <x v="21"/>
    <x v="6"/>
    <x v="6"/>
    <x v="0"/>
    <n v="49000000"/>
  </r>
  <r>
    <d v="2024-10-22T00:00:00"/>
    <x v="0"/>
    <x v="9"/>
    <x v="42"/>
    <x v="21"/>
    <x v="8"/>
    <x v="8"/>
    <x v="1"/>
    <n v="0"/>
  </r>
  <r>
    <d v="2024-10-22T00:00:00"/>
    <x v="0"/>
    <x v="9"/>
    <x v="42"/>
    <x v="21"/>
    <x v="12"/>
    <x v="11"/>
    <x v="1"/>
    <n v="2195140000"/>
  </r>
  <r>
    <d v="2024-10-22T00:00:00"/>
    <x v="0"/>
    <x v="9"/>
    <x v="42"/>
    <x v="21"/>
    <x v="3"/>
    <x v="3"/>
    <x v="1"/>
    <n v="53550000"/>
  </r>
  <r>
    <d v="2024-10-22T00:00:00"/>
    <x v="0"/>
    <x v="9"/>
    <x v="42"/>
    <x v="21"/>
    <x v="1"/>
    <x v="1"/>
    <x v="1"/>
    <n v="31500000"/>
  </r>
  <r>
    <d v="2024-10-23T00:00:00"/>
    <x v="0"/>
    <x v="9"/>
    <x v="42"/>
    <x v="22"/>
    <x v="12"/>
    <x v="11"/>
    <x v="1"/>
    <n v="4135320000"/>
  </r>
  <r>
    <d v="2024-10-23T00:00:00"/>
    <x v="0"/>
    <x v="9"/>
    <x v="42"/>
    <x v="22"/>
    <x v="9"/>
    <x v="9"/>
    <x v="1"/>
    <n v="27820000"/>
  </r>
  <r>
    <d v="2024-10-23T00:00:00"/>
    <x v="0"/>
    <x v="9"/>
    <x v="42"/>
    <x v="22"/>
    <x v="2"/>
    <x v="2"/>
    <x v="1"/>
    <n v="8854990000"/>
  </r>
  <r>
    <d v="2024-10-23T00:00:00"/>
    <x v="0"/>
    <x v="9"/>
    <x v="42"/>
    <x v="22"/>
    <x v="10"/>
    <x v="9"/>
    <x v="1"/>
    <n v="156560000"/>
  </r>
  <r>
    <d v="2024-10-23T00:00:00"/>
    <x v="0"/>
    <x v="9"/>
    <x v="42"/>
    <x v="22"/>
    <x v="13"/>
    <x v="12"/>
    <x v="4"/>
    <n v="10000"/>
  </r>
  <r>
    <d v="2024-10-23T00:00:00"/>
    <x v="0"/>
    <x v="9"/>
    <x v="42"/>
    <x v="22"/>
    <x v="11"/>
    <x v="10"/>
    <x v="4"/>
    <n v="44037609"/>
  </r>
  <r>
    <d v="2024-10-23T00:00:00"/>
    <x v="0"/>
    <x v="9"/>
    <x v="42"/>
    <x v="22"/>
    <x v="8"/>
    <x v="8"/>
    <x v="1"/>
    <n v="0"/>
  </r>
  <r>
    <d v="2024-10-23T00:00:00"/>
    <x v="0"/>
    <x v="9"/>
    <x v="42"/>
    <x v="22"/>
    <x v="14"/>
    <x v="13"/>
    <x v="1"/>
    <n v="96290000"/>
  </r>
  <r>
    <d v="2024-10-23T00:00:00"/>
    <x v="0"/>
    <x v="9"/>
    <x v="42"/>
    <x v="22"/>
    <x v="5"/>
    <x v="5"/>
    <x v="3"/>
    <n v="3071888567"/>
  </r>
  <r>
    <d v="2024-10-23T00:00:00"/>
    <x v="0"/>
    <x v="9"/>
    <x v="42"/>
    <x v="22"/>
    <x v="0"/>
    <x v="0"/>
    <x v="0"/>
    <n v="4166000000"/>
  </r>
  <r>
    <d v="2024-10-23T00:00:00"/>
    <x v="0"/>
    <x v="9"/>
    <x v="42"/>
    <x v="22"/>
    <x v="7"/>
    <x v="7"/>
    <x v="4"/>
    <n v="258181947"/>
  </r>
  <r>
    <d v="2024-10-23T00:00:00"/>
    <x v="0"/>
    <x v="9"/>
    <x v="42"/>
    <x v="22"/>
    <x v="6"/>
    <x v="6"/>
    <x v="0"/>
    <n v="72000000"/>
  </r>
  <r>
    <d v="2024-10-23T00:00:00"/>
    <x v="0"/>
    <x v="9"/>
    <x v="42"/>
    <x v="22"/>
    <x v="3"/>
    <x v="3"/>
    <x v="1"/>
    <n v="61200000"/>
  </r>
  <r>
    <d v="2024-10-23T00:00:00"/>
    <x v="0"/>
    <x v="9"/>
    <x v="42"/>
    <x v="22"/>
    <x v="1"/>
    <x v="1"/>
    <x v="1"/>
    <n v="63000000"/>
  </r>
  <r>
    <d v="2024-10-24T00:00:00"/>
    <x v="0"/>
    <x v="9"/>
    <x v="42"/>
    <x v="23"/>
    <x v="2"/>
    <x v="2"/>
    <x v="1"/>
    <n v="7201440000"/>
  </r>
  <r>
    <d v="2024-10-24T00:00:00"/>
    <x v="0"/>
    <x v="9"/>
    <x v="42"/>
    <x v="23"/>
    <x v="10"/>
    <x v="9"/>
    <x v="1"/>
    <n v="95460000"/>
  </r>
  <r>
    <d v="2024-10-24T00:00:00"/>
    <x v="0"/>
    <x v="9"/>
    <x v="42"/>
    <x v="23"/>
    <x v="1"/>
    <x v="1"/>
    <x v="1"/>
    <n v="21000000"/>
  </r>
  <r>
    <d v="2024-10-24T00:00:00"/>
    <x v="0"/>
    <x v="9"/>
    <x v="42"/>
    <x v="23"/>
    <x v="14"/>
    <x v="13"/>
    <x v="1"/>
    <n v="119090000"/>
  </r>
  <r>
    <d v="2024-10-24T00:00:00"/>
    <x v="0"/>
    <x v="9"/>
    <x v="42"/>
    <x v="23"/>
    <x v="0"/>
    <x v="0"/>
    <x v="0"/>
    <n v="3876000000"/>
  </r>
  <r>
    <d v="2024-10-24T00:00:00"/>
    <x v="0"/>
    <x v="9"/>
    <x v="42"/>
    <x v="23"/>
    <x v="3"/>
    <x v="3"/>
    <x v="1"/>
    <n v="36750000"/>
  </r>
  <r>
    <d v="2024-10-24T00:00:00"/>
    <x v="0"/>
    <x v="9"/>
    <x v="42"/>
    <x v="23"/>
    <x v="7"/>
    <x v="7"/>
    <x v="4"/>
    <n v="346532803"/>
  </r>
  <r>
    <d v="2024-10-24T00:00:00"/>
    <x v="0"/>
    <x v="9"/>
    <x v="42"/>
    <x v="23"/>
    <x v="9"/>
    <x v="9"/>
    <x v="1"/>
    <n v="0"/>
  </r>
  <r>
    <d v="2024-10-24T00:00:00"/>
    <x v="0"/>
    <x v="9"/>
    <x v="42"/>
    <x v="23"/>
    <x v="13"/>
    <x v="12"/>
    <x v="4"/>
    <n v="40000"/>
  </r>
  <r>
    <d v="2024-10-24T00:00:00"/>
    <x v="0"/>
    <x v="9"/>
    <x v="42"/>
    <x v="23"/>
    <x v="11"/>
    <x v="10"/>
    <x v="4"/>
    <n v="43172817"/>
  </r>
  <r>
    <d v="2024-10-24T00:00:00"/>
    <x v="0"/>
    <x v="9"/>
    <x v="42"/>
    <x v="23"/>
    <x v="12"/>
    <x v="11"/>
    <x v="1"/>
    <n v="3770260000"/>
  </r>
  <r>
    <d v="2024-10-24T00:00:00"/>
    <x v="0"/>
    <x v="9"/>
    <x v="42"/>
    <x v="23"/>
    <x v="6"/>
    <x v="6"/>
    <x v="0"/>
    <n v="43000000"/>
  </r>
  <r>
    <d v="2024-10-24T00:00:00"/>
    <x v="0"/>
    <x v="9"/>
    <x v="42"/>
    <x v="23"/>
    <x v="8"/>
    <x v="8"/>
    <x v="1"/>
    <n v="0"/>
  </r>
  <r>
    <d v="2024-10-24T00:00:00"/>
    <x v="0"/>
    <x v="9"/>
    <x v="42"/>
    <x v="23"/>
    <x v="5"/>
    <x v="5"/>
    <x v="3"/>
    <n v="2641340633"/>
  </r>
  <r>
    <d v="2024-10-25T00:00:00"/>
    <x v="0"/>
    <x v="9"/>
    <x v="42"/>
    <x v="24"/>
    <x v="8"/>
    <x v="8"/>
    <x v="1"/>
    <n v="0"/>
  </r>
  <r>
    <d v="2024-10-25T00:00:00"/>
    <x v="0"/>
    <x v="9"/>
    <x v="42"/>
    <x v="24"/>
    <x v="14"/>
    <x v="13"/>
    <x v="1"/>
    <n v="165090000"/>
  </r>
  <r>
    <d v="2024-10-25T00:00:00"/>
    <x v="0"/>
    <x v="9"/>
    <x v="42"/>
    <x v="24"/>
    <x v="2"/>
    <x v="2"/>
    <x v="1"/>
    <n v="6074690000"/>
  </r>
  <r>
    <d v="2024-10-25T00:00:00"/>
    <x v="0"/>
    <x v="9"/>
    <x v="42"/>
    <x v="24"/>
    <x v="6"/>
    <x v="6"/>
    <x v="0"/>
    <n v="101000000"/>
  </r>
  <r>
    <d v="2024-10-25T00:00:00"/>
    <x v="0"/>
    <x v="9"/>
    <x v="42"/>
    <x v="24"/>
    <x v="13"/>
    <x v="12"/>
    <x v="4"/>
    <n v="20000"/>
  </r>
  <r>
    <d v="2024-10-25T00:00:00"/>
    <x v="0"/>
    <x v="9"/>
    <x v="42"/>
    <x v="24"/>
    <x v="9"/>
    <x v="9"/>
    <x v="1"/>
    <n v="10700000"/>
  </r>
  <r>
    <d v="2024-10-25T00:00:00"/>
    <x v="0"/>
    <x v="9"/>
    <x v="42"/>
    <x v="24"/>
    <x v="10"/>
    <x v="9"/>
    <x v="1"/>
    <n v="49220000"/>
  </r>
  <r>
    <d v="2024-10-25T00:00:00"/>
    <x v="0"/>
    <x v="9"/>
    <x v="42"/>
    <x v="24"/>
    <x v="11"/>
    <x v="10"/>
    <x v="4"/>
    <n v="43904328"/>
  </r>
  <r>
    <d v="2024-10-25T00:00:00"/>
    <x v="0"/>
    <x v="9"/>
    <x v="42"/>
    <x v="24"/>
    <x v="7"/>
    <x v="7"/>
    <x v="4"/>
    <n v="311668904"/>
  </r>
  <r>
    <d v="2024-10-25T00:00:00"/>
    <x v="0"/>
    <x v="9"/>
    <x v="42"/>
    <x v="24"/>
    <x v="0"/>
    <x v="0"/>
    <x v="0"/>
    <n v="4260000000"/>
  </r>
  <r>
    <d v="2024-10-25T00:00:00"/>
    <x v="0"/>
    <x v="9"/>
    <x v="42"/>
    <x v="24"/>
    <x v="12"/>
    <x v="11"/>
    <x v="1"/>
    <n v="4157460000"/>
  </r>
  <r>
    <d v="2024-10-25T00:00:00"/>
    <x v="0"/>
    <x v="9"/>
    <x v="42"/>
    <x v="24"/>
    <x v="3"/>
    <x v="3"/>
    <x v="1"/>
    <n v="0"/>
  </r>
  <r>
    <d v="2024-10-25T00:00:00"/>
    <x v="0"/>
    <x v="9"/>
    <x v="42"/>
    <x v="24"/>
    <x v="1"/>
    <x v="1"/>
    <x v="1"/>
    <n v="67500000"/>
  </r>
  <r>
    <d v="2024-10-25T00:00:00"/>
    <x v="0"/>
    <x v="9"/>
    <x v="42"/>
    <x v="24"/>
    <x v="5"/>
    <x v="5"/>
    <x v="3"/>
    <n v="3313590098"/>
  </r>
  <r>
    <d v="2024-10-26T00:00:00"/>
    <x v="0"/>
    <x v="9"/>
    <x v="42"/>
    <x v="25"/>
    <x v="12"/>
    <x v="11"/>
    <x v="1"/>
    <n v="3225340000"/>
  </r>
  <r>
    <d v="2024-10-26T00:00:00"/>
    <x v="0"/>
    <x v="9"/>
    <x v="42"/>
    <x v="25"/>
    <x v="0"/>
    <x v="0"/>
    <x v="0"/>
    <n v="3792000000"/>
  </r>
  <r>
    <d v="2024-10-26T00:00:00"/>
    <x v="0"/>
    <x v="9"/>
    <x v="42"/>
    <x v="25"/>
    <x v="2"/>
    <x v="2"/>
    <x v="1"/>
    <n v="4662510000"/>
  </r>
  <r>
    <d v="2024-10-26T00:00:00"/>
    <x v="0"/>
    <x v="9"/>
    <x v="42"/>
    <x v="25"/>
    <x v="5"/>
    <x v="5"/>
    <x v="3"/>
    <n v="2720533274"/>
  </r>
  <r>
    <d v="2024-10-26T00:00:00"/>
    <x v="0"/>
    <x v="9"/>
    <x v="42"/>
    <x v="25"/>
    <x v="6"/>
    <x v="6"/>
    <x v="0"/>
    <n v="50000000"/>
  </r>
  <r>
    <d v="2024-10-26T00:00:00"/>
    <x v="0"/>
    <x v="9"/>
    <x v="42"/>
    <x v="25"/>
    <x v="13"/>
    <x v="12"/>
    <x v="4"/>
    <n v="0"/>
  </r>
  <r>
    <d v="2024-10-26T00:00:00"/>
    <x v="0"/>
    <x v="9"/>
    <x v="42"/>
    <x v="25"/>
    <x v="14"/>
    <x v="13"/>
    <x v="1"/>
    <n v="94940000"/>
  </r>
  <r>
    <d v="2024-10-26T00:00:00"/>
    <x v="0"/>
    <x v="9"/>
    <x v="42"/>
    <x v="25"/>
    <x v="11"/>
    <x v="10"/>
    <x v="4"/>
    <n v="51068519"/>
  </r>
  <r>
    <d v="2024-10-26T00:00:00"/>
    <x v="0"/>
    <x v="9"/>
    <x v="42"/>
    <x v="25"/>
    <x v="7"/>
    <x v="7"/>
    <x v="4"/>
    <n v="312308692"/>
  </r>
  <r>
    <d v="2024-10-26T00:00:00"/>
    <x v="0"/>
    <x v="9"/>
    <x v="42"/>
    <x v="25"/>
    <x v="10"/>
    <x v="9"/>
    <x v="1"/>
    <n v="102020000"/>
  </r>
  <r>
    <d v="2024-10-26T00:00:00"/>
    <x v="0"/>
    <x v="9"/>
    <x v="42"/>
    <x v="25"/>
    <x v="3"/>
    <x v="3"/>
    <x v="1"/>
    <n v="31500000"/>
  </r>
  <r>
    <d v="2024-10-26T00:00:00"/>
    <x v="0"/>
    <x v="9"/>
    <x v="42"/>
    <x v="25"/>
    <x v="1"/>
    <x v="1"/>
    <x v="1"/>
    <n v="73500000"/>
  </r>
  <r>
    <d v="2024-10-26T00:00:00"/>
    <x v="0"/>
    <x v="9"/>
    <x v="42"/>
    <x v="25"/>
    <x v="8"/>
    <x v="8"/>
    <x v="1"/>
    <n v="0"/>
  </r>
  <r>
    <d v="2024-10-26T00:00:00"/>
    <x v="0"/>
    <x v="9"/>
    <x v="42"/>
    <x v="25"/>
    <x v="9"/>
    <x v="9"/>
    <x v="1"/>
    <n v="0"/>
  </r>
  <r>
    <d v="2024-10-27T00:00:00"/>
    <x v="0"/>
    <x v="9"/>
    <x v="42"/>
    <x v="26"/>
    <x v="3"/>
    <x v="3"/>
    <x v="1"/>
    <n v="10500000"/>
  </r>
  <r>
    <d v="2024-10-27T00:00:00"/>
    <x v="0"/>
    <x v="9"/>
    <x v="42"/>
    <x v="26"/>
    <x v="1"/>
    <x v="1"/>
    <x v="1"/>
    <n v="56750000"/>
  </r>
  <r>
    <d v="2024-10-27T00:00:00"/>
    <x v="0"/>
    <x v="9"/>
    <x v="42"/>
    <x v="26"/>
    <x v="0"/>
    <x v="0"/>
    <x v="0"/>
    <n v="3782500000"/>
  </r>
  <r>
    <d v="2024-10-27T00:00:00"/>
    <x v="0"/>
    <x v="9"/>
    <x v="42"/>
    <x v="26"/>
    <x v="10"/>
    <x v="9"/>
    <x v="1"/>
    <n v="72100000"/>
  </r>
  <r>
    <d v="2024-10-27T00:00:00"/>
    <x v="0"/>
    <x v="9"/>
    <x v="42"/>
    <x v="26"/>
    <x v="2"/>
    <x v="2"/>
    <x v="1"/>
    <n v="4626730000"/>
  </r>
  <r>
    <d v="2024-10-27T00:00:00"/>
    <x v="0"/>
    <x v="9"/>
    <x v="42"/>
    <x v="26"/>
    <x v="9"/>
    <x v="9"/>
    <x v="1"/>
    <n v="0"/>
  </r>
  <r>
    <d v="2024-10-27T00:00:00"/>
    <x v="0"/>
    <x v="9"/>
    <x v="42"/>
    <x v="26"/>
    <x v="14"/>
    <x v="13"/>
    <x v="1"/>
    <n v="122370000"/>
  </r>
  <r>
    <d v="2024-10-27T00:00:00"/>
    <x v="0"/>
    <x v="9"/>
    <x v="42"/>
    <x v="26"/>
    <x v="13"/>
    <x v="12"/>
    <x v="4"/>
    <n v="0"/>
  </r>
  <r>
    <d v="2024-10-27T00:00:00"/>
    <x v="0"/>
    <x v="9"/>
    <x v="42"/>
    <x v="26"/>
    <x v="11"/>
    <x v="10"/>
    <x v="4"/>
    <n v="60428535"/>
  </r>
  <r>
    <d v="2024-10-27T00:00:00"/>
    <x v="0"/>
    <x v="9"/>
    <x v="42"/>
    <x v="26"/>
    <x v="6"/>
    <x v="6"/>
    <x v="0"/>
    <n v="51000000"/>
  </r>
  <r>
    <d v="2024-10-27T00:00:00"/>
    <x v="0"/>
    <x v="9"/>
    <x v="42"/>
    <x v="26"/>
    <x v="8"/>
    <x v="8"/>
    <x v="1"/>
    <n v="0"/>
  </r>
  <r>
    <d v="2024-10-27T00:00:00"/>
    <x v="0"/>
    <x v="9"/>
    <x v="42"/>
    <x v="26"/>
    <x v="5"/>
    <x v="5"/>
    <x v="3"/>
    <n v="2949547990"/>
  </r>
  <r>
    <d v="2024-10-27T00:00:00"/>
    <x v="0"/>
    <x v="9"/>
    <x v="42"/>
    <x v="26"/>
    <x v="7"/>
    <x v="7"/>
    <x v="4"/>
    <n v="286676536"/>
  </r>
  <r>
    <d v="2024-10-27T00:00:00"/>
    <x v="0"/>
    <x v="9"/>
    <x v="42"/>
    <x v="26"/>
    <x v="12"/>
    <x v="11"/>
    <x v="1"/>
    <n v="3089700000"/>
  </r>
  <r>
    <d v="2024-10-28T00:00:00"/>
    <x v="0"/>
    <x v="9"/>
    <x v="43"/>
    <x v="27"/>
    <x v="7"/>
    <x v="7"/>
    <x v="4"/>
    <n v="311926906"/>
  </r>
  <r>
    <d v="2024-10-28T00:00:00"/>
    <x v="0"/>
    <x v="9"/>
    <x v="43"/>
    <x v="27"/>
    <x v="13"/>
    <x v="12"/>
    <x v="4"/>
    <n v="10000"/>
  </r>
  <r>
    <d v="2024-10-28T00:00:00"/>
    <x v="0"/>
    <x v="9"/>
    <x v="43"/>
    <x v="27"/>
    <x v="0"/>
    <x v="0"/>
    <x v="0"/>
    <n v="3791000000"/>
  </r>
  <r>
    <d v="2024-10-28T00:00:00"/>
    <x v="0"/>
    <x v="9"/>
    <x v="43"/>
    <x v="27"/>
    <x v="9"/>
    <x v="9"/>
    <x v="1"/>
    <n v="10700000"/>
  </r>
  <r>
    <d v="2024-10-28T00:00:00"/>
    <x v="0"/>
    <x v="9"/>
    <x v="43"/>
    <x v="27"/>
    <x v="10"/>
    <x v="9"/>
    <x v="1"/>
    <n v="126530000"/>
  </r>
  <r>
    <d v="2024-10-28T00:00:00"/>
    <x v="0"/>
    <x v="9"/>
    <x v="43"/>
    <x v="27"/>
    <x v="14"/>
    <x v="13"/>
    <x v="1"/>
    <n v="127250000"/>
  </r>
  <r>
    <d v="2024-10-28T00:00:00"/>
    <x v="0"/>
    <x v="9"/>
    <x v="43"/>
    <x v="27"/>
    <x v="8"/>
    <x v="8"/>
    <x v="1"/>
    <n v="0"/>
  </r>
  <r>
    <d v="2024-10-28T00:00:00"/>
    <x v="0"/>
    <x v="9"/>
    <x v="43"/>
    <x v="27"/>
    <x v="6"/>
    <x v="6"/>
    <x v="0"/>
    <n v="77000000"/>
  </r>
  <r>
    <d v="2024-10-28T00:00:00"/>
    <x v="0"/>
    <x v="9"/>
    <x v="43"/>
    <x v="27"/>
    <x v="11"/>
    <x v="10"/>
    <x v="4"/>
    <n v="55840640"/>
  </r>
  <r>
    <d v="2024-10-28T00:00:00"/>
    <x v="0"/>
    <x v="9"/>
    <x v="43"/>
    <x v="27"/>
    <x v="2"/>
    <x v="2"/>
    <x v="1"/>
    <n v="5499250000"/>
  </r>
  <r>
    <d v="2024-10-28T00:00:00"/>
    <x v="0"/>
    <x v="9"/>
    <x v="43"/>
    <x v="27"/>
    <x v="12"/>
    <x v="11"/>
    <x v="1"/>
    <n v="3274510000"/>
  </r>
  <r>
    <d v="2024-10-28T00:00:00"/>
    <x v="0"/>
    <x v="9"/>
    <x v="43"/>
    <x v="27"/>
    <x v="3"/>
    <x v="3"/>
    <x v="1"/>
    <n v="10500000"/>
  </r>
  <r>
    <d v="2024-10-28T00:00:00"/>
    <x v="0"/>
    <x v="9"/>
    <x v="43"/>
    <x v="27"/>
    <x v="1"/>
    <x v="1"/>
    <x v="1"/>
    <n v="41000000"/>
  </r>
  <r>
    <d v="2024-10-28T00:00:00"/>
    <x v="0"/>
    <x v="9"/>
    <x v="43"/>
    <x v="27"/>
    <x v="5"/>
    <x v="5"/>
    <x v="3"/>
    <n v="2777585315"/>
  </r>
  <r>
    <d v="2024-10-29T00:00:00"/>
    <x v="0"/>
    <x v="9"/>
    <x v="43"/>
    <x v="28"/>
    <x v="3"/>
    <x v="3"/>
    <x v="1"/>
    <n v="79800000"/>
  </r>
  <r>
    <d v="2024-10-29T00:00:00"/>
    <x v="0"/>
    <x v="9"/>
    <x v="43"/>
    <x v="28"/>
    <x v="11"/>
    <x v="10"/>
    <x v="4"/>
    <n v="52435769"/>
  </r>
  <r>
    <d v="2024-10-29T00:00:00"/>
    <x v="0"/>
    <x v="9"/>
    <x v="43"/>
    <x v="28"/>
    <x v="1"/>
    <x v="1"/>
    <x v="1"/>
    <n v="83000000"/>
  </r>
  <r>
    <d v="2024-10-29T00:00:00"/>
    <x v="0"/>
    <x v="9"/>
    <x v="43"/>
    <x v="28"/>
    <x v="12"/>
    <x v="11"/>
    <x v="1"/>
    <n v="4126250000"/>
  </r>
  <r>
    <d v="2024-10-29T00:00:00"/>
    <x v="0"/>
    <x v="9"/>
    <x v="43"/>
    <x v="28"/>
    <x v="13"/>
    <x v="12"/>
    <x v="4"/>
    <n v="0"/>
  </r>
  <r>
    <d v="2024-10-29T00:00:00"/>
    <x v="0"/>
    <x v="9"/>
    <x v="43"/>
    <x v="28"/>
    <x v="9"/>
    <x v="9"/>
    <x v="1"/>
    <n v="15000000"/>
  </r>
  <r>
    <d v="2024-10-29T00:00:00"/>
    <x v="0"/>
    <x v="9"/>
    <x v="43"/>
    <x v="28"/>
    <x v="0"/>
    <x v="0"/>
    <x v="0"/>
    <n v="3458000000"/>
  </r>
  <r>
    <d v="2024-10-29T00:00:00"/>
    <x v="0"/>
    <x v="9"/>
    <x v="43"/>
    <x v="28"/>
    <x v="7"/>
    <x v="7"/>
    <x v="4"/>
    <n v="275572391"/>
  </r>
  <r>
    <d v="2024-10-29T00:00:00"/>
    <x v="0"/>
    <x v="9"/>
    <x v="43"/>
    <x v="28"/>
    <x v="10"/>
    <x v="9"/>
    <x v="1"/>
    <n v="73500000"/>
  </r>
  <r>
    <d v="2024-10-29T00:00:00"/>
    <x v="0"/>
    <x v="9"/>
    <x v="43"/>
    <x v="28"/>
    <x v="6"/>
    <x v="6"/>
    <x v="0"/>
    <n v="41000000"/>
  </r>
  <r>
    <d v="2024-10-29T00:00:00"/>
    <x v="0"/>
    <x v="9"/>
    <x v="43"/>
    <x v="28"/>
    <x v="5"/>
    <x v="5"/>
    <x v="3"/>
    <n v="3238427560"/>
  </r>
  <r>
    <d v="2024-10-29T00:00:00"/>
    <x v="0"/>
    <x v="9"/>
    <x v="43"/>
    <x v="28"/>
    <x v="14"/>
    <x v="13"/>
    <x v="1"/>
    <n v="175140000"/>
  </r>
  <r>
    <d v="2024-10-29T00:00:00"/>
    <x v="0"/>
    <x v="9"/>
    <x v="43"/>
    <x v="28"/>
    <x v="8"/>
    <x v="8"/>
    <x v="1"/>
    <n v="0"/>
  </r>
  <r>
    <d v="2024-10-29T00:00:00"/>
    <x v="0"/>
    <x v="9"/>
    <x v="43"/>
    <x v="28"/>
    <x v="2"/>
    <x v="2"/>
    <x v="1"/>
    <n v="6089530000"/>
  </r>
  <r>
    <d v="2024-10-30T00:00:00"/>
    <x v="0"/>
    <x v="9"/>
    <x v="43"/>
    <x v="29"/>
    <x v="7"/>
    <x v="7"/>
    <x v="4"/>
    <n v="311154360"/>
  </r>
  <r>
    <d v="2024-10-30T00:00:00"/>
    <x v="0"/>
    <x v="9"/>
    <x v="43"/>
    <x v="29"/>
    <x v="10"/>
    <x v="9"/>
    <x v="1"/>
    <n v="80250000"/>
  </r>
  <r>
    <d v="2024-10-30T00:00:00"/>
    <x v="0"/>
    <x v="9"/>
    <x v="43"/>
    <x v="29"/>
    <x v="3"/>
    <x v="3"/>
    <x v="1"/>
    <n v="62000000"/>
  </r>
  <r>
    <d v="2024-10-30T00:00:00"/>
    <x v="0"/>
    <x v="9"/>
    <x v="43"/>
    <x v="29"/>
    <x v="13"/>
    <x v="12"/>
    <x v="4"/>
    <n v="66000"/>
  </r>
  <r>
    <d v="2024-10-30T00:00:00"/>
    <x v="0"/>
    <x v="9"/>
    <x v="43"/>
    <x v="29"/>
    <x v="14"/>
    <x v="13"/>
    <x v="1"/>
    <n v="195490000"/>
  </r>
  <r>
    <d v="2024-10-30T00:00:00"/>
    <x v="0"/>
    <x v="9"/>
    <x v="43"/>
    <x v="29"/>
    <x v="9"/>
    <x v="9"/>
    <x v="1"/>
    <n v="0"/>
  </r>
  <r>
    <d v="2024-10-30T00:00:00"/>
    <x v="0"/>
    <x v="9"/>
    <x v="43"/>
    <x v="29"/>
    <x v="8"/>
    <x v="8"/>
    <x v="1"/>
    <n v="0"/>
  </r>
  <r>
    <d v="2024-10-30T00:00:00"/>
    <x v="0"/>
    <x v="9"/>
    <x v="43"/>
    <x v="29"/>
    <x v="6"/>
    <x v="6"/>
    <x v="0"/>
    <n v="56000000"/>
  </r>
  <r>
    <d v="2024-10-30T00:00:00"/>
    <x v="0"/>
    <x v="9"/>
    <x v="43"/>
    <x v="29"/>
    <x v="12"/>
    <x v="11"/>
    <x v="1"/>
    <n v="4806330000"/>
  </r>
  <r>
    <d v="2024-10-30T00:00:00"/>
    <x v="0"/>
    <x v="9"/>
    <x v="43"/>
    <x v="29"/>
    <x v="0"/>
    <x v="0"/>
    <x v="0"/>
    <n v="3949500000"/>
  </r>
  <r>
    <d v="2024-10-30T00:00:00"/>
    <x v="0"/>
    <x v="9"/>
    <x v="43"/>
    <x v="29"/>
    <x v="5"/>
    <x v="5"/>
    <x v="3"/>
    <n v="3434092682"/>
  </r>
  <r>
    <d v="2024-10-30T00:00:00"/>
    <x v="0"/>
    <x v="9"/>
    <x v="43"/>
    <x v="29"/>
    <x v="11"/>
    <x v="10"/>
    <x v="4"/>
    <n v="46819934"/>
  </r>
  <r>
    <d v="2024-10-30T00:00:00"/>
    <x v="0"/>
    <x v="9"/>
    <x v="43"/>
    <x v="29"/>
    <x v="1"/>
    <x v="1"/>
    <x v="1"/>
    <n v="73500000"/>
  </r>
  <r>
    <d v="2024-10-30T00:00:00"/>
    <x v="0"/>
    <x v="9"/>
    <x v="43"/>
    <x v="29"/>
    <x v="2"/>
    <x v="2"/>
    <x v="1"/>
    <n v="5598280000"/>
  </r>
  <r>
    <d v="2024-10-31T00:00:00"/>
    <x v="0"/>
    <x v="9"/>
    <x v="43"/>
    <x v="30"/>
    <x v="3"/>
    <x v="3"/>
    <x v="1"/>
    <n v="60900000"/>
  </r>
  <r>
    <d v="2024-10-31T00:00:00"/>
    <x v="0"/>
    <x v="9"/>
    <x v="43"/>
    <x v="30"/>
    <x v="14"/>
    <x v="13"/>
    <x v="1"/>
    <n v="328420000"/>
  </r>
  <r>
    <d v="2024-10-31T00:00:00"/>
    <x v="0"/>
    <x v="9"/>
    <x v="43"/>
    <x v="30"/>
    <x v="1"/>
    <x v="1"/>
    <x v="1"/>
    <n v="65150000"/>
  </r>
  <r>
    <d v="2024-10-31T00:00:00"/>
    <x v="0"/>
    <x v="9"/>
    <x v="43"/>
    <x v="30"/>
    <x v="7"/>
    <x v="7"/>
    <x v="4"/>
    <n v="288101325"/>
  </r>
  <r>
    <d v="2024-10-31T00:00:00"/>
    <x v="0"/>
    <x v="9"/>
    <x v="43"/>
    <x v="30"/>
    <x v="11"/>
    <x v="10"/>
    <x v="4"/>
    <n v="53306201"/>
  </r>
  <r>
    <d v="2024-10-31T00:00:00"/>
    <x v="0"/>
    <x v="9"/>
    <x v="43"/>
    <x v="30"/>
    <x v="12"/>
    <x v="11"/>
    <x v="1"/>
    <n v="4450600000"/>
  </r>
  <r>
    <d v="2024-10-31T00:00:00"/>
    <x v="0"/>
    <x v="9"/>
    <x v="43"/>
    <x v="30"/>
    <x v="13"/>
    <x v="12"/>
    <x v="4"/>
    <n v="0"/>
  </r>
  <r>
    <d v="2024-10-31T00:00:00"/>
    <x v="0"/>
    <x v="9"/>
    <x v="43"/>
    <x v="30"/>
    <x v="15"/>
    <x v="14"/>
    <x v="4"/>
    <n v="12000"/>
  </r>
  <r>
    <d v="2024-10-31T00:00:00"/>
    <x v="0"/>
    <x v="9"/>
    <x v="43"/>
    <x v="30"/>
    <x v="5"/>
    <x v="5"/>
    <x v="3"/>
    <n v="3948052108"/>
  </r>
  <r>
    <d v="2024-10-31T00:00:00"/>
    <x v="0"/>
    <x v="9"/>
    <x v="43"/>
    <x v="30"/>
    <x v="2"/>
    <x v="2"/>
    <x v="1"/>
    <n v="5491700000"/>
  </r>
  <r>
    <d v="2024-10-31T00:00:00"/>
    <x v="0"/>
    <x v="9"/>
    <x v="43"/>
    <x v="30"/>
    <x v="16"/>
    <x v="9"/>
    <x v="1"/>
    <n v="20000000"/>
  </r>
  <r>
    <d v="2024-10-31T00:00:00"/>
    <x v="0"/>
    <x v="9"/>
    <x v="43"/>
    <x v="30"/>
    <x v="10"/>
    <x v="9"/>
    <x v="1"/>
    <n v="55220000"/>
  </r>
  <r>
    <d v="2024-10-31T00:00:00"/>
    <x v="0"/>
    <x v="9"/>
    <x v="43"/>
    <x v="30"/>
    <x v="9"/>
    <x v="9"/>
    <x v="1"/>
    <n v="20000000"/>
  </r>
  <r>
    <d v="2024-10-31T00:00:00"/>
    <x v="0"/>
    <x v="9"/>
    <x v="43"/>
    <x v="30"/>
    <x v="8"/>
    <x v="8"/>
    <x v="1"/>
    <n v="0"/>
  </r>
  <r>
    <d v="2024-10-31T00:00:00"/>
    <x v="0"/>
    <x v="9"/>
    <x v="43"/>
    <x v="30"/>
    <x v="6"/>
    <x v="6"/>
    <x v="0"/>
    <n v="43000000"/>
  </r>
  <r>
    <d v="2024-10-31T00:00:00"/>
    <x v="0"/>
    <x v="9"/>
    <x v="43"/>
    <x v="30"/>
    <x v="0"/>
    <x v="0"/>
    <x v="0"/>
    <n v="4355000000"/>
  </r>
  <r>
    <d v="2024-11-01T00:00:00"/>
    <x v="0"/>
    <x v="10"/>
    <x v="43"/>
    <x v="0"/>
    <x v="11"/>
    <x v="10"/>
    <x v="4"/>
    <n v="72128740"/>
  </r>
  <r>
    <d v="2024-11-01T00:00:00"/>
    <x v="0"/>
    <x v="10"/>
    <x v="43"/>
    <x v="0"/>
    <x v="12"/>
    <x v="11"/>
    <x v="1"/>
    <n v="4424630000"/>
  </r>
  <r>
    <d v="2024-11-01T00:00:00"/>
    <x v="0"/>
    <x v="10"/>
    <x v="43"/>
    <x v="0"/>
    <x v="7"/>
    <x v="7"/>
    <x v="4"/>
    <n v="397240483"/>
  </r>
  <r>
    <d v="2024-11-01T00:00:00"/>
    <x v="0"/>
    <x v="10"/>
    <x v="43"/>
    <x v="0"/>
    <x v="8"/>
    <x v="8"/>
    <x v="1"/>
    <n v="20000000"/>
  </r>
  <r>
    <d v="2024-11-01T00:00:00"/>
    <x v="0"/>
    <x v="10"/>
    <x v="43"/>
    <x v="0"/>
    <x v="6"/>
    <x v="6"/>
    <x v="0"/>
    <n v="23000000"/>
  </r>
  <r>
    <d v="2024-11-01T00:00:00"/>
    <x v="0"/>
    <x v="10"/>
    <x v="43"/>
    <x v="0"/>
    <x v="0"/>
    <x v="0"/>
    <x v="0"/>
    <n v="3843500000"/>
  </r>
  <r>
    <d v="2024-11-01T00:00:00"/>
    <x v="0"/>
    <x v="10"/>
    <x v="43"/>
    <x v="0"/>
    <x v="2"/>
    <x v="2"/>
    <x v="1"/>
    <n v="5123210000"/>
  </r>
  <r>
    <d v="2024-11-01T00:00:00"/>
    <x v="0"/>
    <x v="10"/>
    <x v="43"/>
    <x v="0"/>
    <x v="5"/>
    <x v="5"/>
    <x v="3"/>
    <n v="5890083935"/>
  </r>
  <r>
    <d v="2024-11-01T00:00:00"/>
    <x v="0"/>
    <x v="10"/>
    <x v="43"/>
    <x v="0"/>
    <x v="13"/>
    <x v="12"/>
    <x v="4"/>
    <n v="0"/>
  </r>
  <r>
    <d v="2024-11-01T00:00:00"/>
    <x v="0"/>
    <x v="10"/>
    <x v="43"/>
    <x v="0"/>
    <x v="15"/>
    <x v="14"/>
    <x v="4"/>
    <n v="15240"/>
  </r>
  <r>
    <d v="2024-11-01T00:00:00"/>
    <x v="0"/>
    <x v="10"/>
    <x v="43"/>
    <x v="0"/>
    <x v="16"/>
    <x v="9"/>
    <x v="1"/>
    <n v="6420000"/>
  </r>
  <r>
    <d v="2024-11-01T00:00:00"/>
    <x v="0"/>
    <x v="10"/>
    <x v="43"/>
    <x v="0"/>
    <x v="9"/>
    <x v="9"/>
    <x v="1"/>
    <n v="31400000"/>
  </r>
  <r>
    <d v="2024-11-01T00:00:00"/>
    <x v="0"/>
    <x v="10"/>
    <x v="43"/>
    <x v="0"/>
    <x v="3"/>
    <x v="3"/>
    <x v="1"/>
    <n v="21000000"/>
  </r>
  <r>
    <d v="2024-11-01T00:00:00"/>
    <x v="0"/>
    <x v="10"/>
    <x v="43"/>
    <x v="0"/>
    <x v="1"/>
    <x v="1"/>
    <x v="1"/>
    <n v="46750000"/>
  </r>
  <r>
    <d v="2024-11-01T00:00:00"/>
    <x v="0"/>
    <x v="10"/>
    <x v="43"/>
    <x v="0"/>
    <x v="10"/>
    <x v="9"/>
    <x v="1"/>
    <n v="40660000"/>
  </r>
  <r>
    <d v="2024-11-01T00:00:00"/>
    <x v="0"/>
    <x v="10"/>
    <x v="43"/>
    <x v="0"/>
    <x v="14"/>
    <x v="13"/>
    <x v="1"/>
    <n v="366440000"/>
  </r>
  <r>
    <d v="2024-11-02T00:00:00"/>
    <x v="0"/>
    <x v="10"/>
    <x v="43"/>
    <x v="1"/>
    <x v="10"/>
    <x v="9"/>
    <x v="1"/>
    <n v="78110000"/>
  </r>
  <r>
    <d v="2024-11-02T00:00:00"/>
    <x v="0"/>
    <x v="10"/>
    <x v="43"/>
    <x v="1"/>
    <x v="11"/>
    <x v="10"/>
    <x v="4"/>
    <n v="63597986"/>
  </r>
  <r>
    <d v="2024-11-02T00:00:00"/>
    <x v="0"/>
    <x v="10"/>
    <x v="43"/>
    <x v="1"/>
    <x v="3"/>
    <x v="3"/>
    <x v="1"/>
    <n v="120250000"/>
  </r>
  <r>
    <d v="2024-11-02T00:00:00"/>
    <x v="0"/>
    <x v="10"/>
    <x v="43"/>
    <x v="1"/>
    <x v="15"/>
    <x v="14"/>
    <x v="4"/>
    <n v="0"/>
  </r>
  <r>
    <d v="2024-11-02T00:00:00"/>
    <x v="0"/>
    <x v="10"/>
    <x v="43"/>
    <x v="1"/>
    <x v="1"/>
    <x v="1"/>
    <x v="1"/>
    <n v="63000000"/>
  </r>
  <r>
    <d v="2024-11-02T00:00:00"/>
    <x v="0"/>
    <x v="10"/>
    <x v="43"/>
    <x v="1"/>
    <x v="16"/>
    <x v="9"/>
    <x v="1"/>
    <n v="0"/>
  </r>
  <r>
    <d v="2024-11-02T00:00:00"/>
    <x v="0"/>
    <x v="10"/>
    <x v="43"/>
    <x v="1"/>
    <x v="9"/>
    <x v="9"/>
    <x v="1"/>
    <n v="16050000"/>
  </r>
  <r>
    <d v="2024-11-02T00:00:00"/>
    <x v="0"/>
    <x v="10"/>
    <x v="43"/>
    <x v="1"/>
    <x v="13"/>
    <x v="12"/>
    <x v="4"/>
    <n v="0"/>
  </r>
  <r>
    <d v="2024-11-02T00:00:00"/>
    <x v="0"/>
    <x v="10"/>
    <x v="43"/>
    <x v="1"/>
    <x v="5"/>
    <x v="5"/>
    <x v="3"/>
    <n v="4521156693"/>
  </r>
  <r>
    <d v="2024-11-02T00:00:00"/>
    <x v="0"/>
    <x v="10"/>
    <x v="43"/>
    <x v="1"/>
    <x v="8"/>
    <x v="8"/>
    <x v="1"/>
    <n v="0"/>
  </r>
  <r>
    <d v="2024-11-02T00:00:00"/>
    <x v="0"/>
    <x v="10"/>
    <x v="43"/>
    <x v="1"/>
    <x v="0"/>
    <x v="0"/>
    <x v="0"/>
    <n v="3826000000"/>
  </r>
  <r>
    <d v="2024-11-02T00:00:00"/>
    <x v="0"/>
    <x v="10"/>
    <x v="43"/>
    <x v="1"/>
    <x v="2"/>
    <x v="2"/>
    <x v="1"/>
    <n v="5423500000"/>
  </r>
  <r>
    <d v="2024-11-02T00:00:00"/>
    <x v="0"/>
    <x v="10"/>
    <x v="43"/>
    <x v="1"/>
    <x v="6"/>
    <x v="6"/>
    <x v="0"/>
    <n v="41000000"/>
  </r>
  <r>
    <d v="2024-11-02T00:00:00"/>
    <x v="0"/>
    <x v="10"/>
    <x v="43"/>
    <x v="1"/>
    <x v="7"/>
    <x v="7"/>
    <x v="4"/>
    <n v="376911765"/>
  </r>
  <r>
    <d v="2024-11-02T00:00:00"/>
    <x v="0"/>
    <x v="10"/>
    <x v="43"/>
    <x v="1"/>
    <x v="12"/>
    <x v="11"/>
    <x v="1"/>
    <n v="3668320000"/>
  </r>
  <r>
    <d v="2024-11-02T00:00:00"/>
    <x v="0"/>
    <x v="10"/>
    <x v="43"/>
    <x v="1"/>
    <x v="14"/>
    <x v="13"/>
    <x v="1"/>
    <n v="363210000"/>
  </r>
  <r>
    <d v="2024-11-03T00:00:00"/>
    <x v="0"/>
    <x v="10"/>
    <x v="43"/>
    <x v="2"/>
    <x v="1"/>
    <x v="1"/>
    <x v="1"/>
    <n v="52000000"/>
  </r>
  <r>
    <d v="2024-11-03T00:00:00"/>
    <x v="0"/>
    <x v="10"/>
    <x v="43"/>
    <x v="2"/>
    <x v="9"/>
    <x v="9"/>
    <x v="1"/>
    <n v="21400000"/>
  </r>
  <r>
    <d v="2024-11-03T00:00:00"/>
    <x v="0"/>
    <x v="10"/>
    <x v="43"/>
    <x v="2"/>
    <x v="14"/>
    <x v="13"/>
    <x v="1"/>
    <n v="474010000"/>
  </r>
  <r>
    <d v="2024-11-03T00:00:00"/>
    <x v="0"/>
    <x v="10"/>
    <x v="43"/>
    <x v="2"/>
    <x v="13"/>
    <x v="12"/>
    <x v="4"/>
    <n v="0"/>
  </r>
  <r>
    <d v="2024-11-03T00:00:00"/>
    <x v="0"/>
    <x v="10"/>
    <x v="43"/>
    <x v="2"/>
    <x v="3"/>
    <x v="3"/>
    <x v="1"/>
    <n v="0"/>
  </r>
  <r>
    <d v="2024-11-03T00:00:00"/>
    <x v="0"/>
    <x v="10"/>
    <x v="43"/>
    <x v="2"/>
    <x v="16"/>
    <x v="9"/>
    <x v="1"/>
    <n v="0"/>
  </r>
  <r>
    <d v="2024-11-03T00:00:00"/>
    <x v="0"/>
    <x v="10"/>
    <x v="43"/>
    <x v="2"/>
    <x v="6"/>
    <x v="6"/>
    <x v="0"/>
    <n v="60000000"/>
  </r>
  <r>
    <d v="2024-11-03T00:00:00"/>
    <x v="0"/>
    <x v="10"/>
    <x v="43"/>
    <x v="2"/>
    <x v="10"/>
    <x v="9"/>
    <x v="1"/>
    <n v="79920000"/>
  </r>
  <r>
    <d v="2024-11-03T00:00:00"/>
    <x v="0"/>
    <x v="10"/>
    <x v="43"/>
    <x v="2"/>
    <x v="0"/>
    <x v="0"/>
    <x v="0"/>
    <n v="3896500000"/>
  </r>
  <r>
    <d v="2024-11-03T00:00:00"/>
    <x v="0"/>
    <x v="10"/>
    <x v="43"/>
    <x v="2"/>
    <x v="7"/>
    <x v="7"/>
    <x v="4"/>
    <n v="437681972"/>
  </r>
  <r>
    <d v="2024-11-03T00:00:00"/>
    <x v="0"/>
    <x v="10"/>
    <x v="43"/>
    <x v="2"/>
    <x v="8"/>
    <x v="8"/>
    <x v="1"/>
    <n v="0"/>
  </r>
  <r>
    <d v="2024-11-03T00:00:00"/>
    <x v="0"/>
    <x v="10"/>
    <x v="43"/>
    <x v="2"/>
    <x v="2"/>
    <x v="2"/>
    <x v="1"/>
    <n v="4963520000"/>
  </r>
  <r>
    <d v="2024-11-03T00:00:00"/>
    <x v="0"/>
    <x v="10"/>
    <x v="43"/>
    <x v="2"/>
    <x v="11"/>
    <x v="10"/>
    <x v="4"/>
    <n v="75651751"/>
  </r>
  <r>
    <d v="2024-11-03T00:00:00"/>
    <x v="0"/>
    <x v="10"/>
    <x v="43"/>
    <x v="2"/>
    <x v="12"/>
    <x v="11"/>
    <x v="1"/>
    <n v="3758390000"/>
  </r>
  <r>
    <d v="2024-11-03T00:00:00"/>
    <x v="0"/>
    <x v="10"/>
    <x v="43"/>
    <x v="2"/>
    <x v="5"/>
    <x v="5"/>
    <x v="3"/>
    <n v="3399202352"/>
  </r>
  <r>
    <d v="2024-11-03T00:00:00"/>
    <x v="0"/>
    <x v="10"/>
    <x v="43"/>
    <x v="2"/>
    <x v="15"/>
    <x v="14"/>
    <x v="4"/>
    <n v="0"/>
  </r>
  <r>
    <d v="2024-11-04T00:00:00"/>
    <x v="0"/>
    <x v="10"/>
    <x v="44"/>
    <x v="3"/>
    <x v="9"/>
    <x v="9"/>
    <x v="1"/>
    <n v="16050000"/>
  </r>
  <r>
    <d v="2024-11-04T00:00:00"/>
    <x v="0"/>
    <x v="10"/>
    <x v="44"/>
    <x v="3"/>
    <x v="14"/>
    <x v="13"/>
    <x v="1"/>
    <n v="350610000"/>
  </r>
  <r>
    <d v="2024-11-04T00:00:00"/>
    <x v="0"/>
    <x v="10"/>
    <x v="44"/>
    <x v="3"/>
    <x v="7"/>
    <x v="7"/>
    <x v="4"/>
    <n v="594523663"/>
  </r>
  <r>
    <d v="2024-11-04T00:00:00"/>
    <x v="0"/>
    <x v="10"/>
    <x v="44"/>
    <x v="3"/>
    <x v="3"/>
    <x v="3"/>
    <x v="1"/>
    <n v="108150000"/>
  </r>
  <r>
    <d v="2024-11-04T00:00:00"/>
    <x v="0"/>
    <x v="10"/>
    <x v="44"/>
    <x v="3"/>
    <x v="5"/>
    <x v="5"/>
    <x v="3"/>
    <n v="5046602882"/>
  </r>
  <r>
    <d v="2024-11-04T00:00:00"/>
    <x v="0"/>
    <x v="10"/>
    <x v="44"/>
    <x v="3"/>
    <x v="15"/>
    <x v="14"/>
    <x v="4"/>
    <n v="232601"/>
  </r>
  <r>
    <d v="2024-11-04T00:00:00"/>
    <x v="0"/>
    <x v="10"/>
    <x v="44"/>
    <x v="3"/>
    <x v="13"/>
    <x v="12"/>
    <x v="4"/>
    <n v="0"/>
  </r>
  <r>
    <d v="2024-11-04T00:00:00"/>
    <x v="0"/>
    <x v="10"/>
    <x v="44"/>
    <x v="3"/>
    <x v="8"/>
    <x v="8"/>
    <x v="1"/>
    <n v="0"/>
  </r>
  <r>
    <d v="2024-11-04T00:00:00"/>
    <x v="0"/>
    <x v="10"/>
    <x v="44"/>
    <x v="3"/>
    <x v="0"/>
    <x v="0"/>
    <x v="0"/>
    <n v="4615500000"/>
  </r>
  <r>
    <d v="2024-11-04T00:00:00"/>
    <x v="0"/>
    <x v="10"/>
    <x v="44"/>
    <x v="3"/>
    <x v="12"/>
    <x v="11"/>
    <x v="1"/>
    <n v="5290480000"/>
  </r>
  <r>
    <d v="2024-11-04T00:00:00"/>
    <x v="0"/>
    <x v="10"/>
    <x v="44"/>
    <x v="3"/>
    <x v="16"/>
    <x v="9"/>
    <x v="1"/>
    <n v="49220000"/>
  </r>
  <r>
    <d v="2024-11-04T00:00:00"/>
    <x v="0"/>
    <x v="10"/>
    <x v="44"/>
    <x v="3"/>
    <x v="2"/>
    <x v="2"/>
    <x v="1"/>
    <n v="7390680000"/>
  </r>
  <r>
    <d v="2024-11-04T00:00:00"/>
    <x v="0"/>
    <x v="10"/>
    <x v="44"/>
    <x v="3"/>
    <x v="6"/>
    <x v="6"/>
    <x v="0"/>
    <n v="56000000"/>
  </r>
  <r>
    <d v="2024-11-04T00:00:00"/>
    <x v="0"/>
    <x v="10"/>
    <x v="44"/>
    <x v="3"/>
    <x v="11"/>
    <x v="10"/>
    <x v="4"/>
    <n v="124579998"/>
  </r>
  <r>
    <d v="2024-11-04T00:00:00"/>
    <x v="0"/>
    <x v="10"/>
    <x v="44"/>
    <x v="3"/>
    <x v="10"/>
    <x v="9"/>
    <x v="1"/>
    <n v="46420000"/>
  </r>
  <r>
    <d v="2024-11-04T00:00:00"/>
    <x v="0"/>
    <x v="10"/>
    <x v="44"/>
    <x v="3"/>
    <x v="1"/>
    <x v="1"/>
    <x v="1"/>
    <n v="89250000"/>
  </r>
  <r>
    <d v="2024-11-05T00:00:00"/>
    <x v="0"/>
    <x v="10"/>
    <x v="44"/>
    <x v="4"/>
    <x v="16"/>
    <x v="9"/>
    <x v="1"/>
    <n v="56050000"/>
  </r>
  <r>
    <d v="2024-11-05T00:00:00"/>
    <x v="0"/>
    <x v="10"/>
    <x v="44"/>
    <x v="4"/>
    <x v="12"/>
    <x v="11"/>
    <x v="1"/>
    <n v="5263490000"/>
  </r>
  <r>
    <d v="2024-11-05T00:00:00"/>
    <x v="0"/>
    <x v="10"/>
    <x v="44"/>
    <x v="4"/>
    <x v="9"/>
    <x v="9"/>
    <x v="1"/>
    <n v="31400000"/>
  </r>
  <r>
    <d v="2024-11-05T00:00:00"/>
    <x v="0"/>
    <x v="10"/>
    <x v="44"/>
    <x v="4"/>
    <x v="14"/>
    <x v="13"/>
    <x v="1"/>
    <n v="172640000"/>
  </r>
  <r>
    <d v="2024-11-05T00:00:00"/>
    <x v="0"/>
    <x v="10"/>
    <x v="44"/>
    <x v="4"/>
    <x v="5"/>
    <x v="5"/>
    <x v="3"/>
    <n v="4456354905"/>
  </r>
  <r>
    <d v="2024-11-05T00:00:00"/>
    <x v="0"/>
    <x v="10"/>
    <x v="44"/>
    <x v="4"/>
    <x v="13"/>
    <x v="12"/>
    <x v="4"/>
    <n v="0"/>
  </r>
  <r>
    <d v="2024-11-05T00:00:00"/>
    <x v="0"/>
    <x v="10"/>
    <x v="44"/>
    <x v="4"/>
    <x v="15"/>
    <x v="14"/>
    <x v="4"/>
    <n v="221101"/>
  </r>
  <r>
    <d v="2024-11-05T00:00:00"/>
    <x v="0"/>
    <x v="10"/>
    <x v="44"/>
    <x v="4"/>
    <x v="2"/>
    <x v="2"/>
    <x v="1"/>
    <n v="6997160000"/>
  </r>
  <r>
    <d v="2024-11-05T00:00:00"/>
    <x v="0"/>
    <x v="10"/>
    <x v="44"/>
    <x v="4"/>
    <x v="10"/>
    <x v="9"/>
    <x v="1"/>
    <n v="52100000"/>
  </r>
  <r>
    <d v="2024-11-05T00:00:00"/>
    <x v="0"/>
    <x v="10"/>
    <x v="44"/>
    <x v="4"/>
    <x v="8"/>
    <x v="8"/>
    <x v="1"/>
    <n v="0"/>
  </r>
  <r>
    <d v="2024-11-05T00:00:00"/>
    <x v="0"/>
    <x v="10"/>
    <x v="44"/>
    <x v="4"/>
    <x v="7"/>
    <x v="7"/>
    <x v="4"/>
    <n v="651345155"/>
  </r>
  <r>
    <d v="2024-11-05T00:00:00"/>
    <x v="0"/>
    <x v="10"/>
    <x v="44"/>
    <x v="4"/>
    <x v="0"/>
    <x v="0"/>
    <x v="0"/>
    <n v="4439500000"/>
  </r>
  <r>
    <d v="2024-11-05T00:00:00"/>
    <x v="0"/>
    <x v="10"/>
    <x v="44"/>
    <x v="4"/>
    <x v="11"/>
    <x v="10"/>
    <x v="4"/>
    <n v="123911105"/>
  </r>
  <r>
    <d v="2024-11-05T00:00:00"/>
    <x v="0"/>
    <x v="10"/>
    <x v="44"/>
    <x v="4"/>
    <x v="6"/>
    <x v="6"/>
    <x v="0"/>
    <n v="70000000"/>
  </r>
  <r>
    <d v="2024-11-05T00:00:00"/>
    <x v="0"/>
    <x v="10"/>
    <x v="44"/>
    <x v="4"/>
    <x v="3"/>
    <x v="3"/>
    <x v="1"/>
    <n v="56700000"/>
  </r>
  <r>
    <d v="2024-11-05T00:00:00"/>
    <x v="0"/>
    <x v="10"/>
    <x v="44"/>
    <x v="4"/>
    <x v="1"/>
    <x v="1"/>
    <x v="1"/>
    <n v="115600000"/>
  </r>
  <r>
    <d v="2024-11-06T00:00:00"/>
    <x v="0"/>
    <x v="10"/>
    <x v="44"/>
    <x v="5"/>
    <x v="11"/>
    <x v="10"/>
    <x v="4"/>
    <n v="112612595"/>
  </r>
  <r>
    <d v="2024-11-06T00:00:00"/>
    <x v="0"/>
    <x v="10"/>
    <x v="44"/>
    <x v="5"/>
    <x v="6"/>
    <x v="6"/>
    <x v="0"/>
    <n v="29000000"/>
  </r>
  <r>
    <d v="2024-11-06T00:00:00"/>
    <x v="0"/>
    <x v="10"/>
    <x v="44"/>
    <x v="5"/>
    <x v="12"/>
    <x v="11"/>
    <x v="1"/>
    <n v="4973030000"/>
  </r>
  <r>
    <d v="2024-11-06T00:00:00"/>
    <x v="0"/>
    <x v="10"/>
    <x v="44"/>
    <x v="5"/>
    <x v="7"/>
    <x v="7"/>
    <x v="4"/>
    <n v="501372720"/>
  </r>
  <r>
    <d v="2024-11-06T00:00:00"/>
    <x v="0"/>
    <x v="10"/>
    <x v="44"/>
    <x v="5"/>
    <x v="3"/>
    <x v="3"/>
    <x v="1"/>
    <n v="52500000"/>
  </r>
  <r>
    <d v="2024-11-06T00:00:00"/>
    <x v="0"/>
    <x v="10"/>
    <x v="44"/>
    <x v="5"/>
    <x v="1"/>
    <x v="1"/>
    <x v="1"/>
    <n v="74550000"/>
  </r>
  <r>
    <d v="2024-11-06T00:00:00"/>
    <x v="0"/>
    <x v="10"/>
    <x v="44"/>
    <x v="5"/>
    <x v="0"/>
    <x v="0"/>
    <x v="0"/>
    <n v="4266000000"/>
  </r>
  <r>
    <d v="2024-11-06T00:00:00"/>
    <x v="0"/>
    <x v="10"/>
    <x v="44"/>
    <x v="5"/>
    <x v="2"/>
    <x v="2"/>
    <x v="1"/>
    <n v="6946640000"/>
  </r>
  <r>
    <d v="2024-11-06T00:00:00"/>
    <x v="0"/>
    <x v="10"/>
    <x v="44"/>
    <x v="5"/>
    <x v="13"/>
    <x v="12"/>
    <x v="4"/>
    <n v="0"/>
  </r>
  <r>
    <d v="2024-11-06T00:00:00"/>
    <x v="0"/>
    <x v="10"/>
    <x v="44"/>
    <x v="5"/>
    <x v="15"/>
    <x v="14"/>
    <x v="4"/>
    <n v="866503"/>
  </r>
  <r>
    <d v="2024-11-06T00:00:00"/>
    <x v="0"/>
    <x v="10"/>
    <x v="44"/>
    <x v="5"/>
    <x v="14"/>
    <x v="13"/>
    <x v="1"/>
    <n v="241460000"/>
  </r>
  <r>
    <d v="2024-11-06T00:00:00"/>
    <x v="0"/>
    <x v="10"/>
    <x v="44"/>
    <x v="5"/>
    <x v="5"/>
    <x v="5"/>
    <x v="3"/>
    <n v="3643657657"/>
  </r>
  <r>
    <d v="2024-11-06T00:00:00"/>
    <x v="0"/>
    <x v="10"/>
    <x v="44"/>
    <x v="5"/>
    <x v="16"/>
    <x v="9"/>
    <x v="1"/>
    <n v="0"/>
  </r>
  <r>
    <d v="2024-11-06T00:00:00"/>
    <x v="0"/>
    <x v="10"/>
    <x v="44"/>
    <x v="5"/>
    <x v="9"/>
    <x v="9"/>
    <x v="1"/>
    <n v="6420000"/>
  </r>
  <r>
    <d v="2024-11-06T00:00:00"/>
    <x v="0"/>
    <x v="10"/>
    <x v="44"/>
    <x v="5"/>
    <x v="10"/>
    <x v="9"/>
    <x v="1"/>
    <n v="37030000"/>
  </r>
  <r>
    <d v="2024-11-06T00:00:00"/>
    <x v="0"/>
    <x v="10"/>
    <x v="44"/>
    <x v="5"/>
    <x v="8"/>
    <x v="8"/>
    <x v="1"/>
    <n v="0"/>
  </r>
  <r>
    <d v="2024-11-07T00:00:00"/>
    <x v="0"/>
    <x v="10"/>
    <x v="44"/>
    <x v="6"/>
    <x v="2"/>
    <x v="2"/>
    <x v="1"/>
    <n v="6564280000"/>
  </r>
  <r>
    <d v="2024-11-07T00:00:00"/>
    <x v="0"/>
    <x v="10"/>
    <x v="44"/>
    <x v="6"/>
    <x v="3"/>
    <x v="3"/>
    <x v="1"/>
    <n v="81900000"/>
  </r>
  <r>
    <d v="2024-11-07T00:00:00"/>
    <x v="0"/>
    <x v="10"/>
    <x v="44"/>
    <x v="6"/>
    <x v="1"/>
    <x v="1"/>
    <x v="1"/>
    <n v="30500000"/>
  </r>
  <r>
    <d v="2024-11-07T00:00:00"/>
    <x v="0"/>
    <x v="10"/>
    <x v="44"/>
    <x v="6"/>
    <x v="9"/>
    <x v="9"/>
    <x v="1"/>
    <n v="16050000"/>
  </r>
  <r>
    <d v="2024-11-07T00:00:00"/>
    <x v="0"/>
    <x v="10"/>
    <x v="44"/>
    <x v="6"/>
    <x v="15"/>
    <x v="14"/>
    <x v="4"/>
    <n v="30000"/>
  </r>
  <r>
    <d v="2024-11-07T00:00:00"/>
    <x v="0"/>
    <x v="10"/>
    <x v="44"/>
    <x v="6"/>
    <x v="8"/>
    <x v="8"/>
    <x v="1"/>
    <n v="0"/>
  </r>
  <r>
    <d v="2024-11-07T00:00:00"/>
    <x v="0"/>
    <x v="10"/>
    <x v="44"/>
    <x v="6"/>
    <x v="14"/>
    <x v="13"/>
    <x v="1"/>
    <n v="326510000"/>
  </r>
  <r>
    <d v="2024-11-07T00:00:00"/>
    <x v="0"/>
    <x v="10"/>
    <x v="44"/>
    <x v="6"/>
    <x v="7"/>
    <x v="7"/>
    <x v="4"/>
    <n v="479752175"/>
  </r>
  <r>
    <d v="2024-11-07T00:00:00"/>
    <x v="0"/>
    <x v="10"/>
    <x v="44"/>
    <x v="6"/>
    <x v="10"/>
    <x v="9"/>
    <x v="1"/>
    <n v="229350000"/>
  </r>
  <r>
    <d v="2024-11-07T00:00:00"/>
    <x v="0"/>
    <x v="10"/>
    <x v="44"/>
    <x v="6"/>
    <x v="13"/>
    <x v="12"/>
    <x v="4"/>
    <n v="0"/>
  </r>
  <r>
    <d v="2024-11-07T00:00:00"/>
    <x v="0"/>
    <x v="10"/>
    <x v="44"/>
    <x v="6"/>
    <x v="16"/>
    <x v="9"/>
    <x v="1"/>
    <n v="44960000"/>
  </r>
  <r>
    <d v="2024-11-07T00:00:00"/>
    <x v="0"/>
    <x v="10"/>
    <x v="44"/>
    <x v="6"/>
    <x v="6"/>
    <x v="6"/>
    <x v="0"/>
    <n v="28000000"/>
  </r>
  <r>
    <d v="2024-11-07T00:00:00"/>
    <x v="0"/>
    <x v="10"/>
    <x v="44"/>
    <x v="6"/>
    <x v="12"/>
    <x v="11"/>
    <x v="1"/>
    <n v="5207550000"/>
  </r>
  <r>
    <d v="2024-11-07T00:00:00"/>
    <x v="0"/>
    <x v="10"/>
    <x v="44"/>
    <x v="6"/>
    <x v="5"/>
    <x v="5"/>
    <x v="3"/>
    <n v="3348507551"/>
  </r>
  <r>
    <d v="2024-11-07T00:00:00"/>
    <x v="0"/>
    <x v="10"/>
    <x v="44"/>
    <x v="6"/>
    <x v="11"/>
    <x v="10"/>
    <x v="4"/>
    <n v="83256670"/>
  </r>
  <r>
    <d v="2024-11-07T00:00:00"/>
    <x v="0"/>
    <x v="10"/>
    <x v="44"/>
    <x v="6"/>
    <x v="0"/>
    <x v="0"/>
    <x v="0"/>
    <n v="4404500000"/>
  </r>
  <r>
    <d v="2024-11-08T00:00:00"/>
    <x v="0"/>
    <x v="10"/>
    <x v="44"/>
    <x v="7"/>
    <x v="0"/>
    <x v="0"/>
    <x v="0"/>
    <n v="4719000000"/>
  </r>
  <r>
    <d v="2024-11-08T00:00:00"/>
    <x v="0"/>
    <x v="10"/>
    <x v="44"/>
    <x v="7"/>
    <x v="1"/>
    <x v="1"/>
    <x v="1"/>
    <n v="25500000"/>
  </r>
  <r>
    <d v="2024-11-08T00:00:00"/>
    <x v="0"/>
    <x v="10"/>
    <x v="44"/>
    <x v="7"/>
    <x v="8"/>
    <x v="8"/>
    <x v="1"/>
    <n v="0"/>
  </r>
  <r>
    <d v="2024-11-08T00:00:00"/>
    <x v="0"/>
    <x v="10"/>
    <x v="44"/>
    <x v="7"/>
    <x v="9"/>
    <x v="9"/>
    <x v="1"/>
    <n v="10000000"/>
  </r>
  <r>
    <d v="2024-11-08T00:00:00"/>
    <x v="0"/>
    <x v="10"/>
    <x v="44"/>
    <x v="7"/>
    <x v="3"/>
    <x v="3"/>
    <x v="1"/>
    <n v="41500000"/>
  </r>
  <r>
    <d v="2024-11-08T00:00:00"/>
    <x v="0"/>
    <x v="10"/>
    <x v="44"/>
    <x v="7"/>
    <x v="15"/>
    <x v="14"/>
    <x v="4"/>
    <n v="0"/>
  </r>
  <r>
    <d v="2024-11-08T00:00:00"/>
    <x v="0"/>
    <x v="10"/>
    <x v="44"/>
    <x v="7"/>
    <x v="5"/>
    <x v="5"/>
    <x v="3"/>
    <n v="3493586848"/>
  </r>
  <r>
    <d v="2024-11-08T00:00:00"/>
    <x v="0"/>
    <x v="10"/>
    <x v="44"/>
    <x v="7"/>
    <x v="12"/>
    <x v="11"/>
    <x v="1"/>
    <n v="4058970000"/>
  </r>
  <r>
    <d v="2024-11-08T00:00:00"/>
    <x v="0"/>
    <x v="10"/>
    <x v="44"/>
    <x v="7"/>
    <x v="14"/>
    <x v="13"/>
    <x v="1"/>
    <n v="289360000"/>
  </r>
  <r>
    <d v="2024-11-08T00:00:00"/>
    <x v="0"/>
    <x v="10"/>
    <x v="44"/>
    <x v="7"/>
    <x v="13"/>
    <x v="12"/>
    <x v="4"/>
    <n v="3519000"/>
  </r>
  <r>
    <d v="2024-11-08T00:00:00"/>
    <x v="0"/>
    <x v="10"/>
    <x v="44"/>
    <x v="7"/>
    <x v="10"/>
    <x v="9"/>
    <x v="1"/>
    <n v="77780000"/>
  </r>
  <r>
    <d v="2024-11-08T00:00:00"/>
    <x v="0"/>
    <x v="10"/>
    <x v="44"/>
    <x v="7"/>
    <x v="16"/>
    <x v="9"/>
    <x v="1"/>
    <n v="21400000"/>
  </r>
  <r>
    <d v="2024-11-08T00:00:00"/>
    <x v="0"/>
    <x v="10"/>
    <x v="44"/>
    <x v="7"/>
    <x v="6"/>
    <x v="6"/>
    <x v="0"/>
    <n v="98000000"/>
  </r>
  <r>
    <d v="2024-11-08T00:00:00"/>
    <x v="0"/>
    <x v="10"/>
    <x v="44"/>
    <x v="7"/>
    <x v="7"/>
    <x v="7"/>
    <x v="4"/>
    <n v="431856956"/>
  </r>
  <r>
    <d v="2024-11-08T00:00:00"/>
    <x v="0"/>
    <x v="10"/>
    <x v="44"/>
    <x v="7"/>
    <x v="2"/>
    <x v="2"/>
    <x v="1"/>
    <n v="6599730000"/>
  </r>
  <r>
    <d v="2024-11-08T00:00:00"/>
    <x v="0"/>
    <x v="10"/>
    <x v="44"/>
    <x v="7"/>
    <x v="11"/>
    <x v="10"/>
    <x v="4"/>
    <n v="83353047"/>
  </r>
  <r>
    <d v="2024-11-09T00:00:00"/>
    <x v="0"/>
    <x v="10"/>
    <x v="44"/>
    <x v="8"/>
    <x v="1"/>
    <x v="1"/>
    <x v="1"/>
    <n v="51500000"/>
  </r>
  <r>
    <d v="2024-11-09T00:00:00"/>
    <x v="0"/>
    <x v="10"/>
    <x v="44"/>
    <x v="8"/>
    <x v="11"/>
    <x v="10"/>
    <x v="4"/>
    <n v="72956798"/>
  </r>
  <r>
    <d v="2024-11-09T00:00:00"/>
    <x v="0"/>
    <x v="10"/>
    <x v="44"/>
    <x v="8"/>
    <x v="3"/>
    <x v="3"/>
    <x v="1"/>
    <n v="42000000"/>
  </r>
  <r>
    <d v="2024-11-09T00:00:00"/>
    <x v="0"/>
    <x v="10"/>
    <x v="44"/>
    <x v="8"/>
    <x v="6"/>
    <x v="6"/>
    <x v="0"/>
    <n v="50000000"/>
  </r>
  <r>
    <d v="2024-11-09T00:00:00"/>
    <x v="0"/>
    <x v="10"/>
    <x v="44"/>
    <x v="8"/>
    <x v="2"/>
    <x v="2"/>
    <x v="1"/>
    <n v="6131870000"/>
  </r>
  <r>
    <d v="2024-11-09T00:00:00"/>
    <x v="0"/>
    <x v="10"/>
    <x v="44"/>
    <x v="8"/>
    <x v="12"/>
    <x v="11"/>
    <x v="1"/>
    <n v="4177980000"/>
  </r>
  <r>
    <d v="2024-11-09T00:00:00"/>
    <x v="0"/>
    <x v="10"/>
    <x v="44"/>
    <x v="8"/>
    <x v="13"/>
    <x v="12"/>
    <x v="4"/>
    <n v="270103"/>
  </r>
  <r>
    <d v="2024-11-09T00:00:00"/>
    <x v="0"/>
    <x v="10"/>
    <x v="44"/>
    <x v="8"/>
    <x v="7"/>
    <x v="7"/>
    <x v="4"/>
    <n v="414533616"/>
  </r>
  <r>
    <d v="2024-11-09T00:00:00"/>
    <x v="0"/>
    <x v="10"/>
    <x v="44"/>
    <x v="8"/>
    <x v="0"/>
    <x v="0"/>
    <x v="0"/>
    <n v="4232000000"/>
  </r>
  <r>
    <d v="2024-11-09T00:00:00"/>
    <x v="0"/>
    <x v="10"/>
    <x v="44"/>
    <x v="8"/>
    <x v="15"/>
    <x v="14"/>
    <x v="4"/>
    <n v="563600"/>
  </r>
  <r>
    <d v="2024-11-09T00:00:00"/>
    <x v="0"/>
    <x v="10"/>
    <x v="44"/>
    <x v="8"/>
    <x v="14"/>
    <x v="13"/>
    <x v="1"/>
    <n v="270080000"/>
  </r>
  <r>
    <d v="2024-11-09T00:00:00"/>
    <x v="0"/>
    <x v="10"/>
    <x v="44"/>
    <x v="8"/>
    <x v="8"/>
    <x v="8"/>
    <x v="1"/>
    <n v="0"/>
  </r>
  <r>
    <d v="2024-11-09T00:00:00"/>
    <x v="0"/>
    <x v="10"/>
    <x v="44"/>
    <x v="8"/>
    <x v="5"/>
    <x v="5"/>
    <x v="3"/>
    <n v="3332907050"/>
  </r>
  <r>
    <d v="2024-11-09T00:00:00"/>
    <x v="0"/>
    <x v="10"/>
    <x v="44"/>
    <x v="8"/>
    <x v="16"/>
    <x v="9"/>
    <x v="1"/>
    <n v="32840000"/>
  </r>
  <r>
    <d v="2024-11-09T00:00:00"/>
    <x v="0"/>
    <x v="10"/>
    <x v="44"/>
    <x v="8"/>
    <x v="10"/>
    <x v="9"/>
    <x v="1"/>
    <n v="82060000"/>
  </r>
  <r>
    <d v="2024-11-09T00:00:00"/>
    <x v="0"/>
    <x v="10"/>
    <x v="44"/>
    <x v="8"/>
    <x v="9"/>
    <x v="9"/>
    <x v="1"/>
    <n v="7000000"/>
  </r>
  <r>
    <d v="2024-11-10T00:00:00"/>
    <x v="0"/>
    <x v="10"/>
    <x v="44"/>
    <x v="9"/>
    <x v="16"/>
    <x v="9"/>
    <x v="1"/>
    <n v="0"/>
  </r>
  <r>
    <d v="2024-11-10T00:00:00"/>
    <x v="0"/>
    <x v="10"/>
    <x v="44"/>
    <x v="9"/>
    <x v="15"/>
    <x v="14"/>
    <x v="4"/>
    <n v="0"/>
  </r>
  <r>
    <d v="2024-11-10T00:00:00"/>
    <x v="0"/>
    <x v="10"/>
    <x v="44"/>
    <x v="9"/>
    <x v="6"/>
    <x v="6"/>
    <x v="0"/>
    <n v="67000000"/>
  </r>
  <r>
    <d v="2024-11-10T00:00:00"/>
    <x v="0"/>
    <x v="10"/>
    <x v="44"/>
    <x v="9"/>
    <x v="13"/>
    <x v="12"/>
    <x v="4"/>
    <n v="0"/>
  </r>
  <r>
    <d v="2024-11-10T00:00:00"/>
    <x v="0"/>
    <x v="10"/>
    <x v="44"/>
    <x v="9"/>
    <x v="11"/>
    <x v="10"/>
    <x v="4"/>
    <n v="75608707"/>
  </r>
  <r>
    <d v="2024-11-10T00:00:00"/>
    <x v="0"/>
    <x v="10"/>
    <x v="44"/>
    <x v="9"/>
    <x v="0"/>
    <x v="0"/>
    <x v="0"/>
    <n v="4113000000"/>
  </r>
  <r>
    <d v="2024-11-10T00:00:00"/>
    <x v="0"/>
    <x v="10"/>
    <x v="44"/>
    <x v="9"/>
    <x v="10"/>
    <x v="9"/>
    <x v="1"/>
    <n v="33120000"/>
  </r>
  <r>
    <d v="2024-11-10T00:00:00"/>
    <x v="0"/>
    <x v="10"/>
    <x v="44"/>
    <x v="9"/>
    <x v="12"/>
    <x v="11"/>
    <x v="1"/>
    <n v="4525300000"/>
  </r>
  <r>
    <d v="2024-11-10T00:00:00"/>
    <x v="0"/>
    <x v="10"/>
    <x v="44"/>
    <x v="9"/>
    <x v="8"/>
    <x v="8"/>
    <x v="1"/>
    <n v="0"/>
  </r>
  <r>
    <d v="2024-11-10T00:00:00"/>
    <x v="0"/>
    <x v="10"/>
    <x v="44"/>
    <x v="9"/>
    <x v="7"/>
    <x v="7"/>
    <x v="4"/>
    <n v="342957491"/>
  </r>
  <r>
    <d v="2024-11-10T00:00:00"/>
    <x v="0"/>
    <x v="10"/>
    <x v="44"/>
    <x v="9"/>
    <x v="14"/>
    <x v="13"/>
    <x v="1"/>
    <n v="280980000"/>
  </r>
  <r>
    <d v="2024-11-10T00:00:00"/>
    <x v="0"/>
    <x v="10"/>
    <x v="44"/>
    <x v="9"/>
    <x v="9"/>
    <x v="9"/>
    <x v="1"/>
    <n v="0"/>
  </r>
  <r>
    <d v="2024-11-10T00:00:00"/>
    <x v="0"/>
    <x v="10"/>
    <x v="44"/>
    <x v="9"/>
    <x v="3"/>
    <x v="3"/>
    <x v="1"/>
    <n v="0"/>
  </r>
  <r>
    <d v="2024-11-10T00:00:00"/>
    <x v="0"/>
    <x v="10"/>
    <x v="44"/>
    <x v="9"/>
    <x v="5"/>
    <x v="5"/>
    <x v="3"/>
    <n v="3407987482"/>
  </r>
  <r>
    <d v="2024-11-10T00:00:00"/>
    <x v="0"/>
    <x v="10"/>
    <x v="44"/>
    <x v="9"/>
    <x v="1"/>
    <x v="1"/>
    <x v="1"/>
    <n v="0"/>
  </r>
  <r>
    <d v="2024-11-10T00:00:00"/>
    <x v="0"/>
    <x v="10"/>
    <x v="44"/>
    <x v="9"/>
    <x v="2"/>
    <x v="2"/>
    <x v="1"/>
    <n v="5725010000"/>
  </r>
  <r>
    <d v="2024-11-11T00:00:00"/>
    <x v="0"/>
    <x v="10"/>
    <x v="45"/>
    <x v="10"/>
    <x v="1"/>
    <x v="1"/>
    <x v="1"/>
    <n v="45150000"/>
  </r>
  <r>
    <d v="2024-11-11T00:00:00"/>
    <x v="0"/>
    <x v="10"/>
    <x v="45"/>
    <x v="10"/>
    <x v="10"/>
    <x v="9"/>
    <x v="1"/>
    <n v="124900000"/>
  </r>
  <r>
    <d v="2024-11-11T00:00:00"/>
    <x v="0"/>
    <x v="10"/>
    <x v="45"/>
    <x v="10"/>
    <x v="12"/>
    <x v="11"/>
    <x v="1"/>
    <n v="5202610000"/>
  </r>
  <r>
    <d v="2024-11-11T00:00:00"/>
    <x v="0"/>
    <x v="10"/>
    <x v="45"/>
    <x v="10"/>
    <x v="14"/>
    <x v="13"/>
    <x v="1"/>
    <n v="373570000"/>
  </r>
  <r>
    <d v="2024-11-11T00:00:00"/>
    <x v="0"/>
    <x v="10"/>
    <x v="45"/>
    <x v="10"/>
    <x v="5"/>
    <x v="5"/>
    <x v="3"/>
    <n v="4052591034"/>
  </r>
  <r>
    <d v="2024-11-11T00:00:00"/>
    <x v="0"/>
    <x v="10"/>
    <x v="45"/>
    <x v="10"/>
    <x v="15"/>
    <x v="14"/>
    <x v="4"/>
    <n v="4000"/>
  </r>
  <r>
    <d v="2024-11-11T00:00:00"/>
    <x v="0"/>
    <x v="10"/>
    <x v="45"/>
    <x v="10"/>
    <x v="13"/>
    <x v="12"/>
    <x v="4"/>
    <n v="0"/>
  </r>
  <r>
    <d v="2024-11-11T00:00:00"/>
    <x v="0"/>
    <x v="10"/>
    <x v="45"/>
    <x v="10"/>
    <x v="11"/>
    <x v="10"/>
    <x v="4"/>
    <n v="70550432"/>
  </r>
  <r>
    <d v="2024-11-11T00:00:00"/>
    <x v="0"/>
    <x v="10"/>
    <x v="45"/>
    <x v="10"/>
    <x v="2"/>
    <x v="2"/>
    <x v="1"/>
    <n v="7622310000"/>
  </r>
  <r>
    <d v="2024-11-11T00:00:00"/>
    <x v="0"/>
    <x v="10"/>
    <x v="45"/>
    <x v="10"/>
    <x v="16"/>
    <x v="9"/>
    <x v="1"/>
    <n v="18190000"/>
  </r>
  <r>
    <d v="2024-11-11T00:00:00"/>
    <x v="0"/>
    <x v="10"/>
    <x v="45"/>
    <x v="10"/>
    <x v="6"/>
    <x v="6"/>
    <x v="0"/>
    <n v="62000000"/>
  </r>
  <r>
    <d v="2024-11-11T00:00:00"/>
    <x v="0"/>
    <x v="10"/>
    <x v="45"/>
    <x v="10"/>
    <x v="7"/>
    <x v="7"/>
    <x v="4"/>
    <n v="376438672"/>
  </r>
  <r>
    <d v="2024-11-11T00:00:00"/>
    <x v="0"/>
    <x v="10"/>
    <x v="45"/>
    <x v="10"/>
    <x v="8"/>
    <x v="8"/>
    <x v="1"/>
    <n v="0"/>
  </r>
  <r>
    <d v="2024-11-11T00:00:00"/>
    <x v="0"/>
    <x v="10"/>
    <x v="45"/>
    <x v="10"/>
    <x v="3"/>
    <x v="3"/>
    <x v="1"/>
    <n v="20500000"/>
  </r>
  <r>
    <d v="2024-11-11T00:00:00"/>
    <x v="0"/>
    <x v="10"/>
    <x v="45"/>
    <x v="10"/>
    <x v="9"/>
    <x v="9"/>
    <x v="1"/>
    <n v="18420000"/>
  </r>
  <r>
    <d v="2024-11-11T00:00:00"/>
    <x v="0"/>
    <x v="10"/>
    <x v="45"/>
    <x v="10"/>
    <x v="0"/>
    <x v="0"/>
    <x v="0"/>
    <n v="4831000000"/>
  </r>
  <r>
    <d v="2024-11-12T00:00:00"/>
    <x v="0"/>
    <x v="10"/>
    <x v="45"/>
    <x v="11"/>
    <x v="7"/>
    <x v="7"/>
    <x v="4"/>
    <n v="390738034"/>
  </r>
  <r>
    <d v="2024-11-12T00:00:00"/>
    <x v="0"/>
    <x v="10"/>
    <x v="45"/>
    <x v="11"/>
    <x v="10"/>
    <x v="9"/>
    <x v="1"/>
    <n v="120160000"/>
  </r>
  <r>
    <d v="2024-11-12T00:00:00"/>
    <x v="0"/>
    <x v="10"/>
    <x v="45"/>
    <x v="11"/>
    <x v="13"/>
    <x v="12"/>
    <x v="4"/>
    <n v="0"/>
  </r>
  <r>
    <d v="2024-11-12T00:00:00"/>
    <x v="0"/>
    <x v="10"/>
    <x v="45"/>
    <x v="11"/>
    <x v="12"/>
    <x v="11"/>
    <x v="1"/>
    <n v="4815230000"/>
  </r>
  <r>
    <d v="2024-11-12T00:00:00"/>
    <x v="0"/>
    <x v="10"/>
    <x v="45"/>
    <x v="11"/>
    <x v="15"/>
    <x v="14"/>
    <x v="4"/>
    <n v="0"/>
  </r>
  <r>
    <d v="2024-11-12T00:00:00"/>
    <x v="0"/>
    <x v="10"/>
    <x v="45"/>
    <x v="11"/>
    <x v="11"/>
    <x v="10"/>
    <x v="4"/>
    <n v="65779283"/>
  </r>
  <r>
    <d v="2024-11-12T00:00:00"/>
    <x v="0"/>
    <x v="10"/>
    <x v="45"/>
    <x v="11"/>
    <x v="0"/>
    <x v="0"/>
    <x v="0"/>
    <n v="4194500000"/>
  </r>
  <r>
    <d v="2024-11-12T00:00:00"/>
    <x v="0"/>
    <x v="10"/>
    <x v="45"/>
    <x v="11"/>
    <x v="2"/>
    <x v="2"/>
    <x v="1"/>
    <n v="7474590000"/>
  </r>
  <r>
    <d v="2024-11-12T00:00:00"/>
    <x v="0"/>
    <x v="10"/>
    <x v="45"/>
    <x v="11"/>
    <x v="8"/>
    <x v="8"/>
    <x v="1"/>
    <n v="0"/>
  </r>
  <r>
    <d v="2024-11-12T00:00:00"/>
    <x v="0"/>
    <x v="10"/>
    <x v="45"/>
    <x v="11"/>
    <x v="9"/>
    <x v="9"/>
    <x v="1"/>
    <n v="0"/>
  </r>
  <r>
    <d v="2024-11-12T00:00:00"/>
    <x v="0"/>
    <x v="10"/>
    <x v="45"/>
    <x v="11"/>
    <x v="16"/>
    <x v="9"/>
    <x v="1"/>
    <n v="0"/>
  </r>
  <r>
    <d v="2024-11-12T00:00:00"/>
    <x v="0"/>
    <x v="10"/>
    <x v="45"/>
    <x v="11"/>
    <x v="14"/>
    <x v="13"/>
    <x v="1"/>
    <n v="392580000"/>
  </r>
  <r>
    <d v="2024-11-12T00:00:00"/>
    <x v="0"/>
    <x v="10"/>
    <x v="45"/>
    <x v="11"/>
    <x v="5"/>
    <x v="5"/>
    <x v="3"/>
    <n v="3274783840"/>
  </r>
  <r>
    <d v="2024-11-12T00:00:00"/>
    <x v="0"/>
    <x v="10"/>
    <x v="45"/>
    <x v="11"/>
    <x v="6"/>
    <x v="6"/>
    <x v="0"/>
    <n v="75000000"/>
  </r>
  <r>
    <d v="2024-11-12T00:00:00"/>
    <x v="0"/>
    <x v="10"/>
    <x v="45"/>
    <x v="11"/>
    <x v="3"/>
    <x v="3"/>
    <x v="1"/>
    <n v="112850000"/>
  </r>
  <r>
    <d v="2024-11-12T00:00:00"/>
    <x v="0"/>
    <x v="10"/>
    <x v="45"/>
    <x v="11"/>
    <x v="1"/>
    <x v="1"/>
    <x v="1"/>
    <n v="126650000"/>
  </r>
  <r>
    <d v="2024-11-13T00:00:00"/>
    <x v="0"/>
    <x v="10"/>
    <x v="45"/>
    <x v="12"/>
    <x v="8"/>
    <x v="8"/>
    <x v="1"/>
    <n v="0"/>
  </r>
  <r>
    <d v="2024-11-13T00:00:00"/>
    <x v="0"/>
    <x v="10"/>
    <x v="45"/>
    <x v="12"/>
    <x v="5"/>
    <x v="5"/>
    <x v="3"/>
    <n v="3562501805"/>
  </r>
  <r>
    <d v="2024-11-13T00:00:00"/>
    <x v="0"/>
    <x v="10"/>
    <x v="45"/>
    <x v="12"/>
    <x v="7"/>
    <x v="7"/>
    <x v="4"/>
    <n v="379108119"/>
  </r>
  <r>
    <d v="2024-11-13T00:00:00"/>
    <x v="0"/>
    <x v="10"/>
    <x v="45"/>
    <x v="12"/>
    <x v="15"/>
    <x v="14"/>
    <x v="4"/>
    <n v="0"/>
  </r>
  <r>
    <d v="2024-11-13T00:00:00"/>
    <x v="0"/>
    <x v="10"/>
    <x v="45"/>
    <x v="12"/>
    <x v="3"/>
    <x v="3"/>
    <x v="1"/>
    <n v="0"/>
  </r>
  <r>
    <d v="2024-11-13T00:00:00"/>
    <x v="0"/>
    <x v="10"/>
    <x v="45"/>
    <x v="12"/>
    <x v="13"/>
    <x v="12"/>
    <x v="4"/>
    <n v="0"/>
  </r>
  <r>
    <d v="2024-11-13T00:00:00"/>
    <x v="0"/>
    <x v="10"/>
    <x v="45"/>
    <x v="12"/>
    <x v="1"/>
    <x v="1"/>
    <x v="1"/>
    <n v="46500000"/>
  </r>
  <r>
    <d v="2024-11-13T00:00:00"/>
    <x v="0"/>
    <x v="10"/>
    <x v="45"/>
    <x v="12"/>
    <x v="11"/>
    <x v="10"/>
    <x v="4"/>
    <n v="60081328"/>
  </r>
  <r>
    <d v="2024-11-13T00:00:00"/>
    <x v="0"/>
    <x v="10"/>
    <x v="45"/>
    <x v="12"/>
    <x v="0"/>
    <x v="0"/>
    <x v="0"/>
    <n v="4064000000"/>
  </r>
  <r>
    <d v="2024-11-13T00:00:00"/>
    <x v="0"/>
    <x v="10"/>
    <x v="45"/>
    <x v="12"/>
    <x v="2"/>
    <x v="2"/>
    <x v="1"/>
    <n v="7080540000"/>
  </r>
  <r>
    <d v="2024-11-13T00:00:00"/>
    <x v="0"/>
    <x v="10"/>
    <x v="45"/>
    <x v="12"/>
    <x v="12"/>
    <x v="11"/>
    <x v="1"/>
    <n v="4690690000"/>
  </r>
  <r>
    <d v="2024-11-13T00:00:00"/>
    <x v="0"/>
    <x v="10"/>
    <x v="45"/>
    <x v="12"/>
    <x v="9"/>
    <x v="9"/>
    <x v="1"/>
    <n v="0"/>
  </r>
  <r>
    <d v="2024-11-13T00:00:00"/>
    <x v="0"/>
    <x v="10"/>
    <x v="45"/>
    <x v="12"/>
    <x v="10"/>
    <x v="9"/>
    <x v="1"/>
    <n v="146960000"/>
  </r>
  <r>
    <d v="2024-11-13T00:00:00"/>
    <x v="0"/>
    <x v="10"/>
    <x v="45"/>
    <x v="12"/>
    <x v="16"/>
    <x v="9"/>
    <x v="1"/>
    <n v="21400000"/>
  </r>
  <r>
    <d v="2024-11-13T00:00:00"/>
    <x v="0"/>
    <x v="10"/>
    <x v="45"/>
    <x v="12"/>
    <x v="6"/>
    <x v="6"/>
    <x v="0"/>
    <n v="48000000"/>
  </r>
  <r>
    <d v="2024-11-13T00:00:00"/>
    <x v="0"/>
    <x v="10"/>
    <x v="45"/>
    <x v="12"/>
    <x v="14"/>
    <x v="13"/>
    <x v="1"/>
    <n v="325590000"/>
  </r>
  <r>
    <d v="2024-11-14T00:00:00"/>
    <x v="0"/>
    <x v="10"/>
    <x v="45"/>
    <x v="13"/>
    <x v="3"/>
    <x v="3"/>
    <x v="1"/>
    <n v="20000000"/>
  </r>
  <r>
    <d v="2024-11-14T00:00:00"/>
    <x v="0"/>
    <x v="10"/>
    <x v="45"/>
    <x v="13"/>
    <x v="1"/>
    <x v="1"/>
    <x v="1"/>
    <n v="31500000"/>
  </r>
  <r>
    <d v="2024-11-14T00:00:00"/>
    <x v="0"/>
    <x v="10"/>
    <x v="45"/>
    <x v="13"/>
    <x v="12"/>
    <x v="11"/>
    <x v="1"/>
    <n v="4693550000"/>
  </r>
  <r>
    <d v="2024-11-14T00:00:00"/>
    <x v="0"/>
    <x v="10"/>
    <x v="45"/>
    <x v="13"/>
    <x v="7"/>
    <x v="7"/>
    <x v="4"/>
    <n v="355076983"/>
  </r>
  <r>
    <d v="2024-11-14T00:00:00"/>
    <x v="0"/>
    <x v="10"/>
    <x v="45"/>
    <x v="13"/>
    <x v="13"/>
    <x v="12"/>
    <x v="4"/>
    <n v="54000"/>
  </r>
  <r>
    <d v="2024-11-14T00:00:00"/>
    <x v="0"/>
    <x v="10"/>
    <x v="45"/>
    <x v="13"/>
    <x v="14"/>
    <x v="13"/>
    <x v="1"/>
    <n v="360520000"/>
  </r>
  <r>
    <d v="2024-11-14T00:00:00"/>
    <x v="0"/>
    <x v="10"/>
    <x v="45"/>
    <x v="13"/>
    <x v="5"/>
    <x v="5"/>
    <x v="3"/>
    <n v="3128609342"/>
  </r>
  <r>
    <d v="2024-11-14T00:00:00"/>
    <x v="0"/>
    <x v="10"/>
    <x v="45"/>
    <x v="13"/>
    <x v="8"/>
    <x v="8"/>
    <x v="1"/>
    <n v="0"/>
  </r>
  <r>
    <d v="2024-11-14T00:00:00"/>
    <x v="0"/>
    <x v="10"/>
    <x v="45"/>
    <x v="13"/>
    <x v="0"/>
    <x v="0"/>
    <x v="0"/>
    <n v="4150000000"/>
  </r>
  <r>
    <d v="2024-11-14T00:00:00"/>
    <x v="0"/>
    <x v="10"/>
    <x v="45"/>
    <x v="13"/>
    <x v="11"/>
    <x v="10"/>
    <x v="4"/>
    <n v="59121871"/>
  </r>
  <r>
    <d v="2024-11-14T00:00:00"/>
    <x v="0"/>
    <x v="10"/>
    <x v="45"/>
    <x v="13"/>
    <x v="15"/>
    <x v="14"/>
    <x v="4"/>
    <n v="0"/>
  </r>
  <r>
    <d v="2024-11-14T00:00:00"/>
    <x v="0"/>
    <x v="10"/>
    <x v="45"/>
    <x v="13"/>
    <x v="2"/>
    <x v="2"/>
    <x v="1"/>
    <n v="6833200000"/>
  </r>
  <r>
    <d v="2024-11-14T00:00:00"/>
    <x v="0"/>
    <x v="10"/>
    <x v="45"/>
    <x v="13"/>
    <x v="6"/>
    <x v="6"/>
    <x v="0"/>
    <n v="29000000"/>
  </r>
  <r>
    <d v="2024-11-14T00:00:00"/>
    <x v="0"/>
    <x v="10"/>
    <x v="45"/>
    <x v="13"/>
    <x v="16"/>
    <x v="9"/>
    <x v="1"/>
    <n v="10700000"/>
  </r>
  <r>
    <d v="2024-11-14T00:00:00"/>
    <x v="0"/>
    <x v="10"/>
    <x v="45"/>
    <x v="13"/>
    <x v="10"/>
    <x v="9"/>
    <x v="1"/>
    <n v="189060000"/>
  </r>
  <r>
    <d v="2024-11-14T00:00:00"/>
    <x v="0"/>
    <x v="10"/>
    <x v="45"/>
    <x v="13"/>
    <x v="9"/>
    <x v="9"/>
    <x v="1"/>
    <n v="0"/>
  </r>
  <r>
    <d v="2024-11-15T00:00:00"/>
    <x v="0"/>
    <x v="10"/>
    <x v="45"/>
    <x v="14"/>
    <x v="11"/>
    <x v="10"/>
    <x v="4"/>
    <n v="59218815"/>
  </r>
  <r>
    <d v="2024-11-15T00:00:00"/>
    <x v="0"/>
    <x v="10"/>
    <x v="45"/>
    <x v="14"/>
    <x v="7"/>
    <x v="7"/>
    <x v="4"/>
    <n v="363025364"/>
  </r>
  <r>
    <d v="2024-11-15T00:00:00"/>
    <x v="0"/>
    <x v="10"/>
    <x v="45"/>
    <x v="14"/>
    <x v="3"/>
    <x v="3"/>
    <x v="1"/>
    <n v="0"/>
  </r>
  <r>
    <d v="2024-11-15T00:00:00"/>
    <x v="0"/>
    <x v="10"/>
    <x v="45"/>
    <x v="14"/>
    <x v="13"/>
    <x v="12"/>
    <x v="4"/>
    <n v="0"/>
  </r>
  <r>
    <d v="2024-11-15T00:00:00"/>
    <x v="0"/>
    <x v="10"/>
    <x v="45"/>
    <x v="14"/>
    <x v="12"/>
    <x v="11"/>
    <x v="1"/>
    <n v="5208760000"/>
  </r>
  <r>
    <d v="2024-11-15T00:00:00"/>
    <x v="0"/>
    <x v="10"/>
    <x v="45"/>
    <x v="14"/>
    <x v="0"/>
    <x v="0"/>
    <x v="0"/>
    <n v="4812000000"/>
  </r>
  <r>
    <d v="2024-11-15T00:00:00"/>
    <x v="0"/>
    <x v="10"/>
    <x v="45"/>
    <x v="14"/>
    <x v="6"/>
    <x v="6"/>
    <x v="0"/>
    <n v="77000000"/>
  </r>
  <r>
    <d v="2024-11-15T00:00:00"/>
    <x v="0"/>
    <x v="10"/>
    <x v="45"/>
    <x v="14"/>
    <x v="14"/>
    <x v="13"/>
    <x v="1"/>
    <n v="412380000"/>
  </r>
  <r>
    <d v="2024-11-15T00:00:00"/>
    <x v="0"/>
    <x v="10"/>
    <x v="45"/>
    <x v="14"/>
    <x v="5"/>
    <x v="5"/>
    <x v="3"/>
    <n v="3728959833"/>
  </r>
  <r>
    <d v="2024-11-15T00:00:00"/>
    <x v="0"/>
    <x v="10"/>
    <x v="45"/>
    <x v="14"/>
    <x v="1"/>
    <x v="1"/>
    <x v="1"/>
    <n v="52500000"/>
  </r>
  <r>
    <d v="2024-11-15T00:00:00"/>
    <x v="0"/>
    <x v="10"/>
    <x v="45"/>
    <x v="14"/>
    <x v="8"/>
    <x v="8"/>
    <x v="1"/>
    <n v="0"/>
  </r>
  <r>
    <d v="2024-11-15T00:00:00"/>
    <x v="0"/>
    <x v="10"/>
    <x v="45"/>
    <x v="14"/>
    <x v="10"/>
    <x v="9"/>
    <x v="1"/>
    <n v="100250000"/>
  </r>
  <r>
    <d v="2024-11-15T00:00:00"/>
    <x v="0"/>
    <x v="10"/>
    <x v="45"/>
    <x v="14"/>
    <x v="16"/>
    <x v="9"/>
    <x v="1"/>
    <n v="41400000"/>
  </r>
  <r>
    <d v="2024-11-15T00:00:00"/>
    <x v="0"/>
    <x v="10"/>
    <x v="45"/>
    <x v="14"/>
    <x v="2"/>
    <x v="2"/>
    <x v="1"/>
    <n v="6844330000"/>
  </r>
  <r>
    <d v="2024-11-15T00:00:00"/>
    <x v="0"/>
    <x v="10"/>
    <x v="45"/>
    <x v="14"/>
    <x v="9"/>
    <x v="9"/>
    <x v="1"/>
    <n v="21400000"/>
  </r>
  <r>
    <d v="2024-11-15T00:00:00"/>
    <x v="0"/>
    <x v="10"/>
    <x v="45"/>
    <x v="14"/>
    <x v="15"/>
    <x v="14"/>
    <x v="4"/>
    <n v="10000"/>
  </r>
  <r>
    <d v="2024-11-16T00:00:00"/>
    <x v="0"/>
    <x v="10"/>
    <x v="45"/>
    <x v="15"/>
    <x v="14"/>
    <x v="13"/>
    <x v="1"/>
    <n v="279110000"/>
  </r>
  <r>
    <d v="2024-11-16T00:00:00"/>
    <x v="0"/>
    <x v="10"/>
    <x v="45"/>
    <x v="15"/>
    <x v="6"/>
    <x v="6"/>
    <x v="0"/>
    <n v="33000000"/>
  </r>
  <r>
    <d v="2024-11-16T00:00:00"/>
    <x v="0"/>
    <x v="10"/>
    <x v="45"/>
    <x v="15"/>
    <x v="12"/>
    <x v="11"/>
    <x v="1"/>
    <n v="3878800000"/>
  </r>
  <r>
    <d v="2024-11-16T00:00:00"/>
    <x v="0"/>
    <x v="10"/>
    <x v="45"/>
    <x v="15"/>
    <x v="5"/>
    <x v="5"/>
    <x v="3"/>
    <n v="3276245470"/>
  </r>
  <r>
    <d v="2024-11-16T00:00:00"/>
    <x v="0"/>
    <x v="10"/>
    <x v="45"/>
    <x v="15"/>
    <x v="15"/>
    <x v="14"/>
    <x v="4"/>
    <n v="0"/>
  </r>
  <r>
    <d v="2024-11-16T00:00:00"/>
    <x v="0"/>
    <x v="10"/>
    <x v="45"/>
    <x v="15"/>
    <x v="0"/>
    <x v="0"/>
    <x v="0"/>
    <n v="4208500000"/>
  </r>
  <r>
    <d v="2024-11-16T00:00:00"/>
    <x v="0"/>
    <x v="10"/>
    <x v="45"/>
    <x v="15"/>
    <x v="16"/>
    <x v="9"/>
    <x v="1"/>
    <n v="10700000"/>
  </r>
  <r>
    <d v="2024-11-16T00:00:00"/>
    <x v="0"/>
    <x v="10"/>
    <x v="45"/>
    <x v="15"/>
    <x v="13"/>
    <x v="12"/>
    <x v="4"/>
    <n v="0"/>
  </r>
  <r>
    <d v="2024-11-16T00:00:00"/>
    <x v="0"/>
    <x v="10"/>
    <x v="45"/>
    <x v="15"/>
    <x v="3"/>
    <x v="3"/>
    <x v="1"/>
    <n v="0"/>
  </r>
  <r>
    <d v="2024-11-16T00:00:00"/>
    <x v="0"/>
    <x v="10"/>
    <x v="45"/>
    <x v="15"/>
    <x v="1"/>
    <x v="1"/>
    <x v="1"/>
    <n v="63000000"/>
  </r>
  <r>
    <d v="2024-11-16T00:00:00"/>
    <x v="0"/>
    <x v="10"/>
    <x v="45"/>
    <x v="15"/>
    <x v="9"/>
    <x v="9"/>
    <x v="1"/>
    <n v="16700000"/>
  </r>
  <r>
    <d v="2024-11-16T00:00:00"/>
    <x v="0"/>
    <x v="10"/>
    <x v="45"/>
    <x v="15"/>
    <x v="10"/>
    <x v="9"/>
    <x v="1"/>
    <n v="84970000"/>
  </r>
  <r>
    <d v="2024-11-16T00:00:00"/>
    <x v="0"/>
    <x v="10"/>
    <x v="45"/>
    <x v="15"/>
    <x v="7"/>
    <x v="7"/>
    <x v="4"/>
    <n v="341810796"/>
  </r>
  <r>
    <d v="2024-11-16T00:00:00"/>
    <x v="0"/>
    <x v="10"/>
    <x v="45"/>
    <x v="15"/>
    <x v="11"/>
    <x v="10"/>
    <x v="4"/>
    <n v="61498390"/>
  </r>
  <r>
    <d v="2024-11-16T00:00:00"/>
    <x v="0"/>
    <x v="10"/>
    <x v="45"/>
    <x v="15"/>
    <x v="8"/>
    <x v="8"/>
    <x v="1"/>
    <n v="0"/>
  </r>
  <r>
    <d v="2024-11-16T00:00:00"/>
    <x v="0"/>
    <x v="10"/>
    <x v="45"/>
    <x v="15"/>
    <x v="2"/>
    <x v="2"/>
    <x v="1"/>
    <n v="5780130000"/>
  </r>
  <r>
    <d v="2024-11-17T00:00:00"/>
    <x v="0"/>
    <x v="10"/>
    <x v="45"/>
    <x v="16"/>
    <x v="15"/>
    <x v="14"/>
    <x v="4"/>
    <n v="0"/>
  </r>
  <r>
    <d v="2024-11-17T00:00:00"/>
    <x v="0"/>
    <x v="10"/>
    <x v="45"/>
    <x v="16"/>
    <x v="2"/>
    <x v="2"/>
    <x v="1"/>
    <n v="5579090000"/>
  </r>
  <r>
    <d v="2024-11-17T00:00:00"/>
    <x v="0"/>
    <x v="10"/>
    <x v="45"/>
    <x v="16"/>
    <x v="13"/>
    <x v="12"/>
    <x v="4"/>
    <n v="0"/>
  </r>
  <r>
    <d v="2024-11-17T00:00:00"/>
    <x v="0"/>
    <x v="10"/>
    <x v="45"/>
    <x v="16"/>
    <x v="14"/>
    <x v="13"/>
    <x v="1"/>
    <n v="608790000"/>
  </r>
  <r>
    <d v="2024-11-17T00:00:00"/>
    <x v="0"/>
    <x v="10"/>
    <x v="45"/>
    <x v="16"/>
    <x v="5"/>
    <x v="5"/>
    <x v="3"/>
    <n v="2754065183"/>
  </r>
  <r>
    <d v="2024-11-17T00:00:00"/>
    <x v="0"/>
    <x v="10"/>
    <x v="45"/>
    <x v="16"/>
    <x v="6"/>
    <x v="6"/>
    <x v="0"/>
    <n v="44000000"/>
  </r>
  <r>
    <d v="2024-11-17T00:00:00"/>
    <x v="0"/>
    <x v="10"/>
    <x v="45"/>
    <x v="16"/>
    <x v="7"/>
    <x v="7"/>
    <x v="4"/>
    <n v="274619566"/>
  </r>
  <r>
    <d v="2024-11-17T00:00:00"/>
    <x v="0"/>
    <x v="10"/>
    <x v="45"/>
    <x v="16"/>
    <x v="16"/>
    <x v="9"/>
    <x v="1"/>
    <n v="0"/>
  </r>
  <r>
    <d v="2024-11-17T00:00:00"/>
    <x v="0"/>
    <x v="10"/>
    <x v="45"/>
    <x v="16"/>
    <x v="9"/>
    <x v="9"/>
    <x v="1"/>
    <n v="21400000"/>
  </r>
  <r>
    <d v="2024-11-17T00:00:00"/>
    <x v="0"/>
    <x v="10"/>
    <x v="45"/>
    <x v="16"/>
    <x v="10"/>
    <x v="9"/>
    <x v="1"/>
    <n v="69920000"/>
  </r>
  <r>
    <d v="2024-11-17T00:00:00"/>
    <x v="0"/>
    <x v="10"/>
    <x v="45"/>
    <x v="16"/>
    <x v="8"/>
    <x v="8"/>
    <x v="1"/>
    <n v="0"/>
  </r>
  <r>
    <d v="2024-11-17T00:00:00"/>
    <x v="0"/>
    <x v="10"/>
    <x v="45"/>
    <x v="16"/>
    <x v="11"/>
    <x v="10"/>
    <x v="4"/>
    <n v="49884376"/>
  </r>
  <r>
    <d v="2024-11-17T00:00:00"/>
    <x v="0"/>
    <x v="10"/>
    <x v="45"/>
    <x v="16"/>
    <x v="0"/>
    <x v="0"/>
    <x v="0"/>
    <n v="3883500000"/>
  </r>
  <r>
    <d v="2024-11-17T00:00:00"/>
    <x v="0"/>
    <x v="10"/>
    <x v="45"/>
    <x v="16"/>
    <x v="3"/>
    <x v="3"/>
    <x v="1"/>
    <n v="0"/>
  </r>
  <r>
    <d v="2024-11-17T00:00:00"/>
    <x v="0"/>
    <x v="10"/>
    <x v="45"/>
    <x v="16"/>
    <x v="12"/>
    <x v="11"/>
    <x v="1"/>
    <n v="3867930000"/>
  </r>
  <r>
    <d v="2024-11-17T00:00:00"/>
    <x v="0"/>
    <x v="10"/>
    <x v="45"/>
    <x v="16"/>
    <x v="1"/>
    <x v="1"/>
    <x v="1"/>
    <n v="21000000"/>
  </r>
  <r>
    <d v="2024-11-18T00:00:00"/>
    <x v="0"/>
    <x v="10"/>
    <x v="46"/>
    <x v="17"/>
    <x v="8"/>
    <x v="8"/>
    <x v="1"/>
    <n v="0"/>
  </r>
  <r>
    <d v="2024-11-18T00:00:00"/>
    <x v="0"/>
    <x v="10"/>
    <x v="46"/>
    <x v="17"/>
    <x v="17"/>
    <x v="9"/>
    <x v="1"/>
    <n v="0"/>
  </r>
  <r>
    <d v="2024-11-18T00:00:00"/>
    <x v="0"/>
    <x v="10"/>
    <x v="46"/>
    <x v="17"/>
    <x v="5"/>
    <x v="5"/>
    <x v="3"/>
    <n v="3405724713"/>
  </r>
  <r>
    <d v="2024-11-18T00:00:00"/>
    <x v="0"/>
    <x v="10"/>
    <x v="46"/>
    <x v="17"/>
    <x v="11"/>
    <x v="10"/>
    <x v="4"/>
    <n v="68965950"/>
  </r>
  <r>
    <d v="2024-11-18T00:00:00"/>
    <x v="0"/>
    <x v="10"/>
    <x v="46"/>
    <x v="17"/>
    <x v="1"/>
    <x v="1"/>
    <x v="1"/>
    <n v="71450000"/>
  </r>
  <r>
    <d v="2024-11-18T00:00:00"/>
    <x v="0"/>
    <x v="10"/>
    <x v="46"/>
    <x v="17"/>
    <x v="18"/>
    <x v="15"/>
    <x v="1"/>
    <n v="5000000"/>
  </r>
  <r>
    <d v="2024-11-18T00:00:00"/>
    <x v="0"/>
    <x v="10"/>
    <x v="46"/>
    <x v="17"/>
    <x v="15"/>
    <x v="14"/>
    <x v="4"/>
    <n v="0"/>
  </r>
  <r>
    <d v="2024-11-18T00:00:00"/>
    <x v="0"/>
    <x v="10"/>
    <x v="46"/>
    <x v="17"/>
    <x v="0"/>
    <x v="0"/>
    <x v="0"/>
    <n v="4391500000"/>
  </r>
  <r>
    <d v="2024-11-18T00:00:00"/>
    <x v="0"/>
    <x v="10"/>
    <x v="46"/>
    <x v="17"/>
    <x v="3"/>
    <x v="3"/>
    <x v="1"/>
    <n v="0"/>
  </r>
  <r>
    <d v="2024-11-18T00:00:00"/>
    <x v="0"/>
    <x v="10"/>
    <x v="46"/>
    <x v="17"/>
    <x v="7"/>
    <x v="7"/>
    <x v="4"/>
    <n v="311628124"/>
  </r>
  <r>
    <d v="2024-11-18T00:00:00"/>
    <x v="0"/>
    <x v="10"/>
    <x v="46"/>
    <x v="17"/>
    <x v="14"/>
    <x v="13"/>
    <x v="1"/>
    <n v="441990000"/>
  </r>
  <r>
    <d v="2024-11-18T00:00:00"/>
    <x v="0"/>
    <x v="10"/>
    <x v="46"/>
    <x v="17"/>
    <x v="19"/>
    <x v="12"/>
    <x v="4"/>
    <n v="206631307"/>
  </r>
  <r>
    <d v="2024-11-18T00:00:00"/>
    <x v="0"/>
    <x v="10"/>
    <x v="46"/>
    <x v="17"/>
    <x v="20"/>
    <x v="9"/>
    <x v="1"/>
    <n v="16050000"/>
  </r>
  <r>
    <d v="2024-11-18T00:00:00"/>
    <x v="0"/>
    <x v="10"/>
    <x v="46"/>
    <x v="17"/>
    <x v="12"/>
    <x v="11"/>
    <x v="1"/>
    <n v="4851130000"/>
  </r>
  <r>
    <d v="2024-11-18T00:00:00"/>
    <x v="0"/>
    <x v="10"/>
    <x v="46"/>
    <x v="17"/>
    <x v="2"/>
    <x v="2"/>
    <x v="1"/>
    <n v="7273280000"/>
  </r>
  <r>
    <d v="2024-11-18T00:00:00"/>
    <x v="0"/>
    <x v="10"/>
    <x v="46"/>
    <x v="17"/>
    <x v="6"/>
    <x v="6"/>
    <x v="0"/>
    <n v="67000000"/>
  </r>
  <r>
    <d v="2024-11-18T00:00:00"/>
    <x v="0"/>
    <x v="10"/>
    <x v="46"/>
    <x v="17"/>
    <x v="21"/>
    <x v="9"/>
    <x v="1"/>
    <n v="66380000"/>
  </r>
  <r>
    <d v="2024-11-19T00:00:00"/>
    <x v="0"/>
    <x v="10"/>
    <x v="46"/>
    <x v="18"/>
    <x v="3"/>
    <x v="3"/>
    <x v="1"/>
    <n v="0"/>
  </r>
  <r>
    <d v="2024-11-19T00:00:00"/>
    <x v="0"/>
    <x v="10"/>
    <x v="46"/>
    <x v="18"/>
    <x v="1"/>
    <x v="1"/>
    <x v="1"/>
    <n v="33600000"/>
  </r>
  <r>
    <d v="2024-11-19T00:00:00"/>
    <x v="0"/>
    <x v="10"/>
    <x v="46"/>
    <x v="18"/>
    <x v="15"/>
    <x v="14"/>
    <x v="4"/>
    <n v="0"/>
  </r>
  <r>
    <d v="2024-11-19T00:00:00"/>
    <x v="0"/>
    <x v="10"/>
    <x v="46"/>
    <x v="18"/>
    <x v="19"/>
    <x v="12"/>
    <x v="4"/>
    <n v="343540581"/>
  </r>
  <r>
    <d v="2024-11-19T00:00:00"/>
    <x v="0"/>
    <x v="10"/>
    <x v="46"/>
    <x v="18"/>
    <x v="18"/>
    <x v="15"/>
    <x v="1"/>
    <n v="5000000"/>
  </r>
  <r>
    <d v="2024-11-19T00:00:00"/>
    <x v="0"/>
    <x v="10"/>
    <x v="46"/>
    <x v="18"/>
    <x v="14"/>
    <x v="13"/>
    <x v="1"/>
    <n v="265830000"/>
  </r>
  <r>
    <d v="2024-11-19T00:00:00"/>
    <x v="0"/>
    <x v="10"/>
    <x v="46"/>
    <x v="18"/>
    <x v="11"/>
    <x v="10"/>
    <x v="4"/>
    <n v="62722826"/>
  </r>
  <r>
    <d v="2024-11-19T00:00:00"/>
    <x v="0"/>
    <x v="10"/>
    <x v="46"/>
    <x v="18"/>
    <x v="0"/>
    <x v="0"/>
    <x v="0"/>
    <n v="3921000000"/>
  </r>
  <r>
    <d v="2024-11-19T00:00:00"/>
    <x v="0"/>
    <x v="10"/>
    <x v="46"/>
    <x v="18"/>
    <x v="5"/>
    <x v="5"/>
    <x v="3"/>
    <n v="3210615730"/>
  </r>
  <r>
    <d v="2024-11-19T00:00:00"/>
    <x v="0"/>
    <x v="10"/>
    <x v="46"/>
    <x v="18"/>
    <x v="8"/>
    <x v="8"/>
    <x v="1"/>
    <n v="0"/>
  </r>
  <r>
    <d v="2024-11-19T00:00:00"/>
    <x v="0"/>
    <x v="10"/>
    <x v="46"/>
    <x v="18"/>
    <x v="12"/>
    <x v="11"/>
    <x v="1"/>
    <n v="4949460000"/>
  </r>
  <r>
    <d v="2024-11-19T00:00:00"/>
    <x v="0"/>
    <x v="10"/>
    <x v="46"/>
    <x v="18"/>
    <x v="2"/>
    <x v="2"/>
    <x v="1"/>
    <n v="7049750000"/>
  </r>
  <r>
    <d v="2024-11-19T00:00:00"/>
    <x v="0"/>
    <x v="10"/>
    <x v="46"/>
    <x v="18"/>
    <x v="7"/>
    <x v="7"/>
    <x v="4"/>
    <n v="288751469"/>
  </r>
  <r>
    <d v="2024-11-19T00:00:00"/>
    <x v="0"/>
    <x v="10"/>
    <x v="46"/>
    <x v="18"/>
    <x v="6"/>
    <x v="6"/>
    <x v="0"/>
    <n v="40000000"/>
  </r>
  <r>
    <d v="2024-11-19T00:00:00"/>
    <x v="0"/>
    <x v="10"/>
    <x v="46"/>
    <x v="18"/>
    <x v="20"/>
    <x v="9"/>
    <x v="1"/>
    <n v="32100000"/>
  </r>
  <r>
    <d v="2024-11-19T00:00:00"/>
    <x v="0"/>
    <x v="10"/>
    <x v="46"/>
    <x v="18"/>
    <x v="21"/>
    <x v="9"/>
    <x v="1"/>
    <n v="100600000"/>
  </r>
  <r>
    <d v="2024-11-19T00:00:00"/>
    <x v="0"/>
    <x v="10"/>
    <x v="46"/>
    <x v="18"/>
    <x v="17"/>
    <x v="9"/>
    <x v="1"/>
    <n v="21400000"/>
  </r>
  <r>
    <d v="2024-11-20T00:00:00"/>
    <x v="0"/>
    <x v="10"/>
    <x v="46"/>
    <x v="19"/>
    <x v="2"/>
    <x v="2"/>
    <x v="1"/>
    <n v="6685750000"/>
  </r>
  <r>
    <d v="2024-11-20T00:00:00"/>
    <x v="0"/>
    <x v="10"/>
    <x v="46"/>
    <x v="19"/>
    <x v="21"/>
    <x v="9"/>
    <x v="1"/>
    <n v="33170000"/>
  </r>
  <r>
    <d v="2024-11-20T00:00:00"/>
    <x v="0"/>
    <x v="10"/>
    <x v="46"/>
    <x v="19"/>
    <x v="15"/>
    <x v="14"/>
    <x v="4"/>
    <n v="0"/>
  </r>
  <r>
    <d v="2024-11-20T00:00:00"/>
    <x v="0"/>
    <x v="10"/>
    <x v="46"/>
    <x v="19"/>
    <x v="18"/>
    <x v="15"/>
    <x v="1"/>
    <n v="0"/>
  </r>
  <r>
    <d v="2024-11-20T00:00:00"/>
    <x v="0"/>
    <x v="10"/>
    <x v="46"/>
    <x v="19"/>
    <x v="7"/>
    <x v="7"/>
    <x v="4"/>
    <n v="316097106"/>
  </r>
  <r>
    <d v="2024-11-20T00:00:00"/>
    <x v="0"/>
    <x v="10"/>
    <x v="46"/>
    <x v="19"/>
    <x v="1"/>
    <x v="1"/>
    <x v="1"/>
    <n v="21000000"/>
  </r>
  <r>
    <d v="2024-11-20T00:00:00"/>
    <x v="0"/>
    <x v="10"/>
    <x v="46"/>
    <x v="19"/>
    <x v="0"/>
    <x v="0"/>
    <x v="0"/>
    <n v="3955000000"/>
  </r>
  <r>
    <d v="2024-11-20T00:00:00"/>
    <x v="0"/>
    <x v="10"/>
    <x v="46"/>
    <x v="19"/>
    <x v="11"/>
    <x v="10"/>
    <x v="4"/>
    <n v="65687319"/>
  </r>
  <r>
    <d v="2024-11-20T00:00:00"/>
    <x v="0"/>
    <x v="10"/>
    <x v="46"/>
    <x v="19"/>
    <x v="19"/>
    <x v="12"/>
    <x v="4"/>
    <n v="213357944"/>
  </r>
  <r>
    <d v="2024-11-20T00:00:00"/>
    <x v="0"/>
    <x v="10"/>
    <x v="46"/>
    <x v="19"/>
    <x v="8"/>
    <x v="8"/>
    <x v="1"/>
    <n v="0"/>
  </r>
  <r>
    <d v="2024-11-20T00:00:00"/>
    <x v="0"/>
    <x v="10"/>
    <x v="46"/>
    <x v="19"/>
    <x v="12"/>
    <x v="11"/>
    <x v="1"/>
    <n v="4421750000"/>
  </r>
  <r>
    <d v="2024-11-20T00:00:00"/>
    <x v="0"/>
    <x v="10"/>
    <x v="46"/>
    <x v="19"/>
    <x v="14"/>
    <x v="13"/>
    <x v="1"/>
    <n v="265010000"/>
  </r>
  <r>
    <d v="2024-11-20T00:00:00"/>
    <x v="0"/>
    <x v="10"/>
    <x v="46"/>
    <x v="19"/>
    <x v="5"/>
    <x v="5"/>
    <x v="3"/>
    <n v="3181441230"/>
  </r>
  <r>
    <d v="2024-11-20T00:00:00"/>
    <x v="0"/>
    <x v="10"/>
    <x v="46"/>
    <x v="19"/>
    <x v="6"/>
    <x v="6"/>
    <x v="0"/>
    <n v="39000000"/>
  </r>
  <r>
    <d v="2024-11-20T00:00:00"/>
    <x v="0"/>
    <x v="10"/>
    <x v="46"/>
    <x v="19"/>
    <x v="17"/>
    <x v="9"/>
    <x v="1"/>
    <n v="10700000"/>
  </r>
  <r>
    <d v="2024-11-20T00:00:00"/>
    <x v="0"/>
    <x v="10"/>
    <x v="46"/>
    <x v="19"/>
    <x v="20"/>
    <x v="9"/>
    <x v="1"/>
    <n v="21400000"/>
  </r>
  <r>
    <d v="2024-11-20T00:00:00"/>
    <x v="0"/>
    <x v="10"/>
    <x v="46"/>
    <x v="19"/>
    <x v="3"/>
    <x v="3"/>
    <x v="1"/>
    <n v="41000000"/>
  </r>
  <r>
    <d v="2024-11-21T00:00:00"/>
    <x v="0"/>
    <x v="10"/>
    <x v="46"/>
    <x v="20"/>
    <x v="12"/>
    <x v="11"/>
    <x v="1"/>
    <n v="4530340000"/>
  </r>
  <r>
    <d v="2024-11-21T00:00:00"/>
    <x v="0"/>
    <x v="10"/>
    <x v="46"/>
    <x v="20"/>
    <x v="3"/>
    <x v="3"/>
    <x v="1"/>
    <n v="29900000"/>
  </r>
  <r>
    <d v="2024-11-21T00:00:00"/>
    <x v="0"/>
    <x v="10"/>
    <x v="46"/>
    <x v="20"/>
    <x v="5"/>
    <x v="5"/>
    <x v="3"/>
    <n v="3436723841"/>
  </r>
  <r>
    <d v="2024-11-21T00:00:00"/>
    <x v="0"/>
    <x v="10"/>
    <x v="46"/>
    <x v="20"/>
    <x v="2"/>
    <x v="2"/>
    <x v="1"/>
    <n v="6138230000"/>
  </r>
  <r>
    <d v="2024-11-21T00:00:00"/>
    <x v="0"/>
    <x v="10"/>
    <x v="46"/>
    <x v="20"/>
    <x v="6"/>
    <x v="6"/>
    <x v="0"/>
    <n v="44000000"/>
  </r>
  <r>
    <d v="2024-11-21T00:00:00"/>
    <x v="0"/>
    <x v="10"/>
    <x v="46"/>
    <x v="20"/>
    <x v="19"/>
    <x v="12"/>
    <x v="4"/>
    <n v="183953900"/>
  </r>
  <r>
    <d v="2024-11-21T00:00:00"/>
    <x v="0"/>
    <x v="10"/>
    <x v="46"/>
    <x v="20"/>
    <x v="18"/>
    <x v="15"/>
    <x v="1"/>
    <n v="0"/>
  </r>
  <r>
    <d v="2024-11-21T00:00:00"/>
    <x v="0"/>
    <x v="10"/>
    <x v="46"/>
    <x v="20"/>
    <x v="11"/>
    <x v="10"/>
    <x v="4"/>
    <n v="89202580"/>
  </r>
  <r>
    <d v="2024-11-21T00:00:00"/>
    <x v="0"/>
    <x v="10"/>
    <x v="46"/>
    <x v="20"/>
    <x v="20"/>
    <x v="9"/>
    <x v="1"/>
    <n v="0"/>
  </r>
  <r>
    <d v="2024-11-21T00:00:00"/>
    <x v="0"/>
    <x v="10"/>
    <x v="46"/>
    <x v="20"/>
    <x v="15"/>
    <x v="14"/>
    <x v="4"/>
    <n v="190000"/>
  </r>
  <r>
    <d v="2024-11-21T00:00:00"/>
    <x v="0"/>
    <x v="10"/>
    <x v="46"/>
    <x v="20"/>
    <x v="0"/>
    <x v="0"/>
    <x v="0"/>
    <n v="4033500000"/>
  </r>
  <r>
    <d v="2024-11-21T00:00:00"/>
    <x v="0"/>
    <x v="10"/>
    <x v="46"/>
    <x v="20"/>
    <x v="14"/>
    <x v="13"/>
    <x v="1"/>
    <n v="192750000"/>
  </r>
  <r>
    <d v="2024-11-21T00:00:00"/>
    <x v="0"/>
    <x v="10"/>
    <x v="46"/>
    <x v="20"/>
    <x v="7"/>
    <x v="7"/>
    <x v="4"/>
    <n v="354048543"/>
  </r>
  <r>
    <d v="2024-11-21T00:00:00"/>
    <x v="0"/>
    <x v="10"/>
    <x v="46"/>
    <x v="20"/>
    <x v="21"/>
    <x v="9"/>
    <x v="1"/>
    <n v="92670000"/>
  </r>
  <r>
    <d v="2024-11-21T00:00:00"/>
    <x v="0"/>
    <x v="10"/>
    <x v="46"/>
    <x v="20"/>
    <x v="8"/>
    <x v="8"/>
    <x v="1"/>
    <n v="0"/>
  </r>
  <r>
    <d v="2024-11-21T00:00:00"/>
    <x v="0"/>
    <x v="10"/>
    <x v="46"/>
    <x v="20"/>
    <x v="1"/>
    <x v="1"/>
    <x v="1"/>
    <n v="56750000"/>
  </r>
  <r>
    <d v="2024-11-21T00:00:00"/>
    <x v="0"/>
    <x v="10"/>
    <x v="46"/>
    <x v="20"/>
    <x v="17"/>
    <x v="9"/>
    <x v="1"/>
    <n v="60800000"/>
  </r>
  <r>
    <d v="2024-11-22T00:00:00"/>
    <x v="0"/>
    <x v="10"/>
    <x v="46"/>
    <x v="21"/>
    <x v="19"/>
    <x v="12"/>
    <x v="4"/>
    <n v="120094644"/>
  </r>
  <r>
    <d v="2024-11-22T00:00:00"/>
    <x v="0"/>
    <x v="10"/>
    <x v="46"/>
    <x v="21"/>
    <x v="3"/>
    <x v="3"/>
    <x v="1"/>
    <n v="0"/>
  </r>
  <r>
    <d v="2024-11-22T00:00:00"/>
    <x v="0"/>
    <x v="10"/>
    <x v="46"/>
    <x v="21"/>
    <x v="11"/>
    <x v="10"/>
    <x v="4"/>
    <n v="77722463"/>
  </r>
  <r>
    <d v="2024-11-22T00:00:00"/>
    <x v="0"/>
    <x v="10"/>
    <x v="46"/>
    <x v="21"/>
    <x v="17"/>
    <x v="9"/>
    <x v="1"/>
    <n v="21400000"/>
  </r>
  <r>
    <d v="2024-11-22T00:00:00"/>
    <x v="0"/>
    <x v="10"/>
    <x v="46"/>
    <x v="21"/>
    <x v="5"/>
    <x v="5"/>
    <x v="3"/>
    <n v="3549782561"/>
  </r>
  <r>
    <d v="2024-11-22T00:00:00"/>
    <x v="0"/>
    <x v="10"/>
    <x v="46"/>
    <x v="21"/>
    <x v="20"/>
    <x v="9"/>
    <x v="1"/>
    <n v="27400000"/>
  </r>
  <r>
    <d v="2024-11-22T00:00:00"/>
    <x v="0"/>
    <x v="10"/>
    <x v="46"/>
    <x v="21"/>
    <x v="1"/>
    <x v="1"/>
    <x v="1"/>
    <n v="52500000"/>
  </r>
  <r>
    <d v="2024-11-22T00:00:00"/>
    <x v="0"/>
    <x v="10"/>
    <x v="46"/>
    <x v="21"/>
    <x v="21"/>
    <x v="9"/>
    <x v="1"/>
    <n v="63800000"/>
  </r>
  <r>
    <d v="2024-11-22T00:00:00"/>
    <x v="0"/>
    <x v="10"/>
    <x v="46"/>
    <x v="21"/>
    <x v="7"/>
    <x v="7"/>
    <x v="4"/>
    <n v="307896883"/>
  </r>
  <r>
    <d v="2024-11-22T00:00:00"/>
    <x v="0"/>
    <x v="10"/>
    <x v="46"/>
    <x v="21"/>
    <x v="8"/>
    <x v="8"/>
    <x v="1"/>
    <n v="0"/>
  </r>
  <r>
    <d v="2024-11-22T00:00:00"/>
    <x v="0"/>
    <x v="10"/>
    <x v="46"/>
    <x v="21"/>
    <x v="15"/>
    <x v="14"/>
    <x v="4"/>
    <n v="0"/>
  </r>
  <r>
    <d v="2024-11-22T00:00:00"/>
    <x v="0"/>
    <x v="10"/>
    <x v="46"/>
    <x v="21"/>
    <x v="14"/>
    <x v="13"/>
    <x v="1"/>
    <n v="293170000"/>
  </r>
  <r>
    <d v="2024-11-22T00:00:00"/>
    <x v="0"/>
    <x v="10"/>
    <x v="46"/>
    <x v="21"/>
    <x v="18"/>
    <x v="15"/>
    <x v="1"/>
    <n v="0"/>
  </r>
  <r>
    <d v="2024-11-22T00:00:00"/>
    <x v="0"/>
    <x v="10"/>
    <x v="46"/>
    <x v="21"/>
    <x v="0"/>
    <x v="0"/>
    <x v="0"/>
    <n v="3833000000"/>
  </r>
  <r>
    <d v="2024-11-22T00:00:00"/>
    <x v="0"/>
    <x v="10"/>
    <x v="46"/>
    <x v="21"/>
    <x v="2"/>
    <x v="2"/>
    <x v="1"/>
    <n v="6916440000"/>
  </r>
  <r>
    <d v="2024-11-22T00:00:00"/>
    <x v="0"/>
    <x v="10"/>
    <x v="46"/>
    <x v="21"/>
    <x v="6"/>
    <x v="6"/>
    <x v="0"/>
    <n v="46000000"/>
  </r>
  <r>
    <d v="2024-11-22T00:00:00"/>
    <x v="0"/>
    <x v="10"/>
    <x v="46"/>
    <x v="21"/>
    <x v="12"/>
    <x v="11"/>
    <x v="1"/>
    <n v="4752530000"/>
  </r>
  <r>
    <d v="2024-11-23T00:00:00"/>
    <x v="0"/>
    <x v="10"/>
    <x v="46"/>
    <x v="22"/>
    <x v="3"/>
    <x v="3"/>
    <x v="1"/>
    <n v="0"/>
  </r>
  <r>
    <d v="2024-11-23T00:00:00"/>
    <x v="0"/>
    <x v="10"/>
    <x v="46"/>
    <x v="22"/>
    <x v="21"/>
    <x v="9"/>
    <x v="1"/>
    <n v="76990000"/>
  </r>
  <r>
    <d v="2024-11-23T00:00:00"/>
    <x v="0"/>
    <x v="10"/>
    <x v="46"/>
    <x v="22"/>
    <x v="14"/>
    <x v="13"/>
    <x v="1"/>
    <n v="428410000"/>
  </r>
  <r>
    <d v="2024-11-23T00:00:00"/>
    <x v="0"/>
    <x v="10"/>
    <x v="46"/>
    <x v="22"/>
    <x v="17"/>
    <x v="9"/>
    <x v="1"/>
    <n v="0"/>
  </r>
  <r>
    <d v="2024-11-23T00:00:00"/>
    <x v="0"/>
    <x v="10"/>
    <x v="46"/>
    <x v="22"/>
    <x v="18"/>
    <x v="15"/>
    <x v="1"/>
    <n v="0"/>
  </r>
  <r>
    <d v="2024-11-23T00:00:00"/>
    <x v="0"/>
    <x v="10"/>
    <x v="46"/>
    <x v="22"/>
    <x v="20"/>
    <x v="9"/>
    <x v="1"/>
    <n v="49220000"/>
  </r>
  <r>
    <d v="2024-11-23T00:00:00"/>
    <x v="0"/>
    <x v="10"/>
    <x v="46"/>
    <x v="22"/>
    <x v="15"/>
    <x v="14"/>
    <x v="4"/>
    <n v="0"/>
  </r>
  <r>
    <d v="2024-11-23T00:00:00"/>
    <x v="0"/>
    <x v="10"/>
    <x v="46"/>
    <x v="22"/>
    <x v="19"/>
    <x v="12"/>
    <x v="4"/>
    <n v="124149900"/>
  </r>
  <r>
    <d v="2024-11-23T00:00:00"/>
    <x v="0"/>
    <x v="10"/>
    <x v="46"/>
    <x v="22"/>
    <x v="2"/>
    <x v="2"/>
    <x v="1"/>
    <n v="6108700000"/>
  </r>
  <r>
    <d v="2024-11-23T00:00:00"/>
    <x v="0"/>
    <x v="10"/>
    <x v="46"/>
    <x v="22"/>
    <x v="0"/>
    <x v="0"/>
    <x v="0"/>
    <n v="3717000000"/>
  </r>
  <r>
    <d v="2024-11-23T00:00:00"/>
    <x v="0"/>
    <x v="10"/>
    <x v="46"/>
    <x v="22"/>
    <x v="1"/>
    <x v="1"/>
    <x v="1"/>
    <n v="10500000"/>
  </r>
  <r>
    <d v="2024-11-23T00:00:00"/>
    <x v="0"/>
    <x v="10"/>
    <x v="46"/>
    <x v="22"/>
    <x v="7"/>
    <x v="7"/>
    <x v="4"/>
    <n v="254992948"/>
  </r>
  <r>
    <d v="2024-11-23T00:00:00"/>
    <x v="0"/>
    <x v="10"/>
    <x v="46"/>
    <x v="22"/>
    <x v="8"/>
    <x v="8"/>
    <x v="1"/>
    <n v="0"/>
  </r>
  <r>
    <d v="2024-11-23T00:00:00"/>
    <x v="0"/>
    <x v="10"/>
    <x v="46"/>
    <x v="22"/>
    <x v="12"/>
    <x v="11"/>
    <x v="1"/>
    <n v="4324200000"/>
  </r>
  <r>
    <d v="2024-11-23T00:00:00"/>
    <x v="0"/>
    <x v="10"/>
    <x v="46"/>
    <x v="22"/>
    <x v="11"/>
    <x v="10"/>
    <x v="4"/>
    <n v="88000466"/>
  </r>
  <r>
    <d v="2024-11-23T00:00:00"/>
    <x v="0"/>
    <x v="10"/>
    <x v="46"/>
    <x v="22"/>
    <x v="5"/>
    <x v="5"/>
    <x v="3"/>
    <n v="2890718049"/>
  </r>
  <r>
    <d v="2024-11-23T00:00:00"/>
    <x v="0"/>
    <x v="10"/>
    <x v="46"/>
    <x v="22"/>
    <x v="6"/>
    <x v="6"/>
    <x v="0"/>
    <n v="74000000"/>
  </r>
  <r>
    <d v="2024-11-24T00:00:00"/>
    <x v="0"/>
    <x v="10"/>
    <x v="46"/>
    <x v="23"/>
    <x v="17"/>
    <x v="9"/>
    <x v="1"/>
    <n v="20000000"/>
  </r>
  <r>
    <d v="2024-11-24T00:00:00"/>
    <x v="0"/>
    <x v="10"/>
    <x v="46"/>
    <x v="23"/>
    <x v="15"/>
    <x v="14"/>
    <x v="4"/>
    <n v="0"/>
  </r>
  <r>
    <d v="2024-11-24T00:00:00"/>
    <x v="0"/>
    <x v="10"/>
    <x v="46"/>
    <x v="23"/>
    <x v="3"/>
    <x v="3"/>
    <x v="1"/>
    <n v="0"/>
  </r>
  <r>
    <d v="2024-11-24T00:00:00"/>
    <x v="0"/>
    <x v="10"/>
    <x v="46"/>
    <x v="23"/>
    <x v="2"/>
    <x v="2"/>
    <x v="1"/>
    <n v="3267490000"/>
  </r>
  <r>
    <d v="2024-11-24T00:00:00"/>
    <x v="0"/>
    <x v="10"/>
    <x v="46"/>
    <x v="23"/>
    <x v="8"/>
    <x v="8"/>
    <x v="1"/>
    <n v="0"/>
  </r>
  <r>
    <d v="2024-11-24T00:00:00"/>
    <x v="0"/>
    <x v="10"/>
    <x v="46"/>
    <x v="23"/>
    <x v="20"/>
    <x v="9"/>
    <x v="1"/>
    <n v="0"/>
  </r>
  <r>
    <d v="2024-11-24T00:00:00"/>
    <x v="0"/>
    <x v="10"/>
    <x v="46"/>
    <x v="23"/>
    <x v="19"/>
    <x v="12"/>
    <x v="4"/>
    <n v="52447499"/>
  </r>
  <r>
    <d v="2024-11-24T00:00:00"/>
    <x v="0"/>
    <x v="10"/>
    <x v="46"/>
    <x v="23"/>
    <x v="7"/>
    <x v="7"/>
    <x v="4"/>
    <n v="268114542"/>
  </r>
  <r>
    <d v="2024-11-24T00:00:00"/>
    <x v="0"/>
    <x v="10"/>
    <x v="46"/>
    <x v="23"/>
    <x v="14"/>
    <x v="13"/>
    <x v="1"/>
    <n v="238510000"/>
  </r>
  <r>
    <d v="2024-11-24T00:00:00"/>
    <x v="0"/>
    <x v="10"/>
    <x v="46"/>
    <x v="23"/>
    <x v="6"/>
    <x v="6"/>
    <x v="0"/>
    <n v="40000000"/>
  </r>
  <r>
    <d v="2024-11-24T00:00:00"/>
    <x v="0"/>
    <x v="10"/>
    <x v="46"/>
    <x v="23"/>
    <x v="11"/>
    <x v="10"/>
    <x v="4"/>
    <n v="57894698"/>
  </r>
  <r>
    <d v="2024-11-24T00:00:00"/>
    <x v="0"/>
    <x v="10"/>
    <x v="46"/>
    <x v="23"/>
    <x v="0"/>
    <x v="0"/>
    <x v="0"/>
    <n v="1949000000"/>
  </r>
  <r>
    <d v="2024-11-24T00:00:00"/>
    <x v="0"/>
    <x v="10"/>
    <x v="46"/>
    <x v="23"/>
    <x v="1"/>
    <x v="1"/>
    <x v="1"/>
    <n v="21000000"/>
  </r>
  <r>
    <d v="2024-11-24T00:00:00"/>
    <x v="0"/>
    <x v="10"/>
    <x v="46"/>
    <x v="23"/>
    <x v="18"/>
    <x v="15"/>
    <x v="1"/>
    <n v="0"/>
  </r>
  <r>
    <d v="2024-11-24T00:00:00"/>
    <x v="0"/>
    <x v="10"/>
    <x v="46"/>
    <x v="23"/>
    <x v="12"/>
    <x v="11"/>
    <x v="1"/>
    <n v="2074750000"/>
  </r>
  <r>
    <d v="2024-11-24T00:00:00"/>
    <x v="0"/>
    <x v="10"/>
    <x v="46"/>
    <x v="23"/>
    <x v="21"/>
    <x v="9"/>
    <x v="1"/>
    <n v="32470000"/>
  </r>
  <r>
    <d v="2024-11-24T00:00:00"/>
    <x v="0"/>
    <x v="10"/>
    <x v="46"/>
    <x v="23"/>
    <x v="5"/>
    <x v="5"/>
    <x v="3"/>
    <n v="2312398101"/>
  </r>
  <r>
    <d v="2024-11-25T00:00:00"/>
    <x v="0"/>
    <x v="10"/>
    <x v="47"/>
    <x v="24"/>
    <x v="7"/>
    <x v="7"/>
    <x v="4"/>
    <n v="270986226"/>
  </r>
  <r>
    <d v="2024-11-25T00:00:00"/>
    <x v="0"/>
    <x v="10"/>
    <x v="47"/>
    <x v="24"/>
    <x v="2"/>
    <x v="2"/>
    <x v="1"/>
    <n v="3993870000"/>
  </r>
  <r>
    <d v="2024-11-25T00:00:00"/>
    <x v="0"/>
    <x v="10"/>
    <x v="47"/>
    <x v="24"/>
    <x v="0"/>
    <x v="0"/>
    <x v="0"/>
    <n v="2208500000"/>
  </r>
  <r>
    <d v="2024-11-25T00:00:00"/>
    <x v="0"/>
    <x v="10"/>
    <x v="47"/>
    <x v="24"/>
    <x v="8"/>
    <x v="8"/>
    <x v="1"/>
    <n v="0"/>
  </r>
  <r>
    <d v="2024-11-25T00:00:00"/>
    <x v="0"/>
    <x v="10"/>
    <x v="47"/>
    <x v="24"/>
    <x v="14"/>
    <x v="13"/>
    <x v="1"/>
    <n v="228970000"/>
  </r>
  <r>
    <d v="2024-11-25T00:00:00"/>
    <x v="0"/>
    <x v="10"/>
    <x v="47"/>
    <x v="24"/>
    <x v="6"/>
    <x v="6"/>
    <x v="0"/>
    <n v="31000000"/>
  </r>
  <r>
    <d v="2024-11-25T00:00:00"/>
    <x v="0"/>
    <x v="10"/>
    <x v="47"/>
    <x v="24"/>
    <x v="17"/>
    <x v="9"/>
    <x v="1"/>
    <n v="0"/>
  </r>
  <r>
    <d v="2024-11-25T00:00:00"/>
    <x v="0"/>
    <x v="10"/>
    <x v="47"/>
    <x v="24"/>
    <x v="11"/>
    <x v="10"/>
    <x v="4"/>
    <n v="63036153"/>
  </r>
  <r>
    <d v="2024-11-25T00:00:00"/>
    <x v="0"/>
    <x v="10"/>
    <x v="47"/>
    <x v="24"/>
    <x v="5"/>
    <x v="5"/>
    <x v="3"/>
    <n v="3192289232"/>
  </r>
  <r>
    <d v="2024-11-25T00:00:00"/>
    <x v="0"/>
    <x v="10"/>
    <x v="47"/>
    <x v="24"/>
    <x v="15"/>
    <x v="14"/>
    <x v="4"/>
    <n v="0"/>
  </r>
  <r>
    <d v="2024-11-25T00:00:00"/>
    <x v="0"/>
    <x v="10"/>
    <x v="47"/>
    <x v="24"/>
    <x v="18"/>
    <x v="15"/>
    <x v="1"/>
    <n v="5000000"/>
  </r>
  <r>
    <d v="2024-11-25T00:00:00"/>
    <x v="0"/>
    <x v="10"/>
    <x v="47"/>
    <x v="24"/>
    <x v="20"/>
    <x v="9"/>
    <x v="1"/>
    <n v="0"/>
  </r>
  <r>
    <d v="2024-11-25T00:00:00"/>
    <x v="0"/>
    <x v="10"/>
    <x v="47"/>
    <x v="24"/>
    <x v="21"/>
    <x v="9"/>
    <x v="1"/>
    <n v="107000000"/>
  </r>
  <r>
    <d v="2024-11-25T00:00:00"/>
    <x v="0"/>
    <x v="10"/>
    <x v="47"/>
    <x v="24"/>
    <x v="1"/>
    <x v="1"/>
    <x v="1"/>
    <n v="31500000"/>
  </r>
  <r>
    <d v="2024-11-25T00:00:00"/>
    <x v="0"/>
    <x v="10"/>
    <x v="47"/>
    <x v="24"/>
    <x v="3"/>
    <x v="3"/>
    <x v="1"/>
    <n v="21000000"/>
  </r>
  <r>
    <d v="2024-11-25T00:00:00"/>
    <x v="0"/>
    <x v="10"/>
    <x v="47"/>
    <x v="24"/>
    <x v="19"/>
    <x v="12"/>
    <x v="4"/>
    <n v="61967565"/>
  </r>
  <r>
    <d v="2024-11-25T00:00:00"/>
    <x v="0"/>
    <x v="10"/>
    <x v="47"/>
    <x v="24"/>
    <x v="12"/>
    <x v="11"/>
    <x v="1"/>
    <n v="1992750000"/>
  </r>
  <r>
    <d v="2024-11-26T00:00:00"/>
    <x v="0"/>
    <x v="10"/>
    <x v="47"/>
    <x v="25"/>
    <x v="12"/>
    <x v="11"/>
    <x v="1"/>
    <n v="5372500000"/>
  </r>
  <r>
    <d v="2024-11-26T00:00:00"/>
    <x v="0"/>
    <x v="10"/>
    <x v="47"/>
    <x v="25"/>
    <x v="2"/>
    <x v="2"/>
    <x v="1"/>
    <n v="5431420000"/>
  </r>
  <r>
    <d v="2024-11-26T00:00:00"/>
    <x v="0"/>
    <x v="10"/>
    <x v="47"/>
    <x v="25"/>
    <x v="8"/>
    <x v="8"/>
    <x v="1"/>
    <n v="0"/>
  </r>
  <r>
    <d v="2024-11-26T00:00:00"/>
    <x v="0"/>
    <x v="10"/>
    <x v="47"/>
    <x v="25"/>
    <x v="19"/>
    <x v="12"/>
    <x v="4"/>
    <n v="64594217"/>
  </r>
  <r>
    <d v="2024-11-26T00:00:00"/>
    <x v="0"/>
    <x v="10"/>
    <x v="47"/>
    <x v="25"/>
    <x v="7"/>
    <x v="7"/>
    <x v="4"/>
    <n v="271776577"/>
  </r>
  <r>
    <d v="2024-11-26T00:00:00"/>
    <x v="0"/>
    <x v="10"/>
    <x v="47"/>
    <x v="25"/>
    <x v="6"/>
    <x v="6"/>
    <x v="0"/>
    <n v="65000000"/>
  </r>
  <r>
    <d v="2024-11-26T00:00:00"/>
    <x v="0"/>
    <x v="10"/>
    <x v="47"/>
    <x v="25"/>
    <x v="0"/>
    <x v="0"/>
    <x v="0"/>
    <n v="2887000000"/>
  </r>
  <r>
    <d v="2024-11-26T00:00:00"/>
    <x v="0"/>
    <x v="10"/>
    <x v="47"/>
    <x v="25"/>
    <x v="11"/>
    <x v="10"/>
    <x v="4"/>
    <n v="72364521"/>
  </r>
  <r>
    <d v="2024-11-26T00:00:00"/>
    <x v="0"/>
    <x v="10"/>
    <x v="47"/>
    <x v="25"/>
    <x v="5"/>
    <x v="5"/>
    <x v="3"/>
    <n v="2999705092"/>
  </r>
  <r>
    <d v="2024-11-26T00:00:00"/>
    <x v="0"/>
    <x v="10"/>
    <x v="47"/>
    <x v="25"/>
    <x v="18"/>
    <x v="15"/>
    <x v="1"/>
    <n v="0"/>
  </r>
  <r>
    <d v="2024-11-26T00:00:00"/>
    <x v="0"/>
    <x v="10"/>
    <x v="47"/>
    <x v="25"/>
    <x v="15"/>
    <x v="14"/>
    <x v="4"/>
    <n v="0"/>
  </r>
  <r>
    <d v="2024-11-26T00:00:00"/>
    <x v="0"/>
    <x v="10"/>
    <x v="47"/>
    <x v="25"/>
    <x v="1"/>
    <x v="1"/>
    <x v="1"/>
    <n v="21000000"/>
  </r>
  <r>
    <d v="2024-11-26T00:00:00"/>
    <x v="0"/>
    <x v="10"/>
    <x v="47"/>
    <x v="25"/>
    <x v="17"/>
    <x v="9"/>
    <x v="1"/>
    <n v="13910000"/>
  </r>
  <r>
    <d v="2024-11-26T00:00:00"/>
    <x v="0"/>
    <x v="10"/>
    <x v="47"/>
    <x v="25"/>
    <x v="14"/>
    <x v="13"/>
    <x v="1"/>
    <n v="305620000"/>
  </r>
  <r>
    <d v="2024-11-26T00:00:00"/>
    <x v="0"/>
    <x v="10"/>
    <x v="47"/>
    <x v="25"/>
    <x v="20"/>
    <x v="9"/>
    <x v="1"/>
    <n v="10700000"/>
  </r>
  <r>
    <d v="2024-11-26T00:00:00"/>
    <x v="0"/>
    <x v="10"/>
    <x v="47"/>
    <x v="25"/>
    <x v="21"/>
    <x v="9"/>
    <x v="1"/>
    <n v="145520000"/>
  </r>
  <r>
    <d v="2024-11-26T00:00:00"/>
    <x v="0"/>
    <x v="10"/>
    <x v="47"/>
    <x v="25"/>
    <x v="3"/>
    <x v="3"/>
    <x v="1"/>
    <n v="21000000"/>
  </r>
  <r>
    <d v="2024-11-27T00:00:00"/>
    <x v="0"/>
    <x v="10"/>
    <x v="47"/>
    <x v="26"/>
    <x v="15"/>
    <x v="14"/>
    <x v="4"/>
    <n v="189700"/>
  </r>
  <r>
    <d v="2024-11-27T00:00:00"/>
    <x v="0"/>
    <x v="10"/>
    <x v="47"/>
    <x v="26"/>
    <x v="3"/>
    <x v="3"/>
    <x v="1"/>
    <n v="0"/>
  </r>
  <r>
    <d v="2024-11-27T00:00:00"/>
    <x v="0"/>
    <x v="10"/>
    <x v="47"/>
    <x v="26"/>
    <x v="7"/>
    <x v="7"/>
    <x v="4"/>
    <n v="263982693"/>
  </r>
  <r>
    <d v="2024-11-27T00:00:00"/>
    <x v="0"/>
    <x v="10"/>
    <x v="47"/>
    <x v="26"/>
    <x v="1"/>
    <x v="1"/>
    <x v="1"/>
    <n v="57750000"/>
  </r>
  <r>
    <d v="2024-11-27T00:00:00"/>
    <x v="0"/>
    <x v="10"/>
    <x v="47"/>
    <x v="26"/>
    <x v="6"/>
    <x v="6"/>
    <x v="0"/>
    <n v="28000000"/>
  </r>
  <r>
    <d v="2024-11-27T00:00:00"/>
    <x v="0"/>
    <x v="10"/>
    <x v="47"/>
    <x v="26"/>
    <x v="18"/>
    <x v="15"/>
    <x v="1"/>
    <n v="0"/>
  </r>
  <r>
    <d v="2024-11-27T00:00:00"/>
    <x v="0"/>
    <x v="10"/>
    <x v="47"/>
    <x v="26"/>
    <x v="5"/>
    <x v="5"/>
    <x v="3"/>
    <n v="2737738700"/>
  </r>
  <r>
    <d v="2024-11-27T00:00:00"/>
    <x v="0"/>
    <x v="10"/>
    <x v="47"/>
    <x v="26"/>
    <x v="14"/>
    <x v="13"/>
    <x v="1"/>
    <n v="260930000"/>
  </r>
  <r>
    <d v="2024-11-27T00:00:00"/>
    <x v="0"/>
    <x v="10"/>
    <x v="47"/>
    <x v="26"/>
    <x v="21"/>
    <x v="9"/>
    <x v="1"/>
    <n v="74200000"/>
  </r>
  <r>
    <d v="2024-11-27T00:00:00"/>
    <x v="0"/>
    <x v="10"/>
    <x v="47"/>
    <x v="26"/>
    <x v="17"/>
    <x v="9"/>
    <x v="1"/>
    <n v="16050000"/>
  </r>
  <r>
    <d v="2024-11-27T00:00:00"/>
    <x v="0"/>
    <x v="10"/>
    <x v="47"/>
    <x v="26"/>
    <x v="20"/>
    <x v="9"/>
    <x v="1"/>
    <n v="12840000"/>
  </r>
  <r>
    <d v="2024-11-27T00:00:00"/>
    <x v="0"/>
    <x v="10"/>
    <x v="47"/>
    <x v="26"/>
    <x v="11"/>
    <x v="10"/>
    <x v="4"/>
    <n v="92254219"/>
  </r>
  <r>
    <d v="2024-11-27T00:00:00"/>
    <x v="0"/>
    <x v="10"/>
    <x v="47"/>
    <x v="26"/>
    <x v="2"/>
    <x v="2"/>
    <x v="1"/>
    <n v="6321430000"/>
  </r>
  <r>
    <d v="2024-11-27T00:00:00"/>
    <x v="0"/>
    <x v="10"/>
    <x v="47"/>
    <x v="26"/>
    <x v="0"/>
    <x v="0"/>
    <x v="0"/>
    <n v="3252500000"/>
  </r>
  <r>
    <d v="2024-11-27T00:00:00"/>
    <x v="0"/>
    <x v="10"/>
    <x v="47"/>
    <x v="26"/>
    <x v="8"/>
    <x v="8"/>
    <x v="1"/>
    <n v="0"/>
  </r>
  <r>
    <d v="2024-11-27T00:00:00"/>
    <x v="0"/>
    <x v="10"/>
    <x v="47"/>
    <x v="26"/>
    <x v="19"/>
    <x v="12"/>
    <x v="4"/>
    <n v="87109299"/>
  </r>
  <r>
    <d v="2024-11-27T00:00:00"/>
    <x v="0"/>
    <x v="10"/>
    <x v="47"/>
    <x v="26"/>
    <x v="12"/>
    <x v="11"/>
    <x v="1"/>
    <n v="4384050000"/>
  </r>
  <r>
    <d v="2024-11-28T00:00:00"/>
    <x v="0"/>
    <x v="10"/>
    <x v="47"/>
    <x v="27"/>
    <x v="7"/>
    <x v="7"/>
    <x v="4"/>
    <n v="306807682"/>
  </r>
  <r>
    <d v="2024-11-28T00:00:00"/>
    <x v="0"/>
    <x v="10"/>
    <x v="47"/>
    <x v="27"/>
    <x v="2"/>
    <x v="2"/>
    <x v="1"/>
    <n v="6228440000"/>
  </r>
  <r>
    <d v="2024-11-28T00:00:00"/>
    <x v="0"/>
    <x v="10"/>
    <x v="47"/>
    <x v="27"/>
    <x v="6"/>
    <x v="6"/>
    <x v="0"/>
    <n v="71000000"/>
  </r>
  <r>
    <d v="2024-11-28T00:00:00"/>
    <x v="0"/>
    <x v="10"/>
    <x v="47"/>
    <x v="27"/>
    <x v="14"/>
    <x v="13"/>
    <x v="1"/>
    <n v="405280000"/>
  </r>
  <r>
    <d v="2024-11-28T00:00:00"/>
    <x v="0"/>
    <x v="10"/>
    <x v="47"/>
    <x v="27"/>
    <x v="0"/>
    <x v="0"/>
    <x v="0"/>
    <n v="5116000000"/>
  </r>
  <r>
    <d v="2024-11-28T00:00:00"/>
    <x v="0"/>
    <x v="10"/>
    <x v="47"/>
    <x v="27"/>
    <x v="12"/>
    <x v="11"/>
    <x v="1"/>
    <n v="5235360000"/>
  </r>
  <r>
    <d v="2024-11-28T00:00:00"/>
    <x v="0"/>
    <x v="10"/>
    <x v="47"/>
    <x v="27"/>
    <x v="18"/>
    <x v="15"/>
    <x v="1"/>
    <n v="0"/>
  </r>
  <r>
    <d v="2024-11-28T00:00:00"/>
    <x v="0"/>
    <x v="10"/>
    <x v="47"/>
    <x v="27"/>
    <x v="15"/>
    <x v="14"/>
    <x v="4"/>
    <n v="834000"/>
  </r>
  <r>
    <d v="2024-11-28T00:00:00"/>
    <x v="0"/>
    <x v="10"/>
    <x v="47"/>
    <x v="27"/>
    <x v="3"/>
    <x v="3"/>
    <x v="1"/>
    <n v="32550000"/>
  </r>
  <r>
    <d v="2024-11-28T00:00:00"/>
    <x v="0"/>
    <x v="10"/>
    <x v="47"/>
    <x v="27"/>
    <x v="19"/>
    <x v="12"/>
    <x v="4"/>
    <n v="78673757"/>
  </r>
  <r>
    <d v="2024-11-28T00:00:00"/>
    <x v="0"/>
    <x v="10"/>
    <x v="47"/>
    <x v="27"/>
    <x v="11"/>
    <x v="10"/>
    <x v="4"/>
    <n v="90500429"/>
  </r>
  <r>
    <d v="2024-11-28T00:00:00"/>
    <x v="0"/>
    <x v="10"/>
    <x v="47"/>
    <x v="27"/>
    <x v="20"/>
    <x v="9"/>
    <x v="1"/>
    <n v="78850000"/>
  </r>
  <r>
    <d v="2024-11-28T00:00:00"/>
    <x v="0"/>
    <x v="10"/>
    <x v="47"/>
    <x v="27"/>
    <x v="17"/>
    <x v="9"/>
    <x v="1"/>
    <n v="0"/>
  </r>
  <r>
    <d v="2024-11-28T00:00:00"/>
    <x v="0"/>
    <x v="10"/>
    <x v="47"/>
    <x v="27"/>
    <x v="21"/>
    <x v="9"/>
    <x v="1"/>
    <n v="145520000"/>
  </r>
  <r>
    <d v="2024-11-28T00:00:00"/>
    <x v="0"/>
    <x v="10"/>
    <x v="47"/>
    <x v="27"/>
    <x v="5"/>
    <x v="5"/>
    <x v="3"/>
    <n v="3292175345"/>
  </r>
  <r>
    <d v="2024-11-28T00:00:00"/>
    <x v="0"/>
    <x v="10"/>
    <x v="47"/>
    <x v="27"/>
    <x v="1"/>
    <x v="1"/>
    <x v="1"/>
    <n v="31500000"/>
  </r>
  <r>
    <d v="2024-11-28T00:00:00"/>
    <x v="0"/>
    <x v="10"/>
    <x v="47"/>
    <x v="27"/>
    <x v="8"/>
    <x v="8"/>
    <x v="1"/>
    <n v="0"/>
  </r>
  <r>
    <d v="2024-11-29T00:00:00"/>
    <x v="0"/>
    <x v="10"/>
    <x v="47"/>
    <x v="28"/>
    <x v="6"/>
    <x v="6"/>
    <x v="0"/>
    <n v="33000000"/>
  </r>
  <r>
    <d v="2024-11-29T00:00:00"/>
    <x v="0"/>
    <x v="10"/>
    <x v="47"/>
    <x v="28"/>
    <x v="3"/>
    <x v="3"/>
    <x v="1"/>
    <n v="15750000"/>
  </r>
  <r>
    <d v="2024-11-29T00:00:00"/>
    <x v="0"/>
    <x v="10"/>
    <x v="47"/>
    <x v="28"/>
    <x v="21"/>
    <x v="9"/>
    <x v="1"/>
    <n v="109200000"/>
  </r>
  <r>
    <d v="2024-11-29T00:00:00"/>
    <x v="0"/>
    <x v="10"/>
    <x v="47"/>
    <x v="28"/>
    <x v="19"/>
    <x v="12"/>
    <x v="4"/>
    <n v="69575644"/>
  </r>
  <r>
    <d v="2024-11-29T00:00:00"/>
    <x v="0"/>
    <x v="10"/>
    <x v="47"/>
    <x v="28"/>
    <x v="12"/>
    <x v="11"/>
    <x v="1"/>
    <n v="4376490000"/>
  </r>
  <r>
    <d v="2024-11-29T00:00:00"/>
    <x v="0"/>
    <x v="10"/>
    <x v="47"/>
    <x v="28"/>
    <x v="15"/>
    <x v="14"/>
    <x v="4"/>
    <n v="39900"/>
  </r>
  <r>
    <d v="2024-11-29T00:00:00"/>
    <x v="0"/>
    <x v="10"/>
    <x v="47"/>
    <x v="28"/>
    <x v="1"/>
    <x v="1"/>
    <x v="1"/>
    <n v="115500000"/>
  </r>
  <r>
    <d v="2024-11-29T00:00:00"/>
    <x v="0"/>
    <x v="10"/>
    <x v="47"/>
    <x v="28"/>
    <x v="2"/>
    <x v="2"/>
    <x v="1"/>
    <n v="5958770000"/>
  </r>
  <r>
    <d v="2024-11-29T00:00:00"/>
    <x v="0"/>
    <x v="10"/>
    <x v="47"/>
    <x v="28"/>
    <x v="20"/>
    <x v="9"/>
    <x v="1"/>
    <n v="0"/>
  </r>
  <r>
    <d v="2024-11-29T00:00:00"/>
    <x v="0"/>
    <x v="10"/>
    <x v="47"/>
    <x v="28"/>
    <x v="17"/>
    <x v="9"/>
    <x v="1"/>
    <n v="0"/>
  </r>
  <r>
    <d v="2024-11-29T00:00:00"/>
    <x v="0"/>
    <x v="10"/>
    <x v="47"/>
    <x v="28"/>
    <x v="18"/>
    <x v="15"/>
    <x v="1"/>
    <n v="0"/>
  </r>
  <r>
    <d v="2024-11-29T00:00:00"/>
    <x v="0"/>
    <x v="10"/>
    <x v="47"/>
    <x v="28"/>
    <x v="7"/>
    <x v="7"/>
    <x v="4"/>
    <n v="278425724"/>
  </r>
  <r>
    <d v="2024-11-29T00:00:00"/>
    <x v="0"/>
    <x v="10"/>
    <x v="47"/>
    <x v="28"/>
    <x v="14"/>
    <x v="13"/>
    <x v="1"/>
    <n v="160860000"/>
  </r>
  <r>
    <d v="2024-11-29T00:00:00"/>
    <x v="0"/>
    <x v="10"/>
    <x v="47"/>
    <x v="28"/>
    <x v="8"/>
    <x v="8"/>
    <x v="1"/>
    <n v="0"/>
  </r>
  <r>
    <d v="2024-11-29T00:00:00"/>
    <x v="0"/>
    <x v="10"/>
    <x v="47"/>
    <x v="28"/>
    <x v="11"/>
    <x v="10"/>
    <x v="4"/>
    <n v="79086669"/>
  </r>
  <r>
    <d v="2024-11-29T00:00:00"/>
    <x v="0"/>
    <x v="10"/>
    <x v="47"/>
    <x v="28"/>
    <x v="0"/>
    <x v="0"/>
    <x v="0"/>
    <n v="5055500000"/>
  </r>
  <r>
    <d v="2024-11-29T00:00:00"/>
    <x v="0"/>
    <x v="10"/>
    <x v="47"/>
    <x v="28"/>
    <x v="5"/>
    <x v="5"/>
    <x v="3"/>
    <n v="3395569428"/>
  </r>
  <r>
    <d v="2024-11-30T00:00:00"/>
    <x v="0"/>
    <x v="10"/>
    <x v="47"/>
    <x v="29"/>
    <x v="3"/>
    <x v="3"/>
    <x v="1"/>
    <n v="62000000"/>
  </r>
  <r>
    <d v="2024-11-30T00:00:00"/>
    <x v="0"/>
    <x v="10"/>
    <x v="47"/>
    <x v="29"/>
    <x v="5"/>
    <x v="5"/>
    <x v="3"/>
    <n v="3754871271"/>
  </r>
  <r>
    <d v="2024-11-30T00:00:00"/>
    <x v="0"/>
    <x v="10"/>
    <x v="47"/>
    <x v="29"/>
    <x v="8"/>
    <x v="8"/>
    <x v="1"/>
    <n v="0"/>
  </r>
  <r>
    <d v="2024-11-30T00:00:00"/>
    <x v="0"/>
    <x v="10"/>
    <x v="47"/>
    <x v="29"/>
    <x v="6"/>
    <x v="6"/>
    <x v="0"/>
    <n v="73000000"/>
  </r>
  <r>
    <d v="2024-11-30T00:00:00"/>
    <x v="0"/>
    <x v="10"/>
    <x v="47"/>
    <x v="29"/>
    <x v="18"/>
    <x v="15"/>
    <x v="1"/>
    <n v="0"/>
  </r>
  <r>
    <d v="2024-11-30T00:00:00"/>
    <x v="0"/>
    <x v="10"/>
    <x v="47"/>
    <x v="29"/>
    <x v="14"/>
    <x v="13"/>
    <x v="1"/>
    <n v="314470000"/>
  </r>
  <r>
    <d v="2024-11-30T00:00:00"/>
    <x v="0"/>
    <x v="10"/>
    <x v="47"/>
    <x v="29"/>
    <x v="15"/>
    <x v="14"/>
    <x v="4"/>
    <n v="0"/>
  </r>
  <r>
    <d v="2024-11-30T00:00:00"/>
    <x v="0"/>
    <x v="10"/>
    <x v="47"/>
    <x v="29"/>
    <x v="1"/>
    <x v="1"/>
    <x v="1"/>
    <n v="28350000"/>
  </r>
  <r>
    <d v="2024-11-30T00:00:00"/>
    <x v="0"/>
    <x v="10"/>
    <x v="47"/>
    <x v="29"/>
    <x v="17"/>
    <x v="9"/>
    <x v="1"/>
    <n v="6420000"/>
  </r>
  <r>
    <d v="2024-11-30T00:00:00"/>
    <x v="0"/>
    <x v="10"/>
    <x v="47"/>
    <x v="29"/>
    <x v="21"/>
    <x v="9"/>
    <x v="1"/>
    <n v="80250000"/>
  </r>
  <r>
    <d v="2024-11-30T00:00:00"/>
    <x v="0"/>
    <x v="10"/>
    <x v="47"/>
    <x v="29"/>
    <x v="20"/>
    <x v="9"/>
    <x v="1"/>
    <n v="21400000"/>
  </r>
  <r>
    <d v="2024-11-30T00:00:00"/>
    <x v="0"/>
    <x v="10"/>
    <x v="47"/>
    <x v="29"/>
    <x v="12"/>
    <x v="11"/>
    <x v="1"/>
    <n v="4722770000"/>
  </r>
  <r>
    <d v="2024-11-30T00:00:00"/>
    <x v="0"/>
    <x v="10"/>
    <x v="47"/>
    <x v="29"/>
    <x v="2"/>
    <x v="2"/>
    <x v="1"/>
    <n v="5799780000"/>
  </r>
  <r>
    <d v="2024-11-30T00:00:00"/>
    <x v="0"/>
    <x v="10"/>
    <x v="47"/>
    <x v="29"/>
    <x v="0"/>
    <x v="0"/>
    <x v="0"/>
    <n v="5580500000"/>
  </r>
  <r>
    <d v="2024-11-30T00:00:00"/>
    <x v="0"/>
    <x v="10"/>
    <x v="47"/>
    <x v="29"/>
    <x v="11"/>
    <x v="10"/>
    <x v="4"/>
    <n v="89338915"/>
  </r>
  <r>
    <d v="2024-11-30T00:00:00"/>
    <x v="0"/>
    <x v="10"/>
    <x v="47"/>
    <x v="29"/>
    <x v="7"/>
    <x v="7"/>
    <x v="4"/>
    <n v="287079268"/>
  </r>
  <r>
    <d v="2024-11-30T00:00:00"/>
    <x v="0"/>
    <x v="10"/>
    <x v="47"/>
    <x v="29"/>
    <x v="19"/>
    <x v="12"/>
    <x v="4"/>
    <n v="65075923"/>
  </r>
  <r>
    <d v="2024-12-01T00:00:00"/>
    <x v="0"/>
    <x v="11"/>
    <x v="47"/>
    <x v="0"/>
    <x v="8"/>
    <x v="8"/>
    <x v="1"/>
    <n v="0"/>
  </r>
  <r>
    <d v="2024-12-01T00:00:00"/>
    <x v="0"/>
    <x v="11"/>
    <x v="47"/>
    <x v="0"/>
    <x v="6"/>
    <x v="6"/>
    <x v="0"/>
    <n v="13000000"/>
  </r>
  <r>
    <d v="2024-12-01T00:00:00"/>
    <x v="0"/>
    <x v="11"/>
    <x v="47"/>
    <x v="0"/>
    <x v="14"/>
    <x v="13"/>
    <x v="1"/>
    <n v="305530000"/>
  </r>
  <r>
    <d v="2024-12-01T00:00:00"/>
    <x v="0"/>
    <x v="11"/>
    <x v="47"/>
    <x v="0"/>
    <x v="19"/>
    <x v="12"/>
    <x v="4"/>
    <n v="89222440"/>
  </r>
  <r>
    <d v="2024-12-01T00:00:00"/>
    <x v="0"/>
    <x v="11"/>
    <x v="47"/>
    <x v="0"/>
    <x v="7"/>
    <x v="7"/>
    <x v="4"/>
    <n v="397400440"/>
  </r>
  <r>
    <d v="2024-12-01T00:00:00"/>
    <x v="0"/>
    <x v="11"/>
    <x v="47"/>
    <x v="0"/>
    <x v="2"/>
    <x v="2"/>
    <x v="1"/>
    <n v="5005690000"/>
  </r>
  <r>
    <d v="2024-12-01T00:00:00"/>
    <x v="0"/>
    <x v="11"/>
    <x v="47"/>
    <x v="0"/>
    <x v="3"/>
    <x v="3"/>
    <x v="1"/>
    <n v="50400000"/>
  </r>
  <r>
    <d v="2024-12-01T00:00:00"/>
    <x v="0"/>
    <x v="11"/>
    <x v="47"/>
    <x v="0"/>
    <x v="18"/>
    <x v="15"/>
    <x v="1"/>
    <n v="0"/>
  </r>
  <r>
    <d v="2024-12-01T00:00:00"/>
    <x v="0"/>
    <x v="11"/>
    <x v="47"/>
    <x v="0"/>
    <x v="15"/>
    <x v="14"/>
    <x v="4"/>
    <n v="3635855"/>
  </r>
  <r>
    <d v="2024-12-01T00:00:00"/>
    <x v="0"/>
    <x v="11"/>
    <x v="47"/>
    <x v="0"/>
    <x v="12"/>
    <x v="11"/>
    <x v="1"/>
    <n v="4352440000"/>
  </r>
  <r>
    <d v="2024-12-01T00:00:00"/>
    <x v="0"/>
    <x v="11"/>
    <x v="47"/>
    <x v="0"/>
    <x v="1"/>
    <x v="1"/>
    <x v="1"/>
    <n v="0"/>
  </r>
  <r>
    <d v="2024-12-01T00:00:00"/>
    <x v="0"/>
    <x v="11"/>
    <x v="47"/>
    <x v="0"/>
    <x v="21"/>
    <x v="9"/>
    <x v="1"/>
    <n v="125190000"/>
  </r>
  <r>
    <d v="2024-12-01T00:00:00"/>
    <x v="0"/>
    <x v="11"/>
    <x v="47"/>
    <x v="0"/>
    <x v="17"/>
    <x v="9"/>
    <x v="1"/>
    <n v="0"/>
  </r>
  <r>
    <d v="2024-12-01T00:00:00"/>
    <x v="0"/>
    <x v="11"/>
    <x v="47"/>
    <x v="0"/>
    <x v="11"/>
    <x v="10"/>
    <x v="4"/>
    <n v="109570028"/>
  </r>
  <r>
    <d v="2024-12-01T00:00:00"/>
    <x v="0"/>
    <x v="11"/>
    <x v="47"/>
    <x v="0"/>
    <x v="20"/>
    <x v="9"/>
    <x v="1"/>
    <n v="10700000"/>
  </r>
  <r>
    <d v="2024-12-01T00:00:00"/>
    <x v="0"/>
    <x v="11"/>
    <x v="47"/>
    <x v="0"/>
    <x v="0"/>
    <x v="0"/>
    <x v="0"/>
    <n v="5474000000"/>
  </r>
  <r>
    <d v="2024-12-01T00:00:00"/>
    <x v="0"/>
    <x v="11"/>
    <x v="47"/>
    <x v="0"/>
    <x v="5"/>
    <x v="5"/>
    <x v="3"/>
    <n v="4943460703"/>
  </r>
  <r>
    <d v="2024-12-02T00:00:00"/>
    <x v="0"/>
    <x v="11"/>
    <x v="48"/>
    <x v="1"/>
    <x v="2"/>
    <x v="2"/>
    <x v="1"/>
    <n v="6799890000"/>
  </r>
  <r>
    <d v="2024-12-02T00:00:00"/>
    <x v="0"/>
    <x v="11"/>
    <x v="48"/>
    <x v="1"/>
    <x v="11"/>
    <x v="10"/>
    <x v="4"/>
    <n v="92829401"/>
  </r>
  <r>
    <d v="2024-12-02T00:00:00"/>
    <x v="0"/>
    <x v="11"/>
    <x v="48"/>
    <x v="1"/>
    <x v="19"/>
    <x v="12"/>
    <x v="4"/>
    <n v="118707946"/>
  </r>
  <r>
    <d v="2024-12-02T00:00:00"/>
    <x v="0"/>
    <x v="11"/>
    <x v="48"/>
    <x v="1"/>
    <x v="3"/>
    <x v="3"/>
    <x v="1"/>
    <n v="96600000"/>
  </r>
  <r>
    <d v="2024-12-02T00:00:00"/>
    <x v="0"/>
    <x v="11"/>
    <x v="48"/>
    <x v="1"/>
    <x v="20"/>
    <x v="9"/>
    <x v="1"/>
    <n v="30700000"/>
  </r>
  <r>
    <d v="2024-12-02T00:00:00"/>
    <x v="0"/>
    <x v="11"/>
    <x v="48"/>
    <x v="1"/>
    <x v="15"/>
    <x v="14"/>
    <x v="4"/>
    <n v="7688808"/>
  </r>
  <r>
    <d v="2024-12-02T00:00:00"/>
    <x v="0"/>
    <x v="11"/>
    <x v="48"/>
    <x v="1"/>
    <x v="18"/>
    <x v="15"/>
    <x v="1"/>
    <n v="0"/>
  </r>
  <r>
    <d v="2024-12-02T00:00:00"/>
    <x v="0"/>
    <x v="11"/>
    <x v="48"/>
    <x v="1"/>
    <x v="0"/>
    <x v="0"/>
    <x v="0"/>
    <n v="5565500000"/>
  </r>
  <r>
    <d v="2024-12-02T00:00:00"/>
    <x v="0"/>
    <x v="11"/>
    <x v="48"/>
    <x v="1"/>
    <x v="1"/>
    <x v="1"/>
    <x v="1"/>
    <n v="84000000"/>
  </r>
  <r>
    <d v="2024-12-02T00:00:00"/>
    <x v="0"/>
    <x v="11"/>
    <x v="48"/>
    <x v="1"/>
    <x v="14"/>
    <x v="13"/>
    <x v="1"/>
    <n v="329090000"/>
  </r>
  <r>
    <d v="2024-12-02T00:00:00"/>
    <x v="0"/>
    <x v="11"/>
    <x v="48"/>
    <x v="1"/>
    <x v="7"/>
    <x v="7"/>
    <x v="4"/>
    <n v="389762230"/>
  </r>
  <r>
    <d v="2024-12-02T00:00:00"/>
    <x v="0"/>
    <x v="11"/>
    <x v="48"/>
    <x v="1"/>
    <x v="6"/>
    <x v="6"/>
    <x v="0"/>
    <n v="91000000"/>
  </r>
  <r>
    <d v="2024-12-02T00:00:00"/>
    <x v="0"/>
    <x v="11"/>
    <x v="48"/>
    <x v="1"/>
    <x v="17"/>
    <x v="9"/>
    <x v="1"/>
    <n v="21400000"/>
  </r>
  <r>
    <d v="2024-12-02T00:00:00"/>
    <x v="0"/>
    <x v="11"/>
    <x v="48"/>
    <x v="1"/>
    <x v="21"/>
    <x v="9"/>
    <x v="1"/>
    <n v="56010000"/>
  </r>
  <r>
    <d v="2024-12-02T00:00:00"/>
    <x v="0"/>
    <x v="11"/>
    <x v="48"/>
    <x v="1"/>
    <x v="8"/>
    <x v="8"/>
    <x v="1"/>
    <n v="0"/>
  </r>
  <r>
    <d v="2024-12-02T00:00:00"/>
    <x v="0"/>
    <x v="11"/>
    <x v="48"/>
    <x v="1"/>
    <x v="12"/>
    <x v="11"/>
    <x v="1"/>
    <n v="5011230000"/>
  </r>
  <r>
    <d v="2024-12-02T00:00:00"/>
    <x v="0"/>
    <x v="11"/>
    <x v="48"/>
    <x v="1"/>
    <x v="5"/>
    <x v="5"/>
    <x v="3"/>
    <n v="5017667162"/>
  </r>
  <r>
    <d v="2024-12-03T00:00:00"/>
    <x v="0"/>
    <x v="11"/>
    <x v="48"/>
    <x v="2"/>
    <x v="6"/>
    <x v="6"/>
    <x v="0"/>
    <n v="52000000"/>
  </r>
  <r>
    <d v="2024-12-03T00:00:00"/>
    <x v="0"/>
    <x v="11"/>
    <x v="48"/>
    <x v="2"/>
    <x v="11"/>
    <x v="10"/>
    <x v="4"/>
    <n v="132158699"/>
  </r>
  <r>
    <d v="2024-12-03T00:00:00"/>
    <x v="0"/>
    <x v="11"/>
    <x v="48"/>
    <x v="2"/>
    <x v="3"/>
    <x v="3"/>
    <x v="1"/>
    <n v="70000000"/>
  </r>
  <r>
    <d v="2024-12-03T00:00:00"/>
    <x v="0"/>
    <x v="11"/>
    <x v="48"/>
    <x v="2"/>
    <x v="18"/>
    <x v="15"/>
    <x v="1"/>
    <n v="0"/>
  </r>
  <r>
    <d v="2024-12-03T00:00:00"/>
    <x v="0"/>
    <x v="11"/>
    <x v="48"/>
    <x v="2"/>
    <x v="20"/>
    <x v="9"/>
    <x v="1"/>
    <n v="20000000"/>
  </r>
  <r>
    <d v="2024-12-03T00:00:00"/>
    <x v="0"/>
    <x v="11"/>
    <x v="48"/>
    <x v="2"/>
    <x v="17"/>
    <x v="9"/>
    <x v="1"/>
    <n v="21400000"/>
  </r>
  <r>
    <d v="2024-12-03T00:00:00"/>
    <x v="0"/>
    <x v="11"/>
    <x v="48"/>
    <x v="2"/>
    <x v="19"/>
    <x v="12"/>
    <x v="4"/>
    <n v="94805933"/>
  </r>
  <r>
    <d v="2024-12-03T00:00:00"/>
    <x v="0"/>
    <x v="11"/>
    <x v="48"/>
    <x v="2"/>
    <x v="15"/>
    <x v="14"/>
    <x v="4"/>
    <n v="14085595"/>
  </r>
  <r>
    <d v="2024-12-03T00:00:00"/>
    <x v="0"/>
    <x v="11"/>
    <x v="48"/>
    <x v="2"/>
    <x v="1"/>
    <x v="1"/>
    <x v="1"/>
    <n v="23100000"/>
  </r>
  <r>
    <d v="2024-12-03T00:00:00"/>
    <x v="0"/>
    <x v="11"/>
    <x v="48"/>
    <x v="2"/>
    <x v="0"/>
    <x v="0"/>
    <x v="0"/>
    <n v="6053500000"/>
  </r>
  <r>
    <d v="2024-12-03T00:00:00"/>
    <x v="0"/>
    <x v="11"/>
    <x v="48"/>
    <x v="2"/>
    <x v="5"/>
    <x v="5"/>
    <x v="3"/>
    <n v="4249564125"/>
  </r>
  <r>
    <d v="2024-12-03T00:00:00"/>
    <x v="0"/>
    <x v="11"/>
    <x v="48"/>
    <x v="2"/>
    <x v="21"/>
    <x v="9"/>
    <x v="1"/>
    <n v="115600000"/>
  </r>
  <r>
    <d v="2024-12-03T00:00:00"/>
    <x v="0"/>
    <x v="11"/>
    <x v="48"/>
    <x v="2"/>
    <x v="8"/>
    <x v="8"/>
    <x v="1"/>
    <n v="0"/>
  </r>
  <r>
    <d v="2024-12-03T00:00:00"/>
    <x v="0"/>
    <x v="11"/>
    <x v="48"/>
    <x v="2"/>
    <x v="12"/>
    <x v="11"/>
    <x v="1"/>
    <n v="5619530000"/>
  </r>
  <r>
    <d v="2024-12-03T00:00:00"/>
    <x v="0"/>
    <x v="11"/>
    <x v="48"/>
    <x v="2"/>
    <x v="14"/>
    <x v="13"/>
    <x v="1"/>
    <n v="362960000"/>
  </r>
  <r>
    <d v="2024-12-03T00:00:00"/>
    <x v="0"/>
    <x v="11"/>
    <x v="48"/>
    <x v="2"/>
    <x v="7"/>
    <x v="7"/>
    <x v="4"/>
    <n v="489355831"/>
  </r>
  <r>
    <d v="2024-12-03T00:00:00"/>
    <x v="0"/>
    <x v="11"/>
    <x v="48"/>
    <x v="2"/>
    <x v="2"/>
    <x v="2"/>
    <x v="1"/>
    <n v="7115300000"/>
  </r>
  <r>
    <d v="2024-12-04T00:00:00"/>
    <x v="0"/>
    <x v="11"/>
    <x v="48"/>
    <x v="3"/>
    <x v="1"/>
    <x v="1"/>
    <x v="1"/>
    <n v="15750000"/>
  </r>
  <r>
    <d v="2024-12-04T00:00:00"/>
    <x v="0"/>
    <x v="11"/>
    <x v="48"/>
    <x v="3"/>
    <x v="22"/>
    <x v="16"/>
    <x v="1"/>
    <n v="10000000"/>
  </r>
  <r>
    <d v="2024-12-04T00:00:00"/>
    <x v="0"/>
    <x v="11"/>
    <x v="48"/>
    <x v="3"/>
    <x v="20"/>
    <x v="9"/>
    <x v="1"/>
    <n v="0"/>
  </r>
  <r>
    <d v="2024-12-04T00:00:00"/>
    <x v="0"/>
    <x v="11"/>
    <x v="48"/>
    <x v="3"/>
    <x v="15"/>
    <x v="14"/>
    <x v="4"/>
    <n v="11997776"/>
  </r>
  <r>
    <d v="2024-12-04T00:00:00"/>
    <x v="0"/>
    <x v="11"/>
    <x v="48"/>
    <x v="3"/>
    <x v="2"/>
    <x v="2"/>
    <x v="1"/>
    <n v="6367520000"/>
  </r>
  <r>
    <d v="2024-12-04T00:00:00"/>
    <x v="0"/>
    <x v="11"/>
    <x v="48"/>
    <x v="3"/>
    <x v="17"/>
    <x v="9"/>
    <x v="1"/>
    <n v="59920000"/>
  </r>
  <r>
    <d v="2024-12-04T00:00:00"/>
    <x v="0"/>
    <x v="11"/>
    <x v="48"/>
    <x v="3"/>
    <x v="19"/>
    <x v="12"/>
    <x v="4"/>
    <n v="136898041"/>
  </r>
  <r>
    <d v="2024-12-04T00:00:00"/>
    <x v="0"/>
    <x v="11"/>
    <x v="48"/>
    <x v="3"/>
    <x v="21"/>
    <x v="9"/>
    <x v="1"/>
    <n v="54940000"/>
  </r>
  <r>
    <d v="2024-12-04T00:00:00"/>
    <x v="0"/>
    <x v="11"/>
    <x v="48"/>
    <x v="3"/>
    <x v="8"/>
    <x v="8"/>
    <x v="1"/>
    <n v="0"/>
  </r>
  <r>
    <d v="2024-12-04T00:00:00"/>
    <x v="0"/>
    <x v="11"/>
    <x v="48"/>
    <x v="3"/>
    <x v="5"/>
    <x v="5"/>
    <x v="3"/>
    <n v="4590730307"/>
  </r>
  <r>
    <d v="2024-12-04T00:00:00"/>
    <x v="0"/>
    <x v="11"/>
    <x v="48"/>
    <x v="3"/>
    <x v="14"/>
    <x v="13"/>
    <x v="1"/>
    <n v="301720000"/>
  </r>
  <r>
    <d v="2024-12-04T00:00:00"/>
    <x v="0"/>
    <x v="11"/>
    <x v="48"/>
    <x v="3"/>
    <x v="12"/>
    <x v="11"/>
    <x v="1"/>
    <n v="5570570000"/>
  </r>
  <r>
    <d v="2024-12-04T00:00:00"/>
    <x v="0"/>
    <x v="11"/>
    <x v="48"/>
    <x v="3"/>
    <x v="3"/>
    <x v="3"/>
    <x v="1"/>
    <n v="0"/>
  </r>
  <r>
    <d v="2024-12-04T00:00:00"/>
    <x v="0"/>
    <x v="11"/>
    <x v="48"/>
    <x v="3"/>
    <x v="7"/>
    <x v="7"/>
    <x v="4"/>
    <n v="512962898"/>
  </r>
  <r>
    <d v="2024-12-04T00:00:00"/>
    <x v="0"/>
    <x v="11"/>
    <x v="48"/>
    <x v="3"/>
    <x v="6"/>
    <x v="6"/>
    <x v="0"/>
    <n v="44000000"/>
  </r>
  <r>
    <d v="2024-12-04T00:00:00"/>
    <x v="0"/>
    <x v="11"/>
    <x v="48"/>
    <x v="3"/>
    <x v="11"/>
    <x v="10"/>
    <x v="4"/>
    <n v="158394979"/>
  </r>
  <r>
    <d v="2024-12-04T00:00:00"/>
    <x v="0"/>
    <x v="11"/>
    <x v="48"/>
    <x v="3"/>
    <x v="18"/>
    <x v="15"/>
    <x v="1"/>
    <n v="0"/>
  </r>
  <r>
    <d v="2024-12-04T00:00:00"/>
    <x v="0"/>
    <x v="11"/>
    <x v="48"/>
    <x v="3"/>
    <x v="0"/>
    <x v="0"/>
    <x v="0"/>
    <n v="6317000000"/>
  </r>
  <r>
    <d v="2024-12-05T00:00:00"/>
    <x v="0"/>
    <x v="11"/>
    <x v="48"/>
    <x v="4"/>
    <x v="6"/>
    <x v="6"/>
    <x v="0"/>
    <n v="34000000"/>
  </r>
  <r>
    <d v="2024-12-05T00:00:00"/>
    <x v="0"/>
    <x v="11"/>
    <x v="48"/>
    <x v="4"/>
    <x v="14"/>
    <x v="13"/>
    <x v="1"/>
    <n v="250360000"/>
  </r>
  <r>
    <d v="2024-12-05T00:00:00"/>
    <x v="0"/>
    <x v="11"/>
    <x v="48"/>
    <x v="4"/>
    <x v="3"/>
    <x v="3"/>
    <x v="1"/>
    <n v="37000000"/>
  </r>
  <r>
    <d v="2024-12-05T00:00:00"/>
    <x v="0"/>
    <x v="11"/>
    <x v="48"/>
    <x v="4"/>
    <x v="18"/>
    <x v="15"/>
    <x v="1"/>
    <n v="0"/>
  </r>
  <r>
    <d v="2024-12-05T00:00:00"/>
    <x v="0"/>
    <x v="11"/>
    <x v="48"/>
    <x v="4"/>
    <x v="22"/>
    <x v="16"/>
    <x v="1"/>
    <n v="0"/>
  </r>
  <r>
    <d v="2024-12-05T00:00:00"/>
    <x v="0"/>
    <x v="11"/>
    <x v="48"/>
    <x v="4"/>
    <x v="19"/>
    <x v="12"/>
    <x v="4"/>
    <n v="220094902"/>
  </r>
  <r>
    <d v="2024-12-05T00:00:00"/>
    <x v="0"/>
    <x v="11"/>
    <x v="48"/>
    <x v="4"/>
    <x v="15"/>
    <x v="14"/>
    <x v="4"/>
    <n v="34851783"/>
  </r>
  <r>
    <d v="2024-12-05T00:00:00"/>
    <x v="0"/>
    <x v="11"/>
    <x v="48"/>
    <x v="4"/>
    <x v="5"/>
    <x v="5"/>
    <x v="3"/>
    <n v="5008346171"/>
  </r>
  <r>
    <d v="2024-12-05T00:00:00"/>
    <x v="0"/>
    <x v="11"/>
    <x v="48"/>
    <x v="4"/>
    <x v="11"/>
    <x v="10"/>
    <x v="4"/>
    <n v="224846251"/>
  </r>
  <r>
    <d v="2024-12-05T00:00:00"/>
    <x v="0"/>
    <x v="11"/>
    <x v="48"/>
    <x v="4"/>
    <x v="1"/>
    <x v="1"/>
    <x v="1"/>
    <n v="31500000"/>
  </r>
  <r>
    <d v="2024-12-05T00:00:00"/>
    <x v="0"/>
    <x v="11"/>
    <x v="48"/>
    <x v="4"/>
    <x v="7"/>
    <x v="7"/>
    <x v="4"/>
    <n v="767109555"/>
  </r>
  <r>
    <d v="2024-12-05T00:00:00"/>
    <x v="0"/>
    <x v="11"/>
    <x v="48"/>
    <x v="4"/>
    <x v="17"/>
    <x v="9"/>
    <x v="1"/>
    <n v="10700000"/>
  </r>
  <r>
    <d v="2024-12-05T00:00:00"/>
    <x v="0"/>
    <x v="11"/>
    <x v="48"/>
    <x v="4"/>
    <x v="21"/>
    <x v="9"/>
    <x v="1"/>
    <n v="155520000"/>
  </r>
  <r>
    <d v="2024-12-05T00:00:00"/>
    <x v="0"/>
    <x v="11"/>
    <x v="48"/>
    <x v="4"/>
    <x v="20"/>
    <x v="9"/>
    <x v="1"/>
    <n v="21400000"/>
  </r>
  <r>
    <d v="2024-12-05T00:00:00"/>
    <x v="0"/>
    <x v="11"/>
    <x v="48"/>
    <x v="4"/>
    <x v="8"/>
    <x v="8"/>
    <x v="1"/>
    <n v="0"/>
  </r>
  <r>
    <d v="2024-12-05T00:00:00"/>
    <x v="0"/>
    <x v="11"/>
    <x v="48"/>
    <x v="4"/>
    <x v="12"/>
    <x v="11"/>
    <x v="1"/>
    <n v="7100540000"/>
  </r>
  <r>
    <d v="2024-12-05T00:00:00"/>
    <x v="0"/>
    <x v="11"/>
    <x v="48"/>
    <x v="4"/>
    <x v="0"/>
    <x v="0"/>
    <x v="0"/>
    <n v="6704500000"/>
  </r>
  <r>
    <d v="2024-12-05T00:00:00"/>
    <x v="0"/>
    <x v="11"/>
    <x v="48"/>
    <x v="4"/>
    <x v="2"/>
    <x v="2"/>
    <x v="1"/>
    <n v="6647230000"/>
  </r>
  <r>
    <d v="2024-12-06T00:00:00"/>
    <x v="0"/>
    <x v="11"/>
    <x v="48"/>
    <x v="5"/>
    <x v="3"/>
    <x v="3"/>
    <x v="1"/>
    <n v="0"/>
  </r>
  <r>
    <d v="2024-12-06T00:00:00"/>
    <x v="0"/>
    <x v="11"/>
    <x v="48"/>
    <x v="5"/>
    <x v="2"/>
    <x v="2"/>
    <x v="1"/>
    <n v="4885860000"/>
  </r>
  <r>
    <d v="2024-12-06T00:00:00"/>
    <x v="0"/>
    <x v="11"/>
    <x v="48"/>
    <x v="5"/>
    <x v="22"/>
    <x v="16"/>
    <x v="1"/>
    <n v="0"/>
  </r>
  <r>
    <d v="2024-12-06T00:00:00"/>
    <x v="0"/>
    <x v="11"/>
    <x v="48"/>
    <x v="5"/>
    <x v="6"/>
    <x v="6"/>
    <x v="0"/>
    <n v="35000000"/>
  </r>
  <r>
    <d v="2024-12-06T00:00:00"/>
    <x v="0"/>
    <x v="11"/>
    <x v="48"/>
    <x v="5"/>
    <x v="1"/>
    <x v="1"/>
    <x v="1"/>
    <n v="21000000"/>
  </r>
  <r>
    <d v="2024-12-06T00:00:00"/>
    <x v="0"/>
    <x v="11"/>
    <x v="48"/>
    <x v="5"/>
    <x v="12"/>
    <x v="11"/>
    <x v="1"/>
    <n v="4414960000"/>
  </r>
  <r>
    <d v="2024-12-06T00:00:00"/>
    <x v="0"/>
    <x v="11"/>
    <x v="48"/>
    <x v="5"/>
    <x v="15"/>
    <x v="14"/>
    <x v="4"/>
    <n v="67311496"/>
  </r>
  <r>
    <d v="2024-12-06T00:00:00"/>
    <x v="0"/>
    <x v="11"/>
    <x v="48"/>
    <x v="5"/>
    <x v="18"/>
    <x v="15"/>
    <x v="1"/>
    <n v="0"/>
  </r>
  <r>
    <d v="2024-12-06T00:00:00"/>
    <x v="0"/>
    <x v="11"/>
    <x v="48"/>
    <x v="5"/>
    <x v="0"/>
    <x v="0"/>
    <x v="0"/>
    <n v="6179000000"/>
  </r>
  <r>
    <d v="2024-12-06T00:00:00"/>
    <x v="0"/>
    <x v="11"/>
    <x v="48"/>
    <x v="5"/>
    <x v="8"/>
    <x v="8"/>
    <x v="1"/>
    <n v="0"/>
  </r>
  <r>
    <d v="2024-12-06T00:00:00"/>
    <x v="0"/>
    <x v="11"/>
    <x v="48"/>
    <x v="5"/>
    <x v="21"/>
    <x v="9"/>
    <x v="1"/>
    <n v="97740000"/>
  </r>
  <r>
    <d v="2024-12-06T00:00:00"/>
    <x v="0"/>
    <x v="11"/>
    <x v="48"/>
    <x v="5"/>
    <x v="17"/>
    <x v="9"/>
    <x v="1"/>
    <n v="0"/>
  </r>
  <r>
    <d v="2024-12-06T00:00:00"/>
    <x v="0"/>
    <x v="11"/>
    <x v="48"/>
    <x v="5"/>
    <x v="20"/>
    <x v="9"/>
    <x v="1"/>
    <n v="0"/>
  </r>
  <r>
    <d v="2024-12-06T00:00:00"/>
    <x v="0"/>
    <x v="11"/>
    <x v="48"/>
    <x v="5"/>
    <x v="19"/>
    <x v="12"/>
    <x v="4"/>
    <n v="167709387"/>
  </r>
  <r>
    <d v="2024-12-06T00:00:00"/>
    <x v="0"/>
    <x v="11"/>
    <x v="48"/>
    <x v="5"/>
    <x v="7"/>
    <x v="7"/>
    <x v="4"/>
    <n v="634489346"/>
  </r>
  <r>
    <d v="2024-12-06T00:00:00"/>
    <x v="0"/>
    <x v="11"/>
    <x v="48"/>
    <x v="5"/>
    <x v="11"/>
    <x v="10"/>
    <x v="4"/>
    <n v="256714615"/>
  </r>
  <r>
    <d v="2024-12-06T00:00:00"/>
    <x v="0"/>
    <x v="11"/>
    <x v="48"/>
    <x v="5"/>
    <x v="5"/>
    <x v="5"/>
    <x v="3"/>
    <n v="3688396128"/>
  </r>
  <r>
    <d v="2024-12-06T00:00:00"/>
    <x v="0"/>
    <x v="11"/>
    <x v="48"/>
    <x v="5"/>
    <x v="14"/>
    <x v="13"/>
    <x v="1"/>
    <n v="345310000"/>
  </r>
  <r>
    <d v="2024-12-07T00:00:00"/>
    <x v="0"/>
    <x v="11"/>
    <x v="48"/>
    <x v="6"/>
    <x v="5"/>
    <x v="5"/>
    <x v="3"/>
    <n v="3375508852"/>
  </r>
  <r>
    <d v="2024-12-07T00:00:00"/>
    <x v="0"/>
    <x v="11"/>
    <x v="48"/>
    <x v="6"/>
    <x v="2"/>
    <x v="2"/>
    <x v="1"/>
    <n v="5588860000"/>
  </r>
  <r>
    <d v="2024-12-07T00:00:00"/>
    <x v="0"/>
    <x v="11"/>
    <x v="48"/>
    <x v="6"/>
    <x v="21"/>
    <x v="9"/>
    <x v="1"/>
    <n v="117370000"/>
  </r>
  <r>
    <d v="2024-12-07T00:00:00"/>
    <x v="0"/>
    <x v="11"/>
    <x v="48"/>
    <x v="6"/>
    <x v="15"/>
    <x v="14"/>
    <x v="4"/>
    <n v="95698016"/>
  </r>
  <r>
    <d v="2024-12-07T00:00:00"/>
    <x v="0"/>
    <x v="11"/>
    <x v="48"/>
    <x v="6"/>
    <x v="1"/>
    <x v="1"/>
    <x v="1"/>
    <n v="10500000"/>
  </r>
  <r>
    <d v="2024-12-07T00:00:00"/>
    <x v="0"/>
    <x v="11"/>
    <x v="48"/>
    <x v="6"/>
    <x v="8"/>
    <x v="8"/>
    <x v="1"/>
    <n v="0"/>
  </r>
  <r>
    <d v="2024-12-07T00:00:00"/>
    <x v="0"/>
    <x v="11"/>
    <x v="48"/>
    <x v="6"/>
    <x v="17"/>
    <x v="9"/>
    <x v="1"/>
    <n v="10700000"/>
  </r>
  <r>
    <d v="2024-12-07T00:00:00"/>
    <x v="0"/>
    <x v="11"/>
    <x v="48"/>
    <x v="6"/>
    <x v="0"/>
    <x v="0"/>
    <x v="0"/>
    <n v="6631500000"/>
  </r>
  <r>
    <d v="2024-12-07T00:00:00"/>
    <x v="0"/>
    <x v="11"/>
    <x v="48"/>
    <x v="6"/>
    <x v="19"/>
    <x v="12"/>
    <x v="4"/>
    <n v="66255858"/>
  </r>
  <r>
    <d v="2024-12-07T00:00:00"/>
    <x v="0"/>
    <x v="11"/>
    <x v="48"/>
    <x v="6"/>
    <x v="11"/>
    <x v="10"/>
    <x v="4"/>
    <n v="174712857"/>
  </r>
  <r>
    <d v="2024-12-07T00:00:00"/>
    <x v="0"/>
    <x v="11"/>
    <x v="48"/>
    <x v="6"/>
    <x v="7"/>
    <x v="7"/>
    <x v="4"/>
    <n v="505503394"/>
  </r>
  <r>
    <d v="2024-12-07T00:00:00"/>
    <x v="0"/>
    <x v="11"/>
    <x v="48"/>
    <x v="6"/>
    <x v="3"/>
    <x v="3"/>
    <x v="1"/>
    <n v="15000000"/>
  </r>
  <r>
    <d v="2024-12-07T00:00:00"/>
    <x v="0"/>
    <x v="11"/>
    <x v="48"/>
    <x v="6"/>
    <x v="20"/>
    <x v="9"/>
    <x v="1"/>
    <n v="16050000"/>
  </r>
  <r>
    <d v="2024-12-07T00:00:00"/>
    <x v="0"/>
    <x v="11"/>
    <x v="48"/>
    <x v="6"/>
    <x v="14"/>
    <x v="13"/>
    <x v="1"/>
    <n v="446530000"/>
  </r>
  <r>
    <d v="2024-12-07T00:00:00"/>
    <x v="0"/>
    <x v="11"/>
    <x v="48"/>
    <x v="6"/>
    <x v="22"/>
    <x v="16"/>
    <x v="1"/>
    <n v="0"/>
  </r>
  <r>
    <d v="2024-12-07T00:00:00"/>
    <x v="0"/>
    <x v="11"/>
    <x v="48"/>
    <x v="6"/>
    <x v="6"/>
    <x v="6"/>
    <x v="0"/>
    <n v="45000000"/>
  </r>
  <r>
    <d v="2024-12-07T00:00:00"/>
    <x v="0"/>
    <x v="11"/>
    <x v="48"/>
    <x v="6"/>
    <x v="18"/>
    <x v="15"/>
    <x v="1"/>
    <n v="0"/>
  </r>
  <r>
    <d v="2024-12-07T00:00:00"/>
    <x v="0"/>
    <x v="11"/>
    <x v="48"/>
    <x v="6"/>
    <x v="12"/>
    <x v="11"/>
    <x v="1"/>
    <n v="2828690000"/>
  </r>
  <r>
    <d v="2024-12-08T00:00:00"/>
    <x v="0"/>
    <x v="11"/>
    <x v="48"/>
    <x v="7"/>
    <x v="8"/>
    <x v="8"/>
    <x v="1"/>
    <n v="0"/>
  </r>
  <r>
    <d v="2024-12-08T00:00:00"/>
    <x v="0"/>
    <x v="11"/>
    <x v="48"/>
    <x v="7"/>
    <x v="2"/>
    <x v="2"/>
    <x v="1"/>
    <n v="5044420000"/>
  </r>
  <r>
    <d v="2024-12-08T00:00:00"/>
    <x v="0"/>
    <x v="11"/>
    <x v="48"/>
    <x v="7"/>
    <x v="17"/>
    <x v="9"/>
    <x v="1"/>
    <n v="21400000"/>
  </r>
  <r>
    <d v="2024-12-08T00:00:00"/>
    <x v="0"/>
    <x v="11"/>
    <x v="48"/>
    <x v="7"/>
    <x v="7"/>
    <x v="7"/>
    <x v="4"/>
    <n v="371590283"/>
  </r>
  <r>
    <d v="2024-12-08T00:00:00"/>
    <x v="0"/>
    <x v="11"/>
    <x v="48"/>
    <x v="7"/>
    <x v="20"/>
    <x v="9"/>
    <x v="1"/>
    <n v="21400000"/>
  </r>
  <r>
    <d v="2024-12-08T00:00:00"/>
    <x v="0"/>
    <x v="11"/>
    <x v="48"/>
    <x v="7"/>
    <x v="21"/>
    <x v="9"/>
    <x v="1"/>
    <n v="110950000"/>
  </r>
  <r>
    <d v="2024-12-08T00:00:00"/>
    <x v="0"/>
    <x v="11"/>
    <x v="48"/>
    <x v="7"/>
    <x v="5"/>
    <x v="5"/>
    <x v="3"/>
    <n v="3256173470"/>
  </r>
  <r>
    <d v="2024-12-08T00:00:00"/>
    <x v="0"/>
    <x v="11"/>
    <x v="48"/>
    <x v="7"/>
    <x v="12"/>
    <x v="11"/>
    <x v="1"/>
    <n v="1561530000"/>
  </r>
  <r>
    <d v="2024-12-08T00:00:00"/>
    <x v="0"/>
    <x v="11"/>
    <x v="48"/>
    <x v="7"/>
    <x v="19"/>
    <x v="12"/>
    <x v="4"/>
    <n v="88405215"/>
  </r>
  <r>
    <d v="2024-12-08T00:00:00"/>
    <x v="0"/>
    <x v="11"/>
    <x v="48"/>
    <x v="7"/>
    <x v="0"/>
    <x v="0"/>
    <x v="0"/>
    <n v="5611500000"/>
  </r>
  <r>
    <d v="2024-12-08T00:00:00"/>
    <x v="0"/>
    <x v="11"/>
    <x v="48"/>
    <x v="7"/>
    <x v="15"/>
    <x v="14"/>
    <x v="4"/>
    <n v="44148198"/>
  </r>
  <r>
    <d v="2024-12-08T00:00:00"/>
    <x v="0"/>
    <x v="11"/>
    <x v="48"/>
    <x v="7"/>
    <x v="3"/>
    <x v="3"/>
    <x v="1"/>
    <n v="10500000"/>
  </r>
  <r>
    <d v="2024-12-08T00:00:00"/>
    <x v="0"/>
    <x v="11"/>
    <x v="48"/>
    <x v="7"/>
    <x v="1"/>
    <x v="1"/>
    <x v="1"/>
    <n v="36750000"/>
  </r>
  <r>
    <d v="2024-12-08T00:00:00"/>
    <x v="0"/>
    <x v="11"/>
    <x v="48"/>
    <x v="7"/>
    <x v="6"/>
    <x v="6"/>
    <x v="0"/>
    <n v="31000000"/>
  </r>
  <r>
    <d v="2024-12-08T00:00:00"/>
    <x v="0"/>
    <x v="11"/>
    <x v="48"/>
    <x v="7"/>
    <x v="11"/>
    <x v="10"/>
    <x v="4"/>
    <n v="153396739"/>
  </r>
  <r>
    <d v="2024-12-08T00:00:00"/>
    <x v="0"/>
    <x v="11"/>
    <x v="48"/>
    <x v="7"/>
    <x v="14"/>
    <x v="13"/>
    <x v="1"/>
    <n v="333190000"/>
  </r>
  <r>
    <d v="2024-12-08T00:00:00"/>
    <x v="0"/>
    <x v="11"/>
    <x v="48"/>
    <x v="7"/>
    <x v="22"/>
    <x v="16"/>
    <x v="1"/>
    <n v="0"/>
  </r>
  <r>
    <d v="2024-12-08T00:00:00"/>
    <x v="0"/>
    <x v="11"/>
    <x v="48"/>
    <x v="7"/>
    <x v="18"/>
    <x v="15"/>
    <x v="1"/>
    <n v="0"/>
  </r>
  <r>
    <d v="2024-12-09T00:00:00"/>
    <x v="0"/>
    <x v="11"/>
    <x v="49"/>
    <x v="8"/>
    <x v="1"/>
    <x v="1"/>
    <x v="1"/>
    <n v="42000000"/>
  </r>
  <r>
    <d v="2024-12-09T00:00:00"/>
    <x v="0"/>
    <x v="11"/>
    <x v="49"/>
    <x v="8"/>
    <x v="0"/>
    <x v="0"/>
    <x v="0"/>
    <n v="6351000000"/>
  </r>
  <r>
    <d v="2024-12-09T00:00:00"/>
    <x v="0"/>
    <x v="11"/>
    <x v="49"/>
    <x v="8"/>
    <x v="7"/>
    <x v="7"/>
    <x v="4"/>
    <n v="411402465"/>
  </r>
  <r>
    <d v="2024-12-09T00:00:00"/>
    <x v="0"/>
    <x v="11"/>
    <x v="49"/>
    <x v="8"/>
    <x v="19"/>
    <x v="12"/>
    <x v="4"/>
    <n v="90028322"/>
  </r>
  <r>
    <d v="2024-12-09T00:00:00"/>
    <x v="0"/>
    <x v="11"/>
    <x v="49"/>
    <x v="8"/>
    <x v="3"/>
    <x v="3"/>
    <x v="1"/>
    <n v="18000000"/>
  </r>
  <r>
    <d v="2024-12-09T00:00:00"/>
    <x v="0"/>
    <x v="11"/>
    <x v="49"/>
    <x v="8"/>
    <x v="12"/>
    <x v="11"/>
    <x v="1"/>
    <n v="4158200000"/>
  </r>
  <r>
    <d v="2024-12-09T00:00:00"/>
    <x v="0"/>
    <x v="11"/>
    <x v="49"/>
    <x v="8"/>
    <x v="22"/>
    <x v="16"/>
    <x v="1"/>
    <n v="0"/>
  </r>
  <r>
    <d v="2024-12-09T00:00:00"/>
    <x v="0"/>
    <x v="11"/>
    <x v="49"/>
    <x v="8"/>
    <x v="18"/>
    <x v="15"/>
    <x v="1"/>
    <n v="0"/>
  </r>
  <r>
    <d v="2024-12-09T00:00:00"/>
    <x v="0"/>
    <x v="11"/>
    <x v="49"/>
    <x v="8"/>
    <x v="6"/>
    <x v="6"/>
    <x v="0"/>
    <n v="60000000"/>
  </r>
  <r>
    <d v="2024-12-09T00:00:00"/>
    <x v="0"/>
    <x v="11"/>
    <x v="49"/>
    <x v="8"/>
    <x v="5"/>
    <x v="5"/>
    <x v="3"/>
    <n v="3884822436"/>
  </r>
  <r>
    <d v="2024-12-09T00:00:00"/>
    <x v="0"/>
    <x v="11"/>
    <x v="49"/>
    <x v="8"/>
    <x v="2"/>
    <x v="2"/>
    <x v="1"/>
    <n v="6964410000"/>
  </r>
  <r>
    <d v="2024-12-09T00:00:00"/>
    <x v="0"/>
    <x v="11"/>
    <x v="49"/>
    <x v="8"/>
    <x v="14"/>
    <x v="13"/>
    <x v="1"/>
    <n v="519470000"/>
  </r>
  <r>
    <d v="2024-12-09T00:00:00"/>
    <x v="0"/>
    <x v="11"/>
    <x v="49"/>
    <x v="8"/>
    <x v="15"/>
    <x v="14"/>
    <x v="4"/>
    <n v="37935360"/>
  </r>
  <r>
    <d v="2024-12-09T00:00:00"/>
    <x v="0"/>
    <x v="11"/>
    <x v="49"/>
    <x v="8"/>
    <x v="11"/>
    <x v="10"/>
    <x v="4"/>
    <n v="185597502"/>
  </r>
  <r>
    <d v="2024-12-09T00:00:00"/>
    <x v="0"/>
    <x v="11"/>
    <x v="49"/>
    <x v="8"/>
    <x v="8"/>
    <x v="8"/>
    <x v="1"/>
    <n v="0"/>
  </r>
  <r>
    <d v="2024-12-09T00:00:00"/>
    <x v="0"/>
    <x v="11"/>
    <x v="49"/>
    <x v="8"/>
    <x v="20"/>
    <x v="9"/>
    <x v="1"/>
    <n v="0"/>
  </r>
  <r>
    <d v="2024-12-09T00:00:00"/>
    <x v="0"/>
    <x v="11"/>
    <x v="49"/>
    <x v="8"/>
    <x v="17"/>
    <x v="9"/>
    <x v="1"/>
    <n v="42800000"/>
  </r>
  <r>
    <d v="2024-12-09T00:00:00"/>
    <x v="0"/>
    <x v="11"/>
    <x v="49"/>
    <x v="8"/>
    <x v="21"/>
    <x v="9"/>
    <x v="1"/>
    <n v="85970000"/>
  </r>
  <r>
    <d v="2024-12-10T00:00:00"/>
    <x v="0"/>
    <x v="11"/>
    <x v="49"/>
    <x v="9"/>
    <x v="3"/>
    <x v="3"/>
    <x v="1"/>
    <n v="0"/>
  </r>
  <r>
    <d v="2024-12-10T00:00:00"/>
    <x v="0"/>
    <x v="11"/>
    <x v="49"/>
    <x v="9"/>
    <x v="17"/>
    <x v="9"/>
    <x v="1"/>
    <n v="0"/>
  </r>
  <r>
    <d v="2024-12-10T00:00:00"/>
    <x v="0"/>
    <x v="11"/>
    <x v="49"/>
    <x v="9"/>
    <x v="19"/>
    <x v="12"/>
    <x v="4"/>
    <n v="69865728"/>
  </r>
  <r>
    <d v="2024-12-10T00:00:00"/>
    <x v="0"/>
    <x v="11"/>
    <x v="49"/>
    <x v="9"/>
    <x v="0"/>
    <x v="0"/>
    <x v="0"/>
    <n v="6999500000"/>
  </r>
  <r>
    <d v="2024-12-10T00:00:00"/>
    <x v="0"/>
    <x v="11"/>
    <x v="49"/>
    <x v="9"/>
    <x v="6"/>
    <x v="6"/>
    <x v="0"/>
    <n v="41000000"/>
  </r>
  <r>
    <d v="2024-12-10T00:00:00"/>
    <x v="0"/>
    <x v="11"/>
    <x v="49"/>
    <x v="9"/>
    <x v="2"/>
    <x v="2"/>
    <x v="1"/>
    <n v="5411800000"/>
  </r>
  <r>
    <d v="2024-12-10T00:00:00"/>
    <x v="0"/>
    <x v="11"/>
    <x v="49"/>
    <x v="9"/>
    <x v="18"/>
    <x v="15"/>
    <x v="1"/>
    <n v="170880000"/>
  </r>
  <r>
    <d v="2024-12-10T00:00:00"/>
    <x v="0"/>
    <x v="11"/>
    <x v="49"/>
    <x v="9"/>
    <x v="7"/>
    <x v="7"/>
    <x v="4"/>
    <n v="481772069"/>
  </r>
  <r>
    <d v="2024-12-10T00:00:00"/>
    <x v="0"/>
    <x v="11"/>
    <x v="49"/>
    <x v="9"/>
    <x v="14"/>
    <x v="13"/>
    <x v="1"/>
    <n v="436320000"/>
  </r>
  <r>
    <d v="2024-12-10T00:00:00"/>
    <x v="0"/>
    <x v="11"/>
    <x v="49"/>
    <x v="9"/>
    <x v="22"/>
    <x v="16"/>
    <x v="1"/>
    <n v="0"/>
  </r>
  <r>
    <d v="2024-12-10T00:00:00"/>
    <x v="0"/>
    <x v="11"/>
    <x v="49"/>
    <x v="9"/>
    <x v="15"/>
    <x v="14"/>
    <x v="4"/>
    <n v="45341228"/>
  </r>
  <r>
    <d v="2024-12-10T00:00:00"/>
    <x v="0"/>
    <x v="11"/>
    <x v="49"/>
    <x v="9"/>
    <x v="8"/>
    <x v="8"/>
    <x v="1"/>
    <n v="0"/>
  </r>
  <r>
    <d v="2024-12-10T00:00:00"/>
    <x v="0"/>
    <x v="11"/>
    <x v="49"/>
    <x v="9"/>
    <x v="5"/>
    <x v="5"/>
    <x v="3"/>
    <n v="4119506757"/>
  </r>
  <r>
    <d v="2024-12-10T00:00:00"/>
    <x v="0"/>
    <x v="11"/>
    <x v="49"/>
    <x v="9"/>
    <x v="1"/>
    <x v="1"/>
    <x v="1"/>
    <n v="21000000"/>
  </r>
  <r>
    <d v="2024-12-10T00:00:00"/>
    <x v="0"/>
    <x v="11"/>
    <x v="49"/>
    <x v="9"/>
    <x v="12"/>
    <x v="11"/>
    <x v="1"/>
    <n v="6807600000"/>
  </r>
  <r>
    <d v="2024-12-10T00:00:00"/>
    <x v="0"/>
    <x v="11"/>
    <x v="49"/>
    <x v="9"/>
    <x v="11"/>
    <x v="10"/>
    <x v="4"/>
    <n v="149487147"/>
  </r>
  <r>
    <d v="2024-12-10T00:00:00"/>
    <x v="0"/>
    <x v="11"/>
    <x v="49"/>
    <x v="9"/>
    <x v="20"/>
    <x v="9"/>
    <x v="1"/>
    <n v="6420000"/>
  </r>
  <r>
    <d v="2024-12-10T00:00:00"/>
    <x v="0"/>
    <x v="11"/>
    <x v="49"/>
    <x v="9"/>
    <x v="21"/>
    <x v="9"/>
    <x v="1"/>
    <n v="53500000"/>
  </r>
  <r>
    <d v="2024-12-11T00:00:00"/>
    <x v="0"/>
    <x v="11"/>
    <x v="49"/>
    <x v="10"/>
    <x v="14"/>
    <x v="13"/>
    <x v="1"/>
    <n v="462200000"/>
  </r>
  <r>
    <d v="2024-12-11T00:00:00"/>
    <x v="0"/>
    <x v="11"/>
    <x v="49"/>
    <x v="10"/>
    <x v="2"/>
    <x v="2"/>
    <x v="1"/>
    <n v="6596020000"/>
  </r>
  <r>
    <d v="2024-12-11T00:00:00"/>
    <x v="0"/>
    <x v="11"/>
    <x v="49"/>
    <x v="10"/>
    <x v="7"/>
    <x v="7"/>
    <x v="4"/>
    <n v="418179754"/>
  </r>
  <r>
    <d v="2024-12-11T00:00:00"/>
    <x v="0"/>
    <x v="11"/>
    <x v="49"/>
    <x v="10"/>
    <x v="15"/>
    <x v="14"/>
    <x v="4"/>
    <n v="33106072"/>
  </r>
  <r>
    <d v="2024-12-11T00:00:00"/>
    <x v="0"/>
    <x v="11"/>
    <x v="49"/>
    <x v="10"/>
    <x v="22"/>
    <x v="16"/>
    <x v="1"/>
    <n v="0"/>
  </r>
  <r>
    <d v="2024-12-11T00:00:00"/>
    <x v="0"/>
    <x v="11"/>
    <x v="49"/>
    <x v="10"/>
    <x v="0"/>
    <x v="0"/>
    <x v="0"/>
    <n v="6783500000"/>
  </r>
  <r>
    <d v="2024-12-11T00:00:00"/>
    <x v="0"/>
    <x v="11"/>
    <x v="49"/>
    <x v="10"/>
    <x v="6"/>
    <x v="6"/>
    <x v="0"/>
    <n v="64000000"/>
  </r>
  <r>
    <d v="2024-12-11T00:00:00"/>
    <x v="0"/>
    <x v="11"/>
    <x v="49"/>
    <x v="10"/>
    <x v="12"/>
    <x v="11"/>
    <x v="1"/>
    <n v="5784330000"/>
  </r>
  <r>
    <d v="2024-12-11T00:00:00"/>
    <x v="0"/>
    <x v="11"/>
    <x v="49"/>
    <x v="10"/>
    <x v="1"/>
    <x v="1"/>
    <x v="1"/>
    <n v="36750000"/>
  </r>
  <r>
    <d v="2024-12-11T00:00:00"/>
    <x v="0"/>
    <x v="11"/>
    <x v="49"/>
    <x v="10"/>
    <x v="18"/>
    <x v="15"/>
    <x v="1"/>
    <n v="293070000"/>
  </r>
  <r>
    <d v="2024-12-11T00:00:00"/>
    <x v="0"/>
    <x v="11"/>
    <x v="49"/>
    <x v="10"/>
    <x v="8"/>
    <x v="8"/>
    <x v="1"/>
    <n v="0"/>
  </r>
  <r>
    <d v="2024-12-11T00:00:00"/>
    <x v="0"/>
    <x v="11"/>
    <x v="49"/>
    <x v="10"/>
    <x v="17"/>
    <x v="9"/>
    <x v="1"/>
    <n v="0"/>
  </r>
  <r>
    <d v="2024-12-11T00:00:00"/>
    <x v="0"/>
    <x v="11"/>
    <x v="49"/>
    <x v="10"/>
    <x v="20"/>
    <x v="9"/>
    <x v="1"/>
    <n v="10700000"/>
  </r>
  <r>
    <d v="2024-12-11T00:00:00"/>
    <x v="0"/>
    <x v="11"/>
    <x v="49"/>
    <x v="10"/>
    <x v="21"/>
    <x v="9"/>
    <x v="1"/>
    <n v="64200000"/>
  </r>
  <r>
    <d v="2024-12-11T00:00:00"/>
    <x v="0"/>
    <x v="11"/>
    <x v="49"/>
    <x v="10"/>
    <x v="11"/>
    <x v="10"/>
    <x v="4"/>
    <n v="142792933"/>
  </r>
  <r>
    <d v="2024-12-11T00:00:00"/>
    <x v="0"/>
    <x v="11"/>
    <x v="49"/>
    <x v="10"/>
    <x v="5"/>
    <x v="5"/>
    <x v="3"/>
    <n v="3202358238"/>
  </r>
  <r>
    <d v="2024-12-11T00:00:00"/>
    <x v="0"/>
    <x v="11"/>
    <x v="49"/>
    <x v="10"/>
    <x v="19"/>
    <x v="12"/>
    <x v="4"/>
    <n v="92174485"/>
  </r>
  <r>
    <d v="2024-12-11T00:00:00"/>
    <x v="0"/>
    <x v="11"/>
    <x v="49"/>
    <x v="10"/>
    <x v="3"/>
    <x v="3"/>
    <x v="1"/>
    <n v="0"/>
  </r>
  <r>
    <d v="2024-12-12T00:00:00"/>
    <x v="0"/>
    <x v="11"/>
    <x v="49"/>
    <x v="11"/>
    <x v="14"/>
    <x v="13"/>
    <x v="1"/>
    <n v="451390000"/>
  </r>
  <r>
    <d v="2024-12-12T00:00:00"/>
    <x v="0"/>
    <x v="11"/>
    <x v="49"/>
    <x v="11"/>
    <x v="2"/>
    <x v="2"/>
    <x v="1"/>
    <n v="6247960000"/>
  </r>
  <r>
    <d v="2024-12-12T00:00:00"/>
    <x v="0"/>
    <x v="11"/>
    <x v="49"/>
    <x v="11"/>
    <x v="6"/>
    <x v="6"/>
    <x v="0"/>
    <n v="38000000"/>
  </r>
  <r>
    <d v="2024-12-12T00:00:00"/>
    <x v="0"/>
    <x v="11"/>
    <x v="49"/>
    <x v="11"/>
    <x v="1"/>
    <x v="1"/>
    <x v="1"/>
    <n v="10500000"/>
  </r>
  <r>
    <d v="2024-12-12T00:00:00"/>
    <x v="0"/>
    <x v="11"/>
    <x v="49"/>
    <x v="11"/>
    <x v="12"/>
    <x v="11"/>
    <x v="1"/>
    <n v="5465810000"/>
  </r>
  <r>
    <d v="2024-12-12T00:00:00"/>
    <x v="0"/>
    <x v="11"/>
    <x v="49"/>
    <x v="11"/>
    <x v="5"/>
    <x v="5"/>
    <x v="3"/>
    <n v="3350878277"/>
  </r>
  <r>
    <d v="2024-12-12T00:00:00"/>
    <x v="0"/>
    <x v="11"/>
    <x v="49"/>
    <x v="11"/>
    <x v="18"/>
    <x v="15"/>
    <x v="1"/>
    <n v="188690000"/>
  </r>
  <r>
    <d v="2024-12-12T00:00:00"/>
    <x v="0"/>
    <x v="11"/>
    <x v="49"/>
    <x v="11"/>
    <x v="8"/>
    <x v="8"/>
    <x v="1"/>
    <n v="0"/>
  </r>
  <r>
    <d v="2024-12-12T00:00:00"/>
    <x v="0"/>
    <x v="11"/>
    <x v="49"/>
    <x v="11"/>
    <x v="15"/>
    <x v="14"/>
    <x v="4"/>
    <n v="23192044"/>
  </r>
  <r>
    <d v="2024-12-12T00:00:00"/>
    <x v="0"/>
    <x v="11"/>
    <x v="49"/>
    <x v="11"/>
    <x v="22"/>
    <x v="16"/>
    <x v="1"/>
    <n v="0"/>
  </r>
  <r>
    <d v="2024-12-12T00:00:00"/>
    <x v="0"/>
    <x v="11"/>
    <x v="49"/>
    <x v="11"/>
    <x v="17"/>
    <x v="9"/>
    <x v="1"/>
    <n v="0"/>
  </r>
  <r>
    <d v="2024-12-12T00:00:00"/>
    <x v="0"/>
    <x v="11"/>
    <x v="49"/>
    <x v="11"/>
    <x v="20"/>
    <x v="9"/>
    <x v="1"/>
    <n v="21400000"/>
  </r>
  <r>
    <d v="2024-12-12T00:00:00"/>
    <x v="0"/>
    <x v="11"/>
    <x v="49"/>
    <x v="11"/>
    <x v="21"/>
    <x v="9"/>
    <x v="1"/>
    <n v="53500000"/>
  </r>
  <r>
    <d v="2024-12-12T00:00:00"/>
    <x v="0"/>
    <x v="11"/>
    <x v="49"/>
    <x v="11"/>
    <x v="3"/>
    <x v="3"/>
    <x v="1"/>
    <n v="30600000"/>
  </r>
  <r>
    <d v="2024-12-12T00:00:00"/>
    <x v="0"/>
    <x v="11"/>
    <x v="49"/>
    <x v="11"/>
    <x v="0"/>
    <x v="0"/>
    <x v="0"/>
    <n v="6412000000"/>
  </r>
  <r>
    <d v="2024-12-12T00:00:00"/>
    <x v="0"/>
    <x v="11"/>
    <x v="49"/>
    <x v="11"/>
    <x v="11"/>
    <x v="10"/>
    <x v="4"/>
    <n v="133304959"/>
  </r>
  <r>
    <d v="2024-12-12T00:00:00"/>
    <x v="0"/>
    <x v="11"/>
    <x v="49"/>
    <x v="11"/>
    <x v="7"/>
    <x v="7"/>
    <x v="4"/>
    <n v="392607041"/>
  </r>
  <r>
    <d v="2024-12-12T00:00:00"/>
    <x v="0"/>
    <x v="11"/>
    <x v="49"/>
    <x v="11"/>
    <x v="19"/>
    <x v="12"/>
    <x v="4"/>
    <n v="65902214"/>
  </r>
  <r>
    <d v="2024-12-13T00:00:00"/>
    <x v="0"/>
    <x v="11"/>
    <x v="49"/>
    <x v="12"/>
    <x v="11"/>
    <x v="10"/>
    <x v="4"/>
    <n v="165739821"/>
  </r>
  <r>
    <d v="2024-12-13T00:00:00"/>
    <x v="0"/>
    <x v="11"/>
    <x v="49"/>
    <x v="12"/>
    <x v="3"/>
    <x v="3"/>
    <x v="1"/>
    <n v="33000000"/>
  </r>
  <r>
    <d v="2024-12-13T00:00:00"/>
    <x v="0"/>
    <x v="11"/>
    <x v="49"/>
    <x v="12"/>
    <x v="14"/>
    <x v="13"/>
    <x v="1"/>
    <n v="312500000"/>
  </r>
  <r>
    <d v="2024-12-13T00:00:00"/>
    <x v="0"/>
    <x v="11"/>
    <x v="49"/>
    <x v="12"/>
    <x v="0"/>
    <x v="0"/>
    <x v="0"/>
    <n v="6166000000"/>
  </r>
  <r>
    <d v="2024-12-13T00:00:00"/>
    <x v="0"/>
    <x v="11"/>
    <x v="49"/>
    <x v="12"/>
    <x v="6"/>
    <x v="6"/>
    <x v="0"/>
    <n v="36000000"/>
  </r>
  <r>
    <d v="2024-12-13T00:00:00"/>
    <x v="0"/>
    <x v="11"/>
    <x v="49"/>
    <x v="12"/>
    <x v="19"/>
    <x v="12"/>
    <x v="4"/>
    <n v="67267621"/>
  </r>
  <r>
    <d v="2024-12-13T00:00:00"/>
    <x v="0"/>
    <x v="11"/>
    <x v="49"/>
    <x v="12"/>
    <x v="1"/>
    <x v="1"/>
    <x v="1"/>
    <n v="49350000"/>
  </r>
  <r>
    <d v="2024-12-13T00:00:00"/>
    <x v="0"/>
    <x v="11"/>
    <x v="49"/>
    <x v="12"/>
    <x v="7"/>
    <x v="7"/>
    <x v="4"/>
    <n v="323566230"/>
  </r>
  <r>
    <d v="2024-12-13T00:00:00"/>
    <x v="0"/>
    <x v="11"/>
    <x v="49"/>
    <x v="12"/>
    <x v="2"/>
    <x v="2"/>
    <x v="1"/>
    <n v="5989300000"/>
  </r>
  <r>
    <d v="2024-12-13T00:00:00"/>
    <x v="0"/>
    <x v="11"/>
    <x v="49"/>
    <x v="12"/>
    <x v="18"/>
    <x v="15"/>
    <x v="1"/>
    <n v="204900000"/>
  </r>
  <r>
    <d v="2024-12-13T00:00:00"/>
    <x v="0"/>
    <x v="11"/>
    <x v="49"/>
    <x v="12"/>
    <x v="22"/>
    <x v="16"/>
    <x v="1"/>
    <n v="0"/>
  </r>
  <r>
    <d v="2024-12-13T00:00:00"/>
    <x v="0"/>
    <x v="11"/>
    <x v="49"/>
    <x v="12"/>
    <x v="8"/>
    <x v="8"/>
    <x v="1"/>
    <n v="0"/>
  </r>
  <r>
    <d v="2024-12-13T00:00:00"/>
    <x v="0"/>
    <x v="11"/>
    <x v="49"/>
    <x v="12"/>
    <x v="15"/>
    <x v="14"/>
    <x v="4"/>
    <n v="29991326"/>
  </r>
  <r>
    <d v="2024-12-13T00:00:00"/>
    <x v="0"/>
    <x v="11"/>
    <x v="49"/>
    <x v="12"/>
    <x v="20"/>
    <x v="9"/>
    <x v="1"/>
    <n v="43750000"/>
  </r>
  <r>
    <d v="2024-12-13T00:00:00"/>
    <x v="0"/>
    <x v="11"/>
    <x v="49"/>
    <x v="12"/>
    <x v="17"/>
    <x v="9"/>
    <x v="1"/>
    <n v="0"/>
  </r>
  <r>
    <d v="2024-12-13T00:00:00"/>
    <x v="0"/>
    <x v="11"/>
    <x v="49"/>
    <x v="12"/>
    <x v="21"/>
    <x v="9"/>
    <x v="1"/>
    <n v="37450000"/>
  </r>
  <r>
    <d v="2024-12-13T00:00:00"/>
    <x v="0"/>
    <x v="11"/>
    <x v="49"/>
    <x v="12"/>
    <x v="5"/>
    <x v="5"/>
    <x v="3"/>
    <n v="3155529273"/>
  </r>
  <r>
    <d v="2024-12-13T00:00:00"/>
    <x v="0"/>
    <x v="11"/>
    <x v="49"/>
    <x v="12"/>
    <x v="12"/>
    <x v="11"/>
    <x v="1"/>
    <n v="5244890000"/>
  </r>
  <r>
    <d v="2024-12-14T00:00:00"/>
    <x v="0"/>
    <x v="11"/>
    <x v="49"/>
    <x v="13"/>
    <x v="19"/>
    <x v="12"/>
    <x v="4"/>
    <n v="52525313"/>
  </r>
  <r>
    <d v="2024-12-14T00:00:00"/>
    <x v="0"/>
    <x v="11"/>
    <x v="49"/>
    <x v="13"/>
    <x v="1"/>
    <x v="1"/>
    <x v="1"/>
    <n v="0"/>
  </r>
  <r>
    <d v="2024-12-14T00:00:00"/>
    <x v="0"/>
    <x v="11"/>
    <x v="49"/>
    <x v="13"/>
    <x v="11"/>
    <x v="10"/>
    <x v="4"/>
    <n v="150581274"/>
  </r>
  <r>
    <d v="2024-12-14T00:00:00"/>
    <x v="0"/>
    <x v="11"/>
    <x v="49"/>
    <x v="13"/>
    <x v="8"/>
    <x v="8"/>
    <x v="1"/>
    <n v="0"/>
  </r>
  <r>
    <d v="2024-12-14T00:00:00"/>
    <x v="0"/>
    <x v="11"/>
    <x v="49"/>
    <x v="13"/>
    <x v="18"/>
    <x v="15"/>
    <x v="1"/>
    <n v="119860000"/>
  </r>
  <r>
    <d v="2024-12-14T00:00:00"/>
    <x v="0"/>
    <x v="11"/>
    <x v="49"/>
    <x v="13"/>
    <x v="12"/>
    <x v="11"/>
    <x v="1"/>
    <n v="5466350000"/>
  </r>
  <r>
    <d v="2024-12-14T00:00:00"/>
    <x v="0"/>
    <x v="11"/>
    <x v="49"/>
    <x v="13"/>
    <x v="17"/>
    <x v="9"/>
    <x v="1"/>
    <n v="21400000"/>
  </r>
  <r>
    <d v="2024-12-14T00:00:00"/>
    <x v="0"/>
    <x v="11"/>
    <x v="49"/>
    <x v="13"/>
    <x v="6"/>
    <x v="6"/>
    <x v="0"/>
    <n v="33000000"/>
  </r>
  <r>
    <d v="2024-12-14T00:00:00"/>
    <x v="0"/>
    <x v="11"/>
    <x v="49"/>
    <x v="13"/>
    <x v="20"/>
    <x v="9"/>
    <x v="1"/>
    <n v="21400000"/>
  </r>
  <r>
    <d v="2024-12-14T00:00:00"/>
    <x v="0"/>
    <x v="11"/>
    <x v="49"/>
    <x v="13"/>
    <x v="21"/>
    <x v="9"/>
    <x v="1"/>
    <n v="84200000"/>
  </r>
  <r>
    <d v="2024-12-14T00:00:00"/>
    <x v="0"/>
    <x v="11"/>
    <x v="49"/>
    <x v="13"/>
    <x v="2"/>
    <x v="2"/>
    <x v="1"/>
    <n v="6157130000"/>
  </r>
  <r>
    <d v="2024-12-14T00:00:00"/>
    <x v="0"/>
    <x v="11"/>
    <x v="49"/>
    <x v="13"/>
    <x v="0"/>
    <x v="0"/>
    <x v="0"/>
    <n v="5702500000"/>
  </r>
  <r>
    <d v="2024-12-14T00:00:00"/>
    <x v="0"/>
    <x v="11"/>
    <x v="49"/>
    <x v="13"/>
    <x v="14"/>
    <x v="13"/>
    <x v="1"/>
    <n v="235900000"/>
  </r>
  <r>
    <d v="2024-12-14T00:00:00"/>
    <x v="0"/>
    <x v="11"/>
    <x v="49"/>
    <x v="13"/>
    <x v="3"/>
    <x v="3"/>
    <x v="1"/>
    <n v="0"/>
  </r>
  <r>
    <d v="2024-12-14T00:00:00"/>
    <x v="0"/>
    <x v="11"/>
    <x v="49"/>
    <x v="13"/>
    <x v="7"/>
    <x v="7"/>
    <x v="4"/>
    <n v="319857813"/>
  </r>
  <r>
    <d v="2024-12-14T00:00:00"/>
    <x v="0"/>
    <x v="11"/>
    <x v="49"/>
    <x v="13"/>
    <x v="15"/>
    <x v="14"/>
    <x v="4"/>
    <n v="49613556"/>
  </r>
  <r>
    <d v="2024-12-14T00:00:00"/>
    <x v="0"/>
    <x v="11"/>
    <x v="49"/>
    <x v="13"/>
    <x v="22"/>
    <x v="16"/>
    <x v="1"/>
    <n v="0"/>
  </r>
  <r>
    <d v="2024-12-14T00:00:00"/>
    <x v="0"/>
    <x v="11"/>
    <x v="49"/>
    <x v="13"/>
    <x v="5"/>
    <x v="5"/>
    <x v="3"/>
    <n v="3186732007"/>
  </r>
  <r>
    <d v="2024-12-15T00:00:00"/>
    <x v="0"/>
    <x v="11"/>
    <x v="49"/>
    <x v="14"/>
    <x v="3"/>
    <x v="3"/>
    <x v="1"/>
    <n v="0"/>
  </r>
  <r>
    <d v="2024-12-15T00:00:00"/>
    <x v="0"/>
    <x v="11"/>
    <x v="49"/>
    <x v="14"/>
    <x v="7"/>
    <x v="7"/>
    <x v="4"/>
    <n v="291450073"/>
  </r>
  <r>
    <d v="2024-12-15T00:00:00"/>
    <x v="0"/>
    <x v="11"/>
    <x v="49"/>
    <x v="14"/>
    <x v="14"/>
    <x v="13"/>
    <x v="1"/>
    <n v="470680000"/>
  </r>
  <r>
    <d v="2024-12-15T00:00:00"/>
    <x v="0"/>
    <x v="11"/>
    <x v="49"/>
    <x v="14"/>
    <x v="2"/>
    <x v="2"/>
    <x v="1"/>
    <n v="5373280000"/>
  </r>
  <r>
    <d v="2024-12-15T00:00:00"/>
    <x v="0"/>
    <x v="11"/>
    <x v="49"/>
    <x v="14"/>
    <x v="1"/>
    <x v="1"/>
    <x v="1"/>
    <n v="59850000"/>
  </r>
  <r>
    <d v="2024-12-15T00:00:00"/>
    <x v="0"/>
    <x v="11"/>
    <x v="49"/>
    <x v="14"/>
    <x v="19"/>
    <x v="12"/>
    <x v="4"/>
    <n v="76905503"/>
  </r>
  <r>
    <d v="2024-12-15T00:00:00"/>
    <x v="0"/>
    <x v="11"/>
    <x v="49"/>
    <x v="14"/>
    <x v="6"/>
    <x v="6"/>
    <x v="0"/>
    <n v="38000000"/>
  </r>
  <r>
    <d v="2024-12-15T00:00:00"/>
    <x v="0"/>
    <x v="11"/>
    <x v="49"/>
    <x v="14"/>
    <x v="12"/>
    <x v="11"/>
    <x v="1"/>
    <n v="4892090000"/>
  </r>
  <r>
    <d v="2024-12-15T00:00:00"/>
    <x v="0"/>
    <x v="11"/>
    <x v="49"/>
    <x v="14"/>
    <x v="21"/>
    <x v="9"/>
    <x v="1"/>
    <n v="0"/>
  </r>
  <r>
    <d v="2024-12-15T00:00:00"/>
    <x v="0"/>
    <x v="11"/>
    <x v="49"/>
    <x v="14"/>
    <x v="22"/>
    <x v="16"/>
    <x v="1"/>
    <n v="0"/>
  </r>
  <r>
    <d v="2024-12-15T00:00:00"/>
    <x v="0"/>
    <x v="11"/>
    <x v="49"/>
    <x v="14"/>
    <x v="0"/>
    <x v="0"/>
    <x v="0"/>
    <n v="5542500000"/>
  </r>
  <r>
    <d v="2024-12-15T00:00:00"/>
    <x v="0"/>
    <x v="11"/>
    <x v="49"/>
    <x v="14"/>
    <x v="11"/>
    <x v="10"/>
    <x v="4"/>
    <n v="137566176"/>
  </r>
  <r>
    <d v="2024-12-15T00:00:00"/>
    <x v="0"/>
    <x v="11"/>
    <x v="49"/>
    <x v="14"/>
    <x v="8"/>
    <x v="8"/>
    <x v="1"/>
    <n v="0"/>
  </r>
  <r>
    <d v="2024-12-15T00:00:00"/>
    <x v="0"/>
    <x v="11"/>
    <x v="49"/>
    <x v="14"/>
    <x v="18"/>
    <x v="15"/>
    <x v="1"/>
    <n v="58150000"/>
  </r>
  <r>
    <d v="2024-12-15T00:00:00"/>
    <x v="0"/>
    <x v="11"/>
    <x v="49"/>
    <x v="14"/>
    <x v="5"/>
    <x v="5"/>
    <x v="3"/>
    <n v="2928051829"/>
  </r>
  <r>
    <d v="2024-12-15T00:00:00"/>
    <x v="0"/>
    <x v="11"/>
    <x v="49"/>
    <x v="14"/>
    <x v="15"/>
    <x v="14"/>
    <x v="4"/>
    <n v="21588451"/>
  </r>
  <r>
    <d v="2024-12-15T00:00:00"/>
    <x v="0"/>
    <x v="11"/>
    <x v="49"/>
    <x v="14"/>
    <x v="20"/>
    <x v="9"/>
    <x v="1"/>
    <n v="0"/>
  </r>
  <r>
    <d v="2024-12-15T00:00:00"/>
    <x v="0"/>
    <x v="11"/>
    <x v="49"/>
    <x v="14"/>
    <x v="17"/>
    <x v="9"/>
    <x v="1"/>
    <n v="72060000"/>
  </r>
  <r>
    <d v="2024-12-16T00:00:00"/>
    <x v="0"/>
    <x v="11"/>
    <x v="50"/>
    <x v="15"/>
    <x v="12"/>
    <x v="11"/>
    <x v="1"/>
    <n v="6165850000"/>
  </r>
  <r>
    <d v="2024-12-16T00:00:00"/>
    <x v="0"/>
    <x v="11"/>
    <x v="50"/>
    <x v="15"/>
    <x v="22"/>
    <x v="16"/>
    <x v="1"/>
    <n v="0"/>
  </r>
  <r>
    <d v="2024-12-16T00:00:00"/>
    <x v="0"/>
    <x v="11"/>
    <x v="50"/>
    <x v="15"/>
    <x v="21"/>
    <x v="9"/>
    <x v="1"/>
    <n v="0"/>
  </r>
  <r>
    <d v="2024-12-16T00:00:00"/>
    <x v="0"/>
    <x v="11"/>
    <x v="50"/>
    <x v="15"/>
    <x v="18"/>
    <x v="15"/>
    <x v="1"/>
    <n v="113390000"/>
  </r>
  <r>
    <d v="2024-12-16T00:00:00"/>
    <x v="0"/>
    <x v="11"/>
    <x v="50"/>
    <x v="15"/>
    <x v="7"/>
    <x v="7"/>
    <x v="4"/>
    <n v="362112713"/>
  </r>
  <r>
    <d v="2024-12-16T00:00:00"/>
    <x v="0"/>
    <x v="11"/>
    <x v="50"/>
    <x v="15"/>
    <x v="5"/>
    <x v="5"/>
    <x v="3"/>
    <n v="3485129811"/>
  </r>
  <r>
    <d v="2024-12-16T00:00:00"/>
    <x v="0"/>
    <x v="11"/>
    <x v="50"/>
    <x v="15"/>
    <x v="0"/>
    <x v="0"/>
    <x v="0"/>
    <n v="5893500000"/>
  </r>
  <r>
    <d v="2024-12-16T00:00:00"/>
    <x v="0"/>
    <x v="11"/>
    <x v="50"/>
    <x v="15"/>
    <x v="14"/>
    <x v="13"/>
    <x v="1"/>
    <n v="393180000"/>
  </r>
  <r>
    <d v="2024-12-16T00:00:00"/>
    <x v="0"/>
    <x v="11"/>
    <x v="50"/>
    <x v="15"/>
    <x v="6"/>
    <x v="6"/>
    <x v="0"/>
    <n v="32000000"/>
  </r>
  <r>
    <d v="2024-12-16T00:00:00"/>
    <x v="0"/>
    <x v="11"/>
    <x v="50"/>
    <x v="15"/>
    <x v="8"/>
    <x v="8"/>
    <x v="1"/>
    <n v="0"/>
  </r>
  <r>
    <d v="2024-12-16T00:00:00"/>
    <x v="0"/>
    <x v="11"/>
    <x v="50"/>
    <x v="15"/>
    <x v="1"/>
    <x v="1"/>
    <x v="1"/>
    <n v="21000000"/>
  </r>
  <r>
    <d v="2024-12-16T00:00:00"/>
    <x v="0"/>
    <x v="11"/>
    <x v="50"/>
    <x v="15"/>
    <x v="3"/>
    <x v="3"/>
    <x v="1"/>
    <n v="0"/>
  </r>
  <r>
    <d v="2024-12-16T00:00:00"/>
    <x v="0"/>
    <x v="11"/>
    <x v="50"/>
    <x v="15"/>
    <x v="17"/>
    <x v="9"/>
    <x v="1"/>
    <n v="21400000"/>
  </r>
  <r>
    <d v="2024-12-16T00:00:00"/>
    <x v="0"/>
    <x v="11"/>
    <x v="50"/>
    <x v="15"/>
    <x v="19"/>
    <x v="12"/>
    <x v="4"/>
    <n v="68921486"/>
  </r>
  <r>
    <d v="2024-12-16T00:00:00"/>
    <x v="0"/>
    <x v="11"/>
    <x v="50"/>
    <x v="15"/>
    <x v="2"/>
    <x v="2"/>
    <x v="1"/>
    <n v="6444680000"/>
  </r>
  <r>
    <d v="2024-12-16T00:00:00"/>
    <x v="0"/>
    <x v="11"/>
    <x v="50"/>
    <x v="15"/>
    <x v="11"/>
    <x v="10"/>
    <x v="4"/>
    <n v="133997860"/>
  </r>
  <r>
    <d v="2024-12-16T00:00:00"/>
    <x v="0"/>
    <x v="11"/>
    <x v="50"/>
    <x v="15"/>
    <x v="15"/>
    <x v="14"/>
    <x v="4"/>
    <n v="30831837"/>
  </r>
  <r>
    <d v="2024-12-16T00:00:00"/>
    <x v="0"/>
    <x v="11"/>
    <x v="50"/>
    <x v="15"/>
    <x v="20"/>
    <x v="9"/>
    <x v="1"/>
    <n v="10000000"/>
  </r>
  <r>
    <d v="2024-12-17T00:00:00"/>
    <x v="0"/>
    <x v="11"/>
    <x v="50"/>
    <x v="16"/>
    <x v="5"/>
    <x v="5"/>
    <x v="3"/>
    <n v="3340152981"/>
  </r>
  <r>
    <d v="2024-12-17T00:00:00"/>
    <x v="0"/>
    <x v="11"/>
    <x v="50"/>
    <x v="16"/>
    <x v="11"/>
    <x v="10"/>
    <x v="4"/>
    <n v="127235371"/>
  </r>
  <r>
    <d v="2024-12-17T00:00:00"/>
    <x v="0"/>
    <x v="11"/>
    <x v="50"/>
    <x v="16"/>
    <x v="8"/>
    <x v="8"/>
    <x v="1"/>
    <n v="0"/>
  </r>
  <r>
    <d v="2024-12-17T00:00:00"/>
    <x v="0"/>
    <x v="11"/>
    <x v="50"/>
    <x v="16"/>
    <x v="3"/>
    <x v="3"/>
    <x v="1"/>
    <n v="0"/>
  </r>
  <r>
    <d v="2024-12-17T00:00:00"/>
    <x v="0"/>
    <x v="11"/>
    <x v="50"/>
    <x v="16"/>
    <x v="22"/>
    <x v="16"/>
    <x v="1"/>
    <n v="0"/>
  </r>
  <r>
    <d v="2024-12-17T00:00:00"/>
    <x v="0"/>
    <x v="11"/>
    <x v="50"/>
    <x v="16"/>
    <x v="19"/>
    <x v="12"/>
    <x v="4"/>
    <n v="75829660"/>
  </r>
  <r>
    <d v="2024-12-17T00:00:00"/>
    <x v="0"/>
    <x v="11"/>
    <x v="50"/>
    <x v="16"/>
    <x v="6"/>
    <x v="6"/>
    <x v="0"/>
    <n v="67000000"/>
  </r>
  <r>
    <d v="2024-12-17T00:00:00"/>
    <x v="0"/>
    <x v="11"/>
    <x v="50"/>
    <x v="16"/>
    <x v="2"/>
    <x v="2"/>
    <x v="1"/>
    <n v="6460390000"/>
  </r>
  <r>
    <d v="2024-12-17T00:00:00"/>
    <x v="0"/>
    <x v="11"/>
    <x v="50"/>
    <x v="16"/>
    <x v="14"/>
    <x v="13"/>
    <x v="1"/>
    <n v="390170000"/>
  </r>
  <r>
    <d v="2024-12-17T00:00:00"/>
    <x v="0"/>
    <x v="11"/>
    <x v="50"/>
    <x v="16"/>
    <x v="18"/>
    <x v="15"/>
    <x v="1"/>
    <n v="41730000"/>
  </r>
  <r>
    <d v="2024-12-17T00:00:00"/>
    <x v="0"/>
    <x v="11"/>
    <x v="50"/>
    <x v="16"/>
    <x v="12"/>
    <x v="11"/>
    <x v="1"/>
    <n v="6101160000"/>
  </r>
  <r>
    <d v="2024-12-17T00:00:00"/>
    <x v="0"/>
    <x v="11"/>
    <x v="50"/>
    <x v="16"/>
    <x v="7"/>
    <x v="7"/>
    <x v="4"/>
    <n v="283011821"/>
  </r>
  <r>
    <d v="2024-12-17T00:00:00"/>
    <x v="0"/>
    <x v="11"/>
    <x v="50"/>
    <x v="16"/>
    <x v="15"/>
    <x v="14"/>
    <x v="4"/>
    <n v="12990100"/>
  </r>
  <r>
    <d v="2024-12-17T00:00:00"/>
    <x v="0"/>
    <x v="11"/>
    <x v="50"/>
    <x v="16"/>
    <x v="1"/>
    <x v="1"/>
    <x v="1"/>
    <n v="44100000"/>
  </r>
  <r>
    <d v="2024-12-17T00:00:00"/>
    <x v="0"/>
    <x v="11"/>
    <x v="50"/>
    <x v="16"/>
    <x v="20"/>
    <x v="9"/>
    <x v="1"/>
    <n v="0"/>
  </r>
  <r>
    <d v="2024-12-17T00:00:00"/>
    <x v="0"/>
    <x v="11"/>
    <x v="50"/>
    <x v="16"/>
    <x v="17"/>
    <x v="9"/>
    <x v="1"/>
    <n v="0"/>
  </r>
  <r>
    <d v="2024-12-17T00:00:00"/>
    <x v="0"/>
    <x v="11"/>
    <x v="50"/>
    <x v="16"/>
    <x v="21"/>
    <x v="9"/>
    <x v="1"/>
    <n v="30700000"/>
  </r>
  <r>
    <d v="2024-12-17T00:00:00"/>
    <x v="0"/>
    <x v="11"/>
    <x v="50"/>
    <x v="16"/>
    <x v="0"/>
    <x v="0"/>
    <x v="0"/>
    <n v="5705000000"/>
  </r>
  <r>
    <d v="2024-12-18T00:00:00"/>
    <x v="0"/>
    <x v="11"/>
    <x v="50"/>
    <x v="17"/>
    <x v="11"/>
    <x v="10"/>
    <x v="4"/>
    <n v="116262854"/>
  </r>
  <r>
    <d v="2024-12-18T00:00:00"/>
    <x v="0"/>
    <x v="11"/>
    <x v="50"/>
    <x v="17"/>
    <x v="3"/>
    <x v="3"/>
    <x v="1"/>
    <n v="0"/>
  </r>
  <r>
    <d v="2024-12-18T00:00:00"/>
    <x v="0"/>
    <x v="11"/>
    <x v="50"/>
    <x v="17"/>
    <x v="12"/>
    <x v="11"/>
    <x v="1"/>
    <n v="5494920000"/>
  </r>
  <r>
    <d v="2024-12-18T00:00:00"/>
    <x v="0"/>
    <x v="11"/>
    <x v="50"/>
    <x v="17"/>
    <x v="6"/>
    <x v="6"/>
    <x v="0"/>
    <n v="24000000"/>
  </r>
  <r>
    <d v="2024-12-18T00:00:00"/>
    <x v="0"/>
    <x v="11"/>
    <x v="50"/>
    <x v="17"/>
    <x v="7"/>
    <x v="7"/>
    <x v="4"/>
    <n v="263569385"/>
  </r>
  <r>
    <d v="2024-12-18T00:00:00"/>
    <x v="0"/>
    <x v="11"/>
    <x v="50"/>
    <x v="17"/>
    <x v="0"/>
    <x v="0"/>
    <x v="0"/>
    <n v="5065000000"/>
  </r>
  <r>
    <d v="2024-12-18T00:00:00"/>
    <x v="0"/>
    <x v="11"/>
    <x v="50"/>
    <x v="17"/>
    <x v="2"/>
    <x v="2"/>
    <x v="1"/>
    <n v="5923710000"/>
  </r>
  <r>
    <d v="2024-12-18T00:00:00"/>
    <x v="0"/>
    <x v="11"/>
    <x v="50"/>
    <x v="17"/>
    <x v="1"/>
    <x v="1"/>
    <x v="1"/>
    <n v="21000000"/>
  </r>
  <r>
    <d v="2024-12-18T00:00:00"/>
    <x v="0"/>
    <x v="11"/>
    <x v="50"/>
    <x v="17"/>
    <x v="22"/>
    <x v="16"/>
    <x v="1"/>
    <n v="0"/>
  </r>
  <r>
    <d v="2024-12-18T00:00:00"/>
    <x v="0"/>
    <x v="11"/>
    <x v="50"/>
    <x v="17"/>
    <x v="14"/>
    <x v="13"/>
    <x v="1"/>
    <n v="395580000"/>
  </r>
  <r>
    <d v="2024-12-18T00:00:00"/>
    <x v="0"/>
    <x v="11"/>
    <x v="50"/>
    <x v="17"/>
    <x v="8"/>
    <x v="8"/>
    <x v="1"/>
    <n v="0"/>
  </r>
  <r>
    <d v="2024-12-18T00:00:00"/>
    <x v="0"/>
    <x v="11"/>
    <x v="50"/>
    <x v="17"/>
    <x v="19"/>
    <x v="12"/>
    <x v="4"/>
    <n v="56249664"/>
  </r>
  <r>
    <d v="2024-12-18T00:00:00"/>
    <x v="0"/>
    <x v="11"/>
    <x v="50"/>
    <x v="17"/>
    <x v="18"/>
    <x v="15"/>
    <x v="1"/>
    <n v="151840000"/>
  </r>
  <r>
    <d v="2024-12-18T00:00:00"/>
    <x v="0"/>
    <x v="11"/>
    <x v="50"/>
    <x v="17"/>
    <x v="15"/>
    <x v="14"/>
    <x v="4"/>
    <n v="30120707"/>
  </r>
  <r>
    <d v="2024-12-18T00:00:00"/>
    <x v="0"/>
    <x v="11"/>
    <x v="50"/>
    <x v="17"/>
    <x v="20"/>
    <x v="9"/>
    <x v="1"/>
    <n v="21400000"/>
  </r>
  <r>
    <d v="2024-12-18T00:00:00"/>
    <x v="0"/>
    <x v="11"/>
    <x v="50"/>
    <x v="17"/>
    <x v="21"/>
    <x v="9"/>
    <x v="1"/>
    <n v="31050000"/>
  </r>
  <r>
    <d v="2024-12-18T00:00:00"/>
    <x v="0"/>
    <x v="11"/>
    <x v="50"/>
    <x v="17"/>
    <x v="5"/>
    <x v="5"/>
    <x v="3"/>
    <n v="3162224020"/>
  </r>
  <r>
    <d v="2024-12-18T00:00:00"/>
    <x v="0"/>
    <x v="11"/>
    <x v="50"/>
    <x v="17"/>
    <x v="17"/>
    <x v="9"/>
    <x v="1"/>
    <n v="0"/>
  </r>
  <r>
    <d v="2024-12-19T00:00:00"/>
    <x v="0"/>
    <x v="11"/>
    <x v="50"/>
    <x v="18"/>
    <x v="3"/>
    <x v="3"/>
    <x v="1"/>
    <n v="15000000"/>
  </r>
  <r>
    <d v="2024-12-19T00:00:00"/>
    <x v="0"/>
    <x v="11"/>
    <x v="50"/>
    <x v="18"/>
    <x v="19"/>
    <x v="12"/>
    <x v="4"/>
    <n v="38092438"/>
  </r>
  <r>
    <d v="2024-12-19T00:00:00"/>
    <x v="0"/>
    <x v="11"/>
    <x v="50"/>
    <x v="18"/>
    <x v="11"/>
    <x v="10"/>
    <x v="4"/>
    <n v="126722952"/>
  </r>
  <r>
    <d v="2024-12-19T00:00:00"/>
    <x v="0"/>
    <x v="11"/>
    <x v="50"/>
    <x v="18"/>
    <x v="1"/>
    <x v="1"/>
    <x v="1"/>
    <n v="31500000"/>
  </r>
  <r>
    <d v="2024-12-19T00:00:00"/>
    <x v="0"/>
    <x v="11"/>
    <x v="50"/>
    <x v="18"/>
    <x v="22"/>
    <x v="16"/>
    <x v="1"/>
    <n v="0"/>
  </r>
  <r>
    <d v="2024-12-19T00:00:00"/>
    <x v="0"/>
    <x v="11"/>
    <x v="50"/>
    <x v="18"/>
    <x v="12"/>
    <x v="11"/>
    <x v="1"/>
    <n v="5419910000"/>
  </r>
  <r>
    <d v="2024-12-19T00:00:00"/>
    <x v="0"/>
    <x v="11"/>
    <x v="50"/>
    <x v="18"/>
    <x v="5"/>
    <x v="5"/>
    <x v="3"/>
    <n v="3523120943"/>
  </r>
  <r>
    <d v="2024-12-19T00:00:00"/>
    <x v="0"/>
    <x v="11"/>
    <x v="50"/>
    <x v="18"/>
    <x v="7"/>
    <x v="7"/>
    <x v="4"/>
    <n v="243623964"/>
  </r>
  <r>
    <d v="2024-12-19T00:00:00"/>
    <x v="0"/>
    <x v="11"/>
    <x v="50"/>
    <x v="18"/>
    <x v="8"/>
    <x v="8"/>
    <x v="1"/>
    <n v="0"/>
  </r>
  <r>
    <d v="2024-12-19T00:00:00"/>
    <x v="0"/>
    <x v="11"/>
    <x v="50"/>
    <x v="18"/>
    <x v="14"/>
    <x v="13"/>
    <x v="1"/>
    <n v="500000000"/>
  </r>
  <r>
    <d v="2024-12-19T00:00:00"/>
    <x v="0"/>
    <x v="11"/>
    <x v="50"/>
    <x v="18"/>
    <x v="2"/>
    <x v="2"/>
    <x v="1"/>
    <n v="5864530000"/>
  </r>
  <r>
    <d v="2024-12-19T00:00:00"/>
    <x v="0"/>
    <x v="11"/>
    <x v="50"/>
    <x v="18"/>
    <x v="15"/>
    <x v="14"/>
    <x v="4"/>
    <n v="14902449"/>
  </r>
  <r>
    <d v="2024-12-19T00:00:00"/>
    <x v="0"/>
    <x v="11"/>
    <x v="50"/>
    <x v="18"/>
    <x v="18"/>
    <x v="15"/>
    <x v="1"/>
    <n v="208340000"/>
  </r>
  <r>
    <d v="2024-12-19T00:00:00"/>
    <x v="0"/>
    <x v="11"/>
    <x v="50"/>
    <x v="18"/>
    <x v="20"/>
    <x v="9"/>
    <x v="1"/>
    <n v="21400000"/>
  </r>
  <r>
    <d v="2024-12-19T00:00:00"/>
    <x v="0"/>
    <x v="11"/>
    <x v="50"/>
    <x v="18"/>
    <x v="6"/>
    <x v="6"/>
    <x v="0"/>
    <n v="22000000"/>
  </r>
  <r>
    <d v="2024-12-19T00:00:00"/>
    <x v="0"/>
    <x v="11"/>
    <x v="50"/>
    <x v="18"/>
    <x v="17"/>
    <x v="9"/>
    <x v="1"/>
    <n v="0"/>
  </r>
  <r>
    <d v="2024-12-19T00:00:00"/>
    <x v="0"/>
    <x v="11"/>
    <x v="50"/>
    <x v="18"/>
    <x v="21"/>
    <x v="9"/>
    <x v="1"/>
    <n v="21400000"/>
  </r>
  <r>
    <d v="2024-12-19T00:00:00"/>
    <x v="0"/>
    <x v="11"/>
    <x v="50"/>
    <x v="18"/>
    <x v="0"/>
    <x v="0"/>
    <x v="0"/>
    <n v="5351000000"/>
  </r>
  <r>
    <d v="2024-12-20T00:00:00"/>
    <x v="0"/>
    <x v="11"/>
    <x v="50"/>
    <x v="19"/>
    <x v="3"/>
    <x v="3"/>
    <x v="1"/>
    <n v="18900000"/>
  </r>
  <r>
    <d v="2024-12-20T00:00:00"/>
    <x v="0"/>
    <x v="11"/>
    <x v="50"/>
    <x v="19"/>
    <x v="12"/>
    <x v="11"/>
    <x v="1"/>
    <n v="5727080000"/>
  </r>
  <r>
    <d v="2024-12-20T00:00:00"/>
    <x v="0"/>
    <x v="11"/>
    <x v="50"/>
    <x v="19"/>
    <x v="5"/>
    <x v="5"/>
    <x v="3"/>
    <n v="3829799395"/>
  </r>
  <r>
    <d v="2024-12-20T00:00:00"/>
    <x v="0"/>
    <x v="11"/>
    <x v="50"/>
    <x v="19"/>
    <x v="2"/>
    <x v="2"/>
    <x v="1"/>
    <n v="6058010000"/>
  </r>
  <r>
    <d v="2024-12-20T00:00:00"/>
    <x v="0"/>
    <x v="11"/>
    <x v="50"/>
    <x v="19"/>
    <x v="0"/>
    <x v="0"/>
    <x v="0"/>
    <n v="5719500000"/>
  </r>
  <r>
    <d v="2024-12-20T00:00:00"/>
    <x v="0"/>
    <x v="11"/>
    <x v="50"/>
    <x v="19"/>
    <x v="6"/>
    <x v="6"/>
    <x v="0"/>
    <n v="59000000"/>
  </r>
  <r>
    <d v="2024-12-20T00:00:00"/>
    <x v="0"/>
    <x v="11"/>
    <x v="50"/>
    <x v="19"/>
    <x v="1"/>
    <x v="1"/>
    <x v="1"/>
    <n v="0"/>
  </r>
  <r>
    <d v="2024-12-20T00:00:00"/>
    <x v="0"/>
    <x v="11"/>
    <x v="50"/>
    <x v="19"/>
    <x v="11"/>
    <x v="10"/>
    <x v="4"/>
    <n v="119742711"/>
  </r>
  <r>
    <d v="2024-12-20T00:00:00"/>
    <x v="0"/>
    <x v="11"/>
    <x v="50"/>
    <x v="19"/>
    <x v="8"/>
    <x v="8"/>
    <x v="1"/>
    <n v="0"/>
  </r>
  <r>
    <d v="2024-12-20T00:00:00"/>
    <x v="0"/>
    <x v="11"/>
    <x v="50"/>
    <x v="19"/>
    <x v="14"/>
    <x v="13"/>
    <x v="1"/>
    <n v="437000000"/>
  </r>
  <r>
    <d v="2024-12-20T00:00:00"/>
    <x v="0"/>
    <x v="11"/>
    <x v="50"/>
    <x v="19"/>
    <x v="22"/>
    <x v="16"/>
    <x v="1"/>
    <n v="0"/>
  </r>
  <r>
    <d v="2024-12-20T00:00:00"/>
    <x v="0"/>
    <x v="11"/>
    <x v="50"/>
    <x v="19"/>
    <x v="19"/>
    <x v="12"/>
    <x v="4"/>
    <n v="56532946"/>
  </r>
  <r>
    <d v="2024-12-20T00:00:00"/>
    <x v="0"/>
    <x v="11"/>
    <x v="50"/>
    <x v="19"/>
    <x v="15"/>
    <x v="14"/>
    <x v="4"/>
    <n v="15256993"/>
  </r>
  <r>
    <d v="2024-12-20T00:00:00"/>
    <x v="0"/>
    <x v="11"/>
    <x v="50"/>
    <x v="19"/>
    <x v="20"/>
    <x v="9"/>
    <x v="1"/>
    <n v="36050000"/>
  </r>
  <r>
    <d v="2024-12-20T00:00:00"/>
    <x v="0"/>
    <x v="11"/>
    <x v="50"/>
    <x v="19"/>
    <x v="17"/>
    <x v="9"/>
    <x v="1"/>
    <n v="0"/>
  </r>
  <r>
    <d v="2024-12-20T00:00:00"/>
    <x v="0"/>
    <x v="11"/>
    <x v="50"/>
    <x v="19"/>
    <x v="21"/>
    <x v="9"/>
    <x v="1"/>
    <n v="52100000"/>
  </r>
  <r>
    <d v="2024-12-20T00:00:00"/>
    <x v="0"/>
    <x v="11"/>
    <x v="50"/>
    <x v="19"/>
    <x v="18"/>
    <x v="15"/>
    <x v="1"/>
    <n v="156530000"/>
  </r>
  <r>
    <d v="2024-12-20T00:00:00"/>
    <x v="0"/>
    <x v="11"/>
    <x v="50"/>
    <x v="19"/>
    <x v="7"/>
    <x v="7"/>
    <x v="4"/>
    <n v="288296849"/>
  </r>
  <r>
    <d v="2024-12-21T00:00:00"/>
    <x v="0"/>
    <x v="11"/>
    <x v="50"/>
    <x v="20"/>
    <x v="19"/>
    <x v="12"/>
    <x v="4"/>
    <n v="68645025"/>
  </r>
  <r>
    <d v="2024-12-21T00:00:00"/>
    <x v="0"/>
    <x v="11"/>
    <x v="50"/>
    <x v="20"/>
    <x v="15"/>
    <x v="14"/>
    <x v="4"/>
    <n v="26440540"/>
  </r>
  <r>
    <d v="2024-12-21T00:00:00"/>
    <x v="0"/>
    <x v="11"/>
    <x v="50"/>
    <x v="20"/>
    <x v="20"/>
    <x v="9"/>
    <x v="1"/>
    <n v="0"/>
  </r>
  <r>
    <d v="2024-12-21T00:00:00"/>
    <x v="0"/>
    <x v="11"/>
    <x v="50"/>
    <x v="20"/>
    <x v="17"/>
    <x v="9"/>
    <x v="1"/>
    <n v="0"/>
  </r>
  <r>
    <d v="2024-12-21T00:00:00"/>
    <x v="0"/>
    <x v="11"/>
    <x v="50"/>
    <x v="20"/>
    <x v="21"/>
    <x v="9"/>
    <x v="1"/>
    <n v="42800000"/>
  </r>
  <r>
    <d v="2024-12-21T00:00:00"/>
    <x v="0"/>
    <x v="11"/>
    <x v="50"/>
    <x v="20"/>
    <x v="18"/>
    <x v="15"/>
    <x v="1"/>
    <n v="113970000"/>
  </r>
  <r>
    <d v="2024-12-21T00:00:00"/>
    <x v="0"/>
    <x v="11"/>
    <x v="50"/>
    <x v="20"/>
    <x v="0"/>
    <x v="0"/>
    <x v="0"/>
    <n v="5078000000"/>
  </r>
  <r>
    <d v="2024-12-21T00:00:00"/>
    <x v="0"/>
    <x v="11"/>
    <x v="50"/>
    <x v="20"/>
    <x v="8"/>
    <x v="8"/>
    <x v="1"/>
    <n v="0"/>
  </r>
  <r>
    <d v="2024-12-21T00:00:00"/>
    <x v="0"/>
    <x v="11"/>
    <x v="50"/>
    <x v="20"/>
    <x v="11"/>
    <x v="10"/>
    <x v="4"/>
    <n v="126523446"/>
  </r>
  <r>
    <d v="2024-12-21T00:00:00"/>
    <x v="0"/>
    <x v="11"/>
    <x v="50"/>
    <x v="20"/>
    <x v="12"/>
    <x v="11"/>
    <x v="1"/>
    <n v="5324600000"/>
  </r>
  <r>
    <d v="2024-12-21T00:00:00"/>
    <x v="0"/>
    <x v="11"/>
    <x v="50"/>
    <x v="20"/>
    <x v="7"/>
    <x v="7"/>
    <x v="4"/>
    <n v="323622024"/>
  </r>
  <r>
    <d v="2024-12-21T00:00:00"/>
    <x v="0"/>
    <x v="11"/>
    <x v="50"/>
    <x v="20"/>
    <x v="3"/>
    <x v="3"/>
    <x v="1"/>
    <n v="21000000"/>
  </r>
  <r>
    <d v="2024-12-21T00:00:00"/>
    <x v="0"/>
    <x v="11"/>
    <x v="50"/>
    <x v="20"/>
    <x v="22"/>
    <x v="16"/>
    <x v="1"/>
    <n v="0"/>
  </r>
  <r>
    <d v="2024-12-21T00:00:00"/>
    <x v="0"/>
    <x v="11"/>
    <x v="50"/>
    <x v="20"/>
    <x v="14"/>
    <x v="13"/>
    <x v="1"/>
    <n v="313350000"/>
  </r>
  <r>
    <d v="2024-12-21T00:00:00"/>
    <x v="0"/>
    <x v="11"/>
    <x v="50"/>
    <x v="20"/>
    <x v="5"/>
    <x v="5"/>
    <x v="3"/>
    <n v="3285163546"/>
  </r>
  <r>
    <d v="2024-12-21T00:00:00"/>
    <x v="0"/>
    <x v="11"/>
    <x v="50"/>
    <x v="20"/>
    <x v="6"/>
    <x v="6"/>
    <x v="0"/>
    <n v="29000000"/>
  </r>
  <r>
    <d v="2024-12-21T00:00:00"/>
    <x v="0"/>
    <x v="11"/>
    <x v="50"/>
    <x v="20"/>
    <x v="1"/>
    <x v="1"/>
    <x v="1"/>
    <n v="21000000"/>
  </r>
  <r>
    <d v="2024-12-21T00:00:00"/>
    <x v="0"/>
    <x v="11"/>
    <x v="50"/>
    <x v="20"/>
    <x v="2"/>
    <x v="2"/>
    <x v="1"/>
    <n v="5157040000"/>
  </r>
  <r>
    <d v="2024-12-22T00:00:00"/>
    <x v="0"/>
    <x v="11"/>
    <x v="50"/>
    <x v="21"/>
    <x v="22"/>
    <x v="16"/>
    <x v="1"/>
    <n v="0"/>
  </r>
  <r>
    <d v="2024-12-22T00:00:00"/>
    <x v="0"/>
    <x v="11"/>
    <x v="50"/>
    <x v="21"/>
    <x v="5"/>
    <x v="5"/>
    <x v="3"/>
    <n v="2827490078"/>
  </r>
  <r>
    <d v="2024-12-22T00:00:00"/>
    <x v="0"/>
    <x v="11"/>
    <x v="50"/>
    <x v="21"/>
    <x v="3"/>
    <x v="3"/>
    <x v="1"/>
    <n v="20000000"/>
  </r>
  <r>
    <d v="2024-12-22T00:00:00"/>
    <x v="0"/>
    <x v="11"/>
    <x v="50"/>
    <x v="21"/>
    <x v="21"/>
    <x v="9"/>
    <x v="1"/>
    <n v="45310000"/>
  </r>
  <r>
    <d v="2024-12-22T00:00:00"/>
    <x v="0"/>
    <x v="11"/>
    <x v="50"/>
    <x v="21"/>
    <x v="7"/>
    <x v="7"/>
    <x v="4"/>
    <n v="256854444"/>
  </r>
  <r>
    <d v="2024-12-22T00:00:00"/>
    <x v="0"/>
    <x v="11"/>
    <x v="50"/>
    <x v="21"/>
    <x v="8"/>
    <x v="8"/>
    <x v="1"/>
    <n v="0"/>
  </r>
  <r>
    <d v="2024-12-22T00:00:00"/>
    <x v="0"/>
    <x v="11"/>
    <x v="50"/>
    <x v="21"/>
    <x v="20"/>
    <x v="9"/>
    <x v="1"/>
    <n v="16050000"/>
  </r>
  <r>
    <d v="2024-12-22T00:00:00"/>
    <x v="0"/>
    <x v="11"/>
    <x v="50"/>
    <x v="21"/>
    <x v="1"/>
    <x v="1"/>
    <x v="1"/>
    <n v="52500000"/>
  </r>
  <r>
    <d v="2024-12-22T00:00:00"/>
    <x v="0"/>
    <x v="11"/>
    <x v="50"/>
    <x v="21"/>
    <x v="11"/>
    <x v="10"/>
    <x v="4"/>
    <n v="120315841"/>
  </r>
  <r>
    <d v="2024-12-22T00:00:00"/>
    <x v="0"/>
    <x v="11"/>
    <x v="50"/>
    <x v="21"/>
    <x v="0"/>
    <x v="0"/>
    <x v="0"/>
    <n v="4747500000"/>
  </r>
  <r>
    <d v="2024-12-22T00:00:00"/>
    <x v="0"/>
    <x v="11"/>
    <x v="50"/>
    <x v="21"/>
    <x v="2"/>
    <x v="2"/>
    <x v="1"/>
    <n v="4644830000"/>
  </r>
  <r>
    <d v="2024-12-22T00:00:00"/>
    <x v="0"/>
    <x v="11"/>
    <x v="50"/>
    <x v="21"/>
    <x v="15"/>
    <x v="14"/>
    <x v="4"/>
    <n v="11283062"/>
  </r>
  <r>
    <d v="2024-12-22T00:00:00"/>
    <x v="0"/>
    <x v="11"/>
    <x v="50"/>
    <x v="21"/>
    <x v="19"/>
    <x v="12"/>
    <x v="4"/>
    <n v="48640266"/>
  </r>
  <r>
    <d v="2024-12-22T00:00:00"/>
    <x v="0"/>
    <x v="11"/>
    <x v="50"/>
    <x v="21"/>
    <x v="18"/>
    <x v="15"/>
    <x v="1"/>
    <n v="115560000"/>
  </r>
  <r>
    <d v="2024-12-22T00:00:00"/>
    <x v="0"/>
    <x v="11"/>
    <x v="50"/>
    <x v="21"/>
    <x v="6"/>
    <x v="6"/>
    <x v="0"/>
    <n v="65000000"/>
  </r>
  <r>
    <d v="2024-12-22T00:00:00"/>
    <x v="0"/>
    <x v="11"/>
    <x v="50"/>
    <x v="21"/>
    <x v="17"/>
    <x v="9"/>
    <x v="1"/>
    <n v="0"/>
  </r>
  <r>
    <d v="2024-12-22T00:00:00"/>
    <x v="0"/>
    <x v="11"/>
    <x v="50"/>
    <x v="21"/>
    <x v="12"/>
    <x v="11"/>
    <x v="1"/>
    <n v="4559310000"/>
  </r>
  <r>
    <d v="2024-12-22T00:00:00"/>
    <x v="0"/>
    <x v="11"/>
    <x v="50"/>
    <x v="21"/>
    <x v="14"/>
    <x v="13"/>
    <x v="1"/>
    <n v="549660000"/>
  </r>
  <r>
    <d v="2024-12-23T00:00:00"/>
    <x v="0"/>
    <x v="11"/>
    <x v="51"/>
    <x v="22"/>
    <x v="7"/>
    <x v="7"/>
    <x v="4"/>
    <n v="275212714"/>
  </r>
  <r>
    <d v="2024-12-23T00:00:00"/>
    <x v="0"/>
    <x v="11"/>
    <x v="51"/>
    <x v="22"/>
    <x v="8"/>
    <x v="8"/>
    <x v="1"/>
    <n v="0"/>
  </r>
  <r>
    <d v="2024-12-23T00:00:00"/>
    <x v="0"/>
    <x v="11"/>
    <x v="51"/>
    <x v="22"/>
    <x v="22"/>
    <x v="16"/>
    <x v="1"/>
    <n v="0"/>
  </r>
  <r>
    <d v="2024-12-23T00:00:00"/>
    <x v="0"/>
    <x v="11"/>
    <x v="51"/>
    <x v="22"/>
    <x v="21"/>
    <x v="9"/>
    <x v="1"/>
    <n v="0"/>
  </r>
  <r>
    <d v="2024-12-23T00:00:00"/>
    <x v="0"/>
    <x v="11"/>
    <x v="51"/>
    <x v="22"/>
    <x v="0"/>
    <x v="0"/>
    <x v="0"/>
    <n v="5050500000"/>
  </r>
  <r>
    <d v="2024-12-23T00:00:00"/>
    <x v="0"/>
    <x v="11"/>
    <x v="51"/>
    <x v="22"/>
    <x v="11"/>
    <x v="10"/>
    <x v="4"/>
    <n v="122220446"/>
  </r>
  <r>
    <d v="2024-12-23T00:00:00"/>
    <x v="0"/>
    <x v="11"/>
    <x v="51"/>
    <x v="22"/>
    <x v="19"/>
    <x v="12"/>
    <x v="4"/>
    <n v="73526029"/>
  </r>
  <r>
    <d v="2024-12-23T00:00:00"/>
    <x v="0"/>
    <x v="11"/>
    <x v="51"/>
    <x v="22"/>
    <x v="18"/>
    <x v="15"/>
    <x v="1"/>
    <n v="152350000"/>
  </r>
  <r>
    <d v="2024-12-23T00:00:00"/>
    <x v="0"/>
    <x v="11"/>
    <x v="51"/>
    <x v="22"/>
    <x v="6"/>
    <x v="6"/>
    <x v="0"/>
    <n v="25000000"/>
  </r>
  <r>
    <d v="2024-12-23T00:00:00"/>
    <x v="0"/>
    <x v="11"/>
    <x v="51"/>
    <x v="22"/>
    <x v="14"/>
    <x v="13"/>
    <x v="1"/>
    <n v="397200000"/>
  </r>
  <r>
    <d v="2024-12-23T00:00:00"/>
    <x v="0"/>
    <x v="11"/>
    <x v="51"/>
    <x v="22"/>
    <x v="17"/>
    <x v="9"/>
    <x v="1"/>
    <n v="37450000"/>
  </r>
  <r>
    <d v="2024-12-23T00:00:00"/>
    <x v="0"/>
    <x v="11"/>
    <x v="51"/>
    <x v="22"/>
    <x v="5"/>
    <x v="5"/>
    <x v="3"/>
    <n v="3566233183"/>
  </r>
  <r>
    <d v="2024-12-23T00:00:00"/>
    <x v="0"/>
    <x v="11"/>
    <x v="51"/>
    <x v="22"/>
    <x v="1"/>
    <x v="1"/>
    <x v="1"/>
    <n v="42000000"/>
  </r>
  <r>
    <d v="2024-12-23T00:00:00"/>
    <x v="0"/>
    <x v="11"/>
    <x v="51"/>
    <x v="22"/>
    <x v="15"/>
    <x v="14"/>
    <x v="4"/>
    <n v="18556360"/>
  </r>
  <r>
    <d v="2024-12-23T00:00:00"/>
    <x v="0"/>
    <x v="11"/>
    <x v="51"/>
    <x v="22"/>
    <x v="12"/>
    <x v="11"/>
    <x v="1"/>
    <n v="5788620000"/>
  </r>
  <r>
    <d v="2024-12-23T00:00:00"/>
    <x v="0"/>
    <x v="11"/>
    <x v="51"/>
    <x v="22"/>
    <x v="2"/>
    <x v="2"/>
    <x v="1"/>
    <n v="5809280000"/>
  </r>
  <r>
    <d v="2024-12-23T00:00:00"/>
    <x v="0"/>
    <x v="11"/>
    <x v="51"/>
    <x v="22"/>
    <x v="20"/>
    <x v="9"/>
    <x v="1"/>
    <n v="0"/>
  </r>
  <r>
    <d v="2024-12-23T00:00:00"/>
    <x v="0"/>
    <x v="11"/>
    <x v="51"/>
    <x v="22"/>
    <x v="3"/>
    <x v="3"/>
    <x v="1"/>
    <n v="0"/>
  </r>
  <r>
    <d v="2024-12-24T00:00:00"/>
    <x v="0"/>
    <x v="11"/>
    <x v="51"/>
    <x v="23"/>
    <x v="5"/>
    <x v="5"/>
    <x v="3"/>
    <n v="3401782559"/>
  </r>
  <r>
    <d v="2024-12-24T00:00:00"/>
    <x v="0"/>
    <x v="11"/>
    <x v="51"/>
    <x v="23"/>
    <x v="17"/>
    <x v="9"/>
    <x v="1"/>
    <n v="0"/>
  </r>
  <r>
    <d v="2024-12-24T00:00:00"/>
    <x v="0"/>
    <x v="11"/>
    <x v="51"/>
    <x v="23"/>
    <x v="8"/>
    <x v="8"/>
    <x v="1"/>
    <n v="0"/>
  </r>
  <r>
    <d v="2024-12-24T00:00:00"/>
    <x v="0"/>
    <x v="11"/>
    <x v="51"/>
    <x v="23"/>
    <x v="3"/>
    <x v="3"/>
    <x v="1"/>
    <n v="0"/>
  </r>
  <r>
    <d v="2024-12-24T00:00:00"/>
    <x v="0"/>
    <x v="11"/>
    <x v="51"/>
    <x v="23"/>
    <x v="22"/>
    <x v="16"/>
    <x v="1"/>
    <n v="0"/>
  </r>
  <r>
    <d v="2024-12-24T00:00:00"/>
    <x v="0"/>
    <x v="11"/>
    <x v="51"/>
    <x v="23"/>
    <x v="6"/>
    <x v="6"/>
    <x v="0"/>
    <n v="38000000"/>
  </r>
  <r>
    <d v="2024-12-24T00:00:00"/>
    <x v="0"/>
    <x v="11"/>
    <x v="51"/>
    <x v="23"/>
    <x v="1"/>
    <x v="1"/>
    <x v="1"/>
    <n v="42000000"/>
  </r>
  <r>
    <d v="2024-12-24T00:00:00"/>
    <x v="0"/>
    <x v="11"/>
    <x v="51"/>
    <x v="23"/>
    <x v="12"/>
    <x v="11"/>
    <x v="1"/>
    <n v="5980190000"/>
  </r>
  <r>
    <d v="2024-12-24T00:00:00"/>
    <x v="0"/>
    <x v="11"/>
    <x v="51"/>
    <x v="23"/>
    <x v="2"/>
    <x v="2"/>
    <x v="1"/>
    <n v="5312100000"/>
  </r>
  <r>
    <d v="2024-12-24T00:00:00"/>
    <x v="0"/>
    <x v="11"/>
    <x v="51"/>
    <x v="23"/>
    <x v="15"/>
    <x v="14"/>
    <x v="4"/>
    <n v="34682364"/>
  </r>
  <r>
    <d v="2024-12-24T00:00:00"/>
    <x v="0"/>
    <x v="11"/>
    <x v="51"/>
    <x v="23"/>
    <x v="20"/>
    <x v="9"/>
    <x v="1"/>
    <n v="32100000"/>
  </r>
  <r>
    <d v="2024-12-24T00:00:00"/>
    <x v="0"/>
    <x v="11"/>
    <x v="51"/>
    <x v="23"/>
    <x v="21"/>
    <x v="9"/>
    <x v="1"/>
    <n v="32100000"/>
  </r>
  <r>
    <d v="2024-12-24T00:00:00"/>
    <x v="0"/>
    <x v="11"/>
    <x v="51"/>
    <x v="23"/>
    <x v="0"/>
    <x v="0"/>
    <x v="0"/>
    <n v="4626000000"/>
  </r>
  <r>
    <d v="2024-12-24T00:00:00"/>
    <x v="0"/>
    <x v="11"/>
    <x v="51"/>
    <x v="23"/>
    <x v="18"/>
    <x v="15"/>
    <x v="1"/>
    <n v="104920000"/>
  </r>
  <r>
    <d v="2024-12-24T00:00:00"/>
    <x v="0"/>
    <x v="11"/>
    <x v="51"/>
    <x v="23"/>
    <x v="7"/>
    <x v="7"/>
    <x v="4"/>
    <n v="274585943"/>
  </r>
  <r>
    <d v="2024-12-24T00:00:00"/>
    <x v="0"/>
    <x v="11"/>
    <x v="51"/>
    <x v="23"/>
    <x v="11"/>
    <x v="10"/>
    <x v="4"/>
    <n v="114519281"/>
  </r>
  <r>
    <d v="2024-12-24T00:00:00"/>
    <x v="0"/>
    <x v="11"/>
    <x v="51"/>
    <x v="23"/>
    <x v="14"/>
    <x v="13"/>
    <x v="1"/>
    <n v="323080000"/>
  </r>
  <r>
    <d v="2024-12-24T00:00:00"/>
    <x v="0"/>
    <x v="11"/>
    <x v="51"/>
    <x v="23"/>
    <x v="19"/>
    <x v="12"/>
    <x v="4"/>
    <n v="92045372"/>
  </r>
  <r>
    <d v="2024-12-25T00:00:00"/>
    <x v="0"/>
    <x v="11"/>
    <x v="51"/>
    <x v="24"/>
    <x v="19"/>
    <x v="12"/>
    <x v="4"/>
    <n v="61728622"/>
  </r>
  <r>
    <d v="2024-12-25T00:00:00"/>
    <x v="0"/>
    <x v="11"/>
    <x v="51"/>
    <x v="24"/>
    <x v="2"/>
    <x v="2"/>
    <x v="1"/>
    <n v="5878220000"/>
  </r>
  <r>
    <d v="2024-12-25T00:00:00"/>
    <x v="0"/>
    <x v="11"/>
    <x v="51"/>
    <x v="24"/>
    <x v="18"/>
    <x v="15"/>
    <x v="1"/>
    <n v="107970000"/>
  </r>
  <r>
    <d v="2024-12-25T00:00:00"/>
    <x v="0"/>
    <x v="11"/>
    <x v="51"/>
    <x v="24"/>
    <x v="1"/>
    <x v="1"/>
    <x v="1"/>
    <n v="16000000"/>
  </r>
  <r>
    <d v="2024-12-25T00:00:00"/>
    <x v="0"/>
    <x v="11"/>
    <x v="51"/>
    <x v="24"/>
    <x v="21"/>
    <x v="9"/>
    <x v="1"/>
    <n v="34240000"/>
  </r>
  <r>
    <d v="2024-12-25T00:00:00"/>
    <x v="0"/>
    <x v="11"/>
    <x v="51"/>
    <x v="24"/>
    <x v="3"/>
    <x v="3"/>
    <x v="1"/>
    <n v="12600000"/>
  </r>
  <r>
    <d v="2024-12-25T00:00:00"/>
    <x v="0"/>
    <x v="11"/>
    <x v="51"/>
    <x v="24"/>
    <x v="14"/>
    <x v="13"/>
    <x v="1"/>
    <n v="277390000"/>
  </r>
  <r>
    <d v="2024-12-25T00:00:00"/>
    <x v="0"/>
    <x v="11"/>
    <x v="51"/>
    <x v="24"/>
    <x v="11"/>
    <x v="10"/>
    <x v="4"/>
    <n v="114285395"/>
  </r>
  <r>
    <d v="2024-12-25T00:00:00"/>
    <x v="0"/>
    <x v="11"/>
    <x v="51"/>
    <x v="24"/>
    <x v="0"/>
    <x v="0"/>
    <x v="0"/>
    <n v="4693000000"/>
  </r>
  <r>
    <d v="2024-12-25T00:00:00"/>
    <x v="0"/>
    <x v="11"/>
    <x v="51"/>
    <x v="24"/>
    <x v="6"/>
    <x v="6"/>
    <x v="0"/>
    <n v="39000000"/>
  </r>
  <r>
    <d v="2024-12-25T00:00:00"/>
    <x v="0"/>
    <x v="11"/>
    <x v="51"/>
    <x v="24"/>
    <x v="12"/>
    <x v="11"/>
    <x v="1"/>
    <n v="5476810000"/>
  </r>
  <r>
    <d v="2024-12-25T00:00:00"/>
    <x v="0"/>
    <x v="11"/>
    <x v="51"/>
    <x v="24"/>
    <x v="22"/>
    <x v="16"/>
    <x v="1"/>
    <n v="0"/>
  </r>
  <r>
    <d v="2024-12-25T00:00:00"/>
    <x v="0"/>
    <x v="11"/>
    <x v="51"/>
    <x v="24"/>
    <x v="7"/>
    <x v="7"/>
    <x v="4"/>
    <n v="296384247"/>
  </r>
  <r>
    <d v="2024-12-25T00:00:00"/>
    <x v="0"/>
    <x v="11"/>
    <x v="51"/>
    <x v="24"/>
    <x v="8"/>
    <x v="8"/>
    <x v="1"/>
    <n v="0"/>
  </r>
  <r>
    <d v="2024-12-25T00:00:00"/>
    <x v="0"/>
    <x v="11"/>
    <x v="51"/>
    <x v="24"/>
    <x v="5"/>
    <x v="5"/>
    <x v="3"/>
    <n v="3672194738"/>
  </r>
  <r>
    <d v="2024-12-25T00:00:00"/>
    <x v="0"/>
    <x v="11"/>
    <x v="51"/>
    <x v="24"/>
    <x v="15"/>
    <x v="14"/>
    <x v="4"/>
    <n v="16652808"/>
  </r>
  <r>
    <d v="2024-12-25T00:00:00"/>
    <x v="0"/>
    <x v="11"/>
    <x v="51"/>
    <x v="24"/>
    <x v="17"/>
    <x v="9"/>
    <x v="1"/>
    <n v="32100000"/>
  </r>
  <r>
    <d v="2024-12-25T00:00:00"/>
    <x v="0"/>
    <x v="11"/>
    <x v="51"/>
    <x v="24"/>
    <x v="20"/>
    <x v="9"/>
    <x v="1"/>
    <n v="10700000"/>
  </r>
  <r>
    <d v="2024-12-26T00:00:00"/>
    <x v="0"/>
    <x v="11"/>
    <x v="51"/>
    <x v="25"/>
    <x v="7"/>
    <x v="7"/>
    <x v="4"/>
    <n v="264363936"/>
  </r>
  <r>
    <d v="2024-12-26T00:00:00"/>
    <x v="0"/>
    <x v="11"/>
    <x v="51"/>
    <x v="25"/>
    <x v="2"/>
    <x v="2"/>
    <x v="1"/>
    <n v="5231890000"/>
  </r>
  <r>
    <d v="2024-12-26T00:00:00"/>
    <x v="0"/>
    <x v="11"/>
    <x v="51"/>
    <x v="25"/>
    <x v="1"/>
    <x v="1"/>
    <x v="1"/>
    <n v="42000000"/>
  </r>
  <r>
    <d v="2024-12-26T00:00:00"/>
    <x v="0"/>
    <x v="11"/>
    <x v="51"/>
    <x v="25"/>
    <x v="21"/>
    <x v="9"/>
    <x v="1"/>
    <n v="10700000"/>
  </r>
  <r>
    <d v="2024-12-26T00:00:00"/>
    <x v="0"/>
    <x v="11"/>
    <x v="51"/>
    <x v="25"/>
    <x v="5"/>
    <x v="5"/>
    <x v="3"/>
    <n v="3463105730"/>
  </r>
  <r>
    <d v="2024-12-26T00:00:00"/>
    <x v="0"/>
    <x v="11"/>
    <x v="51"/>
    <x v="25"/>
    <x v="0"/>
    <x v="0"/>
    <x v="0"/>
    <n v="4437500000"/>
  </r>
  <r>
    <d v="2024-12-26T00:00:00"/>
    <x v="0"/>
    <x v="11"/>
    <x v="51"/>
    <x v="25"/>
    <x v="14"/>
    <x v="13"/>
    <x v="1"/>
    <n v="378130000"/>
  </r>
  <r>
    <d v="2024-12-26T00:00:00"/>
    <x v="0"/>
    <x v="11"/>
    <x v="51"/>
    <x v="25"/>
    <x v="12"/>
    <x v="11"/>
    <x v="1"/>
    <n v="6313270000"/>
  </r>
  <r>
    <d v="2024-12-26T00:00:00"/>
    <x v="0"/>
    <x v="11"/>
    <x v="51"/>
    <x v="25"/>
    <x v="20"/>
    <x v="9"/>
    <x v="1"/>
    <n v="0"/>
  </r>
  <r>
    <d v="2024-12-26T00:00:00"/>
    <x v="0"/>
    <x v="11"/>
    <x v="51"/>
    <x v="25"/>
    <x v="3"/>
    <x v="3"/>
    <x v="1"/>
    <n v="46250000"/>
  </r>
  <r>
    <d v="2024-12-26T00:00:00"/>
    <x v="0"/>
    <x v="11"/>
    <x v="51"/>
    <x v="25"/>
    <x v="22"/>
    <x v="16"/>
    <x v="1"/>
    <n v="0"/>
  </r>
  <r>
    <d v="2024-12-26T00:00:00"/>
    <x v="0"/>
    <x v="11"/>
    <x v="51"/>
    <x v="25"/>
    <x v="6"/>
    <x v="6"/>
    <x v="0"/>
    <n v="12000000"/>
  </r>
  <r>
    <d v="2024-12-26T00:00:00"/>
    <x v="0"/>
    <x v="11"/>
    <x v="51"/>
    <x v="25"/>
    <x v="18"/>
    <x v="15"/>
    <x v="1"/>
    <n v="200250000"/>
  </r>
  <r>
    <d v="2024-12-26T00:00:00"/>
    <x v="0"/>
    <x v="11"/>
    <x v="51"/>
    <x v="25"/>
    <x v="8"/>
    <x v="8"/>
    <x v="1"/>
    <n v="0"/>
  </r>
  <r>
    <d v="2024-12-26T00:00:00"/>
    <x v="0"/>
    <x v="11"/>
    <x v="51"/>
    <x v="25"/>
    <x v="19"/>
    <x v="12"/>
    <x v="4"/>
    <n v="74017325"/>
  </r>
  <r>
    <d v="2024-12-26T00:00:00"/>
    <x v="0"/>
    <x v="11"/>
    <x v="51"/>
    <x v="25"/>
    <x v="15"/>
    <x v="14"/>
    <x v="4"/>
    <n v="16777139"/>
  </r>
  <r>
    <d v="2024-12-26T00:00:00"/>
    <x v="0"/>
    <x v="11"/>
    <x v="51"/>
    <x v="25"/>
    <x v="11"/>
    <x v="10"/>
    <x v="4"/>
    <n v="148436075"/>
  </r>
  <r>
    <d v="2024-12-26T00:00:00"/>
    <x v="0"/>
    <x v="11"/>
    <x v="51"/>
    <x v="25"/>
    <x v="17"/>
    <x v="9"/>
    <x v="1"/>
    <n v="10000000"/>
  </r>
  <r>
    <d v="2024-12-27T00:00:00"/>
    <x v="0"/>
    <x v="11"/>
    <x v="51"/>
    <x v="26"/>
    <x v="5"/>
    <x v="5"/>
    <x v="3"/>
    <n v="3878610994"/>
  </r>
  <r>
    <d v="2024-12-27T00:00:00"/>
    <x v="0"/>
    <x v="11"/>
    <x v="51"/>
    <x v="26"/>
    <x v="11"/>
    <x v="10"/>
    <x v="4"/>
    <n v="163128006"/>
  </r>
  <r>
    <d v="2024-12-27T00:00:00"/>
    <x v="0"/>
    <x v="11"/>
    <x v="51"/>
    <x v="26"/>
    <x v="17"/>
    <x v="9"/>
    <x v="1"/>
    <n v="10700000"/>
  </r>
  <r>
    <d v="2024-12-27T00:00:00"/>
    <x v="0"/>
    <x v="11"/>
    <x v="51"/>
    <x v="26"/>
    <x v="15"/>
    <x v="14"/>
    <x v="4"/>
    <n v="17436417"/>
  </r>
  <r>
    <d v="2024-12-27T00:00:00"/>
    <x v="0"/>
    <x v="11"/>
    <x v="51"/>
    <x v="26"/>
    <x v="20"/>
    <x v="9"/>
    <x v="1"/>
    <n v="0"/>
  </r>
  <r>
    <d v="2024-12-27T00:00:00"/>
    <x v="0"/>
    <x v="11"/>
    <x v="51"/>
    <x v="26"/>
    <x v="19"/>
    <x v="12"/>
    <x v="4"/>
    <n v="63892203"/>
  </r>
  <r>
    <d v="2024-12-27T00:00:00"/>
    <x v="0"/>
    <x v="11"/>
    <x v="51"/>
    <x v="26"/>
    <x v="7"/>
    <x v="7"/>
    <x v="4"/>
    <n v="258839826"/>
  </r>
  <r>
    <d v="2024-12-27T00:00:00"/>
    <x v="0"/>
    <x v="11"/>
    <x v="51"/>
    <x v="26"/>
    <x v="21"/>
    <x v="9"/>
    <x v="1"/>
    <n v="109900000"/>
  </r>
  <r>
    <d v="2024-12-27T00:00:00"/>
    <x v="0"/>
    <x v="11"/>
    <x v="51"/>
    <x v="26"/>
    <x v="0"/>
    <x v="0"/>
    <x v="0"/>
    <n v="4145500000"/>
  </r>
  <r>
    <d v="2024-12-27T00:00:00"/>
    <x v="0"/>
    <x v="11"/>
    <x v="51"/>
    <x v="26"/>
    <x v="12"/>
    <x v="11"/>
    <x v="1"/>
    <n v="5752720000"/>
  </r>
  <r>
    <d v="2024-12-27T00:00:00"/>
    <x v="0"/>
    <x v="11"/>
    <x v="51"/>
    <x v="26"/>
    <x v="2"/>
    <x v="2"/>
    <x v="1"/>
    <n v="5893130000"/>
  </r>
  <r>
    <d v="2024-12-27T00:00:00"/>
    <x v="0"/>
    <x v="11"/>
    <x v="51"/>
    <x v="26"/>
    <x v="22"/>
    <x v="16"/>
    <x v="1"/>
    <n v="0"/>
  </r>
  <r>
    <d v="2024-12-27T00:00:00"/>
    <x v="0"/>
    <x v="11"/>
    <x v="51"/>
    <x v="26"/>
    <x v="3"/>
    <x v="3"/>
    <x v="1"/>
    <n v="12600000"/>
  </r>
  <r>
    <d v="2024-12-27T00:00:00"/>
    <x v="0"/>
    <x v="11"/>
    <x v="51"/>
    <x v="26"/>
    <x v="18"/>
    <x v="15"/>
    <x v="1"/>
    <n v="119410000"/>
  </r>
  <r>
    <d v="2024-12-27T00:00:00"/>
    <x v="0"/>
    <x v="11"/>
    <x v="51"/>
    <x v="26"/>
    <x v="6"/>
    <x v="6"/>
    <x v="0"/>
    <n v="37000000"/>
  </r>
  <r>
    <d v="2024-12-27T00:00:00"/>
    <x v="0"/>
    <x v="11"/>
    <x v="51"/>
    <x v="26"/>
    <x v="14"/>
    <x v="13"/>
    <x v="1"/>
    <n v="182720000"/>
  </r>
  <r>
    <d v="2024-12-27T00:00:00"/>
    <x v="0"/>
    <x v="11"/>
    <x v="51"/>
    <x v="26"/>
    <x v="1"/>
    <x v="1"/>
    <x v="1"/>
    <n v="26250000"/>
  </r>
  <r>
    <d v="2024-12-27T00:00:00"/>
    <x v="0"/>
    <x v="11"/>
    <x v="51"/>
    <x v="26"/>
    <x v="8"/>
    <x v="8"/>
    <x v="1"/>
    <n v="0"/>
  </r>
  <r>
    <d v="2024-12-28T00:00:00"/>
    <x v="0"/>
    <x v="11"/>
    <x v="51"/>
    <x v="27"/>
    <x v="17"/>
    <x v="9"/>
    <x v="1"/>
    <n v="21400000"/>
  </r>
  <r>
    <d v="2024-12-28T00:00:00"/>
    <x v="0"/>
    <x v="11"/>
    <x v="51"/>
    <x v="27"/>
    <x v="21"/>
    <x v="9"/>
    <x v="1"/>
    <n v="68150000"/>
  </r>
  <r>
    <d v="2024-12-28T00:00:00"/>
    <x v="0"/>
    <x v="11"/>
    <x v="51"/>
    <x v="27"/>
    <x v="20"/>
    <x v="9"/>
    <x v="1"/>
    <n v="0"/>
  </r>
  <r>
    <d v="2024-12-28T00:00:00"/>
    <x v="0"/>
    <x v="11"/>
    <x v="51"/>
    <x v="27"/>
    <x v="5"/>
    <x v="5"/>
    <x v="3"/>
    <n v="2892420684"/>
  </r>
  <r>
    <d v="2024-12-28T00:00:00"/>
    <x v="0"/>
    <x v="11"/>
    <x v="51"/>
    <x v="27"/>
    <x v="22"/>
    <x v="16"/>
    <x v="1"/>
    <n v="0"/>
  </r>
  <r>
    <d v="2024-12-28T00:00:00"/>
    <x v="0"/>
    <x v="11"/>
    <x v="51"/>
    <x v="27"/>
    <x v="7"/>
    <x v="7"/>
    <x v="4"/>
    <n v="244318872"/>
  </r>
  <r>
    <d v="2024-12-28T00:00:00"/>
    <x v="0"/>
    <x v="11"/>
    <x v="51"/>
    <x v="27"/>
    <x v="3"/>
    <x v="3"/>
    <x v="1"/>
    <n v="0"/>
  </r>
  <r>
    <d v="2024-12-28T00:00:00"/>
    <x v="0"/>
    <x v="11"/>
    <x v="51"/>
    <x v="27"/>
    <x v="18"/>
    <x v="15"/>
    <x v="1"/>
    <n v="182350000"/>
  </r>
  <r>
    <d v="2024-12-28T00:00:00"/>
    <x v="0"/>
    <x v="11"/>
    <x v="51"/>
    <x v="27"/>
    <x v="19"/>
    <x v="12"/>
    <x v="4"/>
    <n v="89521692"/>
  </r>
  <r>
    <d v="2024-12-28T00:00:00"/>
    <x v="0"/>
    <x v="11"/>
    <x v="51"/>
    <x v="27"/>
    <x v="6"/>
    <x v="6"/>
    <x v="0"/>
    <n v="15000000"/>
  </r>
  <r>
    <d v="2024-12-28T00:00:00"/>
    <x v="0"/>
    <x v="11"/>
    <x v="51"/>
    <x v="27"/>
    <x v="0"/>
    <x v="0"/>
    <x v="0"/>
    <n v="3965500000"/>
  </r>
  <r>
    <d v="2024-12-28T00:00:00"/>
    <x v="0"/>
    <x v="11"/>
    <x v="51"/>
    <x v="27"/>
    <x v="1"/>
    <x v="1"/>
    <x v="1"/>
    <n v="21000000"/>
  </r>
  <r>
    <d v="2024-12-28T00:00:00"/>
    <x v="0"/>
    <x v="11"/>
    <x v="51"/>
    <x v="27"/>
    <x v="14"/>
    <x v="13"/>
    <x v="1"/>
    <n v="181660000"/>
  </r>
  <r>
    <d v="2024-12-28T00:00:00"/>
    <x v="0"/>
    <x v="11"/>
    <x v="51"/>
    <x v="27"/>
    <x v="8"/>
    <x v="8"/>
    <x v="1"/>
    <n v="0"/>
  </r>
  <r>
    <d v="2024-12-28T00:00:00"/>
    <x v="0"/>
    <x v="11"/>
    <x v="51"/>
    <x v="27"/>
    <x v="12"/>
    <x v="11"/>
    <x v="1"/>
    <n v="5158210000"/>
  </r>
  <r>
    <d v="2024-12-28T00:00:00"/>
    <x v="0"/>
    <x v="11"/>
    <x v="51"/>
    <x v="27"/>
    <x v="11"/>
    <x v="10"/>
    <x v="4"/>
    <n v="135029402"/>
  </r>
  <r>
    <d v="2024-12-28T00:00:00"/>
    <x v="0"/>
    <x v="11"/>
    <x v="51"/>
    <x v="27"/>
    <x v="2"/>
    <x v="2"/>
    <x v="1"/>
    <n v="5822120000"/>
  </r>
  <r>
    <d v="2024-12-28T00:00:00"/>
    <x v="0"/>
    <x v="11"/>
    <x v="51"/>
    <x v="27"/>
    <x v="15"/>
    <x v="14"/>
    <x v="4"/>
    <n v="8522277"/>
  </r>
  <r>
    <d v="2024-12-29T00:00:00"/>
    <x v="0"/>
    <x v="11"/>
    <x v="51"/>
    <x v="28"/>
    <x v="18"/>
    <x v="15"/>
    <x v="1"/>
    <n v="143840000"/>
  </r>
  <r>
    <d v="2024-12-29T00:00:00"/>
    <x v="0"/>
    <x v="11"/>
    <x v="51"/>
    <x v="28"/>
    <x v="6"/>
    <x v="6"/>
    <x v="0"/>
    <n v="12000000"/>
  </r>
  <r>
    <d v="2024-12-29T00:00:00"/>
    <x v="0"/>
    <x v="11"/>
    <x v="51"/>
    <x v="28"/>
    <x v="7"/>
    <x v="7"/>
    <x v="4"/>
    <n v="236824886"/>
  </r>
  <r>
    <d v="2024-12-29T00:00:00"/>
    <x v="0"/>
    <x v="11"/>
    <x v="51"/>
    <x v="28"/>
    <x v="19"/>
    <x v="12"/>
    <x v="4"/>
    <n v="156457750"/>
  </r>
  <r>
    <d v="2024-12-29T00:00:00"/>
    <x v="0"/>
    <x v="11"/>
    <x v="51"/>
    <x v="28"/>
    <x v="1"/>
    <x v="1"/>
    <x v="1"/>
    <n v="0"/>
  </r>
  <r>
    <d v="2024-12-29T00:00:00"/>
    <x v="0"/>
    <x v="11"/>
    <x v="51"/>
    <x v="28"/>
    <x v="14"/>
    <x v="13"/>
    <x v="1"/>
    <n v="430430000"/>
  </r>
  <r>
    <d v="2024-12-29T00:00:00"/>
    <x v="0"/>
    <x v="11"/>
    <x v="51"/>
    <x v="28"/>
    <x v="5"/>
    <x v="5"/>
    <x v="3"/>
    <n v="2973459989"/>
  </r>
  <r>
    <d v="2024-12-29T00:00:00"/>
    <x v="0"/>
    <x v="11"/>
    <x v="51"/>
    <x v="28"/>
    <x v="3"/>
    <x v="3"/>
    <x v="1"/>
    <n v="0"/>
  </r>
  <r>
    <d v="2024-12-29T00:00:00"/>
    <x v="0"/>
    <x v="11"/>
    <x v="51"/>
    <x v="28"/>
    <x v="0"/>
    <x v="0"/>
    <x v="0"/>
    <n v="3709500000"/>
  </r>
  <r>
    <d v="2024-12-29T00:00:00"/>
    <x v="0"/>
    <x v="11"/>
    <x v="51"/>
    <x v="28"/>
    <x v="15"/>
    <x v="14"/>
    <x v="4"/>
    <n v="17031870"/>
  </r>
  <r>
    <d v="2024-12-29T00:00:00"/>
    <x v="0"/>
    <x v="11"/>
    <x v="51"/>
    <x v="28"/>
    <x v="20"/>
    <x v="9"/>
    <x v="1"/>
    <n v="0"/>
  </r>
  <r>
    <d v="2024-12-29T00:00:00"/>
    <x v="0"/>
    <x v="11"/>
    <x v="51"/>
    <x v="28"/>
    <x v="17"/>
    <x v="9"/>
    <x v="1"/>
    <n v="0"/>
  </r>
  <r>
    <d v="2024-12-29T00:00:00"/>
    <x v="0"/>
    <x v="11"/>
    <x v="51"/>
    <x v="28"/>
    <x v="8"/>
    <x v="8"/>
    <x v="1"/>
    <n v="0"/>
  </r>
  <r>
    <d v="2024-12-29T00:00:00"/>
    <x v="0"/>
    <x v="11"/>
    <x v="51"/>
    <x v="28"/>
    <x v="21"/>
    <x v="9"/>
    <x v="1"/>
    <n v="21400000"/>
  </r>
  <r>
    <d v="2024-12-29T00:00:00"/>
    <x v="0"/>
    <x v="11"/>
    <x v="51"/>
    <x v="28"/>
    <x v="11"/>
    <x v="10"/>
    <x v="4"/>
    <n v="129897479"/>
  </r>
  <r>
    <d v="2024-12-29T00:00:00"/>
    <x v="0"/>
    <x v="11"/>
    <x v="51"/>
    <x v="28"/>
    <x v="2"/>
    <x v="2"/>
    <x v="1"/>
    <n v="5185490000"/>
  </r>
  <r>
    <d v="2024-12-29T00:00:00"/>
    <x v="0"/>
    <x v="11"/>
    <x v="51"/>
    <x v="28"/>
    <x v="12"/>
    <x v="11"/>
    <x v="1"/>
    <n v="4459880000"/>
  </r>
  <r>
    <d v="2024-12-29T00:00:00"/>
    <x v="0"/>
    <x v="11"/>
    <x v="51"/>
    <x v="28"/>
    <x v="22"/>
    <x v="16"/>
    <x v="1"/>
    <n v="0"/>
  </r>
  <r>
    <d v="2024-12-30T00:00:00"/>
    <x v="0"/>
    <x v="11"/>
    <x v="52"/>
    <x v="29"/>
    <x v="7"/>
    <x v="7"/>
    <x v="4"/>
    <n v="283785739"/>
  </r>
  <r>
    <d v="2024-12-30T00:00:00"/>
    <x v="0"/>
    <x v="11"/>
    <x v="52"/>
    <x v="29"/>
    <x v="6"/>
    <x v="6"/>
    <x v="0"/>
    <n v="25000000"/>
  </r>
  <r>
    <d v="2024-12-30T00:00:00"/>
    <x v="0"/>
    <x v="11"/>
    <x v="52"/>
    <x v="29"/>
    <x v="12"/>
    <x v="11"/>
    <x v="1"/>
    <n v="5840450000"/>
  </r>
  <r>
    <d v="2024-12-30T00:00:00"/>
    <x v="0"/>
    <x v="11"/>
    <x v="52"/>
    <x v="29"/>
    <x v="2"/>
    <x v="2"/>
    <x v="1"/>
    <n v="6720380000"/>
  </r>
  <r>
    <d v="2024-12-30T00:00:00"/>
    <x v="0"/>
    <x v="11"/>
    <x v="52"/>
    <x v="29"/>
    <x v="11"/>
    <x v="10"/>
    <x v="4"/>
    <n v="128974047"/>
  </r>
  <r>
    <d v="2024-12-30T00:00:00"/>
    <x v="0"/>
    <x v="11"/>
    <x v="52"/>
    <x v="29"/>
    <x v="8"/>
    <x v="8"/>
    <x v="1"/>
    <n v="0"/>
  </r>
  <r>
    <d v="2024-12-30T00:00:00"/>
    <x v="0"/>
    <x v="11"/>
    <x v="52"/>
    <x v="29"/>
    <x v="19"/>
    <x v="12"/>
    <x v="4"/>
    <n v="230354558"/>
  </r>
  <r>
    <d v="2024-12-30T00:00:00"/>
    <x v="0"/>
    <x v="11"/>
    <x v="52"/>
    <x v="29"/>
    <x v="5"/>
    <x v="5"/>
    <x v="3"/>
    <n v="4285437405"/>
  </r>
  <r>
    <d v="2024-12-30T00:00:00"/>
    <x v="0"/>
    <x v="11"/>
    <x v="52"/>
    <x v="29"/>
    <x v="21"/>
    <x v="9"/>
    <x v="1"/>
    <n v="47450000"/>
  </r>
  <r>
    <d v="2024-12-30T00:00:00"/>
    <x v="0"/>
    <x v="11"/>
    <x v="52"/>
    <x v="29"/>
    <x v="22"/>
    <x v="16"/>
    <x v="1"/>
    <n v="0"/>
  </r>
  <r>
    <d v="2024-12-30T00:00:00"/>
    <x v="0"/>
    <x v="11"/>
    <x v="52"/>
    <x v="29"/>
    <x v="20"/>
    <x v="9"/>
    <x v="1"/>
    <n v="20000000"/>
  </r>
  <r>
    <d v="2024-12-30T00:00:00"/>
    <x v="0"/>
    <x v="11"/>
    <x v="52"/>
    <x v="29"/>
    <x v="15"/>
    <x v="14"/>
    <x v="4"/>
    <n v="17188185"/>
  </r>
  <r>
    <d v="2024-12-30T00:00:00"/>
    <x v="0"/>
    <x v="11"/>
    <x v="52"/>
    <x v="29"/>
    <x v="3"/>
    <x v="3"/>
    <x v="1"/>
    <n v="0"/>
  </r>
  <r>
    <d v="2024-12-30T00:00:00"/>
    <x v="0"/>
    <x v="11"/>
    <x v="52"/>
    <x v="29"/>
    <x v="1"/>
    <x v="1"/>
    <x v="1"/>
    <n v="13650000"/>
  </r>
  <r>
    <d v="2024-12-30T00:00:00"/>
    <x v="0"/>
    <x v="11"/>
    <x v="52"/>
    <x v="29"/>
    <x v="0"/>
    <x v="0"/>
    <x v="0"/>
    <n v="4514000000"/>
  </r>
  <r>
    <d v="2024-12-30T00:00:00"/>
    <x v="0"/>
    <x v="11"/>
    <x v="52"/>
    <x v="29"/>
    <x v="18"/>
    <x v="15"/>
    <x v="1"/>
    <n v="181080000"/>
  </r>
  <r>
    <d v="2024-12-30T00:00:00"/>
    <x v="0"/>
    <x v="11"/>
    <x v="52"/>
    <x v="29"/>
    <x v="17"/>
    <x v="9"/>
    <x v="1"/>
    <n v="37450000"/>
  </r>
  <r>
    <d v="2024-12-30T00:00:00"/>
    <x v="0"/>
    <x v="11"/>
    <x v="52"/>
    <x v="29"/>
    <x v="14"/>
    <x v="13"/>
    <x v="1"/>
    <n v="365920000"/>
  </r>
  <r>
    <d v="2024-12-31T00:00:00"/>
    <x v="0"/>
    <x v="11"/>
    <x v="52"/>
    <x v="30"/>
    <x v="1"/>
    <x v="1"/>
    <x v="1"/>
    <n v="10500000"/>
  </r>
  <r>
    <d v="2024-12-31T00:00:00"/>
    <x v="0"/>
    <x v="11"/>
    <x v="52"/>
    <x v="30"/>
    <x v="14"/>
    <x v="13"/>
    <x v="1"/>
    <n v="317770000"/>
  </r>
  <r>
    <d v="2024-12-31T00:00:00"/>
    <x v="0"/>
    <x v="11"/>
    <x v="52"/>
    <x v="30"/>
    <x v="21"/>
    <x v="9"/>
    <x v="1"/>
    <n v="72800000"/>
  </r>
  <r>
    <d v="2024-12-31T00:00:00"/>
    <x v="0"/>
    <x v="11"/>
    <x v="52"/>
    <x v="30"/>
    <x v="19"/>
    <x v="12"/>
    <x v="4"/>
    <n v="187491604"/>
  </r>
  <r>
    <d v="2024-12-31T00:00:00"/>
    <x v="0"/>
    <x v="11"/>
    <x v="52"/>
    <x v="30"/>
    <x v="20"/>
    <x v="9"/>
    <x v="1"/>
    <n v="13910000"/>
  </r>
  <r>
    <d v="2024-12-31T00:00:00"/>
    <x v="0"/>
    <x v="11"/>
    <x v="52"/>
    <x v="30"/>
    <x v="6"/>
    <x v="6"/>
    <x v="0"/>
    <n v="14000000"/>
  </r>
  <r>
    <d v="2024-12-31T00:00:00"/>
    <x v="0"/>
    <x v="11"/>
    <x v="52"/>
    <x v="30"/>
    <x v="22"/>
    <x v="16"/>
    <x v="1"/>
    <n v="0"/>
  </r>
  <r>
    <d v="2024-12-31T00:00:00"/>
    <x v="0"/>
    <x v="11"/>
    <x v="52"/>
    <x v="30"/>
    <x v="3"/>
    <x v="3"/>
    <x v="1"/>
    <n v="12600000"/>
  </r>
  <r>
    <d v="2024-12-31T00:00:00"/>
    <x v="0"/>
    <x v="11"/>
    <x v="52"/>
    <x v="30"/>
    <x v="0"/>
    <x v="0"/>
    <x v="0"/>
    <n v="4608000000"/>
  </r>
  <r>
    <d v="2024-12-31T00:00:00"/>
    <x v="0"/>
    <x v="11"/>
    <x v="52"/>
    <x v="30"/>
    <x v="2"/>
    <x v="2"/>
    <x v="1"/>
    <n v="6257160000"/>
  </r>
  <r>
    <d v="2024-12-31T00:00:00"/>
    <x v="0"/>
    <x v="11"/>
    <x v="52"/>
    <x v="30"/>
    <x v="5"/>
    <x v="5"/>
    <x v="3"/>
    <n v="3958088657"/>
  </r>
  <r>
    <d v="2024-12-31T00:00:00"/>
    <x v="0"/>
    <x v="11"/>
    <x v="52"/>
    <x v="30"/>
    <x v="8"/>
    <x v="8"/>
    <x v="1"/>
    <n v="0"/>
  </r>
  <r>
    <d v="2024-12-31T00:00:00"/>
    <x v="0"/>
    <x v="11"/>
    <x v="52"/>
    <x v="30"/>
    <x v="18"/>
    <x v="15"/>
    <x v="1"/>
    <n v="240760000"/>
  </r>
  <r>
    <d v="2024-12-31T00:00:00"/>
    <x v="0"/>
    <x v="11"/>
    <x v="52"/>
    <x v="30"/>
    <x v="11"/>
    <x v="10"/>
    <x v="4"/>
    <n v="156658138"/>
  </r>
  <r>
    <d v="2024-12-31T00:00:00"/>
    <x v="0"/>
    <x v="11"/>
    <x v="52"/>
    <x v="30"/>
    <x v="12"/>
    <x v="11"/>
    <x v="1"/>
    <n v="4530240000"/>
  </r>
  <r>
    <d v="2024-12-31T00:00:00"/>
    <x v="0"/>
    <x v="11"/>
    <x v="52"/>
    <x v="30"/>
    <x v="17"/>
    <x v="9"/>
    <x v="1"/>
    <n v="12840000"/>
  </r>
  <r>
    <d v="2024-12-31T00:00:00"/>
    <x v="0"/>
    <x v="11"/>
    <x v="52"/>
    <x v="30"/>
    <x v="15"/>
    <x v="14"/>
    <x v="4"/>
    <n v="24291703"/>
  </r>
  <r>
    <d v="2024-12-31T00:00:00"/>
    <x v="0"/>
    <x v="11"/>
    <x v="52"/>
    <x v="30"/>
    <x v="7"/>
    <x v="7"/>
    <x v="4"/>
    <n v="307894376"/>
  </r>
  <r>
    <d v="2025-01-01T00:00:00"/>
    <x v="1"/>
    <x v="0"/>
    <x v="0"/>
    <x v="0"/>
    <x v="12"/>
    <x v="11"/>
    <x v="1"/>
    <n v="4588890000"/>
  </r>
  <r>
    <d v="2025-01-01T00:00:00"/>
    <x v="1"/>
    <x v="0"/>
    <x v="0"/>
    <x v="0"/>
    <x v="3"/>
    <x v="3"/>
    <x v="1"/>
    <n v="21000000"/>
  </r>
  <r>
    <d v="2025-01-01T00:00:00"/>
    <x v="1"/>
    <x v="0"/>
    <x v="0"/>
    <x v="0"/>
    <x v="19"/>
    <x v="12"/>
    <x v="4"/>
    <n v="211080142"/>
  </r>
  <r>
    <d v="2025-01-01T00:00:00"/>
    <x v="1"/>
    <x v="0"/>
    <x v="0"/>
    <x v="0"/>
    <x v="15"/>
    <x v="14"/>
    <x v="4"/>
    <n v="34963484"/>
  </r>
  <r>
    <d v="2025-01-01T00:00:00"/>
    <x v="1"/>
    <x v="0"/>
    <x v="0"/>
    <x v="0"/>
    <x v="8"/>
    <x v="8"/>
    <x v="1"/>
    <n v="0"/>
  </r>
  <r>
    <d v="2025-01-01T00:00:00"/>
    <x v="1"/>
    <x v="0"/>
    <x v="0"/>
    <x v="0"/>
    <x v="22"/>
    <x v="16"/>
    <x v="1"/>
    <n v="0"/>
  </r>
  <r>
    <d v="2025-01-01T00:00:00"/>
    <x v="1"/>
    <x v="0"/>
    <x v="0"/>
    <x v="0"/>
    <x v="20"/>
    <x v="9"/>
    <x v="1"/>
    <n v="0"/>
  </r>
  <r>
    <d v="2025-01-01T00:00:00"/>
    <x v="1"/>
    <x v="0"/>
    <x v="0"/>
    <x v="0"/>
    <x v="7"/>
    <x v="7"/>
    <x v="4"/>
    <n v="369241367"/>
  </r>
  <r>
    <d v="2025-01-01T00:00:00"/>
    <x v="1"/>
    <x v="0"/>
    <x v="0"/>
    <x v="0"/>
    <x v="5"/>
    <x v="5"/>
    <x v="3"/>
    <n v="4799967356"/>
  </r>
  <r>
    <d v="2025-01-01T00:00:00"/>
    <x v="1"/>
    <x v="0"/>
    <x v="0"/>
    <x v="0"/>
    <x v="0"/>
    <x v="0"/>
    <x v="0"/>
    <n v="4368000000"/>
  </r>
  <r>
    <d v="2025-01-01T00:00:00"/>
    <x v="1"/>
    <x v="0"/>
    <x v="0"/>
    <x v="0"/>
    <x v="6"/>
    <x v="6"/>
    <x v="0"/>
    <n v="22000000"/>
  </r>
  <r>
    <d v="2025-01-01T00:00:00"/>
    <x v="1"/>
    <x v="0"/>
    <x v="0"/>
    <x v="0"/>
    <x v="11"/>
    <x v="10"/>
    <x v="4"/>
    <n v="159837074"/>
  </r>
  <r>
    <d v="2025-01-01T00:00:00"/>
    <x v="1"/>
    <x v="0"/>
    <x v="0"/>
    <x v="0"/>
    <x v="18"/>
    <x v="15"/>
    <x v="1"/>
    <n v="194550000"/>
  </r>
  <r>
    <d v="2025-01-01T00:00:00"/>
    <x v="1"/>
    <x v="0"/>
    <x v="0"/>
    <x v="0"/>
    <x v="14"/>
    <x v="13"/>
    <x v="1"/>
    <n v="215990000"/>
  </r>
  <r>
    <d v="2025-01-01T00:00:00"/>
    <x v="1"/>
    <x v="0"/>
    <x v="0"/>
    <x v="0"/>
    <x v="21"/>
    <x v="9"/>
    <x v="1"/>
    <n v="37450000"/>
  </r>
  <r>
    <d v="2025-01-01T00:00:00"/>
    <x v="1"/>
    <x v="0"/>
    <x v="0"/>
    <x v="0"/>
    <x v="1"/>
    <x v="1"/>
    <x v="1"/>
    <n v="26250000"/>
  </r>
  <r>
    <d v="2025-01-01T00:00:00"/>
    <x v="1"/>
    <x v="0"/>
    <x v="0"/>
    <x v="0"/>
    <x v="17"/>
    <x v="9"/>
    <x v="1"/>
    <n v="42800000"/>
  </r>
  <r>
    <d v="2025-01-01T00:00:00"/>
    <x v="1"/>
    <x v="0"/>
    <x v="0"/>
    <x v="0"/>
    <x v="2"/>
    <x v="2"/>
    <x v="1"/>
    <n v="5550870000"/>
  </r>
  <r>
    <d v="2025-01-02T00:00:00"/>
    <x v="1"/>
    <x v="0"/>
    <x v="0"/>
    <x v="1"/>
    <x v="18"/>
    <x v="15"/>
    <x v="1"/>
    <n v="240910000"/>
  </r>
  <r>
    <d v="2025-01-02T00:00:00"/>
    <x v="1"/>
    <x v="0"/>
    <x v="0"/>
    <x v="1"/>
    <x v="11"/>
    <x v="10"/>
    <x v="4"/>
    <n v="192183071"/>
  </r>
  <r>
    <d v="2025-01-02T00:00:00"/>
    <x v="1"/>
    <x v="0"/>
    <x v="0"/>
    <x v="1"/>
    <x v="14"/>
    <x v="13"/>
    <x v="1"/>
    <n v="459830000"/>
  </r>
  <r>
    <d v="2025-01-02T00:00:00"/>
    <x v="1"/>
    <x v="0"/>
    <x v="0"/>
    <x v="1"/>
    <x v="21"/>
    <x v="9"/>
    <x v="1"/>
    <n v="116300000"/>
  </r>
  <r>
    <d v="2025-01-02T00:00:00"/>
    <x v="1"/>
    <x v="0"/>
    <x v="0"/>
    <x v="1"/>
    <x v="20"/>
    <x v="9"/>
    <x v="1"/>
    <n v="17120000"/>
  </r>
  <r>
    <d v="2025-01-02T00:00:00"/>
    <x v="1"/>
    <x v="0"/>
    <x v="0"/>
    <x v="1"/>
    <x v="0"/>
    <x v="0"/>
    <x v="0"/>
    <n v="4880000000"/>
  </r>
  <r>
    <d v="2025-01-02T00:00:00"/>
    <x v="1"/>
    <x v="0"/>
    <x v="0"/>
    <x v="1"/>
    <x v="5"/>
    <x v="5"/>
    <x v="3"/>
    <n v="5309791648"/>
  </r>
  <r>
    <d v="2025-01-02T00:00:00"/>
    <x v="1"/>
    <x v="0"/>
    <x v="0"/>
    <x v="1"/>
    <x v="19"/>
    <x v="12"/>
    <x v="4"/>
    <n v="305065225"/>
  </r>
  <r>
    <d v="2025-01-02T00:00:00"/>
    <x v="1"/>
    <x v="0"/>
    <x v="0"/>
    <x v="1"/>
    <x v="17"/>
    <x v="9"/>
    <x v="1"/>
    <n v="21400000"/>
  </r>
  <r>
    <d v="2025-01-02T00:00:00"/>
    <x v="1"/>
    <x v="0"/>
    <x v="0"/>
    <x v="1"/>
    <x v="3"/>
    <x v="3"/>
    <x v="1"/>
    <n v="18900000"/>
  </r>
  <r>
    <d v="2025-01-02T00:00:00"/>
    <x v="1"/>
    <x v="0"/>
    <x v="0"/>
    <x v="1"/>
    <x v="15"/>
    <x v="14"/>
    <x v="4"/>
    <n v="45152211"/>
  </r>
  <r>
    <d v="2025-01-02T00:00:00"/>
    <x v="1"/>
    <x v="0"/>
    <x v="0"/>
    <x v="1"/>
    <x v="6"/>
    <x v="6"/>
    <x v="0"/>
    <n v="41000000"/>
  </r>
  <r>
    <d v="2025-01-02T00:00:00"/>
    <x v="1"/>
    <x v="0"/>
    <x v="0"/>
    <x v="1"/>
    <x v="7"/>
    <x v="7"/>
    <x v="4"/>
    <n v="361474588"/>
  </r>
  <r>
    <d v="2025-01-02T00:00:00"/>
    <x v="1"/>
    <x v="0"/>
    <x v="0"/>
    <x v="1"/>
    <x v="22"/>
    <x v="16"/>
    <x v="1"/>
    <n v="0"/>
  </r>
  <r>
    <d v="2025-01-02T00:00:00"/>
    <x v="1"/>
    <x v="0"/>
    <x v="0"/>
    <x v="1"/>
    <x v="1"/>
    <x v="1"/>
    <x v="1"/>
    <n v="23100000"/>
  </r>
  <r>
    <d v="2025-01-02T00:00:00"/>
    <x v="1"/>
    <x v="0"/>
    <x v="0"/>
    <x v="1"/>
    <x v="2"/>
    <x v="2"/>
    <x v="1"/>
    <n v="6899440000"/>
  </r>
  <r>
    <d v="2025-01-02T00:00:00"/>
    <x v="1"/>
    <x v="0"/>
    <x v="0"/>
    <x v="1"/>
    <x v="12"/>
    <x v="11"/>
    <x v="1"/>
    <n v="5692530000"/>
  </r>
  <r>
    <d v="2025-01-02T00:00:00"/>
    <x v="1"/>
    <x v="0"/>
    <x v="0"/>
    <x v="1"/>
    <x v="8"/>
    <x v="8"/>
    <x v="1"/>
    <n v="0"/>
  </r>
  <r>
    <d v="2025-01-03T00:00:00"/>
    <x v="1"/>
    <x v="0"/>
    <x v="0"/>
    <x v="2"/>
    <x v="1"/>
    <x v="1"/>
    <x v="1"/>
    <n v="42000000"/>
  </r>
  <r>
    <d v="2025-01-03T00:00:00"/>
    <x v="1"/>
    <x v="0"/>
    <x v="0"/>
    <x v="2"/>
    <x v="5"/>
    <x v="5"/>
    <x v="3"/>
    <n v="4740965911"/>
  </r>
  <r>
    <d v="2025-01-03T00:00:00"/>
    <x v="1"/>
    <x v="0"/>
    <x v="0"/>
    <x v="2"/>
    <x v="7"/>
    <x v="7"/>
    <x v="4"/>
    <n v="400913003"/>
  </r>
  <r>
    <d v="2025-01-03T00:00:00"/>
    <x v="1"/>
    <x v="0"/>
    <x v="0"/>
    <x v="2"/>
    <x v="18"/>
    <x v="15"/>
    <x v="1"/>
    <n v="179080000"/>
  </r>
  <r>
    <d v="2025-01-03T00:00:00"/>
    <x v="1"/>
    <x v="0"/>
    <x v="0"/>
    <x v="2"/>
    <x v="19"/>
    <x v="12"/>
    <x v="4"/>
    <n v="301909256"/>
  </r>
  <r>
    <d v="2025-01-03T00:00:00"/>
    <x v="1"/>
    <x v="0"/>
    <x v="0"/>
    <x v="2"/>
    <x v="0"/>
    <x v="0"/>
    <x v="0"/>
    <n v="4541000000"/>
  </r>
  <r>
    <d v="2025-01-03T00:00:00"/>
    <x v="1"/>
    <x v="0"/>
    <x v="0"/>
    <x v="2"/>
    <x v="15"/>
    <x v="14"/>
    <x v="4"/>
    <n v="26399467"/>
  </r>
  <r>
    <d v="2025-01-03T00:00:00"/>
    <x v="1"/>
    <x v="0"/>
    <x v="0"/>
    <x v="2"/>
    <x v="2"/>
    <x v="2"/>
    <x v="1"/>
    <n v="6159700000"/>
  </r>
  <r>
    <d v="2025-01-03T00:00:00"/>
    <x v="1"/>
    <x v="0"/>
    <x v="0"/>
    <x v="2"/>
    <x v="17"/>
    <x v="9"/>
    <x v="1"/>
    <n v="10700000"/>
  </r>
  <r>
    <d v="2025-01-03T00:00:00"/>
    <x v="1"/>
    <x v="0"/>
    <x v="0"/>
    <x v="2"/>
    <x v="21"/>
    <x v="9"/>
    <x v="1"/>
    <n v="10700000"/>
  </r>
  <r>
    <d v="2025-01-03T00:00:00"/>
    <x v="1"/>
    <x v="0"/>
    <x v="0"/>
    <x v="2"/>
    <x v="20"/>
    <x v="9"/>
    <x v="1"/>
    <n v="0"/>
  </r>
  <r>
    <d v="2025-01-03T00:00:00"/>
    <x v="1"/>
    <x v="0"/>
    <x v="0"/>
    <x v="2"/>
    <x v="11"/>
    <x v="10"/>
    <x v="4"/>
    <n v="170468716"/>
  </r>
  <r>
    <d v="2025-01-03T00:00:00"/>
    <x v="1"/>
    <x v="0"/>
    <x v="0"/>
    <x v="2"/>
    <x v="8"/>
    <x v="8"/>
    <x v="1"/>
    <n v="0"/>
  </r>
  <r>
    <d v="2025-01-03T00:00:00"/>
    <x v="1"/>
    <x v="0"/>
    <x v="0"/>
    <x v="2"/>
    <x v="14"/>
    <x v="13"/>
    <x v="1"/>
    <n v="512270000"/>
  </r>
  <r>
    <d v="2025-01-03T00:00:00"/>
    <x v="1"/>
    <x v="0"/>
    <x v="0"/>
    <x v="2"/>
    <x v="22"/>
    <x v="16"/>
    <x v="1"/>
    <n v="0"/>
  </r>
  <r>
    <d v="2025-01-03T00:00:00"/>
    <x v="1"/>
    <x v="0"/>
    <x v="0"/>
    <x v="2"/>
    <x v="3"/>
    <x v="3"/>
    <x v="1"/>
    <n v="0"/>
  </r>
  <r>
    <d v="2025-01-03T00:00:00"/>
    <x v="1"/>
    <x v="0"/>
    <x v="0"/>
    <x v="2"/>
    <x v="12"/>
    <x v="11"/>
    <x v="1"/>
    <n v="5723110000"/>
  </r>
  <r>
    <d v="2025-01-03T00:00:00"/>
    <x v="1"/>
    <x v="0"/>
    <x v="0"/>
    <x v="2"/>
    <x v="6"/>
    <x v="6"/>
    <x v="0"/>
    <n v="11000000"/>
  </r>
  <r>
    <d v="2025-01-04T00:00:00"/>
    <x v="1"/>
    <x v="0"/>
    <x v="0"/>
    <x v="3"/>
    <x v="21"/>
    <x v="9"/>
    <x v="1"/>
    <n v="10700000"/>
  </r>
  <r>
    <d v="2025-01-04T00:00:00"/>
    <x v="1"/>
    <x v="0"/>
    <x v="0"/>
    <x v="3"/>
    <x v="15"/>
    <x v="14"/>
    <x v="4"/>
    <n v="35500547"/>
  </r>
  <r>
    <d v="2025-01-04T00:00:00"/>
    <x v="1"/>
    <x v="0"/>
    <x v="0"/>
    <x v="3"/>
    <x v="3"/>
    <x v="3"/>
    <x v="1"/>
    <n v="0"/>
  </r>
  <r>
    <d v="2025-01-04T00:00:00"/>
    <x v="1"/>
    <x v="0"/>
    <x v="0"/>
    <x v="3"/>
    <x v="22"/>
    <x v="16"/>
    <x v="1"/>
    <n v="0"/>
  </r>
  <r>
    <d v="2025-01-04T00:00:00"/>
    <x v="1"/>
    <x v="0"/>
    <x v="0"/>
    <x v="3"/>
    <x v="14"/>
    <x v="13"/>
    <x v="1"/>
    <n v="549570000"/>
  </r>
  <r>
    <d v="2025-01-04T00:00:00"/>
    <x v="1"/>
    <x v="0"/>
    <x v="0"/>
    <x v="3"/>
    <x v="11"/>
    <x v="10"/>
    <x v="4"/>
    <n v="240833408"/>
  </r>
  <r>
    <d v="2025-01-04T00:00:00"/>
    <x v="1"/>
    <x v="0"/>
    <x v="0"/>
    <x v="3"/>
    <x v="0"/>
    <x v="0"/>
    <x v="0"/>
    <n v="4558500000"/>
  </r>
  <r>
    <d v="2025-01-04T00:00:00"/>
    <x v="1"/>
    <x v="0"/>
    <x v="0"/>
    <x v="3"/>
    <x v="19"/>
    <x v="12"/>
    <x v="4"/>
    <n v="449637181"/>
  </r>
  <r>
    <d v="2025-01-04T00:00:00"/>
    <x v="1"/>
    <x v="0"/>
    <x v="0"/>
    <x v="3"/>
    <x v="6"/>
    <x v="6"/>
    <x v="0"/>
    <n v="26000000"/>
  </r>
  <r>
    <d v="2025-01-04T00:00:00"/>
    <x v="1"/>
    <x v="0"/>
    <x v="0"/>
    <x v="3"/>
    <x v="1"/>
    <x v="1"/>
    <x v="1"/>
    <n v="21000000"/>
  </r>
  <r>
    <d v="2025-01-04T00:00:00"/>
    <x v="1"/>
    <x v="0"/>
    <x v="0"/>
    <x v="3"/>
    <x v="8"/>
    <x v="8"/>
    <x v="1"/>
    <n v="0"/>
  </r>
  <r>
    <d v="2025-01-04T00:00:00"/>
    <x v="1"/>
    <x v="0"/>
    <x v="0"/>
    <x v="3"/>
    <x v="18"/>
    <x v="15"/>
    <x v="1"/>
    <n v="257160000"/>
  </r>
  <r>
    <d v="2025-01-04T00:00:00"/>
    <x v="1"/>
    <x v="0"/>
    <x v="0"/>
    <x v="3"/>
    <x v="7"/>
    <x v="7"/>
    <x v="4"/>
    <n v="553954292"/>
  </r>
  <r>
    <d v="2025-01-04T00:00:00"/>
    <x v="1"/>
    <x v="0"/>
    <x v="0"/>
    <x v="3"/>
    <x v="2"/>
    <x v="2"/>
    <x v="1"/>
    <n v="5643960000"/>
  </r>
  <r>
    <d v="2025-01-04T00:00:00"/>
    <x v="1"/>
    <x v="0"/>
    <x v="0"/>
    <x v="3"/>
    <x v="12"/>
    <x v="11"/>
    <x v="1"/>
    <n v="5456720000"/>
  </r>
  <r>
    <d v="2025-01-04T00:00:00"/>
    <x v="1"/>
    <x v="0"/>
    <x v="0"/>
    <x v="3"/>
    <x v="5"/>
    <x v="5"/>
    <x v="3"/>
    <n v="4028235805"/>
  </r>
  <r>
    <d v="2025-01-04T00:00:00"/>
    <x v="1"/>
    <x v="0"/>
    <x v="0"/>
    <x v="3"/>
    <x v="20"/>
    <x v="9"/>
    <x v="1"/>
    <n v="0"/>
  </r>
  <r>
    <d v="2025-01-04T00:00:00"/>
    <x v="1"/>
    <x v="0"/>
    <x v="0"/>
    <x v="3"/>
    <x v="17"/>
    <x v="9"/>
    <x v="1"/>
    <n v="0"/>
  </r>
  <r>
    <d v="2025-01-05T00:00:00"/>
    <x v="1"/>
    <x v="0"/>
    <x v="0"/>
    <x v="4"/>
    <x v="15"/>
    <x v="14"/>
    <x v="4"/>
    <n v="53722328"/>
  </r>
  <r>
    <d v="2025-01-05T00:00:00"/>
    <x v="1"/>
    <x v="0"/>
    <x v="0"/>
    <x v="4"/>
    <x v="2"/>
    <x v="2"/>
    <x v="1"/>
    <n v="5412630000"/>
  </r>
  <r>
    <d v="2025-01-05T00:00:00"/>
    <x v="1"/>
    <x v="0"/>
    <x v="0"/>
    <x v="4"/>
    <x v="3"/>
    <x v="3"/>
    <x v="1"/>
    <n v="0"/>
  </r>
  <r>
    <d v="2025-01-05T00:00:00"/>
    <x v="1"/>
    <x v="0"/>
    <x v="0"/>
    <x v="4"/>
    <x v="6"/>
    <x v="6"/>
    <x v="0"/>
    <n v="22000000"/>
  </r>
  <r>
    <d v="2025-01-05T00:00:00"/>
    <x v="1"/>
    <x v="0"/>
    <x v="0"/>
    <x v="4"/>
    <x v="14"/>
    <x v="13"/>
    <x v="1"/>
    <n v="482790000"/>
  </r>
  <r>
    <d v="2025-01-05T00:00:00"/>
    <x v="1"/>
    <x v="0"/>
    <x v="0"/>
    <x v="4"/>
    <x v="5"/>
    <x v="5"/>
    <x v="3"/>
    <n v="4162176090"/>
  </r>
  <r>
    <d v="2025-01-05T00:00:00"/>
    <x v="1"/>
    <x v="0"/>
    <x v="0"/>
    <x v="4"/>
    <x v="1"/>
    <x v="1"/>
    <x v="1"/>
    <n v="20000000"/>
  </r>
  <r>
    <d v="2025-01-05T00:00:00"/>
    <x v="1"/>
    <x v="0"/>
    <x v="0"/>
    <x v="4"/>
    <x v="21"/>
    <x v="9"/>
    <x v="1"/>
    <n v="0"/>
  </r>
  <r>
    <d v="2025-01-05T00:00:00"/>
    <x v="1"/>
    <x v="0"/>
    <x v="0"/>
    <x v="4"/>
    <x v="11"/>
    <x v="10"/>
    <x v="4"/>
    <n v="277757097"/>
  </r>
  <r>
    <d v="2025-01-05T00:00:00"/>
    <x v="1"/>
    <x v="0"/>
    <x v="0"/>
    <x v="4"/>
    <x v="19"/>
    <x v="12"/>
    <x v="4"/>
    <n v="363574641"/>
  </r>
  <r>
    <d v="2025-01-05T00:00:00"/>
    <x v="1"/>
    <x v="0"/>
    <x v="0"/>
    <x v="4"/>
    <x v="8"/>
    <x v="8"/>
    <x v="1"/>
    <n v="0"/>
  </r>
  <r>
    <d v="2025-01-05T00:00:00"/>
    <x v="1"/>
    <x v="0"/>
    <x v="0"/>
    <x v="4"/>
    <x v="12"/>
    <x v="11"/>
    <x v="1"/>
    <n v="5117700000"/>
  </r>
  <r>
    <d v="2025-01-05T00:00:00"/>
    <x v="1"/>
    <x v="0"/>
    <x v="0"/>
    <x v="4"/>
    <x v="22"/>
    <x v="16"/>
    <x v="1"/>
    <n v="0"/>
  </r>
  <r>
    <d v="2025-01-05T00:00:00"/>
    <x v="1"/>
    <x v="0"/>
    <x v="0"/>
    <x v="4"/>
    <x v="18"/>
    <x v="15"/>
    <x v="1"/>
    <n v="248650000"/>
  </r>
  <r>
    <d v="2025-01-05T00:00:00"/>
    <x v="1"/>
    <x v="0"/>
    <x v="0"/>
    <x v="4"/>
    <x v="7"/>
    <x v="7"/>
    <x v="4"/>
    <n v="454804584"/>
  </r>
  <r>
    <d v="2025-01-05T00:00:00"/>
    <x v="1"/>
    <x v="0"/>
    <x v="0"/>
    <x v="4"/>
    <x v="17"/>
    <x v="9"/>
    <x v="1"/>
    <n v="0"/>
  </r>
  <r>
    <d v="2025-01-05T00:00:00"/>
    <x v="1"/>
    <x v="0"/>
    <x v="0"/>
    <x v="4"/>
    <x v="20"/>
    <x v="9"/>
    <x v="1"/>
    <n v="21400000"/>
  </r>
  <r>
    <d v="2025-01-05T00:00:00"/>
    <x v="1"/>
    <x v="0"/>
    <x v="0"/>
    <x v="4"/>
    <x v="0"/>
    <x v="0"/>
    <x v="0"/>
    <n v="4277000000"/>
  </r>
  <r>
    <d v="2025-01-06T00:00:00"/>
    <x v="1"/>
    <x v="0"/>
    <x v="1"/>
    <x v="5"/>
    <x v="21"/>
    <x v="9"/>
    <x v="1"/>
    <n v="0"/>
  </r>
  <r>
    <d v="2025-01-06T00:00:00"/>
    <x v="1"/>
    <x v="0"/>
    <x v="1"/>
    <x v="5"/>
    <x v="12"/>
    <x v="11"/>
    <x v="1"/>
    <n v="5167610000"/>
  </r>
  <r>
    <d v="2025-01-06T00:00:00"/>
    <x v="1"/>
    <x v="0"/>
    <x v="1"/>
    <x v="5"/>
    <x v="15"/>
    <x v="14"/>
    <x v="4"/>
    <n v="43229854"/>
  </r>
  <r>
    <d v="2025-01-06T00:00:00"/>
    <x v="1"/>
    <x v="0"/>
    <x v="1"/>
    <x v="5"/>
    <x v="7"/>
    <x v="7"/>
    <x v="4"/>
    <n v="571714502"/>
  </r>
  <r>
    <d v="2025-01-06T00:00:00"/>
    <x v="1"/>
    <x v="0"/>
    <x v="1"/>
    <x v="5"/>
    <x v="6"/>
    <x v="6"/>
    <x v="0"/>
    <n v="7000000"/>
  </r>
  <r>
    <d v="2025-01-06T00:00:00"/>
    <x v="1"/>
    <x v="0"/>
    <x v="1"/>
    <x v="5"/>
    <x v="3"/>
    <x v="3"/>
    <x v="1"/>
    <n v="21000000"/>
  </r>
  <r>
    <d v="2025-01-06T00:00:00"/>
    <x v="1"/>
    <x v="0"/>
    <x v="1"/>
    <x v="5"/>
    <x v="2"/>
    <x v="2"/>
    <x v="1"/>
    <n v="6184210000"/>
  </r>
  <r>
    <d v="2025-01-06T00:00:00"/>
    <x v="1"/>
    <x v="0"/>
    <x v="1"/>
    <x v="5"/>
    <x v="20"/>
    <x v="9"/>
    <x v="1"/>
    <n v="42800000"/>
  </r>
  <r>
    <d v="2025-01-06T00:00:00"/>
    <x v="1"/>
    <x v="0"/>
    <x v="1"/>
    <x v="5"/>
    <x v="1"/>
    <x v="1"/>
    <x v="1"/>
    <n v="21000000"/>
  </r>
  <r>
    <d v="2025-01-06T00:00:00"/>
    <x v="1"/>
    <x v="0"/>
    <x v="1"/>
    <x v="5"/>
    <x v="14"/>
    <x v="13"/>
    <x v="1"/>
    <n v="423840000"/>
  </r>
  <r>
    <d v="2025-01-06T00:00:00"/>
    <x v="1"/>
    <x v="0"/>
    <x v="1"/>
    <x v="5"/>
    <x v="8"/>
    <x v="8"/>
    <x v="1"/>
    <n v="0"/>
  </r>
  <r>
    <d v="2025-01-06T00:00:00"/>
    <x v="1"/>
    <x v="0"/>
    <x v="1"/>
    <x v="5"/>
    <x v="11"/>
    <x v="10"/>
    <x v="4"/>
    <n v="226074994"/>
  </r>
  <r>
    <d v="2025-01-06T00:00:00"/>
    <x v="1"/>
    <x v="0"/>
    <x v="1"/>
    <x v="5"/>
    <x v="22"/>
    <x v="16"/>
    <x v="1"/>
    <n v="0"/>
  </r>
  <r>
    <d v="2025-01-06T00:00:00"/>
    <x v="1"/>
    <x v="0"/>
    <x v="1"/>
    <x v="5"/>
    <x v="19"/>
    <x v="12"/>
    <x v="4"/>
    <n v="279034017"/>
  </r>
  <r>
    <d v="2025-01-06T00:00:00"/>
    <x v="1"/>
    <x v="0"/>
    <x v="1"/>
    <x v="5"/>
    <x v="5"/>
    <x v="5"/>
    <x v="3"/>
    <n v="4110141036"/>
  </r>
  <r>
    <d v="2025-01-06T00:00:00"/>
    <x v="1"/>
    <x v="0"/>
    <x v="1"/>
    <x v="5"/>
    <x v="0"/>
    <x v="0"/>
    <x v="0"/>
    <n v="4536000000"/>
  </r>
  <r>
    <d v="2025-01-06T00:00:00"/>
    <x v="1"/>
    <x v="0"/>
    <x v="1"/>
    <x v="5"/>
    <x v="18"/>
    <x v="15"/>
    <x v="1"/>
    <n v="198540000"/>
  </r>
  <r>
    <d v="2025-01-06T00:00:00"/>
    <x v="1"/>
    <x v="0"/>
    <x v="1"/>
    <x v="5"/>
    <x v="17"/>
    <x v="9"/>
    <x v="1"/>
    <n v="0"/>
  </r>
  <r>
    <d v="2025-01-07T00:00:00"/>
    <x v="1"/>
    <x v="0"/>
    <x v="1"/>
    <x v="6"/>
    <x v="12"/>
    <x v="11"/>
    <x v="1"/>
    <n v="5580460000"/>
  </r>
  <r>
    <d v="2025-01-07T00:00:00"/>
    <x v="1"/>
    <x v="0"/>
    <x v="1"/>
    <x v="6"/>
    <x v="11"/>
    <x v="10"/>
    <x v="4"/>
    <n v="213974583"/>
  </r>
  <r>
    <d v="2025-01-07T00:00:00"/>
    <x v="1"/>
    <x v="0"/>
    <x v="1"/>
    <x v="6"/>
    <x v="15"/>
    <x v="14"/>
    <x v="4"/>
    <n v="19125715"/>
  </r>
  <r>
    <d v="2025-01-07T00:00:00"/>
    <x v="1"/>
    <x v="0"/>
    <x v="1"/>
    <x v="6"/>
    <x v="19"/>
    <x v="12"/>
    <x v="4"/>
    <n v="228985018"/>
  </r>
  <r>
    <d v="2025-01-07T00:00:00"/>
    <x v="1"/>
    <x v="0"/>
    <x v="1"/>
    <x v="6"/>
    <x v="22"/>
    <x v="16"/>
    <x v="1"/>
    <n v="0"/>
  </r>
  <r>
    <d v="2025-01-07T00:00:00"/>
    <x v="1"/>
    <x v="0"/>
    <x v="1"/>
    <x v="6"/>
    <x v="17"/>
    <x v="9"/>
    <x v="1"/>
    <n v="0"/>
  </r>
  <r>
    <d v="2025-01-07T00:00:00"/>
    <x v="1"/>
    <x v="0"/>
    <x v="1"/>
    <x v="6"/>
    <x v="20"/>
    <x v="9"/>
    <x v="1"/>
    <n v="11770000"/>
  </r>
  <r>
    <d v="2025-01-07T00:00:00"/>
    <x v="1"/>
    <x v="0"/>
    <x v="1"/>
    <x v="6"/>
    <x v="21"/>
    <x v="9"/>
    <x v="1"/>
    <n v="21400000"/>
  </r>
  <r>
    <d v="2025-01-07T00:00:00"/>
    <x v="1"/>
    <x v="0"/>
    <x v="1"/>
    <x v="6"/>
    <x v="18"/>
    <x v="15"/>
    <x v="1"/>
    <n v="351360000"/>
  </r>
  <r>
    <d v="2025-01-07T00:00:00"/>
    <x v="1"/>
    <x v="0"/>
    <x v="1"/>
    <x v="6"/>
    <x v="0"/>
    <x v="0"/>
    <x v="0"/>
    <n v="4279500000"/>
  </r>
  <r>
    <d v="2025-01-07T00:00:00"/>
    <x v="1"/>
    <x v="0"/>
    <x v="1"/>
    <x v="6"/>
    <x v="3"/>
    <x v="3"/>
    <x v="1"/>
    <n v="87150000"/>
  </r>
  <r>
    <d v="2025-01-07T00:00:00"/>
    <x v="1"/>
    <x v="0"/>
    <x v="1"/>
    <x v="6"/>
    <x v="5"/>
    <x v="5"/>
    <x v="3"/>
    <n v="3717609229"/>
  </r>
  <r>
    <d v="2025-01-07T00:00:00"/>
    <x v="1"/>
    <x v="0"/>
    <x v="1"/>
    <x v="6"/>
    <x v="6"/>
    <x v="6"/>
    <x v="0"/>
    <n v="50000000"/>
  </r>
  <r>
    <d v="2025-01-07T00:00:00"/>
    <x v="1"/>
    <x v="0"/>
    <x v="1"/>
    <x v="6"/>
    <x v="1"/>
    <x v="1"/>
    <x v="1"/>
    <n v="0"/>
  </r>
  <r>
    <d v="2025-01-07T00:00:00"/>
    <x v="1"/>
    <x v="0"/>
    <x v="1"/>
    <x v="6"/>
    <x v="8"/>
    <x v="8"/>
    <x v="1"/>
    <n v="0"/>
  </r>
  <r>
    <d v="2025-01-07T00:00:00"/>
    <x v="1"/>
    <x v="0"/>
    <x v="1"/>
    <x v="6"/>
    <x v="2"/>
    <x v="2"/>
    <x v="1"/>
    <n v="6383840000"/>
  </r>
  <r>
    <d v="2025-01-07T00:00:00"/>
    <x v="1"/>
    <x v="0"/>
    <x v="1"/>
    <x v="6"/>
    <x v="7"/>
    <x v="7"/>
    <x v="4"/>
    <n v="546402503"/>
  </r>
  <r>
    <d v="2025-01-07T00:00:00"/>
    <x v="1"/>
    <x v="0"/>
    <x v="1"/>
    <x v="6"/>
    <x v="14"/>
    <x v="13"/>
    <x v="1"/>
    <n v="449880000"/>
  </r>
  <r>
    <d v="2025-01-08T00:00:00"/>
    <x v="1"/>
    <x v="0"/>
    <x v="1"/>
    <x v="7"/>
    <x v="14"/>
    <x v="13"/>
    <x v="1"/>
    <n v="455210000"/>
  </r>
  <r>
    <d v="2025-01-08T00:00:00"/>
    <x v="1"/>
    <x v="0"/>
    <x v="1"/>
    <x v="7"/>
    <x v="17"/>
    <x v="9"/>
    <x v="1"/>
    <n v="0"/>
  </r>
  <r>
    <d v="2025-01-08T00:00:00"/>
    <x v="1"/>
    <x v="0"/>
    <x v="1"/>
    <x v="7"/>
    <x v="19"/>
    <x v="12"/>
    <x v="4"/>
    <n v="232893356"/>
  </r>
  <r>
    <d v="2025-01-08T00:00:00"/>
    <x v="1"/>
    <x v="0"/>
    <x v="1"/>
    <x v="7"/>
    <x v="21"/>
    <x v="9"/>
    <x v="1"/>
    <n v="0"/>
  </r>
  <r>
    <d v="2025-01-08T00:00:00"/>
    <x v="1"/>
    <x v="0"/>
    <x v="1"/>
    <x v="7"/>
    <x v="22"/>
    <x v="16"/>
    <x v="1"/>
    <n v="0"/>
  </r>
  <r>
    <d v="2025-01-08T00:00:00"/>
    <x v="1"/>
    <x v="0"/>
    <x v="1"/>
    <x v="7"/>
    <x v="15"/>
    <x v="14"/>
    <x v="4"/>
    <n v="40140067"/>
  </r>
  <r>
    <d v="2025-01-08T00:00:00"/>
    <x v="1"/>
    <x v="0"/>
    <x v="1"/>
    <x v="7"/>
    <x v="20"/>
    <x v="9"/>
    <x v="1"/>
    <n v="0"/>
  </r>
  <r>
    <d v="2025-01-08T00:00:00"/>
    <x v="1"/>
    <x v="0"/>
    <x v="1"/>
    <x v="7"/>
    <x v="3"/>
    <x v="3"/>
    <x v="1"/>
    <n v="0"/>
  </r>
  <r>
    <d v="2025-01-08T00:00:00"/>
    <x v="1"/>
    <x v="0"/>
    <x v="1"/>
    <x v="7"/>
    <x v="18"/>
    <x v="15"/>
    <x v="1"/>
    <n v="315110000"/>
  </r>
  <r>
    <d v="2025-01-08T00:00:00"/>
    <x v="1"/>
    <x v="0"/>
    <x v="1"/>
    <x v="7"/>
    <x v="6"/>
    <x v="6"/>
    <x v="0"/>
    <n v="32000000"/>
  </r>
  <r>
    <d v="2025-01-08T00:00:00"/>
    <x v="1"/>
    <x v="0"/>
    <x v="1"/>
    <x v="7"/>
    <x v="0"/>
    <x v="0"/>
    <x v="0"/>
    <n v="4277000000"/>
  </r>
  <r>
    <d v="2025-01-08T00:00:00"/>
    <x v="1"/>
    <x v="0"/>
    <x v="1"/>
    <x v="7"/>
    <x v="1"/>
    <x v="1"/>
    <x v="1"/>
    <n v="21000000"/>
  </r>
  <r>
    <d v="2025-01-08T00:00:00"/>
    <x v="1"/>
    <x v="0"/>
    <x v="1"/>
    <x v="7"/>
    <x v="12"/>
    <x v="11"/>
    <x v="1"/>
    <n v="5090650000"/>
  </r>
  <r>
    <d v="2025-01-08T00:00:00"/>
    <x v="1"/>
    <x v="0"/>
    <x v="1"/>
    <x v="7"/>
    <x v="8"/>
    <x v="8"/>
    <x v="1"/>
    <n v="0"/>
  </r>
  <r>
    <d v="2025-01-08T00:00:00"/>
    <x v="1"/>
    <x v="0"/>
    <x v="1"/>
    <x v="7"/>
    <x v="11"/>
    <x v="10"/>
    <x v="4"/>
    <n v="200535759"/>
  </r>
  <r>
    <d v="2025-01-08T00:00:00"/>
    <x v="1"/>
    <x v="0"/>
    <x v="1"/>
    <x v="7"/>
    <x v="5"/>
    <x v="5"/>
    <x v="3"/>
    <n v="3616167969"/>
  </r>
  <r>
    <d v="2025-01-08T00:00:00"/>
    <x v="1"/>
    <x v="0"/>
    <x v="1"/>
    <x v="7"/>
    <x v="2"/>
    <x v="2"/>
    <x v="1"/>
    <n v="6069650000"/>
  </r>
  <r>
    <d v="2025-01-08T00:00:00"/>
    <x v="1"/>
    <x v="0"/>
    <x v="1"/>
    <x v="7"/>
    <x v="7"/>
    <x v="7"/>
    <x v="4"/>
    <n v="463765772"/>
  </r>
  <r>
    <d v="2025-01-09T00:00:00"/>
    <x v="1"/>
    <x v="0"/>
    <x v="1"/>
    <x v="8"/>
    <x v="3"/>
    <x v="3"/>
    <x v="1"/>
    <n v="51500000"/>
  </r>
  <r>
    <d v="2025-01-09T00:00:00"/>
    <x v="1"/>
    <x v="0"/>
    <x v="1"/>
    <x v="8"/>
    <x v="5"/>
    <x v="5"/>
    <x v="3"/>
    <n v="3599006843"/>
  </r>
  <r>
    <d v="2025-01-09T00:00:00"/>
    <x v="1"/>
    <x v="0"/>
    <x v="1"/>
    <x v="8"/>
    <x v="15"/>
    <x v="14"/>
    <x v="4"/>
    <n v="16364655"/>
  </r>
  <r>
    <d v="2025-01-09T00:00:00"/>
    <x v="1"/>
    <x v="0"/>
    <x v="1"/>
    <x v="8"/>
    <x v="11"/>
    <x v="10"/>
    <x v="4"/>
    <n v="217709987"/>
  </r>
  <r>
    <d v="2025-01-09T00:00:00"/>
    <x v="1"/>
    <x v="0"/>
    <x v="1"/>
    <x v="8"/>
    <x v="18"/>
    <x v="15"/>
    <x v="1"/>
    <n v="410930000"/>
  </r>
  <r>
    <d v="2025-01-09T00:00:00"/>
    <x v="1"/>
    <x v="0"/>
    <x v="1"/>
    <x v="8"/>
    <x v="8"/>
    <x v="8"/>
    <x v="1"/>
    <n v="0"/>
  </r>
  <r>
    <d v="2025-01-09T00:00:00"/>
    <x v="1"/>
    <x v="0"/>
    <x v="1"/>
    <x v="8"/>
    <x v="1"/>
    <x v="1"/>
    <x v="1"/>
    <n v="31500000"/>
  </r>
  <r>
    <d v="2025-01-09T00:00:00"/>
    <x v="1"/>
    <x v="0"/>
    <x v="1"/>
    <x v="8"/>
    <x v="19"/>
    <x v="12"/>
    <x v="4"/>
    <n v="203542250"/>
  </r>
  <r>
    <d v="2025-01-09T00:00:00"/>
    <x v="1"/>
    <x v="0"/>
    <x v="1"/>
    <x v="8"/>
    <x v="6"/>
    <x v="6"/>
    <x v="0"/>
    <n v="23000000"/>
  </r>
  <r>
    <d v="2025-01-09T00:00:00"/>
    <x v="1"/>
    <x v="0"/>
    <x v="1"/>
    <x v="8"/>
    <x v="2"/>
    <x v="2"/>
    <x v="1"/>
    <n v="6638310000"/>
  </r>
  <r>
    <d v="2025-01-09T00:00:00"/>
    <x v="1"/>
    <x v="0"/>
    <x v="1"/>
    <x v="8"/>
    <x v="0"/>
    <x v="0"/>
    <x v="0"/>
    <n v="4601000000"/>
  </r>
  <r>
    <d v="2025-01-09T00:00:00"/>
    <x v="1"/>
    <x v="0"/>
    <x v="1"/>
    <x v="8"/>
    <x v="14"/>
    <x v="13"/>
    <x v="1"/>
    <n v="529950000"/>
  </r>
  <r>
    <d v="2025-01-09T00:00:00"/>
    <x v="1"/>
    <x v="0"/>
    <x v="1"/>
    <x v="8"/>
    <x v="20"/>
    <x v="9"/>
    <x v="1"/>
    <n v="20000000"/>
  </r>
  <r>
    <d v="2025-01-09T00:00:00"/>
    <x v="1"/>
    <x v="0"/>
    <x v="1"/>
    <x v="8"/>
    <x v="17"/>
    <x v="9"/>
    <x v="1"/>
    <n v="0"/>
  </r>
  <r>
    <d v="2025-01-09T00:00:00"/>
    <x v="1"/>
    <x v="0"/>
    <x v="1"/>
    <x v="8"/>
    <x v="21"/>
    <x v="9"/>
    <x v="1"/>
    <n v="0"/>
  </r>
  <r>
    <d v="2025-01-09T00:00:00"/>
    <x v="1"/>
    <x v="0"/>
    <x v="1"/>
    <x v="8"/>
    <x v="12"/>
    <x v="11"/>
    <x v="1"/>
    <n v="5384460000"/>
  </r>
  <r>
    <d v="2025-01-09T00:00:00"/>
    <x v="1"/>
    <x v="0"/>
    <x v="1"/>
    <x v="8"/>
    <x v="22"/>
    <x v="16"/>
    <x v="1"/>
    <n v="0"/>
  </r>
  <r>
    <d v="2025-01-09T00:00:00"/>
    <x v="1"/>
    <x v="0"/>
    <x v="1"/>
    <x v="8"/>
    <x v="7"/>
    <x v="7"/>
    <x v="4"/>
    <n v="453659182"/>
  </r>
  <r>
    <d v="2025-01-10T00:00:00"/>
    <x v="1"/>
    <x v="0"/>
    <x v="1"/>
    <x v="9"/>
    <x v="0"/>
    <x v="0"/>
    <x v="0"/>
    <n v="5982000000"/>
  </r>
  <r>
    <d v="2025-01-10T00:00:00"/>
    <x v="1"/>
    <x v="0"/>
    <x v="1"/>
    <x v="9"/>
    <x v="3"/>
    <x v="3"/>
    <x v="1"/>
    <n v="32600000"/>
  </r>
  <r>
    <d v="2025-01-10T00:00:00"/>
    <x v="1"/>
    <x v="0"/>
    <x v="1"/>
    <x v="9"/>
    <x v="6"/>
    <x v="6"/>
    <x v="0"/>
    <n v="33000000"/>
  </r>
  <r>
    <d v="2025-01-10T00:00:00"/>
    <x v="1"/>
    <x v="0"/>
    <x v="1"/>
    <x v="9"/>
    <x v="1"/>
    <x v="1"/>
    <x v="1"/>
    <n v="41000000"/>
  </r>
  <r>
    <d v="2025-01-10T00:00:00"/>
    <x v="1"/>
    <x v="0"/>
    <x v="1"/>
    <x v="9"/>
    <x v="18"/>
    <x v="15"/>
    <x v="1"/>
    <n v="433980000"/>
  </r>
  <r>
    <d v="2025-01-10T00:00:00"/>
    <x v="1"/>
    <x v="0"/>
    <x v="1"/>
    <x v="9"/>
    <x v="8"/>
    <x v="8"/>
    <x v="1"/>
    <n v="0"/>
  </r>
  <r>
    <d v="2025-01-10T00:00:00"/>
    <x v="1"/>
    <x v="0"/>
    <x v="1"/>
    <x v="9"/>
    <x v="7"/>
    <x v="7"/>
    <x v="4"/>
    <n v="443491453"/>
  </r>
  <r>
    <d v="2025-01-10T00:00:00"/>
    <x v="1"/>
    <x v="0"/>
    <x v="1"/>
    <x v="9"/>
    <x v="15"/>
    <x v="14"/>
    <x v="4"/>
    <n v="27067354"/>
  </r>
  <r>
    <d v="2025-01-10T00:00:00"/>
    <x v="1"/>
    <x v="0"/>
    <x v="1"/>
    <x v="9"/>
    <x v="5"/>
    <x v="5"/>
    <x v="3"/>
    <n v="3903461157"/>
  </r>
  <r>
    <d v="2025-01-10T00:00:00"/>
    <x v="1"/>
    <x v="0"/>
    <x v="1"/>
    <x v="9"/>
    <x v="2"/>
    <x v="2"/>
    <x v="1"/>
    <n v="7461300000"/>
  </r>
  <r>
    <d v="2025-01-10T00:00:00"/>
    <x v="1"/>
    <x v="0"/>
    <x v="1"/>
    <x v="9"/>
    <x v="11"/>
    <x v="10"/>
    <x v="4"/>
    <n v="227968393"/>
  </r>
  <r>
    <d v="2025-01-10T00:00:00"/>
    <x v="1"/>
    <x v="0"/>
    <x v="1"/>
    <x v="9"/>
    <x v="19"/>
    <x v="12"/>
    <x v="4"/>
    <n v="250365101"/>
  </r>
  <r>
    <d v="2025-01-10T00:00:00"/>
    <x v="1"/>
    <x v="0"/>
    <x v="1"/>
    <x v="9"/>
    <x v="12"/>
    <x v="11"/>
    <x v="1"/>
    <n v="6236920000"/>
  </r>
  <r>
    <d v="2025-01-10T00:00:00"/>
    <x v="1"/>
    <x v="0"/>
    <x v="1"/>
    <x v="9"/>
    <x v="20"/>
    <x v="9"/>
    <x v="1"/>
    <n v="0"/>
  </r>
  <r>
    <d v="2025-01-10T00:00:00"/>
    <x v="1"/>
    <x v="0"/>
    <x v="1"/>
    <x v="9"/>
    <x v="21"/>
    <x v="9"/>
    <x v="1"/>
    <n v="20000000"/>
  </r>
  <r>
    <d v="2025-01-10T00:00:00"/>
    <x v="1"/>
    <x v="0"/>
    <x v="1"/>
    <x v="9"/>
    <x v="17"/>
    <x v="9"/>
    <x v="1"/>
    <n v="0"/>
  </r>
  <r>
    <d v="2025-01-10T00:00:00"/>
    <x v="1"/>
    <x v="0"/>
    <x v="1"/>
    <x v="9"/>
    <x v="22"/>
    <x v="16"/>
    <x v="1"/>
    <n v="0"/>
  </r>
  <r>
    <d v="2025-01-10T00:00:00"/>
    <x v="1"/>
    <x v="0"/>
    <x v="1"/>
    <x v="9"/>
    <x v="14"/>
    <x v="13"/>
    <x v="1"/>
    <n v="558230000"/>
  </r>
  <r>
    <d v="2025-01-11T00:00:00"/>
    <x v="1"/>
    <x v="0"/>
    <x v="1"/>
    <x v="10"/>
    <x v="17"/>
    <x v="9"/>
    <x v="1"/>
    <n v="0"/>
  </r>
  <r>
    <d v="2025-01-11T00:00:00"/>
    <x v="1"/>
    <x v="0"/>
    <x v="1"/>
    <x v="10"/>
    <x v="21"/>
    <x v="9"/>
    <x v="1"/>
    <n v="0"/>
  </r>
  <r>
    <d v="2025-01-11T00:00:00"/>
    <x v="1"/>
    <x v="0"/>
    <x v="1"/>
    <x v="10"/>
    <x v="20"/>
    <x v="9"/>
    <x v="1"/>
    <n v="18000000"/>
  </r>
  <r>
    <d v="2025-01-11T00:00:00"/>
    <x v="1"/>
    <x v="0"/>
    <x v="1"/>
    <x v="10"/>
    <x v="14"/>
    <x v="13"/>
    <x v="1"/>
    <n v="573520000"/>
  </r>
  <r>
    <d v="2025-01-11T00:00:00"/>
    <x v="1"/>
    <x v="0"/>
    <x v="1"/>
    <x v="10"/>
    <x v="22"/>
    <x v="16"/>
    <x v="1"/>
    <n v="0"/>
  </r>
  <r>
    <d v="2025-01-11T00:00:00"/>
    <x v="1"/>
    <x v="0"/>
    <x v="1"/>
    <x v="10"/>
    <x v="5"/>
    <x v="5"/>
    <x v="3"/>
    <n v="3238217732"/>
  </r>
  <r>
    <d v="2025-01-11T00:00:00"/>
    <x v="1"/>
    <x v="0"/>
    <x v="1"/>
    <x v="10"/>
    <x v="15"/>
    <x v="14"/>
    <x v="4"/>
    <n v="27719112"/>
  </r>
  <r>
    <d v="2025-01-11T00:00:00"/>
    <x v="1"/>
    <x v="0"/>
    <x v="1"/>
    <x v="10"/>
    <x v="19"/>
    <x v="12"/>
    <x v="4"/>
    <n v="187129637"/>
  </r>
  <r>
    <d v="2025-01-11T00:00:00"/>
    <x v="1"/>
    <x v="0"/>
    <x v="1"/>
    <x v="10"/>
    <x v="12"/>
    <x v="11"/>
    <x v="1"/>
    <n v="4964390000"/>
  </r>
  <r>
    <d v="2025-01-11T00:00:00"/>
    <x v="1"/>
    <x v="0"/>
    <x v="1"/>
    <x v="10"/>
    <x v="6"/>
    <x v="6"/>
    <x v="0"/>
    <n v="29000000"/>
  </r>
  <r>
    <d v="2025-01-11T00:00:00"/>
    <x v="1"/>
    <x v="0"/>
    <x v="1"/>
    <x v="10"/>
    <x v="1"/>
    <x v="1"/>
    <x v="1"/>
    <n v="31500000"/>
  </r>
  <r>
    <d v="2025-01-11T00:00:00"/>
    <x v="1"/>
    <x v="0"/>
    <x v="1"/>
    <x v="10"/>
    <x v="8"/>
    <x v="8"/>
    <x v="1"/>
    <n v="0"/>
  </r>
  <r>
    <d v="2025-01-11T00:00:00"/>
    <x v="1"/>
    <x v="0"/>
    <x v="1"/>
    <x v="10"/>
    <x v="3"/>
    <x v="3"/>
    <x v="1"/>
    <n v="10500000"/>
  </r>
  <r>
    <d v="2025-01-11T00:00:00"/>
    <x v="1"/>
    <x v="0"/>
    <x v="1"/>
    <x v="10"/>
    <x v="0"/>
    <x v="0"/>
    <x v="0"/>
    <n v="4845500000"/>
  </r>
  <r>
    <d v="2025-01-11T00:00:00"/>
    <x v="1"/>
    <x v="0"/>
    <x v="1"/>
    <x v="10"/>
    <x v="18"/>
    <x v="15"/>
    <x v="1"/>
    <n v="350190000"/>
  </r>
  <r>
    <d v="2025-01-11T00:00:00"/>
    <x v="1"/>
    <x v="0"/>
    <x v="1"/>
    <x v="10"/>
    <x v="7"/>
    <x v="7"/>
    <x v="4"/>
    <n v="401089062"/>
  </r>
  <r>
    <d v="2025-01-11T00:00:00"/>
    <x v="1"/>
    <x v="0"/>
    <x v="1"/>
    <x v="10"/>
    <x v="11"/>
    <x v="10"/>
    <x v="4"/>
    <n v="187526277"/>
  </r>
  <r>
    <d v="2025-01-11T00:00:00"/>
    <x v="1"/>
    <x v="0"/>
    <x v="1"/>
    <x v="10"/>
    <x v="2"/>
    <x v="2"/>
    <x v="1"/>
    <n v="5937410000"/>
  </r>
  <r>
    <d v="2025-01-12T00:00:00"/>
    <x v="1"/>
    <x v="0"/>
    <x v="1"/>
    <x v="11"/>
    <x v="8"/>
    <x v="8"/>
    <x v="1"/>
    <n v="0"/>
  </r>
  <r>
    <d v="2025-01-12T00:00:00"/>
    <x v="1"/>
    <x v="0"/>
    <x v="1"/>
    <x v="11"/>
    <x v="18"/>
    <x v="15"/>
    <x v="1"/>
    <n v="276490000"/>
  </r>
  <r>
    <d v="2025-01-12T00:00:00"/>
    <x v="1"/>
    <x v="0"/>
    <x v="1"/>
    <x v="11"/>
    <x v="1"/>
    <x v="1"/>
    <x v="1"/>
    <n v="12600000"/>
  </r>
  <r>
    <d v="2025-01-12T00:00:00"/>
    <x v="1"/>
    <x v="0"/>
    <x v="1"/>
    <x v="11"/>
    <x v="21"/>
    <x v="9"/>
    <x v="1"/>
    <n v="0"/>
  </r>
  <r>
    <d v="2025-01-12T00:00:00"/>
    <x v="1"/>
    <x v="0"/>
    <x v="1"/>
    <x v="11"/>
    <x v="22"/>
    <x v="16"/>
    <x v="1"/>
    <n v="0"/>
  </r>
  <r>
    <d v="2025-01-12T00:00:00"/>
    <x v="1"/>
    <x v="0"/>
    <x v="1"/>
    <x v="11"/>
    <x v="6"/>
    <x v="6"/>
    <x v="0"/>
    <n v="15000000"/>
  </r>
  <r>
    <d v="2025-01-12T00:00:00"/>
    <x v="1"/>
    <x v="0"/>
    <x v="1"/>
    <x v="11"/>
    <x v="0"/>
    <x v="0"/>
    <x v="0"/>
    <n v="4442500000"/>
  </r>
  <r>
    <d v="2025-01-12T00:00:00"/>
    <x v="1"/>
    <x v="0"/>
    <x v="1"/>
    <x v="11"/>
    <x v="7"/>
    <x v="7"/>
    <x v="4"/>
    <n v="380612361"/>
  </r>
  <r>
    <d v="2025-01-12T00:00:00"/>
    <x v="1"/>
    <x v="0"/>
    <x v="1"/>
    <x v="11"/>
    <x v="11"/>
    <x v="10"/>
    <x v="4"/>
    <n v="186376592"/>
  </r>
  <r>
    <d v="2025-01-12T00:00:00"/>
    <x v="1"/>
    <x v="0"/>
    <x v="1"/>
    <x v="11"/>
    <x v="20"/>
    <x v="9"/>
    <x v="1"/>
    <n v="0"/>
  </r>
  <r>
    <d v="2025-01-12T00:00:00"/>
    <x v="1"/>
    <x v="0"/>
    <x v="1"/>
    <x v="11"/>
    <x v="17"/>
    <x v="9"/>
    <x v="1"/>
    <n v="0"/>
  </r>
  <r>
    <d v="2025-01-12T00:00:00"/>
    <x v="1"/>
    <x v="0"/>
    <x v="1"/>
    <x v="11"/>
    <x v="12"/>
    <x v="11"/>
    <x v="1"/>
    <n v="4609500000"/>
  </r>
  <r>
    <d v="2025-01-12T00:00:00"/>
    <x v="1"/>
    <x v="0"/>
    <x v="1"/>
    <x v="11"/>
    <x v="2"/>
    <x v="2"/>
    <x v="1"/>
    <n v="5754150000"/>
  </r>
  <r>
    <d v="2025-01-12T00:00:00"/>
    <x v="1"/>
    <x v="0"/>
    <x v="1"/>
    <x v="11"/>
    <x v="19"/>
    <x v="12"/>
    <x v="4"/>
    <n v="163828913"/>
  </r>
  <r>
    <d v="2025-01-12T00:00:00"/>
    <x v="1"/>
    <x v="0"/>
    <x v="1"/>
    <x v="11"/>
    <x v="15"/>
    <x v="14"/>
    <x v="4"/>
    <n v="21466651"/>
  </r>
  <r>
    <d v="2025-01-12T00:00:00"/>
    <x v="1"/>
    <x v="0"/>
    <x v="1"/>
    <x v="11"/>
    <x v="3"/>
    <x v="3"/>
    <x v="1"/>
    <n v="31500000"/>
  </r>
  <r>
    <d v="2025-01-12T00:00:00"/>
    <x v="1"/>
    <x v="0"/>
    <x v="1"/>
    <x v="11"/>
    <x v="5"/>
    <x v="5"/>
    <x v="3"/>
    <n v="3036663200"/>
  </r>
  <r>
    <d v="2025-01-12T00:00:00"/>
    <x v="1"/>
    <x v="0"/>
    <x v="1"/>
    <x v="11"/>
    <x v="14"/>
    <x v="13"/>
    <x v="1"/>
    <n v="497260000"/>
  </r>
  <r>
    <d v="2025-01-13T00:00:00"/>
    <x v="1"/>
    <x v="0"/>
    <x v="2"/>
    <x v="12"/>
    <x v="17"/>
    <x v="9"/>
    <x v="1"/>
    <n v="0"/>
  </r>
  <r>
    <d v="2025-01-13T00:00:00"/>
    <x v="1"/>
    <x v="0"/>
    <x v="2"/>
    <x v="12"/>
    <x v="20"/>
    <x v="9"/>
    <x v="1"/>
    <n v="0"/>
  </r>
  <r>
    <d v="2025-01-13T00:00:00"/>
    <x v="1"/>
    <x v="0"/>
    <x v="2"/>
    <x v="12"/>
    <x v="21"/>
    <x v="9"/>
    <x v="1"/>
    <n v="0"/>
  </r>
  <r>
    <d v="2025-01-13T00:00:00"/>
    <x v="1"/>
    <x v="0"/>
    <x v="2"/>
    <x v="12"/>
    <x v="15"/>
    <x v="14"/>
    <x v="4"/>
    <n v="20478055"/>
  </r>
  <r>
    <d v="2025-01-13T00:00:00"/>
    <x v="1"/>
    <x v="0"/>
    <x v="2"/>
    <x v="12"/>
    <x v="0"/>
    <x v="0"/>
    <x v="0"/>
    <n v="4786000000"/>
  </r>
  <r>
    <d v="2025-01-13T00:00:00"/>
    <x v="1"/>
    <x v="0"/>
    <x v="2"/>
    <x v="12"/>
    <x v="11"/>
    <x v="10"/>
    <x v="4"/>
    <n v="188268380"/>
  </r>
  <r>
    <d v="2025-01-13T00:00:00"/>
    <x v="1"/>
    <x v="0"/>
    <x v="2"/>
    <x v="12"/>
    <x v="3"/>
    <x v="3"/>
    <x v="1"/>
    <n v="18000000"/>
  </r>
  <r>
    <d v="2025-01-13T00:00:00"/>
    <x v="1"/>
    <x v="0"/>
    <x v="2"/>
    <x v="12"/>
    <x v="18"/>
    <x v="15"/>
    <x v="1"/>
    <n v="437170000"/>
  </r>
  <r>
    <d v="2025-01-13T00:00:00"/>
    <x v="1"/>
    <x v="0"/>
    <x v="2"/>
    <x v="12"/>
    <x v="7"/>
    <x v="7"/>
    <x v="4"/>
    <n v="388838280"/>
  </r>
  <r>
    <d v="2025-01-13T00:00:00"/>
    <x v="1"/>
    <x v="0"/>
    <x v="2"/>
    <x v="12"/>
    <x v="19"/>
    <x v="12"/>
    <x v="4"/>
    <n v="205461630"/>
  </r>
  <r>
    <d v="2025-01-13T00:00:00"/>
    <x v="1"/>
    <x v="0"/>
    <x v="2"/>
    <x v="12"/>
    <x v="6"/>
    <x v="6"/>
    <x v="0"/>
    <n v="35000000"/>
  </r>
  <r>
    <d v="2025-01-13T00:00:00"/>
    <x v="1"/>
    <x v="0"/>
    <x v="2"/>
    <x v="12"/>
    <x v="1"/>
    <x v="1"/>
    <x v="1"/>
    <n v="38850000"/>
  </r>
  <r>
    <d v="2025-01-13T00:00:00"/>
    <x v="1"/>
    <x v="0"/>
    <x v="2"/>
    <x v="12"/>
    <x v="22"/>
    <x v="16"/>
    <x v="1"/>
    <n v="0"/>
  </r>
  <r>
    <d v="2025-01-13T00:00:00"/>
    <x v="1"/>
    <x v="0"/>
    <x v="2"/>
    <x v="12"/>
    <x v="12"/>
    <x v="11"/>
    <x v="1"/>
    <n v="5527620000"/>
  </r>
  <r>
    <d v="2025-01-13T00:00:00"/>
    <x v="1"/>
    <x v="0"/>
    <x v="2"/>
    <x v="12"/>
    <x v="8"/>
    <x v="8"/>
    <x v="1"/>
    <n v="0"/>
  </r>
  <r>
    <d v="2025-01-13T00:00:00"/>
    <x v="1"/>
    <x v="0"/>
    <x v="2"/>
    <x v="12"/>
    <x v="14"/>
    <x v="13"/>
    <x v="1"/>
    <n v="669760000"/>
  </r>
  <r>
    <d v="2025-01-13T00:00:00"/>
    <x v="1"/>
    <x v="0"/>
    <x v="2"/>
    <x v="12"/>
    <x v="5"/>
    <x v="5"/>
    <x v="3"/>
    <n v="3824287620"/>
  </r>
  <r>
    <d v="2025-01-13T00:00:00"/>
    <x v="1"/>
    <x v="0"/>
    <x v="2"/>
    <x v="12"/>
    <x v="2"/>
    <x v="2"/>
    <x v="1"/>
    <n v="7880630000"/>
  </r>
  <r>
    <d v="2025-01-14T00:00:00"/>
    <x v="1"/>
    <x v="0"/>
    <x v="2"/>
    <x v="13"/>
    <x v="21"/>
    <x v="9"/>
    <x v="1"/>
    <n v="21400000"/>
  </r>
  <r>
    <d v="2025-01-14T00:00:00"/>
    <x v="1"/>
    <x v="0"/>
    <x v="2"/>
    <x v="13"/>
    <x v="17"/>
    <x v="9"/>
    <x v="1"/>
    <n v="0"/>
  </r>
  <r>
    <d v="2025-01-14T00:00:00"/>
    <x v="1"/>
    <x v="0"/>
    <x v="2"/>
    <x v="13"/>
    <x v="1"/>
    <x v="1"/>
    <x v="1"/>
    <n v="15750000"/>
  </r>
  <r>
    <d v="2025-01-14T00:00:00"/>
    <x v="1"/>
    <x v="0"/>
    <x v="2"/>
    <x v="13"/>
    <x v="11"/>
    <x v="10"/>
    <x v="4"/>
    <n v="184095308"/>
  </r>
  <r>
    <d v="2025-01-14T00:00:00"/>
    <x v="1"/>
    <x v="0"/>
    <x v="2"/>
    <x v="13"/>
    <x v="6"/>
    <x v="6"/>
    <x v="0"/>
    <n v="30000000"/>
  </r>
  <r>
    <d v="2025-01-14T00:00:00"/>
    <x v="1"/>
    <x v="0"/>
    <x v="2"/>
    <x v="13"/>
    <x v="22"/>
    <x v="16"/>
    <x v="1"/>
    <n v="0"/>
  </r>
  <r>
    <d v="2025-01-14T00:00:00"/>
    <x v="1"/>
    <x v="0"/>
    <x v="2"/>
    <x v="13"/>
    <x v="12"/>
    <x v="11"/>
    <x v="1"/>
    <n v="5850140000"/>
  </r>
  <r>
    <d v="2025-01-14T00:00:00"/>
    <x v="1"/>
    <x v="0"/>
    <x v="2"/>
    <x v="13"/>
    <x v="3"/>
    <x v="3"/>
    <x v="1"/>
    <n v="0"/>
  </r>
  <r>
    <d v="2025-01-14T00:00:00"/>
    <x v="1"/>
    <x v="0"/>
    <x v="2"/>
    <x v="13"/>
    <x v="2"/>
    <x v="2"/>
    <x v="1"/>
    <n v="7482390000"/>
  </r>
  <r>
    <d v="2025-01-14T00:00:00"/>
    <x v="1"/>
    <x v="0"/>
    <x v="2"/>
    <x v="13"/>
    <x v="15"/>
    <x v="14"/>
    <x v="4"/>
    <n v="23908905"/>
  </r>
  <r>
    <d v="2025-01-14T00:00:00"/>
    <x v="1"/>
    <x v="0"/>
    <x v="2"/>
    <x v="13"/>
    <x v="8"/>
    <x v="8"/>
    <x v="1"/>
    <n v="0"/>
  </r>
  <r>
    <d v="2025-01-14T00:00:00"/>
    <x v="1"/>
    <x v="0"/>
    <x v="2"/>
    <x v="13"/>
    <x v="7"/>
    <x v="7"/>
    <x v="4"/>
    <n v="343387908"/>
  </r>
  <r>
    <d v="2025-01-14T00:00:00"/>
    <x v="1"/>
    <x v="0"/>
    <x v="2"/>
    <x v="13"/>
    <x v="19"/>
    <x v="12"/>
    <x v="4"/>
    <n v="156092150"/>
  </r>
  <r>
    <d v="2025-01-14T00:00:00"/>
    <x v="1"/>
    <x v="0"/>
    <x v="2"/>
    <x v="13"/>
    <x v="0"/>
    <x v="0"/>
    <x v="0"/>
    <n v="4732500000"/>
  </r>
  <r>
    <d v="2025-01-14T00:00:00"/>
    <x v="1"/>
    <x v="0"/>
    <x v="2"/>
    <x v="13"/>
    <x v="14"/>
    <x v="13"/>
    <x v="1"/>
    <n v="651670000"/>
  </r>
  <r>
    <d v="2025-01-14T00:00:00"/>
    <x v="1"/>
    <x v="0"/>
    <x v="2"/>
    <x v="13"/>
    <x v="5"/>
    <x v="5"/>
    <x v="3"/>
    <n v="3342824325"/>
  </r>
  <r>
    <d v="2025-01-14T00:00:00"/>
    <x v="1"/>
    <x v="0"/>
    <x v="2"/>
    <x v="13"/>
    <x v="18"/>
    <x v="15"/>
    <x v="1"/>
    <n v="485090000"/>
  </r>
  <r>
    <d v="2025-01-14T00:00:00"/>
    <x v="1"/>
    <x v="0"/>
    <x v="2"/>
    <x v="13"/>
    <x v="20"/>
    <x v="9"/>
    <x v="1"/>
    <n v="0"/>
  </r>
  <r>
    <d v="2025-01-15T00:00:00"/>
    <x v="1"/>
    <x v="0"/>
    <x v="2"/>
    <x v="14"/>
    <x v="7"/>
    <x v="7"/>
    <x v="4"/>
    <n v="360203228"/>
  </r>
  <r>
    <d v="2025-01-15T00:00:00"/>
    <x v="1"/>
    <x v="0"/>
    <x v="2"/>
    <x v="14"/>
    <x v="0"/>
    <x v="0"/>
    <x v="0"/>
    <n v="5162000000"/>
  </r>
  <r>
    <d v="2025-01-15T00:00:00"/>
    <x v="1"/>
    <x v="0"/>
    <x v="2"/>
    <x v="14"/>
    <x v="3"/>
    <x v="3"/>
    <x v="1"/>
    <n v="0"/>
  </r>
  <r>
    <d v="2025-01-15T00:00:00"/>
    <x v="1"/>
    <x v="0"/>
    <x v="2"/>
    <x v="14"/>
    <x v="21"/>
    <x v="9"/>
    <x v="1"/>
    <n v="0"/>
  </r>
  <r>
    <d v="2025-01-15T00:00:00"/>
    <x v="1"/>
    <x v="0"/>
    <x v="2"/>
    <x v="14"/>
    <x v="18"/>
    <x v="15"/>
    <x v="1"/>
    <n v="365290000"/>
  </r>
  <r>
    <d v="2025-01-15T00:00:00"/>
    <x v="1"/>
    <x v="0"/>
    <x v="2"/>
    <x v="14"/>
    <x v="17"/>
    <x v="9"/>
    <x v="1"/>
    <n v="0"/>
  </r>
  <r>
    <d v="2025-01-15T00:00:00"/>
    <x v="1"/>
    <x v="0"/>
    <x v="2"/>
    <x v="14"/>
    <x v="15"/>
    <x v="14"/>
    <x v="4"/>
    <n v="19859614"/>
  </r>
  <r>
    <d v="2025-01-15T00:00:00"/>
    <x v="1"/>
    <x v="0"/>
    <x v="2"/>
    <x v="14"/>
    <x v="5"/>
    <x v="5"/>
    <x v="3"/>
    <n v="4208577888"/>
  </r>
  <r>
    <d v="2025-01-15T00:00:00"/>
    <x v="1"/>
    <x v="0"/>
    <x v="2"/>
    <x v="14"/>
    <x v="6"/>
    <x v="6"/>
    <x v="0"/>
    <n v="18000000"/>
  </r>
  <r>
    <d v="2025-01-15T00:00:00"/>
    <x v="1"/>
    <x v="0"/>
    <x v="2"/>
    <x v="14"/>
    <x v="1"/>
    <x v="1"/>
    <x v="1"/>
    <n v="31500000"/>
  </r>
  <r>
    <d v="2025-01-15T00:00:00"/>
    <x v="1"/>
    <x v="0"/>
    <x v="2"/>
    <x v="14"/>
    <x v="22"/>
    <x v="16"/>
    <x v="1"/>
    <n v="0"/>
  </r>
  <r>
    <d v="2025-01-15T00:00:00"/>
    <x v="1"/>
    <x v="0"/>
    <x v="2"/>
    <x v="14"/>
    <x v="8"/>
    <x v="8"/>
    <x v="1"/>
    <n v="0"/>
  </r>
  <r>
    <d v="2025-01-15T00:00:00"/>
    <x v="1"/>
    <x v="0"/>
    <x v="2"/>
    <x v="14"/>
    <x v="11"/>
    <x v="10"/>
    <x v="4"/>
    <n v="182440717"/>
  </r>
  <r>
    <d v="2025-01-15T00:00:00"/>
    <x v="1"/>
    <x v="0"/>
    <x v="2"/>
    <x v="14"/>
    <x v="19"/>
    <x v="12"/>
    <x v="4"/>
    <n v="154265288"/>
  </r>
  <r>
    <d v="2025-01-15T00:00:00"/>
    <x v="1"/>
    <x v="0"/>
    <x v="2"/>
    <x v="14"/>
    <x v="20"/>
    <x v="9"/>
    <x v="1"/>
    <n v="21400000"/>
  </r>
  <r>
    <d v="2025-01-15T00:00:00"/>
    <x v="1"/>
    <x v="0"/>
    <x v="2"/>
    <x v="14"/>
    <x v="12"/>
    <x v="11"/>
    <x v="1"/>
    <n v="5574590000"/>
  </r>
  <r>
    <d v="2025-01-15T00:00:00"/>
    <x v="1"/>
    <x v="0"/>
    <x v="2"/>
    <x v="14"/>
    <x v="2"/>
    <x v="2"/>
    <x v="1"/>
    <n v="8565820000"/>
  </r>
  <r>
    <d v="2025-01-15T00:00:00"/>
    <x v="1"/>
    <x v="0"/>
    <x v="2"/>
    <x v="14"/>
    <x v="14"/>
    <x v="13"/>
    <x v="1"/>
    <n v="730000000"/>
  </r>
  <r>
    <d v="2025-01-16T00:00:00"/>
    <x v="1"/>
    <x v="0"/>
    <x v="2"/>
    <x v="15"/>
    <x v="21"/>
    <x v="9"/>
    <x v="1"/>
    <n v="0"/>
  </r>
  <r>
    <d v="2025-01-16T00:00:00"/>
    <x v="1"/>
    <x v="0"/>
    <x v="2"/>
    <x v="15"/>
    <x v="17"/>
    <x v="9"/>
    <x v="1"/>
    <n v="0"/>
  </r>
  <r>
    <d v="2025-01-16T00:00:00"/>
    <x v="1"/>
    <x v="0"/>
    <x v="2"/>
    <x v="15"/>
    <x v="20"/>
    <x v="9"/>
    <x v="1"/>
    <n v="0"/>
  </r>
  <r>
    <d v="2025-01-16T00:00:00"/>
    <x v="1"/>
    <x v="0"/>
    <x v="2"/>
    <x v="15"/>
    <x v="7"/>
    <x v="7"/>
    <x v="4"/>
    <n v="337565419"/>
  </r>
  <r>
    <d v="2025-01-16T00:00:00"/>
    <x v="1"/>
    <x v="0"/>
    <x v="2"/>
    <x v="15"/>
    <x v="22"/>
    <x v="16"/>
    <x v="1"/>
    <n v="0"/>
  </r>
  <r>
    <d v="2025-01-16T00:00:00"/>
    <x v="1"/>
    <x v="0"/>
    <x v="2"/>
    <x v="15"/>
    <x v="18"/>
    <x v="15"/>
    <x v="1"/>
    <n v="372080000"/>
  </r>
  <r>
    <d v="2025-01-16T00:00:00"/>
    <x v="1"/>
    <x v="0"/>
    <x v="2"/>
    <x v="15"/>
    <x v="3"/>
    <x v="3"/>
    <x v="1"/>
    <n v="0"/>
  </r>
  <r>
    <d v="2025-01-16T00:00:00"/>
    <x v="1"/>
    <x v="0"/>
    <x v="2"/>
    <x v="15"/>
    <x v="15"/>
    <x v="14"/>
    <x v="4"/>
    <n v="21938277"/>
  </r>
  <r>
    <d v="2025-01-16T00:00:00"/>
    <x v="1"/>
    <x v="0"/>
    <x v="2"/>
    <x v="15"/>
    <x v="5"/>
    <x v="5"/>
    <x v="3"/>
    <n v="3525905773"/>
  </r>
  <r>
    <d v="2025-01-16T00:00:00"/>
    <x v="1"/>
    <x v="0"/>
    <x v="2"/>
    <x v="15"/>
    <x v="14"/>
    <x v="13"/>
    <x v="1"/>
    <n v="829480000"/>
  </r>
  <r>
    <d v="2025-01-16T00:00:00"/>
    <x v="1"/>
    <x v="0"/>
    <x v="2"/>
    <x v="15"/>
    <x v="0"/>
    <x v="0"/>
    <x v="0"/>
    <n v="4958000000"/>
  </r>
  <r>
    <d v="2025-01-16T00:00:00"/>
    <x v="1"/>
    <x v="0"/>
    <x v="2"/>
    <x v="15"/>
    <x v="6"/>
    <x v="6"/>
    <x v="0"/>
    <n v="19000000"/>
  </r>
  <r>
    <d v="2025-01-16T00:00:00"/>
    <x v="1"/>
    <x v="0"/>
    <x v="2"/>
    <x v="15"/>
    <x v="1"/>
    <x v="1"/>
    <x v="1"/>
    <n v="39900000"/>
  </r>
  <r>
    <d v="2025-01-16T00:00:00"/>
    <x v="1"/>
    <x v="0"/>
    <x v="2"/>
    <x v="15"/>
    <x v="12"/>
    <x v="11"/>
    <x v="1"/>
    <n v="5578470000"/>
  </r>
  <r>
    <d v="2025-01-16T00:00:00"/>
    <x v="1"/>
    <x v="0"/>
    <x v="2"/>
    <x v="15"/>
    <x v="8"/>
    <x v="8"/>
    <x v="1"/>
    <n v="0"/>
  </r>
  <r>
    <d v="2025-01-16T00:00:00"/>
    <x v="1"/>
    <x v="0"/>
    <x v="2"/>
    <x v="15"/>
    <x v="2"/>
    <x v="2"/>
    <x v="1"/>
    <n v="7629590000"/>
  </r>
  <r>
    <d v="2025-01-16T00:00:00"/>
    <x v="1"/>
    <x v="0"/>
    <x v="2"/>
    <x v="15"/>
    <x v="11"/>
    <x v="10"/>
    <x v="4"/>
    <n v="172307055"/>
  </r>
  <r>
    <d v="2025-01-16T00:00:00"/>
    <x v="1"/>
    <x v="0"/>
    <x v="2"/>
    <x v="15"/>
    <x v="19"/>
    <x v="12"/>
    <x v="4"/>
    <n v="171186207"/>
  </r>
  <r>
    <d v="2025-01-17T00:00:00"/>
    <x v="1"/>
    <x v="0"/>
    <x v="2"/>
    <x v="16"/>
    <x v="7"/>
    <x v="7"/>
    <x v="4"/>
    <n v="289550643"/>
  </r>
  <r>
    <d v="2025-01-17T00:00:00"/>
    <x v="1"/>
    <x v="0"/>
    <x v="2"/>
    <x v="16"/>
    <x v="1"/>
    <x v="1"/>
    <x v="1"/>
    <n v="31500000"/>
  </r>
  <r>
    <d v="2025-01-17T00:00:00"/>
    <x v="1"/>
    <x v="0"/>
    <x v="2"/>
    <x v="16"/>
    <x v="8"/>
    <x v="8"/>
    <x v="1"/>
    <n v="0"/>
  </r>
  <r>
    <d v="2025-01-17T00:00:00"/>
    <x v="1"/>
    <x v="0"/>
    <x v="2"/>
    <x v="16"/>
    <x v="2"/>
    <x v="2"/>
    <x v="1"/>
    <n v="6863600000"/>
  </r>
  <r>
    <d v="2025-01-17T00:00:00"/>
    <x v="1"/>
    <x v="0"/>
    <x v="2"/>
    <x v="16"/>
    <x v="12"/>
    <x v="11"/>
    <x v="1"/>
    <n v="5131250000"/>
  </r>
  <r>
    <d v="2025-01-17T00:00:00"/>
    <x v="1"/>
    <x v="0"/>
    <x v="2"/>
    <x v="16"/>
    <x v="5"/>
    <x v="5"/>
    <x v="3"/>
    <n v="3260690653"/>
  </r>
  <r>
    <d v="2025-01-17T00:00:00"/>
    <x v="1"/>
    <x v="0"/>
    <x v="2"/>
    <x v="16"/>
    <x v="11"/>
    <x v="10"/>
    <x v="4"/>
    <n v="203452420"/>
  </r>
  <r>
    <d v="2025-01-17T00:00:00"/>
    <x v="1"/>
    <x v="0"/>
    <x v="2"/>
    <x v="16"/>
    <x v="6"/>
    <x v="6"/>
    <x v="0"/>
    <n v="27000000"/>
  </r>
  <r>
    <d v="2025-01-17T00:00:00"/>
    <x v="1"/>
    <x v="0"/>
    <x v="2"/>
    <x v="16"/>
    <x v="17"/>
    <x v="9"/>
    <x v="1"/>
    <n v="0"/>
  </r>
  <r>
    <d v="2025-01-17T00:00:00"/>
    <x v="1"/>
    <x v="0"/>
    <x v="2"/>
    <x v="16"/>
    <x v="20"/>
    <x v="9"/>
    <x v="1"/>
    <n v="21400000"/>
  </r>
  <r>
    <d v="2025-01-17T00:00:00"/>
    <x v="1"/>
    <x v="0"/>
    <x v="2"/>
    <x v="16"/>
    <x v="21"/>
    <x v="9"/>
    <x v="1"/>
    <n v="0"/>
  </r>
  <r>
    <d v="2025-01-17T00:00:00"/>
    <x v="1"/>
    <x v="0"/>
    <x v="2"/>
    <x v="16"/>
    <x v="22"/>
    <x v="16"/>
    <x v="1"/>
    <n v="0"/>
  </r>
  <r>
    <d v="2025-01-17T00:00:00"/>
    <x v="1"/>
    <x v="0"/>
    <x v="2"/>
    <x v="16"/>
    <x v="3"/>
    <x v="3"/>
    <x v="1"/>
    <n v="0"/>
  </r>
  <r>
    <d v="2025-01-17T00:00:00"/>
    <x v="1"/>
    <x v="0"/>
    <x v="2"/>
    <x v="16"/>
    <x v="15"/>
    <x v="14"/>
    <x v="4"/>
    <n v="22344180"/>
  </r>
  <r>
    <d v="2025-01-17T00:00:00"/>
    <x v="1"/>
    <x v="0"/>
    <x v="2"/>
    <x v="16"/>
    <x v="19"/>
    <x v="12"/>
    <x v="4"/>
    <n v="207253994"/>
  </r>
  <r>
    <d v="2025-01-17T00:00:00"/>
    <x v="1"/>
    <x v="0"/>
    <x v="2"/>
    <x v="16"/>
    <x v="18"/>
    <x v="15"/>
    <x v="1"/>
    <n v="269160000"/>
  </r>
  <r>
    <d v="2025-01-17T00:00:00"/>
    <x v="1"/>
    <x v="0"/>
    <x v="2"/>
    <x v="16"/>
    <x v="14"/>
    <x v="13"/>
    <x v="1"/>
    <n v="775230000"/>
  </r>
  <r>
    <d v="2025-01-17T00:00:00"/>
    <x v="1"/>
    <x v="0"/>
    <x v="2"/>
    <x v="16"/>
    <x v="0"/>
    <x v="0"/>
    <x v="0"/>
    <n v="4454500000"/>
  </r>
  <r>
    <d v="2025-01-18T00:00:00"/>
    <x v="1"/>
    <x v="0"/>
    <x v="2"/>
    <x v="17"/>
    <x v="0"/>
    <x v="0"/>
    <x v="0"/>
    <n v="4577500000"/>
  </r>
  <r>
    <d v="2025-01-18T00:00:00"/>
    <x v="1"/>
    <x v="0"/>
    <x v="2"/>
    <x v="17"/>
    <x v="18"/>
    <x v="15"/>
    <x v="1"/>
    <n v="545860000"/>
  </r>
  <r>
    <d v="2025-01-18T00:00:00"/>
    <x v="1"/>
    <x v="0"/>
    <x v="2"/>
    <x v="17"/>
    <x v="14"/>
    <x v="13"/>
    <x v="1"/>
    <n v="880190000"/>
  </r>
  <r>
    <d v="2025-01-18T00:00:00"/>
    <x v="1"/>
    <x v="0"/>
    <x v="2"/>
    <x v="17"/>
    <x v="20"/>
    <x v="9"/>
    <x v="1"/>
    <n v="0"/>
  </r>
  <r>
    <d v="2025-01-18T00:00:00"/>
    <x v="1"/>
    <x v="0"/>
    <x v="2"/>
    <x v="17"/>
    <x v="7"/>
    <x v="7"/>
    <x v="4"/>
    <n v="233231171"/>
  </r>
  <r>
    <d v="2025-01-18T00:00:00"/>
    <x v="1"/>
    <x v="0"/>
    <x v="2"/>
    <x v="17"/>
    <x v="1"/>
    <x v="1"/>
    <x v="1"/>
    <n v="136500000"/>
  </r>
  <r>
    <d v="2025-01-18T00:00:00"/>
    <x v="1"/>
    <x v="0"/>
    <x v="2"/>
    <x v="17"/>
    <x v="19"/>
    <x v="12"/>
    <x v="4"/>
    <n v="289109460"/>
  </r>
  <r>
    <d v="2025-01-18T00:00:00"/>
    <x v="1"/>
    <x v="0"/>
    <x v="2"/>
    <x v="17"/>
    <x v="11"/>
    <x v="10"/>
    <x v="4"/>
    <n v="167886483"/>
  </r>
  <r>
    <d v="2025-01-18T00:00:00"/>
    <x v="1"/>
    <x v="0"/>
    <x v="2"/>
    <x v="17"/>
    <x v="8"/>
    <x v="8"/>
    <x v="1"/>
    <n v="0"/>
  </r>
  <r>
    <d v="2025-01-18T00:00:00"/>
    <x v="1"/>
    <x v="0"/>
    <x v="2"/>
    <x v="17"/>
    <x v="17"/>
    <x v="9"/>
    <x v="1"/>
    <n v="0"/>
  </r>
  <r>
    <d v="2025-01-18T00:00:00"/>
    <x v="1"/>
    <x v="0"/>
    <x v="2"/>
    <x v="17"/>
    <x v="22"/>
    <x v="16"/>
    <x v="1"/>
    <n v="0"/>
  </r>
  <r>
    <d v="2025-01-18T00:00:00"/>
    <x v="1"/>
    <x v="0"/>
    <x v="2"/>
    <x v="17"/>
    <x v="3"/>
    <x v="3"/>
    <x v="1"/>
    <n v="0"/>
  </r>
  <r>
    <d v="2025-01-18T00:00:00"/>
    <x v="1"/>
    <x v="0"/>
    <x v="2"/>
    <x v="17"/>
    <x v="21"/>
    <x v="9"/>
    <x v="1"/>
    <n v="0"/>
  </r>
  <r>
    <d v="2025-01-18T00:00:00"/>
    <x v="1"/>
    <x v="0"/>
    <x v="2"/>
    <x v="17"/>
    <x v="2"/>
    <x v="2"/>
    <x v="1"/>
    <n v="6237170000"/>
  </r>
  <r>
    <d v="2025-01-18T00:00:00"/>
    <x v="1"/>
    <x v="0"/>
    <x v="2"/>
    <x v="17"/>
    <x v="5"/>
    <x v="5"/>
    <x v="3"/>
    <n v="2985004209"/>
  </r>
  <r>
    <d v="2025-01-18T00:00:00"/>
    <x v="1"/>
    <x v="0"/>
    <x v="2"/>
    <x v="17"/>
    <x v="15"/>
    <x v="14"/>
    <x v="4"/>
    <n v="10288610"/>
  </r>
  <r>
    <d v="2025-01-18T00:00:00"/>
    <x v="1"/>
    <x v="0"/>
    <x v="2"/>
    <x v="17"/>
    <x v="12"/>
    <x v="11"/>
    <x v="1"/>
    <n v="4564070000"/>
  </r>
  <r>
    <d v="2025-01-18T00:00:00"/>
    <x v="1"/>
    <x v="0"/>
    <x v="2"/>
    <x v="17"/>
    <x v="6"/>
    <x v="6"/>
    <x v="0"/>
    <n v="13000000"/>
  </r>
  <r>
    <d v="2025-01-19T00:00:00"/>
    <x v="1"/>
    <x v="0"/>
    <x v="2"/>
    <x v="18"/>
    <x v="18"/>
    <x v="15"/>
    <x v="1"/>
    <n v="368130000"/>
  </r>
  <r>
    <d v="2025-01-19T00:00:00"/>
    <x v="1"/>
    <x v="0"/>
    <x v="2"/>
    <x v="18"/>
    <x v="0"/>
    <x v="0"/>
    <x v="0"/>
    <n v="4510500000"/>
  </r>
  <r>
    <d v="2025-01-19T00:00:00"/>
    <x v="1"/>
    <x v="0"/>
    <x v="2"/>
    <x v="18"/>
    <x v="2"/>
    <x v="2"/>
    <x v="1"/>
    <n v="6209460000"/>
  </r>
  <r>
    <d v="2025-01-19T00:00:00"/>
    <x v="1"/>
    <x v="0"/>
    <x v="2"/>
    <x v="18"/>
    <x v="19"/>
    <x v="12"/>
    <x v="4"/>
    <n v="254766036"/>
  </r>
  <r>
    <d v="2025-01-19T00:00:00"/>
    <x v="1"/>
    <x v="0"/>
    <x v="2"/>
    <x v="18"/>
    <x v="22"/>
    <x v="16"/>
    <x v="1"/>
    <n v="0"/>
  </r>
  <r>
    <d v="2025-01-19T00:00:00"/>
    <x v="1"/>
    <x v="0"/>
    <x v="2"/>
    <x v="18"/>
    <x v="5"/>
    <x v="5"/>
    <x v="3"/>
    <n v="2924545867"/>
  </r>
  <r>
    <d v="2025-01-19T00:00:00"/>
    <x v="1"/>
    <x v="0"/>
    <x v="2"/>
    <x v="18"/>
    <x v="14"/>
    <x v="13"/>
    <x v="1"/>
    <n v="705090000"/>
  </r>
  <r>
    <d v="2025-01-19T00:00:00"/>
    <x v="1"/>
    <x v="0"/>
    <x v="2"/>
    <x v="18"/>
    <x v="7"/>
    <x v="7"/>
    <x v="4"/>
    <n v="261710584"/>
  </r>
  <r>
    <d v="2025-01-19T00:00:00"/>
    <x v="1"/>
    <x v="0"/>
    <x v="2"/>
    <x v="18"/>
    <x v="20"/>
    <x v="9"/>
    <x v="1"/>
    <n v="0"/>
  </r>
  <r>
    <d v="2025-01-19T00:00:00"/>
    <x v="1"/>
    <x v="0"/>
    <x v="2"/>
    <x v="18"/>
    <x v="21"/>
    <x v="9"/>
    <x v="1"/>
    <n v="0"/>
  </r>
  <r>
    <d v="2025-01-19T00:00:00"/>
    <x v="1"/>
    <x v="0"/>
    <x v="2"/>
    <x v="18"/>
    <x v="17"/>
    <x v="9"/>
    <x v="1"/>
    <n v="0"/>
  </r>
  <r>
    <d v="2025-01-19T00:00:00"/>
    <x v="1"/>
    <x v="0"/>
    <x v="2"/>
    <x v="18"/>
    <x v="12"/>
    <x v="11"/>
    <x v="1"/>
    <n v="4738510000"/>
  </r>
  <r>
    <d v="2025-01-19T00:00:00"/>
    <x v="1"/>
    <x v="0"/>
    <x v="2"/>
    <x v="18"/>
    <x v="11"/>
    <x v="10"/>
    <x v="4"/>
    <n v="149472083"/>
  </r>
  <r>
    <d v="2025-01-19T00:00:00"/>
    <x v="1"/>
    <x v="0"/>
    <x v="2"/>
    <x v="18"/>
    <x v="3"/>
    <x v="3"/>
    <x v="1"/>
    <n v="0"/>
  </r>
  <r>
    <d v="2025-01-19T00:00:00"/>
    <x v="1"/>
    <x v="0"/>
    <x v="2"/>
    <x v="18"/>
    <x v="15"/>
    <x v="14"/>
    <x v="4"/>
    <n v="9451659"/>
  </r>
  <r>
    <d v="2025-01-19T00:00:00"/>
    <x v="1"/>
    <x v="0"/>
    <x v="2"/>
    <x v="18"/>
    <x v="6"/>
    <x v="6"/>
    <x v="0"/>
    <n v="9000000"/>
  </r>
  <r>
    <d v="2025-01-19T00:00:00"/>
    <x v="1"/>
    <x v="0"/>
    <x v="2"/>
    <x v="18"/>
    <x v="1"/>
    <x v="1"/>
    <x v="1"/>
    <n v="20500000"/>
  </r>
  <r>
    <d v="2025-01-19T00:00:00"/>
    <x v="1"/>
    <x v="0"/>
    <x v="2"/>
    <x v="18"/>
    <x v="8"/>
    <x v="8"/>
    <x v="1"/>
    <n v="0"/>
  </r>
  <r>
    <d v="2025-01-20T00:00:00"/>
    <x v="1"/>
    <x v="0"/>
    <x v="3"/>
    <x v="19"/>
    <x v="21"/>
    <x v="9"/>
    <x v="1"/>
    <n v="0"/>
  </r>
  <r>
    <d v="2025-01-20T00:00:00"/>
    <x v="1"/>
    <x v="0"/>
    <x v="3"/>
    <x v="19"/>
    <x v="5"/>
    <x v="5"/>
    <x v="3"/>
    <n v="4040419975"/>
  </r>
  <r>
    <d v="2025-01-20T00:00:00"/>
    <x v="1"/>
    <x v="0"/>
    <x v="3"/>
    <x v="19"/>
    <x v="12"/>
    <x v="11"/>
    <x v="1"/>
    <n v="6060300000"/>
  </r>
  <r>
    <d v="2025-01-20T00:00:00"/>
    <x v="1"/>
    <x v="0"/>
    <x v="3"/>
    <x v="19"/>
    <x v="19"/>
    <x v="12"/>
    <x v="4"/>
    <n v="267049329"/>
  </r>
  <r>
    <d v="2025-01-20T00:00:00"/>
    <x v="1"/>
    <x v="0"/>
    <x v="3"/>
    <x v="19"/>
    <x v="0"/>
    <x v="0"/>
    <x v="0"/>
    <n v="4634500000"/>
  </r>
  <r>
    <d v="2025-01-20T00:00:00"/>
    <x v="1"/>
    <x v="0"/>
    <x v="3"/>
    <x v="19"/>
    <x v="17"/>
    <x v="9"/>
    <x v="1"/>
    <n v="0"/>
  </r>
  <r>
    <d v="2025-01-20T00:00:00"/>
    <x v="1"/>
    <x v="0"/>
    <x v="3"/>
    <x v="19"/>
    <x v="2"/>
    <x v="2"/>
    <x v="1"/>
    <n v="8024580000"/>
  </r>
  <r>
    <d v="2025-01-20T00:00:00"/>
    <x v="1"/>
    <x v="0"/>
    <x v="3"/>
    <x v="19"/>
    <x v="14"/>
    <x v="13"/>
    <x v="1"/>
    <n v="817520000"/>
  </r>
  <r>
    <d v="2025-01-20T00:00:00"/>
    <x v="1"/>
    <x v="0"/>
    <x v="3"/>
    <x v="19"/>
    <x v="22"/>
    <x v="16"/>
    <x v="1"/>
    <n v="0"/>
  </r>
  <r>
    <d v="2025-01-20T00:00:00"/>
    <x v="1"/>
    <x v="0"/>
    <x v="3"/>
    <x v="19"/>
    <x v="18"/>
    <x v="15"/>
    <x v="1"/>
    <n v="407980000"/>
  </r>
  <r>
    <d v="2025-01-20T00:00:00"/>
    <x v="1"/>
    <x v="0"/>
    <x v="3"/>
    <x v="19"/>
    <x v="7"/>
    <x v="7"/>
    <x v="4"/>
    <n v="273954321"/>
  </r>
  <r>
    <d v="2025-01-20T00:00:00"/>
    <x v="1"/>
    <x v="0"/>
    <x v="3"/>
    <x v="19"/>
    <x v="3"/>
    <x v="3"/>
    <x v="1"/>
    <n v="0"/>
  </r>
  <r>
    <d v="2025-01-20T00:00:00"/>
    <x v="1"/>
    <x v="0"/>
    <x v="3"/>
    <x v="19"/>
    <x v="11"/>
    <x v="10"/>
    <x v="4"/>
    <n v="149148638"/>
  </r>
  <r>
    <d v="2025-01-20T00:00:00"/>
    <x v="1"/>
    <x v="0"/>
    <x v="3"/>
    <x v="19"/>
    <x v="15"/>
    <x v="14"/>
    <x v="4"/>
    <n v="21388608"/>
  </r>
  <r>
    <d v="2025-01-20T00:00:00"/>
    <x v="1"/>
    <x v="0"/>
    <x v="3"/>
    <x v="19"/>
    <x v="1"/>
    <x v="1"/>
    <x v="1"/>
    <n v="19000000"/>
  </r>
  <r>
    <d v="2025-01-20T00:00:00"/>
    <x v="1"/>
    <x v="0"/>
    <x v="3"/>
    <x v="19"/>
    <x v="6"/>
    <x v="6"/>
    <x v="0"/>
    <n v="45000000"/>
  </r>
  <r>
    <d v="2025-01-20T00:00:00"/>
    <x v="1"/>
    <x v="0"/>
    <x v="3"/>
    <x v="19"/>
    <x v="20"/>
    <x v="9"/>
    <x v="1"/>
    <n v="0"/>
  </r>
  <r>
    <d v="2025-01-20T00:00:00"/>
    <x v="1"/>
    <x v="0"/>
    <x v="3"/>
    <x v="19"/>
    <x v="8"/>
    <x v="8"/>
    <x v="1"/>
    <n v="0"/>
  </r>
  <r>
    <d v="2025-01-21T00:00:00"/>
    <x v="1"/>
    <x v="0"/>
    <x v="3"/>
    <x v="20"/>
    <x v="7"/>
    <x v="7"/>
    <x v="4"/>
    <n v="318307790"/>
  </r>
  <r>
    <d v="2025-01-21T00:00:00"/>
    <x v="1"/>
    <x v="0"/>
    <x v="3"/>
    <x v="20"/>
    <x v="22"/>
    <x v="16"/>
    <x v="1"/>
    <n v="0"/>
  </r>
  <r>
    <d v="2025-01-21T00:00:00"/>
    <x v="1"/>
    <x v="0"/>
    <x v="3"/>
    <x v="20"/>
    <x v="12"/>
    <x v="11"/>
    <x v="1"/>
    <n v="6672180000"/>
  </r>
  <r>
    <d v="2025-01-21T00:00:00"/>
    <x v="1"/>
    <x v="0"/>
    <x v="3"/>
    <x v="20"/>
    <x v="3"/>
    <x v="3"/>
    <x v="1"/>
    <n v="0"/>
  </r>
  <r>
    <d v="2025-01-21T00:00:00"/>
    <x v="1"/>
    <x v="0"/>
    <x v="3"/>
    <x v="20"/>
    <x v="14"/>
    <x v="13"/>
    <x v="1"/>
    <n v="593770000"/>
  </r>
  <r>
    <d v="2025-01-21T00:00:00"/>
    <x v="1"/>
    <x v="0"/>
    <x v="3"/>
    <x v="20"/>
    <x v="5"/>
    <x v="5"/>
    <x v="3"/>
    <n v="3910684190"/>
  </r>
  <r>
    <d v="2025-01-21T00:00:00"/>
    <x v="1"/>
    <x v="0"/>
    <x v="3"/>
    <x v="20"/>
    <x v="15"/>
    <x v="14"/>
    <x v="4"/>
    <n v="44924959"/>
  </r>
  <r>
    <d v="2025-01-21T00:00:00"/>
    <x v="1"/>
    <x v="0"/>
    <x v="3"/>
    <x v="20"/>
    <x v="11"/>
    <x v="10"/>
    <x v="4"/>
    <n v="144967112"/>
  </r>
  <r>
    <d v="2025-01-21T00:00:00"/>
    <x v="1"/>
    <x v="0"/>
    <x v="3"/>
    <x v="20"/>
    <x v="1"/>
    <x v="1"/>
    <x v="1"/>
    <n v="94500000"/>
  </r>
  <r>
    <d v="2025-01-21T00:00:00"/>
    <x v="1"/>
    <x v="0"/>
    <x v="3"/>
    <x v="20"/>
    <x v="2"/>
    <x v="2"/>
    <x v="1"/>
    <n v="6327300000"/>
  </r>
  <r>
    <d v="2025-01-21T00:00:00"/>
    <x v="1"/>
    <x v="0"/>
    <x v="3"/>
    <x v="20"/>
    <x v="19"/>
    <x v="12"/>
    <x v="4"/>
    <n v="348586010"/>
  </r>
  <r>
    <d v="2025-01-21T00:00:00"/>
    <x v="1"/>
    <x v="0"/>
    <x v="3"/>
    <x v="20"/>
    <x v="18"/>
    <x v="15"/>
    <x v="1"/>
    <n v="448600000"/>
  </r>
  <r>
    <d v="2025-01-21T00:00:00"/>
    <x v="1"/>
    <x v="0"/>
    <x v="3"/>
    <x v="20"/>
    <x v="21"/>
    <x v="9"/>
    <x v="1"/>
    <n v="0"/>
  </r>
  <r>
    <d v="2025-01-21T00:00:00"/>
    <x v="1"/>
    <x v="0"/>
    <x v="3"/>
    <x v="20"/>
    <x v="17"/>
    <x v="9"/>
    <x v="1"/>
    <n v="0"/>
  </r>
  <r>
    <d v="2025-01-21T00:00:00"/>
    <x v="1"/>
    <x v="0"/>
    <x v="3"/>
    <x v="20"/>
    <x v="8"/>
    <x v="8"/>
    <x v="1"/>
    <n v="0"/>
  </r>
  <r>
    <d v="2025-01-21T00:00:00"/>
    <x v="1"/>
    <x v="0"/>
    <x v="3"/>
    <x v="20"/>
    <x v="0"/>
    <x v="0"/>
    <x v="0"/>
    <n v="5447000000"/>
  </r>
  <r>
    <d v="2025-01-21T00:00:00"/>
    <x v="1"/>
    <x v="0"/>
    <x v="3"/>
    <x v="20"/>
    <x v="20"/>
    <x v="9"/>
    <x v="1"/>
    <n v="0"/>
  </r>
  <r>
    <d v="2025-01-21T00:00:00"/>
    <x v="1"/>
    <x v="0"/>
    <x v="3"/>
    <x v="20"/>
    <x v="6"/>
    <x v="6"/>
    <x v="0"/>
    <n v="13000000"/>
  </r>
  <r>
    <d v="2025-01-22T00:00:00"/>
    <x v="1"/>
    <x v="0"/>
    <x v="3"/>
    <x v="21"/>
    <x v="17"/>
    <x v="9"/>
    <x v="1"/>
    <n v="0"/>
  </r>
  <r>
    <d v="2025-01-22T00:00:00"/>
    <x v="1"/>
    <x v="0"/>
    <x v="3"/>
    <x v="21"/>
    <x v="3"/>
    <x v="3"/>
    <x v="1"/>
    <n v="0"/>
  </r>
  <r>
    <d v="2025-01-22T00:00:00"/>
    <x v="1"/>
    <x v="0"/>
    <x v="3"/>
    <x v="21"/>
    <x v="21"/>
    <x v="9"/>
    <x v="1"/>
    <n v="0"/>
  </r>
  <r>
    <d v="2025-01-22T00:00:00"/>
    <x v="1"/>
    <x v="0"/>
    <x v="3"/>
    <x v="21"/>
    <x v="22"/>
    <x v="16"/>
    <x v="1"/>
    <n v="0"/>
  </r>
  <r>
    <d v="2025-01-22T00:00:00"/>
    <x v="1"/>
    <x v="0"/>
    <x v="3"/>
    <x v="21"/>
    <x v="20"/>
    <x v="9"/>
    <x v="1"/>
    <n v="0"/>
  </r>
  <r>
    <d v="2025-01-22T00:00:00"/>
    <x v="1"/>
    <x v="0"/>
    <x v="3"/>
    <x v="21"/>
    <x v="19"/>
    <x v="12"/>
    <x v="4"/>
    <n v="354656328"/>
  </r>
  <r>
    <d v="2025-01-22T00:00:00"/>
    <x v="1"/>
    <x v="0"/>
    <x v="3"/>
    <x v="21"/>
    <x v="18"/>
    <x v="15"/>
    <x v="1"/>
    <n v="625340000"/>
  </r>
  <r>
    <d v="2025-01-22T00:00:00"/>
    <x v="1"/>
    <x v="0"/>
    <x v="3"/>
    <x v="21"/>
    <x v="15"/>
    <x v="14"/>
    <x v="4"/>
    <n v="35810703"/>
  </r>
  <r>
    <d v="2025-01-22T00:00:00"/>
    <x v="1"/>
    <x v="0"/>
    <x v="3"/>
    <x v="21"/>
    <x v="12"/>
    <x v="11"/>
    <x v="1"/>
    <n v="6524720000"/>
  </r>
  <r>
    <d v="2025-01-22T00:00:00"/>
    <x v="1"/>
    <x v="0"/>
    <x v="3"/>
    <x v="21"/>
    <x v="0"/>
    <x v="0"/>
    <x v="0"/>
    <n v="5568500000"/>
  </r>
  <r>
    <d v="2025-01-22T00:00:00"/>
    <x v="1"/>
    <x v="0"/>
    <x v="3"/>
    <x v="21"/>
    <x v="6"/>
    <x v="6"/>
    <x v="0"/>
    <n v="81000000"/>
  </r>
  <r>
    <d v="2025-01-22T00:00:00"/>
    <x v="1"/>
    <x v="0"/>
    <x v="3"/>
    <x v="21"/>
    <x v="8"/>
    <x v="8"/>
    <x v="1"/>
    <n v="0"/>
  </r>
  <r>
    <d v="2025-01-22T00:00:00"/>
    <x v="1"/>
    <x v="0"/>
    <x v="3"/>
    <x v="21"/>
    <x v="11"/>
    <x v="10"/>
    <x v="4"/>
    <n v="153322750"/>
  </r>
  <r>
    <d v="2025-01-22T00:00:00"/>
    <x v="1"/>
    <x v="0"/>
    <x v="3"/>
    <x v="21"/>
    <x v="14"/>
    <x v="13"/>
    <x v="1"/>
    <n v="838880000"/>
  </r>
  <r>
    <d v="2025-01-22T00:00:00"/>
    <x v="1"/>
    <x v="0"/>
    <x v="3"/>
    <x v="21"/>
    <x v="1"/>
    <x v="1"/>
    <x v="1"/>
    <n v="113400000"/>
  </r>
  <r>
    <d v="2025-01-22T00:00:00"/>
    <x v="1"/>
    <x v="0"/>
    <x v="3"/>
    <x v="21"/>
    <x v="5"/>
    <x v="5"/>
    <x v="3"/>
    <n v="3762009671"/>
  </r>
  <r>
    <d v="2025-01-22T00:00:00"/>
    <x v="1"/>
    <x v="0"/>
    <x v="3"/>
    <x v="21"/>
    <x v="2"/>
    <x v="2"/>
    <x v="1"/>
    <n v="7062690000"/>
  </r>
  <r>
    <d v="2025-01-22T00:00:00"/>
    <x v="1"/>
    <x v="0"/>
    <x v="3"/>
    <x v="21"/>
    <x v="7"/>
    <x v="7"/>
    <x v="4"/>
    <n v="323985250"/>
  </r>
  <r>
    <d v="2025-01-23T00:00:00"/>
    <x v="1"/>
    <x v="0"/>
    <x v="3"/>
    <x v="22"/>
    <x v="15"/>
    <x v="14"/>
    <x v="4"/>
    <n v="28330519"/>
  </r>
  <r>
    <d v="2025-01-23T00:00:00"/>
    <x v="1"/>
    <x v="0"/>
    <x v="3"/>
    <x v="22"/>
    <x v="8"/>
    <x v="8"/>
    <x v="1"/>
    <n v="0"/>
  </r>
  <r>
    <d v="2025-01-23T00:00:00"/>
    <x v="1"/>
    <x v="0"/>
    <x v="3"/>
    <x v="22"/>
    <x v="18"/>
    <x v="15"/>
    <x v="1"/>
    <n v="567070000"/>
  </r>
  <r>
    <d v="2025-01-23T00:00:00"/>
    <x v="1"/>
    <x v="0"/>
    <x v="3"/>
    <x v="22"/>
    <x v="6"/>
    <x v="6"/>
    <x v="0"/>
    <n v="49000000"/>
  </r>
  <r>
    <d v="2025-01-23T00:00:00"/>
    <x v="1"/>
    <x v="0"/>
    <x v="3"/>
    <x v="22"/>
    <x v="19"/>
    <x v="12"/>
    <x v="4"/>
    <n v="328435139"/>
  </r>
  <r>
    <d v="2025-01-23T00:00:00"/>
    <x v="1"/>
    <x v="0"/>
    <x v="3"/>
    <x v="22"/>
    <x v="11"/>
    <x v="10"/>
    <x v="4"/>
    <n v="163815940"/>
  </r>
  <r>
    <d v="2025-01-23T00:00:00"/>
    <x v="1"/>
    <x v="0"/>
    <x v="3"/>
    <x v="22"/>
    <x v="0"/>
    <x v="0"/>
    <x v="0"/>
    <n v="5643500000"/>
  </r>
  <r>
    <d v="2025-01-23T00:00:00"/>
    <x v="1"/>
    <x v="0"/>
    <x v="3"/>
    <x v="22"/>
    <x v="14"/>
    <x v="13"/>
    <x v="1"/>
    <n v="815410000"/>
  </r>
  <r>
    <d v="2025-01-23T00:00:00"/>
    <x v="1"/>
    <x v="0"/>
    <x v="3"/>
    <x v="22"/>
    <x v="7"/>
    <x v="7"/>
    <x v="4"/>
    <n v="299915800"/>
  </r>
  <r>
    <d v="2025-01-23T00:00:00"/>
    <x v="1"/>
    <x v="0"/>
    <x v="3"/>
    <x v="22"/>
    <x v="5"/>
    <x v="5"/>
    <x v="3"/>
    <n v="3738497348"/>
  </r>
  <r>
    <d v="2025-01-23T00:00:00"/>
    <x v="1"/>
    <x v="0"/>
    <x v="3"/>
    <x v="22"/>
    <x v="21"/>
    <x v="9"/>
    <x v="1"/>
    <n v="0"/>
  </r>
  <r>
    <d v="2025-01-23T00:00:00"/>
    <x v="1"/>
    <x v="0"/>
    <x v="3"/>
    <x v="22"/>
    <x v="17"/>
    <x v="9"/>
    <x v="1"/>
    <n v="0"/>
  </r>
  <r>
    <d v="2025-01-23T00:00:00"/>
    <x v="1"/>
    <x v="0"/>
    <x v="3"/>
    <x v="22"/>
    <x v="1"/>
    <x v="1"/>
    <x v="1"/>
    <n v="26250000"/>
  </r>
  <r>
    <d v="2025-01-23T00:00:00"/>
    <x v="1"/>
    <x v="0"/>
    <x v="3"/>
    <x v="22"/>
    <x v="20"/>
    <x v="9"/>
    <x v="1"/>
    <n v="0"/>
  </r>
  <r>
    <d v="2025-01-23T00:00:00"/>
    <x v="1"/>
    <x v="0"/>
    <x v="3"/>
    <x v="22"/>
    <x v="23"/>
    <x v="17"/>
    <x v="4"/>
    <n v="100000"/>
  </r>
  <r>
    <d v="2025-01-23T00:00:00"/>
    <x v="1"/>
    <x v="0"/>
    <x v="3"/>
    <x v="22"/>
    <x v="22"/>
    <x v="16"/>
    <x v="1"/>
    <n v="0"/>
  </r>
  <r>
    <d v="2025-01-23T00:00:00"/>
    <x v="1"/>
    <x v="0"/>
    <x v="3"/>
    <x v="22"/>
    <x v="12"/>
    <x v="11"/>
    <x v="1"/>
    <n v="5780070000"/>
  </r>
  <r>
    <d v="2025-01-23T00:00:00"/>
    <x v="1"/>
    <x v="0"/>
    <x v="3"/>
    <x v="22"/>
    <x v="2"/>
    <x v="2"/>
    <x v="1"/>
    <n v="6304910000"/>
  </r>
  <r>
    <d v="2025-01-23T00:00:00"/>
    <x v="1"/>
    <x v="0"/>
    <x v="3"/>
    <x v="22"/>
    <x v="3"/>
    <x v="3"/>
    <x v="1"/>
    <n v="0"/>
  </r>
  <r>
    <d v="2025-01-24T00:00:00"/>
    <x v="1"/>
    <x v="0"/>
    <x v="3"/>
    <x v="23"/>
    <x v="2"/>
    <x v="2"/>
    <x v="1"/>
    <n v="7129810000"/>
  </r>
  <r>
    <d v="2025-01-24T00:00:00"/>
    <x v="1"/>
    <x v="0"/>
    <x v="3"/>
    <x v="23"/>
    <x v="11"/>
    <x v="10"/>
    <x v="4"/>
    <n v="150797109"/>
  </r>
  <r>
    <d v="2025-01-24T00:00:00"/>
    <x v="1"/>
    <x v="0"/>
    <x v="3"/>
    <x v="23"/>
    <x v="18"/>
    <x v="15"/>
    <x v="1"/>
    <n v="643090000"/>
  </r>
  <r>
    <d v="2025-01-24T00:00:00"/>
    <x v="1"/>
    <x v="0"/>
    <x v="3"/>
    <x v="23"/>
    <x v="15"/>
    <x v="14"/>
    <x v="4"/>
    <n v="32335979"/>
  </r>
  <r>
    <d v="2025-01-24T00:00:00"/>
    <x v="1"/>
    <x v="0"/>
    <x v="3"/>
    <x v="23"/>
    <x v="3"/>
    <x v="3"/>
    <x v="1"/>
    <n v="13000000"/>
  </r>
  <r>
    <d v="2025-01-24T00:00:00"/>
    <x v="1"/>
    <x v="0"/>
    <x v="3"/>
    <x v="23"/>
    <x v="22"/>
    <x v="16"/>
    <x v="1"/>
    <n v="0"/>
  </r>
  <r>
    <d v="2025-01-24T00:00:00"/>
    <x v="1"/>
    <x v="0"/>
    <x v="3"/>
    <x v="23"/>
    <x v="7"/>
    <x v="7"/>
    <x v="4"/>
    <n v="310517089"/>
  </r>
  <r>
    <d v="2025-01-24T00:00:00"/>
    <x v="1"/>
    <x v="0"/>
    <x v="3"/>
    <x v="23"/>
    <x v="0"/>
    <x v="0"/>
    <x v="0"/>
    <n v="6474500000"/>
  </r>
  <r>
    <d v="2025-01-24T00:00:00"/>
    <x v="1"/>
    <x v="0"/>
    <x v="3"/>
    <x v="23"/>
    <x v="5"/>
    <x v="5"/>
    <x v="3"/>
    <n v="4164157031"/>
  </r>
  <r>
    <d v="2025-01-24T00:00:00"/>
    <x v="1"/>
    <x v="0"/>
    <x v="3"/>
    <x v="23"/>
    <x v="8"/>
    <x v="8"/>
    <x v="1"/>
    <n v="0"/>
  </r>
  <r>
    <d v="2025-01-24T00:00:00"/>
    <x v="1"/>
    <x v="0"/>
    <x v="3"/>
    <x v="23"/>
    <x v="6"/>
    <x v="6"/>
    <x v="0"/>
    <n v="54000000"/>
  </r>
  <r>
    <d v="2025-01-24T00:00:00"/>
    <x v="1"/>
    <x v="0"/>
    <x v="3"/>
    <x v="23"/>
    <x v="23"/>
    <x v="17"/>
    <x v="4"/>
    <n v="0"/>
  </r>
  <r>
    <d v="2025-01-24T00:00:00"/>
    <x v="1"/>
    <x v="0"/>
    <x v="3"/>
    <x v="23"/>
    <x v="14"/>
    <x v="13"/>
    <x v="1"/>
    <n v="796920000"/>
  </r>
  <r>
    <d v="2025-01-24T00:00:00"/>
    <x v="1"/>
    <x v="0"/>
    <x v="3"/>
    <x v="23"/>
    <x v="17"/>
    <x v="9"/>
    <x v="1"/>
    <n v="0"/>
  </r>
  <r>
    <d v="2025-01-24T00:00:00"/>
    <x v="1"/>
    <x v="0"/>
    <x v="3"/>
    <x v="23"/>
    <x v="20"/>
    <x v="9"/>
    <x v="1"/>
    <n v="0"/>
  </r>
  <r>
    <d v="2025-01-24T00:00:00"/>
    <x v="1"/>
    <x v="0"/>
    <x v="3"/>
    <x v="23"/>
    <x v="21"/>
    <x v="9"/>
    <x v="1"/>
    <n v="0"/>
  </r>
  <r>
    <d v="2025-01-24T00:00:00"/>
    <x v="1"/>
    <x v="0"/>
    <x v="3"/>
    <x v="23"/>
    <x v="12"/>
    <x v="11"/>
    <x v="1"/>
    <n v="5792770000"/>
  </r>
  <r>
    <d v="2025-01-24T00:00:00"/>
    <x v="1"/>
    <x v="0"/>
    <x v="3"/>
    <x v="23"/>
    <x v="19"/>
    <x v="12"/>
    <x v="4"/>
    <n v="313636668"/>
  </r>
  <r>
    <d v="2025-01-24T00:00:00"/>
    <x v="1"/>
    <x v="0"/>
    <x v="3"/>
    <x v="23"/>
    <x v="1"/>
    <x v="1"/>
    <x v="1"/>
    <n v="30500000"/>
  </r>
  <r>
    <d v="2025-01-25T00:00:00"/>
    <x v="1"/>
    <x v="0"/>
    <x v="3"/>
    <x v="24"/>
    <x v="5"/>
    <x v="5"/>
    <x v="3"/>
    <n v="3486369235"/>
  </r>
  <r>
    <d v="2025-01-25T00:00:00"/>
    <x v="1"/>
    <x v="0"/>
    <x v="3"/>
    <x v="24"/>
    <x v="2"/>
    <x v="2"/>
    <x v="1"/>
    <n v="5536990000"/>
  </r>
  <r>
    <d v="2025-01-25T00:00:00"/>
    <x v="1"/>
    <x v="0"/>
    <x v="3"/>
    <x v="24"/>
    <x v="17"/>
    <x v="9"/>
    <x v="1"/>
    <n v="0"/>
  </r>
  <r>
    <d v="2025-01-25T00:00:00"/>
    <x v="1"/>
    <x v="0"/>
    <x v="3"/>
    <x v="24"/>
    <x v="15"/>
    <x v="14"/>
    <x v="4"/>
    <n v="21913922"/>
  </r>
  <r>
    <d v="2025-01-25T00:00:00"/>
    <x v="1"/>
    <x v="0"/>
    <x v="3"/>
    <x v="24"/>
    <x v="23"/>
    <x v="17"/>
    <x v="4"/>
    <n v="0"/>
  </r>
  <r>
    <d v="2025-01-25T00:00:00"/>
    <x v="1"/>
    <x v="0"/>
    <x v="3"/>
    <x v="24"/>
    <x v="14"/>
    <x v="13"/>
    <x v="1"/>
    <n v="592790000"/>
  </r>
  <r>
    <d v="2025-01-25T00:00:00"/>
    <x v="1"/>
    <x v="0"/>
    <x v="3"/>
    <x v="24"/>
    <x v="3"/>
    <x v="3"/>
    <x v="1"/>
    <n v="0"/>
  </r>
  <r>
    <d v="2025-01-25T00:00:00"/>
    <x v="1"/>
    <x v="0"/>
    <x v="3"/>
    <x v="24"/>
    <x v="20"/>
    <x v="9"/>
    <x v="1"/>
    <n v="0"/>
  </r>
  <r>
    <d v="2025-01-25T00:00:00"/>
    <x v="1"/>
    <x v="0"/>
    <x v="3"/>
    <x v="24"/>
    <x v="19"/>
    <x v="12"/>
    <x v="4"/>
    <n v="332035119"/>
  </r>
  <r>
    <d v="2025-01-25T00:00:00"/>
    <x v="1"/>
    <x v="0"/>
    <x v="3"/>
    <x v="24"/>
    <x v="7"/>
    <x v="7"/>
    <x v="4"/>
    <n v="309799480"/>
  </r>
  <r>
    <d v="2025-01-25T00:00:00"/>
    <x v="1"/>
    <x v="0"/>
    <x v="3"/>
    <x v="24"/>
    <x v="21"/>
    <x v="9"/>
    <x v="1"/>
    <n v="0"/>
  </r>
  <r>
    <d v="2025-01-25T00:00:00"/>
    <x v="1"/>
    <x v="0"/>
    <x v="3"/>
    <x v="24"/>
    <x v="12"/>
    <x v="11"/>
    <x v="1"/>
    <n v="4232100000"/>
  </r>
  <r>
    <d v="2025-01-25T00:00:00"/>
    <x v="1"/>
    <x v="0"/>
    <x v="3"/>
    <x v="24"/>
    <x v="18"/>
    <x v="15"/>
    <x v="1"/>
    <n v="313890000"/>
  </r>
  <r>
    <d v="2025-01-25T00:00:00"/>
    <x v="1"/>
    <x v="0"/>
    <x v="3"/>
    <x v="24"/>
    <x v="8"/>
    <x v="8"/>
    <x v="1"/>
    <n v="0"/>
  </r>
  <r>
    <d v="2025-01-25T00:00:00"/>
    <x v="1"/>
    <x v="0"/>
    <x v="3"/>
    <x v="24"/>
    <x v="6"/>
    <x v="6"/>
    <x v="0"/>
    <n v="52000000"/>
  </r>
  <r>
    <d v="2025-01-25T00:00:00"/>
    <x v="1"/>
    <x v="0"/>
    <x v="3"/>
    <x v="24"/>
    <x v="22"/>
    <x v="16"/>
    <x v="1"/>
    <n v="0"/>
  </r>
  <r>
    <d v="2025-01-25T00:00:00"/>
    <x v="1"/>
    <x v="0"/>
    <x v="3"/>
    <x v="24"/>
    <x v="11"/>
    <x v="10"/>
    <x v="4"/>
    <n v="153476807"/>
  </r>
  <r>
    <d v="2025-01-25T00:00:00"/>
    <x v="1"/>
    <x v="0"/>
    <x v="3"/>
    <x v="24"/>
    <x v="1"/>
    <x v="1"/>
    <x v="1"/>
    <n v="16800000"/>
  </r>
  <r>
    <d v="2025-01-25T00:00:00"/>
    <x v="1"/>
    <x v="0"/>
    <x v="3"/>
    <x v="24"/>
    <x v="0"/>
    <x v="0"/>
    <x v="0"/>
    <n v="5594500000"/>
  </r>
  <r>
    <d v="2025-01-26T00:00:00"/>
    <x v="1"/>
    <x v="0"/>
    <x v="3"/>
    <x v="25"/>
    <x v="23"/>
    <x v="17"/>
    <x v="4"/>
    <n v="0"/>
  </r>
  <r>
    <d v="2025-01-26T00:00:00"/>
    <x v="1"/>
    <x v="0"/>
    <x v="3"/>
    <x v="25"/>
    <x v="20"/>
    <x v="9"/>
    <x v="1"/>
    <n v="0"/>
  </r>
  <r>
    <d v="2025-01-26T00:00:00"/>
    <x v="1"/>
    <x v="0"/>
    <x v="3"/>
    <x v="25"/>
    <x v="18"/>
    <x v="15"/>
    <x v="1"/>
    <n v="227040000"/>
  </r>
  <r>
    <d v="2025-01-26T00:00:00"/>
    <x v="1"/>
    <x v="0"/>
    <x v="3"/>
    <x v="25"/>
    <x v="3"/>
    <x v="3"/>
    <x v="1"/>
    <n v="0"/>
  </r>
  <r>
    <d v="2025-01-26T00:00:00"/>
    <x v="1"/>
    <x v="0"/>
    <x v="3"/>
    <x v="25"/>
    <x v="15"/>
    <x v="14"/>
    <x v="4"/>
    <n v="19861806"/>
  </r>
  <r>
    <d v="2025-01-26T00:00:00"/>
    <x v="1"/>
    <x v="0"/>
    <x v="3"/>
    <x v="25"/>
    <x v="21"/>
    <x v="9"/>
    <x v="1"/>
    <n v="0"/>
  </r>
  <r>
    <d v="2025-01-26T00:00:00"/>
    <x v="1"/>
    <x v="0"/>
    <x v="3"/>
    <x v="25"/>
    <x v="11"/>
    <x v="10"/>
    <x v="4"/>
    <n v="126284740"/>
  </r>
  <r>
    <d v="2025-01-26T00:00:00"/>
    <x v="1"/>
    <x v="0"/>
    <x v="3"/>
    <x v="25"/>
    <x v="17"/>
    <x v="9"/>
    <x v="1"/>
    <n v="0"/>
  </r>
  <r>
    <d v="2025-01-26T00:00:00"/>
    <x v="1"/>
    <x v="0"/>
    <x v="3"/>
    <x v="25"/>
    <x v="19"/>
    <x v="12"/>
    <x v="4"/>
    <n v="297886962"/>
  </r>
  <r>
    <d v="2025-01-26T00:00:00"/>
    <x v="1"/>
    <x v="0"/>
    <x v="3"/>
    <x v="25"/>
    <x v="5"/>
    <x v="5"/>
    <x v="3"/>
    <n v="3186290889"/>
  </r>
  <r>
    <d v="2025-01-26T00:00:00"/>
    <x v="1"/>
    <x v="0"/>
    <x v="3"/>
    <x v="25"/>
    <x v="0"/>
    <x v="0"/>
    <x v="0"/>
    <n v="4575000000"/>
  </r>
  <r>
    <d v="2025-01-26T00:00:00"/>
    <x v="1"/>
    <x v="0"/>
    <x v="3"/>
    <x v="25"/>
    <x v="1"/>
    <x v="1"/>
    <x v="1"/>
    <n v="42000000"/>
  </r>
  <r>
    <d v="2025-01-26T00:00:00"/>
    <x v="1"/>
    <x v="0"/>
    <x v="3"/>
    <x v="25"/>
    <x v="6"/>
    <x v="6"/>
    <x v="0"/>
    <n v="36000000"/>
  </r>
  <r>
    <d v="2025-01-26T00:00:00"/>
    <x v="1"/>
    <x v="0"/>
    <x v="3"/>
    <x v="25"/>
    <x v="7"/>
    <x v="7"/>
    <x v="4"/>
    <n v="285941475"/>
  </r>
  <r>
    <d v="2025-01-26T00:00:00"/>
    <x v="1"/>
    <x v="0"/>
    <x v="3"/>
    <x v="25"/>
    <x v="22"/>
    <x v="16"/>
    <x v="1"/>
    <n v="0"/>
  </r>
  <r>
    <d v="2025-01-26T00:00:00"/>
    <x v="1"/>
    <x v="0"/>
    <x v="3"/>
    <x v="25"/>
    <x v="12"/>
    <x v="11"/>
    <x v="1"/>
    <n v="3429750000"/>
  </r>
  <r>
    <d v="2025-01-26T00:00:00"/>
    <x v="1"/>
    <x v="0"/>
    <x v="3"/>
    <x v="25"/>
    <x v="2"/>
    <x v="2"/>
    <x v="1"/>
    <n v="4535060000"/>
  </r>
  <r>
    <d v="2025-01-26T00:00:00"/>
    <x v="1"/>
    <x v="0"/>
    <x v="3"/>
    <x v="25"/>
    <x v="14"/>
    <x v="13"/>
    <x v="1"/>
    <n v="469970000"/>
  </r>
  <r>
    <d v="2025-01-26T00:00:00"/>
    <x v="1"/>
    <x v="0"/>
    <x v="3"/>
    <x v="25"/>
    <x v="8"/>
    <x v="8"/>
    <x v="1"/>
    <n v="0"/>
  </r>
  <r>
    <d v="2025-01-27T00:00:00"/>
    <x v="1"/>
    <x v="0"/>
    <x v="4"/>
    <x v="26"/>
    <x v="1"/>
    <x v="1"/>
    <x v="1"/>
    <n v="34650000"/>
  </r>
  <r>
    <d v="2025-01-27T00:00:00"/>
    <x v="1"/>
    <x v="0"/>
    <x v="4"/>
    <x v="26"/>
    <x v="0"/>
    <x v="0"/>
    <x v="0"/>
    <n v="4243500000"/>
  </r>
  <r>
    <d v="2025-01-27T00:00:00"/>
    <x v="1"/>
    <x v="0"/>
    <x v="4"/>
    <x v="26"/>
    <x v="7"/>
    <x v="7"/>
    <x v="4"/>
    <n v="256374548"/>
  </r>
  <r>
    <d v="2025-01-27T00:00:00"/>
    <x v="1"/>
    <x v="0"/>
    <x v="4"/>
    <x v="26"/>
    <x v="6"/>
    <x v="6"/>
    <x v="0"/>
    <n v="31000000"/>
  </r>
  <r>
    <d v="2025-01-27T00:00:00"/>
    <x v="1"/>
    <x v="0"/>
    <x v="4"/>
    <x v="26"/>
    <x v="19"/>
    <x v="12"/>
    <x v="4"/>
    <n v="189767602"/>
  </r>
  <r>
    <d v="2025-01-27T00:00:00"/>
    <x v="1"/>
    <x v="0"/>
    <x v="4"/>
    <x v="26"/>
    <x v="18"/>
    <x v="15"/>
    <x v="1"/>
    <n v="249300000"/>
  </r>
  <r>
    <d v="2025-01-27T00:00:00"/>
    <x v="1"/>
    <x v="0"/>
    <x v="4"/>
    <x v="26"/>
    <x v="11"/>
    <x v="10"/>
    <x v="4"/>
    <n v="107467316"/>
  </r>
  <r>
    <d v="2025-01-27T00:00:00"/>
    <x v="1"/>
    <x v="0"/>
    <x v="4"/>
    <x v="26"/>
    <x v="2"/>
    <x v="2"/>
    <x v="1"/>
    <n v="3492310000"/>
  </r>
  <r>
    <d v="2025-01-27T00:00:00"/>
    <x v="1"/>
    <x v="0"/>
    <x v="4"/>
    <x v="26"/>
    <x v="21"/>
    <x v="9"/>
    <x v="1"/>
    <n v="0"/>
  </r>
  <r>
    <d v="2025-01-27T00:00:00"/>
    <x v="1"/>
    <x v="0"/>
    <x v="4"/>
    <x v="26"/>
    <x v="17"/>
    <x v="9"/>
    <x v="1"/>
    <n v="0"/>
  </r>
  <r>
    <d v="2025-01-27T00:00:00"/>
    <x v="1"/>
    <x v="0"/>
    <x v="4"/>
    <x v="26"/>
    <x v="12"/>
    <x v="11"/>
    <x v="1"/>
    <n v="2800420000"/>
  </r>
  <r>
    <d v="2025-01-27T00:00:00"/>
    <x v="1"/>
    <x v="0"/>
    <x v="4"/>
    <x v="26"/>
    <x v="20"/>
    <x v="9"/>
    <x v="1"/>
    <n v="0"/>
  </r>
  <r>
    <d v="2025-01-27T00:00:00"/>
    <x v="1"/>
    <x v="0"/>
    <x v="4"/>
    <x v="26"/>
    <x v="8"/>
    <x v="8"/>
    <x v="1"/>
    <n v="0"/>
  </r>
  <r>
    <d v="2025-01-27T00:00:00"/>
    <x v="1"/>
    <x v="0"/>
    <x v="4"/>
    <x v="26"/>
    <x v="5"/>
    <x v="5"/>
    <x v="3"/>
    <n v="2770320764"/>
  </r>
  <r>
    <d v="2025-01-27T00:00:00"/>
    <x v="1"/>
    <x v="0"/>
    <x v="4"/>
    <x v="26"/>
    <x v="14"/>
    <x v="13"/>
    <x v="1"/>
    <n v="256940000"/>
  </r>
  <r>
    <d v="2025-01-27T00:00:00"/>
    <x v="1"/>
    <x v="0"/>
    <x v="4"/>
    <x v="26"/>
    <x v="15"/>
    <x v="14"/>
    <x v="4"/>
    <n v="8011063"/>
  </r>
  <r>
    <d v="2025-01-27T00:00:00"/>
    <x v="1"/>
    <x v="0"/>
    <x v="4"/>
    <x v="26"/>
    <x v="23"/>
    <x v="17"/>
    <x v="4"/>
    <n v="0"/>
  </r>
  <r>
    <d v="2025-01-27T00:00:00"/>
    <x v="1"/>
    <x v="0"/>
    <x v="4"/>
    <x v="26"/>
    <x v="3"/>
    <x v="3"/>
    <x v="1"/>
    <n v="0"/>
  </r>
  <r>
    <d v="2025-01-27T00:00:00"/>
    <x v="1"/>
    <x v="0"/>
    <x v="4"/>
    <x v="26"/>
    <x v="22"/>
    <x v="16"/>
    <x v="1"/>
    <n v="0"/>
  </r>
  <r>
    <d v="2025-01-28T00:00:00"/>
    <x v="1"/>
    <x v="0"/>
    <x v="4"/>
    <x v="27"/>
    <x v="19"/>
    <x v="12"/>
    <x v="4"/>
    <n v="196795308"/>
  </r>
  <r>
    <d v="2025-01-28T00:00:00"/>
    <x v="1"/>
    <x v="0"/>
    <x v="4"/>
    <x v="27"/>
    <x v="21"/>
    <x v="9"/>
    <x v="1"/>
    <n v="0"/>
  </r>
  <r>
    <d v="2025-01-28T00:00:00"/>
    <x v="1"/>
    <x v="0"/>
    <x v="4"/>
    <x v="27"/>
    <x v="1"/>
    <x v="1"/>
    <x v="1"/>
    <n v="0"/>
  </r>
  <r>
    <d v="2025-01-28T00:00:00"/>
    <x v="1"/>
    <x v="0"/>
    <x v="4"/>
    <x v="27"/>
    <x v="20"/>
    <x v="9"/>
    <x v="1"/>
    <n v="0"/>
  </r>
  <r>
    <d v="2025-01-28T00:00:00"/>
    <x v="1"/>
    <x v="0"/>
    <x v="4"/>
    <x v="27"/>
    <x v="22"/>
    <x v="16"/>
    <x v="1"/>
    <n v="0"/>
  </r>
  <r>
    <d v="2025-01-28T00:00:00"/>
    <x v="1"/>
    <x v="0"/>
    <x v="4"/>
    <x v="27"/>
    <x v="12"/>
    <x v="11"/>
    <x v="1"/>
    <n v="2445470000"/>
  </r>
  <r>
    <d v="2025-01-28T00:00:00"/>
    <x v="1"/>
    <x v="0"/>
    <x v="4"/>
    <x v="27"/>
    <x v="11"/>
    <x v="10"/>
    <x v="4"/>
    <n v="78614806"/>
  </r>
  <r>
    <d v="2025-01-28T00:00:00"/>
    <x v="1"/>
    <x v="0"/>
    <x v="4"/>
    <x v="27"/>
    <x v="3"/>
    <x v="3"/>
    <x v="1"/>
    <n v="0"/>
  </r>
  <r>
    <d v="2025-01-28T00:00:00"/>
    <x v="1"/>
    <x v="0"/>
    <x v="4"/>
    <x v="27"/>
    <x v="5"/>
    <x v="5"/>
    <x v="3"/>
    <n v="2914163430"/>
  </r>
  <r>
    <d v="2025-01-28T00:00:00"/>
    <x v="1"/>
    <x v="0"/>
    <x v="4"/>
    <x v="27"/>
    <x v="17"/>
    <x v="9"/>
    <x v="1"/>
    <n v="0"/>
  </r>
  <r>
    <d v="2025-01-28T00:00:00"/>
    <x v="1"/>
    <x v="0"/>
    <x v="4"/>
    <x v="27"/>
    <x v="23"/>
    <x v="17"/>
    <x v="4"/>
    <n v="0"/>
  </r>
  <r>
    <d v="2025-01-28T00:00:00"/>
    <x v="1"/>
    <x v="0"/>
    <x v="4"/>
    <x v="27"/>
    <x v="15"/>
    <x v="14"/>
    <x v="4"/>
    <n v="4756400"/>
  </r>
  <r>
    <d v="2025-01-28T00:00:00"/>
    <x v="1"/>
    <x v="0"/>
    <x v="4"/>
    <x v="27"/>
    <x v="14"/>
    <x v="13"/>
    <x v="1"/>
    <n v="42260000"/>
  </r>
  <r>
    <d v="2025-01-28T00:00:00"/>
    <x v="1"/>
    <x v="0"/>
    <x v="4"/>
    <x v="27"/>
    <x v="8"/>
    <x v="8"/>
    <x v="1"/>
    <n v="0"/>
  </r>
  <r>
    <d v="2025-01-28T00:00:00"/>
    <x v="1"/>
    <x v="0"/>
    <x v="4"/>
    <x v="27"/>
    <x v="6"/>
    <x v="6"/>
    <x v="0"/>
    <n v="14000000"/>
  </r>
  <r>
    <d v="2025-01-28T00:00:00"/>
    <x v="1"/>
    <x v="0"/>
    <x v="4"/>
    <x v="27"/>
    <x v="0"/>
    <x v="0"/>
    <x v="0"/>
    <n v="3945500000"/>
  </r>
  <r>
    <d v="2025-01-28T00:00:00"/>
    <x v="1"/>
    <x v="0"/>
    <x v="4"/>
    <x v="27"/>
    <x v="2"/>
    <x v="2"/>
    <x v="1"/>
    <n v="3088760000"/>
  </r>
  <r>
    <d v="2025-01-28T00:00:00"/>
    <x v="1"/>
    <x v="0"/>
    <x v="4"/>
    <x v="27"/>
    <x v="18"/>
    <x v="15"/>
    <x v="1"/>
    <n v="128930000"/>
  </r>
  <r>
    <d v="2025-01-28T00:00:00"/>
    <x v="1"/>
    <x v="0"/>
    <x v="4"/>
    <x v="27"/>
    <x v="7"/>
    <x v="7"/>
    <x v="4"/>
    <n v="251951624"/>
  </r>
  <r>
    <d v="2025-01-29T00:00:00"/>
    <x v="1"/>
    <x v="0"/>
    <x v="4"/>
    <x v="28"/>
    <x v="20"/>
    <x v="9"/>
    <x v="1"/>
    <n v="0"/>
  </r>
  <r>
    <d v="2025-01-29T00:00:00"/>
    <x v="1"/>
    <x v="0"/>
    <x v="4"/>
    <x v="28"/>
    <x v="21"/>
    <x v="9"/>
    <x v="1"/>
    <n v="0"/>
  </r>
  <r>
    <d v="2025-01-29T00:00:00"/>
    <x v="1"/>
    <x v="0"/>
    <x v="4"/>
    <x v="28"/>
    <x v="18"/>
    <x v="15"/>
    <x v="1"/>
    <n v="95950000"/>
  </r>
  <r>
    <d v="2025-01-29T00:00:00"/>
    <x v="1"/>
    <x v="0"/>
    <x v="4"/>
    <x v="28"/>
    <x v="17"/>
    <x v="9"/>
    <x v="1"/>
    <n v="0"/>
  </r>
  <r>
    <d v="2025-01-29T00:00:00"/>
    <x v="1"/>
    <x v="0"/>
    <x v="4"/>
    <x v="28"/>
    <x v="11"/>
    <x v="10"/>
    <x v="4"/>
    <n v="64522486"/>
  </r>
  <r>
    <d v="2025-01-29T00:00:00"/>
    <x v="1"/>
    <x v="0"/>
    <x v="4"/>
    <x v="28"/>
    <x v="19"/>
    <x v="12"/>
    <x v="4"/>
    <n v="61702390"/>
  </r>
  <r>
    <d v="2025-01-29T00:00:00"/>
    <x v="1"/>
    <x v="0"/>
    <x v="4"/>
    <x v="28"/>
    <x v="14"/>
    <x v="13"/>
    <x v="1"/>
    <n v="0"/>
  </r>
  <r>
    <d v="2025-01-29T00:00:00"/>
    <x v="1"/>
    <x v="0"/>
    <x v="4"/>
    <x v="28"/>
    <x v="7"/>
    <x v="7"/>
    <x v="4"/>
    <n v="164858497"/>
  </r>
  <r>
    <d v="2025-01-29T00:00:00"/>
    <x v="1"/>
    <x v="0"/>
    <x v="4"/>
    <x v="28"/>
    <x v="3"/>
    <x v="3"/>
    <x v="1"/>
    <n v="0"/>
  </r>
  <r>
    <d v="2025-01-29T00:00:00"/>
    <x v="1"/>
    <x v="0"/>
    <x v="4"/>
    <x v="28"/>
    <x v="12"/>
    <x v="11"/>
    <x v="1"/>
    <n v="1132670000"/>
  </r>
  <r>
    <d v="2025-01-29T00:00:00"/>
    <x v="1"/>
    <x v="0"/>
    <x v="4"/>
    <x v="28"/>
    <x v="1"/>
    <x v="1"/>
    <x v="1"/>
    <n v="18900000"/>
  </r>
  <r>
    <d v="2025-01-29T00:00:00"/>
    <x v="1"/>
    <x v="0"/>
    <x v="4"/>
    <x v="28"/>
    <x v="23"/>
    <x v="17"/>
    <x v="4"/>
    <n v="0"/>
  </r>
  <r>
    <d v="2025-01-29T00:00:00"/>
    <x v="1"/>
    <x v="0"/>
    <x v="4"/>
    <x v="28"/>
    <x v="15"/>
    <x v="14"/>
    <x v="4"/>
    <n v="1499631"/>
  </r>
  <r>
    <d v="2025-01-29T00:00:00"/>
    <x v="1"/>
    <x v="0"/>
    <x v="4"/>
    <x v="28"/>
    <x v="5"/>
    <x v="5"/>
    <x v="3"/>
    <n v="1431003032"/>
  </r>
  <r>
    <d v="2025-01-29T00:00:00"/>
    <x v="1"/>
    <x v="0"/>
    <x v="4"/>
    <x v="28"/>
    <x v="8"/>
    <x v="8"/>
    <x v="1"/>
    <n v="0"/>
  </r>
  <r>
    <d v="2025-01-29T00:00:00"/>
    <x v="1"/>
    <x v="0"/>
    <x v="4"/>
    <x v="28"/>
    <x v="22"/>
    <x v="16"/>
    <x v="1"/>
    <n v="0"/>
  </r>
  <r>
    <d v="2025-01-29T00:00:00"/>
    <x v="1"/>
    <x v="0"/>
    <x v="4"/>
    <x v="28"/>
    <x v="6"/>
    <x v="6"/>
    <x v="0"/>
    <n v="19000000"/>
  </r>
  <r>
    <d v="2025-01-29T00:00:00"/>
    <x v="1"/>
    <x v="0"/>
    <x v="4"/>
    <x v="28"/>
    <x v="2"/>
    <x v="2"/>
    <x v="1"/>
    <n v="1172770000"/>
  </r>
  <r>
    <d v="2025-01-29T00:00:00"/>
    <x v="1"/>
    <x v="0"/>
    <x v="4"/>
    <x v="28"/>
    <x v="0"/>
    <x v="0"/>
    <x v="0"/>
    <n v="1601000000"/>
  </r>
  <r>
    <d v="2025-01-30T00:00:00"/>
    <x v="1"/>
    <x v="0"/>
    <x v="4"/>
    <x v="29"/>
    <x v="2"/>
    <x v="2"/>
    <x v="1"/>
    <n v="1604570000"/>
  </r>
  <r>
    <d v="2025-01-30T00:00:00"/>
    <x v="1"/>
    <x v="0"/>
    <x v="4"/>
    <x v="29"/>
    <x v="22"/>
    <x v="16"/>
    <x v="1"/>
    <n v="0"/>
  </r>
  <r>
    <d v="2025-01-30T00:00:00"/>
    <x v="1"/>
    <x v="0"/>
    <x v="4"/>
    <x v="29"/>
    <x v="23"/>
    <x v="17"/>
    <x v="4"/>
    <n v="0"/>
  </r>
  <r>
    <d v="2025-01-30T00:00:00"/>
    <x v="1"/>
    <x v="0"/>
    <x v="4"/>
    <x v="29"/>
    <x v="21"/>
    <x v="9"/>
    <x v="1"/>
    <n v="0"/>
  </r>
  <r>
    <d v="2025-01-30T00:00:00"/>
    <x v="1"/>
    <x v="0"/>
    <x v="4"/>
    <x v="29"/>
    <x v="20"/>
    <x v="9"/>
    <x v="1"/>
    <n v="0"/>
  </r>
  <r>
    <d v="2025-01-30T00:00:00"/>
    <x v="1"/>
    <x v="0"/>
    <x v="4"/>
    <x v="29"/>
    <x v="11"/>
    <x v="10"/>
    <x v="4"/>
    <n v="79112347"/>
  </r>
  <r>
    <d v="2025-01-30T00:00:00"/>
    <x v="1"/>
    <x v="0"/>
    <x v="4"/>
    <x v="29"/>
    <x v="3"/>
    <x v="3"/>
    <x v="1"/>
    <n v="0"/>
  </r>
  <r>
    <d v="2025-01-30T00:00:00"/>
    <x v="1"/>
    <x v="0"/>
    <x v="4"/>
    <x v="29"/>
    <x v="19"/>
    <x v="12"/>
    <x v="4"/>
    <n v="69378810"/>
  </r>
  <r>
    <d v="2025-01-30T00:00:00"/>
    <x v="1"/>
    <x v="0"/>
    <x v="4"/>
    <x v="29"/>
    <x v="7"/>
    <x v="7"/>
    <x v="4"/>
    <n v="161744292"/>
  </r>
  <r>
    <d v="2025-01-30T00:00:00"/>
    <x v="1"/>
    <x v="0"/>
    <x v="4"/>
    <x v="29"/>
    <x v="18"/>
    <x v="15"/>
    <x v="1"/>
    <n v="138750000"/>
  </r>
  <r>
    <d v="2025-01-30T00:00:00"/>
    <x v="1"/>
    <x v="0"/>
    <x v="4"/>
    <x v="29"/>
    <x v="14"/>
    <x v="13"/>
    <x v="1"/>
    <n v="0"/>
  </r>
  <r>
    <d v="2025-01-30T00:00:00"/>
    <x v="1"/>
    <x v="0"/>
    <x v="4"/>
    <x v="29"/>
    <x v="15"/>
    <x v="14"/>
    <x v="4"/>
    <n v="0"/>
  </r>
  <r>
    <d v="2025-01-30T00:00:00"/>
    <x v="1"/>
    <x v="0"/>
    <x v="4"/>
    <x v="29"/>
    <x v="8"/>
    <x v="8"/>
    <x v="1"/>
    <n v="0"/>
  </r>
  <r>
    <d v="2025-01-30T00:00:00"/>
    <x v="1"/>
    <x v="0"/>
    <x v="4"/>
    <x v="29"/>
    <x v="5"/>
    <x v="5"/>
    <x v="3"/>
    <n v="1609920188"/>
  </r>
  <r>
    <d v="2025-01-30T00:00:00"/>
    <x v="1"/>
    <x v="0"/>
    <x v="4"/>
    <x v="29"/>
    <x v="0"/>
    <x v="0"/>
    <x v="0"/>
    <n v="2024500000"/>
  </r>
  <r>
    <d v="2025-01-30T00:00:00"/>
    <x v="1"/>
    <x v="0"/>
    <x v="4"/>
    <x v="29"/>
    <x v="6"/>
    <x v="6"/>
    <x v="0"/>
    <n v="9000000"/>
  </r>
  <r>
    <d v="2025-01-30T00:00:00"/>
    <x v="1"/>
    <x v="0"/>
    <x v="4"/>
    <x v="29"/>
    <x v="1"/>
    <x v="1"/>
    <x v="1"/>
    <n v="10500000"/>
  </r>
  <r>
    <d v="2025-01-30T00:00:00"/>
    <x v="1"/>
    <x v="0"/>
    <x v="4"/>
    <x v="29"/>
    <x v="12"/>
    <x v="11"/>
    <x v="1"/>
    <n v="1200060000"/>
  </r>
  <r>
    <d v="2025-01-30T00:00:00"/>
    <x v="1"/>
    <x v="0"/>
    <x v="4"/>
    <x v="29"/>
    <x v="17"/>
    <x v="9"/>
    <x v="1"/>
    <n v="0"/>
  </r>
  <r>
    <d v="2025-01-31T00:00:00"/>
    <x v="1"/>
    <x v="0"/>
    <x v="4"/>
    <x v="30"/>
    <x v="20"/>
    <x v="9"/>
    <x v="1"/>
    <n v="0"/>
  </r>
  <r>
    <d v="2025-01-31T00:00:00"/>
    <x v="1"/>
    <x v="0"/>
    <x v="4"/>
    <x v="30"/>
    <x v="21"/>
    <x v="9"/>
    <x v="1"/>
    <n v="0"/>
  </r>
  <r>
    <d v="2025-01-31T00:00:00"/>
    <x v="1"/>
    <x v="0"/>
    <x v="4"/>
    <x v="30"/>
    <x v="0"/>
    <x v="0"/>
    <x v="0"/>
    <n v="1980000000"/>
  </r>
  <r>
    <d v="2025-01-31T00:00:00"/>
    <x v="1"/>
    <x v="0"/>
    <x v="4"/>
    <x v="30"/>
    <x v="12"/>
    <x v="11"/>
    <x v="1"/>
    <n v="1679730000"/>
  </r>
  <r>
    <d v="2025-01-31T00:00:00"/>
    <x v="1"/>
    <x v="0"/>
    <x v="4"/>
    <x v="30"/>
    <x v="17"/>
    <x v="9"/>
    <x v="1"/>
    <n v="0"/>
  </r>
  <r>
    <d v="2025-01-31T00:00:00"/>
    <x v="1"/>
    <x v="0"/>
    <x v="4"/>
    <x v="30"/>
    <x v="22"/>
    <x v="16"/>
    <x v="1"/>
    <n v="0"/>
  </r>
  <r>
    <d v="2025-01-31T00:00:00"/>
    <x v="1"/>
    <x v="0"/>
    <x v="4"/>
    <x v="30"/>
    <x v="23"/>
    <x v="17"/>
    <x v="4"/>
    <n v="0"/>
  </r>
  <r>
    <d v="2025-01-31T00:00:00"/>
    <x v="1"/>
    <x v="0"/>
    <x v="4"/>
    <x v="30"/>
    <x v="11"/>
    <x v="10"/>
    <x v="4"/>
    <n v="60558152"/>
  </r>
  <r>
    <d v="2025-01-31T00:00:00"/>
    <x v="1"/>
    <x v="0"/>
    <x v="4"/>
    <x v="30"/>
    <x v="18"/>
    <x v="15"/>
    <x v="1"/>
    <n v="86990000"/>
  </r>
  <r>
    <d v="2025-01-31T00:00:00"/>
    <x v="1"/>
    <x v="0"/>
    <x v="4"/>
    <x v="30"/>
    <x v="3"/>
    <x v="3"/>
    <x v="1"/>
    <n v="0"/>
  </r>
  <r>
    <d v="2025-01-31T00:00:00"/>
    <x v="1"/>
    <x v="0"/>
    <x v="4"/>
    <x v="30"/>
    <x v="19"/>
    <x v="12"/>
    <x v="4"/>
    <n v="73376724"/>
  </r>
  <r>
    <d v="2025-01-31T00:00:00"/>
    <x v="1"/>
    <x v="0"/>
    <x v="4"/>
    <x v="30"/>
    <x v="7"/>
    <x v="7"/>
    <x v="4"/>
    <n v="138903034"/>
  </r>
  <r>
    <d v="2025-01-31T00:00:00"/>
    <x v="1"/>
    <x v="0"/>
    <x v="4"/>
    <x v="30"/>
    <x v="14"/>
    <x v="13"/>
    <x v="1"/>
    <n v="0"/>
  </r>
  <r>
    <d v="2025-01-31T00:00:00"/>
    <x v="1"/>
    <x v="0"/>
    <x v="4"/>
    <x v="30"/>
    <x v="15"/>
    <x v="14"/>
    <x v="4"/>
    <n v="4331550"/>
  </r>
  <r>
    <d v="2025-01-31T00:00:00"/>
    <x v="1"/>
    <x v="0"/>
    <x v="4"/>
    <x v="30"/>
    <x v="8"/>
    <x v="8"/>
    <x v="1"/>
    <n v="0"/>
  </r>
  <r>
    <d v="2025-01-31T00:00:00"/>
    <x v="1"/>
    <x v="0"/>
    <x v="4"/>
    <x v="30"/>
    <x v="1"/>
    <x v="1"/>
    <x v="1"/>
    <n v="0"/>
  </r>
  <r>
    <d v="2025-01-31T00:00:00"/>
    <x v="1"/>
    <x v="0"/>
    <x v="4"/>
    <x v="30"/>
    <x v="6"/>
    <x v="6"/>
    <x v="0"/>
    <n v="9000000"/>
  </r>
  <r>
    <d v="2025-01-31T00:00:00"/>
    <x v="1"/>
    <x v="0"/>
    <x v="4"/>
    <x v="30"/>
    <x v="5"/>
    <x v="5"/>
    <x v="3"/>
    <n v="1713347211"/>
  </r>
  <r>
    <d v="2025-01-31T00:00:00"/>
    <x v="1"/>
    <x v="0"/>
    <x v="4"/>
    <x v="30"/>
    <x v="2"/>
    <x v="2"/>
    <x v="1"/>
    <n v="1267520000"/>
  </r>
  <r>
    <d v="2025-02-01T00:00:00"/>
    <x v="1"/>
    <x v="1"/>
    <x v="4"/>
    <x v="0"/>
    <x v="18"/>
    <x v="15"/>
    <x v="1"/>
    <n v="68060000"/>
  </r>
  <r>
    <d v="2025-02-01T00:00:00"/>
    <x v="1"/>
    <x v="1"/>
    <x v="4"/>
    <x v="0"/>
    <x v="0"/>
    <x v="0"/>
    <x v="0"/>
    <n v="2619000000"/>
  </r>
  <r>
    <d v="2025-02-01T00:00:00"/>
    <x v="1"/>
    <x v="1"/>
    <x v="4"/>
    <x v="0"/>
    <x v="7"/>
    <x v="7"/>
    <x v="4"/>
    <n v="264713604"/>
  </r>
  <r>
    <d v="2025-02-01T00:00:00"/>
    <x v="1"/>
    <x v="1"/>
    <x v="4"/>
    <x v="0"/>
    <x v="5"/>
    <x v="5"/>
    <x v="3"/>
    <n v="3161952064"/>
  </r>
  <r>
    <d v="2025-02-01T00:00:00"/>
    <x v="1"/>
    <x v="1"/>
    <x v="4"/>
    <x v="0"/>
    <x v="14"/>
    <x v="13"/>
    <x v="1"/>
    <n v="42800000"/>
  </r>
  <r>
    <d v="2025-02-01T00:00:00"/>
    <x v="1"/>
    <x v="1"/>
    <x v="4"/>
    <x v="0"/>
    <x v="17"/>
    <x v="9"/>
    <x v="1"/>
    <n v="0"/>
  </r>
  <r>
    <d v="2025-02-01T00:00:00"/>
    <x v="1"/>
    <x v="1"/>
    <x v="4"/>
    <x v="0"/>
    <x v="19"/>
    <x v="12"/>
    <x v="4"/>
    <n v="229564547"/>
  </r>
  <r>
    <d v="2025-02-01T00:00:00"/>
    <x v="1"/>
    <x v="1"/>
    <x v="4"/>
    <x v="0"/>
    <x v="1"/>
    <x v="1"/>
    <x v="1"/>
    <n v="21000000"/>
  </r>
  <r>
    <d v="2025-02-01T00:00:00"/>
    <x v="1"/>
    <x v="1"/>
    <x v="4"/>
    <x v="0"/>
    <x v="3"/>
    <x v="3"/>
    <x v="1"/>
    <n v="0"/>
  </r>
  <r>
    <d v="2025-02-01T00:00:00"/>
    <x v="1"/>
    <x v="1"/>
    <x v="4"/>
    <x v="0"/>
    <x v="6"/>
    <x v="6"/>
    <x v="0"/>
    <n v="8000000"/>
  </r>
  <r>
    <d v="2025-02-01T00:00:00"/>
    <x v="1"/>
    <x v="1"/>
    <x v="4"/>
    <x v="0"/>
    <x v="2"/>
    <x v="2"/>
    <x v="1"/>
    <n v="2003110000"/>
  </r>
  <r>
    <d v="2025-02-01T00:00:00"/>
    <x v="1"/>
    <x v="1"/>
    <x v="4"/>
    <x v="0"/>
    <x v="8"/>
    <x v="8"/>
    <x v="1"/>
    <n v="0"/>
  </r>
  <r>
    <d v="2025-02-01T00:00:00"/>
    <x v="1"/>
    <x v="1"/>
    <x v="4"/>
    <x v="0"/>
    <x v="21"/>
    <x v="9"/>
    <x v="1"/>
    <n v="0"/>
  </r>
  <r>
    <d v="2025-02-01T00:00:00"/>
    <x v="1"/>
    <x v="1"/>
    <x v="4"/>
    <x v="0"/>
    <x v="15"/>
    <x v="14"/>
    <x v="4"/>
    <n v="12257350"/>
  </r>
  <r>
    <d v="2025-02-01T00:00:00"/>
    <x v="1"/>
    <x v="1"/>
    <x v="4"/>
    <x v="0"/>
    <x v="20"/>
    <x v="9"/>
    <x v="1"/>
    <n v="0"/>
  </r>
  <r>
    <d v="2025-02-01T00:00:00"/>
    <x v="1"/>
    <x v="1"/>
    <x v="4"/>
    <x v="0"/>
    <x v="12"/>
    <x v="11"/>
    <x v="1"/>
    <n v="1895040000"/>
  </r>
  <r>
    <d v="2025-02-01T00:00:00"/>
    <x v="1"/>
    <x v="1"/>
    <x v="4"/>
    <x v="0"/>
    <x v="23"/>
    <x v="17"/>
    <x v="4"/>
    <n v="0"/>
  </r>
  <r>
    <d v="2025-02-01T00:00:00"/>
    <x v="1"/>
    <x v="1"/>
    <x v="4"/>
    <x v="0"/>
    <x v="22"/>
    <x v="16"/>
    <x v="1"/>
    <n v="0"/>
  </r>
  <r>
    <d v="2025-02-01T00:00:00"/>
    <x v="1"/>
    <x v="1"/>
    <x v="4"/>
    <x v="0"/>
    <x v="11"/>
    <x v="10"/>
    <x v="4"/>
    <n v="127492596"/>
  </r>
  <r>
    <d v="2025-02-02T00:00:00"/>
    <x v="1"/>
    <x v="1"/>
    <x v="4"/>
    <x v="1"/>
    <x v="23"/>
    <x v="17"/>
    <x v="4"/>
    <n v="0"/>
  </r>
  <r>
    <d v="2025-02-02T00:00:00"/>
    <x v="1"/>
    <x v="1"/>
    <x v="4"/>
    <x v="1"/>
    <x v="18"/>
    <x v="15"/>
    <x v="1"/>
    <n v="138250000"/>
  </r>
  <r>
    <d v="2025-02-02T00:00:00"/>
    <x v="1"/>
    <x v="1"/>
    <x v="4"/>
    <x v="1"/>
    <x v="20"/>
    <x v="9"/>
    <x v="1"/>
    <n v="0"/>
  </r>
  <r>
    <d v="2025-02-02T00:00:00"/>
    <x v="1"/>
    <x v="1"/>
    <x v="4"/>
    <x v="1"/>
    <x v="7"/>
    <x v="7"/>
    <x v="4"/>
    <n v="337600553"/>
  </r>
  <r>
    <d v="2025-02-02T00:00:00"/>
    <x v="1"/>
    <x v="1"/>
    <x v="4"/>
    <x v="1"/>
    <x v="14"/>
    <x v="13"/>
    <x v="1"/>
    <n v="110580000"/>
  </r>
  <r>
    <d v="2025-02-02T00:00:00"/>
    <x v="1"/>
    <x v="1"/>
    <x v="4"/>
    <x v="1"/>
    <x v="8"/>
    <x v="8"/>
    <x v="1"/>
    <n v="0"/>
  </r>
  <r>
    <d v="2025-02-02T00:00:00"/>
    <x v="1"/>
    <x v="1"/>
    <x v="4"/>
    <x v="1"/>
    <x v="15"/>
    <x v="14"/>
    <x v="4"/>
    <n v="21938742"/>
  </r>
  <r>
    <d v="2025-02-02T00:00:00"/>
    <x v="1"/>
    <x v="1"/>
    <x v="4"/>
    <x v="1"/>
    <x v="11"/>
    <x v="10"/>
    <x v="4"/>
    <n v="159383809"/>
  </r>
  <r>
    <d v="2025-02-02T00:00:00"/>
    <x v="1"/>
    <x v="1"/>
    <x v="4"/>
    <x v="1"/>
    <x v="17"/>
    <x v="9"/>
    <x v="1"/>
    <n v="0"/>
  </r>
  <r>
    <d v="2025-02-02T00:00:00"/>
    <x v="1"/>
    <x v="1"/>
    <x v="4"/>
    <x v="1"/>
    <x v="5"/>
    <x v="5"/>
    <x v="3"/>
    <n v="3222000927"/>
  </r>
  <r>
    <d v="2025-02-02T00:00:00"/>
    <x v="1"/>
    <x v="1"/>
    <x v="4"/>
    <x v="1"/>
    <x v="6"/>
    <x v="6"/>
    <x v="0"/>
    <n v="27000000"/>
  </r>
  <r>
    <d v="2025-02-02T00:00:00"/>
    <x v="1"/>
    <x v="1"/>
    <x v="4"/>
    <x v="1"/>
    <x v="21"/>
    <x v="9"/>
    <x v="1"/>
    <n v="0"/>
  </r>
  <r>
    <d v="2025-02-02T00:00:00"/>
    <x v="1"/>
    <x v="1"/>
    <x v="4"/>
    <x v="1"/>
    <x v="0"/>
    <x v="0"/>
    <x v="0"/>
    <n v="2895500000"/>
  </r>
  <r>
    <d v="2025-02-02T00:00:00"/>
    <x v="1"/>
    <x v="1"/>
    <x v="4"/>
    <x v="1"/>
    <x v="12"/>
    <x v="11"/>
    <x v="1"/>
    <n v="2323120000"/>
  </r>
  <r>
    <d v="2025-02-02T00:00:00"/>
    <x v="1"/>
    <x v="1"/>
    <x v="4"/>
    <x v="1"/>
    <x v="19"/>
    <x v="12"/>
    <x v="4"/>
    <n v="360990264"/>
  </r>
  <r>
    <d v="2025-02-02T00:00:00"/>
    <x v="1"/>
    <x v="1"/>
    <x v="4"/>
    <x v="1"/>
    <x v="2"/>
    <x v="2"/>
    <x v="1"/>
    <n v="1947770000"/>
  </r>
  <r>
    <d v="2025-02-02T00:00:00"/>
    <x v="1"/>
    <x v="1"/>
    <x v="4"/>
    <x v="1"/>
    <x v="1"/>
    <x v="1"/>
    <x v="1"/>
    <n v="62500000"/>
  </r>
  <r>
    <d v="2025-02-02T00:00:00"/>
    <x v="1"/>
    <x v="1"/>
    <x v="4"/>
    <x v="1"/>
    <x v="3"/>
    <x v="3"/>
    <x v="1"/>
    <n v="0"/>
  </r>
  <r>
    <d v="2025-02-02T00:00:00"/>
    <x v="1"/>
    <x v="1"/>
    <x v="4"/>
    <x v="1"/>
    <x v="22"/>
    <x v="16"/>
    <x v="1"/>
    <n v="0"/>
  </r>
  <r>
    <d v="2025-02-03T00:00:00"/>
    <x v="1"/>
    <x v="1"/>
    <x v="5"/>
    <x v="2"/>
    <x v="21"/>
    <x v="9"/>
    <x v="1"/>
    <n v="0"/>
  </r>
  <r>
    <d v="2025-02-03T00:00:00"/>
    <x v="1"/>
    <x v="1"/>
    <x v="5"/>
    <x v="2"/>
    <x v="11"/>
    <x v="10"/>
    <x v="4"/>
    <n v="222481603"/>
  </r>
  <r>
    <d v="2025-02-03T00:00:00"/>
    <x v="1"/>
    <x v="1"/>
    <x v="5"/>
    <x v="2"/>
    <x v="7"/>
    <x v="7"/>
    <x v="4"/>
    <n v="502000423"/>
  </r>
  <r>
    <d v="2025-02-03T00:00:00"/>
    <x v="1"/>
    <x v="1"/>
    <x v="5"/>
    <x v="2"/>
    <x v="19"/>
    <x v="12"/>
    <x v="4"/>
    <n v="575826453"/>
  </r>
  <r>
    <d v="2025-02-03T00:00:00"/>
    <x v="1"/>
    <x v="1"/>
    <x v="5"/>
    <x v="2"/>
    <x v="20"/>
    <x v="9"/>
    <x v="1"/>
    <n v="0"/>
  </r>
  <r>
    <d v="2025-02-03T00:00:00"/>
    <x v="1"/>
    <x v="1"/>
    <x v="5"/>
    <x v="2"/>
    <x v="0"/>
    <x v="0"/>
    <x v="0"/>
    <n v="4135500000"/>
  </r>
  <r>
    <d v="2025-02-03T00:00:00"/>
    <x v="1"/>
    <x v="1"/>
    <x v="5"/>
    <x v="2"/>
    <x v="18"/>
    <x v="15"/>
    <x v="1"/>
    <n v="278450000"/>
  </r>
  <r>
    <d v="2025-02-03T00:00:00"/>
    <x v="1"/>
    <x v="1"/>
    <x v="5"/>
    <x v="2"/>
    <x v="17"/>
    <x v="9"/>
    <x v="1"/>
    <n v="0"/>
  </r>
  <r>
    <d v="2025-02-03T00:00:00"/>
    <x v="1"/>
    <x v="1"/>
    <x v="5"/>
    <x v="2"/>
    <x v="6"/>
    <x v="6"/>
    <x v="0"/>
    <n v="48000000"/>
  </r>
  <r>
    <d v="2025-02-03T00:00:00"/>
    <x v="1"/>
    <x v="1"/>
    <x v="5"/>
    <x v="2"/>
    <x v="3"/>
    <x v="3"/>
    <x v="1"/>
    <n v="0"/>
  </r>
  <r>
    <d v="2025-02-03T00:00:00"/>
    <x v="1"/>
    <x v="1"/>
    <x v="5"/>
    <x v="2"/>
    <x v="2"/>
    <x v="2"/>
    <x v="1"/>
    <n v="3938620000"/>
  </r>
  <r>
    <d v="2025-02-03T00:00:00"/>
    <x v="1"/>
    <x v="1"/>
    <x v="5"/>
    <x v="2"/>
    <x v="23"/>
    <x v="17"/>
    <x v="4"/>
    <n v="0"/>
  </r>
  <r>
    <d v="2025-02-03T00:00:00"/>
    <x v="1"/>
    <x v="1"/>
    <x v="5"/>
    <x v="2"/>
    <x v="15"/>
    <x v="14"/>
    <x v="4"/>
    <n v="58576116"/>
  </r>
  <r>
    <d v="2025-02-03T00:00:00"/>
    <x v="1"/>
    <x v="1"/>
    <x v="5"/>
    <x v="2"/>
    <x v="12"/>
    <x v="11"/>
    <x v="1"/>
    <n v="3255490000"/>
  </r>
  <r>
    <d v="2025-02-03T00:00:00"/>
    <x v="1"/>
    <x v="1"/>
    <x v="5"/>
    <x v="2"/>
    <x v="14"/>
    <x v="13"/>
    <x v="1"/>
    <n v="161920000"/>
  </r>
  <r>
    <d v="2025-02-03T00:00:00"/>
    <x v="1"/>
    <x v="1"/>
    <x v="5"/>
    <x v="2"/>
    <x v="5"/>
    <x v="5"/>
    <x v="3"/>
    <n v="4474063231"/>
  </r>
  <r>
    <d v="2025-02-03T00:00:00"/>
    <x v="1"/>
    <x v="1"/>
    <x v="5"/>
    <x v="2"/>
    <x v="8"/>
    <x v="8"/>
    <x v="1"/>
    <n v="0"/>
  </r>
  <r>
    <d v="2025-02-03T00:00:00"/>
    <x v="1"/>
    <x v="1"/>
    <x v="5"/>
    <x v="2"/>
    <x v="1"/>
    <x v="1"/>
    <x v="1"/>
    <n v="20000000"/>
  </r>
  <r>
    <d v="2025-02-03T00:00:00"/>
    <x v="1"/>
    <x v="1"/>
    <x v="5"/>
    <x v="2"/>
    <x v="22"/>
    <x v="16"/>
    <x v="1"/>
    <n v="0"/>
  </r>
  <r>
    <d v="2025-02-04T00:00:00"/>
    <x v="1"/>
    <x v="1"/>
    <x v="5"/>
    <x v="3"/>
    <x v="8"/>
    <x v="8"/>
    <x v="1"/>
    <n v="0"/>
  </r>
  <r>
    <d v="2025-02-04T00:00:00"/>
    <x v="1"/>
    <x v="1"/>
    <x v="5"/>
    <x v="3"/>
    <x v="21"/>
    <x v="9"/>
    <x v="1"/>
    <n v="0"/>
  </r>
  <r>
    <d v="2025-02-04T00:00:00"/>
    <x v="1"/>
    <x v="1"/>
    <x v="5"/>
    <x v="3"/>
    <x v="5"/>
    <x v="5"/>
    <x v="3"/>
    <n v="4337099283"/>
  </r>
  <r>
    <d v="2025-02-04T00:00:00"/>
    <x v="1"/>
    <x v="1"/>
    <x v="5"/>
    <x v="3"/>
    <x v="22"/>
    <x v="16"/>
    <x v="1"/>
    <n v="0"/>
  </r>
  <r>
    <d v="2025-02-04T00:00:00"/>
    <x v="1"/>
    <x v="1"/>
    <x v="5"/>
    <x v="3"/>
    <x v="3"/>
    <x v="3"/>
    <x v="1"/>
    <n v="0"/>
  </r>
  <r>
    <d v="2025-02-04T00:00:00"/>
    <x v="1"/>
    <x v="1"/>
    <x v="5"/>
    <x v="3"/>
    <x v="12"/>
    <x v="11"/>
    <x v="1"/>
    <n v="3815460000"/>
  </r>
  <r>
    <d v="2025-02-04T00:00:00"/>
    <x v="1"/>
    <x v="1"/>
    <x v="5"/>
    <x v="3"/>
    <x v="14"/>
    <x v="13"/>
    <x v="1"/>
    <n v="166260000"/>
  </r>
  <r>
    <d v="2025-02-04T00:00:00"/>
    <x v="1"/>
    <x v="1"/>
    <x v="5"/>
    <x v="3"/>
    <x v="11"/>
    <x v="10"/>
    <x v="4"/>
    <n v="310307404"/>
  </r>
  <r>
    <d v="2025-02-04T00:00:00"/>
    <x v="1"/>
    <x v="1"/>
    <x v="5"/>
    <x v="3"/>
    <x v="6"/>
    <x v="6"/>
    <x v="0"/>
    <n v="24000000"/>
  </r>
  <r>
    <d v="2025-02-04T00:00:00"/>
    <x v="1"/>
    <x v="1"/>
    <x v="5"/>
    <x v="3"/>
    <x v="2"/>
    <x v="2"/>
    <x v="1"/>
    <n v="3927270000"/>
  </r>
  <r>
    <d v="2025-02-04T00:00:00"/>
    <x v="1"/>
    <x v="1"/>
    <x v="5"/>
    <x v="3"/>
    <x v="7"/>
    <x v="7"/>
    <x v="4"/>
    <n v="695554060"/>
  </r>
  <r>
    <d v="2025-02-04T00:00:00"/>
    <x v="1"/>
    <x v="1"/>
    <x v="5"/>
    <x v="3"/>
    <x v="15"/>
    <x v="14"/>
    <x v="4"/>
    <n v="64919754"/>
  </r>
  <r>
    <d v="2025-02-04T00:00:00"/>
    <x v="1"/>
    <x v="1"/>
    <x v="5"/>
    <x v="3"/>
    <x v="18"/>
    <x v="15"/>
    <x v="1"/>
    <n v="441420000"/>
  </r>
  <r>
    <d v="2025-02-04T00:00:00"/>
    <x v="1"/>
    <x v="1"/>
    <x v="5"/>
    <x v="3"/>
    <x v="23"/>
    <x v="17"/>
    <x v="4"/>
    <n v="0"/>
  </r>
  <r>
    <d v="2025-02-04T00:00:00"/>
    <x v="1"/>
    <x v="1"/>
    <x v="5"/>
    <x v="3"/>
    <x v="17"/>
    <x v="9"/>
    <x v="1"/>
    <n v="0"/>
  </r>
  <r>
    <d v="2025-02-04T00:00:00"/>
    <x v="1"/>
    <x v="1"/>
    <x v="5"/>
    <x v="3"/>
    <x v="0"/>
    <x v="0"/>
    <x v="0"/>
    <n v="4476000000"/>
  </r>
  <r>
    <d v="2025-02-04T00:00:00"/>
    <x v="1"/>
    <x v="1"/>
    <x v="5"/>
    <x v="3"/>
    <x v="20"/>
    <x v="9"/>
    <x v="1"/>
    <n v="0"/>
  </r>
  <r>
    <d v="2025-02-04T00:00:00"/>
    <x v="1"/>
    <x v="1"/>
    <x v="5"/>
    <x v="3"/>
    <x v="19"/>
    <x v="12"/>
    <x v="4"/>
    <n v="962935849"/>
  </r>
  <r>
    <d v="2025-02-04T00:00:00"/>
    <x v="1"/>
    <x v="1"/>
    <x v="5"/>
    <x v="3"/>
    <x v="1"/>
    <x v="1"/>
    <x v="1"/>
    <n v="21000000"/>
  </r>
  <r>
    <d v="2025-02-05T00:00:00"/>
    <x v="1"/>
    <x v="1"/>
    <x v="5"/>
    <x v="4"/>
    <x v="7"/>
    <x v="7"/>
    <x v="4"/>
    <n v="647271054"/>
  </r>
  <r>
    <d v="2025-02-05T00:00:00"/>
    <x v="1"/>
    <x v="1"/>
    <x v="5"/>
    <x v="4"/>
    <x v="20"/>
    <x v="9"/>
    <x v="1"/>
    <n v="0"/>
  </r>
  <r>
    <d v="2025-02-05T00:00:00"/>
    <x v="1"/>
    <x v="1"/>
    <x v="5"/>
    <x v="4"/>
    <x v="19"/>
    <x v="12"/>
    <x v="4"/>
    <n v="900096121"/>
  </r>
  <r>
    <d v="2025-02-05T00:00:00"/>
    <x v="1"/>
    <x v="1"/>
    <x v="5"/>
    <x v="4"/>
    <x v="17"/>
    <x v="9"/>
    <x v="1"/>
    <n v="0"/>
  </r>
  <r>
    <d v="2025-02-05T00:00:00"/>
    <x v="1"/>
    <x v="1"/>
    <x v="5"/>
    <x v="4"/>
    <x v="6"/>
    <x v="6"/>
    <x v="0"/>
    <n v="23000000"/>
  </r>
  <r>
    <d v="2025-02-05T00:00:00"/>
    <x v="1"/>
    <x v="1"/>
    <x v="5"/>
    <x v="4"/>
    <x v="18"/>
    <x v="15"/>
    <x v="1"/>
    <n v="327960000"/>
  </r>
  <r>
    <d v="2025-02-05T00:00:00"/>
    <x v="1"/>
    <x v="1"/>
    <x v="5"/>
    <x v="4"/>
    <x v="2"/>
    <x v="2"/>
    <x v="1"/>
    <n v="3973020000"/>
  </r>
  <r>
    <d v="2025-02-05T00:00:00"/>
    <x v="1"/>
    <x v="1"/>
    <x v="5"/>
    <x v="4"/>
    <x v="11"/>
    <x v="10"/>
    <x v="4"/>
    <n v="335601038"/>
  </r>
  <r>
    <d v="2025-02-05T00:00:00"/>
    <x v="1"/>
    <x v="1"/>
    <x v="5"/>
    <x v="4"/>
    <x v="22"/>
    <x v="16"/>
    <x v="1"/>
    <n v="0"/>
  </r>
  <r>
    <d v="2025-02-05T00:00:00"/>
    <x v="1"/>
    <x v="1"/>
    <x v="5"/>
    <x v="4"/>
    <x v="15"/>
    <x v="14"/>
    <x v="4"/>
    <n v="64288683"/>
  </r>
  <r>
    <d v="2025-02-05T00:00:00"/>
    <x v="1"/>
    <x v="1"/>
    <x v="5"/>
    <x v="4"/>
    <x v="5"/>
    <x v="5"/>
    <x v="3"/>
    <n v="3960514225"/>
  </r>
  <r>
    <d v="2025-02-05T00:00:00"/>
    <x v="1"/>
    <x v="1"/>
    <x v="5"/>
    <x v="4"/>
    <x v="8"/>
    <x v="8"/>
    <x v="1"/>
    <n v="0"/>
  </r>
  <r>
    <d v="2025-02-05T00:00:00"/>
    <x v="1"/>
    <x v="1"/>
    <x v="5"/>
    <x v="4"/>
    <x v="23"/>
    <x v="17"/>
    <x v="4"/>
    <n v="0"/>
  </r>
  <r>
    <d v="2025-02-05T00:00:00"/>
    <x v="1"/>
    <x v="1"/>
    <x v="5"/>
    <x v="4"/>
    <x v="21"/>
    <x v="9"/>
    <x v="1"/>
    <n v="0"/>
  </r>
  <r>
    <d v="2025-02-05T00:00:00"/>
    <x v="1"/>
    <x v="1"/>
    <x v="5"/>
    <x v="4"/>
    <x v="0"/>
    <x v="0"/>
    <x v="0"/>
    <n v="4779500000"/>
  </r>
  <r>
    <d v="2025-02-05T00:00:00"/>
    <x v="1"/>
    <x v="1"/>
    <x v="5"/>
    <x v="4"/>
    <x v="3"/>
    <x v="3"/>
    <x v="1"/>
    <n v="0"/>
  </r>
  <r>
    <d v="2025-02-05T00:00:00"/>
    <x v="1"/>
    <x v="1"/>
    <x v="5"/>
    <x v="4"/>
    <x v="12"/>
    <x v="11"/>
    <x v="1"/>
    <n v="3727220000"/>
  </r>
  <r>
    <d v="2025-02-05T00:00:00"/>
    <x v="1"/>
    <x v="1"/>
    <x v="5"/>
    <x v="4"/>
    <x v="14"/>
    <x v="13"/>
    <x v="1"/>
    <n v="439440000"/>
  </r>
  <r>
    <d v="2025-02-05T00:00:00"/>
    <x v="1"/>
    <x v="1"/>
    <x v="5"/>
    <x v="4"/>
    <x v="1"/>
    <x v="1"/>
    <x v="1"/>
    <n v="91400000"/>
  </r>
  <r>
    <d v="2025-02-06T00:00:00"/>
    <x v="1"/>
    <x v="1"/>
    <x v="5"/>
    <x v="5"/>
    <x v="8"/>
    <x v="8"/>
    <x v="1"/>
    <n v="0"/>
  </r>
  <r>
    <d v="2025-02-06T00:00:00"/>
    <x v="1"/>
    <x v="1"/>
    <x v="5"/>
    <x v="5"/>
    <x v="7"/>
    <x v="7"/>
    <x v="4"/>
    <n v="631407844"/>
  </r>
  <r>
    <d v="2025-02-06T00:00:00"/>
    <x v="1"/>
    <x v="1"/>
    <x v="5"/>
    <x v="5"/>
    <x v="6"/>
    <x v="6"/>
    <x v="0"/>
    <n v="13000000"/>
  </r>
  <r>
    <d v="2025-02-06T00:00:00"/>
    <x v="1"/>
    <x v="1"/>
    <x v="5"/>
    <x v="5"/>
    <x v="3"/>
    <x v="3"/>
    <x v="1"/>
    <n v="0"/>
  </r>
  <r>
    <d v="2025-02-06T00:00:00"/>
    <x v="1"/>
    <x v="1"/>
    <x v="5"/>
    <x v="5"/>
    <x v="0"/>
    <x v="0"/>
    <x v="0"/>
    <n v="4537500000"/>
  </r>
  <r>
    <d v="2025-02-06T00:00:00"/>
    <x v="1"/>
    <x v="1"/>
    <x v="5"/>
    <x v="5"/>
    <x v="5"/>
    <x v="5"/>
    <x v="3"/>
    <n v="3047988607"/>
  </r>
  <r>
    <d v="2025-02-06T00:00:00"/>
    <x v="1"/>
    <x v="1"/>
    <x v="5"/>
    <x v="5"/>
    <x v="11"/>
    <x v="10"/>
    <x v="4"/>
    <n v="288230524"/>
  </r>
  <r>
    <d v="2025-02-06T00:00:00"/>
    <x v="1"/>
    <x v="1"/>
    <x v="5"/>
    <x v="5"/>
    <x v="12"/>
    <x v="11"/>
    <x v="1"/>
    <n v="3700360000"/>
  </r>
  <r>
    <d v="2025-02-06T00:00:00"/>
    <x v="1"/>
    <x v="1"/>
    <x v="5"/>
    <x v="5"/>
    <x v="18"/>
    <x v="15"/>
    <x v="1"/>
    <n v="365830000"/>
  </r>
  <r>
    <d v="2025-02-06T00:00:00"/>
    <x v="1"/>
    <x v="1"/>
    <x v="5"/>
    <x v="5"/>
    <x v="14"/>
    <x v="13"/>
    <x v="1"/>
    <n v="258060000"/>
  </r>
  <r>
    <d v="2025-02-06T00:00:00"/>
    <x v="1"/>
    <x v="1"/>
    <x v="5"/>
    <x v="5"/>
    <x v="23"/>
    <x v="17"/>
    <x v="4"/>
    <n v="0"/>
  </r>
  <r>
    <d v="2025-02-06T00:00:00"/>
    <x v="1"/>
    <x v="1"/>
    <x v="5"/>
    <x v="5"/>
    <x v="19"/>
    <x v="12"/>
    <x v="4"/>
    <n v="540939997"/>
  </r>
  <r>
    <d v="2025-02-06T00:00:00"/>
    <x v="1"/>
    <x v="1"/>
    <x v="5"/>
    <x v="5"/>
    <x v="1"/>
    <x v="1"/>
    <x v="1"/>
    <n v="0"/>
  </r>
  <r>
    <d v="2025-02-06T00:00:00"/>
    <x v="1"/>
    <x v="1"/>
    <x v="5"/>
    <x v="5"/>
    <x v="21"/>
    <x v="9"/>
    <x v="1"/>
    <n v="0"/>
  </r>
  <r>
    <d v="2025-02-06T00:00:00"/>
    <x v="1"/>
    <x v="1"/>
    <x v="5"/>
    <x v="5"/>
    <x v="20"/>
    <x v="9"/>
    <x v="1"/>
    <n v="0"/>
  </r>
  <r>
    <d v="2025-02-06T00:00:00"/>
    <x v="1"/>
    <x v="1"/>
    <x v="5"/>
    <x v="5"/>
    <x v="17"/>
    <x v="9"/>
    <x v="1"/>
    <n v="0"/>
  </r>
  <r>
    <d v="2025-02-06T00:00:00"/>
    <x v="1"/>
    <x v="1"/>
    <x v="5"/>
    <x v="5"/>
    <x v="2"/>
    <x v="2"/>
    <x v="1"/>
    <n v="4177660000"/>
  </r>
  <r>
    <d v="2025-02-06T00:00:00"/>
    <x v="1"/>
    <x v="1"/>
    <x v="5"/>
    <x v="5"/>
    <x v="15"/>
    <x v="14"/>
    <x v="4"/>
    <n v="41679760"/>
  </r>
  <r>
    <d v="2025-02-06T00:00:00"/>
    <x v="1"/>
    <x v="1"/>
    <x v="5"/>
    <x v="5"/>
    <x v="22"/>
    <x v="16"/>
    <x v="1"/>
    <n v="0"/>
  </r>
  <r>
    <d v="2025-02-07T00:00:00"/>
    <x v="1"/>
    <x v="1"/>
    <x v="5"/>
    <x v="6"/>
    <x v="20"/>
    <x v="9"/>
    <x v="1"/>
    <n v="0"/>
  </r>
  <r>
    <d v="2025-02-07T00:00:00"/>
    <x v="1"/>
    <x v="1"/>
    <x v="5"/>
    <x v="6"/>
    <x v="14"/>
    <x v="13"/>
    <x v="1"/>
    <n v="271670000"/>
  </r>
  <r>
    <d v="2025-02-07T00:00:00"/>
    <x v="1"/>
    <x v="1"/>
    <x v="5"/>
    <x v="6"/>
    <x v="23"/>
    <x v="17"/>
    <x v="4"/>
    <n v="0"/>
  </r>
  <r>
    <d v="2025-02-07T00:00:00"/>
    <x v="1"/>
    <x v="1"/>
    <x v="5"/>
    <x v="6"/>
    <x v="18"/>
    <x v="15"/>
    <x v="1"/>
    <n v="248690000"/>
  </r>
  <r>
    <d v="2025-02-07T00:00:00"/>
    <x v="1"/>
    <x v="1"/>
    <x v="5"/>
    <x v="6"/>
    <x v="22"/>
    <x v="16"/>
    <x v="1"/>
    <n v="0"/>
  </r>
  <r>
    <d v="2025-02-07T00:00:00"/>
    <x v="1"/>
    <x v="1"/>
    <x v="5"/>
    <x v="6"/>
    <x v="7"/>
    <x v="7"/>
    <x v="4"/>
    <n v="528740326"/>
  </r>
  <r>
    <d v="2025-02-07T00:00:00"/>
    <x v="1"/>
    <x v="1"/>
    <x v="5"/>
    <x v="6"/>
    <x v="8"/>
    <x v="8"/>
    <x v="1"/>
    <n v="0"/>
  </r>
  <r>
    <d v="2025-02-07T00:00:00"/>
    <x v="1"/>
    <x v="1"/>
    <x v="5"/>
    <x v="6"/>
    <x v="12"/>
    <x v="11"/>
    <x v="1"/>
    <n v="3243520000"/>
  </r>
  <r>
    <d v="2025-02-07T00:00:00"/>
    <x v="1"/>
    <x v="1"/>
    <x v="5"/>
    <x v="6"/>
    <x v="2"/>
    <x v="2"/>
    <x v="1"/>
    <n v="4004510000"/>
  </r>
  <r>
    <d v="2025-02-07T00:00:00"/>
    <x v="1"/>
    <x v="1"/>
    <x v="5"/>
    <x v="6"/>
    <x v="15"/>
    <x v="14"/>
    <x v="4"/>
    <n v="35613624"/>
  </r>
  <r>
    <d v="2025-02-07T00:00:00"/>
    <x v="1"/>
    <x v="1"/>
    <x v="5"/>
    <x v="6"/>
    <x v="21"/>
    <x v="9"/>
    <x v="1"/>
    <n v="0"/>
  </r>
  <r>
    <d v="2025-02-07T00:00:00"/>
    <x v="1"/>
    <x v="1"/>
    <x v="5"/>
    <x v="6"/>
    <x v="11"/>
    <x v="10"/>
    <x v="4"/>
    <n v="248571075"/>
  </r>
  <r>
    <d v="2025-02-07T00:00:00"/>
    <x v="1"/>
    <x v="1"/>
    <x v="5"/>
    <x v="6"/>
    <x v="3"/>
    <x v="3"/>
    <x v="1"/>
    <n v="0"/>
  </r>
  <r>
    <d v="2025-02-07T00:00:00"/>
    <x v="1"/>
    <x v="1"/>
    <x v="5"/>
    <x v="6"/>
    <x v="0"/>
    <x v="0"/>
    <x v="0"/>
    <n v="4802500000"/>
  </r>
  <r>
    <d v="2025-02-07T00:00:00"/>
    <x v="1"/>
    <x v="1"/>
    <x v="5"/>
    <x v="6"/>
    <x v="5"/>
    <x v="5"/>
    <x v="3"/>
    <n v="3032423056"/>
  </r>
  <r>
    <d v="2025-02-07T00:00:00"/>
    <x v="1"/>
    <x v="1"/>
    <x v="5"/>
    <x v="6"/>
    <x v="19"/>
    <x v="12"/>
    <x v="4"/>
    <n v="399251721"/>
  </r>
  <r>
    <d v="2025-02-07T00:00:00"/>
    <x v="1"/>
    <x v="1"/>
    <x v="5"/>
    <x v="6"/>
    <x v="6"/>
    <x v="6"/>
    <x v="0"/>
    <n v="56000000"/>
  </r>
  <r>
    <d v="2025-02-07T00:00:00"/>
    <x v="1"/>
    <x v="1"/>
    <x v="5"/>
    <x v="6"/>
    <x v="17"/>
    <x v="9"/>
    <x v="1"/>
    <n v="0"/>
  </r>
  <r>
    <d v="2025-02-07T00:00:00"/>
    <x v="1"/>
    <x v="1"/>
    <x v="5"/>
    <x v="6"/>
    <x v="1"/>
    <x v="1"/>
    <x v="1"/>
    <n v="22050000"/>
  </r>
  <r>
    <d v="2025-02-08T00:00:00"/>
    <x v="1"/>
    <x v="1"/>
    <x v="5"/>
    <x v="7"/>
    <x v="22"/>
    <x v="16"/>
    <x v="1"/>
    <n v="0"/>
  </r>
  <r>
    <d v="2025-02-08T00:00:00"/>
    <x v="1"/>
    <x v="1"/>
    <x v="5"/>
    <x v="7"/>
    <x v="5"/>
    <x v="5"/>
    <x v="3"/>
    <n v="2744916686"/>
  </r>
  <r>
    <d v="2025-02-08T00:00:00"/>
    <x v="1"/>
    <x v="1"/>
    <x v="5"/>
    <x v="7"/>
    <x v="19"/>
    <x v="12"/>
    <x v="4"/>
    <n v="341394512"/>
  </r>
  <r>
    <d v="2025-02-08T00:00:00"/>
    <x v="1"/>
    <x v="1"/>
    <x v="5"/>
    <x v="7"/>
    <x v="23"/>
    <x v="17"/>
    <x v="4"/>
    <n v="0"/>
  </r>
  <r>
    <d v="2025-02-08T00:00:00"/>
    <x v="1"/>
    <x v="1"/>
    <x v="5"/>
    <x v="7"/>
    <x v="1"/>
    <x v="1"/>
    <x v="1"/>
    <n v="42000000"/>
  </r>
  <r>
    <d v="2025-02-08T00:00:00"/>
    <x v="1"/>
    <x v="1"/>
    <x v="5"/>
    <x v="7"/>
    <x v="8"/>
    <x v="8"/>
    <x v="1"/>
    <n v="0"/>
  </r>
  <r>
    <d v="2025-02-08T00:00:00"/>
    <x v="1"/>
    <x v="1"/>
    <x v="5"/>
    <x v="7"/>
    <x v="20"/>
    <x v="9"/>
    <x v="1"/>
    <n v="0"/>
  </r>
  <r>
    <d v="2025-02-08T00:00:00"/>
    <x v="1"/>
    <x v="1"/>
    <x v="5"/>
    <x v="7"/>
    <x v="2"/>
    <x v="2"/>
    <x v="1"/>
    <n v="4270320000"/>
  </r>
  <r>
    <d v="2025-02-08T00:00:00"/>
    <x v="1"/>
    <x v="1"/>
    <x v="5"/>
    <x v="7"/>
    <x v="0"/>
    <x v="0"/>
    <x v="0"/>
    <n v="4388500000"/>
  </r>
  <r>
    <d v="2025-02-08T00:00:00"/>
    <x v="1"/>
    <x v="1"/>
    <x v="5"/>
    <x v="7"/>
    <x v="12"/>
    <x v="11"/>
    <x v="1"/>
    <n v="3521690000"/>
  </r>
  <r>
    <d v="2025-02-08T00:00:00"/>
    <x v="1"/>
    <x v="1"/>
    <x v="5"/>
    <x v="7"/>
    <x v="6"/>
    <x v="6"/>
    <x v="0"/>
    <n v="59000000"/>
  </r>
  <r>
    <d v="2025-02-08T00:00:00"/>
    <x v="1"/>
    <x v="1"/>
    <x v="5"/>
    <x v="7"/>
    <x v="21"/>
    <x v="9"/>
    <x v="1"/>
    <n v="0"/>
  </r>
  <r>
    <d v="2025-02-08T00:00:00"/>
    <x v="1"/>
    <x v="1"/>
    <x v="5"/>
    <x v="7"/>
    <x v="17"/>
    <x v="9"/>
    <x v="1"/>
    <n v="0"/>
  </r>
  <r>
    <d v="2025-02-08T00:00:00"/>
    <x v="1"/>
    <x v="1"/>
    <x v="5"/>
    <x v="7"/>
    <x v="14"/>
    <x v="13"/>
    <x v="1"/>
    <n v="471200000"/>
  </r>
  <r>
    <d v="2025-02-08T00:00:00"/>
    <x v="1"/>
    <x v="1"/>
    <x v="5"/>
    <x v="7"/>
    <x v="11"/>
    <x v="10"/>
    <x v="4"/>
    <n v="218714881"/>
  </r>
  <r>
    <d v="2025-02-08T00:00:00"/>
    <x v="1"/>
    <x v="1"/>
    <x v="5"/>
    <x v="7"/>
    <x v="15"/>
    <x v="14"/>
    <x v="4"/>
    <n v="42420930"/>
  </r>
  <r>
    <d v="2025-02-08T00:00:00"/>
    <x v="1"/>
    <x v="1"/>
    <x v="5"/>
    <x v="7"/>
    <x v="18"/>
    <x v="15"/>
    <x v="1"/>
    <n v="192260000"/>
  </r>
  <r>
    <d v="2025-02-08T00:00:00"/>
    <x v="1"/>
    <x v="1"/>
    <x v="5"/>
    <x v="7"/>
    <x v="3"/>
    <x v="3"/>
    <x v="1"/>
    <n v="0"/>
  </r>
  <r>
    <d v="2025-02-08T00:00:00"/>
    <x v="1"/>
    <x v="1"/>
    <x v="5"/>
    <x v="7"/>
    <x v="7"/>
    <x v="7"/>
    <x v="4"/>
    <n v="456097427"/>
  </r>
  <r>
    <d v="2025-02-09T00:00:00"/>
    <x v="1"/>
    <x v="1"/>
    <x v="5"/>
    <x v="8"/>
    <x v="20"/>
    <x v="9"/>
    <x v="1"/>
    <n v="0"/>
  </r>
  <r>
    <d v="2025-02-09T00:00:00"/>
    <x v="1"/>
    <x v="1"/>
    <x v="5"/>
    <x v="8"/>
    <x v="2"/>
    <x v="2"/>
    <x v="1"/>
    <n v="4133050000"/>
  </r>
  <r>
    <d v="2025-02-09T00:00:00"/>
    <x v="1"/>
    <x v="1"/>
    <x v="5"/>
    <x v="8"/>
    <x v="6"/>
    <x v="6"/>
    <x v="0"/>
    <n v="41000000"/>
  </r>
  <r>
    <d v="2025-02-09T00:00:00"/>
    <x v="1"/>
    <x v="1"/>
    <x v="5"/>
    <x v="8"/>
    <x v="0"/>
    <x v="0"/>
    <x v="0"/>
    <n v="3893000000"/>
  </r>
  <r>
    <d v="2025-02-09T00:00:00"/>
    <x v="1"/>
    <x v="1"/>
    <x v="5"/>
    <x v="8"/>
    <x v="5"/>
    <x v="5"/>
    <x v="3"/>
    <n v="2735973754"/>
  </r>
  <r>
    <d v="2025-02-09T00:00:00"/>
    <x v="1"/>
    <x v="1"/>
    <x v="5"/>
    <x v="8"/>
    <x v="14"/>
    <x v="13"/>
    <x v="1"/>
    <n v="323910000"/>
  </r>
  <r>
    <d v="2025-02-09T00:00:00"/>
    <x v="1"/>
    <x v="1"/>
    <x v="5"/>
    <x v="8"/>
    <x v="23"/>
    <x v="17"/>
    <x v="4"/>
    <n v="0"/>
  </r>
  <r>
    <d v="2025-02-09T00:00:00"/>
    <x v="1"/>
    <x v="1"/>
    <x v="5"/>
    <x v="8"/>
    <x v="22"/>
    <x v="16"/>
    <x v="1"/>
    <n v="0"/>
  </r>
  <r>
    <d v="2025-02-09T00:00:00"/>
    <x v="1"/>
    <x v="1"/>
    <x v="5"/>
    <x v="8"/>
    <x v="15"/>
    <x v="14"/>
    <x v="4"/>
    <n v="34261656"/>
  </r>
  <r>
    <d v="2025-02-09T00:00:00"/>
    <x v="1"/>
    <x v="1"/>
    <x v="5"/>
    <x v="8"/>
    <x v="1"/>
    <x v="1"/>
    <x v="1"/>
    <n v="10000000"/>
  </r>
  <r>
    <d v="2025-02-09T00:00:00"/>
    <x v="1"/>
    <x v="1"/>
    <x v="5"/>
    <x v="8"/>
    <x v="3"/>
    <x v="3"/>
    <x v="1"/>
    <n v="0"/>
  </r>
  <r>
    <d v="2025-02-09T00:00:00"/>
    <x v="1"/>
    <x v="1"/>
    <x v="5"/>
    <x v="8"/>
    <x v="18"/>
    <x v="15"/>
    <x v="1"/>
    <n v="291170000"/>
  </r>
  <r>
    <d v="2025-02-09T00:00:00"/>
    <x v="1"/>
    <x v="1"/>
    <x v="5"/>
    <x v="8"/>
    <x v="19"/>
    <x v="12"/>
    <x v="4"/>
    <n v="358289376"/>
  </r>
  <r>
    <d v="2025-02-09T00:00:00"/>
    <x v="1"/>
    <x v="1"/>
    <x v="5"/>
    <x v="8"/>
    <x v="21"/>
    <x v="9"/>
    <x v="1"/>
    <n v="0"/>
  </r>
  <r>
    <d v="2025-02-09T00:00:00"/>
    <x v="1"/>
    <x v="1"/>
    <x v="5"/>
    <x v="8"/>
    <x v="11"/>
    <x v="10"/>
    <x v="4"/>
    <n v="215347933"/>
  </r>
  <r>
    <d v="2025-02-09T00:00:00"/>
    <x v="1"/>
    <x v="1"/>
    <x v="5"/>
    <x v="8"/>
    <x v="17"/>
    <x v="9"/>
    <x v="1"/>
    <n v="0"/>
  </r>
  <r>
    <d v="2025-02-09T00:00:00"/>
    <x v="1"/>
    <x v="1"/>
    <x v="5"/>
    <x v="8"/>
    <x v="12"/>
    <x v="11"/>
    <x v="1"/>
    <n v="3180860000"/>
  </r>
  <r>
    <d v="2025-02-09T00:00:00"/>
    <x v="1"/>
    <x v="1"/>
    <x v="5"/>
    <x v="8"/>
    <x v="8"/>
    <x v="8"/>
    <x v="1"/>
    <n v="0"/>
  </r>
  <r>
    <d v="2025-02-09T00:00:00"/>
    <x v="1"/>
    <x v="1"/>
    <x v="5"/>
    <x v="8"/>
    <x v="7"/>
    <x v="7"/>
    <x v="4"/>
    <n v="396053322"/>
  </r>
  <r>
    <d v="2025-02-10T00:00:00"/>
    <x v="1"/>
    <x v="1"/>
    <x v="6"/>
    <x v="9"/>
    <x v="21"/>
    <x v="9"/>
    <x v="1"/>
    <n v="0"/>
  </r>
  <r>
    <d v="2025-02-10T00:00:00"/>
    <x v="1"/>
    <x v="1"/>
    <x v="6"/>
    <x v="9"/>
    <x v="14"/>
    <x v="13"/>
    <x v="1"/>
    <n v="457670000"/>
  </r>
  <r>
    <d v="2025-02-10T00:00:00"/>
    <x v="1"/>
    <x v="1"/>
    <x v="6"/>
    <x v="9"/>
    <x v="20"/>
    <x v="9"/>
    <x v="1"/>
    <n v="0"/>
  </r>
  <r>
    <d v="2025-02-10T00:00:00"/>
    <x v="1"/>
    <x v="1"/>
    <x v="6"/>
    <x v="9"/>
    <x v="1"/>
    <x v="1"/>
    <x v="1"/>
    <n v="95000000"/>
  </r>
  <r>
    <d v="2025-02-10T00:00:00"/>
    <x v="1"/>
    <x v="1"/>
    <x v="6"/>
    <x v="9"/>
    <x v="17"/>
    <x v="9"/>
    <x v="1"/>
    <n v="0"/>
  </r>
  <r>
    <d v="2025-02-10T00:00:00"/>
    <x v="1"/>
    <x v="1"/>
    <x v="6"/>
    <x v="9"/>
    <x v="23"/>
    <x v="17"/>
    <x v="4"/>
    <n v="0"/>
  </r>
  <r>
    <d v="2025-02-10T00:00:00"/>
    <x v="1"/>
    <x v="1"/>
    <x v="6"/>
    <x v="9"/>
    <x v="22"/>
    <x v="16"/>
    <x v="1"/>
    <n v="0"/>
  </r>
  <r>
    <d v="2025-02-10T00:00:00"/>
    <x v="1"/>
    <x v="1"/>
    <x v="6"/>
    <x v="9"/>
    <x v="15"/>
    <x v="14"/>
    <x v="4"/>
    <n v="20109609"/>
  </r>
  <r>
    <d v="2025-02-10T00:00:00"/>
    <x v="1"/>
    <x v="1"/>
    <x v="6"/>
    <x v="9"/>
    <x v="18"/>
    <x v="15"/>
    <x v="1"/>
    <n v="293010000"/>
  </r>
  <r>
    <d v="2025-02-10T00:00:00"/>
    <x v="1"/>
    <x v="1"/>
    <x v="6"/>
    <x v="9"/>
    <x v="6"/>
    <x v="6"/>
    <x v="0"/>
    <n v="44000000"/>
  </r>
  <r>
    <d v="2025-02-10T00:00:00"/>
    <x v="1"/>
    <x v="1"/>
    <x v="6"/>
    <x v="9"/>
    <x v="11"/>
    <x v="10"/>
    <x v="4"/>
    <n v="226879854"/>
  </r>
  <r>
    <d v="2025-02-10T00:00:00"/>
    <x v="1"/>
    <x v="1"/>
    <x v="6"/>
    <x v="9"/>
    <x v="19"/>
    <x v="12"/>
    <x v="4"/>
    <n v="373130314"/>
  </r>
  <r>
    <d v="2025-02-10T00:00:00"/>
    <x v="1"/>
    <x v="1"/>
    <x v="6"/>
    <x v="9"/>
    <x v="8"/>
    <x v="8"/>
    <x v="1"/>
    <n v="0"/>
  </r>
  <r>
    <d v="2025-02-10T00:00:00"/>
    <x v="1"/>
    <x v="1"/>
    <x v="6"/>
    <x v="9"/>
    <x v="5"/>
    <x v="5"/>
    <x v="3"/>
    <n v="4173814193"/>
  </r>
  <r>
    <d v="2025-02-10T00:00:00"/>
    <x v="1"/>
    <x v="1"/>
    <x v="6"/>
    <x v="9"/>
    <x v="7"/>
    <x v="7"/>
    <x v="4"/>
    <n v="430440735"/>
  </r>
  <r>
    <d v="2025-02-10T00:00:00"/>
    <x v="1"/>
    <x v="1"/>
    <x v="6"/>
    <x v="9"/>
    <x v="3"/>
    <x v="3"/>
    <x v="1"/>
    <n v="20000000"/>
  </r>
  <r>
    <d v="2025-02-10T00:00:00"/>
    <x v="1"/>
    <x v="1"/>
    <x v="6"/>
    <x v="9"/>
    <x v="12"/>
    <x v="11"/>
    <x v="1"/>
    <n v="4342460000"/>
  </r>
  <r>
    <d v="2025-02-10T00:00:00"/>
    <x v="1"/>
    <x v="1"/>
    <x v="6"/>
    <x v="9"/>
    <x v="0"/>
    <x v="0"/>
    <x v="0"/>
    <n v="6486500000"/>
  </r>
  <r>
    <d v="2025-02-10T00:00:00"/>
    <x v="1"/>
    <x v="1"/>
    <x v="6"/>
    <x v="9"/>
    <x v="2"/>
    <x v="2"/>
    <x v="1"/>
    <n v="5201270000"/>
  </r>
  <r>
    <d v="2025-02-11T00:00:00"/>
    <x v="1"/>
    <x v="1"/>
    <x v="6"/>
    <x v="10"/>
    <x v="8"/>
    <x v="8"/>
    <x v="1"/>
    <n v="0"/>
  </r>
  <r>
    <d v="2025-02-11T00:00:00"/>
    <x v="1"/>
    <x v="1"/>
    <x v="6"/>
    <x v="10"/>
    <x v="11"/>
    <x v="10"/>
    <x v="4"/>
    <n v="225129051"/>
  </r>
  <r>
    <d v="2025-02-11T00:00:00"/>
    <x v="1"/>
    <x v="1"/>
    <x v="6"/>
    <x v="10"/>
    <x v="2"/>
    <x v="2"/>
    <x v="1"/>
    <n v="5217990000"/>
  </r>
  <r>
    <d v="2025-02-11T00:00:00"/>
    <x v="1"/>
    <x v="1"/>
    <x v="6"/>
    <x v="10"/>
    <x v="14"/>
    <x v="13"/>
    <x v="1"/>
    <n v="484910000"/>
  </r>
  <r>
    <d v="2025-02-11T00:00:00"/>
    <x v="1"/>
    <x v="1"/>
    <x v="6"/>
    <x v="10"/>
    <x v="18"/>
    <x v="15"/>
    <x v="1"/>
    <n v="216880000"/>
  </r>
  <r>
    <d v="2025-02-11T00:00:00"/>
    <x v="1"/>
    <x v="1"/>
    <x v="6"/>
    <x v="10"/>
    <x v="15"/>
    <x v="14"/>
    <x v="4"/>
    <n v="26670209"/>
  </r>
  <r>
    <d v="2025-02-11T00:00:00"/>
    <x v="1"/>
    <x v="1"/>
    <x v="6"/>
    <x v="10"/>
    <x v="22"/>
    <x v="16"/>
    <x v="1"/>
    <n v="0"/>
  </r>
  <r>
    <d v="2025-02-11T00:00:00"/>
    <x v="1"/>
    <x v="1"/>
    <x v="6"/>
    <x v="10"/>
    <x v="21"/>
    <x v="9"/>
    <x v="1"/>
    <n v="0"/>
  </r>
  <r>
    <d v="2025-02-11T00:00:00"/>
    <x v="1"/>
    <x v="1"/>
    <x v="6"/>
    <x v="10"/>
    <x v="6"/>
    <x v="6"/>
    <x v="0"/>
    <n v="20000000"/>
  </r>
  <r>
    <d v="2025-02-11T00:00:00"/>
    <x v="1"/>
    <x v="1"/>
    <x v="6"/>
    <x v="10"/>
    <x v="17"/>
    <x v="9"/>
    <x v="1"/>
    <n v="0"/>
  </r>
  <r>
    <d v="2025-02-11T00:00:00"/>
    <x v="1"/>
    <x v="1"/>
    <x v="6"/>
    <x v="10"/>
    <x v="3"/>
    <x v="3"/>
    <x v="1"/>
    <n v="0"/>
  </r>
  <r>
    <d v="2025-02-11T00:00:00"/>
    <x v="1"/>
    <x v="1"/>
    <x v="6"/>
    <x v="10"/>
    <x v="19"/>
    <x v="12"/>
    <x v="4"/>
    <n v="336642414"/>
  </r>
  <r>
    <d v="2025-02-11T00:00:00"/>
    <x v="1"/>
    <x v="1"/>
    <x v="6"/>
    <x v="10"/>
    <x v="20"/>
    <x v="9"/>
    <x v="1"/>
    <n v="0"/>
  </r>
  <r>
    <d v="2025-02-11T00:00:00"/>
    <x v="1"/>
    <x v="1"/>
    <x v="6"/>
    <x v="10"/>
    <x v="7"/>
    <x v="7"/>
    <x v="4"/>
    <n v="444396608"/>
  </r>
  <r>
    <d v="2025-02-11T00:00:00"/>
    <x v="1"/>
    <x v="1"/>
    <x v="6"/>
    <x v="10"/>
    <x v="23"/>
    <x v="17"/>
    <x v="4"/>
    <n v="1340400000"/>
  </r>
  <r>
    <d v="2025-02-11T00:00:00"/>
    <x v="1"/>
    <x v="1"/>
    <x v="6"/>
    <x v="10"/>
    <x v="1"/>
    <x v="1"/>
    <x v="1"/>
    <n v="36750000"/>
  </r>
  <r>
    <d v="2025-02-11T00:00:00"/>
    <x v="1"/>
    <x v="1"/>
    <x v="6"/>
    <x v="10"/>
    <x v="5"/>
    <x v="5"/>
    <x v="3"/>
    <n v="3197373099"/>
  </r>
  <r>
    <d v="2025-02-11T00:00:00"/>
    <x v="1"/>
    <x v="1"/>
    <x v="6"/>
    <x v="10"/>
    <x v="12"/>
    <x v="11"/>
    <x v="1"/>
    <n v="4873660000"/>
  </r>
  <r>
    <d v="2025-02-11T00:00:00"/>
    <x v="1"/>
    <x v="1"/>
    <x v="6"/>
    <x v="10"/>
    <x v="0"/>
    <x v="0"/>
    <x v="0"/>
    <n v="5204500000"/>
  </r>
  <r>
    <d v="2025-02-12T00:00:00"/>
    <x v="1"/>
    <x v="1"/>
    <x v="6"/>
    <x v="11"/>
    <x v="20"/>
    <x v="9"/>
    <x v="1"/>
    <n v="0"/>
  </r>
  <r>
    <d v="2025-02-12T00:00:00"/>
    <x v="1"/>
    <x v="1"/>
    <x v="6"/>
    <x v="11"/>
    <x v="6"/>
    <x v="6"/>
    <x v="0"/>
    <n v="68000000"/>
  </r>
  <r>
    <d v="2025-02-12T00:00:00"/>
    <x v="1"/>
    <x v="1"/>
    <x v="6"/>
    <x v="11"/>
    <x v="18"/>
    <x v="15"/>
    <x v="1"/>
    <n v="190080000"/>
  </r>
  <r>
    <d v="2025-02-12T00:00:00"/>
    <x v="1"/>
    <x v="1"/>
    <x v="6"/>
    <x v="11"/>
    <x v="17"/>
    <x v="9"/>
    <x v="1"/>
    <n v="0"/>
  </r>
  <r>
    <d v="2025-02-12T00:00:00"/>
    <x v="1"/>
    <x v="1"/>
    <x v="6"/>
    <x v="11"/>
    <x v="23"/>
    <x v="17"/>
    <x v="4"/>
    <n v="4196023000"/>
  </r>
  <r>
    <d v="2025-02-12T00:00:00"/>
    <x v="1"/>
    <x v="1"/>
    <x v="6"/>
    <x v="11"/>
    <x v="14"/>
    <x v="13"/>
    <x v="1"/>
    <n v="509040000"/>
  </r>
  <r>
    <d v="2025-02-12T00:00:00"/>
    <x v="1"/>
    <x v="1"/>
    <x v="6"/>
    <x v="11"/>
    <x v="7"/>
    <x v="7"/>
    <x v="4"/>
    <n v="396765193"/>
  </r>
  <r>
    <d v="2025-02-12T00:00:00"/>
    <x v="1"/>
    <x v="1"/>
    <x v="6"/>
    <x v="11"/>
    <x v="5"/>
    <x v="5"/>
    <x v="3"/>
    <n v="3060068720"/>
  </r>
  <r>
    <d v="2025-02-12T00:00:00"/>
    <x v="1"/>
    <x v="1"/>
    <x v="6"/>
    <x v="11"/>
    <x v="21"/>
    <x v="9"/>
    <x v="1"/>
    <n v="0"/>
  </r>
  <r>
    <d v="2025-02-12T00:00:00"/>
    <x v="1"/>
    <x v="1"/>
    <x v="6"/>
    <x v="11"/>
    <x v="12"/>
    <x v="11"/>
    <x v="1"/>
    <n v="4437870000"/>
  </r>
  <r>
    <d v="2025-02-12T00:00:00"/>
    <x v="1"/>
    <x v="1"/>
    <x v="6"/>
    <x v="11"/>
    <x v="2"/>
    <x v="2"/>
    <x v="1"/>
    <n v="4561590000"/>
  </r>
  <r>
    <d v="2025-02-12T00:00:00"/>
    <x v="1"/>
    <x v="1"/>
    <x v="6"/>
    <x v="11"/>
    <x v="0"/>
    <x v="0"/>
    <x v="0"/>
    <n v="4900000000"/>
  </r>
  <r>
    <d v="2025-02-12T00:00:00"/>
    <x v="1"/>
    <x v="1"/>
    <x v="6"/>
    <x v="11"/>
    <x v="22"/>
    <x v="16"/>
    <x v="1"/>
    <n v="0"/>
  </r>
  <r>
    <d v="2025-02-12T00:00:00"/>
    <x v="1"/>
    <x v="1"/>
    <x v="6"/>
    <x v="11"/>
    <x v="3"/>
    <x v="3"/>
    <x v="1"/>
    <n v="0"/>
  </r>
  <r>
    <d v="2025-02-12T00:00:00"/>
    <x v="1"/>
    <x v="1"/>
    <x v="6"/>
    <x v="11"/>
    <x v="8"/>
    <x v="8"/>
    <x v="1"/>
    <n v="0"/>
  </r>
  <r>
    <d v="2025-02-12T00:00:00"/>
    <x v="1"/>
    <x v="1"/>
    <x v="6"/>
    <x v="11"/>
    <x v="15"/>
    <x v="14"/>
    <x v="4"/>
    <n v="25707833"/>
  </r>
  <r>
    <d v="2025-02-12T00:00:00"/>
    <x v="1"/>
    <x v="1"/>
    <x v="6"/>
    <x v="11"/>
    <x v="19"/>
    <x v="12"/>
    <x v="4"/>
    <n v="262455503"/>
  </r>
  <r>
    <d v="2025-02-12T00:00:00"/>
    <x v="1"/>
    <x v="1"/>
    <x v="6"/>
    <x v="11"/>
    <x v="11"/>
    <x v="10"/>
    <x v="4"/>
    <n v="201579212"/>
  </r>
  <r>
    <d v="2025-02-12T00:00:00"/>
    <x v="1"/>
    <x v="1"/>
    <x v="6"/>
    <x v="11"/>
    <x v="1"/>
    <x v="1"/>
    <x v="1"/>
    <n v="0"/>
  </r>
  <r>
    <d v="2025-02-13T00:00:00"/>
    <x v="1"/>
    <x v="1"/>
    <x v="6"/>
    <x v="12"/>
    <x v="19"/>
    <x v="12"/>
    <x v="4"/>
    <n v="280738963"/>
  </r>
  <r>
    <d v="2025-02-13T00:00:00"/>
    <x v="1"/>
    <x v="1"/>
    <x v="6"/>
    <x v="12"/>
    <x v="1"/>
    <x v="1"/>
    <x v="1"/>
    <n v="21000000"/>
  </r>
  <r>
    <d v="2025-02-13T00:00:00"/>
    <x v="1"/>
    <x v="1"/>
    <x v="6"/>
    <x v="12"/>
    <x v="23"/>
    <x v="17"/>
    <x v="4"/>
    <n v="2239686000"/>
  </r>
  <r>
    <d v="2025-02-13T00:00:00"/>
    <x v="1"/>
    <x v="1"/>
    <x v="6"/>
    <x v="12"/>
    <x v="6"/>
    <x v="6"/>
    <x v="0"/>
    <n v="41000000"/>
  </r>
  <r>
    <d v="2025-02-13T00:00:00"/>
    <x v="1"/>
    <x v="1"/>
    <x v="6"/>
    <x v="12"/>
    <x v="11"/>
    <x v="10"/>
    <x v="4"/>
    <n v="215986937"/>
  </r>
  <r>
    <d v="2025-02-13T00:00:00"/>
    <x v="1"/>
    <x v="1"/>
    <x v="6"/>
    <x v="12"/>
    <x v="15"/>
    <x v="14"/>
    <x v="4"/>
    <n v="19147901"/>
  </r>
  <r>
    <d v="2025-02-13T00:00:00"/>
    <x v="1"/>
    <x v="1"/>
    <x v="6"/>
    <x v="12"/>
    <x v="3"/>
    <x v="3"/>
    <x v="1"/>
    <n v="0"/>
  </r>
  <r>
    <d v="2025-02-13T00:00:00"/>
    <x v="1"/>
    <x v="1"/>
    <x v="6"/>
    <x v="12"/>
    <x v="17"/>
    <x v="9"/>
    <x v="1"/>
    <n v="0"/>
  </r>
  <r>
    <d v="2025-02-13T00:00:00"/>
    <x v="1"/>
    <x v="1"/>
    <x v="6"/>
    <x v="12"/>
    <x v="20"/>
    <x v="9"/>
    <x v="1"/>
    <n v="0"/>
  </r>
  <r>
    <d v="2025-02-13T00:00:00"/>
    <x v="1"/>
    <x v="1"/>
    <x v="6"/>
    <x v="12"/>
    <x v="21"/>
    <x v="9"/>
    <x v="1"/>
    <n v="0"/>
  </r>
  <r>
    <d v="2025-02-13T00:00:00"/>
    <x v="1"/>
    <x v="1"/>
    <x v="6"/>
    <x v="12"/>
    <x v="22"/>
    <x v="16"/>
    <x v="1"/>
    <n v="0"/>
  </r>
  <r>
    <d v="2025-02-13T00:00:00"/>
    <x v="1"/>
    <x v="1"/>
    <x v="6"/>
    <x v="12"/>
    <x v="18"/>
    <x v="15"/>
    <x v="1"/>
    <n v="184450000"/>
  </r>
  <r>
    <d v="2025-02-13T00:00:00"/>
    <x v="1"/>
    <x v="1"/>
    <x v="6"/>
    <x v="12"/>
    <x v="14"/>
    <x v="13"/>
    <x v="1"/>
    <n v="424930000"/>
  </r>
  <r>
    <d v="2025-02-13T00:00:00"/>
    <x v="1"/>
    <x v="1"/>
    <x v="6"/>
    <x v="12"/>
    <x v="12"/>
    <x v="11"/>
    <x v="1"/>
    <n v="4235180000"/>
  </r>
  <r>
    <d v="2025-02-13T00:00:00"/>
    <x v="1"/>
    <x v="1"/>
    <x v="6"/>
    <x v="12"/>
    <x v="8"/>
    <x v="8"/>
    <x v="1"/>
    <n v="0"/>
  </r>
  <r>
    <d v="2025-02-13T00:00:00"/>
    <x v="1"/>
    <x v="1"/>
    <x v="6"/>
    <x v="12"/>
    <x v="2"/>
    <x v="2"/>
    <x v="1"/>
    <n v="4957700000"/>
  </r>
  <r>
    <d v="2025-02-13T00:00:00"/>
    <x v="1"/>
    <x v="1"/>
    <x v="6"/>
    <x v="12"/>
    <x v="0"/>
    <x v="0"/>
    <x v="0"/>
    <n v="4892500000"/>
  </r>
  <r>
    <d v="2025-02-13T00:00:00"/>
    <x v="1"/>
    <x v="1"/>
    <x v="6"/>
    <x v="12"/>
    <x v="5"/>
    <x v="5"/>
    <x v="3"/>
    <n v="3247200579"/>
  </r>
  <r>
    <d v="2025-02-13T00:00:00"/>
    <x v="1"/>
    <x v="1"/>
    <x v="6"/>
    <x v="12"/>
    <x v="7"/>
    <x v="7"/>
    <x v="4"/>
    <n v="389227378"/>
  </r>
  <r>
    <d v="2025-02-14T00:00:00"/>
    <x v="1"/>
    <x v="1"/>
    <x v="6"/>
    <x v="13"/>
    <x v="0"/>
    <x v="0"/>
    <x v="0"/>
    <n v="5389500000"/>
  </r>
  <r>
    <d v="2025-02-14T00:00:00"/>
    <x v="1"/>
    <x v="1"/>
    <x v="6"/>
    <x v="13"/>
    <x v="22"/>
    <x v="16"/>
    <x v="1"/>
    <n v="0"/>
  </r>
  <r>
    <d v="2025-02-14T00:00:00"/>
    <x v="1"/>
    <x v="1"/>
    <x v="6"/>
    <x v="13"/>
    <x v="21"/>
    <x v="9"/>
    <x v="1"/>
    <n v="0"/>
  </r>
  <r>
    <d v="2025-02-14T00:00:00"/>
    <x v="1"/>
    <x v="1"/>
    <x v="6"/>
    <x v="13"/>
    <x v="2"/>
    <x v="2"/>
    <x v="1"/>
    <n v="4791360000"/>
  </r>
  <r>
    <d v="2025-02-14T00:00:00"/>
    <x v="1"/>
    <x v="1"/>
    <x v="6"/>
    <x v="13"/>
    <x v="12"/>
    <x v="11"/>
    <x v="1"/>
    <n v="4836380000"/>
  </r>
  <r>
    <d v="2025-02-14T00:00:00"/>
    <x v="1"/>
    <x v="1"/>
    <x v="6"/>
    <x v="13"/>
    <x v="5"/>
    <x v="5"/>
    <x v="3"/>
    <n v="3733702520"/>
  </r>
  <r>
    <d v="2025-02-14T00:00:00"/>
    <x v="1"/>
    <x v="1"/>
    <x v="6"/>
    <x v="13"/>
    <x v="1"/>
    <x v="1"/>
    <x v="1"/>
    <n v="84000000"/>
  </r>
  <r>
    <d v="2025-02-14T00:00:00"/>
    <x v="1"/>
    <x v="1"/>
    <x v="6"/>
    <x v="13"/>
    <x v="6"/>
    <x v="6"/>
    <x v="0"/>
    <n v="18000000"/>
  </r>
  <r>
    <d v="2025-02-14T00:00:00"/>
    <x v="1"/>
    <x v="1"/>
    <x v="6"/>
    <x v="13"/>
    <x v="15"/>
    <x v="14"/>
    <x v="4"/>
    <n v="17074519"/>
  </r>
  <r>
    <d v="2025-02-14T00:00:00"/>
    <x v="1"/>
    <x v="1"/>
    <x v="6"/>
    <x v="13"/>
    <x v="23"/>
    <x v="17"/>
    <x v="4"/>
    <n v="771213000"/>
  </r>
  <r>
    <d v="2025-02-14T00:00:00"/>
    <x v="1"/>
    <x v="1"/>
    <x v="6"/>
    <x v="13"/>
    <x v="17"/>
    <x v="9"/>
    <x v="1"/>
    <n v="0"/>
  </r>
  <r>
    <d v="2025-02-14T00:00:00"/>
    <x v="1"/>
    <x v="1"/>
    <x v="6"/>
    <x v="13"/>
    <x v="20"/>
    <x v="9"/>
    <x v="1"/>
    <n v="0"/>
  </r>
  <r>
    <d v="2025-02-14T00:00:00"/>
    <x v="1"/>
    <x v="1"/>
    <x v="6"/>
    <x v="13"/>
    <x v="19"/>
    <x v="12"/>
    <x v="4"/>
    <n v="268830780"/>
  </r>
  <r>
    <d v="2025-02-14T00:00:00"/>
    <x v="1"/>
    <x v="1"/>
    <x v="6"/>
    <x v="13"/>
    <x v="3"/>
    <x v="3"/>
    <x v="1"/>
    <n v="0"/>
  </r>
  <r>
    <d v="2025-02-14T00:00:00"/>
    <x v="1"/>
    <x v="1"/>
    <x v="6"/>
    <x v="13"/>
    <x v="14"/>
    <x v="13"/>
    <x v="1"/>
    <n v="524150000"/>
  </r>
  <r>
    <d v="2025-02-14T00:00:00"/>
    <x v="1"/>
    <x v="1"/>
    <x v="6"/>
    <x v="13"/>
    <x v="8"/>
    <x v="8"/>
    <x v="1"/>
    <n v="0"/>
  </r>
  <r>
    <d v="2025-02-14T00:00:00"/>
    <x v="1"/>
    <x v="1"/>
    <x v="6"/>
    <x v="13"/>
    <x v="11"/>
    <x v="10"/>
    <x v="4"/>
    <n v="235630310"/>
  </r>
  <r>
    <d v="2025-02-14T00:00:00"/>
    <x v="1"/>
    <x v="1"/>
    <x v="6"/>
    <x v="13"/>
    <x v="18"/>
    <x v="15"/>
    <x v="1"/>
    <n v="247160000"/>
  </r>
  <r>
    <d v="2025-02-14T00:00:00"/>
    <x v="1"/>
    <x v="1"/>
    <x v="6"/>
    <x v="13"/>
    <x v="7"/>
    <x v="7"/>
    <x v="4"/>
    <n v="405691719"/>
  </r>
  <r>
    <d v="2025-02-15T00:00:00"/>
    <x v="1"/>
    <x v="1"/>
    <x v="6"/>
    <x v="14"/>
    <x v="21"/>
    <x v="9"/>
    <x v="1"/>
    <n v="0"/>
  </r>
  <r>
    <d v="2025-02-15T00:00:00"/>
    <x v="1"/>
    <x v="1"/>
    <x v="6"/>
    <x v="14"/>
    <x v="15"/>
    <x v="14"/>
    <x v="4"/>
    <n v="14426241"/>
  </r>
  <r>
    <d v="2025-02-15T00:00:00"/>
    <x v="1"/>
    <x v="1"/>
    <x v="6"/>
    <x v="14"/>
    <x v="14"/>
    <x v="13"/>
    <x v="1"/>
    <n v="359070000"/>
  </r>
  <r>
    <d v="2025-02-15T00:00:00"/>
    <x v="1"/>
    <x v="1"/>
    <x v="6"/>
    <x v="14"/>
    <x v="8"/>
    <x v="8"/>
    <x v="1"/>
    <n v="0"/>
  </r>
  <r>
    <d v="2025-02-15T00:00:00"/>
    <x v="1"/>
    <x v="1"/>
    <x v="6"/>
    <x v="14"/>
    <x v="7"/>
    <x v="7"/>
    <x v="4"/>
    <n v="369640078"/>
  </r>
  <r>
    <d v="2025-02-15T00:00:00"/>
    <x v="1"/>
    <x v="1"/>
    <x v="6"/>
    <x v="14"/>
    <x v="17"/>
    <x v="9"/>
    <x v="1"/>
    <n v="0"/>
  </r>
  <r>
    <d v="2025-02-15T00:00:00"/>
    <x v="1"/>
    <x v="1"/>
    <x v="6"/>
    <x v="14"/>
    <x v="6"/>
    <x v="6"/>
    <x v="0"/>
    <n v="64000000"/>
  </r>
  <r>
    <d v="2025-02-15T00:00:00"/>
    <x v="1"/>
    <x v="1"/>
    <x v="6"/>
    <x v="14"/>
    <x v="20"/>
    <x v="9"/>
    <x v="1"/>
    <n v="0"/>
  </r>
  <r>
    <d v="2025-02-15T00:00:00"/>
    <x v="1"/>
    <x v="1"/>
    <x v="6"/>
    <x v="14"/>
    <x v="1"/>
    <x v="1"/>
    <x v="1"/>
    <n v="31500000"/>
  </r>
  <r>
    <d v="2025-02-15T00:00:00"/>
    <x v="1"/>
    <x v="1"/>
    <x v="6"/>
    <x v="14"/>
    <x v="23"/>
    <x v="17"/>
    <x v="4"/>
    <n v="1065398000"/>
  </r>
  <r>
    <d v="2025-02-15T00:00:00"/>
    <x v="1"/>
    <x v="1"/>
    <x v="6"/>
    <x v="14"/>
    <x v="18"/>
    <x v="15"/>
    <x v="1"/>
    <n v="313110000"/>
  </r>
  <r>
    <d v="2025-02-15T00:00:00"/>
    <x v="1"/>
    <x v="1"/>
    <x v="6"/>
    <x v="14"/>
    <x v="3"/>
    <x v="3"/>
    <x v="1"/>
    <n v="38900000"/>
  </r>
  <r>
    <d v="2025-02-15T00:00:00"/>
    <x v="1"/>
    <x v="1"/>
    <x v="6"/>
    <x v="14"/>
    <x v="22"/>
    <x v="16"/>
    <x v="1"/>
    <n v="0"/>
  </r>
  <r>
    <d v="2025-02-15T00:00:00"/>
    <x v="1"/>
    <x v="1"/>
    <x v="6"/>
    <x v="14"/>
    <x v="19"/>
    <x v="12"/>
    <x v="4"/>
    <n v="201233782"/>
  </r>
  <r>
    <d v="2025-02-15T00:00:00"/>
    <x v="1"/>
    <x v="1"/>
    <x v="6"/>
    <x v="14"/>
    <x v="11"/>
    <x v="10"/>
    <x v="4"/>
    <n v="187028028"/>
  </r>
  <r>
    <d v="2025-02-15T00:00:00"/>
    <x v="1"/>
    <x v="1"/>
    <x v="6"/>
    <x v="14"/>
    <x v="5"/>
    <x v="5"/>
    <x v="3"/>
    <n v="3357485465"/>
  </r>
  <r>
    <d v="2025-02-15T00:00:00"/>
    <x v="1"/>
    <x v="1"/>
    <x v="6"/>
    <x v="14"/>
    <x v="12"/>
    <x v="11"/>
    <x v="1"/>
    <n v="4407640000"/>
  </r>
  <r>
    <d v="2025-02-15T00:00:00"/>
    <x v="1"/>
    <x v="1"/>
    <x v="6"/>
    <x v="14"/>
    <x v="0"/>
    <x v="0"/>
    <x v="0"/>
    <n v="5526000000"/>
  </r>
  <r>
    <d v="2025-02-15T00:00:00"/>
    <x v="1"/>
    <x v="1"/>
    <x v="6"/>
    <x v="14"/>
    <x v="2"/>
    <x v="2"/>
    <x v="1"/>
    <n v="4483310000"/>
  </r>
  <r>
    <d v="2025-02-16T00:00:00"/>
    <x v="1"/>
    <x v="1"/>
    <x v="6"/>
    <x v="15"/>
    <x v="22"/>
    <x v="16"/>
    <x v="1"/>
    <n v="0"/>
  </r>
  <r>
    <d v="2025-02-16T00:00:00"/>
    <x v="1"/>
    <x v="1"/>
    <x v="6"/>
    <x v="15"/>
    <x v="2"/>
    <x v="2"/>
    <x v="1"/>
    <n v="4488310000"/>
  </r>
  <r>
    <d v="2025-02-16T00:00:00"/>
    <x v="1"/>
    <x v="1"/>
    <x v="6"/>
    <x v="15"/>
    <x v="15"/>
    <x v="14"/>
    <x v="4"/>
    <n v="14139711"/>
  </r>
  <r>
    <d v="2025-02-16T00:00:00"/>
    <x v="1"/>
    <x v="1"/>
    <x v="6"/>
    <x v="15"/>
    <x v="1"/>
    <x v="1"/>
    <x v="1"/>
    <n v="50500000"/>
  </r>
  <r>
    <d v="2025-02-16T00:00:00"/>
    <x v="1"/>
    <x v="1"/>
    <x v="6"/>
    <x v="15"/>
    <x v="6"/>
    <x v="6"/>
    <x v="0"/>
    <n v="27000000"/>
  </r>
  <r>
    <d v="2025-02-16T00:00:00"/>
    <x v="1"/>
    <x v="1"/>
    <x v="6"/>
    <x v="15"/>
    <x v="20"/>
    <x v="9"/>
    <x v="1"/>
    <n v="0"/>
  </r>
  <r>
    <d v="2025-02-16T00:00:00"/>
    <x v="1"/>
    <x v="1"/>
    <x v="6"/>
    <x v="15"/>
    <x v="17"/>
    <x v="9"/>
    <x v="1"/>
    <n v="0"/>
  </r>
  <r>
    <d v="2025-02-16T00:00:00"/>
    <x v="1"/>
    <x v="1"/>
    <x v="6"/>
    <x v="15"/>
    <x v="21"/>
    <x v="9"/>
    <x v="1"/>
    <n v="0"/>
  </r>
  <r>
    <d v="2025-02-16T00:00:00"/>
    <x v="1"/>
    <x v="1"/>
    <x v="6"/>
    <x v="15"/>
    <x v="23"/>
    <x v="17"/>
    <x v="4"/>
    <n v="0"/>
  </r>
  <r>
    <d v="2025-02-16T00:00:00"/>
    <x v="1"/>
    <x v="1"/>
    <x v="6"/>
    <x v="15"/>
    <x v="0"/>
    <x v="0"/>
    <x v="0"/>
    <n v="5071500000"/>
  </r>
  <r>
    <d v="2025-02-16T00:00:00"/>
    <x v="1"/>
    <x v="1"/>
    <x v="6"/>
    <x v="15"/>
    <x v="18"/>
    <x v="15"/>
    <x v="1"/>
    <n v="231000000"/>
  </r>
  <r>
    <d v="2025-02-16T00:00:00"/>
    <x v="1"/>
    <x v="1"/>
    <x v="6"/>
    <x v="15"/>
    <x v="14"/>
    <x v="13"/>
    <x v="1"/>
    <n v="470260000"/>
  </r>
  <r>
    <d v="2025-02-16T00:00:00"/>
    <x v="1"/>
    <x v="1"/>
    <x v="6"/>
    <x v="15"/>
    <x v="19"/>
    <x v="12"/>
    <x v="4"/>
    <n v="225526077"/>
  </r>
  <r>
    <d v="2025-02-16T00:00:00"/>
    <x v="1"/>
    <x v="1"/>
    <x v="6"/>
    <x v="15"/>
    <x v="8"/>
    <x v="8"/>
    <x v="1"/>
    <n v="0"/>
  </r>
  <r>
    <d v="2025-02-16T00:00:00"/>
    <x v="1"/>
    <x v="1"/>
    <x v="6"/>
    <x v="15"/>
    <x v="7"/>
    <x v="7"/>
    <x v="4"/>
    <n v="358593351"/>
  </r>
  <r>
    <d v="2025-02-16T00:00:00"/>
    <x v="1"/>
    <x v="1"/>
    <x v="6"/>
    <x v="15"/>
    <x v="11"/>
    <x v="10"/>
    <x v="4"/>
    <n v="177821792"/>
  </r>
  <r>
    <d v="2025-02-16T00:00:00"/>
    <x v="1"/>
    <x v="1"/>
    <x v="6"/>
    <x v="15"/>
    <x v="3"/>
    <x v="3"/>
    <x v="1"/>
    <n v="15000000"/>
  </r>
  <r>
    <d v="2025-02-16T00:00:00"/>
    <x v="1"/>
    <x v="1"/>
    <x v="6"/>
    <x v="15"/>
    <x v="5"/>
    <x v="5"/>
    <x v="3"/>
    <n v="2498417876"/>
  </r>
  <r>
    <d v="2025-02-16T00:00:00"/>
    <x v="1"/>
    <x v="1"/>
    <x v="6"/>
    <x v="15"/>
    <x v="12"/>
    <x v="11"/>
    <x v="1"/>
    <n v="3874440000"/>
  </r>
  <r>
    <d v="2025-02-17T00:00:00"/>
    <x v="1"/>
    <x v="1"/>
    <x v="7"/>
    <x v="16"/>
    <x v="18"/>
    <x v="15"/>
    <x v="1"/>
    <n v="1049640000"/>
  </r>
  <r>
    <d v="2025-02-17T00:00:00"/>
    <x v="1"/>
    <x v="1"/>
    <x v="7"/>
    <x v="16"/>
    <x v="14"/>
    <x v="13"/>
    <x v="1"/>
    <n v="450930000"/>
  </r>
  <r>
    <d v="2025-02-17T00:00:00"/>
    <x v="1"/>
    <x v="1"/>
    <x v="7"/>
    <x v="16"/>
    <x v="7"/>
    <x v="7"/>
    <x v="4"/>
    <n v="336790355"/>
  </r>
  <r>
    <d v="2025-02-17T00:00:00"/>
    <x v="1"/>
    <x v="1"/>
    <x v="7"/>
    <x v="16"/>
    <x v="3"/>
    <x v="3"/>
    <x v="1"/>
    <n v="0"/>
  </r>
  <r>
    <d v="2025-02-17T00:00:00"/>
    <x v="1"/>
    <x v="1"/>
    <x v="7"/>
    <x v="16"/>
    <x v="19"/>
    <x v="12"/>
    <x v="4"/>
    <n v="255908532"/>
  </r>
  <r>
    <d v="2025-02-17T00:00:00"/>
    <x v="1"/>
    <x v="1"/>
    <x v="7"/>
    <x v="16"/>
    <x v="11"/>
    <x v="10"/>
    <x v="4"/>
    <n v="162186781"/>
  </r>
  <r>
    <d v="2025-02-17T00:00:00"/>
    <x v="1"/>
    <x v="1"/>
    <x v="7"/>
    <x v="16"/>
    <x v="12"/>
    <x v="11"/>
    <x v="1"/>
    <n v="5194090000"/>
  </r>
  <r>
    <d v="2025-02-17T00:00:00"/>
    <x v="1"/>
    <x v="1"/>
    <x v="7"/>
    <x v="16"/>
    <x v="17"/>
    <x v="9"/>
    <x v="1"/>
    <n v="0"/>
  </r>
  <r>
    <d v="2025-02-17T00:00:00"/>
    <x v="1"/>
    <x v="1"/>
    <x v="7"/>
    <x v="16"/>
    <x v="23"/>
    <x v="17"/>
    <x v="4"/>
    <n v="0"/>
  </r>
  <r>
    <d v="2025-02-17T00:00:00"/>
    <x v="1"/>
    <x v="1"/>
    <x v="7"/>
    <x v="16"/>
    <x v="5"/>
    <x v="5"/>
    <x v="3"/>
    <n v="3655665229"/>
  </r>
  <r>
    <d v="2025-02-17T00:00:00"/>
    <x v="1"/>
    <x v="1"/>
    <x v="7"/>
    <x v="16"/>
    <x v="0"/>
    <x v="0"/>
    <x v="0"/>
    <n v="5037500000"/>
  </r>
  <r>
    <d v="2025-02-17T00:00:00"/>
    <x v="1"/>
    <x v="1"/>
    <x v="7"/>
    <x v="16"/>
    <x v="2"/>
    <x v="2"/>
    <x v="1"/>
    <n v="4826850000"/>
  </r>
  <r>
    <d v="2025-02-17T00:00:00"/>
    <x v="1"/>
    <x v="1"/>
    <x v="7"/>
    <x v="16"/>
    <x v="21"/>
    <x v="9"/>
    <x v="1"/>
    <n v="0"/>
  </r>
  <r>
    <d v="2025-02-17T00:00:00"/>
    <x v="1"/>
    <x v="1"/>
    <x v="7"/>
    <x v="16"/>
    <x v="22"/>
    <x v="16"/>
    <x v="1"/>
    <n v="0"/>
  </r>
  <r>
    <d v="2025-02-17T00:00:00"/>
    <x v="1"/>
    <x v="1"/>
    <x v="7"/>
    <x v="16"/>
    <x v="15"/>
    <x v="14"/>
    <x v="4"/>
    <n v="11763064"/>
  </r>
  <r>
    <d v="2025-02-17T00:00:00"/>
    <x v="1"/>
    <x v="1"/>
    <x v="7"/>
    <x v="16"/>
    <x v="8"/>
    <x v="8"/>
    <x v="1"/>
    <n v="0"/>
  </r>
  <r>
    <d v="2025-02-17T00:00:00"/>
    <x v="1"/>
    <x v="1"/>
    <x v="7"/>
    <x v="16"/>
    <x v="1"/>
    <x v="1"/>
    <x v="1"/>
    <n v="52500000"/>
  </r>
  <r>
    <d v="2025-02-17T00:00:00"/>
    <x v="1"/>
    <x v="1"/>
    <x v="7"/>
    <x v="16"/>
    <x v="6"/>
    <x v="6"/>
    <x v="0"/>
    <n v="86000000"/>
  </r>
  <r>
    <d v="2025-02-17T00:00:00"/>
    <x v="1"/>
    <x v="1"/>
    <x v="7"/>
    <x v="16"/>
    <x v="20"/>
    <x v="9"/>
    <x v="1"/>
    <n v="0"/>
  </r>
  <r>
    <d v="2025-02-18T00:00:00"/>
    <x v="1"/>
    <x v="1"/>
    <x v="7"/>
    <x v="17"/>
    <x v="12"/>
    <x v="11"/>
    <x v="1"/>
    <n v="4441940000"/>
  </r>
  <r>
    <d v="2025-02-18T00:00:00"/>
    <x v="1"/>
    <x v="1"/>
    <x v="7"/>
    <x v="17"/>
    <x v="2"/>
    <x v="2"/>
    <x v="1"/>
    <n v="5410730000"/>
  </r>
  <r>
    <d v="2025-02-18T00:00:00"/>
    <x v="1"/>
    <x v="1"/>
    <x v="7"/>
    <x v="17"/>
    <x v="5"/>
    <x v="5"/>
    <x v="3"/>
    <n v="3000763479"/>
  </r>
  <r>
    <d v="2025-02-18T00:00:00"/>
    <x v="1"/>
    <x v="1"/>
    <x v="7"/>
    <x v="17"/>
    <x v="15"/>
    <x v="14"/>
    <x v="4"/>
    <n v="15001935"/>
  </r>
  <r>
    <d v="2025-02-18T00:00:00"/>
    <x v="1"/>
    <x v="1"/>
    <x v="7"/>
    <x v="17"/>
    <x v="6"/>
    <x v="6"/>
    <x v="0"/>
    <n v="83000000"/>
  </r>
  <r>
    <d v="2025-02-18T00:00:00"/>
    <x v="1"/>
    <x v="1"/>
    <x v="7"/>
    <x v="17"/>
    <x v="20"/>
    <x v="9"/>
    <x v="1"/>
    <n v="0"/>
  </r>
  <r>
    <d v="2025-02-18T00:00:00"/>
    <x v="1"/>
    <x v="1"/>
    <x v="7"/>
    <x v="17"/>
    <x v="0"/>
    <x v="0"/>
    <x v="0"/>
    <n v="5091500000"/>
  </r>
  <r>
    <d v="2025-02-18T00:00:00"/>
    <x v="1"/>
    <x v="1"/>
    <x v="7"/>
    <x v="17"/>
    <x v="14"/>
    <x v="13"/>
    <x v="1"/>
    <n v="534740000"/>
  </r>
  <r>
    <d v="2025-02-18T00:00:00"/>
    <x v="1"/>
    <x v="1"/>
    <x v="7"/>
    <x v="17"/>
    <x v="22"/>
    <x v="16"/>
    <x v="1"/>
    <n v="0"/>
  </r>
  <r>
    <d v="2025-02-18T00:00:00"/>
    <x v="1"/>
    <x v="1"/>
    <x v="7"/>
    <x v="17"/>
    <x v="1"/>
    <x v="1"/>
    <x v="1"/>
    <n v="0"/>
  </r>
  <r>
    <d v="2025-02-18T00:00:00"/>
    <x v="1"/>
    <x v="1"/>
    <x v="7"/>
    <x v="17"/>
    <x v="8"/>
    <x v="8"/>
    <x v="1"/>
    <n v="0"/>
  </r>
  <r>
    <d v="2025-02-18T00:00:00"/>
    <x v="1"/>
    <x v="1"/>
    <x v="7"/>
    <x v="17"/>
    <x v="17"/>
    <x v="9"/>
    <x v="1"/>
    <n v="0"/>
  </r>
  <r>
    <d v="2025-02-18T00:00:00"/>
    <x v="1"/>
    <x v="1"/>
    <x v="7"/>
    <x v="17"/>
    <x v="21"/>
    <x v="9"/>
    <x v="1"/>
    <n v="0"/>
  </r>
  <r>
    <d v="2025-02-18T00:00:00"/>
    <x v="1"/>
    <x v="1"/>
    <x v="7"/>
    <x v="17"/>
    <x v="23"/>
    <x v="17"/>
    <x v="4"/>
    <n v="0"/>
  </r>
  <r>
    <d v="2025-02-18T00:00:00"/>
    <x v="1"/>
    <x v="1"/>
    <x v="7"/>
    <x v="17"/>
    <x v="18"/>
    <x v="15"/>
    <x v="1"/>
    <n v="204990000"/>
  </r>
  <r>
    <d v="2025-02-18T00:00:00"/>
    <x v="1"/>
    <x v="1"/>
    <x v="7"/>
    <x v="17"/>
    <x v="3"/>
    <x v="3"/>
    <x v="1"/>
    <n v="0"/>
  </r>
  <r>
    <d v="2025-02-18T00:00:00"/>
    <x v="1"/>
    <x v="1"/>
    <x v="7"/>
    <x v="17"/>
    <x v="19"/>
    <x v="12"/>
    <x v="4"/>
    <n v="223699002"/>
  </r>
  <r>
    <d v="2025-02-18T00:00:00"/>
    <x v="1"/>
    <x v="1"/>
    <x v="7"/>
    <x v="17"/>
    <x v="11"/>
    <x v="10"/>
    <x v="4"/>
    <n v="160177408"/>
  </r>
  <r>
    <d v="2025-02-18T00:00:00"/>
    <x v="1"/>
    <x v="1"/>
    <x v="7"/>
    <x v="17"/>
    <x v="7"/>
    <x v="7"/>
    <x v="4"/>
    <n v="273306186"/>
  </r>
  <r>
    <d v="2025-02-19T00:00:00"/>
    <x v="1"/>
    <x v="1"/>
    <x v="7"/>
    <x v="18"/>
    <x v="23"/>
    <x v="17"/>
    <x v="4"/>
    <n v="0"/>
  </r>
  <r>
    <d v="2025-02-19T00:00:00"/>
    <x v="1"/>
    <x v="1"/>
    <x v="7"/>
    <x v="18"/>
    <x v="14"/>
    <x v="13"/>
    <x v="1"/>
    <n v="584470000"/>
  </r>
  <r>
    <d v="2025-02-19T00:00:00"/>
    <x v="1"/>
    <x v="1"/>
    <x v="7"/>
    <x v="18"/>
    <x v="7"/>
    <x v="7"/>
    <x v="4"/>
    <n v="315330502"/>
  </r>
  <r>
    <d v="2025-02-19T00:00:00"/>
    <x v="1"/>
    <x v="1"/>
    <x v="7"/>
    <x v="18"/>
    <x v="19"/>
    <x v="12"/>
    <x v="4"/>
    <n v="236464313"/>
  </r>
  <r>
    <d v="2025-02-19T00:00:00"/>
    <x v="1"/>
    <x v="1"/>
    <x v="7"/>
    <x v="18"/>
    <x v="1"/>
    <x v="1"/>
    <x v="1"/>
    <n v="72500000"/>
  </r>
  <r>
    <d v="2025-02-19T00:00:00"/>
    <x v="1"/>
    <x v="1"/>
    <x v="7"/>
    <x v="18"/>
    <x v="5"/>
    <x v="5"/>
    <x v="3"/>
    <n v="2956404987"/>
  </r>
  <r>
    <d v="2025-02-19T00:00:00"/>
    <x v="1"/>
    <x v="1"/>
    <x v="7"/>
    <x v="18"/>
    <x v="17"/>
    <x v="9"/>
    <x v="1"/>
    <n v="0"/>
  </r>
  <r>
    <d v="2025-02-19T00:00:00"/>
    <x v="1"/>
    <x v="1"/>
    <x v="7"/>
    <x v="18"/>
    <x v="12"/>
    <x v="11"/>
    <x v="1"/>
    <n v="4440390000"/>
  </r>
  <r>
    <d v="2025-02-19T00:00:00"/>
    <x v="1"/>
    <x v="1"/>
    <x v="7"/>
    <x v="18"/>
    <x v="0"/>
    <x v="0"/>
    <x v="0"/>
    <n v="4972500000"/>
  </r>
  <r>
    <d v="2025-02-19T00:00:00"/>
    <x v="1"/>
    <x v="1"/>
    <x v="7"/>
    <x v="18"/>
    <x v="18"/>
    <x v="15"/>
    <x v="1"/>
    <n v="289280000"/>
  </r>
  <r>
    <d v="2025-02-19T00:00:00"/>
    <x v="1"/>
    <x v="1"/>
    <x v="7"/>
    <x v="18"/>
    <x v="2"/>
    <x v="2"/>
    <x v="1"/>
    <n v="4899710000"/>
  </r>
  <r>
    <d v="2025-02-19T00:00:00"/>
    <x v="1"/>
    <x v="1"/>
    <x v="7"/>
    <x v="18"/>
    <x v="21"/>
    <x v="9"/>
    <x v="1"/>
    <n v="0"/>
  </r>
  <r>
    <d v="2025-02-19T00:00:00"/>
    <x v="1"/>
    <x v="1"/>
    <x v="7"/>
    <x v="18"/>
    <x v="6"/>
    <x v="6"/>
    <x v="0"/>
    <n v="13000000"/>
  </r>
  <r>
    <d v="2025-02-19T00:00:00"/>
    <x v="1"/>
    <x v="1"/>
    <x v="7"/>
    <x v="18"/>
    <x v="22"/>
    <x v="16"/>
    <x v="1"/>
    <n v="0"/>
  </r>
  <r>
    <d v="2025-02-19T00:00:00"/>
    <x v="1"/>
    <x v="1"/>
    <x v="7"/>
    <x v="18"/>
    <x v="11"/>
    <x v="10"/>
    <x v="4"/>
    <n v="138608683"/>
  </r>
  <r>
    <d v="2025-02-19T00:00:00"/>
    <x v="1"/>
    <x v="1"/>
    <x v="7"/>
    <x v="18"/>
    <x v="20"/>
    <x v="9"/>
    <x v="1"/>
    <n v="0"/>
  </r>
  <r>
    <d v="2025-02-19T00:00:00"/>
    <x v="1"/>
    <x v="1"/>
    <x v="7"/>
    <x v="18"/>
    <x v="3"/>
    <x v="3"/>
    <x v="1"/>
    <n v="0"/>
  </r>
  <r>
    <d v="2025-02-19T00:00:00"/>
    <x v="1"/>
    <x v="1"/>
    <x v="7"/>
    <x v="18"/>
    <x v="15"/>
    <x v="14"/>
    <x v="4"/>
    <n v="9174199"/>
  </r>
  <r>
    <d v="2025-02-19T00:00:00"/>
    <x v="1"/>
    <x v="1"/>
    <x v="7"/>
    <x v="18"/>
    <x v="8"/>
    <x v="8"/>
    <x v="1"/>
    <n v="0"/>
  </r>
  <r>
    <d v="2025-02-20T00:00:00"/>
    <x v="1"/>
    <x v="1"/>
    <x v="7"/>
    <x v="19"/>
    <x v="0"/>
    <x v="0"/>
    <x v="0"/>
    <n v="5573000000"/>
  </r>
  <r>
    <d v="2025-02-20T00:00:00"/>
    <x v="1"/>
    <x v="1"/>
    <x v="7"/>
    <x v="19"/>
    <x v="7"/>
    <x v="7"/>
    <x v="4"/>
    <n v="336373375"/>
  </r>
  <r>
    <d v="2025-02-20T00:00:00"/>
    <x v="1"/>
    <x v="1"/>
    <x v="7"/>
    <x v="19"/>
    <x v="12"/>
    <x v="11"/>
    <x v="1"/>
    <n v="4588730000"/>
  </r>
  <r>
    <d v="2025-02-20T00:00:00"/>
    <x v="1"/>
    <x v="1"/>
    <x v="7"/>
    <x v="19"/>
    <x v="5"/>
    <x v="5"/>
    <x v="3"/>
    <n v="3339081955"/>
  </r>
  <r>
    <d v="2025-02-20T00:00:00"/>
    <x v="1"/>
    <x v="1"/>
    <x v="7"/>
    <x v="19"/>
    <x v="15"/>
    <x v="14"/>
    <x v="4"/>
    <n v="28163023"/>
  </r>
  <r>
    <d v="2025-02-20T00:00:00"/>
    <x v="1"/>
    <x v="1"/>
    <x v="7"/>
    <x v="19"/>
    <x v="1"/>
    <x v="1"/>
    <x v="1"/>
    <n v="99000000"/>
  </r>
  <r>
    <d v="2025-02-20T00:00:00"/>
    <x v="1"/>
    <x v="1"/>
    <x v="7"/>
    <x v="19"/>
    <x v="6"/>
    <x v="6"/>
    <x v="0"/>
    <n v="27000000"/>
  </r>
  <r>
    <d v="2025-02-20T00:00:00"/>
    <x v="1"/>
    <x v="1"/>
    <x v="7"/>
    <x v="19"/>
    <x v="20"/>
    <x v="9"/>
    <x v="1"/>
    <n v="0"/>
  </r>
  <r>
    <d v="2025-02-20T00:00:00"/>
    <x v="1"/>
    <x v="1"/>
    <x v="7"/>
    <x v="19"/>
    <x v="17"/>
    <x v="9"/>
    <x v="1"/>
    <n v="0"/>
  </r>
  <r>
    <d v="2025-02-20T00:00:00"/>
    <x v="1"/>
    <x v="1"/>
    <x v="7"/>
    <x v="19"/>
    <x v="23"/>
    <x v="17"/>
    <x v="4"/>
    <n v="0"/>
  </r>
  <r>
    <d v="2025-02-20T00:00:00"/>
    <x v="1"/>
    <x v="1"/>
    <x v="7"/>
    <x v="19"/>
    <x v="18"/>
    <x v="15"/>
    <x v="1"/>
    <n v="410010000"/>
  </r>
  <r>
    <d v="2025-02-20T00:00:00"/>
    <x v="1"/>
    <x v="1"/>
    <x v="7"/>
    <x v="19"/>
    <x v="22"/>
    <x v="16"/>
    <x v="1"/>
    <n v="0"/>
  </r>
  <r>
    <d v="2025-02-20T00:00:00"/>
    <x v="1"/>
    <x v="1"/>
    <x v="7"/>
    <x v="19"/>
    <x v="14"/>
    <x v="13"/>
    <x v="1"/>
    <n v="540330000"/>
  </r>
  <r>
    <d v="2025-02-20T00:00:00"/>
    <x v="1"/>
    <x v="1"/>
    <x v="7"/>
    <x v="19"/>
    <x v="3"/>
    <x v="3"/>
    <x v="1"/>
    <n v="0"/>
  </r>
  <r>
    <d v="2025-02-20T00:00:00"/>
    <x v="1"/>
    <x v="1"/>
    <x v="7"/>
    <x v="19"/>
    <x v="19"/>
    <x v="12"/>
    <x v="4"/>
    <n v="215290121"/>
  </r>
  <r>
    <d v="2025-02-20T00:00:00"/>
    <x v="1"/>
    <x v="1"/>
    <x v="7"/>
    <x v="19"/>
    <x v="11"/>
    <x v="10"/>
    <x v="4"/>
    <n v="146227435"/>
  </r>
  <r>
    <d v="2025-02-20T00:00:00"/>
    <x v="1"/>
    <x v="1"/>
    <x v="7"/>
    <x v="19"/>
    <x v="8"/>
    <x v="8"/>
    <x v="1"/>
    <n v="0"/>
  </r>
  <r>
    <d v="2025-02-20T00:00:00"/>
    <x v="1"/>
    <x v="1"/>
    <x v="7"/>
    <x v="19"/>
    <x v="2"/>
    <x v="2"/>
    <x v="1"/>
    <n v="4868610000"/>
  </r>
  <r>
    <d v="2025-02-20T00:00:00"/>
    <x v="1"/>
    <x v="1"/>
    <x v="7"/>
    <x v="19"/>
    <x v="21"/>
    <x v="9"/>
    <x v="1"/>
    <n v="0"/>
  </r>
  <r>
    <d v="2025-02-21T00:00:00"/>
    <x v="1"/>
    <x v="1"/>
    <x v="7"/>
    <x v="20"/>
    <x v="15"/>
    <x v="14"/>
    <x v="4"/>
    <n v="48294189"/>
  </r>
  <r>
    <d v="2025-02-21T00:00:00"/>
    <x v="1"/>
    <x v="1"/>
    <x v="7"/>
    <x v="20"/>
    <x v="6"/>
    <x v="6"/>
    <x v="0"/>
    <n v="66000000"/>
  </r>
  <r>
    <d v="2025-02-21T00:00:00"/>
    <x v="1"/>
    <x v="1"/>
    <x v="7"/>
    <x v="20"/>
    <x v="1"/>
    <x v="1"/>
    <x v="1"/>
    <n v="34650000"/>
  </r>
  <r>
    <d v="2025-02-21T00:00:00"/>
    <x v="1"/>
    <x v="1"/>
    <x v="7"/>
    <x v="20"/>
    <x v="17"/>
    <x v="9"/>
    <x v="1"/>
    <n v="0"/>
  </r>
  <r>
    <d v="2025-02-21T00:00:00"/>
    <x v="1"/>
    <x v="1"/>
    <x v="7"/>
    <x v="20"/>
    <x v="22"/>
    <x v="16"/>
    <x v="1"/>
    <n v="0"/>
  </r>
  <r>
    <d v="2025-02-21T00:00:00"/>
    <x v="1"/>
    <x v="1"/>
    <x v="7"/>
    <x v="20"/>
    <x v="21"/>
    <x v="9"/>
    <x v="1"/>
    <n v="0"/>
  </r>
  <r>
    <d v="2025-02-21T00:00:00"/>
    <x v="1"/>
    <x v="1"/>
    <x v="7"/>
    <x v="20"/>
    <x v="2"/>
    <x v="2"/>
    <x v="1"/>
    <n v="6263190000"/>
  </r>
  <r>
    <d v="2025-02-21T00:00:00"/>
    <x v="1"/>
    <x v="1"/>
    <x v="7"/>
    <x v="20"/>
    <x v="23"/>
    <x v="17"/>
    <x v="4"/>
    <n v="0"/>
  </r>
  <r>
    <d v="2025-02-21T00:00:00"/>
    <x v="1"/>
    <x v="1"/>
    <x v="7"/>
    <x v="20"/>
    <x v="18"/>
    <x v="15"/>
    <x v="1"/>
    <n v="541250000"/>
  </r>
  <r>
    <d v="2025-02-21T00:00:00"/>
    <x v="1"/>
    <x v="1"/>
    <x v="7"/>
    <x v="20"/>
    <x v="14"/>
    <x v="13"/>
    <x v="1"/>
    <n v="838370000"/>
  </r>
  <r>
    <d v="2025-02-21T00:00:00"/>
    <x v="1"/>
    <x v="1"/>
    <x v="7"/>
    <x v="20"/>
    <x v="3"/>
    <x v="3"/>
    <x v="1"/>
    <n v="0"/>
  </r>
  <r>
    <d v="2025-02-21T00:00:00"/>
    <x v="1"/>
    <x v="1"/>
    <x v="7"/>
    <x v="20"/>
    <x v="19"/>
    <x v="12"/>
    <x v="4"/>
    <n v="280519772"/>
  </r>
  <r>
    <d v="2025-02-21T00:00:00"/>
    <x v="1"/>
    <x v="1"/>
    <x v="7"/>
    <x v="20"/>
    <x v="11"/>
    <x v="10"/>
    <x v="4"/>
    <n v="179084585"/>
  </r>
  <r>
    <d v="2025-02-21T00:00:00"/>
    <x v="1"/>
    <x v="1"/>
    <x v="7"/>
    <x v="20"/>
    <x v="8"/>
    <x v="8"/>
    <x v="1"/>
    <n v="0"/>
  </r>
  <r>
    <d v="2025-02-21T00:00:00"/>
    <x v="1"/>
    <x v="1"/>
    <x v="7"/>
    <x v="20"/>
    <x v="7"/>
    <x v="7"/>
    <x v="4"/>
    <n v="331325421"/>
  </r>
  <r>
    <d v="2025-02-21T00:00:00"/>
    <x v="1"/>
    <x v="1"/>
    <x v="7"/>
    <x v="20"/>
    <x v="5"/>
    <x v="5"/>
    <x v="3"/>
    <n v="4223097675"/>
  </r>
  <r>
    <d v="2025-02-21T00:00:00"/>
    <x v="1"/>
    <x v="1"/>
    <x v="7"/>
    <x v="20"/>
    <x v="12"/>
    <x v="11"/>
    <x v="1"/>
    <n v="4051450000"/>
  </r>
  <r>
    <d v="2025-02-21T00:00:00"/>
    <x v="1"/>
    <x v="1"/>
    <x v="7"/>
    <x v="20"/>
    <x v="0"/>
    <x v="0"/>
    <x v="0"/>
    <n v="5085000000"/>
  </r>
  <r>
    <d v="2025-02-21T00:00:00"/>
    <x v="1"/>
    <x v="1"/>
    <x v="7"/>
    <x v="20"/>
    <x v="20"/>
    <x v="9"/>
    <x v="1"/>
    <n v="0"/>
  </r>
  <r>
    <d v="2025-02-22T00:00:00"/>
    <x v="1"/>
    <x v="1"/>
    <x v="7"/>
    <x v="21"/>
    <x v="12"/>
    <x v="11"/>
    <x v="1"/>
    <n v="3036430000"/>
  </r>
  <r>
    <d v="2025-02-22T00:00:00"/>
    <x v="1"/>
    <x v="1"/>
    <x v="7"/>
    <x v="21"/>
    <x v="2"/>
    <x v="2"/>
    <x v="1"/>
    <n v="5113960000"/>
  </r>
  <r>
    <d v="2025-02-22T00:00:00"/>
    <x v="1"/>
    <x v="1"/>
    <x v="7"/>
    <x v="21"/>
    <x v="5"/>
    <x v="5"/>
    <x v="3"/>
    <n v="2902878499"/>
  </r>
  <r>
    <d v="2025-02-22T00:00:00"/>
    <x v="1"/>
    <x v="1"/>
    <x v="7"/>
    <x v="21"/>
    <x v="0"/>
    <x v="0"/>
    <x v="0"/>
    <n v="4680000000"/>
  </r>
  <r>
    <d v="2025-02-22T00:00:00"/>
    <x v="1"/>
    <x v="1"/>
    <x v="7"/>
    <x v="21"/>
    <x v="17"/>
    <x v="9"/>
    <x v="1"/>
    <n v="0"/>
  </r>
  <r>
    <d v="2025-02-22T00:00:00"/>
    <x v="1"/>
    <x v="1"/>
    <x v="7"/>
    <x v="21"/>
    <x v="7"/>
    <x v="7"/>
    <x v="4"/>
    <n v="322916986"/>
  </r>
  <r>
    <d v="2025-02-22T00:00:00"/>
    <x v="1"/>
    <x v="1"/>
    <x v="7"/>
    <x v="21"/>
    <x v="22"/>
    <x v="16"/>
    <x v="1"/>
    <n v="0"/>
  </r>
  <r>
    <d v="2025-02-22T00:00:00"/>
    <x v="1"/>
    <x v="1"/>
    <x v="7"/>
    <x v="21"/>
    <x v="15"/>
    <x v="14"/>
    <x v="4"/>
    <n v="13569251"/>
  </r>
  <r>
    <d v="2025-02-22T00:00:00"/>
    <x v="1"/>
    <x v="1"/>
    <x v="7"/>
    <x v="21"/>
    <x v="1"/>
    <x v="1"/>
    <x v="1"/>
    <n v="10500000"/>
  </r>
  <r>
    <d v="2025-02-22T00:00:00"/>
    <x v="1"/>
    <x v="1"/>
    <x v="7"/>
    <x v="21"/>
    <x v="6"/>
    <x v="6"/>
    <x v="0"/>
    <n v="76000000"/>
  </r>
  <r>
    <d v="2025-02-22T00:00:00"/>
    <x v="1"/>
    <x v="1"/>
    <x v="7"/>
    <x v="21"/>
    <x v="20"/>
    <x v="9"/>
    <x v="1"/>
    <n v="0"/>
  </r>
  <r>
    <d v="2025-02-22T00:00:00"/>
    <x v="1"/>
    <x v="1"/>
    <x v="7"/>
    <x v="21"/>
    <x v="8"/>
    <x v="8"/>
    <x v="1"/>
    <n v="0"/>
  </r>
  <r>
    <d v="2025-02-22T00:00:00"/>
    <x v="1"/>
    <x v="1"/>
    <x v="7"/>
    <x v="21"/>
    <x v="21"/>
    <x v="9"/>
    <x v="1"/>
    <n v="0"/>
  </r>
  <r>
    <d v="2025-02-22T00:00:00"/>
    <x v="1"/>
    <x v="1"/>
    <x v="7"/>
    <x v="21"/>
    <x v="23"/>
    <x v="17"/>
    <x v="4"/>
    <n v="0"/>
  </r>
  <r>
    <d v="2025-02-22T00:00:00"/>
    <x v="1"/>
    <x v="1"/>
    <x v="7"/>
    <x v="21"/>
    <x v="18"/>
    <x v="15"/>
    <x v="1"/>
    <n v="418560000"/>
  </r>
  <r>
    <d v="2025-02-22T00:00:00"/>
    <x v="1"/>
    <x v="1"/>
    <x v="7"/>
    <x v="21"/>
    <x v="14"/>
    <x v="13"/>
    <x v="1"/>
    <n v="684600000"/>
  </r>
  <r>
    <d v="2025-02-22T00:00:00"/>
    <x v="1"/>
    <x v="1"/>
    <x v="7"/>
    <x v="21"/>
    <x v="3"/>
    <x v="3"/>
    <x v="1"/>
    <n v="0"/>
  </r>
  <r>
    <d v="2025-02-22T00:00:00"/>
    <x v="1"/>
    <x v="1"/>
    <x v="7"/>
    <x v="21"/>
    <x v="19"/>
    <x v="12"/>
    <x v="4"/>
    <n v="255218007"/>
  </r>
  <r>
    <d v="2025-02-22T00:00:00"/>
    <x v="1"/>
    <x v="1"/>
    <x v="7"/>
    <x v="21"/>
    <x v="11"/>
    <x v="10"/>
    <x v="4"/>
    <n v="177359450"/>
  </r>
  <r>
    <d v="2025-02-23T00:00:00"/>
    <x v="1"/>
    <x v="1"/>
    <x v="7"/>
    <x v="22"/>
    <x v="8"/>
    <x v="8"/>
    <x v="1"/>
    <n v="0"/>
  </r>
  <r>
    <d v="2025-02-23T00:00:00"/>
    <x v="1"/>
    <x v="1"/>
    <x v="7"/>
    <x v="22"/>
    <x v="6"/>
    <x v="6"/>
    <x v="0"/>
    <n v="50000000"/>
  </r>
  <r>
    <d v="2025-02-23T00:00:00"/>
    <x v="1"/>
    <x v="1"/>
    <x v="7"/>
    <x v="22"/>
    <x v="15"/>
    <x v="14"/>
    <x v="4"/>
    <n v="24417158"/>
  </r>
  <r>
    <d v="2025-02-23T00:00:00"/>
    <x v="1"/>
    <x v="1"/>
    <x v="7"/>
    <x v="22"/>
    <x v="17"/>
    <x v="9"/>
    <x v="1"/>
    <n v="0"/>
  </r>
  <r>
    <d v="2025-02-23T00:00:00"/>
    <x v="1"/>
    <x v="1"/>
    <x v="7"/>
    <x v="22"/>
    <x v="21"/>
    <x v="9"/>
    <x v="1"/>
    <n v="0"/>
  </r>
  <r>
    <d v="2025-02-23T00:00:00"/>
    <x v="1"/>
    <x v="1"/>
    <x v="7"/>
    <x v="22"/>
    <x v="12"/>
    <x v="11"/>
    <x v="1"/>
    <n v="3288440000"/>
  </r>
  <r>
    <d v="2025-02-23T00:00:00"/>
    <x v="1"/>
    <x v="1"/>
    <x v="7"/>
    <x v="22"/>
    <x v="23"/>
    <x v="17"/>
    <x v="4"/>
    <n v="0"/>
  </r>
  <r>
    <d v="2025-02-23T00:00:00"/>
    <x v="1"/>
    <x v="1"/>
    <x v="7"/>
    <x v="22"/>
    <x v="18"/>
    <x v="15"/>
    <x v="1"/>
    <n v="379210000"/>
  </r>
  <r>
    <d v="2025-02-23T00:00:00"/>
    <x v="1"/>
    <x v="1"/>
    <x v="7"/>
    <x v="22"/>
    <x v="14"/>
    <x v="13"/>
    <x v="1"/>
    <n v="578540000"/>
  </r>
  <r>
    <d v="2025-02-23T00:00:00"/>
    <x v="1"/>
    <x v="1"/>
    <x v="7"/>
    <x v="22"/>
    <x v="3"/>
    <x v="3"/>
    <x v="1"/>
    <n v="32600000"/>
  </r>
  <r>
    <d v="2025-02-23T00:00:00"/>
    <x v="1"/>
    <x v="1"/>
    <x v="7"/>
    <x v="22"/>
    <x v="19"/>
    <x v="12"/>
    <x v="4"/>
    <n v="182687871"/>
  </r>
  <r>
    <d v="2025-02-23T00:00:00"/>
    <x v="1"/>
    <x v="1"/>
    <x v="7"/>
    <x v="22"/>
    <x v="11"/>
    <x v="10"/>
    <x v="4"/>
    <n v="153533644"/>
  </r>
  <r>
    <d v="2025-02-23T00:00:00"/>
    <x v="1"/>
    <x v="1"/>
    <x v="7"/>
    <x v="22"/>
    <x v="22"/>
    <x v="16"/>
    <x v="1"/>
    <n v="0"/>
  </r>
  <r>
    <d v="2025-02-23T00:00:00"/>
    <x v="1"/>
    <x v="1"/>
    <x v="7"/>
    <x v="22"/>
    <x v="20"/>
    <x v="9"/>
    <x v="1"/>
    <n v="0"/>
  </r>
  <r>
    <d v="2025-02-23T00:00:00"/>
    <x v="1"/>
    <x v="1"/>
    <x v="7"/>
    <x v="22"/>
    <x v="0"/>
    <x v="0"/>
    <x v="0"/>
    <n v="4382500000"/>
  </r>
  <r>
    <d v="2025-02-23T00:00:00"/>
    <x v="1"/>
    <x v="1"/>
    <x v="7"/>
    <x v="22"/>
    <x v="1"/>
    <x v="1"/>
    <x v="1"/>
    <n v="31500000"/>
  </r>
  <r>
    <d v="2025-02-23T00:00:00"/>
    <x v="1"/>
    <x v="1"/>
    <x v="7"/>
    <x v="22"/>
    <x v="2"/>
    <x v="2"/>
    <x v="1"/>
    <n v="5054380000"/>
  </r>
  <r>
    <d v="2025-02-23T00:00:00"/>
    <x v="1"/>
    <x v="1"/>
    <x v="7"/>
    <x v="22"/>
    <x v="7"/>
    <x v="7"/>
    <x v="4"/>
    <n v="249714650"/>
  </r>
  <r>
    <d v="2025-02-23T00:00:00"/>
    <x v="1"/>
    <x v="1"/>
    <x v="7"/>
    <x v="22"/>
    <x v="5"/>
    <x v="5"/>
    <x v="3"/>
    <n v="2827181839"/>
  </r>
  <r>
    <d v="2025-02-24T00:00:00"/>
    <x v="1"/>
    <x v="1"/>
    <x v="8"/>
    <x v="23"/>
    <x v="14"/>
    <x v="13"/>
    <x v="1"/>
    <n v="662840000"/>
  </r>
  <r>
    <d v="2025-02-24T00:00:00"/>
    <x v="1"/>
    <x v="1"/>
    <x v="8"/>
    <x v="23"/>
    <x v="21"/>
    <x v="9"/>
    <x v="1"/>
    <n v="0"/>
  </r>
  <r>
    <d v="2025-02-24T00:00:00"/>
    <x v="1"/>
    <x v="1"/>
    <x v="8"/>
    <x v="23"/>
    <x v="2"/>
    <x v="2"/>
    <x v="1"/>
    <n v="4987730000"/>
  </r>
  <r>
    <d v="2025-02-24T00:00:00"/>
    <x v="1"/>
    <x v="1"/>
    <x v="8"/>
    <x v="23"/>
    <x v="19"/>
    <x v="12"/>
    <x v="4"/>
    <n v="261242863"/>
  </r>
  <r>
    <d v="2025-02-24T00:00:00"/>
    <x v="1"/>
    <x v="1"/>
    <x v="8"/>
    <x v="23"/>
    <x v="15"/>
    <x v="14"/>
    <x v="4"/>
    <n v="13963624"/>
  </r>
  <r>
    <d v="2025-02-24T00:00:00"/>
    <x v="1"/>
    <x v="1"/>
    <x v="8"/>
    <x v="23"/>
    <x v="1"/>
    <x v="1"/>
    <x v="1"/>
    <n v="31500000"/>
  </r>
  <r>
    <d v="2025-02-24T00:00:00"/>
    <x v="1"/>
    <x v="1"/>
    <x v="8"/>
    <x v="23"/>
    <x v="6"/>
    <x v="6"/>
    <x v="0"/>
    <n v="66000000"/>
  </r>
  <r>
    <d v="2025-02-24T00:00:00"/>
    <x v="1"/>
    <x v="1"/>
    <x v="8"/>
    <x v="23"/>
    <x v="20"/>
    <x v="9"/>
    <x v="1"/>
    <n v="0"/>
  </r>
  <r>
    <d v="2025-02-24T00:00:00"/>
    <x v="1"/>
    <x v="1"/>
    <x v="8"/>
    <x v="23"/>
    <x v="17"/>
    <x v="9"/>
    <x v="1"/>
    <n v="0"/>
  </r>
  <r>
    <d v="2025-02-24T00:00:00"/>
    <x v="1"/>
    <x v="1"/>
    <x v="8"/>
    <x v="23"/>
    <x v="23"/>
    <x v="17"/>
    <x v="4"/>
    <n v="0"/>
  </r>
  <r>
    <d v="2025-02-24T00:00:00"/>
    <x v="1"/>
    <x v="1"/>
    <x v="8"/>
    <x v="23"/>
    <x v="22"/>
    <x v="16"/>
    <x v="1"/>
    <n v="0"/>
  </r>
  <r>
    <d v="2025-02-24T00:00:00"/>
    <x v="1"/>
    <x v="1"/>
    <x v="8"/>
    <x v="23"/>
    <x v="18"/>
    <x v="15"/>
    <x v="1"/>
    <n v="398490000"/>
  </r>
  <r>
    <d v="2025-02-24T00:00:00"/>
    <x v="1"/>
    <x v="1"/>
    <x v="8"/>
    <x v="23"/>
    <x v="3"/>
    <x v="3"/>
    <x v="1"/>
    <n v="0"/>
  </r>
  <r>
    <d v="2025-02-24T00:00:00"/>
    <x v="1"/>
    <x v="1"/>
    <x v="8"/>
    <x v="23"/>
    <x v="11"/>
    <x v="10"/>
    <x v="4"/>
    <n v="142709997"/>
  </r>
  <r>
    <d v="2025-02-24T00:00:00"/>
    <x v="1"/>
    <x v="1"/>
    <x v="8"/>
    <x v="23"/>
    <x v="8"/>
    <x v="8"/>
    <x v="1"/>
    <n v="0"/>
  </r>
  <r>
    <d v="2025-02-24T00:00:00"/>
    <x v="1"/>
    <x v="1"/>
    <x v="8"/>
    <x v="23"/>
    <x v="7"/>
    <x v="7"/>
    <x v="4"/>
    <n v="323234625"/>
  </r>
  <r>
    <d v="2025-02-24T00:00:00"/>
    <x v="1"/>
    <x v="1"/>
    <x v="8"/>
    <x v="23"/>
    <x v="5"/>
    <x v="5"/>
    <x v="3"/>
    <n v="3269945427"/>
  </r>
  <r>
    <d v="2025-02-24T00:00:00"/>
    <x v="1"/>
    <x v="1"/>
    <x v="8"/>
    <x v="23"/>
    <x v="12"/>
    <x v="11"/>
    <x v="1"/>
    <n v="3987960000"/>
  </r>
  <r>
    <d v="2025-02-24T00:00:00"/>
    <x v="1"/>
    <x v="1"/>
    <x v="8"/>
    <x v="23"/>
    <x v="0"/>
    <x v="0"/>
    <x v="0"/>
    <n v="4273000000"/>
  </r>
  <r>
    <d v="2025-02-25T00:00:00"/>
    <x v="1"/>
    <x v="1"/>
    <x v="8"/>
    <x v="24"/>
    <x v="2"/>
    <x v="2"/>
    <x v="1"/>
    <n v="5469880000"/>
  </r>
  <r>
    <d v="2025-02-25T00:00:00"/>
    <x v="1"/>
    <x v="1"/>
    <x v="8"/>
    <x v="24"/>
    <x v="22"/>
    <x v="16"/>
    <x v="1"/>
    <n v="0"/>
  </r>
  <r>
    <d v="2025-02-25T00:00:00"/>
    <x v="1"/>
    <x v="1"/>
    <x v="8"/>
    <x v="24"/>
    <x v="20"/>
    <x v="9"/>
    <x v="1"/>
    <n v="0"/>
  </r>
  <r>
    <d v="2025-02-25T00:00:00"/>
    <x v="1"/>
    <x v="1"/>
    <x v="8"/>
    <x v="24"/>
    <x v="12"/>
    <x v="11"/>
    <x v="1"/>
    <n v="4633550000"/>
  </r>
  <r>
    <d v="2025-02-25T00:00:00"/>
    <x v="1"/>
    <x v="1"/>
    <x v="8"/>
    <x v="24"/>
    <x v="15"/>
    <x v="14"/>
    <x v="4"/>
    <n v="32865413"/>
  </r>
  <r>
    <d v="2025-02-25T00:00:00"/>
    <x v="1"/>
    <x v="1"/>
    <x v="8"/>
    <x v="24"/>
    <x v="1"/>
    <x v="1"/>
    <x v="1"/>
    <n v="0"/>
  </r>
  <r>
    <d v="2025-02-25T00:00:00"/>
    <x v="1"/>
    <x v="1"/>
    <x v="8"/>
    <x v="24"/>
    <x v="0"/>
    <x v="0"/>
    <x v="0"/>
    <n v="4964000000"/>
  </r>
  <r>
    <d v="2025-02-25T00:00:00"/>
    <x v="1"/>
    <x v="1"/>
    <x v="8"/>
    <x v="24"/>
    <x v="17"/>
    <x v="9"/>
    <x v="1"/>
    <n v="10700000"/>
  </r>
  <r>
    <d v="2025-02-25T00:00:00"/>
    <x v="1"/>
    <x v="1"/>
    <x v="8"/>
    <x v="24"/>
    <x v="21"/>
    <x v="9"/>
    <x v="1"/>
    <n v="0"/>
  </r>
  <r>
    <d v="2025-02-25T00:00:00"/>
    <x v="1"/>
    <x v="1"/>
    <x v="8"/>
    <x v="24"/>
    <x v="23"/>
    <x v="17"/>
    <x v="4"/>
    <n v="0"/>
  </r>
  <r>
    <d v="2025-02-25T00:00:00"/>
    <x v="1"/>
    <x v="1"/>
    <x v="8"/>
    <x v="24"/>
    <x v="18"/>
    <x v="15"/>
    <x v="1"/>
    <n v="424930000"/>
  </r>
  <r>
    <d v="2025-02-25T00:00:00"/>
    <x v="1"/>
    <x v="1"/>
    <x v="8"/>
    <x v="24"/>
    <x v="3"/>
    <x v="3"/>
    <x v="1"/>
    <n v="0"/>
  </r>
  <r>
    <d v="2025-02-25T00:00:00"/>
    <x v="1"/>
    <x v="1"/>
    <x v="8"/>
    <x v="24"/>
    <x v="14"/>
    <x v="13"/>
    <x v="1"/>
    <n v="522740000"/>
  </r>
  <r>
    <d v="2025-02-25T00:00:00"/>
    <x v="1"/>
    <x v="1"/>
    <x v="8"/>
    <x v="24"/>
    <x v="19"/>
    <x v="12"/>
    <x v="4"/>
    <n v="305062624"/>
  </r>
  <r>
    <d v="2025-02-25T00:00:00"/>
    <x v="1"/>
    <x v="1"/>
    <x v="8"/>
    <x v="24"/>
    <x v="11"/>
    <x v="10"/>
    <x v="4"/>
    <n v="195796124"/>
  </r>
  <r>
    <d v="2025-02-25T00:00:00"/>
    <x v="1"/>
    <x v="1"/>
    <x v="8"/>
    <x v="24"/>
    <x v="6"/>
    <x v="6"/>
    <x v="0"/>
    <n v="65000000"/>
  </r>
  <r>
    <d v="2025-02-25T00:00:00"/>
    <x v="1"/>
    <x v="1"/>
    <x v="8"/>
    <x v="24"/>
    <x v="8"/>
    <x v="8"/>
    <x v="1"/>
    <n v="0"/>
  </r>
  <r>
    <d v="2025-02-25T00:00:00"/>
    <x v="1"/>
    <x v="1"/>
    <x v="8"/>
    <x v="24"/>
    <x v="7"/>
    <x v="7"/>
    <x v="4"/>
    <n v="327525624"/>
  </r>
  <r>
    <d v="2025-02-25T00:00:00"/>
    <x v="1"/>
    <x v="1"/>
    <x v="8"/>
    <x v="24"/>
    <x v="5"/>
    <x v="5"/>
    <x v="3"/>
    <n v="3465615251"/>
  </r>
  <r>
    <d v="2025-02-26T00:00:00"/>
    <x v="1"/>
    <x v="1"/>
    <x v="8"/>
    <x v="25"/>
    <x v="11"/>
    <x v="10"/>
    <x v="4"/>
    <n v="154268875"/>
  </r>
  <r>
    <d v="2025-02-26T00:00:00"/>
    <x v="1"/>
    <x v="1"/>
    <x v="8"/>
    <x v="25"/>
    <x v="15"/>
    <x v="14"/>
    <x v="4"/>
    <n v="6545017"/>
  </r>
  <r>
    <d v="2025-02-26T00:00:00"/>
    <x v="1"/>
    <x v="1"/>
    <x v="8"/>
    <x v="25"/>
    <x v="5"/>
    <x v="5"/>
    <x v="3"/>
    <n v="3674797398"/>
  </r>
  <r>
    <d v="2025-02-26T00:00:00"/>
    <x v="1"/>
    <x v="1"/>
    <x v="8"/>
    <x v="25"/>
    <x v="19"/>
    <x v="12"/>
    <x v="4"/>
    <n v="251266708"/>
  </r>
  <r>
    <d v="2025-02-26T00:00:00"/>
    <x v="1"/>
    <x v="1"/>
    <x v="8"/>
    <x v="25"/>
    <x v="12"/>
    <x v="11"/>
    <x v="1"/>
    <n v="4485520000"/>
  </r>
  <r>
    <d v="2025-02-26T00:00:00"/>
    <x v="1"/>
    <x v="1"/>
    <x v="8"/>
    <x v="25"/>
    <x v="1"/>
    <x v="1"/>
    <x v="1"/>
    <n v="41500000"/>
  </r>
  <r>
    <d v="2025-02-26T00:00:00"/>
    <x v="1"/>
    <x v="1"/>
    <x v="8"/>
    <x v="25"/>
    <x v="2"/>
    <x v="2"/>
    <x v="1"/>
    <n v="6094910000"/>
  </r>
  <r>
    <d v="2025-02-26T00:00:00"/>
    <x v="1"/>
    <x v="1"/>
    <x v="8"/>
    <x v="25"/>
    <x v="21"/>
    <x v="9"/>
    <x v="1"/>
    <n v="0"/>
  </r>
  <r>
    <d v="2025-02-26T00:00:00"/>
    <x v="1"/>
    <x v="1"/>
    <x v="8"/>
    <x v="25"/>
    <x v="7"/>
    <x v="7"/>
    <x v="4"/>
    <n v="310744497"/>
  </r>
  <r>
    <d v="2025-02-26T00:00:00"/>
    <x v="1"/>
    <x v="1"/>
    <x v="8"/>
    <x v="25"/>
    <x v="0"/>
    <x v="0"/>
    <x v="0"/>
    <n v="4474000000"/>
  </r>
  <r>
    <d v="2025-02-26T00:00:00"/>
    <x v="1"/>
    <x v="1"/>
    <x v="8"/>
    <x v="25"/>
    <x v="3"/>
    <x v="3"/>
    <x v="1"/>
    <n v="0"/>
  </r>
  <r>
    <d v="2025-02-26T00:00:00"/>
    <x v="1"/>
    <x v="1"/>
    <x v="8"/>
    <x v="25"/>
    <x v="14"/>
    <x v="13"/>
    <x v="1"/>
    <n v="777140000"/>
  </r>
  <r>
    <d v="2025-02-26T00:00:00"/>
    <x v="1"/>
    <x v="1"/>
    <x v="8"/>
    <x v="25"/>
    <x v="18"/>
    <x v="15"/>
    <x v="1"/>
    <n v="372680000"/>
  </r>
  <r>
    <d v="2025-02-26T00:00:00"/>
    <x v="1"/>
    <x v="1"/>
    <x v="8"/>
    <x v="25"/>
    <x v="8"/>
    <x v="8"/>
    <x v="1"/>
    <n v="0"/>
  </r>
  <r>
    <d v="2025-02-26T00:00:00"/>
    <x v="1"/>
    <x v="1"/>
    <x v="8"/>
    <x v="25"/>
    <x v="22"/>
    <x v="16"/>
    <x v="1"/>
    <n v="0"/>
  </r>
  <r>
    <d v="2025-02-26T00:00:00"/>
    <x v="1"/>
    <x v="1"/>
    <x v="8"/>
    <x v="25"/>
    <x v="23"/>
    <x v="17"/>
    <x v="4"/>
    <n v="0"/>
  </r>
  <r>
    <d v="2025-02-26T00:00:00"/>
    <x v="1"/>
    <x v="1"/>
    <x v="8"/>
    <x v="25"/>
    <x v="6"/>
    <x v="6"/>
    <x v="0"/>
    <n v="86000000"/>
  </r>
  <r>
    <d v="2025-02-26T00:00:00"/>
    <x v="1"/>
    <x v="1"/>
    <x v="8"/>
    <x v="25"/>
    <x v="17"/>
    <x v="9"/>
    <x v="1"/>
    <n v="0"/>
  </r>
  <r>
    <d v="2025-02-26T00:00:00"/>
    <x v="1"/>
    <x v="1"/>
    <x v="8"/>
    <x v="25"/>
    <x v="20"/>
    <x v="9"/>
    <x v="1"/>
    <n v="0"/>
  </r>
  <r>
    <d v="2025-02-27T00:00:00"/>
    <x v="1"/>
    <x v="1"/>
    <x v="8"/>
    <x v="26"/>
    <x v="15"/>
    <x v="14"/>
    <x v="4"/>
    <n v="10349695"/>
  </r>
  <r>
    <d v="2025-02-27T00:00:00"/>
    <x v="1"/>
    <x v="1"/>
    <x v="8"/>
    <x v="26"/>
    <x v="1"/>
    <x v="1"/>
    <x v="1"/>
    <n v="56750000"/>
  </r>
  <r>
    <d v="2025-02-27T00:00:00"/>
    <x v="1"/>
    <x v="1"/>
    <x v="8"/>
    <x v="26"/>
    <x v="2"/>
    <x v="2"/>
    <x v="1"/>
    <n v="5584100000"/>
  </r>
  <r>
    <d v="2025-02-27T00:00:00"/>
    <x v="1"/>
    <x v="1"/>
    <x v="8"/>
    <x v="26"/>
    <x v="20"/>
    <x v="9"/>
    <x v="1"/>
    <n v="0"/>
  </r>
  <r>
    <d v="2025-02-27T00:00:00"/>
    <x v="1"/>
    <x v="1"/>
    <x v="8"/>
    <x v="26"/>
    <x v="17"/>
    <x v="9"/>
    <x v="1"/>
    <n v="0"/>
  </r>
  <r>
    <d v="2025-02-27T00:00:00"/>
    <x v="1"/>
    <x v="1"/>
    <x v="8"/>
    <x v="26"/>
    <x v="5"/>
    <x v="5"/>
    <x v="3"/>
    <n v="3460854161"/>
  </r>
  <r>
    <d v="2025-02-27T00:00:00"/>
    <x v="1"/>
    <x v="1"/>
    <x v="8"/>
    <x v="26"/>
    <x v="23"/>
    <x v="17"/>
    <x v="4"/>
    <n v="0"/>
  </r>
  <r>
    <d v="2025-02-27T00:00:00"/>
    <x v="1"/>
    <x v="1"/>
    <x v="8"/>
    <x v="26"/>
    <x v="18"/>
    <x v="15"/>
    <x v="1"/>
    <n v="243040000"/>
  </r>
  <r>
    <d v="2025-02-27T00:00:00"/>
    <x v="1"/>
    <x v="1"/>
    <x v="8"/>
    <x v="26"/>
    <x v="6"/>
    <x v="6"/>
    <x v="0"/>
    <n v="57000000"/>
  </r>
  <r>
    <d v="2025-02-27T00:00:00"/>
    <x v="1"/>
    <x v="1"/>
    <x v="8"/>
    <x v="26"/>
    <x v="3"/>
    <x v="3"/>
    <x v="1"/>
    <n v="0"/>
  </r>
  <r>
    <d v="2025-02-27T00:00:00"/>
    <x v="1"/>
    <x v="1"/>
    <x v="8"/>
    <x v="26"/>
    <x v="14"/>
    <x v="13"/>
    <x v="1"/>
    <n v="588760000"/>
  </r>
  <r>
    <d v="2025-02-27T00:00:00"/>
    <x v="1"/>
    <x v="1"/>
    <x v="8"/>
    <x v="26"/>
    <x v="19"/>
    <x v="12"/>
    <x v="4"/>
    <n v="307904611"/>
  </r>
  <r>
    <d v="2025-02-27T00:00:00"/>
    <x v="1"/>
    <x v="1"/>
    <x v="8"/>
    <x v="26"/>
    <x v="11"/>
    <x v="10"/>
    <x v="4"/>
    <n v="164011710"/>
  </r>
  <r>
    <d v="2025-02-27T00:00:00"/>
    <x v="1"/>
    <x v="1"/>
    <x v="8"/>
    <x v="26"/>
    <x v="8"/>
    <x v="8"/>
    <x v="1"/>
    <n v="0"/>
  </r>
  <r>
    <d v="2025-02-27T00:00:00"/>
    <x v="1"/>
    <x v="1"/>
    <x v="8"/>
    <x v="26"/>
    <x v="12"/>
    <x v="11"/>
    <x v="1"/>
    <n v="4553750000"/>
  </r>
  <r>
    <d v="2025-02-27T00:00:00"/>
    <x v="1"/>
    <x v="1"/>
    <x v="8"/>
    <x v="26"/>
    <x v="21"/>
    <x v="9"/>
    <x v="1"/>
    <n v="0"/>
  </r>
  <r>
    <d v="2025-02-27T00:00:00"/>
    <x v="1"/>
    <x v="1"/>
    <x v="8"/>
    <x v="26"/>
    <x v="0"/>
    <x v="0"/>
    <x v="0"/>
    <n v="4569500000"/>
  </r>
  <r>
    <d v="2025-02-27T00:00:00"/>
    <x v="1"/>
    <x v="1"/>
    <x v="8"/>
    <x v="26"/>
    <x v="7"/>
    <x v="7"/>
    <x v="4"/>
    <n v="297727139"/>
  </r>
  <r>
    <d v="2025-02-27T00:00:00"/>
    <x v="1"/>
    <x v="1"/>
    <x v="8"/>
    <x v="26"/>
    <x v="22"/>
    <x v="16"/>
    <x v="1"/>
    <n v="0"/>
  </r>
  <r>
    <d v="2025-02-28T00:00:00"/>
    <x v="1"/>
    <x v="1"/>
    <x v="8"/>
    <x v="27"/>
    <x v="12"/>
    <x v="11"/>
    <x v="1"/>
    <n v="5206800000"/>
  </r>
  <r>
    <d v="2025-02-28T00:00:00"/>
    <x v="1"/>
    <x v="1"/>
    <x v="8"/>
    <x v="27"/>
    <x v="0"/>
    <x v="0"/>
    <x v="0"/>
    <n v="5084000000"/>
  </r>
  <r>
    <d v="2025-02-28T00:00:00"/>
    <x v="1"/>
    <x v="1"/>
    <x v="8"/>
    <x v="27"/>
    <x v="5"/>
    <x v="5"/>
    <x v="3"/>
    <n v="4491892021"/>
  </r>
  <r>
    <d v="2025-02-28T00:00:00"/>
    <x v="1"/>
    <x v="1"/>
    <x v="8"/>
    <x v="27"/>
    <x v="2"/>
    <x v="2"/>
    <x v="1"/>
    <n v="7097440000"/>
  </r>
  <r>
    <d v="2025-02-28T00:00:00"/>
    <x v="1"/>
    <x v="1"/>
    <x v="8"/>
    <x v="27"/>
    <x v="7"/>
    <x v="7"/>
    <x v="4"/>
    <n v="337082779"/>
  </r>
  <r>
    <d v="2025-02-28T00:00:00"/>
    <x v="1"/>
    <x v="1"/>
    <x v="8"/>
    <x v="27"/>
    <x v="15"/>
    <x v="14"/>
    <x v="4"/>
    <n v="30809847"/>
  </r>
  <r>
    <d v="2025-02-28T00:00:00"/>
    <x v="1"/>
    <x v="1"/>
    <x v="8"/>
    <x v="27"/>
    <x v="1"/>
    <x v="1"/>
    <x v="1"/>
    <n v="70350000"/>
  </r>
  <r>
    <d v="2025-02-28T00:00:00"/>
    <x v="1"/>
    <x v="1"/>
    <x v="8"/>
    <x v="27"/>
    <x v="6"/>
    <x v="6"/>
    <x v="0"/>
    <n v="45000000"/>
  </r>
  <r>
    <d v="2025-02-28T00:00:00"/>
    <x v="1"/>
    <x v="1"/>
    <x v="8"/>
    <x v="27"/>
    <x v="22"/>
    <x v="16"/>
    <x v="1"/>
    <n v="0"/>
  </r>
  <r>
    <d v="2025-02-28T00:00:00"/>
    <x v="1"/>
    <x v="1"/>
    <x v="8"/>
    <x v="27"/>
    <x v="20"/>
    <x v="9"/>
    <x v="1"/>
    <n v="0"/>
  </r>
  <r>
    <d v="2025-02-28T00:00:00"/>
    <x v="1"/>
    <x v="1"/>
    <x v="8"/>
    <x v="27"/>
    <x v="17"/>
    <x v="9"/>
    <x v="1"/>
    <n v="21400000"/>
  </r>
  <r>
    <d v="2025-02-28T00:00:00"/>
    <x v="1"/>
    <x v="1"/>
    <x v="8"/>
    <x v="27"/>
    <x v="21"/>
    <x v="9"/>
    <x v="1"/>
    <n v="0"/>
  </r>
  <r>
    <d v="2025-02-28T00:00:00"/>
    <x v="1"/>
    <x v="1"/>
    <x v="8"/>
    <x v="27"/>
    <x v="23"/>
    <x v="17"/>
    <x v="4"/>
    <n v="0"/>
  </r>
  <r>
    <d v="2025-02-28T00:00:00"/>
    <x v="1"/>
    <x v="1"/>
    <x v="8"/>
    <x v="27"/>
    <x v="18"/>
    <x v="15"/>
    <x v="1"/>
    <n v="522720000"/>
  </r>
  <r>
    <d v="2025-02-28T00:00:00"/>
    <x v="1"/>
    <x v="1"/>
    <x v="8"/>
    <x v="27"/>
    <x v="3"/>
    <x v="3"/>
    <x v="1"/>
    <n v="0"/>
  </r>
  <r>
    <d v="2025-02-28T00:00:00"/>
    <x v="1"/>
    <x v="1"/>
    <x v="8"/>
    <x v="27"/>
    <x v="14"/>
    <x v="13"/>
    <x v="1"/>
    <n v="610460000"/>
  </r>
  <r>
    <d v="2025-02-28T00:00:00"/>
    <x v="1"/>
    <x v="1"/>
    <x v="8"/>
    <x v="27"/>
    <x v="19"/>
    <x v="12"/>
    <x v="4"/>
    <n v="316317756"/>
  </r>
  <r>
    <d v="2025-02-28T00:00:00"/>
    <x v="1"/>
    <x v="1"/>
    <x v="8"/>
    <x v="27"/>
    <x v="11"/>
    <x v="10"/>
    <x v="4"/>
    <n v="173746955"/>
  </r>
  <r>
    <d v="2025-02-28T00:00:00"/>
    <x v="1"/>
    <x v="1"/>
    <x v="8"/>
    <x v="27"/>
    <x v="8"/>
    <x v="8"/>
    <x v="1"/>
    <n v="0"/>
  </r>
  <r>
    <d v="2025-03-01T00:00:00"/>
    <x v="1"/>
    <x v="2"/>
    <x v="8"/>
    <x v="0"/>
    <x v="2"/>
    <x v="2"/>
    <x v="1"/>
    <n v="5041030000"/>
  </r>
  <r>
    <d v="2025-03-01T00:00:00"/>
    <x v="1"/>
    <x v="2"/>
    <x v="8"/>
    <x v="0"/>
    <x v="5"/>
    <x v="5"/>
    <x v="3"/>
    <n v="5237116660"/>
  </r>
  <r>
    <d v="2025-03-01T00:00:00"/>
    <x v="1"/>
    <x v="2"/>
    <x v="8"/>
    <x v="0"/>
    <x v="12"/>
    <x v="11"/>
    <x v="1"/>
    <n v="4961980000"/>
  </r>
  <r>
    <d v="2025-03-01T00:00:00"/>
    <x v="1"/>
    <x v="2"/>
    <x v="8"/>
    <x v="0"/>
    <x v="15"/>
    <x v="14"/>
    <x v="4"/>
    <n v="23112189"/>
  </r>
  <r>
    <d v="2025-03-01T00:00:00"/>
    <x v="1"/>
    <x v="2"/>
    <x v="8"/>
    <x v="0"/>
    <x v="22"/>
    <x v="16"/>
    <x v="1"/>
    <n v="0"/>
  </r>
  <r>
    <d v="2025-03-01T00:00:00"/>
    <x v="1"/>
    <x v="2"/>
    <x v="8"/>
    <x v="0"/>
    <x v="1"/>
    <x v="1"/>
    <x v="1"/>
    <n v="50400000"/>
  </r>
  <r>
    <d v="2025-03-01T00:00:00"/>
    <x v="1"/>
    <x v="2"/>
    <x v="8"/>
    <x v="0"/>
    <x v="6"/>
    <x v="6"/>
    <x v="0"/>
    <n v="28000000"/>
  </r>
  <r>
    <d v="2025-03-01T00:00:00"/>
    <x v="1"/>
    <x v="2"/>
    <x v="8"/>
    <x v="0"/>
    <x v="20"/>
    <x v="9"/>
    <x v="1"/>
    <n v="0"/>
  </r>
  <r>
    <d v="2025-03-01T00:00:00"/>
    <x v="1"/>
    <x v="2"/>
    <x v="8"/>
    <x v="0"/>
    <x v="17"/>
    <x v="9"/>
    <x v="1"/>
    <n v="0"/>
  </r>
  <r>
    <d v="2025-03-01T00:00:00"/>
    <x v="1"/>
    <x v="2"/>
    <x v="8"/>
    <x v="0"/>
    <x v="21"/>
    <x v="9"/>
    <x v="1"/>
    <n v="0"/>
  </r>
  <r>
    <d v="2025-03-01T00:00:00"/>
    <x v="1"/>
    <x v="2"/>
    <x v="8"/>
    <x v="0"/>
    <x v="23"/>
    <x v="17"/>
    <x v="4"/>
    <n v="0"/>
  </r>
  <r>
    <d v="2025-03-01T00:00:00"/>
    <x v="1"/>
    <x v="2"/>
    <x v="8"/>
    <x v="0"/>
    <x v="18"/>
    <x v="15"/>
    <x v="1"/>
    <n v="334470000"/>
  </r>
  <r>
    <d v="2025-03-01T00:00:00"/>
    <x v="1"/>
    <x v="2"/>
    <x v="8"/>
    <x v="0"/>
    <x v="3"/>
    <x v="3"/>
    <x v="1"/>
    <n v="21000000"/>
  </r>
  <r>
    <d v="2025-03-01T00:00:00"/>
    <x v="1"/>
    <x v="2"/>
    <x v="8"/>
    <x v="0"/>
    <x v="14"/>
    <x v="13"/>
    <x v="1"/>
    <n v="545620000"/>
  </r>
  <r>
    <d v="2025-03-01T00:00:00"/>
    <x v="1"/>
    <x v="2"/>
    <x v="8"/>
    <x v="0"/>
    <x v="19"/>
    <x v="12"/>
    <x v="4"/>
    <n v="441180489"/>
  </r>
  <r>
    <d v="2025-03-01T00:00:00"/>
    <x v="1"/>
    <x v="2"/>
    <x v="8"/>
    <x v="0"/>
    <x v="11"/>
    <x v="10"/>
    <x v="4"/>
    <n v="160339820"/>
  </r>
  <r>
    <d v="2025-03-01T00:00:00"/>
    <x v="1"/>
    <x v="2"/>
    <x v="8"/>
    <x v="0"/>
    <x v="7"/>
    <x v="7"/>
    <x v="4"/>
    <n v="386775262"/>
  </r>
  <r>
    <d v="2025-03-01T00:00:00"/>
    <x v="1"/>
    <x v="2"/>
    <x v="8"/>
    <x v="0"/>
    <x v="8"/>
    <x v="8"/>
    <x v="1"/>
    <n v="0"/>
  </r>
  <r>
    <d v="2025-03-01T00:00:00"/>
    <x v="1"/>
    <x v="2"/>
    <x v="8"/>
    <x v="0"/>
    <x v="0"/>
    <x v="0"/>
    <x v="0"/>
    <n v="4906000000"/>
  </r>
  <r>
    <d v="2025-03-02T00:00:00"/>
    <x v="1"/>
    <x v="2"/>
    <x v="8"/>
    <x v="1"/>
    <x v="5"/>
    <x v="5"/>
    <x v="3"/>
    <n v="4926549388"/>
  </r>
  <r>
    <d v="2025-03-02T00:00:00"/>
    <x v="1"/>
    <x v="2"/>
    <x v="8"/>
    <x v="1"/>
    <x v="12"/>
    <x v="11"/>
    <x v="1"/>
    <n v="4492030000"/>
  </r>
  <r>
    <d v="2025-03-02T00:00:00"/>
    <x v="1"/>
    <x v="2"/>
    <x v="8"/>
    <x v="1"/>
    <x v="7"/>
    <x v="7"/>
    <x v="4"/>
    <n v="399773755"/>
  </r>
  <r>
    <d v="2025-03-02T00:00:00"/>
    <x v="1"/>
    <x v="2"/>
    <x v="8"/>
    <x v="1"/>
    <x v="2"/>
    <x v="2"/>
    <x v="1"/>
    <n v="5604730000"/>
  </r>
  <r>
    <d v="2025-03-02T00:00:00"/>
    <x v="1"/>
    <x v="2"/>
    <x v="8"/>
    <x v="1"/>
    <x v="0"/>
    <x v="0"/>
    <x v="0"/>
    <n v="4793500000"/>
  </r>
  <r>
    <d v="2025-03-02T00:00:00"/>
    <x v="1"/>
    <x v="2"/>
    <x v="8"/>
    <x v="1"/>
    <x v="17"/>
    <x v="9"/>
    <x v="1"/>
    <n v="0"/>
  </r>
  <r>
    <d v="2025-03-02T00:00:00"/>
    <x v="1"/>
    <x v="2"/>
    <x v="8"/>
    <x v="1"/>
    <x v="11"/>
    <x v="10"/>
    <x v="4"/>
    <n v="167334106"/>
  </r>
  <r>
    <d v="2025-03-02T00:00:00"/>
    <x v="1"/>
    <x v="2"/>
    <x v="8"/>
    <x v="1"/>
    <x v="8"/>
    <x v="8"/>
    <x v="1"/>
    <n v="0"/>
  </r>
  <r>
    <d v="2025-03-02T00:00:00"/>
    <x v="1"/>
    <x v="2"/>
    <x v="8"/>
    <x v="1"/>
    <x v="22"/>
    <x v="16"/>
    <x v="1"/>
    <n v="0"/>
  </r>
  <r>
    <d v="2025-03-02T00:00:00"/>
    <x v="1"/>
    <x v="2"/>
    <x v="8"/>
    <x v="1"/>
    <x v="20"/>
    <x v="9"/>
    <x v="1"/>
    <n v="0"/>
  </r>
  <r>
    <d v="2025-03-02T00:00:00"/>
    <x v="1"/>
    <x v="2"/>
    <x v="8"/>
    <x v="1"/>
    <x v="15"/>
    <x v="14"/>
    <x v="4"/>
    <n v="44353450"/>
  </r>
  <r>
    <d v="2025-03-02T00:00:00"/>
    <x v="1"/>
    <x v="2"/>
    <x v="8"/>
    <x v="1"/>
    <x v="1"/>
    <x v="1"/>
    <x v="1"/>
    <n v="73500000"/>
  </r>
  <r>
    <d v="2025-03-02T00:00:00"/>
    <x v="1"/>
    <x v="2"/>
    <x v="8"/>
    <x v="1"/>
    <x v="6"/>
    <x v="6"/>
    <x v="0"/>
    <n v="43000000"/>
  </r>
  <r>
    <d v="2025-03-02T00:00:00"/>
    <x v="1"/>
    <x v="2"/>
    <x v="8"/>
    <x v="1"/>
    <x v="21"/>
    <x v="9"/>
    <x v="1"/>
    <n v="0"/>
  </r>
  <r>
    <d v="2025-03-02T00:00:00"/>
    <x v="1"/>
    <x v="2"/>
    <x v="8"/>
    <x v="1"/>
    <x v="23"/>
    <x v="17"/>
    <x v="4"/>
    <n v="0"/>
  </r>
  <r>
    <d v="2025-03-02T00:00:00"/>
    <x v="1"/>
    <x v="2"/>
    <x v="8"/>
    <x v="1"/>
    <x v="18"/>
    <x v="15"/>
    <x v="1"/>
    <n v="229340000"/>
  </r>
  <r>
    <d v="2025-03-02T00:00:00"/>
    <x v="1"/>
    <x v="2"/>
    <x v="8"/>
    <x v="1"/>
    <x v="3"/>
    <x v="3"/>
    <x v="1"/>
    <n v="0"/>
  </r>
  <r>
    <d v="2025-03-02T00:00:00"/>
    <x v="1"/>
    <x v="2"/>
    <x v="8"/>
    <x v="1"/>
    <x v="14"/>
    <x v="13"/>
    <x v="1"/>
    <n v="469950000"/>
  </r>
  <r>
    <d v="2025-03-02T00:00:00"/>
    <x v="1"/>
    <x v="2"/>
    <x v="8"/>
    <x v="1"/>
    <x v="19"/>
    <x v="12"/>
    <x v="4"/>
    <n v="521513878"/>
  </r>
  <r>
    <d v="2025-03-03T00:00:00"/>
    <x v="1"/>
    <x v="2"/>
    <x v="9"/>
    <x v="2"/>
    <x v="2"/>
    <x v="2"/>
    <x v="1"/>
    <n v="6928460000"/>
  </r>
  <r>
    <d v="2025-03-03T00:00:00"/>
    <x v="1"/>
    <x v="2"/>
    <x v="9"/>
    <x v="2"/>
    <x v="3"/>
    <x v="3"/>
    <x v="1"/>
    <n v="0"/>
  </r>
  <r>
    <d v="2025-03-03T00:00:00"/>
    <x v="1"/>
    <x v="2"/>
    <x v="9"/>
    <x v="2"/>
    <x v="22"/>
    <x v="16"/>
    <x v="1"/>
    <n v="0"/>
  </r>
  <r>
    <d v="2025-03-03T00:00:00"/>
    <x v="1"/>
    <x v="2"/>
    <x v="9"/>
    <x v="2"/>
    <x v="14"/>
    <x v="13"/>
    <x v="1"/>
    <n v="767170000"/>
  </r>
  <r>
    <d v="2025-03-03T00:00:00"/>
    <x v="1"/>
    <x v="2"/>
    <x v="9"/>
    <x v="2"/>
    <x v="15"/>
    <x v="14"/>
    <x v="4"/>
    <n v="46450014"/>
  </r>
  <r>
    <d v="2025-03-03T00:00:00"/>
    <x v="1"/>
    <x v="2"/>
    <x v="9"/>
    <x v="2"/>
    <x v="1"/>
    <x v="1"/>
    <x v="1"/>
    <n v="26250000"/>
  </r>
  <r>
    <d v="2025-03-03T00:00:00"/>
    <x v="1"/>
    <x v="2"/>
    <x v="9"/>
    <x v="2"/>
    <x v="19"/>
    <x v="12"/>
    <x v="4"/>
    <n v="655139054"/>
  </r>
  <r>
    <d v="2025-03-03T00:00:00"/>
    <x v="1"/>
    <x v="2"/>
    <x v="9"/>
    <x v="2"/>
    <x v="6"/>
    <x v="6"/>
    <x v="0"/>
    <n v="39000000"/>
  </r>
  <r>
    <d v="2025-03-03T00:00:00"/>
    <x v="1"/>
    <x v="2"/>
    <x v="9"/>
    <x v="2"/>
    <x v="17"/>
    <x v="9"/>
    <x v="1"/>
    <n v="0"/>
  </r>
  <r>
    <d v="2025-03-03T00:00:00"/>
    <x v="1"/>
    <x v="2"/>
    <x v="9"/>
    <x v="2"/>
    <x v="20"/>
    <x v="9"/>
    <x v="1"/>
    <n v="0"/>
  </r>
  <r>
    <d v="2025-03-03T00:00:00"/>
    <x v="1"/>
    <x v="2"/>
    <x v="9"/>
    <x v="2"/>
    <x v="21"/>
    <x v="9"/>
    <x v="1"/>
    <n v="0"/>
  </r>
  <r>
    <d v="2025-03-03T00:00:00"/>
    <x v="1"/>
    <x v="2"/>
    <x v="9"/>
    <x v="2"/>
    <x v="23"/>
    <x v="17"/>
    <x v="4"/>
    <n v="0"/>
  </r>
  <r>
    <d v="2025-03-03T00:00:00"/>
    <x v="1"/>
    <x v="2"/>
    <x v="9"/>
    <x v="2"/>
    <x v="18"/>
    <x v="15"/>
    <x v="1"/>
    <n v="430440000"/>
  </r>
  <r>
    <d v="2025-03-03T00:00:00"/>
    <x v="1"/>
    <x v="2"/>
    <x v="9"/>
    <x v="2"/>
    <x v="0"/>
    <x v="0"/>
    <x v="0"/>
    <n v="5196000000"/>
  </r>
  <r>
    <d v="2025-03-03T00:00:00"/>
    <x v="1"/>
    <x v="2"/>
    <x v="9"/>
    <x v="2"/>
    <x v="11"/>
    <x v="10"/>
    <x v="4"/>
    <n v="169032915"/>
  </r>
  <r>
    <d v="2025-03-03T00:00:00"/>
    <x v="1"/>
    <x v="2"/>
    <x v="9"/>
    <x v="2"/>
    <x v="8"/>
    <x v="8"/>
    <x v="1"/>
    <n v="0"/>
  </r>
  <r>
    <d v="2025-03-03T00:00:00"/>
    <x v="1"/>
    <x v="2"/>
    <x v="9"/>
    <x v="2"/>
    <x v="7"/>
    <x v="7"/>
    <x v="4"/>
    <n v="457868113"/>
  </r>
  <r>
    <d v="2025-03-03T00:00:00"/>
    <x v="1"/>
    <x v="2"/>
    <x v="9"/>
    <x v="2"/>
    <x v="5"/>
    <x v="5"/>
    <x v="3"/>
    <n v="4575578892"/>
  </r>
  <r>
    <d v="2025-03-03T00:00:00"/>
    <x v="1"/>
    <x v="2"/>
    <x v="9"/>
    <x v="2"/>
    <x v="12"/>
    <x v="11"/>
    <x v="1"/>
    <n v="5072870000"/>
  </r>
  <r>
    <d v="2025-03-04T00:00:00"/>
    <x v="1"/>
    <x v="2"/>
    <x v="9"/>
    <x v="3"/>
    <x v="17"/>
    <x v="9"/>
    <x v="1"/>
    <n v="0"/>
  </r>
  <r>
    <d v="2025-03-04T00:00:00"/>
    <x v="1"/>
    <x v="2"/>
    <x v="9"/>
    <x v="3"/>
    <x v="8"/>
    <x v="8"/>
    <x v="1"/>
    <n v="0"/>
  </r>
  <r>
    <d v="2025-03-04T00:00:00"/>
    <x v="1"/>
    <x v="2"/>
    <x v="9"/>
    <x v="3"/>
    <x v="11"/>
    <x v="10"/>
    <x v="4"/>
    <n v="178184606"/>
  </r>
  <r>
    <d v="2025-03-04T00:00:00"/>
    <x v="1"/>
    <x v="2"/>
    <x v="9"/>
    <x v="3"/>
    <x v="1"/>
    <x v="1"/>
    <x v="1"/>
    <n v="120250000"/>
  </r>
  <r>
    <d v="2025-03-04T00:00:00"/>
    <x v="1"/>
    <x v="2"/>
    <x v="9"/>
    <x v="3"/>
    <x v="21"/>
    <x v="9"/>
    <x v="1"/>
    <n v="0"/>
  </r>
  <r>
    <d v="2025-03-04T00:00:00"/>
    <x v="1"/>
    <x v="2"/>
    <x v="9"/>
    <x v="3"/>
    <x v="5"/>
    <x v="5"/>
    <x v="3"/>
    <n v="4293375952"/>
  </r>
  <r>
    <d v="2025-03-04T00:00:00"/>
    <x v="1"/>
    <x v="2"/>
    <x v="9"/>
    <x v="3"/>
    <x v="23"/>
    <x v="17"/>
    <x v="4"/>
    <n v="0"/>
  </r>
  <r>
    <d v="2025-03-04T00:00:00"/>
    <x v="1"/>
    <x v="2"/>
    <x v="9"/>
    <x v="3"/>
    <x v="0"/>
    <x v="0"/>
    <x v="0"/>
    <n v="5442000000"/>
  </r>
  <r>
    <d v="2025-03-04T00:00:00"/>
    <x v="1"/>
    <x v="2"/>
    <x v="9"/>
    <x v="3"/>
    <x v="2"/>
    <x v="2"/>
    <x v="1"/>
    <n v="6823450000"/>
  </r>
  <r>
    <d v="2025-03-04T00:00:00"/>
    <x v="1"/>
    <x v="2"/>
    <x v="9"/>
    <x v="3"/>
    <x v="6"/>
    <x v="6"/>
    <x v="0"/>
    <n v="83000000"/>
  </r>
  <r>
    <d v="2025-03-04T00:00:00"/>
    <x v="1"/>
    <x v="2"/>
    <x v="9"/>
    <x v="3"/>
    <x v="18"/>
    <x v="15"/>
    <x v="1"/>
    <n v="515140000"/>
  </r>
  <r>
    <d v="2025-03-04T00:00:00"/>
    <x v="1"/>
    <x v="2"/>
    <x v="9"/>
    <x v="3"/>
    <x v="7"/>
    <x v="7"/>
    <x v="4"/>
    <n v="509418729"/>
  </r>
  <r>
    <d v="2025-03-04T00:00:00"/>
    <x v="1"/>
    <x v="2"/>
    <x v="9"/>
    <x v="3"/>
    <x v="3"/>
    <x v="3"/>
    <x v="1"/>
    <n v="0"/>
  </r>
  <r>
    <d v="2025-03-04T00:00:00"/>
    <x v="1"/>
    <x v="2"/>
    <x v="9"/>
    <x v="3"/>
    <x v="12"/>
    <x v="11"/>
    <x v="1"/>
    <n v="5678930000"/>
  </r>
  <r>
    <d v="2025-03-04T00:00:00"/>
    <x v="1"/>
    <x v="2"/>
    <x v="9"/>
    <x v="3"/>
    <x v="22"/>
    <x v="16"/>
    <x v="1"/>
    <n v="0"/>
  </r>
  <r>
    <d v="2025-03-04T00:00:00"/>
    <x v="1"/>
    <x v="2"/>
    <x v="9"/>
    <x v="3"/>
    <x v="14"/>
    <x v="13"/>
    <x v="1"/>
    <n v="642990000"/>
  </r>
  <r>
    <d v="2025-03-04T00:00:00"/>
    <x v="1"/>
    <x v="2"/>
    <x v="9"/>
    <x v="3"/>
    <x v="15"/>
    <x v="14"/>
    <x v="4"/>
    <n v="47428886"/>
  </r>
  <r>
    <d v="2025-03-04T00:00:00"/>
    <x v="1"/>
    <x v="2"/>
    <x v="9"/>
    <x v="3"/>
    <x v="20"/>
    <x v="9"/>
    <x v="1"/>
    <n v="0"/>
  </r>
  <r>
    <d v="2025-03-04T00:00:00"/>
    <x v="1"/>
    <x v="2"/>
    <x v="9"/>
    <x v="3"/>
    <x v="19"/>
    <x v="12"/>
    <x v="4"/>
    <n v="638129036"/>
  </r>
  <r>
    <d v="2025-03-05T00:00:00"/>
    <x v="1"/>
    <x v="2"/>
    <x v="9"/>
    <x v="4"/>
    <x v="8"/>
    <x v="8"/>
    <x v="1"/>
    <n v="0"/>
  </r>
  <r>
    <d v="2025-03-05T00:00:00"/>
    <x v="1"/>
    <x v="2"/>
    <x v="9"/>
    <x v="4"/>
    <x v="1"/>
    <x v="1"/>
    <x v="1"/>
    <n v="21000000"/>
  </r>
  <r>
    <d v="2025-03-05T00:00:00"/>
    <x v="1"/>
    <x v="2"/>
    <x v="9"/>
    <x v="4"/>
    <x v="17"/>
    <x v="9"/>
    <x v="1"/>
    <n v="0"/>
  </r>
  <r>
    <d v="2025-03-05T00:00:00"/>
    <x v="1"/>
    <x v="2"/>
    <x v="9"/>
    <x v="4"/>
    <x v="6"/>
    <x v="6"/>
    <x v="0"/>
    <n v="38000000"/>
  </r>
  <r>
    <d v="2025-03-05T00:00:00"/>
    <x v="1"/>
    <x v="2"/>
    <x v="9"/>
    <x v="4"/>
    <x v="2"/>
    <x v="2"/>
    <x v="1"/>
    <n v="7043810000"/>
  </r>
  <r>
    <d v="2025-03-05T00:00:00"/>
    <x v="1"/>
    <x v="2"/>
    <x v="9"/>
    <x v="4"/>
    <x v="22"/>
    <x v="16"/>
    <x v="1"/>
    <n v="10000000"/>
  </r>
  <r>
    <d v="2025-03-05T00:00:00"/>
    <x v="1"/>
    <x v="2"/>
    <x v="9"/>
    <x v="4"/>
    <x v="5"/>
    <x v="5"/>
    <x v="3"/>
    <n v="4419316745"/>
  </r>
  <r>
    <d v="2025-03-05T00:00:00"/>
    <x v="1"/>
    <x v="2"/>
    <x v="9"/>
    <x v="4"/>
    <x v="14"/>
    <x v="13"/>
    <x v="1"/>
    <n v="755330000"/>
  </r>
  <r>
    <d v="2025-03-05T00:00:00"/>
    <x v="1"/>
    <x v="2"/>
    <x v="9"/>
    <x v="4"/>
    <x v="21"/>
    <x v="9"/>
    <x v="1"/>
    <n v="32100000"/>
  </r>
  <r>
    <d v="2025-03-05T00:00:00"/>
    <x v="1"/>
    <x v="2"/>
    <x v="9"/>
    <x v="4"/>
    <x v="18"/>
    <x v="15"/>
    <x v="1"/>
    <n v="478420000"/>
  </r>
  <r>
    <d v="2025-03-05T00:00:00"/>
    <x v="1"/>
    <x v="2"/>
    <x v="9"/>
    <x v="4"/>
    <x v="3"/>
    <x v="3"/>
    <x v="1"/>
    <n v="18900000"/>
  </r>
  <r>
    <d v="2025-03-05T00:00:00"/>
    <x v="1"/>
    <x v="2"/>
    <x v="9"/>
    <x v="4"/>
    <x v="0"/>
    <x v="0"/>
    <x v="0"/>
    <n v="5927000000"/>
  </r>
  <r>
    <d v="2025-03-05T00:00:00"/>
    <x v="1"/>
    <x v="2"/>
    <x v="9"/>
    <x v="4"/>
    <x v="12"/>
    <x v="11"/>
    <x v="1"/>
    <n v="5785830000"/>
  </r>
  <r>
    <d v="2025-03-05T00:00:00"/>
    <x v="1"/>
    <x v="2"/>
    <x v="9"/>
    <x v="4"/>
    <x v="23"/>
    <x v="17"/>
    <x v="4"/>
    <n v="0"/>
  </r>
  <r>
    <d v="2025-03-05T00:00:00"/>
    <x v="1"/>
    <x v="2"/>
    <x v="9"/>
    <x v="4"/>
    <x v="15"/>
    <x v="14"/>
    <x v="4"/>
    <n v="61780512"/>
  </r>
  <r>
    <d v="2025-03-05T00:00:00"/>
    <x v="1"/>
    <x v="2"/>
    <x v="9"/>
    <x v="4"/>
    <x v="20"/>
    <x v="9"/>
    <x v="1"/>
    <n v="0"/>
  </r>
  <r>
    <d v="2025-03-05T00:00:00"/>
    <x v="1"/>
    <x v="2"/>
    <x v="9"/>
    <x v="4"/>
    <x v="11"/>
    <x v="10"/>
    <x v="4"/>
    <n v="209242618"/>
  </r>
  <r>
    <d v="2025-03-05T00:00:00"/>
    <x v="1"/>
    <x v="2"/>
    <x v="9"/>
    <x v="4"/>
    <x v="7"/>
    <x v="7"/>
    <x v="4"/>
    <n v="492743506"/>
  </r>
  <r>
    <d v="2025-03-05T00:00:00"/>
    <x v="1"/>
    <x v="2"/>
    <x v="9"/>
    <x v="4"/>
    <x v="19"/>
    <x v="12"/>
    <x v="4"/>
    <n v="706672923"/>
  </r>
  <r>
    <d v="2025-03-06T00:00:00"/>
    <x v="1"/>
    <x v="2"/>
    <x v="9"/>
    <x v="5"/>
    <x v="3"/>
    <x v="3"/>
    <x v="1"/>
    <n v="0"/>
  </r>
  <r>
    <d v="2025-03-06T00:00:00"/>
    <x v="1"/>
    <x v="2"/>
    <x v="9"/>
    <x v="5"/>
    <x v="14"/>
    <x v="13"/>
    <x v="1"/>
    <n v="772170000"/>
  </r>
  <r>
    <d v="2025-03-06T00:00:00"/>
    <x v="1"/>
    <x v="2"/>
    <x v="9"/>
    <x v="5"/>
    <x v="19"/>
    <x v="12"/>
    <x v="4"/>
    <n v="644979086"/>
  </r>
  <r>
    <d v="2025-03-06T00:00:00"/>
    <x v="1"/>
    <x v="2"/>
    <x v="9"/>
    <x v="5"/>
    <x v="18"/>
    <x v="15"/>
    <x v="1"/>
    <n v="367390000"/>
  </r>
  <r>
    <d v="2025-03-06T00:00:00"/>
    <x v="1"/>
    <x v="2"/>
    <x v="9"/>
    <x v="5"/>
    <x v="11"/>
    <x v="10"/>
    <x v="4"/>
    <n v="206134396"/>
  </r>
  <r>
    <d v="2025-03-06T00:00:00"/>
    <x v="1"/>
    <x v="2"/>
    <x v="9"/>
    <x v="5"/>
    <x v="8"/>
    <x v="8"/>
    <x v="1"/>
    <n v="0"/>
  </r>
  <r>
    <d v="2025-03-06T00:00:00"/>
    <x v="1"/>
    <x v="2"/>
    <x v="9"/>
    <x v="5"/>
    <x v="7"/>
    <x v="7"/>
    <x v="4"/>
    <n v="517518733"/>
  </r>
  <r>
    <d v="2025-03-06T00:00:00"/>
    <x v="1"/>
    <x v="2"/>
    <x v="9"/>
    <x v="5"/>
    <x v="5"/>
    <x v="5"/>
    <x v="3"/>
    <n v="3570661890"/>
  </r>
  <r>
    <d v="2025-03-06T00:00:00"/>
    <x v="1"/>
    <x v="2"/>
    <x v="9"/>
    <x v="5"/>
    <x v="12"/>
    <x v="11"/>
    <x v="1"/>
    <n v="5198950000"/>
  </r>
  <r>
    <d v="2025-03-06T00:00:00"/>
    <x v="1"/>
    <x v="2"/>
    <x v="9"/>
    <x v="5"/>
    <x v="0"/>
    <x v="0"/>
    <x v="0"/>
    <n v="5304000000"/>
  </r>
  <r>
    <d v="2025-03-06T00:00:00"/>
    <x v="1"/>
    <x v="2"/>
    <x v="9"/>
    <x v="5"/>
    <x v="21"/>
    <x v="9"/>
    <x v="1"/>
    <n v="16050000"/>
  </r>
  <r>
    <d v="2025-03-06T00:00:00"/>
    <x v="1"/>
    <x v="2"/>
    <x v="9"/>
    <x v="5"/>
    <x v="23"/>
    <x v="17"/>
    <x v="4"/>
    <n v="100000"/>
  </r>
  <r>
    <d v="2025-03-06T00:00:00"/>
    <x v="1"/>
    <x v="2"/>
    <x v="9"/>
    <x v="5"/>
    <x v="17"/>
    <x v="9"/>
    <x v="1"/>
    <n v="6420000"/>
  </r>
  <r>
    <d v="2025-03-06T00:00:00"/>
    <x v="1"/>
    <x v="2"/>
    <x v="9"/>
    <x v="5"/>
    <x v="2"/>
    <x v="2"/>
    <x v="1"/>
    <n v="6234460000"/>
  </r>
  <r>
    <d v="2025-03-06T00:00:00"/>
    <x v="1"/>
    <x v="2"/>
    <x v="9"/>
    <x v="5"/>
    <x v="6"/>
    <x v="6"/>
    <x v="0"/>
    <n v="101000000"/>
  </r>
  <r>
    <d v="2025-03-06T00:00:00"/>
    <x v="1"/>
    <x v="2"/>
    <x v="9"/>
    <x v="5"/>
    <x v="20"/>
    <x v="9"/>
    <x v="1"/>
    <n v="0"/>
  </r>
  <r>
    <d v="2025-03-06T00:00:00"/>
    <x v="1"/>
    <x v="2"/>
    <x v="9"/>
    <x v="5"/>
    <x v="22"/>
    <x v="16"/>
    <x v="1"/>
    <n v="0"/>
  </r>
  <r>
    <d v="2025-03-06T00:00:00"/>
    <x v="1"/>
    <x v="2"/>
    <x v="9"/>
    <x v="5"/>
    <x v="15"/>
    <x v="14"/>
    <x v="4"/>
    <n v="40374851"/>
  </r>
  <r>
    <d v="2025-03-06T00:00:00"/>
    <x v="1"/>
    <x v="2"/>
    <x v="9"/>
    <x v="5"/>
    <x v="1"/>
    <x v="1"/>
    <x v="1"/>
    <n v="0"/>
  </r>
  <r>
    <d v="2025-03-07T00:00:00"/>
    <x v="1"/>
    <x v="2"/>
    <x v="9"/>
    <x v="6"/>
    <x v="2"/>
    <x v="2"/>
    <x v="1"/>
    <n v="6721370000"/>
  </r>
  <r>
    <d v="2025-03-07T00:00:00"/>
    <x v="1"/>
    <x v="2"/>
    <x v="9"/>
    <x v="6"/>
    <x v="19"/>
    <x v="12"/>
    <x v="4"/>
    <n v="1017983516"/>
  </r>
  <r>
    <d v="2025-03-07T00:00:00"/>
    <x v="1"/>
    <x v="2"/>
    <x v="9"/>
    <x v="6"/>
    <x v="22"/>
    <x v="16"/>
    <x v="1"/>
    <n v="0"/>
  </r>
  <r>
    <d v="2025-03-07T00:00:00"/>
    <x v="1"/>
    <x v="2"/>
    <x v="9"/>
    <x v="6"/>
    <x v="7"/>
    <x v="7"/>
    <x v="4"/>
    <n v="778407138"/>
  </r>
  <r>
    <d v="2025-03-07T00:00:00"/>
    <x v="1"/>
    <x v="2"/>
    <x v="9"/>
    <x v="6"/>
    <x v="15"/>
    <x v="14"/>
    <x v="4"/>
    <n v="64778975"/>
  </r>
  <r>
    <d v="2025-03-07T00:00:00"/>
    <x v="1"/>
    <x v="2"/>
    <x v="9"/>
    <x v="6"/>
    <x v="1"/>
    <x v="1"/>
    <x v="1"/>
    <n v="67500000"/>
  </r>
  <r>
    <d v="2025-03-07T00:00:00"/>
    <x v="1"/>
    <x v="2"/>
    <x v="9"/>
    <x v="6"/>
    <x v="5"/>
    <x v="5"/>
    <x v="3"/>
    <n v="4010057953"/>
  </r>
  <r>
    <d v="2025-03-07T00:00:00"/>
    <x v="1"/>
    <x v="2"/>
    <x v="9"/>
    <x v="6"/>
    <x v="20"/>
    <x v="9"/>
    <x v="1"/>
    <n v="10700000"/>
  </r>
  <r>
    <d v="2025-03-07T00:00:00"/>
    <x v="1"/>
    <x v="2"/>
    <x v="9"/>
    <x v="6"/>
    <x v="17"/>
    <x v="9"/>
    <x v="1"/>
    <n v="0"/>
  </r>
  <r>
    <d v="2025-03-07T00:00:00"/>
    <x v="1"/>
    <x v="2"/>
    <x v="9"/>
    <x v="6"/>
    <x v="21"/>
    <x v="9"/>
    <x v="1"/>
    <n v="74200000"/>
  </r>
  <r>
    <d v="2025-03-07T00:00:00"/>
    <x v="1"/>
    <x v="2"/>
    <x v="9"/>
    <x v="6"/>
    <x v="23"/>
    <x v="17"/>
    <x v="4"/>
    <n v="2550000"/>
  </r>
  <r>
    <d v="2025-03-07T00:00:00"/>
    <x v="1"/>
    <x v="2"/>
    <x v="9"/>
    <x v="6"/>
    <x v="18"/>
    <x v="15"/>
    <x v="1"/>
    <n v="364230000"/>
  </r>
  <r>
    <d v="2025-03-07T00:00:00"/>
    <x v="1"/>
    <x v="2"/>
    <x v="9"/>
    <x v="6"/>
    <x v="3"/>
    <x v="3"/>
    <x v="1"/>
    <n v="0"/>
  </r>
  <r>
    <d v="2025-03-07T00:00:00"/>
    <x v="1"/>
    <x v="2"/>
    <x v="9"/>
    <x v="6"/>
    <x v="14"/>
    <x v="13"/>
    <x v="1"/>
    <n v="671710000"/>
  </r>
  <r>
    <d v="2025-03-07T00:00:00"/>
    <x v="1"/>
    <x v="2"/>
    <x v="9"/>
    <x v="6"/>
    <x v="12"/>
    <x v="11"/>
    <x v="1"/>
    <n v="5410490000"/>
  </r>
  <r>
    <d v="2025-03-07T00:00:00"/>
    <x v="1"/>
    <x v="2"/>
    <x v="9"/>
    <x v="6"/>
    <x v="6"/>
    <x v="6"/>
    <x v="0"/>
    <n v="108000000"/>
  </r>
  <r>
    <d v="2025-03-07T00:00:00"/>
    <x v="1"/>
    <x v="2"/>
    <x v="9"/>
    <x v="6"/>
    <x v="11"/>
    <x v="10"/>
    <x v="4"/>
    <n v="372940263"/>
  </r>
  <r>
    <d v="2025-03-07T00:00:00"/>
    <x v="1"/>
    <x v="2"/>
    <x v="9"/>
    <x v="6"/>
    <x v="8"/>
    <x v="8"/>
    <x v="1"/>
    <n v="0"/>
  </r>
  <r>
    <d v="2025-03-07T00:00:00"/>
    <x v="1"/>
    <x v="2"/>
    <x v="9"/>
    <x v="6"/>
    <x v="0"/>
    <x v="0"/>
    <x v="0"/>
    <n v="5634500000"/>
  </r>
  <r>
    <d v="2025-03-08T00:00:00"/>
    <x v="1"/>
    <x v="2"/>
    <x v="9"/>
    <x v="7"/>
    <x v="12"/>
    <x v="11"/>
    <x v="1"/>
    <n v="4549300000"/>
  </r>
  <r>
    <d v="2025-03-08T00:00:00"/>
    <x v="1"/>
    <x v="2"/>
    <x v="9"/>
    <x v="7"/>
    <x v="0"/>
    <x v="0"/>
    <x v="0"/>
    <n v="4773500000"/>
  </r>
  <r>
    <d v="2025-03-08T00:00:00"/>
    <x v="1"/>
    <x v="2"/>
    <x v="9"/>
    <x v="7"/>
    <x v="5"/>
    <x v="5"/>
    <x v="3"/>
    <n v="3183811165"/>
  </r>
  <r>
    <d v="2025-03-08T00:00:00"/>
    <x v="1"/>
    <x v="2"/>
    <x v="9"/>
    <x v="7"/>
    <x v="2"/>
    <x v="2"/>
    <x v="1"/>
    <n v="5432750000"/>
  </r>
  <r>
    <d v="2025-03-08T00:00:00"/>
    <x v="1"/>
    <x v="2"/>
    <x v="9"/>
    <x v="7"/>
    <x v="22"/>
    <x v="16"/>
    <x v="1"/>
    <n v="0"/>
  </r>
  <r>
    <d v="2025-03-08T00:00:00"/>
    <x v="1"/>
    <x v="2"/>
    <x v="9"/>
    <x v="7"/>
    <x v="7"/>
    <x v="7"/>
    <x v="4"/>
    <n v="706195387"/>
  </r>
  <r>
    <d v="2025-03-08T00:00:00"/>
    <x v="1"/>
    <x v="2"/>
    <x v="9"/>
    <x v="7"/>
    <x v="15"/>
    <x v="14"/>
    <x v="4"/>
    <n v="31602202"/>
  </r>
  <r>
    <d v="2025-03-08T00:00:00"/>
    <x v="1"/>
    <x v="2"/>
    <x v="9"/>
    <x v="7"/>
    <x v="1"/>
    <x v="1"/>
    <x v="1"/>
    <n v="42000000"/>
  </r>
  <r>
    <d v="2025-03-08T00:00:00"/>
    <x v="1"/>
    <x v="2"/>
    <x v="9"/>
    <x v="7"/>
    <x v="6"/>
    <x v="6"/>
    <x v="0"/>
    <n v="56000000"/>
  </r>
  <r>
    <d v="2025-03-08T00:00:00"/>
    <x v="1"/>
    <x v="2"/>
    <x v="9"/>
    <x v="7"/>
    <x v="20"/>
    <x v="9"/>
    <x v="1"/>
    <n v="0"/>
  </r>
  <r>
    <d v="2025-03-08T00:00:00"/>
    <x v="1"/>
    <x v="2"/>
    <x v="9"/>
    <x v="7"/>
    <x v="17"/>
    <x v="9"/>
    <x v="1"/>
    <n v="0"/>
  </r>
  <r>
    <d v="2025-03-08T00:00:00"/>
    <x v="1"/>
    <x v="2"/>
    <x v="9"/>
    <x v="7"/>
    <x v="21"/>
    <x v="9"/>
    <x v="1"/>
    <n v="20000000"/>
  </r>
  <r>
    <d v="2025-03-08T00:00:00"/>
    <x v="1"/>
    <x v="2"/>
    <x v="9"/>
    <x v="7"/>
    <x v="23"/>
    <x v="17"/>
    <x v="4"/>
    <n v="0"/>
  </r>
  <r>
    <d v="2025-03-08T00:00:00"/>
    <x v="1"/>
    <x v="2"/>
    <x v="9"/>
    <x v="7"/>
    <x v="18"/>
    <x v="15"/>
    <x v="1"/>
    <n v="296120000"/>
  </r>
  <r>
    <d v="2025-03-08T00:00:00"/>
    <x v="1"/>
    <x v="2"/>
    <x v="9"/>
    <x v="7"/>
    <x v="3"/>
    <x v="3"/>
    <x v="1"/>
    <n v="0"/>
  </r>
  <r>
    <d v="2025-03-08T00:00:00"/>
    <x v="1"/>
    <x v="2"/>
    <x v="9"/>
    <x v="7"/>
    <x v="14"/>
    <x v="13"/>
    <x v="1"/>
    <n v="577100000"/>
  </r>
  <r>
    <d v="2025-03-08T00:00:00"/>
    <x v="1"/>
    <x v="2"/>
    <x v="9"/>
    <x v="7"/>
    <x v="19"/>
    <x v="12"/>
    <x v="4"/>
    <n v="701819085"/>
  </r>
  <r>
    <d v="2025-03-08T00:00:00"/>
    <x v="1"/>
    <x v="2"/>
    <x v="9"/>
    <x v="7"/>
    <x v="11"/>
    <x v="10"/>
    <x v="4"/>
    <n v="354210195"/>
  </r>
  <r>
    <d v="2025-03-08T00:00:00"/>
    <x v="1"/>
    <x v="2"/>
    <x v="9"/>
    <x v="7"/>
    <x v="8"/>
    <x v="8"/>
    <x v="1"/>
    <n v="0"/>
  </r>
  <r>
    <d v="2025-03-09T00:00:00"/>
    <x v="1"/>
    <x v="2"/>
    <x v="9"/>
    <x v="8"/>
    <x v="12"/>
    <x v="11"/>
    <x v="1"/>
    <n v="4089020000"/>
  </r>
  <r>
    <d v="2025-03-09T00:00:00"/>
    <x v="1"/>
    <x v="2"/>
    <x v="9"/>
    <x v="8"/>
    <x v="0"/>
    <x v="0"/>
    <x v="0"/>
    <n v="4675000000"/>
  </r>
  <r>
    <d v="2025-03-09T00:00:00"/>
    <x v="1"/>
    <x v="2"/>
    <x v="9"/>
    <x v="8"/>
    <x v="2"/>
    <x v="2"/>
    <x v="1"/>
    <n v="5149830000"/>
  </r>
  <r>
    <d v="2025-03-09T00:00:00"/>
    <x v="1"/>
    <x v="2"/>
    <x v="9"/>
    <x v="8"/>
    <x v="22"/>
    <x v="16"/>
    <x v="1"/>
    <n v="0"/>
  </r>
  <r>
    <d v="2025-03-09T00:00:00"/>
    <x v="1"/>
    <x v="2"/>
    <x v="9"/>
    <x v="8"/>
    <x v="15"/>
    <x v="14"/>
    <x v="4"/>
    <n v="51360204"/>
  </r>
  <r>
    <d v="2025-03-09T00:00:00"/>
    <x v="1"/>
    <x v="2"/>
    <x v="9"/>
    <x v="8"/>
    <x v="1"/>
    <x v="1"/>
    <x v="1"/>
    <n v="109250000"/>
  </r>
  <r>
    <d v="2025-03-09T00:00:00"/>
    <x v="1"/>
    <x v="2"/>
    <x v="9"/>
    <x v="8"/>
    <x v="6"/>
    <x v="6"/>
    <x v="0"/>
    <n v="39000000"/>
  </r>
  <r>
    <d v="2025-03-09T00:00:00"/>
    <x v="1"/>
    <x v="2"/>
    <x v="9"/>
    <x v="8"/>
    <x v="20"/>
    <x v="9"/>
    <x v="1"/>
    <n v="0"/>
  </r>
  <r>
    <d v="2025-03-09T00:00:00"/>
    <x v="1"/>
    <x v="2"/>
    <x v="9"/>
    <x v="8"/>
    <x v="17"/>
    <x v="9"/>
    <x v="1"/>
    <n v="0"/>
  </r>
  <r>
    <d v="2025-03-09T00:00:00"/>
    <x v="1"/>
    <x v="2"/>
    <x v="9"/>
    <x v="8"/>
    <x v="21"/>
    <x v="9"/>
    <x v="1"/>
    <n v="10700000"/>
  </r>
  <r>
    <d v="2025-03-09T00:00:00"/>
    <x v="1"/>
    <x v="2"/>
    <x v="9"/>
    <x v="8"/>
    <x v="23"/>
    <x v="17"/>
    <x v="4"/>
    <n v="0"/>
  </r>
  <r>
    <d v="2025-03-09T00:00:00"/>
    <x v="1"/>
    <x v="2"/>
    <x v="9"/>
    <x v="8"/>
    <x v="18"/>
    <x v="15"/>
    <x v="1"/>
    <n v="180920000"/>
  </r>
  <r>
    <d v="2025-03-09T00:00:00"/>
    <x v="1"/>
    <x v="2"/>
    <x v="9"/>
    <x v="8"/>
    <x v="3"/>
    <x v="3"/>
    <x v="1"/>
    <n v="0"/>
  </r>
  <r>
    <d v="2025-03-09T00:00:00"/>
    <x v="1"/>
    <x v="2"/>
    <x v="9"/>
    <x v="8"/>
    <x v="14"/>
    <x v="13"/>
    <x v="1"/>
    <n v="339540000"/>
  </r>
  <r>
    <d v="2025-03-09T00:00:00"/>
    <x v="1"/>
    <x v="2"/>
    <x v="9"/>
    <x v="8"/>
    <x v="19"/>
    <x v="12"/>
    <x v="4"/>
    <n v="839258286"/>
  </r>
  <r>
    <d v="2025-03-09T00:00:00"/>
    <x v="1"/>
    <x v="2"/>
    <x v="9"/>
    <x v="8"/>
    <x v="11"/>
    <x v="10"/>
    <x v="4"/>
    <n v="323646129"/>
  </r>
  <r>
    <d v="2025-03-09T00:00:00"/>
    <x v="1"/>
    <x v="2"/>
    <x v="9"/>
    <x v="8"/>
    <x v="8"/>
    <x v="8"/>
    <x v="1"/>
    <n v="0"/>
  </r>
  <r>
    <d v="2025-03-09T00:00:00"/>
    <x v="1"/>
    <x v="2"/>
    <x v="9"/>
    <x v="8"/>
    <x v="7"/>
    <x v="7"/>
    <x v="4"/>
    <n v="538739975"/>
  </r>
  <r>
    <d v="2025-03-09T00:00:00"/>
    <x v="1"/>
    <x v="2"/>
    <x v="9"/>
    <x v="8"/>
    <x v="5"/>
    <x v="5"/>
    <x v="3"/>
    <n v="3242024504"/>
  </r>
  <r>
    <d v="2025-03-10T00:00:00"/>
    <x v="1"/>
    <x v="2"/>
    <x v="10"/>
    <x v="9"/>
    <x v="5"/>
    <x v="5"/>
    <x v="3"/>
    <n v="4349470921"/>
  </r>
  <r>
    <d v="2025-03-10T00:00:00"/>
    <x v="1"/>
    <x v="2"/>
    <x v="10"/>
    <x v="9"/>
    <x v="14"/>
    <x v="13"/>
    <x v="1"/>
    <n v="765050000"/>
  </r>
  <r>
    <d v="2025-03-10T00:00:00"/>
    <x v="1"/>
    <x v="2"/>
    <x v="10"/>
    <x v="9"/>
    <x v="19"/>
    <x v="12"/>
    <x v="4"/>
    <n v="597985053"/>
  </r>
  <r>
    <d v="2025-03-10T00:00:00"/>
    <x v="1"/>
    <x v="2"/>
    <x v="10"/>
    <x v="9"/>
    <x v="1"/>
    <x v="1"/>
    <x v="1"/>
    <n v="46250000"/>
  </r>
  <r>
    <d v="2025-03-10T00:00:00"/>
    <x v="1"/>
    <x v="2"/>
    <x v="10"/>
    <x v="9"/>
    <x v="6"/>
    <x v="6"/>
    <x v="0"/>
    <n v="57000000"/>
  </r>
  <r>
    <d v="2025-03-10T00:00:00"/>
    <x v="1"/>
    <x v="2"/>
    <x v="10"/>
    <x v="9"/>
    <x v="11"/>
    <x v="10"/>
    <x v="4"/>
    <n v="243769004"/>
  </r>
  <r>
    <d v="2025-03-10T00:00:00"/>
    <x v="1"/>
    <x v="2"/>
    <x v="10"/>
    <x v="9"/>
    <x v="20"/>
    <x v="9"/>
    <x v="1"/>
    <n v="0"/>
  </r>
  <r>
    <d v="2025-03-10T00:00:00"/>
    <x v="1"/>
    <x v="2"/>
    <x v="10"/>
    <x v="9"/>
    <x v="17"/>
    <x v="9"/>
    <x v="1"/>
    <n v="10700000"/>
  </r>
  <r>
    <d v="2025-03-10T00:00:00"/>
    <x v="1"/>
    <x v="2"/>
    <x v="10"/>
    <x v="9"/>
    <x v="21"/>
    <x v="9"/>
    <x v="1"/>
    <n v="67410000"/>
  </r>
  <r>
    <d v="2025-03-10T00:00:00"/>
    <x v="1"/>
    <x v="2"/>
    <x v="10"/>
    <x v="9"/>
    <x v="23"/>
    <x v="17"/>
    <x v="4"/>
    <n v="0"/>
  </r>
  <r>
    <d v="2025-03-10T00:00:00"/>
    <x v="1"/>
    <x v="2"/>
    <x v="10"/>
    <x v="9"/>
    <x v="18"/>
    <x v="15"/>
    <x v="1"/>
    <n v="699990000"/>
  </r>
  <r>
    <d v="2025-03-10T00:00:00"/>
    <x v="1"/>
    <x v="2"/>
    <x v="10"/>
    <x v="9"/>
    <x v="3"/>
    <x v="3"/>
    <x v="1"/>
    <n v="10500000"/>
  </r>
  <r>
    <d v="2025-03-10T00:00:00"/>
    <x v="1"/>
    <x v="2"/>
    <x v="10"/>
    <x v="9"/>
    <x v="7"/>
    <x v="7"/>
    <x v="4"/>
    <n v="513242989"/>
  </r>
  <r>
    <d v="2025-03-10T00:00:00"/>
    <x v="1"/>
    <x v="2"/>
    <x v="10"/>
    <x v="9"/>
    <x v="15"/>
    <x v="14"/>
    <x v="4"/>
    <n v="62956065"/>
  </r>
  <r>
    <d v="2025-03-10T00:00:00"/>
    <x v="1"/>
    <x v="2"/>
    <x v="10"/>
    <x v="9"/>
    <x v="8"/>
    <x v="8"/>
    <x v="1"/>
    <n v="0"/>
  </r>
  <r>
    <d v="2025-03-10T00:00:00"/>
    <x v="1"/>
    <x v="2"/>
    <x v="10"/>
    <x v="9"/>
    <x v="12"/>
    <x v="11"/>
    <x v="1"/>
    <n v="6724470000"/>
  </r>
  <r>
    <d v="2025-03-10T00:00:00"/>
    <x v="1"/>
    <x v="2"/>
    <x v="10"/>
    <x v="9"/>
    <x v="0"/>
    <x v="0"/>
    <x v="0"/>
    <n v="6409500000"/>
  </r>
  <r>
    <d v="2025-03-10T00:00:00"/>
    <x v="1"/>
    <x v="2"/>
    <x v="10"/>
    <x v="9"/>
    <x v="22"/>
    <x v="16"/>
    <x v="1"/>
    <n v="0"/>
  </r>
  <r>
    <d v="2025-03-10T00:00:00"/>
    <x v="1"/>
    <x v="2"/>
    <x v="10"/>
    <x v="9"/>
    <x v="2"/>
    <x v="2"/>
    <x v="1"/>
    <n v="7345930000"/>
  </r>
  <r>
    <d v="2025-03-11T00:00:00"/>
    <x v="1"/>
    <x v="2"/>
    <x v="10"/>
    <x v="10"/>
    <x v="0"/>
    <x v="0"/>
    <x v="0"/>
    <n v="5654500000"/>
  </r>
  <r>
    <d v="2025-03-11T00:00:00"/>
    <x v="1"/>
    <x v="2"/>
    <x v="10"/>
    <x v="10"/>
    <x v="2"/>
    <x v="2"/>
    <x v="1"/>
    <n v="6601710000"/>
  </r>
  <r>
    <d v="2025-03-11T00:00:00"/>
    <x v="1"/>
    <x v="2"/>
    <x v="10"/>
    <x v="10"/>
    <x v="12"/>
    <x v="11"/>
    <x v="1"/>
    <n v="7603470000"/>
  </r>
  <r>
    <d v="2025-03-11T00:00:00"/>
    <x v="1"/>
    <x v="2"/>
    <x v="10"/>
    <x v="10"/>
    <x v="15"/>
    <x v="14"/>
    <x v="4"/>
    <n v="21785971"/>
  </r>
  <r>
    <d v="2025-03-11T00:00:00"/>
    <x v="1"/>
    <x v="2"/>
    <x v="10"/>
    <x v="10"/>
    <x v="1"/>
    <x v="1"/>
    <x v="1"/>
    <n v="67250000"/>
  </r>
  <r>
    <d v="2025-03-11T00:00:00"/>
    <x v="1"/>
    <x v="2"/>
    <x v="10"/>
    <x v="10"/>
    <x v="6"/>
    <x v="6"/>
    <x v="0"/>
    <n v="81000000"/>
  </r>
  <r>
    <d v="2025-03-11T00:00:00"/>
    <x v="1"/>
    <x v="2"/>
    <x v="10"/>
    <x v="10"/>
    <x v="20"/>
    <x v="9"/>
    <x v="1"/>
    <n v="0"/>
  </r>
  <r>
    <d v="2025-03-11T00:00:00"/>
    <x v="1"/>
    <x v="2"/>
    <x v="10"/>
    <x v="10"/>
    <x v="17"/>
    <x v="9"/>
    <x v="1"/>
    <n v="0"/>
  </r>
  <r>
    <d v="2025-03-11T00:00:00"/>
    <x v="1"/>
    <x v="2"/>
    <x v="10"/>
    <x v="10"/>
    <x v="21"/>
    <x v="9"/>
    <x v="1"/>
    <n v="37450000"/>
  </r>
  <r>
    <d v="2025-03-11T00:00:00"/>
    <x v="1"/>
    <x v="2"/>
    <x v="10"/>
    <x v="10"/>
    <x v="23"/>
    <x v="17"/>
    <x v="4"/>
    <n v="0"/>
  </r>
  <r>
    <d v="2025-03-11T00:00:00"/>
    <x v="1"/>
    <x v="2"/>
    <x v="10"/>
    <x v="10"/>
    <x v="22"/>
    <x v="16"/>
    <x v="1"/>
    <n v="0"/>
  </r>
  <r>
    <d v="2025-03-11T00:00:00"/>
    <x v="1"/>
    <x v="2"/>
    <x v="10"/>
    <x v="10"/>
    <x v="18"/>
    <x v="15"/>
    <x v="1"/>
    <n v="433230000"/>
  </r>
  <r>
    <d v="2025-03-11T00:00:00"/>
    <x v="1"/>
    <x v="2"/>
    <x v="10"/>
    <x v="10"/>
    <x v="3"/>
    <x v="3"/>
    <x v="1"/>
    <n v="0"/>
  </r>
  <r>
    <d v="2025-03-11T00:00:00"/>
    <x v="1"/>
    <x v="2"/>
    <x v="10"/>
    <x v="10"/>
    <x v="14"/>
    <x v="13"/>
    <x v="1"/>
    <n v="811850000"/>
  </r>
  <r>
    <d v="2025-03-11T00:00:00"/>
    <x v="1"/>
    <x v="2"/>
    <x v="10"/>
    <x v="10"/>
    <x v="19"/>
    <x v="12"/>
    <x v="4"/>
    <n v="419437456"/>
  </r>
  <r>
    <d v="2025-03-11T00:00:00"/>
    <x v="1"/>
    <x v="2"/>
    <x v="10"/>
    <x v="10"/>
    <x v="11"/>
    <x v="10"/>
    <x v="4"/>
    <n v="252484696"/>
  </r>
  <r>
    <d v="2025-03-11T00:00:00"/>
    <x v="1"/>
    <x v="2"/>
    <x v="10"/>
    <x v="10"/>
    <x v="8"/>
    <x v="8"/>
    <x v="1"/>
    <n v="0"/>
  </r>
  <r>
    <d v="2025-03-11T00:00:00"/>
    <x v="1"/>
    <x v="2"/>
    <x v="10"/>
    <x v="10"/>
    <x v="7"/>
    <x v="7"/>
    <x v="4"/>
    <n v="548704130"/>
  </r>
  <r>
    <d v="2025-03-11T00:00:00"/>
    <x v="1"/>
    <x v="2"/>
    <x v="10"/>
    <x v="10"/>
    <x v="5"/>
    <x v="5"/>
    <x v="3"/>
    <n v="3507266942"/>
  </r>
  <r>
    <d v="2025-03-12T00:00:00"/>
    <x v="1"/>
    <x v="2"/>
    <x v="10"/>
    <x v="11"/>
    <x v="23"/>
    <x v="17"/>
    <x v="4"/>
    <n v="0"/>
  </r>
  <r>
    <d v="2025-03-12T00:00:00"/>
    <x v="1"/>
    <x v="2"/>
    <x v="10"/>
    <x v="11"/>
    <x v="7"/>
    <x v="7"/>
    <x v="4"/>
    <n v="530734205"/>
  </r>
  <r>
    <d v="2025-03-12T00:00:00"/>
    <x v="1"/>
    <x v="2"/>
    <x v="10"/>
    <x v="11"/>
    <x v="6"/>
    <x v="6"/>
    <x v="0"/>
    <n v="54000000"/>
  </r>
  <r>
    <d v="2025-03-12T00:00:00"/>
    <x v="1"/>
    <x v="2"/>
    <x v="10"/>
    <x v="11"/>
    <x v="21"/>
    <x v="9"/>
    <x v="1"/>
    <n v="47450000"/>
  </r>
  <r>
    <d v="2025-03-12T00:00:00"/>
    <x v="1"/>
    <x v="2"/>
    <x v="10"/>
    <x v="11"/>
    <x v="22"/>
    <x v="16"/>
    <x v="1"/>
    <n v="0"/>
  </r>
  <r>
    <d v="2025-03-12T00:00:00"/>
    <x v="1"/>
    <x v="2"/>
    <x v="10"/>
    <x v="11"/>
    <x v="15"/>
    <x v="14"/>
    <x v="4"/>
    <n v="33685461"/>
  </r>
  <r>
    <d v="2025-03-12T00:00:00"/>
    <x v="1"/>
    <x v="2"/>
    <x v="10"/>
    <x v="11"/>
    <x v="2"/>
    <x v="2"/>
    <x v="1"/>
    <n v="6127350000"/>
  </r>
  <r>
    <d v="2025-03-12T00:00:00"/>
    <x v="1"/>
    <x v="2"/>
    <x v="10"/>
    <x v="11"/>
    <x v="20"/>
    <x v="9"/>
    <x v="1"/>
    <n v="0"/>
  </r>
  <r>
    <d v="2025-03-12T00:00:00"/>
    <x v="1"/>
    <x v="2"/>
    <x v="10"/>
    <x v="11"/>
    <x v="17"/>
    <x v="9"/>
    <x v="1"/>
    <n v="0"/>
  </r>
  <r>
    <d v="2025-03-12T00:00:00"/>
    <x v="1"/>
    <x v="2"/>
    <x v="10"/>
    <x v="11"/>
    <x v="18"/>
    <x v="15"/>
    <x v="1"/>
    <n v="396020000"/>
  </r>
  <r>
    <d v="2025-03-12T00:00:00"/>
    <x v="1"/>
    <x v="2"/>
    <x v="10"/>
    <x v="11"/>
    <x v="3"/>
    <x v="3"/>
    <x v="1"/>
    <n v="0"/>
  </r>
  <r>
    <d v="2025-03-12T00:00:00"/>
    <x v="1"/>
    <x v="2"/>
    <x v="10"/>
    <x v="11"/>
    <x v="14"/>
    <x v="13"/>
    <x v="1"/>
    <n v="1046000000"/>
  </r>
  <r>
    <d v="2025-03-12T00:00:00"/>
    <x v="1"/>
    <x v="2"/>
    <x v="10"/>
    <x v="11"/>
    <x v="19"/>
    <x v="12"/>
    <x v="4"/>
    <n v="390502482"/>
  </r>
  <r>
    <d v="2025-03-12T00:00:00"/>
    <x v="1"/>
    <x v="2"/>
    <x v="10"/>
    <x v="11"/>
    <x v="11"/>
    <x v="10"/>
    <x v="4"/>
    <n v="228532088"/>
  </r>
  <r>
    <d v="2025-03-12T00:00:00"/>
    <x v="1"/>
    <x v="2"/>
    <x v="10"/>
    <x v="11"/>
    <x v="8"/>
    <x v="8"/>
    <x v="1"/>
    <n v="0"/>
  </r>
  <r>
    <d v="2025-03-12T00:00:00"/>
    <x v="1"/>
    <x v="2"/>
    <x v="10"/>
    <x v="11"/>
    <x v="1"/>
    <x v="1"/>
    <x v="1"/>
    <n v="52500000"/>
  </r>
  <r>
    <d v="2025-03-12T00:00:00"/>
    <x v="1"/>
    <x v="2"/>
    <x v="10"/>
    <x v="11"/>
    <x v="5"/>
    <x v="5"/>
    <x v="3"/>
    <n v="3669650948"/>
  </r>
  <r>
    <d v="2025-03-12T00:00:00"/>
    <x v="1"/>
    <x v="2"/>
    <x v="10"/>
    <x v="11"/>
    <x v="12"/>
    <x v="11"/>
    <x v="1"/>
    <n v="6355860000"/>
  </r>
  <r>
    <d v="2025-03-12T00:00:00"/>
    <x v="1"/>
    <x v="2"/>
    <x v="10"/>
    <x v="11"/>
    <x v="0"/>
    <x v="0"/>
    <x v="0"/>
    <n v="5319000000"/>
  </r>
  <r>
    <d v="2025-03-13T00:00:00"/>
    <x v="1"/>
    <x v="2"/>
    <x v="10"/>
    <x v="12"/>
    <x v="0"/>
    <x v="0"/>
    <x v="0"/>
    <n v="5206500000"/>
  </r>
  <r>
    <d v="2025-03-13T00:00:00"/>
    <x v="1"/>
    <x v="2"/>
    <x v="10"/>
    <x v="12"/>
    <x v="2"/>
    <x v="2"/>
    <x v="1"/>
    <n v="5516860000"/>
  </r>
  <r>
    <d v="2025-03-13T00:00:00"/>
    <x v="1"/>
    <x v="2"/>
    <x v="10"/>
    <x v="12"/>
    <x v="21"/>
    <x v="9"/>
    <x v="1"/>
    <n v="33170000"/>
  </r>
  <r>
    <d v="2025-03-13T00:00:00"/>
    <x v="1"/>
    <x v="2"/>
    <x v="10"/>
    <x v="12"/>
    <x v="12"/>
    <x v="11"/>
    <x v="1"/>
    <n v="6844600000"/>
  </r>
  <r>
    <d v="2025-03-13T00:00:00"/>
    <x v="1"/>
    <x v="2"/>
    <x v="10"/>
    <x v="12"/>
    <x v="22"/>
    <x v="16"/>
    <x v="1"/>
    <n v="0"/>
  </r>
  <r>
    <d v="2025-03-13T00:00:00"/>
    <x v="1"/>
    <x v="2"/>
    <x v="10"/>
    <x v="12"/>
    <x v="15"/>
    <x v="14"/>
    <x v="4"/>
    <n v="26035283"/>
  </r>
  <r>
    <d v="2025-03-13T00:00:00"/>
    <x v="1"/>
    <x v="2"/>
    <x v="10"/>
    <x v="12"/>
    <x v="1"/>
    <x v="1"/>
    <x v="1"/>
    <n v="26250000"/>
  </r>
  <r>
    <d v="2025-03-13T00:00:00"/>
    <x v="1"/>
    <x v="2"/>
    <x v="10"/>
    <x v="12"/>
    <x v="6"/>
    <x v="6"/>
    <x v="0"/>
    <n v="40000000"/>
  </r>
  <r>
    <d v="2025-03-13T00:00:00"/>
    <x v="1"/>
    <x v="2"/>
    <x v="10"/>
    <x v="12"/>
    <x v="20"/>
    <x v="9"/>
    <x v="1"/>
    <n v="0"/>
  </r>
  <r>
    <d v="2025-03-13T00:00:00"/>
    <x v="1"/>
    <x v="2"/>
    <x v="10"/>
    <x v="12"/>
    <x v="7"/>
    <x v="7"/>
    <x v="4"/>
    <n v="476281341"/>
  </r>
  <r>
    <d v="2025-03-13T00:00:00"/>
    <x v="1"/>
    <x v="2"/>
    <x v="10"/>
    <x v="12"/>
    <x v="5"/>
    <x v="5"/>
    <x v="3"/>
    <n v="3244632724"/>
  </r>
  <r>
    <d v="2025-03-13T00:00:00"/>
    <x v="1"/>
    <x v="2"/>
    <x v="10"/>
    <x v="12"/>
    <x v="8"/>
    <x v="8"/>
    <x v="1"/>
    <n v="0"/>
  </r>
  <r>
    <d v="2025-03-13T00:00:00"/>
    <x v="1"/>
    <x v="2"/>
    <x v="10"/>
    <x v="12"/>
    <x v="17"/>
    <x v="9"/>
    <x v="1"/>
    <n v="0"/>
  </r>
  <r>
    <d v="2025-03-13T00:00:00"/>
    <x v="1"/>
    <x v="2"/>
    <x v="10"/>
    <x v="12"/>
    <x v="18"/>
    <x v="15"/>
    <x v="1"/>
    <n v="551930000"/>
  </r>
  <r>
    <d v="2025-03-13T00:00:00"/>
    <x v="1"/>
    <x v="2"/>
    <x v="10"/>
    <x v="12"/>
    <x v="19"/>
    <x v="12"/>
    <x v="4"/>
    <n v="346562136"/>
  </r>
  <r>
    <d v="2025-03-13T00:00:00"/>
    <x v="1"/>
    <x v="2"/>
    <x v="10"/>
    <x v="12"/>
    <x v="11"/>
    <x v="10"/>
    <x v="4"/>
    <n v="191236930"/>
  </r>
  <r>
    <d v="2025-03-13T00:00:00"/>
    <x v="1"/>
    <x v="2"/>
    <x v="10"/>
    <x v="12"/>
    <x v="3"/>
    <x v="3"/>
    <x v="1"/>
    <n v="0"/>
  </r>
  <r>
    <d v="2025-03-13T00:00:00"/>
    <x v="1"/>
    <x v="2"/>
    <x v="10"/>
    <x v="12"/>
    <x v="23"/>
    <x v="17"/>
    <x v="4"/>
    <n v="0"/>
  </r>
  <r>
    <d v="2025-03-13T00:00:00"/>
    <x v="1"/>
    <x v="2"/>
    <x v="10"/>
    <x v="12"/>
    <x v="14"/>
    <x v="13"/>
    <x v="1"/>
    <n v="860890000"/>
  </r>
  <r>
    <d v="2025-03-14T00:00:00"/>
    <x v="1"/>
    <x v="2"/>
    <x v="10"/>
    <x v="13"/>
    <x v="6"/>
    <x v="6"/>
    <x v="0"/>
    <n v="34000000"/>
  </r>
  <r>
    <d v="2025-03-14T00:00:00"/>
    <x v="1"/>
    <x v="2"/>
    <x v="10"/>
    <x v="13"/>
    <x v="21"/>
    <x v="9"/>
    <x v="1"/>
    <n v="32100000"/>
  </r>
  <r>
    <d v="2025-03-14T00:00:00"/>
    <x v="1"/>
    <x v="2"/>
    <x v="10"/>
    <x v="13"/>
    <x v="14"/>
    <x v="13"/>
    <x v="1"/>
    <n v="1071250000"/>
  </r>
  <r>
    <d v="2025-03-14T00:00:00"/>
    <x v="1"/>
    <x v="2"/>
    <x v="10"/>
    <x v="13"/>
    <x v="19"/>
    <x v="12"/>
    <x v="4"/>
    <n v="374571065"/>
  </r>
  <r>
    <d v="2025-03-14T00:00:00"/>
    <x v="1"/>
    <x v="2"/>
    <x v="10"/>
    <x v="13"/>
    <x v="15"/>
    <x v="14"/>
    <x v="4"/>
    <n v="24776104"/>
  </r>
  <r>
    <d v="2025-03-14T00:00:00"/>
    <x v="1"/>
    <x v="2"/>
    <x v="10"/>
    <x v="13"/>
    <x v="8"/>
    <x v="8"/>
    <x v="1"/>
    <n v="0"/>
  </r>
  <r>
    <d v="2025-03-14T00:00:00"/>
    <x v="1"/>
    <x v="2"/>
    <x v="10"/>
    <x v="13"/>
    <x v="7"/>
    <x v="7"/>
    <x v="4"/>
    <n v="436547527"/>
  </r>
  <r>
    <d v="2025-03-14T00:00:00"/>
    <x v="1"/>
    <x v="2"/>
    <x v="10"/>
    <x v="13"/>
    <x v="0"/>
    <x v="0"/>
    <x v="0"/>
    <n v="5410000000"/>
  </r>
  <r>
    <d v="2025-03-14T00:00:00"/>
    <x v="1"/>
    <x v="2"/>
    <x v="10"/>
    <x v="13"/>
    <x v="20"/>
    <x v="9"/>
    <x v="1"/>
    <n v="0"/>
  </r>
  <r>
    <d v="2025-03-14T00:00:00"/>
    <x v="1"/>
    <x v="2"/>
    <x v="10"/>
    <x v="13"/>
    <x v="23"/>
    <x v="17"/>
    <x v="4"/>
    <n v="0"/>
  </r>
  <r>
    <d v="2025-03-14T00:00:00"/>
    <x v="1"/>
    <x v="2"/>
    <x v="10"/>
    <x v="13"/>
    <x v="5"/>
    <x v="5"/>
    <x v="3"/>
    <n v="3653668820"/>
  </r>
  <r>
    <d v="2025-03-14T00:00:00"/>
    <x v="1"/>
    <x v="2"/>
    <x v="10"/>
    <x v="13"/>
    <x v="17"/>
    <x v="9"/>
    <x v="1"/>
    <n v="0"/>
  </r>
  <r>
    <d v="2025-03-14T00:00:00"/>
    <x v="1"/>
    <x v="2"/>
    <x v="10"/>
    <x v="13"/>
    <x v="1"/>
    <x v="1"/>
    <x v="1"/>
    <n v="42000000"/>
  </r>
  <r>
    <d v="2025-03-14T00:00:00"/>
    <x v="1"/>
    <x v="2"/>
    <x v="10"/>
    <x v="13"/>
    <x v="22"/>
    <x v="16"/>
    <x v="1"/>
    <n v="0"/>
  </r>
  <r>
    <d v="2025-03-14T00:00:00"/>
    <x v="1"/>
    <x v="2"/>
    <x v="10"/>
    <x v="13"/>
    <x v="12"/>
    <x v="11"/>
    <x v="1"/>
    <n v="5722870000"/>
  </r>
  <r>
    <d v="2025-03-14T00:00:00"/>
    <x v="1"/>
    <x v="2"/>
    <x v="10"/>
    <x v="13"/>
    <x v="11"/>
    <x v="10"/>
    <x v="4"/>
    <n v="191240517"/>
  </r>
  <r>
    <d v="2025-03-14T00:00:00"/>
    <x v="1"/>
    <x v="2"/>
    <x v="10"/>
    <x v="13"/>
    <x v="3"/>
    <x v="3"/>
    <x v="1"/>
    <n v="0"/>
  </r>
  <r>
    <d v="2025-03-14T00:00:00"/>
    <x v="1"/>
    <x v="2"/>
    <x v="10"/>
    <x v="13"/>
    <x v="18"/>
    <x v="15"/>
    <x v="1"/>
    <n v="366650000"/>
  </r>
  <r>
    <d v="2025-03-14T00:00:00"/>
    <x v="1"/>
    <x v="2"/>
    <x v="10"/>
    <x v="13"/>
    <x v="2"/>
    <x v="2"/>
    <x v="1"/>
    <n v="6319920000"/>
  </r>
  <r>
    <d v="2025-03-15T00:00:00"/>
    <x v="1"/>
    <x v="2"/>
    <x v="10"/>
    <x v="14"/>
    <x v="2"/>
    <x v="2"/>
    <x v="1"/>
    <n v="5871570000"/>
  </r>
  <r>
    <d v="2025-03-15T00:00:00"/>
    <x v="1"/>
    <x v="2"/>
    <x v="10"/>
    <x v="14"/>
    <x v="22"/>
    <x v="16"/>
    <x v="1"/>
    <n v="0"/>
  </r>
  <r>
    <d v="2025-03-15T00:00:00"/>
    <x v="1"/>
    <x v="2"/>
    <x v="10"/>
    <x v="14"/>
    <x v="0"/>
    <x v="0"/>
    <x v="0"/>
    <n v="4980000000"/>
  </r>
  <r>
    <d v="2025-03-15T00:00:00"/>
    <x v="1"/>
    <x v="2"/>
    <x v="10"/>
    <x v="14"/>
    <x v="14"/>
    <x v="13"/>
    <x v="1"/>
    <n v="748120000"/>
  </r>
  <r>
    <d v="2025-03-15T00:00:00"/>
    <x v="1"/>
    <x v="2"/>
    <x v="10"/>
    <x v="14"/>
    <x v="12"/>
    <x v="11"/>
    <x v="1"/>
    <n v="4587550000"/>
  </r>
  <r>
    <d v="2025-03-15T00:00:00"/>
    <x v="1"/>
    <x v="2"/>
    <x v="10"/>
    <x v="14"/>
    <x v="1"/>
    <x v="1"/>
    <x v="1"/>
    <n v="31500000"/>
  </r>
  <r>
    <d v="2025-03-15T00:00:00"/>
    <x v="1"/>
    <x v="2"/>
    <x v="10"/>
    <x v="14"/>
    <x v="6"/>
    <x v="6"/>
    <x v="0"/>
    <n v="56000000"/>
  </r>
  <r>
    <d v="2025-03-15T00:00:00"/>
    <x v="1"/>
    <x v="2"/>
    <x v="10"/>
    <x v="14"/>
    <x v="20"/>
    <x v="9"/>
    <x v="1"/>
    <n v="0"/>
  </r>
  <r>
    <d v="2025-03-15T00:00:00"/>
    <x v="1"/>
    <x v="2"/>
    <x v="10"/>
    <x v="14"/>
    <x v="15"/>
    <x v="14"/>
    <x v="4"/>
    <n v="24065294"/>
  </r>
  <r>
    <d v="2025-03-15T00:00:00"/>
    <x v="1"/>
    <x v="2"/>
    <x v="10"/>
    <x v="14"/>
    <x v="17"/>
    <x v="9"/>
    <x v="1"/>
    <n v="0"/>
  </r>
  <r>
    <d v="2025-03-15T00:00:00"/>
    <x v="1"/>
    <x v="2"/>
    <x v="10"/>
    <x v="14"/>
    <x v="21"/>
    <x v="9"/>
    <x v="1"/>
    <n v="21400000"/>
  </r>
  <r>
    <d v="2025-03-15T00:00:00"/>
    <x v="1"/>
    <x v="2"/>
    <x v="10"/>
    <x v="14"/>
    <x v="23"/>
    <x v="17"/>
    <x v="4"/>
    <n v="0"/>
  </r>
  <r>
    <d v="2025-03-15T00:00:00"/>
    <x v="1"/>
    <x v="2"/>
    <x v="10"/>
    <x v="14"/>
    <x v="18"/>
    <x v="15"/>
    <x v="1"/>
    <n v="344990000"/>
  </r>
  <r>
    <d v="2025-03-15T00:00:00"/>
    <x v="1"/>
    <x v="2"/>
    <x v="10"/>
    <x v="14"/>
    <x v="3"/>
    <x v="3"/>
    <x v="1"/>
    <n v="15750000"/>
  </r>
  <r>
    <d v="2025-03-15T00:00:00"/>
    <x v="1"/>
    <x v="2"/>
    <x v="10"/>
    <x v="14"/>
    <x v="19"/>
    <x v="12"/>
    <x v="4"/>
    <n v="312372333"/>
  </r>
  <r>
    <d v="2025-03-15T00:00:00"/>
    <x v="1"/>
    <x v="2"/>
    <x v="10"/>
    <x v="14"/>
    <x v="11"/>
    <x v="10"/>
    <x v="4"/>
    <n v="167815504"/>
  </r>
  <r>
    <d v="2025-03-15T00:00:00"/>
    <x v="1"/>
    <x v="2"/>
    <x v="10"/>
    <x v="14"/>
    <x v="8"/>
    <x v="8"/>
    <x v="1"/>
    <n v="0"/>
  </r>
  <r>
    <d v="2025-03-15T00:00:00"/>
    <x v="1"/>
    <x v="2"/>
    <x v="10"/>
    <x v="14"/>
    <x v="7"/>
    <x v="7"/>
    <x v="4"/>
    <n v="404546010"/>
  </r>
  <r>
    <d v="2025-03-15T00:00:00"/>
    <x v="1"/>
    <x v="2"/>
    <x v="10"/>
    <x v="14"/>
    <x v="5"/>
    <x v="5"/>
    <x v="3"/>
    <n v="3157798966"/>
  </r>
  <r>
    <d v="2025-03-16T00:00:00"/>
    <x v="1"/>
    <x v="2"/>
    <x v="10"/>
    <x v="15"/>
    <x v="23"/>
    <x v="17"/>
    <x v="4"/>
    <n v="0"/>
  </r>
  <r>
    <d v="2025-03-16T00:00:00"/>
    <x v="1"/>
    <x v="2"/>
    <x v="10"/>
    <x v="15"/>
    <x v="18"/>
    <x v="15"/>
    <x v="1"/>
    <n v="110760000"/>
  </r>
  <r>
    <d v="2025-03-16T00:00:00"/>
    <x v="1"/>
    <x v="2"/>
    <x v="10"/>
    <x v="15"/>
    <x v="3"/>
    <x v="3"/>
    <x v="1"/>
    <n v="10500000"/>
  </r>
  <r>
    <d v="2025-03-16T00:00:00"/>
    <x v="1"/>
    <x v="2"/>
    <x v="10"/>
    <x v="15"/>
    <x v="19"/>
    <x v="12"/>
    <x v="4"/>
    <n v="188653947"/>
  </r>
  <r>
    <d v="2025-03-16T00:00:00"/>
    <x v="1"/>
    <x v="2"/>
    <x v="10"/>
    <x v="15"/>
    <x v="11"/>
    <x v="10"/>
    <x v="4"/>
    <n v="155262408"/>
  </r>
  <r>
    <d v="2025-03-16T00:00:00"/>
    <x v="1"/>
    <x v="2"/>
    <x v="10"/>
    <x v="15"/>
    <x v="14"/>
    <x v="13"/>
    <x v="1"/>
    <n v="858140000"/>
  </r>
  <r>
    <d v="2025-03-16T00:00:00"/>
    <x v="1"/>
    <x v="2"/>
    <x v="10"/>
    <x v="15"/>
    <x v="8"/>
    <x v="8"/>
    <x v="1"/>
    <n v="0"/>
  </r>
  <r>
    <d v="2025-03-16T00:00:00"/>
    <x v="1"/>
    <x v="2"/>
    <x v="10"/>
    <x v="15"/>
    <x v="7"/>
    <x v="7"/>
    <x v="4"/>
    <n v="366023941"/>
  </r>
  <r>
    <d v="2025-03-16T00:00:00"/>
    <x v="1"/>
    <x v="2"/>
    <x v="10"/>
    <x v="15"/>
    <x v="5"/>
    <x v="5"/>
    <x v="3"/>
    <n v="2847226806"/>
  </r>
  <r>
    <d v="2025-03-16T00:00:00"/>
    <x v="1"/>
    <x v="2"/>
    <x v="10"/>
    <x v="15"/>
    <x v="12"/>
    <x v="11"/>
    <x v="1"/>
    <n v="4810120000"/>
  </r>
  <r>
    <d v="2025-03-16T00:00:00"/>
    <x v="1"/>
    <x v="2"/>
    <x v="10"/>
    <x v="15"/>
    <x v="0"/>
    <x v="0"/>
    <x v="0"/>
    <n v="4752000000"/>
  </r>
  <r>
    <d v="2025-03-16T00:00:00"/>
    <x v="1"/>
    <x v="2"/>
    <x v="10"/>
    <x v="15"/>
    <x v="2"/>
    <x v="2"/>
    <x v="1"/>
    <n v="5295520000"/>
  </r>
  <r>
    <d v="2025-03-16T00:00:00"/>
    <x v="1"/>
    <x v="2"/>
    <x v="10"/>
    <x v="15"/>
    <x v="22"/>
    <x v="16"/>
    <x v="1"/>
    <n v="0"/>
  </r>
  <r>
    <d v="2025-03-16T00:00:00"/>
    <x v="1"/>
    <x v="2"/>
    <x v="10"/>
    <x v="15"/>
    <x v="15"/>
    <x v="14"/>
    <x v="4"/>
    <n v="15717195"/>
  </r>
  <r>
    <d v="2025-03-16T00:00:00"/>
    <x v="1"/>
    <x v="2"/>
    <x v="10"/>
    <x v="15"/>
    <x v="1"/>
    <x v="1"/>
    <x v="1"/>
    <n v="26250000"/>
  </r>
  <r>
    <d v="2025-03-16T00:00:00"/>
    <x v="1"/>
    <x v="2"/>
    <x v="10"/>
    <x v="15"/>
    <x v="6"/>
    <x v="6"/>
    <x v="0"/>
    <n v="71000000"/>
  </r>
  <r>
    <d v="2025-03-16T00:00:00"/>
    <x v="1"/>
    <x v="2"/>
    <x v="10"/>
    <x v="15"/>
    <x v="20"/>
    <x v="9"/>
    <x v="1"/>
    <n v="0"/>
  </r>
  <r>
    <d v="2025-03-16T00:00:00"/>
    <x v="1"/>
    <x v="2"/>
    <x v="10"/>
    <x v="15"/>
    <x v="17"/>
    <x v="9"/>
    <x v="1"/>
    <n v="0"/>
  </r>
  <r>
    <d v="2025-03-16T00:00:00"/>
    <x v="1"/>
    <x v="2"/>
    <x v="10"/>
    <x v="15"/>
    <x v="21"/>
    <x v="9"/>
    <x v="1"/>
    <n v="32100000"/>
  </r>
  <r>
    <d v="2025-03-17T00:00:00"/>
    <x v="1"/>
    <x v="2"/>
    <x v="11"/>
    <x v="16"/>
    <x v="2"/>
    <x v="2"/>
    <x v="1"/>
    <n v="6386420000"/>
  </r>
  <r>
    <d v="2025-03-17T00:00:00"/>
    <x v="1"/>
    <x v="2"/>
    <x v="11"/>
    <x v="16"/>
    <x v="1"/>
    <x v="1"/>
    <x v="1"/>
    <n v="21000000"/>
  </r>
  <r>
    <d v="2025-03-17T00:00:00"/>
    <x v="1"/>
    <x v="2"/>
    <x v="11"/>
    <x v="16"/>
    <x v="22"/>
    <x v="16"/>
    <x v="1"/>
    <n v="0"/>
  </r>
  <r>
    <d v="2025-03-17T00:00:00"/>
    <x v="1"/>
    <x v="2"/>
    <x v="11"/>
    <x v="16"/>
    <x v="15"/>
    <x v="14"/>
    <x v="4"/>
    <n v="49031919"/>
  </r>
  <r>
    <d v="2025-03-17T00:00:00"/>
    <x v="1"/>
    <x v="2"/>
    <x v="11"/>
    <x v="16"/>
    <x v="0"/>
    <x v="0"/>
    <x v="0"/>
    <n v="4236000000"/>
  </r>
  <r>
    <d v="2025-03-17T00:00:00"/>
    <x v="1"/>
    <x v="2"/>
    <x v="11"/>
    <x v="16"/>
    <x v="6"/>
    <x v="6"/>
    <x v="0"/>
    <n v="26000000"/>
  </r>
  <r>
    <d v="2025-03-17T00:00:00"/>
    <x v="1"/>
    <x v="2"/>
    <x v="11"/>
    <x v="16"/>
    <x v="20"/>
    <x v="9"/>
    <x v="1"/>
    <n v="0"/>
  </r>
  <r>
    <d v="2025-03-17T00:00:00"/>
    <x v="1"/>
    <x v="2"/>
    <x v="11"/>
    <x v="16"/>
    <x v="17"/>
    <x v="9"/>
    <x v="1"/>
    <n v="42800000"/>
  </r>
  <r>
    <d v="2025-03-17T00:00:00"/>
    <x v="1"/>
    <x v="2"/>
    <x v="11"/>
    <x v="16"/>
    <x v="21"/>
    <x v="9"/>
    <x v="1"/>
    <n v="10700000"/>
  </r>
  <r>
    <d v="2025-03-17T00:00:00"/>
    <x v="1"/>
    <x v="2"/>
    <x v="11"/>
    <x v="16"/>
    <x v="23"/>
    <x v="17"/>
    <x v="4"/>
    <n v="0"/>
  </r>
  <r>
    <d v="2025-03-17T00:00:00"/>
    <x v="1"/>
    <x v="2"/>
    <x v="11"/>
    <x v="16"/>
    <x v="18"/>
    <x v="15"/>
    <x v="1"/>
    <n v="488210000"/>
  </r>
  <r>
    <d v="2025-03-17T00:00:00"/>
    <x v="1"/>
    <x v="2"/>
    <x v="11"/>
    <x v="16"/>
    <x v="3"/>
    <x v="3"/>
    <x v="1"/>
    <n v="0"/>
  </r>
  <r>
    <d v="2025-03-17T00:00:00"/>
    <x v="1"/>
    <x v="2"/>
    <x v="11"/>
    <x v="16"/>
    <x v="14"/>
    <x v="13"/>
    <x v="1"/>
    <n v="938830000"/>
  </r>
  <r>
    <d v="2025-03-17T00:00:00"/>
    <x v="1"/>
    <x v="2"/>
    <x v="11"/>
    <x v="16"/>
    <x v="19"/>
    <x v="12"/>
    <x v="4"/>
    <n v="220825736"/>
  </r>
  <r>
    <d v="2025-03-17T00:00:00"/>
    <x v="1"/>
    <x v="2"/>
    <x v="11"/>
    <x v="16"/>
    <x v="11"/>
    <x v="10"/>
    <x v="4"/>
    <n v="141531227"/>
  </r>
  <r>
    <d v="2025-03-17T00:00:00"/>
    <x v="1"/>
    <x v="2"/>
    <x v="11"/>
    <x v="16"/>
    <x v="7"/>
    <x v="7"/>
    <x v="4"/>
    <n v="349859663"/>
  </r>
  <r>
    <d v="2025-03-17T00:00:00"/>
    <x v="1"/>
    <x v="2"/>
    <x v="11"/>
    <x v="16"/>
    <x v="5"/>
    <x v="5"/>
    <x v="3"/>
    <n v="3605828495"/>
  </r>
  <r>
    <d v="2025-03-17T00:00:00"/>
    <x v="1"/>
    <x v="2"/>
    <x v="11"/>
    <x v="16"/>
    <x v="12"/>
    <x v="11"/>
    <x v="1"/>
    <n v="5496930000"/>
  </r>
  <r>
    <d v="2025-03-18T00:00:00"/>
    <x v="1"/>
    <x v="2"/>
    <x v="11"/>
    <x v="17"/>
    <x v="12"/>
    <x v="11"/>
    <x v="1"/>
    <n v="6236500000"/>
  </r>
  <r>
    <d v="2025-03-18T00:00:00"/>
    <x v="1"/>
    <x v="2"/>
    <x v="11"/>
    <x v="17"/>
    <x v="5"/>
    <x v="5"/>
    <x v="3"/>
    <n v="3366484653"/>
  </r>
  <r>
    <d v="2025-03-18T00:00:00"/>
    <x v="1"/>
    <x v="2"/>
    <x v="11"/>
    <x v="17"/>
    <x v="2"/>
    <x v="2"/>
    <x v="1"/>
    <n v="5780970000"/>
  </r>
  <r>
    <d v="2025-03-18T00:00:00"/>
    <x v="1"/>
    <x v="2"/>
    <x v="11"/>
    <x v="17"/>
    <x v="0"/>
    <x v="0"/>
    <x v="0"/>
    <n v="4732000000"/>
  </r>
  <r>
    <d v="2025-03-18T00:00:00"/>
    <x v="1"/>
    <x v="2"/>
    <x v="11"/>
    <x v="17"/>
    <x v="15"/>
    <x v="14"/>
    <x v="4"/>
    <n v="11440552"/>
  </r>
  <r>
    <d v="2025-03-18T00:00:00"/>
    <x v="1"/>
    <x v="2"/>
    <x v="11"/>
    <x v="17"/>
    <x v="22"/>
    <x v="16"/>
    <x v="1"/>
    <n v="0"/>
  </r>
  <r>
    <d v="2025-03-18T00:00:00"/>
    <x v="1"/>
    <x v="2"/>
    <x v="11"/>
    <x v="17"/>
    <x v="20"/>
    <x v="9"/>
    <x v="1"/>
    <n v="10700000"/>
  </r>
  <r>
    <d v="2025-03-18T00:00:00"/>
    <x v="1"/>
    <x v="2"/>
    <x v="11"/>
    <x v="17"/>
    <x v="1"/>
    <x v="1"/>
    <x v="1"/>
    <n v="42000000"/>
  </r>
  <r>
    <d v="2025-03-18T00:00:00"/>
    <x v="1"/>
    <x v="2"/>
    <x v="11"/>
    <x v="17"/>
    <x v="6"/>
    <x v="6"/>
    <x v="0"/>
    <n v="82000000"/>
  </r>
  <r>
    <d v="2025-03-18T00:00:00"/>
    <x v="1"/>
    <x v="2"/>
    <x v="11"/>
    <x v="17"/>
    <x v="17"/>
    <x v="9"/>
    <x v="1"/>
    <n v="0"/>
  </r>
  <r>
    <d v="2025-03-18T00:00:00"/>
    <x v="1"/>
    <x v="2"/>
    <x v="11"/>
    <x v="17"/>
    <x v="21"/>
    <x v="9"/>
    <x v="1"/>
    <n v="20000000"/>
  </r>
  <r>
    <d v="2025-03-18T00:00:00"/>
    <x v="1"/>
    <x v="2"/>
    <x v="11"/>
    <x v="17"/>
    <x v="23"/>
    <x v="17"/>
    <x v="4"/>
    <n v="0"/>
  </r>
  <r>
    <d v="2025-03-18T00:00:00"/>
    <x v="1"/>
    <x v="2"/>
    <x v="11"/>
    <x v="17"/>
    <x v="18"/>
    <x v="15"/>
    <x v="1"/>
    <n v="339060000"/>
  </r>
  <r>
    <d v="2025-03-18T00:00:00"/>
    <x v="1"/>
    <x v="2"/>
    <x v="11"/>
    <x v="17"/>
    <x v="3"/>
    <x v="3"/>
    <x v="1"/>
    <n v="0"/>
  </r>
  <r>
    <d v="2025-03-18T00:00:00"/>
    <x v="1"/>
    <x v="2"/>
    <x v="11"/>
    <x v="17"/>
    <x v="14"/>
    <x v="13"/>
    <x v="1"/>
    <n v="995720000"/>
  </r>
  <r>
    <d v="2025-03-18T00:00:00"/>
    <x v="1"/>
    <x v="2"/>
    <x v="11"/>
    <x v="17"/>
    <x v="19"/>
    <x v="12"/>
    <x v="4"/>
    <n v="262729970"/>
  </r>
  <r>
    <d v="2025-03-18T00:00:00"/>
    <x v="1"/>
    <x v="2"/>
    <x v="11"/>
    <x v="17"/>
    <x v="11"/>
    <x v="10"/>
    <x v="4"/>
    <n v="140559562"/>
  </r>
  <r>
    <d v="2025-03-18T00:00:00"/>
    <x v="1"/>
    <x v="2"/>
    <x v="11"/>
    <x v="17"/>
    <x v="7"/>
    <x v="7"/>
    <x v="4"/>
    <n v="294797589"/>
  </r>
  <r>
    <d v="2025-03-19T00:00:00"/>
    <x v="1"/>
    <x v="2"/>
    <x v="11"/>
    <x v="18"/>
    <x v="21"/>
    <x v="9"/>
    <x v="1"/>
    <n v="23540000"/>
  </r>
  <r>
    <d v="2025-03-19T00:00:00"/>
    <x v="1"/>
    <x v="2"/>
    <x v="11"/>
    <x v="18"/>
    <x v="0"/>
    <x v="0"/>
    <x v="0"/>
    <n v="4941000000"/>
  </r>
  <r>
    <d v="2025-03-19T00:00:00"/>
    <x v="1"/>
    <x v="2"/>
    <x v="11"/>
    <x v="18"/>
    <x v="3"/>
    <x v="3"/>
    <x v="1"/>
    <n v="0"/>
  </r>
  <r>
    <d v="2025-03-19T00:00:00"/>
    <x v="1"/>
    <x v="2"/>
    <x v="11"/>
    <x v="18"/>
    <x v="2"/>
    <x v="2"/>
    <x v="1"/>
    <n v="6365580000"/>
  </r>
  <r>
    <d v="2025-03-19T00:00:00"/>
    <x v="1"/>
    <x v="2"/>
    <x v="11"/>
    <x v="18"/>
    <x v="22"/>
    <x v="16"/>
    <x v="1"/>
    <n v="0"/>
  </r>
  <r>
    <d v="2025-03-19T00:00:00"/>
    <x v="1"/>
    <x v="2"/>
    <x v="11"/>
    <x v="18"/>
    <x v="18"/>
    <x v="15"/>
    <x v="1"/>
    <n v="460980000"/>
  </r>
  <r>
    <d v="2025-03-19T00:00:00"/>
    <x v="1"/>
    <x v="2"/>
    <x v="11"/>
    <x v="18"/>
    <x v="6"/>
    <x v="6"/>
    <x v="0"/>
    <n v="96000000"/>
  </r>
  <r>
    <d v="2025-03-19T00:00:00"/>
    <x v="1"/>
    <x v="2"/>
    <x v="11"/>
    <x v="18"/>
    <x v="20"/>
    <x v="9"/>
    <x v="1"/>
    <n v="0"/>
  </r>
  <r>
    <d v="2025-03-19T00:00:00"/>
    <x v="1"/>
    <x v="2"/>
    <x v="11"/>
    <x v="18"/>
    <x v="17"/>
    <x v="9"/>
    <x v="1"/>
    <n v="10700000"/>
  </r>
  <r>
    <d v="2025-03-19T00:00:00"/>
    <x v="1"/>
    <x v="2"/>
    <x v="11"/>
    <x v="18"/>
    <x v="12"/>
    <x v="11"/>
    <x v="1"/>
    <n v="6140770000"/>
  </r>
  <r>
    <d v="2025-03-19T00:00:00"/>
    <x v="1"/>
    <x v="2"/>
    <x v="11"/>
    <x v="18"/>
    <x v="23"/>
    <x v="17"/>
    <x v="4"/>
    <n v="0"/>
  </r>
  <r>
    <d v="2025-03-19T00:00:00"/>
    <x v="1"/>
    <x v="2"/>
    <x v="11"/>
    <x v="18"/>
    <x v="1"/>
    <x v="1"/>
    <x v="1"/>
    <n v="31500000"/>
  </r>
  <r>
    <d v="2025-03-19T00:00:00"/>
    <x v="1"/>
    <x v="2"/>
    <x v="11"/>
    <x v="18"/>
    <x v="14"/>
    <x v="13"/>
    <x v="1"/>
    <n v="888290000"/>
  </r>
  <r>
    <d v="2025-03-19T00:00:00"/>
    <x v="1"/>
    <x v="2"/>
    <x v="11"/>
    <x v="18"/>
    <x v="19"/>
    <x v="12"/>
    <x v="4"/>
    <n v="267460254"/>
  </r>
  <r>
    <d v="2025-03-19T00:00:00"/>
    <x v="1"/>
    <x v="2"/>
    <x v="11"/>
    <x v="18"/>
    <x v="11"/>
    <x v="10"/>
    <x v="4"/>
    <n v="138218285"/>
  </r>
  <r>
    <d v="2025-03-19T00:00:00"/>
    <x v="1"/>
    <x v="2"/>
    <x v="11"/>
    <x v="18"/>
    <x v="15"/>
    <x v="14"/>
    <x v="4"/>
    <n v="18305316"/>
  </r>
  <r>
    <d v="2025-03-19T00:00:00"/>
    <x v="1"/>
    <x v="2"/>
    <x v="11"/>
    <x v="18"/>
    <x v="7"/>
    <x v="7"/>
    <x v="4"/>
    <n v="333941156"/>
  </r>
  <r>
    <d v="2025-03-19T00:00:00"/>
    <x v="1"/>
    <x v="2"/>
    <x v="11"/>
    <x v="18"/>
    <x v="5"/>
    <x v="5"/>
    <x v="3"/>
    <n v="2979629954"/>
  </r>
  <r>
    <d v="2025-03-20T00:00:00"/>
    <x v="1"/>
    <x v="2"/>
    <x v="11"/>
    <x v="19"/>
    <x v="21"/>
    <x v="9"/>
    <x v="1"/>
    <n v="53500000"/>
  </r>
  <r>
    <d v="2025-03-20T00:00:00"/>
    <x v="1"/>
    <x v="2"/>
    <x v="11"/>
    <x v="19"/>
    <x v="11"/>
    <x v="10"/>
    <x v="4"/>
    <n v="117399544"/>
  </r>
  <r>
    <d v="2025-03-20T00:00:00"/>
    <x v="1"/>
    <x v="2"/>
    <x v="11"/>
    <x v="19"/>
    <x v="0"/>
    <x v="0"/>
    <x v="0"/>
    <n v="5194500000"/>
  </r>
  <r>
    <d v="2025-03-20T00:00:00"/>
    <x v="1"/>
    <x v="2"/>
    <x v="11"/>
    <x v="19"/>
    <x v="15"/>
    <x v="14"/>
    <x v="4"/>
    <n v="11677366"/>
  </r>
  <r>
    <d v="2025-03-20T00:00:00"/>
    <x v="1"/>
    <x v="2"/>
    <x v="11"/>
    <x v="19"/>
    <x v="1"/>
    <x v="1"/>
    <x v="1"/>
    <n v="157300000"/>
  </r>
  <r>
    <d v="2025-03-20T00:00:00"/>
    <x v="1"/>
    <x v="2"/>
    <x v="11"/>
    <x v="19"/>
    <x v="2"/>
    <x v="2"/>
    <x v="1"/>
    <n v="6670710000"/>
  </r>
  <r>
    <d v="2025-03-20T00:00:00"/>
    <x v="1"/>
    <x v="2"/>
    <x v="11"/>
    <x v="19"/>
    <x v="6"/>
    <x v="6"/>
    <x v="0"/>
    <n v="65000000"/>
  </r>
  <r>
    <d v="2025-03-20T00:00:00"/>
    <x v="1"/>
    <x v="2"/>
    <x v="11"/>
    <x v="19"/>
    <x v="20"/>
    <x v="9"/>
    <x v="1"/>
    <n v="21400000"/>
  </r>
  <r>
    <d v="2025-03-20T00:00:00"/>
    <x v="1"/>
    <x v="2"/>
    <x v="11"/>
    <x v="19"/>
    <x v="22"/>
    <x v="16"/>
    <x v="1"/>
    <n v="0"/>
  </r>
  <r>
    <d v="2025-03-20T00:00:00"/>
    <x v="1"/>
    <x v="2"/>
    <x v="11"/>
    <x v="19"/>
    <x v="17"/>
    <x v="9"/>
    <x v="1"/>
    <n v="0"/>
  </r>
  <r>
    <d v="2025-03-20T00:00:00"/>
    <x v="1"/>
    <x v="2"/>
    <x v="11"/>
    <x v="19"/>
    <x v="23"/>
    <x v="17"/>
    <x v="4"/>
    <n v="0"/>
  </r>
  <r>
    <d v="2025-03-20T00:00:00"/>
    <x v="1"/>
    <x v="2"/>
    <x v="11"/>
    <x v="19"/>
    <x v="18"/>
    <x v="15"/>
    <x v="1"/>
    <n v="342010000"/>
  </r>
  <r>
    <d v="2025-03-20T00:00:00"/>
    <x v="1"/>
    <x v="2"/>
    <x v="11"/>
    <x v="19"/>
    <x v="3"/>
    <x v="3"/>
    <x v="1"/>
    <n v="10500000"/>
  </r>
  <r>
    <d v="2025-03-20T00:00:00"/>
    <x v="1"/>
    <x v="2"/>
    <x v="11"/>
    <x v="19"/>
    <x v="19"/>
    <x v="12"/>
    <x v="4"/>
    <n v="310415168"/>
  </r>
  <r>
    <d v="2025-03-20T00:00:00"/>
    <x v="1"/>
    <x v="2"/>
    <x v="11"/>
    <x v="19"/>
    <x v="5"/>
    <x v="5"/>
    <x v="3"/>
    <n v="3387449629"/>
  </r>
  <r>
    <d v="2025-03-20T00:00:00"/>
    <x v="1"/>
    <x v="2"/>
    <x v="11"/>
    <x v="19"/>
    <x v="7"/>
    <x v="7"/>
    <x v="4"/>
    <n v="325836356"/>
  </r>
  <r>
    <d v="2025-03-20T00:00:00"/>
    <x v="1"/>
    <x v="2"/>
    <x v="11"/>
    <x v="19"/>
    <x v="12"/>
    <x v="11"/>
    <x v="1"/>
    <n v="6017000000"/>
  </r>
  <r>
    <d v="2025-03-20T00:00:00"/>
    <x v="1"/>
    <x v="2"/>
    <x v="11"/>
    <x v="19"/>
    <x v="14"/>
    <x v="13"/>
    <x v="1"/>
    <n v="753770000"/>
  </r>
  <r>
    <d v="2025-03-21T00:00:00"/>
    <x v="1"/>
    <x v="2"/>
    <x v="11"/>
    <x v="20"/>
    <x v="7"/>
    <x v="7"/>
    <x v="4"/>
    <n v="368888775"/>
  </r>
  <r>
    <d v="2025-03-21T00:00:00"/>
    <x v="1"/>
    <x v="2"/>
    <x v="11"/>
    <x v="20"/>
    <x v="2"/>
    <x v="2"/>
    <x v="1"/>
    <n v="7414510000"/>
  </r>
  <r>
    <d v="2025-03-21T00:00:00"/>
    <x v="1"/>
    <x v="2"/>
    <x v="11"/>
    <x v="20"/>
    <x v="5"/>
    <x v="5"/>
    <x v="3"/>
    <n v="3578778101"/>
  </r>
  <r>
    <d v="2025-03-21T00:00:00"/>
    <x v="1"/>
    <x v="2"/>
    <x v="11"/>
    <x v="20"/>
    <x v="11"/>
    <x v="10"/>
    <x v="4"/>
    <n v="162610512"/>
  </r>
  <r>
    <d v="2025-03-21T00:00:00"/>
    <x v="1"/>
    <x v="2"/>
    <x v="11"/>
    <x v="20"/>
    <x v="22"/>
    <x v="16"/>
    <x v="1"/>
    <n v="0"/>
  </r>
  <r>
    <d v="2025-03-21T00:00:00"/>
    <x v="1"/>
    <x v="2"/>
    <x v="11"/>
    <x v="20"/>
    <x v="15"/>
    <x v="14"/>
    <x v="4"/>
    <n v="25912884"/>
  </r>
  <r>
    <d v="2025-03-21T00:00:00"/>
    <x v="1"/>
    <x v="2"/>
    <x v="11"/>
    <x v="20"/>
    <x v="1"/>
    <x v="1"/>
    <x v="1"/>
    <n v="63000000"/>
  </r>
  <r>
    <d v="2025-03-21T00:00:00"/>
    <x v="1"/>
    <x v="2"/>
    <x v="11"/>
    <x v="20"/>
    <x v="6"/>
    <x v="6"/>
    <x v="0"/>
    <n v="121000000"/>
  </r>
  <r>
    <d v="2025-03-21T00:00:00"/>
    <x v="1"/>
    <x v="2"/>
    <x v="11"/>
    <x v="20"/>
    <x v="20"/>
    <x v="9"/>
    <x v="1"/>
    <n v="0"/>
  </r>
  <r>
    <d v="2025-03-21T00:00:00"/>
    <x v="1"/>
    <x v="2"/>
    <x v="11"/>
    <x v="20"/>
    <x v="17"/>
    <x v="9"/>
    <x v="1"/>
    <n v="0"/>
  </r>
  <r>
    <d v="2025-03-21T00:00:00"/>
    <x v="1"/>
    <x v="2"/>
    <x v="11"/>
    <x v="20"/>
    <x v="21"/>
    <x v="9"/>
    <x v="1"/>
    <n v="10000000"/>
  </r>
  <r>
    <d v="2025-03-21T00:00:00"/>
    <x v="1"/>
    <x v="2"/>
    <x v="11"/>
    <x v="20"/>
    <x v="24"/>
    <x v="18"/>
    <x v="1"/>
    <n v="13910000"/>
  </r>
  <r>
    <d v="2025-03-21T00:00:00"/>
    <x v="1"/>
    <x v="2"/>
    <x v="11"/>
    <x v="20"/>
    <x v="23"/>
    <x v="17"/>
    <x v="4"/>
    <n v="0"/>
  </r>
  <r>
    <d v="2025-03-21T00:00:00"/>
    <x v="1"/>
    <x v="2"/>
    <x v="11"/>
    <x v="20"/>
    <x v="18"/>
    <x v="15"/>
    <x v="1"/>
    <n v="502860000"/>
  </r>
  <r>
    <d v="2025-03-21T00:00:00"/>
    <x v="1"/>
    <x v="2"/>
    <x v="11"/>
    <x v="20"/>
    <x v="3"/>
    <x v="3"/>
    <x v="1"/>
    <n v="0"/>
  </r>
  <r>
    <d v="2025-03-21T00:00:00"/>
    <x v="1"/>
    <x v="2"/>
    <x v="11"/>
    <x v="20"/>
    <x v="14"/>
    <x v="13"/>
    <x v="1"/>
    <n v="700790000"/>
  </r>
  <r>
    <d v="2025-03-21T00:00:00"/>
    <x v="1"/>
    <x v="2"/>
    <x v="11"/>
    <x v="20"/>
    <x v="19"/>
    <x v="12"/>
    <x v="4"/>
    <n v="381927285"/>
  </r>
  <r>
    <d v="2025-03-21T00:00:00"/>
    <x v="1"/>
    <x v="2"/>
    <x v="11"/>
    <x v="20"/>
    <x v="12"/>
    <x v="11"/>
    <x v="1"/>
    <n v="4930670000"/>
  </r>
  <r>
    <d v="2025-03-21T00:00:00"/>
    <x v="1"/>
    <x v="2"/>
    <x v="11"/>
    <x v="20"/>
    <x v="0"/>
    <x v="0"/>
    <x v="0"/>
    <n v="5400000000"/>
  </r>
  <r>
    <d v="2025-03-22T00:00:00"/>
    <x v="1"/>
    <x v="2"/>
    <x v="11"/>
    <x v="21"/>
    <x v="21"/>
    <x v="9"/>
    <x v="1"/>
    <n v="20330000"/>
  </r>
  <r>
    <d v="2025-03-22T00:00:00"/>
    <x v="1"/>
    <x v="2"/>
    <x v="11"/>
    <x v="21"/>
    <x v="2"/>
    <x v="2"/>
    <x v="1"/>
    <n v="6535770000"/>
  </r>
  <r>
    <d v="2025-03-22T00:00:00"/>
    <x v="1"/>
    <x v="2"/>
    <x v="11"/>
    <x v="21"/>
    <x v="15"/>
    <x v="14"/>
    <x v="4"/>
    <n v="29759152"/>
  </r>
  <r>
    <d v="2025-03-22T00:00:00"/>
    <x v="1"/>
    <x v="2"/>
    <x v="11"/>
    <x v="21"/>
    <x v="24"/>
    <x v="18"/>
    <x v="1"/>
    <n v="0"/>
  </r>
  <r>
    <d v="2025-03-22T00:00:00"/>
    <x v="1"/>
    <x v="2"/>
    <x v="11"/>
    <x v="21"/>
    <x v="1"/>
    <x v="1"/>
    <x v="1"/>
    <n v="52500000"/>
  </r>
  <r>
    <d v="2025-03-22T00:00:00"/>
    <x v="1"/>
    <x v="2"/>
    <x v="11"/>
    <x v="21"/>
    <x v="12"/>
    <x v="11"/>
    <x v="1"/>
    <n v="4864860000"/>
  </r>
  <r>
    <d v="2025-03-22T00:00:00"/>
    <x v="1"/>
    <x v="2"/>
    <x v="11"/>
    <x v="21"/>
    <x v="6"/>
    <x v="6"/>
    <x v="0"/>
    <n v="76000000"/>
  </r>
  <r>
    <d v="2025-03-22T00:00:00"/>
    <x v="1"/>
    <x v="2"/>
    <x v="11"/>
    <x v="21"/>
    <x v="20"/>
    <x v="9"/>
    <x v="1"/>
    <n v="0"/>
  </r>
  <r>
    <d v="2025-03-22T00:00:00"/>
    <x v="1"/>
    <x v="2"/>
    <x v="11"/>
    <x v="21"/>
    <x v="17"/>
    <x v="9"/>
    <x v="1"/>
    <n v="0"/>
  </r>
  <r>
    <d v="2025-03-22T00:00:00"/>
    <x v="1"/>
    <x v="2"/>
    <x v="11"/>
    <x v="21"/>
    <x v="0"/>
    <x v="0"/>
    <x v="0"/>
    <n v="5284500000"/>
  </r>
  <r>
    <d v="2025-03-22T00:00:00"/>
    <x v="1"/>
    <x v="2"/>
    <x v="11"/>
    <x v="21"/>
    <x v="23"/>
    <x v="17"/>
    <x v="4"/>
    <n v="0"/>
  </r>
  <r>
    <d v="2025-03-22T00:00:00"/>
    <x v="1"/>
    <x v="2"/>
    <x v="11"/>
    <x v="21"/>
    <x v="18"/>
    <x v="15"/>
    <x v="1"/>
    <n v="303030000"/>
  </r>
  <r>
    <d v="2025-03-22T00:00:00"/>
    <x v="1"/>
    <x v="2"/>
    <x v="11"/>
    <x v="21"/>
    <x v="3"/>
    <x v="3"/>
    <x v="1"/>
    <n v="0"/>
  </r>
  <r>
    <d v="2025-03-22T00:00:00"/>
    <x v="1"/>
    <x v="2"/>
    <x v="11"/>
    <x v="21"/>
    <x v="14"/>
    <x v="13"/>
    <x v="1"/>
    <n v="765470000"/>
  </r>
  <r>
    <d v="2025-03-22T00:00:00"/>
    <x v="1"/>
    <x v="2"/>
    <x v="11"/>
    <x v="21"/>
    <x v="22"/>
    <x v="16"/>
    <x v="1"/>
    <n v="0"/>
  </r>
  <r>
    <d v="2025-03-22T00:00:00"/>
    <x v="1"/>
    <x v="2"/>
    <x v="11"/>
    <x v="21"/>
    <x v="19"/>
    <x v="12"/>
    <x v="4"/>
    <n v="259892445"/>
  </r>
  <r>
    <d v="2025-03-22T00:00:00"/>
    <x v="1"/>
    <x v="2"/>
    <x v="11"/>
    <x v="21"/>
    <x v="11"/>
    <x v="10"/>
    <x v="4"/>
    <n v="151770646"/>
  </r>
  <r>
    <d v="2025-03-22T00:00:00"/>
    <x v="1"/>
    <x v="2"/>
    <x v="11"/>
    <x v="21"/>
    <x v="7"/>
    <x v="7"/>
    <x v="4"/>
    <n v="336319141"/>
  </r>
  <r>
    <d v="2025-03-22T00:00:00"/>
    <x v="1"/>
    <x v="2"/>
    <x v="11"/>
    <x v="21"/>
    <x v="5"/>
    <x v="5"/>
    <x v="3"/>
    <n v="3067355511"/>
  </r>
  <r>
    <d v="2025-03-23T00:00:00"/>
    <x v="1"/>
    <x v="2"/>
    <x v="11"/>
    <x v="22"/>
    <x v="24"/>
    <x v="18"/>
    <x v="1"/>
    <n v="0"/>
  </r>
  <r>
    <d v="2025-03-23T00:00:00"/>
    <x v="1"/>
    <x v="2"/>
    <x v="11"/>
    <x v="22"/>
    <x v="22"/>
    <x v="16"/>
    <x v="1"/>
    <n v="0"/>
  </r>
  <r>
    <d v="2025-03-23T00:00:00"/>
    <x v="1"/>
    <x v="2"/>
    <x v="11"/>
    <x v="22"/>
    <x v="15"/>
    <x v="14"/>
    <x v="4"/>
    <n v="18639727"/>
  </r>
  <r>
    <d v="2025-03-23T00:00:00"/>
    <x v="1"/>
    <x v="2"/>
    <x v="11"/>
    <x v="22"/>
    <x v="1"/>
    <x v="1"/>
    <x v="1"/>
    <n v="56750000"/>
  </r>
  <r>
    <d v="2025-03-23T00:00:00"/>
    <x v="1"/>
    <x v="2"/>
    <x v="11"/>
    <x v="22"/>
    <x v="6"/>
    <x v="6"/>
    <x v="0"/>
    <n v="96000000"/>
  </r>
  <r>
    <d v="2025-03-23T00:00:00"/>
    <x v="1"/>
    <x v="2"/>
    <x v="11"/>
    <x v="22"/>
    <x v="20"/>
    <x v="9"/>
    <x v="1"/>
    <n v="0"/>
  </r>
  <r>
    <d v="2025-03-23T00:00:00"/>
    <x v="1"/>
    <x v="2"/>
    <x v="11"/>
    <x v="22"/>
    <x v="17"/>
    <x v="9"/>
    <x v="1"/>
    <n v="0"/>
  </r>
  <r>
    <d v="2025-03-23T00:00:00"/>
    <x v="1"/>
    <x v="2"/>
    <x v="11"/>
    <x v="22"/>
    <x v="21"/>
    <x v="9"/>
    <x v="1"/>
    <n v="10700000"/>
  </r>
  <r>
    <d v="2025-03-23T00:00:00"/>
    <x v="1"/>
    <x v="2"/>
    <x v="11"/>
    <x v="22"/>
    <x v="23"/>
    <x v="17"/>
    <x v="4"/>
    <n v="0"/>
  </r>
  <r>
    <d v="2025-03-23T00:00:00"/>
    <x v="1"/>
    <x v="2"/>
    <x v="11"/>
    <x v="22"/>
    <x v="18"/>
    <x v="15"/>
    <x v="1"/>
    <n v="222990000"/>
  </r>
  <r>
    <d v="2025-03-23T00:00:00"/>
    <x v="1"/>
    <x v="2"/>
    <x v="11"/>
    <x v="22"/>
    <x v="3"/>
    <x v="3"/>
    <x v="1"/>
    <n v="0"/>
  </r>
  <r>
    <d v="2025-03-23T00:00:00"/>
    <x v="1"/>
    <x v="2"/>
    <x v="11"/>
    <x v="22"/>
    <x v="14"/>
    <x v="13"/>
    <x v="1"/>
    <n v="814790000"/>
  </r>
  <r>
    <d v="2025-03-23T00:00:00"/>
    <x v="1"/>
    <x v="2"/>
    <x v="11"/>
    <x v="22"/>
    <x v="19"/>
    <x v="12"/>
    <x v="4"/>
    <n v="278058007"/>
  </r>
  <r>
    <d v="2025-03-23T00:00:00"/>
    <x v="1"/>
    <x v="2"/>
    <x v="11"/>
    <x v="22"/>
    <x v="11"/>
    <x v="10"/>
    <x v="4"/>
    <n v="140247449"/>
  </r>
  <r>
    <d v="2025-03-23T00:00:00"/>
    <x v="1"/>
    <x v="2"/>
    <x v="11"/>
    <x v="22"/>
    <x v="7"/>
    <x v="7"/>
    <x v="4"/>
    <n v="295389674"/>
  </r>
  <r>
    <d v="2025-03-23T00:00:00"/>
    <x v="1"/>
    <x v="2"/>
    <x v="11"/>
    <x v="22"/>
    <x v="5"/>
    <x v="5"/>
    <x v="3"/>
    <n v="2900491486"/>
  </r>
  <r>
    <d v="2025-03-23T00:00:00"/>
    <x v="1"/>
    <x v="2"/>
    <x v="11"/>
    <x v="22"/>
    <x v="12"/>
    <x v="11"/>
    <x v="1"/>
    <n v="4851960000"/>
  </r>
  <r>
    <d v="2025-03-23T00:00:00"/>
    <x v="1"/>
    <x v="2"/>
    <x v="11"/>
    <x v="22"/>
    <x v="0"/>
    <x v="0"/>
    <x v="0"/>
    <n v="4368000000"/>
  </r>
  <r>
    <d v="2025-03-23T00:00:00"/>
    <x v="1"/>
    <x v="2"/>
    <x v="11"/>
    <x v="22"/>
    <x v="2"/>
    <x v="2"/>
    <x v="1"/>
    <n v="6424900000"/>
  </r>
  <r>
    <d v="2025-03-24T00:00:00"/>
    <x v="1"/>
    <x v="2"/>
    <x v="12"/>
    <x v="23"/>
    <x v="0"/>
    <x v="0"/>
    <x v="0"/>
    <n v="4733000000"/>
  </r>
  <r>
    <d v="2025-03-24T00:00:00"/>
    <x v="1"/>
    <x v="2"/>
    <x v="12"/>
    <x v="23"/>
    <x v="15"/>
    <x v="14"/>
    <x v="4"/>
    <n v="26227880"/>
  </r>
  <r>
    <d v="2025-03-24T00:00:00"/>
    <x v="1"/>
    <x v="2"/>
    <x v="12"/>
    <x v="23"/>
    <x v="12"/>
    <x v="11"/>
    <x v="1"/>
    <n v="5786750000"/>
  </r>
  <r>
    <d v="2025-03-24T00:00:00"/>
    <x v="1"/>
    <x v="2"/>
    <x v="12"/>
    <x v="23"/>
    <x v="2"/>
    <x v="2"/>
    <x v="1"/>
    <n v="7259280000"/>
  </r>
  <r>
    <d v="2025-03-24T00:00:00"/>
    <x v="1"/>
    <x v="2"/>
    <x v="12"/>
    <x v="23"/>
    <x v="22"/>
    <x v="16"/>
    <x v="1"/>
    <n v="0"/>
  </r>
  <r>
    <d v="2025-03-24T00:00:00"/>
    <x v="1"/>
    <x v="2"/>
    <x v="12"/>
    <x v="23"/>
    <x v="1"/>
    <x v="1"/>
    <x v="1"/>
    <n v="97750000"/>
  </r>
  <r>
    <d v="2025-03-24T00:00:00"/>
    <x v="1"/>
    <x v="2"/>
    <x v="12"/>
    <x v="23"/>
    <x v="6"/>
    <x v="6"/>
    <x v="0"/>
    <n v="111000000"/>
  </r>
  <r>
    <d v="2025-03-24T00:00:00"/>
    <x v="1"/>
    <x v="2"/>
    <x v="12"/>
    <x v="23"/>
    <x v="24"/>
    <x v="18"/>
    <x v="1"/>
    <n v="0"/>
  </r>
  <r>
    <d v="2025-03-24T00:00:00"/>
    <x v="1"/>
    <x v="2"/>
    <x v="12"/>
    <x v="23"/>
    <x v="20"/>
    <x v="9"/>
    <x v="1"/>
    <n v="21400000"/>
  </r>
  <r>
    <d v="2025-03-24T00:00:00"/>
    <x v="1"/>
    <x v="2"/>
    <x v="12"/>
    <x v="23"/>
    <x v="17"/>
    <x v="9"/>
    <x v="1"/>
    <n v="0"/>
  </r>
  <r>
    <d v="2025-03-24T00:00:00"/>
    <x v="1"/>
    <x v="2"/>
    <x v="12"/>
    <x v="23"/>
    <x v="21"/>
    <x v="9"/>
    <x v="1"/>
    <n v="0"/>
  </r>
  <r>
    <d v="2025-03-24T00:00:00"/>
    <x v="1"/>
    <x v="2"/>
    <x v="12"/>
    <x v="23"/>
    <x v="23"/>
    <x v="17"/>
    <x v="4"/>
    <n v="0"/>
  </r>
  <r>
    <d v="2025-03-24T00:00:00"/>
    <x v="1"/>
    <x v="2"/>
    <x v="12"/>
    <x v="23"/>
    <x v="18"/>
    <x v="15"/>
    <x v="1"/>
    <n v="331970000"/>
  </r>
  <r>
    <d v="2025-03-24T00:00:00"/>
    <x v="1"/>
    <x v="2"/>
    <x v="12"/>
    <x v="23"/>
    <x v="3"/>
    <x v="3"/>
    <x v="1"/>
    <n v="0"/>
  </r>
  <r>
    <d v="2025-03-24T00:00:00"/>
    <x v="1"/>
    <x v="2"/>
    <x v="12"/>
    <x v="23"/>
    <x v="14"/>
    <x v="13"/>
    <x v="1"/>
    <n v="787960000"/>
  </r>
  <r>
    <d v="2025-03-24T00:00:00"/>
    <x v="1"/>
    <x v="2"/>
    <x v="12"/>
    <x v="23"/>
    <x v="19"/>
    <x v="12"/>
    <x v="4"/>
    <n v="272861990"/>
  </r>
  <r>
    <d v="2025-03-24T00:00:00"/>
    <x v="1"/>
    <x v="2"/>
    <x v="12"/>
    <x v="23"/>
    <x v="11"/>
    <x v="10"/>
    <x v="4"/>
    <n v="143645482"/>
  </r>
  <r>
    <d v="2025-03-24T00:00:00"/>
    <x v="1"/>
    <x v="2"/>
    <x v="12"/>
    <x v="23"/>
    <x v="7"/>
    <x v="7"/>
    <x v="4"/>
    <n v="257962544"/>
  </r>
  <r>
    <d v="2025-03-24T00:00:00"/>
    <x v="1"/>
    <x v="2"/>
    <x v="12"/>
    <x v="23"/>
    <x v="5"/>
    <x v="5"/>
    <x v="3"/>
    <n v="3606938719"/>
  </r>
  <r>
    <d v="2025-03-25T00:00:00"/>
    <x v="1"/>
    <x v="2"/>
    <x v="12"/>
    <x v="24"/>
    <x v="12"/>
    <x v="11"/>
    <x v="1"/>
    <n v="6110630000"/>
  </r>
  <r>
    <d v="2025-03-25T00:00:00"/>
    <x v="1"/>
    <x v="2"/>
    <x v="12"/>
    <x v="24"/>
    <x v="0"/>
    <x v="0"/>
    <x v="0"/>
    <n v="4972500000"/>
  </r>
  <r>
    <d v="2025-03-25T00:00:00"/>
    <x v="1"/>
    <x v="2"/>
    <x v="12"/>
    <x v="24"/>
    <x v="2"/>
    <x v="2"/>
    <x v="1"/>
    <n v="7149760000"/>
  </r>
  <r>
    <d v="2025-03-25T00:00:00"/>
    <x v="1"/>
    <x v="2"/>
    <x v="12"/>
    <x v="24"/>
    <x v="1"/>
    <x v="1"/>
    <x v="1"/>
    <n v="112950000"/>
  </r>
  <r>
    <d v="2025-03-25T00:00:00"/>
    <x v="1"/>
    <x v="2"/>
    <x v="12"/>
    <x v="24"/>
    <x v="24"/>
    <x v="18"/>
    <x v="1"/>
    <n v="0"/>
  </r>
  <r>
    <d v="2025-03-25T00:00:00"/>
    <x v="1"/>
    <x v="2"/>
    <x v="12"/>
    <x v="24"/>
    <x v="7"/>
    <x v="7"/>
    <x v="4"/>
    <n v="325292771"/>
  </r>
  <r>
    <d v="2025-03-25T00:00:00"/>
    <x v="1"/>
    <x v="2"/>
    <x v="12"/>
    <x v="24"/>
    <x v="22"/>
    <x v="16"/>
    <x v="1"/>
    <n v="0"/>
  </r>
  <r>
    <d v="2025-03-25T00:00:00"/>
    <x v="1"/>
    <x v="2"/>
    <x v="12"/>
    <x v="24"/>
    <x v="5"/>
    <x v="5"/>
    <x v="3"/>
    <n v="3858280100"/>
  </r>
  <r>
    <d v="2025-03-25T00:00:00"/>
    <x v="1"/>
    <x v="2"/>
    <x v="12"/>
    <x v="24"/>
    <x v="6"/>
    <x v="6"/>
    <x v="0"/>
    <n v="64000000"/>
  </r>
  <r>
    <d v="2025-03-25T00:00:00"/>
    <x v="1"/>
    <x v="2"/>
    <x v="12"/>
    <x v="24"/>
    <x v="17"/>
    <x v="9"/>
    <x v="1"/>
    <n v="0"/>
  </r>
  <r>
    <d v="2025-03-25T00:00:00"/>
    <x v="1"/>
    <x v="2"/>
    <x v="12"/>
    <x v="24"/>
    <x v="20"/>
    <x v="9"/>
    <x v="1"/>
    <n v="0"/>
  </r>
  <r>
    <d v="2025-03-25T00:00:00"/>
    <x v="1"/>
    <x v="2"/>
    <x v="12"/>
    <x v="24"/>
    <x v="21"/>
    <x v="9"/>
    <x v="1"/>
    <n v="21400000"/>
  </r>
  <r>
    <d v="2025-03-25T00:00:00"/>
    <x v="1"/>
    <x v="2"/>
    <x v="12"/>
    <x v="24"/>
    <x v="15"/>
    <x v="14"/>
    <x v="4"/>
    <n v="16837709"/>
  </r>
  <r>
    <d v="2025-03-25T00:00:00"/>
    <x v="1"/>
    <x v="2"/>
    <x v="12"/>
    <x v="24"/>
    <x v="23"/>
    <x v="17"/>
    <x v="4"/>
    <n v="0"/>
  </r>
  <r>
    <d v="2025-03-25T00:00:00"/>
    <x v="1"/>
    <x v="2"/>
    <x v="12"/>
    <x v="24"/>
    <x v="18"/>
    <x v="15"/>
    <x v="1"/>
    <n v="400680000"/>
  </r>
  <r>
    <d v="2025-03-25T00:00:00"/>
    <x v="1"/>
    <x v="2"/>
    <x v="12"/>
    <x v="24"/>
    <x v="3"/>
    <x v="3"/>
    <x v="1"/>
    <n v="0"/>
  </r>
  <r>
    <d v="2025-03-25T00:00:00"/>
    <x v="1"/>
    <x v="2"/>
    <x v="12"/>
    <x v="24"/>
    <x v="14"/>
    <x v="13"/>
    <x v="1"/>
    <n v="613520000"/>
  </r>
  <r>
    <d v="2025-03-25T00:00:00"/>
    <x v="1"/>
    <x v="2"/>
    <x v="12"/>
    <x v="24"/>
    <x v="19"/>
    <x v="12"/>
    <x v="4"/>
    <n v="326464289"/>
  </r>
  <r>
    <d v="2025-03-25T00:00:00"/>
    <x v="1"/>
    <x v="2"/>
    <x v="12"/>
    <x v="24"/>
    <x v="11"/>
    <x v="10"/>
    <x v="4"/>
    <n v="145329890"/>
  </r>
  <r>
    <d v="2025-03-26T00:00:00"/>
    <x v="1"/>
    <x v="2"/>
    <x v="12"/>
    <x v="25"/>
    <x v="18"/>
    <x v="15"/>
    <x v="1"/>
    <n v="310520000"/>
  </r>
  <r>
    <d v="2025-03-26T00:00:00"/>
    <x v="1"/>
    <x v="2"/>
    <x v="12"/>
    <x v="25"/>
    <x v="23"/>
    <x v="17"/>
    <x v="4"/>
    <n v="0"/>
  </r>
  <r>
    <d v="2025-03-26T00:00:00"/>
    <x v="1"/>
    <x v="2"/>
    <x v="12"/>
    <x v="25"/>
    <x v="3"/>
    <x v="3"/>
    <x v="1"/>
    <n v="0"/>
  </r>
  <r>
    <d v="2025-03-26T00:00:00"/>
    <x v="1"/>
    <x v="2"/>
    <x v="12"/>
    <x v="25"/>
    <x v="14"/>
    <x v="13"/>
    <x v="1"/>
    <n v="793100000"/>
  </r>
  <r>
    <d v="2025-03-26T00:00:00"/>
    <x v="1"/>
    <x v="2"/>
    <x v="12"/>
    <x v="25"/>
    <x v="19"/>
    <x v="12"/>
    <x v="4"/>
    <n v="313377663"/>
  </r>
  <r>
    <d v="2025-03-26T00:00:00"/>
    <x v="1"/>
    <x v="2"/>
    <x v="12"/>
    <x v="25"/>
    <x v="11"/>
    <x v="10"/>
    <x v="4"/>
    <n v="136939291"/>
  </r>
  <r>
    <d v="2025-03-26T00:00:00"/>
    <x v="1"/>
    <x v="2"/>
    <x v="12"/>
    <x v="25"/>
    <x v="7"/>
    <x v="7"/>
    <x v="4"/>
    <n v="323340843"/>
  </r>
  <r>
    <d v="2025-03-26T00:00:00"/>
    <x v="1"/>
    <x v="2"/>
    <x v="12"/>
    <x v="25"/>
    <x v="5"/>
    <x v="5"/>
    <x v="3"/>
    <n v="2864614502"/>
  </r>
  <r>
    <d v="2025-03-26T00:00:00"/>
    <x v="1"/>
    <x v="2"/>
    <x v="12"/>
    <x v="25"/>
    <x v="12"/>
    <x v="11"/>
    <x v="1"/>
    <n v="6624920000"/>
  </r>
  <r>
    <d v="2025-03-26T00:00:00"/>
    <x v="1"/>
    <x v="2"/>
    <x v="12"/>
    <x v="25"/>
    <x v="0"/>
    <x v="0"/>
    <x v="0"/>
    <n v="4699500000"/>
  </r>
  <r>
    <d v="2025-03-26T00:00:00"/>
    <x v="1"/>
    <x v="2"/>
    <x v="12"/>
    <x v="25"/>
    <x v="20"/>
    <x v="9"/>
    <x v="1"/>
    <n v="0"/>
  </r>
  <r>
    <d v="2025-03-26T00:00:00"/>
    <x v="1"/>
    <x v="2"/>
    <x v="12"/>
    <x v="25"/>
    <x v="17"/>
    <x v="9"/>
    <x v="1"/>
    <n v="0"/>
  </r>
  <r>
    <d v="2025-03-26T00:00:00"/>
    <x v="1"/>
    <x v="2"/>
    <x v="12"/>
    <x v="25"/>
    <x v="6"/>
    <x v="6"/>
    <x v="0"/>
    <n v="103000000"/>
  </r>
  <r>
    <d v="2025-03-26T00:00:00"/>
    <x v="1"/>
    <x v="2"/>
    <x v="12"/>
    <x v="25"/>
    <x v="21"/>
    <x v="9"/>
    <x v="1"/>
    <n v="0"/>
  </r>
  <r>
    <d v="2025-03-26T00:00:00"/>
    <x v="1"/>
    <x v="2"/>
    <x v="12"/>
    <x v="25"/>
    <x v="22"/>
    <x v="16"/>
    <x v="1"/>
    <n v="0"/>
  </r>
  <r>
    <d v="2025-03-26T00:00:00"/>
    <x v="1"/>
    <x v="2"/>
    <x v="12"/>
    <x v="25"/>
    <x v="15"/>
    <x v="14"/>
    <x v="4"/>
    <n v="12850119"/>
  </r>
  <r>
    <d v="2025-03-26T00:00:00"/>
    <x v="1"/>
    <x v="2"/>
    <x v="12"/>
    <x v="25"/>
    <x v="1"/>
    <x v="1"/>
    <x v="1"/>
    <n v="73550000"/>
  </r>
  <r>
    <d v="2025-03-26T00:00:00"/>
    <x v="1"/>
    <x v="2"/>
    <x v="12"/>
    <x v="25"/>
    <x v="2"/>
    <x v="2"/>
    <x v="1"/>
    <n v="7550560000"/>
  </r>
  <r>
    <d v="2025-03-26T00:00:00"/>
    <x v="1"/>
    <x v="2"/>
    <x v="12"/>
    <x v="25"/>
    <x v="24"/>
    <x v="18"/>
    <x v="1"/>
    <n v="6420000"/>
  </r>
  <r>
    <d v="2025-03-27T00:00:00"/>
    <x v="1"/>
    <x v="2"/>
    <x v="12"/>
    <x v="26"/>
    <x v="14"/>
    <x v="13"/>
    <x v="1"/>
    <n v="726510000"/>
  </r>
  <r>
    <d v="2025-03-27T00:00:00"/>
    <x v="1"/>
    <x v="2"/>
    <x v="12"/>
    <x v="26"/>
    <x v="5"/>
    <x v="5"/>
    <x v="3"/>
    <n v="3340077062"/>
  </r>
  <r>
    <d v="2025-03-27T00:00:00"/>
    <x v="1"/>
    <x v="2"/>
    <x v="12"/>
    <x v="26"/>
    <x v="19"/>
    <x v="12"/>
    <x v="4"/>
    <n v="309236027"/>
  </r>
  <r>
    <d v="2025-03-27T00:00:00"/>
    <x v="1"/>
    <x v="2"/>
    <x v="12"/>
    <x v="26"/>
    <x v="22"/>
    <x v="16"/>
    <x v="1"/>
    <n v="0"/>
  </r>
  <r>
    <d v="2025-03-27T00:00:00"/>
    <x v="1"/>
    <x v="2"/>
    <x v="12"/>
    <x v="26"/>
    <x v="7"/>
    <x v="7"/>
    <x v="4"/>
    <n v="286065629"/>
  </r>
  <r>
    <d v="2025-03-27T00:00:00"/>
    <x v="1"/>
    <x v="2"/>
    <x v="12"/>
    <x v="26"/>
    <x v="24"/>
    <x v="18"/>
    <x v="1"/>
    <n v="0"/>
  </r>
  <r>
    <d v="2025-03-27T00:00:00"/>
    <x v="1"/>
    <x v="2"/>
    <x v="12"/>
    <x v="26"/>
    <x v="15"/>
    <x v="14"/>
    <x v="4"/>
    <n v="11995123"/>
  </r>
  <r>
    <d v="2025-03-27T00:00:00"/>
    <x v="1"/>
    <x v="2"/>
    <x v="12"/>
    <x v="26"/>
    <x v="12"/>
    <x v="11"/>
    <x v="1"/>
    <n v="5982160000"/>
  </r>
  <r>
    <d v="2025-03-27T00:00:00"/>
    <x v="1"/>
    <x v="2"/>
    <x v="12"/>
    <x v="26"/>
    <x v="6"/>
    <x v="6"/>
    <x v="0"/>
    <n v="64000000"/>
  </r>
  <r>
    <d v="2025-03-27T00:00:00"/>
    <x v="1"/>
    <x v="2"/>
    <x v="12"/>
    <x v="26"/>
    <x v="20"/>
    <x v="9"/>
    <x v="1"/>
    <n v="0"/>
  </r>
  <r>
    <d v="2025-03-27T00:00:00"/>
    <x v="1"/>
    <x v="2"/>
    <x v="12"/>
    <x v="26"/>
    <x v="17"/>
    <x v="9"/>
    <x v="1"/>
    <n v="0"/>
  </r>
  <r>
    <d v="2025-03-27T00:00:00"/>
    <x v="1"/>
    <x v="2"/>
    <x v="12"/>
    <x v="26"/>
    <x v="21"/>
    <x v="9"/>
    <x v="1"/>
    <n v="0"/>
  </r>
  <r>
    <d v="2025-03-27T00:00:00"/>
    <x v="1"/>
    <x v="2"/>
    <x v="12"/>
    <x v="26"/>
    <x v="1"/>
    <x v="1"/>
    <x v="1"/>
    <n v="41500000"/>
  </r>
  <r>
    <d v="2025-03-27T00:00:00"/>
    <x v="1"/>
    <x v="2"/>
    <x v="12"/>
    <x v="26"/>
    <x v="23"/>
    <x v="17"/>
    <x v="4"/>
    <n v="0"/>
  </r>
  <r>
    <d v="2025-03-27T00:00:00"/>
    <x v="1"/>
    <x v="2"/>
    <x v="12"/>
    <x v="26"/>
    <x v="18"/>
    <x v="15"/>
    <x v="1"/>
    <n v="376700000"/>
  </r>
  <r>
    <d v="2025-03-27T00:00:00"/>
    <x v="1"/>
    <x v="2"/>
    <x v="12"/>
    <x v="26"/>
    <x v="3"/>
    <x v="3"/>
    <x v="1"/>
    <n v="10500000"/>
  </r>
  <r>
    <d v="2025-03-27T00:00:00"/>
    <x v="1"/>
    <x v="2"/>
    <x v="12"/>
    <x v="26"/>
    <x v="0"/>
    <x v="0"/>
    <x v="0"/>
    <n v="4474500000"/>
  </r>
  <r>
    <d v="2025-03-27T00:00:00"/>
    <x v="1"/>
    <x v="2"/>
    <x v="12"/>
    <x v="26"/>
    <x v="11"/>
    <x v="10"/>
    <x v="4"/>
    <n v="133799209"/>
  </r>
  <r>
    <d v="2025-03-27T00:00:00"/>
    <x v="1"/>
    <x v="2"/>
    <x v="12"/>
    <x v="26"/>
    <x v="2"/>
    <x v="2"/>
    <x v="1"/>
    <n v="6680440000"/>
  </r>
  <r>
    <d v="2025-03-28T00:00:00"/>
    <x v="1"/>
    <x v="2"/>
    <x v="12"/>
    <x v="27"/>
    <x v="5"/>
    <x v="5"/>
    <x v="3"/>
    <n v="3577147333"/>
  </r>
  <r>
    <d v="2025-03-28T00:00:00"/>
    <x v="1"/>
    <x v="2"/>
    <x v="12"/>
    <x v="27"/>
    <x v="12"/>
    <x v="11"/>
    <x v="1"/>
    <n v="7221390000"/>
  </r>
  <r>
    <d v="2025-03-28T00:00:00"/>
    <x v="1"/>
    <x v="2"/>
    <x v="12"/>
    <x v="27"/>
    <x v="7"/>
    <x v="7"/>
    <x v="4"/>
    <n v="321496558"/>
  </r>
  <r>
    <d v="2025-03-28T00:00:00"/>
    <x v="1"/>
    <x v="2"/>
    <x v="12"/>
    <x v="27"/>
    <x v="0"/>
    <x v="0"/>
    <x v="0"/>
    <n v="5222500000"/>
  </r>
  <r>
    <d v="2025-03-28T00:00:00"/>
    <x v="1"/>
    <x v="2"/>
    <x v="12"/>
    <x v="27"/>
    <x v="11"/>
    <x v="10"/>
    <x v="4"/>
    <n v="142691508"/>
  </r>
  <r>
    <d v="2025-03-28T00:00:00"/>
    <x v="1"/>
    <x v="2"/>
    <x v="12"/>
    <x v="27"/>
    <x v="2"/>
    <x v="2"/>
    <x v="1"/>
    <n v="7246970000"/>
  </r>
  <r>
    <d v="2025-03-28T00:00:00"/>
    <x v="1"/>
    <x v="2"/>
    <x v="12"/>
    <x v="27"/>
    <x v="15"/>
    <x v="14"/>
    <x v="4"/>
    <n v="33039214"/>
  </r>
  <r>
    <d v="2025-03-28T00:00:00"/>
    <x v="1"/>
    <x v="2"/>
    <x v="12"/>
    <x v="27"/>
    <x v="22"/>
    <x v="16"/>
    <x v="1"/>
    <n v="0"/>
  </r>
  <r>
    <d v="2025-03-28T00:00:00"/>
    <x v="1"/>
    <x v="2"/>
    <x v="12"/>
    <x v="27"/>
    <x v="24"/>
    <x v="18"/>
    <x v="1"/>
    <n v="0"/>
  </r>
  <r>
    <d v="2025-03-28T00:00:00"/>
    <x v="1"/>
    <x v="2"/>
    <x v="12"/>
    <x v="27"/>
    <x v="1"/>
    <x v="1"/>
    <x v="1"/>
    <n v="57750000"/>
  </r>
  <r>
    <d v="2025-03-28T00:00:00"/>
    <x v="1"/>
    <x v="2"/>
    <x v="12"/>
    <x v="27"/>
    <x v="6"/>
    <x v="6"/>
    <x v="0"/>
    <n v="50000000"/>
  </r>
  <r>
    <d v="2025-03-28T00:00:00"/>
    <x v="1"/>
    <x v="2"/>
    <x v="12"/>
    <x v="27"/>
    <x v="17"/>
    <x v="9"/>
    <x v="1"/>
    <n v="0"/>
  </r>
  <r>
    <d v="2025-03-28T00:00:00"/>
    <x v="1"/>
    <x v="2"/>
    <x v="12"/>
    <x v="27"/>
    <x v="20"/>
    <x v="9"/>
    <x v="1"/>
    <n v="0"/>
  </r>
  <r>
    <d v="2025-03-28T00:00:00"/>
    <x v="1"/>
    <x v="2"/>
    <x v="12"/>
    <x v="27"/>
    <x v="21"/>
    <x v="9"/>
    <x v="1"/>
    <n v="0"/>
  </r>
  <r>
    <d v="2025-03-28T00:00:00"/>
    <x v="1"/>
    <x v="2"/>
    <x v="12"/>
    <x v="27"/>
    <x v="3"/>
    <x v="3"/>
    <x v="1"/>
    <n v="0"/>
  </r>
  <r>
    <d v="2025-03-28T00:00:00"/>
    <x v="1"/>
    <x v="2"/>
    <x v="12"/>
    <x v="27"/>
    <x v="14"/>
    <x v="13"/>
    <x v="1"/>
    <n v="801030000"/>
  </r>
  <r>
    <d v="2025-03-28T00:00:00"/>
    <x v="1"/>
    <x v="2"/>
    <x v="12"/>
    <x v="27"/>
    <x v="23"/>
    <x v="17"/>
    <x v="4"/>
    <n v="0"/>
  </r>
  <r>
    <d v="2025-03-28T00:00:00"/>
    <x v="1"/>
    <x v="2"/>
    <x v="12"/>
    <x v="27"/>
    <x v="18"/>
    <x v="15"/>
    <x v="1"/>
    <n v="363010000"/>
  </r>
  <r>
    <d v="2025-03-28T00:00:00"/>
    <x v="1"/>
    <x v="2"/>
    <x v="12"/>
    <x v="27"/>
    <x v="19"/>
    <x v="12"/>
    <x v="4"/>
    <n v="360798233"/>
  </r>
  <r>
    <d v="2025-03-29T00:00:00"/>
    <x v="1"/>
    <x v="2"/>
    <x v="12"/>
    <x v="28"/>
    <x v="2"/>
    <x v="2"/>
    <x v="1"/>
    <n v="6103710000"/>
  </r>
  <r>
    <d v="2025-03-29T00:00:00"/>
    <x v="1"/>
    <x v="2"/>
    <x v="12"/>
    <x v="28"/>
    <x v="5"/>
    <x v="5"/>
    <x v="3"/>
    <n v="2973797088"/>
  </r>
  <r>
    <d v="2025-03-29T00:00:00"/>
    <x v="1"/>
    <x v="2"/>
    <x v="12"/>
    <x v="28"/>
    <x v="12"/>
    <x v="11"/>
    <x v="1"/>
    <n v="5641280000"/>
  </r>
  <r>
    <d v="2025-03-29T00:00:00"/>
    <x v="1"/>
    <x v="2"/>
    <x v="12"/>
    <x v="28"/>
    <x v="0"/>
    <x v="0"/>
    <x v="0"/>
    <n v="4422500000"/>
  </r>
  <r>
    <d v="2025-03-29T00:00:00"/>
    <x v="1"/>
    <x v="2"/>
    <x v="12"/>
    <x v="28"/>
    <x v="24"/>
    <x v="18"/>
    <x v="1"/>
    <n v="0"/>
  </r>
  <r>
    <d v="2025-03-29T00:00:00"/>
    <x v="1"/>
    <x v="2"/>
    <x v="12"/>
    <x v="28"/>
    <x v="22"/>
    <x v="16"/>
    <x v="1"/>
    <n v="0"/>
  </r>
  <r>
    <d v="2025-03-29T00:00:00"/>
    <x v="1"/>
    <x v="2"/>
    <x v="12"/>
    <x v="28"/>
    <x v="15"/>
    <x v="14"/>
    <x v="4"/>
    <n v="20734812"/>
  </r>
  <r>
    <d v="2025-03-29T00:00:00"/>
    <x v="1"/>
    <x v="2"/>
    <x v="12"/>
    <x v="28"/>
    <x v="1"/>
    <x v="1"/>
    <x v="1"/>
    <n v="30450000"/>
  </r>
  <r>
    <d v="2025-03-29T00:00:00"/>
    <x v="1"/>
    <x v="2"/>
    <x v="12"/>
    <x v="28"/>
    <x v="6"/>
    <x v="6"/>
    <x v="0"/>
    <n v="25000000"/>
  </r>
  <r>
    <d v="2025-03-29T00:00:00"/>
    <x v="1"/>
    <x v="2"/>
    <x v="12"/>
    <x v="28"/>
    <x v="20"/>
    <x v="9"/>
    <x v="1"/>
    <n v="0"/>
  </r>
  <r>
    <d v="2025-03-29T00:00:00"/>
    <x v="1"/>
    <x v="2"/>
    <x v="12"/>
    <x v="28"/>
    <x v="17"/>
    <x v="9"/>
    <x v="1"/>
    <n v="0"/>
  </r>
  <r>
    <d v="2025-03-29T00:00:00"/>
    <x v="1"/>
    <x v="2"/>
    <x v="12"/>
    <x v="28"/>
    <x v="21"/>
    <x v="9"/>
    <x v="1"/>
    <n v="0"/>
  </r>
  <r>
    <d v="2025-03-29T00:00:00"/>
    <x v="1"/>
    <x v="2"/>
    <x v="12"/>
    <x v="28"/>
    <x v="23"/>
    <x v="17"/>
    <x v="4"/>
    <n v="0"/>
  </r>
  <r>
    <d v="2025-03-29T00:00:00"/>
    <x v="1"/>
    <x v="2"/>
    <x v="12"/>
    <x v="28"/>
    <x v="18"/>
    <x v="15"/>
    <x v="1"/>
    <n v="382360000"/>
  </r>
  <r>
    <d v="2025-03-29T00:00:00"/>
    <x v="1"/>
    <x v="2"/>
    <x v="12"/>
    <x v="28"/>
    <x v="3"/>
    <x v="3"/>
    <x v="1"/>
    <n v="0"/>
  </r>
  <r>
    <d v="2025-03-29T00:00:00"/>
    <x v="1"/>
    <x v="2"/>
    <x v="12"/>
    <x v="28"/>
    <x v="14"/>
    <x v="13"/>
    <x v="1"/>
    <n v="522950000"/>
  </r>
  <r>
    <d v="2025-03-29T00:00:00"/>
    <x v="1"/>
    <x v="2"/>
    <x v="12"/>
    <x v="28"/>
    <x v="19"/>
    <x v="12"/>
    <x v="4"/>
    <n v="342721440"/>
  </r>
  <r>
    <d v="2025-03-29T00:00:00"/>
    <x v="1"/>
    <x v="2"/>
    <x v="12"/>
    <x v="28"/>
    <x v="11"/>
    <x v="10"/>
    <x v="4"/>
    <n v="135070647"/>
  </r>
  <r>
    <d v="2025-03-29T00:00:00"/>
    <x v="1"/>
    <x v="2"/>
    <x v="12"/>
    <x v="28"/>
    <x v="7"/>
    <x v="7"/>
    <x v="4"/>
    <n v="326907240"/>
  </r>
  <r>
    <d v="2025-03-30T00:00:00"/>
    <x v="1"/>
    <x v="2"/>
    <x v="12"/>
    <x v="29"/>
    <x v="24"/>
    <x v="18"/>
    <x v="1"/>
    <n v="0"/>
  </r>
  <r>
    <d v="2025-03-30T00:00:00"/>
    <x v="1"/>
    <x v="2"/>
    <x v="12"/>
    <x v="29"/>
    <x v="15"/>
    <x v="14"/>
    <x v="4"/>
    <n v="18866657"/>
  </r>
  <r>
    <d v="2025-03-30T00:00:00"/>
    <x v="1"/>
    <x v="2"/>
    <x v="12"/>
    <x v="29"/>
    <x v="1"/>
    <x v="1"/>
    <x v="1"/>
    <n v="57750000"/>
  </r>
  <r>
    <d v="2025-03-30T00:00:00"/>
    <x v="1"/>
    <x v="2"/>
    <x v="12"/>
    <x v="29"/>
    <x v="6"/>
    <x v="6"/>
    <x v="0"/>
    <n v="67000000"/>
  </r>
  <r>
    <d v="2025-03-30T00:00:00"/>
    <x v="1"/>
    <x v="2"/>
    <x v="12"/>
    <x v="29"/>
    <x v="20"/>
    <x v="9"/>
    <x v="1"/>
    <n v="0"/>
  </r>
  <r>
    <d v="2025-03-30T00:00:00"/>
    <x v="1"/>
    <x v="2"/>
    <x v="12"/>
    <x v="29"/>
    <x v="17"/>
    <x v="9"/>
    <x v="1"/>
    <n v="0"/>
  </r>
  <r>
    <d v="2025-03-30T00:00:00"/>
    <x v="1"/>
    <x v="2"/>
    <x v="12"/>
    <x v="29"/>
    <x v="21"/>
    <x v="9"/>
    <x v="1"/>
    <n v="0"/>
  </r>
  <r>
    <d v="2025-03-30T00:00:00"/>
    <x v="1"/>
    <x v="2"/>
    <x v="12"/>
    <x v="29"/>
    <x v="22"/>
    <x v="16"/>
    <x v="1"/>
    <n v="0"/>
  </r>
  <r>
    <d v="2025-03-30T00:00:00"/>
    <x v="1"/>
    <x v="2"/>
    <x v="12"/>
    <x v="29"/>
    <x v="23"/>
    <x v="17"/>
    <x v="4"/>
    <n v="0"/>
  </r>
  <r>
    <d v="2025-03-30T00:00:00"/>
    <x v="1"/>
    <x v="2"/>
    <x v="12"/>
    <x v="29"/>
    <x v="18"/>
    <x v="15"/>
    <x v="1"/>
    <n v="205990000"/>
  </r>
  <r>
    <d v="2025-03-30T00:00:00"/>
    <x v="1"/>
    <x v="2"/>
    <x v="12"/>
    <x v="29"/>
    <x v="3"/>
    <x v="3"/>
    <x v="1"/>
    <n v="22500000"/>
  </r>
  <r>
    <d v="2025-03-30T00:00:00"/>
    <x v="1"/>
    <x v="2"/>
    <x v="12"/>
    <x v="29"/>
    <x v="14"/>
    <x v="13"/>
    <x v="1"/>
    <n v="782190000"/>
  </r>
  <r>
    <d v="2025-03-30T00:00:00"/>
    <x v="1"/>
    <x v="2"/>
    <x v="12"/>
    <x v="29"/>
    <x v="19"/>
    <x v="12"/>
    <x v="4"/>
    <n v="340873907"/>
  </r>
  <r>
    <d v="2025-03-30T00:00:00"/>
    <x v="1"/>
    <x v="2"/>
    <x v="12"/>
    <x v="29"/>
    <x v="11"/>
    <x v="10"/>
    <x v="4"/>
    <n v="140440681"/>
  </r>
  <r>
    <d v="2025-03-30T00:00:00"/>
    <x v="1"/>
    <x v="2"/>
    <x v="12"/>
    <x v="29"/>
    <x v="7"/>
    <x v="7"/>
    <x v="4"/>
    <n v="321415971"/>
  </r>
  <r>
    <d v="2025-03-30T00:00:00"/>
    <x v="1"/>
    <x v="2"/>
    <x v="12"/>
    <x v="29"/>
    <x v="5"/>
    <x v="5"/>
    <x v="3"/>
    <n v="2963964895"/>
  </r>
  <r>
    <d v="2025-03-30T00:00:00"/>
    <x v="1"/>
    <x v="2"/>
    <x v="12"/>
    <x v="29"/>
    <x v="12"/>
    <x v="11"/>
    <x v="1"/>
    <n v="5338750000"/>
  </r>
  <r>
    <d v="2025-03-30T00:00:00"/>
    <x v="1"/>
    <x v="2"/>
    <x v="12"/>
    <x v="29"/>
    <x v="0"/>
    <x v="0"/>
    <x v="0"/>
    <n v="4620500000"/>
  </r>
  <r>
    <d v="2025-03-30T00:00:00"/>
    <x v="1"/>
    <x v="2"/>
    <x v="12"/>
    <x v="29"/>
    <x v="2"/>
    <x v="2"/>
    <x v="1"/>
    <n v="5831520000"/>
  </r>
  <r>
    <d v="2025-03-31T00:00:00"/>
    <x v="1"/>
    <x v="2"/>
    <x v="13"/>
    <x v="30"/>
    <x v="22"/>
    <x v="16"/>
    <x v="1"/>
    <n v="0"/>
  </r>
  <r>
    <d v="2025-03-31T00:00:00"/>
    <x v="1"/>
    <x v="2"/>
    <x v="13"/>
    <x v="30"/>
    <x v="2"/>
    <x v="2"/>
    <x v="1"/>
    <n v="7303440000"/>
  </r>
  <r>
    <d v="2025-03-31T00:00:00"/>
    <x v="1"/>
    <x v="2"/>
    <x v="13"/>
    <x v="30"/>
    <x v="24"/>
    <x v="18"/>
    <x v="1"/>
    <n v="0"/>
  </r>
  <r>
    <d v="2025-03-31T00:00:00"/>
    <x v="1"/>
    <x v="2"/>
    <x v="13"/>
    <x v="30"/>
    <x v="15"/>
    <x v="14"/>
    <x v="4"/>
    <n v="25186456"/>
  </r>
  <r>
    <d v="2025-03-31T00:00:00"/>
    <x v="1"/>
    <x v="2"/>
    <x v="13"/>
    <x v="30"/>
    <x v="1"/>
    <x v="1"/>
    <x v="1"/>
    <n v="100800000"/>
  </r>
  <r>
    <d v="2025-03-31T00:00:00"/>
    <x v="1"/>
    <x v="2"/>
    <x v="13"/>
    <x v="30"/>
    <x v="6"/>
    <x v="6"/>
    <x v="0"/>
    <n v="60000000"/>
  </r>
  <r>
    <d v="2025-03-31T00:00:00"/>
    <x v="1"/>
    <x v="2"/>
    <x v="13"/>
    <x v="30"/>
    <x v="20"/>
    <x v="9"/>
    <x v="1"/>
    <n v="0"/>
  </r>
  <r>
    <d v="2025-03-31T00:00:00"/>
    <x v="1"/>
    <x v="2"/>
    <x v="13"/>
    <x v="30"/>
    <x v="17"/>
    <x v="9"/>
    <x v="1"/>
    <n v="0"/>
  </r>
  <r>
    <d v="2025-03-31T00:00:00"/>
    <x v="1"/>
    <x v="2"/>
    <x v="13"/>
    <x v="30"/>
    <x v="21"/>
    <x v="9"/>
    <x v="1"/>
    <n v="0"/>
  </r>
  <r>
    <d v="2025-03-31T00:00:00"/>
    <x v="1"/>
    <x v="2"/>
    <x v="13"/>
    <x v="30"/>
    <x v="0"/>
    <x v="0"/>
    <x v="0"/>
    <n v="5127500000"/>
  </r>
  <r>
    <d v="2025-03-31T00:00:00"/>
    <x v="1"/>
    <x v="2"/>
    <x v="13"/>
    <x v="30"/>
    <x v="23"/>
    <x v="17"/>
    <x v="4"/>
    <n v="0"/>
  </r>
  <r>
    <d v="2025-03-31T00:00:00"/>
    <x v="1"/>
    <x v="2"/>
    <x v="13"/>
    <x v="30"/>
    <x v="18"/>
    <x v="15"/>
    <x v="1"/>
    <n v="745770000"/>
  </r>
  <r>
    <d v="2025-03-31T00:00:00"/>
    <x v="1"/>
    <x v="2"/>
    <x v="13"/>
    <x v="30"/>
    <x v="3"/>
    <x v="3"/>
    <x v="1"/>
    <n v="0"/>
  </r>
  <r>
    <d v="2025-03-31T00:00:00"/>
    <x v="1"/>
    <x v="2"/>
    <x v="13"/>
    <x v="30"/>
    <x v="14"/>
    <x v="13"/>
    <x v="1"/>
    <n v="797040000"/>
  </r>
  <r>
    <d v="2025-03-31T00:00:00"/>
    <x v="1"/>
    <x v="2"/>
    <x v="13"/>
    <x v="30"/>
    <x v="19"/>
    <x v="12"/>
    <x v="4"/>
    <n v="454649163"/>
  </r>
  <r>
    <d v="2025-03-31T00:00:00"/>
    <x v="1"/>
    <x v="2"/>
    <x v="13"/>
    <x v="30"/>
    <x v="11"/>
    <x v="10"/>
    <x v="4"/>
    <n v="150677300"/>
  </r>
  <r>
    <d v="2025-03-31T00:00:00"/>
    <x v="1"/>
    <x v="2"/>
    <x v="13"/>
    <x v="30"/>
    <x v="7"/>
    <x v="7"/>
    <x v="4"/>
    <n v="351075127"/>
  </r>
  <r>
    <d v="2025-03-31T00:00:00"/>
    <x v="1"/>
    <x v="2"/>
    <x v="13"/>
    <x v="30"/>
    <x v="5"/>
    <x v="5"/>
    <x v="3"/>
    <n v="4114283014"/>
  </r>
  <r>
    <d v="2025-03-31T00:00:00"/>
    <x v="1"/>
    <x v="2"/>
    <x v="13"/>
    <x v="30"/>
    <x v="12"/>
    <x v="11"/>
    <x v="1"/>
    <n v="6816400000"/>
  </r>
  <r>
    <d v="2025-04-01T00:00:00"/>
    <x v="1"/>
    <x v="3"/>
    <x v="13"/>
    <x v="0"/>
    <x v="20"/>
    <x v="9"/>
    <x v="1"/>
    <n v="21400000"/>
  </r>
  <r>
    <d v="2025-04-01T00:00:00"/>
    <x v="1"/>
    <x v="3"/>
    <x v="13"/>
    <x v="0"/>
    <x v="11"/>
    <x v="10"/>
    <x v="4"/>
    <n v="168725176"/>
  </r>
  <r>
    <d v="2025-04-01T00:00:00"/>
    <x v="1"/>
    <x v="3"/>
    <x v="13"/>
    <x v="0"/>
    <x v="2"/>
    <x v="2"/>
    <x v="1"/>
    <n v="8207400000"/>
  </r>
  <r>
    <d v="2025-04-01T00:00:00"/>
    <x v="1"/>
    <x v="3"/>
    <x v="13"/>
    <x v="0"/>
    <x v="17"/>
    <x v="9"/>
    <x v="1"/>
    <n v="0"/>
  </r>
  <r>
    <d v="2025-04-01T00:00:00"/>
    <x v="1"/>
    <x v="3"/>
    <x v="13"/>
    <x v="0"/>
    <x v="5"/>
    <x v="5"/>
    <x v="3"/>
    <n v="5833834417"/>
  </r>
  <r>
    <d v="2025-04-01T00:00:00"/>
    <x v="1"/>
    <x v="3"/>
    <x v="13"/>
    <x v="0"/>
    <x v="15"/>
    <x v="14"/>
    <x v="4"/>
    <n v="43970775"/>
  </r>
  <r>
    <d v="2025-04-01T00:00:00"/>
    <x v="1"/>
    <x v="3"/>
    <x v="13"/>
    <x v="0"/>
    <x v="0"/>
    <x v="0"/>
    <x v="0"/>
    <n v="5552940000"/>
  </r>
  <r>
    <d v="2025-04-01T00:00:00"/>
    <x v="1"/>
    <x v="3"/>
    <x v="13"/>
    <x v="0"/>
    <x v="12"/>
    <x v="11"/>
    <x v="1"/>
    <n v="8386720000"/>
  </r>
  <r>
    <d v="2025-04-01T00:00:00"/>
    <x v="1"/>
    <x v="3"/>
    <x v="13"/>
    <x v="0"/>
    <x v="14"/>
    <x v="13"/>
    <x v="1"/>
    <n v="924720000"/>
  </r>
  <r>
    <d v="2025-04-01T00:00:00"/>
    <x v="1"/>
    <x v="3"/>
    <x v="13"/>
    <x v="0"/>
    <x v="7"/>
    <x v="7"/>
    <x v="4"/>
    <n v="499101938"/>
  </r>
  <r>
    <d v="2025-04-01T00:00:00"/>
    <x v="1"/>
    <x v="3"/>
    <x v="13"/>
    <x v="0"/>
    <x v="21"/>
    <x v="9"/>
    <x v="1"/>
    <n v="0"/>
  </r>
  <r>
    <d v="2025-04-01T00:00:00"/>
    <x v="1"/>
    <x v="3"/>
    <x v="13"/>
    <x v="0"/>
    <x v="6"/>
    <x v="6"/>
    <x v="0"/>
    <n v="58000000"/>
  </r>
  <r>
    <d v="2025-04-01T00:00:00"/>
    <x v="1"/>
    <x v="3"/>
    <x v="13"/>
    <x v="0"/>
    <x v="1"/>
    <x v="1"/>
    <x v="1"/>
    <n v="95000000"/>
  </r>
  <r>
    <d v="2025-04-01T00:00:00"/>
    <x v="1"/>
    <x v="3"/>
    <x v="13"/>
    <x v="0"/>
    <x v="22"/>
    <x v="16"/>
    <x v="1"/>
    <n v="0"/>
  </r>
  <r>
    <d v="2025-04-01T00:00:00"/>
    <x v="1"/>
    <x v="3"/>
    <x v="13"/>
    <x v="0"/>
    <x v="24"/>
    <x v="18"/>
    <x v="1"/>
    <n v="0"/>
  </r>
  <r>
    <d v="2025-04-01T00:00:00"/>
    <x v="1"/>
    <x v="3"/>
    <x v="13"/>
    <x v="0"/>
    <x v="19"/>
    <x v="12"/>
    <x v="4"/>
    <n v="662220792"/>
  </r>
  <r>
    <d v="2025-04-01T00:00:00"/>
    <x v="1"/>
    <x v="3"/>
    <x v="13"/>
    <x v="0"/>
    <x v="23"/>
    <x v="17"/>
    <x v="4"/>
    <n v="0"/>
  </r>
  <r>
    <d v="2025-04-01T00:00:00"/>
    <x v="1"/>
    <x v="3"/>
    <x v="13"/>
    <x v="0"/>
    <x v="18"/>
    <x v="15"/>
    <x v="1"/>
    <n v="554400000"/>
  </r>
  <r>
    <d v="2025-04-01T00:00:00"/>
    <x v="1"/>
    <x v="3"/>
    <x v="13"/>
    <x v="0"/>
    <x v="3"/>
    <x v="3"/>
    <x v="1"/>
    <n v="0"/>
  </r>
  <r>
    <d v="2025-04-02T00:00:00"/>
    <x v="1"/>
    <x v="3"/>
    <x v="13"/>
    <x v="1"/>
    <x v="11"/>
    <x v="10"/>
    <x v="4"/>
    <n v="182158341"/>
  </r>
  <r>
    <d v="2025-04-02T00:00:00"/>
    <x v="1"/>
    <x v="3"/>
    <x v="13"/>
    <x v="1"/>
    <x v="20"/>
    <x v="9"/>
    <x v="1"/>
    <n v="0"/>
  </r>
  <r>
    <d v="2025-04-02T00:00:00"/>
    <x v="1"/>
    <x v="3"/>
    <x v="13"/>
    <x v="1"/>
    <x v="22"/>
    <x v="16"/>
    <x v="1"/>
    <n v="0"/>
  </r>
  <r>
    <d v="2025-04-02T00:00:00"/>
    <x v="1"/>
    <x v="3"/>
    <x v="13"/>
    <x v="1"/>
    <x v="5"/>
    <x v="5"/>
    <x v="3"/>
    <n v="5100133153"/>
  </r>
  <r>
    <d v="2025-04-02T00:00:00"/>
    <x v="1"/>
    <x v="3"/>
    <x v="13"/>
    <x v="1"/>
    <x v="0"/>
    <x v="0"/>
    <x v="0"/>
    <n v="5686420000"/>
  </r>
  <r>
    <d v="2025-04-02T00:00:00"/>
    <x v="1"/>
    <x v="3"/>
    <x v="13"/>
    <x v="1"/>
    <x v="2"/>
    <x v="2"/>
    <x v="1"/>
    <n v="7608930000"/>
  </r>
  <r>
    <d v="2025-04-02T00:00:00"/>
    <x v="1"/>
    <x v="3"/>
    <x v="13"/>
    <x v="1"/>
    <x v="15"/>
    <x v="14"/>
    <x v="4"/>
    <n v="79095014"/>
  </r>
  <r>
    <d v="2025-04-02T00:00:00"/>
    <x v="1"/>
    <x v="3"/>
    <x v="13"/>
    <x v="1"/>
    <x v="6"/>
    <x v="6"/>
    <x v="0"/>
    <n v="67000000"/>
  </r>
  <r>
    <d v="2025-04-02T00:00:00"/>
    <x v="1"/>
    <x v="3"/>
    <x v="13"/>
    <x v="1"/>
    <x v="23"/>
    <x v="17"/>
    <x v="4"/>
    <n v="0"/>
  </r>
  <r>
    <d v="2025-04-02T00:00:00"/>
    <x v="1"/>
    <x v="3"/>
    <x v="13"/>
    <x v="1"/>
    <x v="7"/>
    <x v="7"/>
    <x v="4"/>
    <n v="486292095"/>
  </r>
  <r>
    <d v="2025-04-02T00:00:00"/>
    <x v="1"/>
    <x v="3"/>
    <x v="13"/>
    <x v="1"/>
    <x v="3"/>
    <x v="3"/>
    <x v="1"/>
    <n v="0"/>
  </r>
  <r>
    <d v="2025-04-02T00:00:00"/>
    <x v="1"/>
    <x v="3"/>
    <x v="13"/>
    <x v="1"/>
    <x v="19"/>
    <x v="12"/>
    <x v="4"/>
    <n v="825383416"/>
  </r>
  <r>
    <d v="2025-04-02T00:00:00"/>
    <x v="1"/>
    <x v="3"/>
    <x v="13"/>
    <x v="1"/>
    <x v="12"/>
    <x v="11"/>
    <x v="1"/>
    <n v="7999290000"/>
  </r>
  <r>
    <d v="2025-04-02T00:00:00"/>
    <x v="1"/>
    <x v="3"/>
    <x v="13"/>
    <x v="1"/>
    <x v="24"/>
    <x v="18"/>
    <x v="1"/>
    <n v="0"/>
  </r>
  <r>
    <d v="2025-04-02T00:00:00"/>
    <x v="1"/>
    <x v="3"/>
    <x v="13"/>
    <x v="1"/>
    <x v="18"/>
    <x v="15"/>
    <x v="1"/>
    <n v="478900000"/>
  </r>
  <r>
    <d v="2025-04-02T00:00:00"/>
    <x v="1"/>
    <x v="3"/>
    <x v="13"/>
    <x v="1"/>
    <x v="14"/>
    <x v="13"/>
    <x v="1"/>
    <n v="853110000"/>
  </r>
  <r>
    <d v="2025-04-02T00:00:00"/>
    <x v="1"/>
    <x v="3"/>
    <x v="13"/>
    <x v="1"/>
    <x v="21"/>
    <x v="9"/>
    <x v="1"/>
    <n v="0"/>
  </r>
  <r>
    <d v="2025-04-02T00:00:00"/>
    <x v="1"/>
    <x v="3"/>
    <x v="13"/>
    <x v="1"/>
    <x v="1"/>
    <x v="1"/>
    <x v="1"/>
    <n v="31500000"/>
  </r>
  <r>
    <d v="2025-04-02T00:00:00"/>
    <x v="1"/>
    <x v="3"/>
    <x v="13"/>
    <x v="1"/>
    <x v="17"/>
    <x v="9"/>
    <x v="1"/>
    <n v="0"/>
  </r>
  <r>
    <d v="2025-04-03T00:00:00"/>
    <x v="1"/>
    <x v="3"/>
    <x v="13"/>
    <x v="2"/>
    <x v="19"/>
    <x v="12"/>
    <x v="4"/>
    <n v="1072698157"/>
  </r>
  <r>
    <d v="2025-04-03T00:00:00"/>
    <x v="1"/>
    <x v="3"/>
    <x v="13"/>
    <x v="2"/>
    <x v="7"/>
    <x v="7"/>
    <x v="4"/>
    <n v="547508578"/>
  </r>
  <r>
    <d v="2025-04-03T00:00:00"/>
    <x v="1"/>
    <x v="3"/>
    <x v="13"/>
    <x v="2"/>
    <x v="2"/>
    <x v="2"/>
    <x v="1"/>
    <n v="7851360000"/>
  </r>
  <r>
    <d v="2025-04-03T00:00:00"/>
    <x v="1"/>
    <x v="3"/>
    <x v="13"/>
    <x v="2"/>
    <x v="0"/>
    <x v="0"/>
    <x v="0"/>
    <n v="5401652000"/>
  </r>
  <r>
    <d v="2025-04-03T00:00:00"/>
    <x v="1"/>
    <x v="3"/>
    <x v="13"/>
    <x v="2"/>
    <x v="12"/>
    <x v="11"/>
    <x v="1"/>
    <n v="8070530000"/>
  </r>
  <r>
    <d v="2025-04-03T00:00:00"/>
    <x v="1"/>
    <x v="3"/>
    <x v="13"/>
    <x v="2"/>
    <x v="3"/>
    <x v="3"/>
    <x v="1"/>
    <n v="0"/>
  </r>
  <r>
    <d v="2025-04-03T00:00:00"/>
    <x v="1"/>
    <x v="3"/>
    <x v="13"/>
    <x v="2"/>
    <x v="6"/>
    <x v="6"/>
    <x v="0"/>
    <n v="61000000"/>
  </r>
  <r>
    <d v="2025-04-03T00:00:00"/>
    <x v="1"/>
    <x v="3"/>
    <x v="13"/>
    <x v="2"/>
    <x v="11"/>
    <x v="10"/>
    <x v="4"/>
    <n v="235975384"/>
  </r>
  <r>
    <d v="2025-04-03T00:00:00"/>
    <x v="1"/>
    <x v="3"/>
    <x v="13"/>
    <x v="2"/>
    <x v="14"/>
    <x v="13"/>
    <x v="1"/>
    <n v="835600000"/>
  </r>
  <r>
    <d v="2025-04-03T00:00:00"/>
    <x v="1"/>
    <x v="3"/>
    <x v="13"/>
    <x v="2"/>
    <x v="20"/>
    <x v="9"/>
    <x v="1"/>
    <n v="0"/>
  </r>
  <r>
    <d v="2025-04-03T00:00:00"/>
    <x v="1"/>
    <x v="3"/>
    <x v="13"/>
    <x v="2"/>
    <x v="18"/>
    <x v="15"/>
    <x v="1"/>
    <n v="367510000"/>
  </r>
  <r>
    <d v="2025-04-03T00:00:00"/>
    <x v="1"/>
    <x v="3"/>
    <x v="13"/>
    <x v="2"/>
    <x v="23"/>
    <x v="17"/>
    <x v="4"/>
    <n v="0"/>
  </r>
  <r>
    <d v="2025-04-03T00:00:00"/>
    <x v="1"/>
    <x v="3"/>
    <x v="13"/>
    <x v="2"/>
    <x v="21"/>
    <x v="9"/>
    <x v="1"/>
    <n v="0"/>
  </r>
  <r>
    <d v="2025-04-03T00:00:00"/>
    <x v="1"/>
    <x v="3"/>
    <x v="13"/>
    <x v="2"/>
    <x v="5"/>
    <x v="5"/>
    <x v="3"/>
    <n v="4575280742"/>
  </r>
  <r>
    <d v="2025-04-03T00:00:00"/>
    <x v="1"/>
    <x v="3"/>
    <x v="13"/>
    <x v="2"/>
    <x v="24"/>
    <x v="18"/>
    <x v="1"/>
    <n v="0"/>
  </r>
  <r>
    <d v="2025-04-03T00:00:00"/>
    <x v="1"/>
    <x v="3"/>
    <x v="13"/>
    <x v="2"/>
    <x v="22"/>
    <x v="16"/>
    <x v="1"/>
    <n v="0"/>
  </r>
  <r>
    <d v="2025-04-03T00:00:00"/>
    <x v="1"/>
    <x v="3"/>
    <x v="13"/>
    <x v="2"/>
    <x v="1"/>
    <x v="1"/>
    <x v="1"/>
    <n v="51000000"/>
  </r>
  <r>
    <d v="2025-04-03T00:00:00"/>
    <x v="1"/>
    <x v="3"/>
    <x v="13"/>
    <x v="2"/>
    <x v="15"/>
    <x v="14"/>
    <x v="4"/>
    <n v="53431784"/>
  </r>
  <r>
    <d v="2025-04-03T00:00:00"/>
    <x v="1"/>
    <x v="3"/>
    <x v="13"/>
    <x v="2"/>
    <x v="17"/>
    <x v="9"/>
    <x v="1"/>
    <n v="0"/>
  </r>
  <r>
    <d v="2025-04-04T00:00:00"/>
    <x v="1"/>
    <x v="3"/>
    <x v="13"/>
    <x v="3"/>
    <x v="0"/>
    <x v="0"/>
    <x v="0"/>
    <n v="6004360000"/>
  </r>
  <r>
    <d v="2025-04-04T00:00:00"/>
    <x v="1"/>
    <x v="3"/>
    <x v="13"/>
    <x v="3"/>
    <x v="2"/>
    <x v="2"/>
    <x v="1"/>
    <n v="8047470000"/>
  </r>
  <r>
    <d v="2025-04-04T00:00:00"/>
    <x v="1"/>
    <x v="3"/>
    <x v="13"/>
    <x v="3"/>
    <x v="12"/>
    <x v="11"/>
    <x v="1"/>
    <n v="8259360000"/>
  </r>
  <r>
    <d v="2025-04-04T00:00:00"/>
    <x v="1"/>
    <x v="3"/>
    <x v="13"/>
    <x v="3"/>
    <x v="7"/>
    <x v="7"/>
    <x v="4"/>
    <n v="820352462"/>
  </r>
  <r>
    <d v="2025-04-04T00:00:00"/>
    <x v="1"/>
    <x v="3"/>
    <x v="13"/>
    <x v="3"/>
    <x v="17"/>
    <x v="9"/>
    <x v="1"/>
    <n v="0"/>
  </r>
  <r>
    <d v="2025-04-04T00:00:00"/>
    <x v="1"/>
    <x v="3"/>
    <x v="13"/>
    <x v="3"/>
    <x v="21"/>
    <x v="9"/>
    <x v="1"/>
    <n v="0"/>
  </r>
  <r>
    <d v="2025-04-04T00:00:00"/>
    <x v="1"/>
    <x v="3"/>
    <x v="13"/>
    <x v="3"/>
    <x v="24"/>
    <x v="18"/>
    <x v="1"/>
    <n v="0"/>
  </r>
  <r>
    <d v="2025-04-04T00:00:00"/>
    <x v="1"/>
    <x v="3"/>
    <x v="13"/>
    <x v="3"/>
    <x v="15"/>
    <x v="14"/>
    <x v="4"/>
    <n v="90721680"/>
  </r>
  <r>
    <d v="2025-04-04T00:00:00"/>
    <x v="1"/>
    <x v="3"/>
    <x v="13"/>
    <x v="3"/>
    <x v="1"/>
    <x v="1"/>
    <x v="1"/>
    <n v="130350000"/>
  </r>
  <r>
    <d v="2025-04-04T00:00:00"/>
    <x v="1"/>
    <x v="3"/>
    <x v="13"/>
    <x v="3"/>
    <x v="6"/>
    <x v="6"/>
    <x v="0"/>
    <n v="59000000"/>
  </r>
  <r>
    <d v="2025-04-04T00:00:00"/>
    <x v="1"/>
    <x v="3"/>
    <x v="13"/>
    <x v="3"/>
    <x v="20"/>
    <x v="9"/>
    <x v="1"/>
    <n v="0"/>
  </r>
  <r>
    <d v="2025-04-04T00:00:00"/>
    <x v="1"/>
    <x v="3"/>
    <x v="13"/>
    <x v="3"/>
    <x v="22"/>
    <x v="16"/>
    <x v="1"/>
    <n v="0"/>
  </r>
  <r>
    <d v="2025-04-04T00:00:00"/>
    <x v="1"/>
    <x v="3"/>
    <x v="13"/>
    <x v="3"/>
    <x v="23"/>
    <x v="17"/>
    <x v="4"/>
    <n v="0"/>
  </r>
  <r>
    <d v="2025-04-04T00:00:00"/>
    <x v="1"/>
    <x v="3"/>
    <x v="13"/>
    <x v="3"/>
    <x v="3"/>
    <x v="3"/>
    <x v="1"/>
    <n v="10000000"/>
  </r>
  <r>
    <d v="2025-04-04T00:00:00"/>
    <x v="1"/>
    <x v="3"/>
    <x v="13"/>
    <x v="3"/>
    <x v="18"/>
    <x v="15"/>
    <x v="1"/>
    <n v="584620000"/>
  </r>
  <r>
    <d v="2025-04-04T00:00:00"/>
    <x v="1"/>
    <x v="3"/>
    <x v="13"/>
    <x v="3"/>
    <x v="14"/>
    <x v="13"/>
    <x v="1"/>
    <n v="899360000"/>
  </r>
  <r>
    <d v="2025-04-04T00:00:00"/>
    <x v="1"/>
    <x v="3"/>
    <x v="13"/>
    <x v="3"/>
    <x v="19"/>
    <x v="12"/>
    <x v="4"/>
    <n v="1421769963"/>
  </r>
  <r>
    <d v="2025-04-04T00:00:00"/>
    <x v="1"/>
    <x v="3"/>
    <x v="13"/>
    <x v="3"/>
    <x v="11"/>
    <x v="10"/>
    <x v="4"/>
    <n v="293686225"/>
  </r>
  <r>
    <d v="2025-04-04T00:00:00"/>
    <x v="1"/>
    <x v="3"/>
    <x v="13"/>
    <x v="3"/>
    <x v="5"/>
    <x v="5"/>
    <x v="3"/>
    <n v="4670839718"/>
  </r>
  <r>
    <d v="2025-04-05T00:00:00"/>
    <x v="1"/>
    <x v="3"/>
    <x v="13"/>
    <x v="4"/>
    <x v="14"/>
    <x v="13"/>
    <x v="1"/>
    <n v="776920000"/>
  </r>
  <r>
    <d v="2025-04-05T00:00:00"/>
    <x v="1"/>
    <x v="3"/>
    <x v="13"/>
    <x v="4"/>
    <x v="7"/>
    <x v="7"/>
    <x v="4"/>
    <n v="703720661"/>
  </r>
  <r>
    <d v="2025-04-05T00:00:00"/>
    <x v="1"/>
    <x v="3"/>
    <x v="13"/>
    <x v="4"/>
    <x v="24"/>
    <x v="18"/>
    <x v="1"/>
    <n v="0"/>
  </r>
  <r>
    <d v="2025-04-05T00:00:00"/>
    <x v="1"/>
    <x v="3"/>
    <x v="13"/>
    <x v="4"/>
    <x v="15"/>
    <x v="14"/>
    <x v="4"/>
    <n v="68584444"/>
  </r>
  <r>
    <d v="2025-04-05T00:00:00"/>
    <x v="1"/>
    <x v="3"/>
    <x v="13"/>
    <x v="4"/>
    <x v="5"/>
    <x v="5"/>
    <x v="3"/>
    <n v="3406810291"/>
  </r>
  <r>
    <d v="2025-04-05T00:00:00"/>
    <x v="1"/>
    <x v="3"/>
    <x v="13"/>
    <x v="4"/>
    <x v="6"/>
    <x v="6"/>
    <x v="0"/>
    <n v="82000000"/>
  </r>
  <r>
    <d v="2025-04-05T00:00:00"/>
    <x v="1"/>
    <x v="3"/>
    <x v="13"/>
    <x v="4"/>
    <x v="20"/>
    <x v="9"/>
    <x v="1"/>
    <n v="0"/>
  </r>
  <r>
    <d v="2025-04-05T00:00:00"/>
    <x v="1"/>
    <x v="3"/>
    <x v="13"/>
    <x v="4"/>
    <x v="17"/>
    <x v="9"/>
    <x v="1"/>
    <n v="0"/>
  </r>
  <r>
    <d v="2025-04-05T00:00:00"/>
    <x v="1"/>
    <x v="3"/>
    <x v="13"/>
    <x v="4"/>
    <x v="21"/>
    <x v="9"/>
    <x v="1"/>
    <n v="0"/>
  </r>
  <r>
    <d v="2025-04-05T00:00:00"/>
    <x v="1"/>
    <x v="3"/>
    <x v="13"/>
    <x v="4"/>
    <x v="22"/>
    <x v="16"/>
    <x v="1"/>
    <n v="0"/>
  </r>
  <r>
    <d v="2025-04-05T00:00:00"/>
    <x v="1"/>
    <x v="3"/>
    <x v="13"/>
    <x v="4"/>
    <x v="23"/>
    <x v="17"/>
    <x v="4"/>
    <n v="0"/>
  </r>
  <r>
    <d v="2025-04-05T00:00:00"/>
    <x v="1"/>
    <x v="3"/>
    <x v="13"/>
    <x v="4"/>
    <x v="18"/>
    <x v="15"/>
    <x v="1"/>
    <n v="326780000"/>
  </r>
  <r>
    <d v="2025-04-05T00:00:00"/>
    <x v="1"/>
    <x v="3"/>
    <x v="13"/>
    <x v="4"/>
    <x v="3"/>
    <x v="3"/>
    <x v="1"/>
    <n v="0"/>
  </r>
  <r>
    <d v="2025-04-05T00:00:00"/>
    <x v="1"/>
    <x v="3"/>
    <x v="13"/>
    <x v="4"/>
    <x v="12"/>
    <x v="11"/>
    <x v="1"/>
    <n v="6786650000"/>
  </r>
  <r>
    <d v="2025-04-05T00:00:00"/>
    <x v="1"/>
    <x v="3"/>
    <x v="13"/>
    <x v="4"/>
    <x v="1"/>
    <x v="1"/>
    <x v="1"/>
    <n v="21000000"/>
  </r>
  <r>
    <d v="2025-04-05T00:00:00"/>
    <x v="1"/>
    <x v="3"/>
    <x v="13"/>
    <x v="4"/>
    <x v="19"/>
    <x v="12"/>
    <x v="4"/>
    <n v="890259198"/>
  </r>
  <r>
    <d v="2025-04-05T00:00:00"/>
    <x v="1"/>
    <x v="3"/>
    <x v="13"/>
    <x v="4"/>
    <x v="11"/>
    <x v="10"/>
    <x v="4"/>
    <n v="280460172"/>
  </r>
  <r>
    <d v="2025-04-05T00:00:00"/>
    <x v="1"/>
    <x v="3"/>
    <x v="13"/>
    <x v="4"/>
    <x v="0"/>
    <x v="0"/>
    <x v="0"/>
    <n v="5897304000"/>
  </r>
  <r>
    <d v="2025-04-05T00:00:00"/>
    <x v="1"/>
    <x v="3"/>
    <x v="13"/>
    <x v="4"/>
    <x v="2"/>
    <x v="2"/>
    <x v="1"/>
    <n v="7221630000"/>
  </r>
  <r>
    <d v="2025-04-06T00:00:00"/>
    <x v="1"/>
    <x v="3"/>
    <x v="13"/>
    <x v="5"/>
    <x v="19"/>
    <x v="12"/>
    <x v="4"/>
    <n v="519558184"/>
  </r>
  <r>
    <d v="2025-04-06T00:00:00"/>
    <x v="1"/>
    <x v="3"/>
    <x v="13"/>
    <x v="5"/>
    <x v="0"/>
    <x v="0"/>
    <x v="0"/>
    <n v="4890440000"/>
  </r>
  <r>
    <d v="2025-04-06T00:00:00"/>
    <x v="1"/>
    <x v="3"/>
    <x v="13"/>
    <x v="5"/>
    <x v="7"/>
    <x v="7"/>
    <x v="4"/>
    <n v="493176146"/>
  </r>
  <r>
    <d v="2025-04-06T00:00:00"/>
    <x v="1"/>
    <x v="3"/>
    <x v="13"/>
    <x v="5"/>
    <x v="12"/>
    <x v="11"/>
    <x v="1"/>
    <n v="5422830000"/>
  </r>
  <r>
    <d v="2025-04-06T00:00:00"/>
    <x v="1"/>
    <x v="3"/>
    <x v="13"/>
    <x v="5"/>
    <x v="2"/>
    <x v="2"/>
    <x v="1"/>
    <n v="6782130000"/>
  </r>
  <r>
    <d v="2025-04-06T00:00:00"/>
    <x v="1"/>
    <x v="3"/>
    <x v="13"/>
    <x v="5"/>
    <x v="11"/>
    <x v="10"/>
    <x v="4"/>
    <n v="234308969"/>
  </r>
  <r>
    <d v="2025-04-06T00:00:00"/>
    <x v="1"/>
    <x v="3"/>
    <x v="13"/>
    <x v="5"/>
    <x v="5"/>
    <x v="5"/>
    <x v="3"/>
    <n v="2859338032"/>
  </r>
  <r>
    <d v="2025-04-06T00:00:00"/>
    <x v="1"/>
    <x v="3"/>
    <x v="13"/>
    <x v="5"/>
    <x v="22"/>
    <x v="16"/>
    <x v="1"/>
    <n v="0"/>
  </r>
  <r>
    <d v="2025-04-06T00:00:00"/>
    <x v="1"/>
    <x v="3"/>
    <x v="13"/>
    <x v="5"/>
    <x v="14"/>
    <x v="13"/>
    <x v="1"/>
    <n v="752910000"/>
  </r>
  <r>
    <d v="2025-04-06T00:00:00"/>
    <x v="1"/>
    <x v="3"/>
    <x v="13"/>
    <x v="5"/>
    <x v="24"/>
    <x v="18"/>
    <x v="1"/>
    <n v="0"/>
  </r>
  <r>
    <d v="2025-04-06T00:00:00"/>
    <x v="1"/>
    <x v="3"/>
    <x v="13"/>
    <x v="5"/>
    <x v="15"/>
    <x v="14"/>
    <x v="4"/>
    <n v="54575128"/>
  </r>
  <r>
    <d v="2025-04-06T00:00:00"/>
    <x v="1"/>
    <x v="3"/>
    <x v="13"/>
    <x v="5"/>
    <x v="1"/>
    <x v="1"/>
    <x v="1"/>
    <n v="21000000"/>
  </r>
  <r>
    <d v="2025-04-06T00:00:00"/>
    <x v="1"/>
    <x v="3"/>
    <x v="13"/>
    <x v="5"/>
    <x v="17"/>
    <x v="9"/>
    <x v="1"/>
    <n v="0"/>
  </r>
  <r>
    <d v="2025-04-06T00:00:00"/>
    <x v="1"/>
    <x v="3"/>
    <x v="13"/>
    <x v="5"/>
    <x v="21"/>
    <x v="9"/>
    <x v="1"/>
    <n v="0"/>
  </r>
  <r>
    <d v="2025-04-06T00:00:00"/>
    <x v="1"/>
    <x v="3"/>
    <x v="13"/>
    <x v="5"/>
    <x v="6"/>
    <x v="6"/>
    <x v="0"/>
    <n v="68000000"/>
  </r>
  <r>
    <d v="2025-04-06T00:00:00"/>
    <x v="1"/>
    <x v="3"/>
    <x v="13"/>
    <x v="5"/>
    <x v="23"/>
    <x v="17"/>
    <x v="4"/>
    <n v="0"/>
  </r>
  <r>
    <d v="2025-04-06T00:00:00"/>
    <x v="1"/>
    <x v="3"/>
    <x v="13"/>
    <x v="5"/>
    <x v="18"/>
    <x v="15"/>
    <x v="1"/>
    <n v="382110000"/>
  </r>
  <r>
    <d v="2025-04-06T00:00:00"/>
    <x v="1"/>
    <x v="3"/>
    <x v="13"/>
    <x v="5"/>
    <x v="3"/>
    <x v="3"/>
    <x v="1"/>
    <n v="0"/>
  </r>
  <r>
    <d v="2025-04-06T00:00:00"/>
    <x v="1"/>
    <x v="3"/>
    <x v="13"/>
    <x v="5"/>
    <x v="20"/>
    <x v="9"/>
    <x v="1"/>
    <n v="0"/>
  </r>
  <r>
    <d v="2025-04-07T00:00:00"/>
    <x v="1"/>
    <x v="3"/>
    <x v="14"/>
    <x v="6"/>
    <x v="12"/>
    <x v="11"/>
    <x v="1"/>
    <n v="5951680000"/>
  </r>
  <r>
    <d v="2025-04-07T00:00:00"/>
    <x v="1"/>
    <x v="3"/>
    <x v="14"/>
    <x v="6"/>
    <x v="0"/>
    <x v="0"/>
    <x v="0"/>
    <n v="4718520000"/>
  </r>
  <r>
    <d v="2025-04-07T00:00:00"/>
    <x v="1"/>
    <x v="3"/>
    <x v="14"/>
    <x v="6"/>
    <x v="2"/>
    <x v="2"/>
    <x v="1"/>
    <n v="7142670000"/>
  </r>
  <r>
    <d v="2025-04-07T00:00:00"/>
    <x v="1"/>
    <x v="3"/>
    <x v="14"/>
    <x v="6"/>
    <x v="15"/>
    <x v="14"/>
    <x v="4"/>
    <n v="28472671"/>
  </r>
  <r>
    <d v="2025-04-07T00:00:00"/>
    <x v="1"/>
    <x v="3"/>
    <x v="14"/>
    <x v="6"/>
    <x v="22"/>
    <x v="16"/>
    <x v="1"/>
    <n v="0"/>
  </r>
  <r>
    <d v="2025-04-07T00:00:00"/>
    <x v="1"/>
    <x v="3"/>
    <x v="14"/>
    <x v="6"/>
    <x v="1"/>
    <x v="1"/>
    <x v="1"/>
    <n v="35750000"/>
  </r>
  <r>
    <d v="2025-04-07T00:00:00"/>
    <x v="1"/>
    <x v="3"/>
    <x v="14"/>
    <x v="6"/>
    <x v="5"/>
    <x v="5"/>
    <x v="3"/>
    <n v="3607444343"/>
  </r>
  <r>
    <d v="2025-04-07T00:00:00"/>
    <x v="1"/>
    <x v="3"/>
    <x v="14"/>
    <x v="6"/>
    <x v="20"/>
    <x v="9"/>
    <x v="1"/>
    <n v="0"/>
  </r>
  <r>
    <d v="2025-04-07T00:00:00"/>
    <x v="1"/>
    <x v="3"/>
    <x v="14"/>
    <x v="6"/>
    <x v="17"/>
    <x v="9"/>
    <x v="1"/>
    <n v="21400000"/>
  </r>
  <r>
    <d v="2025-04-07T00:00:00"/>
    <x v="1"/>
    <x v="3"/>
    <x v="14"/>
    <x v="6"/>
    <x v="21"/>
    <x v="9"/>
    <x v="1"/>
    <n v="0"/>
  </r>
  <r>
    <d v="2025-04-07T00:00:00"/>
    <x v="1"/>
    <x v="3"/>
    <x v="14"/>
    <x v="6"/>
    <x v="6"/>
    <x v="6"/>
    <x v="0"/>
    <n v="30000000"/>
  </r>
  <r>
    <d v="2025-04-07T00:00:00"/>
    <x v="1"/>
    <x v="3"/>
    <x v="14"/>
    <x v="6"/>
    <x v="24"/>
    <x v="18"/>
    <x v="1"/>
    <n v="0"/>
  </r>
  <r>
    <d v="2025-04-07T00:00:00"/>
    <x v="1"/>
    <x v="3"/>
    <x v="14"/>
    <x v="6"/>
    <x v="23"/>
    <x v="17"/>
    <x v="4"/>
    <n v="0"/>
  </r>
  <r>
    <d v="2025-04-07T00:00:00"/>
    <x v="1"/>
    <x v="3"/>
    <x v="14"/>
    <x v="6"/>
    <x v="18"/>
    <x v="15"/>
    <x v="1"/>
    <n v="309520000"/>
  </r>
  <r>
    <d v="2025-04-07T00:00:00"/>
    <x v="1"/>
    <x v="3"/>
    <x v="14"/>
    <x v="6"/>
    <x v="3"/>
    <x v="3"/>
    <x v="1"/>
    <n v="0"/>
  </r>
  <r>
    <d v="2025-04-07T00:00:00"/>
    <x v="1"/>
    <x v="3"/>
    <x v="14"/>
    <x v="6"/>
    <x v="14"/>
    <x v="13"/>
    <x v="1"/>
    <n v="571640000"/>
  </r>
  <r>
    <d v="2025-04-07T00:00:00"/>
    <x v="1"/>
    <x v="3"/>
    <x v="14"/>
    <x v="6"/>
    <x v="19"/>
    <x v="12"/>
    <x v="4"/>
    <n v="504235757"/>
  </r>
  <r>
    <d v="2025-04-07T00:00:00"/>
    <x v="1"/>
    <x v="3"/>
    <x v="14"/>
    <x v="6"/>
    <x v="11"/>
    <x v="10"/>
    <x v="4"/>
    <n v="209788589"/>
  </r>
  <r>
    <d v="2025-04-07T00:00:00"/>
    <x v="1"/>
    <x v="3"/>
    <x v="14"/>
    <x v="6"/>
    <x v="7"/>
    <x v="7"/>
    <x v="4"/>
    <n v="458767034"/>
  </r>
  <r>
    <d v="2025-04-08T00:00:00"/>
    <x v="1"/>
    <x v="3"/>
    <x v="14"/>
    <x v="7"/>
    <x v="12"/>
    <x v="11"/>
    <x v="1"/>
    <n v="7892810000"/>
  </r>
  <r>
    <d v="2025-04-08T00:00:00"/>
    <x v="1"/>
    <x v="3"/>
    <x v="14"/>
    <x v="7"/>
    <x v="0"/>
    <x v="0"/>
    <x v="0"/>
    <n v="5312388000"/>
  </r>
  <r>
    <d v="2025-04-08T00:00:00"/>
    <x v="1"/>
    <x v="3"/>
    <x v="14"/>
    <x v="7"/>
    <x v="5"/>
    <x v="5"/>
    <x v="3"/>
    <n v="4125520998"/>
  </r>
  <r>
    <d v="2025-04-08T00:00:00"/>
    <x v="1"/>
    <x v="3"/>
    <x v="14"/>
    <x v="7"/>
    <x v="2"/>
    <x v="2"/>
    <x v="1"/>
    <n v="8689610000"/>
  </r>
  <r>
    <d v="2025-04-08T00:00:00"/>
    <x v="1"/>
    <x v="3"/>
    <x v="14"/>
    <x v="7"/>
    <x v="22"/>
    <x v="16"/>
    <x v="1"/>
    <n v="0"/>
  </r>
  <r>
    <d v="2025-04-08T00:00:00"/>
    <x v="1"/>
    <x v="3"/>
    <x v="14"/>
    <x v="7"/>
    <x v="6"/>
    <x v="6"/>
    <x v="0"/>
    <n v="84000000"/>
  </r>
  <r>
    <d v="2025-04-08T00:00:00"/>
    <x v="1"/>
    <x v="3"/>
    <x v="14"/>
    <x v="7"/>
    <x v="7"/>
    <x v="7"/>
    <x v="4"/>
    <n v="456387725"/>
  </r>
  <r>
    <d v="2025-04-08T00:00:00"/>
    <x v="1"/>
    <x v="3"/>
    <x v="14"/>
    <x v="7"/>
    <x v="24"/>
    <x v="18"/>
    <x v="1"/>
    <n v="0"/>
  </r>
  <r>
    <d v="2025-04-08T00:00:00"/>
    <x v="1"/>
    <x v="3"/>
    <x v="14"/>
    <x v="7"/>
    <x v="15"/>
    <x v="14"/>
    <x v="4"/>
    <n v="20859041"/>
  </r>
  <r>
    <d v="2025-04-08T00:00:00"/>
    <x v="1"/>
    <x v="3"/>
    <x v="14"/>
    <x v="7"/>
    <x v="1"/>
    <x v="1"/>
    <x v="1"/>
    <n v="21000000"/>
  </r>
  <r>
    <d v="2025-04-08T00:00:00"/>
    <x v="1"/>
    <x v="3"/>
    <x v="14"/>
    <x v="7"/>
    <x v="20"/>
    <x v="9"/>
    <x v="1"/>
    <n v="0"/>
  </r>
  <r>
    <d v="2025-04-08T00:00:00"/>
    <x v="1"/>
    <x v="3"/>
    <x v="14"/>
    <x v="7"/>
    <x v="17"/>
    <x v="9"/>
    <x v="1"/>
    <n v="0"/>
  </r>
  <r>
    <d v="2025-04-08T00:00:00"/>
    <x v="1"/>
    <x v="3"/>
    <x v="14"/>
    <x v="7"/>
    <x v="21"/>
    <x v="9"/>
    <x v="1"/>
    <n v="0"/>
  </r>
  <r>
    <d v="2025-04-08T00:00:00"/>
    <x v="1"/>
    <x v="3"/>
    <x v="14"/>
    <x v="7"/>
    <x v="23"/>
    <x v="17"/>
    <x v="4"/>
    <n v="0"/>
  </r>
  <r>
    <d v="2025-04-08T00:00:00"/>
    <x v="1"/>
    <x v="3"/>
    <x v="14"/>
    <x v="7"/>
    <x v="18"/>
    <x v="15"/>
    <x v="1"/>
    <n v="579060000"/>
  </r>
  <r>
    <d v="2025-04-08T00:00:00"/>
    <x v="1"/>
    <x v="3"/>
    <x v="14"/>
    <x v="7"/>
    <x v="3"/>
    <x v="3"/>
    <x v="1"/>
    <n v="0"/>
  </r>
  <r>
    <d v="2025-04-08T00:00:00"/>
    <x v="1"/>
    <x v="3"/>
    <x v="14"/>
    <x v="7"/>
    <x v="14"/>
    <x v="13"/>
    <x v="1"/>
    <n v="1188030000"/>
  </r>
  <r>
    <d v="2025-04-08T00:00:00"/>
    <x v="1"/>
    <x v="3"/>
    <x v="14"/>
    <x v="7"/>
    <x v="19"/>
    <x v="12"/>
    <x v="4"/>
    <n v="523442719"/>
  </r>
  <r>
    <d v="2025-04-08T00:00:00"/>
    <x v="1"/>
    <x v="3"/>
    <x v="14"/>
    <x v="7"/>
    <x v="11"/>
    <x v="10"/>
    <x v="4"/>
    <n v="170361828"/>
  </r>
  <r>
    <d v="2025-04-09T00:00:00"/>
    <x v="1"/>
    <x v="3"/>
    <x v="14"/>
    <x v="8"/>
    <x v="14"/>
    <x v="13"/>
    <x v="1"/>
    <n v="883450000"/>
  </r>
  <r>
    <d v="2025-04-09T00:00:00"/>
    <x v="1"/>
    <x v="3"/>
    <x v="14"/>
    <x v="8"/>
    <x v="2"/>
    <x v="2"/>
    <x v="1"/>
    <n v="8697580000"/>
  </r>
  <r>
    <d v="2025-04-09T00:00:00"/>
    <x v="1"/>
    <x v="3"/>
    <x v="14"/>
    <x v="8"/>
    <x v="6"/>
    <x v="6"/>
    <x v="0"/>
    <n v="28000000"/>
  </r>
  <r>
    <d v="2025-04-09T00:00:00"/>
    <x v="1"/>
    <x v="3"/>
    <x v="14"/>
    <x v="8"/>
    <x v="22"/>
    <x v="16"/>
    <x v="1"/>
    <n v="0"/>
  </r>
  <r>
    <d v="2025-04-09T00:00:00"/>
    <x v="1"/>
    <x v="3"/>
    <x v="14"/>
    <x v="8"/>
    <x v="23"/>
    <x v="17"/>
    <x v="4"/>
    <n v="0"/>
  </r>
  <r>
    <d v="2025-04-09T00:00:00"/>
    <x v="1"/>
    <x v="3"/>
    <x v="14"/>
    <x v="8"/>
    <x v="24"/>
    <x v="18"/>
    <x v="1"/>
    <n v="0"/>
  </r>
  <r>
    <d v="2025-04-09T00:00:00"/>
    <x v="1"/>
    <x v="3"/>
    <x v="14"/>
    <x v="8"/>
    <x v="15"/>
    <x v="14"/>
    <x v="4"/>
    <n v="16325153"/>
  </r>
  <r>
    <d v="2025-04-09T00:00:00"/>
    <x v="1"/>
    <x v="3"/>
    <x v="14"/>
    <x v="8"/>
    <x v="3"/>
    <x v="3"/>
    <x v="1"/>
    <n v="0"/>
  </r>
  <r>
    <d v="2025-04-09T00:00:00"/>
    <x v="1"/>
    <x v="3"/>
    <x v="14"/>
    <x v="8"/>
    <x v="1"/>
    <x v="1"/>
    <x v="1"/>
    <n v="10500000"/>
  </r>
  <r>
    <d v="2025-04-09T00:00:00"/>
    <x v="1"/>
    <x v="3"/>
    <x v="14"/>
    <x v="8"/>
    <x v="20"/>
    <x v="9"/>
    <x v="1"/>
    <n v="0"/>
  </r>
  <r>
    <d v="2025-04-09T00:00:00"/>
    <x v="1"/>
    <x v="3"/>
    <x v="14"/>
    <x v="8"/>
    <x v="17"/>
    <x v="9"/>
    <x v="1"/>
    <n v="0"/>
  </r>
  <r>
    <d v="2025-04-09T00:00:00"/>
    <x v="1"/>
    <x v="3"/>
    <x v="14"/>
    <x v="8"/>
    <x v="21"/>
    <x v="9"/>
    <x v="1"/>
    <n v="0"/>
  </r>
  <r>
    <d v="2025-04-09T00:00:00"/>
    <x v="1"/>
    <x v="3"/>
    <x v="14"/>
    <x v="8"/>
    <x v="18"/>
    <x v="15"/>
    <x v="1"/>
    <n v="723330000"/>
  </r>
  <r>
    <d v="2025-04-09T00:00:00"/>
    <x v="1"/>
    <x v="3"/>
    <x v="14"/>
    <x v="8"/>
    <x v="19"/>
    <x v="12"/>
    <x v="4"/>
    <n v="514680172"/>
  </r>
  <r>
    <d v="2025-04-09T00:00:00"/>
    <x v="1"/>
    <x v="3"/>
    <x v="14"/>
    <x v="8"/>
    <x v="11"/>
    <x v="10"/>
    <x v="4"/>
    <n v="204050064"/>
  </r>
  <r>
    <d v="2025-04-09T00:00:00"/>
    <x v="1"/>
    <x v="3"/>
    <x v="14"/>
    <x v="8"/>
    <x v="7"/>
    <x v="7"/>
    <x v="4"/>
    <n v="454979130"/>
  </r>
  <r>
    <d v="2025-04-09T00:00:00"/>
    <x v="1"/>
    <x v="3"/>
    <x v="14"/>
    <x v="8"/>
    <x v="5"/>
    <x v="5"/>
    <x v="3"/>
    <n v="4149949712"/>
  </r>
  <r>
    <d v="2025-04-09T00:00:00"/>
    <x v="1"/>
    <x v="3"/>
    <x v="14"/>
    <x v="8"/>
    <x v="12"/>
    <x v="11"/>
    <x v="1"/>
    <n v="8959790000"/>
  </r>
  <r>
    <d v="2025-04-09T00:00:00"/>
    <x v="1"/>
    <x v="3"/>
    <x v="14"/>
    <x v="8"/>
    <x v="0"/>
    <x v="0"/>
    <x v="0"/>
    <n v="5285088000"/>
  </r>
  <r>
    <d v="2025-04-10T00:00:00"/>
    <x v="1"/>
    <x v="3"/>
    <x v="14"/>
    <x v="9"/>
    <x v="5"/>
    <x v="5"/>
    <x v="3"/>
    <n v="5294274810"/>
  </r>
  <r>
    <d v="2025-04-10T00:00:00"/>
    <x v="1"/>
    <x v="3"/>
    <x v="14"/>
    <x v="9"/>
    <x v="0"/>
    <x v="0"/>
    <x v="0"/>
    <n v="7397352000"/>
  </r>
  <r>
    <d v="2025-04-10T00:00:00"/>
    <x v="1"/>
    <x v="3"/>
    <x v="14"/>
    <x v="9"/>
    <x v="11"/>
    <x v="10"/>
    <x v="4"/>
    <n v="194736595"/>
  </r>
  <r>
    <d v="2025-04-10T00:00:00"/>
    <x v="1"/>
    <x v="3"/>
    <x v="14"/>
    <x v="9"/>
    <x v="2"/>
    <x v="2"/>
    <x v="1"/>
    <n v="9156040000"/>
  </r>
  <r>
    <d v="2025-04-10T00:00:00"/>
    <x v="1"/>
    <x v="3"/>
    <x v="14"/>
    <x v="9"/>
    <x v="12"/>
    <x v="11"/>
    <x v="1"/>
    <n v="9662570000"/>
  </r>
  <r>
    <d v="2025-04-10T00:00:00"/>
    <x v="1"/>
    <x v="3"/>
    <x v="14"/>
    <x v="9"/>
    <x v="19"/>
    <x v="12"/>
    <x v="4"/>
    <n v="498704002"/>
  </r>
  <r>
    <d v="2025-04-10T00:00:00"/>
    <x v="1"/>
    <x v="3"/>
    <x v="14"/>
    <x v="9"/>
    <x v="21"/>
    <x v="9"/>
    <x v="1"/>
    <n v="0"/>
  </r>
  <r>
    <d v="2025-04-10T00:00:00"/>
    <x v="1"/>
    <x v="3"/>
    <x v="14"/>
    <x v="9"/>
    <x v="23"/>
    <x v="17"/>
    <x v="4"/>
    <n v="0"/>
  </r>
  <r>
    <d v="2025-04-10T00:00:00"/>
    <x v="1"/>
    <x v="3"/>
    <x v="14"/>
    <x v="9"/>
    <x v="7"/>
    <x v="7"/>
    <x v="4"/>
    <n v="477641891"/>
  </r>
  <r>
    <d v="2025-04-10T00:00:00"/>
    <x v="1"/>
    <x v="3"/>
    <x v="14"/>
    <x v="9"/>
    <x v="20"/>
    <x v="9"/>
    <x v="1"/>
    <n v="0"/>
  </r>
  <r>
    <d v="2025-04-10T00:00:00"/>
    <x v="1"/>
    <x v="3"/>
    <x v="14"/>
    <x v="9"/>
    <x v="22"/>
    <x v="16"/>
    <x v="1"/>
    <n v="0"/>
  </r>
  <r>
    <d v="2025-04-10T00:00:00"/>
    <x v="1"/>
    <x v="3"/>
    <x v="14"/>
    <x v="9"/>
    <x v="24"/>
    <x v="18"/>
    <x v="1"/>
    <n v="0"/>
  </r>
  <r>
    <d v="2025-04-10T00:00:00"/>
    <x v="1"/>
    <x v="3"/>
    <x v="14"/>
    <x v="9"/>
    <x v="15"/>
    <x v="14"/>
    <x v="4"/>
    <n v="29388532"/>
  </r>
  <r>
    <d v="2025-04-10T00:00:00"/>
    <x v="1"/>
    <x v="3"/>
    <x v="14"/>
    <x v="9"/>
    <x v="1"/>
    <x v="1"/>
    <x v="1"/>
    <n v="21000000"/>
  </r>
  <r>
    <d v="2025-04-10T00:00:00"/>
    <x v="1"/>
    <x v="3"/>
    <x v="14"/>
    <x v="9"/>
    <x v="17"/>
    <x v="9"/>
    <x v="1"/>
    <n v="0"/>
  </r>
  <r>
    <d v="2025-04-10T00:00:00"/>
    <x v="1"/>
    <x v="3"/>
    <x v="14"/>
    <x v="9"/>
    <x v="6"/>
    <x v="6"/>
    <x v="0"/>
    <n v="50000000"/>
  </r>
  <r>
    <d v="2025-04-10T00:00:00"/>
    <x v="1"/>
    <x v="3"/>
    <x v="14"/>
    <x v="9"/>
    <x v="3"/>
    <x v="3"/>
    <x v="1"/>
    <n v="0"/>
  </r>
  <r>
    <d v="2025-04-10T00:00:00"/>
    <x v="1"/>
    <x v="3"/>
    <x v="14"/>
    <x v="9"/>
    <x v="18"/>
    <x v="15"/>
    <x v="1"/>
    <n v="626510000"/>
  </r>
  <r>
    <d v="2025-04-10T00:00:00"/>
    <x v="1"/>
    <x v="3"/>
    <x v="14"/>
    <x v="9"/>
    <x v="14"/>
    <x v="13"/>
    <x v="1"/>
    <n v="980650000"/>
  </r>
  <r>
    <d v="2025-04-11T00:00:00"/>
    <x v="1"/>
    <x v="3"/>
    <x v="14"/>
    <x v="10"/>
    <x v="0"/>
    <x v="0"/>
    <x v="0"/>
    <n v="6757236000"/>
  </r>
  <r>
    <d v="2025-04-11T00:00:00"/>
    <x v="1"/>
    <x v="3"/>
    <x v="14"/>
    <x v="10"/>
    <x v="2"/>
    <x v="2"/>
    <x v="1"/>
    <n v="9156990000"/>
  </r>
  <r>
    <d v="2025-04-11T00:00:00"/>
    <x v="1"/>
    <x v="3"/>
    <x v="14"/>
    <x v="10"/>
    <x v="5"/>
    <x v="5"/>
    <x v="3"/>
    <n v="3862847554"/>
  </r>
  <r>
    <d v="2025-04-11T00:00:00"/>
    <x v="1"/>
    <x v="3"/>
    <x v="14"/>
    <x v="10"/>
    <x v="24"/>
    <x v="18"/>
    <x v="1"/>
    <n v="0"/>
  </r>
  <r>
    <d v="2025-04-11T00:00:00"/>
    <x v="1"/>
    <x v="3"/>
    <x v="14"/>
    <x v="10"/>
    <x v="14"/>
    <x v="13"/>
    <x v="1"/>
    <n v="1405840000"/>
  </r>
  <r>
    <d v="2025-04-11T00:00:00"/>
    <x v="1"/>
    <x v="3"/>
    <x v="14"/>
    <x v="10"/>
    <x v="7"/>
    <x v="7"/>
    <x v="4"/>
    <n v="427667553"/>
  </r>
  <r>
    <d v="2025-04-11T00:00:00"/>
    <x v="1"/>
    <x v="3"/>
    <x v="14"/>
    <x v="10"/>
    <x v="6"/>
    <x v="6"/>
    <x v="0"/>
    <n v="29000000"/>
  </r>
  <r>
    <d v="2025-04-11T00:00:00"/>
    <x v="1"/>
    <x v="3"/>
    <x v="14"/>
    <x v="10"/>
    <x v="12"/>
    <x v="11"/>
    <x v="1"/>
    <n v="8892070000"/>
  </r>
  <r>
    <d v="2025-04-11T00:00:00"/>
    <x v="1"/>
    <x v="3"/>
    <x v="14"/>
    <x v="10"/>
    <x v="15"/>
    <x v="14"/>
    <x v="4"/>
    <n v="18432912"/>
  </r>
  <r>
    <d v="2025-04-11T00:00:00"/>
    <x v="1"/>
    <x v="3"/>
    <x v="14"/>
    <x v="10"/>
    <x v="1"/>
    <x v="1"/>
    <x v="1"/>
    <n v="57750000"/>
  </r>
  <r>
    <d v="2025-04-11T00:00:00"/>
    <x v="1"/>
    <x v="3"/>
    <x v="14"/>
    <x v="10"/>
    <x v="20"/>
    <x v="9"/>
    <x v="1"/>
    <n v="0"/>
  </r>
  <r>
    <d v="2025-04-11T00:00:00"/>
    <x v="1"/>
    <x v="3"/>
    <x v="14"/>
    <x v="10"/>
    <x v="17"/>
    <x v="9"/>
    <x v="1"/>
    <n v="0"/>
  </r>
  <r>
    <d v="2025-04-11T00:00:00"/>
    <x v="1"/>
    <x v="3"/>
    <x v="14"/>
    <x v="10"/>
    <x v="22"/>
    <x v="16"/>
    <x v="1"/>
    <n v="0"/>
  </r>
  <r>
    <d v="2025-04-11T00:00:00"/>
    <x v="1"/>
    <x v="3"/>
    <x v="14"/>
    <x v="10"/>
    <x v="21"/>
    <x v="9"/>
    <x v="1"/>
    <n v="0"/>
  </r>
  <r>
    <d v="2025-04-11T00:00:00"/>
    <x v="1"/>
    <x v="3"/>
    <x v="14"/>
    <x v="10"/>
    <x v="23"/>
    <x v="17"/>
    <x v="4"/>
    <n v="0"/>
  </r>
  <r>
    <d v="2025-04-11T00:00:00"/>
    <x v="1"/>
    <x v="3"/>
    <x v="14"/>
    <x v="10"/>
    <x v="3"/>
    <x v="3"/>
    <x v="1"/>
    <n v="0"/>
  </r>
  <r>
    <d v="2025-04-11T00:00:00"/>
    <x v="1"/>
    <x v="3"/>
    <x v="14"/>
    <x v="10"/>
    <x v="18"/>
    <x v="15"/>
    <x v="1"/>
    <n v="659540000"/>
  </r>
  <r>
    <d v="2025-04-11T00:00:00"/>
    <x v="1"/>
    <x v="3"/>
    <x v="14"/>
    <x v="10"/>
    <x v="19"/>
    <x v="12"/>
    <x v="4"/>
    <n v="471310605"/>
  </r>
  <r>
    <d v="2025-04-11T00:00:00"/>
    <x v="1"/>
    <x v="3"/>
    <x v="14"/>
    <x v="10"/>
    <x v="11"/>
    <x v="10"/>
    <x v="4"/>
    <n v="170153842"/>
  </r>
  <r>
    <d v="2025-04-12T00:00:00"/>
    <x v="1"/>
    <x v="3"/>
    <x v="14"/>
    <x v="11"/>
    <x v="0"/>
    <x v="0"/>
    <x v="0"/>
    <n v="6007068000"/>
  </r>
  <r>
    <d v="2025-04-12T00:00:00"/>
    <x v="1"/>
    <x v="3"/>
    <x v="14"/>
    <x v="11"/>
    <x v="6"/>
    <x v="6"/>
    <x v="0"/>
    <n v="32000000"/>
  </r>
  <r>
    <d v="2025-04-12T00:00:00"/>
    <x v="1"/>
    <x v="3"/>
    <x v="14"/>
    <x v="11"/>
    <x v="2"/>
    <x v="2"/>
    <x v="1"/>
    <n v="8376050000"/>
  </r>
  <r>
    <d v="2025-04-12T00:00:00"/>
    <x v="1"/>
    <x v="3"/>
    <x v="14"/>
    <x v="11"/>
    <x v="22"/>
    <x v="16"/>
    <x v="1"/>
    <n v="0"/>
  </r>
  <r>
    <d v="2025-04-12T00:00:00"/>
    <x v="1"/>
    <x v="3"/>
    <x v="14"/>
    <x v="11"/>
    <x v="17"/>
    <x v="9"/>
    <x v="1"/>
    <n v="0"/>
  </r>
  <r>
    <d v="2025-04-12T00:00:00"/>
    <x v="1"/>
    <x v="3"/>
    <x v="14"/>
    <x v="11"/>
    <x v="21"/>
    <x v="9"/>
    <x v="1"/>
    <n v="0"/>
  </r>
  <r>
    <d v="2025-04-12T00:00:00"/>
    <x v="1"/>
    <x v="3"/>
    <x v="14"/>
    <x v="11"/>
    <x v="12"/>
    <x v="11"/>
    <x v="1"/>
    <n v="6365740000"/>
  </r>
  <r>
    <d v="2025-04-12T00:00:00"/>
    <x v="1"/>
    <x v="3"/>
    <x v="14"/>
    <x v="11"/>
    <x v="24"/>
    <x v="18"/>
    <x v="1"/>
    <n v="0"/>
  </r>
  <r>
    <d v="2025-04-12T00:00:00"/>
    <x v="1"/>
    <x v="3"/>
    <x v="14"/>
    <x v="11"/>
    <x v="15"/>
    <x v="14"/>
    <x v="4"/>
    <n v="11829678"/>
  </r>
  <r>
    <d v="2025-04-12T00:00:00"/>
    <x v="1"/>
    <x v="3"/>
    <x v="14"/>
    <x v="11"/>
    <x v="1"/>
    <x v="1"/>
    <x v="1"/>
    <n v="0"/>
  </r>
  <r>
    <d v="2025-04-12T00:00:00"/>
    <x v="1"/>
    <x v="3"/>
    <x v="14"/>
    <x v="11"/>
    <x v="20"/>
    <x v="9"/>
    <x v="1"/>
    <n v="0"/>
  </r>
  <r>
    <d v="2025-04-12T00:00:00"/>
    <x v="1"/>
    <x v="3"/>
    <x v="14"/>
    <x v="11"/>
    <x v="23"/>
    <x v="17"/>
    <x v="4"/>
    <n v="0"/>
  </r>
  <r>
    <d v="2025-04-12T00:00:00"/>
    <x v="1"/>
    <x v="3"/>
    <x v="14"/>
    <x v="11"/>
    <x v="3"/>
    <x v="3"/>
    <x v="1"/>
    <n v="0"/>
  </r>
  <r>
    <d v="2025-04-12T00:00:00"/>
    <x v="1"/>
    <x v="3"/>
    <x v="14"/>
    <x v="11"/>
    <x v="18"/>
    <x v="15"/>
    <x v="1"/>
    <n v="401440000"/>
  </r>
  <r>
    <d v="2025-04-12T00:00:00"/>
    <x v="1"/>
    <x v="3"/>
    <x v="14"/>
    <x v="11"/>
    <x v="14"/>
    <x v="13"/>
    <x v="1"/>
    <n v="917050000"/>
  </r>
  <r>
    <d v="2025-04-12T00:00:00"/>
    <x v="1"/>
    <x v="3"/>
    <x v="14"/>
    <x v="11"/>
    <x v="19"/>
    <x v="12"/>
    <x v="4"/>
    <n v="352327008"/>
  </r>
  <r>
    <d v="2025-04-12T00:00:00"/>
    <x v="1"/>
    <x v="3"/>
    <x v="14"/>
    <x v="11"/>
    <x v="11"/>
    <x v="10"/>
    <x v="4"/>
    <n v="165752565"/>
  </r>
  <r>
    <d v="2025-04-12T00:00:00"/>
    <x v="1"/>
    <x v="3"/>
    <x v="14"/>
    <x v="11"/>
    <x v="7"/>
    <x v="7"/>
    <x v="4"/>
    <n v="393267222"/>
  </r>
  <r>
    <d v="2025-04-12T00:00:00"/>
    <x v="1"/>
    <x v="3"/>
    <x v="14"/>
    <x v="11"/>
    <x v="5"/>
    <x v="5"/>
    <x v="3"/>
    <n v="3148039707"/>
  </r>
  <r>
    <d v="2025-04-13T00:00:00"/>
    <x v="1"/>
    <x v="3"/>
    <x v="14"/>
    <x v="12"/>
    <x v="17"/>
    <x v="9"/>
    <x v="1"/>
    <n v="0"/>
  </r>
  <r>
    <d v="2025-04-13T00:00:00"/>
    <x v="1"/>
    <x v="3"/>
    <x v="14"/>
    <x v="12"/>
    <x v="2"/>
    <x v="2"/>
    <x v="1"/>
    <n v="7666880000"/>
  </r>
  <r>
    <d v="2025-04-13T00:00:00"/>
    <x v="1"/>
    <x v="3"/>
    <x v="14"/>
    <x v="12"/>
    <x v="14"/>
    <x v="13"/>
    <x v="1"/>
    <n v="1281180000"/>
  </r>
  <r>
    <d v="2025-04-13T00:00:00"/>
    <x v="1"/>
    <x v="3"/>
    <x v="14"/>
    <x v="12"/>
    <x v="7"/>
    <x v="7"/>
    <x v="4"/>
    <n v="314599016"/>
  </r>
  <r>
    <d v="2025-04-13T00:00:00"/>
    <x v="1"/>
    <x v="3"/>
    <x v="14"/>
    <x v="12"/>
    <x v="24"/>
    <x v="18"/>
    <x v="1"/>
    <n v="0"/>
  </r>
  <r>
    <d v="2025-04-13T00:00:00"/>
    <x v="1"/>
    <x v="3"/>
    <x v="14"/>
    <x v="12"/>
    <x v="15"/>
    <x v="14"/>
    <x v="4"/>
    <n v="18784485"/>
  </r>
  <r>
    <d v="2025-04-13T00:00:00"/>
    <x v="1"/>
    <x v="3"/>
    <x v="14"/>
    <x v="12"/>
    <x v="5"/>
    <x v="5"/>
    <x v="3"/>
    <n v="2876793259"/>
  </r>
  <r>
    <d v="2025-04-13T00:00:00"/>
    <x v="1"/>
    <x v="3"/>
    <x v="14"/>
    <x v="12"/>
    <x v="22"/>
    <x v="16"/>
    <x v="1"/>
    <n v="0"/>
  </r>
  <r>
    <d v="2025-04-13T00:00:00"/>
    <x v="1"/>
    <x v="3"/>
    <x v="14"/>
    <x v="12"/>
    <x v="20"/>
    <x v="9"/>
    <x v="1"/>
    <n v="0"/>
  </r>
  <r>
    <d v="2025-04-13T00:00:00"/>
    <x v="1"/>
    <x v="3"/>
    <x v="14"/>
    <x v="12"/>
    <x v="1"/>
    <x v="1"/>
    <x v="1"/>
    <n v="0"/>
  </r>
  <r>
    <d v="2025-04-13T00:00:00"/>
    <x v="1"/>
    <x v="3"/>
    <x v="14"/>
    <x v="12"/>
    <x v="21"/>
    <x v="9"/>
    <x v="1"/>
    <n v="0"/>
  </r>
  <r>
    <d v="2025-04-13T00:00:00"/>
    <x v="1"/>
    <x v="3"/>
    <x v="14"/>
    <x v="12"/>
    <x v="6"/>
    <x v="6"/>
    <x v="0"/>
    <n v="52000000"/>
  </r>
  <r>
    <d v="2025-04-13T00:00:00"/>
    <x v="1"/>
    <x v="3"/>
    <x v="14"/>
    <x v="12"/>
    <x v="23"/>
    <x v="17"/>
    <x v="4"/>
    <n v="0"/>
  </r>
  <r>
    <d v="2025-04-13T00:00:00"/>
    <x v="1"/>
    <x v="3"/>
    <x v="14"/>
    <x v="12"/>
    <x v="3"/>
    <x v="3"/>
    <x v="1"/>
    <n v="0"/>
  </r>
  <r>
    <d v="2025-04-13T00:00:00"/>
    <x v="1"/>
    <x v="3"/>
    <x v="14"/>
    <x v="12"/>
    <x v="18"/>
    <x v="15"/>
    <x v="1"/>
    <n v="256280000"/>
  </r>
  <r>
    <d v="2025-04-13T00:00:00"/>
    <x v="1"/>
    <x v="3"/>
    <x v="14"/>
    <x v="12"/>
    <x v="12"/>
    <x v="11"/>
    <x v="1"/>
    <n v="5512280000"/>
  </r>
  <r>
    <d v="2025-04-13T00:00:00"/>
    <x v="1"/>
    <x v="3"/>
    <x v="14"/>
    <x v="12"/>
    <x v="19"/>
    <x v="12"/>
    <x v="4"/>
    <n v="335306680"/>
  </r>
  <r>
    <d v="2025-04-13T00:00:00"/>
    <x v="1"/>
    <x v="3"/>
    <x v="14"/>
    <x v="12"/>
    <x v="11"/>
    <x v="10"/>
    <x v="4"/>
    <n v="151986707"/>
  </r>
  <r>
    <d v="2025-04-13T00:00:00"/>
    <x v="1"/>
    <x v="3"/>
    <x v="14"/>
    <x v="12"/>
    <x v="0"/>
    <x v="0"/>
    <x v="0"/>
    <n v="5319324000"/>
  </r>
  <r>
    <d v="2025-04-14T00:00:00"/>
    <x v="1"/>
    <x v="3"/>
    <x v="15"/>
    <x v="13"/>
    <x v="0"/>
    <x v="0"/>
    <x v="0"/>
    <n v="5722380000"/>
  </r>
  <r>
    <d v="2025-04-14T00:00:00"/>
    <x v="1"/>
    <x v="3"/>
    <x v="15"/>
    <x v="13"/>
    <x v="7"/>
    <x v="7"/>
    <x v="4"/>
    <n v="389040567"/>
  </r>
  <r>
    <d v="2025-04-14T00:00:00"/>
    <x v="1"/>
    <x v="3"/>
    <x v="15"/>
    <x v="13"/>
    <x v="2"/>
    <x v="2"/>
    <x v="1"/>
    <n v="8827100000"/>
  </r>
  <r>
    <d v="2025-04-14T00:00:00"/>
    <x v="1"/>
    <x v="3"/>
    <x v="15"/>
    <x v="13"/>
    <x v="12"/>
    <x v="11"/>
    <x v="1"/>
    <n v="7854950000"/>
  </r>
  <r>
    <d v="2025-04-14T00:00:00"/>
    <x v="1"/>
    <x v="3"/>
    <x v="15"/>
    <x v="13"/>
    <x v="11"/>
    <x v="10"/>
    <x v="4"/>
    <n v="156424995"/>
  </r>
  <r>
    <d v="2025-04-14T00:00:00"/>
    <x v="1"/>
    <x v="3"/>
    <x v="15"/>
    <x v="13"/>
    <x v="23"/>
    <x v="17"/>
    <x v="4"/>
    <n v="0"/>
  </r>
  <r>
    <d v="2025-04-14T00:00:00"/>
    <x v="1"/>
    <x v="3"/>
    <x v="15"/>
    <x v="13"/>
    <x v="20"/>
    <x v="9"/>
    <x v="1"/>
    <n v="0"/>
  </r>
  <r>
    <d v="2025-04-14T00:00:00"/>
    <x v="1"/>
    <x v="3"/>
    <x v="15"/>
    <x v="13"/>
    <x v="22"/>
    <x v="16"/>
    <x v="1"/>
    <n v="0"/>
  </r>
  <r>
    <d v="2025-04-14T00:00:00"/>
    <x v="1"/>
    <x v="3"/>
    <x v="15"/>
    <x v="13"/>
    <x v="19"/>
    <x v="12"/>
    <x v="4"/>
    <n v="352445822"/>
  </r>
  <r>
    <d v="2025-04-14T00:00:00"/>
    <x v="1"/>
    <x v="3"/>
    <x v="15"/>
    <x v="13"/>
    <x v="5"/>
    <x v="5"/>
    <x v="3"/>
    <n v="3968664693"/>
  </r>
  <r>
    <d v="2025-04-14T00:00:00"/>
    <x v="1"/>
    <x v="3"/>
    <x v="15"/>
    <x v="13"/>
    <x v="24"/>
    <x v="18"/>
    <x v="1"/>
    <n v="0"/>
  </r>
  <r>
    <d v="2025-04-14T00:00:00"/>
    <x v="1"/>
    <x v="3"/>
    <x v="15"/>
    <x v="13"/>
    <x v="15"/>
    <x v="14"/>
    <x v="4"/>
    <n v="13578805"/>
  </r>
  <r>
    <d v="2025-04-14T00:00:00"/>
    <x v="1"/>
    <x v="3"/>
    <x v="15"/>
    <x v="13"/>
    <x v="1"/>
    <x v="1"/>
    <x v="1"/>
    <n v="36000000"/>
  </r>
  <r>
    <d v="2025-04-14T00:00:00"/>
    <x v="1"/>
    <x v="3"/>
    <x v="15"/>
    <x v="13"/>
    <x v="17"/>
    <x v="9"/>
    <x v="1"/>
    <n v="0"/>
  </r>
  <r>
    <d v="2025-04-14T00:00:00"/>
    <x v="1"/>
    <x v="3"/>
    <x v="15"/>
    <x v="13"/>
    <x v="21"/>
    <x v="9"/>
    <x v="1"/>
    <n v="0"/>
  </r>
  <r>
    <d v="2025-04-14T00:00:00"/>
    <x v="1"/>
    <x v="3"/>
    <x v="15"/>
    <x v="13"/>
    <x v="6"/>
    <x v="6"/>
    <x v="0"/>
    <n v="30000000"/>
  </r>
  <r>
    <d v="2025-04-14T00:00:00"/>
    <x v="1"/>
    <x v="3"/>
    <x v="15"/>
    <x v="13"/>
    <x v="3"/>
    <x v="3"/>
    <x v="1"/>
    <n v="0"/>
  </r>
  <r>
    <d v="2025-04-14T00:00:00"/>
    <x v="1"/>
    <x v="3"/>
    <x v="15"/>
    <x v="13"/>
    <x v="18"/>
    <x v="15"/>
    <x v="1"/>
    <n v="421860000"/>
  </r>
  <r>
    <d v="2025-04-14T00:00:00"/>
    <x v="1"/>
    <x v="3"/>
    <x v="15"/>
    <x v="13"/>
    <x v="14"/>
    <x v="13"/>
    <x v="1"/>
    <n v="1201290000"/>
  </r>
  <r>
    <d v="2025-04-15T00:00:00"/>
    <x v="1"/>
    <x v="3"/>
    <x v="15"/>
    <x v="14"/>
    <x v="1"/>
    <x v="1"/>
    <x v="1"/>
    <n v="41000000"/>
  </r>
  <r>
    <d v="2025-04-15T00:00:00"/>
    <x v="1"/>
    <x v="3"/>
    <x v="15"/>
    <x v="14"/>
    <x v="0"/>
    <x v="0"/>
    <x v="0"/>
    <n v="6306660000"/>
  </r>
  <r>
    <d v="2025-04-15T00:00:00"/>
    <x v="1"/>
    <x v="3"/>
    <x v="15"/>
    <x v="14"/>
    <x v="2"/>
    <x v="2"/>
    <x v="1"/>
    <n v="8957020000"/>
  </r>
  <r>
    <d v="2025-04-15T00:00:00"/>
    <x v="1"/>
    <x v="3"/>
    <x v="15"/>
    <x v="14"/>
    <x v="22"/>
    <x v="16"/>
    <x v="1"/>
    <n v="18900000"/>
  </r>
  <r>
    <d v="2025-04-15T00:00:00"/>
    <x v="1"/>
    <x v="3"/>
    <x v="15"/>
    <x v="14"/>
    <x v="24"/>
    <x v="18"/>
    <x v="1"/>
    <n v="0"/>
  </r>
  <r>
    <d v="2025-04-15T00:00:00"/>
    <x v="1"/>
    <x v="3"/>
    <x v="15"/>
    <x v="14"/>
    <x v="15"/>
    <x v="14"/>
    <x v="4"/>
    <n v="20257691"/>
  </r>
  <r>
    <d v="2025-04-15T00:00:00"/>
    <x v="1"/>
    <x v="3"/>
    <x v="15"/>
    <x v="14"/>
    <x v="20"/>
    <x v="9"/>
    <x v="1"/>
    <n v="0"/>
  </r>
  <r>
    <d v="2025-04-15T00:00:00"/>
    <x v="1"/>
    <x v="3"/>
    <x v="15"/>
    <x v="14"/>
    <x v="17"/>
    <x v="9"/>
    <x v="1"/>
    <n v="0"/>
  </r>
  <r>
    <d v="2025-04-15T00:00:00"/>
    <x v="1"/>
    <x v="3"/>
    <x v="15"/>
    <x v="14"/>
    <x v="21"/>
    <x v="9"/>
    <x v="1"/>
    <n v="0"/>
  </r>
  <r>
    <d v="2025-04-15T00:00:00"/>
    <x v="1"/>
    <x v="3"/>
    <x v="15"/>
    <x v="14"/>
    <x v="6"/>
    <x v="6"/>
    <x v="0"/>
    <n v="63000000"/>
  </r>
  <r>
    <d v="2025-04-15T00:00:00"/>
    <x v="1"/>
    <x v="3"/>
    <x v="15"/>
    <x v="14"/>
    <x v="23"/>
    <x v="17"/>
    <x v="4"/>
    <n v="0"/>
  </r>
  <r>
    <d v="2025-04-15T00:00:00"/>
    <x v="1"/>
    <x v="3"/>
    <x v="15"/>
    <x v="14"/>
    <x v="3"/>
    <x v="3"/>
    <x v="1"/>
    <n v="0"/>
  </r>
  <r>
    <d v="2025-04-15T00:00:00"/>
    <x v="1"/>
    <x v="3"/>
    <x v="15"/>
    <x v="14"/>
    <x v="18"/>
    <x v="15"/>
    <x v="1"/>
    <n v="563020000"/>
  </r>
  <r>
    <d v="2025-04-15T00:00:00"/>
    <x v="1"/>
    <x v="3"/>
    <x v="15"/>
    <x v="14"/>
    <x v="14"/>
    <x v="13"/>
    <x v="1"/>
    <n v="1075990000"/>
  </r>
  <r>
    <d v="2025-04-15T00:00:00"/>
    <x v="1"/>
    <x v="3"/>
    <x v="15"/>
    <x v="14"/>
    <x v="19"/>
    <x v="12"/>
    <x v="4"/>
    <n v="381486768"/>
  </r>
  <r>
    <d v="2025-04-15T00:00:00"/>
    <x v="1"/>
    <x v="3"/>
    <x v="15"/>
    <x v="14"/>
    <x v="11"/>
    <x v="10"/>
    <x v="4"/>
    <n v="146445425"/>
  </r>
  <r>
    <d v="2025-04-15T00:00:00"/>
    <x v="1"/>
    <x v="3"/>
    <x v="15"/>
    <x v="14"/>
    <x v="7"/>
    <x v="7"/>
    <x v="4"/>
    <n v="343714923"/>
  </r>
  <r>
    <d v="2025-04-15T00:00:00"/>
    <x v="1"/>
    <x v="3"/>
    <x v="15"/>
    <x v="14"/>
    <x v="5"/>
    <x v="5"/>
    <x v="3"/>
    <n v="3960009740"/>
  </r>
  <r>
    <d v="2025-04-15T00:00:00"/>
    <x v="1"/>
    <x v="3"/>
    <x v="15"/>
    <x v="14"/>
    <x v="12"/>
    <x v="11"/>
    <x v="1"/>
    <n v="7944670000"/>
  </r>
  <r>
    <d v="2025-04-16T00:00:00"/>
    <x v="1"/>
    <x v="3"/>
    <x v="15"/>
    <x v="15"/>
    <x v="17"/>
    <x v="9"/>
    <x v="1"/>
    <n v="21400000"/>
  </r>
  <r>
    <d v="2025-04-16T00:00:00"/>
    <x v="1"/>
    <x v="3"/>
    <x v="15"/>
    <x v="15"/>
    <x v="15"/>
    <x v="14"/>
    <x v="4"/>
    <n v="15336735"/>
  </r>
  <r>
    <d v="2025-04-16T00:00:00"/>
    <x v="1"/>
    <x v="3"/>
    <x v="15"/>
    <x v="15"/>
    <x v="1"/>
    <x v="1"/>
    <x v="1"/>
    <n v="0"/>
  </r>
  <r>
    <d v="2025-04-16T00:00:00"/>
    <x v="1"/>
    <x v="3"/>
    <x v="15"/>
    <x v="15"/>
    <x v="22"/>
    <x v="16"/>
    <x v="1"/>
    <n v="0"/>
  </r>
  <r>
    <d v="2025-04-16T00:00:00"/>
    <x v="1"/>
    <x v="3"/>
    <x v="15"/>
    <x v="15"/>
    <x v="0"/>
    <x v="0"/>
    <x v="0"/>
    <n v="6174360000"/>
  </r>
  <r>
    <d v="2025-04-16T00:00:00"/>
    <x v="1"/>
    <x v="3"/>
    <x v="15"/>
    <x v="15"/>
    <x v="6"/>
    <x v="6"/>
    <x v="0"/>
    <n v="47000000"/>
  </r>
  <r>
    <d v="2025-04-16T00:00:00"/>
    <x v="1"/>
    <x v="3"/>
    <x v="15"/>
    <x v="15"/>
    <x v="20"/>
    <x v="9"/>
    <x v="1"/>
    <n v="0"/>
  </r>
  <r>
    <d v="2025-04-16T00:00:00"/>
    <x v="1"/>
    <x v="3"/>
    <x v="15"/>
    <x v="15"/>
    <x v="21"/>
    <x v="9"/>
    <x v="1"/>
    <n v="0"/>
  </r>
  <r>
    <d v="2025-04-16T00:00:00"/>
    <x v="1"/>
    <x v="3"/>
    <x v="15"/>
    <x v="15"/>
    <x v="23"/>
    <x v="17"/>
    <x v="4"/>
    <n v="0"/>
  </r>
  <r>
    <d v="2025-04-16T00:00:00"/>
    <x v="1"/>
    <x v="3"/>
    <x v="15"/>
    <x v="15"/>
    <x v="24"/>
    <x v="18"/>
    <x v="1"/>
    <n v="0"/>
  </r>
  <r>
    <d v="2025-04-16T00:00:00"/>
    <x v="1"/>
    <x v="3"/>
    <x v="15"/>
    <x v="15"/>
    <x v="19"/>
    <x v="12"/>
    <x v="4"/>
    <n v="240458821"/>
  </r>
  <r>
    <d v="2025-04-16T00:00:00"/>
    <x v="1"/>
    <x v="3"/>
    <x v="15"/>
    <x v="15"/>
    <x v="11"/>
    <x v="10"/>
    <x v="4"/>
    <n v="119902845"/>
  </r>
  <r>
    <d v="2025-04-16T00:00:00"/>
    <x v="1"/>
    <x v="3"/>
    <x v="15"/>
    <x v="15"/>
    <x v="7"/>
    <x v="7"/>
    <x v="4"/>
    <n v="384128546"/>
  </r>
  <r>
    <d v="2025-04-16T00:00:00"/>
    <x v="1"/>
    <x v="3"/>
    <x v="15"/>
    <x v="15"/>
    <x v="12"/>
    <x v="11"/>
    <x v="1"/>
    <n v="7415600000"/>
  </r>
  <r>
    <d v="2025-04-16T00:00:00"/>
    <x v="1"/>
    <x v="3"/>
    <x v="15"/>
    <x v="15"/>
    <x v="2"/>
    <x v="2"/>
    <x v="1"/>
    <n v="10294720000"/>
  </r>
  <r>
    <d v="2025-04-16T00:00:00"/>
    <x v="1"/>
    <x v="3"/>
    <x v="15"/>
    <x v="15"/>
    <x v="3"/>
    <x v="3"/>
    <x v="1"/>
    <n v="0"/>
  </r>
  <r>
    <d v="2025-04-16T00:00:00"/>
    <x v="1"/>
    <x v="3"/>
    <x v="15"/>
    <x v="15"/>
    <x v="5"/>
    <x v="5"/>
    <x v="3"/>
    <n v="3404759848"/>
  </r>
  <r>
    <d v="2025-04-16T00:00:00"/>
    <x v="1"/>
    <x v="3"/>
    <x v="15"/>
    <x v="15"/>
    <x v="18"/>
    <x v="15"/>
    <x v="1"/>
    <n v="492160000"/>
  </r>
  <r>
    <d v="2025-04-16T00:00:00"/>
    <x v="1"/>
    <x v="3"/>
    <x v="15"/>
    <x v="15"/>
    <x v="14"/>
    <x v="13"/>
    <x v="1"/>
    <n v="1372160000"/>
  </r>
  <r>
    <d v="2025-04-17T00:00:00"/>
    <x v="1"/>
    <x v="3"/>
    <x v="15"/>
    <x v="16"/>
    <x v="0"/>
    <x v="0"/>
    <x v="0"/>
    <n v="5907816000"/>
  </r>
  <r>
    <d v="2025-04-17T00:00:00"/>
    <x v="1"/>
    <x v="3"/>
    <x v="15"/>
    <x v="16"/>
    <x v="2"/>
    <x v="2"/>
    <x v="1"/>
    <n v="10032770000"/>
  </r>
  <r>
    <d v="2025-04-17T00:00:00"/>
    <x v="1"/>
    <x v="3"/>
    <x v="15"/>
    <x v="16"/>
    <x v="18"/>
    <x v="15"/>
    <x v="1"/>
    <n v="393780000"/>
  </r>
  <r>
    <d v="2025-04-17T00:00:00"/>
    <x v="1"/>
    <x v="3"/>
    <x v="15"/>
    <x v="16"/>
    <x v="22"/>
    <x v="16"/>
    <x v="1"/>
    <n v="0"/>
  </r>
  <r>
    <d v="2025-04-17T00:00:00"/>
    <x v="1"/>
    <x v="3"/>
    <x v="15"/>
    <x v="16"/>
    <x v="14"/>
    <x v="13"/>
    <x v="1"/>
    <n v="1161070000"/>
  </r>
  <r>
    <d v="2025-04-17T00:00:00"/>
    <x v="1"/>
    <x v="3"/>
    <x v="15"/>
    <x v="16"/>
    <x v="24"/>
    <x v="18"/>
    <x v="1"/>
    <n v="0"/>
  </r>
  <r>
    <d v="2025-04-17T00:00:00"/>
    <x v="1"/>
    <x v="3"/>
    <x v="15"/>
    <x v="16"/>
    <x v="15"/>
    <x v="14"/>
    <x v="4"/>
    <n v="14915490"/>
  </r>
  <r>
    <d v="2025-04-17T00:00:00"/>
    <x v="1"/>
    <x v="3"/>
    <x v="15"/>
    <x v="16"/>
    <x v="5"/>
    <x v="5"/>
    <x v="3"/>
    <n v="3418303742"/>
  </r>
  <r>
    <d v="2025-04-17T00:00:00"/>
    <x v="1"/>
    <x v="3"/>
    <x v="15"/>
    <x v="16"/>
    <x v="20"/>
    <x v="9"/>
    <x v="1"/>
    <n v="0"/>
  </r>
  <r>
    <d v="2025-04-17T00:00:00"/>
    <x v="1"/>
    <x v="3"/>
    <x v="15"/>
    <x v="16"/>
    <x v="17"/>
    <x v="9"/>
    <x v="1"/>
    <n v="0"/>
  </r>
  <r>
    <d v="2025-04-17T00:00:00"/>
    <x v="1"/>
    <x v="3"/>
    <x v="15"/>
    <x v="16"/>
    <x v="21"/>
    <x v="9"/>
    <x v="1"/>
    <n v="0"/>
  </r>
  <r>
    <d v="2025-04-17T00:00:00"/>
    <x v="1"/>
    <x v="3"/>
    <x v="15"/>
    <x v="16"/>
    <x v="6"/>
    <x v="6"/>
    <x v="0"/>
    <n v="78000000"/>
  </r>
  <r>
    <d v="2025-04-17T00:00:00"/>
    <x v="1"/>
    <x v="3"/>
    <x v="15"/>
    <x v="16"/>
    <x v="23"/>
    <x v="17"/>
    <x v="4"/>
    <n v="0"/>
  </r>
  <r>
    <d v="2025-04-17T00:00:00"/>
    <x v="1"/>
    <x v="3"/>
    <x v="15"/>
    <x v="16"/>
    <x v="3"/>
    <x v="3"/>
    <x v="1"/>
    <n v="0"/>
  </r>
  <r>
    <d v="2025-04-17T00:00:00"/>
    <x v="1"/>
    <x v="3"/>
    <x v="15"/>
    <x v="16"/>
    <x v="12"/>
    <x v="11"/>
    <x v="1"/>
    <n v="8904790000"/>
  </r>
  <r>
    <d v="2025-04-17T00:00:00"/>
    <x v="1"/>
    <x v="3"/>
    <x v="15"/>
    <x v="16"/>
    <x v="1"/>
    <x v="1"/>
    <x v="1"/>
    <n v="68250000"/>
  </r>
  <r>
    <d v="2025-04-17T00:00:00"/>
    <x v="1"/>
    <x v="3"/>
    <x v="15"/>
    <x v="16"/>
    <x v="19"/>
    <x v="12"/>
    <x v="4"/>
    <n v="287175786"/>
  </r>
  <r>
    <d v="2025-04-17T00:00:00"/>
    <x v="1"/>
    <x v="3"/>
    <x v="15"/>
    <x v="16"/>
    <x v="11"/>
    <x v="10"/>
    <x v="4"/>
    <n v="145231950"/>
  </r>
  <r>
    <d v="2025-04-17T00:00:00"/>
    <x v="1"/>
    <x v="3"/>
    <x v="15"/>
    <x v="16"/>
    <x v="7"/>
    <x v="7"/>
    <x v="4"/>
    <n v="346117820"/>
  </r>
  <r>
    <d v="2025-04-18T00:00:00"/>
    <x v="1"/>
    <x v="3"/>
    <x v="15"/>
    <x v="17"/>
    <x v="12"/>
    <x v="11"/>
    <x v="1"/>
    <n v="6855070000"/>
  </r>
  <r>
    <d v="2025-04-18T00:00:00"/>
    <x v="1"/>
    <x v="3"/>
    <x v="15"/>
    <x v="17"/>
    <x v="22"/>
    <x v="16"/>
    <x v="1"/>
    <n v="0"/>
  </r>
  <r>
    <d v="2025-04-18T00:00:00"/>
    <x v="1"/>
    <x v="3"/>
    <x v="15"/>
    <x v="17"/>
    <x v="24"/>
    <x v="18"/>
    <x v="1"/>
    <n v="0"/>
  </r>
  <r>
    <d v="2025-04-18T00:00:00"/>
    <x v="1"/>
    <x v="3"/>
    <x v="15"/>
    <x v="17"/>
    <x v="1"/>
    <x v="1"/>
    <x v="1"/>
    <n v="44100000"/>
  </r>
  <r>
    <d v="2025-04-18T00:00:00"/>
    <x v="1"/>
    <x v="3"/>
    <x v="15"/>
    <x v="17"/>
    <x v="20"/>
    <x v="9"/>
    <x v="1"/>
    <n v="0"/>
  </r>
  <r>
    <d v="2025-04-18T00:00:00"/>
    <x v="1"/>
    <x v="3"/>
    <x v="15"/>
    <x v="17"/>
    <x v="17"/>
    <x v="9"/>
    <x v="1"/>
    <n v="0"/>
  </r>
  <r>
    <d v="2025-04-18T00:00:00"/>
    <x v="1"/>
    <x v="3"/>
    <x v="15"/>
    <x v="17"/>
    <x v="21"/>
    <x v="9"/>
    <x v="1"/>
    <n v="0"/>
  </r>
  <r>
    <d v="2025-04-18T00:00:00"/>
    <x v="1"/>
    <x v="3"/>
    <x v="15"/>
    <x v="17"/>
    <x v="6"/>
    <x v="6"/>
    <x v="0"/>
    <n v="36000000"/>
  </r>
  <r>
    <d v="2025-04-18T00:00:00"/>
    <x v="1"/>
    <x v="3"/>
    <x v="15"/>
    <x v="17"/>
    <x v="23"/>
    <x v="17"/>
    <x v="4"/>
    <n v="0"/>
  </r>
  <r>
    <d v="2025-04-18T00:00:00"/>
    <x v="1"/>
    <x v="3"/>
    <x v="15"/>
    <x v="17"/>
    <x v="3"/>
    <x v="3"/>
    <x v="1"/>
    <n v="0"/>
  </r>
  <r>
    <d v="2025-04-18T00:00:00"/>
    <x v="1"/>
    <x v="3"/>
    <x v="15"/>
    <x v="17"/>
    <x v="15"/>
    <x v="14"/>
    <x v="4"/>
    <n v="12678918"/>
  </r>
  <r>
    <d v="2025-04-18T00:00:00"/>
    <x v="1"/>
    <x v="3"/>
    <x v="15"/>
    <x v="17"/>
    <x v="18"/>
    <x v="15"/>
    <x v="1"/>
    <n v="234730000"/>
  </r>
  <r>
    <d v="2025-04-18T00:00:00"/>
    <x v="1"/>
    <x v="3"/>
    <x v="15"/>
    <x v="17"/>
    <x v="14"/>
    <x v="13"/>
    <x v="1"/>
    <n v="866140000"/>
  </r>
  <r>
    <d v="2025-04-18T00:00:00"/>
    <x v="1"/>
    <x v="3"/>
    <x v="15"/>
    <x v="17"/>
    <x v="19"/>
    <x v="12"/>
    <x v="4"/>
    <n v="247179311"/>
  </r>
  <r>
    <d v="2025-04-18T00:00:00"/>
    <x v="1"/>
    <x v="3"/>
    <x v="15"/>
    <x v="17"/>
    <x v="11"/>
    <x v="10"/>
    <x v="4"/>
    <n v="131032309"/>
  </r>
  <r>
    <d v="2025-04-18T00:00:00"/>
    <x v="1"/>
    <x v="3"/>
    <x v="15"/>
    <x v="17"/>
    <x v="7"/>
    <x v="7"/>
    <x v="4"/>
    <n v="304296674"/>
  </r>
  <r>
    <d v="2025-04-18T00:00:00"/>
    <x v="1"/>
    <x v="3"/>
    <x v="15"/>
    <x v="17"/>
    <x v="5"/>
    <x v="5"/>
    <x v="3"/>
    <n v="3129491517"/>
  </r>
  <r>
    <d v="2025-04-18T00:00:00"/>
    <x v="1"/>
    <x v="3"/>
    <x v="15"/>
    <x v="17"/>
    <x v="0"/>
    <x v="0"/>
    <x v="0"/>
    <n v="5510160000"/>
  </r>
  <r>
    <d v="2025-04-18T00:00:00"/>
    <x v="1"/>
    <x v="3"/>
    <x v="15"/>
    <x v="17"/>
    <x v="2"/>
    <x v="2"/>
    <x v="1"/>
    <n v="9416430000"/>
  </r>
  <r>
    <d v="2025-04-19T00:00:00"/>
    <x v="1"/>
    <x v="3"/>
    <x v="15"/>
    <x v="18"/>
    <x v="12"/>
    <x v="11"/>
    <x v="1"/>
    <n v="7199100000"/>
  </r>
  <r>
    <d v="2025-04-19T00:00:00"/>
    <x v="1"/>
    <x v="3"/>
    <x v="15"/>
    <x v="18"/>
    <x v="0"/>
    <x v="0"/>
    <x v="0"/>
    <n v="5253768000"/>
  </r>
  <r>
    <d v="2025-04-19T00:00:00"/>
    <x v="1"/>
    <x v="3"/>
    <x v="15"/>
    <x v="18"/>
    <x v="2"/>
    <x v="2"/>
    <x v="1"/>
    <n v="7857060000"/>
  </r>
  <r>
    <d v="2025-04-19T00:00:00"/>
    <x v="1"/>
    <x v="3"/>
    <x v="15"/>
    <x v="18"/>
    <x v="1"/>
    <x v="1"/>
    <x v="1"/>
    <n v="31550000"/>
  </r>
  <r>
    <d v="2025-04-19T00:00:00"/>
    <x v="1"/>
    <x v="3"/>
    <x v="15"/>
    <x v="18"/>
    <x v="7"/>
    <x v="7"/>
    <x v="4"/>
    <n v="310943402"/>
  </r>
  <r>
    <d v="2025-04-19T00:00:00"/>
    <x v="1"/>
    <x v="3"/>
    <x v="15"/>
    <x v="18"/>
    <x v="22"/>
    <x v="16"/>
    <x v="1"/>
    <n v="0"/>
  </r>
  <r>
    <d v="2025-04-19T00:00:00"/>
    <x v="1"/>
    <x v="3"/>
    <x v="15"/>
    <x v="18"/>
    <x v="24"/>
    <x v="18"/>
    <x v="1"/>
    <n v="0"/>
  </r>
  <r>
    <d v="2025-04-19T00:00:00"/>
    <x v="1"/>
    <x v="3"/>
    <x v="15"/>
    <x v="18"/>
    <x v="5"/>
    <x v="5"/>
    <x v="3"/>
    <n v="3077404452"/>
  </r>
  <r>
    <d v="2025-04-19T00:00:00"/>
    <x v="1"/>
    <x v="3"/>
    <x v="15"/>
    <x v="18"/>
    <x v="20"/>
    <x v="9"/>
    <x v="1"/>
    <n v="0"/>
  </r>
  <r>
    <d v="2025-04-19T00:00:00"/>
    <x v="1"/>
    <x v="3"/>
    <x v="15"/>
    <x v="18"/>
    <x v="17"/>
    <x v="9"/>
    <x v="1"/>
    <n v="21400000"/>
  </r>
  <r>
    <d v="2025-04-19T00:00:00"/>
    <x v="1"/>
    <x v="3"/>
    <x v="15"/>
    <x v="18"/>
    <x v="21"/>
    <x v="9"/>
    <x v="1"/>
    <n v="0"/>
  </r>
  <r>
    <d v="2025-04-19T00:00:00"/>
    <x v="1"/>
    <x v="3"/>
    <x v="15"/>
    <x v="18"/>
    <x v="6"/>
    <x v="6"/>
    <x v="0"/>
    <n v="51000000"/>
  </r>
  <r>
    <d v="2025-04-19T00:00:00"/>
    <x v="1"/>
    <x v="3"/>
    <x v="15"/>
    <x v="18"/>
    <x v="15"/>
    <x v="14"/>
    <x v="4"/>
    <n v="10612073"/>
  </r>
  <r>
    <d v="2025-04-19T00:00:00"/>
    <x v="1"/>
    <x v="3"/>
    <x v="15"/>
    <x v="18"/>
    <x v="23"/>
    <x v="17"/>
    <x v="4"/>
    <n v="0"/>
  </r>
  <r>
    <d v="2025-04-19T00:00:00"/>
    <x v="1"/>
    <x v="3"/>
    <x v="15"/>
    <x v="18"/>
    <x v="3"/>
    <x v="3"/>
    <x v="1"/>
    <n v="0"/>
  </r>
  <r>
    <d v="2025-04-19T00:00:00"/>
    <x v="1"/>
    <x v="3"/>
    <x v="15"/>
    <x v="18"/>
    <x v="18"/>
    <x v="15"/>
    <x v="1"/>
    <n v="209040000"/>
  </r>
  <r>
    <d v="2025-04-19T00:00:00"/>
    <x v="1"/>
    <x v="3"/>
    <x v="15"/>
    <x v="18"/>
    <x v="14"/>
    <x v="13"/>
    <x v="1"/>
    <n v="922010000"/>
  </r>
  <r>
    <d v="2025-04-19T00:00:00"/>
    <x v="1"/>
    <x v="3"/>
    <x v="15"/>
    <x v="18"/>
    <x v="11"/>
    <x v="10"/>
    <x v="4"/>
    <n v="150084721"/>
  </r>
  <r>
    <d v="2025-04-19T00:00:00"/>
    <x v="1"/>
    <x v="3"/>
    <x v="15"/>
    <x v="18"/>
    <x v="19"/>
    <x v="12"/>
    <x v="4"/>
    <n v="256790031"/>
  </r>
  <r>
    <d v="2025-04-20T00:00:00"/>
    <x v="1"/>
    <x v="3"/>
    <x v="15"/>
    <x v="19"/>
    <x v="20"/>
    <x v="9"/>
    <x v="1"/>
    <n v="0"/>
  </r>
  <r>
    <d v="2025-04-20T00:00:00"/>
    <x v="1"/>
    <x v="3"/>
    <x v="15"/>
    <x v="19"/>
    <x v="5"/>
    <x v="5"/>
    <x v="3"/>
    <n v="3256663936"/>
  </r>
  <r>
    <d v="2025-04-20T00:00:00"/>
    <x v="1"/>
    <x v="3"/>
    <x v="15"/>
    <x v="19"/>
    <x v="0"/>
    <x v="0"/>
    <x v="0"/>
    <n v="5500548000"/>
  </r>
  <r>
    <d v="2025-04-20T00:00:00"/>
    <x v="1"/>
    <x v="3"/>
    <x v="15"/>
    <x v="19"/>
    <x v="6"/>
    <x v="6"/>
    <x v="0"/>
    <n v="48000000"/>
  </r>
  <r>
    <d v="2025-04-20T00:00:00"/>
    <x v="1"/>
    <x v="3"/>
    <x v="15"/>
    <x v="19"/>
    <x v="22"/>
    <x v="16"/>
    <x v="1"/>
    <n v="0"/>
  </r>
  <r>
    <d v="2025-04-20T00:00:00"/>
    <x v="1"/>
    <x v="3"/>
    <x v="15"/>
    <x v="19"/>
    <x v="21"/>
    <x v="9"/>
    <x v="1"/>
    <n v="0"/>
  </r>
  <r>
    <d v="2025-04-20T00:00:00"/>
    <x v="1"/>
    <x v="3"/>
    <x v="15"/>
    <x v="19"/>
    <x v="23"/>
    <x v="17"/>
    <x v="4"/>
    <n v="0"/>
  </r>
  <r>
    <d v="2025-04-20T00:00:00"/>
    <x v="1"/>
    <x v="3"/>
    <x v="15"/>
    <x v="19"/>
    <x v="24"/>
    <x v="18"/>
    <x v="1"/>
    <n v="0"/>
  </r>
  <r>
    <d v="2025-04-20T00:00:00"/>
    <x v="1"/>
    <x v="3"/>
    <x v="15"/>
    <x v="19"/>
    <x v="15"/>
    <x v="14"/>
    <x v="4"/>
    <n v="675000"/>
  </r>
  <r>
    <d v="2025-04-20T00:00:00"/>
    <x v="1"/>
    <x v="3"/>
    <x v="15"/>
    <x v="19"/>
    <x v="1"/>
    <x v="1"/>
    <x v="1"/>
    <n v="31500000"/>
  </r>
  <r>
    <d v="2025-04-20T00:00:00"/>
    <x v="1"/>
    <x v="3"/>
    <x v="15"/>
    <x v="19"/>
    <x v="2"/>
    <x v="2"/>
    <x v="1"/>
    <n v="7492680000"/>
  </r>
  <r>
    <d v="2025-04-20T00:00:00"/>
    <x v="1"/>
    <x v="3"/>
    <x v="15"/>
    <x v="19"/>
    <x v="17"/>
    <x v="9"/>
    <x v="1"/>
    <n v="0"/>
  </r>
  <r>
    <d v="2025-04-20T00:00:00"/>
    <x v="1"/>
    <x v="3"/>
    <x v="15"/>
    <x v="19"/>
    <x v="3"/>
    <x v="3"/>
    <x v="1"/>
    <n v="21000000"/>
  </r>
  <r>
    <d v="2025-04-20T00:00:00"/>
    <x v="1"/>
    <x v="3"/>
    <x v="15"/>
    <x v="19"/>
    <x v="18"/>
    <x v="15"/>
    <x v="1"/>
    <n v="191060000"/>
  </r>
  <r>
    <d v="2025-04-20T00:00:00"/>
    <x v="1"/>
    <x v="3"/>
    <x v="15"/>
    <x v="19"/>
    <x v="14"/>
    <x v="13"/>
    <x v="1"/>
    <n v="1094610000"/>
  </r>
  <r>
    <d v="2025-04-20T00:00:00"/>
    <x v="1"/>
    <x v="3"/>
    <x v="15"/>
    <x v="19"/>
    <x v="19"/>
    <x v="12"/>
    <x v="4"/>
    <n v="280474355"/>
  </r>
  <r>
    <d v="2025-04-20T00:00:00"/>
    <x v="1"/>
    <x v="3"/>
    <x v="15"/>
    <x v="19"/>
    <x v="11"/>
    <x v="10"/>
    <x v="4"/>
    <n v="162044006"/>
  </r>
  <r>
    <d v="2025-04-20T00:00:00"/>
    <x v="1"/>
    <x v="3"/>
    <x v="15"/>
    <x v="19"/>
    <x v="7"/>
    <x v="7"/>
    <x v="4"/>
    <n v="313477792"/>
  </r>
  <r>
    <d v="2025-04-20T00:00:00"/>
    <x v="1"/>
    <x v="3"/>
    <x v="15"/>
    <x v="19"/>
    <x v="12"/>
    <x v="11"/>
    <x v="1"/>
    <n v="6609130000"/>
  </r>
  <r>
    <d v="2025-04-21T00:00:00"/>
    <x v="1"/>
    <x v="3"/>
    <x v="16"/>
    <x v="20"/>
    <x v="14"/>
    <x v="13"/>
    <x v="1"/>
    <n v="908030000"/>
  </r>
  <r>
    <d v="2025-04-21T00:00:00"/>
    <x v="1"/>
    <x v="3"/>
    <x v="16"/>
    <x v="20"/>
    <x v="24"/>
    <x v="18"/>
    <x v="1"/>
    <n v="0"/>
  </r>
  <r>
    <d v="2025-04-21T00:00:00"/>
    <x v="1"/>
    <x v="3"/>
    <x v="16"/>
    <x v="20"/>
    <x v="7"/>
    <x v="7"/>
    <x v="4"/>
    <n v="393260165"/>
  </r>
  <r>
    <d v="2025-04-21T00:00:00"/>
    <x v="1"/>
    <x v="3"/>
    <x v="16"/>
    <x v="20"/>
    <x v="22"/>
    <x v="16"/>
    <x v="1"/>
    <n v="0"/>
  </r>
  <r>
    <d v="2025-04-21T00:00:00"/>
    <x v="1"/>
    <x v="3"/>
    <x v="16"/>
    <x v="20"/>
    <x v="15"/>
    <x v="14"/>
    <x v="4"/>
    <n v="27734254"/>
  </r>
  <r>
    <d v="2025-04-21T00:00:00"/>
    <x v="1"/>
    <x v="3"/>
    <x v="16"/>
    <x v="20"/>
    <x v="5"/>
    <x v="5"/>
    <x v="3"/>
    <n v="3928480974"/>
  </r>
  <r>
    <d v="2025-04-21T00:00:00"/>
    <x v="1"/>
    <x v="3"/>
    <x v="16"/>
    <x v="20"/>
    <x v="20"/>
    <x v="9"/>
    <x v="1"/>
    <n v="0"/>
  </r>
  <r>
    <d v="2025-04-21T00:00:00"/>
    <x v="1"/>
    <x v="3"/>
    <x v="16"/>
    <x v="20"/>
    <x v="17"/>
    <x v="9"/>
    <x v="1"/>
    <n v="0"/>
  </r>
  <r>
    <d v="2025-04-21T00:00:00"/>
    <x v="1"/>
    <x v="3"/>
    <x v="16"/>
    <x v="20"/>
    <x v="21"/>
    <x v="9"/>
    <x v="1"/>
    <n v="0"/>
  </r>
  <r>
    <d v="2025-04-21T00:00:00"/>
    <x v="1"/>
    <x v="3"/>
    <x v="16"/>
    <x v="20"/>
    <x v="6"/>
    <x v="6"/>
    <x v="0"/>
    <n v="124000000"/>
  </r>
  <r>
    <d v="2025-04-21T00:00:00"/>
    <x v="1"/>
    <x v="3"/>
    <x v="16"/>
    <x v="20"/>
    <x v="23"/>
    <x v="17"/>
    <x v="4"/>
    <n v="0"/>
  </r>
  <r>
    <d v="2025-04-21T00:00:00"/>
    <x v="1"/>
    <x v="3"/>
    <x v="16"/>
    <x v="20"/>
    <x v="3"/>
    <x v="3"/>
    <x v="1"/>
    <n v="0"/>
  </r>
  <r>
    <d v="2025-04-21T00:00:00"/>
    <x v="1"/>
    <x v="3"/>
    <x v="16"/>
    <x v="20"/>
    <x v="18"/>
    <x v="15"/>
    <x v="1"/>
    <n v="637280000"/>
  </r>
  <r>
    <d v="2025-04-21T00:00:00"/>
    <x v="1"/>
    <x v="3"/>
    <x v="16"/>
    <x v="20"/>
    <x v="12"/>
    <x v="11"/>
    <x v="1"/>
    <n v="6380590000"/>
  </r>
  <r>
    <d v="2025-04-21T00:00:00"/>
    <x v="1"/>
    <x v="3"/>
    <x v="16"/>
    <x v="20"/>
    <x v="1"/>
    <x v="1"/>
    <x v="1"/>
    <n v="82500000"/>
  </r>
  <r>
    <d v="2025-04-21T00:00:00"/>
    <x v="1"/>
    <x v="3"/>
    <x v="16"/>
    <x v="20"/>
    <x v="19"/>
    <x v="12"/>
    <x v="4"/>
    <n v="376853725"/>
  </r>
  <r>
    <d v="2025-04-21T00:00:00"/>
    <x v="1"/>
    <x v="3"/>
    <x v="16"/>
    <x v="20"/>
    <x v="11"/>
    <x v="10"/>
    <x v="4"/>
    <n v="180261469"/>
  </r>
  <r>
    <d v="2025-04-21T00:00:00"/>
    <x v="1"/>
    <x v="3"/>
    <x v="16"/>
    <x v="20"/>
    <x v="0"/>
    <x v="0"/>
    <x v="0"/>
    <n v="4325616000"/>
  </r>
  <r>
    <d v="2025-04-21T00:00:00"/>
    <x v="1"/>
    <x v="3"/>
    <x v="16"/>
    <x v="20"/>
    <x v="2"/>
    <x v="2"/>
    <x v="1"/>
    <n v="6079630000"/>
  </r>
  <r>
    <d v="2025-04-22T00:00:00"/>
    <x v="1"/>
    <x v="3"/>
    <x v="16"/>
    <x v="21"/>
    <x v="2"/>
    <x v="2"/>
    <x v="1"/>
    <n v="9694260000"/>
  </r>
  <r>
    <d v="2025-04-22T00:00:00"/>
    <x v="1"/>
    <x v="3"/>
    <x v="16"/>
    <x v="21"/>
    <x v="7"/>
    <x v="7"/>
    <x v="4"/>
    <n v="355076165"/>
  </r>
  <r>
    <d v="2025-04-22T00:00:00"/>
    <x v="1"/>
    <x v="3"/>
    <x v="16"/>
    <x v="21"/>
    <x v="11"/>
    <x v="10"/>
    <x v="4"/>
    <n v="182515360"/>
  </r>
  <r>
    <d v="2025-04-22T00:00:00"/>
    <x v="1"/>
    <x v="3"/>
    <x v="16"/>
    <x v="21"/>
    <x v="12"/>
    <x v="11"/>
    <x v="1"/>
    <n v="8698170000"/>
  </r>
  <r>
    <d v="2025-04-22T00:00:00"/>
    <x v="1"/>
    <x v="3"/>
    <x v="16"/>
    <x v="21"/>
    <x v="19"/>
    <x v="12"/>
    <x v="4"/>
    <n v="342224981"/>
  </r>
  <r>
    <d v="2025-04-22T00:00:00"/>
    <x v="1"/>
    <x v="3"/>
    <x v="16"/>
    <x v="21"/>
    <x v="0"/>
    <x v="0"/>
    <x v="0"/>
    <n v="3124008000"/>
  </r>
  <r>
    <d v="2025-04-22T00:00:00"/>
    <x v="1"/>
    <x v="3"/>
    <x v="16"/>
    <x v="21"/>
    <x v="14"/>
    <x v="13"/>
    <x v="1"/>
    <n v="805410000"/>
  </r>
  <r>
    <d v="2025-04-22T00:00:00"/>
    <x v="1"/>
    <x v="3"/>
    <x v="16"/>
    <x v="21"/>
    <x v="5"/>
    <x v="5"/>
    <x v="3"/>
    <n v="3723774971"/>
  </r>
  <r>
    <d v="2025-04-22T00:00:00"/>
    <x v="1"/>
    <x v="3"/>
    <x v="16"/>
    <x v="21"/>
    <x v="24"/>
    <x v="18"/>
    <x v="1"/>
    <n v="0"/>
  </r>
  <r>
    <d v="2025-04-22T00:00:00"/>
    <x v="1"/>
    <x v="3"/>
    <x v="16"/>
    <x v="21"/>
    <x v="22"/>
    <x v="16"/>
    <x v="1"/>
    <n v="0"/>
  </r>
  <r>
    <d v="2025-04-22T00:00:00"/>
    <x v="1"/>
    <x v="3"/>
    <x v="16"/>
    <x v="21"/>
    <x v="15"/>
    <x v="14"/>
    <x v="4"/>
    <n v="19326139"/>
  </r>
  <r>
    <d v="2025-04-22T00:00:00"/>
    <x v="1"/>
    <x v="3"/>
    <x v="16"/>
    <x v="21"/>
    <x v="1"/>
    <x v="1"/>
    <x v="1"/>
    <n v="44100000"/>
  </r>
  <r>
    <d v="2025-04-22T00:00:00"/>
    <x v="1"/>
    <x v="3"/>
    <x v="16"/>
    <x v="21"/>
    <x v="20"/>
    <x v="9"/>
    <x v="1"/>
    <n v="0"/>
  </r>
  <r>
    <d v="2025-04-22T00:00:00"/>
    <x v="1"/>
    <x v="3"/>
    <x v="16"/>
    <x v="21"/>
    <x v="17"/>
    <x v="9"/>
    <x v="1"/>
    <n v="0"/>
  </r>
  <r>
    <d v="2025-04-22T00:00:00"/>
    <x v="1"/>
    <x v="3"/>
    <x v="16"/>
    <x v="21"/>
    <x v="21"/>
    <x v="9"/>
    <x v="1"/>
    <n v="0"/>
  </r>
  <r>
    <d v="2025-04-22T00:00:00"/>
    <x v="1"/>
    <x v="3"/>
    <x v="16"/>
    <x v="21"/>
    <x v="6"/>
    <x v="6"/>
    <x v="0"/>
    <n v="39000000"/>
  </r>
  <r>
    <d v="2025-04-22T00:00:00"/>
    <x v="1"/>
    <x v="3"/>
    <x v="16"/>
    <x v="21"/>
    <x v="23"/>
    <x v="17"/>
    <x v="4"/>
    <n v="0"/>
  </r>
  <r>
    <d v="2025-04-22T00:00:00"/>
    <x v="1"/>
    <x v="3"/>
    <x v="16"/>
    <x v="21"/>
    <x v="3"/>
    <x v="3"/>
    <x v="1"/>
    <n v="0"/>
  </r>
  <r>
    <d v="2025-04-22T00:00:00"/>
    <x v="1"/>
    <x v="3"/>
    <x v="16"/>
    <x v="21"/>
    <x v="18"/>
    <x v="15"/>
    <x v="1"/>
    <n v="455520000"/>
  </r>
  <r>
    <d v="2025-04-23T00:00:00"/>
    <x v="1"/>
    <x v="3"/>
    <x v="16"/>
    <x v="22"/>
    <x v="2"/>
    <x v="2"/>
    <x v="1"/>
    <n v="8934100000"/>
  </r>
  <r>
    <d v="2025-04-23T00:00:00"/>
    <x v="1"/>
    <x v="3"/>
    <x v="16"/>
    <x v="22"/>
    <x v="5"/>
    <x v="5"/>
    <x v="3"/>
    <n v="3459400256"/>
  </r>
  <r>
    <d v="2025-04-23T00:00:00"/>
    <x v="1"/>
    <x v="3"/>
    <x v="16"/>
    <x v="22"/>
    <x v="12"/>
    <x v="11"/>
    <x v="1"/>
    <n v="8869710000"/>
  </r>
  <r>
    <d v="2025-04-23T00:00:00"/>
    <x v="1"/>
    <x v="3"/>
    <x v="16"/>
    <x v="22"/>
    <x v="0"/>
    <x v="0"/>
    <x v="0"/>
    <n v="5677236000"/>
  </r>
  <r>
    <d v="2025-04-23T00:00:00"/>
    <x v="1"/>
    <x v="3"/>
    <x v="16"/>
    <x v="22"/>
    <x v="15"/>
    <x v="14"/>
    <x v="4"/>
    <n v="25310120"/>
  </r>
  <r>
    <d v="2025-04-23T00:00:00"/>
    <x v="1"/>
    <x v="3"/>
    <x v="16"/>
    <x v="22"/>
    <x v="22"/>
    <x v="16"/>
    <x v="1"/>
    <n v="0"/>
  </r>
  <r>
    <d v="2025-04-23T00:00:00"/>
    <x v="1"/>
    <x v="3"/>
    <x v="16"/>
    <x v="22"/>
    <x v="20"/>
    <x v="9"/>
    <x v="1"/>
    <n v="0"/>
  </r>
  <r>
    <d v="2025-04-23T00:00:00"/>
    <x v="1"/>
    <x v="3"/>
    <x v="16"/>
    <x v="22"/>
    <x v="7"/>
    <x v="7"/>
    <x v="4"/>
    <n v="288311316"/>
  </r>
  <r>
    <d v="2025-04-23T00:00:00"/>
    <x v="1"/>
    <x v="3"/>
    <x v="16"/>
    <x v="22"/>
    <x v="17"/>
    <x v="9"/>
    <x v="1"/>
    <n v="0"/>
  </r>
  <r>
    <d v="2025-04-23T00:00:00"/>
    <x v="1"/>
    <x v="3"/>
    <x v="16"/>
    <x v="22"/>
    <x v="21"/>
    <x v="9"/>
    <x v="1"/>
    <n v="0"/>
  </r>
  <r>
    <d v="2025-04-23T00:00:00"/>
    <x v="1"/>
    <x v="3"/>
    <x v="16"/>
    <x v="22"/>
    <x v="1"/>
    <x v="1"/>
    <x v="1"/>
    <n v="85050000"/>
  </r>
  <r>
    <d v="2025-04-23T00:00:00"/>
    <x v="1"/>
    <x v="3"/>
    <x v="16"/>
    <x v="22"/>
    <x v="6"/>
    <x v="6"/>
    <x v="0"/>
    <n v="56000000"/>
  </r>
  <r>
    <d v="2025-04-23T00:00:00"/>
    <x v="1"/>
    <x v="3"/>
    <x v="16"/>
    <x v="22"/>
    <x v="24"/>
    <x v="18"/>
    <x v="1"/>
    <n v="0"/>
  </r>
  <r>
    <d v="2025-04-23T00:00:00"/>
    <x v="1"/>
    <x v="3"/>
    <x v="16"/>
    <x v="22"/>
    <x v="23"/>
    <x v="17"/>
    <x v="4"/>
    <n v="0"/>
  </r>
  <r>
    <d v="2025-04-23T00:00:00"/>
    <x v="1"/>
    <x v="3"/>
    <x v="16"/>
    <x v="22"/>
    <x v="3"/>
    <x v="3"/>
    <x v="1"/>
    <n v="0"/>
  </r>
  <r>
    <d v="2025-04-23T00:00:00"/>
    <x v="1"/>
    <x v="3"/>
    <x v="16"/>
    <x v="22"/>
    <x v="18"/>
    <x v="15"/>
    <x v="1"/>
    <n v="460490000"/>
  </r>
  <r>
    <d v="2025-04-23T00:00:00"/>
    <x v="1"/>
    <x v="3"/>
    <x v="16"/>
    <x v="22"/>
    <x v="14"/>
    <x v="13"/>
    <x v="1"/>
    <n v="713020000"/>
  </r>
  <r>
    <d v="2025-04-23T00:00:00"/>
    <x v="1"/>
    <x v="3"/>
    <x v="16"/>
    <x v="22"/>
    <x v="19"/>
    <x v="12"/>
    <x v="4"/>
    <n v="311728454"/>
  </r>
  <r>
    <d v="2025-04-23T00:00:00"/>
    <x v="1"/>
    <x v="3"/>
    <x v="16"/>
    <x v="22"/>
    <x v="11"/>
    <x v="10"/>
    <x v="4"/>
    <n v="177868183"/>
  </r>
  <r>
    <d v="2025-04-24T00:00:00"/>
    <x v="1"/>
    <x v="3"/>
    <x v="16"/>
    <x v="23"/>
    <x v="7"/>
    <x v="7"/>
    <x v="4"/>
    <n v="249700165"/>
  </r>
  <r>
    <d v="2025-04-24T00:00:00"/>
    <x v="1"/>
    <x v="3"/>
    <x v="16"/>
    <x v="23"/>
    <x v="12"/>
    <x v="11"/>
    <x v="1"/>
    <n v="8305750000"/>
  </r>
  <r>
    <d v="2025-04-24T00:00:00"/>
    <x v="1"/>
    <x v="3"/>
    <x v="16"/>
    <x v="23"/>
    <x v="5"/>
    <x v="5"/>
    <x v="3"/>
    <n v="3520308023"/>
  </r>
  <r>
    <d v="2025-04-24T00:00:00"/>
    <x v="1"/>
    <x v="3"/>
    <x v="16"/>
    <x v="23"/>
    <x v="0"/>
    <x v="0"/>
    <x v="0"/>
    <n v="4793472000"/>
  </r>
  <r>
    <d v="2025-04-24T00:00:00"/>
    <x v="1"/>
    <x v="3"/>
    <x v="16"/>
    <x v="23"/>
    <x v="6"/>
    <x v="6"/>
    <x v="0"/>
    <n v="19000000"/>
  </r>
  <r>
    <d v="2025-04-24T00:00:00"/>
    <x v="1"/>
    <x v="3"/>
    <x v="16"/>
    <x v="23"/>
    <x v="19"/>
    <x v="12"/>
    <x v="4"/>
    <n v="283267737"/>
  </r>
  <r>
    <d v="2025-04-24T00:00:00"/>
    <x v="1"/>
    <x v="3"/>
    <x v="16"/>
    <x v="23"/>
    <x v="2"/>
    <x v="2"/>
    <x v="1"/>
    <n v="8944960000"/>
  </r>
  <r>
    <d v="2025-04-24T00:00:00"/>
    <x v="1"/>
    <x v="3"/>
    <x v="16"/>
    <x v="23"/>
    <x v="22"/>
    <x v="16"/>
    <x v="1"/>
    <n v="0"/>
  </r>
  <r>
    <d v="2025-04-24T00:00:00"/>
    <x v="1"/>
    <x v="3"/>
    <x v="16"/>
    <x v="23"/>
    <x v="24"/>
    <x v="18"/>
    <x v="1"/>
    <n v="0"/>
  </r>
  <r>
    <d v="2025-04-24T00:00:00"/>
    <x v="1"/>
    <x v="3"/>
    <x v="16"/>
    <x v="23"/>
    <x v="15"/>
    <x v="14"/>
    <x v="4"/>
    <n v="27181470"/>
  </r>
  <r>
    <d v="2025-04-24T00:00:00"/>
    <x v="1"/>
    <x v="3"/>
    <x v="16"/>
    <x v="23"/>
    <x v="20"/>
    <x v="9"/>
    <x v="1"/>
    <n v="0"/>
  </r>
  <r>
    <d v="2025-04-24T00:00:00"/>
    <x v="1"/>
    <x v="3"/>
    <x v="16"/>
    <x v="23"/>
    <x v="17"/>
    <x v="9"/>
    <x v="1"/>
    <n v="0"/>
  </r>
  <r>
    <d v="2025-04-24T00:00:00"/>
    <x v="1"/>
    <x v="3"/>
    <x v="16"/>
    <x v="23"/>
    <x v="21"/>
    <x v="9"/>
    <x v="1"/>
    <n v="0"/>
  </r>
  <r>
    <d v="2025-04-24T00:00:00"/>
    <x v="1"/>
    <x v="3"/>
    <x v="16"/>
    <x v="23"/>
    <x v="1"/>
    <x v="1"/>
    <x v="1"/>
    <n v="11550000"/>
  </r>
  <r>
    <d v="2025-04-24T00:00:00"/>
    <x v="1"/>
    <x v="3"/>
    <x v="16"/>
    <x v="23"/>
    <x v="3"/>
    <x v="3"/>
    <x v="1"/>
    <n v="0"/>
  </r>
  <r>
    <d v="2025-04-24T00:00:00"/>
    <x v="1"/>
    <x v="3"/>
    <x v="16"/>
    <x v="23"/>
    <x v="18"/>
    <x v="15"/>
    <x v="1"/>
    <n v="508360000"/>
  </r>
  <r>
    <d v="2025-04-24T00:00:00"/>
    <x v="1"/>
    <x v="3"/>
    <x v="16"/>
    <x v="23"/>
    <x v="14"/>
    <x v="13"/>
    <x v="1"/>
    <n v="1057460000"/>
  </r>
  <r>
    <d v="2025-04-24T00:00:00"/>
    <x v="1"/>
    <x v="3"/>
    <x v="16"/>
    <x v="23"/>
    <x v="23"/>
    <x v="17"/>
    <x v="4"/>
    <n v="0"/>
  </r>
  <r>
    <d v="2025-04-24T00:00:00"/>
    <x v="1"/>
    <x v="3"/>
    <x v="16"/>
    <x v="23"/>
    <x v="11"/>
    <x v="10"/>
    <x v="4"/>
    <n v="187968833"/>
  </r>
  <r>
    <d v="2025-04-25T00:00:00"/>
    <x v="1"/>
    <x v="3"/>
    <x v="16"/>
    <x v="24"/>
    <x v="14"/>
    <x v="13"/>
    <x v="1"/>
    <n v="837740000"/>
  </r>
  <r>
    <d v="2025-04-25T00:00:00"/>
    <x v="1"/>
    <x v="3"/>
    <x v="16"/>
    <x v="24"/>
    <x v="6"/>
    <x v="6"/>
    <x v="0"/>
    <n v="53000000"/>
  </r>
  <r>
    <d v="2025-04-25T00:00:00"/>
    <x v="1"/>
    <x v="3"/>
    <x v="16"/>
    <x v="24"/>
    <x v="18"/>
    <x v="15"/>
    <x v="1"/>
    <n v="405160000"/>
  </r>
  <r>
    <d v="2025-04-25T00:00:00"/>
    <x v="1"/>
    <x v="3"/>
    <x v="16"/>
    <x v="24"/>
    <x v="24"/>
    <x v="18"/>
    <x v="1"/>
    <n v="0"/>
  </r>
  <r>
    <d v="2025-04-25T00:00:00"/>
    <x v="1"/>
    <x v="3"/>
    <x v="16"/>
    <x v="24"/>
    <x v="23"/>
    <x v="17"/>
    <x v="4"/>
    <n v="0"/>
  </r>
  <r>
    <d v="2025-04-25T00:00:00"/>
    <x v="1"/>
    <x v="3"/>
    <x v="16"/>
    <x v="24"/>
    <x v="19"/>
    <x v="12"/>
    <x v="4"/>
    <n v="291085782"/>
  </r>
  <r>
    <d v="2025-04-25T00:00:00"/>
    <x v="1"/>
    <x v="3"/>
    <x v="16"/>
    <x v="24"/>
    <x v="5"/>
    <x v="5"/>
    <x v="3"/>
    <n v="4353921248"/>
  </r>
  <r>
    <d v="2025-04-25T00:00:00"/>
    <x v="1"/>
    <x v="3"/>
    <x v="16"/>
    <x v="24"/>
    <x v="20"/>
    <x v="9"/>
    <x v="1"/>
    <n v="0"/>
  </r>
  <r>
    <d v="2025-04-25T00:00:00"/>
    <x v="1"/>
    <x v="3"/>
    <x v="16"/>
    <x v="24"/>
    <x v="11"/>
    <x v="10"/>
    <x v="4"/>
    <n v="192187940"/>
  </r>
  <r>
    <d v="2025-04-25T00:00:00"/>
    <x v="1"/>
    <x v="3"/>
    <x v="16"/>
    <x v="24"/>
    <x v="12"/>
    <x v="11"/>
    <x v="1"/>
    <n v="8120420000"/>
  </r>
  <r>
    <d v="2025-04-25T00:00:00"/>
    <x v="1"/>
    <x v="3"/>
    <x v="16"/>
    <x v="24"/>
    <x v="0"/>
    <x v="0"/>
    <x v="0"/>
    <n v="5015304000"/>
  </r>
  <r>
    <d v="2025-04-25T00:00:00"/>
    <x v="1"/>
    <x v="3"/>
    <x v="16"/>
    <x v="24"/>
    <x v="2"/>
    <x v="2"/>
    <x v="1"/>
    <n v="8173660000"/>
  </r>
  <r>
    <d v="2025-04-25T00:00:00"/>
    <x v="1"/>
    <x v="3"/>
    <x v="16"/>
    <x v="24"/>
    <x v="22"/>
    <x v="16"/>
    <x v="1"/>
    <n v="0"/>
  </r>
  <r>
    <d v="2025-04-25T00:00:00"/>
    <x v="1"/>
    <x v="3"/>
    <x v="16"/>
    <x v="24"/>
    <x v="15"/>
    <x v="14"/>
    <x v="4"/>
    <n v="20370872"/>
  </r>
  <r>
    <d v="2025-04-25T00:00:00"/>
    <x v="1"/>
    <x v="3"/>
    <x v="16"/>
    <x v="24"/>
    <x v="3"/>
    <x v="3"/>
    <x v="1"/>
    <n v="0"/>
  </r>
  <r>
    <d v="2025-04-25T00:00:00"/>
    <x v="1"/>
    <x v="3"/>
    <x v="16"/>
    <x v="24"/>
    <x v="7"/>
    <x v="7"/>
    <x v="4"/>
    <n v="322949186"/>
  </r>
  <r>
    <d v="2025-04-25T00:00:00"/>
    <x v="1"/>
    <x v="3"/>
    <x v="16"/>
    <x v="24"/>
    <x v="17"/>
    <x v="9"/>
    <x v="1"/>
    <n v="0"/>
  </r>
  <r>
    <d v="2025-04-25T00:00:00"/>
    <x v="1"/>
    <x v="3"/>
    <x v="16"/>
    <x v="24"/>
    <x v="21"/>
    <x v="9"/>
    <x v="1"/>
    <n v="0"/>
  </r>
  <r>
    <d v="2025-04-25T00:00:00"/>
    <x v="1"/>
    <x v="3"/>
    <x v="16"/>
    <x v="24"/>
    <x v="1"/>
    <x v="1"/>
    <x v="1"/>
    <n v="31500000"/>
  </r>
  <r>
    <d v="2025-04-26T00:00:00"/>
    <x v="1"/>
    <x v="3"/>
    <x v="16"/>
    <x v="25"/>
    <x v="0"/>
    <x v="0"/>
    <x v="0"/>
    <n v="5086584000"/>
  </r>
  <r>
    <d v="2025-04-26T00:00:00"/>
    <x v="1"/>
    <x v="3"/>
    <x v="16"/>
    <x v="25"/>
    <x v="2"/>
    <x v="2"/>
    <x v="1"/>
    <n v="8729290000"/>
  </r>
  <r>
    <d v="2025-04-26T00:00:00"/>
    <x v="1"/>
    <x v="3"/>
    <x v="16"/>
    <x v="25"/>
    <x v="12"/>
    <x v="11"/>
    <x v="1"/>
    <n v="6934770000"/>
  </r>
  <r>
    <d v="2025-04-26T00:00:00"/>
    <x v="1"/>
    <x v="3"/>
    <x v="16"/>
    <x v="25"/>
    <x v="14"/>
    <x v="13"/>
    <x v="1"/>
    <n v="706490000"/>
  </r>
  <r>
    <d v="2025-04-26T00:00:00"/>
    <x v="1"/>
    <x v="3"/>
    <x v="16"/>
    <x v="25"/>
    <x v="24"/>
    <x v="18"/>
    <x v="1"/>
    <n v="0"/>
  </r>
  <r>
    <d v="2025-04-26T00:00:00"/>
    <x v="1"/>
    <x v="3"/>
    <x v="16"/>
    <x v="25"/>
    <x v="15"/>
    <x v="14"/>
    <x v="4"/>
    <n v="12965747"/>
  </r>
  <r>
    <d v="2025-04-26T00:00:00"/>
    <x v="1"/>
    <x v="3"/>
    <x v="16"/>
    <x v="25"/>
    <x v="20"/>
    <x v="9"/>
    <x v="1"/>
    <n v="0"/>
  </r>
  <r>
    <d v="2025-04-26T00:00:00"/>
    <x v="1"/>
    <x v="3"/>
    <x v="16"/>
    <x v="25"/>
    <x v="17"/>
    <x v="9"/>
    <x v="1"/>
    <n v="0"/>
  </r>
  <r>
    <d v="2025-04-26T00:00:00"/>
    <x v="1"/>
    <x v="3"/>
    <x v="16"/>
    <x v="25"/>
    <x v="22"/>
    <x v="16"/>
    <x v="1"/>
    <n v="0"/>
  </r>
  <r>
    <d v="2025-04-26T00:00:00"/>
    <x v="1"/>
    <x v="3"/>
    <x v="16"/>
    <x v="25"/>
    <x v="21"/>
    <x v="9"/>
    <x v="1"/>
    <n v="0"/>
  </r>
  <r>
    <d v="2025-04-26T00:00:00"/>
    <x v="1"/>
    <x v="3"/>
    <x v="16"/>
    <x v="25"/>
    <x v="1"/>
    <x v="1"/>
    <x v="1"/>
    <n v="20500000"/>
  </r>
  <r>
    <d v="2025-04-26T00:00:00"/>
    <x v="1"/>
    <x v="3"/>
    <x v="16"/>
    <x v="25"/>
    <x v="6"/>
    <x v="6"/>
    <x v="0"/>
    <n v="38000000"/>
  </r>
  <r>
    <d v="2025-04-26T00:00:00"/>
    <x v="1"/>
    <x v="3"/>
    <x v="16"/>
    <x v="25"/>
    <x v="3"/>
    <x v="3"/>
    <x v="1"/>
    <n v="0"/>
  </r>
  <r>
    <d v="2025-04-26T00:00:00"/>
    <x v="1"/>
    <x v="3"/>
    <x v="16"/>
    <x v="25"/>
    <x v="18"/>
    <x v="15"/>
    <x v="1"/>
    <n v="494600000"/>
  </r>
  <r>
    <d v="2025-04-26T00:00:00"/>
    <x v="1"/>
    <x v="3"/>
    <x v="16"/>
    <x v="25"/>
    <x v="23"/>
    <x v="17"/>
    <x v="4"/>
    <n v="0"/>
  </r>
  <r>
    <d v="2025-04-26T00:00:00"/>
    <x v="1"/>
    <x v="3"/>
    <x v="16"/>
    <x v="25"/>
    <x v="11"/>
    <x v="10"/>
    <x v="4"/>
    <n v="154364378"/>
  </r>
  <r>
    <d v="2025-04-26T00:00:00"/>
    <x v="1"/>
    <x v="3"/>
    <x v="16"/>
    <x v="25"/>
    <x v="19"/>
    <x v="12"/>
    <x v="4"/>
    <n v="299826629"/>
  </r>
  <r>
    <d v="2025-04-26T00:00:00"/>
    <x v="1"/>
    <x v="3"/>
    <x v="16"/>
    <x v="25"/>
    <x v="5"/>
    <x v="5"/>
    <x v="3"/>
    <n v="3140181550"/>
  </r>
  <r>
    <d v="2025-04-26T00:00:00"/>
    <x v="1"/>
    <x v="3"/>
    <x v="16"/>
    <x v="25"/>
    <x v="7"/>
    <x v="7"/>
    <x v="4"/>
    <n v="354382704"/>
  </r>
  <r>
    <d v="2025-04-27T00:00:00"/>
    <x v="1"/>
    <x v="3"/>
    <x v="16"/>
    <x v="26"/>
    <x v="24"/>
    <x v="18"/>
    <x v="1"/>
    <n v="0"/>
  </r>
  <r>
    <d v="2025-04-27T00:00:00"/>
    <x v="1"/>
    <x v="3"/>
    <x v="16"/>
    <x v="26"/>
    <x v="22"/>
    <x v="16"/>
    <x v="1"/>
    <n v="0"/>
  </r>
  <r>
    <d v="2025-04-27T00:00:00"/>
    <x v="1"/>
    <x v="3"/>
    <x v="16"/>
    <x v="26"/>
    <x v="15"/>
    <x v="14"/>
    <x v="4"/>
    <n v="16216550"/>
  </r>
  <r>
    <d v="2025-04-27T00:00:00"/>
    <x v="1"/>
    <x v="3"/>
    <x v="16"/>
    <x v="26"/>
    <x v="20"/>
    <x v="9"/>
    <x v="1"/>
    <n v="0"/>
  </r>
  <r>
    <d v="2025-04-27T00:00:00"/>
    <x v="1"/>
    <x v="3"/>
    <x v="16"/>
    <x v="26"/>
    <x v="17"/>
    <x v="9"/>
    <x v="1"/>
    <n v="0"/>
  </r>
  <r>
    <d v="2025-04-27T00:00:00"/>
    <x v="1"/>
    <x v="3"/>
    <x v="16"/>
    <x v="26"/>
    <x v="21"/>
    <x v="9"/>
    <x v="1"/>
    <n v="0"/>
  </r>
  <r>
    <d v="2025-04-27T00:00:00"/>
    <x v="1"/>
    <x v="3"/>
    <x v="16"/>
    <x v="26"/>
    <x v="1"/>
    <x v="1"/>
    <x v="1"/>
    <n v="52500000"/>
  </r>
  <r>
    <d v="2025-04-27T00:00:00"/>
    <x v="1"/>
    <x v="3"/>
    <x v="16"/>
    <x v="26"/>
    <x v="6"/>
    <x v="6"/>
    <x v="0"/>
    <n v="30000000"/>
  </r>
  <r>
    <d v="2025-04-27T00:00:00"/>
    <x v="1"/>
    <x v="3"/>
    <x v="16"/>
    <x v="26"/>
    <x v="3"/>
    <x v="3"/>
    <x v="1"/>
    <n v="0"/>
  </r>
  <r>
    <d v="2025-04-27T00:00:00"/>
    <x v="1"/>
    <x v="3"/>
    <x v="16"/>
    <x v="26"/>
    <x v="18"/>
    <x v="15"/>
    <x v="1"/>
    <n v="375900000"/>
  </r>
  <r>
    <d v="2025-04-27T00:00:00"/>
    <x v="1"/>
    <x v="3"/>
    <x v="16"/>
    <x v="26"/>
    <x v="14"/>
    <x v="13"/>
    <x v="1"/>
    <n v="835840000"/>
  </r>
  <r>
    <d v="2025-04-27T00:00:00"/>
    <x v="1"/>
    <x v="3"/>
    <x v="16"/>
    <x v="26"/>
    <x v="23"/>
    <x v="17"/>
    <x v="4"/>
    <n v="0"/>
  </r>
  <r>
    <d v="2025-04-27T00:00:00"/>
    <x v="1"/>
    <x v="3"/>
    <x v="16"/>
    <x v="26"/>
    <x v="11"/>
    <x v="10"/>
    <x v="4"/>
    <n v="180597914"/>
  </r>
  <r>
    <d v="2025-04-27T00:00:00"/>
    <x v="1"/>
    <x v="3"/>
    <x v="16"/>
    <x v="26"/>
    <x v="19"/>
    <x v="12"/>
    <x v="4"/>
    <n v="275638157"/>
  </r>
  <r>
    <d v="2025-04-27T00:00:00"/>
    <x v="1"/>
    <x v="3"/>
    <x v="16"/>
    <x v="26"/>
    <x v="5"/>
    <x v="5"/>
    <x v="3"/>
    <n v="2961190877"/>
  </r>
  <r>
    <d v="2025-04-27T00:00:00"/>
    <x v="1"/>
    <x v="3"/>
    <x v="16"/>
    <x v="26"/>
    <x v="7"/>
    <x v="7"/>
    <x v="4"/>
    <n v="299723008"/>
  </r>
  <r>
    <d v="2025-04-27T00:00:00"/>
    <x v="1"/>
    <x v="3"/>
    <x v="16"/>
    <x v="26"/>
    <x v="12"/>
    <x v="11"/>
    <x v="1"/>
    <n v="6877400000"/>
  </r>
  <r>
    <d v="2025-04-27T00:00:00"/>
    <x v="1"/>
    <x v="3"/>
    <x v="16"/>
    <x v="26"/>
    <x v="0"/>
    <x v="0"/>
    <x v="0"/>
    <n v="4590864000"/>
  </r>
  <r>
    <d v="2025-04-27T00:00:00"/>
    <x v="1"/>
    <x v="3"/>
    <x v="16"/>
    <x v="26"/>
    <x v="2"/>
    <x v="2"/>
    <x v="1"/>
    <n v="7275840000"/>
  </r>
  <r>
    <d v="2025-04-28T00:00:00"/>
    <x v="1"/>
    <x v="3"/>
    <x v="17"/>
    <x v="27"/>
    <x v="1"/>
    <x v="1"/>
    <x v="1"/>
    <n v="52500000"/>
  </r>
  <r>
    <d v="2025-04-28T00:00:00"/>
    <x v="1"/>
    <x v="3"/>
    <x v="17"/>
    <x v="27"/>
    <x v="7"/>
    <x v="7"/>
    <x v="4"/>
    <n v="318310256"/>
  </r>
  <r>
    <d v="2025-04-28T00:00:00"/>
    <x v="1"/>
    <x v="3"/>
    <x v="17"/>
    <x v="27"/>
    <x v="21"/>
    <x v="9"/>
    <x v="1"/>
    <n v="0"/>
  </r>
  <r>
    <d v="2025-04-28T00:00:00"/>
    <x v="1"/>
    <x v="3"/>
    <x v="17"/>
    <x v="27"/>
    <x v="12"/>
    <x v="11"/>
    <x v="1"/>
    <n v="7838830000"/>
  </r>
  <r>
    <d v="2025-04-28T00:00:00"/>
    <x v="1"/>
    <x v="3"/>
    <x v="17"/>
    <x v="27"/>
    <x v="20"/>
    <x v="9"/>
    <x v="1"/>
    <n v="0"/>
  </r>
  <r>
    <d v="2025-04-28T00:00:00"/>
    <x v="1"/>
    <x v="3"/>
    <x v="17"/>
    <x v="27"/>
    <x v="17"/>
    <x v="9"/>
    <x v="1"/>
    <n v="0"/>
  </r>
  <r>
    <d v="2025-04-28T00:00:00"/>
    <x v="1"/>
    <x v="3"/>
    <x v="17"/>
    <x v="27"/>
    <x v="0"/>
    <x v="0"/>
    <x v="0"/>
    <n v="5110020000"/>
  </r>
  <r>
    <d v="2025-04-28T00:00:00"/>
    <x v="1"/>
    <x v="3"/>
    <x v="17"/>
    <x v="27"/>
    <x v="24"/>
    <x v="18"/>
    <x v="1"/>
    <n v="0"/>
  </r>
  <r>
    <d v="2025-04-28T00:00:00"/>
    <x v="1"/>
    <x v="3"/>
    <x v="17"/>
    <x v="27"/>
    <x v="22"/>
    <x v="16"/>
    <x v="1"/>
    <n v="0"/>
  </r>
  <r>
    <d v="2025-04-28T00:00:00"/>
    <x v="1"/>
    <x v="3"/>
    <x v="17"/>
    <x v="27"/>
    <x v="15"/>
    <x v="14"/>
    <x v="4"/>
    <n v="26885530"/>
  </r>
  <r>
    <d v="2025-04-28T00:00:00"/>
    <x v="1"/>
    <x v="3"/>
    <x v="17"/>
    <x v="27"/>
    <x v="2"/>
    <x v="2"/>
    <x v="1"/>
    <n v="8021380000"/>
  </r>
  <r>
    <d v="2025-04-28T00:00:00"/>
    <x v="1"/>
    <x v="3"/>
    <x v="17"/>
    <x v="27"/>
    <x v="6"/>
    <x v="6"/>
    <x v="0"/>
    <n v="39000000"/>
  </r>
  <r>
    <d v="2025-04-28T00:00:00"/>
    <x v="1"/>
    <x v="3"/>
    <x v="17"/>
    <x v="27"/>
    <x v="3"/>
    <x v="3"/>
    <x v="1"/>
    <n v="0"/>
  </r>
  <r>
    <d v="2025-04-28T00:00:00"/>
    <x v="1"/>
    <x v="3"/>
    <x v="17"/>
    <x v="27"/>
    <x v="18"/>
    <x v="15"/>
    <x v="1"/>
    <n v="530440000"/>
  </r>
  <r>
    <d v="2025-04-28T00:00:00"/>
    <x v="1"/>
    <x v="3"/>
    <x v="17"/>
    <x v="27"/>
    <x v="14"/>
    <x v="13"/>
    <x v="1"/>
    <n v="873610000"/>
  </r>
  <r>
    <d v="2025-04-28T00:00:00"/>
    <x v="1"/>
    <x v="3"/>
    <x v="17"/>
    <x v="27"/>
    <x v="23"/>
    <x v="17"/>
    <x v="4"/>
    <n v="0"/>
  </r>
  <r>
    <d v="2025-04-28T00:00:00"/>
    <x v="1"/>
    <x v="3"/>
    <x v="17"/>
    <x v="27"/>
    <x v="11"/>
    <x v="10"/>
    <x v="4"/>
    <n v="194187216"/>
  </r>
  <r>
    <d v="2025-04-28T00:00:00"/>
    <x v="1"/>
    <x v="3"/>
    <x v="17"/>
    <x v="27"/>
    <x v="19"/>
    <x v="12"/>
    <x v="4"/>
    <n v="376209773"/>
  </r>
  <r>
    <d v="2025-04-28T00:00:00"/>
    <x v="1"/>
    <x v="3"/>
    <x v="17"/>
    <x v="27"/>
    <x v="5"/>
    <x v="5"/>
    <x v="3"/>
    <n v="4242408819"/>
  </r>
  <r>
    <d v="2025-04-29T00:00:00"/>
    <x v="1"/>
    <x v="3"/>
    <x v="17"/>
    <x v="28"/>
    <x v="2"/>
    <x v="2"/>
    <x v="1"/>
    <n v="9731170000"/>
  </r>
  <r>
    <d v="2025-04-29T00:00:00"/>
    <x v="1"/>
    <x v="3"/>
    <x v="17"/>
    <x v="28"/>
    <x v="0"/>
    <x v="0"/>
    <x v="0"/>
    <n v="5529816000"/>
  </r>
  <r>
    <d v="2025-04-29T00:00:00"/>
    <x v="1"/>
    <x v="3"/>
    <x v="17"/>
    <x v="28"/>
    <x v="23"/>
    <x v="17"/>
    <x v="4"/>
    <n v="0"/>
  </r>
  <r>
    <d v="2025-04-29T00:00:00"/>
    <x v="1"/>
    <x v="3"/>
    <x v="17"/>
    <x v="28"/>
    <x v="24"/>
    <x v="18"/>
    <x v="1"/>
    <n v="0"/>
  </r>
  <r>
    <d v="2025-04-29T00:00:00"/>
    <x v="1"/>
    <x v="3"/>
    <x v="17"/>
    <x v="28"/>
    <x v="19"/>
    <x v="12"/>
    <x v="4"/>
    <n v="532854328"/>
  </r>
  <r>
    <d v="2025-04-29T00:00:00"/>
    <x v="1"/>
    <x v="3"/>
    <x v="17"/>
    <x v="28"/>
    <x v="22"/>
    <x v="16"/>
    <x v="1"/>
    <n v="0"/>
  </r>
  <r>
    <d v="2025-04-29T00:00:00"/>
    <x v="1"/>
    <x v="3"/>
    <x v="17"/>
    <x v="28"/>
    <x v="15"/>
    <x v="14"/>
    <x v="4"/>
    <n v="24743599"/>
  </r>
  <r>
    <d v="2025-04-29T00:00:00"/>
    <x v="1"/>
    <x v="3"/>
    <x v="17"/>
    <x v="28"/>
    <x v="5"/>
    <x v="5"/>
    <x v="3"/>
    <n v="4230708613"/>
  </r>
  <r>
    <d v="2025-04-29T00:00:00"/>
    <x v="1"/>
    <x v="3"/>
    <x v="17"/>
    <x v="28"/>
    <x v="17"/>
    <x v="9"/>
    <x v="1"/>
    <n v="0"/>
  </r>
  <r>
    <d v="2025-04-29T00:00:00"/>
    <x v="1"/>
    <x v="3"/>
    <x v="17"/>
    <x v="28"/>
    <x v="21"/>
    <x v="9"/>
    <x v="1"/>
    <n v="0"/>
  </r>
  <r>
    <d v="2025-04-29T00:00:00"/>
    <x v="1"/>
    <x v="3"/>
    <x v="17"/>
    <x v="28"/>
    <x v="1"/>
    <x v="1"/>
    <x v="1"/>
    <n v="72500000"/>
  </r>
  <r>
    <d v="2025-04-29T00:00:00"/>
    <x v="1"/>
    <x v="3"/>
    <x v="17"/>
    <x v="28"/>
    <x v="6"/>
    <x v="6"/>
    <x v="0"/>
    <n v="72000000"/>
  </r>
  <r>
    <d v="2025-04-29T00:00:00"/>
    <x v="1"/>
    <x v="3"/>
    <x v="17"/>
    <x v="28"/>
    <x v="20"/>
    <x v="9"/>
    <x v="1"/>
    <n v="0"/>
  </r>
  <r>
    <d v="2025-04-29T00:00:00"/>
    <x v="1"/>
    <x v="3"/>
    <x v="17"/>
    <x v="28"/>
    <x v="3"/>
    <x v="3"/>
    <x v="1"/>
    <n v="0"/>
  </r>
  <r>
    <d v="2025-04-29T00:00:00"/>
    <x v="1"/>
    <x v="3"/>
    <x v="17"/>
    <x v="28"/>
    <x v="18"/>
    <x v="15"/>
    <x v="1"/>
    <n v="568860000"/>
  </r>
  <r>
    <d v="2025-04-29T00:00:00"/>
    <x v="1"/>
    <x v="3"/>
    <x v="17"/>
    <x v="28"/>
    <x v="14"/>
    <x v="13"/>
    <x v="1"/>
    <n v="882980000"/>
  </r>
  <r>
    <d v="2025-04-29T00:00:00"/>
    <x v="1"/>
    <x v="3"/>
    <x v="17"/>
    <x v="28"/>
    <x v="7"/>
    <x v="7"/>
    <x v="4"/>
    <n v="336635383"/>
  </r>
  <r>
    <d v="2025-04-29T00:00:00"/>
    <x v="1"/>
    <x v="3"/>
    <x v="17"/>
    <x v="28"/>
    <x v="11"/>
    <x v="10"/>
    <x v="4"/>
    <n v="230071148"/>
  </r>
  <r>
    <d v="2025-04-29T00:00:00"/>
    <x v="1"/>
    <x v="3"/>
    <x v="17"/>
    <x v="28"/>
    <x v="12"/>
    <x v="11"/>
    <x v="1"/>
    <n v="8792240000"/>
  </r>
  <r>
    <d v="2025-04-30T00:00:00"/>
    <x v="1"/>
    <x v="3"/>
    <x v="17"/>
    <x v="29"/>
    <x v="5"/>
    <x v="5"/>
    <x v="3"/>
    <n v="3200556134"/>
  </r>
  <r>
    <d v="2025-04-30T00:00:00"/>
    <x v="1"/>
    <x v="3"/>
    <x v="17"/>
    <x v="29"/>
    <x v="7"/>
    <x v="7"/>
    <x v="4"/>
    <n v="245973045"/>
  </r>
  <r>
    <d v="2025-04-30T00:00:00"/>
    <x v="1"/>
    <x v="3"/>
    <x v="17"/>
    <x v="29"/>
    <x v="19"/>
    <x v="12"/>
    <x v="4"/>
    <n v="316819511"/>
  </r>
  <r>
    <d v="2025-04-30T00:00:00"/>
    <x v="1"/>
    <x v="3"/>
    <x v="17"/>
    <x v="29"/>
    <x v="0"/>
    <x v="0"/>
    <x v="0"/>
    <n v="4412124000"/>
  </r>
  <r>
    <d v="2025-04-30T00:00:00"/>
    <x v="1"/>
    <x v="3"/>
    <x v="17"/>
    <x v="29"/>
    <x v="11"/>
    <x v="10"/>
    <x v="4"/>
    <n v="251261352"/>
  </r>
  <r>
    <d v="2025-04-30T00:00:00"/>
    <x v="1"/>
    <x v="3"/>
    <x v="17"/>
    <x v="29"/>
    <x v="2"/>
    <x v="2"/>
    <x v="1"/>
    <n v="6213380000"/>
  </r>
  <r>
    <d v="2025-04-30T00:00:00"/>
    <x v="1"/>
    <x v="3"/>
    <x v="17"/>
    <x v="29"/>
    <x v="22"/>
    <x v="16"/>
    <x v="1"/>
    <n v="0"/>
  </r>
  <r>
    <d v="2025-04-30T00:00:00"/>
    <x v="1"/>
    <x v="3"/>
    <x v="17"/>
    <x v="29"/>
    <x v="24"/>
    <x v="18"/>
    <x v="1"/>
    <n v="0"/>
  </r>
  <r>
    <d v="2025-04-30T00:00:00"/>
    <x v="1"/>
    <x v="3"/>
    <x v="17"/>
    <x v="29"/>
    <x v="15"/>
    <x v="14"/>
    <x v="4"/>
    <n v="15159264"/>
  </r>
  <r>
    <d v="2025-04-30T00:00:00"/>
    <x v="1"/>
    <x v="3"/>
    <x v="17"/>
    <x v="29"/>
    <x v="20"/>
    <x v="9"/>
    <x v="1"/>
    <n v="0"/>
  </r>
  <r>
    <d v="2025-04-30T00:00:00"/>
    <x v="1"/>
    <x v="3"/>
    <x v="17"/>
    <x v="29"/>
    <x v="17"/>
    <x v="9"/>
    <x v="1"/>
    <n v="0"/>
  </r>
  <r>
    <d v="2025-04-30T00:00:00"/>
    <x v="1"/>
    <x v="3"/>
    <x v="17"/>
    <x v="29"/>
    <x v="21"/>
    <x v="9"/>
    <x v="1"/>
    <n v="0"/>
  </r>
  <r>
    <d v="2025-04-30T00:00:00"/>
    <x v="1"/>
    <x v="3"/>
    <x v="17"/>
    <x v="29"/>
    <x v="1"/>
    <x v="1"/>
    <x v="1"/>
    <n v="26250000"/>
  </r>
  <r>
    <d v="2025-04-30T00:00:00"/>
    <x v="1"/>
    <x v="3"/>
    <x v="17"/>
    <x v="29"/>
    <x v="6"/>
    <x v="6"/>
    <x v="0"/>
    <n v="4000000"/>
  </r>
  <r>
    <d v="2025-04-30T00:00:00"/>
    <x v="1"/>
    <x v="3"/>
    <x v="17"/>
    <x v="29"/>
    <x v="3"/>
    <x v="3"/>
    <x v="1"/>
    <n v="0"/>
  </r>
  <r>
    <d v="2025-04-30T00:00:00"/>
    <x v="1"/>
    <x v="3"/>
    <x v="17"/>
    <x v="29"/>
    <x v="12"/>
    <x v="11"/>
    <x v="1"/>
    <n v="5898900000"/>
  </r>
  <r>
    <d v="2025-04-30T00:00:00"/>
    <x v="1"/>
    <x v="3"/>
    <x v="17"/>
    <x v="29"/>
    <x v="18"/>
    <x v="15"/>
    <x v="1"/>
    <n v="341760000"/>
  </r>
  <r>
    <d v="2025-04-30T00:00:00"/>
    <x v="1"/>
    <x v="3"/>
    <x v="17"/>
    <x v="29"/>
    <x v="14"/>
    <x v="13"/>
    <x v="1"/>
    <n v="481380000"/>
  </r>
  <r>
    <d v="2025-04-30T00:00:00"/>
    <x v="1"/>
    <x v="3"/>
    <x v="17"/>
    <x v="29"/>
    <x v="23"/>
    <x v="17"/>
    <x v="4"/>
    <n v="0"/>
  </r>
  <r>
    <d v="2025-05-01T00:00:00"/>
    <x v="1"/>
    <x v="4"/>
    <x v="17"/>
    <x v="0"/>
    <x v="19"/>
    <x v="12"/>
    <x v="4"/>
    <n v="609346681"/>
  </r>
  <r>
    <d v="2025-05-01T00:00:00"/>
    <x v="1"/>
    <x v="4"/>
    <x v="17"/>
    <x v="0"/>
    <x v="23"/>
    <x v="17"/>
    <x v="4"/>
    <n v="0"/>
  </r>
  <r>
    <d v="2025-05-01T00:00:00"/>
    <x v="1"/>
    <x v="4"/>
    <x v="17"/>
    <x v="0"/>
    <x v="21"/>
    <x v="9"/>
    <x v="1"/>
    <n v="0"/>
  </r>
  <r>
    <d v="2025-05-01T00:00:00"/>
    <x v="1"/>
    <x v="4"/>
    <x v="17"/>
    <x v="0"/>
    <x v="11"/>
    <x v="10"/>
    <x v="4"/>
    <n v="188043434"/>
  </r>
  <r>
    <d v="2025-05-01T00:00:00"/>
    <x v="1"/>
    <x v="4"/>
    <x v="17"/>
    <x v="0"/>
    <x v="15"/>
    <x v="14"/>
    <x v="4"/>
    <n v="59943097"/>
  </r>
  <r>
    <d v="2025-05-01T00:00:00"/>
    <x v="1"/>
    <x v="4"/>
    <x v="17"/>
    <x v="0"/>
    <x v="1"/>
    <x v="1"/>
    <x v="1"/>
    <n v="31000000"/>
  </r>
  <r>
    <d v="2025-05-01T00:00:00"/>
    <x v="1"/>
    <x v="4"/>
    <x v="17"/>
    <x v="0"/>
    <x v="5"/>
    <x v="5"/>
    <x v="3"/>
    <n v="5179711947"/>
  </r>
  <r>
    <d v="2025-05-01T00:00:00"/>
    <x v="1"/>
    <x v="4"/>
    <x v="17"/>
    <x v="0"/>
    <x v="7"/>
    <x v="7"/>
    <x v="4"/>
    <n v="364183271"/>
  </r>
  <r>
    <d v="2025-05-01T00:00:00"/>
    <x v="1"/>
    <x v="4"/>
    <x v="17"/>
    <x v="0"/>
    <x v="6"/>
    <x v="6"/>
    <x v="0"/>
    <n v="6000000"/>
  </r>
  <r>
    <d v="2025-05-01T00:00:00"/>
    <x v="1"/>
    <x v="4"/>
    <x v="17"/>
    <x v="0"/>
    <x v="12"/>
    <x v="11"/>
    <x v="1"/>
    <n v="5380730000"/>
  </r>
  <r>
    <d v="2025-05-01T00:00:00"/>
    <x v="1"/>
    <x v="4"/>
    <x v="17"/>
    <x v="0"/>
    <x v="0"/>
    <x v="0"/>
    <x v="0"/>
    <n v="4726728000"/>
  </r>
  <r>
    <d v="2025-05-01T00:00:00"/>
    <x v="1"/>
    <x v="4"/>
    <x v="17"/>
    <x v="0"/>
    <x v="20"/>
    <x v="9"/>
    <x v="1"/>
    <n v="0"/>
  </r>
  <r>
    <d v="2025-05-01T00:00:00"/>
    <x v="1"/>
    <x v="4"/>
    <x v="17"/>
    <x v="0"/>
    <x v="2"/>
    <x v="2"/>
    <x v="1"/>
    <n v="7352980000"/>
  </r>
  <r>
    <d v="2025-05-01T00:00:00"/>
    <x v="1"/>
    <x v="4"/>
    <x v="17"/>
    <x v="0"/>
    <x v="3"/>
    <x v="3"/>
    <x v="1"/>
    <n v="0"/>
  </r>
  <r>
    <d v="2025-05-01T00:00:00"/>
    <x v="1"/>
    <x v="4"/>
    <x v="17"/>
    <x v="0"/>
    <x v="24"/>
    <x v="18"/>
    <x v="1"/>
    <n v="0"/>
  </r>
  <r>
    <d v="2025-05-01T00:00:00"/>
    <x v="1"/>
    <x v="4"/>
    <x v="17"/>
    <x v="0"/>
    <x v="18"/>
    <x v="15"/>
    <x v="1"/>
    <n v="431760000"/>
  </r>
  <r>
    <d v="2025-05-01T00:00:00"/>
    <x v="1"/>
    <x v="4"/>
    <x v="17"/>
    <x v="0"/>
    <x v="17"/>
    <x v="9"/>
    <x v="1"/>
    <n v="0"/>
  </r>
  <r>
    <d v="2025-05-01T00:00:00"/>
    <x v="1"/>
    <x v="4"/>
    <x v="17"/>
    <x v="0"/>
    <x v="14"/>
    <x v="13"/>
    <x v="1"/>
    <n v="551790000"/>
  </r>
  <r>
    <d v="2025-05-01T00:00:00"/>
    <x v="1"/>
    <x v="4"/>
    <x v="17"/>
    <x v="0"/>
    <x v="22"/>
    <x v="16"/>
    <x v="1"/>
    <n v="0"/>
  </r>
  <r>
    <d v="2025-05-02T00:00:00"/>
    <x v="1"/>
    <x v="4"/>
    <x v="17"/>
    <x v="1"/>
    <x v="0"/>
    <x v="0"/>
    <x v="0"/>
    <n v="4930524000"/>
  </r>
  <r>
    <d v="2025-05-02T00:00:00"/>
    <x v="1"/>
    <x v="4"/>
    <x v="17"/>
    <x v="1"/>
    <x v="2"/>
    <x v="2"/>
    <x v="1"/>
    <n v="7432680000"/>
  </r>
  <r>
    <d v="2025-05-02T00:00:00"/>
    <x v="1"/>
    <x v="4"/>
    <x v="17"/>
    <x v="1"/>
    <x v="12"/>
    <x v="11"/>
    <x v="1"/>
    <n v="6316090000"/>
  </r>
  <r>
    <d v="2025-05-02T00:00:00"/>
    <x v="1"/>
    <x v="4"/>
    <x v="17"/>
    <x v="1"/>
    <x v="24"/>
    <x v="18"/>
    <x v="1"/>
    <n v="0"/>
  </r>
  <r>
    <d v="2025-05-02T00:00:00"/>
    <x v="1"/>
    <x v="4"/>
    <x v="17"/>
    <x v="1"/>
    <x v="18"/>
    <x v="15"/>
    <x v="1"/>
    <n v="598540000"/>
  </r>
  <r>
    <d v="2025-05-02T00:00:00"/>
    <x v="1"/>
    <x v="4"/>
    <x v="17"/>
    <x v="1"/>
    <x v="7"/>
    <x v="7"/>
    <x v="4"/>
    <n v="391517234"/>
  </r>
  <r>
    <d v="2025-05-02T00:00:00"/>
    <x v="1"/>
    <x v="4"/>
    <x v="17"/>
    <x v="1"/>
    <x v="6"/>
    <x v="6"/>
    <x v="0"/>
    <n v="36000000"/>
  </r>
  <r>
    <d v="2025-05-02T00:00:00"/>
    <x v="1"/>
    <x v="4"/>
    <x v="17"/>
    <x v="1"/>
    <x v="15"/>
    <x v="14"/>
    <x v="4"/>
    <n v="37625936"/>
  </r>
  <r>
    <d v="2025-05-02T00:00:00"/>
    <x v="1"/>
    <x v="4"/>
    <x v="17"/>
    <x v="1"/>
    <x v="22"/>
    <x v="16"/>
    <x v="1"/>
    <n v="0"/>
  </r>
  <r>
    <d v="2025-05-02T00:00:00"/>
    <x v="1"/>
    <x v="4"/>
    <x v="17"/>
    <x v="1"/>
    <x v="17"/>
    <x v="9"/>
    <x v="1"/>
    <n v="0"/>
  </r>
  <r>
    <d v="2025-05-02T00:00:00"/>
    <x v="1"/>
    <x v="4"/>
    <x v="17"/>
    <x v="1"/>
    <x v="20"/>
    <x v="9"/>
    <x v="1"/>
    <n v="0"/>
  </r>
  <r>
    <d v="2025-05-02T00:00:00"/>
    <x v="1"/>
    <x v="4"/>
    <x v="17"/>
    <x v="1"/>
    <x v="21"/>
    <x v="9"/>
    <x v="1"/>
    <n v="0"/>
  </r>
  <r>
    <d v="2025-05-02T00:00:00"/>
    <x v="1"/>
    <x v="4"/>
    <x v="17"/>
    <x v="1"/>
    <x v="1"/>
    <x v="1"/>
    <x v="1"/>
    <n v="56750000"/>
  </r>
  <r>
    <d v="2025-05-02T00:00:00"/>
    <x v="1"/>
    <x v="4"/>
    <x v="17"/>
    <x v="1"/>
    <x v="3"/>
    <x v="3"/>
    <x v="1"/>
    <n v="0"/>
  </r>
  <r>
    <d v="2025-05-02T00:00:00"/>
    <x v="1"/>
    <x v="4"/>
    <x v="17"/>
    <x v="1"/>
    <x v="14"/>
    <x v="13"/>
    <x v="1"/>
    <n v="821970000"/>
  </r>
  <r>
    <d v="2025-05-02T00:00:00"/>
    <x v="1"/>
    <x v="4"/>
    <x v="17"/>
    <x v="1"/>
    <x v="23"/>
    <x v="17"/>
    <x v="4"/>
    <n v="0"/>
  </r>
  <r>
    <d v="2025-05-02T00:00:00"/>
    <x v="1"/>
    <x v="4"/>
    <x v="17"/>
    <x v="1"/>
    <x v="11"/>
    <x v="10"/>
    <x v="4"/>
    <n v="179900435"/>
  </r>
  <r>
    <d v="2025-05-02T00:00:00"/>
    <x v="1"/>
    <x v="4"/>
    <x v="17"/>
    <x v="1"/>
    <x v="19"/>
    <x v="12"/>
    <x v="4"/>
    <n v="716904009"/>
  </r>
  <r>
    <d v="2025-05-02T00:00:00"/>
    <x v="1"/>
    <x v="4"/>
    <x v="17"/>
    <x v="1"/>
    <x v="5"/>
    <x v="5"/>
    <x v="3"/>
    <n v="5218729025"/>
  </r>
  <r>
    <d v="2025-05-03T00:00:00"/>
    <x v="1"/>
    <x v="4"/>
    <x v="17"/>
    <x v="2"/>
    <x v="24"/>
    <x v="18"/>
    <x v="1"/>
    <n v="0"/>
  </r>
  <r>
    <d v="2025-05-03T00:00:00"/>
    <x v="1"/>
    <x v="4"/>
    <x v="17"/>
    <x v="2"/>
    <x v="18"/>
    <x v="15"/>
    <x v="1"/>
    <n v="495530000"/>
  </r>
  <r>
    <d v="2025-05-03T00:00:00"/>
    <x v="1"/>
    <x v="4"/>
    <x v="17"/>
    <x v="2"/>
    <x v="14"/>
    <x v="13"/>
    <x v="1"/>
    <n v="926460000"/>
  </r>
  <r>
    <d v="2025-05-03T00:00:00"/>
    <x v="1"/>
    <x v="4"/>
    <x v="17"/>
    <x v="2"/>
    <x v="23"/>
    <x v="17"/>
    <x v="4"/>
    <n v="0"/>
  </r>
  <r>
    <d v="2025-05-03T00:00:00"/>
    <x v="1"/>
    <x v="4"/>
    <x v="17"/>
    <x v="2"/>
    <x v="11"/>
    <x v="10"/>
    <x v="4"/>
    <n v="193457267"/>
  </r>
  <r>
    <d v="2025-05-03T00:00:00"/>
    <x v="1"/>
    <x v="4"/>
    <x v="17"/>
    <x v="2"/>
    <x v="19"/>
    <x v="12"/>
    <x v="4"/>
    <n v="846242486"/>
  </r>
  <r>
    <d v="2025-05-03T00:00:00"/>
    <x v="1"/>
    <x v="4"/>
    <x v="17"/>
    <x v="2"/>
    <x v="5"/>
    <x v="5"/>
    <x v="3"/>
    <n v="4227266832"/>
  </r>
  <r>
    <d v="2025-05-03T00:00:00"/>
    <x v="1"/>
    <x v="4"/>
    <x v="17"/>
    <x v="2"/>
    <x v="7"/>
    <x v="7"/>
    <x v="4"/>
    <n v="459940502"/>
  </r>
  <r>
    <d v="2025-05-03T00:00:00"/>
    <x v="1"/>
    <x v="4"/>
    <x v="17"/>
    <x v="2"/>
    <x v="12"/>
    <x v="11"/>
    <x v="1"/>
    <n v="7189940000"/>
  </r>
  <r>
    <d v="2025-05-03T00:00:00"/>
    <x v="1"/>
    <x v="4"/>
    <x v="17"/>
    <x v="2"/>
    <x v="0"/>
    <x v="0"/>
    <x v="0"/>
    <n v="4571856000"/>
  </r>
  <r>
    <d v="2025-05-03T00:00:00"/>
    <x v="1"/>
    <x v="4"/>
    <x v="17"/>
    <x v="2"/>
    <x v="2"/>
    <x v="2"/>
    <x v="1"/>
    <n v="7459040000"/>
  </r>
  <r>
    <d v="2025-05-03T00:00:00"/>
    <x v="1"/>
    <x v="4"/>
    <x v="17"/>
    <x v="2"/>
    <x v="3"/>
    <x v="3"/>
    <x v="1"/>
    <n v="0"/>
  </r>
  <r>
    <d v="2025-05-03T00:00:00"/>
    <x v="1"/>
    <x v="4"/>
    <x v="17"/>
    <x v="2"/>
    <x v="22"/>
    <x v="16"/>
    <x v="1"/>
    <n v="0"/>
  </r>
  <r>
    <d v="2025-05-03T00:00:00"/>
    <x v="1"/>
    <x v="4"/>
    <x v="17"/>
    <x v="2"/>
    <x v="15"/>
    <x v="14"/>
    <x v="4"/>
    <n v="45539571"/>
  </r>
  <r>
    <d v="2025-05-03T00:00:00"/>
    <x v="1"/>
    <x v="4"/>
    <x v="17"/>
    <x v="2"/>
    <x v="20"/>
    <x v="9"/>
    <x v="1"/>
    <n v="0"/>
  </r>
  <r>
    <d v="2025-05-03T00:00:00"/>
    <x v="1"/>
    <x v="4"/>
    <x v="17"/>
    <x v="2"/>
    <x v="17"/>
    <x v="9"/>
    <x v="1"/>
    <n v="0"/>
  </r>
  <r>
    <d v="2025-05-03T00:00:00"/>
    <x v="1"/>
    <x v="4"/>
    <x v="17"/>
    <x v="2"/>
    <x v="21"/>
    <x v="9"/>
    <x v="1"/>
    <n v="0"/>
  </r>
  <r>
    <d v="2025-05-03T00:00:00"/>
    <x v="1"/>
    <x v="4"/>
    <x v="17"/>
    <x v="2"/>
    <x v="1"/>
    <x v="1"/>
    <x v="1"/>
    <n v="52500000"/>
  </r>
  <r>
    <d v="2025-05-03T00:00:00"/>
    <x v="1"/>
    <x v="4"/>
    <x v="17"/>
    <x v="2"/>
    <x v="6"/>
    <x v="6"/>
    <x v="0"/>
    <n v="37000000"/>
  </r>
  <r>
    <d v="2025-05-04T00:00:00"/>
    <x v="1"/>
    <x v="4"/>
    <x v="17"/>
    <x v="3"/>
    <x v="0"/>
    <x v="0"/>
    <x v="0"/>
    <n v="4746168000"/>
  </r>
  <r>
    <d v="2025-05-04T00:00:00"/>
    <x v="1"/>
    <x v="4"/>
    <x v="17"/>
    <x v="3"/>
    <x v="22"/>
    <x v="16"/>
    <x v="1"/>
    <n v="0"/>
  </r>
  <r>
    <d v="2025-05-04T00:00:00"/>
    <x v="1"/>
    <x v="4"/>
    <x v="17"/>
    <x v="3"/>
    <x v="2"/>
    <x v="2"/>
    <x v="1"/>
    <n v="7601730000"/>
  </r>
  <r>
    <d v="2025-05-04T00:00:00"/>
    <x v="1"/>
    <x v="4"/>
    <x v="17"/>
    <x v="3"/>
    <x v="17"/>
    <x v="9"/>
    <x v="1"/>
    <n v="0"/>
  </r>
  <r>
    <d v="2025-05-04T00:00:00"/>
    <x v="1"/>
    <x v="4"/>
    <x v="17"/>
    <x v="3"/>
    <x v="24"/>
    <x v="18"/>
    <x v="1"/>
    <n v="0"/>
  </r>
  <r>
    <d v="2025-05-04T00:00:00"/>
    <x v="1"/>
    <x v="4"/>
    <x v="17"/>
    <x v="3"/>
    <x v="15"/>
    <x v="14"/>
    <x v="4"/>
    <n v="49272873"/>
  </r>
  <r>
    <d v="2025-05-04T00:00:00"/>
    <x v="1"/>
    <x v="4"/>
    <x v="17"/>
    <x v="3"/>
    <x v="20"/>
    <x v="9"/>
    <x v="1"/>
    <n v="0"/>
  </r>
  <r>
    <d v="2025-05-04T00:00:00"/>
    <x v="1"/>
    <x v="4"/>
    <x v="17"/>
    <x v="3"/>
    <x v="21"/>
    <x v="9"/>
    <x v="1"/>
    <n v="0"/>
  </r>
  <r>
    <d v="2025-05-04T00:00:00"/>
    <x v="1"/>
    <x v="4"/>
    <x v="17"/>
    <x v="3"/>
    <x v="1"/>
    <x v="1"/>
    <x v="1"/>
    <n v="31500000"/>
  </r>
  <r>
    <d v="2025-05-04T00:00:00"/>
    <x v="1"/>
    <x v="4"/>
    <x v="17"/>
    <x v="3"/>
    <x v="6"/>
    <x v="6"/>
    <x v="0"/>
    <n v="52000000"/>
  </r>
  <r>
    <d v="2025-05-04T00:00:00"/>
    <x v="1"/>
    <x v="4"/>
    <x v="17"/>
    <x v="3"/>
    <x v="3"/>
    <x v="3"/>
    <x v="1"/>
    <n v="0"/>
  </r>
  <r>
    <d v="2025-05-04T00:00:00"/>
    <x v="1"/>
    <x v="4"/>
    <x v="17"/>
    <x v="3"/>
    <x v="18"/>
    <x v="15"/>
    <x v="1"/>
    <n v="541420000"/>
  </r>
  <r>
    <d v="2025-05-04T00:00:00"/>
    <x v="1"/>
    <x v="4"/>
    <x v="17"/>
    <x v="3"/>
    <x v="14"/>
    <x v="13"/>
    <x v="1"/>
    <n v="820630000"/>
  </r>
  <r>
    <d v="2025-05-04T00:00:00"/>
    <x v="1"/>
    <x v="4"/>
    <x v="17"/>
    <x v="3"/>
    <x v="11"/>
    <x v="10"/>
    <x v="4"/>
    <n v="232283012"/>
  </r>
  <r>
    <d v="2025-05-04T00:00:00"/>
    <x v="1"/>
    <x v="4"/>
    <x v="17"/>
    <x v="3"/>
    <x v="19"/>
    <x v="12"/>
    <x v="4"/>
    <n v="1030025528"/>
  </r>
  <r>
    <d v="2025-05-04T00:00:00"/>
    <x v="1"/>
    <x v="4"/>
    <x v="17"/>
    <x v="3"/>
    <x v="5"/>
    <x v="5"/>
    <x v="3"/>
    <n v="4184796288"/>
  </r>
  <r>
    <d v="2025-05-04T00:00:00"/>
    <x v="1"/>
    <x v="4"/>
    <x v="17"/>
    <x v="3"/>
    <x v="7"/>
    <x v="7"/>
    <x v="4"/>
    <n v="427796971"/>
  </r>
  <r>
    <d v="2025-05-04T00:00:00"/>
    <x v="1"/>
    <x v="4"/>
    <x v="17"/>
    <x v="3"/>
    <x v="12"/>
    <x v="11"/>
    <x v="1"/>
    <n v="7396590000"/>
  </r>
  <r>
    <d v="2025-05-05T00:00:00"/>
    <x v="1"/>
    <x v="4"/>
    <x v="18"/>
    <x v="4"/>
    <x v="2"/>
    <x v="2"/>
    <x v="1"/>
    <n v="9829490000"/>
  </r>
  <r>
    <d v="2025-05-05T00:00:00"/>
    <x v="1"/>
    <x v="4"/>
    <x v="18"/>
    <x v="4"/>
    <x v="18"/>
    <x v="15"/>
    <x v="1"/>
    <n v="807810000"/>
  </r>
  <r>
    <d v="2025-05-05T00:00:00"/>
    <x v="1"/>
    <x v="4"/>
    <x v="18"/>
    <x v="4"/>
    <x v="24"/>
    <x v="18"/>
    <x v="1"/>
    <n v="0"/>
  </r>
  <r>
    <d v="2025-05-05T00:00:00"/>
    <x v="1"/>
    <x v="4"/>
    <x v="18"/>
    <x v="4"/>
    <x v="14"/>
    <x v="13"/>
    <x v="1"/>
    <n v="1151950000"/>
  </r>
  <r>
    <d v="2025-05-05T00:00:00"/>
    <x v="1"/>
    <x v="4"/>
    <x v="18"/>
    <x v="4"/>
    <x v="22"/>
    <x v="16"/>
    <x v="1"/>
    <n v="0"/>
  </r>
  <r>
    <d v="2025-05-05T00:00:00"/>
    <x v="1"/>
    <x v="4"/>
    <x v="18"/>
    <x v="4"/>
    <x v="15"/>
    <x v="14"/>
    <x v="4"/>
    <n v="60004546"/>
  </r>
  <r>
    <d v="2025-05-05T00:00:00"/>
    <x v="1"/>
    <x v="4"/>
    <x v="18"/>
    <x v="4"/>
    <x v="23"/>
    <x v="17"/>
    <x v="4"/>
    <n v="0"/>
  </r>
  <r>
    <d v="2025-05-05T00:00:00"/>
    <x v="1"/>
    <x v="4"/>
    <x v="18"/>
    <x v="4"/>
    <x v="20"/>
    <x v="9"/>
    <x v="1"/>
    <n v="0"/>
  </r>
  <r>
    <d v="2025-05-05T00:00:00"/>
    <x v="1"/>
    <x v="4"/>
    <x v="18"/>
    <x v="4"/>
    <x v="17"/>
    <x v="9"/>
    <x v="1"/>
    <n v="0"/>
  </r>
  <r>
    <d v="2025-05-05T00:00:00"/>
    <x v="1"/>
    <x v="4"/>
    <x v="18"/>
    <x v="4"/>
    <x v="21"/>
    <x v="9"/>
    <x v="1"/>
    <n v="0"/>
  </r>
  <r>
    <d v="2025-05-05T00:00:00"/>
    <x v="1"/>
    <x v="4"/>
    <x v="18"/>
    <x v="4"/>
    <x v="1"/>
    <x v="1"/>
    <x v="1"/>
    <n v="69350000"/>
  </r>
  <r>
    <d v="2025-05-05T00:00:00"/>
    <x v="1"/>
    <x v="4"/>
    <x v="18"/>
    <x v="4"/>
    <x v="6"/>
    <x v="6"/>
    <x v="0"/>
    <n v="34000000"/>
  </r>
  <r>
    <d v="2025-05-05T00:00:00"/>
    <x v="1"/>
    <x v="4"/>
    <x v="18"/>
    <x v="4"/>
    <x v="3"/>
    <x v="3"/>
    <x v="1"/>
    <n v="0"/>
  </r>
  <r>
    <d v="2025-05-05T00:00:00"/>
    <x v="1"/>
    <x v="4"/>
    <x v="18"/>
    <x v="4"/>
    <x v="0"/>
    <x v="0"/>
    <x v="0"/>
    <n v="6022404000"/>
  </r>
  <r>
    <d v="2025-05-05T00:00:00"/>
    <x v="1"/>
    <x v="4"/>
    <x v="18"/>
    <x v="4"/>
    <x v="11"/>
    <x v="10"/>
    <x v="4"/>
    <n v="382181504"/>
  </r>
  <r>
    <d v="2025-05-05T00:00:00"/>
    <x v="1"/>
    <x v="4"/>
    <x v="18"/>
    <x v="4"/>
    <x v="19"/>
    <x v="12"/>
    <x v="4"/>
    <n v="2041036355"/>
  </r>
  <r>
    <d v="2025-05-05T00:00:00"/>
    <x v="1"/>
    <x v="4"/>
    <x v="18"/>
    <x v="4"/>
    <x v="5"/>
    <x v="5"/>
    <x v="3"/>
    <n v="6882815552"/>
  </r>
  <r>
    <d v="2025-05-05T00:00:00"/>
    <x v="1"/>
    <x v="4"/>
    <x v="18"/>
    <x v="4"/>
    <x v="7"/>
    <x v="7"/>
    <x v="4"/>
    <n v="796884970"/>
  </r>
  <r>
    <d v="2025-05-05T00:00:00"/>
    <x v="1"/>
    <x v="4"/>
    <x v="18"/>
    <x v="4"/>
    <x v="12"/>
    <x v="11"/>
    <x v="1"/>
    <n v="10815890000"/>
  </r>
  <r>
    <d v="2025-05-06T00:00:00"/>
    <x v="1"/>
    <x v="4"/>
    <x v="18"/>
    <x v="5"/>
    <x v="0"/>
    <x v="0"/>
    <x v="0"/>
    <n v="5234652000"/>
  </r>
  <r>
    <d v="2025-05-06T00:00:00"/>
    <x v="1"/>
    <x v="4"/>
    <x v="18"/>
    <x v="5"/>
    <x v="2"/>
    <x v="2"/>
    <x v="1"/>
    <n v="8794860000"/>
  </r>
  <r>
    <d v="2025-05-06T00:00:00"/>
    <x v="1"/>
    <x v="4"/>
    <x v="18"/>
    <x v="5"/>
    <x v="12"/>
    <x v="11"/>
    <x v="1"/>
    <n v="8905980000"/>
  </r>
  <r>
    <d v="2025-05-06T00:00:00"/>
    <x v="1"/>
    <x v="4"/>
    <x v="18"/>
    <x v="5"/>
    <x v="22"/>
    <x v="16"/>
    <x v="1"/>
    <n v="0"/>
  </r>
  <r>
    <d v="2025-05-06T00:00:00"/>
    <x v="1"/>
    <x v="4"/>
    <x v="18"/>
    <x v="5"/>
    <x v="15"/>
    <x v="14"/>
    <x v="4"/>
    <n v="98567884"/>
  </r>
  <r>
    <d v="2025-05-06T00:00:00"/>
    <x v="1"/>
    <x v="4"/>
    <x v="18"/>
    <x v="5"/>
    <x v="20"/>
    <x v="9"/>
    <x v="1"/>
    <n v="0"/>
  </r>
  <r>
    <d v="2025-05-06T00:00:00"/>
    <x v="1"/>
    <x v="4"/>
    <x v="18"/>
    <x v="5"/>
    <x v="17"/>
    <x v="9"/>
    <x v="1"/>
    <n v="0"/>
  </r>
  <r>
    <d v="2025-05-06T00:00:00"/>
    <x v="1"/>
    <x v="4"/>
    <x v="18"/>
    <x v="5"/>
    <x v="21"/>
    <x v="9"/>
    <x v="1"/>
    <n v="0"/>
  </r>
  <r>
    <d v="2025-05-06T00:00:00"/>
    <x v="1"/>
    <x v="4"/>
    <x v="18"/>
    <x v="5"/>
    <x v="1"/>
    <x v="1"/>
    <x v="1"/>
    <n v="73500000"/>
  </r>
  <r>
    <d v="2025-05-06T00:00:00"/>
    <x v="1"/>
    <x v="4"/>
    <x v="18"/>
    <x v="5"/>
    <x v="6"/>
    <x v="6"/>
    <x v="0"/>
    <n v="63000000"/>
  </r>
  <r>
    <d v="2025-05-06T00:00:00"/>
    <x v="1"/>
    <x v="4"/>
    <x v="18"/>
    <x v="5"/>
    <x v="24"/>
    <x v="18"/>
    <x v="1"/>
    <n v="0"/>
  </r>
  <r>
    <d v="2025-05-06T00:00:00"/>
    <x v="1"/>
    <x v="4"/>
    <x v="18"/>
    <x v="5"/>
    <x v="3"/>
    <x v="3"/>
    <x v="1"/>
    <n v="0"/>
  </r>
  <r>
    <d v="2025-05-06T00:00:00"/>
    <x v="1"/>
    <x v="4"/>
    <x v="18"/>
    <x v="5"/>
    <x v="18"/>
    <x v="15"/>
    <x v="1"/>
    <n v="883320000"/>
  </r>
  <r>
    <d v="2025-05-06T00:00:00"/>
    <x v="1"/>
    <x v="4"/>
    <x v="18"/>
    <x v="5"/>
    <x v="14"/>
    <x v="13"/>
    <x v="1"/>
    <n v="1115800000"/>
  </r>
  <r>
    <d v="2025-05-06T00:00:00"/>
    <x v="1"/>
    <x v="4"/>
    <x v="18"/>
    <x v="5"/>
    <x v="23"/>
    <x v="17"/>
    <x v="4"/>
    <n v="0"/>
  </r>
  <r>
    <d v="2025-05-06T00:00:00"/>
    <x v="1"/>
    <x v="4"/>
    <x v="18"/>
    <x v="5"/>
    <x v="11"/>
    <x v="10"/>
    <x v="4"/>
    <n v="324335534"/>
  </r>
  <r>
    <d v="2025-05-06T00:00:00"/>
    <x v="1"/>
    <x v="4"/>
    <x v="18"/>
    <x v="5"/>
    <x v="19"/>
    <x v="12"/>
    <x v="4"/>
    <n v="1175122658"/>
  </r>
  <r>
    <d v="2025-05-06T00:00:00"/>
    <x v="1"/>
    <x v="4"/>
    <x v="18"/>
    <x v="5"/>
    <x v="5"/>
    <x v="5"/>
    <x v="3"/>
    <n v="4159359673"/>
  </r>
  <r>
    <d v="2025-05-06T00:00:00"/>
    <x v="1"/>
    <x v="4"/>
    <x v="18"/>
    <x v="5"/>
    <x v="7"/>
    <x v="7"/>
    <x v="4"/>
    <n v="769928225"/>
  </r>
  <r>
    <d v="2025-05-07T00:00:00"/>
    <x v="1"/>
    <x v="4"/>
    <x v="18"/>
    <x v="6"/>
    <x v="0"/>
    <x v="0"/>
    <x v="0"/>
    <n v="5385204000"/>
  </r>
  <r>
    <d v="2025-05-07T00:00:00"/>
    <x v="1"/>
    <x v="4"/>
    <x v="18"/>
    <x v="6"/>
    <x v="2"/>
    <x v="2"/>
    <x v="1"/>
    <n v="8616410000"/>
  </r>
  <r>
    <d v="2025-05-07T00:00:00"/>
    <x v="1"/>
    <x v="4"/>
    <x v="18"/>
    <x v="6"/>
    <x v="20"/>
    <x v="9"/>
    <x v="1"/>
    <n v="0"/>
  </r>
  <r>
    <d v="2025-05-07T00:00:00"/>
    <x v="1"/>
    <x v="4"/>
    <x v="18"/>
    <x v="6"/>
    <x v="24"/>
    <x v="18"/>
    <x v="1"/>
    <n v="0"/>
  </r>
  <r>
    <d v="2025-05-07T00:00:00"/>
    <x v="1"/>
    <x v="4"/>
    <x v="18"/>
    <x v="6"/>
    <x v="7"/>
    <x v="7"/>
    <x v="4"/>
    <n v="690483096"/>
  </r>
  <r>
    <d v="2025-05-07T00:00:00"/>
    <x v="1"/>
    <x v="4"/>
    <x v="18"/>
    <x v="6"/>
    <x v="22"/>
    <x v="16"/>
    <x v="1"/>
    <n v="0"/>
  </r>
  <r>
    <d v="2025-05-07T00:00:00"/>
    <x v="1"/>
    <x v="4"/>
    <x v="18"/>
    <x v="6"/>
    <x v="12"/>
    <x v="11"/>
    <x v="1"/>
    <n v="8396070000"/>
  </r>
  <r>
    <d v="2025-05-07T00:00:00"/>
    <x v="1"/>
    <x v="4"/>
    <x v="18"/>
    <x v="6"/>
    <x v="17"/>
    <x v="9"/>
    <x v="1"/>
    <n v="0"/>
  </r>
  <r>
    <d v="2025-05-07T00:00:00"/>
    <x v="1"/>
    <x v="4"/>
    <x v="18"/>
    <x v="6"/>
    <x v="21"/>
    <x v="9"/>
    <x v="1"/>
    <n v="0"/>
  </r>
  <r>
    <d v="2025-05-07T00:00:00"/>
    <x v="1"/>
    <x v="4"/>
    <x v="18"/>
    <x v="6"/>
    <x v="1"/>
    <x v="1"/>
    <x v="1"/>
    <n v="52500000"/>
  </r>
  <r>
    <d v="2025-05-07T00:00:00"/>
    <x v="1"/>
    <x v="4"/>
    <x v="18"/>
    <x v="6"/>
    <x v="6"/>
    <x v="6"/>
    <x v="0"/>
    <n v="41000000"/>
  </r>
  <r>
    <d v="2025-05-07T00:00:00"/>
    <x v="1"/>
    <x v="4"/>
    <x v="18"/>
    <x v="6"/>
    <x v="3"/>
    <x v="3"/>
    <x v="1"/>
    <n v="0"/>
  </r>
  <r>
    <d v="2025-05-07T00:00:00"/>
    <x v="1"/>
    <x v="4"/>
    <x v="18"/>
    <x v="6"/>
    <x v="18"/>
    <x v="15"/>
    <x v="1"/>
    <n v="697650000"/>
  </r>
  <r>
    <d v="2025-05-07T00:00:00"/>
    <x v="1"/>
    <x v="4"/>
    <x v="18"/>
    <x v="6"/>
    <x v="14"/>
    <x v="13"/>
    <x v="1"/>
    <n v="1125390000"/>
  </r>
  <r>
    <d v="2025-05-07T00:00:00"/>
    <x v="1"/>
    <x v="4"/>
    <x v="18"/>
    <x v="6"/>
    <x v="23"/>
    <x v="17"/>
    <x v="4"/>
    <n v="0"/>
  </r>
  <r>
    <d v="2025-05-07T00:00:00"/>
    <x v="1"/>
    <x v="4"/>
    <x v="18"/>
    <x v="6"/>
    <x v="15"/>
    <x v="14"/>
    <x v="4"/>
    <n v="61243741"/>
  </r>
  <r>
    <d v="2025-05-07T00:00:00"/>
    <x v="1"/>
    <x v="4"/>
    <x v="18"/>
    <x v="6"/>
    <x v="11"/>
    <x v="10"/>
    <x v="4"/>
    <n v="298562334"/>
  </r>
  <r>
    <d v="2025-05-07T00:00:00"/>
    <x v="1"/>
    <x v="4"/>
    <x v="18"/>
    <x v="6"/>
    <x v="19"/>
    <x v="12"/>
    <x v="4"/>
    <n v="827449280"/>
  </r>
  <r>
    <d v="2025-05-07T00:00:00"/>
    <x v="1"/>
    <x v="4"/>
    <x v="18"/>
    <x v="6"/>
    <x v="5"/>
    <x v="5"/>
    <x v="3"/>
    <n v="3920422765"/>
  </r>
  <r>
    <d v="2025-05-08T00:00:00"/>
    <x v="1"/>
    <x v="4"/>
    <x v="18"/>
    <x v="7"/>
    <x v="12"/>
    <x v="11"/>
    <x v="1"/>
    <n v="8600700000"/>
  </r>
  <r>
    <d v="2025-05-08T00:00:00"/>
    <x v="1"/>
    <x v="4"/>
    <x v="18"/>
    <x v="7"/>
    <x v="0"/>
    <x v="0"/>
    <x v="0"/>
    <n v="4792824000"/>
  </r>
  <r>
    <d v="2025-05-08T00:00:00"/>
    <x v="1"/>
    <x v="4"/>
    <x v="18"/>
    <x v="7"/>
    <x v="2"/>
    <x v="2"/>
    <x v="1"/>
    <n v="8257610000"/>
  </r>
  <r>
    <d v="2025-05-08T00:00:00"/>
    <x v="1"/>
    <x v="4"/>
    <x v="18"/>
    <x v="7"/>
    <x v="7"/>
    <x v="7"/>
    <x v="4"/>
    <n v="540743072"/>
  </r>
  <r>
    <d v="2025-05-08T00:00:00"/>
    <x v="1"/>
    <x v="4"/>
    <x v="18"/>
    <x v="7"/>
    <x v="24"/>
    <x v="18"/>
    <x v="1"/>
    <n v="0"/>
  </r>
  <r>
    <d v="2025-05-08T00:00:00"/>
    <x v="1"/>
    <x v="4"/>
    <x v="18"/>
    <x v="7"/>
    <x v="22"/>
    <x v="16"/>
    <x v="1"/>
    <n v="0"/>
  </r>
  <r>
    <d v="2025-05-08T00:00:00"/>
    <x v="1"/>
    <x v="4"/>
    <x v="18"/>
    <x v="7"/>
    <x v="15"/>
    <x v="14"/>
    <x v="4"/>
    <n v="31758038"/>
  </r>
  <r>
    <d v="2025-05-08T00:00:00"/>
    <x v="1"/>
    <x v="4"/>
    <x v="18"/>
    <x v="7"/>
    <x v="20"/>
    <x v="9"/>
    <x v="1"/>
    <n v="0"/>
  </r>
  <r>
    <d v="2025-05-08T00:00:00"/>
    <x v="1"/>
    <x v="4"/>
    <x v="18"/>
    <x v="7"/>
    <x v="17"/>
    <x v="9"/>
    <x v="1"/>
    <n v="0"/>
  </r>
  <r>
    <d v="2025-05-08T00:00:00"/>
    <x v="1"/>
    <x v="4"/>
    <x v="18"/>
    <x v="7"/>
    <x v="19"/>
    <x v="12"/>
    <x v="4"/>
    <n v="566602787"/>
  </r>
  <r>
    <d v="2025-05-08T00:00:00"/>
    <x v="1"/>
    <x v="4"/>
    <x v="18"/>
    <x v="7"/>
    <x v="5"/>
    <x v="5"/>
    <x v="3"/>
    <n v="3588079949"/>
  </r>
  <r>
    <d v="2025-05-08T00:00:00"/>
    <x v="1"/>
    <x v="4"/>
    <x v="18"/>
    <x v="7"/>
    <x v="11"/>
    <x v="10"/>
    <x v="4"/>
    <n v="259471512"/>
  </r>
  <r>
    <d v="2025-05-08T00:00:00"/>
    <x v="1"/>
    <x v="4"/>
    <x v="18"/>
    <x v="7"/>
    <x v="21"/>
    <x v="9"/>
    <x v="1"/>
    <n v="0"/>
  </r>
  <r>
    <d v="2025-05-08T00:00:00"/>
    <x v="1"/>
    <x v="4"/>
    <x v="18"/>
    <x v="7"/>
    <x v="1"/>
    <x v="1"/>
    <x v="1"/>
    <n v="21000000"/>
  </r>
  <r>
    <d v="2025-05-08T00:00:00"/>
    <x v="1"/>
    <x v="4"/>
    <x v="18"/>
    <x v="7"/>
    <x v="14"/>
    <x v="13"/>
    <x v="1"/>
    <n v="1249280000"/>
  </r>
  <r>
    <d v="2025-05-08T00:00:00"/>
    <x v="1"/>
    <x v="4"/>
    <x v="18"/>
    <x v="7"/>
    <x v="23"/>
    <x v="17"/>
    <x v="4"/>
    <n v="0"/>
  </r>
  <r>
    <d v="2025-05-08T00:00:00"/>
    <x v="1"/>
    <x v="4"/>
    <x v="18"/>
    <x v="7"/>
    <x v="6"/>
    <x v="6"/>
    <x v="0"/>
    <n v="35000000"/>
  </r>
  <r>
    <d v="2025-05-08T00:00:00"/>
    <x v="1"/>
    <x v="4"/>
    <x v="18"/>
    <x v="7"/>
    <x v="3"/>
    <x v="3"/>
    <x v="1"/>
    <n v="0"/>
  </r>
  <r>
    <d v="2025-05-08T00:00:00"/>
    <x v="1"/>
    <x v="4"/>
    <x v="18"/>
    <x v="7"/>
    <x v="18"/>
    <x v="15"/>
    <x v="1"/>
    <n v="664520000"/>
  </r>
  <r>
    <d v="2025-05-09T00:00:00"/>
    <x v="1"/>
    <x v="4"/>
    <x v="18"/>
    <x v="8"/>
    <x v="2"/>
    <x v="2"/>
    <x v="1"/>
    <n v="7898560000"/>
  </r>
  <r>
    <d v="2025-05-09T00:00:00"/>
    <x v="1"/>
    <x v="4"/>
    <x v="18"/>
    <x v="8"/>
    <x v="23"/>
    <x v="17"/>
    <x v="4"/>
    <n v="0"/>
  </r>
  <r>
    <d v="2025-05-09T00:00:00"/>
    <x v="1"/>
    <x v="4"/>
    <x v="18"/>
    <x v="8"/>
    <x v="24"/>
    <x v="18"/>
    <x v="1"/>
    <n v="0"/>
  </r>
  <r>
    <d v="2025-05-09T00:00:00"/>
    <x v="1"/>
    <x v="4"/>
    <x v="18"/>
    <x v="8"/>
    <x v="5"/>
    <x v="5"/>
    <x v="3"/>
    <n v="3787989838"/>
  </r>
  <r>
    <d v="2025-05-09T00:00:00"/>
    <x v="1"/>
    <x v="4"/>
    <x v="18"/>
    <x v="8"/>
    <x v="22"/>
    <x v="16"/>
    <x v="1"/>
    <n v="0"/>
  </r>
  <r>
    <d v="2025-05-09T00:00:00"/>
    <x v="1"/>
    <x v="4"/>
    <x v="18"/>
    <x v="8"/>
    <x v="15"/>
    <x v="14"/>
    <x v="4"/>
    <n v="22423088"/>
  </r>
  <r>
    <d v="2025-05-09T00:00:00"/>
    <x v="1"/>
    <x v="4"/>
    <x v="18"/>
    <x v="8"/>
    <x v="7"/>
    <x v="7"/>
    <x v="4"/>
    <n v="457941232"/>
  </r>
  <r>
    <d v="2025-05-09T00:00:00"/>
    <x v="1"/>
    <x v="4"/>
    <x v="18"/>
    <x v="8"/>
    <x v="17"/>
    <x v="9"/>
    <x v="1"/>
    <n v="0"/>
  </r>
  <r>
    <d v="2025-05-09T00:00:00"/>
    <x v="1"/>
    <x v="4"/>
    <x v="18"/>
    <x v="8"/>
    <x v="21"/>
    <x v="9"/>
    <x v="1"/>
    <n v="0"/>
  </r>
  <r>
    <d v="2025-05-09T00:00:00"/>
    <x v="1"/>
    <x v="4"/>
    <x v="18"/>
    <x v="8"/>
    <x v="1"/>
    <x v="1"/>
    <x v="1"/>
    <n v="61500000"/>
  </r>
  <r>
    <d v="2025-05-09T00:00:00"/>
    <x v="1"/>
    <x v="4"/>
    <x v="18"/>
    <x v="8"/>
    <x v="6"/>
    <x v="6"/>
    <x v="0"/>
    <n v="38000000"/>
  </r>
  <r>
    <d v="2025-05-09T00:00:00"/>
    <x v="1"/>
    <x v="4"/>
    <x v="18"/>
    <x v="8"/>
    <x v="3"/>
    <x v="3"/>
    <x v="1"/>
    <n v="0"/>
  </r>
  <r>
    <d v="2025-05-09T00:00:00"/>
    <x v="1"/>
    <x v="4"/>
    <x v="18"/>
    <x v="8"/>
    <x v="18"/>
    <x v="15"/>
    <x v="1"/>
    <n v="699380000"/>
  </r>
  <r>
    <d v="2025-05-09T00:00:00"/>
    <x v="1"/>
    <x v="4"/>
    <x v="18"/>
    <x v="8"/>
    <x v="14"/>
    <x v="13"/>
    <x v="1"/>
    <n v="797280000"/>
  </r>
  <r>
    <d v="2025-05-09T00:00:00"/>
    <x v="1"/>
    <x v="4"/>
    <x v="18"/>
    <x v="8"/>
    <x v="12"/>
    <x v="11"/>
    <x v="1"/>
    <n v="7382920000"/>
  </r>
  <r>
    <d v="2025-05-09T00:00:00"/>
    <x v="1"/>
    <x v="4"/>
    <x v="18"/>
    <x v="8"/>
    <x v="20"/>
    <x v="9"/>
    <x v="1"/>
    <n v="0"/>
  </r>
  <r>
    <d v="2025-05-09T00:00:00"/>
    <x v="1"/>
    <x v="4"/>
    <x v="18"/>
    <x v="8"/>
    <x v="11"/>
    <x v="10"/>
    <x v="4"/>
    <n v="265382455"/>
  </r>
  <r>
    <d v="2025-05-09T00:00:00"/>
    <x v="1"/>
    <x v="4"/>
    <x v="18"/>
    <x v="8"/>
    <x v="19"/>
    <x v="12"/>
    <x v="4"/>
    <n v="563598907"/>
  </r>
  <r>
    <d v="2025-05-09T00:00:00"/>
    <x v="1"/>
    <x v="4"/>
    <x v="18"/>
    <x v="8"/>
    <x v="0"/>
    <x v="0"/>
    <x v="0"/>
    <n v="5836644000"/>
  </r>
  <r>
    <d v="2025-05-10T00:00:00"/>
    <x v="1"/>
    <x v="4"/>
    <x v="18"/>
    <x v="9"/>
    <x v="12"/>
    <x v="11"/>
    <x v="1"/>
    <n v="7138150000"/>
  </r>
  <r>
    <d v="2025-05-10T00:00:00"/>
    <x v="1"/>
    <x v="4"/>
    <x v="18"/>
    <x v="9"/>
    <x v="0"/>
    <x v="0"/>
    <x v="0"/>
    <n v="6603660000"/>
  </r>
  <r>
    <d v="2025-05-10T00:00:00"/>
    <x v="1"/>
    <x v="4"/>
    <x v="18"/>
    <x v="9"/>
    <x v="7"/>
    <x v="7"/>
    <x v="4"/>
    <n v="484643746"/>
  </r>
  <r>
    <d v="2025-05-10T00:00:00"/>
    <x v="1"/>
    <x v="4"/>
    <x v="18"/>
    <x v="9"/>
    <x v="2"/>
    <x v="2"/>
    <x v="1"/>
    <n v="9164060000"/>
  </r>
  <r>
    <d v="2025-05-10T00:00:00"/>
    <x v="1"/>
    <x v="4"/>
    <x v="18"/>
    <x v="9"/>
    <x v="5"/>
    <x v="5"/>
    <x v="3"/>
    <n v="3743492408"/>
  </r>
  <r>
    <d v="2025-05-10T00:00:00"/>
    <x v="1"/>
    <x v="4"/>
    <x v="18"/>
    <x v="9"/>
    <x v="22"/>
    <x v="16"/>
    <x v="1"/>
    <n v="0"/>
  </r>
  <r>
    <d v="2025-05-10T00:00:00"/>
    <x v="1"/>
    <x v="4"/>
    <x v="18"/>
    <x v="9"/>
    <x v="15"/>
    <x v="14"/>
    <x v="4"/>
    <n v="31806656"/>
  </r>
  <r>
    <d v="2025-05-10T00:00:00"/>
    <x v="1"/>
    <x v="4"/>
    <x v="18"/>
    <x v="9"/>
    <x v="20"/>
    <x v="9"/>
    <x v="1"/>
    <n v="0"/>
  </r>
  <r>
    <d v="2025-05-10T00:00:00"/>
    <x v="1"/>
    <x v="4"/>
    <x v="18"/>
    <x v="9"/>
    <x v="24"/>
    <x v="18"/>
    <x v="1"/>
    <n v="3000000"/>
  </r>
  <r>
    <d v="2025-05-10T00:00:00"/>
    <x v="1"/>
    <x v="4"/>
    <x v="18"/>
    <x v="9"/>
    <x v="17"/>
    <x v="9"/>
    <x v="1"/>
    <n v="0"/>
  </r>
  <r>
    <d v="2025-05-10T00:00:00"/>
    <x v="1"/>
    <x v="4"/>
    <x v="18"/>
    <x v="9"/>
    <x v="21"/>
    <x v="9"/>
    <x v="1"/>
    <n v="0"/>
  </r>
  <r>
    <d v="2025-05-10T00:00:00"/>
    <x v="1"/>
    <x v="4"/>
    <x v="18"/>
    <x v="9"/>
    <x v="1"/>
    <x v="1"/>
    <x v="1"/>
    <n v="25500000"/>
  </r>
  <r>
    <d v="2025-05-10T00:00:00"/>
    <x v="1"/>
    <x v="4"/>
    <x v="18"/>
    <x v="9"/>
    <x v="6"/>
    <x v="6"/>
    <x v="0"/>
    <n v="34000000"/>
  </r>
  <r>
    <d v="2025-05-10T00:00:00"/>
    <x v="1"/>
    <x v="4"/>
    <x v="18"/>
    <x v="9"/>
    <x v="3"/>
    <x v="3"/>
    <x v="1"/>
    <n v="0"/>
  </r>
  <r>
    <d v="2025-05-10T00:00:00"/>
    <x v="1"/>
    <x v="4"/>
    <x v="18"/>
    <x v="9"/>
    <x v="18"/>
    <x v="15"/>
    <x v="1"/>
    <n v="824640000"/>
  </r>
  <r>
    <d v="2025-05-10T00:00:00"/>
    <x v="1"/>
    <x v="4"/>
    <x v="18"/>
    <x v="9"/>
    <x v="14"/>
    <x v="13"/>
    <x v="1"/>
    <n v="838020000"/>
  </r>
  <r>
    <d v="2025-05-10T00:00:00"/>
    <x v="1"/>
    <x v="4"/>
    <x v="18"/>
    <x v="9"/>
    <x v="23"/>
    <x v="17"/>
    <x v="4"/>
    <n v="0"/>
  </r>
  <r>
    <d v="2025-05-10T00:00:00"/>
    <x v="1"/>
    <x v="4"/>
    <x v="18"/>
    <x v="9"/>
    <x v="11"/>
    <x v="10"/>
    <x v="4"/>
    <n v="284916277"/>
  </r>
  <r>
    <d v="2025-05-10T00:00:00"/>
    <x v="1"/>
    <x v="4"/>
    <x v="18"/>
    <x v="9"/>
    <x v="19"/>
    <x v="12"/>
    <x v="4"/>
    <n v="551129547"/>
  </r>
  <r>
    <d v="2025-05-11T00:00:00"/>
    <x v="1"/>
    <x v="4"/>
    <x v="18"/>
    <x v="10"/>
    <x v="12"/>
    <x v="11"/>
    <x v="1"/>
    <n v="6326530000"/>
  </r>
  <r>
    <d v="2025-05-11T00:00:00"/>
    <x v="1"/>
    <x v="4"/>
    <x v="18"/>
    <x v="10"/>
    <x v="0"/>
    <x v="0"/>
    <x v="0"/>
    <n v="5293944000"/>
  </r>
  <r>
    <d v="2025-05-11T00:00:00"/>
    <x v="1"/>
    <x v="4"/>
    <x v="18"/>
    <x v="10"/>
    <x v="2"/>
    <x v="2"/>
    <x v="1"/>
    <n v="8335560000"/>
  </r>
  <r>
    <d v="2025-05-11T00:00:00"/>
    <x v="1"/>
    <x v="4"/>
    <x v="18"/>
    <x v="10"/>
    <x v="22"/>
    <x v="16"/>
    <x v="1"/>
    <n v="0"/>
  </r>
  <r>
    <d v="2025-05-11T00:00:00"/>
    <x v="1"/>
    <x v="4"/>
    <x v="18"/>
    <x v="10"/>
    <x v="24"/>
    <x v="18"/>
    <x v="1"/>
    <n v="12000000"/>
  </r>
  <r>
    <d v="2025-05-11T00:00:00"/>
    <x v="1"/>
    <x v="4"/>
    <x v="18"/>
    <x v="10"/>
    <x v="15"/>
    <x v="14"/>
    <x v="4"/>
    <n v="2808866"/>
  </r>
  <r>
    <d v="2025-05-11T00:00:00"/>
    <x v="1"/>
    <x v="4"/>
    <x v="18"/>
    <x v="10"/>
    <x v="20"/>
    <x v="9"/>
    <x v="1"/>
    <n v="0"/>
  </r>
  <r>
    <d v="2025-05-11T00:00:00"/>
    <x v="1"/>
    <x v="4"/>
    <x v="18"/>
    <x v="10"/>
    <x v="17"/>
    <x v="9"/>
    <x v="1"/>
    <n v="0"/>
  </r>
  <r>
    <d v="2025-05-11T00:00:00"/>
    <x v="1"/>
    <x v="4"/>
    <x v="18"/>
    <x v="10"/>
    <x v="21"/>
    <x v="9"/>
    <x v="1"/>
    <n v="0"/>
  </r>
  <r>
    <d v="2025-05-11T00:00:00"/>
    <x v="1"/>
    <x v="4"/>
    <x v="18"/>
    <x v="10"/>
    <x v="1"/>
    <x v="1"/>
    <x v="1"/>
    <n v="0"/>
  </r>
  <r>
    <d v="2025-05-11T00:00:00"/>
    <x v="1"/>
    <x v="4"/>
    <x v="18"/>
    <x v="10"/>
    <x v="6"/>
    <x v="6"/>
    <x v="0"/>
    <n v="36000000"/>
  </r>
  <r>
    <d v="2025-05-11T00:00:00"/>
    <x v="1"/>
    <x v="4"/>
    <x v="18"/>
    <x v="10"/>
    <x v="3"/>
    <x v="3"/>
    <x v="1"/>
    <n v="0"/>
  </r>
  <r>
    <d v="2025-05-11T00:00:00"/>
    <x v="1"/>
    <x v="4"/>
    <x v="18"/>
    <x v="10"/>
    <x v="18"/>
    <x v="15"/>
    <x v="1"/>
    <n v="494880000"/>
  </r>
  <r>
    <d v="2025-05-11T00:00:00"/>
    <x v="1"/>
    <x v="4"/>
    <x v="18"/>
    <x v="10"/>
    <x v="14"/>
    <x v="13"/>
    <x v="1"/>
    <n v="1241740000"/>
  </r>
  <r>
    <d v="2025-05-11T00:00:00"/>
    <x v="1"/>
    <x v="4"/>
    <x v="18"/>
    <x v="10"/>
    <x v="23"/>
    <x v="17"/>
    <x v="4"/>
    <n v="0"/>
  </r>
  <r>
    <d v="2025-05-11T00:00:00"/>
    <x v="1"/>
    <x v="4"/>
    <x v="18"/>
    <x v="10"/>
    <x v="11"/>
    <x v="10"/>
    <x v="4"/>
    <n v="235861316"/>
  </r>
  <r>
    <d v="2025-05-11T00:00:00"/>
    <x v="1"/>
    <x v="4"/>
    <x v="18"/>
    <x v="10"/>
    <x v="19"/>
    <x v="12"/>
    <x v="4"/>
    <n v="410398901"/>
  </r>
  <r>
    <d v="2025-05-11T00:00:00"/>
    <x v="1"/>
    <x v="4"/>
    <x v="18"/>
    <x v="10"/>
    <x v="5"/>
    <x v="5"/>
    <x v="3"/>
    <n v="3003863867"/>
  </r>
  <r>
    <d v="2025-05-11T00:00:00"/>
    <x v="1"/>
    <x v="4"/>
    <x v="18"/>
    <x v="10"/>
    <x v="7"/>
    <x v="7"/>
    <x v="4"/>
    <n v="391676933"/>
  </r>
  <r>
    <d v="2025-05-12T00:00:00"/>
    <x v="1"/>
    <x v="4"/>
    <x v="19"/>
    <x v="11"/>
    <x v="0"/>
    <x v="0"/>
    <x v="0"/>
    <n v="5774652000"/>
  </r>
  <r>
    <d v="2025-05-12T00:00:00"/>
    <x v="1"/>
    <x v="4"/>
    <x v="19"/>
    <x v="11"/>
    <x v="2"/>
    <x v="2"/>
    <x v="1"/>
    <n v="8904910000"/>
  </r>
  <r>
    <d v="2025-05-12T00:00:00"/>
    <x v="1"/>
    <x v="4"/>
    <x v="19"/>
    <x v="11"/>
    <x v="12"/>
    <x v="11"/>
    <x v="1"/>
    <n v="7488660000"/>
  </r>
  <r>
    <d v="2025-05-12T00:00:00"/>
    <x v="1"/>
    <x v="4"/>
    <x v="19"/>
    <x v="11"/>
    <x v="24"/>
    <x v="18"/>
    <x v="1"/>
    <n v="94000000"/>
  </r>
  <r>
    <d v="2025-05-12T00:00:00"/>
    <x v="1"/>
    <x v="4"/>
    <x v="19"/>
    <x v="11"/>
    <x v="15"/>
    <x v="14"/>
    <x v="4"/>
    <n v="27700180"/>
  </r>
  <r>
    <d v="2025-05-12T00:00:00"/>
    <x v="1"/>
    <x v="4"/>
    <x v="19"/>
    <x v="11"/>
    <x v="20"/>
    <x v="9"/>
    <x v="1"/>
    <n v="0"/>
  </r>
  <r>
    <d v="2025-05-12T00:00:00"/>
    <x v="1"/>
    <x v="4"/>
    <x v="19"/>
    <x v="11"/>
    <x v="17"/>
    <x v="9"/>
    <x v="1"/>
    <n v="0"/>
  </r>
  <r>
    <d v="2025-05-12T00:00:00"/>
    <x v="1"/>
    <x v="4"/>
    <x v="19"/>
    <x v="11"/>
    <x v="21"/>
    <x v="9"/>
    <x v="1"/>
    <n v="0"/>
  </r>
  <r>
    <d v="2025-05-12T00:00:00"/>
    <x v="1"/>
    <x v="4"/>
    <x v="19"/>
    <x v="11"/>
    <x v="1"/>
    <x v="1"/>
    <x v="1"/>
    <n v="42000000"/>
  </r>
  <r>
    <d v="2025-05-12T00:00:00"/>
    <x v="1"/>
    <x v="4"/>
    <x v="19"/>
    <x v="11"/>
    <x v="6"/>
    <x v="6"/>
    <x v="0"/>
    <n v="36000000"/>
  </r>
  <r>
    <d v="2025-05-12T00:00:00"/>
    <x v="1"/>
    <x v="4"/>
    <x v="19"/>
    <x v="11"/>
    <x v="22"/>
    <x v="16"/>
    <x v="1"/>
    <n v="0"/>
  </r>
  <r>
    <d v="2025-05-12T00:00:00"/>
    <x v="1"/>
    <x v="4"/>
    <x v="19"/>
    <x v="11"/>
    <x v="3"/>
    <x v="3"/>
    <x v="1"/>
    <n v="0"/>
  </r>
  <r>
    <d v="2025-05-12T00:00:00"/>
    <x v="1"/>
    <x v="4"/>
    <x v="19"/>
    <x v="11"/>
    <x v="18"/>
    <x v="15"/>
    <x v="1"/>
    <n v="959240000"/>
  </r>
  <r>
    <d v="2025-05-12T00:00:00"/>
    <x v="1"/>
    <x v="4"/>
    <x v="19"/>
    <x v="11"/>
    <x v="14"/>
    <x v="13"/>
    <x v="1"/>
    <n v="1238990000"/>
  </r>
  <r>
    <d v="2025-05-12T00:00:00"/>
    <x v="1"/>
    <x v="4"/>
    <x v="19"/>
    <x v="11"/>
    <x v="23"/>
    <x v="17"/>
    <x v="4"/>
    <n v="0"/>
  </r>
  <r>
    <d v="2025-05-12T00:00:00"/>
    <x v="1"/>
    <x v="4"/>
    <x v="19"/>
    <x v="11"/>
    <x v="11"/>
    <x v="10"/>
    <x v="4"/>
    <n v="203384969"/>
  </r>
  <r>
    <d v="2025-05-12T00:00:00"/>
    <x v="1"/>
    <x v="4"/>
    <x v="19"/>
    <x v="11"/>
    <x v="19"/>
    <x v="12"/>
    <x v="4"/>
    <n v="490473869"/>
  </r>
  <r>
    <d v="2025-05-12T00:00:00"/>
    <x v="1"/>
    <x v="4"/>
    <x v="19"/>
    <x v="11"/>
    <x v="5"/>
    <x v="5"/>
    <x v="3"/>
    <n v="3790545338"/>
  </r>
  <r>
    <d v="2025-05-12T00:00:00"/>
    <x v="1"/>
    <x v="4"/>
    <x v="19"/>
    <x v="11"/>
    <x v="7"/>
    <x v="7"/>
    <x v="4"/>
    <n v="393912460"/>
  </r>
  <r>
    <d v="2025-05-13T00:00:00"/>
    <x v="1"/>
    <x v="4"/>
    <x v="19"/>
    <x v="12"/>
    <x v="11"/>
    <x v="10"/>
    <x v="4"/>
    <n v="178306212"/>
  </r>
  <r>
    <d v="2025-05-13T00:00:00"/>
    <x v="1"/>
    <x v="4"/>
    <x v="19"/>
    <x v="12"/>
    <x v="19"/>
    <x v="12"/>
    <x v="4"/>
    <n v="410564387"/>
  </r>
  <r>
    <d v="2025-05-13T00:00:00"/>
    <x v="1"/>
    <x v="4"/>
    <x v="19"/>
    <x v="12"/>
    <x v="2"/>
    <x v="2"/>
    <x v="1"/>
    <n v="8227700000"/>
  </r>
  <r>
    <d v="2025-05-13T00:00:00"/>
    <x v="1"/>
    <x v="4"/>
    <x v="19"/>
    <x v="12"/>
    <x v="5"/>
    <x v="5"/>
    <x v="3"/>
    <n v="3423765456"/>
  </r>
  <r>
    <d v="2025-05-13T00:00:00"/>
    <x v="1"/>
    <x v="4"/>
    <x v="19"/>
    <x v="12"/>
    <x v="14"/>
    <x v="13"/>
    <x v="1"/>
    <n v="985210000"/>
  </r>
  <r>
    <d v="2025-05-13T00:00:00"/>
    <x v="1"/>
    <x v="4"/>
    <x v="19"/>
    <x v="12"/>
    <x v="7"/>
    <x v="7"/>
    <x v="4"/>
    <n v="365516589"/>
  </r>
  <r>
    <d v="2025-05-13T00:00:00"/>
    <x v="1"/>
    <x v="4"/>
    <x v="19"/>
    <x v="12"/>
    <x v="12"/>
    <x v="11"/>
    <x v="1"/>
    <n v="7051330000"/>
  </r>
  <r>
    <d v="2025-05-13T00:00:00"/>
    <x v="1"/>
    <x v="4"/>
    <x v="19"/>
    <x v="12"/>
    <x v="23"/>
    <x v="17"/>
    <x v="4"/>
    <n v="0"/>
  </r>
  <r>
    <d v="2025-05-13T00:00:00"/>
    <x v="1"/>
    <x v="4"/>
    <x v="19"/>
    <x v="12"/>
    <x v="22"/>
    <x v="16"/>
    <x v="1"/>
    <n v="0"/>
  </r>
  <r>
    <d v="2025-05-13T00:00:00"/>
    <x v="1"/>
    <x v="4"/>
    <x v="19"/>
    <x v="12"/>
    <x v="24"/>
    <x v="18"/>
    <x v="1"/>
    <n v="594000000"/>
  </r>
  <r>
    <d v="2025-05-13T00:00:00"/>
    <x v="1"/>
    <x v="4"/>
    <x v="19"/>
    <x v="12"/>
    <x v="15"/>
    <x v="14"/>
    <x v="4"/>
    <n v="25317378"/>
  </r>
  <r>
    <d v="2025-05-13T00:00:00"/>
    <x v="1"/>
    <x v="4"/>
    <x v="19"/>
    <x v="12"/>
    <x v="20"/>
    <x v="9"/>
    <x v="1"/>
    <n v="0"/>
  </r>
  <r>
    <d v="2025-05-13T00:00:00"/>
    <x v="1"/>
    <x v="4"/>
    <x v="19"/>
    <x v="12"/>
    <x v="17"/>
    <x v="9"/>
    <x v="1"/>
    <n v="0"/>
  </r>
  <r>
    <d v="2025-05-13T00:00:00"/>
    <x v="1"/>
    <x v="4"/>
    <x v="19"/>
    <x v="12"/>
    <x v="21"/>
    <x v="9"/>
    <x v="1"/>
    <n v="0"/>
  </r>
  <r>
    <d v="2025-05-13T00:00:00"/>
    <x v="1"/>
    <x v="4"/>
    <x v="19"/>
    <x v="12"/>
    <x v="1"/>
    <x v="1"/>
    <x v="1"/>
    <n v="42000000"/>
  </r>
  <r>
    <d v="2025-05-13T00:00:00"/>
    <x v="1"/>
    <x v="4"/>
    <x v="19"/>
    <x v="12"/>
    <x v="0"/>
    <x v="0"/>
    <x v="0"/>
    <n v="5132484000"/>
  </r>
  <r>
    <d v="2025-05-13T00:00:00"/>
    <x v="1"/>
    <x v="4"/>
    <x v="19"/>
    <x v="12"/>
    <x v="6"/>
    <x v="6"/>
    <x v="0"/>
    <n v="33000000"/>
  </r>
  <r>
    <d v="2025-05-13T00:00:00"/>
    <x v="1"/>
    <x v="4"/>
    <x v="19"/>
    <x v="12"/>
    <x v="3"/>
    <x v="3"/>
    <x v="1"/>
    <n v="0"/>
  </r>
  <r>
    <d v="2025-05-13T00:00:00"/>
    <x v="1"/>
    <x v="4"/>
    <x v="19"/>
    <x v="12"/>
    <x v="18"/>
    <x v="15"/>
    <x v="1"/>
    <n v="476700000"/>
  </r>
  <r>
    <d v="2025-05-14T00:00:00"/>
    <x v="1"/>
    <x v="4"/>
    <x v="19"/>
    <x v="13"/>
    <x v="18"/>
    <x v="15"/>
    <x v="1"/>
    <n v="778070000"/>
  </r>
  <r>
    <d v="2025-05-14T00:00:00"/>
    <x v="1"/>
    <x v="4"/>
    <x v="19"/>
    <x v="13"/>
    <x v="14"/>
    <x v="13"/>
    <x v="1"/>
    <n v="1209660000"/>
  </r>
  <r>
    <d v="2025-05-14T00:00:00"/>
    <x v="1"/>
    <x v="4"/>
    <x v="19"/>
    <x v="13"/>
    <x v="23"/>
    <x v="17"/>
    <x v="4"/>
    <n v="0"/>
  </r>
  <r>
    <d v="2025-05-14T00:00:00"/>
    <x v="1"/>
    <x v="4"/>
    <x v="19"/>
    <x v="13"/>
    <x v="3"/>
    <x v="3"/>
    <x v="1"/>
    <n v="0"/>
  </r>
  <r>
    <d v="2025-05-14T00:00:00"/>
    <x v="1"/>
    <x v="4"/>
    <x v="19"/>
    <x v="13"/>
    <x v="11"/>
    <x v="10"/>
    <x v="4"/>
    <n v="204202663"/>
  </r>
  <r>
    <d v="2025-05-14T00:00:00"/>
    <x v="1"/>
    <x v="4"/>
    <x v="19"/>
    <x v="13"/>
    <x v="19"/>
    <x v="12"/>
    <x v="4"/>
    <n v="356655483"/>
  </r>
  <r>
    <d v="2025-05-14T00:00:00"/>
    <x v="1"/>
    <x v="4"/>
    <x v="19"/>
    <x v="13"/>
    <x v="5"/>
    <x v="5"/>
    <x v="3"/>
    <n v="3471797574"/>
  </r>
  <r>
    <d v="2025-05-14T00:00:00"/>
    <x v="1"/>
    <x v="4"/>
    <x v="19"/>
    <x v="13"/>
    <x v="7"/>
    <x v="7"/>
    <x v="4"/>
    <n v="342469772"/>
  </r>
  <r>
    <d v="2025-05-14T00:00:00"/>
    <x v="1"/>
    <x v="4"/>
    <x v="19"/>
    <x v="13"/>
    <x v="12"/>
    <x v="11"/>
    <x v="1"/>
    <n v="8724370000"/>
  </r>
  <r>
    <d v="2025-05-14T00:00:00"/>
    <x v="1"/>
    <x v="4"/>
    <x v="19"/>
    <x v="13"/>
    <x v="0"/>
    <x v="0"/>
    <x v="0"/>
    <n v="5676156000"/>
  </r>
  <r>
    <d v="2025-05-14T00:00:00"/>
    <x v="1"/>
    <x v="4"/>
    <x v="19"/>
    <x v="13"/>
    <x v="1"/>
    <x v="1"/>
    <x v="1"/>
    <n v="10500000"/>
  </r>
  <r>
    <d v="2025-05-14T00:00:00"/>
    <x v="1"/>
    <x v="4"/>
    <x v="19"/>
    <x v="13"/>
    <x v="6"/>
    <x v="6"/>
    <x v="0"/>
    <n v="31000000"/>
  </r>
  <r>
    <d v="2025-05-14T00:00:00"/>
    <x v="1"/>
    <x v="4"/>
    <x v="19"/>
    <x v="13"/>
    <x v="21"/>
    <x v="9"/>
    <x v="1"/>
    <n v="0"/>
  </r>
  <r>
    <d v="2025-05-14T00:00:00"/>
    <x v="1"/>
    <x v="4"/>
    <x v="19"/>
    <x v="13"/>
    <x v="2"/>
    <x v="2"/>
    <x v="1"/>
    <n v="8781380000"/>
  </r>
  <r>
    <d v="2025-05-14T00:00:00"/>
    <x v="1"/>
    <x v="4"/>
    <x v="19"/>
    <x v="13"/>
    <x v="20"/>
    <x v="9"/>
    <x v="1"/>
    <n v="0"/>
  </r>
  <r>
    <d v="2025-05-14T00:00:00"/>
    <x v="1"/>
    <x v="4"/>
    <x v="19"/>
    <x v="13"/>
    <x v="17"/>
    <x v="9"/>
    <x v="1"/>
    <n v="0"/>
  </r>
  <r>
    <d v="2025-05-14T00:00:00"/>
    <x v="1"/>
    <x v="4"/>
    <x v="19"/>
    <x v="13"/>
    <x v="22"/>
    <x v="16"/>
    <x v="1"/>
    <n v="0"/>
  </r>
  <r>
    <d v="2025-05-14T00:00:00"/>
    <x v="1"/>
    <x v="4"/>
    <x v="19"/>
    <x v="13"/>
    <x v="24"/>
    <x v="18"/>
    <x v="1"/>
    <n v="629000000"/>
  </r>
  <r>
    <d v="2025-05-14T00:00:00"/>
    <x v="1"/>
    <x v="4"/>
    <x v="19"/>
    <x v="13"/>
    <x v="15"/>
    <x v="14"/>
    <x v="4"/>
    <n v="19270670"/>
  </r>
  <r>
    <d v="2025-05-15T00:00:00"/>
    <x v="1"/>
    <x v="4"/>
    <x v="19"/>
    <x v="14"/>
    <x v="2"/>
    <x v="2"/>
    <x v="1"/>
    <n v="9308830000"/>
  </r>
  <r>
    <d v="2025-05-15T00:00:00"/>
    <x v="1"/>
    <x v="4"/>
    <x v="19"/>
    <x v="14"/>
    <x v="23"/>
    <x v="17"/>
    <x v="4"/>
    <n v="2079000"/>
  </r>
  <r>
    <d v="2025-05-15T00:00:00"/>
    <x v="1"/>
    <x v="4"/>
    <x v="19"/>
    <x v="14"/>
    <x v="5"/>
    <x v="5"/>
    <x v="3"/>
    <n v="3985096248"/>
  </r>
  <r>
    <d v="2025-05-15T00:00:00"/>
    <x v="1"/>
    <x v="4"/>
    <x v="19"/>
    <x v="14"/>
    <x v="24"/>
    <x v="18"/>
    <x v="1"/>
    <n v="957000000"/>
  </r>
  <r>
    <d v="2025-05-15T00:00:00"/>
    <x v="1"/>
    <x v="4"/>
    <x v="19"/>
    <x v="14"/>
    <x v="15"/>
    <x v="14"/>
    <x v="4"/>
    <n v="9310824"/>
  </r>
  <r>
    <d v="2025-05-15T00:00:00"/>
    <x v="1"/>
    <x v="4"/>
    <x v="19"/>
    <x v="14"/>
    <x v="7"/>
    <x v="7"/>
    <x v="4"/>
    <n v="369418163"/>
  </r>
  <r>
    <d v="2025-05-15T00:00:00"/>
    <x v="1"/>
    <x v="4"/>
    <x v="19"/>
    <x v="14"/>
    <x v="17"/>
    <x v="9"/>
    <x v="1"/>
    <n v="0"/>
  </r>
  <r>
    <d v="2025-05-15T00:00:00"/>
    <x v="1"/>
    <x v="4"/>
    <x v="19"/>
    <x v="14"/>
    <x v="21"/>
    <x v="9"/>
    <x v="1"/>
    <n v="0"/>
  </r>
  <r>
    <d v="2025-05-15T00:00:00"/>
    <x v="1"/>
    <x v="4"/>
    <x v="19"/>
    <x v="14"/>
    <x v="22"/>
    <x v="16"/>
    <x v="1"/>
    <n v="0"/>
  </r>
  <r>
    <d v="2025-05-15T00:00:00"/>
    <x v="1"/>
    <x v="4"/>
    <x v="19"/>
    <x v="14"/>
    <x v="1"/>
    <x v="1"/>
    <x v="1"/>
    <n v="48300000"/>
  </r>
  <r>
    <d v="2025-05-15T00:00:00"/>
    <x v="1"/>
    <x v="4"/>
    <x v="19"/>
    <x v="14"/>
    <x v="6"/>
    <x v="6"/>
    <x v="0"/>
    <n v="64000000"/>
  </r>
  <r>
    <d v="2025-05-15T00:00:00"/>
    <x v="1"/>
    <x v="4"/>
    <x v="19"/>
    <x v="14"/>
    <x v="3"/>
    <x v="3"/>
    <x v="1"/>
    <n v="0"/>
  </r>
  <r>
    <d v="2025-05-15T00:00:00"/>
    <x v="1"/>
    <x v="4"/>
    <x v="19"/>
    <x v="14"/>
    <x v="18"/>
    <x v="15"/>
    <x v="1"/>
    <n v="783440000"/>
  </r>
  <r>
    <d v="2025-05-15T00:00:00"/>
    <x v="1"/>
    <x v="4"/>
    <x v="19"/>
    <x v="14"/>
    <x v="14"/>
    <x v="13"/>
    <x v="1"/>
    <n v="1383110000"/>
  </r>
  <r>
    <d v="2025-05-15T00:00:00"/>
    <x v="1"/>
    <x v="4"/>
    <x v="19"/>
    <x v="14"/>
    <x v="12"/>
    <x v="11"/>
    <x v="1"/>
    <n v="8009810000"/>
  </r>
  <r>
    <d v="2025-05-15T00:00:00"/>
    <x v="1"/>
    <x v="4"/>
    <x v="19"/>
    <x v="14"/>
    <x v="20"/>
    <x v="9"/>
    <x v="1"/>
    <n v="0"/>
  </r>
  <r>
    <d v="2025-05-15T00:00:00"/>
    <x v="1"/>
    <x v="4"/>
    <x v="19"/>
    <x v="14"/>
    <x v="11"/>
    <x v="10"/>
    <x v="4"/>
    <n v="216801971"/>
  </r>
  <r>
    <d v="2025-05-15T00:00:00"/>
    <x v="1"/>
    <x v="4"/>
    <x v="19"/>
    <x v="14"/>
    <x v="19"/>
    <x v="12"/>
    <x v="4"/>
    <n v="336760732"/>
  </r>
  <r>
    <d v="2025-05-15T00:00:00"/>
    <x v="1"/>
    <x v="4"/>
    <x v="19"/>
    <x v="14"/>
    <x v="0"/>
    <x v="0"/>
    <x v="0"/>
    <n v="6775704000"/>
  </r>
  <r>
    <d v="2025-05-16T00:00:00"/>
    <x v="1"/>
    <x v="4"/>
    <x v="19"/>
    <x v="15"/>
    <x v="12"/>
    <x v="11"/>
    <x v="1"/>
    <n v="7951440000"/>
  </r>
  <r>
    <d v="2025-05-16T00:00:00"/>
    <x v="1"/>
    <x v="4"/>
    <x v="19"/>
    <x v="15"/>
    <x v="0"/>
    <x v="0"/>
    <x v="0"/>
    <n v="6000156000"/>
  </r>
  <r>
    <d v="2025-05-16T00:00:00"/>
    <x v="1"/>
    <x v="4"/>
    <x v="19"/>
    <x v="15"/>
    <x v="7"/>
    <x v="7"/>
    <x v="4"/>
    <n v="347838203"/>
  </r>
  <r>
    <d v="2025-05-16T00:00:00"/>
    <x v="1"/>
    <x v="4"/>
    <x v="19"/>
    <x v="15"/>
    <x v="2"/>
    <x v="2"/>
    <x v="1"/>
    <n v="7269460000"/>
  </r>
  <r>
    <d v="2025-05-16T00:00:00"/>
    <x v="1"/>
    <x v="4"/>
    <x v="19"/>
    <x v="15"/>
    <x v="22"/>
    <x v="16"/>
    <x v="1"/>
    <n v="0"/>
  </r>
  <r>
    <d v="2025-05-16T00:00:00"/>
    <x v="1"/>
    <x v="4"/>
    <x v="19"/>
    <x v="15"/>
    <x v="5"/>
    <x v="5"/>
    <x v="3"/>
    <n v="3400345990"/>
  </r>
  <r>
    <d v="2025-05-16T00:00:00"/>
    <x v="1"/>
    <x v="4"/>
    <x v="19"/>
    <x v="15"/>
    <x v="24"/>
    <x v="18"/>
    <x v="1"/>
    <n v="1418000000"/>
  </r>
  <r>
    <d v="2025-05-16T00:00:00"/>
    <x v="1"/>
    <x v="4"/>
    <x v="19"/>
    <x v="15"/>
    <x v="15"/>
    <x v="14"/>
    <x v="4"/>
    <n v="17040473"/>
  </r>
  <r>
    <d v="2025-05-16T00:00:00"/>
    <x v="1"/>
    <x v="4"/>
    <x v="19"/>
    <x v="15"/>
    <x v="20"/>
    <x v="9"/>
    <x v="1"/>
    <n v="0"/>
  </r>
  <r>
    <d v="2025-05-16T00:00:00"/>
    <x v="1"/>
    <x v="4"/>
    <x v="19"/>
    <x v="15"/>
    <x v="17"/>
    <x v="9"/>
    <x v="1"/>
    <n v="0"/>
  </r>
  <r>
    <d v="2025-05-16T00:00:00"/>
    <x v="1"/>
    <x v="4"/>
    <x v="19"/>
    <x v="15"/>
    <x v="21"/>
    <x v="9"/>
    <x v="1"/>
    <n v="0"/>
  </r>
  <r>
    <d v="2025-05-16T00:00:00"/>
    <x v="1"/>
    <x v="4"/>
    <x v="19"/>
    <x v="15"/>
    <x v="1"/>
    <x v="1"/>
    <x v="1"/>
    <n v="21000000"/>
  </r>
  <r>
    <d v="2025-05-16T00:00:00"/>
    <x v="1"/>
    <x v="4"/>
    <x v="19"/>
    <x v="15"/>
    <x v="6"/>
    <x v="6"/>
    <x v="0"/>
    <n v="20000000"/>
  </r>
  <r>
    <d v="2025-05-16T00:00:00"/>
    <x v="1"/>
    <x v="4"/>
    <x v="19"/>
    <x v="15"/>
    <x v="3"/>
    <x v="3"/>
    <x v="1"/>
    <n v="0"/>
  </r>
  <r>
    <d v="2025-05-16T00:00:00"/>
    <x v="1"/>
    <x v="4"/>
    <x v="19"/>
    <x v="15"/>
    <x v="18"/>
    <x v="15"/>
    <x v="1"/>
    <n v="442340000"/>
  </r>
  <r>
    <d v="2025-05-16T00:00:00"/>
    <x v="1"/>
    <x v="4"/>
    <x v="19"/>
    <x v="15"/>
    <x v="14"/>
    <x v="13"/>
    <x v="1"/>
    <n v="1358910000"/>
  </r>
  <r>
    <d v="2025-05-16T00:00:00"/>
    <x v="1"/>
    <x v="4"/>
    <x v="19"/>
    <x v="15"/>
    <x v="23"/>
    <x v="17"/>
    <x v="4"/>
    <n v="0"/>
  </r>
  <r>
    <d v="2025-05-16T00:00:00"/>
    <x v="1"/>
    <x v="4"/>
    <x v="19"/>
    <x v="15"/>
    <x v="11"/>
    <x v="10"/>
    <x v="4"/>
    <n v="225218077"/>
  </r>
  <r>
    <d v="2025-05-16T00:00:00"/>
    <x v="1"/>
    <x v="4"/>
    <x v="19"/>
    <x v="15"/>
    <x v="19"/>
    <x v="12"/>
    <x v="4"/>
    <n v="302132131"/>
  </r>
  <r>
    <d v="2025-05-17T00:00:00"/>
    <x v="1"/>
    <x v="4"/>
    <x v="19"/>
    <x v="16"/>
    <x v="12"/>
    <x v="11"/>
    <x v="1"/>
    <n v="7487990000"/>
  </r>
  <r>
    <d v="2025-05-17T00:00:00"/>
    <x v="1"/>
    <x v="4"/>
    <x v="19"/>
    <x v="16"/>
    <x v="0"/>
    <x v="0"/>
    <x v="0"/>
    <n v="5514048000"/>
  </r>
  <r>
    <d v="2025-05-17T00:00:00"/>
    <x v="1"/>
    <x v="4"/>
    <x v="19"/>
    <x v="16"/>
    <x v="2"/>
    <x v="2"/>
    <x v="1"/>
    <n v="7572640000"/>
  </r>
  <r>
    <d v="2025-05-17T00:00:00"/>
    <x v="1"/>
    <x v="4"/>
    <x v="19"/>
    <x v="16"/>
    <x v="22"/>
    <x v="16"/>
    <x v="1"/>
    <n v="10000000"/>
  </r>
  <r>
    <d v="2025-05-17T00:00:00"/>
    <x v="1"/>
    <x v="4"/>
    <x v="19"/>
    <x v="16"/>
    <x v="24"/>
    <x v="18"/>
    <x v="1"/>
    <n v="2122000000"/>
  </r>
  <r>
    <d v="2025-05-17T00:00:00"/>
    <x v="1"/>
    <x v="4"/>
    <x v="19"/>
    <x v="16"/>
    <x v="15"/>
    <x v="14"/>
    <x v="4"/>
    <n v="14088975"/>
  </r>
  <r>
    <d v="2025-05-17T00:00:00"/>
    <x v="1"/>
    <x v="4"/>
    <x v="19"/>
    <x v="16"/>
    <x v="20"/>
    <x v="9"/>
    <x v="1"/>
    <n v="0"/>
  </r>
  <r>
    <d v="2025-05-17T00:00:00"/>
    <x v="1"/>
    <x v="4"/>
    <x v="19"/>
    <x v="16"/>
    <x v="17"/>
    <x v="9"/>
    <x v="1"/>
    <n v="0"/>
  </r>
  <r>
    <d v="2025-05-17T00:00:00"/>
    <x v="1"/>
    <x v="4"/>
    <x v="19"/>
    <x v="16"/>
    <x v="21"/>
    <x v="9"/>
    <x v="1"/>
    <n v="0"/>
  </r>
  <r>
    <d v="2025-05-17T00:00:00"/>
    <x v="1"/>
    <x v="4"/>
    <x v="19"/>
    <x v="16"/>
    <x v="1"/>
    <x v="1"/>
    <x v="1"/>
    <n v="10500000"/>
  </r>
  <r>
    <d v="2025-05-17T00:00:00"/>
    <x v="1"/>
    <x v="4"/>
    <x v="19"/>
    <x v="16"/>
    <x v="6"/>
    <x v="6"/>
    <x v="0"/>
    <n v="28000000"/>
  </r>
  <r>
    <d v="2025-05-17T00:00:00"/>
    <x v="1"/>
    <x v="4"/>
    <x v="19"/>
    <x v="16"/>
    <x v="3"/>
    <x v="3"/>
    <x v="1"/>
    <n v="0"/>
  </r>
  <r>
    <d v="2025-05-17T00:00:00"/>
    <x v="1"/>
    <x v="4"/>
    <x v="19"/>
    <x v="16"/>
    <x v="18"/>
    <x v="15"/>
    <x v="1"/>
    <n v="617610000"/>
  </r>
  <r>
    <d v="2025-05-17T00:00:00"/>
    <x v="1"/>
    <x v="4"/>
    <x v="19"/>
    <x v="16"/>
    <x v="14"/>
    <x v="13"/>
    <x v="1"/>
    <n v="1335720000"/>
  </r>
  <r>
    <d v="2025-05-17T00:00:00"/>
    <x v="1"/>
    <x v="4"/>
    <x v="19"/>
    <x v="16"/>
    <x v="23"/>
    <x v="17"/>
    <x v="4"/>
    <n v="0"/>
  </r>
  <r>
    <d v="2025-05-17T00:00:00"/>
    <x v="1"/>
    <x v="4"/>
    <x v="19"/>
    <x v="16"/>
    <x v="11"/>
    <x v="10"/>
    <x v="4"/>
    <n v="210307348"/>
  </r>
  <r>
    <d v="2025-05-17T00:00:00"/>
    <x v="1"/>
    <x v="4"/>
    <x v="19"/>
    <x v="16"/>
    <x v="19"/>
    <x v="12"/>
    <x v="4"/>
    <n v="243519168"/>
  </r>
  <r>
    <d v="2025-05-17T00:00:00"/>
    <x v="1"/>
    <x v="4"/>
    <x v="19"/>
    <x v="16"/>
    <x v="5"/>
    <x v="5"/>
    <x v="3"/>
    <n v="3198300842"/>
  </r>
  <r>
    <d v="2025-05-17T00:00:00"/>
    <x v="1"/>
    <x v="4"/>
    <x v="19"/>
    <x v="16"/>
    <x v="7"/>
    <x v="7"/>
    <x v="4"/>
    <n v="311212522"/>
  </r>
  <r>
    <d v="2025-05-18T00:00:00"/>
    <x v="1"/>
    <x v="4"/>
    <x v="19"/>
    <x v="17"/>
    <x v="12"/>
    <x v="11"/>
    <x v="1"/>
    <n v="7071770000"/>
  </r>
  <r>
    <d v="2025-05-18T00:00:00"/>
    <x v="1"/>
    <x v="4"/>
    <x v="19"/>
    <x v="17"/>
    <x v="0"/>
    <x v="0"/>
    <x v="0"/>
    <n v="5306256000"/>
  </r>
  <r>
    <d v="2025-05-18T00:00:00"/>
    <x v="1"/>
    <x v="4"/>
    <x v="19"/>
    <x v="17"/>
    <x v="2"/>
    <x v="2"/>
    <x v="1"/>
    <n v="6646680000"/>
  </r>
  <r>
    <d v="2025-05-18T00:00:00"/>
    <x v="1"/>
    <x v="4"/>
    <x v="19"/>
    <x v="17"/>
    <x v="22"/>
    <x v="16"/>
    <x v="1"/>
    <n v="0"/>
  </r>
  <r>
    <d v="2025-05-18T00:00:00"/>
    <x v="1"/>
    <x v="4"/>
    <x v="19"/>
    <x v="17"/>
    <x v="15"/>
    <x v="14"/>
    <x v="4"/>
    <n v="9107012"/>
  </r>
  <r>
    <d v="2025-05-18T00:00:00"/>
    <x v="1"/>
    <x v="4"/>
    <x v="19"/>
    <x v="17"/>
    <x v="24"/>
    <x v="18"/>
    <x v="1"/>
    <n v="1911000000"/>
  </r>
  <r>
    <d v="2025-05-18T00:00:00"/>
    <x v="1"/>
    <x v="4"/>
    <x v="19"/>
    <x v="17"/>
    <x v="20"/>
    <x v="9"/>
    <x v="1"/>
    <n v="0"/>
  </r>
  <r>
    <d v="2025-05-18T00:00:00"/>
    <x v="1"/>
    <x v="4"/>
    <x v="19"/>
    <x v="17"/>
    <x v="17"/>
    <x v="9"/>
    <x v="1"/>
    <n v="0"/>
  </r>
  <r>
    <d v="2025-05-18T00:00:00"/>
    <x v="1"/>
    <x v="4"/>
    <x v="19"/>
    <x v="17"/>
    <x v="1"/>
    <x v="1"/>
    <x v="1"/>
    <n v="20000000"/>
  </r>
  <r>
    <d v="2025-05-18T00:00:00"/>
    <x v="1"/>
    <x v="4"/>
    <x v="19"/>
    <x v="17"/>
    <x v="6"/>
    <x v="6"/>
    <x v="0"/>
    <n v="2000000"/>
  </r>
  <r>
    <d v="2025-05-18T00:00:00"/>
    <x v="1"/>
    <x v="4"/>
    <x v="19"/>
    <x v="17"/>
    <x v="3"/>
    <x v="3"/>
    <x v="1"/>
    <n v="0"/>
  </r>
  <r>
    <d v="2025-05-18T00:00:00"/>
    <x v="1"/>
    <x v="4"/>
    <x v="19"/>
    <x v="17"/>
    <x v="18"/>
    <x v="15"/>
    <x v="1"/>
    <n v="701070000"/>
  </r>
  <r>
    <d v="2025-05-18T00:00:00"/>
    <x v="1"/>
    <x v="4"/>
    <x v="19"/>
    <x v="17"/>
    <x v="8"/>
    <x v="8"/>
    <x v="1"/>
    <n v="0"/>
  </r>
  <r>
    <d v="2025-05-18T00:00:00"/>
    <x v="1"/>
    <x v="4"/>
    <x v="19"/>
    <x v="17"/>
    <x v="14"/>
    <x v="13"/>
    <x v="1"/>
    <n v="1549430000"/>
  </r>
  <r>
    <d v="2025-05-18T00:00:00"/>
    <x v="1"/>
    <x v="4"/>
    <x v="19"/>
    <x v="17"/>
    <x v="23"/>
    <x v="17"/>
    <x v="4"/>
    <n v="0"/>
  </r>
  <r>
    <d v="2025-05-18T00:00:00"/>
    <x v="1"/>
    <x v="4"/>
    <x v="19"/>
    <x v="17"/>
    <x v="11"/>
    <x v="10"/>
    <x v="4"/>
    <n v="221879249"/>
  </r>
  <r>
    <d v="2025-05-18T00:00:00"/>
    <x v="1"/>
    <x v="4"/>
    <x v="19"/>
    <x v="17"/>
    <x v="19"/>
    <x v="12"/>
    <x v="4"/>
    <n v="283581102"/>
  </r>
  <r>
    <d v="2025-05-18T00:00:00"/>
    <x v="1"/>
    <x v="4"/>
    <x v="19"/>
    <x v="17"/>
    <x v="5"/>
    <x v="5"/>
    <x v="3"/>
    <n v="3041198009"/>
  </r>
  <r>
    <d v="2025-05-18T00:00:00"/>
    <x v="1"/>
    <x v="4"/>
    <x v="19"/>
    <x v="17"/>
    <x v="7"/>
    <x v="7"/>
    <x v="4"/>
    <n v="277169547"/>
  </r>
  <r>
    <d v="2025-05-19T00:00:00"/>
    <x v="1"/>
    <x v="4"/>
    <x v="20"/>
    <x v="18"/>
    <x v="1"/>
    <x v="1"/>
    <x v="1"/>
    <n v="79800000"/>
  </r>
  <r>
    <d v="2025-05-19T00:00:00"/>
    <x v="1"/>
    <x v="4"/>
    <x v="20"/>
    <x v="18"/>
    <x v="15"/>
    <x v="14"/>
    <x v="4"/>
    <n v="29702834"/>
  </r>
  <r>
    <d v="2025-05-19T00:00:00"/>
    <x v="1"/>
    <x v="4"/>
    <x v="20"/>
    <x v="18"/>
    <x v="19"/>
    <x v="12"/>
    <x v="4"/>
    <n v="268906367"/>
  </r>
  <r>
    <d v="2025-05-19T00:00:00"/>
    <x v="1"/>
    <x v="4"/>
    <x v="20"/>
    <x v="18"/>
    <x v="24"/>
    <x v="18"/>
    <x v="1"/>
    <n v="2095000000"/>
  </r>
  <r>
    <d v="2025-05-19T00:00:00"/>
    <x v="1"/>
    <x v="4"/>
    <x v="20"/>
    <x v="18"/>
    <x v="20"/>
    <x v="9"/>
    <x v="1"/>
    <n v="0"/>
  </r>
  <r>
    <d v="2025-05-19T00:00:00"/>
    <x v="1"/>
    <x v="4"/>
    <x v="20"/>
    <x v="18"/>
    <x v="17"/>
    <x v="9"/>
    <x v="1"/>
    <n v="0"/>
  </r>
  <r>
    <d v="2025-05-19T00:00:00"/>
    <x v="1"/>
    <x v="4"/>
    <x v="20"/>
    <x v="18"/>
    <x v="6"/>
    <x v="6"/>
    <x v="0"/>
    <n v="13000000"/>
  </r>
  <r>
    <d v="2025-05-19T00:00:00"/>
    <x v="1"/>
    <x v="4"/>
    <x v="20"/>
    <x v="18"/>
    <x v="3"/>
    <x v="3"/>
    <x v="1"/>
    <n v="0"/>
  </r>
  <r>
    <d v="2025-05-19T00:00:00"/>
    <x v="1"/>
    <x v="4"/>
    <x v="20"/>
    <x v="18"/>
    <x v="18"/>
    <x v="15"/>
    <x v="1"/>
    <n v="633370000"/>
  </r>
  <r>
    <d v="2025-05-19T00:00:00"/>
    <x v="1"/>
    <x v="4"/>
    <x v="20"/>
    <x v="18"/>
    <x v="8"/>
    <x v="8"/>
    <x v="1"/>
    <n v="0"/>
  </r>
  <r>
    <d v="2025-05-19T00:00:00"/>
    <x v="1"/>
    <x v="4"/>
    <x v="20"/>
    <x v="18"/>
    <x v="22"/>
    <x v="16"/>
    <x v="1"/>
    <n v="0"/>
  </r>
  <r>
    <d v="2025-05-19T00:00:00"/>
    <x v="1"/>
    <x v="4"/>
    <x v="20"/>
    <x v="18"/>
    <x v="14"/>
    <x v="13"/>
    <x v="1"/>
    <n v="1300630000"/>
  </r>
  <r>
    <d v="2025-05-19T00:00:00"/>
    <x v="1"/>
    <x v="4"/>
    <x v="20"/>
    <x v="18"/>
    <x v="23"/>
    <x v="17"/>
    <x v="4"/>
    <n v="0"/>
  </r>
  <r>
    <d v="2025-05-19T00:00:00"/>
    <x v="1"/>
    <x v="4"/>
    <x v="20"/>
    <x v="18"/>
    <x v="11"/>
    <x v="10"/>
    <x v="4"/>
    <n v="216229778"/>
  </r>
  <r>
    <d v="2025-05-19T00:00:00"/>
    <x v="1"/>
    <x v="4"/>
    <x v="20"/>
    <x v="18"/>
    <x v="5"/>
    <x v="5"/>
    <x v="3"/>
    <n v="3737360275"/>
  </r>
  <r>
    <d v="2025-05-19T00:00:00"/>
    <x v="1"/>
    <x v="4"/>
    <x v="20"/>
    <x v="18"/>
    <x v="7"/>
    <x v="7"/>
    <x v="4"/>
    <n v="275556874"/>
  </r>
  <r>
    <d v="2025-05-19T00:00:00"/>
    <x v="1"/>
    <x v="4"/>
    <x v="20"/>
    <x v="18"/>
    <x v="12"/>
    <x v="11"/>
    <x v="1"/>
    <n v="7788130000"/>
  </r>
  <r>
    <d v="2025-05-19T00:00:00"/>
    <x v="1"/>
    <x v="4"/>
    <x v="20"/>
    <x v="18"/>
    <x v="2"/>
    <x v="2"/>
    <x v="1"/>
    <n v="7769060000"/>
  </r>
  <r>
    <d v="2025-05-19T00:00:00"/>
    <x v="1"/>
    <x v="4"/>
    <x v="20"/>
    <x v="18"/>
    <x v="0"/>
    <x v="0"/>
    <x v="0"/>
    <n v="5612544000"/>
  </r>
  <r>
    <d v="2025-05-20T00:00:00"/>
    <x v="1"/>
    <x v="4"/>
    <x v="20"/>
    <x v="19"/>
    <x v="3"/>
    <x v="3"/>
    <x v="1"/>
    <n v="0"/>
  </r>
  <r>
    <d v="2025-05-20T00:00:00"/>
    <x v="1"/>
    <x v="4"/>
    <x v="20"/>
    <x v="19"/>
    <x v="18"/>
    <x v="15"/>
    <x v="1"/>
    <n v="471810000"/>
  </r>
  <r>
    <d v="2025-05-20T00:00:00"/>
    <x v="1"/>
    <x v="4"/>
    <x v="20"/>
    <x v="19"/>
    <x v="5"/>
    <x v="5"/>
    <x v="3"/>
    <n v="3952412561"/>
  </r>
  <r>
    <d v="2025-05-20T00:00:00"/>
    <x v="1"/>
    <x v="4"/>
    <x v="20"/>
    <x v="19"/>
    <x v="14"/>
    <x v="13"/>
    <x v="1"/>
    <n v="1360330000"/>
  </r>
  <r>
    <d v="2025-05-20T00:00:00"/>
    <x v="1"/>
    <x v="4"/>
    <x v="20"/>
    <x v="19"/>
    <x v="17"/>
    <x v="9"/>
    <x v="1"/>
    <n v="0"/>
  </r>
  <r>
    <d v="2025-05-20T00:00:00"/>
    <x v="1"/>
    <x v="4"/>
    <x v="20"/>
    <x v="19"/>
    <x v="23"/>
    <x v="17"/>
    <x v="4"/>
    <n v="0"/>
  </r>
  <r>
    <d v="2025-05-20T00:00:00"/>
    <x v="1"/>
    <x v="4"/>
    <x v="20"/>
    <x v="19"/>
    <x v="11"/>
    <x v="10"/>
    <x v="4"/>
    <n v="191310830"/>
  </r>
  <r>
    <d v="2025-05-20T00:00:00"/>
    <x v="1"/>
    <x v="4"/>
    <x v="20"/>
    <x v="19"/>
    <x v="6"/>
    <x v="6"/>
    <x v="0"/>
    <n v="20000000"/>
  </r>
  <r>
    <d v="2025-05-20T00:00:00"/>
    <x v="1"/>
    <x v="4"/>
    <x v="20"/>
    <x v="19"/>
    <x v="7"/>
    <x v="7"/>
    <x v="4"/>
    <n v="333542933"/>
  </r>
  <r>
    <d v="2025-05-20T00:00:00"/>
    <x v="1"/>
    <x v="4"/>
    <x v="20"/>
    <x v="19"/>
    <x v="12"/>
    <x v="11"/>
    <x v="1"/>
    <n v="8242600000"/>
  </r>
  <r>
    <d v="2025-05-20T00:00:00"/>
    <x v="1"/>
    <x v="4"/>
    <x v="20"/>
    <x v="19"/>
    <x v="0"/>
    <x v="0"/>
    <x v="0"/>
    <n v="5812344000"/>
  </r>
  <r>
    <d v="2025-05-20T00:00:00"/>
    <x v="1"/>
    <x v="4"/>
    <x v="20"/>
    <x v="19"/>
    <x v="2"/>
    <x v="2"/>
    <x v="1"/>
    <n v="7966470000"/>
  </r>
  <r>
    <d v="2025-05-20T00:00:00"/>
    <x v="1"/>
    <x v="4"/>
    <x v="20"/>
    <x v="19"/>
    <x v="8"/>
    <x v="8"/>
    <x v="1"/>
    <n v="0"/>
  </r>
  <r>
    <d v="2025-05-20T00:00:00"/>
    <x v="1"/>
    <x v="4"/>
    <x v="20"/>
    <x v="19"/>
    <x v="1"/>
    <x v="1"/>
    <x v="1"/>
    <n v="31500000"/>
  </r>
  <r>
    <d v="2025-05-20T00:00:00"/>
    <x v="1"/>
    <x v="4"/>
    <x v="20"/>
    <x v="19"/>
    <x v="22"/>
    <x v="16"/>
    <x v="1"/>
    <n v="0"/>
  </r>
  <r>
    <d v="2025-05-20T00:00:00"/>
    <x v="1"/>
    <x v="4"/>
    <x v="20"/>
    <x v="19"/>
    <x v="19"/>
    <x v="12"/>
    <x v="4"/>
    <n v="277153098"/>
  </r>
  <r>
    <d v="2025-05-20T00:00:00"/>
    <x v="1"/>
    <x v="4"/>
    <x v="20"/>
    <x v="19"/>
    <x v="15"/>
    <x v="14"/>
    <x v="4"/>
    <n v="28296470"/>
  </r>
  <r>
    <d v="2025-05-20T00:00:00"/>
    <x v="1"/>
    <x v="4"/>
    <x v="20"/>
    <x v="19"/>
    <x v="24"/>
    <x v="18"/>
    <x v="1"/>
    <n v="2685000000"/>
  </r>
  <r>
    <d v="2025-05-20T00:00:00"/>
    <x v="1"/>
    <x v="4"/>
    <x v="20"/>
    <x v="19"/>
    <x v="20"/>
    <x v="9"/>
    <x v="1"/>
    <n v="0"/>
  </r>
  <r>
    <d v="2025-05-21T00:00:00"/>
    <x v="1"/>
    <x v="4"/>
    <x v="20"/>
    <x v="20"/>
    <x v="8"/>
    <x v="8"/>
    <x v="1"/>
    <n v="0"/>
  </r>
  <r>
    <d v="2025-05-21T00:00:00"/>
    <x v="1"/>
    <x v="4"/>
    <x v="20"/>
    <x v="20"/>
    <x v="14"/>
    <x v="13"/>
    <x v="1"/>
    <n v="845280000"/>
  </r>
  <r>
    <d v="2025-05-21T00:00:00"/>
    <x v="1"/>
    <x v="4"/>
    <x v="20"/>
    <x v="20"/>
    <x v="23"/>
    <x v="17"/>
    <x v="4"/>
    <n v="1005000"/>
  </r>
  <r>
    <d v="2025-05-21T00:00:00"/>
    <x v="1"/>
    <x v="4"/>
    <x v="20"/>
    <x v="20"/>
    <x v="18"/>
    <x v="15"/>
    <x v="1"/>
    <n v="558340000"/>
  </r>
  <r>
    <d v="2025-05-21T00:00:00"/>
    <x v="1"/>
    <x v="4"/>
    <x v="20"/>
    <x v="20"/>
    <x v="11"/>
    <x v="10"/>
    <x v="4"/>
    <n v="223272236"/>
  </r>
  <r>
    <d v="2025-05-21T00:00:00"/>
    <x v="1"/>
    <x v="4"/>
    <x v="20"/>
    <x v="20"/>
    <x v="19"/>
    <x v="12"/>
    <x v="4"/>
    <n v="389092939"/>
  </r>
  <r>
    <d v="2025-05-21T00:00:00"/>
    <x v="1"/>
    <x v="4"/>
    <x v="20"/>
    <x v="20"/>
    <x v="5"/>
    <x v="5"/>
    <x v="3"/>
    <n v="4031866300"/>
  </r>
  <r>
    <d v="2025-05-21T00:00:00"/>
    <x v="1"/>
    <x v="4"/>
    <x v="20"/>
    <x v="20"/>
    <x v="7"/>
    <x v="7"/>
    <x v="4"/>
    <n v="355365878"/>
  </r>
  <r>
    <d v="2025-05-21T00:00:00"/>
    <x v="1"/>
    <x v="4"/>
    <x v="20"/>
    <x v="20"/>
    <x v="12"/>
    <x v="11"/>
    <x v="1"/>
    <n v="7941950000"/>
  </r>
  <r>
    <d v="2025-05-21T00:00:00"/>
    <x v="1"/>
    <x v="4"/>
    <x v="20"/>
    <x v="20"/>
    <x v="0"/>
    <x v="0"/>
    <x v="0"/>
    <n v="5508216000"/>
  </r>
  <r>
    <d v="2025-05-21T00:00:00"/>
    <x v="1"/>
    <x v="4"/>
    <x v="20"/>
    <x v="20"/>
    <x v="6"/>
    <x v="6"/>
    <x v="0"/>
    <n v="51000000"/>
  </r>
  <r>
    <d v="2025-05-21T00:00:00"/>
    <x v="1"/>
    <x v="4"/>
    <x v="20"/>
    <x v="20"/>
    <x v="3"/>
    <x v="3"/>
    <x v="1"/>
    <n v="0"/>
  </r>
  <r>
    <d v="2025-05-21T00:00:00"/>
    <x v="1"/>
    <x v="4"/>
    <x v="20"/>
    <x v="20"/>
    <x v="24"/>
    <x v="18"/>
    <x v="1"/>
    <n v="1803000000"/>
  </r>
  <r>
    <d v="2025-05-21T00:00:00"/>
    <x v="1"/>
    <x v="4"/>
    <x v="20"/>
    <x v="20"/>
    <x v="2"/>
    <x v="2"/>
    <x v="1"/>
    <n v="7746590000"/>
  </r>
  <r>
    <d v="2025-05-21T00:00:00"/>
    <x v="1"/>
    <x v="4"/>
    <x v="20"/>
    <x v="20"/>
    <x v="17"/>
    <x v="9"/>
    <x v="1"/>
    <n v="0"/>
  </r>
  <r>
    <d v="2025-05-21T00:00:00"/>
    <x v="1"/>
    <x v="4"/>
    <x v="20"/>
    <x v="20"/>
    <x v="1"/>
    <x v="1"/>
    <x v="1"/>
    <n v="21000000"/>
  </r>
  <r>
    <d v="2025-05-21T00:00:00"/>
    <x v="1"/>
    <x v="4"/>
    <x v="20"/>
    <x v="20"/>
    <x v="22"/>
    <x v="16"/>
    <x v="1"/>
    <n v="23100000"/>
  </r>
  <r>
    <d v="2025-05-21T00:00:00"/>
    <x v="1"/>
    <x v="4"/>
    <x v="20"/>
    <x v="20"/>
    <x v="15"/>
    <x v="14"/>
    <x v="4"/>
    <n v="20997671"/>
  </r>
  <r>
    <d v="2025-05-21T00:00:00"/>
    <x v="1"/>
    <x v="4"/>
    <x v="20"/>
    <x v="20"/>
    <x v="20"/>
    <x v="9"/>
    <x v="1"/>
    <n v="0"/>
  </r>
  <r>
    <d v="2025-05-22T00:00:00"/>
    <x v="1"/>
    <x v="4"/>
    <x v="20"/>
    <x v="21"/>
    <x v="2"/>
    <x v="2"/>
    <x v="1"/>
    <n v="6854500000"/>
  </r>
  <r>
    <d v="2025-05-22T00:00:00"/>
    <x v="1"/>
    <x v="4"/>
    <x v="20"/>
    <x v="21"/>
    <x v="23"/>
    <x v="17"/>
    <x v="4"/>
    <n v="5685000"/>
  </r>
  <r>
    <d v="2025-05-22T00:00:00"/>
    <x v="1"/>
    <x v="4"/>
    <x v="20"/>
    <x v="21"/>
    <x v="5"/>
    <x v="5"/>
    <x v="3"/>
    <n v="3594909614"/>
  </r>
  <r>
    <d v="2025-05-22T00:00:00"/>
    <x v="1"/>
    <x v="4"/>
    <x v="20"/>
    <x v="21"/>
    <x v="15"/>
    <x v="14"/>
    <x v="4"/>
    <n v="23768154"/>
  </r>
  <r>
    <d v="2025-05-22T00:00:00"/>
    <x v="1"/>
    <x v="4"/>
    <x v="20"/>
    <x v="21"/>
    <x v="20"/>
    <x v="9"/>
    <x v="1"/>
    <n v="0"/>
  </r>
  <r>
    <d v="2025-05-22T00:00:00"/>
    <x v="1"/>
    <x v="4"/>
    <x v="20"/>
    <x v="21"/>
    <x v="7"/>
    <x v="7"/>
    <x v="4"/>
    <n v="246638241"/>
  </r>
  <r>
    <d v="2025-05-22T00:00:00"/>
    <x v="1"/>
    <x v="4"/>
    <x v="20"/>
    <x v="21"/>
    <x v="1"/>
    <x v="1"/>
    <x v="1"/>
    <n v="63000000"/>
  </r>
  <r>
    <d v="2025-05-22T00:00:00"/>
    <x v="1"/>
    <x v="4"/>
    <x v="20"/>
    <x v="21"/>
    <x v="6"/>
    <x v="6"/>
    <x v="0"/>
    <n v="38000000"/>
  </r>
  <r>
    <d v="2025-05-22T00:00:00"/>
    <x v="1"/>
    <x v="4"/>
    <x v="20"/>
    <x v="21"/>
    <x v="22"/>
    <x v="16"/>
    <x v="1"/>
    <n v="0"/>
  </r>
  <r>
    <d v="2025-05-22T00:00:00"/>
    <x v="1"/>
    <x v="4"/>
    <x v="20"/>
    <x v="21"/>
    <x v="24"/>
    <x v="18"/>
    <x v="1"/>
    <n v="1703000000"/>
  </r>
  <r>
    <d v="2025-05-22T00:00:00"/>
    <x v="1"/>
    <x v="4"/>
    <x v="20"/>
    <x v="21"/>
    <x v="3"/>
    <x v="3"/>
    <x v="1"/>
    <n v="0"/>
  </r>
  <r>
    <d v="2025-05-22T00:00:00"/>
    <x v="1"/>
    <x v="4"/>
    <x v="20"/>
    <x v="21"/>
    <x v="18"/>
    <x v="15"/>
    <x v="1"/>
    <n v="500520000"/>
  </r>
  <r>
    <d v="2025-05-22T00:00:00"/>
    <x v="1"/>
    <x v="4"/>
    <x v="20"/>
    <x v="21"/>
    <x v="8"/>
    <x v="8"/>
    <x v="1"/>
    <n v="0"/>
  </r>
  <r>
    <d v="2025-05-22T00:00:00"/>
    <x v="1"/>
    <x v="4"/>
    <x v="20"/>
    <x v="21"/>
    <x v="14"/>
    <x v="13"/>
    <x v="1"/>
    <n v="1049190000"/>
  </r>
  <r>
    <d v="2025-05-22T00:00:00"/>
    <x v="1"/>
    <x v="4"/>
    <x v="20"/>
    <x v="21"/>
    <x v="12"/>
    <x v="11"/>
    <x v="1"/>
    <n v="7977230000"/>
  </r>
  <r>
    <d v="2025-05-22T00:00:00"/>
    <x v="1"/>
    <x v="4"/>
    <x v="20"/>
    <x v="21"/>
    <x v="17"/>
    <x v="9"/>
    <x v="1"/>
    <n v="0"/>
  </r>
  <r>
    <d v="2025-05-22T00:00:00"/>
    <x v="1"/>
    <x v="4"/>
    <x v="20"/>
    <x v="21"/>
    <x v="11"/>
    <x v="10"/>
    <x v="4"/>
    <n v="200363471"/>
  </r>
  <r>
    <d v="2025-05-22T00:00:00"/>
    <x v="1"/>
    <x v="4"/>
    <x v="20"/>
    <x v="21"/>
    <x v="19"/>
    <x v="12"/>
    <x v="4"/>
    <n v="362187891"/>
  </r>
  <r>
    <d v="2025-05-22T00:00:00"/>
    <x v="1"/>
    <x v="4"/>
    <x v="20"/>
    <x v="21"/>
    <x v="0"/>
    <x v="0"/>
    <x v="0"/>
    <n v="4883760000"/>
  </r>
  <r>
    <d v="2025-05-23T00:00:00"/>
    <x v="1"/>
    <x v="4"/>
    <x v="20"/>
    <x v="22"/>
    <x v="12"/>
    <x v="11"/>
    <x v="1"/>
    <n v="8380520000"/>
  </r>
  <r>
    <d v="2025-05-23T00:00:00"/>
    <x v="1"/>
    <x v="4"/>
    <x v="20"/>
    <x v="22"/>
    <x v="0"/>
    <x v="0"/>
    <x v="0"/>
    <n v="5058180000"/>
  </r>
  <r>
    <d v="2025-05-23T00:00:00"/>
    <x v="1"/>
    <x v="4"/>
    <x v="20"/>
    <x v="22"/>
    <x v="7"/>
    <x v="7"/>
    <x v="4"/>
    <n v="271712290"/>
  </r>
  <r>
    <d v="2025-05-23T00:00:00"/>
    <x v="1"/>
    <x v="4"/>
    <x v="20"/>
    <x v="22"/>
    <x v="2"/>
    <x v="2"/>
    <x v="1"/>
    <n v="6978990000"/>
  </r>
  <r>
    <d v="2025-05-23T00:00:00"/>
    <x v="1"/>
    <x v="4"/>
    <x v="20"/>
    <x v="22"/>
    <x v="5"/>
    <x v="5"/>
    <x v="3"/>
    <n v="3296498041"/>
  </r>
  <r>
    <d v="2025-05-23T00:00:00"/>
    <x v="1"/>
    <x v="4"/>
    <x v="20"/>
    <x v="22"/>
    <x v="15"/>
    <x v="14"/>
    <x v="4"/>
    <n v="33270375"/>
  </r>
  <r>
    <d v="2025-05-23T00:00:00"/>
    <x v="1"/>
    <x v="4"/>
    <x v="20"/>
    <x v="22"/>
    <x v="20"/>
    <x v="9"/>
    <x v="1"/>
    <n v="0"/>
  </r>
  <r>
    <d v="2025-05-23T00:00:00"/>
    <x v="1"/>
    <x v="4"/>
    <x v="20"/>
    <x v="22"/>
    <x v="17"/>
    <x v="9"/>
    <x v="1"/>
    <n v="0"/>
  </r>
  <r>
    <d v="2025-05-23T00:00:00"/>
    <x v="1"/>
    <x v="4"/>
    <x v="20"/>
    <x v="22"/>
    <x v="22"/>
    <x v="16"/>
    <x v="1"/>
    <n v="10000000"/>
  </r>
  <r>
    <d v="2025-05-23T00:00:00"/>
    <x v="1"/>
    <x v="4"/>
    <x v="20"/>
    <x v="22"/>
    <x v="1"/>
    <x v="1"/>
    <x v="1"/>
    <n v="46250000"/>
  </r>
  <r>
    <d v="2025-05-23T00:00:00"/>
    <x v="1"/>
    <x v="4"/>
    <x v="20"/>
    <x v="22"/>
    <x v="6"/>
    <x v="6"/>
    <x v="0"/>
    <n v="27000000"/>
  </r>
  <r>
    <d v="2025-05-23T00:00:00"/>
    <x v="1"/>
    <x v="4"/>
    <x v="20"/>
    <x v="22"/>
    <x v="24"/>
    <x v="18"/>
    <x v="1"/>
    <n v="1547000000"/>
  </r>
  <r>
    <d v="2025-05-23T00:00:00"/>
    <x v="1"/>
    <x v="4"/>
    <x v="20"/>
    <x v="22"/>
    <x v="3"/>
    <x v="3"/>
    <x v="1"/>
    <n v="0"/>
  </r>
  <r>
    <d v="2025-05-23T00:00:00"/>
    <x v="1"/>
    <x v="4"/>
    <x v="20"/>
    <x v="22"/>
    <x v="18"/>
    <x v="15"/>
    <x v="1"/>
    <n v="616320000"/>
  </r>
  <r>
    <d v="2025-05-23T00:00:00"/>
    <x v="1"/>
    <x v="4"/>
    <x v="20"/>
    <x v="22"/>
    <x v="8"/>
    <x v="8"/>
    <x v="1"/>
    <n v="0"/>
  </r>
  <r>
    <d v="2025-05-23T00:00:00"/>
    <x v="1"/>
    <x v="4"/>
    <x v="20"/>
    <x v="22"/>
    <x v="14"/>
    <x v="13"/>
    <x v="1"/>
    <n v="843860000"/>
  </r>
  <r>
    <d v="2025-05-23T00:00:00"/>
    <x v="1"/>
    <x v="4"/>
    <x v="20"/>
    <x v="22"/>
    <x v="23"/>
    <x v="17"/>
    <x v="4"/>
    <n v="6858000"/>
  </r>
  <r>
    <d v="2025-05-23T00:00:00"/>
    <x v="1"/>
    <x v="4"/>
    <x v="20"/>
    <x v="22"/>
    <x v="11"/>
    <x v="10"/>
    <x v="4"/>
    <n v="223790459"/>
  </r>
  <r>
    <d v="2025-05-23T00:00:00"/>
    <x v="1"/>
    <x v="4"/>
    <x v="20"/>
    <x v="22"/>
    <x v="19"/>
    <x v="12"/>
    <x v="4"/>
    <n v="391715544"/>
  </r>
  <r>
    <d v="2025-05-24T00:00:00"/>
    <x v="1"/>
    <x v="4"/>
    <x v="20"/>
    <x v="23"/>
    <x v="12"/>
    <x v="11"/>
    <x v="1"/>
    <n v="5935110000"/>
  </r>
  <r>
    <d v="2025-05-24T00:00:00"/>
    <x v="1"/>
    <x v="4"/>
    <x v="20"/>
    <x v="23"/>
    <x v="0"/>
    <x v="0"/>
    <x v="0"/>
    <n v="4830624000"/>
  </r>
  <r>
    <d v="2025-05-24T00:00:00"/>
    <x v="1"/>
    <x v="4"/>
    <x v="20"/>
    <x v="23"/>
    <x v="2"/>
    <x v="2"/>
    <x v="1"/>
    <n v="6341190000"/>
  </r>
  <r>
    <d v="2025-05-24T00:00:00"/>
    <x v="1"/>
    <x v="4"/>
    <x v="20"/>
    <x v="23"/>
    <x v="22"/>
    <x v="16"/>
    <x v="1"/>
    <n v="0"/>
  </r>
  <r>
    <d v="2025-05-24T00:00:00"/>
    <x v="1"/>
    <x v="4"/>
    <x v="20"/>
    <x v="23"/>
    <x v="15"/>
    <x v="14"/>
    <x v="4"/>
    <n v="32222564"/>
  </r>
  <r>
    <d v="2025-05-24T00:00:00"/>
    <x v="1"/>
    <x v="4"/>
    <x v="20"/>
    <x v="23"/>
    <x v="20"/>
    <x v="9"/>
    <x v="1"/>
    <n v="0"/>
  </r>
  <r>
    <d v="2025-05-24T00:00:00"/>
    <x v="1"/>
    <x v="4"/>
    <x v="20"/>
    <x v="23"/>
    <x v="17"/>
    <x v="9"/>
    <x v="1"/>
    <n v="0"/>
  </r>
  <r>
    <d v="2025-05-24T00:00:00"/>
    <x v="1"/>
    <x v="4"/>
    <x v="20"/>
    <x v="23"/>
    <x v="1"/>
    <x v="1"/>
    <x v="1"/>
    <n v="25500000"/>
  </r>
  <r>
    <d v="2025-05-24T00:00:00"/>
    <x v="1"/>
    <x v="4"/>
    <x v="20"/>
    <x v="23"/>
    <x v="6"/>
    <x v="6"/>
    <x v="0"/>
    <n v="34000000"/>
  </r>
  <r>
    <d v="2025-05-24T00:00:00"/>
    <x v="1"/>
    <x v="4"/>
    <x v="20"/>
    <x v="23"/>
    <x v="24"/>
    <x v="18"/>
    <x v="1"/>
    <n v="1210000000"/>
  </r>
  <r>
    <d v="2025-05-24T00:00:00"/>
    <x v="1"/>
    <x v="4"/>
    <x v="20"/>
    <x v="23"/>
    <x v="3"/>
    <x v="3"/>
    <x v="1"/>
    <n v="0"/>
  </r>
  <r>
    <d v="2025-05-24T00:00:00"/>
    <x v="1"/>
    <x v="4"/>
    <x v="20"/>
    <x v="23"/>
    <x v="18"/>
    <x v="15"/>
    <x v="1"/>
    <n v="426590000"/>
  </r>
  <r>
    <d v="2025-05-24T00:00:00"/>
    <x v="1"/>
    <x v="4"/>
    <x v="20"/>
    <x v="23"/>
    <x v="8"/>
    <x v="8"/>
    <x v="1"/>
    <n v="0"/>
  </r>
  <r>
    <d v="2025-05-24T00:00:00"/>
    <x v="1"/>
    <x v="4"/>
    <x v="20"/>
    <x v="23"/>
    <x v="14"/>
    <x v="13"/>
    <x v="1"/>
    <n v="1079960000"/>
  </r>
  <r>
    <d v="2025-05-24T00:00:00"/>
    <x v="1"/>
    <x v="4"/>
    <x v="20"/>
    <x v="23"/>
    <x v="23"/>
    <x v="17"/>
    <x v="4"/>
    <n v="2283000"/>
  </r>
  <r>
    <d v="2025-05-24T00:00:00"/>
    <x v="1"/>
    <x v="4"/>
    <x v="20"/>
    <x v="23"/>
    <x v="11"/>
    <x v="10"/>
    <x v="4"/>
    <n v="234447888"/>
  </r>
  <r>
    <d v="2025-05-24T00:00:00"/>
    <x v="1"/>
    <x v="4"/>
    <x v="20"/>
    <x v="23"/>
    <x v="19"/>
    <x v="12"/>
    <x v="4"/>
    <n v="331136917"/>
  </r>
  <r>
    <d v="2025-05-24T00:00:00"/>
    <x v="1"/>
    <x v="4"/>
    <x v="20"/>
    <x v="23"/>
    <x v="5"/>
    <x v="5"/>
    <x v="3"/>
    <n v="2954735689"/>
  </r>
  <r>
    <d v="2025-05-24T00:00:00"/>
    <x v="1"/>
    <x v="4"/>
    <x v="20"/>
    <x v="23"/>
    <x v="7"/>
    <x v="7"/>
    <x v="4"/>
    <n v="250849292"/>
  </r>
  <r>
    <d v="2025-05-25T00:00:00"/>
    <x v="1"/>
    <x v="4"/>
    <x v="20"/>
    <x v="24"/>
    <x v="12"/>
    <x v="11"/>
    <x v="1"/>
    <n v="6236670000"/>
  </r>
  <r>
    <d v="2025-05-25T00:00:00"/>
    <x v="1"/>
    <x v="4"/>
    <x v="20"/>
    <x v="24"/>
    <x v="0"/>
    <x v="0"/>
    <x v="0"/>
    <n v="4842612000"/>
  </r>
  <r>
    <d v="2025-05-25T00:00:00"/>
    <x v="1"/>
    <x v="4"/>
    <x v="20"/>
    <x v="24"/>
    <x v="2"/>
    <x v="2"/>
    <x v="1"/>
    <n v="6879480000"/>
  </r>
  <r>
    <d v="2025-05-25T00:00:00"/>
    <x v="1"/>
    <x v="4"/>
    <x v="20"/>
    <x v="24"/>
    <x v="15"/>
    <x v="14"/>
    <x v="4"/>
    <n v="9337940"/>
  </r>
  <r>
    <d v="2025-05-25T00:00:00"/>
    <x v="1"/>
    <x v="4"/>
    <x v="20"/>
    <x v="24"/>
    <x v="22"/>
    <x v="16"/>
    <x v="1"/>
    <n v="0"/>
  </r>
  <r>
    <d v="2025-05-25T00:00:00"/>
    <x v="1"/>
    <x v="4"/>
    <x v="20"/>
    <x v="24"/>
    <x v="20"/>
    <x v="9"/>
    <x v="1"/>
    <n v="0"/>
  </r>
  <r>
    <d v="2025-05-25T00:00:00"/>
    <x v="1"/>
    <x v="4"/>
    <x v="20"/>
    <x v="24"/>
    <x v="17"/>
    <x v="9"/>
    <x v="1"/>
    <n v="0"/>
  </r>
  <r>
    <d v="2025-05-25T00:00:00"/>
    <x v="1"/>
    <x v="4"/>
    <x v="20"/>
    <x v="24"/>
    <x v="1"/>
    <x v="1"/>
    <x v="1"/>
    <n v="10500000"/>
  </r>
  <r>
    <d v="2025-05-25T00:00:00"/>
    <x v="1"/>
    <x v="4"/>
    <x v="20"/>
    <x v="24"/>
    <x v="6"/>
    <x v="6"/>
    <x v="0"/>
    <n v="23000000"/>
  </r>
  <r>
    <d v="2025-05-25T00:00:00"/>
    <x v="1"/>
    <x v="4"/>
    <x v="20"/>
    <x v="24"/>
    <x v="24"/>
    <x v="18"/>
    <x v="1"/>
    <n v="1297000000"/>
  </r>
  <r>
    <d v="2025-05-25T00:00:00"/>
    <x v="1"/>
    <x v="4"/>
    <x v="20"/>
    <x v="24"/>
    <x v="3"/>
    <x v="3"/>
    <x v="1"/>
    <n v="0"/>
  </r>
  <r>
    <d v="2025-05-25T00:00:00"/>
    <x v="1"/>
    <x v="4"/>
    <x v="20"/>
    <x v="24"/>
    <x v="18"/>
    <x v="15"/>
    <x v="1"/>
    <n v="368050000"/>
  </r>
  <r>
    <d v="2025-05-25T00:00:00"/>
    <x v="1"/>
    <x v="4"/>
    <x v="20"/>
    <x v="24"/>
    <x v="8"/>
    <x v="8"/>
    <x v="1"/>
    <n v="0"/>
  </r>
  <r>
    <d v="2025-05-25T00:00:00"/>
    <x v="1"/>
    <x v="4"/>
    <x v="20"/>
    <x v="24"/>
    <x v="23"/>
    <x v="17"/>
    <x v="4"/>
    <n v="470000"/>
  </r>
  <r>
    <d v="2025-05-25T00:00:00"/>
    <x v="1"/>
    <x v="4"/>
    <x v="20"/>
    <x v="24"/>
    <x v="14"/>
    <x v="13"/>
    <x v="1"/>
    <n v="1148140000"/>
  </r>
  <r>
    <d v="2025-05-25T00:00:00"/>
    <x v="1"/>
    <x v="4"/>
    <x v="20"/>
    <x v="24"/>
    <x v="11"/>
    <x v="10"/>
    <x v="4"/>
    <n v="228851732"/>
  </r>
  <r>
    <d v="2025-05-25T00:00:00"/>
    <x v="1"/>
    <x v="4"/>
    <x v="20"/>
    <x v="24"/>
    <x v="19"/>
    <x v="12"/>
    <x v="4"/>
    <n v="291355241"/>
  </r>
  <r>
    <d v="2025-05-25T00:00:00"/>
    <x v="1"/>
    <x v="4"/>
    <x v="20"/>
    <x v="24"/>
    <x v="5"/>
    <x v="5"/>
    <x v="3"/>
    <n v="3151529495"/>
  </r>
  <r>
    <d v="2025-05-25T00:00:00"/>
    <x v="1"/>
    <x v="4"/>
    <x v="20"/>
    <x v="24"/>
    <x v="7"/>
    <x v="7"/>
    <x v="4"/>
    <n v="240775550"/>
  </r>
  <r>
    <d v="2025-05-26T00:00:00"/>
    <x v="1"/>
    <x v="4"/>
    <x v="21"/>
    <x v="25"/>
    <x v="3"/>
    <x v="3"/>
    <x v="1"/>
    <n v="0"/>
  </r>
  <r>
    <d v="2025-05-26T00:00:00"/>
    <x v="1"/>
    <x v="4"/>
    <x v="21"/>
    <x v="25"/>
    <x v="18"/>
    <x v="15"/>
    <x v="1"/>
    <n v="607830000"/>
  </r>
  <r>
    <d v="2025-05-26T00:00:00"/>
    <x v="1"/>
    <x v="4"/>
    <x v="21"/>
    <x v="25"/>
    <x v="23"/>
    <x v="17"/>
    <x v="4"/>
    <n v="0"/>
  </r>
  <r>
    <d v="2025-05-26T00:00:00"/>
    <x v="1"/>
    <x v="4"/>
    <x v="21"/>
    <x v="25"/>
    <x v="24"/>
    <x v="18"/>
    <x v="1"/>
    <n v="1550000000"/>
  </r>
  <r>
    <d v="2025-05-26T00:00:00"/>
    <x v="1"/>
    <x v="4"/>
    <x v="21"/>
    <x v="25"/>
    <x v="8"/>
    <x v="8"/>
    <x v="1"/>
    <n v="0"/>
  </r>
  <r>
    <d v="2025-05-26T00:00:00"/>
    <x v="1"/>
    <x v="4"/>
    <x v="21"/>
    <x v="25"/>
    <x v="11"/>
    <x v="10"/>
    <x v="4"/>
    <n v="197002830"/>
  </r>
  <r>
    <d v="2025-05-26T00:00:00"/>
    <x v="1"/>
    <x v="4"/>
    <x v="21"/>
    <x v="25"/>
    <x v="5"/>
    <x v="5"/>
    <x v="3"/>
    <n v="4242879578"/>
  </r>
  <r>
    <d v="2025-05-26T00:00:00"/>
    <x v="1"/>
    <x v="4"/>
    <x v="21"/>
    <x v="25"/>
    <x v="14"/>
    <x v="13"/>
    <x v="1"/>
    <n v="1400950000"/>
  </r>
  <r>
    <d v="2025-05-26T00:00:00"/>
    <x v="1"/>
    <x v="4"/>
    <x v="21"/>
    <x v="25"/>
    <x v="2"/>
    <x v="2"/>
    <x v="1"/>
    <n v="7910020000"/>
  </r>
  <r>
    <d v="2025-05-26T00:00:00"/>
    <x v="1"/>
    <x v="4"/>
    <x v="21"/>
    <x v="25"/>
    <x v="15"/>
    <x v="14"/>
    <x v="4"/>
    <n v="16185205"/>
  </r>
  <r>
    <d v="2025-05-26T00:00:00"/>
    <x v="1"/>
    <x v="4"/>
    <x v="21"/>
    <x v="25"/>
    <x v="1"/>
    <x v="1"/>
    <x v="1"/>
    <n v="51500000"/>
  </r>
  <r>
    <d v="2025-05-26T00:00:00"/>
    <x v="1"/>
    <x v="4"/>
    <x v="21"/>
    <x v="25"/>
    <x v="6"/>
    <x v="6"/>
    <x v="0"/>
    <n v="11000000"/>
  </r>
  <r>
    <d v="2025-05-26T00:00:00"/>
    <x v="1"/>
    <x v="4"/>
    <x v="21"/>
    <x v="25"/>
    <x v="17"/>
    <x v="9"/>
    <x v="1"/>
    <n v="0"/>
  </r>
  <r>
    <d v="2025-05-26T00:00:00"/>
    <x v="1"/>
    <x v="4"/>
    <x v="21"/>
    <x v="25"/>
    <x v="7"/>
    <x v="7"/>
    <x v="4"/>
    <n v="306972700"/>
  </r>
  <r>
    <d v="2025-05-26T00:00:00"/>
    <x v="1"/>
    <x v="4"/>
    <x v="21"/>
    <x v="25"/>
    <x v="12"/>
    <x v="11"/>
    <x v="1"/>
    <n v="7453280000"/>
  </r>
  <r>
    <d v="2025-05-26T00:00:00"/>
    <x v="1"/>
    <x v="4"/>
    <x v="21"/>
    <x v="25"/>
    <x v="20"/>
    <x v="9"/>
    <x v="1"/>
    <n v="0"/>
  </r>
  <r>
    <d v="2025-05-26T00:00:00"/>
    <x v="1"/>
    <x v="4"/>
    <x v="21"/>
    <x v="25"/>
    <x v="19"/>
    <x v="12"/>
    <x v="4"/>
    <n v="371861682"/>
  </r>
  <r>
    <d v="2025-05-26T00:00:00"/>
    <x v="1"/>
    <x v="4"/>
    <x v="21"/>
    <x v="25"/>
    <x v="0"/>
    <x v="0"/>
    <x v="0"/>
    <n v="5293188000"/>
  </r>
  <r>
    <d v="2025-05-26T00:00:00"/>
    <x v="1"/>
    <x v="4"/>
    <x v="21"/>
    <x v="25"/>
    <x v="22"/>
    <x v="16"/>
    <x v="1"/>
    <n v="10000000"/>
  </r>
  <r>
    <d v="2025-05-27T00:00:00"/>
    <x v="1"/>
    <x v="4"/>
    <x v="21"/>
    <x v="26"/>
    <x v="6"/>
    <x v="6"/>
    <x v="0"/>
    <n v="18000000"/>
  </r>
  <r>
    <d v="2025-05-27T00:00:00"/>
    <x v="1"/>
    <x v="4"/>
    <x v="21"/>
    <x v="26"/>
    <x v="11"/>
    <x v="10"/>
    <x v="4"/>
    <n v="186804420"/>
  </r>
  <r>
    <d v="2025-05-27T00:00:00"/>
    <x v="1"/>
    <x v="4"/>
    <x v="21"/>
    <x v="26"/>
    <x v="12"/>
    <x v="11"/>
    <x v="1"/>
    <n v="6570320000"/>
  </r>
  <r>
    <d v="2025-05-27T00:00:00"/>
    <x v="1"/>
    <x v="4"/>
    <x v="21"/>
    <x v="26"/>
    <x v="15"/>
    <x v="14"/>
    <x v="4"/>
    <n v="24255809"/>
  </r>
  <r>
    <d v="2025-05-27T00:00:00"/>
    <x v="1"/>
    <x v="4"/>
    <x v="21"/>
    <x v="26"/>
    <x v="17"/>
    <x v="9"/>
    <x v="1"/>
    <n v="0"/>
  </r>
  <r>
    <d v="2025-05-27T00:00:00"/>
    <x v="1"/>
    <x v="4"/>
    <x v="21"/>
    <x v="26"/>
    <x v="2"/>
    <x v="2"/>
    <x v="1"/>
    <n v="6876620000"/>
  </r>
  <r>
    <d v="2025-05-27T00:00:00"/>
    <x v="1"/>
    <x v="4"/>
    <x v="21"/>
    <x v="26"/>
    <x v="1"/>
    <x v="1"/>
    <x v="1"/>
    <n v="36750000"/>
  </r>
  <r>
    <d v="2025-05-27T00:00:00"/>
    <x v="1"/>
    <x v="4"/>
    <x v="21"/>
    <x v="26"/>
    <x v="24"/>
    <x v="18"/>
    <x v="1"/>
    <n v="1568000000"/>
  </r>
  <r>
    <d v="2025-05-27T00:00:00"/>
    <x v="1"/>
    <x v="4"/>
    <x v="21"/>
    <x v="26"/>
    <x v="22"/>
    <x v="16"/>
    <x v="1"/>
    <n v="0"/>
  </r>
  <r>
    <d v="2025-05-27T00:00:00"/>
    <x v="1"/>
    <x v="4"/>
    <x v="21"/>
    <x v="26"/>
    <x v="3"/>
    <x v="3"/>
    <x v="1"/>
    <n v="0"/>
  </r>
  <r>
    <d v="2025-05-27T00:00:00"/>
    <x v="1"/>
    <x v="4"/>
    <x v="21"/>
    <x v="26"/>
    <x v="18"/>
    <x v="15"/>
    <x v="1"/>
    <n v="668550000"/>
  </r>
  <r>
    <d v="2025-05-27T00:00:00"/>
    <x v="1"/>
    <x v="4"/>
    <x v="21"/>
    <x v="26"/>
    <x v="8"/>
    <x v="8"/>
    <x v="1"/>
    <n v="0"/>
  </r>
  <r>
    <d v="2025-05-27T00:00:00"/>
    <x v="1"/>
    <x v="4"/>
    <x v="21"/>
    <x v="26"/>
    <x v="23"/>
    <x v="17"/>
    <x v="4"/>
    <n v="2030000"/>
  </r>
  <r>
    <d v="2025-05-27T00:00:00"/>
    <x v="1"/>
    <x v="4"/>
    <x v="21"/>
    <x v="26"/>
    <x v="14"/>
    <x v="13"/>
    <x v="1"/>
    <n v="985750000"/>
  </r>
  <r>
    <d v="2025-05-27T00:00:00"/>
    <x v="1"/>
    <x v="4"/>
    <x v="21"/>
    <x v="26"/>
    <x v="0"/>
    <x v="0"/>
    <x v="0"/>
    <n v="4843476000"/>
  </r>
  <r>
    <d v="2025-05-27T00:00:00"/>
    <x v="1"/>
    <x v="4"/>
    <x v="21"/>
    <x v="26"/>
    <x v="20"/>
    <x v="9"/>
    <x v="1"/>
    <n v="0"/>
  </r>
  <r>
    <d v="2025-05-27T00:00:00"/>
    <x v="1"/>
    <x v="4"/>
    <x v="21"/>
    <x v="26"/>
    <x v="5"/>
    <x v="5"/>
    <x v="3"/>
    <n v="3252619837"/>
  </r>
  <r>
    <d v="2025-05-27T00:00:00"/>
    <x v="1"/>
    <x v="4"/>
    <x v="21"/>
    <x v="26"/>
    <x v="7"/>
    <x v="7"/>
    <x v="4"/>
    <n v="282314929"/>
  </r>
  <r>
    <d v="2025-05-27T00:00:00"/>
    <x v="1"/>
    <x v="4"/>
    <x v="21"/>
    <x v="26"/>
    <x v="19"/>
    <x v="12"/>
    <x v="4"/>
    <n v="402521737"/>
  </r>
  <r>
    <d v="2025-05-28T00:00:00"/>
    <x v="1"/>
    <x v="4"/>
    <x v="21"/>
    <x v="27"/>
    <x v="7"/>
    <x v="7"/>
    <x v="4"/>
    <n v="291376692"/>
  </r>
  <r>
    <d v="2025-05-28T00:00:00"/>
    <x v="1"/>
    <x v="4"/>
    <x v="21"/>
    <x v="27"/>
    <x v="12"/>
    <x v="11"/>
    <x v="1"/>
    <n v="7683630000"/>
  </r>
  <r>
    <d v="2025-05-28T00:00:00"/>
    <x v="1"/>
    <x v="4"/>
    <x v="21"/>
    <x v="27"/>
    <x v="5"/>
    <x v="5"/>
    <x v="3"/>
    <n v="3605860709"/>
  </r>
  <r>
    <d v="2025-05-28T00:00:00"/>
    <x v="1"/>
    <x v="4"/>
    <x v="21"/>
    <x v="27"/>
    <x v="2"/>
    <x v="2"/>
    <x v="1"/>
    <n v="6112960000"/>
  </r>
  <r>
    <d v="2025-05-28T00:00:00"/>
    <x v="1"/>
    <x v="4"/>
    <x v="21"/>
    <x v="27"/>
    <x v="11"/>
    <x v="10"/>
    <x v="4"/>
    <n v="211669161"/>
  </r>
  <r>
    <d v="2025-05-28T00:00:00"/>
    <x v="1"/>
    <x v="4"/>
    <x v="21"/>
    <x v="27"/>
    <x v="15"/>
    <x v="14"/>
    <x v="4"/>
    <n v="37733698"/>
  </r>
  <r>
    <d v="2025-05-28T00:00:00"/>
    <x v="1"/>
    <x v="4"/>
    <x v="21"/>
    <x v="27"/>
    <x v="20"/>
    <x v="9"/>
    <x v="1"/>
    <n v="0"/>
  </r>
  <r>
    <d v="2025-05-28T00:00:00"/>
    <x v="1"/>
    <x v="4"/>
    <x v="21"/>
    <x v="27"/>
    <x v="17"/>
    <x v="9"/>
    <x v="1"/>
    <n v="0"/>
  </r>
  <r>
    <d v="2025-05-28T00:00:00"/>
    <x v="1"/>
    <x v="4"/>
    <x v="21"/>
    <x v="27"/>
    <x v="22"/>
    <x v="16"/>
    <x v="1"/>
    <n v="0"/>
  </r>
  <r>
    <d v="2025-05-28T00:00:00"/>
    <x v="1"/>
    <x v="4"/>
    <x v="21"/>
    <x v="27"/>
    <x v="1"/>
    <x v="1"/>
    <x v="1"/>
    <n v="10500000"/>
  </r>
  <r>
    <d v="2025-05-28T00:00:00"/>
    <x v="1"/>
    <x v="4"/>
    <x v="21"/>
    <x v="27"/>
    <x v="6"/>
    <x v="6"/>
    <x v="0"/>
    <n v="22000000"/>
  </r>
  <r>
    <d v="2025-05-28T00:00:00"/>
    <x v="1"/>
    <x v="4"/>
    <x v="21"/>
    <x v="27"/>
    <x v="24"/>
    <x v="18"/>
    <x v="1"/>
    <n v="1288000000"/>
  </r>
  <r>
    <d v="2025-05-28T00:00:00"/>
    <x v="1"/>
    <x v="4"/>
    <x v="21"/>
    <x v="27"/>
    <x v="3"/>
    <x v="3"/>
    <x v="1"/>
    <n v="0"/>
  </r>
  <r>
    <d v="2025-05-28T00:00:00"/>
    <x v="1"/>
    <x v="4"/>
    <x v="21"/>
    <x v="27"/>
    <x v="18"/>
    <x v="15"/>
    <x v="1"/>
    <n v="457840000"/>
  </r>
  <r>
    <d v="2025-05-28T00:00:00"/>
    <x v="1"/>
    <x v="4"/>
    <x v="21"/>
    <x v="27"/>
    <x v="8"/>
    <x v="8"/>
    <x v="1"/>
    <n v="0"/>
  </r>
  <r>
    <d v="2025-05-28T00:00:00"/>
    <x v="1"/>
    <x v="4"/>
    <x v="21"/>
    <x v="27"/>
    <x v="0"/>
    <x v="0"/>
    <x v="0"/>
    <n v="5185296000"/>
  </r>
  <r>
    <d v="2025-05-28T00:00:00"/>
    <x v="1"/>
    <x v="4"/>
    <x v="21"/>
    <x v="27"/>
    <x v="19"/>
    <x v="12"/>
    <x v="4"/>
    <n v="407715786"/>
  </r>
  <r>
    <d v="2025-05-28T00:00:00"/>
    <x v="1"/>
    <x v="4"/>
    <x v="21"/>
    <x v="27"/>
    <x v="23"/>
    <x v="17"/>
    <x v="4"/>
    <n v="0"/>
  </r>
  <r>
    <d v="2025-05-28T00:00:00"/>
    <x v="1"/>
    <x v="4"/>
    <x v="21"/>
    <x v="27"/>
    <x v="14"/>
    <x v="13"/>
    <x v="1"/>
    <n v="724040000"/>
  </r>
  <r>
    <d v="2025-05-29T00:00:00"/>
    <x v="1"/>
    <x v="4"/>
    <x v="21"/>
    <x v="28"/>
    <x v="12"/>
    <x v="11"/>
    <x v="1"/>
    <n v="6905690000"/>
  </r>
  <r>
    <d v="2025-05-29T00:00:00"/>
    <x v="1"/>
    <x v="4"/>
    <x v="21"/>
    <x v="28"/>
    <x v="0"/>
    <x v="0"/>
    <x v="0"/>
    <n v="5380668000"/>
  </r>
  <r>
    <d v="2025-05-29T00:00:00"/>
    <x v="1"/>
    <x v="4"/>
    <x v="21"/>
    <x v="28"/>
    <x v="2"/>
    <x v="2"/>
    <x v="1"/>
    <n v="6269210000"/>
  </r>
  <r>
    <d v="2025-05-29T00:00:00"/>
    <x v="1"/>
    <x v="4"/>
    <x v="21"/>
    <x v="28"/>
    <x v="22"/>
    <x v="16"/>
    <x v="1"/>
    <n v="0"/>
  </r>
  <r>
    <d v="2025-05-29T00:00:00"/>
    <x v="1"/>
    <x v="4"/>
    <x v="21"/>
    <x v="28"/>
    <x v="15"/>
    <x v="14"/>
    <x v="4"/>
    <n v="31338616"/>
  </r>
  <r>
    <d v="2025-05-29T00:00:00"/>
    <x v="1"/>
    <x v="4"/>
    <x v="21"/>
    <x v="28"/>
    <x v="20"/>
    <x v="9"/>
    <x v="1"/>
    <n v="0"/>
  </r>
  <r>
    <d v="2025-05-29T00:00:00"/>
    <x v="1"/>
    <x v="4"/>
    <x v="21"/>
    <x v="28"/>
    <x v="17"/>
    <x v="9"/>
    <x v="1"/>
    <n v="0"/>
  </r>
  <r>
    <d v="2025-05-29T00:00:00"/>
    <x v="1"/>
    <x v="4"/>
    <x v="21"/>
    <x v="28"/>
    <x v="1"/>
    <x v="1"/>
    <x v="1"/>
    <n v="42000000"/>
  </r>
  <r>
    <d v="2025-05-29T00:00:00"/>
    <x v="1"/>
    <x v="4"/>
    <x v="21"/>
    <x v="28"/>
    <x v="6"/>
    <x v="6"/>
    <x v="0"/>
    <n v="34000000"/>
  </r>
  <r>
    <d v="2025-05-29T00:00:00"/>
    <x v="1"/>
    <x v="4"/>
    <x v="21"/>
    <x v="28"/>
    <x v="24"/>
    <x v="18"/>
    <x v="1"/>
    <n v="1795000000"/>
  </r>
  <r>
    <d v="2025-05-29T00:00:00"/>
    <x v="1"/>
    <x v="4"/>
    <x v="21"/>
    <x v="28"/>
    <x v="3"/>
    <x v="3"/>
    <x v="1"/>
    <n v="0"/>
  </r>
  <r>
    <d v="2025-05-29T00:00:00"/>
    <x v="1"/>
    <x v="4"/>
    <x v="21"/>
    <x v="28"/>
    <x v="18"/>
    <x v="15"/>
    <x v="1"/>
    <n v="545540000"/>
  </r>
  <r>
    <d v="2025-05-29T00:00:00"/>
    <x v="1"/>
    <x v="4"/>
    <x v="21"/>
    <x v="28"/>
    <x v="8"/>
    <x v="8"/>
    <x v="1"/>
    <n v="0"/>
  </r>
  <r>
    <d v="2025-05-29T00:00:00"/>
    <x v="1"/>
    <x v="4"/>
    <x v="21"/>
    <x v="28"/>
    <x v="23"/>
    <x v="17"/>
    <x v="4"/>
    <n v="0"/>
  </r>
  <r>
    <d v="2025-05-29T00:00:00"/>
    <x v="1"/>
    <x v="4"/>
    <x v="21"/>
    <x v="28"/>
    <x v="14"/>
    <x v="13"/>
    <x v="1"/>
    <n v="1023930000"/>
  </r>
  <r>
    <d v="2025-05-29T00:00:00"/>
    <x v="1"/>
    <x v="4"/>
    <x v="21"/>
    <x v="28"/>
    <x v="11"/>
    <x v="10"/>
    <x v="4"/>
    <n v="274254467"/>
  </r>
  <r>
    <d v="2025-05-29T00:00:00"/>
    <x v="1"/>
    <x v="4"/>
    <x v="21"/>
    <x v="28"/>
    <x v="19"/>
    <x v="12"/>
    <x v="4"/>
    <n v="402335059"/>
  </r>
  <r>
    <d v="2025-05-29T00:00:00"/>
    <x v="1"/>
    <x v="4"/>
    <x v="21"/>
    <x v="28"/>
    <x v="5"/>
    <x v="5"/>
    <x v="3"/>
    <n v="3612979634"/>
  </r>
  <r>
    <d v="2025-05-29T00:00:00"/>
    <x v="1"/>
    <x v="4"/>
    <x v="21"/>
    <x v="28"/>
    <x v="7"/>
    <x v="7"/>
    <x v="4"/>
    <n v="302021970"/>
  </r>
  <r>
    <d v="2025-05-30T00:00:00"/>
    <x v="1"/>
    <x v="4"/>
    <x v="21"/>
    <x v="29"/>
    <x v="3"/>
    <x v="3"/>
    <x v="1"/>
    <n v="0"/>
  </r>
  <r>
    <d v="2025-05-30T00:00:00"/>
    <x v="1"/>
    <x v="4"/>
    <x v="21"/>
    <x v="29"/>
    <x v="18"/>
    <x v="15"/>
    <x v="1"/>
    <n v="770080000"/>
  </r>
  <r>
    <d v="2025-05-30T00:00:00"/>
    <x v="1"/>
    <x v="4"/>
    <x v="21"/>
    <x v="29"/>
    <x v="24"/>
    <x v="18"/>
    <x v="1"/>
    <n v="1681000000"/>
  </r>
  <r>
    <d v="2025-05-30T00:00:00"/>
    <x v="1"/>
    <x v="4"/>
    <x v="21"/>
    <x v="29"/>
    <x v="8"/>
    <x v="8"/>
    <x v="1"/>
    <n v="0"/>
  </r>
  <r>
    <d v="2025-05-30T00:00:00"/>
    <x v="1"/>
    <x v="4"/>
    <x v="21"/>
    <x v="29"/>
    <x v="23"/>
    <x v="17"/>
    <x v="4"/>
    <n v="476000"/>
  </r>
  <r>
    <d v="2025-05-30T00:00:00"/>
    <x v="1"/>
    <x v="4"/>
    <x v="21"/>
    <x v="29"/>
    <x v="2"/>
    <x v="2"/>
    <x v="1"/>
    <n v="6136850000"/>
  </r>
  <r>
    <d v="2025-05-30T00:00:00"/>
    <x v="1"/>
    <x v="4"/>
    <x v="21"/>
    <x v="29"/>
    <x v="6"/>
    <x v="6"/>
    <x v="0"/>
    <n v="16000000"/>
  </r>
  <r>
    <d v="2025-05-30T00:00:00"/>
    <x v="1"/>
    <x v="4"/>
    <x v="21"/>
    <x v="29"/>
    <x v="11"/>
    <x v="10"/>
    <x v="4"/>
    <n v="232554002"/>
  </r>
  <r>
    <d v="2025-05-30T00:00:00"/>
    <x v="1"/>
    <x v="4"/>
    <x v="21"/>
    <x v="29"/>
    <x v="19"/>
    <x v="12"/>
    <x v="4"/>
    <n v="516091104"/>
  </r>
  <r>
    <d v="2025-05-30T00:00:00"/>
    <x v="1"/>
    <x v="4"/>
    <x v="21"/>
    <x v="29"/>
    <x v="5"/>
    <x v="5"/>
    <x v="3"/>
    <n v="4186991628"/>
  </r>
  <r>
    <d v="2025-05-30T00:00:00"/>
    <x v="1"/>
    <x v="4"/>
    <x v="21"/>
    <x v="29"/>
    <x v="14"/>
    <x v="13"/>
    <x v="1"/>
    <n v="1253720000"/>
  </r>
  <r>
    <d v="2025-05-30T00:00:00"/>
    <x v="1"/>
    <x v="4"/>
    <x v="21"/>
    <x v="29"/>
    <x v="7"/>
    <x v="7"/>
    <x v="4"/>
    <n v="321522364"/>
  </r>
  <r>
    <d v="2025-05-30T00:00:00"/>
    <x v="1"/>
    <x v="4"/>
    <x v="21"/>
    <x v="29"/>
    <x v="12"/>
    <x v="11"/>
    <x v="1"/>
    <n v="7414200000"/>
  </r>
  <r>
    <d v="2025-05-30T00:00:00"/>
    <x v="1"/>
    <x v="4"/>
    <x v="21"/>
    <x v="29"/>
    <x v="0"/>
    <x v="0"/>
    <x v="0"/>
    <n v="5836320000"/>
  </r>
  <r>
    <d v="2025-05-30T00:00:00"/>
    <x v="1"/>
    <x v="4"/>
    <x v="21"/>
    <x v="29"/>
    <x v="22"/>
    <x v="16"/>
    <x v="1"/>
    <n v="25000000"/>
  </r>
  <r>
    <d v="2025-05-30T00:00:00"/>
    <x v="1"/>
    <x v="4"/>
    <x v="21"/>
    <x v="29"/>
    <x v="15"/>
    <x v="14"/>
    <x v="4"/>
    <n v="56386972"/>
  </r>
  <r>
    <d v="2025-05-30T00:00:00"/>
    <x v="1"/>
    <x v="4"/>
    <x v="21"/>
    <x v="29"/>
    <x v="20"/>
    <x v="9"/>
    <x v="1"/>
    <n v="0"/>
  </r>
  <r>
    <d v="2025-05-30T00:00:00"/>
    <x v="1"/>
    <x v="4"/>
    <x v="21"/>
    <x v="29"/>
    <x v="17"/>
    <x v="9"/>
    <x v="1"/>
    <n v="0"/>
  </r>
  <r>
    <d v="2025-05-30T00:00:00"/>
    <x v="1"/>
    <x v="4"/>
    <x v="21"/>
    <x v="29"/>
    <x v="1"/>
    <x v="1"/>
    <x v="1"/>
    <n v="42000000"/>
  </r>
  <r>
    <d v="2025-05-31T00:00:00"/>
    <x v="1"/>
    <x v="4"/>
    <x v="21"/>
    <x v="30"/>
    <x v="20"/>
    <x v="9"/>
    <x v="1"/>
    <n v="0"/>
  </r>
  <r>
    <d v="2025-05-31T00:00:00"/>
    <x v="1"/>
    <x v="4"/>
    <x v="21"/>
    <x v="30"/>
    <x v="0"/>
    <x v="0"/>
    <x v="0"/>
    <n v="5492880000"/>
  </r>
  <r>
    <d v="2025-05-31T00:00:00"/>
    <x v="1"/>
    <x v="4"/>
    <x v="21"/>
    <x v="30"/>
    <x v="2"/>
    <x v="2"/>
    <x v="1"/>
    <n v="6381890000"/>
  </r>
  <r>
    <d v="2025-05-31T00:00:00"/>
    <x v="1"/>
    <x v="4"/>
    <x v="21"/>
    <x v="30"/>
    <x v="23"/>
    <x v="17"/>
    <x v="4"/>
    <n v="2781000"/>
  </r>
  <r>
    <d v="2025-05-31T00:00:00"/>
    <x v="1"/>
    <x v="4"/>
    <x v="21"/>
    <x v="30"/>
    <x v="22"/>
    <x v="16"/>
    <x v="1"/>
    <n v="0"/>
  </r>
  <r>
    <d v="2025-05-31T00:00:00"/>
    <x v="1"/>
    <x v="4"/>
    <x v="21"/>
    <x v="30"/>
    <x v="14"/>
    <x v="13"/>
    <x v="1"/>
    <n v="1118030000"/>
  </r>
  <r>
    <d v="2025-05-31T00:00:00"/>
    <x v="1"/>
    <x v="4"/>
    <x v="21"/>
    <x v="30"/>
    <x v="15"/>
    <x v="14"/>
    <x v="4"/>
    <n v="13852762"/>
  </r>
  <r>
    <d v="2025-05-31T00:00:00"/>
    <x v="1"/>
    <x v="4"/>
    <x v="21"/>
    <x v="30"/>
    <x v="17"/>
    <x v="9"/>
    <x v="1"/>
    <n v="0"/>
  </r>
  <r>
    <d v="2025-05-31T00:00:00"/>
    <x v="1"/>
    <x v="4"/>
    <x v="21"/>
    <x v="30"/>
    <x v="7"/>
    <x v="7"/>
    <x v="4"/>
    <n v="302669713"/>
  </r>
  <r>
    <d v="2025-05-31T00:00:00"/>
    <x v="1"/>
    <x v="4"/>
    <x v="21"/>
    <x v="30"/>
    <x v="1"/>
    <x v="1"/>
    <x v="1"/>
    <n v="20000000"/>
  </r>
  <r>
    <d v="2025-05-31T00:00:00"/>
    <x v="1"/>
    <x v="4"/>
    <x v="21"/>
    <x v="30"/>
    <x v="6"/>
    <x v="6"/>
    <x v="0"/>
    <n v="21000000"/>
  </r>
  <r>
    <d v="2025-05-31T00:00:00"/>
    <x v="1"/>
    <x v="4"/>
    <x v="21"/>
    <x v="30"/>
    <x v="24"/>
    <x v="18"/>
    <x v="1"/>
    <n v="1215000000"/>
  </r>
  <r>
    <d v="2025-05-31T00:00:00"/>
    <x v="1"/>
    <x v="4"/>
    <x v="21"/>
    <x v="30"/>
    <x v="3"/>
    <x v="3"/>
    <x v="1"/>
    <n v="0"/>
  </r>
  <r>
    <d v="2025-05-31T00:00:00"/>
    <x v="1"/>
    <x v="4"/>
    <x v="21"/>
    <x v="30"/>
    <x v="18"/>
    <x v="15"/>
    <x v="1"/>
    <n v="444820000"/>
  </r>
  <r>
    <d v="2025-05-31T00:00:00"/>
    <x v="1"/>
    <x v="4"/>
    <x v="21"/>
    <x v="30"/>
    <x v="8"/>
    <x v="8"/>
    <x v="1"/>
    <n v="0"/>
  </r>
  <r>
    <d v="2025-05-31T00:00:00"/>
    <x v="1"/>
    <x v="4"/>
    <x v="21"/>
    <x v="30"/>
    <x v="12"/>
    <x v="11"/>
    <x v="1"/>
    <n v="6505060000"/>
  </r>
  <r>
    <d v="2025-05-31T00:00:00"/>
    <x v="1"/>
    <x v="4"/>
    <x v="21"/>
    <x v="30"/>
    <x v="11"/>
    <x v="10"/>
    <x v="4"/>
    <n v="220912336"/>
  </r>
  <r>
    <d v="2025-05-31T00:00:00"/>
    <x v="1"/>
    <x v="4"/>
    <x v="21"/>
    <x v="30"/>
    <x v="19"/>
    <x v="12"/>
    <x v="4"/>
    <n v="403660576"/>
  </r>
  <r>
    <d v="2025-05-31T00:00:00"/>
    <x v="1"/>
    <x v="4"/>
    <x v="21"/>
    <x v="30"/>
    <x v="5"/>
    <x v="5"/>
    <x v="3"/>
    <n v="3709380697"/>
  </r>
  <r>
    <d v="2025-06-01T00:00:00"/>
    <x v="1"/>
    <x v="5"/>
    <x v="21"/>
    <x v="0"/>
    <x v="22"/>
    <x v="16"/>
    <x v="1"/>
    <n v="0"/>
  </r>
  <r>
    <d v="2025-06-01T00:00:00"/>
    <x v="1"/>
    <x v="5"/>
    <x v="21"/>
    <x v="0"/>
    <x v="20"/>
    <x v="9"/>
    <x v="1"/>
    <n v="0"/>
  </r>
  <r>
    <d v="2025-06-01T00:00:00"/>
    <x v="1"/>
    <x v="5"/>
    <x v="21"/>
    <x v="0"/>
    <x v="3"/>
    <x v="3"/>
    <x v="1"/>
    <n v="0"/>
  </r>
  <r>
    <d v="2025-06-01T00:00:00"/>
    <x v="1"/>
    <x v="5"/>
    <x v="21"/>
    <x v="0"/>
    <x v="17"/>
    <x v="9"/>
    <x v="1"/>
    <n v="0"/>
  </r>
  <r>
    <d v="2025-06-01T00:00:00"/>
    <x v="1"/>
    <x v="5"/>
    <x v="21"/>
    <x v="0"/>
    <x v="24"/>
    <x v="18"/>
    <x v="1"/>
    <n v="1596000000"/>
  </r>
  <r>
    <d v="2025-06-01T00:00:00"/>
    <x v="1"/>
    <x v="5"/>
    <x v="21"/>
    <x v="0"/>
    <x v="12"/>
    <x v="11"/>
    <x v="1"/>
    <n v="6637810000"/>
  </r>
  <r>
    <d v="2025-06-01T00:00:00"/>
    <x v="1"/>
    <x v="5"/>
    <x v="21"/>
    <x v="0"/>
    <x v="11"/>
    <x v="10"/>
    <x v="4"/>
    <n v="294544742"/>
  </r>
  <r>
    <d v="2025-06-01T00:00:00"/>
    <x v="1"/>
    <x v="5"/>
    <x v="21"/>
    <x v="0"/>
    <x v="6"/>
    <x v="6"/>
    <x v="0"/>
    <n v="17000000"/>
  </r>
  <r>
    <d v="2025-06-01T00:00:00"/>
    <x v="1"/>
    <x v="5"/>
    <x v="21"/>
    <x v="0"/>
    <x v="15"/>
    <x v="14"/>
    <x v="4"/>
    <n v="36641396"/>
  </r>
  <r>
    <d v="2025-06-01T00:00:00"/>
    <x v="1"/>
    <x v="5"/>
    <x v="21"/>
    <x v="0"/>
    <x v="7"/>
    <x v="7"/>
    <x v="4"/>
    <n v="368176550"/>
  </r>
  <r>
    <d v="2025-06-01T00:00:00"/>
    <x v="1"/>
    <x v="5"/>
    <x v="21"/>
    <x v="0"/>
    <x v="2"/>
    <x v="2"/>
    <x v="1"/>
    <n v="6303930000"/>
  </r>
  <r>
    <d v="2025-06-01T00:00:00"/>
    <x v="1"/>
    <x v="5"/>
    <x v="21"/>
    <x v="0"/>
    <x v="14"/>
    <x v="13"/>
    <x v="1"/>
    <n v="1176750000"/>
  </r>
  <r>
    <d v="2025-06-01T00:00:00"/>
    <x v="1"/>
    <x v="5"/>
    <x v="21"/>
    <x v="0"/>
    <x v="5"/>
    <x v="5"/>
    <x v="3"/>
    <n v="5758867893"/>
  </r>
  <r>
    <d v="2025-06-01T00:00:00"/>
    <x v="1"/>
    <x v="5"/>
    <x v="21"/>
    <x v="0"/>
    <x v="0"/>
    <x v="0"/>
    <x v="0"/>
    <n v="5846256000"/>
  </r>
  <r>
    <d v="2025-06-01T00:00:00"/>
    <x v="1"/>
    <x v="5"/>
    <x v="21"/>
    <x v="0"/>
    <x v="19"/>
    <x v="12"/>
    <x v="4"/>
    <n v="722211486"/>
  </r>
  <r>
    <d v="2025-06-01T00:00:00"/>
    <x v="1"/>
    <x v="5"/>
    <x v="21"/>
    <x v="0"/>
    <x v="23"/>
    <x v="17"/>
    <x v="4"/>
    <n v="0"/>
  </r>
  <r>
    <d v="2025-06-01T00:00:00"/>
    <x v="1"/>
    <x v="5"/>
    <x v="21"/>
    <x v="0"/>
    <x v="1"/>
    <x v="1"/>
    <x v="1"/>
    <n v="10500000"/>
  </r>
  <r>
    <d v="2025-06-01T00:00:00"/>
    <x v="1"/>
    <x v="5"/>
    <x v="21"/>
    <x v="0"/>
    <x v="18"/>
    <x v="15"/>
    <x v="1"/>
    <n v="744300000"/>
  </r>
  <r>
    <d v="2025-06-02T00:00:00"/>
    <x v="1"/>
    <x v="5"/>
    <x v="22"/>
    <x v="1"/>
    <x v="24"/>
    <x v="18"/>
    <x v="1"/>
    <n v="2209000000"/>
  </r>
  <r>
    <d v="2025-06-02T00:00:00"/>
    <x v="1"/>
    <x v="5"/>
    <x v="22"/>
    <x v="1"/>
    <x v="1"/>
    <x v="1"/>
    <x v="1"/>
    <n v="42000000"/>
  </r>
  <r>
    <d v="2025-06-02T00:00:00"/>
    <x v="1"/>
    <x v="5"/>
    <x v="22"/>
    <x v="1"/>
    <x v="20"/>
    <x v="9"/>
    <x v="1"/>
    <n v="0"/>
  </r>
  <r>
    <d v="2025-06-02T00:00:00"/>
    <x v="1"/>
    <x v="5"/>
    <x v="22"/>
    <x v="1"/>
    <x v="19"/>
    <x v="12"/>
    <x v="4"/>
    <n v="969925569"/>
  </r>
  <r>
    <d v="2025-06-02T00:00:00"/>
    <x v="1"/>
    <x v="5"/>
    <x v="22"/>
    <x v="1"/>
    <x v="2"/>
    <x v="2"/>
    <x v="1"/>
    <n v="7488890000"/>
  </r>
  <r>
    <d v="2025-06-02T00:00:00"/>
    <x v="1"/>
    <x v="5"/>
    <x v="22"/>
    <x v="1"/>
    <x v="17"/>
    <x v="9"/>
    <x v="1"/>
    <n v="0"/>
  </r>
  <r>
    <d v="2025-06-02T00:00:00"/>
    <x v="1"/>
    <x v="5"/>
    <x v="22"/>
    <x v="1"/>
    <x v="22"/>
    <x v="16"/>
    <x v="1"/>
    <n v="12600000"/>
  </r>
  <r>
    <d v="2025-06-02T00:00:00"/>
    <x v="1"/>
    <x v="5"/>
    <x v="22"/>
    <x v="1"/>
    <x v="15"/>
    <x v="14"/>
    <x v="4"/>
    <n v="68350763"/>
  </r>
  <r>
    <d v="2025-06-02T00:00:00"/>
    <x v="1"/>
    <x v="5"/>
    <x v="22"/>
    <x v="1"/>
    <x v="6"/>
    <x v="6"/>
    <x v="0"/>
    <n v="44000000"/>
  </r>
  <r>
    <d v="2025-06-02T00:00:00"/>
    <x v="1"/>
    <x v="5"/>
    <x v="22"/>
    <x v="1"/>
    <x v="18"/>
    <x v="15"/>
    <x v="1"/>
    <n v="418050000"/>
  </r>
  <r>
    <d v="2025-06-02T00:00:00"/>
    <x v="1"/>
    <x v="5"/>
    <x v="22"/>
    <x v="1"/>
    <x v="23"/>
    <x v="17"/>
    <x v="4"/>
    <n v="0"/>
  </r>
  <r>
    <d v="2025-06-02T00:00:00"/>
    <x v="1"/>
    <x v="5"/>
    <x v="22"/>
    <x v="1"/>
    <x v="11"/>
    <x v="10"/>
    <x v="4"/>
    <n v="285370959"/>
  </r>
  <r>
    <d v="2025-06-02T00:00:00"/>
    <x v="1"/>
    <x v="5"/>
    <x v="22"/>
    <x v="1"/>
    <x v="7"/>
    <x v="7"/>
    <x v="4"/>
    <n v="378025986"/>
  </r>
  <r>
    <d v="2025-06-02T00:00:00"/>
    <x v="1"/>
    <x v="5"/>
    <x v="22"/>
    <x v="1"/>
    <x v="14"/>
    <x v="13"/>
    <x v="1"/>
    <n v="1569180000"/>
  </r>
  <r>
    <d v="2025-06-02T00:00:00"/>
    <x v="1"/>
    <x v="5"/>
    <x v="22"/>
    <x v="1"/>
    <x v="3"/>
    <x v="3"/>
    <x v="1"/>
    <n v="0"/>
  </r>
  <r>
    <d v="2025-06-02T00:00:00"/>
    <x v="1"/>
    <x v="5"/>
    <x v="22"/>
    <x v="1"/>
    <x v="5"/>
    <x v="5"/>
    <x v="3"/>
    <n v="5585163543"/>
  </r>
  <r>
    <d v="2025-06-02T00:00:00"/>
    <x v="1"/>
    <x v="5"/>
    <x v="22"/>
    <x v="1"/>
    <x v="12"/>
    <x v="11"/>
    <x v="1"/>
    <n v="7615870000"/>
  </r>
  <r>
    <d v="2025-06-02T00:00:00"/>
    <x v="1"/>
    <x v="5"/>
    <x v="22"/>
    <x v="1"/>
    <x v="0"/>
    <x v="0"/>
    <x v="0"/>
    <n v="5868504000"/>
  </r>
  <r>
    <d v="2025-06-03T00:00:00"/>
    <x v="1"/>
    <x v="5"/>
    <x v="22"/>
    <x v="2"/>
    <x v="17"/>
    <x v="9"/>
    <x v="1"/>
    <n v="0"/>
  </r>
  <r>
    <d v="2025-06-03T00:00:00"/>
    <x v="1"/>
    <x v="5"/>
    <x v="22"/>
    <x v="2"/>
    <x v="5"/>
    <x v="5"/>
    <x v="3"/>
    <n v="4570116877"/>
  </r>
  <r>
    <d v="2025-06-03T00:00:00"/>
    <x v="1"/>
    <x v="5"/>
    <x v="22"/>
    <x v="2"/>
    <x v="7"/>
    <x v="7"/>
    <x v="4"/>
    <n v="534136304"/>
  </r>
  <r>
    <d v="2025-06-03T00:00:00"/>
    <x v="1"/>
    <x v="5"/>
    <x v="22"/>
    <x v="2"/>
    <x v="14"/>
    <x v="13"/>
    <x v="1"/>
    <n v="1157890000"/>
  </r>
  <r>
    <d v="2025-06-03T00:00:00"/>
    <x v="1"/>
    <x v="5"/>
    <x v="22"/>
    <x v="2"/>
    <x v="6"/>
    <x v="6"/>
    <x v="0"/>
    <n v="52000000"/>
  </r>
  <r>
    <d v="2025-06-03T00:00:00"/>
    <x v="1"/>
    <x v="5"/>
    <x v="22"/>
    <x v="2"/>
    <x v="2"/>
    <x v="2"/>
    <x v="1"/>
    <n v="7314810000"/>
  </r>
  <r>
    <d v="2025-06-03T00:00:00"/>
    <x v="1"/>
    <x v="5"/>
    <x v="22"/>
    <x v="2"/>
    <x v="12"/>
    <x v="11"/>
    <x v="1"/>
    <n v="9956120000"/>
  </r>
  <r>
    <d v="2025-06-03T00:00:00"/>
    <x v="1"/>
    <x v="5"/>
    <x v="22"/>
    <x v="2"/>
    <x v="20"/>
    <x v="9"/>
    <x v="1"/>
    <n v="0"/>
  </r>
  <r>
    <d v="2025-06-03T00:00:00"/>
    <x v="1"/>
    <x v="5"/>
    <x v="22"/>
    <x v="2"/>
    <x v="3"/>
    <x v="3"/>
    <x v="1"/>
    <n v="0"/>
  </r>
  <r>
    <d v="2025-06-03T00:00:00"/>
    <x v="1"/>
    <x v="5"/>
    <x v="22"/>
    <x v="2"/>
    <x v="15"/>
    <x v="14"/>
    <x v="4"/>
    <n v="56070279"/>
  </r>
  <r>
    <d v="2025-06-03T00:00:00"/>
    <x v="1"/>
    <x v="5"/>
    <x v="22"/>
    <x v="2"/>
    <x v="24"/>
    <x v="18"/>
    <x v="1"/>
    <n v="3244000000"/>
  </r>
  <r>
    <d v="2025-06-03T00:00:00"/>
    <x v="1"/>
    <x v="5"/>
    <x v="22"/>
    <x v="2"/>
    <x v="19"/>
    <x v="12"/>
    <x v="4"/>
    <n v="1220246387"/>
  </r>
  <r>
    <d v="2025-06-03T00:00:00"/>
    <x v="1"/>
    <x v="5"/>
    <x v="22"/>
    <x v="2"/>
    <x v="23"/>
    <x v="17"/>
    <x v="4"/>
    <n v="0"/>
  </r>
  <r>
    <d v="2025-06-03T00:00:00"/>
    <x v="1"/>
    <x v="5"/>
    <x v="22"/>
    <x v="2"/>
    <x v="11"/>
    <x v="10"/>
    <x v="4"/>
    <n v="324495184"/>
  </r>
  <r>
    <d v="2025-06-03T00:00:00"/>
    <x v="1"/>
    <x v="5"/>
    <x v="22"/>
    <x v="2"/>
    <x v="22"/>
    <x v="16"/>
    <x v="1"/>
    <n v="0"/>
  </r>
  <r>
    <d v="2025-06-03T00:00:00"/>
    <x v="1"/>
    <x v="5"/>
    <x v="22"/>
    <x v="2"/>
    <x v="18"/>
    <x v="15"/>
    <x v="1"/>
    <n v="628140000"/>
  </r>
  <r>
    <d v="2025-06-03T00:00:00"/>
    <x v="1"/>
    <x v="5"/>
    <x v="22"/>
    <x v="2"/>
    <x v="1"/>
    <x v="1"/>
    <x v="1"/>
    <n v="10500000"/>
  </r>
  <r>
    <d v="2025-06-03T00:00:00"/>
    <x v="1"/>
    <x v="5"/>
    <x v="22"/>
    <x v="2"/>
    <x v="0"/>
    <x v="0"/>
    <x v="0"/>
    <n v="5594076000"/>
  </r>
  <r>
    <d v="2025-06-04T00:00:00"/>
    <x v="1"/>
    <x v="5"/>
    <x v="22"/>
    <x v="3"/>
    <x v="12"/>
    <x v="11"/>
    <x v="1"/>
    <n v="9567990000"/>
  </r>
  <r>
    <d v="2025-06-04T00:00:00"/>
    <x v="1"/>
    <x v="5"/>
    <x v="22"/>
    <x v="3"/>
    <x v="3"/>
    <x v="3"/>
    <x v="1"/>
    <n v="14000000"/>
  </r>
  <r>
    <d v="2025-06-04T00:00:00"/>
    <x v="1"/>
    <x v="5"/>
    <x v="22"/>
    <x v="3"/>
    <x v="24"/>
    <x v="18"/>
    <x v="1"/>
    <n v="2417440000"/>
  </r>
  <r>
    <d v="2025-06-04T00:00:00"/>
    <x v="1"/>
    <x v="5"/>
    <x v="22"/>
    <x v="3"/>
    <x v="0"/>
    <x v="0"/>
    <x v="0"/>
    <n v="5751756000"/>
  </r>
  <r>
    <d v="2025-06-04T00:00:00"/>
    <x v="1"/>
    <x v="5"/>
    <x v="22"/>
    <x v="3"/>
    <x v="17"/>
    <x v="9"/>
    <x v="1"/>
    <n v="0"/>
  </r>
  <r>
    <d v="2025-06-04T00:00:00"/>
    <x v="1"/>
    <x v="5"/>
    <x v="22"/>
    <x v="3"/>
    <x v="7"/>
    <x v="7"/>
    <x v="4"/>
    <n v="816341257"/>
  </r>
  <r>
    <d v="2025-06-04T00:00:00"/>
    <x v="1"/>
    <x v="5"/>
    <x v="22"/>
    <x v="3"/>
    <x v="5"/>
    <x v="5"/>
    <x v="3"/>
    <n v="4857003911"/>
  </r>
  <r>
    <d v="2025-06-04T00:00:00"/>
    <x v="1"/>
    <x v="5"/>
    <x v="22"/>
    <x v="3"/>
    <x v="11"/>
    <x v="10"/>
    <x v="4"/>
    <n v="436802134"/>
  </r>
  <r>
    <d v="2025-06-04T00:00:00"/>
    <x v="1"/>
    <x v="5"/>
    <x v="22"/>
    <x v="3"/>
    <x v="20"/>
    <x v="9"/>
    <x v="1"/>
    <n v="0"/>
  </r>
  <r>
    <d v="2025-06-04T00:00:00"/>
    <x v="1"/>
    <x v="5"/>
    <x v="22"/>
    <x v="3"/>
    <x v="23"/>
    <x v="17"/>
    <x v="4"/>
    <n v="0"/>
  </r>
  <r>
    <d v="2025-06-04T00:00:00"/>
    <x v="1"/>
    <x v="5"/>
    <x v="22"/>
    <x v="3"/>
    <x v="14"/>
    <x v="13"/>
    <x v="1"/>
    <n v="1079490000"/>
  </r>
  <r>
    <d v="2025-06-04T00:00:00"/>
    <x v="1"/>
    <x v="5"/>
    <x v="22"/>
    <x v="3"/>
    <x v="18"/>
    <x v="15"/>
    <x v="1"/>
    <n v="658050000"/>
  </r>
  <r>
    <d v="2025-06-04T00:00:00"/>
    <x v="1"/>
    <x v="5"/>
    <x v="22"/>
    <x v="3"/>
    <x v="22"/>
    <x v="16"/>
    <x v="1"/>
    <n v="15750000"/>
  </r>
  <r>
    <d v="2025-06-04T00:00:00"/>
    <x v="1"/>
    <x v="5"/>
    <x v="22"/>
    <x v="3"/>
    <x v="1"/>
    <x v="1"/>
    <x v="1"/>
    <n v="21000000"/>
  </r>
  <r>
    <d v="2025-06-04T00:00:00"/>
    <x v="1"/>
    <x v="5"/>
    <x v="22"/>
    <x v="3"/>
    <x v="15"/>
    <x v="14"/>
    <x v="4"/>
    <n v="80029074"/>
  </r>
  <r>
    <d v="2025-06-04T00:00:00"/>
    <x v="1"/>
    <x v="5"/>
    <x v="22"/>
    <x v="3"/>
    <x v="19"/>
    <x v="12"/>
    <x v="4"/>
    <n v="2070625314"/>
  </r>
  <r>
    <d v="2025-06-04T00:00:00"/>
    <x v="1"/>
    <x v="5"/>
    <x v="22"/>
    <x v="3"/>
    <x v="2"/>
    <x v="2"/>
    <x v="1"/>
    <n v="7870210000"/>
  </r>
  <r>
    <d v="2025-06-04T00:00:00"/>
    <x v="1"/>
    <x v="5"/>
    <x v="22"/>
    <x v="3"/>
    <x v="6"/>
    <x v="6"/>
    <x v="0"/>
    <n v="23000000"/>
  </r>
  <r>
    <d v="2025-06-05T00:00:00"/>
    <x v="1"/>
    <x v="5"/>
    <x v="22"/>
    <x v="4"/>
    <x v="15"/>
    <x v="14"/>
    <x v="4"/>
    <n v="67814761"/>
  </r>
  <r>
    <d v="2025-06-05T00:00:00"/>
    <x v="1"/>
    <x v="5"/>
    <x v="22"/>
    <x v="4"/>
    <x v="12"/>
    <x v="11"/>
    <x v="1"/>
    <n v="9822970000"/>
  </r>
  <r>
    <d v="2025-06-05T00:00:00"/>
    <x v="1"/>
    <x v="5"/>
    <x v="22"/>
    <x v="4"/>
    <x v="3"/>
    <x v="3"/>
    <x v="1"/>
    <n v="0"/>
  </r>
  <r>
    <d v="2025-06-05T00:00:00"/>
    <x v="1"/>
    <x v="5"/>
    <x v="22"/>
    <x v="4"/>
    <x v="0"/>
    <x v="0"/>
    <x v="0"/>
    <n v="6697080000"/>
  </r>
  <r>
    <d v="2025-06-05T00:00:00"/>
    <x v="1"/>
    <x v="5"/>
    <x v="22"/>
    <x v="4"/>
    <x v="22"/>
    <x v="16"/>
    <x v="1"/>
    <n v="0"/>
  </r>
  <r>
    <d v="2025-06-05T00:00:00"/>
    <x v="1"/>
    <x v="5"/>
    <x v="22"/>
    <x v="4"/>
    <x v="20"/>
    <x v="9"/>
    <x v="1"/>
    <n v="0"/>
  </r>
  <r>
    <d v="2025-06-05T00:00:00"/>
    <x v="1"/>
    <x v="5"/>
    <x v="22"/>
    <x v="4"/>
    <x v="17"/>
    <x v="9"/>
    <x v="1"/>
    <n v="0"/>
  </r>
  <r>
    <d v="2025-06-05T00:00:00"/>
    <x v="1"/>
    <x v="5"/>
    <x v="22"/>
    <x v="4"/>
    <x v="6"/>
    <x v="6"/>
    <x v="0"/>
    <n v="0"/>
  </r>
  <r>
    <d v="2025-06-05T00:00:00"/>
    <x v="1"/>
    <x v="5"/>
    <x v="22"/>
    <x v="4"/>
    <x v="1"/>
    <x v="1"/>
    <x v="1"/>
    <n v="0"/>
  </r>
  <r>
    <d v="2025-06-05T00:00:00"/>
    <x v="1"/>
    <x v="5"/>
    <x v="22"/>
    <x v="4"/>
    <x v="2"/>
    <x v="2"/>
    <x v="1"/>
    <n v="9728400000"/>
  </r>
  <r>
    <d v="2025-06-05T00:00:00"/>
    <x v="1"/>
    <x v="5"/>
    <x v="22"/>
    <x v="4"/>
    <x v="24"/>
    <x v="18"/>
    <x v="1"/>
    <n v="1816590000"/>
  </r>
  <r>
    <d v="2025-06-05T00:00:00"/>
    <x v="1"/>
    <x v="5"/>
    <x v="22"/>
    <x v="4"/>
    <x v="18"/>
    <x v="15"/>
    <x v="1"/>
    <n v="708960000"/>
  </r>
  <r>
    <d v="2025-06-05T00:00:00"/>
    <x v="1"/>
    <x v="5"/>
    <x v="22"/>
    <x v="4"/>
    <x v="23"/>
    <x v="17"/>
    <x v="4"/>
    <n v="8472000"/>
  </r>
  <r>
    <d v="2025-06-05T00:00:00"/>
    <x v="1"/>
    <x v="5"/>
    <x v="22"/>
    <x v="4"/>
    <x v="14"/>
    <x v="13"/>
    <x v="1"/>
    <n v="1325980000"/>
  </r>
  <r>
    <d v="2025-06-05T00:00:00"/>
    <x v="1"/>
    <x v="5"/>
    <x v="22"/>
    <x v="4"/>
    <x v="11"/>
    <x v="10"/>
    <x v="4"/>
    <n v="377434595"/>
  </r>
  <r>
    <d v="2025-06-05T00:00:00"/>
    <x v="1"/>
    <x v="5"/>
    <x v="22"/>
    <x v="4"/>
    <x v="5"/>
    <x v="5"/>
    <x v="3"/>
    <n v="4997832148"/>
  </r>
  <r>
    <d v="2025-06-05T00:00:00"/>
    <x v="1"/>
    <x v="5"/>
    <x v="22"/>
    <x v="4"/>
    <x v="19"/>
    <x v="12"/>
    <x v="4"/>
    <n v="1436628343"/>
  </r>
  <r>
    <d v="2025-06-05T00:00:00"/>
    <x v="1"/>
    <x v="5"/>
    <x v="22"/>
    <x v="4"/>
    <x v="7"/>
    <x v="7"/>
    <x v="4"/>
    <n v="802987843"/>
  </r>
  <r>
    <d v="2025-06-06T00:00:00"/>
    <x v="1"/>
    <x v="5"/>
    <x v="22"/>
    <x v="5"/>
    <x v="11"/>
    <x v="10"/>
    <x v="4"/>
    <n v="359611999"/>
  </r>
  <r>
    <d v="2025-06-06T00:00:00"/>
    <x v="1"/>
    <x v="5"/>
    <x v="22"/>
    <x v="5"/>
    <x v="19"/>
    <x v="12"/>
    <x v="4"/>
    <n v="972653763"/>
  </r>
  <r>
    <d v="2025-06-06T00:00:00"/>
    <x v="1"/>
    <x v="5"/>
    <x v="22"/>
    <x v="5"/>
    <x v="5"/>
    <x v="5"/>
    <x v="3"/>
    <n v="4195013800"/>
  </r>
  <r>
    <d v="2025-06-06T00:00:00"/>
    <x v="1"/>
    <x v="5"/>
    <x v="22"/>
    <x v="5"/>
    <x v="14"/>
    <x v="13"/>
    <x v="1"/>
    <n v="1355640000"/>
  </r>
  <r>
    <d v="2025-06-06T00:00:00"/>
    <x v="1"/>
    <x v="5"/>
    <x v="22"/>
    <x v="5"/>
    <x v="7"/>
    <x v="7"/>
    <x v="4"/>
    <n v="639909019"/>
  </r>
  <r>
    <d v="2025-06-06T00:00:00"/>
    <x v="1"/>
    <x v="5"/>
    <x v="22"/>
    <x v="5"/>
    <x v="12"/>
    <x v="11"/>
    <x v="1"/>
    <n v="7853340000"/>
  </r>
  <r>
    <d v="2025-06-06T00:00:00"/>
    <x v="1"/>
    <x v="5"/>
    <x v="22"/>
    <x v="5"/>
    <x v="0"/>
    <x v="0"/>
    <x v="0"/>
    <n v="5949936000"/>
  </r>
  <r>
    <d v="2025-06-06T00:00:00"/>
    <x v="1"/>
    <x v="5"/>
    <x v="22"/>
    <x v="5"/>
    <x v="3"/>
    <x v="3"/>
    <x v="1"/>
    <n v="0"/>
  </r>
  <r>
    <d v="2025-06-06T00:00:00"/>
    <x v="1"/>
    <x v="5"/>
    <x v="22"/>
    <x v="5"/>
    <x v="23"/>
    <x v="17"/>
    <x v="4"/>
    <n v="850000"/>
  </r>
  <r>
    <d v="2025-06-06T00:00:00"/>
    <x v="1"/>
    <x v="5"/>
    <x v="22"/>
    <x v="5"/>
    <x v="22"/>
    <x v="16"/>
    <x v="1"/>
    <n v="12000000"/>
  </r>
  <r>
    <d v="2025-06-06T00:00:00"/>
    <x v="1"/>
    <x v="5"/>
    <x v="22"/>
    <x v="5"/>
    <x v="24"/>
    <x v="18"/>
    <x v="1"/>
    <n v="1932080000"/>
  </r>
  <r>
    <d v="2025-06-06T00:00:00"/>
    <x v="1"/>
    <x v="5"/>
    <x v="22"/>
    <x v="5"/>
    <x v="2"/>
    <x v="2"/>
    <x v="1"/>
    <n v="9171120000"/>
  </r>
  <r>
    <d v="2025-06-06T00:00:00"/>
    <x v="1"/>
    <x v="5"/>
    <x v="22"/>
    <x v="5"/>
    <x v="18"/>
    <x v="15"/>
    <x v="1"/>
    <n v="534210000"/>
  </r>
  <r>
    <d v="2025-06-06T00:00:00"/>
    <x v="1"/>
    <x v="5"/>
    <x v="22"/>
    <x v="5"/>
    <x v="15"/>
    <x v="14"/>
    <x v="4"/>
    <n v="48795863"/>
  </r>
  <r>
    <d v="2025-06-06T00:00:00"/>
    <x v="1"/>
    <x v="5"/>
    <x v="22"/>
    <x v="5"/>
    <x v="1"/>
    <x v="1"/>
    <x v="1"/>
    <n v="0"/>
  </r>
  <r>
    <d v="2025-06-06T00:00:00"/>
    <x v="1"/>
    <x v="5"/>
    <x v="22"/>
    <x v="5"/>
    <x v="17"/>
    <x v="9"/>
    <x v="1"/>
    <n v="0"/>
  </r>
  <r>
    <d v="2025-06-06T00:00:00"/>
    <x v="1"/>
    <x v="5"/>
    <x v="22"/>
    <x v="5"/>
    <x v="20"/>
    <x v="9"/>
    <x v="1"/>
    <n v="0"/>
  </r>
  <r>
    <d v="2025-06-06T00:00:00"/>
    <x v="1"/>
    <x v="5"/>
    <x v="22"/>
    <x v="5"/>
    <x v="6"/>
    <x v="6"/>
    <x v="0"/>
    <n v="0"/>
  </r>
  <r>
    <d v="2025-06-07T00:00:00"/>
    <x v="1"/>
    <x v="5"/>
    <x v="22"/>
    <x v="6"/>
    <x v="12"/>
    <x v="11"/>
    <x v="1"/>
    <n v="7121460000"/>
  </r>
  <r>
    <d v="2025-06-07T00:00:00"/>
    <x v="1"/>
    <x v="5"/>
    <x v="22"/>
    <x v="6"/>
    <x v="23"/>
    <x v="17"/>
    <x v="4"/>
    <n v="13790000"/>
  </r>
  <r>
    <d v="2025-06-07T00:00:00"/>
    <x v="1"/>
    <x v="5"/>
    <x v="22"/>
    <x v="6"/>
    <x v="24"/>
    <x v="18"/>
    <x v="1"/>
    <n v="1382900000"/>
  </r>
  <r>
    <d v="2025-06-07T00:00:00"/>
    <x v="1"/>
    <x v="5"/>
    <x v="22"/>
    <x v="6"/>
    <x v="3"/>
    <x v="3"/>
    <x v="1"/>
    <n v="0"/>
  </r>
  <r>
    <d v="2025-06-07T00:00:00"/>
    <x v="1"/>
    <x v="5"/>
    <x v="22"/>
    <x v="6"/>
    <x v="0"/>
    <x v="0"/>
    <x v="0"/>
    <n v="5058504000"/>
  </r>
  <r>
    <d v="2025-06-07T00:00:00"/>
    <x v="1"/>
    <x v="5"/>
    <x v="22"/>
    <x v="6"/>
    <x v="17"/>
    <x v="9"/>
    <x v="1"/>
    <n v="0"/>
  </r>
  <r>
    <d v="2025-06-07T00:00:00"/>
    <x v="1"/>
    <x v="5"/>
    <x v="22"/>
    <x v="6"/>
    <x v="1"/>
    <x v="1"/>
    <x v="1"/>
    <n v="0"/>
  </r>
  <r>
    <d v="2025-06-07T00:00:00"/>
    <x v="1"/>
    <x v="5"/>
    <x v="22"/>
    <x v="6"/>
    <x v="22"/>
    <x v="16"/>
    <x v="1"/>
    <n v="23100000"/>
  </r>
  <r>
    <d v="2025-06-07T00:00:00"/>
    <x v="1"/>
    <x v="5"/>
    <x v="22"/>
    <x v="6"/>
    <x v="14"/>
    <x v="13"/>
    <x v="1"/>
    <n v="1231630000"/>
  </r>
  <r>
    <d v="2025-06-07T00:00:00"/>
    <x v="1"/>
    <x v="5"/>
    <x v="22"/>
    <x v="6"/>
    <x v="15"/>
    <x v="14"/>
    <x v="4"/>
    <n v="5252534"/>
  </r>
  <r>
    <d v="2025-06-07T00:00:00"/>
    <x v="1"/>
    <x v="5"/>
    <x v="22"/>
    <x v="6"/>
    <x v="11"/>
    <x v="10"/>
    <x v="4"/>
    <n v="284813171"/>
  </r>
  <r>
    <d v="2025-06-07T00:00:00"/>
    <x v="1"/>
    <x v="5"/>
    <x v="22"/>
    <x v="6"/>
    <x v="19"/>
    <x v="12"/>
    <x v="4"/>
    <n v="663940378"/>
  </r>
  <r>
    <d v="2025-06-07T00:00:00"/>
    <x v="1"/>
    <x v="5"/>
    <x v="22"/>
    <x v="6"/>
    <x v="20"/>
    <x v="9"/>
    <x v="1"/>
    <n v="0"/>
  </r>
  <r>
    <d v="2025-06-07T00:00:00"/>
    <x v="1"/>
    <x v="5"/>
    <x v="22"/>
    <x v="6"/>
    <x v="5"/>
    <x v="5"/>
    <x v="3"/>
    <n v="3740967626"/>
  </r>
  <r>
    <d v="2025-06-07T00:00:00"/>
    <x v="1"/>
    <x v="5"/>
    <x v="22"/>
    <x v="6"/>
    <x v="18"/>
    <x v="15"/>
    <x v="1"/>
    <n v="553700000"/>
  </r>
  <r>
    <d v="2025-06-07T00:00:00"/>
    <x v="1"/>
    <x v="5"/>
    <x v="22"/>
    <x v="6"/>
    <x v="7"/>
    <x v="7"/>
    <x v="4"/>
    <n v="492095209"/>
  </r>
  <r>
    <d v="2025-06-07T00:00:00"/>
    <x v="1"/>
    <x v="5"/>
    <x v="22"/>
    <x v="6"/>
    <x v="2"/>
    <x v="2"/>
    <x v="1"/>
    <n v="8464970000"/>
  </r>
  <r>
    <d v="2025-06-07T00:00:00"/>
    <x v="1"/>
    <x v="5"/>
    <x v="22"/>
    <x v="6"/>
    <x v="6"/>
    <x v="6"/>
    <x v="0"/>
    <n v="0"/>
  </r>
  <r>
    <d v="2025-06-08T00:00:00"/>
    <x v="1"/>
    <x v="5"/>
    <x v="22"/>
    <x v="7"/>
    <x v="11"/>
    <x v="10"/>
    <x v="4"/>
    <n v="266553615"/>
  </r>
  <r>
    <d v="2025-06-08T00:00:00"/>
    <x v="1"/>
    <x v="5"/>
    <x v="22"/>
    <x v="7"/>
    <x v="18"/>
    <x v="15"/>
    <x v="1"/>
    <n v="371270000"/>
  </r>
  <r>
    <d v="2025-06-08T00:00:00"/>
    <x v="1"/>
    <x v="5"/>
    <x v="22"/>
    <x v="7"/>
    <x v="3"/>
    <x v="3"/>
    <x v="1"/>
    <n v="0"/>
  </r>
  <r>
    <d v="2025-06-08T00:00:00"/>
    <x v="1"/>
    <x v="5"/>
    <x v="22"/>
    <x v="7"/>
    <x v="19"/>
    <x v="12"/>
    <x v="4"/>
    <n v="545865618"/>
  </r>
  <r>
    <d v="2025-06-08T00:00:00"/>
    <x v="1"/>
    <x v="5"/>
    <x v="22"/>
    <x v="7"/>
    <x v="6"/>
    <x v="6"/>
    <x v="0"/>
    <n v="0"/>
  </r>
  <r>
    <d v="2025-06-08T00:00:00"/>
    <x v="1"/>
    <x v="5"/>
    <x v="22"/>
    <x v="7"/>
    <x v="14"/>
    <x v="13"/>
    <x v="1"/>
    <n v="1156020000"/>
  </r>
  <r>
    <d v="2025-06-08T00:00:00"/>
    <x v="1"/>
    <x v="5"/>
    <x v="22"/>
    <x v="7"/>
    <x v="24"/>
    <x v="18"/>
    <x v="1"/>
    <n v="1156870000"/>
  </r>
  <r>
    <d v="2025-06-08T00:00:00"/>
    <x v="1"/>
    <x v="5"/>
    <x v="22"/>
    <x v="7"/>
    <x v="7"/>
    <x v="7"/>
    <x v="4"/>
    <n v="440093785"/>
  </r>
  <r>
    <d v="2025-06-08T00:00:00"/>
    <x v="1"/>
    <x v="5"/>
    <x v="22"/>
    <x v="7"/>
    <x v="5"/>
    <x v="5"/>
    <x v="3"/>
    <n v="3345949532"/>
  </r>
  <r>
    <d v="2025-06-08T00:00:00"/>
    <x v="1"/>
    <x v="5"/>
    <x v="22"/>
    <x v="7"/>
    <x v="2"/>
    <x v="2"/>
    <x v="1"/>
    <n v="8203840000"/>
  </r>
  <r>
    <d v="2025-06-08T00:00:00"/>
    <x v="1"/>
    <x v="5"/>
    <x v="22"/>
    <x v="7"/>
    <x v="12"/>
    <x v="11"/>
    <x v="1"/>
    <n v="7274480000"/>
  </r>
  <r>
    <d v="2025-06-08T00:00:00"/>
    <x v="1"/>
    <x v="5"/>
    <x v="22"/>
    <x v="7"/>
    <x v="0"/>
    <x v="0"/>
    <x v="0"/>
    <n v="4828356000"/>
  </r>
  <r>
    <d v="2025-06-08T00:00:00"/>
    <x v="1"/>
    <x v="5"/>
    <x v="22"/>
    <x v="7"/>
    <x v="23"/>
    <x v="17"/>
    <x v="4"/>
    <n v="740000"/>
  </r>
  <r>
    <d v="2025-06-08T00:00:00"/>
    <x v="1"/>
    <x v="5"/>
    <x v="22"/>
    <x v="7"/>
    <x v="22"/>
    <x v="16"/>
    <x v="1"/>
    <n v="12600000"/>
  </r>
  <r>
    <d v="2025-06-08T00:00:00"/>
    <x v="1"/>
    <x v="5"/>
    <x v="22"/>
    <x v="7"/>
    <x v="15"/>
    <x v="14"/>
    <x v="4"/>
    <n v="14923866"/>
  </r>
  <r>
    <d v="2025-06-08T00:00:00"/>
    <x v="1"/>
    <x v="5"/>
    <x v="22"/>
    <x v="7"/>
    <x v="17"/>
    <x v="9"/>
    <x v="1"/>
    <n v="0"/>
  </r>
  <r>
    <d v="2025-06-08T00:00:00"/>
    <x v="1"/>
    <x v="5"/>
    <x v="22"/>
    <x v="7"/>
    <x v="1"/>
    <x v="1"/>
    <x v="1"/>
    <n v="0"/>
  </r>
  <r>
    <d v="2025-06-08T00:00:00"/>
    <x v="1"/>
    <x v="5"/>
    <x v="22"/>
    <x v="7"/>
    <x v="20"/>
    <x v="9"/>
    <x v="1"/>
    <n v="0"/>
  </r>
  <r>
    <d v="2025-06-09T00:00:00"/>
    <x v="1"/>
    <x v="5"/>
    <x v="23"/>
    <x v="8"/>
    <x v="1"/>
    <x v="1"/>
    <x v="1"/>
    <n v="0"/>
  </r>
  <r>
    <d v="2025-06-09T00:00:00"/>
    <x v="1"/>
    <x v="5"/>
    <x v="23"/>
    <x v="8"/>
    <x v="11"/>
    <x v="10"/>
    <x v="4"/>
    <n v="286902440"/>
  </r>
  <r>
    <d v="2025-06-09T00:00:00"/>
    <x v="1"/>
    <x v="5"/>
    <x v="23"/>
    <x v="8"/>
    <x v="6"/>
    <x v="6"/>
    <x v="0"/>
    <n v="0"/>
  </r>
  <r>
    <d v="2025-06-09T00:00:00"/>
    <x v="1"/>
    <x v="5"/>
    <x v="23"/>
    <x v="8"/>
    <x v="3"/>
    <x v="3"/>
    <x v="1"/>
    <n v="0"/>
  </r>
  <r>
    <d v="2025-06-09T00:00:00"/>
    <x v="1"/>
    <x v="5"/>
    <x v="23"/>
    <x v="8"/>
    <x v="22"/>
    <x v="16"/>
    <x v="1"/>
    <n v="27600000"/>
  </r>
  <r>
    <d v="2025-06-09T00:00:00"/>
    <x v="1"/>
    <x v="5"/>
    <x v="23"/>
    <x v="8"/>
    <x v="0"/>
    <x v="0"/>
    <x v="0"/>
    <n v="5434236000"/>
  </r>
  <r>
    <d v="2025-06-09T00:00:00"/>
    <x v="1"/>
    <x v="5"/>
    <x v="23"/>
    <x v="8"/>
    <x v="15"/>
    <x v="14"/>
    <x v="4"/>
    <n v="48882354"/>
  </r>
  <r>
    <d v="2025-06-09T00:00:00"/>
    <x v="1"/>
    <x v="5"/>
    <x v="23"/>
    <x v="8"/>
    <x v="20"/>
    <x v="9"/>
    <x v="1"/>
    <n v="0"/>
  </r>
  <r>
    <d v="2025-06-09T00:00:00"/>
    <x v="1"/>
    <x v="5"/>
    <x v="23"/>
    <x v="8"/>
    <x v="17"/>
    <x v="9"/>
    <x v="1"/>
    <n v="0"/>
  </r>
  <r>
    <d v="2025-06-09T00:00:00"/>
    <x v="1"/>
    <x v="5"/>
    <x v="23"/>
    <x v="8"/>
    <x v="23"/>
    <x v="17"/>
    <x v="4"/>
    <n v="4070000"/>
  </r>
  <r>
    <d v="2025-06-09T00:00:00"/>
    <x v="1"/>
    <x v="5"/>
    <x v="23"/>
    <x v="8"/>
    <x v="24"/>
    <x v="18"/>
    <x v="1"/>
    <n v="1895880000"/>
  </r>
  <r>
    <d v="2025-06-09T00:00:00"/>
    <x v="1"/>
    <x v="5"/>
    <x v="23"/>
    <x v="8"/>
    <x v="18"/>
    <x v="15"/>
    <x v="1"/>
    <n v="509650000"/>
  </r>
  <r>
    <d v="2025-06-09T00:00:00"/>
    <x v="1"/>
    <x v="5"/>
    <x v="23"/>
    <x v="8"/>
    <x v="14"/>
    <x v="13"/>
    <x v="1"/>
    <n v="1566050000"/>
  </r>
  <r>
    <d v="2025-06-09T00:00:00"/>
    <x v="1"/>
    <x v="5"/>
    <x v="23"/>
    <x v="8"/>
    <x v="19"/>
    <x v="12"/>
    <x v="4"/>
    <n v="630085297"/>
  </r>
  <r>
    <d v="2025-06-09T00:00:00"/>
    <x v="1"/>
    <x v="5"/>
    <x v="23"/>
    <x v="8"/>
    <x v="5"/>
    <x v="5"/>
    <x v="3"/>
    <n v="4359147700"/>
  </r>
  <r>
    <d v="2025-06-09T00:00:00"/>
    <x v="1"/>
    <x v="5"/>
    <x v="23"/>
    <x v="8"/>
    <x v="12"/>
    <x v="11"/>
    <x v="1"/>
    <n v="9195550000"/>
  </r>
  <r>
    <d v="2025-06-09T00:00:00"/>
    <x v="1"/>
    <x v="5"/>
    <x v="23"/>
    <x v="8"/>
    <x v="2"/>
    <x v="2"/>
    <x v="1"/>
    <n v="10391060000"/>
  </r>
  <r>
    <d v="2025-06-09T00:00:00"/>
    <x v="1"/>
    <x v="5"/>
    <x v="23"/>
    <x v="8"/>
    <x v="7"/>
    <x v="7"/>
    <x v="4"/>
    <n v="438492477"/>
  </r>
  <r>
    <d v="2025-06-10T00:00:00"/>
    <x v="1"/>
    <x v="5"/>
    <x v="23"/>
    <x v="9"/>
    <x v="23"/>
    <x v="17"/>
    <x v="4"/>
    <n v="5390000"/>
  </r>
  <r>
    <d v="2025-06-10T00:00:00"/>
    <x v="1"/>
    <x v="5"/>
    <x v="23"/>
    <x v="9"/>
    <x v="2"/>
    <x v="2"/>
    <x v="1"/>
    <n v="11845000000"/>
  </r>
  <r>
    <d v="2025-06-10T00:00:00"/>
    <x v="1"/>
    <x v="5"/>
    <x v="23"/>
    <x v="9"/>
    <x v="17"/>
    <x v="9"/>
    <x v="1"/>
    <n v="0"/>
  </r>
  <r>
    <d v="2025-06-10T00:00:00"/>
    <x v="1"/>
    <x v="5"/>
    <x v="23"/>
    <x v="9"/>
    <x v="7"/>
    <x v="7"/>
    <x v="4"/>
    <n v="501697103"/>
  </r>
  <r>
    <d v="2025-06-10T00:00:00"/>
    <x v="1"/>
    <x v="5"/>
    <x v="23"/>
    <x v="9"/>
    <x v="12"/>
    <x v="11"/>
    <x v="1"/>
    <n v="9359090000"/>
  </r>
  <r>
    <d v="2025-06-10T00:00:00"/>
    <x v="1"/>
    <x v="5"/>
    <x v="23"/>
    <x v="9"/>
    <x v="0"/>
    <x v="0"/>
    <x v="0"/>
    <n v="7186752000"/>
  </r>
  <r>
    <d v="2025-06-10T00:00:00"/>
    <x v="1"/>
    <x v="5"/>
    <x v="23"/>
    <x v="9"/>
    <x v="18"/>
    <x v="15"/>
    <x v="1"/>
    <n v="575910000"/>
  </r>
  <r>
    <d v="2025-06-10T00:00:00"/>
    <x v="1"/>
    <x v="5"/>
    <x v="23"/>
    <x v="9"/>
    <x v="25"/>
    <x v="2"/>
    <x v="1"/>
    <n v="0"/>
  </r>
  <r>
    <d v="2025-06-10T00:00:00"/>
    <x v="1"/>
    <x v="5"/>
    <x v="23"/>
    <x v="9"/>
    <x v="22"/>
    <x v="16"/>
    <x v="1"/>
    <n v="29400000"/>
  </r>
  <r>
    <d v="2025-06-10T00:00:00"/>
    <x v="1"/>
    <x v="5"/>
    <x v="23"/>
    <x v="9"/>
    <x v="15"/>
    <x v="14"/>
    <x v="4"/>
    <n v="33154760"/>
  </r>
  <r>
    <d v="2025-06-10T00:00:00"/>
    <x v="1"/>
    <x v="5"/>
    <x v="23"/>
    <x v="9"/>
    <x v="1"/>
    <x v="1"/>
    <x v="1"/>
    <n v="0"/>
  </r>
  <r>
    <d v="2025-06-10T00:00:00"/>
    <x v="1"/>
    <x v="5"/>
    <x v="23"/>
    <x v="9"/>
    <x v="20"/>
    <x v="9"/>
    <x v="1"/>
    <n v="0"/>
  </r>
  <r>
    <d v="2025-06-10T00:00:00"/>
    <x v="1"/>
    <x v="5"/>
    <x v="23"/>
    <x v="9"/>
    <x v="6"/>
    <x v="6"/>
    <x v="0"/>
    <n v="0"/>
  </r>
  <r>
    <d v="2025-06-10T00:00:00"/>
    <x v="1"/>
    <x v="5"/>
    <x v="23"/>
    <x v="9"/>
    <x v="3"/>
    <x v="3"/>
    <x v="1"/>
    <n v="0"/>
  </r>
  <r>
    <d v="2025-06-10T00:00:00"/>
    <x v="1"/>
    <x v="5"/>
    <x v="23"/>
    <x v="9"/>
    <x v="24"/>
    <x v="18"/>
    <x v="1"/>
    <n v="2017490000"/>
  </r>
  <r>
    <d v="2025-06-10T00:00:00"/>
    <x v="1"/>
    <x v="5"/>
    <x v="23"/>
    <x v="9"/>
    <x v="14"/>
    <x v="13"/>
    <x v="1"/>
    <n v="1462780000"/>
  </r>
  <r>
    <d v="2025-06-10T00:00:00"/>
    <x v="1"/>
    <x v="5"/>
    <x v="23"/>
    <x v="9"/>
    <x v="11"/>
    <x v="10"/>
    <x v="4"/>
    <n v="326220213"/>
  </r>
  <r>
    <d v="2025-06-10T00:00:00"/>
    <x v="1"/>
    <x v="5"/>
    <x v="23"/>
    <x v="9"/>
    <x v="19"/>
    <x v="12"/>
    <x v="4"/>
    <n v="597038254"/>
  </r>
  <r>
    <d v="2025-06-10T00:00:00"/>
    <x v="1"/>
    <x v="5"/>
    <x v="23"/>
    <x v="9"/>
    <x v="5"/>
    <x v="5"/>
    <x v="3"/>
    <n v="4471064340"/>
  </r>
  <r>
    <d v="2025-06-11T00:00:00"/>
    <x v="1"/>
    <x v="5"/>
    <x v="23"/>
    <x v="10"/>
    <x v="24"/>
    <x v="18"/>
    <x v="1"/>
    <n v="1741590000"/>
  </r>
  <r>
    <d v="2025-06-11T00:00:00"/>
    <x v="1"/>
    <x v="5"/>
    <x v="23"/>
    <x v="10"/>
    <x v="22"/>
    <x v="16"/>
    <x v="1"/>
    <n v="0"/>
  </r>
  <r>
    <d v="2025-06-11T00:00:00"/>
    <x v="1"/>
    <x v="5"/>
    <x v="23"/>
    <x v="10"/>
    <x v="2"/>
    <x v="2"/>
    <x v="1"/>
    <n v="10332810000"/>
  </r>
  <r>
    <d v="2025-06-11T00:00:00"/>
    <x v="1"/>
    <x v="5"/>
    <x v="23"/>
    <x v="10"/>
    <x v="25"/>
    <x v="2"/>
    <x v="1"/>
    <n v="0"/>
  </r>
  <r>
    <d v="2025-06-11T00:00:00"/>
    <x v="1"/>
    <x v="5"/>
    <x v="23"/>
    <x v="10"/>
    <x v="5"/>
    <x v="5"/>
    <x v="3"/>
    <n v="3560520794"/>
  </r>
  <r>
    <d v="2025-06-11T00:00:00"/>
    <x v="1"/>
    <x v="5"/>
    <x v="23"/>
    <x v="10"/>
    <x v="17"/>
    <x v="9"/>
    <x v="1"/>
    <n v="0"/>
  </r>
  <r>
    <d v="2025-06-11T00:00:00"/>
    <x v="1"/>
    <x v="5"/>
    <x v="23"/>
    <x v="10"/>
    <x v="15"/>
    <x v="14"/>
    <x v="4"/>
    <n v="7516741"/>
  </r>
  <r>
    <d v="2025-06-11T00:00:00"/>
    <x v="1"/>
    <x v="5"/>
    <x v="23"/>
    <x v="10"/>
    <x v="20"/>
    <x v="9"/>
    <x v="1"/>
    <n v="0"/>
  </r>
  <r>
    <d v="2025-06-11T00:00:00"/>
    <x v="1"/>
    <x v="5"/>
    <x v="23"/>
    <x v="10"/>
    <x v="6"/>
    <x v="6"/>
    <x v="0"/>
    <n v="0"/>
  </r>
  <r>
    <d v="2025-06-11T00:00:00"/>
    <x v="1"/>
    <x v="5"/>
    <x v="23"/>
    <x v="10"/>
    <x v="3"/>
    <x v="3"/>
    <x v="1"/>
    <n v="0"/>
  </r>
  <r>
    <d v="2025-06-11T00:00:00"/>
    <x v="1"/>
    <x v="5"/>
    <x v="23"/>
    <x v="10"/>
    <x v="23"/>
    <x v="17"/>
    <x v="4"/>
    <n v="630000"/>
  </r>
  <r>
    <d v="2025-06-11T00:00:00"/>
    <x v="1"/>
    <x v="5"/>
    <x v="23"/>
    <x v="10"/>
    <x v="1"/>
    <x v="1"/>
    <x v="1"/>
    <n v="0"/>
  </r>
  <r>
    <d v="2025-06-11T00:00:00"/>
    <x v="1"/>
    <x v="5"/>
    <x v="23"/>
    <x v="10"/>
    <x v="19"/>
    <x v="12"/>
    <x v="4"/>
    <n v="528456913"/>
  </r>
  <r>
    <d v="2025-06-11T00:00:00"/>
    <x v="1"/>
    <x v="5"/>
    <x v="23"/>
    <x v="10"/>
    <x v="18"/>
    <x v="15"/>
    <x v="1"/>
    <n v="507220000"/>
  </r>
  <r>
    <d v="2025-06-11T00:00:00"/>
    <x v="1"/>
    <x v="5"/>
    <x v="23"/>
    <x v="10"/>
    <x v="14"/>
    <x v="13"/>
    <x v="1"/>
    <n v="1267830000"/>
  </r>
  <r>
    <d v="2025-06-11T00:00:00"/>
    <x v="1"/>
    <x v="5"/>
    <x v="23"/>
    <x v="10"/>
    <x v="11"/>
    <x v="10"/>
    <x v="4"/>
    <n v="245249966"/>
  </r>
  <r>
    <d v="2025-06-11T00:00:00"/>
    <x v="1"/>
    <x v="5"/>
    <x v="23"/>
    <x v="10"/>
    <x v="7"/>
    <x v="7"/>
    <x v="4"/>
    <n v="419514377"/>
  </r>
  <r>
    <d v="2025-06-11T00:00:00"/>
    <x v="1"/>
    <x v="5"/>
    <x v="23"/>
    <x v="10"/>
    <x v="12"/>
    <x v="11"/>
    <x v="1"/>
    <n v="7655770000"/>
  </r>
  <r>
    <d v="2025-06-11T00:00:00"/>
    <x v="1"/>
    <x v="5"/>
    <x v="23"/>
    <x v="10"/>
    <x v="0"/>
    <x v="0"/>
    <x v="0"/>
    <n v="6133212000"/>
  </r>
  <r>
    <d v="2025-06-12T00:00:00"/>
    <x v="1"/>
    <x v="5"/>
    <x v="23"/>
    <x v="11"/>
    <x v="25"/>
    <x v="2"/>
    <x v="1"/>
    <n v="0"/>
  </r>
  <r>
    <d v="2025-06-12T00:00:00"/>
    <x v="1"/>
    <x v="5"/>
    <x v="23"/>
    <x v="11"/>
    <x v="22"/>
    <x v="16"/>
    <x v="1"/>
    <n v="55200000"/>
  </r>
  <r>
    <d v="2025-06-12T00:00:00"/>
    <x v="1"/>
    <x v="5"/>
    <x v="23"/>
    <x v="11"/>
    <x v="17"/>
    <x v="9"/>
    <x v="1"/>
    <n v="0"/>
  </r>
  <r>
    <d v="2025-06-12T00:00:00"/>
    <x v="1"/>
    <x v="5"/>
    <x v="23"/>
    <x v="11"/>
    <x v="20"/>
    <x v="9"/>
    <x v="1"/>
    <n v="0"/>
  </r>
  <r>
    <d v="2025-06-12T00:00:00"/>
    <x v="1"/>
    <x v="5"/>
    <x v="23"/>
    <x v="11"/>
    <x v="3"/>
    <x v="3"/>
    <x v="1"/>
    <n v="10500000"/>
  </r>
  <r>
    <d v="2025-06-12T00:00:00"/>
    <x v="1"/>
    <x v="5"/>
    <x v="23"/>
    <x v="11"/>
    <x v="24"/>
    <x v="18"/>
    <x v="1"/>
    <n v="1373540000"/>
  </r>
  <r>
    <d v="2025-06-12T00:00:00"/>
    <x v="1"/>
    <x v="5"/>
    <x v="23"/>
    <x v="11"/>
    <x v="18"/>
    <x v="15"/>
    <x v="1"/>
    <n v="607690000"/>
  </r>
  <r>
    <d v="2025-06-12T00:00:00"/>
    <x v="1"/>
    <x v="5"/>
    <x v="23"/>
    <x v="11"/>
    <x v="1"/>
    <x v="1"/>
    <x v="1"/>
    <n v="0"/>
  </r>
  <r>
    <d v="2025-06-12T00:00:00"/>
    <x v="1"/>
    <x v="5"/>
    <x v="23"/>
    <x v="11"/>
    <x v="14"/>
    <x v="13"/>
    <x v="1"/>
    <n v="1072050000"/>
  </r>
  <r>
    <d v="2025-06-12T00:00:00"/>
    <x v="1"/>
    <x v="5"/>
    <x v="23"/>
    <x v="11"/>
    <x v="11"/>
    <x v="10"/>
    <x v="4"/>
    <n v="232225370"/>
  </r>
  <r>
    <d v="2025-06-12T00:00:00"/>
    <x v="1"/>
    <x v="5"/>
    <x v="23"/>
    <x v="11"/>
    <x v="19"/>
    <x v="12"/>
    <x v="4"/>
    <n v="451427556"/>
  </r>
  <r>
    <d v="2025-06-12T00:00:00"/>
    <x v="1"/>
    <x v="5"/>
    <x v="23"/>
    <x v="11"/>
    <x v="7"/>
    <x v="7"/>
    <x v="4"/>
    <n v="483297578"/>
  </r>
  <r>
    <d v="2025-06-12T00:00:00"/>
    <x v="1"/>
    <x v="5"/>
    <x v="23"/>
    <x v="11"/>
    <x v="12"/>
    <x v="11"/>
    <x v="1"/>
    <n v="9083520000"/>
  </r>
  <r>
    <d v="2025-06-12T00:00:00"/>
    <x v="1"/>
    <x v="5"/>
    <x v="23"/>
    <x v="11"/>
    <x v="0"/>
    <x v="0"/>
    <x v="0"/>
    <n v="5834916000"/>
  </r>
  <r>
    <d v="2025-06-12T00:00:00"/>
    <x v="1"/>
    <x v="5"/>
    <x v="23"/>
    <x v="11"/>
    <x v="2"/>
    <x v="2"/>
    <x v="1"/>
    <n v="10075570000"/>
  </r>
  <r>
    <d v="2025-06-12T00:00:00"/>
    <x v="1"/>
    <x v="5"/>
    <x v="23"/>
    <x v="11"/>
    <x v="15"/>
    <x v="14"/>
    <x v="4"/>
    <n v="22141657"/>
  </r>
  <r>
    <d v="2025-06-12T00:00:00"/>
    <x v="1"/>
    <x v="5"/>
    <x v="23"/>
    <x v="11"/>
    <x v="5"/>
    <x v="5"/>
    <x v="3"/>
    <n v="3407039660"/>
  </r>
  <r>
    <d v="2025-06-12T00:00:00"/>
    <x v="1"/>
    <x v="5"/>
    <x v="23"/>
    <x v="11"/>
    <x v="23"/>
    <x v="17"/>
    <x v="4"/>
    <n v="2352000"/>
  </r>
  <r>
    <d v="2025-06-12T00:00:00"/>
    <x v="1"/>
    <x v="5"/>
    <x v="23"/>
    <x v="11"/>
    <x v="6"/>
    <x v="6"/>
    <x v="0"/>
    <n v="13000000"/>
  </r>
  <r>
    <d v="2025-06-13T00:00:00"/>
    <x v="1"/>
    <x v="5"/>
    <x v="23"/>
    <x v="12"/>
    <x v="6"/>
    <x v="6"/>
    <x v="0"/>
    <n v="51000000"/>
  </r>
  <r>
    <d v="2025-06-13T00:00:00"/>
    <x v="1"/>
    <x v="5"/>
    <x v="23"/>
    <x v="12"/>
    <x v="12"/>
    <x v="11"/>
    <x v="1"/>
    <n v="9867440000"/>
  </r>
  <r>
    <d v="2025-06-13T00:00:00"/>
    <x v="1"/>
    <x v="5"/>
    <x v="23"/>
    <x v="12"/>
    <x v="23"/>
    <x v="17"/>
    <x v="4"/>
    <n v="1432000"/>
  </r>
  <r>
    <d v="2025-06-13T00:00:00"/>
    <x v="1"/>
    <x v="5"/>
    <x v="23"/>
    <x v="12"/>
    <x v="0"/>
    <x v="0"/>
    <x v="0"/>
    <n v="6144336000"/>
  </r>
  <r>
    <d v="2025-06-13T00:00:00"/>
    <x v="1"/>
    <x v="5"/>
    <x v="23"/>
    <x v="12"/>
    <x v="2"/>
    <x v="2"/>
    <x v="1"/>
    <n v="9311220000"/>
  </r>
  <r>
    <d v="2025-06-13T00:00:00"/>
    <x v="1"/>
    <x v="5"/>
    <x v="23"/>
    <x v="12"/>
    <x v="5"/>
    <x v="5"/>
    <x v="3"/>
    <n v="3591531184"/>
  </r>
  <r>
    <d v="2025-06-13T00:00:00"/>
    <x v="1"/>
    <x v="5"/>
    <x v="23"/>
    <x v="12"/>
    <x v="7"/>
    <x v="7"/>
    <x v="4"/>
    <n v="371344668"/>
  </r>
  <r>
    <d v="2025-06-13T00:00:00"/>
    <x v="1"/>
    <x v="5"/>
    <x v="23"/>
    <x v="12"/>
    <x v="25"/>
    <x v="2"/>
    <x v="1"/>
    <n v="21050000"/>
  </r>
  <r>
    <d v="2025-06-13T00:00:00"/>
    <x v="1"/>
    <x v="5"/>
    <x v="23"/>
    <x v="12"/>
    <x v="22"/>
    <x v="16"/>
    <x v="1"/>
    <n v="12600000"/>
  </r>
  <r>
    <d v="2025-06-13T00:00:00"/>
    <x v="1"/>
    <x v="5"/>
    <x v="23"/>
    <x v="12"/>
    <x v="15"/>
    <x v="14"/>
    <x v="4"/>
    <n v="20705883"/>
  </r>
  <r>
    <d v="2025-06-13T00:00:00"/>
    <x v="1"/>
    <x v="5"/>
    <x v="23"/>
    <x v="12"/>
    <x v="20"/>
    <x v="9"/>
    <x v="1"/>
    <n v="0"/>
  </r>
  <r>
    <d v="2025-06-13T00:00:00"/>
    <x v="1"/>
    <x v="5"/>
    <x v="23"/>
    <x v="12"/>
    <x v="17"/>
    <x v="9"/>
    <x v="1"/>
    <n v="0"/>
  </r>
  <r>
    <d v="2025-06-13T00:00:00"/>
    <x v="1"/>
    <x v="5"/>
    <x v="23"/>
    <x v="12"/>
    <x v="1"/>
    <x v="1"/>
    <x v="1"/>
    <n v="0"/>
  </r>
  <r>
    <d v="2025-06-13T00:00:00"/>
    <x v="1"/>
    <x v="5"/>
    <x v="23"/>
    <x v="12"/>
    <x v="3"/>
    <x v="3"/>
    <x v="1"/>
    <n v="0"/>
  </r>
  <r>
    <d v="2025-06-13T00:00:00"/>
    <x v="1"/>
    <x v="5"/>
    <x v="23"/>
    <x v="12"/>
    <x v="24"/>
    <x v="18"/>
    <x v="1"/>
    <n v="1471960000"/>
  </r>
  <r>
    <d v="2025-06-13T00:00:00"/>
    <x v="1"/>
    <x v="5"/>
    <x v="23"/>
    <x v="12"/>
    <x v="18"/>
    <x v="15"/>
    <x v="1"/>
    <n v="416530000"/>
  </r>
  <r>
    <d v="2025-06-13T00:00:00"/>
    <x v="1"/>
    <x v="5"/>
    <x v="23"/>
    <x v="12"/>
    <x v="14"/>
    <x v="13"/>
    <x v="1"/>
    <n v="1295850000"/>
  </r>
  <r>
    <d v="2025-06-13T00:00:00"/>
    <x v="1"/>
    <x v="5"/>
    <x v="23"/>
    <x v="12"/>
    <x v="11"/>
    <x v="10"/>
    <x v="4"/>
    <n v="223430809"/>
  </r>
  <r>
    <d v="2025-06-13T00:00:00"/>
    <x v="1"/>
    <x v="5"/>
    <x v="23"/>
    <x v="12"/>
    <x v="19"/>
    <x v="12"/>
    <x v="4"/>
    <n v="456654391"/>
  </r>
  <r>
    <d v="2025-06-14T00:00:00"/>
    <x v="1"/>
    <x v="5"/>
    <x v="23"/>
    <x v="13"/>
    <x v="15"/>
    <x v="14"/>
    <x v="4"/>
    <n v="14756340"/>
  </r>
  <r>
    <d v="2025-06-14T00:00:00"/>
    <x v="1"/>
    <x v="5"/>
    <x v="23"/>
    <x v="13"/>
    <x v="6"/>
    <x v="6"/>
    <x v="0"/>
    <n v="14000000"/>
  </r>
  <r>
    <d v="2025-06-14T00:00:00"/>
    <x v="1"/>
    <x v="5"/>
    <x v="23"/>
    <x v="13"/>
    <x v="3"/>
    <x v="3"/>
    <x v="1"/>
    <n v="0"/>
  </r>
  <r>
    <d v="2025-06-14T00:00:00"/>
    <x v="1"/>
    <x v="5"/>
    <x v="23"/>
    <x v="13"/>
    <x v="24"/>
    <x v="18"/>
    <x v="1"/>
    <n v="1475870000"/>
  </r>
  <r>
    <d v="2025-06-14T00:00:00"/>
    <x v="1"/>
    <x v="5"/>
    <x v="23"/>
    <x v="13"/>
    <x v="23"/>
    <x v="17"/>
    <x v="4"/>
    <n v="550000"/>
  </r>
  <r>
    <d v="2025-06-14T00:00:00"/>
    <x v="1"/>
    <x v="5"/>
    <x v="23"/>
    <x v="13"/>
    <x v="22"/>
    <x v="16"/>
    <x v="1"/>
    <n v="0"/>
  </r>
  <r>
    <d v="2025-06-14T00:00:00"/>
    <x v="1"/>
    <x v="5"/>
    <x v="23"/>
    <x v="13"/>
    <x v="20"/>
    <x v="9"/>
    <x v="1"/>
    <n v="0"/>
  </r>
  <r>
    <d v="2025-06-14T00:00:00"/>
    <x v="1"/>
    <x v="5"/>
    <x v="23"/>
    <x v="13"/>
    <x v="17"/>
    <x v="9"/>
    <x v="1"/>
    <n v="0"/>
  </r>
  <r>
    <d v="2025-06-14T00:00:00"/>
    <x v="1"/>
    <x v="5"/>
    <x v="23"/>
    <x v="13"/>
    <x v="1"/>
    <x v="1"/>
    <x v="1"/>
    <n v="21000000"/>
  </r>
  <r>
    <d v="2025-06-14T00:00:00"/>
    <x v="1"/>
    <x v="5"/>
    <x v="23"/>
    <x v="13"/>
    <x v="25"/>
    <x v="2"/>
    <x v="1"/>
    <n v="0"/>
  </r>
  <r>
    <d v="2025-06-14T00:00:00"/>
    <x v="1"/>
    <x v="5"/>
    <x v="23"/>
    <x v="13"/>
    <x v="18"/>
    <x v="15"/>
    <x v="1"/>
    <n v="533390000"/>
  </r>
  <r>
    <d v="2025-06-14T00:00:00"/>
    <x v="1"/>
    <x v="5"/>
    <x v="23"/>
    <x v="13"/>
    <x v="14"/>
    <x v="13"/>
    <x v="1"/>
    <n v="1474440000"/>
  </r>
  <r>
    <d v="2025-06-14T00:00:00"/>
    <x v="1"/>
    <x v="5"/>
    <x v="23"/>
    <x v="13"/>
    <x v="11"/>
    <x v="10"/>
    <x v="4"/>
    <n v="231030187"/>
  </r>
  <r>
    <d v="2025-06-14T00:00:00"/>
    <x v="1"/>
    <x v="5"/>
    <x v="23"/>
    <x v="13"/>
    <x v="19"/>
    <x v="12"/>
    <x v="4"/>
    <n v="331833930"/>
  </r>
  <r>
    <d v="2025-06-14T00:00:00"/>
    <x v="1"/>
    <x v="5"/>
    <x v="23"/>
    <x v="13"/>
    <x v="7"/>
    <x v="7"/>
    <x v="4"/>
    <n v="363429023"/>
  </r>
  <r>
    <d v="2025-06-14T00:00:00"/>
    <x v="1"/>
    <x v="5"/>
    <x v="23"/>
    <x v="13"/>
    <x v="0"/>
    <x v="0"/>
    <x v="0"/>
    <n v="5773032000"/>
  </r>
  <r>
    <d v="2025-06-14T00:00:00"/>
    <x v="1"/>
    <x v="5"/>
    <x v="23"/>
    <x v="13"/>
    <x v="2"/>
    <x v="2"/>
    <x v="1"/>
    <n v="8658770000"/>
  </r>
  <r>
    <d v="2025-06-14T00:00:00"/>
    <x v="1"/>
    <x v="5"/>
    <x v="23"/>
    <x v="13"/>
    <x v="5"/>
    <x v="5"/>
    <x v="3"/>
    <n v="3129557818"/>
  </r>
  <r>
    <d v="2025-06-14T00:00:00"/>
    <x v="1"/>
    <x v="5"/>
    <x v="23"/>
    <x v="13"/>
    <x v="12"/>
    <x v="11"/>
    <x v="1"/>
    <n v="7941780000"/>
  </r>
  <r>
    <d v="2025-06-15T00:00:00"/>
    <x v="1"/>
    <x v="5"/>
    <x v="23"/>
    <x v="14"/>
    <x v="3"/>
    <x v="3"/>
    <x v="1"/>
    <n v="10500000"/>
  </r>
  <r>
    <d v="2025-06-15T00:00:00"/>
    <x v="1"/>
    <x v="5"/>
    <x v="23"/>
    <x v="14"/>
    <x v="22"/>
    <x v="16"/>
    <x v="1"/>
    <n v="0"/>
  </r>
  <r>
    <d v="2025-06-15T00:00:00"/>
    <x v="1"/>
    <x v="5"/>
    <x v="23"/>
    <x v="14"/>
    <x v="14"/>
    <x v="13"/>
    <x v="1"/>
    <n v="1555930000"/>
  </r>
  <r>
    <d v="2025-06-15T00:00:00"/>
    <x v="1"/>
    <x v="5"/>
    <x v="23"/>
    <x v="14"/>
    <x v="20"/>
    <x v="9"/>
    <x v="1"/>
    <n v="0"/>
  </r>
  <r>
    <d v="2025-06-15T00:00:00"/>
    <x v="1"/>
    <x v="5"/>
    <x v="23"/>
    <x v="14"/>
    <x v="24"/>
    <x v="18"/>
    <x v="1"/>
    <n v="1466760000"/>
  </r>
  <r>
    <d v="2025-06-15T00:00:00"/>
    <x v="1"/>
    <x v="5"/>
    <x v="23"/>
    <x v="14"/>
    <x v="18"/>
    <x v="15"/>
    <x v="1"/>
    <n v="516520000"/>
  </r>
  <r>
    <d v="2025-06-15T00:00:00"/>
    <x v="1"/>
    <x v="5"/>
    <x v="23"/>
    <x v="14"/>
    <x v="17"/>
    <x v="9"/>
    <x v="1"/>
    <n v="0"/>
  </r>
  <r>
    <d v="2025-06-15T00:00:00"/>
    <x v="1"/>
    <x v="5"/>
    <x v="23"/>
    <x v="14"/>
    <x v="11"/>
    <x v="10"/>
    <x v="4"/>
    <n v="209999907"/>
  </r>
  <r>
    <d v="2025-06-15T00:00:00"/>
    <x v="1"/>
    <x v="5"/>
    <x v="23"/>
    <x v="14"/>
    <x v="19"/>
    <x v="12"/>
    <x v="4"/>
    <n v="362860236"/>
  </r>
  <r>
    <d v="2025-06-15T00:00:00"/>
    <x v="1"/>
    <x v="5"/>
    <x v="23"/>
    <x v="14"/>
    <x v="7"/>
    <x v="7"/>
    <x v="4"/>
    <n v="377915311"/>
  </r>
  <r>
    <d v="2025-06-15T00:00:00"/>
    <x v="1"/>
    <x v="5"/>
    <x v="23"/>
    <x v="14"/>
    <x v="12"/>
    <x v="11"/>
    <x v="1"/>
    <n v="7824960000"/>
  </r>
  <r>
    <d v="2025-06-15T00:00:00"/>
    <x v="1"/>
    <x v="5"/>
    <x v="23"/>
    <x v="14"/>
    <x v="23"/>
    <x v="17"/>
    <x v="4"/>
    <n v="0"/>
  </r>
  <r>
    <d v="2025-06-15T00:00:00"/>
    <x v="1"/>
    <x v="5"/>
    <x v="23"/>
    <x v="14"/>
    <x v="0"/>
    <x v="0"/>
    <x v="0"/>
    <n v="5881140000"/>
  </r>
  <r>
    <d v="2025-06-15T00:00:00"/>
    <x v="1"/>
    <x v="5"/>
    <x v="23"/>
    <x v="14"/>
    <x v="2"/>
    <x v="2"/>
    <x v="1"/>
    <n v="8904430000"/>
  </r>
  <r>
    <d v="2025-06-15T00:00:00"/>
    <x v="1"/>
    <x v="5"/>
    <x v="23"/>
    <x v="14"/>
    <x v="5"/>
    <x v="5"/>
    <x v="3"/>
    <n v="3173074623"/>
  </r>
  <r>
    <d v="2025-06-15T00:00:00"/>
    <x v="1"/>
    <x v="5"/>
    <x v="23"/>
    <x v="14"/>
    <x v="1"/>
    <x v="1"/>
    <x v="1"/>
    <n v="0"/>
  </r>
  <r>
    <d v="2025-06-15T00:00:00"/>
    <x v="1"/>
    <x v="5"/>
    <x v="23"/>
    <x v="14"/>
    <x v="6"/>
    <x v="6"/>
    <x v="0"/>
    <n v="39000000"/>
  </r>
  <r>
    <d v="2025-06-15T00:00:00"/>
    <x v="1"/>
    <x v="5"/>
    <x v="23"/>
    <x v="14"/>
    <x v="15"/>
    <x v="14"/>
    <x v="4"/>
    <n v="28485059"/>
  </r>
  <r>
    <d v="2025-06-15T00:00:00"/>
    <x v="1"/>
    <x v="5"/>
    <x v="23"/>
    <x v="14"/>
    <x v="25"/>
    <x v="2"/>
    <x v="1"/>
    <n v="0"/>
  </r>
  <r>
    <d v="2025-06-16T00:00:00"/>
    <x v="1"/>
    <x v="5"/>
    <x v="24"/>
    <x v="15"/>
    <x v="25"/>
    <x v="2"/>
    <x v="1"/>
    <n v="0"/>
  </r>
  <r>
    <d v="2025-06-16T00:00:00"/>
    <x v="1"/>
    <x v="5"/>
    <x v="24"/>
    <x v="15"/>
    <x v="6"/>
    <x v="6"/>
    <x v="0"/>
    <n v="11000000"/>
  </r>
  <r>
    <d v="2025-06-16T00:00:00"/>
    <x v="1"/>
    <x v="5"/>
    <x v="24"/>
    <x v="15"/>
    <x v="17"/>
    <x v="9"/>
    <x v="1"/>
    <n v="0"/>
  </r>
  <r>
    <d v="2025-06-16T00:00:00"/>
    <x v="1"/>
    <x v="5"/>
    <x v="24"/>
    <x v="15"/>
    <x v="20"/>
    <x v="9"/>
    <x v="1"/>
    <n v="0"/>
  </r>
  <r>
    <d v="2025-06-16T00:00:00"/>
    <x v="1"/>
    <x v="5"/>
    <x v="24"/>
    <x v="15"/>
    <x v="22"/>
    <x v="16"/>
    <x v="1"/>
    <n v="30000000"/>
  </r>
  <r>
    <d v="2025-06-16T00:00:00"/>
    <x v="1"/>
    <x v="5"/>
    <x v="24"/>
    <x v="15"/>
    <x v="19"/>
    <x v="12"/>
    <x v="4"/>
    <n v="379722415"/>
  </r>
  <r>
    <d v="2025-06-16T00:00:00"/>
    <x v="1"/>
    <x v="5"/>
    <x v="24"/>
    <x v="15"/>
    <x v="14"/>
    <x v="13"/>
    <x v="1"/>
    <n v="1507150000"/>
  </r>
  <r>
    <d v="2025-06-16T00:00:00"/>
    <x v="1"/>
    <x v="5"/>
    <x v="24"/>
    <x v="15"/>
    <x v="3"/>
    <x v="3"/>
    <x v="1"/>
    <n v="0"/>
  </r>
  <r>
    <d v="2025-06-16T00:00:00"/>
    <x v="1"/>
    <x v="5"/>
    <x v="24"/>
    <x v="15"/>
    <x v="18"/>
    <x v="15"/>
    <x v="1"/>
    <n v="459070000"/>
  </r>
  <r>
    <d v="2025-06-16T00:00:00"/>
    <x v="1"/>
    <x v="5"/>
    <x v="24"/>
    <x v="15"/>
    <x v="0"/>
    <x v="0"/>
    <x v="0"/>
    <n v="5694192000"/>
  </r>
  <r>
    <d v="2025-06-16T00:00:00"/>
    <x v="1"/>
    <x v="5"/>
    <x v="24"/>
    <x v="15"/>
    <x v="12"/>
    <x v="11"/>
    <x v="1"/>
    <n v="8118980000"/>
  </r>
  <r>
    <d v="2025-06-16T00:00:00"/>
    <x v="1"/>
    <x v="5"/>
    <x v="24"/>
    <x v="15"/>
    <x v="1"/>
    <x v="1"/>
    <x v="1"/>
    <n v="0"/>
  </r>
  <r>
    <d v="2025-06-16T00:00:00"/>
    <x v="1"/>
    <x v="5"/>
    <x v="24"/>
    <x v="15"/>
    <x v="2"/>
    <x v="2"/>
    <x v="1"/>
    <n v="9220010000"/>
  </r>
  <r>
    <d v="2025-06-16T00:00:00"/>
    <x v="1"/>
    <x v="5"/>
    <x v="24"/>
    <x v="15"/>
    <x v="24"/>
    <x v="18"/>
    <x v="1"/>
    <n v="1415420000"/>
  </r>
  <r>
    <d v="2025-06-16T00:00:00"/>
    <x v="1"/>
    <x v="5"/>
    <x v="24"/>
    <x v="15"/>
    <x v="7"/>
    <x v="7"/>
    <x v="4"/>
    <n v="451388993"/>
  </r>
  <r>
    <d v="2025-06-16T00:00:00"/>
    <x v="1"/>
    <x v="5"/>
    <x v="24"/>
    <x v="15"/>
    <x v="11"/>
    <x v="10"/>
    <x v="4"/>
    <n v="226152076"/>
  </r>
  <r>
    <d v="2025-06-16T00:00:00"/>
    <x v="1"/>
    <x v="5"/>
    <x v="24"/>
    <x v="15"/>
    <x v="5"/>
    <x v="5"/>
    <x v="3"/>
    <n v="3860964742"/>
  </r>
  <r>
    <d v="2025-06-16T00:00:00"/>
    <x v="1"/>
    <x v="5"/>
    <x v="24"/>
    <x v="15"/>
    <x v="23"/>
    <x v="17"/>
    <x v="4"/>
    <n v="0"/>
  </r>
  <r>
    <d v="2025-06-16T00:00:00"/>
    <x v="1"/>
    <x v="5"/>
    <x v="24"/>
    <x v="15"/>
    <x v="15"/>
    <x v="14"/>
    <x v="4"/>
    <n v="9679056"/>
  </r>
  <r>
    <d v="2025-06-17T00:00:00"/>
    <x v="1"/>
    <x v="5"/>
    <x v="24"/>
    <x v="16"/>
    <x v="2"/>
    <x v="2"/>
    <x v="1"/>
    <n v="9116110000"/>
  </r>
  <r>
    <d v="2025-06-17T00:00:00"/>
    <x v="1"/>
    <x v="5"/>
    <x v="24"/>
    <x v="16"/>
    <x v="15"/>
    <x v="14"/>
    <x v="4"/>
    <n v="26293478"/>
  </r>
  <r>
    <d v="2025-06-17T00:00:00"/>
    <x v="1"/>
    <x v="5"/>
    <x v="24"/>
    <x v="16"/>
    <x v="22"/>
    <x v="16"/>
    <x v="1"/>
    <n v="75100000"/>
  </r>
  <r>
    <d v="2025-06-17T00:00:00"/>
    <x v="1"/>
    <x v="5"/>
    <x v="24"/>
    <x v="16"/>
    <x v="25"/>
    <x v="2"/>
    <x v="1"/>
    <n v="0"/>
  </r>
  <r>
    <d v="2025-06-17T00:00:00"/>
    <x v="1"/>
    <x v="5"/>
    <x v="24"/>
    <x v="16"/>
    <x v="12"/>
    <x v="11"/>
    <x v="1"/>
    <n v="8302350000"/>
  </r>
  <r>
    <d v="2025-06-17T00:00:00"/>
    <x v="1"/>
    <x v="5"/>
    <x v="24"/>
    <x v="16"/>
    <x v="0"/>
    <x v="0"/>
    <x v="0"/>
    <n v="4160268000"/>
  </r>
  <r>
    <d v="2025-06-17T00:00:00"/>
    <x v="1"/>
    <x v="5"/>
    <x v="24"/>
    <x v="16"/>
    <x v="20"/>
    <x v="9"/>
    <x v="1"/>
    <n v="0"/>
  </r>
  <r>
    <d v="2025-06-17T00:00:00"/>
    <x v="1"/>
    <x v="5"/>
    <x v="24"/>
    <x v="16"/>
    <x v="17"/>
    <x v="9"/>
    <x v="1"/>
    <n v="0"/>
  </r>
  <r>
    <d v="2025-06-17T00:00:00"/>
    <x v="1"/>
    <x v="5"/>
    <x v="24"/>
    <x v="16"/>
    <x v="1"/>
    <x v="1"/>
    <x v="1"/>
    <n v="21000000"/>
  </r>
  <r>
    <d v="2025-06-17T00:00:00"/>
    <x v="1"/>
    <x v="5"/>
    <x v="24"/>
    <x v="16"/>
    <x v="6"/>
    <x v="6"/>
    <x v="0"/>
    <n v="15000000"/>
  </r>
  <r>
    <d v="2025-06-17T00:00:00"/>
    <x v="1"/>
    <x v="5"/>
    <x v="24"/>
    <x v="16"/>
    <x v="3"/>
    <x v="3"/>
    <x v="1"/>
    <n v="0"/>
  </r>
  <r>
    <d v="2025-06-17T00:00:00"/>
    <x v="1"/>
    <x v="5"/>
    <x v="24"/>
    <x v="16"/>
    <x v="24"/>
    <x v="18"/>
    <x v="1"/>
    <n v="1327620000"/>
  </r>
  <r>
    <d v="2025-06-17T00:00:00"/>
    <x v="1"/>
    <x v="5"/>
    <x v="24"/>
    <x v="16"/>
    <x v="18"/>
    <x v="15"/>
    <x v="1"/>
    <n v="571820000"/>
  </r>
  <r>
    <d v="2025-06-17T00:00:00"/>
    <x v="1"/>
    <x v="5"/>
    <x v="24"/>
    <x v="16"/>
    <x v="23"/>
    <x v="17"/>
    <x v="4"/>
    <n v="32621000"/>
  </r>
  <r>
    <d v="2025-06-17T00:00:00"/>
    <x v="1"/>
    <x v="5"/>
    <x v="24"/>
    <x v="16"/>
    <x v="14"/>
    <x v="13"/>
    <x v="1"/>
    <n v="1252360000"/>
  </r>
  <r>
    <d v="2025-06-17T00:00:00"/>
    <x v="1"/>
    <x v="5"/>
    <x v="24"/>
    <x v="16"/>
    <x v="11"/>
    <x v="10"/>
    <x v="4"/>
    <n v="183898463"/>
  </r>
  <r>
    <d v="2025-06-17T00:00:00"/>
    <x v="1"/>
    <x v="5"/>
    <x v="24"/>
    <x v="16"/>
    <x v="19"/>
    <x v="12"/>
    <x v="4"/>
    <n v="322444552"/>
  </r>
  <r>
    <d v="2025-06-17T00:00:00"/>
    <x v="1"/>
    <x v="5"/>
    <x v="24"/>
    <x v="16"/>
    <x v="5"/>
    <x v="5"/>
    <x v="3"/>
    <n v="3713866317"/>
  </r>
  <r>
    <d v="2025-06-17T00:00:00"/>
    <x v="1"/>
    <x v="5"/>
    <x v="24"/>
    <x v="16"/>
    <x v="7"/>
    <x v="7"/>
    <x v="4"/>
    <n v="341455003"/>
  </r>
  <r>
    <d v="2025-06-18T00:00:00"/>
    <x v="1"/>
    <x v="5"/>
    <x v="24"/>
    <x v="17"/>
    <x v="2"/>
    <x v="2"/>
    <x v="1"/>
    <n v="9596090000"/>
  </r>
  <r>
    <d v="2025-06-18T00:00:00"/>
    <x v="1"/>
    <x v="5"/>
    <x v="24"/>
    <x v="17"/>
    <x v="0"/>
    <x v="0"/>
    <x v="0"/>
    <n v="5852412000"/>
  </r>
  <r>
    <d v="2025-06-18T00:00:00"/>
    <x v="1"/>
    <x v="5"/>
    <x v="24"/>
    <x v="17"/>
    <x v="6"/>
    <x v="6"/>
    <x v="0"/>
    <n v="17000000"/>
  </r>
  <r>
    <d v="2025-06-18T00:00:00"/>
    <x v="1"/>
    <x v="5"/>
    <x v="24"/>
    <x v="17"/>
    <x v="7"/>
    <x v="7"/>
    <x v="4"/>
    <n v="331064337"/>
  </r>
  <r>
    <d v="2025-06-18T00:00:00"/>
    <x v="1"/>
    <x v="5"/>
    <x v="24"/>
    <x v="17"/>
    <x v="12"/>
    <x v="11"/>
    <x v="1"/>
    <n v="8712570000"/>
  </r>
  <r>
    <d v="2025-06-18T00:00:00"/>
    <x v="1"/>
    <x v="5"/>
    <x v="24"/>
    <x v="17"/>
    <x v="22"/>
    <x v="16"/>
    <x v="1"/>
    <n v="23100000"/>
  </r>
  <r>
    <d v="2025-06-18T00:00:00"/>
    <x v="1"/>
    <x v="5"/>
    <x v="24"/>
    <x v="17"/>
    <x v="15"/>
    <x v="14"/>
    <x v="4"/>
    <n v="31541032"/>
  </r>
  <r>
    <d v="2025-06-18T00:00:00"/>
    <x v="1"/>
    <x v="5"/>
    <x v="24"/>
    <x v="17"/>
    <x v="20"/>
    <x v="9"/>
    <x v="1"/>
    <n v="0"/>
  </r>
  <r>
    <d v="2025-06-18T00:00:00"/>
    <x v="1"/>
    <x v="5"/>
    <x v="24"/>
    <x v="17"/>
    <x v="17"/>
    <x v="9"/>
    <x v="1"/>
    <n v="0"/>
  </r>
  <r>
    <d v="2025-06-18T00:00:00"/>
    <x v="1"/>
    <x v="5"/>
    <x v="24"/>
    <x v="17"/>
    <x v="1"/>
    <x v="1"/>
    <x v="1"/>
    <n v="0"/>
  </r>
  <r>
    <d v="2025-06-18T00:00:00"/>
    <x v="1"/>
    <x v="5"/>
    <x v="24"/>
    <x v="17"/>
    <x v="25"/>
    <x v="2"/>
    <x v="1"/>
    <n v="0"/>
  </r>
  <r>
    <d v="2025-06-18T00:00:00"/>
    <x v="1"/>
    <x v="5"/>
    <x v="24"/>
    <x v="17"/>
    <x v="3"/>
    <x v="3"/>
    <x v="1"/>
    <n v="0"/>
  </r>
  <r>
    <d v="2025-06-18T00:00:00"/>
    <x v="1"/>
    <x v="5"/>
    <x v="24"/>
    <x v="17"/>
    <x v="24"/>
    <x v="18"/>
    <x v="1"/>
    <n v="1334990000"/>
  </r>
  <r>
    <d v="2025-06-18T00:00:00"/>
    <x v="1"/>
    <x v="5"/>
    <x v="24"/>
    <x v="17"/>
    <x v="18"/>
    <x v="15"/>
    <x v="1"/>
    <n v="460610000"/>
  </r>
  <r>
    <d v="2025-06-18T00:00:00"/>
    <x v="1"/>
    <x v="5"/>
    <x v="24"/>
    <x v="17"/>
    <x v="23"/>
    <x v="17"/>
    <x v="4"/>
    <n v="56255000"/>
  </r>
  <r>
    <d v="2025-06-18T00:00:00"/>
    <x v="1"/>
    <x v="5"/>
    <x v="24"/>
    <x v="17"/>
    <x v="14"/>
    <x v="13"/>
    <x v="1"/>
    <n v="1311850000"/>
  </r>
  <r>
    <d v="2025-06-18T00:00:00"/>
    <x v="1"/>
    <x v="5"/>
    <x v="24"/>
    <x v="17"/>
    <x v="11"/>
    <x v="10"/>
    <x v="4"/>
    <n v="218889860"/>
  </r>
  <r>
    <d v="2025-06-18T00:00:00"/>
    <x v="1"/>
    <x v="5"/>
    <x v="24"/>
    <x v="17"/>
    <x v="19"/>
    <x v="12"/>
    <x v="4"/>
    <n v="277383118"/>
  </r>
  <r>
    <d v="2025-06-18T00:00:00"/>
    <x v="1"/>
    <x v="5"/>
    <x v="24"/>
    <x v="17"/>
    <x v="5"/>
    <x v="5"/>
    <x v="3"/>
    <n v="3453741499"/>
  </r>
  <r>
    <d v="2025-06-19T00:00:00"/>
    <x v="1"/>
    <x v="5"/>
    <x v="24"/>
    <x v="18"/>
    <x v="14"/>
    <x v="13"/>
    <x v="1"/>
    <n v="1209920000"/>
  </r>
  <r>
    <d v="2025-06-19T00:00:00"/>
    <x v="1"/>
    <x v="5"/>
    <x v="24"/>
    <x v="18"/>
    <x v="11"/>
    <x v="10"/>
    <x v="4"/>
    <n v="211141509"/>
  </r>
  <r>
    <d v="2025-06-19T00:00:00"/>
    <x v="1"/>
    <x v="5"/>
    <x v="24"/>
    <x v="18"/>
    <x v="19"/>
    <x v="12"/>
    <x v="4"/>
    <n v="274979379"/>
  </r>
  <r>
    <d v="2025-06-19T00:00:00"/>
    <x v="1"/>
    <x v="5"/>
    <x v="24"/>
    <x v="18"/>
    <x v="5"/>
    <x v="5"/>
    <x v="3"/>
    <n v="3477352126"/>
  </r>
  <r>
    <d v="2025-06-19T00:00:00"/>
    <x v="1"/>
    <x v="5"/>
    <x v="24"/>
    <x v="18"/>
    <x v="7"/>
    <x v="7"/>
    <x v="4"/>
    <n v="281647611"/>
  </r>
  <r>
    <d v="2025-06-19T00:00:00"/>
    <x v="1"/>
    <x v="5"/>
    <x v="24"/>
    <x v="18"/>
    <x v="12"/>
    <x v="11"/>
    <x v="1"/>
    <n v="9085150000"/>
  </r>
  <r>
    <d v="2025-06-19T00:00:00"/>
    <x v="1"/>
    <x v="5"/>
    <x v="24"/>
    <x v="18"/>
    <x v="0"/>
    <x v="0"/>
    <x v="0"/>
    <n v="4133160000"/>
  </r>
  <r>
    <d v="2025-06-19T00:00:00"/>
    <x v="1"/>
    <x v="5"/>
    <x v="24"/>
    <x v="18"/>
    <x v="2"/>
    <x v="2"/>
    <x v="1"/>
    <n v="7870140000"/>
  </r>
  <r>
    <d v="2025-06-19T00:00:00"/>
    <x v="1"/>
    <x v="5"/>
    <x v="24"/>
    <x v="18"/>
    <x v="3"/>
    <x v="3"/>
    <x v="1"/>
    <n v="0"/>
  </r>
  <r>
    <d v="2025-06-19T00:00:00"/>
    <x v="1"/>
    <x v="5"/>
    <x v="24"/>
    <x v="18"/>
    <x v="15"/>
    <x v="14"/>
    <x v="4"/>
    <n v="17330002"/>
  </r>
  <r>
    <d v="2025-06-19T00:00:00"/>
    <x v="1"/>
    <x v="5"/>
    <x v="24"/>
    <x v="18"/>
    <x v="24"/>
    <x v="18"/>
    <x v="1"/>
    <n v="1196550000"/>
  </r>
  <r>
    <d v="2025-06-19T00:00:00"/>
    <x v="1"/>
    <x v="5"/>
    <x v="24"/>
    <x v="18"/>
    <x v="25"/>
    <x v="2"/>
    <x v="1"/>
    <n v="0"/>
  </r>
  <r>
    <d v="2025-06-19T00:00:00"/>
    <x v="1"/>
    <x v="5"/>
    <x v="24"/>
    <x v="18"/>
    <x v="22"/>
    <x v="16"/>
    <x v="1"/>
    <n v="41500000"/>
  </r>
  <r>
    <d v="2025-06-19T00:00:00"/>
    <x v="1"/>
    <x v="5"/>
    <x v="24"/>
    <x v="18"/>
    <x v="18"/>
    <x v="15"/>
    <x v="1"/>
    <n v="491180000"/>
  </r>
  <r>
    <d v="2025-06-19T00:00:00"/>
    <x v="1"/>
    <x v="5"/>
    <x v="24"/>
    <x v="18"/>
    <x v="6"/>
    <x v="6"/>
    <x v="0"/>
    <n v="20000000"/>
  </r>
  <r>
    <d v="2025-06-19T00:00:00"/>
    <x v="1"/>
    <x v="5"/>
    <x v="24"/>
    <x v="18"/>
    <x v="20"/>
    <x v="9"/>
    <x v="1"/>
    <n v="0"/>
  </r>
  <r>
    <d v="2025-06-19T00:00:00"/>
    <x v="1"/>
    <x v="5"/>
    <x v="24"/>
    <x v="18"/>
    <x v="17"/>
    <x v="9"/>
    <x v="1"/>
    <n v="0"/>
  </r>
  <r>
    <d v="2025-06-19T00:00:00"/>
    <x v="1"/>
    <x v="5"/>
    <x v="24"/>
    <x v="18"/>
    <x v="1"/>
    <x v="1"/>
    <x v="1"/>
    <n v="0"/>
  </r>
  <r>
    <d v="2025-06-19T00:00:00"/>
    <x v="1"/>
    <x v="5"/>
    <x v="24"/>
    <x v="18"/>
    <x v="23"/>
    <x v="17"/>
    <x v="4"/>
    <n v="64225000"/>
  </r>
  <r>
    <d v="2025-06-20T00:00:00"/>
    <x v="1"/>
    <x v="5"/>
    <x v="24"/>
    <x v="19"/>
    <x v="0"/>
    <x v="0"/>
    <x v="0"/>
    <n v="5737608000"/>
  </r>
  <r>
    <d v="2025-06-20T00:00:00"/>
    <x v="1"/>
    <x v="5"/>
    <x v="24"/>
    <x v="19"/>
    <x v="2"/>
    <x v="2"/>
    <x v="1"/>
    <n v="8577810000"/>
  </r>
  <r>
    <d v="2025-06-20T00:00:00"/>
    <x v="1"/>
    <x v="5"/>
    <x v="24"/>
    <x v="19"/>
    <x v="12"/>
    <x v="11"/>
    <x v="1"/>
    <n v="7776030000"/>
  </r>
  <r>
    <d v="2025-06-20T00:00:00"/>
    <x v="1"/>
    <x v="5"/>
    <x v="24"/>
    <x v="19"/>
    <x v="7"/>
    <x v="7"/>
    <x v="4"/>
    <n v="307858081"/>
  </r>
  <r>
    <d v="2025-06-20T00:00:00"/>
    <x v="1"/>
    <x v="5"/>
    <x v="24"/>
    <x v="19"/>
    <x v="22"/>
    <x v="16"/>
    <x v="1"/>
    <n v="33600000"/>
  </r>
  <r>
    <d v="2025-06-20T00:00:00"/>
    <x v="1"/>
    <x v="5"/>
    <x v="24"/>
    <x v="19"/>
    <x v="15"/>
    <x v="14"/>
    <x v="4"/>
    <n v="24235334"/>
  </r>
  <r>
    <d v="2025-06-20T00:00:00"/>
    <x v="1"/>
    <x v="5"/>
    <x v="24"/>
    <x v="19"/>
    <x v="20"/>
    <x v="9"/>
    <x v="1"/>
    <n v="0"/>
  </r>
  <r>
    <d v="2025-06-20T00:00:00"/>
    <x v="1"/>
    <x v="5"/>
    <x v="24"/>
    <x v="19"/>
    <x v="17"/>
    <x v="9"/>
    <x v="1"/>
    <n v="0"/>
  </r>
  <r>
    <d v="2025-06-20T00:00:00"/>
    <x v="1"/>
    <x v="5"/>
    <x v="24"/>
    <x v="19"/>
    <x v="1"/>
    <x v="1"/>
    <x v="1"/>
    <n v="52500000"/>
  </r>
  <r>
    <d v="2025-06-20T00:00:00"/>
    <x v="1"/>
    <x v="5"/>
    <x v="24"/>
    <x v="19"/>
    <x v="6"/>
    <x v="6"/>
    <x v="0"/>
    <n v="30000000"/>
  </r>
  <r>
    <d v="2025-06-20T00:00:00"/>
    <x v="1"/>
    <x v="5"/>
    <x v="24"/>
    <x v="19"/>
    <x v="25"/>
    <x v="2"/>
    <x v="1"/>
    <n v="0"/>
  </r>
  <r>
    <d v="2025-06-20T00:00:00"/>
    <x v="1"/>
    <x v="5"/>
    <x v="24"/>
    <x v="19"/>
    <x v="3"/>
    <x v="3"/>
    <x v="1"/>
    <n v="0"/>
  </r>
  <r>
    <d v="2025-06-20T00:00:00"/>
    <x v="1"/>
    <x v="5"/>
    <x v="24"/>
    <x v="19"/>
    <x v="24"/>
    <x v="18"/>
    <x v="1"/>
    <n v="1181020000"/>
  </r>
  <r>
    <d v="2025-06-20T00:00:00"/>
    <x v="1"/>
    <x v="5"/>
    <x v="24"/>
    <x v="19"/>
    <x v="18"/>
    <x v="15"/>
    <x v="1"/>
    <n v="661150000"/>
  </r>
  <r>
    <d v="2025-06-20T00:00:00"/>
    <x v="1"/>
    <x v="5"/>
    <x v="24"/>
    <x v="19"/>
    <x v="23"/>
    <x v="17"/>
    <x v="4"/>
    <n v="112285000"/>
  </r>
  <r>
    <d v="2025-06-20T00:00:00"/>
    <x v="1"/>
    <x v="5"/>
    <x v="24"/>
    <x v="19"/>
    <x v="14"/>
    <x v="13"/>
    <x v="1"/>
    <n v="1809070000"/>
  </r>
  <r>
    <d v="2025-06-20T00:00:00"/>
    <x v="1"/>
    <x v="5"/>
    <x v="24"/>
    <x v="19"/>
    <x v="11"/>
    <x v="10"/>
    <x v="4"/>
    <n v="217994103"/>
  </r>
  <r>
    <d v="2025-06-20T00:00:00"/>
    <x v="1"/>
    <x v="5"/>
    <x v="24"/>
    <x v="19"/>
    <x v="19"/>
    <x v="12"/>
    <x v="4"/>
    <n v="310865606"/>
  </r>
  <r>
    <d v="2025-06-20T00:00:00"/>
    <x v="1"/>
    <x v="5"/>
    <x v="24"/>
    <x v="19"/>
    <x v="5"/>
    <x v="5"/>
    <x v="3"/>
    <n v="3893018256"/>
  </r>
  <r>
    <d v="2025-06-21T00:00:00"/>
    <x v="1"/>
    <x v="5"/>
    <x v="24"/>
    <x v="20"/>
    <x v="24"/>
    <x v="18"/>
    <x v="1"/>
    <n v="1117120000"/>
  </r>
  <r>
    <d v="2025-06-21T00:00:00"/>
    <x v="1"/>
    <x v="5"/>
    <x v="24"/>
    <x v="20"/>
    <x v="20"/>
    <x v="9"/>
    <x v="1"/>
    <n v="0"/>
  </r>
  <r>
    <d v="2025-06-21T00:00:00"/>
    <x v="1"/>
    <x v="5"/>
    <x v="24"/>
    <x v="20"/>
    <x v="17"/>
    <x v="9"/>
    <x v="1"/>
    <n v="0"/>
  </r>
  <r>
    <d v="2025-06-21T00:00:00"/>
    <x v="1"/>
    <x v="5"/>
    <x v="24"/>
    <x v="20"/>
    <x v="25"/>
    <x v="2"/>
    <x v="1"/>
    <n v="0"/>
  </r>
  <r>
    <d v="2025-06-21T00:00:00"/>
    <x v="1"/>
    <x v="5"/>
    <x v="24"/>
    <x v="20"/>
    <x v="3"/>
    <x v="3"/>
    <x v="1"/>
    <n v="0"/>
  </r>
  <r>
    <d v="2025-06-21T00:00:00"/>
    <x v="1"/>
    <x v="5"/>
    <x v="24"/>
    <x v="20"/>
    <x v="22"/>
    <x v="16"/>
    <x v="1"/>
    <n v="0"/>
  </r>
  <r>
    <d v="2025-06-21T00:00:00"/>
    <x v="1"/>
    <x v="5"/>
    <x v="24"/>
    <x v="20"/>
    <x v="1"/>
    <x v="1"/>
    <x v="1"/>
    <n v="42000000"/>
  </r>
  <r>
    <d v="2025-06-21T00:00:00"/>
    <x v="1"/>
    <x v="5"/>
    <x v="24"/>
    <x v="20"/>
    <x v="6"/>
    <x v="6"/>
    <x v="0"/>
    <n v="13000000"/>
  </r>
  <r>
    <d v="2025-06-21T00:00:00"/>
    <x v="1"/>
    <x v="5"/>
    <x v="24"/>
    <x v="20"/>
    <x v="15"/>
    <x v="14"/>
    <x v="4"/>
    <n v="30590924"/>
  </r>
  <r>
    <d v="2025-06-21T00:00:00"/>
    <x v="1"/>
    <x v="5"/>
    <x v="24"/>
    <x v="20"/>
    <x v="18"/>
    <x v="15"/>
    <x v="1"/>
    <n v="516270000"/>
  </r>
  <r>
    <d v="2025-06-21T00:00:00"/>
    <x v="1"/>
    <x v="5"/>
    <x v="24"/>
    <x v="20"/>
    <x v="23"/>
    <x v="17"/>
    <x v="4"/>
    <n v="365079000"/>
  </r>
  <r>
    <d v="2025-06-21T00:00:00"/>
    <x v="1"/>
    <x v="5"/>
    <x v="24"/>
    <x v="20"/>
    <x v="14"/>
    <x v="13"/>
    <x v="1"/>
    <n v="1123010000"/>
  </r>
  <r>
    <d v="2025-06-21T00:00:00"/>
    <x v="1"/>
    <x v="5"/>
    <x v="24"/>
    <x v="20"/>
    <x v="11"/>
    <x v="10"/>
    <x v="4"/>
    <n v="222241873"/>
  </r>
  <r>
    <d v="2025-06-21T00:00:00"/>
    <x v="1"/>
    <x v="5"/>
    <x v="24"/>
    <x v="20"/>
    <x v="19"/>
    <x v="12"/>
    <x v="4"/>
    <n v="374023734"/>
  </r>
  <r>
    <d v="2025-06-21T00:00:00"/>
    <x v="1"/>
    <x v="5"/>
    <x v="24"/>
    <x v="20"/>
    <x v="5"/>
    <x v="5"/>
    <x v="3"/>
    <n v="4166316503"/>
  </r>
  <r>
    <d v="2025-06-21T00:00:00"/>
    <x v="1"/>
    <x v="5"/>
    <x v="24"/>
    <x v="20"/>
    <x v="7"/>
    <x v="7"/>
    <x v="4"/>
    <n v="351915054"/>
  </r>
  <r>
    <d v="2025-06-21T00:00:00"/>
    <x v="1"/>
    <x v="5"/>
    <x v="24"/>
    <x v="20"/>
    <x v="12"/>
    <x v="11"/>
    <x v="1"/>
    <n v="8575700000"/>
  </r>
  <r>
    <d v="2025-06-21T00:00:00"/>
    <x v="1"/>
    <x v="5"/>
    <x v="24"/>
    <x v="20"/>
    <x v="0"/>
    <x v="0"/>
    <x v="0"/>
    <n v="5618052000"/>
  </r>
  <r>
    <d v="2025-06-21T00:00:00"/>
    <x v="1"/>
    <x v="5"/>
    <x v="24"/>
    <x v="20"/>
    <x v="2"/>
    <x v="2"/>
    <x v="1"/>
    <n v="8947650000"/>
  </r>
  <r>
    <d v="2025-06-22T00:00:00"/>
    <x v="1"/>
    <x v="5"/>
    <x v="24"/>
    <x v="21"/>
    <x v="22"/>
    <x v="16"/>
    <x v="1"/>
    <n v="0"/>
  </r>
  <r>
    <d v="2025-06-22T00:00:00"/>
    <x v="1"/>
    <x v="5"/>
    <x v="24"/>
    <x v="21"/>
    <x v="25"/>
    <x v="2"/>
    <x v="1"/>
    <n v="0"/>
  </r>
  <r>
    <d v="2025-06-22T00:00:00"/>
    <x v="1"/>
    <x v="5"/>
    <x v="24"/>
    <x v="21"/>
    <x v="3"/>
    <x v="3"/>
    <x v="1"/>
    <n v="0"/>
  </r>
  <r>
    <d v="2025-06-22T00:00:00"/>
    <x v="1"/>
    <x v="5"/>
    <x v="24"/>
    <x v="21"/>
    <x v="15"/>
    <x v="14"/>
    <x v="4"/>
    <n v="5078518"/>
  </r>
  <r>
    <d v="2025-06-22T00:00:00"/>
    <x v="1"/>
    <x v="5"/>
    <x v="24"/>
    <x v="21"/>
    <x v="12"/>
    <x v="11"/>
    <x v="1"/>
    <n v="9112470000"/>
  </r>
  <r>
    <d v="2025-06-22T00:00:00"/>
    <x v="1"/>
    <x v="5"/>
    <x v="24"/>
    <x v="21"/>
    <x v="20"/>
    <x v="9"/>
    <x v="1"/>
    <n v="0"/>
  </r>
  <r>
    <d v="2025-06-22T00:00:00"/>
    <x v="1"/>
    <x v="5"/>
    <x v="24"/>
    <x v="21"/>
    <x v="17"/>
    <x v="9"/>
    <x v="1"/>
    <n v="0"/>
  </r>
  <r>
    <d v="2025-06-22T00:00:00"/>
    <x v="1"/>
    <x v="5"/>
    <x v="24"/>
    <x v="21"/>
    <x v="2"/>
    <x v="2"/>
    <x v="1"/>
    <n v="8352760000"/>
  </r>
  <r>
    <d v="2025-06-22T00:00:00"/>
    <x v="1"/>
    <x v="5"/>
    <x v="24"/>
    <x v="21"/>
    <x v="24"/>
    <x v="18"/>
    <x v="1"/>
    <n v="1030030000"/>
  </r>
  <r>
    <d v="2025-06-22T00:00:00"/>
    <x v="1"/>
    <x v="5"/>
    <x v="24"/>
    <x v="21"/>
    <x v="18"/>
    <x v="15"/>
    <x v="1"/>
    <n v="352900000"/>
  </r>
  <r>
    <d v="2025-06-22T00:00:00"/>
    <x v="1"/>
    <x v="5"/>
    <x v="24"/>
    <x v="21"/>
    <x v="23"/>
    <x v="17"/>
    <x v="4"/>
    <n v="377501650"/>
  </r>
  <r>
    <d v="2025-06-22T00:00:00"/>
    <x v="1"/>
    <x v="5"/>
    <x v="24"/>
    <x v="21"/>
    <x v="14"/>
    <x v="13"/>
    <x v="1"/>
    <n v="1487920000"/>
  </r>
  <r>
    <d v="2025-06-22T00:00:00"/>
    <x v="1"/>
    <x v="5"/>
    <x v="24"/>
    <x v="21"/>
    <x v="6"/>
    <x v="6"/>
    <x v="0"/>
    <n v="14000000"/>
  </r>
  <r>
    <d v="2025-06-22T00:00:00"/>
    <x v="1"/>
    <x v="5"/>
    <x v="24"/>
    <x v="21"/>
    <x v="1"/>
    <x v="1"/>
    <x v="1"/>
    <n v="0"/>
  </r>
  <r>
    <d v="2025-06-22T00:00:00"/>
    <x v="1"/>
    <x v="5"/>
    <x v="24"/>
    <x v="21"/>
    <x v="19"/>
    <x v="12"/>
    <x v="4"/>
    <n v="295856411"/>
  </r>
  <r>
    <d v="2025-06-22T00:00:00"/>
    <x v="1"/>
    <x v="5"/>
    <x v="24"/>
    <x v="21"/>
    <x v="5"/>
    <x v="5"/>
    <x v="3"/>
    <n v="3205774208"/>
  </r>
  <r>
    <d v="2025-06-22T00:00:00"/>
    <x v="1"/>
    <x v="5"/>
    <x v="24"/>
    <x v="21"/>
    <x v="7"/>
    <x v="7"/>
    <x v="4"/>
    <n v="306793410"/>
  </r>
  <r>
    <d v="2025-06-22T00:00:00"/>
    <x v="1"/>
    <x v="5"/>
    <x v="24"/>
    <x v="21"/>
    <x v="11"/>
    <x v="10"/>
    <x v="4"/>
    <n v="224895648"/>
  </r>
  <r>
    <d v="2025-06-22T00:00:00"/>
    <x v="1"/>
    <x v="5"/>
    <x v="24"/>
    <x v="21"/>
    <x v="0"/>
    <x v="0"/>
    <x v="0"/>
    <n v="5142636000"/>
  </r>
  <r>
    <d v="2025-06-23T00:00:00"/>
    <x v="1"/>
    <x v="5"/>
    <x v="25"/>
    <x v="22"/>
    <x v="12"/>
    <x v="11"/>
    <x v="1"/>
    <n v="11289630000"/>
  </r>
  <r>
    <d v="2025-06-23T00:00:00"/>
    <x v="1"/>
    <x v="5"/>
    <x v="25"/>
    <x v="22"/>
    <x v="0"/>
    <x v="0"/>
    <x v="0"/>
    <n v="5050404000"/>
  </r>
  <r>
    <d v="2025-06-23T00:00:00"/>
    <x v="1"/>
    <x v="5"/>
    <x v="25"/>
    <x v="22"/>
    <x v="19"/>
    <x v="12"/>
    <x v="4"/>
    <n v="372759602"/>
  </r>
  <r>
    <d v="2025-06-23T00:00:00"/>
    <x v="1"/>
    <x v="5"/>
    <x v="25"/>
    <x v="22"/>
    <x v="5"/>
    <x v="5"/>
    <x v="3"/>
    <n v="3616460194"/>
  </r>
  <r>
    <d v="2025-06-23T00:00:00"/>
    <x v="1"/>
    <x v="5"/>
    <x v="25"/>
    <x v="22"/>
    <x v="11"/>
    <x v="10"/>
    <x v="4"/>
    <n v="238142686"/>
  </r>
  <r>
    <d v="2025-06-23T00:00:00"/>
    <x v="1"/>
    <x v="5"/>
    <x v="25"/>
    <x v="22"/>
    <x v="7"/>
    <x v="7"/>
    <x v="4"/>
    <n v="293015500"/>
  </r>
  <r>
    <d v="2025-06-23T00:00:00"/>
    <x v="1"/>
    <x v="5"/>
    <x v="25"/>
    <x v="22"/>
    <x v="14"/>
    <x v="13"/>
    <x v="1"/>
    <n v="1243050000"/>
  </r>
  <r>
    <d v="2025-06-23T00:00:00"/>
    <x v="1"/>
    <x v="5"/>
    <x v="25"/>
    <x v="22"/>
    <x v="2"/>
    <x v="2"/>
    <x v="1"/>
    <n v="8806530000"/>
  </r>
  <r>
    <d v="2025-06-23T00:00:00"/>
    <x v="1"/>
    <x v="5"/>
    <x v="25"/>
    <x v="22"/>
    <x v="25"/>
    <x v="2"/>
    <x v="1"/>
    <n v="0"/>
  </r>
  <r>
    <d v="2025-06-23T00:00:00"/>
    <x v="1"/>
    <x v="5"/>
    <x v="25"/>
    <x v="22"/>
    <x v="15"/>
    <x v="14"/>
    <x v="4"/>
    <n v="22447912"/>
  </r>
  <r>
    <d v="2025-06-23T00:00:00"/>
    <x v="1"/>
    <x v="5"/>
    <x v="25"/>
    <x v="22"/>
    <x v="22"/>
    <x v="16"/>
    <x v="1"/>
    <n v="12600000"/>
  </r>
  <r>
    <d v="2025-06-23T00:00:00"/>
    <x v="1"/>
    <x v="5"/>
    <x v="25"/>
    <x v="22"/>
    <x v="20"/>
    <x v="9"/>
    <x v="1"/>
    <n v="0"/>
  </r>
  <r>
    <d v="2025-06-23T00:00:00"/>
    <x v="1"/>
    <x v="5"/>
    <x v="25"/>
    <x v="22"/>
    <x v="17"/>
    <x v="9"/>
    <x v="1"/>
    <n v="0"/>
  </r>
  <r>
    <d v="2025-06-23T00:00:00"/>
    <x v="1"/>
    <x v="5"/>
    <x v="25"/>
    <x v="22"/>
    <x v="6"/>
    <x v="6"/>
    <x v="0"/>
    <n v="29000000"/>
  </r>
  <r>
    <d v="2025-06-23T00:00:00"/>
    <x v="1"/>
    <x v="5"/>
    <x v="25"/>
    <x v="22"/>
    <x v="1"/>
    <x v="1"/>
    <x v="1"/>
    <n v="0"/>
  </r>
  <r>
    <d v="2025-06-23T00:00:00"/>
    <x v="1"/>
    <x v="5"/>
    <x v="25"/>
    <x v="22"/>
    <x v="3"/>
    <x v="3"/>
    <x v="1"/>
    <n v="13650000"/>
  </r>
  <r>
    <d v="2025-06-23T00:00:00"/>
    <x v="1"/>
    <x v="5"/>
    <x v="25"/>
    <x v="22"/>
    <x v="24"/>
    <x v="18"/>
    <x v="1"/>
    <n v="1312070000"/>
  </r>
  <r>
    <d v="2025-06-23T00:00:00"/>
    <x v="1"/>
    <x v="5"/>
    <x v="25"/>
    <x v="22"/>
    <x v="18"/>
    <x v="15"/>
    <x v="1"/>
    <n v="747240000"/>
  </r>
  <r>
    <d v="2025-06-23T00:00:00"/>
    <x v="1"/>
    <x v="5"/>
    <x v="25"/>
    <x v="22"/>
    <x v="23"/>
    <x v="17"/>
    <x v="4"/>
    <n v="526478000"/>
  </r>
  <r>
    <d v="2025-06-24T00:00:00"/>
    <x v="1"/>
    <x v="5"/>
    <x v="25"/>
    <x v="23"/>
    <x v="12"/>
    <x v="11"/>
    <x v="1"/>
    <n v="10890740000"/>
  </r>
  <r>
    <d v="2025-06-24T00:00:00"/>
    <x v="1"/>
    <x v="5"/>
    <x v="25"/>
    <x v="23"/>
    <x v="7"/>
    <x v="7"/>
    <x v="4"/>
    <n v="283172521"/>
  </r>
  <r>
    <d v="2025-06-24T00:00:00"/>
    <x v="1"/>
    <x v="5"/>
    <x v="25"/>
    <x v="23"/>
    <x v="0"/>
    <x v="0"/>
    <x v="0"/>
    <n v="4985712000"/>
  </r>
  <r>
    <d v="2025-06-24T00:00:00"/>
    <x v="1"/>
    <x v="5"/>
    <x v="25"/>
    <x v="23"/>
    <x v="2"/>
    <x v="2"/>
    <x v="1"/>
    <n v="9368780000"/>
  </r>
  <r>
    <d v="2025-06-24T00:00:00"/>
    <x v="1"/>
    <x v="5"/>
    <x v="25"/>
    <x v="23"/>
    <x v="15"/>
    <x v="14"/>
    <x v="4"/>
    <n v="18472689"/>
  </r>
  <r>
    <d v="2025-06-24T00:00:00"/>
    <x v="1"/>
    <x v="5"/>
    <x v="25"/>
    <x v="23"/>
    <x v="20"/>
    <x v="9"/>
    <x v="1"/>
    <n v="0"/>
  </r>
  <r>
    <d v="2025-06-24T00:00:00"/>
    <x v="1"/>
    <x v="5"/>
    <x v="25"/>
    <x v="23"/>
    <x v="25"/>
    <x v="2"/>
    <x v="1"/>
    <n v="0"/>
  </r>
  <r>
    <d v="2025-06-24T00:00:00"/>
    <x v="1"/>
    <x v="5"/>
    <x v="25"/>
    <x v="23"/>
    <x v="5"/>
    <x v="5"/>
    <x v="3"/>
    <n v="3610204733"/>
  </r>
  <r>
    <d v="2025-06-24T00:00:00"/>
    <x v="1"/>
    <x v="5"/>
    <x v="25"/>
    <x v="23"/>
    <x v="17"/>
    <x v="9"/>
    <x v="1"/>
    <n v="0"/>
  </r>
  <r>
    <d v="2025-06-24T00:00:00"/>
    <x v="1"/>
    <x v="5"/>
    <x v="25"/>
    <x v="23"/>
    <x v="1"/>
    <x v="1"/>
    <x v="1"/>
    <n v="0"/>
  </r>
  <r>
    <d v="2025-06-24T00:00:00"/>
    <x v="1"/>
    <x v="5"/>
    <x v="25"/>
    <x v="23"/>
    <x v="6"/>
    <x v="6"/>
    <x v="0"/>
    <n v="15000000"/>
  </r>
  <r>
    <d v="2025-06-24T00:00:00"/>
    <x v="1"/>
    <x v="5"/>
    <x v="25"/>
    <x v="23"/>
    <x v="3"/>
    <x v="3"/>
    <x v="1"/>
    <n v="0"/>
  </r>
  <r>
    <d v="2025-06-24T00:00:00"/>
    <x v="1"/>
    <x v="5"/>
    <x v="25"/>
    <x v="23"/>
    <x v="22"/>
    <x v="16"/>
    <x v="1"/>
    <n v="43750000"/>
  </r>
  <r>
    <d v="2025-06-24T00:00:00"/>
    <x v="1"/>
    <x v="5"/>
    <x v="25"/>
    <x v="23"/>
    <x v="24"/>
    <x v="18"/>
    <x v="1"/>
    <n v="1552640000"/>
  </r>
  <r>
    <d v="2025-06-24T00:00:00"/>
    <x v="1"/>
    <x v="5"/>
    <x v="25"/>
    <x v="23"/>
    <x v="18"/>
    <x v="15"/>
    <x v="1"/>
    <n v="814000000"/>
  </r>
  <r>
    <d v="2025-06-24T00:00:00"/>
    <x v="1"/>
    <x v="5"/>
    <x v="25"/>
    <x v="23"/>
    <x v="23"/>
    <x v="17"/>
    <x v="4"/>
    <n v="567282300"/>
  </r>
  <r>
    <d v="2025-06-24T00:00:00"/>
    <x v="1"/>
    <x v="5"/>
    <x v="25"/>
    <x v="23"/>
    <x v="14"/>
    <x v="13"/>
    <x v="1"/>
    <n v="1478710000"/>
  </r>
  <r>
    <d v="2025-06-24T00:00:00"/>
    <x v="1"/>
    <x v="5"/>
    <x v="25"/>
    <x v="23"/>
    <x v="11"/>
    <x v="10"/>
    <x v="4"/>
    <n v="214796466"/>
  </r>
  <r>
    <d v="2025-06-24T00:00:00"/>
    <x v="1"/>
    <x v="5"/>
    <x v="25"/>
    <x v="23"/>
    <x v="19"/>
    <x v="12"/>
    <x v="4"/>
    <n v="397201217"/>
  </r>
  <r>
    <d v="2025-06-25T00:00:00"/>
    <x v="1"/>
    <x v="5"/>
    <x v="25"/>
    <x v="24"/>
    <x v="7"/>
    <x v="7"/>
    <x v="4"/>
    <n v="341215120"/>
  </r>
  <r>
    <d v="2025-06-25T00:00:00"/>
    <x v="1"/>
    <x v="5"/>
    <x v="25"/>
    <x v="24"/>
    <x v="12"/>
    <x v="11"/>
    <x v="1"/>
    <n v="11653690000"/>
  </r>
  <r>
    <d v="2025-06-25T00:00:00"/>
    <x v="1"/>
    <x v="5"/>
    <x v="25"/>
    <x v="24"/>
    <x v="5"/>
    <x v="5"/>
    <x v="3"/>
    <n v="3762696560"/>
  </r>
  <r>
    <d v="2025-06-25T00:00:00"/>
    <x v="1"/>
    <x v="5"/>
    <x v="25"/>
    <x v="24"/>
    <x v="0"/>
    <x v="0"/>
    <x v="0"/>
    <n v="4745628000"/>
  </r>
  <r>
    <d v="2025-06-25T00:00:00"/>
    <x v="1"/>
    <x v="5"/>
    <x v="25"/>
    <x v="24"/>
    <x v="3"/>
    <x v="3"/>
    <x v="1"/>
    <n v="0"/>
  </r>
  <r>
    <d v="2025-06-25T00:00:00"/>
    <x v="1"/>
    <x v="5"/>
    <x v="25"/>
    <x v="24"/>
    <x v="19"/>
    <x v="12"/>
    <x v="4"/>
    <n v="417988535"/>
  </r>
  <r>
    <d v="2025-06-25T00:00:00"/>
    <x v="1"/>
    <x v="5"/>
    <x v="25"/>
    <x v="24"/>
    <x v="2"/>
    <x v="2"/>
    <x v="1"/>
    <n v="7601010000"/>
  </r>
  <r>
    <d v="2025-06-25T00:00:00"/>
    <x v="1"/>
    <x v="5"/>
    <x v="25"/>
    <x v="24"/>
    <x v="22"/>
    <x v="16"/>
    <x v="1"/>
    <n v="10500000"/>
  </r>
  <r>
    <d v="2025-06-25T00:00:00"/>
    <x v="1"/>
    <x v="5"/>
    <x v="25"/>
    <x v="24"/>
    <x v="15"/>
    <x v="14"/>
    <x v="4"/>
    <n v="54422906"/>
  </r>
  <r>
    <d v="2025-06-25T00:00:00"/>
    <x v="1"/>
    <x v="5"/>
    <x v="25"/>
    <x v="24"/>
    <x v="17"/>
    <x v="9"/>
    <x v="1"/>
    <n v="0"/>
  </r>
  <r>
    <d v="2025-06-25T00:00:00"/>
    <x v="1"/>
    <x v="5"/>
    <x v="25"/>
    <x v="24"/>
    <x v="20"/>
    <x v="9"/>
    <x v="1"/>
    <n v="0"/>
  </r>
  <r>
    <d v="2025-06-25T00:00:00"/>
    <x v="1"/>
    <x v="5"/>
    <x v="25"/>
    <x v="24"/>
    <x v="1"/>
    <x v="1"/>
    <x v="1"/>
    <n v="20000000"/>
  </r>
  <r>
    <d v="2025-06-25T00:00:00"/>
    <x v="1"/>
    <x v="5"/>
    <x v="25"/>
    <x v="24"/>
    <x v="6"/>
    <x v="6"/>
    <x v="0"/>
    <n v="22000000"/>
  </r>
  <r>
    <d v="2025-06-25T00:00:00"/>
    <x v="1"/>
    <x v="5"/>
    <x v="25"/>
    <x v="24"/>
    <x v="25"/>
    <x v="2"/>
    <x v="1"/>
    <n v="5350000"/>
  </r>
  <r>
    <d v="2025-06-25T00:00:00"/>
    <x v="1"/>
    <x v="5"/>
    <x v="25"/>
    <x v="24"/>
    <x v="24"/>
    <x v="18"/>
    <x v="1"/>
    <n v="1244320000"/>
  </r>
  <r>
    <d v="2025-06-25T00:00:00"/>
    <x v="1"/>
    <x v="5"/>
    <x v="25"/>
    <x v="24"/>
    <x v="18"/>
    <x v="15"/>
    <x v="1"/>
    <n v="352550000"/>
  </r>
  <r>
    <d v="2025-06-25T00:00:00"/>
    <x v="1"/>
    <x v="5"/>
    <x v="25"/>
    <x v="24"/>
    <x v="23"/>
    <x v="17"/>
    <x v="4"/>
    <n v="344027500"/>
  </r>
  <r>
    <d v="2025-06-25T00:00:00"/>
    <x v="1"/>
    <x v="5"/>
    <x v="25"/>
    <x v="24"/>
    <x v="14"/>
    <x v="13"/>
    <x v="1"/>
    <n v="1040190000"/>
  </r>
  <r>
    <d v="2025-06-25T00:00:00"/>
    <x v="1"/>
    <x v="5"/>
    <x v="25"/>
    <x v="24"/>
    <x v="11"/>
    <x v="10"/>
    <x v="4"/>
    <n v="219392350"/>
  </r>
  <r>
    <d v="2025-06-26T00:00:00"/>
    <x v="1"/>
    <x v="5"/>
    <x v="25"/>
    <x v="25"/>
    <x v="19"/>
    <x v="12"/>
    <x v="4"/>
    <n v="430949488"/>
  </r>
  <r>
    <d v="2025-06-26T00:00:00"/>
    <x v="1"/>
    <x v="5"/>
    <x v="25"/>
    <x v="25"/>
    <x v="1"/>
    <x v="1"/>
    <x v="1"/>
    <n v="21000000"/>
  </r>
  <r>
    <d v="2025-06-26T00:00:00"/>
    <x v="1"/>
    <x v="5"/>
    <x v="25"/>
    <x v="25"/>
    <x v="11"/>
    <x v="10"/>
    <x v="4"/>
    <n v="231228094"/>
  </r>
  <r>
    <d v="2025-06-26T00:00:00"/>
    <x v="1"/>
    <x v="5"/>
    <x v="25"/>
    <x v="25"/>
    <x v="2"/>
    <x v="2"/>
    <x v="1"/>
    <n v="8066530000"/>
  </r>
  <r>
    <d v="2025-06-26T00:00:00"/>
    <x v="1"/>
    <x v="5"/>
    <x v="25"/>
    <x v="25"/>
    <x v="18"/>
    <x v="15"/>
    <x v="1"/>
    <n v="448470000"/>
  </r>
  <r>
    <d v="2025-06-26T00:00:00"/>
    <x v="1"/>
    <x v="5"/>
    <x v="25"/>
    <x v="25"/>
    <x v="6"/>
    <x v="6"/>
    <x v="0"/>
    <n v="18000000"/>
  </r>
  <r>
    <d v="2025-06-26T00:00:00"/>
    <x v="1"/>
    <x v="5"/>
    <x v="25"/>
    <x v="25"/>
    <x v="5"/>
    <x v="5"/>
    <x v="3"/>
    <n v="3688983369"/>
  </r>
  <r>
    <d v="2025-06-26T00:00:00"/>
    <x v="1"/>
    <x v="5"/>
    <x v="25"/>
    <x v="25"/>
    <x v="17"/>
    <x v="9"/>
    <x v="1"/>
    <n v="0"/>
  </r>
  <r>
    <d v="2025-06-26T00:00:00"/>
    <x v="1"/>
    <x v="5"/>
    <x v="25"/>
    <x v="25"/>
    <x v="15"/>
    <x v="14"/>
    <x v="4"/>
    <n v="16258627"/>
  </r>
  <r>
    <d v="2025-06-26T00:00:00"/>
    <x v="1"/>
    <x v="5"/>
    <x v="25"/>
    <x v="25"/>
    <x v="3"/>
    <x v="3"/>
    <x v="1"/>
    <n v="0"/>
  </r>
  <r>
    <d v="2025-06-26T00:00:00"/>
    <x v="1"/>
    <x v="5"/>
    <x v="25"/>
    <x v="25"/>
    <x v="12"/>
    <x v="11"/>
    <x v="1"/>
    <n v="11362950000"/>
  </r>
  <r>
    <d v="2025-06-26T00:00:00"/>
    <x v="1"/>
    <x v="5"/>
    <x v="25"/>
    <x v="25"/>
    <x v="0"/>
    <x v="0"/>
    <x v="0"/>
    <n v="4826412000"/>
  </r>
  <r>
    <d v="2025-06-26T00:00:00"/>
    <x v="1"/>
    <x v="5"/>
    <x v="25"/>
    <x v="25"/>
    <x v="20"/>
    <x v="9"/>
    <x v="1"/>
    <n v="0"/>
  </r>
  <r>
    <d v="2025-06-26T00:00:00"/>
    <x v="1"/>
    <x v="5"/>
    <x v="25"/>
    <x v="25"/>
    <x v="24"/>
    <x v="18"/>
    <x v="1"/>
    <n v="1119570000"/>
  </r>
  <r>
    <d v="2025-06-26T00:00:00"/>
    <x v="1"/>
    <x v="5"/>
    <x v="25"/>
    <x v="25"/>
    <x v="14"/>
    <x v="13"/>
    <x v="1"/>
    <n v="1001910000"/>
  </r>
  <r>
    <d v="2025-06-26T00:00:00"/>
    <x v="1"/>
    <x v="5"/>
    <x v="25"/>
    <x v="25"/>
    <x v="7"/>
    <x v="7"/>
    <x v="4"/>
    <n v="286015440"/>
  </r>
  <r>
    <d v="2025-06-26T00:00:00"/>
    <x v="1"/>
    <x v="5"/>
    <x v="25"/>
    <x v="25"/>
    <x v="23"/>
    <x v="17"/>
    <x v="4"/>
    <n v="379370000"/>
  </r>
  <r>
    <d v="2025-06-26T00:00:00"/>
    <x v="1"/>
    <x v="5"/>
    <x v="25"/>
    <x v="25"/>
    <x v="25"/>
    <x v="2"/>
    <x v="1"/>
    <n v="0"/>
  </r>
  <r>
    <d v="2025-06-26T00:00:00"/>
    <x v="1"/>
    <x v="5"/>
    <x v="25"/>
    <x v="25"/>
    <x v="22"/>
    <x v="16"/>
    <x v="1"/>
    <n v="21000000"/>
  </r>
  <r>
    <d v="2025-06-27T00:00:00"/>
    <x v="1"/>
    <x v="5"/>
    <x v="25"/>
    <x v="26"/>
    <x v="7"/>
    <x v="7"/>
    <x v="4"/>
    <n v="306818743"/>
  </r>
  <r>
    <d v="2025-06-27T00:00:00"/>
    <x v="1"/>
    <x v="5"/>
    <x v="25"/>
    <x v="26"/>
    <x v="12"/>
    <x v="11"/>
    <x v="1"/>
    <n v="10616350000"/>
  </r>
  <r>
    <d v="2025-06-27T00:00:00"/>
    <x v="1"/>
    <x v="5"/>
    <x v="25"/>
    <x v="26"/>
    <x v="5"/>
    <x v="5"/>
    <x v="3"/>
    <n v="3355143850"/>
  </r>
  <r>
    <d v="2025-06-27T00:00:00"/>
    <x v="1"/>
    <x v="5"/>
    <x v="25"/>
    <x v="26"/>
    <x v="0"/>
    <x v="0"/>
    <x v="0"/>
    <n v="5236164000"/>
  </r>
  <r>
    <d v="2025-06-27T00:00:00"/>
    <x v="1"/>
    <x v="5"/>
    <x v="25"/>
    <x v="26"/>
    <x v="25"/>
    <x v="2"/>
    <x v="1"/>
    <n v="7000000"/>
  </r>
  <r>
    <d v="2025-06-27T00:00:00"/>
    <x v="1"/>
    <x v="5"/>
    <x v="25"/>
    <x v="26"/>
    <x v="2"/>
    <x v="2"/>
    <x v="1"/>
    <n v="9014050000"/>
  </r>
  <r>
    <d v="2025-06-27T00:00:00"/>
    <x v="1"/>
    <x v="5"/>
    <x v="25"/>
    <x v="26"/>
    <x v="22"/>
    <x v="16"/>
    <x v="1"/>
    <n v="38850000"/>
  </r>
  <r>
    <d v="2025-06-27T00:00:00"/>
    <x v="1"/>
    <x v="5"/>
    <x v="25"/>
    <x v="26"/>
    <x v="15"/>
    <x v="14"/>
    <x v="4"/>
    <n v="9076164"/>
  </r>
  <r>
    <d v="2025-06-27T00:00:00"/>
    <x v="1"/>
    <x v="5"/>
    <x v="25"/>
    <x v="26"/>
    <x v="20"/>
    <x v="9"/>
    <x v="1"/>
    <n v="0"/>
  </r>
  <r>
    <d v="2025-06-27T00:00:00"/>
    <x v="1"/>
    <x v="5"/>
    <x v="25"/>
    <x v="26"/>
    <x v="17"/>
    <x v="9"/>
    <x v="1"/>
    <n v="0"/>
  </r>
  <r>
    <d v="2025-06-27T00:00:00"/>
    <x v="1"/>
    <x v="5"/>
    <x v="25"/>
    <x v="26"/>
    <x v="1"/>
    <x v="1"/>
    <x v="1"/>
    <n v="20000000"/>
  </r>
  <r>
    <d v="2025-06-27T00:00:00"/>
    <x v="1"/>
    <x v="5"/>
    <x v="25"/>
    <x v="26"/>
    <x v="6"/>
    <x v="6"/>
    <x v="0"/>
    <n v="34000000"/>
  </r>
  <r>
    <d v="2025-06-27T00:00:00"/>
    <x v="1"/>
    <x v="5"/>
    <x v="25"/>
    <x v="26"/>
    <x v="3"/>
    <x v="3"/>
    <x v="1"/>
    <n v="0"/>
  </r>
  <r>
    <d v="2025-06-27T00:00:00"/>
    <x v="1"/>
    <x v="5"/>
    <x v="25"/>
    <x v="26"/>
    <x v="24"/>
    <x v="18"/>
    <x v="1"/>
    <n v="1992560000"/>
  </r>
  <r>
    <d v="2025-06-27T00:00:00"/>
    <x v="1"/>
    <x v="5"/>
    <x v="25"/>
    <x v="26"/>
    <x v="18"/>
    <x v="15"/>
    <x v="1"/>
    <n v="563810000"/>
  </r>
  <r>
    <d v="2025-06-27T00:00:00"/>
    <x v="1"/>
    <x v="5"/>
    <x v="25"/>
    <x v="26"/>
    <x v="23"/>
    <x v="17"/>
    <x v="4"/>
    <n v="314750000"/>
  </r>
  <r>
    <d v="2025-06-27T00:00:00"/>
    <x v="1"/>
    <x v="5"/>
    <x v="25"/>
    <x v="26"/>
    <x v="14"/>
    <x v="13"/>
    <x v="1"/>
    <n v="1147140000"/>
  </r>
  <r>
    <d v="2025-06-27T00:00:00"/>
    <x v="1"/>
    <x v="5"/>
    <x v="25"/>
    <x v="26"/>
    <x v="11"/>
    <x v="10"/>
    <x v="4"/>
    <n v="257598609"/>
  </r>
  <r>
    <d v="2025-06-27T00:00:00"/>
    <x v="1"/>
    <x v="5"/>
    <x v="25"/>
    <x v="26"/>
    <x v="19"/>
    <x v="12"/>
    <x v="4"/>
    <n v="376346449"/>
  </r>
  <r>
    <d v="2025-06-28T00:00:00"/>
    <x v="1"/>
    <x v="5"/>
    <x v="25"/>
    <x v="27"/>
    <x v="11"/>
    <x v="10"/>
    <x v="4"/>
    <n v="232429398"/>
  </r>
  <r>
    <d v="2025-06-28T00:00:00"/>
    <x v="1"/>
    <x v="5"/>
    <x v="25"/>
    <x v="27"/>
    <x v="22"/>
    <x v="16"/>
    <x v="1"/>
    <n v="10500000"/>
  </r>
  <r>
    <d v="2025-06-28T00:00:00"/>
    <x v="1"/>
    <x v="5"/>
    <x v="25"/>
    <x v="27"/>
    <x v="25"/>
    <x v="2"/>
    <x v="1"/>
    <n v="0"/>
  </r>
  <r>
    <d v="2025-06-28T00:00:00"/>
    <x v="1"/>
    <x v="5"/>
    <x v="25"/>
    <x v="27"/>
    <x v="3"/>
    <x v="3"/>
    <x v="1"/>
    <n v="0"/>
  </r>
  <r>
    <d v="2025-06-28T00:00:00"/>
    <x v="1"/>
    <x v="5"/>
    <x v="25"/>
    <x v="27"/>
    <x v="20"/>
    <x v="9"/>
    <x v="1"/>
    <n v="0"/>
  </r>
  <r>
    <d v="2025-06-28T00:00:00"/>
    <x v="1"/>
    <x v="5"/>
    <x v="25"/>
    <x v="27"/>
    <x v="15"/>
    <x v="14"/>
    <x v="4"/>
    <n v="21570985"/>
  </r>
  <r>
    <d v="2025-06-28T00:00:00"/>
    <x v="1"/>
    <x v="5"/>
    <x v="25"/>
    <x v="27"/>
    <x v="17"/>
    <x v="9"/>
    <x v="1"/>
    <n v="0"/>
  </r>
  <r>
    <d v="2025-06-28T00:00:00"/>
    <x v="1"/>
    <x v="5"/>
    <x v="25"/>
    <x v="27"/>
    <x v="1"/>
    <x v="1"/>
    <x v="1"/>
    <n v="10500000"/>
  </r>
  <r>
    <d v="2025-06-28T00:00:00"/>
    <x v="1"/>
    <x v="5"/>
    <x v="25"/>
    <x v="27"/>
    <x v="14"/>
    <x v="13"/>
    <x v="1"/>
    <n v="1348240000"/>
  </r>
  <r>
    <d v="2025-06-28T00:00:00"/>
    <x v="1"/>
    <x v="5"/>
    <x v="25"/>
    <x v="27"/>
    <x v="18"/>
    <x v="15"/>
    <x v="1"/>
    <n v="406610000"/>
  </r>
  <r>
    <d v="2025-06-28T00:00:00"/>
    <x v="1"/>
    <x v="5"/>
    <x v="25"/>
    <x v="27"/>
    <x v="24"/>
    <x v="18"/>
    <x v="1"/>
    <n v="1539810000"/>
  </r>
  <r>
    <d v="2025-06-28T00:00:00"/>
    <x v="1"/>
    <x v="5"/>
    <x v="25"/>
    <x v="27"/>
    <x v="6"/>
    <x v="6"/>
    <x v="0"/>
    <n v="16000000"/>
  </r>
  <r>
    <d v="2025-06-28T00:00:00"/>
    <x v="1"/>
    <x v="5"/>
    <x v="25"/>
    <x v="27"/>
    <x v="23"/>
    <x v="17"/>
    <x v="4"/>
    <n v="280682000"/>
  </r>
  <r>
    <d v="2025-06-28T00:00:00"/>
    <x v="1"/>
    <x v="5"/>
    <x v="25"/>
    <x v="27"/>
    <x v="19"/>
    <x v="12"/>
    <x v="4"/>
    <n v="400766090"/>
  </r>
  <r>
    <d v="2025-06-28T00:00:00"/>
    <x v="1"/>
    <x v="5"/>
    <x v="25"/>
    <x v="27"/>
    <x v="5"/>
    <x v="5"/>
    <x v="3"/>
    <n v="3437848505"/>
  </r>
  <r>
    <d v="2025-06-28T00:00:00"/>
    <x v="1"/>
    <x v="5"/>
    <x v="25"/>
    <x v="27"/>
    <x v="7"/>
    <x v="7"/>
    <x v="4"/>
    <n v="287592593"/>
  </r>
  <r>
    <d v="2025-06-28T00:00:00"/>
    <x v="1"/>
    <x v="5"/>
    <x v="25"/>
    <x v="27"/>
    <x v="12"/>
    <x v="11"/>
    <x v="1"/>
    <n v="9848090000"/>
  </r>
  <r>
    <d v="2025-06-28T00:00:00"/>
    <x v="1"/>
    <x v="5"/>
    <x v="25"/>
    <x v="27"/>
    <x v="0"/>
    <x v="0"/>
    <x v="0"/>
    <n v="4721004000"/>
  </r>
  <r>
    <d v="2025-06-28T00:00:00"/>
    <x v="1"/>
    <x v="5"/>
    <x v="25"/>
    <x v="27"/>
    <x v="2"/>
    <x v="2"/>
    <x v="1"/>
    <n v="7045830000"/>
  </r>
  <r>
    <d v="2025-06-29T00:00:00"/>
    <x v="1"/>
    <x v="5"/>
    <x v="25"/>
    <x v="28"/>
    <x v="23"/>
    <x v="17"/>
    <x v="4"/>
    <n v="326705000"/>
  </r>
  <r>
    <d v="2025-06-29T00:00:00"/>
    <x v="1"/>
    <x v="5"/>
    <x v="25"/>
    <x v="28"/>
    <x v="5"/>
    <x v="5"/>
    <x v="3"/>
    <n v="3301114872"/>
  </r>
  <r>
    <d v="2025-06-29T00:00:00"/>
    <x v="1"/>
    <x v="5"/>
    <x v="25"/>
    <x v="28"/>
    <x v="15"/>
    <x v="14"/>
    <x v="4"/>
    <n v="19523097"/>
  </r>
  <r>
    <d v="2025-06-29T00:00:00"/>
    <x v="1"/>
    <x v="5"/>
    <x v="25"/>
    <x v="28"/>
    <x v="7"/>
    <x v="7"/>
    <x v="4"/>
    <n v="300341139"/>
  </r>
  <r>
    <d v="2025-06-29T00:00:00"/>
    <x v="1"/>
    <x v="5"/>
    <x v="25"/>
    <x v="28"/>
    <x v="22"/>
    <x v="16"/>
    <x v="1"/>
    <n v="0"/>
  </r>
  <r>
    <d v="2025-06-29T00:00:00"/>
    <x v="1"/>
    <x v="5"/>
    <x v="25"/>
    <x v="28"/>
    <x v="12"/>
    <x v="11"/>
    <x v="1"/>
    <n v="9573120000"/>
  </r>
  <r>
    <d v="2025-06-29T00:00:00"/>
    <x v="1"/>
    <x v="5"/>
    <x v="25"/>
    <x v="28"/>
    <x v="20"/>
    <x v="9"/>
    <x v="1"/>
    <n v="0"/>
  </r>
  <r>
    <d v="2025-06-29T00:00:00"/>
    <x v="1"/>
    <x v="5"/>
    <x v="25"/>
    <x v="28"/>
    <x v="17"/>
    <x v="9"/>
    <x v="1"/>
    <n v="0"/>
  </r>
  <r>
    <d v="2025-06-29T00:00:00"/>
    <x v="1"/>
    <x v="5"/>
    <x v="25"/>
    <x v="28"/>
    <x v="1"/>
    <x v="1"/>
    <x v="1"/>
    <n v="50500000"/>
  </r>
  <r>
    <d v="2025-06-29T00:00:00"/>
    <x v="1"/>
    <x v="5"/>
    <x v="25"/>
    <x v="28"/>
    <x v="6"/>
    <x v="6"/>
    <x v="0"/>
    <n v="10000000"/>
  </r>
  <r>
    <d v="2025-06-29T00:00:00"/>
    <x v="1"/>
    <x v="5"/>
    <x v="25"/>
    <x v="28"/>
    <x v="25"/>
    <x v="2"/>
    <x v="1"/>
    <n v="0"/>
  </r>
  <r>
    <d v="2025-06-29T00:00:00"/>
    <x v="1"/>
    <x v="5"/>
    <x v="25"/>
    <x v="28"/>
    <x v="3"/>
    <x v="3"/>
    <x v="1"/>
    <n v="0"/>
  </r>
  <r>
    <d v="2025-06-29T00:00:00"/>
    <x v="1"/>
    <x v="5"/>
    <x v="25"/>
    <x v="28"/>
    <x v="18"/>
    <x v="15"/>
    <x v="1"/>
    <n v="389790000"/>
  </r>
  <r>
    <d v="2025-06-29T00:00:00"/>
    <x v="1"/>
    <x v="5"/>
    <x v="25"/>
    <x v="28"/>
    <x v="24"/>
    <x v="18"/>
    <x v="1"/>
    <n v="1451760000"/>
  </r>
  <r>
    <d v="2025-06-29T00:00:00"/>
    <x v="1"/>
    <x v="5"/>
    <x v="25"/>
    <x v="28"/>
    <x v="0"/>
    <x v="0"/>
    <x v="0"/>
    <n v="4356180000"/>
  </r>
  <r>
    <d v="2025-06-29T00:00:00"/>
    <x v="1"/>
    <x v="5"/>
    <x v="25"/>
    <x v="28"/>
    <x v="14"/>
    <x v="13"/>
    <x v="1"/>
    <n v="2005510000"/>
  </r>
  <r>
    <d v="2025-06-29T00:00:00"/>
    <x v="1"/>
    <x v="5"/>
    <x v="25"/>
    <x v="28"/>
    <x v="11"/>
    <x v="10"/>
    <x v="4"/>
    <n v="202402738"/>
  </r>
  <r>
    <d v="2025-06-29T00:00:00"/>
    <x v="1"/>
    <x v="5"/>
    <x v="25"/>
    <x v="28"/>
    <x v="19"/>
    <x v="12"/>
    <x v="4"/>
    <n v="471479527"/>
  </r>
  <r>
    <d v="2025-06-29T00:00:00"/>
    <x v="1"/>
    <x v="5"/>
    <x v="25"/>
    <x v="28"/>
    <x v="2"/>
    <x v="2"/>
    <x v="1"/>
    <n v="7051150000"/>
  </r>
  <r>
    <d v="2025-06-30T00:00:00"/>
    <x v="1"/>
    <x v="5"/>
    <x v="26"/>
    <x v="29"/>
    <x v="1"/>
    <x v="1"/>
    <x v="1"/>
    <n v="31500000"/>
  </r>
  <r>
    <d v="2025-06-30T00:00:00"/>
    <x v="1"/>
    <x v="5"/>
    <x v="26"/>
    <x v="29"/>
    <x v="2"/>
    <x v="2"/>
    <x v="1"/>
    <n v="8643170000"/>
  </r>
  <r>
    <d v="2025-06-30T00:00:00"/>
    <x v="1"/>
    <x v="5"/>
    <x v="26"/>
    <x v="29"/>
    <x v="12"/>
    <x v="11"/>
    <x v="1"/>
    <n v="12105490000"/>
  </r>
  <r>
    <d v="2025-06-30T00:00:00"/>
    <x v="1"/>
    <x v="5"/>
    <x v="26"/>
    <x v="29"/>
    <x v="19"/>
    <x v="12"/>
    <x v="4"/>
    <n v="559221742"/>
  </r>
  <r>
    <d v="2025-06-30T00:00:00"/>
    <x v="1"/>
    <x v="5"/>
    <x v="26"/>
    <x v="29"/>
    <x v="5"/>
    <x v="5"/>
    <x v="3"/>
    <n v="5473164136"/>
  </r>
  <r>
    <d v="2025-06-30T00:00:00"/>
    <x v="1"/>
    <x v="5"/>
    <x v="26"/>
    <x v="29"/>
    <x v="22"/>
    <x v="16"/>
    <x v="1"/>
    <n v="53700000"/>
  </r>
  <r>
    <d v="2025-06-30T00:00:00"/>
    <x v="1"/>
    <x v="5"/>
    <x v="26"/>
    <x v="29"/>
    <x v="15"/>
    <x v="14"/>
    <x v="4"/>
    <n v="35724408"/>
  </r>
  <r>
    <d v="2025-06-30T00:00:00"/>
    <x v="1"/>
    <x v="5"/>
    <x v="26"/>
    <x v="29"/>
    <x v="20"/>
    <x v="9"/>
    <x v="1"/>
    <n v="0"/>
  </r>
  <r>
    <d v="2025-06-30T00:00:00"/>
    <x v="1"/>
    <x v="5"/>
    <x v="26"/>
    <x v="29"/>
    <x v="17"/>
    <x v="9"/>
    <x v="1"/>
    <n v="0"/>
  </r>
  <r>
    <d v="2025-06-30T00:00:00"/>
    <x v="1"/>
    <x v="5"/>
    <x v="26"/>
    <x v="29"/>
    <x v="0"/>
    <x v="0"/>
    <x v="0"/>
    <n v="5826708000"/>
  </r>
  <r>
    <d v="2025-06-30T00:00:00"/>
    <x v="1"/>
    <x v="5"/>
    <x v="26"/>
    <x v="29"/>
    <x v="6"/>
    <x v="6"/>
    <x v="0"/>
    <n v="19000000"/>
  </r>
  <r>
    <d v="2025-06-30T00:00:00"/>
    <x v="1"/>
    <x v="5"/>
    <x v="26"/>
    <x v="29"/>
    <x v="25"/>
    <x v="2"/>
    <x v="1"/>
    <n v="0"/>
  </r>
  <r>
    <d v="2025-06-30T00:00:00"/>
    <x v="1"/>
    <x v="5"/>
    <x v="26"/>
    <x v="29"/>
    <x v="3"/>
    <x v="3"/>
    <x v="1"/>
    <n v="0"/>
  </r>
  <r>
    <d v="2025-06-30T00:00:00"/>
    <x v="1"/>
    <x v="5"/>
    <x v="26"/>
    <x v="29"/>
    <x v="18"/>
    <x v="15"/>
    <x v="1"/>
    <n v="738870000"/>
  </r>
  <r>
    <d v="2025-06-30T00:00:00"/>
    <x v="1"/>
    <x v="5"/>
    <x v="26"/>
    <x v="29"/>
    <x v="24"/>
    <x v="18"/>
    <x v="1"/>
    <n v="1641010000"/>
  </r>
  <r>
    <d v="2025-06-30T00:00:00"/>
    <x v="1"/>
    <x v="5"/>
    <x v="26"/>
    <x v="29"/>
    <x v="23"/>
    <x v="17"/>
    <x v="4"/>
    <n v="332093000"/>
  </r>
  <r>
    <d v="2025-06-30T00:00:00"/>
    <x v="1"/>
    <x v="5"/>
    <x v="26"/>
    <x v="29"/>
    <x v="14"/>
    <x v="13"/>
    <x v="1"/>
    <n v="1773840000"/>
  </r>
  <r>
    <d v="2025-06-30T00:00:00"/>
    <x v="1"/>
    <x v="5"/>
    <x v="26"/>
    <x v="29"/>
    <x v="11"/>
    <x v="10"/>
    <x v="4"/>
    <n v="259399536"/>
  </r>
  <r>
    <d v="2025-06-30T00:00:00"/>
    <x v="1"/>
    <x v="5"/>
    <x v="26"/>
    <x v="29"/>
    <x v="7"/>
    <x v="7"/>
    <x v="4"/>
    <n v="357450135"/>
  </r>
  <r>
    <d v="2025-07-01T00:00:00"/>
    <x v="1"/>
    <x v="6"/>
    <x v="26"/>
    <x v="0"/>
    <x v="18"/>
    <x v="15"/>
    <x v="1"/>
    <n v="458920000"/>
  </r>
  <r>
    <d v="2025-07-01T00:00:00"/>
    <x v="1"/>
    <x v="6"/>
    <x v="26"/>
    <x v="0"/>
    <x v="24"/>
    <x v="18"/>
    <x v="1"/>
    <n v="1648580000"/>
  </r>
  <r>
    <d v="2025-07-01T00:00:00"/>
    <x v="1"/>
    <x v="6"/>
    <x v="26"/>
    <x v="0"/>
    <x v="19"/>
    <x v="12"/>
    <x v="4"/>
    <n v="1017803479"/>
  </r>
  <r>
    <d v="2025-07-01T00:00:00"/>
    <x v="1"/>
    <x v="6"/>
    <x v="26"/>
    <x v="0"/>
    <x v="14"/>
    <x v="13"/>
    <x v="1"/>
    <n v="1110790000"/>
  </r>
  <r>
    <d v="2025-07-01T00:00:00"/>
    <x v="1"/>
    <x v="6"/>
    <x v="26"/>
    <x v="0"/>
    <x v="6"/>
    <x v="6"/>
    <x v="0"/>
    <n v="0"/>
  </r>
  <r>
    <d v="2025-07-01T00:00:00"/>
    <x v="1"/>
    <x v="6"/>
    <x v="26"/>
    <x v="0"/>
    <x v="23"/>
    <x v="17"/>
    <x v="4"/>
    <n v="357850000"/>
  </r>
  <r>
    <d v="2025-07-01T00:00:00"/>
    <x v="1"/>
    <x v="6"/>
    <x v="26"/>
    <x v="0"/>
    <x v="3"/>
    <x v="3"/>
    <x v="1"/>
    <n v="0"/>
  </r>
  <r>
    <d v="2025-07-01T00:00:00"/>
    <x v="1"/>
    <x v="6"/>
    <x v="26"/>
    <x v="0"/>
    <x v="5"/>
    <x v="5"/>
    <x v="3"/>
    <n v="7088032604"/>
  </r>
  <r>
    <d v="2025-07-01T00:00:00"/>
    <x v="1"/>
    <x v="6"/>
    <x v="26"/>
    <x v="0"/>
    <x v="7"/>
    <x v="7"/>
    <x v="4"/>
    <n v="476748441"/>
  </r>
  <r>
    <d v="2025-07-01T00:00:00"/>
    <x v="1"/>
    <x v="6"/>
    <x v="26"/>
    <x v="0"/>
    <x v="12"/>
    <x v="11"/>
    <x v="1"/>
    <n v="12739180000"/>
  </r>
  <r>
    <d v="2025-07-01T00:00:00"/>
    <x v="1"/>
    <x v="6"/>
    <x v="26"/>
    <x v="0"/>
    <x v="0"/>
    <x v="0"/>
    <x v="0"/>
    <n v="5861592000"/>
  </r>
  <r>
    <d v="2025-07-01T00:00:00"/>
    <x v="1"/>
    <x v="6"/>
    <x v="26"/>
    <x v="0"/>
    <x v="2"/>
    <x v="2"/>
    <x v="1"/>
    <n v="5351470000"/>
  </r>
  <r>
    <d v="2025-07-01T00:00:00"/>
    <x v="1"/>
    <x v="6"/>
    <x v="26"/>
    <x v="0"/>
    <x v="25"/>
    <x v="2"/>
    <x v="1"/>
    <n v="0"/>
  </r>
  <r>
    <d v="2025-07-01T00:00:00"/>
    <x v="1"/>
    <x v="6"/>
    <x v="26"/>
    <x v="0"/>
    <x v="26"/>
    <x v="16"/>
    <x v="1"/>
    <n v="12000000"/>
  </r>
  <r>
    <d v="2025-07-01T00:00:00"/>
    <x v="1"/>
    <x v="6"/>
    <x v="26"/>
    <x v="0"/>
    <x v="11"/>
    <x v="10"/>
    <x v="4"/>
    <n v="244795714"/>
  </r>
  <r>
    <d v="2025-07-01T00:00:00"/>
    <x v="1"/>
    <x v="6"/>
    <x v="26"/>
    <x v="0"/>
    <x v="15"/>
    <x v="14"/>
    <x v="4"/>
    <n v="63437463"/>
  </r>
  <r>
    <d v="2025-07-01T00:00:00"/>
    <x v="1"/>
    <x v="6"/>
    <x v="26"/>
    <x v="0"/>
    <x v="20"/>
    <x v="9"/>
    <x v="1"/>
    <n v="0"/>
  </r>
  <r>
    <d v="2025-07-01T00:00:00"/>
    <x v="1"/>
    <x v="6"/>
    <x v="26"/>
    <x v="0"/>
    <x v="17"/>
    <x v="9"/>
    <x v="1"/>
    <n v="0"/>
  </r>
  <r>
    <d v="2025-07-01T00:00:00"/>
    <x v="1"/>
    <x v="6"/>
    <x v="26"/>
    <x v="0"/>
    <x v="1"/>
    <x v="1"/>
    <x v="1"/>
    <n v="0"/>
  </r>
  <r>
    <d v="2025-07-02T00:00:00"/>
    <x v="1"/>
    <x v="6"/>
    <x v="26"/>
    <x v="1"/>
    <x v="12"/>
    <x v="11"/>
    <x v="1"/>
    <n v="13389180000"/>
  </r>
  <r>
    <d v="2025-07-02T00:00:00"/>
    <x v="1"/>
    <x v="6"/>
    <x v="26"/>
    <x v="1"/>
    <x v="19"/>
    <x v="12"/>
    <x v="4"/>
    <n v="884202279"/>
  </r>
  <r>
    <d v="2025-07-02T00:00:00"/>
    <x v="1"/>
    <x v="6"/>
    <x v="26"/>
    <x v="1"/>
    <x v="1"/>
    <x v="1"/>
    <x v="1"/>
    <n v="0"/>
  </r>
  <r>
    <d v="2025-07-02T00:00:00"/>
    <x v="1"/>
    <x v="6"/>
    <x v="26"/>
    <x v="1"/>
    <x v="18"/>
    <x v="15"/>
    <x v="1"/>
    <n v="487840000"/>
  </r>
  <r>
    <d v="2025-07-02T00:00:00"/>
    <x v="1"/>
    <x v="6"/>
    <x v="26"/>
    <x v="1"/>
    <x v="26"/>
    <x v="16"/>
    <x v="1"/>
    <n v="22500000"/>
  </r>
  <r>
    <d v="2025-07-02T00:00:00"/>
    <x v="1"/>
    <x v="6"/>
    <x v="26"/>
    <x v="1"/>
    <x v="14"/>
    <x v="13"/>
    <x v="1"/>
    <n v="815150000"/>
  </r>
  <r>
    <d v="2025-07-02T00:00:00"/>
    <x v="1"/>
    <x v="6"/>
    <x v="26"/>
    <x v="1"/>
    <x v="6"/>
    <x v="6"/>
    <x v="0"/>
    <n v="0"/>
  </r>
  <r>
    <d v="2025-07-02T00:00:00"/>
    <x v="1"/>
    <x v="6"/>
    <x v="26"/>
    <x v="1"/>
    <x v="5"/>
    <x v="5"/>
    <x v="3"/>
    <n v="5647684016"/>
  </r>
  <r>
    <d v="2025-07-02T00:00:00"/>
    <x v="1"/>
    <x v="6"/>
    <x v="26"/>
    <x v="1"/>
    <x v="7"/>
    <x v="7"/>
    <x v="4"/>
    <n v="526491633"/>
  </r>
  <r>
    <d v="2025-07-02T00:00:00"/>
    <x v="1"/>
    <x v="6"/>
    <x v="26"/>
    <x v="1"/>
    <x v="3"/>
    <x v="3"/>
    <x v="1"/>
    <n v="0"/>
  </r>
  <r>
    <d v="2025-07-02T00:00:00"/>
    <x v="1"/>
    <x v="6"/>
    <x v="26"/>
    <x v="1"/>
    <x v="11"/>
    <x v="10"/>
    <x v="4"/>
    <n v="270950520"/>
  </r>
  <r>
    <d v="2025-07-02T00:00:00"/>
    <x v="1"/>
    <x v="6"/>
    <x v="26"/>
    <x v="1"/>
    <x v="0"/>
    <x v="0"/>
    <x v="0"/>
    <n v="6096276000"/>
  </r>
  <r>
    <d v="2025-07-02T00:00:00"/>
    <x v="1"/>
    <x v="6"/>
    <x v="26"/>
    <x v="1"/>
    <x v="15"/>
    <x v="14"/>
    <x v="4"/>
    <n v="43514718"/>
  </r>
  <r>
    <d v="2025-07-02T00:00:00"/>
    <x v="1"/>
    <x v="6"/>
    <x v="26"/>
    <x v="1"/>
    <x v="2"/>
    <x v="2"/>
    <x v="1"/>
    <n v="24147090000"/>
  </r>
  <r>
    <d v="2025-07-02T00:00:00"/>
    <x v="1"/>
    <x v="6"/>
    <x v="26"/>
    <x v="1"/>
    <x v="24"/>
    <x v="18"/>
    <x v="1"/>
    <n v="3927000000"/>
  </r>
  <r>
    <d v="2025-07-02T00:00:00"/>
    <x v="1"/>
    <x v="6"/>
    <x v="26"/>
    <x v="1"/>
    <x v="20"/>
    <x v="9"/>
    <x v="1"/>
    <n v="0"/>
  </r>
  <r>
    <d v="2025-07-02T00:00:00"/>
    <x v="1"/>
    <x v="6"/>
    <x v="26"/>
    <x v="1"/>
    <x v="25"/>
    <x v="2"/>
    <x v="1"/>
    <n v="0"/>
  </r>
  <r>
    <d v="2025-07-02T00:00:00"/>
    <x v="1"/>
    <x v="6"/>
    <x v="26"/>
    <x v="1"/>
    <x v="17"/>
    <x v="9"/>
    <x v="1"/>
    <n v="0"/>
  </r>
  <r>
    <d v="2025-07-02T00:00:00"/>
    <x v="1"/>
    <x v="6"/>
    <x v="26"/>
    <x v="1"/>
    <x v="23"/>
    <x v="17"/>
    <x v="4"/>
    <n v="361323000"/>
  </r>
  <r>
    <d v="2025-07-03T00:00:00"/>
    <x v="1"/>
    <x v="6"/>
    <x v="26"/>
    <x v="2"/>
    <x v="18"/>
    <x v="15"/>
    <x v="1"/>
    <n v="562060000"/>
  </r>
  <r>
    <d v="2025-07-03T00:00:00"/>
    <x v="1"/>
    <x v="6"/>
    <x v="26"/>
    <x v="2"/>
    <x v="14"/>
    <x v="13"/>
    <x v="1"/>
    <n v="630890000"/>
  </r>
  <r>
    <d v="2025-07-03T00:00:00"/>
    <x v="1"/>
    <x v="6"/>
    <x v="26"/>
    <x v="2"/>
    <x v="1"/>
    <x v="1"/>
    <x v="1"/>
    <n v="21000000"/>
  </r>
  <r>
    <d v="2025-07-03T00:00:00"/>
    <x v="1"/>
    <x v="6"/>
    <x v="26"/>
    <x v="2"/>
    <x v="11"/>
    <x v="10"/>
    <x v="4"/>
    <n v="322360513"/>
  </r>
  <r>
    <d v="2025-07-03T00:00:00"/>
    <x v="1"/>
    <x v="6"/>
    <x v="26"/>
    <x v="2"/>
    <x v="20"/>
    <x v="9"/>
    <x v="1"/>
    <n v="0"/>
  </r>
  <r>
    <d v="2025-07-03T00:00:00"/>
    <x v="1"/>
    <x v="6"/>
    <x v="26"/>
    <x v="2"/>
    <x v="17"/>
    <x v="9"/>
    <x v="1"/>
    <n v="0"/>
  </r>
  <r>
    <d v="2025-07-03T00:00:00"/>
    <x v="1"/>
    <x v="6"/>
    <x v="26"/>
    <x v="2"/>
    <x v="19"/>
    <x v="12"/>
    <x v="4"/>
    <n v="1080342036"/>
  </r>
  <r>
    <d v="2025-07-03T00:00:00"/>
    <x v="1"/>
    <x v="6"/>
    <x v="26"/>
    <x v="2"/>
    <x v="23"/>
    <x v="17"/>
    <x v="4"/>
    <n v="309352000"/>
  </r>
  <r>
    <d v="2025-07-03T00:00:00"/>
    <x v="1"/>
    <x v="6"/>
    <x v="26"/>
    <x v="2"/>
    <x v="3"/>
    <x v="3"/>
    <x v="1"/>
    <n v="21000000"/>
  </r>
  <r>
    <d v="2025-07-03T00:00:00"/>
    <x v="1"/>
    <x v="6"/>
    <x v="26"/>
    <x v="2"/>
    <x v="5"/>
    <x v="5"/>
    <x v="3"/>
    <n v="4690567383"/>
  </r>
  <r>
    <d v="2025-07-03T00:00:00"/>
    <x v="1"/>
    <x v="6"/>
    <x v="26"/>
    <x v="2"/>
    <x v="24"/>
    <x v="18"/>
    <x v="1"/>
    <n v="3669720000"/>
  </r>
  <r>
    <d v="2025-07-03T00:00:00"/>
    <x v="1"/>
    <x v="6"/>
    <x v="26"/>
    <x v="2"/>
    <x v="6"/>
    <x v="6"/>
    <x v="0"/>
    <n v="96000000"/>
  </r>
  <r>
    <d v="2025-07-03T00:00:00"/>
    <x v="1"/>
    <x v="6"/>
    <x v="26"/>
    <x v="2"/>
    <x v="25"/>
    <x v="2"/>
    <x v="1"/>
    <n v="0"/>
  </r>
  <r>
    <d v="2025-07-03T00:00:00"/>
    <x v="1"/>
    <x v="6"/>
    <x v="26"/>
    <x v="2"/>
    <x v="26"/>
    <x v="16"/>
    <x v="1"/>
    <n v="0"/>
  </r>
  <r>
    <d v="2025-07-03T00:00:00"/>
    <x v="1"/>
    <x v="6"/>
    <x v="26"/>
    <x v="2"/>
    <x v="7"/>
    <x v="7"/>
    <x v="4"/>
    <n v="581660677"/>
  </r>
  <r>
    <d v="2025-07-03T00:00:00"/>
    <x v="1"/>
    <x v="6"/>
    <x v="26"/>
    <x v="2"/>
    <x v="12"/>
    <x v="11"/>
    <x v="1"/>
    <n v="13364480000"/>
  </r>
  <r>
    <d v="2025-07-03T00:00:00"/>
    <x v="1"/>
    <x v="6"/>
    <x v="26"/>
    <x v="2"/>
    <x v="0"/>
    <x v="0"/>
    <x v="0"/>
    <n v="5555736000"/>
  </r>
  <r>
    <d v="2025-07-03T00:00:00"/>
    <x v="1"/>
    <x v="6"/>
    <x v="26"/>
    <x v="2"/>
    <x v="15"/>
    <x v="14"/>
    <x v="4"/>
    <n v="72833972"/>
  </r>
  <r>
    <d v="2025-07-03T00:00:00"/>
    <x v="1"/>
    <x v="6"/>
    <x v="26"/>
    <x v="2"/>
    <x v="2"/>
    <x v="2"/>
    <x v="1"/>
    <n v="12233980000"/>
  </r>
  <r>
    <d v="2025-07-04T00:00:00"/>
    <x v="1"/>
    <x v="6"/>
    <x v="26"/>
    <x v="3"/>
    <x v="0"/>
    <x v="0"/>
    <x v="0"/>
    <n v="6492528000"/>
  </r>
  <r>
    <d v="2025-07-04T00:00:00"/>
    <x v="1"/>
    <x v="6"/>
    <x v="26"/>
    <x v="3"/>
    <x v="2"/>
    <x v="2"/>
    <x v="1"/>
    <n v="13581010000"/>
  </r>
  <r>
    <d v="2025-07-04T00:00:00"/>
    <x v="1"/>
    <x v="6"/>
    <x v="26"/>
    <x v="3"/>
    <x v="12"/>
    <x v="11"/>
    <x v="1"/>
    <n v="12350860000"/>
  </r>
  <r>
    <d v="2025-07-04T00:00:00"/>
    <x v="1"/>
    <x v="6"/>
    <x v="26"/>
    <x v="3"/>
    <x v="7"/>
    <x v="7"/>
    <x v="4"/>
    <n v="678722031"/>
  </r>
  <r>
    <d v="2025-07-04T00:00:00"/>
    <x v="1"/>
    <x v="6"/>
    <x v="26"/>
    <x v="3"/>
    <x v="25"/>
    <x v="2"/>
    <x v="1"/>
    <n v="0"/>
  </r>
  <r>
    <d v="2025-07-04T00:00:00"/>
    <x v="1"/>
    <x v="6"/>
    <x v="26"/>
    <x v="3"/>
    <x v="26"/>
    <x v="16"/>
    <x v="1"/>
    <n v="12000000"/>
  </r>
  <r>
    <d v="2025-07-04T00:00:00"/>
    <x v="1"/>
    <x v="6"/>
    <x v="26"/>
    <x v="3"/>
    <x v="15"/>
    <x v="14"/>
    <x v="4"/>
    <n v="81407736"/>
  </r>
  <r>
    <d v="2025-07-04T00:00:00"/>
    <x v="1"/>
    <x v="6"/>
    <x v="26"/>
    <x v="3"/>
    <x v="17"/>
    <x v="9"/>
    <x v="1"/>
    <n v="0"/>
  </r>
  <r>
    <d v="2025-07-04T00:00:00"/>
    <x v="1"/>
    <x v="6"/>
    <x v="26"/>
    <x v="3"/>
    <x v="20"/>
    <x v="9"/>
    <x v="1"/>
    <n v="0"/>
  </r>
  <r>
    <d v="2025-07-04T00:00:00"/>
    <x v="1"/>
    <x v="6"/>
    <x v="26"/>
    <x v="3"/>
    <x v="1"/>
    <x v="1"/>
    <x v="1"/>
    <n v="0"/>
  </r>
  <r>
    <d v="2025-07-04T00:00:00"/>
    <x v="1"/>
    <x v="6"/>
    <x v="26"/>
    <x v="3"/>
    <x v="6"/>
    <x v="6"/>
    <x v="0"/>
    <n v="49000000"/>
  </r>
  <r>
    <d v="2025-07-04T00:00:00"/>
    <x v="1"/>
    <x v="6"/>
    <x v="26"/>
    <x v="3"/>
    <x v="3"/>
    <x v="3"/>
    <x v="1"/>
    <n v="21000000"/>
  </r>
  <r>
    <d v="2025-07-04T00:00:00"/>
    <x v="1"/>
    <x v="6"/>
    <x v="26"/>
    <x v="3"/>
    <x v="18"/>
    <x v="15"/>
    <x v="1"/>
    <n v="578350000"/>
  </r>
  <r>
    <d v="2025-07-04T00:00:00"/>
    <x v="1"/>
    <x v="6"/>
    <x v="26"/>
    <x v="3"/>
    <x v="24"/>
    <x v="18"/>
    <x v="1"/>
    <n v="5787520000"/>
  </r>
  <r>
    <d v="2025-07-04T00:00:00"/>
    <x v="1"/>
    <x v="6"/>
    <x v="26"/>
    <x v="3"/>
    <x v="23"/>
    <x v="17"/>
    <x v="4"/>
    <n v="332605000"/>
  </r>
  <r>
    <d v="2025-07-04T00:00:00"/>
    <x v="1"/>
    <x v="6"/>
    <x v="26"/>
    <x v="3"/>
    <x v="14"/>
    <x v="13"/>
    <x v="1"/>
    <n v="1677280000"/>
  </r>
  <r>
    <d v="2025-07-04T00:00:00"/>
    <x v="1"/>
    <x v="6"/>
    <x v="26"/>
    <x v="3"/>
    <x v="11"/>
    <x v="10"/>
    <x v="4"/>
    <n v="361463064"/>
  </r>
  <r>
    <d v="2025-07-04T00:00:00"/>
    <x v="1"/>
    <x v="6"/>
    <x v="26"/>
    <x v="3"/>
    <x v="19"/>
    <x v="12"/>
    <x v="4"/>
    <n v="1413258778"/>
  </r>
  <r>
    <d v="2025-07-04T00:00:00"/>
    <x v="1"/>
    <x v="6"/>
    <x v="26"/>
    <x v="3"/>
    <x v="5"/>
    <x v="5"/>
    <x v="3"/>
    <n v="4584839714"/>
  </r>
  <r>
    <d v="2025-07-05T00:00:00"/>
    <x v="1"/>
    <x v="6"/>
    <x v="26"/>
    <x v="4"/>
    <x v="15"/>
    <x v="14"/>
    <x v="4"/>
    <n v="93165139"/>
  </r>
  <r>
    <d v="2025-07-05T00:00:00"/>
    <x v="1"/>
    <x v="6"/>
    <x v="26"/>
    <x v="4"/>
    <x v="0"/>
    <x v="0"/>
    <x v="0"/>
    <n v="6517692000"/>
  </r>
  <r>
    <d v="2025-07-05T00:00:00"/>
    <x v="1"/>
    <x v="6"/>
    <x v="26"/>
    <x v="4"/>
    <x v="2"/>
    <x v="2"/>
    <x v="1"/>
    <n v="14009900000"/>
  </r>
  <r>
    <d v="2025-07-05T00:00:00"/>
    <x v="1"/>
    <x v="6"/>
    <x v="26"/>
    <x v="4"/>
    <x v="5"/>
    <x v="5"/>
    <x v="3"/>
    <n v="4370919217"/>
  </r>
  <r>
    <d v="2025-07-05T00:00:00"/>
    <x v="1"/>
    <x v="6"/>
    <x v="26"/>
    <x v="4"/>
    <x v="26"/>
    <x v="16"/>
    <x v="1"/>
    <n v="43600000"/>
  </r>
  <r>
    <d v="2025-07-05T00:00:00"/>
    <x v="1"/>
    <x v="6"/>
    <x v="26"/>
    <x v="4"/>
    <x v="7"/>
    <x v="7"/>
    <x v="4"/>
    <n v="883984437"/>
  </r>
  <r>
    <d v="2025-07-05T00:00:00"/>
    <x v="1"/>
    <x v="6"/>
    <x v="26"/>
    <x v="4"/>
    <x v="25"/>
    <x v="2"/>
    <x v="1"/>
    <n v="0"/>
  </r>
  <r>
    <d v="2025-07-05T00:00:00"/>
    <x v="1"/>
    <x v="6"/>
    <x v="26"/>
    <x v="4"/>
    <x v="12"/>
    <x v="11"/>
    <x v="1"/>
    <n v="12780670000"/>
  </r>
  <r>
    <d v="2025-07-05T00:00:00"/>
    <x v="1"/>
    <x v="6"/>
    <x v="26"/>
    <x v="4"/>
    <x v="20"/>
    <x v="9"/>
    <x v="1"/>
    <n v="0"/>
  </r>
  <r>
    <d v="2025-07-05T00:00:00"/>
    <x v="1"/>
    <x v="6"/>
    <x v="26"/>
    <x v="4"/>
    <x v="17"/>
    <x v="9"/>
    <x v="1"/>
    <n v="0"/>
  </r>
  <r>
    <d v="2025-07-05T00:00:00"/>
    <x v="1"/>
    <x v="6"/>
    <x v="26"/>
    <x v="4"/>
    <x v="1"/>
    <x v="1"/>
    <x v="1"/>
    <n v="0"/>
  </r>
  <r>
    <d v="2025-07-05T00:00:00"/>
    <x v="1"/>
    <x v="6"/>
    <x v="26"/>
    <x v="4"/>
    <x v="6"/>
    <x v="6"/>
    <x v="0"/>
    <n v="0"/>
  </r>
  <r>
    <d v="2025-07-05T00:00:00"/>
    <x v="1"/>
    <x v="6"/>
    <x v="26"/>
    <x v="4"/>
    <x v="3"/>
    <x v="3"/>
    <x v="1"/>
    <n v="20000000"/>
  </r>
  <r>
    <d v="2025-07-05T00:00:00"/>
    <x v="1"/>
    <x v="6"/>
    <x v="26"/>
    <x v="4"/>
    <x v="18"/>
    <x v="15"/>
    <x v="1"/>
    <n v="499090000"/>
  </r>
  <r>
    <d v="2025-07-05T00:00:00"/>
    <x v="1"/>
    <x v="6"/>
    <x v="26"/>
    <x v="4"/>
    <x v="24"/>
    <x v="18"/>
    <x v="1"/>
    <n v="4517580000"/>
  </r>
  <r>
    <d v="2025-07-05T00:00:00"/>
    <x v="1"/>
    <x v="6"/>
    <x v="26"/>
    <x v="4"/>
    <x v="23"/>
    <x v="17"/>
    <x v="4"/>
    <n v="275139000"/>
  </r>
  <r>
    <d v="2025-07-05T00:00:00"/>
    <x v="1"/>
    <x v="6"/>
    <x v="26"/>
    <x v="4"/>
    <x v="14"/>
    <x v="13"/>
    <x v="1"/>
    <n v="1630470000"/>
  </r>
  <r>
    <d v="2025-07-05T00:00:00"/>
    <x v="1"/>
    <x v="6"/>
    <x v="26"/>
    <x v="4"/>
    <x v="11"/>
    <x v="10"/>
    <x v="4"/>
    <n v="491948326"/>
  </r>
  <r>
    <d v="2025-07-05T00:00:00"/>
    <x v="1"/>
    <x v="6"/>
    <x v="26"/>
    <x v="4"/>
    <x v="19"/>
    <x v="12"/>
    <x v="4"/>
    <n v="1920496340"/>
  </r>
  <r>
    <d v="2025-07-06T00:00:00"/>
    <x v="1"/>
    <x v="6"/>
    <x v="26"/>
    <x v="5"/>
    <x v="25"/>
    <x v="2"/>
    <x v="1"/>
    <n v="0"/>
  </r>
  <r>
    <d v="2025-07-06T00:00:00"/>
    <x v="1"/>
    <x v="6"/>
    <x v="26"/>
    <x v="5"/>
    <x v="12"/>
    <x v="11"/>
    <x v="1"/>
    <n v="10122190000"/>
  </r>
  <r>
    <d v="2025-07-06T00:00:00"/>
    <x v="1"/>
    <x v="6"/>
    <x v="26"/>
    <x v="5"/>
    <x v="3"/>
    <x v="3"/>
    <x v="1"/>
    <n v="0"/>
  </r>
  <r>
    <d v="2025-07-06T00:00:00"/>
    <x v="1"/>
    <x v="6"/>
    <x v="26"/>
    <x v="5"/>
    <x v="18"/>
    <x v="15"/>
    <x v="1"/>
    <n v="392240000"/>
  </r>
  <r>
    <d v="2025-07-06T00:00:00"/>
    <x v="1"/>
    <x v="6"/>
    <x v="26"/>
    <x v="5"/>
    <x v="24"/>
    <x v="18"/>
    <x v="1"/>
    <n v="2902860000"/>
  </r>
  <r>
    <d v="2025-07-06T00:00:00"/>
    <x v="1"/>
    <x v="6"/>
    <x v="26"/>
    <x v="5"/>
    <x v="15"/>
    <x v="14"/>
    <x v="4"/>
    <n v="22410701"/>
  </r>
  <r>
    <d v="2025-07-06T00:00:00"/>
    <x v="1"/>
    <x v="6"/>
    <x v="26"/>
    <x v="5"/>
    <x v="20"/>
    <x v="9"/>
    <x v="1"/>
    <n v="0"/>
  </r>
  <r>
    <d v="2025-07-06T00:00:00"/>
    <x v="1"/>
    <x v="6"/>
    <x v="26"/>
    <x v="5"/>
    <x v="17"/>
    <x v="9"/>
    <x v="1"/>
    <n v="0"/>
  </r>
  <r>
    <d v="2025-07-06T00:00:00"/>
    <x v="1"/>
    <x v="6"/>
    <x v="26"/>
    <x v="5"/>
    <x v="1"/>
    <x v="1"/>
    <x v="1"/>
    <n v="0"/>
  </r>
  <r>
    <d v="2025-07-06T00:00:00"/>
    <x v="1"/>
    <x v="6"/>
    <x v="26"/>
    <x v="5"/>
    <x v="6"/>
    <x v="6"/>
    <x v="0"/>
    <n v="0"/>
  </r>
  <r>
    <d v="2025-07-06T00:00:00"/>
    <x v="1"/>
    <x v="6"/>
    <x v="26"/>
    <x v="5"/>
    <x v="23"/>
    <x v="17"/>
    <x v="4"/>
    <n v="255752000"/>
  </r>
  <r>
    <d v="2025-07-06T00:00:00"/>
    <x v="1"/>
    <x v="6"/>
    <x v="26"/>
    <x v="5"/>
    <x v="14"/>
    <x v="13"/>
    <x v="1"/>
    <n v="1729730000"/>
  </r>
  <r>
    <d v="2025-07-06T00:00:00"/>
    <x v="1"/>
    <x v="6"/>
    <x v="26"/>
    <x v="5"/>
    <x v="11"/>
    <x v="10"/>
    <x v="4"/>
    <n v="378018012"/>
  </r>
  <r>
    <d v="2025-07-06T00:00:00"/>
    <x v="1"/>
    <x v="6"/>
    <x v="26"/>
    <x v="5"/>
    <x v="19"/>
    <x v="12"/>
    <x v="4"/>
    <n v="900661621"/>
  </r>
  <r>
    <d v="2025-07-06T00:00:00"/>
    <x v="1"/>
    <x v="6"/>
    <x v="26"/>
    <x v="5"/>
    <x v="26"/>
    <x v="16"/>
    <x v="1"/>
    <n v="12600000"/>
  </r>
  <r>
    <d v="2025-07-06T00:00:00"/>
    <x v="1"/>
    <x v="6"/>
    <x v="26"/>
    <x v="5"/>
    <x v="0"/>
    <x v="0"/>
    <x v="0"/>
    <n v="5506920000"/>
  </r>
  <r>
    <d v="2025-07-06T00:00:00"/>
    <x v="1"/>
    <x v="6"/>
    <x v="26"/>
    <x v="5"/>
    <x v="5"/>
    <x v="5"/>
    <x v="3"/>
    <n v="3508019763"/>
  </r>
  <r>
    <d v="2025-07-06T00:00:00"/>
    <x v="1"/>
    <x v="6"/>
    <x v="26"/>
    <x v="5"/>
    <x v="2"/>
    <x v="2"/>
    <x v="1"/>
    <n v="12198310000"/>
  </r>
  <r>
    <d v="2025-07-06T00:00:00"/>
    <x v="1"/>
    <x v="6"/>
    <x v="26"/>
    <x v="5"/>
    <x v="7"/>
    <x v="7"/>
    <x v="4"/>
    <n v="680708864"/>
  </r>
  <r>
    <d v="2025-07-07T00:00:00"/>
    <x v="1"/>
    <x v="6"/>
    <x v="27"/>
    <x v="6"/>
    <x v="0"/>
    <x v="0"/>
    <x v="0"/>
    <n v="5953284000"/>
  </r>
  <r>
    <d v="2025-07-07T00:00:00"/>
    <x v="1"/>
    <x v="6"/>
    <x v="27"/>
    <x v="6"/>
    <x v="2"/>
    <x v="2"/>
    <x v="1"/>
    <n v="12185770000"/>
  </r>
  <r>
    <d v="2025-07-07T00:00:00"/>
    <x v="1"/>
    <x v="6"/>
    <x v="27"/>
    <x v="6"/>
    <x v="12"/>
    <x v="11"/>
    <x v="1"/>
    <n v="12865570000"/>
  </r>
  <r>
    <d v="2025-07-07T00:00:00"/>
    <x v="1"/>
    <x v="6"/>
    <x v="27"/>
    <x v="6"/>
    <x v="25"/>
    <x v="2"/>
    <x v="1"/>
    <n v="0"/>
  </r>
  <r>
    <d v="2025-07-07T00:00:00"/>
    <x v="1"/>
    <x v="6"/>
    <x v="27"/>
    <x v="6"/>
    <x v="26"/>
    <x v="16"/>
    <x v="1"/>
    <n v="12600000"/>
  </r>
  <r>
    <d v="2025-07-07T00:00:00"/>
    <x v="1"/>
    <x v="6"/>
    <x v="27"/>
    <x v="6"/>
    <x v="15"/>
    <x v="14"/>
    <x v="4"/>
    <n v="48157638"/>
  </r>
  <r>
    <d v="2025-07-07T00:00:00"/>
    <x v="1"/>
    <x v="6"/>
    <x v="27"/>
    <x v="6"/>
    <x v="20"/>
    <x v="9"/>
    <x v="1"/>
    <n v="0"/>
  </r>
  <r>
    <d v="2025-07-07T00:00:00"/>
    <x v="1"/>
    <x v="6"/>
    <x v="27"/>
    <x v="6"/>
    <x v="17"/>
    <x v="9"/>
    <x v="1"/>
    <n v="0"/>
  </r>
  <r>
    <d v="2025-07-07T00:00:00"/>
    <x v="1"/>
    <x v="6"/>
    <x v="27"/>
    <x v="6"/>
    <x v="1"/>
    <x v="1"/>
    <x v="1"/>
    <n v="31500000"/>
  </r>
  <r>
    <d v="2025-07-07T00:00:00"/>
    <x v="1"/>
    <x v="6"/>
    <x v="27"/>
    <x v="6"/>
    <x v="6"/>
    <x v="6"/>
    <x v="0"/>
    <n v="47000000"/>
  </r>
  <r>
    <d v="2025-07-07T00:00:00"/>
    <x v="1"/>
    <x v="6"/>
    <x v="27"/>
    <x v="6"/>
    <x v="3"/>
    <x v="3"/>
    <x v="1"/>
    <n v="0"/>
  </r>
  <r>
    <d v="2025-07-07T00:00:00"/>
    <x v="1"/>
    <x v="6"/>
    <x v="27"/>
    <x v="6"/>
    <x v="18"/>
    <x v="15"/>
    <x v="1"/>
    <n v="527630000"/>
  </r>
  <r>
    <d v="2025-07-07T00:00:00"/>
    <x v="1"/>
    <x v="6"/>
    <x v="27"/>
    <x v="6"/>
    <x v="24"/>
    <x v="18"/>
    <x v="1"/>
    <n v="3749090000"/>
  </r>
  <r>
    <d v="2025-07-07T00:00:00"/>
    <x v="1"/>
    <x v="6"/>
    <x v="27"/>
    <x v="6"/>
    <x v="23"/>
    <x v="17"/>
    <x v="4"/>
    <n v="268002000"/>
  </r>
  <r>
    <d v="2025-07-07T00:00:00"/>
    <x v="1"/>
    <x v="6"/>
    <x v="27"/>
    <x v="6"/>
    <x v="14"/>
    <x v="13"/>
    <x v="1"/>
    <n v="2127090000"/>
  </r>
  <r>
    <d v="2025-07-07T00:00:00"/>
    <x v="1"/>
    <x v="6"/>
    <x v="27"/>
    <x v="6"/>
    <x v="11"/>
    <x v="10"/>
    <x v="4"/>
    <n v="333439179"/>
  </r>
  <r>
    <d v="2025-07-07T00:00:00"/>
    <x v="1"/>
    <x v="6"/>
    <x v="27"/>
    <x v="6"/>
    <x v="19"/>
    <x v="12"/>
    <x v="4"/>
    <n v="925736442"/>
  </r>
  <r>
    <d v="2025-07-07T00:00:00"/>
    <x v="1"/>
    <x v="6"/>
    <x v="27"/>
    <x v="6"/>
    <x v="5"/>
    <x v="5"/>
    <x v="3"/>
    <n v="4462542748"/>
  </r>
  <r>
    <d v="2025-07-07T00:00:00"/>
    <x v="1"/>
    <x v="6"/>
    <x v="27"/>
    <x v="6"/>
    <x v="7"/>
    <x v="7"/>
    <x v="4"/>
    <n v="672515831"/>
  </r>
  <r>
    <d v="2025-07-08T00:00:00"/>
    <x v="1"/>
    <x v="6"/>
    <x v="27"/>
    <x v="7"/>
    <x v="12"/>
    <x v="11"/>
    <x v="1"/>
    <n v="13080430000"/>
  </r>
  <r>
    <d v="2025-07-08T00:00:00"/>
    <x v="1"/>
    <x v="6"/>
    <x v="27"/>
    <x v="7"/>
    <x v="2"/>
    <x v="2"/>
    <x v="1"/>
    <n v="11593100000"/>
  </r>
  <r>
    <d v="2025-07-08T00:00:00"/>
    <x v="1"/>
    <x v="6"/>
    <x v="27"/>
    <x v="7"/>
    <x v="19"/>
    <x v="12"/>
    <x v="4"/>
    <n v="658736982"/>
  </r>
  <r>
    <d v="2025-07-08T00:00:00"/>
    <x v="1"/>
    <x v="6"/>
    <x v="27"/>
    <x v="7"/>
    <x v="18"/>
    <x v="15"/>
    <x v="1"/>
    <n v="571290000"/>
  </r>
  <r>
    <d v="2025-07-08T00:00:00"/>
    <x v="1"/>
    <x v="6"/>
    <x v="27"/>
    <x v="7"/>
    <x v="20"/>
    <x v="9"/>
    <x v="1"/>
    <n v="0"/>
  </r>
  <r>
    <d v="2025-07-08T00:00:00"/>
    <x v="1"/>
    <x v="6"/>
    <x v="27"/>
    <x v="7"/>
    <x v="6"/>
    <x v="6"/>
    <x v="0"/>
    <n v="0"/>
  </r>
  <r>
    <d v="2025-07-08T00:00:00"/>
    <x v="1"/>
    <x v="6"/>
    <x v="27"/>
    <x v="7"/>
    <x v="14"/>
    <x v="13"/>
    <x v="1"/>
    <n v="1783870000"/>
  </r>
  <r>
    <d v="2025-07-08T00:00:00"/>
    <x v="1"/>
    <x v="6"/>
    <x v="27"/>
    <x v="7"/>
    <x v="23"/>
    <x v="17"/>
    <x v="4"/>
    <n v="320419110"/>
  </r>
  <r>
    <d v="2025-07-08T00:00:00"/>
    <x v="1"/>
    <x v="6"/>
    <x v="27"/>
    <x v="7"/>
    <x v="7"/>
    <x v="7"/>
    <x v="4"/>
    <n v="457099430"/>
  </r>
  <r>
    <d v="2025-07-08T00:00:00"/>
    <x v="1"/>
    <x v="6"/>
    <x v="27"/>
    <x v="7"/>
    <x v="11"/>
    <x v="10"/>
    <x v="4"/>
    <n v="348390969"/>
  </r>
  <r>
    <d v="2025-07-08T00:00:00"/>
    <x v="1"/>
    <x v="6"/>
    <x v="27"/>
    <x v="7"/>
    <x v="0"/>
    <x v="0"/>
    <x v="0"/>
    <n v="5448060000"/>
  </r>
  <r>
    <d v="2025-07-08T00:00:00"/>
    <x v="1"/>
    <x v="6"/>
    <x v="27"/>
    <x v="7"/>
    <x v="5"/>
    <x v="5"/>
    <x v="3"/>
    <n v="3699335581"/>
  </r>
  <r>
    <d v="2025-07-08T00:00:00"/>
    <x v="1"/>
    <x v="6"/>
    <x v="27"/>
    <x v="7"/>
    <x v="26"/>
    <x v="16"/>
    <x v="1"/>
    <n v="47250000"/>
  </r>
  <r>
    <d v="2025-07-08T00:00:00"/>
    <x v="1"/>
    <x v="6"/>
    <x v="27"/>
    <x v="7"/>
    <x v="17"/>
    <x v="9"/>
    <x v="1"/>
    <n v="0"/>
  </r>
  <r>
    <d v="2025-07-08T00:00:00"/>
    <x v="1"/>
    <x v="6"/>
    <x v="27"/>
    <x v="7"/>
    <x v="1"/>
    <x v="1"/>
    <x v="1"/>
    <n v="0"/>
  </r>
  <r>
    <d v="2025-07-08T00:00:00"/>
    <x v="1"/>
    <x v="6"/>
    <x v="27"/>
    <x v="7"/>
    <x v="15"/>
    <x v="14"/>
    <x v="4"/>
    <n v="38594533"/>
  </r>
  <r>
    <d v="2025-07-08T00:00:00"/>
    <x v="1"/>
    <x v="6"/>
    <x v="27"/>
    <x v="7"/>
    <x v="3"/>
    <x v="3"/>
    <x v="1"/>
    <n v="0"/>
  </r>
  <r>
    <d v="2025-07-08T00:00:00"/>
    <x v="1"/>
    <x v="6"/>
    <x v="27"/>
    <x v="7"/>
    <x v="25"/>
    <x v="2"/>
    <x v="1"/>
    <n v="0"/>
  </r>
  <r>
    <d v="2025-07-08T00:00:00"/>
    <x v="1"/>
    <x v="6"/>
    <x v="27"/>
    <x v="7"/>
    <x v="24"/>
    <x v="18"/>
    <x v="1"/>
    <n v="3596580000"/>
  </r>
  <r>
    <d v="2025-07-09T00:00:00"/>
    <x v="1"/>
    <x v="6"/>
    <x v="27"/>
    <x v="8"/>
    <x v="25"/>
    <x v="2"/>
    <x v="1"/>
    <n v="0"/>
  </r>
  <r>
    <d v="2025-07-09T00:00:00"/>
    <x v="1"/>
    <x v="6"/>
    <x v="27"/>
    <x v="8"/>
    <x v="26"/>
    <x v="16"/>
    <x v="1"/>
    <n v="0"/>
  </r>
  <r>
    <d v="2025-07-09T00:00:00"/>
    <x v="1"/>
    <x v="6"/>
    <x v="27"/>
    <x v="8"/>
    <x v="20"/>
    <x v="9"/>
    <x v="1"/>
    <n v="0"/>
  </r>
  <r>
    <d v="2025-07-09T00:00:00"/>
    <x v="1"/>
    <x v="6"/>
    <x v="27"/>
    <x v="8"/>
    <x v="2"/>
    <x v="2"/>
    <x v="1"/>
    <n v="11338750000"/>
  </r>
  <r>
    <d v="2025-07-09T00:00:00"/>
    <x v="1"/>
    <x v="6"/>
    <x v="27"/>
    <x v="8"/>
    <x v="15"/>
    <x v="14"/>
    <x v="4"/>
    <n v="23289970"/>
  </r>
  <r>
    <d v="2025-07-09T00:00:00"/>
    <x v="1"/>
    <x v="6"/>
    <x v="27"/>
    <x v="8"/>
    <x v="17"/>
    <x v="9"/>
    <x v="1"/>
    <n v="0"/>
  </r>
  <r>
    <d v="2025-07-09T00:00:00"/>
    <x v="1"/>
    <x v="6"/>
    <x v="27"/>
    <x v="8"/>
    <x v="1"/>
    <x v="1"/>
    <x v="1"/>
    <n v="0"/>
  </r>
  <r>
    <d v="2025-07-09T00:00:00"/>
    <x v="1"/>
    <x v="6"/>
    <x v="27"/>
    <x v="8"/>
    <x v="6"/>
    <x v="6"/>
    <x v="0"/>
    <n v="0"/>
  </r>
  <r>
    <d v="2025-07-09T00:00:00"/>
    <x v="1"/>
    <x v="6"/>
    <x v="27"/>
    <x v="8"/>
    <x v="3"/>
    <x v="3"/>
    <x v="1"/>
    <n v="0"/>
  </r>
  <r>
    <d v="2025-07-09T00:00:00"/>
    <x v="1"/>
    <x v="6"/>
    <x v="27"/>
    <x v="8"/>
    <x v="18"/>
    <x v="15"/>
    <x v="1"/>
    <n v="468450000"/>
  </r>
  <r>
    <d v="2025-07-09T00:00:00"/>
    <x v="1"/>
    <x v="6"/>
    <x v="27"/>
    <x v="8"/>
    <x v="0"/>
    <x v="0"/>
    <x v="0"/>
    <n v="5402268000"/>
  </r>
  <r>
    <d v="2025-07-09T00:00:00"/>
    <x v="1"/>
    <x v="6"/>
    <x v="27"/>
    <x v="8"/>
    <x v="12"/>
    <x v="11"/>
    <x v="1"/>
    <n v="12436980000"/>
  </r>
  <r>
    <d v="2025-07-09T00:00:00"/>
    <x v="1"/>
    <x v="6"/>
    <x v="27"/>
    <x v="8"/>
    <x v="24"/>
    <x v="18"/>
    <x v="1"/>
    <n v="4526630000"/>
  </r>
  <r>
    <d v="2025-07-09T00:00:00"/>
    <x v="1"/>
    <x v="6"/>
    <x v="27"/>
    <x v="8"/>
    <x v="14"/>
    <x v="13"/>
    <x v="1"/>
    <n v="2028600000"/>
  </r>
  <r>
    <d v="2025-07-09T00:00:00"/>
    <x v="1"/>
    <x v="6"/>
    <x v="27"/>
    <x v="8"/>
    <x v="5"/>
    <x v="5"/>
    <x v="3"/>
    <n v="3938924088"/>
  </r>
  <r>
    <d v="2025-07-09T00:00:00"/>
    <x v="1"/>
    <x v="6"/>
    <x v="27"/>
    <x v="8"/>
    <x v="7"/>
    <x v="7"/>
    <x v="4"/>
    <n v="442851978"/>
  </r>
  <r>
    <d v="2025-07-09T00:00:00"/>
    <x v="1"/>
    <x v="6"/>
    <x v="27"/>
    <x v="8"/>
    <x v="23"/>
    <x v="17"/>
    <x v="4"/>
    <n v="238390000"/>
  </r>
  <r>
    <d v="2025-07-09T00:00:00"/>
    <x v="1"/>
    <x v="6"/>
    <x v="27"/>
    <x v="8"/>
    <x v="11"/>
    <x v="10"/>
    <x v="4"/>
    <n v="326986319"/>
  </r>
  <r>
    <d v="2025-07-09T00:00:00"/>
    <x v="1"/>
    <x v="6"/>
    <x v="27"/>
    <x v="8"/>
    <x v="19"/>
    <x v="12"/>
    <x v="4"/>
    <n v="649685776"/>
  </r>
  <r>
    <d v="2025-07-10T00:00:00"/>
    <x v="1"/>
    <x v="6"/>
    <x v="27"/>
    <x v="9"/>
    <x v="2"/>
    <x v="2"/>
    <x v="1"/>
    <n v="15525090000"/>
  </r>
  <r>
    <d v="2025-07-10T00:00:00"/>
    <x v="1"/>
    <x v="6"/>
    <x v="27"/>
    <x v="9"/>
    <x v="14"/>
    <x v="13"/>
    <x v="1"/>
    <n v="2063570000"/>
  </r>
  <r>
    <d v="2025-07-10T00:00:00"/>
    <x v="1"/>
    <x v="6"/>
    <x v="27"/>
    <x v="9"/>
    <x v="25"/>
    <x v="2"/>
    <x v="1"/>
    <n v="0"/>
  </r>
  <r>
    <d v="2025-07-10T00:00:00"/>
    <x v="1"/>
    <x v="6"/>
    <x v="27"/>
    <x v="9"/>
    <x v="5"/>
    <x v="5"/>
    <x v="3"/>
    <n v="4898467042"/>
  </r>
  <r>
    <d v="2025-07-10T00:00:00"/>
    <x v="1"/>
    <x v="6"/>
    <x v="27"/>
    <x v="9"/>
    <x v="26"/>
    <x v="16"/>
    <x v="1"/>
    <n v="10500000"/>
  </r>
  <r>
    <d v="2025-07-10T00:00:00"/>
    <x v="1"/>
    <x v="6"/>
    <x v="27"/>
    <x v="9"/>
    <x v="15"/>
    <x v="14"/>
    <x v="4"/>
    <n v="31962154"/>
  </r>
  <r>
    <d v="2025-07-10T00:00:00"/>
    <x v="1"/>
    <x v="6"/>
    <x v="27"/>
    <x v="9"/>
    <x v="7"/>
    <x v="7"/>
    <x v="4"/>
    <n v="482235632"/>
  </r>
  <r>
    <d v="2025-07-10T00:00:00"/>
    <x v="1"/>
    <x v="6"/>
    <x v="27"/>
    <x v="9"/>
    <x v="17"/>
    <x v="9"/>
    <x v="1"/>
    <n v="0"/>
  </r>
  <r>
    <d v="2025-07-10T00:00:00"/>
    <x v="1"/>
    <x v="6"/>
    <x v="27"/>
    <x v="9"/>
    <x v="1"/>
    <x v="1"/>
    <x v="1"/>
    <n v="42000000"/>
  </r>
  <r>
    <d v="2025-07-10T00:00:00"/>
    <x v="1"/>
    <x v="6"/>
    <x v="27"/>
    <x v="9"/>
    <x v="6"/>
    <x v="6"/>
    <x v="0"/>
    <n v="57000000"/>
  </r>
  <r>
    <d v="2025-07-10T00:00:00"/>
    <x v="1"/>
    <x v="6"/>
    <x v="27"/>
    <x v="9"/>
    <x v="3"/>
    <x v="3"/>
    <x v="1"/>
    <n v="0"/>
  </r>
  <r>
    <d v="2025-07-10T00:00:00"/>
    <x v="1"/>
    <x v="6"/>
    <x v="27"/>
    <x v="9"/>
    <x v="18"/>
    <x v="15"/>
    <x v="1"/>
    <n v="219040000"/>
  </r>
  <r>
    <d v="2025-07-10T00:00:00"/>
    <x v="1"/>
    <x v="6"/>
    <x v="27"/>
    <x v="9"/>
    <x v="24"/>
    <x v="18"/>
    <x v="1"/>
    <n v="4796530000"/>
  </r>
  <r>
    <d v="2025-07-10T00:00:00"/>
    <x v="1"/>
    <x v="6"/>
    <x v="27"/>
    <x v="9"/>
    <x v="23"/>
    <x v="17"/>
    <x v="4"/>
    <n v="234676000"/>
  </r>
  <r>
    <d v="2025-07-10T00:00:00"/>
    <x v="1"/>
    <x v="6"/>
    <x v="27"/>
    <x v="9"/>
    <x v="12"/>
    <x v="11"/>
    <x v="1"/>
    <n v="14791080000"/>
  </r>
  <r>
    <d v="2025-07-10T00:00:00"/>
    <x v="1"/>
    <x v="6"/>
    <x v="27"/>
    <x v="9"/>
    <x v="20"/>
    <x v="9"/>
    <x v="1"/>
    <n v="0"/>
  </r>
  <r>
    <d v="2025-07-10T00:00:00"/>
    <x v="1"/>
    <x v="6"/>
    <x v="27"/>
    <x v="9"/>
    <x v="11"/>
    <x v="10"/>
    <x v="4"/>
    <n v="320298603"/>
  </r>
  <r>
    <d v="2025-07-10T00:00:00"/>
    <x v="1"/>
    <x v="6"/>
    <x v="27"/>
    <x v="9"/>
    <x v="19"/>
    <x v="12"/>
    <x v="4"/>
    <n v="515272320"/>
  </r>
  <r>
    <d v="2025-07-10T00:00:00"/>
    <x v="1"/>
    <x v="6"/>
    <x v="27"/>
    <x v="9"/>
    <x v="0"/>
    <x v="0"/>
    <x v="0"/>
    <n v="8205300000"/>
  </r>
  <r>
    <d v="2025-07-11T00:00:00"/>
    <x v="1"/>
    <x v="6"/>
    <x v="27"/>
    <x v="10"/>
    <x v="12"/>
    <x v="11"/>
    <x v="1"/>
    <n v="13298120000"/>
  </r>
  <r>
    <d v="2025-07-11T00:00:00"/>
    <x v="1"/>
    <x v="6"/>
    <x v="27"/>
    <x v="10"/>
    <x v="0"/>
    <x v="0"/>
    <x v="0"/>
    <n v="7437312000"/>
  </r>
  <r>
    <d v="2025-07-11T00:00:00"/>
    <x v="1"/>
    <x v="6"/>
    <x v="27"/>
    <x v="10"/>
    <x v="7"/>
    <x v="7"/>
    <x v="4"/>
    <n v="348027184"/>
  </r>
  <r>
    <d v="2025-07-11T00:00:00"/>
    <x v="1"/>
    <x v="6"/>
    <x v="27"/>
    <x v="10"/>
    <x v="2"/>
    <x v="2"/>
    <x v="1"/>
    <n v="13300500000"/>
  </r>
  <r>
    <d v="2025-07-11T00:00:00"/>
    <x v="1"/>
    <x v="6"/>
    <x v="27"/>
    <x v="10"/>
    <x v="5"/>
    <x v="5"/>
    <x v="3"/>
    <n v="4302728522"/>
  </r>
  <r>
    <d v="2025-07-11T00:00:00"/>
    <x v="1"/>
    <x v="6"/>
    <x v="27"/>
    <x v="10"/>
    <x v="26"/>
    <x v="16"/>
    <x v="1"/>
    <n v="10500000"/>
  </r>
  <r>
    <d v="2025-07-11T00:00:00"/>
    <x v="1"/>
    <x v="6"/>
    <x v="27"/>
    <x v="10"/>
    <x v="15"/>
    <x v="14"/>
    <x v="4"/>
    <n v="11816744"/>
  </r>
  <r>
    <d v="2025-07-11T00:00:00"/>
    <x v="1"/>
    <x v="6"/>
    <x v="27"/>
    <x v="10"/>
    <x v="20"/>
    <x v="9"/>
    <x v="1"/>
    <n v="0"/>
  </r>
  <r>
    <d v="2025-07-11T00:00:00"/>
    <x v="1"/>
    <x v="6"/>
    <x v="27"/>
    <x v="10"/>
    <x v="25"/>
    <x v="2"/>
    <x v="1"/>
    <n v="0"/>
  </r>
  <r>
    <d v="2025-07-11T00:00:00"/>
    <x v="1"/>
    <x v="6"/>
    <x v="27"/>
    <x v="10"/>
    <x v="17"/>
    <x v="9"/>
    <x v="1"/>
    <n v="0"/>
  </r>
  <r>
    <d v="2025-07-11T00:00:00"/>
    <x v="1"/>
    <x v="6"/>
    <x v="27"/>
    <x v="10"/>
    <x v="1"/>
    <x v="1"/>
    <x v="1"/>
    <n v="0"/>
  </r>
  <r>
    <d v="2025-07-11T00:00:00"/>
    <x v="1"/>
    <x v="6"/>
    <x v="27"/>
    <x v="10"/>
    <x v="6"/>
    <x v="6"/>
    <x v="0"/>
    <n v="0"/>
  </r>
  <r>
    <d v="2025-07-11T00:00:00"/>
    <x v="1"/>
    <x v="6"/>
    <x v="27"/>
    <x v="10"/>
    <x v="3"/>
    <x v="3"/>
    <x v="1"/>
    <n v="0"/>
  </r>
  <r>
    <d v="2025-07-11T00:00:00"/>
    <x v="1"/>
    <x v="6"/>
    <x v="27"/>
    <x v="10"/>
    <x v="18"/>
    <x v="15"/>
    <x v="1"/>
    <n v="277370000"/>
  </r>
  <r>
    <d v="2025-07-11T00:00:00"/>
    <x v="1"/>
    <x v="6"/>
    <x v="27"/>
    <x v="10"/>
    <x v="24"/>
    <x v="18"/>
    <x v="1"/>
    <n v="4289370000"/>
  </r>
  <r>
    <d v="2025-07-11T00:00:00"/>
    <x v="1"/>
    <x v="6"/>
    <x v="27"/>
    <x v="10"/>
    <x v="23"/>
    <x v="17"/>
    <x v="4"/>
    <n v="198459000"/>
  </r>
  <r>
    <d v="2025-07-11T00:00:00"/>
    <x v="1"/>
    <x v="6"/>
    <x v="27"/>
    <x v="10"/>
    <x v="14"/>
    <x v="13"/>
    <x v="1"/>
    <n v="1983460000"/>
  </r>
  <r>
    <d v="2025-07-11T00:00:00"/>
    <x v="1"/>
    <x v="6"/>
    <x v="27"/>
    <x v="10"/>
    <x v="11"/>
    <x v="10"/>
    <x v="4"/>
    <n v="264800449"/>
  </r>
  <r>
    <d v="2025-07-11T00:00:00"/>
    <x v="1"/>
    <x v="6"/>
    <x v="27"/>
    <x v="10"/>
    <x v="19"/>
    <x v="12"/>
    <x v="4"/>
    <n v="455785655"/>
  </r>
  <r>
    <d v="2025-07-12T00:00:00"/>
    <x v="1"/>
    <x v="6"/>
    <x v="27"/>
    <x v="11"/>
    <x v="25"/>
    <x v="2"/>
    <x v="1"/>
    <n v="0"/>
  </r>
  <r>
    <d v="2025-07-12T00:00:00"/>
    <x v="1"/>
    <x v="6"/>
    <x v="27"/>
    <x v="11"/>
    <x v="26"/>
    <x v="16"/>
    <x v="1"/>
    <n v="0"/>
  </r>
  <r>
    <d v="2025-07-12T00:00:00"/>
    <x v="1"/>
    <x v="6"/>
    <x v="27"/>
    <x v="11"/>
    <x v="20"/>
    <x v="9"/>
    <x v="1"/>
    <n v="0"/>
  </r>
  <r>
    <d v="2025-07-12T00:00:00"/>
    <x v="1"/>
    <x v="6"/>
    <x v="27"/>
    <x v="11"/>
    <x v="17"/>
    <x v="9"/>
    <x v="1"/>
    <n v="0"/>
  </r>
  <r>
    <d v="2025-07-12T00:00:00"/>
    <x v="1"/>
    <x v="6"/>
    <x v="27"/>
    <x v="11"/>
    <x v="15"/>
    <x v="14"/>
    <x v="4"/>
    <n v="13091085"/>
  </r>
  <r>
    <d v="2025-07-12T00:00:00"/>
    <x v="1"/>
    <x v="6"/>
    <x v="27"/>
    <x v="11"/>
    <x v="1"/>
    <x v="1"/>
    <x v="1"/>
    <n v="0"/>
  </r>
  <r>
    <d v="2025-07-12T00:00:00"/>
    <x v="1"/>
    <x v="6"/>
    <x v="27"/>
    <x v="11"/>
    <x v="6"/>
    <x v="6"/>
    <x v="0"/>
    <n v="0"/>
  </r>
  <r>
    <d v="2025-07-12T00:00:00"/>
    <x v="1"/>
    <x v="6"/>
    <x v="27"/>
    <x v="11"/>
    <x v="3"/>
    <x v="3"/>
    <x v="1"/>
    <n v="0"/>
  </r>
  <r>
    <d v="2025-07-12T00:00:00"/>
    <x v="1"/>
    <x v="6"/>
    <x v="27"/>
    <x v="11"/>
    <x v="18"/>
    <x v="15"/>
    <x v="1"/>
    <n v="215760000"/>
  </r>
  <r>
    <d v="2025-07-12T00:00:00"/>
    <x v="1"/>
    <x v="6"/>
    <x v="27"/>
    <x v="11"/>
    <x v="24"/>
    <x v="18"/>
    <x v="1"/>
    <n v="3351880000"/>
  </r>
  <r>
    <d v="2025-07-12T00:00:00"/>
    <x v="1"/>
    <x v="6"/>
    <x v="27"/>
    <x v="11"/>
    <x v="23"/>
    <x v="17"/>
    <x v="4"/>
    <n v="281168550"/>
  </r>
  <r>
    <d v="2025-07-12T00:00:00"/>
    <x v="1"/>
    <x v="6"/>
    <x v="27"/>
    <x v="11"/>
    <x v="14"/>
    <x v="13"/>
    <x v="1"/>
    <n v="1989280000"/>
  </r>
  <r>
    <d v="2025-07-12T00:00:00"/>
    <x v="1"/>
    <x v="6"/>
    <x v="27"/>
    <x v="11"/>
    <x v="11"/>
    <x v="10"/>
    <x v="4"/>
    <n v="264727749"/>
  </r>
  <r>
    <d v="2025-07-12T00:00:00"/>
    <x v="1"/>
    <x v="6"/>
    <x v="27"/>
    <x v="11"/>
    <x v="19"/>
    <x v="12"/>
    <x v="4"/>
    <n v="368807762"/>
  </r>
  <r>
    <d v="2025-07-12T00:00:00"/>
    <x v="1"/>
    <x v="6"/>
    <x v="27"/>
    <x v="11"/>
    <x v="5"/>
    <x v="5"/>
    <x v="3"/>
    <n v="3615742715"/>
  </r>
  <r>
    <d v="2025-07-12T00:00:00"/>
    <x v="1"/>
    <x v="6"/>
    <x v="27"/>
    <x v="11"/>
    <x v="7"/>
    <x v="7"/>
    <x v="4"/>
    <n v="339184826"/>
  </r>
  <r>
    <d v="2025-07-12T00:00:00"/>
    <x v="1"/>
    <x v="6"/>
    <x v="27"/>
    <x v="11"/>
    <x v="12"/>
    <x v="11"/>
    <x v="1"/>
    <n v="10779820000"/>
  </r>
  <r>
    <d v="2025-07-12T00:00:00"/>
    <x v="1"/>
    <x v="6"/>
    <x v="27"/>
    <x v="11"/>
    <x v="0"/>
    <x v="0"/>
    <x v="0"/>
    <n v="6733584000"/>
  </r>
  <r>
    <d v="2025-07-12T00:00:00"/>
    <x v="1"/>
    <x v="6"/>
    <x v="27"/>
    <x v="11"/>
    <x v="2"/>
    <x v="2"/>
    <x v="1"/>
    <n v="12728790000"/>
  </r>
  <r>
    <d v="2025-07-13T00:00:00"/>
    <x v="1"/>
    <x v="6"/>
    <x v="27"/>
    <x v="12"/>
    <x v="26"/>
    <x v="16"/>
    <x v="1"/>
    <n v="0"/>
  </r>
  <r>
    <d v="2025-07-13T00:00:00"/>
    <x v="1"/>
    <x v="6"/>
    <x v="27"/>
    <x v="12"/>
    <x v="25"/>
    <x v="2"/>
    <x v="1"/>
    <n v="0"/>
  </r>
  <r>
    <d v="2025-07-13T00:00:00"/>
    <x v="1"/>
    <x v="6"/>
    <x v="27"/>
    <x v="12"/>
    <x v="20"/>
    <x v="9"/>
    <x v="1"/>
    <n v="0"/>
  </r>
  <r>
    <d v="2025-07-13T00:00:00"/>
    <x v="1"/>
    <x v="6"/>
    <x v="27"/>
    <x v="12"/>
    <x v="17"/>
    <x v="9"/>
    <x v="1"/>
    <n v="0"/>
  </r>
  <r>
    <d v="2025-07-13T00:00:00"/>
    <x v="1"/>
    <x v="6"/>
    <x v="27"/>
    <x v="12"/>
    <x v="15"/>
    <x v="14"/>
    <x v="4"/>
    <n v="9478505"/>
  </r>
  <r>
    <d v="2025-07-13T00:00:00"/>
    <x v="1"/>
    <x v="6"/>
    <x v="27"/>
    <x v="12"/>
    <x v="1"/>
    <x v="1"/>
    <x v="1"/>
    <n v="0"/>
  </r>
  <r>
    <d v="2025-07-13T00:00:00"/>
    <x v="1"/>
    <x v="6"/>
    <x v="27"/>
    <x v="12"/>
    <x v="6"/>
    <x v="6"/>
    <x v="0"/>
    <n v="0"/>
  </r>
  <r>
    <d v="2025-07-13T00:00:00"/>
    <x v="1"/>
    <x v="6"/>
    <x v="27"/>
    <x v="12"/>
    <x v="3"/>
    <x v="3"/>
    <x v="1"/>
    <n v="0"/>
  </r>
  <r>
    <d v="2025-07-13T00:00:00"/>
    <x v="1"/>
    <x v="6"/>
    <x v="27"/>
    <x v="12"/>
    <x v="18"/>
    <x v="15"/>
    <x v="1"/>
    <n v="174360000"/>
  </r>
  <r>
    <d v="2025-07-13T00:00:00"/>
    <x v="1"/>
    <x v="6"/>
    <x v="27"/>
    <x v="12"/>
    <x v="24"/>
    <x v="18"/>
    <x v="1"/>
    <n v="3415040000"/>
  </r>
  <r>
    <d v="2025-07-13T00:00:00"/>
    <x v="1"/>
    <x v="6"/>
    <x v="27"/>
    <x v="12"/>
    <x v="11"/>
    <x v="10"/>
    <x v="4"/>
    <n v="245233514"/>
  </r>
  <r>
    <d v="2025-07-13T00:00:00"/>
    <x v="1"/>
    <x v="6"/>
    <x v="27"/>
    <x v="12"/>
    <x v="19"/>
    <x v="12"/>
    <x v="4"/>
    <n v="324555815"/>
  </r>
  <r>
    <d v="2025-07-13T00:00:00"/>
    <x v="1"/>
    <x v="6"/>
    <x v="27"/>
    <x v="12"/>
    <x v="5"/>
    <x v="5"/>
    <x v="3"/>
    <n v="3163132367"/>
  </r>
  <r>
    <d v="2025-07-13T00:00:00"/>
    <x v="1"/>
    <x v="6"/>
    <x v="27"/>
    <x v="12"/>
    <x v="7"/>
    <x v="7"/>
    <x v="4"/>
    <n v="299479528"/>
  </r>
  <r>
    <d v="2025-07-13T00:00:00"/>
    <x v="1"/>
    <x v="6"/>
    <x v="27"/>
    <x v="12"/>
    <x v="12"/>
    <x v="11"/>
    <x v="1"/>
    <n v="9952030000"/>
  </r>
  <r>
    <d v="2025-07-13T00:00:00"/>
    <x v="1"/>
    <x v="6"/>
    <x v="27"/>
    <x v="12"/>
    <x v="0"/>
    <x v="0"/>
    <x v="0"/>
    <n v="6410988000"/>
  </r>
  <r>
    <d v="2025-07-13T00:00:00"/>
    <x v="1"/>
    <x v="6"/>
    <x v="27"/>
    <x v="12"/>
    <x v="23"/>
    <x v="17"/>
    <x v="4"/>
    <n v="218508000"/>
  </r>
  <r>
    <d v="2025-07-13T00:00:00"/>
    <x v="1"/>
    <x v="6"/>
    <x v="27"/>
    <x v="12"/>
    <x v="14"/>
    <x v="13"/>
    <x v="1"/>
    <n v="2476460000"/>
  </r>
  <r>
    <d v="2025-07-13T00:00:00"/>
    <x v="1"/>
    <x v="6"/>
    <x v="27"/>
    <x v="12"/>
    <x v="2"/>
    <x v="2"/>
    <x v="1"/>
    <n v="11798300000"/>
  </r>
  <r>
    <d v="2025-07-14T00:00:00"/>
    <x v="1"/>
    <x v="6"/>
    <x v="28"/>
    <x v="13"/>
    <x v="17"/>
    <x v="9"/>
    <x v="1"/>
    <n v="0"/>
  </r>
  <r>
    <d v="2025-07-14T00:00:00"/>
    <x v="1"/>
    <x v="6"/>
    <x v="28"/>
    <x v="13"/>
    <x v="2"/>
    <x v="2"/>
    <x v="1"/>
    <n v="13798500000"/>
  </r>
  <r>
    <d v="2025-07-14T00:00:00"/>
    <x v="1"/>
    <x v="6"/>
    <x v="28"/>
    <x v="13"/>
    <x v="12"/>
    <x v="11"/>
    <x v="1"/>
    <n v="12850480000"/>
  </r>
  <r>
    <d v="2025-07-14T00:00:00"/>
    <x v="1"/>
    <x v="6"/>
    <x v="28"/>
    <x v="13"/>
    <x v="1"/>
    <x v="1"/>
    <x v="1"/>
    <n v="52500000"/>
  </r>
  <r>
    <d v="2025-07-14T00:00:00"/>
    <x v="1"/>
    <x v="6"/>
    <x v="28"/>
    <x v="13"/>
    <x v="6"/>
    <x v="6"/>
    <x v="0"/>
    <n v="58000000"/>
  </r>
  <r>
    <d v="2025-07-14T00:00:00"/>
    <x v="1"/>
    <x v="6"/>
    <x v="28"/>
    <x v="13"/>
    <x v="7"/>
    <x v="7"/>
    <x v="4"/>
    <n v="345279700"/>
  </r>
  <r>
    <d v="2025-07-14T00:00:00"/>
    <x v="1"/>
    <x v="6"/>
    <x v="28"/>
    <x v="13"/>
    <x v="25"/>
    <x v="2"/>
    <x v="1"/>
    <n v="0"/>
  </r>
  <r>
    <d v="2025-07-14T00:00:00"/>
    <x v="1"/>
    <x v="6"/>
    <x v="28"/>
    <x v="13"/>
    <x v="26"/>
    <x v="16"/>
    <x v="1"/>
    <n v="12600000"/>
  </r>
  <r>
    <d v="2025-07-14T00:00:00"/>
    <x v="1"/>
    <x v="6"/>
    <x v="28"/>
    <x v="13"/>
    <x v="15"/>
    <x v="14"/>
    <x v="4"/>
    <n v="18483719"/>
  </r>
  <r>
    <d v="2025-07-14T00:00:00"/>
    <x v="1"/>
    <x v="6"/>
    <x v="28"/>
    <x v="13"/>
    <x v="20"/>
    <x v="9"/>
    <x v="1"/>
    <n v="0"/>
  </r>
  <r>
    <d v="2025-07-14T00:00:00"/>
    <x v="1"/>
    <x v="6"/>
    <x v="28"/>
    <x v="13"/>
    <x v="0"/>
    <x v="0"/>
    <x v="0"/>
    <n v="6483996000"/>
  </r>
  <r>
    <d v="2025-07-14T00:00:00"/>
    <x v="1"/>
    <x v="6"/>
    <x v="28"/>
    <x v="13"/>
    <x v="3"/>
    <x v="3"/>
    <x v="1"/>
    <n v="0"/>
  </r>
  <r>
    <d v="2025-07-14T00:00:00"/>
    <x v="1"/>
    <x v="6"/>
    <x v="28"/>
    <x v="13"/>
    <x v="18"/>
    <x v="15"/>
    <x v="1"/>
    <n v="152000000"/>
  </r>
  <r>
    <d v="2025-07-14T00:00:00"/>
    <x v="1"/>
    <x v="6"/>
    <x v="28"/>
    <x v="13"/>
    <x v="24"/>
    <x v="18"/>
    <x v="1"/>
    <n v="4244850000"/>
  </r>
  <r>
    <d v="2025-07-14T00:00:00"/>
    <x v="1"/>
    <x v="6"/>
    <x v="28"/>
    <x v="13"/>
    <x v="23"/>
    <x v="17"/>
    <x v="4"/>
    <n v="179629699"/>
  </r>
  <r>
    <d v="2025-07-14T00:00:00"/>
    <x v="1"/>
    <x v="6"/>
    <x v="28"/>
    <x v="13"/>
    <x v="14"/>
    <x v="13"/>
    <x v="1"/>
    <n v="2084700000"/>
  </r>
  <r>
    <d v="2025-07-14T00:00:00"/>
    <x v="1"/>
    <x v="6"/>
    <x v="28"/>
    <x v="13"/>
    <x v="11"/>
    <x v="10"/>
    <x v="4"/>
    <n v="252302159"/>
  </r>
  <r>
    <d v="2025-07-14T00:00:00"/>
    <x v="1"/>
    <x v="6"/>
    <x v="28"/>
    <x v="13"/>
    <x v="19"/>
    <x v="12"/>
    <x v="4"/>
    <n v="395416116"/>
  </r>
  <r>
    <d v="2025-07-14T00:00:00"/>
    <x v="1"/>
    <x v="6"/>
    <x v="28"/>
    <x v="13"/>
    <x v="5"/>
    <x v="5"/>
    <x v="3"/>
    <n v="4001324306"/>
  </r>
  <r>
    <d v="2025-07-15T00:00:00"/>
    <x v="1"/>
    <x v="6"/>
    <x v="28"/>
    <x v="14"/>
    <x v="6"/>
    <x v="6"/>
    <x v="0"/>
    <n v="97000000"/>
  </r>
  <r>
    <d v="2025-07-15T00:00:00"/>
    <x v="1"/>
    <x v="6"/>
    <x v="28"/>
    <x v="14"/>
    <x v="5"/>
    <x v="5"/>
    <x v="3"/>
    <n v="4065693037"/>
  </r>
  <r>
    <d v="2025-07-15T00:00:00"/>
    <x v="1"/>
    <x v="6"/>
    <x v="28"/>
    <x v="14"/>
    <x v="15"/>
    <x v="14"/>
    <x v="4"/>
    <n v="14271099"/>
  </r>
  <r>
    <d v="2025-07-15T00:00:00"/>
    <x v="1"/>
    <x v="6"/>
    <x v="28"/>
    <x v="14"/>
    <x v="7"/>
    <x v="7"/>
    <x v="4"/>
    <n v="317746284"/>
  </r>
  <r>
    <d v="2025-07-15T00:00:00"/>
    <x v="1"/>
    <x v="6"/>
    <x v="28"/>
    <x v="14"/>
    <x v="25"/>
    <x v="2"/>
    <x v="1"/>
    <n v="0"/>
  </r>
  <r>
    <d v="2025-07-15T00:00:00"/>
    <x v="1"/>
    <x v="6"/>
    <x v="28"/>
    <x v="14"/>
    <x v="26"/>
    <x v="16"/>
    <x v="1"/>
    <n v="45150000"/>
  </r>
  <r>
    <d v="2025-07-15T00:00:00"/>
    <x v="1"/>
    <x v="6"/>
    <x v="28"/>
    <x v="14"/>
    <x v="12"/>
    <x v="11"/>
    <x v="1"/>
    <n v="14845900000"/>
  </r>
  <r>
    <d v="2025-07-15T00:00:00"/>
    <x v="1"/>
    <x v="6"/>
    <x v="28"/>
    <x v="14"/>
    <x v="20"/>
    <x v="9"/>
    <x v="1"/>
    <n v="0"/>
  </r>
  <r>
    <d v="2025-07-15T00:00:00"/>
    <x v="1"/>
    <x v="6"/>
    <x v="28"/>
    <x v="14"/>
    <x v="17"/>
    <x v="9"/>
    <x v="1"/>
    <n v="0"/>
  </r>
  <r>
    <d v="2025-07-15T00:00:00"/>
    <x v="1"/>
    <x v="6"/>
    <x v="28"/>
    <x v="14"/>
    <x v="1"/>
    <x v="1"/>
    <x v="1"/>
    <n v="141750000"/>
  </r>
  <r>
    <d v="2025-07-15T00:00:00"/>
    <x v="1"/>
    <x v="6"/>
    <x v="28"/>
    <x v="14"/>
    <x v="23"/>
    <x v="17"/>
    <x v="4"/>
    <n v="190409900"/>
  </r>
  <r>
    <d v="2025-07-15T00:00:00"/>
    <x v="1"/>
    <x v="6"/>
    <x v="28"/>
    <x v="14"/>
    <x v="3"/>
    <x v="3"/>
    <x v="1"/>
    <n v="21000000"/>
  </r>
  <r>
    <d v="2025-07-15T00:00:00"/>
    <x v="1"/>
    <x v="6"/>
    <x v="28"/>
    <x v="14"/>
    <x v="18"/>
    <x v="15"/>
    <x v="1"/>
    <n v="486120000"/>
  </r>
  <r>
    <d v="2025-07-15T00:00:00"/>
    <x v="1"/>
    <x v="6"/>
    <x v="28"/>
    <x v="14"/>
    <x v="24"/>
    <x v="18"/>
    <x v="1"/>
    <n v="2790000000"/>
  </r>
  <r>
    <d v="2025-07-15T00:00:00"/>
    <x v="1"/>
    <x v="6"/>
    <x v="28"/>
    <x v="14"/>
    <x v="0"/>
    <x v="0"/>
    <x v="0"/>
    <n v="7408368000"/>
  </r>
  <r>
    <d v="2025-07-15T00:00:00"/>
    <x v="1"/>
    <x v="6"/>
    <x v="28"/>
    <x v="14"/>
    <x v="14"/>
    <x v="13"/>
    <x v="1"/>
    <n v="1892630000"/>
  </r>
  <r>
    <d v="2025-07-15T00:00:00"/>
    <x v="1"/>
    <x v="6"/>
    <x v="28"/>
    <x v="14"/>
    <x v="11"/>
    <x v="10"/>
    <x v="4"/>
    <n v="226219301"/>
  </r>
  <r>
    <d v="2025-07-15T00:00:00"/>
    <x v="1"/>
    <x v="6"/>
    <x v="28"/>
    <x v="14"/>
    <x v="19"/>
    <x v="12"/>
    <x v="4"/>
    <n v="422564786"/>
  </r>
  <r>
    <d v="2025-07-15T00:00:00"/>
    <x v="1"/>
    <x v="6"/>
    <x v="28"/>
    <x v="14"/>
    <x v="2"/>
    <x v="2"/>
    <x v="1"/>
    <n v="14402530000"/>
  </r>
  <r>
    <d v="2025-07-16T00:00:00"/>
    <x v="1"/>
    <x v="6"/>
    <x v="28"/>
    <x v="15"/>
    <x v="26"/>
    <x v="16"/>
    <x v="1"/>
    <n v="58800000"/>
  </r>
  <r>
    <d v="2025-07-16T00:00:00"/>
    <x v="1"/>
    <x v="6"/>
    <x v="28"/>
    <x v="15"/>
    <x v="0"/>
    <x v="0"/>
    <x v="0"/>
    <n v="6656256000"/>
  </r>
  <r>
    <d v="2025-07-16T00:00:00"/>
    <x v="1"/>
    <x v="6"/>
    <x v="28"/>
    <x v="15"/>
    <x v="7"/>
    <x v="7"/>
    <x v="4"/>
    <n v="314304262"/>
  </r>
  <r>
    <d v="2025-07-16T00:00:00"/>
    <x v="1"/>
    <x v="6"/>
    <x v="28"/>
    <x v="15"/>
    <x v="12"/>
    <x v="11"/>
    <x v="1"/>
    <n v="12369430000"/>
  </r>
  <r>
    <d v="2025-07-16T00:00:00"/>
    <x v="1"/>
    <x v="6"/>
    <x v="28"/>
    <x v="15"/>
    <x v="20"/>
    <x v="9"/>
    <x v="1"/>
    <n v="0"/>
  </r>
  <r>
    <d v="2025-07-16T00:00:00"/>
    <x v="1"/>
    <x v="6"/>
    <x v="28"/>
    <x v="15"/>
    <x v="17"/>
    <x v="9"/>
    <x v="1"/>
    <n v="0"/>
  </r>
  <r>
    <d v="2025-07-16T00:00:00"/>
    <x v="1"/>
    <x v="6"/>
    <x v="28"/>
    <x v="15"/>
    <x v="1"/>
    <x v="1"/>
    <x v="1"/>
    <n v="52000000"/>
  </r>
  <r>
    <d v="2025-07-16T00:00:00"/>
    <x v="1"/>
    <x v="6"/>
    <x v="28"/>
    <x v="15"/>
    <x v="6"/>
    <x v="6"/>
    <x v="0"/>
    <n v="40000000"/>
  </r>
  <r>
    <d v="2025-07-16T00:00:00"/>
    <x v="1"/>
    <x v="6"/>
    <x v="28"/>
    <x v="15"/>
    <x v="3"/>
    <x v="3"/>
    <x v="1"/>
    <n v="0"/>
  </r>
  <r>
    <d v="2025-07-16T00:00:00"/>
    <x v="1"/>
    <x v="6"/>
    <x v="28"/>
    <x v="15"/>
    <x v="18"/>
    <x v="15"/>
    <x v="1"/>
    <n v="494680000"/>
  </r>
  <r>
    <d v="2025-07-16T00:00:00"/>
    <x v="1"/>
    <x v="6"/>
    <x v="28"/>
    <x v="15"/>
    <x v="24"/>
    <x v="18"/>
    <x v="1"/>
    <n v="2896250000"/>
  </r>
  <r>
    <d v="2025-07-16T00:00:00"/>
    <x v="1"/>
    <x v="6"/>
    <x v="28"/>
    <x v="15"/>
    <x v="15"/>
    <x v="14"/>
    <x v="4"/>
    <n v="7818253"/>
  </r>
  <r>
    <d v="2025-07-16T00:00:00"/>
    <x v="1"/>
    <x v="6"/>
    <x v="28"/>
    <x v="15"/>
    <x v="23"/>
    <x v="17"/>
    <x v="4"/>
    <n v="174837000"/>
  </r>
  <r>
    <d v="2025-07-16T00:00:00"/>
    <x v="1"/>
    <x v="6"/>
    <x v="28"/>
    <x v="15"/>
    <x v="14"/>
    <x v="13"/>
    <x v="1"/>
    <n v="1914220000"/>
  </r>
  <r>
    <d v="2025-07-16T00:00:00"/>
    <x v="1"/>
    <x v="6"/>
    <x v="28"/>
    <x v="15"/>
    <x v="11"/>
    <x v="10"/>
    <x v="4"/>
    <n v="201310089"/>
  </r>
  <r>
    <d v="2025-07-16T00:00:00"/>
    <x v="1"/>
    <x v="6"/>
    <x v="28"/>
    <x v="15"/>
    <x v="19"/>
    <x v="12"/>
    <x v="4"/>
    <n v="377881671"/>
  </r>
  <r>
    <d v="2025-07-16T00:00:00"/>
    <x v="1"/>
    <x v="6"/>
    <x v="28"/>
    <x v="15"/>
    <x v="5"/>
    <x v="5"/>
    <x v="3"/>
    <n v="3587457734"/>
  </r>
  <r>
    <d v="2025-07-16T00:00:00"/>
    <x v="1"/>
    <x v="6"/>
    <x v="28"/>
    <x v="15"/>
    <x v="2"/>
    <x v="2"/>
    <x v="1"/>
    <n v="13921780000"/>
  </r>
  <r>
    <d v="2025-07-16T00:00:00"/>
    <x v="1"/>
    <x v="6"/>
    <x v="28"/>
    <x v="15"/>
    <x v="25"/>
    <x v="2"/>
    <x v="1"/>
    <n v="0"/>
  </r>
  <r>
    <d v="2025-07-17T00:00:00"/>
    <x v="1"/>
    <x v="6"/>
    <x v="28"/>
    <x v="16"/>
    <x v="1"/>
    <x v="1"/>
    <x v="1"/>
    <n v="10500000"/>
  </r>
  <r>
    <d v="2025-07-17T00:00:00"/>
    <x v="1"/>
    <x v="6"/>
    <x v="28"/>
    <x v="16"/>
    <x v="0"/>
    <x v="0"/>
    <x v="0"/>
    <n v="6197040000"/>
  </r>
  <r>
    <d v="2025-07-17T00:00:00"/>
    <x v="1"/>
    <x v="6"/>
    <x v="28"/>
    <x v="16"/>
    <x v="2"/>
    <x v="2"/>
    <x v="1"/>
    <n v="12450250000"/>
  </r>
  <r>
    <d v="2025-07-17T00:00:00"/>
    <x v="1"/>
    <x v="6"/>
    <x v="28"/>
    <x v="16"/>
    <x v="15"/>
    <x v="14"/>
    <x v="4"/>
    <n v="14620103"/>
  </r>
  <r>
    <d v="2025-07-17T00:00:00"/>
    <x v="1"/>
    <x v="6"/>
    <x v="28"/>
    <x v="16"/>
    <x v="7"/>
    <x v="7"/>
    <x v="4"/>
    <n v="279097273"/>
  </r>
  <r>
    <d v="2025-07-17T00:00:00"/>
    <x v="1"/>
    <x v="6"/>
    <x v="28"/>
    <x v="16"/>
    <x v="25"/>
    <x v="2"/>
    <x v="1"/>
    <n v="0"/>
  </r>
  <r>
    <d v="2025-07-17T00:00:00"/>
    <x v="1"/>
    <x v="6"/>
    <x v="28"/>
    <x v="16"/>
    <x v="12"/>
    <x v="11"/>
    <x v="1"/>
    <n v="11799950000"/>
  </r>
  <r>
    <d v="2025-07-17T00:00:00"/>
    <x v="1"/>
    <x v="6"/>
    <x v="28"/>
    <x v="16"/>
    <x v="20"/>
    <x v="9"/>
    <x v="1"/>
    <n v="0"/>
  </r>
  <r>
    <d v="2025-07-17T00:00:00"/>
    <x v="1"/>
    <x v="6"/>
    <x v="28"/>
    <x v="16"/>
    <x v="17"/>
    <x v="9"/>
    <x v="1"/>
    <n v="0"/>
  </r>
  <r>
    <d v="2025-07-17T00:00:00"/>
    <x v="1"/>
    <x v="6"/>
    <x v="28"/>
    <x v="16"/>
    <x v="26"/>
    <x v="16"/>
    <x v="1"/>
    <n v="0"/>
  </r>
  <r>
    <d v="2025-07-17T00:00:00"/>
    <x v="1"/>
    <x v="6"/>
    <x v="28"/>
    <x v="16"/>
    <x v="6"/>
    <x v="6"/>
    <x v="0"/>
    <n v="35000000"/>
  </r>
  <r>
    <d v="2025-07-17T00:00:00"/>
    <x v="1"/>
    <x v="6"/>
    <x v="28"/>
    <x v="16"/>
    <x v="3"/>
    <x v="3"/>
    <x v="1"/>
    <n v="0"/>
  </r>
  <r>
    <d v="2025-07-17T00:00:00"/>
    <x v="1"/>
    <x v="6"/>
    <x v="28"/>
    <x v="16"/>
    <x v="18"/>
    <x v="15"/>
    <x v="1"/>
    <n v="371860000"/>
  </r>
  <r>
    <d v="2025-07-17T00:00:00"/>
    <x v="1"/>
    <x v="6"/>
    <x v="28"/>
    <x v="16"/>
    <x v="24"/>
    <x v="18"/>
    <x v="1"/>
    <n v="2560660000"/>
  </r>
  <r>
    <d v="2025-07-17T00:00:00"/>
    <x v="1"/>
    <x v="6"/>
    <x v="28"/>
    <x v="16"/>
    <x v="23"/>
    <x v="17"/>
    <x v="4"/>
    <n v="201963000"/>
  </r>
  <r>
    <d v="2025-07-17T00:00:00"/>
    <x v="1"/>
    <x v="6"/>
    <x v="28"/>
    <x v="16"/>
    <x v="14"/>
    <x v="13"/>
    <x v="1"/>
    <n v="1648900000"/>
  </r>
  <r>
    <d v="2025-07-17T00:00:00"/>
    <x v="1"/>
    <x v="6"/>
    <x v="28"/>
    <x v="16"/>
    <x v="11"/>
    <x v="10"/>
    <x v="4"/>
    <n v="215171511"/>
  </r>
  <r>
    <d v="2025-07-17T00:00:00"/>
    <x v="1"/>
    <x v="6"/>
    <x v="28"/>
    <x v="16"/>
    <x v="19"/>
    <x v="12"/>
    <x v="4"/>
    <n v="298633018"/>
  </r>
  <r>
    <d v="2025-07-17T00:00:00"/>
    <x v="1"/>
    <x v="6"/>
    <x v="28"/>
    <x v="16"/>
    <x v="5"/>
    <x v="5"/>
    <x v="3"/>
    <n v="3233837883"/>
  </r>
  <r>
    <d v="2025-07-18T00:00:00"/>
    <x v="1"/>
    <x v="6"/>
    <x v="28"/>
    <x v="17"/>
    <x v="18"/>
    <x v="15"/>
    <x v="1"/>
    <n v="462830000"/>
  </r>
  <r>
    <d v="2025-07-18T00:00:00"/>
    <x v="1"/>
    <x v="6"/>
    <x v="28"/>
    <x v="17"/>
    <x v="24"/>
    <x v="18"/>
    <x v="1"/>
    <n v="2556130000"/>
  </r>
  <r>
    <d v="2025-07-18T00:00:00"/>
    <x v="1"/>
    <x v="6"/>
    <x v="28"/>
    <x v="17"/>
    <x v="3"/>
    <x v="3"/>
    <x v="1"/>
    <n v="0"/>
  </r>
  <r>
    <d v="2025-07-18T00:00:00"/>
    <x v="1"/>
    <x v="6"/>
    <x v="28"/>
    <x v="17"/>
    <x v="7"/>
    <x v="7"/>
    <x v="4"/>
    <n v="275416293"/>
  </r>
  <r>
    <d v="2025-07-18T00:00:00"/>
    <x v="1"/>
    <x v="6"/>
    <x v="28"/>
    <x v="17"/>
    <x v="1"/>
    <x v="1"/>
    <x v="1"/>
    <n v="83500000"/>
  </r>
  <r>
    <d v="2025-07-18T00:00:00"/>
    <x v="1"/>
    <x v="6"/>
    <x v="28"/>
    <x v="17"/>
    <x v="6"/>
    <x v="6"/>
    <x v="0"/>
    <n v="29000000"/>
  </r>
  <r>
    <d v="2025-07-18T00:00:00"/>
    <x v="1"/>
    <x v="6"/>
    <x v="28"/>
    <x v="17"/>
    <x v="19"/>
    <x v="12"/>
    <x v="4"/>
    <n v="269916864"/>
  </r>
  <r>
    <d v="2025-07-18T00:00:00"/>
    <x v="1"/>
    <x v="6"/>
    <x v="28"/>
    <x v="17"/>
    <x v="25"/>
    <x v="2"/>
    <x v="1"/>
    <n v="0"/>
  </r>
  <r>
    <d v="2025-07-18T00:00:00"/>
    <x v="1"/>
    <x v="6"/>
    <x v="28"/>
    <x v="17"/>
    <x v="14"/>
    <x v="13"/>
    <x v="1"/>
    <n v="2077120000"/>
  </r>
  <r>
    <d v="2025-07-18T00:00:00"/>
    <x v="1"/>
    <x v="6"/>
    <x v="28"/>
    <x v="17"/>
    <x v="23"/>
    <x v="17"/>
    <x v="4"/>
    <n v="210605000"/>
  </r>
  <r>
    <d v="2025-07-18T00:00:00"/>
    <x v="1"/>
    <x v="6"/>
    <x v="28"/>
    <x v="17"/>
    <x v="5"/>
    <x v="5"/>
    <x v="3"/>
    <n v="3398337065"/>
  </r>
  <r>
    <d v="2025-07-18T00:00:00"/>
    <x v="1"/>
    <x v="6"/>
    <x v="28"/>
    <x v="17"/>
    <x v="11"/>
    <x v="10"/>
    <x v="4"/>
    <n v="228610191"/>
  </r>
  <r>
    <d v="2025-07-18T00:00:00"/>
    <x v="1"/>
    <x v="6"/>
    <x v="28"/>
    <x v="17"/>
    <x v="12"/>
    <x v="11"/>
    <x v="1"/>
    <n v="11651060000"/>
  </r>
  <r>
    <d v="2025-07-18T00:00:00"/>
    <x v="1"/>
    <x v="6"/>
    <x v="28"/>
    <x v="17"/>
    <x v="0"/>
    <x v="0"/>
    <x v="0"/>
    <n v="5614164000"/>
  </r>
  <r>
    <d v="2025-07-18T00:00:00"/>
    <x v="1"/>
    <x v="6"/>
    <x v="28"/>
    <x v="17"/>
    <x v="26"/>
    <x v="16"/>
    <x v="1"/>
    <n v="20500000"/>
  </r>
  <r>
    <d v="2025-07-18T00:00:00"/>
    <x v="1"/>
    <x v="6"/>
    <x v="28"/>
    <x v="17"/>
    <x v="2"/>
    <x v="2"/>
    <x v="1"/>
    <n v="11388760000"/>
  </r>
  <r>
    <d v="2025-07-18T00:00:00"/>
    <x v="1"/>
    <x v="6"/>
    <x v="28"/>
    <x v="17"/>
    <x v="15"/>
    <x v="14"/>
    <x v="4"/>
    <n v="24013523"/>
  </r>
  <r>
    <d v="2025-07-18T00:00:00"/>
    <x v="1"/>
    <x v="6"/>
    <x v="28"/>
    <x v="17"/>
    <x v="20"/>
    <x v="9"/>
    <x v="1"/>
    <n v="0"/>
  </r>
  <r>
    <d v="2025-07-18T00:00:00"/>
    <x v="1"/>
    <x v="6"/>
    <x v="28"/>
    <x v="17"/>
    <x v="17"/>
    <x v="9"/>
    <x v="1"/>
    <n v="0"/>
  </r>
  <r>
    <d v="2025-07-19T00:00:00"/>
    <x v="1"/>
    <x v="6"/>
    <x v="28"/>
    <x v="18"/>
    <x v="26"/>
    <x v="16"/>
    <x v="1"/>
    <n v="0"/>
  </r>
  <r>
    <d v="2025-07-19T00:00:00"/>
    <x v="1"/>
    <x v="6"/>
    <x v="28"/>
    <x v="18"/>
    <x v="11"/>
    <x v="10"/>
    <x v="4"/>
    <n v="210759047"/>
  </r>
  <r>
    <d v="2025-07-19T00:00:00"/>
    <x v="1"/>
    <x v="6"/>
    <x v="28"/>
    <x v="18"/>
    <x v="1"/>
    <x v="1"/>
    <x v="1"/>
    <n v="41000000"/>
  </r>
  <r>
    <d v="2025-07-19T00:00:00"/>
    <x v="1"/>
    <x v="6"/>
    <x v="28"/>
    <x v="18"/>
    <x v="19"/>
    <x v="12"/>
    <x v="4"/>
    <n v="325335466"/>
  </r>
  <r>
    <d v="2025-07-19T00:00:00"/>
    <x v="1"/>
    <x v="6"/>
    <x v="28"/>
    <x v="18"/>
    <x v="20"/>
    <x v="9"/>
    <x v="1"/>
    <n v="0"/>
  </r>
  <r>
    <d v="2025-07-19T00:00:00"/>
    <x v="1"/>
    <x v="6"/>
    <x v="28"/>
    <x v="18"/>
    <x v="17"/>
    <x v="9"/>
    <x v="1"/>
    <n v="0"/>
  </r>
  <r>
    <d v="2025-07-19T00:00:00"/>
    <x v="1"/>
    <x v="6"/>
    <x v="28"/>
    <x v="18"/>
    <x v="25"/>
    <x v="2"/>
    <x v="1"/>
    <n v="0"/>
  </r>
  <r>
    <d v="2025-07-19T00:00:00"/>
    <x v="1"/>
    <x v="6"/>
    <x v="28"/>
    <x v="18"/>
    <x v="14"/>
    <x v="13"/>
    <x v="1"/>
    <n v="1660720000"/>
  </r>
  <r>
    <d v="2025-07-19T00:00:00"/>
    <x v="1"/>
    <x v="6"/>
    <x v="28"/>
    <x v="18"/>
    <x v="6"/>
    <x v="6"/>
    <x v="0"/>
    <n v="29000000"/>
  </r>
  <r>
    <d v="2025-07-19T00:00:00"/>
    <x v="1"/>
    <x v="6"/>
    <x v="28"/>
    <x v="18"/>
    <x v="3"/>
    <x v="3"/>
    <x v="1"/>
    <n v="0"/>
  </r>
  <r>
    <d v="2025-07-19T00:00:00"/>
    <x v="1"/>
    <x v="6"/>
    <x v="28"/>
    <x v="18"/>
    <x v="18"/>
    <x v="15"/>
    <x v="1"/>
    <n v="443000000"/>
  </r>
  <r>
    <d v="2025-07-19T00:00:00"/>
    <x v="1"/>
    <x v="6"/>
    <x v="28"/>
    <x v="18"/>
    <x v="24"/>
    <x v="18"/>
    <x v="1"/>
    <n v="1699370000"/>
  </r>
  <r>
    <d v="2025-07-19T00:00:00"/>
    <x v="1"/>
    <x v="6"/>
    <x v="28"/>
    <x v="18"/>
    <x v="23"/>
    <x v="17"/>
    <x v="4"/>
    <n v="178478000"/>
  </r>
  <r>
    <d v="2025-07-19T00:00:00"/>
    <x v="1"/>
    <x v="6"/>
    <x v="28"/>
    <x v="18"/>
    <x v="15"/>
    <x v="14"/>
    <x v="4"/>
    <n v="8499428"/>
  </r>
  <r>
    <d v="2025-07-19T00:00:00"/>
    <x v="1"/>
    <x v="6"/>
    <x v="28"/>
    <x v="18"/>
    <x v="5"/>
    <x v="5"/>
    <x v="3"/>
    <n v="3391048053"/>
  </r>
  <r>
    <d v="2025-07-19T00:00:00"/>
    <x v="1"/>
    <x v="6"/>
    <x v="28"/>
    <x v="18"/>
    <x v="7"/>
    <x v="7"/>
    <x v="4"/>
    <n v="237155085"/>
  </r>
  <r>
    <d v="2025-07-19T00:00:00"/>
    <x v="1"/>
    <x v="6"/>
    <x v="28"/>
    <x v="18"/>
    <x v="2"/>
    <x v="2"/>
    <x v="1"/>
    <n v="10927200000"/>
  </r>
  <r>
    <d v="2025-07-19T00:00:00"/>
    <x v="1"/>
    <x v="6"/>
    <x v="28"/>
    <x v="18"/>
    <x v="12"/>
    <x v="11"/>
    <x v="1"/>
    <n v="10805770000"/>
  </r>
  <r>
    <d v="2025-07-19T00:00:00"/>
    <x v="1"/>
    <x v="6"/>
    <x v="28"/>
    <x v="18"/>
    <x v="0"/>
    <x v="0"/>
    <x v="0"/>
    <n v="5683284000"/>
  </r>
  <r>
    <d v="2025-07-20T00:00:00"/>
    <x v="1"/>
    <x v="6"/>
    <x v="28"/>
    <x v="19"/>
    <x v="25"/>
    <x v="2"/>
    <x v="1"/>
    <n v="0"/>
  </r>
  <r>
    <d v="2025-07-20T00:00:00"/>
    <x v="1"/>
    <x v="6"/>
    <x v="28"/>
    <x v="19"/>
    <x v="26"/>
    <x v="16"/>
    <x v="1"/>
    <n v="0"/>
  </r>
  <r>
    <d v="2025-07-20T00:00:00"/>
    <x v="1"/>
    <x v="6"/>
    <x v="28"/>
    <x v="19"/>
    <x v="0"/>
    <x v="0"/>
    <x v="0"/>
    <n v="5211432000"/>
  </r>
  <r>
    <d v="2025-07-20T00:00:00"/>
    <x v="1"/>
    <x v="6"/>
    <x v="28"/>
    <x v="19"/>
    <x v="20"/>
    <x v="9"/>
    <x v="1"/>
    <n v="0"/>
  </r>
  <r>
    <d v="2025-07-20T00:00:00"/>
    <x v="1"/>
    <x v="6"/>
    <x v="28"/>
    <x v="19"/>
    <x v="17"/>
    <x v="9"/>
    <x v="1"/>
    <n v="0"/>
  </r>
  <r>
    <d v="2025-07-20T00:00:00"/>
    <x v="1"/>
    <x v="6"/>
    <x v="28"/>
    <x v="19"/>
    <x v="1"/>
    <x v="1"/>
    <x v="1"/>
    <n v="0"/>
  </r>
  <r>
    <d v="2025-07-20T00:00:00"/>
    <x v="1"/>
    <x v="6"/>
    <x v="28"/>
    <x v="19"/>
    <x v="6"/>
    <x v="6"/>
    <x v="0"/>
    <n v="40000000"/>
  </r>
  <r>
    <d v="2025-07-20T00:00:00"/>
    <x v="1"/>
    <x v="6"/>
    <x v="28"/>
    <x v="19"/>
    <x v="3"/>
    <x v="3"/>
    <x v="1"/>
    <n v="0"/>
  </r>
  <r>
    <d v="2025-07-20T00:00:00"/>
    <x v="1"/>
    <x v="6"/>
    <x v="28"/>
    <x v="19"/>
    <x v="18"/>
    <x v="15"/>
    <x v="1"/>
    <n v="518840000"/>
  </r>
  <r>
    <d v="2025-07-20T00:00:00"/>
    <x v="1"/>
    <x v="6"/>
    <x v="28"/>
    <x v="19"/>
    <x v="24"/>
    <x v="18"/>
    <x v="1"/>
    <n v="1435900000"/>
  </r>
  <r>
    <d v="2025-07-20T00:00:00"/>
    <x v="1"/>
    <x v="6"/>
    <x v="28"/>
    <x v="19"/>
    <x v="15"/>
    <x v="14"/>
    <x v="4"/>
    <n v="23032937"/>
  </r>
  <r>
    <d v="2025-07-20T00:00:00"/>
    <x v="1"/>
    <x v="6"/>
    <x v="28"/>
    <x v="19"/>
    <x v="23"/>
    <x v="17"/>
    <x v="4"/>
    <n v="218611699"/>
  </r>
  <r>
    <d v="2025-07-20T00:00:00"/>
    <x v="1"/>
    <x v="6"/>
    <x v="28"/>
    <x v="19"/>
    <x v="14"/>
    <x v="13"/>
    <x v="1"/>
    <n v="1826950000"/>
  </r>
  <r>
    <d v="2025-07-20T00:00:00"/>
    <x v="1"/>
    <x v="6"/>
    <x v="28"/>
    <x v="19"/>
    <x v="11"/>
    <x v="10"/>
    <x v="4"/>
    <n v="261575597"/>
  </r>
  <r>
    <d v="2025-07-20T00:00:00"/>
    <x v="1"/>
    <x v="6"/>
    <x v="28"/>
    <x v="19"/>
    <x v="19"/>
    <x v="12"/>
    <x v="4"/>
    <n v="265068127"/>
  </r>
  <r>
    <d v="2025-07-20T00:00:00"/>
    <x v="1"/>
    <x v="6"/>
    <x v="28"/>
    <x v="19"/>
    <x v="5"/>
    <x v="5"/>
    <x v="3"/>
    <n v="3240751987"/>
  </r>
  <r>
    <d v="2025-07-20T00:00:00"/>
    <x v="1"/>
    <x v="6"/>
    <x v="28"/>
    <x v="19"/>
    <x v="7"/>
    <x v="7"/>
    <x v="4"/>
    <n v="263308286"/>
  </r>
  <r>
    <d v="2025-07-20T00:00:00"/>
    <x v="1"/>
    <x v="6"/>
    <x v="28"/>
    <x v="19"/>
    <x v="2"/>
    <x v="2"/>
    <x v="1"/>
    <n v="10704760000"/>
  </r>
  <r>
    <d v="2025-07-20T00:00:00"/>
    <x v="1"/>
    <x v="6"/>
    <x v="28"/>
    <x v="19"/>
    <x v="12"/>
    <x v="11"/>
    <x v="1"/>
    <n v="9998040000"/>
  </r>
  <r>
    <d v="2025-07-21T00:00:00"/>
    <x v="1"/>
    <x v="6"/>
    <x v="29"/>
    <x v="20"/>
    <x v="0"/>
    <x v="0"/>
    <x v="0"/>
    <n v="5769036000"/>
  </r>
  <r>
    <d v="2025-07-21T00:00:00"/>
    <x v="1"/>
    <x v="6"/>
    <x v="29"/>
    <x v="20"/>
    <x v="25"/>
    <x v="2"/>
    <x v="1"/>
    <n v="0"/>
  </r>
  <r>
    <d v="2025-07-21T00:00:00"/>
    <x v="1"/>
    <x v="6"/>
    <x v="29"/>
    <x v="20"/>
    <x v="27"/>
    <x v="19"/>
    <x v="0"/>
    <n v="22680000"/>
  </r>
  <r>
    <d v="2025-07-21T00:00:00"/>
    <x v="1"/>
    <x v="6"/>
    <x v="29"/>
    <x v="20"/>
    <x v="2"/>
    <x v="2"/>
    <x v="1"/>
    <n v="12003070000"/>
  </r>
  <r>
    <d v="2025-07-21T00:00:00"/>
    <x v="1"/>
    <x v="6"/>
    <x v="29"/>
    <x v="20"/>
    <x v="20"/>
    <x v="9"/>
    <x v="1"/>
    <n v="0"/>
  </r>
  <r>
    <d v="2025-07-21T00:00:00"/>
    <x v="1"/>
    <x v="6"/>
    <x v="29"/>
    <x v="20"/>
    <x v="26"/>
    <x v="16"/>
    <x v="1"/>
    <n v="10500000"/>
  </r>
  <r>
    <d v="2025-07-21T00:00:00"/>
    <x v="1"/>
    <x v="6"/>
    <x v="29"/>
    <x v="20"/>
    <x v="1"/>
    <x v="1"/>
    <x v="1"/>
    <n v="20500000"/>
  </r>
  <r>
    <d v="2025-07-21T00:00:00"/>
    <x v="1"/>
    <x v="6"/>
    <x v="29"/>
    <x v="20"/>
    <x v="15"/>
    <x v="14"/>
    <x v="4"/>
    <n v="35072214"/>
  </r>
  <r>
    <d v="2025-07-21T00:00:00"/>
    <x v="1"/>
    <x v="6"/>
    <x v="29"/>
    <x v="20"/>
    <x v="6"/>
    <x v="6"/>
    <x v="0"/>
    <n v="37000000"/>
  </r>
  <r>
    <d v="2025-07-21T00:00:00"/>
    <x v="1"/>
    <x v="6"/>
    <x v="29"/>
    <x v="20"/>
    <x v="3"/>
    <x v="3"/>
    <x v="1"/>
    <n v="0"/>
  </r>
  <r>
    <d v="2025-07-21T00:00:00"/>
    <x v="1"/>
    <x v="6"/>
    <x v="29"/>
    <x v="20"/>
    <x v="18"/>
    <x v="15"/>
    <x v="1"/>
    <n v="615480000"/>
  </r>
  <r>
    <d v="2025-07-21T00:00:00"/>
    <x v="1"/>
    <x v="6"/>
    <x v="29"/>
    <x v="20"/>
    <x v="24"/>
    <x v="18"/>
    <x v="1"/>
    <n v="2429990000"/>
  </r>
  <r>
    <d v="2025-07-21T00:00:00"/>
    <x v="1"/>
    <x v="6"/>
    <x v="29"/>
    <x v="20"/>
    <x v="14"/>
    <x v="13"/>
    <x v="1"/>
    <n v="1785400000"/>
  </r>
  <r>
    <d v="2025-07-21T00:00:00"/>
    <x v="1"/>
    <x v="6"/>
    <x v="29"/>
    <x v="20"/>
    <x v="11"/>
    <x v="10"/>
    <x v="4"/>
    <n v="243586676"/>
  </r>
  <r>
    <d v="2025-07-21T00:00:00"/>
    <x v="1"/>
    <x v="6"/>
    <x v="29"/>
    <x v="20"/>
    <x v="19"/>
    <x v="12"/>
    <x v="4"/>
    <n v="402075056"/>
  </r>
  <r>
    <d v="2025-07-21T00:00:00"/>
    <x v="1"/>
    <x v="6"/>
    <x v="29"/>
    <x v="20"/>
    <x v="23"/>
    <x v="17"/>
    <x v="4"/>
    <n v="227986000"/>
  </r>
  <r>
    <d v="2025-07-21T00:00:00"/>
    <x v="1"/>
    <x v="6"/>
    <x v="29"/>
    <x v="20"/>
    <x v="5"/>
    <x v="5"/>
    <x v="3"/>
    <n v="3546645448"/>
  </r>
  <r>
    <d v="2025-07-21T00:00:00"/>
    <x v="1"/>
    <x v="6"/>
    <x v="29"/>
    <x v="20"/>
    <x v="7"/>
    <x v="7"/>
    <x v="4"/>
    <n v="306959319"/>
  </r>
  <r>
    <d v="2025-07-21T00:00:00"/>
    <x v="1"/>
    <x v="6"/>
    <x v="29"/>
    <x v="20"/>
    <x v="12"/>
    <x v="11"/>
    <x v="1"/>
    <n v="12575310000"/>
  </r>
  <r>
    <d v="2025-07-22T00:00:00"/>
    <x v="1"/>
    <x v="6"/>
    <x v="29"/>
    <x v="21"/>
    <x v="3"/>
    <x v="3"/>
    <x v="1"/>
    <n v="0"/>
  </r>
  <r>
    <d v="2025-07-22T00:00:00"/>
    <x v="1"/>
    <x v="6"/>
    <x v="29"/>
    <x v="21"/>
    <x v="23"/>
    <x v="17"/>
    <x v="4"/>
    <n v="160234000"/>
  </r>
  <r>
    <d v="2025-07-22T00:00:00"/>
    <x v="1"/>
    <x v="6"/>
    <x v="29"/>
    <x v="21"/>
    <x v="18"/>
    <x v="15"/>
    <x v="1"/>
    <n v="381180000"/>
  </r>
  <r>
    <d v="2025-07-22T00:00:00"/>
    <x v="1"/>
    <x v="6"/>
    <x v="29"/>
    <x v="21"/>
    <x v="24"/>
    <x v="18"/>
    <x v="1"/>
    <n v="1676930000"/>
  </r>
  <r>
    <d v="2025-07-22T00:00:00"/>
    <x v="1"/>
    <x v="6"/>
    <x v="29"/>
    <x v="21"/>
    <x v="2"/>
    <x v="2"/>
    <x v="1"/>
    <n v="12204680000"/>
  </r>
  <r>
    <d v="2025-07-22T00:00:00"/>
    <x v="1"/>
    <x v="6"/>
    <x v="29"/>
    <x v="21"/>
    <x v="5"/>
    <x v="5"/>
    <x v="3"/>
    <n v="2928107322"/>
  </r>
  <r>
    <d v="2025-07-22T00:00:00"/>
    <x v="1"/>
    <x v="6"/>
    <x v="29"/>
    <x v="21"/>
    <x v="14"/>
    <x v="13"/>
    <x v="1"/>
    <n v="1226460000"/>
  </r>
  <r>
    <d v="2025-07-22T00:00:00"/>
    <x v="1"/>
    <x v="6"/>
    <x v="29"/>
    <x v="21"/>
    <x v="12"/>
    <x v="11"/>
    <x v="1"/>
    <n v="13274490000"/>
  </r>
  <r>
    <d v="2025-07-22T00:00:00"/>
    <x v="1"/>
    <x v="6"/>
    <x v="29"/>
    <x v="21"/>
    <x v="0"/>
    <x v="0"/>
    <x v="0"/>
    <n v="5577336000"/>
  </r>
  <r>
    <d v="2025-07-22T00:00:00"/>
    <x v="1"/>
    <x v="6"/>
    <x v="29"/>
    <x v="21"/>
    <x v="27"/>
    <x v="19"/>
    <x v="0"/>
    <n v="5771520000"/>
  </r>
  <r>
    <d v="2025-07-22T00:00:00"/>
    <x v="1"/>
    <x v="6"/>
    <x v="29"/>
    <x v="21"/>
    <x v="11"/>
    <x v="10"/>
    <x v="4"/>
    <n v="225226483"/>
  </r>
  <r>
    <d v="2025-07-22T00:00:00"/>
    <x v="1"/>
    <x v="6"/>
    <x v="29"/>
    <x v="21"/>
    <x v="19"/>
    <x v="12"/>
    <x v="4"/>
    <n v="361990371"/>
  </r>
  <r>
    <d v="2025-07-22T00:00:00"/>
    <x v="1"/>
    <x v="6"/>
    <x v="29"/>
    <x v="21"/>
    <x v="7"/>
    <x v="7"/>
    <x v="4"/>
    <n v="267185950"/>
  </r>
  <r>
    <d v="2025-07-22T00:00:00"/>
    <x v="1"/>
    <x v="6"/>
    <x v="29"/>
    <x v="21"/>
    <x v="25"/>
    <x v="2"/>
    <x v="1"/>
    <n v="0"/>
  </r>
  <r>
    <d v="2025-07-22T00:00:00"/>
    <x v="1"/>
    <x v="6"/>
    <x v="29"/>
    <x v="21"/>
    <x v="26"/>
    <x v="16"/>
    <x v="1"/>
    <n v="44100000"/>
  </r>
  <r>
    <d v="2025-07-22T00:00:00"/>
    <x v="1"/>
    <x v="6"/>
    <x v="29"/>
    <x v="21"/>
    <x v="15"/>
    <x v="14"/>
    <x v="4"/>
    <n v="21034164"/>
  </r>
  <r>
    <d v="2025-07-22T00:00:00"/>
    <x v="1"/>
    <x v="6"/>
    <x v="29"/>
    <x v="21"/>
    <x v="20"/>
    <x v="9"/>
    <x v="1"/>
    <n v="0"/>
  </r>
  <r>
    <d v="2025-07-22T00:00:00"/>
    <x v="1"/>
    <x v="6"/>
    <x v="29"/>
    <x v="21"/>
    <x v="1"/>
    <x v="1"/>
    <x v="1"/>
    <n v="26250000"/>
  </r>
  <r>
    <d v="2025-07-22T00:00:00"/>
    <x v="1"/>
    <x v="6"/>
    <x v="29"/>
    <x v="21"/>
    <x v="6"/>
    <x v="6"/>
    <x v="0"/>
    <n v="20000000"/>
  </r>
  <r>
    <d v="2025-07-23T00:00:00"/>
    <x v="1"/>
    <x v="6"/>
    <x v="29"/>
    <x v="22"/>
    <x v="7"/>
    <x v="7"/>
    <x v="4"/>
    <n v="290867470"/>
  </r>
  <r>
    <d v="2025-07-23T00:00:00"/>
    <x v="1"/>
    <x v="6"/>
    <x v="29"/>
    <x v="22"/>
    <x v="12"/>
    <x v="11"/>
    <x v="1"/>
    <n v="12894440000"/>
  </r>
  <r>
    <d v="2025-07-23T00:00:00"/>
    <x v="1"/>
    <x v="6"/>
    <x v="29"/>
    <x v="22"/>
    <x v="18"/>
    <x v="15"/>
    <x v="1"/>
    <n v="330710000"/>
  </r>
  <r>
    <d v="2025-07-23T00:00:00"/>
    <x v="1"/>
    <x v="6"/>
    <x v="29"/>
    <x v="22"/>
    <x v="0"/>
    <x v="0"/>
    <x v="0"/>
    <n v="5456808000"/>
  </r>
  <r>
    <d v="2025-07-23T00:00:00"/>
    <x v="1"/>
    <x v="6"/>
    <x v="29"/>
    <x v="22"/>
    <x v="3"/>
    <x v="3"/>
    <x v="1"/>
    <n v="0"/>
  </r>
  <r>
    <d v="2025-07-23T00:00:00"/>
    <x v="1"/>
    <x v="6"/>
    <x v="29"/>
    <x v="22"/>
    <x v="2"/>
    <x v="2"/>
    <x v="1"/>
    <n v="12774840000"/>
  </r>
  <r>
    <d v="2025-07-23T00:00:00"/>
    <x v="1"/>
    <x v="6"/>
    <x v="29"/>
    <x v="22"/>
    <x v="15"/>
    <x v="14"/>
    <x v="4"/>
    <n v="26940378"/>
  </r>
  <r>
    <d v="2025-07-23T00:00:00"/>
    <x v="1"/>
    <x v="6"/>
    <x v="29"/>
    <x v="22"/>
    <x v="20"/>
    <x v="9"/>
    <x v="1"/>
    <n v="0"/>
  </r>
  <r>
    <d v="2025-07-23T00:00:00"/>
    <x v="1"/>
    <x v="6"/>
    <x v="29"/>
    <x v="22"/>
    <x v="1"/>
    <x v="1"/>
    <x v="1"/>
    <n v="20500000"/>
  </r>
  <r>
    <d v="2025-07-23T00:00:00"/>
    <x v="1"/>
    <x v="6"/>
    <x v="29"/>
    <x v="22"/>
    <x v="6"/>
    <x v="6"/>
    <x v="0"/>
    <n v="34000000"/>
  </r>
  <r>
    <d v="2025-07-23T00:00:00"/>
    <x v="1"/>
    <x v="6"/>
    <x v="29"/>
    <x v="22"/>
    <x v="27"/>
    <x v="19"/>
    <x v="0"/>
    <n v="9132480000"/>
  </r>
  <r>
    <d v="2025-07-23T00:00:00"/>
    <x v="1"/>
    <x v="6"/>
    <x v="29"/>
    <x v="22"/>
    <x v="26"/>
    <x v="16"/>
    <x v="1"/>
    <n v="10500000"/>
  </r>
  <r>
    <d v="2025-07-23T00:00:00"/>
    <x v="1"/>
    <x v="6"/>
    <x v="29"/>
    <x v="22"/>
    <x v="25"/>
    <x v="2"/>
    <x v="1"/>
    <n v="0"/>
  </r>
  <r>
    <d v="2025-07-23T00:00:00"/>
    <x v="1"/>
    <x v="6"/>
    <x v="29"/>
    <x v="22"/>
    <x v="23"/>
    <x v="17"/>
    <x v="4"/>
    <n v="263302000"/>
  </r>
  <r>
    <d v="2025-07-23T00:00:00"/>
    <x v="1"/>
    <x v="6"/>
    <x v="29"/>
    <x v="22"/>
    <x v="24"/>
    <x v="18"/>
    <x v="1"/>
    <n v="1668380000"/>
  </r>
  <r>
    <d v="2025-07-23T00:00:00"/>
    <x v="1"/>
    <x v="6"/>
    <x v="29"/>
    <x v="22"/>
    <x v="14"/>
    <x v="13"/>
    <x v="1"/>
    <n v="1710880000"/>
  </r>
  <r>
    <d v="2025-07-23T00:00:00"/>
    <x v="1"/>
    <x v="6"/>
    <x v="29"/>
    <x v="22"/>
    <x v="11"/>
    <x v="10"/>
    <x v="4"/>
    <n v="219583016"/>
  </r>
  <r>
    <d v="2025-07-23T00:00:00"/>
    <x v="1"/>
    <x v="6"/>
    <x v="29"/>
    <x v="22"/>
    <x v="19"/>
    <x v="12"/>
    <x v="4"/>
    <n v="348766331"/>
  </r>
  <r>
    <d v="2025-07-23T00:00:00"/>
    <x v="1"/>
    <x v="6"/>
    <x v="29"/>
    <x v="22"/>
    <x v="5"/>
    <x v="5"/>
    <x v="3"/>
    <n v="2965676863"/>
  </r>
  <r>
    <d v="2025-07-24T00:00:00"/>
    <x v="1"/>
    <x v="6"/>
    <x v="29"/>
    <x v="23"/>
    <x v="1"/>
    <x v="1"/>
    <x v="1"/>
    <n v="0"/>
  </r>
  <r>
    <d v="2025-07-24T00:00:00"/>
    <x v="1"/>
    <x v="6"/>
    <x v="29"/>
    <x v="23"/>
    <x v="11"/>
    <x v="10"/>
    <x v="4"/>
    <n v="219791581"/>
  </r>
  <r>
    <d v="2025-07-24T00:00:00"/>
    <x v="1"/>
    <x v="6"/>
    <x v="29"/>
    <x v="23"/>
    <x v="15"/>
    <x v="14"/>
    <x v="4"/>
    <n v="30513420"/>
  </r>
  <r>
    <d v="2025-07-24T00:00:00"/>
    <x v="1"/>
    <x v="6"/>
    <x v="29"/>
    <x v="23"/>
    <x v="20"/>
    <x v="9"/>
    <x v="1"/>
    <n v="0"/>
  </r>
  <r>
    <d v="2025-07-24T00:00:00"/>
    <x v="1"/>
    <x v="6"/>
    <x v="29"/>
    <x v="23"/>
    <x v="5"/>
    <x v="5"/>
    <x v="3"/>
    <n v="3049274664"/>
  </r>
  <r>
    <d v="2025-07-24T00:00:00"/>
    <x v="1"/>
    <x v="6"/>
    <x v="29"/>
    <x v="23"/>
    <x v="6"/>
    <x v="6"/>
    <x v="0"/>
    <n v="24000000"/>
  </r>
  <r>
    <d v="2025-07-24T00:00:00"/>
    <x v="1"/>
    <x v="6"/>
    <x v="29"/>
    <x v="23"/>
    <x v="27"/>
    <x v="19"/>
    <x v="0"/>
    <n v="7348320000"/>
  </r>
  <r>
    <d v="2025-07-24T00:00:00"/>
    <x v="1"/>
    <x v="6"/>
    <x v="29"/>
    <x v="23"/>
    <x v="26"/>
    <x v="16"/>
    <x v="1"/>
    <n v="42000000"/>
  </r>
  <r>
    <d v="2025-07-24T00:00:00"/>
    <x v="1"/>
    <x v="6"/>
    <x v="29"/>
    <x v="23"/>
    <x v="3"/>
    <x v="3"/>
    <x v="1"/>
    <n v="15750000"/>
  </r>
  <r>
    <d v="2025-07-24T00:00:00"/>
    <x v="1"/>
    <x v="6"/>
    <x v="29"/>
    <x v="23"/>
    <x v="18"/>
    <x v="15"/>
    <x v="1"/>
    <n v="504940000"/>
  </r>
  <r>
    <d v="2025-07-24T00:00:00"/>
    <x v="1"/>
    <x v="6"/>
    <x v="29"/>
    <x v="23"/>
    <x v="23"/>
    <x v="17"/>
    <x v="4"/>
    <n v="380776000"/>
  </r>
  <r>
    <d v="2025-07-24T00:00:00"/>
    <x v="1"/>
    <x v="6"/>
    <x v="29"/>
    <x v="23"/>
    <x v="24"/>
    <x v="18"/>
    <x v="1"/>
    <n v="1954410000"/>
  </r>
  <r>
    <d v="2025-07-24T00:00:00"/>
    <x v="1"/>
    <x v="6"/>
    <x v="29"/>
    <x v="23"/>
    <x v="14"/>
    <x v="13"/>
    <x v="1"/>
    <n v="1448600000"/>
  </r>
  <r>
    <d v="2025-07-24T00:00:00"/>
    <x v="1"/>
    <x v="6"/>
    <x v="29"/>
    <x v="23"/>
    <x v="7"/>
    <x v="7"/>
    <x v="4"/>
    <n v="251543641"/>
  </r>
  <r>
    <d v="2025-07-24T00:00:00"/>
    <x v="1"/>
    <x v="6"/>
    <x v="29"/>
    <x v="23"/>
    <x v="25"/>
    <x v="2"/>
    <x v="1"/>
    <n v="0"/>
  </r>
  <r>
    <d v="2025-07-24T00:00:00"/>
    <x v="1"/>
    <x v="6"/>
    <x v="29"/>
    <x v="23"/>
    <x v="19"/>
    <x v="12"/>
    <x v="4"/>
    <n v="359805824"/>
  </r>
  <r>
    <d v="2025-07-24T00:00:00"/>
    <x v="1"/>
    <x v="6"/>
    <x v="29"/>
    <x v="23"/>
    <x v="12"/>
    <x v="11"/>
    <x v="1"/>
    <n v="12134340000"/>
  </r>
  <r>
    <d v="2025-07-24T00:00:00"/>
    <x v="1"/>
    <x v="6"/>
    <x v="29"/>
    <x v="23"/>
    <x v="0"/>
    <x v="0"/>
    <x v="0"/>
    <n v="5293080000"/>
  </r>
  <r>
    <d v="2025-07-24T00:00:00"/>
    <x v="1"/>
    <x v="6"/>
    <x v="29"/>
    <x v="23"/>
    <x v="2"/>
    <x v="2"/>
    <x v="1"/>
    <n v="11256620000"/>
  </r>
  <r>
    <d v="2025-07-25T00:00:00"/>
    <x v="1"/>
    <x v="6"/>
    <x v="29"/>
    <x v="24"/>
    <x v="0"/>
    <x v="0"/>
    <x v="0"/>
    <n v="5129568000"/>
  </r>
  <r>
    <d v="2025-07-25T00:00:00"/>
    <x v="1"/>
    <x v="6"/>
    <x v="29"/>
    <x v="24"/>
    <x v="19"/>
    <x v="12"/>
    <x v="4"/>
    <n v="367605512"/>
  </r>
  <r>
    <d v="2025-07-25T00:00:00"/>
    <x v="1"/>
    <x v="6"/>
    <x v="29"/>
    <x v="24"/>
    <x v="2"/>
    <x v="2"/>
    <x v="1"/>
    <n v="11972720000"/>
  </r>
  <r>
    <d v="2025-07-25T00:00:00"/>
    <x v="1"/>
    <x v="6"/>
    <x v="29"/>
    <x v="24"/>
    <x v="5"/>
    <x v="5"/>
    <x v="3"/>
    <n v="3407163743"/>
  </r>
  <r>
    <d v="2025-07-25T00:00:00"/>
    <x v="1"/>
    <x v="6"/>
    <x v="29"/>
    <x v="24"/>
    <x v="11"/>
    <x v="10"/>
    <x v="4"/>
    <n v="221218234"/>
  </r>
  <r>
    <d v="2025-07-25T00:00:00"/>
    <x v="1"/>
    <x v="6"/>
    <x v="29"/>
    <x v="24"/>
    <x v="7"/>
    <x v="7"/>
    <x v="4"/>
    <n v="284215191"/>
  </r>
  <r>
    <d v="2025-07-25T00:00:00"/>
    <x v="1"/>
    <x v="6"/>
    <x v="29"/>
    <x v="24"/>
    <x v="25"/>
    <x v="2"/>
    <x v="1"/>
    <n v="0"/>
  </r>
  <r>
    <d v="2025-07-25T00:00:00"/>
    <x v="1"/>
    <x v="6"/>
    <x v="29"/>
    <x v="24"/>
    <x v="12"/>
    <x v="11"/>
    <x v="1"/>
    <n v="12088410000"/>
  </r>
  <r>
    <d v="2025-07-25T00:00:00"/>
    <x v="1"/>
    <x v="6"/>
    <x v="29"/>
    <x v="24"/>
    <x v="26"/>
    <x v="16"/>
    <x v="1"/>
    <n v="31500000"/>
  </r>
  <r>
    <d v="2025-07-25T00:00:00"/>
    <x v="1"/>
    <x v="6"/>
    <x v="29"/>
    <x v="24"/>
    <x v="15"/>
    <x v="14"/>
    <x v="4"/>
    <n v="13826754"/>
  </r>
  <r>
    <d v="2025-07-25T00:00:00"/>
    <x v="1"/>
    <x v="6"/>
    <x v="29"/>
    <x v="24"/>
    <x v="20"/>
    <x v="9"/>
    <x v="1"/>
    <n v="0"/>
  </r>
  <r>
    <d v="2025-07-25T00:00:00"/>
    <x v="1"/>
    <x v="6"/>
    <x v="29"/>
    <x v="24"/>
    <x v="1"/>
    <x v="1"/>
    <x v="1"/>
    <n v="48300000"/>
  </r>
  <r>
    <d v="2025-07-25T00:00:00"/>
    <x v="1"/>
    <x v="6"/>
    <x v="29"/>
    <x v="24"/>
    <x v="6"/>
    <x v="6"/>
    <x v="0"/>
    <n v="44000000"/>
  </r>
  <r>
    <d v="2025-07-25T00:00:00"/>
    <x v="1"/>
    <x v="6"/>
    <x v="29"/>
    <x v="24"/>
    <x v="27"/>
    <x v="19"/>
    <x v="0"/>
    <n v="6099840000"/>
  </r>
  <r>
    <d v="2025-07-25T00:00:00"/>
    <x v="1"/>
    <x v="6"/>
    <x v="29"/>
    <x v="24"/>
    <x v="3"/>
    <x v="3"/>
    <x v="1"/>
    <n v="0"/>
  </r>
  <r>
    <d v="2025-07-25T00:00:00"/>
    <x v="1"/>
    <x v="6"/>
    <x v="29"/>
    <x v="24"/>
    <x v="18"/>
    <x v="15"/>
    <x v="1"/>
    <n v="619340000"/>
  </r>
  <r>
    <d v="2025-07-25T00:00:00"/>
    <x v="1"/>
    <x v="6"/>
    <x v="29"/>
    <x v="24"/>
    <x v="23"/>
    <x v="17"/>
    <x v="4"/>
    <n v="314500600"/>
  </r>
  <r>
    <d v="2025-07-25T00:00:00"/>
    <x v="1"/>
    <x v="6"/>
    <x v="29"/>
    <x v="24"/>
    <x v="24"/>
    <x v="18"/>
    <x v="1"/>
    <n v="1722870000"/>
  </r>
  <r>
    <d v="2025-07-25T00:00:00"/>
    <x v="1"/>
    <x v="6"/>
    <x v="29"/>
    <x v="24"/>
    <x v="14"/>
    <x v="13"/>
    <x v="1"/>
    <n v="1425430000"/>
  </r>
  <r>
    <d v="2025-07-26T00:00:00"/>
    <x v="1"/>
    <x v="6"/>
    <x v="29"/>
    <x v="25"/>
    <x v="25"/>
    <x v="2"/>
    <x v="1"/>
    <n v="0"/>
  </r>
  <r>
    <d v="2025-07-26T00:00:00"/>
    <x v="1"/>
    <x v="6"/>
    <x v="29"/>
    <x v="25"/>
    <x v="0"/>
    <x v="0"/>
    <x v="0"/>
    <n v="5036256000"/>
  </r>
  <r>
    <d v="2025-07-26T00:00:00"/>
    <x v="1"/>
    <x v="6"/>
    <x v="29"/>
    <x v="25"/>
    <x v="12"/>
    <x v="11"/>
    <x v="1"/>
    <n v="10366510000"/>
  </r>
  <r>
    <d v="2025-07-26T00:00:00"/>
    <x v="1"/>
    <x v="6"/>
    <x v="29"/>
    <x v="25"/>
    <x v="2"/>
    <x v="2"/>
    <x v="1"/>
    <n v="10020860000"/>
  </r>
  <r>
    <d v="2025-07-26T00:00:00"/>
    <x v="1"/>
    <x v="6"/>
    <x v="29"/>
    <x v="25"/>
    <x v="6"/>
    <x v="6"/>
    <x v="0"/>
    <n v="31000000"/>
  </r>
  <r>
    <d v="2025-07-26T00:00:00"/>
    <x v="1"/>
    <x v="6"/>
    <x v="29"/>
    <x v="25"/>
    <x v="26"/>
    <x v="16"/>
    <x v="1"/>
    <n v="22600000"/>
  </r>
  <r>
    <d v="2025-07-26T00:00:00"/>
    <x v="1"/>
    <x v="6"/>
    <x v="29"/>
    <x v="25"/>
    <x v="27"/>
    <x v="19"/>
    <x v="0"/>
    <n v="4499280000"/>
  </r>
  <r>
    <d v="2025-07-26T00:00:00"/>
    <x v="1"/>
    <x v="6"/>
    <x v="29"/>
    <x v="25"/>
    <x v="20"/>
    <x v="9"/>
    <x v="1"/>
    <n v="0"/>
  </r>
  <r>
    <d v="2025-07-26T00:00:00"/>
    <x v="1"/>
    <x v="6"/>
    <x v="29"/>
    <x v="25"/>
    <x v="3"/>
    <x v="3"/>
    <x v="1"/>
    <n v="0"/>
  </r>
  <r>
    <d v="2025-07-26T00:00:00"/>
    <x v="1"/>
    <x v="6"/>
    <x v="29"/>
    <x v="25"/>
    <x v="15"/>
    <x v="14"/>
    <x v="4"/>
    <n v="10285203"/>
  </r>
  <r>
    <d v="2025-07-26T00:00:00"/>
    <x v="1"/>
    <x v="6"/>
    <x v="29"/>
    <x v="25"/>
    <x v="18"/>
    <x v="15"/>
    <x v="1"/>
    <n v="394450000"/>
  </r>
  <r>
    <d v="2025-07-26T00:00:00"/>
    <x v="1"/>
    <x v="6"/>
    <x v="29"/>
    <x v="25"/>
    <x v="23"/>
    <x v="17"/>
    <x v="4"/>
    <n v="467109150"/>
  </r>
  <r>
    <d v="2025-07-26T00:00:00"/>
    <x v="1"/>
    <x v="6"/>
    <x v="29"/>
    <x v="25"/>
    <x v="24"/>
    <x v="18"/>
    <x v="1"/>
    <n v="2208160000"/>
  </r>
  <r>
    <d v="2025-07-26T00:00:00"/>
    <x v="1"/>
    <x v="6"/>
    <x v="29"/>
    <x v="25"/>
    <x v="14"/>
    <x v="13"/>
    <x v="1"/>
    <n v="1215990000"/>
  </r>
  <r>
    <d v="2025-07-26T00:00:00"/>
    <x v="1"/>
    <x v="6"/>
    <x v="29"/>
    <x v="25"/>
    <x v="1"/>
    <x v="1"/>
    <x v="1"/>
    <n v="0"/>
  </r>
  <r>
    <d v="2025-07-26T00:00:00"/>
    <x v="1"/>
    <x v="6"/>
    <x v="29"/>
    <x v="25"/>
    <x v="19"/>
    <x v="12"/>
    <x v="4"/>
    <n v="354953458"/>
  </r>
  <r>
    <d v="2025-07-26T00:00:00"/>
    <x v="1"/>
    <x v="6"/>
    <x v="29"/>
    <x v="25"/>
    <x v="5"/>
    <x v="5"/>
    <x v="3"/>
    <n v="2701413427"/>
  </r>
  <r>
    <d v="2025-07-26T00:00:00"/>
    <x v="1"/>
    <x v="6"/>
    <x v="29"/>
    <x v="25"/>
    <x v="7"/>
    <x v="7"/>
    <x v="4"/>
    <n v="249570751"/>
  </r>
  <r>
    <d v="2025-07-26T00:00:00"/>
    <x v="1"/>
    <x v="6"/>
    <x v="29"/>
    <x v="25"/>
    <x v="11"/>
    <x v="10"/>
    <x v="4"/>
    <n v="225003767"/>
  </r>
  <r>
    <d v="2025-07-27T00:00:00"/>
    <x v="1"/>
    <x v="6"/>
    <x v="29"/>
    <x v="26"/>
    <x v="2"/>
    <x v="2"/>
    <x v="1"/>
    <n v="9966580000"/>
  </r>
  <r>
    <d v="2025-07-27T00:00:00"/>
    <x v="1"/>
    <x v="6"/>
    <x v="29"/>
    <x v="26"/>
    <x v="0"/>
    <x v="0"/>
    <x v="0"/>
    <n v="4944240000"/>
  </r>
  <r>
    <d v="2025-07-27T00:00:00"/>
    <x v="1"/>
    <x v="6"/>
    <x v="29"/>
    <x v="26"/>
    <x v="12"/>
    <x v="11"/>
    <x v="1"/>
    <n v="9965040000"/>
  </r>
  <r>
    <d v="2025-07-27T00:00:00"/>
    <x v="1"/>
    <x v="6"/>
    <x v="29"/>
    <x v="26"/>
    <x v="25"/>
    <x v="2"/>
    <x v="1"/>
    <n v="0"/>
  </r>
  <r>
    <d v="2025-07-27T00:00:00"/>
    <x v="1"/>
    <x v="6"/>
    <x v="29"/>
    <x v="26"/>
    <x v="15"/>
    <x v="14"/>
    <x v="4"/>
    <n v="17473818"/>
  </r>
  <r>
    <d v="2025-07-27T00:00:00"/>
    <x v="1"/>
    <x v="6"/>
    <x v="29"/>
    <x v="26"/>
    <x v="26"/>
    <x v="16"/>
    <x v="1"/>
    <n v="0"/>
  </r>
  <r>
    <d v="2025-07-27T00:00:00"/>
    <x v="1"/>
    <x v="6"/>
    <x v="29"/>
    <x v="26"/>
    <x v="27"/>
    <x v="19"/>
    <x v="0"/>
    <n v="4148280000"/>
  </r>
  <r>
    <d v="2025-07-27T00:00:00"/>
    <x v="1"/>
    <x v="6"/>
    <x v="29"/>
    <x v="26"/>
    <x v="20"/>
    <x v="9"/>
    <x v="1"/>
    <n v="0"/>
  </r>
  <r>
    <d v="2025-07-27T00:00:00"/>
    <x v="1"/>
    <x v="6"/>
    <x v="29"/>
    <x v="26"/>
    <x v="1"/>
    <x v="1"/>
    <x v="1"/>
    <n v="57750000"/>
  </r>
  <r>
    <d v="2025-07-27T00:00:00"/>
    <x v="1"/>
    <x v="6"/>
    <x v="29"/>
    <x v="26"/>
    <x v="6"/>
    <x v="6"/>
    <x v="0"/>
    <n v="11000000"/>
  </r>
  <r>
    <d v="2025-07-27T00:00:00"/>
    <x v="1"/>
    <x v="6"/>
    <x v="29"/>
    <x v="26"/>
    <x v="19"/>
    <x v="12"/>
    <x v="4"/>
    <n v="408147875"/>
  </r>
  <r>
    <d v="2025-07-27T00:00:00"/>
    <x v="1"/>
    <x v="6"/>
    <x v="29"/>
    <x v="26"/>
    <x v="3"/>
    <x v="3"/>
    <x v="1"/>
    <n v="0"/>
  </r>
  <r>
    <d v="2025-07-27T00:00:00"/>
    <x v="1"/>
    <x v="6"/>
    <x v="29"/>
    <x v="26"/>
    <x v="18"/>
    <x v="15"/>
    <x v="1"/>
    <n v="443070000"/>
  </r>
  <r>
    <d v="2025-07-27T00:00:00"/>
    <x v="1"/>
    <x v="6"/>
    <x v="29"/>
    <x v="26"/>
    <x v="23"/>
    <x v="17"/>
    <x v="4"/>
    <n v="479004000"/>
  </r>
  <r>
    <d v="2025-07-27T00:00:00"/>
    <x v="1"/>
    <x v="6"/>
    <x v="29"/>
    <x v="26"/>
    <x v="24"/>
    <x v="18"/>
    <x v="1"/>
    <n v="1680320000"/>
  </r>
  <r>
    <d v="2025-07-27T00:00:00"/>
    <x v="1"/>
    <x v="6"/>
    <x v="29"/>
    <x v="26"/>
    <x v="14"/>
    <x v="13"/>
    <x v="1"/>
    <n v="1745220000"/>
  </r>
  <r>
    <d v="2025-07-27T00:00:00"/>
    <x v="1"/>
    <x v="6"/>
    <x v="29"/>
    <x v="26"/>
    <x v="11"/>
    <x v="10"/>
    <x v="4"/>
    <n v="220975391"/>
  </r>
  <r>
    <d v="2025-07-27T00:00:00"/>
    <x v="1"/>
    <x v="6"/>
    <x v="29"/>
    <x v="26"/>
    <x v="5"/>
    <x v="5"/>
    <x v="3"/>
    <n v="2589838848"/>
  </r>
  <r>
    <d v="2025-07-27T00:00:00"/>
    <x v="1"/>
    <x v="6"/>
    <x v="29"/>
    <x v="26"/>
    <x v="7"/>
    <x v="7"/>
    <x v="4"/>
    <n v="232925600"/>
  </r>
  <r>
    <d v="2025-07-28T00:00:00"/>
    <x v="1"/>
    <x v="6"/>
    <x v="30"/>
    <x v="27"/>
    <x v="19"/>
    <x v="12"/>
    <x v="4"/>
    <n v="437153680"/>
  </r>
  <r>
    <d v="2025-07-28T00:00:00"/>
    <x v="1"/>
    <x v="6"/>
    <x v="30"/>
    <x v="27"/>
    <x v="6"/>
    <x v="6"/>
    <x v="0"/>
    <n v="64000000"/>
  </r>
  <r>
    <d v="2025-07-28T00:00:00"/>
    <x v="1"/>
    <x v="6"/>
    <x v="30"/>
    <x v="27"/>
    <x v="1"/>
    <x v="1"/>
    <x v="1"/>
    <n v="51500000"/>
  </r>
  <r>
    <d v="2025-07-28T00:00:00"/>
    <x v="1"/>
    <x v="6"/>
    <x v="30"/>
    <x v="27"/>
    <x v="11"/>
    <x v="10"/>
    <x v="4"/>
    <n v="197709088"/>
  </r>
  <r>
    <d v="2025-07-28T00:00:00"/>
    <x v="1"/>
    <x v="6"/>
    <x v="30"/>
    <x v="27"/>
    <x v="12"/>
    <x v="11"/>
    <x v="1"/>
    <n v="12547670000"/>
  </r>
  <r>
    <d v="2025-07-28T00:00:00"/>
    <x v="1"/>
    <x v="6"/>
    <x v="30"/>
    <x v="27"/>
    <x v="15"/>
    <x v="14"/>
    <x v="4"/>
    <n v="13108199"/>
  </r>
  <r>
    <d v="2025-07-28T00:00:00"/>
    <x v="1"/>
    <x v="6"/>
    <x v="30"/>
    <x v="27"/>
    <x v="25"/>
    <x v="2"/>
    <x v="1"/>
    <n v="0"/>
  </r>
  <r>
    <d v="2025-07-28T00:00:00"/>
    <x v="1"/>
    <x v="6"/>
    <x v="30"/>
    <x v="27"/>
    <x v="5"/>
    <x v="5"/>
    <x v="3"/>
    <n v="3477561110"/>
  </r>
  <r>
    <d v="2025-07-28T00:00:00"/>
    <x v="1"/>
    <x v="6"/>
    <x v="30"/>
    <x v="27"/>
    <x v="7"/>
    <x v="7"/>
    <x v="4"/>
    <n v="252707363"/>
  </r>
  <r>
    <d v="2025-07-28T00:00:00"/>
    <x v="1"/>
    <x v="6"/>
    <x v="30"/>
    <x v="27"/>
    <x v="3"/>
    <x v="3"/>
    <x v="1"/>
    <n v="0"/>
  </r>
  <r>
    <d v="2025-07-28T00:00:00"/>
    <x v="1"/>
    <x v="6"/>
    <x v="30"/>
    <x v="27"/>
    <x v="27"/>
    <x v="19"/>
    <x v="0"/>
    <n v="5379480000"/>
  </r>
  <r>
    <d v="2025-07-28T00:00:00"/>
    <x v="1"/>
    <x v="6"/>
    <x v="30"/>
    <x v="27"/>
    <x v="0"/>
    <x v="0"/>
    <x v="0"/>
    <n v="5312304000"/>
  </r>
  <r>
    <d v="2025-07-28T00:00:00"/>
    <x v="1"/>
    <x v="6"/>
    <x v="30"/>
    <x v="27"/>
    <x v="18"/>
    <x v="15"/>
    <x v="1"/>
    <n v="369600000"/>
  </r>
  <r>
    <d v="2025-07-28T00:00:00"/>
    <x v="1"/>
    <x v="6"/>
    <x v="30"/>
    <x v="27"/>
    <x v="2"/>
    <x v="2"/>
    <x v="1"/>
    <n v="11569700000"/>
  </r>
  <r>
    <d v="2025-07-28T00:00:00"/>
    <x v="1"/>
    <x v="6"/>
    <x v="30"/>
    <x v="27"/>
    <x v="20"/>
    <x v="9"/>
    <x v="1"/>
    <n v="0"/>
  </r>
  <r>
    <d v="2025-07-28T00:00:00"/>
    <x v="1"/>
    <x v="6"/>
    <x v="30"/>
    <x v="27"/>
    <x v="23"/>
    <x v="17"/>
    <x v="4"/>
    <n v="324309000"/>
  </r>
  <r>
    <d v="2025-07-28T00:00:00"/>
    <x v="1"/>
    <x v="6"/>
    <x v="30"/>
    <x v="27"/>
    <x v="24"/>
    <x v="18"/>
    <x v="1"/>
    <n v="1435020000"/>
  </r>
  <r>
    <d v="2025-07-28T00:00:00"/>
    <x v="1"/>
    <x v="6"/>
    <x v="30"/>
    <x v="27"/>
    <x v="14"/>
    <x v="13"/>
    <x v="1"/>
    <n v="1716230000"/>
  </r>
  <r>
    <d v="2025-07-28T00:00:00"/>
    <x v="1"/>
    <x v="6"/>
    <x v="30"/>
    <x v="27"/>
    <x v="26"/>
    <x v="16"/>
    <x v="1"/>
    <n v="38900000"/>
  </r>
  <r>
    <d v="2025-07-29T00:00:00"/>
    <x v="1"/>
    <x v="6"/>
    <x v="30"/>
    <x v="28"/>
    <x v="25"/>
    <x v="2"/>
    <x v="1"/>
    <n v="0"/>
  </r>
  <r>
    <d v="2025-07-29T00:00:00"/>
    <x v="1"/>
    <x v="6"/>
    <x v="30"/>
    <x v="28"/>
    <x v="12"/>
    <x v="11"/>
    <x v="1"/>
    <n v="12255140000"/>
  </r>
  <r>
    <d v="2025-07-29T00:00:00"/>
    <x v="1"/>
    <x v="6"/>
    <x v="30"/>
    <x v="28"/>
    <x v="7"/>
    <x v="7"/>
    <x v="4"/>
    <n v="267557062"/>
  </r>
  <r>
    <d v="2025-07-29T00:00:00"/>
    <x v="1"/>
    <x v="6"/>
    <x v="30"/>
    <x v="28"/>
    <x v="26"/>
    <x v="16"/>
    <x v="1"/>
    <n v="0"/>
  </r>
  <r>
    <d v="2025-07-29T00:00:00"/>
    <x v="1"/>
    <x v="6"/>
    <x v="30"/>
    <x v="28"/>
    <x v="0"/>
    <x v="0"/>
    <x v="0"/>
    <n v="4815936000"/>
  </r>
  <r>
    <d v="2025-07-29T00:00:00"/>
    <x v="1"/>
    <x v="6"/>
    <x v="30"/>
    <x v="28"/>
    <x v="2"/>
    <x v="2"/>
    <x v="1"/>
    <n v="11378960000"/>
  </r>
  <r>
    <d v="2025-07-29T00:00:00"/>
    <x v="1"/>
    <x v="6"/>
    <x v="30"/>
    <x v="28"/>
    <x v="15"/>
    <x v="14"/>
    <x v="4"/>
    <n v="13883258"/>
  </r>
  <r>
    <d v="2025-07-29T00:00:00"/>
    <x v="1"/>
    <x v="6"/>
    <x v="30"/>
    <x v="28"/>
    <x v="20"/>
    <x v="9"/>
    <x v="1"/>
    <n v="0"/>
  </r>
  <r>
    <d v="2025-07-29T00:00:00"/>
    <x v="1"/>
    <x v="6"/>
    <x v="30"/>
    <x v="28"/>
    <x v="1"/>
    <x v="1"/>
    <x v="1"/>
    <n v="62000000"/>
  </r>
  <r>
    <d v="2025-07-29T00:00:00"/>
    <x v="1"/>
    <x v="6"/>
    <x v="30"/>
    <x v="28"/>
    <x v="6"/>
    <x v="6"/>
    <x v="0"/>
    <n v="22000000"/>
  </r>
  <r>
    <d v="2025-07-29T00:00:00"/>
    <x v="1"/>
    <x v="6"/>
    <x v="30"/>
    <x v="28"/>
    <x v="27"/>
    <x v="19"/>
    <x v="0"/>
    <n v="4553280000"/>
  </r>
  <r>
    <d v="2025-07-29T00:00:00"/>
    <x v="1"/>
    <x v="6"/>
    <x v="30"/>
    <x v="28"/>
    <x v="3"/>
    <x v="3"/>
    <x v="1"/>
    <n v="0"/>
  </r>
  <r>
    <d v="2025-07-29T00:00:00"/>
    <x v="1"/>
    <x v="6"/>
    <x v="30"/>
    <x v="28"/>
    <x v="18"/>
    <x v="15"/>
    <x v="1"/>
    <n v="410970000"/>
  </r>
  <r>
    <d v="2025-07-29T00:00:00"/>
    <x v="1"/>
    <x v="6"/>
    <x v="30"/>
    <x v="28"/>
    <x v="23"/>
    <x v="17"/>
    <x v="4"/>
    <n v="401087000"/>
  </r>
  <r>
    <d v="2025-07-29T00:00:00"/>
    <x v="1"/>
    <x v="6"/>
    <x v="30"/>
    <x v="28"/>
    <x v="24"/>
    <x v="18"/>
    <x v="1"/>
    <n v="2031860000"/>
  </r>
  <r>
    <d v="2025-07-29T00:00:00"/>
    <x v="1"/>
    <x v="6"/>
    <x v="30"/>
    <x v="28"/>
    <x v="14"/>
    <x v="13"/>
    <x v="1"/>
    <n v="1638690000"/>
  </r>
  <r>
    <d v="2025-07-29T00:00:00"/>
    <x v="1"/>
    <x v="6"/>
    <x v="30"/>
    <x v="28"/>
    <x v="11"/>
    <x v="10"/>
    <x v="4"/>
    <n v="196274965"/>
  </r>
  <r>
    <d v="2025-07-29T00:00:00"/>
    <x v="1"/>
    <x v="6"/>
    <x v="30"/>
    <x v="28"/>
    <x v="19"/>
    <x v="12"/>
    <x v="4"/>
    <n v="463003573"/>
  </r>
  <r>
    <d v="2025-07-29T00:00:00"/>
    <x v="1"/>
    <x v="6"/>
    <x v="30"/>
    <x v="28"/>
    <x v="5"/>
    <x v="5"/>
    <x v="3"/>
    <n v="2979513107"/>
  </r>
  <r>
    <d v="2025-07-30T00:00:00"/>
    <x v="1"/>
    <x v="6"/>
    <x v="30"/>
    <x v="29"/>
    <x v="15"/>
    <x v="14"/>
    <x v="4"/>
    <n v="38712877"/>
  </r>
  <r>
    <d v="2025-07-30T00:00:00"/>
    <x v="1"/>
    <x v="6"/>
    <x v="30"/>
    <x v="29"/>
    <x v="26"/>
    <x v="16"/>
    <x v="1"/>
    <n v="56700000"/>
  </r>
  <r>
    <d v="2025-07-30T00:00:00"/>
    <x v="1"/>
    <x v="6"/>
    <x v="30"/>
    <x v="29"/>
    <x v="2"/>
    <x v="2"/>
    <x v="1"/>
    <n v="11350020000"/>
  </r>
  <r>
    <d v="2025-07-30T00:00:00"/>
    <x v="1"/>
    <x v="6"/>
    <x v="30"/>
    <x v="29"/>
    <x v="25"/>
    <x v="2"/>
    <x v="1"/>
    <n v="0"/>
  </r>
  <r>
    <d v="2025-07-30T00:00:00"/>
    <x v="1"/>
    <x v="6"/>
    <x v="30"/>
    <x v="29"/>
    <x v="0"/>
    <x v="0"/>
    <x v="0"/>
    <n v="4693248000"/>
  </r>
  <r>
    <d v="2025-07-30T00:00:00"/>
    <x v="1"/>
    <x v="6"/>
    <x v="30"/>
    <x v="29"/>
    <x v="3"/>
    <x v="3"/>
    <x v="1"/>
    <n v="0"/>
  </r>
  <r>
    <d v="2025-07-30T00:00:00"/>
    <x v="1"/>
    <x v="6"/>
    <x v="30"/>
    <x v="29"/>
    <x v="20"/>
    <x v="9"/>
    <x v="1"/>
    <n v="0"/>
  </r>
  <r>
    <d v="2025-07-30T00:00:00"/>
    <x v="1"/>
    <x v="6"/>
    <x v="30"/>
    <x v="29"/>
    <x v="18"/>
    <x v="15"/>
    <x v="1"/>
    <n v="375850000"/>
  </r>
  <r>
    <d v="2025-07-30T00:00:00"/>
    <x v="1"/>
    <x v="6"/>
    <x v="30"/>
    <x v="29"/>
    <x v="6"/>
    <x v="6"/>
    <x v="0"/>
    <n v="7000000"/>
  </r>
  <r>
    <d v="2025-07-30T00:00:00"/>
    <x v="1"/>
    <x v="6"/>
    <x v="30"/>
    <x v="29"/>
    <x v="27"/>
    <x v="19"/>
    <x v="0"/>
    <n v="3837240000"/>
  </r>
  <r>
    <d v="2025-07-30T00:00:00"/>
    <x v="1"/>
    <x v="6"/>
    <x v="30"/>
    <x v="29"/>
    <x v="1"/>
    <x v="1"/>
    <x v="1"/>
    <n v="14700000"/>
  </r>
  <r>
    <d v="2025-07-30T00:00:00"/>
    <x v="1"/>
    <x v="6"/>
    <x v="30"/>
    <x v="29"/>
    <x v="23"/>
    <x v="17"/>
    <x v="4"/>
    <n v="494872000"/>
  </r>
  <r>
    <d v="2025-07-30T00:00:00"/>
    <x v="1"/>
    <x v="6"/>
    <x v="30"/>
    <x v="29"/>
    <x v="24"/>
    <x v="18"/>
    <x v="1"/>
    <n v="1125190000"/>
  </r>
  <r>
    <d v="2025-07-30T00:00:00"/>
    <x v="1"/>
    <x v="6"/>
    <x v="30"/>
    <x v="29"/>
    <x v="14"/>
    <x v="13"/>
    <x v="1"/>
    <n v="1498430000"/>
  </r>
  <r>
    <d v="2025-07-30T00:00:00"/>
    <x v="1"/>
    <x v="6"/>
    <x v="30"/>
    <x v="29"/>
    <x v="11"/>
    <x v="10"/>
    <x v="4"/>
    <n v="190863787"/>
  </r>
  <r>
    <d v="2025-07-30T00:00:00"/>
    <x v="1"/>
    <x v="6"/>
    <x v="30"/>
    <x v="29"/>
    <x v="19"/>
    <x v="12"/>
    <x v="4"/>
    <n v="418310834"/>
  </r>
  <r>
    <d v="2025-07-30T00:00:00"/>
    <x v="1"/>
    <x v="6"/>
    <x v="30"/>
    <x v="29"/>
    <x v="5"/>
    <x v="5"/>
    <x v="3"/>
    <n v="3508995386"/>
  </r>
  <r>
    <d v="2025-07-30T00:00:00"/>
    <x v="1"/>
    <x v="6"/>
    <x v="30"/>
    <x v="29"/>
    <x v="7"/>
    <x v="7"/>
    <x v="4"/>
    <n v="250646826"/>
  </r>
  <r>
    <d v="2025-07-30T00:00:00"/>
    <x v="1"/>
    <x v="6"/>
    <x v="30"/>
    <x v="29"/>
    <x v="12"/>
    <x v="11"/>
    <x v="1"/>
    <n v="11287750000"/>
  </r>
  <r>
    <d v="2025-07-31T00:00:00"/>
    <x v="1"/>
    <x v="6"/>
    <x v="30"/>
    <x v="30"/>
    <x v="20"/>
    <x v="9"/>
    <x v="1"/>
    <n v="0"/>
  </r>
  <r>
    <d v="2025-07-31T00:00:00"/>
    <x v="1"/>
    <x v="6"/>
    <x v="30"/>
    <x v="30"/>
    <x v="14"/>
    <x v="13"/>
    <x v="1"/>
    <n v="1776480000"/>
  </r>
  <r>
    <d v="2025-07-31T00:00:00"/>
    <x v="1"/>
    <x v="6"/>
    <x v="30"/>
    <x v="30"/>
    <x v="26"/>
    <x v="16"/>
    <x v="1"/>
    <n v="29400000"/>
  </r>
  <r>
    <d v="2025-07-31T00:00:00"/>
    <x v="1"/>
    <x v="6"/>
    <x v="30"/>
    <x v="30"/>
    <x v="6"/>
    <x v="6"/>
    <x v="0"/>
    <n v="23000000"/>
  </r>
  <r>
    <d v="2025-07-31T00:00:00"/>
    <x v="1"/>
    <x v="6"/>
    <x v="30"/>
    <x v="30"/>
    <x v="24"/>
    <x v="18"/>
    <x v="1"/>
    <n v="1702480000"/>
  </r>
  <r>
    <d v="2025-07-31T00:00:00"/>
    <x v="1"/>
    <x v="6"/>
    <x v="30"/>
    <x v="30"/>
    <x v="15"/>
    <x v="14"/>
    <x v="4"/>
    <n v="32602726"/>
  </r>
  <r>
    <d v="2025-07-31T00:00:00"/>
    <x v="1"/>
    <x v="6"/>
    <x v="30"/>
    <x v="30"/>
    <x v="11"/>
    <x v="10"/>
    <x v="4"/>
    <n v="212622699"/>
  </r>
  <r>
    <d v="2025-07-31T00:00:00"/>
    <x v="1"/>
    <x v="6"/>
    <x v="30"/>
    <x v="30"/>
    <x v="27"/>
    <x v="19"/>
    <x v="0"/>
    <n v="3873960000"/>
  </r>
  <r>
    <d v="2025-07-31T00:00:00"/>
    <x v="1"/>
    <x v="6"/>
    <x v="30"/>
    <x v="30"/>
    <x v="3"/>
    <x v="3"/>
    <x v="1"/>
    <n v="0"/>
  </r>
  <r>
    <d v="2025-07-31T00:00:00"/>
    <x v="1"/>
    <x v="6"/>
    <x v="30"/>
    <x v="30"/>
    <x v="18"/>
    <x v="15"/>
    <x v="1"/>
    <n v="481210000"/>
  </r>
  <r>
    <d v="2025-07-31T00:00:00"/>
    <x v="1"/>
    <x v="6"/>
    <x v="30"/>
    <x v="30"/>
    <x v="23"/>
    <x v="17"/>
    <x v="4"/>
    <n v="413202000"/>
  </r>
  <r>
    <d v="2025-07-31T00:00:00"/>
    <x v="1"/>
    <x v="6"/>
    <x v="30"/>
    <x v="30"/>
    <x v="1"/>
    <x v="1"/>
    <x v="1"/>
    <n v="32550000"/>
  </r>
  <r>
    <d v="2025-07-31T00:00:00"/>
    <x v="1"/>
    <x v="6"/>
    <x v="30"/>
    <x v="30"/>
    <x v="7"/>
    <x v="7"/>
    <x v="4"/>
    <n v="268264489"/>
  </r>
  <r>
    <d v="2025-07-31T00:00:00"/>
    <x v="1"/>
    <x v="6"/>
    <x v="30"/>
    <x v="30"/>
    <x v="12"/>
    <x v="11"/>
    <x v="1"/>
    <n v="12034830000"/>
  </r>
  <r>
    <d v="2025-07-31T00:00:00"/>
    <x v="1"/>
    <x v="6"/>
    <x v="30"/>
    <x v="30"/>
    <x v="19"/>
    <x v="12"/>
    <x v="4"/>
    <n v="489329625"/>
  </r>
  <r>
    <d v="2025-07-31T00:00:00"/>
    <x v="1"/>
    <x v="6"/>
    <x v="30"/>
    <x v="30"/>
    <x v="2"/>
    <x v="2"/>
    <x v="1"/>
    <n v="8881780000"/>
  </r>
  <r>
    <d v="2025-07-31T00:00:00"/>
    <x v="1"/>
    <x v="6"/>
    <x v="30"/>
    <x v="30"/>
    <x v="5"/>
    <x v="5"/>
    <x v="3"/>
    <n v="4037137514"/>
  </r>
  <r>
    <d v="2025-07-31T00:00:00"/>
    <x v="1"/>
    <x v="6"/>
    <x v="30"/>
    <x v="30"/>
    <x v="0"/>
    <x v="0"/>
    <x v="0"/>
    <n v="4199688000"/>
  </r>
  <r>
    <d v="2025-07-31T00:00:00"/>
    <x v="1"/>
    <x v="6"/>
    <x v="30"/>
    <x v="30"/>
    <x v="25"/>
    <x v="2"/>
    <x v="1"/>
    <n v="0"/>
  </r>
  <r>
    <d v="2025-08-01T00:00:00"/>
    <x v="1"/>
    <x v="7"/>
    <x v="30"/>
    <x v="0"/>
    <x v="23"/>
    <x v="17"/>
    <x v="4"/>
    <n v="536478000"/>
  </r>
  <r>
    <d v="2025-08-01T00:00:00"/>
    <x v="1"/>
    <x v="7"/>
    <x v="30"/>
    <x v="0"/>
    <x v="2"/>
    <x v="2"/>
    <x v="1"/>
    <n v="10623570000"/>
  </r>
  <r>
    <d v="2025-08-01T00:00:00"/>
    <x v="1"/>
    <x v="7"/>
    <x v="30"/>
    <x v="0"/>
    <x v="19"/>
    <x v="12"/>
    <x v="4"/>
    <n v="840017961"/>
  </r>
  <r>
    <d v="2025-08-01T00:00:00"/>
    <x v="1"/>
    <x v="7"/>
    <x v="30"/>
    <x v="0"/>
    <x v="26"/>
    <x v="16"/>
    <x v="1"/>
    <n v="0"/>
  </r>
  <r>
    <d v="2025-08-01T00:00:00"/>
    <x v="1"/>
    <x v="7"/>
    <x v="30"/>
    <x v="0"/>
    <x v="11"/>
    <x v="10"/>
    <x v="4"/>
    <n v="244090911"/>
  </r>
  <r>
    <d v="2025-08-01T00:00:00"/>
    <x v="1"/>
    <x v="7"/>
    <x v="30"/>
    <x v="0"/>
    <x v="27"/>
    <x v="19"/>
    <x v="0"/>
    <n v="4689360000"/>
  </r>
  <r>
    <d v="2025-08-01T00:00:00"/>
    <x v="1"/>
    <x v="7"/>
    <x v="30"/>
    <x v="0"/>
    <x v="18"/>
    <x v="15"/>
    <x v="1"/>
    <n v="387150000"/>
  </r>
  <r>
    <d v="2025-08-01T00:00:00"/>
    <x v="1"/>
    <x v="7"/>
    <x v="30"/>
    <x v="0"/>
    <x v="25"/>
    <x v="2"/>
    <x v="1"/>
    <n v="0"/>
  </r>
  <r>
    <d v="2025-08-01T00:00:00"/>
    <x v="1"/>
    <x v="7"/>
    <x v="30"/>
    <x v="0"/>
    <x v="14"/>
    <x v="13"/>
    <x v="1"/>
    <n v="1997090000"/>
  </r>
  <r>
    <d v="2025-08-01T00:00:00"/>
    <x v="1"/>
    <x v="7"/>
    <x v="30"/>
    <x v="0"/>
    <x v="6"/>
    <x v="6"/>
    <x v="0"/>
    <n v="48000000"/>
  </r>
  <r>
    <d v="2025-08-01T00:00:00"/>
    <x v="1"/>
    <x v="7"/>
    <x v="30"/>
    <x v="0"/>
    <x v="12"/>
    <x v="11"/>
    <x v="1"/>
    <n v="13306750000"/>
  </r>
  <r>
    <d v="2025-08-01T00:00:00"/>
    <x v="1"/>
    <x v="7"/>
    <x v="30"/>
    <x v="0"/>
    <x v="24"/>
    <x v="18"/>
    <x v="1"/>
    <n v="4385190000"/>
  </r>
  <r>
    <d v="2025-08-01T00:00:00"/>
    <x v="1"/>
    <x v="7"/>
    <x v="30"/>
    <x v="0"/>
    <x v="15"/>
    <x v="14"/>
    <x v="4"/>
    <n v="34706573"/>
  </r>
  <r>
    <d v="2025-08-01T00:00:00"/>
    <x v="1"/>
    <x v="7"/>
    <x v="30"/>
    <x v="0"/>
    <x v="0"/>
    <x v="0"/>
    <x v="0"/>
    <n v="6042924000"/>
  </r>
  <r>
    <d v="2025-08-01T00:00:00"/>
    <x v="1"/>
    <x v="7"/>
    <x v="30"/>
    <x v="0"/>
    <x v="5"/>
    <x v="5"/>
    <x v="3"/>
    <n v="5948554474"/>
  </r>
  <r>
    <d v="2025-08-01T00:00:00"/>
    <x v="1"/>
    <x v="7"/>
    <x v="30"/>
    <x v="0"/>
    <x v="1"/>
    <x v="1"/>
    <x v="1"/>
    <n v="0"/>
  </r>
  <r>
    <d v="2025-08-01T00:00:00"/>
    <x v="1"/>
    <x v="7"/>
    <x v="30"/>
    <x v="0"/>
    <x v="3"/>
    <x v="3"/>
    <x v="1"/>
    <n v="18900000"/>
  </r>
  <r>
    <d v="2025-08-01T00:00:00"/>
    <x v="1"/>
    <x v="7"/>
    <x v="30"/>
    <x v="0"/>
    <x v="7"/>
    <x v="7"/>
    <x v="4"/>
    <n v="386816984"/>
  </r>
  <r>
    <d v="2025-08-02T00:00:00"/>
    <x v="1"/>
    <x v="7"/>
    <x v="30"/>
    <x v="1"/>
    <x v="19"/>
    <x v="12"/>
    <x v="4"/>
    <n v="924912215"/>
  </r>
  <r>
    <d v="2025-08-02T00:00:00"/>
    <x v="1"/>
    <x v="7"/>
    <x v="30"/>
    <x v="1"/>
    <x v="26"/>
    <x v="16"/>
    <x v="1"/>
    <n v="15750000"/>
  </r>
  <r>
    <d v="2025-08-02T00:00:00"/>
    <x v="1"/>
    <x v="7"/>
    <x v="30"/>
    <x v="1"/>
    <x v="1"/>
    <x v="1"/>
    <x v="1"/>
    <n v="10500000"/>
  </r>
  <r>
    <d v="2025-08-02T00:00:00"/>
    <x v="1"/>
    <x v="7"/>
    <x v="30"/>
    <x v="1"/>
    <x v="6"/>
    <x v="6"/>
    <x v="0"/>
    <n v="44000000"/>
  </r>
  <r>
    <d v="2025-08-02T00:00:00"/>
    <x v="1"/>
    <x v="7"/>
    <x v="30"/>
    <x v="1"/>
    <x v="5"/>
    <x v="5"/>
    <x v="3"/>
    <n v="3993587393"/>
  </r>
  <r>
    <d v="2025-08-02T00:00:00"/>
    <x v="1"/>
    <x v="7"/>
    <x v="30"/>
    <x v="1"/>
    <x v="0"/>
    <x v="0"/>
    <x v="0"/>
    <n v="5742360000"/>
  </r>
  <r>
    <d v="2025-08-02T00:00:00"/>
    <x v="1"/>
    <x v="7"/>
    <x v="30"/>
    <x v="1"/>
    <x v="7"/>
    <x v="7"/>
    <x v="4"/>
    <n v="376344027"/>
  </r>
  <r>
    <d v="2025-08-02T00:00:00"/>
    <x v="1"/>
    <x v="7"/>
    <x v="30"/>
    <x v="1"/>
    <x v="24"/>
    <x v="18"/>
    <x v="1"/>
    <n v="5511100000"/>
  </r>
  <r>
    <d v="2025-08-02T00:00:00"/>
    <x v="1"/>
    <x v="7"/>
    <x v="30"/>
    <x v="1"/>
    <x v="18"/>
    <x v="15"/>
    <x v="1"/>
    <n v="469870000"/>
  </r>
  <r>
    <d v="2025-08-02T00:00:00"/>
    <x v="1"/>
    <x v="7"/>
    <x v="30"/>
    <x v="1"/>
    <x v="25"/>
    <x v="2"/>
    <x v="1"/>
    <n v="0"/>
  </r>
  <r>
    <d v="2025-08-02T00:00:00"/>
    <x v="1"/>
    <x v="7"/>
    <x v="30"/>
    <x v="1"/>
    <x v="12"/>
    <x v="11"/>
    <x v="1"/>
    <n v="10662680000"/>
  </r>
  <r>
    <d v="2025-08-02T00:00:00"/>
    <x v="1"/>
    <x v="7"/>
    <x v="30"/>
    <x v="1"/>
    <x v="2"/>
    <x v="2"/>
    <x v="1"/>
    <n v="10801080000"/>
  </r>
  <r>
    <d v="2025-08-02T00:00:00"/>
    <x v="1"/>
    <x v="7"/>
    <x v="30"/>
    <x v="1"/>
    <x v="3"/>
    <x v="3"/>
    <x v="1"/>
    <n v="0"/>
  </r>
  <r>
    <d v="2025-08-02T00:00:00"/>
    <x v="1"/>
    <x v="7"/>
    <x v="30"/>
    <x v="1"/>
    <x v="11"/>
    <x v="10"/>
    <x v="4"/>
    <n v="228533030"/>
  </r>
  <r>
    <d v="2025-08-02T00:00:00"/>
    <x v="1"/>
    <x v="7"/>
    <x v="30"/>
    <x v="1"/>
    <x v="23"/>
    <x v="17"/>
    <x v="4"/>
    <n v="434009000"/>
  </r>
  <r>
    <d v="2025-08-02T00:00:00"/>
    <x v="1"/>
    <x v="7"/>
    <x v="30"/>
    <x v="1"/>
    <x v="15"/>
    <x v="14"/>
    <x v="4"/>
    <n v="47811452"/>
  </r>
  <r>
    <d v="2025-08-02T00:00:00"/>
    <x v="1"/>
    <x v="7"/>
    <x v="30"/>
    <x v="1"/>
    <x v="14"/>
    <x v="13"/>
    <x v="1"/>
    <n v="2080040000"/>
  </r>
  <r>
    <d v="2025-08-02T00:00:00"/>
    <x v="1"/>
    <x v="7"/>
    <x v="30"/>
    <x v="1"/>
    <x v="27"/>
    <x v="19"/>
    <x v="0"/>
    <n v="3180492000"/>
  </r>
  <r>
    <d v="2025-08-03T00:00:00"/>
    <x v="1"/>
    <x v="7"/>
    <x v="30"/>
    <x v="2"/>
    <x v="7"/>
    <x v="7"/>
    <x v="4"/>
    <n v="458599130"/>
  </r>
  <r>
    <d v="2025-08-03T00:00:00"/>
    <x v="1"/>
    <x v="7"/>
    <x v="30"/>
    <x v="2"/>
    <x v="2"/>
    <x v="2"/>
    <x v="1"/>
    <n v="10306180000"/>
  </r>
  <r>
    <d v="2025-08-03T00:00:00"/>
    <x v="1"/>
    <x v="7"/>
    <x v="30"/>
    <x v="2"/>
    <x v="0"/>
    <x v="0"/>
    <x v="0"/>
    <n v="5013036000"/>
  </r>
  <r>
    <d v="2025-08-03T00:00:00"/>
    <x v="1"/>
    <x v="7"/>
    <x v="30"/>
    <x v="2"/>
    <x v="25"/>
    <x v="2"/>
    <x v="1"/>
    <n v="0"/>
  </r>
  <r>
    <d v="2025-08-03T00:00:00"/>
    <x v="1"/>
    <x v="7"/>
    <x v="30"/>
    <x v="2"/>
    <x v="11"/>
    <x v="10"/>
    <x v="4"/>
    <n v="294313357"/>
  </r>
  <r>
    <d v="2025-08-03T00:00:00"/>
    <x v="1"/>
    <x v="7"/>
    <x v="30"/>
    <x v="2"/>
    <x v="26"/>
    <x v="16"/>
    <x v="1"/>
    <n v="31500000"/>
  </r>
  <r>
    <d v="2025-08-03T00:00:00"/>
    <x v="1"/>
    <x v="7"/>
    <x v="30"/>
    <x v="2"/>
    <x v="15"/>
    <x v="14"/>
    <x v="4"/>
    <n v="87377679"/>
  </r>
  <r>
    <d v="2025-08-03T00:00:00"/>
    <x v="1"/>
    <x v="7"/>
    <x v="30"/>
    <x v="2"/>
    <x v="27"/>
    <x v="19"/>
    <x v="0"/>
    <n v="3408372000"/>
  </r>
  <r>
    <d v="2025-08-03T00:00:00"/>
    <x v="1"/>
    <x v="7"/>
    <x v="30"/>
    <x v="2"/>
    <x v="12"/>
    <x v="11"/>
    <x v="1"/>
    <n v="9687990000"/>
  </r>
  <r>
    <d v="2025-08-03T00:00:00"/>
    <x v="1"/>
    <x v="7"/>
    <x v="30"/>
    <x v="2"/>
    <x v="23"/>
    <x v="17"/>
    <x v="4"/>
    <n v="512150700"/>
  </r>
  <r>
    <d v="2025-08-03T00:00:00"/>
    <x v="1"/>
    <x v="7"/>
    <x v="30"/>
    <x v="2"/>
    <x v="1"/>
    <x v="1"/>
    <x v="1"/>
    <n v="30500000"/>
  </r>
  <r>
    <d v="2025-08-03T00:00:00"/>
    <x v="1"/>
    <x v="7"/>
    <x v="30"/>
    <x v="2"/>
    <x v="14"/>
    <x v="13"/>
    <x v="1"/>
    <n v="1953420000"/>
  </r>
  <r>
    <d v="2025-08-03T00:00:00"/>
    <x v="1"/>
    <x v="7"/>
    <x v="30"/>
    <x v="2"/>
    <x v="19"/>
    <x v="12"/>
    <x v="4"/>
    <n v="1015676958"/>
  </r>
  <r>
    <d v="2025-08-03T00:00:00"/>
    <x v="1"/>
    <x v="7"/>
    <x v="30"/>
    <x v="2"/>
    <x v="6"/>
    <x v="6"/>
    <x v="0"/>
    <n v="51000000"/>
  </r>
  <r>
    <d v="2025-08-03T00:00:00"/>
    <x v="1"/>
    <x v="7"/>
    <x v="30"/>
    <x v="2"/>
    <x v="24"/>
    <x v="18"/>
    <x v="1"/>
    <n v="5359710000"/>
  </r>
  <r>
    <d v="2025-08-03T00:00:00"/>
    <x v="1"/>
    <x v="7"/>
    <x v="30"/>
    <x v="2"/>
    <x v="18"/>
    <x v="15"/>
    <x v="1"/>
    <n v="399480000"/>
  </r>
  <r>
    <d v="2025-08-03T00:00:00"/>
    <x v="1"/>
    <x v="7"/>
    <x v="30"/>
    <x v="2"/>
    <x v="3"/>
    <x v="3"/>
    <x v="1"/>
    <n v="0"/>
  </r>
  <r>
    <d v="2025-08-03T00:00:00"/>
    <x v="1"/>
    <x v="7"/>
    <x v="30"/>
    <x v="2"/>
    <x v="5"/>
    <x v="5"/>
    <x v="3"/>
    <n v="3606519416"/>
  </r>
  <r>
    <d v="2025-08-04T00:00:00"/>
    <x v="1"/>
    <x v="7"/>
    <x v="31"/>
    <x v="3"/>
    <x v="18"/>
    <x v="15"/>
    <x v="1"/>
    <n v="329540000"/>
  </r>
  <r>
    <d v="2025-08-04T00:00:00"/>
    <x v="1"/>
    <x v="7"/>
    <x v="31"/>
    <x v="3"/>
    <x v="5"/>
    <x v="5"/>
    <x v="3"/>
    <n v="4918843321"/>
  </r>
  <r>
    <d v="2025-08-04T00:00:00"/>
    <x v="1"/>
    <x v="7"/>
    <x v="31"/>
    <x v="3"/>
    <x v="19"/>
    <x v="12"/>
    <x v="4"/>
    <n v="1854305938"/>
  </r>
  <r>
    <d v="2025-08-04T00:00:00"/>
    <x v="1"/>
    <x v="7"/>
    <x v="31"/>
    <x v="3"/>
    <x v="7"/>
    <x v="7"/>
    <x v="4"/>
    <n v="690621988"/>
  </r>
  <r>
    <d v="2025-08-04T00:00:00"/>
    <x v="1"/>
    <x v="7"/>
    <x v="31"/>
    <x v="3"/>
    <x v="11"/>
    <x v="10"/>
    <x v="4"/>
    <n v="388040691"/>
  </r>
  <r>
    <d v="2025-08-04T00:00:00"/>
    <x v="1"/>
    <x v="7"/>
    <x v="31"/>
    <x v="3"/>
    <x v="26"/>
    <x v="16"/>
    <x v="1"/>
    <n v="20000000"/>
  </r>
  <r>
    <d v="2025-08-04T00:00:00"/>
    <x v="1"/>
    <x v="7"/>
    <x v="31"/>
    <x v="3"/>
    <x v="27"/>
    <x v="19"/>
    <x v="0"/>
    <n v="3914784000"/>
  </r>
  <r>
    <d v="2025-08-04T00:00:00"/>
    <x v="1"/>
    <x v="7"/>
    <x v="31"/>
    <x v="3"/>
    <x v="14"/>
    <x v="13"/>
    <x v="1"/>
    <n v="1916050000"/>
  </r>
  <r>
    <d v="2025-08-04T00:00:00"/>
    <x v="1"/>
    <x v="7"/>
    <x v="31"/>
    <x v="3"/>
    <x v="12"/>
    <x v="11"/>
    <x v="1"/>
    <n v="11237680000"/>
  </r>
  <r>
    <d v="2025-08-04T00:00:00"/>
    <x v="1"/>
    <x v="7"/>
    <x v="31"/>
    <x v="3"/>
    <x v="2"/>
    <x v="2"/>
    <x v="1"/>
    <n v="11630880000"/>
  </r>
  <r>
    <d v="2025-08-04T00:00:00"/>
    <x v="1"/>
    <x v="7"/>
    <x v="31"/>
    <x v="3"/>
    <x v="24"/>
    <x v="18"/>
    <x v="1"/>
    <n v="6443210000"/>
  </r>
  <r>
    <d v="2025-08-04T00:00:00"/>
    <x v="1"/>
    <x v="7"/>
    <x v="31"/>
    <x v="3"/>
    <x v="0"/>
    <x v="0"/>
    <x v="0"/>
    <n v="5637708000"/>
  </r>
  <r>
    <d v="2025-08-04T00:00:00"/>
    <x v="1"/>
    <x v="7"/>
    <x v="31"/>
    <x v="3"/>
    <x v="15"/>
    <x v="14"/>
    <x v="4"/>
    <n v="130728438"/>
  </r>
  <r>
    <d v="2025-08-04T00:00:00"/>
    <x v="1"/>
    <x v="7"/>
    <x v="31"/>
    <x v="3"/>
    <x v="1"/>
    <x v="1"/>
    <x v="1"/>
    <n v="15750000"/>
  </r>
  <r>
    <d v="2025-08-04T00:00:00"/>
    <x v="1"/>
    <x v="7"/>
    <x v="31"/>
    <x v="3"/>
    <x v="6"/>
    <x v="6"/>
    <x v="0"/>
    <n v="49000000"/>
  </r>
  <r>
    <d v="2025-08-04T00:00:00"/>
    <x v="1"/>
    <x v="7"/>
    <x v="31"/>
    <x v="3"/>
    <x v="3"/>
    <x v="3"/>
    <x v="1"/>
    <n v="0"/>
  </r>
  <r>
    <d v="2025-08-04T00:00:00"/>
    <x v="1"/>
    <x v="7"/>
    <x v="31"/>
    <x v="3"/>
    <x v="25"/>
    <x v="2"/>
    <x v="1"/>
    <n v="0"/>
  </r>
  <r>
    <d v="2025-08-04T00:00:00"/>
    <x v="1"/>
    <x v="7"/>
    <x v="31"/>
    <x v="3"/>
    <x v="23"/>
    <x v="17"/>
    <x v="4"/>
    <n v="487873000"/>
  </r>
  <r>
    <d v="2025-08-05T00:00:00"/>
    <x v="1"/>
    <x v="7"/>
    <x v="31"/>
    <x v="4"/>
    <x v="23"/>
    <x v="17"/>
    <x v="4"/>
    <n v="522929000"/>
  </r>
  <r>
    <d v="2025-08-05T00:00:00"/>
    <x v="1"/>
    <x v="7"/>
    <x v="31"/>
    <x v="4"/>
    <x v="11"/>
    <x v="10"/>
    <x v="4"/>
    <n v="356656671"/>
  </r>
  <r>
    <d v="2025-08-05T00:00:00"/>
    <x v="1"/>
    <x v="7"/>
    <x v="31"/>
    <x v="4"/>
    <x v="19"/>
    <x v="12"/>
    <x v="4"/>
    <n v="1238761997"/>
  </r>
  <r>
    <d v="2025-08-05T00:00:00"/>
    <x v="1"/>
    <x v="7"/>
    <x v="31"/>
    <x v="4"/>
    <x v="12"/>
    <x v="11"/>
    <x v="1"/>
    <n v="11844870000"/>
  </r>
  <r>
    <d v="2025-08-05T00:00:00"/>
    <x v="1"/>
    <x v="7"/>
    <x v="31"/>
    <x v="4"/>
    <x v="3"/>
    <x v="3"/>
    <x v="1"/>
    <n v="0"/>
  </r>
  <r>
    <d v="2025-08-05T00:00:00"/>
    <x v="1"/>
    <x v="7"/>
    <x v="31"/>
    <x v="4"/>
    <x v="1"/>
    <x v="1"/>
    <x v="1"/>
    <n v="10500000"/>
  </r>
  <r>
    <d v="2025-08-05T00:00:00"/>
    <x v="1"/>
    <x v="7"/>
    <x v="31"/>
    <x v="4"/>
    <x v="7"/>
    <x v="7"/>
    <x v="4"/>
    <n v="642536295"/>
  </r>
  <r>
    <d v="2025-08-05T00:00:00"/>
    <x v="1"/>
    <x v="7"/>
    <x v="31"/>
    <x v="4"/>
    <x v="6"/>
    <x v="6"/>
    <x v="0"/>
    <n v="36000000"/>
  </r>
  <r>
    <d v="2025-08-05T00:00:00"/>
    <x v="1"/>
    <x v="7"/>
    <x v="31"/>
    <x v="4"/>
    <x v="0"/>
    <x v="0"/>
    <x v="0"/>
    <n v="6576552000"/>
  </r>
  <r>
    <d v="2025-08-05T00:00:00"/>
    <x v="1"/>
    <x v="7"/>
    <x v="31"/>
    <x v="4"/>
    <x v="5"/>
    <x v="5"/>
    <x v="3"/>
    <n v="3991722491"/>
  </r>
  <r>
    <d v="2025-08-05T00:00:00"/>
    <x v="1"/>
    <x v="7"/>
    <x v="31"/>
    <x v="4"/>
    <x v="27"/>
    <x v="19"/>
    <x v="0"/>
    <n v="3945024000"/>
  </r>
  <r>
    <d v="2025-08-05T00:00:00"/>
    <x v="1"/>
    <x v="7"/>
    <x v="31"/>
    <x v="4"/>
    <x v="14"/>
    <x v="13"/>
    <x v="1"/>
    <n v="1786840000"/>
  </r>
  <r>
    <d v="2025-08-05T00:00:00"/>
    <x v="1"/>
    <x v="7"/>
    <x v="31"/>
    <x v="4"/>
    <x v="24"/>
    <x v="18"/>
    <x v="1"/>
    <n v="6400020000"/>
  </r>
  <r>
    <d v="2025-08-05T00:00:00"/>
    <x v="1"/>
    <x v="7"/>
    <x v="31"/>
    <x v="4"/>
    <x v="15"/>
    <x v="14"/>
    <x v="4"/>
    <n v="57923586"/>
  </r>
  <r>
    <d v="2025-08-05T00:00:00"/>
    <x v="1"/>
    <x v="7"/>
    <x v="31"/>
    <x v="4"/>
    <x v="2"/>
    <x v="2"/>
    <x v="1"/>
    <n v="11461790000"/>
  </r>
  <r>
    <d v="2025-08-05T00:00:00"/>
    <x v="1"/>
    <x v="7"/>
    <x v="31"/>
    <x v="4"/>
    <x v="26"/>
    <x v="16"/>
    <x v="1"/>
    <n v="27300000"/>
  </r>
  <r>
    <d v="2025-08-05T00:00:00"/>
    <x v="1"/>
    <x v="7"/>
    <x v="31"/>
    <x v="4"/>
    <x v="18"/>
    <x v="15"/>
    <x v="1"/>
    <n v="717230000"/>
  </r>
  <r>
    <d v="2025-08-05T00:00:00"/>
    <x v="1"/>
    <x v="7"/>
    <x v="31"/>
    <x v="4"/>
    <x v="25"/>
    <x v="2"/>
    <x v="1"/>
    <n v="0"/>
  </r>
  <r>
    <d v="2025-08-06T00:00:00"/>
    <x v="1"/>
    <x v="7"/>
    <x v="31"/>
    <x v="5"/>
    <x v="3"/>
    <x v="3"/>
    <x v="1"/>
    <n v="0"/>
  </r>
  <r>
    <d v="2025-08-06T00:00:00"/>
    <x v="1"/>
    <x v="7"/>
    <x v="31"/>
    <x v="5"/>
    <x v="18"/>
    <x v="15"/>
    <x v="1"/>
    <n v="570730000"/>
  </r>
  <r>
    <d v="2025-08-06T00:00:00"/>
    <x v="1"/>
    <x v="7"/>
    <x v="31"/>
    <x v="5"/>
    <x v="12"/>
    <x v="11"/>
    <x v="1"/>
    <n v="11522020000"/>
  </r>
  <r>
    <d v="2025-08-06T00:00:00"/>
    <x v="1"/>
    <x v="7"/>
    <x v="31"/>
    <x v="5"/>
    <x v="19"/>
    <x v="12"/>
    <x v="4"/>
    <n v="683033527"/>
  </r>
  <r>
    <d v="2025-08-06T00:00:00"/>
    <x v="1"/>
    <x v="7"/>
    <x v="31"/>
    <x v="5"/>
    <x v="15"/>
    <x v="14"/>
    <x v="4"/>
    <n v="44272354"/>
  </r>
  <r>
    <d v="2025-08-06T00:00:00"/>
    <x v="1"/>
    <x v="7"/>
    <x v="31"/>
    <x v="5"/>
    <x v="24"/>
    <x v="18"/>
    <x v="1"/>
    <n v="5221390000"/>
  </r>
  <r>
    <d v="2025-08-06T00:00:00"/>
    <x v="1"/>
    <x v="7"/>
    <x v="31"/>
    <x v="5"/>
    <x v="26"/>
    <x v="16"/>
    <x v="1"/>
    <n v="0"/>
  </r>
  <r>
    <d v="2025-08-06T00:00:00"/>
    <x v="1"/>
    <x v="7"/>
    <x v="31"/>
    <x v="5"/>
    <x v="6"/>
    <x v="6"/>
    <x v="0"/>
    <n v="44000000"/>
  </r>
  <r>
    <d v="2025-08-06T00:00:00"/>
    <x v="1"/>
    <x v="7"/>
    <x v="31"/>
    <x v="5"/>
    <x v="1"/>
    <x v="1"/>
    <x v="1"/>
    <n v="42000000"/>
  </r>
  <r>
    <d v="2025-08-06T00:00:00"/>
    <x v="1"/>
    <x v="7"/>
    <x v="31"/>
    <x v="5"/>
    <x v="7"/>
    <x v="7"/>
    <x v="4"/>
    <n v="460736837"/>
  </r>
  <r>
    <d v="2025-08-06T00:00:00"/>
    <x v="1"/>
    <x v="7"/>
    <x v="31"/>
    <x v="5"/>
    <x v="14"/>
    <x v="13"/>
    <x v="1"/>
    <n v="2371360000"/>
  </r>
  <r>
    <d v="2025-08-06T00:00:00"/>
    <x v="1"/>
    <x v="7"/>
    <x v="31"/>
    <x v="5"/>
    <x v="27"/>
    <x v="19"/>
    <x v="0"/>
    <n v="3540348000"/>
  </r>
  <r>
    <d v="2025-08-06T00:00:00"/>
    <x v="1"/>
    <x v="7"/>
    <x v="31"/>
    <x v="5"/>
    <x v="11"/>
    <x v="10"/>
    <x v="4"/>
    <n v="274532987"/>
  </r>
  <r>
    <d v="2025-08-06T00:00:00"/>
    <x v="1"/>
    <x v="7"/>
    <x v="31"/>
    <x v="5"/>
    <x v="0"/>
    <x v="0"/>
    <x v="0"/>
    <n v="5989464000"/>
  </r>
  <r>
    <d v="2025-08-06T00:00:00"/>
    <x v="1"/>
    <x v="7"/>
    <x v="31"/>
    <x v="5"/>
    <x v="5"/>
    <x v="5"/>
    <x v="3"/>
    <n v="3376398287"/>
  </r>
  <r>
    <d v="2025-08-06T00:00:00"/>
    <x v="1"/>
    <x v="7"/>
    <x v="31"/>
    <x v="5"/>
    <x v="23"/>
    <x v="17"/>
    <x v="4"/>
    <n v="547780000"/>
  </r>
  <r>
    <d v="2025-08-06T00:00:00"/>
    <x v="1"/>
    <x v="7"/>
    <x v="31"/>
    <x v="5"/>
    <x v="2"/>
    <x v="2"/>
    <x v="1"/>
    <n v="10134200000"/>
  </r>
  <r>
    <d v="2025-08-06T00:00:00"/>
    <x v="1"/>
    <x v="7"/>
    <x v="31"/>
    <x v="5"/>
    <x v="25"/>
    <x v="2"/>
    <x v="1"/>
    <n v="0"/>
  </r>
  <r>
    <d v="2025-08-07T00:00:00"/>
    <x v="1"/>
    <x v="7"/>
    <x v="31"/>
    <x v="6"/>
    <x v="7"/>
    <x v="7"/>
    <x v="4"/>
    <n v="362038363"/>
  </r>
  <r>
    <d v="2025-08-07T00:00:00"/>
    <x v="1"/>
    <x v="7"/>
    <x v="31"/>
    <x v="6"/>
    <x v="6"/>
    <x v="6"/>
    <x v="0"/>
    <n v="51000000"/>
  </r>
  <r>
    <d v="2025-08-07T00:00:00"/>
    <x v="1"/>
    <x v="7"/>
    <x v="31"/>
    <x v="6"/>
    <x v="5"/>
    <x v="5"/>
    <x v="3"/>
    <n v="3142283152"/>
  </r>
  <r>
    <d v="2025-08-07T00:00:00"/>
    <x v="1"/>
    <x v="7"/>
    <x v="31"/>
    <x v="6"/>
    <x v="11"/>
    <x v="10"/>
    <x v="4"/>
    <n v="243216942"/>
  </r>
  <r>
    <d v="2025-08-07T00:00:00"/>
    <x v="1"/>
    <x v="7"/>
    <x v="31"/>
    <x v="6"/>
    <x v="1"/>
    <x v="1"/>
    <x v="1"/>
    <n v="10500000"/>
  </r>
  <r>
    <d v="2025-08-07T00:00:00"/>
    <x v="1"/>
    <x v="7"/>
    <x v="31"/>
    <x v="6"/>
    <x v="23"/>
    <x v="17"/>
    <x v="4"/>
    <n v="431205650"/>
  </r>
  <r>
    <d v="2025-08-07T00:00:00"/>
    <x v="1"/>
    <x v="7"/>
    <x v="31"/>
    <x v="6"/>
    <x v="14"/>
    <x v="13"/>
    <x v="1"/>
    <n v="2184590000"/>
  </r>
  <r>
    <d v="2025-08-07T00:00:00"/>
    <x v="1"/>
    <x v="7"/>
    <x v="31"/>
    <x v="6"/>
    <x v="2"/>
    <x v="2"/>
    <x v="1"/>
    <n v="9758780000"/>
  </r>
  <r>
    <d v="2025-08-07T00:00:00"/>
    <x v="1"/>
    <x v="7"/>
    <x v="31"/>
    <x v="6"/>
    <x v="12"/>
    <x v="11"/>
    <x v="1"/>
    <n v="9703680000"/>
  </r>
  <r>
    <d v="2025-08-07T00:00:00"/>
    <x v="1"/>
    <x v="7"/>
    <x v="31"/>
    <x v="6"/>
    <x v="15"/>
    <x v="14"/>
    <x v="4"/>
    <n v="39876286"/>
  </r>
  <r>
    <d v="2025-08-07T00:00:00"/>
    <x v="1"/>
    <x v="7"/>
    <x v="31"/>
    <x v="6"/>
    <x v="27"/>
    <x v="19"/>
    <x v="0"/>
    <n v="3279852000"/>
  </r>
  <r>
    <d v="2025-08-07T00:00:00"/>
    <x v="1"/>
    <x v="7"/>
    <x v="31"/>
    <x v="6"/>
    <x v="24"/>
    <x v="18"/>
    <x v="1"/>
    <n v="5467870000"/>
  </r>
  <r>
    <d v="2025-08-07T00:00:00"/>
    <x v="1"/>
    <x v="7"/>
    <x v="31"/>
    <x v="6"/>
    <x v="25"/>
    <x v="2"/>
    <x v="1"/>
    <n v="0"/>
  </r>
  <r>
    <d v="2025-08-07T00:00:00"/>
    <x v="1"/>
    <x v="7"/>
    <x v="31"/>
    <x v="6"/>
    <x v="26"/>
    <x v="16"/>
    <x v="1"/>
    <n v="0"/>
  </r>
  <r>
    <d v="2025-08-07T00:00:00"/>
    <x v="1"/>
    <x v="7"/>
    <x v="31"/>
    <x v="6"/>
    <x v="0"/>
    <x v="0"/>
    <x v="0"/>
    <n v="5600124000"/>
  </r>
  <r>
    <d v="2025-08-07T00:00:00"/>
    <x v="1"/>
    <x v="7"/>
    <x v="31"/>
    <x v="6"/>
    <x v="19"/>
    <x v="12"/>
    <x v="4"/>
    <n v="558043177"/>
  </r>
  <r>
    <d v="2025-08-07T00:00:00"/>
    <x v="1"/>
    <x v="7"/>
    <x v="31"/>
    <x v="6"/>
    <x v="18"/>
    <x v="15"/>
    <x v="1"/>
    <n v="493940000"/>
  </r>
  <r>
    <d v="2025-08-07T00:00:00"/>
    <x v="1"/>
    <x v="7"/>
    <x v="31"/>
    <x v="6"/>
    <x v="3"/>
    <x v="3"/>
    <x v="1"/>
    <n v="0"/>
  </r>
  <r>
    <d v="2025-08-08T00:00:00"/>
    <x v="1"/>
    <x v="7"/>
    <x v="31"/>
    <x v="7"/>
    <x v="14"/>
    <x v="13"/>
    <x v="1"/>
    <n v="2134130000"/>
  </r>
  <r>
    <d v="2025-08-08T00:00:00"/>
    <x v="1"/>
    <x v="7"/>
    <x v="31"/>
    <x v="7"/>
    <x v="12"/>
    <x v="11"/>
    <x v="1"/>
    <n v="10875830000"/>
  </r>
  <r>
    <d v="2025-08-08T00:00:00"/>
    <x v="1"/>
    <x v="7"/>
    <x v="31"/>
    <x v="7"/>
    <x v="7"/>
    <x v="7"/>
    <x v="4"/>
    <n v="337405845"/>
  </r>
  <r>
    <d v="2025-08-08T00:00:00"/>
    <x v="1"/>
    <x v="7"/>
    <x v="31"/>
    <x v="7"/>
    <x v="0"/>
    <x v="0"/>
    <x v="0"/>
    <n v="6536700000"/>
  </r>
  <r>
    <d v="2025-08-08T00:00:00"/>
    <x v="1"/>
    <x v="7"/>
    <x v="31"/>
    <x v="7"/>
    <x v="2"/>
    <x v="2"/>
    <x v="1"/>
    <n v="11937810000"/>
  </r>
  <r>
    <d v="2025-08-08T00:00:00"/>
    <x v="1"/>
    <x v="7"/>
    <x v="31"/>
    <x v="7"/>
    <x v="5"/>
    <x v="5"/>
    <x v="3"/>
    <n v="3215431781"/>
  </r>
  <r>
    <d v="2025-08-08T00:00:00"/>
    <x v="1"/>
    <x v="7"/>
    <x v="31"/>
    <x v="7"/>
    <x v="26"/>
    <x v="16"/>
    <x v="1"/>
    <n v="27300000"/>
  </r>
  <r>
    <d v="2025-08-08T00:00:00"/>
    <x v="1"/>
    <x v="7"/>
    <x v="31"/>
    <x v="7"/>
    <x v="25"/>
    <x v="2"/>
    <x v="1"/>
    <n v="0"/>
  </r>
  <r>
    <d v="2025-08-08T00:00:00"/>
    <x v="1"/>
    <x v="7"/>
    <x v="31"/>
    <x v="7"/>
    <x v="6"/>
    <x v="6"/>
    <x v="0"/>
    <n v="13000000"/>
  </r>
  <r>
    <d v="2025-08-08T00:00:00"/>
    <x v="1"/>
    <x v="7"/>
    <x v="31"/>
    <x v="7"/>
    <x v="1"/>
    <x v="1"/>
    <x v="1"/>
    <n v="31500000"/>
  </r>
  <r>
    <d v="2025-08-08T00:00:00"/>
    <x v="1"/>
    <x v="7"/>
    <x v="31"/>
    <x v="7"/>
    <x v="15"/>
    <x v="14"/>
    <x v="4"/>
    <n v="43263278"/>
  </r>
  <r>
    <d v="2025-08-08T00:00:00"/>
    <x v="1"/>
    <x v="7"/>
    <x v="31"/>
    <x v="7"/>
    <x v="23"/>
    <x v="17"/>
    <x v="4"/>
    <n v="492821000"/>
  </r>
  <r>
    <d v="2025-08-08T00:00:00"/>
    <x v="1"/>
    <x v="7"/>
    <x v="31"/>
    <x v="7"/>
    <x v="18"/>
    <x v="15"/>
    <x v="1"/>
    <n v="411440000"/>
  </r>
  <r>
    <d v="2025-08-08T00:00:00"/>
    <x v="1"/>
    <x v="7"/>
    <x v="31"/>
    <x v="7"/>
    <x v="11"/>
    <x v="10"/>
    <x v="4"/>
    <n v="226544513"/>
  </r>
  <r>
    <d v="2025-08-08T00:00:00"/>
    <x v="1"/>
    <x v="7"/>
    <x v="31"/>
    <x v="7"/>
    <x v="19"/>
    <x v="12"/>
    <x v="4"/>
    <n v="493235347"/>
  </r>
  <r>
    <d v="2025-08-08T00:00:00"/>
    <x v="1"/>
    <x v="7"/>
    <x v="31"/>
    <x v="7"/>
    <x v="24"/>
    <x v="18"/>
    <x v="1"/>
    <n v="3465590000"/>
  </r>
  <r>
    <d v="2025-08-08T00:00:00"/>
    <x v="1"/>
    <x v="7"/>
    <x v="31"/>
    <x v="7"/>
    <x v="3"/>
    <x v="3"/>
    <x v="1"/>
    <n v="0"/>
  </r>
  <r>
    <d v="2025-08-08T00:00:00"/>
    <x v="1"/>
    <x v="7"/>
    <x v="31"/>
    <x v="7"/>
    <x v="27"/>
    <x v="19"/>
    <x v="0"/>
    <n v="3562812000"/>
  </r>
  <r>
    <d v="2025-08-09T00:00:00"/>
    <x v="1"/>
    <x v="7"/>
    <x v="31"/>
    <x v="8"/>
    <x v="1"/>
    <x v="1"/>
    <x v="1"/>
    <n v="15750000"/>
  </r>
  <r>
    <d v="2025-08-09T00:00:00"/>
    <x v="1"/>
    <x v="7"/>
    <x v="31"/>
    <x v="8"/>
    <x v="19"/>
    <x v="12"/>
    <x v="4"/>
    <n v="416117696"/>
  </r>
  <r>
    <d v="2025-08-09T00:00:00"/>
    <x v="1"/>
    <x v="7"/>
    <x v="31"/>
    <x v="8"/>
    <x v="18"/>
    <x v="15"/>
    <x v="1"/>
    <n v="395700000"/>
  </r>
  <r>
    <d v="2025-08-09T00:00:00"/>
    <x v="1"/>
    <x v="7"/>
    <x v="31"/>
    <x v="8"/>
    <x v="15"/>
    <x v="14"/>
    <x v="4"/>
    <n v="19032032"/>
  </r>
  <r>
    <d v="2025-08-09T00:00:00"/>
    <x v="1"/>
    <x v="7"/>
    <x v="31"/>
    <x v="8"/>
    <x v="24"/>
    <x v="18"/>
    <x v="1"/>
    <n v="352170000"/>
  </r>
  <r>
    <d v="2025-08-09T00:00:00"/>
    <x v="1"/>
    <x v="7"/>
    <x v="31"/>
    <x v="8"/>
    <x v="0"/>
    <x v="0"/>
    <x v="0"/>
    <n v="6368976000"/>
  </r>
  <r>
    <d v="2025-08-09T00:00:00"/>
    <x v="1"/>
    <x v="7"/>
    <x v="31"/>
    <x v="8"/>
    <x v="7"/>
    <x v="7"/>
    <x v="4"/>
    <n v="300034807"/>
  </r>
  <r>
    <d v="2025-08-09T00:00:00"/>
    <x v="1"/>
    <x v="7"/>
    <x v="31"/>
    <x v="8"/>
    <x v="26"/>
    <x v="16"/>
    <x v="1"/>
    <n v="12600000"/>
  </r>
  <r>
    <d v="2025-08-09T00:00:00"/>
    <x v="1"/>
    <x v="7"/>
    <x v="31"/>
    <x v="8"/>
    <x v="23"/>
    <x v="17"/>
    <x v="4"/>
    <n v="435664000"/>
  </r>
  <r>
    <d v="2025-08-09T00:00:00"/>
    <x v="1"/>
    <x v="7"/>
    <x v="31"/>
    <x v="8"/>
    <x v="5"/>
    <x v="5"/>
    <x v="3"/>
    <n v="2866701754"/>
  </r>
  <r>
    <d v="2025-08-09T00:00:00"/>
    <x v="1"/>
    <x v="7"/>
    <x v="31"/>
    <x v="8"/>
    <x v="14"/>
    <x v="13"/>
    <x v="1"/>
    <n v="2008640000"/>
  </r>
  <r>
    <d v="2025-08-09T00:00:00"/>
    <x v="1"/>
    <x v="7"/>
    <x v="31"/>
    <x v="8"/>
    <x v="2"/>
    <x v="2"/>
    <x v="1"/>
    <n v="10518470000"/>
  </r>
  <r>
    <d v="2025-08-09T00:00:00"/>
    <x v="1"/>
    <x v="7"/>
    <x v="31"/>
    <x v="8"/>
    <x v="6"/>
    <x v="6"/>
    <x v="0"/>
    <n v="28000000"/>
  </r>
  <r>
    <d v="2025-08-09T00:00:00"/>
    <x v="1"/>
    <x v="7"/>
    <x v="31"/>
    <x v="8"/>
    <x v="12"/>
    <x v="11"/>
    <x v="1"/>
    <n v="10496200000"/>
  </r>
  <r>
    <d v="2025-08-09T00:00:00"/>
    <x v="1"/>
    <x v="7"/>
    <x v="31"/>
    <x v="8"/>
    <x v="27"/>
    <x v="19"/>
    <x v="0"/>
    <n v="3352212000"/>
  </r>
  <r>
    <d v="2025-08-09T00:00:00"/>
    <x v="1"/>
    <x v="7"/>
    <x v="31"/>
    <x v="8"/>
    <x v="11"/>
    <x v="10"/>
    <x v="4"/>
    <n v="248871345"/>
  </r>
  <r>
    <d v="2025-08-09T00:00:00"/>
    <x v="1"/>
    <x v="7"/>
    <x v="31"/>
    <x v="8"/>
    <x v="25"/>
    <x v="2"/>
    <x v="1"/>
    <n v="0"/>
  </r>
  <r>
    <d v="2025-08-09T00:00:00"/>
    <x v="1"/>
    <x v="7"/>
    <x v="31"/>
    <x v="8"/>
    <x v="3"/>
    <x v="3"/>
    <x v="1"/>
    <n v="0"/>
  </r>
  <r>
    <d v="2025-08-10T00:00:00"/>
    <x v="1"/>
    <x v="7"/>
    <x v="31"/>
    <x v="9"/>
    <x v="12"/>
    <x v="11"/>
    <x v="1"/>
    <n v="10387270000"/>
  </r>
  <r>
    <d v="2025-08-10T00:00:00"/>
    <x v="1"/>
    <x v="7"/>
    <x v="31"/>
    <x v="9"/>
    <x v="11"/>
    <x v="10"/>
    <x v="4"/>
    <n v="259803553"/>
  </r>
  <r>
    <d v="2025-08-10T00:00:00"/>
    <x v="1"/>
    <x v="7"/>
    <x v="31"/>
    <x v="9"/>
    <x v="23"/>
    <x v="17"/>
    <x v="4"/>
    <n v="446971150"/>
  </r>
  <r>
    <d v="2025-08-10T00:00:00"/>
    <x v="1"/>
    <x v="7"/>
    <x v="31"/>
    <x v="9"/>
    <x v="19"/>
    <x v="12"/>
    <x v="4"/>
    <n v="408048395"/>
  </r>
  <r>
    <d v="2025-08-10T00:00:00"/>
    <x v="1"/>
    <x v="7"/>
    <x v="31"/>
    <x v="9"/>
    <x v="14"/>
    <x v="13"/>
    <x v="1"/>
    <n v="2903260000"/>
  </r>
  <r>
    <d v="2025-08-10T00:00:00"/>
    <x v="1"/>
    <x v="7"/>
    <x v="31"/>
    <x v="9"/>
    <x v="24"/>
    <x v="18"/>
    <x v="1"/>
    <n v="293040000"/>
  </r>
  <r>
    <d v="2025-08-10T00:00:00"/>
    <x v="1"/>
    <x v="7"/>
    <x v="31"/>
    <x v="9"/>
    <x v="25"/>
    <x v="2"/>
    <x v="1"/>
    <n v="0"/>
  </r>
  <r>
    <d v="2025-08-10T00:00:00"/>
    <x v="1"/>
    <x v="7"/>
    <x v="31"/>
    <x v="9"/>
    <x v="0"/>
    <x v="0"/>
    <x v="0"/>
    <n v="6402456000"/>
  </r>
  <r>
    <d v="2025-08-10T00:00:00"/>
    <x v="1"/>
    <x v="7"/>
    <x v="31"/>
    <x v="9"/>
    <x v="27"/>
    <x v="19"/>
    <x v="0"/>
    <n v="3403296000"/>
  </r>
  <r>
    <d v="2025-08-10T00:00:00"/>
    <x v="1"/>
    <x v="7"/>
    <x v="31"/>
    <x v="9"/>
    <x v="6"/>
    <x v="6"/>
    <x v="0"/>
    <n v="19000000"/>
  </r>
  <r>
    <d v="2025-08-10T00:00:00"/>
    <x v="1"/>
    <x v="7"/>
    <x v="31"/>
    <x v="9"/>
    <x v="7"/>
    <x v="7"/>
    <x v="4"/>
    <n v="324859691"/>
  </r>
  <r>
    <d v="2025-08-10T00:00:00"/>
    <x v="1"/>
    <x v="7"/>
    <x v="31"/>
    <x v="9"/>
    <x v="3"/>
    <x v="3"/>
    <x v="1"/>
    <n v="0"/>
  </r>
  <r>
    <d v="2025-08-10T00:00:00"/>
    <x v="1"/>
    <x v="7"/>
    <x v="31"/>
    <x v="9"/>
    <x v="1"/>
    <x v="1"/>
    <x v="1"/>
    <n v="52500000"/>
  </r>
  <r>
    <d v="2025-08-10T00:00:00"/>
    <x v="1"/>
    <x v="7"/>
    <x v="31"/>
    <x v="9"/>
    <x v="26"/>
    <x v="16"/>
    <x v="1"/>
    <n v="0"/>
  </r>
  <r>
    <d v="2025-08-10T00:00:00"/>
    <x v="1"/>
    <x v="7"/>
    <x v="31"/>
    <x v="9"/>
    <x v="18"/>
    <x v="15"/>
    <x v="1"/>
    <n v="667620000"/>
  </r>
  <r>
    <d v="2025-08-10T00:00:00"/>
    <x v="1"/>
    <x v="7"/>
    <x v="31"/>
    <x v="9"/>
    <x v="5"/>
    <x v="5"/>
    <x v="3"/>
    <n v="3045419128"/>
  </r>
  <r>
    <d v="2025-08-10T00:00:00"/>
    <x v="1"/>
    <x v="7"/>
    <x v="31"/>
    <x v="9"/>
    <x v="15"/>
    <x v="14"/>
    <x v="4"/>
    <n v="20373564"/>
  </r>
  <r>
    <d v="2025-08-10T00:00:00"/>
    <x v="1"/>
    <x v="7"/>
    <x v="31"/>
    <x v="9"/>
    <x v="2"/>
    <x v="2"/>
    <x v="1"/>
    <n v="11676000000"/>
  </r>
  <r>
    <d v="2025-08-11T00:00:00"/>
    <x v="1"/>
    <x v="7"/>
    <x v="32"/>
    <x v="10"/>
    <x v="18"/>
    <x v="15"/>
    <x v="1"/>
    <n v="474040000"/>
  </r>
  <r>
    <d v="2025-08-11T00:00:00"/>
    <x v="1"/>
    <x v="7"/>
    <x v="32"/>
    <x v="10"/>
    <x v="15"/>
    <x v="14"/>
    <x v="4"/>
    <n v="39467928"/>
  </r>
  <r>
    <d v="2025-08-11T00:00:00"/>
    <x v="1"/>
    <x v="7"/>
    <x v="32"/>
    <x v="10"/>
    <x v="2"/>
    <x v="2"/>
    <x v="1"/>
    <n v="11878930000"/>
  </r>
  <r>
    <d v="2025-08-11T00:00:00"/>
    <x v="1"/>
    <x v="7"/>
    <x v="32"/>
    <x v="10"/>
    <x v="19"/>
    <x v="12"/>
    <x v="4"/>
    <n v="492370735"/>
  </r>
  <r>
    <d v="2025-08-11T00:00:00"/>
    <x v="1"/>
    <x v="7"/>
    <x v="32"/>
    <x v="10"/>
    <x v="25"/>
    <x v="2"/>
    <x v="1"/>
    <n v="20700000"/>
  </r>
  <r>
    <d v="2025-08-11T00:00:00"/>
    <x v="1"/>
    <x v="7"/>
    <x v="32"/>
    <x v="10"/>
    <x v="1"/>
    <x v="1"/>
    <x v="1"/>
    <n v="10000000"/>
  </r>
  <r>
    <d v="2025-08-11T00:00:00"/>
    <x v="1"/>
    <x v="7"/>
    <x v="32"/>
    <x v="10"/>
    <x v="3"/>
    <x v="3"/>
    <x v="1"/>
    <n v="0"/>
  </r>
  <r>
    <d v="2025-08-11T00:00:00"/>
    <x v="1"/>
    <x v="7"/>
    <x v="32"/>
    <x v="10"/>
    <x v="23"/>
    <x v="17"/>
    <x v="4"/>
    <n v="460492000"/>
  </r>
  <r>
    <d v="2025-08-11T00:00:00"/>
    <x v="1"/>
    <x v="7"/>
    <x v="32"/>
    <x v="10"/>
    <x v="26"/>
    <x v="16"/>
    <x v="1"/>
    <n v="0"/>
  </r>
  <r>
    <d v="2025-08-11T00:00:00"/>
    <x v="1"/>
    <x v="7"/>
    <x v="32"/>
    <x v="10"/>
    <x v="5"/>
    <x v="5"/>
    <x v="3"/>
    <n v="3704531016"/>
  </r>
  <r>
    <d v="2025-08-11T00:00:00"/>
    <x v="1"/>
    <x v="7"/>
    <x v="32"/>
    <x v="10"/>
    <x v="14"/>
    <x v="13"/>
    <x v="1"/>
    <n v="2070390000"/>
  </r>
  <r>
    <d v="2025-08-11T00:00:00"/>
    <x v="1"/>
    <x v="7"/>
    <x v="32"/>
    <x v="10"/>
    <x v="12"/>
    <x v="11"/>
    <x v="1"/>
    <n v="11606290000"/>
  </r>
  <r>
    <d v="2025-08-11T00:00:00"/>
    <x v="1"/>
    <x v="7"/>
    <x v="32"/>
    <x v="10"/>
    <x v="7"/>
    <x v="7"/>
    <x v="4"/>
    <n v="325203607"/>
  </r>
  <r>
    <d v="2025-08-11T00:00:00"/>
    <x v="1"/>
    <x v="7"/>
    <x v="32"/>
    <x v="10"/>
    <x v="24"/>
    <x v="18"/>
    <x v="1"/>
    <n v="315510000"/>
  </r>
  <r>
    <d v="2025-08-11T00:00:00"/>
    <x v="1"/>
    <x v="7"/>
    <x v="32"/>
    <x v="10"/>
    <x v="0"/>
    <x v="0"/>
    <x v="0"/>
    <n v="6837048000"/>
  </r>
  <r>
    <d v="2025-08-11T00:00:00"/>
    <x v="1"/>
    <x v="7"/>
    <x v="32"/>
    <x v="10"/>
    <x v="6"/>
    <x v="6"/>
    <x v="0"/>
    <n v="19000000"/>
  </r>
  <r>
    <d v="2025-08-11T00:00:00"/>
    <x v="1"/>
    <x v="7"/>
    <x v="32"/>
    <x v="10"/>
    <x v="11"/>
    <x v="10"/>
    <x v="4"/>
    <n v="244667714"/>
  </r>
  <r>
    <d v="2025-08-11T00:00:00"/>
    <x v="1"/>
    <x v="7"/>
    <x v="32"/>
    <x v="10"/>
    <x v="27"/>
    <x v="19"/>
    <x v="0"/>
    <n v="3374028000"/>
  </r>
  <r>
    <d v="2025-08-12T00:00:00"/>
    <x v="1"/>
    <x v="7"/>
    <x v="32"/>
    <x v="11"/>
    <x v="24"/>
    <x v="18"/>
    <x v="1"/>
    <n v="374360000"/>
  </r>
  <r>
    <d v="2025-08-12T00:00:00"/>
    <x v="1"/>
    <x v="7"/>
    <x v="32"/>
    <x v="11"/>
    <x v="14"/>
    <x v="13"/>
    <x v="1"/>
    <n v="2678560000"/>
  </r>
  <r>
    <d v="2025-08-12T00:00:00"/>
    <x v="1"/>
    <x v="7"/>
    <x v="32"/>
    <x v="11"/>
    <x v="0"/>
    <x v="0"/>
    <x v="0"/>
    <n v="6663492000"/>
  </r>
  <r>
    <d v="2025-08-12T00:00:00"/>
    <x v="1"/>
    <x v="7"/>
    <x v="32"/>
    <x v="11"/>
    <x v="18"/>
    <x v="15"/>
    <x v="1"/>
    <n v="439860000"/>
  </r>
  <r>
    <d v="2025-08-12T00:00:00"/>
    <x v="1"/>
    <x v="7"/>
    <x v="32"/>
    <x v="11"/>
    <x v="5"/>
    <x v="5"/>
    <x v="3"/>
    <n v="3013519631"/>
  </r>
  <r>
    <d v="2025-08-12T00:00:00"/>
    <x v="1"/>
    <x v="7"/>
    <x v="32"/>
    <x v="11"/>
    <x v="2"/>
    <x v="2"/>
    <x v="1"/>
    <n v="12177550000"/>
  </r>
  <r>
    <d v="2025-08-12T00:00:00"/>
    <x v="1"/>
    <x v="7"/>
    <x v="32"/>
    <x v="11"/>
    <x v="3"/>
    <x v="3"/>
    <x v="1"/>
    <n v="0"/>
  </r>
  <r>
    <d v="2025-08-12T00:00:00"/>
    <x v="1"/>
    <x v="7"/>
    <x v="32"/>
    <x v="11"/>
    <x v="7"/>
    <x v="7"/>
    <x v="4"/>
    <n v="301456704"/>
  </r>
  <r>
    <d v="2025-08-12T00:00:00"/>
    <x v="1"/>
    <x v="7"/>
    <x v="32"/>
    <x v="11"/>
    <x v="11"/>
    <x v="10"/>
    <x v="4"/>
    <n v="238027044"/>
  </r>
  <r>
    <d v="2025-08-12T00:00:00"/>
    <x v="1"/>
    <x v="7"/>
    <x v="32"/>
    <x v="11"/>
    <x v="6"/>
    <x v="6"/>
    <x v="0"/>
    <n v="47000000"/>
  </r>
  <r>
    <d v="2025-08-12T00:00:00"/>
    <x v="1"/>
    <x v="7"/>
    <x v="32"/>
    <x v="11"/>
    <x v="12"/>
    <x v="11"/>
    <x v="1"/>
    <n v="10995330000"/>
  </r>
  <r>
    <d v="2025-08-12T00:00:00"/>
    <x v="1"/>
    <x v="7"/>
    <x v="32"/>
    <x v="11"/>
    <x v="27"/>
    <x v="19"/>
    <x v="0"/>
    <n v="3114612000"/>
  </r>
  <r>
    <d v="2025-08-12T00:00:00"/>
    <x v="1"/>
    <x v="7"/>
    <x v="32"/>
    <x v="11"/>
    <x v="1"/>
    <x v="1"/>
    <x v="1"/>
    <n v="36750000"/>
  </r>
  <r>
    <d v="2025-08-12T00:00:00"/>
    <x v="1"/>
    <x v="7"/>
    <x v="32"/>
    <x v="11"/>
    <x v="15"/>
    <x v="14"/>
    <x v="4"/>
    <n v="24619598"/>
  </r>
  <r>
    <d v="2025-08-12T00:00:00"/>
    <x v="1"/>
    <x v="7"/>
    <x v="32"/>
    <x v="11"/>
    <x v="19"/>
    <x v="12"/>
    <x v="4"/>
    <n v="389346937"/>
  </r>
  <r>
    <d v="2025-08-12T00:00:00"/>
    <x v="1"/>
    <x v="7"/>
    <x v="32"/>
    <x v="11"/>
    <x v="25"/>
    <x v="2"/>
    <x v="1"/>
    <n v="10700000"/>
  </r>
  <r>
    <d v="2025-08-12T00:00:00"/>
    <x v="1"/>
    <x v="7"/>
    <x v="32"/>
    <x v="11"/>
    <x v="23"/>
    <x v="17"/>
    <x v="4"/>
    <n v="452252000"/>
  </r>
  <r>
    <d v="2025-08-12T00:00:00"/>
    <x v="1"/>
    <x v="7"/>
    <x v="32"/>
    <x v="11"/>
    <x v="26"/>
    <x v="16"/>
    <x v="1"/>
    <n v="42000000"/>
  </r>
  <r>
    <d v="2025-08-13T00:00:00"/>
    <x v="1"/>
    <x v="7"/>
    <x v="32"/>
    <x v="12"/>
    <x v="12"/>
    <x v="11"/>
    <x v="1"/>
    <n v="11273730000"/>
  </r>
  <r>
    <d v="2025-08-13T00:00:00"/>
    <x v="1"/>
    <x v="7"/>
    <x v="32"/>
    <x v="12"/>
    <x v="5"/>
    <x v="5"/>
    <x v="3"/>
    <n v="2881549375"/>
  </r>
  <r>
    <d v="2025-08-13T00:00:00"/>
    <x v="1"/>
    <x v="7"/>
    <x v="32"/>
    <x v="12"/>
    <x v="25"/>
    <x v="2"/>
    <x v="1"/>
    <n v="7000000"/>
  </r>
  <r>
    <d v="2025-08-13T00:00:00"/>
    <x v="1"/>
    <x v="7"/>
    <x v="32"/>
    <x v="12"/>
    <x v="24"/>
    <x v="18"/>
    <x v="1"/>
    <n v="221260000"/>
  </r>
  <r>
    <d v="2025-08-13T00:00:00"/>
    <x v="1"/>
    <x v="7"/>
    <x v="32"/>
    <x v="12"/>
    <x v="0"/>
    <x v="0"/>
    <x v="0"/>
    <n v="5967000000"/>
  </r>
  <r>
    <d v="2025-08-13T00:00:00"/>
    <x v="1"/>
    <x v="7"/>
    <x v="32"/>
    <x v="12"/>
    <x v="15"/>
    <x v="14"/>
    <x v="4"/>
    <n v="14138280"/>
  </r>
  <r>
    <d v="2025-08-13T00:00:00"/>
    <x v="1"/>
    <x v="7"/>
    <x v="32"/>
    <x v="12"/>
    <x v="11"/>
    <x v="10"/>
    <x v="4"/>
    <n v="213579925"/>
  </r>
  <r>
    <d v="2025-08-13T00:00:00"/>
    <x v="1"/>
    <x v="7"/>
    <x v="32"/>
    <x v="12"/>
    <x v="18"/>
    <x v="15"/>
    <x v="1"/>
    <n v="552730000"/>
  </r>
  <r>
    <d v="2025-08-13T00:00:00"/>
    <x v="1"/>
    <x v="7"/>
    <x v="32"/>
    <x v="12"/>
    <x v="1"/>
    <x v="1"/>
    <x v="1"/>
    <n v="35700000"/>
  </r>
  <r>
    <d v="2025-08-13T00:00:00"/>
    <x v="1"/>
    <x v="7"/>
    <x v="32"/>
    <x v="12"/>
    <x v="27"/>
    <x v="19"/>
    <x v="0"/>
    <n v="3111048000"/>
  </r>
  <r>
    <d v="2025-08-13T00:00:00"/>
    <x v="1"/>
    <x v="7"/>
    <x v="32"/>
    <x v="12"/>
    <x v="23"/>
    <x v="17"/>
    <x v="4"/>
    <n v="377653000"/>
  </r>
  <r>
    <d v="2025-08-13T00:00:00"/>
    <x v="1"/>
    <x v="7"/>
    <x v="32"/>
    <x v="12"/>
    <x v="7"/>
    <x v="7"/>
    <x v="4"/>
    <n v="256558706"/>
  </r>
  <r>
    <d v="2025-08-13T00:00:00"/>
    <x v="1"/>
    <x v="7"/>
    <x v="32"/>
    <x v="12"/>
    <x v="26"/>
    <x v="16"/>
    <x v="1"/>
    <n v="62500000"/>
  </r>
  <r>
    <d v="2025-08-13T00:00:00"/>
    <x v="1"/>
    <x v="7"/>
    <x v="32"/>
    <x v="12"/>
    <x v="6"/>
    <x v="6"/>
    <x v="0"/>
    <n v="11000000"/>
  </r>
  <r>
    <d v="2025-08-13T00:00:00"/>
    <x v="1"/>
    <x v="7"/>
    <x v="32"/>
    <x v="12"/>
    <x v="19"/>
    <x v="12"/>
    <x v="4"/>
    <n v="343175049"/>
  </r>
  <r>
    <d v="2025-08-13T00:00:00"/>
    <x v="1"/>
    <x v="7"/>
    <x v="32"/>
    <x v="12"/>
    <x v="14"/>
    <x v="13"/>
    <x v="1"/>
    <n v="2194710000"/>
  </r>
  <r>
    <d v="2025-08-13T00:00:00"/>
    <x v="1"/>
    <x v="7"/>
    <x v="32"/>
    <x v="12"/>
    <x v="2"/>
    <x v="2"/>
    <x v="1"/>
    <n v="12591970000"/>
  </r>
  <r>
    <d v="2025-08-13T00:00:00"/>
    <x v="1"/>
    <x v="7"/>
    <x v="32"/>
    <x v="12"/>
    <x v="3"/>
    <x v="3"/>
    <x v="1"/>
    <n v="0"/>
  </r>
  <r>
    <d v="2025-08-14T00:00:00"/>
    <x v="1"/>
    <x v="7"/>
    <x v="32"/>
    <x v="13"/>
    <x v="14"/>
    <x v="13"/>
    <x v="1"/>
    <n v="2300740000"/>
  </r>
  <r>
    <d v="2025-08-14T00:00:00"/>
    <x v="1"/>
    <x v="7"/>
    <x v="32"/>
    <x v="13"/>
    <x v="23"/>
    <x v="17"/>
    <x v="4"/>
    <n v="374827000"/>
  </r>
  <r>
    <d v="2025-08-14T00:00:00"/>
    <x v="1"/>
    <x v="7"/>
    <x v="32"/>
    <x v="13"/>
    <x v="24"/>
    <x v="18"/>
    <x v="1"/>
    <n v="130640000"/>
  </r>
  <r>
    <d v="2025-08-14T00:00:00"/>
    <x v="1"/>
    <x v="7"/>
    <x v="32"/>
    <x v="13"/>
    <x v="19"/>
    <x v="12"/>
    <x v="4"/>
    <n v="344721380"/>
  </r>
  <r>
    <d v="2025-08-14T00:00:00"/>
    <x v="1"/>
    <x v="7"/>
    <x v="32"/>
    <x v="13"/>
    <x v="5"/>
    <x v="5"/>
    <x v="3"/>
    <n v="2591623735"/>
  </r>
  <r>
    <d v="2025-08-14T00:00:00"/>
    <x v="1"/>
    <x v="7"/>
    <x v="32"/>
    <x v="13"/>
    <x v="7"/>
    <x v="7"/>
    <x v="4"/>
    <n v="242520076"/>
  </r>
  <r>
    <d v="2025-08-14T00:00:00"/>
    <x v="1"/>
    <x v="7"/>
    <x v="32"/>
    <x v="13"/>
    <x v="12"/>
    <x v="11"/>
    <x v="1"/>
    <n v="10609820000"/>
  </r>
  <r>
    <d v="2025-08-14T00:00:00"/>
    <x v="1"/>
    <x v="7"/>
    <x v="32"/>
    <x v="13"/>
    <x v="3"/>
    <x v="3"/>
    <x v="1"/>
    <n v="0"/>
  </r>
  <r>
    <d v="2025-08-14T00:00:00"/>
    <x v="1"/>
    <x v="7"/>
    <x v="32"/>
    <x v="13"/>
    <x v="1"/>
    <x v="1"/>
    <x v="1"/>
    <n v="71500000"/>
  </r>
  <r>
    <d v="2025-08-14T00:00:00"/>
    <x v="1"/>
    <x v="7"/>
    <x v="32"/>
    <x v="13"/>
    <x v="18"/>
    <x v="15"/>
    <x v="1"/>
    <n v="440760000"/>
  </r>
  <r>
    <d v="2025-08-14T00:00:00"/>
    <x v="1"/>
    <x v="7"/>
    <x v="32"/>
    <x v="13"/>
    <x v="11"/>
    <x v="10"/>
    <x v="4"/>
    <n v="258642766"/>
  </r>
  <r>
    <d v="2025-08-14T00:00:00"/>
    <x v="1"/>
    <x v="7"/>
    <x v="32"/>
    <x v="13"/>
    <x v="6"/>
    <x v="6"/>
    <x v="0"/>
    <n v="20000000"/>
  </r>
  <r>
    <d v="2025-08-14T00:00:00"/>
    <x v="1"/>
    <x v="7"/>
    <x v="32"/>
    <x v="13"/>
    <x v="15"/>
    <x v="14"/>
    <x v="4"/>
    <n v="24849852"/>
  </r>
  <r>
    <d v="2025-08-14T00:00:00"/>
    <x v="1"/>
    <x v="7"/>
    <x v="32"/>
    <x v="13"/>
    <x v="2"/>
    <x v="2"/>
    <x v="1"/>
    <n v="11048900000"/>
  </r>
  <r>
    <d v="2025-08-14T00:00:00"/>
    <x v="1"/>
    <x v="7"/>
    <x v="32"/>
    <x v="13"/>
    <x v="0"/>
    <x v="0"/>
    <x v="0"/>
    <n v="5889996000"/>
  </r>
  <r>
    <d v="2025-08-14T00:00:00"/>
    <x v="1"/>
    <x v="7"/>
    <x v="32"/>
    <x v="13"/>
    <x v="27"/>
    <x v="19"/>
    <x v="0"/>
    <n v="3065580000"/>
  </r>
  <r>
    <d v="2025-08-14T00:00:00"/>
    <x v="1"/>
    <x v="7"/>
    <x v="32"/>
    <x v="13"/>
    <x v="25"/>
    <x v="2"/>
    <x v="1"/>
    <n v="0"/>
  </r>
  <r>
    <d v="2025-08-14T00:00:00"/>
    <x v="1"/>
    <x v="7"/>
    <x v="32"/>
    <x v="13"/>
    <x v="26"/>
    <x v="16"/>
    <x v="1"/>
    <n v="31500000"/>
  </r>
  <r>
    <d v="2025-08-15T00:00:00"/>
    <x v="1"/>
    <x v="7"/>
    <x v="32"/>
    <x v="14"/>
    <x v="25"/>
    <x v="2"/>
    <x v="1"/>
    <n v="0"/>
  </r>
  <r>
    <d v="2025-08-15T00:00:00"/>
    <x v="1"/>
    <x v="7"/>
    <x v="32"/>
    <x v="14"/>
    <x v="14"/>
    <x v="13"/>
    <x v="1"/>
    <n v="1720650000"/>
  </r>
  <r>
    <d v="2025-08-15T00:00:00"/>
    <x v="1"/>
    <x v="7"/>
    <x v="32"/>
    <x v="14"/>
    <x v="26"/>
    <x v="16"/>
    <x v="1"/>
    <n v="12600000"/>
  </r>
  <r>
    <d v="2025-08-15T00:00:00"/>
    <x v="1"/>
    <x v="7"/>
    <x v="32"/>
    <x v="14"/>
    <x v="3"/>
    <x v="3"/>
    <x v="1"/>
    <n v="0"/>
  </r>
  <r>
    <d v="2025-08-15T00:00:00"/>
    <x v="1"/>
    <x v="7"/>
    <x v="32"/>
    <x v="14"/>
    <x v="1"/>
    <x v="1"/>
    <x v="1"/>
    <n v="52500000"/>
  </r>
  <r>
    <d v="2025-08-15T00:00:00"/>
    <x v="1"/>
    <x v="7"/>
    <x v="32"/>
    <x v="14"/>
    <x v="18"/>
    <x v="15"/>
    <x v="1"/>
    <n v="522350000"/>
  </r>
  <r>
    <d v="2025-08-15T00:00:00"/>
    <x v="1"/>
    <x v="7"/>
    <x v="32"/>
    <x v="14"/>
    <x v="19"/>
    <x v="12"/>
    <x v="4"/>
    <n v="339344414"/>
  </r>
  <r>
    <d v="2025-08-15T00:00:00"/>
    <x v="1"/>
    <x v="7"/>
    <x v="32"/>
    <x v="14"/>
    <x v="6"/>
    <x v="6"/>
    <x v="0"/>
    <n v="46000000"/>
  </r>
  <r>
    <d v="2025-08-15T00:00:00"/>
    <x v="1"/>
    <x v="7"/>
    <x v="32"/>
    <x v="14"/>
    <x v="11"/>
    <x v="10"/>
    <x v="4"/>
    <n v="252120295"/>
  </r>
  <r>
    <d v="2025-08-15T00:00:00"/>
    <x v="1"/>
    <x v="7"/>
    <x v="32"/>
    <x v="14"/>
    <x v="5"/>
    <x v="5"/>
    <x v="3"/>
    <n v="3664654213"/>
  </r>
  <r>
    <d v="2025-08-15T00:00:00"/>
    <x v="1"/>
    <x v="7"/>
    <x v="32"/>
    <x v="14"/>
    <x v="7"/>
    <x v="7"/>
    <x v="4"/>
    <n v="266697191"/>
  </r>
  <r>
    <d v="2025-08-15T00:00:00"/>
    <x v="1"/>
    <x v="7"/>
    <x v="32"/>
    <x v="14"/>
    <x v="15"/>
    <x v="14"/>
    <x v="4"/>
    <n v="24144611"/>
  </r>
  <r>
    <d v="2025-08-15T00:00:00"/>
    <x v="1"/>
    <x v="7"/>
    <x v="32"/>
    <x v="14"/>
    <x v="12"/>
    <x v="11"/>
    <x v="1"/>
    <n v="11576850000"/>
  </r>
  <r>
    <d v="2025-08-15T00:00:00"/>
    <x v="1"/>
    <x v="7"/>
    <x v="32"/>
    <x v="14"/>
    <x v="0"/>
    <x v="0"/>
    <x v="0"/>
    <n v="7552980000"/>
  </r>
  <r>
    <d v="2025-08-15T00:00:00"/>
    <x v="1"/>
    <x v="7"/>
    <x v="32"/>
    <x v="14"/>
    <x v="24"/>
    <x v="18"/>
    <x v="1"/>
    <n v="2373340000"/>
  </r>
  <r>
    <d v="2025-08-15T00:00:00"/>
    <x v="1"/>
    <x v="7"/>
    <x v="32"/>
    <x v="14"/>
    <x v="27"/>
    <x v="19"/>
    <x v="0"/>
    <n v="3501036000"/>
  </r>
  <r>
    <d v="2025-08-15T00:00:00"/>
    <x v="1"/>
    <x v="7"/>
    <x v="32"/>
    <x v="14"/>
    <x v="23"/>
    <x v="17"/>
    <x v="4"/>
    <n v="341594000"/>
  </r>
  <r>
    <d v="2025-08-15T00:00:00"/>
    <x v="1"/>
    <x v="7"/>
    <x v="32"/>
    <x v="14"/>
    <x v="2"/>
    <x v="2"/>
    <x v="1"/>
    <n v="12896660000"/>
  </r>
  <r>
    <d v="2025-08-16T00:00:00"/>
    <x v="1"/>
    <x v="7"/>
    <x v="32"/>
    <x v="15"/>
    <x v="5"/>
    <x v="5"/>
    <x v="3"/>
    <n v="2632109261"/>
  </r>
  <r>
    <d v="2025-08-16T00:00:00"/>
    <x v="1"/>
    <x v="7"/>
    <x v="32"/>
    <x v="15"/>
    <x v="2"/>
    <x v="2"/>
    <x v="1"/>
    <n v="10866140000"/>
  </r>
  <r>
    <d v="2025-08-16T00:00:00"/>
    <x v="1"/>
    <x v="7"/>
    <x v="32"/>
    <x v="15"/>
    <x v="18"/>
    <x v="15"/>
    <x v="1"/>
    <n v="425420000"/>
  </r>
  <r>
    <d v="2025-08-16T00:00:00"/>
    <x v="1"/>
    <x v="7"/>
    <x v="32"/>
    <x v="15"/>
    <x v="27"/>
    <x v="19"/>
    <x v="0"/>
    <n v="3125736000"/>
  </r>
  <r>
    <d v="2025-08-16T00:00:00"/>
    <x v="1"/>
    <x v="7"/>
    <x v="32"/>
    <x v="15"/>
    <x v="25"/>
    <x v="2"/>
    <x v="1"/>
    <n v="0"/>
  </r>
  <r>
    <d v="2025-08-16T00:00:00"/>
    <x v="1"/>
    <x v="7"/>
    <x v="32"/>
    <x v="15"/>
    <x v="7"/>
    <x v="7"/>
    <x v="4"/>
    <n v="238037014"/>
  </r>
  <r>
    <d v="2025-08-16T00:00:00"/>
    <x v="1"/>
    <x v="7"/>
    <x v="32"/>
    <x v="15"/>
    <x v="1"/>
    <x v="1"/>
    <x v="1"/>
    <n v="15750000"/>
  </r>
  <r>
    <d v="2025-08-16T00:00:00"/>
    <x v="1"/>
    <x v="7"/>
    <x v="32"/>
    <x v="15"/>
    <x v="26"/>
    <x v="16"/>
    <x v="1"/>
    <n v="10000000"/>
  </r>
  <r>
    <d v="2025-08-16T00:00:00"/>
    <x v="1"/>
    <x v="7"/>
    <x v="32"/>
    <x v="15"/>
    <x v="14"/>
    <x v="13"/>
    <x v="1"/>
    <n v="2080030000"/>
  </r>
  <r>
    <d v="2025-08-16T00:00:00"/>
    <x v="1"/>
    <x v="7"/>
    <x v="32"/>
    <x v="15"/>
    <x v="15"/>
    <x v="14"/>
    <x v="4"/>
    <n v="21245998"/>
  </r>
  <r>
    <d v="2025-08-16T00:00:00"/>
    <x v="1"/>
    <x v="7"/>
    <x v="32"/>
    <x v="15"/>
    <x v="6"/>
    <x v="6"/>
    <x v="0"/>
    <n v="29000000"/>
  </r>
  <r>
    <d v="2025-08-16T00:00:00"/>
    <x v="1"/>
    <x v="7"/>
    <x v="32"/>
    <x v="15"/>
    <x v="3"/>
    <x v="3"/>
    <x v="1"/>
    <n v="0"/>
  </r>
  <r>
    <d v="2025-08-16T00:00:00"/>
    <x v="1"/>
    <x v="7"/>
    <x v="32"/>
    <x v="15"/>
    <x v="0"/>
    <x v="0"/>
    <x v="0"/>
    <n v="6818796000"/>
  </r>
  <r>
    <d v="2025-08-16T00:00:00"/>
    <x v="1"/>
    <x v="7"/>
    <x v="32"/>
    <x v="15"/>
    <x v="23"/>
    <x v="17"/>
    <x v="4"/>
    <n v="296011000"/>
  </r>
  <r>
    <d v="2025-08-16T00:00:00"/>
    <x v="1"/>
    <x v="7"/>
    <x v="32"/>
    <x v="15"/>
    <x v="11"/>
    <x v="10"/>
    <x v="4"/>
    <n v="224377487"/>
  </r>
  <r>
    <d v="2025-08-16T00:00:00"/>
    <x v="1"/>
    <x v="7"/>
    <x v="32"/>
    <x v="15"/>
    <x v="12"/>
    <x v="11"/>
    <x v="1"/>
    <n v="9889100000"/>
  </r>
  <r>
    <d v="2025-08-16T00:00:00"/>
    <x v="1"/>
    <x v="7"/>
    <x v="32"/>
    <x v="15"/>
    <x v="19"/>
    <x v="12"/>
    <x v="4"/>
    <n v="254057408"/>
  </r>
  <r>
    <d v="2025-08-16T00:00:00"/>
    <x v="1"/>
    <x v="7"/>
    <x v="32"/>
    <x v="15"/>
    <x v="24"/>
    <x v="18"/>
    <x v="1"/>
    <n v="4059270000"/>
  </r>
  <r>
    <d v="2025-08-17T00:00:00"/>
    <x v="1"/>
    <x v="7"/>
    <x v="32"/>
    <x v="16"/>
    <x v="6"/>
    <x v="6"/>
    <x v="0"/>
    <n v="13000000"/>
  </r>
  <r>
    <d v="2025-08-17T00:00:00"/>
    <x v="1"/>
    <x v="7"/>
    <x v="32"/>
    <x v="16"/>
    <x v="23"/>
    <x v="17"/>
    <x v="4"/>
    <n v="350338000"/>
  </r>
  <r>
    <d v="2025-08-17T00:00:00"/>
    <x v="1"/>
    <x v="7"/>
    <x v="32"/>
    <x v="16"/>
    <x v="11"/>
    <x v="10"/>
    <x v="4"/>
    <n v="226872076"/>
  </r>
  <r>
    <d v="2025-08-17T00:00:00"/>
    <x v="1"/>
    <x v="7"/>
    <x v="32"/>
    <x v="16"/>
    <x v="18"/>
    <x v="15"/>
    <x v="1"/>
    <n v="360230000"/>
  </r>
  <r>
    <d v="2025-08-17T00:00:00"/>
    <x v="1"/>
    <x v="7"/>
    <x v="32"/>
    <x v="16"/>
    <x v="24"/>
    <x v="18"/>
    <x v="1"/>
    <n v="4216280000"/>
  </r>
  <r>
    <d v="2025-08-17T00:00:00"/>
    <x v="1"/>
    <x v="7"/>
    <x v="32"/>
    <x v="16"/>
    <x v="1"/>
    <x v="1"/>
    <x v="1"/>
    <n v="15750000"/>
  </r>
  <r>
    <d v="2025-08-17T00:00:00"/>
    <x v="1"/>
    <x v="7"/>
    <x v="32"/>
    <x v="16"/>
    <x v="12"/>
    <x v="11"/>
    <x v="1"/>
    <n v="8714390000"/>
  </r>
  <r>
    <d v="2025-08-17T00:00:00"/>
    <x v="1"/>
    <x v="7"/>
    <x v="32"/>
    <x v="16"/>
    <x v="0"/>
    <x v="0"/>
    <x v="0"/>
    <n v="6000480000"/>
  </r>
  <r>
    <d v="2025-08-17T00:00:00"/>
    <x v="1"/>
    <x v="7"/>
    <x v="32"/>
    <x v="16"/>
    <x v="7"/>
    <x v="7"/>
    <x v="4"/>
    <n v="183992084"/>
  </r>
  <r>
    <d v="2025-08-17T00:00:00"/>
    <x v="1"/>
    <x v="7"/>
    <x v="32"/>
    <x v="16"/>
    <x v="14"/>
    <x v="13"/>
    <x v="1"/>
    <n v="2318680000"/>
  </r>
  <r>
    <d v="2025-08-17T00:00:00"/>
    <x v="1"/>
    <x v="7"/>
    <x v="32"/>
    <x v="16"/>
    <x v="27"/>
    <x v="19"/>
    <x v="0"/>
    <n v="3093660000"/>
  </r>
  <r>
    <d v="2025-08-17T00:00:00"/>
    <x v="1"/>
    <x v="7"/>
    <x v="32"/>
    <x v="16"/>
    <x v="2"/>
    <x v="2"/>
    <x v="1"/>
    <n v="10609290000"/>
  </r>
  <r>
    <d v="2025-08-17T00:00:00"/>
    <x v="1"/>
    <x v="7"/>
    <x v="32"/>
    <x v="16"/>
    <x v="3"/>
    <x v="3"/>
    <x v="1"/>
    <n v="0"/>
  </r>
  <r>
    <d v="2025-08-17T00:00:00"/>
    <x v="1"/>
    <x v="7"/>
    <x v="32"/>
    <x v="16"/>
    <x v="5"/>
    <x v="5"/>
    <x v="3"/>
    <n v="2060072760"/>
  </r>
  <r>
    <d v="2025-08-17T00:00:00"/>
    <x v="1"/>
    <x v="7"/>
    <x v="32"/>
    <x v="16"/>
    <x v="19"/>
    <x v="12"/>
    <x v="4"/>
    <n v="277808910"/>
  </r>
  <r>
    <d v="2025-08-17T00:00:00"/>
    <x v="1"/>
    <x v="7"/>
    <x v="32"/>
    <x v="16"/>
    <x v="25"/>
    <x v="2"/>
    <x v="1"/>
    <n v="0"/>
  </r>
  <r>
    <d v="2025-08-17T00:00:00"/>
    <x v="1"/>
    <x v="7"/>
    <x v="32"/>
    <x v="16"/>
    <x v="26"/>
    <x v="16"/>
    <x v="1"/>
    <n v="0"/>
  </r>
  <r>
    <d v="2025-08-17T00:00:00"/>
    <x v="1"/>
    <x v="7"/>
    <x v="32"/>
    <x v="16"/>
    <x v="15"/>
    <x v="14"/>
    <x v="4"/>
    <n v="3770752"/>
  </r>
  <r>
    <d v="2025-08-18T00:00:00"/>
    <x v="1"/>
    <x v="7"/>
    <x v="33"/>
    <x v="17"/>
    <x v="18"/>
    <x v="15"/>
    <x v="1"/>
    <n v="469340000"/>
  </r>
  <r>
    <d v="2025-08-18T00:00:00"/>
    <x v="1"/>
    <x v="7"/>
    <x v="33"/>
    <x v="17"/>
    <x v="15"/>
    <x v="14"/>
    <x v="4"/>
    <n v="19263518"/>
  </r>
  <r>
    <d v="2025-08-18T00:00:00"/>
    <x v="1"/>
    <x v="7"/>
    <x v="33"/>
    <x v="17"/>
    <x v="0"/>
    <x v="0"/>
    <x v="0"/>
    <n v="6274152000"/>
  </r>
  <r>
    <d v="2025-08-18T00:00:00"/>
    <x v="1"/>
    <x v="7"/>
    <x v="33"/>
    <x v="17"/>
    <x v="24"/>
    <x v="18"/>
    <x v="1"/>
    <n v="3630550000"/>
  </r>
  <r>
    <d v="2025-08-18T00:00:00"/>
    <x v="1"/>
    <x v="7"/>
    <x v="33"/>
    <x v="17"/>
    <x v="26"/>
    <x v="16"/>
    <x v="1"/>
    <n v="0"/>
  </r>
  <r>
    <d v="2025-08-18T00:00:00"/>
    <x v="1"/>
    <x v="7"/>
    <x v="33"/>
    <x v="17"/>
    <x v="3"/>
    <x v="3"/>
    <x v="1"/>
    <n v="0"/>
  </r>
  <r>
    <d v="2025-08-18T00:00:00"/>
    <x v="1"/>
    <x v="7"/>
    <x v="33"/>
    <x v="17"/>
    <x v="1"/>
    <x v="1"/>
    <x v="1"/>
    <n v="56000000"/>
  </r>
  <r>
    <d v="2025-08-18T00:00:00"/>
    <x v="1"/>
    <x v="7"/>
    <x v="33"/>
    <x v="17"/>
    <x v="5"/>
    <x v="5"/>
    <x v="3"/>
    <n v="2983235210"/>
  </r>
  <r>
    <d v="2025-08-18T00:00:00"/>
    <x v="1"/>
    <x v="7"/>
    <x v="33"/>
    <x v="17"/>
    <x v="23"/>
    <x v="17"/>
    <x v="4"/>
    <n v="337066000"/>
  </r>
  <r>
    <d v="2025-08-18T00:00:00"/>
    <x v="1"/>
    <x v="7"/>
    <x v="33"/>
    <x v="17"/>
    <x v="6"/>
    <x v="6"/>
    <x v="0"/>
    <n v="48000000"/>
  </r>
  <r>
    <d v="2025-08-18T00:00:00"/>
    <x v="1"/>
    <x v="7"/>
    <x v="33"/>
    <x v="17"/>
    <x v="11"/>
    <x v="10"/>
    <x v="4"/>
    <n v="211283968"/>
  </r>
  <r>
    <d v="2025-08-18T00:00:00"/>
    <x v="1"/>
    <x v="7"/>
    <x v="33"/>
    <x v="17"/>
    <x v="14"/>
    <x v="13"/>
    <x v="1"/>
    <n v="1861780000"/>
  </r>
  <r>
    <d v="2025-08-18T00:00:00"/>
    <x v="1"/>
    <x v="7"/>
    <x v="33"/>
    <x v="17"/>
    <x v="19"/>
    <x v="12"/>
    <x v="4"/>
    <n v="323736439"/>
  </r>
  <r>
    <d v="2025-08-18T00:00:00"/>
    <x v="1"/>
    <x v="7"/>
    <x v="33"/>
    <x v="17"/>
    <x v="27"/>
    <x v="19"/>
    <x v="0"/>
    <n v="3456864000"/>
  </r>
  <r>
    <d v="2025-08-18T00:00:00"/>
    <x v="1"/>
    <x v="7"/>
    <x v="33"/>
    <x v="17"/>
    <x v="2"/>
    <x v="2"/>
    <x v="1"/>
    <n v="13105650000"/>
  </r>
  <r>
    <d v="2025-08-18T00:00:00"/>
    <x v="1"/>
    <x v="7"/>
    <x v="33"/>
    <x v="17"/>
    <x v="12"/>
    <x v="11"/>
    <x v="1"/>
    <n v="10608240000"/>
  </r>
  <r>
    <d v="2025-08-18T00:00:00"/>
    <x v="1"/>
    <x v="7"/>
    <x v="33"/>
    <x v="17"/>
    <x v="25"/>
    <x v="2"/>
    <x v="1"/>
    <n v="0"/>
  </r>
  <r>
    <d v="2025-08-18T00:00:00"/>
    <x v="1"/>
    <x v="7"/>
    <x v="33"/>
    <x v="17"/>
    <x v="7"/>
    <x v="7"/>
    <x v="4"/>
    <n v="214516847"/>
  </r>
  <r>
    <d v="2025-08-19T00:00:00"/>
    <x v="1"/>
    <x v="7"/>
    <x v="33"/>
    <x v="18"/>
    <x v="1"/>
    <x v="1"/>
    <x v="1"/>
    <n v="31000000"/>
  </r>
  <r>
    <d v="2025-08-19T00:00:00"/>
    <x v="1"/>
    <x v="7"/>
    <x v="33"/>
    <x v="18"/>
    <x v="14"/>
    <x v="13"/>
    <x v="1"/>
    <n v="1960930000"/>
  </r>
  <r>
    <d v="2025-08-19T00:00:00"/>
    <x v="1"/>
    <x v="7"/>
    <x v="33"/>
    <x v="18"/>
    <x v="11"/>
    <x v="10"/>
    <x v="4"/>
    <n v="219586167"/>
  </r>
  <r>
    <d v="2025-08-19T00:00:00"/>
    <x v="1"/>
    <x v="7"/>
    <x v="33"/>
    <x v="18"/>
    <x v="3"/>
    <x v="3"/>
    <x v="1"/>
    <n v="0"/>
  </r>
  <r>
    <d v="2025-08-19T00:00:00"/>
    <x v="1"/>
    <x v="7"/>
    <x v="33"/>
    <x v="18"/>
    <x v="25"/>
    <x v="2"/>
    <x v="1"/>
    <n v="10000000"/>
  </r>
  <r>
    <d v="2025-08-19T00:00:00"/>
    <x v="1"/>
    <x v="7"/>
    <x v="33"/>
    <x v="18"/>
    <x v="23"/>
    <x v="17"/>
    <x v="4"/>
    <n v="381621000"/>
  </r>
  <r>
    <d v="2025-08-19T00:00:00"/>
    <x v="1"/>
    <x v="7"/>
    <x v="33"/>
    <x v="18"/>
    <x v="15"/>
    <x v="14"/>
    <x v="4"/>
    <n v="11317770"/>
  </r>
  <r>
    <d v="2025-08-19T00:00:00"/>
    <x v="1"/>
    <x v="7"/>
    <x v="33"/>
    <x v="18"/>
    <x v="26"/>
    <x v="16"/>
    <x v="1"/>
    <n v="20500000"/>
  </r>
  <r>
    <d v="2025-08-19T00:00:00"/>
    <x v="1"/>
    <x v="7"/>
    <x v="33"/>
    <x v="18"/>
    <x v="24"/>
    <x v="18"/>
    <x v="1"/>
    <n v="2665510000"/>
  </r>
  <r>
    <d v="2025-08-19T00:00:00"/>
    <x v="1"/>
    <x v="7"/>
    <x v="33"/>
    <x v="18"/>
    <x v="5"/>
    <x v="5"/>
    <x v="3"/>
    <n v="2866961307"/>
  </r>
  <r>
    <d v="2025-08-19T00:00:00"/>
    <x v="1"/>
    <x v="7"/>
    <x v="33"/>
    <x v="18"/>
    <x v="18"/>
    <x v="15"/>
    <x v="1"/>
    <n v="452580000"/>
  </r>
  <r>
    <d v="2025-08-19T00:00:00"/>
    <x v="1"/>
    <x v="7"/>
    <x v="33"/>
    <x v="18"/>
    <x v="19"/>
    <x v="12"/>
    <x v="4"/>
    <n v="242386153"/>
  </r>
  <r>
    <d v="2025-08-19T00:00:00"/>
    <x v="1"/>
    <x v="7"/>
    <x v="33"/>
    <x v="18"/>
    <x v="6"/>
    <x v="6"/>
    <x v="0"/>
    <n v="24000000"/>
  </r>
  <r>
    <d v="2025-08-19T00:00:00"/>
    <x v="1"/>
    <x v="7"/>
    <x v="33"/>
    <x v="18"/>
    <x v="27"/>
    <x v="19"/>
    <x v="0"/>
    <n v="3861972000"/>
  </r>
  <r>
    <d v="2025-08-19T00:00:00"/>
    <x v="1"/>
    <x v="7"/>
    <x v="33"/>
    <x v="18"/>
    <x v="12"/>
    <x v="11"/>
    <x v="1"/>
    <n v="11592700000"/>
  </r>
  <r>
    <d v="2025-08-19T00:00:00"/>
    <x v="1"/>
    <x v="7"/>
    <x v="33"/>
    <x v="18"/>
    <x v="7"/>
    <x v="7"/>
    <x v="4"/>
    <n v="190716265"/>
  </r>
  <r>
    <d v="2025-08-19T00:00:00"/>
    <x v="1"/>
    <x v="7"/>
    <x v="33"/>
    <x v="18"/>
    <x v="0"/>
    <x v="0"/>
    <x v="0"/>
    <n v="5406156000"/>
  </r>
  <r>
    <d v="2025-08-19T00:00:00"/>
    <x v="1"/>
    <x v="7"/>
    <x v="33"/>
    <x v="18"/>
    <x v="2"/>
    <x v="2"/>
    <x v="1"/>
    <n v="9502530000"/>
  </r>
  <r>
    <d v="2025-08-20T00:00:00"/>
    <x v="1"/>
    <x v="7"/>
    <x v="33"/>
    <x v="19"/>
    <x v="15"/>
    <x v="14"/>
    <x v="4"/>
    <n v="19558614"/>
  </r>
  <r>
    <d v="2025-08-20T00:00:00"/>
    <x v="1"/>
    <x v="7"/>
    <x v="33"/>
    <x v="19"/>
    <x v="24"/>
    <x v="18"/>
    <x v="1"/>
    <n v="2638730000"/>
  </r>
  <r>
    <d v="2025-08-20T00:00:00"/>
    <x v="1"/>
    <x v="7"/>
    <x v="33"/>
    <x v="19"/>
    <x v="7"/>
    <x v="7"/>
    <x v="4"/>
    <n v="193102464"/>
  </r>
  <r>
    <d v="2025-08-20T00:00:00"/>
    <x v="1"/>
    <x v="7"/>
    <x v="33"/>
    <x v="19"/>
    <x v="26"/>
    <x v="16"/>
    <x v="1"/>
    <n v="10500000"/>
  </r>
  <r>
    <d v="2025-08-20T00:00:00"/>
    <x v="1"/>
    <x v="7"/>
    <x v="33"/>
    <x v="19"/>
    <x v="1"/>
    <x v="1"/>
    <x v="1"/>
    <n v="31500000"/>
  </r>
  <r>
    <d v="2025-08-20T00:00:00"/>
    <x v="1"/>
    <x v="7"/>
    <x v="33"/>
    <x v="19"/>
    <x v="12"/>
    <x v="11"/>
    <x v="1"/>
    <n v="12013560000"/>
  </r>
  <r>
    <d v="2025-08-20T00:00:00"/>
    <x v="1"/>
    <x v="7"/>
    <x v="33"/>
    <x v="19"/>
    <x v="6"/>
    <x v="6"/>
    <x v="0"/>
    <n v="24000000"/>
  </r>
  <r>
    <d v="2025-08-20T00:00:00"/>
    <x v="1"/>
    <x v="7"/>
    <x v="33"/>
    <x v="19"/>
    <x v="3"/>
    <x v="3"/>
    <x v="1"/>
    <n v="0"/>
  </r>
  <r>
    <d v="2025-08-20T00:00:00"/>
    <x v="1"/>
    <x v="7"/>
    <x v="33"/>
    <x v="19"/>
    <x v="25"/>
    <x v="2"/>
    <x v="1"/>
    <n v="10000000"/>
  </r>
  <r>
    <d v="2025-08-20T00:00:00"/>
    <x v="1"/>
    <x v="7"/>
    <x v="33"/>
    <x v="19"/>
    <x v="18"/>
    <x v="15"/>
    <x v="1"/>
    <n v="353690000"/>
  </r>
  <r>
    <d v="2025-08-20T00:00:00"/>
    <x v="1"/>
    <x v="7"/>
    <x v="33"/>
    <x v="19"/>
    <x v="23"/>
    <x v="17"/>
    <x v="4"/>
    <n v="365790000"/>
  </r>
  <r>
    <d v="2025-08-20T00:00:00"/>
    <x v="1"/>
    <x v="7"/>
    <x v="33"/>
    <x v="19"/>
    <x v="11"/>
    <x v="10"/>
    <x v="4"/>
    <n v="225755201"/>
  </r>
  <r>
    <d v="2025-08-20T00:00:00"/>
    <x v="1"/>
    <x v="7"/>
    <x v="33"/>
    <x v="19"/>
    <x v="14"/>
    <x v="13"/>
    <x v="1"/>
    <n v="1928170000"/>
  </r>
  <r>
    <d v="2025-08-20T00:00:00"/>
    <x v="1"/>
    <x v="7"/>
    <x v="33"/>
    <x v="19"/>
    <x v="19"/>
    <x v="12"/>
    <x v="4"/>
    <n v="267393452"/>
  </r>
  <r>
    <d v="2025-08-20T00:00:00"/>
    <x v="1"/>
    <x v="7"/>
    <x v="33"/>
    <x v="19"/>
    <x v="0"/>
    <x v="0"/>
    <x v="0"/>
    <n v="6554520000"/>
  </r>
  <r>
    <d v="2025-08-20T00:00:00"/>
    <x v="1"/>
    <x v="7"/>
    <x v="33"/>
    <x v="19"/>
    <x v="27"/>
    <x v="19"/>
    <x v="0"/>
    <n v="4925448000"/>
  </r>
  <r>
    <d v="2025-08-20T00:00:00"/>
    <x v="1"/>
    <x v="7"/>
    <x v="33"/>
    <x v="19"/>
    <x v="5"/>
    <x v="5"/>
    <x v="3"/>
    <n v="2936956018"/>
  </r>
  <r>
    <d v="2025-08-20T00:00:00"/>
    <x v="1"/>
    <x v="7"/>
    <x v="33"/>
    <x v="19"/>
    <x v="2"/>
    <x v="2"/>
    <x v="1"/>
    <n v="11625880000"/>
  </r>
  <r>
    <d v="2025-08-21T00:00:00"/>
    <x v="1"/>
    <x v="7"/>
    <x v="33"/>
    <x v="20"/>
    <x v="27"/>
    <x v="19"/>
    <x v="0"/>
    <n v="5028480000"/>
  </r>
  <r>
    <d v="2025-08-21T00:00:00"/>
    <x v="1"/>
    <x v="7"/>
    <x v="33"/>
    <x v="20"/>
    <x v="12"/>
    <x v="11"/>
    <x v="1"/>
    <n v="11363960000"/>
  </r>
  <r>
    <d v="2025-08-21T00:00:00"/>
    <x v="1"/>
    <x v="7"/>
    <x v="33"/>
    <x v="20"/>
    <x v="14"/>
    <x v="13"/>
    <x v="1"/>
    <n v="2032870000"/>
  </r>
  <r>
    <d v="2025-08-21T00:00:00"/>
    <x v="1"/>
    <x v="7"/>
    <x v="33"/>
    <x v="20"/>
    <x v="5"/>
    <x v="5"/>
    <x v="3"/>
    <n v="2664330072"/>
  </r>
  <r>
    <d v="2025-08-21T00:00:00"/>
    <x v="1"/>
    <x v="7"/>
    <x v="33"/>
    <x v="20"/>
    <x v="0"/>
    <x v="0"/>
    <x v="0"/>
    <n v="6130296000"/>
  </r>
  <r>
    <d v="2025-08-21T00:00:00"/>
    <x v="1"/>
    <x v="7"/>
    <x v="33"/>
    <x v="20"/>
    <x v="6"/>
    <x v="6"/>
    <x v="0"/>
    <n v="30000000"/>
  </r>
  <r>
    <d v="2025-08-21T00:00:00"/>
    <x v="1"/>
    <x v="7"/>
    <x v="33"/>
    <x v="20"/>
    <x v="19"/>
    <x v="12"/>
    <x v="4"/>
    <n v="346184515"/>
  </r>
  <r>
    <d v="2025-08-21T00:00:00"/>
    <x v="1"/>
    <x v="7"/>
    <x v="33"/>
    <x v="20"/>
    <x v="24"/>
    <x v="18"/>
    <x v="1"/>
    <n v="2287020000"/>
  </r>
  <r>
    <d v="2025-08-21T00:00:00"/>
    <x v="1"/>
    <x v="7"/>
    <x v="33"/>
    <x v="20"/>
    <x v="11"/>
    <x v="10"/>
    <x v="4"/>
    <n v="254748232"/>
  </r>
  <r>
    <d v="2025-08-21T00:00:00"/>
    <x v="1"/>
    <x v="7"/>
    <x v="33"/>
    <x v="20"/>
    <x v="25"/>
    <x v="2"/>
    <x v="1"/>
    <n v="0"/>
  </r>
  <r>
    <d v="2025-08-21T00:00:00"/>
    <x v="1"/>
    <x v="7"/>
    <x v="33"/>
    <x v="20"/>
    <x v="7"/>
    <x v="7"/>
    <x v="4"/>
    <n v="258632190"/>
  </r>
  <r>
    <d v="2025-08-21T00:00:00"/>
    <x v="1"/>
    <x v="7"/>
    <x v="33"/>
    <x v="20"/>
    <x v="26"/>
    <x v="16"/>
    <x v="1"/>
    <n v="20500000"/>
  </r>
  <r>
    <d v="2025-08-21T00:00:00"/>
    <x v="1"/>
    <x v="7"/>
    <x v="33"/>
    <x v="20"/>
    <x v="3"/>
    <x v="3"/>
    <x v="1"/>
    <n v="0"/>
  </r>
  <r>
    <d v="2025-08-21T00:00:00"/>
    <x v="1"/>
    <x v="7"/>
    <x v="33"/>
    <x v="20"/>
    <x v="18"/>
    <x v="15"/>
    <x v="1"/>
    <n v="407360000"/>
  </r>
  <r>
    <d v="2025-08-21T00:00:00"/>
    <x v="1"/>
    <x v="7"/>
    <x v="33"/>
    <x v="20"/>
    <x v="23"/>
    <x v="17"/>
    <x v="4"/>
    <n v="349886000"/>
  </r>
  <r>
    <d v="2025-08-21T00:00:00"/>
    <x v="1"/>
    <x v="7"/>
    <x v="33"/>
    <x v="20"/>
    <x v="15"/>
    <x v="14"/>
    <x v="4"/>
    <n v="22332058"/>
  </r>
  <r>
    <d v="2025-08-21T00:00:00"/>
    <x v="1"/>
    <x v="7"/>
    <x v="33"/>
    <x v="20"/>
    <x v="2"/>
    <x v="2"/>
    <x v="1"/>
    <n v="11789010000"/>
  </r>
  <r>
    <d v="2025-08-21T00:00:00"/>
    <x v="1"/>
    <x v="7"/>
    <x v="33"/>
    <x v="20"/>
    <x v="1"/>
    <x v="1"/>
    <x v="1"/>
    <n v="73000000"/>
  </r>
  <r>
    <d v="2025-08-22T00:00:00"/>
    <x v="1"/>
    <x v="7"/>
    <x v="33"/>
    <x v="21"/>
    <x v="23"/>
    <x v="17"/>
    <x v="4"/>
    <n v="330247150"/>
  </r>
  <r>
    <d v="2025-08-22T00:00:00"/>
    <x v="1"/>
    <x v="7"/>
    <x v="33"/>
    <x v="21"/>
    <x v="0"/>
    <x v="0"/>
    <x v="0"/>
    <n v="5456808000"/>
  </r>
  <r>
    <d v="2025-08-22T00:00:00"/>
    <x v="1"/>
    <x v="7"/>
    <x v="33"/>
    <x v="21"/>
    <x v="19"/>
    <x v="12"/>
    <x v="4"/>
    <n v="388702524"/>
  </r>
  <r>
    <d v="2025-08-22T00:00:00"/>
    <x v="1"/>
    <x v="7"/>
    <x v="33"/>
    <x v="21"/>
    <x v="2"/>
    <x v="2"/>
    <x v="1"/>
    <n v="11467560000"/>
  </r>
  <r>
    <d v="2025-08-22T00:00:00"/>
    <x v="1"/>
    <x v="7"/>
    <x v="33"/>
    <x v="21"/>
    <x v="5"/>
    <x v="5"/>
    <x v="3"/>
    <n v="2650792281"/>
  </r>
  <r>
    <d v="2025-08-22T00:00:00"/>
    <x v="1"/>
    <x v="7"/>
    <x v="33"/>
    <x v="21"/>
    <x v="26"/>
    <x v="16"/>
    <x v="1"/>
    <n v="49500000"/>
  </r>
  <r>
    <d v="2025-08-22T00:00:00"/>
    <x v="1"/>
    <x v="7"/>
    <x v="33"/>
    <x v="21"/>
    <x v="3"/>
    <x v="3"/>
    <x v="1"/>
    <n v="0"/>
  </r>
  <r>
    <d v="2025-08-22T00:00:00"/>
    <x v="1"/>
    <x v="7"/>
    <x v="33"/>
    <x v="21"/>
    <x v="14"/>
    <x v="13"/>
    <x v="1"/>
    <n v="1664050000"/>
  </r>
  <r>
    <d v="2025-08-22T00:00:00"/>
    <x v="1"/>
    <x v="7"/>
    <x v="33"/>
    <x v="21"/>
    <x v="1"/>
    <x v="1"/>
    <x v="1"/>
    <n v="104000000"/>
  </r>
  <r>
    <d v="2025-08-22T00:00:00"/>
    <x v="1"/>
    <x v="7"/>
    <x v="33"/>
    <x v="21"/>
    <x v="25"/>
    <x v="2"/>
    <x v="1"/>
    <n v="10000000"/>
  </r>
  <r>
    <d v="2025-08-22T00:00:00"/>
    <x v="1"/>
    <x v="7"/>
    <x v="33"/>
    <x v="21"/>
    <x v="15"/>
    <x v="14"/>
    <x v="4"/>
    <n v="31684805"/>
  </r>
  <r>
    <d v="2025-08-22T00:00:00"/>
    <x v="1"/>
    <x v="7"/>
    <x v="33"/>
    <x v="21"/>
    <x v="6"/>
    <x v="6"/>
    <x v="0"/>
    <n v="40000000"/>
  </r>
  <r>
    <d v="2025-08-22T00:00:00"/>
    <x v="1"/>
    <x v="7"/>
    <x v="33"/>
    <x v="21"/>
    <x v="18"/>
    <x v="15"/>
    <x v="1"/>
    <n v="304380000"/>
  </r>
  <r>
    <d v="2025-08-22T00:00:00"/>
    <x v="1"/>
    <x v="7"/>
    <x v="33"/>
    <x v="21"/>
    <x v="11"/>
    <x v="10"/>
    <x v="4"/>
    <n v="207750195"/>
  </r>
  <r>
    <d v="2025-08-22T00:00:00"/>
    <x v="1"/>
    <x v="7"/>
    <x v="33"/>
    <x v="21"/>
    <x v="24"/>
    <x v="18"/>
    <x v="1"/>
    <n v="1886040000"/>
  </r>
  <r>
    <d v="2025-08-22T00:00:00"/>
    <x v="1"/>
    <x v="7"/>
    <x v="33"/>
    <x v="21"/>
    <x v="27"/>
    <x v="19"/>
    <x v="0"/>
    <n v="4607064000"/>
  </r>
  <r>
    <d v="2025-08-22T00:00:00"/>
    <x v="1"/>
    <x v="7"/>
    <x v="33"/>
    <x v="21"/>
    <x v="7"/>
    <x v="7"/>
    <x v="4"/>
    <n v="173755902"/>
  </r>
  <r>
    <d v="2025-08-22T00:00:00"/>
    <x v="1"/>
    <x v="7"/>
    <x v="33"/>
    <x v="21"/>
    <x v="12"/>
    <x v="11"/>
    <x v="1"/>
    <n v="9735540000"/>
  </r>
  <r>
    <d v="2025-08-23T00:00:00"/>
    <x v="1"/>
    <x v="7"/>
    <x v="33"/>
    <x v="22"/>
    <x v="27"/>
    <x v="19"/>
    <x v="0"/>
    <n v="4891104000"/>
  </r>
  <r>
    <d v="2025-08-23T00:00:00"/>
    <x v="1"/>
    <x v="7"/>
    <x v="33"/>
    <x v="22"/>
    <x v="18"/>
    <x v="15"/>
    <x v="1"/>
    <n v="325910000"/>
  </r>
  <r>
    <d v="2025-08-23T00:00:00"/>
    <x v="1"/>
    <x v="7"/>
    <x v="33"/>
    <x v="22"/>
    <x v="1"/>
    <x v="1"/>
    <x v="1"/>
    <n v="21000000"/>
  </r>
  <r>
    <d v="2025-08-23T00:00:00"/>
    <x v="1"/>
    <x v="7"/>
    <x v="33"/>
    <x v="22"/>
    <x v="6"/>
    <x v="6"/>
    <x v="0"/>
    <n v="14000000"/>
  </r>
  <r>
    <d v="2025-08-23T00:00:00"/>
    <x v="1"/>
    <x v="7"/>
    <x v="33"/>
    <x v="22"/>
    <x v="11"/>
    <x v="10"/>
    <x v="4"/>
    <n v="206934174"/>
  </r>
  <r>
    <d v="2025-08-23T00:00:00"/>
    <x v="1"/>
    <x v="7"/>
    <x v="33"/>
    <x v="22"/>
    <x v="26"/>
    <x v="16"/>
    <x v="1"/>
    <n v="21000000"/>
  </r>
  <r>
    <d v="2025-08-23T00:00:00"/>
    <x v="1"/>
    <x v="7"/>
    <x v="33"/>
    <x v="22"/>
    <x v="15"/>
    <x v="14"/>
    <x v="4"/>
    <n v="15647661"/>
  </r>
  <r>
    <d v="2025-08-23T00:00:00"/>
    <x v="1"/>
    <x v="7"/>
    <x v="33"/>
    <x v="22"/>
    <x v="19"/>
    <x v="12"/>
    <x v="4"/>
    <n v="337952397"/>
  </r>
  <r>
    <d v="2025-08-23T00:00:00"/>
    <x v="1"/>
    <x v="7"/>
    <x v="33"/>
    <x v="22"/>
    <x v="14"/>
    <x v="13"/>
    <x v="1"/>
    <n v="1934730000"/>
  </r>
  <r>
    <d v="2025-08-23T00:00:00"/>
    <x v="1"/>
    <x v="7"/>
    <x v="33"/>
    <x v="22"/>
    <x v="24"/>
    <x v="18"/>
    <x v="1"/>
    <n v="1688290000"/>
  </r>
  <r>
    <d v="2025-08-23T00:00:00"/>
    <x v="1"/>
    <x v="7"/>
    <x v="33"/>
    <x v="22"/>
    <x v="3"/>
    <x v="3"/>
    <x v="1"/>
    <n v="0"/>
  </r>
  <r>
    <d v="2025-08-23T00:00:00"/>
    <x v="1"/>
    <x v="7"/>
    <x v="33"/>
    <x v="22"/>
    <x v="5"/>
    <x v="5"/>
    <x v="3"/>
    <n v="2185920911"/>
  </r>
  <r>
    <d v="2025-08-23T00:00:00"/>
    <x v="1"/>
    <x v="7"/>
    <x v="33"/>
    <x v="22"/>
    <x v="25"/>
    <x v="2"/>
    <x v="1"/>
    <n v="0"/>
  </r>
  <r>
    <d v="2025-08-23T00:00:00"/>
    <x v="1"/>
    <x v="7"/>
    <x v="33"/>
    <x v="22"/>
    <x v="7"/>
    <x v="7"/>
    <x v="4"/>
    <n v="198839788"/>
  </r>
  <r>
    <d v="2025-08-23T00:00:00"/>
    <x v="1"/>
    <x v="7"/>
    <x v="33"/>
    <x v="22"/>
    <x v="0"/>
    <x v="0"/>
    <x v="0"/>
    <n v="5718924000"/>
  </r>
  <r>
    <d v="2025-08-23T00:00:00"/>
    <x v="1"/>
    <x v="7"/>
    <x v="33"/>
    <x v="22"/>
    <x v="12"/>
    <x v="11"/>
    <x v="1"/>
    <n v="10496620000"/>
  </r>
  <r>
    <d v="2025-08-23T00:00:00"/>
    <x v="1"/>
    <x v="7"/>
    <x v="33"/>
    <x v="22"/>
    <x v="2"/>
    <x v="2"/>
    <x v="1"/>
    <n v="10370420000"/>
  </r>
  <r>
    <d v="2025-08-23T00:00:00"/>
    <x v="1"/>
    <x v="7"/>
    <x v="33"/>
    <x v="22"/>
    <x v="23"/>
    <x v="17"/>
    <x v="4"/>
    <n v="301114000"/>
  </r>
  <r>
    <d v="2025-08-24T00:00:00"/>
    <x v="1"/>
    <x v="7"/>
    <x v="33"/>
    <x v="23"/>
    <x v="0"/>
    <x v="0"/>
    <x v="0"/>
    <n v="5551092000"/>
  </r>
  <r>
    <d v="2025-08-24T00:00:00"/>
    <x v="1"/>
    <x v="7"/>
    <x v="33"/>
    <x v="23"/>
    <x v="2"/>
    <x v="2"/>
    <x v="1"/>
    <n v="10239910000"/>
  </r>
  <r>
    <d v="2025-08-24T00:00:00"/>
    <x v="1"/>
    <x v="7"/>
    <x v="33"/>
    <x v="23"/>
    <x v="6"/>
    <x v="6"/>
    <x v="0"/>
    <n v="46000000"/>
  </r>
  <r>
    <d v="2025-08-24T00:00:00"/>
    <x v="1"/>
    <x v="7"/>
    <x v="33"/>
    <x v="23"/>
    <x v="23"/>
    <x v="17"/>
    <x v="4"/>
    <n v="432923000"/>
  </r>
  <r>
    <d v="2025-08-24T00:00:00"/>
    <x v="1"/>
    <x v="7"/>
    <x v="33"/>
    <x v="23"/>
    <x v="15"/>
    <x v="14"/>
    <x v="4"/>
    <n v="16727006"/>
  </r>
  <r>
    <d v="2025-08-24T00:00:00"/>
    <x v="1"/>
    <x v="7"/>
    <x v="33"/>
    <x v="23"/>
    <x v="1"/>
    <x v="1"/>
    <x v="1"/>
    <n v="21000000"/>
  </r>
  <r>
    <d v="2025-08-24T00:00:00"/>
    <x v="1"/>
    <x v="7"/>
    <x v="33"/>
    <x v="23"/>
    <x v="25"/>
    <x v="2"/>
    <x v="1"/>
    <n v="0"/>
  </r>
  <r>
    <d v="2025-08-24T00:00:00"/>
    <x v="1"/>
    <x v="7"/>
    <x v="33"/>
    <x v="23"/>
    <x v="3"/>
    <x v="3"/>
    <x v="1"/>
    <n v="0"/>
  </r>
  <r>
    <d v="2025-08-24T00:00:00"/>
    <x v="1"/>
    <x v="7"/>
    <x v="33"/>
    <x v="23"/>
    <x v="18"/>
    <x v="15"/>
    <x v="1"/>
    <n v="350300000"/>
  </r>
  <r>
    <d v="2025-08-24T00:00:00"/>
    <x v="1"/>
    <x v="7"/>
    <x v="33"/>
    <x v="23"/>
    <x v="26"/>
    <x v="16"/>
    <x v="1"/>
    <n v="10500000"/>
  </r>
  <r>
    <d v="2025-08-24T00:00:00"/>
    <x v="1"/>
    <x v="7"/>
    <x v="33"/>
    <x v="23"/>
    <x v="11"/>
    <x v="10"/>
    <x v="4"/>
    <n v="228295626"/>
  </r>
  <r>
    <d v="2025-08-24T00:00:00"/>
    <x v="1"/>
    <x v="7"/>
    <x v="33"/>
    <x v="23"/>
    <x v="14"/>
    <x v="13"/>
    <x v="1"/>
    <n v="2527330000"/>
  </r>
  <r>
    <d v="2025-08-24T00:00:00"/>
    <x v="1"/>
    <x v="7"/>
    <x v="33"/>
    <x v="23"/>
    <x v="24"/>
    <x v="18"/>
    <x v="1"/>
    <n v="1360440000"/>
  </r>
  <r>
    <d v="2025-08-24T00:00:00"/>
    <x v="1"/>
    <x v="7"/>
    <x v="33"/>
    <x v="23"/>
    <x v="19"/>
    <x v="12"/>
    <x v="4"/>
    <n v="297181711"/>
  </r>
  <r>
    <d v="2025-08-24T00:00:00"/>
    <x v="1"/>
    <x v="7"/>
    <x v="33"/>
    <x v="23"/>
    <x v="27"/>
    <x v="19"/>
    <x v="0"/>
    <n v="4393872000"/>
  </r>
  <r>
    <d v="2025-08-24T00:00:00"/>
    <x v="1"/>
    <x v="7"/>
    <x v="33"/>
    <x v="23"/>
    <x v="5"/>
    <x v="5"/>
    <x v="3"/>
    <n v="2190294956"/>
  </r>
  <r>
    <d v="2025-08-24T00:00:00"/>
    <x v="1"/>
    <x v="7"/>
    <x v="33"/>
    <x v="23"/>
    <x v="7"/>
    <x v="7"/>
    <x v="4"/>
    <n v="190179404"/>
  </r>
  <r>
    <d v="2025-08-24T00:00:00"/>
    <x v="1"/>
    <x v="7"/>
    <x v="33"/>
    <x v="23"/>
    <x v="12"/>
    <x v="11"/>
    <x v="1"/>
    <n v="8946570000"/>
  </r>
  <r>
    <d v="2025-08-25T00:00:00"/>
    <x v="1"/>
    <x v="7"/>
    <x v="34"/>
    <x v="24"/>
    <x v="11"/>
    <x v="10"/>
    <x v="4"/>
    <n v="223281760"/>
  </r>
  <r>
    <d v="2025-08-25T00:00:00"/>
    <x v="1"/>
    <x v="7"/>
    <x v="34"/>
    <x v="24"/>
    <x v="12"/>
    <x v="11"/>
    <x v="1"/>
    <n v="12517810000"/>
  </r>
  <r>
    <d v="2025-08-25T00:00:00"/>
    <x v="1"/>
    <x v="7"/>
    <x v="34"/>
    <x v="24"/>
    <x v="26"/>
    <x v="16"/>
    <x v="1"/>
    <n v="35700000"/>
  </r>
  <r>
    <d v="2025-08-25T00:00:00"/>
    <x v="1"/>
    <x v="7"/>
    <x v="34"/>
    <x v="24"/>
    <x v="15"/>
    <x v="14"/>
    <x v="4"/>
    <n v="14191695"/>
  </r>
  <r>
    <d v="2025-08-25T00:00:00"/>
    <x v="1"/>
    <x v="7"/>
    <x v="34"/>
    <x v="24"/>
    <x v="0"/>
    <x v="0"/>
    <x v="0"/>
    <n v="6032016000"/>
  </r>
  <r>
    <d v="2025-08-25T00:00:00"/>
    <x v="1"/>
    <x v="7"/>
    <x v="34"/>
    <x v="24"/>
    <x v="6"/>
    <x v="6"/>
    <x v="0"/>
    <n v="27000000"/>
  </r>
  <r>
    <d v="2025-08-25T00:00:00"/>
    <x v="1"/>
    <x v="7"/>
    <x v="34"/>
    <x v="24"/>
    <x v="3"/>
    <x v="3"/>
    <x v="1"/>
    <n v="0"/>
  </r>
  <r>
    <d v="2025-08-25T00:00:00"/>
    <x v="1"/>
    <x v="7"/>
    <x v="34"/>
    <x v="24"/>
    <x v="18"/>
    <x v="15"/>
    <x v="1"/>
    <n v="469320000"/>
  </r>
  <r>
    <d v="2025-08-25T00:00:00"/>
    <x v="1"/>
    <x v="7"/>
    <x v="34"/>
    <x v="24"/>
    <x v="23"/>
    <x v="17"/>
    <x v="4"/>
    <n v="54914000"/>
  </r>
  <r>
    <d v="2025-08-25T00:00:00"/>
    <x v="1"/>
    <x v="7"/>
    <x v="34"/>
    <x v="24"/>
    <x v="25"/>
    <x v="2"/>
    <x v="1"/>
    <n v="0"/>
  </r>
  <r>
    <d v="2025-08-25T00:00:00"/>
    <x v="1"/>
    <x v="7"/>
    <x v="34"/>
    <x v="24"/>
    <x v="19"/>
    <x v="12"/>
    <x v="4"/>
    <n v="403171739"/>
  </r>
  <r>
    <d v="2025-08-25T00:00:00"/>
    <x v="1"/>
    <x v="7"/>
    <x v="34"/>
    <x v="24"/>
    <x v="14"/>
    <x v="13"/>
    <x v="1"/>
    <n v="2091990000"/>
  </r>
  <r>
    <d v="2025-08-25T00:00:00"/>
    <x v="1"/>
    <x v="7"/>
    <x v="34"/>
    <x v="24"/>
    <x v="24"/>
    <x v="18"/>
    <x v="1"/>
    <n v="2065930000"/>
  </r>
  <r>
    <d v="2025-08-25T00:00:00"/>
    <x v="1"/>
    <x v="7"/>
    <x v="34"/>
    <x v="24"/>
    <x v="2"/>
    <x v="2"/>
    <x v="1"/>
    <n v="11699920000"/>
  </r>
  <r>
    <d v="2025-08-25T00:00:00"/>
    <x v="1"/>
    <x v="7"/>
    <x v="34"/>
    <x v="24"/>
    <x v="1"/>
    <x v="1"/>
    <x v="1"/>
    <n v="51500000"/>
  </r>
  <r>
    <d v="2025-08-25T00:00:00"/>
    <x v="1"/>
    <x v="7"/>
    <x v="34"/>
    <x v="24"/>
    <x v="27"/>
    <x v="19"/>
    <x v="0"/>
    <n v="5454540000"/>
  </r>
  <r>
    <d v="2025-08-25T00:00:00"/>
    <x v="1"/>
    <x v="7"/>
    <x v="34"/>
    <x v="24"/>
    <x v="5"/>
    <x v="5"/>
    <x v="3"/>
    <n v="3263562545"/>
  </r>
  <r>
    <d v="2025-08-25T00:00:00"/>
    <x v="1"/>
    <x v="7"/>
    <x v="34"/>
    <x v="24"/>
    <x v="7"/>
    <x v="7"/>
    <x v="4"/>
    <n v="185616359"/>
  </r>
  <r>
    <d v="2025-08-25T00:00:00"/>
    <x v="1"/>
    <x v="7"/>
    <x v="34"/>
    <x v="24"/>
    <x v="28"/>
    <x v="17"/>
    <x v="4"/>
    <n v="306839000"/>
  </r>
  <r>
    <d v="2025-08-26T00:00:00"/>
    <x v="1"/>
    <x v="7"/>
    <x v="34"/>
    <x v="25"/>
    <x v="18"/>
    <x v="15"/>
    <x v="1"/>
    <n v="222740000"/>
  </r>
  <r>
    <d v="2025-08-26T00:00:00"/>
    <x v="1"/>
    <x v="7"/>
    <x v="34"/>
    <x v="25"/>
    <x v="7"/>
    <x v="7"/>
    <x v="4"/>
    <n v="192833050"/>
  </r>
  <r>
    <d v="2025-08-26T00:00:00"/>
    <x v="1"/>
    <x v="7"/>
    <x v="34"/>
    <x v="25"/>
    <x v="24"/>
    <x v="18"/>
    <x v="1"/>
    <n v="2066030000"/>
  </r>
  <r>
    <d v="2025-08-26T00:00:00"/>
    <x v="1"/>
    <x v="7"/>
    <x v="34"/>
    <x v="25"/>
    <x v="2"/>
    <x v="2"/>
    <x v="1"/>
    <n v="10448800000"/>
  </r>
  <r>
    <d v="2025-08-26T00:00:00"/>
    <x v="1"/>
    <x v="7"/>
    <x v="34"/>
    <x v="25"/>
    <x v="26"/>
    <x v="16"/>
    <x v="1"/>
    <n v="31500000"/>
  </r>
  <r>
    <d v="2025-08-26T00:00:00"/>
    <x v="1"/>
    <x v="7"/>
    <x v="34"/>
    <x v="25"/>
    <x v="15"/>
    <x v="14"/>
    <x v="4"/>
    <n v="27921421"/>
  </r>
  <r>
    <d v="2025-08-26T00:00:00"/>
    <x v="1"/>
    <x v="7"/>
    <x v="34"/>
    <x v="25"/>
    <x v="1"/>
    <x v="1"/>
    <x v="1"/>
    <n v="52500000"/>
  </r>
  <r>
    <d v="2025-08-26T00:00:00"/>
    <x v="1"/>
    <x v="7"/>
    <x v="34"/>
    <x v="25"/>
    <x v="6"/>
    <x v="6"/>
    <x v="0"/>
    <n v="39000000"/>
  </r>
  <r>
    <d v="2025-08-26T00:00:00"/>
    <x v="1"/>
    <x v="7"/>
    <x v="34"/>
    <x v="25"/>
    <x v="3"/>
    <x v="3"/>
    <x v="1"/>
    <n v="0"/>
  </r>
  <r>
    <d v="2025-08-26T00:00:00"/>
    <x v="1"/>
    <x v="7"/>
    <x v="34"/>
    <x v="25"/>
    <x v="28"/>
    <x v="17"/>
    <x v="4"/>
    <n v="322739000"/>
  </r>
  <r>
    <d v="2025-08-26T00:00:00"/>
    <x v="1"/>
    <x v="7"/>
    <x v="34"/>
    <x v="25"/>
    <x v="23"/>
    <x v="17"/>
    <x v="4"/>
    <n v="48508000"/>
  </r>
  <r>
    <d v="2025-08-26T00:00:00"/>
    <x v="1"/>
    <x v="7"/>
    <x v="34"/>
    <x v="25"/>
    <x v="25"/>
    <x v="2"/>
    <x v="1"/>
    <n v="0"/>
  </r>
  <r>
    <d v="2025-08-26T00:00:00"/>
    <x v="1"/>
    <x v="7"/>
    <x v="34"/>
    <x v="25"/>
    <x v="11"/>
    <x v="10"/>
    <x v="4"/>
    <n v="255218126"/>
  </r>
  <r>
    <d v="2025-08-26T00:00:00"/>
    <x v="1"/>
    <x v="7"/>
    <x v="34"/>
    <x v="25"/>
    <x v="14"/>
    <x v="13"/>
    <x v="1"/>
    <n v="2104610000"/>
  </r>
  <r>
    <d v="2025-08-26T00:00:00"/>
    <x v="1"/>
    <x v="7"/>
    <x v="34"/>
    <x v="25"/>
    <x v="19"/>
    <x v="12"/>
    <x v="4"/>
    <n v="472163638"/>
  </r>
  <r>
    <d v="2025-08-26T00:00:00"/>
    <x v="1"/>
    <x v="7"/>
    <x v="34"/>
    <x v="25"/>
    <x v="27"/>
    <x v="19"/>
    <x v="0"/>
    <n v="4941540000"/>
  </r>
  <r>
    <d v="2025-08-26T00:00:00"/>
    <x v="1"/>
    <x v="7"/>
    <x v="34"/>
    <x v="25"/>
    <x v="5"/>
    <x v="5"/>
    <x v="3"/>
    <n v="2565995316"/>
  </r>
  <r>
    <d v="2025-08-26T00:00:00"/>
    <x v="1"/>
    <x v="7"/>
    <x v="34"/>
    <x v="25"/>
    <x v="12"/>
    <x v="11"/>
    <x v="1"/>
    <n v="12900850000"/>
  </r>
  <r>
    <d v="2025-08-26T00:00:00"/>
    <x v="1"/>
    <x v="7"/>
    <x v="34"/>
    <x v="25"/>
    <x v="0"/>
    <x v="0"/>
    <x v="0"/>
    <n v="5830056000"/>
  </r>
  <r>
    <d v="2025-08-27T00:00:00"/>
    <x v="1"/>
    <x v="7"/>
    <x v="34"/>
    <x v="26"/>
    <x v="18"/>
    <x v="15"/>
    <x v="1"/>
    <n v="351360000"/>
  </r>
  <r>
    <d v="2025-08-27T00:00:00"/>
    <x v="1"/>
    <x v="7"/>
    <x v="34"/>
    <x v="26"/>
    <x v="6"/>
    <x v="6"/>
    <x v="0"/>
    <n v="50000000"/>
  </r>
  <r>
    <d v="2025-08-27T00:00:00"/>
    <x v="1"/>
    <x v="7"/>
    <x v="34"/>
    <x v="26"/>
    <x v="25"/>
    <x v="2"/>
    <x v="1"/>
    <n v="20000000"/>
  </r>
  <r>
    <d v="2025-08-27T00:00:00"/>
    <x v="1"/>
    <x v="7"/>
    <x v="34"/>
    <x v="26"/>
    <x v="26"/>
    <x v="16"/>
    <x v="1"/>
    <n v="51000000"/>
  </r>
  <r>
    <d v="2025-08-27T00:00:00"/>
    <x v="1"/>
    <x v="7"/>
    <x v="34"/>
    <x v="26"/>
    <x v="15"/>
    <x v="14"/>
    <x v="4"/>
    <n v="10289206"/>
  </r>
  <r>
    <d v="2025-08-27T00:00:00"/>
    <x v="1"/>
    <x v="7"/>
    <x v="34"/>
    <x v="26"/>
    <x v="1"/>
    <x v="1"/>
    <x v="1"/>
    <n v="31000000"/>
  </r>
  <r>
    <d v="2025-08-27T00:00:00"/>
    <x v="1"/>
    <x v="7"/>
    <x v="34"/>
    <x v="26"/>
    <x v="23"/>
    <x v="17"/>
    <x v="4"/>
    <n v="30769000"/>
  </r>
  <r>
    <d v="2025-08-27T00:00:00"/>
    <x v="1"/>
    <x v="7"/>
    <x v="34"/>
    <x v="26"/>
    <x v="3"/>
    <x v="3"/>
    <x v="1"/>
    <n v="0"/>
  </r>
  <r>
    <d v="2025-08-27T00:00:00"/>
    <x v="1"/>
    <x v="7"/>
    <x v="34"/>
    <x v="26"/>
    <x v="28"/>
    <x v="17"/>
    <x v="4"/>
    <n v="340711000"/>
  </r>
  <r>
    <d v="2025-08-27T00:00:00"/>
    <x v="1"/>
    <x v="7"/>
    <x v="34"/>
    <x v="26"/>
    <x v="11"/>
    <x v="10"/>
    <x v="4"/>
    <n v="254160960"/>
  </r>
  <r>
    <d v="2025-08-27T00:00:00"/>
    <x v="1"/>
    <x v="7"/>
    <x v="34"/>
    <x v="26"/>
    <x v="27"/>
    <x v="19"/>
    <x v="0"/>
    <n v="5054184000"/>
  </r>
  <r>
    <d v="2025-08-27T00:00:00"/>
    <x v="1"/>
    <x v="7"/>
    <x v="34"/>
    <x v="26"/>
    <x v="5"/>
    <x v="5"/>
    <x v="3"/>
    <n v="2644917355"/>
  </r>
  <r>
    <d v="2025-08-27T00:00:00"/>
    <x v="1"/>
    <x v="7"/>
    <x v="34"/>
    <x v="26"/>
    <x v="7"/>
    <x v="7"/>
    <x v="4"/>
    <n v="184632309"/>
  </r>
  <r>
    <d v="2025-08-27T00:00:00"/>
    <x v="1"/>
    <x v="7"/>
    <x v="34"/>
    <x v="26"/>
    <x v="19"/>
    <x v="12"/>
    <x v="4"/>
    <n v="429580502"/>
  </r>
  <r>
    <d v="2025-08-27T00:00:00"/>
    <x v="1"/>
    <x v="7"/>
    <x v="34"/>
    <x v="26"/>
    <x v="12"/>
    <x v="11"/>
    <x v="1"/>
    <n v="12732220000"/>
  </r>
  <r>
    <d v="2025-08-27T00:00:00"/>
    <x v="1"/>
    <x v="7"/>
    <x v="34"/>
    <x v="26"/>
    <x v="0"/>
    <x v="0"/>
    <x v="0"/>
    <n v="5454756000"/>
  </r>
  <r>
    <d v="2025-08-27T00:00:00"/>
    <x v="1"/>
    <x v="7"/>
    <x v="34"/>
    <x v="26"/>
    <x v="14"/>
    <x v="13"/>
    <x v="1"/>
    <n v="1814790000"/>
  </r>
  <r>
    <d v="2025-08-27T00:00:00"/>
    <x v="1"/>
    <x v="7"/>
    <x v="34"/>
    <x v="26"/>
    <x v="24"/>
    <x v="18"/>
    <x v="1"/>
    <n v="1841330000"/>
  </r>
  <r>
    <d v="2025-08-27T00:00:00"/>
    <x v="1"/>
    <x v="7"/>
    <x v="34"/>
    <x v="26"/>
    <x v="2"/>
    <x v="2"/>
    <x v="1"/>
    <n v="11192340000"/>
  </r>
  <r>
    <d v="2025-08-28T00:00:00"/>
    <x v="1"/>
    <x v="7"/>
    <x v="34"/>
    <x v="27"/>
    <x v="28"/>
    <x v="17"/>
    <x v="4"/>
    <n v="333534000"/>
  </r>
  <r>
    <d v="2025-08-28T00:00:00"/>
    <x v="1"/>
    <x v="7"/>
    <x v="34"/>
    <x v="27"/>
    <x v="2"/>
    <x v="2"/>
    <x v="1"/>
    <n v="11913630000"/>
  </r>
  <r>
    <d v="2025-08-28T00:00:00"/>
    <x v="1"/>
    <x v="7"/>
    <x v="34"/>
    <x v="27"/>
    <x v="12"/>
    <x v="11"/>
    <x v="1"/>
    <n v="11893740000"/>
  </r>
  <r>
    <d v="2025-08-28T00:00:00"/>
    <x v="1"/>
    <x v="7"/>
    <x v="34"/>
    <x v="27"/>
    <x v="25"/>
    <x v="2"/>
    <x v="1"/>
    <n v="7000000"/>
  </r>
  <r>
    <d v="2025-08-28T00:00:00"/>
    <x v="1"/>
    <x v="7"/>
    <x v="34"/>
    <x v="27"/>
    <x v="23"/>
    <x v="17"/>
    <x v="4"/>
    <n v="58412000"/>
  </r>
  <r>
    <d v="2025-08-28T00:00:00"/>
    <x v="1"/>
    <x v="7"/>
    <x v="34"/>
    <x v="27"/>
    <x v="7"/>
    <x v="7"/>
    <x v="4"/>
    <n v="197451640"/>
  </r>
  <r>
    <d v="2025-08-28T00:00:00"/>
    <x v="1"/>
    <x v="7"/>
    <x v="34"/>
    <x v="27"/>
    <x v="15"/>
    <x v="14"/>
    <x v="4"/>
    <n v="19811977"/>
  </r>
  <r>
    <d v="2025-08-28T00:00:00"/>
    <x v="1"/>
    <x v="7"/>
    <x v="34"/>
    <x v="27"/>
    <x v="1"/>
    <x v="1"/>
    <x v="1"/>
    <n v="26250000"/>
  </r>
  <r>
    <d v="2025-08-28T00:00:00"/>
    <x v="1"/>
    <x v="7"/>
    <x v="34"/>
    <x v="27"/>
    <x v="6"/>
    <x v="6"/>
    <x v="0"/>
    <n v="26000000"/>
  </r>
  <r>
    <d v="2025-08-28T00:00:00"/>
    <x v="1"/>
    <x v="7"/>
    <x v="34"/>
    <x v="27"/>
    <x v="26"/>
    <x v="16"/>
    <x v="1"/>
    <n v="21500000"/>
  </r>
  <r>
    <d v="2025-08-28T00:00:00"/>
    <x v="1"/>
    <x v="7"/>
    <x v="34"/>
    <x v="27"/>
    <x v="3"/>
    <x v="3"/>
    <x v="1"/>
    <n v="0"/>
  </r>
  <r>
    <d v="2025-08-28T00:00:00"/>
    <x v="1"/>
    <x v="7"/>
    <x v="34"/>
    <x v="27"/>
    <x v="18"/>
    <x v="15"/>
    <x v="1"/>
    <n v="628260000"/>
  </r>
  <r>
    <d v="2025-08-28T00:00:00"/>
    <x v="1"/>
    <x v="7"/>
    <x v="34"/>
    <x v="27"/>
    <x v="0"/>
    <x v="0"/>
    <x v="0"/>
    <n v="5738364000"/>
  </r>
  <r>
    <d v="2025-08-28T00:00:00"/>
    <x v="1"/>
    <x v="7"/>
    <x v="34"/>
    <x v="27"/>
    <x v="11"/>
    <x v="10"/>
    <x v="4"/>
    <n v="242316913"/>
  </r>
  <r>
    <d v="2025-08-28T00:00:00"/>
    <x v="1"/>
    <x v="7"/>
    <x v="34"/>
    <x v="27"/>
    <x v="14"/>
    <x v="13"/>
    <x v="1"/>
    <n v="1763460000"/>
  </r>
  <r>
    <d v="2025-08-28T00:00:00"/>
    <x v="1"/>
    <x v="7"/>
    <x v="34"/>
    <x v="27"/>
    <x v="24"/>
    <x v="18"/>
    <x v="1"/>
    <n v="2012160000"/>
  </r>
  <r>
    <d v="2025-08-28T00:00:00"/>
    <x v="1"/>
    <x v="7"/>
    <x v="34"/>
    <x v="27"/>
    <x v="19"/>
    <x v="12"/>
    <x v="4"/>
    <n v="488304408"/>
  </r>
  <r>
    <d v="2025-08-28T00:00:00"/>
    <x v="1"/>
    <x v="7"/>
    <x v="34"/>
    <x v="27"/>
    <x v="27"/>
    <x v="19"/>
    <x v="0"/>
    <n v="5445144000"/>
  </r>
  <r>
    <d v="2025-08-28T00:00:00"/>
    <x v="1"/>
    <x v="7"/>
    <x v="34"/>
    <x v="27"/>
    <x v="5"/>
    <x v="5"/>
    <x v="3"/>
    <n v="2926586023"/>
  </r>
  <r>
    <d v="2025-08-29T00:00:00"/>
    <x v="1"/>
    <x v="7"/>
    <x v="34"/>
    <x v="28"/>
    <x v="23"/>
    <x v="17"/>
    <x v="4"/>
    <n v="45578000"/>
  </r>
  <r>
    <d v="2025-08-29T00:00:00"/>
    <x v="1"/>
    <x v="7"/>
    <x v="34"/>
    <x v="28"/>
    <x v="28"/>
    <x v="17"/>
    <x v="4"/>
    <n v="247694000"/>
  </r>
  <r>
    <d v="2025-08-29T00:00:00"/>
    <x v="1"/>
    <x v="7"/>
    <x v="34"/>
    <x v="28"/>
    <x v="27"/>
    <x v="19"/>
    <x v="0"/>
    <n v="5159808000"/>
  </r>
  <r>
    <d v="2025-08-29T00:00:00"/>
    <x v="1"/>
    <x v="7"/>
    <x v="34"/>
    <x v="28"/>
    <x v="12"/>
    <x v="11"/>
    <x v="1"/>
    <n v="8324310000"/>
  </r>
  <r>
    <d v="2025-08-29T00:00:00"/>
    <x v="1"/>
    <x v="7"/>
    <x v="34"/>
    <x v="28"/>
    <x v="26"/>
    <x v="16"/>
    <x v="1"/>
    <n v="35700000"/>
  </r>
  <r>
    <d v="2025-08-29T00:00:00"/>
    <x v="1"/>
    <x v="7"/>
    <x v="34"/>
    <x v="28"/>
    <x v="25"/>
    <x v="2"/>
    <x v="1"/>
    <n v="10700000"/>
  </r>
  <r>
    <d v="2025-08-29T00:00:00"/>
    <x v="1"/>
    <x v="7"/>
    <x v="34"/>
    <x v="28"/>
    <x v="19"/>
    <x v="12"/>
    <x v="4"/>
    <n v="501987119"/>
  </r>
  <r>
    <d v="2025-08-29T00:00:00"/>
    <x v="1"/>
    <x v="7"/>
    <x v="34"/>
    <x v="28"/>
    <x v="6"/>
    <x v="6"/>
    <x v="0"/>
    <n v="55000000"/>
  </r>
  <r>
    <d v="2025-08-29T00:00:00"/>
    <x v="1"/>
    <x v="7"/>
    <x v="34"/>
    <x v="28"/>
    <x v="3"/>
    <x v="3"/>
    <x v="1"/>
    <n v="0"/>
  </r>
  <r>
    <d v="2025-08-29T00:00:00"/>
    <x v="1"/>
    <x v="7"/>
    <x v="34"/>
    <x v="28"/>
    <x v="18"/>
    <x v="15"/>
    <x v="1"/>
    <n v="271200000"/>
  </r>
  <r>
    <d v="2025-08-29T00:00:00"/>
    <x v="1"/>
    <x v="7"/>
    <x v="34"/>
    <x v="28"/>
    <x v="5"/>
    <x v="5"/>
    <x v="3"/>
    <n v="3202918636"/>
  </r>
  <r>
    <d v="2025-08-29T00:00:00"/>
    <x v="1"/>
    <x v="7"/>
    <x v="34"/>
    <x v="28"/>
    <x v="14"/>
    <x v="13"/>
    <x v="1"/>
    <n v="1714850000"/>
  </r>
  <r>
    <d v="2025-08-29T00:00:00"/>
    <x v="1"/>
    <x v="7"/>
    <x v="34"/>
    <x v="28"/>
    <x v="24"/>
    <x v="18"/>
    <x v="1"/>
    <n v="1302060000"/>
  </r>
  <r>
    <d v="2025-08-29T00:00:00"/>
    <x v="1"/>
    <x v="7"/>
    <x v="34"/>
    <x v="28"/>
    <x v="0"/>
    <x v="0"/>
    <x v="0"/>
    <n v="6408612000"/>
  </r>
  <r>
    <d v="2025-08-29T00:00:00"/>
    <x v="1"/>
    <x v="7"/>
    <x v="34"/>
    <x v="28"/>
    <x v="7"/>
    <x v="7"/>
    <x v="4"/>
    <n v="193658500"/>
  </r>
  <r>
    <d v="2025-08-29T00:00:00"/>
    <x v="1"/>
    <x v="7"/>
    <x v="34"/>
    <x v="28"/>
    <x v="1"/>
    <x v="1"/>
    <x v="1"/>
    <n v="10500000"/>
  </r>
  <r>
    <d v="2025-08-29T00:00:00"/>
    <x v="1"/>
    <x v="7"/>
    <x v="34"/>
    <x v="28"/>
    <x v="2"/>
    <x v="2"/>
    <x v="1"/>
    <n v="11142540000"/>
  </r>
  <r>
    <d v="2025-08-29T00:00:00"/>
    <x v="1"/>
    <x v="7"/>
    <x v="34"/>
    <x v="28"/>
    <x v="11"/>
    <x v="10"/>
    <x v="4"/>
    <n v="290062937"/>
  </r>
  <r>
    <d v="2025-08-29T00:00:00"/>
    <x v="1"/>
    <x v="7"/>
    <x v="34"/>
    <x v="28"/>
    <x v="15"/>
    <x v="14"/>
    <x v="4"/>
    <n v="19759643"/>
  </r>
  <r>
    <d v="2025-08-30T00:00:00"/>
    <x v="1"/>
    <x v="7"/>
    <x v="34"/>
    <x v="29"/>
    <x v="25"/>
    <x v="2"/>
    <x v="1"/>
    <n v="0"/>
  </r>
  <r>
    <d v="2025-08-30T00:00:00"/>
    <x v="1"/>
    <x v="7"/>
    <x v="34"/>
    <x v="29"/>
    <x v="6"/>
    <x v="6"/>
    <x v="0"/>
    <n v="43000000"/>
  </r>
  <r>
    <d v="2025-08-30T00:00:00"/>
    <x v="1"/>
    <x v="7"/>
    <x v="34"/>
    <x v="29"/>
    <x v="18"/>
    <x v="15"/>
    <x v="1"/>
    <n v="581410000"/>
  </r>
  <r>
    <d v="2025-08-30T00:00:00"/>
    <x v="1"/>
    <x v="7"/>
    <x v="34"/>
    <x v="29"/>
    <x v="23"/>
    <x v="17"/>
    <x v="4"/>
    <n v="58479000"/>
  </r>
  <r>
    <d v="2025-08-30T00:00:00"/>
    <x v="1"/>
    <x v="7"/>
    <x v="34"/>
    <x v="29"/>
    <x v="3"/>
    <x v="3"/>
    <x v="1"/>
    <n v="0"/>
  </r>
  <r>
    <d v="2025-08-30T00:00:00"/>
    <x v="1"/>
    <x v="7"/>
    <x v="34"/>
    <x v="29"/>
    <x v="14"/>
    <x v="13"/>
    <x v="1"/>
    <n v="1894890000"/>
  </r>
  <r>
    <d v="2025-08-30T00:00:00"/>
    <x v="1"/>
    <x v="7"/>
    <x v="34"/>
    <x v="29"/>
    <x v="11"/>
    <x v="10"/>
    <x v="4"/>
    <n v="301702445"/>
  </r>
  <r>
    <d v="2025-08-30T00:00:00"/>
    <x v="1"/>
    <x v="7"/>
    <x v="34"/>
    <x v="29"/>
    <x v="24"/>
    <x v="18"/>
    <x v="1"/>
    <n v="2153450000"/>
  </r>
  <r>
    <d v="2025-08-30T00:00:00"/>
    <x v="1"/>
    <x v="7"/>
    <x v="34"/>
    <x v="29"/>
    <x v="19"/>
    <x v="12"/>
    <x v="4"/>
    <n v="514047889"/>
  </r>
  <r>
    <d v="2025-08-30T00:00:00"/>
    <x v="1"/>
    <x v="7"/>
    <x v="34"/>
    <x v="29"/>
    <x v="27"/>
    <x v="19"/>
    <x v="0"/>
    <n v="4542372000"/>
  </r>
  <r>
    <d v="2025-08-30T00:00:00"/>
    <x v="1"/>
    <x v="7"/>
    <x v="34"/>
    <x v="29"/>
    <x v="28"/>
    <x v="17"/>
    <x v="4"/>
    <n v="313397000"/>
  </r>
  <r>
    <d v="2025-08-30T00:00:00"/>
    <x v="1"/>
    <x v="7"/>
    <x v="34"/>
    <x v="29"/>
    <x v="5"/>
    <x v="5"/>
    <x v="3"/>
    <n v="2761661984"/>
  </r>
  <r>
    <d v="2025-08-30T00:00:00"/>
    <x v="1"/>
    <x v="7"/>
    <x v="34"/>
    <x v="29"/>
    <x v="7"/>
    <x v="7"/>
    <x v="4"/>
    <n v="202520023"/>
  </r>
  <r>
    <d v="2025-08-30T00:00:00"/>
    <x v="1"/>
    <x v="7"/>
    <x v="34"/>
    <x v="29"/>
    <x v="12"/>
    <x v="11"/>
    <x v="1"/>
    <n v="11802930000"/>
  </r>
  <r>
    <d v="2025-08-30T00:00:00"/>
    <x v="1"/>
    <x v="7"/>
    <x v="34"/>
    <x v="29"/>
    <x v="2"/>
    <x v="2"/>
    <x v="1"/>
    <n v="10810820000"/>
  </r>
  <r>
    <d v="2025-08-30T00:00:00"/>
    <x v="1"/>
    <x v="7"/>
    <x v="34"/>
    <x v="29"/>
    <x v="0"/>
    <x v="0"/>
    <x v="0"/>
    <n v="6189912000"/>
  </r>
  <r>
    <d v="2025-08-30T00:00:00"/>
    <x v="1"/>
    <x v="7"/>
    <x v="34"/>
    <x v="29"/>
    <x v="26"/>
    <x v="16"/>
    <x v="1"/>
    <n v="0"/>
  </r>
  <r>
    <d v="2025-08-30T00:00:00"/>
    <x v="1"/>
    <x v="7"/>
    <x v="34"/>
    <x v="29"/>
    <x v="15"/>
    <x v="14"/>
    <x v="4"/>
    <n v="21350134"/>
  </r>
  <r>
    <d v="2025-08-30T00:00:00"/>
    <x v="1"/>
    <x v="7"/>
    <x v="34"/>
    <x v="29"/>
    <x v="1"/>
    <x v="1"/>
    <x v="1"/>
    <n v="42000000"/>
  </r>
  <r>
    <d v="2025-08-31T00:00:00"/>
    <x v="1"/>
    <x v="7"/>
    <x v="34"/>
    <x v="30"/>
    <x v="27"/>
    <x v="19"/>
    <x v="0"/>
    <n v="4320972000"/>
  </r>
  <r>
    <d v="2025-08-31T00:00:00"/>
    <x v="1"/>
    <x v="7"/>
    <x v="34"/>
    <x v="30"/>
    <x v="0"/>
    <x v="0"/>
    <x v="0"/>
    <n v="5764824000"/>
  </r>
  <r>
    <d v="2025-08-31T00:00:00"/>
    <x v="1"/>
    <x v="7"/>
    <x v="34"/>
    <x v="30"/>
    <x v="2"/>
    <x v="2"/>
    <x v="1"/>
    <n v="9955890000"/>
  </r>
  <r>
    <d v="2025-08-31T00:00:00"/>
    <x v="1"/>
    <x v="7"/>
    <x v="34"/>
    <x v="30"/>
    <x v="23"/>
    <x v="17"/>
    <x v="4"/>
    <n v="58275000"/>
  </r>
  <r>
    <d v="2025-08-31T00:00:00"/>
    <x v="1"/>
    <x v="7"/>
    <x v="34"/>
    <x v="30"/>
    <x v="12"/>
    <x v="11"/>
    <x v="1"/>
    <n v="9310180000"/>
  </r>
  <r>
    <d v="2025-08-31T00:00:00"/>
    <x v="1"/>
    <x v="7"/>
    <x v="34"/>
    <x v="30"/>
    <x v="14"/>
    <x v="13"/>
    <x v="1"/>
    <n v="1568370000"/>
  </r>
  <r>
    <d v="2025-08-31T00:00:00"/>
    <x v="1"/>
    <x v="7"/>
    <x v="34"/>
    <x v="30"/>
    <x v="28"/>
    <x v="17"/>
    <x v="4"/>
    <n v="367338000"/>
  </r>
  <r>
    <d v="2025-08-31T00:00:00"/>
    <x v="1"/>
    <x v="7"/>
    <x v="34"/>
    <x v="30"/>
    <x v="7"/>
    <x v="7"/>
    <x v="4"/>
    <n v="153758097"/>
  </r>
  <r>
    <d v="2025-08-31T00:00:00"/>
    <x v="1"/>
    <x v="7"/>
    <x v="34"/>
    <x v="30"/>
    <x v="24"/>
    <x v="18"/>
    <x v="1"/>
    <n v="1630820000"/>
  </r>
  <r>
    <d v="2025-08-31T00:00:00"/>
    <x v="1"/>
    <x v="7"/>
    <x v="34"/>
    <x v="30"/>
    <x v="19"/>
    <x v="12"/>
    <x v="4"/>
    <n v="358554311"/>
  </r>
  <r>
    <d v="2025-08-31T00:00:00"/>
    <x v="1"/>
    <x v="7"/>
    <x v="34"/>
    <x v="30"/>
    <x v="18"/>
    <x v="15"/>
    <x v="1"/>
    <n v="238610000"/>
  </r>
  <r>
    <d v="2025-08-31T00:00:00"/>
    <x v="1"/>
    <x v="7"/>
    <x v="34"/>
    <x v="30"/>
    <x v="25"/>
    <x v="2"/>
    <x v="1"/>
    <n v="0"/>
  </r>
  <r>
    <d v="2025-08-31T00:00:00"/>
    <x v="1"/>
    <x v="7"/>
    <x v="34"/>
    <x v="30"/>
    <x v="6"/>
    <x v="6"/>
    <x v="0"/>
    <n v="70000000"/>
  </r>
  <r>
    <d v="2025-08-31T00:00:00"/>
    <x v="1"/>
    <x v="7"/>
    <x v="34"/>
    <x v="30"/>
    <x v="5"/>
    <x v="5"/>
    <x v="3"/>
    <n v="2806615346"/>
  </r>
  <r>
    <d v="2025-08-31T00:00:00"/>
    <x v="1"/>
    <x v="7"/>
    <x v="34"/>
    <x v="30"/>
    <x v="15"/>
    <x v="14"/>
    <x v="4"/>
    <n v="13918240"/>
  </r>
  <r>
    <d v="2025-08-31T00:00:00"/>
    <x v="1"/>
    <x v="7"/>
    <x v="34"/>
    <x v="30"/>
    <x v="26"/>
    <x v="16"/>
    <x v="1"/>
    <n v="10500000"/>
  </r>
  <r>
    <d v="2025-08-31T00:00:00"/>
    <x v="1"/>
    <x v="7"/>
    <x v="34"/>
    <x v="30"/>
    <x v="1"/>
    <x v="1"/>
    <x v="1"/>
    <n v="31500000"/>
  </r>
  <r>
    <d v="2025-08-31T00:00:00"/>
    <x v="1"/>
    <x v="7"/>
    <x v="34"/>
    <x v="30"/>
    <x v="3"/>
    <x v="3"/>
    <x v="1"/>
    <n v="0"/>
  </r>
  <r>
    <d v="2025-08-31T00:00:00"/>
    <x v="1"/>
    <x v="7"/>
    <x v="34"/>
    <x v="30"/>
    <x v="11"/>
    <x v="10"/>
    <x v="4"/>
    <n v="257267158"/>
  </r>
  <r>
    <d v="2025-09-01T00:00:00"/>
    <x v="1"/>
    <x v="8"/>
    <x v="35"/>
    <x v="0"/>
    <x v="3"/>
    <x v="3"/>
    <x v="1"/>
    <n v="0"/>
  </r>
  <r>
    <d v="2025-09-01T00:00:00"/>
    <x v="1"/>
    <x v="8"/>
    <x v="35"/>
    <x v="0"/>
    <x v="11"/>
    <x v="10"/>
    <x v="4"/>
    <n v="264745797"/>
  </r>
  <r>
    <d v="2025-09-01T00:00:00"/>
    <x v="1"/>
    <x v="8"/>
    <x v="35"/>
    <x v="0"/>
    <x v="12"/>
    <x v="11"/>
    <x v="1"/>
    <n v="8975040000"/>
  </r>
  <r>
    <d v="2025-09-01T00:00:00"/>
    <x v="1"/>
    <x v="8"/>
    <x v="35"/>
    <x v="0"/>
    <x v="5"/>
    <x v="5"/>
    <x v="3"/>
    <n v="4216937048"/>
  </r>
  <r>
    <d v="2025-09-01T00:00:00"/>
    <x v="1"/>
    <x v="8"/>
    <x v="35"/>
    <x v="0"/>
    <x v="27"/>
    <x v="19"/>
    <x v="0"/>
    <n v="4276908000"/>
  </r>
  <r>
    <d v="2025-09-01T00:00:00"/>
    <x v="1"/>
    <x v="8"/>
    <x v="35"/>
    <x v="0"/>
    <x v="15"/>
    <x v="14"/>
    <x v="4"/>
    <n v="40705729"/>
  </r>
  <r>
    <d v="2025-09-01T00:00:00"/>
    <x v="1"/>
    <x v="8"/>
    <x v="35"/>
    <x v="0"/>
    <x v="14"/>
    <x v="13"/>
    <x v="1"/>
    <n v="1700710000"/>
  </r>
  <r>
    <d v="2025-09-01T00:00:00"/>
    <x v="1"/>
    <x v="8"/>
    <x v="35"/>
    <x v="0"/>
    <x v="23"/>
    <x v="17"/>
    <x v="4"/>
    <n v="10633000"/>
  </r>
  <r>
    <d v="2025-09-01T00:00:00"/>
    <x v="1"/>
    <x v="8"/>
    <x v="35"/>
    <x v="0"/>
    <x v="28"/>
    <x v="17"/>
    <x v="4"/>
    <n v="295327149"/>
  </r>
  <r>
    <d v="2025-09-01T00:00:00"/>
    <x v="1"/>
    <x v="8"/>
    <x v="35"/>
    <x v="0"/>
    <x v="8"/>
    <x v="8"/>
    <x v="1"/>
    <n v="0"/>
  </r>
  <r>
    <d v="2025-09-01T00:00:00"/>
    <x v="1"/>
    <x v="8"/>
    <x v="35"/>
    <x v="0"/>
    <x v="26"/>
    <x v="16"/>
    <x v="1"/>
    <n v="0"/>
  </r>
  <r>
    <d v="2025-09-01T00:00:00"/>
    <x v="1"/>
    <x v="8"/>
    <x v="35"/>
    <x v="0"/>
    <x v="2"/>
    <x v="2"/>
    <x v="1"/>
    <n v="9636770000"/>
  </r>
  <r>
    <d v="2025-09-01T00:00:00"/>
    <x v="1"/>
    <x v="8"/>
    <x v="35"/>
    <x v="0"/>
    <x v="17"/>
    <x v="9"/>
    <x v="1"/>
    <n v="0"/>
  </r>
  <r>
    <d v="2025-09-01T00:00:00"/>
    <x v="1"/>
    <x v="8"/>
    <x v="35"/>
    <x v="0"/>
    <x v="20"/>
    <x v="9"/>
    <x v="1"/>
    <n v="0"/>
  </r>
  <r>
    <d v="2025-09-01T00:00:00"/>
    <x v="1"/>
    <x v="8"/>
    <x v="35"/>
    <x v="0"/>
    <x v="21"/>
    <x v="9"/>
    <x v="1"/>
    <n v="0"/>
  </r>
  <r>
    <d v="2025-09-01T00:00:00"/>
    <x v="1"/>
    <x v="8"/>
    <x v="35"/>
    <x v="0"/>
    <x v="25"/>
    <x v="2"/>
    <x v="1"/>
    <n v="0"/>
  </r>
  <r>
    <d v="2025-09-01T00:00:00"/>
    <x v="1"/>
    <x v="8"/>
    <x v="35"/>
    <x v="0"/>
    <x v="0"/>
    <x v="0"/>
    <x v="0"/>
    <n v="6054372000"/>
  </r>
  <r>
    <d v="2025-09-01T00:00:00"/>
    <x v="1"/>
    <x v="8"/>
    <x v="35"/>
    <x v="0"/>
    <x v="7"/>
    <x v="7"/>
    <x v="4"/>
    <n v="486330232"/>
  </r>
  <r>
    <d v="2025-09-01T00:00:00"/>
    <x v="1"/>
    <x v="8"/>
    <x v="35"/>
    <x v="0"/>
    <x v="1"/>
    <x v="1"/>
    <x v="1"/>
    <n v="31500000"/>
  </r>
  <r>
    <d v="2025-09-01T00:00:00"/>
    <x v="1"/>
    <x v="8"/>
    <x v="35"/>
    <x v="0"/>
    <x v="6"/>
    <x v="6"/>
    <x v="0"/>
    <n v="28000000"/>
  </r>
  <r>
    <d v="2025-09-01T00:00:00"/>
    <x v="1"/>
    <x v="8"/>
    <x v="35"/>
    <x v="0"/>
    <x v="18"/>
    <x v="15"/>
    <x v="1"/>
    <n v="482200000"/>
  </r>
  <r>
    <d v="2025-09-01T00:00:00"/>
    <x v="1"/>
    <x v="8"/>
    <x v="35"/>
    <x v="0"/>
    <x v="19"/>
    <x v="12"/>
    <x v="4"/>
    <n v="598762599"/>
  </r>
  <r>
    <d v="2025-09-01T00:00:00"/>
    <x v="1"/>
    <x v="8"/>
    <x v="35"/>
    <x v="0"/>
    <x v="24"/>
    <x v="18"/>
    <x v="1"/>
    <n v="3592260000"/>
  </r>
  <r>
    <d v="2025-09-02T00:00:00"/>
    <x v="1"/>
    <x v="8"/>
    <x v="35"/>
    <x v="1"/>
    <x v="3"/>
    <x v="3"/>
    <x v="1"/>
    <n v="0"/>
  </r>
  <r>
    <d v="2025-09-02T00:00:00"/>
    <x v="1"/>
    <x v="8"/>
    <x v="35"/>
    <x v="1"/>
    <x v="11"/>
    <x v="10"/>
    <x v="4"/>
    <n v="351421543"/>
  </r>
  <r>
    <d v="2025-09-02T00:00:00"/>
    <x v="1"/>
    <x v="8"/>
    <x v="35"/>
    <x v="1"/>
    <x v="12"/>
    <x v="11"/>
    <x v="1"/>
    <n v="8113040000"/>
  </r>
  <r>
    <d v="2025-09-02T00:00:00"/>
    <x v="1"/>
    <x v="8"/>
    <x v="35"/>
    <x v="1"/>
    <x v="5"/>
    <x v="5"/>
    <x v="3"/>
    <n v="3300880486"/>
  </r>
  <r>
    <d v="2025-09-02T00:00:00"/>
    <x v="1"/>
    <x v="8"/>
    <x v="35"/>
    <x v="1"/>
    <x v="27"/>
    <x v="19"/>
    <x v="0"/>
    <n v="4030560000"/>
  </r>
  <r>
    <d v="2025-09-02T00:00:00"/>
    <x v="1"/>
    <x v="8"/>
    <x v="35"/>
    <x v="1"/>
    <x v="15"/>
    <x v="14"/>
    <x v="4"/>
    <n v="39834256"/>
  </r>
  <r>
    <d v="2025-09-02T00:00:00"/>
    <x v="1"/>
    <x v="8"/>
    <x v="35"/>
    <x v="1"/>
    <x v="14"/>
    <x v="13"/>
    <x v="1"/>
    <n v="1224120000"/>
  </r>
  <r>
    <d v="2025-09-02T00:00:00"/>
    <x v="1"/>
    <x v="8"/>
    <x v="35"/>
    <x v="1"/>
    <x v="23"/>
    <x v="17"/>
    <x v="4"/>
    <n v="43452000"/>
  </r>
  <r>
    <d v="2025-09-02T00:00:00"/>
    <x v="1"/>
    <x v="8"/>
    <x v="35"/>
    <x v="1"/>
    <x v="28"/>
    <x v="17"/>
    <x v="4"/>
    <n v="303340650"/>
  </r>
  <r>
    <d v="2025-09-02T00:00:00"/>
    <x v="1"/>
    <x v="8"/>
    <x v="35"/>
    <x v="1"/>
    <x v="8"/>
    <x v="8"/>
    <x v="1"/>
    <n v="0"/>
  </r>
  <r>
    <d v="2025-09-02T00:00:00"/>
    <x v="1"/>
    <x v="8"/>
    <x v="35"/>
    <x v="1"/>
    <x v="26"/>
    <x v="16"/>
    <x v="1"/>
    <n v="30900000"/>
  </r>
  <r>
    <d v="2025-09-02T00:00:00"/>
    <x v="1"/>
    <x v="8"/>
    <x v="35"/>
    <x v="1"/>
    <x v="2"/>
    <x v="2"/>
    <x v="1"/>
    <n v="9244160000"/>
  </r>
  <r>
    <d v="2025-09-02T00:00:00"/>
    <x v="1"/>
    <x v="8"/>
    <x v="35"/>
    <x v="1"/>
    <x v="17"/>
    <x v="9"/>
    <x v="1"/>
    <n v="0"/>
  </r>
  <r>
    <d v="2025-09-02T00:00:00"/>
    <x v="1"/>
    <x v="8"/>
    <x v="35"/>
    <x v="1"/>
    <x v="20"/>
    <x v="9"/>
    <x v="1"/>
    <n v="0"/>
  </r>
  <r>
    <d v="2025-09-02T00:00:00"/>
    <x v="1"/>
    <x v="8"/>
    <x v="35"/>
    <x v="1"/>
    <x v="21"/>
    <x v="9"/>
    <x v="1"/>
    <n v="0"/>
  </r>
  <r>
    <d v="2025-09-02T00:00:00"/>
    <x v="1"/>
    <x v="8"/>
    <x v="35"/>
    <x v="1"/>
    <x v="25"/>
    <x v="2"/>
    <x v="1"/>
    <n v="0"/>
  </r>
  <r>
    <d v="2025-09-02T00:00:00"/>
    <x v="1"/>
    <x v="8"/>
    <x v="35"/>
    <x v="1"/>
    <x v="0"/>
    <x v="0"/>
    <x v="0"/>
    <n v="5256360000"/>
  </r>
  <r>
    <d v="2025-09-02T00:00:00"/>
    <x v="1"/>
    <x v="8"/>
    <x v="35"/>
    <x v="1"/>
    <x v="7"/>
    <x v="7"/>
    <x v="4"/>
    <n v="338126075"/>
  </r>
  <r>
    <d v="2025-09-02T00:00:00"/>
    <x v="1"/>
    <x v="8"/>
    <x v="35"/>
    <x v="1"/>
    <x v="1"/>
    <x v="1"/>
    <x v="1"/>
    <n v="10500000"/>
  </r>
  <r>
    <d v="2025-09-02T00:00:00"/>
    <x v="1"/>
    <x v="8"/>
    <x v="35"/>
    <x v="1"/>
    <x v="6"/>
    <x v="6"/>
    <x v="0"/>
    <n v="19000000"/>
  </r>
  <r>
    <d v="2025-09-02T00:00:00"/>
    <x v="1"/>
    <x v="8"/>
    <x v="35"/>
    <x v="1"/>
    <x v="18"/>
    <x v="15"/>
    <x v="1"/>
    <n v="346970000"/>
  </r>
  <r>
    <d v="2025-09-02T00:00:00"/>
    <x v="1"/>
    <x v="8"/>
    <x v="35"/>
    <x v="1"/>
    <x v="19"/>
    <x v="12"/>
    <x v="4"/>
    <n v="646015302"/>
  </r>
  <r>
    <d v="2025-09-02T00:00:00"/>
    <x v="1"/>
    <x v="8"/>
    <x v="35"/>
    <x v="1"/>
    <x v="24"/>
    <x v="18"/>
    <x v="1"/>
    <n v="4072340000"/>
  </r>
  <r>
    <d v="2025-09-03T00:00:00"/>
    <x v="1"/>
    <x v="8"/>
    <x v="35"/>
    <x v="2"/>
    <x v="3"/>
    <x v="3"/>
    <x v="1"/>
    <n v="0"/>
  </r>
  <r>
    <d v="2025-09-03T00:00:00"/>
    <x v="1"/>
    <x v="8"/>
    <x v="35"/>
    <x v="2"/>
    <x v="11"/>
    <x v="10"/>
    <x v="4"/>
    <n v="335505657"/>
  </r>
  <r>
    <d v="2025-09-03T00:00:00"/>
    <x v="1"/>
    <x v="8"/>
    <x v="35"/>
    <x v="2"/>
    <x v="12"/>
    <x v="11"/>
    <x v="1"/>
    <n v="13823860000"/>
  </r>
  <r>
    <d v="2025-09-03T00:00:00"/>
    <x v="1"/>
    <x v="8"/>
    <x v="35"/>
    <x v="2"/>
    <x v="5"/>
    <x v="5"/>
    <x v="3"/>
    <n v="4335473747"/>
  </r>
  <r>
    <d v="2025-09-03T00:00:00"/>
    <x v="1"/>
    <x v="8"/>
    <x v="35"/>
    <x v="2"/>
    <x v="27"/>
    <x v="19"/>
    <x v="0"/>
    <n v="5313276000"/>
  </r>
  <r>
    <d v="2025-09-03T00:00:00"/>
    <x v="1"/>
    <x v="8"/>
    <x v="35"/>
    <x v="2"/>
    <x v="15"/>
    <x v="14"/>
    <x v="4"/>
    <n v="117398600"/>
  </r>
  <r>
    <d v="2025-09-03T00:00:00"/>
    <x v="1"/>
    <x v="8"/>
    <x v="35"/>
    <x v="2"/>
    <x v="14"/>
    <x v="13"/>
    <x v="1"/>
    <n v="2517700000"/>
  </r>
  <r>
    <d v="2025-09-03T00:00:00"/>
    <x v="1"/>
    <x v="8"/>
    <x v="35"/>
    <x v="2"/>
    <x v="23"/>
    <x v="17"/>
    <x v="4"/>
    <n v="43438000"/>
  </r>
  <r>
    <d v="2025-09-03T00:00:00"/>
    <x v="1"/>
    <x v="8"/>
    <x v="35"/>
    <x v="2"/>
    <x v="28"/>
    <x v="17"/>
    <x v="4"/>
    <n v="391108000"/>
  </r>
  <r>
    <d v="2025-09-03T00:00:00"/>
    <x v="1"/>
    <x v="8"/>
    <x v="35"/>
    <x v="2"/>
    <x v="8"/>
    <x v="8"/>
    <x v="1"/>
    <n v="0"/>
  </r>
  <r>
    <d v="2025-09-03T00:00:00"/>
    <x v="1"/>
    <x v="8"/>
    <x v="35"/>
    <x v="2"/>
    <x v="26"/>
    <x v="16"/>
    <x v="1"/>
    <n v="10500000"/>
  </r>
  <r>
    <d v="2025-09-03T00:00:00"/>
    <x v="1"/>
    <x v="8"/>
    <x v="35"/>
    <x v="2"/>
    <x v="2"/>
    <x v="2"/>
    <x v="1"/>
    <n v="12469570000"/>
  </r>
  <r>
    <d v="2025-09-03T00:00:00"/>
    <x v="1"/>
    <x v="8"/>
    <x v="35"/>
    <x v="2"/>
    <x v="17"/>
    <x v="9"/>
    <x v="1"/>
    <n v="0"/>
  </r>
  <r>
    <d v="2025-09-03T00:00:00"/>
    <x v="1"/>
    <x v="8"/>
    <x v="35"/>
    <x v="2"/>
    <x v="20"/>
    <x v="9"/>
    <x v="1"/>
    <n v="0"/>
  </r>
  <r>
    <d v="2025-09-03T00:00:00"/>
    <x v="1"/>
    <x v="8"/>
    <x v="35"/>
    <x v="2"/>
    <x v="21"/>
    <x v="9"/>
    <x v="1"/>
    <n v="0"/>
  </r>
  <r>
    <d v="2025-09-03T00:00:00"/>
    <x v="1"/>
    <x v="8"/>
    <x v="35"/>
    <x v="2"/>
    <x v="25"/>
    <x v="2"/>
    <x v="1"/>
    <n v="0"/>
  </r>
  <r>
    <d v="2025-09-03T00:00:00"/>
    <x v="1"/>
    <x v="8"/>
    <x v="35"/>
    <x v="2"/>
    <x v="0"/>
    <x v="0"/>
    <x v="0"/>
    <n v="6503760000"/>
  </r>
  <r>
    <d v="2025-09-03T00:00:00"/>
    <x v="1"/>
    <x v="8"/>
    <x v="35"/>
    <x v="2"/>
    <x v="7"/>
    <x v="7"/>
    <x v="4"/>
    <n v="571500648"/>
  </r>
  <r>
    <d v="2025-09-03T00:00:00"/>
    <x v="1"/>
    <x v="8"/>
    <x v="35"/>
    <x v="2"/>
    <x v="1"/>
    <x v="1"/>
    <x v="1"/>
    <n v="26250000"/>
  </r>
  <r>
    <d v="2025-09-03T00:00:00"/>
    <x v="1"/>
    <x v="8"/>
    <x v="35"/>
    <x v="2"/>
    <x v="6"/>
    <x v="6"/>
    <x v="0"/>
    <n v="45000000"/>
  </r>
  <r>
    <d v="2025-09-03T00:00:00"/>
    <x v="1"/>
    <x v="8"/>
    <x v="35"/>
    <x v="2"/>
    <x v="18"/>
    <x v="15"/>
    <x v="1"/>
    <n v="445180000"/>
  </r>
  <r>
    <d v="2025-09-03T00:00:00"/>
    <x v="1"/>
    <x v="8"/>
    <x v="35"/>
    <x v="2"/>
    <x v="19"/>
    <x v="12"/>
    <x v="4"/>
    <n v="1181851452"/>
  </r>
  <r>
    <d v="2025-09-03T00:00:00"/>
    <x v="1"/>
    <x v="8"/>
    <x v="35"/>
    <x v="2"/>
    <x v="24"/>
    <x v="18"/>
    <x v="1"/>
    <n v="3897470000"/>
  </r>
  <r>
    <d v="2025-09-04T00:00:00"/>
    <x v="1"/>
    <x v="8"/>
    <x v="35"/>
    <x v="3"/>
    <x v="3"/>
    <x v="3"/>
    <x v="1"/>
    <n v="0"/>
  </r>
  <r>
    <d v="2025-09-04T00:00:00"/>
    <x v="1"/>
    <x v="8"/>
    <x v="35"/>
    <x v="3"/>
    <x v="11"/>
    <x v="10"/>
    <x v="4"/>
    <n v="390438365"/>
  </r>
  <r>
    <d v="2025-09-04T00:00:00"/>
    <x v="1"/>
    <x v="8"/>
    <x v="35"/>
    <x v="3"/>
    <x v="12"/>
    <x v="11"/>
    <x v="1"/>
    <n v="20535450000"/>
  </r>
  <r>
    <d v="2025-09-04T00:00:00"/>
    <x v="1"/>
    <x v="8"/>
    <x v="35"/>
    <x v="3"/>
    <x v="5"/>
    <x v="5"/>
    <x v="3"/>
    <n v="3914917889"/>
  </r>
  <r>
    <d v="2025-09-04T00:00:00"/>
    <x v="1"/>
    <x v="8"/>
    <x v="35"/>
    <x v="3"/>
    <x v="27"/>
    <x v="19"/>
    <x v="0"/>
    <n v="5437476000"/>
  </r>
  <r>
    <d v="2025-09-04T00:00:00"/>
    <x v="1"/>
    <x v="8"/>
    <x v="35"/>
    <x v="3"/>
    <x v="15"/>
    <x v="14"/>
    <x v="4"/>
    <n v="120336278"/>
  </r>
  <r>
    <d v="2025-09-04T00:00:00"/>
    <x v="1"/>
    <x v="8"/>
    <x v="35"/>
    <x v="3"/>
    <x v="14"/>
    <x v="13"/>
    <x v="1"/>
    <n v="2742940000"/>
  </r>
  <r>
    <d v="2025-09-04T00:00:00"/>
    <x v="1"/>
    <x v="8"/>
    <x v="35"/>
    <x v="3"/>
    <x v="23"/>
    <x v="17"/>
    <x v="4"/>
    <n v="98672000"/>
  </r>
  <r>
    <d v="2025-09-04T00:00:00"/>
    <x v="1"/>
    <x v="8"/>
    <x v="35"/>
    <x v="3"/>
    <x v="28"/>
    <x v="17"/>
    <x v="4"/>
    <n v="416159150"/>
  </r>
  <r>
    <d v="2025-09-04T00:00:00"/>
    <x v="1"/>
    <x v="8"/>
    <x v="35"/>
    <x v="3"/>
    <x v="8"/>
    <x v="8"/>
    <x v="1"/>
    <n v="0"/>
  </r>
  <r>
    <d v="2025-09-04T00:00:00"/>
    <x v="1"/>
    <x v="8"/>
    <x v="35"/>
    <x v="3"/>
    <x v="26"/>
    <x v="16"/>
    <x v="1"/>
    <n v="35700000"/>
  </r>
  <r>
    <d v="2025-09-04T00:00:00"/>
    <x v="1"/>
    <x v="8"/>
    <x v="35"/>
    <x v="3"/>
    <x v="2"/>
    <x v="2"/>
    <x v="1"/>
    <n v="14832730000"/>
  </r>
  <r>
    <d v="2025-09-04T00:00:00"/>
    <x v="1"/>
    <x v="8"/>
    <x v="35"/>
    <x v="3"/>
    <x v="17"/>
    <x v="9"/>
    <x v="1"/>
    <n v="0"/>
  </r>
  <r>
    <d v="2025-09-04T00:00:00"/>
    <x v="1"/>
    <x v="8"/>
    <x v="35"/>
    <x v="3"/>
    <x v="20"/>
    <x v="9"/>
    <x v="1"/>
    <n v="0"/>
  </r>
  <r>
    <d v="2025-09-04T00:00:00"/>
    <x v="1"/>
    <x v="8"/>
    <x v="35"/>
    <x v="3"/>
    <x v="21"/>
    <x v="9"/>
    <x v="1"/>
    <n v="0"/>
  </r>
  <r>
    <d v="2025-09-04T00:00:00"/>
    <x v="1"/>
    <x v="8"/>
    <x v="35"/>
    <x v="3"/>
    <x v="25"/>
    <x v="2"/>
    <x v="1"/>
    <n v="0"/>
  </r>
  <r>
    <d v="2025-09-04T00:00:00"/>
    <x v="1"/>
    <x v="8"/>
    <x v="35"/>
    <x v="3"/>
    <x v="0"/>
    <x v="0"/>
    <x v="0"/>
    <n v="7606332000"/>
  </r>
  <r>
    <d v="2025-09-04T00:00:00"/>
    <x v="1"/>
    <x v="8"/>
    <x v="35"/>
    <x v="3"/>
    <x v="7"/>
    <x v="7"/>
    <x v="4"/>
    <n v="759961334"/>
  </r>
  <r>
    <d v="2025-09-04T00:00:00"/>
    <x v="1"/>
    <x v="8"/>
    <x v="35"/>
    <x v="3"/>
    <x v="1"/>
    <x v="1"/>
    <x v="1"/>
    <n v="31500000"/>
  </r>
  <r>
    <d v="2025-09-04T00:00:00"/>
    <x v="1"/>
    <x v="8"/>
    <x v="35"/>
    <x v="3"/>
    <x v="6"/>
    <x v="6"/>
    <x v="0"/>
    <n v="39000000"/>
  </r>
  <r>
    <d v="2025-09-04T00:00:00"/>
    <x v="1"/>
    <x v="8"/>
    <x v="35"/>
    <x v="3"/>
    <x v="18"/>
    <x v="15"/>
    <x v="1"/>
    <n v="506100000"/>
  </r>
  <r>
    <d v="2025-09-04T00:00:00"/>
    <x v="1"/>
    <x v="8"/>
    <x v="35"/>
    <x v="3"/>
    <x v="19"/>
    <x v="12"/>
    <x v="4"/>
    <n v="1999410565"/>
  </r>
  <r>
    <d v="2025-09-04T00:00:00"/>
    <x v="1"/>
    <x v="8"/>
    <x v="35"/>
    <x v="3"/>
    <x v="24"/>
    <x v="18"/>
    <x v="1"/>
    <n v="3401020000"/>
  </r>
  <r>
    <d v="2025-09-05T00:00:00"/>
    <x v="1"/>
    <x v="8"/>
    <x v="35"/>
    <x v="4"/>
    <x v="3"/>
    <x v="3"/>
    <x v="1"/>
    <n v="0"/>
  </r>
  <r>
    <d v="2025-09-05T00:00:00"/>
    <x v="1"/>
    <x v="8"/>
    <x v="35"/>
    <x v="4"/>
    <x v="11"/>
    <x v="10"/>
    <x v="4"/>
    <n v="387385588"/>
  </r>
  <r>
    <d v="2025-09-05T00:00:00"/>
    <x v="1"/>
    <x v="8"/>
    <x v="35"/>
    <x v="4"/>
    <x v="12"/>
    <x v="11"/>
    <x v="1"/>
    <n v="21233180000"/>
  </r>
  <r>
    <d v="2025-09-05T00:00:00"/>
    <x v="1"/>
    <x v="8"/>
    <x v="35"/>
    <x v="4"/>
    <x v="5"/>
    <x v="5"/>
    <x v="3"/>
    <n v="3702187350"/>
  </r>
  <r>
    <d v="2025-09-05T00:00:00"/>
    <x v="1"/>
    <x v="8"/>
    <x v="35"/>
    <x v="4"/>
    <x v="27"/>
    <x v="19"/>
    <x v="0"/>
    <n v="5375916000"/>
  </r>
  <r>
    <d v="2025-09-05T00:00:00"/>
    <x v="1"/>
    <x v="8"/>
    <x v="35"/>
    <x v="4"/>
    <x v="15"/>
    <x v="14"/>
    <x v="4"/>
    <n v="75263128"/>
  </r>
  <r>
    <d v="2025-09-05T00:00:00"/>
    <x v="1"/>
    <x v="8"/>
    <x v="35"/>
    <x v="4"/>
    <x v="14"/>
    <x v="13"/>
    <x v="1"/>
    <n v="3046390000"/>
  </r>
  <r>
    <d v="2025-09-05T00:00:00"/>
    <x v="1"/>
    <x v="8"/>
    <x v="35"/>
    <x v="4"/>
    <x v="23"/>
    <x v="17"/>
    <x v="4"/>
    <n v="80634000"/>
  </r>
  <r>
    <d v="2025-09-05T00:00:00"/>
    <x v="1"/>
    <x v="8"/>
    <x v="35"/>
    <x v="4"/>
    <x v="28"/>
    <x v="17"/>
    <x v="4"/>
    <n v="352679000"/>
  </r>
  <r>
    <d v="2025-09-05T00:00:00"/>
    <x v="1"/>
    <x v="8"/>
    <x v="35"/>
    <x v="4"/>
    <x v="8"/>
    <x v="8"/>
    <x v="1"/>
    <n v="0"/>
  </r>
  <r>
    <d v="2025-09-05T00:00:00"/>
    <x v="1"/>
    <x v="8"/>
    <x v="35"/>
    <x v="4"/>
    <x v="26"/>
    <x v="16"/>
    <x v="1"/>
    <n v="27750000"/>
  </r>
  <r>
    <d v="2025-09-05T00:00:00"/>
    <x v="1"/>
    <x v="8"/>
    <x v="35"/>
    <x v="4"/>
    <x v="2"/>
    <x v="2"/>
    <x v="1"/>
    <n v="15939580000"/>
  </r>
  <r>
    <d v="2025-09-05T00:00:00"/>
    <x v="1"/>
    <x v="8"/>
    <x v="35"/>
    <x v="4"/>
    <x v="17"/>
    <x v="9"/>
    <x v="1"/>
    <n v="0"/>
  </r>
  <r>
    <d v="2025-09-05T00:00:00"/>
    <x v="1"/>
    <x v="8"/>
    <x v="35"/>
    <x v="4"/>
    <x v="20"/>
    <x v="9"/>
    <x v="1"/>
    <n v="0"/>
  </r>
  <r>
    <d v="2025-09-05T00:00:00"/>
    <x v="1"/>
    <x v="8"/>
    <x v="35"/>
    <x v="4"/>
    <x v="21"/>
    <x v="9"/>
    <x v="1"/>
    <n v="0"/>
  </r>
  <r>
    <d v="2025-09-05T00:00:00"/>
    <x v="1"/>
    <x v="8"/>
    <x v="35"/>
    <x v="4"/>
    <x v="25"/>
    <x v="2"/>
    <x v="1"/>
    <n v="0"/>
  </r>
  <r>
    <d v="2025-09-05T00:00:00"/>
    <x v="1"/>
    <x v="8"/>
    <x v="35"/>
    <x v="4"/>
    <x v="0"/>
    <x v="0"/>
    <x v="0"/>
    <n v="9873360000"/>
  </r>
  <r>
    <d v="2025-09-05T00:00:00"/>
    <x v="1"/>
    <x v="8"/>
    <x v="35"/>
    <x v="4"/>
    <x v="7"/>
    <x v="7"/>
    <x v="4"/>
    <n v="658644323"/>
  </r>
  <r>
    <d v="2025-09-05T00:00:00"/>
    <x v="1"/>
    <x v="8"/>
    <x v="35"/>
    <x v="4"/>
    <x v="1"/>
    <x v="1"/>
    <x v="1"/>
    <n v="35000000"/>
  </r>
  <r>
    <d v="2025-09-05T00:00:00"/>
    <x v="1"/>
    <x v="8"/>
    <x v="35"/>
    <x v="4"/>
    <x v="6"/>
    <x v="6"/>
    <x v="0"/>
    <n v="49000000"/>
  </r>
  <r>
    <d v="2025-09-05T00:00:00"/>
    <x v="1"/>
    <x v="8"/>
    <x v="35"/>
    <x v="4"/>
    <x v="18"/>
    <x v="15"/>
    <x v="1"/>
    <n v="423370000"/>
  </r>
  <r>
    <d v="2025-09-05T00:00:00"/>
    <x v="1"/>
    <x v="8"/>
    <x v="35"/>
    <x v="4"/>
    <x v="19"/>
    <x v="12"/>
    <x v="4"/>
    <n v="1204056755"/>
  </r>
  <r>
    <d v="2025-09-05T00:00:00"/>
    <x v="1"/>
    <x v="8"/>
    <x v="35"/>
    <x v="4"/>
    <x v="24"/>
    <x v="18"/>
    <x v="1"/>
    <n v="3823550000"/>
  </r>
  <r>
    <d v="2025-09-06T00:00:00"/>
    <x v="1"/>
    <x v="8"/>
    <x v="35"/>
    <x v="5"/>
    <x v="3"/>
    <x v="3"/>
    <x v="1"/>
    <n v="0"/>
  </r>
  <r>
    <d v="2025-09-06T00:00:00"/>
    <x v="1"/>
    <x v="8"/>
    <x v="35"/>
    <x v="5"/>
    <x v="11"/>
    <x v="10"/>
    <x v="4"/>
    <n v="316842882"/>
  </r>
  <r>
    <d v="2025-09-06T00:00:00"/>
    <x v="1"/>
    <x v="8"/>
    <x v="35"/>
    <x v="5"/>
    <x v="12"/>
    <x v="11"/>
    <x v="1"/>
    <n v="17101920000"/>
  </r>
  <r>
    <d v="2025-09-06T00:00:00"/>
    <x v="1"/>
    <x v="8"/>
    <x v="35"/>
    <x v="5"/>
    <x v="5"/>
    <x v="5"/>
    <x v="3"/>
    <n v="2685258053"/>
  </r>
  <r>
    <d v="2025-09-06T00:00:00"/>
    <x v="1"/>
    <x v="8"/>
    <x v="35"/>
    <x v="5"/>
    <x v="27"/>
    <x v="19"/>
    <x v="0"/>
    <n v="4417632000"/>
  </r>
  <r>
    <d v="2025-09-06T00:00:00"/>
    <x v="1"/>
    <x v="8"/>
    <x v="35"/>
    <x v="5"/>
    <x v="15"/>
    <x v="14"/>
    <x v="4"/>
    <n v="35855988"/>
  </r>
  <r>
    <d v="2025-09-06T00:00:00"/>
    <x v="1"/>
    <x v="8"/>
    <x v="35"/>
    <x v="5"/>
    <x v="14"/>
    <x v="13"/>
    <x v="1"/>
    <n v="3120380000"/>
  </r>
  <r>
    <d v="2025-09-06T00:00:00"/>
    <x v="1"/>
    <x v="8"/>
    <x v="35"/>
    <x v="5"/>
    <x v="23"/>
    <x v="17"/>
    <x v="4"/>
    <n v="68558000"/>
  </r>
  <r>
    <d v="2025-09-06T00:00:00"/>
    <x v="1"/>
    <x v="8"/>
    <x v="35"/>
    <x v="5"/>
    <x v="28"/>
    <x v="17"/>
    <x v="4"/>
    <n v="570047000"/>
  </r>
  <r>
    <d v="2025-09-06T00:00:00"/>
    <x v="1"/>
    <x v="8"/>
    <x v="35"/>
    <x v="5"/>
    <x v="8"/>
    <x v="8"/>
    <x v="1"/>
    <n v="0"/>
  </r>
  <r>
    <d v="2025-09-06T00:00:00"/>
    <x v="1"/>
    <x v="8"/>
    <x v="35"/>
    <x v="5"/>
    <x v="26"/>
    <x v="16"/>
    <x v="1"/>
    <n v="42000000"/>
  </r>
  <r>
    <d v="2025-09-06T00:00:00"/>
    <x v="1"/>
    <x v="8"/>
    <x v="35"/>
    <x v="5"/>
    <x v="2"/>
    <x v="2"/>
    <x v="1"/>
    <n v="15060960000"/>
  </r>
  <r>
    <d v="2025-09-06T00:00:00"/>
    <x v="1"/>
    <x v="8"/>
    <x v="35"/>
    <x v="5"/>
    <x v="17"/>
    <x v="9"/>
    <x v="1"/>
    <n v="0"/>
  </r>
  <r>
    <d v="2025-09-06T00:00:00"/>
    <x v="1"/>
    <x v="8"/>
    <x v="35"/>
    <x v="5"/>
    <x v="20"/>
    <x v="9"/>
    <x v="1"/>
    <n v="0"/>
  </r>
  <r>
    <d v="2025-09-06T00:00:00"/>
    <x v="1"/>
    <x v="8"/>
    <x v="35"/>
    <x v="5"/>
    <x v="21"/>
    <x v="9"/>
    <x v="1"/>
    <n v="0"/>
  </r>
  <r>
    <d v="2025-09-06T00:00:00"/>
    <x v="1"/>
    <x v="8"/>
    <x v="35"/>
    <x v="5"/>
    <x v="25"/>
    <x v="2"/>
    <x v="1"/>
    <n v="0"/>
  </r>
  <r>
    <d v="2025-09-06T00:00:00"/>
    <x v="1"/>
    <x v="8"/>
    <x v="35"/>
    <x v="5"/>
    <x v="0"/>
    <x v="0"/>
    <x v="0"/>
    <n v="8235324000"/>
  </r>
  <r>
    <d v="2025-09-06T00:00:00"/>
    <x v="1"/>
    <x v="8"/>
    <x v="35"/>
    <x v="5"/>
    <x v="7"/>
    <x v="7"/>
    <x v="4"/>
    <n v="466600028"/>
  </r>
  <r>
    <d v="2025-09-06T00:00:00"/>
    <x v="1"/>
    <x v="8"/>
    <x v="35"/>
    <x v="5"/>
    <x v="1"/>
    <x v="1"/>
    <x v="1"/>
    <n v="10500000"/>
  </r>
  <r>
    <d v="2025-09-06T00:00:00"/>
    <x v="1"/>
    <x v="8"/>
    <x v="35"/>
    <x v="5"/>
    <x v="6"/>
    <x v="6"/>
    <x v="0"/>
    <n v="49000000"/>
  </r>
  <r>
    <d v="2025-09-06T00:00:00"/>
    <x v="1"/>
    <x v="8"/>
    <x v="35"/>
    <x v="5"/>
    <x v="18"/>
    <x v="15"/>
    <x v="1"/>
    <n v="327890000"/>
  </r>
  <r>
    <d v="2025-09-06T00:00:00"/>
    <x v="1"/>
    <x v="8"/>
    <x v="35"/>
    <x v="5"/>
    <x v="19"/>
    <x v="12"/>
    <x v="4"/>
    <n v="542700430"/>
  </r>
  <r>
    <d v="2025-09-06T00:00:00"/>
    <x v="1"/>
    <x v="8"/>
    <x v="35"/>
    <x v="5"/>
    <x v="24"/>
    <x v="18"/>
    <x v="1"/>
    <n v="2636100000"/>
  </r>
  <r>
    <d v="2025-09-07T00:00:00"/>
    <x v="1"/>
    <x v="8"/>
    <x v="35"/>
    <x v="6"/>
    <x v="3"/>
    <x v="3"/>
    <x v="1"/>
    <n v="0"/>
  </r>
  <r>
    <d v="2025-09-07T00:00:00"/>
    <x v="1"/>
    <x v="8"/>
    <x v="35"/>
    <x v="6"/>
    <x v="11"/>
    <x v="10"/>
    <x v="4"/>
    <n v="343546244"/>
  </r>
  <r>
    <d v="2025-09-07T00:00:00"/>
    <x v="1"/>
    <x v="8"/>
    <x v="35"/>
    <x v="6"/>
    <x v="12"/>
    <x v="11"/>
    <x v="1"/>
    <n v="15749720000"/>
  </r>
  <r>
    <d v="2025-09-07T00:00:00"/>
    <x v="1"/>
    <x v="8"/>
    <x v="35"/>
    <x v="6"/>
    <x v="5"/>
    <x v="5"/>
    <x v="3"/>
    <n v="2488382624"/>
  </r>
  <r>
    <d v="2025-09-07T00:00:00"/>
    <x v="1"/>
    <x v="8"/>
    <x v="35"/>
    <x v="6"/>
    <x v="27"/>
    <x v="19"/>
    <x v="0"/>
    <n v="4054644000"/>
  </r>
  <r>
    <d v="2025-09-07T00:00:00"/>
    <x v="1"/>
    <x v="8"/>
    <x v="35"/>
    <x v="6"/>
    <x v="15"/>
    <x v="14"/>
    <x v="4"/>
    <n v="40314204"/>
  </r>
  <r>
    <d v="2025-09-07T00:00:00"/>
    <x v="1"/>
    <x v="8"/>
    <x v="35"/>
    <x v="6"/>
    <x v="14"/>
    <x v="13"/>
    <x v="1"/>
    <n v="2971390000"/>
  </r>
  <r>
    <d v="2025-09-07T00:00:00"/>
    <x v="1"/>
    <x v="8"/>
    <x v="35"/>
    <x v="6"/>
    <x v="23"/>
    <x v="17"/>
    <x v="4"/>
    <n v="26271000"/>
  </r>
  <r>
    <d v="2025-09-07T00:00:00"/>
    <x v="1"/>
    <x v="8"/>
    <x v="35"/>
    <x v="6"/>
    <x v="28"/>
    <x v="17"/>
    <x v="4"/>
    <n v="467462000"/>
  </r>
  <r>
    <d v="2025-09-07T00:00:00"/>
    <x v="1"/>
    <x v="8"/>
    <x v="35"/>
    <x v="6"/>
    <x v="8"/>
    <x v="8"/>
    <x v="1"/>
    <n v="0"/>
  </r>
  <r>
    <d v="2025-09-07T00:00:00"/>
    <x v="1"/>
    <x v="8"/>
    <x v="35"/>
    <x v="6"/>
    <x v="26"/>
    <x v="16"/>
    <x v="1"/>
    <n v="0"/>
  </r>
  <r>
    <d v="2025-09-07T00:00:00"/>
    <x v="1"/>
    <x v="8"/>
    <x v="35"/>
    <x v="6"/>
    <x v="2"/>
    <x v="2"/>
    <x v="1"/>
    <n v="14106160000"/>
  </r>
  <r>
    <d v="2025-09-07T00:00:00"/>
    <x v="1"/>
    <x v="8"/>
    <x v="35"/>
    <x v="6"/>
    <x v="17"/>
    <x v="9"/>
    <x v="1"/>
    <n v="0"/>
  </r>
  <r>
    <d v="2025-09-07T00:00:00"/>
    <x v="1"/>
    <x v="8"/>
    <x v="35"/>
    <x v="6"/>
    <x v="20"/>
    <x v="9"/>
    <x v="1"/>
    <n v="0"/>
  </r>
  <r>
    <d v="2025-09-07T00:00:00"/>
    <x v="1"/>
    <x v="8"/>
    <x v="35"/>
    <x v="6"/>
    <x v="21"/>
    <x v="9"/>
    <x v="1"/>
    <n v="0"/>
  </r>
  <r>
    <d v="2025-09-07T00:00:00"/>
    <x v="1"/>
    <x v="8"/>
    <x v="35"/>
    <x v="6"/>
    <x v="25"/>
    <x v="2"/>
    <x v="1"/>
    <n v="0"/>
  </r>
  <r>
    <d v="2025-09-07T00:00:00"/>
    <x v="1"/>
    <x v="8"/>
    <x v="35"/>
    <x v="6"/>
    <x v="0"/>
    <x v="0"/>
    <x v="0"/>
    <n v="7793280000"/>
  </r>
  <r>
    <d v="2025-09-07T00:00:00"/>
    <x v="1"/>
    <x v="8"/>
    <x v="35"/>
    <x v="6"/>
    <x v="7"/>
    <x v="7"/>
    <x v="4"/>
    <n v="319561562"/>
  </r>
  <r>
    <d v="2025-09-07T00:00:00"/>
    <x v="1"/>
    <x v="8"/>
    <x v="35"/>
    <x v="6"/>
    <x v="1"/>
    <x v="1"/>
    <x v="1"/>
    <n v="31000000"/>
  </r>
  <r>
    <d v="2025-09-07T00:00:00"/>
    <x v="1"/>
    <x v="8"/>
    <x v="35"/>
    <x v="6"/>
    <x v="6"/>
    <x v="6"/>
    <x v="0"/>
    <n v="41000000"/>
  </r>
  <r>
    <d v="2025-09-07T00:00:00"/>
    <x v="1"/>
    <x v="8"/>
    <x v="35"/>
    <x v="6"/>
    <x v="18"/>
    <x v="15"/>
    <x v="1"/>
    <n v="482140000"/>
  </r>
  <r>
    <d v="2025-09-07T00:00:00"/>
    <x v="1"/>
    <x v="8"/>
    <x v="35"/>
    <x v="6"/>
    <x v="19"/>
    <x v="12"/>
    <x v="4"/>
    <n v="426615143"/>
  </r>
  <r>
    <d v="2025-09-07T00:00:00"/>
    <x v="1"/>
    <x v="8"/>
    <x v="35"/>
    <x v="6"/>
    <x v="24"/>
    <x v="18"/>
    <x v="1"/>
    <n v="2716360000"/>
  </r>
  <r>
    <d v="2025-09-08T00:00:00"/>
    <x v="1"/>
    <x v="8"/>
    <x v="36"/>
    <x v="7"/>
    <x v="3"/>
    <x v="3"/>
    <x v="1"/>
    <n v="0"/>
  </r>
  <r>
    <d v="2025-09-08T00:00:00"/>
    <x v="1"/>
    <x v="8"/>
    <x v="36"/>
    <x v="7"/>
    <x v="11"/>
    <x v="10"/>
    <x v="4"/>
    <n v="318899449"/>
  </r>
  <r>
    <d v="2025-09-08T00:00:00"/>
    <x v="1"/>
    <x v="8"/>
    <x v="36"/>
    <x v="7"/>
    <x v="12"/>
    <x v="11"/>
    <x v="1"/>
    <n v="19450990000"/>
  </r>
  <r>
    <d v="2025-09-08T00:00:00"/>
    <x v="1"/>
    <x v="8"/>
    <x v="36"/>
    <x v="7"/>
    <x v="5"/>
    <x v="5"/>
    <x v="3"/>
    <n v="3235316502"/>
  </r>
  <r>
    <d v="2025-09-08T00:00:00"/>
    <x v="1"/>
    <x v="8"/>
    <x v="36"/>
    <x v="7"/>
    <x v="27"/>
    <x v="19"/>
    <x v="0"/>
    <n v="4550040000"/>
  </r>
  <r>
    <d v="2025-09-08T00:00:00"/>
    <x v="1"/>
    <x v="8"/>
    <x v="36"/>
    <x v="7"/>
    <x v="15"/>
    <x v="14"/>
    <x v="4"/>
    <n v="26872587"/>
  </r>
  <r>
    <d v="2025-09-08T00:00:00"/>
    <x v="1"/>
    <x v="8"/>
    <x v="36"/>
    <x v="7"/>
    <x v="14"/>
    <x v="13"/>
    <x v="1"/>
    <n v="3599640000"/>
  </r>
  <r>
    <d v="2025-09-08T00:00:00"/>
    <x v="1"/>
    <x v="8"/>
    <x v="36"/>
    <x v="7"/>
    <x v="23"/>
    <x v="17"/>
    <x v="4"/>
    <n v="24967000"/>
  </r>
  <r>
    <d v="2025-09-08T00:00:00"/>
    <x v="1"/>
    <x v="8"/>
    <x v="36"/>
    <x v="7"/>
    <x v="28"/>
    <x v="17"/>
    <x v="4"/>
    <n v="396339000"/>
  </r>
  <r>
    <d v="2025-09-08T00:00:00"/>
    <x v="1"/>
    <x v="8"/>
    <x v="36"/>
    <x v="7"/>
    <x v="8"/>
    <x v="8"/>
    <x v="1"/>
    <n v="0"/>
  </r>
  <r>
    <d v="2025-09-08T00:00:00"/>
    <x v="1"/>
    <x v="8"/>
    <x v="36"/>
    <x v="7"/>
    <x v="26"/>
    <x v="16"/>
    <x v="1"/>
    <n v="33100000"/>
  </r>
  <r>
    <d v="2025-09-08T00:00:00"/>
    <x v="1"/>
    <x v="8"/>
    <x v="36"/>
    <x v="7"/>
    <x v="2"/>
    <x v="2"/>
    <x v="1"/>
    <n v="17449860000"/>
  </r>
  <r>
    <d v="2025-09-08T00:00:00"/>
    <x v="1"/>
    <x v="8"/>
    <x v="36"/>
    <x v="7"/>
    <x v="17"/>
    <x v="9"/>
    <x v="1"/>
    <n v="0"/>
  </r>
  <r>
    <d v="2025-09-08T00:00:00"/>
    <x v="1"/>
    <x v="8"/>
    <x v="36"/>
    <x v="7"/>
    <x v="20"/>
    <x v="9"/>
    <x v="1"/>
    <n v="0"/>
  </r>
  <r>
    <d v="2025-09-08T00:00:00"/>
    <x v="1"/>
    <x v="8"/>
    <x v="36"/>
    <x v="7"/>
    <x v="21"/>
    <x v="9"/>
    <x v="1"/>
    <n v="0"/>
  </r>
  <r>
    <d v="2025-09-08T00:00:00"/>
    <x v="1"/>
    <x v="8"/>
    <x v="36"/>
    <x v="7"/>
    <x v="25"/>
    <x v="2"/>
    <x v="1"/>
    <n v="0"/>
  </r>
  <r>
    <d v="2025-09-08T00:00:00"/>
    <x v="1"/>
    <x v="8"/>
    <x v="36"/>
    <x v="7"/>
    <x v="0"/>
    <x v="0"/>
    <x v="0"/>
    <n v="8825220000"/>
  </r>
  <r>
    <d v="2025-09-08T00:00:00"/>
    <x v="1"/>
    <x v="8"/>
    <x v="36"/>
    <x v="7"/>
    <x v="7"/>
    <x v="7"/>
    <x v="4"/>
    <n v="326659216"/>
  </r>
  <r>
    <d v="2025-09-08T00:00:00"/>
    <x v="1"/>
    <x v="8"/>
    <x v="36"/>
    <x v="7"/>
    <x v="1"/>
    <x v="1"/>
    <x v="1"/>
    <n v="81000000"/>
  </r>
  <r>
    <d v="2025-09-08T00:00:00"/>
    <x v="1"/>
    <x v="8"/>
    <x v="36"/>
    <x v="7"/>
    <x v="6"/>
    <x v="6"/>
    <x v="0"/>
    <n v="20000000"/>
  </r>
  <r>
    <d v="2025-09-08T00:00:00"/>
    <x v="1"/>
    <x v="8"/>
    <x v="36"/>
    <x v="7"/>
    <x v="18"/>
    <x v="15"/>
    <x v="1"/>
    <n v="440580000"/>
  </r>
  <r>
    <d v="2025-09-08T00:00:00"/>
    <x v="1"/>
    <x v="8"/>
    <x v="36"/>
    <x v="7"/>
    <x v="19"/>
    <x v="12"/>
    <x v="4"/>
    <n v="482281754"/>
  </r>
  <r>
    <d v="2025-09-08T00:00:00"/>
    <x v="1"/>
    <x v="8"/>
    <x v="36"/>
    <x v="7"/>
    <x v="24"/>
    <x v="18"/>
    <x v="1"/>
    <n v="3281080000"/>
  </r>
  <r>
    <d v="2025-09-09T00:00:00"/>
    <x v="1"/>
    <x v="8"/>
    <x v="36"/>
    <x v="8"/>
    <x v="3"/>
    <x v="3"/>
    <x v="1"/>
    <n v="0"/>
  </r>
  <r>
    <d v="2025-09-09T00:00:00"/>
    <x v="1"/>
    <x v="8"/>
    <x v="36"/>
    <x v="8"/>
    <x v="11"/>
    <x v="10"/>
    <x v="4"/>
    <n v="274063589"/>
  </r>
  <r>
    <d v="2025-09-09T00:00:00"/>
    <x v="1"/>
    <x v="8"/>
    <x v="36"/>
    <x v="8"/>
    <x v="12"/>
    <x v="11"/>
    <x v="1"/>
    <n v="21719520000"/>
  </r>
  <r>
    <d v="2025-09-09T00:00:00"/>
    <x v="1"/>
    <x v="8"/>
    <x v="36"/>
    <x v="8"/>
    <x v="5"/>
    <x v="5"/>
    <x v="3"/>
    <n v="3305460848"/>
  </r>
  <r>
    <d v="2025-09-09T00:00:00"/>
    <x v="1"/>
    <x v="8"/>
    <x v="36"/>
    <x v="8"/>
    <x v="27"/>
    <x v="19"/>
    <x v="0"/>
    <n v="6350724000"/>
  </r>
  <r>
    <d v="2025-09-09T00:00:00"/>
    <x v="1"/>
    <x v="8"/>
    <x v="36"/>
    <x v="8"/>
    <x v="15"/>
    <x v="14"/>
    <x v="4"/>
    <n v="28362047"/>
  </r>
  <r>
    <d v="2025-09-09T00:00:00"/>
    <x v="1"/>
    <x v="8"/>
    <x v="36"/>
    <x v="8"/>
    <x v="14"/>
    <x v="13"/>
    <x v="1"/>
    <n v="3915760000"/>
  </r>
  <r>
    <d v="2025-09-09T00:00:00"/>
    <x v="1"/>
    <x v="8"/>
    <x v="36"/>
    <x v="8"/>
    <x v="23"/>
    <x v="17"/>
    <x v="4"/>
    <n v="35650000"/>
  </r>
  <r>
    <d v="2025-09-09T00:00:00"/>
    <x v="1"/>
    <x v="8"/>
    <x v="36"/>
    <x v="8"/>
    <x v="28"/>
    <x v="17"/>
    <x v="4"/>
    <n v="504246000"/>
  </r>
  <r>
    <d v="2025-09-09T00:00:00"/>
    <x v="1"/>
    <x v="8"/>
    <x v="36"/>
    <x v="8"/>
    <x v="8"/>
    <x v="8"/>
    <x v="1"/>
    <n v="0"/>
  </r>
  <r>
    <d v="2025-09-09T00:00:00"/>
    <x v="1"/>
    <x v="8"/>
    <x v="36"/>
    <x v="8"/>
    <x v="26"/>
    <x v="16"/>
    <x v="1"/>
    <n v="52500000"/>
  </r>
  <r>
    <d v="2025-09-09T00:00:00"/>
    <x v="1"/>
    <x v="8"/>
    <x v="36"/>
    <x v="8"/>
    <x v="2"/>
    <x v="2"/>
    <x v="1"/>
    <n v="17984220000"/>
  </r>
  <r>
    <d v="2025-09-09T00:00:00"/>
    <x v="1"/>
    <x v="8"/>
    <x v="36"/>
    <x v="8"/>
    <x v="17"/>
    <x v="9"/>
    <x v="1"/>
    <n v="0"/>
  </r>
  <r>
    <d v="2025-09-09T00:00:00"/>
    <x v="1"/>
    <x v="8"/>
    <x v="36"/>
    <x v="8"/>
    <x v="20"/>
    <x v="9"/>
    <x v="1"/>
    <n v="0"/>
  </r>
  <r>
    <d v="2025-09-09T00:00:00"/>
    <x v="1"/>
    <x v="8"/>
    <x v="36"/>
    <x v="8"/>
    <x v="21"/>
    <x v="9"/>
    <x v="1"/>
    <n v="0"/>
  </r>
  <r>
    <d v="2025-09-09T00:00:00"/>
    <x v="1"/>
    <x v="8"/>
    <x v="36"/>
    <x v="8"/>
    <x v="25"/>
    <x v="2"/>
    <x v="1"/>
    <n v="0"/>
  </r>
  <r>
    <d v="2025-09-09T00:00:00"/>
    <x v="1"/>
    <x v="8"/>
    <x v="36"/>
    <x v="8"/>
    <x v="0"/>
    <x v="0"/>
    <x v="0"/>
    <n v="8932032000"/>
  </r>
  <r>
    <d v="2025-09-09T00:00:00"/>
    <x v="1"/>
    <x v="8"/>
    <x v="36"/>
    <x v="8"/>
    <x v="7"/>
    <x v="7"/>
    <x v="4"/>
    <n v="361592108"/>
  </r>
  <r>
    <d v="2025-09-09T00:00:00"/>
    <x v="1"/>
    <x v="8"/>
    <x v="36"/>
    <x v="8"/>
    <x v="1"/>
    <x v="1"/>
    <x v="1"/>
    <n v="67250000"/>
  </r>
  <r>
    <d v="2025-09-09T00:00:00"/>
    <x v="1"/>
    <x v="8"/>
    <x v="36"/>
    <x v="8"/>
    <x v="6"/>
    <x v="6"/>
    <x v="0"/>
    <n v="34000000"/>
  </r>
  <r>
    <d v="2025-09-09T00:00:00"/>
    <x v="1"/>
    <x v="8"/>
    <x v="36"/>
    <x v="8"/>
    <x v="18"/>
    <x v="15"/>
    <x v="1"/>
    <n v="677340000"/>
  </r>
  <r>
    <d v="2025-09-09T00:00:00"/>
    <x v="1"/>
    <x v="8"/>
    <x v="36"/>
    <x v="8"/>
    <x v="19"/>
    <x v="12"/>
    <x v="4"/>
    <n v="411585102"/>
  </r>
  <r>
    <d v="2025-09-09T00:00:00"/>
    <x v="1"/>
    <x v="8"/>
    <x v="36"/>
    <x v="8"/>
    <x v="24"/>
    <x v="18"/>
    <x v="1"/>
    <n v="3185040000"/>
  </r>
  <r>
    <d v="2025-09-10T00:00:00"/>
    <x v="1"/>
    <x v="8"/>
    <x v="36"/>
    <x v="9"/>
    <x v="3"/>
    <x v="3"/>
    <x v="1"/>
    <n v="10500000"/>
  </r>
  <r>
    <d v="2025-09-10T00:00:00"/>
    <x v="1"/>
    <x v="8"/>
    <x v="36"/>
    <x v="9"/>
    <x v="11"/>
    <x v="10"/>
    <x v="4"/>
    <n v="281975886"/>
  </r>
  <r>
    <d v="2025-09-10T00:00:00"/>
    <x v="1"/>
    <x v="8"/>
    <x v="36"/>
    <x v="9"/>
    <x v="12"/>
    <x v="11"/>
    <x v="1"/>
    <n v="21183110000"/>
  </r>
  <r>
    <d v="2025-09-10T00:00:00"/>
    <x v="1"/>
    <x v="8"/>
    <x v="36"/>
    <x v="9"/>
    <x v="5"/>
    <x v="5"/>
    <x v="3"/>
    <n v="3251404982"/>
  </r>
  <r>
    <d v="2025-09-10T00:00:00"/>
    <x v="1"/>
    <x v="8"/>
    <x v="36"/>
    <x v="9"/>
    <x v="27"/>
    <x v="19"/>
    <x v="0"/>
    <n v="8059176000"/>
  </r>
  <r>
    <d v="2025-09-10T00:00:00"/>
    <x v="1"/>
    <x v="8"/>
    <x v="36"/>
    <x v="9"/>
    <x v="15"/>
    <x v="14"/>
    <x v="4"/>
    <n v="16324310"/>
  </r>
  <r>
    <d v="2025-09-10T00:00:00"/>
    <x v="1"/>
    <x v="8"/>
    <x v="36"/>
    <x v="9"/>
    <x v="14"/>
    <x v="13"/>
    <x v="1"/>
    <n v="4427200000"/>
  </r>
  <r>
    <d v="2025-09-10T00:00:00"/>
    <x v="1"/>
    <x v="8"/>
    <x v="36"/>
    <x v="9"/>
    <x v="23"/>
    <x v="17"/>
    <x v="4"/>
    <n v="24836000"/>
  </r>
  <r>
    <d v="2025-09-10T00:00:00"/>
    <x v="1"/>
    <x v="8"/>
    <x v="36"/>
    <x v="9"/>
    <x v="28"/>
    <x v="17"/>
    <x v="4"/>
    <n v="350737000"/>
  </r>
  <r>
    <d v="2025-09-10T00:00:00"/>
    <x v="1"/>
    <x v="8"/>
    <x v="36"/>
    <x v="9"/>
    <x v="8"/>
    <x v="8"/>
    <x v="1"/>
    <n v="0"/>
  </r>
  <r>
    <d v="2025-09-10T00:00:00"/>
    <x v="1"/>
    <x v="8"/>
    <x v="36"/>
    <x v="9"/>
    <x v="26"/>
    <x v="16"/>
    <x v="1"/>
    <n v="28900000"/>
  </r>
  <r>
    <d v="2025-09-10T00:00:00"/>
    <x v="1"/>
    <x v="8"/>
    <x v="36"/>
    <x v="9"/>
    <x v="2"/>
    <x v="2"/>
    <x v="1"/>
    <n v="20043400000"/>
  </r>
  <r>
    <d v="2025-09-10T00:00:00"/>
    <x v="1"/>
    <x v="8"/>
    <x v="36"/>
    <x v="9"/>
    <x v="17"/>
    <x v="9"/>
    <x v="1"/>
    <n v="0"/>
  </r>
  <r>
    <d v="2025-09-10T00:00:00"/>
    <x v="1"/>
    <x v="8"/>
    <x v="36"/>
    <x v="9"/>
    <x v="20"/>
    <x v="9"/>
    <x v="1"/>
    <n v="0"/>
  </r>
  <r>
    <d v="2025-09-10T00:00:00"/>
    <x v="1"/>
    <x v="8"/>
    <x v="36"/>
    <x v="9"/>
    <x v="21"/>
    <x v="9"/>
    <x v="1"/>
    <n v="0"/>
  </r>
  <r>
    <d v="2025-09-10T00:00:00"/>
    <x v="1"/>
    <x v="8"/>
    <x v="36"/>
    <x v="9"/>
    <x v="25"/>
    <x v="2"/>
    <x v="1"/>
    <n v="0"/>
  </r>
  <r>
    <d v="2025-09-10T00:00:00"/>
    <x v="1"/>
    <x v="8"/>
    <x v="36"/>
    <x v="9"/>
    <x v="0"/>
    <x v="0"/>
    <x v="0"/>
    <n v="11740464000"/>
  </r>
  <r>
    <d v="2025-09-10T00:00:00"/>
    <x v="1"/>
    <x v="8"/>
    <x v="36"/>
    <x v="9"/>
    <x v="7"/>
    <x v="7"/>
    <x v="4"/>
    <n v="352481094"/>
  </r>
  <r>
    <d v="2025-09-10T00:00:00"/>
    <x v="1"/>
    <x v="8"/>
    <x v="36"/>
    <x v="9"/>
    <x v="1"/>
    <x v="1"/>
    <x v="1"/>
    <n v="0"/>
  </r>
  <r>
    <d v="2025-09-10T00:00:00"/>
    <x v="1"/>
    <x v="8"/>
    <x v="36"/>
    <x v="9"/>
    <x v="6"/>
    <x v="6"/>
    <x v="0"/>
    <n v="42000000"/>
  </r>
  <r>
    <d v="2025-09-10T00:00:00"/>
    <x v="1"/>
    <x v="8"/>
    <x v="36"/>
    <x v="9"/>
    <x v="18"/>
    <x v="15"/>
    <x v="1"/>
    <n v="879280000"/>
  </r>
  <r>
    <d v="2025-09-10T00:00:00"/>
    <x v="1"/>
    <x v="8"/>
    <x v="36"/>
    <x v="9"/>
    <x v="19"/>
    <x v="12"/>
    <x v="4"/>
    <n v="530106380"/>
  </r>
  <r>
    <d v="2025-09-10T00:00:00"/>
    <x v="1"/>
    <x v="8"/>
    <x v="36"/>
    <x v="9"/>
    <x v="24"/>
    <x v="18"/>
    <x v="1"/>
    <n v="3177730000"/>
  </r>
  <r>
    <d v="2025-09-11T00:00:00"/>
    <x v="1"/>
    <x v="8"/>
    <x v="36"/>
    <x v="10"/>
    <x v="3"/>
    <x v="3"/>
    <x v="1"/>
    <n v="0"/>
  </r>
  <r>
    <d v="2025-09-11T00:00:00"/>
    <x v="1"/>
    <x v="8"/>
    <x v="36"/>
    <x v="10"/>
    <x v="11"/>
    <x v="10"/>
    <x v="4"/>
    <n v="273632884"/>
  </r>
  <r>
    <d v="2025-09-11T00:00:00"/>
    <x v="1"/>
    <x v="8"/>
    <x v="36"/>
    <x v="10"/>
    <x v="12"/>
    <x v="11"/>
    <x v="1"/>
    <n v="18649630000"/>
  </r>
  <r>
    <d v="2025-09-11T00:00:00"/>
    <x v="1"/>
    <x v="8"/>
    <x v="36"/>
    <x v="10"/>
    <x v="5"/>
    <x v="5"/>
    <x v="3"/>
    <n v="2739869093"/>
  </r>
  <r>
    <d v="2025-09-11T00:00:00"/>
    <x v="1"/>
    <x v="8"/>
    <x v="36"/>
    <x v="10"/>
    <x v="27"/>
    <x v="19"/>
    <x v="0"/>
    <n v="7020432000"/>
  </r>
  <r>
    <d v="2025-09-11T00:00:00"/>
    <x v="1"/>
    <x v="8"/>
    <x v="36"/>
    <x v="10"/>
    <x v="15"/>
    <x v="14"/>
    <x v="4"/>
    <n v="18966131"/>
  </r>
  <r>
    <d v="2025-09-11T00:00:00"/>
    <x v="1"/>
    <x v="8"/>
    <x v="36"/>
    <x v="10"/>
    <x v="14"/>
    <x v="13"/>
    <x v="1"/>
    <n v="3593420000"/>
  </r>
  <r>
    <d v="2025-09-11T00:00:00"/>
    <x v="1"/>
    <x v="8"/>
    <x v="36"/>
    <x v="10"/>
    <x v="23"/>
    <x v="17"/>
    <x v="4"/>
    <n v="15168000"/>
  </r>
  <r>
    <d v="2025-09-11T00:00:00"/>
    <x v="1"/>
    <x v="8"/>
    <x v="36"/>
    <x v="10"/>
    <x v="28"/>
    <x v="17"/>
    <x v="4"/>
    <n v="298096150"/>
  </r>
  <r>
    <d v="2025-09-11T00:00:00"/>
    <x v="1"/>
    <x v="8"/>
    <x v="36"/>
    <x v="10"/>
    <x v="8"/>
    <x v="8"/>
    <x v="1"/>
    <n v="0"/>
  </r>
  <r>
    <d v="2025-09-11T00:00:00"/>
    <x v="1"/>
    <x v="8"/>
    <x v="36"/>
    <x v="10"/>
    <x v="26"/>
    <x v="16"/>
    <x v="1"/>
    <n v="81450000"/>
  </r>
  <r>
    <d v="2025-09-11T00:00:00"/>
    <x v="1"/>
    <x v="8"/>
    <x v="36"/>
    <x v="10"/>
    <x v="2"/>
    <x v="2"/>
    <x v="1"/>
    <n v="19586100000"/>
  </r>
  <r>
    <d v="2025-09-11T00:00:00"/>
    <x v="1"/>
    <x v="8"/>
    <x v="36"/>
    <x v="10"/>
    <x v="17"/>
    <x v="9"/>
    <x v="1"/>
    <n v="0"/>
  </r>
  <r>
    <d v="2025-09-11T00:00:00"/>
    <x v="1"/>
    <x v="8"/>
    <x v="36"/>
    <x v="10"/>
    <x v="20"/>
    <x v="9"/>
    <x v="1"/>
    <n v="0"/>
  </r>
  <r>
    <d v="2025-09-11T00:00:00"/>
    <x v="1"/>
    <x v="8"/>
    <x v="36"/>
    <x v="10"/>
    <x v="21"/>
    <x v="9"/>
    <x v="1"/>
    <n v="0"/>
  </r>
  <r>
    <d v="2025-09-11T00:00:00"/>
    <x v="1"/>
    <x v="8"/>
    <x v="36"/>
    <x v="10"/>
    <x v="25"/>
    <x v="2"/>
    <x v="1"/>
    <n v="16700000"/>
  </r>
  <r>
    <d v="2025-09-11T00:00:00"/>
    <x v="1"/>
    <x v="8"/>
    <x v="36"/>
    <x v="10"/>
    <x v="0"/>
    <x v="0"/>
    <x v="0"/>
    <n v="10569960000"/>
  </r>
  <r>
    <d v="2025-09-11T00:00:00"/>
    <x v="1"/>
    <x v="8"/>
    <x v="36"/>
    <x v="10"/>
    <x v="7"/>
    <x v="7"/>
    <x v="4"/>
    <n v="254261036"/>
  </r>
  <r>
    <d v="2025-09-11T00:00:00"/>
    <x v="1"/>
    <x v="8"/>
    <x v="36"/>
    <x v="10"/>
    <x v="1"/>
    <x v="1"/>
    <x v="1"/>
    <n v="83000000"/>
  </r>
  <r>
    <d v="2025-09-11T00:00:00"/>
    <x v="1"/>
    <x v="8"/>
    <x v="36"/>
    <x v="10"/>
    <x v="6"/>
    <x v="6"/>
    <x v="0"/>
    <n v="57000000"/>
  </r>
  <r>
    <d v="2025-09-11T00:00:00"/>
    <x v="1"/>
    <x v="8"/>
    <x v="36"/>
    <x v="10"/>
    <x v="18"/>
    <x v="15"/>
    <x v="1"/>
    <n v="836670000"/>
  </r>
  <r>
    <d v="2025-09-11T00:00:00"/>
    <x v="1"/>
    <x v="8"/>
    <x v="36"/>
    <x v="10"/>
    <x v="29"/>
    <x v="20"/>
    <x v="0"/>
    <n v="6480000"/>
  </r>
  <r>
    <d v="2025-09-11T00:00:00"/>
    <x v="1"/>
    <x v="8"/>
    <x v="36"/>
    <x v="10"/>
    <x v="19"/>
    <x v="12"/>
    <x v="4"/>
    <n v="408682853"/>
  </r>
  <r>
    <d v="2025-09-11T00:00:00"/>
    <x v="1"/>
    <x v="8"/>
    <x v="36"/>
    <x v="10"/>
    <x v="24"/>
    <x v="18"/>
    <x v="1"/>
    <n v="2705690000"/>
  </r>
  <r>
    <d v="2025-09-12T00:00:00"/>
    <x v="1"/>
    <x v="8"/>
    <x v="36"/>
    <x v="11"/>
    <x v="3"/>
    <x v="3"/>
    <x v="1"/>
    <n v="0"/>
  </r>
  <r>
    <d v="2025-09-12T00:00:00"/>
    <x v="1"/>
    <x v="8"/>
    <x v="36"/>
    <x v="11"/>
    <x v="11"/>
    <x v="10"/>
    <x v="4"/>
    <n v="220400583"/>
  </r>
  <r>
    <d v="2025-09-12T00:00:00"/>
    <x v="1"/>
    <x v="8"/>
    <x v="36"/>
    <x v="11"/>
    <x v="12"/>
    <x v="11"/>
    <x v="1"/>
    <n v="15207610000"/>
  </r>
  <r>
    <d v="2025-09-12T00:00:00"/>
    <x v="1"/>
    <x v="8"/>
    <x v="36"/>
    <x v="11"/>
    <x v="5"/>
    <x v="5"/>
    <x v="3"/>
    <n v="2698386806"/>
  </r>
  <r>
    <d v="2025-09-12T00:00:00"/>
    <x v="1"/>
    <x v="8"/>
    <x v="36"/>
    <x v="11"/>
    <x v="27"/>
    <x v="19"/>
    <x v="0"/>
    <n v="6878844000"/>
  </r>
  <r>
    <d v="2025-09-12T00:00:00"/>
    <x v="1"/>
    <x v="8"/>
    <x v="36"/>
    <x v="11"/>
    <x v="15"/>
    <x v="14"/>
    <x v="4"/>
    <n v="28448876"/>
  </r>
  <r>
    <d v="2025-09-12T00:00:00"/>
    <x v="1"/>
    <x v="8"/>
    <x v="36"/>
    <x v="11"/>
    <x v="14"/>
    <x v="13"/>
    <x v="1"/>
    <n v="4220860000"/>
  </r>
  <r>
    <d v="2025-09-12T00:00:00"/>
    <x v="1"/>
    <x v="8"/>
    <x v="36"/>
    <x v="11"/>
    <x v="23"/>
    <x v="17"/>
    <x v="4"/>
    <n v="18038000"/>
  </r>
  <r>
    <d v="2025-09-12T00:00:00"/>
    <x v="1"/>
    <x v="8"/>
    <x v="36"/>
    <x v="11"/>
    <x v="28"/>
    <x v="17"/>
    <x v="4"/>
    <n v="383484000"/>
  </r>
  <r>
    <d v="2025-09-12T00:00:00"/>
    <x v="1"/>
    <x v="8"/>
    <x v="36"/>
    <x v="11"/>
    <x v="8"/>
    <x v="8"/>
    <x v="1"/>
    <n v="0"/>
  </r>
  <r>
    <d v="2025-09-12T00:00:00"/>
    <x v="1"/>
    <x v="8"/>
    <x v="36"/>
    <x v="11"/>
    <x v="26"/>
    <x v="16"/>
    <x v="1"/>
    <n v="178500000"/>
  </r>
  <r>
    <d v="2025-09-12T00:00:00"/>
    <x v="1"/>
    <x v="8"/>
    <x v="36"/>
    <x v="11"/>
    <x v="2"/>
    <x v="2"/>
    <x v="1"/>
    <n v="15965090000"/>
  </r>
  <r>
    <d v="2025-09-12T00:00:00"/>
    <x v="1"/>
    <x v="8"/>
    <x v="36"/>
    <x v="11"/>
    <x v="17"/>
    <x v="9"/>
    <x v="1"/>
    <n v="0"/>
  </r>
  <r>
    <d v="2025-09-12T00:00:00"/>
    <x v="1"/>
    <x v="8"/>
    <x v="36"/>
    <x v="11"/>
    <x v="20"/>
    <x v="9"/>
    <x v="1"/>
    <n v="0"/>
  </r>
  <r>
    <d v="2025-09-12T00:00:00"/>
    <x v="1"/>
    <x v="8"/>
    <x v="36"/>
    <x v="11"/>
    <x v="21"/>
    <x v="9"/>
    <x v="1"/>
    <n v="0"/>
  </r>
  <r>
    <d v="2025-09-12T00:00:00"/>
    <x v="1"/>
    <x v="8"/>
    <x v="36"/>
    <x v="11"/>
    <x v="25"/>
    <x v="2"/>
    <x v="1"/>
    <n v="0"/>
  </r>
  <r>
    <d v="2025-09-12T00:00:00"/>
    <x v="1"/>
    <x v="8"/>
    <x v="36"/>
    <x v="11"/>
    <x v="0"/>
    <x v="0"/>
    <x v="0"/>
    <n v="9867096000"/>
  </r>
  <r>
    <d v="2025-09-12T00:00:00"/>
    <x v="1"/>
    <x v="8"/>
    <x v="36"/>
    <x v="11"/>
    <x v="7"/>
    <x v="7"/>
    <x v="4"/>
    <n v="259778314"/>
  </r>
  <r>
    <d v="2025-09-12T00:00:00"/>
    <x v="1"/>
    <x v="8"/>
    <x v="36"/>
    <x v="11"/>
    <x v="1"/>
    <x v="1"/>
    <x v="1"/>
    <n v="63000000"/>
  </r>
  <r>
    <d v="2025-09-12T00:00:00"/>
    <x v="1"/>
    <x v="8"/>
    <x v="36"/>
    <x v="11"/>
    <x v="6"/>
    <x v="6"/>
    <x v="0"/>
    <n v="49000000"/>
  </r>
  <r>
    <d v="2025-09-12T00:00:00"/>
    <x v="1"/>
    <x v="8"/>
    <x v="36"/>
    <x v="11"/>
    <x v="18"/>
    <x v="15"/>
    <x v="1"/>
    <n v="952030000"/>
  </r>
  <r>
    <d v="2025-09-12T00:00:00"/>
    <x v="1"/>
    <x v="8"/>
    <x v="36"/>
    <x v="11"/>
    <x v="29"/>
    <x v="20"/>
    <x v="0"/>
    <n v="9720000"/>
  </r>
  <r>
    <d v="2025-09-12T00:00:00"/>
    <x v="1"/>
    <x v="8"/>
    <x v="36"/>
    <x v="11"/>
    <x v="19"/>
    <x v="12"/>
    <x v="4"/>
    <n v="371886559"/>
  </r>
  <r>
    <d v="2025-09-12T00:00:00"/>
    <x v="1"/>
    <x v="8"/>
    <x v="36"/>
    <x v="11"/>
    <x v="24"/>
    <x v="18"/>
    <x v="1"/>
    <n v="2754130000"/>
  </r>
  <r>
    <d v="2025-09-13T00:00:00"/>
    <x v="1"/>
    <x v="8"/>
    <x v="36"/>
    <x v="12"/>
    <x v="3"/>
    <x v="3"/>
    <x v="1"/>
    <n v="0"/>
  </r>
  <r>
    <d v="2025-09-13T00:00:00"/>
    <x v="1"/>
    <x v="8"/>
    <x v="36"/>
    <x v="12"/>
    <x v="11"/>
    <x v="10"/>
    <x v="4"/>
    <n v="239686446"/>
  </r>
  <r>
    <d v="2025-09-13T00:00:00"/>
    <x v="1"/>
    <x v="8"/>
    <x v="36"/>
    <x v="12"/>
    <x v="12"/>
    <x v="11"/>
    <x v="1"/>
    <n v="15540590000"/>
  </r>
  <r>
    <d v="2025-09-13T00:00:00"/>
    <x v="1"/>
    <x v="8"/>
    <x v="36"/>
    <x v="12"/>
    <x v="5"/>
    <x v="5"/>
    <x v="3"/>
    <n v="2236905594"/>
  </r>
  <r>
    <d v="2025-09-13T00:00:00"/>
    <x v="1"/>
    <x v="8"/>
    <x v="36"/>
    <x v="12"/>
    <x v="27"/>
    <x v="19"/>
    <x v="0"/>
    <n v="6368328000"/>
  </r>
  <r>
    <d v="2025-09-13T00:00:00"/>
    <x v="1"/>
    <x v="8"/>
    <x v="36"/>
    <x v="12"/>
    <x v="15"/>
    <x v="14"/>
    <x v="4"/>
    <n v="12340165"/>
  </r>
  <r>
    <d v="2025-09-13T00:00:00"/>
    <x v="1"/>
    <x v="8"/>
    <x v="36"/>
    <x v="12"/>
    <x v="14"/>
    <x v="13"/>
    <x v="1"/>
    <n v="3722890000"/>
  </r>
  <r>
    <d v="2025-09-13T00:00:00"/>
    <x v="1"/>
    <x v="8"/>
    <x v="36"/>
    <x v="12"/>
    <x v="23"/>
    <x v="17"/>
    <x v="4"/>
    <n v="9790000"/>
  </r>
  <r>
    <d v="2025-09-13T00:00:00"/>
    <x v="1"/>
    <x v="8"/>
    <x v="36"/>
    <x v="12"/>
    <x v="28"/>
    <x v="17"/>
    <x v="4"/>
    <n v="368198500"/>
  </r>
  <r>
    <d v="2025-09-13T00:00:00"/>
    <x v="1"/>
    <x v="8"/>
    <x v="36"/>
    <x v="12"/>
    <x v="8"/>
    <x v="8"/>
    <x v="1"/>
    <n v="0"/>
  </r>
  <r>
    <d v="2025-09-13T00:00:00"/>
    <x v="1"/>
    <x v="8"/>
    <x v="36"/>
    <x v="12"/>
    <x v="26"/>
    <x v="16"/>
    <x v="1"/>
    <n v="110250000"/>
  </r>
  <r>
    <d v="2025-09-13T00:00:00"/>
    <x v="1"/>
    <x v="8"/>
    <x v="36"/>
    <x v="12"/>
    <x v="2"/>
    <x v="2"/>
    <x v="1"/>
    <n v="15612350000"/>
  </r>
  <r>
    <d v="2025-09-13T00:00:00"/>
    <x v="1"/>
    <x v="8"/>
    <x v="36"/>
    <x v="12"/>
    <x v="17"/>
    <x v="9"/>
    <x v="1"/>
    <n v="0"/>
  </r>
  <r>
    <d v="2025-09-13T00:00:00"/>
    <x v="1"/>
    <x v="8"/>
    <x v="36"/>
    <x v="12"/>
    <x v="20"/>
    <x v="9"/>
    <x v="1"/>
    <n v="0"/>
  </r>
  <r>
    <d v="2025-09-13T00:00:00"/>
    <x v="1"/>
    <x v="8"/>
    <x v="36"/>
    <x v="12"/>
    <x v="21"/>
    <x v="9"/>
    <x v="1"/>
    <n v="0"/>
  </r>
  <r>
    <d v="2025-09-13T00:00:00"/>
    <x v="1"/>
    <x v="8"/>
    <x v="36"/>
    <x v="12"/>
    <x v="25"/>
    <x v="2"/>
    <x v="1"/>
    <n v="0"/>
  </r>
  <r>
    <d v="2025-09-13T00:00:00"/>
    <x v="1"/>
    <x v="8"/>
    <x v="36"/>
    <x v="12"/>
    <x v="0"/>
    <x v="0"/>
    <x v="0"/>
    <n v="8947476000"/>
  </r>
  <r>
    <d v="2025-09-13T00:00:00"/>
    <x v="1"/>
    <x v="8"/>
    <x v="36"/>
    <x v="12"/>
    <x v="7"/>
    <x v="7"/>
    <x v="4"/>
    <n v="260955610"/>
  </r>
  <r>
    <d v="2025-09-13T00:00:00"/>
    <x v="1"/>
    <x v="8"/>
    <x v="36"/>
    <x v="12"/>
    <x v="1"/>
    <x v="1"/>
    <x v="1"/>
    <n v="10500000"/>
  </r>
  <r>
    <d v="2025-09-13T00:00:00"/>
    <x v="1"/>
    <x v="8"/>
    <x v="36"/>
    <x v="12"/>
    <x v="6"/>
    <x v="6"/>
    <x v="0"/>
    <n v="0"/>
  </r>
  <r>
    <d v="2025-09-13T00:00:00"/>
    <x v="1"/>
    <x v="8"/>
    <x v="36"/>
    <x v="12"/>
    <x v="18"/>
    <x v="15"/>
    <x v="1"/>
    <n v="635550000"/>
  </r>
  <r>
    <d v="2025-09-13T00:00:00"/>
    <x v="1"/>
    <x v="8"/>
    <x v="36"/>
    <x v="12"/>
    <x v="29"/>
    <x v="20"/>
    <x v="0"/>
    <n v="0"/>
  </r>
  <r>
    <d v="2025-09-13T00:00:00"/>
    <x v="1"/>
    <x v="8"/>
    <x v="36"/>
    <x v="12"/>
    <x v="19"/>
    <x v="12"/>
    <x v="4"/>
    <n v="313419094"/>
  </r>
  <r>
    <d v="2025-09-13T00:00:00"/>
    <x v="1"/>
    <x v="8"/>
    <x v="36"/>
    <x v="12"/>
    <x v="24"/>
    <x v="18"/>
    <x v="1"/>
    <n v="2016080000"/>
  </r>
  <r>
    <d v="2025-09-14T00:00:00"/>
    <x v="1"/>
    <x v="8"/>
    <x v="36"/>
    <x v="13"/>
    <x v="3"/>
    <x v="3"/>
    <x v="1"/>
    <n v="0"/>
  </r>
  <r>
    <d v="2025-09-14T00:00:00"/>
    <x v="1"/>
    <x v="8"/>
    <x v="36"/>
    <x v="13"/>
    <x v="11"/>
    <x v="10"/>
    <x v="4"/>
    <n v="219805621"/>
  </r>
  <r>
    <d v="2025-09-14T00:00:00"/>
    <x v="1"/>
    <x v="8"/>
    <x v="36"/>
    <x v="13"/>
    <x v="12"/>
    <x v="11"/>
    <x v="1"/>
    <n v="13353090000"/>
  </r>
  <r>
    <d v="2025-09-14T00:00:00"/>
    <x v="1"/>
    <x v="8"/>
    <x v="36"/>
    <x v="13"/>
    <x v="5"/>
    <x v="5"/>
    <x v="3"/>
    <n v="2342623577"/>
  </r>
  <r>
    <d v="2025-09-14T00:00:00"/>
    <x v="1"/>
    <x v="8"/>
    <x v="36"/>
    <x v="13"/>
    <x v="27"/>
    <x v="19"/>
    <x v="0"/>
    <n v="6439500000"/>
  </r>
  <r>
    <d v="2025-09-14T00:00:00"/>
    <x v="1"/>
    <x v="8"/>
    <x v="36"/>
    <x v="13"/>
    <x v="15"/>
    <x v="14"/>
    <x v="4"/>
    <n v="17030536"/>
  </r>
  <r>
    <d v="2025-09-14T00:00:00"/>
    <x v="1"/>
    <x v="8"/>
    <x v="36"/>
    <x v="13"/>
    <x v="14"/>
    <x v="13"/>
    <x v="1"/>
    <n v="4398280000"/>
  </r>
  <r>
    <d v="2025-09-14T00:00:00"/>
    <x v="1"/>
    <x v="8"/>
    <x v="36"/>
    <x v="13"/>
    <x v="23"/>
    <x v="17"/>
    <x v="4"/>
    <n v="25788000"/>
  </r>
  <r>
    <d v="2025-09-14T00:00:00"/>
    <x v="1"/>
    <x v="8"/>
    <x v="36"/>
    <x v="13"/>
    <x v="28"/>
    <x v="17"/>
    <x v="4"/>
    <n v="440610000"/>
  </r>
  <r>
    <d v="2025-09-14T00:00:00"/>
    <x v="1"/>
    <x v="8"/>
    <x v="36"/>
    <x v="13"/>
    <x v="8"/>
    <x v="8"/>
    <x v="1"/>
    <n v="0"/>
  </r>
  <r>
    <d v="2025-09-14T00:00:00"/>
    <x v="1"/>
    <x v="8"/>
    <x v="36"/>
    <x v="13"/>
    <x v="26"/>
    <x v="16"/>
    <x v="1"/>
    <n v="78750000"/>
  </r>
  <r>
    <d v="2025-09-14T00:00:00"/>
    <x v="1"/>
    <x v="8"/>
    <x v="36"/>
    <x v="13"/>
    <x v="2"/>
    <x v="2"/>
    <x v="1"/>
    <n v="16173830000"/>
  </r>
  <r>
    <d v="2025-09-14T00:00:00"/>
    <x v="1"/>
    <x v="8"/>
    <x v="36"/>
    <x v="13"/>
    <x v="17"/>
    <x v="9"/>
    <x v="1"/>
    <n v="0"/>
  </r>
  <r>
    <d v="2025-09-14T00:00:00"/>
    <x v="1"/>
    <x v="8"/>
    <x v="36"/>
    <x v="13"/>
    <x v="20"/>
    <x v="9"/>
    <x v="1"/>
    <n v="0"/>
  </r>
  <r>
    <d v="2025-09-14T00:00:00"/>
    <x v="1"/>
    <x v="8"/>
    <x v="36"/>
    <x v="13"/>
    <x v="21"/>
    <x v="9"/>
    <x v="1"/>
    <n v="0"/>
  </r>
  <r>
    <d v="2025-09-14T00:00:00"/>
    <x v="1"/>
    <x v="8"/>
    <x v="36"/>
    <x v="13"/>
    <x v="25"/>
    <x v="2"/>
    <x v="1"/>
    <n v="0"/>
  </r>
  <r>
    <d v="2025-09-14T00:00:00"/>
    <x v="1"/>
    <x v="8"/>
    <x v="36"/>
    <x v="13"/>
    <x v="0"/>
    <x v="0"/>
    <x v="0"/>
    <n v="9027180000"/>
  </r>
  <r>
    <d v="2025-09-14T00:00:00"/>
    <x v="1"/>
    <x v="8"/>
    <x v="36"/>
    <x v="13"/>
    <x v="7"/>
    <x v="7"/>
    <x v="4"/>
    <n v="274513091"/>
  </r>
  <r>
    <d v="2025-09-14T00:00:00"/>
    <x v="1"/>
    <x v="8"/>
    <x v="36"/>
    <x v="13"/>
    <x v="1"/>
    <x v="1"/>
    <x v="1"/>
    <n v="10000000"/>
  </r>
  <r>
    <d v="2025-09-14T00:00:00"/>
    <x v="1"/>
    <x v="8"/>
    <x v="36"/>
    <x v="13"/>
    <x v="6"/>
    <x v="6"/>
    <x v="0"/>
    <n v="34000000"/>
  </r>
  <r>
    <d v="2025-09-14T00:00:00"/>
    <x v="1"/>
    <x v="8"/>
    <x v="36"/>
    <x v="13"/>
    <x v="18"/>
    <x v="15"/>
    <x v="1"/>
    <n v="561790000"/>
  </r>
  <r>
    <d v="2025-09-14T00:00:00"/>
    <x v="1"/>
    <x v="8"/>
    <x v="36"/>
    <x v="13"/>
    <x v="29"/>
    <x v="20"/>
    <x v="0"/>
    <n v="0"/>
  </r>
  <r>
    <d v="2025-09-14T00:00:00"/>
    <x v="1"/>
    <x v="8"/>
    <x v="36"/>
    <x v="13"/>
    <x v="19"/>
    <x v="12"/>
    <x v="4"/>
    <n v="330817276"/>
  </r>
  <r>
    <d v="2025-09-14T00:00:00"/>
    <x v="1"/>
    <x v="8"/>
    <x v="36"/>
    <x v="13"/>
    <x v="24"/>
    <x v="18"/>
    <x v="1"/>
    <n v="2064840000"/>
  </r>
  <r>
    <d v="2025-09-15T00:00:00"/>
    <x v="1"/>
    <x v="8"/>
    <x v="37"/>
    <x v="14"/>
    <x v="3"/>
    <x v="3"/>
    <x v="1"/>
    <n v="0"/>
  </r>
  <r>
    <d v="2025-09-15T00:00:00"/>
    <x v="1"/>
    <x v="8"/>
    <x v="37"/>
    <x v="14"/>
    <x v="11"/>
    <x v="10"/>
    <x v="4"/>
    <n v="249614833"/>
  </r>
  <r>
    <d v="2025-09-15T00:00:00"/>
    <x v="1"/>
    <x v="8"/>
    <x v="37"/>
    <x v="14"/>
    <x v="12"/>
    <x v="11"/>
    <x v="1"/>
    <n v="17202190000"/>
  </r>
  <r>
    <d v="2025-09-15T00:00:00"/>
    <x v="1"/>
    <x v="8"/>
    <x v="37"/>
    <x v="14"/>
    <x v="5"/>
    <x v="5"/>
    <x v="3"/>
    <n v="3081162507"/>
  </r>
  <r>
    <d v="2025-09-15T00:00:00"/>
    <x v="1"/>
    <x v="8"/>
    <x v="37"/>
    <x v="14"/>
    <x v="27"/>
    <x v="19"/>
    <x v="0"/>
    <n v="8291052000"/>
  </r>
  <r>
    <d v="2025-09-15T00:00:00"/>
    <x v="1"/>
    <x v="8"/>
    <x v="37"/>
    <x v="14"/>
    <x v="15"/>
    <x v="14"/>
    <x v="4"/>
    <n v="30926552"/>
  </r>
  <r>
    <d v="2025-09-15T00:00:00"/>
    <x v="1"/>
    <x v="8"/>
    <x v="37"/>
    <x v="14"/>
    <x v="14"/>
    <x v="13"/>
    <x v="1"/>
    <n v="4798880000"/>
  </r>
  <r>
    <d v="2025-09-15T00:00:00"/>
    <x v="1"/>
    <x v="8"/>
    <x v="37"/>
    <x v="14"/>
    <x v="23"/>
    <x v="17"/>
    <x v="4"/>
    <n v="15542000"/>
  </r>
  <r>
    <d v="2025-09-15T00:00:00"/>
    <x v="1"/>
    <x v="8"/>
    <x v="37"/>
    <x v="14"/>
    <x v="28"/>
    <x v="17"/>
    <x v="4"/>
    <n v="288632000"/>
  </r>
  <r>
    <d v="2025-09-15T00:00:00"/>
    <x v="1"/>
    <x v="8"/>
    <x v="37"/>
    <x v="14"/>
    <x v="8"/>
    <x v="8"/>
    <x v="1"/>
    <n v="0"/>
  </r>
  <r>
    <d v="2025-09-15T00:00:00"/>
    <x v="1"/>
    <x v="8"/>
    <x v="37"/>
    <x v="14"/>
    <x v="26"/>
    <x v="16"/>
    <x v="1"/>
    <n v="84000000"/>
  </r>
  <r>
    <d v="2025-09-15T00:00:00"/>
    <x v="1"/>
    <x v="8"/>
    <x v="37"/>
    <x v="14"/>
    <x v="2"/>
    <x v="2"/>
    <x v="1"/>
    <n v="19777860000"/>
  </r>
  <r>
    <d v="2025-09-15T00:00:00"/>
    <x v="1"/>
    <x v="8"/>
    <x v="37"/>
    <x v="14"/>
    <x v="17"/>
    <x v="9"/>
    <x v="1"/>
    <n v="0"/>
  </r>
  <r>
    <d v="2025-09-15T00:00:00"/>
    <x v="1"/>
    <x v="8"/>
    <x v="37"/>
    <x v="14"/>
    <x v="20"/>
    <x v="9"/>
    <x v="1"/>
    <n v="0"/>
  </r>
  <r>
    <d v="2025-09-15T00:00:00"/>
    <x v="1"/>
    <x v="8"/>
    <x v="37"/>
    <x v="14"/>
    <x v="21"/>
    <x v="9"/>
    <x v="1"/>
    <n v="0"/>
  </r>
  <r>
    <d v="2025-09-15T00:00:00"/>
    <x v="1"/>
    <x v="8"/>
    <x v="37"/>
    <x v="14"/>
    <x v="25"/>
    <x v="2"/>
    <x v="1"/>
    <n v="0"/>
  </r>
  <r>
    <d v="2025-09-15T00:00:00"/>
    <x v="1"/>
    <x v="8"/>
    <x v="37"/>
    <x v="14"/>
    <x v="0"/>
    <x v="0"/>
    <x v="0"/>
    <n v="11043756000"/>
  </r>
  <r>
    <d v="2025-09-15T00:00:00"/>
    <x v="1"/>
    <x v="8"/>
    <x v="37"/>
    <x v="14"/>
    <x v="7"/>
    <x v="7"/>
    <x v="4"/>
    <n v="247534593"/>
  </r>
  <r>
    <d v="2025-09-15T00:00:00"/>
    <x v="1"/>
    <x v="8"/>
    <x v="37"/>
    <x v="14"/>
    <x v="1"/>
    <x v="1"/>
    <x v="1"/>
    <n v="31500000"/>
  </r>
  <r>
    <d v="2025-09-15T00:00:00"/>
    <x v="1"/>
    <x v="8"/>
    <x v="37"/>
    <x v="14"/>
    <x v="6"/>
    <x v="6"/>
    <x v="0"/>
    <n v="32000000"/>
  </r>
  <r>
    <d v="2025-09-15T00:00:00"/>
    <x v="1"/>
    <x v="8"/>
    <x v="37"/>
    <x v="14"/>
    <x v="18"/>
    <x v="15"/>
    <x v="1"/>
    <n v="851430000"/>
  </r>
  <r>
    <d v="2025-09-15T00:00:00"/>
    <x v="1"/>
    <x v="8"/>
    <x v="37"/>
    <x v="14"/>
    <x v="29"/>
    <x v="20"/>
    <x v="0"/>
    <n v="0"/>
  </r>
  <r>
    <d v="2025-09-15T00:00:00"/>
    <x v="1"/>
    <x v="8"/>
    <x v="37"/>
    <x v="14"/>
    <x v="19"/>
    <x v="12"/>
    <x v="4"/>
    <n v="328188946"/>
  </r>
  <r>
    <d v="2025-09-15T00:00:00"/>
    <x v="1"/>
    <x v="8"/>
    <x v="37"/>
    <x v="14"/>
    <x v="24"/>
    <x v="18"/>
    <x v="1"/>
    <n v="2741230000"/>
  </r>
  <r>
    <d v="2025-09-16T00:00:00"/>
    <x v="1"/>
    <x v="8"/>
    <x v="37"/>
    <x v="15"/>
    <x v="3"/>
    <x v="3"/>
    <x v="1"/>
    <n v="21000000"/>
  </r>
  <r>
    <d v="2025-09-16T00:00:00"/>
    <x v="1"/>
    <x v="8"/>
    <x v="37"/>
    <x v="15"/>
    <x v="11"/>
    <x v="10"/>
    <x v="4"/>
    <n v="191545830"/>
  </r>
  <r>
    <d v="2025-09-16T00:00:00"/>
    <x v="1"/>
    <x v="8"/>
    <x v="37"/>
    <x v="15"/>
    <x v="12"/>
    <x v="11"/>
    <x v="1"/>
    <n v="16348740000"/>
  </r>
  <r>
    <d v="2025-09-16T00:00:00"/>
    <x v="1"/>
    <x v="8"/>
    <x v="37"/>
    <x v="15"/>
    <x v="5"/>
    <x v="5"/>
    <x v="3"/>
    <n v="2838285293"/>
  </r>
  <r>
    <d v="2025-09-16T00:00:00"/>
    <x v="1"/>
    <x v="8"/>
    <x v="37"/>
    <x v="15"/>
    <x v="27"/>
    <x v="19"/>
    <x v="0"/>
    <n v="7494120000"/>
  </r>
  <r>
    <d v="2025-09-16T00:00:00"/>
    <x v="1"/>
    <x v="8"/>
    <x v="37"/>
    <x v="15"/>
    <x v="15"/>
    <x v="14"/>
    <x v="4"/>
    <n v="21212451"/>
  </r>
  <r>
    <d v="2025-09-16T00:00:00"/>
    <x v="1"/>
    <x v="8"/>
    <x v="37"/>
    <x v="15"/>
    <x v="14"/>
    <x v="13"/>
    <x v="1"/>
    <n v="3972180000"/>
  </r>
  <r>
    <d v="2025-09-16T00:00:00"/>
    <x v="1"/>
    <x v="8"/>
    <x v="37"/>
    <x v="15"/>
    <x v="23"/>
    <x v="17"/>
    <x v="4"/>
    <n v="11908000"/>
  </r>
  <r>
    <d v="2025-09-16T00:00:00"/>
    <x v="1"/>
    <x v="8"/>
    <x v="37"/>
    <x v="15"/>
    <x v="28"/>
    <x v="17"/>
    <x v="4"/>
    <n v="353240000"/>
  </r>
  <r>
    <d v="2025-09-16T00:00:00"/>
    <x v="1"/>
    <x v="8"/>
    <x v="37"/>
    <x v="15"/>
    <x v="8"/>
    <x v="8"/>
    <x v="1"/>
    <n v="0"/>
  </r>
  <r>
    <d v="2025-09-16T00:00:00"/>
    <x v="1"/>
    <x v="8"/>
    <x v="37"/>
    <x v="15"/>
    <x v="26"/>
    <x v="16"/>
    <x v="1"/>
    <n v="144500000"/>
  </r>
  <r>
    <d v="2025-09-16T00:00:00"/>
    <x v="1"/>
    <x v="8"/>
    <x v="37"/>
    <x v="15"/>
    <x v="2"/>
    <x v="2"/>
    <x v="1"/>
    <n v="17955450000"/>
  </r>
  <r>
    <d v="2025-09-16T00:00:00"/>
    <x v="1"/>
    <x v="8"/>
    <x v="37"/>
    <x v="15"/>
    <x v="17"/>
    <x v="9"/>
    <x v="1"/>
    <n v="0"/>
  </r>
  <r>
    <d v="2025-09-16T00:00:00"/>
    <x v="1"/>
    <x v="8"/>
    <x v="37"/>
    <x v="15"/>
    <x v="20"/>
    <x v="9"/>
    <x v="1"/>
    <n v="0"/>
  </r>
  <r>
    <d v="2025-09-16T00:00:00"/>
    <x v="1"/>
    <x v="8"/>
    <x v="37"/>
    <x v="15"/>
    <x v="21"/>
    <x v="9"/>
    <x v="1"/>
    <n v="0"/>
  </r>
  <r>
    <d v="2025-09-16T00:00:00"/>
    <x v="1"/>
    <x v="8"/>
    <x v="37"/>
    <x v="15"/>
    <x v="25"/>
    <x v="2"/>
    <x v="1"/>
    <n v="0"/>
  </r>
  <r>
    <d v="2025-09-16T00:00:00"/>
    <x v="1"/>
    <x v="8"/>
    <x v="37"/>
    <x v="15"/>
    <x v="0"/>
    <x v="0"/>
    <x v="0"/>
    <n v="9841824000"/>
  </r>
  <r>
    <d v="2025-09-16T00:00:00"/>
    <x v="1"/>
    <x v="8"/>
    <x v="37"/>
    <x v="15"/>
    <x v="7"/>
    <x v="7"/>
    <x v="4"/>
    <n v="219595886"/>
  </r>
  <r>
    <d v="2025-09-16T00:00:00"/>
    <x v="1"/>
    <x v="8"/>
    <x v="37"/>
    <x v="15"/>
    <x v="1"/>
    <x v="1"/>
    <x v="1"/>
    <n v="21000000"/>
  </r>
  <r>
    <d v="2025-09-16T00:00:00"/>
    <x v="1"/>
    <x v="8"/>
    <x v="37"/>
    <x v="15"/>
    <x v="6"/>
    <x v="6"/>
    <x v="0"/>
    <n v="19000000"/>
  </r>
  <r>
    <d v="2025-09-16T00:00:00"/>
    <x v="1"/>
    <x v="8"/>
    <x v="37"/>
    <x v="15"/>
    <x v="18"/>
    <x v="15"/>
    <x v="1"/>
    <n v="1238160000"/>
  </r>
  <r>
    <d v="2025-09-16T00:00:00"/>
    <x v="1"/>
    <x v="8"/>
    <x v="37"/>
    <x v="15"/>
    <x v="29"/>
    <x v="20"/>
    <x v="0"/>
    <n v="0"/>
  </r>
  <r>
    <d v="2025-09-16T00:00:00"/>
    <x v="1"/>
    <x v="8"/>
    <x v="37"/>
    <x v="15"/>
    <x v="19"/>
    <x v="12"/>
    <x v="4"/>
    <n v="306118713"/>
  </r>
  <r>
    <d v="2025-09-16T00:00:00"/>
    <x v="1"/>
    <x v="8"/>
    <x v="37"/>
    <x v="15"/>
    <x v="24"/>
    <x v="18"/>
    <x v="1"/>
    <n v="2613340000"/>
  </r>
  <r>
    <d v="2025-09-17T00:00:00"/>
    <x v="1"/>
    <x v="8"/>
    <x v="37"/>
    <x v="16"/>
    <x v="3"/>
    <x v="3"/>
    <x v="1"/>
    <n v="0"/>
  </r>
  <r>
    <d v="2025-09-17T00:00:00"/>
    <x v="1"/>
    <x v="8"/>
    <x v="37"/>
    <x v="16"/>
    <x v="11"/>
    <x v="10"/>
    <x v="4"/>
    <n v="197345881"/>
  </r>
  <r>
    <d v="2025-09-17T00:00:00"/>
    <x v="1"/>
    <x v="8"/>
    <x v="37"/>
    <x v="16"/>
    <x v="12"/>
    <x v="11"/>
    <x v="1"/>
    <n v="16401320000"/>
  </r>
  <r>
    <d v="2025-09-17T00:00:00"/>
    <x v="1"/>
    <x v="8"/>
    <x v="37"/>
    <x v="16"/>
    <x v="5"/>
    <x v="5"/>
    <x v="3"/>
    <n v="2603693473"/>
  </r>
  <r>
    <d v="2025-09-17T00:00:00"/>
    <x v="1"/>
    <x v="8"/>
    <x v="37"/>
    <x v="16"/>
    <x v="27"/>
    <x v="19"/>
    <x v="0"/>
    <n v="7918344000"/>
  </r>
  <r>
    <d v="2025-09-17T00:00:00"/>
    <x v="1"/>
    <x v="8"/>
    <x v="37"/>
    <x v="16"/>
    <x v="15"/>
    <x v="14"/>
    <x v="4"/>
    <n v="3740250"/>
  </r>
  <r>
    <d v="2025-09-17T00:00:00"/>
    <x v="1"/>
    <x v="8"/>
    <x v="37"/>
    <x v="16"/>
    <x v="14"/>
    <x v="13"/>
    <x v="1"/>
    <n v="3223620000"/>
  </r>
  <r>
    <d v="2025-09-17T00:00:00"/>
    <x v="1"/>
    <x v="8"/>
    <x v="37"/>
    <x v="16"/>
    <x v="23"/>
    <x v="17"/>
    <x v="4"/>
    <n v="17647000"/>
  </r>
  <r>
    <d v="2025-09-17T00:00:00"/>
    <x v="1"/>
    <x v="8"/>
    <x v="37"/>
    <x v="16"/>
    <x v="28"/>
    <x v="17"/>
    <x v="4"/>
    <n v="413718575"/>
  </r>
  <r>
    <d v="2025-09-17T00:00:00"/>
    <x v="1"/>
    <x v="8"/>
    <x v="37"/>
    <x v="16"/>
    <x v="8"/>
    <x v="8"/>
    <x v="1"/>
    <n v="0"/>
  </r>
  <r>
    <d v="2025-09-17T00:00:00"/>
    <x v="1"/>
    <x v="8"/>
    <x v="37"/>
    <x v="16"/>
    <x v="26"/>
    <x v="16"/>
    <x v="1"/>
    <n v="167250000"/>
  </r>
  <r>
    <d v="2025-09-17T00:00:00"/>
    <x v="1"/>
    <x v="8"/>
    <x v="37"/>
    <x v="16"/>
    <x v="2"/>
    <x v="2"/>
    <x v="1"/>
    <n v="17549340000"/>
  </r>
  <r>
    <d v="2025-09-17T00:00:00"/>
    <x v="1"/>
    <x v="8"/>
    <x v="37"/>
    <x v="16"/>
    <x v="17"/>
    <x v="9"/>
    <x v="1"/>
    <n v="0"/>
  </r>
  <r>
    <d v="2025-09-17T00:00:00"/>
    <x v="1"/>
    <x v="8"/>
    <x v="37"/>
    <x v="16"/>
    <x v="20"/>
    <x v="9"/>
    <x v="1"/>
    <n v="0"/>
  </r>
  <r>
    <d v="2025-09-17T00:00:00"/>
    <x v="1"/>
    <x v="8"/>
    <x v="37"/>
    <x v="16"/>
    <x v="21"/>
    <x v="9"/>
    <x v="1"/>
    <n v="0"/>
  </r>
  <r>
    <d v="2025-09-17T00:00:00"/>
    <x v="1"/>
    <x v="8"/>
    <x v="37"/>
    <x v="16"/>
    <x v="25"/>
    <x v="2"/>
    <x v="1"/>
    <n v="0"/>
  </r>
  <r>
    <d v="2025-09-17T00:00:00"/>
    <x v="1"/>
    <x v="8"/>
    <x v="37"/>
    <x v="16"/>
    <x v="0"/>
    <x v="0"/>
    <x v="0"/>
    <n v="9293400000"/>
  </r>
  <r>
    <d v="2025-09-17T00:00:00"/>
    <x v="1"/>
    <x v="8"/>
    <x v="37"/>
    <x v="16"/>
    <x v="7"/>
    <x v="7"/>
    <x v="4"/>
    <n v="167702866"/>
  </r>
  <r>
    <d v="2025-09-17T00:00:00"/>
    <x v="1"/>
    <x v="8"/>
    <x v="37"/>
    <x v="16"/>
    <x v="1"/>
    <x v="1"/>
    <x v="1"/>
    <n v="21000000"/>
  </r>
  <r>
    <d v="2025-09-17T00:00:00"/>
    <x v="1"/>
    <x v="8"/>
    <x v="37"/>
    <x v="16"/>
    <x v="6"/>
    <x v="6"/>
    <x v="0"/>
    <n v="32000000"/>
  </r>
  <r>
    <d v="2025-09-17T00:00:00"/>
    <x v="1"/>
    <x v="8"/>
    <x v="37"/>
    <x v="16"/>
    <x v="18"/>
    <x v="15"/>
    <x v="1"/>
    <n v="1046770000"/>
  </r>
  <r>
    <d v="2025-09-17T00:00:00"/>
    <x v="1"/>
    <x v="8"/>
    <x v="37"/>
    <x v="16"/>
    <x v="29"/>
    <x v="20"/>
    <x v="0"/>
    <n v="3240000"/>
  </r>
  <r>
    <d v="2025-09-17T00:00:00"/>
    <x v="1"/>
    <x v="8"/>
    <x v="37"/>
    <x v="16"/>
    <x v="19"/>
    <x v="12"/>
    <x v="4"/>
    <n v="269874348"/>
  </r>
  <r>
    <d v="2025-09-17T00:00:00"/>
    <x v="1"/>
    <x v="8"/>
    <x v="37"/>
    <x v="16"/>
    <x v="24"/>
    <x v="18"/>
    <x v="1"/>
    <n v="2069200000"/>
  </r>
  <r>
    <d v="2025-09-18T00:00:00"/>
    <x v="1"/>
    <x v="8"/>
    <x v="37"/>
    <x v="17"/>
    <x v="3"/>
    <x v="3"/>
    <x v="1"/>
    <n v="0"/>
  </r>
  <r>
    <d v="2025-09-18T00:00:00"/>
    <x v="1"/>
    <x v="8"/>
    <x v="37"/>
    <x v="17"/>
    <x v="11"/>
    <x v="10"/>
    <x v="4"/>
    <n v="237179920"/>
  </r>
  <r>
    <d v="2025-09-18T00:00:00"/>
    <x v="1"/>
    <x v="8"/>
    <x v="37"/>
    <x v="17"/>
    <x v="12"/>
    <x v="11"/>
    <x v="1"/>
    <n v="16592680000"/>
  </r>
  <r>
    <d v="2025-09-18T00:00:00"/>
    <x v="1"/>
    <x v="8"/>
    <x v="37"/>
    <x v="17"/>
    <x v="5"/>
    <x v="5"/>
    <x v="3"/>
    <n v="2561413310"/>
  </r>
  <r>
    <d v="2025-09-18T00:00:00"/>
    <x v="1"/>
    <x v="8"/>
    <x v="37"/>
    <x v="17"/>
    <x v="27"/>
    <x v="19"/>
    <x v="0"/>
    <n v="7552872000"/>
  </r>
  <r>
    <d v="2025-09-18T00:00:00"/>
    <x v="1"/>
    <x v="8"/>
    <x v="37"/>
    <x v="17"/>
    <x v="15"/>
    <x v="14"/>
    <x v="4"/>
    <n v="9782771"/>
  </r>
  <r>
    <d v="2025-09-18T00:00:00"/>
    <x v="1"/>
    <x v="8"/>
    <x v="37"/>
    <x v="17"/>
    <x v="14"/>
    <x v="13"/>
    <x v="1"/>
    <n v="3004720000"/>
  </r>
  <r>
    <d v="2025-09-18T00:00:00"/>
    <x v="1"/>
    <x v="8"/>
    <x v="37"/>
    <x v="17"/>
    <x v="23"/>
    <x v="17"/>
    <x v="4"/>
    <n v="19539000"/>
  </r>
  <r>
    <d v="2025-09-18T00:00:00"/>
    <x v="1"/>
    <x v="8"/>
    <x v="37"/>
    <x v="17"/>
    <x v="28"/>
    <x v="17"/>
    <x v="4"/>
    <n v="317193000"/>
  </r>
  <r>
    <d v="2025-09-18T00:00:00"/>
    <x v="1"/>
    <x v="8"/>
    <x v="37"/>
    <x v="17"/>
    <x v="8"/>
    <x v="8"/>
    <x v="1"/>
    <n v="0"/>
  </r>
  <r>
    <d v="2025-09-18T00:00:00"/>
    <x v="1"/>
    <x v="8"/>
    <x v="37"/>
    <x v="17"/>
    <x v="26"/>
    <x v="16"/>
    <x v="1"/>
    <n v="78000000"/>
  </r>
  <r>
    <d v="2025-09-18T00:00:00"/>
    <x v="1"/>
    <x v="8"/>
    <x v="37"/>
    <x v="17"/>
    <x v="2"/>
    <x v="2"/>
    <x v="1"/>
    <n v="16535470000"/>
  </r>
  <r>
    <d v="2025-09-18T00:00:00"/>
    <x v="1"/>
    <x v="8"/>
    <x v="37"/>
    <x v="17"/>
    <x v="17"/>
    <x v="9"/>
    <x v="1"/>
    <n v="0"/>
  </r>
  <r>
    <d v="2025-09-18T00:00:00"/>
    <x v="1"/>
    <x v="8"/>
    <x v="37"/>
    <x v="17"/>
    <x v="20"/>
    <x v="9"/>
    <x v="1"/>
    <n v="0"/>
  </r>
  <r>
    <d v="2025-09-18T00:00:00"/>
    <x v="1"/>
    <x v="8"/>
    <x v="37"/>
    <x v="17"/>
    <x v="21"/>
    <x v="9"/>
    <x v="1"/>
    <n v="0"/>
  </r>
  <r>
    <d v="2025-09-18T00:00:00"/>
    <x v="1"/>
    <x v="8"/>
    <x v="37"/>
    <x v="17"/>
    <x v="25"/>
    <x v="2"/>
    <x v="1"/>
    <n v="0"/>
  </r>
  <r>
    <d v="2025-09-18T00:00:00"/>
    <x v="1"/>
    <x v="8"/>
    <x v="37"/>
    <x v="17"/>
    <x v="0"/>
    <x v="0"/>
    <x v="0"/>
    <n v="9430128000"/>
  </r>
  <r>
    <d v="2025-09-18T00:00:00"/>
    <x v="1"/>
    <x v="8"/>
    <x v="37"/>
    <x v="17"/>
    <x v="7"/>
    <x v="7"/>
    <x v="4"/>
    <n v="170136405"/>
  </r>
  <r>
    <d v="2025-09-18T00:00:00"/>
    <x v="1"/>
    <x v="8"/>
    <x v="37"/>
    <x v="17"/>
    <x v="1"/>
    <x v="1"/>
    <x v="1"/>
    <n v="0"/>
  </r>
  <r>
    <d v="2025-09-18T00:00:00"/>
    <x v="1"/>
    <x v="8"/>
    <x v="37"/>
    <x v="17"/>
    <x v="6"/>
    <x v="6"/>
    <x v="0"/>
    <n v="18000000"/>
  </r>
  <r>
    <d v="2025-09-18T00:00:00"/>
    <x v="1"/>
    <x v="8"/>
    <x v="37"/>
    <x v="17"/>
    <x v="18"/>
    <x v="15"/>
    <x v="1"/>
    <n v="841710000"/>
  </r>
  <r>
    <d v="2025-09-18T00:00:00"/>
    <x v="1"/>
    <x v="8"/>
    <x v="37"/>
    <x v="17"/>
    <x v="29"/>
    <x v="20"/>
    <x v="0"/>
    <n v="0"/>
  </r>
  <r>
    <d v="2025-09-18T00:00:00"/>
    <x v="1"/>
    <x v="8"/>
    <x v="37"/>
    <x v="17"/>
    <x v="19"/>
    <x v="12"/>
    <x v="4"/>
    <n v="281357184"/>
  </r>
  <r>
    <d v="2025-09-18T00:00:00"/>
    <x v="1"/>
    <x v="8"/>
    <x v="37"/>
    <x v="17"/>
    <x v="24"/>
    <x v="18"/>
    <x v="1"/>
    <n v="2152310000"/>
  </r>
  <r>
    <d v="2025-09-19T00:00:00"/>
    <x v="1"/>
    <x v="8"/>
    <x v="37"/>
    <x v="18"/>
    <x v="3"/>
    <x v="3"/>
    <x v="1"/>
    <n v="0"/>
  </r>
  <r>
    <d v="2025-09-19T00:00:00"/>
    <x v="1"/>
    <x v="8"/>
    <x v="37"/>
    <x v="18"/>
    <x v="11"/>
    <x v="10"/>
    <x v="4"/>
    <n v="208849457"/>
  </r>
  <r>
    <d v="2025-09-19T00:00:00"/>
    <x v="1"/>
    <x v="8"/>
    <x v="37"/>
    <x v="18"/>
    <x v="12"/>
    <x v="11"/>
    <x v="1"/>
    <n v="15707010000"/>
  </r>
  <r>
    <d v="2025-09-19T00:00:00"/>
    <x v="1"/>
    <x v="8"/>
    <x v="37"/>
    <x v="18"/>
    <x v="5"/>
    <x v="5"/>
    <x v="3"/>
    <n v="2744565142"/>
  </r>
  <r>
    <d v="2025-09-19T00:00:00"/>
    <x v="1"/>
    <x v="8"/>
    <x v="37"/>
    <x v="18"/>
    <x v="27"/>
    <x v="19"/>
    <x v="0"/>
    <n v="7456968000"/>
  </r>
  <r>
    <d v="2025-09-19T00:00:00"/>
    <x v="1"/>
    <x v="8"/>
    <x v="37"/>
    <x v="18"/>
    <x v="15"/>
    <x v="14"/>
    <x v="4"/>
    <n v="8087886"/>
  </r>
  <r>
    <d v="2025-09-19T00:00:00"/>
    <x v="1"/>
    <x v="8"/>
    <x v="37"/>
    <x v="18"/>
    <x v="14"/>
    <x v="13"/>
    <x v="1"/>
    <n v="3975570000"/>
  </r>
  <r>
    <d v="2025-09-19T00:00:00"/>
    <x v="1"/>
    <x v="8"/>
    <x v="37"/>
    <x v="18"/>
    <x v="23"/>
    <x v="17"/>
    <x v="4"/>
    <n v="32461000"/>
  </r>
  <r>
    <d v="2025-09-19T00:00:00"/>
    <x v="1"/>
    <x v="8"/>
    <x v="37"/>
    <x v="18"/>
    <x v="28"/>
    <x v="17"/>
    <x v="4"/>
    <n v="515400000"/>
  </r>
  <r>
    <d v="2025-09-19T00:00:00"/>
    <x v="1"/>
    <x v="8"/>
    <x v="37"/>
    <x v="18"/>
    <x v="8"/>
    <x v="8"/>
    <x v="1"/>
    <n v="0"/>
  </r>
  <r>
    <d v="2025-09-19T00:00:00"/>
    <x v="1"/>
    <x v="8"/>
    <x v="37"/>
    <x v="18"/>
    <x v="26"/>
    <x v="16"/>
    <x v="1"/>
    <n v="121250000"/>
  </r>
  <r>
    <d v="2025-09-19T00:00:00"/>
    <x v="1"/>
    <x v="8"/>
    <x v="37"/>
    <x v="18"/>
    <x v="2"/>
    <x v="2"/>
    <x v="1"/>
    <n v="15013820000"/>
  </r>
  <r>
    <d v="2025-09-19T00:00:00"/>
    <x v="1"/>
    <x v="8"/>
    <x v="37"/>
    <x v="18"/>
    <x v="17"/>
    <x v="9"/>
    <x v="1"/>
    <n v="0"/>
  </r>
  <r>
    <d v="2025-09-19T00:00:00"/>
    <x v="1"/>
    <x v="8"/>
    <x v="37"/>
    <x v="18"/>
    <x v="20"/>
    <x v="9"/>
    <x v="1"/>
    <n v="0"/>
  </r>
  <r>
    <d v="2025-09-19T00:00:00"/>
    <x v="1"/>
    <x v="8"/>
    <x v="37"/>
    <x v="18"/>
    <x v="21"/>
    <x v="9"/>
    <x v="1"/>
    <n v="0"/>
  </r>
  <r>
    <d v="2025-09-19T00:00:00"/>
    <x v="1"/>
    <x v="8"/>
    <x v="37"/>
    <x v="18"/>
    <x v="25"/>
    <x v="2"/>
    <x v="1"/>
    <n v="0"/>
  </r>
  <r>
    <d v="2025-09-19T00:00:00"/>
    <x v="1"/>
    <x v="8"/>
    <x v="37"/>
    <x v="18"/>
    <x v="0"/>
    <x v="0"/>
    <x v="0"/>
    <n v="9548388000"/>
  </r>
  <r>
    <d v="2025-09-19T00:00:00"/>
    <x v="1"/>
    <x v="8"/>
    <x v="37"/>
    <x v="18"/>
    <x v="7"/>
    <x v="7"/>
    <x v="4"/>
    <n v="166864876"/>
  </r>
  <r>
    <d v="2025-09-19T00:00:00"/>
    <x v="1"/>
    <x v="8"/>
    <x v="37"/>
    <x v="18"/>
    <x v="1"/>
    <x v="1"/>
    <x v="1"/>
    <n v="0"/>
  </r>
  <r>
    <d v="2025-09-19T00:00:00"/>
    <x v="1"/>
    <x v="8"/>
    <x v="37"/>
    <x v="18"/>
    <x v="6"/>
    <x v="6"/>
    <x v="0"/>
    <n v="38000000"/>
  </r>
  <r>
    <d v="2025-09-19T00:00:00"/>
    <x v="1"/>
    <x v="8"/>
    <x v="37"/>
    <x v="18"/>
    <x v="18"/>
    <x v="15"/>
    <x v="1"/>
    <n v="955480000"/>
  </r>
  <r>
    <d v="2025-09-19T00:00:00"/>
    <x v="1"/>
    <x v="8"/>
    <x v="37"/>
    <x v="18"/>
    <x v="29"/>
    <x v="20"/>
    <x v="0"/>
    <n v="0"/>
  </r>
  <r>
    <d v="2025-09-19T00:00:00"/>
    <x v="1"/>
    <x v="8"/>
    <x v="37"/>
    <x v="18"/>
    <x v="19"/>
    <x v="12"/>
    <x v="4"/>
    <n v="340570542"/>
  </r>
  <r>
    <d v="2025-09-19T00:00:00"/>
    <x v="1"/>
    <x v="8"/>
    <x v="37"/>
    <x v="18"/>
    <x v="24"/>
    <x v="18"/>
    <x v="1"/>
    <n v="3018290000"/>
  </r>
  <r>
    <d v="2025-09-20T00:00:00"/>
    <x v="1"/>
    <x v="8"/>
    <x v="37"/>
    <x v="19"/>
    <x v="3"/>
    <x v="3"/>
    <x v="1"/>
    <n v="0"/>
  </r>
  <r>
    <d v="2025-09-20T00:00:00"/>
    <x v="1"/>
    <x v="8"/>
    <x v="37"/>
    <x v="19"/>
    <x v="11"/>
    <x v="10"/>
    <x v="4"/>
    <n v="225179220"/>
  </r>
  <r>
    <d v="2025-09-20T00:00:00"/>
    <x v="1"/>
    <x v="8"/>
    <x v="37"/>
    <x v="19"/>
    <x v="12"/>
    <x v="11"/>
    <x v="1"/>
    <n v="15053370000"/>
  </r>
  <r>
    <d v="2025-09-20T00:00:00"/>
    <x v="1"/>
    <x v="8"/>
    <x v="37"/>
    <x v="19"/>
    <x v="5"/>
    <x v="5"/>
    <x v="3"/>
    <n v="2499449576"/>
  </r>
  <r>
    <d v="2025-09-20T00:00:00"/>
    <x v="1"/>
    <x v="8"/>
    <x v="37"/>
    <x v="19"/>
    <x v="27"/>
    <x v="19"/>
    <x v="0"/>
    <n v="6960168000"/>
  </r>
  <r>
    <d v="2025-09-20T00:00:00"/>
    <x v="1"/>
    <x v="8"/>
    <x v="37"/>
    <x v="19"/>
    <x v="15"/>
    <x v="14"/>
    <x v="4"/>
    <n v="13550238"/>
  </r>
  <r>
    <d v="2025-09-20T00:00:00"/>
    <x v="1"/>
    <x v="8"/>
    <x v="37"/>
    <x v="19"/>
    <x v="14"/>
    <x v="13"/>
    <x v="1"/>
    <n v="3515300000"/>
  </r>
  <r>
    <d v="2025-09-20T00:00:00"/>
    <x v="1"/>
    <x v="8"/>
    <x v="37"/>
    <x v="19"/>
    <x v="23"/>
    <x v="17"/>
    <x v="4"/>
    <n v="62992850"/>
  </r>
  <r>
    <d v="2025-09-20T00:00:00"/>
    <x v="1"/>
    <x v="8"/>
    <x v="37"/>
    <x v="19"/>
    <x v="28"/>
    <x v="17"/>
    <x v="4"/>
    <n v="389591000"/>
  </r>
  <r>
    <d v="2025-09-20T00:00:00"/>
    <x v="1"/>
    <x v="8"/>
    <x v="37"/>
    <x v="19"/>
    <x v="8"/>
    <x v="8"/>
    <x v="1"/>
    <n v="0"/>
  </r>
  <r>
    <d v="2025-09-20T00:00:00"/>
    <x v="1"/>
    <x v="8"/>
    <x v="37"/>
    <x v="19"/>
    <x v="26"/>
    <x v="16"/>
    <x v="1"/>
    <n v="0"/>
  </r>
  <r>
    <d v="2025-09-20T00:00:00"/>
    <x v="1"/>
    <x v="8"/>
    <x v="37"/>
    <x v="19"/>
    <x v="2"/>
    <x v="2"/>
    <x v="1"/>
    <n v="15148980000"/>
  </r>
  <r>
    <d v="2025-09-20T00:00:00"/>
    <x v="1"/>
    <x v="8"/>
    <x v="37"/>
    <x v="19"/>
    <x v="17"/>
    <x v="9"/>
    <x v="1"/>
    <n v="0"/>
  </r>
  <r>
    <d v="2025-09-20T00:00:00"/>
    <x v="1"/>
    <x v="8"/>
    <x v="37"/>
    <x v="19"/>
    <x v="20"/>
    <x v="9"/>
    <x v="1"/>
    <n v="0"/>
  </r>
  <r>
    <d v="2025-09-20T00:00:00"/>
    <x v="1"/>
    <x v="8"/>
    <x v="37"/>
    <x v="19"/>
    <x v="21"/>
    <x v="9"/>
    <x v="1"/>
    <n v="0"/>
  </r>
  <r>
    <d v="2025-09-20T00:00:00"/>
    <x v="1"/>
    <x v="8"/>
    <x v="37"/>
    <x v="19"/>
    <x v="25"/>
    <x v="2"/>
    <x v="1"/>
    <n v="7000000"/>
  </r>
  <r>
    <d v="2025-09-20T00:00:00"/>
    <x v="1"/>
    <x v="8"/>
    <x v="37"/>
    <x v="19"/>
    <x v="0"/>
    <x v="0"/>
    <x v="0"/>
    <n v="9736848000"/>
  </r>
  <r>
    <d v="2025-09-20T00:00:00"/>
    <x v="1"/>
    <x v="8"/>
    <x v="37"/>
    <x v="19"/>
    <x v="7"/>
    <x v="7"/>
    <x v="4"/>
    <n v="171937601"/>
  </r>
  <r>
    <d v="2025-09-20T00:00:00"/>
    <x v="1"/>
    <x v="8"/>
    <x v="37"/>
    <x v="19"/>
    <x v="1"/>
    <x v="1"/>
    <x v="1"/>
    <n v="21000000"/>
  </r>
  <r>
    <d v="2025-09-20T00:00:00"/>
    <x v="1"/>
    <x v="8"/>
    <x v="37"/>
    <x v="19"/>
    <x v="6"/>
    <x v="6"/>
    <x v="0"/>
    <n v="38000000"/>
  </r>
  <r>
    <d v="2025-09-20T00:00:00"/>
    <x v="1"/>
    <x v="8"/>
    <x v="37"/>
    <x v="19"/>
    <x v="18"/>
    <x v="15"/>
    <x v="1"/>
    <n v="883800000"/>
  </r>
  <r>
    <d v="2025-09-20T00:00:00"/>
    <x v="1"/>
    <x v="8"/>
    <x v="37"/>
    <x v="19"/>
    <x v="29"/>
    <x v="20"/>
    <x v="0"/>
    <n v="0"/>
  </r>
  <r>
    <d v="2025-09-20T00:00:00"/>
    <x v="1"/>
    <x v="8"/>
    <x v="37"/>
    <x v="19"/>
    <x v="19"/>
    <x v="12"/>
    <x v="4"/>
    <n v="258382219"/>
  </r>
  <r>
    <d v="2025-09-20T00:00:00"/>
    <x v="1"/>
    <x v="8"/>
    <x v="37"/>
    <x v="19"/>
    <x v="24"/>
    <x v="18"/>
    <x v="1"/>
    <n v="2038840000"/>
  </r>
  <r>
    <d v="2025-09-21T00:00:00"/>
    <x v="1"/>
    <x v="8"/>
    <x v="37"/>
    <x v="20"/>
    <x v="3"/>
    <x v="3"/>
    <x v="1"/>
    <n v="0"/>
  </r>
  <r>
    <d v="2025-09-21T00:00:00"/>
    <x v="1"/>
    <x v="8"/>
    <x v="37"/>
    <x v="20"/>
    <x v="11"/>
    <x v="10"/>
    <x v="4"/>
    <n v="189470911"/>
  </r>
  <r>
    <d v="2025-09-21T00:00:00"/>
    <x v="1"/>
    <x v="8"/>
    <x v="37"/>
    <x v="20"/>
    <x v="12"/>
    <x v="11"/>
    <x v="1"/>
    <n v="12908210000"/>
  </r>
  <r>
    <d v="2025-09-21T00:00:00"/>
    <x v="1"/>
    <x v="8"/>
    <x v="37"/>
    <x v="20"/>
    <x v="5"/>
    <x v="5"/>
    <x v="3"/>
    <n v="2147317200"/>
  </r>
  <r>
    <d v="2025-09-21T00:00:00"/>
    <x v="1"/>
    <x v="8"/>
    <x v="37"/>
    <x v="20"/>
    <x v="27"/>
    <x v="19"/>
    <x v="0"/>
    <n v="6600636000"/>
  </r>
  <r>
    <d v="2025-09-21T00:00:00"/>
    <x v="1"/>
    <x v="8"/>
    <x v="37"/>
    <x v="20"/>
    <x v="15"/>
    <x v="14"/>
    <x v="4"/>
    <n v="15726277"/>
  </r>
  <r>
    <d v="2025-09-21T00:00:00"/>
    <x v="1"/>
    <x v="8"/>
    <x v="37"/>
    <x v="20"/>
    <x v="14"/>
    <x v="13"/>
    <x v="1"/>
    <n v="3845160000"/>
  </r>
  <r>
    <d v="2025-09-21T00:00:00"/>
    <x v="1"/>
    <x v="8"/>
    <x v="37"/>
    <x v="20"/>
    <x v="23"/>
    <x v="17"/>
    <x v="4"/>
    <n v="133195000"/>
  </r>
  <r>
    <d v="2025-09-21T00:00:00"/>
    <x v="1"/>
    <x v="8"/>
    <x v="37"/>
    <x v="20"/>
    <x v="28"/>
    <x v="17"/>
    <x v="4"/>
    <n v="406720800"/>
  </r>
  <r>
    <d v="2025-09-21T00:00:00"/>
    <x v="1"/>
    <x v="8"/>
    <x v="37"/>
    <x v="20"/>
    <x v="8"/>
    <x v="8"/>
    <x v="1"/>
    <n v="0"/>
  </r>
  <r>
    <d v="2025-09-21T00:00:00"/>
    <x v="1"/>
    <x v="8"/>
    <x v="37"/>
    <x v="20"/>
    <x v="26"/>
    <x v="16"/>
    <x v="1"/>
    <n v="21000000"/>
  </r>
  <r>
    <d v="2025-09-21T00:00:00"/>
    <x v="1"/>
    <x v="8"/>
    <x v="37"/>
    <x v="20"/>
    <x v="2"/>
    <x v="2"/>
    <x v="1"/>
    <n v="14362830000"/>
  </r>
  <r>
    <d v="2025-09-21T00:00:00"/>
    <x v="1"/>
    <x v="8"/>
    <x v="37"/>
    <x v="20"/>
    <x v="17"/>
    <x v="9"/>
    <x v="1"/>
    <n v="0"/>
  </r>
  <r>
    <d v="2025-09-21T00:00:00"/>
    <x v="1"/>
    <x v="8"/>
    <x v="37"/>
    <x v="20"/>
    <x v="20"/>
    <x v="9"/>
    <x v="1"/>
    <n v="0"/>
  </r>
  <r>
    <d v="2025-09-21T00:00:00"/>
    <x v="1"/>
    <x v="8"/>
    <x v="37"/>
    <x v="20"/>
    <x v="21"/>
    <x v="9"/>
    <x v="1"/>
    <n v="0"/>
  </r>
  <r>
    <d v="2025-09-21T00:00:00"/>
    <x v="1"/>
    <x v="8"/>
    <x v="37"/>
    <x v="20"/>
    <x v="25"/>
    <x v="2"/>
    <x v="1"/>
    <n v="0"/>
  </r>
  <r>
    <d v="2025-09-21T00:00:00"/>
    <x v="1"/>
    <x v="8"/>
    <x v="37"/>
    <x v="20"/>
    <x v="0"/>
    <x v="0"/>
    <x v="0"/>
    <n v="9102888000"/>
  </r>
  <r>
    <d v="2025-09-21T00:00:00"/>
    <x v="1"/>
    <x v="8"/>
    <x v="37"/>
    <x v="20"/>
    <x v="7"/>
    <x v="7"/>
    <x v="4"/>
    <n v="214207393"/>
  </r>
  <r>
    <d v="2025-09-21T00:00:00"/>
    <x v="1"/>
    <x v="8"/>
    <x v="37"/>
    <x v="20"/>
    <x v="1"/>
    <x v="1"/>
    <x v="1"/>
    <n v="31500000"/>
  </r>
  <r>
    <d v="2025-09-21T00:00:00"/>
    <x v="1"/>
    <x v="8"/>
    <x v="37"/>
    <x v="20"/>
    <x v="6"/>
    <x v="6"/>
    <x v="0"/>
    <n v="53000000"/>
  </r>
  <r>
    <d v="2025-09-21T00:00:00"/>
    <x v="1"/>
    <x v="8"/>
    <x v="37"/>
    <x v="20"/>
    <x v="18"/>
    <x v="15"/>
    <x v="1"/>
    <n v="569990000"/>
  </r>
  <r>
    <d v="2025-09-21T00:00:00"/>
    <x v="1"/>
    <x v="8"/>
    <x v="37"/>
    <x v="20"/>
    <x v="29"/>
    <x v="20"/>
    <x v="0"/>
    <n v="0"/>
  </r>
  <r>
    <d v="2025-09-21T00:00:00"/>
    <x v="1"/>
    <x v="8"/>
    <x v="37"/>
    <x v="20"/>
    <x v="19"/>
    <x v="12"/>
    <x v="4"/>
    <n v="389806551"/>
  </r>
  <r>
    <d v="2025-09-21T00:00:00"/>
    <x v="1"/>
    <x v="8"/>
    <x v="37"/>
    <x v="20"/>
    <x v="24"/>
    <x v="18"/>
    <x v="1"/>
    <n v="2135730000"/>
  </r>
  <r>
    <d v="2025-09-22T00:00:00"/>
    <x v="1"/>
    <x v="8"/>
    <x v="38"/>
    <x v="21"/>
    <x v="3"/>
    <x v="3"/>
    <x v="1"/>
    <n v="0"/>
  </r>
  <r>
    <d v="2025-09-22T00:00:00"/>
    <x v="1"/>
    <x v="8"/>
    <x v="38"/>
    <x v="21"/>
    <x v="11"/>
    <x v="10"/>
    <x v="4"/>
    <n v="213842168"/>
  </r>
  <r>
    <d v="2025-09-22T00:00:00"/>
    <x v="1"/>
    <x v="8"/>
    <x v="38"/>
    <x v="21"/>
    <x v="12"/>
    <x v="11"/>
    <x v="1"/>
    <n v="16989730000"/>
  </r>
  <r>
    <d v="2025-09-22T00:00:00"/>
    <x v="1"/>
    <x v="8"/>
    <x v="38"/>
    <x v="21"/>
    <x v="5"/>
    <x v="5"/>
    <x v="3"/>
    <n v="2719257827"/>
  </r>
  <r>
    <d v="2025-09-22T00:00:00"/>
    <x v="1"/>
    <x v="8"/>
    <x v="38"/>
    <x v="21"/>
    <x v="27"/>
    <x v="19"/>
    <x v="0"/>
    <n v="7318620000"/>
  </r>
  <r>
    <d v="2025-09-22T00:00:00"/>
    <x v="1"/>
    <x v="8"/>
    <x v="38"/>
    <x v="21"/>
    <x v="15"/>
    <x v="14"/>
    <x v="4"/>
    <n v="18862756"/>
  </r>
  <r>
    <d v="2025-09-22T00:00:00"/>
    <x v="1"/>
    <x v="8"/>
    <x v="38"/>
    <x v="21"/>
    <x v="14"/>
    <x v="13"/>
    <x v="1"/>
    <n v="2896440000"/>
  </r>
  <r>
    <d v="2025-09-22T00:00:00"/>
    <x v="1"/>
    <x v="8"/>
    <x v="38"/>
    <x v="21"/>
    <x v="23"/>
    <x v="17"/>
    <x v="4"/>
    <n v="52726000"/>
  </r>
  <r>
    <d v="2025-09-22T00:00:00"/>
    <x v="1"/>
    <x v="8"/>
    <x v="38"/>
    <x v="21"/>
    <x v="28"/>
    <x v="17"/>
    <x v="4"/>
    <n v="255663000"/>
  </r>
  <r>
    <d v="2025-09-22T00:00:00"/>
    <x v="1"/>
    <x v="8"/>
    <x v="38"/>
    <x v="21"/>
    <x v="8"/>
    <x v="8"/>
    <x v="1"/>
    <n v="0"/>
  </r>
  <r>
    <d v="2025-09-22T00:00:00"/>
    <x v="1"/>
    <x v="8"/>
    <x v="38"/>
    <x v="21"/>
    <x v="26"/>
    <x v="16"/>
    <x v="1"/>
    <n v="179000000"/>
  </r>
  <r>
    <d v="2025-09-22T00:00:00"/>
    <x v="1"/>
    <x v="8"/>
    <x v="38"/>
    <x v="21"/>
    <x v="2"/>
    <x v="2"/>
    <x v="1"/>
    <n v="15302390000"/>
  </r>
  <r>
    <d v="2025-09-22T00:00:00"/>
    <x v="1"/>
    <x v="8"/>
    <x v="38"/>
    <x v="21"/>
    <x v="17"/>
    <x v="9"/>
    <x v="1"/>
    <n v="0"/>
  </r>
  <r>
    <d v="2025-09-22T00:00:00"/>
    <x v="1"/>
    <x v="8"/>
    <x v="38"/>
    <x v="21"/>
    <x v="20"/>
    <x v="9"/>
    <x v="1"/>
    <n v="0"/>
  </r>
  <r>
    <d v="2025-09-22T00:00:00"/>
    <x v="1"/>
    <x v="8"/>
    <x v="38"/>
    <x v="21"/>
    <x v="21"/>
    <x v="9"/>
    <x v="1"/>
    <n v="0"/>
  </r>
  <r>
    <d v="2025-09-22T00:00:00"/>
    <x v="1"/>
    <x v="8"/>
    <x v="38"/>
    <x v="21"/>
    <x v="25"/>
    <x v="2"/>
    <x v="1"/>
    <n v="0"/>
  </r>
  <r>
    <d v="2025-09-22T00:00:00"/>
    <x v="1"/>
    <x v="8"/>
    <x v="38"/>
    <x v="21"/>
    <x v="0"/>
    <x v="0"/>
    <x v="0"/>
    <n v="9357984000"/>
  </r>
  <r>
    <d v="2025-09-22T00:00:00"/>
    <x v="1"/>
    <x v="8"/>
    <x v="38"/>
    <x v="21"/>
    <x v="7"/>
    <x v="7"/>
    <x v="4"/>
    <n v="191266315"/>
  </r>
  <r>
    <d v="2025-09-22T00:00:00"/>
    <x v="1"/>
    <x v="8"/>
    <x v="38"/>
    <x v="21"/>
    <x v="1"/>
    <x v="1"/>
    <x v="1"/>
    <n v="10500000"/>
  </r>
  <r>
    <d v="2025-09-22T00:00:00"/>
    <x v="1"/>
    <x v="8"/>
    <x v="38"/>
    <x v="21"/>
    <x v="6"/>
    <x v="6"/>
    <x v="0"/>
    <n v="47000000"/>
  </r>
  <r>
    <d v="2025-09-22T00:00:00"/>
    <x v="1"/>
    <x v="8"/>
    <x v="38"/>
    <x v="21"/>
    <x v="18"/>
    <x v="15"/>
    <x v="1"/>
    <n v="712300000"/>
  </r>
  <r>
    <d v="2025-09-22T00:00:00"/>
    <x v="1"/>
    <x v="8"/>
    <x v="38"/>
    <x v="21"/>
    <x v="29"/>
    <x v="20"/>
    <x v="0"/>
    <n v="0"/>
  </r>
  <r>
    <d v="2025-09-22T00:00:00"/>
    <x v="1"/>
    <x v="8"/>
    <x v="38"/>
    <x v="21"/>
    <x v="19"/>
    <x v="12"/>
    <x v="4"/>
    <n v="393669018"/>
  </r>
  <r>
    <d v="2025-09-22T00:00:00"/>
    <x v="1"/>
    <x v="8"/>
    <x v="38"/>
    <x v="21"/>
    <x v="24"/>
    <x v="18"/>
    <x v="1"/>
    <n v="2941960000"/>
  </r>
  <r>
    <d v="2025-09-23T00:00:00"/>
    <x v="1"/>
    <x v="8"/>
    <x v="38"/>
    <x v="22"/>
    <x v="3"/>
    <x v="3"/>
    <x v="1"/>
    <n v="10500000"/>
  </r>
  <r>
    <d v="2025-09-23T00:00:00"/>
    <x v="1"/>
    <x v="8"/>
    <x v="38"/>
    <x v="22"/>
    <x v="11"/>
    <x v="10"/>
    <x v="4"/>
    <n v="213618555"/>
  </r>
  <r>
    <d v="2025-09-23T00:00:00"/>
    <x v="1"/>
    <x v="8"/>
    <x v="38"/>
    <x v="22"/>
    <x v="12"/>
    <x v="11"/>
    <x v="1"/>
    <n v="16967530000"/>
  </r>
  <r>
    <d v="2025-09-23T00:00:00"/>
    <x v="1"/>
    <x v="8"/>
    <x v="38"/>
    <x v="22"/>
    <x v="5"/>
    <x v="5"/>
    <x v="3"/>
    <n v="2615531913"/>
  </r>
  <r>
    <d v="2025-09-23T00:00:00"/>
    <x v="1"/>
    <x v="8"/>
    <x v="38"/>
    <x v="22"/>
    <x v="27"/>
    <x v="19"/>
    <x v="0"/>
    <n v="7445304000"/>
  </r>
  <r>
    <d v="2025-09-23T00:00:00"/>
    <x v="1"/>
    <x v="8"/>
    <x v="38"/>
    <x v="22"/>
    <x v="15"/>
    <x v="14"/>
    <x v="4"/>
    <n v="14172417"/>
  </r>
  <r>
    <d v="2025-09-23T00:00:00"/>
    <x v="1"/>
    <x v="8"/>
    <x v="38"/>
    <x v="22"/>
    <x v="14"/>
    <x v="13"/>
    <x v="1"/>
    <n v="3103000000"/>
  </r>
  <r>
    <d v="2025-09-23T00:00:00"/>
    <x v="1"/>
    <x v="8"/>
    <x v="38"/>
    <x v="22"/>
    <x v="23"/>
    <x v="17"/>
    <x v="4"/>
    <n v="370000"/>
  </r>
  <r>
    <d v="2025-09-23T00:00:00"/>
    <x v="1"/>
    <x v="8"/>
    <x v="38"/>
    <x v="22"/>
    <x v="28"/>
    <x v="17"/>
    <x v="4"/>
    <n v="390700000"/>
  </r>
  <r>
    <d v="2025-09-23T00:00:00"/>
    <x v="1"/>
    <x v="8"/>
    <x v="38"/>
    <x v="22"/>
    <x v="8"/>
    <x v="8"/>
    <x v="1"/>
    <n v="0"/>
  </r>
  <r>
    <d v="2025-09-23T00:00:00"/>
    <x v="1"/>
    <x v="8"/>
    <x v="38"/>
    <x v="22"/>
    <x v="26"/>
    <x v="16"/>
    <x v="1"/>
    <n v="124950000"/>
  </r>
  <r>
    <d v="2025-09-23T00:00:00"/>
    <x v="1"/>
    <x v="8"/>
    <x v="38"/>
    <x v="22"/>
    <x v="2"/>
    <x v="2"/>
    <x v="1"/>
    <n v="15773520000"/>
  </r>
  <r>
    <d v="2025-09-23T00:00:00"/>
    <x v="1"/>
    <x v="8"/>
    <x v="38"/>
    <x v="22"/>
    <x v="17"/>
    <x v="9"/>
    <x v="1"/>
    <n v="0"/>
  </r>
  <r>
    <d v="2025-09-23T00:00:00"/>
    <x v="1"/>
    <x v="8"/>
    <x v="38"/>
    <x v="22"/>
    <x v="20"/>
    <x v="9"/>
    <x v="1"/>
    <n v="0"/>
  </r>
  <r>
    <d v="2025-09-23T00:00:00"/>
    <x v="1"/>
    <x v="8"/>
    <x v="38"/>
    <x v="22"/>
    <x v="21"/>
    <x v="9"/>
    <x v="1"/>
    <n v="0"/>
  </r>
  <r>
    <d v="2025-09-23T00:00:00"/>
    <x v="1"/>
    <x v="8"/>
    <x v="38"/>
    <x v="22"/>
    <x v="25"/>
    <x v="2"/>
    <x v="1"/>
    <n v="0"/>
  </r>
  <r>
    <d v="2025-09-23T00:00:00"/>
    <x v="1"/>
    <x v="8"/>
    <x v="38"/>
    <x v="22"/>
    <x v="0"/>
    <x v="0"/>
    <x v="0"/>
    <n v="9145656000"/>
  </r>
  <r>
    <d v="2025-09-23T00:00:00"/>
    <x v="1"/>
    <x v="8"/>
    <x v="38"/>
    <x v="22"/>
    <x v="7"/>
    <x v="7"/>
    <x v="4"/>
    <n v="170271467"/>
  </r>
  <r>
    <d v="2025-09-23T00:00:00"/>
    <x v="1"/>
    <x v="8"/>
    <x v="38"/>
    <x v="22"/>
    <x v="1"/>
    <x v="1"/>
    <x v="1"/>
    <n v="71500000"/>
  </r>
  <r>
    <d v="2025-09-23T00:00:00"/>
    <x v="1"/>
    <x v="8"/>
    <x v="38"/>
    <x v="22"/>
    <x v="6"/>
    <x v="6"/>
    <x v="0"/>
    <n v="35000000"/>
  </r>
  <r>
    <d v="2025-09-23T00:00:00"/>
    <x v="1"/>
    <x v="8"/>
    <x v="38"/>
    <x v="22"/>
    <x v="18"/>
    <x v="15"/>
    <x v="1"/>
    <n v="882190000"/>
  </r>
  <r>
    <d v="2025-09-23T00:00:00"/>
    <x v="1"/>
    <x v="8"/>
    <x v="38"/>
    <x v="22"/>
    <x v="29"/>
    <x v="20"/>
    <x v="0"/>
    <n v="3240000"/>
  </r>
  <r>
    <d v="2025-09-23T00:00:00"/>
    <x v="1"/>
    <x v="8"/>
    <x v="38"/>
    <x v="22"/>
    <x v="19"/>
    <x v="12"/>
    <x v="4"/>
    <n v="384294493"/>
  </r>
  <r>
    <d v="2025-09-23T00:00:00"/>
    <x v="1"/>
    <x v="8"/>
    <x v="38"/>
    <x v="22"/>
    <x v="24"/>
    <x v="18"/>
    <x v="1"/>
    <n v="2689980000"/>
  </r>
  <r>
    <d v="2025-09-24T00:00:00"/>
    <x v="1"/>
    <x v="8"/>
    <x v="38"/>
    <x v="23"/>
    <x v="3"/>
    <x v="3"/>
    <x v="1"/>
    <n v="0"/>
  </r>
  <r>
    <d v="2025-09-24T00:00:00"/>
    <x v="1"/>
    <x v="8"/>
    <x v="38"/>
    <x v="23"/>
    <x v="11"/>
    <x v="10"/>
    <x v="4"/>
    <n v="195117847"/>
  </r>
  <r>
    <d v="2025-09-24T00:00:00"/>
    <x v="1"/>
    <x v="8"/>
    <x v="38"/>
    <x v="23"/>
    <x v="12"/>
    <x v="11"/>
    <x v="1"/>
    <n v="17138260000"/>
  </r>
  <r>
    <d v="2025-09-24T00:00:00"/>
    <x v="1"/>
    <x v="8"/>
    <x v="38"/>
    <x v="23"/>
    <x v="5"/>
    <x v="5"/>
    <x v="3"/>
    <n v="2412603186"/>
  </r>
  <r>
    <d v="2025-09-24T00:00:00"/>
    <x v="1"/>
    <x v="8"/>
    <x v="38"/>
    <x v="23"/>
    <x v="27"/>
    <x v="19"/>
    <x v="0"/>
    <n v="7060500000"/>
  </r>
  <r>
    <d v="2025-09-24T00:00:00"/>
    <x v="1"/>
    <x v="8"/>
    <x v="38"/>
    <x v="23"/>
    <x v="15"/>
    <x v="14"/>
    <x v="4"/>
    <n v="21129863"/>
  </r>
  <r>
    <d v="2025-09-24T00:00:00"/>
    <x v="1"/>
    <x v="8"/>
    <x v="38"/>
    <x v="23"/>
    <x v="14"/>
    <x v="13"/>
    <x v="1"/>
    <n v="3515000000"/>
  </r>
  <r>
    <d v="2025-09-24T00:00:00"/>
    <x v="1"/>
    <x v="8"/>
    <x v="38"/>
    <x v="23"/>
    <x v="23"/>
    <x v="17"/>
    <x v="4"/>
    <n v="39326000"/>
  </r>
  <r>
    <d v="2025-09-24T00:00:00"/>
    <x v="1"/>
    <x v="8"/>
    <x v="38"/>
    <x v="23"/>
    <x v="28"/>
    <x v="17"/>
    <x v="4"/>
    <n v="573388000"/>
  </r>
  <r>
    <d v="2025-09-24T00:00:00"/>
    <x v="1"/>
    <x v="8"/>
    <x v="38"/>
    <x v="23"/>
    <x v="8"/>
    <x v="8"/>
    <x v="1"/>
    <n v="0"/>
  </r>
  <r>
    <d v="2025-09-24T00:00:00"/>
    <x v="1"/>
    <x v="8"/>
    <x v="38"/>
    <x v="23"/>
    <x v="26"/>
    <x v="16"/>
    <x v="1"/>
    <n v="103000000"/>
  </r>
  <r>
    <d v="2025-09-24T00:00:00"/>
    <x v="1"/>
    <x v="8"/>
    <x v="38"/>
    <x v="23"/>
    <x v="2"/>
    <x v="2"/>
    <x v="1"/>
    <n v="15299920000"/>
  </r>
  <r>
    <d v="2025-09-24T00:00:00"/>
    <x v="1"/>
    <x v="8"/>
    <x v="38"/>
    <x v="23"/>
    <x v="17"/>
    <x v="9"/>
    <x v="1"/>
    <n v="0"/>
  </r>
  <r>
    <d v="2025-09-24T00:00:00"/>
    <x v="1"/>
    <x v="8"/>
    <x v="38"/>
    <x v="23"/>
    <x v="20"/>
    <x v="9"/>
    <x v="1"/>
    <n v="0"/>
  </r>
  <r>
    <d v="2025-09-24T00:00:00"/>
    <x v="1"/>
    <x v="8"/>
    <x v="38"/>
    <x v="23"/>
    <x v="21"/>
    <x v="9"/>
    <x v="1"/>
    <n v="0"/>
  </r>
  <r>
    <d v="2025-09-24T00:00:00"/>
    <x v="1"/>
    <x v="8"/>
    <x v="38"/>
    <x v="23"/>
    <x v="25"/>
    <x v="2"/>
    <x v="1"/>
    <n v="0"/>
  </r>
  <r>
    <d v="2025-09-24T00:00:00"/>
    <x v="1"/>
    <x v="8"/>
    <x v="38"/>
    <x v="23"/>
    <x v="0"/>
    <x v="0"/>
    <x v="0"/>
    <n v="8967456000"/>
  </r>
  <r>
    <d v="2025-09-24T00:00:00"/>
    <x v="1"/>
    <x v="8"/>
    <x v="38"/>
    <x v="23"/>
    <x v="7"/>
    <x v="7"/>
    <x v="4"/>
    <n v="155867002"/>
  </r>
  <r>
    <d v="2025-09-24T00:00:00"/>
    <x v="1"/>
    <x v="8"/>
    <x v="38"/>
    <x v="23"/>
    <x v="1"/>
    <x v="1"/>
    <x v="1"/>
    <n v="61000000"/>
  </r>
  <r>
    <d v="2025-09-24T00:00:00"/>
    <x v="1"/>
    <x v="8"/>
    <x v="38"/>
    <x v="23"/>
    <x v="6"/>
    <x v="6"/>
    <x v="0"/>
    <n v="55000000"/>
  </r>
  <r>
    <d v="2025-09-24T00:00:00"/>
    <x v="1"/>
    <x v="8"/>
    <x v="38"/>
    <x v="23"/>
    <x v="18"/>
    <x v="15"/>
    <x v="1"/>
    <n v="776760000"/>
  </r>
  <r>
    <d v="2025-09-24T00:00:00"/>
    <x v="1"/>
    <x v="8"/>
    <x v="38"/>
    <x v="23"/>
    <x v="29"/>
    <x v="20"/>
    <x v="0"/>
    <n v="0"/>
  </r>
  <r>
    <d v="2025-09-24T00:00:00"/>
    <x v="1"/>
    <x v="8"/>
    <x v="38"/>
    <x v="23"/>
    <x v="19"/>
    <x v="12"/>
    <x v="4"/>
    <n v="386987044"/>
  </r>
  <r>
    <d v="2025-09-24T00:00:00"/>
    <x v="1"/>
    <x v="8"/>
    <x v="38"/>
    <x v="23"/>
    <x v="24"/>
    <x v="18"/>
    <x v="1"/>
    <n v="2535800000"/>
  </r>
  <r>
    <d v="2025-09-25T00:00:00"/>
    <x v="1"/>
    <x v="8"/>
    <x v="38"/>
    <x v="24"/>
    <x v="3"/>
    <x v="3"/>
    <x v="1"/>
    <n v="0"/>
  </r>
  <r>
    <d v="2025-09-25T00:00:00"/>
    <x v="1"/>
    <x v="8"/>
    <x v="38"/>
    <x v="24"/>
    <x v="11"/>
    <x v="10"/>
    <x v="4"/>
    <n v="242011253"/>
  </r>
  <r>
    <d v="2025-09-25T00:00:00"/>
    <x v="1"/>
    <x v="8"/>
    <x v="38"/>
    <x v="24"/>
    <x v="12"/>
    <x v="11"/>
    <x v="1"/>
    <n v="16711690000"/>
  </r>
  <r>
    <d v="2025-09-25T00:00:00"/>
    <x v="1"/>
    <x v="8"/>
    <x v="38"/>
    <x v="24"/>
    <x v="5"/>
    <x v="5"/>
    <x v="3"/>
    <n v="2439328289"/>
  </r>
  <r>
    <d v="2025-09-25T00:00:00"/>
    <x v="1"/>
    <x v="8"/>
    <x v="38"/>
    <x v="24"/>
    <x v="27"/>
    <x v="19"/>
    <x v="0"/>
    <n v="7386768000"/>
  </r>
  <r>
    <d v="2025-09-25T00:00:00"/>
    <x v="1"/>
    <x v="8"/>
    <x v="38"/>
    <x v="24"/>
    <x v="15"/>
    <x v="14"/>
    <x v="4"/>
    <n v="24253111"/>
  </r>
  <r>
    <d v="2025-09-25T00:00:00"/>
    <x v="1"/>
    <x v="8"/>
    <x v="38"/>
    <x v="24"/>
    <x v="14"/>
    <x v="13"/>
    <x v="1"/>
    <n v="3293400000"/>
  </r>
  <r>
    <d v="2025-09-25T00:00:00"/>
    <x v="1"/>
    <x v="8"/>
    <x v="38"/>
    <x v="24"/>
    <x v="23"/>
    <x v="17"/>
    <x v="4"/>
    <n v="18628000"/>
  </r>
  <r>
    <d v="2025-09-25T00:00:00"/>
    <x v="1"/>
    <x v="8"/>
    <x v="38"/>
    <x v="24"/>
    <x v="28"/>
    <x v="17"/>
    <x v="4"/>
    <n v="549953000"/>
  </r>
  <r>
    <d v="2025-09-25T00:00:00"/>
    <x v="1"/>
    <x v="8"/>
    <x v="38"/>
    <x v="24"/>
    <x v="8"/>
    <x v="8"/>
    <x v="1"/>
    <n v="0"/>
  </r>
  <r>
    <d v="2025-09-25T00:00:00"/>
    <x v="1"/>
    <x v="8"/>
    <x v="38"/>
    <x v="24"/>
    <x v="26"/>
    <x v="16"/>
    <x v="1"/>
    <n v="166500000"/>
  </r>
  <r>
    <d v="2025-09-25T00:00:00"/>
    <x v="1"/>
    <x v="8"/>
    <x v="38"/>
    <x v="24"/>
    <x v="2"/>
    <x v="2"/>
    <x v="1"/>
    <n v="15193770000"/>
  </r>
  <r>
    <d v="2025-09-25T00:00:00"/>
    <x v="1"/>
    <x v="8"/>
    <x v="38"/>
    <x v="24"/>
    <x v="17"/>
    <x v="9"/>
    <x v="1"/>
    <n v="0"/>
  </r>
  <r>
    <d v="2025-09-25T00:00:00"/>
    <x v="1"/>
    <x v="8"/>
    <x v="38"/>
    <x v="24"/>
    <x v="20"/>
    <x v="9"/>
    <x v="1"/>
    <n v="0"/>
  </r>
  <r>
    <d v="2025-09-25T00:00:00"/>
    <x v="1"/>
    <x v="8"/>
    <x v="38"/>
    <x v="24"/>
    <x v="21"/>
    <x v="9"/>
    <x v="1"/>
    <n v="0"/>
  </r>
  <r>
    <d v="2025-09-25T00:00:00"/>
    <x v="1"/>
    <x v="8"/>
    <x v="38"/>
    <x v="24"/>
    <x v="25"/>
    <x v="2"/>
    <x v="1"/>
    <n v="0"/>
  </r>
  <r>
    <d v="2025-09-25T00:00:00"/>
    <x v="1"/>
    <x v="8"/>
    <x v="38"/>
    <x v="24"/>
    <x v="0"/>
    <x v="0"/>
    <x v="0"/>
    <n v="9673128000"/>
  </r>
  <r>
    <d v="2025-09-25T00:00:00"/>
    <x v="1"/>
    <x v="8"/>
    <x v="38"/>
    <x v="24"/>
    <x v="7"/>
    <x v="7"/>
    <x v="4"/>
    <n v="162814452"/>
  </r>
  <r>
    <d v="2025-09-25T00:00:00"/>
    <x v="1"/>
    <x v="8"/>
    <x v="38"/>
    <x v="24"/>
    <x v="1"/>
    <x v="1"/>
    <x v="1"/>
    <n v="73500000"/>
  </r>
  <r>
    <d v="2025-09-25T00:00:00"/>
    <x v="1"/>
    <x v="8"/>
    <x v="38"/>
    <x v="24"/>
    <x v="6"/>
    <x v="6"/>
    <x v="0"/>
    <n v="102000000"/>
  </r>
  <r>
    <d v="2025-09-25T00:00:00"/>
    <x v="1"/>
    <x v="8"/>
    <x v="38"/>
    <x v="24"/>
    <x v="18"/>
    <x v="15"/>
    <x v="1"/>
    <n v="681000000"/>
  </r>
  <r>
    <d v="2025-09-25T00:00:00"/>
    <x v="1"/>
    <x v="8"/>
    <x v="38"/>
    <x v="24"/>
    <x v="29"/>
    <x v="20"/>
    <x v="0"/>
    <n v="6480000"/>
  </r>
  <r>
    <d v="2025-09-25T00:00:00"/>
    <x v="1"/>
    <x v="8"/>
    <x v="38"/>
    <x v="24"/>
    <x v="19"/>
    <x v="12"/>
    <x v="4"/>
    <n v="373148299"/>
  </r>
  <r>
    <d v="2025-09-25T00:00:00"/>
    <x v="1"/>
    <x v="8"/>
    <x v="38"/>
    <x v="24"/>
    <x v="24"/>
    <x v="18"/>
    <x v="1"/>
    <n v="2743130000"/>
  </r>
  <r>
    <d v="2025-09-26T00:00:00"/>
    <x v="1"/>
    <x v="8"/>
    <x v="38"/>
    <x v="25"/>
    <x v="3"/>
    <x v="3"/>
    <x v="1"/>
    <n v="0"/>
  </r>
  <r>
    <d v="2025-09-26T00:00:00"/>
    <x v="1"/>
    <x v="8"/>
    <x v="38"/>
    <x v="25"/>
    <x v="11"/>
    <x v="10"/>
    <x v="4"/>
    <n v="257068279"/>
  </r>
  <r>
    <d v="2025-09-26T00:00:00"/>
    <x v="1"/>
    <x v="8"/>
    <x v="38"/>
    <x v="25"/>
    <x v="12"/>
    <x v="11"/>
    <x v="1"/>
    <n v="16349130000"/>
  </r>
  <r>
    <d v="2025-09-26T00:00:00"/>
    <x v="1"/>
    <x v="8"/>
    <x v="38"/>
    <x v="25"/>
    <x v="5"/>
    <x v="5"/>
    <x v="3"/>
    <n v="2354376754"/>
  </r>
  <r>
    <d v="2025-09-26T00:00:00"/>
    <x v="1"/>
    <x v="8"/>
    <x v="38"/>
    <x v="25"/>
    <x v="27"/>
    <x v="19"/>
    <x v="0"/>
    <n v="7191396000"/>
  </r>
  <r>
    <d v="2025-09-26T00:00:00"/>
    <x v="1"/>
    <x v="8"/>
    <x v="38"/>
    <x v="25"/>
    <x v="15"/>
    <x v="14"/>
    <x v="4"/>
    <n v="9586341"/>
  </r>
  <r>
    <d v="2025-09-26T00:00:00"/>
    <x v="1"/>
    <x v="8"/>
    <x v="38"/>
    <x v="25"/>
    <x v="14"/>
    <x v="13"/>
    <x v="1"/>
    <n v="2680620000"/>
  </r>
  <r>
    <d v="2025-09-26T00:00:00"/>
    <x v="1"/>
    <x v="8"/>
    <x v="38"/>
    <x v="25"/>
    <x v="23"/>
    <x v="17"/>
    <x v="4"/>
    <n v="15490000"/>
  </r>
  <r>
    <d v="2025-09-26T00:00:00"/>
    <x v="1"/>
    <x v="8"/>
    <x v="38"/>
    <x v="25"/>
    <x v="28"/>
    <x v="17"/>
    <x v="4"/>
    <n v="400183000"/>
  </r>
  <r>
    <d v="2025-09-26T00:00:00"/>
    <x v="1"/>
    <x v="8"/>
    <x v="38"/>
    <x v="25"/>
    <x v="8"/>
    <x v="8"/>
    <x v="1"/>
    <n v="0"/>
  </r>
  <r>
    <d v="2025-09-26T00:00:00"/>
    <x v="1"/>
    <x v="8"/>
    <x v="38"/>
    <x v="25"/>
    <x v="26"/>
    <x v="16"/>
    <x v="1"/>
    <n v="147000000"/>
  </r>
  <r>
    <d v="2025-09-26T00:00:00"/>
    <x v="1"/>
    <x v="8"/>
    <x v="38"/>
    <x v="25"/>
    <x v="2"/>
    <x v="2"/>
    <x v="1"/>
    <n v="15759770000"/>
  </r>
  <r>
    <d v="2025-09-26T00:00:00"/>
    <x v="1"/>
    <x v="8"/>
    <x v="38"/>
    <x v="25"/>
    <x v="17"/>
    <x v="9"/>
    <x v="1"/>
    <n v="0"/>
  </r>
  <r>
    <d v="2025-09-26T00:00:00"/>
    <x v="1"/>
    <x v="8"/>
    <x v="38"/>
    <x v="25"/>
    <x v="20"/>
    <x v="9"/>
    <x v="1"/>
    <n v="0"/>
  </r>
  <r>
    <d v="2025-09-26T00:00:00"/>
    <x v="1"/>
    <x v="8"/>
    <x v="38"/>
    <x v="25"/>
    <x v="21"/>
    <x v="9"/>
    <x v="1"/>
    <n v="0"/>
  </r>
  <r>
    <d v="2025-09-26T00:00:00"/>
    <x v="1"/>
    <x v="8"/>
    <x v="38"/>
    <x v="25"/>
    <x v="25"/>
    <x v="2"/>
    <x v="1"/>
    <n v="0"/>
  </r>
  <r>
    <d v="2025-09-26T00:00:00"/>
    <x v="1"/>
    <x v="8"/>
    <x v="38"/>
    <x v="25"/>
    <x v="0"/>
    <x v="0"/>
    <x v="0"/>
    <n v="9709416000"/>
  </r>
  <r>
    <d v="2025-09-26T00:00:00"/>
    <x v="1"/>
    <x v="8"/>
    <x v="38"/>
    <x v="25"/>
    <x v="7"/>
    <x v="7"/>
    <x v="4"/>
    <n v="183526992"/>
  </r>
  <r>
    <d v="2025-09-26T00:00:00"/>
    <x v="1"/>
    <x v="8"/>
    <x v="38"/>
    <x v="25"/>
    <x v="1"/>
    <x v="1"/>
    <x v="1"/>
    <n v="31500000"/>
  </r>
  <r>
    <d v="2025-09-26T00:00:00"/>
    <x v="1"/>
    <x v="8"/>
    <x v="38"/>
    <x v="25"/>
    <x v="6"/>
    <x v="6"/>
    <x v="0"/>
    <n v="52000000"/>
  </r>
  <r>
    <d v="2025-09-26T00:00:00"/>
    <x v="1"/>
    <x v="8"/>
    <x v="38"/>
    <x v="25"/>
    <x v="18"/>
    <x v="15"/>
    <x v="1"/>
    <n v="1016090000"/>
  </r>
  <r>
    <d v="2025-09-26T00:00:00"/>
    <x v="1"/>
    <x v="8"/>
    <x v="38"/>
    <x v="25"/>
    <x v="29"/>
    <x v="20"/>
    <x v="0"/>
    <n v="85320000"/>
  </r>
  <r>
    <d v="2025-09-26T00:00:00"/>
    <x v="1"/>
    <x v="8"/>
    <x v="38"/>
    <x v="25"/>
    <x v="19"/>
    <x v="12"/>
    <x v="4"/>
    <n v="416250774"/>
  </r>
  <r>
    <d v="2025-09-26T00:00:00"/>
    <x v="1"/>
    <x v="8"/>
    <x v="38"/>
    <x v="25"/>
    <x v="24"/>
    <x v="18"/>
    <x v="1"/>
    <n v="2788640000"/>
  </r>
  <r>
    <d v="2025-09-27T00:00:00"/>
    <x v="1"/>
    <x v="8"/>
    <x v="38"/>
    <x v="26"/>
    <x v="3"/>
    <x v="3"/>
    <x v="1"/>
    <n v="0"/>
  </r>
  <r>
    <d v="2025-09-27T00:00:00"/>
    <x v="1"/>
    <x v="8"/>
    <x v="38"/>
    <x v="26"/>
    <x v="11"/>
    <x v="10"/>
    <x v="4"/>
    <n v="286713673"/>
  </r>
  <r>
    <d v="2025-09-27T00:00:00"/>
    <x v="1"/>
    <x v="8"/>
    <x v="38"/>
    <x v="26"/>
    <x v="12"/>
    <x v="11"/>
    <x v="1"/>
    <n v="14949560000"/>
  </r>
  <r>
    <d v="2025-09-27T00:00:00"/>
    <x v="1"/>
    <x v="8"/>
    <x v="38"/>
    <x v="26"/>
    <x v="5"/>
    <x v="5"/>
    <x v="3"/>
    <n v="2287385369"/>
  </r>
  <r>
    <d v="2025-09-27T00:00:00"/>
    <x v="1"/>
    <x v="8"/>
    <x v="38"/>
    <x v="26"/>
    <x v="27"/>
    <x v="19"/>
    <x v="0"/>
    <n v="6984792000"/>
  </r>
  <r>
    <d v="2025-09-27T00:00:00"/>
    <x v="1"/>
    <x v="8"/>
    <x v="38"/>
    <x v="26"/>
    <x v="15"/>
    <x v="14"/>
    <x v="4"/>
    <n v="40643091"/>
  </r>
  <r>
    <d v="2025-09-27T00:00:00"/>
    <x v="1"/>
    <x v="8"/>
    <x v="38"/>
    <x v="26"/>
    <x v="14"/>
    <x v="13"/>
    <x v="1"/>
    <n v="3158470000"/>
  </r>
  <r>
    <d v="2025-09-27T00:00:00"/>
    <x v="1"/>
    <x v="8"/>
    <x v="38"/>
    <x v="26"/>
    <x v="23"/>
    <x v="17"/>
    <x v="4"/>
    <n v="12793000"/>
  </r>
  <r>
    <d v="2025-09-27T00:00:00"/>
    <x v="1"/>
    <x v="8"/>
    <x v="38"/>
    <x v="26"/>
    <x v="28"/>
    <x v="17"/>
    <x v="4"/>
    <n v="424941000"/>
  </r>
  <r>
    <d v="2025-09-27T00:00:00"/>
    <x v="1"/>
    <x v="8"/>
    <x v="38"/>
    <x v="26"/>
    <x v="8"/>
    <x v="8"/>
    <x v="1"/>
    <n v="0"/>
  </r>
  <r>
    <d v="2025-09-27T00:00:00"/>
    <x v="1"/>
    <x v="8"/>
    <x v="38"/>
    <x v="26"/>
    <x v="26"/>
    <x v="16"/>
    <x v="1"/>
    <n v="62000000"/>
  </r>
  <r>
    <d v="2025-09-27T00:00:00"/>
    <x v="1"/>
    <x v="8"/>
    <x v="38"/>
    <x v="26"/>
    <x v="2"/>
    <x v="2"/>
    <x v="1"/>
    <n v="13869930000"/>
  </r>
  <r>
    <d v="2025-09-27T00:00:00"/>
    <x v="1"/>
    <x v="8"/>
    <x v="38"/>
    <x v="26"/>
    <x v="17"/>
    <x v="9"/>
    <x v="1"/>
    <n v="0"/>
  </r>
  <r>
    <d v="2025-09-27T00:00:00"/>
    <x v="1"/>
    <x v="8"/>
    <x v="38"/>
    <x v="26"/>
    <x v="20"/>
    <x v="9"/>
    <x v="1"/>
    <n v="0"/>
  </r>
  <r>
    <d v="2025-09-27T00:00:00"/>
    <x v="1"/>
    <x v="8"/>
    <x v="38"/>
    <x v="26"/>
    <x v="21"/>
    <x v="9"/>
    <x v="1"/>
    <n v="0"/>
  </r>
  <r>
    <d v="2025-09-27T00:00:00"/>
    <x v="1"/>
    <x v="8"/>
    <x v="38"/>
    <x v="26"/>
    <x v="25"/>
    <x v="2"/>
    <x v="1"/>
    <n v="0"/>
  </r>
  <r>
    <d v="2025-09-27T00:00:00"/>
    <x v="1"/>
    <x v="8"/>
    <x v="38"/>
    <x v="26"/>
    <x v="0"/>
    <x v="0"/>
    <x v="0"/>
    <n v="8715708000"/>
  </r>
  <r>
    <d v="2025-09-27T00:00:00"/>
    <x v="1"/>
    <x v="8"/>
    <x v="38"/>
    <x v="26"/>
    <x v="7"/>
    <x v="7"/>
    <x v="4"/>
    <n v="165694313"/>
  </r>
  <r>
    <d v="2025-09-27T00:00:00"/>
    <x v="1"/>
    <x v="8"/>
    <x v="38"/>
    <x v="26"/>
    <x v="1"/>
    <x v="1"/>
    <x v="1"/>
    <n v="21000000"/>
  </r>
  <r>
    <d v="2025-09-27T00:00:00"/>
    <x v="1"/>
    <x v="8"/>
    <x v="38"/>
    <x v="26"/>
    <x v="6"/>
    <x v="6"/>
    <x v="0"/>
    <n v="41000000"/>
  </r>
  <r>
    <d v="2025-09-27T00:00:00"/>
    <x v="1"/>
    <x v="8"/>
    <x v="38"/>
    <x v="26"/>
    <x v="18"/>
    <x v="15"/>
    <x v="1"/>
    <n v="443960000"/>
  </r>
  <r>
    <d v="2025-09-27T00:00:00"/>
    <x v="1"/>
    <x v="8"/>
    <x v="38"/>
    <x v="26"/>
    <x v="29"/>
    <x v="20"/>
    <x v="0"/>
    <n v="154440000"/>
  </r>
  <r>
    <d v="2025-09-27T00:00:00"/>
    <x v="1"/>
    <x v="8"/>
    <x v="38"/>
    <x v="26"/>
    <x v="19"/>
    <x v="12"/>
    <x v="4"/>
    <n v="453298720"/>
  </r>
  <r>
    <d v="2025-09-27T00:00:00"/>
    <x v="1"/>
    <x v="8"/>
    <x v="38"/>
    <x v="26"/>
    <x v="24"/>
    <x v="18"/>
    <x v="1"/>
    <n v="2019170000"/>
  </r>
  <r>
    <d v="2025-09-28T00:00:00"/>
    <x v="1"/>
    <x v="8"/>
    <x v="38"/>
    <x v="27"/>
    <x v="3"/>
    <x v="3"/>
    <x v="1"/>
    <n v="0"/>
  </r>
  <r>
    <d v="2025-09-28T00:00:00"/>
    <x v="1"/>
    <x v="8"/>
    <x v="38"/>
    <x v="27"/>
    <x v="11"/>
    <x v="10"/>
    <x v="4"/>
    <n v="266079883"/>
  </r>
  <r>
    <d v="2025-09-28T00:00:00"/>
    <x v="1"/>
    <x v="8"/>
    <x v="38"/>
    <x v="27"/>
    <x v="12"/>
    <x v="11"/>
    <x v="1"/>
    <n v="12362760000"/>
  </r>
  <r>
    <d v="2025-09-28T00:00:00"/>
    <x v="1"/>
    <x v="8"/>
    <x v="38"/>
    <x v="27"/>
    <x v="5"/>
    <x v="5"/>
    <x v="3"/>
    <n v="2256599120"/>
  </r>
  <r>
    <d v="2025-09-28T00:00:00"/>
    <x v="1"/>
    <x v="8"/>
    <x v="38"/>
    <x v="27"/>
    <x v="27"/>
    <x v="19"/>
    <x v="0"/>
    <n v="6587244000"/>
  </r>
  <r>
    <d v="2025-09-28T00:00:00"/>
    <x v="1"/>
    <x v="8"/>
    <x v="38"/>
    <x v="27"/>
    <x v="15"/>
    <x v="14"/>
    <x v="4"/>
    <n v="11342323"/>
  </r>
  <r>
    <d v="2025-09-28T00:00:00"/>
    <x v="1"/>
    <x v="8"/>
    <x v="38"/>
    <x v="27"/>
    <x v="14"/>
    <x v="13"/>
    <x v="1"/>
    <n v="3146200000"/>
  </r>
  <r>
    <d v="2025-09-28T00:00:00"/>
    <x v="1"/>
    <x v="8"/>
    <x v="38"/>
    <x v="27"/>
    <x v="23"/>
    <x v="17"/>
    <x v="4"/>
    <n v="13751000"/>
  </r>
  <r>
    <d v="2025-09-28T00:00:00"/>
    <x v="1"/>
    <x v="8"/>
    <x v="38"/>
    <x v="27"/>
    <x v="28"/>
    <x v="17"/>
    <x v="4"/>
    <n v="484967000"/>
  </r>
  <r>
    <d v="2025-09-28T00:00:00"/>
    <x v="1"/>
    <x v="8"/>
    <x v="38"/>
    <x v="27"/>
    <x v="8"/>
    <x v="8"/>
    <x v="1"/>
    <n v="0"/>
  </r>
  <r>
    <d v="2025-09-28T00:00:00"/>
    <x v="1"/>
    <x v="8"/>
    <x v="38"/>
    <x v="27"/>
    <x v="26"/>
    <x v="16"/>
    <x v="1"/>
    <n v="108250000"/>
  </r>
  <r>
    <d v="2025-09-28T00:00:00"/>
    <x v="1"/>
    <x v="8"/>
    <x v="38"/>
    <x v="27"/>
    <x v="2"/>
    <x v="2"/>
    <x v="1"/>
    <n v="13088800000"/>
  </r>
  <r>
    <d v="2025-09-28T00:00:00"/>
    <x v="1"/>
    <x v="8"/>
    <x v="38"/>
    <x v="27"/>
    <x v="17"/>
    <x v="9"/>
    <x v="1"/>
    <n v="0"/>
  </r>
  <r>
    <d v="2025-09-28T00:00:00"/>
    <x v="1"/>
    <x v="8"/>
    <x v="38"/>
    <x v="27"/>
    <x v="20"/>
    <x v="9"/>
    <x v="1"/>
    <n v="0"/>
  </r>
  <r>
    <d v="2025-09-28T00:00:00"/>
    <x v="1"/>
    <x v="8"/>
    <x v="38"/>
    <x v="27"/>
    <x v="21"/>
    <x v="9"/>
    <x v="1"/>
    <n v="0"/>
  </r>
  <r>
    <d v="2025-09-28T00:00:00"/>
    <x v="1"/>
    <x v="8"/>
    <x v="38"/>
    <x v="27"/>
    <x v="25"/>
    <x v="2"/>
    <x v="1"/>
    <n v="0"/>
  </r>
  <r>
    <d v="2025-09-28T00:00:00"/>
    <x v="1"/>
    <x v="8"/>
    <x v="38"/>
    <x v="27"/>
    <x v="0"/>
    <x v="0"/>
    <x v="0"/>
    <n v="8819064000"/>
  </r>
  <r>
    <d v="2025-09-28T00:00:00"/>
    <x v="1"/>
    <x v="8"/>
    <x v="38"/>
    <x v="27"/>
    <x v="7"/>
    <x v="7"/>
    <x v="4"/>
    <n v="196143768"/>
  </r>
  <r>
    <d v="2025-09-28T00:00:00"/>
    <x v="1"/>
    <x v="8"/>
    <x v="38"/>
    <x v="27"/>
    <x v="1"/>
    <x v="1"/>
    <x v="1"/>
    <n v="0"/>
  </r>
  <r>
    <d v="2025-09-28T00:00:00"/>
    <x v="1"/>
    <x v="8"/>
    <x v="38"/>
    <x v="27"/>
    <x v="6"/>
    <x v="6"/>
    <x v="0"/>
    <n v="18000000"/>
  </r>
  <r>
    <d v="2025-09-28T00:00:00"/>
    <x v="1"/>
    <x v="8"/>
    <x v="38"/>
    <x v="27"/>
    <x v="18"/>
    <x v="15"/>
    <x v="1"/>
    <n v="702500000"/>
  </r>
  <r>
    <d v="2025-09-28T00:00:00"/>
    <x v="1"/>
    <x v="8"/>
    <x v="38"/>
    <x v="27"/>
    <x v="29"/>
    <x v="20"/>
    <x v="0"/>
    <n v="122040000"/>
  </r>
  <r>
    <d v="2025-09-28T00:00:00"/>
    <x v="1"/>
    <x v="8"/>
    <x v="38"/>
    <x v="27"/>
    <x v="19"/>
    <x v="12"/>
    <x v="4"/>
    <n v="410018600"/>
  </r>
  <r>
    <d v="2025-09-28T00:00:00"/>
    <x v="1"/>
    <x v="8"/>
    <x v="38"/>
    <x v="27"/>
    <x v="24"/>
    <x v="18"/>
    <x v="1"/>
    <n v="1967440000"/>
  </r>
  <r>
    <d v="2025-09-29T00:00:00"/>
    <x v="1"/>
    <x v="8"/>
    <x v="39"/>
    <x v="28"/>
    <x v="12"/>
    <x v="11"/>
    <x v="1"/>
    <n v="16728180000"/>
  </r>
  <r>
    <d v="2025-09-29T00:00:00"/>
    <x v="1"/>
    <x v="8"/>
    <x v="39"/>
    <x v="28"/>
    <x v="6"/>
    <x v="6"/>
    <x v="0"/>
    <n v="37000000"/>
  </r>
  <r>
    <d v="2025-09-29T00:00:00"/>
    <x v="1"/>
    <x v="8"/>
    <x v="39"/>
    <x v="28"/>
    <x v="29"/>
    <x v="20"/>
    <x v="0"/>
    <n v="177120000"/>
  </r>
  <r>
    <d v="2025-09-29T00:00:00"/>
    <x v="1"/>
    <x v="8"/>
    <x v="39"/>
    <x v="28"/>
    <x v="23"/>
    <x v="17"/>
    <x v="4"/>
    <n v="20150000"/>
  </r>
  <r>
    <d v="2025-09-29T00:00:00"/>
    <x v="1"/>
    <x v="8"/>
    <x v="39"/>
    <x v="28"/>
    <x v="27"/>
    <x v="19"/>
    <x v="0"/>
    <n v="7323696000"/>
  </r>
  <r>
    <d v="2025-09-29T00:00:00"/>
    <x v="1"/>
    <x v="8"/>
    <x v="39"/>
    <x v="28"/>
    <x v="28"/>
    <x v="17"/>
    <x v="4"/>
    <n v="154309000"/>
  </r>
  <r>
    <d v="2025-09-29T00:00:00"/>
    <x v="1"/>
    <x v="8"/>
    <x v="39"/>
    <x v="28"/>
    <x v="15"/>
    <x v="14"/>
    <x v="4"/>
    <n v="35356357"/>
  </r>
  <r>
    <d v="2025-09-29T00:00:00"/>
    <x v="1"/>
    <x v="8"/>
    <x v="39"/>
    <x v="28"/>
    <x v="7"/>
    <x v="7"/>
    <x v="4"/>
    <n v="171111826"/>
  </r>
  <r>
    <d v="2025-09-29T00:00:00"/>
    <x v="1"/>
    <x v="8"/>
    <x v="39"/>
    <x v="28"/>
    <x v="18"/>
    <x v="15"/>
    <x v="1"/>
    <n v="504570000"/>
  </r>
  <r>
    <d v="2025-09-29T00:00:00"/>
    <x v="1"/>
    <x v="8"/>
    <x v="39"/>
    <x v="28"/>
    <x v="5"/>
    <x v="5"/>
    <x v="3"/>
    <n v="2950224433"/>
  </r>
  <r>
    <d v="2025-09-29T00:00:00"/>
    <x v="1"/>
    <x v="8"/>
    <x v="39"/>
    <x v="28"/>
    <x v="11"/>
    <x v="10"/>
    <x v="4"/>
    <n v="260666921"/>
  </r>
  <r>
    <d v="2025-09-29T00:00:00"/>
    <x v="1"/>
    <x v="8"/>
    <x v="39"/>
    <x v="28"/>
    <x v="2"/>
    <x v="2"/>
    <x v="1"/>
    <n v="15225250000"/>
  </r>
  <r>
    <d v="2025-09-29T00:00:00"/>
    <x v="1"/>
    <x v="8"/>
    <x v="39"/>
    <x v="28"/>
    <x v="26"/>
    <x v="16"/>
    <x v="1"/>
    <n v="89250000"/>
  </r>
  <r>
    <d v="2025-09-29T00:00:00"/>
    <x v="1"/>
    <x v="8"/>
    <x v="39"/>
    <x v="28"/>
    <x v="25"/>
    <x v="2"/>
    <x v="1"/>
    <n v="12420000"/>
  </r>
  <r>
    <d v="2025-09-29T00:00:00"/>
    <x v="1"/>
    <x v="8"/>
    <x v="39"/>
    <x v="28"/>
    <x v="19"/>
    <x v="12"/>
    <x v="4"/>
    <n v="391603814"/>
  </r>
  <r>
    <d v="2025-09-29T00:00:00"/>
    <x v="1"/>
    <x v="8"/>
    <x v="39"/>
    <x v="28"/>
    <x v="24"/>
    <x v="18"/>
    <x v="1"/>
    <n v="2719850000"/>
  </r>
  <r>
    <d v="2025-09-29T00:00:00"/>
    <x v="1"/>
    <x v="8"/>
    <x v="39"/>
    <x v="28"/>
    <x v="1"/>
    <x v="1"/>
    <x v="1"/>
    <n v="57000000"/>
  </r>
  <r>
    <d v="2025-09-29T00:00:00"/>
    <x v="1"/>
    <x v="8"/>
    <x v="39"/>
    <x v="28"/>
    <x v="0"/>
    <x v="0"/>
    <x v="0"/>
    <n v="8875224000"/>
  </r>
  <r>
    <d v="2025-09-29T00:00:00"/>
    <x v="1"/>
    <x v="8"/>
    <x v="39"/>
    <x v="28"/>
    <x v="14"/>
    <x v="13"/>
    <x v="1"/>
    <n v="3767780000"/>
  </r>
  <r>
    <d v="2025-09-30T00:00:00"/>
    <x v="1"/>
    <x v="8"/>
    <x v="39"/>
    <x v="29"/>
    <x v="28"/>
    <x v="17"/>
    <x v="4"/>
    <n v="344721090"/>
  </r>
  <r>
    <d v="2025-09-30T00:00:00"/>
    <x v="1"/>
    <x v="8"/>
    <x v="39"/>
    <x v="29"/>
    <x v="24"/>
    <x v="18"/>
    <x v="1"/>
    <n v="2535630000"/>
  </r>
  <r>
    <d v="2025-09-30T00:00:00"/>
    <x v="1"/>
    <x v="8"/>
    <x v="39"/>
    <x v="29"/>
    <x v="29"/>
    <x v="20"/>
    <x v="0"/>
    <n v="187920000"/>
  </r>
  <r>
    <d v="2025-09-30T00:00:00"/>
    <x v="1"/>
    <x v="8"/>
    <x v="39"/>
    <x v="29"/>
    <x v="5"/>
    <x v="5"/>
    <x v="3"/>
    <n v="3293965145"/>
  </r>
  <r>
    <d v="2025-09-30T00:00:00"/>
    <x v="1"/>
    <x v="8"/>
    <x v="39"/>
    <x v="29"/>
    <x v="12"/>
    <x v="11"/>
    <x v="1"/>
    <n v="17147950000"/>
  </r>
  <r>
    <d v="2025-09-30T00:00:00"/>
    <x v="1"/>
    <x v="8"/>
    <x v="39"/>
    <x v="29"/>
    <x v="26"/>
    <x v="16"/>
    <x v="1"/>
    <n v="197500000"/>
  </r>
  <r>
    <d v="2025-09-30T00:00:00"/>
    <x v="1"/>
    <x v="8"/>
    <x v="39"/>
    <x v="29"/>
    <x v="25"/>
    <x v="2"/>
    <x v="1"/>
    <n v="0"/>
  </r>
  <r>
    <d v="2025-09-30T00:00:00"/>
    <x v="1"/>
    <x v="8"/>
    <x v="39"/>
    <x v="29"/>
    <x v="14"/>
    <x v="13"/>
    <x v="1"/>
    <n v="3671380000"/>
  </r>
  <r>
    <d v="2025-09-30T00:00:00"/>
    <x v="1"/>
    <x v="8"/>
    <x v="39"/>
    <x v="29"/>
    <x v="1"/>
    <x v="1"/>
    <x v="1"/>
    <n v="10500000"/>
  </r>
  <r>
    <d v="2025-09-30T00:00:00"/>
    <x v="1"/>
    <x v="8"/>
    <x v="39"/>
    <x v="29"/>
    <x v="18"/>
    <x v="15"/>
    <x v="1"/>
    <n v="946600000"/>
  </r>
  <r>
    <d v="2025-09-30T00:00:00"/>
    <x v="1"/>
    <x v="8"/>
    <x v="39"/>
    <x v="29"/>
    <x v="2"/>
    <x v="2"/>
    <x v="1"/>
    <n v="15280440000"/>
  </r>
  <r>
    <d v="2025-09-30T00:00:00"/>
    <x v="1"/>
    <x v="8"/>
    <x v="39"/>
    <x v="29"/>
    <x v="7"/>
    <x v="7"/>
    <x v="4"/>
    <n v="203646139"/>
  </r>
  <r>
    <d v="2025-09-30T00:00:00"/>
    <x v="1"/>
    <x v="8"/>
    <x v="39"/>
    <x v="29"/>
    <x v="19"/>
    <x v="12"/>
    <x v="4"/>
    <n v="444166741"/>
  </r>
  <r>
    <d v="2025-09-30T00:00:00"/>
    <x v="1"/>
    <x v="8"/>
    <x v="39"/>
    <x v="29"/>
    <x v="11"/>
    <x v="10"/>
    <x v="4"/>
    <n v="273546083"/>
  </r>
  <r>
    <d v="2025-09-30T00:00:00"/>
    <x v="1"/>
    <x v="8"/>
    <x v="39"/>
    <x v="29"/>
    <x v="27"/>
    <x v="19"/>
    <x v="0"/>
    <n v="8743032000"/>
  </r>
  <r>
    <d v="2025-09-30T00:00:00"/>
    <x v="1"/>
    <x v="8"/>
    <x v="39"/>
    <x v="29"/>
    <x v="23"/>
    <x v="17"/>
    <x v="4"/>
    <n v="30647000"/>
  </r>
  <r>
    <d v="2025-09-30T00:00:00"/>
    <x v="1"/>
    <x v="8"/>
    <x v="39"/>
    <x v="29"/>
    <x v="15"/>
    <x v="14"/>
    <x v="4"/>
    <n v="36339367"/>
  </r>
  <r>
    <d v="2025-09-30T00:00:00"/>
    <x v="1"/>
    <x v="8"/>
    <x v="39"/>
    <x v="29"/>
    <x v="6"/>
    <x v="6"/>
    <x v="0"/>
    <n v="66000000"/>
  </r>
  <r>
    <d v="2025-09-30T00:00:00"/>
    <x v="1"/>
    <x v="8"/>
    <x v="39"/>
    <x v="29"/>
    <x v="0"/>
    <x v="0"/>
    <x v="0"/>
    <n v="9046944000"/>
  </r>
  <r>
    <d v="2025-10-01T00:00:00"/>
    <x v="1"/>
    <x v="9"/>
    <x v="39"/>
    <x v="0"/>
    <x v="3"/>
    <x v="3"/>
    <x v="1"/>
    <n v="0"/>
  </r>
  <r>
    <d v="2025-10-01T00:00:00"/>
    <x v="1"/>
    <x v="9"/>
    <x v="39"/>
    <x v="0"/>
    <x v="11"/>
    <x v="10"/>
    <x v="4"/>
    <n v="387837957"/>
  </r>
  <r>
    <d v="2025-10-01T00:00:00"/>
    <x v="1"/>
    <x v="9"/>
    <x v="39"/>
    <x v="0"/>
    <x v="12"/>
    <x v="11"/>
    <x v="1"/>
    <n v="18283740000"/>
  </r>
  <r>
    <d v="2025-10-01T00:00:00"/>
    <x v="1"/>
    <x v="9"/>
    <x v="39"/>
    <x v="0"/>
    <x v="5"/>
    <x v="5"/>
    <x v="3"/>
    <n v="5202779389"/>
  </r>
  <r>
    <d v="2025-10-01T00:00:00"/>
    <x v="1"/>
    <x v="9"/>
    <x v="39"/>
    <x v="0"/>
    <x v="27"/>
    <x v="19"/>
    <x v="0"/>
    <n v="8973504000"/>
  </r>
  <r>
    <d v="2025-10-01T00:00:00"/>
    <x v="1"/>
    <x v="9"/>
    <x v="39"/>
    <x v="0"/>
    <x v="15"/>
    <x v="14"/>
    <x v="4"/>
    <n v="43742841"/>
  </r>
  <r>
    <d v="2025-10-01T00:00:00"/>
    <x v="1"/>
    <x v="9"/>
    <x v="39"/>
    <x v="0"/>
    <x v="14"/>
    <x v="13"/>
    <x v="1"/>
    <n v="3311600000"/>
  </r>
  <r>
    <d v="2025-10-01T00:00:00"/>
    <x v="1"/>
    <x v="9"/>
    <x v="39"/>
    <x v="0"/>
    <x v="23"/>
    <x v="17"/>
    <x v="4"/>
    <n v="5738000"/>
  </r>
  <r>
    <d v="2025-10-01T00:00:00"/>
    <x v="1"/>
    <x v="9"/>
    <x v="39"/>
    <x v="0"/>
    <x v="28"/>
    <x v="17"/>
    <x v="4"/>
    <n v="446785000"/>
  </r>
  <r>
    <d v="2025-10-01T00:00:00"/>
    <x v="1"/>
    <x v="9"/>
    <x v="39"/>
    <x v="0"/>
    <x v="8"/>
    <x v="8"/>
    <x v="1"/>
    <n v="0"/>
  </r>
  <r>
    <d v="2025-10-01T00:00:00"/>
    <x v="1"/>
    <x v="9"/>
    <x v="39"/>
    <x v="0"/>
    <x v="26"/>
    <x v="16"/>
    <x v="1"/>
    <n v="177000000"/>
  </r>
  <r>
    <d v="2025-10-01T00:00:00"/>
    <x v="1"/>
    <x v="9"/>
    <x v="39"/>
    <x v="0"/>
    <x v="2"/>
    <x v="2"/>
    <x v="1"/>
    <n v="16725630000"/>
  </r>
  <r>
    <d v="2025-10-01T00:00:00"/>
    <x v="1"/>
    <x v="9"/>
    <x v="39"/>
    <x v="0"/>
    <x v="17"/>
    <x v="9"/>
    <x v="1"/>
    <n v="0"/>
  </r>
  <r>
    <d v="2025-10-01T00:00:00"/>
    <x v="1"/>
    <x v="9"/>
    <x v="39"/>
    <x v="0"/>
    <x v="20"/>
    <x v="9"/>
    <x v="1"/>
    <n v="0"/>
  </r>
  <r>
    <d v="2025-10-01T00:00:00"/>
    <x v="1"/>
    <x v="9"/>
    <x v="39"/>
    <x v="0"/>
    <x v="21"/>
    <x v="9"/>
    <x v="1"/>
    <n v="0"/>
  </r>
  <r>
    <d v="2025-10-01T00:00:00"/>
    <x v="1"/>
    <x v="9"/>
    <x v="39"/>
    <x v="0"/>
    <x v="25"/>
    <x v="2"/>
    <x v="1"/>
    <n v="0"/>
  </r>
  <r>
    <d v="2025-10-01T00:00:00"/>
    <x v="1"/>
    <x v="9"/>
    <x v="39"/>
    <x v="0"/>
    <x v="0"/>
    <x v="0"/>
    <x v="0"/>
    <n v="11017296000"/>
  </r>
  <r>
    <d v="2025-10-01T00:00:00"/>
    <x v="1"/>
    <x v="9"/>
    <x v="39"/>
    <x v="0"/>
    <x v="7"/>
    <x v="7"/>
    <x v="4"/>
    <n v="589346031"/>
  </r>
  <r>
    <d v="2025-10-01T00:00:00"/>
    <x v="1"/>
    <x v="9"/>
    <x v="39"/>
    <x v="0"/>
    <x v="1"/>
    <x v="1"/>
    <x v="1"/>
    <n v="21000000"/>
  </r>
  <r>
    <d v="2025-10-01T00:00:00"/>
    <x v="1"/>
    <x v="9"/>
    <x v="39"/>
    <x v="0"/>
    <x v="6"/>
    <x v="6"/>
    <x v="0"/>
    <n v="42000000"/>
  </r>
  <r>
    <d v="2025-10-01T00:00:00"/>
    <x v="1"/>
    <x v="9"/>
    <x v="39"/>
    <x v="0"/>
    <x v="18"/>
    <x v="15"/>
    <x v="1"/>
    <n v="663040000"/>
  </r>
  <r>
    <d v="2025-10-01T00:00:00"/>
    <x v="1"/>
    <x v="9"/>
    <x v="39"/>
    <x v="0"/>
    <x v="29"/>
    <x v="20"/>
    <x v="0"/>
    <n v="181440000"/>
  </r>
  <r>
    <d v="2025-10-01T00:00:00"/>
    <x v="1"/>
    <x v="9"/>
    <x v="39"/>
    <x v="0"/>
    <x v="19"/>
    <x v="12"/>
    <x v="4"/>
    <n v="786642530"/>
  </r>
  <r>
    <d v="2025-10-01T00:00:00"/>
    <x v="1"/>
    <x v="9"/>
    <x v="39"/>
    <x v="0"/>
    <x v="24"/>
    <x v="18"/>
    <x v="1"/>
    <n v="4655920000"/>
  </r>
  <r>
    <d v="2025-10-02T00:00:00"/>
    <x v="1"/>
    <x v="9"/>
    <x v="39"/>
    <x v="1"/>
    <x v="3"/>
    <x v="3"/>
    <x v="1"/>
    <n v="0"/>
  </r>
  <r>
    <d v="2025-10-02T00:00:00"/>
    <x v="1"/>
    <x v="9"/>
    <x v="39"/>
    <x v="1"/>
    <x v="11"/>
    <x v="10"/>
    <x v="4"/>
    <n v="417007761"/>
  </r>
  <r>
    <d v="2025-10-02T00:00:00"/>
    <x v="1"/>
    <x v="9"/>
    <x v="39"/>
    <x v="1"/>
    <x v="12"/>
    <x v="11"/>
    <x v="1"/>
    <n v="17907240000"/>
  </r>
  <r>
    <d v="2025-10-02T00:00:00"/>
    <x v="1"/>
    <x v="9"/>
    <x v="39"/>
    <x v="1"/>
    <x v="5"/>
    <x v="5"/>
    <x v="3"/>
    <n v="4060398979"/>
  </r>
  <r>
    <d v="2025-10-02T00:00:00"/>
    <x v="1"/>
    <x v="9"/>
    <x v="39"/>
    <x v="1"/>
    <x v="27"/>
    <x v="19"/>
    <x v="0"/>
    <n v="8175924000"/>
  </r>
  <r>
    <d v="2025-10-02T00:00:00"/>
    <x v="1"/>
    <x v="9"/>
    <x v="39"/>
    <x v="1"/>
    <x v="15"/>
    <x v="14"/>
    <x v="4"/>
    <n v="46110944"/>
  </r>
  <r>
    <d v="2025-10-02T00:00:00"/>
    <x v="1"/>
    <x v="9"/>
    <x v="39"/>
    <x v="1"/>
    <x v="14"/>
    <x v="13"/>
    <x v="1"/>
    <n v="3982450000"/>
  </r>
  <r>
    <d v="2025-10-02T00:00:00"/>
    <x v="1"/>
    <x v="9"/>
    <x v="39"/>
    <x v="1"/>
    <x v="23"/>
    <x v="17"/>
    <x v="4"/>
    <n v="17101000"/>
  </r>
  <r>
    <d v="2025-10-02T00:00:00"/>
    <x v="1"/>
    <x v="9"/>
    <x v="39"/>
    <x v="1"/>
    <x v="28"/>
    <x v="17"/>
    <x v="4"/>
    <n v="445272000"/>
  </r>
  <r>
    <d v="2025-10-02T00:00:00"/>
    <x v="1"/>
    <x v="9"/>
    <x v="39"/>
    <x v="1"/>
    <x v="8"/>
    <x v="8"/>
    <x v="1"/>
    <n v="0"/>
  </r>
  <r>
    <d v="2025-10-02T00:00:00"/>
    <x v="1"/>
    <x v="9"/>
    <x v="39"/>
    <x v="1"/>
    <x v="26"/>
    <x v="16"/>
    <x v="1"/>
    <n v="177000000"/>
  </r>
  <r>
    <d v="2025-10-02T00:00:00"/>
    <x v="1"/>
    <x v="9"/>
    <x v="39"/>
    <x v="1"/>
    <x v="2"/>
    <x v="2"/>
    <x v="1"/>
    <n v="16369720000"/>
  </r>
  <r>
    <d v="2025-10-02T00:00:00"/>
    <x v="1"/>
    <x v="9"/>
    <x v="39"/>
    <x v="1"/>
    <x v="17"/>
    <x v="9"/>
    <x v="1"/>
    <n v="0"/>
  </r>
  <r>
    <d v="2025-10-02T00:00:00"/>
    <x v="1"/>
    <x v="9"/>
    <x v="39"/>
    <x v="1"/>
    <x v="20"/>
    <x v="9"/>
    <x v="1"/>
    <n v="0"/>
  </r>
  <r>
    <d v="2025-10-02T00:00:00"/>
    <x v="1"/>
    <x v="9"/>
    <x v="39"/>
    <x v="1"/>
    <x v="21"/>
    <x v="9"/>
    <x v="1"/>
    <n v="0"/>
  </r>
  <r>
    <d v="2025-10-02T00:00:00"/>
    <x v="1"/>
    <x v="9"/>
    <x v="39"/>
    <x v="1"/>
    <x v="25"/>
    <x v="2"/>
    <x v="1"/>
    <n v="0"/>
  </r>
  <r>
    <d v="2025-10-02T00:00:00"/>
    <x v="1"/>
    <x v="9"/>
    <x v="39"/>
    <x v="1"/>
    <x v="0"/>
    <x v="0"/>
    <x v="0"/>
    <n v="9980820000"/>
  </r>
  <r>
    <d v="2025-10-02T00:00:00"/>
    <x v="1"/>
    <x v="9"/>
    <x v="39"/>
    <x v="1"/>
    <x v="7"/>
    <x v="7"/>
    <x v="4"/>
    <n v="424049334"/>
  </r>
  <r>
    <d v="2025-10-02T00:00:00"/>
    <x v="1"/>
    <x v="9"/>
    <x v="39"/>
    <x v="1"/>
    <x v="1"/>
    <x v="1"/>
    <x v="1"/>
    <n v="105000000"/>
  </r>
  <r>
    <d v="2025-10-02T00:00:00"/>
    <x v="1"/>
    <x v="9"/>
    <x v="39"/>
    <x v="1"/>
    <x v="6"/>
    <x v="6"/>
    <x v="0"/>
    <n v="44000000"/>
  </r>
  <r>
    <d v="2025-10-02T00:00:00"/>
    <x v="1"/>
    <x v="9"/>
    <x v="39"/>
    <x v="1"/>
    <x v="18"/>
    <x v="15"/>
    <x v="1"/>
    <n v="885270000"/>
  </r>
  <r>
    <d v="2025-10-02T00:00:00"/>
    <x v="1"/>
    <x v="9"/>
    <x v="39"/>
    <x v="1"/>
    <x v="29"/>
    <x v="20"/>
    <x v="0"/>
    <n v="214920000"/>
  </r>
  <r>
    <d v="2025-10-02T00:00:00"/>
    <x v="1"/>
    <x v="9"/>
    <x v="39"/>
    <x v="1"/>
    <x v="19"/>
    <x v="12"/>
    <x v="4"/>
    <n v="779570363"/>
  </r>
  <r>
    <d v="2025-10-02T00:00:00"/>
    <x v="1"/>
    <x v="9"/>
    <x v="39"/>
    <x v="1"/>
    <x v="24"/>
    <x v="18"/>
    <x v="1"/>
    <n v="4671980000"/>
  </r>
  <r>
    <d v="2025-10-03T00:00:00"/>
    <x v="1"/>
    <x v="9"/>
    <x v="39"/>
    <x v="2"/>
    <x v="3"/>
    <x v="3"/>
    <x v="1"/>
    <n v="0"/>
  </r>
  <r>
    <d v="2025-10-03T00:00:00"/>
    <x v="1"/>
    <x v="9"/>
    <x v="39"/>
    <x v="2"/>
    <x v="11"/>
    <x v="10"/>
    <x v="4"/>
    <n v="412923349"/>
  </r>
  <r>
    <d v="2025-10-03T00:00:00"/>
    <x v="1"/>
    <x v="9"/>
    <x v="39"/>
    <x v="2"/>
    <x v="12"/>
    <x v="11"/>
    <x v="1"/>
    <n v="17301990000"/>
  </r>
  <r>
    <d v="2025-10-03T00:00:00"/>
    <x v="1"/>
    <x v="9"/>
    <x v="39"/>
    <x v="2"/>
    <x v="5"/>
    <x v="5"/>
    <x v="3"/>
    <n v="3389350031"/>
  </r>
  <r>
    <d v="2025-10-03T00:00:00"/>
    <x v="1"/>
    <x v="9"/>
    <x v="39"/>
    <x v="2"/>
    <x v="27"/>
    <x v="19"/>
    <x v="0"/>
    <n v="8448408000"/>
  </r>
  <r>
    <d v="2025-10-03T00:00:00"/>
    <x v="1"/>
    <x v="9"/>
    <x v="39"/>
    <x v="2"/>
    <x v="15"/>
    <x v="14"/>
    <x v="4"/>
    <n v="61926106"/>
  </r>
  <r>
    <d v="2025-10-03T00:00:00"/>
    <x v="1"/>
    <x v="9"/>
    <x v="39"/>
    <x v="2"/>
    <x v="14"/>
    <x v="13"/>
    <x v="1"/>
    <n v="2490510000"/>
  </r>
  <r>
    <d v="2025-10-03T00:00:00"/>
    <x v="1"/>
    <x v="9"/>
    <x v="39"/>
    <x v="2"/>
    <x v="23"/>
    <x v="17"/>
    <x v="4"/>
    <n v="47447000"/>
  </r>
  <r>
    <d v="2025-10-03T00:00:00"/>
    <x v="1"/>
    <x v="9"/>
    <x v="39"/>
    <x v="2"/>
    <x v="28"/>
    <x v="17"/>
    <x v="4"/>
    <n v="329621000"/>
  </r>
  <r>
    <d v="2025-10-03T00:00:00"/>
    <x v="1"/>
    <x v="9"/>
    <x v="39"/>
    <x v="2"/>
    <x v="8"/>
    <x v="8"/>
    <x v="1"/>
    <n v="0"/>
  </r>
  <r>
    <d v="2025-10-03T00:00:00"/>
    <x v="1"/>
    <x v="9"/>
    <x v="39"/>
    <x v="2"/>
    <x v="26"/>
    <x v="16"/>
    <x v="1"/>
    <n v="194850000"/>
  </r>
  <r>
    <d v="2025-10-03T00:00:00"/>
    <x v="1"/>
    <x v="9"/>
    <x v="39"/>
    <x v="2"/>
    <x v="2"/>
    <x v="2"/>
    <x v="1"/>
    <n v="16404800000"/>
  </r>
  <r>
    <d v="2025-10-03T00:00:00"/>
    <x v="1"/>
    <x v="9"/>
    <x v="39"/>
    <x v="2"/>
    <x v="17"/>
    <x v="9"/>
    <x v="1"/>
    <n v="0"/>
  </r>
  <r>
    <d v="2025-10-03T00:00:00"/>
    <x v="1"/>
    <x v="9"/>
    <x v="39"/>
    <x v="2"/>
    <x v="20"/>
    <x v="9"/>
    <x v="1"/>
    <n v="0"/>
  </r>
  <r>
    <d v="2025-10-03T00:00:00"/>
    <x v="1"/>
    <x v="9"/>
    <x v="39"/>
    <x v="2"/>
    <x v="21"/>
    <x v="9"/>
    <x v="1"/>
    <n v="0"/>
  </r>
  <r>
    <d v="2025-10-03T00:00:00"/>
    <x v="1"/>
    <x v="9"/>
    <x v="39"/>
    <x v="2"/>
    <x v="25"/>
    <x v="2"/>
    <x v="1"/>
    <n v="0"/>
  </r>
  <r>
    <d v="2025-10-03T00:00:00"/>
    <x v="1"/>
    <x v="9"/>
    <x v="39"/>
    <x v="2"/>
    <x v="0"/>
    <x v="0"/>
    <x v="0"/>
    <n v="10260108000"/>
  </r>
  <r>
    <d v="2025-10-03T00:00:00"/>
    <x v="1"/>
    <x v="9"/>
    <x v="39"/>
    <x v="2"/>
    <x v="7"/>
    <x v="7"/>
    <x v="4"/>
    <n v="441094730"/>
  </r>
  <r>
    <d v="2025-10-03T00:00:00"/>
    <x v="1"/>
    <x v="9"/>
    <x v="39"/>
    <x v="2"/>
    <x v="1"/>
    <x v="1"/>
    <x v="1"/>
    <n v="21000000"/>
  </r>
  <r>
    <d v="2025-10-03T00:00:00"/>
    <x v="1"/>
    <x v="9"/>
    <x v="39"/>
    <x v="2"/>
    <x v="6"/>
    <x v="6"/>
    <x v="0"/>
    <n v="31000000"/>
  </r>
  <r>
    <d v="2025-10-03T00:00:00"/>
    <x v="1"/>
    <x v="9"/>
    <x v="39"/>
    <x v="2"/>
    <x v="18"/>
    <x v="15"/>
    <x v="1"/>
    <n v="734030000"/>
  </r>
  <r>
    <d v="2025-10-03T00:00:00"/>
    <x v="1"/>
    <x v="9"/>
    <x v="39"/>
    <x v="2"/>
    <x v="29"/>
    <x v="20"/>
    <x v="0"/>
    <n v="212760000"/>
  </r>
  <r>
    <d v="2025-10-03T00:00:00"/>
    <x v="1"/>
    <x v="9"/>
    <x v="39"/>
    <x v="2"/>
    <x v="19"/>
    <x v="12"/>
    <x v="4"/>
    <n v="975670968"/>
  </r>
  <r>
    <d v="2025-10-03T00:00:00"/>
    <x v="1"/>
    <x v="9"/>
    <x v="39"/>
    <x v="2"/>
    <x v="24"/>
    <x v="18"/>
    <x v="1"/>
    <n v="5663080000"/>
  </r>
  <r>
    <d v="2025-10-04T00:00:00"/>
    <x v="1"/>
    <x v="9"/>
    <x v="39"/>
    <x v="3"/>
    <x v="3"/>
    <x v="3"/>
    <x v="1"/>
    <n v="0"/>
  </r>
  <r>
    <d v="2025-10-04T00:00:00"/>
    <x v="1"/>
    <x v="9"/>
    <x v="39"/>
    <x v="3"/>
    <x v="11"/>
    <x v="10"/>
    <x v="4"/>
    <n v="445619544"/>
  </r>
  <r>
    <d v="2025-10-04T00:00:00"/>
    <x v="1"/>
    <x v="9"/>
    <x v="39"/>
    <x v="3"/>
    <x v="12"/>
    <x v="11"/>
    <x v="1"/>
    <n v="15352420000"/>
  </r>
  <r>
    <d v="2025-10-04T00:00:00"/>
    <x v="1"/>
    <x v="9"/>
    <x v="39"/>
    <x v="3"/>
    <x v="5"/>
    <x v="5"/>
    <x v="3"/>
    <n v="3146313137"/>
  </r>
  <r>
    <d v="2025-10-04T00:00:00"/>
    <x v="1"/>
    <x v="9"/>
    <x v="39"/>
    <x v="3"/>
    <x v="27"/>
    <x v="19"/>
    <x v="0"/>
    <n v="8249472000"/>
  </r>
  <r>
    <d v="2025-10-04T00:00:00"/>
    <x v="1"/>
    <x v="9"/>
    <x v="39"/>
    <x v="3"/>
    <x v="15"/>
    <x v="14"/>
    <x v="4"/>
    <n v="83436836"/>
  </r>
  <r>
    <d v="2025-10-04T00:00:00"/>
    <x v="1"/>
    <x v="9"/>
    <x v="39"/>
    <x v="3"/>
    <x v="14"/>
    <x v="13"/>
    <x v="1"/>
    <n v="3477140000"/>
  </r>
  <r>
    <d v="2025-10-04T00:00:00"/>
    <x v="1"/>
    <x v="9"/>
    <x v="39"/>
    <x v="3"/>
    <x v="23"/>
    <x v="17"/>
    <x v="4"/>
    <n v="47503000"/>
  </r>
  <r>
    <d v="2025-10-04T00:00:00"/>
    <x v="1"/>
    <x v="9"/>
    <x v="39"/>
    <x v="3"/>
    <x v="28"/>
    <x v="17"/>
    <x v="4"/>
    <n v="844663000"/>
  </r>
  <r>
    <d v="2025-10-04T00:00:00"/>
    <x v="1"/>
    <x v="9"/>
    <x v="39"/>
    <x v="3"/>
    <x v="8"/>
    <x v="8"/>
    <x v="1"/>
    <n v="0"/>
  </r>
  <r>
    <d v="2025-10-04T00:00:00"/>
    <x v="1"/>
    <x v="9"/>
    <x v="39"/>
    <x v="3"/>
    <x v="26"/>
    <x v="16"/>
    <x v="1"/>
    <n v="210000000"/>
  </r>
  <r>
    <d v="2025-10-04T00:00:00"/>
    <x v="1"/>
    <x v="9"/>
    <x v="39"/>
    <x v="3"/>
    <x v="2"/>
    <x v="2"/>
    <x v="1"/>
    <n v="15912470000"/>
  </r>
  <r>
    <d v="2025-10-04T00:00:00"/>
    <x v="1"/>
    <x v="9"/>
    <x v="39"/>
    <x v="3"/>
    <x v="17"/>
    <x v="9"/>
    <x v="1"/>
    <n v="0"/>
  </r>
  <r>
    <d v="2025-10-04T00:00:00"/>
    <x v="1"/>
    <x v="9"/>
    <x v="39"/>
    <x v="3"/>
    <x v="20"/>
    <x v="9"/>
    <x v="1"/>
    <n v="0"/>
  </r>
  <r>
    <d v="2025-10-04T00:00:00"/>
    <x v="1"/>
    <x v="9"/>
    <x v="39"/>
    <x v="3"/>
    <x v="21"/>
    <x v="9"/>
    <x v="1"/>
    <n v="0"/>
  </r>
  <r>
    <d v="2025-10-04T00:00:00"/>
    <x v="1"/>
    <x v="9"/>
    <x v="39"/>
    <x v="3"/>
    <x v="25"/>
    <x v="2"/>
    <x v="1"/>
    <n v="0"/>
  </r>
  <r>
    <d v="2025-10-04T00:00:00"/>
    <x v="1"/>
    <x v="9"/>
    <x v="39"/>
    <x v="3"/>
    <x v="0"/>
    <x v="0"/>
    <x v="0"/>
    <n v="9941832000"/>
  </r>
  <r>
    <d v="2025-10-04T00:00:00"/>
    <x v="1"/>
    <x v="9"/>
    <x v="39"/>
    <x v="3"/>
    <x v="7"/>
    <x v="7"/>
    <x v="4"/>
    <n v="498992532"/>
  </r>
  <r>
    <d v="2025-10-04T00:00:00"/>
    <x v="1"/>
    <x v="9"/>
    <x v="39"/>
    <x v="3"/>
    <x v="1"/>
    <x v="1"/>
    <x v="1"/>
    <n v="0"/>
  </r>
  <r>
    <d v="2025-10-04T00:00:00"/>
    <x v="1"/>
    <x v="9"/>
    <x v="39"/>
    <x v="3"/>
    <x v="6"/>
    <x v="6"/>
    <x v="0"/>
    <n v="48000000"/>
  </r>
  <r>
    <d v="2025-10-04T00:00:00"/>
    <x v="1"/>
    <x v="9"/>
    <x v="39"/>
    <x v="3"/>
    <x v="18"/>
    <x v="15"/>
    <x v="1"/>
    <n v="422780000"/>
  </r>
  <r>
    <d v="2025-10-04T00:00:00"/>
    <x v="1"/>
    <x v="9"/>
    <x v="39"/>
    <x v="3"/>
    <x v="29"/>
    <x v="20"/>
    <x v="0"/>
    <n v="198720000"/>
  </r>
  <r>
    <d v="2025-10-04T00:00:00"/>
    <x v="1"/>
    <x v="9"/>
    <x v="39"/>
    <x v="3"/>
    <x v="19"/>
    <x v="12"/>
    <x v="4"/>
    <n v="1114121332"/>
  </r>
  <r>
    <d v="2025-10-04T00:00:00"/>
    <x v="1"/>
    <x v="9"/>
    <x v="39"/>
    <x v="3"/>
    <x v="24"/>
    <x v="18"/>
    <x v="1"/>
    <n v="4744330000"/>
  </r>
  <r>
    <d v="2025-10-05T00:00:00"/>
    <x v="1"/>
    <x v="9"/>
    <x v="39"/>
    <x v="4"/>
    <x v="3"/>
    <x v="3"/>
    <x v="1"/>
    <n v="0"/>
  </r>
  <r>
    <d v="2025-10-05T00:00:00"/>
    <x v="1"/>
    <x v="9"/>
    <x v="39"/>
    <x v="4"/>
    <x v="11"/>
    <x v="10"/>
    <x v="4"/>
    <n v="457613524"/>
  </r>
  <r>
    <d v="2025-10-05T00:00:00"/>
    <x v="1"/>
    <x v="9"/>
    <x v="39"/>
    <x v="4"/>
    <x v="12"/>
    <x v="11"/>
    <x v="1"/>
    <n v="14344150000"/>
  </r>
  <r>
    <d v="2025-10-05T00:00:00"/>
    <x v="1"/>
    <x v="9"/>
    <x v="39"/>
    <x v="4"/>
    <x v="5"/>
    <x v="5"/>
    <x v="3"/>
    <n v="2972278700"/>
  </r>
  <r>
    <d v="2025-10-05T00:00:00"/>
    <x v="1"/>
    <x v="9"/>
    <x v="39"/>
    <x v="4"/>
    <x v="27"/>
    <x v="19"/>
    <x v="0"/>
    <n v="8378964000"/>
  </r>
  <r>
    <d v="2025-10-05T00:00:00"/>
    <x v="1"/>
    <x v="9"/>
    <x v="39"/>
    <x v="4"/>
    <x v="15"/>
    <x v="14"/>
    <x v="4"/>
    <n v="82154344"/>
  </r>
  <r>
    <d v="2025-10-05T00:00:00"/>
    <x v="1"/>
    <x v="9"/>
    <x v="39"/>
    <x v="4"/>
    <x v="14"/>
    <x v="13"/>
    <x v="1"/>
    <n v="3427220000"/>
  </r>
  <r>
    <d v="2025-10-05T00:00:00"/>
    <x v="1"/>
    <x v="9"/>
    <x v="39"/>
    <x v="4"/>
    <x v="23"/>
    <x v="17"/>
    <x v="4"/>
    <n v="44289000"/>
  </r>
  <r>
    <d v="2025-10-05T00:00:00"/>
    <x v="1"/>
    <x v="9"/>
    <x v="39"/>
    <x v="4"/>
    <x v="28"/>
    <x v="17"/>
    <x v="4"/>
    <n v="869855000"/>
  </r>
  <r>
    <d v="2025-10-05T00:00:00"/>
    <x v="1"/>
    <x v="9"/>
    <x v="39"/>
    <x v="4"/>
    <x v="8"/>
    <x v="8"/>
    <x v="1"/>
    <n v="0"/>
  </r>
  <r>
    <d v="2025-10-05T00:00:00"/>
    <x v="1"/>
    <x v="9"/>
    <x v="39"/>
    <x v="4"/>
    <x v="26"/>
    <x v="16"/>
    <x v="1"/>
    <n v="220500000"/>
  </r>
  <r>
    <d v="2025-10-05T00:00:00"/>
    <x v="1"/>
    <x v="9"/>
    <x v="39"/>
    <x v="4"/>
    <x v="2"/>
    <x v="2"/>
    <x v="1"/>
    <n v="15158110000"/>
  </r>
  <r>
    <d v="2025-10-05T00:00:00"/>
    <x v="1"/>
    <x v="9"/>
    <x v="39"/>
    <x v="4"/>
    <x v="17"/>
    <x v="9"/>
    <x v="1"/>
    <n v="0"/>
  </r>
  <r>
    <d v="2025-10-05T00:00:00"/>
    <x v="1"/>
    <x v="9"/>
    <x v="39"/>
    <x v="4"/>
    <x v="20"/>
    <x v="9"/>
    <x v="1"/>
    <n v="0"/>
  </r>
  <r>
    <d v="2025-10-05T00:00:00"/>
    <x v="1"/>
    <x v="9"/>
    <x v="39"/>
    <x v="4"/>
    <x v="21"/>
    <x v="9"/>
    <x v="1"/>
    <n v="0"/>
  </r>
  <r>
    <d v="2025-10-05T00:00:00"/>
    <x v="1"/>
    <x v="9"/>
    <x v="39"/>
    <x v="4"/>
    <x v="25"/>
    <x v="2"/>
    <x v="1"/>
    <n v="5000000"/>
  </r>
  <r>
    <d v="2025-10-05T00:00:00"/>
    <x v="1"/>
    <x v="9"/>
    <x v="39"/>
    <x v="4"/>
    <x v="0"/>
    <x v="0"/>
    <x v="0"/>
    <n v="10601928000"/>
  </r>
  <r>
    <d v="2025-10-05T00:00:00"/>
    <x v="1"/>
    <x v="9"/>
    <x v="39"/>
    <x v="4"/>
    <x v="7"/>
    <x v="7"/>
    <x v="4"/>
    <n v="634902889"/>
  </r>
  <r>
    <d v="2025-10-05T00:00:00"/>
    <x v="1"/>
    <x v="9"/>
    <x v="39"/>
    <x v="4"/>
    <x v="1"/>
    <x v="1"/>
    <x v="1"/>
    <n v="52500000"/>
  </r>
  <r>
    <d v="2025-10-05T00:00:00"/>
    <x v="1"/>
    <x v="9"/>
    <x v="39"/>
    <x v="4"/>
    <x v="6"/>
    <x v="6"/>
    <x v="0"/>
    <n v="50000000"/>
  </r>
  <r>
    <d v="2025-10-05T00:00:00"/>
    <x v="1"/>
    <x v="9"/>
    <x v="39"/>
    <x v="4"/>
    <x v="18"/>
    <x v="15"/>
    <x v="1"/>
    <n v="537110000"/>
  </r>
  <r>
    <d v="2025-10-05T00:00:00"/>
    <x v="1"/>
    <x v="9"/>
    <x v="39"/>
    <x v="4"/>
    <x v="29"/>
    <x v="20"/>
    <x v="0"/>
    <n v="223560000"/>
  </r>
  <r>
    <d v="2025-10-05T00:00:00"/>
    <x v="1"/>
    <x v="9"/>
    <x v="39"/>
    <x v="4"/>
    <x v="19"/>
    <x v="12"/>
    <x v="4"/>
    <n v="1372434879"/>
  </r>
  <r>
    <d v="2025-10-05T00:00:00"/>
    <x v="1"/>
    <x v="9"/>
    <x v="39"/>
    <x v="4"/>
    <x v="24"/>
    <x v="18"/>
    <x v="1"/>
    <n v="4576410000"/>
  </r>
  <r>
    <d v="2025-10-06T00:00:00"/>
    <x v="1"/>
    <x v="9"/>
    <x v="40"/>
    <x v="5"/>
    <x v="3"/>
    <x v="3"/>
    <x v="1"/>
    <n v="0"/>
  </r>
  <r>
    <d v="2025-10-06T00:00:00"/>
    <x v="1"/>
    <x v="9"/>
    <x v="40"/>
    <x v="5"/>
    <x v="11"/>
    <x v="10"/>
    <x v="4"/>
    <n v="427333920"/>
  </r>
  <r>
    <d v="2025-10-06T00:00:00"/>
    <x v="1"/>
    <x v="9"/>
    <x v="40"/>
    <x v="5"/>
    <x v="12"/>
    <x v="11"/>
    <x v="1"/>
    <n v="18221070000"/>
  </r>
  <r>
    <d v="2025-10-06T00:00:00"/>
    <x v="1"/>
    <x v="9"/>
    <x v="40"/>
    <x v="5"/>
    <x v="5"/>
    <x v="5"/>
    <x v="3"/>
    <n v="3097890504"/>
  </r>
  <r>
    <d v="2025-10-06T00:00:00"/>
    <x v="1"/>
    <x v="9"/>
    <x v="40"/>
    <x v="5"/>
    <x v="27"/>
    <x v="19"/>
    <x v="0"/>
    <n v="8674344000"/>
  </r>
  <r>
    <d v="2025-10-06T00:00:00"/>
    <x v="1"/>
    <x v="9"/>
    <x v="40"/>
    <x v="5"/>
    <x v="15"/>
    <x v="14"/>
    <x v="4"/>
    <n v="58503911"/>
  </r>
  <r>
    <d v="2025-10-06T00:00:00"/>
    <x v="1"/>
    <x v="9"/>
    <x v="40"/>
    <x v="5"/>
    <x v="14"/>
    <x v="13"/>
    <x v="1"/>
    <n v="3918050000"/>
  </r>
  <r>
    <d v="2025-10-06T00:00:00"/>
    <x v="1"/>
    <x v="9"/>
    <x v="40"/>
    <x v="5"/>
    <x v="23"/>
    <x v="17"/>
    <x v="4"/>
    <n v="26777000"/>
  </r>
  <r>
    <d v="2025-10-06T00:00:00"/>
    <x v="1"/>
    <x v="9"/>
    <x v="40"/>
    <x v="5"/>
    <x v="28"/>
    <x v="17"/>
    <x v="4"/>
    <n v="651295000"/>
  </r>
  <r>
    <d v="2025-10-06T00:00:00"/>
    <x v="1"/>
    <x v="9"/>
    <x v="40"/>
    <x v="5"/>
    <x v="8"/>
    <x v="8"/>
    <x v="1"/>
    <n v="0"/>
  </r>
  <r>
    <d v="2025-10-06T00:00:00"/>
    <x v="1"/>
    <x v="9"/>
    <x v="40"/>
    <x v="5"/>
    <x v="26"/>
    <x v="16"/>
    <x v="1"/>
    <n v="237850000"/>
  </r>
  <r>
    <d v="2025-10-06T00:00:00"/>
    <x v="1"/>
    <x v="9"/>
    <x v="40"/>
    <x v="5"/>
    <x v="2"/>
    <x v="2"/>
    <x v="1"/>
    <n v="16442240000"/>
  </r>
  <r>
    <d v="2025-10-06T00:00:00"/>
    <x v="1"/>
    <x v="9"/>
    <x v="40"/>
    <x v="5"/>
    <x v="17"/>
    <x v="9"/>
    <x v="1"/>
    <n v="0"/>
  </r>
  <r>
    <d v="2025-10-06T00:00:00"/>
    <x v="1"/>
    <x v="9"/>
    <x v="40"/>
    <x v="5"/>
    <x v="20"/>
    <x v="9"/>
    <x v="1"/>
    <n v="0"/>
  </r>
  <r>
    <d v="2025-10-06T00:00:00"/>
    <x v="1"/>
    <x v="9"/>
    <x v="40"/>
    <x v="5"/>
    <x v="21"/>
    <x v="9"/>
    <x v="1"/>
    <n v="0"/>
  </r>
  <r>
    <d v="2025-10-06T00:00:00"/>
    <x v="1"/>
    <x v="9"/>
    <x v="40"/>
    <x v="5"/>
    <x v="25"/>
    <x v="2"/>
    <x v="1"/>
    <n v="0"/>
  </r>
  <r>
    <d v="2025-10-06T00:00:00"/>
    <x v="1"/>
    <x v="9"/>
    <x v="40"/>
    <x v="5"/>
    <x v="0"/>
    <x v="0"/>
    <x v="0"/>
    <n v="11158020000"/>
  </r>
  <r>
    <d v="2025-10-06T00:00:00"/>
    <x v="1"/>
    <x v="9"/>
    <x v="40"/>
    <x v="5"/>
    <x v="7"/>
    <x v="7"/>
    <x v="4"/>
    <n v="449403829"/>
  </r>
  <r>
    <d v="2025-10-06T00:00:00"/>
    <x v="1"/>
    <x v="9"/>
    <x v="40"/>
    <x v="5"/>
    <x v="1"/>
    <x v="1"/>
    <x v="1"/>
    <n v="37800000"/>
  </r>
  <r>
    <d v="2025-10-06T00:00:00"/>
    <x v="1"/>
    <x v="9"/>
    <x v="40"/>
    <x v="5"/>
    <x v="6"/>
    <x v="6"/>
    <x v="0"/>
    <n v="54000000"/>
  </r>
  <r>
    <d v="2025-10-06T00:00:00"/>
    <x v="1"/>
    <x v="9"/>
    <x v="40"/>
    <x v="5"/>
    <x v="18"/>
    <x v="15"/>
    <x v="1"/>
    <n v="698720000"/>
  </r>
  <r>
    <d v="2025-10-06T00:00:00"/>
    <x v="1"/>
    <x v="9"/>
    <x v="40"/>
    <x v="5"/>
    <x v="29"/>
    <x v="20"/>
    <x v="0"/>
    <n v="250560000"/>
  </r>
  <r>
    <d v="2025-10-06T00:00:00"/>
    <x v="1"/>
    <x v="9"/>
    <x v="40"/>
    <x v="5"/>
    <x v="19"/>
    <x v="12"/>
    <x v="4"/>
    <n v="823132949"/>
  </r>
  <r>
    <d v="2025-10-06T00:00:00"/>
    <x v="1"/>
    <x v="9"/>
    <x v="40"/>
    <x v="5"/>
    <x v="24"/>
    <x v="18"/>
    <x v="1"/>
    <n v="5601680000"/>
  </r>
  <r>
    <d v="2025-10-07T00:00:00"/>
    <x v="1"/>
    <x v="9"/>
    <x v="40"/>
    <x v="6"/>
    <x v="3"/>
    <x v="3"/>
    <x v="1"/>
    <n v="0"/>
  </r>
  <r>
    <d v="2025-10-07T00:00:00"/>
    <x v="1"/>
    <x v="9"/>
    <x v="40"/>
    <x v="6"/>
    <x v="11"/>
    <x v="10"/>
    <x v="4"/>
    <n v="361899704"/>
  </r>
  <r>
    <d v="2025-10-07T00:00:00"/>
    <x v="1"/>
    <x v="9"/>
    <x v="40"/>
    <x v="6"/>
    <x v="12"/>
    <x v="11"/>
    <x v="1"/>
    <n v="16477900000"/>
  </r>
  <r>
    <d v="2025-10-07T00:00:00"/>
    <x v="1"/>
    <x v="9"/>
    <x v="40"/>
    <x v="6"/>
    <x v="5"/>
    <x v="5"/>
    <x v="3"/>
    <n v="2558351192"/>
  </r>
  <r>
    <d v="2025-10-07T00:00:00"/>
    <x v="1"/>
    <x v="9"/>
    <x v="40"/>
    <x v="6"/>
    <x v="27"/>
    <x v="19"/>
    <x v="0"/>
    <n v="8253576000"/>
  </r>
  <r>
    <d v="2025-10-07T00:00:00"/>
    <x v="1"/>
    <x v="9"/>
    <x v="40"/>
    <x v="6"/>
    <x v="15"/>
    <x v="14"/>
    <x v="4"/>
    <n v="49361549"/>
  </r>
  <r>
    <d v="2025-10-07T00:00:00"/>
    <x v="1"/>
    <x v="9"/>
    <x v="40"/>
    <x v="6"/>
    <x v="14"/>
    <x v="13"/>
    <x v="1"/>
    <n v="3446210000"/>
  </r>
  <r>
    <d v="2025-10-07T00:00:00"/>
    <x v="1"/>
    <x v="9"/>
    <x v="40"/>
    <x v="6"/>
    <x v="23"/>
    <x v="17"/>
    <x v="4"/>
    <n v="7930000"/>
  </r>
  <r>
    <d v="2025-10-07T00:00:00"/>
    <x v="1"/>
    <x v="9"/>
    <x v="40"/>
    <x v="6"/>
    <x v="28"/>
    <x v="17"/>
    <x v="4"/>
    <n v="686173000"/>
  </r>
  <r>
    <d v="2025-10-07T00:00:00"/>
    <x v="1"/>
    <x v="9"/>
    <x v="40"/>
    <x v="6"/>
    <x v="8"/>
    <x v="8"/>
    <x v="1"/>
    <n v="0"/>
  </r>
  <r>
    <d v="2025-10-07T00:00:00"/>
    <x v="1"/>
    <x v="9"/>
    <x v="40"/>
    <x v="6"/>
    <x v="26"/>
    <x v="16"/>
    <x v="1"/>
    <n v="167500000"/>
  </r>
  <r>
    <d v="2025-10-07T00:00:00"/>
    <x v="1"/>
    <x v="9"/>
    <x v="40"/>
    <x v="6"/>
    <x v="2"/>
    <x v="2"/>
    <x v="1"/>
    <n v="15264610000"/>
  </r>
  <r>
    <d v="2025-10-07T00:00:00"/>
    <x v="1"/>
    <x v="9"/>
    <x v="40"/>
    <x v="6"/>
    <x v="17"/>
    <x v="9"/>
    <x v="1"/>
    <n v="0"/>
  </r>
  <r>
    <d v="2025-10-07T00:00:00"/>
    <x v="1"/>
    <x v="9"/>
    <x v="40"/>
    <x v="6"/>
    <x v="20"/>
    <x v="9"/>
    <x v="1"/>
    <n v="0"/>
  </r>
  <r>
    <d v="2025-10-07T00:00:00"/>
    <x v="1"/>
    <x v="9"/>
    <x v="40"/>
    <x v="6"/>
    <x v="21"/>
    <x v="9"/>
    <x v="1"/>
    <n v="0"/>
  </r>
  <r>
    <d v="2025-10-07T00:00:00"/>
    <x v="1"/>
    <x v="9"/>
    <x v="40"/>
    <x v="6"/>
    <x v="25"/>
    <x v="2"/>
    <x v="1"/>
    <n v="18000000"/>
  </r>
  <r>
    <d v="2025-10-07T00:00:00"/>
    <x v="1"/>
    <x v="9"/>
    <x v="40"/>
    <x v="6"/>
    <x v="0"/>
    <x v="0"/>
    <x v="0"/>
    <n v="10362384000"/>
  </r>
  <r>
    <d v="2025-10-07T00:00:00"/>
    <x v="1"/>
    <x v="9"/>
    <x v="40"/>
    <x v="6"/>
    <x v="7"/>
    <x v="7"/>
    <x v="4"/>
    <n v="391843592"/>
  </r>
  <r>
    <d v="2025-10-07T00:00:00"/>
    <x v="1"/>
    <x v="9"/>
    <x v="40"/>
    <x v="6"/>
    <x v="1"/>
    <x v="1"/>
    <x v="1"/>
    <n v="52500000"/>
  </r>
  <r>
    <d v="2025-10-07T00:00:00"/>
    <x v="1"/>
    <x v="9"/>
    <x v="40"/>
    <x v="6"/>
    <x v="6"/>
    <x v="6"/>
    <x v="0"/>
    <n v="52000000"/>
  </r>
  <r>
    <d v="2025-10-07T00:00:00"/>
    <x v="1"/>
    <x v="9"/>
    <x v="40"/>
    <x v="6"/>
    <x v="18"/>
    <x v="15"/>
    <x v="1"/>
    <n v="497260000"/>
  </r>
  <r>
    <d v="2025-10-07T00:00:00"/>
    <x v="1"/>
    <x v="9"/>
    <x v="40"/>
    <x v="6"/>
    <x v="29"/>
    <x v="20"/>
    <x v="0"/>
    <n v="205200000"/>
  </r>
  <r>
    <d v="2025-10-07T00:00:00"/>
    <x v="1"/>
    <x v="9"/>
    <x v="40"/>
    <x v="6"/>
    <x v="19"/>
    <x v="12"/>
    <x v="4"/>
    <n v="515645297"/>
  </r>
  <r>
    <d v="2025-10-07T00:00:00"/>
    <x v="1"/>
    <x v="9"/>
    <x v="40"/>
    <x v="6"/>
    <x v="24"/>
    <x v="18"/>
    <x v="1"/>
    <n v="4730820000"/>
  </r>
  <r>
    <d v="2025-10-08T00:00:00"/>
    <x v="1"/>
    <x v="9"/>
    <x v="40"/>
    <x v="7"/>
    <x v="3"/>
    <x v="3"/>
    <x v="1"/>
    <n v="0"/>
  </r>
  <r>
    <d v="2025-10-08T00:00:00"/>
    <x v="1"/>
    <x v="9"/>
    <x v="40"/>
    <x v="7"/>
    <x v="11"/>
    <x v="10"/>
    <x v="4"/>
    <n v="393819032"/>
  </r>
  <r>
    <d v="2025-10-08T00:00:00"/>
    <x v="1"/>
    <x v="9"/>
    <x v="40"/>
    <x v="7"/>
    <x v="12"/>
    <x v="11"/>
    <x v="1"/>
    <n v="18102810000"/>
  </r>
  <r>
    <d v="2025-10-08T00:00:00"/>
    <x v="1"/>
    <x v="9"/>
    <x v="40"/>
    <x v="7"/>
    <x v="5"/>
    <x v="5"/>
    <x v="3"/>
    <n v="2897845636"/>
  </r>
  <r>
    <d v="2025-10-08T00:00:00"/>
    <x v="1"/>
    <x v="9"/>
    <x v="40"/>
    <x v="7"/>
    <x v="27"/>
    <x v="19"/>
    <x v="0"/>
    <n v="8362764000"/>
  </r>
  <r>
    <d v="2025-10-08T00:00:00"/>
    <x v="1"/>
    <x v="9"/>
    <x v="40"/>
    <x v="7"/>
    <x v="15"/>
    <x v="14"/>
    <x v="4"/>
    <n v="31939457"/>
  </r>
  <r>
    <d v="2025-10-08T00:00:00"/>
    <x v="1"/>
    <x v="9"/>
    <x v="40"/>
    <x v="7"/>
    <x v="14"/>
    <x v="13"/>
    <x v="1"/>
    <n v="2628360000"/>
  </r>
  <r>
    <d v="2025-10-08T00:00:00"/>
    <x v="1"/>
    <x v="9"/>
    <x v="40"/>
    <x v="7"/>
    <x v="23"/>
    <x v="17"/>
    <x v="4"/>
    <n v="17738000"/>
  </r>
  <r>
    <d v="2025-10-08T00:00:00"/>
    <x v="1"/>
    <x v="9"/>
    <x v="40"/>
    <x v="7"/>
    <x v="28"/>
    <x v="17"/>
    <x v="4"/>
    <n v="587017000"/>
  </r>
  <r>
    <d v="2025-10-08T00:00:00"/>
    <x v="1"/>
    <x v="9"/>
    <x v="40"/>
    <x v="7"/>
    <x v="8"/>
    <x v="8"/>
    <x v="1"/>
    <n v="0"/>
  </r>
  <r>
    <d v="2025-10-08T00:00:00"/>
    <x v="1"/>
    <x v="9"/>
    <x v="40"/>
    <x v="7"/>
    <x v="26"/>
    <x v="16"/>
    <x v="1"/>
    <n v="265500000"/>
  </r>
  <r>
    <d v="2025-10-08T00:00:00"/>
    <x v="1"/>
    <x v="9"/>
    <x v="40"/>
    <x v="7"/>
    <x v="2"/>
    <x v="2"/>
    <x v="1"/>
    <n v="15882360000"/>
  </r>
  <r>
    <d v="2025-10-08T00:00:00"/>
    <x v="1"/>
    <x v="9"/>
    <x v="40"/>
    <x v="7"/>
    <x v="17"/>
    <x v="9"/>
    <x v="1"/>
    <n v="0"/>
  </r>
  <r>
    <d v="2025-10-08T00:00:00"/>
    <x v="1"/>
    <x v="9"/>
    <x v="40"/>
    <x v="7"/>
    <x v="20"/>
    <x v="9"/>
    <x v="1"/>
    <n v="0"/>
  </r>
  <r>
    <d v="2025-10-08T00:00:00"/>
    <x v="1"/>
    <x v="9"/>
    <x v="40"/>
    <x v="7"/>
    <x v="21"/>
    <x v="9"/>
    <x v="1"/>
    <n v="0"/>
  </r>
  <r>
    <d v="2025-10-08T00:00:00"/>
    <x v="1"/>
    <x v="9"/>
    <x v="40"/>
    <x v="7"/>
    <x v="25"/>
    <x v="2"/>
    <x v="1"/>
    <n v="57000000"/>
  </r>
  <r>
    <d v="2025-10-08T00:00:00"/>
    <x v="1"/>
    <x v="9"/>
    <x v="40"/>
    <x v="7"/>
    <x v="0"/>
    <x v="0"/>
    <x v="0"/>
    <n v="10276308000"/>
  </r>
  <r>
    <d v="2025-10-08T00:00:00"/>
    <x v="1"/>
    <x v="9"/>
    <x v="40"/>
    <x v="7"/>
    <x v="7"/>
    <x v="7"/>
    <x v="4"/>
    <n v="363932231"/>
  </r>
  <r>
    <d v="2025-10-08T00:00:00"/>
    <x v="1"/>
    <x v="9"/>
    <x v="40"/>
    <x v="7"/>
    <x v="1"/>
    <x v="1"/>
    <x v="1"/>
    <n v="52500000"/>
  </r>
  <r>
    <d v="2025-10-08T00:00:00"/>
    <x v="1"/>
    <x v="9"/>
    <x v="40"/>
    <x v="7"/>
    <x v="6"/>
    <x v="6"/>
    <x v="0"/>
    <n v="21000000"/>
  </r>
  <r>
    <d v="2025-10-08T00:00:00"/>
    <x v="1"/>
    <x v="9"/>
    <x v="40"/>
    <x v="7"/>
    <x v="18"/>
    <x v="15"/>
    <x v="1"/>
    <n v="753380000"/>
  </r>
  <r>
    <d v="2025-10-08T00:00:00"/>
    <x v="1"/>
    <x v="9"/>
    <x v="40"/>
    <x v="7"/>
    <x v="29"/>
    <x v="20"/>
    <x v="0"/>
    <n v="198720000"/>
  </r>
  <r>
    <d v="2025-10-08T00:00:00"/>
    <x v="1"/>
    <x v="9"/>
    <x v="40"/>
    <x v="7"/>
    <x v="19"/>
    <x v="12"/>
    <x v="4"/>
    <n v="436032451"/>
  </r>
  <r>
    <d v="2025-10-08T00:00:00"/>
    <x v="1"/>
    <x v="9"/>
    <x v="40"/>
    <x v="7"/>
    <x v="24"/>
    <x v="18"/>
    <x v="1"/>
    <n v="4437630000"/>
  </r>
  <r>
    <d v="2025-10-09T00:00:00"/>
    <x v="1"/>
    <x v="9"/>
    <x v="40"/>
    <x v="8"/>
    <x v="3"/>
    <x v="3"/>
    <x v="1"/>
    <n v="0"/>
  </r>
  <r>
    <d v="2025-10-09T00:00:00"/>
    <x v="1"/>
    <x v="9"/>
    <x v="40"/>
    <x v="8"/>
    <x v="11"/>
    <x v="10"/>
    <x v="4"/>
    <n v="319276311"/>
  </r>
  <r>
    <d v="2025-10-09T00:00:00"/>
    <x v="1"/>
    <x v="9"/>
    <x v="40"/>
    <x v="8"/>
    <x v="12"/>
    <x v="11"/>
    <x v="1"/>
    <n v="17245320000"/>
  </r>
  <r>
    <d v="2025-10-09T00:00:00"/>
    <x v="1"/>
    <x v="9"/>
    <x v="40"/>
    <x v="8"/>
    <x v="5"/>
    <x v="5"/>
    <x v="3"/>
    <n v="2955455172"/>
  </r>
  <r>
    <d v="2025-10-09T00:00:00"/>
    <x v="1"/>
    <x v="9"/>
    <x v="40"/>
    <x v="8"/>
    <x v="27"/>
    <x v="19"/>
    <x v="0"/>
    <n v="8826300000"/>
  </r>
  <r>
    <d v="2025-10-09T00:00:00"/>
    <x v="1"/>
    <x v="9"/>
    <x v="40"/>
    <x v="8"/>
    <x v="15"/>
    <x v="14"/>
    <x v="4"/>
    <n v="29691868"/>
  </r>
  <r>
    <d v="2025-10-09T00:00:00"/>
    <x v="1"/>
    <x v="9"/>
    <x v="40"/>
    <x v="8"/>
    <x v="14"/>
    <x v="13"/>
    <x v="1"/>
    <n v="2933710000"/>
  </r>
  <r>
    <d v="2025-10-09T00:00:00"/>
    <x v="1"/>
    <x v="9"/>
    <x v="40"/>
    <x v="8"/>
    <x v="23"/>
    <x v="17"/>
    <x v="4"/>
    <n v="26820000"/>
  </r>
  <r>
    <d v="2025-10-09T00:00:00"/>
    <x v="1"/>
    <x v="9"/>
    <x v="40"/>
    <x v="8"/>
    <x v="28"/>
    <x v="17"/>
    <x v="4"/>
    <n v="645346650"/>
  </r>
  <r>
    <d v="2025-10-09T00:00:00"/>
    <x v="1"/>
    <x v="9"/>
    <x v="40"/>
    <x v="8"/>
    <x v="8"/>
    <x v="8"/>
    <x v="1"/>
    <n v="0"/>
  </r>
  <r>
    <d v="2025-10-09T00:00:00"/>
    <x v="1"/>
    <x v="9"/>
    <x v="40"/>
    <x v="8"/>
    <x v="26"/>
    <x v="16"/>
    <x v="1"/>
    <n v="361350000"/>
  </r>
  <r>
    <d v="2025-10-09T00:00:00"/>
    <x v="1"/>
    <x v="9"/>
    <x v="40"/>
    <x v="8"/>
    <x v="2"/>
    <x v="2"/>
    <x v="1"/>
    <n v="16271270000"/>
  </r>
  <r>
    <d v="2025-10-09T00:00:00"/>
    <x v="1"/>
    <x v="9"/>
    <x v="40"/>
    <x v="8"/>
    <x v="17"/>
    <x v="9"/>
    <x v="1"/>
    <n v="0"/>
  </r>
  <r>
    <d v="2025-10-09T00:00:00"/>
    <x v="1"/>
    <x v="9"/>
    <x v="40"/>
    <x v="8"/>
    <x v="20"/>
    <x v="9"/>
    <x v="1"/>
    <n v="0"/>
  </r>
  <r>
    <d v="2025-10-09T00:00:00"/>
    <x v="1"/>
    <x v="9"/>
    <x v="40"/>
    <x v="8"/>
    <x v="21"/>
    <x v="9"/>
    <x v="1"/>
    <n v="0"/>
  </r>
  <r>
    <d v="2025-10-09T00:00:00"/>
    <x v="1"/>
    <x v="9"/>
    <x v="40"/>
    <x v="8"/>
    <x v="25"/>
    <x v="2"/>
    <x v="1"/>
    <n v="0"/>
  </r>
  <r>
    <d v="2025-10-09T00:00:00"/>
    <x v="1"/>
    <x v="9"/>
    <x v="40"/>
    <x v="8"/>
    <x v="0"/>
    <x v="0"/>
    <x v="0"/>
    <n v="8928684000"/>
  </r>
  <r>
    <d v="2025-10-09T00:00:00"/>
    <x v="1"/>
    <x v="9"/>
    <x v="40"/>
    <x v="8"/>
    <x v="7"/>
    <x v="7"/>
    <x v="4"/>
    <n v="368923861"/>
  </r>
  <r>
    <d v="2025-10-09T00:00:00"/>
    <x v="1"/>
    <x v="9"/>
    <x v="40"/>
    <x v="8"/>
    <x v="1"/>
    <x v="1"/>
    <x v="1"/>
    <n v="10000000"/>
  </r>
  <r>
    <d v="2025-10-09T00:00:00"/>
    <x v="1"/>
    <x v="9"/>
    <x v="40"/>
    <x v="8"/>
    <x v="6"/>
    <x v="6"/>
    <x v="0"/>
    <n v="87000000"/>
  </r>
  <r>
    <d v="2025-10-09T00:00:00"/>
    <x v="1"/>
    <x v="9"/>
    <x v="40"/>
    <x v="8"/>
    <x v="18"/>
    <x v="15"/>
    <x v="1"/>
    <n v="728650000"/>
  </r>
  <r>
    <d v="2025-10-09T00:00:00"/>
    <x v="1"/>
    <x v="9"/>
    <x v="40"/>
    <x v="8"/>
    <x v="29"/>
    <x v="20"/>
    <x v="0"/>
    <n v="205200000"/>
  </r>
  <r>
    <d v="2025-10-09T00:00:00"/>
    <x v="1"/>
    <x v="9"/>
    <x v="40"/>
    <x v="8"/>
    <x v="19"/>
    <x v="12"/>
    <x v="4"/>
    <n v="429871416"/>
  </r>
  <r>
    <d v="2025-10-09T00:00:00"/>
    <x v="1"/>
    <x v="9"/>
    <x v="40"/>
    <x v="8"/>
    <x v="24"/>
    <x v="18"/>
    <x v="1"/>
    <n v="4615460000"/>
  </r>
  <r>
    <d v="2025-10-10T00:00:00"/>
    <x v="1"/>
    <x v="9"/>
    <x v="40"/>
    <x v="9"/>
    <x v="3"/>
    <x v="3"/>
    <x v="1"/>
    <n v="0"/>
  </r>
  <r>
    <d v="2025-10-10T00:00:00"/>
    <x v="1"/>
    <x v="9"/>
    <x v="40"/>
    <x v="9"/>
    <x v="11"/>
    <x v="10"/>
    <x v="4"/>
    <n v="307060316"/>
  </r>
  <r>
    <d v="2025-10-10T00:00:00"/>
    <x v="1"/>
    <x v="9"/>
    <x v="40"/>
    <x v="9"/>
    <x v="12"/>
    <x v="11"/>
    <x v="1"/>
    <n v="20878080000"/>
  </r>
  <r>
    <d v="2025-10-10T00:00:00"/>
    <x v="1"/>
    <x v="9"/>
    <x v="40"/>
    <x v="9"/>
    <x v="5"/>
    <x v="5"/>
    <x v="3"/>
    <n v="3327098076"/>
  </r>
  <r>
    <d v="2025-10-10T00:00:00"/>
    <x v="1"/>
    <x v="9"/>
    <x v="40"/>
    <x v="9"/>
    <x v="27"/>
    <x v="19"/>
    <x v="0"/>
    <n v="11263752000"/>
  </r>
  <r>
    <d v="2025-10-10T00:00:00"/>
    <x v="1"/>
    <x v="9"/>
    <x v="40"/>
    <x v="9"/>
    <x v="15"/>
    <x v="14"/>
    <x v="4"/>
    <n v="23682126"/>
  </r>
  <r>
    <d v="2025-10-10T00:00:00"/>
    <x v="1"/>
    <x v="9"/>
    <x v="40"/>
    <x v="9"/>
    <x v="14"/>
    <x v="13"/>
    <x v="1"/>
    <n v="3643860000"/>
  </r>
  <r>
    <d v="2025-10-10T00:00:00"/>
    <x v="1"/>
    <x v="9"/>
    <x v="40"/>
    <x v="9"/>
    <x v="23"/>
    <x v="17"/>
    <x v="4"/>
    <n v="25834000"/>
  </r>
  <r>
    <d v="2025-10-10T00:00:00"/>
    <x v="1"/>
    <x v="9"/>
    <x v="40"/>
    <x v="9"/>
    <x v="28"/>
    <x v="17"/>
    <x v="4"/>
    <n v="790936000"/>
  </r>
  <r>
    <d v="2025-10-10T00:00:00"/>
    <x v="1"/>
    <x v="9"/>
    <x v="40"/>
    <x v="9"/>
    <x v="8"/>
    <x v="8"/>
    <x v="1"/>
    <n v="0"/>
  </r>
  <r>
    <d v="2025-10-10T00:00:00"/>
    <x v="1"/>
    <x v="9"/>
    <x v="40"/>
    <x v="9"/>
    <x v="26"/>
    <x v="16"/>
    <x v="1"/>
    <n v="120250000"/>
  </r>
  <r>
    <d v="2025-10-10T00:00:00"/>
    <x v="1"/>
    <x v="9"/>
    <x v="40"/>
    <x v="9"/>
    <x v="2"/>
    <x v="2"/>
    <x v="1"/>
    <n v="16446010000"/>
  </r>
  <r>
    <d v="2025-10-10T00:00:00"/>
    <x v="1"/>
    <x v="9"/>
    <x v="40"/>
    <x v="9"/>
    <x v="17"/>
    <x v="9"/>
    <x v="1"/>
    <n v="0"/>
  </r>
  <r>
    <d v="2025-10-10T00:00:00"/>
    <x v="1"/>
    <x v="9"/>
    <x v="40"/>
    <x v="9"/>
    <x v="20"/>
    <x v="9"/>
    <x v="1"/>
    <n v="0"/>
  </r>
  <r>
    <d v="2025-10-10T00:00:00"/>
    <x v="1"/>
    <x v="9"/>
    <x v="40"/>
    <x v="9"/>
    <x v="21"/>
    <x v="9"/>
    <x v="1"/>
    <n v="0"/>
  </r>
  <r>
    <d v="2025-10-10T00:00:00"/>
    <x v="1"/>
    <x v="9"/>
    <x v="40"/>
    <x v="9"/>
    <x v="25"/>
    <x v="2"/>
    <x v="1"/>
    <n v="0"/>
  </r>
  <r>
    <d v="2025-10-10T00:00:00"/>
    <x v="1"/>
    <x v="9"/>
    <x v="40"/>
    <x v="9"/>
    <x v="0"/>
    <x v="0"/>
    <x v="0"/>
    <n v="14310648000"/>
  </r>
  <r>
    <d v="2025-10-10T00:00:00"/>
    <x v="1"/>
    <x v="9"/>
    <x v="40"/>
    <x v="9"/>
    <x v="7"/>
    <x v="7"/>
    <x v="4"/>
    <n v="317698396"/>
  </r>
  <r>
    <d v="2025-10-10T00:00:00"/>
    <x v="1"/>
    <x v="9"/>
    <x v="40"/>
    <x v="9"/>
    <x v="1"/>
    <x v="1"/>
    <x v="1"/>
    <n v="0"/>
  </r>
  <r>
    <d v="2025-10-10T00:00:00"/>
    <x v="1"/>
    <x v="9"/>
    <x v="40"/>
    <x v="9"/>
    <x v="6"/>
    <x v="6"/>
    <x v="0"/>
    <n v="41000000"/>
  </r>
  <r>
    <d v="2025-10-10T00:00:00"/>
    <x v="1"/>
    <x v="9"/>
    <x v="40"/>
    <x v="9"/>
    <x v="18"/>
    <x v="15"/>
    <x v="1"/>
    <n v="807170000"/>
  </r>
  <r>
    <d v="2025-10-10T00:00:00"/>
    <x v="1"/>
    <x v="9"/>
    <x v="40"/>
    <x v="9"/>
    <x v="29"/>
    <x v="20"/>
    <x v="0"/>
    <n v="222480000"/>
  </r>
  <r>
    <d v="2025-10-10T00:00:00"/>
    <x v="1"/>
    <x v="9"/>
    <x v="40"/>
    <x v="9"/>
    <x v="19"/>
    <x v="12"/>
    <x v="4"/>
    <n v="453848347"/>
  </r>
  <r>
    <d v="2025-10-10T00:00:00"/>
    <x v="1"/>
    <x v="9"/>
    <x v="40"/>
    <x v="9"/>
    <x v="24"/>
    <x v="18"/>
    <x v="1"/>
    <n v="4927710000"/>
  </r>
  <r>
    <d v="2025-10-11T00:00:00"/>
    <x v="1"/>
    <x v="9"/>
    <x v="40"/>
    <x v="10"/>
    <x v="3"/>
    <x v="3"/>
    <x v="1"/>
    <n v="0"/>
  </r>
  <r>
    <d v="2025-10-11T00:00:00"/>
    <x v="1"/>
    <x v="9"/>
    <x v="40"/>
    <x v="10"/>
    <x v="11"/>
    <x v="10"/>
    <x v="4"/>
    <n v="340720783"/>
  </r>
  <r>
    <d v="2025-10-11T00:00:00"/>
    <x v="1"/>
    <x v="9"/>
    <x v="40"/>
    <x v="10"/>
    <x v="12"/>
    <x v="11"/>
    <x v="1"/>
    <n v="18667780000"/>
  </r>
  <r>
    <d v="2025-10-11T00:00:00"/>
    <x v="1"/>
    <x v="9"/>
    <x v="40"/>
    <x v="10"/>
    <x v="5"/>
    <x v="5"/>
    <x v="3"/>
    <n v="2309568985"/>
  </r>
  <r>
    <d v="2025-10-11T00:00:00"/>
    <x v="1"/>
    <x v="9"/>
    <x v="40"/>
    <x v="10"/>
    <x v="27"/>
    <x v="19"/>
    <x v="0"/>
    <n v="9232272000"/>
  </r>
  <r>
    <d v="2025-10-11T00:00:00"/>
    <x v="1"/>
    <x v="9"/>
    <x v="40"/>
    <x v="10"/>
    <x v="15"/>
    <x v="14"/>
    <x v="4"/>
    <n v="39648800"/>
  </r>
  <r>
    <d v="2025-10-11T00:00:00"/>
    <x v="1"/>
    <x v="9"/>
    <x v="40"/>
    <x v="10"/>
    <x v="14"/>
    <x v="13"/>
    <x v="1"/>
    <n v="3381520000"/>
  </r>
  <r>
    <d v="2025-10-11T00:00:00"/>
    <x v="1"/>
    <x v="9"/>
    <x v="40"/>
    <x v="10"/>
    <x v="23"/>
    <x v="17"/>
    <x v="4"/>
    <n v="16830000"/>
  </r>
  <r>
    <d v="2025-10-11T00:00:00"/>
    <x v="1"/>
    <x v="9"/>
    <x v="40"/>
    <x v="10"/>
    <x v="28"/>
    <x v="17"/>
    <x v="4"/>
    <n v="1069123000"/>
  </r>
  <r>
    <d v="2025-10-11T00:00:00"/>
    <x v="1"/>
    <x v="9"/>
    <x v="40"/>
    <x v="10"/>
    <x v="8"/>
    <x v="8"/>
    <x v="1"/>
    <n v="0"/>
  </r>
  <r>
    <d v="2025-10-11T00:00:00"/>
    <x v="1"/>
    <x v="9"/>
    <x v="40"/>
    <x v="10"/>
    <x v="26"/>
    <x v="16"/>
    <x v="1"/>
    <n v="241500000"/>
  </r>
  <r>
    <d v="2025-10-11T00:00:00"/>
    <x v="1"/>
    <x v="9"/>
    <x v="40"/>
    <x v="10"/>
    <x v="2"/>
    <x v="2"/>
    <x v="1"/>
    <n v="15313400000"/>
  </r>
  <r>
    <d v="2025-10-11T00:00:00"/>
    <x v="1"/>
    <x v="9"/>
    <x v="40"/>
    <x v="10"/>
    <x v="17"/>
    <x v="9"/>
    <x v="1"/>
    <n v="0"/>
  </r>
  <r>
    <d v="2025-10-11T00:00:00"/>
    <x v="1"/>
    <x v="9"/>
    <x v="40"/>
    <x v="10"/>
    <x v="20"/>
    <x v="9"/>
    <x v="1"/>
    <n v="0"/>
  </r>
  <r>
    <d v="2025-10-11T00:00:00"/>
    <x v="1"/>
    <x v="9"/>
    <x v="40"/>
    <x v="10"/>
    <x v="21"/>
    <x v="9"/>
    <x v="1"/>
    <n v="0"/>
  </r>
  <r>
    <d v="2025-10-11T00:00:00"/>
    <x v="1"/>
    <x v="9"/>
    <x v="40"/>
    <x v="10"/>
    <x v="25"/>
    <x v="2"/>
    <x v="1"/>
    <n v="12000000"/>
  </r>
  <r>
    <d v="2025-10-11T00:00:00"/>
    <x v="1"/>
    <x v="9"/>
    <x v="40"/>
    <x v="10"/>
    <x v="0"/>
    <x v="0"/>
    <x v="0"/>
    <n v="13391676000"/>
  </r>
  <r>
    <d v="2025-10-11T00:00:00"/>
    <x v="1"/>
    <x v="9"/>
    <x v="40"/>
    <x v="10"/>
    <x v="7"/>
    <x v="7"/>
    <x v="4"/>
    <n v="292225378"/>
  </r>
  <r>
    <d v="2025-10-11T00:00:00"/>
    <x v="1"/>
    <x v="9"/>
    <x v="40"/>
    <x v="10"/>
    <x v="1"/>
    <x v="1"/>
    <x v="1"/>
    <n v="10500000"/>
  </r>
  <r>
    <d v="2025-10-11T00:00:00"/>
    <x v="1"/>
    <x v="9"/>
    <x v="40"/>
    <x v="10"/>
    <x v="6"/>
    <x v="6"/>
    <x v="0"/>
    <n v="46000000"/>
  </r>
  <r>
    <d v="2025-10-11T00:00:00"/>
    <x v="1"/>
    <x v="9"/>
    <x v="40"/>
    <x v="10"/>
    <x v="18"/>
    <x v="15"/>
    <x v="1"/>
    <n v="683440000"/>
  </r>
  <r>
    <d v="2025-10-11T00:00:00"/>
    <x v="1"/>
    <x v="9"/>
    <x v="40"/>
    <x v="10"/>
    <x v="29"/>
    <x v="20"/>
    <x v="0"/>
    <n v="173880000"/>
  </r>
  <r>
    <d v="2025-10-11T00:00:00"/>
    <x v="1"/>
    <x v="9"/>
    <x v="40"/>
    <x v="10"/>
    <x v="19"/>
    <x v="12"/>
    <x v="4"/>
    <n v="306121997"/>
  </r>
  <r>
    <d v="2025-10-11T00:00:00"/>
    <x v="1"/>
    <x v="9"/>
    <x v="40"/>
    <x v="10"/>
    <x v="24"/>
    <x v="18"/>
    <x v="1"/>
    <n v="3620980000"/>
  </r>
  <r>
    <d v="2025-10-12T00:00:00"/>
    <x v="1"/>
    <x v="9"/>
    <x v="40"/>
    <x v="11"/>
    <x v="3"/>
    <x v="3"/>
    <x v="1"/>
    <n v="0"/>
  </r>
  <r>
    <d v="2025-10-12T00:00:00"/>
    <x v="1"/>
    <x v="9"/>
    <x v="40"/>
    <x v="11"/>
    <x v="11"/>
    <x v="10"/>
    <x v="4"/>
    <n v="330616115"/>
  </r>
  <r>
    <d v="2025-10-12T00:00:00"/>
    <x v="1"/>
    <x v="9"/>
    <x v="40"/>
    <x v="11"/>
    <x v="12"/>
    <x v="11"/>
    <x v="1"/>
    <n v="14904150000"/>
  </r>
  <r>
    <d v="2025-10-12T00:00:00"/>
    <x v="1"/>
    <x v="9"/>
    <x v="40"/>
    <x v="11"/>
    <x v="5"/>
    <x v="5"/>
    <x v="3"/>
    <n v="2078176771"/>
  </r>
  <r>
    <d v="2025-10-12T00:00:00"/>
    <x v="1"/>
    <x v="9"/>
    <x v="40"/>
    <x v="11"/>
    <x v="27"/>
    <x v="19"/>
    <x v="0"/>
    <n v="8355312000"/>
  </r>
  <r>
    <d v="2025-10-12T00:00:00"/>
    <x v="1"/>
    <x v="9"/>
    <x v="40"/>
    <x v="11"/>
    <x v="15"/>
    <x v="14"/>
    <x v="4"/>
    <n v="13876619"/>
  </r>
  <r>
    <d v="2025-10-12T00:00:00"/>
    <x v="1"/>
    <x v="9"/>
    <x v="40"/>
    <x v="11"/>
    <x v="14"/>
    <x v="13"/>
    <x v="1"/>
    <n v="3615340000"/>
  </r>
  <r>
    <d v="2025-10-12T00:00:00"/>
    <x v="1"/>
    <x v="9"/>
    <x v="40"/>
    <x v="11"/>
    <x v="23"/>
    <x v="17"/>
    <x v="4"/>
    <n v="6926000"/>
  </r>
  <r>
    <d v="2025-10-12T00:00:00"/>
    <x v="1"/>
    <x v="9"/>
    <x v="40"/>
    <x v="11"/>
    <x v="28"/>
    <x v="17"/>
    <x v="4"/>
    <n v="902088000"/>
  </r>
  <r>
    <d v="2025-10-12T00:00:00"/>
    <x v="1"/>
    <x v="9"/>
    <x v="40"/>
    <x v="11"/>
    <x v="8"/>
    <x v="8"/>
    <x v="1"/>
    <n v="0"/>
  </r>
  <r>
    <d v="2025-10-12T00:00:00"/>
    <x v="1"/>
    <x v="9"/>
    <x v="40"/>
    <x v="11"/>
    <x v="26"/>
    <x v="16"/>
    <x v="1"/>
    <n v="105000000"/>
  </r>
  <r>
    <d v="2025-10-12T00:00:00"/>
    <x v="1"/>
    <x v="9"/>
    <x v="40"/>
    <x v="11"/>
    <x v="2"/>
    <x v="2"/>
    <x v="1"/>
    <n v="14712640000"/>
  </r>
  <r>
    <d v="2025-10-12T00:00:00"/>
    <x v="1"/>
    <x v="9"/>
    <x v="40"/>
    <x v="11"/>
    <x v="17"/>
    <x v="9"/>
    <x v="1"/>
    <n v="0"/>
  </r>
  <r>
    <d v="2025-10-12T00:00:00"/>
    <x v="1"/>
    <x v="9"/>
    <x v="40"/>
    <x v="11"/>
    <x v="20"/>
    <x v="9"/>
    <x v="1"/>
    <n v="0"/>
  </r>
  <r>
    <d v="2025-10-12T00:00:00"/>
    <x v="1"/>
    <x v="9"/>
    <x v="40"/>
    <x v="11"/>
    <x v="21"/>
    <x v="9"/>
    <x v="1"/>
    <n v="0"/>
  </r>
  <r>
    <d v="2025-10-12T00:00:00"/>
    <x v="1"/>
    <x v="9"/>
    <x v="40"/>
    <x v="11"/>
    <x v="25"/>
    <x v="2"/>
    <x v="1"/>
    <n v="5000000"/>
  </r>
  <r>
    <d v="2025-10-12T00:00:00"/>
    <x v="1"/>
    <x v="9"/>
    <x v="40"/>
    <x v="11"/>
    <x v="0"/>
    <x v="0"/>
    <x v="0"/>
    <n v="11218176000"/>
  </r>
  <r>
    <d v="2025-10-12T00:00:00"/>
    <x v="1"/>
    <x v="9"/>
    <x v="40"/>
    <x v="11"/>
    <x v="7"/>
    <x v="7"/>
    <x v="4"/>
    <n v="223020371"/>
  </r>
  <r>
    <d v="2025-10-12T00:00:00"/>
    <x v="1"/>
    <x v="9"/>
    <x v="40"/>
    <x v="11"/>
    <x v="1"/>
    <x v="1"/>
    <x v="1"/>
    <n v="105000000"/>
  </r>
  <r>
    <d v="2025-10-12T00:00:00"/>
    <x v="1"/>
    <x v="9"/>
    <x v="40"/>
    <x v="11"/>
    <x v="6"/>
    <x v="6"/>
    <x v="0"/>
    <n v="14000000"/>
  </r>
  <r>
    <d v="2025-10-12T00:00:00"/>
    <x v="1"/>
    <x v="9"/>
    <x v="40"/>
    <x v="11"/>
    <x v="18"/>
    <x v="15"/>
    <x v="1"/>
    <n v="516250000"/>
  </r>
  <r>
    <d v="2025-10-12T00:00:00"/>
    <x v="1"/>
    <x v="9"/>
    <x v="40"/>
    <x v="11"/>
    <x v="29"/>
    <x v="20"/>
    <x v="0"/>
    <n v="178200000"/>
  </r>
  <r>
    <d v="2025-10-12T00:00:00"/>
    <x v="1"/>
    <x v="9"/>
    <x v="40"/>
    <x v="11"/>
    <x v="19"/>
    <x v="12"/>
    <x v="4"/>
    <n v="264768521"/>
  </r>
  <r>
    <d v="2025-10-12T00:00:00"/>
    <x v="1"/>
    <x v="9"/>
    <x v="40"/>
    <x v="11"/>
    <x v="24"/>
    <x v="18"/>
    <x v="1"/>
    <n v="4203870000"/>
  </r>
  <r>
    <d v="2025-10-13T00:00:00"/>
    <x v="1"/>
    <x v="9"/>
    <x v="41"/>
    <x v="12"/>
    <x v="3"/>
    <x v="3"/>
    <x v="1"/>
    <n v="0"/>
  </r>
  <r>
    <d v="2025-10-13T00:00:00"/>
    <x v="1"/>
    <x v="9"/>
    <x v="41"/>
    <x v="12"/>
    <x v="11"/>
    <x v="10"/>
    <x v="4"/>
    <n v="294533566"/>
  </r>
  <r>
    <d v="2025-10-13T00:00:00"/>
    <x v="1"/>
    <x v="9"/>
    <x v="41"/>
    <x v="12"/>
    <x v="12"/>
    <x v="11"/>
    <x v="1"/>
    <n v="17791240000"/>
  </r>
  <r>
    <d v="2025-10-13T00:00:00"/>
    <x v="1"/>
    <x v="9"/>
    <x v="41"/>
    <x v="12"/>
    <x v="5"/>
    <x v="5"/>
    <x v="3"/>
    <n v="2889618786"/>
  </r>
  <r>
    <d v="2025-10-13T00:00:00"/>
    <x v="1"/>
    <x v="9"/>
    <x v="41"/>
    <x v="12"/>
    <x v="27"/>
    <x v="19"/>
    <x v="0"/>
    <n v="9071892000"/>
  </r>
  <r>
    <d v="2025-10-13T00:00:00"/>
    <x v="1"/>
    <x v="9"/>
    <x v="41"/>
    <x v="12"/>
    <x v="15"/>
    <x v="14"/>
    <x v="4"/>
    <n v="16749211"/>
  </r>
  <r>
    <d v="2025-10-13T00:00:00"/>
    <x v="1"/>
    <x v="9"/>
    <x v="41"/>
    <x v="12"/>
    <x v="14"/>
    <x v="13"/>
    <x v="1"/>
    <n v="3698450000"/>
  </r>
  <r>
    <d v="2025-10-13T00:00:00"/>
    <x v="1"/>
    <x v="9"/>
    <x v="41"/>
    <x v="12"/>
    <x v="23"/>
    <x v="17"/>
    <x v="4"/>
    <n v="26733000"/>
  </r>
  <r>
    <d v="2025-10-13T00:00:00"/>
    <x v="1"/>
    <x v="9"/>
    <x v="41"/>
    <x v="12"/>
    <x v="28"/>
    <x v="17"/>
    <x v="4"/>
    <n v="675400000"/>
  </r>
  <r>
    <d v="2025-10-13T00:00:00"/>
    <x v="1"/>
    <x v="9"/>
    <x v="41"/>
    <x v="12"/>
    <x v="8"/>
    <x v="8"/>
    <x v="1"/>
    <n v="0"/>
  </r>
  <r>
    <d v="2025-10-13T00:00:00"/>
    <x v="1"/>
    <x v="9"/>
    <x v="41"/>
    <x v="12"/>
    <x v="26"/>
    <x v="16"/>
    <x v="1"/>
    <n v="214250000"/>
  </r>
  <r>
    <d v="2025-10-13T00:00:00"/>
    <x v="1"/>
    <x v="9"/>
    <x v="41"/>
    <x v="12"/>
    <x v="2"/>
    <x v="2"/>
    <x v="1"/>
    <n v="15957370000"/>
  </r>
  <r>
    <d v="2025-10-13T00:00:00"/>
    <x v="1"/>
    <x v="9"/>
    <x v="41"/>
    <x v="12"/>
    <x v="17"/>
    <x v="9"/>
    <x v="1"/>
    <n v="0"/>
  </r>
  <r>
    <d v="2025-10-13T00:00:00"/>
    <x v="1"/>
    <x v="9"/>
    <x v="41"/>
    <x v="12"/>
    <x v="20"/>
    <x v="9"/>
    <x v="1"/>
    <n v="0"/>
  </r>
  <r>
    <d v="2025-10-13T00:00:00"/>
    <x v="1"/>
    <x v="9"/>
    <x v="41"/>
    <x v="12"/>
    <x v="21"/>
    <x v="9"/>
    <x v="1"/>
    <n v="0"/>
  </r>
  <r>
    <d v="2025-10-13T00:00:00"/>
    <x v="1"/>
    <x v="9"/>
    <x v="41"/>
    <x v="12"/>
    <x v="25"/>
    <x v="2"/>
    <x v="1"/>
    <n v="0"/>
  </r>
  <r>
    <d v="2025-10-13T00:00:00"/>
    <x v="1"/>
    <x v="9"/>
    <x v="41"/>
    <x v="12"/>
    <x v="0"/>
    <x v="0"/>
    <x v="0"/>
    <n v="11594448000"/>
  </r>
  <r>
    <d v="2025-10-13T00:00:00"/>
    <x v="1"/>
    <x v="9"/>
    <x v="41"/>
    <x v="12"/>
    <x v="7"/>
    <x v="7"/>
    <x v="4"/>
    <n v="232575429"/>
  </r>
  <r>
    <d v="2025-10-13T00:00:00"/>
    <x v="1"/>
    <x v="9"/>
    <x v="41"/>
    <x v="12"/>
    <x v="1"/>
    <x v="1"/>
    <x v="1"/>
    <n v="41000000"/>
  </r>
  <r>
    <d v="2025-10-13T00:00:00"/>
    <x v="1"/>
    <x v="9"/>
    <x v="41"/>
    <x v="12"/>
    <x v="6"/>
    <x v="6"/>
    <x v="0"/>
    <n v="31000000"/>
  </r>
  <r>
    <d v="2025-10-13T00:00:00"/>
    <x v="1"/>
    <x v="9"/>
    <x v="41"/>
    <x v="12"/>
    <x v="18"/>
    <x v="15"/>
    <x v="1"/>
    <n v="432080000"/>
  </r>
  <r>
    <d v="2025-10-13T00:00:00"/>
    <x v="1"/>
    <x v="9"/>
    <x v="41"/>
    <x v="12"/>
    <x v="29"/>
    <x v="20"/>
    <x v="0"/>
    <n v="154440000"/>
  </r>
  <r>
    <d v="2025-10-13T00:00:00"/>
    <x v="1"/>
    <x v="9"/>
    <x v="41"/>
    <x v="12"/>
    <x v="19"/>
    <x v="12"/>
    <x v="4"/>
    <n v="326435642"/>
  </r>
  <r>
    <d v="2025-10-13T00:00:00"/>
    <x v="1"/>
    <x v="9"/>
    <x v="41"/>
    <x v="12"/>
    <x v="24"/>
    <x v="18"/>
    <x v="1"/>
    <n v="3955990000"/>
  </r>
  <r>
    <d v="2025-10-14T00:00:00"/>
    <x v="1"/>
    <x v="9"/>
    <x v="41"/>
    <x v="13"/>
    <x v="3"/>
    <x v="3"/>
    <x v="1"/>
    <n v="0"/>
  </r>
  <r>
    <d v="2025-10-14T00:00:00"/>
    <x v="1"/>
    <x v="9"/>
    <x v="41"/>
    <x v="13"/>
    <x v="11"/>
    <x v="10"/>
    <x v="4"/>
    <n v="298061286"/>
  </r>
  <r>
    <d v="2025-10-14T00:00:00"/>
    <x v="1"/>
    <x v="9"/>
    <x v="41"/>
    <x v="13"/>
    <x v="12"/>
    <x v="11"/>
    <x v="1"/>
    <n v="18147530000"/>
  </r>
  <r>
    <d v="2025-10-14T00:00:00"/>
    <x v="1"/>
    <x v="9"/>
    <x v="41"/>
    <x v="13"/>
    <x v="5"/>
    <x v="5"/>
    <x v="3"/>
    <n v="2395117142"/>
  </r>
  <r>
    <d v="2025-10-14T00:00:00"/>
    <x v="1"/>
    <x v="9"/>
    <x v="41"/>
    <x v="13"/>
    <x v="27"/>
    <x v="19"/>
    <x v="0"/>
    <n v="9351180000"/>
  </r>
  <r>
    <d v="2025-10-14T00:00:00"/>
    <x v="1"/>
    <x v="9"/>
    <x v="41"/>
    <x v="13"/>
    <x v="15"/>
    <x v="14"/>
    <x v="4"/>
    <n v="15565466"/>
  </r>
  <r>
    <d v="2025-10-14T00:00:00"/>
    <x v="1"/>
    <x v="9"/>
    <x v="41"/>
    <x v="13"/>
    <x v="14"/>
    <x v="13"/>
    <x v="1"/>
    <n v="4111950000"/>
  </r>
  <r>
    <d v="2025-10-14T00:00:00"/>
    <x v="1"/>
    <x v="9"/>
    <x v="41"/>
    <x v="13"/>
    <x v="23"/>
    <x v="17"/>
    <x v="4"/>
    <n v="20510000"/>
  </r>
  <r>
    <d v="2025-10-14T00:00:00"/>
    <x v="1"/>
    <x v="9"/>
    <x v="41"/>
    <x v="13"/>
    <x v="28"/>
    <x v="17"/>
    <x v="4"/>
    <n v="663588000"/>
  </r>
  <r>
    <d v="2025-10-14T00:00:00"/>
    <x v="1"/>
    <x v="9"/>
    <x v="41"/>
    <x v="13"/>
    <x v="8"/>
    <x v="8"/>
    <x v="1"/>
    <n v="0"/>
  </r>
  <r>
    <d v="2025-10-14T00:00:00"/>
    <x v="1"/>
    <x v="9"/>
    <x v="41"/>
    <x v="13"/>
    <x v="26"/>
    <x v="16"/>
    <x v="1"/>
    <n v="157500000"/>
  </r>
  <r>
    <d v="2025-10-14T00:00:00"/>
    <x v="1"/>
    <x v="9"/>
    <x v="41"/>
    <x v="13"/>
    <x v="2"/>
    <x v="2"/>
    <x v="1"/>
    <n v="14858680000"/>
  </r>
  <r>
    <d v="2025-10-14T00:00:00"/>
    <x v="1"/>
    <x v="9"/>
    <x v="41"/>
    <x v="13"/>
    <x v="17"/>
    <x v="9"/>
    <x v="1"/>
    <n v="0"/>
  </r>
  <r>
    <d v="2025-10-14T00:00:00"/>
    <x v="1"/>
    <x v="9"/>
    <x v="41"/>
    <x v="13"/>
    <x v="20"/>
    <x v="9"/>
    <x v="1"/>
    <n v="0"/>
  </r>
  <r>
    <d v="2025-10-14T00:00:00"/>
    <x v="1"/>
    <x v="9"/>
    <x v="41"/>
    <x v="13"/>
    <x v="21"/>
    <x v="9"/>
    <x v="1"/>
    <n v="0"/>
  </r>
  <r>
    <d v="2025-10-14T00:00:00"/>
    <x v="1"/>
    <x v="9"/>
    <x v="41"/>
    <x v="13"/>
    <x v="25"/>
    <x v="2"/>
    <x v="1"/>
    <n v="17120000"/>
  </r>
  <r>
    <d v="2025-10-14T00:00:00"/>
    <x v="1"/>
    <x v="9"/>
    <x v="41"/>
    <x v="13"/>
    <x v="0"/>
    <x v="0"/>
    <x v="0"/>
    <n v="11063304000"/>
  </r>
  <r>
    <d v="2025-10-14T00:00:00"/>
    <x v="1"/>
    <x v="9"/>
    <x v="41"/>
    <x v="13"/>
    <x v="7"/>
    <x v="7"/>
    <x v="4"/>
    <n v="294058306"/>
  </r>
  <r>
    <d v="2025-10-14T00:00:00"/>
    <x v="1"/>
    <x v="9"/>
    <x v="41"/>
    <x v="13"/>
    <x v="1"/>
    <x v="1"/>
    <x v="1"/>
    <n v="41000000"/>
  </r>
  <r>
    <d v="2025-10-14T00:00:00"/>
    <x v="1"/>
    <x v="9"/>
    <x v="41"/>
    <x v="13"/>
    <x v="6"/>
    <x v="6"/>
    <x v="0"/>
    <n v="37000000"/>
  </r>
  <r>
    <d v="2025-10-14T00:00:00"/>
    <x v="1"/>
    <x v="9"/>
    <x v="41"/>
    <x v="13"/>
    <x v="18"/>
    <x v="15"/>
    <x v="1"/>
    <n v="219730000"/>
  </r>
  <r>
    <d v="2025-10-14T00:00:00"/>
    <x v="1"/>
    <x v="9"/>
    <x v="41"/>
    <x v="13"/>
    <x v="29"/>
    <x v="20"/>
    <x v="0"/>
    <n v="219240000"/>
  </r>
  <r>
    <d v="2025-10-14T00:00:00"/>
    <x v="1"/>
    <x v="9"/>
    <x v="41"/>
    <x v="13"/>
    <x v="19"/>
    <x v="12"/>
    <x v="4"/>
    <n v="380170391"/>
  </r>
  <r>
    <d v="2025-10-14T00:00:00"/>
    <x v="1"/>
    <x v="9"/>
    <x v="41"/>
    <x v="13"/>
    <x v="24"/>
    <x v="18"/>
    <x v="1"/>
    <n v="4794470000"/>
  </r>
  <r>
    <d v="2025-10-15T00:00:00"/>
    <x v="1"/>
    <x v="9"/>
    <x v="41"/>
    <x v="14"/>
    <x v="3"/>
    <x v="3"/>
    <x v="1"/>
    <n v="0"/>
  </r>
  <r>
    <d v="2025-10-15T00:00:00"/>
    <x v="1"/>
    <x v="9"/>
    <x v="41"/>
    <x v="14"/>
    <x v="11"/>
    <x v="10"/>
    <x v="4"/>
    <n v="279783114"/>
  </r>
  <r>
    <d v="2025-10-15T00:00:00"/>
    <x v="1"/>
    <x v="9"/>
    <x v="41"/>
    <x v="14"/>
    <x v="12"/>
    <x v="11"/>
    <x v="1"/>
    <n v="19090840000"/>
  </r>
  <r>
    <d v="2025-10-15T00:00:00"/>
    <x v="1"/>
    <x v="9"/>
    <x v="41"/>
    <x v="14"/>
    <x v="5"/>
    <x v="5"/>
    <x v="3"/>
    <n v="2854395418"/>
  </r>
  <r>
    <d v="2025-10-15T00:00:00"/>
    <x v="1"/>
    <x v="9"/>
    <x v="41"/>
    <x v="14"/>
    <x v="27"/>
    <x v="19"/>
    <x v="0"/>
    <n v="9970668000"/>
  </r>
  <r>
    <d v="2025-10-15T00:00:00"/>
    <x v="1"/>
    <x v="9"/>
    <x v="41"/>
    <x v="14"/>
    <x v="15"/>
    <x v="14"/>
    <x v="4"/>
    <n v="19020080"/>
  </r>
  <r>
    <d v="2025-10-15T00:00:00"/>
    <x v="1"/>
    <x v="9"/>
    <x v="41"/>
    <x v="14"/>
    <x v="14"/>
    <x v="13"/>
    <x v="1"/>
    <n v="3776730000"/>
  </r>
  <r>
    <d v="2025-10-15T00:00:00"/>
    <x v="1"/>
    <x v="9"/>
    <x v="41"/>
    <x v="14"/>
    <x v="23"/>
    <x v="17"/>
    <x v="4"/>
    <n v="9557000"/>
  </r>
  <r>
    <d v="2025-10-15T00:00:00"/>
    <x v="1"/>
    <x v="9"/>
    <x v="41"/>
    <x v="14"/>
    <x v="28"/>
    <x v="17"/>
    <x v="4"/>
    <n v="717796000"/>
  </r>
  <r>
    <d v="2025-10-15T00:00:00"/>
    <x v="1"/>
    <x v="9"/>
    <x v="41"/>
    <x v="14"/>
    <x v="8"/>
    <x v="8"/>
    <x v="1"/>
    <n v="0"/>
  </r>
  <r>
    <d v="2025-10-15T00:00:00"/>
    <x v="1"/>
    <x v="9"/>
    <x v="41"/>
    <x v="14"/>
    <x v="26"/>
    <x v="16"/>
    <x v="1"/>
    <n v="190250000"/>
  </r>
  <r>
    <d v="2025-10-15T00:00:00"/>
    <x v="1"/>
    <x v="9"/>
    <x v="41"/>
    <x v="14"/>
    <x v="2"/>
    <x v="2"/>
    <x v="1"/>
    <n v="14610860000"/>
  </r>
  <r>
    <d v="2025-10-15T00:00:00"/>
    <x v="1"/>
    <x v="9"/>
    <x v="41"/>
    <x v="14"/>
    <x v="17"/>
    <x v="9"/>
    <x v="1"/>
    <n v="0"/>
  </r>
  <r>
    <d v="2025-10-15T00:00:00"/>
    <x v="1"/>
    <x v="9"/>
    <x v="41"/>
    <x v="14"/>
    <x v="20"/>
    <x v="9"/>
    <x v="1"/>
    <n v="0"/>
  </r>
  <r>
    <d v="2025-10-15T00:00:00"/>
    <x v="1"/>
    <x v="9"/>
    <x v="41"/>
    <x v="14"/>
    <x v="21"/>
    <x v="9"/>
    <x v="1"/>
    <n v="0"/>
  </r>
  <r>
    <d v="2025-10-15T00:00:00"/>
    <x v="1"/>
    <x v="9"/>
    <x v="41"/>
    <x v="14"/>
    <x v="25"/>
    <x v="2"/>
    <x v="1"/>
    <n v="26750000"/>
  </r>
  <r>
    <d v="2025-10-15T00:00:00"/>
    <x v="1"/>
    <x v="9"/>
    <x v="41"/>
    <x v="14"/>
    <x v="0"/>
    <x v="0"/>
    <x v="0"/>
    <n v="12451752000"/>
  </r>
  <r>
    <d v="2025-10-15T00:00:00"/>
    <x v="1"/>
    <x v="9"/>
    <x v="41"/>
    <x v="14"/>
    <x v="7"/>
    <x v="7"/>
    <x v="4"/>
    <n v="227598451"/>
  </r>
  <r>
    <d v="2025-10-15T00:00:00"/>
    <x v="1"/>
    <x v="9"/>
    <x v="41"/>
    <x v="14"/>
    <x v="1"/>
    <x v="1"/>
    <x v="1"/>
    <n v="14700000"/>
  </r>
  <r>
    <d v="2025-10-15T00:00:00"/>
    <x v="1"/>
    <x v="9"/>
    <x v="41"/>
    <x v="14"/>
    <x v="6"/>
    <x v="6"/>
    <x v="0"/>
    <n v="41000000"/>
  </r>
  <r>
    <d v="2025-10-15T00:00:00"/>
    <x v="1"/>
    <x v="9"/>
    <x v="41"/>
    <x v="14"/>
    <x v="18"/>
    <x v="15"/>
    <x v="1"/>
    <n v="425220000"/>
  </r>
  <r>
    <d v="2025-10-15T00:00:00"/>
    <x v="1"/>
    <x v="9"/>
    <x v="41"/>
    <x v="14"/>
    <x v="29"/>
    <x v="20"/>
    <x v="0"/>
    <n v="209520000"/>
  </r>
  <r>
    <d v="2025-10-15T00:00:00"/>
    <x v="1"/>
    <x v="9"/>
    <x v="41"/>
    <x v="14"/>
    <x v="19"/>
    <x v="12"/>
    <x v="4"/>
    <n v="378759729"/>
  </r>
  <r>
    <d v="2025-10-15T00:00:00"/>
    <x v="1"/>
    <x v="9"/>
    <x v="41"/>
    <x v="14"/>
    <x v="24"/>
    <x v="18"/>
    <x v="1"/>
    <n v="3542560000"/>
  </r>
  <r>
    <d v="2025-10-16T00:00:00"/>
    <x v="1"/>
    <x v="9"/>
    <x v="41"/>
    <x v="15"/>
    <x v="3"/>
    <x v="3"/>
    <x v="1"/>
    <n v="0"/>
  </r>
  <r>
    <d v="2025-10-16T00:00:00"/>
    <x v="1"/>
    <x v="9"/>
    <x v="41"/>
    <x v="15"/>
    <x v="11"/>
    <x v="10"/>
    <x v="4"/>
    <n v="282195806"/>
  </r>
  <r>
    <d v="2025-10-16T00:00:00"/>
    <x v="1"/>
    <x v="9"/>
    <x v="41"/>
    <x v="15"/>
    <x v="12"/>
    <x v="11"/>
    <x v="1"/>
    <n v="15427000000"/>
  </r>
  <r>
    <d v="2025-10-16T00:00:00"/>
    <x v="1"/>
    <x v="9"/>
    <x v="41"/>
    <x v="15"/>
    <x v="5"/>
    <x v="5"/>
    <x v="3"/>
    <n v="2595423261"/>
  </r>
  <r>
    <d v="2025-10-16T00:00:00"/>
    <x v="1"/>
    <x v="9"/>
    <x v="41"/>
    <x v="15"/>
    <x v="27"/>
    <x v="19"/>
    <x v="0"/>
    <n v="9405828000"/>
  </r>
  <r>
    <d v="2025-10-16T00:00:00"/>
    <x v="1"/>
    <x v="9"/>
    <x v="41"/>
    <x v="15"/>
    <x v="15"/>
    <x v="14"/>
    <x v="4"/>
    <n v="19702924"/>
  </r>
  <r>
    <d v="2025-10-16T00:00:00"/>
    <x v="1"/>
    <x v="9"/>
    <x v="41"/>
    <x v="15"/>
    <x v="14"/>
    <x v="13"/>
    <x v="1"/>
    <n v="3308500000"/>
  </r>
  <r>
    <d v="2025-10-16T00:00:00"/>
    <x v="1"/>
    <x v="9"/>
    <x v="41"/>
    <x v="15"/>
    <x v="23"/>
    <x v="17"/>
    <x v="4"/>
    <n v="6938000"/>
  </r>
  <r>
    <d v="2025-10-16T00:00:00"/>
    <x v="1"/>
    <x v="9"/>
    <x v="41"/>
    <x v="15"/>
    <x v="28"/>
    <x v="17"/>
    <x v="4"/>
    <n v="520766000"/>
  </r>
  <r>
    <d v="2025-10-16T00:00:00"/>
    <x v="1"/>
    <x v="9"/>
    <x v="41"/>
    <x v="15"/>
    <x v="8"/>
    <x v="8"/>
    <x v="1"/>
    <n v="0"/>
  </r>
  <r>
    <d v="2025-10-16T00:00:00"/>
    <x v="1"/>
    <x v="9"/>
    <x v="41"/>
    <x v="15"/>
    <x v="26"/>
    <x v="16"/>
    <x v="1"/>
    <n v="103500000"/>
  </r>
  <r>
    <d v="2025-10-16T00:00:00"/>
    <x v="1"/>
    <x v="9"/>
    <x v="41"/>
    <x v="15"/>
    <x v="2"/>
    <x v="2"/>
    <x v="1"/>
    <n v="15543450000"/>
  </r>
  <r>
    <d v="2025-10-16T00:00:00"/>
    <x v="1"/>
    <x v="9"/>
    <x v="41"/>
    <x v="15"/>
    <x v="17"/>
    <x v="9"/>
    <x v="1"/>
    <n v="0"/>
  </r>
  <r>
    <d v="2025-10-16T00:00:00"/>
    <x v="1"/>
    <x v="9"/>
    <x v="41"/>
    <x v="15"/>
    <x v="20"/>
    <x v="9"/>
    <x v="1"/>
    <n v="0"/>
  </r>
  <r>
    <d v="2025-10-16T00:00:00"/>
    <x v="1"/>
    <x v="9"/>
    <x v="41"/>
    <x v="15"/>
    <x v="21"/>
    <x v="9"/>
    <x v="1"/>
    <n v="0"/>
  </r>
  <r>
    <d v="2025-10-16T00:00:00"/>
    <x v="1"/>
    <x v="9"/>
    <x v="41"/>
    <x v="15"/>
    <x v="25"/>
    <x v="2"/>
    <x v="1"/>
    <n v="0"/>
  </r>
  <r>
    <d v="2025-10-16T00:00:00"/>
    <x v="1"/>
    <x v="9"/>
    <x v="41"/>
    <x v="15"/>
    <x v="0"/>
    <x v="0"/>
    <x v="0"/>
    <n v="10993860000"/>
  </r>
  <r>
    <d v="2025-10-16T00:00:00"/>
    <x v="1"/>
    <x v="9"/>
    <x v="41"/>
    <x v="15"/>
    <x v="7"/>
    <x v="7"/>
    <x v="4"/>
    <n v="260863298"/>
  </r>
  <r>
    <d v="2025-10-16T00:00:00"/>
    <x v="1"/>
    <x v="9"/>
    <x v="41"/>
    <x v="15"/>
    <x v="1"/>
    <x v="1"/>
    <x v="1"/>
    <n v="35200000"/>
  </r>
  <r>
    <d v="2025-10-16T00:00:00"/>
    <x v="1"/>
    <x v="9"/>
    <x v="41"/>
    <x v="15"/>
    <x v="6"/>
    <x v="6"/>
    <x v="0"/>
    <n v="7000000"/>
  </r>
  <r>
    <d v="2025-10-16T00:00:00"/>
    <x v="1"/>
    <x v="9"/>
    <x v="41"/>
    <x v="15"/>
    <x v="18"/>
    <x v="15"/>
    <x v="1"/>
    <n v="1135990000"/>
  </r>
  <r>
    <d v="2025-10-16T00:00:00"/>
    <x v="1"/>
    <x v="9"/>
    <x v="41"/>
    <x v="15"/>
    <x v="29"/>
    <x v="20"/>
    <x v="0"/>
    <n v="206280000"/>
  </r>
  <r>
    <d v="2025-10-16T00:00:00"/>
    <x v="1"/>
    <x v="9"/>
    <x v="41"/>
    <x v="15"/>
    <x v="19"/>
    <x v="12"/>
    <x v="4"/>
    <n v="358107648"/>
  </r>
  <r>
    <d v="2025-10-16T00:00:00"/>
    <x v="1"/>
    <x v="9"/>
    <x v="41"/>
    <x v="15"/>
    <x v="24"/>
    <x v="18"/>
    <x v="1"/>
    <n v="3873740000"/>
  </r>
  <r>
    <d v="2025-10-17T00:00:00"/>
    <x v="1"/>
    <x v="9"/>
    <x v="41"/>
    <x v="16"/>
    <x v="3"/>
    <x v="3"/>
    <x v="1"/>
    <n v="0"/>
  </r>
  <r>
    <d v="2025-10-17T00:00:00"/>
    <x v="1"/>
    <x v="9"/>
    <x v="41"/>
    <x v="16"/>
    <x v="11"/>
    <x v="10"/>
    <x v="4"/>
    <n v="293151315"/>
  </r>
  <r>
    <d v="2025-10-17T00:00:00"/>
    <x v="1"/>
    <x v="9"/>
    <x v="41"/>
    <x v="16"/>
    <x v="12"/>
    <x v="11"/>
    <x v="1"/>
    <n v="16509740000"/>
  </r>
  <r>
    <d v="2025-10-17T00:00:00"/>
    <x v="1"/>
    <x v="9"/>
    <x v="41"/>
    <x v="16"/>
    <x v="5"/>
    <x v="5"/>
    <x v="3"/>
    <n v="2811762063"/>
  </r>
  <r>
    <d v="2025-10-17T00:00:00"/>
    <x v="1"/>
    <x v="9"/>
    <x v="41"/>
    <x v="16"/>
    <x v="27"/>
    <x v="19"/>
    <x v="0"/>
    <n v="8962272000"/>
  </r>
  <r>
    <d v="2025-10-17T00:00:00"/>
    <x v="1"/>
    <x v="9"/>
    <x v="41"/>
    <x v="16"/>
    <x v="15"/>
    <x v="14"/>
    <x v="4"/>
    <n v="8812163"/>
  </r>
  <r>
    <d v="2025-10-17T00:00:00"/>
    <x v="1"/>
    <x v="9"/>
    <x v="41"/>
    <x v="16"/>
    <x v="14"/>
    <x v="13"/>
    <x v="1"/>
    <n v="2650230000"/>
  </r>
  <r>
    <d v="2025-10-17T00:00:00"/>
    <x v="1"/>
    <x v="9"/>
    <x v="41"/>
    <x v="16"/>
    <x v="23"/>
    <x v="17"/>
    <x v="4"/>
    <n v="12508000"/>
  </r>
  <r>
    <d v="2025-10-17T00:00:00"/>
    <x v="1"/>
    <x v="9"/>
    <x v="41"/>
    <x v="16"/>
    <x v="28"/>
    <x v="17"/>
    <x v="4"/>
    <n v="678209485"/>
  </r>
  <r>
    <d v="2025-10-17T00:00:00"/>
    <x v="1"/>
    <x v="9"/>
    <x v="41"/>
    <x v="16"/>
    <x v="8"/>
    <x v="8"/>
    <x v="1"/>
    <n v="0"/>
  </r>
  <r>
    <d v="2025-10-17T00:00:00"/>
    <x v="1"/>
    <x v="9"/>
    <x v="41"/>
    <x v="16"/>
    <x v="26"/>
    <x v="16"/>
    <x v="1"/>
    <n v="232950000"/>
  </r>
  <r>
    <d v="2025-10-17T00:00:00"/>
    <x v="1"/>
    <x v="9"/>
    <x v="41"/>
    <x v="16"/>
    <x v="2"/>
    <x v="2"/>
    <x v="1"/>
    <n v="18644480000"/>
  </r>
  <r>
    <d v="2025-10-17T00:00:00"/>
    <x v="1"/>
    <x v="9"/>
    <x v="41"/>
    <x v="16"/>
    <x v="17"/>
    <x v="9"/>
    <x v="1"/>
    <n v="0"/>
  </r>
  <r>
    <d v="2025-10-17T00:00:00"/>
    <x v="1"/>
    <x v="9"/>
    <x v="41"/>
    <x v="16"/>
    <x v="20"/>
    <x v="9"/>
    <x v="1"/>
    <n v="0"/>
  </r>
  <r>
    <d v="2025-10-17T00:00:00"/>
    <x v="1"/>
    <x v="9"/>
    <x v="41"/>
    <x v="16"/>
    <x v="21"/>
    <x v="9"/>
    <x v="1"/>
    <n v="0"/>
  </r>
  <r>
    <d v="2025-10-17T00:00:00"/>
    <x v="1"/>
    <x v="9"/>
    <x v="41"/>
    <x v="16"/>
    <x v="25"/>
    <x v="2"/>
    <x v="1"/>
    <n v="0"/>
  </r>
  <r>
    <d v="2025-10-17T00:00:00"/>
    <x v="1"/>
    <x v="9"/>
    <x v="41"/>
    <x v="16"/>
    <x v="0"/>
    <x v="0"/>
    <x v="0"/>
    <n v="10908216000"/>
  </r>
  <r>
    <d v="2025-10-17T00:00:00"/>
    <x v="1"/>
    <x v="9"/>
    <x v="41"/>
    <x v="16"/>
    <x v="7"/>
    <x v="7"/>
    <x v="4"/>
    <n v="199015121"/>
  </r>
  <r>
    <d v="2025-10-17T00:00:00"/>
    <x v="1"/>
    <x v="9"/>
    <x v="41"/>
    <x v="16"/>
    <x v="1"/>
    <x v="1"/>
    <x v="1"/>
    <n v="30500000"/>
  </r>
  <r>
    <d v="2025-10-17T00:00:00"/>
    <x v="1"/>
    <x v="9"/>
    <x v="41"/>
    <x v="16"/>
    <x v="6"/>
    <x v="6"/>
    <x v="0"/>
    <n v="14000000"/>
  </r>
  <r>
    <d v="2025-10-17T00:00:00"/>
    <x v="1"/>
    <x v="9"/>
    <x v="41"/>
    <x v="16"/>
    <x v="18"/>
    <x v="15"/>
    <x v="1"/>
    <n v="858470000"/>
  </r>
  <r>
    <d v="2025-10-17T00:00:00"/>
    <x v="1"/>
    <x v="9"/>
    <x v="41"/>
    <x v="16"/>
    <x v="29"/>
    <x v="20"/>
    <x v="0"/>
    <n v="225720000"/>
  </r>
  <r>
    <d v="2025-10-17T00:00:00"/>
    <x v="1"/>
    <x v="9"/>
    <x v="41"/>
    <x v="16"/>
    <x v="19"/>
    <x v="12"/>
    <x v="4"/>
    <n v="306713719"/>
  </r>
  <r>
    <d v="2025-10-17T00:00:00"/>
    <x v="1"/>
    <x v="9"/>
    <x v="41"/>
    <x v="16"/>
    <x v="24"/>
    <x v="18"/>
    <x v="1"/>
    <n v="4513360000"/>
  </r>
  <r>
    <d v="2025-10-18T00:00:00"/>
    <x v="1"/>
    <x v="9"/>
    <x v="41"/>
    <x v="17"/>
    <x v="3"/>
    <x v="3"/>
    <x v="1"/>
    <n v="0"/>
  </r>
  <r>
    <d v="2025-10-18T00:00:00"/>
    <x v="1"/>
    <x v="9"/>
    <x v="41"/>
    <x v="17"/>
    <x v="11"/>
    <x v="10"/>
    <x v="4"/>
    <n v="276629428"/>
  </r>
  <r>
    <d v="2025-10-18T00:00:00"/>
    <x v="1"/>
    <x v="9"/>
    <x v="41"/>
    <x v="17"/>
    <x v="12"/>
    <x v="11"/>
    <x v="1"/>
    <n v="14670990000"/>
  </r>
  <r>
    <d v="2025-10-18T00:00:00"/>
    <x v="1"/>
    <x v="9"/>
    <x v="41"/>
    <x v="17"/>
    <x v="5"/>
    <x v="5"/>
    <x v="3"/>
    <n v="2164433071"/>
  </r>
  <r>
    <d v="2025-10-18T00:00:00"/>
    <x v="1"/>
    <x v="9"/>
    <x v="41"/>
    <x v="17"/>
    <x v="27"/>
    <x v="19"/>
    <x v="0"/>
    <n v="8384472000"/>
  </r>
  <r>
    <d v="2025-10-18T00:00:00"/>
    <x v="1"/>
    <x v="9"/>
    <x v="41"/>
    <x v="17"/>
    <x v="15"/>
    <x v="14"/>
    <x v="4"/>
    <n v="8639604"/>
  </r>
  <r>
    <d v="2025-10-18T00:00:00"/>
    <x v="1"/>
    <x v="9"/>
    <x v="41"/>
    <x v="17"/>
    <x v="14"/>
    <x v="13"/>
    <x v="1"/>
    <n v="2828980000"/>
  </r>
  <r>
    <d v="2025-10-18T00:00:00"/>
    <x v="1"/>
    <x v="9"/>
    <x v="41"/>
    <x v="17"/>
    <x v="23"/>
    <x v="17"/>
    <x v="4"/>
    <n v="9537000"/>
  </r>
  <r>
    <d v="2025-10-18T00:00:00"/>
    <x v="1"/>
    <x v="9"/>
    <x v="41"/>
    <x v="17"/>
    <x v="28"/>
    <x v="17"/>
    <x v="4"/>
    <n v="677012000"/>
  </r>
  <r>
    <d v="2025-10-18T00:00:00"/>
    <x v="1"/>
    <x v="9"/>
    <x v="41"/>
    <x v="17"/>
    <x v="8"/>
    <x v="8"/>
    <x v="1"/>
    <n v="0"/>
  </r>
  <r>
    <d v="2025-10-18T00:00:00"/>
    <x v="1"/>
    <x v="9"/>
    <x v="41"/>
    <x v="17"/>
    <x v="26"/>
    <x v="16"/>
    <x v="1"/>
    <n v="181750000"/>
  </r>
  <r>
    <d v="2025-10-18T00:00:00"/>
    <x v="1"/>
    <x v="9"/>
    <x v="41"/>
    <x v="17"/>
    <x v="2"/>
    <x v="2"/>
    <x v="1"/>
    <n v="15969700000"/>
  </r>
  <r>
    <d v="2025-10-18T00:00:00"/>
    <x v="1"/>
    <x v="9"/>
    <x v="41"/>
    <x v="17"/>
    <x v="17"/>
    <x v="9"/>
    <x v="1"/>
    <n v="0"/>
  </r>
  <r>
    <d v="2025-10-18T00:00:00"/>
    <x v="1"/>
    <x v="9"/>
    <x v="41"/>
    <x v="17"/>
    <x v="20"/>
    <x v="9"/>
    <x v="1"/>
    <n v="0"/>
  </r>
  <r>
    <d v="2025-10-18T00:00:00"/>
    <x v="1"/>
    <x v="9"/>
    <x v="41"/>
    <x v="17"/>
    <x v="21"/>
    <x v="9"/>
    <x v="1"/>
    <n v="0"/>
  </r>
  <r>
    <d v="2025-10-18T00:00:00"/>
    <x v="1"/>
    <x v="9"/>
    <x v="41"/>
    <x v="17"/>
    <x v="25"/>
    <x v="2"/>
    <x v="1"/>
    <n v="0"/>
  </r>
  <r>
    <d v="2025-10-18T00:00:00"/>
    <x v="1"/>
    <x v="9"/>
    <x v="41"/>
    <x v="17"/>
    <x v="0"/>
    <x v="0"/>
    <x v="0"/>
    <n v="10441980000"/>
  </r>
  <r>
    <d v="2025-10-18T00:00:00"/>
    <x v="1"/>
    <x v="9"/>
    <x v="41"/>
    <x v="17"/>
    <x v="7"/>
    <x v="7"/>
    <x v="4"/>
    <n v="192993523"/>
  </r>
  <r>
    <d v="2025-10-18T00:00:00"/>
    <x v="1"/>
    <x v="9"/>
    <x v="41"/>
    <x v="17"/>
    <x v="1"/>
    <x v="1"/>
    <x v="1"/>
    <n v="35750000"/>
  </r>
  <r>
    <d v="2025-10-18T00:00:00"/>
    <x v="1"/>
    <x v="9"/>
    <x v="41"/>
    <x v="17"/>
    <x v="6"/>
    <x v="6"/>
    <x v="0"/>
    <n v="24000000"/>
  </r>
  <r>
    <d v="2025-10-18T00:00:00"/>
    <x v="1"/>
    <x v="9"/>
    <x v="41"/>
    <x v="17"/>
    <x v="18"/>
    <x v="15"/>
    <x v="1"/>
    <n v="676200000"/>
  </r>
  <r>
    <d v="2025-10-18T00:00:00"/>
    <x v="1"/>
    <x v="9"/>
    <x v="41"/>
    <x v="17"/>
    <x v="29"/>
    <x v="20"/>
    <x v="0"/>
    <n v="177120000"/>
  </r>
  <r>
    <d v="2025-10-18T00:00:00"/>
    <x v="1"/>
    <x v="9"/>
    <x v="41"/>
    <x v="17"/>
    <x v="19"/>
    <x v="12"/>
    <x v="4"/>
    <n v="342901343"/>
  </r>
  <r>
    <d v="2025-10-18T00:00:00"/>
    <x v="1"/>
    <x v="9"/>
    <x v="41"/>
    <x v="17"/>
    <x v="24"/>
    <x v="18"/>
    <x v="1"/>
    <n v="2814060000"/>
  </r>
  <r>
    <d v="2025-10-19T00:00:00"/>
    <x v="1"/>
    <x v="9"/>
    <x v="41"/>
    <x v="18"/>
    <x v="3"/>
    <x v="3"/>
    <x v="1"/>
    <n v="0"/>
  </r>
  <r>
    <d v="2025-10-19T00:00:00"/>
    <x v="1"/>
    <x v="9"/>
    <x v="41"/>
    <x v="18"/>
    <x v="11"/>
    <x v="10"/>
    <x v="4"/>
    <n v="318213927"/>
  </r>
  <r>
    <d v="2025-10-19T00:00:00"/>
    <x v="1"/>
    <x v="9"/>
    <x v="41"/>
    <x v="18"/>
    <x v="12"/>
    <x v="11"/>
    <x v="1"/>
    <n v="12227500000"/>
  </r>
  <r>
    <d v="2025-10-19T00:00:00"/>
    <x v="1"/>
    <x v="9"/>
    <x v="41"/>
    <x v="18"/>
    <x v="5"/>
    <x v="5"/>
    <x v="3"/>
    <n v="1980271865"/>
  </r>
  <r>
    <d v="2025-10-19T00:00:00"/>
    <x v="1"/>
    <x v="9"/>
    <x v="41"/>
    <x v="18"/>
    <x v="27"/>
    <x v="19"/>
    <x v="0"/>
    <n v="7935840000"/>
  </r>
  <r>
    <d v="2025-10-19T00:00:00"/>
    <x v="1"/>
    <x v="9"/>
    <x v="41"/>
    <x v="18"/>
    <x v="15"/>
    <x v="14"/>
    <x v="4"/>
    <n v="21207875"/>
  </r>
  <r>
    <d v="2025-10-19T00:00:00"/>
    <x v="1"/>
    <x v="9"/>
    <x v="41"/>
    <x v="18"/>
    <x v="14"/>
    <x v="13"/>
    <x v="1"/>
    <n v="2912420000"/>
  </r>
  <r>
    <d v="2025-10-19T00:00:00"/>
    <x v="1"/>
    <x v="9"/>
    <x v="41"/>
    <x v="18"/>
    <x v="23"/>
    <x v="17"/>
    <x v="4"/>
    <n v="10066000"/>
  </r>
  <r>
    <d v="2025-10-19T00:00:00"/>
    <x v="1"/>
    <x v="9"/>
    <x v="41"/>
    <x v="18"/>
    <x v="28"/>
    <x v="17"/>
    <x v="4"/>
    <n v="557524500"/>
  </r>
  <r>
    <d v="2025-10-19T00:00:00"/>
    <x v="1"/>
    <x v="9"/>
    <x v="41"/>
    <x v="18"/>
    <x v="8"/>
    <x v="8"/>
    <x v="1"/>
    <n v="0"/>
  </r>
  <r>
    <d v="2025-10-19T00:00:00"/>
    <x v="1"/>
    <x v="9"/>
    <x v="41"/>
    <x v="18"/>
    <x v="26"/>
    <x v="16"/>
    <x v="1"/>
    <n v="209000000"/>
  </r>
  <r>
    <d v="2025-10-19T00:00:00"/>
    <x v="1"/>
    <x v="9"/>
    <x v="41"/>
    <x v="18"/>
    <x v="2"/>
    <x v="2"/>
    <x v="1"/>
    <n v="14772680000"/>
  </r>
  <r>
    <d v="2025-10-19T00:00:00"/>
    <x v="1"/>
    <x v="9"/>
    <x v="41"/>
    <x v="18"/>
    <x v="17"/>
    <x v="9"/>
    <x v="1"/>
    <n v="0"/>
  </r>
  <r>
    <d v="2025-10-19T00:00:00"/>
    <x v="1"/>
    <x v="9"/>
    <x v="41"/>
    <x v="18"/>
    <x v="20"/>
    <x v="9"/>
    <x v="1"/>
    <n v="0"/>
  </r>
  <r>
    <d v="2025-10-19T00:00:00"/>
    <x v="1"/>
    <x v="9"/>
    <x v="41"/>
    <x v="18"/>
    <x v="21"/>
    <x v="9"/>
    <x v="1"/>
    <n v="0"/>
  </r>
  <r>
    <d v="2025-10-19T00:00:00"/>
    <x v="1"/>
    <x v="9"/>
    <x v="41"/>
    <x v="18"/>
    <x v="25"/>
    <x v="2"/>
    <x v="1"/>
    <n v="0"/>
  </r>
  <r>
    <d v="2025-10-19T00:00:00"/>
    <x v="1"/>
    <x v="9"/>
    <x v="41"/>
    <x v="18"/>
    <x v="0"/>
    <x v="0"/>
    <x v="0"/>
    <n v="9940212000"/>
  </r>
  <r>
    <d v="2025-10-19T00:00:00"/>
    <x v="1"/>
    <x v="9"/>
    <x v="41"/>
    <x v="18"/>
    <x v="7"/>
    <x v="7"/>
    <x v="4"/>
    <n v="182395273"/>
  </r>
  <r>
    <d v="2025-10-19T00:00:00"/>
    <x v="1"/>
    <x v="9"/>
    <x v="41"/>
    <x v="18"/>
    <x v="1"/>
    <x v="1"/>
    <x v="1"/>
    <n v="0"/>
  </r>
  <r>
    <d v="2025-10-19T00:00:00"/>
    <x v="1"/>
    <x v="9"/>
    <x v="41"/>
    <x v="18"/>
    <x v="6"/>
    <x v="6"/>
    <x v="0"/>
    <n v="12000000"/>
  </r>
  <r>
    <d v="2025-10-19T00:00:00"/>
    <x v="1"/>
    <x v="9"/>
    <x v="41"/>
    <x v="18"/>
    <x v="18"/>
    <x v="15"/>
    <x v="1"/>
    <n v="710120000"/>
  </r>
  <r>
    <d v="2025-10-19T00:00:00"/>
    <x v="1"/>
    <x v="9"/>
    <x v="41"/>
    <x v="18"/>
    <x v="29"/>
    <x v="20"/>
    <x v="0"/>
    <n v="135000000"/>
  </r>
  <r>
    <d v="2025-10-19T00:00:00"/>
    <x v="1"/>
    <x v="9"/>
    <x v="41"/>
    <x v="18"/>
    <x v="19"/>
    <x v="12"/>
    <x v="4"/>
    <n v="219984157"/>
  </r>
  <r>
    <d v="2025-10-19T00:00:00"/>
    <x v="1"/>
    <x v="9"/>
    <x v="41"/>
    <x v="18"/>
    <x v="24"/>
    <x v="18"/>
    <x v="1"/>
    <n v="2962560000"/>
  </r>
  <r>
    <d v="2025-10-20T00:00:00"/>
    <x v="1"/>
    <x v="9"/>
    <x v="42"/>
    <x v="19"/>
    <x v="3"/>
    <x v="3"/>
    <x v="1"/>
    <n v="0"/>
  </r>
  <r>
    <d v="2025-10-20T00:00:00"/>
    <x v="1"/>
    <x v="9"/>
    <x v="42"/>
    <x v="19"/>
    <x v="11"/>
    <x v="10"/>
    <x v="4"/>
    <n v="408036264"/>
  </r>
  <r>
    <d v="2025-10-20T00:00:00"/>
    <x v="1"/>
    <x v="9"/>
    <x v="42"/>
    <x v="19"/>
    <x v="12"/>
    <x v="11"/>
    <x v="1"/>
    <n v="18121110000"/>
  </r>
  <r>
    <d v="2025-10-20T00:00:00"/>
    <x v="1"/>
    <x v="9"/>
    <x v="42"/>
    <x v="19"/>
    <x v="5"/>
    <x v="5"/>
    <x v="3"/>
    <n v="2973772253"/>
  </r>
  <r>
    <d v="2025-10-20T00:00:00"/>
    <x v="1"/>
    <x v="9"/>
    <x v="42"/>
    <x v="19"/>
    <x v="27"/>
    <x v="19"/>
    <x v="0"/>
    <n v="8439876000"/>
  </r>
  <r>
    <d v="2025-10-20T00:00:00"/>
    <x v="1"/>
    <x v="9"/>
    <x v="42"/>
    <x v="19"/>
    <x v="15"/>
    <x v="14"/>
    <x v="4"/>
    <n v="10431273"/>
  </r>
  <r>
    <d v="2025-10-20T00:00:00"/>
    <x v="1"/>
    <x v="9"/>
    <x v="42"/>
    <x v="19"/>
    <x v="14"/>
    <x v="13"/>
    <x v="1"/>
    <n v="3059120000"/>
  </r>
  <r>
    <d v="2025-10-20T00:00:00"/>
    <x v="1"/>
    <x v="9"/>
    <x v="42"/>
    <x v="19"/>
    <x v="23"/>
    <x v="17"/>
    <x v="4"/>
    <n v="9635000"/>
  </r>
  <r>
    <d v="2025-10-20T00:00:00"/>
    <x v="1"/>
    <x v="9"/>
    <x v="42"/>
    <x v="19"/>
    <x v="28"/>
    <x v="17"/>
    <x v="4"/>
    <n v="488080000"/>
  </r>
  <r>
    <d v="2025-10-20T00:00:00"/>
    <x v="1"/>
    <x v="9"/>
    <x v="42"/>
    <x v="19"/>
    <x v="8"/>
    <x v="8"/>
    <x v="1"/>
    <n v="0"/>
  </r>
  <r>
    <d v="2025-10-20T00:00:00"/>
    <x v="1"/>
    <x v="9"/>
    <x v="42"/>
    <x v="19"/>
    <x v="26"/>
    <x v="16"/>
    <x v="1"/>
    <n v="164750000"/>
  </r>
  <r>
    <d v="2025-10-20T00:00:00"/>
    <x v="1"/>
    <x v="9"/>
    <x v="42"/>
    <x v="19"/>
    <x v="2"/>
    <x v="2"/>
    <x v="1"/>
    <n v="18127140000"/>
  </r>
  <r>
    <d v="2025-10-20T00:00:00"/>
    <x v="1"/>
    <x v="9"/>
    <x v="42"/>
    <x v="19"/>
    <x v="17"/>
    <x v="9"/>
    <x v="1"/>
    <n v="0"/>
  </r>
  <r>
    <d v="2025-10-20T00:00:00"/>
    <x v="1"/>
    <x v="9"/>
    <x v="42"/>
    <x v="19"/>
    <x v="20"/>
    <x v="9"/>
    <x v="1"/>
    <n v="0"/>
  </r>
  <r>
    <d v="2025-10-20T00:00:00"/>
    <x v="1"/>
    <x v="9"/>
    <x v="42"/>
    <x v="19"/>
    <x v="21"/>
    <x v="9"/>
    <x v="1"/>
    <n v="0"/>
  </r>
  <r>
    <d v="2025-10-20T00:00:00"/>
    <x v="1"/>
    <x v="9"/>
    <x v="42"/>
    <x v="19"/>
    <x v="25"/>
    <x v="2"/>
    <x v="1"/>
    <n v="15000000"/>
  </r>
  <r>
    <d v="2025-10-20T00:00:00"/>
    <x v="1"/>
    <x v="9"/>
    <x v="42"/>
    <x v="19"/>
    <x v="0"/>
    <x v="0"/>
    <x v="0"/>
    <n v="11223900000"/>
  </r>
  <r>
    <d v="2025-10-20T00:00:00"/>
    <x v="1"/>
    <x v="9"/>
    <x v="42"/>
    <x v="19"/>
    <x v="7"/>
    <x v="7"/>
    <x v="4"/>
    <n v="240287975"/>
  </r>
  <r>
    <d v="2025-10-20T00:00:00"/>
    <x v="1"/>
    <x v="9"/>
    <x v="42"/>
    <x v="19"/>
    <x v="1"/>
    <x v="1"/>
    <x v="1"/>
    <n v="50400000"/>
  </r>
  <r>
    <d v="2025-10-20T00:00:00"/>
    <x v="1"/>
    <x v="9"/>
    <x v="42"/>
    <x v="19"/>
    <x v="6"/>
    <x v="6"/>
    <x v="0"/>
    <n v="5000000"/>
  </r>
  <r>
    <d v="2025-10-20T00:00:00"/>
    <x v="1"/>
    <x v="9"/>
    <x v="42"/>
    <x v="19"/>
    <x v="18"/>
    <x v="15"/>
    <x v="1"/>
    <n v="598190000"/>
  </r>
  <r>
    <d v="2025-10-20T00:00:00"/>
    <x v="1"/>
    <x v="9"/>
    <x v="42"/>
    <x v="19"/>
    <x v="29"/>
    <x v="20"/>
    <x v="0"/>
    <n v="233280000"/>
  </r>
  <r>
    <d v="2025-10-20T00:00:00"/>
    <x v="1"/>
    <x v="9"/>
    <x v="42"/>
    <x v="19"/>
    <x v="19"/>
    <x v="12"/>
    <x v="4"/>
    <n v="388312147"/>
  </r>
  <r>
    <d v="2025-10-20T00:00:00"/>
    <x v="1"/>
    <x v="9"/>
    <x v="42"/>
    <x v="19"/>
    <x v="24"/>
    <x v="18"/>
    <x v="1"/>
    <n v="3704780000"/>
  </r>
  <r>
    <d v="2025-10-21T00:00:00"/>
    <x v="1"/>
    <x v="9"/>
    <x v="42"/>
    <x v="20"/>
    <x v="3"/>
    <x v="3"/>
    <x v="1"/>
    <n v="16800000"/>
  </r>
  <r>
    <d v="2025-10-21T00:00:00"/>
    <x v="1"/>
    <x v="9"/>
    <x v="42"/>
    <x v="20"/>
    <x v="11"/>
    <x v="10"/>
    <x v="4"/>
    <n v="260749044"/>
  </r>
  <r>
    <d v="2025-10-21T00:00:00"/>
    <x v="1"/>
    <x v="9"/>
    <x v="42"/>
    <x v="20"/>
    <x v="12"/>
    <x v="11"/>
    <x v="1"/>
    <n v="16291690000"/>
  </r>
  <r>
    <d v="2025-10-21T00:00:00"/>
    <x v="1"/>
    <x v="9"/>
    <x v="42"/>
    <x v="20"/>
    <x v="5"/>
    <x v="5"/>
    <x v="3"/>
    <n v="2463272773"/>
  </r>
  <r>
    <d v="2025-10-21T00:00:00"/>
    <x v="1"/>
    <x v="9"/>
    <x v="42"/>
    <x v="20"/>
    <x v="27"/>
    <x v="19"/>
    <x v="0"/>
    <n v="7035336000"/>
  </r>
  <r>
    <d v="2025-10-21T00:00:00"/>
    <x v="1"/>
    <x v="9"/>
    <x v="42"/>
    <x v="20"/>
    <x v="15"/>
    <x v="14"/>
    <x v="4"/>
    <n v="28757491"/>
  </r>
  <r>
    <d v="2025-10-21T00:00:00"/>
    <x v="1"/>
    <x v="9"/>
    <x v="42"/>
    <x v="20"/>
    <x v="14"/>
    <x v="13"/>
    <x v="1"/>
    <n v="2751910000"/>
  </r>
  <r>
    <d v="2025-10-21T00:00:00"/>
    <x v="1"/>
    <x v="9"/>
    <x v="42"/>
    <x v="20"/>
    <x v="23"/>
    <x v="17"/>
    <x v="4"/>
    <n v="16450000"/>
  </r>
  <r>
    <d v="2025-10-21T00:00:00"/>
    <x v="1"/>
    <x v="9"/>
    <x v="42"/>
    <x v="20"/>
    <x v="28"/>
    <x v="17"/>
    <x v="4"/>
    <n v="492962000"/>
  </r>
  <r>
    <d v="2025-10-21T00:00:00"/>
    <x v="1"/>
    <x v="9"/>
    <x v="42"/>
    <x v="20"/>
    <x v="8"/>
    <x v="8"/>
    <x v="1"/>
    <n v="0"/>
  </r>
  <r>
    <d v="2025-10-21T00:00:00"/>
    <x v="1"/>
    <x v="9"/>
    <x v="42"/>
    <x v="20"/>
    <x v="26"/>
    <x v="16"/>
    <x v="1"/>
    <n v="309750000"/>
  </r>
  <r>
    <d v="2025-10-21T00:00:00"/>
    <x v="1"/>
    <x v="9"/>
    <x v="42"/>
    <x v="20"/>
    <x v="2"/>
    <x v="2"/>
    <x v="1"/>
    <n v="16841240000"/>
  </r>
  <r>
    <d v="2025-10-21T00:00:00"/>
    <x v="1"/>
    <x v="9"/>
    <x v="42"/>
    <x v="20"/>
    <x v="17"/>
    <x v="9"/>
    <x v="1"/>
    <n v="0"/>
  </r>
  <r>
    <d v="2025-10-21T00:00:00"/>
    <x v="1"/>
    <x v="9"/>
    <x v="42"/>
    <x v="20"/>
    <x v="20"/>
    <x v="9"/>
    <x v="1"/>
    <n v="0"/>
  </r>
  <r>
    <d v="2025-10-21T00:00:00"/>
    <x v="1"/>
    <x v="9"/>
    <x v="42"/>
    <x v="20"/>
    <x v="21"/>
    <x v="9"/>
    <x v="1"/>
    <n v="0"/>
  </r>
  <r>
    <d v="2025-10-21T00:00:00"/>
    <x v="1"/>
    <x v="9"/>
    <x v="42"/>
    <x v="20"/>
    <x v="25"/>
    <x v="2"/>
    <x v="1"/>
    <n v="0"/>
  </r>
  <r>
    <d v="2025-10-21T00:00:00"/>
    <x v="1"/>
    <x v="9"/>
    <x v="42"/>
    <x v="20"/>
    <x v="0"/>
    <x v="0"/>
    <x v="0"/>
    <n v="9148140000"/>
  </r>
  <r>
    <d v="2025-10-21T00:00:00"/>
    <x v="1"/>
    <x v="9"/>
    <x v="42"/>
    <x v="20"/>
    <x v="7"/>
    <x v="7"/>
    <x v="4"/>
    <n v="262760668"/>
  </r>
  <r>
    <d v="2025-10-21T00:00:00"/>
    <x v="1"/>
    <x v="9"/>
    <x v="42"/>
    <x v="20"/>
    <x v="1"/>
    <x v="1"/>
    <x v="1"/>
    <n v="66750000"/>
  </r>
  <r>
    <d v="2025-10-21T00:00:00"/>
    <x v="1"/>
    <x v="9"/>
    <x v="42"/>
    <x v="20"/>
    <x v="6"/>
    <x v="6"/>
    <x v="0"/>
    <n v="20000000"/>
  </r>
  <r>
    <d v="2025-10-21T00:00:00"/>
    <x v="1"/>
    <x v="9"/>
    <x v="42"/>
    <x v="20"/>
    <x v="18"/>
    <x v="15"/>
    <x v="1"/>
    <n v="847950000"/>
  </r>
  <r>
    <d v="2025-10-21T00:00:00"/>
    <x v="1"/>
    <x v="9"/>
    <x v="42"/>
    <x v="20"/>
    <x v="29"/>
    <x v="20"/>
    <x v="0"/>
    <n v="205200000"/>
  </r>
  <r>
    <d v="2025-10-21T00:00:00"/>
    <x v="1"/>
    <x v="9"/>
    <x v="42"/>
    <x v="20"/>
    <x v="19"/>
    <x v="12"/>
    <x v="4"/>
    <n v="428209664"/>
  </r>
  <r>
    <d v="2025-10-21T00:00:00"/>
    <x v="1"/>
    <x v="9"/>
    <x v="42"/>
    <x v="20"/>
    <x v="24"/>
    <x v="18"/>
    <x v="1"/>
    <n v="3899790000"/>
  </r>
  <r>
    <d v="2025-10-22T00:00:00"/>
    <x v="1"/>
    <x v="9"/>
    <x v="42"/>
    <x v="21"/>
    <x v="3"/>
    <x v="3"/>
    <x v="1"/>
    <n v="105000000"/>
  </r>
  <r>
    <d v="2025-10-22T00:00:00"/>
    <x v="1"/>
    <x v="9"/>
    <x v="42"/>
    <x v="21"/>
    <x v="11"/>
    <x v="10"/>
    <x v="4"/>
    <n v="243978540"/>
  </r>
  <r>
    <d v="2025-10-22T00:00:00"/>
    <x v="1"/>
    <x v="9"/>
    <x v="42"/>
    <x v="21"/>
    <x v="12"/>
    <x v="11"/>
    <x v="1"/>
    <n v="16849730000"/>
  </r>
  <r>
    <d v="2025-10-22T00:00:00"/>
    <x v="1"/>
    <x v="9"/>
    <x v="42"/>
    <x v="21"/>
    <x v="5"/>
    <x v="5"/>
    <x v="3"/>
    <n v="2155599139"/>
  </r>
  <r>
    <d v="2025-10-22T00:00:00"/>
    <x v="1"/>
    <x v="9"/>
    <x v="42"/>
    <x v="21"/>
    <x v="27"/>
    <x v="19"/>
    <x v="0"/>
    <n v="7421328000"/>
  </r>
  <r>
    <d v="2025-10-22T00:00:00"/>
    <x v="1"/>
    <x v="9"/>
    <x v="42"/>
    <x v="21"/>
    <x v="15"/>
    <x v="14"/>
    <x v="4"/>
    <n v="36861525"/>
  </r>
  <r>
    <d v="2025-10-22T00:00:00"/>
    <x v="1"/>
    <x v="9"/>
    <x v="42"/>
    <x v="21"/>
    <x v="14"/>
    <x v="13"/>
    <x v="1"/>
    <n v="2576860000"/>
  </r>
  <r>
    <d v="2025-10-22T00:00:00"/>
    <x v="1"/>
    <x v="9"/>
    <x v="42"/>
    <x v="21"/>
    <x v="23"/>
    <x v="17"/>
    <x v="4"/>
    <n v="14094000"/>
  </r>
  <r>
    <d v="2025-10-22T00:00:00"/>
    <x v="1"/>
    <x v="9"/>
    <x v="42"/>
    <x v="21"/>
    <x v="28"/>
    <x v="17"/>
    <x v="4"/>
    <n v="425235000"/>
  </r>
  <r>
    <d v="2025-10-22T00:00:00"/>
    <x v="1"/>
    <x v="9"/>
    <x v="42"/>
    <x v="21"/>
    <x v="8"/>
    <x v="8"/>
    <x v="1"/>
    <n v="0"/>
  </r>
  <r>
    <d v="2025-10-22T00:00:00"/>
    <x v="1"/>
    <x v="9"/>
    <x v="42"/>
    <x v="21"/>
    <x v="26"/>
    <x v="16"/>
    <x v="1"/>
    <n v="146000000"/>
  </r>
  <r>
    <d v="2025-10-22T00:00:00"/>
    <x v="1"/>
    <x v="9"/>
    <x v="42"/>
    <x v="21"/>
    <x v="2"/>
    <x v="2"/>
    <x v="1"/>
    <n v="16968470000"/>
  </r>
  <r>
    <d v="2025-10-22T00:00:00"/>
    <x v="1"/>
    <x v="9"/>
    <x v="42"/>
    <x v="21"/>
    <x v="17"/>
    <x v="9"/>
    <x v="1"/>
    <n v="0"/>
  </r>
  <r>
    <d v="2025-10-22T00:00:00"/>
    <x v="1"/>
    <x v="9"/>
    <x v="42"/>
    <x v="21"/>
    <x v="20"/>
    <x v="9"/>
    <x v="1"/>
    <n v="0"/>
  </r>
  <r>
    <d v="2025-10-22T00:00:00"/>
    <x v="1"/>
    <x v="9"/>
    <x v="42"/>
    <x v="21"/>
    <x v="21"/>
    <x v="9"/>
    <x v="1"/>
    <n v="0"/>
  </r>
  <r>
    <d v="2025-10-22T00:00:00"/>
    <x v="1"/>
    <x v="9"/>
    <x v="42"/>
    <x v="21"/>
    <x v="25"/>
    <x v="2"/>
    <x v="1"/>
    <n v="10000000"/>
  </r>
  <r>
    <d v="2025-10-22T00:00:00"/>
    <x v="1"/>
    <x v="9"/>
    <x v="42"/>
    <x v="21"/>
    <x v="0"/>
    <x v="0"/>
    <x v="0"/>
    <n v="9479268000"/>
  </r>
  <r>
    <d v="2025-10-22T00:00:00"/>
    <x v="1"/>
    <x v="9"/>
    <x v="42"/>
    <x v="21"/>
    <x v="7"/>
    <x v="7"/>
    <x v="4"/>
    <n v="203588058"/>
  </r>
  <r>
    <d v="2025-10-22T00:00:00"/>
    <x v="1"/>
    <x v="9"/>
    <x v="42"/>
    <x v="21"/>
    <x v="1"/>
    <x v="1"/>
    <x v="1"/>
    <n v="72500000"/>
  </r>
  <r>
    <d v="2025-10-22T00:00:00"/>
    <x v="1"/>
    <x v="9"/>
    <x v="42"/>
    <x v="21"/>
    <x v="6"/>
    <x v="6"/>
    <x v="0"/>
    <n v="52000000"/>
  </r>
  <r>
    <d v="2025-10-22T00:00:00"/>
    <x v="1"/>
    <x v="9"/>
    <x v="42"/>
    <x v="21"/>
    <x v="18"/>
    <x v="15"/>
    <x v="1"/>
    <n v="961940000"/>
  </r>
  <r>
    <d v="2025-10-22T00:00:00"/>
    <x v="1"/>
    <x v="9"/>
    <x v="42"/>
    <x v="21"/>
    <x v="29"/>
    <x v="20"/>
    <x v="0"/>
    <n v="240840000"/>
  </r>
  <r>
    <d v="2025-10-22T00:00:00"/>
    <x v="1"/>
    <x v="9"/>
    <x v="42"/>
    <x v="21"/>
    <x v="19"/>
    <x v="12"/>
    <x v="4"/>
    <n v="401293207"/>
  </r>
  <r>
    <d v="2025-10-22T00:00:00"/>
    <x v="1"/>
    <x v="9"/>
    <x v="42"/>
    <x v="21"/>
    <x v="24"/>
    <x v="18"/>
    <x v="1"/>
    <n v="4021930000"/>
  </r>
  <r>
    <d v="2025-10-23T00:00:00"/>
    <x v="1"/>
    <x v="9"/>
    <x v="42"/>
    <x v="22"/>
    <x v="3"/>
    <x v="3"/>
    <x v="1"/>
    <n v="47250000"/>
  </r>
  <r>
    <d v="2025-10-23T00:00:00"/>
    <x v="1"/>
    <x v="9"/>
    <x v="42"/>
    <x v="22"/>
    <x v="11"/>
    <x v="10"/>
    <x v="4"/>
    <n v="259359278"/>
  </r>
  <r>
    <d v="2025-10-23T00:00:00"/>
    <x v="1"/>
    <x v="9"/>
    <x v="42"/>
    <x v="22"/>
    <x v="12"/>
    <x v="11"/>
    <x v="1"/>
    <n v="16040710000"/>
  </r>
  <r>
    <d v="2025-10-23T00:00:00"/>
    <x v="1"/>
    <x v="9"/>
    <x v="42"/>
    <x v="22"/>
    <x v="5"/>
    <x v="5"/>
    <x v="3"/>
    <n v="2205738261"/>
  </r>
  <r>
    <d v="2025-10-23T00:00:00"/>
    <x v="1"/>
    <x v="9"/>
    <x v="42"/>
    <x v="22"/>
    <x v="27"/>
    <x v="19"/>
    <x v="0"/>
    <n v="7394760000"/>
  </r>
  <r>
    <d v="2025-10-23T00:00:00"/>
    <x v="1"/>
    <x v="9"/>
    <x v="42"/>
    <x v="22"/>
    <x v="15"/>
    <x v="14"/>
    <x v="4"/>
    <n v="13922406"/>
  </r>
  <r>
    <d v="2025-10-23T00:00:00"/>
    <x v="1"/>
    <x v="9"/>
    <x v="42"/>
    <x v="22"/>
    <x v="14"/>
    <x v="13"/>
    <x v="1"/>
    <n v="2537110000"/>
  </r>
  <r>
    <d v="2025-10-23T00:00:00"/>
    <x v="1"/>
    <x v="9"/>
    <x v="42"/>
    <x v="22"/>
    <x v="23"/>
    <x v="17"/>
    <x v="4"/>
    <n v="13690000"/>
  </r>
  <r>
    <d v="2025-10-23T00:00:00"/>
    <x v="1"/>
    <x v="9"/>
    <x v="42"/>
    <x v="22"/>
    <x v="28"/>
    <x v="17"/>
    <x v="4"/>
    <n v="502006102"/>
  </r>
  <r>
    <d v="2025-10-23T00:00:00"/>
    <x v="1"/>
    <x v="9"/>
    <x v="42"/>
    <x v="22"/>
    <x v="8"/>
    <x v="8"/>
    <x v="1"/>
    <n v="0"/>
  </r>
  <r>
    <d v="2025-10-23T00:00:00"/>
    <x v="1"/>
    <x v="9"/>
    <x v="42"/>
    <x v="22"/>
    <x v="26"/>
    <x v="16"/>
    <x v="1"/>
    <n v="230500000"/>
  </r>
  <r>
    <d v="2025-10-23T00:00:00"/>
    <x v="1"/>
    <x v="9"/>
    <x v="42"/>
    <x v="22"/>
    <x v="2"/>
    <x v="2"/>
    <x v="1"/>
    <n v="13954470000"/>
  </r>
  <r>
    <d v="2025-10-23T00:00:00"/>
    <x v="1"/>
    <x v="9"/>
    <x v="42"/>
    <x v="22"/>
    <x v="17"/>
    <x v="9"/>
    <x v="1"/>
    <n v="0"/>
  </r>
  <r>
    <d v="2025-10-23T00:00:00"/>
    <x v="1"/>
    <x v="9"/>
    <x v="42"/>
    <x v="22"/>
    <x v="20"/>
    <x v="9"/>
    <x v="1"/>
    <n v="0"/>
  </r>
  <r>
    <d v="2025-10-23T00:00:00"/>
    <x v="1"/>
    <x v="9"/>
    <x v="42"/>
    <x v="22"/>
    <x v="21"/>
    <x v="9"/>
    <x v="1"/>
    <n v="0"/>
  </r>
  <r>
    <d v="2025-10-23T00:00:00"/>
    <x v="1"/>
    <x v="9"/>
    <x v="42"/>
    <x v="22"/>
    <x v="25"/>
    <x v="2"/>
    <x v="1"/>
    <n v="0"/>
  </r>
  <r>
    <d v="2025-10-23T00:00:00"/>
    <x v="1"/>
    <x v="9"/>
    <x v="42"/>
    <x v="22"/>
    <x v="0"/>
    <x v="0"/>
    <x v="0"/>
    <n v="9589968000"/>
  </r>
  <r>
    <d v="2025-10-23T00:00:00"/>
    <x v="1"/>
    <x v="9"/>
    <x v="42"/>
    <x v="22"/>
    <x v="7"/>
    <x v="7"/>
    <x v="4"/>
    <n v="187991749"/>
  </r>
  <r>
    <d v="2025-10-23T00:00:00"/>
    <x v="1"/>
    <x v="9"/>
    <x v="42"/>
    <x v="22"/>
    <x v="1"/>
    <x v="1"/>
    <x v="1"/>
    <n v="18900000"/>
  </r>
  <r>
    <d v="2025-10-23T00:00:00"/>
    <x v="1"/>
    <x v="9"/>
    <x v="42"/>
    <x v="22"/>
    <x v="6"/>
    <x v="6"/>
    <x v="0"/>
    <n v="41000000"/>
  </r>
  <r>
    <d v="2025-10-23T00:00:00"/>
    <x v="1"/>
    <x v="9"/>
    <x v="42"/>
    <x v="22"/>
    <x v="18"/>
    <x v="15"/>
    <x v="1"/>
    <n v="814290000"/>
  </r>
  <r>
    <d v="2025-10-23T00:00:00"/>
    <x v="1"/>
    <x v="9"/>
    <x v="42"/>
    <x v="22"/>
    <x v="29"/>
    <x v="20"/>
    <x v="0"/>
    <n v="244080000"/>
  </r>
  <r>
    <d v="2025-10-23T00:00:00"/>
    <x v="1"/>
    <x v="9"/>
    <x v="42"/>
    <x v="22"/>
    <x v="19"/>
    <x v="12"/>
    <x v="4"/>
    <n v="389906246"/>
  </r>
  <r>
    <d v="2025-10-23T00:00:00"/>
    <x v="1"/>
    <x v="9"/>
    <x v="42"/>
    <x v="22"/>
    <x v="24"/>
    <x v="18"/>
    <x v="1"/>
    <n v="3702420000"/>
  </r>
  <r>
    <d v="2025-10-24T00:00:00"/>
    <x v="1"/>
    <x v="9"/>
    <x v="42"/>
    <x v="23"/>
    <x v="3"/>
    <x v="3"/>
    <x v="1"/>
    <n v="60900000"/>
  </r>
  <r>
    <d v="2025-10-24T00:00:00"/>
    <x v="1"/>
    <x v="9"/>
    <x v="42"/>
    <x v="23"/>
    <x v="11"/>
    <x v="10"/>
    <x v="4"/>
    <n v="285903946"/>
  </r>
  <r>
    <d v="2025-10-24T00:00:00"/>
    <x v="1"/>
    <x v="9"/>
    <x v="42"/>
    <x v="23"/>
    <x v="12"/>
    <x v="11"/>
    <x v="1"/>
    <n v="16931330000"/>
  </r>
  <r>
    <d v="2025-10-24T00:00:00"/>
    <x v="1"/>
    <x v="9"/>
    <x v="42"/>
    <x v="23"/>
    <x v="5"/>
    <x v="5"/>
    <x v="3"/>
    <n v="2280611648"/>
  </r>
  <r>
    <d v="2025-10-24T00:00:00"/>
    <x v="1"/>
    <x v="9"/>
    <x v="42"/>
    <x v="23"/>
    <x v="27"/>
    <x v="19"/>
    <x v="0"/>
    <n v="7775244000"/>
  </r>
  <r>
    <d v="2025-10-24T00:00:00"/>
    <x v="1"/>
    <x v="9"/>
    <x v="42"/>
    <x v="23"/>
    <x v="15"/>
    <x v="14"/>
    <x v="4"/>
    <n v="32407904"/>
  </r>
  <r>
    <d v="2025-10-24T00:00:00"/>
    <x v="1"/>
    <x v="9"/>
    <x v="42"/>
    <x v="23"/>
    <x v="14"/>
    <x v="13"/>
    <x v="1"/>
    <n v="2380800000"/>
  </r>
  <r>
    <d v="2025-10-24T00:00:00"/>
    <x v="1"/>
    <x v="9"/>
    <x v="42"/>
    <x v="23"/>
    <x v="23"/>
    <x v="17"/>
    <x v="4"/>
    <n v="10630000"/>
  </r>
  <r>
    <d v="2025-10-24T00:00:00"/>
    <x v="1"/>
    <x v="9"/>
    <x v="42"/>
    <x v="23"/>
    <x v="28"/>
    <x v="17"/>
    <x v="4"/>
    <n v="464715000"/>
  </r>
  <r>
    <d v="2025-10-24T00:00:00"/>
    <x v="1"/>
    <x v="9"/>
    <x v="42"/>
    <x v="23"/>
    <x v="8"/>
    <x v="8"/>
    <x v="1"/>
    <n v="0"/>
  </r>
  <r>
    <d v="2025-10-24T00:00:00"/>
    <x v="1"/>
    <x v="9"/>
    <x v="42"/>
    <x v="23"/>
    <x v="26"/>
    <x v="16"/>
    <x v="1"/>
    <n v="160250000"/>
  </r>
  <r>
    <d v="2025-10-24T00:00:00"/>
    <x v="1"/>
    <x v="9"/>
    <x v="42"/>
    <x v="23"/>
    <x v="2"/>
    <x v="2"/>
    <x v="1"/>
    <n v="16570480000"/>
  </r>
  <r>
    <d v="2025-10-24T00:00:00"/>
    <x v="1"/>
    <x v="9"/>
    <x v="42"/>
    <x v="23"/>
    <x v="17"/>
    <x v="9"/>
    <x v="1"/>
    <n v="0"/>
  </r>
  <r>
    <d v="2025-10-24T00:00:00"/>
    <x v="1"/>
    <x v="9"/>
    <x v="42"/>
    <x v="23"/>
    <x v="20"/>
    <x v="9"/>
    <x v="1"/>
    <n v="0"/>
  </r>
  <r>
    <d v="2025-10-24T00:00:00"/>
    <x v="1"/>
    <x v="9"/>
    <x v="42"/>
    <x v="23"/>
    <x v="21"/>
    <x v="9"/>
    <x v="1"/>
    <n v="0"/>
  </r>
  <r>
    <d v="2025-10-24T00:00:00"/>
    <x v="1"/>
    <x v="9"/>
    <x v="42"/>
    <x v="23"/>
    <x v="25"/>
    <x v="2"/>
    <x v="1"/>
    <n v="17000000"/>
  </r>
  <r>
    <d v="2025-10-24T00:00:00"/>
    <x v="1"/>
    <x v="9"/>
    <x v="42"/>
    <x v="23"/>
    <x v="0"/>
    <x v="0"/>
    <x v="0"/>
    <n v="9715032000"/>
  </r>
  <r>
    <d v="2025-10-24T00:00:00"/>
    <x v="1"/>
    <x v="9"/>
    <x v="42"/>
    <x v="23"/>
    <x v="7"/>
    <x v="7"/>
    <x v="4"/>
    <n v="173670084"/>
  </r>
  <r>
    <d v="2025-10-24T00:00:00"/>
    <x v="1"/>
    <x v="9"/>
    <x v="42"/>
    <x v="23"/>
    <x v="1"/>
    <x v="1"/>
    <x v="1"/>
    <n v="0"/>
  </r>
  <r>
    <d v="2025-10-24T00:00:00"/>
    <x v="1"/>
    <x v="9"/>
    <x v="42"/>
    <x v="23"/>
    <x v="6"/>
    <x v="6"/>
    <x v="0"/>
    <n v="70000000"/>
  </r>
  <r>
    <d v="2025-10-24T00:00:00"/>
    <x v="1"/>
    <x v="9"/>
    <x v="42"/>
    <x v="23"/>
    <x v="18"/>
    <x v="15"/>
    <x v="1"/>
    <n v="819140000"/>
  </r>
  <r>
    <d v="2025-10-24T00:00:00"/>
    <x v="1"/>
    <x v="9"/>
    <x v="42"/>
    <x v="23"/>
    <x v="29"/>
    <x v="20"/>
    <x v="0"/>
    <n v="246240000"/>
  </r>
  <r>
    <d v="2025-10-24T00:00:00"/>
    <x v="1"/>
    <x v="9"/>
    <x v="42"/>
    <x v="23"/>
    <x v="19"/>
    <x v="12"/>
    <x v="4"/>
    <n v="404228919"/>
  </r>
  <r>
    <d v="2025-10-24T00:00:00"/>
    <x v="1"/>
    <x v="9"/>
    <x v="42"/>
    <x v="23"/>
    <x v="24"/>
    <x v="18"/>
    <x v="1"/>
    <n v="3570150000"/>
  </r>
  <r>
    <d v="2025-10-25T00:00:00"/>
    <x v="1"/>
    <x v="9"/>
    <x v="42"/>
    <x v="24"/>
    <x v="3"/>
    <x v="3"/>
    <x v="1"/>
    <n v="63500000"/>
  </r>
  <r>
    <d v="2025-10-25T00:00:00"/>
    <x v="1"/>
    <x v="9"/>
    <x v="42"/>
    <x v="24"/>
    <x v="11"/>
    <x v="10"/>
    <x v="4"/>
    <n v="305419448"/>
  </r>
  <r>
    <d v="2025-10-25T00:00:00"/>
    <x v="1"/>
    <x v="9"/>
    <x v="42"/>
    <x v="24"/>
    <x v="12"/>
    <x v="11"/>
    <x v="1"/>
    <n v="14050200000"/>
  </r>
  <r>
    <d v="2025-10-25T00:00:00"/>
    <x v="1"/>
    <x v="9"/>
    <x v="42"/>
    <x v="24"/>
    <x v="5"/>
    <x v="5"/>
    <x v="3"/>
    <n v="2172843496"/>
  </r>
  <r>
    <d v="2025-10-25T00:00:00"/>
    <x v="1"/>
    <x v="9"/>
    <x v="42"/>
    <x v="24"/>
    <x v="27"/>
    <x v="19"/>
    <x v="0"/>
    <n v="7487100000"/>
  </r>
  <r>
    <d v="2025-10-25T00:00:00"/>
    <x v="1"/>
    <x v="9"/>
    <x v="42"/>
    <x v="24"/>
    <x v="15"/>
    <x v="14"/>
    <x v="4"/>
    <n v="37120983"/>
  </r>
  <r>
    <d v="2025-10-25T00:00:00"/>
    <x v="1"/>
    <x v="9"/>
    <x v="42"/>
    <x v="24"/>
    <x v="14"/>
    <x v="13"/>
    <x v="1"/>
    <n v="2437670000"/>
  </r>
  <r>
    <d v="2025-10-25T00:00:00"/>
    <x v="1"/>
    <x v="9"/>
    <x v="42"/>
    <x v="24"/>
    <x v="23"/>
    <x v="17"/>
    <x v="4"/>
    <n v="10807000"/>
  </r>
  <r>
    <d v="2025-10-25T00:00:00"/>
    <x v="1"/>
    <x v="9"/>
    <x v="42"/>
    <x v="24"/>
    <x v="28"/>
    <x v="17"/>
    <x v="4"/>
    <n v="673834600"/>
  </r>
  <r>
    <d v="2025-10-25T00:00:00"/>
    <x v="1"/>
    <x v="9"/>
    <x v="42"/>
    <x v="24"/>
    <x v="8"/>
    <x v="8"/>
    <x v="1"/>
    <n v="0"/>
  </r>
  <r>
    <d v="2025-10-25T00:00:00"/>
    <x v="1"/>
    <x v="9"/>
    <x v="42"/>
    <x v="24"/>
    <x v="26"/>
    <x v="16"/>
    <x v="1"/>
    <n v="105000000"/>
  </r>
  <r>
    <d v="2025-10-25T00:00:00"/>
    <x v="1"/>
    <x v="9"/>
    <x v="42"/>
    <x v="24"/>
    <x v="2"/>
    <x v="2"/>
    <x v="1"/>
    <n v="16692810000"/>
  </r>
  <r>
    <d v="2025-10-25T00:00:00"/>
    <x v="1"/>
    <x v="9"/>
    <x v="42"/>
    <x v="24"/>
    <x v="17"/>
    <x v="9"/>
    <x v="1"/>
    <n v="0"/>
  </r>
  <r>
    <d v="2025-10-25T00:00:00"/>
    <x v="1"/>
    <x v="9"/>
    <x v="42"/>
    <x v="24"/>
    <x v="20"/>
    <x v="9"/>
    <x v="1"/>
    <n v="0"/>
  </r>
  <r>
    <d v="2025-10-25T00:00:00"/>
    <x v="1"/>
    <x v="9"/>
    <x v="42"/>
    <x v="24"/>
    <x v="21"/>
    <x v="9"/>
    <x v="1"/>
    <n v="0"/>
  </r>
  <r>
    <d v="2025-10-25T00:00:00"/>
    <x v="1"/>
    <x v="9"/>
    <x v="42"/>
    <x v="24"/>
    <x v="25"/>
    <x v="2"/>
    <x v="1"/>
    <n v="0"/>
  </r>
  <r>
    <d v="2025-10-25T00:00:00"/>
    <x v="1"/>
    <x v="9"/>
    <x v="42"/>
    <x v="24"/>
    <x v="0"/>
    <x v="0"/>
    <x v="0"/>
    <n v="9284868000"/>
  </r>
  <r>
    <d v="2025-10-25T00:00:00"/>
    <x v="1"/>
    <x v="9"/>
    <x v="42"/>
    <x v="24"/>
    <x v="7"/>
    <x v="7"/>
    <x v="4"/>
    <n v="179111520"/>
  </r>
  <r>
    <d v="2025-10-25T00:00:00"/>
    <x v="1"/>
    <x v="9"/>
    <x v="42"/>
    <x v="24"/>
    <x v="1"/>
    <x v="1"/>
    <x v="1"/>
    <n v="35750000"/>
  </r>
  <r>
    <d v="2025-10-25T00:00:00"/>
    <x v="1"/>
    <x v="9"/>
    <x v="42"/>
    <x v="24"/>
    <x v="6"/>
    <x v="6"/>
    <x v="0"/>
    <n v="80000000"/>
  </r>
  <r>
    <d v="2025-10-25T00:00:00"/>
    <x v="1"/>
    <x v="9"/>
    <x v="42"/>
    <x v="24"/>
    <x v="18"/>
    <x v="15"/>
    <x v="1"/>
    <n v="828890000"/>
  </r>
  <r>
    <d v="2025-10-25T00:00:00"/>
    <x v="1"/>
    <x v="9"/>
    <x v="42"/>
    <x v="24"/>
    <x v="29"/>
    <x v="20"/>
    <x v="0"/>
    <n v="168480000"/>
  </r>
  <r>
    <d v="2025-10-25T00:00:00"/>
    <x v="1"/>
    <x v="9"/>
    <x v="42"/>
    <x v="24"/>
    <x v="19"/>
    <x v="12"/>
    <x v="4"/>
    <n v="394362630"/>
  </r>
  <r>
    <d v="2025-10-25T00:00:00"/>
    <x v="1"/>
    <x v="9"/>
    <x v="42"/>
    <x v="24"/>
    <x v="24"/>
    <x v="18"/>
    <x v="1"/>
    <n v="3668790000"/>
  </r>
  <r>
    <d v="2025-10-26T00:00:00"/>
    <x v="1"/>
    <x v="9"/>
    <x v="42"/>
    <x v="25"/>
    <x v="3"/>
    <x v="3"/>
    <x v="1"/>
    <n v="99000000"/>
  </r>
  <r>
    <d v="2025-10-26T00:00:00"/>
    <x v="1"/>
    <x v="9"/>
    <x v="42"/>
    <x v="25"/>
    <x v="11"/>
    <x v="10"/>
    <x v="4"/>
    <n v="321812698"/>
  </r>
  <r>
    <d v="2025-10-26T00:00:00"/>
    <x v="1"/>
    <x v="9"/>
    <x v="42"/>
    <x v="25"/>
    <x v="12"/>
    <x v="11"/>
    <x v="1"/>
    <n v="11808080000"/>
  </r>
  <r>
    <d v="2025-10-26T00:00:00"/>
    <x v="1"/>
    <x v="9"/>
    <x v="42"/>
    <x v="25"/>
    <x v="5"/>
    <x v="5"/>
    <x v="3"/>
    <n v="1850280416"/>
  </r>
  <r>
    <d v="2025-10-26T00:00:00"/>
    <x v="1"/>
    <x v="9"/>
    <x v="42"/>
    <x v="25"/>
    <x v="27"/>
    <x v="19"/>
    <x v="0"/>
    <n v="7194204000"/>
  </r>
  <r>
    <d v="2025-10-26T00:00:00"/>
    <x v="1"/>
    <x v="9"/>
    <x v="42"/>
    <x v="25"/>
    <x v="15"/>
    <x v="14"/>
    <x v="4"/>
    <n v="25327701"/>
  </r>
  <r>
    <d v="2025-10-26T00:00:00"/>
    <x v="1"/>
    <x v="9"/>
    <x v="42"/>
    <x v="25"/>
    <x v="14"/>
    <x v="13"/>
    <x v="1"/>
    <n v="3037510000"/>
  </r>
  <r>
    <d v="2025-10-26T00:00:00"/>
    <x v="1"/>
    <x v="9"/>
    <x v="42"/>
    <x v="25"/>
    <x v="23"/>
    <x v="17"/>
    <x v="4"/>
    <n v="15720000"/>
  </r>
  <r>
    <d v="2025-10-26T00:00:00"/>
    <x v="1"/>
    <x v="9"/>
    <x v="42"/>
    <x v="25"/>
    <x v="28"/>
    <x v="17"/>
    <x v="4"/>
    <n v="686648587"/>
  </r>
  <r>
    <d v="2025-10-26T00:00:00"/>
    <x v="1"/>
    <x v="9"/>
    <x v="42"/>
    <x v="25"/>
    <x v="8"/>
    <x v="8"/>
    <x v="1"/>
    <n v="0"/>
  </r>
  <r>
    <d v="2025-10-26T00:00:00"/>
    <x v="1"/>
    <x v="9"/>
    <x v="42"/>
    <x v="25"/>
    <x v="26"/>
    <x v="16"/>
    <x v="1"/>
    <n v="112500000"/>
  </r>
  <r>
    <d v="2025-10-26T00:00:00"/>
    <x v="1"/>
    <x v="9"/>
    <x v="42"/>
    <x v="25"/>
    <x v="2"/>
    <x v="2"/>
    <x v="1"/>
    <n v="15535400000"/>
  </r>
  <r>
    <d v="2025-10-26T00:00:00"/>
    <x v="1"/>
    <x v="9"/>
    <x v="42"/>
    <x v="25"/>
    <x v="17"/>
    <x v="9"/>
    <x v="1"/>
    <n v="0"/>
  </r>
  <r>
    <d v="2025-10-26T00:00:00"/>
    <x v="1"/>
    <x v="9"/>
    <x v="42"/>
    <x v="25"/>
    <x v="20"/>
    <x v="9"/>
    <x v="1"/>
    <n v="0"/>
  </r>
  <r>
    <d v="2025-10-26T00:00:00"/>
    <x v="1"/>
    <x v="9"/>
    <x v="42"/>
    <x v="25"/>
    <x v="21"/>
    <x v="9"/>
    <x v="1"/>
    <n v="0"/>
  </r>
  <r>
    <d v="2025-10-26T00:00:00"/>
    <x v="1"/>
    <x v="9"/>
    <x v="42"/>
    <x v="25"/>
    <x v="25"/>
    <x v="2"/>
    <x v="1"/>
    <n v="0"/>
  </r>
  <r>
    <d v="2025-10-26T00:00:00"/>
    <x v="1"/>
    <x v="9"/>
    <x v="42"/>
    <x v="25"/>
    <x v="0"/>
    <x v="0"/>
    <x v="0"/>
    <n v="9237780000"/>
  </r>
  <r>
    <d v="2025-10-26T00:00:00"/>
    <x v="1"/>
    <x v="9"/>
    <x v="42"/>
    <x v="25"/>
    <x v="7"/>
    <x v="7"/>
    <x v="4"/>
    <n v="215056653"/>
  </r>
  <r>
    <d v="2025-10-26T00:00:00"/>
    <x v="1"/>
    <x v="9"/>
    <x v="42"/>
    <x v="25"/>
    <x v="1"/>
    <x v="1"/>
    <x v="1"/>
    <n v="36000000"/>
  </r>
  <r>
    <d v="2025-10-26T00:00:00"/>
    <x v="1"/>
    <x v="9"/>
    <x v="42"/>
    <x v="25"/>
    <x v="6"/>
    <x v="6"/>
    <x v="0"/>
    <n v="34000000"/>
  </r>
  <r>
    <d v="2025-10-26T00:00:00"/>
    <x v="1"/>
    <x v="9"/>
    <x v="42"/>
    <x v="25"/>
    <x v="18"/>
    <x v="15"/>
    <x v="1"/>
    <n v="659980000"/>
  </r>
  <r>
    <d v="2025-10-26T00:00:00"/>
    <x v="1"/>
    <x v="9"/>
    <x v="42"/>
    <x v="25"/>
    <x v="29"/>
    <x v="20"/>
    <x v="0"/>
    <n v="218160000"/>
  </r>
  <r>
    <d v="2025-10-26T00:00:00"/>
    <x v="1"/>
    <x v="9"/>
    <x v="42"/>
    <x v="25"/>
    <x v="19"/>
    <x v="12"/>
    <x v="4"/>
    <n v="307114694"/>
  </r>
  <r>
    <d v="2025-10-26T00:00:00"/>
    <x v="1"/>
    <x v="9"/>
    <x v="42"/>
    <x v="25"/>
    <x v="24"/>
    <x v="18"/>
    <x v="1"/>
    <n v="3338450000"/>
  </r>
  <r>
    <d v="2025-10-27T00:00:00"/>
    <x v="1"/>
    <x v="9"/>
    <x v="43"/>
    <x v="26"/>
    <x v="3"/>
    <x v="3"/>
    <x v="1"/>
    <n v="90400000"/>
  </r>
  <r>
    <d v="2025-10-27T00:00:00"/>
    <x v="1"/>
    <x v="9"/>
    <x v="43"/>
    <x v="26"/>
    <x v="11"/>
    <x v="10"/>
    <x v="4"/>
    <n v="239528435"/>
  </r>
  <r>
    <d v="2025-10-27T00:00:00"/>
    <x v="1"/>
    <x v="9"/>
    <x v="43"/>
    <x v="26"/>
    <x v="12"/>
    <x v="11"/>
    <x v="1"/>
    <n v="14375700000"/>
  </r>
  <r>
    <d v="2025-10-27T00:00:00"/>
    <x v="1"/>
    <x v="9"/>
    <x v="43"/>
    <x v="26"/>
    <x v="5"/>
    <x v="5"/>
    <x v="3"/>
    <n v="2543391865"/>
  </r>
  <r>
    <d v="2025-10-27T00:00:00"/>
    <x v="1"/>
    <x v="9"/>
    <x v="43"/>
    <x v="26"/>
    <x v="27"/>
    <x v="19"/>
    <x v="0"/>
    <n v="8267508000"/>
  </r>
  <r>
    <d v="2025-10-27T00:00:00"/>
    <x v="1"/>
    <x v="9"/>
    <x v="43"/>
    <x v="26"/>
    <x v="15"/>
    <x v="14"/>
    <x v="4"/>
    <n v="30321680"/>
  </r>
  <r>
    <d v="2025-10-27T00:00:00"/>
    <x v="1"/>
    <x v="9"/>
    <x v="43"/>
    <x v="26"/>
    <x v="14"/>
    <x v="13"/>
    <x v="1"/>
    <n v="2610070000"/>
  </r>
  <r>
    <d v="2025-10-27T00:00:00"/>
    <x v="1"/>
    <x v="9"/>
    <x v="43"/>
    <x v="26"/>
    <x v="23"/>
    <x v="17"/>
    <x v="4"/>
    <n v="20696000"/>
  </r>
  <r>
    <d v="2025-10-27T00:00:00"/>
    <x v="1"/>
    <x v="9"/>
    <x v="43"/>
    <x v="26"/>
    <x v="28"/>
    <x v="17"/>
    <x v="4"/>
    <n v="534532363"/>
  </r>
  <r>
    <d v="2025-10-27T00:00:00"/>
    <x v="1"/>
    <x v="9"/>
    <x v="43"/>
    <x v="26"/>
    <x v="8"/>
    <x v="8"/>
    <x v="1"/>
    <n v="0"/>
  </r>
  <r>
    <d v="2025-10-27T00:00:00"/>
    <x v="1"/>
    <x v="9"/>
    <x v="43"/>
    <x v="26"/>
    <x v="26"/>
    <x v="16"/>
    <x v="1"/>
    <n v="115500000"/>
  </r>
  <r>
    <d v="2025-10-27T00:00:00"/>
    <x v="1"/>
    <x v="9"/>
    <x v="43"/>
    <x v="26"/>
    <x v="2"/>
    <x v="2"/>
    <x v="1"/>
    <n v="15494880000"/>
  </r>
  <r>
    <d v="2025-10-27T00:00:00"/>
    <x v="1"/>
    <x v="9"/>
    <x v="43"/>
    <x v="26"/>
    <x v="17"/>
    <x v="9"/>
    <x v="1"/>
    <n v="0"/>
  </r>
  <r>
    <d v="2025-10-27T00:00:00"/>
    <x v="1"/>
    <x v="9"/>
    <x v="43"/>
    <x v="26"/>
    <x v="20"/>
    <x v="9"/>
    <x v="1"/>
    <n v="0"/>
  </r>
  <r>
    <d v="2025-10-27T00:00:00"/>
    <x v="1"/>
    <x v="9"/>
    <x v="43"/>
    <x v="26"/>
    <x v="21"/>
    <x v="9"/>
    <x v="1"/>
    <n v="0"/>
  </r>
  <r>
    <d v="2025-10-27T00:00:00"/>
    <x v="1"/>
    <x v="9"/>
    <x v="43"/>
    <x v="26"/>
    <x v="25"/>
    <x v="2"/>
    <x v="1"/>
    <n v="10000000"/>
  </r>
  <r>
    <d v="2025-10-27T00:00:00"/>
    <x v="1"/>
    <x v="9"/>
    <x v="43"/>
    <x v="26"/>
    <x v="0"/>
    <x v="0"/>
    <x v="0"/>
    <n v="9534348000"/>
  </r>
  <r>
    <d v="2025-10-27T00:00:00"/>
    <x v="1"/>
    <x v="9"/>
    <x v="43"/>
    <x v="26"/>
    <x v="7"/>
    <x v="7"/>
    <x v="4"/>
    <n v="187228925"/>
  </r>
  <r>
    <d v="2025-10-27T00:00:00"/>
    <x v="1"/>
    <x v="9"/>
    <x v="43"/>
    <x v="26"/>
    <x v="1"/>
    <x v="1"/>
    <x v="1"/>
    <n v="36750000"/>
  </r>
  <r>
    <d v="2025-10-27T00:00:00"/>
    <x v="1"/>
    <x v="9"/>
    <x v="43"/>
    <x v="26"/>
    <x v="6"/>
    <x v="6"/>
    <x v="0"/>
    <n v="62000000"/>
  </r>
  <r>
    <d v="2025-10-27T00:00:00"/>
    <x v="1"/>
    <x v="9"/>
    <x v="43"/>
    <x v="26"/>
    <x v="18"/>
    <x v="15"/>
    <x v="1"/>
    <n v="946300000"/>
  </r>
  <r>
    <d v="2025-10-27T00:00:00"/>
    <x v="1"/>
    <x v="9"/>
    <x v="43"/>
    <x v="26"/>
    <x v="29"/>
    <x v="20"/>
    <x v="0"/>
    <n v="232200000"/>
  </r>
  <r>
    <d v="2025-10-27T00:00:00"/>
    <x v="1"/>
    <x v="9"/>
    <x v="43"/>
    <x v="26"/>
    <x v="19"/>
    <x v="12"/>
    <x v="4"/>
    <n v="480339205"/>
  </r>
  <r>
    <d v="2025-10-27T00:00:00"/>
    <x v="1"/>
    <x v="9"/>
    <x v="43"/>
    <x v="26"/>
    <x v="24"/>
    <x v="18"/>
    <x v="1"/>
    <n v="3172960000"/>
  </r>
  <r>
    <d v="2025-10-28T00:00:00"/>
    <x v="1"/>
    <x v="9"/>
    <x v="43"/>
    <x v="27"/>
    <x v="3"/>
    <x v="3"/>
    <x v="1"/>
    <n v="52500000"/>
  </r>
  <r>
    <d v="2025-10-28T00:00:00"/>
    <x v="1"/>
    <x v="9"/>
    <x v="43"/>
    <x v="27"/>
    <x v="11"/>
    <x v="10"/>
    <x v="4"/>
    <n v="260927601"/>
  </r>
  <r>
    <d v="2025-10-28T00:00:00"/>
    <x v="1"/>
    <x v="9"/>
    <x v="43"/>
    <x v="27"/>
    <x v="12"/>
    <x v="11"/>
    <x v="1"/>
    <n v="14732250000"/>
  </r>
  <r>
    <d v="2025-10-28T00:00:00"/>
    <x v="1"/>
    <x v="9"/>
    <x v="43"/>
    <x v="27"/>
    <x v="5"/>
    <x v="5"/>
    <x v="3"/>
    <n v="2386582298"/>
  </r>
  <r>
    <d v="2025-10-28T00:00:00"/>
    <x v="1"/>
    <x v="9"/>
    <x v="43"/>
    <x v="27"/>
    <x v="27"/>
    <x v="19"/>
    <x v="0"/>
    <n v="8437284000"/>
  </r>
  <r>
    <d v="2025-10-28T00:00:00"/>
    <x v="1"/>
    <x v="9"/>
    <x v="43"/>
    <x v="27"/>
    <x v="15"/>
    <x v="14"/>
    <x v="4"/>
    <n v="23402906"/>
  </r>
  <r>
    <d v="2025-10-28T00:00:00"/>
    <x v="1"/>
    <x v="9"/>
    <x v="43"/>
    <x v="27"/>
    <x v="14"/>
    <x v="13"/>
    <x v="1"/>
    <n v="2575150000"/>
  </r>
  <r>
    <d v="2025-10-28T00:00:00"/>
    <x v="1"/>
    <x v="9"/>
    <x v="43"/>
    <x v="27"/>
    <x v="23"/>
    <x v="17"/>
    <x v="4"/>
    <n v="20855000"/>
  </r>
  <r>
    <d v="2025-10-28T00:00:00"/>
    <x v="1"/>
    <x v="9"/>
    <x v="43"/>
    <x v="27"/>
    <x v="28"/>
    <x v="17"/>
    <x v="4"/>
    <n v="535907540"/>
  </r>
  <r>
    <d v="2025-10-28T00:00:00"/>
    <x v="1"/>
    <x v="9"/>
    <x v="43"/>
    <x v="27"/>
    <x v="8"/>
    <x v="8"/>
    <x v="1"/>
    <n v="0"/>
  </r>
  <r>
    <d v="2025-10-28T00:00:00"/>
    <x v="1"/>
    <x v="9"/>
    <x v="43"/>
    <x v="27"/>
    <x v="26"/>
    <x v="16"/>
    <x v="1"/>
    <n v="135500000"/>
  </r>
  <r>
    <d v="2025-10-28T00:00:00"/>
    <x v="1"/>
    <x v="9"/>
    <x v="43"/>
    <x v="27"/>
    <x v="2"/>
    <x v="2"/>
    <x v="1"/>
    <n v="13923450000"/>
  </r>
  <r>
    <d v="2025-10-28T00:00:00"/>
    <x v="1"/>
    <x v="9"/>
    <x v="43"/>
    <x v="27"/>
    <x v="17"/>
    <x v="9"/>
    <x v="1"/>
    <n v="0"/>
  </r>
  <r>
    <d v="2025-10-28T00:00:00"/>
    <x v="1"/>
    <x v="9"/>
    <x v="43"/>
    <x v="27"/>
    <x v="20"/>
    <x v="9"/>
    <x v="1"/>
    <n v="0"/>
  </r>
  <r>
    <d v="2025-10-28T00:00:00"/>
    <x v="1"/>
    <x v="9"/>
    <x v="43"/>
    <x v="27"/>
    <x v="21"/>
    <x v="9"/>
    <x v="1"/>
    <n v="0"/>
  </r>
  <r>
    <d v="2025-10-28T00:00:00"/>
    <x v="1"/>
    <x v="9"/>
    <x v="43"/>
    <x v="27"/>
    <x v="25"/>
    <x v="2"/>
    <x v="1"/>
    <n v="0"/>
  </r>
  <r>
    <d v="2025-10-28T00:00:00"/>
    <x v="1"/>
    <x v="9"/>
    <x v="43"/>
    <x v="27"/>
    <x v="0"/>
    <x v="0"/>
    <x v="0"/>
    <n v="9148680000"/>
  </r>
  <r>
    <d v="2025-10-28T00:00:00"/>
    <x v="1"/>
    <x v="9"/>
    <x v="43"/>
    <x v="27"/>
    <x v="7"/>
    <x v="7"/>
    <x v="4"/>
    <n v="185338181"/>
  </r>
  <r>
    <d v="2025-10-28T00:00:00"/>
    <x v="1"/>
    <x v="9"/>
    <x v="43"/>
    <x v="27"/>
    <x v="1"/>
    <x v="1"/>
    <x v="1"/>
    <n v="52500000"/>
  </r>
  <r>
    <d v="2025-10-28T00:00:00"/>
    <x v="1"/>
    <x v="9"/>
    <x v="43"/>
    <x v="27"/>
    <x v="6"/>
    <x v="6"/>
    <x v="0"/>
    <n v="45000000"/>
  </r>
  <r>
    <d v="2025-10-28T00:00:00"/>
    <x v="1"/>
    <x v="9"/>
    <x v="43"/>
    <x v="27"/>
    <x v="18"/>
    <x v="15"/>
    <x v="1"/>
    <n v="829660000"/>
  </r>
  <r>
    <d v="2025-10-28T00:00:00"/>
    <x v="1"/>
    <x v="9"/>
    <x v="43"/>
    <x v="27"/>
    <x v="29"/>
    <x v="20"/>
    <x v="0"/>
    <n v="223560000"/>
  </r>
  <r>
    <d v="2025-10-28T00:00:00"/>
    <x v="1"/>
    <x v="9"/>
    <x v="43"/>
    <x v="27"/>
    <x v="19"/>
    <x v="12"/>
    <x v="4"/>
    <n v="485591923"/>
  </r>
  <r>
    <d v="2025-10-28T00:00:00"/>
    <x v="1"/>
    <x v="9"/>
    <x v="43"/>
    <x v="27"/>
    <x v="24"/>
    <x v="18"/>
    <x v="1"/>
    <n v="4111000000"/>
  </r>
  <r>
    <d v="2025-10-29T00:00:00"/>
    <x v="1"/>
    <x v="9"/>
    <x v="43"/>
    <x v="28"/>
    <x v="3"/>
    <x v="3"/>
    <x v="1"/>
    <n v="97650000"/>
  </r>
  <r>
    <d v="2025-10-29T00:00:00"/>
    <x v="1"/>
    <x v="9"/>
    <x v="43"/>
    <x v="28"/>
    <x v="11"/>
    <x v="10"/>
    <x v="4"/>
    <n v="222504757"/>
  </r>
  <r>
    <d v="2025-10-29T00:00:00"/>
    <x v="1"/>
    <x v="9"/>
    <x v="43"/>
    <x v="28"/>
    <x v="12"/>
    <x v="11"/>
    <x v="1"/>
    <n v="12871110000"/>
  </r>
  <r>
    <d v="2025-10-29T00:00:00"/>
    <x v="1"/>
    <x v="9"/>
    <x v="43"/>
    <x v="28"/>
    <x v="5"/>
    <x v="5"/>
    <x v="3"/>
    <n v="2349288068"/>
  </r>
  <r>
    <d v="2025-10-29T00:00:00"/>
    <x v="1"/>
    <x v="9"/>
    <x v="43"/>
    <x v="28"/>
    <x v="27"/>
    <x v="19"/>
    <x v="0"/>
    <n v="7620804000"/>
  </r>
  <r>
    <d v="2025-10-29T00:00:00"/>
    <x v="1"/>
    <x v="9"/>
    <x v="43"/>
    <x v="28"/>
    <x v="15"/>
    <x v="14"/>
    <x v="4"/>
    <n v="17959332"/>
  </r>
  <r>
    <d v="2025-10-29T00:00:00"/>
    <x v="1"/>
    <x v="9"/>
    <x v="43"/>
    <x v="28"/>
    <x v="14"/>
    <x v="13"/>
    <x v="1"/>
    <n v="2019300000"/>
  </r>
  <r>
    <d v="2025-10-29T00:00:00"/>
    <x v="1"/>
    <x v="9"/>
    <x v="43"/>
    <x v="28"/>
    <x v="23"/>
    <x v="17"/>
    <x v="4"/>
    <n v="25339000"/>
  </r>
  <r>
    <d v="2025-10-29T00:00:00"/>
    <x v="1"/>
    <x v="9"/>
    <x v="43"/>
    <x v="28"/>
    <x v="28"/>
    <x v="17"/>
    <x v="4"/>
    <n v="534989800"/>
  </r>
  <r>
    <d v="2025-10-29T00:00:00"/>
    <x v="1"/>
    <x v="9"/>
    <x v="43"/>
    <x v="28"/>
    <x v="8"/>
    <x v="8"/>
    <x v="1"/>
    <n v="0"/>
  </r>
  <r>
    <d v="2025-10-29T00:00:00"/>
    <x v="1"/>
    <x v="9"/>
    <x v="43"/>
    <x v="28"/>
    <x v="26"/>
    <x v="16"/>
    <x v="1"/>
    <n v="154500000"/>
  </r>
  <r>
    <d v="2025-10-29T00:00:00"/>
    <x v="1"/>
    <x v="9"/>
    <x v="43"/>
    <x v="28"/>
    <x v="2"/>
    <x v="2"/>
    <x v="1"/>
    <n v="14843270000"/>
  </r>
  <r>
    <d v="2025-10-29T00:00:00"/>
    <x v="1"/>
    <x v="9"/>
    <x v="43"/>
    <x v="28"/>
    <x v="17"/>
    <x v="9"/>
    <x v="1"/>
    <n v="0"/>
  </r>
  <r>
    <d v="2025-10-29T00:00:00"/>
    <x v="1"/>
    <x v="9"/>
    <x v="43"/>
    <x v="28"/>
    <x v="20"/>
    <x v="9"/>
    <x v="1"/>
    <n v="0"/>
  </r>
  <r>
    <d v="2025-10-29T00:00:00"/>
    <x v="1"/>
    <x v="9"/>
    <x v="43"/>
    <x v="28"/>
    <x v="21"/>
    <x v="9"/>
    <x v="1"/>
    <n v="0"/>
  </r>
  <r>
    <d v="2025-10-29T00:00:00"/>
    <x v="1"/>
    <x v="9"/>
    <x v="43"/>
    <x v="28"/>
    <x v="25"/>
    <x v="2"/>
    <x v="1"/>
    <n v="0"/>
  </r>
  <r>
    <d v="2025-10-29T00:00:00"/>
    <x v="1"/>
    <x v="9"/>
    <x v="43"/>
    <x v="28"/>
    <x v="0"/>
    <x v="0"/>
    <x v="0"/>
    <n v="8617752000"/>
  </r>
  <r>
    <d v="2025-10-29T00:00:00"/>
    <x v="1"/>
    <x v="9"/>
    <x v="43"/>
    <x v="28"/>
    <x v="7"/>
    <x v="7"/>
    <x v="4"/>
    <n v="188504647"/>
  </r>
  <r>
    <d v="2025-10-29T00:00:00"/>
    <x v="1"/>
    <x v="9"/>
    <x v="43"/>
    <x v="28"/>
    <x v="1"/>
    <x v="1"/>
    <x v="1"/>
    <n v="0"/>
  </r>
  <r>
    <d v="2025-10-29T00:00:00"/>
    <x v="1"/>
    <x v="9"/>
    <x v="43"/>
    <x v="28"/>
    <x v="6"/>
    <x v="6"/>
    <x v="0"/>
    <n v="20000000"/>
  </r>
  <r>
    <d v="2025-10-29T00:00:00"/>
    <x v="1"/>
    <x v="9"/>
    <x v="43"/>
    <x v="28"/>
    <x v="18"/>
    <x v="15"/>
    <x v="1"/>
    <n v="729410000"/>
  </r>
  <r>
    <d v="2025-10-29T00:00:00"/>
    <x v="1"/>
    <x v="9"/>
    <x v="43"/>
    <x v="28"/>
    <x v="29"/>
    <x v="20"/>
    <x v="0"/>
    <n v="190080000"/>
  </r>
  <r>
    <d v="2025-10-29T00:00:00"/>
    <x v="1"/>
    <x v="9"/>
    <x v="43"/>
    <x v="28"/>
    <x v="19"/>
    <x v="12"/>
    <x v="4"/>
    <n v="504866315"/>
  </r>
  <r>
    <d v="2025-10-29T00:00:00"/>
    <x v="1"/>
    <x v="9"/>
    <x v="43"/>
    <x v="28"/>
    <x v="24"/>
    <x v="18"/>
    <x v="1"/>
    <n v="3664690000"/>
  </r>
  <r>
    <d v="2025-10-30T00:00:00"/>
    <x v="1"/>
    <x v="9"/>
    <x v="43"/>
    <x v="29"/>
    <x v="3"/>
    <x v="3"/>
    <x v="1"/>
    <n v="110800000"/>
  </r>
  <r>
    <d v="2025-10-30T00:00:00"/>
    <x v="1"/>
    <x v="9"/>
    <x v="43"/>
    <x v="29"/>
    <x v="11"/>
    <x v="10"/>
    <x v="4"/>
    <n v="260473982"/>
  </r>
  <r>
    <d v="2025-10-30T00:00:00"/>
    <x v="1"/>
    <x v="9"/>
    <x v="43"/>
    <x v="29"/>
    <x v="12"/>
    <x v="11"/>
    <x v="1"/>
    <n v="13975240000"/>
  </r>
  <r>
    <d v="2025-10-30T00:00:00"/>
    <x v="1"/>
    <x v="9"/>
    <x v="43"/>
    <x v="29"/>
    <x v="5"/>
    <x v="5"/>
    <x v="3"/>
    <n v="2466995930"/>
  </r>
  <r>
    <d v="2025-10-30T00:00:00"/>
    <x v="1"/>
    <x v="9"/>
    <x v="43"/>
    <x v="29"/>
    <x v="27"/>
    <x v="19"/>
    <x v="0"/>
    <n v="7936920000"/>
  </r>
  <r>
    <d v="2025-10-30T00:00:00"/>
    <x v="1"/>
    <x v="9"/>
    <x v="43"/>
    <x v="29"/>
    <x v="15"/>
    <x v="14"/>
    <x v="4"/>
    <n v="27173372"/>
  </r>
  <r>
    <d v="2025-10-30T00:00:00"/>
    <x v="1"/>
    <x v="9"/>
    <x v="43"/>
    <x v="29"/>
    <x v="14"/>
    <x v="13"/>
    <x v="1"/>
    <n v="1819880000"/>
  </r>
  <r>
    <d v="2025-10-30T00:00:00"/>
    <x v="1"/>
    <x v="9"/>
    <x v="43"/>
    <x v="29"/>
    <x v="23"/>
    <x v="17"/>
    <x v="4"/>
    <n v="35392000"/>
  </r>
  <r>
    <d v="2025-10-30T00:00:00"/>
    <x v="1"/>
    <x v="9"/>
    <x v="43"/>
    <x v="29"/>
    <x v="28"/>
    <x v="17"/>
    <x v="4"/>
    <n v="461105704"/>
  </r>
  <r>
    <d v="2025-10-30T00:00:00"/>
    <x v="1"/>
    <x v="9"/>
    <x v="43"/>
    <x v="29"/>
    <x v="8"/>
    <x v="8"/>
    <x v="1"/>
    <n v="0"/>
  </r>
  <r>
    <d v="2025-10-30T00:00:00"/>
    <x v="1"/>
    <x v="9"/>
    <x v="43"/>
    <x v="29"/>
    <x v="26"/>
    <x v="16"/>
    <x v="1"/>
    <n v="291500000"/>
  </r>
  <r>
    <d v="2025-10-30T00:00:00"/>
    <x v="1"/>
    <x v="9"/>
    <x v="43"/>
    <x v="29"/>
    <x v="2"/>
    <x v="2"/>
    <x v="1"/>
    <n v="14692740000"/>
  </r>
  <r>
    <d v="2025-10-30T00:00:00"/>
    <x v="1"/>
    <x v="9"/>
    <x v="43"/>
    <x v="29"/>
    <x v="17"/>
    <x v="9"/>
    <x v="1"/>
    <n v="0"/>
  </r>
  <r>
    <d v="2025-10-30T00:00:00"/>
    <x v="1"/>
    <x v="9"/>
    <x v="43"/>
    <x v="29"/>
    <x v="20"/>
    <x v="9"/>
    <x v="1"/>
    <n v="0"/>
  </r>
  <r>
    <d v="2025-10-30T00:00:00"/>
    <x v="1"/>
    <x v="9"/>
    <x v="43"/>
    <x v="29"/>
    <x v="21"/>
    <x v="9"/>
    <x v="1"/>
    <n v="0"/>
  </r>
  <r>
    <d v="2025-10-30T00:00:00"/>
    <x v="1"/>
    <x v="9"/>
    <x v="43"/>
    <x v="29"/>
    <x v="25"/>
    <x v="2"/>
    <x v="1"/>
    <n v="32100000"/>
  </r>
  <r>
    <d v="2025-10-30T00:00:00"/>
    <x v="1"/>
    <x v="9"/>
    <x v="43"/>
    <x v="29"/>
    <x v="0"/>
    <x v="0"/>
    <x v="0"/>
    <n v="9041112000"/>
  </r>
  <r>
    <d v="2025-10-30T00:00:00"/>
    <x v="1"/>
    <x v="9"/>
    <x v="43"/>
    <x v="29"/>
    <x v="7"/>
    <x v="7"/>
    <x v="4"/>
    <n v="216989315"/>
  </r>
  <r>
    <d v="2025-10-30T00:00:00"/>
    <x v="1"/>
    <x v="9"/>
    <x v="43"/>
    <x v="29"/>
    <x v="1"/>
    <x v="1"/>
    <x v="1"/>
    <n v="0"/>
  </r>
  <r>
    <d v="2025-10-30T00:00:00"/>
    <x v="1"/>
    <x v="9"/>
    <x v="43"/>
    <x v="29"/>
    <x v="6"/>
    <x v="6"/>
    <x v="0"/>
    <n v="47000000"/>
  </r>
  <r>
    <d v="2025-10-30T00:00:00"/>
    <x v="1"/>
    <x v="9"/>
    <x v="43"/>
    <x v="29"/>
    <x v="18"/>
    <x v="15"/>
    <x v="1"/>
    <n v="908180000"/>
  </r>
  <r>
    <d v="2025-10-30T00:00:00"/>
    <x v="1"/>
    <x v="9"/>
    <x v="43"/>
    <x v="29"/>
    <x v="29"/>
    <x v="20"/>
    <x v="0"/>
    <n v="224640000"/>
  </r>
  <r>
    <d v="2025-10-30T00:00:00"/>
    <x v="1"/>
    <x v="9"/>
    <x v="43"/>
    <x v="29"/>
    <x v="19"/>
    <x v="12"/>
    <x v="4"/>
    <n v="467574733"/>
  </r>
  <r>
    <d v="2025-10-30T00:00:00"/>
    <x v="1"/>
    <x v="9"/>
    <x v="43"/>
    <x v="29"/>
    <x v="24"/>
    <x v="18"/>
    <x v="1"/>
    <n v="3701380000"/>
  </r>
  <r>
    <d v="2025-10-31T00:00:00"/>
    <x v="1"/>
    <x v="9"/>
    <x v="43"/>
    <x v="30"/>
    <x v="3"/>
    <x v="3"/>
    <x v="1"/>
    <n v="112650000"/>
  </r>
  <r>
    <d v="2025-10-31T00:00:00"/>
    <x v="1"/>
    <x v="9"/>
    <x v="43"/>
    <x v="30"/>
    <x v="11"/>
    <x v="10"/>
    <x v="4"/>
    <n v="327648695"/>
  </r>
  <r>
    <d v="2025-10-31T00:00:00"/>
    <x v="1"/>
    <x v="9"/>
    <x v="43"/>
    <x v="30"/>
    <x v="12"/>
    <x v="11"/>
    <x v="1"/>
    <n v="13447930000"/>
  </r>
  <r>
    <d v="2025-10-31T00:00:00"/>
    <x v="1"/>
    <x v="9"/>
    <x v="43"/>
    <x v="30"/>
    <x v="5"/>
    <x v="5"/>
    <x v="3"/>
    <n v="2704510422"/>
  </r>
  <r>
    <d v="2025-10-31T00:00:00"/>
    <x v="1"/>
    <x v="9"/>
    <x v="43"/>
    <x v="30"/>
    <x v="27"/>
    <x v="19"/>
    <x v="0"/>
    <n v="8254656000"/>
  </r>
  <r>
    <d v="2025-10-31T00:00:00"/>
    <x v="1"/>
    <x v="9"/>
    <x v="43"/>
    <x v="30"/>
    <x v="15"/>
    <x v="14"/>
    <x v="4"/>
    <n v="11200736"/>
  </r>
  <r>
    <d v="2025-10-31T00:00:00"/>
    <x v="1"/>
    <x v="9"/>
    <x v="43"/>
    <x v="30"/>
    <x v="14"/>
    <x v="13"/>
    <x v="1"/>
    <n v="1886930000"/>
  </r>
  <r>
    <d v="2025-10-31T00:00:00"/>
    <x v="1"/>
    <x v="9"/>
    <x v="43"/>
    <x v="30"/>
    <x v="23"/>
    <x v="17"/>
    <x v="4"/>
    <n v="6977397"/>
  </r>
  <r>
    <d v="2025-10-31T00:00:00"/>
    <x v="1"/>
    <x v="9"/>
    <x v="43"/>
    <x v="30"/>
    <x v="28"/>
    <x v="17"/>
    <x v="4"/>
    <n v="518460858"/>
  </r>
  <r>
    <d v="2025-10-31T00:00:00"/>
    <x v="1"/>
    <x v="9"/>
    <x v="43"/>
    <x v="30"/>
    <x v="8"/>
    <x v="8"/>
    <x v="1"/>
    <n v="0"/>
  </r>
  <r>
    <d v="2025-10-31T00:00:00"/>
    <x v="1"/>
    <x v="9"/>
    <x v="43"/>
    <x v="30"/>
    <x v="26"/>
    <x v="16"/>
    <x v="1"/>
    <n v="268500000"/>
  </r>
  <r>
    <d v="2025-10-31T00:00:00"/>
    <x v="1"/>
    <x v="9"/>
    <x v="43"/>
    <x v="30"/>
    <x v="2"/>
    <x v="2"/>
    <x v="1"/>
    <n v="14795160000"/>
  </r>
  <r>
    <d v="2025-10-31T00:00:00"/>
    <x v="1"/>
    <x v="9"/>
    <x v="43"/>
    <x v="30"/>
    <x v="17"/>
    <x v="9"/>
    <x v="1"/>
    <n v="0"/>
  </r>
  <r>
    <d v="2025-10-31T00:00:00"/>
    <x v="1"/>
    <x v="9"/>
    <x v="43"/>
    <x v="30"/>
    <x v="20"/>
    <x v="9"/>
    <x v="1"/>
    <n v="0"/>
  </r>
  <r>
    <d v="2025-10-31T00:00:00"/>
    <x v="1"/>
    <x v="9"/>
    <x v="43"/>
    <x v="30"/>
    <x v="21"/>
    <x v="9"/>
    <x v="1"/>
    <n v="0"/>
  </r>
  <r>
    <d v="2025-10-31T00:00:00"/>
    <x v="1"/>
    <x v="9"/>
    <x v="43"/>
    <x v="30"/>
    <x v="25"/>
    <x v="2"/>
    <x v="1"/>
    <n v="0"/>
  </r>
  <r>
    <d v="2025-10-31T00:00:00"/>
    <x v="1"/>
    <x v="9"/>
    <x v="43"/>
    <x v="30"/>
    <x v="0"/>
    <x v="0"/>
    <x v="0"/>
    <n v="9219636000"/>
  </r>
  <r>
    <d v="2025-10-31T00:00:00"/>
    <x v="1"/>
    <x v="9"/>
    <x v="43"/>
    <x v="30"/>
    <x v="7"/>
    <x v="7"/>
    <x v="4"/>
    <n v="154121920"/>
  </r>
  <r>
    <d v="2025-10-31T00:00:00"/>
    <x v="1"/>
    <x v="9"/>
    <x v="43"/>
    <x v="30"/>
    <x v="1"/>
    <x v="1"/>
    <x v="1"/>
    <n v="21000000"/>
  </r>
  <r>
    <d v="2025-10-31T00:00:00"/>
    <x v="1"/>
    <x v="9"/>
    <x v="43"/>
    <x v="30"/>
    <x v="6"/>
    <x v="6"/>
    <x v="0"/>
    <n v="39000000"/>
  </r>
  <r>
    <d v="2025-10-31T00:00:00"/>
    <x v="1"/>
    <x v="9"/>
    <x v="43"/>
    <x v="30"/>
    <x v="18"/>
    <x v="15"/>
    <x v="1"/>
    <n v="917340000"/>
  </r>
  <r>
    <d v="2025-10-31T00:00:00"/>
    <x v="1"/>
    <x v="9"/>
    <x v="43"/>
    <x v="30"/>
    <x v="29"/>
    <x v="20"/>
    <x v="0"/>
    <n v="225720000"/>
  </r>
  <r>
    <d v="2025-10-31T00:00:00"/>
    <x v="1"/>
    <x v="9"/>
    <x v="43"/>
    <x v="30"/>
    <x v="19"/>
    <x v="12"/>
    <x v="4"/>
    <n v="642065556"/>
  </r>
  <r>
    <d v="2025-10-31T00:00:00"/>
    <x v="1"/>
    <x v="9"/>
    <x v="43"/>
    <x v="30"/>
    <x v="24"/>
    <x v="18"/>
    <x v="1"/>
    <n v="2961910000"/>
  </r>
  <r>
    <d v="2025-11-01T00:00:00"/>
    <x v="1"/>
    <x v="10"/>
    <x v="43"/>
    <x v="0"/>
    <x v="3"/>
    <x v="3"/>
    <x v="1"/>
    <n v="29500000"/>
  </r>
  <r>
    <d v="2025-11-01T00:00:00"/>
    <x v="1"/>
    <x v="10"/>
    <x v="43"/>
    <x v="0"/>
    <x v="11"/>
    <x v="10"/>
    <x v="4"/>
    <n v="478467350"/>
  </r>
  <r>
    <d v="2025-11-01T00:00:00"/>
    <x v="1"/>
    <x v="10"/>
    <x v="43"/>
    <x v="0"/>
    <x v="12"/>
    <x v="11"/>
    <x v="1"/>
    <n v="15834510000"/>
  </r>
  <r>
    <d v="2025-11-01T00:00:00"/>
    <x v="1"/>
    <x v="10"/>
    <x v="43"/>
    <x v="0"/>
    <x v="5"/>
    <x v="5"/>
    <x v="3"/>
    <n v="4041840788"/>
  </r>
  <r>
    <d v="2025-11-01T00:00:00"/>
    <x v="1"/>
    <x v="10"/>
    <x v="43"/>
    <x v="0"/>
    <x v="27"/>
    <x v="19"/>
    <x v="0"/>
    <n v="8408340000"/>
  </r>
  <r>
    <d v="2025-11-01T00:00:00"/>
    <x v="1"/>
    <x v="10"/>
    <x v="43"/>
    <x v="0"/>
    <x v="15"/>
    <x v="14"/>
    <x v="4"/>
    <n v="28952433"/>
  </r>
  <r>
    <d v="2025-11-01T00:00:00"/>
    <x v="1"/>
    <x v="10"/>
    <x v="43"/>
    <x v="0"/>
    <x v="14"/>
    <x v="13"/>
    <x v="1"/>
    <n v="2201550000"/>
  </r>
  <r>
    <d v="2025-11-01T00:00:00"/>
    <x v="1"/>
    <x v="10"/>
    <x v="43"/>
    <x v="0"/>
    <x v="23"/>
    <x v="17"/>
    <x v="4"/>
    <n v="14746333"/>
  </r>
  <r>
    <d v="2025-11-01T00:00:00"/>
    <x v="1"/>
    <x v="10"/>
    <x v="43"/>
    <x v="0"/>
    <x v="28"/>
    <x v="17"/>
    <x v="4"/>
    <n v="890756233"/>
  </r>
  <r>
    <d v="2025-11-01T00:00:00"/>
    <x v="1"/>
    <x v="10"/>
    <x v="43"/>
    <x v="0"/>
    <x v="8"/>
    <x v="8"/>
    <x v="1"/>
    <n v="0"/>
  </r>
  <r>
    <d v="2025-11-01T00:00:00"/>
    <x v="1"/>
    <x v="10"/>
    <x v="43"/>
    <x v="0"/>
    <x v="26"/>
    <x v="16"/>
    <x v="1"/>
    <n v="143500000"/>
  </r>
  <r>
    <d v="2025-11-01T00:00:00"/>
    <x v="1"/>
    <x v="10"/>
    <x v="43"/>
    <x v="0"/>
    <x v="2"/>
    <x v="2"/>
    <x v="1"/>
    <n v="15671840000"/>
  </r>
  <r>
    <d v="2025-11-01T00:00:00"/>
    <x v="1"/>
    <x v="10"/>
    <x v="43"/>
    <x v="0"/>
    <x v="17"/>
    <x v="9"/>
    <x v="1"/>
    <n v="0"/>
  </r>
  <r>
    <d v="2025-11-01T00:00:00"/>
    <x v="1"/>
    <x v="10"/>
    <x v="43"/>
    <x v="0"/>
    <x v="20"/>
    <x v="9"/>
    <x v="1"/>
    <n v="0"/>
  </r>
  <r>
    <d v="2025-11-01T00:00:00"/>
    <x v="1"/>
    <x v="10"/>
    <x v="43"/>
    <x v="0"/>
    <x v="21"/>
    <x v="9"/>
    <x v="1"/>
    <n v="0"/>
  </r>
  <r>
    <d v="2025-11-01T00:00:00"/>
    <x v="1"/>
    <x v="10"/>
    <x v="43"/>
    <x v="0"/>
    <x v="25"/>
    <x v="2"/>
    <x v="1"/>
    <n v="0"/>
  </r>
  <r>
    <d v="2025-11-01T00:00:00"/>
    <x v="1"/>
    <x v="10"/>
    <x v="43"/>
    <x v="0"/>
    <x v="0"/>
    <x v="0"/>
    <x v="0"/>
    <n v="10397592000"/>
  </r>
  <r>
    <d v="2025-11-01T00:00:00"/>
    <x v="1"/>
    <x v="10"/>
    <x v="43"/>
    <x v="0"/>
    <x v="7"/>
    <x v="7"/>
    <x v="4"/>
    <n v="538675796"/>
  </r>
  <r>
    <d v="2025-11-01T00:00:00"/>
    <x v="1"/>
    <x v="10"/>
    <x v="43"/>
    <x v="0"/>
    <x v="1"/>
    <x v="1"/>
    <x v="1"/>
    <n v="10000000"/>
  </r>
  <r>
    <d v="2025-11-01T00:00:00"/>
    <x v="1"/>
    <x v="10"/>
    <x v="43"/>
    <x v="0"/>
    <x v="6"/>
    <x v="6"/>
    <x v="0"/>
    <n v="37000000"/>
  </r>
  <r>
    <d v="2025-11-01T00:00:00"/>
    <x v="1"/>
    <x v="10"/>
    <x v="43"/>
    <x v="0"/>
    <x v="18"/>
    <x v="15"/>
    <x v="1"/>
    <n v="1004390000"/>
  </r>
  <r>
    <d v="2025-11-01T00:00:00"/>
    <x v="1"/>
    <x v="10"/>
    <x v="43"/>
    <x v="0"/>
    <x v="29"/>
    <x v="20"/>
    <x v="0"/>
    <n v="206280000"/>
  </r>
  <r>
    <d v="2025-11-01T00:00:00"/>
    <x v="1"/>
    <x v="10"/>
    <x v="43"/>
    <x v="0"/>
    <x v="19"/>
    <x v="12"/>
    <x v="4"/>
    <n v="959847696"/>
  </r>
  <r>
    <d v="2025-11-01T00:00:00"/>
    <x v="1"/>
    <x v="10"/>
    <x v="43"/>
    <x v="0"/>
    <x v="24"/>
    <x v="18"/>
    <x v="1"/>
    <n v="3697060000"/>
  </r>
  <r>
    <d v="2025-11-02T00:00:00"/>
    <x v="1"/>
    <x v="10"/>
    <x v="43"/>
    <x v="1"/>
    <x v="3"/>
    <x v="3"/>
    <x v="1"/>
    <n v="21000000"/>
  </r>
  <r>
    <d v="2025-11-02T00:00:00"/>
    <x v="1"/>
    <x v="10"/>
    <x v="43"/>
    <x v="1"/>
    <x v="11"/>
    <x v="10"/>
    <x v="4"/>
    <n v="358750083"/>
  </r>
  <r>
    <d v="2025-11-02T00:00:00"/>
    <x v="1"/>
    <x v="10"/>
    <x v="43"/>
    <x v="1"/>
    <x v="12"/>
    <x v="11"/>
    <x v="1"/>
    <n v="13819920000"/>
  </r>
  <r>
    <d v="2025-11-02T00:00:00"/>
    <x v="1"/>
    <x v="10"/>
    <x v="43"/>
    <x v="1"/>
    <x v="5"/>
    <x v="5"/>
    <x v="3"/>
    <n v="2984324308"/>
  </r>
  <r>
    <d v="2025-11-02T00:00:00"/>
    <x v="1"/>
    <x v="10"/>
    <x v="43"/>
    <x v="1"/>
    <x v="27"/>
    <x v="19"/>
    <x v="0"/>
    <n v="7905276000"/>
  </r>
  <r>
    <d v="2025-11-02T00:00:00"/>
    <x v="1"/>
    <x v="10"/>
    <x v="43"/>
    <x v="1"/>
    <x v="15"/>
    <x v="14"/>
    <x v="4"/>
    <n v="28475282"/>
  </r>
  <r>
    <d v="2025-11-02T00:00:00"/>
    <x v="1"/>
    <x v="10"/>
    <x v="43"/>
    <x v="1"/>
    <x v="14"/>
    <x v="13"/>
    <x v="1"/>
    <n v="2470500000"/>
  </r>
  <r>
    <d v="2025-11-02T00:00:00"/>
    <x v="1"/>
    <x v="10"/>
    <x v="43"/>
    <x v="1"/>
    <x v="23"/>
    <x v="17"/>
    <x v="4"/>
    <n v="40218108"/>
  </r>
  <r>
    <d v="2025-11-02T00:00:00"/>
    <x v="1"/>
    <x v="10"/>
    <x v="43"/>
    <x v="1"/>
    <x v="28"/>
    <x v="17"/>
    <x v="4"/>
    <n v="978559742"/>
  </r>
  <r>
    <d v="2025-11-02T00:00:00"/>
    <x v="1"/>
    <x v="10"/>
    <x v="43"/>
    <x v="1"/>
    <x v="8"/>
    <x v="8"/>
    <x v="1"/>
    <n v="0"/>
  </r>
  <r>
    <d v="2025-11-02T00:00:00"/>
    <x v="1"/>
    <x v="10"/>
    <x v="43"/>
    <x v="1"/>
    <x v="26"/>
    <x v="16"/>
    <x v="1"/>
    <n v="114500000"/>
  </r>
  <r>
    <d v="2025-11-02T00:00:00"/>
    <x v="1"/>
    <x v="10"/>
    <x v="43"/>
    <x v="1"/>
    <x v="2"/>
    <x v="2"/>
    <x v="1"/>
    <n v="13392750000"/>
  </r>
  <r>
    <d v="2025-11-02T00:00:00"/>
    <x v="1"/>
    <x v="10"/>
    <x v="43"/>
    <x v="1"/>
    <x v="17"/>
    <x v="9"/>
    <x v="1"/>
    <n v="0"/>
  </r>
  <r>
    <d v="2025-11-02T00:00:00"/>
    <x v="1"/>
    <x v="10"/>
    <x v="43"/>
    <x v="1"/>
    <x v="20"/>
    <x v="9"/>
    <x v="1"/>
    <n v="0"/>
  </r>
  <r>
    <d v="2025-11-02T00:00:00"/>
    <x v="1"/>
    <x v="10"/>
    <x v="43"/>
    <x v="1"/>
    <x v="21"/>
    <x v="9"/>
    <x v="1"/>
    <n v="0"/>
  </r>
  <r>
    <d v="2025-11-02T00:00:00"/>
    <x v="1"/>
    <x v="10"/>
    <x v="43"/>
    <x v="1"/>
    <x v="25"/>
    <x v="2"/>
    <x v="1"/>
    <n v="15000000"/>
  </r>
  <r>
    <d v="2025-11-02T00:00:00"/>
    <x v="1"/>
    <x v="10"/>
    <x v="43"/>
    <x v="1"/>
    <x v="0"/>
    <x v="0"/>
    <x v="0"/>
    <n v="9450432000"/>
  </r>
  <r>
    <d v="2025-11-02T00:00:00"/>
    <x v="1"/>
    <x v="10"/>
    <x v="43"/>
    <x v="1"/>
    <x v="7"/>
    <x v="7"/>
    <x v="4"/>
    <n v="451806061"/>
  </r>
  <r>
    <d v="2025-11-02T00:00:00"/>
    <x v="1"/>
    <x v="10"/>
    <x v="43"/>
    <x v="1"/>
    <x v="1"/>
    <x v="1"/>
    <x v="1"/>
    <n v="44500000"/>
  </r>
  <r>
    <d v="2025-11-02T00:00:00"/>
    <x v="1"/>
    <x v="10"/>
    <x v="43"/>
    <x v="1"/>
    <x v="6"/>
    <x v="6"/>
    <x v="0"/>
    <n v="34000000"/>
  </r>
  <r>
    <d v="2025-11-02T00:00:00"/>
    <x v="1"/>
    <x v="10"/>
    <x v="43"/>
    <x v="1"/>
    <x v="18"/>
    <x v="15"/>
    <x v="1"/>
    <n v="460820000"/>
  </r>
  <r>
    <d v="2025-11-02T00:00:00"/>
    <x v="1"/>
    <x v="10"/>
    <x v="43"/>
    <x v="1"/>
    <x v="29"/>
    <x v="20"/>
    <x v="0"/>
    <n v="225720000"/>
  </r>
  <r>
    <d v="2025-11-02T00:00:00"/>
    <x v="1"/>
    <x v="10"/>
    <x v="43"/>
    <x v="1"/>
    <x v="19"/>
    <x v="12"/>
    <x v="4"/>
    <n v="1022537492"/>
  </r>
  <r>
    <d v="2025-11-02T00:00:00"/>
    <x v="1"/>
    <x v="10"/>
    <x v="43"/>
    <x v="1"/>
    <x v="24"/>
    <x v="18"/>
    <x v="1"/>
    <n v="3727150000"/>
  </r>
  <r>
    <d v="2025-11-03T00:00:00"/>
    <x v="1"/>
    <x v="10"/>
    <x v="44"/>
    <x v="2"/>
    <x v="3"/>
    <x v="3"/>
    <x v="1"/>
    <n v="15750000"/>
  </r>
  <r>
    <d v="2025-11-03T00:00:00"/>
    <x v="1"/>
    <x v="10"/>
    <x v="44"/>
    <x v="2"/>
    <x v="11"/>
    <x v="10"/>
    <x v="4"/>
    <n v="409473918"/>
  </r>
  <r>
    <d v="2025-11-03T00:00:00"/>
    <x v="1"/>
    <x v="10"/>
    <x v="44"/>
    <x v="2"/>
    <x v="12"/>
    <x v="11"/>
    <x v="1"/>
    <n v="17236600000"/>
  </r>
  <r>
    <d v="2025-11-03T00:00:00"/>
    <x v="1"/>
    <x v="10"/>
    <x v="44"/>
    <x v="2"/>
    <x v="5"/>
    <x v="5"/>
    <x v="3"/>
    <n v="3376644741"/>
  </r>
  <r>
    <d v="2025-11-03T00:00:00"/>
    <x v="1"/>
    <x v="10"/>
    <x v="44"/>
    <x v="2"/>
    <x v="27"/>
    <x v="19"/>
    <x v="0"/>
    <n v="8696700000"/>
  </r>
  <r>
    <d v="2025-11-03T00:00:00"/>
    <x v="1"/>
    <x v="10"/>
    <x v="44"/>
    <x v="2"/>
    <x v="15"/>
    <x v="14"/>
    <x v="4"/>
    <n v="124748818"/>
  </r>
  <r>
    <d v="2025-11-03T00:00:00"/>
    <x v="1"/>
    <x v="10"/>
    <x v="44"/>
    <x v="2"/>
    <x v="14"/>
    <x v="13"/>
    <x v="1"/>
    <n v="2847450000"/>
  </r>
  <r>
    <d v="2025-11-03T00:00:00"/>
    <x v="1"/>
    <x v="10"/>
    <x v="44"/>
    <x v="2"/>
    <x v="23"/>
    <x v="17"/>
    <x v="4"/>
    <n v="84371800"/>
  </r>
  <r>
    <d v="2025-11-03T00:00:00"/>
    <x v="1"/>
    <x v="10"/>
    <x v="44"/>
    <x v="2"/>
    <x v="28"/>
    <x v="17"/>
    <x v="4"/>
    <n v="1393000999"/>
  </r>
  <r>
    <d v="2025-11-03T00:00:00"/>
    <x v="1"/>
    <x v="10"/>
    <x v="44"/>
    <x v="2"/>
    <x v="8"/>
    <x v="8"/>
    <x v="1"/>
    <n v="0"/>
  </r>
  <r>
    <d v="2025-11-03T00:00:00"/>
    <x v="1"/>
    <x v="10"/>
    <x v="44"/>
    <x v="2"/>
    <x v="26"/>
    <x v="16"/>
    <x v="1"/>
    <n v="239500000"/>
  </r>
  <r>
    <d v="2025-11-03T00:00:00"/>
    <x v="1"/>
    <x v="10"/>
    <x v="44"/>
    <x v="2"/>
    <x v="2"/>
    <x v="2"/>
    <x v="1"/>
    <n v="16333610000"/>
  </r>
  <r>
    <d v="2025-11-03T00:00:00"/>
    <x v="1"/>
    <x v="10"/>
    <x v="44"/>
    <x v="2"/>
    <x v="17"/>
    <x v="9"/>
    <x v="1"/>
    <n v="0"/>
  </r>
  <r>
    <d v="2025-11-03T00:00:00"/>
    <x v="1"/>
    <x v="10"/>
    <x v="44"/>
    <x v="2"/>
    <x v="20"/>
    <x v="9"/>
    <x v="1"/>
    <n v="0"/>
  </r>
  <r>
    <d v="2025-11-03T00:00:00"/>
    <x v="1"/>
    <x v="10"/>
    <x v="44"/>
    <x v="2"/>
    <x v="21"/>
    <x v="9"/>
    <x v="1"/>
    <n v="0"/>
  </r>
  <r>
    <d v="2025-11-03T00:00:00"/>
    <x v="1"/>
    <x v="10"/>
    <x v="44"/>
    <x v="2"/>
    <x v="25"/>
    <x v="2"/>
    <x v="1"/>
    <n v="0"/>
  </r>
  <r>
    <d v="2025-11-03T00:00:00"/>
    <x v="1"/>
    <x v="10"/>
    <x v="44"/>
    <x v="2"/>
    <x v="0"/>
    <x v="0"/>
    <x v="0"/>
    <n v="10389060000"/>
  </r>
  <r>
    <d v="2025-11-03T00:00:00"/>
    <x v="1"/>
    <x v="10"/>
    <x v="44"/>
    <x v="2"/>
    <x v="7"/>
    <x v="7"/>
    <x v="4"/>
    <n v="541514010"/>
  </r>
  <r>
    <d v="2025-11-03T00:00:00"/>
    <x v="1"/>
    <x v="10"/>
    <x v="44"/>
    <x v="2"/>
    <x v="1"/>
    <x v="1"/>
    <x v="1"/>
    <n v="20000000"/>
  </r>
  <r>
    <d v="2025-11-03T00:00:00"/>
    <x v="1"/>
    <x v="10"/>
    <x v="44"/>
    <x v="2"/>
    <x v="6"/>
    <x v="6"/>
    <x v="0"/>
    <n v="61000000"/>
  </r>
  <r>
    <d v="2025-11-03T00:00:00"/>
    <x v="1"/>
    <x v="10"/>
    <x v="44"/>
    <x v="2"/>
    <x v="18"/>
    <x v="15"/>
    <x v="1"/>
    <n v="917060000"/>
  </r>
  <r>
    <d v="2025-11-03T00:00:00"/>
    <x v="1"/>
    <x v="10"/>
    <x v="44"/>
    <x v="2"/>
    <x v="29"/>
    <x v="20"/>
    <x v="0"/>
    <n v="268920000"/>
  </r>
  <r>
    <d v="2025-11-03T00:00:00"/>
    <x v="1"/>
    <x v="10"/>
    <x v="44"/>
    <x v="2"/>
    <x v="19"/>
    <x v="12"/>
    <x v="4"/>
    <n v="1498160272"/>
  </r>
  <r>
    <d v="2025-11-03T00:00:00"/>
    <x v="1"/>
    <x v="10"/>
    <x v="44"/>
    <x v="2"/>
    <x v="24"/>
    <x v="18"/>
    <x v="1"/>
    <n v="4600250000"/>
  </r>
  <r>
    <d v="2025-11-04T00:00:00"/>
    <x v="1"/>
    <x v="10"/>
    <x v="44"/>
    <x v="3"/>
    <x v="3"/>
    <x v="3"/>
    <x v="1"/>
    <n v="20000000"/>
  </r>
  <r>
    <d v="2025-11-04T00:00:00"/>
    <x v="1"/>
    <x v="10"/>
    <x v="44"/>
    <x v="3"/>
    <x v="11"/>
    <x v="10"/>
    <x v="4"/>
    <n v="432841836"/>
  </r>
  <r>
    <d v="2025-11-04T00:00:00"/>
    <x v="1"/>
    <x v="10"/>
    <x v="44"/>
    <x v="3"/>
    <x v="12"/>
    <x v="11"/>
    <x v="1"/>
    <n v="18692370000"/>
  </r>
  <r>
    <d v="2025-11-04T00:00:00"/>
    <x v="1"/>
    <x v="10"/>
    <x v="44"/>
    <x v="3"/>
    <x v="5"/>
    <x v="5"/>
    <x v="3"/>
    <n v="3371441736"/>
  </r>
  <r>
    <d v="2025-11-04T00:00:00"/>
    <x v="1"/>
    <x v="10"/>
    <x v="44"/>
    <x v="3"/>
    <x v="27"/>
    <x v="19"/>
    <x v="0"/>
    <n v="8990568000"/>
  </r>
  <r>
    <d v="2025-11-04T00:00:00"/>
    <x v="1"/>
    <x v="10"/>
    <x v="44"/>
    <x v="3"/>
    <x v="15"/>
    <x v="14"/>
    <x v="4"/>
    <n v="77206672"/>
  </r>
  <r>
    <d v="2025-11-04T00:00:00"/>
    <x v="1"/>
    <x v="10"/>
    <x v="44"/>
    <x v="3"/>
    <x v="14"/>
    <x v="13"/>
    <x v="1"/>
    <n v="3494510000"/>
  </r>
  <r>
    <d v="2025-11-04T00:00:00"/>
    <x v="1"/>
    <x v="10"/>
    <x v="44"/>
    <x v="3"/>
    <x v="23"/>
    <x v="17"/>
    <x v="4"/>
    <n v="100320779"/>
  </r>
  <r>
    <d v="2025-11-04T00:00:00"/>
    <x v="1"/>
    <x v="10"/>
    <x v="44"/>
    <x v="3"/>
    <x v="28"/>
    <x v="17"/>
    <x v="4"/>
    <n v="1805144988"/>
  </r>
  <r>
    <d v="2025-11-04T00:00:00"/>
    <x v="1"/>
    <x v="10"/>
    <x v="44"/>
    <x v="3"/>
    <x v="8"/>
    <x v="8"/>
    <x v="1"/>
    <n v="0"/>
  </r>
  <r>
    <d v="2025-11-04T00:00:00"/>
    <x v="1"/>
    <x v="10"/>
    <x v="44"/>
    <x v="3"/>
    <x v="26"/>
    <x v="16"/>
    <x v="1"/>
    <n v="491100000"/>
  </r>
  <r>
    <d v="2025-11-04T00:00:00"/>
    <x v="1"/>
    <x v="10"/>
    <x v="44"/>
    <x v="3"/>
    <x v="2"/>
    <x v="2"/>
    <x v="1"/>
    <n v="16520790000"/>
  </r>
  <r>
    <d v="2025-11-04T00:00:00"/>
    <x v="1"/>
    <x v="10"/>
    <x v="44"/>
    <x v="3"/>
    <x v="17"/>
    <x v="9"/>
    <x v="1"/>
    <n v="0"/>
  </r>
  <r>
    <d v="2025-11-04T00:00:00"/>
    <x v="1"/>
    <x v="10"/>
    <x v="44"/>
    <x v="3"/>
    <x v="20"/>
    <x v="9"/>
    <x v="1"/>
    <n v="0"/>
  </r>
  <r>
    <d v="2025-11-04T00:00:00"/>
    <x v="1"/>
    <x v="10"/>
    <x v="44"/>
    <x v="3"/>
    <x v="21"/>
    <x v="9"/>
    <x v="1"/>
    <n v="0"/>
  </r>
  <r>
    <d v="2025-11-04T00:00:00"/>
    <x v="1"/>
    <x v="10"/>
    <x v="44"/>
    <x v="3"/>
    <x v="25"/>
    <x v="2"/>
    <x v="1"/>
    <n v="0"/>
  </r>
  <r>
    <d v="2025-11-04T00:00:00"/>
    <x v="1"/>
    <x v="10"/>
    <x v="44"/>
    <x v="3"/>
    <x v="0"/>
    <x v="0"/>
    <x v="0"/>
    <n v="9921420000"/>
  </r>
  <r>
    <d v="2025-11-04T00:00:00"/>
    <x v="1"/>
    <x v="10"/>
    <x v="44"/>
    <x v="3"/>
    <x v="7"/>
    <x v="7"/>
    <x v="4"/>
    <n v="710492168"/>
  </r>
  <r>
    <d v="2025-11-04T00:00:00"/>
    <x v="1"/>
    <x v="10"/>
    <x v="44"/>
    <x v="3"/>
    <x v="1"/>
    <x v="1"/>
    <x v="1"/>
    <n v="10500000"/>
  </r>
  <r>
    <d v="2025-11-04T00:00:00"/>
    <x v="1"/>
    <x v="10"/>
    <x v="44"/>
    <x v="3"/>
    <x v="6"/>
    <x v="6"/>
    <x v="0"/>
    <n v="32000000"/>
  </r>
  <r>
    <d v="2025-11-04T00:00:00"/>
    <x v="1"/>
    <x v="10"/>
    <x v="44"/>
    <x v="3"/>
    <x v="18"/>
    <x v="15"/>
    <x v="1"/>
    <n v="1131740000"/>
  </r>
  <r>
    <d v="2025-11-04T00:00:00"/>
    <x v="1"/>
    <x v="10"/>
    <x v="44"/>
    <x v="3"/>
    <x v="29"/>
    <x v="20"/>
    <x v="0"/>
    <n v="270000000"/>
  </r>
  <r>
    <d v="2025-11-04T00:00:00"/>
    <x v="1"/>
    <x v="10"/>
    <x v="44"/>
    <x v="3"/>
    <x v="19"/>
    <x v="12"/>
    <x v="4"/>
    <n v="1973581765"/>
  </r>
  <r>
    <d v="2025-11-04T00:00:00"/>
    <x v="1"/>
    <x v="10"/>
    <x v="44"/>
    <x v="3"/>
    <x v="24"/>
    <x v="18"/>
    <x v="1"/>
    <n v="4924020000"/>
  </r>
  <r>
    <d v="2025-11-05T00:00:00"/>
    <x v="1"/>
    <x v="10"/>
    <x v="44"/>
    <x v="4"/>
    <x v="3"/>
    <x v="3"/>
    <x v="1"/>
    <n v="71400000"/>
  </r>
  <r>
    <d v="2025-11-05T00:00:00"/>
    <x v="1"/>
    <x v="10"/>
    <x v="44"/>
    <x v="4"/>
    <x v="11"/>
    <x v="10"/>
    <x v="4"/>
    <n v="376206274"/>
  </r>
  <r>
    <d v="2025-11-05T00:00:00"/>
    <x v="1"/>
    <x v="10"/>
    <x v="44"/>
    <x v="4"/>
    <x v="12"/>
    <x v="11"/>
    <x v="1"/>
    <n v="18818900000"/>
  </r>
  <r>
    <d v="2025-11-05T00:00:00"/>
    <x v="1"/>
    <x v="10"/>
    <x v="44"/>
    <x v="4"/>
    <x v="5"/>
    <x v="5"/>
    <x v="3"/>
    <n v="3103700863"/>
  </r>
  <r>
    <d v="2025-11-05T00:00:00"/>
    <x v="1"/>
    <x v="10"/>
    <x v="44"/>
    <x v="4"/>
    <x v="27"/>
    <x v="19"/>
    <x v="0"/>
    <n v="10057716000"/>
  </r>
  <r>
    <d v="2025-11-05T00:00:00"/>
    <x v="1"/>
    <x v="10"/>
    <x v="44"/>
    <x v="4"/>
    <x v="15"/>
    <x v="14"/>
    <x v="4"/>
    <n v="54792579"/>
  </r>
  <r>
    <d v="2025-11-05T00:00:00"/>
    <x v="1"/>
    <x v="10"/>
    <x v="44"/>
    <x v="4"/>
    <x v="14"/>
    <x v="13"/>
    <x v="1"/>
    <n v="3167340000"/>
  </r>
  <r>
    <d v="2025-11-05T00:00:00"/>
    <x v="1"/>
    <x v="10"/>
    <x v="44"/>
    <x v="4"/>
    <x v="23"/>
    <x v="17"/>
    <x v="4"/>
    <n v="51251773"/>
  </r>
  <r>
    <d v="2025-11-05T00:00:00"/>
    <x v="1"/>
    <x v="10"/>
    <x v="44"/>
    <x v="4"/>
    <x v="28"/>
    <x v="17"/>
    <x v="4"/>
    <n v="1781285929"/>
  </r>
  <r>
    <d v="2025-11-05T00:00:00"/>
    <x v="1"/>
    <x v="10"/>
    <x v="44"/>
    <x v="4"/>
    <x v="8"/>
    <x v="8"/>
    <x v="1"/>
    <n v="0"/>
  </r>
  <r>
    <d v="2025-11-05T00:00:00"/>
    <x v="1"/>
    <x v="10"/>
    <x v="44"/>
    <x v="4"/>
    <x v="26"/>
    <x v="16"/>
    <x v="1"/>
    <n v="210000000"/>
  </r>
  <r>
    <d v="2025-11-05T00:00:00"/>
    <x v="1"/>
    <x v="10"/>
    <x v="44"/>
    <x v="4"/>
    <x v="2"/>
    <x v="2"/>
    <x v="1"/>
    <n v="17376540000"/>
  </r>
  <r>
    <d v="2025-11-05T00:00:00"/>
    <x v="1"/>
    <x v="10"/>
    <x v="44"/>
    <x v="4"/>
    <x v="17"/>
    <x v="9"/>
    <x v="1"/>
    <n v="0"/>
  </r>
  <r>
    <d v="2025-11-05T00:00:00"/>
    <x v="1"/>
    <x v="10"/>
    <x v="44"/>
    <x v="4"/>
    <x v="20"/>
    <x v="9"/>
    <x v="1"/>
    <n v="0"/>
  </r>
  <r>
    <d v="2025-11-05T00:00:00"/>
    <x v="1"/>
    <x v="10"/>
    <x v="44"/>
    <x v="4"/>
    <x v="21"/>
    <x v="9"/>
    <x v="1"/>
    <n v="0"/>
  </r>
  <r>
    <d v="2025-11-05T00:00:00"/>
    <x v="1"/>
    <x v="10"/>
    <x v="44"/>
    <x v="4"/>
    <x v="25"/>
    <x v="2"/>
    <x v="1"/>
    <n v="0"/>
  </r>
  <r>
    <d v="2025-11-05T00:00:00"/>
    <x v="1"/>
    <x v="10"/>
    <x v="44"/>
    <x v="4"/>
    <x v="0"/>
    <x v="0"/>
    <x v="0"/>
    <n v="11409228000"/>
  </r>
  <r>
    <d v="2025-11-05T00:00:00"/>
    <x v="1"/>
    <x v="10"/>
    <x v="44"/>
    <x v="4"/>
    <x v="7"/>
    <x v="7"/>
    <x v="4"/>
    <n v="639775519"/>
  </r>
  <r>
    <d v="2025-11-05T00:00:00"/>
    <x v="1"/>
    <x v="10"/>
    <x v="44"/>
    <x v="4"/>
    <x v="1"/>
    <x v="1"/>
    <x v="1"/>
    <n v="31000000"/>
  </r>
  <r>
    <d v="2025-11-05T00:00:00"/>
    <x v="1"/>
    <x v="10"/>
    <x v="44"/>
    <x v="4"/>
    <x v="6"/>
    <x v="6"/>
    <x v="0"/>
    <n v="35000000"/>
  </r>
  <r>
    <d v="2025-11-05T00:00:00"/>
    <x v="1"/>
    <x v="10"/>
    <x v="44"/>
    <x v="4"/>
    <x v="18"/>
    <x v="15"/>
    <x v="1"/>
    <n v="763600000"/>
  </r>
  <r>
    <d v="2025-11-05T00:00:00"/>
    <x v="1"/>
    <x v="10"/>
    <x v="44"/>
    <x v="4"/>
    <x v="29"/>
    <x v="20"/>
    <x v="0"/>
    <n v="249156000"/>
  </r>
  <r>
    <d v="2025-11-05T00:00:00"/>
    <x v="1"/>
    <x v="10"/>
    <x v="44"/>
    <x v="4"/>
    <x v="19"/>
    <x v="12"/>
    <x v="4"/>
    <n v="1264684371"/>
  </r>
  <r>
    <d v="2025-11-05T00:00:00"/>
    <x v="1"/>
    <x v="10"/>
    <x v="44"/>
    <x v="4"/>
    <x v="24"/>
    <x v="18"/>
    <x v="1"/>
    <n v="3471100000"/>
  </r>
  <r>
    <d v="2025-11-06T00:00:00"/>
    <x v="1"/>
    <x v="10"/>
    <x v="44"/>
    <x v="5"/>
    <x v="3"/>
    <x v="3"/>
    <x v="1"/>
    <n v="61500000"/>
  </r>
  <r>
    <d v="2025-11-06T00:00:00"/>
    <x v="1"/>
    <x v="10"/>
    <x v="44"/>
    <x v="5"/>
    <x v="11"/>
    <x v="10"/>
    <x v="4"/>
    <n v="339372324"/>
  </r>
  <r>
    <d v="2025-11-06T00:00:00"/>
    <x v="1"/>
    <x v="10"/>
    <x v="44"/>
    <x v="5"/>
    <x v="12"/>
    <x v="11"/>
    <x v="1"/>
    <n v="18389170000"/>
  </r>
  <r>
    <d v="2025-11-06T00:00:00"/>
    <x v="1"/>
    <x v="10"/>
    <x v="44"/>
    <x v="5"/>
    <x v="5"/>
    <x v="5"/>
    <x v="3"/>
    <n v="2365490217"/>
  </r>
  <r>
    <d v="2025-11-06T00:00:00"/>
    <x v="1"/>
    <x v="10"/>
    <x v="44"/>
    <x v="5"/>
    <x v="27"/>
    <x v="19"/>
    <x v="0"/>
    <n v="8525844000"/>
  </r>
  <r>
    <d v="2025-11-06T00:00:00"/>
    <x v="1"/>
    <x v="10"/>
    <x v="44"/>
    <x v="5"/>
    <x v="15"/>
    <x v="14"/>
    <x v="4"/>
    <n v="24681157"/>
  </r>
  <r>
    <d v="2025-11-06T00:00:00"/>
    <x v="1"/>
    <x v="10"/>
    <x v="44"/>
    <x v="5"/>
    <x v="14"/>
    <x v="13"/>
    <x v="1"/>
    <n v="2584470000"/>
  </r>
  <r>
    <d v="2025-11-06T00:00:00"/>
    <x v="1"/>
    <x v="10"/>
    <x v="44"/>
    <x v="5"/>
    <x v="23"/>
    <x v="17"/>
    <x v="4"/>
    <n v="30687689"/>
  </r>
  <r>
    <d v="2025-11-06T00:00:00"/>
    <x v="1"/>
    <x v="10"/>
    <x v="44"/>
    <x v="5"/>
    <x v="28"/>
    <x v="17"/>
    <x v="4"/>
    <n v="1664467122"/>
  </r>
  <r>
    <d v="2025-11-06T00:00:00"/>
    <x v="1"/>
    <x v="10"/>
    <x v="44"/>
    <x v="5"/>
    <x v="8"/>
    <x v="8"/>
    <x v="1"/>
    <n v="0"/>
  </r>
  <r>
    <d v="2025-11-06T00:00:00"/>
    <x v="1"/>
    <x v="10"/>
    <x v="44"/>
    <x v="5"/>
    <x v="26"/>
    <x v="16"/>
    <x v="1"/>
    <n v="338150000"/>
  </r>
  <r>
    <d v="2025-11-06T00:00:00"/>
    <x v="1"/>
    <x v="10"/>
    <x v="44"/>
    <x v="5"/>
    <x v="2"/>
    <x v="2"/>
    <x v="1"/>
    <n v="16997680000"/>
  </r>
  <r>
    <d v="2025-11-06T00:00:00"/>
    <x v="1"/>
    <x v="10"/>
    <x v="44"/>
    <x v="5"/>
    <x v="17"/>
    <x v="9"/>
    <x v="1"/>
    <n v="0"/>
  </r>
  <r>
    <d v="2025-11-06T00:00:00"/>
    <x v="1"/>
    <x v="10"/>
    <x v="44"/>
    <x v="5"/>
    <x v="20"/>
    <x v="9"/>
    <x v="1"/>
    <n v="0"/>
  </r>
  <r>
    <d v="2025-11-06T00:00:00"/>
    <x v="1"/>
    <x v="10"/>
    <x v="44"/>
    <x v="5"/>
    <x v="21"/>
    <x v="9"/>
    <x v="1"/>
    <n v="0"/>
  </r>
  <r>
    <d v="2025-11-06T00:00:00"/>
    <x v="1"/>
    <x v="10"/>
    <x v="44"/>
    <x v="5"/>
    <x v="25"/>
    <x v="2"/>
    <x v="1"/>
    <n v="0"/>
  </r>
  <r>
    <d v="2025-11-06T00:00:00"/>
    <x v="1"/>
    <x v="10"/>
    <x v="44"/>
    <x v="5"/>
    <x v="0"/>
    <x v="0"/>
    <x v="0"/>
    <n v="10614672000"/>
  </r>
  <r>
    <d v="2025-11-06T00:00:00"/>
    <x v="1"/>
    <x v="10"/>
    <x v="44"/>
    <x v="5"/>
    <x v="7"/>
    <x v="7"/>
    <x v="4"/>
    <n v="399615455"/>
  </r>
  <r>
    <d v="2025-11-06T00:00:00"/>
    <x v="1"/>
    <x v="10"/>
    <x v="44"/>
    <x v="5"/>
    <x v="1"/>
    <x v="1"/>
    <x v="1"/>
    <n v="33600000"/>
  </r>
  <r>
    <d v="2025-11-06T00:00:00"/>
    <x v="1"/>
    <x v="10"/>
    <x v="44"/>
    <x v="5"/>
    <x v="6"/>
    <x v="6"/>
    <x v="0"/>
    <n v="26000000"/>
  </r>
  <r>
    <d v="2025-11-06T00:00:00"/>
    <x v="1"/>
    <x v="10"/>
    <x v="44"/>
    <x v="5"/>
    <x v="18"/>
    <x v="15"/>
    <x v="1"/>
    <n v="635550000"/>
  </r>
  <r>
    <d v="2025-11-06T00:00:00"/>
    <x v="1"/>
    <x v="10"/>
    <x v="44"/>
    <x v="5"/>
    <x v="29"/>
    <x v="20"/>
    <x v="0"/>
    <n v="194400000"/>
  </r>
  <r>
    <d v="2025-11-06T00:00:00"/>
    <x v="1"/>
    <x v="10"/>
    <x v="44"/>
    <x v="5"/>
    <x v="19"/>
    <x v="12"/>
    <x v="4"/>
    <n v="767072421"/>
  </r>
  <r>
    <d v="2025-11-06T00:00:00"/>
    <x v="1"/>
    <x v="10"/>
    <x v="44"/>
    <x v="5"/>
    <x v="24"/>
    <x v="18"/>
    <x v="1"/>
    <n v="3756710000"/>
  </r>
  <r>
    <d v="2025-11-07T00:00:00"/>
    <x v="1"/>
    <x v="10"/>
    <x v="44"/>
    <x v="6"/>
    <x v="3"/>
    <x v="3"/>
    <x v="1"/>
    <n v="52500000"/>
  </r>
  <r>
    <d v="2025-11-07T00:00:00"/>
    <x v="1"/>
    <x v="10"/>
    <x v="44"/>
    <x v="6"/>
    <x v="11"/>
    <x v="10"/>
    <x v="4"/>
    <n v="388542464"/>
  </r>
  <r>
    <d v="2025-11-07T00:00:00"/>
    <x v="1"/>
    <x v="10"/>
    <x v="44"/>
    <x v="6"/>
    <x v="12"/>
    <x v="11"/>
    <x v="1"/>
    <n v="16971850000"/>
  </r>
  <r>
    <d v="2025-11-07T00:00:00"/>
    <x v="1"/>
    <x v="10"/>
    <x v="44"/>
    <x v="6"/>
    <x v="5"/>
    <x v="5"/>
    <x v="3"/>
    <n v="2475565254"/>
  </r>
  <r>
    <d v="2025-11-07T00:00:00"/>
    <x v="1"/>
    <x v="10"/>
    <x v="44"/>
    <x v="6"/>
    <x v="27"/>
    <x v="19"/>
    <x v="0"/>
    <n v="8620452000"/>
  </r>
  <r>
    <d v="2025-11-07T00:00:00"/>
    <x v="1"/>
    <x v="10"/>
    <x v="44"/>
    <x v="6"/>
    <x v="15"/>
    <x v="14"/>
    <x v="4"/>
    <n v="15975445"/>
  </r>
  <r>
    <d v="2025-11-07T00:00:00"/>
    <x v="1"/>
    <x v="10"/>
    <x v="44"/>
    <x v="6"/>
    <x v="14"/>
    <x v="13"/>
    <x v="1"/>
    <n v="2774010000"/>
  </r>
  <r>
    <d v="2025-11-07T00:00:00"/>
    <x v="1"/>
    <x v="10"/>
    <x v="44"/>
    <x v="6"/>
    <x v="23"/>
    <x v="17"/>
    <x v="4"/>
    <n v="18842773"/>
  </r>
  <r>
    <d v="2025-11-07T00:00:00"/>
    <x v="1"/>
    <x v="10"/>
    <x v="44"/>
    <x v="6"/>
    <x v="28"/>
    <x v="17"/>
    <x v="4"/>
    <n v="1361152396"/>
  </r>
  <r>
    <d v="2025-11-07T00:00:00"/>
    <x v="1"/>
    <x v="10"/>
    <x v="44"/>
    <x v="6"/>
    <x v="8"/>
    <x v="8"/>
    <x v="1"/>
    <n v="0"/>
  </r>
  <r>
    <d v="2025-11-07T00:00:00"/>
    <x v="1"/>
    <x v="10"/>
    <x v="44"/>
    <x v="6"/>
    <x v="26"/>
    <x v="16"/>
    <x v="1"/>
    <n v="208250000"/>
  </r>
  <r>
    <d v="2025-11-07T00:00:00"/>
    <x v="1"/>
    <x v="10"/>
    <x v="44"/>
    <x v="6"/>
    <x v="2"/>
    <x v="2"/>
    <x v="1"/>
    <n v="16733600000"/>
  </r>
  <r>
    <d v="2025-11-07T00:00:00"/>
    <x v="1"/>
    <x v="10"/>
    <x v="44"/>
    <x v="6"/>
    <x v="17"/>
    <x v="9"/>
    <x v="1"/>
    <n v="0"/>
  </r>
  <r>
    <d v="2025-11-07T00:00:00"/>
    <x v="1"/>
    <x v="10"/>
    <x v="44"/>
    <x v="6"/>
    <x v="20"/>
    <x v="9"/>
    <x v="1"/>
    <n v="0"/>
  </r>
  <r>
    <d v="2025-11-07T00:00:00"/>
    <x v="1"/>
    <x v="10"/>
    <x v="44"/>
    <x v="6"/>
    <x v="21"/>
    <x v="9"/>
    <x v="1"/>
    <n v="0"/>
  </r>
  <r>
    <d v="2025-11-07T00:00:00"/>
    <x v="1"/>
    <x v="10"/>
    <x v="44"/>
    <x v="6"/>
    <x v="25"/>
    <x v="2"/>
    <x v="1"/>
    <n v="0"/>
  </r>
  <r>
    <d v="2025-11-07T00:00:00"/>
    <x v="1"/>
    <x v="10"/>
    <x v="44"/>
    <x v="6"/>
    <x v="0"/>
    <x v="0"/>
    <x v="0"/>
    <n v="9870984000"/>
  </r>
  <r>
    <d v="2025-11-07T00:00:00"/>
    <x v="1"/>
    <x v="10"/>
    <x v="44"/>
    <x v="6"/>
    <x v="7"/>
    <x v="7"/>
    <x v="4"/>
    <n v="330597953"/>
  </r>
  <r>
    <d v="2025-11-07T00:00:00"/>
    <x v="1"/>
    <x v="10"/>
    <x v="44"/>
    <x v="6"/>
    <x v="1"/>
    <x v="1"/>
    <x v="1"/>
    <n v="20000000"/>
  </r>
  <r>
    <d v="2025-11-07T00:00:00"/>
    <x v="1"/>
    <x v="10"/>
    <x v="44"/>
    <x v="6"/>
    <x v="6"/>
    <x v="6"/>
    <x v="0"/>
    <n v="61000000"/>
  </r>
  <r>
    <d v="2025-11-07T00:00:00"/>
    <x v="1"/>
    <x v="10"/>
    <x v="44"/>
    <x v="6"/>
    <x v="18"/>
    <x v="15"/>
    <x v="1"/>
    <n v="656050000"/>
  </r>
  <r>
    <d v="2025-11-07T00:00:00"/>
    <x v="1"/>
    <x v="10"/>
    <x v="44"/>
    <x v="6"/>
    <x v="29"/>
    <x v="20"/>
    <x v="0"/>
    <n v="209952000"/>
  </r>
  <r>
    <d v="2025-11-07T00:00:00"/>
    <x v="1"/>
    <x v="10"/>
    <x v="44"/>
    <x v="6"/>
    <x v="19"/>
    <x v="12"/>
    <x v="4"/>
    <n v="579849023"/>
  </r>
  <r>
    <d v="2025-11-07T00:00:00"/>
    <x v="1"/>
    <x v="10"/>
    <x v="44"/>
    <x v="6"/>
    <x v="24"/>
    <x v="18"/>
    <x v="1"/>
    <n v="2896420000"/>
  </r>
  <r>
    <d v="2025-11-08T00:00:00"/>
    <x v="1"/>
    <x v="10"/>
    <x v="44"/>
    <x v="7"/>
    <x v="3"/>
    <x v="3"/>
    <x v="1"/>
    <n v="10500000"/>
  </r>
  <r>
    <d v="2025-11-08T00:00:00"/>
    <x v="1"/>
    <x v="10"/>
    <x v="44"/>
    <x v="7"/>
    <x v="11"/>
    <x v="10"/>
    <x v="4"/>
    <n v="390099263"/>
  </r>
  <r>
    <d v="2025-11-08T00:00:00"/>
    <x v="1"/>
    <x v="10"/>
    <x v="44"/>
    <x v="7"/>
    <x v="12"/>
    <x v="11"/>
    <x v="1"/>
    <n v="15768640000"/>
  </r>
  <r>
    <d v="2025-11-08T00:00:00"/>
    <x v="1"/>
    <x v="10"/>
    <x v="44"/>
    <x v="7"/>
    <x v="5"/>
    <x v="5"/>
    <x v="3"/>
    <n v="1996180810"/>
  </r>
  <r>
    <d v="2025-11-08T00:00:00"/>
    <x v="1"/>
    <x v="10"/>
    <x v="44"/>
    <x v="7"/>
    <x v="27"/>
    <x v="19"/>
    <x v="0"/>
    <n v="8109612000"/>
  </r>
  <r>
    <d v="2025-11-08T00:00:00"/>
    <x v="1"/>
    <x v="10"/>
    <x v="44"/>
    <x v="7"/>
    <x v="15"/>
    <x v="14"/>
    <x v="4"/>
    <n v="13978847"/>
  </r>
  <r>
    <d v="2025-11-08T00:00:00"/>
    <x v="1"/>
    <x v="10"/>
    <x v="44"/>
    <x v="7"/>
    <x v="14"/>
    <x v="13"/>
    <x v="1"/>
    <n v="3006800000"/>
  </r>
  <r>
    <d v="2025-11-08T00:00:00"/>
    <x v="1"/>
    <x v="10"/>
    <x v="44"/>
    <x v="7"/>
    <x v="23"/>
    <x v="17"/>
    <x v="4"/>
    <n v="12811575"/>
  </r>
  <r>
    <d v="2025-11-08T00:00:00"/>
    <x v="1"/>
    <x v="10"/>
    <x v="44"/>
    <x v="7"/>
    <x v="28"/>
    <x v="17"/>
    <x v="4"/>
    <n v="1410111018"/>
  </r>
  <r>
    <d v="2025-11-08T00:00:00"/>
    <x v="1"/>
    <x v="10"/>
    <x v="44"/>
    <x v="7"/>
    <x v="8"/>
    <x v="8"/>
    <x v="1"/>
    <n v="0"/>
  </r>
  <r>
    <d v="2025-11-08T00:00:00"/>
    <x v="1"/>
    <x v="10"/>
    <x v="44"/>
    <x v="7"/>
    <x v="26"/>
    <x v="16"/>
    <x v="1"/>
    <n v="258500000"/>
  </r>
  <r>
    <d v="2025-11-08T00:00:00"/>
    <x v="1"/>
    <x v="10"/>
    <x v="44"/>
    <x v="7"/>
    <x v="2"/>
    <x v="2"/>
    <x v="1"/>
    <n v="15949680000"/>
  </r>
  <r>
    <d v="2025-11-08T00:00:00"/>
    <x v="1"/>
    <x v="10"/>
    <x v="44"/>
    <x v="7"/>
    <x v="17"/>
    <x v="9"/>
    <x v="1"/>
    <n v="0"/>
  </r>
  <r>
    <d v="2025-11-08T00:00:00"/>
    <x v="1"/>
    <x v="10"/>
    <x v="44"/>
    <x v="7"/>
    <x v="20"/>
    <x v="9"/>
    <x v="1"/>
    <n v="0"/>
  </r>
  <r>
    <d v="2025-11-08T00:00:00"/>
    <x v="1"/>
    <x v="10"/>
    <x v="44"/>
    <x v="7"/>
    <x v="21"/>
    <x v="9"/>
    <x v="1"/>
    <n v="0"/>
  </r>
  <r>
    <d v="2025-11-08T00:00:00"/>
    <x v="1"/>
    <x v="10"/>
    <x v="44"/>
    <x v="7"/>
    <x v="25"/>
    <x v="2"/>
    <x v="1"/>
    <n v="0"/>
  </r>
  <r>
    <d v="2025-11-08T00:00:00"/>
    <x v="1"/>
    <x v="10"/>
    <x v="44"/>
    <x v="7"/>
    <x v="0"/>
    <x v="0"/>
    <x v="0"/>
    <n v="9198468000"/>
  </r>
  <r>
    <d v="2025-11-08T00:00:00"/>
    <x v="1"/>
    <x v="10"/>
    <x v="44"/>
    <x v="7"/>
    <x v="7"/>
    <x v="7"/>
    <x v="4"/>
    <n v="316740622"/>
  </r>
  <r>
    <d v="2025-11-08T00:00:00"/>
    <x v="1"/>
    <x v="10"/>
    <x v="44"/>
    <x v="7"/>
    <x v="1"/>
    <x v="1"/>
    <x v="1"/>
    <n v="10500000"/>
  </r>
  <r>
    <d v="2025-11-08T00:00:00"/>
    <x v="1"/>
    <x v="10"/>
    <x v="44"/>
    <x v="7"/>
    <x v="6"/>
    <x v="6"/>
    <x v="0"/>
    <n v="28000000"/>
  </r>
  <r>
    <d v="2025-11-08T00:00:00"/>
    <x v="1"/>
    <x v="10"/>
    <x v="44"/>
    <x v="7"/>
    <x v="18"/>
    <x v="15"/>
    <x v="1"/>
    <n v="679850000"/>
  </r>
  <r>
    <d v="2025-11-08T00:00:00"/>
    <x v="1"/>
    <x v="10"/>
    <x v="44"/>
    <x v="7"/>
    <x v="29"/>
    <x v="20"/>
    <x v="0"/>
    <n v="190188000"/>
  </r>
  <r>
    <d v="2025-11-08T00:00:00"/>
    <x v="1"/>
    <x v="10"/>
    <x v="44"/>
    <x v="7"/>
    <x v="19"/>
    <x v="12"/>
    <x v="4"/>
    <n v="475396644"/>
  </r>
  <r>
    <d v="2025-11-08T00:00:00"/>
    <x v="1"/>
    <x v="10"/>
    <x v="44"/>
    <x v="7"/>
    <x v="24"/>
    <x v="18"/>
    <x v="1"/>
    <n v="3020750000"/>
  </r>
  <r>
    <d v="2025-11-09T00:00:00"/>
    <x v="1"/>
    <x v="10"/>
    <x v="44"/>
    <x v="8"/>
    <x v="3"/>
    <x v="3"/>
    <x v="1"/>
    <n v="0"/>
  </r>
  <r>
    <d v="2025-11-09T00:00:00"/>
    <x v="1"/>
    <x v="10"/>
    <x v="44"/>
    <x v="8"/>
    <x v="11"/>
    <x v="10"/>
    <x v="4"/>
    <n v="390951385"/>
  </r>
  <r>
    <d v="2025-11-09T00:00:00"/>
    <x v="1"/>
    <x v="10"/>
    <x v="44"/>
    <x v="8"/>
    <x v="12"/>
    <x v="11"/>
    <x v="1"/>
    <n v="16177150000"/>
  </r>
  <r>
    <d v="2025-11-09T00:00:00"/>
    <x v="1"/>
    <x v="10"/>
    <x v="44"/>
    <x v="8"/>
    <x v="5"/>
    <x v="5"/>
    <x v="3"/>
    <n v="2128432586"/>
  </r>
  <r>
    <d v="2025-11-09T00:00:00"/>
    <x v="1"/>
    <x v="10"/>
    <x v="44"/>
    <x v="8"/>
    <x v="27"/>
    <x v="19"/>
    <x v="0"/>
    <n v="8030664000"/>
  </r>
  <r>
    <d v="2025-11-09T00:00:00"/>
    <x v="1"/>
    <x v="10"/>
    <x v="44"/>
    <x v="8"/>
    <x v="15"/>
    <x v="14"/>
    <x v="4"/>
    <n v="15794195"/>
  </r>
  <r>
    <d v="2025-11-09T00:00:00"/>
    <x v="1"/>
    <x v="10"/>
    <x v="44"/>
    <x v="8"/>
    <x v="14"/>
    <x v="13"/>
    <x v="1"/>
    <n v="3395590000"/>
  </r>
  <r>
    <d v="2025-11-09T00:00:00"/>
    <x v="1"/>
    <x v="10"/>
    <x v="44"/>
    <x v="8"/>
    <x v="23"/>
    <x v="17"/>
    <x v="4"/>
    <n v="30468330"/>
  </r>
  <r>
    <d v="2025-11-09T00:00:00"/>
    <x v="1"/>
    <x v="10"/>
    <x v="44"/>
    <x v="8"/>
    <x v="28"/>
    <x v="17"/>
    <x v="4"/>
    <n v="1209016086"/>
  </r>
  <r>
    <d v="2025-11-09T00:00:00"/>
    <x v="1"/>
    <x v="10"/>
    <x v="44"/>
    <x v="8"/>
    <x v="8"/>
    <x v="8"/>
    <x v="1"/>
    <n v="0"/>
  </r>
  <r>
    <d v="2025-11-09T00:00:00"/>
    <x v="1"/>
    <x v="10"/>
    <x v="44"/>
    <x v="8"/>
    <x v="26"/>
    <x v="16"/>
    <x v="1"/>
    <n v="182500000"/>
  </r>
  <r>
    <d v="2025-11-09T00:00:00"/>
    <x v="1"/>
    <x v="10"/>
    <x v="44"/>
    <x v="8"/>
    <x v="2"/>
    <x v="2"/>
    <x v="1"/>
    <n v="15321690000"/>
  </r>
  <r>
    <d v="2025-11-09T00:00:00"/>
    <x v="1"/>
    <x v="10"/>
    <x v="44"/>
    <x v="8"/>
    <x v="17"/>
    <x v="9"/>
    <x v="1"/>
    <n v="0"/>
  </r>
  <r>
    <d v="2025-11-09T00:00:00"/>
    <x v="1"/>
    <x v="10"/>
    <x v="44"/>
    <x v="8"/>
    <x v="20"/>
    <x v="9"/>
    <x v="1"/>
    <n v="0"/>
  </r>
  <r>
    <d v="2025-11-09T00:00:00"/>
    <x v="1"/>
    <x v="10"/>
    <x v="44"/>
    <x v="8"/>
    <x v="21"/>
    <x v="9"/>
    <x v="1"/>
    <n v="0"/>
  </r>
  <r>
    <d v="2025-11-09T00:00:00"/>
    <x v="1"/>
    <x v="10"/>
    <x v="44"/>
    <x v="8"/>
    <x v="25"/>
    <x v="2"/>
    <x v="1"/>
    <n v="0"/>
  </r>
  <r>
    <d v="2025-11-09T00:00:00"/>
    <x v="1"/>
    <x v="10"/>
    <x v="44"/>
    <x v="8"/>
    <x v="0"/>
    <x v="0"/>
    <x v="0"/>
    <n v="9124380000"/>
  </r>
  <r>
    <d v="2025-11-09T00:00:00"/>
    <x v="1"/>
    <x v="10"/>
    <x v="44"/>
    <x v="8"/>
    <x v="7"/>
    <x v="7"/>
    <x v="4"/>
    <n v="276306050"/>
  </r>
  <r>
    <d v="2025-11-09T00:00:00"/>
    <x v="1"/>
    <x v="10"/>
    <x v="44"/>
    <x v="8"/>
    <x v="1"/>
    <x v="1"/>
    <x v="1"/>
    <n v="10500000"/>
  </r>
  <r>
    <d v="2025-11-09T00:00:00"/>
    <x v="1"/>
    <x v="10"/>
    <x v="44"/>
    <x v="8"/>
    <x v="6"/>
    <x v="6"/>
    <x v="0"/>
    <n v="30000000"/>
  </r>
  <r>
    <d v="2025-11-09T00:00:00"/>
    <x v="1"/>
    <x v="10"/>
    <x v="44"/>
    <x v="8"/>
    <x v="18"/>
    <x v="15"/>
    <x v="1"/>
    <n v="474880000"/>
  </r>
  <r>
    <d v="2025-11-09T00:00:00"/>
    <x v="1"/>
    <x v="10"/>
    <x v="44"/>
    <x v="8"/>
    <x v="29"/>
    <x v="20"/>
    <x v="0"/>
    <n v="157356000"/>
  </r>
  <r>
    <d v="2025-11-09T00:00:00"/>
    <x v="1"/>
    <x v="10"/>
    <x v="44"/>
    <x v="8"/>
    <x v="19"/>
    <x v="12"/>
    <x v="4"/>
    <n v="429095327"/>
  </r>
  <r>
    <d v="2025-11-09T00:00:00"/>
    <x v="1"/>
    <x v="10"/>
    <x v="44"/>
    <x v="8"/>
    <x v="24"/>
    <x v="18"/>
    <x v="1"/>
    <n v="2867150000"/>
  </r>
  <r>
    <d v="2025-11-10T00:00:00"/>
    <x v="1"/>
    <x v="10"/>
    <x v="45"/>
    <x v="9"/>
    <x v="3"/>
    <x v="3"/>
    <x v="1"/>
    <n v="56700000"/>
  </r>
  <r>
    <d v="2025-11-10T00:00:00"/>
    <x v="1"/>
    <x v="10"/>
    <x v="45"/>
    <x v="9"/>
    <x v="11"/>
    <x v="10"/>
    <x v="4"/>
    <n v="310462043"/>
  </r>
  <r>
    <d v="2025-11-10T00:00:00"/>
    <x v="1"/>
    <x v="10"/>
    <x v="45"/>
    <x v="9"/>
    <x v="12"/>
    <x v="11"/>
    <x v="1"/>
    <n v="20030520000"/>
  </r>
  <r>
    <d v="2025-11-10T00:00:00"/>
    <x v="1"/>
    <x v="10"/>
    <x v="45"/>
    <x v="9"/>
    <x v="5"/>
    <x v="5"/>
    <x v="3"/>
    <n v="3601019160"/>
  </r>
  <r>
    <d v="2025-11-10T00:00:00"/>
    <x v="1"/>
    <x v="10"/>
    <x v="45"/>
    <x v="9"/>
    <x v="27"/>
    <x v="19"/>
    <x v="0"/>
    <n v="11226708000"/>
  </r>
  <r>
    <d v="2025-11-10T00:00:00"/>
    <x v="1"/>
    <x v="10"/>
    <x v="45"/>
    <x v="9"/>
    <x v="15"/>
    <x v="14"/>
    <x v="4"/>
    <n v="15210002"/>
  </r>
  <r>
    <d v="2025-11-10T00:00:00"/>
    <x v="1"/>
    <x v="10"/>
    <x v="45"/>
    <x v="9"/>
    <x v="14"/>
    <x v="13"/>
    <x v="1"/>
    <n v="3255410000"/>
  </r>
  <r>
    <d v="2025-11-10T00:00:00"/>
    <x v="1"/>
    <x v="10"/>
    <x v="45"/>
    <x v="9"/>
    <x v="23"/>
    <x v="17"/>
    <x v="4"/>
    <n v="17824995"/>
  </r>
  <r>
    <d v="2025-11-10T00:00:00"/>
    <x v="1"/>
    <x v="10"/>
    <x v="45"/>
    <x v="9"/>
    <x v="28"/>
    <x v="17"/>
    <x v="4"/>
    <n v="988744010"/>
  </r>
  <r>
    <d v="2025-11-10T00:00:00"/>
    <x v="1"/>
    <x v="10"/>
    <x v="45"/>
    <x v="9"/>
    <x v="8"/>
    <x v="8"/>
    <x v="1"/>
    <n v="0"/>
  </r>
  <r>
    <d v="2025-11-10T00:00:00"/>
    <x v="1"/>
    <x v="10"/>
    <x v="45"/>
    <x v="9"/>
    <x v="26"/>
    <x v="16"/>
    <x v="1"/>
    <n v="386500000"/>
  </r>
  <r>
    <d v="2025-11-10T00:00:00"/>
    <x v="1"/>
    <x v="10"/>
    <x v="45"/>
    <x v="9"/>
    <x v="2"/>
    <x v="2"/>
    <x v="1"/>
    <n v="22811310000"/>
  </r>
  <r>
    <d v="2025-11-10T00:00:00"/>
    <x v="1"/>
    <x v="10"/>
    <x v="45"/>
    <x v="9"/>
    <x v="17"/>
    <x v="9"/>
    <x v="1"/>
    <n v="0"/>
  </r>
  <r>
    <d v="2025-11-10T00:00:00"/>
    <x v="1"/>
    <x v="10"/>
    <x v="45"/>
    <x v="9"/>
    <x v="20"/>
    <x v="9"/>
    <x v="1"/>
    <n v="0"/>
  </r>
  <r>
    <d v="2025-11-10T00:00:00"/>
    <x v="1"/>
    <x v="10"/>
    <x v="45"/>
    <x v="9"/>
    <x v="21"/>
    <x v="9"/>
    <x v="1"/>
    <n v="0"/>
  </r>
  <r>
    <d v="2025-11-10T00:00:00"/>
    <x v="1"/>
    <x v="10"/>
    <x v="45"/>
    <x v="9"/>
    <x v="25"/>
    <x v="2"/>
    <x v="1"/>
    <n v="0"/>
  </r>
  <r>
    <d v="2025-11-10T00:00:00"/>
    <x v="1"/>
    <x v="10"/>
    <x v="45"/>
    <x v="9"/>
    <x v="0"/>
    <x v="0"/>
    <x v="0"/>
    <n v="14166252000"/>
  </r>
  <r>
    <d v="2025-11-10T00:00:00"/>
    <x v="1"/>
    <x v="10"/>
    <x v="45"/>
    <x v="9"/>
    <x v="7"/>
    <x v="7"/>
    <x v="4"/>
    <n v="326210971"/>
  </r>
  <r>
    <d v="2025-11-10T00:00:00"/>
    <x v="1"/>
    <x v="10"/>
    <x v="45"/>
    <x v="9"/>
    <x v="1"/>
    <x v="1"/>
    <x v="1"/>
    <n v="20500000"/>
  </r>
  <r>
    <d v="2025-11-10T00:00:00"/>
    <x v="1"/>
    <x v="10"/>
    <x v="45"/>
    <x v="9"/>
    <x v="6"/>
    <x v="6"/>
    <x v="0"/>
    <n v="48000000"/>
  </r>
  <r>
    <d v="2025-11-10T00:00:00"/>
    <x v="1"/>
    <x v="10"/>
    <x v="45"/>
    <x v="9"/>
    <x v="18"/>
    <x v="15"/>
    <x v="1"/>
    <n v="721220000"/>
  </r>
  <r>
    <d v="2025-11-10T00:00:00"/>
    <x v="1"/>
    <x v="10"/>
    <x v="45"/>
    <x v="9"/>
    <x v="29"/>
    <x v="20"/>
    <x v="0"/>
    <n v="205956000"/>
  </r>
  <r>
    <d v="2025-11-10T00:00:00"/>
    <x v="1"/>
    <x v="10"/>
    <x v="45"/>
    <x v="9"/>
    <x v="19"/>
    <x v="12"/>
    <x v="4"/>
    <n v="518372254"/>
  </r>
  <r>
    <d v="2025-11-10T00:00:00"/>
    <x v="1"/>
    <x v="10"/>
    <x v="45"/>
    <x v="9"/>
    <x v="24"/>
    <x v="18"/>
    <x v="1"/>
    <n v="3855160000"/>
  </r>
  <r>
    <d v="2025-11-11T00:00:00"/>
    <x v="1"/>
    <x v="10"/>
    <x v="45"/>
    <x v="10"/>
    <x v="3"/>
    <x v="3"/>
    <x v="1"/>
    <n v="31000000"/>
  </r>
  <r>
    <d v="2025-11-11T00:00:00"/>
    <x v="1"/>
    <x v="10"/>
    <x v="45"/>
    <x v="10"/>
    <x v="11"/>
    <x v="10"/>
    <x v="4"/>
    <n v="274778188"/>
  </r>
  <r>
    <d v="2025-11-11T00:00:00"/>
    <x v="1"/>
    <x v="10"/>
    <x v="45"/>
    <x v="10"/>
    <x v="12"/>
    <x v="11"/>
    <x v="1"/>
    <n v="16847210000"/>
  </r>
  <r>
    <d v="2025-11-11T00:00:00"/>
    <x v="1"/>
    <x v="10"/>
    <x v="45"/>
    <x v="10"/>
    <x v="5"/>
    <x v="5"/>
    <x v="3"/>
    <n v="2992696989"/>
  </r>
  <r>
    <d v="2025-11-11T00:00:00"/>
    <x v="1"/>
    <x v="10"/>
    <x v="45"/>
    <x v="10"/>
    <x v="27"/>
    <x v="19"/>
    <x v="0"/>
    <n v="8993916000"/>
  </r>
  <r>
    <d v="2025-11-11T00:00:00"/>
    <x v="1"/>
    <x v="10"/>
    <x v="45"/>
    <x v="10"/>
    <x v="15"/>
    <x v="14"/>
    <x v="4"/>
    <n v="17258104"/>
  </r>
  <r>
    <d v="2025-11-11T00:00:00"/>
    <x v="1"/>
    <x v="10"/>
    <x v="45"/>
    <x v="10"/>
    <x v="14"/>
    <x v="13"/>
    <x v="1"/>
    <n v="4318830000"/>
  </r>
  <r>
    <d v="2025-11-11T00:00:00"/>
    <x v="1"/>
    <x v="10"/>
    <x v="45"/>
    <x v="10"/>
    <x v="23"/>
    <x v="17"/>
    <x v="4"/>
    <n v="18978206"/>
  </r>
  <r>
    <d v="2025-11-11T00:00:00"/>
    <x v="1"/>
    <x v="10"/>
    <x v="45"/>
    <x v="10"/>
    <x v="28"/>
    <x v="17"/>
    <x v="4"/>
    <n v="960549644"/>
  </r>
  <r>
    <d v="2025-11-11T00:00:00"/>
    <x v="1"/>
    <x v="10"/>
    <x v="45"/>
    <x v="10"/>
    <x v="8"/>
    <x v="8"/>
    <x v="1"/>
    <n v="0"/>
  </r>
  <r>
    <d v="2025-11-11T00:00:00"/>
    <x v="1"/>
    <x v="10"/>
    <x v="45"/>
    <x v="10"/>
    <x v="26"/>
    <x v="16"/>
    <x v="1"/>
    <n v="405950000"/>
  </r>
  <r>
    <d v="2025-11-11T00:00:00"/>
    <x v="1"/>
    <x v="10"/>
    <x v="45"/>
    <x v="10"/>
    <x v="2"/>
    <x v="2"/>
    <x v="1"/>
    <n v="18958810000"/>
  </r>
  <r>
    <d v="2025-11-11T00:00:00"/>
    <x v="1"/>
    <x v="10"/>
    <x v="45"/>
    <x v="10"/>
    <x v="17"/>
    <x v="9"/>
    <x v="1"/>
    <n v="0"/>
  </r>
  <r>
    <d v="2025-11-11T00:00:00"/>
    <x v="1"/>
    <x v="10"/>
    <x v="45"/>
    <x v="10"/>
    <x v="20"/>
    <x v="9"/>
    <x v="1"/>
    <n v="0"/>
  </r>
  <r>
    <d v="2025-11-11T00:00:00"/>
    <x v="1"/>
    <x v="10"/>
    <x v="45"/>
    <x v="10"/>
    <x v="21"/>
    <x v="9"/>
    <x v="1"/>
    <n v="0"/>
  </r>
  <r>
    <d v="2025-11-11T00:00:00"/>
    <x v="1"/>
    <x v="10"/>
    <x v="45"/>
    <x v="10"/>
    <x v="25"/>
    <x v="2"/>
    <x v="1"/>
    <n v="0"/>
  </r>
  <r>
    <d v="2025-11-11T00:00:00"/>
    <x v="1"/>
    <x v="10"/>
    <x v="45"/>
    <x v="10"/>
    <x v="0"/>
    <x v="0"/>
    <x v="0"/>
    <n v="10999260000"/>
  </r>
  <r>
    <d v="2025-11-11T00:00:00"/>
    <x v="1"/>
    <x v="10"/>
    <x v="45"/>
    <x v="10"/>
    <x v="7"/>
    <x v="7"/>
    <x v="4"/>
    <n v="265259096"/>
  </r>
  <r>
    <d v="2025-11-11T00:00:00"/>
    <x v="1"/>
    <x v="10"/>
    <x v="45"/>
    <x v="10"/>
    <x v="1"/>
    <x v="1"/>
    <x v="1"/>
    <n v="31500000"/>
  </r>
  <r>
    <d v="2025-11-11T00:00:00"/>
    <x v="1"/>
    <x v="10"/>
    <x v="45"/>
    <x v="10"/>
    <x v="6"/>
    <x v="6"/>
    <x v="0"/>
    <n v="48000000"/>
  </r>
  <r>
    <d v="2025-11-11T00:00:00"/>
    <x v="1"/>
    <x v="10"/>
    <x v="45"/>
    <x v="10"/>
    <x v="18"/>
    <x v="15"/>
    <x v="1"/>
    <n v="695600000"/>
  </r>
  <r>
    <d v="2025-11-11T00:00:00"/>
    <x v="1"/>
    <x v="10"/>
    <x v="45"/>
    <x v="10"/>
    <x v="29"/>
    <x v="20"/>
    <x v="0"/>
    <n v="180576000"/>
  </r>
  <r>
    <d v="2025-11-11T00:00:00"/>
    <x v="1"/>
    <x v="10"/>
    <x v="45"/>
    <x v="10"/>
    <x v="19"/>
    <x v="12"/>
    <x v="4"/>
    <n v="352434837"/>
  </r>
  <r>
    <d v="2025-11-11T00:00:00"/>
    <x v="1"/>
    <x v="10"/>
    <x v="45"/>
    <x v="10"/>
    <x v="24"/>
    <x v="18"/>
    <x v="1"/>
    <n v="2949790000"/>
  </r>
  <r>
    <d v="2025-11-12T00:00:00"/>
    <x v="1"/>
    <x v="10"/>
    <x v="45"/>
    <x v="11"/>
    <x v="3"/>
    <x v="3"/>
    <x v="1"/>
    <n v="113450000"/>
  </r>
  <r>
    <d v="2025-11-12T00:00:00"/>
    <x v="1"/>
    <x v="10"/>
    <x v="45"/>
    <x v="11"/>
    <x v="11"/>
    <x v="10"/>
    <x v="4"/>
    <n v="281966645"/>
  </r>
  <r>
    <d v="2025-11-12T00:00:00"/>
    <x v="1"/>
    <x v="10"/>
    <x v="45"/>
    <x v="11"/>
    <x v="12"/>
    <x v="11"/>
    <x v="1"/>
    <n v="17002780000"/>
  </r>
  <r>
    <d v="2025-11-12T00:00:00"/>
    <x v="1"/>
    <x v="10"/>
    <x v="45"/>
    <x v="11"/>
    <x v="5"/>
    <x v="5"/>
    <x v="3"/>
    <n v="2423618367"/>
  </r>
  <r>
    <d v="2025-11-12T00:00:00"/>
    <x v="1"/>
    <x v="10"/>
    <x v="45"/>
    <x v="11"/>
    <x v="27"/>
    <x v="19"/>
    <x v="0"/>
    <n v="8769060000"/>
  </r>
  <r>
    <d v="2025-11-12T00:00:00"/>
    <x v="1"/>
    <x v="10"/>
    <x v="45"/>
    <x v="11"/>
    <x v="15"/>
    <x v="14"/>
    <x v="4"/>
    <n v="7209186"/>
  </r>
  <r>
    <d v="2025-11-12T00:00:00"/>
    <x v="1"/>
    <x v="10"/>
    <x v="45"/>
    <x v="11"/>
    <x v="14"/>
    <x v="13"/>
    <x v="1"/>
    <n v="4506410000"/>
  </r>
  <r>
    <d v="2025-11-12T00:00:00"/>
    <x v="1"/>
    <x v="10"/>
    <x v="45"/>
    <x v="11"/>
    <x v="23"/>
    <x v="17"/>
    <x v="4"/>
    <n v="3830570"/>
  </r>
  <r>
    <d v="2025-11-12T00:00:00"/>
    <x v="1"/>
    <x v="10"/>
    <x v="45"/>
    <x v="11"/>
    <x v="28"/>
    <x v="17"/>
    <x v="4"/>
    <n v="877926778"/>
  </r>
  <r>
    <d v="2025-11-12T00:00:00"/>
    <x v="1"/>
    <x v="10"/>
    <x v="45"/>
    <x v="11"/>
    <x v="8"/>
    <x v="8"/>
    <x v="1"/>
    <n v="0"/>
  </r>
  <r>
    <d v="2025-11-12T00:00:00"/>
    <x v="1"/>
    <x v="10"/>
    <x v="45"/>
    <x v="11"/>
    <x v="26"/>
    <x v="16"/>
    <x v="1"/>
    <n v="446500000"/>
  </r>
  <r>
    <d v="2025-11-12T00:00:00"/>
    <x v="1"/>
    <x v="10"/>
    <x v="45"/>
    <x v="11"/>
    <x v="2"/>
    <x v="2"/>
    <x v="1"/>
    <n v="19372970000"/>
  </r>
  <r>
    <d v="2025-11-12T00:00:00"/>
    <x v="1"/>
    <x v="10"/>
    <x v="45"/>
    <x v="11"/>
    <x v="17"/>
    <x v="9"/>
    <x v="1"/>
    <n v="0"/>
  </r>
  <r>
    <d v="2025-11-12T00:00:00"/>
    <x v="1"/>
    <x v="10"/>
    <x v="45"/>
    <x v="11"/>
    <x v="20"/>
    <x v="9"/>
    <x v="1"/>
    <n v="0"/>
  </r>
  <r>
    <d v="2025-11-12T00:00:00"/>
    <x v="1"/>
    <x v="10"/>
    <x v="45"/>
    <x v="11"/>
    <x v="21"/>
    <x v="9"/>
    <x v="1"/>
    <n v="0"/>
  </r>
  <r>
    <d v="2025-11-12T00:00:00"/>
    <x v="1"/>
    <x v="10"/>
    <x v="45"/>
    <x v="11"/>
    <x v="25"/>
    <x v="2"/>
    <x v="1"/>
    <n v="12840000"/>
  </r>
  <r>
    <d v="2025-11-12T00:00:00"/>
    <x v="1"/>
    <x v="10"/>
    <x v="45"/>
    <x v="11"/>
    <x v="0"/>
    <x v="0"/>
    <x v="0"/>
    <n v="9981036000"/>
  </r>
  <r>
    <d v="2025-11-12T00:00:00"/>
    <x v="1"/>
    <x v="10"/>
    <x v="45"/>
    <x v="11"/>
    <x v="7"/>
    <x v="7"/>
    <x v="4"/>
    <n v="198461617"/>
  </r>
  <r>
    <d v="2025-11-12T00:00:00"/>
    <x v="1"/>
    <x v="10"/>
    <x v="45"/>
    <x v="11"/>
    <x v="1"/>
    <x v="1"/>
    <x v="1"/>
    <n v="44100000"/>
  </r>
  <r>
    <d v="2025-11-12T00:00:00"/>
    <x v="1"/>
    <x v="10"/>
    <x v="45"/>
    <x v="11"/>
    <x v="6"/>
    <x v="6"/>
    <x v="0"/>
    <n v="28000000"/>
  </r>
  <r>
    <d v="2025-11-12T00:00:00"/>
    <x v="1"/>
    <x v="10"/>
    <x v="45"/>
    <x v="11"/>
    <x v="18"/>
    <x v="15"/>
    <x v="1"/>
    <n v="645260000"/>
  </r>
  <r>
    <d v="2025-11-12T00:00:00"/>
    <x v="1"/>
    <x v="10"/>
    <x v="45"/>
    <x v="11"/>
    <x v="29"/>
    <x v="20"/>
    <x v="0"/>
    <n v="143424000"/>
  </r>
  <r>
    <d v="2025-11-12T00:00:00"/>
    <x v="1"/>
    <x v="10"/>
    <x v="45"/>
    <x v="11"/>
    <x v="19"/>
    <x v="12"/>
    <x v="4"/>
    <n v="386367857"/>
  </r>
  <r>
    <d v="2025-11-12T00:00:00"/>
    <x v="1"/>
    <x v="10"/>
    <x v="45"/>
    <x v="11"/>
    <x v="24"/>
    <x v="18"/>
    <x v="1"/>
    <n v="3825560000"/>
  </r>
  <r>
    <d v="2025-11-13T00:00:00"/>
    <x v="1"/>
    <x v="10"/>
    <x v="45"/>
    <x v="12"/>
    <x v="3"/>
    <x v="3"/>
    <x v="1"/>
    <n v="41000000"/>
  </r>
  <r>
    <d v="2025-11-13T00:00:00"/>
    <x v="1"/>
    <x v="10"/>
    <x v="45"/>
    <x v="12"/>
    <x v="11"/>
    <x v="10"/>
    <x v="4"/>
    <n v="276494165"/>
  </r>
  <r>
    <d v="2025-11-13T00:00:00"/>
    <x v="1"/>
    <x v="10"/>
    <x v="45"/>
    <x v="12"/>
    <x v="12"/>
    <x v="11"/>
    <x v="1"/>
    <n v="16420520000"/>
  </r>
  <r>
    <d v="2025-11-13T00:00:00"/>
    <x v="1"/>
    <x v="10"/>
    <x v="45"/>
    <x v="12"/>
    <x v="5"/>
    <x v="5"/>
    <x v="3"/>
    <n v="1906449237"/>
  </r>
  <r>
    <d v="2025-11-13T00:00:00"/>
    <x v="1"/>
    <x v="10"/>
    <x v="45"/>
    <x v="12"/>
    <x v="27"/>
    <x v="19"/>
    <x v="0"/>
    <n v="8404236000"/>
  </r>
  <r>
    <d v="2025-11-13T00:00:00"/>
    <x v="1"/>
    <x v="10"/>
    <x v="45"/>
    <x v="12"/>
    <x v="15"/>
    <x v="14"/>
    <x v="4"/>
    <n v="5739407"/>
  </r>
  <r>
    <d v="2025-11-13T00:00:00"/>
    <x v="1"/>
    <x v="10"/>
    <x v="45"/>
    <x v="12"/>
    <x v="14"/>
    <x v="13"/>
    <x v="1"/>
    <n v="3348370000"/>
  </r>
  <r>
    <d v="2025-11-13T00:00:00"/>
    <x v="1"/>
    <x v="10"/>
    <x v="45"/>
    <x v="12"/>
    <x v="23"/>
    <x v="17"/>
    <x v="4"/>
    <n v="18929262"/>
  </r>
  <r>
    <d v="2025-11-13T00:00:00"/>
    <x v="1"/>
    <x v="10"/>
    <x v="45"/>
    <x v="12"/>
    <x v="28"/>
    <x v="17"/>
    <x v="4"/>
    <n v="927406540"/>
  </r>
  <r>
    <d v="2025-11-13T00:00:00"/>
    <x v="1"/>
    <x v="10"/>
    <x v="45"/>
    <x v="12"/>
    <x v="8"/>
    <x v="8"/>
    <x v="1"/>
    <n v="0"/>
  </r>
  <r>
    <d v="2025-11-13T00:00:00"/>
    <x v="1"/>
    <x v="10"/>
    <x v="45"/>
    <x v="12"/>
    <x v="26"/>
    <x v="16"/>
    <x v="1"/>
    <n v="367000000"/>
  </r>
  <r>
    <d v="2025-11-13T00:00:00"/>
    <x v="1"/>
    <x v="10"/>
    <x v="45"/>
    <x v="12"/>
    <x v="2"/>
    <x v="2"/>
    <x v="1"/>
    <n v="19849190000"/>
  </r>
  <r>
    <d v="2025-11-13T00:00:00"/>
    <x v="1"/>
    <x v="10"/>
    <x v="45"/>
    <x v="12"/>
    <x v="17"/>
    <x v="9"/>
    <x v="1"/>
    <n v="0"/>
  </r>
  <r>
    <d v="2025-11-13T00:00:00"/>
    <x v="1"/>
    <x v="10"/>
    <x v="45"/>
    <x v="12"/>
    <x v="20"/>
    <x v="9"/>
    <x v="1"/>
    <n v="0"/>
  </r>
  <r>
    <d v="2025-11-13T00:00:00"/>
    <x v="1"/>
    <x v="10"/>
    <x v="45"/>
    <x v="12"/>
    <x v="21"/>
    <x v="9"/>
    <x v="1"/>
    <n v="0"/>
  </r>
  <r>
    <d v="2025-11-13T00:00:00"/>
    <x v="1"/>
    <x v="10"/>
    <x v="45"/>
    <x v="12"/>
    <x v="25"/>
    <x v="2"/>
    <x v="1"/>
    <n v="0"/>
  </r>
  <r>
    <d v="2025-11-13T00:00:00"/>
    <x v="1"/>
    <x v="10"/>
    <x v="45"/>
    <x v="12"/>
    <x v="0"/>
    <x v="0"/>
    <x v="0"/>
    <n v="10305036000"/>
  </r>
  <r>
    <d v="2025-11-13T00:00:00"/>
    <x v="1"/>
    <x v="10"/>
    <x v="45"/>
    <x v="12"/>
    <x v="7"/>
    <x v="7"/>
    <x v="4"/>
    <n v="215885113"/>
  </r>
  <r>
    <d v="2025-11-13T00:00:00"/>
    <x v="1"/>
    <x v="10"/>
    <x v="45"/>
    <x v="12"/>
    <x v="1"/>
    <x v="1"/>
    <x v="1"/>
    <n v="10500000"/>
  </r>
  <r>
    <d v="2025-11-13T00:00:00"/>
    <x v="1"/>
    <x v="10"/>
    <x v="45"/>
    <x v="12"/>
    <x v="6"/>
    <x v="6"/>
    <x v="0"/>
    <n v="37000000"/>
  </r>
  <r>
    <d v="2025-11-13T00:00:00"/>
    <x v="1"/>
    <x v="10"/>
    <x v="45"/>
    <x v="12"/>
    <x v="18"/>
    <x v="15"/>
    <x v="1"/>
    <n v="794800000"/>
  </r>
  <r>
    <d v="2025-11-13T00:00:00"/>
    <x v="1"/>
    <x v="10"/>
    <x v="45"/>
    <x v="12"/>
    <x v="29"/>
    <x v="20"/>
    <x v="0"/>
    <n v="158760000"/>
  </r>
  <r>
    <d v="2025-11-13T00:00:00"/>
    <x v="1"/>
    <x v="10"/>
    <x v="45"/>
    <x v="12"/>
    <x v="19"/>
    <x v="12"/>
    <x v="4"/>
    <n v="366044042"/>
  </r>
  <r>
    <d v="2025-11-13T00:00:00"/>
    <x v="1"/>
    <x v="10"/>
    <x v="45"/>
    <x v="12"/>
    <x v="24"/>
    <x v="18"/>
    <x v="1"/>
    <n v="4530770000"/>
  </r>
  <r>
    <d v="2025-11-14T00:00:00"/>
    <x v="1"/>
    <x v="10"/>
    <x v="45"/>
    <x v="13"/>
    <x v="3"/>
    <x v="3"/>
    <x v="1"/>
    <n v="31500000"/>
  </r>
  <r>
    <d v="2025-11-14T00:00:00"/>
    <x v="1"/>
    <x v="10"/>
    <x v="45"/>
    <x v="13"/>
    <x v="11"/>
    <x v="10"/>
    <x v="4"/>
    <n v="310357763"/>
  </r>
  <r>
    <d v="2025-11-14T00:00:00"/>
    <x v="1"/>
    <x v="10"/>
    <x v="45"/>
    <x v="13"/>
    <x v="12"/>
    <x v="11"/>
    <x v="1"/>
    <n v="17060090000"/>
  </r>
  <r>
    <d v="2025-11-14T00:00:00"/>
    <x v="1"/>
    <x v="10"/>
    <x v="45"/>
    <x v="13"/>
    <x v="5"/>
    <x v="5"/>
    <x v="3"/>
    <n v="2071253429"/>
  </r>
  <r>
    <d v="2025-11-14T00:00:00"/>
    <x v="1"/>
    <x v="10"/>
    <x v="45"/>
    <x v="13"/>
    <x v="27"/>
    <x v="19"/>
    <x v="0"/>
    <n v="9314892000"/>
  </r>
  <r>
    <d v="2025-11-14T00:00:00"/>
    <x v="1"/>
    <x v="10"/>
    <x v="45"/>
    <x v="13"/>
    <x v="15"/>
    <x v="14"/>
    <x v="4"/>
    <n v="4460275"/>
  </r>
  <r>
    <d v="2025-11-14T00:00:00"/>
    <x v="1"/>
    <x v="10"/>
    <x v="45"/>
    <x v="13"/>
    <x v="14"/>
    <x v="13"/>
    <x v="1"/>
    <n v="3686710000"/>
  </r>
  <r>
    <d v="2025-11-14T00:00:00"/>
    <x v="1"/>
    <x v="10"/>
    <x v="45"/>
    <x v="13"/>
    <x v="23"/>
    <x v="17"/>
    <x v="4"/>
    <n v="36579164"/>
  </r>
  <r>
    <d v="2025-11-14T00:00:00"/>
    <x v="1"/>
    <x v="10"/>
    <x v="45"/>
    <x v="13"/>
    <x v="28"/>
    <x v="17"/>
    <x v="4"/>
    <n v="853157112"/>
  </r>
  <r>
    <d v="2025-11-14T00:00:00"/>
    <x v="1"/>
    <x v="10"/>
    <x v="45"/>
    <x v="13"/>
    <x v="8"/>
    <x v="8"/>
    <x v="1"/>
    <n v="0"/>
  </r>
  <r>
    <d v="2025-11-14T00:00:00"/>
    <x v="1"/>
    <x v="10"/>
    <x v="45"/>
    <x v="13"/>
    <x v="26"/>
    <x v="16"/>
    <x v="1"/>
    <n v="348250000"/>
  </r>
  <r>
    <d v="2025-11-14T00:00:00"/>
    <x v="1"/>
    <x v="10"/>
    <x v="45"/>
    <x v="13"/>
    <x v="2"/>
    <x v="2"/>
    <x v="1"/>
    <n v="20179210000"/>
  </r>
  <r>
    <d v="2025-11-14T00:00:00"/>
    <x v="1"/>
    <x v="10"/>
    <x v="45"/>
    <x v="13"/>
    <x v="17"/>
    <x v="9"/>
    <x v="1"/>
    <n v="0"/>
  </r>
  <r>
    <d v="2025-11-14T00:00:00"/>
    <x v="1"/>
    <x v="10"/>
    <x v="45"/>
    <x v="13"/>
    <x v="20"/>
    <x v="9"/>
    <x v="1"/>
    <n v="0"/>
  </r>
  <r>
    <d v="2025-11-14T00:00:00"/>
    <x v="1"/>
    <x v="10"/>
    <x v="45"/>
    <x v="13"/>
    <x v="21"/>
    <x v="9"/>
    <x v="1"/>
    <n v="0"/>
  </r>
  <r>
    <d v="2025-11-14T00:00:00"/>
    <x v="1"/>
    <x v="10"/>
    <x v="45"/>
    <x v="13"/>
    <x v="25"/>
    <x v="2"/>
    <x v="1"/>
    <n v="30000000"/>
  </r>
  <r>
    <d v="2025-11-14T00:00:00"/>
    <x v="1"/>
    <x v="10"/>
    <x v="45"/>
    <x v="13"/>
    <x v="0"/>
    <x v="0"/>
    <x v="0"/>
    <n v="11082744000"/>
  </r>
  <r>
    <d v="2025-11-14T00:00:00"/>
    <x v="1"/>
    <x v="10"/>
    <x v="45"/>
    <x v="13"/>
    <x v="7"/>
    <x v="7"/>
    <x v="4"/>
    <n v="209199954"/>
  </r>
  <r>
    <d v="2025-11-14T00:00:00"/>
    <x v="1"/>
    <x v="10"/>
    <x v="45"/>
    <x v="13"/>
    <x v="1"/>
    <x v="1"/>
    <x v="1"/>
    <n v="36250000"/>
  </r>
  <r>
    <d v="2025-11-14T00:00:00"/>
    <x v="1"/>
    <x v="10"/>
    <x v="45"/>
    <x v="13"/>
    <x v="6"/>
    <x v="6"/>
    <x v="0"/>
    <n v="38000000"/>
  </r>
  <r>
    <d v="2025-11-14T00:00:00"/>
    <x v="1"/>
    <x v="10"/>
    <x v="45"/>
    <x v="13"/>
    <x v="18"/>
    <x v="15"/>
    <x v="1"/>
    <n v="740490000"/>
  </r>
  <r>
    <d v="2025-11-14T00:00:00"/>
    <x v="1"/>
    <x v="10"/>
    <x v="45"/>
    <x v="13"/>
    <x v="29"/>
    <x v="20"/>
    <x v="0"/>
    <n v="205200000"/>
  </r>
  <r>
    <d v="2025-11-14T00:00:00"/>
    <x v="1"/>
    <x v="10"/>
    <x v="45"/>
    <x v="13"/>
    <x v="19"/>
    <x v="12"/>
    <x v="4"/>
    <n v="317852357"/>
  </r>
  <r>
    <d v="2025-11-14T00:00:00"/>
    <x v="1"/>
    <x v="10"/>
    <x v="45"/>
    <x v="13"/>
    <x v="24"/>
    <x v="18"/>
    <x v="1"/>
    <n v="3380780000"/>
  </r>
  <r>
    <d v="2025-11-15T00:00:00"/>
    <x v="1"/>
    <x v="10"/>
    <x v="45"/>
    <x v="14"/>
    <x v="3"/>
    <x v="3"/>
    <x v="1"/>
    <n v="45000000"/>
  </r>
  <r>
    <d v="2025-11-15T00:00:00"/>
    <x v="1"/>
    <x v="10"/>
    <x v="45"/>
    <x v="14"/>
    <x v="11"/>
    <x v="10"/>
    <x v="4"/>
    <n v="309066007"/>
  </r>
  <r>
    <d v="2025-11-15T00:00:00"/>
    <x v="1"/>
    <x v="10"/>
    <x v="45"/>
    <x v="14"/>
    <x v="12"/>
    <x v="11"/>
    <x v="1"/>
    <n v="14715520000"/>
  </r>
  <r>
    <d v="2025-11-15T00:00:00"/>
    <x v="1"/>
    <x v="10"/>
    <x v="45"/>
    <x v="14"/>
    <x v="5"/>
    <x v="5"/>
    <x v="3"/>
    <n v="2520859756"/>
  </r>
  <r>
    <d v="2025-11-15T00:00:00"/>
    <x v="1"/>
    <x v="10"/>
    <x v="45"/>
    <x v="14"/>
    <x v="27"/>
    <x v="19"/>
    <x v="0"/>
    <n v="8939484000"/>
  </r>
  <r>
    <d v="2025-11-15T00:00:00"/>
    <x v="1"/>
    <x v="10"/>
    <x v="45"/>
    <x v="14"/>
    <x v="15"/>
    <x v="14"/>
    <x v="4"/>
    <n v="8766396"/>
  </r>
  <r>
    <d v="2025-11-15T00:00:00"/>
    <x v="1"/>
    <x v="10"/>
    <x v="45"/>
    <x v="14"/>
    <x v="14"/>
    <x v="13"/>
    <x v="1"/>
    <n v="3914270000"/>
  </r>
  <r>
    <d v="2025-11-15T00:00:00"/>
    <x v="1"/>
    <x v="10"/>
    <x v="45"/>
    <x v="14"/>
    <x v="23"/>
    <x v="17"/>
    <x v="4"/>
    <n v="14038775"/>
  </r>
  <r>
    <d v="2025-11-15T00:00:00"/>
    <x v="1"/>
    <x v="10"/>
    <x v="45"/>
    <x v="14"/>
    <x v="28"/>
    <x v="17"/>
    <x v="4"/>
    <n v="935482091"/>
  </r>
  <r>
    <d v="2025-11-15T00:00:00"/>
    <x v="1"/>
    <x v="10"/>
    <x v="45"/>
    <x v="14"/>
    <x v="8"/>
    <x v="8"/>
    <x v="1"/>
    <n v="0"/>
  </r>
  <r>
    <d v="2025-11-15T00:00:00"/>
    <x v="1"/>
    <x v="10"/>
    <x v="45"/>
    <x v="14"/>
    <x v="26"/>
    <x v="16"/>
    <x v="1"/>
    <n v="266000000"/>
  </r>
  <r>
    <d v="2025-11-15T00:00:00"/>
    <x v="1"/>
    <x v="10"/>
    <x v="45"/>
    <x v="14"/>
    <x v="2"/>
    <x v="2"/>
    <x v="1"/>
    <n v="17176690000"/>
  </r>
  <r>
    <d v="2025-11-15T00:00:00"/>
    <x v="1"/>
    <x v="10"/>
    <x v="45"/>
    <x v="14"/>
    <x v="17"/>
    <x v="9"/>
    <x v="1"/>
    <n v="0"/>
  </r>
  <r>
    <d v="2025-11-15T00:00:00"/>
    <x v="1"/>
    <x v="10"/>
    <x v="45"/>
    <x v="14"/>
    <x v="20"/>
    <x v="9"/>
    <x v="1"/>
    <n v="0"/>
  </r>
  <r>
    <d v="2025-11-15T00:00:00"/>
    <x v="1"/>
    <x v="10"/>
    <x v="45"/>
    <x v="14"/>
    <x v="21"/>
    <x v="9"/>
    <x v="1"/>
    <n v="0"/>
  </r>
  <r>
    <d v="2025-11-15T00:00:00"/>
    <x v="1"/>
    <x v="10"/>
    <x v="45"/>
    <x v="14"/>
    <x v="25"/>
    <x v="2"/>
    <x v="1"/>
    <n v="0"/>
  </r>
  <r>
    <d v="2025-11-15T00:00:00"/>
    <x v="1"/>
    <x v="10"/>
    <x v="45"/>
    <x v="14"/>
    <x v="0"/>
    <x v="0"/>
    <x v="0"/>
    <n v="10692324000"/>
  </r>
  <r>
    <d v="2025-11-15T00:00:00"/>
    <x v="1"/>
    <x v="10"/>
    <x v="45"/>
    <x v="14"/>
    <x v="7"/>
    <x v="7"/>
    <x v="4"/>
    <n v="175360153"/>
  </r>
  <r>
    <d v="2025-11-15T00:00:00"/>
    <x v="1"/>
    <x v="10"/>
    <x v="45"/>
    <x v="14"/>
    <x v="1"/>
    <x v="1"/>
    <x v="1"/>
    <n v="21000000"/>
  </r>
  <r>
    <d v="2025-11-15T00:00:00"/>
    <x v="1"/>
    <x v="10"/>
    <x v="45"/>
    <x v="14"/>
    <x v="6"/>
    <x v="6"/>
    <x v="0"/>
    <n v="36000000"/>
  </r>
  <r>
    <d v="2025-11-15T00:00:00"/>
    <x v="1"/>
    <x v="10"/>
    <x v="45"/>
    <x v="14"/>
    <x v="18"/>
    <x v="15"/>
    <x v="1"/>
    <n v="574840000"/>
  </r>
  <r>
    <d v="2025-11-15T00:00:00"/>
    <x v="1"/>
    <x v="10"/>
    <x v="45"/>
    <x v="14"/>
    <x v="29"/>
    <x v="20"/>
    <x v="0"/>
    <n v="221940000"/>
  </r>
  <r>
    <d v="2025-11-15T00:00:00"/>
    <x v="1"/>
    <x v="10"/>
    <x v="45"/>
    <x v="14"/>
    <x v="19"/>
    <x v="12"/>
    <x v="4"/>
    <n v="314715921"/>
  </r>
  <r>
    <d v="2025-11-15T00:00:00"/>
    <x v="1"/>
    <x v="10"/>
    <x v="45"/>
    <x v="14"/>
    <x v="24"/>
    <x v="18"/>
    <x v="1"/>
    <n v="2424260000"/>
  </r>
  <r>
    <d v="2025-11-16T00:00:00"/>
    <x v="1"/>
    <x v="10"/>
    <x v="45"/>
    <x v="15"/>
    <x v="3"/>
    <x v="3"/>
    <x v="1"/>
    <n v="0"/>
  </r>
  <r>
    <d v="2025-11-16T00:00:00"/>
    <x v="1"/>
    <x v="10"/>
    <x v="45"/>
    <x v="15"/>
    <x v="11"/>
    <x v="10"/>
    <x v="4"/>
    <n v="327340599"/>
  </r>
  <r>
    <d v="2025-11-16T00:00:00"/>
    <x v="1"/>
    <x v="10"/>
    <x v="45"/>
    <x v="15"/>
    <x v="12"/>
    <x v="11"/>
    <x v="1"/>
    <n v="13492760000"/>
  </r>
  <r>
    <d v="2025-11-16T00:00:00"/>
    <x v="1"/>
    <x v="10"/>
    <x v="45"/>
    <x v="15"/>
    <x v="5"/>
    <x v="5"/>
    <x v="3"/>
    <n v="1725145323"/>
  </r>
  <r>
    <d v="2025-11-16T00:00:00"/>
    <x v="1"/>
    <x v="10"/>
    <x v="45"/>
    <x v="15"/>
    <x v="27"/>
    <x v="19"/>
    <x v="0"/>
    <n v="8178624000"/>
  </r>
  <r>
    <d v="2025-11-16T00:00:00"/>
    <x v="1"/>
    <x v="10"/>
    <x v="45"/>
    <x v="15"/>
    <x v="15"/>
    <x v="14"/>
    <x v="4"/>
    <n v="4614291"/>
  </r>
  <r>
    <d v="2025-11-16T00:00:00"/>
    <x v="1"/>
    <x v="10"/>
    <x v="45"/>
    <x v="15"/>
    <x v="14"/>
    <x v="13"/>
    <x v="1"/>
    <n v="4433790000"/>
  </r>
  <r>
    <d v="2025-11-16T00:00:00"/>
    <x v="1"/>
    <x v="10"/>
    <x v="45"/>
    <x v="15"/>
    <x v="23"/>
    <x v="17"/>
    <x v="4"/>
    <n v="13882952"/>
  </r>
  <r>
    <d v="2025-11-16T00:00:00"/>
    <x v="1"/>
    <x v="10"/>
    <x v="45"/>
    <x v="15"/>
    <x v="28"/>
    <x v="17"/>
    <x v="4"/>
    <n v="1120089858"/>
  </r>
  <r>
    <d v="2025-11-16T00:00:00"/>
    <x v="1"/>
    <x v="10"/>
    <x v="45"/>
    <x v="15"/>
    <x v="8"/>
    <x v="8"/>
    <x v="1"/>
    <n v="0"/>
  </r>
  <r>
    <d v="2025-11-16T00:00:00"/>
    <x v="1"/>
    <x v="10"/>
    <x v="45"/>
    <x v="15"/>
    <x v="26"/>
    <x v="16"/>
    <x v="1"/>
    <n v="420000000"/>
  </r>
  <r>
    <d v="2025-11-16T00:00:00"/>
    <x v="1"/>
    <x v="10"/>
    <x v="45"/>
    <x v="15"/>
    <x v="2"/>
    <x v="2"/>
    <x v="1"/>
    <n v="17255670000"/>
  </r>
  <r>
    <d v="2025-11-16T00:00:00"/>
    <x v="1"/>
    <x v="10"/>
    <x v="45"/>
    <x v="15"/>
    <x v="17"/>
    <x v="9"/>
    <x v="1"/>
    <n v="0"/>
  </r>
  <r>
    <d v="2025-11-16T00:00:00"/>
    <x v="1"/>
    <x v="10"/>
    <x v="45"/>
    <x v="15"/>
    <x v="20"/>
    <x v="9"/>
    <x v="1"/>
    <n v="0"/>
  </r>
  <r>
    <d v="2025-11-16T00:00:00"/>
    <x v="1"/>
    <x v="10"/>
    <x v="45"/>
    <x v="15"/>
    <x v="21"/>
    <x v="9"/>
    <x v="1"/>
    <n v="0"/>
  </r>
  <r>
    <d v="2025-11-16T00:00:00"/>
    <x v="1"/>
    <x v="10"/>
    <x v="45"/>
    <x v="15"/>
    <x v="25"/>
    <x v="2"/>
    <x v="1"/>
    <n v="0"/>
  </r>
  <r>
    <d v="2025-11-16T00:00:00"/>
    <x v="1"/>
    <x v="10"/>
    <x v="45"/>
    <x v="15"/>
    <x v="0"/>
    <x v="0"/>
    <x v="0"/>
    <n v="9536076000"/>
  </r>
  <r>
    <d v="2025-11-16T00:00:00"/>
    <x v="1"/>
    <x v="10"/>
    <x v="45"/>
    <x v="15"/>
    <x v="7"/>
    <x v="7"/>
    <x v="4"/>
    <n v="205001115"/>
  </r>
  <r>
    <d v="2025-11-16T00:00:00"/>
    <x v="1"/>
    <x v="10"/>
    <x v="45"/>
    <x v="15"/>
    <x v="1"/>
    <x v="1"/>
    <x v="1"/>
    <n v="42000000"/>
  </r>
  <r>
    <d v="2025-11-16T00:00:00"/>
    <x v="1"/>
    <x v="10"/>
    <x v="45"/>
    <x v="15"/>
    <x v="6"/>
    <x v="6"/>
    <x v="0"/>
    <n v="13000000"/>
  </r>
  <r>
    <d v="2025-11-16T00:00:00"/>
    <x v="1"/>
    <x v="10"/>
    <x v="45"/>
    <x v="15"/>
    <x v="18"/>
    <x v="15"/>
    <x v="1"/>
    <n v="354490000"/>
  </r>
  <r>
    <d v="2025-11-16T00:00:00"/>
    <x v="1"/>
    <x v="10"/>
    <x v="45"/>
    <x v="15"/>
    <x v="29"/>
    <x v="20"/>
    <x v="0"/>
    <n v="204444000"/>
  </r>
  <r>
    <d v="2025-11-16T00:00:00"/>
    <x v="1"/>
    <x v="10"/>
    <x v="45"/>
    <x v="15"/>
    <x v="19"/>
    <x v="12"/>
    <x v="4"/>
    <n v="329464104"/>
  </r>
  <r>
    <d v="2025-11-16T00:00:00"/>
    <x v="1"/>
    <x v="10"/>
    <x v="45"/>
    <x v="15"/>
    <x v="24"/>
    <x v="18"/>
    <x v="1"/>
    <n v="2403740000"/>
  </r>
  <r>
    <d v="2025-11-17T00:00:00"/>
    <x v="1"/>
    <x v="10"/>
    <x v="46"/>
    <x v="16"/>
    <x v="3"/>
    <x v="3"/>
    <x v="1"/>
    <n v="28350000"/>
  </r>
  <r>
    <d v="2025-11-17T00:00:00"/>
    <x v="1"/>
    <x v="10"/>
    <x v="46"/>
    <x v="16"/>
    <x v="11"/>
    <x v="10"/>
    <x v="4"/>
    <n v="277941010"/>
  </r>
  <r>
    <d v="2025-11-17T00:00:00"/>
    <x v="1"/>
    <x v="10"/>
    <x v="46"/>
    <x v="16"/>
    <x v="12"/>
    <x v="11"/>
    <x v="1"/>
    <n v="17541450000"/>
  </r>
  <r>
    <d v="2025-11-17T00:00:00"/>
    <x v="1"/>
    <x v="10"/>
    <x v="46"/>
    <x v="16"/>
    <x v="5"/>
    <x v="5"/>
    <x v="3"/>
    <n v="2468889117"/>
  </r>
  <r>
    <d v="2025-11-17T00:00:00"/>
    <x v="1"/>
    <x v="10"/>
    <x v="46"/>
    <x v="16"/>
    <x v="27"/>
    <x v="19"/>
    <x v="0"/>
    <n v="9186696000"/>
  </r>
  <r>
    <d v="2025-11-17T00:00:00"/>
    <x v="1"/>
    <x v="10"/>
    <x v="46"/>
    <x v="16"/>
    <x v="15"/>
    <x v="14"/>
    <x v="4"/>
    <n v="3403751"/>
  </r>
  <r>
    <d v="2025-11-17T00:00:00"/>
    <x v="1"/>
    <x v="10"/>
    <x v="46"/>
    <x v="16"/>
    <x v="14"/>
    <x v="13"/>
    <x v="1"/>
    <n v="4084760000"/>
  </r>
  <r>
    <d v="2025-11-17T00:00:00"/>
    <x v="1"/>
    <x v="10"/>
    <x v="46"/>
    <x v="16"/>
    <x v="23"/>
    <x v="17"/>
    <x v="4"/>
    <n v="15891871"/>
  </r>
  <r>
    <d v="2025-11-17T00:00:00"/>
    <x v="1"/>
    <x v="10"/>
    <x v="46"/>
    <x v="16"/>
    <x v="28"/>
    <x v="17"/>
    <x v="4"/>
    <n v="618818065"/>
  </r>
  <r>
    <d v="2025-11-17T00:00:00"/>
    <x v="1"/>
    <x v="10"/>
    <x v="46"/>
    <x v="16"/>
    <x v="8"/>
    <x v="8"/>
    <x v="1"/>
    <n v="0"/>
  </r>
  <r>
    <d v="2025-11-17T00:00:00"/>
    <x v="1"/>
    <x v="10"/>
    <x v="46"/>
    <x v="16"/>
    <x v="26"/>
    <x v="16"/>
    <x v="1"/>
    <n v="460800000"/>
  </r>
  <r>
    <d v="2025-11-17T00:00:00"/>
    <x v="1"/>
    <x v="10"/>
    <x v="46"/>
    <x v="16"/>
    <x v="2"/>
    <x v="2"/>
    <x v="1"/>
    <n v="18117650000"/>
  </r>
  <r>
    <d v="2025-11-17T00:00:00"/>
    <x v="1"/>
    <x v="10"/>
    <x v="46"/>
    <x v="16"/>
    <x v="17"/>
    <x v="9"/>
    <x v="1"/>
    <n v="0"/>
  </r>
  <r>
    <d v="2025-11-17T00:00:00"/>
    <x v="1"/>
    <x v="10"/>
    <x v="46"/>
    <x v="16"/>
    <x v="20"/>
    <x v="9"/>
    <x v="1"/>
    <n v="0"/>
  </r>
  <r>
    <d v="2025-11-17T00:00:00"/>
    <x v="1"/>
    <x v="10"/>
    <x v="46"/>
    <x v="16"/>
    <x v="21"/>
    <x v="9"/>
    <x v="1"/>
    <n v="0"/>
  </r>
  <r>
    <d v="2025-11-17T00:00:00"/>
    <x v="1"/>
    <x v="10"/>
    <x v="46"/>
    <x v="16"/>
    <x v="25"/>
    <x v="2"/>
    <x v="1"/>
    <n v="12000000"/>
  </r>
  <r>
    <d v="2025-11-17T00:00:00"/>
    <x v="1"/>
    <x v="10"/>
    <x v="46"/>
    <x v="16"/>
    <x v="0"/>
    <x v="0"/>
    <x v="0"/>
    <n v="9945396000"/>
  </r>
  <r>
    <d v="2025-11-17T00:00:00"/>
    <x v="1"/>
    <x v="10"/>
    <x v="46"/>
    <x v="16"/>
    <x v="7"/>
    <x v="7"/>
    <x v="4"/>
    <n v="155574793"/>
  </r>
  <r>
    <d v="2025-11-17T00:00:00"/>
    <x v="1"/>
    <x v="10"/>
    <x v="46"/>
    <x v="16"/>
    <x v="1"/>
    <x v="1"/>
    <x v="1"/>
    <n v="41000000"/>
  </r>
  <r>
    <d v="2025-11-17T00:00:00"/>
    <x v="1"/>
    <x v="10"/>
    <x v="46"/>
    <x v="16"/>
    <x v="6"/>
    <x v="6"/>
    <x v="0"/>
    <n v="43000000"/>
  </r>
  <r>
    <d v="2025-11-17T00:00:00"/>
    <x v="1"/>
    <x v="10"/>
    <x v="46"/>
    <x v="16"/>
    <x v="18"/>
    <x v="15"/>
    <x v="1"/>
    <n v="492910000"/>
  </r>
  <r>
    <d v="2025-11-17T00:00:00"/>
    <x v="1"/>
    <x v="10"/>
    <x v="46"/>
    <x v="16"/>
    <x v="29"/>
    <x v="20"/>
    <x v="0"/>
    <n v="250884000"/>
  </r>
  <r>
    <d v="2025-11-17T00:00:00"/>
    <x v="1"/>
    <x v="10"/>
    <x v="46"/>
    <x v="16"/>
    <x v="19"/>
    <x v="12"/>
    <x v="4"/>
    <n v="298756038"/>
  </r>
  <r>
    <d v="2025-11-17T00:00:00"/>
    <x v="1"/>
    <x v="10"/>
    <x v="46"/>
    <x v="16"/>
    <x v="24"/>
    <x v="18"/>
    <x v="1"/>
    <n v="3172430000"/>
  </r>
  <r>
    <d v="2025-11-18T00:00:00"/>
    <x v="1"/>
    <x v="10"/>
    <x v="46"/>
    <x v="17"/>
    <x v="3"/>
    <x v="3"/>
    <x v="1"/>
    <n v="46500000"/>
  </r>
  <r>
    <d v="2025-11-18T00:00:00"/>
    <x v="1"/>
    <x v="10"/>
    <x v="46"/>
    <x v="17"/>
    <x v="11"/>
    <x v="10"/>
    <x v="4"/>
    <n v="313567712"/>
  </r>
  <r>
    <d v="2025-11-18T00:00:00"/>
    <x v="1"/>
    <x v="10"/>
    <x v="46"/>
    <x v="17"/>
    <x v="12"/>
    <x v="11"/>
    <x v="1"/>
    <n v="22696610000"/>
  </r>
  <r>
    <d v="2025-11-18T00:00:00"/>
    <x v="1"/>
    <x v="10"/>
    <x v="46"/>
    <x v="17"/>
    <x v="5"/>
    <x v="5"/>
    <x v="3"/>
    <n v="1738841871"/>
  </r>
  <r>
    <d v="2025-11-18T00:00:00"/>
    <x v="1"/>
    <x v="10"/>
    <x v="46"/>
    <x v="17"/>
    <x v="27"/>
    <x v="19"/>
    <x v="0"/>
    <n v="8534052000"/>
  </r>
  <r>
    <d v="2025-11-18T00:00:00"/>
    <x v="1"/>
    <x v="10"/>
    <x v="46"/>
    <x v="17"/>
    <x v="15"/>
    <x v="14"/>
    <x v="4"/>
    <n v="12283987"/>
  </r>
  <r>
    <d v="2025-11-18T00:00:00"/>
    <x v="1"/>
    <x v="10"/>
    <x v="46"/>
    <x v="17"/>
    <x v="14"/>
    <x v="13"/>
    <x v="1"/>
    <n v="3076100000"/>
  </r>
  <r>
    <d v="2025-11-18T00:00:00"/>
    <x v="1"/>
    <x v="10"/>
    <x v="46"/>
    <x v="17"/>
    <x v="23"/>
    <x v="17"/>
    <x v="4"/>
    <n v="30274668"/>
  </r>
  <r>
    <d v="2025-11-18T00:00:00"/>
    <x v="1"/>
    <x v="10"/>
    <x v="46"/>
    <x v="17"/>
    <x v="28"/>
    <x v="17"/>
    <x v="4"/>
    <n v="753414800"/>
  </r>
  <r>
    <d v="2025-11-18T00:00:00"/>
    <x v="1"/>
    <x v="10"/>
    <x v="46"/>
    <x v="17"/>
    <x v="8"/>
    <x v="8"/>
    <x v="1"/>
    <n v="0"/>
  </r>
  <r>
    <d v="2025-11-18T00:00:00"/>
    <x v="1"/>
    <x v="10"/>
    <x v="46"/>
    <x v="17"/>
    <x v="26"/>
    <x v="16"/>
    <x v="1"/>
    <n v="408250000"/>
  </r>
  <r>
    <d v="2025-11-18T00:00:00"/>
    <x v="1"/>
    <x v="10"/>
    <x v="46"/>
    <x v="17"/>
    <x v="2"/>
    <x v="2"/>
    <x v="1"/>
    <n v="17151150000"/>
  </r>
  <r>
    <d v="2025-11-18T00:00:00"/>
    <x v="1"/>
    <x v="10"/>
    <x v="46"/>
    <x v="17"/>
    <x v="17"/>
    <x v="9"/>
    <x v="1"/>
    <n v="0"/>
  </r>
  <r>
    <d v="2025-11-18T00:00:00"/>
    <x v="1"/>
    <x v="10"/>
    <x v="46"/>
    <x v="17"/>
    <x v="20"/>
    <x v="9"/>
    <x v="1"/>
    <n v="0"/>
  </r>
  <r>
    <d v="2025-11-18T00:00:00"/>
    <x v="1"/>
    <x v="10"/>
    <x v="46"/>
    <x v="17"/>
    <x v="21"/>
    <x v="9"/>
    <x v="1"/>
    <n v="0"/>
  </r>
  <r>
    <d v="2025-11-18T00:00:00"/>
    <x v="1"/>
    <x v="10"/>
    <x v="46"/>
    <x v="17"/>
    <x v="25"/>
    <x v="2"/>
    <x v="1"/>
    <n v="0"/>
  </r>
  <r>
    <d v="2025-11-18T00:00:00"/>
    <x v="1"/>
    <x v="10"/>
    <x v="46"/>
    <x v="17"/>
    <x v="0"/>
    <x v="0"/>
    <x v="0"/>
    <n v="8984628000"/>
  </r>
  <r>
    <d v="2025-11-18T00:00:00"/>
    <x v="1"/>
    <x v="10"/>
    <x v="46"/>
    <x v="17"/>
    <x v="7"/>
    <x v="7"/>
    <x v="4"/>
    <n v="159994639"/>
  </r>
  <r>
    <d v="2025-11-18T00:00:00"/>
    <x v="1"/>
    <x v="10"/>
    <x v="46"/>
    <x v="17"/>
    <x v="1"/>
    <x v="1"/>
    <x v="1"/>
    <n v="10500000"/>
  </r>
  <r>
    <d v="2025-11-18T00:00:00"/>
    <x v="1"/>
    <x v="10"/>
    <x v="46"/>
    <x v="17"/>
    <x v="6"/>
    <x v="6"/>
    <x v="0"/>
    <n v="15000000"/>
  </r>
  <r>
    <d v="2025-11-18T00:00:00"/>
    <x v="1"/>
    <x v="10"/>
    <x v="46"/>
    <x v="17"/>
    <x v="18"/>
    <x v="15"/>
    <x v="1"/>
    <n v="550130000"/>
  </r>
  <r>
    <d v="2025-11-18T00:00:00"/>
    <x v="1"/>
    <x v="10"/>
    <x v="46"/>
    <x v="17"/>
    <x v="29"/>
    <x v="20"/>
    <x v="0"/>
    <n v="212760000"/>
  </r>
  <r>
    <d v="2025-11-18T00:00:00"/>
    <x v="1"/>
    <x v="10"/>
    <x v="46"/>
    <x v="17"/>
    <x v="19"/>
    <x v="12"/>
    <x v="4"/>
    <n v="334926411"/>
  </r>
  <r>
    <d v="2025-11-18T00:00:00"/>
    <x v="1"/>
    <x v="10"/>
    <x v="46"/>
    <x v="17"/>
    <x v="24"/>
    <x v="18"/>
    <x v="1"/>
    <n v="3495690000"/>
  </r>
  <r>
    <d v="2025-11-19T00:00:00"/>
    <x v="1"/>
    <x v="10"/>
    <x v="46"/>
    <x v="18"/>
    <x v="3"/>
    <x v="3"/>
    <x v="1"/>
    <n v="104000000"/>
  </r>
  <r>
    <d v="2025-11-19T00:00:00"/>
    <x v="1"/>
    <x v="10"/>
    <x v="46"/>
    <x v="18"/>
    <x v="11"/>
    <x v="10"/>
    <x v="4"/>
    <n v="274998842"/>
  </r>
  <r>
    <d v="2025-11-19T00:00:00"/>
    <x v="1"/>
    <x v="10"/>
    <x v="46"/>
    <x v="18"/>
    <x v="12"/>
    <x v="11"/>
    <x v="1"/>
    <n v="21324660000"/>
  </r>
  <r>
    <d v="2025-11-19T00:00:00"/>
    <x v="1"/>
    <x v="10"/>
    <x v="46"/>
    <x v="18"/>
    <x v="5"/>
    <x v="5"/>
    <x v="3"/>
    <n v="2324864830"/>
  </r>
  <r>
    <d v="2025-11-19T00:00:00"/>
    <x v="1"/>
    <x v="10"/>
    <x v="46"/>
    <x v="18"/>
    <x v="27"/>
    <x v="19"/>
    <x v="0"/>
    <n v="8992620000"/>
  </r>
  <r>
    <d v="2025-11-19T00:00:00"/>
    <x v="1"/>
    <x v="10"/>
    <x v="46"/>
    <x v="18"/>
    <x v="15"/>
    <x v="14"/>
    <x v="4"/>
    <n v="1901523"/>
  </r>
  <r>
    <d v="2025-11-19T00:00:00"/>
    <x v="1"/>
    <x v="10"/>
    <x v="46"/>
    <x v="18"/>
    <x v="14"/>
    <x v="13"/>
    <x v="1"/>
    <n v="3181360000"/>
  </r>
  <r>
    <d v="2025-11-19T00:00:00"/>
    <x v="1"/>
    <x v="10"/>
    <x v="46"/>
    <x v="18"/>
    <x v="23"/>
    <x v="17"/>
    <x v="4"/>
    <n v="2801462"/>
  </r>
  <r>
    <d v="2025-11-19T00:00:00"/>
    <x v="1"/>
    <x v="10"/>
    <x v="46"/>
    <x v="18"/>
    <x v="28"/>
    <x v="17"/>
    <x v="4"/>
    <n v="533830509"/>
  </r>
  <r>
    <d v="2025-11-19T00:00:00"/>
    <x v="1"/>
    <x v="10"/>
    <x v="46"/>
    <x v="18"/>
    <x v="8"/>
    <x v="8"/>
    <x v="1"/>
    <n v="0"/>
  </r>
  <r>
    <d v="2025-11-19T00:00:00"/>
    <x v="1"/>
    <x v="10"/>
    <x v="46"/>
    <x v="18"/>
    <x v="26"/>
    <x v="16"/>
    <x v="1"/>
    <n v="394250000"/>
  </r>
  <r>
    <d v="2025-11-19T00:00:00"/>
    <x v="1"/>
    <x v="10"/>
    <x v="46"/>
    <x v="18"/>
    <x v="2"/>
    <x v="2"/>
    <x v="1"/>
    <n v="17930910000"/>
  </r>
  <r>
    <d v="2025-11-19T00:00:00"/>
    <x v="1"/>
    <x v="10"/>
    <x v="46"/>
    <x v="18"/>
    <x v="17"/>
    <x v="9"/>
    <x v="1"/>
    <n v="0"/>
  </r>
  <r>
    <d v="2025-11-19T00:00:00"/>
    <x v="1"/>
    <x v="10"/>
    <x v="46"/>
    <x v="18"/>
    <x v="20"/>
    <x v="9"/>
    <x v="1"/>
    <n v="0"/>
  </r>
  <r>
    <d v="2025-11-19T00:00:00"/>
    <x v="1"/>
    <x v="10"/>
    <x v="46"/>
    <x v="18"/>
    <x v="21"/>
    <x v="9"/>
    <x v="1"/>
    <n v="0"/>
  </r>
  <r>
    <d v="2025-11-19T00:00:00"/>
    <x v="1"/>
    <x v="10"/>
    <x v="46"/>
    <x v="18"/>
    <x v="25"/>
    <x v="2"/>
    <x v="1"/>
    <n v="0"/>
  </r>
  <r>
    <d v="2025-11-19T00:00:00"/>
    <x v="1"/>
    <x v="10"/>
    <x v="46"/>
    <x v="18"/>
    <x v="0"/>
    <x v="0"/>
    <x v="0"/>
    <n v="8757720000"/>
  </r>
  <r>
    <d v="2025-11-19T00:00:00"/>
    <x v="1"/>
    <x v="10"/>
    <x v="46"/>
    <x v="18"/>
    <x v="7"/>
    <x v="7"/>
    <x v="4"/>
    <n v="159842500"/>
  </r>
  <r>
    <d v="2025-11-19T00:00:00"/>
    <x v="1"/>
    <x v="10"/>
    <x v="46"/>
    <x v="18"/>
    <x v="1"/>
    <x v="1"/>
    <x v="1"/>
    <n v="37800000"/>
  </r>
  <r>
    <d v="2025-11-19T00:00:00"/>
    <x v="1"/>
    <x v="10"/>
    <x v="46"/>
    <x v="18"/>
    <x v="6"/>
    <x v="6"/>
    <x v="0"/>
    <n v="27000000"/>
  </r>
  <r>
    <d v="2025-11-19T00:00:00"/>
    <x v="1"/>
    <x v="10"/>
    <x v="46"/>
    <x v="18"/>
    <x v="18"/>
    <x v="15"/>
    <x v="1"/>
    <n v="922480000"/>
  </r>
  <r>
    <d v="2025-11-19T00:00:00"/>
    <x v="1"/>
    <x v="10"/>
    <x v="46"/>
    <x v="18"/>
    <x v="29"/>
    <x v="20"/>
    <x v="0"/>
    <n v="183600000"/>
  </r>
  <r>
    <d v="2025-11-19T00:00:00"/>
    <x v="1"/>
    <x v="10"/>
    <x v="46"/>
    <x v="18"/>
    <x v="19"/>
    <x v="12"/>
    <x v="4"/>
    <n v="315504493"/>
  </r>
  <r>
    <d v="2025-11-19T00:00:00"/>
    <x v="1"/>
    <x v="10"/>
    <x v="46"/>
    <x v="18"/>
    <x v="24"/>
    <x v="18"/>
    <x v="1"/>
    <n v="3100690000"/>
  </r>
  <r>
    <d v="2025-11-20T00:00:00"/>
    <x v="1"/>
    <x v="10"/>
    <x v="46"/>
    <x v="19"/>
    <x v="3"/>
    <x v="3"/>
    <x v="1"/>
    <n v="122850000"/>
  </r>
  <r>
    <d v="2025-11-20T00:00:00"/>
    <x v="1"/>
    <x v="10"/>
    <x v="46"/>
    <x v="19"/>
    <x v="11"/>
    <x v="10"/>
    <x v="4"/>
    <n v="282427776"/>
  </r>
  <r>
    <d v="2025-11-20T00:00:00"/>
    <x v="1"/>
    <x v="10"/>
    <x v="46"/>
    <x v="19"/>
    <x v="12"/>
    <x v="11"/>
    <x v="1"/>
    <n v="19759970000"/>
  </r>
  <r>
    <d v="2025-11-20T00:00:00"/>
    <x v="1"/>
    <x v="10"/>
    <x v="46"/>
    <x v="19"/>
    <x v="5"/>
    <x v="5"/>
    <x v="3"/>
    <n v="1973959530"/>
  </r>
  <r>
    <d v="2025-11-20T00:00:00"/>
    <x v="1"/>
    <x v="10"/>
    <x v="46"/>
    <x v="19"/>
    <x v="27"/>
    <x v="19"/>
    <x v="0"/>
    <n v="9203328000"/>
  </r>
  <r>
    <d v="2025-11-20T00:00:00"/>
    <x v="1"/>
    <x v="10"/>
    <x v="46"/>
    <x v="19"/>
    <x v="15"/>
    <x v="14"/>
    <x v="4"/>
    <n v="14337641"/>
  </r>
  <r>
    <d v="2025-11-20T00:00:00"/>
    <x v="1"/>
    <x v="10"/>
    <x v="46"/>
    <x v="19"/>
    <x v="14"/>
    <x v="13"/>
    <x v="1"/>
    <n v="3171550000"/>
  </r>
  <r>
    <d v="2025-11-20T00:00:00"/>
    <x v="1"/>
    <x v="10"/>
    <x v="46"/>
    <x v="19"/>
    <x v="23"/>
    <x v="17"/>
    <x v="4"/>
    <n v="13912503"/>
  </r>
  <r>
    <d v="2025-11-20T00:00:00"/>
    <x v="1"/>
    <x v="10"/>
    <x v="46"/>
    <x v="19"/>
    <x v="28"/>
    <x v="17"/>
    <x v="4"/>
    <n v="630119968"/>
  </r>
  <r>
    <d v="2025-11-20T00:00:00"/>
    <x v="1"/>
    <x v="10"/>
    <x v="46"/>
    <x v="19"/>
    <x v="8"/>
    <x v="8"/>
    <x v="1"/>
    <n v="0"/>
  </r>
  <r>
    <d v="2025-11-20T00:00:00"/>
    <x v="1"/>
    <x v="10"/>
    <x v="46"/>
    <x v="19"/>
    <x v="26"/>
    <x v="16"/>
    <x v="1"/>
    <n v="166000000"/>
  </r>
  <r>
    <d v="2025-11-20T00:00:00"/>
    <x v="1"/>
    <x v="10"/>
    <x v="46"/>
    <x v="19"/>
    <x v="2"/>
    <x v="2"/>
    <x v="1"/>
    <n v="17540700000"/>
  </r>
  <r>
    <d v="2025-11-20T00:00:00"/>
    <x v="1"/>
    <x v="10"/>
    <x v="46"/>
    <x v="19"/>
    <x v="17"/>
    <x v="9"/>
    <x v="1"/>
    <n v="0"/>
  </r>
  <r>
    <d v="2025-11-20T00:00:00"/>
    <x v="1"/>
    <x v="10"/>
    <x v="46"/>
    <x v="19"/>
    <x v="20"/>
    <x v="9"/>
    <x v="1"/>
    <n v="0"/>
  </r>
  <r>
    <d v="2025-11-20T00:00:00"/>
    <x v="1"/>
    <x v="10"/>
    <x v="46"/>
    <x v="19"/>
    <x v="21"/>
    <x v="9"/>
    <x v="1"/>
    <n v="0"/>
  </r>
  <r>
    <d v="2025-11-20T00:00:00"/>
    <x v="1"/>
    <x v="10"/>
    <x v="46"/>
    <x v="19"/>
    <x v="25"/>
    <x v="2"/>
    <x v="1"/>
    <n v="0"/>
  </r>
  <r>
    <d v="2025-11-20T00:00:00"/>
    <x v="1"/>
    <x v="10"/>
    <x v="46"/>
    <x v="19"/>
    <x v="0"/>
    <x v="0"/>
    <x v="0"/>
    <n v="8890452000"/>
  </r>
  <r>
    <d v="2025-11-20T00:00:00"/>
    <x v="1"/>
    <x v="10"/>
    <x v="46"/>
    <x v="19"/>
    <x v="7"/>
    <x v="7"/>
    <x v="4"/>
    <n v="163473911"/>
  </r>
  <r>
    <d v="2025-11-20T00:00:00"/>
    <x v="1"/>
    <x v="10"/>
    <x v="46"/>
    <x v="19"/>
    <x v="1"/>
    <x v="1"/>
    <x v="1"/>
    <n v="10500000"/>
  </r>
  <r>
    <d v="2025-11-20T00:00:00"/>
    <x v="1"/>
    <x v="10"/>
    <x v="46"/>
    <x v="19"/>
    <x v="6"/>
    <x v="6"/>
    <x v="0"/>
    <n v="33000000"/>
  </r>
  <r>
    <d v="2025-11-20T00:00:00"/>
    <x v="1"/>
    <x v="10"/>
    <x v="46"/>
    <x v="19"/>
    <x v="18"/>
    <x v="15"/>
    <x v="1"/>
    <n v="715660000"/>
  </r>
  <r>
    <d v="2025-11-20T00:00:00"/>
    <x v="1"/>
    <x v="10"/>
    <x v="46"/>
    <x v="19"/>
    <x v="29"/>
    <x v="20"/>
    <x v="0"/>
    <n v="225504000"/>
  </r>
  <r>
    <d v="2025-11-20T00:00:00"/>
    <x v="1"/>
    <x v="10"/>
    <x v="46"/>
    <x v="19"/>
    <x v="19"/>
    <x v="12"/>
    <x v="4"/>
    <n v="268836224"/>
  </r>
  <r>
    <d v="2025-11-20T00:00:00"/>
    <x v="1"/>
    <x v="10"/>
    <x v="46"/>
    <x v="19"/>
    <x v="24"/>
    <x v="18"/>
    <x v="1"/>
    <n v="3428590000"/>
  </r>
  <r>
    <d v="2025-11-21T00:00:00"/>
    <x v="1"/>
    <x v="10"/>
    <x v="46"/>
    <x v="20"/>
    <x v="3"/>
    <x v="3"/>
    <x v="1"/>
    <n v="163350000"/>
  </r>
  <r>
    <d v="2025-11-21T00:00:00"/>
    <x v="1"/>
    <x v="10"/>
    <x v="46"/>
    <x v="20"/>
    <x v="11"/>
    <x v="10"/>
    <x v="4"/>
    <n v="295943875"/>
  </r>
  <r>
    <d v="2025-11-21T00:00:00"/>
    <x v="1"/>
    <x v="10"/>
    <x v="46"/>
    <x v="20"/>
    <x v="12"/>
    <x v="11"/>
    <x v="1"/>
    <n v="27828910000"/>
  </r>
  <r>
    <d v="2025-11-21T00:00:00"/>
    <x v="1"/>
    <x v="10"/>
    <x v="46"/>
    <x v="20"/>
    <x v="5"/>
    <x v="5"/>
    <x v="3"/>
    <n v="2205328870"/>
  </r>
  <r>
    <d v="2025-11-21T00:00:00"/>
    <x v="1"/>
    <x v="10"/>
    <x v="46"/>
    <x v="20"/>
    <x v="27"/>
    <x v="19"/>
    <x v="0"/>
    <n v="9694188000"/>
  </r>
  <r>
    <d v="2025-11-21T00:00:00"/>
    <x v="1"/>
    <x v="10"/>
    <x v="46"/>
    <x v="20"/>
    <x v="15"/>
    <x v="14"/>
    <x v="4"/>
    <n v="14723455"/>
  </r>
  <r>
    <d v="2025-11-21T00:00:00"/>
    <x v="1"/>
    <x v="10"/>
    <x v="46"/>
    <x v="20"/>
    <x v="14"/>
    <x v="13"/>
    <x v="1"/>
    <n v="3042220000"/>
  </r>
  <r>
    <d v="2025-11-21T00:00:00"/>
    <x v="1"/>
    <x v="10"/>
    <x v="46"/>
    <x v="20"/>
    <x v="23"/>
    <x v="17"/>
    <x v="4"/>
    <n v="27861288"/>
  </r>
  <r>
    <d v="2025-11-21T00:00:00"/>
    <x v="1"/>
    <x v="10"/>
    <x v="46"/>
    <x v="20"/>
    <x v="28"/>
    <x v="17"/>
    <x v="4"/>
    <n v="722946178"/>
  </r>
  <r>
    <d v="2025-11-21T00:00:00"/>
    <x v="1"/>
    <x v="10"/>
    <x v="46"/>
    <x v="20"/>
    <x v="8"/>
    <x v="8"/>
    <x v="1"/>
    <n v="0"/>
  </r>
  <r>
    <d v="2025-11-21T00:00:00"/>
    <x v="1"/>
    <x v="10"/>
    <x v="46"/>
    <x v="20"/>
    <x v="26"/>
    <x v="16"/>
    <x v="1"/>
    <n v="374000000"/>
  </r>
  <r>
    <d v="2025-11-21T00:00:00"/>
    <x v="1"/>
    <x v="10"/>
    <x v="46"/>
    <x v="20"/>
    <x v="2"/>
    <x v="2"/>
    <x v="1"/>
    <n v="16778490000"/>
  </r>
  <r>
    <d v="2025-11-21T00:00:00"/>
    <x v="1"/>
    <x v="10"/>
    <x v="46"/>
    <x v="20"/>
    <x v="17"/>
    <x v="9"/>
    <x v="1"/>
    <n v="0"/>
  </r>
  <r>
    <d v="2025-11-21T00:00:00"/>
    <x v="1"/>
    <x v="10"/>
    <x v="46"/>
    <x v="20"/>
    <x v="20"/>
    <x v="9"/>
    <x v="1"/>
    <n v="0"/>
  </r>
  <r>
    <d v="2025-11-21T00:00:00"/>
    <x v="1"/>
    <x v="10"/>
    <x v="46"/>
    <x v="20"/>
    <x v="21"/>
    <x v="9"/>
    <x v="1"/>
    <n v="0"/>
  </r>
  <r>
    <d v="2025-11-21T00:00:00"/>
    <x v="1"/>
    <x v="10"/>
    <x v="46"/>
    <x v="20"/>
    <x v="25"/>
    <x v="2"/>
    <x v="1"/>
    <n v="0"/>
  </r>
  <r>
    <d v="2025-11-21T00:00:00"/>
    <x v="1"/>
    <x v="10"/>
    <x v="46"/>
    <x v="20"/>
    <x v="0"/>
    <x v="0"/>
    <x v="0"/>
    <n v="9303984000"/>
  </r>
  <r>
    <d v="2025-11-21T00:00:00"/>
    <x v="1"/>
    <x v="10"/>
    <x v="46"/>
    <x v="20"/>
    <x v="7"/>
    <x v="7"/>
    <x v="4"/>
    <n v="207680715"/>
  </r>
  <r>
    <d v="2025-11-21T00:00:00"/>
    <x v="1"/>
    <x v="10"/>
    <x v="46"/>
    <x v="20"/>
    <x v="1"/>
    <x v="1"/>
    <x v="1"/>
    <n v="10000000"/>
  </r>
  <r>
    <d v="2025-11-21T00:00:00"/>
    <x v="1"/>
    <x v="10"/>
    <x v="46"/>
    <x v="20"/>
    <x v="6"/>
    <x v="6"/>
    <x v="0"/>
    <n v="54000000"/>
  </r>
  <r>
    <d v="2025-11-21T00:00:00"/>
    <x v="1"/>
    <x v="10"/>
    <x v="46"/>
    <x v="20"/>
    <x v="18"/>
    <x v="15"/>
    <x v="1"/>
    <n v="794960000"/>
  </r>
  <r>
    <d v="2025-11-21T00:00:00"/>
    <x v="1"/>
    <x v="10"/>
    <x v="46"/>
    <x v="20"/>
    <x v="29"/>
    <x v="20"/>
    <x v="0"/>
    <n v="309636000"/>
  </r>
  <r>
    <d v="2025-11-21T00:00:00"/>
    <x v="1"/>
    <x v="10"/>
    <x v="46"/>
    <x v="20"/>
    <x v="19"/>
    <x v="12"/>
    <x v="4"/>
    <n v="456280733"/>
  </r>
  <r>
    <d v="2025-11-21T00:00:00"/>
    <x v="1"/>
    <x v="10"/>
    <x v="46"/>
    <x v="20"/>
    <x v="24"/>
    <x v="18"/>
    <x v="1"/>
    <n v="3491200000"/>
  </r>
  <r>
    <d v="2025-11-22T00:00:00"/>
    <x v="1"/>
    <x v="10"/>
    <x v="46"/>
    <x v="21"/>
    <x v="3"/>
    <x v="3"/>
    <x v="1"/>
    <n v="141750000"/>
  </r>
  <r>
    <d v="2025-11-22T00:00:00"/>
    <x v="1"/>
    <x v="10"/>
    <x v="46"/>
    <x v="21"/>
    <x v="11"/>
    <x v="10"/>
    <x v="4"/>
    <n v="272434905"/>
  </r>
  <r>
    <d v="2025-11-22T00:00:00"/>
    <x v="1"/>
    <x v="10"/>
    <x v="46"/>
    <x v="21"/>
    <x v="12"/>
    <x v="11"/>
    <x v="1"/>
    <n v="20249690000"/>
  </r>
  <r>
    <d v="2025-11-22T00:00:00"/>
    <x v="1"/>
    <x v="10"/>
    <x v="46"/>
    <x v="21"/>
    <x v="5"/>
    <x v="5"/>
    <x v="3"/>
    <n v="1716837173"/>
  </r>
  <r>
    <d v="2025-11-22T00:00:00"/>
    <x v="1"/>
    <x v="10"/>
    <x v="46"/>
    <x v="21"/>
    <x v="27"/>
    <x v="19"/>
    <x v="0"/>
    <n v="8472060000"/>
  </r>
  <r>
    <d v="2025-11-22T00:00:00"/>
    <x v="1"/>
    <x v="10"/>
    <x v="46"/>
    <x v="21"/>
    <x v="15"/>
    <x v="14"/>
    <x v="4"/>
    <n v="7783539"/>
  </r>
  <r>
    <d v="2025-11-22T00:00:00"/>
    <x v="1"/>
    <x v="10"/>
    <x v="46"/>
    <x v="21"/>
    <x v="14"/>
    <x v="13"/>
    <x v="1"/>
    <n v="3307910000"/>
  </r>
  <r>
    <d v="2025-11-22T00:00:00"/>
    <x v="1"/>
    <x v="10"/>
    <x v="46"/>
    <x v="21"/>
    <x v="23"/>
    <x v="17"/>
    <x v="4"/>
    <n v="11382038"/>
  </r>
  <r>
    <d v="2025-11-22T00:00:00"/>
    <x v="1"/>
    <x v="10"/>
    <x v="46"/>
    <x v="21"/>
    <x v="28"/>
    <x v="17"/>
    <x v="4"/>
    <n v="811539954"/>
  </r>
  <r>
    <d v="2025-11-22T00:00:00"/>
    <x v="1"/>
    <x v="10"/>
    <x v="46"/>
    <x v="21"/>
    <x v="8"/>
    <x v="8"/>
    <x v="1"/>
    <n v="0"/>
  </r>
  <r>
    <d v="2025-11-22T00:00:00"/>
    <x v="1"/>
    <x v="10"/>
    <x v="46"/>
    <x v="21"/>
    <x v="26"/>
    <x v="16"/>
    <x v="1"/>
    <n v="226000000"/>
  </r>
  <r>
    <d v="2025-11-22T00:00:00"/>
    <x v="1"/>
    <x v="10"/>
    <x v="46"/>
    <x v="21"/>
    <x v="2"/>
    <x v="2"/>
    <x v="1"/>
    <n v="15057140000"/>
  </r>
  <r>
    <d v="2025-11-22T00:00:00"/>
    <x v="1"/>
    <x v="10"/>
    <x v="46"/>
    <x v="21"/>
    <x v="17"/>
    <x v="9"/>
    <x v="1"/>
    <n v="0"/>
  </r>
  <r>
    <d v="2025-11-22T00:00:00"/>
    <x v="1"/>
    <x v="10"/>
    <x v="46"/>
    <x v="21"/>
    <x v="20"/>
    <x v="9"/>
    <x v="1"/>
    <n v="0"/>
  </r>
  <r>
    <d v="2025-11-22T00:00:00"/>
    <x v="1"/>
    <x v="10"/>
    <x v="46"/>
    <x v="21"/>
    <x v="21"/>
    <x v="9"/>
    <x v="1"/>
    <n v="0"/>
  </r>
  <r>
    <d v="2025-11-22T00:00:00"/>
    <x v="1"/>
    <x v="10"/>
    <x v="46"/>
    <x v="21"/>
    <x v="25"/>
    <x v="2"/>
    <x v="1"/>
    <n v="0"/>
  </r>
  <r>
    <d v="2025-11-22T00:00:00"/>
    <x v="1"/>
    <x v="10"/>
    <x v="46"/>
    <x v="21"/>
    <x v="0"/>
    <x v="0"/>
    <x v="0"/>
    <n v="8592480000"/>
  </r>
  <r>
    <d v="2025-11-22T00:00:00"/>
    <x v="1"/>
    <x v="10"/>
    <x v="46"/>
    <x v="21"/>
    <x v="7"/>
    <x v="7"/>
    <x v="4"/>
    <n v="154586301"/>
  </r>
  <r>
    <d v="2025-11-22T00:00:00"/>
    <x v="1"/>
    <x v="10"/>
    <x v="46"/>
    <x v="21"/>
    <x v="1"/>
    <x v="1"/>
    <x v="1"/>
    <n v="0"/>
  </r>
  <r>
    <d v="2025-11-22T00:00:00"/>
    <x v="1"/>
    <x v="10"/>
    <x v="46"/>
    <x v="21"/>
    <x v="6"/>
    <x v="6"/>
    <x v="0"/>
    <n v="36000000"/>
  </r>
  <r>
    <d v="2025-11-22T00:00:00"/>
    <x v="1"/>
    <x v="10"/>
    <x v="46"/>
    <x v="21"/>
    <x v="18"/>
    <x v="15"/>
    <x v="1"/>
    <n v="457190000"/>
  </r>
  <r>
    <d v="2025-11-22T00:00:00"/>
    <x v="1"/>
    <x v="10"/>
    <x v="46"/>
    <x v="21"/>
    <x v="29"/>
    <x v="20"/>
    <x v="0"/>
    <n v="220860000"/>
  </r>
  <r>
    <d v="2025-11-22T00:00:00"/>
    <x v="1"/>
    <x v="10"/>
    <x v="46"/>
    <x v="21"/>
    <x v="19"/>
    <x v="12"/>
    <x v="4"/>
    <n v="405926798"/>
  </r>
  <r>
    <d v="2025-11-22T00:00:00"/>
    <x v="1"/>
    <x v="10"/>
    <x v="46"/>
    <x v="21"/>
    <x v="24"/>
    <x v="18"/>
    <x v="1"/>
    <n v="2176320000"/>
  </r>
  <r>
    <d v="2025-11-23T00:00:00"/>
    <x v="1"/>
    <x v="10"/>
    <x v="46"/>
    <x v="22"/>
    <x v="3"/>
    <x v="3"/>
    <x v="1"/>
    <n v="173600000"/>
  </r>
  <r>
    <d v="2025-11-23T00:00:00"/>
    <x v="1"/>
    <x v="10"/>
    <x v="46"/>
    <x v="22"/>
    <x v="11"/>
    <x v="10"/>
    <x v="4"/>
    <n v="255731252"/>
  </r>
  <r>
    <d v="2025-11-23T00:00:00"/>
    <x v="1"/>
    <x v="10"/>
    <x v="46"/>
    <x v="22"/>
    <x v="12"/>
    <x v="11"/>
    <x v="1"/>
    <n v="17484070000"/>
  </r>
  <r>
    <d v="2025-11-23T00:00:00"/>
    <x v="1"/>
    <x v="10"/>
    <x v="46"/>
    <x v="22"/>
    <x v="5"/>
    <x v="5"/>
    <x v="3"/>
    <n v="1674844734"/>
  </r>
  <r>
    <d v="2025-11-23T00:00:00"/>
    <x v="1"/>
    <x v="10"/>
    <x v="46"/>
    <x v="22"/>
    <x v="27"/>
    <x v="19"/>
    <x v="0"/>
    <n v="7967808000"/>
  </r>
  <r>
    <d v="2025-11-23T00:00:00"/>
    <x v="1"/>
    <x v="10"/>
    <x v="46"/>
    <x v="22"/>
    <x v="15"/>
    <x v="14"/>
    <x v="4"/>
    <n v="9340676"/>
  </r>
  <r>
    <d v="2025-11-23T00:00:00"/>
    <x v="1"/>
    <x v="10"/>
    <x v="46"/>
    <x v="22"/>
    <x v="14"/>
    <x v="13"/>
    <x v="1"/>
    <n v="3932610000"/>
  </r>
  <r>
    <d v="2025-11-23T00:00:00"/>
    <x v="1"/>
    <x v="10"/>
    <x v="46"/>
    <x v="22"/>
    <x v="23"/>
    <x v="17"/>
    <x v="4"/>
    <n v="21493848"/>
  </r>
  <r>
    <d v="2025-11-23T00:00:00"/>
    <x v="1"/>
    <x v="10"/>
    <x v="46"/>
    <x v="22"/>
    <x v="28"/>
    <x v="17"/>
    <x v="4"/>
    <n v="648222564"/>
  </r>
  <r>
    <d v="2025-11-23T00:00:00"/>
    <x v="1"/>
    <x v="10"/>
    <x v="46"/>
    <x v="22"/>
    <x v="8"/>
    <x v="8"/>
    <x v="1"/>
    <n v="0"/>
  </r>
  <r>
    <d v="2025-11-23T00:00:00"/>
    <x v="1"/>
    <x v="10"/>
    <x v="46"/>
    <x v="22"/>
    <x v="26"/>
    <x v="16"/>
    <x v="1"/>
    <n v="362050000"/>
  </r>
  <r>
    <d v="2025-11-23T00:00:00"/>
    <x v="1"/>
    <x v="10"/>
    <x v="46"/>
    <x v="22"/>
    <x v="2"/>
    <x v="2"/>
    <x v="1"/>
    <n v="14433130000"/>
  </r>
  <r>
    <d v="2025-11-23T00:00:00"/>
    <x v="1"/>
    <x v="10"/>
    <x v="46"/>
    <x v="22"/>
    <x v="17"/>
    <x v="9"/>
    <x v="1"/>
    <n v="0"/>
  </r>
  <r>
    <d v="2025-11-23T00:00:00"/>
    <x v="1"/>
    <x v="10"/>
    <x v="46"/>
    <x v="22"/>
    <x v="20"/>
    <x v="9"/>
    <x v="1"/>
    <n v="0"/>
  </r>
  <r>
    <d v="2025-11-23T00:00:00"/>
    <x v="1"/>
    <x v="10"/>
    <x v="46"/>
    <x v="22"/>
    <x v="21"/>
    <x v="9"/>
    <x v="1"/>
    <n v="0"/>
  </r>
  <r>
    <d v="2025-11-23T00:00:00"/>
    <x v="1"/>
    <x v="10"/>
    <x v="46"/>
    <x v="22"/>
    <x v="25"/>
    <x v="2"/>
    <x v="1"/>
    <n v="0"/>
  </r>
  <r>
    <d v="2025-11-23T00:00:00"/>
    <x v="1"/>
    <x v="10"/>
    <x v="46"/>
    <x v="22"/>
    <x v="0"/>
    <x v="0"/>
    <x v="0"/>
    <n v="8137152000"/>
  </r>
  <r>
    <d v="2025-11-23T00:00:00"/>
    <x v="1"/>
    <x v="10"/>
    <x v="46"/>
    <x v="22"/>
    <x v="7"/>
    <x v="7"/>
    <x v="4"/>
    <n v="127618857"/>
  </r>
  <r>
    <d v="2025-11-23T00:00:00"/>
    <x v="1"/>
    <x v="10"/>
    <x v="46"/>
    <x v="22"/>
    <x v="1"/>
    <x v="1"/>
    <x v="1"/>
    <n v="41000000"/>
  </r>
  <r>
    <d v="2025-11-23T00:00:00"/>
    <x v="1"/>
    <x v="10"/>
    <x v="46"/>
    <x v="22"/>
    <x v="6"/>
    <x v="6"/>
    <x v="0"/>
    <n v="31000000"/>
  </r>
  <r>
    <d v="2025-11-23T00:00:00"/>
    <x v="1"/>
    <x v="10"/>
    <x v="46"/>
    <x v="22"/>
    <x v="18"/>
    <x v="15"/>
    <x v="1"/>
    <n v="532520000"/>
  </r>
  <r>
    <d v="2025-11-23T00:00:00"/>
    <x v="1"/>
    <x v="10"/>
    <x v="46"/>
    <x v="22"/>
    <x v="29"/>
    <x v="20"/>
    <x v="0"/>
    <n v="231876000"/>
  </r>
  <r>
    <d v="2025-11-23T00:00:00"/>
    <x v="1"/>
    <x v="10"/>
    <x v="46"/>
    <x v="22"/>
    <x v="19"/>
    <x v="12"/>
    <x v="4"/>
    <n v="354693671"/>
  </r>
  <r>
    <d v="2025-11-23T00:00:00"/>
    <x v="1"/>
    <x v="10"/>
    <x v="46"/>
    <x v="22"/>
    <x v="24"/>
    <x v="18"/>
    <x v="1"/>
    <n v="2220790000"/>
  </r>
  <r>
    <d v="2025-11-24T00:00:00"/>
    <x v="1"/>
    <x v="10"/>
    <x v="47"/>
    <x v="23"/>
    <x v="3"/>
    <x v="3"/>
    <x v="1"/>
    <n v="105050000"/>
  </r>
  <r>
    <d v="2025-11-24T00:00:00"/>
    <x v="1"/>
    <x v="10"/>
    <x v="47"/>
    <x v="23"/>
    <x v="11"/>
    <x v="10"/>
    <x v="4"/>
    <n v="251176291"/>
  </r>
  <r>
    <d v="2025-11-24T00:00:00"/>
    <x v="1"/>
    <x v="10"/>
    <x v="47"/>
    <x v="23"/>
    <x v="12"/>
    <x v="11"/>
    <x v="1"/>
    <n v="26088360000"/>
  </r>
  <r>
    <d v="2025-11-24T00:00:00"/>
    <x v="1"/>
    <x v="10"/>
    <x v="47"/>
    <x v="23"/>
    <x v="5"/>
    <x v="5"/>
    <x v="3"/>
    <n v="2416303165"/>
  </r>
  <r>
    <d v="2025-11-24T00:00:00"/>
    <x v="1"/>
    <x v="10"/>
    <x v="47"/>
    <x v="23"/>
    <x v="27"/>
    <x v="19"/>
    <x v="0"/>
    <n v="9322668000"/>
  </r>
  <r>
    <d v="2025-11-24T00:00:00"/>
    <x v="1"/>
    <x v="10"/>
    <x v="47"/>
    <x v="23"/>
    <x v="15"/>
    <x v="14"/>
    <x v="4"/>
    <n v="1855323"/>
  </r>
  <r>
    <d v="2025-11-24T00:00:00"/>
    <x v="1"/>
    <x v="10"/>
    <x v="47"/>
    <x v="23"/>
    <x v="14"/>
    <x v="13"/>
    <x v="1"/>
    <n v="3424320000"/>
  </r>
  <r>
    <d v="2025-11-24T00:00:00"/>
    <x v="1"/>
    <x v="10"/>
    <x v="47"/>
    <x v="23"/>
    <x v="23"/>
    <x v="17"/>
    <x v="4"/>
    <n v="36435411"/>
  </r>
  <r>
    <d v="2025-11-24T00:00:00"/>
    <x v="1"/>
    <x v="10"/>
    <x v="47"/>
    <x v="23"/>
    <x v="28"/>
    <x v="17"/>
    <x v="4"/>
    <n v="645299092"/>
  </r>
  <r>
    <d v="2025-11-24T00:00:00"/>
    <x v="1"/>
    <x v="10"/>
    <x v="47"/>
    <x v="23"/>
    <x v="8"/>
    <x v="8"/>
    <x v="1"/>
    <n v="0"/>
  </r>
  <r>
    <d v="2025-11-24T00:00:00"/>
    <x v="1"/>
    <x v="10"/>
    <x v="47"/>
    <x v="23"/>
    <x v="26"/>
    <x v="16"/>
    <x v="1"/>
    <n v="503850000"/>
  </r>
  <r>
    <d v="2025-11-24T00:00:00"/>
    <x v="1"/>
    <x v="10"/>
    <x v="47"/>
    <x v="23"/>
    <x v="2"/>
    <x v="2"/>
    <x v="1"/>
    <n v="15526090000"/>
  </r>
  <r>
    <d v="2025-11-24T00:00:00"/>
    <x v="1"/>
    <x v="10"/>
    <x v="47"/>
    <x v="23"/>
    <x v="17"/>
    <x v="9"/>
    <x v="1"/>
    <n v="0"/>
  </r>
  <r>
    <d v="2025-11-24T00:00:00"/>
    <x v="1"/>
    <x v="10"/>
    <x v="47"/>
    <x v="23"/>
    <x v="20"/>
    <x v="9"/>
    <x v="1"/>
    <n v="0"/>
  </r>
  <r>
    <d v="2025-11-24T00:00:00"/>
    <x v="1"/>
    <x v="10"/>
    <x v="47"/>
    <x v="23"/>
    <x v="21"/>
    <x v="9"/>
    <x v="1"/>
    <n v="0"/>
  </r>
  <r>
    <d v="2025-11-24T00:00:00"/>
    <x v="1"/>
    <x v="10"/>
    <x v="47"/>
    <x v="23"/>
    <x v="25"/>
    <x v="2"/>
    <x v="1"/>
    <n v="5000000"/>
  </r>
  <r>
    <d v="2025-11-24T00:00:00"/>
    <x v="1"/>
    <x v="10"/>
    <x v="47"/>
    <x v="23"/>
    <x v="0"/>
    <x v="0"/>
    <x v="0"/>
    <n v="7719732000"/>
  </r>
  <r>
    <d v="2025-11-24T00:00:00"/>
    <x v="1"/>
    <x v="10"/>
    <x v="47"/>
    <x v="23"/>
    <x v="7"/>
    <x v="7"/>
    <x v="4"/>
    <n v="164885762"/>
  </r>
  <r>
    <d v="2025-11-24T00:00:00"/>
    <x v="1"/>
    <x v="10"/>
    <x v="47"/>
    <x v="23"/>
    <x v="1"/>
    <x v="1"/>
    <x v="1"/>
    <n v="21000000"/>
  </r>
  <r>
    <d v="2025-11-24T00:00:00"/>
    <x v="1"/>
    <x v="10"/>
    <x v="47"/>
    <x v="23"/>
    <x v="6"/>
    <x v="6"/>
    <x v="0"/>
    <n v="78000000"/>
  </r>
  <r>
    <d v="2025-11-24T00:00:00"/>
    <x v="1"/>
    <x v="10"/>
    <x v="47"/>
    <x v="23"/>
    <x v="18"/>
    <x v="15"/>
    <x v="1"/>
    <n v="874980000"/>
  </r>
  <r>
    <d v="2025-11-24T00:00:00"/>
    <x v="1"/>
    <x v="10"/>
    <x v="47"/>
    <x v="23"/>
    <x v="29"/>
    <x v="20"/>
    <x v="0"/>
    <n v="258228000"/>
  </r>
  <r>
    <d v="2025-11-24T00:00:00"/>
    <x v="1"/>
    <x v="10"/>
    <x v="47"/>
    <x v="23"/>
    <x v="19"/>
    <x v="12"/>
    <x v="4"/>
    <n v="435386414"/>
  </r>
  <r>
    <d v="2025-11-24T00:00:00"/>
    <x v="1"/>
    <x v="10"/>
    <x v="47"/>
    <x v="23"/>
    <x v="24"/>
    <x v="18"/>
    <x v="1"/>
    <n v="2636250000"/>
  </r>
  <r>
    <d v="2025-11-25T00:00:00"/>
    <x v="1"/>
    <x v="10"/>
    <x v="47"/>
    <x v="24"/>
    <x v="3"/>
    <x v="3"/>
    <x v="1"/>
    <n v="113950000"/>
  </r>
  <r>
    <d v="2025-11-25T00:00:00"/>
    <x v="1"/>
    <x v="10"/>
    <x v="47"/>
    <x v="24"/>
    <x v="11"/>
    <x v="10"/>
    <x v="4"/>
    <n v="250152094"/>
  </r>
  <r>
    <d v="2025-11-25T00:00:00"/>
    <x v="1"/>
    <x v="10"/>
    <x v="47"/>
    <x v="24"/>
    <x v="12"/>
    <x v="11"/>
    <x v="1"/>
    <n v="22685150000"/>
  </r>
  <r>
    <d v="2025-11-25T00:00:00"/>
    <x v="1"/>
    <x v="10"/>
    <x v="47"/>
    <x v="24"/>
    <x v="5"/>
    <x v="5"/>
    <x v="3"/>
    <n v="2642649086"/>
  </r>
  <r>
    <d v="2025-11-25T00:00:00"/>
    <x v="1"/>
    <x v="10"/>
    <x v="47"/>
    <x v="24"/>
    <x v="27"/>
    <x v="19"/>
    <x v="0"/>
    <n v="9554220000"/>
  </r>
  <r>
    <d v="2025-11-25T00:00:00"/>
    <x v="1"/>
    <x v="10"/>
    <x v="47"/>
    <x v="24"/>
    <x v="15"/>
    <x v="14"/>
    <x v="4"/>
    <n v="1989848"/>
  </r>
  <r>
    <d v="2025-11-25T00:00:00"/>
    <x v="1"/>
    <x v="10"/>
    <x v="47"/>
    <x v="24"/>
    <x v="14"/>
    <x v="13"/>
    <x v="1"/>
    <n v="3922640000"/>
  </r>
  <r>
    <d v="2025-11-25T00:00:00"/>
    <x v="1"/>
    <x v="10"/>
    <x v="47"/>
    <x v="24"/>
    <x v="23"/>
    <x v="17"/>
    <x v="4"/>
    <n v="15747099"/>
  </r>
  <r>
    <d v="2025-11-25T00:00:00"/>
    <x v="1"/>
    <x v="10"/>
    <x v="47"/>
    <x v="24"/>
    <x v="28"/>
    <x v="17"/>
    <x v="4"/>
    <n v="553239276"/>
  </r>
  <r>
    <d v="2025-11-25T00:00:00"/>
    <x v="1"/>
    <x v="10"/>
    <x v="47"/>
    <x v="24"/>
    <x v="8"/>
    <x v="8"/>
    <x v="1"/>
    <n v="0"/>
  </r>
  <r>
    <d v="2025-11-25T00:00:00"/>
    <x v="1"/>
    <x v="10"/>
    <x v="47"/>
    <x v="24"/>
    <x v="26"/>
    <x v="16"/>
    <x v="1"/>
    <n v="563500000"/>
  </r>
  <r>
    <d v="2025-11-25T00:00:00"/>
    <x v="1"/>
    <x v="10"/>
    <x v="47"/>
    <x v="24"/>
    <x v="2"/>
    <x v="2"/>
    <x v="1"/>
    <n v="16705690000"/>
  </r>
  <r>
    <d v="2025-11-25T00:00:00"/>
    <x v="1"/>
    <x v="10"/>
    <x v="47"/>
    <x v="24"/>
    <x v="17"/>
    <x v="9"/>
    <x v="1"/>
    <n v="0"/>
  </r>
  <r>
    <d v="2025-11-25T00:00:00"/>
    <x v="1"/>
    <x v="10"/>
    <x v="47"/>
    <x v="24"/>
    <x v="20"/>
    <x v="9"/>
    <x v="1"/>
    <n v="0"/>
  </r>
  <r>
    <d v="2025-11-25T00:00:00"/>
    <x v="1"/>
    <x v="10"/>
    <x v="47"/>
    <x v="24"/>
    <x v="21"/>
    <x v="9"/>
    <x v="1"/>
    <n v="0"/>
  </r>
  <r>
    <d v="2025-11-25T00:00:00"/>
    <x v="1"/>
    <x v="10"/>
    <x v="47"/>
    <x v="24"/>
    <x v="25"/>
    <x v="2"/>
    <x v="1"/>
    <n v="0"/>
  </r>
  <r>
    <d v="2025-11-25T00:00:00"/>
    <x v="1"/>
    <x v="10"/>
    <x v="47"/>
    <x v="24"/>
    <x v="0"/>
    <x v="0"/>
    <x v="0"/>
    <n v="8619264000"/>
  </r>
  <r>
    <d v="2025-11-25T00:00:00"/>
    <x v="1"/>
    <x v="10"/>
    <x v="47"/>
    <x v="24"/>
    <x v="7"/>
    <x v="7"/>
    <x v="4"/>
    <n v="158587089"/>
  </r>
  <r>
    <d v="2025-11-25T00:00:00"/>
    <x v="1"/>
    <x v="10"/>
    <x v="47"/>
    <x v="24"/>
    <x v="1"/>
    <x v="1"/>
    <x v="1"/>
    <n v="31000000"/>
  </r>
  <r>
    <d v="2025-11-25T00:00:00"/>
    <x v="1"/>
    <x v="10"/>
    <x v="47"/>
    <x v="24"/>
    <x v="6"/>
    <x v="6"/>
    <x v="0"/>
    <n v="59000000"/>
  </r>
  <r>
    <d v="2025-11-25T00:00:00"/>
    <x v="1"/>
    <x v="10"/>
    <x v="47"/>
    <x v="24"/>
    <x v="18"/>
    <x v="15"/>
    <x v="1"/>
    <n v="300310000"/>
  </r>
  <r>
    <d v="2025-11-25T00:00:00"/>
    <x v="1"/>
    <x v="10"/>
    <x v="47"/>
    <x v="24"/>
    <x v="29"/>
    <x v="20"/>
    <x v="0"/>
    <n v="218052000"/>
  </r>
  <r>
    <d v="2025-11-25T00:00:00"/>
    <x v="1"/>
    <x v="10"/>
    <x v="47"/>
    <x v="24"/>
    <x v="19"/>
    <x v="12"/>
    <x v="4"/>
    <n v="389357491"/>
  </r>
  <r>
    <d v="2025-11-25T00:00:00"/>
    <x v="1"/>
    <x v="10"/>
    <x v="47"/>
    <x v="24"/>
    <x v="24"/>
    <x v="18"/>
    <x v="1"/>
    <n v="2821690000"/>
  </r>
  <r>
    <d v="2025-11-26T00:00:00"/>
    <x v="1"/>
    <x v="10"/>
    <x v="47"/>
    <x v="25"/>
    <x v="3"/>
    <x v="3"/>
    <x v="1"/>
    <n v="120750000"/>
  </r>
  <r>
    <d v="2025-11-26T00:00:00"/>
    <x v="1"/>
    <x v="10"/>
    <x v="47"/>
    <x v="25"/>
    <x v="11"/>
    <x v="10"/>
    <x v="4"/>
    <n v="271582458"/>
  </r>
  <r>
    <d v="2025-11-26T00:00:00"/>
    <x v="1"/>
    <x v="10"/>
    <x v="47"/>
    <x v="25"/>
    <x v="12"/>
    <x v="11"/>
    <x v="1"/>
    <n v="19191540000"/>
  </r>
  <r>
    <d v="2025-11-26T00:00:00"/>
    <x v="1"/>
    <x v="10"/>
    <x v="47"/>
    <x v="25"/>
    <x v="5"/>
    <x v="5"/>
    <x v="3"/>
    <n v="2059787696"/>
  </r>
  <r>
    <d v="2025-11-26T00:00:00"/>
    <x v="1"/>
    <x v="10"/>
    <x v="47"/>
    <x v="25"/>
    <x v="27"/>
    <x v="19"/>
    <x v="0"/>
    <n v="9885996000"/>
  </r>
  <r>
    <d v="2025-11-26T00:00:00"/>
    <x v="1"/>
    <x v="10"/>
    <x v="47"/>
    <x v="25"/>
    <x v="15"/>
    <x v="14"/>
    <x v="4"/>
    <n v="4710090"/>
  </r>
  <r>
    <d v="2025-11-26T00:00:00"/>
    <x v="1"/>
    <x v="10"/>
    <x v="47"/>
    <x v="25"/>
    <x v="14"/>
    <x v="13"/>
    <x v="1"/>
    <n v="2965480000"/>
  </r>
  <r>
    <d v="2025-11-26T00:00:00"/>
    <x v="1"/>
    <x v="10"/>
    <x v="47"/>
    <x v="25"/>
    <x v="23"/>
    <x v="17"/>
    <x v="4"/>
    <n v="16024386"/>
  </r>
  <r>
    <d v="2025-11-26T00:00:00"/>
    <x v="1"/>
    <x v="10"/>
    <x v="47"/>
    <x v="25"/>
    <x v="28"/>
    <x v="17"/>
    <x v="4"/>
    <n v="506890257"/>
  </r>
  <r>
    <d v="2025-11-26T00:00:00"/>
    <x v="1"/>
    <x v="10"/>
    <x v="47"/>
    <x v="25"/>
    <x v="8"/>
    <x v="8"/>
    <x v="1"/>
    <n v="0"/>
  </r>
  <r>
    <d v="2025-11-26T00:00:00"/>
    <x v="1"/>
    <x v="10"/>
    <x v="47"/>
    <x v="25"/>
    <x v="26"/>
    <x v="16"/>
    <x v="1"/>
    <n v="333350000"/>
  </r>
  <r>
    <d v="2025-11-26T00:00:00"/>
    <x v="1"/>
    <x v="10"/>
    <x v="47"/>
    <x v="25"/>
    <x v="2"/>
    <x v="2"/>
    <x v="1"/>
    <n v="15580090000"/>
  </r>
  <r>
    <d v="2025-11-26T00:00:00"/>
    <x v="1"/>
    <x v="10"/>
    <x v="47"/>
    <x v="25"/>
    <x v="17"/>
    <x v="9"/>
    <x v="1"/>
    <n v="0"/>
  </r>
  <r>
    <d v="2025-11-26T00:00:00"/>
    <x v="1"/>
    <x v="10"/>
    <x v="47"/>
    <x v="25"/>
    <x v="20"/>
    <x v="9"/>
    <x v="1"/>
    <n v="0"/>
  </r>
  <r>
    <d v="2025-11-26T00:00:00"/>
    <x v="1"/>
    <x v="10"/>
    <x v="47"/>
    <x v="25"/>
    <x v="21"/>
    <x v="9"/>
    <x v="1"/>
    <n v="0"/>
  </r>
  <r>
    <d v="2025-11-26T00:00:00"/>
    <x v="1"/>
    <x v="10"/>
    <x v="47"/>
    <x v="25"/>
    <x v="25"/>
    <x v="2"/>
    <x v="1"/>
    <n v="0"/>
  </r>
  <r>
    <d v="2025-11-26T00:00:00"/>
    <x v="1"/>
    <x v="10"/>
    <x v="47"/>
    <x v="25"/>
    <x v="0"/>
    <x v="0"/>
    <x v="0"/>
    <n v="7547364000"/>
  </r>
  <r>
    <d v="2025-11-26T00:00:00"/>
    <x v="1"/>
    <x v="10"/>
    <x v="47"/>
    <x v="25"/>
    <x v="7"/>
    <x v="7"/>
    <x v="4"/>
    <n v="170128229"/>
  </r>
  <r>
    <d v="2025-11-26T00:00:00"/>
    <x v="1"/>
    <x v="10"/>
    <x v="47"/>
    <x v="25"/>
    <x v="1"/>
    <x v="1"/>
    <x v="1"/>
    <n v="63000000"/>
  </r>
  <r>
    <d v="2025-11-26T00:00:00"/>
    <x v="1"/>
    <x v="10"/>
    <x v="47"/>
    <x v="25"/>
    <x v="6"/>
    <x v="6"/>
    <x v="0"/>
    <n v="72000000"/>
  </r>
  <r>
    <d v="2025-11-26T00:00:00"/>
    <x v="1"/>
    <x v="10"/>
    <x v="47"/>
    <x v="25"/>
    <x v="18"/>
    <x v="15"/>
    <x v="1"/>
    <n v="466010000"/>
  </r>
  <r>
    <d v="2025-11-26T00:00:00"/>
    <x v="1"/>
    <x v="10"/>
    <x v="47"/>
    <x v="25"/>
    <x v="29"/>
    <x v="20"/>
    <x v="0"/>
    <n v="204660000"/>
  </r>
  <r>
    <d v="2025-11-26T00:00:00"/>
    <x v="1"/>
    <x v="10"/>
    <x v="47"/>
    <x v="25"/>
    <x v="19"/>
    <x v="12"/>
    <x v="4"/>
    <n v="408720198"/>
  </r>
  <r>
    <d v="2025-11-26T00:00:00"/>
    <x v="1"/>
    <x v="10"/>
    <x v="47"/>
    <x v="25"/>
    <x v="24"/>
    <x v="18"/>
    <x v="1"/>
    <n v="2332830000"/>
  </r>
  <r>
    <d v="2025-11-27T00:00:00"/>
    <x v="1"/>
    <x v="10"/>
    <x v="47"/>
    <x v="26"/>
    <x v="3"/>
    <x v="3"/>
    <x v="1"/>
    <n v="149800000"/>
  </r>
  <r>
    <d v="2025-11-27T00:00:00"/>
    <x v="1"/>
    <x v="10"/>
    <x v="47"/>
    <x v="26"/>
    <x v="11"/>
    <x v="10"/>
    <x v="4"/>
    <n v="251618132"/>
  </r>
  <r>
    <d v="2025-11-27T00:00:00"/>
    <x v="1"/>
    <x v="10"/>
    <x v="47"/>
    <x v="26"/>
    <x v="12"/>
    <x v="11"/>
    <x v="1"/>
    <n v="22081380000"/>
  </r>
  <r>
    <d v="2025-11-27T00:00:00"/>
    <x v="1"/>
    <x v="10"/>
    <x v="47"/>
    <x v="26"/>
    <x v="5"/>
    <x v="5"/>
    <x v="3"/>
    <n v="2064200613"/>
  </r>
  <r>
    <d v="2025-11-27T00:00:00"/>
    <x v="1"/>
    <x v="10"/>
    <x v="47"/>
    <x v="26"/>
    <x v="27"/>
    <x v="19"/>
    <x v="0"/>
    <n v="10853460000"/>
  </r>
  <r>
    <d v="2025-11-27T00:00:00"/>
    <x v="1"/>
    <x v="10"/>
    <x v="47"/>
    <x v="26"/>
    <x v="15"/>
    <x v="14"/>
    <x v="4"/>
    <n v="7705545"/>
  </r>
  <r>
    <d v="2025-11-27T00:00:00"/>
    <x v="1"/>
    <x v="10"/>
    <x v="47"/>
    <x v="26"/>
    <x v="14"/>
    <x v="13"/>
    <x v="1"/>
    <n v="2651370000"/>
  </r>
  <r>
    <d v="2025-11-27T00:00:00"/>
    <x v="1"/>
    <x v="10"/>
    <x v="47"/>
    <x v="26"/>
    <x v="23"/>
    <x v="17"/>
    <x v="4"/>
    <n v="6682130"/>
  </r>
  <r>
    <d v="2025-11-27T00:00:00"/>
    <x v="1"/>
    <x v="10"/>
    <x v="47"/>
    <x v="26"/>
    <x v="28"/>
    <x v="17"/>
    <x v="4"/>
    <n v="731610067"/>
  </r>
  <r>
    <d v="2025-11-27T00:00:00"/>
    <x v="1"/>
    <x v="10"/>
    <x v="47"/>
    <x v="26"/>
    <x v="8"/>
    <x v="8"/>
    <x v="1"/>
    <n v="0"/>
  </r>
  <r>
    <d v="2025-11-27T00:00:00"/>
    <x v="1"/>
    <x v="10"/>
    <x v="47"/>
    <x v="26"/>
    <x v="26"/>
    <x v="16"/>
    <x v="1"/>
    <n v="430000000"/>
  </r>
  <r>
    <d v="2025-11-27T00:00:00"/>
    <x v="1"/>
    <x v="10"/>
    <x v="47"/>
    <x v="26"/>
    <x v="2"/>
    <x v="2"/>
    <x v="1"/>
    <n v="15097970000"/>
  </r>
  <r>
    <d v="2025-11-27T00:00:00"/>
    <x v="1"/>
    <x v="10"/>
    <x v="47"/>
    <x v="26"/>
    <x v="17"/>
    <x v="9"/>
    <x v="1"/>
    <n v="0"/>
  </r>
  <r>
    <d v="2025-11-27T00:00:00"/>
    <x v="1"/>
    <x v="10"/>
    <x v="47"/>
    <x v="26"/>
    <x v="20"/>
    <x v="9"/>
    <x v="1"/>
    <n v="0"/>
  </r>
  <r>
    <d v="2025-11-27T00:00:00"/>
    <x v="1"/>
    <x v="10"/>
    <x v="47"/>
    <x v="26"/>
    <x v="21"/>
    <x v="9"/>
    <x v="1"/>
    <n v="0"/>
  </r>
  <r>
    <d v="2025-11-27T00:00:00"/>
    <x v="1"/>
    <x v="10"/>
    <x v="47"/>
    <x v="26"/>
    <x v="25"/>
    <x v="2"/>
    <x v="1"/>
    <n v="0"/>
  </r>
  <r>
    <d v="2025-11-27T00:00:00"/>
    <x v="1"/>
    <x v="10"/>
    <x v="47"/>
    <x v="26"/>
    <x v="0"/>
    <x v="0"/>
    <x v="0"/>
    <n v="7792740000"/>
  </r>
  <r>
    <d v="2025-11-27T00:00:00"/>
    <x v="1"/>
    <x v="10"/>
    <x v="47"/>
    <x v="26"/>
    <x v="7"/>
    <x v="7"/>
    <x v="4"/>
    <n v="171714933"/>
  </r>
  <r>
    <d v="2025-11-27T00:00:00"/>
    <x v="1"/>
    <x v="10"/>
    <x v="47"/>
    <x v="26"/>
    <x v="1"/>
    <x v="1"/>
    <x v="1"/>
    <n v="10500000"/>
  </r>
  <r>
    <d v="2025-11-27T00:00:00"/>
    <x v="1"/>
    <x v="10"/>
    <x v="47"/>
    <x v="26"/>
    <x v="6"/>
    <x v="6"/>
    <x v="0"/>
    <n v="75000000"/>
  </r>
  <r>
    <d v="2025-11-27T00:00:00"/>
    <x v="1"/>
    <x v="10"/>
    <x v="47"/>
    <x v="26"/>
    <x v="18"/>
    <x v="15"/>
    <x v="1"/>
    <n v="635400000"/>
  </r>
  <r>
    <d v="2025-11-27T00:00:00"/>
    <x v="1"/>
    <x v="10"/>
    <x v="47"/>
    <x v="26"/>
    <x v="29"/>
    <x v="20"/>
    <x v="0"/>
    <n v="211248000"/>
  </r>
  <r>
    <d v="2025-11-27T00:00:00"/>
    <x v="1"/>
    <x v="10"/>
    <x v="47"/>
    <x v="26"/>
    <x v="19"/>
    <x v="12"/>
    <x v="4"/>
    <n v="457045061"/>
  </r>
  <r>
    <d v="2025-11-27T00:00:00"/>
    <x v="1"/>
    <x v="10"/>
    <x v="47"/>
    <x v="26"/>
    <x v="24"/>
    <x v="18"/>
    <x v="1"/>
    <n v="2436480000"/>
  </r>
  <r>
    <d v="2025-11-28T00:00:00"/>
    <x v="1"/>
    <x v="10"/>
    <x v="47"/>
    <x v="27"/>
    <x v="3"/>
    <x v="3"/>
    <x v="1"/>
    <n v="82950000"/>
  </r>
  <r>
    <d v="2025-11-28T00:00:00"/>
    <x v="1"/>
    <x v="10"/>
    <x v="47"/>
    <x v="27"/>
    <x v="11"/>
    <x v="10"/>
    <x v="4"/>
    <n v="267552775"/>
  </r>
  <r>
    <d v="2025-11-28T00:00:00"/>
    <x v="1"/>
    <x v="10"/>
    <x v="47"/>
    <x v="27"/>
    <x v="12"/>
    <x v="11"/>
    <x v="1"/>
    <n v="29205690000"/>
  </r>
  <r>
    <d v="2025-11-28T00:00:00"/>
    <x v="1"/>
    <x v="10"/>
    <x v="47"/>
    <x v="27"/>
    <x v="5"/>
    <x v="5"/>
    <x v="3"/>
    <n v="2551531217"/>
  </r>
  <r>
    <d v="2025-11-28T00:00:00"/>
    <x v="1"/>
    <x v="10"/>
    <x v="47"/>
    <x v="27"/>
    <x v="27"/>
    <x v="19"/>
    <x v="0"/>
    <n v="11124216000"/>
  </r>
  <r>
    <d v="2025-11-28T00:00:00"/>
    <x v="1"/>
    <x v="10"/>
    <x v="47"/>
    <x v="27"/>
    <x v="15"/>
    <x v="14"/>
    <x v="4"/>
    <n v="11927223"/>
  </r>
  <r>
    <d v="2025-11-28T00:00:00"/>
    <x v="1"/>
    <x v="10"/>
    <x v="47"/>
    <x v="27"/>
    <x v="14"/>
    <x v="13"/>
    <x v="1"/>
    <n v="3001780000"/>
  </r>
  <r>
    <d v="2025-11-28T00:00:00"/>
    <x v="1"/>
    <x v="10"/>
    <x v="47"/>
    <x v="27"/>
    <x v="23"/>
    <x v="17"/>
    <x v="4"/>
    <n v="6929725"/>
  </r>
  <r>
    <d v="2025-11-28T00:00:00"/>
    <x v="1"/>
    <x v="10"/>
    <x v="47"/>
    <x v="27"/>
    <x v="28"/>
    <x v="17"/>
    <x v="4"/>
    <n v="735210558"/>
  </r>
  <r>
    <d v="2025-11-28T00:00:00"/>
    <x v="1"/>
    <x v="10"/>
    <x v="47"/>
    <x v="27"/>
    <x v="8"/>
    <x v="8"/>
    <x v="1"/>
    <n v="0"/>
  </r>
  <r>
    <d v="2025-11-28T00:00:00"/>
    <x v="1"/>
    <x v="10"/>
    <x v="47"/>
    <x v="27"/>
    <x v="26"/>
    <x v="16"/>
    <x v="1"/>
    <n v="352350000"/>
  </r>
  <r>
    <d v="2025-11-28T00:00:00"/>
    <x v="1"/>
    <x v="10"/>
    <x v="47"/>
    <x v="27"/>
    <x v="2"/>
    <x v="2"/>
    <x v="1"/>
    <n v="17536440000"/>
  </r>
  <r>
    <d v="2025-11-28T00:00:00"/>
    <x v="1"/>
    <x v="10"/>
    <x v="47"/>
    <x v="27"/>
    <x v="17"/>
    <x v="9"/>
    <x v="1"/>
    <n v="0"/>
  </r>
  <r>
    <d v="2025-11-28T00:00:00"/>
    <x v="1"/>
    <x v="10"/>
    <x v="47"/>
    <x v="27"/>
    <x v="20"/>
    <x v="9"/>
    <x v="1"/>
    <n v="0"/>
  </r>
  <r>
    <d v="2025-11-28T00:00:00"/>
    <x v="1"/>
    <x v="10"/>
    <x v="47"/>
    <x v="27"/>
    <x v="21"/>
    <x v="9"/>
    <x v="1"/>
    <n v="0"/>
  </r>
  <r>
    <d v="2025-11-28T00:00:00"/>
    <x v="1"/>
    <x v="10"/>
    <x v="47"/>
    <x v="27"/>
    <x v="25"/>
    <x v="2"/>
    <x v="1"/>
    <n v="0"/>
  </r>
  <r>
    <d v="2025-11-28T00:00:00"/>
    <x v="1"/>
    <x v="10"/>
    <x v="47"/>
    <x v="27"/>
    <x v="0"/>
    <x v="0"/>
    <x v="0"/>
    <n v="9465336000"/>
  </r>
  <r>
    <d v="2025-11-28T00:00:00"/>
    <x v="1"/>
    <x v="10"/>
    <x v="47"/>
    <x v="27"/>
    <x v="7"/>
    <x v="7"/>
    <x v="4"/>
    <n v="154267734"/>
  </r>
  <r>
    <d v="2025-11-28T00:00:00"/>
    <x v="1"/>
    <x v="10"/>
    <x v="47"/>
    <x v="27"/>
    <x v="1"/>
    <x v="1"/>
    <x v="1"/>
    <n v="31500000"/>
  </r>
  <r>
    <d v="2025-11-28T00:00:00"/>
    <x v="1"/>
    <x v="10"/>
    <x v="47"/>
    <x v="27"/>
    <x v="6"/>
    <x v="6"/>
    <x v="0"/>
    <n v="68000000"/>
  </r>
  <r>
    <d v="2025-11-28T00:00:00"/>
    <x v="1"/>
    <x v="10"/>
    <x v="47"/>
    <x v="27"/>
    <x v="18"/>
    <x v="15"/>
    <x v="1"/>
    <n v="558690000"/>
  </r>
  <r>
    <d v="2025-11-28T00:00:00"/>
    <x v="1"/>
    <x v="10"/>
    <x v="47"/>
    <x v="27"/>
    <x v="29"/>
    <x v="20"/>
    <x v="0"/>
    <n v="207900000"/>
  </r>
  <r>
    <d v="2025-11-28T00:00:00"/>
    <x v="1"/>
    <x v="10"/>
    <x v="47"/>
    <x v="27"/>
    <x v="19"/>
    <x v="12"/>
    <x v="4"/>
    <n v="492526031"/>
  </r>
  <r>
    <d v="2025-11-28T00:00:00"/>
    <x v="1"/>
    <x v="10"/>
    <x v="47"/>
    <x v="27"/>
    <x v="24"/>
    <x v="18"/>
    <x v="1"/>
    <n v="3593710000"/>
  </r>
  <r>
    <d v="2025-11-29T00:00:00"/>
    <x v="1"/>
    <x v="10"/>
    <x v="47"/>
    <x v="28"/>
    <x v="3"/>
    <x v="3"/>
    <x v="1"/>
    <n v="69600000"/>
  </r>
  <r>
    <d v="2025-11-29T00:00:00"/>
    <x v="1"/>
    <x v="10"/>
    <x v="47"/>
    <x v="28"/>
    <x v="11"/>
    <x v="10"/>
    <x v="4"/>
    <n v="290675701"/>
  </r>
  <r>
    <d v="2025-11-29T00:00:00"/>
    <x v="1"/>
    <x v="10"/>
    <x v="47"/>
    <x v="28"/>
    <x v="12"/>
    <x v="11"/>
    <x v="1"/>
    <n v="29072380000"/>
  </r>
  <r>
    <d v="2025-11-29T00:00:00"/>
    <x v="1"/>
    <x v="10"/>
    <x v="47"/>
    <x v="28"/>
    <x v="5"/>
    <x v="5"/>
    <x v="3"/>
    <n v="1871997650"/>
  </r>
  <r>
    <d v="2025-11-29T00:00:00"/>
    <x v="1"/>
    <x v="10"/>
    <x v="47"/>
    <x v="28"/>
    <x v="27"/>
    <x v="19"/>
    <x v="0"/>
    <n v="10473624000"/>
  </r>
  <r>
    <d v="2025-11-29T00:00:00"/>
    <x v="1"/>
    <x v="10"/>
    <x v="47"/>
    <x v="28"/>
    <x v="15"/>
    <x v="14"/>
    <x v="4"/>
    <n v="13603189"/>
  </r>
  <r>
    <d v="2025-11-29T00:00:00"/>
    <x v="1"/>
    <x v="10"/>
    <x v="47"/>
    <x v="28"/>
    <x v="14"/>
    <x v="13"/>
    <x v="1"/>
    <n v="3107900000"/>
  </r>
  <r>
    <d v="2025-11-29T00:00:00"/>
    <x v="1"/>
    <x v="10"/>
    <x v="47"/>
    <x v="28"/>
    <x v="23"/>
    <x v="17"/>
    <x v="4"/>
    <n v="7110691"/>
  </r>
  <r>
    <d v="2025-11-29T00:00:00"/>
    <x v="1"/>
    <x v="10"/>
    <x v="47"/>
    <x v="28"/>
    <x v="28"/>
    <x v="17"/>
    <x v="4"/>
    <n v="814463864"/>
  </r>
  <r>
    <d v="2025-11-29T00:00:00"/>
    <x v="1"/>
    <x v="10"/>
    <x v="47"/>
    <x v="28"/>
    <x v="8"/>
    <x v="8"/>
    <x v="1"/>
    <n v="0"/>
  </r>
  <r>
    <d v="2025-11-29T00:00:00"/>
    <x v="1"/>
    <x v="10"/>
    <x v="47"/>
    <x v="28"/>
    <x v="26"/>
    <x v="16"/>
    <x v="1"/>
    <n v="271050000"/>
  </r>
  <r>
    <d v="2025-11-29T00:00:00"/>
    <x v="1"/>
    <x v="10"/>
    <x v="47"/>
    <x v="28"/>
    <x v="2"/>
    <x v="2"/>
    <x v="1"/>
    <n v="17634680000"/>
  </r>
  <r>
    <d v="2025-11-29T00:00:00"/>
    <x v="1"/>
    <x v="10"/>
    <x v="47"/>
    <x v="28"/>
    <x v="17"/>
    <x v="9"/>
    <x v="1"/>
    <n v="0"/>
  </r>
  <r>
    <d v="2025-11-29T00:00:00"/>
    <x v="1"/>
    <x v="10"/>
    <x v="47"/>
    <x v="28"/>
    <x v="20"/>
    <x v="9"/>
    <x v="1"/>
    <n v="0"/>
  </r>
  <r>
    <d v="2025-11-29T00:00:00"/>
    <x v="1"/>
    <x v="10"/>
    <x v="47"/>
    <x v="28"/>
    <x v="21"/>
    <x v="9"/>
    <x v="1"/>
    <n v="0"/>
  </r>
  <r>
    <d v="2025-11-29T00:00:00"/>
    <x v="1"/>
    <x v="10"/>
    <x v="47"/>
    <x v="28"/>
    <x v="25"/>
    <x v="2"/>
    <x v="1"/>
    <n v="0"/>
  </r>
  <r>
    <d v="2025-11-29T00:00:00"/>
    <x v="1"/>
    <x v="10"/>
    <x v="47"/>
    <x v="28"/>
    <x v="0"/>
    <x v="0"/>
    <x v="0"/>
    <n v="8817984000"/>
  </r>
  <r>
    <d v="2025-11-29T00:00:00"/>
    <x v="1"/>
    <x v="10"/>
    <x v="47"/>
    <x v="28"/>
    <x v="7"/>
    <x v="7"/>
    <x v="4"/>
    <n v="148990733"/>
  </r>
  <r>
    <d v="2025-11-29T00:00:00"/>
    <x v="1"/>
    <x v="10"/>
    <x v="47"/>
    <x v="28"/>
    <x v="1"/>
    <x v="1"/>
    <x v="1"/>
    <n v="0"/>
  </r>
  <r>
    <d v="2025-11-29T00:00:00"/>
    <x v="1"/>
    <x v="10"/>
    <x v="47"/>
    <x v="28"/>
    <x v="6"/>
    <x v="6"/>
    <x v="0"/>
    <n v="26000000"/>
  </r>
  <r>
    <d v="2025-11-29T00:00:00"/>
    <x v="1"/>
    <x v="10"/>
    <x v="47"/>
    <x v="28"/>
    <x v="18"/>
    <x v="15"/>
    <x v="1"/>
    <n v="681200000"/>
  </r>
  <r>
    <d v="2025-11-29T00:00:00"/>
    <x v="1"/>
    <x v="10"/>
    <x v="47"/>
    <x v="28"/>
    <x v="29"/>
    <x v="20"/>
    <x v="0"/>
    <n v="190728000"/>
  </r>
  <r>
    <d v="2025-11-29T00:00:00"/>
    <x v="1"/>
    <x v="10"/>
    <x v="47"/>
    <x v="28"/>
    <x v="19"/>
    <x v="12"/>
    <x v="4"/>
    <n v="461297627"/>
  </r>
  <r>
    <d v="2025-11-29T00:00:00"/>
    <x v="1"/>
    <x v="10"/>
    <x v="47"/>
    <x v="28"/>
    <x v="24"/>
    <x v="18"/>
    <x v="1"/>
    <n v="3540940000"/>
  </r>
  <r>
    <d v="2025-11-30T00:00:00"/>
    <x v="1"/>
    <x v="10"/>
    <x v="47"/>
    <x v="29"/>
    <x v="3"/>
    <x v="3"/>
    <x v="1"/>
    <n v="102400000"/>
  </r>
  <r>
    <d v="2025-11-30T00:00:00"/>
    <x v="1"/>
    <x v="10"/>
    <x v="47"/>
    <x v="29"/>
    <x v="11"/>
    <x v="10"/>
    <x v="4"/>
    <n v="280735588"/>
  </r>
  <r>
    <d v="2025-11-30T00:00:00"/>
    <x v="1"/>
    <x v="10"/>
    <x v="47"/>
    <x v="29"/>
    <x v="12"/>
    <x v="11"/>
    <x v="1"/>
    <n v="25391150000"/>
  </r>
  <r>
    <d v="2025-11-30T00:00:00"/>
    <x v="1"/>
    <x v="10"/>
    <x v="47"/>
    <x v="29"/>
    <x v="5"/>
    <x v="5"/>
    <x v="3"/>
    <n v="2280149651"/>
  </r>
  <r>
    <d v="2025-11-30T00:00:00"/>
    <x v="1"/>
    <x v="10"/>
    <x v="47"/>
    <x v="29"/>
    <x v="27"/>
    <x v="19"/>
    <x v="0"/>
    <n v="10853784000"/>
  </r>
  <r>
    <d v="2025-11-30T00:00:00"/>
    <x v="1"/>
    <x v="10"/>
    <x v="47"/>
    <x v="29"/>
    <x v="15"/>
    <x v="14"/>
    <x v="4"/>
    <n v="14499059"/>
  </r>
  <r>
    <d v="2025-11-30T00:00:00"/>
    <x v="1"/>
    <x v="10"/>
    <x v="47"/>
    <x v="29"/>
    <x v="14"/>
    <x v="13"/>
    <x v="1"/>
    <n v="3941480000"/>
  </r>
  <r>
    <d v="2025-11-30T00:00:00"/>
    <x v="1"/>
    <x v="10"/>
    <x v="47"/>
    <x v="29"/>
    <x v="23"/>
    <x v="17"/>
    <x v="4"/>
    <n v="19394599"/>
  </r>
  <r>
    <d v="2025-11-30T00:00:00"/>
    <x v="1"/>
    <x v="10"/>
    <x v="47"/>
    <x v="29"/>
    <x v="28"/>
    <x v="17"/>
    <x v="4"/>
    <n v="1053943953"/>
  </r>
  <r>
    <d v="2025-11-30T00:00:00"/>
    <x v="1"/>
    <x v="10"/>
    <x v="47"/>
    <x v="29"/>
    <x v="8"/>
    <x v="8"/>
    <x v="1"/>
    <n v="0"/>
  </r>
  <r>
    <d v="2025-11-30T00:00:00"/>
    <x v="1"/>
    <x v="10"/>
    <x v="47"/>
    <x v="29"/>
    <x v="26"/>
    <x v="16"/>
    <x v="1"/>
    <n v="350600000"/>
  </r>
  <r>
    <d v="2025-11-30T00:00:00"/>
    <x v="1"/>
    <x v="10"/>
    <x v="47"/>
    <x v="29"/>
    <x v="2"/>
    <x v="2"/>
    <x v="1"/>
    <n v="18185480000"/>
  </r>
  <r>
    <d v="2025-11-30T00:00:00"/>
    <x v="1"/>
    <x v="10"/>
    <x v="47"/>
    <x v="29"/>
    <x v="17"/>
    <x v="9"/>
    <x v="1"/>
    <n v="0"/>
  </r>
  <r>
    <d v="2025-11-30T00:00:00"/>
    <x v="1"/>
    <x v="10"/>
    <x v="47"/>
    <x v="29"/>
    <x v="20"/>
    <x v="9"/>
    <x v="1"/>
    <n v="0"/>
  </r>
  <r>
    <d v="2025-11-30T00:00:00"/>
    <x v="1"/>
    <x v="10"/>
    <x v="47"/>
    <x v="29"/>
    <x v="21"/>
    <x v="9"/>
    <x v="1"/>
    <n v="0"/>
  </r>
  <r>
    <d v="2025-11-30T00:00:00"/>
    <x v="1"/>
    <x v="10"/>
    <x v="47"/>
    <x v="29"/>
    <x v="25"/>
    <x v="2"/>
    <x v="1"/>
    <n v="0"/>
  </r>
  <r>
    <d v="2025-11-30T00:00:00"/>
    <x v="1"/>
    <x v="10"/>
    <x v="47"/>
    <x v="29"/>
    <x v="0"/>
    <x v="0"/>
    <x v="0"/>
    <n v="8920044000"/>
  </r>
  <r>
    <d v="2025-11-30T00:00:00"/>
    <x v="1"/>
    <x v="10"/>
    <x v="47"/>
    <x v="29"/>
    <x v="7"/>
    <x v="7"/>
    <x v="4"/>
    <n v="158401163"/>
  </r>
  <r>
    <d v="2025-11-30T00:00:00"/>
    <x v="1"/>
    <x v="10"/>
    <x v="47"/>
    <x v="29"/>
    <x v="1"/>
    <x v="1"/>
    <x v="1"/>
    <n v="42000000"/>
  </r>
  <r>
    <d v="2025-11-30T00:00:00"/>
    <x v="1"/>
    <x v="10"/>
    <x v="47"/>
    <x v="29"/>
    <x v="6"/>
    <x v="6"/>
    <x v="0"/>
    <n v="50000000"/>
  </r>
  <r>
    <d v="2025-11-30T00:00:00"/>
    <x v="1"/>
    <x v="10"/>
    <x v="47"/>
    <x v="29"/>
    <x v="18"/>
    <x v="15"/>
    <x v="1"/>
    <n v="387270000"/>
  </r>
  <r>
    <d v="2025-11-30T00:00:00"/>
    <x v="1"/>
    <x v="10"/>
    <x v="47"/>
    <x v="29"/>
    <x v="29"/>
    <x v="20"/>
    <x v="0"/>
    <n v="228960000"/>
  </r>
  <r>
    <d v="2025-11-30T00:00:00"/>
    <x v="1"/>
    <x v="10"/>
    <x v="47"/>
    <x v="29"/>
    <x v="19"/>
    <x v="12"/>
    <x v="4"/>
    <n v="481360513"/>
  </r>
  <r>
    <d v="2025-11-30T00:00:00"/>
    <x v="1"/>
    <x v="10"/>
    <x v="47"/>
    <x v="29"/>
    <x v="24"/>
    <x v="18"/>
    <x v="1"/>
    <n v="3753120000"/>
  </r>
  <r>
    <d v="2025-12-01T00:00:00"/>
    <x v="1"/>
    <x v="11"/>
    <x v="48"/>
    <x v="0"/>
    <x v="3"/>
    <x v="3"/>
    <x v="1"/>
    <n v="111350000"/>
  </r>
  <r>
    <d v="2025-12-01T00:00:00"/>
    <x v="1"/>
    <x v="11"/>
    <x v="48"/>
    <x v="0"/>
    <x v="11"/>
    <x v="10"/>
    <x v="4"/>
    <n v="286643947"/>
  </r>
  <r>
    <d v="2025-12-01T00:00:00"/>
    <x v="1"/>
    <x v="11"/>
    <x v="48"/>
    <x v="0"/>
    <x v="12"/>
    <x v="11"/>
    <x v="1"/>
    <n v="27492860000"/>
  </r>
  <r>
    <d v="2025-12-01T00:00:00"/>
    <x v="1"/>
    <x v="11"/>
    <x v="48"/>
    <x v="0"/>
    <x v="5"/>
    <x v="5"/>
    <x v="3"/>
    <n v="4289501378"/>
  </r>
  <r>
    <d v="2025-12-01T00:00:00"/>
    <x v="1"/>
    <x v="11"/>
    <x v="48"/>
    <x v="0"/>
    <x v="27"/>
    <x v="19"/>
    <x v="0"/>
    <n v="13343076000"/>
  </r>
  <r>
    <d v="2025-12-01T00:00:00"/>
    <x v="1"/>
    <x v="11"/>
    <x v="48"/>
    <x v="0"/>
    <x v="15"/>
    <x v="14"/>
    <x v="4"/>
    <n v="14391223"/>
  </r>
  <r>
    <d v="2025-12-01T00:00:00"/>
    <x v="1"/>
    <x v="11"/>
    <x v="48"/>
    <x v="0"/>
    <x v="14"/>
    <x v="13"/>
    <x v="1"/>
    <n v="4029220000"/>
  </r>
  <r>
    <d v="2025-12-01T00:00:00"/>
    <x v="1"/>
    <x v="11"/>
    <x v="48"/>
    <x v="0"/>
    <x v="23"/>
    <x v="17"/>
    <x v="4"/>
    <n v="9610125"/>
  </r>
  <r>
    <d v="2025-12-01T00:00:00"/>
    <x v="1"/>
    <x v="11"/>
    <x v="48"/>
    <x v="0"/>
    <x v="28"/>
    <x v="17"/>
    <x v="4"/>
    <n v="1010942697"/>
  </r>
  <r>
    <d v="2025-12-01T00:00:00"/>
    <x v="1"/>
    <x v="11"/>
    <x v="48"/>
    <x v="0"/>
    <x v="8"/>
    <x v="8"/>
    <x v="1"/>
    <n v="0"/>
  </r>
  <r>
    <d v="2025-12-01T00:00:00"/>
    <x v="1"/>
    <x v="11"/>
    <x v="48"/>
    <x v="0"/>
    <x v="26"/>
    <x v="16"/>
    <x v="1"/>
    <n v="453500000"/>
  </r>
  <r>
    <d v="2025-12-01T00:00:00"/>
    <x v="1"/>
    <x v="11"/>
    <x v="48"/>
    <x v="0"/>
    <x v="2"/>
    <x v="2"/>
    <x v="1"/>
    <n v="20481820000"/>
  </r>
  <r>
    <d v="2025-12-01T00:00:00"/>
    <x v="1"/>
    <x v="11"/>
    <x v="48"/>
    <x v="0"/>
    <x v="17"/>
    <x v="9"/>
    <x v="1"/>
    <n v="0"/>
  </r>
  <r>
    <d v="2025-12-01T00:00:00"/>
    <x v="1"/>
    <x v="11"/>
    <x v="48"/>
    <x v="0"/>
    <x v="20"/>
    <x v="9"/>
    <x v="1"/>
    <n v="0"/>
  </r>
  <r>
    <d v="2025-12-01T00:00:00"/>
    <x v="1"/>
    <x v="11"/>
    <x v="48"/>
    <x v="0"/>
    <x v="21"/>
    <x v="9"/>
    <x v="1"/>
    <n v="0"/>
  </r>
  <r>
    <d v="2025-12-01T00:00:00"/>
    <x v="1"/>
    <x v="11"/>
    <x v="48"/>
    <x v="0"/>
    <x v="25"/>
    <x v="2"/>
    <x v="1"/>
    <n v="0"/>
  </r>
  <r>
    <d v="2025-12-01T00:00:00"/>
    <x v="1"/>
    <x v="11"/>
    <x v="48"/>
    <x v="0"/>
    <x v="0"/>
    <x v="0"/>
    <x v="0"/>
    <n v="10297584000"/>
  </r>
  <r>
    <d v="2025-12-01T00:00:00"/>
    <x v="1"/>
    <x v="11"/>
    <x v="48"/>
    <x v="0"/>
    <x v="7"/>
    <x v="7"/>
    <x v="4"/>
    <n v="489658298"/>
  </r>
  <r>
    <d v="2025-12-01T00:00:00"/>
    <x v="1"/>
    <x v="11"/>
    <x v="48"/>
    <x v="0"/>
    <x v="1"/>
    <x v="1"/>
    <x v="1"/>
    <n v="47250000"/>
  </r>
  <r>
    <d v="2025-12-01T00:00:00"/>
    <x v="1"/>
    <x v="11"/>
    <x v="48"/>
    <x v="0"/>
    <x v="6"/>
    <x v="6"/>
    <x v="0"/>
    <n v="31000000"/>
  </r>
  <r>
    <d v="2025-12-01T00:00:00"/>
    <x v="1"/>
    <x v="11"/>
    <x v="48"/>
    <x v="0"/>
    <x v="18"/>
    <x v="15"/>
    <x v="1"/>
    <n v="633490000"/>
  </r>
  <r>
    <d v="2025-12-01T00:00:00"/>
    <x v="1"/>
    <x v="11"/>
    <x v="48"/>
    <x v="0"/>
    <x v="29"/>
    <x v="20"/>
    <x v="0"/>
    <n v="235872000"/>
  </r>
  <r>
    <d v="2025-12-01T00:00:00"/>
    <x v="1"/>
    <x v="11"/>
    <x v="48"/>
    <x v="0"/>
    <x v="19"/>
    <x v="12"/>
    <x v="4"/>
    <n v="859783740"/>
  </r>
  <r>
    <d v="2025-12-01T00:00:00"/>
    <x v="1"/>
    <x v="11"/>
    <x v="48"/>
    <x v="0"/>
    <x v="24"/>
    <x v="18"/>
    <x v="1"/>
    <n v="5301190000"/>
  </r>
  <r>
    <d v="2025-12-02T00:00:00"/>
    <x v="1"/>
    <x v="11"/>
    <x v="48"/>
    <x v="1"/>
    <x v="3"/>
    <x v="3"/>
    <x v="1"/>
    <n v="134950000"/>
  </r>
  <r>
    <d v="2025-12-02T00:00:00"/>
    <x v="1"/>
    <x v="11"/>
    <x v="48"/>
    <x v="1"/>
    <x v="11"/>
    <x v="10"/>
    <x v="4"/>
    <n v="348237991"/>
  </r>
  <r>
    <d v="2025-12-02T00:00:00"/>
    <x v="1"/>
    <x v="11"/>
    <x v="48"/>
    <x v="1"/>
    <x v="12"/>
    <x v="11"/>
    <x v="1"/>
    <n v="21350990000"/>
  </r>
  <r>
    <d v="2025-12-02T00:00:00"/>
    <x v="1"/>
    <x v="11"/>
    <x v="48"/>
    <x v="1"/>
    <x v="5"/>
    <x v="5"/>
    <x v="3"/>
    <n v="3467973723"/>
  </r>
  <r>
    <d v="2025-12-02T00:00:00"/>
    <x v="1"/>
    <x v="11"/>
    <x v="48"/>
    <x v="1"/>
    <x v="27"/>
    <x v="19"/>
    <x v="0"/>
    <n v="12062196000"/>
  </r>
  <r>
    <d v="2025-12-02T00:00:00"/>
    <x v="1"/>
    <x v="11"/>
    <x v="48"/>
    <x v="1"/>
    <x v="15"/>
    <x v="14"/>
    <x v="4"/>
    <n v="48383020"/>
  </r>
  <r>
    <d v="2025-12-02T00:00:00"/>
    <x v="1"/>
    <x v="11"/>
    <x v="48"/>
    <x v="1"/>
    <x v="14"/>
    <x v="13"/>
    <x v="1"/>
    <n v="3659230000"/>
  </r>
  <r>
    <d v="2025-12-02T00:00:00"/>
    <x v="1"/>
    <x v="11"/>
    <x v="48"/>
    <x v="1"/>
    <x v="23"/>
    <x v="17"/>
    <x v="4"/>
    <n v="7390911"/>
  </r>
  <r>
    <d v="2025-12-02T00:00:00"/>
    <x v="1"/>
    <x v="11"/>
    <x v="48"/>
    <x v="1"/>
    <x v="28"/>
    <x v="17"/>
    <x v="4"/>
    <n v="1166252386"/>
  </r>
  <r>
    <d v="2025-12-02T00:00:00"/>
    <x v="1"/>
    <x v="11"/>
    <x v="48"/>
    <x v="1"/>
    <x v="8"/>
    <x v="8"/>
    <x v="1"/>
    <n v="0"/>
  </r>
  <r>
    <d v="2025-12-02T00:00:00"/>
    <x v="1"/>
    <x v="11"/>
    <x v="48"/>
    <x v="1"/>
    <x v="26"/>
    <x v="16"/>
    <x v="1"/>
    <n v="477550000"/>
  </r>
  <r>
    <d v="2025-12-02T00:00:00"/>
    <x v="1"/>
    <x v="11"/>
    <x v="48"/>
    <x v="1"/>
    <x v="2"/>
    <x v="2"/>
    <x v="1"/>
    <n v="21346710000"/>
  </r>
  <r>
    <d v="2025-12-02T00:00:00"/>
    <x v="1"/>
    <x v="11"/>
    <x v="48"/>
    <x v="1"/>
    <x v="17"/>
    <x v="9"/>
    <x v="1"/>
    <n v="0"/>
  </r>
  <r>
    <d v="2025-12-02T00:00:00"/>
    <x v="1"/>
    <x v="11"/>
    <x v="48"/>
    <x v="1"/>
    <x v="20"/>
    <x v="9"/>
    <x v="1"/>
    <n v="0"/>
  </r>
  <r>
    <d v="2025-12-02T00:00:00"/>
    <x v="1"/>
    <x v="11"/>
    <x v="48"/>
    <x v="1"/>
    <x v="21"/>
    <x v="9"/>
    <x v="1"/>
    <n v="0"/>
  </r>
  <r>
    <d v="2025-12-02T00:00:00"/>
    <x v="1"/>
    <x v="11"/>
    <x v="48"/>
    <x v="1"/>
    <x v="25"/>
    <x v="2"/>
    <x v="1"/>
    <n v="5000000"/>
  </r>
  <r>
    <d v="2025-12-02T00:00:00"/>
    <x v="1"/>
    <x v="11"/>
    <x v="48"/>
    <x v="1"/>
    <x v="0"/>
    <x v="0"/>
    <x v="0"/>
    <n v="10290456000"/>
  </r>
  <r>
    <d v="2025-12-02T00:00:00"/>
    <x v="1"/>
    <x v="11"/>
    <x v="48"/>
    <x v="1"/>
    <x v="7"/>
    <x v="7"/>
    <x v="4"/>
    <n v="432396825"/>
  </r>
  <r>
    <d v="2025-12-02T00:00:00"/>
    <x v="1"/>
    <x v="11"/>
    <x v="48"/>
    <x v="1"/>
    <x v="1"/>
    <x v="1"/>
    <x v="1"/>
    <n v="35500000"/>
  </r>
  <r>
    <d v="2025-12-02T00:00:00"/>
    <x v="1"/>
    <x v="11"/>
    <x v="48"/>
    <x v="1"/>
    <x v="6"/>
    <x v="6"/>
    <x v="0"/>
    <n v="16000000"/>
  </r>
  <r>
    <d v="2025-12-02T00:00:00"/>
    <x v="1"/>
    <x v="11"/>
    <x v="48"/>
    <x v="1"/>
    <x v="18"/>
    <x v="15"/>
    <x v="1"/>
    <n v="491200000"/>
  </r>
  <r>
    <d v="2025-12-02T00:00:00"/>
    <x v="1"/>
    <x v="11"/>
    <x v="48"/>
    <x v="1"/>
    <x v="29"/>
    <x v="20"/>
    <x v="0"/>
    <n v="207468000"/>
  </r>
  <r>
    <d v="2025-12-02T00:00:00"/>
    <x v="1"/>
    <x v="11"/>
    <x v="48"/>
    <x v="1"/>
    <x v="19"/>
    <x v="12"/>
    <x v="4"/>
    <n v="1028719283"/>
  </r>
  <r>
    <d v="2025-12-02T00:00:00"/>
    <x v="1"/>
    <x v="11"/>
    <x v="48"/>
    <x v="1"/>
    <x v="24"/>
    <x v="18"/>
    <x v="1"/>
    <n v="4295010000"/>
  </r>
  <r>
    <d v="2025-12-03T00:00:00"/>
    <x v="1"/>
    <x v="11"/>
    <x v="48"/>
    <x v="2"/>
    <x v="3"/>
    <x v="3"/>
    <x v="1"/>
    <n v="180050000"/>
  </r>
  <r>
    <d v="2025-12-03T00:00:00"/>
    <x v="1"/>
    <x v="11"/>
    <x v="48"/>
    <x v="2"/>
    <x v="11"/>
    <x v="10"/>
    <x v="4"/>
    <n v="359435570"/>
  </r>
  <r>
    <d v="2025-12-03T00:00:00"/>
    <x v="1"/>
    <x v="11"/>
    <x v="48"/>
    <x v="2"/>
    <x v="12"/>
    <x v="11"/>
    <x v="1"/>
    <n v="21744080000"/>
  </r>
  <r>
    <d v="2025-12-03T00:00:00"/>
    <x v="1"/>
    <x v="11"/>
    <x v="48"/>
    <x v="2"/>
    <x v="5"/>
    <x v="5"/>
    <x v="3"/>
    <n v="2565519802"/>
  </r>
  <r>
    <d v="2025-12-03T00:00:00"/>
    <x v="1"/>
    <x v="11"/>
    <x v="48"/>
    <x v="2"/>
    <x v="27"/>
    <x v="19"/>
    <x v="0"/>
    <n v="12354336000"/>
  </r>
  <r>
    <d v="2025-12-03T00:00:00"/>
    <x v="1"/>
    <x v="11"/>
    <x v="48"/>
    <x v="2"/>
    <x v="15"/>
    <x v="14"/>
    <x v="4"/>
    <n v="67095461"/>
  </r>
  <r>
    <d v="2025-12-03T00:00:00"/>
    <x v="1"/>
    <x v="11"/>
    <x v="48"/>
    <x v="2"/>
    <x v="14"/>
    <x v="13"/>
    <x v="1"/>
    <n v="3170300000"/>
  </r>
  <r>
    <d v="2025-12-03T00:00:00"/>
    <x v="1"/>
    <x v="11"/>
    <x v="48"/>
    <x v="2"/>
    <x v="23"/>
    <x v="17"/>
    <x v="4"/>
    <n v="26734131"/>
  </r>
  <r>
    <d v="2025-12-03T00:00:00"/>
    <x v="1"/>
    <x v="11"/>
    <x v="48"/>
    <x v="2"/>
    <x v="28"/>
    <x v="17"/>
    <x v="4"/>
    <n v="1504725606"/>
  </r>
  <r>
    <d v="2025-12-03T00:00:00"/>
    <x v="1"/>
    <x v="11"/>
    <x v="48"/>
    <x v="2"/>
    <x v="8"/>
    <x v="8"/>
    <x v="1"/>
    <n v="0"/>
  </r>
  <r>
    <d v="2025-12-03T00:00:00"/>
    <x v="1"/>
    <x v="11"/>
    <x v="48"/>
    <x v="2"/>
    <x v="26"/>
    <x v="16"/>
    <x v="1"/>
    <n v="213750000"/>
  </r>
  <r>
    <d v="2025-12-03T00:00:00"/>
    <x v="1"/>
    <x v="11"/>
    <x v="48"/>
    <x v="2"/>
    <x v="2"/>
    <x v="2"/>
    <x v="1"/>
    <n v="18564570000"/>
  </r>
  <r>
    <d v="2025-12-03T00:00:00"/>
    <x v="1"/>
    <x v="11"/>
    <x v="48"/>
    <x v="2"/>
    <x v="17"/>
    <x v="9"/>
    <x v="1"/>
    <n v="0"/>
  </r>
  <r>
    <d v="2025-12-03T00:00:00"/>
    <x v="1"/>
    <x v="11"/>
    <x v="48"/>
    <x v="2"/>
    <x v="20"/>
    <x v="9"/>
    <x v="1"/>
    <n v="0"/>
  </r>
  <r>
    <d v="2025-12-03T00:00:00"/>
    <x v="1"/>
    <x v="11"/>
    <x v="48"/>
    <x v="2"/>
    <x v="21"/>
    <x v="9"/>
    <x v="1"/>
    <n v="0"/>
  </r>
  <r>
    <d v="2025-12-03T00:00:00"/>
    <x v="1"/>
    <x v="11"/>
    <x v="48"/>
    <x v="2"/>
    <x v="25"/>
    <x v="2"/>
    <x v="1"/>
    <n v="25000000"/>
  </r>
  <r>
    <d v="2025-12-03T00:00:00"/>
    <x v="1"/>
    <x v="11"/>
    <x v="48"/>
    <x v="2"/>
    <x v="0"/>
    <x v="0"/>
    <x v="0"/>
    <n v="9799704000"/>
  </r>
  <r>
    <d v="2025-12-03T00:00:00"/>
    <x v="1"/>
    <x v="11"/>
    <x v="48"/>
    <x v="2"/>
    <x v="7"/>
    <x v="7"/>
    <x v="4"/>
    <n v="473222040"/>
  </r>
  <r>
    <d v="2025-12-03T00:00:00"/>
    <x v="1"/>
    <x v="11"/>
    <x v="48"/>
    <x v="2"/>
    <x v="1"/>
    <x v="1"/>
    <x v="1"/>
    <n v="10500000"/>
  </r>
  <r>
    <d v="2025-12-03T00:00:00"/>
    <x v="1"/>
    <x v="11"/>
    <x v="48"/>
    <x v="2"/>
    <x v="6"/>
    <x v="6"/>
    <x v="0"/>
    <n v="26000000"/>
  </r>
  <r>
    <d v="2025-12-03T00:00:00"/>
    <x v="1"/>
    <x v="11"/>
    <x v="48"/>
    <x v="2"/>
    <x v="18"/>
    <x v="15"/>
    <x v="1"/>
    <n v="966380000"/>
  </r>
  <r>
    <d v="2025-12-03T00:00:00"/>
    <x v="1"/>
    <x v="11"/>
    <x v="48"/>
    <x v="2"/>
    <x v="29"/>
    <x v="20"/>
    <x v="0"/>
    <n v="257364000"/>
  </r>
  <r>
    <d v="2025-12-03T00:00:00"/>
    <x v="1"/>
    <x v="11"/>
    <x v="48"/>
    <x v="2"/>
    <x v="19"/>
    <x v="12"/>
    <x v="4"/>
    <n v="1246818614"/>
  </r>
  <r>
    <d v="2025-12-03T00:00:00"/>
    <x v="1"/>
    <x v="11"/>
    <x v="48"/>
    <x v="2"/>
    <x v="24"/>
    <x v="18"/>
    <x v="1"/>
    <n v="4625350000"/>
  </r>
  <r>
    <d v="2025-12-04T00:00:00"/>
    <x v="1"/>
    <x v="11"/>
    <x v="48"/>
    <x v="3"/>
    <x v="3"/>
    <x v="3"/>
    <x v="1"/>
    <n v="191150000"/>
  </r>
  <r>
    <d v="2025-12-04T00:00:00"/>
    <x v="1"/>
    <x v="11"/>
    <x v="48"/>
    <x v="3"/>
    <x v="11"/>
    <x v="10"/>
    <x v="4"/>
    <n v="388595377"/>
  </r>
  <r>
    <d v="2025-12-04T00:00:00"/>
    <x v="1"/>
    <x v="11"/>
    <x v="48"/>
    <x v="3"/>
    <x v="12"/>
    <x v="11"/>
    <x v="1"/>
    <n v="20641120000"/>
  </r>
  <r>
    <d v="2025-12-04T00:00:00"/>
    <x v="1"/>
    <x v="11"/>
    <x v="48"/>
    <x v="3"/>
    <x v="5"/>
    <x v="5"/>
    <x v="3"/>
    <n v="2886195122"/>
  </r>
  <r>
    <d v="2025-12-04T00:00:00"/>
    <x v="1"/>
    <x v="11"/>
    <x v="48"/>
    <x v="3"/>
    <x v="27"/>
    <x v="19"/>
    <x v="0"/>
    <n v="12942072000"/>
  </r>
  <r>
    <d v="2025-12-04T00:00:00"/>
    <x v="1"/>
    <x v="11"/>
    <x v="48"/>
    <x v="3"/>
    <x v="15"/>
    <x v="14"/>
    <x v="4"/>
    <n v="80483260"/>
  </r>
  <r>
    <d v="2025-12-04T00:00:00"/>
    <x v="1"/>
    <x v="11"/>
    <x v="48"/>
    <x v="3"/>
    <x v="14"/>
    <x v="13"/>
    <x v="1"/>
    <n v="3608040000"/>
  </r>
  <r>
    <d v="2025-12-04T00:00:00"/>
    <x v="1"/>
    <x v="11"/>
    <x v="48"/>
    <x v="3"/>
    <x v="23"/>
    <x v="17"/>
    <x v="4"/>
    <n v="47495686"/>
  </r>
  <r>
    <d v="2025-12-04T00:00:00"/>
    <x v="1"/>
    <x v="11"/>
    <x v="48"/>
    <x v="3"/>
    <x v="28"/>
    <x v="17"/>
    <x v="4"/>
    <n v="1277032517"/>
  </r>
  <r>
    <d v="2025-12-04T00:00:00"/>
    <x v="1"/>
    <x v="11"/>
    <x v="48"/>
    <x v="3"/>
    <x v="8"/>
    <x v="8"/>
    <x v="1"/>
    <n v="0"/>
  </r>
  <r>
    <d v="2025-12-04T00:00:00"/>
    <x v="1"/>
    <x v="11"/>
    <x v="48"/>
    <x v="3"/>
    <x v="26"/>
    <x v="16"/>
    <x v="1"/>
    <n v="325250000"/>
  </r>
  <r>
    <d v="2025-12-04T00:00:00"/>
    <x v="1"/>
    <x v="11"/>
    <x v="48"/>
    <x v="3"/>
    <x v="2"/>
    <x v="2"/>
    <x v="1"/>
    <n v="20323110000"/>
  </r>
  <r>
    <d v="2025-12-04T00:00:00"/>
    <x v="1"/>
    <x v="11"/>
    <x v="48"/>
    <x v="3"/>
    <x v="17"/>
    <x v="9"/>
    <x v="1"/>
    <n v="0"/>
  </r>
  <r>
    <d v="2025-12-04T00:00:00"/>
    <x v="1"/>
    <x v="11"/>
    <x v="48"/>
    <x v="3"/>
    <x v="20"/>
    <x v="9"/>
    <x v="1"/>
    <n v="0"/>
  </r>
  <r>
    <d v="2025-12-04T00:00:00"/>
    <x v="1"/>
    <x v="11"/>
    <x v="48"/>
    <x v="3"/>
    <x v="21"/>
    <x v="9"/>
    <x v="1"/>
    <n v="0"/>
  </r>
  <r>
    <d v="2025-12-04T00:00:00"/>
    <x v="1"/>
    <x v="11"/>
    <x v="48"/>
    <x v="3"/>
    <x v="25"/>
    <x v="2"/>
    <x v="1"/>
    <n v="0"/>
  </r>
  <r>
    <d v="2025-12-04T00:00:00"/>
    <x v="1"/>
    <x v="11"/>
    <x v="48"/>
    <x v="3"/>
    <x v="0"/>
    <x v="0"/>
    <x v="0"/>
    <n v="10619856000"/>
  </r>
  <r>
    <d v="2025-12-04T00:00:00"/>
    <x v="1"/>
    <x v="11"/>
    <x v="48"/>
    <x v="3"/>
    <x v="7"/>
    <x v="7"/>
    <x v="4"/>
    <n v="503051669"/>
  </r>
  <r>
    <d v="2025-12-04T00:00:00"/>
    <x v="1"/>
    <x v="11"/>
    <x v="48"/>
    <x v="3"/>
    <x v="1"/>
    <x v="1"/>
    <x v="1"/>
    <n v="21000000"/>
  </r>
  <r>
    <d v="2025-12-04T00:00:00"/>
    <x v="1"/>
    <x v="11"/>
    <x v="48"/>
    <x v="3"/>
    <x v="6"/>
    <x v="6"/>
    <x v="0"/>
    <n v="50000000"/>
  </r>
  <r>
    <d v="2025-12-04T00:00:00"/>
    <x v="1"/>
    <x v="11"/>
    <x v="48"/>
    <x v="3"/>
    <x v="18"/>
    <x v="15"/>
    <x v="1"/>
    <n v="688840000"/>
  </r>
  <r>
    <d v="2025-12-04T00:00:00"/>
    <x v="1"/>
    <x v="11"/>
    <x v="48"/>
    <x v="3"/>
    <x v="29"/>
    <x v="20"/>
    <x v="0"/>
    <n v="178308000"/>
  </r>
  <r>
    <d v="2025-12-04T00:00:00"/>
    <x v="1"/>
    <x v="11"/>
    <x v="48"/>
    <x v="3"/>
    <x v="19"/>
    <x v="12"/>
    <x v="4"/>
    <n v="1383088354"/>
  </r>
  <r>
    <d v="2025-12-04T00:00:00"/>
    <x v="1"/>
    <x v="11"/>
    <x v="48"/>
    <x v="3"/>
    <x v="24"/>
    <x v="18"/>
    <x v="1"/>
    <n v="4186970000"/>
  </r>
  <r>
    <d v="2025-12-05T00:00:00"/>
    <x v="1"/>
    <x v="11"/>
    <x v="48"/>
    <x v="4"/>
    <x v="3"/>
    <x v="3"/>
    <x v="1"/>
    <n v="304700000"/>
  </r>
  <r>
    <d v="2025-12-05T00:00:00"/>
    <x v="1"/>
    <x v="11"/>
    <x v="48"/>
    <x v="4"/>
    <x v="11"/>
    <x v="10"/>
    <x v="4"/>
    <n v="462850306"/>
  </r>
  <r>
    <d v="2025-12-05T00:00:00"/>
    <x v="1"/>
    <x v="11"/>
    <x v="48"/>
    <x v="4"/>
    <x v="12"/>
    <x v="11"/>
    <x v="1"/>
    <n v="22241380000"/>
  </r>
  <r>
    <d v="2025-12-05T00:00:00"/>
    <x v="1"/>
    <x v="11"/>
    <x v="48"/>
    <x v="4"/>
    <x v="5"/>
    <x v="5"/>
    <x v="3"/>
    <n v="3186304974"/>
  </r>
  <r>
    <d v="2025-12-05T00:00:00"/>
    <x v="1"/>
    <x v="11"/>
    <x v="48"/>
    <x v="4"/>
    <x v="27"/>
    <x v="19"/>
    <x v="0"/>
    <n v="14076828000"/>
  </r>
  <r>
    <d v="2025-12-05T00:00:00"/>
    <x v="1"/>
    <x v="11"/>
    <x v="48"/>
    <x v="4"/>
    <x v="15"/>
    <x v="14"/>
    <x v="4"/>
    <n v="58538356"/>
  </r>
  <r>
    <d v="2025-12-05T00:00:00"/>
    <x v="1"/>
    <x v="11"/>
    <x v="48"/>
    <x v="4"/>
    <x v="14"/>
    <x v="13"/>
    <x v="1"/>
    <n v="3785090000"/>
  </r>
  <r>
    <d v="2025-12-05T00:00:00"/>
    <x v="1"/>
    <x v="11"/>
    <x v="48"/>
    <x v="4"/>
    <x v="23"/>
    <x v="17"/>
    <x v="4"/>
    <n v="51653976"/>
  </r>
  <r>
    <d v="2025-12-05T00:00:00"/>
    <x v="1"/>
    <x v="11"/>
    <x v="48"/>
    <x v="4"/>
    <x v="28"/>
    <x v="17"/>
    <x v="4"/>
    <n v="1765087162"/>
  </r>
  <r>
    <d v="2025-12-05T00:00:00"/>
    <x v="1"/>
    <x v="11"/>
    <x v="48"/>
    <x v="4"/>
    <x v="8"/>
    <x v="8"/>
    <x v="1"/>
    <n v="0"/>
  </r>
  <r>
    <d v="2025-12-05T00:00:00"/>
    <x v="1"/>
    <x v="11"/>
    <x v="48"/>
    <x v="4"/>
    <x v="26"/>
    <x v="16"/>
    <x v="1"/>
    <n v="493750000"/>
  </r>
  <r>
    <d v="2025-12-05T00:00:00"/>
    <x v="1"/>
    <x v="11"/>
    <x v="48"/>
    <x v="4"/>
    <x v="2"/>
    <x v="2"/>
    <x v="1"/>
    <n v="19222110000"/>
  </r>
  <r>
    <d v="2025-12-05T00:00:00"/>
    <x v="1"/>
    <x v="11"/>
    <x v="48"/>
    <x v="4"/>
    <x v="17"/>
    <x v="9"/>
    <x v="1"/>
    <n v="0"/>
  </r>
  <r>
    <d v="2025-12-05T00:00:00"/>
    <x v="1"/>
    <x v="11"/>
    <x v="48"/>
    <x v="4"/>
    <x v="20"/>
    <x v="9"/>
    <x v="1"/>
    <n v="0"/>
  </r>
  <r>
    <d v="2025-12-05T00:00:00"/>
    <x v="1"/>
    <x v="11"/>
    <x v="48"/>
    <x v="4"/>
    <x v="21"/>
    <x v="9"/>
    <x v="1"/>
    <n v="0"/>
  </r>
  <r>
    <d v="2025-12-05T00:00:00"/>
    <x v="1"/>
    <x v="11"/>
    <x v="48"/>
    <x v="4"/>
    <x v="25"/>
    <x v="2"/>
    <x v="1"/>
    <n v="5000000"/>
  </r>
  <r>
    <d v="2025-12-05T00:00:00"/>
    <x v="1"/>
    <x v="11"/>
    <x v="48"/>
    <x v="4"/>
    <x v="0"/>
    <x v="0"/>
    <x v="0"/>
    <n v="11009736000"/>
  </r>
  <r>
    <d v="2025-12-05T00:00:00"/>
    <x v="1"/>
    <x v="11"/>
    <x v="48"/>
    <x v="4"/>
    <x v="7"/>
    <x v="7"/>
    <x v="4"/>
    <n v="632262431"/>
  </r>
  <r>
    <d v="2025-12-05T00:00:00"/>
    <x v="1"/>
    <x v="11"/>
    <x v="48"/>
    <x v="4"/>
    <x v="1"/>
    <x v="1"/>
    <x v="1"/>
    <n v="42000000"/>
  </r>
  <r>
    <d v="2025-12-05T00:00:00"/>
    <x v="1"/>
    <x v="11"/>
    <x v="48"/>
    <x v="4"/>
    <x v="6"/>
    <x v="6"/>
    <x v="0"/>
    <n v="45000000"/>
  </r>
  <r>
    <d v="2025-12-05T00:00:00"/>
    <x v="1"/>
    <x v="11"/>
    <x v="48"/>
    <x v="4"/>
    <x v="18"/>
    <x v="15"/>
    <x v="1"/>
    <n v="695950000"/>
  </r>
  <r>
    <d v="2025-12-05T00:00:00"/>
    <x v="1"/>
    <x v="11"/>
    <x v="48"/>
    <x v="4"/>
    <x v="29"/>
    <x v="20"/>
    <x v="0"/>
    <n v="275616000"/>
  </r>
  <r>
    <d v="2025-12-05T00:00:00"/>
    <x v="1"/>
    <x v="11"/>
    <x v="48"/>
    <x v="4"/>
    <x v="19"/>
    <x v="12"/>
    <x v="4"/>
    <n v="1567319018"/>
  </r>
  <r>
    <d v="2025-12-05T00:00:00"/>
    <x v="1"/>
    <x v="11"/>
    <x v="48"/>
    <x v="4"/>
    <x v="24"/>
    <x v="18"/>
    <x v="1"/>
    <n v="5354840000"/>
  </r>
  <r>
    <d v="2025-12-06T00:00:00"/>
    <x v="1"/>
    <x v="11"/>
    <x v="48"/>
    <x v="5"/>
    <x v="3"/>
    <x v="3"/>
    <x v="1"/>
    <n v="77250000"/>
  </r>
  <r>
    <d v="2025-12-06T00:00:00"/>
    <x v="1"/>
    <x v="11"/>
    <x v="48"/>
    <x v="5"/>
    <x v="11"/>
    <x v="10"/>
    <x v="4"/>
    <n v="411856007"/>
  </r>
  <r>
    <d v="2025-12-06T00:00:00"/>
    <x v="1"/>
    <x v="11"/>
    <x v="48"/>
    <x v="5"/>
    <x v="12"/>
    <x v="11"/>
    <x v="1"/>
    <n v="17411310000"/>
  </r>
  <r>
    <d v="2025-12-06T00:00:00"/>
    <x v="1"/>
    <x v="11"/>
    <x v="48"/>
    <x v="5"/>
    <x v="5"/>
    <x v="5"/>
    <x v="3"/>
    <n v="2214332306"/>
  </r>
  <r>
    <d v="2025-12-06T00:00:00"/>
    <x v="1"/>
    <x v="11"/>
    <x v="48"/>
    <x v="5"/>
    <x v="27"/>
    <x v="19"/>
    <x v="0"/>
    <n v="11458908000"/>
  </r>
  <r>
    <d v="2025-12-06T00:00:00"/>
    <x v="1"/>
    <x v="11"/>
    <x v="48"/>
    <x v="5"/>
    <x v="15"/>
    <x v="14"/>
    <x v="4"/>
    <n v="31652351"/>
  </r>
  <r>
    <d v="2025-12-06T00:00:00"/>
    <x v="1"/>
    <x v="11"/>
    <x v="48"/>
    <x v="5"/>
    <x v="14"/>
    <x v="13"/>
    <x v="1"/>
    <n v="3371150000"/>
  </r>
  <r>
    <d v="2025-12-06T00:00:00"/>
    <x v="1"/>
    <x v="11"/>
    <x v="48"/>
    <x v="5"/>
    <x v="23"/>
    <x v="17"/>
    <x v="4"/>
    <n v="42936630"/>
  </r>
  <r>
    <d v="2025-12-06T00:00:00"/>
    <x v="1"/>
    <x v="11"/>
    <x v="48"/>
    <x v="5"/>
    <x v="28"/>
    <x v="17"/>
    <x v="4"/>
    <n v="1762062376"/>
  </r>
  <r>
    <d v="2025-12-06T00:00:00"/>
    <x v="1"/>
    <x v="11"/>
    <x v="48"/>
    <x v="5"/>
    <x v="8"/>
    <x v="8"/>
    <x v="1"/>
    <n v="0"/>
  </r>
  <r>
    <d v="2025-12-06T00:00:00"/>
    <x v="1"/>
    <x v="11"/>
    <x v="48"/>
    <x v="5"/>
    <x v="26"/>
    <x v="16"/>
    <x v="1"/>
    <n v="532800000"/>
  </r>
  <r>
    <d v="2025-12-06T00:00:00"/>
    <x v="1"/>
    <x v="11"/>
    <x v="48"/>
    <x v="5"/>
    <x v="2"/>
    <x v="2"/>
    <x v="1"/>
    <n v="17313410000"/>
  </r>
  <r>
    <d v="2025-12-06T00:00:00"/>
    <x v="1"/>
    <x v="11"/>
    <x v="48"/>
    <x v="5"/>
    <x v="17"/>
    <x v="9"/>
    <x v="1"/>
    <n v="0"/>
  </r>
  <r>
    <d v="2025-12-06T00:00:00"/>
    <x v="1"/>
    <x v="11"/>
    <x v="48"/>
    <x v="5"/>
    <x v="20"/>
    <x v="9"/>
    <x v="1"/>
    <n v="0"/>
  </r>
  <r>
    <d v="2025-12-06T00:00:00"/>
    <x v="1"/>
    <x v="11"/>
    <x v="48"/>
    <x v="5"/>
    <x v="21"/>
    <x v="9"/>
    <x v="1"/>
    <n v="0"/>
  </r>
  <r>
    <d v="2025-12-06T00:00:00"/>
    <x v="1"/>
    <x v="11"/>
    <x v="48"/>
    <x v="5"/>
    <x v="25"/>
    <x v="2"/>
    <x v="1"/>
    <n v="45000000"/>
  </r>
  <r>
    <d v="2025-12-06T00:00:00"/>
    <x v="1"/>
    <x v="11"/>
    <x v="48"/>
    <x v="5"/>
    <x v="0"/>
    <x v="0"/>
    <x v="0"/>
    <n v="10108044000"/>
  </r>
  <r>
    <d v="2025-12-06T00:00:00"/>
    <x v="1"/>
    <x v="11"/>
    <x v="48"/>
    <x v="5"/>
    <x v="7"/>
    <x v="7"/>
    <x v="4"/>
    <n v="405178112"/>
  </r>
  <r>
    <d v="2025-12-06T00:00:00"/>
    <x v="1"/>
    <x v="11"/>
    <x v="48"/>
    <x v="5"/>
    <x v="1"/>
    <x v="1"/>
    <x v="1"/>
    <n v="31500000"/>
  </r>
  <r>
    <d v="2025-12-06T00:00:00"/>
    <x v="1"/>
    <x v="11"/>
    <x v="48"/>
    <x v="5"/>
    <x v="6"/>
    <x v="6"/>
    <x v="0"/>
    <n v="58000000"/>
  </r>
  <r>
    <d v="2025-12-06T00:00:00"/>
    <x v="1"/>
    <x v="11"/>
    <x v="48"/>
    <x v="5"/>
    <x v="18"/>
    <x v="15"/>
    <x v="1"/>
    <n v="213850000"/>
  </r>
  <r>
    <d v="2025-12-06T00:00:00"/>
    <x v="1"/>
    <x v="11"/>
    <x v="48"/>
    <x v="5"/>
    <x v="29"/>
    <x v="20"/>
    <x v="0"/>
    <n v="178632000"/>
  </r>
  <r>
    <d v="2025-12-06T00:00:00"/>
    <x v="1"/>
    <x v="11"/>
    <x v="48"/>
    <x v="5"/>
    <x v="19"/>
    <x v="12"/>
    <x v="4"/>
    <n v="869550061"/>
  </r>
  <r>
    <d v="2025-12-06T00:00:00"/>
    <x v="1"/>
    <x v="11"/>
    <x v="48"/>
    <x v="5"/>
    <x v="24"/>
    <x v="18"/>
    <x v="1"/>
    <n v="3826450000"/>
  </r>
  <r>
    <d v="2025-12-07T00:00:00"/>
    <x v="1"/>
    <x v="11"/>
    <x v="48"/>
    <x v="6"/>
    <x v="3"/>
    <x v="3"/>
    <x v="1"/>
    <n v="194800000"/>
  </r>
  <r>
    <d v="2025-12-07T00:00:00"/>
    <x v="1"/>
    <x v="11"/>
    <x v="48"/>
    <x v="6"/>
    <x v="11"/>
    <x v="10"/>
    <x v="4"/>
    <n v="366407294"/>
  </r>
  <r>
    <d v="2025-12-07T00:00:00"/>
    <x v="1"/>
    <x v="11"/>
    <x v="48"/>
    <x v="6"/>
    <x v="12"/>
    <x v="11"/>
    <x v="1"/>
    <n v="16946450000"/>
  </r>
  <r>
    <d v="2025-12-07T00:00:00"/>
    <x v="1"/>
    <x v="11"/>
    <x v="48"/>
    <x v="6"/>
    <x v="5"/>
    <x v="5"/>
    <x v="3"/>
    <n v="1875357071"/>
  </r>
  <r>
    <d v="2025-12-07T00:00:00"/>
    <x v="1"/>
    <x v="11"/>
    <x v="48"/>
    <x v="6"/>
    <x v="27"/>
    <x v="19"/>
    <x v="0"/>
    <n v="10982304000"/>
  </r>
  <r>
    <d v="2025-12-07T00:00:00"/>
    <x v="1"/>
    <x v="11"/>
    <x v="48"/>
    <x v="6"/>
    <x v="15"/>
    <x v="14"/>
    <x v="4"/>
    <n v="17772528"/>
  </r>
  <r>
    <d v="2025-12-07T00:00:00"/>
    <x v="1"/>
    <x v="11"/>
    <x v="48"/>
    <x v="6"/>
    <x v="14"/>
    <x v="13"/>
    <x v="1"/>
    <n v="4705150000"/>
  </r>
  <r>
    <d v="2025-12-07T00:00:00"/>
    <x v="1"/>
    <x v="11"/>
    <x v="48"/>
    <x v="6"/>
    <x v="23"/>
    <x v="17"/>
    <x v="4"/>
    <n v="21678108"/>
  </r>
  <r>
    <d v="2025-12-07T00:00:00"/>
    <x v="1"/>
    <x v="11"/>
    <x v="48"/>
    <x v="6"/>
    <x v="28"/>
    <x v="17"/>
    <x v="4"/>
    <n v="1184359979"/>
  </r>
  <r>
    <d v="2025-12-07T00:00:00"/>
    <x v="1"/>
    <x v="11"/>
    <x v="48"/>
    <x v="6"/>
    <x v="8"/>
    <x v="8"/>
    <x v="1"/>
    <n v="0"/>
  </r>
  <r>
    <d v="2025-12-07T00:00:00"/>
    <x v="1"/>
    <x v="11"/>
    <x v="48"/>
    <x v="6"/>
    <x v="26"/>
    <x v="16"/>
    <x v="1"/>
    <n v="431000000"/>
  </r>
  <r>
    <d v="2025-12-07T00:00:00"/>
    <x v="1"/>
    <x v="11"/>
    <x v="48"/>
    <x v="6"/>
    <x v="2"/>
    <x v="2"/>
    <x v="1"/>
    <n v="17067060000"/>
  </r>
  <r>
    <d v="2025-12-07T00:00:00"/>
    <x v="1"/>
    <x v="11"/>
    <x v="48"/>
    <x v="6"/>
    <x v="17"/>
    <x v="9"/>
    <x v="1"/>
    <n v="0"/>
  </r>
  <r>
    <d v="2025-12-07T00:00:00"/>
    <x v="1"/>
    <x v="11"/>
    <x v="48"/>
    <x v="6"/>
    <x v="20"/>
    <x v="9"/>
    <x v="1"/>
    <n v="0"/>
  </r>
  <r>
    <d v="2025-12-07T00:00:00"/>
    <x v="1"/>
    <x v="11"/>
    <x v="48"/>
    <x v="6"/>
    <x v="21"/>
    <x v="9"/>
    <x v="1"/>
    <n v="0"/>
  </r>
  <r>
    <d v="2025-12-07T00:00:00"/>
    <x v="1"/>
    <x v="11"/>
    <x v="48"/>
    <x v="6"/>
    <x v="25"/>
    <x v="2"/>
    <x v="1"/>
    <n v="0"/>
  </r>
  <r>
    <d v="2025-12-07T00:00:00"/>
    <x v="1"/>
    <x v="11"/>
    <x v="48"/>
    <x v="6"/>
    <x v="0"/>
    <x v="0"/>
    <x v="0"/>
    <n v="8787960000"/>
  </r>
  <r>
    <d v="2025-12-07T00:00:00"/>
    <x v="1"/>
    <x v="11"/>
    <x v="48"/>
    <x v="6"/>
    <x v="7"/>
    <x v="7"/>
    <x v="4"/>
    <n v="365569034"/>
  </r>
  <r>
    <d v="2025-12-07T00:00:00"/>
    <x v="1"/>
    <x v="11"/>
    <x v="48"/>
    <x v="6"/>
    <x v="1"/>
    <x v="1"/>
    <x v="1"/>
    <n v="0"/>
  </r>
  <r>
    <d v="2025-12-07T00:00:00"/>
    <x v="1"/>
    <x v="11"/>
    <x v="48"/>
    <x v="6"/>
    <x v="6"/>
    <x v="6"/>
    <x v="0"/>
    <n v="72000000"/>
  </r>
  <r>
    <d v="2025-12-07T00:00:00"/>
    <x v="1"/>
    <x v="11"/>
    <x v="48"/>
    <x v="6"/>
    <x v="18"/>
    <x v="15"/>
    <x v="1"/>
    <n v="399940000"/>
  </r>
  <r>
    <d v="2025-12-07T00:00:00"/>
    <x v="1"/>
    <x v="11"/>
    <x v="48"/>
    <x v="6"/>
    <x v="29"/>
    <x v="20"/>
    <x v="0"/>
    <n v="211248000"/>
  </r>
  <r>
    <d v="2025-12-07T00:00:00"/>
    <x v="1"/>
    <x v="11"/>
    <x v="48"/>
    <x v="6"/>
    <x v="19"/>
    <x v="12"/>
    <x v="4"/>
    <n v="603148653"/>
  </r>
  <r>
    <d v="2025-12-07T00:00:00"/>
    <x v="1"/>
    <x v="11"/>
    <x v="48"/>
    <x v="6"/>
    <x v="24"/>
    <x v="18"/>
    <x v="1"/>
    <n v="3094670000"/>
  </r>
  <r>
    <d v="2025-12-08T00:00:00"/>
    <x v="1"/>
    <x v="11"/>
    <x v="49"/>
    <x v="7"/>
    <x v="3"/>
    <x v="3"/>
    <x v="1"/>
    <n v="117600000"/>
  </r>
  <r>
    <d v="2025-12-08T00:00:00"/>
    <x v="1"/>
    <x v="11"/>
    <x v="49"/>
    <x v="7"/>
    <x v="11"/>
    <x v="10"/>
    <x v="4"/>
    <n v="318051473"/>
  </r>
  <r>
    <d v="2025-12-08T00:00:00"/>
    <x v="1"/>
    <x v="11"/>
    <x v="49"/>
    <x v="7"/>
    <x v="12"/>
    <x v="11"/>
    <x v="1"/>
    <n v="18584820000"/>
  </r>
  <r>
    <d v="2025-12-08T00:00:00"/>
    <x v="1"/>
    <x v="11"/>
    <x v="49"/>
    <x v="7"/>
    <x v="5"/>
    <x v="5"/>
    <x v="3"/>
    <n v="2268828157"/>
  </r>
  <r>
    <d v="2025-12-08T00:00:00"/>
    <x v="1"/>
    <x v="11"/>
    <x v="49"/>
    <x v="7"/>
    <x v="27"/>
    <x v="19"/>
    <x v="0"/>
    <n v="11617776000"/>
  </r>
  <r>
    <d v="2025-12-08T00:00:00"/>
    <x v="1"/>
    <x v="11"/>
    <x v="49"/>
    <x v="7"/>
    <x v="15"/>
    <x v="14"/>
    <x v="4"/>
    <n v="22890593"/>
  </r>
  <r>
    <d v="2025-12-08T00:00:00"/>
    <x v="1"/>
    <x v="11"/>
    <x v="49"/>
    <x v="7"/>
    <x v="14"/>
    <x v="13"/>
    <x v="1"/>
    <n v="4163060000"/>
  </r>
  <r>
    <d v="2025-12-08T00:00:00"/>
    <x v="1"/>
    <x v="11"/>
    <x v="49"/>
    <x v="7"/>
    <x v="23"/>
    <x v="17"/>
    <x v="4"/>
    <n v="15636252"/>
  </r>
  <r>
    <d v="2025-12-08T00:00:00"/>
    <x v="1"/>
    <x v="11"/>
    <x v="49"/>
    <x v="7"/>
    <x v="28"/>
    <x v="17"/>
    <x v="4"/>
    <n v="796954555"/>
  </r>
  <r>
    <d v="2025-12-08T00:00:00"/>
    <x v="1"/>
    <x v="11"/>
    <x v="49"/>
    <x v="7"/>
    <x v="8"/>
    <x v="8"/>
    <x v="1"/>
    <n v="0"/>
  </r>
  <r>
    <d v="2025-12-08T00:00:00"/>
    <x v="1"/>
    <x v="11"/>
    <x v="49"/>
    <x v="7"/>
    <x v="26"/>
    <x v="16"/>
    <x v="1"/>
    <n v="483150000"/>
  </r>
  <r>
    <d v="2025-12-08T00:00:00"/>
    <x v="1"/>
    <x v="11"/>
    <x v="49"/>
    <x v="7"/>
    <x v="2"/>
    <x v="2"/>
    <x v="1"/>
    <n v="18950910000"/>
  </r>
  <r>
    <d v="2025-12-08T00:00:00"/>
    <x v="1"/>
    <x v="11"/>
    <x v="49"/>
    <x v="7"/>
    <x v="17"/>
    <x v="9"/>
    <x v="1"/>
    <n v="0"/>
  </r>
  <r>
    <d v="2025-12-08T00:00:00"/>
    <x v="1"/>
    <x v="11"/>
    <x v="49"/>
    <x v="7"/>
    <x v="20"/>
    <x v="9"/>
    <x v="1"/>
    <n v="0"/>
  </r>
  <r>
    <d v="2025-12-08T00:00:00"/>
    <x v="1"/>
    <x v="11"/>
    <x v="49"/>
    <x v="7"/>
    <x v="21"/>
    <x v="9"/>
    <x v="1"/>
    <n v="0"/>
  </r>
  <r>
    <d v="2025-12-08T00:00:00"/>
    <x v="1"/>
    <x v="11"/>
    <x v="49"/>
    <x v="7"/>
    <x v="25"/>
    <x v="2"/>
    <x v="1"/>
    <n v="16050000"/>
  </r>
  <r>
    <d v="2025-12-08T00:00:00"/>
    <x v="1"/>
    <x v="11"/>
    <x v="49"/>
    <x v="7"/>
    <x v="0"/>
    <x v="0"/>
    <x v="0"/>
    <n v="9321912000"/>
  </r>
  <r>
    <d v="2025-12-08T00:00:00"/>
    <x v="1"/>
    <x v="11"/>
    <x v="49"/>
    <x v="7"/>
    <x v="7"/>
    <x v="7"/>
    <x v="4"/>
    <n v="298442180"/>
  </r>
  <r>
    <d v="2025-12-08T00:00:00"/>
    <x v="1"/>
    <x v="11"/>
    <x v="49"/>
    <x v="7"/>
    <x v="1"/>
    <x v="1"/>
    <x v="1"/>
    <n v="0"/>
  </r>
  <r>
    <d v="2025-12-08T00:00:00"/>
    <x v="1"/>
    <x v="11"/>
    <x v="49"/>
    <x v="7"/>
    <x v="6"/>
    <x v="6"/>
    <x v="0"/>
    <n v="20000000"/>
  </r>
  <r>
    <d v="2025-12-08T00:00:00"/>
    <x v="1"/>
    <x v="11"/>
    <x v="49"/>
    <x v="7"/>
    <x v="18"/>
    <x v="15"/>
    <x v="1"/>
    <n v="781470000"/>
  </r>
  <r>
    <d v="2025-12-08T00:00:00"/>
    <x v="1"/>
    <x v="11"/>
    <x v="49"/>
    <x v="7"/>
    <x v="29"/>
    <x v="20"/>
    <x v="0"/>
    <n v="237384000"/>
  </r>
  <r>
    <d v="2025-12-08T00:00:00"/>
    <x v="1"/>
    <x v="11"/>
    <x v="49"/>
    <x v="7"/>
    <x v="19"/>
    <x v="12"/>
    <x v="4"/>
    <n v="576232325"/>
  </r>
  <r>
    <d v="2025-12-08T00:00:00"/>
    <x v="1"/>
    <x v="11"/>
    <x v="49"/>
    <x v="7"/>
    <x v="24"/>
    <x v="18"/>
    <x v="1"/>
    <n v="4390740000"/>
  </r>
  <r>
    <d v="2025-12-09T00:00:00"/>
    <x v="1"/>
    <x v="11"/>
    <x v="49"/>
    <x v="8"/>
    <x v="3"/>
    <x v="3"/>
    <x v="1"/>
    <n v="109750000"/>
  </r>
  <r>
    <d v="2025-12-09T00:00:00"/>
    <x v="1"/>
    <x v="11"/>
    <x v="49"/>
    <x v="8"/>
    <x v="11"/>
    <x v="10"/>
    <x v="4"/>
    <n v="358859754"/>
  </r>
  <r>
    <d v="2025-12-09T00:00:00"/>
    <x v="1"/>
    <x v="11"/>
    <x v="49"/>
    <x v="8"/>
    <x v="12"/>
    <x v="11"/>
    <x v="1"/>
    <n v="20174000000"/>
  </r>
  <r>
    <d v="2025-12-09T00:00:00"/>
    <x v="1"/>
    <x v="11"/>
    <x v="49"/>
    <x v="8"/>
    <x v="5"/>
    <x v="5"/>
    <x v="3"/>
    <n v="2175770527"/>
  </r>
  <r>
    <d v="2025-12-09T00:00:00"/>
    <x v="1"/>
    <x v="11"/>
    <x v="49"/>
    <x v="8"/>
    <x v="27"/>
    <x v="19"/>
    <x v="0"/>
    <n v="11485260000"/>
  </r>
  <r>
    <d v="2025-12-09T00:00:00"/>
    <x v="1"/>
    <x v="11"/>
    <x v="49"/>
    <x v="8"/>
    <x v="15"/>
    <x v="14"/>
    <x v="4"/>
    <n v="25876644"/>
  </r>
  <r>
    <d v="2025-12-09T00:00:00"/>
    <x v="1"/>
    <x v="11"/>
    <x v="49"/>
    <x v="8"/>
    <x v="14"/>
    <x v="13"/>
    <x v="1"/>
    <n v="3541150000"/>
  </r>
  <r>
    <d v="2025-12-09T00:00:00"/>
    <x v="1"/>
    <x v="11"/>
    <x v="49"/>
    <x v="8"/>
    <x v="23"/>
    <x v="17"/>
    <x v="4"/>
    <n v="31166578"/>
  </r>
  <r>
    <d v="2025-12-09T00:00:00"/>
    <x v="1"/>
    <x v="11"/>
    <x v="49"/>
    <x v="8"/>
    <x v="28"/>
    <x v="17"/>
    <x v="4"/>
    <n v="921903683"/>
  </r>
  <r>
    <d v="2025-12-09T00:00:00"/>
    <x v="1"/>
    <x v="11"/>
    <x v="49"/>
    <x v="8"/>
    <x v="8"/>
    <x v="8"/>
    <x v="1"/>
    <n v="0"/>
  </r>
  <r>
    <d v="2025-12-09T00:00:00"/>
    <x v="1"/>
    <x v="11"/>
    <x v="49"/>
    <x v="8"/>
    <x v="26"/>
    <x v="16"/>
    <x v="1"/>
    <n v="427200000"/>
  </r>
  <r>
    <d v="2025-12-09T00:00:00"/>
    <x v="1"/>
    <x v="11"/>
    <x v="49"/>
    <x v="8"/>
    <x v="2"/>
    <x v="2"/>
    <x v="1"/>
    <n v="19009430000"/>
  </r>
  <r>
    <d v="2025-12-09T00:00:00"/>
    <x v="1"/>
    <x v="11"/>
    <x v="49"/>
    <x v="8"/>
    <x v="17"/>
    <x v="9"/>
    <x v="1"/>
    <n v="0"/>
  </r>
  <r>
    <d v="2025-12-09T00:00:00"/>
    <x v="1"/>
    <x v="11"/>
    <x v="49"/>
    <x v="8"/>
    <x v="20"/>
    <x v="9"/>
    <x v="1"/>
    <n v="0"/>
  </r>
  <r>
    <d v="2025-12-09T00:00:00"/>
    <x v="1"/>
    <x v="11"/>
    <x v="49"/>
    <x v="8"/>
    <x v="21"/>
    <x v="9"/>
    <x v="1"/>
    <n v="0"/>
  </r>
  <r>
    <d v="2025-12-09T00:00:00"/>
    <x v="1"/>
    <x v="11"/>
    <x v="49"/>
    <x v="8"/>
    <x v="25"/>
    <x v="2"/>
    <x v="1"/>
    <n v="0"/>
  </r>
  <r>
    <d v="2025-12-09T00:00:00"/>
    <x v="1"/>
    <x v="11"/>
    <x v="49"/>
    <x v="8"/>
    <x v="0"/>
    <x v="0"/>
    <x v="0"/>
    <n v="8877816000"/>
  </r>
  <r>
    <d v="2025-12-09T00:00:00"/>
    <x v="1"/>
    <x v="11"/>
    <x v="49"/>
    <x v="8"/>
    <x v="7"/>
    <x v="7"/>
    <x v="4"/>
    <n v="319497699"/>
  </r>
  <r>
    <d v="2025-12-09T00:00:00"/>
    <x v="1"/>
    <x v="11"/>
    <x v="49"/>
    <x v="8"/>
    <x v="1"/>
    <x v="1"/>
    <x v="1"/>
    <n v="0"/>
  </r>
  <r>
    <d v="2025-12-09T00:00:00"/>
    <x v="1"/>
    <x v="11"/>
    <x v="49"/>
    <x v="8"/>
    <x v="6"/>
    <x v="6"/>
    <x v="0"/>
    <n v="18000000"/>
  </r>
  <r>
    <d v="2025-12-09T00:00:00"/>
    <x v="1"/>
    <x v="11"/>
    <x v="49"/>
    <x v="8"/>
    <x v="18"/>
    <x v="15"/>
    <x v="1"/>
    <n v="310930000"/>
  </r>
  <r>
    <d v="2025-12-09T00:00:00"/>
    <x v="1"/>
    <x v="11"/>
    <x v="49"/>
    <x v="8"/>
    <x v="29"/>
    <x v="20"/>
    <x v="0"/>
    <n v="178308000"/>
  </r>
  <r>
    <d v="2025-12-09T00:00:00"/>
    <x v="1"/>
    <x v="11"/>
    <x v="49"/>
    <x v="8"/>
    <x v="19"/>
    <x v="12"/>
    <x v="4"/>
    <n v="539868367"/>
  </r>
  <r>
    <d v="2025-12-09T00:00:00"/>
    <x v="1"/>
    <x v="11"/>
    <x v="49"/>
    <x v="8"/>
    <x v="24"/>
    <x v="18"/>
    <x v="1"/>
    <n v="4013940000"/>
  </r>
  <r>
    <d v="2025-12-10T00:00:00"/>
    <x v="1"/>
    <x v="11"/>
    <x v="49"/>
    <x v="9"/>
    <x v="3"/>
    <x v="3"/>
    <x v="1"/>
    <n v="175000000"/>
  </r>
  <r>
    <d v="2025-12-10T00:00:00"/>
    <x v="1"/>
    <x v="11"/>
    <x v="49"/>
    <x v="9"/>
    <x v="11"/>
    <x v="10"/>
    <x v="4"/>
    <n v="367505331"/>
  </r>
  <r>
    <d v="2025-12-10T00:00:00"/>
    <x v="1"/>
    <x v="11"/>
    <x v="49"/>
    <x v="9"/>
    <x v="12"/>
    <x v="11"/>
    <x v="1"/>
    <n v="20631690000"/>
  </r>
  <r>
    <d v="2025-12-10T00:00:00"/>
    <x v="1"/>
    <x v="11"/>
    <x v="49"/>
    <x v="9"/>
    <x v="5"/>
    <x v="5"/>
    <x v="3"/>
    <n v="2879127784"/>
  </r>
  <r>
    <d v="2025-12-10T00:00:00"/>
    <x v="1"/>
    <x v="11"/>
    <x v="49"/>
    <x v="9"/>
    <x v="27"/>
    <x v="19"/>
    <x v="0"/>
    <n v="15310728000"/>
  </r>
  <r>
    <d v="2025-12-10T00:00:00"/>
    <x v="1"/>
    <x v="11"/>
    <x v="49"/>
    <x v="9"/>
    <x v="15"/>
    <x v="14"/>
    <x v="4"/>
    <n v="16624794"/>
  </r>
  <r>
    <d v="2025-12-10T00:00:00"/>
    <x v="1"/>
    <x v="11"/>
    <x v="49"/>
    <x v="9"/>
    <x v="14"/>
    <x v="13"/>
    <x v="1"/>
    <n v="4755030000"/>
  </r>
  <r>
    <d v="2025-12-10T00:00:00"/>
    <x v="1"/>
    <x v="11"/>
    <x v="49"/>
    <x v="9"/>
    <x v="23"/>
    <x v="17"/>
    <x v="4"/>
    <n v="19221396"/>
  </r>
  <r>
    <d v="2025-12-10T00:00:00"/>
    <x v="1"/>
    <x v="11"/>
    <x v="49"/>
    <x v="9"/>
    <x v="28"/>
    <x v="17"/>
    <x v="4"/>
    <n v="778858486"/>
  </r>
  <r>
    <d v="2025-12-10T00:00:00"/>
    <x v="1"/>
    <x v="11"/>
    <x v="49"/>
    <x v="9"/>
    <x v="8"/>
    <x v="8"/>
    <x v="1"/>
    <n v="0"/>
  </r>
  <r>
    <d v="2025-12-10T00:00:00"/>
    <x v="1"/>
    <x v="11"/>
    <x v="49"/>
    <x v="9"/>
    <x v="26"/>
    <x v="16"/>
    <x v="1"/>
    <n v="748250000"/>
  </r>
  <r>
    <d v="2025-12-10T00:00:00"/>
    <x v="1"/>
    <x v="11"/>
    <x v="49"/>
    <x v="9"/>
    <x v="2"/>
    <x v="2"/>
    <x v="1"/>
    <n v="20124000000"/>
  </r>
  <r>
    <d v="2025-12-10T00:00:00"/>
    <x v="1"/>
    <x v="11"/>
    <x v="49"/>
    <x v="9"/>
    <x v="17"/>
    <x v="9"/>
    <x v="1"/>
    <n v="0"/>
  </r>
  <r>
    <d v="2025-12-10T00:00:00"/>
    <x v="1"/>
    <x v="11"/>
    <x v="49"/>
    <x v="9"/>
    <x v="20"/>
    <x v="9"/>
    <x v="1"/>
    <n v="0"/>
  </r>
  <r>
    <d v="2025-12-10T00:00:00"/>
    <x v="1"/>
    <x v="11"/>
    <x v="49"/>
    <x v="9"/>
    <x v="21"/>
    <x v="9"/>
    <x v="1"/>
    <n v="0"/>
  </r>
  <r>
    <d v="2025-12-10T00:00:00"/>
    <x v="1"/>
    <x v="11"/>
    <x v="49"/>
    <x v="9"/>
    <x v="25"/>
    <x v="2"/>
    <x v="1"/>
    <n v="21400000"/>
  </r>
  <r>
    <d v="2025-12-10T00:00:00"/>
    <x v="1"/>
    <x v="11"/>
    <x v="49"/>
    <x v="9"/>
    <x v="0"/>
    <x v="0"/>
    <x v="0"/>
    <n v="13402692000"/>
  </r>
  <r>
    <d v="2025-12-10T00:00:00"/>
    <x v="1"/>
    <x v="11"/>
    <x v="49"/>
    <x v="9"/>
    <x v="7"/>
    <x v="7"/>
    <x v="4"/>
    <n v="277558348"/>
  </r>
  <r>
    <d v="2025-12-10T00:00:00"/>
    <x v="1"/>
    <x v="11"/>
    <x v="49"/>
    <x v="9"/>
    <x v="1"/>
    <x v="1"/>
    <x v="1"/>
    <n v="41000000"/>
  </r>
  <r>
    <d v="2025-12-10T00:00:00"/>
    <x v="1"/>
    <x v="11"/>
    <x v="49"/>
    <x v="9"/>
    <x v="6"/>
    <x v="6"/>
    <x v="0"/>
    <n v="35000000"/>
  </r>
  <r>
    <d v="2025-12-10T00:00:00"/>
    <x v="1"/>
    <x v="11"/>
    <x v="49"/>
    <x v="9"/>
    <x v="18"/>
    <x v="15"/>
    <x v="1"/>
    <n v="561220000"/>
  </r>
  <r>
    <d v="2025-12-10T00:00:00"/>
    <x v="1"/>
    <x v="11"/>
    <x v="49"/>
    <x v="9"/>
    <x v="29"/>
    <x v="20"/>
    <x v="0"/>
    <n v="359964000"/>
  </r>
  <r>
    <d v="2025-12-10T00:00:00"/>
    <x v="1"/>
    <x v="11"/>
    <x v="49"/>
    <x v="9"/>
    <x v="19"/>
    <x v="12"/>
    <x v="4"/>
    <n v="540066165"/>
  </r>
  <r>
    <d v="2025-12-10T00:00:00"/>
    <x v="1"/>
    <x v="11"/>
    <x v="49"/>
    <x v="9"/>
    <x v="24"/>
    <x v="18"/>
    <x v="1"/>
    <n v="5018730000"/>
  </r>
  <r>
    <d v="2025-12-11T00:00:00"/>
    <x v="1"/>
    <x v="11"/>
    <x v="49"/>
    <x v="10"/>
    <x v="3"/>
    <x v="3"/>
    <x v="1"/>
    <n v="204750000"/>
  </r>
  <r>
    <d v="2025-12-11T00:00:00"/>
    <x v="1"/>
    <x v="11"/>
    <x v="49"/>
    <x v="10"/>
    <x v="11"/>
    <x v="10"/>
    <x v="4"/>
    <n v="319912222"/>
  </r>
  <r>
    <d v="2025-12-11T00:00:00"/>
    <x v="1"/>
    <x v="11"/>
    <x v="49"/>
    <x v="10"/>
    <x v="12"/>
    <x v="11"/>
    <x v="1"/>
    <n v="18141540000"/>
  </r>
  <r>
    <d v="2025-12-11T00:00:00"/>
    <x v="1"/>
    <x v="11"/>
    <x v="49"/>
    <x v="10"/>
    <x v="5"/>
    <x v="5"/>
    <x v="3"/>
    <n v="2198664517"/>
  </r>
  <r>
    <d v="2025-12-11T00:00:00"/>
    <x v="1"/>
    <x v="11"/>
    <x v="49"/>
    <x v="10"/>
    <x v="27"/>
    <x v="19"/>
    <x v="0"/>
    <n v="13471920000"/>
  </r>
  <r>
    <d v="2025-12-11T00:00:00"/>
    <x v="1"/>
    <x v="11"/>
    <x v="49"/>
    <x v="10"/>
    <x v="15"/>
    <x v="14"/>
    <x v="4"/>
    <n v="9680094"/>
  </r>
  <r>
    <d v="2025-12-11T00:00:00"/>
    <x v="1"/>
    <x v="11"/>
    <x v="49"/>
    <x v="10"/>
    <x v="14"/>
    <x v="13"/>
    <x v="1"/>
    <n v="5294940000"/>
  </r>
  <r>
    <d v="2025-12-11T00:00:00"/>
    <x v="1"/>
    <x v="11"/>
    <x v="49"/>
    <x v="10"/>
    <x v="23"/>
    <x v="17"/>
    <x v="4"/>
    <n v="11462776"/>
  </r>
  <r>
    <d v="2025-12-11T00:00:00"/>
    <x v="1"/>
    <x v="11"/>
    <x v="49"/>
    <x v="10"/>
    <x v="28"/>
    <x v="17"/>
    <x v="4"/>
    <n v="919856712"/>
  </r>
  <r>
    <d v="2025-12-11T00:00:00"/>
    <x v="1"/>
    <x v="11"/>
    <x v="49"/>
    <x v="10"/>
    <x v="8"/>
    <x v="8"/>
    <x v="1"/>
    <n v="0"/>
  </r>
  <r>
    <d v="2025-12-11T00:00:00"/>
    <x v="1"/>
    <x v="11"/>
    <x v="49"/>
    <x v="10"/>
    <x v="26"/>
    <x v="16"/>
    <x v="1"/>
    <n v="585750000"/>
  </r>
  <r>
    <d v="2025-12-11T00:00:00"/>
    <x v="1"/>
    <x v="11"/>
    <x v="49"/>
    <x v="10"/>
    <x v="2"/>
    <x v="2"/>
    <x v="1"/>
    <n v="18066810000"/>
  </r>
  <r>
    <d v="2025-12-11T00:00:00"/>
    <x v="1"/>
    <x v="11"/>
    <x v="49"/>
    <x v="10"/>
    <x v="17"/>
    <x v="9"/>
    <x v="1"/>
    <n v="0"/>
  </r>
  <r>
    <d v="2025-12-11T00:00:00"/>
    <x v="1"/>
    <x v="11"/>
    <x v="49"/>
    <x v="10"/>
    <x v="20"/>
    <x v="9"/>
    <x v="1"/>
    <n v="0"/>
  </r>
  <r>
    <d v="2025-12-11T00:00:00"/>
    <x v="1"/>
    <x v="11"/>
    <x v="49"/>
    <x v="10"/>
    <x v="21"/>
    <x v="9"/>
    <x v="1"/>
    <n v="0"/>
  </r>
  <r>
    <d v="2025-12-11T00:00:00"/>
    <x v="1"/>
    <x v="11"/>
    <x v="49"/>
    <x v="10"/>
    <x v="25"/>
    <x v="2"/>
    <x v="1"/>
    <n v="37100000"/>
  </r>
  <r>
    <d v="2025-12-11T00:00:00"/>
    <x v="1"/>
    <x v="11"/>
    <x v="49"/>
    <x v="10"/>
    <x v="0"/>
    <x v="0"/>
    <x v="0"/>
    <n v="11344428000"/>
  </r>
  <r>
    <d v="2025-12-11T00:00:00"/>
    <x v="1"/>
    <x v="11"/>
    <x v="49"/>
    <x v="10"/>
    <x v="7"/>
    <x v="7"/>
    <x v="4"/>
    <n v="255389707"/>
  </r>
  <r>
    <d v="2025-12-11T00:00:00"/>
    <x v="1"/>
    <x v="11"/>
    <x v="49"/>
    <x v="10"/>
    <x v="1"/>
    <x v="1"/>
    <x v="1"/>
    <n v="26250000"/>
  </r>
  <r>
    <d v="2025-12-11T00:00:00"/>
    <x v="1"/>
    <x v="11"/>
    <x v="49"/>
    <x v="10"/>
    <x v="6"/>
    <x v="6"/>
    <x v="0"/>
    <n v="42000000"/>
  </r>
  <r>
    <d v="2025-12-11T00:00:00"/>
    <x v="1"/>
    <x v="11"/>
    <x v="49"/>
    <x v="10"/>
    <x v="18"/>
    <x v="15"/>
    <x v="1"/>
    <n v="717540000"/>
  </r>
  <r>
    <d v="2025-12-11T00:00:00"/>
    <x v="1"/>
    <x v="11"/>
    <x v="49"/>
    <x v="10"/>
    <x v="29"/>
    <x v="20"/>
    <x v="0"/>
    <n v="226152000"/>
  </r>
  <r>
    <d v="2025-12-11T00:00:00"/>
    <x v="1"/>
    <x v="11"/>
    <x v="49"/>
    <x v="10"/>
    <x v="19"/>
    <x v="12"/>
    <x v="4"/>
    <n v="326369296"/>
  </r>
  <r>
    <d v="2025-12-11T00:00:00"/>
    <x v="1"/>
    <x v="11"/>
    <x v="49"/>
    <x v="10"/>
    <x v="24"/>
    <x v="18"/>
    <x v="1"/>
    <n v="3226170000"/>
  </r>
  <r>
    <d v="2025-12-11T00:00:00"/>
    <x v="1"/>
    <x v="11"/>
    <x v="49"/>
    <x v="10"/>
    <x v="30"/>
    <x v="21"/>
    <x v="0"/>
    <n v="6480000"/>
  </r>
  <r>
    <d v="2025-12-12T00:00:00"/>
    <x v="1"/>
    <x v="11"/>
    <x v="49"/>
    <x v="11"/>
    <x v="3"/>
    <x v="3"/>
    <x v="1"/>
    <n v="109750000"/>
  </r>
  <r>
    <d v="2025-12-12T00:00:00"/>
    <x v="1"/>
    <x v="11"/>
    <x v="49"/>
    <x v="11"/>
    <x v="11"/>
    <x v="10"/>
    <x v="4"/>
    <n v="352373150"/>
  </r>
  <r>
    <d v="2025-12-12T00:00:00"/>
    <x v="1"/>
    <x v="11"/>
    <x v="49"/>
    <x v="11"/>
    <x v="12"/>
    <x v="11"/>
    <x v="1"/>
    <n v="17050760000"/>
  </r>
  <r>
    <d v="2025-12-12T00:00:00"/>
    <x v="1"/>
    <x v="11"/>
    <x v="49"/>
    <x v="11"/>
    <x v="5"/>
    <x v="5"/>
    <x v="3"/>
    <n v="1978657890"/>
  </r>
  <r>
    <d v="2025-12-12T00:00:00"/>
    <x v="1"/>
    <x v="11"/>
    <x v="49"/>
    <x v="11"/>
    <x v="27"/>
    <x v="19"/>
    <x v="0"/>
    <n v="12585996000"/>
  </r>
  <r>
    <d v="2025-12-12T00:00:00"/>
    <x v="1"/>
    <x v="11"/>
    <x v="49"/>
    <x v="11"/>
    <x v="15"/>
    <x v="14"/>
    <x v="4"/>
    <n v="10239058"/>
  </r>
  <r>
    <d v="2025-12-12T00:00:00"/>
    <x v="1"/>
    <x v="11"/>
    <x v="49"/>
    <x v="11"/>
    <x v="14"/>
    <x v="13"/>
    <x v="1"/>
    <n v="4464730000"/>
  </r>
  <r>
    <d v="2025-12-12T00:00:00"/>
    <x v="1"/>
    <x v="11"/>
    <x v="49"/>
    <x v="11"/>
    <x v="23"/>
    <x v="17"/>
    <x v="4"/>
    <n v="10051318"/>
  </r>
  <r>
    <d v="2025-12-12T00:00:00"/>
    <x v="1"/>
    <x v="11"/>
    <x v="49"/>
    <x v="11"/>
    <x v="28"/>
    <x v="17"/>
    <x v="4"/>
    <n v="967824355"/>
  </r>
  <r>
    <d v="2025-12-12T00:00:00"/>
    <x v="1"/>
    <x v="11"/>
    <x v="49"/>
    <x v="11"/>
    <x v="8"/>
    <x v="8"/>
    <x v="1"/>
    <n v="0"/>
  </r>
  <r>
    <d v="2025-12-12T00:00:00"/>
    <x v="1"/>
    <x v="11"/>
    <x v="49"/>
    <x v="11"/>
    <x v="26"/>
    <x v="16"/>
    <x v="1"/>
    <n v="529500000"/>
  </r>
  <r>
    <d v="2025-12-12T00:00:00"/>
    <x v="1"/>
    <x v="11"/>
    <x v="49"/>
    <x v="11"/>
    <x v="2"/>
    <x v="2"/>
    <x v="1"/>
    <n v="18716580000"/>
  </r>
  <r>
    <d v="2025-12-12T00:00:00"/>
    <x v="1"/>
    <x v="11"/>
    <x v="49"/>
    <x v="11"/>
    <x v="17"/>
    <x v="9"/>
    <x v="1"/>
    <n v="0"/>
  </r>
  <r>
    <d v="2025-12-12T00:00:00"/>
    <x v="1"/>
    <x v="11"/>
    <x v="49"/>
    <x v="11"/>
    <x v="20"/>
    <x v="9"/>
    <x v="1"/>
    <n v="0"/>
  </r>
  <r>
    <d v="2025-12-12T00:00:00"/>
    <x v="1"/>
    <x v="11"/>
    <x v="49"/>
    <x v="11"/>
    <x v="21"/>
    <x v="9"/>
    <x v="1"/>
    <n v="0"/>
  </r>
  <r>
    <d v="2025-12-12T00:00:00"/>
    <x v="1"/>
    <x v="11"/>
    <x v="49"/>
    <x v="11"/>
    <x v="25"/>
    <x v="2"/>
    <x v="1"/>
    <n v="0"/>
  </r>
  <r>
    <d v="2025-12-12T00:00:00"/>
    <x v="1"/>
    <x v="11"/>
    <x v="49"/>
    <x v="11"/>
    <x v="0"/>
    <x v="0"/>
    <x v="0"/>
    <n v="10791360000"/>
  </r>
  <r>
    <d v="2025-12-12T00:00:00"/>
    <x v="1"/>
    <x v="11"/>
    <x v="49"/>
    <x v="11"/>
    <x v="7"/>
    <x v="7"/>
    <x v="4"/>
    <n v="221272322"/>
  </r>
  <r>
    <d v="2025-12-12T00:00:00"/>
    <x v="1"/>
    <x v="11"/>
    <x v="49"/>
    <x v="11"/>
    <x v="1"/>
    <x v="1"/>
    <x v="1"/>
    <n v="42000000"/>
  </r>
  <r>
    <d v="2025-12-12T00:00:00"/>
    <x v="1"/>
    <x v="11"/>
    <x v="49"/>
    <x v="11"/>
    <x v="6"/>
    <x v="6"/>
    <x v="0"/>
    <n v="27000000"/>
  </r>
  <r>
    <d v="2025-12-12T00:00:00"/>
    <x v="1"/>
    <x v="11"/>
    <x v="49"/>
    <x v="11"/>
    <x v="18"/>
    <x v="15"/>
    <x v="1"/>
    <n v="629520000"/>
  </r>
  <r>
    <d v="2025-12-12T00:00:00"/>
    <x v="1"/>
    <x v="11"/>
    <x v="49"/>
    <x v="11"/>
    <x v="29"/>
    <x v="20"/>
    <x v="0"/>
    <n v="279612000"/>
  </r>
  <r>
    <d v="2025-12-12T00:00:00"/>
    <x v="1"/>
    <x v="11"/>
    <x v="49"/>
    <x v="11"/>
    <x v="19"/>
    <x v="12"/>
    <x v="4"/>
    <n v="379124560"/>
  </r>
  <r>
    <d v="2025-12-12T00:00:00"/>
    <x v="1"/>
    <x v="11"/>
    <x v="49"/>
    <x v="11"/>
    <x v="24"/>
    <x v="18"/>
    <x v="1"/>
    <n v="3374000000"/>
  </r>
  <r>
    <d v="2025-12-12T00:00:00"/>
    <x v="1"/>
    <x v="11"/>
    <x v="49"/>
    <x v="11"/>
    <x v="30"/>
    <x v="21"/>
    <x v="0"/>
    <n v="0"/>
  </r>
  <r>
    <d v="2025-12-13T00:00:00"/>
    <x v="1"/>
    <x v="11"/>
    <x v="49"/>
    <x v="12"/>
    <x v="3"/>
    <x v="3"/>
    <x v="1"/>
    <n v="236200000"/>
  </r>
  <r>
    <d v="2025-12-13T00:00:00"/>
    <x v="1"/>
    <x v="11"/>
    <x v="49"/>
    <x v="12"/>
    <x v="11"/>
    <x v="10"/>
    <x v="4"/>
    <n v="406994723"/>
  </r>
  <r>
    <d v="2025-12-13T00:00:00"/>
    <x v="1"/>
    <x v="11"/>
    <x v="49"/>
    <x v="12"/>
    <x v="12"/>
    <x v="11"/>
    <x v="1"/>
    <n v="14148710000"/>
  </r>
  <r>
    <d v="2025-12-13T00:00:00"/>
    <x v="1"/>
    <x v="11"/>
    <x v="49"/>
    <x v="12"/>
    <x v="5"/>
    <x v="5"/>
    <x v="3"/>
    <n v="1680215045"/>
  </r>
  <r>
    <d v="2025-12-13T00:00:00"/>
    <x v="1"/>
    <x v="11"/>
    <x v="49"/>
    <x v="12"/>
    <x v="27"/>
    <x v="19"/>
    <x v="0"/>
    <n v="10704420000"/>
  </r>
  <r>
    <d v="2025-12-13T00:00:00"/>
    <x v="1"/>
    <x v="11"/>
    <x v="49"/>
    <x v="12"/>
    <x v="15"/>
    <x v="14"/>
    <x v="4"/>
    <n v="10710184"/>
  </r>
  <r>
    <d v="2025-12-13T00:00:00"/>
    <x v="1"/>
    <x v="11"/>
    <x v="49"/>
    <x v="12"/>
    <x v="14"/>
    <x v="13"/>
    <x v="1"/>
    <n v="5237790000"/>
  </r>
  <r>
    <d v="2025-12-13T00:00:00"/>
    <x v="1"/>
    <x v="11"/>
    <x v="49"/>
    <x v="12"/>
    <x v="23"/>
    <x v="17"/>
    <x v="4"/>
    <n v="11248153"/>
  </r>
  <r>
    <d v="2025-12-13T00:00:00"/>
    <x v="1"/>
    <x v="11"/>
    <x v="49"/>
    <x v="12"/>
    <x v="28"/>
    <x v="17"/>
    <x v="4"/>
    <n v="1336192353"/>
  </r>
  <r>
    <d v="2025-12-13T00:00:00"/>
    <x v="1"/>
    <x v="11"/>
    <x v="49"/>
    <x v="12"/>
    <x v="8"/>
    <x v="8"/>
    <x v="1"/>
    <n v="0"/>
  </r>
  <r>
    <d v="2025-12-13T00:00:00"/>
    <x v="1"/>
    <x v="11"/>
    <x v="49"/>
    <x v="12"/>
    <x v="26"/>
    <x v="16"/>
    <x v="1"/>
    <n v="701300000"/>
  </r>
  <r>
    <d v="2025-12-13T00:00:00"/>
    <x v="1"/>
    <x v="11"/>
    <x v="49"/>
    <x v="12"/>
    <x v="2"/>
    <x v="2"/>
    <x v="1"/>
    <n v="14682880000"/>
  </r>
  <r>
    <d v="2025-12-13T00:00:00"/>
    <x v="1"/>
    <x v="11"/>
    <x v="49"/>
    <x v="12"/>
    <x v="17"/>
    <x v="9"/>
    <x v="1"/>
    <n v="0"/>
  </r>
  <r>
    <d v="2025-12-13T00:00:00"/>
    <x v="1"/>
    <x v="11"/>
    <x v="49"/>
    <x v="12"/>
    <x v="20"/>
    <x v="9"/>
    <x v="1"/>
    <n v="0"/>
  </r>
  <r>
    <d v="2025-12-13T00:00:00"/>
    <x v="1"/>
    <x v="11"/>
    <x v="49"/>
    <x v="12"/>
    <x v="21"/>
    <x v="9"/>
    <x v="1"/>
    <n v="0"/>
  </r>
  <r>
    <d v="2025-12-13T00:00:00"/>
    <x v="1"/>
    <x v="11"/>
    <x v="49"/>
    <x v="12"/>
    <x v="25"/>
    <x v="2"/>
    <x v="1"/>
    <n v="0"/>
  </r>
  <r>
    <d v="2025-12-13T00:00:00"/>
    <x v="1"/>
    <x v="11"/>
    <x v="49"/>
    <x v="12"/>
    <x v="0"/>
    <x v="0"/>
    <x v="0"/>
    <n v="9786420000"/>
  </r>
  <r>
    <d v="2025-12-13T00:00:00"/>
    <x v="1"/>
    <x v="11"/>
    <x v="49"/>
    <x v="12"/>
    <x v="7"/>
    <x v="7"/>
    <x v="4"/>
    <n v="207424392"/>
  </r>
  <r>
    <d v="2025-12-13T00:00:00"/>
    <x v="1"/>
    <x v="11"/>
    <x v="49"/>
    <x v="12"/>
    <x v="1"/>
    <x v="1"/>
    <x v="1"/>
    <n v="0"/>
  </r>
  <r>
    <d v="2025-12-13T00:00:00"/>
    <x v="1"/>
    <x v="11"/>
    <x v="49"/>
    <x v="12"/>
    <x v="6"/>
    <x v="6"/>
    <x v="0"/>
    <n v="33000000"/>
  </r>
  <r>
    <d v="2025-12-13T00:00:00"/>
    <x v="1"/>
    <x v="11"/>
    <x v="49"/>
    <x v="12"/>
    <x v="18"/>
    <x v="15"/>
    <x v="1"/>
    <n v="687270000"/>
  </r>
  <r>
    <d v="2025-12-13T00:00:00"/>
    <x v="1"/>
    <x v="11"/>
    <x v="49"/>
    <x v="12"/>
    <x v="29"/>
    <x v="20"/>
    <x v="0"/>
    <n v="236520000"/>
  </r>
  <r>
    <d v="2025-12-13T00:00:00"/>
    <x v="1"/>
    <x v="11"/>
    <x v="49"/>
    <x v="12"/>
    <x v="19"/>
    <x v="12"/>
    <x v="4"/>
    <n v="289114759"/>
  </r>
  <r>
    <d v="2025-12-13T00:00:00"/>
    <x v="1"/>
    <x v="11"/>
    <x v="49"/>
    <x v="12"/>
    <x v="24"/>
    <x v="18"/>
    <x v="1"/>
    <n v="2571910000"/>
  </r>
  <r>
    <d v="2025-12-13T00:00:00"/>
    <x v="1"/>
    <x v="11"/>
    <x v="49"/>
    <x v="12"/>
    <x v="30"/>
    <x v="21"/>
    <x v="0"/>
    <n v="0"/>
  </r>
  <r>
    <d v="2025-12-14T00:00:00"/>
    <x v="1"/>
    <x v="11"/>
    <x v="49"/>
    <x v="13"/>
    <x v="3"/>
    <x v="3"/>
    <x v="1"/>
    <n v="170750000"/>
  </r>
  <r>
    <d v="2025-12-14T00:00:00"/>
    <x v="1"/>
    <x v="11"/>
    <x v="49"/>
    <x v="13"/>
    <x v="11"/>
    <x v="10"/>
    <x v="4"/>
    <n v="319235207"/>
  </r>
  <r>
    <d v="2025-12-14T00:00:00"/>
    <x v="1"/>
    <x v="11"/>
    <x v="49"/>
    <x v="13"/>
    <x v="12"/>
    <x v="11"/>
    <x v="1"/>
    <n v="12966470000"/>
  </r>
  <r>
    <d v="2025-12-14T00:00:00"/>
    <x v="1"/>
    <x v="11"/>
    <x v="49"/>
    <x v="13"/>
    <x v="5"/>
    <x v="5"/>
    <x v="3"/>
    <n v="1686921483"/>
  </r>
  <r>
    <d v="2025-12-14T00:00:00"/>
    <x v="1"/>
    <x v="11"/>
    <x v="49"/>
    <x v="13"/>
    <x v="27"/>
    <x v="19"/>
    <x v="0"/>
    <n v="10856160000"/>
  </r>
  <r>
    <d v="2025-12-14T00:00:00"/>
    <x v="1"/>
    <x v="11"/>
    <x v="49"/>
    <x v="13"/>
    <x v="15"/>
    <x v="14"/>
    <x v="4"/>
    <n v="24150949"/>
  </r>
  <r>
    <d v="2025-12-14T00:00:00"/>
    <x v="1"/>
    <x v="11"/>
    <x v="49"/>
    <x v="13"/>
    <x v="14"/>
    <x v="13"/>
    <x v="1"/>
    <n v="5494500000"/>
  </r>
  <r>
    <d v="2025-12-14T00:00:00"/>
    <x v="1"/>
    <x v="11"/>
    <x v="49"/>
    <x v="13"/>
    <x v="23"/>
    <x v="17"/>
    <x v="4"/>
    <n v="8194437"/>
  </r>
  <r>
    <d v="2025-12-14T00:00:00"/>
    <x v="1"/>
    <x v="11"/>
    <x v="49"/>
    <x v="13"/>
    <x v="28"/>
    <x v="17"/>
    <x v="4"/>
    <n v="807559271"/>
  </r>
  <r>
    <d v="2025-12-14T00:00:00"/>
    <x v="1"/>
    <x v="11"/>
    <x v="49"/>
    <x v="13"/>
    <x v="8"/>
    <x v="8"/>
    <x v="1"/>
    <n v="0"/>
  </r>
  <r>
    <d v="2025-12-14T00:00:00"/>
    <x v="1"/>
    <x v="11"/>
    <x v="49"/>
    <x v="13"/>
    <x v="26"/>
    <x v="16"/>
    <x v="1"/>
    <n v="337700000"/>
  </r>
  <r>
    <d v="2025-12-14T00:00:00"/>
    <x v="1"/>
    <x v="11"/>
    <x v="49"/>
    <x v="13"/>
    <x v="2"/>
    <x v="2"/>
    <x v="1"/>
    <n v="15019520000"/>
  </r>
  <r>
    <d v="2025-12-14T00:00:00"/>
    <x v="1"/>
    <x v="11"/>
    <x v="49"/>
    <x v="13"/>
    <x v="17"/>
    <x v="9"/>
    <x v="1"/>
    <n v="0"/>
  </r>
  <r>
    <d v="2025-12-14T00:00:00"/>
    <x v="1"/>
    <x v="11"/>
    <x v="49"/>
    <x v="13"/>
    <x v="20"/>
    <x v="9"/>
    <x v="1"/>
    <n v="0"/>
  </r>
  <r>
    <d v="2025-12-14T00:00:00"/>
    <x v="1"/>
    <x v="11"/>
    <x v="49"/>
    <x v="13"/>
    <x v="21"/>
    <x v="9"/>
    <x v="1"/>
    <n v="0"/>
  </r>
  <r>
    <d v="2025-12-14T00:00:00"/>
    <x v="1"/>
    <x v="11"/>
    <x v="49"/>
    <x v="13"/>
    <x v="25"/>
    <x v="2"/>
    <x v="1"/>
    <n v="0"/>
  </r>
  <r>
    <d v="2025-12-14T00:00:00"/>
    <x v="1"/>
    <x v="11"/>
    <x v="49"/>
    <x v="13"/>
    <x v="0"/>
    <x v="0"/>
    <x v="0"/>
    <n v="9550656000"/>
  </r>
  <r>
    <d v="2025-12-14T00:00:00"/>
    <x v="1"/>
    <x v="11"/>
    <x v="49"/>
    <x v="13"/>
    <x v="7"/>
    <x v="7"/>
    <x v="4"/>
    <n v="183948261"/>
  </r>
  <r>
    <d v="2025-12-14T00:00:00"/>
    <x v="1"/>
    <x v="11"/>
    <x v="49"/>
    <x v="13"/>
    <x v="1"/>
    <x v="1"/>
    <x v="1"/>
    <n v="20000000"/>
  </r>
  <r>
    <d v="2025-12-14T00:00:00"/>
    <x v="1"/>
    <x v="11"/>
    <x v="49"/>
    <x v="13"/>
    <x v="6"/>
    <x v="6"/>
    <x v="0"/>
    <n v="52000000"/>
  </r>
  <r>
    <d v="2025-12-14T00:00:00"/>
    <x v="1"/>
    <x v="11"/>
    <x v="49"/>
    <x v="13"/>
    <x v="18"/>
    <x v="15"/>
    <x v="1"/>
    <n v="594150000"/>
  </r>
  <r>
    <d v="2025-12-14T00:00:00"/>
    <x v="1"/>
    <x v="11"/>
    <x v="49"/>
    <x v="13"/>
    <x v="29"/>
    <x v="20"/>
    <x v="0"/>
    <n v="201312000"/>
  </r>
  <r>
    <d v="2025-12-14T00:00:00"/>
    <x v="1"/>
    <x v="11"/>
    <x v="49"/>
    <x v="13"/>
    <x v="19"/>
    <x v="12"/>
    <x v="4"/>
    <n v="256464468"/>
  </r>
  <r>
    <d v="2025-12-14T00:00:00"/>
    <x v="1"/>
    <x v="11"/>
    <x v="49"/>
    <x v="13"/>
    <x v="24"/>
    <x v="18"/>
    <x v="1"/>
    <n v="2589060000"/>
  </r>
  <r>
    <d v="2025-12-14T00:00:00"/>
    <x v="1"/>
    <x v="11"/>
    <x v="49"/>
    <x v="13"/>
    <x v="30"/>
    <x v="21"/>
    <x v="0"/>
    <n v="0"/>
  </r>
  <r>
    <d v="2025-12-15T00:00:00"/>
    <x v="1"/>
    <x v="11"/>
    <x v="50"/>
    <x v="14"/>
    <x v="3"/>
    <x v="3"/>
    <x v="1"/>
    <n v="327150000"/>
  </r>
  <r>
    <d v="2025-12-15T00:00:00"/>
    <x v="1"/>
    <x v="11"/>
    <x v="50"/>
    <x v="14"/>
    <x v="11"/>
    <x v="10"/>
    <x v="4"/>
    <n v="293854888"/>
  </r>
  <r>
    <d v="2025-12-15T00:00:00"/>
    <x v="1"/>
    <x v="11"/>
    <x v="50"/>
    <x v="14"/>
    <x v="12"/>
    <x v="11"/>
    <x v="1"/>
    <n v="16188930000"/>
  </r>
  <r>
    <d v="2025-12-15T00:00:00"/>
    <x v="1"/>
    <x v="11"/>
    <x v="50"/>
    <x v="14"/>
    <x v="5"/>
    <x v="5"/>
    <x v="3"/>
    <n v="2655873951"/>
  </r>
  <r>
    <d v="2025-12-15T00:00:00"/>
    <x v="1"/>
    <x v="11"/>
    <x v="50"/>
    <x v="14"/>
    <x v="27"/>
    <x v="19"/>
    <x v="0"/>
    <n v="13522356000"/>
  </r>
  <r>
    <d v="2025-12-15T00:00:00"/>
    <x v="1"/>
    <x v="11"/>
    <x v="50"/>
    <x v="14"/>
    <x v="15"/>
    <x v="14"/>
    <x v="4"/>
    <n v="18340201"/>
  </r>
  <r>
    <d v="2025-12-15T00:00:00"/>
    <x v="1"/>
    <x v="11"/>
    <x v="50"/>
    <x v="14"/>
    <x v="14"/>
    <x v="13"/>
    <x v="1"/>
    <n v="4934880000"/>
  </r>
  <r>
    <d v="2025-12-15T00:00:00"/>
    <x v="1"/>
    <x v="11"/>
    <x v="50"/>
    <x v="14"/>
    <x v="23"/>
    <x v="17"/>
    <x v="4"/>
    <n v="21745618"/>
  </r>
  <r>
    <d v="2025-12-15T00:00:00"/>
    <x v="1"/>
    <x v="11"/>
    <x v="50"/>
    <x v="14"/>
    <x v="28"/>
    <x v="17"/>
    <x v="4"/>
    <n v="960027021"/>
  </r>
  <r>
    <d v="2025-12-15T00:00:00"/>
    <x v="1"/>
    <x v="11"/>
    <x v="50"/>
    <x v="14"/>
    <x v="8"/>
    <x v="8"/>
    <x v="1"/>
    <n v="0"/>
  </r>
  <r>
    <d v="2025-12-15T00:00:00"/>
    <x v="1"/>
    <x v="11"/>
    <x v="50"/>
    <x v="14"/>
    <x v="26"/>
    <x v="16"/>
    <x v="1"/>
    <n v="738000000"/>
  </r>
  <r>
    <d v="2025-12-15T00:00:00"/>
    <x v="1"/>
    <x v="11"/>
    <x v="50"/>
    <x v="14"/>
    <x v="2"/>
    <x v="2"/>
    <x v="1"/>
    <n v="19549130000"/>
  </r>
  <r>
    <d v="2025-12-15T00:00:00"/>
    <x v="1"/>
    <x v="11"/>
    <x v="50"/>
    <x v="14"/>
    <x v="17"/>
    <x v="9"/>
    <x v="1"/>
    <n v="0"/>
  </r>
  <r>
    <d v="2025-12-15T00:00:00"/>
    <x v="1"/>
    <x v="11"/>
    <x v="50"/>
    <x v="14"/>
    <x v="20"/>
    <x v="9"/>
    <x v="1"/>
    <n v="0"/>
  </r>
  <r>
    <d v="2025-12-15T00:00:00"/>
    <x v="1"/>
    <x v="11"/>
    <x v="50"/>
    <x v="14"/>
    <x v="21"/>
    <x v="9"/>
    <x v="1"/>
    <n v="0"/>
  </r>
  <r>
    <d v="2025-12-15T00:00:00"/>
    <x v="1"/>
    <x v="11"/>
    <x v="50"/>
    <x v="14"/>
    <x v="25"/>
    <x v="2"/>
    <x v="1"/>
    <n v="0"/>
  </r>
  <r>
    <d v="2025-12-15T00:00:00"/>
    <x v="1"/>
    <x v="11"/>
    <x v="50"/>
    <x v="14"/>
    <x v="0"/>
    <x v="0"/>
    <x v="0"/>
    <n v="12444408000"/>
  </r>
  <r>
    <d v="2025-12-15T00:00:00"/>
    <x v="1"/>
    <x v="11"/>
    <x v="50"/>
    <x v="14"/>
    <x v="7"/>
    <x v="7"/>
    <x v="4"/>
    <n v="204913785"/>
  </r>
  <r>
    <d v="2025-12-15T00:00:00"/>
    <x v="1"/>
    <x v="11"/>
    <x v="50"/>
    <x v="14"/>
    <x v="1"/>
    <x v="1"/>
    <x v="1"/>
    <n v="21000000"/>
  </r>
  <r>
    <d v="2025-12-15T00:00:00"/>
    <x v="1"/>
    <x v="11"/>
    <x v="50"/>
    <x v="14"/>
    <x v="6"/>
    <x v="6"/>
    <x v="0"/>
    <n v="47000000"/>
  </r>
  <r>
    <d v="2025-12-15T00:00:00"/>
    <x v="1"/>
    <x v="11"/>
    <x v="50"/>
    <x v="14"/>
    <x v="18"/>
    <x v="15"/>
    <x v="1"/>
    <n v="698470000"/>
  </r>
  <r>
    <d v="2025-12-15T00:00:00"/>
    <x v="1"/>
    <x v="11"/>
    <x v="50"/>
    <x v="14"/>
    <x v="29"/>
    <x v="20"/>
    <x v="0"/>
    <n v="268164000"/>
  </r>
  <r>
    <d v="2025-12-15T00:00:00"/>
    <x v="1"/>
    <x v="11"/>
    <x v="50"/>
    <x v="14"/>
    <x v="19"/>
    <x v="12"/>
    <x v="4"/>
    <n v="296761976"/>
  </r>
  <r>
    <d v="2025-12-15T00:00:00"/>
    <x v="1"/>
    <x v="11"/>
    <x v="50"/>
    <x v="14"/>
    <x v="24"/>
    <x v="18"/>
    <x v="1"/>
    <n v="3743710000"/>
  </r>
  <r>
    <d v="2025-12-15T00:00:00"/>
    <x v="1"/>
    <x v="11"/>
    <x v="50"/>
    <x v="14"/>
    <x v="30"/>
    <x v="21"/>
    <x v="0"/>
    <n v="0"/>
  </r>
  <r>
    <d v="2025-12-16T00:00:00"/>
    <x v="1"/>
    <x v="11"/>
    <x v="50"/>
    <x v="15"/>
    <x v="3"/>
    <x v="3"/>
    <x v="1"/>
    <n v="196900000"/>
  </r>
  <r>
    <d v="2025-12-16T00:00:00"/>
    <x v="1"/>
    <x v="11"/>
    <x v="50"/>
    <x v="15"/>
    <x v="11"/>
    <x v="10"/>
    <x v="4"/>
    <n v="302096335"/>
  </r>
  <r>
    <d v="2025-12-16T00:00:00"/>
    <x v="1"/>
    <x v="11"/>
    <x v="50"/>
    <x v="15"/>
    <x v="12"/>
    <x v="11"/>
    <x v="1"/>
    <n v="16159400000"/>
  </r>
  <r>
    <d v="2025-12-16T00:00:00"/>
    <x v="1"/>
    <x v="11"/>
    <x v="50"/>
    <x v="15"/>
    <x v="5"/>
    <x v="5"/>
    <x v="3"/>
    <n v="2246477388"/>
  </r>
  <r>
    <d v="2025-12-16T00:00:00"/>
    <x v="1"/>
    <x v="11"/>
    <x v="50"/>
    <x v="15"/>
    <x v="27"/>
    <x v="19"/>
    <x v="0"/>
    <n v="12256056000"/>
  </r>
  <r>
    <d v="2025-12-16T00:00:00"/>
    <x v="1"/>
    <x v="11"/>
    <x v="50"/>
    <x v="15"/>
    <x v="15"/>
    <x v="14"/>
    <x v="4"/>
    <n v="3196006"/>
  </r>
  <r>
    <d v="2025-12-16T00:00:00"/>
    <x v="1"/>
    <x v="11"/>
    <x v="50"/>
    <x v="15"/>
    <x v="14"/>
    <x v="13"/>
    <x v="1"/>
    <n v="4388790000"/>
  </r>
  <r>
    <d v="2025-12-16T00:00:00"/>
    <x v="1"/>
    <x v="11"/>
    <x v="50"/>
    <x v="15"/>
    <x v="23"/>
    <x v="17"/>
    <x v="4"/>
    <n v="7395561"/>
  </r>
  <r>
    <d v="2025-12-16T00:00:00"/>
    <x v="1"/>
    <x v="11"/>
    <x v="50"/>
    <x v="15"/>
    <x v="28"/>
    <x v="17"/>
    <x v="4"/>
    <n v="800100852"/>
  </r>
  <r>
    <d v="2025-12-16T00:00:00"/>
    <x v="1"/>
    <x v="11"/>
    <x v="50"/>
    <x v="15"/>
    <x v="8"/>
    <x v="8"/>
    <x v="1"/>
    <n v="0"/>
  </r>
  <r>
    <d v="2025-12-16T00:00:00"/>
    <x v="1"/>
    <x v="11"/>
    <x v="50"/>
    <x v="15"/>
    <x v="26"/>
    <x v="16"/>
    <x v="1"/>
    <n v="715250000"/>
  </r>
  <r>
    <d v="2025-12-16T00:00:00"/>
    <x v="1"/>
    <x v="11"/>
    <x v="50"/>
    <x v="15"/>
    <x v="2"/>
    <x v="2"/>
    <x v="1"/>
    <n v="18976500000"/>
  </r>
  <r>
    <d v="2025-12-16T00:00:00"/>
    <x v="1"/>
    <x v="11"/>
    <x v="50"/>
    <x v="15"/>
    <x v="17"/>
    <x v="9"/>
    <x v="1"/>
    <n v="0"/>
  </r>
  <r>
    <d v="2025-12-16T00:00:00"/>
    <x v="1"/>
    <x v="11"/>
    <x v="50"/>
    <x v="15"/>
    <x v="20"/>
    <x v="9"/>
    <x v="1"/>
    <n v="0"/>
  </r>
  <r>
    <d v="2025-12-16T00:00:00"/>
    <x v="1"/>
    <x v="11"/>
    <x v="50"/>
    <x v="15"/>
    <x v="21"/>
    <x v="9"/>
    <x v="1"/>
    <n v="0"/>
  </r>
  <r>
    <d v="2025-12-16T00:00:00"/>
    <x v="1"/>
    <x v="11"/>
    <x v="50"/>
    <x v="15"/>
    <x v="25"/>
    <x v="2"/>
    <x v="1"/>
    <n v="30000000"/>
  </r>
  <r>
    <d v="2025-12-16T00:00:00"/>
    <x v="1"/>
    <x v="11"/>
    <x v="50"/>
    <x v="15"/>
    <x v="0"/>
    <x v="0"/>
    <x v="0"/>
    <n v="10527516000"/>
  </r>
  <r>
    <d v="2025-12-16T00:00:00"/>
    <x v="1"/>
    <x v="11"/>
    <x v="50"/>
    <x v="15"/>
    <x v="7"/>
    <x v="7"/>
    <x v="4"/>
    <n v="197024453"/>
  </r>
  <r>
    <d v="2025-12-16T00:00:00"/>
    <x v="1"/>
    <x v="11"/>
    <x v="50"/>
    <x v="15"/>
    <x v="1"/>
    <x v="1"/>
    <x v="1"/>
    <n v="21000000"/>
  </r>
  <r>
    <d v="2025-12-16T00:00:00"/>
    <x v="1"/>
    <x v="11"/>
    <x v="50"/>
    <x v="15"/>
    <x v="6"/>
    <x v="6"/>
    <x v="0"/>
    <n v="41000000"/>
  </r>
  <r>
    <d v="2025-12-16T00:00:00"/>
    <x v="1"/>
    <x v="11"/>
    <x v="50"/>
    <x v="15"/>
    <x v="18"/>
    <x v="15"/>
    <x v="1"/>
    <n v="614540000"/>
  </r>
  <r>
    <d v="2025-12-16T00:00:00"/>
    <x v="1"/>
    <x v="11"/>
    <x v="50"/>
    <x v="15"/>
    <x v="29"/>
    <x v="20"/>
    <x v="0"/>
    <n v="279936000"/>
  </r>
  <r>
    <d v="2025-12-16T00:00:00"/>
    <x v="1"/>
    <x v="11"/>
    <x v="50"/>
    <x v="15"/>
    <x v="19"/>
    <x v="12"/>
    <x v="4"/>
    <n v="324649279"/>
  </r>
  <r>
    <d v="2025-12-16T00:00:00"/>
    <x v="1"/>
    <x v="11"/>
    <x v="50"/>
    <x v="15"/>
    <x v="24"/>
    <x v="18"/>
    <x v="1"/>
    <n v="3912910000"/>
  </r>
  <r>
    <d v="2025-12-16T00:00:00"/>
    <x v="1"/>
    <x v="11"/>
    <x v="50"/>
    <x v="15"/>
    <x v="30"/>
    <x v="21"/>
    <x v="0"/>
    <n v="0"/>
  </r>
  <r>
    <d v="2025-12-17T00:00:00"/>
    <x v="1"/>
    <x v="11"/>
    <x v="50"/>
    <x v="16"/>
    <x v="3"/>
    <x v="3"/>
    <x v="1"/>
    <n v="239950000"/>
  </r>
  <r>
    <d v="2025-12-17T00:00:00"/>
    <x v="1"/>
    <x v="11"/>
    <x v="50"/>
    <x v="16"/>
    <x v="11"/>
    <x v="10"/>
    <x v="4"/>
    <n v="327595800"/>
  </r>
  <r>
    <d v="2025-12-17T00:00:00"/>
    <x v="1"/>
    <x v="11"/>
    <x v="50"/>
    <x v="16"/>
    <x v="12"/>
    <x v="11"/>
    <x v="1"/>
    <n v="16532070000"/>
  </r>
  <r>
    <d v="2025-12-17T00:00:00"/>
    <x v="1"/>
    <x v="11"/>
    <x v="50"/>
    <x v="16"/>
    <x v="5"/>
    <x v="5"/>
    <x v="3"/>
    <n v="1754969127"/>
  </r>
  <r>
    <d v="2025-12-17T00:00:00"/>
    <x v="1"/>
    <x v="11"/>
    <x v="50"/>
    <x v="16"/>
    <x v="27"/>
    <x v="19"/>
    <x v="0"/>
    <n v="11943612000"/>
  </r>
  <r>
    <d v="2025-12-17T00:00:00"/>
    <x v="1"/>
    <x v="11"/>
    <x v="50"/>
    <x v="16"/>
    <x v="15"/>
    <x v="14"/>
    <x v="4"/>
    <n v="8595888"/>
  </r>
  <r>
    <d v="2025-12-17T00:00:00"/>
    <x v="1"/>
    <x v="11"/>
    <x v="50"/>
    <x v="16"/>
    <x v="14"/>
    <x v="13"/>
    <x v="1"/>
    <n v="3399220000"/>
  </r>
  <r>
    <d v="2025-12-17T00:00:00"/>
    <x v="1"/>
    <x v="11"/>
    <x v="50"/>
    <x v="16"/>
    <x v="23"/>
    <x v="17"/>
    <x v="4"/>
    <n v="8747927"/>
  </r>
  <r>
    <d v="2025-12-17T00:00:00"/>
    <x v="1"/>
    <x v="11"/>
    <x v="50"/>
    <x v="16"/>
    <x v="28"/>
    <x v="17"/>
    <x v="4"/>
    <n v="651321015"/>
  </r>
  <r>
    <d v="2025-12-17T00:00:00"/>
    <x v="1"/>
    <x v="11"/>
    <x v="50"/>
    <x v="16"/>
    <x v="8"/>
    <x v="8"/>
    <x v="1"/>
    <n v="0"/>
  </r>
  <r>
    <d v="2025-12-17T00:00:00"/>
    <x v="1"/>
    <x v="11"/>
    <x v="50"/>
    <x v="16"/>
    <x v="26"/>
    <x v="16"/>
    <x v="1"/>
    <n v="783900000"/>
  </r>
  <r>
    <d v="2025-12-17T00:00:00"/>
    <x v="1"/>
    <x v="11"/>
    <x v="50"/>
    <x v="16"/>
    <x v="2"/>
    <x v="2"/>
    <x v="1"/>
    <n v="17941910000"/>
  </r>
  <r>
    <d v="2025-12-17T00:00:00"/>
    <x v="1"/>
    <x v="11"/>
    <x v="50"/>
    <x v="16"/>
    <x v="17"/>
    <x v="9"/>
    <x v="1"/>
    <n v="0"/>
  </r>
  <r>
    <d v="2025-12-17T00:00:00"/>
    <x v="1"/>
    <x v="11"/>
    <x v="50"/>
    <x v="16"/>
    <x v="20"/>
    <x v="9"/>
    <x v="1"/>
    <n v="0"/>
  </r>
  <r>
    <d v="2025-12-17T00:00:00"/>
    <x v="1"/>
    <x v="11"/>
    <x v="50"/>
    <x v="16"/>
    <x v="21"/>
    <x v="9"/>
    <x v="1"/>
    <n v="0"/>
  </r>
  <r>
    <d v="2025-12-17T00:00:00"/>
    <x v="1"/>
    <x v="11"/>
    <x v="50"/>
    <x v="16"/>
    <x v="25"/>
    <x v="2"/>
    <x v="1"/>
    <n v="0"/>
  </r>
  <r>
    <d v="2025-12-17T00:00:00"/>
    <x v="1"/>
    <x v="11"/>
    <x v="50"/>
    <x v="16"/>
    <x v="0"/>
    <x v="0"/>
    <x v="0"/>
    <n v="9917856000"/>
  </r>
  <r>
    <d v="2025-12-17T00:00:00"/>
    <x v="1"/>
    <x v="11"/>
    <x v="50"/>
    <x v="16"/>
    <x v="7"/>
    <x v="7"/>
    <x v="4"/>
    <n v="159315563"/>
  </r>
  <r>
    <d v="2025-12-17T00:00:00"/>
    <x v="1"/>
    <x v="11"/>
    <x v="50"/>
    <x v="16"/>
    <x v="1"/>
    <x v="1"/>
    <x v="1"/>
    <n v="0"/>
  </r>
  <r>
    <d v="2025-12-17T00:00:00"/>
    <x v="1"/>
    <x v="11"/>
    <x v="50"/>
    <x v="16"/>
    <x v="6"/>
    <x v="6"/>
    <x v="0"/>
    <n v="44000000"/>
  </r>
  <r>
    <d v="2025-12-17T00:00:00"/>
    <x v="1"/>
    <x v="11"/>
    <x v="50"/>
    <x v="16"/>
    <x v="18"/>
    <x v="15"/>
    <x v="1"/>
    <n v="404350000"/>
  </r>
  <r>
    <d v="2025-12-17T00:00:00"/>
    <x v="1"/>
    <x v="11"/>
    <x v="50"/>
    <x v="16"/>
    <x v="29"/>
    <x v="20"/>
    <x v="0"/>
    <n v="322488000"/>
  </r>
  <r>
    <d v="2025-12-17T00:00:00"/>
    <x v="1"/>
    <x v="11"/>
    <x v="50"/>
    <x v="16"/>
    <x v="19"/>
    <x v="12"/>
    <x v="4"/>
    <n v="307138085"/>
  </r>
  <r>
    <d v="2025-12-17T00:00:00"/>
    <x v="1"/>
    <x v="11"/>
    <x v="50"/>
    <x v="16"/>
    <x v="24"/>
    <x v="18"/>
    <x v="1"/>
    <n v="3763130000"/>
  </r>
  <r>
    <d v="2025-12-17T00:00:00"/>
    <x v="1"/>
    <x v="11"/>
    <x v="50"/>
    <x v="16"/>
    <x v="30"/>
    <x v="21"/>
    <x v="0"/>
    <n v="0"/>
  </r>
  <r>
    <d v="2025-12-18T00:00:00"/>
    <x v="1"/>
    <x v="11"/>
    <x v="50"/>
    <x v="17"/>
    <x v="3"/>
    <x v="3"/>
    <x v="1"/>
    <n v="207950000"/>
  </r>
  <r>
    <d v="2025-12-18T00:00:00"/>
    <x v="1"/>
    <x v="11"/>
    <x v="50"/>
    <x v="17"/>
    <x v="11"/>
    <x v="10"/>
    <x v="4"/>
    <n v="331133841"/>
  </r>
  <r>
    <d v="2025-12-18T00:00:00"/>
    <x v="1"/>
    <x v="11"/>
    <x v="50"/>
    <x v="17"/>
    <x v="12"/>
    <x v="11"/>
    <x v="1"/>
    <n v="17149870000"/>
  </r>
  <r>
    <d v="2025-12-18T00:00:00"/>
    <x v="1"/>
    <x v="11"/>
    <x v="50"/>
    <x v="17"/>
    <x v="5"/>
    <x v="5"/>
    <x v="3"/>
    <n v="1913837763"/>
  </r>
  <r>
    <d v="2025-12-18T00:00:00"/>
    <x v="1"/>
    <x v="11"/>
    <x v="50"/>
    <x v="17"/>
    <x v="27"/>
    <x v="19"/>
    <x v="0"/>
    <n v="11934000000"/>
  </r>
  <r>
    <d v="2025-12-18T00:00:00"/>
    <x v="1"/>
    <x v="11"/>
    <x v="50"/>
    <x v="17"/>
    <x v="15"/>
    <x v="14"/>
    <x v="4"/>
    <n v="5987341"/>
  </r>
  <r>
    <d v="2025-12-18T00:00:00"/>
    <x v="1"/>
    <x v="11"/>
    <x v="50"/>
    <x v="17"/>
    <x v="31"/>
    <x v="22"/>
    <x v="1"/>
    <n v="100000000"/>
  </r>
  <r>
    <d v="2025-12-18T00:00:00"/>
    <x v="1"/>
    <x v="11"/>
    <x v="50"/>
    <x v="17"/>
    <x v="14"/>
    <x v="13"/>
    <x v="1"/>
    <n v="3978750000"/>
  </r>
  <r>
    <d v="2025-12-18T00:00:00"/>
    <x v="1"/>
    <x v="11"/>
    <x v="50"/>
    <x v="17"/>
    <x v="23"/>
    <x v="17"/>
    <x v="4"/>
    <n v="14646069"/>
  </r>
  <r>
    <d v="2025-12-18T00:00:00"/>
    <x v="1"/>
    <x v="11"/>
    <x v="50"/>
    <x v="17"/>
    <x v="28"/>
    <x v="17"/>
    <x v="4"/>
    <n v="814902855"/>
  </r>
  <r>
    <d v="2025-12-18T00:00:00"/>
    <x v="1"/>
    <x v="11"/>
    <x v="50"/>
    <x v="17"/>
    <x v="8"/>
    <x v="8"/>
    <x v="1"/>
    <n v="0"/>
  </r>
  <r>
    <d v="2025-12-18T00:00:00"/>
    <x v="1"/>
    <x v="11"/>
    <x v="50"/>
    <x v="17"/>
    <x v="26"/>
    <x v="16"/>
    <x v="1"/>
    <n v="1226050000"/>
  </r>
  <r>
    <d v="2025-12-18T00:00:00"/>
    <x v="1"/>
    <x v="11"/>
    <x v="50"/>
    <x v="17"/>
    <x v="2"/>
    <x v="2"/>
    <x v="1"/>
    <n v="19521960000"/>
  </r>
  <r>
    <d v="2025-12-18T00:00:00"/>
    <x v="1"/>
    <x v="11"/>
    <x v="50"/>
    <x v="17"/>
    <x v="17"/>
    <x v="9"/>
    <x v="1"/>
    <n v="0"/>
  </r>
  <r>
    <d v="2025-12-18T00:00:00"/>
    <x v="1"/>
    <x v="11"/>
    <x v="50"/>
    <x v="17"/>
    <x v="20"/>
    <x v="9"/>
    <x v="1"/>
    <n v="0"/>
  </r>
  <r>
    <d v="2025-12-18T00:00:00"/>
    <x v="1"/>
    <x v="11"/>
    <x v="50"/>
    <x v="17"/>
    <x v="21"/>
    <x v="9"/>
    <x v="1"/>
    <n v="0"/>
  </r>
  <r>
    <d v="2025-12-18T00:00:00"/>
    <x v="1"/>
    <x v="11"/>
    <x v="50"/>
    <x v="17"/>
    <x v="25"/>
    <x v="2"/>
    <x v="1"/>
    <n v="0"/>
  </r>
  <r>
    <d v="2025-12-18T00:00:00"/>
    <x v="1"/>
    <x v="11"/>
    <x v="50"/>
    <x v="17"/>
    <x v="0"/>
    <x v="0"/>
    <x v="0"/>
    <n v="9723996000"/>
  </r>
  <r>
    <d v="2025-12-18T00:00:00"/>
    <x v="1"/>
    <x v="11"/>
    <x v="50"/>
    <x v="17"/>
    <x v="7"/>
    <x v="7"/>
    <x v="4"/>
    <n v="180947368"/>
  </r>
  <r>
    <d v="2025-12-18T00:00:00"/>
    <x v="1"/>
    <x v="11"/>
    <x v="50"/>
    <x v="17"/>
    <x v="1"/>
    <x v="1"/>
    <x v="1"/>
    <n v="0"/>
  </r>
  <r>
    <d v="2025-12-18T00:00:00"/>
    <x v="1"/>
    <x v="11"/>
    <x v="50"/>
    <x v="17"/>
    <x v="6"/>
    <x v="6"/>
    <x v="0"/>
    <n v="36000000"/>
  </r>
  <r>
    <d v="2025-12-18T00:00:00"/>
    <x v="1"/>
    <x v="11"/>
    <x v="50"/>
    <x v="17"/>
    <x v="18"/>
    <x v="15"/>
    <x v="1"/>
    <n v="792060000"/>
  </r>
  <r>
    <d v="2025-12-18T00:00:00"/>
    <x v="1"/>
    <x v="11"/>
    <x v="50"/>
    <x v="17"/>
    <x v="29"/>
    <x v="20"/>
    <x v="0"/>
    <n v="308556000"/>
  </r>
  <r>
    <d v="2025-12-18T00:00:00"/>
    <x v="1"/>
    <x v="11"/>
    <x v="50"/>
    <x v="17"/>
    <x v="19"/>
    <x v="12"/>
    <x v="4"/>
    <n v="291196709"/>
  </r>
  <r>
    <d v="2025-12-18T00:00:00"/>
    <x v="1"/>
    <x v="11"/>
    <x v="50"/>
    <x v="17"/>
    <x v="24"/>
    <x v="18"/>
    <x v="1"/>
    <n v="3581780000"/>
  </r>
  <r>
    <d v="2025-12-18T00:00:00"/>
    <x v="1"/>
    <x v="11"/>
    <x v="50"/>
    <x v="17"/>
    <x v="30"/>
    <x v="21"/>
    <x v="0"/>
    <n v="0"/>
  </r>
  <r>
    <d v="2025-12-19T00:00:00"/>
    <x v="1"/>
    <x v="11"/>
    <x v="50"/>
    <x v="18"/>
    <x v="3"/>
    <x v="3"/>
    <x v="1"/>
    <n v="189600000"/>
  </r>
  <r>
    <d v="2025-12-19T00:00:00"/>
    <x v="1"/>
    <x v="11"/>
    <x v="50"/>
    <x v="18"/>
    <x v="11"/>
    <x v="10"/>
    <x v="4"/>
    <n v="347547390"/>
  </r>
  <r>
    <d v="2025-12-19T00:00:00"/>
    <x v="1"/>
    <x v="11"/>
    <x v="50"/>
    <x v="18"/>
    <x v="12"/>
    <x v="11"/>
    <x v="1"/>
    <n v="12642980000"/>
  </r>
  <r>
    <d v="2025-12-19T00:00:00"/>
    <x v="1"/>
    <x v="11"/>
    <x v="50"/>
    <x v="18"/>
    <x v="5"/>
    <x v="5"/>
    <x v="3"/>
    <n v="2187683311"/>
  </r>
  <r>
    <d v="2025-12-19T00:00:00"/>
    <x v="1"/>
    <x v="11"/>
    <x v="50"/>
    <x v="18"/>
    <x v="27"/>
    <x v="19"/>
    <x v="0"/>
    <n v="12382096000"/>
  </r>
  <r>
    <d v="2025-12-19T00:00:00"/>
    <x v="1"/>
    <x v="11"/>
    <x v="50"/>
    <x v="18"/>
    <x v="15"/>
    <x v="14"/>
    <x v="4"/>
    <n v="707254"/>
  </r>
  <r>
    <d v="2025-12-19T00:00:00"/>
    <x v="1"/>
    <x v="11"/>
    <x v="50"/>
    <x v="18"/>
    <x v="31"/>
    <x v="22"/>
    <x v="1"/>
    <n v="50000000"/>
  </r>
  <r>
    <d v="2025-12-19T00:00:00"/>
    <x v="1"/>
    <x v="11"/>
    <x v="50"/>
    <x v="18"/>
    <x v="14"/>
    <x v="13"/>
    <x v="1"/>
    <n v="4275100000"/>
  </r>
  <r>
    <d v="2025-12-19T00:00:00"/>
    <x v="1"/>
    <x v="11"/>
    <x v="50"/>
    <x v="18"/>
    <x v="23"/>
    <x v="17"/>
    <x v="4"/>
    <n v="0"/>
  </r>
  <r>
    <d v="2025-12-19T00:00:00"/>
    <x v="1"/>
    <x v="11"/>
    <x v="50"/>
    <x v="18"/>
    <x v="28"/>
    <x v="17"/>
    <x v="4"/>
    <n v="719509858"/>
  </r>
  <r>
    <d v="2025-12-19T00:00:00"/>
    <x v="1"/>
    <x v="11"/>
    <x v="50"/>
    <x v="18"/>
    <x v="8"/>
    <x v="8"/>
    <x v="1"/>
    <n v="0"/>
  </r>
  <r>
    <d v="2025-12-19T00:00:00"/>
    <x v="1"/>
    <x v="11"/>
    <x v="50"/>
    <x v="18"/>
    <x v="26"/>
    <x v="16"/>
    <x v="1"/>
    <n v="528700000"/>
  </r>
  <r>
    <d v="2025-12-19T00:00:00"/>
    <x v="1"/>
    <x v="11"/>
    <x v="50"/>
    <x v="18"/>
    <x v="2"/>
    <x v="2"/>
    <x v="1"/>
    <n v="18357020000"/>
  </r>
  <r>
    <d v="2025-12-19T00:00:00"/>
    <x v="1"/>
    <x v="11"/>
    <x v="50"/>
    <x v="18"/>
    <x v="17"/>
    <x v="9"/>
    <x v="1"/>
    <n v="0"/>
  </r>
  <r>
    <d v="2025-12-19T00:00:00"/>
    <x v="1"/>
    <x v="11"/>
    <x v="50"/>
    <x v="18"/>
    <x v="20"/>
    <x v="9"/>
    <x v="1"/>
    <n v="0"/>
  </r>
  <r>
    <d v="2025-12-19T00:00:00"/>
    <x v="1"/>
    <x v="11"/>
    <x v="50"/>
    <x v="18"/>
    <x v="21"/>
    <x v="9"/>
    <x v="1"/>
    <n v="0"/>
  </r>
  <r>
    <d v="2025-12-19T00:00:00"/>
    <x v="1"/>
    <x v="11"/>
    <x v="50"/>
    <x v="18"/>
    <x v="25"/>
    <x v="2"/>
    <x v="1"/>
    <n v="6000000"/>
  </r>
  <r>
    <d v="2025-12-19T00:00:00"/>
    <x v="1"/>
    <x v="11"/>
    <x v="50"/>
    <x v="18"/>
    <x v="0"/>
    <x v="0"/>
    <x v="0"/>
    <n v="9999720000"/>
  </r>
  <r>
    <d v="2025-12-19T00:00:00"/>
    <x v="1"/>
    <x v="11"/>
    <x v="50"/>
    <x v="18"/>
    <x v="7"/>
    <x v="7"/>
    <x v="4"/>
    <n v="162802294"/>
  </r>
  <r>
    <d v="2025-12-19T00:00:00"/>
    <x v="1"/>
    <x v="11"/>
    <x v="50"/>
    <x v="18"/>
    <x v="1"/>
    <x v="1"/>
    <x v="1"/>
    <n v="20500000"/>
  </r>
  <r>
    <d v="2025-12-19T00:00:00"/>
    <x v="1"/>
    <x v="11"/>
    <x v="50"/>
    <x v="18"/>
    <x v="6"/>
    <x v="6"/>
    <x v="0"/>
    <n v="43000000"/>
  </r>
  <r>
    <d v="2025-12-19T00:00:00"/>
    <x v="1"/>
    <x v="11"/>
    <x v="50"/>
    <x v="18"/>
    <x v="18"/>
    <x v="15"/>
    <x v="1"/>
    <n v="868390000"/>
  </r>
  <r>
    <d v="2025-12-19T00:00:00"/>
    <x v="1"/>
    <x v="11"/>
    <x v="50"/>
    <x v="18"/>
    <x v="29"/>
    <x v="20"/>
    <x v="0"/>
    <n v="331236000"/>
  </r>
  <r>
    <d v="2025-12-19T00:00:00"/>
    <x v="1"/>
    <x v="11"/>
    <x v="50"/>
    <x v="18"/>
    <x v="19"/>
    <x v="12"/>
    <x v="4"/>
    <n v="294493693"/>
  </r>
  <r>
    <d v="2025-12-19T00:00:00"/>
    <x v="1"/>
    <x v="11"/>
    <x v="50"/>
    <x v="18"/>
    <x v="24"/>
    <x v="18"/>
    <x v="1"/>
    <n v="4158890000"/>
  </r>
  <r>
    <d v="2025-12-19T00:00:00"/>
    <x v="1"/>
    <x v="11"/>
    <x v="50"/>
    <x v="18"/>
    <x v="30"/>
    <x v="21"/>
    <x v="0"/>
    <n v="0"/>
  </r>
  <r>
    <d v="2025-12-20T00:00:00"/>
    <x v="1"/>
    <x v="11"/>
    <x v="50"/>
    <x v="19"/>
    <x v="3"/>
    <x v="3"/>
    <x v="1"/>
    <n v="190500000"/>
  </r>
  <r>
    <d v="2025-12-20T00:00:00"/>
    <x v="1"/>
    <x v="11"/>
    <x v="50"/>
    <x v="19"/>
    <x v="11"/>
    <x v="10"/>
    <x v="4"/>
    <n v="356365754"/>
  </r>
  <r>
    <d v="2025-12-20T00:00:00"/>
    <x v="1"/>
    <x v="11"/>
    <x v="50"/>
    <x v="19"/>
    <x v="12"/>
    <x v="11"/>
    <x v="1"/>
    <n v="13224840000"/>
  </r>
  <r>
    <d v="2025-12-20T00:00:00"/>
    <x v="1"/>
    <x v="11"/>
    <x v="50"/>
    <x v="19"/>
    <x v="5"/>
    <x v="5"/>
    <x v="3"/>
    <n v="1961256622"/>
  </r>
  <r>
    <d v="2025-12-20T00:00:00"/>
    <x v="1"/>
    <x v="11"/>
    <x v="50"/>
    <x v="19"/>
    <x v="27"/>
    <x v="19"/>
    <x v="0"/>
    <n v="11793492000"/>
  </r>
  <r>
    <d v="2025-12-20T00:00:00"/>
    <x v="1"/>
    <x v="11"/>
    <x v="50"/>
    <x v="19"/>
    <x v="15"/>
    <x v="14"/>
    <x v="4"/>
    <n v="13497874"/>
  </r>
  <r>
    <d v="2025-12-20T00:00:00"/>
    <x v="1"/>
    <x v="11"/>
    <x v="50"/>
    <x v="19"/>
    <x v="31"/>
    <x v="22"/>
    <x v="1"/>
    <n v="0"/>
  </r>
  <r>
    <d v="2025-12-20T00:00:00"/>
    <x v="1"/>
    <x v="11"/>
    <x v="50"/>
    <x v="19"/>
    <x v="14"/>
    <x v="13"/>
    <x v="1"/>
    <n v="4483650000"/>
  </r>
  <r>
    <d v="2025-12-20T00:00:00"/>
    <x v="1"/>
    <x v="11"/>
    <x v="50"/>
    <x v="19"/>
    <x v="23"/>
    <x v="17"/>
    <x v="4"/>
    <n v="9771562"/>
  </r>
  <r>
    <d v="2025-12-20T00:00:00"/>
    <x v="1"/>
    <x v="11"/>
    <x v="50"/>
    <x v="19"/>
    <x v="28"/>
    <x v="17"/>
    <x v="4"/>
    <n v="1091916962"/>
  </r>
  <r>
    <d v="2025-12-20T00:00:00"/>
    <x v="1"/>
    <x v="11"/>
    <x v="50"/>
    <x v="19"/>
    <x v="8"/>
    <x v="8"/>
    <x v="1"/>
    <n v="0"/>
  </r>
  <r>
    <d v="2025-12-20T00:00:00"/>
    <x v="1"/>
    <x v="11"/>
    <x v="50"/>
    <x v="19"/>
    <x v="26"/>
    <x v="16"/>
    <x v="1"/>
    <n v="776800000"/>
  </r>
  <r>
    <d v="2025-12-20T00:00:00"/>
    <x v="1"/>
    <x v="11"/>
    <x v="50"/>
    <x v="19"/>
    <x v="2"/>
    <x v="2"/>
    <x v="1"/>
    <n v="14486840000"/>
  </r>
  <r>
    <d v="2025-12-20T00:00:00"/>
    <x v="1"/>
    <x v="11"/>
    <x v="50"/>
    <x v="19"/>
    <x v="17"/>
    <x v="9"/>
    <x v="1"/>
    <n v="0"/>
  </r>
  <r>
    <d v="2025-12-20T00:00:00"/>
    <x v="1"/>
    <x v="11"/>
    <x v="50"/>
    <x v="19"/>
    <x v="20"/>
    <x v="9"/>
    <x v="1"/>
    <n v="0"/>
  </r>
  <r>
    <d v="2025-12-20T00:00:00"/>
    <x v="1"/>
    <x v="11"/>
    <x v="50"/>
    <x v="19"/>
    <x v="21"/>
    <x v="9"/>
    <x v="1"/>
    <n v="0"/>
  </r>
  <r>
    <d v="2025-12-20T00:00:00"/>
    <x v="1"/>
    <x v="11"/>
    <x v="50"/>
    <x v="19"/>
    <x v="25"/>
    <x v="2"/>
    <x v="1"/>
    <n v="0"/>
  </r>
  <r>
    <d v="2025-12-20T00:00:00"/>
    <x v="1"/>
    <x v="11"/>
    <x v="50"/>
    <x v="19"/>
    <x v="0"/>
    <x v="0"/>
    <x v="0"/>
    <n v="9275040000"/>
  </r>
  <r>
    <d v="2025-12-20T00:00:00"/>
    <x v="1"/>
    <x v="11"/>
    <x v="50"/>
    <x v="19"/>
    <x v="7"/>
    <x v="7"/>
    <x v="4"/>
    <n v="148058993"/>
  </r>
  <r>
    <d v="2025-12-20T00:00:00"/>
    <x v="1"/>
    <x v="11"/>
    <x v="50"/>
    <x v="19"/>
    <x v="1"/>
    <x v="1"/>
    <x v="1"/>
    <n v="0"/>
  </r>
  <r>
    <d v="2025-12-20T00:00:00"/>
    <x v="1"/>
    <x v="11"/>
    <x v="50"/>
    <x v="19"/>
    <x v="6"/>
    <x v="6"/>
    <x v="0"/>
    <n v="37000000"/>
  </r>
  <r>
    <d v="2025-12-20T00:00:00"/>
    <x v="1"/>
    <x v="11"/>
    <x v="50"/>
    <x v="19"/>
    <x v="18"/>
    <x v="15"/>
    <x v="1"/>
    <n v="554960000"/>
  </r>
  <r>
    <d v="2025-12-20T00:00:00"/>
    <x v="1"/>
    <x v="11"/>
    <x v="50"/>
    <x v="19"/>
    <x v="29"/>
    <x v="20"/>
    <x v="0"/>
    <n v="395280000"/>
  </r>
  <r>
    <d v="2025-12-20T00:00:00"/>
    <x v="1"/>
    <x v="11"/>
    <x v="50"/>
    <x v="19"/>
    <x v="19"/>
    <x v="12"/>
    <x v="4"/>
    <n v="248953198"/>
  </r>
  <r>
    <d v="2025-12-20T00:00:00"/>
    <x v="1"/>
    <x v="11"/>
    <x v="50"/>
    <x v="19"/>
    <x v="24"/>
    <x v="18"/>
    <x v="1"/>
    <n v="3564550000"/>
  </r>
  <r>
    <d v="2025-12-20T00:00:00"/>
    <x v="1"/>
    <x v="11"/>
    <x v="50"/>
    <x v="19"/>
    <x v="30"/>
    <x v="21"/>
    <x v="0"/>
    <n v="0"/>
  </r>
  <r>
    <d v="2025-12-21T00:00:00"/>
    <x v="1"/>
    <x v="11"/>
    <x v="50"/>
    <x v="20"/>
    <x v="3"/>
    <x v="3"/>
    <x v="1"/>
    <n v="230950000"/>
  </r>
  <r>
    <d v="2025-12-21T00:00:00"/>
    <x v="1"/>
    <x v="11"/>
    <x v="50"/>
    <x v="20"/>
    <x v="11"/>
    <x v="10"/>
    <x v="4"/>
    <n v="366490479"/>
  </r>
  <r>
    <d v="2025-12-21T00:00:00"/>
    <x v="1"/>
    <x v="11"/>
    <x v="50"/>
    <x v="20"/>
    <x v="12"/>
    <x v="11"/>
    <x v="1"/>
    <n v="12821870000"/>
  </r>
  <r>
    <d v="2025-12-21T00:00:00"/>
    <x v="1"/>
    <x v="11"/>
    <x v="50"/>
    <x v="20"/>
    <x v="5"/>
    <x v="5"/>
    <x v="3"/>
    <n v="1882934263"/>
  </r>
  <r>
    <d v="2025-12-21T00:00:00"/>
    <x v="1"/>
    <x v="11"/>
    <x v="50"/>
    <x v="20"/>
    <x v="27"/>
    <x v="19"/>
    <x v="0"/>
    <n v="11693916000"/>
  </r>
  <r>
    <d v="2025-12-21T00:00:00"/>
    <x v="1"/>
    <x v="11"/>
    <x v="50"/>
    <x v="20"/>
    <x v="15"/>
    <x v="14"/>
    <x v="4"/>
    <n v="17045713"/>
  </r>
  <r>
    <d v="2025-12-21T00:00:00"/>
    <x v="1"/>
    <x v="11"/>
    <x v="50"/>
    <x v="20"/>
    <x v="31"/>
    <x v="22"/>
    <x v="1"/>
    <n v="0"/>
  </r>
  <r>
    <d v="2025-12-21T00:00:00"/>
    <x v="1"/>
    <x v="11"/>
    <x v="50"/>
    <x v="20"/>
    <x v="14"/>
    <x v="13"/>
    <x v="1"/>
    <n v="4935300000"/>
  </r>
  <r>
    <d v="2025-12-21T00:00:00"/>
    <x v="1"/>
    <x v="11"/>
    <x v="50"/>
    <x v="20"/>
    <x v="23"/>
    <x v="17"/>
    <x v="4"/>
    <n v="8110010"/>
  </r>
  <r>
    <d v="2025-12-21T00:00:00"/>
    <x v="1"/>
    <x v="11"/>
    <x v="50"/>
    <x v="20"/>
    <x v="28"/>
    <x v="17"/>
    <x v="4"/>
    <n v="973988815"/>
  </r>
  <r>
    <d v="2025-12-21T00:00:00"/>
    <x v="1"/>
    <x v="11"/>
    <x v="50"/>
    <x v="20"/>
    <x v="8"/>
    <x v="8"/>
    <x v="1"/>
    <n v="0"/>
  </r>
  <r>
    <d v="2025-12-21T00:00:00"/>
    <x v="1"/>
    <x v="11"/>
    <x v="50"/>
    <x v="20"/>
    <x v="26"/>
    <x v="16"/>
    <x v="1"/>
    <n v="661850000"/>
  </r>
  <r>
    <d v="2025-12-21T00:00:00"/>
    <x v="1"/>
    <x v="11"/>
    <x v="50"/>
    <x v="20"/>
    <x v="2"/>
    <x v="2"/>
    <x v="1"/>
    <n v="16309300000"/>
  </r>
  <r>
    <d v="2025-12-21T00:00:00"/>
    <x v="1"/>
    <x v="11"/>
    <x v="50"/>
    <x v="20"/>
    <x v="17"/>
    <x v="9"/>
    <x v="1"/>
    <n v="0"/>
  </r>
  <r>
    <d v="2025-12-21T00:00:00"/>
    <x v="1"/>
    <x v="11"/>
    <x v="50"/>
    <x v="20"/>
    <x v="20"/>
    <x v="9"/>
    <x v="1"/>
    <n v="0"/>
  </r>
  <r>
    <d v="2025-12-21T00:00:00"/>
    <x v="1"/>
    <x v="11"/>
    <x v="50"/>
    <x v="20"/>
    <x v="21"/>
    <x v="9"/>
    <x v="1"/>
    <n v="0"/>
  </r>
  <r>
    <d v="2025-12-21T00:00:00"/>
    <x v="1"/>
    <x v="11"/>
    <x v="50"/>
    <x v="20"/>
    <x v="25"/>
    <x v="2"/>
    <x v="1"/>
    <n v="0"/>
  </r>
  <r>
    <d v="2025-12-21T00:00:00"/>
    <x v="1"/>
    <x v="11"/>
    <x v="50"/>
    <x v="20"/>
    <x v="0"/>
    <x v="0"/>
    <x v="0"/>
    <n v="9148896000"/>
  </r>
  <r>
    <d v="2025-12-21T00:00:00"/>
    <x v="1"/>
    <x v="11"/>
    <x v="50"/>
    <x v="20"/>
    <x v="7"/>
    <x v="7"/>
    <x v="4"/>
    <n v="194710939"/>
  </r>
  <r>
    <d v="2025-12-21T00:00:00"/>
    <x v="1"/>
    <x v="11"/>
    <x v="50"/>
    <x v="20"/>
    <x v="1"/>
    <x v="1"/>
    <x v="1"/>
    <n v="21000000"/>
  </r>
  <r>
    <d v="2025-12-21T00:00:00"/>
    <x v="1"/>
    <x v="11"/>
    <x v="50"/>
    <x v="20"/>
    <x v="6"/>
    <x v="6"/>
    <x v="0"/>
    <n v="33000000"/>
  </r>
  <r>
    <d v="2025-12-21T00:00:00"/>
    <x v="1"/>
    <x v="11"/>
    <x v="50"/>
    <x v="20"/>
    <x v="18"/>
    <x v="15"/>
    <x v="1"/>
    <n v="661590000"/>
  </r>
  <r>
    <d v="2025-12-21T00:00:00"/>
    <x v="1"/>
    <x v="11"/>
    <x v="50"/>
    <x v="20"/>
    <x v="29"/>
    <x v="20"/>
    <x v="0"/>
    <n v="339984000"/>
  </r>
  <r>
    <d v="2025-12-21T00:00:00"/>
    <x v="1"/>
    <x v="11"/>
    <x v="50"/>
    <x v="20"/>
    <x v="19"/>
    <x v="12"/>
    <x v="4"/>
    <n v="334742208"/>
  </r>
  <r>
    <d v="2025-12-21T00:00:00"/>
    <x v="1"/>
    <x v="11"/>
    <x v="50"/>
    <x v="20"/>
    <x v="24"/>
    <x v="18"/>
    <x v="1"/>
    <n v="3218160000"/>
  </r>
  <r>
    <d v="2025-12-21T00:00:00"/>
    <x v="1"/>
    <x v="11"/>
    <x v="50"/>
    <x v="20"/>
    <x v="30"/>
    <x v="21"/>
    <x v="0"/>
    <n v="0"/>
  </r>
  <r>
    <d v="2025-12-22T00:00:00"/>
    <x v="1"/>
    <x v="11"/>
    <x v="51"/>
    <x v="21"/>
    <x v="3"/>
    <x v="3"/>
    <x v="1"/>
    <n v="127100000"/>
  </r>
  <r>
    <d v="2025-12-22T00:00:00"/>
    <x v="1"/>
    <x v="11"/>
    <x v="51"/>
    <x v="21"/>
    <x v="11"/>
    <x v="10"/>
    <x v="4"/>
    <n v="362846233"/>
  </r>
  <r>
    <d v="2025-12-22T00:00:00"/>
    <x v="1"/>
    <x v="11"/>
    <x v="51"/>
    <x v="21"/>
    <x v="12"/>
    <x v="11"/>
    <x v="1"/>
    <n v="15422180000"/>
  </r>
  <r>
    <d v="2025-12-22T00:00:00"/>
    <x v="1"/>
    <x v="11"/>
    <x v="51"/>
    <x v="21"/>
    <x v="5"/>
    <x v="5"/>
    <x v="3"/>
    <n v="2213515124"/>
  </r>
  <r>
    <d v="2025-12-22T00:00:00"/>
    <x v="1"/>
    <x v="11"/>
    <x v="51"/>
    <x v="21"/>
    <x v="27"/>
    <x v="19"/>
    <x v="0"/>
    <n v="13025016000"/>
  </r>
  <r>
    <d v="2025-12-22T00:00:00"/>
    <x v="1"/>
    <x v="11"/>
    <x v="51"/>
    <x v="21"/>
    <x v="15"/>
    <x v="14"/>
    <x v="4"/>
    <n v="2505145"/>
  </r>
  <r>
    <d v="2025-12-22T00:00:00"/>
    <x v="1"/>
    <x v="11"/>
    <x v="51"/>
    <x v="21"/>
    <x v="31"/>
    <x v="22"/>
    <x v="1"/>
    <n v="50000000"/>
  </r>
  <r>
    <d v="2025-12-22T00:00:00"/>
    <x v="1"/>
    <x v="11"/>
    <x v="51"/>
    <x v="21"/>
    <x v="14"/>
    <x v="13"/>
    <x v="1"/>
    <n v="3674300000"/>
  </r>
  <r>
    <d v="2025-12-22T00:00:00"/>
    <x v="1"/>
    <x v="11"/>
    <x v="51"/>
    <x v="21"/>
    <x v="23"/>
    <x v="17"/>
    <x v="4"/>
    <n v="8650905"/>
  </r>
  <r>
    <d v="2025-12-22T00:00:00"/>
    <x v="1"/>
    <x v="11"/>
    <x v="51"/>
    <x v="21"/>
    <x v="28"/>
    <x v="17"/>
    <x v="4"/>
    <n v="978848848"/>
  </r>
  <r>
    <d v="2025-12-22T00:00:00"/>
    <x v="1"/>
    <x v="11"/>
    <x v="51"/>
    <x v="21"/>
    <x v="8"/>
    <x v="8"/>
    <x v="1"/>
    <n v="0"/>
  </r>
  <r>
    <d v="2025-12-22T00:00:00"/>
    <x v="1"/>
    <x v="11"/>
    <x v="51"/>
    <x v="21"/>
    <x v="26"/>
    <x v="16"/>
    <x v="1"/>
    <n v="586950000"/>
  </r>
  <r>
    <d v="2025-12-22T00:00:00"/>
    <x v="1"/>
    <x v="11"/>
    <x v="51"/>
    <x v="21"/>
    <x v="2"/>
    <x v="2"/>
    <x v="1"/>
    <n v="19449990000"/>
  </r>
  <r>
    <d v="2025-12-22T00:00:00"/>
    <x v="1"/>
    <x v="11"/>
    <x v="51"/>
    <x v="21"/>
    <x v="17"/>
    <x v="9"/>
    <x v="1"/>
    <n v="0"/>
  </r>
  <r>
    <d v="2025-12-22T00:00:00"/>
    <x v="1"/>
    <x v="11"/>
    <x v="51"/>
    <x v="21"/>
    <x v="20"/>
    <x v="9"/>
    <x v="1"/>
    <n v="0"/>
  </r>
  <r>
    <d v="2025-12-22T00:00:00"/>
    <x v="1"/>
    <x v="11"/>
    <x v="51"/>
    <x v="21"/>
    <x v="21"/>
    <x v="9"/>
    <x v="1"/>
    <n v="0"/>
  </r>
  <r>
    <d v="2025-12-22T00:00:00"/>
    <x v="1"/>
    <x v="11"/>
    <x v="51"/>
    <x v="21"/>
    <x v="25"/>
    <x v="2"/>
    <x v="1"/>
    <n v="30000000"/>
  </r>
  <r>
    <d v="2025-12-22T00:00:00"/>
    <x v="1"/>
    <x v="11"/>
    <x v="51"/>
    <x v="21"/>
    <x v="0"/>
    <x v="0"/>
    <x v="0"/>
    <n v="9268128000"/>
  </r>
  <r>
    <d v="2025-12-22T00:00:00"/>
    <x v="1"/>
    <x v="11"/>
    <x v="51"/>
    <x v="21"/>
    <x v="7"/>
    <x v="7"/>
    <x v="4"/>
    <n v="175675611"/>
  </r>
  <r>
    <d v="2025-12-22T00:00:00"/>
    <x v="1"/>
    <x v="11"/>
    <x v="51"/>
    <x v="21"/>
    <x v="1"/>
    <x v="1"/>
    <x v="1"/>
    <n v="0"/>
  </r>
  <r>
    <d v="2025-12-22T00:00:00"/>
    <x v="1"/>
    <x v="11"/>
    <x v="51"/>
    <x v="21"/>
    <x v="6"/>
    <x v="6"/>
    <x v="0"/>
    <n v="26000000"/>
  </r>
  <r>
    <d v="2025-12-22T00:00:00"/>
    <x v="1"/>
    <x v="11"/>
    <x v="51"/>
    <x v="21"/>
    <x v="18"/>
    <x v="15"/>
    <x v="1"/>
    <n v="915570000"/>
  </r>
  <r>
    <d v="2025-12-22T00:00:00"/>
    <x v="1"/>
    <x v="11"/>
    <x v="51"/>
    <x v="21"/>
    <x v="29"/>
    <x v="20"/>
    <x v="0"/>
    <n v="378432000"/>
  </r>
  <r>
    <d v="2025-12-22T00:00:00"/>
    <x v="1"/>
    <x v="11"/>
    <x v="51"/>
    <x v="21"/>
    <x v="19"/>
    <x v="12"/>
    <x v="4"/>
    <n v="406056537"/>
  </r>
  <r>
    <d v="2025-12-22T00:00:00"/>
    <x v="1"/>
    <x v="11"/>
    <x v="51"/>
    <x v="21"/>
    <x v="24"/>
    <x v="18"/>
    <x v="1"/>
    <n v="3711280000"/>
  </r>
  <r>
    <d v="2025-12-22T00:00:00"/>
    <x v="1"/>
    <x v="11"/>
    <x v="51"/>
    <x v="21"/>
    <x v="30"/>
    <x v="21"/>
    <x v="0"/>
    <n v="4320000"/>
  </r>
  <r>
    <d v="2025-12-23T00:00:00"/>
    <x v="1"/>
    <x v="11"/>
    <x v="51"/>
    <x v="22"/>
    <x v="3"/>
    <x v="3"/>
    <x v="1"/>
    <n v="175300000"/>
  </r>
  <r>
    <d v="2025-12-23T00:00:00"/>
    <x v="1"/>
    <x v="11"/>
    <x v="51"/>
    <x v="22"/>
    <x v="11"/>
    <x v="10"/>
    <x v="4"/>
    <n v="366480434"/>
  </r>
  <r>
    <d v="2025-12-23T00:00:00"/>
    <x v="1"/>
    <x v="11"/>
    <x v="51"/>
    <x v="22"/>
    <x v="12"/>
    <x v="11"/>
    <x v="1"/>
    <n v="16064700000"/>
  </r>
  <r>
    <d v="2025-12-23T00:00:00"/>
    <x v="1"/>
    <x v="11"/>
    <x v="51"/>
    <x v="22"/>
    <x v="5"/>
    <x v="5"/>
    <x v="3"/>
    <n v="1965745576"/>
  </r>
  <r>
    <d v="2025-12-23T00:00:00"/>
    <x v="1"/>
    <x v="11"/>
    <x v="51"/>
    <x v="22"/>
    <x v="27"/>
    <x v="19"/>
    <x v="0"/>
    <n v="12635460000"/>
  </r>
  <r>
    <d v="2025-12-23T00:00:00"/>
    <x v="1"/>
    <x v="11"/>
    <x v="51"/>
    <x v="22"/>
    <x v="15"/>
    <x v="14"/>
    <x v="4"/>
    <n v="14574360"/>
  </r>
  <r>
    <d v="2025-12-23T00:00:00"/>
    <x v="1"/>
    <x v="11"/>
    <x v="51"/>
    <x v="22"/>
    <x v="31"/>
    <x v="22"/>
    <x v="1"/>
    <n v="90000000"/>
  </r>
  <r>
    <d v="2025-12-23T00:00:00"/>
    <x v="1"/>
    <x v="11"/>
    <x v="51"/>
    <x v="22"/>
    <x v="14"/>
    <x v="13"/>
    <x v="1"/>
    <n v="3157270000"/>
  </r>
  <r>
    <d v="2025-12-23T00:00:00"/>
    <x v="1"/>
    <x v="11"/>
    <x v="51"/>
    <x v="22"/>
    <x v="23"/>
    <x v="17"/>
    <x v="4"/>
    <n v="49721340"/>
  </r>
  <r>
    <d v="2025-12-23T00:00:00"/>
    <x v="1"/>
    <x v="11"/>
    <x v="51"/>
    <x v="22"/>
    <x v="28"/>
    <x v="17"/>
    <x v="4"/>
    <n v="701554834"/>
  </r>
  <r>
    <d v="2025-12-23T00:00:00"/>
    <x v="1"/>
    <x v="11"/>
    <x v="51"/>
    <x v="22"/>
    <x v="8"/>
    <x v="8"/>
    <x v="1"/>
    <n v="0"/>
  </r>
  <r>
    <d v="2025-12-23T00:00:00"/>
    <x v="1"/>
    <x v="11"/>
    <x v="51"/>
    <x v="22"/>
    <x v="26"/>
    <x v="16"/>
    <x v="1"/>
    <n v="616300000"/>
  </r>
  <r>
    <d v="2025-12-23T00:00:00"/>
    <x v="1"/>
    <x v="11"/>
    <x v="51"/>
    <x v="22"/>
    <x v="2"/>
    <x v="2"/>
    <x v="1"/>
    <n v="18060490000"/>
  </r>
  <r>
    <d v="2025-12-23T00:00:00"/>
    <x v="1"/>
    <x v="11"/>
    <x v="51"/>
    <x v="22"/>
    <x v="17"/>
    <x v="9"/>
    <x v="1"/>
    <n v="0"/>
  </r>
  <r>
    <d v="2025-12-23T00:00:00"/>
    <x v="1"/>
    <x v="11"/>
    <x v="51"/>
    <x v="22"/>
    <x v="20"/>
    <x v="9"/>
    <x v="1"/>
    <n v="0"/>
  </r>
  <r>
    <d v="2025-12-23T00:00:00"/>
    <x v="1"/>
    <x v="11"/>
    <x v="51"/>
    <x v="22"/>
    <x v="21"/>
    <x v="9"/>
    <x v="1"/>
    <n v="0"/>
  </r>
  <r>
    <d v="2025-12-23T00:00:00"/>
    <x v="1"/>
    <x v="11"/>
    <x v="51"/>
    <x v="22"/>
    <x v="25"/>
    <x v="2"/>
    <x v="1"/>
    <n v="0"/>
  </r>
  <r>
    <d v="2025-12-23T00:00:00"/>
    <x v="1"/>
    <x v="11"/>
    <x v="51"/>
    <x v="22"/>
    <x v="0"/>
    <x v="0"/>
    <x v="0"/>
    <n v="8891640000"/>
  </r>
  <r>
    <d v="2025-12-23T00:00:00"/>
    <x v="1"/>
    <x v="11"/>
    <x v="51"/>
    <x v="22"/>
    <x v="7"/>
    <x v="7"/>
    <x v="4"/>
    <n v="157986170"/>
  </r>
  <r>
    <d v="2025-12-23T00:00:00"/>
    <x v="1"/>
    <x v="11"/>
    <x v="51"/>
    <x v="22"/>
    <x v="1"/>
    <x v="1"/>
    <x v="1"/>
    <n v="21000000"/>
  </r>
  <r>
    <d v="2025-12-23T00:00:00"/>
    <x v="1"/>
    <x v="11"/>
    <x v="51"/>
    <x v="22"/>
    <x v="6"/>
    <x v="6"/>
    <x v="0"/>
    <n v="45000000"/>
  </r>
  <r>
    <d v="2025-12-23T00:00:00"/>
    <x v="1"/>
    <x v="11"/>
    <x v="51"/>
    <x v="22"/>
    <x v="18"/>
    <x v="15"/>
    <x v="1"/>
    <n v="832150000"/>
  </r>
  <r>
    <d v="2025-12-23T00:00:00"/>
    <x v="1"/>
    <x v="11"/>
    <x v="51"/>
    <x v="22"/>
    <x v="29"/>
    <x v="20"/>
    <x v="0"/>
    <n v="364176000"/>
  </r>
  <r>
    <d v="2025-12-23T00:00:00"/>
    <x v="1"/>
    <x v="11"/>
    <x v="51"/>
    <x v="22"/>
    <x v="19"/>
    <x v="12"/>
    <x v="4"/>
    <n v="414689996"/>
  </r>
  <r>
    <d v="2025-12-23T00:00:00"/>
    <x v="1"/>
    <x v="11"/>
    <x v="51"/>
    <x v="22"/>
    <x v="24"/>
    <x v="18"/>
    <x v="1"/>
    <n v="3785410000"/>
  </r>
  <r>
    <d v="2025-12-23T00:00:00"/>
    <x v="1"/>
    <x v="11"/>
    <x v="51"/>
    <x v="22"/>
    <x v="30"/>
    <x v="21"/>
    <x v="0"/>
    <n v="0"/>
  </r>
  <r>
    <d v="2025-12-24T00:00:00"/>
    <x v="1"/>
    <x v="11"/>
    <x v="51"/>
    <x v="23"/>
    <x v="3"/>
    <x v="3"/>
    <x v="1"/>
    <n v="938250000"/>
  </r>
  <r>
    <d v="2025-12-24T00:00:00"/>
    <x v="1"/>
    <x v="11"/>
    <x v="51"/>
    <x v="23"/>
    <x v="11"/>
    <x v="10"/>
    <x v="4"/>
    <n v="409990424"/>
  </r>
  <r>
    <d v="2025-12-24T00:00:00"/>
    <x v="1"/>
    <x v="11"/>
    <x v="51"/>
    <x v="23"/>
    <x v="12"/>
    <x v="11"/>
    <x v="1"/>
    <n v="15470010000"/>
  </r>
  <r>
    <d v="2025-12-24T00:00:00"/>
    <x v="1"/>
    <x v="11"/>
    <x v="51"/>
    <x v="23"/>
    <x v="5"/>
    <x v="5"/>
    <x v="3"/>
    <n v="1996525977"/>
  </r>
  <r>
    <d v="2025-12-24T00:00:00"/>
    <x v="1"/>
    <x v="11"/>
    <x v="51"/>
    <x v="23"/>
    <x v="27"/>
    <x v="19"/>
    <x v="0"/>
    <n v="12849840000"/>
  </r>
  <r>
    <d v="2025-12-24T00:00:00"/>
    <x v="1"/>
    <x v="11"/>
    <x v="51"/>
    <x v="23"/>
    <x v="15"/>
    <x v="14"/>
    <x v="4"/>
    <n v="2129106"/>
  </r>
  <r>
    <d v="2025-12-24T00:00:00"/>
    <x v="1"/>
    <x v="11"/>
    <x v="51"/>
    <x v="23"/>
    <x v="31"/>
    <x v="22"/>
    <x v="1"/>
    <n v="90000000"/>
  </r>
  <r>
    <d v="2025-12-24T00:00:00"/>
    <x v="1"/>
    <x v="11"/>
    <x v="51"/>
    <x v="23"/>
    <x v="14"/>
    <x v="13"/>
    <x v="1"/>
    <n v="3596720000"/>
  </r>
  <r>
    <d v="2025-12-24T00:00:00"/>
    <x v="1"/>
    <x v="11"/>
    <x v="51"/>
    <x v="23"/>
    <x v="23"/>
    <x v="17"/>
    <x v="4"/>
    <n v="3294257"/>
  </r>
  <r>
    <d v="2025-12-24T00:00:00"/>
    <x v="1"/>
    <x v="11"/>
    <x v="51"/>
    <x v="23"/>
    <x v="28"/>
    <x v="17"/>
    <x v="4"/>
    <n v="840337251"/>
  </r>
  <r>
    <d v="2025-12-24T00:00:00"/>
    <x v="1"/>
    <x v="11"/>
    <x v="51"/>
    <x v="23"/>
    <x v="8"/>
    <x v="8"/>
    <x v="1"/>
    <n v="0"/>
  </r>
  <r>
    <d v="2025-12-24T00:00:00"/>
    <x v="1"/>
    <x v="11"/>
    <x v="51"/>
    <x v="23"/>
    <x v="26"/>
    <x v="16"/>
    <x v="1"/>
    <n v="394500000"/>
  </r>
  <r>
    <d v="2025-12-24T00:00:00"/>
    <x v="1"/>
    <x v="11"/>
    <x v="51"/>
    <x v="23"/>
    <x v="32"/>
    <x v="16"/>
    <x v="1"/>
    <n v="72100000"/>
  </r>
  <r>
    <d v="2025-12-24T00:00:00"/>
    <x v="1"/>
    <x v="11"/>
    <x v="51"/>
    <x v="23"/>
    <x v="2"/>
    <x v="2"/>
    <x v="1"/>
    <n v="17551620000"/>
  </r>
  <r>
    <d v="2025-12-24T00:00:00"/>
    <x v="1"/>
    <x v="11"/>
    <x v="51"/>
    <x v="23"/>
    <x v="17"/>
    <x v="9"/>
    <x v="1"/>
    <n v="0"/>
  </r>
  <r>
    <d v="2025-12-24T00:00:00"/>
    <x v="1"/>
    <x v="11"/>
    <x v="51"/>
    <x v="23"/>
    <x v="20"/>
    <x v="9"/>
    <x v="1"/>
    <n v="0"/>
  </r>
  <r>
    <d v="2025-12-24T00:00:00"/>
    <x v="1"/>
    <x v="11"/>
    <x v="51"/>
    <x v="23"/>
    <x v="21"/>
    <x v="9"/>
    <x v="1"/>
    <n v="0"/>
  </r>
  <r>
    <d v="2025-12-24T00:00:00"/>
    <x v="1"/>
    <x v="11"/>
    <x v="51"/>
    <x v="23"/>
    <x v="25"/>
    <x v="2"/>
    <x v="1"/>
    <n v="0"/>
  </r>
  <r>
    <d v="2025-12-24T00:00:00"/>
    <x v="1"/>
    <x v="11"/>
    <x v="51"/>
    <x v="23"/>
    <x v="0"/>
    <x v="0"/>
    <x v="0"/>
    <n v="9255384000"/>
  </r>
  <r>
    <d v="2025-12-24T00:00:00"/>
    <x v="1"/>
    <x v="11"/>
    <x v="51"/>
    <x v="23"/>
    <x v="7"/>
    <x v="7"/>
    <x v="4"/>
    <n v="144248951"/>
  </r>
  <r>
    <d v="2025-12-24T00:00:00"/>
    <x v="1"/>
    <x v="11"/>
    <x v="51"/>
    <x v="23"/>
    <x v="1"/>
    <x v="1"/>
    <x v="1"/>
    <n v="60900000"/>
  </r>
  <r>
    <d v="2025-12-24T00:00:00"/>
    <x v="1"/>
    <x v="11"/>
    <x v="51"/>
    <x v="23"/>
    <x v="6"/>
    <x v="6"/>
    <x v="0"/>
    <n v="28000000"/>
  </r>
  <r>
    <d v="2025-12-24T00:00:00"/>
    <x v="1"/>
    <x v="11"/>
    <x v="51"/>
    <x v="23"/>
    <x v="18"/>
    <x v="15"/>
    <x v="1"/>
    <n v="751720000"/>
  </r>
  <r>
    <d v="2025-12-24T00:00:00"/>
    <x v="1"/>
    <x v="11"/>
    <x v="51"/>
    <x v="23"/>
    <x v="29"/>
    <x v="20"/>
    <x v="0"/>
    <n v="384912000"/>
  </r>
  <r>
    <d v="2025-12-24T00:00:00"/>
    <x v="1"/>
    <x v="11"/>
    <x v="51"/>
    <x v="23"/>
    <x v="19"/>
    <x v="12"/>
    <x v="4"/>
    <n v="416783465"/>
  </r>
  <r>
    <d v="2025-12-24T00:00:00"/>
    <x v="1"/>
    <x v="11"/>
    <x v="51"/>
    <x v="23"/>
    <x v="24"/>
    <x v="18"/>
    <x v="1"/>
    <n v="3995560000"/>
  </r>
  <r>
    <d v="2025-12-24T00:00:00"/>
    <x v="1"/>
    <x v="11"/>
    <x v="51"/>
    <x v="23"/>
    <x v="30"/>
    <x v="21"/>
    <x v="0"/>
    <n v="0"/>
  </r>
  <r>
    <d v="2025-12-25T00:00:00"/>
    <x v="1"/>
    <x v="11"/>
    <x v="51"/>
    <x v="24"/>
    <x v="3"/>
    <x v="3"/>
    <x v="1"/>
    <n v="833550000"/>
  </r>
  <r>
    <d v="2025-12-25T00:00:00"/>
    <x v="1"/>
    <x v="11"/>
    <x v="51"/>
    <x v="24"/>
    <x v="11"/>
    <x v="10"/>
    <x v="4"/>
    <n v="425652823"/>
  </r>
  <r>
    <d v="2025-12-25T00:00:00"/>
    <x v="1"/>
    <x v="11"/>
    <x v="51"/>
    <x v="24"/>
    <x v="12"/>
    <x v="11"/>
    <x v="1"/>
    <n v="14551340000"/>
  </r>
  <r>
    <d v="2025-12-25T00:00:00"/>
    <x v="1"/>
    <x v="11"/>
    <x v="51"/>
    <x v="24"/>
    <x v="5"/>
    <x v="5"/>
    <x v="3"/>
    <n v="1884950196"/>
  </r>
  <r>
    <d v="2025-12-25T00:00:00"/>
    <x v="1"/>
    <x v="11"/>
    <x v="51"/>
    <x v="24"/>
    <x v="27"/>
    <x v="19"/>
    <x v="0"/>
    <n v="12122028000"/>
  </r>
  <r>
    <d v="2025-12-25T00:00:00"/>
    <x v="1"/>
    <x v="11"/>
    <x v="51"/>
    <x v="24"/>
    <x v="15"/>
    <x v="14"/>
    <x v="4"/>
    <n v="2675863"/>
  </r>
  <r>
    <d v="2025-12-25T00:00:00"/>
    <x v="1"/>
    <x v="11"/>
    <x v="51"/>
    <x v="24"/>
    <x v="31"/>
    <x v="22"/>
    <x v="1"/>
    <n v="0"/>
  </r>
  <r>
    <d v="2025-12-25T00:00:00"/>
    <x v="1"/>
    <x v="11"/>
    <x v="51"/>
    <x v="24"/>
    <x v="14"/>
    <x v="13"/>
    <x v="1"/>
    <n v="2987740000"/>
  </r>
  <r>
    <d v="2025-12-25T00:00:00"/>
    <x v="1"/>
    <x v="11"/>
    <x v="51"/>
    <x v="24"/>
    <x v="23"/>
    <x v="17"/>
    <x v="4"/>
    <n v="15965148"/>
  </r>
  <r>
    <d v="2025-12-25T00:00:00"/>
    <x v="1"/>
    <x v="11"/>
    <x v="51"/>
    <x v="24"/>
    <x v="28"/>
    <x v="17"/>
    <x v="4"/>
    <n v="650979873"/>
  </r>
  <r>
    <d v="2025-12-25T00:00:00"/>
    <x v="1"/>
    <x v="11"/>
    <x v="51"/>
    <x v="24"/>
    <x v="8"/>
    <x v="8"/>
    <x v="1"/>
    <n v="0"/>
  </r>
  <r>
    <d v="2025-12-25T00:00:00"/>
    <x v="1"/>
    <x v="11"/>
    <x v="51"/>
    <x v="24"/>
    <x v="26"/>
    <x v="16"/>
    <x v="1"/>
    <n v="530000000"/>
  </r>
  <r>
    <d v="2025-12-25T00:00:00"/>
    <x v="1"/>
    <x v="11"/>
    <x v="51"/>
    <x v="24"/>
    <x v="32"/>
    <x v="16"/>
    <x v="1"/>
    <n v="0"/>
  </r>
  <r>
    <d v="2025-12-25T00:00:00"/>
    <x v="1"/>
    <x v="11"/>
    <x v="51"/>
    <x v="24"/>
    <x v="2"/>
    <x v="2"/>
    <x v="1"/>
    <n v="15624030000"/>
  </r>
  <r>
    <d v="2025-12-25T00:00:00"/>
    <x v="1"/>
    <x v="11"/>
    <x v="51"/>
    <x v="24"/>
    <x v="17"/>
    <x v="9"/>
    <x v="1"/>
    <n v="0"/>
  </r>
  <r>
    <d v="2025-12-25T00:00:00"/>
    <x v="1"/>
    <x v="11"/>
    <x v="51"/>
    <x v="24"/>
    <x v="20"/>
    <x v="9"/>
    <x v="1"/>
    <n v="0"/>
  </r>
  <r>
    <d v="2025-12-25T00:00:00"/>
    <x v="1"/>
    <x v="11"/>
    <x v="51"/>
    <x v="24"/>
    <x v="21"/>
    <x v="9"/>
    <x v="1"/>
    <n v="0"/>
  </r>
  <r>
    <d v="2025-12-25T00:00:00"/>
    <x v="1"/>
    <x v="11"/>
    <x v="51"/>
    <x v="24"/>
    <x v="25"/>
    <x v="2"/>
    <x v="1"/>
    <n v="0"/>
  </r>
  <r>
    <d v="2025-12-25T00:00:00"/>
    <x v="1"/>
    <x v="11"/>
    <x v="51"/>
    <x v="24"/>
    <x v="0"/>
    <x v="0"/>
    <x v="0"/>
    <n v="9423540000"/>
  </r>
  <r>
    <d v="2025-12-25T00:00:00"/>
    <x v="1"/>
    <x v="11"/>
    <x v="51"/>
    <x v="24"/>
    <x v="7"/>
    <x v="7"/>
    <x v="4"/>
    <n v="143725279"/>
  </r>
  <r>
    <d v="2025-12-25T00:00:00"/>
    <x v="1"/>
    <x v="11"/>
    <x v="51"/>
    <x v="24"/>
    <x v="1"/>
    <x v="1"/>
    <x v="1"/>
    <n v="0"/>
  </r>
  <r>
    <d v="2025-12-25T00:00:00"/>
    <x v="1"/>
    <x v="11"/>
    <x v="51"/>
    <x v="24"/>
    <x v="6"/>
    <x v="6"/>
    <x v="0"/>
    <n v="65000000"/>
  </r>
  <r>
    <d v="2025-12-25T00:00:00"/>
    <x v="1"/>
    <x v="11"/>
    <x v="51"/>
    <x v="24"/>
    <x v="18"/>
    <x v="15"/>
    <x v="1"/>
    <n v="809650000"/>
  </r>
  <r>
    <d v="2025-12-25T00:00:00"/>
    <x v="1"/>
    <x v="11"/>
    <x v="51"/>
    <x v="24"/>
    <x v="29"/>
    <x v="20"/>
    <x v="0"/>
    <n v="308232000"/>
  </r>
  <r>
    <d v="2025-12-25T00:00:00"/>
    <x v="1"/>
    <x v="11"/>
    <x v="51"/>
    <x v="24"/>
    <x v="19"/>
    <x v="12"/>
    <x v="4"/>
    <n v="400209343"/>
  </r>
  <r>
    <d v="2025-12-25T00:00:00"/>
    <x v="1"/>
    <x v="11"/>
    <x v="51"/>
    <x v="24"/>
    <x v="24"/>
    <x v="18"/>
    <x v="1"/>
    <n v="3546710000"/>
  </r>
  <r>
    <d v="2025-12-25T00:00:00"/>
    <x v="1"/>
    <x v="11"/>
    <x v="51"/>
    <x v="24"/>
    <x v="30"/>
    <x v="21"/>
    <x v="0"/>
    <n v="0"/>
  </r>
  <r>
    <d v="2025-12-26T00:00:00"/>
    <x v="1"/>
    <x v="11"/>
    <x v="51"/>
    <x v="25"/>
    <x v="3"/>
    <x v="3"/>
    <x v="1"/>
    <n v="675600000"/>
  </r>
  <r>
    <d v="2025-12-26T00:00:00"/>
    <x v="1"/>
    <x v="11"/>
    <x v="51"/>
    <x v="25"/>
    <x v="11"/>
    <x v="10"/>
    <x v="4"/>
    <n v="357206954"/>
  </r>
  <r>
    <d v="2025-12-26T00:00:00"/>
    <x v="1"/>
    <x v="11"/>
    <x v="51"/>
    <x v="25"/>
    <x v="12"/>
    <x v="11"/>
    <x v="1"/>
    <n v="15030920000"/>
  </r>
  <r>
    <d v="2025-12-26T00:00:00"/>
    <x v="1"/>
    <x v="11"/>
    <x v="51"/>
    <x v="25"/>
    <x v="5"/>
    <x v="5"/>
    <x v="3"/>
    <n v="2056575924"/>
  </r>
  <r>
    <d v="2025-12-26T00:00:00"/>
    <x v="1"/>
    <x v="11"/>
    <x v="51"/>
    <x v="25"/>
    <x v="27"/>
    <x v="19"/>
    <x v="0"/>
    <n v="12355524000"/>
  </r>
  <r>
    <d v="2025-12-26T00:00:00"/>
    <x v="1"/>
    <x v="11"/>
    <x v="51"/>
    <x v="25"/>
    <x v="15"/>
    <x v="14"/>
    <x v="4"/>
    <n v="12295858"/>
  </r>
  <r>
    <d v="2025-12-26T00:00:00"/>
    <x v="1"/>
    <x v="11"/>
    <x v="51"/>
    <x v="25"/>
    <x v="31"/>
    <x v="22"/>
    <x v="1"/>
    <n v="0"/>
  </r>
  <r>
    <d v="2025-12-26T00:00:00"/>
    <x v="1"/>
    <x v="11"/>
    <x v="51"/>
    <x v="25"/>
    <x v="14"/>
    <x v="13"/>
    <x v="1"/>
    <n v="4124640000"/>
  </r>
  <r>
    <d v="2025-12-26T00:00:00"/>
    <x v="1"/>
    <x v="11"/>
    <x v="51"/>
    <x v="25"/>
    <x v="23"/>
    <x v="17"/>
    <x v="4"/>
    <n v="2490000"/>
  </r>
  <r>
    <d v="2025-12-26T00:00:00"/>
    <x v="1"/>
    <x v="11"/>
    <x v="51"/>
    <x v="25"/>
    <x v="28"/>
    <x v="17"/>
    <x v="4"/>
    <n v="799962120"/>
  </r>
  <r>
    <d v="2025-12-26T00:00:00"/>
    <x v="1"/>
    <x v="11"/>
    <x v="51"/>
    <x v="25"/>
    <x v="8"/>
    <x v="8"/>
    <x v="1"/>
    <n v="0"/>
  </r>
  <r>
    <d v="2025-12-26T00:00:00"/>
    <x v="1"/>
    <x v="11"/>
    <x v="51"/>
    <x v="25"/>
    <x v="26"/>
    <x v="16"/>
    <x v="1"/>
    <n v="547500000"/>
  </r>
  <r>
    <d v="2025-12-26T00:00:00"/>
    <x v="1"/>
    <x v="11"/>
    <x v="51"/>
    <x v="25"/>
    <x v="32"/>
    <x v="16"/>
    <x v="1"/>
    <n v="0"/>
  </r>
  <r>
    <d v="2025-12-26T00:00:00"/>
    <x v="1"/>
    <x v="11"/>
    <x v="51"/>
    <x v="25"/>
    <x v="2"/>
    <x v="2"/>
    <x v="1"/>
    <n v="15575630000"/>
  </r>
  <r>
    <d v="2025-12-26T00:00:00"/>
    <x v="1"/>
    <x v="11"/>
    <x v="51"/>
    <x v="25"/>
    <x v="17"/>
    <x v="9"/>
    <x v="1"/>
    <n v="0"/>
  </r>
  <r>
    <d v="2025-12-26T00:00:00"/>
    <x v="1"/>
    <x v="11"/>
    <x v="51"/>
    <x v="25"/>
    <x v="20"/>
    <x v="9"/>
    <x v="1"/>
    <n v="0"/>
  </r>
  <r>
    <d v="2025-12-26T00:00:00"/>
    <x v="1"/>
    <x v="11"/>
    <x v="51"/>
    <x v="25"/>
    <x v="21"/>
    <x v="9"/>
    <x v="1"/>
    <n v="0"/>
  </r>
  <r>
    <d v="2025-12-26T00:00:00"/>
    <x v="1"/>
    <x v="11"/>
    <x v="51"/>
    <x v="25"/>
    <x v="25"/>
    <x v="2"/>
    <x v="1"/>
    <n v="0"/>
  </r>
  <r>
    <d v="2025-12-26T00:00:00"/>
    <x v="1"/>
    <x v="11"/>
    <x v="51"/>
    <x v="25"/>
    <x v="0"/>
    <x v="0"/>
    <x v="0"/>
    <n v="8508564000"/>
  </r>
  <r>
    <d v="2025-12-26T00:00:00"/>
    <x v="1"/>
    <x v="11"/>
    <x v="51"/>
    <x v="25"/>
    <x v="7"/>
    <x v="7"/>
    <x v="4"/>
    <n v="148119423"/>
  </r>
  <r>
    <d v="2025-12-26T00:00:00"/>
    <x v="1"/>
    <x v="11"/>
    <x v="51"/>
    <x v="25"/>
    <x v="1"/>
    <x v="1"/>
    <x v="1"/>
    <n v="21000000"/>
  </r>
  <r>
    <d v="2025-12-26T00:00:00"/>
    <x v="1"/>
    <x v="11"/>
    <x v="51"/>
    <x v="25"/>
    <x v="6"/>
    <x v="6"/>
    <x v="0"/>
    <n v="91000000"/>
  </r>
  <r>
    <d v="2025-12-26T00:00:00"/>
    <x v="1"/>
    <x v="11"/>
    <x v="51"/>
    <x v="25"/>
    <x v="18"/>
    <x v="15"/>
    <x v="1"/>
    <n v="855120000"/>
  </r>
  <r>
    <d v="2025-12-26T00:00:00"/>
    <x v="1"/>
    <x v="11"/>
    <x v="51"/>
    <x v="25"/>
    <x v="29"/>
    <x v="20"/>
    <x v="0"/>
    <n v="395280000"/>
  </r>
  <r>
    <d v="2025-12-26T00:00:00"/>
    <x v="1"/>
    <x v="11"/>
    <x v="51"/>
    <x v="25"/>
    <x v="19"/>
    <x v="12"/>
    <x v="4"/>
    <n v="317074075"/>
  </r>
  <r>
    <d v="2025-12-26T00:00:00"/>
    <x v="1"/>
    <x v="11"/>
    <x v="51"/>
    <x v="25"/>
    <x v="24"/>
    <x v="18"/>
    <x v="1"/>
    <n v="3715400000"/>
  </r>
  <r>
    <d v="2025-12-26T00:00:00"/>
    <x v="1"/>
    <x v="11"/>
    <x v="51"/>
    <x v="25"/>
    <x v="30"/>
    <x v="21"/>
    <x v="0"/>
    <n v="0"/>
  </r>
  <r>
    <d v="2025-12-27T00:00:00"/>
    <x v="1"/>
    <x v="11"/>
    <x v="51"/>
    <x v="26"/>
    <x v="3"/>
    <x v="3"/>
    <x v="1"/>
    <n v="446700000"/>
  </r>
  <r>
    <d v="2025-12-27T00:00:00"/>
    <x v="1"/>
    <x v="11"/>
    <x v="51"/>
    <x v="26"/>
    <x v="11"/>
    <x v="10"/>
    <x v="4"/>
    <n v="368797724"/>
  </r>
  <r>
    <d v="2025-12-27T00:00:00"/>
    <x v="1"/>
    <x v="11"/>
    <x v="51"/>
    <x v="26"/>
    <x v="12"/>
    <x v="11"/>
    <x v="1"/>
    <n v="13261580000"/>
  </r>
  <r>
    <d v="2025-12-27T00:00:00"/>
    <x v="1"/>
    <x v="11"/>
    <x v="51"/>
    <x v="26"/>
    <x v="5"/>
    <x v="5"/>
    <x v="3"/>
    <n v="1777974573"/>
  </r>
  <r>
    <d v="2025-12-27T00:00:00"/>
    <x v="1"/>
    <x v="11"/>
    <x v="51"/>
    <x v="26"/>
    <x v="27"/>
    <x v="19"/>
    <x v="0"/>
    <n v="11338056000"/>
  </r>
  <r>
    <d v="2025-12-27T00:00:00"/>
    <x v="1"/>
    <x v="11"/>
    <x v="51"/>
    <x v="26"/>
    <x v="15"/>
    <x v="14"/>
    <x v="4"/>
    <n v="11752456"/>
  </r>
  <r>
    <d v="2025-12-27T00:00:00"/>
    <x v="1"/>
    <x v="11"/>
    <x v="51"/>
    <x v="26"/>
    <x v="31"/>
    <x v="22"/>
    <x v="1"/>
    <n v="0"/>
  </r>
  <r>
    <d v="2025-12-27T00:00:00"/>
    <x v="1"/>
    <x v="11"/>
    <x v="51"/>
    <x v="26"/>
    <x v="14"/>
    <x v="13"/>
    <x v="1"/>
    <n v="3192550000"/>
  </r>
  <r>
    <d v="2025-12-27T00:00:00"/>
    <x v="1"/>
    <x v="11"/>
    <x v="51"/>
    <x v="26"/>
    <x v="23"/>
    <x v="17"/>
    <x v="4"/>
    <n v="5060866"/>
  </r>
  <r>
    <d v="2025-12-27T00:00:00"/>
    <x v="1"/>
    <x v="11"/>
    <x v="51"/>
    <x v="26"/>
    <x v="28"/>
    <x v="17"/>
    <x v="4"/>
    <n v="963659334"/>
  </r>
  <r>
    <d v="2025-12-27T00:00:00"/>
    <x v="1"/>
    <x v="11"/>
    <x v="51"/>
    <x v="26"/>
    <x v="8"/>
    <x v="8"/>
    <x v="1"/>
    <n v="0"/>
  </r>
  <r>
    <d v="2025-12-27T00:00:00"/>
    <x v="1"/>
    <x v="11"/>
    <x v="51"/>
    <x v="26"/>
    <x v="26"/>
    <x v="16"/>
    <x v="1"/>
    <n v="517500000"/>
  </r>
  <r>
    <d v="2025-12-27T00:00:00"/>
    <x v="1"/>
    <x v="11"/>
    <x v="51"/>
    <x v="26"/>
    <x v="32"/>
    <x v="16"/>
    <x v="1"/>
    <n v="0"/>
  </r>
  <r>
    <d v="2025-12-27T00:00:00"/>
    <x v="1"/>
    <x v="11"/>
    <x v="51"/>
    <x v="26"/>
    <x v="2"/>
    <x v="2"/>
    <x v="1"/>
    <n v="14276880000"/>
  </r>
  <r>
    <d v="2025-12-27T00:00:00"/>
    <x v="1"/>
    <x v="11"/>
    <x v="51"/>
    <x v="26"/>
    <x v="17"/>
    <x v="9"/>
    <x v="1"/>
    <n v="0"/>
  </r>
  <r>
    <d v="2025-12-27T00:00:00"/>
    <x v="1"/>
    <x v="11"/>
    <x v="51"/>
    <x v="26"/>
    <x v="20"/>
    <x v="9"/>
    <x v="1"/>
    <n v="0"/>
  </r>
  <r>
    <d v="2025-12-27T00:00:00"/>
    <x v="1"/>
    <x v="11"/>
    <x v="51"/>
    <x v="26"/>
    <x v="21"/>
    <x v="9"/>
    <x v="1"/>
    <n v="0"/>
  </r>
  <r>
    <d v="2025-12-27T00:00:00"/>
    <x v="1"/>
    <x v="11"/>
    <x v="51"/>
    <x v="26"/>
    <x v="25"/>
    <x v="2"/>
    <x v="1"/>
    <n v="27000000"/>
  </r>
  <r>
    <d v="2025-12-27T00:00:00"/>
    <x v="1"/>
    <x v="11"/>
    <x v="51"/>
    <x v="26"/>
    <x v="0"/>
    <x v="0"/>
    <x v="0"/>
    <n v="8435016000"/>
  </r>
  <r>
    <d v="2025-12-27T00:00:00"/>
    <x v="1"/>
    <x v="11"/>
    <x v="51"/>
    <x v="26"/>
    <x v="7"/>
    <x v="7"/>
    <x v="4"/>
    <n v="149301515"/>
  </r>
  <r>
    <d v="2025-12-27T00:00:00"/>
    <x v="1"/>
    <x v="11"/>
    <x v="51"/>
    <x v="26"/>
    <x v="1"/>
    <x v="1"/>
    <x v="1"/>
    <n v="0"/>
  </r>
  <r>
    <d v="2025-12-27T00:00:00"/>
    <x v="1"/>
    <x v="11"/>
    <x v="51"/>
    <x v="26"/>
    <x v="6"/>
    <x v="6"/>
    <x v="0"/>
    <n v="53000000"/>
  </r>
  <r>
    <d v="2025-12-27T00:00:00"/>
    <x v="1"/>
    <x v="11"/>
    <x v="51"/>
    <x v="26"/>
    <x v="18"/>
    <x v="15"/>
    <x v="1"/>
    <n v="890320000"/>
  </r>
  <r>
    <d v="2025-12-27T00:00:00"/>
    <x v="1"/>
    <x v="11"/>
    <x v="51"/>
    <x v="26"/>
    <x v="29"/>
    <x v="20"/>
    <x v="0"/>
    <n v="331560000"/>
  </r>
  <r>
    <d v="2025-12-27T00:00:00"/>
    <x v="1"/>
    <x v="11"/>
    <x v="51"/>
    <x v="26"/>
    <x v="19"/>
    <x v="12"/>
    <x v="4"/>
    <n v="418775168"/>
  </r>
  <r>
    <d v="2025-12-27T00:00:00"/>
    <x v="1"/>
    <x v="11"/>
    <x v="51"/>
    <x v="26"/>
    <x v="24"/>
    <x v="18"/>
    <x v="1"/>
    <n v="3210750000"/>
  </r>
  <r>
    <d v="2025-12-27T00:00:00"/>
    <x v="1"/>
    <x v="11"/>
    <x v="51"/>
    <x v="26"/>
    <x v="30"/>
    <x v="21"/>
    <x v="0"/>
    <n v="0"/>
  </r>
  <r>
    <d v="2025-12-28T00:00:00"/>
    <x v="1"/>
    <x v="11"/>
    <x v="51"/>
    <x v="27"/>
    <x v="3"/>
    <x v="3"/>
    <x v="1"/>
    <n v="840450000"/>
  </r>
  <r>
    <d v="2025-12-28T00:00:00"/>
    <x v="1"/>
    <x v="11"/>
    <x v="51"/>
    <x v="27"/>
    <x v="11"/>
    <x v="10"/>
    <x v="4"/>
    <n v="367817272"/>
  </r>
  <r>
    <d v="2025-12-28T00:00:00"/>
    <x v="1"/>
    <x v="11"/>
    <x v="51"/>
    <x v="27"/>
    <x v="12"/>
    <x v="11"/>
    <x v="1"/>
    <n v="11455070000"/>
  </r>
  <r>
    <d v="2025-12-28T00:00:00"/>
    <x v="1"/>
    <x v="11"/>
    <x v="51"/>
    <x v="27"/>
    <x v="5"/>
    <x v="5"/>
    <x v="3"/>
    <n v="1736794980"/>
  </r>
  <r>
    <d v="2025-12-28T00:00:00"/>
    <x v="1"/>
    <x v="11"/>
    <x v="51"/>
    <x v="27"/>
    <x v="27"/>
    <x v="19"/>
    <x v="0"/>
    <n v="11204244000"/>
  </r>
  <r>
    <d v="2025-12-28T00:00:00"/>
    <x v="1"/>
    <x v="11"/>
    <x v="51"/>
    <x v="27"/>
    <x v="15"/>
    <x v="14"/>
    <x v="4"/>
    <n v="6414709"/>
  </r>
  <r>
    <d v="2025-12-28T00:00:00"/>
    <x v="1"/>
    <x v="11"/>
    <x v="51"/>
    <x v="27"/>
    <x v="31"/>
    <x v="22"/>
    <x v="1"/>
    <n v="0"/>
  </r>
  <r>
    <d v="2025-12-28T00:00:00"/>
    <x v="1"/>
    <x v="11"/>
    <x v="51"/>
    <x v="27"/>
    <x v="14"/>
    <x v="13"/>
    <x v="1"/>
    <n v="4517320000"/>
  </r>
  <r>
    <d v="2025-12-28T00:00:00"/>
    <x v="1"/>
    <x v="11"/>
    <x v="51"/>
    <x v="27"/>
    <x v="23"/>
    <x v="17"/>
    <x v="4"/>
    <n v="7977810"/>
  </r>
  <r>
    <d v="2025-12-28T00:00:00"/>
    <x v="1"/>
    <x v="11"/>
    <x v="51"/>
    <x v="27"/>
    <x v="28"/>
    <x v="17"/>
    <x v="4"/>
    <n v="887293440"/>
  </r>
  <r>
    <d v="2025-12-28T00:00:00"/>
    <x v="1"/>
    <x v="11"/>
    <x v="51"/>
    <x v="27"/>
    <x v="8"/>
    <x v="8"/>
    <x v="1"/>
    <n v="0"/>
  </r>
  <r>
    <d v="2025-12-28T00:00:00"/>
    <x v="1"/>
    <x v="11"/>
    <x v="51"/>
    <x v="27"/>
    <x v="26"/>
    <x v="16"/>
    <x v="1"/>
    <n v="10500000"/>
  </r>
  <r>
    <d v="2025-12-28T00:00:00"/>
    <x v="1"/>
    <x v="11"/>
    <x v="51"/>
    <x v="27"/>
    <x v="32"/>
    <x v="16"/>
    <x v="1"/>
    <n v="0"/>
  </r>
  <r>
    <d v="2025-12-28T00:00:00"/>
    <x v="1"/>
    <x v="11"/>
    <x v="51"/>
    <x v="27"/>
    <x v="2"/>
    <x v="2"/>
    <x v="1"/>
    <n v="12950550000"/>
  </r>
  <r>
    <d v="2025-12-28T00:00:00"/>
    <x v="1"/>
    <x v="11"/>
    <x v="51"/>
    <x v="27"/>
    <x v="17"/>
    <x v="9"/>
    <x v="1"/>
    <n v="0"/>
  </r>
  <r>
    <d v="2025-12-28T00:00:00"/>
    <x v="1"/>
    <x v="11"/>
    <x v="51"/>
    <x v="27"/>
    <x v="20"/>
    <x v="9"/>
    <x v="1"/>
    <n v="0"/>
  </r>
  <r>
    <d v="2025-12-28T00:00:00"/>
    <x v="1"/>
    <x v="11"/>
    <x v="51"/>
    <x v="27"/>
    <x v="21"/>
    <x v="9"/>
    <x v="1"/>
    <n v="0"/>
  </r>
  <r>
    <d v="2025-12-28T00:00:00"/>
    <x v="1"/>
    <x v="11"/>
    <x v="51"/>
    <x v="27"/>
    <x v="25"/>
    <x v="2"/>
    <x v="1"/>
    <n v="0"/>
  </r>
  <r>
    <d v="2025-12-28T00:00:00"/>
    <x v="1"/>
    <x v="11"/>
    <x v="51"/>
    <x v="27"/>
    <x v="0"/>
    <x v="0"/>
    <x v="0"/>
    <n v="8372160000"/>
  </r>
  <r>
    <d v="2025-12-28T00:00:00"/>
    <x v="1"/>
    <x v="11"/>
    <x v="51"/>
    <x v="27"/>
    <x v="7"/>
    <x v="7"/>
    <x v="4"/>
    <n v="143602939"/>
  </r>
  <r>
    <d v="2025-12-28T00:00:00"/>
    <x v="1"/>
    <x v="11"/>
    <x v="51"/>
    <x v="27"/>
    <x v="1"/>
    <x v="1"/>
    <x v="1"/>
    <n v="10000000"/>
  </r>
  <r>
    <d v="2025-12-28T00:00:00"/>
    <x v="1"/>
    <x v="11"/>
    <x v="51"/>
    <x v="27"/>
    <x v="6"/>
    <x v="6"/>
    <x v="0"/>
    <n v="38000000"/>
  </r>
  <r>
    <d v="2025-12-28T00:00:00"/>
    <x v="1"/>
    <x v="11"/>
    <x v="51"/>
    <x v="27"/>
    <x v="18"/>
    <x v="15"/>
    <x v="1"/>
    <n v="511580000"/>
  </r>
  <r>
    <d v="2025-12-28T00:00:00"/>
    <x v="1"/>
    <x v="11"/>
    <x v="51"/>
    <x v="27"/>
    <x v="29"/>
    <x v="20"/>
    <x v="0"/>
    <n v="229716000"/>
  </r>
  <r>
    <d v="2025-12-28T00:00:00"/>
    <x v="1"/>
    <x v="11"/>
    <x v="51"/>
    <x v="27"/>
    <x v="19"/>
    <x v="12"/>
    <x v="4"/>
    <n v="377226510"/>
  </r>
  <r>
    <d v="2025-12-28T00:00:00"/>
    <x v="1"/>
    <x v="11"/>
    <x v="51"/>
    <x v="27"/>
    <x v="24"/>
    <x v="18"/>
    <x v="1"/>
    <n v="2986900000"/>
  </r>
  <r>
    <d v="2025-12-28T00:00:00"/>
    <x v="1"/>
    <x v="11"/>
    <x v="51"/>
    <x v="27"/>
    <x v="30"/>
    <x v="21"/>
    <x v="0"/>
    <n v="0"/>
  </r>
  <r>
    <d v="2025-12-29T00:00:00"/>
    <x v="1"/>
    <x v="11"/>
    <x v="52"/>
    <x v="28"/>
    <x v="3"/>
    <x v="3"/>
    <x v="1"/>
    <n v="488600000"/>
  </r>
  <r>
    <d v="2025-12-29T00:00:00"/>
    <x v="1"/>
    <x v="11"/>
    <x v="52"/>
    <x v="28"/>
    <x v="11"/>
    <x v="10"/>
    <x v="4"/>
    <n v="354756192"/>
  </r>
  <r>
    <d v="2025-12-29T00:00:00"/>
    <x v="1"/>
    <x v="11"/>
    <x v="52"/>
    <x v="28"/>
    <x v="12"/>
    <x v="11"/>
    <x v="1"/>
    <n v="15523670000"/>
  </r>
  <r>
    <d v="2025-12-29T00:00:00"/>
    <x v="1"/>
    <x v="11"/>
    <x v="52"/>
    <x v="28"/>
    <x v="5"/>
    <x v="5"/>
    <x v="3"/>
    <n v="2384311293"/>
  </r>
  <r>
    <d v="2025-12-29T00:00:00"/>
    <x v="1"/>
    <x v="11"/>
    <x v="52"/>
    <x v="28"/>
    <x v="27"/>
    <x v="19"/>
    <x v="0"/>
    <n v="12827808000"/>
  </r>
  <r>
    <d v="2025-12-29T00:00:00"/>
    <x v="1"/>
    <x v="11"/>
    <x v="52"/>
    <x v="28"/>
    <x v="15"/>
    <x v="14"/>
    <x v="4"/>
    <n v="18040025"/>
  </r>
  <r>
    <d v="2025-12-29T00:00:00"/>
    <x v="1"/>
    <x v="11"/>
    <x v="52"/>
    <x v="28"/>
    <x v="31"/>
    <x v="22"/>
    <x v="1"/>
    <n v="0"/>
  </r>
  <r>
    <d v="2025-12-29T00:00:00"/>
    <x v="1"/>
    <x v="11"/>
    <x v="52"/>
    <x v="28"/>
    <x v="14"/>
    <x v="13"/>
    <x v="1"/>
    <n v="4220760000"/>
  </r>
  <r>
    <d v="2025-12-29T00:00:00"/>
    <x v="1"/>
    <x v="11"/>
    <x v="52"/>
    <x v="28"/>
    <x v="33"/>
    <x v="13"/>
    <x v="1"/>
    <n v="128400000"/>
  </r>
  <r>
    <d v="2025-12-29T00:00:00"/>
    <x v="1"/>
    <x v="11"/>
    <x v="52"/>
    <x v="28"/>
    <x v="23"/>
    <x v="17"/>
    <x v="4"/>
    <n v="10467170"/>
  </r>
  <r>
    <d v="2025-12-29T00:00:00"/>
    <x v="1"/>
    <x v="11"/>
    <x v="52"/>
    <x v="28"/>
    <x v="28"/>
    <x v="17"/>
    <x v="4"/>
    <n v="669612211"/>
  </r>
  <r>
    <d v="2025-12-29T00:00:00"/>
    <x v="1"/>
    <x v="11"/>
    <x v="52"/>
    <x v="28"/>
    <x v="8"/>
    <x v="8"/>
    <x v="1"/>
    <n v="0"/>
  </r>
  <r>
    <d v="2025-12-29T00:00:00"/>
    <x v="1"/>
    <x v="11"/>
    <x v="52"/>
    <x v="28"/>
    <x v="26"/>
    <x v="16"/>
    <x v="1"/>
    <n v="574100000"/>
  </r>
  <r>
    <d v="2025-12-29T00:00:00"/>
    <x v="1"/>
    <x v="11"/>
    <x v="52"/>
    <x v="28"/>
    <x v="32"/>
    <x v="16"/>
    <x v="1"/>
    <n v="0"/>
  </r>
  <r>
    <d v="2025-12-29T00:00:00"/>
    <x v="1"/>
    <x v="11"/>
    <x v="52"/>
    <x v="28"/>
    <x v="2"/>
    <x v="2"/>
    <x v="1"/>
    <n v="15388110000"/>
  </r>
  <r>
    <d v="2025-12-29T00:00:00"/>
    <x v="1"/>
    <x v="11"/>
    <x v="52"/>
    <x v="28"/>
    <x v="17"/>
    <x v="9"/>
    <x v="1"/>
    <n v="0"/>
  </r>
  <r>
    <d v="2025-12-29T00:00:00"/>
    <x v="1"/>
    <x v="11"/>
    <x v="52"/>
    <x v="28"/>
    <x v="20"/>
    <x v="9"/>
    <x v="1"/>
    <n v="0"/>
  </r>
  <r>
    <d v="2025-12-29T00:00:00"/>
    <x v="1"/>
    <x v="11"/>
    <x v="52"/>
    <x v="28"/>
    <x v="21"/>
    <x v="9"/>
    <x v="1"/>
    <n v="0"/>
  </r>
  <r>
    <d v="2025-12-29T00:00:00"/>
    <x v="1"/>
    <x v="11"/>
    <x v="52"/>
    <x v="28"/>
    <x v="25"/>
    <x v="2"/>
    <x v="1"/>
    <n v="7490000"/>
  </r>
  <r>
    <d v="2025-12-29T00:00:00"/>
    <x v="1"/>
    <x v="11"/>
    <x v="52"/>
    <x v="28"/>
    <x v="0"/>
    <x v="0"/>
    <x v="0"/>
    <n v="8714412000"/>
  </r>
  <r>
    <d v="2025-12-29T00:00:00"/>
    <x v="1"/>
    <x v="11"/>
    <x v="52"/>
    <x v="28"/>
    <x v="7"/>
    <x v="7"/>
    <x v="4"/>
    <n v="145257282"/>
  </r>
  <r>
    <d v="2025-12-29T00:00:00"/>
    <x v="1"/>
    <x v="11"/>
    <x v="52"/>
    <x v="28"/>
    <x v="1"/>
    <x v="1"/>
    <x v="1"/>
    <n v="10000000"/>
  </r>
  <r>
    <d v="2025-12-29T00:00:00"/>
    <x v="1"/>
    <x v="11"/>
    <x v="52"/>
    <x v="28"/>
    <x v="6"/>
    <x v="6"/>
    <x v="0"/>
    <n v="41000000"/>
  </r>
  <r>
    <d v="2025-12-29T00:00:00"/>
    <x v="1"/>
    <x v="11"/>
    <x v="52"/>
    <x v="28"/>
    <x v="18"/>
    <x v="15"/>
    <x v="1"/>
    <n v="929060000"/>
  </r>
  <r>
    <d v="2025-12-29T00:00:00"/>
    <x v="1"/>
    <x v="11"/>
    <x v="52"/>
    <x v="28"/>
    <x v="29"/>
    <x v="20"/>
    <x v="0"/>
    <n v="330264000"/>
  </r>
  <r>
    <d v="2025-12-29T00:00:00"/>
    <x v="1"/>
    <x v="11"/>
    <x v="52"/>
    <x v="28"/>
    <x v="19"/>
    <x v="12"/>
    <x v="4"/>
    <n v="468572233"/>
  </r>
  <r>
    <d v="2025-12-29T00:00:00"/>
    <x v="1"/>
    <x v="11"/>
    <x v="52"/>
    <x v="28"/>
    <x v="24"/>
    <x v="18"/>
    <x v="1"/>
    <n v="4035890000"/>
  </r>
  <r>
    <d v="2025-12-29T00:00:00"/>
    <x v="1"/>
    <x v="11"/>
    <x v="52"/>
    <x v="28"/>
    <x v="30"/>
    <x v="21"/>
    <x v="0"/>
    <n v="0"/>
  </r>
  <r>
    <d v="2025-12-30T00:00:00"/>
    <x v="1"/>
    <x v="11"/>
    <x v="52"/>
    <x v="29"/>
    <x v="3"/>
    <x v="3"/>
    <x v="1"/>
    <n v="535950000"/>
  </r>
  <r>
    <d v="2025-12-30T00:00:00"/>
    <x v="1"/>
    <x v="11"/>
    <x v="52"/>
    <x v="29"/>
    <x v="11"/>
    <x v="10"/>
    <x v="4"/>
    <n v="344927366"/>
  </r>
  <r>
    <d v="2025-12-30T00:00:00"/>
    <x v="1"/>
    <x v="11"/>
    <x v="52"/>
    <x v="29"/>
    <x v="12"/>
    <x v="11"/>
    <x v="1"/>
    <n v="16123360000"/>
  </r>
  <r>
    <d v="2025-12-30T00:00:00"/>
    <x v="1"/>
    <x v="11"/>
    <x v="52"/>
    <x v="29"/>
    <x v="5"/>
    <x v="5"/>
    <x v="3"/>
    <n v="2417843259"/>
  </r>
  <r>
    <d v="2025-12-30T00:00:00"/>
    <x v="1"/>
    <x v="11"/>
    <x v="52"/>
    <x v="29"/>
    <x v="27"/>
    <x v="19"/>
    <x v="0"/>
    <n v="13397616000"/>
  </r>
  <r>
    <d v="2025-12-30T00:00:00"/>
    <x v="1"/>
    <x v="11"/>
    <x v="52"/>
    <x v="29"/>
    <x v="15"/>
    <x v="14"/>
    <x v="4"/>
    <n v="4065162"/>
  </r>
  <r>
    <d v="2025-12-30T00:00:00"/>
    <x v="1"/>
    <x v="11"/>
    <x v="52"/>
    <x v="29"/>
    <x v="31"/>
    <x v="22"/>
    <x v="1"/>
    <n v="0"/>
  </r>
  <r>
    <d v="2025-12-30T00:00:00"/>
    <x v="1"/>
    <x v="11"/>
    <x v="52"/>
    <x v="29"/>
    <x v="14"/>
    <x v="13"/>
    <x v="1"/>
    <n v="3894890000"/>
  </r>
  <r>
    <d v="2025-12-30T00:00:00"/>
    <x v="1"/>
    <x v="11"/>
    <x v="52"/>
    <x v="29"/>
    <x v="33"/>
    <x v="13"/>
    <x v="1"/>
    <n v="316100000"/>
  </r>
  <r>
    <d v="2025-12-30T00:00:00"/>
    <x v="1"/>
    <x v="11"/>
    <x v="52"/>
    <x v="29"/>
    <x v="23"/>
    <x v="17"/>
    <x v="4"/>
    <n v="2849453"/>
  </r>
  <r>
    <d v="2025-12-30T00:00:00"/>
    <x v="1"/>
    <x v="11"/>
    <x v="52"/>
    <x v="29"/>
    <x v="28"/>
    <x v="17"/>
    <x v="4"/>
    <n v="780566657"/>
  </r>
  <r>
    <d v="2025-12-30T00:00:00"/>
    <x v="1"/>
    <x v="11"/>
    <x v="52"/>
    <x v="29"/>
    <x v="8"/>
    <x v="8"/>
    <x v="1"/>
    <n v="0"/>
  </r>
  <r>
    <d v="2025-12-30T00:00:00"/>
    <x v="1"/>
    <x v="11"/>
    <x v="52"/>
    <x v="29"/>
    <x v="26"/>
    <x v="16"/>
    <x v="1"/>
    <n v="623500000"/>
  </r>
  <r>
    <d v="2025-12-30T00:00:00"/>
    <x v="1"/>
    <x v="11"/>
    <x v="52"/>
    <x v="29"/>
    <x v="32"/>
    <x v="16"/>
    <x v="1"/>
    <n v="0"/>
  </r>
  <r>
    <d v="2025-12-30T00:00:00"/>
    <x v="1"/>
    <x v="11"/>
    <x v="52"/>
    <x v="29"/>
    <x v="2"/>
    <x v="2"/>
    <x v="1"/>
    <n v="17613510000"/>
  </r>
  <r>
    <d v="2025-12-30T00:00:00"/>
    <x v="1"/>
    <x v="11"/>
    <x v="52"/>
    <x v="29"/>
    <x v="17"/>
    <x v="9"/>
    <x v="1"/>
    <n v="0"/>
  </r>
  <r>
    <d v="2025-12-30T00:00:00"/>
    <x v="1"/>
    <x v="11"/>
    <x v="52"/>
    <x v="29"/>
    <x v="20"/>
    <x v="9"/>
    <x v="1"/>
    <n v="0"/>
  </r>
  <r>
    <d v="2025-12-30T00:00:00"/>
    <x v="1"/>
    <x v="11"/>
    <x v="52"/>
    <x v="29"/>
    <x v="21"/>
    <x v="9"/>
    <x v="1"/>
    <n v="0"/>
  </r>
  <r>
    <d v="2025-12-30T00:00:00"/>
    <x v="1"/>
    <x v="11"/>
    <x v="52"/>
    <x v="29"/>
    <x v="25"/>
    <x v="2"/>
    <x v="1"/>
    <n v="0"/>
  </r>
  <r>
    <d v="2025-12-30T00:00:00"/>
    <x v="1"/>
    <x v="11"/>
    <x v="52"/>
    <x v="29"/>
    <x v="0"/>
    <x v="0"/>
    <x v="0"/>
    <n v="8879976000"/>
  </r>
  <r>
    <d v="2025-12-30T00:00:00"/>
    <x v="1"/>
    <x v="11"/>
    <x v="52"/>
    <x v="29"/>
    <x v="7"/>
    <x v="7"/>
    <x v="4"/>
    <n v="194822853"/>
  </r>
  <r>
    <d v="2025-12-30T00:00:00"/>
    <x v="1"/>
    <x v="11"/>
    <x v="52"/>
    <x v="29"/>
    <x v="1"/>
    <x v="1"/>
    <x v="1"/>
    <n v="54600000"/>
  </r>
  <r>
    <d v="2025-12-30T00:00:00"/>
    <x v="1"/>
    <x v="11"/>
    <x v="52"/>
    <x v="29"/>
    <x v="6"/>
    <x v="6"/>
    <x v="0"/>
    <n v="23000000"/>
  </r>
  <r>
    <d v="2025-12-30T00:00:00"/>
    <x v="1"/>
    <x v="11"/>
    <x v="52"/>
    <x v="29"/>
    <x v="18"/>
    <x v="15"/>
    <x v="1"/>
    <n v="1035650000"/>
  </r>
  <r>
    <d v="2025-12-30T00:00:00"/>
    <x v="1"/>
    <x v="11"/>
    <x v="52"/>
    <x v="29"/>
    <x v="29"/>
    <x v="20"/>
    <x v="0"/>
    <n v="430380000"/>
  </r>
  <r>
    <d v="2025-12-30T00:00:00"/>
    <x v="1"/>
    <x v="11"/>
    <x v="52"/>
    <x v="29"/>
    <x v="19"/>
    <x v="12"/>
    <x v="4"/>
    <n v="566867291"/>
  </r>
  <r>
    <d v="2025-12-30T00:00:00"/>
    <x v="1"/>
    <x v="11"/>
    <x v="52"/>
    <x v="29"/>
    <x v="24"/>
    <x v="18"/>
    <x v="1"/>
    <n v="3250640000"/>
  </r>
  <r>
    <d v="2025-12-30T00:00:00"/>
    <x v="1"/>
    <x v="11"/>
    <x v="52"/>
    <x v="29"/>
    <x v="30"/>
    <x v="21"/>
    <x v="0"/>
    <n v="0"/>
  </r>
  <r>
    <d v="2025-12-31T00:00:00"/>
    <x v="1"/>
    <x v="11"/>
    <x v="52"/>
    <x v="30"/>
    <x v="3"/>
    <x v="3"/>
    <x v="1"/>
    <n v="594450000"/>
  </r>
  <r>
    <d v="2025-12-31T00:00:00"/>
    <x v="1"/>
    <x v="11"/>
    <x v="52"/>
    <x v="30"/>
    <x v="11"/>
    <x v="10"/>
    <x v="4"/>
    <n v="460675011"/>
  </r>
  <r>
    <d v="2025-12-31T00:00:00"/>
    <x v="1"/>
    <x v="11"/>
    <x v="52"/>
    <x v="30"/>
    <x v="12"/>
    <x v="11"/>
    <x v="1"/>
    <n v="14942620000"/>
  </r>
  <r>
    <d v="2025-12-31T00:00:00"/>
    <x v="1"/>
    <x v="11"/>
    <x v="52"/>
    <x v="30"/>
    <x v="5"/>
    <x v="5"/>
    <x v="3"/>
    <n v="2613658295"/>
  </r>
  <r>
    <d v="2025-12-31T00:00:00"/>
    <x v="1"/>
    <x v="11"/>
    <x v="52"/>
    <x v="30"/>
    <x v="27"/>
    <x v="19"/>
    <x v="0"/>
    <n v="14053824000"/>
  </r>
  <r>
    <d v="2025-12-31T00:00:00"/>
    <x v="1"/>
    <x v="11"/>
    <x v="52"/>
    <x v="30"/>
    <x v="15"/>
    <x v="14"/>
    <x v="4"/>
    <n v="9231010"/>
  </r>
  <r>
    <d v="2025-12-31T00:00:00"/>
    <x v="1"/>
    <x v="11"/>
    <x v="52"/>
    <x v="30"/>
    <x v="31"/>
    <x v="22"/>
    <x v="1"/>
    <n v="260000000"/>
  </r>
  <r>
    <d v="2025-12-31T00:00:00"/>
    <x v="1"/>
    <x v="11"/>
    <x v="52"/>
    <x v="30"/>
    <x v="14"/>
    <x v="13"/>
    <x v="1"/>
    <n v="3311160000"/>
  </r>
  <r>
    <d v="2025-12-31T00:00:00"/>
    <x v="1"/>
    <x v="11"/>
    <x v="52"/>
    <x v="30"/>
    <x v="33"/>
    <x v="13"/>
    <x v="1"/>
    <n v="156750000"/>
  </r>
  <r>
    <d v="2025-12-31T00:00:00"/>
    <x v="1"/>
    <x v="11"/>
    <x v="52"/>
    <x v="30"/>
    <x v="23"/>
    <x v="17"/>
    <x v="4"/>
    <n v="9047513"/>
  </r>
  <r>
    <d v="2025-12-31T00:00:00"/>
    <x v="1"/>
    <x v="11"/>
    <x v="52"/>
    <x v="30"/>
    <x v="28"/>
    <x v="17"/>
    <x v="4"/>
    <n v="811960328"/>
  </r>
  <r>
    <d v="2025-12-31T00:00:00"/>
    <x v="1"/>
    <x v="11"/>
    <x v="52"/>
    <x v="30"/>
    <x v="8"/>
    <x v="8"/>
    <x v="1"/>
    <n v="0"/>
  </r>
  <r>
    <d v="2025-12-31T00:00:00"/>
    <x v="1"/>
    <x v="11"/>
    <x v="52"/>
    <x v="30"/>
    <x v="26"/>
    <x v="16"/>
    <x v="1"/>
    <n v="894500000"/>
  </r>
  <r>
    <d v="2025-12-31T00:00:00"/>
    <x v="1"/>
    <x v="11"/>
    <x v="52"/>
    <x v="30"/>
    <x v="32"/>
    <x v="16"/>
    <x v="1"/>
    <n v="0"/>
  </r>
  <r>
    <d v="2025-12-31T00:00:00"/>
    <x v="1"/>
    <x v="11"/>
    <x v="52"/>
    <x v="30"/>
    <x v="2"/>
    <x v="2"/>
    <x v="1"/>
    <n v="17297150000"/>
  </r>
  <r>
    <d v="2025-12-31T00:00:00"/>
    <x v="1"/>
    <x v="11"/>
    <x v="52"/>
    <x v="30"/>
    <x v="17"/>
    <x v="9"/>
    <x v="1"/>
    <n v="0"/>
  </r>
  <r>
    <d v="2025-12-31T00:00:00"/>
    <x v="1"/>
    <x v="11"/>
    <x v="52"/>
    <x v="30"/>
    <x v="20"/>
    <x v="9"/>
    <x v="1"/>
    <n v="0"/>
  </r>
  <r>
    <d v="2025-12-31T00:00:00"/>
    <x v="1"/>
    <x v="11"/>
    <x v="52"/>
    <x v="30"/>
    <x v="21"/>
    <x v="9"/>
    <x v="1"/>
    <n v="0"/>
  </r>
  <r>
    <d v="2025-12-31T00:00:00"/>
    <x v="1"/>
    <x v="11"/>
    <x v="52"/>
    <x v="30"/>
    <x v="25"/>
    <x v="2"/>
    <x v="1"/>
    <n v="7000000"/>
  </r>
  <r>
    <d v="2025-12-31T00:00:00"/>
    <x v="1"/>
    <x v="11"/>
    <x v="52"/>
    <x v="30"/>
    <x v="0"/>
    <x v="0"/>
    <x v="0"/>
    <n v="9485856000"/>
  </r>
  <r>
    <d v="2025-12-31T00:00:00"/>
    <x v="1"/>
    <x v="11"/>
    <x v="52"/>
    <x v="30"/>
    <x v="7"/>
    <x v="7"/>
    <x v="4"/>
    <n v="180484743"/>
  </r>
  <r>
    <d v="2025-12-31T00:00:00"/>
    <x v="1"/>
    <x v="11"/>
    <x v="52"/>
    <x v="30"/>
    <x v="1"/>
    <x v="1"/>
    <x v="1"/>
    <n v="15750000"/>
  </r>
  <r>
    <d v="2025-12-31T00:00:00"/>
    <x v="1"/>
    <x v="11"/>
    <x v="52"/>
    <x v="30"/>
    <x v="6"/>
    <x v="6"/>
    <x v="0"/>
    <n v="54000000"/>
  </r>
  <r>
    <d v="2025-12-31T00:00:00"/>
    <x v="1"/>
    <x v="11"/>
    <x v="52"/>
    <x v="30"/>
    <x v="18"/>
    <x v="15"/>
    <x v="1"/>
    <n v="1200620000"/>
  </r>
  <r>
    <d v="2025-12-31T00:00:00"/>
    <x v="1"/>
    <x v="11"/>
    <x v="52"/>
    <x v="30"/>
    <x v="29"/>
    <x v="20"/>
    <x v="0"/>
    <n v="419904000"/>
  </r>
  <r>
    <d v="2025-12-31T00:00:00"/>
    <x v="1"/>
    <x v="11"/>
    <x v="52"/>
    <x v="30"/>
    <x v="19"/>
    <x v="12"/>
    <x v="4"/>
    <n v="449954618"/>
  </r>
  <r>
    <d v="2025-12-31T00:00:00"/>
    <x v="1"/>
    <x v="11"/>
    <x v="52"/>
    <x v="30"/>
    <x v="24"/>
    <x v="18"/>
    <x v="1"/>
    <n v="3530190000"/>
  </r>
  <r>
    <d v="2025-12-31T00:00:00"/>
    <x v="1"/>
    <x v="11"/>
    <x v="52"/>
    <x v="30"/>
    <x v="30"/>
    <x v="21"/>
    <x v="0"/>
    <n v="0"/>
  </r>
  <r>
    <d v="2026-01-01T00:00:00"/>
    <x v="2"/>
    <x v="0"/>
    <x v="0"/>
    <x v="0"/>
    <x v="3"/>
    <x v="3"/>
    <x v="1"/>
    <n v="403000000"/>
  </r>
  <r>
    <d v="2026-01-01T00:00:00"/>
    <x v="2"/>
    <x v="0"/>
    <x v="0"/>
    <x v="0"/>
    <x v="11"/>
    <x v="10"/>
    <x v="4"/>
    <n v="356607499"/>
  </r>
  <r>
    <d v="2026-01-01T00:00:00"/>
    <x v="2"/>
    <x v="0"/>
    <x v="0"/>
    <x v="0"/>
    <x v="12"/>
    <x v="11"/>
    <x v="1"/>
    <n v="11652570000"/>
  </r>
  <r>
    <d v="2026-01-01T00:00:00"/>
    <x v="2"/>
    <x v="0"/>
    <x v="0"/>
    <x v="0"/>
    <x v="5"/>
    <x v="5"/>
    <x v="3"/>
    <n v="2766246451"/>
  </r>
  <r>
    <d v="2026-01-01T00:00:00"/>
    <x v="2"/>
    <x v="0"/>
    <x v="0"/>
    <x v="0"/>
    <x v="27"/>
    <x v="19"/>
    <x v="0"/>
    <n v="11668428000"/>
  </r>
  <r>
    <d v="2026-01-01T00:00:00"/>
    <x v="2"/>
    <x v="0"/>
    <x v="0"/>
    <x v="0"/>
    <x v="15"/>
    <x v="14"/>
    <x v="4"/>
    <n v="7045956"/>
  </r>
  <r>
    <d v="2026-01-01T00:00:00"/>
    <x v="2"/>
    <x v="0"/>
    <x v="0"/>
    <x v="0"/>
    <x v="31"/>
    <x v="22"/>
    <x v="1"/>
    <n v="0"/>
  </r>
  <r>
    <d v="2026-01-01T00:00:00"/>
    <x v="2"/>
    <x v="0"/>
    <x v="0"/>
    <x v="0"/>
    <x v="14"/>
    <x v="13"/>
    <x v="1"/>
    <n v="3759660000"/>
  </r>
  <r>
    <d v="2026-01-01T00:00:00"/>
    <x v="2"/>
    <x v="0"/>
    <x v="0"/>
    <x v="0"/>
    <x v="33"/>
    <x v="13"/>
    <x v="1"/>
    <n v="142350000"/>
  </r>
  <r>
    <d v="2026-01-01T00:00:00"/>
    <x v="2"/>
    <x v="0"/>
    <x v="0"/>
    <x v="0"/>
    <x v="23"/>
    <x v="17"/>
    <x v="4"/>
    <n v="16372922"/>
  </r>
  <r>
    <d v="2026-01-01T00:00:00"/>
    <x v="2"/>
    <x v="0"/>
    <x v="0"/>
    <x v="0"/>
    <x v="28"/>
    <x v="17"/>
    <x v="4"/>
    <n v="1588887066"/>
  </r>
  <r>
    <d v="2026-01-01T00:00:00"/>
    <x v="2"/>
    <x v="0"/>
    <x v="0"/>
    <x v="0"/>
    <x v="8"/>
    <x v="8"/>
    <x v="1"/>
    <n v="0"/>
  </r>
  <r>
    <d v="2026-01-01T00:00:00"/>
    <x v="2"/>
    <x v="0"/>
    <x v="0"/>
    <x v="0"/>
    <x v="26"/>
    <x v="16"/>
    <x v="1"/>
    <n v="319750000"/>
  </r>
  <r>
    <d v="2026-01-01T00:00:00"/>
    <x v="2"/>
    <x v="0"/>
    <x v="0"/>
    <x v="0"/>
    <x v="32"/>
    <x v="16"/>
    <x v="1"/>
    <n v="0"/>
  </r>
  <r>
    <d v="2026-01-01T00:00:00"/>
    <x v="2"/>
    <x v="0"/>
    <x v="0"/>
    <x v="0"/>
    <x v="2"/>
    <x v="2"/>
    <x v="1"/>
    <n v="13409520000"/>
  </r>
  <r>
    <d v="2026-01-01T00:00:00"/>
    <x v="2"/>
    <x v="0"/>
    <x v="0"/>
    <x v="0"/>
    <x v="17"/>
    <x v="9"/>
    <x v="1"/>
    <n v="0"/>
  </r>
  <r>
    <d v="2026-01-01T00:00:00"/>
    <x v="2"/>
    <x v="0"/>
    <x v="0"/>
    <x v="0"/>
    <x v="20"/>
    <x v="9"/>
    <x v="1"/>
    <n v="0"/>
  </r>
  <r>
    <d v="2026-01-01T00:00:00"/>
    <x v="2"/>
    <x v="0"/>
    <x v="0"/>
    <x v="0"/>
    <x v="21"/>
    <x v="9"/>
    <x v="1"/>
    <n v="0"/>
  </r>
  <r>
    <d v="2026-01-01T00:00:00"/>
    <x v="2"/>
    <x v="0"/>
    <x v="0"/>
    <x v="0"/>
    <x v="25"/>
    <x v="2"/>
    <x v="1"/>
    <n v="0"/>
  </r>
  <r>
    <d v="2026-01-01T00:00:00"/>
    <x v="2"/>
    <x v="0"/>
    <x v="0"/>
    <x v="0"/>
    <x v="0"/>
    <x v="0"/>
    <x v="0"/>
    <n v="9003096000"/>
  </r>
  <r>
    <d v="2026-01-01T00:00:00"/>
    <x v="2"/>
    <x v="0"/>
    <x v="0"/>
    <x v="0"/>
    <x v="7"/>
    <x v="7"/>
    <x v="4"/>
    <n v="398190418"/>
  </r>
  <r>
    <d v="2026-01-01T00:00:00"/>
    <x v="2"/>
    <x v="0"/>
    <x v="0"/>
    <x v="0"/>
    <x v="1"/>
    <x v="1"/>
    <x v="1"/>
    <n v="0"/>
  </r>
  <r>
    <d v="2026-01-01T00:00:00"/>
    <x v="2"/>
    <x v="0"/>
    <x v="0"/>
    <x v="0"/>
    <x v="6"/>
    <x v="6"/>
    <x v="0"/>
    <n v="26000000"/>
  </r>
  <r>
    <d v="2026-01-01T00:00:00"/>
    <x v="2"/>
    <x v="0"/>
    <x v="0"/>
    <x v="0"/>
    <x v="18"/>
    <x v="15"/>
    <x v="1"/>
    <n v="505810000"/>
  </r>
  <r>
    <d v="2026-01-01T00:00:00"/>
    <x v="2"/>
    <x v="0"/>
    <x v="0"/>
    <x v="0"/>
    <x v="29"/>
    <x v="20"/>
    <x v="0"/>
    <n v="311688000"/>
  </r>
  <r>
    <d v="2026-01-01T00:00:00"/>
    <x v="2"/>
    <x v="0"/>
    <x v="0"/>
    <x v="0"/>
    <x v="19"/>
    <x v="12"/>
    <x v="4"/>
    <n v="527539310"/>
  </r>
  <r>
    <d v="2026-01-01T00:00:00"/>
    <x v="2"/>
    <x v="0"/>
    <x v="0"/>
    <x v="0"/>
    <x v="24"/>
    <x v="18"/>
    <x v="1"/>
    <n v="2544540000"/>
  </r>
  <r>
    <d v="2026-01-01T00:00:00"/>
    <x v="2"/>
    <x v="0"/>
    <x v="0"/>
    <x v="0"/>
    <x v="30"/>
    <x v="21"/>
    <x v="0"/>
    <n v="0"/>
  </r>
  <r>
    <d v="2026-01-02T00:00:00"/>
    <x v="2"/>
    <x v="0"/>
    <x v="0"/>
    <x v="1"/>
    <x v="3"/>
    <x v="3"/>
    <x v="1"/>
    <n v="550050000"/>
  </r>
  <r>
    <d v="2026-01-02T00:00:00"/>
    <x v="2"/>
    <x v="0"/>
    <x v="0"/>
    <x v="1"/>
    <x v="11"/>
    <x v="10"/>
    <x v="4"/>
    <n v="337710506"/>
  </r>
  <r>
    <d v="2026-01-02T00:00:00"/>
    <x v="2"/>
    <x v="0"/>
    <x v="0"/>
    <x v="1"/>
    <x v="12"/>
    <x v="11"/>
    <x v="1"/>
    <n v="14212680000"/>
  </r>
  <r>
    <d v="2026-01-02T00:00:00"/>
    <x v="2"/>
    <x v="0"/>
    <x v="0"/>
    <x v="1"/>
    <x v="5"/>
    <x v="5"/>
    <x v="3"/>
    <n v="2790710138"/>
  </r>
  <r>
    <d v="2026-01-02T00:00:00"/>
    <x v="2"/>
    <x v="0"/>
    <x v="0"/>
    <x v="1"/>
    <x v="27"/>
    <x v="19"/>
    <x v="0"/>
    <n v="13163796000"/>
  </r>
  <r>
    <d v="2026-01-02T00:00:00"/>
    <x v="2"/>
    <x v="0"/>
    <x v="0"/>
    <x v="1"/>
    <x v="15"/>
    <x v="14"/>
    <x v="4"/>
    <n v="24139175"/>
  </r>
  <r>
    <d v="2026-01-02T00:00:00"/>
    <x v="2"/>
    <x v="0"/>
    <x v="0"/>
    <x v="1"/>
    <x v="31"/>
    <x v="22"/>
    <x v="1"/>
    <n v="0"/>
  </r>
  <r>
    <d v="2026-01-02T00:00:00"/>
    <x v="2"/>
    <x v="0"/>
    <x v="0"/>
    <x v="1"/>
    <x v="14"/>
    <x v="13"/>
    <x v="1"/>
    <n v="3995340000"/>
  </r>
  <r>
    <d v="2026-01-02T00:00:00"/>
    <x v="2"/>
    <x v="0"/>
    <x v="0"/>
    <x v="1"/>
    <x v="33"/>
    <x v="13"/>
    <x v="1"/>
    <n v="311000000"/>
  </r>
  <r>
    <d v="2026-01-02T00:00:00"/>
    <x v="2"/>
    <x v="0"/>
    <x v="0"/>
    <x v="1"/>
    <x v="23"/>
    <x v="17"/>
    <x v="4"/>
    <n v="32294086"/>
  </r>
  <r>
    <d v="2026-01-02T00:00:00"/>
    <x v="2"/>
    <x v="0"/>
    <x v="0"/>
    <x v="1"/>
    <x v="28"/>
    <x v="17"/>
    <x v="4"/>
    <n v="1843429754"/>
  </r>
  <r>
    <d v="2026-01-02T00:00:00"/>
    <x v="2"/>
    <x v="0"/>
    <x v="0"/>
    <x v="1"/>
    <x v="8"/>
    <x v="8"/>
    <x v="1"/>
    <n v="0"/>
  </r>
  <r>
    <d v="2026-01-02T00:00:00"/>
    <x v="2"/>
    <x v="0"/>
    <x v="0"/>
    <x v="1"/>
    <x v="26"/>
    <x v="16"/>
    <x v="1"/>
    <n v="496450000"/>
  </r>
  <r>
    <d v="2026-01-02T00:00:00"/>
    <x v="2"/>
    <x v="0"/>
    <x v="0"/>
    <x v="1"/>
    <x v="32"/>
    <x v="16"/>
    <x v="1"/>
    <n v="0"/>
  </r>
  <r>
    <d v="2026-01-02T00:00:00"/>
    <x v="2"/>
    <x v="0"/>
    <x v="0"/>
    <x v="1"/>
    <x v="2"/>
    <x v="2"/>
    <x v="1"/>
    <n v="16626100000"/>
  </r>
  <r>
    <d v="2026-01-02T00:00:00"/>
    <x v="2"/>
    <x v="0"/>
    <x v="0"/>
    <x v="1"/>
    <x v="17"/>
    <x v="9"/>
    <x v="1"/>
    <n v="0"/>
  </r>
  <r>
    <d v="2026-01-02T00:00:00"/>
    <x v="2"/>
    <x v="0"/>
    <x v="0"/>
    <x v="1"/>
    <x v="20"/>
    <x v="9"/>
    <x v="1"/>
    <n v="0"/>
  </r>
  <r>
    <d v="2026-01-02T00:00:00"/>
    <x v="2"/>
    <x v="0"/>
    <x v="0"/>
    <x v="1"/>
    <x v="21"/>
    <x v="9"/>
    <x v="1"/>
    <n v="0"/>
  </r>
  <r>
    <d v="2026-01-02T00:00:00"/>
    <x v="2"/>
    <x v="0"/>
    <x v="0"/>
    <x v="1"/>
    <x v="25"/>
    <x v="2"/>
    <x v="1"/>
    <n v="0"/>
  </r>
  <r>
    <d v="2026-01-02T00:00:00"/>
    <x v="2"/>
    <x v="0"/>
    <x v="0"/>
    <x v="1"/>
    <x v="0"/>
    <x v="0"/>
    <x v="0"/>
    <n v="9966780000"/>
  </r>
  <r>
    <d v="2026-01-02T00:00:00"/>
    <x v="2"/>
    <x v="0"/>
    <x v="0"/>
    <x v="1"/>
    <x v="7"/>
    <x v="7"/>
    <x v="4"/>
    <n v="449771094"/>
  </r>
  <r>
    <d v="2026-01-02T00:00:00"/>
    <x v="2"/>
    <x v="0"/>
    <x v="0"/>
    <x v="1"/>
    <x v="1"/>
    <x v="1"/>
    <x v="1"/>
    <n v="21000000"/>
  </r>
  <r>
    <d v="2026-01-02T00:00:00"/>
    <x v="2"/>
    <x v="0"/>
    <x v="0"/>
    <x v="1"/>
    <x v="6"/>
    <x v="6"/>
    <x v="0"/>
    <n v="53000000"/>
  </r>
  <r>
    <d v="2026-01-02T00:00:00"/>
    <x v="2"/>
    <x v="0"/>
    <x v="0"/>
    <x v="1"/>
    <x v="18"/>
    <x v="15"/>
    <x v="1"/>
    <n v="783230000"/>
  </r>
  <r>
    <d v="2026-01-02T00:00:00"/>
    <x v="2"/>
    <x v="0"/>
    <x v="0"/>
    <x v="1"/>
    <x v="29"/>
    <x v="20"/>
    <x v="0"/>
    <n v="423468000"/>
  </r>
  <r>
    <d v="2026-01-02T00:00:00"/>
    <x v="2"/>
    <x v="0"/>
    <x v="0"/>
    <x v="1"/>
    <x v="19"/>
    <x v="12"/>
    <x v="4"/>
    <n v="916912945"/>
  </r>
  <r>
    <d v="2026-01-02T00:00:00"/>
    <x v="2"/>
    <x v="0"/>
    <x v="0"/>
    <x v="1"/>
    <x v="24"/>
    <x v="18"/>
    <x v="1"/>
    <n v="3083130000"/>
  </r>
  <r>
    <d v="2026-01-02T00:00:00"/>
    <x v="2"/>
    <x v="0"/>
    <x v="0"/>
    <x v="1"/>
    <x v="30"/>
    <x v="21"/>
    <x v="0"/>
    <n v="0"/>
  </r>
  <r>
    <d v="2026-01-03T00:00:00"/>
    <x v="2"/>
    <x v="0"/>
    <x v="0"/>
    <x v="2"/>
    <x v="3"/>
    <x v="3"/>
    <x v="1"/>
    <n v="583250000"/>
  </r>
  <r>
    <d v="2026-01-03T00:00:00"/>
    <x v="2"/>
    <x v="0"/>
    <x v="0"/>
    <x v="2"/>
    <x v="11"/>
    <x v="10"/>
    <x v="4"/>
    <n v="359899091"/>
  </r>
  <r>
    <d v="2026-01-03T00:00:00"/>
    <x v="2"/>
    <x v="0"/>
    <x v="0"/>
    <x v="2"/>
    <x v="12"/>
    <x v="11"/>
    <x v="1"/>
    <n v="14456160000"/>
  </r>
  <r>
    <d v="2026-01-03T00:00:00"/>
    <x v="2"/>
    <x v="0"/>
    <x v="0"/>
    <x v="2"/>
    <x v="5"/>
    <x v="5"/>
    <x v="3"/>
    <n v="2349436887"/>
  </r>
  <r>
    <d v="2026-01-03T00:00:00"/>
    <x v="2"/>
    <x v="0"/>
    <x v="0"/>
    <x v="2"/>
    <x v="27"/>
    <x v="19"/>
    <x v="0"/>
    <n v="12671856000"/>
  </r>
  <r>
    <d v="2026-01-03T00:00:00"/>
    <x v="2"/>
    <x v="0"/>
    <x v="0"/>
    <x v="2"/>
    <x v="15"/>
    <x v="14"/>
    <x v="4"/>
    <n v="76636650"/>
  </r>
  <r>
    <d v="2026-01-03T00:00:00"/>
    <x v="2"/>
    <x v="0"/>
    <x v="0"/>
    <x v="2"/>
    <x v="31"/>
    <x v="22"/>
    <x v="1"/>
    <n v="169000000"/>
  </r>
  <r>
    <d v="2026-01-03T00:00:00"/>
    <x v="2"/>
    <x v="0"/>
    <x v="0"/>
    <x v="2"/>
    <x v="14"/>
    <x v="13"/>
    <x v="1"/>
    <n v="3154650000"/>
  </r>
  <r>
    <d v="2026-01-03T00:00:00"/>
    <x v="2"/>
    <x v="0"/>
    <x v="0"/>
    <x v="2"/>
    <x v="33"/>
    <x v="13"/>
    <x v="1"/>
    <n v="297150000"/>
  </r>
  <r>
    <d v="2026-01-03T00:00:00"/>
    <x v="2"/>
    <x v="0"/>
    <x v="0"/>
    <x v="2"/>
    <x v="23"/>
    <x v="17"/>
    <x v="4"/>
    <n v="52658904"/>
  </r>
  <r>
    <d v="2026-01-03T00:00:00"/>
    <x v="2"/>
    <x v="0"/>
    <x v="0"/>
    <x v="2"/>
    <x v="28"/>
    <x v="17"/>
    <x v="4"/>
    <n v="2503625665"/>
  </r>
  <r>
    <d v="2026-01-03T00:00:00"/>
    <x v="2"/>
    <x v="0"/>
    <x v="0"/>
    <x v="2"/>
    <x v="8"/>
    <x v="8"/>
    <x v="1"/>
    <n v="0"/>
  </r>
  <r>
    <d v="2026-01-03T00:00:00"/>
    <x v="2"/>
    <x v="0"/>
    <x v="0"/>
    <x v="2"/>
    <x v="26"/>
    <x v="16"/>
    <x v="1"/>
    <n v="676500000"/>
  </r>
  <r>
    <d v="2026-01-03T00:00:00"/>
    <x v="2"/>
    <x v="0"/>
    <x v="0"/>
    <x v="2"/>
    <x v="32"/>
    <x v="16"/>
    <x v="1"/>
    <n v="0"/>
  </r>
  <r>
    <d v="2026-01-03T00:00:00"/>
    <x v="2"/>
    <x v="0"/>
    <x v="0"/>
    <x v="2"/>
    <x v="2"/>
    <x v="2"/>
    <x v="1"/>
    <n v="15849000000"/>
  </r>
  <r>
    <d v="2026-01-03T00:00:00"/>
    <x v="2"/>
    <x v="0"/>
    <x v="0"/>
    <x v="2"/>
    <x v="17"/>
    <x v="9"/>
    <x v="1"/>
    <n v="0"/>
  </r>
  <r>
    <d v="2026-01-03T00:00:00"/>
    <x v="2"/>
    <x v="0"/>
    <x v="0"/>
    <x v="2"/>
    <x v="20"/>
    <x v="9"/>
    <x v="1"/>
    <n v="0"/>
  </r>
  <r>
    <d v="2026-01-03T00:00:00"/>
    <x v="2"/>
    <x v="0"/>
    <x v="0"/>
    <x v="2"/>
    <x v="21"/>
    <x v="9"/>
    <x v="1"/>
    <n v="0"/>
  </r>
  <r>
    <d v="2026-01-03T00:00:00"/>
    <x v="2"/>
    <x v="0"/>
    <x v="0"/>
    <x v="2"/>
    <x v="25"/>
    <x v="2"/>
    <x v="1"/>
    <n v="0"/>
  </r>
  <r>
    <d v="2026-01-03T00:00:00"/>
    <x v="2"/>
    <x v="0"/>
    <x v="0"/>
    <x v="2"/>
    <x v="0"/>
    <x v="0"/>
    <x v="0"/>
    <n v="9353772000"/>
  </r>
  <r>
    <d v="2026-01-03T00:00:00"/>
    <x v="2"/>
    <x v="0"/>
    <x v="0"/>
    <x v="2"/>
    <x v="7"/>
    <x v="7"/>
    <x v="4"/>
    <n v="494063226"/>
  </r>
  <r>
    <d v="2026-01-03T00:00:00"/>
    <x v="2"/>
    <x v="0"/>
    <x v="0"/>
    <x v="2"/>
    <x v="1"/>
    <x v="1"/>
    <x v="1"/>
    <n v="0"/>
  </r>
  <r>
    <d v="2026-01-03T00:00:00"/>
    <x v="2"/>
    <x v="0"/>
    <x v="0"/>
    <x v="2"/>
    <x v="6"/>
    <x v="6"/>
    <x v="0"/>
    <n v="58000000"/>
  </r>
  <r>
    <d v="2026-01-03T00:00:00"/>
    <x v="2"/>
    <x v="0"/>
    <x v="0"/>
    <x v="2"/>
    <x v="18"/>
    <x v="15"/>
    <x v="1"/>
    <n v="963500000"/>
  </r>
  <r>
    <d v="2026-01-03T00:00:00"/>
    <x v="2"/>
    <x v="0"/>
    <x v="0"/>
    <x v="2"/>
    <x v="29"/>
    <x v="20"/>
    <x v="0"/>
    <n v="333504000"/>
  </r>
  <r>
    <d v="2026-01-03T00:00:00"/>
    <x v="2"/>
    <x v="0"/>
    <x v="0"/>
    <x v="2"/>
    <x v="19"/>
    <x v="12"/>
    <x v="4"/>
    <n v="1276435037"/>
  </r>
  <r>
    <d v="2026-01-03T00:00:00"/>
    <x v="2"/>
    <x v="0"/>
    <x v="0"/>
    <x v="2"/>
    <x v="24"/>
    <x v="18"/>
    <x v="1"/>
    <n v="3123240000"/>
  </r>
  <r>
    <d v="2026-01-03T00:00:00"/>
    <x v="2"/>
    <x v="0"/>
    <x v="0"/>
    <x v="2"/>
    <x v="30"/>
    <x v="21"/>
    <x v="0"/>
    <n v="0"/>
  </r>
  <r>
    <d v="2026-01-04T00:00:00"/>
    <x v="2"/>
    <x v="0"/>
    <x v="0"/>
    <x v="3"/>
    <x v="3"/>
    <x v="3"/>
    <x v="1"/>
    <n v="596850000"/>
  </r>
  <r>
    <d v="2026-01-04T00:00:00"/>
    <x v="2"/>
    <x v="0"/>
    <x v="0"/>
    <x v="3"/>
    <x v="11"/>
    <x v="10"/>
    <x v="4"/>
    <n v="441460119"/>
  </r>
  <r>
    <d v="2026-01-04T00:00:00"/>
    <x v="2"/>
    <x v="0"/>
    <x v="0"/>
    <x v="3"/>
    <x v="12"/>
    <x v="11"/>
    <x v="1"/>
    <n v="13472970000"/>
  </r>
  <r>
    <d v="2026-01-04T00:00:00"/>
    <x v="2"/>
    <x v="0"/>
    <x v="0"/>
    <x v="3"/>
    <x v="5"/>
    <x v="5"/>
    <x v="3"/>
    <n v="2438419059"/>
  </r>
  <r>
    <d v="2026-01-04T00:00:00"/>
    <x v="2"/>
    <x v="0"/>
    <x v="0"/>
    <x v="3"/>
    <x v="27"/>
    <x v="19"/>
    <x v="0"/>
    <n v="12509640000"/>
  </r>
  <r>
    <d v="2026-01-04T00:00:00"/>
    <x v="2"/>
    <x v="0"/>
    <x v="0"/>
    <x v="3"/>
    <x v="15"/>
    <x v="14"/>
    <x v="4"/>
    <n v="70640202"/>
  </r>
  <r>
    <d v="2026-01-04T00:00:00"/>
    <x v="2"/>
    <x v="0"/>
    <x v="0"/>
    <x v="3"/>
    <x v="31"/>
    <x v="22"/>
    <x v="1"/>
    <n v="0"/>
  </r>
  <r>
    <d v="2026-01-04T00:00:00"/>
    <x v="2"/>
    <x v="0"/>
    <x v="0"/>
    <x v="3"/>
    <x v="14"/>
    <x v="13"/>
    <x v="1"/>
    <n v="4516770000"/>
  </r>
  <r>
    <d v="2026-01-04T00:00:00"/>
    <x v="2"/>
    <x v="0"/>
    <x v="0"/>
    <x v="3"/>
    <x v="33"/>
    <x v="13"/>
    <x v="1"/>
    <n v="369950000"/>
  </r>
  <r>
    <d v="2026-01-04T00:00:00"/>
    <x v="2"/>
    <x v="0"/>
    <x v="0"/>
    <x v="3"/>
    <x v="23"/>
    <x v="17"/>
    <x v="4"/>
    <n v="70201029"/>
  </r>
  <r>
    <d v="2026-01-04T00:00:00"/>
    <x v="2"/>
    <x v="0"/>
    <x v="0"/>
    <x v="3"/>
    <x v="28"/>
    <x v="17"/>
    <x v="4"/>
    <n v="2874242217"/>
  </r>
  <r>
    <d v="2026-01-04T00:00:00"/>
    <x v="2"/>
    <x v="0"/>
    <x v="0"/>
    <x v="3"/>
    <x v="8"/>
    <x v="8"/>
    <x v="1"/>
    <n v="0"/>
  </r>
  <r>
    <d v="2026-01-04T00:00:00"/>
    <x v="2"/>
    <x v="0"/>
    <x v="0"/>
    <x v="3"/>
    <x v="26"/>
    <x v="16"/>
    <x v="1"/>
    <n v="366000000"/>
  </r>
  <r>
    <d v="2026-01-04T00:00:00"/>
    <x v="2"/>
    <x v="0"/>
    <x v="0"/>
    <x v="3"/>
    <x v="32"/>
    <x v="16"/>
    <x v="1"/>
    <n v="0"/>
  </r>
  <r>
    <d v="2026-01-04T00:00:00"/>
    <x v="2"/>
    <x v="0"/>
    <x v="0"/>
    <x v="3"/>
    <x v="2"/>
    <x v="2"/>
    <x v="1"/>
    <n v="14323530000"/>
  </r>
  <r>
    <d v="2026-01-04T00:00:00"/>
    <x v="2"/>
    <x v="0"/>
    <x v="0"/>
    <x v="3"/>
    <x v="17"/>
    <x v="9"/>
    <x v="1"/>
    <n v="0"/>
  </r>
  <r>
    <d v="2026-01-04T00:00:00"/>
    <x v="2"/>
    <x v="0"/>
    <x v="0"/>
    <x v="3"/>
    <x v="20"/>
    <x v="9"/>
    <x v="1"/>
    <n v="0"/>
  </r>
  <r>
    <d v="2026-01-04T00:00:00"/>
    <x v="2"/>
    <x v="0"/>
    <x v="0"/>
    <x v="3"/>
    <x v="21"/>
    <x v="9"/>
    <x v="1"/>
    <n v="0"/>
  </r>
  <r>
    <d v="2026-01-04T00:00:00"/>
    <x v="2"/>
    <x v="0"/>
    <x v="0"/>
    <x v="3"/>
    <x v="25"/>
    <x v="2"/>
    <x v="1"/>
    <n v="0"/>
  </r>
  <r>
    <d v="2026-01-04T00:00:00"/>
    <x v="2"/>
    <x v="0"/>
    <x v="0"/>
    <x v="3"/>
    <x v="0"/>
    <x v="0"/>
    <x v="0"/>
    <n v="9263484000"/>
  </r>
  <r>
    <d v="2026-01-04T00:00:00"/>
    <x v="2"/>
    <x v="0"/>
    <x v="0"/>
    <x v="3"/>
    <x v="7"/>
    <x v="7"/>
    <x v="4"/>
    <n v="637812477"/>
  </r>
  <r>
    <d v="2026-01-04T00:00:00"/>
    <x v="2"/>
    <x v="0"/>
    <x v="0"/>
    <x v="3"/>
    <x v="1"/>
    <x v="1"/>
    <x v="1"/>
    <n v="21000000"/>
  </r>
  <r>
    <d v="2026-01-04T00:00:00"/>
    <x v="2"/>
    <x v="0"/>
    <x v="0"/>
    <x v="3"/>
    <x v="6"/>
    <x v="6"/>
    <x v="0"/>
    <n v="32000000"/>
  </r>
  <r>
    <d v="2026-01-04T00:00:00"/>
    <x v="2"/>
    <x v="0"/>
    <x v="0"/>
    <x v="3"/>
    <x v="18"/>
    <x v="15"/>
    <x v="1"/>
    <n v="745310000"/>
  </r>
  <r>
    <d v="2026-01-04T00:00:00"/>
    <x v="2"/>
    <x v="0"/>
    <x v="0"/>
    <x v="3"/>
    <x v="29"/>
    <x v="20"/>
    <x v="0"/>
    <n v="302616000"/>
  </r>
  <r>
    <d v="2026-01-04T00:00:00"/>
    <x v="2"/>
    <x v="0"/>
    <x v="0"/>
    <x v="3"/>
    <x v="19"/>
    <x v="12"/>
    <x v="4"/>
    <n v="1757446176"/>
  </r>
  <r>
    <d v="2026-01-04T00:00:00"/>
    <x v="2"/>
    <x v="0"/>
    <x v="0"/>
    <x v="3"/>
    <x v="24"/>
    <x v="18"/>
    <x v="1"/>
    <n v="3292270000"/>
  </r>
  <r>
    <d v="2026-01-04T00:00:00"/>
    <x v="2"/>
    <x v="0"/>
    <x v="0"/>
    <x v="3"/>
    <x v="30"/>
    <x v="21"/>
    <x v="0"/>
    <n v="0"/>
  </r>
  <r>
    <d v="2026-01-05T00:00:00"/>
    <x v="2"/>
    <x v="0"/>
    <x v="1"/>
    <x v="4"/>
    <x v="3"/>
    <x v="3"/>
    <x v="1"/>
    <n v="687250000"/>
  </r>
  <r>
    <d v="2026-01-05T00:00:00"/>
    <x v="2"/>
    <x v="0"/>
    <x v="1"/>
    <x v="4"/>
    <x v="11"/>
    <x v="10"/>
    <x v="4"/>
    <n v="449006164"/>
  </r>
  <r>
    <d v="2026-01-05T00:00:00"/>
    <x v="2"/>
    <x v="0"/>
    <x v="1"/>
    <x v="4"/>
    <x v="12"/>
    <x v="11"/>
    <x v="1"/>
    <n v="18178310000"/>
  </r>
  <r>
    <d v="2026-01-05T00:00:00"/>
    <x v="2"/>
    <x v="0"/>
    <x v="1"/>
    <x v="4"/>
    <x v="5"/>
    <x v="5"/>
    <x v="3"/>
    <n v="3013009921"/>
  </r>
  <r>
    <d v="2026-01-05T00:00:00"/>
    <x v="2"/>
    <x v="0"/>
    <x v="1"/>
    <x v="4"/>
    <x v="27"/>
    <x v="19"/>
    <x v="0"/>
    <n v="16151940000"/>
  </r>
  <r>
    <d v="2026-01-05T00:00:00"/>
    <x v="2"/>
    <x v="0"/>
    <x v="1"/>
    <x v="4"/>
    <x v="15"/>
    <x v="14"/>
    <x v="4"/>
    <n v="65833326"/>
  </r>
  <r>
    <d v="2026-01-05T00:00:00"/>
    <x v="2"/>
    <x v="0"/>
    <x v="1"/>
    <x v="4"/>
    <x v="31"/>
    <x v="22"/>
    <x v="1"/>
    <n v="90000000"/>
  </r>
  <r>
    <d v="2026-01-05T00:00:00"/>
    <x v="2"/>
    <x v="0"/>
    <x v="1"/>
    <x v="4"/>
    <x v="14"/>
    <x v="13"/>
    <x v="1"/>
    <n v="4914460000"/>
  </r>
  <r>
    <d v="2026-01-05T00:00:00"/>
    <x v="2"/>
    <x v="0"/>
    <x v="1"/>
    <x v="4"/>
    <x v="33"/>
    <x v="13"/>
    <x v="1"/>
    <n v="288300000"/>
  </r>
  <r>
    <d v="2026-01-05T00:00:00"/>
    <x v="2"/>
    <x v="0"/>
    <x v="1"/>
    <x v="4"/>
    <x v="23"/>
    <x v="17"/>
    <x v="4"/>
    <n v="58697374"/>
  </r>
  <r>
    <d v="2026-01-05T00:00:00"/>
    <x v="2"/>
    <x v="0"/>
    <x v="1"/>
    <x v="4"/>
    <x v="28"/>
    <x v="17"/>
    <x v="4"/>
    <n v="2103866423"/>
  </r>
  <r>
    <d v="2026-01-05T00:00:00"/>
    <x v="2"/>
    <x v="0"/>
    <x v="1"/>
    <x v="4"/>
    <x v="8"/>
    <x v="8"/>
    <x v="1"/>
    <n v="0"/>
  </r>
  <r>
    <d v="2026-01-05T00:00:00"/>
    <x v="2"/>
    <x v="0"/>
    <x v="1"/>
    <x v="4"/>
    <x v="26"/>
    <x v="16"/>
    <x v="1"/>
    <n v="753750000"/>
  </r>
  <r>
    <d v="2026-01-05T00:00:00"/>
    <x v="2"/>
    <x v="0"/>
    <x v="1"/>
    <x v="4"/>
    <x v="32"/>
    <x v="16"/>
    <x v="1"/>
    <n v="0"/>
  </r>
  <r>
    <d v="2026-01-05T00:00:00"/>
    <x v="2"/>
    <x v="0"/>
    <x v="1"/>
    <x v="4"/>
    <x v="2"/>
    <x v="2"/>
    <x v="1"/>
    <n v="18812710000"/>
  </r>
  <r>
    <d v="2026-01-05T00:00:00"/>
    <x v="2"/>
    <x v="0"/>
    <x v="1"/>
    <x v="4"/>
    <x v="17"/>
    <x v="9"/>
    <x v="1"/>
    <n v="0"/>
  </r>
  <r>
    <d v="2026-01-05T00:00:00"/>
    <x v="2"/>
    <x v="0"/>
    <x v="1"/>
    <x v="4"/>
    <x v="20"/>
    <x v="9"/>
    <x v="1"/>
    <n v="0"/>
  </r>
  <r>
    <d v="2026-01-05T00:00:00"/>
    <x v="2"/>
    <x v="0"/>
    <x v="1"/>
    <x v="4"/>
    <x v="21"/>
    <x v="9"/>
    <x v="1"/>
    <n v="0"/>
  </r>
  <r>
    <d v="2026-01-05T00:00:00"/>
    <x v="2"/>
    <x v="0"/>
    <x v="1"/>
    <x v="4"/>
    <x v="25"/>
    <x v="2"/>
    <x v="1"/>
    <n v="0"/>
  </r>
  <r>
    <d v="2026-01-05T00:00:00"/>
    <x v="2"/>
    <x v="0"/>
    <x v="1"/>
    <x v="4"/>
    <x v="0"/>
    <x v="0"/>
    <x v="0"/>
    <n v="10797300000"/>
  </r>
  <r>
    <d v="2026-01-05T00:00:00"/>
    <x v="2"/>
    <x v="0"/>
    <x v="1"/>
    <x v="4"/>
    <x v="7"/>
    <x v="7"/>
    <x v="4"/>
    <n v="637389668"/>
  </r>
  <r>
    <d v="2026-01-05T00:00:00"/>
    <x v="2"/>
    <x v="0"/>
    <x v="1"/>
    <x v="4"/>
    <x v="1"/>
    <x v="1"/>
    <x v="1"/>
    <n v="21000000"/>
  </r>
  <r>
    <d v="2026-01-05T00:00:00"/>
    <x v="2"/>
    <x v="0"/>
    <x v="1"/>
    <x v="4"/>
    <x v="6"/>
    <x v="6"/>
    <x v="0"/>
    <n v="86000000"/>
  </r>
  <r>
    <d v="2026-01-05T00:00:00"/>
    <x v="2"/>
    <x v="0"/>
    <x v="1"/>
    <x v="4"/>
    <x v="18"/>
    <x v="15"/>
    <x v="1"/>
    <n v="1035290000"/>
  </r>
  <r>
    <d v="2026-01-05T00:00:00"/>
    <x v="2"/>
    <x v="0"/>
    <x v="1"/>
    <x v="4"/>
    <x v="29"/>
    <x v="20"/>
    <x v="0"/>
    <n v="454680000"/>
  </r>
  <r>
    <d v="2026-01-05T00:00:00"/>
    <x v="2"/>
    <x v="0"/>
    <x v="1"/>
    <x v="4"/>
    <x v="19"/>
    <x v="12"/>
    <x v="4"/>
    <n v="1426686840"/>
  </r>
  <r>
    <d v="2026-01-05T00:00:00"/>
    <x v="2"/>
    <x v="0"/>
    <x v="1"/>
    <x v="4"/>
    <x v="24"/>
    <x v="18"/>
    <x v="1"/>
    <n v="4379930000"/>
  </r>
  <r>
    <d v="2026-01-05T00:00:00"/>
    <x v="2"/>
    <x v="0"/>
    <x v="1"/>
    <x v="4"/>
    <x v="30"/>
    <x v="21"/>
    <x v="0"/>
    <n v="0"/>
  </r>
  <r>
    <d v="2026-01-06T00:00:00"/>
    <x v="2"/>
    <x v="0"/>
    <x v="1"/>
    <x v="5"/>
    <x v="3"/>
    <x v="3"/>
    <x v="1"/>
    <n v="826700000"/>
  </r>
  <r>
    <d v="2026-01-06T00:00:00"/>
    <x v="2"/>
    <x v="0"/>
    <x v="1"/>
    <x v="5"/>
    <x v="11"/>
    <x v="10"/>
    <x v="4"/>
    <n v="435192867"/>
  </r>
  <r>
    <d v="2026-01-06T00:00:00"/>
    <x v="2"/>
    <x v="0"/>
    <x v="1"/>
    <x v="5"/>
    <x v="12"/>
    <x v="11"/>
    <x v="1"/>
    <n v="15569330000"/>
  </r>
  <r>
    <d v="2026-01-06T00:00:00"/>
    <x v="2"/>
    <x v="0"/>
    <x v="1"/>
    <x v="5"/>
    <x v="5"/>
    <x v="5"/>
    <x v="3"/>
    <n v="2231074599"/>
  </r>
  <r>
    <d v="2026-01-06T00:00:00"/>
    <x v="2"/>
    <x v="0"/>
    <x v="1"/>
    <x v="5"/>
    <x v="27"/>
    <x v="19"/>
    <x v="0"/>
    <n v="13687920000"/>
  </r>
  <r>
    <d v="2026-01-06T00:00:00"/>
    <x v="2"/>
    <x v="0"/>
    <x v="1"/>
    <x v="5"/>
    <x v="15"/>
    <x v="14"/>
    <x v="4"/>
    <n v="27400994"/>
  </r>
  <r>
    <d v="2026-01-06T00:00:00"/>
    <x v="2"/>
    <x v="0"/>
    <x v="1"/>
    <x v="5"/>
    <x v="31"/>
    <x v="22"/>
    <x v="1"/>
    <n v="0"/>
  </r>
  <r>
    <d v="2026-01-06T00:00:00"/>
    <x v="2"/>
    <x v="0"/>
    <x v="1"/>
    <x v="5"/>
    <x v="14"/>
    <x v="13"/>
    <x v="1"/>
    <n v="4482220000"/>
  </r>
  <r>
    <d v="2026-01-06T00:00:00"/>
    <x v="2"/>
    <x v="0"/>
    <x v="1"/>
    <x v="5"/>
    <x v="33"/>
    <x v="13"/>
    <x v="1"/>
    <n v="318900000"/>
  </r>
  <r>
    <d v="2026-01-06T00:00:00"/>
    <x v="2"/>
    <x v="0"/>
    <x v="1"/>
    <x v="5"/>
    <x v="23"/>
    <x v="17"/>
    <x v="4"/>
    <n v="19957405"/>
  </r>
  <r>
    <d v="2026-01-06T00:00:00"/>
    <x v="2"/>
    <x v="0"/>
    <x v="1"/>
    <x v="5"/>
    <x v="28"/>
    <x v="17"/>
    <x v="4"/>
    <n v="1543296050"/>
  </r>
  <r>
    <d v="2026-01-06T00:00:00"/>
    <x v="2"/>
    <x v="0"/>
    <x v="1"/>
    <x v="5"/>
    <x v="8"/>
    <x v="8"/>
    <x v="1"/>
    <n v="0"/>
  </r>
  <r>
    <d v="2026-01-06T00:00:00"/>
    <x v="2"/>
    <x v="0"/>
    <x v="1"/>
    <x v="5"/>
    <x v="26"/>
    <x v="16"/>
    <x v="1"/>
    <n v="331500000"/>
  </r>
  <r>
    <d v="2026-01-06T00:00:00"/>
    <x v="2"/>
    <x v="0"/>
    <x v="1"/>
    <x v="5"/>
    <x v="32"/>
    <x v="16"/>
    <x v="1"/>
    <n v="0"/>
  </r>
  <r>
    <d v="2026-01-06T00:00:00"/>
    <x v="2"/>
    <x v="0"/>
    <x v="1"/>
    <x v="5"/>
    <x v="2"/>
    <x v="2"/>
    <x v="1"/>
    <n v="16112910000"/>
  </r>
  <r>
    <d v="2026-01-06T00:00:00"/>
    <x v="2"/>
    <x v="0"/>
    <x v="1"/>
    <x v="5"/>
    <x v="17"/>
    <x v="9"/>
    <x v="1"/>
    <n v="0"/>
  </r>
  <r>
    <d v="2026-01-06T00:00:00"/>
    <x v="2"/>
    <x v="0"/>
    <x v="1"/>
    <x v="5"/>
    <x v="20"/>
    <x v="9"/>
    <x v="1"/>
    <n v="0"/>
  </r>
  <r>
    <d v="2026-01-06T00:00:00"/>
    <x v="2"/>
    <x v="0"/>
    <x v="1"/>
    <x v="5"/>
    <x v="21"/>
    <x v="9"/>
    <x v="1"/>
    <n v="0"/>
  </r>
  <r>
    <d v="2026-01-06T00:00:00"/>
    <x v="2"/>
    <x v="0"/>
    <x v="1"/>
    <x v="5"/>
    <x v="25"/>
    <x v="2"/>
    <x v="1"/>
    <n v="0"/>
  </r>
  <r>
    <d v="2026-01-06T00:00:00"/>
    <x v="2"/>
    <x v="0"/>
    <x v="1"/>
    <x v="5"/>
    <x v="0"/>
    <x v="0"/>
    <x v="0"/>
    <n v="9791604000"/>
  </r>
  <r>
    <d v="2026-01-06T00:00:00"/>
    <x v="2"/>
    <x v="0"/>
    <x v="1"/>
    <x v="5"/>
    <x v="7"/>
    <x v="7"/>
    <x v="4"/>
    <n v="350790852"/>
  </r>
  <r>
    <d v="2026-01-06T00:00:00"/>
    <x v="2"/>
    <x v="0"/>
    <x v="1"/>
    <x v="5"/>
    <x v="1"/>
    <x v="1"/>
    <x v="1"/>
    <n v="21000000"/>
  </r>
  <r>
    <d v="2026-01-06T00:00:00"/>
    <x v="2"/>
    <x v="0"/>
    <x v="1"/>
    <x v="5"/>
    <x v="6"/>
    <x v="6"/>
    <x v="0"/>
    <n v="73000000"/>
  </r>
  <r>
    <d v="2026-01-06T00:00:00"/>
    <x v="2"/>
    <x v="0"/>
    <x v="1"/>
    <x v="5"/>
    <x v="18"/>
    <x v="15"/>
    <x v="1"/>
    <n v="524560000"/>
  </r>
  <r>
    <d v="2026-01-06T00:00:00"/>
    <x v="2"/>
    <x v="0"/>
    <x v="1"/>
    <x v="5"/>
    <x v="29"/>
    <x v="20"/>
    <x v="0"/>
    <n v="297756000"/>
  </r>
  <r>
    <d v="2026-01-06T00:00:00"/>
    <x v="2"/>
    <x v="0"/>
    <x v="1"/>
    <x v="5"/>
    <x v="19"/>
    <x v="12"/>
    <x v="4"/>
    <n v="843024671"/>
  </r>
  <r>
    <d v="2026-01-06T00:00:00"/>
    <x v="2"/>
    <x v="0"/>
    <x v="1"/>
    <x v="5"/>
    <x v="24"/>
    <x v="18"/>
    <x v="1"/>
    <n v="4133690000"/>
  </r>
  <r>
    <d v="2026-01-06T00:00:00"/>
    <x v="2"/>
    <x v="0"/>
    <x v="1"/>
    <x v="5"/>
    <x v="30"/>
    <x v="21"/>
    <x v="0"/>
    <n v="0"/>
  </r>
  <r>
    <d v="2026-01-07T00:00:00"/>
    <x v="2"/>
    <x v="0"/>
    <x v="1"/>
    <x v="6"/>
    <x v="3"/>
    <x v="3"/>
    <x v="1"/>
    <n v="907400000"/>
  </r>
  <r>
    <d v="2026-01-07T00:00:00"/>
    <x v="2"/>
    <x v="0"/>
    <x v="1"/>
    <x v="6"/>
    <x v="11"/>
    <x v="10"/>
    <x v="4"/>
    <n v="400817994"/>
  </r>
  <r>
    <d v="2026-01-07T00:00:00"/>
    <x v="2"/>
    <x v="0"/>
    <x v="1"/>
    <x v="6"/>
    <x v="12"/>
    <x v="11"/>
    <x v="1"/>
    <n v="15492080000"/>
  </r>
  <r>
    <d v="2026-01-07T00:00:00"/>
    <x v="2"/>
    <x v="0"/>
    <x v="1"/>
    <x v="6"/>
    <x v="5"/>
    <x v="5"/>
    <x v="3"/>
    <n v="1892761441"/>
  </r>
  <r>
    <d v="2026-01-07T00:00:00"/>
    <x v="2"/>
    <x v="0"/>
    <x v="1"/>
    <x v="6"/>
    <x v="27"/>
    <x v="19"/>
    <x v="0"/>
    <n v="13269096000"/>
  </r>
  <r>
    <d v="2026-01-07T00:00:00"/>
    <x v="2"/>
    <x v="0"/>
    <x v="1"/>
    <x v="6"/>
    <x v="15"/>
    <x v="14"/>
    <x v="4"/>
    <n v="24325145"/>
  </r>
  <r>
    <d v="2026-01-07T00:00:00"/>
    <x v="2"/>
    <x v="0"/>
    <x v="1"/>
    <x v="6"/>
    <x v="31"/>
    <x v="22"/>
    <x v="1"/>
    <n v="0"/>
  </r>
  <r>
    <d v="2026-01-07T00:00:00"/>
    <x v="2"/>
    <x v="0"/>
    <x v="1"/>
    <x v="6"/>
    <x v="14"/>
    <x v="13"/>
    <x v="1"/>
    <n v="4550680000"/>
  </r>
  <r>
    <d v="2026-01-07T00:00:00"/>
    <x v="2"/>
    <x v="0"/>
    <x v="1"/>
    <x v="6"/>
    <x v="33"/>
    <x v="13"/>
    <x v="1"/>
    <n v="452650000"/>
  </r>
  <r>
    <d v="2026-01-07T00:00:00"/>
    <x v="2"/>
    <x v="0"/>
    <x v="1"/>
    <x v="6"/>
    <x v="23"/>
    <x v="17"/>
    <x v="4"/>
    <n v="25534191"/>
  </r>
  <r>
    <d v="2026-01-07T00:00:00"/>
    <x v="2"/>
    <x v="0"/>
    <x v="1"/>
    <x v="6"/>
    <x v="28"/>
    <x v="17"/>
    <x v="4"/>
    <n v="1449111267"/>
  </r>
  <r>
    <d v="2026-01-07T00:00:00"/>
    <x v="2"/>
    <x v="0"/>
    <x v="1"/>
    <x v="6"/>
    <x v="8"/>
    <x v="8"/>
    <x v="1"/>
    <n v="0"/>
  </r>
  <r>
    <d v="2026-01-07T00:00:00"/>
    <x v="2"/>
    <x v="0"/>
    <x v="1"/>
    <x v="6"/>
    <x v="26"/>
    <x v="16"/>
    <x v="1"/>
    <n v="78750000"/>
  </r>
  <r>
    <d v="2026-01-07T00:00:00"/>
    <x v="2"/>
    <x v="0"/>
    <x v="1"/>
    <x v="6"/>
    <x v="32"/>
    <x v="16"/>
    <x v="1"/>
    <n v="0"/>
  </r>
  <r>
    <d v="2026-01-07T00:00:00"/>
    <x v="2"/>
    <x v="0"/>
    <x v="1"/>
    <x v="6"/>
    <x v="2"/>
    <x v="2"/>
    <x v="1"/>
    <n v="16542590000"/>
  </r>
  <r>
    <d v="2026-01-07T00:00:00"/>
    <x v="2"/>
    <x v="0"/>
    <x v="1"/>
    <x v="6"/>
    <x v="17"/>
    <x v="9"/>
    <x v="1"/>
    <n v="0"/>
  </r>
  <r>
    <d v="2026-01-07T00:00:00"/>
    <x v="2"/>
    <x v="0"/>
    <x v="1"/>
    <x v="6"/>
    <x v="20"/>
    <x v="9"/>
    <x v="1"/>
    <n v="0"/>
  </r>
  <r>
    <d v="2026-01-07T00:00:00"/>
    <x v="2"/>
    <x v="0"/>
    <x v="1"/>
    <x v="6"/>
    <x v="21"/>
    <x v="9"/>
    <x v="1"/>
    <n v="0"/>
  </r>
  <r>
    <d v="2026-01-07T00:00:00"/>
    <x v="2"/>
    <x v="0"/>
    <x v="1"/>
    <x v="6"/>
    <x v="25"/>
    <x v="2"/>
    <x v="1"/>
    <n v="0"/>
  </r>
  <r>
    <d v="2026-01-07T00:00:00"/>
    <x v="2"/>
    <x v="0"/>
    <x v="1"/>
    <x v="6"/>
    <x v="0"/>
    <x v="0"/>
    <x v="0"/>
    <n v="8963568000"/>
  </r>
  <r>
    <d v="2026-01-07T00:00:00"/>
    <x v="2"/>
    <x v="0"/>
    <x v="1"/>
    <x v="6"/>
    <x v="7"/>
    <x v="7"/>
    <x v="4"/>
    <n v="353176049"/>
  </r>
  <r>
    <d v="2026-01-07T00:00:00"/>
    <x v="2"/>
    <x v="0"/>
    <x v="1"/>
    <x v="6"/>
    <x v="1"/>
    <x v="1"/>
    <x v="1"/>
    <n v="21000000"/>
  </r>
  <r>
    <d v="2026-01-07T00:00:00"/>
    <x v="2"/>
    <x v="0"/>
    <x v="1"/>
    <x v="6"/>
    <x v="6"/>
    <x v="6"/>
    <x v="0"/>
    <n v="58000000"/>
  </r>
  <r>
    <d v="2026-01-07T00:00:00"/>
    <x v="2"/>
    <x v="0"/>
    <x v="1"/>
    <x v="6"/>
    <x v="18"/>
    <x v="15"/>
    <x v="1"/>
    <n v="834840000"/>
  </r>
  <r>
    <d v="2026-01-07T00:00:00"/>
    <x v="2"/>
    <x v="0"/>
    <x v="1"/>
    <x v="6"/>
    <x v="29"/>
    <x v="20"/>
    <x v="0"/>
    <n v="342360000"/>
  </r>
  <r>
    <d v="2026-01-07T00:00:00"/>
    <x v="2"/>
    <x v="0"/>
    <x v="1"/>
    <x v="6"/>
    <x v="19"/>
    <x v="12"/>
    <x v="4"/>
    <n v="549040339"/>
  </r>
  <r>
    <d v="2026-01-07T00:00:00"/>
    <x v="2"/>
    <x v="0"/>
    <x v="1"/>
    <x v="6"/>
    <x v="24"/>
    <x v="18"/>
    <x v="1"/>
    <n v="3067300000"/>
  </r>
  <r>
    <d v="2026-01-07T00:00:00"/>
    <x v="2"/>
    <x v="0"/>
    <x v="1"/>
    <x v="6"/>
    <x v="30"/>
    <x v="21"/>
    <x v="0"/>
    <n v="0"/>
  </r>
  <r>
    <d v="2026-01-08T00:00:00"/>
    <x v="2"/>
    <x v="0"/>
    <x v="1"/>
    <x v="7"/>
    <x v="3"/>
    <x v="3"/>
    <x v="1"/>
    <n v="629100000"/>
  </r>
  <r>
    <d v="2026-01-08T00:00:00"/>
    <x v="2"/>
    <x v="0"/>
    <x v="1"/>
    <x v="7"/>
    <x v="11"/>
    <x v="10"/>
    <x v="4"/>
    <n v="362697536"/>
  </r>
  <r>
    <d v="2026-01-08T00:00:00"/>
    <x v="2"/>
    <x v="0"/>
    <x v="1"/>
    <x v="7"/>
    <x v="12"/>
    <x v="11"/>
    <x v="1"/>
    <n v="16104980000"/>
  </r>
  <r>
    <d v="2026-01-08T00:00:00"/>
    <x v="2"/>
    <x v="0"/>
    <x v="1"/>
    <x v="7"/>
    <x v="5"/>
    <x v="5"/>
    <x v="3"/>
    <n v="1916907273"/>
  </r>
  <r>
    <d v="2026-01-08T00:00:00"/>
    <x v="2"/>
    <x v="0"/>
    <x v="1"/>
    <x v="7"/>
    <x v="27"/>
    <x v="19"/>
    <x v="0"/>
    <n v="12846708000"/>
  </r>
  <r>
    <d v="2026-01-08T00:00:00"/>
    <x v="2"/>
    <x v="0"/>
    <x v="1"/>
    <x v="7"/>
    <x v="15"/>
    <x v="14"/>
    <x v="4"/>
    <n v="9450519"/>
  </r>
  <r>
    <d v="2026-01-08T00:00:00"/>
    <x v="2"/>
    <x v="0"/>
    <x v="1"/>
    <x v="7"/>
    <x v="31"/>
    <x v="22"/>
    <x v="1"/>
    <n v="0"/>
  </r>
  <r>
    <d v="2026-01-08T00:00:00"/>
    <x v="2"/>
    <x v="0"/>
    <x v="1"/>
    <x v="7"/>
    <x v="14"/>
    <x v="13"/>
    <x v="1"/>
    <n v="4705700000"/>
  </r>
  <r>
    <d v="2026-01-08T00:00:00"/>
    <x v="2"/>
    <x v="0"/>
    <x v="1"/>
    <x v="7"/>
    <x v="33"/>
    <x v="13"/>
    <x v="1"/>
    <n v="273540000"/>
  </r>
  <r>
    <d v="2026-01-08T00:00:00"/>
    <x v="2"/>
    <x v="0"/>
    <x v="1"/>
    <x v="7"/>
    <x v="23"/>
    <x v="17"/>
    <x v="4"/>
    <n v="23569375"/>
  </r>
  <r>
    <d v="2026-01-08T00:00:00"/>
    <x v="2"/>
    <x v="0"/>
    <x v="1"/>
    <x v="7"/>
    <x v="28"/>
    <x v="17"/>
    <x v="4"/>
    <n v="1473516434"/>
  </r>
  <r>
    <d v="2026-01-08T00:00:00"/>
    <x v="2"/>
    <x v="0"/>
    <x v="1"/>
    <x v="7"/>
    <x v="8"/>
    <x v="8"/>
    <x v="1"/>
    <n v="0"/>
  </r>
  <r>
    <d v="2026-01-08T00:00:00"/>
    <x v="2"/>
    <x v="0"/>
    <x v="1"/>
    <x v="7"/>
    <x v="26"/>
    <x v="16"/>
    <x v="1"/>
    <n v="169250000"/>
  </r>
  <r>
    <d v="2026-01-08T00:00:00"/>
    <x v="2"/>
    <x v="0"/>
    <x v="1"/>
    <x v="7"/>
    <x v="32"/>
    <x v="16"/>
    <x v="1"/>
    <n v="0"/>
  </r>
  <r>
    <d v="2026-01-08T00:00:00"/>
    <x v="2"/>
    <x v="0"/>
    <x v="1"/>
    <x v="7"/>
    <x v="2"/>
    <x v="2"/>
    <x v="1"/>
    <n v="16591150000"/>
  </r>
  <r>
    <d v="2026-01-08T00:00:00"/>
    <x v="2"/>
    <x v="0"/>
    <x v="1"/>
    <x v="7"/>
    <x v="17"/>
    <x v="9"/>
    <x v="1"/>
    <n v="0"/>
  </r>
  <r>
    <d v="2026-01-08T00:00:00"/>
    <x v="2"/>
    <x v="0"/>
    <x v="1"/>
    <x v="7"/>
    <x v="20"/>
    <x v="9"/>
    <x v="1"/>
    <n v="0"/>
  </r>
  <r>
    <d v="2026-01-08T00:00:00"/>
    <x v="2"/>
    <x v="0"/>
    <x v="1"/>
    <x v="7"/>
    <x v="21"/>
    <x v="9"/>
    <x v="1"/>
    <n v="0"/>
  </r>
  <r>
    <d v="2026-01-08T00:00:00"/>
    <x v="2"/>
    <x v="0"/>
    <x v="1"/>
    <x v="7"/>
    <x v="25"/>
    <x v="2"/>
    <x v="1"/>
    <n v="30000000"/>
  </r>
  <r>
    <d v="2026-01-08T00:00:00"/>
    <x v="2"/>
    <x v="0"/>
    <x v="1"/>
    <x v="7"/>
    <x v="0"/>
    <x v="0"/>
    <x v="0"/>
    <n v="9084420000"/>
  </r>
  <r>
    <d v="2026-01-08T00:00:00"/>
    <x v="2"/>
    <x v="0"/>
    <x v="1"/>
    <x v="7"/>
    <x v="7"/>
    <x v="7"/>
    <x v="4"/>
    <n v="255609922"/>
  </r>
  <r>
    <d v="2026-01-08T00:00:00"/>
    <x v="2"/>
    <x v="0"/>
    <x v="1"/>
    <x v="7"/>
    <x v="1"/>
    <x v="1"/>
    <x v="1"/>
    <n v="13650000"/>
  </r>
  <r>
    <d v="2026-01-08T00:00:00"/>
    <x v="2"/>
    <x v="0"/>
    <x v="1"/>
    <x v="7"/>
    <x v="6"/>
    <x v="6"/>
    <x v="0"/>
    <n v="55000000"/>
  </r>
  <r>
    <d v="2026-01-08T00:00:00"/>
    <x v="2"/>
    <x v="0"/>
    <x v="1"/>
    <x v="7"/>
    <x v="18"/>
    <x v="15"/>
    <x v="1"/>
    <n v="1366680000"/>
  </r>
  <r>
    <d v="2026-01-08T00:00:00"/>
    <x v="2"/>
    <x v="0"/>
    <x v="1"/>
    <x v="7"/>
    <x v="29"/>
    <x v="20"/>
    <x v="0"/>
    <n v="256608000"/>
  </r>
  <r>
    <d v="2026-01-08T00:00:00"/>
    <x v="2"/>
    <x v="0"/>
    <x v="1"/>
    <x v="7"/>
    <x v="19"/>
    <x v="12"/>
    <x v="4"/>
    <n v="453725331"/>
  </r>
  <r>
    <d v="2026-01-08T00:00:00"/>
    <x v="2"/>
    <x v="0"/>
    <x v="1"/>
    <x v="7"/>
    <x v="24"/>
    <x v="18"/>
    <x v="1"/>
    <n v="3093570000"/>
  </r>
  <r>
    <d v="2026-01-08T00:00:00"/>
    <x v="2"/>
    <x v="0"/>
    <x v="1"/>
    <x v="7"/>
    <x v="30"/>
    <x v="21"/>
    <x v="0"/>
    <n v="0"/>
  </r>
  <r>
    <d v="2026-01-09T00:00:00"/>
    <x v="2"/>
    <x v="0"/>
    <x v="1"/>
    <x v="8"/>
    <x v="3"/>
    <x v="3"/>
    <x v="1"/>
    <n v="624200000"/>
  </r>
  <r>
    <d v="2026-01-09T00:00:00"/>
    <x v="2"/>
    <x v="0"/>
    <x v="1"/>
    <x v="8"/>
    <x v="11"/>
    <x v="10"/>
    <x v="4"/>
    <n v="411172583"/>
  </r>
  <r>
    <d v="2026-01-09T00:00:00"/>
    <x v="2"/>
    <x v="0"/>
    <x v="1"/>
    <x v="8"/>
    <x v="12"/>
    <x v="11"/>
    <x v="1"/>
    <n v="15186380000"/>
  </r>
  <r>
    <d v="2026-01-09T00:00:00"/>
    <x v="2"/>
    <x v="0"/>
    <x v="1"/>
    <x v="8"/>
    <x v="5"/>
    <x v="5"/>
    <x v="3"/>
    <n v="2266891336"/>
  </r>
  <r>
    <d v="2026-01-09T00:00:00"/>
    <x v="2"/>
    <x v="0"/>
    <x v="1"/>
    <x v="8"/>
    <x v="27"/>
    <x v="19"/>
    <x v="0"/>
    <n v="14657868000"/>
  </r>
  <r>
    <d v="2026-01-09T00:00:00"/>
    <x v="2"/>
    <x v="0"/>
    <x v="1"/>
    <x v="8"/>
    <x v="15"/>
    <x v="14"/>
    <x v="4"/>
    <n v="9349726"/>
  </r>
  <r>
    <d v="2026-01-09T00:00:00"/>
    <x v="2"/>
    <x v="0"/>
    <x v="1"/>
    <x v="8"/>
    <x v="31"/>
    <x v="22"/>
    <x v="1"/>
    <n v="90000000"/>
  </r>
  <r>
    <d v="2026-01-09T00:00:00"/>
    <x v="2"/>
    <x v="0"/>
    <x v="1"/>
    <x v="8"/>
    <x v="14"/>
    <x v="13"/>
    <x v="1"/>
    <n v="4831450000"/>
  </r>
  <r>
    <d v="2026-01-09T00:00:00"/>
    <x v="2"/>
    <x v="0"/>
    <x v="1"/>
    <x v="8"/>
    <x v="33"/>
    <x v="13"/>
    <x v="1"/>
    <n v="436840000"/>
  </r>
  <r>
    <d v="2026-01-09T00:00:00"/>
    <x v="2"/>
    <x v="0"/>
    <x v="1"/>
    <x v="8"/>
    <x v="23"/>
    <x v="17"/>
    <x v="4"/>
    <n v="23417180"/>
  </r>
  <r>
    <d v="2026-01-09T00:00:00"/>
    <x v="2"/>
    <x v="0"/>
    <x v="1"/>
    <x v="8"/>
    <x v="28"/>
    <x v="17"/>
    <x v="4"/>
    <n v="1828275122"/>
  </r>
  <r>
    <d v="2026-01-09T00:00:00"/>
    <x v="2"/>
    <x v="0"/>
    <x v="1"/>
    <x v="8"/>
    <x v="8"/>
    <x v="8"/>
    <x v="1"/>
    <n v="0"/>
  </r>
  <r>
    <d v="2026-01-09T00:00:00"/>
    <x v="2"/>
    <x v="0"/>
    <x v="1"/>
    <x v="8"/>
    <x v="26"/>
    <x v="16"/>
    <x v="1"/>
    <n v="123750000"/>
  </r>
  <r>
    <d v="2026-01-09T00:00:00"/>
    <x v="2"/>
    <x v="0"/>
    <x v="1"/>
    <x v="8"/>
    <x v="32"/>
    <x v="16"/>
    <x v="1"/>
    <n v="0"/>
  </r>
  <r>
    <d v="2026-01-09T00:00:00"/>
    <x v="2"/>
    <x v="0"/>
    <x v="1"/>
    <x v="8"/>
    <x v="2"/>
    <x v="2"/>
    <x v="1"/>
    <n v="17271450000"/>
  </r>
  <r>
    <d v="2026-01-09T00:00:00"/>
    <x v="2"/>
    <x v="0"/>
    <x v="1"/>
    <x v="8"/>
    <x v="17"/>
    <x v="9"/>
    <x v="1"/>
    <n v="0"/>
  </r>
  <r>
    <d v="2026-01-09T00:00:00"/>
    <x v="2"/>
    <x v="0"/>
    <x v="1"/>
    <x v="8"/>
    <x v="20"/>
    <x v="9"/>
    <x v="1"/>
    <n v="0"/>
  </r>
  <r>
    <d v="2026-01-09T00:00:00"/>
    <x v="2"/>
    <x v="0"/>
    <x v="1"/>
    <x v="8"/>
    <x v="21"/>
    <x v="9"/>
    <x v="1"/>
    <n v="0"/>
  </r>
  <r>
    <d v="2026-01-09T00:00:00"/>
    <x v="2"/>
    <x v="0"/>
    <x v="1"/>
    <x v="8"/>
    <x v="25"/>
    <x v="2"/>
    <x v="1"/>
    <n v="0"/>
  </r>
  <r>
    <d v="2026-01-09T00:00:00"/>
    <x v="2"/>
    <x v="0"/>
    <x v="1"/>
    <x v="8"/>
    <x v="0"/>
    <x v="0"/>
    <x v="0"/>
    <n v="11633004000"/>
  </r>
  <r>
    <d v="2026-01-09T00:00:00"/>
    <x v="2"/>
    <x v="0"/>
    <x v="1"/>
    <x v="8"/>
    <x v="7"/>
    <x v="7"/>
    <x v="4"/>
    <n v="242206144"/>
  </r>
  <r>
    <d v="2026-01-09T00:00:00"/>
    <x v="2"/>
    <x v="0"/>
    <x v="1"/>
    <x v="8"/>
    <x v="1"/>
    <x v="1"/>
    <x v="1"/>
    <n v="20000000"/>
  </r>
  <r>
    <d v="2026-01-09T00:00:00"/>
    <x v="2"/>
    <x v="0"/>
    <x v="1"/>
    <x v="8"/>
    <x v="6"/>
    <x v="6"/>
    <x v="0"/>
    <n v="62000000"/>
  </r>
  <r>
    <d v="2026-01-09T00:00:00"/>
    <x v="2"/>
    <x v="0"/>
    <x v="1"/>
    <x v="8"/>
    <x v="18"/>
    <x v="15"/>
    <x v="1"/>
    <n v="1187210000"/>
  </r>
  <r>
    <d v="2026-01-09T00:00:00"/>
    <x v="2"/>
    <x v="0"/>
    <x v="1"/>
    <x v="8"/>
    <x v="29"/>
    <x v="20"/>
    <x v="0"/>
    <n v="366012000"/>
  </r>
  <r>
    <d v="2026-01-09T00:00:00"/>
    <x v="2"/>
    <x v="0"/>
    <x v="1"/>
    <x v="8"/>
    <x v="19"/>
    <x v="12"/>
    <x v="4"/>
    <n v="495946678"/>
  </r>
  <r>
    <d v="2026-01-09T00:00:00"/>
    <x v="2"/>
    <x v="0"/>
    <x v="1"/>
    <x v="8"/>
    <x v="24"/>
    <x v="18"/>
    <x v="1"/>
    <n v="3845520000"/>
  </r>
  <r>
    <d v="2026-01-09T00:00:00"/>
    <x v="2"/>
    <x v="0"/>
    <x v="1"/>
    <x v="8"/>
    <x v="30"/>
    <x v="21"/>
    <x v="0"/>
    <n v="0"/>
  </r>
  <r>
    <d v="2026-01-10T00:00:00"/>
    <x v="2"/>
    <x v="0"/>
    <x v="1"/>
    <x v="9"/>
    <x v="3"/>
    <x v="3"/>
    <x v="1"/>
    <n v="874400000"/>
  </r>
  <r>
    <d v="2026-01-10T00:00:00"/>
    <x v="2"/>
    <x v="0"/>
    <x v="1"/>
    <x v="9"/>
    <x v="11"/>
    <x v="10"/>
    <x v="4"/>
    <n v="419055212"/>
  </r>
  <r>
    <d v="2026-01-10T00:00:00"/>
    <x v="2"/>
    <x v="0"/>
    <x v="1"/>
    <x v="9"/>
    <x v="12"/>
    <x v="11"/>
    <x v="1"/>
    <n v="17945200000"/>
  </r>
  <r>
    <d v="2026-01-10T00:00:00"/>
    <x v="2"/>
    <x v="0"/>
    <x v="1"/>
    <x v="9"/>
    <x v="5"/>
    <x v="5"/>
    <x v="3"/>
    <n v="2345771913"/>
  </r>
  <r>
    <d v="2026-01-10T00:00:00"/>
    <x v="2"/>
    <x v="0"/>
    <x v="1"/>
    <x v="9"/>
    <x v="27"/>
    <x v="19"/>
    <x v="0"/>
    <n v="15563340000"/>
  </r>
  <r>
    <d v="2026-01-10T00:00:00"/>
    <x v="2"/>
    <x v="0"/>
    <x v="1"/>
    <x v="9"/>
    <x v="15"/>
    <x v="14"/>
    <x v="4"/>
    <n v="13061172"/>
  </r>
  <r>
    <d v="2026-01-10T00:00:00"/>
    <x v="2"/>
    <x v="0"/>
    <x v="1"/>
    <x v="9"/>
    <x v="31"/>
    <x v="22"/>
    <x v="1"/>
    <n v="90000000"/>
  </r>
  <r>
    <d v="2026-01-10T00:00:00"/>
    <x v="2"/>
    <x v="0"/>
    <x v="1"/>
    <x v="9"/>
    <x v="14"/>
    <x v="13"/>
    <x v="1"/>
    <n v="5429640000"/>
  </r>
  <r>
    <d v="2026-01-10T00:00:00"/>
    <x v="2"/>
    <x v="0"/>
    <x v="1"/>
    <x v="9"/>
    <x v="33"/>
    <x v="13"/>
    <x v="1"/>
    <n v="1155630000"/>
  </r>
  <r>
    <d v="2026-01-10T00:00:00"/>
    <x v="2"/>
    <x v="0"/>
    <x v="1"/>
    <x v="9"/>
    <x v="23"/>
    <x v="17"/>
    <x v="4"/>
    <n v="16535474"/>
  </r>
  <r>
    <d v="2026-01-10T00:00:00"/>
    <x v="2"/>
    <x v="0"/>
    <x v="1"/>
    <x v="9"/>
    <x v="28"/>
    <x v="17"/>
    <x v="4"/>
    <n v="1830713937"/>
  </r>
  <r>
    <d v="2026-01-10T00:00:00"/>
    <x v="2"/>
    <x v="0"/>
    <x v="1"/>
    <x v="9"/>
    <x v="8"/>
    <x v="8"/>
    <x v="1"/>
    <n v="0"/>
  </r>
  <r>
    <d v="2026-01-10T00:00:00"/>
    <x v="2"/>
    <x v="0"/>
    <x v="1"/>
    <x v="9"/>
    <x v="26"/>
    <x v="16"/>
    <x v="1"/>
    <n v="167000000"/>
  </r>
  <r>
    <d v="2026-01-10T00:00:00"/>
    <x v="2"/>
    <x v="0"/>
    <x v="1"/>
    <x v="9"/>
    <x v="32"/>
    <x v="16"/>
    <x v="1"/>
    <n v="0"/>
  </r>
  <r>
    <d v="2026-01-10T00:00:00"/>
    <x v="2"/>
    <x v="0"/>
    <x v="1"/>
    <x v="9"/>
    <x v="2"/>
    <x v="2"/>
    <x v="1"/>
    <n v="17764830000"/>
  </r>
  <r>
    <d v="2026-01-10T00:00:00"/>
    <x v="2"/>
    <x v="0"/>
    <x v="1"/>
    <x v="9"/>
    <x v="17"/>
    <x v="9"/>
    <x v="1"/>
    <n v="0"/>
  </r>
  <r>
    <d v="2026-01-10T00:00:00"/>
    <x v="2"/>
    <x v="0"/>
    <x v="1"/>
    <x v="9"/>
    <x v="20"/>
    <x v="9"/>
    <x v="1"/>
    <n v="0"/>
  </r>
  <r>
    <d v="2026-01-10T00:00:00"/>
    <x v="2"/>
    <x v="0"/>
    <x v="1"/>
    <x v="9"/>
    <x v="21"/>
    <x v="9"/>
    <x v="1"/>
    <n v="0"/>
  </r>
  <r>
    <d v="2026-01-10T00:00:00"/>
    <x v="2"/>
    <x v="0"/>
    <x v="1"/>
    <x v="9"/>
    <x v="25"/>
    <x v="2"/>
    <x v="1"/>
    <n v="0"/>
  </r>
  <r>
    <d v="2026-01-10T00:00:00"/>
    <x v="2"/>
    <x v="0"/>
    <x v="1"/>
    <x v="9"/>
    <x v="0"/>
    <x v="0"/>
    <x v="0"/>
    <n v="12705660000"/>
  </r>
  <r>
    <d v="2026-01-10T00:00:00"/>
    <x v="2"/>
    <x v="0"/>
    <x v="1"/>
    <x v="9"/>
    <x v="7"/>
    <x v="7"/>
    <x v="4"/>
    <n v="283128611"/>
  </r>
  <r>
    <d v="2026-01-10T00:00:00"/>
    <x v="2"/>
    <x v="0"/>
    <x v="1"/>
    <x v="9"/>
    <x v="1"/>
    <x v="1"/>
    <x v="1"/>
    <n v="0"/>
  </r>
  <r>
    <d v="2026-01-10T00:00:00"/>
    <x v="2"/>
    <x v="0"/>
    <x v="1"/>
    <x v="9"/>
    <x v="6"/>
    <x v="6"/>
    <x v="0"/>
    <n v="33000000"/>
  </r>
  <r>
    <d v="2026-01-10T00:00:00"/>
    <x v="2"/>
    <x v="0"/>
    <x v="1"/>
    <x v="9"/>
    <x v="18"/>
    <x v="15"/>
    <x v="1"/>
    <n v="1187970000"/>
  </r>
  <r>
    <d v="2026-01-10T00:00:00"/>
    <x v="2"/>
    <x v="0"/>
    <x v="1"/>
    <x v="9"/>
    <x v="29"/>
    <x v="20"/>
    <x v="0"/>
    <n v="330588000"/>
  </r>
  <r>
    <d v="2026-01-10T00:00:00"/>
    <x v="2"/>
    <x v="0"/>
    <x v="1"/>
    <x v="9"/>
    <x v="19"/>
    <x v="12"/>
    <x v="4"/>
    <n v="450017217"/>
  </r>
  <r>
    <d v="2026-01-10T00:00:00"/>
    <x v="2"/>
    <x v="0"/>
    <x v="1"/>
    <x v="9"/>
    <x v="24"/>
    <x v="18"/>
    <x v="1"/>
    <n v="4185160000"/>
  </r>
  <r>
    <d v="2026-01-10T00:00:00"/>
    <x v="2"/>
    <x v="0"/>
    <x v="1"/>
    <x v="9"/>
    <x v="30"/>
    <x v="21"/>
    <x v="0"/>
    <n v="0"/>
  </r>
  <r>
    <d v="2026-01-11T00:00:00"/>
    <x v="2"/>
    <x v="0"/>
    <x v="1"/>
    <x v="10"/>
    <x v="3"/>
    <x v="3"/>
    <x v="1"/>
    <n v="766700000"/>
  </r>
  <r>
    <d v="2026-01-11T00:00:00"/>
    <x v="2"/>
    <x v="0"/>
    <x v="1"/>
    <x v="10"/>
    <x v="11"/>
    <x v="10"/>
    <x v="4"/>
    <n v="353164484"/>
  </r>
  <r>
    <d v="2026-01-11T00:00:00"/>
    <x v="2"/>
    <x v="0"/>
    <x v="1"/>
    <x v="10"/>
    <x v="12"/>
    <x v="11"/>
    <x v="1"/>
    <n v="13005000000"/>
  </r>
  <r>
    <d v="2026-01-11T00:00:00"/>
    <x v="2"/>
    <x v="0"/>
    <x v="1"/>
    <x v="10"/>
    <x v="5"/>
    <x v="5"/>
    <x v="3"/>
    <n v="1429945439"/>
  </r>
  <r>
    <d v="2026-01-11T00:00:00"/>
    <x v="2"/>
    <x v="0"/>
    <x v="1"/>
    <x v="10"/>
    <x v="27"/>
    <x v="19"/>
    <x v="0"/>
    <n v="12770892000"/>
  </r>
  <r>
    <d v="2026-01-11T00:00:00"/>
    <x v="2"/>
    <x v="0"/>
    <x v="1"/>
    <x v="10"/>
    <x v="15"/>
    <x v="14"/>
    <x v="4"/>
    <n v="2940172"/>
  </r>
  <r>
    <d v="2026-01-11T00:00:00"/>
    <x v="2"/>
    <x v="0"/>
    <x v="1"/>
    <x v="10"/>
    <x v="31"/>
    <x v="22"/>
    <x v="1"/>
    <n v="0"/>
  </r>
  <r>
    <d v="2026-01-11T00:00:00"/>
    <x v="2"/>
    <x v="0"/>
    <x v="1"/>
    <x v="10"/>
    <x v="14"/>
    <x v="13"/>
    <x v="1"/>
    <n v="6696780000"/>
  </r>
  <r>
    <d v="2026-01-11T00:00:00"/>
    <x v="2"/>
    <x v="0"/>
    <x v="1"/>
    <x v="10"/>
    <x v="33"/>
    <x v="13"/>
    <x v="1"/>
    <n v="903520000"/>
  </r>
  <r>
    <d v="2026-01-11T00:00:00"/>
    <x v="2"/>
    <x v="0"/>
    <x v="1"/>
    <x v="10"/>
    <x v="23"/>
    <x v="17"/>
    <x v="4"/>
    <n v="9990512"/>
  </r>
  <r>
    <d v="2026-01-11T00:00:00"/>
    <x v="2"/>
    <x v="0"/>
    <x v="1"/>
    <x v="10"/>
    <x v="28"/>
    <x v="17"/>
    <x v="4"/>
    <n v="1769960093"/>
  </r>
  <r>
    <d v="2026-01-11T00:00:00"/>
    <x v="2"/>
    <x v="0"/>
    <x v="1"/>
    <x v="10"/>
    <x v="8"/>
    <x v="8"/>
    <x v="1"/>
    <n v="0"/>
  </r>
  <r>
    <d v="2026-01-11T00:00:00"/>
    <x v="2"/>
    <x v="0"/>
    <x v="1"/>
    <x v="10"/>
    <x v="26"/>
    <x v="16"/>
    <x v="1"/>
    <n v="35500000"/>
  </r>
  <r>
    <d v="2026-01-11T00:00:00"/>
    <x v="2"/>
    <x v="0"/>
    <x v="1"/>
    <x v="10"/>
    <x v="32"/>
    <x v="16"/>
    <x v="1"/>
    <n v="0"/>
  </r>
  <r>
    <d v="2026-01-11T00:00:00"/>
    <x v="2"/>
    <x v="0"/>
    <x v="1"/>
    <x v="10"/>
    <x v="2"/>
    <x v="2"/>
    <x v="1"/>
    <n v="16862060000"/>
  </r>
  <r>
    <d v="2026-01-11T00:00:00"/>
    <x v="2"/>
    <x v="0"/>
    <x v="1"/>
    <x v="10"/>
    <x v="17"/>
    <x v="9"/>
    <x v="1"/>
    <n v="0"/>
  </r>
  <r>
    <d v="2026-01-11T00:00:00"/>
    <x v="2"/>
    <x v="0"/>
    <x v="1"/>
    <x v="10"/>
    <x v="20"/>
    <x v="9"/>
    <x v="1"/>
    <n v="0"/>
  </r>
  <r>
    <d v="2026-01-11T00:00:00"/>
    <x v="2"/>
    <x v="0"/>
    <x v="1"/>
    <x v="10"/>
    <x v="21"/>
    <x v="9"/>
    <x v="1"/>
    <n v="0"/>
  </r>
  <r>
    <d v="2026-01-11T00:00:00"/>
    <x v="2"/>
    <x v="0"/>
    <x v="1"/>
    <x v="10"/>
    <x v="25"/>
    <x v="2"/>
    <x v="1"/>
    <n v="52000000"/>
  </r>
  <r>
    <d v="2026-01-11T00:00:00"/>
    <x v="2"/>
    <x v="0"/>
    <x v="1"/>
    <x v="10"/>
    <x v="0"/>
    <x v="0"/>
    <x v="0"/>
    <n v="10430424000"/>
  </r>
  <r>
    <d v="2026-01-11T00:00:00"/>
    <x v="2"/>
    <x v="0"/>
    <x v="1"/>
    <x v="10"/>
    <x v="7"/>
    <x v="7"/>
    <x v="4"/>
    <n v="235834390"/>
  </r>
  <r>
    <d v="2026-01-11T00:00:00"/>
    <x v="2"/>
    <x v="0"/>
    <x v="1"/>
    <x v="10"/>
    <x v="1"/>
    <x v="1"/>
    <x v="1"/>
    <n v="0"/>
  </r>
  <r>
    <d v="2026-01-11T00:00:00"/>
    <x v="2"/>
    <x v="0"/>
    <x v="1"/>
    <x v="10"/>
    <x v="6"/>
    <x v="6"/>
    <x v="0"/>
    <n v="61000000"/>
  </r>
  <r>
    <d v="2026-01-11T00:00:00"/>
    <x v="2"/>
    <x v="0"/>
    <x v="1"/>
    <x v="10"/>
    <x v="18"/>
    <x v="15"/>
    <x v="1"/>
    <n v="866630000"/>
  </r>
  <r>
    <d v="2026-01-11T00:00:00"/>
    <x v="2"/>
    <x v="0"/>
    <x v="1"/>
    <x v="10"/>
    <x v="29"/>
    <x v="20"/>
    <x v="0"/>
    <n v="349272000"/>
  </r>
  <r>
    <d v="2026-01-11T00:00:00"/>
    <x v="2"/>
    <x v="0"/>
    <x v="1"/>
    <x v="10"/>
    <x v="19"/>
    <x v="12"/>
    <x v="4"/>
    <n v="327498267"/>
  </r>
  <r>
    <d v="2026-01-11T00:00:00"/>
    <x v="2"/>
    <x v="0"/>
    <x v="1"/>
    <x v="10"/>
    <x v="24"/>
    <x v="18"/>
    <x v="1"/>
    <n v="2842020000"/>
  </r>
  <r>
    <d v="2026-01-11T00:00:00"/>
    <x v="2"/>
    <x v="0"/>
    <x v="1"/>
    <x v="10"/>
    <x v="30"/>
    <x v="21"/>
    <x v="0"/>
    <n v="0"/>
  </r>
  <r>
    <d v="2026-01-12T00:00:00"/>
    <x v="2"/>
    <x v="0"/>
    <x v="2"/>
    <x v="11"/>
    <x v="3"/>
    <x v="3"/>
    <x v="1"/>
    <n v="637250000"/>
  </r>
  <r>
    <d v="2026-01-12T00:00:00"/>
    <x v="2"/>
    <x v="0"/>
    <x v="2"/>
    <x v="11"/>
    <x v="11"/>
    <x v="10"/>
    <x v="4"/>
    <n v="309805537"/>
  </r>
  <r>
    <d v="2026-01-12T00:00:00"/>
    <x v="2"/>
    <x v="0"/>
    <x v="2"/>
    <x v="11"/>
    <x v="12"/>
    <x v="11"/>
    <x v="1"/>
    <n v="16260670000"/>
  </r>
  <r>
    <d v="2026-01-12T00:00:00"/>
    <x v="2"/>
    <x v="0"/>
    <x v="2"/>
    <x v="11"/>
    <x v="5"/>
    <x v="5"/>
    <x v="3"/>
    <n v="1839205761"/>
  </r>
  <r>
    <d v="2026-01-12T00:00:00"/>
    <x v="2"/>
    <x v="0"/>
    <x v="2"/>
    <x v="11"/>
    <x v="27"/>
    <x v="19"/>
    <x v="0"/>
    <n v="14468652000"/>
  </r>
  <r>
    <d v="2026-01-12T00:00:00"/>
    <x v="2"/>
    <x v="0"/>
    <x v="2"/>
    <x v="11"/>
    <x v="15"/>
    <x v="14"/>
    <x v="4"/>
    <n v="13738226"/>
  </r>
  <r>
    <d v="2026-01-12T00:00:00"/>
    <x v="2"/>
    <x v="0"/>
    <x v="2"/>
    <x v="11"/>
    <x v="31"/>
    <x v="22"/>
    <x v="1"/>
    <n v="0"/>
  </r>
  <r>
    <d v="2026-01-12T00:00:00"/>
    <x v="2"/>
    <x v="0"/>
    <x v="2"/>
    <x v="11"/>
    <x v="14"/>
    <x v="13"/>
    <x v="1"/>
    <n v="5302640000"/>
  </r>
  <r>
    <d v="2026-01-12T00:00:00"/>
    <x v="2"/>
    <x v="0"/>
    <x v="2"/>
    <x v="11"/>
    <x v="33"/>
    <x v="13"/>
    <x v="1"/>
    <n v="1020810000"/>
  </r>
  <r>
    <d v="2026-01-12T00:00:00"/>
    <x v="2"/>
    <x v="0"/>
    <x v="2"/>
    <x v="11"/>
    <x v="23"/>
    <x v="17"/>
    <x v="4"/>
    <n v="7776033"/>
  </r>
  <r>
    <d v="2026-01-12T00:00:00"/>
    <x v="2"/>
    <x v="0"/>
    <x v="2"/>
    <x v="11"/>
    <x v="28"/>
    <x v="17"/>
    <x v="4"/>
    <n v="1234948962"/>
  </r>
  <r>
    <d v="2026-01-12T00:00:00"/>
    <x v="2"/>
    <x v="0"/>
    <x v="2"/>
    <x v="11"/>
    <x v="8"/>
    <x v="8"/>
    <x v="1"/>
    <n v="0"/>
  </r>
  <r>
    <d v="2026-01-12T00:00:00"/>
    <x v="2"/>
    <x v="0"/>
    <x v="2"/>
    <x v="11"/>
    <x v="26"/>
    <x v="16"/>
    <x v="1"/>
    <n v="206350000"/>
  </r>
  <r>
    <d v="2026-01-12T00:00:00"/>
    <x v="2"/>
    <x v="0"/>
    <x v="2"/>
    <x v="11"/>
    <x v="32"/>
    <x v="16"/>
    <x v="1"/>
    <n v="92700000"/>
  </r>
  <r>
    <d v="2026-01-12T00:00:00"/>
    <x v="2"/>
    <x v="0"/>
    <x v="2"/>
    <x v="11"/>
    <x v="2"/>
    <x v="2"/>
    <x v="1"/>
    <n v="17873570000"/>
  </r>
  <r>
    <d v="2026-01-12T00:00:00"/>
    <x v="2"/>
    <x v="0"/>
    <x v="2"/>
    <x v="11"/>
    <x v="17"/>
    <x v="9"/>
    <x v="1"/>
    <n v="0"/>
  </r>
  <r>
    <d v="2026-01-12T00:00:00"/>
    <x v="2"/>
    <x v="0"/>
    <x v="2"/>
    <x v="11"/>
    <x v="20"/>
    <x v="9"/>
    <x v="1"/>
    <n v="0"/>
  </r>
  <r>
    <d v="2026-01-12T00:00:00"/>
    <x v="2"/>
    <x v="0"/>
    <x v="2"/>
    <x v="11"/>
    <x v="21"/>
    <x v="9"/>
    <x v="1"/>
    <n v="0"/>
  </r>
  <r>
    <d v="2026-01-12T00:00:00"/>
    <x v="2"/>
    <x v="0"/>
    <x v="2"/>
    <x v="11"/>
    <x v="25"/>
    <x v="2"/>
    <x v="1"/>
    <n v="15000000"/>
  </r>
  <r>
    <d v="2026-01-12T00:00:00"/>
    <x v="2"/>
    <x v="0"/>
    <x v="2"/>
    <x v="11"/>
    <x v="0"/>
    <x v="0"/>
    <x v="0"/>
    <n v="12377988000"/>
  </r>
  <r>
    <d v="2026-01-12T00:00:00"/>
    <x v="2"/>
    <x v="0"/>
    <x v="2"/>
    <x v="11"/>
    <x v="7"/>
    <x v="7"/>
    <x v="4"/>
    <n v="176669832"/>
  </r>
  <r>
    <d v="2026-01-12T00:00:00"/>
    <x v="2"/>
    <x v="0"/>
    <x v="2"/>
    <x v="11"/>
    <x v="1"/>
    <x v="1"/>
    <x v="1"/>
    <n v="10500000"/>
  </r>
  <r>
    <d v="2026-01-12T00:00:00"/>
    <x v="2"/>
    <x v="0"/>
    <x v="2"/>
    <x v="11"/>
    <x v="6"/>
    <x v="6"/>
    <x v="0"/>
    <n v="61000000"/>
  </r>
  <r>
    <d v="2026-01-12T00:00:00"/>
    <x v="2"/>
    <x v="0"/>
    <x v="2"/>
    <x v="11"/>
    <x v="18"/>
    <x v="15"/>
    <x v="1"/>
    <n v="784820000"/>
  </r>
  <r>
    <d v="2026-01-12T00:00:00"/>
    <x v="2"/>
    <x v="0"/>
    <x v="2"/>
    <x v="11"/>
    <x v="29"/>
    <x v="20"/>
    <x v="0"/>
    <n v="260172000"/>
  </r>
  <r>
    <d v="2026-01-12T00:00:00"/>
    <x v="2"/>
    <x v="0"/>
    <x v="2"/>
    <x v="11"/>
    <x v="19"/>
    <x v="12"/>
    <x v="4"/>
    <n v="435769568"/>
  </r>
  <r>
    <d v="2026-01-12T00:00:00"/>
    <x v="2"/>
    <x v="0"/>
    <x v="2"/>
    <x v="11"/>
    <x v="24"/>
    <x v="18"/>
    <x v="1"/>
    <n v="3446350000"/>
  </r>
  <r>
    <d v="2026-01-12T00:00:00"/>
    <x v="2"/>
    <x v="0"/>
    <x v="2"/>
    <x v="11"/>
    <x v="30"/>
    <x v="21"/>
    <x v="0"/>
    <n v="0"/>
  </r>
  <r>
    <d v="2026-01-13T00:00:00"/>
    <x v="2"/>
    <x v="0"/>
    <x v="2"/>
    <x v="12"/>
    <x v="3"/>
    <x v="3"/>
    <x v="1"/>
    <n v="524700000"/>
  </r>
  <r>
    <d v="2026-01-13T00:00:00"/>
    <x v="2"/>
    <x v="0"/>
    <x v="2"/>
    <x v="12"/>
    <x v="11"/>
    <x v="10"/>
    <x v="4"/>
    <n v="336997174"/>
  </r>
  <r>
    <d v="2026-01-13T00:00:00"/>
    <x v="2"/>
    <x v="0"/>
    <x v="2"/>
    <x v="12"/>
    <x v="12"/>
    <x v="11"/>
    <x v="1"/>
    <n v="15261150000"/>
  </r>
  <r>
    <d v="2026-01-13T00:00:00"/>
    <x v="2"/>
    <x v="0"/>
    <x v="2"/>
    <x v="12"/>
    <x v="5"/>
    <x v="5"/>
    <x v="3"/>
    <n v="1824584635"/>
  </r>
  <r>
    <d v="2026-01-13T00:00:00"/>
    <x v="2"/>
    <x v="0"/>
    <x v="2"/>
    <x v="12"/>
    <x v="27"/>
    <x v="19"/>
    <x v="0"/>
    <n v="14995152000"/>
  </r>
  <r>
    <d v="2026-01-13T00:00:00"/>
    <x v="2"/>
    <x v="0"/>
    <x v="2"/>
    <x v="12"/>
    <x v="15"/>
    <x v="14"/>
    <x v="4"/>
    <n v="7889637"/>
  </r>
  <r>
    <d v="2026-01-13T00:00:00"/>
    <x v="2"/>
    <x v="0"/>
    <x v="2"/>
    <x v="12"/>
    <x v="31"/>
    <x v="22"/>
    <x v="1"/>
    <n v="90000000"/>
  </r>
  <r>
    <d v="2026-01-13T00:00:00"/>
    <x v="2"/>
    <x v="0"/>
    <x v="2"/>
    <x v="12"/>
    <x v="14"/>
    <x v="13"/>
    <x v="1"/>
    <n v="5207490000"/>
  </r>
  <r>
    <d v="2026-01-13T00:00:00"/>
    <x v="2"/>
    <x v="0"/>
    <x v="2"/>
    <x v="12"/>
    <x v="33"/>
    <x v="13"/>
    <x v="1"/>
    <n v="1151770000"/>
  </r>
  <r>
    <d v="2026-01-13T00:00:00"/>
    <x v="2"/>
    <x v="0"/>
    <x v="2"/>
    <x v="12"/>
    <x v="23"/>
    <x v="17"/>
    <x v="4"/>
    <n v="614469"/>
  </r>
  <r>
    <d v="2026-01-13T00:00:00"/>
    <x v="2"/>
    <x v="0"/>
    <x v="2"/>
    <x v="12"/>
    <x v="28"/>
    <x v="17"/>
    <x v="4"/>
    <n v="1192411999"/>
  </r>
  <r>
    <d v="2026-01-13T00:00:00"/>
    <x v="2"/>
    <x v="0"/>
    <x v="2"/>
    <x v="12"/>
    <x v="8"/>
    <x v="8"/>
    <x v="1"/>
    <n v="0"/>
  </r>
  <r>
    <d v="2026-01-13T00:00:00"/>
    <x v="2"/>
    <x v="0"/>
    <x v="2"/>
    <x v="12"/>
    <x v="26"/>
    <x v="16"/>
    <x v="1"/>
    <n v="118250000"/>
  </r>
  <r>
    <d v="2026-01-13T00:00:00"/>
    <x v="2"/>
    <x v="0"/>
    <x v="2"/>
    <x v="12"/>
    <x v="32"/>
    <x v="16"/>
    <x v="1"/>
    <n v="0"/>
  </r>
  <r>
    <d v="2026-01-13T00:00:00"/>
    <x v="2"/>
    <x v="0"/>
    <x v="2"/>
    <x v="12"/>
    <x v="2"/>
    <x v="2"/>
    <x v="1"/>
    <n v="17560120000"/>
  </r>
  <r>
    <d v="2026-01-13T00:00:00"/>
    <x v="2"/>
    <x v="0"/>
    <x v="2"/>
    <x v="12"/>
    <x v="17"/>
    <x v="9"/>
    <x v="1"/>
    <n v="0"/>
  </r>
  <r>
    <d v="2026-01-13T00:00:00"/>
    <x v="2"/>
    <x v="0"/>
    <x v="2"/>
    <x v="12"/>
    <x v="20"/>
    <x v="9"/>
    <x v="1"/>
    <n v="0"/>
  </r>
  <r>
    <d v="2026-01-13T00:00:00"/>
    <x v="2"/>
    <x v="0"/>
    <x v="2"/>
    <x v="12"/>
    <x v="21"/>
    <x v="9"/>
    <x v="1"/>
    <n v="0"/>
  </r>
  <r>
    <d v="2026-01-13T00:00:00"/>
    <x v="2"/>
    <x v="0"/>
    <x v="2"/>
    <x v="12"/>
    <x v="25"/>
    <x v="2"/>
    <x v="1"/>
    <n v="0"/>
  </r>
  <r>
    <d v="2026-01-13T00:00:00"/>
    <x v="2"/>
    <x v="0"/>
    <x v="2"/>
    <x v="12"/>
    <x v="0"/>
    <x v="0"/>
    <x v="0"/>
    <n v="12590424000"/>
  </r>
  <r>
    <d v="2026-01-13T00:00:00"/>
    <x v="2"/>
    <x v="0"/>
    <x v="2"/>
    <x v="12"/>
    <x v="7"/>
    <x v="7"/>
    <x v="4"/>
    <n v="205436148"/>
  </r>
  <r>
    <d v="2026-01-13T00:00:00"/>
    <x v="2"/>
    <x v="0"/>
    <x v="2"/>
    <x v="12"/>
    <x v="1"/>
    <x v="1"/>
    <x v="1"/>
    <n v="0"/>
  </r>
  <r>
    <d v="2026-01-13T00:00:00"/>
    <x v="2"/>
    <x v="0"/>
    <x v="2"/>
    <x v="12"/>
    <x v="6"/>
    <x v="6"/>
    <x v="0"/>
    <n v="46000000"/>
  </r>
  <r>
    <d v="2026-01-13T00:00:00"/>
    <x v="2"/>
    <x v="0"/>
    <x v="2"/>
    <x v="12"/>
    <x v="18"/>
    <x v="15"/>
    <x v="1"/>
    <n v="819030000"/>
  </r>
  <r>
    <d v="2026-01-13T00:00:00"/>
    <x v="2"/>
    <x v="0"/>
    <x v="2"/>
    <x v="12"/>
    <x v="29"/>
    <x v="20"/>
    <x v="0"/>
    <n v="350136000"/>
  </r>
  <r>
    <d v="2026-01-13T00:00:00"/>
    <x v="2"/>
    <x v="0"/>
    <x v="2"/>
    <x v="12"/>
    <x v="19"/>
    <x v="12"/>
    <x v="4"/>
    <n v="316939614"/>
  </r>
  <r>
    <d v="2026-01-13T00:00:00"/>
    <x v="2"/>
    <x v="0"/>
    <x v="2"/>
    <x v="12"/>
    <x v="24"/>
    <x v="18"/>
    <x v="1"/>
    <n v="3638570000"/>
  </r>
  <r>
    <d v="2026-01-13T00:00:00"/>
    <x v="2"/>
    <x v="0"/>
    <x v="2"/>
    <x v="12"/>
    <x v="30"/>
    <x v="21"/>
    <x v="0"/>
    <n v="0"/>
  </r>
  <r>
    <d v="2026-01-14T00:00:00"/>
    <x v="2"/>
    <x v="0"/>
    <x v="2"/>
    <x v="13"/>
    <x v="3"/>
    <x v="3"/>
    <x v="1"/>
    <n v="859150000"/>
  </r>
  <r>
    <d v="2026-01-14T00:00:00"/>
    <x v="2"/>
    <x v="0"/>
    <x v="2"/>
    <x v="13"/>
    <x v="11"/>
    <x v="10"/>
    <x v="4"/>
    <n v="297146838"/>
  </r>
  <r>
    <d v="2026-01-14T00:00:00"/>
    <x v="2"/>
    <x v="0"/>
    <x v="2"/>
    <x v="13"/>
    <x v="12"/>
    <x v="11"/>
    <x v="1"/>
    <n v="16768100000"/>
  </r>
  <r>
    <d v="2026-01-14T00:00:00"/>
    <x v="2"/>
    <x v="0"/>
    <x v="2"/>
    <x v="13"/>
    <x v="5"/>
    <x v="5"/>
    <x v="3"/>
    <n v="1884180636"/>
  </r>
  <r>
    <d v="2026-01-14T00:00:00"/>
    <x v="2"/>
    <x v="0"/>
    <x v="2"/>
    <x v="13"/>
    <x v="27"/>
    <x v="19"/>
    <x v="0"/>
    <n v="15209532000"/>
  </r>
  <r>
    <d v="2026-01-14T00:00:00"/>
    <x v="2"/>
    <x v="0"/>
    <x v="2"/>
    <x v="13"/>
    <x v="15"/>
    <x v="14"/>
    <x v="4"/>
    <n v="18555585"/>
  </r>
  <r>
    <d v="2026-01-14T00:00:00"/>
    <x v="2"/>
    <x v="0"/>
    <x v="2"/>
    <x v="13"/>
    <x v="31"/>
    <x v="22"/>
    <x v="1"/>
    <n v="90000000"/>
  </r>
  <r>
    <d v="2026-01-14T00:00:00"/>
    <x v="2"/>
    <x v="0"/>
    <x v="2"/>
    <x v="13"/>
    <x v="14"/>
    <x v="13"/>
    <x v="1"/>
    <n v="4926400000"/>
  </r>
  <r>
    <d v="2026-01-14T00:00:00"/>
    <x v="2"/>
    <x v="0"/>
    <x v="2"/>
    <x v="13"/>
    <x v="33"/>
    <x v="13"/>
    <x v="1"/>
    <n v="806950000"/>
  </r>
  <r>
    <d v="2026-01-14T00:00:00"/>
    <x v="2"/>
    <x v="0"/>
    <x v="2"/>
    <x v="13"/>
    <x v="23"/>
    <x v="17"/>
    <x v="4"/>
    <n v="6735480"/>
  </r>
  <r>
    <d v="2026-01-14T00:00:00"/>
    <x v="2"/>
    <x v="0"/>
    <x v="2"/>
    <x v="13"/>
    <x v="28"/>
    <x v="17"/>
    <x v="4"/>
    <n v="1263613834"/>
  </r>
  <r>
    <d v="2026-01-14T00:00:00"/>
    <x v="2"/>
    <x v="0"/>
    <x v="2"/>
    <x v="13"/>
    <x v="8"/>
    <x v="8"/>
    <x v="1"/>
    <n v="0"/>
  </r>
  <r>
    <d v="2026-01-14T00:00:00"/>
    <x v="2"/>
    <x v="0"/>
    <x v="2"/>
    <x v="13"/>
    <x v="26"/>
    <x v="16"/>
    <x v="1"/>
    <n v="52500000"/>
  </r>
  <r>
    <d v="2026-01-14T00:00:00"/>
    <x v="2"/>
    <x v="0"/>
    <x v="2"/>
    <x v="13"/>
    <x v="32"/>
    <x v="16"/>
    <x v="1"/>
    <n v="0"/>
  </r>
  <r>
    <d v="2026-01-14T00:00:00"/>
    <x v="2"/>
    <x v="0"/>
    <x v="2"/>
    <x v="13"/>
    <x v="2"/>
    <x v="2"/>
    <x v="1"/>
    <n v="18837120000"/>
  </r>
  <r>
    <d v="2026-01-14T00:00:00"/>
    <x v="2"/>
    <x v="0"/>
    <x v="2"/>
    <x v="13"/>
    <x v="17"/>
    <x v="9"/>
    <x v="1"/>
    <n v="0"/>
  </r>
  <r>
    <d v="2026-01-14T00:00:00"/>
    <x v="2"/>
    <x v="0"/>
    <x v="2"/>
    <x v="13"/>
    <x v="20"/>
    <x v="9"/>
    <x v="1"/>
    <n v="0"/>
  </r>
  <r>
    <d v="2026-01-14T00:00:00"/>
    <x v="2"/>
    <x v="0"/>
    <x v="2"/>
    <x v="13"/>
    <x v="21"/>
    <x v="9"/>
    <x v="1"/>
    <n v="0"/>
  </r>
  <r>
    <d v="2026-01-14T00:00:00"/>
    <x v="2"/>
    <x v="0"/>
    <x v="2"/>
    <x v="13"/>
    <x v="25"/>
    <x v="2"/>
    <x v="1"/>
    <n v="0"/>
  </r>
  <r>
    <d v="2026-01-14T00:00:00"/>
    <x v="2"/>
    <x v="0"/>
    <x v="2"/>
    <x v="13"/>
    <x v="0"/>
    <x v="0"/>
    <x v="0"/>
    <n v="12286512000"/>
  </r>
  <r>
    <d v="2026-01-14T00:00:00"/>
    <x v="2"/>
    <x v="0"/>
    <x v="2"/>
    <x v="13"/>
    <x v="7"/>
    <x v="7"/>
    <x v="4"/>
    <n v="200499332"/>
  </r>
  <r>
    <d v="2026-01-14T00:00:00"/>
    <x v="2"/>
    <x v="0"/>
    <x v="2"/>
    <x v="13"/>
    <x v="1"/>
    <x v="1"/>
    <x v="1"/>
    <n v="0"/>
  </r>
  <r>
    <d v="2026-01-14T00:00:00"/>
    <x v="2"/>
    <x v="0"/>
    <x v="2"/>
    <x v="13"/>
    <x v="6"/>
    <x v="6"/>
    <x v="0"/>
    <n v="42000000"/>
  </r>
  <r>
    <d v="2026-01-14T00:00:00"/>
    <x v="2"/>
    <x v="0"/>
    <x v="2"/>
    <x v="13"/>
    <x v="18"/>
    <x v="15"/>
    <x v="1"/>
    <n v="950810000"/>
  </r>
  <r>
    <d v="2026-01-14T00:00:00"/>
    <x v="2"/>
    <x v="0"/>
    <x v="2"/>
    <x v="13"/>
    <x v="29"/>
    <x v="20"/>
    <x v="0"/>
    <n v="318168000"/>
  </r>
  <r>
    <d v="2026-01-14T00:00:00"/>
    <x v="2"/>
    <x v="0"/>
    <x v="2"/>
    <x v="13"/>
    <x v="19"/>
    <x v="12"/>
    <x v="4"/>
    <n v="289060098"/>
  </r>
  <r>
    <d v="2026-01-14T00:00:00"/>
    <x v="2"/>
    <x v="0"/>
    <x v="2"/>
    <x v="13"/>
    <x v="24"/>
    <x v="18"/>
    <x v="1"/>
    <n v="4926380000"/>
  </r>
  <r>
    <d v="2026-01-14T00:00:00"/>
    <x v="2"/>
    <x v="0"/>
    <x v="2"/>
    <x v="13"/>
    <x v="30"/>
    <x v="21"/>
    <x v="0"/>
    <n v="30680000"/>
  </r>
  <r>
    <d v="2026-01-15T00:00:00"/>
    <x v="2"/>
    <x v="0"/>
    <x v="2"/>
    <x v="14"/>
    <x v="3"/>
    <x v="3"/>
    <x v="1"/>
    <n v="610700000"/>
  </r>
  <r>
    <d v="2026-01-15T00:00:00"/>
    <x v="2"/>
    <x v="0"/>
    <x v="2"/>
    <x v="14"/>
    <x v="11"/>
    <x v="10"/>
    <x v="4"/>
    <n v="327953693"/>
  </r>
  <r>
    <d v="2026-01-15T00:00:00"/>
    <x v="2"/>
    <x v="0"/>
    <x v="2"/>
    <x v="14"/>
    <x v="12"/>
    <x v="11"/>
    <x v="1"/>
    <n v="15094390000"/>
  </r>
  <r>
    <d v="2026-01-15T00:00:00"/>
    <x v="2"/>
    <x v="0"/>
    <x v="2"/>
    <x v="14"/>
    <x v="5"/>
    <x v="5"/>
    <x v="3"/>
    <n v="2143775393"/>
  </r>
  <r>
    <d v="2026-01-15T00:00:00"/>
    <x v="2"/>
    <x v="0"/>
    <x v="2"/>
    <x v="14"/>
    <x v="27"/>
    <x v="19"/>
    <x v="0"/>
    <n v="16901244000"/>
  </r>
  <r>
    <d v="2026-01-15T00:00:00"/>
    <x v="2"/>
    <x v="0"/>
    <x v="2"/>
    <x v="14"/>
    <x v="15"/>
    <x v="14"/>
    <x v="4"/>
    <n v="6420589"/>
  </r>
  <r>
    <d v="2026-01-15T00:00:00"/>
    <x v="2"/>
    <x v="0"/>
    <x v="2"/>
    <x v="14"/>
    <x v="31"/>
    <x v="22"/>
    <x v="1"/>
    <n v="90000000"/>
  </r>
  <r>
    <d v="2026-01-15T00:00:00"/>
    <x v="2"/>
    <x v="0"/>
    <x v="2"/>
    <x v="14"/>
    <x v="14"/>
    <x v="13"/>
    <x v="1"/>
    <n v="5129120000"/>
  </r>
  <r>
    <d v="2026-01-15T00:00:00"/>
    <x v="2"/>
    <x v="0"/>
    <x v="2"/>
    <x v="14"/>
    <x v="33"/>
    <x v="13"/>
    <x v="1"/>
    <n v="1194930000"/>
  </r>
  <r>
    <d v="2026-01-15T00:00:00"/>
    <x v="2"/>
    <x v="0"/>
    <x v="2"/>
    <x v="14"/>
    <x v="23"/>
    <x v="17"/>
    <x v="4"/>
    <n v="0"/>
  </r>
  <r>
    <d v="2026-01-15T00:00:00"/>
    <x v="2"/>
    <x v="0"/>
    <x v="2"/>
    <x v="14"/>
    <x v="28"/>
    <x v="17"/>
    <x v="4"/>
    <n v="1131964176"/>
  </r>
  <r>
    <d v="2026-01-15T00:00:00"/>
    <x v="2"/>
    <x v="0"/>
    <x v="2"/>
    <x v="14"/>
    <x v="8"/>
    <x v="8"/>
    <x v="1"/>
    <n v="0"/>
  </r>
  <r>
    <d v="2026-01-15T00:00:00"/>
    <x v="2"/>
    <x v="0"/>
    <x v="2"/>
    <x v="14"/>
    <x v="26"/>
    <x v="16"/>
    <x v="1"/>
    <n v="119250000"/>
  </r>
  <r>
    <d v="2026-01-15T00:00:00"/>
    <x v="2"/>
    <x v="0"/>
    <x v="2"/>
    <x v="14"/>
    <x v="32"/>
    <x v="16"/>
    <x v="1"/>
    <n v="0"/>
  </r>
  <r>
    <d v="2026-01-15T00:00:00"/>
    <x v="2"/>
    <x v="0"/>
    <x v="2"/>
    <x v="14"/>
    <x v="2"/>
    <x v="2"/>
    <x v="1"/>
    <n v="21379720000"/>
  </r>
  <r>
    <d v="2026-01-15T00:00:00"/>
    <x v="2"/>
    <x v="0"/>
    <x v="2"/>
    <x v="14"/>
    <x v="17"/>
    <x v="9"/>
    <x v="1"/>
    <n v="0"/>
  </r>
  <r>
    <d v="2026-01-15T00:00:00"/>
    <x v="2"/>
    <x v="0"/>
    <x v="2"/>
    <x v="14"/>
    <x v="20"/>
    <x v="9"/>
    <x v="1"/>
    <n v="0"/>
  </r>
  <r>
    <d v="2026-01-15T00:00:00"/>
    <x v="2"/>
    <x v="0"/>
    <x v="2"/>
    <x v="14"/>
    <x v="21"/>
    <x v="9"/>
    <x v="1"/>
    <n v="0"/>
  </r>
  <r>
    <d v="2026-01-15T00:00:00"/>
    <x v="2"/>
    <x v="0"/>
    <x v="2"/>
    <x v="14"/>
    <x v="25"/>
    <x v="2"/>
    <x v="1"/>
    <n v="5000000"/>
  </r>
  <r>
    <d v="2026-01-15T00:00:00"/>
    <x v="2"/>
    <x v="0"/>
    <x v="2"/>
    <x v="14"/>
    <x v="0"/>
    <x v="0"/>
    <x v="0"/>
    <n v="14965236000"/>
  </r>
  <r>
    <d v="2026-01-15T00:00:00"/>
    <x v="2"/>
    <x v="0"/>
    <x v="2"/>
    <x v="14"/>
    <x v="7"/>
    <x v="7"/>
    <x v="4"/>
    <n v="179063593"/>
  </r>
  <r>
    <d v="2026-01-15T00:00:00"/>
    <x v="2"/>
    <x v="0"/>
    <x v="2"/>
    <x v="14"/>
    <x v="1"/>
    <x v="1"/>
    <x v="1"/>
    <n v="0"/>
  </r>
  <r>
    <d v="2026-01-15T00:00:00"/>
    <x v="2"/>
    <x v="0"/>
    <x v="2"/>
    <x v="14"/>
    <x v="6"/>
    <x v="6"/>
    <x v="0"/>
    <n v="47000000"/>
  </r>
  <r>
    <d v="2026-01-15T00:00:00"/>
    <x v="2"/>
    <x v="0"/>
    <x v="2"/>
    <x v="14"/>
    <x v="18"/>
    <x v="15"/>
    <x v="1"/>
    <n v="779120000"/>
  </r>
  <r>
    <d v="2026-01-15T00:00:00"/>
    <x v="2"/>
    <x v="0"/>
    <x v="2"/>
    <x v="14"/>
    <x v="29"/>
    <x v="20"/>
    <x v="0"/>
    <n v="371628000"/>
  </r>
  <r>
    <d v="2026-01-15T00:00:00"/>
    <x v="2"/>
    <x v="0"/>
    <x v="2"/>
    <x v="14"/>
    <x v="19"/>
    <x v="12"/>
    <x v="4"/>
    <n v="331278991"/>
  </r>
  <r>
    <d v="2026-01-15T00:00:00"/>
    <x v="2"/>
    <x v="0"/>
    <x v="2"/>
    <x v="14"/>
    <x v="24"/>
    <x v="18"/>
    <x v="1"/>
    <n v="4472290000"/>
  </r>
  <r>
    <d v="2026-01-15T00:00:00"/>
    <x v="2"/>
    <x v="0"/>
    <x v="2"/>
    <x v="14"/>
    <x v="30"/>
    <x v="21"/>
    <x v="0"/>
    <n v="65400000"/>
  </r>
  <r>
    <d v="2026-01-16T00:00:00"/>
    <x v="2"/>
    <x v="0"/>
    <x v="2"/>
    <x v="15"/>
    <x v="3"/>
    <x v="3"/>
    <x v="1"/>
    <n v="556550000"/>
  </r>
  <r>
    <d v="2026-01-16T00:00:00"/>
    <x v="2"/>
    <x v="0"/>
    <x v="2"/>
    <x v="15"/>
    <x v="11"/>
    <x v="10"/>
    <x v="4"/>
    <n v="314366274"/>
  </r>
  <r>
    <d v="2026-01-16T00:00:00"/>
    <x v="2"/>
    <x v="0"/>
    <x v="2"/>
    <x v="15"/>
    <x v="12"/>
    <x v="11"/>
    <x v="1"/>
    <n v="14388060000"/>
  </r>
  <r>
    <d v="2026-01-16T00:00:00"/>
    <x v="2"/>
    <x v="0"/>
    <x v="2"/>
    <x v="15"/>
    <x v="5"/>
    <x v="5"/>
    <x v="3"/>
    <n v="1920746675"/>
  </r>
  <r>
    <d v="2026-01-16T00:00:00"/>
    <x v="2"/>
    <x v="0"/>
    <x v="2"/>
    <x v="15"/>
    <x v="27"/>
    <x v="19"/>
    <x v="0"/>
    <n v="15992100000"/>
  </r>
  <r>
    <d v="2026-01-16T00:00:00"/>
    <x v="2"/>
    <x v="0"/>
    <x v="2"/>
    <x v="15"/>
    <x v="15"/>
    <x v="14"/>
    <x v="4"/>
    <n v="3099595"/>
  </r>
  <r>
    <d v="2026-01-16T00:00:00"/>
    <x v="2"/>
    <x v="0"/>
    <x v="2"/>
    <x v="15"/>
    <x v="31"/>
    <x v="22"/>
    <x v="1"/>
    <n v="0"/>
  </r>
  <r>
    <d v="2026-01-16T00:00:00"/>
    <x v="2"/>
    <x v="0"/>
    <x v="2"/>
    <x v="15"/>
    <x v="14"/>
    <x v="13"/>
    <x v="1"/>
    <n v="5001780000"/>
  </r>
  <r>
    <d v="2026-01-16T00:00:00"/>
    <x v="2"/>
    <x v="0"/>
    <x v="2"/>
    <x v="15"/>
    <x v="33"/>
    <x v="13"/>
    <x v="1"/>
    <n v="1050880000"/>
  </r>
  <r>
    <d v="2026-01-16T00:00:00"/>
    <x v="2"/>
    <x v="0"/>
    <x v="2"/>
    <x v="15"/>
    <x v="23"/>
    <x v="17"/>
    <x v="4"/>
    <n v="27792265"/>
  </r>
  <r>
    <d v="2026-01-16T00:00:00"/>
    <x v="2"/>
    <x v="0"/>
    <x v="2"/>
    <x v="15"/>
    <x v="28"/>
    <x v="17"/>
    <x v="4"/>
    <n v="1266531980"/>
  </r>
  <r>
    <d v="2026-01-16T00:00:00"/>
    <x v="2"/>
    <x v="0"/>
    <x v="2"/>
    <x v="15"/>
    <x v="8"/>
    <x v="8"/>
    <x v="1"/>
    <n v="0"/>
  </r>
  <r>
    <d v="2026-01-16T00:00:00"/>
    <x v="2"/>
    <x v="0"/>
    <x v="2"/>
    <x v="15"/>
    <x v="26"/>
    <x v="16"/>
    <x v="1"/>
    <n v="171000000"/>
  </r>
  <r>
    <d v="2026-01-16T00:00:00"/>
    <x v="2"/>
    <x v="0"/>
    <x v="2"/>
    <x v="15"/>
    <x v="32"/>
    <x v="16"/>
    <x v="1"/>
    <n v="92700000"/>
  </r>
  <r>
    <d v="2026-01-16T00:00:00"/>
    <x v="2"/>
    <x v="0"/>
    <x v="2"/>
    <x v="15"/>
    <x v="2"/>
    <x v="2"/>
    <x v="1"/>
    <n v="17466520000"/>
  </r>
  <r>
    <d v="2026-01-16T00:00:00"/>
    <x v="2"/>
    <x v="0"/>
    <x v="2"/>
    <x v="15"/>
    <x v="17"/>
    <x v="9"/>
    <x v="1"/>
    <n v="0"/>
  </r>
  <r>
    <d v="2026-01-16T00:00:00"/>
    <x v="2"/>
    <x v="0"/>
    <x v="2"/>
    <x v="15"/>
    <x v="20"/>
    <x v="9"/>
    <x v="1"/>
    <n v="0"/>
  </r>
  <r>
    <d v="2026-01-16T00:00:00"/>
    <x v="2"/>
    <x v="0"/>
    <x v="2"/>
    <x v="15"/>
    <x v="21"/>
    <x v="9"/>
    <x v="1"/>
    <n v="0"/>
  </r>
  <r>
    <d v="2026-01-16T00:00:00"/>
    <x v="2"/>
    <x v="0"/>
    <x v="2"/>
    <x v="15"/>
    <x v="25"/>
    <x v="2"/>
    <x v="1"/>
    <n v="0"/>
  </r>
  <r>
    <d v="2026-01-16T00:00:00"/>
    <x v="2"/>
    <x v="0"/>
    <x v="2"/>
    <x v="15"/>
    <x v="0"/>
    <x v="0"/>
    <x v="0"/>
    <n v="13843440000"/>
  </r>
  <r>
    <d v="2026-01-16T00:00:00"/>
    <x v="2"/>
    <x v="0"/>
    <x v="2"/>
    <x v="15"/>
    <x v="7"/>
    <x v="7"/>
    <x v="4"/>
    <n v="181486423"/>
  </r>
  <r>
    <d v="2026-01-16T00:00:00"/>
    <x v="2"/>
    <x v="0"/>
    <x v="2"/>
    <x v="15"/>
    <x v="1"/>
    <x v="1"/>
    <x v="1"/>
    <n v="0"/>
  </r>
  <r>
    <d v="2026-01-16T00:00:00"/>
    <x v="2"/>
    <x v="0"/>
    <x v="2"/>
    <x v="15"/>
    <x v="6"/>
    <x v="6"/>
    <x v="0"/>
    <n v="34000000"/>
  </r>
  <r>
    <d v="2026-01-16T00:00:00"/>
    <x v="2"/>
    <x v="0"/>
    <x v="2"/>
    <x v="15"/>
    <x v="18"/>
    <x v="15"/>
    <x v="1"/>
    <n v="839430000"/>
  </r>
  <r>
    <d v="2026-01-16T00:00:00"/>
    <x v="2"/>
    <x v="0"/>
    <x v="2"/>
    <x v="15"/>
    <x v="29"/>
    <x v="20"/>
    <x v="0"/>
    <n v="458244000"/>
  </r>
  <r>
    <d v="2026-01-16T00:00:00"/>
    <x v="2"/>
    <x v="0"/>
    <x v="2"/>
    <x v="15"/>
    <x v="19"/>
    <x v="12"/>
    <x v="4"/>
    <n v="225373610"/>
  </r>
  <r>
    <d v="2026-01-16T00:00:00"/>
    <x v="2"/>
    <x v="0"/>
    <x v="2"/>
    <x v="15"/>
    <x v="24"/>
    <x v="18"/>
    <x v="1"/>
    <n v="3781010000"/>
  </r>
  <r>
    <d v="2026-01-16T00:00:00"/>
    <x v="2"/>
    <x v="0"/>
    <x v="2"/>
    <x v="15"/>
    <x v="30"/>
    <x v="21"/>
    <x v="0"/>
    <n v="143680000"/>
  </r>
  <r>
    <d v="2026-01-17T00:00:00"/>
    <x v="2"/>
    <x v="0"/>
    <x v="2"/>
    <x v="16"/>
    <x v="3"/>
    <x v="3"/>
    <x v="1"/>
    <n v="763750000"/>
  </r>
  <r>
    <d v="2026-01-17T00:00:00"/>
    <x v="2"/>
    <x v="0"/>
    <x v="2"/>
    <x v="16"/>
    <x v="11"/>
    <x v="10"/>
    <x v="4"/>
    <n v="315997649"/>
  </r>
  <r>
    <d v="2026-01-17T00:00:00"/>
    <x v="2"/>
    <x v="0"/>
    <x v="2"/>
    <x v="16"/>
    <x v="12"/>
    <x v="11"/>
    <x v="1"/>
    <n v="12375720000"/>
  </r>
  <r>
    <d v="2026-01-17T00:00:00"/>
    <x v="2"/>
    <x v="0"/>
    <x v="2"/>
    <x v="16"/>
    <x v="5"/>
    <x v="5"/>
    <x v="3"/>
    <n v="1705600752"/>
  </r>
  <r>
    <d v="2026-01-17T00:00:00"/>
    <x v="2"/>
    <x v="0"/>
    <x v="2"/>
    <x v="16"/>
    <x v="27"/>
    <x v="19"/>
    <x v="0"/>
    <n v="14618448000"/>
  </r>
  <r>
    <d v="2026-01-17T00:00:00"/>
    <x v="2"/>
    <x v="0"/>
    <x v="2"/>
    <x v="16"/>
    <x v="15"/>
    <x v="14"/>
    <x v="4"/>
    <n v="5236551"/>
  </r>
  <r>
    <d v="2026-01-17T00:00:00"/>
    <x v="2"/>
    <x v="0"/>
    <x v="2"/>
    <x v="16"/>
    <x v="31"/>
    <x v="22"/>
    <x v="1"/>
    <n v="0"/>
  </r>
  <r>
    <d v="2026-01-17T00:00:00"/>
    <x v="2"/>
    <x v="0"/>
    <x v="2"/>
    <x v="16"/>
    <x v="14"/>
    <x v="13"/>
    <x v="1"/>
    <n v="3993880000"/>
  </r>
  <r>
    <d v="2026-01-17T00:00:00"/>
    <x v="2"/>
    <x v="0"/>
    <x v="2"/>
    <x v="16"/>
    <x v="33"/>
    <x v="13"/>
    <x v="1"/>
    <n v="954800000"/>
  </r>
  <r>
    <d v="2026-01-17T00:00:00"/>
    <x v="2"/>
    <x v="0"/>
    <x v="2"/>
    <x v="16"/>
    <x v="23"/>
    <x v="17"/>
    <x v="4"/>
    <n v="1673387"/>
  </r>
  <r>
    <d v="2026-01-17T00:00:00"/>
    <x v="2"/>
    <x v="0"/>
    <x v="2"/>
    <x v="16"/>
    <x v="28"/>
    <x v="17"/>
    <x v="4"/>
    <n v="1558276088"/>
  </r>
  <r>
    <d v="2026-01-17T00:00:00"/>
    <x v="2"/>
    <x v="0"/>
    <x v="2"/>
    <x v="16"/>
    <x v="8"/>
    <x v="8"/>
    <x v="1"/>
    <n v="0"/>
  </r>
  <r>
    <d v="2026-01-17T00:00:00"/>
    <x v="2"/>
    <x v="0"/>
    <x v="2"/>
    <x v="16"/>
    <x v="26"/>
    <x v="16"/>
    <x v="1"/>
    <n v="99450000"/>
  </r>
  <r>
    <d v="2026-01-17T00:00:00"/>
    <x v="2"/>
    <x v="0"/>
    <x v="2"/>
    <x v="16"/>
    <x v="32"/>
    <x v="16"/>
    <x v="1"/>
    <n v="0"/>
  </r>
  <r>
    <d v="2026-01-17T00:00:00"/>
    <x v="2"/>
    <x v="0"/>
    <x v="2"/>
    <x v="16"/>
    <x v="2"/>
    <x v="2"/>
    <x v="1"/>
    <n v="15122490000"/>
  </r>
  <r>
    <d v="2026-01-17T00:00:00"/>
    <x v="2"/>
    <x v="0"/>
    <x v="2"/>
    <x v="16"/>
    <x v="17"/>
    <x v="9"/>
    <x v="1"/>
    <n v="0"/>
  </r>
  <r>
    <d v="2026-01-17T00:00:00"/>
    <x v="2"/>
    <x v="0"/>
    <x v="2"/>
    <x v="16"/>
    <x v="20"/>
    <x v="9"/>
    <x v="1"/>
    <n v="0"/>
  </r>
  <r>
    <d v="2026-01-17T00:00:00"/>
    <x v="2"/>
    <x v="0"/>
    <x v="2"/>
    <x v="16"/>
    <x v="21"/>
    <x v="9"/>
    <x v="1"/>
    <n v="0"/>
  </r>
  <r>
    <d v="2026-01-17T00:00:00"/>
    <x v="2"/>
    <x v="0"/>
    <x v="2"/>
    <x v="16"/>
    <x v="25"/>
    <x v="2"/>
    <x v="1"/>
    <n v="0"/>
  </r>
  <r>
    <d v="2026-01-17T00:00:00"/>
    <x v="2"/>
    <x v="0"/>
    <x v="2"/>
    <x v="16"/>
    <x v="0"/>
    <x v="0"/>
    <x v="0"/>
    <n v="11909484000"/>
  </r>
  <r>
    <d v="2026-01-17T00:00:00"/>
    <x v="2"/>
    <x v="0"/>
    <x v="2"/>
    <x v="16"/>
    <x v="7"/>
    <x v="7"/>
    <x v="4"/>
    <n v="183131625"/>
  </r>
  <r>
    <d v="2026-01-17T00:00:00"/>
    <x v="2"/>
    <x v="0"/>
    <x v="2"/>
    <x v="16"/>
    <x v="1"/>
    <x v="1"/>
    <x v="1"/>
    <n v="0"/>
  </r>
  <r>
    <d v="2026-01-17T00:00:00"/>
    <x v="2"/>
    <x v="0"/>
    <x v="2"/>
    <x v="16"/>
    <x v="6"/>
    <x v="6"/>
    <x v="0"/>
    <n v="30000000"/>
  </r>
  <r>
    <d v="2026-01-17T00:00:00"/>
    <x v="2"/>
    <x v="0"/>
    <x v="2"/>
    <x v="16"/>
    <x v="18"/>
    <x v="15"/>
    <x v="1"/>
    <n v="847010000"/>
  </r>
  <r>
    <d v="2026-01-17T00:00:00"/>
    <x v="2"/>
    <x v="0"/>
    <x v="2"/>
    <x v="16"/>
    <x v="29"/>
    <x v="20"/>
    <x v="0"/>
    <n v="453708000"/>
  </r>
  <r>
    <d v="2026-01-17T00:00:00"/>
    <x v="2"/>
    <x v="0"/>
    <x v="2"/>
    <x v="16"/>
    <x v="19"/>
    <x v="12"/>
    <x v="4"/>
    <n v="275714787"/>
  </r>
  <r>
    <d v="2026-01-17T00:00:00"/>
    <x v="2"/>
    <x v="0"/>
    <x v="2"/>
    <x v="16"/>
    <x v="24"/>
    <x v="18"/>
    <x v="1"/>
    <n v="3251140000"/>
  </r>
  <r>
    <d v="2026-01-17T00:00:00"/>
    <x v="2"/>
    <x v="0"/>
    <x v="2"/>
    <x v="16"/>
    <x v="30"/>
    <x v="21"/>
    <x v="0"/>
    <n v="300520000"/>
  </r>
  <r>
    <d v="2026-01-18T00:00:00"/>
    <x v="2"/>
    <x v="0"/>
    <x v="2"/>
    <x v="17"/>
    <x v="3"/>
    <x v="3"/>
    <x v="1"/>
    <n v="819800000"/>
  </r>
  <r>
    <d v="2026-01-18T00:00:00"/>
    <x v="2"/>
    <x v="0"/>
    <x v="2"/>
    <x v="17"/>
    <x v="11"/>
    <x v="10"/>
    <x v="4"/>
    <n v="300144473"/>
  </r>
  <r>
    <d v="2026-01-18T00:00:00"/>
    <x v="2"/>
    <x v="0"/>
    <x v="2"/>
    <x v="17"/>
    <x v="12"/>
    <x v="11"/>
    <x v="1"/>
    <n v="12551320000"/>
  </r>
  <r>
    <d v="2026-01-18T00:00:00"/>
    <x v="2"/>
    <x v="0"/>
    <x v="2"/>
    <x v="17"/>
    <x v="5"/>
    <x v="5"/>
    <x v="3"/>
    <n v="1468190659"/>
  </r>
  <r>
    <d v="2026-01-18T00:00:00"/>
    <x v="2"/>
    <x v="0"/>
    <x v="2"/>
    <x v="17"/>
    <x v="27"/>
    <x v="19"/>
    <x v="0"/>
    <n v="14384520000"/>
  </r>
  <r>
    <d v="2026-01-18T00:00:00"/>
    <x v="2"/>
    <x v="0"/>
    <x v="2"/>
    <x v="17"/>
    <x v="15"/>
    <x v="14"/>
    <x v="4"/>
    <n v="6697906"/>
  </r>
  <r>
    <d v="2026-01-18T00:00:00"/>
    <x v="2"/>
    <x v="0"/>
    <x v="2"/>
    <x v="17"/>
    <x v="31"/>
    <x v="22"/>
    <x v="1"/>
    <n v="0"/>
  </r>
  <r>
    <d v="2026-01-18T00:00:00"/>
    <x v="2"/>
    <x v="0"/>
    <x v="2"/>
    <x v="17"/>
    <x v="14"/>
    <x v="13"/>
    <x v="1"/>
    <n v="5934900000"/>
  </r>
  <r>
    <d v="2026-01-18T00:00:00"/>
    <x v="2"/>
    <x v="0"/>
    <x v="2"/>
    <x v="17"/>
    <x v="33"/>
    <x v="13"/>
    <x v="1"/>
    <n v="1204830000"/>
  </r>
  <r>
    <d v="2026-01-18T00:00:00"/>
    <x v="2"/>
    <x v="0"/>
    <x v="2"/>
    <x v="17"/>
    <x v="23"/>
    <x v="17"/>
    <x v="4"/>
    <n v="7300100"/>
  </r>
  <r>
    <d v="2026-01-18T00:00:00"/>
    <x v="2"/>
    <x v="0"/>
    <x v="2"/>
    <x v="17"/>
    <x v="28"/>
    <x v="17"/>
    <x v="4"/>
    <n v="1740651335"/>
  </r>
  <r>
    <d v="2026-01-18T00:00:00"/>
    <x v="2"/>
    <x v="0"/>
    <x v="2"/>
    <x v="17"/>
    <x v="8"/>
    <x v="8"/>
    <x v="1"/>
    <n v="0"/>
  </r>
  <r>
    <d v="2026-01-18T00:00:00"/>
    <x v="2"/>
    <x v="0"/>
    <x v="2"/>
    <x v="17"/>
    <x v="26"/>
    <x v="16"/>
    <x v="1"/>
    <n v="195550000"/>
  </r>
  <r>
    <d v="2026-01-18T00:00:00"/>
    <x v="2"/>
    <x v="0"/>
    <x v="2"/>
    <x v="17"/>
    <x v="32"/>
    <x v="16"/>
    <x v="1"/>
    <n v="0"/>
  </r>
  <r>
    <d v="2026-01-18T00:00:00"/>
    <x v="2"/>
    <x v="0"/>
    <x v="2"/>
    <x v="17"/>
    <x v="2"/>
    <x v="2"/>
    <x v="1"/>
    <n v="16180000000"/>
  </r>
  <r>
    <d v="2026-01-18T00:00:00"/>
    <x v="2"/>
    <x v="0"/>
    <x v="2"/>
    <x v="17"/>
    <x v="17"/>
    <x v="9"/>
    <x v="1"/>
    <n v="0"/>
  </r>
  <r>
    <d v="2026-01-18T00:00:00"/>
    <x v="2"/>
    <x v="0"/>
    <x v="2"/>
    <x v="17"/>
    <x v="20"/>
    <x v="9"/>
    <x v="1"/>
    <n v="0"/>
  </r>
  <r>
    <d v="2026-01-18T00:00:00"/>
    <x v="2"/>
    <x v="0"/>
    <x v="2"/>
    <x v="17"/>
    <x v="21"/>
    <x v="9"/>
    <x v="1"/>
    <n v="0"/>
  </r>
  <r>
    <d v="2026-01-18T00:00:00"/>
    <x v="2"/>
    <x v="0"/>
    <x v="2"/>
    <x v="17"/>
    <x v="25"/>
    <x v="2"/>
    <x v="1"/>
    <n v="0"/>
  </r>
  <r>
    <d v="2026-01-18T00:00:00"/>
    <x v="2"/>
    <x v="0"/>
    <x v="2"/>
    <x v="17"/>
    <x v="0"/>
    <x v="0"/>
    <x v="0"/>
    <n v="11843928000"/>
  </r>
  <r>
    <d v="2026-01-18T00:00:00"/>
    <x v="2"/>
    <x v="0"/>
    <x v="2"/>
    <x v="17"/>
    <x v="7"/>
    <x v="7"/>
    <x v="4"/>
    <n v="161783251"/>
  </r>
  <r>
    <d v="2026-01-18T00:00:00"/>
    <x v="2"/>
    <x v="0"/>
    <x v="2"/>
    <x v="17"/>
    <x v="1"/>
    <x v="1"/>
    <x v="1"/>
    <n v="10500000"/>
  </r>
  <r>
    <d v="2026-01-18T00:00:00"/>
    <x v="2"/>
    <x v="0"/>
    <x v="2"/>
    <x v="17"/>
    <x v="6"/>
    <x v="6"/>
    <x v="0"/>
    <n v="34000000"/>
  </r>
  <r>
    <d v="2026-01-18T00:00:00"/>
    <x v="2"/>
    <x v="0"/>
    <x v="2"/>
    <x v="17"/>
    <x v="18"/>
    <x v="15"/>
    <x v="1"/>
    <n v="909750000"/>
  </r>
  <r>
    <d v="2026-01-18T00:00:00"/>
    <x v="2"/>
    <x v="0"/>
    <x v="2"/>
    <x v="17"/>
    <x v="29"/>
    <x v="20"/>
    <x v="0"/>
    <n v="380916000"/>
  </r>
  <r>
    <d v="2026-01-18T00:00:00"/>
    <x v="2"/>
    <x v="0"/>
    <x v="2"/>
    <x v="17"/>
    <x v="19"/>
    <x v="12"/>
    <x v="4"/>
    <n v="206865269"/>
  </r>
  <r>
    <d v="2026-01-18T00:00:00"/>
    <x v="2"/>
    <x v="0"/>
    <x v="2"/>
    <x v="17"/>
    <x v="24"/>
    <x v="18"/>
    <x v="1"/>
    <n v="3016280000"/>
  </r>
  <r>
    <d v="2026-01-18T00:00:00"/>
    <x v="2"/>
    <x v="0"/>
    <x v="2"/>
    <x v="17"/>
    <x v="30"/>
    <x v="21"/>
    <x v="0"/>
    <n v="349800000"/>
  </r>
  <r>
    <d v="2026-01-19T00:00:00"/>
    <x v="2"/>
    <x v="0"/>
    <x v="3"/>
    <x v="18"/>
    <x v="3"/>
    <x v="3"/>
    <x v="1"/>
    <n v="560600000"/>
  </r>
  <r>
    <d v="2026-01-19T00:00:00"/>
    <x v="2"/>
    <x v="0"/>
    <x v="3"/>
    <x v="18"/>
    <x v="11"/>
    <x v="10"/>
    <x v="4"/>
    <n v="274471160"/>
  </r>
  <r>
    <d v="2026-01-19T00:00:00"/>
    <x v="2"/>
    <x v="0"/>
    <x v="3"/>
    <x v="18"/>
    <x v="12"/>
    <x v="11"/>
    <x v="1"/>
    <n v="14654300000"/>
  </r>
  <r>
    <d v="2026-01-19T00:00:00"/>
    <x v="2"/>
    <x v="0"/>
    <x v="3"/>
    <x v="18"/>
    <x v="5"/>
    <x v="5"/>
    <x v="3"/>
    <n v="1683779190"/>
  </r>
  <r>
    <d v="2026-01-19T00:00:00"/>
    <x v="2"/>
    <x v="0"/>
    <x v="3"/>
    <x v="18"/>
    <x v="27"/>
    <x v="19"/>
    <x v="0"/>
    <n v="14651064000"/>
  </r>
  <r>
    <d v="2026-01-19T00:00:00"/>
    <x v="2"/>
    <x v="0"/>
    <x v="3"/>
    <x v="18"/>
    <x v="15"/>
    <x v="14"/>
    <x v="4"/>
    <n v="7712628"/>
  </r>
  <r>
    <d v="2026-01-19T00:00:00"/>
    <x v="2"/>
    <x v="0"/>
    <x v="3"/>
    <x v="18"/>
    <x v="31"/>
    <x v="22"/>
    <x v="1"/>
    <n v="47000000"/>
  </r>
  <r>
    <d v="2026-01-19T00:00:00"/>
    <x v="2"/>
    <x v="0"/>
    <x v="3"/>
    <x v="18"/>
    <x v="14"/>
    <x v="13"/>
    <x v="1"/>
    <n v="5486190000"/>
  </r>
  <r>
    <d v="2026-01-19T00:00:00"/>
    <x v="2"/>
    <x v="0"/>
    <x v="3"/>
    <x v="18"/>
    <x v="33"/>
    <x v="13"/>
    <x v="1"/>
    <n v="1140980000"/>
  </r>
  <r>
    <d v="2026-01-19T00:00:00"/>
    <x v="2"/>
    <x v="0"/>
    <x v="3"/>
    <x v="18"/>
    <x v="23"/>
    <x v="17"/>
    <x v="4"/>
    <n v="8855382"/>
  </r>
  <r>
    <d v="2026-01-19T00:00:00"/>
    <x v="2"/>
    <x v="0"/>
    <x v="3"/>
    <x v="18"/>
    <x v="28"/>
    <x v="17"/>
    <x v="4"/>
    <n v="833682606"/>
  </r>
  <r>
    <d v="2026-01-19T00:00:00"/>
    <x v="2"/>
    <x v="0"/>
    <x v="3"/>
    <x v="18"/>
    <x v="8"/>
    <x v="8"/>
    <x v="1"/>
    <n v="0"/>
  </r>
  <r>
    <d v="2026-01-19T00:00:00"/>
    <x v="2"/>
    <x v="0"/>
    <x v="3"/>
    <x v="18"/>
    <x v="26"/>
    <x v="16"/>
    <x v="1"/>
    <n v="213100000"/>
  </r>
  <r>
    <d v="2026-01-19T00:00:00"/>
    <x v="2"/>
    <x v="0"/>
    <x v="3"/>
    <x v="18"/>
    <x v="32"/>
    <x v="16"/>
    <x v="1"/>
    <n v="185400000"/>
  </r>
  <r>
    <d v="2026-01-19T00:00:00"/>
    <x v="2"/>
    <x v="0"/>
    <x v="3"/>
    <x v="18"/>
    <x v="2"/>
    <x v="2"/>
    <x v="1"/>
    <n v="16502710000"/>
  </r>
  <r>
    <d v="2026-01-19T00:00:00"/>
    <x v="2"/>
    <x v="0"/>
    <x v="3"/>
    <x v="18"/>
    <x v="17"/>
    <x v="9"/>
    <x v="1"/>
    <n v="0"/>
  </r>
  <r>
    <d v="2026-01-19T00:00:00"/>
    <x v="2"/>
    <x v="0"/>
    <x v="3"/>
    <x v="18"/>
    <x v="20"/>
    <x v="9"/>
    <x v="1"/>
    <n v="0"/>
  </r>
  <r>
    <d v="2026-01-19T00:00:00"/>
    <x v="2"/>
    <x v="0"/>
    <x v="3"/>
    <x v="18"/>
    <x v="21"/>
    <x v="9"/>
    <x v="1"/>
    <n v="0"/>
  </r>
  <r>
    <d v="2026-01-19T00:00:00"/>
    <x v="2"/>
    <x v="0"/>
    <x v="3"/>
    <x v="18"/>
    <x v="25"/>
    <x v="2"/>
    <x v="1"/>
    <n v="8000000"/>
  </r>
  <r>
    <d v="2026-01-19T00:00:00"/>
    <x v="2"/>
    <x v="0"/>
    <x v="3"/>
    <x v="18"/>
    <x v="0"/>
    <x v="0"/>
    <x v="0"/>
    <n v="11507400000"/>
  </r>
  <r>
    <d v="2026-01-19T00:00:00"/>
    <x v="2"/>
    <x v="0"/>
    <x v="3"/>
    <x v="18"/>
    <x v="7"/>
    <x v="7"/>
    <x v="4"/>
    <n v="162043873"/>
  </r>
  <r>
    <d v="2026-01-19T00:00:00"/>
    <x v="2"/>
    <x v="0"/>
    <x v="3"/>
    <x v="18"/>
    <x v="1"/>
    <x v="1"/>
    <x v="1"/>
    <n v="52500000"/>
  </r>
  <r>
    <d v="2026-01-19T00:00:00"/>
    <x v="2"/>
    <x v="0"/>
    <x v="3"/>
    <x v="18"/>
    <x v="6"/>
    <x v="6"/>
    <x v="0"/>
    <n v="41000000"/>
  </r>
  <r>
    <d v="2026-01-19T00:00:00"/>
    <x v="2"/>
    <x v="0"/>
    <x v="3"/>
    <x v="18"/>
    <x v="18"/>
    <x v="15"/>
    <x v="1"/>
    <n v="772590000"/>
  </r>
  <r>
    <d v="2026-01-19T00:00:00"/>
    <x v="2"/>
    <x v="0"/>
    <x v="3"/>
    <x v="18"/>
    <x v="29"/>
    <x v="20"/>
    <x v="0"/>
    <n v="327780000"/>
  </r>
  <r>
    <d v="2026-01-19T00:00:00"/>
    <x v="2"/>
    <x v="0"/>
    <x v="3"/>
    <x v="18"/>
    <x v="19"/>
    <x v="12"/>
    <x v="4"/>
    <n v="254458678"/>
  </r>
  <r>
    <d v="2026-01-19T00:00:00"/>
    <x v="2"/>
    <x v="0"/>
    <x v="3"/>
    <x v="18"/>
    <x v="24"/>
    <x v="18"/>
    <x v="1"/>
    <n v="3811440000"/>
  </r>
  <r>
    <d v="2026-01-19T00:00:00"/>
    <x v="2"/>
    <x v="0"/>
    <x v="3"/>
    <x v="18"/>
    <x v="30"/>
    <x v="21"/>
    <x v="0"/>
    <n v="271000000"/>
  </r>
  <r>
    <d v="2026-01-20T00:00:00"/>
    <x v="2"/>
    <x v="0"/>
    <x v="3"/>
    <x v="19"/>
    <x v="3"/>
    <x v="3"/>
    <x v="1"/>
    <n v="560550000"/>
  </r>
  <r>
    <d v="2026-01-20T00:00:00"/>
    <x v="2"/>
    <x v="0"/>
    <x v="3"/>
    <x v="19"/>
    <x v="11"/>
    <x v="10"/>
    <x v="4"/>
    <n v="304858329"/>
  </r>
  <r>
    <d v="2026-01-20T00:00:00"/>
    <x v="2"/>
    <x v="0"/>
    <x v="3"/>
    <x v="19"/>
    <x v="12"/>
    <x v="11"/>
    <x v="1"/>
    <n v="15070520000"/>
  </r>
  <r>
    <d v="2026-01-20T00:00:00"/>
    <x v="2"/>
    <x v="0"/>
    <x v="3"/>
    <x v="19"/>
    <x v="5"/>
    <x v="5"/>
    <x v="3"/>
    <n v="2226554897"/>
  </r>
  <r>
    <d v="2026-01-20T00:00:00"/>
    <x v="2"/>
    <x v="0"/>
    <x v="3"/>
    <x v="19"/>
    <x v="27"/>
    <x v="19"/>
    <x v="0"/>
    <n v="15809148000"/>
  </r>
  <r>
    <d v="2026-01-20T00:00:00"/>
    <x v="2"/>
    <x v="0"/>
    <x v="3"/>
    <x v="19"/>
    <x v="15"/>
    <x v="14"/>
    <x v="4"/>
    <n v="6626025"/>
  </r>
  <r>
    <d v="2026-01-20T00:00:00"/>
    <x v="2"/>
    <x v="0"/>
    <x v="3"/>
    <x v="19"/>
    <x v="31"/>
    <x v="22"/>
    <x v="1"/>
    <n v="0"/>
  </r>
  <r>
    <d v="2026-01-20T00:00:00"/>
    <x v="2"/>
    <x v="0"/>
    <x v="3"/>
    <x v="19"/>
    <x v="14"/>
    <x v="13"/>
    <x v="1"/>
    <n v="4105020000"/>
  </r>
  <r>
    <d v="2026-01-20T00:00:00"/>
    <x v="2"/>
    <x v="0"/>
    <x v="3"/>
    <x v="19"/>
    <x v="33"/>
    <x v="13"/>
    <x v="1"/>
    <n v="1359600000"/>
  </r>
  <r>
    <d v="2026-01-20T00:00:00"/>
    <x v="2"/>
    <x v="0"/>
    <x v="3"/>
    <x v="19"/>
    <x v="23"/>
    <x v="17"/>
    <x v="4"/>
    <n v="7293164"/>
  </r>
  <r>
    <d v="2026-01-20T00:00:00"/>
    <x v="2"/>
    <x v="0"/>
    <x v="3"/>
    <x v="19"/>
    <x v="28"/>
    <x v="17"/>
    <x v="4"/>
    <n v="874981610"/>
  </r>
  <r>
    <d v="2026-01-20T00:00:00"/>
    <x v="2"/>
    <x v="0"/>
    <x v="3"/>
    <x v="19"/>
    <x v="8"/>
    <x v="8"/>
    <x v="1"/>
    <n v="0"/>
  </r>
  <r>
    <d v="2026-01-20T00:00:00"/>
    <x v="2"/>
    <x v="0"/>
    <x v="3"/>
    <x v="19"/>
    <x v="26"/>
    <x v="16"/>
    <x v="1"/>
    <n v="226500000"/>
  </r>
  <r>
    <d v="2026-01-20T00:00:00"/>
    <x v="2"/>
    <x v="0"/>
    <x v="3"/>
    <x v="19"/>
    <x v="32"/>
    <x v="16"/>
    <x v="1"/>
    <n v="185400000"/>
  </r>
  <r>
    <d v="2026-01-20T00:00:00"/>
    <x v="2"/>
    <x v="0"/>
    <x v="3"/>
    <x v="19"/>
    <x v="2"/>
    <x v="2"/>
    <x v="1"/>
    <n v="18066080000"/>
  </r>
  <r>
    <d v="2026-01-20T00:00:00"/>
    <x v="2"/>
    <x v="0"/>
    <x v="3"/>
    <x v="19"/>
    <x v="17"/>
    <x v="9"/>
    <x v="1"/>
    <n v="0"/>
  </r>
  <r>
    <d v="2026-01-20T00:00:00"/>
    <x v="2"/>
    <x v="0"/>
    <x v="3"/>
    <x v="19"/>
    <x v="20"/>
    <x v="9"/>
    <x v="1"/>
    <n v="0"/>
  </r>
  <r>
    <d v="2026-01-20T00:00:00"/>
    <x v="2"/>
    <x v="0"/>
    <x v="3"/>
    <x v="19"/>
    <x v="21"/>
    <x v="9"/>
    <x v="1"/>
    <n v="0"/>
  </r>
  <r>
    <d v="2026-01-20T00:00:00"/>
    <x v="2"/>
    <x v="0"/>
    <x v="3"/>
    <x v="19"/>
    <x v="25"/>
    <x v="2"/>
    <x v="1"/>
    <n v="11000000"/>
  </r>
  <r>
    <d v="2026-01-20T00:00:00"/>
    <x v="2"/>
    <x v="0"/>
    <x v="3"/>
    <x v="19"/>
    <x v="0"/>
    <x v="0"/>
    <x v="0"/>
    <n v="12079800000"/>
  </r>
  <r>
    <d v="2026-01-20T00:00:00"/>
    <x v="2"/>
    <x v="0"/>
    <x v="3"/>
    <x v="19"/>
    <x v="7"/>
    <x v="7"/>
    <x v="4"/>
    <n v="170439192"/>
  </r>
  <r>
    <d v="2026-01-20T00:00:00"/>
    <x v="2"/>
    <x v="0"/>
    <x v="3"/>
    <x v="19"/>
    <x v="1"/>
    <x v="1"/>
    <x v="1"/>
    <n v="0"/>
  </r>
  <r>
    <d v="2026-01-20T00:00:00"/>
    <x v="2"/>
    <x v="0"/>
    <x v="3"/>
    <x v="19"/>
    <x v="6"/>
    <x v="6"/>
    <x v="0"/>
    <n v="64000000"/>
  </r>
  <r>
    <d v="2026-01-20T00:00:00"/>
    <x v="2"/>
    <x v="0"/>
    <x v="3"/>
    <x v="19"/>
    <x v="18"/>
    <x v="15"/>
    <x v="1"/>
    <n v="1294110000"/>
  </r>
  <r>
    <d v="2026-01-20T00:00:00"/>
    <x v="2"/>
    <x v="0"/>
    <x v="3"/>
    <x v="19"/>
    <x v="29"/>
    <x v="20"/>
    <x v="0"/>
    <n v="386640000"/>
  </r>
  <r>
    <d v="2026-01-20T00:00:00"/>
    <x v="2"/>
    <x v="0"/>
    <x v="3"/>
    <x v="19"/>
    <x v="19"/>
    <x v="12"/>
    <x v="4"/>
    <n v="256250511"/>
  </r>
  <r>
    <d v="2026-01-20T00:00:00"/>
    <x v="2"/>
    <x v="0"/>
    <x v="3"/>
    <x v="19"/>
    <x v="24"/>
    <x v="18"/>
    <x v="1"/>
    <n v="3868860000"/>
  </r>
  <r>
    <d v="2026-01-20T00:00:00"/>
    <x v="2"/>
    <x v="0"/>
    <x v="3"/>
    <x v="19"/>
    <x v="30"/>
    <x v="21"/>
    <x v="0"/>
    <n v="563400000"/>
  </r>
  <r>
    <d v="2026-01-21T00:00:00"/>
    <x v="2"/>
    <x v="0"/>
    <x v="3"/>
    <x v="20"/>
    <x v="3"/>
    <x v="3"/>
    <x v="1"/>
    <n v="765250000"/>
  </r>
  <r>
    <d v="2026-01-21T00:00:00"/>
    <x v="2"/>
    <x v="0"/>
    <x v="3"/>
    <x v="20"/>
    <x v="11"/>
    <x v="10"/>
    <x v="4"/>
    <n v="335695331"/>
  </r>
  <r>
    <d v="2026-01-21T00:00:00"/>
    <x v="2"/>
    <x v="0"/>
    <x v="3"/>
    <x v="20"/>
    <x v="12"/>
    <x v="11"/>
    <x v="1"/>
    <n v="15247760000"/>
  </r>
  <r>
    <d v="2026-01-21T00:00:00"/>
    <x v="2"/>
    <x v="0"/>
    <x v="3"/>
    <x v="20"/>
    <x v="5"/>
    <x v="5"/>
    <x v="3"/>
    <n v="1904199995"/>
  </r>
  <r>
    <d v="2026-01-21T00:00:00"/>
    <x v="2"/>
    <x v="0"/>
    <x v="3"/>
    <x v="20"/>
    <x v="27"/>
    <x v="19"/>
    <x v="0"/>
    <n v="14580864000"/>
  </r>
  <r>
    <d v="2026-01-21T00:00:00"/>
    <x v="2"/>
    <x v="0"/>
    <x v="3"/>
    <x v="20"/>
    <x v="15"/>
    <x v="14"/>
    <x v="4"/>
    <n v="13028836"/>
  </r>
  <r>
    <d v="2026-01-21T00:00:00"/>
    <x v="2"/>
    <x v="0"/>
    <x v="3"/>
    <x v="20"/>
    <x v="31"/>
    <x v="22"/>
    <x v="1"/>
    <n v="0"/>
  </r>
  <r>
    <d v="2026-01-21T00:00:00"/>
    <x v="2"/>
    <x v="0"/>
    <x v="3"/>
    <x v="20"/>
    <x v="14"/>
    <x v="13"/>
    <x v="1"/>
    <n v="4137250000"/>
  </r>
  <r>
    <d v="2026-01-21T00:00:00"/>
    <x v="2"/>
    <x v="0"/>
    <x v="3"/>
    <x v="20"/>
    <x v="33"/>
    <x v="13"/>
    <x v="1"/>
    <n v="1170710000"/>
  </r>
  <r>
    <d v="2026-01-21T00:00:00"/>
    <x v="2"/>
    <x v="0"/>
    <x v="3"/>
    <x v="20"/>
    <x v="23"/>
    <x v="17"/>
    <x v="4"/>
    <n v="18270497"/>
  </r>
  <r>
    <d v="2026-01-21T00:00:00"/>
    <x v="2"/>
    <x v="0"/>
    <x v="3"/>
    <x v="20"/>
    <x v="28"/>
    <x v="17"/>
    <x v="4"/>
    <n v="1117910298"/>
  </r>
  <r>
    <d v="2026-01-21T00:00:00"/>
    <x v="2"/>
    <x v="0"/>
    <x v="3"/>
    <x v="20"/>
    <x v="8"/>
    <x v="8"/>
    <x v="1"/>
    <n v="0"/>
  </r>
  <r>
    <d v="2026-01-21T00:00:00"/>
    <x v="2"/>
    <x v="0"/>
    <x v="3"/>
    <x v="20"/>
    <x v="26"/>
    <x v="16"/>
    <x v="1"/>
    <n v="94000000"/>
  </r>
  <r>
    <d v="2026-01-21T00:00:00"/>
    <x v="2"/>
    <x v="0"/>
    <x v="3"/>
    <x v="20"/>
    <x v="32"/>
    <x v="16"/>
    <x v="1"/>
    <n v="0"/>
  </r>
  <r>
    <d v="2026-01-21T00:00:00"/>
    <x v="2"/>
    <x v="0"/>
    <x v="3"/>
    <x v="20"/>
    <x v="2"/>
    <x v="2"/>
    <x v="1"/>
    <n v="18318490000"/>
  </r>
  <r>
    <d v="2026-01-21T00:00:00"/>
    <x v="2"/>
    <x v="0"/>
    <x v="3"/>
    <x v="20"/>
    <x v="17"/>
    <x v="9"/>
    <x v="1"/>
    <n v="0"/>
  </r>
  <r>
    <d v="2026-01-21T00:00:00"/>
    <x v="2"/>
    <x v="0"/>
    <x v="3"/>
    <x v="20"/>
    <x v="20"/>
    <x v="9"/>
    <x v="1"/>
    <n v="0"/>
  </r>
  <r>
    <d v="2026-01-21T00:00:00"/>
    <x v="2"/>
    <x v="0"/>
    <x v="3"/>
    <x v="20"/>
    <x v="21"/>
    <x v="9"/>
    <x v="1"/>
    <n v="0"/>
  </r>
  <r>
    <d v="2026-01-21T00:00:00"/>
    <x v="2"/>
    <x v="0"/>
    <x v="3"/>
    <x v="20"/>
    <x v="25"/>
    <x v="2"/>
    <x v="1"/>
    <n v="15000000"/>
  </r>
  <r>
    <d v="2026-01-21T00:00:00"/>
    <x v="2"/>
    <x v="0"/>
    <x v="3"/>
    <x v="20"/>
    <x v="0"/>
    <x v="0"/>
    <x v="0"/>
    <n v="11299500000"/>
  </r>
  <r>
    <d v="2026-01-21T00:00:00"/>
    <x v="2"/>
    <x v="0"/>
    <x v="3"/>
    <x v="20"/>
    <x v="7"/>
    <x v="7"/>
    <x v="4"/>
    <n v="200834005"/>
  </r>
  <r>
    <d v="2026-01-21T00:00:00"/>
    <x v="2"/>
    <x v="0"/>
    <x v="3"/>
    <x v="20"/>
    <x v="1"/>
    <x v="1"/>
    <x v="1"/>
    <n v="42000000"/>
  </r>
  <r>
    <d v="2026-01-21T00:00:00"/>
    <x v="2"/>
    <x v="0"/>
    <x v="3"/>
    <x v="20"/>
    <x v="6"/>
    <x v="6"/>
    <x v="0"/>
    <n v="44000000"/>
  </r>
  <r>
    <d v="2026-01-21T00:00:00"/>
    <x v="2"/>
    <x v="0"/>
    <x v="3"/>
    <x v="20"/>
    <x v="18"/>
    <x v="15"/>
    <x v="1"/>
    <n v="770810000"/>
  </r>
  <r>
    <d v="2026-01-21T00:00:00"/>
    <x v="2"/>
    <x v="0"/>
    <x v="3"/>
    <x v="20"/>
    <x v="29"/>
    <x v="20"/>
    <x v="0"/>
    <n v="307476000"/>
  </r>
  <r>
    <d v="2026-01-21T00:00:00"/>
    <x v="2"/>
    <x v="0"/>
    <x v="3"/>
    <x v="20"/>
    <x v="19"/>
    <x v="12"/>
    <x v="4"/>
    <n v="445798590"/>
  </r>
  <r>
    <d v="2026-01-21T00:00:00"/>
    <x v="2"/>
    <x v="0"/>
    <x v="3"/>
    <x v="20"/>
    <x v="24"/>
    <x v="18"/>
    <x v="1"/>
    <n v="3300290000"/>
  </r>
  <r>
    <d v="2026-01-21T00:00:00"/>
    <x v="2"/>
    <x v="0"/>
    <x v="3"/>
    <x v="20"/>
    <x v="30"/>
    <x v="21"/>
    <x v="0"/>
    <n v="1009960000"/>
  </r>
  <r>
    <d v="2026-01-22T00:00:00"/>
    <x v="2"/>
    <x v="0"/>
    <x v="3"/>
    <x v="21"/>
    <x v="3"/>
    <x v="3"/>
    <x v="1"/>
    <n v="617250000"/>
  </r>
  <r>
    <d v="2026-01-22T00:00:00"/>
    <x v="2"/>
    <x v="0"/>
    <x v="3"/>
    <x v="21"/>
    <x v="11"/>
    <x v="10"/>
    <x v="4"/>
    <n v="335056696"/>
  </r>
  <r>
    <d v="2026-01-22T00:00:00"/>
    <x v="2"/>
    <x v="0"/>
    <x v="3"/>
    <x v="21"/>
    <x v="12"/>
    <x v="11"/>
    <x v="1"/>
    <n v="14602150000"/>
  </r>
  <r>
    <d v="2026-01-22T00:00:00"/>
    <x v="2"/>
    <x v="0"/>
    <x v="3"/>
    <x v="21"/>
    <x v="5"/>
    <x v="5"/>
    <x v="3"/>
    <n v="1857940564"/>
  </r>
  <r>
    <d v="2026-01-22T00:00:00"/>
    <x v="2"/>
    <x v="0"/>
    <x v="3"/>
    <x v="21"/>
    <x v="27"/>
    <x v="19"/>
    <x v="0"/>
    <n v="13052556000"/>
  </r>
  <r>
    <d v="2026-01-22T00:00:00"/>
    <x v="2"/>
    <x v="0"/>
    <x v="3"/>
    <x v="21"/>
    <x v="15"/>
    <x v="14"/>
    <x v="4"/>
    <n v="8542252"/>
  </r>
  <r>
    <d v="2026-01-22T00:00:00"/>
    <x v="2"/>
    <x v="0"/>
    <x v="3"/>
    <x v="21"/>
    <x v="31"/>
    <x v="22"/>
    <x v="1"/>
    <n v="0"/>
  </r>
  <r>
    <d v="2026-01-22T00:00:00"/>
    <x v="2"/>
    <x v="0"/>
    <x v="3"/>
    <x v="21"/>
    <x v="14"/>
    <x v="13"/>
    <x v="1"/>
    <n v="4446940000"/>
  </r>
  <r>
    <d v="2026-01-22T00:00:00"/>
    <x v="2"/>
    <x v="0"/>
    <x v="3"/>
    <x v="21"/>
    <x v="33"/>
    <x v="13"/>
    <x v="1"/>
    <n v="1488850000"/>
  </r>
  <r>
    <d v="2026-01-22T00:00:00"/>
    <x v="2"/>
    <x v="0"/>
    <x v="3"/>
    <x v="21"/>
    <x v="23"/>
    <x v="17"/>
    <x v="4"/>
    <n v="3952618"/>
  </r>
  <r>
    <d v="2026-01-22T00:00:00"/>
    <x v="2"/>
    <x v="0"/>
    <x v="3"/>
    <x v="21"/>
    <x v="28"/>
    <x v="17"/>
    <x v="4"/>
    <n v="1055462327"/>
  </r>
  <r>
    <d v="2026-01-22T00:00:00"/>
    <x v="2"/>
    <x v="0"/>
    <x v="3"/>
    <x v="21"/>
    <x v="8"/>
    <x v="8"/>
    <x v="1"/>
    <n v="0"/>
  </r>
  <r>
    <d v="2026-01-22T00:00:00"/>
    <x v="2"/>
    <x v="0"/>
    <x v="3"/>
    <x v="21"/>
    <x v="26"/>
    <x v="16"/>
    <x v="1"/>
    <n v="117650000"/>
  </r>
  <r>
    <d v="2026-01-22T00:00:00"/>
    <x v="2"/>
    <x v="0"/>
    <x v="3"/>
    <x v="21"/>
    <x v="32"/>
    <x v="16"/>
    <x v="1"/>
    <n v="55620000"/>
  </r>
  <r>
    <d v="2026-01-22T00:00:00"/>
    <x v="2"/>
    <x v="0"/>
    <x v="3"/>
    <x v="21"/>
    <x v="2"/>
    <x v="2"/>
    <x v="1"/>
    <n v="15830660000"/>
  </r>
  <r>
    <d v="2026-01-22T00:00:00"/>
    <x v="2"/>
    <x v="0"/>
    <x v="3"/>
    <x v="21"/>
    <x v="17"/>
    <x v="9"/>
    <x v="1"/>
    <n v="0"/>
  </r>
  <r>
    <d v="2026-01-22T00:00:00"/>
    <x v="2"/>
    <x v="0"/>
    <x v="3"/>
    <x v="21"/>
    <x v="20"/>
    <x v="9"/>
    <x v="1"/>
    <n v="0"/>
  </r>
  <r>
    <d v="2026-01-22T00:00:00"/>
    <x v="2"/>
    <x v="0"/>
    <x v="3"/>
    <x v="21"/>
    <x v="21"/>
    <x v="9"/>
    <x v="1"/>
    <n v="0"/>
  </r>
  <r>
    <d v="2026-01-22T00:00:00"/>
    <x v="2"/>
    <x v="0"/>
    <x v="3"/>
    <x v="21"/>
    <x v="25"/>
    <x v="2"/>
    <x v="1"/>
    <n v="0"/>
  </r>
  <r>
    <d v="2026-01-22T00:00:00"/>
    <x v="2"/>
    <x v="0"/>
    <x v="3"/>
    <x v="21"/>
    <x v="0"/>
    <x v="0"/>
    <x v="0"/>
    <n v="8856540000"/>
  </r>
  <r>
    <d v="2026-01-22T00:00:00"/>
    <x v="2"/>
    <x v="0"/>
    <x v="3"/>
    <x v="21"/>
    <x v="7"/>
    <x v="7"/>
    <x v="4"/>
    <n v="181212665"/>
  </r>
  <r>
    <d v="2026-01-22T00:00:00"/>
    <x v="2"/>
    <x v="0"/>
    <x v="3"/>
    <x v="21"/>
    <x v="1"/>
    <x v="1"/>
    <x v="1"/>
    <n v="18900000"/>
  </r>
  <r>
    <d v="2026-01-22T00:00:00"/>
    <x v="2"/>
    <x v="0"/>
    <x v="3"/>
    <x v="21"/>
    <x v="6"/>
    <x v="6"/>
    <x v="0"/>
    <n v="42000000"/>
  </r>
  <r>
    <d v="2026-01-22T00:00:00"/>
    <x v="2"/>
    <x v="0"/>
    <x v="3"/>
    <x v="21"/>
    <x v="18"/>
    <x v="15"/>
    <x v="1"/>
    <n v="938160000"/>
  </r>
  <r>
    <d v="2026-01-22T00:00:00"/>
    <x v="2"/>
    <x v="0"/>
    <x v="3"/>
    <x v="21"/>
    <x v="29"/>
    <x v="20"/>
    <x v="0"/>
    <n v="291168000"/>
  </r>
  <r>
    <d v="2026-01-22T00:00:00"/>
    <x v="2"/>
    <x v="0"/>
    <x v="3"/>
    <x v="21"/>
    <x v="19"/>
    <x v="12"/>
    <x v="4"/>
    <n v="346377364"/>
  </r>
  <r>
    <d v="2026-01-22T00:00:00"/>
    <x v="2"/>
    <x v="0"/>
    <x v="3"/>
    <x v="21"/>
    <x v="24"/>
    <x v="18"/>
    <x v="1"/>
    <n v="3879930000"/>
  </r>
  <r>
    <d v="2026-01-22T00:00:00"/>
    <x v="2"/>
    <x v="0"/>
    <x v="3"/>
    <x v="21"/>
    <x v="30"/>
    <x v="21"/>
    <x v="0"/>
    <n v="1201360000"/>
  </r>
  <r>
    <d v="2026-01-23T00:00:00"/>
    <x v="2"/>
    <x v="0"/>
    <x v="3"/>
    <x v="22"/>
    <x v="3"/>
    <x v="3"/>
    <x v="1"/>
    <n v="651200000"/>
  </r>
  <r>
    <d v="2026-01-23T00:00:00"/>
    <x v="2"/>
    <x v="0"/>
    <x v="3"/>
    <x v="22"/>
    <x v="11"/>
    <x v="10"/>
    <x v="4"/>
    <n v="372295446"/>
  </r>
  <r>
    <d v="2026-01-23T00:00:00"/>
    <x v="2"/>
    <x v="0"/>
    <x v="3"/>
    <x v="22"/>
    <x v="12"/>
    <x v="11"/>
    <x v="1"/>
    <n v="15131180000"/>
  </r>
  <r>
    <d v="2026-01-23T00:00:00"/>
    <x v="2"/>
    <x v="0"/>
    <x v="3"/>
    <x v="22"/>
    <x v="5"/>
    <x v="5"/>
    <x v="3"/>
    <n v="1739089635"/>
  </r>
  <r>
    <d v="2026-01-23T00:00:00"/>
    <x v="2"/>
    <x v="0"/>
    <x v="3"/>
    <x v="22"/>
    <x v="27"/>
    <x v="19"/>
    <x v="0"/>
    <n v="13554540000"/>
  </r>
  <r>
    <d v="2026-01-23T00:00:00"/>
    <x v="2"/>
    <x v="0"/>
    <x v="3"/>
    <x v="22"/>
    <x v="15"/>
    <x v="14"/>
    <x v="4"/>
    <n v="5106534"/>
  </r>
  <r>
    <d v="2026-01-23T00:00:00"/>
    <x v="2"/>
    <x v="0"/>
    <x v="3"/>
    <x v="22"/>
    <x v="31"/>
    <x v="22"/>
    <x v="1"/>
    <n v="0"/>
  </r>
  <r>
    <d v="2026-01-23T00:00:00"/>
    <x v="2"/>
    <x v="0"/>
    <x v="3"/>
    <x v="22"/>
    <x v="14"/>
    <x v="13"/>
    <x v="1"/>
    <n v="4255310000"/>
  </r>
  <r>
    <d v="2026-01-23T00:00:00"/>
    <x v="2"/>
    <x v="0"/>
    <x v="3"/>
    <x v="22"/>
    <x v="33"/>
    <x v="13"/>
    <x v="1"/>
    <n v="1336320000"/>
  </r>
  <r>
    <d v="2026-01-23T00:00:00"/>
    <x v="2"/>
    <x v="0"/>
    <x v="3"/>
    <x v="22"/>
    <x v="23"/>
    <x v="17"/>
    <x v="4"/>
    <n v="14051882"/>
  </r>
  <r>
    <d v="2026-01-23T00:00:00"/>
    <x v="2"/>
    <x v="0"/>
    <x v="3"/>
    <x v="22"/>
    <x v="28"/>
    <x v="17"/>
    <x v="4"/>
    <n v="1428542224"/>
  </r>
  <r>
    <d v="2026-01-23T00:00:00"/>
    <x v="2"/>
    <x v="0"/>
    <x v="3"/>
    <x v="22"/>
    <x v="8"/>
    <x v="8"/>
    <x v="1"/>
    <n v="0"/>
  </r>
  <r>
    <d v="2026-01-23T00:00:00"/>
    <x v="2"/>
    <x v="0"/>
    <x v="3"/>
    <x v="22"/>
    <x v="26"/>
    <x v="16"/>
    <x v="1"/>
    <n v="190400000"/>
  </r>
  <r>
    <d v="2026-01-23T00:00:00"/>
    <x v="2"/>
    <x v="0"/>
    <x v="3"/>
    <x v="22"/>
    <x v="32"/>
    <x v="16"/>
    <x v="1"/>
    <n v="83430000"/>
  </r>
  <r>
    <d v="2026-01-23T00:00:00"/>
    <x v="2"/>
    <x v="0"/>
    <x v="3"/>
    <x v="22"/>
    <x v="2"/>
    <x v="2"/>
    <x v="1"/>
    <n v="16048040000"/>
  </r>
  <r>
    <d v="2026-01-23T00:00:00"/>
    <x v="2"/>
    <x v="0"/>
    <x v="3"/>
    <x v="22"/>
    <x v="17"/>
    <x v="9"/>
    <x v="1"/>
    <n v="0"/>
  </r>
  <r>
    <d v="2026-01-23T00:00:00"/>
    <x v="2"/>
    <x v="0"/>
    <x v="3"/>
    <x v="22"/>
    <x v="20"/>
    <x v="9"/>
    <x v="1"/>
    <n v="0"/>
  </r>
  <r>
    <d v="2026-01-23T00:00:00"/>
    <x v="2"/>
    <x v="0"/>
    <x v="3"/>
    <x v="22"/>
    <x v="21"/>
    <x v="9"/>
    <x v="1"/>
    <n v="0"/>
  </r>
  <r>
    <d v="2026-01-23T00:00:00"/>
    <x v="2"/>
    <x v="0"/>
    <x v="3"/>
    <x v="22"/>
    <x v="25"/>
    <x v="2"/>
    <x v="1"/>
    <n v="0"/>
  </r>
  <r>
    <d v="2026-01-23T00:00:00"/>
    <x v="2"/>
    <x v="0"/>
    <x v="3"/>
    <x v="22"/>
    <x v="0"/>
    <x v="0"/>
    <x v="0"/>
    <n v="10630332000"/>
  </r>
  <r>
    <d v="2026-01-23T00:00:00"/>
    <x v="2"/>
    <x v="0"/>
    <x v="3"/>
    <x v="22"/>
    <x v="7"/>
    <x v="7"/>
    <x v="4"/>
    <n v="152190172"/>
  </r>
  <r>
    <d v="2026-01-23T00:00:00"/>
    <x v="2"/>
    <x v="0"/>
    <x v="3"/>
    <x v="22"/>
    <x v="1"/>
    <x v="1"/>
    <x v="1"/>
    <n v="105000000"/>
  </r>
  <r>
    <d v="2026-01-23T00:00:00"/>
    <x v="2"/>
    <x v="0"/>
    <x v="3"/>
    <x v="22"/>
    <x v="6"/>
    <x v="6"/>
    <x v="0"/>
    <n v="30000000"/>
  </r>
  <r>
    <d v="2026-01-23T00:00:00"/>
    <x v="2"/>
    <x v="0"/>
    <x v="3"/>
    <x v="22"/>
    <x v="18"/>
    <x v="15"/>
    <x v="1"/>
    <n v="978700000"/>
  </r>
  <r>
    <d v="2026-01-23T00:00:00"/>
    <x v="2"/>
    <x v="0"/>
    <x v="3"/>
    <x v="22"/>
    <x v="29"/>
    <x v="20"/>
    <x v="0"/>
    <n v="345924000"/>
  </r>
  <r>
    <d v="2026-01-23T00:00:00"/>
    <x v="2"/>
    <x v="0"/>
    <x v="3"/>
    <x v="22"/>
    <x v="19"/>
    <x v="12"/>
    <x v="4"/>
    <n v="320003512"/>
  </r>
  <r>
    <d v="2026-01-23T00:00:00"/>
    <x v="2"/>
    <x v="0"/>
    <x v="3"/>
    <x v="22"/>
    <x v="24"/>
    <x v="18"/>
    <x v="1"/>
    <n v="4293830000"/>
  </r>
  <r>
    <d v="2026-01-23T00:00:00"/>
    <x v="2"/>
    <x v="0"/>
    <x v="3"/>
    <x v="22"/>
    <x v="30"/>
    <x v="21"/>
    <x v="0"/>
    <n v="1116960000"/>
  </r>
  <r>
    <d v="2026-01-24T00:00:00"/>
    <x v="2"/>
    <x v="0"/>
    <x v="3"/>
    <x v="23"/>
    <x v="3"/>
    <x v="3"/>
    <x v="1"/>
    <n v="715050000"/>
  </r>
  <r>
    <d v="2026-01-24T00:00:00"/>
    <x v="2"/>
    <x v="0"/>
    <x v="3"/>
    <x v="23"/>
    <x v="11"/>
    <x v="10"/>
    <x v="4"/>
    <n v="366037698"/>
  </r>
  <r>
    <d v="2026-01-24T00:00:00"/>
    <x v="2"/>
    <x v="0"/>
    <x v="3"/>
    <x v="23"/>
    <x v="12"/>
    <x v="11"/>
    <x v="1"/>
    <n v="12679140000"/>
  </r>
  <r>
    <d v="2026-01-24T00:00:00"/>
    <x v="2"/>
    <x v="0"/>
    <x v="3"/>
    <x v="23"/>
    <x v="5"/>
    <x v="5"/>
    <x v="3"/>
    <n v="1803418143"/>
  </r>
  <r>
    <d v="2026-01-24T00:00:00"/>
    <x v="2"/>
    <x v="0"/>
    <x v="3"/>
    <x v="23"/>
    <x v="27"/>
    <x v="19"/>
    <x v="0"/>
    <n v="13823028000"/>
  </r>
  <r>
    <d v="2026-01-24T00:00:00"/>
    <x v="2"/>
    <x v="0"/>
    <x v="3"/>
    <x v="23"/>
    <x v="15"/>
    <x v="14"/>
    <x v="4"/>
    <n v="1114882"/>
  </r>
  <r>
    <d v="2026-01-24T00:00:00"/>
    <x v="2"/>
    <x v="0"/>
    <x v="3"/>
    <x v="23"/>
    <x v="31"/>
    <x v="22"/>
    <x v="1"/>
    <n v="0"/>
  </r>
  <r>
    <d v="2026-01-24T00:00:00"/>
    <x v="2"/>
    <x v="0"/>
    <x v="3"/>
    <x v="23"/>
    <x v="14"/>
    <x v="13"/>
    <x v="1"/>
    <n v="4192230000"/>
  </r>
  <r>
    <d v="2026-01-24T00:00:00"/>
    <x v="2"/>
    <x v="0"/>
    <x v="3"/>
    <x v="23"/>
    <x v="33"/>
    <x v="13"/>
    <x v="1"/>
    <n v="1276800000"/>
  </r>
  <r>
    <d v="2026-01-24T00:00:00"/>
    <x v="2"/>
    <x v="0"/>
    <x v="3"/>
    <x v="23"/>
    <x v="23"/>
    <x v="17"/>
    <x v="4"/>
    <n v="770000"/>
  </r>
  <r>
    <d v="2026-01-24T00:00:00"/>
    <x v="2"/>
    <x v="0"/>
    <x v="3"/>
    <x v="23"/>
    <x v="28"/>
    <x v="17"/>
    <x v="4"/>
    <n v="1472880198"/>
  </r>
  <r>
    <d v="2026-01-24T00:00:00"/>
    <x v="2"/>
    <x v="0"/>
    <x v="3"/>
    <x v="23"/>
    <x v="8"/>
    <x v="8"/>
    <x v="1"/>
    <n v="0"/>
  </r>
  <r>
    <d v="2026-01-24T00:00:00"/>
    <x v="2"/>
    <x v="0"/>
    <x v="3"/>
    <x v="23"/>
    <x v="26"/>
    <x v="16"/>
    <x v="1"/>
    <n v="164750000"/>
  </r>
  <r>
    <d v="2026-01-24T00:00:00"/>
    <x v="2"/>
    <x v="0"/>
    <x v="3"/>
    <x v="23"/>
    <x v="32"/>
    <x v="16"/>
    <x v="1"/>
    <n v="0"/>
  </r>
  <r>
    <d v="2026-01-24T00:00:00"/>
    <x v="2"/>
    <x v="0"/>
    <x v="3"/>
    <x v="23"/>
    <x v="2"/>
    <x v="2"/>
    <x v="1"/>
    <n v="13038550000"/>
  </r>
  <r>
    <d v="2026-01-24T00:00:00"/>
    <x v="2"/>
    <x v="0"/>
    <x v="3"/>
    <x v="23"/>
    <x v="17"/>
    <x v="9"/>
    <x v="1"/>
    <n v="0"/>
  </r>
  <r>
    <d v="2026-01-24T00:00:00"/>
    <x v="2"/>
    <x v="0"/>
    <x v="3"/>
    <x v="23"/>
    <x v="20"/>
    <x v="9"/>
    <x v="1"/>
    <n v="0"/>
  </r>
  <r>
    <d v="2026-01-24T00:00:00"/>
    <x v="2"/>
    <x v="0"/>
    <x v="3"/>
    <x v="23"/>
    <x v="21"/>
    <x v="9"/>
    <x v="1"/>
    <n v="0"/>
  </r>
  <r>
    <d v="2026-01-24T00:00:00"/>
    <x v="2"/>
    <x v="0"/>
    <x v="3"/>
    <x v="23"/>
    <x v="25"/>
    <x v="2"/>
    <x v="1"/>
    <n v="0"/>
  </r>
  <r>
    <d v="2026-01-24T00:00:00"/>
    <x v="2"/>
    <x v="0"/>
    <x v="3"/>
    <x v="23"/>
    <x v="0"/>
    <x v="0"/>
    <x v="0"/>
    <n v="9946044000"/>
  </r>
  <r>
    <d v="2026-01-24T00:00:00"/>
    <x v="2"/>
    <x v="0"/>
    <x v="3"/>
    <x v="23"/>
    <x v="7"/>
    <x v="7"/>
    <x v="4"/>
    <n v="155691942"/>
  </r>
  <r>
    <d v="2026-01-24T00:00:00"/>
    <x v="2"/>
    <x v="0"/>
    <x v="3"/>
    <x v="23"/>
    <x v="1"/>
    <x v="1"/>
    <x v="1"/>
    <n v="10500000"/>
  </r>
  <r>
    <d v="2026-01-24T00:00:00"/>
    <x v="2"/>
    <x v="0"/>
    <x v="3"/>
    <x v="23"/>
    <x v="6"/>
    <x v="6"/>
    <x v="0"/>
    <n v="32000000"/>
  </r>
  <r>
    <d v="2026-01-24T00:00:00"/>
    <x v="2"/>
    <x v="0"/>
    <x v="3"/>
    <x v="23"/>
    <x v="18"/>
    <x v="15"/>
    <x v="1"/>
    <n v="763170000"/>
  </r>
  <r>
    <d v="2026-01-24T00:00:00"/>
    <x v="2"/>
    <x v="0"/>
    <x v="3"/>
    <x v="23"/>
    <x v="29"/>
    <x v="20"/>
    <x v="0"/>
    <n v="337716000"/>
  </r>
  <r>
    <d v="2026-01-24T00:00:00"/>
    <x v="2"/>
    <x v="0"/>
    <x v="3"/>
    <x v="23"/>
    <x v="19"/>
    <x v="12"/>
    <x v="4"/>
    <n v="355477921"/>
  </r>
  <r>
    <d v="2026-01-24T00:00:00"/>
    <x v="2"/>
    <x v="0"/>
    <x v="3"/>
    <x v="23"/>
    <x v="24"/>
    <x v="18"/>
    <x v="1"/>
    <n v="2971960000"/>
  </r>
  <r>
    <d v="2026-01-24T00:00:00"/>
    <x v="2"/>
    <x v="0"/>
    <x v="3"/>
    <x v="23"/>
    <x v="30"/>
    <x v="21"/>
    <x v="0"/>
    <n v="1006760000"/>
  </r>
  <r>
    <d v="2026-01-25T00:00:00"/>
    <x v="2"/>
    <x v="0"/>
    <x v="3"/>
    <x v="24"/>
    <x v="3"/>
    <x v="3"/>
    <x v="1"/>
    <n v="658150000"/>
  </r>
  <r>
    <d v="2026-01-25T00:00:00"/>
    <x v="2"/>
    <x v="0"/>
    <x v="3"/>
    <x v="24"/>
    <x v="11"/>
    <x v="10"/>
    <x v="4"/>
    <n v="356598797"/>
  </r>
  <r>
    <d v="2026-01-25T00:00:00"/>
    <x v="2"/>
    <x v="0"/>
    <x v="3"/>
    <x v="24"/>
    <x v="12"/>
    <x v="11"/>
    <x v="1"/>
    <n v="12805630000"/>
  </r>
  <r>
    <d v="2026-01-25T00:00:00"/>
    <x v="2"/>
    <x v="0"/>
    <x v="3"/>
    <x v="24"/>
    <x v="5"/>
    <x v="5"/>
    <x v="3"/>
    <n v="1641302147"/>
  </r>
  <r>
    <d v="2026-01-25T00:00:00"/>
    <x v="2"/>
    <x v="0"/>
    <x v="3"/>
    <x v="24"/>
    <x v="27"/>
    <x v="19"/>
    <x v="0"/>
    <n v="13490928000"/>
  </r>
  <r>
    <d v="2026-01-25T00:00:00"/>
    <x v="2"/>
    <x v="0"/>
    <x v="3"/>
    <x v="24"/>
    <x v="15"/>
    <x v="14"/>
    <x v="4"/>
    <n v="15991345"/>
  </r>
  <r>
    <d v="2026-01-25T00:00:00"/>
    <x v="2"/>
    <x v="0"/>
    <x v="3"/>
    <x v="24"/>
    <x v="31"/>
    <x v="22"/>
    <x v="1"/>
    <n v="0"/>
  </r>
  <r>
    <d v="2026-01-25T00:00:00"/>
    <x v="2"/>
    <x v="0"/>
    <x v="3"/>
    <x v="24"/>
    <x v="14"/>
    <x v="13"/>
    <x v="1"/>
    <n v="5800610000"/>
  </r>
  <r>
    <d v="2026-01-25T00:00:00"/>
    <x v="2"/>
    <x v="0"/>
    <x v="3"/>
    <x v="24"/>
    <x v="33"/>
    <x v="13"/>
    <x v="1"/>
    <n v="1009450000"/>
  </r>
  <r>
    <d v="2026-01-25T00:00:00"/>
    <x v="2"/>
    <x v="0"/>
    <x v="3"/>
    <x v="24"/>
    <x v="23"/>
    <x v="17"/>
    <x v="4"/>
    <n v="7189640"/>
  </r>
  <r>
    <d v="2026-01-25T00:00:00"/>
    <x v="2"/>
    <x v="0"/>
    <x v="3"/>
    <x v="24"/>
    <x v="28"/>
    <x v="17"/>
    <x v="4"/>
    <n v="1575733898"/>
  </r>
  <r>
    <d v="2026-01-25T00:00:00"/>
    <x v="2"/>
    <x v="0"/>
    <x v="3"/>
    <x v="24"/>
    <x v="8"/>
    <x v="8"/>
    <x v="1"/>
    <n v="0"/>
  </r>
  <r>
    <d v="2026-01-25T00:00:00"/>
    <x v="2"/>
    <x v="0"/>
    <x v="3"/>
    <x v="24"/>
    <x v="26"/>
    <x v="16"/>
    <x v="1"/>
    <n v="196250000"/>
  </r>
  <r>
    <d v="2026-01-25T00:00:00"/>
    <x v="2"/>
    <x v="0"/>
    <x v="3"/>
    <x v="24"/>
    <x v="32"/>
    <x v="16"/>
    <x v="1"/>
    <n v="0"/>
  </r>
  <r>
    <d v="2026-01-25T00:00:00"/>
    <x v="2"/>
    <x v="0"/>
    <x v="3"/>
    <x v="24"/>
    <x v="2"/>
    <x v="2"/>
    <x v="1"/>
    <n v="15535180000"/>
  </r>
  <r>
    <d v="2026-01-25T00:00:00"/>
    <x v="2"/>
    <x v="0"/>
    <x v="3"/>
    <x v="24"/>
    <x v="17"/>
    <x v="9"/>
    <x v="1"/>
    <n v="0"/>
  </r>
  <r>
    <d v="2026-01-25T00:00:00"/>
    <x v="2"/>
    <x v="0"/>
    <x v="3"/>
    <x v="24"/>
    <x v="20"/>
    <x v="9"/>
    <x v="1"/>
    <n v="0"/>
  </r>
  <r>
    <d v="2026-01-25T00:00:00"/>
    <x v="2"/>
    <x v="0"/>
    <x v="3"/>
    <x v="24"/>
    <x v="21"/>
    <x v="9"/>
    <x v="1"/>
    <n v="0"/>
  </r>
  <r>
    <d v="2026-01-25T00:00:00"/>
    <x v="2"/>
    <x v="0"/>
    <x v="3"/>
    <x v="24"/>
    <x v="25"/>
    <x v="2"/>
    <x v="1"/>
    <n v="0"/>
  </r>
  <r>
    <d v="2026-01-25T00:00:00"/>
    <x v="2"/>
    <x v="0"/>
    <x v="3"/>
    <x v="24"/>
    <x v="0"/>
    <x v="0"/>
    <x v="0"/>
    <n v="10800864000"/>
  </r>
  <r>
    <d v="2026-01-25T00:00:00"/>
    <x v="2"/>
    <x v="0"/>
    <x v="3"/>
    <x v="24"/>
    <x v="7"/>
    <x v="7"/>
    <x v="4"/>
    <n v="148339596"/>
  </r>
  <r>
    <d v="2026-01-25T00:00:00"/>
    <x v="2"/>
    <x v="0"/>
    <x v="3"/>
    <x v="24"/>
    <x v="1"/>
    <x v="1"/>
    <x v="1"/>
    <n v="88750000"/>
  </r>
  <r>
    <d v="2026-01-25T00:00:00"/>
    <x v="2"/>
    <x v="0"/>
    <x v="3"/>
    <x v="24"/>
    <x v="6"/>
    <x v="6"/>
    <x v="0"/>
    <n v="57000000"/>
  </r>
  <r>
    <d v="2026-01-25T00:00:00"/>
    <x v="2"/>
    <x v="0"/>
    <x v="3"/>
    <x v="24"/>
    <x v="18"/>
    <x v="15"/>
    <x v="1"/>
    <n v="996540000"/>
  </r>
  <r>
    <d v="2026-01-25T00:00:00"/>
    <x v="2"/>
    <x v="0"/>
    <x v="3"/>
    <x v="24"/>
    <x v="29"/>
    <x v="20"/>
    <x v="0"/>
    <n v="296136000"/>
  </r>
  <r>
    <d v="2026-01-25T00:00:00"/>
    <x v="2"/>
    <x v="0"/>
    <x v="3"/>
    <x v="24"/>
    <x v="19"/>
    <x v="12"/>
    <x v="4"/>
    <n v="326258892"/>
  </r>
  <r>
    <d v="2026-01-25T00:00:00"/>
    <x v="2"/>
    <x v="0"/>
    <x v="3"/>
    <x v="24"/>
    <x v="24"/>
    <x v="18"/>
    <x v="1"/>
    <n v="3117690000"/>
  </r>
  <r>
    <d v="2026-01-25T00:00:00"/>
    <x v="2"/>
    <x v="0"/>
    <x v="3"/>
    <x v="24"/>
    <x v="30"/>
    <x v="21"/>
    <x v="0"/>
    <n v="1059840000"/>
  </r>
  <r>
    <d v="2026-01-26T00:00:00"/>
    <x v="2"/>
    <x v="0"/>
    <x v="4"/>
    <x v="25"/>
    <x v="3"/>
    <x v="3"/>
    <x v="1"/>
    <n v="666750000"/>
  </r>
  <r>
    <d v="2026-01-26T00:00:00"/>
    <x v="2"/>
    <x v="0"/>
    <x v="4"/>
    <x v="25"/>
    <x v="11"/>
    <x v="10"/>
    <x v="4"/>
    <n v="324787575"/>
  </r>
  <r>
    <d v="2026-01-26T00:00:00"/>
    <x v="2"/>
    <x v="0"/>
    <x v="4"/>
    <x v="25"/>
    <x v="12"/>
    <x v="11"/>
    <x v="1"/>
    <n v="17445010000"/>
  </r>
  <r>
    <d v="2026-01-26T00:00:00"/>
    <x v="2"/>
    <x v="0"/>
    <x v="4"/>
    <x v="25"/>
    <x v="5"/>
    <x v="5"/>
    <x v="3"/>
    <n v="2175792087"/>
  </r>
  <r>
    <d v="2026-01-26T00:00:00"/>
    <x v="2"/>
    <x v="0"/>
    <x v="4"/>
    <x v="25"/>
    <x v="27"/>
    <x v="19"/>
    <x v="0"/>
    <n v="14287320000"/>
  </r>
  <r>
    <d v="2026-01-26T00:00:00"/>
    <x v="2"/>
    <x v="0"/>
    <x v="4"/>
    <x v="25"/>
    <x v="15"/>
    <x v="14"/>
    <x v="4"/>
    <n v="9531104"/>
  </r>
  <r>
    <d v="2026-01-26T00:00:00"/>
    <x v="2"/>
    <x v="0"/>
    <x v="4"/>
    <x v="25"/>
    <x v="31"/>
    <x v="22"/>
    <x v="1"/>
    <n v="0"/>
  </r>
  <r>
    <d v="2026-01-26T00:00:00"/>
    <x v="2"/>
    <x v="0"/>
    <x v="4"/>
    <x v="25"/>
    <x v="14"/>
    <x v="13"/>
    <x v="1"/>
    <n v="5627660000"/>
  </r>
  <r>
    <d v="2026-01-26T00:00:00"/>
    <x v="2"/>
    <x v="0"/>
    <x v="4"/>
    <x v="25"/>
    <x v="33"/>
    <x v="13"/>
    <x v="1"/>
    <n v="1307270000"/>
  </r>
  <r>
    <d v="2026-01-26T00:00:00"/>
    <x v="2"/>
    <x v="0"/>
    <x v="4"/>
    <x v="25"/>
    <x v="23"/>
    <x v="17"/>
    <x v="4"/>
    <n v="6409383"/>
  </r>
  <r>
    <d v="2026-01-26T00:00:00"/>
    <x v="2"/>
    <x v="0"/>
    <x v="4"/>
    <x v="25"/>
    <x v="28"/>
    <x v="17"/>
    <x v="4"/>
    <n v="1073074928"/>
  </r>
  <r>
    <d v="2026-01-26T00:00:00"/>
    <x v="2"/>
    <x v="0"/>
    <x v="4"/>
    <x v="25"/>
    <x v="8"/>
    <x v="8"/>
    <x v="1"/>
    <n v="0"/>
  </r>
  <r>
    <d v="2026-01-26T00:00:00"/>
    <x v="2"/>
    <x v="0"/>
    <x v="4"/>
    <x v="25"/>
    <x v="26"/>
    <x v="16"/>
    <x v="1"/>
    <n v="355850000"/>
  </r>
  <r>
    <d v="2026-01-26T00:00:00"/>
    <x v="2"/>
    <x v="0"/>
    <x v="4"/>
    <x v="25"/>
    <x v="32"/>
    <x v="16"/>
    <x v="1"/>
    <n v="75000000"/>
  </r>
  <r>
    <d v="2026-01-26T00:00:00"/>
    <x v="2"/>
    <x v="0"/>
    <x v="4"/>
    <x v="25"/>
    <x v="2"/>
    <x v="2"/>
    <x v="1"/>
    <n v="16128990000"/>
  </r>
  <r>
    <d v="2026-01-26T00:00:00"/>
    <x v="2"/>
    <x v="0"/>
    <x v="4"/>
    <x v="25"/>
    <x v="17"/>
    <x v="9"/>
    <x v="1"/>
    <n v="0"/>
  </r>
  <r>
    <d v="2026-01-26T00:00:00"/>
    <x v="2"/>
    <x v="0"/>
    <x v="4"/>
    <x v="25"/>
    <x v="20"/>
    <x v="9"/>
    <x v="1"/>
    <n v="0"/>
  </r>
  <r>
    <d v="2026-01-26T00:00:00"/>
    <x v="2"/>
    <x v="0"/>
    <x v="4"/>
    <x v="25"/>
    <x v="21"/>
    <x v="9"/>
    <x v="1"/>
    <n v="0"/>
  </r>
  <r>
    <d v="2026-01-26T00:00:00"/>
    <x v="2"/>
    <x v="0"/>
    <x v="4"/>
    <x v="25"/>
    <x v="25"/>
    <x v="2"/>
    <x v="1"/>
    <n v="0"/>
  </r>
  <r>
    <d v="2026-01-26T00:00:00"/>
    <x v="2"/>
    <x v="0"/>
    <x v="4"/>
    <x v="25"/>
    <x v="0"/>
    <x v="0"/>
    <x v="0"/>
    <n v="10711872000"/>
  </r>
  <r>
    <d v="2026-01-26T00:00:00"/>
    <x v="2"/>
    <x v="0"/>
    <x v="4"/>
    <x v="25"/>
    <x v="7"/>
    <x v="7"/>
    <x v="4"/>
    <n v="204077149"/>
  </r>
  <r>
    <d v="2026-01-26T00:00:00"/>
    <x v="2"/>
    <x v="0"/>
    <x v="4"/>
    <x v="25"/>
    <x v="1"/>
    <x v="1"/>
    <x v="1"/>
    <n v="16000000"/>
  </r>
  <r>
    <d v="2026-01-26T00:00:00"/>
    <x v="2"/>
    <x v="0"/>
    <x v="4"/>
    <x v="25"/>
    <x v="6"/>
    <x v="6"/>
    <x v="0"/>
    <n v="65000000"/>
  </r>
  <r>
    <d v="2026-01-26T00:00:00"/>
    <x v="2"/>
    <x v="0"/>
    <x v="4"/>
    <x v="25"/>
    <x v="18"/>
    <x v="15"/>
    <x v="1"/>
    <n v="794300000"/>
  </r>
  <r>
    <d v="2026-01-26T00:00:00"/>
    <x v="2"/>
    <x v="0"/>
    <x v="4"/>
    <x v="25"/>
    <x v="29"/>
    <x v="20"/>
    <x v="0"/>
    <n v="357480000"/>
  </r>
  <r>
    <d v="2026-01-26T00:00:00"/>
    <x v="2"/>
    <x v="0"/>
    <x v="4"/>
    <x v="25"/>
    <x v="19"/>
    <x v="12"/>
    <x v="4"/>
    <n v="393358233"/>
  </r>
  <r>
    <d v="2026-01-26T00:00:00"/>
    <x v="2"/>
    <x v="0"/>
    <x v="4"/>
    <x v="25"/>
    <x v="24"/>
    <x v="18"/>
    <x v="1"/>
    <n v="3576450000"/>
  </r>
  <r>
    <d v="2026-01-26T00:00:00"/>
    <x v="2"/>
    <x v="0"/>
    <x v="4"/>
    <x v="25"/>
    <x v="30"/>
    <x v="21"/>
    <x v="0"/>
    <n v="1035520000"/>
  </r>
  <r>
    <d v="2026-01-27T00:00:00"/>
    <x v="2"/>
    <x v="0"/>
    <x v="4"/>
    <x v="26"/>
    <x v="3"/>
    <x v="3"/>
    <x v="1"/>
    <n v="860950000"/>
  </r>
  <r>
    <d v="2026-01-27T00:00:00"/>
    <x v="2"/>
    <x v="0"/>
    <x v="4"/>
    <x v="26"/>
    <x v="11"/>
    <x v="10"/>
    <x v="4"/>
    <n v="307292331"/>
  </r>
  <r>
    <d v="2026-01-27T00:00:00"/>
    <x v="2"/>
    <x v="0"/>
    <x v="4"/>
    <x v="26"/>
    <x v="12"/>
    <x v="11"/>
    <x v="1"/>
    <n v="15198910000"/>
  </r>
  <r>
    <d v="2026-01-27T00:00:00"/>
    <x v="2"/>
    <x v="0"/>
    <x v="4"/>
    <x v="26"/>
    <x v="5"/>
    <x v="5"/>
    <x v="3"/>
    <n v="1750348854"/>
  </r>
  <r>
    <d v="2026-01-27T00:00:00"/>
    <x v="2"/>
    <x v="0"/>
    <x v="4"/>
    <x v="26"/>
    <x v="27"/>
    <x v="19"/>
    <x v="0"/>
    <n v="13099644000"/>
  </r>
  <r>
    <d v="2026-01-27T00:00:00"/>
    <x v="2"/>
    <x v="0"/>
    <x v="4"/>
    <x v="26"/>
    <x v="15"/>
    <x v="14"/>
    <x v="4"/>
    <n v="12824565"/>
  </r>
  <r>
    <d v="2026-01-27T00:00:00"/>
    <x v="2"/>
    <x v="0"/>
    <x v="4"/>
    <x v="26"/>
    <x v="31"/>
    <x v="22"/>
    <x v="1"/>
    <n v="90000000"/>
  </r>
  <r>
    <d v="2026-01-27T00:00:00"/>
    <x v="2"/>
    <x v="0"/>
    <x v="4"/>
    <x v="26"/>
    <x v="14"/>
    <x v="13"/>
    <x v="1"/>
    <n v="4565830000"/>
  </r>
  <r>
    <d v="2026-01-27T00:00:00"/>
    <x v="2"/>
    <x v="0"/>
    <x v="4"/>
    <x v="26"/>
    <x v="33"/>
    <x v="13"/>
    <x v="1"/>
    <n v="1184310000"/>
  </r>
  <r>
    <d v="2026-01-27T00:00:00"/>
    <x v="2"/>
    <x v="0"/>
    <x v="4"/>
    <x v="26"/>
    <x v="23"/>
    <x v="17"/>
    <x v="4"/>
    <n v="6093112"/>
  </r>
  <r>
    <d v="2026-01-27T00:00:00"/>
    <x v="2"/>
    <x v="0"/>
    <x v="4"/>
    <x v="26"/>
    <x v="28"/>
    <x v="17"/>
    <x v="4"/>
    <n v="1097345636"/>
  </r>
  <r>
    <d v="2026-01-27T00:00:00"/>
    <x v="2"/>
    <x v="0"/>
    <x v="4"/>
    <x v="26"/>
    <x v="8"/>
    <x v="8"/>
    <x v="1"/>
    <n v="0"/>
  </r>
  <r>
    <d v="2026-01-27T00:00:00"/>
    <x v="2"/>
    <x v="0"/>
    <x v="4"/>
    <x v="26"/>
    <x v="26"/>
    <x v="16"/>
    <x v="1"/>
    <n v="269100000"/>
  </r>
  <r>
    <d v="2026-01-27T00:00:00"/>
    <x v="2"/>
    <x v="0"/>
    <x v="4"/>
    <x v="26"/>
    <x v="32"/>
    <x v="16"/>
    <x v="1"/>
    <n v="50000000"/>
  </r>
  <r>
    <d v="2026-01-27T00:00:00"/>
    <x v="2"/>
    <x v="0"/>
    <x v="4"/>
    <x v="26"/>
    <x v="2"/>
    <x v="2"/>
    <x v="1"/>
    <n v="16055550000"/>
  </r>
  <r>
    <d v="2026-01-27T00:00:00"/>
    <x v="2"/>
    <x v="0"/>
    <x v="4"/>
    <x v="26"/>
    <x v="17"/>
    <x v="9"/>
    <x v="1"/>
    <n v="0"/>
  </r>
  <r>
    <d v="2026-01-27T00:00:00"/>
    <x v="2"/>
    <x v="0"/>
    <x v="4"/>
    <x v="26"/>
    <x v="20"/>
    <x v="9"/>
    <x v="1"/>
    <n v="0"/>
  </r>
  <r>
    <d v="2026-01-27T00:00:00"/>
    <x v="2"/>
    <x v="0"/>
    <x v="4"/>
    <x v="26"/>
    <x v="21"/>
    <x v="9"/>
    <x v="1"/>
    <n v="0"/>
  </r>
  <r>
    <d v="2026-01-27T00:00:00"/>
    <x v="2"/>
    <x v="0"/>
    <x v="4"/>
    <x v="26"/>
    <x v="25"/>
    <x v="2"/>
    <x v="1"/>
    <n v="0"/>
  </r>
  <r>
    <d v="2026-01-27T00:00:00"/>
    <x v="2"/>
    <x v="0"/>
    <x v="4"/>
    <x v="26"/>
    <x v="0"/>
    <x v="0"/>
    <x v="0"/>
    <n v="10637892000"/>
  </r>
  <r>
    <d v="2026-01-27T00:00:00"/>
    <x v="2"/>
    <x v="0"/>
    <x v="4"/>
    <x v="26"/>
    <x v="7"/>
    <x v="7"/>
    <x v="4"/>
    <n v="143015462"/>
  </r>
  <r>
    <d v="2026-01-27T00:00:00"/>
    <x v="2"/>
    <x v="0"/>
    <x v="4"/>
    <x v="26"/>
    <x v="1"/>
    <x v="1"/>
    <x v="1"/>
    <n v="42000000"/>
  </r>
  <r>
    <d v="2026-01-27T00:00:00"/>
    <x v="2"/>
    <x v="0"/>
    <x v="4"/>
    <x v="26"/>
    <x v="6"/>
    <x v="6"/>
    <x v="0"/>
    <n v="29000000"/>
  </r>
  <r>
    <d v="2026-01-27T00:00:00"/>
    <x v="2"/>
    <x v="0"/>
    <x v="4"/>
    <x v="26"/>
    <x v="18"/>
    <x v="15"/>
    <x v="1"/>
    <n v="802390000"/>
  </r>
  <r>
    <d v="2026-01-27T00:00:00"/>
    <x v="2"/>
    <x v="0"/>
    <x v="4"/>
    <x v="26"/>
    <x v="29"/>
    <x v="20"/>
    <x v="0"/>
    <n v="308448000"/>
  </r>
  <r>
    <d v="2026-01-27T00:00:00"/>
    <x v="2"/>
    <x v="0"/>
    <x v="4"/>
    <x v="26"/>
    <x v="19"/>
    <x v="12"/>
    <x v="4"/>
    <n v="407241449"/>
  </r>
  <r>
    <d v="2026-01-27T00:00:00"/>
    <x v="2"/>
    <x v="0"/>
    <x v="4"/>
    <x v="26"/>
    <x v="24"/>
    <x v="18"/>
    <x v="1"/>
    <n v="3536010000"/>
  </r>
  <r>
    <d v="2026-01-27T00:00:00"/>
    <x v="2"/>
    <x v="0"/>
    <x v="4"/>
    <x v="26"/>
    <x v="30"/>
    <x v="21"/>
    <x v="0"/>
    <n v="1021120000"/>
  </r>
  <r>
    <d v="2026-01-28T00:00:00"/>
    <x v="2"/>
    <x v="0"/>
    <x v="4"/>
    <x v="27"/>
    <x v="3"/>
    <x v="3"/>
    <x v="1"/>
    <n v="899600000"/>
  </r>
  <r>
    <d v="2026-01-28T00:00:00"/>
    <x v="2"/>
    <x v="0"/>
    <x v="4"/>
    <x v="27"/>
    <x v="11"/>
    <x v="10"/>
    <x v="4"/>
    <n v="313527514"/>
  </r>
  <r>
    <d v="2026-01-28T00:00:00"/>
    <x v="2"/>
    <x v="0"/>
    <x v="4"/>
    <x v="27"/>
    <x v="12"/>
    <x v="11"/>
    <x v="1"/>
    <n v="16788790000"/>
  </r>
  <r>
    <d v="2026-01-28T00:00:00"/>
    <x v="2"/>
    <x v="0"/>
    <x v="4"/>
    <x v="27"/>
    <x v="5"/>
    <x v="5"/>
    <x v="3"/>
    <n v="2143002804"/>
  </r>
  <r>
    <d v="2026-01-28T00:00:00"/>
    <x v="2"/>
    <x v="0"/>
    <x v="4"/>
    <x v="27"/>
    <x v="27"/>
    <x v="19"/>
    <x v="0"/>
    <n v="12049560000"/>
  </r>
  <r>
    <d v="2026-01-28T00:00:00"/>
    <x v="2"/>
    <x v="0"/>
    <x v="4"/>
    <x v="27"/>
    <x v="15"/>
    <x v="14"/>
    <x v="4"/>
    <n v="6050161"/>
  </r>
  <r>
    <d v="2026-01-28T00:00:00"/>
    <x v="2"/>
    <x v="0"/>
    <x v="4"/>
    <x v="27"/>
    <x v="31"/>
    <x v="22"/>
    <x v="1"/>
    <n v="0"/>
  </r>
  <r>
    <d v="2026-01-28T00:00:00"/>
    <x v="2"/>
    <x v="0"/>
    <x v="4"/>
    <x v="27"/>
    <x v="14"/>
    <x v="13"/>
    <x v="1"/>
    <n v="4504150000"/>
  </r>
  <r>
    <d v="2026-01-28T00:00:00"/>
    <x v="2"/>
    <x v="0"/>
    <x v="4"/>
    <x v="27"/>
    <x v="33"/>
    <x v="13"/>
    <x v="1"/>
    <n v="1271400000"/>
  </r>
  <r>
    <d v="2026-01-28T00:00:00"/>
    <x v="2"/>
    <x v="0"/>
    <x v="4"/>
    <x v="27"/>
    <x v="23"/>
    <x v="17"/>
    <x v="4"/>
    <n v="9141345"/>
  </r>
  <r>
    <d v="2026-01-28T00:00:00"/>
    <x v="2"/>
    <x v="0"/>
    <x v="4"/>
    <x v="27"/>
    <x v="28"/>
    <x v="17"/>
    <x v="4"/>
    <n v="783786124"/>
  </r>
  <r>
    <d v="2026-01-28T00:00:00"/>
    <x v="2"/>
    <x v="0"/>
    <x v="4"/>
    <x v="27"/>
    <x v="8"/>
    <x v="8"/>
    <x v="1"/>
    <n v="0"/>
  </r>
  <r>
    <d v="2026-01-28T00:00:00"/>
    <x v="2"/>
    <x v="0"/>
    <x v="4"/>
    <x v="27"/>
    <x v="26"/>
    <x v="16"/>
    <x v="1"/>
    <n v="10500000"/>
  </r>
  <r>
    <d v="2026-01-28T00:00:00"/>
    <x v="2"/>
    <x v="0"/>
    <x v="4"/>
    <x v="27"/>
    <x v="32"/>
    <x v="16"/>
    <x v="1"/>
    <n v="0"/>
  </r>
  <r>
    <d v="2026-01-28T00:00:00"/>
    <x v="2"/>
    <x v="0"/>
    <x v="4"/>
    <x v="27"/>
    <x v="2"/>
    <x v="2"/>
    <x v="1"/>
    <n v="17562710000"/>
  </r>
  <r>
    <d v="2026-01-28T00:00:00"/>
    <x v="2"/>
    <x v="0"/>
    <x v="4"/>
    <x v="27"/>
    <x v="17"/>
    <x v="9"/>
    <x v="1"/>
    <n v="0"/>
  </r>
  <r>
    <d v="2026-01-28T00:00:00"/>
    <x v="2"/>
    <x v="0"/>
    <x v="4"/>
    <x v="27"/>
    <x v="20"/>
    <x v="9"/>
    <x v="1"/>
    <n v="0"/>
  </r>
  <r>
    <d v="2026-01-28T00:00:00"/>
    <x v="2"/>
    <x v="0"/>
    <x v="4"/>
    <x v="27"/>
    <x v="21"/>
    <x v="9"/>
    <x v="1"/>
    <n v="0"/>
  </r>
  <r>
    <d v="2026-01-28T00:00:00"/>
    <x v="2"/>
    <x v="0"/>
    <x v="4"/>
    <x v="27"/>
    <x v="25"/>
    <x v="2"/>
    <x v="1"/>
    <n v="0"/>
  </r>
  <r>
    <d v="2026-01-28T00:00:00"/>
    <x v="2"/>
    <x v="0"/>
    <x v="4"/>
    <x v="27"/>
    <x v="0"/>
    <x v="0"/>
    <x v="0"/>
    <n v="9428184000"/>
  </r>
  <r>
    <d v="2026-01-28T00:00:00"/>
    <x v="2"/>
    <x v="0"/>
    <x v="4"/>
    <x v="27"/>
    <x v="7"/>
    <x v="7"/>
    <x v="4"/>
    <n v="137552159"/>
  </r>
  <r>
    <d v="2026-01-28T00:00:00"/>
    <x v="2"/>
    <x v="0"/>
    <x v="4"/>
    <x v="27"/>
    <x v="1"/>
    <x v="1"/>
    <x v="1"/>
    <n v="52500000"/>
  </r>
  <r>
    <d v="2026-01-28T00:00:00"/>
    <x v="2"/>
    <x v="0"/>
    <x v="4"/>
    <x v="27"/>
    <x v="6"/>
    <x v="6"/>
    <x v="0"/>
    <n v="44000000"/>
  </r>
  <r>
    <d v="2026-01-28T00:00:00"/>
    <x v="2"/>
    <x v="0"/>
    <x v="4"/>
    <x v="27"/>
    <x v="18"/>
    <x v="15"/>
    <x v="1"/>
    <n v="1038630000"/>
  </r>
  <r>
    <d v="2026-01-28T00:00:00"/>
    <x v="2"/>
    <x v="0"/>
    <x v="4"/>
    <x v="27"/>
    <x v="29"/>
    <x v="20"/>
    <x v="0"/>
    <n v="227772000"/>
  </r>
  <r>
    <d v="2026-01-28T00:00:00"/>
    <x v="2"/>
    <x v="0"/>
    <x v="4"/>
    <x v="27"/>
    <x v="19"/>
    <x v="12"/>
    <x v="4"/>
    <n v="437135256"/>
  </r>
  <r>
    <d v="2026-01-28T00:00:00"/>
    <x v="2"/>
    <x v="0"/>
    <x v="4"/>
    <x v="27"/>
    <x v="24"/>
    <x v="18"/>
    <x v="1"/>
    <n v="3824400000"/>
  </r>
  <r>
    <d v="2026-01-28T00:00:00"/>
    <x v="2"/>
    <x v="0"/>
    <x v="4"/>
    <x v="27"/>
    <x v="30"/>
    <x v="21"/>
    <x v="0"/>
    <n v="1150200000"/>
  </r>
  <r>
    <d v="2026-01-29T00:00:00"/>
    <x v="2"/>
    <x v="0"/>
    <x v="4"/>
    <x v="28"/>
    <x v="3"/>
    <x v="3"/>
    <x v="1"/>
    <n v="686550000"/>
  </r>
  <r>
    <d v="2026-01-29T00:00:00"/>
    <x v="2"/>
    <x v="0"/>
    <x v="4"/>
    <x v="28"/>
    <x v="11"/>
    <x v="10"/>
    <x v="4"/>
    <n v="312566304"/>
  </r>
  <r>
    <d v="2026-01-29T00:00:00"/>
    <x v="2"/>
    <x v="0"/>
    <x v="4"/>
    <x v="28"/>
    <x v="12"/>
    <x v="11"/>
    <x v="1"/>
    <n v="17662440000"/>
  </r>
  <r>
    <d v="2026-01-29T00:00:00"/>
    <x v="2"/>
    <x v="0"/>
    <x v="4"/>
    <x v="28"/>
    <x v="5"/>
    <x v="5"/>
    <x v="3"/>
    <n v="1930713305"/>
  </r>
  <r>
    <d v="2026-01-29T00:00:00"/>
    <x v="2"/>
    <x v="0"/>
    <x v="4"/>
    <x v="28"/>
    <x v="27"/>
    <x v="19"/>
    <x v="0"/>
    <n v="12649068000"/>
  </r>
  <r>
    <d v="2026-01-29T00:00:00"/>
    <x v="2"/>
    <x v="0"/>
    <x v="4"/>
    <x v="28"/>
    <x v="15"/>
    <x v="14"/>
    <x v="4"/>
    <n v="18451945"/>
  </r>
  <r>
    <d v="2026-01-29T00:00:00"/>
    <x v="2"/>
    <x v="0"/>
    <x v="4"/>
    <x v="28"/>
    <x v="31"/>
    <x v="22"/>
    <x v="1"/>
    <n v="0"/>
  </r>
  <r>
    <d v="2026-01-29T00:00:00"/>
    <x v="2"/>
    <x v="0"/>
    <x v="4"/>
    <x v="28"/>
    <x v="14"/>
    <x v="13"/>
    <x v="1"/>
    <n v="4552060000"/>
  </r>
  <r>
    <d v="2026-01-29T00:00:00"/>
    <x v="2"/>
    <x v="0"/>
    <x v="4"/>
    <x v="28"/>
    <x v="33"/>
    <x v="13"/>
    <x v="1"/>
    <n v="1235550000"/>
  </r>
  <r>
    <d v="2026-01-29T00:00:00"/>
    <x v="2"/>
    <x v="0"/>
    <x v="4"/>
    <x v="28"/>
    <x v="23"/>
    <x v="17"/>
    <x v="4"/>
    <n v="31476240"/>
  </r>
  <r>
    <d v="2026-01-29T00:00:00"/>
    <x v="2"/>
    <x v="0"/>
    <x v="4"/>
    <x v="28"/>
    <x v="28"/>
    <x v="17"/>
    <x v="4"/>
    <n v="1004030468"/>
  </r>
  <r>
    <d v="2026-01-29T00:00:00"/>
    <x v="2"/>
    <x v="0"/>
    <x v="4"/>
    <x v="28"/>
    <x v="8"/>
    <x v="8"/>
    <x v="1"/>
    <n v="0"/>
  </r>
  <r>
    <d v="2026-01-29T00:00:00"/>
    <x v="2"/>
    <x v="0"/>
    <x v="4"/>
    <x v="28"/>
    <x v="26"/>
    <x v="16"/>
    <x v="1"/>
    <n v="82000000"/>
  </r>
  <r>
    <d v="2026-01-29T00:00:00"/>
    <x v="2"/>
    <x v="0"/>
    <x v="4"/>
    <x v="28"/>
    <x v="32"/>
    <x v="16"/>
    <x v="1"/>
    <n v="0"/>
  </r>
  <r>
    <d v="2026-01-29T00:00:00"/>
    <x v="2"/>
    <x v="0"/>
    <x v="4"/>
    <x v="28"/>
    <x v="2"/>
    <x v="2"/>
    <x v="1"/>
    <n v="15671860000"/>
  </r>
  <r>
    <d v="2026-01-29T00:00:00"/>
    <x v="2"/>
    <x v="0"/>
    <x v="4"/>
    <x v="28"/>
    <x v="17"/>
    <x v="9"/>
    <x v="1"/>
    <n v="0"/>
  </r>
  <r>
    <d v="2026-01-29T00:00:00"/>
    <x v="2"/>
    <x v="0"/>
    <x v="4"/>
    <x v="28"/>
    <x v="20"/>
    <x v="9"/>
    <x v="1"/>
    <n v="0"/>
  </r>
  <r>
    <d v="2026-01-29T00:00:00"/>
    <x v="2"/>
    <x v="0"/>
    <x v="4"/>
    <x v="28"/>
    <x v="21"/>
    <x v="9"/>
    <x v="1"/>
    <n v="0"/>
  </r>
  <r>
    <d v="2026-01-29T00:00:00"/>
    <x v="2"/>
    <x v="0"/>
    <x v="4"/>
    <x v="28"/>
    <x v="25"/>
    <x v="2"/>
    <x v="1"/>
    <n v="0"/>
  </r>
  <r>
    <d v="2026-01-29T00:00:00"/>
    <x v="2"/>
    <x v="0"/>
    <x v="4"/>
    <x v="28"/>
    <x v="0"/>
    <x v="0"/>
    <x v="0"/>
    <n v="9746352000"/>
  </r>
  <r>
    <d v="2026-01-29T00:00:00"/>
    <x v="2"/>
    <x v="0"/>
    <x v="4"/>
    <x v="28"/>
    <x v="7"/>
    <x v="7"/>
    <x v="4"/>
    <n v="154146315"/>
  </r>
  <r>
    <d v="2026-01-29T00:00:00"/>
    <x v="2"/>
    <x v="0"/>
    <x v="4"/>
    <x v="28"/>
    <x v="1"/>
    <x v="1"/>
    <x v="1"/>
    <n v="56700000"/>
  </r>
  <r>
    <d v="2026-01-29T00:00:00"/>
    <x v="2"/>
    <x v="0"/>
    <x v="4"/>
    <x v="28"/>
    <x v="6"/>
    <x v="6"/>
    <x v="0"/>
    <n v="18000000"/>
  </r>
  <r>
    <d v="2026-01-29T00:00:00"/>
    <x v="2"/>
    <x v="0"/>
    <x v="4"/>
    <x v="28"/>
    <x v="18"/>
    <x v="15"/>
    <x v="1"/>
    <n v="925150000"/>
  </r>
  <r>
    <d v="2026-01-29T00:00:00"/>
    <x v="2"/>
    <x v="0"/>
    <x v="4"/>
    <x v="28"/>
    <x v="29"/>
    <x v="20"/>
    <x v="0"/>
    <n v="329400000"/>
  </r>
  <r>
    <d v="2026-01-29T00:00:00"/>
    <x v="2"/>
    <x v="0"/>
    <x v="4"/>
    <x v="28"/>
    <x v="19"/>
    <x v="12"/>
    <x v="4"/>
    <n v="484685422"/>
  </r>
  <r>
    <d v="2026-01-29T00:00:00"/>
    <x v="2"/>
    <x v="0"/>
    <x v="4"/>
    <x v="28"/>
    <x v="24"/>
    <x v="18"/>
    <x v="1"/>
    <n v="2946050000"/>
  </r>
  <r>
    <d v="2026-01-29T00:00:00"/>
    <x v="2"/>
    <x v="0"/>
    <x v="4"/>
    <x v="28"/>
    <x v="30"/>
    <x v="21"/>
    <x v="0"/>
    <n v="1033280000"/>
  </r>
  <r>
    <d v="2026-01-30T00:00:00"/>
    <x v="2"/>
    <x v="0"/>
    <x v="4"/>
    <x v="29"/>
    <x v="3"/>
    <x v="3"/>
    <x v="1"/>
    <n v="596850000"/>
  </r>
  <r>
    <d v="2026-01-30T00:00:00"/>
    <x v="2"/>
    <x v="0"/>
    <x v="4"/>
    <x v="29"/>
    <x v="11"/>
    <x v="10"/>
    <x v="4"/>
    <n v="361337313"/>
  </r>
  <r>
    <d v="2026-01-30T00:00:00"/>
    <x v="2"/>
    <x v="0"/>
    <x v="4"/>
    <x v="29"/>
    <x v="12"/>
    <x v="11"/>
    <x v="1"/>
    <n v="17772880000"/>
  </r>
  <r>
    <d v="2026-01-30T00:00:00"/>
    <x v="2"/>
    <x v="0"/>
    <x v="4"/>
    <x v="29"/>
    <x v="5"/>
    <x v="5"/>
    <x v="3"/>
    <n v="2277389791"/>
  </r>
  <r>
    <d v="2026-01-30T00:00:00"/>
    <x v="2"/>
    <x v="0"/>
    <x v="4"/>
    <x v="29"/>
    <x v="27"/>
    <x v="19"/>
    <x v="0"/>
    <n v="13122432000"/>
  </r>
  <r>
    <d v="2026-01-30T00:00:00"/>
    <x v="2"/>
    <x v="0"/>
    <x v="4"/>
    <x v="29"/>
    <x v="15"/>
    <x v="14"/>
    <x v="4"/>
    <n v="17800435"/>
  </r>
  <r>
    <d v="2026-01-30T00:00:00"/>
    <x v="2"/>
    <x v="0"/>
    <x v="4"/>
    <x v="29"/>
    <x v="31"/>
    <x v="22"/>
    <x v="1"/>
    <n v="90000000"/>
  </r>
  <r>
    <d v="2026-01-30T00:00:00"/>
    <x v="2"/>
    <x v="0"/>
    <x v="4"/>
    <x v="29"/>
    <x v="14"/>
    <x v="13"/>
    <x v="1"/>
    <n v="4045960000"/>
  </r>
  <r>
    <d v="2026-01-30T00:00:00"/>
    <x v="2"/>
    <x v="0"/>
    <x v="4"/>
    <x v="29"/>
    <x v="33"/>
    <x v="13"/>
    <x v="1"/>
    <n v="1251400000"/>
  </r>
  <r>
    <d v="2026-01-30T00:00:00"/>
    <x v="2"/>
    <x v="0"/>
    <x v="4"/>
    <x v="29"/>
    <x v="23"/>
    <x v="17"/>
    <x v="4"/>
    <n v="33450483"/>
  </r>
  <r>
    <d v="2026-01-30T00:00:00"/>
    <x v="2"/>
    <x v="0"/>
    <x v="4"/>
    <x v="29"/>
    <x v="28"/>
    <x v="17"/>
    <x v="4"/>
    <n v="1191721323"/>
  </r>
  <r>
    <d v="2026-01-30T00:00:00"/>
    <x v="2"/>
    <x v="0"/>
    <x v="4"/>
    <x v="29"/>
    <x v="8"/>
    <x v="8"/>
    <x v="1"/>
    <n v="0"/>
  </r>
  <r>
    <d v="2026-01-30T00:00:00"/>
    <x v="2"/>
    <x v="0"/>
    <x v="4"/>
    <x v="29"/>
    <x v="26"/>
    <x v="16"/>
    <x v="1"/>
    <n v="196500000"/>
  </r>
  <r>
    <d v="2026-01-30T00:00:00"/>
    <x v="2"/>
    <x v="0"/>
    <x v="4"/>
    <x v="29"/>
    <x v="32"/>
    <x v="16"/>
    <x v="1"/>
    <n v="0"/>
  </r>
  <r>
    <d v="2026-01-30T00:00:00"/>
    <x v="2"/>
    <x v="0"/>
    <x v="4"/>
    <x v="29"/>
    <x v="2"/>
    <x v="2"/>
    <x v="1"/>
    <n v="19896470000"/>
  </r>
  <r>
    <d v="2026-01-30T00:00:00"/>
    <x v="2"/>
    <x v="0"/>
    <x v="4"/>
    <x v="29"/>
    <x v="17"/>
    <x v="9"/>
    <x v="1"/>
    <n v="0"/>
  </r>
  <r>
    <d v="2026-01-30T00:00:00"/>
    <x v="2"/>
    <x v="0"/>
    <x v="4"/>
    <x v="29"/>
    <x v="20"/>
    <x v="9"/>
    <x v="1"/>
    <n v="0"/>
  </r>
  <r>
    <d v="2026-01-30T00:00:00"/>
    <x v="2"/>
    <x v="0"/>
    <x v="4"/>
    <x v="29"/>
    <x v="21"/>
    <x v="9"/>
    <x v="1"/>
    <n v="0"/>
  </r>
  <r>
    <d v="2026-01-30T00:00:00"/>
    <x v="2"/>
    <x v="0"/>
    <x v="4"/>
    <x v="29"/>
    <x v="25"/>
    <x v="2"/>
    <x v="1"/>
    <n v="20000000"/>
  </r>
  <r>
    <d v="2026-01-30T00:00:00"/>
    <x v="2"/>
    <x v="0"/>
    <x v="4"/>
    <x v="29"/>
    <x v="0"/>
    <x v="0"/>
    <x v="0"/>
    <n v="10135908000"/>
  </r>
  <r>
    <d v="2026-01-30T00:00:00"/>
    <x v="2"/>
    <x v="0"/>
    <x v="4"/>
    <x v="29"/>
    <x v="7"/>
    <x v="7"/>
    <x v="4"/>
    <n v="163204446"/>
  </r>
  <r>
    <d v="2026-01-30T00:00:00"/>
    <x v="2"/>
    <x v="0"/>
    <x v="4"/>
    <x v="29"/>
    <x v="1"/>
    <x v="1"/>
    <x v="1"/>
    <n v="157500000"/>
  </r>
  <r>
    <d v="2026-01-30T00:00:00"/>
    <x v="2"/>
    <x v="0"/>
    <x v="4"/>
    <x v="29"/>
    <x v="6"/>
    <x v="6"/>
    <x v="0"/>
    <n v="28000000"/>
  </r>
  <r>
    <d v="2026-01-30T00:00:00"/>
    <x v="2"/>
    <x v="0"/>
    <x v="4"/>
    <x v="29"/>
    <x v="18"/>
    <x v="15"/>
    <x v="1"/>
    <n v="719640000"/>
  </r>
  <r>
    <d v="2026-01-30T00:00:00"/>
    <x v="2"/>
    <x v="0"/>
    <x v="4"/>
    <x v="29"/>
    <x v="29"/>
    <x v="20"/>
    <x v="0"/>
    <n v="365148000"/>
  </r>
  <r>
    <d v="2026-01-30T00:00:00"/>
    <x v="2"/>
    <x v="0"/>
    <x v="4"/>
    <x v="29"/>
    <x v="19"/>
    <x v="12"/>
    <x v="4"/>
    <n v="525417465"/>
  </r>
  <r>
    <d v="2026-01-30T00:00:00"/>
    <x v="2"/>
    <x v="0"/>
    <x v="4"/>
    <x v="29"/>
    <x v="24"/>
    <x v="18"/>
    <x v="1"/>
    <n v="3193540000"/>
  </r>
  <r>
    <d v="2026-01-30T00:00:00"/>
    <x v="2"/>
    <x v="0"/>
    <x v="4"/>
    <x v="29"/>
    <x v="30"/>
    <x v="21"/>
    <x v="0"/>
    <n v="959960000"/>
  </r>
  <r>
    <d v="2026-01-31T00:00:00"/>
    <x v="2"/>
    <x v="0"/>
    <x v="4"/>
    <x v="30"/>
    <x v="3"/>
    <x v="3"/>
    <x v="1"/>
    <n v="677050000"/>
  </r>
  <r>
    <d v="2026-01-31T00:00:00"/>
    <x v="2"/>
    <x v="0"/>
    <x v="4"/>
    <x v="30"/>
    <x v="11"/>
    <x v="10"/>
    <x v="4"/>
    <n v="373883034"/>
  </r>
  <r>
    <d v="2026-01-31T00:00:00"/>
    <x v="2"/>
    <x v="0"/>
    <x v="4"/>
    <x v="30"/>
    <x v="12"/>
    <x v="11"/>
    <x v="1"/>
    <n v="14895630000"/>
  </r>
  <r>
    <d v="2026-01-31T00:00:00"/>
    <x v="2"/>
    <x v="0"/>
    <x v="4"/>
    <x v="30"/>
    <x v="5"/>
    <x v="5"/>
    <x v="3"/>
    <n v="2048752719"/>
  </r>
  <r>
    <d v="2026-01-31T00:00:00"/>
    <x v="2"/>
    <x v="0"/>
    <x v="4"/>
    <x v="30"/>
    <x v="27"/>
    <x v="19"/>
    <x v="0"/>
    <n v="12375072000"/>
  </r>
  <r>
    <d v="2026-01-31T00:00:00"/>
    <x v="2"/>
    <x v="0"/>
    <x v="4"/>
    <x v="30"/>
    <x v="15"/>
    <x v="14"/>
    <x v="4"/>
    <n v="11374944"/>
  </r>
  <r>
    <d v="2026-01-31T00:00:00"/>
    <x v="2"/>
    <x v="0"/>
    <x v="4"/>
    <x v="30"/>
    <x v="31"/>
    <x v="22"/>
    <x v="1"/>
    <n v="0"/>
  </r>
  <r>
    <d v="2026-01-31T00:00:00"/>
    <x v="2"/>
    <x v="0"/>
    <x v="4"/>
    <x v="30"/>
    <x v="14"/>
    <x v="13"/>
    <x v="1"/>
    <n v="4307450000"/>
  </r>
  <r>
    <d v="2026-01-31T00:00:00"/>
    <x v="2"/>
    <x v="0"/>
    <x v="4"/>
    <x v="30"/>
    <x v="33"/>
    <x v="13"/>
    <x v="1"/>
    <n v="1593100000"/>
  </r>
  <r>
    <d v="2026-01-31T00:00:00"/>
    <x v="2"/>
    <x v="0"/>
    <x v="4"/>
    <x v="30"/>
    <x v="23"/>
    <x v="17"/>
    <x v="4"/>
    <n v="5832456"/>
  </r>
  <r>
    <d v="2026-01-31T00:00:00"/>
    <x v="2"/>
    <x v="0"/>
    <x v="4"/>
    <x v="30"/>
    <x v="28"/>
    <x v="17"/>
    <x v="4"/>
    <n v="1174527093"/>
  </r>
  <r>
    <d v="2026-01-31T00:00:00"/>
    <x v="2"/>
    <x v="0"/>
    <x v="4"/>
    <x v="30"/>
    <x v="8"/>
    <x v="8"/>
    <x v="1"/>
    <n v="0"/>
  </r>
  <r>
    <d v="2026-01-31T00:00:00"/>
    <x v="2"/>
    <x v="0"/>
    <x v="4"/>
    <x v="30"/>
    <x v="26"/>
    <x v="16"/>
    <x v="1"/>
    <n v="206750000"/>
  </r>
  <r>
    <d v="2026-01-31T00:00:00"/>
    <x v="2"/>
    <x v="0"/>
    <x v="4"/>
    <x v="30"/>
    <x v="32"/>
    <x v="16"/>
    <x v="1"/>
    <n v="0"/>
  </r>
  <r>
    <d v="2026-01-31T00:00:00"/>
    <x v="2"/>
    <x v="0"/>
    <x v="4"/>
    <x v="30"/>
    <x v="2"/>
    <x v="2"/>
    <x v="1"/>
    <n v="18154570000"/>
  </r>
  <r>
    <d v="2026-01-31T00:00:00"/>
    <x v="2"/>
    <x v="0"/>
    <x v="4"/>
    <x v="30"/>
    <x v="17"/>
    <x v="9"/>
    <x v="1"/>
    <n v="0"/>
  </r>
  <r>
    <d v="2026-01-31T00:00:00"/>
    <x v="2"/>
    <x v="0"/>
    <x v="4"/>
    <x v="30"/>
    <x v="20"/>
    <x v="9"/>
    <x v="1"/>
    <n v="0"/>
  </r>
  <r>
    <d v="2026-01-31T00:00:00"/>
    <x v="2"/>
    <x v="0"/>
    <x v="4"/>
    <x v="30"/>
    <x v="21"/>
    <x v="9"/>
    <x v="1"/>
    <n v="0"/>
  </r>
  <r>
    <d v="2026-01-31T00:00:00"/>
    <x v="2"/>
    <x v="0"/>
    <x v="4"/>
    <x v="30"/>
    <x v="25"/>
    <x v="2"/>
    <x v="1"/>
    <n v="20700000"/>
  </r>
  <r>
    <d v="2026-01-31T00:00:00"/>
    <x v="2"/>
    <x v="0"/>
    <x v="4"/>
    <x v="30"/>
    <x v="0"/>
    <x v="0"/>
    <x v="0"/>
    <n v="9434988000"/>
  </r>
  <r>
    <d v="2026-01-31T00:00:00"/>
    <x v="2"/>
    <x v="0"/>
    <x v="4"/>
    <x v="30"/>
    <x v="7"/>
    <x v="7"/>
    <x v="4"/>
    <n v="175108185"/>
  </r>
  <r>
    <d v="2026-01-31T00:00:00"/>
    <x v="2"/>
    <x v="0"/>
    <x v="4"/>
    <x v="30"/>
    <x v="1"/>
    <x v="1"/>
    <x v="1"/>
    <n v="26250000"/>
  </r>
  <r>
    <d v="2026-01-31T00:00:00"/>
    <x v="2"/>
    <x v="0"/>
    <x v="4"/>
    <x v="30"/>
    <x v="6"/>
    <x v="6"/>
    <x v="0"/>
    <n v="54000000"/>
  </r>
  <r>
    <d v="2026-01-31T00:00:00"/>
    <x v="2"/>
    <x v="0"/>
    <x v="4"/>
    <x v="30"/>
    <x v="18"/>
    <x v="15"/>
    <x v="1"/>
    <n v="835070000"/>
  </r>
  <r>
    <d v="2026-01-31T00:00:00"/>
    <x v="2"/>
    <x v="0"/>
    <x v="4"/>
    <x v="30"/>
    <x v="29"/>
    <x v="20"/>
    <x v="0"/>
    <n v="250776000"/>
  </r>
  <r>
    <d v="2026-01-31T00:00:00"/>
    <x v="2"/>
    <x v="0"/>
    <x v="4"/>
    <x v="30"/>
    <x v="19"/>
    <x v="12"/>
    <x v="4"/>
    <n v="414307783"/>
  </r>
  <r>
    <d v="2026-01-31T00:00:00"/>
    <x v="2"/>
    <x v="0"/>
    <x v="4"/>
    <x v="30"/>
    <x v="24"/>
    <x v="18"/>
    <x v="1"/>
    <n v="2784890000"/>
  </r>
  <r>
    <d v="2026-01-31T00:00:00"/>
    <x v="2"/>
    <x v="0"/>
    <x v="4"/>
    <x v="30"/>
    <x v="30"/>
    <x v="21"/>
    <x v="0"/>
    <n v="821560000"/>
  </r>
  <r>
    <d v="2026-02-01T00:00:00"/>
    <x v="2"/>
    <x v="1"/>
    <x v="4"/>
    <x v="0"/>
    <x v="3"/>
    <x v="3"/>
    <x v="1"/>
    <n v="831100000"/>
  </r>
  <r>
    <d v="2026-02-01T00:00:00"/>
    <x v="2"/>
    <x v="1"/>
    <x v="4"/>
    <x v="0"/>
    <x v="11"/>
    <x v="10"/>
    <x v="4"/>
    <n v="417907862"/>
  </r>
  <r>
    <d v="2026-02-01T00:00:00"/>
    <x v="2"/>
    <x v="1"/>
    <x v="4"/>
    <x v="0"/>
    <x v="12"/>
    <x v="11"/>
    <x v="1"/>
    <n v="15700030000"/>
  </r>
  <r>
    <d v="2026-02-01T00:00:00"/>
    <x v="2"/>
    <x v="1"/>
    <x v="4"/>
    <x v="0"/>
    <x v="5"/>
    <x v="5"/>
    <x v="3"/>
    <n v="3282208120"/>
  </r>
  <r>
    <d v="2026-02-01T00:00:00"/>
    <x v="2"/>
    <x v="1"/>
    <x v="4"/>
    <x v="0"/>
    <x v="27"/>
    <x v="19"/>
    <x v="0"/>
    <n v="13618476000"/>
  </r>
  <r>
    <d v="2026-02-01T00:00:00"/>
    <x v="2"/>
    <x v="1"/>
    <x v="4"/>
    <x v="0"/>
    <x v="15"/>
    <x v="14"/>
    <x v="4"/>
    <n v="26208373"/>
  </r>
  <r>
    <d v="2026-02-01T00:00:00"/>
    <x v="2"/>
    <x v="1"/>
    <x v="4"/>
    <x v="0"/>
    <x v="31"/>
    <x v="22"/>
    <x v="1"/>
    <n v="0"/>
  </r>
  <r>
    <d v="2026-02-01T00:00:00"/>
    <x v="2"/>
    <x v="1"/>
    <x v="4"/>
    <x v="0"/>
    <x v="14"/>
    <x v="13"/>
    <x v="1"/>
    <n v="5951750000"/>
  </r>
  <r>
    <d v="2026-02-01T00:00:00"/>
    <x v="2"/>
    <x v="1"/>
    <x v="4"/>
    <x v="0"/>
    <x v="33"/>
    <x v="13"/>
    <x v="1"/>
    <n v="1592470000"/>
  </r>
  <r>
    <d v="2026-02-01T00:00:00"/>
    <x v="2"/>
    <x v="1"/>
    <x v="4"/>
    <x v="0"/>
    <x v="23"/>
    <x v="17"/>
    <x v="4"/>
    <n v="5495403"/>
  </r>
  <r>
    <d v="2026-02-01T00:00:00"/>
    <x v="2"/>
    <x v="1"/>
    <x v="4"/>
    <x v="0"/>
    <x v="28"/>
    <x v="17"/>
    <x v="4"/>
    <n v="2279428587"/>
  </r>
  <r>
    <d v="2026-02-01T00:00:00"/>
    <x v="2"/>
    <x v="1"/>
    <x v="4"/>
    <x v="0"/>
    <x v="8"/>
    <x v="8"/>
    <x v="1"/>
    <n v="0"/>
  </r>
  <r>
    <d v="2026-02-01T00:00:00"/>
    <x v="2"/>
    <x v="1"/>
    <x v="4"/>
    <x v="0"/>
    <x v="26"/>
    <x v="16"/>
    <x v="1"/>
    <n v="147500000"/>
  </r>
  <r>
    <d v="2026-02-01T00:00:00"/>
    <x v="2"/>
    <x v="1"/>
    <x v="4"/>
    <x v="0"/>
    <x v="32"/>
    <x v="16"/>
    <x v="1"/>
    <n v="0"/>
  </r>
  <r>
    <d v="2026-02-01T00:00:00"/>
    <x v="2"/>
    <x v="1"/>
    <x v="4"/>
    <x v="0"/>
    <x v="2"/>
    <x v="2"/>
    <x v="1"/>
    <n v="20007180000"/>
  </r>
  <r>
    <d v="2026-02-01T00:00:00"/>
    <x v="2"/>
    <x v="1"/>
    <x v="4"/>
    <x v="0"/>
    <x v="17"/>
    <x v="9"/>
    <x v="1"/>
    <n v="0"/>
  </r>
  <r>
    <d v="2026-02-01T00:00:00"/>
    <x v="2"/>
    <x v="1"/>
    <x v="4"/>
    <x v="0"/>
    <x v="20"/>
    <x v="9"/>
    <x v="1"/>
    <n v="0"/>
  </r>
  <r>
    <d v="2026-02-01T00:00:00"/>
    <x v="2"/>
    <x v="1"/>
    <x v="4"/>
    <x v="0"/>
    <x v="21"/>
    <x v="9"/>
    <x v="1"/>
    <n v="0"/>
  </r>
  <r>
    <d v="2026-02-01T00:00:00"/>
    <x v="2"/>
    <x v="1"/>
    <x v="4"/>
    <x v="0"/>
    <x v="25"/>
    <x v="2"/>
    <x v="1"/>
    <n v="5000000"/>
  </r>
  <r>
    <d v="2026-02-01T00:00:00"/>
    <x v="2"/>
    <x v="1"/>
    <x v="4"/>
    <x v="0"/>
    <x v="0"/>
    <x v="0"/>
    <x v="0"/>
    <n v="11076048000"/>
  </r>
  <r>
    <d v="2026-02-01T00:00:00"/>
    <x v="2"/>
    <x v="1"/>
    <x v="4"/>
    <x v="0"/>
    <x v="7"/>
    <x v="7"/>
    <x v="4"/>
    <n v="411746350"/>
  </r>
  <r>
    <d v="2026-02-01T00:00:00"/>
    <x v="2"/>
    <x v="1"/>
    <x v="4"/>
    <x v="0"/>
    <x v="1"/>
    <x v="1"/>
    <x v="1"/>
    <n v="52500000"/>
  </r>
  <r>
    <d v="2026-02-01T00:00:00"/>
    <x v="2"/>
    <x v="1"/>
    <x v="4"/>
    <x v="0"/>
    <x v="6"/>
    <x v="6"/>
    <x v="0"/>
    <n v="63000000"/>
  </r>
  <r>
    <d v="2026-02-01T00:00:00"/>
    <x v="2"/>
    <x v="1"/>
    <x v="4"/>
    <x v="0"/>
    <x v="18"/>
    <x v="15"/>
    <x v="1"/>
    <n v="634180000"/>
  </r>
  <r>
    <d v="2026-02-01T00:00:00"/>
    <x v="2"/>
    <x v="1"/>
    <x v="4"/>
    <x v="0"/>
    <x v="29"/>
    <x v="20"/>
    <x v="0"/>
    <n v="316332000"/>
  </r>
  <r>
    <d v="2026-02-01T00:00:00"/>
    <x v="2"/>
    <x v="1"/>
    <x v="4"/>
    <x v="0"/>
    <x v="19"/>
    <x v="12"/>
    <x v="4"/>
    <n v="702035450"/>
  </r>
  <r>
    <d v="2026-02-01T00:00:00"/>
    <x v="2"/>
    <x v="1"/>
    <x v="4"/>
    <x v="0"/>
    <x v="24"/>
    <x v="18"/>
    <x v="1"/>
    <n v="3272080000"/>
  </r>
  <r>
    <d v="2026-02-01T00:00:00"/>
    <x v="2"/>
    <x v="1"/>
    <x v="4"/>
    <x v="0"/>
    <x v="30"/>
    <x v="21"/>
    <x v="0"/>
    <n v="902000000"/>
  </r>
  <r>
    <d v="2026-02-02T00:00:00"/>
    <x v="2"/>
    <x v="1"/>
    <x v="5"/>
    <x v="1"/>
    <x v="3"/>
    <x v="3"/>
    <x v="1"/>
    <n v="1003950000"/>
  </r>
  <r>
    <d v="2026-02-02T00:00:00"/>
    <x v="2"/>
    <x v="1"/>
    <x v="5"/>
    <x v="1"/>
    <x v="11"/>
    <x v="10"/>
    <x v="4"/>
    <n v="415051108"/>
  </r>
  <r>
    <d v="2026-02-02T00:00:00"/>
    <x v="2"/>
    <x v="1"/>
    <x v="5"/>
    <x v="1"/>
    <x v="12"/>
    <x v="11"/>
    <x v="1"/>
    <n v="19412460000"/>
  </r>
  <r>
    <d v="2026-02-02T00:00:00"/>
    <x v="2"/>
    <x v="1"/>
    <x v="5"/>
    <x v="1"/>
    <x v="5"/>
    <x v="5"/>
    <x v="3"/>
    <n v="3878796475"/>
  </r>
  <r>
    <d v="2026-02-02T00:00:00"/>
    <x v="2"/>
    <x v="1"/>
    <x v="5"/>
    <x v="1"/>
    <x v="27"/>
    <x v="19"/>
    <x v="0"/>
    <n v="15100992000"/>
  </r>
  <r>
    <d v="2026-02-02T00:00:00"/>
    <x v="2"/>
    <x v="1"/>
    <x v="5"/>
    <x v="1"/>
    <x v="15"/>
    <x v="14"/>
    <x v="4"/>
    <n v="44901749"/>
  </r>
  <r>
    <d v="2026-02-02T00:00:00"/>
    <x v="2"/>
    <x v="1"/>
    <x v="5"/>
    <x v="1"/>
    <x v="31"/>
    <x v="22"/>
    <x v="1"/>
    <n v="0"/>
  </r>
  <r>
    <d v="2026-02-02T00:00:00"/>
    <x v="2"/>
    <x v="1"/>
    <x v="5"/>
    <x v="1"/>
    <x v="14"/>
    <x v="13"/>
    <x v="1"/>
    <n v="5490500000"/>
  </r>
  <r>
    <d v="2026-02-02T00:00:00"/>
    <x v="2"/>
    <x v="1"/>
    <x v="5"/>
    <x v="1"/>
    <x v="33"/>
    <x v="13"/>
    <x v="1"/>
    <n v="1823140000"/>
  </r>
  <r>
    <d v="2026-02-02T00:00:00"/>
    <x v="2"/>
    <x v="1"/>
    <x v="5"/>
    <x v="1"/>
    <x v="23"/>
    <x v="17"/>
    <x v="4"/>
    <n v="34523861"/>
  </r>
  <r>
    <d v="2026-02-02T00:00:00"/>
    <x v="2"/>
    <x v="1"/>
    <x v="5"/>
    <x v="1"/>
    <x v="28"/>
    <x v="17"/>
    <x v="4"/>
    <n v="2130199811"/>
  </r>
  <r>
    <d v="2026-02-02T00:00:00"/>
    <x v="2"/>
    <x v="1"/>
    <x v="5"/>
    <x v="1"/>
    <x v="8"/>
    <x v="8"/>
    <x v="1"/>
    <n v="0"/>
  </r>
  <r>
    <d v="2026-02-02T00:00:00"/>
    <x v="2"/>
    <x v="1"/>
    <x v="5"/>
    <x v="1"/>
    <x v="26"/>
    <x v="16"/>
    <x v="1"/>
    <n v="169000000"/>
  </r>
  <r>
    <d v="2026-02-02T00:00:00"/>
    <x v="2"/>
    <x v="1"/>
    <x v="5"/>
    <x v="1"/>
    <x v="32"/>
    <x v="16"/>
    <x v="1"/>
    <n v="0"/>
  </r>
  <r>
    <d v="2026-02-02T00:00:00"/>
    <x v="2"/>
    <x v="1"/>
    <x v="5"/>
    <x v="1"/>
    <x v="2"/>
    <x v="2"/>
    <x v="1"/>
    <n v="21816350000"/>
  </r>
  <r>
    <d v="2026-02-02T00:00:00"/>
    <x v="2"/>
    <x v="1"/>
    <x v="5"/>
    <x v="1"/>
    <x v="17"/>
    <x v="9"/>
    <x v="1"/>
    <n v="0"/>
  </r>
  <r>
    <d v="2026-02-02T00:00:00"/>
    <x v="2"/>
    <x v="1"/>
    <x v="5"/>
    <x v="1"/>
    <x v="20"/>
    <x v="9"/>
    <x v="1"/>
    <n v="0"/>
  </r>
  <r>
    <d v="2026-02-02T00:00:00"/>
    <x v="2"/>
    <x v="1"/>
    <x v="5"/>
    <x v="1"/>
    <x v="21"/>
    <x v="9"/>
    <x v="1"/>
    <n v="0"/>
  </r>
  <r>
    <d v="2026-02-02T00:00:00"/>
    <x v="2"/>
    <x v="1"/>
    <x v="5"/>
    <x v="1"/>
    <x v="25"/>
    <x v="2"/>
    <x v="1"/>
    <n v="37100000"/>
  </r>
  <r>
    <d v="2026-02-02T00:00:00"/>
    <x v="2"/>
    <x v="1"/>
    <x v="5"/>
    <x v="1"/>
    <x v="0"/>
    <x v="0"/>
    <x v="0"/>
    <n v="11912292000"/>
  </r>
  <r>
    <d v="2026-02-02T00:00:00"/>
    <x v="2"/>
    <x v="1"/>
    <x v="5"/>
    <x v="1"/>
    <x v="7"/>
    <x v="7"/>
    <x v="4"/>
    <n v="447859640"/>
  </r>
  <r>
    <d v="2026-02-02T00:00:00"/>
    <x v="2"/>
    <x v="1"/>
    <x v="5"/>
    <x v="1"/>
    <x v="1"/>
    <x v="1"/>
    <x v="1"/>
    <n v="52000000"/>
  </r>
  <r>
    <d v="2026-02-02T00:00:00"/>
    <x v="2"/>
    <x v="1"/>
    <x v="5"/>
    <x v="1"/>
    <x v="6"/>
    <x v="6"/>
    <x v="0"/>
    <n v="49000000"/>
  </r>
  <r>
    <d v="2026-02-02T00:00:00"/>
    <x v="2"/>
    <x v="1"/>
    <x v="5"/>
    <x v="1"/>
    <x v="18"/>
    <x v="15"/>
    <x v="1"/>
    <n v="1013200000"/>
  </r>
  <r>
    <d v="2026-02-02T00:00:00"/>
    <x v="2"/>
    <x v="1"/>
    <x v="5"/>
    <x v="1"/>
    <x v="29"/>
    <x v="20"/>
    <x v="0"/>
    <n v="458028000"/>
  </r>
  <r>
    <d v="2026-02-02T00:00:00"/>
    <x v="2"/>
    <x v="1"/>
    <x v="5"/>
    <x v="1"/>
    <x v="19"/>
    <x v="12"/>
    <x v="4"/>
    <n v="992318820"/>
  </r>
  <r>
    <d v="2026-02-02T00:00:00"/>
    <x v="2"/>
    <x v="1"/>
    <x v="5"/>
    <x v="1"/>
    <x v="24"/>
    <x v="18"/>
    <x v="1"/>
    <n v="4600240000"/>
  </r>
  <r>
    <d v="2026-02-02T00:00:00"/>
    <x v="2"/>
    <x v="1"/>
    <x v="5"/>
    <x v="1"/>
    <x v="30"/>
    <x v="21"/>
    <x v="0"/>
    <n v="915800000"/>
  </r>
  <r>
    <d v="2026-02-03T00:00:00"/>
    <x v="2"/>
    <x v="1"/>
    <x v="5"/>
    <x v="2"/>
    <x v="3"/>
    <x v="3"/>
    <x v="1"/>
    <n v="757350000"/>
  </r>
  <r>
    <d v="2026-02-03T00:00:00"/>
    <x v="2"/>
    <x v="1"/>
    <x v="5"/>
    <x v="2"/>
    <x v="11"/>
    <x v="10"/>
    <x v="4"/>
    <n v="450793395"/>
  </r>
  <r>
    <d v="2026-02-03T00:00:00"/>
    <x v="2"/>
    <x v="1"/>
    <x v="5"/>
    <x v="2"/>
    <x v="12"/>
    <x v="11"/>
    <x v="1"/>
    <n v="19764290000"/>
  </r>
  <r>
    <d v="2026-02-03T00:00:00"/>
    <x v="2"/>
    <x v="1"/>
    <x v="5"/>
    <x v="2"/>
    <x v="5"/>
    <x v="5"/>
    <x v="3"/>
    <n v="2759130350"/>
  </r>
  <r>
    <d v="2026-02-03T00:00:00"/>
    <x v="2"/>
    <x v="1"/>
    <x v="5"/>
    <x v="2"/>
    <x v="27"/>
    <x v="19"/>
    <x v="0"/>
    <n v="14963508000"/>
  </r>
  <r>
    <d v="2026-02-03T00:00:00"/>
    <x v="2"/>
    <x v="1"/>
    <x v="5"/>
    <x v="2"/>
    <x v="15"/>
    <x v="14"/>
    <x v="4"/>
    <n v="63202779"/>
  </r>
  <r>
    <d v="2026-02-03T00:00:00"/>
    <x v="2"/>
    <x v="1"/>
    <x v="5"/>
    <x v="2"/>
    <x v="31"/>
    <x v="22"/>
    <x v="1"/>
    <n v="170000000"/>
  </r>
  <r>
    <d v="2026-02-03T00:00:00"/>
    <x v="2"/>
    <x v="1"/>
    <x v="5"/>
    <x v="2"/>
    <x v="14"/>
    <x v="13"/>
    <x v="1"/>
    <n v="4933810000"/>
  </r>
  <r>
    <d v="2026-02-03T00:00:00"/>
    <x v="2"/>
    <x v="1"/>
    <x v="5"/>
    <x v="2"/>
    <x v="33"/>
    <x v="13"/>
    <x v="1"/>
    <n v="1587740000"/>
  </r>
  <r>
    <d v="2026-02-03T00:00:00"/>
    <x v="2"/>
    <x v="1"/>
    <x v="5"/>
    <x v="2"/>
    <x v="23"/>
    <x v="17"/>
    <x v="4"/>
    <n v="56334108"/>
  </r>
  <r>
    <d v="2026-02-03T00:00:00"/>
    <x v="2"/>
    <x v="1"/>
    <x v="5"/>
    <x v="2"/>
    <x v="28"/>
    <x v="17"/>
    <x v="4"/>
    <n v="2337638612"/>
  </r>
  <r>
    <d v="2026-02-03T00:00:00"/>
    <x v="2"/>
    <x v="1"/>
    <x v="5"/>
    <x v="2"/>
    <x v="8"/>
    <x v="8"/>
    <x v="1"/>
    <n v="0"/>
  </r>
  <r>
    <d v="2026-02-03T00:00:00"/>
    <x v="2"/>
    <x v="1"/>
    <x v="5"/>
    <x v="2"/>
    <x v="26"/>
    <x v="16"/>
    <x v="1"/>
    <n v="136500000"/>
  </r>
  <r>
    <d v="2026-02-03T00:00:00"/>
    <x v="2"/>
    <x v="1"/>
    <x v="5"/>
    <x v="2"/>
    <x v="32"/>
    <x v="16"/>
    <x v="1"/>
    <n v="134930000"/>
  </r>
  <r>
    <d v="2026-02-03T00:00:00"/>
    <x v="2"/>
    <x v="1"/>
    <x v="5"/>
    <x v="2"/>
    <x v="2"/>
    <x v="2"/>
    <x v="1"/>
    <n v="19479820000"/>
  </r>
  <r>
    <d v="2026-02-03T00:00:00"/>
    <x v="2"/>
    <x v="1"/>
    <x v="5"/>
    <x v="2"/>
    <x v="17"/>
    <x v="9"/>
    <x v="1"/>
    <n v="0"/>
  </r>
  <r>
    <d v="2026-02-03T00:00:00"/>
    <x v="2"/>
    <x v="1"/>
    <x v="5"/>
    <x v="2"/>
    <x v="20"/>
    <x v="9"/>
    <x v="1"/>
    <n v="0"/>
  </r>
  <r>
    <d v="2026-02-03T00:00:00"/>
    <x v="2"/>
    <x v="1"/>
    <x v="5"/>
    <x v="2"/>
    <x v="21"/>
    <x v="9"/>
    <x v="1"/>
    <n v="0"/>
  </r>
  <r>
    <d v="2026-02-03T00:00:00"/>
    <x v="2"/>
    <x v="1"/>
    <x v="5"/>
    <x v="2"/>
    <x v="25"/>
    <x v="2"/>
    <x v="1"/>
    <n v="0"/>
  </r>
  <r>
    <d v="2026-02-03T00:00:00"/>
    <x v="2"/>
    <x v="1"/>
    <x v="5"/>
    <x v="2"/>
    <x v="0"/>
    <x v="0"/>
    <x v="0"/>
    <n v="11214612000"/>
  </r>
  <r>
    <d v="2026-02-03T00:00:00"/>
    <x v="2"/>
    <x v="1"/>
    <x v="5"/>
    <x v="2"/>
    <x v="7"/>
    <x v="7"/>
    <x v="4"/>
    <n v="490566204"/>
  </r>
  <r>
    <d v="2026-02-03T00:00:00"/>
    <x v="2"/>
    <x v="1"/>
    <x v="5"/>
    <x v="2"/>
    <x v="1"/>
    <x v="1"/>
    <x v="1"/>
    <n v="42000000"/>
  </r>
  <r>
    <d v="2026-02-03T00:00:00"/>
    <x v="2"/>
    <x v="1"/>
    <x v="5"/>
    <x v="2"/>
    <x v="6"/>
    <x v="6"/>
    <x v="0"/>
    <n v="39000000"/>
  </r>
  <r>
    <d v="2026-02-03T00:00:00"/>
    <x v="2"/>
    <x v="1"/>
    <x v="5"/>
    <x v="2"/>
    <x v="18"/>
    <x v="15"/>
    <x v="1"/>
    <n v="1153780000"/>
  </r>
  <r>
    <d v="2026-02-03T00:00:00"/>
    <x v="2"/>
    <x v="1"/>
    <x v="5"/>
    <x v="2"/>
    <x v="29"/>
    <x v="20"/>
    <x v="0"/>
    <n v="377028000"/>
  </r>
  <r>
    <d v="2026-02-03T00:00:00"/>
    <x v="2"/>
    <x v="1"/>
    <x v="5"/>
    <x v="2"/>
    <x v="19"/>
    <x v="12"/>
    <x v="4"/>
    <n v="1394629328"/>
  </r>
  <r>
    <d v="2026-02-03T00:00:00"/>
    <x v="2"/>
    <x v="1"/>
    <x v="5"/>
    <x v="2"/>
    <x v="24"/>
    <x v="18"/>
    <x v="1"/>
    <n v="5633660000"/>
  </r>
  <r>
    <d v="2026-02-03T00:00:00"/>
    <x v="2"/>
    <x v="1"/>
    <x v="5"/>
    <x v="2"/>
    <x v="30"/>
    <x v="21"/>
    <x v="0"/>
    <n v="861880000"/>
  </r>
  <r>
    <d v="2026-02-04T00:00:00"/>
    <x v="2"/>
    <x v="1"/>
    <x v="5"/>
    <x v="3"/>
    <x v="3"/>
    <x v="3"/>
    <x v="1"/>
    <n v="856450000"/>
  </r>
  <r>
    <d v="2026-02-04T00:00:00"/>
    <x v="2"/>
    <x v="1"/>
    <x v="5"/>
    <x v="3"/>
    <x v="11"/>
    <x v="10"/>
    <x v="4"/>
    <n v="538683337"/>
  </r>
  <r>
    <d v="2026-02-04T00:00:00"/>
    <x v="2"/>
    <x v="1"/>
    <x v="5"/>
    <x v="3"/>
    <x v="12"/>
    <x v="11"/>
    <x v="1"/>
    <n v="18848620000"/>
  </r>
  <r>
    <d v="2026-02-04T00:00:00"/>
    <x v="2"/>
    <x v="1"/>
    <x v="5"/>
    <x v="3"/>
    <x v="5"/>
    <x v="5"/>
    <x v="3"/>
    <n v="2607900868"/>
  </r>
  <r>
    <d v="2026-02-04T00:00:00"/>
    <x v="2"/>
    <x v="1"/>
    <x v="5"/>
    <x v="3"/>
    <x v="27"/>
    <x v="19"/>
    <x v="0"/>
    <n v="14700636000"/>
  </r>
  <r>
    <d v="2026-02-04T00:00:00"/>
    <x v="2"/>
    <x v="1"/>
    <x v="5"/>
    <x v="3"/>
    <x v="15"/>
    <x v="14"/>
    <x v="4"/>
    <n v="53910975"/>
  </r>
  <r>
    <d v="2026-02-04T00:00:00"/>
    <x v="2"/>
    <x v="1"/>
    <x v="5"/>
    <x v="3"/>
    <x v="31"/>
    <x v="22"/>
    <x v="1"/>
    <n v="0"/>
  </r>
  <r>
    <d v="2026-02-04T00:00:00"/>
    <x v="2"/>
    <x v="1"/>
    <x v="5"/>
    <x v="3"/>
    <x v="14"/>
    <x v="13"/>
    <x v="1"/>
    <n v="5183620000"/>
  </r>
  <r>
    <d v="2026-02-04T00:00:00"/>
    <x v="2"/>
    <x v="1"/>
    <x v="5"/>
    <x v="3"/>
    <x v="33"/>
    <x v="13"/>
    <x v="1"/>
    <n v="1219780000"/>
  </r>
  <r>
    <d v="2026-02-04T00:00:00"/>
    <x v="2"/>
    <x v="1"/>
    <x v="5"/>
    <x v="3"/>
    <x v="23"/>
    <x v="17"/>
    <x v="4"/>
    <n v="53548572"/>
  </r>
  <r>
    <d v="2026-02-04T00:00:00"/>
    <x v="2"/>
    <x v="1"/>
    <x v="5"/>
    <x v="3"/>
    <x v="28"/>
    <x v="17"/>
    <x v="4"/>
    <n v="2116817182"/>
  </r>
  <r>
    <d v="2026-02-04T00:00:00"/>
    <x v="2"/>
    <x v="1"/>
    <x v="5"/>
    <x v="3"/>
    <x v="8"/>
    <x v="8"/>
    <x v="1"/>
    <n v="0"/>
  </r>
  <r>
    <d v="2026-02-04T00:00:00"/>
    <x v="2"/>
    <x v="1"/>
    <x v="5"/>
    <x v="3"/>
    <x v="26"/>
    <x v="16"/>
    <x v="1"/>
    <n v="99750000"/>
  </r>
  <r>
    <d v="2026-02-04T00:00:00"/>
    <x v="2"/>
    <x v="1"/>
    <x v="5"/>
    <x v="3"/>
    <x v="32"/>
    <x v="16"/>
    <x v="1"/>
    <n v="0"/>
  </r>
  <r>
    <d v="2026-02-04T00:00:00"/>
    <x v="2"/>
    <x v="1"/>
    <x v="5"/>
    <x v="3"/>
    <x v="2"/>
    <x v="2"/>
    <x v="1"/>
    <n v="20838660000"/>
  </r>
  <r>
    <d v="2026-02-04T00:00:00"/>
    <x v="2"/>
    <x v="1"/>
    <x v="5"/>
    <x v="3"/>
    <x v="17"/>
    <x v="9"/>
    <x v="1"/>
    <n v="0"/>
  </r>
  <r>
    <d v="2026-02-04T00:00:00"/>
    <x v="2"/>
    <x v="1"/>
    <x v="5"/>
    <x v="3"/>
    <x v="20"/>
    <x v="9"/>
    <x v="1"/>
    <n v="0"/>
  </r>
  <r>
    <d v="2026-02-04T00:00:00"/>
    <x v="2"/>
    <x v="1"/>
    <x v="5"/>
    <x v="3"/>
    <x v="21"/>
    <x v="9"/>
    <x v="1"/>
    <n v="0"/>
  </r>
  <r>
    <d v="2026-02-04T00:00:00"/>
    <x v="2"/>
    <x v="1"/>
    <x v="5"/>
    <x v="3"/>
    <x v="25"/>
    <x v="2"/>
    <x v="1"/>
    <n v="5000000"/>
  </r>
  <r>
    <d v="2026-02-04T00:00:00"/>
    <x v="2"/>
    <x v="1"/>
    <x v="5"/>
    <x v="3"/>
    <x v="0"/>
    <x v="0"/>
    <x v="0"/>
    <n v="11835288000"/>
  </r>
  <r>
    <d v="2026-02-04T00:00:00"/>
    <x v="2"/>
    <x v="1"/>
    <x v="5"/>
    <x v="3"/>
    <x v="7"/>
    <x v="7"/>
    <x v="4"/>
    <n v="629395712"/>
  </r>
  <r>
    <d v="2026-02-04T00:00:00"/>
    <x v="2"/>
    <x v="1"/>
    <x v="5"/>
    <x v="3"/>
    <x v="1"/>
    <x v="1"/>
    <x v="1"/>
    <n v="61000000"/>
  </r>
  <r>
    <d v="2026-02-04T00:00:00"/>
    <x v="2"/>
    <x v="1"/>
    <x v="5"/>
    <x v="3"/>
    <x v="6"/>
    <x v="6"/>
    <x v="0"/>
    <n v="59000000"/>
  </r>
  <r>
    <d v="2026-02-04T00:00:00"/>
    <x v="2"/>
    <x v="1"/>
    <x v="5"/>
    <x v="3"/>
    <x v="18"/>
    <x v="15"/>
    <x v="1"/>
    <n v="971280000"/>
  </r>
  <r>
    <d v="2026-02-04T00:00:00"/>
    <x v="2"/>
    <x v="1"/>
    <x v="5"/>
    <x v="3"/>
    <x v="29"/>
    <x v="20"/>
    <x v="0"/>
    <n v="340200000"/>
  </r>
  <r>
    <d v="2026-02-04T00:00:00"/>
    <x v="2"/>
    <x v="1"/>
    <x v="5"/>
    <x v="3"/>
    <x v="19"/>
    <x v="12"/>
    <x v="4"/>
    <n v="1806252793"/>
  </r>
  <r>
    <d v="2026-02-04T00:00:00"/>
    <x v="2"/>
    <x v="1"/>
    <x v="5"/>
    <x v="3"/>
    <x v="24"/>
    <x v="18"/>
    <x v="1"/>
    <n v="5149330000"/>
  </r>
  <r>
    <d v="2026-02-04T00:00:00"/>
    <x v="2"/>
    <x v="1"/>
    <x v="5"/>
    <x v="3"/>
    <x v="30"/>
    <x v="21"/>
    <x v="0"/>
    <n v="892640000"/>
  </r>
  <r>
    <d v="2026-02-05T00:00:00"/>
    <x v="2"/>
    <x v="1"/>
    <x v="5"/>
    <x v="4"/>
    <x v="3"/>
    <x v="3"/>
    <x v="1"/>
    <n v="704350000"/>
  </r>
  <r>
    <d v="2026-02-05T00:00:00"/>
    <x v="2"/>
    <x v="1"/>
    <x v="5"/>
    <x v="4"/>
    <x v="11"/>
    <x v="10"/>
    <x v="4"/>
    <n v="540107490"/>
  </r>
  <r>
    <d v="2026-02-05T00:00:00"/>
    <x v="2"/>
    <x v="1"/>
    <x v="5"/>
    <x v="4"/>
    <x v="12"/>
    <x v="11"/>
    <x v="1"/>
    <n v="17486150000"/>
  </r>
  <r>
    <d v="2026-02-05T00:00:00"/>
    <x v="2"/>
    <x v="1"/>
    <x v="5"/>
    <x v="4"/>
    <x v="5"/>
    <x v="5"/>
    <x v="3"/>
    <n v="2698539865"/>
  </r>
  <r>
    <d v="2026-02-05T00:00:00"/>
    <x v="2"/>
    <x v="1"/>
    <x v="5"/>
    <x v="4"/>
    <x v="27"/>
    <x v="19"/>
    <x v="0"/>
    <n v="15818976000"/>
  </r>
  <r>
    <d v="2026-02-05T00:00:00"/>
    <x v="2"/>
    <x v="1"/>
    <x v="5"/>
    <x v="4"/>
    <x v="15"/>
    <x v="14"/>
    <x v="4"/>
    <n v="32709955"/>
  </r>
  <r>
    <d v="2026-02-05T00:00:00"/>
    <x v="2"/>
    <x v="1"/>
    <x v="5"/>
    <x v="4"/>
    <x v="31"/>
    <x v="22"/>
    <x v="1"/>
    <n v="0"/>
  </r>
  <r>
    <d v="2026-02-05T00:00:00"/>
    <x v="2"/>
    <x v="1"/>
    <x v="5"/>
    <x v="4"/>
    <x v="14"/>
    <x v="13"/>
    <x v="1"/>
    <n v="5183150000"/>
  </r>
  <r>
    <d v="2026-02-05T00:00:00"/>
    <x v="2"/>
    <x v="1"/>
    <x v="5"/>
    <x v="4"/>
    <x v="33"/>
    <x v="13"/>
    <x v="1"/>
    <n v="1484100000"/>
  </r>
  <r>
    <d v="2026-02-05T00:00:00"/>
    <x v="2"/>
    <x v="1"/>
    <x v="5"/>
    <x v="4"/>
    <x v="23"/>
    <x v="17"/>
    <x v="4"/>
    <n v="36740495"/>
  </r>
  <r>
    <d v="2026-02-05T00:00:00"/>
    <x v="2"/>
    <x v="1"/>
    <x v="5"/>
    <x v="4"/>
    <x v="28"/>
    <x v="17"/>
    <x v="4"/>
    <n v="3063895909"/>
  </r>
  <r>
    <d v="2026-02-05T00:00:00"/>
    <x v="2"/>
    <x v="1"/>
    <x v="5"/>
    <x v="4"/>
    <x v="8"/>
    <x v="8"/>
    <x v="1"/>
    <n v="0"/>
  </r>
  <r>
    <d v="2026-02-05T00:00:00"/>
    <x v="2"/>
    <x v="1"/>
    <x v="5"/>
    <x v="4"/>
    <x v="26"/>
    <x v="16"/>
    <x v="1"/>
    <n v="224600000"/>
  </r>
  <r>
    <d v="2026-02-05T00:00:00"/>
    <x v="2"/>
    <x v="1"/>
    <x v="5"/>
    <x v="4"/>
    <x v="32"/>
    <x v="16"/>
    <x v="1"/>
    <n v="83430000"/>
  </r>
  <r>
    <d v="2026-02-05T00:00:00"/>
    <x v="2"/>
    <x v="1"/>
    <x v="5"/>
    <x v="4"/>
    <x v="2"/>
    <x v="2"/>
    <x v="1"/>
    <n v="21361330000"/>
  </r>
  <r>
    <d v="2026-02-05T00:00:00"/>
    <x v="2"/>
    <x v="1"/>
    <x v="5"/>
    <x v="4"/>
    <x v="17"/>
    <x v="9"/>
    <x v="1"/>
    <n v="0"/>
  </r>
  <r>
    <d v="2026-02-05T00:00:00"/>
    <x v="2"/>
    <x v="1"/>
    <x v="5"/>
    <x v="4"/>
    <x v="20"/>
    <x v="9"/>
    <x v="1"/>
    <n v="0"/>
  </r>
  <r>
    <d v="2026-02-05T00:00:00"/>
    <x v="2"/>
    <x v="1"/>
    <x v="5"/>
    <x v="4"/>
    <x v="21"/>
    <x v="9"/>
    <x v="1"/>
    <n v="0"/>
  </r>
  <r>
    <d v="2026-02-05T00:00:00"/>
    <x v="2"/>
    <x v="1"/>
    <x v="5"/>
    <x v="4"/>
    <x v="25"/>
    <x v="2"/>
    <x v="1"/>
    <n v="12000000"/>
  </r>
  <r>
    <d v="2026-02-05T00:00:00"/>
    <x v="2"/>
    <x v="1"/>
    <x v="5"/>
    <x v="4"/>
    <x v="0"/>
    <x v="0"/>
    <x v="0"/>
    <n v="11701584000"/>
  </r>
  <r>
    <d v="2026-02-05T00:00:00"/>
    <x v="2"/>
    <x v="1"/>
    <x v="5"/>
    <x v="4"/>
    <x v="7"/>
    <x v="7"/>
    <x v="4"/>
    <n v="493844603"/>
  </r>
  <r>
    <d v="2026-02-05T00:00:00"/>
    <x v="2"/>
    <x v="1"/>
    <x v="5"/>
    <x v="4"/>
    <x v="1"/>
    <x v="1"/>
    <x v="1"/>
    <n v="89250000"/>
  </r>
  <r>
    <d v="2026-02-05T00:00:00"/>
    <x v="2"/>
    <x v="1"/>
    <x v="5"/>
    <x v="4"/>
    <x v="6"/>
    <x v="6"/>
    <x v="0"/>
    <n v="36000000"/>
  </r>
  <r>
    <d v="2026-02-05T00:00:00"/>
    <x v="2"/>
    <x v="1"/>
    <x v="5"/>
    <x v="4"/>
    <x v="18"/>
    <x v="15"/>
    <x v="1"/>
    <n v="1285590000"/>
  </r>
  <r>
    <d v="2026-02-05T00:00:00"/>
    <x v="2"/>
    <x v="1"/>
    <x v="5"/>
    <x v="4"/>
    <x v="29"/>
    <x v="20"/>
    <x v="0"/>
    <n v="389124000"/>
  </r>
  <r>
    <d v="2026-02-05T00:00:00"/>
    <x v="2"/>
    <x v="1"/>
    <x v="5"/>
    <x v="4"/>
    <x v="19"/>
    <x v="12"/>
    <x v="4"/>
    <n v="1245454476"/>
  </r>
  <r>
    <d v="2026-02-05T00:00:00"/>
    <x v="2"/>
    <x v="1"/>
    <x v="5"/>
    <x v="4"/>
    <x v="24"/>
    <x v="18"/>
    <x v="1"/>
    <n v="4212850000"/>
  </r>
  <r>
    <d v="2026-02-05T00:00:00"/>
    <x v="2"/>
    <x v="1"/>
    <x v="5"/>
    <x v="4"/>
    <x v="30"/>
    <x v="21"/>
    <x v="0"/>
    <n v="664920000"/>
  </r>
  <r>
    <d v="2026-02-06T00:00:00"/>
    <x v="2"/>
    <x v="1"/>
    <x v="5"/>
    <x v="5"/>
    <x v="3"/>
    <x v="3"/>
    <x v="1"/>
    <n v="727650000"/>
  </r>
  <r>
    <d v="2026-02-06T00:00:00"/>
    <x v="2"/>
    <x v="1"/>
    <x v="5"/>
    <x v="5"/>
    <x v="11"/>
    <x v="10"/>
    <x v="4"/>
    <n v="492312958"/>
  </r>
  <r>
    <d v="2026-02-06T00:00:00"/>
    <x v="2"/>
    <x v="1"/>
    <x v="5"/>
    <x v="5"/>
    <x v="12"/>
    <x v="11"/>
    <x v="1"/>
    <n v="15259600000"/>
  </r>
  <r>
    <d v="2026-02-06T00:00:00"/>
    <x v="2"/>
    <x v="1"/>
    <x v="5"/>
    <x v="5"/>
    <x v="5"/>
    <x v="5"/>
    <x v="3"/>
    <n v="2270716822"/>
  </r>
  <r>
    <d v="2026-02-06T00:00:00"/>
    <x v="2"/>
    <x v="1"/>
    <x v="5"/>
    <x v="5"/>
    <x v="27"/>
    <x v="19"/>
    <x v="0"/>
    <n v="12956112000"/>
  </r>
  <r>
    <d v="2026-02-06T00:00:00"/>
    <x v="2"/>
    <x v="1"/>
    <x v="5"/>
    <x v="5"/>
    <x v="15"/>
    <x v="14"/>
    <x v="4"/>
    <n v="18243965"/>
  </r>
  <r>
    <d v="2026-02-06T00:00:00"/>
    <x v="2"/>
    <x v="1"/>
    <x v="5"/>
    <x v="5"/>
    <x v="31"/>
    <x v="22"/>
    <x v="1"/>
    <n v="180000000"/>
  </r>
  <r>
    <d v="2026-02-06T00:00:00"/>
    <x v="2"/>
    <x v="1"/>
    <x v="5"/>
    <x v="5"/>
    <x v="14"/>
    <x v="13"/>
    <x v="1"/>
    <n v="5397880000"/>
  </r>
  <r>
    <d v="2026-02-06T00:00:00"/>
    <x v="2"/>
    <x v="1"/>
    <x v="5"/>
    <x v="5"/>
    <x v="33"/>
    <x v="13"/>
    <x v="1"/>
    <n v="1229070000"/>
  </r>
  <r>
    <d v="2026-02-06T00:00:00"/>
    <x v="2"/>
    <x v="1"/>
    <x v="5"/>
    <x v="5"/>
    <x v="23"/>
    <x v="17"/>
    <x v="4"/>
    <n v="15583492"/>
  </r>
  <r>
    <d v="2026-02-06T00:00:00"/>
    <x v="2"/>
    <x v="1"/>
    <x v="5"/>
    <x v="5"/>
    <x v="28"/>
    <x v="17"/>
    <x v="4"/>
    <n v="2896477859"/>
  </r>
  <r>
    <d v="2026-02-06T00:00:00"/>
    <x v="2"/>
    <x v="1"/>
    <x v="5"/>
    <x v="5"/>
    <x v="8"/>
    <x v="8"/>
    <x v="1"/>
    <n v="0"/>
  </r>
  <r>
    <d v="2026-02-06T00:00:00"/>
    <x v="2"/>
    <x v="1"/>
    <x v="5"/>
    <x v="5"/>
    <x v="26"/>
    <x v="16"/>
    <x v="1"/>
    <n v="77250000"/>
  </r>
  <r>
    <d v="2026-02-06T00:00:00"/>
    <x v="2"/>
    <x v="1"/>
    <x v="5"/>
    <x v="5"/>
    <x v="32"/>
    <x v="16"/>
    <x v="1"/>
    <n v="30900000"/>
  </r>
  <r>
    <d v="2026-02-06T00:00:00"/>
    <x v="2"/>
    <x v="1"/>
    <x v="5"/>
    <x v="5"/>
    <x v="2"/>
    <x v="2"/>
    <x v="1"/>
    <n v="17838890000"/>
  </r>
  <r>
    <d v="2026-02-06T00:00:00"/>
    <x v="2"/>
    <x v="1"/>
    <x v="5"/>
    <x v="5"/>
    <x v="17"/>
    <x v="9"/>
    <x v="1"/>
    <n v="0"/>
  </r>
  <r>
    <d v="2026-02-06T00:00:00"/>
    <x v="2"/>
    <x v="1"/>
    <x v="5"/>
    <x v="5"/>
    <x v="20"/>
    <x v="9"/>
    <x v="1"/>
    <n v="0"/>
  </r>
  <r>
    <d v="2026-02-06T00:00:00"/>
    <x v="2"/>
    <x v="1"/>
    <x v="5"/>
    <x v="5"/>
    <x v="21"/>
    <x v="9"/>
    <x v="1"/>
    <n v="0"/>
  </r>
  <r>
    <d v="2026-02-06T00:00:00"/>
    <x v="2"/>
    <x v="1"/>
    <x v="5"/>
    <x v="5"/>
    <x v="25"/>
    <x v="2"/>
    <x v="1"/>
    <n v="0"/>
  </r>
  <r>
    <d v="2026-02-06T00:00:00"/>
    <x v="2"/>
    <x v="1"/>
    <x v="5"/>
    <x v="5"/>
    <x v="0"/>
    <x v="0"/>
    <x v="0"/>
    <n v="11124540000"/>
  </r>
  <r>
    <d v="2026-02-06T00:00:00"/>
    <x v="2"/>
    <x v="1"/>
    <x v="5"/>
    <x v="5"/>
    <x v="7"/>
    <x v="7"/>
    <x v="4"/>
    <n v="345731246"/>
  </r>
  <r>
    <d v="2026-02-06T00:00:00"/>
    <x v="2"/>
    <x v="1"/>
    <x v="5"/>
    <x v="5"/>
    <x v="1"/>
    <x v="1"/>
    <x v="1"/>
    <n v="42000000"/>
  </r>
  <r>
    <d v="2026-02-06T00:00:00"/>
    <x v="2"/>
    <x v="1"/>
    <x v="5"/>
    <x v="5"/>
    <x v="6"/>
    <x v="6"/>
    <x v="0"/>
    <n v="34000000"/>
  </r>
  <r>
    <d v="2026-02-06T00:00:00"/>
    <x v="2"/>
    <x v="1"/>
    <x v="5"/>
    <x v="5"/>
    <x v="18"/>
    <x v="15"/>
    <x v="1"/>
    <n v="909210000"/>
  </r>
  <r>
    <d v="2026-02-06T00:00:00"/>
    <x v="2"/>
    <x v="1"/>
    <x v="5"/>
    <x v="5"/>
    <x v="29"/>
    <x v="20"/>
    <x v="0"/>
    <n v="338796000"/>
  </r>
  <r>
    <d v="2026-02-06T00:00:00"/>
    <x v="2"/>
    <x v="1"/>
    <x v="5"/>
    <x v="5"/>
    <x v="19"/>
    <x v="12"/>
    <x v="4"/>
    <n v="675299337"/>
  </r>
  <r>
    <d v="2026-02-06T00:00:00"/>
    <x v="2"/>
    <x v="1"/>
    <x v="5"/>
    <x v="5"/>
    <x v="24"/>
    <x v="18"/>
    <x v="1"/>
    <n v="4966990000"/>
  </r>
  <r>
    <d v="2026-02-06T00:00:00"/>
    <x v="2"/>
    <x v="1"/>
    <x v="5"/>
    <x v="5"/>
    <x v="30"/>
    <x v="21"/>
    <x v="0"/>
    <n v="396560000"/>
  </r>
  <r>
    <d v="2026-02-07T00:00:00"/>
    <x v="2"/>
    <x v="1"/>
    <x v="5"/>
    <x v="6"/>
    <x v="3"/>
    <x v="3"/>
    <x v="1"/>
    <n v="668900000"/>
  </r>
  <r>
    <d v="2026-02-07T00:00:00"/>
    <x v="2"/>
    <x v="1"/>
    <x v="5"/>
    <x v="6"/>
    <x v="11"/>
    <x v="10"/>
    <x v="4"/>
    <n v="459868095"/>
  </r>
  <r>
    <d v="2026-02-07T00:00:00"/>
    <x v="2"/>
    <x v="1"/>
    <x v="5"/>
    <x v="6"/>
    <x v="12"/>
    <x v="11"/>
    <x v="1"/>
    <n v="12618190000"/>
  </r>
  <r>
    <d v="2026-02-07T00:00:00"/>
    <x v="2"/>
    <x v="1"/>
    <x v="5"/>
    <x v="6"/>
    <x v="5"/>
    <x v="5"/>
    <x v="3"/>
    <n v="1749838140"/>
  </r>
  <r>
    <d v="2026-02-07T00:00:00"/>
    <x v="2"/>
    <x v="1"/>
    <x v="5"/>
    <x v="6"/>
    <x v="27"/>
    <x v="19"/>
    <x v="0"/>
    <n v="12065004000"/>
  </r>
  <r>
    <d v="2026-02-07T00:00:00"/>
    <x v="2"/>
    <x v="1"/>
    <x v="5"/>
    <x v="6"/>
    <x v="15"/>
    <x v="14"/>
    <x v="4"/>
    <n v="29974937"/>
  </r>
  <r>
    <d v="2026-02-07T00:00:00"/>
    <x v="2"/>
    <x v="1"/>
    <x v="5"/>
    <x v="6"/>
    <x v="31"/>
    <x v="22"/>
    <x v="1"/>
    <n v="0"/>
  </r>
  <r>
    <d v="2026-02-07T00:00:00"/>
    <x v="2"/>
    <x v="1"/>
    <x v="5"/>
    <x v="6"/>
    <x v="14"/>
    <x v="13"/>
    <x v="1"/>
    <n v="4912210000"/>
  </r>
  <r>
    <d v="2026-02-07T00:00:00"/>
    <x v="2"/>
    <x v="1"/>
    <x v="5"/>
    <x v="6"/>
    <x v="33"/>
    <x v="13"/>
    <x v="1"/>
    <n v="1137190000"/>
  </r>
  <r>
    <d v="2026-02-07T00:00:00"/>
    <x v="2"/>
    <x v="1"/>
    <x v="5"/>
    <x v="6"/>
    <x v="23"/>
    <x v="17"/>
    <x v="4"/>
    <n v="18099098"/>
  </r>
  <r>
    <d v="2026-02-07T00:00:00"/>
    <x v="2"/>
    <x v="1"/>
    <x v="5"/>
    <x v="6"/>
    <x v="28"/>
    <x v="17"/>
    <x v="4"/>
    <n v="2986593757"/>
  </r>
  <r>
    <d v="2026-02-07T00:00:00"/>
    <x v="2"/>
    <x v="1"/>
    <x v="5"/>
    <x v="6"/>
    <x v="8"/>
    <x v="8"/>
    <x v="1"/>
    <n v="0"/>
  </r>
  <r>
    <d v="2026-02-07T00:00:00"/>
    <x v="2"/>
    <x v="1"/>
    <x v="5"/>
    <x v="6"/>
    <x v="26"/>
    <x v="16"/>
    <x v="1"/>
    <n v="31500000"/>
  </r>
  <r>
    <d v="2026-02-07T00:00:00"/>
    <x v="2"/>
    <x v="1"/>
    <x v="5"/>
    <x v="6"/>
    <x v="32"/>
    <x v="16"/>
    <x v="1"/>
    <n v="83430000"/>
  </r>
  <r>
    <d v="2026-02-07T00:00:00"/>
    <x v="2"/>
    <x v="1"/>
    <x v="5"/>
    <x v="6"/>
    <x v="2"/>
    <x v="2"/>
    <x v="1"/>
    <n v="16453260000"/>
  </r>
  <r>
    <d v="2026-02-07T00:00:00"/>
    <x v="2"/>
    <x v="1"/>
    <x v="5"/>
    <x v="6"/>
    <x v="17"/>
    <x v="9"/>
    <x v="1"/>
    <n v="0"/>
  </r>
  <r>
    <d v="2026-02-07T00:00:00"/>
    <x v="2"/>
    <x v="1"/>
    <x v="5"/>
    <x v="6"/>
    <x v="20"/>
    <x v="9"/>
    <x v="1"/>
    <n v="0"/>
  </r>
  <r>
    <d v="2026-02-07T00:00:00"/>
    <x v="2"/>
    <x v="1"/>
    <x v="5"/>
    <x v="6"/>
    <x v="21"/>
    <x v="9"/>
    <x v="1"/>
    <n v="0"/>
  </r>
  <r>
    <d v="2026-02-07T00:00:00"/>
    <x v="2"/>
    <x v="1"/>
    <x v="5"/>
    <x v="6"/>
    <x v="25"/>
    <x v="2"/>
    <x v="1"/>
    <n v="0"/>
  </r>
  <r>
    <d v="2026-02-07T00:00:00"/>
    <x v="2"/>
    <x v="1"/>
    <x v="5"/>
    <x v="6"/>
    <x v="0"/>
    <x v="0"/>
    <x v="0"/>
    <n v="10034172000"/>
  </r>
  <r>
    <d v="2026-02-07T00:00:00"/>
    <x v="2"/>
    <x v="1"/>
    <x v="5"/>
    <x v="6"/>
    <x v="7"/>
    <x v="7"/>
    <x v="4"/>
    <n v="249314006"/>
  </r>
  <r>
    <d v="2026-02-07T00:00:00"/>
    <x v="2"/>
    <x v="1"/>
    <x v="5"/>
    <x v="6"/>
    <x v="1"/>
    <x v="1"/>
    <x v="1"/>
    <n v="63000000"/>
  </r>
  <r>
    <d v="2026-02-07T00:00:00"/>
    <x v="2"/>
    <x v="1"/>
    <x v="5"/>
    <x v="6"/>
    <x v="6"/>
    <x v="6"/>
    <x v="0"/>
    <n v="56000000"/>
  </r>
  <r>
    <d v="2026-02-07T00:00:00"/>
    <x v="2"/>
    <x v="1"/>
    <x v="5"/>
    <x v="6"/>
    <x v="18"/>
    <x v="15"/>
    <x v="1"/>
    <n v="1392850000"/>
  </r>
  <r>
    <d v="2026-02-07T00:00:00"/>
    <x v="2"/>
    <x v="1"/>
    <x v="5"/>
    <x v="6"/>
    <x v="29"/>
    <x v="20"/>
    <x v="0"/>
    <n v="294732000"/>
  </r>
  <r>
    <d v="2026-02-07T00:00:00"/>
    <x v="2"/>
    <x v="1"/>
    <x v="5"/>
    <x v="6"/>
    <x v="19"/>
    <x v="12"/>
    <x v="4"/>
    <n v="506709554"/>
  </r>
  <r>
    <d v="2026-02-07T00:00:00"/>
    <x v="2"/>
    <x v="1"/>
    <x v="5"/>
    <x v="6"/>
    <x v="24"/>
    <x v="18"/>
    <x v="1"/>
    <n v="3146690000"/>
  </r>
  <r>
    <d v="2026-02-07T00:00:00"/>
    <x v="2"/>
    <x v="1"/>
    <x v="5"/>
    <x v="6"/>
    <x v="30"/>
    <x v="21"/>
    <x v="0"/>
    <n v="385080000"/>
  </r>
  <r>
    <d v="2026-02-08T00:00:00"/>
    <x v="2"/>
    <x v="1"/>
    <x v="5"/>
    <x v="7"/>
    <x v="3"/>
    <x v="3"/>
    <x v="1"/>
    <n v="524250000"/>
  </r>
  <r>
    <d v="2026-02-08T00:00:00"/>
    <x v="2"/>
    <x v="1"/>
    <x v="5"/>
    <x v="7"/>
    <x v="11"/>
    <x v="10"/>
    <x v="4"/>
    <n v="476770827"/>
  </r>
  <r>
    <d v="2026-02-08T00:00:00"/>
    <x v="2"/>
    <x v="1"/>
    <x v="5"/>
    <x v="7"/>
    <x v="12"/>
    <x v="11"/>
    <x v="1"/>
    <n v="12137090000"/>
  </r>
  <r>
    <d v="2026-02-08T00:00:00"/>
    <x v="2"/>
    <x v="1"/>
    <x v="5"/>
    <x v="7"/>
    <x v="5"/>
    <x v="5"/>
    <x v="3"/>
    <n v="1670104358"/>
  </r>
  <r>
    <d v="2026-02-08T00:00:00"/>
    <x v="2"/>
    <x v="1"/>
    <x v="5"/>
    <x v="7"/>
    <x v="27"/>
    <x v="19"/>
    <x v="0"/>
    <n v="10942128000"/>
  </r>
  <r>
    <d v="2026-02-08T00:00:00"/>
    <x v="2"/>
    <x v="1"/>
    <x v="5"/>
    <x v="7"/>
    <x v="15"/>
    <x v="14"/>
    <x v="4"/>
    <n v="26052499"/>
  </r>
  <r>
    <d v="2026-02-08T00:00:00"/>
    <x v="2"/>
    <x v="1"/>
    <x v="5"/>
    <x v="7"/>
    <x v="31"/>
    <x v="22"/>
    <x v="1"/>
    <n v="0"/>
  </r>
  <r>
    <d v="2026-02-08T00:00:00"/>
    <x v="2"/>
    <x v="1"/>
    <x v="5"/>
    <x v="7"/>
    <x v="14"/>
    <x v="13"/>
    <x v="1"/>
    <n v="5382910000"/>
  </r>
  <r>
    <d v="2026-02-08T00:00:00"/>
    <x v="2"/>
    <x v="1"/>
    <x v="5"/>
    <x v="7"/>
    <x v="33"/>
    <x v="13"/>
    <x v="1"/>
    <n v="1057020000"/>
  </r>
  <r>
    <d v="2026-02-08T00:00:00"/>
    <x v="2"/>
    <x v="1"/>
    <x v="5"/>
    <x v="7"/>
    <x v="23"/>
    <x v="17"/>
    <x v="4"/>
    <n v="6988588"/>
  </r>
  <r>
    <d v="2026-02-08T00:00:00"/>
    <x v="2"/>
    <x v="1"/>
    <x v="5"/>
    <x v="7"/>
    <x v="28"/>
    <x v="17"/>
    <x v="4"/>
    <n v="2817674097"/>
  </r>
  <r>
    <d v="2026-02-08T00:00:00"/>
    <x v="2"/>
    <x v="1"/>
    <x v="5"/>
    <x v="7"/>
    <x v="8"/>
    <x v="8"/>
    <x v="1"/>
    <n v="0"/>
  </r>
  <r>
    <d v="2026-02-08T00:00:00"/>
    <x v="2"/>
    <x v="1"/>
    <x v="5"/>
    <x v="7"/>
    <x v="26"/>
    <x v="16"/>
    <x v="1"/>
    <n v="46500000"/>
  </r>
  <r>
    <d v="2026-02-08T00:00:00"/>
    <x v="2"/>
    <x v="1"/>
    <x v="5"/>
    <x v="7"/>
    <x v="32"/>
    <x v="16"/>
    <x v="1"/>
    <n v="0"/>
  </r>
  <r>
    <d v="2026-02-08T00:00:00"/>
    <x v="2"/>
    <x v="1"/>
    <x v="5"/>
    <x v="7"/>
    <x v="2"/>
    <x v="2"/>
    <x v="1"/>
    <n v="15212350000"/>
  </r>
  <r>
    <d v="2026-02-08T00:00:00"/>
    <x v="2"/>
    <x v="1"/>
    <x v="5"/>
    <x v="7"/>
    <x v="17"/>
    <x v="9"/>
    <x v="1"/>
    <n v="0"/>
  </r>
  <r>
    <d v="2026-02-08T00:00:00"/>
    <x v="2"/>
    <x v="1"/>
    <x v="5"/>
    <x v="7"/>
    <x v="20"/>
    <x v="9"/>
    <x v="1"/>
    <n v="0"/>
  </r>
  <r>
    <d v="2026-02-08T00:00:00"/>
    <x v="2"/>
    <x v="1"/>
    <x v="5"/>
    <x v="7"/>
    <x v="21"/>
    <x v="9"/>
    <x v="1"/>
    <n v="0"/>
  </r>
  <r>
    <d v="2026-02-08T00:00:00"/>
    <x v="2"/>
    <x v="1"/>
    <x v="5"/>
    <x v="7"/>
    <x v="25"/>
    <x v="2"/>
    <x v="1"/>
    <n v="32100000"/>
  </r>
  <r>
    <d v="2026-02-08T00:00:00"/>
    <x v="2"/>
    <x v="1"/>
    <x v="5"/>
    <x v="7"/>
    <x v="0"/>
    <x v="0"/>
    <x v="0"/>
    <n v="9469764000"/>
  </r>
  <r>
    <d v="2026-02-08T00:00:00"/>
    <x v="2"/>
    <x v="1"/>
    <x v="5"/>
    <x v="7"/>
    <x v="7"/>
    <x v="7"/>
    <x v="4"/>
    <n v="245910684"/>
  </r>
  <r>
    <d v="2026-02-08T00:00:00"/>
    <x v="2"/>
    <x v="1"/>
    <x v="5"/>
    <x v="7"/>
    <x v="1"/>
    <x v="1"/>
    <x v="1"/>
    <n v="21000000"/>
  </r>
  <r>
    <d v="2026-02-08T00:00:00"/>
    <x v="2"/>
    <x v="1"/>
    <x v="5"/>
    <x v="7"/>
    <x v="6"/>
    <x v="6"/>
    <x v="0"/>
    <n v="35000000"/>
  </r>
  <r>
    <d v="2026-02-08T00:00:00"/>
    <x v="2"/>
    <x v="1"/>
    <x v="5"/>
    <x v="7"/>
    <x v="18"/>
    <x v="15"/>
    <x v="1"/>
    <n v="744770000"/>
  </r>
  <r>
    <d v="2026-02-08T00:00:00"/>
    <x v="2"/>
    <x v="1"/>
    <x v="5"/>
    <x v="7"/>
    <x v="29"/>
    <x v="20"/>
    <x v="0"/>
    <n v="252396000"/>
  </r>
  <r>
    <d v="2026-02-08T00:00:00"/>
    <x v="2"/>
    <x v="1"/>
    <x v="5"/>
    <x v="7"/>
    <x v="19"/>
    <x v="12"/>
    <x v="4"/>
    <n v="432783363"/>
  </r>
  <r>
    <d v="2026-02-08T00:00:00"/>
    <x v="2"/>
    <x v="1"/>
    <x v="5"/>
    <x v="7"/>
    <x v="24"/>
    <x v="18"/>
    <x v="1"/>
    <n v="3280360000"/>
  </r>
  <r>
    <d v="2026-02-08T00:00:00"/>
    <x v="2"/>
    <x v="1"/>
    <x v="5"/>
    <x v="7"/>
    <x v="30"/>
    <x v="21"/>
    <x v="0"/>
    <n v="370440000"/>
  </r>
  <r>
    <d v="2026-02-09T00:00:00"/>
    <x v="2"/>
    <x v="1"/>
    <x v="6"/>
    <x v="8"/>
    <x v="3"/>
    <x v="3"/>
    <x v="1"/>
    <n v="777350000"/>
  </r>
  <r>
    <d v="2026-02-09T00:00:00"/>
    <x v="2"/>
    <x v="1"/>
    <x v="6"/>
    <x v="8"/>
    <x v="11"/>
    <x v="10"/>
    <x v="4"/>
    <n v="430705140"/>
  </r>
  <r>
    <d v="2026-02-09T00:00:00"/>
    <x v="2"/>
    <x v="1"/>
    <x v="6"/>
    <x v="8"/>
    <x v="12"/>
    <x v="11"/>
    <x v="1"/>
    <n v="16102800000"/>
  </r>
  <r>
    <d v="2026-02-09T00:00:00"/>
    <x v="2"/>
    <x v="1"/>
    <x v="6"/>
    <x v="8"/>
    <x v="5"/>
    <x v="5"/>
    <x v="3"/>
    <n v="2307332000"/>
  </r>
  <r>
    <d v="2026-02-09T00:00:00"/>
    <x v="2"/>
    <x v="1"/>
    <x v="6"/>
    <x v="8"/>
    <x v="27"/>
    <x v="19"/>
    <x v="0"/>
    <n v="13561560000"/>
  </r>
  <r>
    <d v="2026-02-09T00:00:00"/>
    <x v="2"/>
    <x v="1"/>
    <x v="6"/>
    <x v="8"/>
    <x v="15"/>
    <x v="14"/>
    <x v="4"/>
    <n v="13958264"/>
  </r>
  <r>
    <d v="2026-02-09T00:00:00"/>
    <x v="2"/>
    <x v="1"/>
    <x v="6"/>
    <x v="8"/>
    <x v="31"/>
    <x v="22"/>
    <x v="1"/>
    <n v="0"/>
  </r>
  <r>
    <d v="2026-02-09T00:00:00"/>
    <x v="2"/>
    <x v="1"/>
    <x v="6"/>
    <x v="8"/>
    <x v="14"/>
    <x v="13"/>
    <x v="1"/>
    <n v="5687630000"/>
  </r>
  <r>
    <d v="2026-02-09T00:00:00"/>
    <x v="2"/>
    <x v="1"/>
    <x v="6"/>
    <x v="8"/>
    <x v="33"/>
    <x v="13"/>
    <x v="1"/>
    <n v="1323600000"/>
  </r>
  <r>
    <d v="2026-02-09T00:00:00"/>
    <x v="2"/>
    <x v="1"/>
    <x v="6"/>
    <x v="8"/>
    <x v="23"/>
    <x v="17"/>
    <x v="4"/>
    <n v="23825640"/>
  </r>
  <r>
    <d v="2026-02-09T00:00:00"/>
    <x v="2"/>
    <x v="1"/>
    <x v="6"/>
    <x v="8"/>
    <x v="28"/>
    <x v="17"/>
    <x v="4"/>
    <n v="2219111867"/>
  </r>
  <r>
    <d v="2026-02-09T00:00:00"/>
    <x v="2"/>
    <x v="1"/>
    <x v="6"/>
    <x v="8"/>
    <x v="8"/>
    <x v="8"/>
    <x v="1"/>
    <n v="0"/>
  </r>
  <r>
    <d v="2026-02-09T00:00:00"/>
    <x v="2"/>
    <x v="1"/>
    <x v="6"/>
    <x v="8"/>
    <x v="26"/>
    <x v="16"/>
    <x v="1"/>
    <n v="150500000"/>
  </r>
  <r>
    <d v="2026-02-09T00:00:00"/>
    <x v="2"/>
    <x v="1"/>
    <x v="6"/>
    <x v="8"/>
    <x v="32"/>
    <x v="16"/>
    <x v="1"/>
    <n v="0"/>
  </r>
  <r>
    <d v="2026-02-09T00:00:00"/>
    <x v="2"/>
    <x v="1"/>
    <x v="6"/>
    <x v="8"/>
    <x v="2"/>
    <x v="2"/>
    <x v="1"/>
    <n v="20585370000"/>
  </r>
  <r>
    <d v="2026-02-09T00:00:00"/>
    <x v="2"/>
    <x v="1"/>
    <x v="6"/>
    <x v="8"/>
    <x v="17"/>
    <x v="9"/>
    <x v="1"/>
    <n v="0"/>
  </r>
  <r>
    <d v="2026-02-09T00:00:00"/>
    <x v="2"/>
    <x v="1"/>
    <x v="6"/>
    <x v="8"/>
    <x v="20"/>
    <x v="9"/>
    <x v="1"/>
    <n v="0"/>
  </r>
  <r>
    <d v="2026-02-09T00:00:00"/>
    <x v="2"/>
    <x v="1"/>
    <x v="6"/>
    <x v="8"/>
    <x v="21"/>
    <x v="9"/>
    <x v="1"/>
    <n v="0"/>
  </r>
  <r>
    <d v="2026-02-09T00:00:00"/>
    <x v="2"/>
    <x v="1"/>
    <x v="6"/>
    <x v="8"/>
    <x v="25"/>
    <x v="2"/>
    <x v="1"/>
    <n v="10000000"/>
  </r>
  <r>
    <d v="2026-02-09T00:00:00"/>
    <x v="2"/>
    <x v="1"/>
    <x v="6"/>
    <x v="8"/>
    <x v="0"/>
    <x v="0"/>
    <x v="0"/>
    <n v="11518200000"/>
  </r>
  <r>
    <d v="2026-02-09T00:00:00"/>
    <x v="2"/>
    <x v="1"/>
    <x v="6"/>
    <x v="8"/>
    <x v="7"/>
    <x v="7"/>
    <x v="4"/>
    <n v="252108513"/>
  </r>
  <r>
    <d v="2026-02-09T00:00:00"/>
    <x v="2"/>
    <x v="1"/>
    <x v="6"/>
    <x v="8"/>
    <x v="1"/>
    <x v="1"/>
    <x v="1"/>
    <n v="94000000"/>
  </r>
  <r>
    <d v="2026-02-09T00:00:00"/>
    <x v="2"/>
    <x v="1"/>
    <x v="6"/>
    <x v="8"/>
    <x v="6"/>
    <x v="6"/>
    <x v="0"/>
    <n v="44000000"/>
  </r>
  <r>
    <d v="2026-02-09T00:00:00"/>
    <x v="2"/>
    <x v="1"/>
    <x v="6"/>
    <x v="8"/>
    <x v="18"/>
    <x v="15"/>
    <x v="1"/>
    <n v="1218560000"/>
  </r>
  <r>
    <d v="2026-02-09T00:00:00"/>
    <x v="2"/>
    <x v="1"/>
    <x v="6"/>
    <x v="8"/>
    <x v="29"/>
    <x v="20"/>
    <x v="0"/>
    <n v="376488000"/>
  </r>
  <r>
    <d v="2026-02-09T00:00:00"/>
    <x v="2"/>
    <x v="1"/>
    <x v="6"/>
    <x v="8"/>
    <x v="19"/>
    <x v="12"/>
    <x v="4"/>
    <n v="461406552"/>
  </r>
  <r>
    <d v="2026-02-09T00:00:00"/>
    <x v="2"/>
    <x v="1"/>
    <x v="6"/>
    <x v="8"/>
    <x v="24"/>
    <x v="18"/>
    <x v="1"/>
    <n v="4252950000"/>
  </r>
  <r>
    <d v="2026-02-09T00:00:00"/>
    <x v="2"/>
    <x v="1"/>
    <x v="6"/>
    <x v="8"/>
    <x v="30"/>
    <x v="21"/>
    <x v="0"/>
    <n v="421640000"/>
  </r>
  <r>
    <d v="2026-02-10T00:00:00"/>
    <x v="2"/>
    <x v="1"/>
    <x v="6"/>
    <x v="9"/>
    <x v="3"/>
    <x v="3"/>
    <x v="1"/>
    <n v="944550000"/>
  </r>
  <r>
    <d v="2026-02-10T00:00:00"/>
    <x v="2"/>
    <x v="1"/>
    <x v="6"/>
    <x v="9"/>
    <x v="11"/>
    <x v="10"/>
    <x v="4"/>
    <n v="437028144"/>
  </r>
  <r>
    <d v="2026-02-10T00:00:00"/>
    <x v="2"/>
    <x v="1"/>
    <x v="6"/>
    <x v="9"/>
    <x v="12"/>
    <x v="11"/>
    <x v="1"/>
    <n v="16196530000"/>
  </r>
  <r>
    <d v="2026-02-10T00:00:00"/>
    <x v="2"/>
    <x v="1"/>
    <x v="6"/>
    <x v="9"/>
    <x v="5"/>
    <x v="5"/>
    <x v="3"/>
    <n v="2427407614"/>
  </r>
  <r>
    <d v="2026-02-10T00:00:00"/>
    <x v="2"/>
    <x v="1"/>
    <x v="6"/>
    <x v="9"/>
    <x v="27"/>
    <x v="19"/>
    <x v="0"/>
    <n v="17914284000"/>
  </r>
  <r>
    <d v="2026-02-10T00:00:00"/>
    <x v="2"/>
    <x v="1"/>
    <x v="6"/>
    <x v="9"/>
    <x v="15"/>
    <x v="14"/>
    <x v="4"/>
    <n v="4878535"/>
  </r>
  <r>
    <d v="2026-02-10T00:00:00"/>
    <x v="2"/>
    <x v="1"/>
    <x v="6"/>
    <x v="9"/>
    <x v="31"/>
    <x v="22"/>
    <x v="1"/>
    <n v="90000000"/>
  </r>
  <r>
    <d v="2026-02-10T00:00:00"/>
    <x v="2"/>
    <x v="1"/>
    <x v="6"/>
    <x v="9"/>
    <x v="14"/>
    <x v="13"/>
    <x v="1"/>
    <n v="5553250000"/>
  </r>
  <r>
    <d v="2026-02-10T00:00:00"/>
    <x v="2"/>
    <x v="1"/>
    <x v="6"/>
    <x v="9"/>
    <x v="33"/>
    <x v="13"/>
    <x v="1"/>
    <n v="1816740000"/>
  </r>
  <r>
    <d v="2026-02-10T00:00:00"/>
    <x v="2"/>
    <x v="1"/>
    <x v="6"/>
    <x v="9"/>
    <x v="23"/>
    <x v="17"/>
    <x v="4"/>
    <n v="16585545"/>
  </r>
  <r>
    <d v="2026-02-10T00:00:00"/>
    <x v="2"/>
    <x v="1"/>
    <x v="6"/>
    <x v="9"/>
    <x v="28"/>
    <x v="17"/>
    <x v="4"/>
    <n v="2363385233"/>
  </r>
  <r>
    <d v="2026-02-10T00:00:00"/>
    <x v="2"/>
    <x v="1"/>
    <x v="6"/>
    <x v="9"/>
    <x v="8"/>
    <x v="8"/>
    <x v="1"/>
    <n v="0"/>
  </r>
  <r>
    <d v="2026-02-10T00:00:00"/>
    <x v="2"/>
    <x v="1"/>
    <x v="6"/>
    <x v="9"/>
    <x v="26"/>
    <x v="16"/>
    <x v="1"/>
    <n v="128250000"/>
  </r>
  <r>
    <d v="2026-02-10T00:00:00"/>
    <x v="2"/>
    <x v="1"/>
    <x v="6"/>
    <x v="9"/>
    <x v="32"/>
    <x v="16"/>
    <x v="1"/>
    <n v="0"/>
  </r>
  <r>
    <d v="2026-02-10T00:00:00"/>
    <x v="2"/>
    <x v="1"/>
    <x v="6"/>
    <x v="9"/>
    <x v="2"/>
    <x v="2"/>
    <x v="1"/>
    <n v="22447140000"/>
  </r>
  <r>
    <d v="2026-02-10T00:00:00"/>
    <x v="2"/>
    <x v="1"/>
    <x v="6"/>
    <x v="9"/>
    <x v="17"/>
    <x v="9"/>
    <x v="1"/>
    <n v="0"/>
  </r>
  <r>
    <d v="2026-02-10T00:00:00"/>
    <x v="2"/>
    <x v="1"/>
    <x v="6"/>
    <x v="9"/>
    <x v="20"/>
    <x v="9"/>
    <x v="1"/>
    <n v="0"/>
  </r>
  <r>
    <d v="2026-02-10T00:00:00"/>
    <x v="2"/>
    <x v="1"/>
    <x v="6"/>
    <x v="9"/>
    <x v="21"/>
    <x v="9"/>
    <x v="1"/>
    <n v="0"/>
  </r>
  <r>
    <d v="2026-02-10T00:00:00"/>
    <x v="2"/>
    <x v="1"/>
    <x v="6"/>
    <x v="9"/>
    <x v="25"/>
    <x v="2"/>
    <x v="1"/>
    <n v="5000000"/>
  </r>
  <r>
    <d v="2026-02-10T00:00:00"/>
    <x v="2"/>
    <x v="1"/>
    <x v="6"/>
    <x v="9"/>
    <x v="0"/>
    <x v="0"/>
    <x v="0"/>
    <n v="16601760000"/>
  </r>
  <r>
    <d v="2026-02-10T00:00:00"/>
    <x v="2"/>
    <x v="1"/>
    <x v="6"/>
    <x v="9"/>
    <x v="7"/>
    <x v="7"/>
    <x v="4"/>
    <n v="263184392"/>
  </r>
  <r>
    <d v="2026-02-10T00:00:00"/>
    <x v="2"/>
    <x v="1"/>
    <x v="6"/>
    <x v="9"/>
    <x v="1"/>
    <x v="1"/>
    <x v="1"/>
    <n v="52500000"/>
  </r>
  <r>
    <d v="2026-02-10T00:00:00"/>
    <x v="2"/>
    <x v="1"/>
    <x v="6"/>
    <x v="9"/>
    <x v="6"/>
    <x v="6"/>
    <x v="0"/>
    <n v="77000000"/>
  </r>
  <r>
    <d v="2026-02-10T00:00:00"/>
    <x v="2"/>
    <x v="1"/>
    <x v="6"/>
    <x v="9"/>
    <x v="18"/>
    <x v="15"/>
    <x v="1"/>
    <n v="1239540000"/>
  </r>
  <r>
    <d v="2026-02-10T00:00:00"/>
    <x v="2"/>
    <x v="1"/>
    <x v="6"/>
    <x v="9"/>
    <x v="29"/>
    <x v="20"/>
    <x v="0"/>
    <n v="437400000"/>
  </r>
  <r>
    <d v="2026-02-10T00:00:00"/>
    <x v="2"/>
    <x v="1"/>
    <x v="6"/>
    <x v="9"/>
    <x v="19"/>
    <x v="12"/>
    <x v="4"/>
    <n v="531809759"/>
  </r>
  <r>
    <d v="2026-02-10T00:00:00"/>
    <x v="2"/>
    <x v="1"/>
    <x v="6"/>
    <x v="9"/>
    <x v="24"/>
    <x v="18"/>
    <x v="1"/>
    <n v="4441820000"/>
  </r>
  <r>
    <d v="2026-02-10T00:00:00"/>
    <x v="2"/>
    <x v="1"/>
    <x v="6"/>
    <x v="9"/>
    <x v="30"/>
    <x v="21"/>
    <x v="0"/>
    <n v="450640000"/>
  </r>
  <r>
    <d v="2026-02-11T00:00:00"/>
    <x v="2"/>
    <x v="1"/>
    <x v="6"/>
    <x v="10"/>
    <x v="3"/>
    <x v="3"/>
    <x v="1"/>
    <n v="884450000"/>
  </r>
  <r>
    <d v="2026-02-11T00:00:00"/>
    <x v="2"/>
    <x v="1"/>
    <x v="6"/>
    <x v="10"/>
    <x v="11"/>
    <x v="10"/>
    <x v="4"/>
    <n v="410495563"/>
  </r>
  <r>
    <d v="2026-02-11T00:00:00"/>
    <x v="2"/>
    <x v="1"/>
    <x v="6"/>
    <x v="10"/>
    <x v="12"/>
    <x v="11"/>
    <x v="1"/>
    <n v="15446610000"/>
  </r>
  <r>
    <d v="2026-02-11T00:00:00"/>
    <x v="2"/>
    <x v="1"/>
    <x v="6"/>
    <x v="10"/>
    <x v="5"/>
    <x v="5"/>
    <x v="3"/>
    <n v="2518304147"/>
  </r>
  <r>
    <d v="2026-02-11T00:00:00"/>
    <x v="2"/>
    <x v="1"/>
    <x v="6"/>
    <x v="10"/>
    <x v="27"/>
    <x v="19"/>
    <x v="0"/>
    <n v="14549760000"/>
  </r>
  <r>
    <d v="2026-02-11T00:00:00"/>
    <x v="2"/>
    <x v="1"/>
    <x v="6"/>
    <x v="10"/>
    <x v="15"/>
    <x v="14"/>
    <x v="4"/>
    <n v="8878861"/>
  </r>
  <r>
    <d v="2026-02-11T00:00:00"/>
    <x v="2"/>
    <x v="1"/>
    <x v="6"/>
    <x v="10"/>
    <x v="31"/>
    <x v="22"/>
    <x v="1"/>
    <n v="0"/>
  </r>
  <r>
    <d v="2026-02-11T00:00:00"/>
    <x v="2"/>
    <x v="1"/>
    <x v="6"/>
    <x v="10"/>
    <x v="14"/>
    <x v="13"/>
    <x v="1"/>
    <n v="5167060000"/>
  </r>
  <r>
    <d v="2026-02-11T00:00:00"/>
    <x v="2"/>
    <x v="1"/>
    <x v="6"/>
    <x v="10"/>
    <x v="33"/>
    <x v="13"/>
    <x v="1"/>
    <n v="1733810000"/>
  </r>
  <r>
    <d v="2026-02-11T00:00:00"/>
    <x v="2"/>
    <x v="1"/>
    <x v="6"/>
    <x v="10"/>
    <x v="23"/>
    <x v="17"/>
    <x v="4"/>
    <n v="11337900"/>
  </r>
  <r>
    <d v="2026-02-11T00:00:00"/>
    <x v="2"/>
    <x v="1"/>
    <x v="6"/>
    <x v="10"/>
    <x v="28"/>
    <x v="17"/>
    <x v="4"/>
    <n v="2163121408"/>
  </r>
  <r>
    <d v="2026-02-11T00:00:00"/>
    <x v="2"/>
    <x v="1"/>
    <x v="6"/>
    <x v="10"/>
    <x v="8"/>
    <x v="8"/>
    <x v="1"/>
    <n v="0"/>
  </r>
  <r>
    <d v="2026-02-11T00:00:00"/>
    <x v="2"/>
    <x v="1"/>
    <x v="6"/>
    <x v="10"/>
    <x v="26"/>
    <x v="16"/>
    <x v="1"/>
    <n v="117000000"/>
  </r>
  <r>
    <d v="2026-02-11T00:00:00"/>
    <x v="2"/>
    <x v="1"/>
    <x v="6"/>
    <x v="10"/>
    <x v="32"/>
    <x v="16"/>
    <x v="1"/>
    <n v="0"/>
  </r>
  <r>
    <d v="2026-02-11T00:00:00"/>
    <x v="2"/>
    <x v="1"/>
    <x v="6"/>
    <x v="10"/>
    <x v="2"/>
    <x v="2"/>
    <x v="1"/>
    <n v="20131040000"/>
  </r>
  <r>
    <d v="2026-02-11T00:00:00"/>
    <x v="2"/>
    <x v="1"/>
    <x v="6"/>
    <x v="10"/>
    <x v="17"/>
    <x v="9"/>
    <x v="1"/>
    <n v="0"/>
  </r>
  <r>
    <d v="2026-02-11T00:00:00"/>
    <x v="2"/>
    <x v="1"/>
    <x v="6"/>
    <x v="10"/>
    <x v="20"/>
    <x v="9"/>
    <x v="1"/>
    <n v="0"/>
  </r>
  <r>
    <d v="2026-02-11T00:00:00"/>
    <x v="2"/>
    <x v="1"/>
    <x v="6"/>
    <x v="10"/>
    <x v="21"/>
    <x v="9"/>
    <x v="1"/>
    <n v="0"/>
  </r>
  <r>
    <d v="2026-02-11T00:00:00"/>
    <x v="2"/>
    <x v="1"/>
    <x v="6"/>
    <x v="10"/>
    <x v="25"/>
    <x v="2"/>
    <x v="1"/>
    <n v="30000000"/>
  </r>
  <r>
    <d v="2026-02-11T00:00:00"/>
    <x v="2"/>
    <x v="1"/>
    <x v="6"/>
    <x v="10"/>
    <x v="0"/>
    <x v="0"/>
    <x v="0"/>
    <n v="14314212000"/>
  </r>
  <r>
    <d v="2026-02-11T00:00:00"/>
    <x v="2"/>
    <x v="1"/>
    <x v="6"/>
    <x v="10"/>
    <x v="7"/>
    <x v="7"/>
    <x v="4"/>
    <n v="217746686"/>
  </r>
  <r>
    <d v="2026-02-11T00:00:00"/>
    <x v="2"/>
    <x v="1"/>
    <x v="6"/>
    <x v="10"/>
    <x v="1"/>
    <x v="1"/>
    <x v="1"/>
    <n v="26250000"/>
  </r>
  <r>
    <d v="2026-02-11T00:00:00"/>
    <x v="2"/>
    <x v="1"/>
    <x v="6"/>
    <x v="10"/>
    <x v="6"/>
    <x v="6"/>
    <x v="0"/>
    <n v="41000000"/>
  </r>
  <r>
    <d v="2026-02-11T00:00:00"/>
    <x v="2"/>
    <x v="1"/>
    <x v="6"/>
    <x v="10"/>
    <x v="18"/>
    <x v="15"/>
    <x v="1"/>
    <n v="1090080000"/>
  </r>
  <r>
    <d v="2026-02-11T00:00:00"/>
    <x v="2"/>
    <x v="1"/>
    <x v="6"/>
    <x v="10"/>
    <x v="29"/>
    <x v="20"/>
    <x v="0"/>
    <n v="388692000"/>
  </r>
  <r>
    <d v="2026-02-11T00:00:00"/>
    <x v="2"/>
    <x v="1"/>
    <x v="6"/>
    <x v="10"/>
    <x v="19"/>
    <x v="12"/>
    <x v="4"/>
    <n v="380520888"/>
  </r>
  <r>
    <d v="2026-02-11T00:00:00"/>
    <x v="2"/>
    <x v="1"/>
    <x v="6"/>
    <x v="10"/>
    <x v="24"/>
    <x v="18"/>
    <x v="1"/>
    <n v="4042080000"/>
  </r>
  <r>
    <d v="2026-02-11T00:00:00"/>
    <x v="2"/>
    <x v="1"/>
    <x v="6"/>
    <x v="10"/>
    <x v="30"/>
    <x v="21"/>
    <x v="0"/>
    <n v="414560000"/>
  </r>
  <r>
    <d v="2026-02-12T00:00:00"/>
    <x v="2"/>
    <x v="1"/>
    <x v="6"/>
    <x v="11"/>
    <x v="3"/>
    <x v="3"/>
    <x v="1"/>
    <n v="679300000"/>
  </r>
  <r>
    <d v="2026-02-12T00:00:00"/>
    <x v="2"/>
    <x v="1"/>
    <x v="6"/>
    <x v="11"/>
    <x v="11"/>
    <x v="10"/>
    <x v="4"/>
    <n v="339242997"/>
  </r>
  <r>
    <d v="2026-02-12T00:00:00"/>
    <x v="2"/>
    <x v="1"/>
    <x v="6"/>
    <x v="11"/>
    <x v="12"/>
    <x v="11"/>
    <x v="1"/>
    <n v="15537640000"/>
  </r>
  <r>
    <d v="2026-02-12T00:00:00"/>
    <x v="2"/>
    <x v="1"/>
    <x v="6"/>
    <x v="11"/>
    <x v="5"/>
    <x v="5"/>
    <x v="3"/>
    <n v="2012131802"/>
  </r>
  <r>
    <d v="2026-02-12T00:00:00"/>
    <x v="2"/>
    <x v="1"/>
    <x v="6"/>
    <x v="11"/>
    <x v="27"/>
    <x v="19"/>
    <x v="0"/>
    <n v="14688324000"/>
  </r>
  <r>
    <d v="2026-02-12T00:00:00"/>
    <x v="2"/>
    <x v="1"/>
    <x v="6"/>
    <x v="11"/>
    <x v="15"/>
    <x v="14"/>
    <x v="4"/>
    <n v="10206317"/>
  </r>
  <r>
    <d v="2026-02-12T00:00:00"/>
    <x v="2"/>
    <x v="1"/>
    <x v="6"/>
    <x v="11"/>
    <x v="31"/>
    <x v="22"/>
    <x v="1"/>
    <n v="60000000"/>
  </r>
  <r>
    <d v="2026-02-12T00:00:00"/>
    <x v="2"/>
    <x v="1"/>
    <x v="6"/>
    <x v="11"/>
    <x v="14"/>
    <x v="13"/>
    <x v="1"/>
    <n v="5803230000"/>
  </r>
  <r>
    <d v="2026-02-12T00:00:00"/>
    <x v="2"/>
    <x v="1"/>
    <x v="6"/>
    <x v="11"/>
    <x v="33"/>
    <x v="13"/>
    <x v="1"/>
    <n v="1310970000"/>
  </r>
  <r>
    <d v="2026-02-12T00:00:00"/>
    <x v="2"/>
    <x v="1"/>
    <x v="6"/>
    <x v="11"/>
    <x v="23"/>
    <x v="17"/>
    <x v="4"/>
    <n v="11743716"/>
  </r>
  <r>
    <d v="2026-02-12T00:00:00"/>
    <x v="2"/>
    <x v="1"/>
    <x v="6"/>
    <x v="11"/>
    <x v="28"/>
    <x v="17"/>
    <x v="4"/>
    <n v="1861858527"/>
  </r>
  <r>
    <d v="2026-02-12T00:00:00"/>
    <x v="2"/>
    <x v="1"/>
    <x v="6"/>
    <x v="11"/>
    <x v="8"/>
    <x v="8"/>
    <x v="1"/>
    <n v="0"/>
  </r>
  <r>
    <d v="2026-02-12T00:00:00"/>
    <x v="2"/>
    <x v="1"/>
    <x v="6"/>
    <x v="11"/>
    <x v="26"/>
    <x v="16"/>
    <x v="1"/>
    <n v="95050000"/>
  </r>
  <r>
    <d v="2026-02-12T00:00:00"/>
    <x v="2"/>
    <x v="1"/>
    <x v="6"/>
    <x v="11"/>
    <x v="32"/>
    <x v="16"/>
    <x v="1"/>
    <n v="51500000"/>
  </r>
  <r>
    <d v="2026-02-12T00:00:00"/>
    <x v="2"/>
    <x v="1"/>
    <x v="6"/>
    <x v="11"/>
    <x v="2"/>
    <x v="2"/>
    <x v="1"/>
    <n v="17810790000"/>
  </r>
  <r>
    <d v="2026-02-12T00:00:00"/>
    <x v="2"/>
    <x v="1"/>
    <x v="6"/>
    <x v="11"/>
    <x v="17"/>
    <x v="9"/>
    <x v="1"/>
    <n v="0"/>
  </r>
  <r>
    <d v="2026-02-12T00:00:00"/>
    <x v="2"/>
    <x v="1"/>
    <x v="6"/>
    <x v="11"/>
    <x v="20"/>
    <x v="9"/>
    <x v="1"/>
    <n v="0"/>
  </r>
  <r>
    <d v="2026-02-12T00:00:00"/>
    <x v="2"/>
    <x v="1"/>
    <x v="6"/>
    <x v="11"/>
    <x v="21"/>
    <x v="9"/>
    <x v="1"/>
    <n v="0"/>
  </r>
  <r>
    <d v="2026-02-12T00:00:00"/>
    <x v="2"/>
    <x v="1"/>
    <x v="6"/>
    <x v="11"/>
    <x v="25"/>
    <x v="2"/>
    <x v="1"/>
    <n v="0"/>
  </r>
  <r>
    <d v="2026-02-12T00:00:00"/>
    <x v="2"/>
    <x v="1"/>
    <x v="6"/>
    <x v="11"/>
    <x v="0"/>
    <x v="0"/>
    <x v="0"/>
    <n v="14012568000"/>
  </r>
  <r>
    <d v="2026-02-12T00:00:00"/>
    <x v="2"/>
    <x v="1"/>
    <x v="6"/>
    <x v="11"/>
    <x v="7"/>
    <x v="7"/>
    <x v="4"/>
    <n v="187290414"/>
  </r>
  <r>
    <d v="2026-02-12T00:00:00"/>
    <x v="2"/>
    <x v="1"/>
    <x v="6"/>
    <x v="11"/>
    <x v="1"/>
    <x v="1"/>
    <x v="1"/>
    <n v="31500000"/>
  </r>
  <r>
    <d v="2026-02-12T00:00:00"/>
    <x v="2"/>
    <x v="1"/>
    <x v="6"/>
    <x v="11"/>
    <x v="6"/>
    <x v="6"/>
    <x v="0"/>
    <n v="59000000"/>
  </r>
  <r>
    <d v="2026-02-12T00:00:00"/>
    <x v="2"/>
    <x v="1"/>
    <x v="6"/>
    <x v="11"/>
    <x v="18"/>
    <x v="15"/>
    <x v="1"/>
    <n v="825110000"/>
  </r>
  <r>
    <d v="2026-02-12T00:00:00"/>
    <x v="2"/>
    <x v="1"/>
    <x v="6"/>
    <x v="11"/>
    <x v="29"/>
    <x v="20"/>
    <x v="0"/>
    <n v="367092000"/>
  </r>
  <r>
    <d v="2026-02-12T00:00:00"/>
    <x v="2"/>
    <x v="1"/>
    <x v="6"/>
    <x v="11"/>
    <x v="19"/>
    <x v="12"/>
    <x v="4"/>
    <n v="299647278"/>
  </r>
  <r>
    <d v="2026-02-12T00:00:00"/>
    <x v="2"/>
    <x v="1"/>
    <x v="6"/>
    <x v="11"/>
    <x v="24"/>
    <x v="18"/>
    <x v="1"/>
    <n v="3647310000"/>
  </r>
  <r>
    <d v="2026-02-12T00:00:00"/>
    <x v="2"/>
    <x v="1"/>
    <x v="6"/>
    <x v="11"/>
    <x v="30"/>
    <x v="21"/>
    <x v="0"/>
    <n v="510520000"/>
  </r>
  <r>
    <d v="2026-02-13T00:00:00"/>
    <x v="2"/>
    <x v="1"/>
    <x v="6"/>
    <x v="12"/>
    <x v="3"/>
    <x v="3"/>
    <x v="1"/>
    <n v="780600000"/>
  </r>
  <r>
    <d v="2026-02-13T00:00:00"/>
    <x v="2"/>
    <x v="1"/>
    <x v="6"/>
    <x v="12"/>
    <x v="11"/>
    <x v="10"/>
    <x v="4"/>
    <n v="313771001"/>
  </r>
  <r>
    <d v="2026-02-13T00:00:00"/>
    <x v="2"/>
    <x v="1"/>
    <x v="6"/>
    <x v="12"/>
    <x v="12"/>
    <x v="11"/>
    <x v="1"/>
    <n v="14101730000"/>
  </r>
  <r>
    <d v="2026-02-13T00:00:00"/>
    <x v="2"/>
    <x v="1"/>
    <x v="6"/>
    <x v="12"/>
    <x v="5"/>
    <x v="5"/>
    <x v="3"/>
    <n v="2129790209"/>
  </r>
  <r>
    <d v="2026-02-13T00:00:00"/>
    <x v="2"/>
    <x v="1"/>
    <x v="6"/>
    <x v="12"/>
    <x v="27"/>
    <x v="19"/>
    <x v="0"/>
    <n v="14502564000"/>
  </r>
  <r>
    <d v="2026-02-13T00:00:00"/>
    <x v="2"/>
    <x v="1"/>
    <x v="6"/>
    <x v="12"/>
    <x v="15"/>
    <x v="14"/>
    <x v="4"/>
    <n v="2973908"/>
  </r>
  <r>
    <d v="2026-02-13T00:00:00"/>
    <x v="2"/>
    <x v="1"/>
    <x v="6"/>
    <x v="12"/>
    <x v="31"/>
    <x v="22"/>
    <x v="1"/>
    <n v="0"/>
  </r>
  <r>
    <d v="2026-02-13T00:00:00"/>
    <x v="2"/>
    <x v="1"/>
    <x v="6"/>
    <x v="12"/>
    <x v="14"/>
    <x v="13"/>
    <x v="1"/>
    <n v="5407130000"/>
  </r>
  <r>
    <d v="2026-02-13T00:00:00"/>
    <x v="2"/>
    <x v="1"/>
    <x v="6"/>
    <x v="12"/>
    <x v="33"/>
    <x v="13"/>
    <x v="1"/>
    <n v="1812790000"/>
  </r>
  <r>
    <d v="2026-02-13T00:00:00"/>
    <x v="2"/>
    <x v="1"/>
    <x v="6"/>
    <x v="12"/>
    <x v="23"/>
    <x v="17"/>
    <x v="4"/>
    <n v="23918164"/>
  </r>
  <r>
    <d v="2026-02-13T00:00:00"/>
    <x v="2"/>
    <x v="1"/>
    <x v="6"/>
    <x v="12"/>
    <x v="28"/>
    <x v="17"/>
    <x v="4"/>
    <n v="1673245815"/>
  </r>
  <r>
    <d v="2026-02-13T00:00:00"/>
    <x v="2"/>
    <x v="1"/>
    <x v="6"/>
    <x v="12"/>
    <x v="8"/>
    <x v="8"/>
    <x v="1"/>
    <n v="0"/>
  </r>
  <r>
    <d v="2026-02-13T00:00:00"/>
    <x v="2"/>
    <x v="1"/>
    <x v="6"/>
    <x v="12"/>
    <x v="26"/>
    <x v="16"/>
    <x v="1"/>
    <n v="171750000"/>
  </r>
  <r>
    <d v="2026-02-13T00:00:00"/>
    <x v="2"/>
    <x v="1"/>
    <x v="6"/>
    <x v="12"/>
    <x v="32"/>
    <x v="16"/>
    <x v="1"/>
    <n v="0"/>
  </r>
  <r>
    <d v="2026-02-13T00:00:00"/>
    <x v="2"/>
    <x v="1"/>
    <x v="6"/>
    <x v="12"/>
    <x v="2"/>
    <x v="2"/>
    <x v="1"/>
    <n v="18195930000"/>
  </r>
  <r>
    <d v="2026-02-13T00:00:00"/>
    <x v="2"/>
    <x v="1"/>
    <x v="6"/>
    <x v="12"/>
    <x v="17"/>
    <x v="9"/>
    <x v="1"/>
    <n v="0"/>
  </r>
  <r>
    <d v="2026-02-13T00:00:00"/>
    <x v="2"/>
    <x v="1"/>
    <x v="6"/>
    <x v="12"/>
    <x v="20"/>
    <x v="9"/>
    <x v="1"/>
    <n v="0"/>
  </r>
  <r>
    <d v="2026-02-13T00:00:00"/>
    <x v="2"/>
    <x v="1"/>
    <x v="6"/>
    <x v="12"/>
    <x v="21"/>
    <x v="9"/>
    <x v="1"/>
    <n v="0"/>
  </r>
  <r>
    <d v="2026-02-13T00:00:00"/>
    <x v="2"/>
    <x v="1"/>
    <x v="6"/>
    <x v="12"/>
    <x v="25"/>
    <x v="2"/>
    <x v="1"/>
    <n v="0"/>
  </r>
  <r>
    <d v="2026-02-13T00:00:00"/>
    <x v="2"/>
    <x v="1"/>
    <x v="6"/>
    <x v="12"/>
    <x v="0"/>
    <x v="0"/>
    <x v="0"/>
    <n v="14592420000"/>
  </r>
  <r>
    <d v="2026-02-13T00:00:00"/>
    <x v="2"/>
    <x v="1"/>
    <x v="6"/>
    <x v="12"/>
    <x v="7"/>
    <x v="7"/>
    <x v="4"/>
    <n v="218166026"/>
  </r>
  <r>
    <d v="2026-02-13T00:00:00"/>
    <x v="2"/>
    <x v="1"/>
    <x v="6"/>
    <x v="12"/>
    <x v="1"/>
    <x v="1"/>
    <x v="1"/>
    <n v="93500000"/>
  </r>
  <r>
    <d v="2026-02-13T00:00:00"/>
    <x v="2"/>
    <x v="1"/>
    <x v="6"/>
    <x v="12"/>
    <x v="6"/>
    <x v="6"/>
    <x v="0"/>
    <n v="84000000"/>
  </r>
  <r>
    <d v="2026-02-13T00:00:00"/>
    <x v="2"/>
    <x v="1"/>
    <x v="6"/>
    <x v="12"/>
    <x v="18"/>
    <x v="15"/>
    <x v="1"/>
    <n v="1116740000"/>
  </r>
  <r>
    <d v="2026-02-13T00:00:00"/>
    <x v="2"/>
    <x v="1"/>
    <x v="6"/>
    <x v="12"/>
    <x v="29"/>
    <x v="20"/>
    <x v="0"/>
    <n v="430812000"/>
  </r>
  <r>
    <d v="2026-02-13T00:00:00"/>
    <x v="2"/>
    <x v="1"/>
    <x v="6"/>
    <x v="12"/>
    <x v="19"/>
    <x v="12"/>
    <x v="4"/>
    <n v="332005724"/>
  </r>
  <r>
    <d v="2026-02-13T00:00:00"/>
    <x v="2"/>
    <x v="1"/>
    <x v="6"/>
    <x v="12"/>
    <x v="24"/>
    <x v="18"/>
    <x v="1"/>
    <n v="3427090000"/>
  </r>
  <r>
    <d v="2026-02-13T00:00:00"/>
    <x v="2"/>
    <x v="1"/>
    <x v="6"/>
    <x v="12"/>
    <x v="30"/>
    <x v="21"/>
    <x v="0"/>
    <n v="414560000"/>
  </r>
  <r>
    <d v="2026-02-14T00:00:00"/>
    <x v="2"/>
    <x v="1"/>
    <x v="6"/>
    <x v="13"/>
    <x v="3"/>
    <x v="3"/>
    <x v="1"/>
    <n v="355550000"/>
  </r>
  <r>
    <d v="2026-02-14T00:00:00"/>
    <x v="2"/>
    <x v="1"/>
    <x v="6"/>
    <x v="13"/>
    <x v="11"/>
    <x v="10"/>
    <x v="4"/>
    <n v="258786164"/>
  </r>
  <r>
    <d v="2026-02-14T00:00:00"/>
    <x v="2"/>
    <x v="1"/>
    <x v="6"/>
    <x v="13"/>
    <x v="12"/>
    <x v="11"/>
    <x v="1"/>
    <n v="9592520000"/>
  </r>
  <r>
    <d v="2026-02-14T00:00:00"/>
    <x v="2"/>
    <x v="1"/>
    <x v="6"/>
    <x v="13"/>
    <x v="5"/>
    <x v="5"/>
    <x v="3"/>
    <n v="1672196713"/>
  </r>
  <r>
    <d v="2026-02-14T00:00:00"/>
    <x v="2"/>
    <x v="1"/>
    <x v="6"/>
    <x v="13"/>
    <x v="27"/>
    <x v="19"/>
    <x v="0"/>
    <n v="11142144000"/>
  </r>
  <r>
    <d v="2026-02-14T00:00:00"/>
    <x v="2"/>
    <x v="1"/>
    <x v="6"/>
    <x v="13"/>
    <x v="15"/>
    <x v="14"/>
    <x v="4"/>
    <n v="1402475"/>
  </r>
  <r>
    <d v="2026-02-14T00:00:00"/>
    <x v="2"/>
    <x v="1"/>
    <x v="6"/>
    <x v="13"/>
    <x v="31"/>
    <x v="22"/>
    <x v="1"/>
    <n v="0"/>
  </r>
  <r>
    <d v="2026-02-14T00:00:00"/>
    <x v="2"/>
    <x v="1"/>
    <x v="6"/>
    <x v="13"/>
    <x v="14"/>
    <x v="13"/>
    <x v="1"/>
    <n v="3394570000"/>
  </r>
  <r>
    <d v="2026-02-14T00:00:00"/>
    <x v="2"/>
    <x v="1"/>
    <x v="6"/>
    <x v="13"/>
    <x v="33"/>
    <x v="13"/>
    <x v="1"/>
    <n v="861650000"/>
  </r>
  <r>
    <d v="2026-02-14T00:00:00"/>
    <x v="2"/>
    <x v="1"/>
    <x v="6"/>
    <x v="13"/>
    <x v="23"/>
    <x v="17"/>
    <x v="4"/>
    <n v="22600147"/>
  </r>
  <r>
    <d v="2026-02-14T00:00:00"/>
    <x v="2"/>
    <x v="1"/>
    <x v="6"/>
    <x v="13"/>
    <x v="28"/>
    <x v="17"/>
    <x v="4"/>
    <n v="1558512862"/>
  </r>
  <r>
    <d v="2026-02-14T00:00:00"/>
    <x v="2"/>
    <x v="1"/>
    <x v="6"/>
    <x v="13"/>
    <x v="8"/>
    <x v="8"/>
    <x v="1"/>
    <n v="0"/>
  </r>
  <r>
    <d v="2026-02-14T00:00:00"/>
    <x v="2"/>
    <x v="1"/>
    <x v="6"/>
    <x v="13"/>
    <x v="26"/>
    <x v="16"/>
    <x v="1"/>
    <n v="63000000"/>
  </r>
  <r>
    <d v="2026-02-14T00:00:00"/>
    <x v="2"/>
    <x v="1"/>
    <x v="6"/>
    <x v="13"/>
    <x v="32"/>
    <x v="16"/>
    <x v="1"/>
    <n v="83430000"/>
  </r>
  <r>
    <d v="2026-02-14T00:00:00"/>
    <x v="2"/>
    <x v="1"/>
    <x v="6"/>
    <x v="13"/>
    <x v="2"/>
    <x v="2"/>
    <x v="1"/>
    <n v="12781040000"/>
  </r>
  <r>
    <d v="2026-02-14T00:00:00"/>
    <x v="2"/>
    <x v="1"/>
    <x v="6"/>
    <x v="13"/>
    <x v="17"/>
    <x v="9"/>
    <x v="1"/>
    <n v="0"/>
  </r>
  <r>
    <d v="2026-02-14T00:00:00"/>
    <x v="2"/>
    <x v="1"/>
    <x v="6"/>
    <x v="13"/>
    <x v="20"/>
    <x v="9"/>
    <x v="1"/>
    <n v="0"/>
  </r>
  <r>
    <d v="2026-02-14T00:00:00"/>
    <x v="2"/>
    <x v="1"/>
    <x v="6"/>
    <x v="13"/>
    <x v="21"/>
    <x v="9"/>
    <x v="1"/>
    <n v="0"/>
  </r>
  <r>
    <d v="2026-02-14T00:00:00"/>
    <x v="2"/>
    <x v="1"/>
    <x v="6"/>
    <x v="13"/>
    <x v="25"/>
    <x v="2"/>
    <x v="1"/>
    <n v="0"/>
  </r>
  <r>
    <d v="2026-02-14T00:00:00"/>
    <x v="2"/>
    <x v="1"/>
    <x v="6"/>
    <x v="13"/>
    <x v="0"/>
    <x v="0"/>
    <x v="0"/>
    <n v="12411684000"/>
  </r>
  <r>
    <d v="2026-02-14T00:00:00"/>
    <x v="2"/>
    <x v="1"/>
    <x v="6"/>
    <x v="13"/>
    <x v="7"/>
    <x v="7"/>
    <x v="4"/>
    <n v="148151559"/>
  </r>
  <r>
    <d v="2026-02-14T00:00:00"/>
    <x v="2"/>
    <x v="1"/>
    <x v="6"/>
    <x v="13"/>
    <x v="1"/>
    <x v="1"/>
    <x v="1"/>
    <n v="41000000"/>
  </r>
  <r>
    <d v="2026-02-14T00:00:00"/>
    <x v="2"/>
    <x v="1"/>
    <x v="6"/>
    <x v="13"/>
    <x v="6"/>
    <x v="6"/>
    <x v="0"/>
    <n v="41000000"/>
  </r>
  <r>
    <d v="2026-02-14T00:00:00"/>
    <x v="2"/>
    <x v="1"/>
    <x v="6"/>
    <x v="13"/>
    <x v="18"/>
    <x v="15"/>
    <x v="1"/>
    <n v="768680000"/>
  </r>
  <r>
    <d v="2026-02-14T00:00:00"/>
    <x v="2"/>
    <x v="1"/>
    <x v="6"/>
    <x v="13"/>
    <x v="29"/>
    <x v="20"/>
    <x v="0"/>
    <n v="248076000"/>
  </r>
  <r>
    <d v="2026-02-14T00:00:00"/>
    <x v="2"/>
    <x v="1"/>
    <x v="6"/>
    <x v="13"/>
    <x v="19"/>
    <x v="12"/>
    <x v="4"/>
    <n v="293908630"/>
  </r>
  <r>
    <d v="2026-02-14T00:00:00"/>
    <x v="2"/>
    <x v="1"/>
    <x v="6"/>
    <x v="13"/>
    <x v="24"/>
    <x v="18"/>
    <x v="1"/>
    <n v="2288510000"/>
  </r>
  <r>
    <d v="2026-02-14T00:00:00"/>
    <x v="2"/>
    <x v="1"/>
    <x v="6"/>
    <x v="13"/>
    <x v="30"/>
    <x v="21"/>
    <x v="0"/>
    <n v="517320000"/>
  </r>
  <r>
    <d v="2026-02-15T00:00:00"/>
    <x v="2"/>
    <x v="1"/>
    <x v="6"/>
    <x v="14"/>
    <x v="3"/>
    <x v="3"/>
    <x v="1"/>
    <n v="377750000"/>
  </r>
  <r>
    <d v="2026-02-15T00:00:00"/>
    <x v="2"/>
    <x v="1"/>
    <x v="6"/>
    <x v="14"/>
    <x v="11"/>
    <x v="10"/>
    <x v="4"/>
    <n v="200480969"/>
  </r>
  <r>
    <d v="2026-02-15T00:00:00"/>
    <x v="2"/>
    <x v="1"/>
    <x v="6"/>
    <x v="14"/>
    <x v="12"/>
    <x v="11"/>
    <x v="1"/>
    <n v="7767740000"/>
  </r>
  <r>
    <d v="2026-02-15T00:00:00"/>
    <x v="2"/>
    <x v="1"/>
    <x v="6"/>
    <x v="14"/>
    <x v="5"/>
    <x v="5"/>
    <x v="3"/>
    <n v="1507132265"/>
  </r>
  <r>
    <d v="2026-02-15T00:00:00"/>
    <x v="2"/>
    <x v="1"/>
    <x v="6"/>
    <x v="14"/>
    <x v="27"/>
    <x v="19"/>
    <x v="0"/>
    <n v="10136556000"/>
  </r>
  <r>
    <d v="2026-02-15T00:00:00"/>
    <x v="2"/>
    <x v="1"/>
    <x v="6"/>
    <x v="14"/>
    <x v="15"/>
    <x v="14"/>
    <x v="4"/>
    <n v="714476"/>
  </r>
  <r>
    <d v="2026-02-15T00:00:00"/>
    <x v="2"/>
    <x v="1"/>
    <x v="6"/>
    <x v="14"/>
    <x v="31"/>
    <x v="22"/>
    <x v="1"/>
    <n v="0"/>
  </r>
  <r>
    <d v="2026-02-15T00:00:00"/>
    <x v="2"/>
    <x v="1"/>
    <x v="6"/>
    <x v="14"/>
    <x v="14"/>
    <x v="13"/>
    <x v="1"/>
    <n v="2025270000"/>
  </r>
  <r>
    <d v="2026-02-15T00:00:00"/>
    <x v="2"/>
    <x v="1"/>
    <x v="6"/>
    <x v="14"/>
    <x v="33"/>
    <x v="13"/>
    <x v="1"/>
    <n v="448410000"/>
  </r>
  <r>
    <d v="2026-02-15T00:00:00"/>
    <x v="2"/>
    <x v="1"/>
    <x v="6"/>
    <x v="14"/>
    <x v="23"/>
    <x v="17"/>
    <x v="4"/>
    <n v="9994370"/>
  </r>
  <r>
    <d v="2026-02-15T00:00:00"/>
    <x v="2"/>
    <x v="1"/>
    <x v="6"/>
    <x v="14"/>
    <x v="28"/>
    <x v="17"/>
    <x v="4"/>
    <n v="1094880452"/>
  </r>
  <r>
    <d v="2026-02-15T00:00:00"/>
    <x v="2"/>
    <x v="1"/>
    <x v="6"/>
    <x v="14"/>
    <x v="8"/>
    <x v="8"/>
    <x v="1"/>
    <n v="0"/>
  </r>
  <r>
    <d v="2026-02-15T00:00:00"/>
    <x v="2"/>
    <x v="1"/>
    <x v="6"/>
    <x v="14"/>
    <x v="26"/>
    <x v="16"/>
    <x v="1"/>
    <n v="110250000"/>
  </r>
  <r>
    <d v="2026-02-15T00:00:00"/>
    <x v="2"/>
    <x v="1"/>
    <x v="6"/>
    <x v="14"/>
    <x v="32"/>
    <x v="16"/>
    <x v="1"/>
    <n v="0"/>
  </r>
  <r>
    <d v="2026-02-15T00:00:00"/>
    <x v="2"/>
    <x v="1"/>
    <x v="6"/>
    <x v="14"/>
    <x v="2"/>
    <x v="2"/>
    <x v="1"/>
    <n v="10542680000"/>
  </r>
  <r>
    <d v="2026-02-15T00:00:00"/>
    <x v="2"/>
    <x v="1"/>
    <x v="6"/>
    <x v="14"/>
    <x v="17"/>
    <x v="9"/>
    <x v="1"/>
    <n v="0"/>
  </r>
  <r>
    <d v="2026-02-15T00:00:00"/>
    <x v="2"/>
    <x v="1"/>
    <x v="6"/>
    <x v="14"/>
    <x v="20"/>
    <x v="9"/>
    <x v="1"/>
    <n v="0"/>
  </r>
  <r>
    <d v="2026-02-15T00:00:00"/>
    <x v="2"/>
    <x v="1"/>
    <x v="6"/>
    <x v="14"/>
    <x v="21"/>
    <x v="9"/>
    <x v="1"/>
    <n v="0"/>
  </r>
  <r>
    <d v="2026-02-15T00:00:00"/>
    <x v="2"/>
    <x v="1"/>
    <x v="6"/>
    <x v="14"/>
    <x v="25"/>
    <x v="2"/>
    <x v="1"/>
    <n v="15000000"/>
  </r>
  <r>
    <d v="2026-02-15T00:00:00"/>
    <x v="2"/>
    <x v="1"/>
    <x v="6"/>
    <x v="14"/>
    <x v="0"/>
    <x v="0"/>
    <x v="0"/>
    <n v="10047780000"/>
  </r>
  <r>
    <d v="2026-02-15T00:00:00"/>
    <x v="2"/>
    <x v="1"/>
    <x v="6"/>
    <x v="14"/>
    <x v="7"/>
    <x v="7"/>
    <x v="4"/>
    <n v="141149891"/>
  </r>
  <r>
    <d v="2026-02-15T00:00:00"/>
    <x v="2"/>
    <x v="1"/>
    <x v="6"/>
    <x v="14"/>
    <x v="1"/>
    <x v="1"/>
    <x v="1"/>
    <n v="63000000"/>
  </r>
  <r>
    <d v="2026-02-15T00:00:00"/>
    <x v="2"/>
    <x v="1"/>
    <x v="6"/>
    <x v="14"/>
    <x v="6"/>
    <x v="6"/>
    <x v="0"/>
    <n v="38000000"/>
  </r>
  <r>
    <d v="2026-02-15T00:00:00"/>
    <x v="2"/>
    <x v="1"/>
    <x v="6"/>
    <x v="14"/>
    <x v="18"/>
    <x v="15"/>
    <x v="1"/>
    <n v="647650000"/>
  </r>
  <r>
    <d v="2026-02-15T00:00:00"/>
    <x v="2"/>
    <x v="1"/>
    <x v="6"/>
    <x v="14"/>
    <x v="29"/>
    <x v="20"/>
    <x v="0"/>
    <n v="288360000"/>
  </r>
  <r>
    <d v="2026-02-15T00:00:00"/>
    <x v="2"/>
    <x v="1"/>
    <x v="6"/>
    <x v="14"/>
    <x v="19"/>
    <x v="12"/>
    <x v="4"/>
    <n v="262063435"/>
  </r>
  <r>
    <d v="2026-02-15T00:00:00"/>
    <x v="2"/>
    <x v="1"/>
    <x v="6"/>
    <x v="14"/>
    <x v="24"/>
    <x v="18"/>
    <x v="1"/>
    <n v="2219280000"/>
  </r>
  <r>
    <d v="2026-02-15T00:00:00"/>
    <x v="2"/>
    <x v="1"/>
    <x v="6"/>
    <x v="14"/>
    <x v="30"/>
    <x v="21"/>
    <x v="0"/>
    <n v="379080000"/>
  </r>
  <r>
    <d v="2026-02-16T00:00:00"/>
    <x v="2"/>
    <x v="1"/>
    <x v="7"/>
    <x v="15"/>
    <x v="3"/>
    <x v="3"/>
    <x v="1"/>
    <n v="199100000"/>
  </r>
  <r>
    <d v="2026-02-16T00:00:00"/>
    <x v="2"/>
    <x v="1"/>
    <x v="7"/>
    <x v="15"/>
    <x v="11"/>
    <x v="10"/>
    <x v="4"/>
    <n v="171218066"/>
  </r>
  <r>
    <d v="2026-02-16T00:00:00"/>
    <x v="2"/>
    <x v="1"/>
    <x v="7"/>
    <x v="15"/>
    <x v="12"/>
    <x v="11"/>
    <x v="1"/>
    <n v="7015060000"/>
  </r>
  <r>
    <d v="2026-02-16T00:00:00"/>
    <x v="2"/>
    <x v="1"/>
    <x v="7"/>
    <x v="15"/>
    <x v="5"/>
    <x v="5"/>
    <x v="3"/>
    <n v="1577459125"/>
  </r>
  <r>
    <d v="2026-02-16T00:00:00"/>
    <x v="2"/>
    <x v="1"/>
    <x v="7"/>
    <x v="15"/>
    <x v="27"/>
    <x v="19"/>
    <x v="0"/>
    <n v="9127728000"/>
  </r>
  <r>
    <d v="2026-02-16T00:00:00"/>
    <x v="2"/>
    <x v="1"/>
    <x v="7"/>
    <x v="15"/>
    <x v="15"/>
    <x v="14"/>
    <x v="4"/>
    <n v="376000"/>
  </r>
  <r>
    <d v="2026-02-16T00:00:00"/>
    <x v="2"/>
    <x v="1"/>
    <x v="7"/>
    <x v="15"/>
    <x v="31"/>
    <x v="22"/>
    <x v="1"/>
    <n v="0"/>
  </r>
  <r>
    <d v="2026-02-16T00:00:00"/>
    <x v="2"/>
    <x v="1"/>
    <x v="7"/>
    <x v="15"/>
    <x v="14"/>
    <x v="13"/>
    <x v="1"/>
    <n v="40000000"/>
  </r>
  <r>
    <d v="2026-02-16T00:00:00"/>
    <x v="2"/>
    <x v="1"/>
    <x v="7"/>
    <x v="15"/>
    <x v="33"/>
    <x v="13"/>
    <x v="1"/>
    <n v="295690000"/>
  </r>
  <r>
    <d v="2026-02-16T00:00:00"/>
    <x v="2"/>
    <x v="1"/>
    <x v="7"/>
    <x v="15"/>
    <x v="23"/>
    <x v="17"/>
    <x v="4"/>
    <n v="35836"/>
  </r>
  <r>
    <d v="2026-02-16T00:00:00"/>
    <x v="2"/>
    <x v="1"/>
    <x v="7"/>
    <x v="15"/>
    <x v="28"/>
    <x v="17"/>
    <x v="4"/>
    <n v="108417293"/>
  </r>
  <r>
    <d v="2026-02-16T00:00:00"/>
    <x v="2"/>
    <x v="1"/>
    <x v="7"/>
    <x v="15"/>
    <x v="8"/>
    <x v="8"/>
    <x v="1"/>
    <n v="0"/>
  </r>
  <r>
    <d v="2026-02-16T00:00:00"/>
    <x v="2"/>
    <x v="1"/>
    <x v="7"/>
    <x v="15"/>
    <x v="26"/>
    <x v="16"/>
    <x v="1"/>
    <n v="0"/>
  </r>
  <r>
    <d v="2026-02-16T00:00:00"/>
    <x v="2"/>
    <x v="1"/>
    <x v="7"/>
    <x v="15"/>
    <x v="32"/>
    <x v="16"/>
    <x v="1"/>
    <n v="0"/>
  </r>
  <r>
    <d v="2026-02-16T00:00:00"/>
    <x v="2"/>
    <x v="1"/>
    <x v="7"/>
    <x v="15"/>
    <x v="2"/>
    <x v="2"/>
    <x v="1"/>
    <n v="8938420000"/>
  </r>
  <r>
    <d v="2026-02-16T00:00:00"/>
    <x v="2"/>
    <x v="1"/>
    <x v="7"/>
    <x v="15"/>
    <x v="17"/>
    <x v="9"/>
    <x v="1"/>
    <n v="0"/>
  </r>
  <r>
    <d v="2026-02-16T00:00:00"/>
    <x v="2"/>
    <x v="1"/>
    <x v="7"/>
    <x v="15"/>
    <x v="20"/>
    <x v="9"/>
    <x v="1"/>
    <n v="0"/>
  </r>
  <r>
    <d v="2026-02-16T00:00:00"/>
    <x v="2"/>
    <x v="1"/>
    <x v="7"/>
    <x v="15"/>
    <x v="21"/>
    <x v="9"/>
    <x v="1"/>
    <n v="0"/>
  </r>
  <r>
    <d v="2026-02-16T00:00:00"/>
    <x v="2"/>
    <x v="1"/>
    <x v="7"/>
    <x v="15"/>
    <x v="25"/>
    <x v="2"/>
    <x v="1"/>
    <n v="0"/>
  </r>
  <r>
    <d v="2026-02-16T00:00:00"/>
    <x v="2"/>
    <x v="1"/>
    <x v="7"/>
    <x v="15"/>
    <x v="0"/>
    <x v="0"/>
    <x v="0"/>
    <n v="9461016000"/>
  </r>
  <r>
    <d v="2026-02-16T00:00:00"/>
    <x v="2"/>
    <x v="1"/>
    <x v="7"/>
    <x v="15"/>
    <x v="7"/>
    <x v="7"/>
    <x v="4"/>
    <n v="104087944"/>
  </r>
  <r>
    <d v="2026-02-16T00:00:00"/>
    <x v="2"/>
    <x v="1"/>
    <x v="7"/>
    <x v="15"/>
    <x v="1"/>
    <x v="1"/>
    <x v="1"/>
    <n v="35700000"/>
  </r>
  <r>
    <d v="2026-02-16T00:00:00"/>
    <x v="2"/>
    <x v="1"/>
    <x v="7"/>
    <x v="15"/>
    <x v="6"/>
    <x v="6"/>
    <x v="0"/>
    <n v="57000000"/>
  </r>
  <r>
    <d v="2026-02-16T00:00:00"/>
    <x v="2"/>
    <x v="1"/>
    <x v="7"/>
    <x v="15"/>
    <x v="18"/>
    <x v="15"/>
    <x v="1"/>
    <n v="324530000"/>
  </r>
  <r>
    <d v="2026-02-16T00:00:00"/>
    <x v="2"/>
    <x v="1"/>
    <x v="7"/>
    <x v="15"/>
    <x v="29"/>
    <x v="20"/>
    <x v="0"/>
    <n v="150660000"/>
  </r>
  <r>
    <d v="2026-02-16T00:00:00"/>
    <x v="2"/>
    <x v="1"/>
    <x v="7"/>
    <x v="15"/>
    <x v="19"/>
    <x v="12"/>
    <x v="4"/>
    <n v="156031324"/>
  </r>
  <r>
    <d v="2026-02-16T00:00:00"/>
    <x v="2"/>
    <x v="1"/>
    <x v="7"/>
    <x v="15"/>
    <x v="24"/>
    <x v="18"/>
    <x v="1"/>
    <n v="1508030000"/>
  </r>
  <r>
    <d v="2026-02-16T00:00:00"/>
    <x v="2"/>
    <x v="1"/>
    <x v="7"/>
    <x v="15"/>
    <x v="30"/>
    <x v="21"/>
    <x v="0"/>
    <n v="332640000"/>
  </r>
  <r>
    <d v="2026-02-17T00:00:00"/>
    <x v="2"/>
    <x v="1"/>
    <x v="7"/>
    <x v="16"/>
    <x v="3"/>
    <x v="3"/>
    <x v="1"/>
    <n v="105000000"/>
  </r>
  <r>
    <d v="2026-02-17T00:00:00"/>
    <x v="2"/>
    <x v="1"/>
    <x v="7"/>
    <x v="16"/>
    <x v="11"/>
    <x v="10"/>
    <x v="4"/>
    <n v="133844469"/>
  </r>
  <r>
    <d v="2026-02-17T00:00:00"/>
    <x v="2"/>
    <x v="1"/>
    <x v="7"/>
    <x v="16"/>
    <x v="12"/>
    <x v="11"/>
    <x v="1"/>
    <n v="2916520000"/>
  </r>
  <r>
    <d v="2026-02-17T00:00:00"/>
    <x v="2"/>
    <x v="1"/>
    <x v="7"/>
    <x v="16"/>
    <x v="5"/>
    <x v="5"/>
    <x v="3"/>
    <n v="596244194"/>
  </r>
  <r>
    <d v="2026-02-17T00:00:00"/>
    <x v="2"/>
    <x v="1"/>
    <x v="7"/>
    <x v="16"/>
    <x v="27"/>
    <x v="19"/>
    <x v="0"/>
    <n v="4526820000"/>
  </r>
  <r>
    <d v="2026-02-17T00:00:00"/>
    <x v="2"/>
    <x v="1"/>
    <x v="7"/>
    <x v="16"/>
    <x v="15"/>
    <x v="14"/>
    <x v="4"/>
    <n v="0"/>
  </r>
  <r>
    <d v="2026-02-17T00:00:00"/>
    <x v="2"/>
    <x v="1"/>
    <x v="7"/>
    <x v="16"/>
    <x v="31"/>
    <x v="22"/>
    <x v="1"/>
    <n v="0"/>
  </r>
  <r>
    <d v="2026-02-17T00:00:00"/>
    <x v="2"/>
    <x v="1"/>
    <x v="7"/>
    <x v="16"/>
    <x v="14"/>
    <x v="13"/>
    <x v="1"/>
    <n v="0"/>
  </r>
  <r>
    <d v="2026-02-17T00:00:00"/>
    <x v="2"/>
    <x v="1"/>
    <x v="7"/>
    <x v="16"/>
    <x v="33"/>
    <x v="13"/>
    <x v="1"/>
    <n v="94200000"/>
  </r>
  <r>
    <d v="2026-02-17T00:00:00"/>
    <x v="2"/>
    <x v="1"/>
    <x v="7"/>
    <x v="16"/>
    <x v="23"/>
    <x v="17"/>
    <x v="4"/>
    <n v="0"/>
  </r>
  <r>
    <d v="2026-02-17T00:00:00"/>
    <x v="2"/>
    <x v="1"/>
    <x v="7"/>
    <x v="16"/>
    <x v="28"/>
    <x v="17"/>
    <x v="4"/>
    <n v="26145274"/>
  </r>
  <r>
    <d v="2026-02-17T00:00:00"/>
    <x v="2"/>
    <x v="1"/>
    <x v="7"/>
    <x v="16"/>
    <x v="8"/>
    <x v="8"/>
    <x v="1"/>
    <n v="0"/>
  </r>
  <r>
    <d v="2026-02-17T00:00:00"/>
    <x v="2"/>
    <x v="1"/>
    <x v="7"/>
    <x v="16"/>
    <x v="26"/>
    <x v="16"/>
    <x v="1"/>
    <n v="0"/>
  </r>
  <r>
    <d v="2026-02-17T00:00:00"/>
    <x v="2"/>
    <x v="1"/>
    <x v="7"/>
    <x v="16"/>
    <x v="32"/>
    <x v="16"/>
    <x v="1"/>
    <n v="0"/>
  </r>
  <r>
    <d v="2026-02-17T00:00:00"/>
    <x v="2"/>
    <x v="1"/>
    <x v="7"/>
    <x v="16"/>
    <x v="2"/>
    <x v="2"/>
    <x v="1"/>
    <n v="4239480000"/>
  </r>
  <r>
    <d v="2026-02-17T00:00:00"/>
    <x v="2"/>
    <x v="1"/>
    <x v="7"/>
    <x v="16"/>
    <x v="17"/>
    <x v="9"/>
    <x v="1"/>
    <n v="0"/>
  </r>
  <r>
    <d v="2026-02-17T00:00:00"/>
    <x v="2"/>
    <x v="1"/>
    <x v="7"/>
    <x v="16"/>
    <x v="20"/>
    <x v="9"/>
    <x v="1"/>
    <n v="0"/>
  </r>
  <r>
    <d v="2026-02-17T00:00:00"/>
    <x v="2"/>
    <x v="1"/>
    <x v="7"/>
    <x v="16"/>
    <x v="21"/>
    <x v="9"/>
    <x v="1"/>
    <n v="0"/>
  </r>
  <r>
    <d v="2026-02-17T00:00:00"/>
    <x v="2"/>
    <x v="1"/>
    <x v="7"/>
    <x v="16"/>
    <x v="25"/>
    <x v="2"/>
    <x v="1"/>
    <n v="0"/>
  </r>
  <r>
    <d v="2026-02-17T00:00:00"/>
    <x v="2"/>
    <x v="1"/>
    <x v="7"/>
    <x v="16"/>
    <x v="0"/>
    <x v="0"/>
    <x v="0"/>
    <n v="4456296000"/>
  </r>
  <r>
    <d v="2026-02-17T00:00:00"/>
    <x v="2"/>
    <x v="1"/>
    <x v="7"/>
    <x v="16"/>
    <x v="7"/>
    <x v="7"/>
    <x v="4"/>
    <n v="93103833"/>
  </r>
  <r>
    <d v="2026-02-17T00:00:00"/>
    <x v="2"/>
    <x v="1"/>
    <x v="7"/>
    <x v="16"/>
    <x v="1"/>
    <x v="1"/>
    <x v="1"/>
    <n v="0"/>
  </r>
  <r>
    <d v="2026-02-17T00:00:00"/>
    <x v="2"/>
    <x v="1"/>
    <x v="7"/>
    <x v="16"/>
    <x v="6"/>
    <x v="6"/>
    <x v="0"/>
    <n v="49000000"/>
  </r>
  <r>
    <d v="2026-02-17T00:00:00"/>
    <x v="2"/>
    <x v="1"/>
    <x v="7"/>
    <x v="16"/>
    <x v="18"/>
    <x v="15"/>
    <x v="1"/>
    <n v="220270000"/>
  </r>
  <r>
    <d v="2026-02-17T00:00:00"/>
    <x v="2"/>
    <x v="1"/>
    <x v="7"/>
    <x v="16"/>
    <x v="29"/>
    <x v="20"/>
    <x v="0"/>
    <n v="81648000"/>
  </r>
  <r>
    <d v="2026-02-17T00:00:00"/>
    <x v="2"/>
    <x v="1"/>
    <x v="7"/>
    <x v="16"/>
    <x v="19"/>
    <x v="12"/>
    <x v="4"/>
    <n v="107356656"/>
  </r>
  <r>
    <d v="2026-02-17T00:00:00"/>
    <x v="2"/>
    <x v="1"/>
    <x v="7"/>
    <x v="16"/>
    <x v="24"/>
    <x v="18"/>
    <x v="1"/>
    <n v="595680000"/>
  </r>
  <r>
    <d v="2026-02-17T00:00:00"/>
    <x v="2"/>
    <x v="1"/>
    <x v="7"/>
    <x v="16"/>
    <x v="30"/>
    <x v="21"/>
    <x v="0"/>
    <n v="156600000"/>
  </r>
  <r>
    <d v="2026-02-18T00:00:00"/>
    <x v="2"/>
    <x v="1"/>
    <x v="7"/>
    <x v="17"/>
    <x v="3"/>
    <x v="3"/>
    <x v="1"/>
    <n v="124400000"/>
  </r>
  <r>
    <d v="2026-02-18T00:00:00"/>
    <x v="2"/>
    <x v="1"/>
    <x v="7"/>
    <x v="17"/>
    <x v="11"/>
    <x v="10"/>
    <x v="4"/>
    <n v="164703306"/>
  </r>
  <r>
    <d v="2026-02-18T00:00:00"/>
    <x v="2"/>
    <x v="1"/>
    <x v="7"/>
    <x v="17"/>
    <x v="12"/>
    <x v="11"/>
    <x v="1"/>
    <n v="3893200000"/>
  </r>
  <r>
    <d v="2026-02-18T00:00:00"/>
    <x v="2"/>
    <x v="1"/>
    <x v="7"/>
    <x v="17"/>
    <x v="5"/>
    <x v="5"/>
    <x v="3"/>
    <n v="554331648"/>
  </r>
  <r>
    <d v="2026-02-18T00:00:00"/>
    <x v="2"/>
    <x v="1"/>
    <x v="7"/>
    <x v="17"/>
    <x v="27"/>
    <x v="19"/>
    <x v="0"/>
    <n v="4757616000"/>
  </r>
  <r>
    <d v="2026-02-18T00:00:00"/>
    <x v="2"/>
    <x v="1"/>
    <x v="7"/>
    <x v="17"/>
    <x v="15"/>
    <x v="14"/>
    <x v="4"/>
    <n v="0"/>
  </r>
  <r>
    <d v="2026-02-18T00:00:00"/>
    <x v="2"/>
    <x v="1"/>
    <x v="7"/>
    <x v="17"/>
    <x v="31"/>
    <x v="22"/>
    <x v="1"/>
    <n v="0"/>
  </r>
  <r>
    <d v="2026-02-18T00:00:00"/>
    <x v="2"/>
    <x v="1"/>
    <x v="7"/>
    <x v="17"/>
    <x v="14"/>
    <x v="13"/>
    <x v="1"/>
    <n v="0"/>
  </r>
  <r>
    <d v="2026-02-18T00:00:00"/>
    <x v="2"/>
    <x v="1"/>
    <x v="7"/>
    <x v="17"/>
    <x v="33"/>
    <x v="13"/>
    <x v="1"/>
    <n v="64200000"/>
  </r>
  <r>
    <d v="2026-02-18T00:00:00"/>
    <x v="2"/>
    <x v="1"/>
    <x v="7"/>
    <x v="17"/>
    <x v="23"/>
    <x v="17"/>
    <x v="4"/>
    <n v="0"/>
  </r>
  <r>
    <d v="2026-02-18T00:00:00"/>
    <x v="2"/>
    <x v="1"/>
    <x v="7"/>
    <x v="17"/>
    <x v="28"/>
    <x v="17"/>
    <x v="4"/>
    <n v="85033036"/>
  </r>
  <r>
    <d v="2026-02-18T00:00:00"/>
    <x v="2"/>
    <x v="1"/>
    <x v="7"/>
    <x v="17"/>
    <x v="8"/>
    <x v="8"/>
    <x v="1"/>
    <n v="0"/>
  </r>
  <r>
    <d v="2026-02-18T00:00:00"/>
    <x v="2"/>
    <x v="1"/>
    <x v="7"/>
    <x v="17"/>
    <x v="26"/>
    <x v="16"/>
    <x v="1"/>
    <n v="0"/>
  </r>
  <r>
    <d v="2026-02-18T00:00:00"/>
    <x v="2"/>
    <x v="1"/>
    <x v="7"/>
    <x v="17"/>
    <x v="32"/>
    <x v="16"/>
    <x v="1"/>
    <n v="0"/>
  </r>
  <r>
    <d v="2026-02-18T00:00:00"/>
    <x v="2"/>
    <x v="1"/>
    <x v="7"/>
    <x v="17"/>
    <x v="2"/>
    <x v="2"/>
    <x v="1"/>
    <n v="4522890000"/>
  </r>
  <r>
    <d v="2026-02-18T00:00:00"/>
    <x v="2"/>
    <x v="1"/>
    <x v="7"/>
    <x v="17"/>
    <x v="17"/>
    <x v="9"/>
    <x v="1"/>
    <n v="0"/>
  </r>
  <r>
    <d v="2026-02-18T00:00:00"/>
    <x v="2"/>
    <x v="1"/>
    <x v="7"/>
    <x v="17"/>
    <x v="20"/>
    <x v="9"/>
    <x v="1"/>
    <n v="0"/>
  </r>
  <r>
    <d v="2026-02-18T00:00:00"/>
    <x v="2"/>
    <x v="1"/>
    <x v="7"/>
    <x v="17"/>
    <x v="21"/>
    <x v="9"/>
    <x v="1"/>
    <n v="0"/>
  </r>
  <r>
    <d v="2026-02-18T00:00:00"/>
    <x v="2"/>
    <x v="1"/>
    <x v="7"/>
    <x v="17"/>
    <x v="25"/>
    <x v="2"/>
    <x v="1"/>
    <n v="0"/>
  </r>
  <r>
    <d v="2026-02-18T00:00:00"/>
    <x v="2"/>
    <x v="1"/>
    <x v="7"/>
    <x v="17"/>
    <x v="0"/>
    <x v="0"/>
    <x v="0"/>
    <n v="4945860000"/>
  </r>
  <r>
    <d v="2026-02-18T00:00:00"/>
    <x v="2"/>
    <x v="1"/>
    <x v="7"/>
    <x v="17"/>
    <x v="7"/>
    <x v="7"/>
    <x v="4"/>
    <n v="91904715"/>
  </r>
  <r>
    <d v="2026-02-18T00:00:00"/>
    <x v="2"/>
    <x v="1"/>
    <x v="7"/>
    <x v="17"/>
    <x v="1"/>
    <x v="1"/>
    <x v="1"/>
    <n v="0"/>
  </r>
  <r>
    <d v="2026-02-18T00:00:00"/>
    <x v="2"/>
    <x v="1"/>
    <x v="7"/>
    <x v="17"/>
    <x v="6"/>
    <x v="6"/>
    <x v="0"/>
    <n v="19000000"/>
  </r>
  <r>
    <d v="2026-02-18T00:00:00"/>
    <x v="2"/>
    <x v="1"/>
    <x v="7"/>
    <x v="17"/>
    <x v="18"/>
    <x v="15"/>
    <x v="1"/>
    <n v="232350000"/>
  </r>
  <r>
    <d v="2026-02-18T00:00:00"/>
    <x v="2"/>
    <x v="1"/>
    <x v="7"/>
    <x v="17"/>
    <x v="29"/>
    <x v="20"/>
    <x v="0"/>
    <n v="131868000"/>
  </r>
  <r>
    <d v="2026-02-18T00:00:00"/>
    <x v="2"/>
    <x v="1"/>
    <x v="7"/>
    <x v="17"/>
    <x v="19"/>
    <x v="12"/>
    <x v="4"/>
    <n v="103238725"/>
  </r>
  <r>
    <d v="2026-02-18T00:00:00"/>
    <x v="2"/>
    <x v="1"/>
    <x v="7"/>
    <x v="17"/>
    <x v="24"/>
    <x v="18"/>
    <x v="1"/>
    <n v="973840000"/>
  </r>
  <r>
    <d v="2026-02-18T00:00:00"/>
    <x v="2"/>
    <x v="1"/>
    <x v="7"/>
    <x v="17"/>
    <x v="30"/>
    <x v="21"/>
    <x v="0"/>
    <n v="220320000"/>
  </r>
  <r>
    <d v="2026-02-19T00:00:00"/>
    <x v="2"/>
    <x v="1"/>
    <x v="7"/>
    <x v="18"/>
    <x v="3"/>
    <x v="3"/>
    <x v="1"/>
    <n v="200900000"/>
  </r>
  <r>
    <d v="2026-02-19T00:00:00"/>
    <x v="2"/>
    <x v="1"/>
    <x v="7"/>
    <x v="18"/>
    <x v="11"/>
    <x v="10"/>
    <x v="4"/>
    <n v="145976336"/>
  </r>
  <r>
    <d v="2026-02-19T00:00:00"/>
    <x v="2"/>
    <x v="1"/>
    <x v="7"/>
    <x v="18"/>
    <x v="12"/>
    <x v="11"/>
    <x v="1"/>
    <n v="3873140000"/>
  </r>
  <r>
    <d v="2026-02-19T00:00:00"/>
    <x v="2"/>
    <x v="1"/>
    <x v="7"/>
    <x v="18"/>
    <x v="5"/>
    <x v="5"/>
    <x v="3"/>
    <n v="633877795"/>
  </r>
  <r>
    <d v="2026-02-19T00:00:00"/>
    <x v="2"/>
    <x v="1"/>
    <x v="7"/>
    <x v="18"/>
    <x v="27"/>
    <x v="19"/>
    <x v="0"/>
    <n v="5544396000"/>
  </r>
  <r>
    <d v="2026-02-19T00:00:00"/>
    <x v="2"/>
    <x v="1"/>
    <x v="7"/>
    <x v="18"/>
    <x v="15"/>
    <x v="14"/>
    <x v="4"/>
    <n v="0"/>
  </r>
  <r>
    <d v="2026-02-19T00:00:00"/>
    <x v="2"/>
    <x v="1"/>
    <x v="7"/>
    <x v="18"/>
    <x v="31"/>
    <x v="22"/>
    <x v="1"/>
    <n v="0"/>
  </r>
  <r>
    <d v="2026-02-19T00:00:00"/>
    <x v="2"/>
    <x v="1"/>
    <x v="7"/>
    <x v="18"/>
    <x v="14"/>
    <x v="13"/>
    <x v="1"/>
    <n v="0"/>
  </r>
  <r>
    <d v="2026-02-19T00:00:00"/>
    <x v="2"/>
    <x v="1"/>
    <x v="7"/>
    <x v="18"/>
    <x v="33"/>
    <x v="13"/>
    <x v="1"/>
    <n v="194450000"/>
  </r>
  <r>
    <d v="2026-02-19T00:00:00"/>
    <x v="2"/>
    <x v="1"/>
    <x v="7"/>
    <x v="18"/>
    <x v="23"/>
    <x v="17"/>
    <x v="4"/>
    <n v="0"/>
  </r>
  <r>
    <d v="2026-02-19T00:00:00"/>
    <x v="2"/>
    <x v="1"/>
    <x v="7"/>
    <x v="18"/>
    <x v="28"/>
    <x v="17"/>
    <x v="4"/>
    <n v="89601074"/>
  </r>
  <r>
    <d v="2026-02-19T00:00:00"/>
    <x v="2"/>
    <x v="1"/>
    <x v="7"/>
    <x v="18"/>
    <x v="8"/>
    <x v="8"/>
    <x v="1"/>
    <n v="0"/>
  </r>
  <r>
    <d v="2026-02-19T00:00:00"/>
    <x v="2"/>
    <x v="1"/>
    <x v="7"/>
    <x v="18"/>
    <x v="26"/>
    <x v="16"/>
    <x v="1"/>
    <n v="0"/>
  </r>
  <r>
    <d v="2026-02-19T00:00:00"/>
    <x v="2"/>
    <x v="1"/>
    <x v="7"/>
    <x v="18"/>
    <x v="32"/>
    <x v="16"/>
    <x v="1"/>
    <n v="0"/>
  </r>
  <r>
    <d v="2026-02-19T00:00:00"/>
    <x v="2"/>
    <x v="1"/>
    <x v="7"/>
    <x v="18"/>
    <x v="2"/>
    <x v="2"/>
    <x v="1"/>
    <n v="4887520000"/>
  </r>
  <r>
    <d v="2026-02-19T00:00:00"/>
    <x v="2"/>
    <x v="1"/>
    <x v="7"/>
    <x v="18"/>
    <x v="17"/>
    <x v="9"/>
    <x v="1"/>
    <n v="0"/>
  </r>
  <r>
    <d v="2026-02-19T00:00:00"/>
    <x v="2"/>
    <x v="1"/>
    <x v="7"/>
    <x v="18"/>
    <x v="20"/>
    <x v="9"/>
    <x v="1"/>
    <n v="0"/>
  </r>
  <r>
    <d v="2026-02-19T00:00:00"/>
    <x v="2"/>
    <x v="1"/>
    <x v="7"/>
    <x v="18"/>
    <x v="21"/>
    <x v="9"/>
    <x v="1"/>
    <n v="0"/>
  </r>
  <r>
    <d v="2026-02-19T00:00:00"/>
    <x v="2"/>
    <x v="1"/>
    <x v="7"/>
    <x v="18"/>
    <x v="25"/>
    <x v="2"/>
    <x v="1"/>
    <n v="0"/>
  </r>
  <r>
    <d v="2026-02-19T00:00:00"/>
    <x v="2"/>
    <x v="1"/>
    <x v="7"/>
    <x v="18"/>
    <x v="0"/>
    <x v="0"/>
    <x v="0"/>
    <n v="5241240000"/>
  </r>
  <r>
    <d v="2026-02-19T00:00:00"/>
    <x v="2"/>
    <x v="1"/>
    <x v="7"/>
    <x v="18"/>
    <x v="7"/>
    <x v="7"/>
    <x v="4"/>
    <n v="79258073"/>
  </r>
  <r>
    <d v="2026-02-19T00:00:00"/>
    <x v="2"/>
    <x v="1"/>
    <x v="7"/>
    <x v="18"/>
    <x v="1"/>
    <x v="1"/>
    <x v="1"/>
    <n v="21000000"/>
  </r>
  <r>
    <d v="2026-02-19T00:00:00"/>
    <x v="2"/>
    <x v="1"/>
    <x v="7"/>
    <x v="18"/>
    <x v="6"/>
    <x v="6"/>
    <x v="0"/>
    <n v="19000000"/>
  </r>
  <r>
    <d v="2026-02-19T00:00:00"/>
    <x v="2"/>
    <x v="1"/>
    <x v="7"/>
    <x v="18"/>
    <x v="18"/>
    <x v="15"/>
    <x v="1"/>
    <n v="179800000"/>
  </r>
  <r>
    <d v="2026-02-19T00:00:00"/>
    <x v="2"/>
    <x v="1"/>
    <x v="7"/>
    <x v="18"/>
    <x v="29"/>
    <x v="20"/>
    <x v="0"/>
    <n v="112644000"/>
  </r>
  <r>
    <d v="2026-02-19T00:00:00"/>
    <x v="2"/>
    <x v="1"/>
    <x v="7"/>
    <x v="18"/>
    <x v="19"/>
    <x v="12"/>
    <x v="4"/>
    <n v="96671855"/>
  </r>
  <r>
    <d v="2026-02-19T00:00:00"/>
    <x v="2"/>
    <x v="1"/>
    <x v="7"/>
    <x v="18"/>
    <x v="24"/>
    <x v="18"/>
    <x v="1"/>
    <n v="1016350000"/>
  </r>
  <r>
    <d v="2026-02-19T00:00:00"/>
    <x v="2"/>
    <x v="1"/>
    <x v="7"/>
    <x v="18"/>
    <x v="30"/>
    <x v="21"/>
    <x v="0"/>
    <n v="247320000"/>
  </r>
  <r>
    <d v="2026-02-20T00:00:00"/>
    <x v="2"/>
    <x v="1"/>
    <x v="7"/>
    <x v="19"/>
    <x v="3"/>
    <x v="3"/>
    <x v="1"/>
    <n v="264000000"/>
  </r>
  <r>
    <d v="2026-02-20T00:00:00"/>
    <x v="2"/>
    <x v="1"/>
    <x v="7"/>
    <x v="19"/>
    <x v="11"/>
    <x v="10"/>
    <x v="4"/>
    <n v="194476613"/>
  </r>
  <r>
    <d v="2026-02-20T00:00:00"/>
    <x v="2"/>
    <x v="1"/>
    <x v="7"/>
    <x v="19"/>
    <x v="12"/>
    <x v="11"/>
    <x v="1"/>
    <n v="4534250000"/>
  </r>
  <r>
    <d v="2026-02-20T00:00:00"/>
    <x v="2"/>
    <x v="1"/>
    <x v="7"/>
    <x v="19"/>
    <x v="5"/>
    <x v="5"/>
    <x v="3"/>
    <n v="878059568"/>
  </r>
  <r>
    <d v="2026-02-20T00:00:00"/>
    <x v="2"/>
    <x v="1"/>
    <x v="7"/>
    <x v="19"/>
    <x v="27"/>
    <x v="19"/>
    <x v="0"/>
    <n v="7240752000"/>
  </r>
  <r>
    <d v="2026-02-20T00:00:00"/>
    <x v="2"/>
    <x v="1"/>
    <x v="7"/>
    <x v="19"/>
    <x v="15"/>
    <x v="14"/>
    <x v="4"/>
    <n v="248600"/>
  </r>
  <r>
    <d v="2026-02-20T00:00:00"/>
    <x v="2"/>
    <x v="1"/>
    <x v="7"/>
    <x v="19"/>
    <x v="31"/>
    <x v="22"/>
    <x v="1"/>
    <n v="0"/>
  </r>
  <r>
    <d v="2026-02-20T00:00:00"/>
    <x v="2"/>
    <x v="1"/>
    <x v="7"/>
    <x v="19"/>
    <x v="14"/>
    <x v="13"/>
    <x v="1"/>
    <n v="510300000"/>
  </r>
  <r>
    <d v="2026-02-20T00:00:00"/>
    <x v="2"/>
    <x v="1"/>
    <x v="7"/>
    <x v="19"/>
    <x v="33"/>
    <x v="13"/>
    <x v="1"/>
    <n v="154800000"/>
  </r>
  <r>
    <d v="2026-02-20T00:00:00"/>
    <x v="2"/>
    <x v="1"/>
    <x v="7"/>
    <x v="19"/>
    <x v="23"/>
    <x v="17"/>
    <x v="4"/>
    <n v="3961000"/>
  </r>
  <r>
    <d v="2026-02-20T00:00:00"/>
    <x v="2"/>
    <x v="1"/>
    <x v="7"/>
    <x v="19"/>
    <x v="28"/>
    <x v="17"/>
    <x v="4"/>
    <n v="770659205"/>
  </r>
  <r>
    <d v="2026-02-20T00:00:00"/>
    <x v="2"/>
    <x v="1"/>
    <x v="7"/>
    <x v="19"/>
    <x v="8"/>
    <x v="8"/>
    <x v="1"/>
    <n v="0"/>
  </r>
  <r>
    <d v="2026-02-20T00:00:00"/>
    <x v="2"/>
    <x v="1"/>
    <x v="7"/>
    <x v="19"/>
    <x v="26"/>
    <x v="16"/>
    <x v="1"/>
    <n v="0"/>
  </r>
  <r>
    <d v="2026-02-20T00:00:00"/>
    <x v="2"/>
    <x v="1"/>
    <x v="7"/>
    <x v="19"/>
    <x v="32"/>
    <x v="16"/>
    <x v="1"/>
    <n v="0"/>
  </r>
  <r>
    <d v="2026-02-20T00:00:00"/>
    <x v="2"/>
    <x v="1"/>
    <x v="7"/>
    <x v="19"/>
    <x v="2"/>
    <x v="2"/>
    <x v="1"/>
    <n v="5836680000"/>
  </r>
  <r>
    <d v="2026-02-20T00:00:00"/>
    <x v="2"/>
    <x v="1"/>
    <x v="7"/>
    <x v="19"/>
    <x v="17"/>
    <x v="9"/>
    <x v="1"/>
    <n v="0"/>
  </r>
  <r>
    <d v="2026-02-20T00:00:00"/>
    <x v="2"/>
    <x v="1"/>
    <x v="7"/>
    <x v="19"/>
    <x v="20"/>
    <x v="9"/>
    <x v="1"/>
    <n v="0"/>
  </r>
  <r>
    <d v="2026-02-20T00:00:00"/>
    <x v="2"/>
    <x v="1"/>
    <x v="7"/>
    <x v="19"/>
    <x v="21"/>
    <x v="9"/>
    <x v="1"/>
    <n v="0"/>
  </r>
  <r>
    <d v="2026-02-20T00:00:00"/>
    <x v="2"/>
    <x v="1"/>
    <x v="7"/>
    <x v="19"/>
    <x v="25"/>
    <x v="2"/>
    <x v="1"/>
    <n v="0"/>
  </r>
  <r>
    <d v="2026-02-20T00:00:00"/>
    <x v="2"/>
    <x v="1"/>
    <x v="7"/>
    <x v="19"/>
    <x v="0"/>
    <x v="0"/>
    <x v="0"/>
    <n v="6076404000"/>
  </r>
  <r>
    <d v="2026-02-20T00:00:00"/>
    <x v="2"/>
    <x v="1"/>
    <x v="7"/>
    <x v="19"/>
    <x v="7"/>
    <x v="7"/>
    <x v="4"/>
    <n v="106842556"/>
  </r>
  <r>
    <d v="2026-02-20T00:00:00"/>
    <x v="2"/>
    <x v="1"/>
    <x v="7"/>
    <x v="19"/>
    <x v="1"/>
    <x v="1"/>
    <x v="1"/>
    <n v="31500000"/>
  </r>
  <r>
    <d v="2026-02-20T00:00:00"/>
    <x v="2"/>
    <x v="1"/>
    <x v="7"/>
    <x v="19"/>
    <x v="6"/>
    <x v="6"/>
    <x v="0"/>
    <n v="22000000"/>
  </r>
  <r>
    <d v="2026-02-20T00:00:00"/>
    <x v="2"/>
    <x v="1"/>
    <x v="7"/>
    <x v="19"/>
    <x v="18"/>
    <x v="15"/>
    <x v="1"/>
    <n v="409870000"/>
  </r>
  <r>
    <d v="2026-02-20T00:00:00"/>
    <x v="2"/>
    <x v="1"/>
    <x v="7"/>
    <x v="19"/>
    <x v="29"/>
    <x v="20"/>
    <x v="0"/>
    <n v="173664000"/>
  </r>
  <r>
    <d v="2026-02-20T00:00:00"/>
    <x v="2"/>
    <x v="1"/>
    <x v="7"/>
    <x v="19"/>
    <x v="19"/>
    <x v="12"/>
    <x v="4"/>
    <n v="139793113"/>
  </r>
  <r>
    <d v="2026-02-20T00:00:00"/>
    <x v="2"/>
    <x v="1"/>
    <x v="7"/>
    <x v="19"/>
    <x v="24"/>
    <x v="18"/>
    <x v="1"/>
    <n v="885530000"/>
  </r>
  <r>
    <d v="2026-02-20T00:00:00"/>
    <x v="2"/>
    <x v="1"/>
    <x v="7"/>
    <x v="19"/>
    <x v="30"/>
    <x v="21"/>
    <x v="0"/>
    <n v="284880000"/>
  </r>
  <r>
    <d v="2026-02-21T00:00:00"/>
    <x v="2"/>
    <x v="1"/>
    <x v="7"/>
    <x v="20"/>
    <x v="3"/>
    <x v="3"/>
    <x v="1"/>
    <n v="300800000"/>
  </r>
  <r>
    <d v="2026-02-21T00:00:00"/>
    <x v="2"/>
    <x v="1"/>
    <x v="7"/>
    <x v="20"/>
    <x v="11"/>
    <x v="10"/>
    <x v="4"/>
    <n v="214986926"/>
  </r>
  <r>
    <d v="2026-02-21T00:00:00"/>
    <x v="2"/>
    <x v="1"/>
    <x v="7"/>
    <x v="20"/>
    <x v="12"/>
    <x v="11"/>
    <x v="1"/>
    <n v="5288040000"/>
  </r>
  <r>
    <d v="2026-02-21T00:00:00"/>
    <x v="2"/>
    <x v="1"/>
    <x v="7"/>
    <x v="20"/>
    <x v="5"/>
    <x v="5"/>
    <x v="3"/>
    <n v="899004779"/>
  </r>
  <r>
    <d v="2026-02-21T00:00:00"/>
    <x v="2"/>
    <x v="1"/>
    <x v="7"/>
    <x v="20"/>
    <x v="27"/>
    <x v="19"/>
    <x v="0"/>
    <n v="8806104000"/>
  </r>
  <r>
    <d v="2026-02-21T00:00:00"/>
    <x v="2"/>
    <x v="1"/>
    <x v="7"/>
    <x v="20"/>
    <x v="15"/>
    <x v="14"/>
    <x v="4"/>
    <n v="4615697"/>
  </r>
  <r>
    <d v="2026-02-21T00:00:00"/>
    <x v="2"/>
    <x v="1"/>
    <x v="7"/>
    <x v="20"/>
    <x v="31"/>
    <x v="22"/>
    <x v="1"/>
    <n v="0"/>
  </r>
  <r>
    <d v="2026-02-21T00:00:00"/>
    <x v="2"/>
    <x v="1"/>
    <x v="7"/>
    <x v="20"/>
    <x v="14"/>
    <x v="13"/>
    <x v="1"/>
    <n v="875250000"/>
  </r>
  <r>
    <d v="2026-02-21T00:00:00"/>
    <x v="2"/>
    <x v="1"/>
    <x v="7"/>
    <x v="20"/>
    <x v="33"/>
    <x v="13"/>
    <x v="1"/>
    <n v="413700000"/>
  </r>
  <r>
    <d v="2026-02-21T00:00:00"/>
    <x v="2"/>
    <x v="1"/>
    <x v="7"/>
    <x v="20"/>
    <x v="23"/>
    <x v="17"/>
    <x v="4"/>
    <n v="8939426"/>
  </r>
  <r>
    <d v="2026-02-21T00:00:00"/>
    <x v="2"/>
    <x v="1"/>
    <x v="7"/>
    <x v="20"/>
    <x v="28"/>
    <x v="17"/>
    <x v="4"/>
    <n v="959095652"/>
  </r>
  <r>
    <d v="2026-02-21T00:00:00"/>
    <x v="2"/>
    <x v="1"/>
    <x v="7"/>
    <x v="20"/>
    <x v="8"/>
    <x v="8"/>
    <x v="1"/>
    <n v="0"/>
  </r>
  <r>
    <d v="2026-02-21T00:00:00"/>
    <x v="2"/>
    <x v="1"/>
    <x v="7"/>
    <x v="20"/>
    <x v="26"/>
    <x v="16"/>
    <x v="1"/>
    <n v="0"/>
  </r>
  <r>
    <d v="2026-02-21T00:00:00"/>
    <x v="2"/>
    <x v="1"/>
    <x v="7"/>
    <x v="20"/>
    <x v="32"/>
    <x v="16"/>
    <x v="1"/>
    <n v="0"/>
  </r>
  <r>
    <d v="2026-02-21T00:00:00"/>
    <x v="2"/>
    <x v="1"/>
    <x v="7"/>
    <x v="20"/>
    <x v="2"/>
    <x v="2"/>
    <x v="1"/>
    <n v="6245630000"/>
  </r>
  <r>
    <d v="2026-02-21T00:00:00"/>
    <x v="2"/>
    <x v="1"/>
    <x v="7"/>
    <x v="20"/>
    <x v="17"/>
    <x v="9"/>
    <x v="1"/>
    <n v="0"/>
  </r>
  <r>
    <d v="2026-02-21T00:00:00"/>
    <x v="2"/>
    <x v="1"/>
    <x v="7"/>
    <x v="20"/>
    <x v="20"/>
    <x v="9"/>
    <x v="1"/>
    <n v="0"/>
  </r>
  <r>
    <d v="2026-02-21T00:00:00"/>
    <x v="2"/>
    <x v="1"/>
    <x v="7"/>
    <x v="20"/>
    <x v="21"/>
    <x v="9"/>
    <x v="1"/>
    <n v="0"/>
  </r>
  <r>
    <d v="2026-02-21T00:00:00"/>
    <x v="2"/>
    <x v="1"/>
    <x v="7"/>
    <x v="20"/>
    <x v="25"/>
    <x v="2"/>
    <x v="1"/>
    <n v="0"/>
  </r>
  <r>
    <d v="2026-02-21T00:00:00"/>
    <x v="2"/>
    <x v="1"/>
    <x v="7"/>
    <x v="20"/>
    <x v="0"/>
    <x v="0"/>
    <x v="0"/>
    <n v="7378020000"/>
  </r>
  <r>
    <d v="2026-02-21T00:00:00"/>
    <x v="2"/>
    <x v="1"/>
    <x v="7"/>
    <x v="20"/>
    <x v="7"/>
    <x v="7"/>
    <x v="4"/>
    <n v="104014462"/>
  </r>
  <r>
    <d v="2026-02-21T00:00:00"/>
    <x v="2"/>
    <x v="1"/>
    <x v="7"/>
    <x v="20"/>
    <x v="1"/>
    <x v="1"/>
    <x v="1"/>
    <n v="10500000"/>
  </r>
  <r>
    <d v="2026-02-21T00:00:00"/>
    <x v="2"/>
    <x v="1"/>
    <x v="7"/>
    <x v="20"/>
    <x v="6"/>
    <x v="6"/>
    <x v="0"/>
    <n v="40000000"/>
  </r>
  <r>
    <d v="2026-02-21T00:00:00"/>
    <x v="2"/>
    <x v="1"/>
    <x v="7"/>
    <x v="20"/>
    <x v="18"/>
    <x v="15"/>
    <x v="1"/>
    <n v="343140000"/>
  </r>
  <r>
    <d v="2026-02-21T00:00:00"/>
    <x v="2"/>
    <x v="1"/>
    <x v="7"/>
    <x v="20"/>
    <x v="29"/>
    <x v="20"/>
    <x v="0"/>
    <n v="156276000"/>
  </r>
  <r>
    <d v="2026-02-21T00:00:00"/>
    <x v="2"/>
    <x v="1"/>
    <x v="7"/>
    <x v="20"/>
    <x v="19"/>
    <x v="12"/>
    <x v="4"/>
    <n v="198687649"/>
  </r>
  <r>
    <d v="2026-02-21T00:00:00"/>
    <x v="2"/>
    <x v="1"/>
    <x v="7"/>
    <x v="20"/>
    <x v="24"/>
    <x v="18"/>
    <x v="1"/>
    <n v="1252750000"/>
  </r>
  <r>
    <d v="2026-02-21T00:00:00"/>
    <x v="2"/>
    <x v="1"/>
    <x v="7"/>
    <x v="20"/>
    <x v="30"/>
    <x v="21"/>
    <x v="0"/>
    <n v="304400000"/>
  </r>
  <r>
    <d v="2026-02-22T00:00:00"/>
    <x v="2"/>
    <x v="1"/>
    <x v="7"/>
    <x v="21"/>
    <x v="3"/>
    <x v="3"/>
    <x v="1"/>
    <n v="580200000"/>
  </r>
  <r>
    <d v="2026-02-22T00:00:00"/>
    <x v="2"/>
    <x v="1"/>
    <x v="7"/>
    <x v="21"/>
    <x v="11"/>
    <x v="10"/>
    <x v="4"/>
    <n v="284287591"/>
  </r>
  <r>
    <d v="2026-02-22T00:00:00"/>
    <x v="2"/>
    <x v="1"/>
    <x v="7"/>
    <x v="21"/>
    <x v="12"/>
    <x v="11"/>
    <x v="1"/>
    <n v="5969330000"/>
  </r>
  <r>
    <d v="2026-02-22T00:00:00"/>
    <x v="2"/>
    <x v="1"/>
    <x v="7"/>
    <x v="21"/>
    <x v="5"/>
    <x v="5"/>
    <x v="3"/>
    <n v="1145161870"/>
  </r>
  <r>
    <d v="2026-02-22T00:00:00"/>
    <x v="2"/>
    <x v="1"/>
    <x v="7"/>
    <x v="21"/>
    <x v="27"/>
    <x v="19"/>
    <x v="0"/>
    <n v="12687840000"/>
  </r>
  <r>
    <d v="2026-02-22T00:00:00"/>
    <x v="2"/>
    <x v="1"/>
    <x v="7"/>
    <x v="21"/>
    <x v="15"/>
    <x v="14"/>
    <x v="4"/>
    <n v="4576096"/>
  </r>
  <r>
    <d v="2026-02-22T00:00:00"/>
    <x v="2"/>
    <x v="1"/>
    <x v="7"/>
    <x v="21"/>
    <x v="31"/>
    <x v="22"/>
    <x v="1"/>
    <n v="0"/>
  </r>
  <r>
    <d v="2026-02-22T00:00:00"/>
    <x v="2"/>
    <x v="1"/>
    <x v="7"/>
    <x v="21"/>
    <x v="14"/>
    <x v="13"/>
    <x v="1"/>
    <n v="1526840000"/>
  </r>
  <r>
    <d v="2026-02-22T00:00:00"/>
    <x v="2"/>
    <x v="1"/>
    <x v="7"/>
    <x v="21"/>
    <x v="33"/>
    <x v="13"/>
    <x v="1"/>
    <n v="450400000"/>
  </r>
  <r>
    <d v="2026-02-22T00:00:00"/>
    <x v="2"/>
    <x v="1"/>
    <x v="7"/>
    <x v="21"/>
    <x v="23"/>
    <x v="17"/>
    <x v="4"/>
    <n v="7949324"/>
  </r>
  <r>
    <d v="2026-02-22T00:00:00"/>
    <x v="2"/>
    <x v="1"/>
    <x v="7"/>
    <x v="21"/>
    <x v="28"/>
    <x v="17"/>
    <x v="4"/>
    <n v="1054032746"/>
  </r>
  <r>
    <d v="2026-02-22T00:00:00"/>
    <x v="2"/>
    <x v="1"/>
    <x v="7"/>
    <x v="21"/>
    <x v="8"/>
    <x v="8"/>
    <x v="1"/>
    <n v="0"/>
  </r>
  <r>
    <d v="2026-02-22T00:00:00"/>
    <x v="2"/>
    <x v="1"/>
    <x v="7"/>
    <x v="21"/>
    <x v="26"/>
    <x v="16"/>
    <x v="1"/>
    <n v="15750000"/>
  </r>
  <r>
    <d v="2026-02-22T00:00:00"/>
    <x v="2"/>
    <x v="1"/>
    <x v="7"/>
    <x v="21"/>
    <x v="32"/>
    <x v="16"/>
    <x v="1"/>
    <n v="0"/>
  </r>
  <r>
    <d v="2026-02-22T00:00:00"/>
    <x v="2"/>
    <x v="1"/>
    <x v="7"/>
    <x v="21"/>
    <x v="2"/>
    <x v="2"/>
    <x v="1"/>
    <n v="7908400000"/>
  </r>
  <r>
    <d v="2026-02-22T00:00:00"/>
    <x v="2"/>
    <x v="1"/>
    <x v="7"/>
    <x v="21"/>
    <x v="17"/>
    <x v="9"/>
    <x v="1"/>
    <n v="0"/>
  </r>
  <r>
    <d v="2026-02-22T00:00:00"/>
    <x v="2"/>
    <x v="1"/>
    <x v="7"/>
    <x v="21"/>
    <x v="20"/>
    <x v="9"/>
    <x v="1"/>
    <n v="0"/>
  </r>
  <r>
    <d v="2026-02-22T00:00:00"/>
    <x v="2"/>
    <x v="1"/>
    <x v="7"/>
    <x v="21"/>
    <x v="21"/>
    <x v="9"/>
    <x v="1"/>
    <n v="0"/>
  </r>
  <r>
    <d v="2026-02-22T00:00:00"/>
    <x v="2"/>
    <x v="1"/>
    <x v="7"/>
    <x v="21"/>
    <x v="25"/>
    <x v="2"/>
    <x v="1"/>
    <n v="0"/>
  </r>
  <r>
    <d v="2026-02-22T00:00:00"/>
    <x v="2"/>
    <x v="1"/>
    <x v="7"/>
    <x v="21"/>
    <x v="0"/>
    <x v="0"/>
    <x v="0"/>
    <n v="8930412000"/>
  </r>
  <r>
    <d v="2026-02-22T00:00:00"/>
    <x v="2"/>
    <x v="1"/>
    <x v="7"/>
    <x v="21"/>
    <x v="7"/>
    <x v="7"/>
    <x v="4"/>
    <n v="129829872"/>
  </r>
  <r>
    <d v="2026-02-22T00:00:00"/>
    <x v="2"/>
    <x v="1"/>
    <x v="7"/>
    <x v="21"/>
    <x v="1"/>
    <x v="1"/>
    <x v="1"/>
    <n v="109250000"/>
  </r>
  <r>
    <d v="2026-02-22T00:00:00"/>
    <x v="2"/>
    <x v="1"/>
    <x v="7"/>
    <x v="21"/>
    <x v="6"/>
    <x v="6"/>
    <x v="0"/>
    <n v="52000000"/>
  </r>
  <r>
    <d v="2026-02-22T00:00:00"/>
    <x v="2"/>
    <x v="1"/>
    <x v="7"/>
    <x v="21"/>
    <x v="18"/>
    <x v="15"/>
    <x v="1"/>
    <n v="500160000"/>
  </r>
  <r>
    <d v="2026-02-22T00:00:00"/>
    <x v="2"/>
    <x v="1"/>
    <x v="7"/>
    <x v="21"/>
    <x v="29"/>
    <x v="20"/>
    <x v="0"/>
    <n v="269352000"/>
  </r>
  <r>
    <d v="2026-02-22T00:00:00"/>
    <x v="2"/>
    <x v="1"/>
    <x v="7"/>
    <x v="21"/>
    <x v="19"/>
    <x v="12"/>
    <x v="4"/>
    <n v="244266863"/>
  </r>
  <r>
    <d v="2026-02-22T00:00:00"/>
    <x v="2"/>
    <x v="1"/>
    <x v="7"/>
    <x v="21"/>
    <x v="24"/>
    <x v="18"/>
    <x v="1"/>
    <n v="1462680000"/>
  </r>
  <r>
    <d v="2026-02-22T00:00:00"/>
    <x v="2"/>
    <x v="1"/>
    <x v="7"/>
    <x v="21"/>
    <x v="30"/>
    <x v="21"/>
    <x v="0"/>
    <n v="354240000"/>
  </r>
  <r>
    <d v="2026-02-23T00:00:00"/>
    <x v="2"/>
    <x v="1"/>
    <x v="8"/>
    <x v="22"/>
    <x v="3"/>
    <x v="3"/>
    <x v="1"/>
    <n v="456650000"/>
  </r>
  <r>
    <d v="2026-02-23T00:00:00"/>
    <x v="2"/>
    <x v="1"/>
    <x v="8"/>
    <x v="22"/>
    <x v="11"/>
    <x v="10"/>
    <x v="4"/>
    <n v="283424694"/>
  </r>
  <r>
    <d v="2026-02-23T00:00:00"/>
    <x v="2"/>
    <x v="1"/>
    <x v="8"/>
    <x v="22"/>
    <x v="12"/>
    <x v="11"/>
    <x v="1"/>
    <n v="10136260000"/>
  </r>
  <r>
    <d v="2026-02-23T00:00:00"/>
    <x v="2"/>
    <x v="1"/>
    <x v="8"/>
    <x v="22"/>
    <x v="5"/>
    <x v="5"/>
    <x v="3"/>
    <n v="2180900609"/>
  </r>
  <r>
    <d v="2026-02-23T00:00:00"/>
    <x v="2"/>
    <x v="1"/>
    <x v="8"/>
    <x v="22"/>
    <x v="27"/>
    <x v="19"/>
    <x v="0"/>
    <n v="18643608000"/>
  </r>
  <r>
    <d v="2026-02-23T00:00:00"/>
    <x v="2"/>
    <x v="1"/>
    <x v="8"/>
    <x v="22"/>
    <x v="15"/>
    <x v="14"/>
    <x v="4"/>
    <n v="8811023"/>
  </r>
  <r>
    <d v="2026-02-23T00:00:00"/>
    <x v="2"/>
    <x v="1"/>
    <x v="8"/>
    <x v="22"/>
    <x v="31"/>
    <x v="22"/>
    <x v="1"/>
    <n v="0"/>
  </r>
  <r>
    <d v="2026-02-23T00:00:00"/>
    <x v="2"/>
    <x v="1"/>
    <x v="8"/>
    <x v="22"/>
    <x v="14"/>
    <x v="13"/>
    <x v="1"/>
    <n v="2430000000"/>
  </r>
  <r>
    <d v="2026-02-23T00:00:00"/>
    <x v="2"/>
    <x v="1"/>
    <x v="8"/>
    <x v="22"/>
    <x v="33"/>
    <x v="13"/>
    <x v="1"/>
    <n v="669890000"/>
  </r>
  <r>
    <d v="2026-02-23T00:00:00"/>
    <x v="2"/>
    <x v="1"/>
    <x v="8"/>
    <x v="22"/>
    <x v="23"/>
    <x v="17"/>
    <x v="4"/>
    <n v="7807533"/>
  </r>
  <r>
    <d v="2026-02-23T00:00:00"/>
    <x v="2"/>
    <x v="1"/>
    <x v="8"/>
    <x v="22"/>
    <x v="28"/>
    <x v="17"/>
    <x v="4"/>
    <n v="1025473591"/>
  </r>
  <r>
    <d v="2026-02-23T00:00:00"/>
    <x v="2"/>
    <x v="1"/>
    <x v="8"/>
    <x v="22"/>
    <x v="8"/>
    <x v="8"/>
    <x v="1"/>
    <n v="0"/>
  </r>
  <r>
    <d v="2026-02-23T00:00:00"/>
    <x v="2"/>
    <x v="1"/>
    <x v="8"/>
    <x v="22"/>
    <x v="26"/>
    <x v="16"/>
    <x v="1"/>
    <n v="83000000"/>
  </r>
  <r>
    <d v="2026-02-23T00:00:00"/>
    <x v="2"/>
    <x v="1"/>
    <x v="8"/>
    <x v="22"/>
    <x v="32"/>
    <x v="16"/>
    <x v="1"/>
    <n v="0"/>
  </r>
  <r>
    <d v="2026-02-23T00:00:00"/>
    <x v="2"/>
    <x v="1"/>
    <x v="8"/>
    <x v="22"/>
    <x v="2"/>
    <x v="2"/>
    <x v="1"/>
    <n v="10714010000"/>
  </r>
  <r>
    <d v="2026-02-23T00:00:00"/>
    <x v="2"/>
    <x v="1"/>
    <x v="8"/>
    <x v="22"/>
    <x v="17"/>
    <x v="9"/>
    <x v="1"/>
    <n v="0"/>
  </r>
  <r>
    <d v="2026-02-23T00:00:00"/>
    <x v="2"/>
    <x v="1"/>
    <x v="8"/>
    <x v="22"/>
    <x v="20"/>
    <x v="9"/>
    <x v="1"/>
    <n v="0"/>
  </r>
  <r>
    <d v="2026-02-23T00:00:00"/>
    <x v="2"/>
    <x v="1"/>
    <x v="8"/>
    <x v="22"/>
    <x v="21"/>
    <x v="9"/>
    <x v="1"/>
    <n v="0"/>
  </r>
  <r>
    <d v="2026-02-23T00:00:00"/>
    <x v="2"/>
    <x v="1"/>
    <x v="8"/>
    <x v="22"/>
    <x v="25"/>
    <x v="2"/>
    <x v="1"/>
    <n v="0"/>
  </r>
  <r>
    <d v="2026-02-23T00:00:00"/>
    <x v="2"/>
    <x v="1"/>
    <x v="8"/>
    <x v="22"/>
    <x v="0"/>
    <x v="0"/>
    <x v="0"/>
    <n v="11487204000"/>
  </r>
  <r>
    <d v="2026-02-23T00:00:00"/>
    <x v="2"/>
    <x v="1"/>
    <x v="8"/>
    <x v="22"/>
    <x v="7"/>
    <x v="7"/>
    <x v="4"/>
    <n v="138188824"/>
  </r>
  <r>
    <d v="2026-02-23T00:00:00"/>
    <x v="2"/>
    <x v="1"/>
    <x v="8"/>
    <x v="22"/>
    <x v="1"/>
    <x v="1"/>
    <x v="1"/>
    <n v="52500000"/>
  </r>
  <r>
    <d v="2026-02-23T00:00:00"/>
    <x v="2"/>
    <x v="1"/>
    <x v="8"/>
    <x v="22"/>
    <x v="6"/>
    <x v="6"/>
    <x v="0"/>
    <n v="43000000"/>
  </r>
  <r>
    <d v="2026-02-23T00:00:00"/>
    <x v="2"/>
    <x v="1"/>
    <x v="8"/>
    <x v="22"/>
    <x v="18"/>
    <x v="15"/>
    <x v="1"/>
    <n v="756400000"/>
  </r>
  <r>
    <d v="2026-02-23T00:00:00"/>
    <x v="2"/>
    <x v="1"/>
    <x v="8"/>
    <x v="22"/>
    <x v="29"/>
    <x v="20"/>
    <x v="0"/>
    <n v="392580000"/>
  </r>
  <r>
    <d v="2026-02-23T00:00:00"/>
    <x v="2"/>
    <x v="1"/>
    <x v="8"/>
    <x v="22"/>
    <x v="19"/>
    <x v="12"/>
    <x v="4"/>
    <n v="320598241"/>
  </r>
  <r>
    <d v="2026-02-23T00:00:00"/>
    <x v="2"/>
    <x v="1"/>
    <x v="8"/>
    <x v="22"/>
    <x v="24"/>
    <x v="18"/>
    <x v="1"/>
    <n v="2024080000"/>
  </r>
  <r>
    <d v="2026-02-23T00:00:00"/>
    <x v="2"/>
    <x v="1"/>
    <x v="8"/>
    <x v="22"/>
    <x v="30"/>
    <x v="21"/>
    <x v="0"/>
    <n v="357480000"/>
  </r>
  <r>
    <d v="2026-02-24T00:00:00"/>
    <x v="2"/>
    <x v="1"/>
    <x v="8"/>
    <x v="23"/>
    <x v="3"/>
    <x v="3"/>
    <x v="1"/>
    <n v="454700000"/>
  </r>
  <r>
    <d v="2026-02-24T00:00:00"/>
    <x v="2"/>
    <x v="1"/>
    <x v="8"/>
    <x v="23"/>
    <x v="11"/>
    <x v="10"/>
    <x v="4"/>
    <n v="283287013"/>
  </r>
  <r>
    <d v="2026-02-24T00:00:00"/>
    <x v="2"/>
    <x v="1"/>
    <x v="8"/>
    <x v="23"/>
    <x v="12"/>
    <x v="11"/>
    <x v="1"/>
    <n v="9067840000"/>
  </r>
  <r>
    <d v="2026-02-24T00:00:00"/>
    <x v="2"/>
    <x v="1"/>
    <x v="8"/>
    <x v="23"/>
    <x v="5"/>
    <x v="5"/>
    <x v="3"/>
    <n v="1935620045"/>
  </r>
  <r>
    <d v="2026-02-24T00:00:00"/>
    <x v="2"/>
    <x v="1"/>
    <x v="8"/>
    <x v="23"/>
    <x v="27"/>
    <x v="19"/>
    <x v="0"/>
    <n v="13664808000"/>
  </r>
  <r>
    <d v="2026-02-24T00:00:00"/>
    <x v="2"/>
    <x v="1"/>
    <x v="8"/>
    <x v="23"/>
    <x v="15"/>
    <x v="14"/>
    <x v="4"/>
    <n v="3443210"/>
  </r>
  <r>
    <d v="2026-02-24T00:00:00"/>
    <x v="2"/>
    <x v="1"/>
    <x v="8"/>
    <x v="23"/>
    <x v="31"/>
    <x v="22"/>
    <x v="1"/>
    <n v="0"/>
  </r>
  <r>
    <d v="2026-02-24T00:00:00"/>
    <x v="2"/>
    <x v="1"/>
    <x v="8"/>
    <x v="23"/>
    <x v="14"/>
    <x v="13"/>
    <x v="1"/>
    <n v="2456100000"/>
  </r>
  <r>
    <d v="2026-02-24T00:00:00"/>
    <x v="2"/>
    <x v="1"/>
    <x v="8"/>
    <x v="23"/>
    <x v="33"/>
    <x v="13"/>
    <x v="1"/>
    <n v="871680000"/>
  </r>
  <r>
    <d v="2026-02-24T00:00:00"/>
    <x v="2"/>
    <x v="1"/>
    <x v="8"/>
    <x v="23"/>
    <x v="23"/>
    <x v="17"/>
    <x v="4"/>
    <n v="7922883"/>
  </r>
  <r>
    <d v="2026-02-24T00:00:00"/>
    <x v="2"/>
    <x v="1"/>
    <x v="8"/>
    <x v="23"/>
    <x v="28"/>
    <x v="17"/>
    <x v="4"/>
    <n v="761753633"/>
  </r>
  <r>
    <d v="2026-02-24T00:00:00"/>
    <x v="2"/>
    <x v="1"/>
    <x v="8"/>
    <x v="23"/>
    <x v="8"/>
    <x v="8"/>
    <x v="1"/>
    <n v="0"/>
  </r>
  <r>
    <d v="2026-02-24T00:00:00"/>
    <x v="2"/>
    <x v="1"/>
    <x v="8"/>
    <x v="23"/>
    <x v="26"/>
    <x v="16"/>
    <x v="1"/>
    <n v="30500000"/>
  </r>
  <r>
    <d v="2026-02-24T00:00:00"/>
    <x v="2"/>
    <x v="1"/>
    <x v="8"/>
    <x v="23"/>
    <x v="32"/>
    <x v="16"/>
    <x v="1"/>
    <n v="0"/>
  </r>
  <r>
    <d v="2026-02-24T00:00:00"/>
    <x v="2"/>
    <x v="1"/>
    <x v="8"/>
    <x v="23"/>
    <x v="2"/>
    <x v="2"/>
    <x v="1"/>
    <n v="10193390000"/>
  </r>
  <r>
    <d v="2026-02-24T00:00:00"/>
    <x v="2"/>
    <x v="1"/>
    <x v="8"/>
    <x v="23"/>
    <x v="17"/>
    <x v="9"/>
    <x v="1"/>
    <n v="0"/>
  </r>
  <r>
    <d v="2026-02-24T00:00:00"/>
    <x v="2"/>
    <x v="1"/>
    <x v="8"/>
    <x v="23"/>
    <x v="20"/>
    <x v="9"/>
    <x v="1"/>
    <n v="0"/>
  </r>
  <r>
    <d v="2026-02-24T00:00:00"/>
    <x v="2"/>
    <x v="1"/>
    <x v="8"/>
    <x v="23"/>
    <x v="21"/>
    <x v="9"/>
    <x v="1"/>
    <n v="0"/>
  </r>
  <r>
    <d v="2026-02-24T00:00:00"/>
    <x v="2"/>
    <x v="1"/>
    <x v="8"/>
    <x v="23"/>
    <x v="25"/>
    <x v="2"/>
    <x v="1"/>
    <n v="0"/>
  </r>
  <r>
    <d v="2026-02-24T00:00:00"/>
    <x v="2"/>
    <x v="1"/>
    <x v="8"/>
    <x v="23"/>
    <x v="0"/>
    <x v="0"/>
    <x v="0"/>
    <n v="9525708000"/>
  </r>
  <r>
    <d v="2026-02-24T00:00:00"/>
    <x v="2"/>
    <x v="1"/>
    <x v="8"/>
    <x v="23"/>
    <x v="7"/>
    <x v="7"/>
    <x v="4"/>
    <n v="162284261"/>
  </r>
  <r>
    <d v="2026-02-24T00:00:00"/>
    <x v="2"/>
    <x v="1"/>
    <x v="8"/>
    <x v="23"/>
    <x v="1"/>
    <x v="1"/>
    <x v="1"/>
    <n v="42000000"/>
  </r>
  <r>
    <d v="2026-02-24T00:00:00"/>
    <x v="2"/>
    <x v="1"/>
    <x v="8"/>
    <x v="23"/>
    <x v="6"/>
    <x v="6"/>
    <x v="0"/>
    <n v="55000000"/>
  </r>
  <r>
    <d v="2026-02-24T00:00:00"/>
    <x v="2"/>
    <x v="1"/>
    <x v="8"/>
    <x v="23"/>
    <x v="18"/>
    <x v="15"/>
    <x v="1"/>
    <n v="831980000"/>
  </r>
  <r>
    <d v="2026-02-24T00:00:00"/>
    <x v="2"/>
    <x v="1"/>
    <x v="8"/>
    <x v="23"/>
    <x v="29"/>
    <x v="20"/>
    <x v="0"/>
    <n v="341280000"/>
  </r>
  <r>
    <d v="2026-02-24T00:00:00"/>
    <x v="2"/>
    <x v="1"/>
    <x v="8"/>
    <x v="23"/>
    <x v="19"/>
    <x v="12"/>
    <x v="4"/>
    <n v="339130789"/>
  </r>
  <r>
    <d v="2026-02-24T00:00:00"/>
    <x v="2"/>
    <x v="1"/>
    <x v="8"/>
    <x v="23"/>
    <x v="24"/>
    <x v="18"/>
    <x v="1"/>
    <n v="2192730000"/>
  </r>
  <r>
    <d v="2026-02-24T00:00:00"/>
    <x v="2"/>
    <x v="1"/>
    <x v="8"/>
    <x v="23"/>
    <x v="30"/>
    <x v="21"/>
    <x v="0"/>
    <n v="366120000"/>
  </r>
  <r>
    <d v="2026-02-25T00:00:00"/>
    <x v="2"/>
    <x v="1"/>
    <x v="8"/>
    <x v="24"/>
    <x v="3"/>
    <x v="3"/>
    <x v="1"/>
    <n v="269850000"/>
  </r>
  <r>
    <d v="2026-02-25T00:00:00"/>
    <x v="2"/>
    <x v="1"/>
    <x v="8"/>
    <x v="24"/>
    <x v="11"/>
    <x v="10"/>
    <x v="4"/>
    <n v="295929344"/>
  </r>
  <r>
    <d v="2026-02-25T00:00:00"/>
    <x v="2"/>
    <x v="1"/>
    <x v="8"/>
    <x v="24"/>
    <x v="12"/>
    <x v="11"/>
    <x v="1"/>
    <n v="9953570000"/>
  </r>
  <r>
    <d v="2026-02-25T00:00:00"/>
    <x v="2"/>
    <x v="1"/>
    <x v="8"/>
    <x v="24"/>
    <x v="5"/>
    <x v="5"/>
    <x v="3"/>
    <n v="2079070507"/>
  </r>
  <r>
    <d v="2026-02-25T00:00:00"/>
    <x v="2"/>
    <x v="1"/>
    <x v="8"/>
    <x v="24"/>
    <x v="27"/>
    <x v="19"/>
    <x v="0"/>
    <n v="13688676000"/>
  </r>
  <r>
    <d v="2026-02-25T00:00:00"/>
    <x v="2"/>
    <x v="1"/>
    <x v="8"/>
    <x v="24"/>
    <x v="15"/>
    <x v="14"/>
    <x v="4"/>
    <n v="12319883"/>
  </r>
  <r>
    <d v="2026-02-25T00:00:00"/>
    <x v="2"/>
    <x v="1"/>
    <x v="8"/>
    <x v="24"/>
    <x v="31"/>
    <x v="22"/>
    <x v="1"/>
    <n v="0"/>
  </r>
  <r>
    <d v="2026-02-25T00:00:00"/>
    <x v="2"/>
    <x v="1"/>
    <x v="8"/>
    <x v="24"/>
    <x v="14"/>
    <x v="13"/>
    <x v="1"/>
    <n v="2727830000"/>
  </r>
  <r>
    <d v="2026-02-25T00:00:00"/>
    <x v="2"/>
    <x v="1"/>
    <x v="8"/>
    <x v="24"/>
    <x v="33"/>
    <x v="13"/>
    <x v="1"/>
    <n v="949020000"/>
  </r>
  <r>
    <d v="2026-02-25T00:00:00"/>
    <x v="2"/>
    <x v="1"/>
    <x v="8"/>
    <x v="24"/>
    <x v="23"/>
    <x v="17"/>
    <x v="4"/>
    <n v="33547368"/>
  </r>
  <r>
    <d v="2026-02-25T00:00:00"/>
    <x v="2"/>
    <x v="1"/>
    <x v="8"/>
    <x v="24"/>
    <x v="28"/>
    <x v="17"/>
    <x v="4"/>
    <n v="938990697"/>
  </r>
  <r>
    <d v="2026-02-25T00:00:00"/>
    <x v="2"/>
    <x v="1"/>
    <x v="8"/>
    <x v="24"/>
    <x v="8"/>
    <x v="8"/>
    <x v="1"/>
    <n v="0"/>
  </r>
  <r>
    <d v="2026-02-25T00:00:00"/>
    <x v="2"/>
    <x v="1"/>
    <x v="8"/>
    <x v="24"/>
    <x v="26"/>
    <x v="16"/>
    <x v="1"/>
    <n v="72500000"/>
  </r>
  <r>
    <d v="2026-02-25T00:00:00"/>
    <x v="2"/>
    <x v="1"/>
    <x v="8"/>
    <x v="24"/>
    <x v="32"/>
    <x v="16"/>
    <x v="1"/>
    <n v="0"/>
  </r>
  <r>
    <d v="2026-02-25T00:00:00"/>
    <x v="2"/>
    <x v="1"/>
    <x v="8"/>
    <x v="24"/>
    <x v="2"/>
    <x v="2"/>
    <x v="1"/>
    <n v="10302190000"/>
  </r>
  <r>
    <d v="2026-02-25T00:00:00"/>
    <x v="2"/>
    <x v="1"/>
    <x v="8"/>
    <x v="24"/>
    <x v="17"/>
    <x v="9"/>
    <x v="1"/>
    <n v="0"/>
  </r>
  <r>
    <d v="2026-02-25T00:00:00"/>
    <x v="2"/>
    <x v="1"/>
    <x v="8"/>
    <x v="24"/>
    <x v="20"/>
    <x v="9"/>
    <x v="1"/>
    <n v="0"/>
  </r>
  <r>
    <d v="2026-02-25T00:00:00"/>
    <x v="2"/>
    <x v="1"/>
    <x v="8"/>
    <x v="24"/>
    <x v="21"/>
    <x v="9"/>
    <x v="1"/>
    <n v="0"/>
  </r>
  <r>
    <d v="2026-02-25T00:00:00"/>
    <x v="2"/>
    <x v="1"/>
    <x v="8"/>
    <x v="24"/>
    <x v="25"/>
    <x v="2"/>
    <x v="1"/>
    <n v="0"/>
  </r>
  <r>
    <d v="2026-02-25T00:00:00"/>
    <x v="2"/>
    <x v="1"/>
    <x v="8"/>
    <x v="24"/>
    <x v="0"/>
    <x v="0"/>
    <x v="0"/>
    <n v="10211292000"/>
  </r>
  <r>
    <d v="2026-02-25T00:00:00"/>
    <x v="2"/>
    <x v="1"/>
    <x v="8"/>
    <x v="24"/>
    <x v="7"/>
    <x v="7"/>
    <x v="4"/>
    <n v="175329420"/>
  </r>
  <r>
    <d v="2026-02-25T00:00:00"/>
    <x v="2"/>
    <x v="1"/>
    <x v="8"/>
    <x v="24"/>
    <x v="1"/>
    <x v="1"/>
    <x v="1"/>
    <n v="42000000"/>
  </r>
  <r>
    <d v="2026-02-25T00:00:00"/>
    <x v="2"/>
    <x v="1"/>
    <x v="8"/>
    <x v="24"/>
    <x v="6"/>
    <x v="6"/>
    <x v="0"/>
    <n v="51000000"/>
  </r>
  <r>
    <d v="2026-02-25T00:00:00"/>
    <x v="2"/>
    <x v="1"/>
    <x v="8"/>
    <x v="24"/>
    <x v="18"/>
    <x v="15"/>
    <x v="1"/>
    <n v="504460000"/>
  </r>
  <r>
    <d v="2026-02-25T00:00:00"/>
    <x v="2"/>
    <x v="1"/>
    <x v="8"/>
    <x v="24"/>
    <x v="29"/>
    <x v="20"/>
    <x v="0"/>
    <n v="285336000"/>
  </r>
  <r>
    <d v="2026-02-25T00:00:00"/>
    <x v="2"/>
    <x v="1"/>
    <x v="8"/>
    <x v="24"/>
    <x v="19"/>
    <x v="12"/>
    <x v="4"/>
    <n v="352897049"/>
  </r>
  <r>
    <d v="2026-02-25T00:00:00"/>
    <x v="2"/>
    <x v="1"/>
    <x v="8"/>
    <x v="24"/>
    <x v="24"/>
    <x v="18"/>
    <x v="1"/>
    <n v="2264870000"/>
  </r>
  <r>
    <d v="2026-02-25T00:00:00"/>
    <x v="2"/>
    <x v="1"/>
    <x v="8"/>
    <x v="24"/>
    <x v="30"/>
    <x v="21"/>
    <x v="0"/>
    <n v="401760000"/>
  </r>
  <r>
    <d v="2026-02-26T00:00:00"/>
    <x v="2"/>
    <x v="1"/>
    <x v="8"/>
    <x v="25"/>
    <x v="3"/>
    <x v="3"/>
    <x v="1"/>
    <n v="438300000"/>
  </r>
  <r>
    <d v="2026-02-26T00:00:00"/>
    <x v="2"/>
    <x v="1"/>
    <x v="8"/>
    <x v="25"/>
    <x v="11"/>
    <x v="10"/>
    <x v="4"/>
    <n v="320224994"/>
  </r>
  <r>
    <d v="2026-02-26T00:00:00"/>
    <x v="2"/>
    <x v="1"/>
    <x v="8"/>
    <x v="25"/>
    <x v="12"/>
    <x v="11"/>
    <x v="1"/>
    <n v="8898300000"/>
  </r>
  <r>
    <d v="2026-02-26T00:00:00"/>
    <x v="2"/>
    <x v="1"/>
    <x v="8"/>
    <x v="25"/>
    <x v="5"/>
    <x v="5"/>
    <x v="3"/>
    <n v="1709680434"/>
  </r>
  <r>
    <d v="2026-02-26T00:00:00"/>
    <x v="2"/>
    <x v="1"/>
    <x v="8"/>
    <x v="25"/>
    <x v="27"/>
    <x v="19"/>
    <x v="0"/>
    <n v="12725100000"/>
  </r>
  <r>
    <d v="2026-02-26T00:00:00"/>
    <x v="2"/>
    <x v="1"/>
    <x v="8"/>
    <x v="25"/>
    <x v="15"/>
    <x v="14"/>
    <x v="4"/>
    <n v="12107317"/>
  </r>
  <r>
    <d v="2026-02-26T00:00:00"/>
    <x v="2"/>
    <x v="1"/>
    <x v="8"/>
    <x v="25"/>
    <x v="31"/>
    <x v="22"/>
    <x v="1"/>
    <n v="29000000"/>
  </r>
  <r>
    <d v="2026-02-26T00:00:00"/>
    <x v="2"/>
    <x v="1"/>
    <x v="8"/>
    <x v="25"/>
    <x v="14"/>
    <x v="13"/>
    <x v="1"/>
    <n v="1860980000"/>
  </r>
  <r>
    <d v="2026-02-26T00:00:00"/>
    <x v="2"/>
    <x v="1"/>
    <x v="8"/>
    <x v="25"/>
    <x v="33"/>
    <x v="13"/>
    <x v="1"/>
    <n v="900790000"/>
  </r>
  <r>
    <d v="2026-02-26T00:00:00"/>
    <x v="2"/>
    <x v="1"/>
    <x v="8"/>
    <x v="25"/>
    <x v="23"/>
    <x v="17"/>
    <x v="4"/>
    <n v="16838744"/>
  </r>
  <r>
    <d v="2026-02-26T00:00:00"/>
    <x v="2"/>
    <x v="1"/>
    <x v="8"/>
    <x v="25"/>
    <x v="28"/>
    <x v="17"/>
    <x v="4"/>
    <n v="841888111"/>
  </r>
  <r>
    <d v="2026-02-26T00:00:00"/>
    <x v="2"/>
    <x v="1"/>
    <x v="8"/>
    <x v="25"/>
    <x v="8"/>
    <x v="8"/>
    <x v="1"/>
    <n v="0"/>
  </r>
  <r>
    <d v="2026-02-26T00:00:00"/>
    <x v="2"/>
    <x v="1"/>
    <x v="8"/>
    <x v="25"/>
    <x v="26"/>
    <x v="16"/>
    <x v="1"/>
    <n v="41250000"/>
  </r>
  <r>
    <d v="2026-02-26T00:00:00"/>
    <x v="2"/>
    <x v="1"/>
    <x v="8"/>
    <x v="25"/>
    <x v="32"/>
    <x v="16"/>
    <x v="1"/>
    <n v="0"/>
  </r>
  <r>
    <d v="2026-02-26T00:00:00"/>
    <x v="2"/>
    <x v="1"/>
    <x v="8"/>
    <x v="25"/>
    <x v="2"/>
    <x v="2"/>
    <x v="1"/>
    <n v="10847910000"/>
  </r>
  <r>
    <d v="2026-02-26T00:00:00"/>
    <x v="2"/>
    <x v="1"/>
    <x v="8"/>
    <x v="25"/>
    <x v="17"/>
    <x v="9"/>
    <x v="1"/>
    <n v="0"/>
  </r>
  <r>
    <d v="2026-02-26T00:00:00"/>
    <x v="2"/>
    <x v="1"/>
    <x v="8"/>
    <x v="25"/>
    <x v="20"/>
    <x v="9"/>
    <x v="1"/>
    <n v="0"/>
  </r>
  <r>
    <d v="2026-02-26T00:00:00"/>
    <x v="2"/>
    <x v="1"/>
    <x v="8"/>
    <x v="25"/>
    <x v="21"/>
    <x v="9"/>
    <x v="1"/>
    <n v="0"/>
  </r>
  <r>
    <d v="2026-02-26T00:00:00"/>
    <x v="2"/>
    <x v="1"/>
    <x v="8"/>
    <x v="25"/>
    <x v="25"/>
    <x v="2"/>
    <x v="1"/>
    <n v="0"/>
  </r>
  <r>
    <d v="2026-02-26T00:00:00"/>
    <x v="2"/>
    <x v="1"/>
    <x v="8"/>
    <x v="25"/>
    <x v="0"/>
    <x v="0"/>
    <x v="0"/>
    <n v="9692460000"/>
  </r>
  <r>
    <d v="2026-02-26T00:00:00"/>
    <x v="2"/>
    <x v="1"/>
    <x v="8"/>
    <x v="25"/>
    <x v="7"/>
    <x v="7"/>
    <x v="4"/>
    <n v="157400360"/>
  </r>
  <r>
    <d v="2026-02-26T00:00:00"/>
    <x v="2"/>
    <x v="1"/>
    <x v="8"/>
    <x v="25"/>
    <x v="1"/>
    <x v="1"/>
    <x v="1"/>
    <n v="52500000"/>
  </r>
  <r>
    <d v="2026-02-26T00:00:00"/>
    <x v="2"/>
    <x v="1"/>
    <x v="8"/>
    <x v="25"/>
    <x v="6"/>
    <x v="6"/>
    <x v="0"/>
    <n v="21000000"/>
  </r>
  <r>
    <d v="2026-02-26T00:00:00"/>
    <x v="2"/>
    <x v="1"/>
    <x v="8"/>
    <x v="25"/>
    <x v="18"/>
    <x v="15"/>
    <x v="1"/>
    <n v="633600000"/>
  </r>
  <r>
    <d v="2026-02-26T00:00:00"/>
    <x v="2"/>
    <x v="1"/>
    <x v="8"/>
    <x v="25"/>
    <x v="29"/>
    <x v="20"/>
    <x v="0"/>
    <n v="240624000"/>
  </r>
  <r>
    <d v="2026-02-26T00:00:00"/>
    <x v="2"/>
    <x v="1"/>
    <x v="8"/>
    <x v="25"/>
    <x v="19"/>
    <x v="12"/>
    <x v="4"/>
    <n v="381068555"/>
  </r>
  <r>
    <d v="2026-02-26T00:00:00"/>
    <x v="2"/>
    <x v="1"/>
    <x v="8"/>
    <x v="25"/>
    <x v="24"/>
    <x v="18"/>
    <x v="1"/>
    <n v="2354610000"/>
  </r>
  <r>
    <d v="2026-02-26T00:00:00"/>
    <x v="2"/>
    <x v="1"/>
    <x v="8"/>
    <x v="25"/>
    <x v="30"/>
    <x v="21"/>
    <x v="0"/>
    <n v="414720000"/>
  </r>
  <r>
    <d v="2026-02-27T00:00:00"/>
    <x v="2"/>
    <x v="1"/>
    <x v="8"/>
    <x v="26"/>
    <x v="3"/>
    <x v="3"/>
    <x v="1"/>
    <n v="403050000"/>
  </r>
  <r>
    <d v="2026-02-27T00:00:00"/>
    <x v="2"/>
    <x v="1"/>
    <x v="8"/>
    <x v="26"/>
    <x v="11"/>
    <x v="10"/>
    <x v="4"/>
    <n v="273787154"/>
  </r>
  <r>
    <d v="2026-02-27T00:00:00"/>
    <x v="2"/>
    <x v="1"/>
    <x v="8"/>
    <x v="26"/>
    <x v="12"/>
    <x v="11"/>
    <x v="1"/>
    <n v="9579890000"/>
  </r>
  <r>
    <d v="2026-02-27T00:00:00"/>
    <x v="2"/>
    <x v="1"/>
    <x v="8"/>
    <x v="26"/>
    <x v="5"/>
    <x v="5"/>
    <x v="3"/>
    <n v="2035848864"/>
  </r>
  <r>
    <d v="2026-02-27T00:00:00"/>
    <x v="2"/>
    <x v="1"/>
    <x v="8"/>
    <x v="26"/>
    <x v="27"/>
    <x v="19"/>
    <x v="0"/>
    <n v="13109364000"/>
  </r>
  <r>
    <d v="2026-02-27T00:00:00"/>
    <x v="2"/>
    <x v="1"/>
    <x v="8"/>
    <x v="26"/>
    <x v="15"/>
    <x v="14"/>
    <x v="4"/>
    <n v="7089201"/>
  </r>
  <r>
    <d v="2026-02-27T00:00:00"/>
    <x v="2"/>
    <x v="1"/>
    <x v="8"/>
    <x v="26"/>
    <x v="31"/>
    <x v="22"/>
    <x v="1"/>
    <n v="0"/>
  </r>
  <r>
    <d v="2026-02-27T00:00:00"/>
    <x v="2"/>
    <x v="1"/>
    <x v="8"/>
    <x v="26"/>
    <x v="14"/>
    <x v="13"/>
    <x v="1"/>
    <n v="2015920000"/>
  </r>
  <r>
    <d v="2026-02-27T00:00:00"/>
    <x v="2"/>
    <x v="1"/>
    <x v="8"/>
    <x v="26"/>
    <x v="33"/>
    <x v="13"/>
    <x v="1"/>
    <n v="988260000"/>
  </r>
  <r>
    <d v="2026-02-27T00:00:00"/>
    <x v="2"/>
    <x v="1"/>
    <x v="8"/>
    <x v="26"/>
    <x v="23"/>
    <x v="17"/>
    <x v="4"/>
    <n v="9437228"/>
  </r>
  <r>
    <d v="2026-02-27T00:00:00"/>
    <x v="2"/>
    <x v="1"/>
    <x v="8"/>
    <x v="26"/>
    <x v="28"/>
    <x v="17"/>
    <x v="4"/>
    <n v="960373872"/>
  </r>
  <r>
    <d v="2026-02-27T00:00:00"/>
    <x v="2"/>
    <x v="1"/>
    <x v="8"/>
    <x v="26"/>
    <x v="8"/>
    <x v="8"/>
    <x v="1"/>
    <n v="0"/>
  </r>
  <r>
    <d v="2026-02-27T00:00:00"/>
    <x v="2"/>
    <x v="1"/>
    <x v="8"/>
    <x v="26"/>
    <x v="26"/>
    <x v="16"/>
    <x v="1"/>
    <n v="21000000"/>
  </r>
  <r>
    <d v="2026-02-27T00:00:00"/>
    <x v="2"/>
    <x v="1"/>
    <x v="8"/>
    <x v="26"/>
    <x v="32"/>
    <x v="16"/>
    <x v="1"/>
    <n v="0"/>
  </r>
  <r>
    <d v="2026-02-27T00:00:00"/>
    <x v="2"/>
    <x v="1"/>
    <x v="8"/>
    <x v="26"/>
    <x v="2"/>
    <x v="2"/>
    <x v="1"/>
    <n v="11525560000"/>
  </r>
  <r>
    <d v="2026-02-27T00:00:00"/>
    <x v="2"/>
    <x v="1"/>
    <x v="8"/>
    <x v="26"/>
    <x v="17"/>
    <x v="9"/>
    <x v="1"/>
    <n v="0"/>
  </r>
  <r>
    <d v="2026-02-27T00:00:00"/>
    <x v="2"/>
    <x v="1"/>
    <x v="8"/>
    <x v="26"/>
    <x v="20"/>
    <x v="9"/>
    <x v="1"/>
    <n v="0"/>
  </r>
  <r>
    <d v="2026-02-27T00:00:00"/>
    <x v="2"/>
    <x v="1"/>
    <x v="8"/>
    <x v="26"/>
    <x v="21"/>
    <x v="9"/>
    <x v="1"/>
    <n v="0"/>
  </r>
  <r>
    <d v="2026-02-27T00:00:00"/>
    <x v="2"/>
    <x v="1"/>
    <x v="8"/>
    <x v="26"/>
    <x v="25"/>
    <x v="2"/>
    <x v="1"/>
    <n v="0"/>
  </r>
  <r>
    <d v="2026-02-27T00:00:00"/>
    <x v="2"/>
    <x v="1"/>
    <x v="8"/>
    <x v="26"/>
    <x v="0"/>
    <x v="0"/>
    <x v="0"/>
    <n v="10505916000"/>
  </r>
  <r>
    <d v="2026-02-27T00:00:00"/>
    <x v="2"/>
    <x v="1"/>
    <x v="8"/>
    <x v="26"/>
    <x v="7"/>
    <x v="7"/>
    <x v="4"/>
    <n v="150728976"/>
  </r>
  <r>
    <d v="2026-02-27T00:00:00"/>
    <x v="2"/>
    <x v="1"/>
    <x v="8"/>
    <x v="26"/>
    <x v="1"/>
    <x v="1"/>
    <x v="1"/>
    <n v="0"/>
  </r>
  <r>
    <d v="2026-02-27T00:00:00"/>
    <x v="2"/>
    <x v="1"/>
    <x v="8"/>
    <x v="26"/>
    <x v="6"/>
    <x v="6"/>
    <x v="0"/>
    <n v="50000000"/>
  </r>
  <r>
    <d v="2026-02-27T00:00:00"/>
    <x v="2"/>
    <x v="1"/>
    <x v="8"/>
    <x v="26"/>
    <x v="18"/>
    <x v="15"/>
    <x v="1"/>
    <n v="943050000"/>
  </r>
  <r>
    <d v="2026-02-27T00:00:00"/>
    <x v="2"/>
    <x v="1"/>
    <x v="8"/>
    <x v="26"/>
    <x v="29"/>
    <x v="20"/>
    <x v="0"/>
    <n v="224748000"/>
  </r>
  <r>
    <d v="2026-02-27T00:00:00"/>
    <x v="2"/>
    <x v="1"/>
    <x v="8"/>
    <x v="26"/>
    <x v="19"/>
    <x v="12"/>
    <x v="4"/>
    <n v="472738951"/>
  </r>
  <r>
    <d v="2026-02-27T00:00:00"/>
    <x v="2"/>
    <x v="1"/>
    <x v="8"/>
    <x v="26"/>
    <x v="24"/>
    <x v="18"/>
    <x v="1"/>
    <n v="2136490000"/>
  </r>
  <r>
    <d v="2026-02-27T00:00:00"/>
    <x v="2"/>
    <x v="1"/>
    <x v="8"/>
    <x v="26"/>
    <x v="30"/>
    <x v="21"/>
    <x v="0"/>
    <n v="384480000"/>
  </r>
  <r>
    <d v="2026-02-28T00:00:00"/>
    <x v="2"/>
    <x v="1"/>
    <x v="8"/>
    <x v="27"/>
    <x v="3"/>
    <x v="3"/>
    <x v="1"/>
    <n v="454250000"/>
  </r>
  <r>
    <d v="2026-02-28T00:00:00"/>
    <x v="2"/>
    <x v="1"/>
    <x v="8"/>
    <x v="27"/>
    <x v="11"/>
    <x v="10"/>
    <x v="4"/>
    <n v="285496773"/>
  </r>
  <r>
    <d v="2026-02-28T00:00:00"/>
    <x v="2"/>
    <x v="1"/>
    <x v="8"/>
    <x v="27"/>
    <x v="12"/>
    <x v="11"/>
    <x v="1"/>
    <n v="9419310000"/>
  </r>
  <r>
    <d v="2026-02-28T00:00:00"/>
    <x v="2"/>
    <x v="1"/>
    <x v="8"/>
    <x v="27"/>
    <x v="5"/>
    <x v="5"/>
    <x v="3"/>
    <n v="2038506007"/>
  </r>
  <r>
    <d v="2026-02-28T00:00:00"/>
    <x v="2"/>
    <x v="1"/>
    <x v="8"/>
    <x v="27"/>
    <x v="27"/>
    <x v="19"/>
    <x v="0"/>
    <n v="12960324000"/>
  </r>
  <r>
    <d v="2026-02-28T00:00:00"/>
    <x v="2"/>
    <x v="1"/>
    <x v="8"/>
    <x v="27"/>
    <x v="15"/>
    <x v="14"/>
    <x v="4"/>
    <n v="14951163"/>
  </r>
  <r>
    <d v="2026-02-28T00:00:00"/>
    <x v="2"/>
    <x v="1"/>
    <x v="8"/>
    <x v="27"/>
    <x v="31"/>
    <x v="22"/>
    <x v="1"/>
    <n v="90000000"/>
  </r>
  <r>
    <d v="2026-02-28T00:00:00"/>
    <x v="2"/>
    <x v="1"/>
    <x v="8"/>
    <x v="27"/>
    <x v="14"/>
    <x v="13"/>
    <x v="1"/>
    <n v="2253560000"/>
  </r>
  <r>
    <d v="2026-02-28T00:00:00"/>
    <x v="2"/>
    <x v="1"/>
    <x v="8"/>
    <x v="27"/>
    <x v="33"/>
    <x v="13"/>
    <x v="1"/>
    <n v="1114190000"/>
  </r>
  <r>
    <d v="2026-02-28T00:00:00"/>
    <x v="2"/>
    <x v="1"/>
    <x v="8"/>
    <x v="27"/>
    <x v="23"/>
    <x v="17"/>
    <x v="4"/>
    <n v="11819380"/>
  </r>
  <r>
    <d v="2026-02-28T00:00:00"/>
    <x v="2"/>
    <x v="1"/>
    <x v="8"/>
    <x v="27"/>
    <x v="28"/>
    <x v="17"/>
    <x v="4"/>
    <n v="1156345072"/>
  </r>
  <r>
    <d v="2026-02-28T00:00:00"/>
    <x v="2"/>
    <x v="1"/>
    <x v="8"/>
    <x v="27"/>
    <x v="8"/>
    <x v="8"/>
    <x v="1"/>
    <n v="0"/>
  </r>
  <r>
    <d v="2026-02-28T00:00:00"/>
    <x v="2"/>
    <x v="1"/>
    <x v="8"/>
    <x v="27"/>
    <x v="26"/>
    <x v="16"/>
    <x v="1"/>
    <n v="0"/>
  </r>
  <r>
    <d v="2026-02-28T00:00:00"/>
    <x v="2"/>
    <x v="1"/>
    <x v="8"/>
    <x v="27"/>
    <x v="32"/>
    <x v="16"/>
    <x v="1"/>
    <n v="0"/>
  </r>
  <r>
    <d v="2026-02-28T00:00:00"/>
    <x v="2"/>
    <x v="1"/>
    <x v="8"/>
    <x v="27"/>
    <x v="2"/>
    <x v="2"/>
    <x v="1"/>
    <n v="10730150000"/>
  </r>
  <r>
    <d v="2026-02-28T00:00:00"/>
    <x v="2"/>
    <x v="1"/>
    <x v="8"/>
    <x v="27"/>
    <x v="17"/>
    <x v="9"/>
    <x v="1"/>
    <n v="0"/>
  </r>
  <r>
    <d v="2026-02-28T00:00:00"/>
    <x v="2"/>
    <x v="1"/>
    <x v="8"/>
    <x v="27"/>
    <x v="20"/>
    <x v="9"/>
    <x v="1"/>
    <n v="0"/>
  </r>
  <r>
    <d v="2026-02-28T00:00:00"/>
    <x v="2"/>
    <x v="1"/>
    <x v="8"/>
    <x v="27"/>
    <x v="21"/>
    <x v="9"/>
    <x v="1"/>
    <n v="0"/>
  </r>
  <r>
    <d v="2026-02-28T00:00:00"/>
    <x v="2"/>
    <x v="1"/>
    <x v="8"/>
    <x v="27"/>
    <x v="25"/>
    <x v="2"/>
    <x v="1"/>
    <n v="0"/>
  </r>
  <r>
    <d v="2026-02-28T00:00:00"/>
    <x v="2"/>
    <x v="1"/>
    <x v="8"/>
    <x v="27"/>
    <x v="0"/>
    <x v="0"/>
    <x v="0"/>
    <n v="10585296000"/>
  </r>
  <r>
    <d v="2026-02-28T00:00:00"/>
    <x v="2"/>
    <x v="1"/>
    <x v="8"/>
    <x v="27"/>
    <x v="7"/>
    <x v="7"/>
    <x v="4"/>
    <n v="146266557"/>
  </r>
  <r>
    <d v="2026-02-28T00:00:00"/>
    <x v="2"/>
    <x v="1"/>
    <x v="8"/>
    <x v="27"/>
    <x v="1"/>
    <x v="1"/>
    <x v="1"/>
    <n v="20500000"/>
  </r>
  <r>
    <d v="2026-02-28T00:00:00"/>
    <x v="2"/>
    <x v="1"/>
    <x v="8"/>
    <x v="27"/>
    <x v="6"/>
    <x v="6"/>
    <x v="0"/>
    <n v="34000000"/>
  </r>
  <r>
    <d v="2026-02-28T00:00:00"/>
    <x v="2"/>
    <x v="1"/>
    <x v="8"/>
    <x v="27"/>
    <x v="18"/>
    <x v="15"/>
    <x v="1"/>
    <n v="667490000"/>
  </r>
  <r>
    <d v="2026-02-28T00:00:00"/>
    <x v="2"/>
    <x v="1"/>
    <x v="8"/>
    <x v="27"/>
    <x v="29"/>
    <x v="20"/>
    <x v="0"/>
    <n v="323892000"/>
  </r>
  <r>
    <d v="2026-02-28T00:00:00"/>
    <x v="2"/>
    <x v="1"/>
    <x v="8"/>
    <x v="27"/>
    <x v="19"/>
    <x v="12"/>
    <x v="4"/>
    <n v="455690480"/>
  </r>
  <r>
    <d v="2026-02-28T00:00:00"/>
    <x v="2"/>
    <x v="1"/>
    <x v="8"/>
    <x v="27"/>
    <x v="24"/>
    <x v="18"/>
    <x v="1"/>
    <n v="2177870000"/>
  </r>
  <r>
    <d v="2026-02-28T00:00:00"/>
    <x v="2"/>
    <x v="1"/>
    <x v="8"/>
    <x v="27"/>
    <x v="30"/>
    <x v="21"/>
    <x v="0"/>
    <n v="463320000"/>
  </r>
  <r>
    <d v="2026-03-01T00:00:00"/>
    <x v="2"/>
    <x v="2"/>
    <x v="8"/>
    <x v="0"/>
    <x v="3"/>
    <x v="3"/>
    <x v="1"/>
    <n v="583800000"/>
  </r>
  <r>
    <d v="2026-03-01T00:00:00"/>
    <x v="2"/>
    <x v="2"/>
    <x v="8"/>
    <x v="0"/>
    <x v="11"/>
    <x v="10"/>
    <x v="4"/>
    <n v="300405796"/>
  </r>
  <r>
    <d v="2026-03-01T00:00:00"/>
    <x v="2"/>
    <x v="2"/>
    <x v="8"/>
    <x v="0"/>
    <x v="12"/>
    <x v="11"/>
    <x v="1"/>
    <n v="9480850000"/>
  </r>
  <r>
    <d v="2026-03-01T00:00:00"/>
    <x v="2"/>
    <x v="2"/>
    <x v="8"/>
    <x v="0"/>
    <x v="5"/>
    <x v="5"/>
    <x v="3"/>
    <n v="2923609940"/>
  </r>
  <r>
    <d v="2026-03-01T00:00:00"/>
    <x v="2"/>
    <x v="2"/>
    <x v="8"/>
    <x v="0"/>
    <x v="27"/>
    <x v="19"/>
    <x v="0"/>
    <n v="14175540000"/>
  </r>
  <r>
    <d v="2026-03-01T00:00:00"/>
    <x v="2"/>
    <x v="2"/>
    <x v="8"/>
    <x v="0"/>
    <x v="15"/>
    <x v="14"/>
    <x v="4"/>
    <n v="3332217"/>
  </r>
  <r>
    <d v="2026-03-01T00:00:00"/>
    <x v="2"/>
    <x v="2"/>
    <x v="8"/>
    <x v="0"/>
    <x v="31"/>
    <x v="22"/>
    <x v="1"/>
    <n v="0"/>
  </r>
  <r>
    <d v="2026-03-01T00:00:00"/>
    <x v="2"/>
    <x v="2"/>
    <x v="8"/>
    <x v="0"/>
    <x v="14"/>
    <x v="13"/>
    <x v="1"/>
    <n v="2746690000"/>
  </r>
  <r>
    <d v="2026-03-01T00:00:00"/>
    <x v="2"/>
    <x v="2"/>
    <x v="8"/>
    <x v="0"/>
    <x v="33"/>
    <x v="13"/>
    <x v="1"/>
    <n v="994000000"/>
  </r>
  <r>
    <d v="2026-03-01T00:00:00"/>
    <x v="2"/>
    <x v="2"/>
    <x v="8"/>
    <x v="0"/>
    <x v="23"/>
    <x v="17"/>
    <x v="4"/>
    <n v="10875742"/>
  </r>
  <r>
    <d v="2026-03-01T00:00:00"/>
    <x v="2"/>
    <x v="2"/>
    <x v="8"/>
    <x v="0"/>
    <x v="28"/>
    <x v="17"/>
    <x v="4"/>
    <n v="1327248931"/>
  </r>
  <r>
    <d v="2026-03-01T00:00:00"/>
    <x v="2"/>
    <x v="2"/>
    <x v="8"/>
    <x v="0"/>
    <x v="8"/>
    <x v="8"/>
    <x v="1"/>
    <n v="0"/>
  </r>
  <r>
    <d v="2026-03-01T00:00:00"/>
    <x v="2"/>
    <x v="2"/>
    <x v="8"/>
    <x v="0"/>
    <x v="26"/>
    <x v="16"/>
    <x v="1"/>
    <n v="10500000"/>
  </r>
  <r>
    <d v="2026-03-01T00:00:00"/>
    <x v="2"/>
    <x v="2"/>
    <x v="8"/>
    <x v="0"/>
    <x v="32"/>
    <x v="16"/>
    <x v="1"/>
    <n v="0"/>
  </r>
  <r>
    <d v="2026-03-01T00:00:00"/>
    <x v="2"/>
    <x v="2"/>
    <x v="8"/>
    <x v="0"/>
    <x v="2"/>
    <x v="2"/>
    <x v="1"/>
    <n v="12236800000"/>
  </r>
  <r>
    <d v="2026-03-01T00:00:00"/>
    <x v="2"/>
    <x v="2"/>
    <x v="8"/>
    <x v="0"/>
    <x v="17"/>
    <x v="9"/>
    <x v="1"/>
    <n v="0"/>
  </r>
  <r>
    <d v="2026-03-01T00:00:00"/>
    <x v="2"/>
    <x v="2"/>
    <x v="8"/>
    <x v="0"/>
    <x v="20"/>
    <x v="9"/>
    <x v="1"/>
    <n v="0"/>
  </r>
  <r>
    <d v="2026-03-01T00:00:00"/>
    <x v="2"/>
    <x v="2"/>
    <x v="8"/>
    <x v="0"/>
    <x v="21"/>
    <x v="9"/>
    <x v="1"/>
    <n v="0"/>
  </r>
  <r>
    <d v="2026-03-01T00:00:00"/>
    <x v="2"/>
    <x v="2"/>
    <x v="8"/>
    <x v="0"/>
    <x v="25"/>
    <x v="2"/>
    <x v="1"/>
    <n v="0"/>
  </r>
  <r>
    <d v="2026-03-01T00:00:00"/>
    <x v="2"/>
    <x v="2"/>
    <x v="8"/>
    <x v="0"/>
    <x v="0"/>
    <x v="0"/>
    <x v="0"/>
    <n v="11641212000"/>
  </r>
  <r>
    <d v="2026-03-01T00:00:00"/>
    <x v="2"/>
    <x v="2"/>
    <x v="8"/>
    <x v="0"/>
    <x v="7"/>
    <x v="7"/>
    <x v="4"/>
    <n v="355551409"/>
  </r>
  <r>
    <d v="2026-03-01T00:00:00"/>
    <x v="2"/>
    <x v="2"/>
    <x v="8"/>
    <x v="0"/>
    <x v="1"/>
    <x v="1"/>
    <x v="1"/>
    <n v="21000000"/>
  </r>
  <r>
    <d v="2026-03-01T00:00:00"/>
    <x v="2"/>
    <x v="2"/>
    <x v="8"/>
    <x v="0"/>
    <x v="6"/>
    <x v="6"/>
    <x v="0"/>
    <n v="62000000"/>
  </r>
  <r>
    <d v="2026-03-01T00:00:00"/>
    <x v="2"/>
    <x v="2"/>
    <x v="8"/>
    <x v="0"/>
    <x v="18"/>
    <x v="15"/>
    <x v="1"/>
    <n v="812230000"/>
  </r>
  <r>
    <d v="2026-03-01T00:00:00"/>
    <x v="2"/>
    <x v="2"/>
    <x v="8"/>
    <x v="0"/>
    <x v="29"/>
    <x v="20"/>
    <x v="0"/>
    <n v="272592000"/>
  </r>
  <r>
    <d v="2026-03-01T00:00:00"/>
    <x v="2"/>
    <x v="2"/>
    <x v="8"/>
    <x v="0"/>
    <x v="19"/>
    <x v="12"/>
    <x v="4"/>
    <n v="599289418"/>
  </r>
  <r>
    <d v="2026-03-01T00:00:00"/>
    <x v="2"/>
    <x v="2"/>
    <x v="8"/>
    <x v="0"/>
    <x v="24"/>
    <x v="18"/>
    <x v="1"/>
    <n v="2724510000"/>
  </r>
  <r>
    <d v="2026-03-01T00:00:00"/>
    <x v="2"/>
    <x v="2"/>
    <x v="8"/>
    <x v="0"/>
    <x v="30"/>
    <x v="21"/>
    <x v="0"/>
    <n v="298080000"/>
  </r>
  <r>
    <d v="2026-03-02T00:00:00"/>
    <x v="2"/>
    <x v="2"/>
    <x v="9"/>
    <x v="1"/>
    <x v="3"/>
    <x v="3"/>
    <x v="1"/>
    <n v="503600000"/>
  </r>
  <r>
    <d v="2026-03-02T00:00:00"/>
    <x v="2"/>
    <x v="2"/>
    <x v="9"/>
    <x v="1"/>
    <x v="11"/>
    <x v="10"/>
    <x v="4"/>
    <n v="346848287"/>
  </r>
  <r>
    <d v="2026-03-02T00:00:00"/>
    <x v="2"/>
    <x v="2"/>
    <x v="9"/>
    <x v="1"/>
    <x v="12"/>
    <x v="11"/>
    <x v="1"/>
    <n v="11842400000"/>
  </r>
  <r>
    <d v="2026-03-02T00:00:00"/>
    <x v="2"/>
    <x v="2"/>
    <x v="9"/>
    <x v="1"/>
    <x v="5"/>
    <x v="5"/>
    <x v="3"/>
    <n v="3209812806"/>
  </r>
  <r>
    <d v="2026-03-02T00:00:00"/>
    <x v="2"/>
    <x v="2"/>
    <x v="9"/>
    <x v="1"/>
    <x v="27"/>
    <x v="19"/>
    <x v="0"/>
    <n v="15727068000"/>
  </r>
  <r>
    <d v="2026-03-02T00:00:00"/>
    <x v="2"/>
    <x v="2"/>
    <x v="9"/>
    <x v="1"/>
    <x v="15"/>
    <x v="14"/>
    <x v="4"/>
    <n v="42606676"/>
  </r>
  <r>
    <d v="2026-03-02T00:00:00"/>
    <x v="2"/>
    <x v="2"/>
    <x v="9"/>
    <x v="1"/>
    <x v="31"/>
    <x v="22"/>
    <x v="1"/>
    <n v="137000000"/>
  </r>
  <r>
    <d v="2026-03-02T00:00:00"/>
    <x v="2"/>
    <x v="2"/>
    <x v="9"/>
    <x v="1"/>
    <x v="14"/>
    <x v="13"/>
    <x v="1"/>
    <n v="2425040000"/>
  </r>
  <r>
    <d v="2026-03-02T00:00:00"/>
    <x v="2"/>
    <x v="2"/>
    <x v="9"/>
    <x v="1"/>
    <x v="33"/>
    <x v="13"/>
    <x v="1"/>
    <n v="1602830000"/>
  </r>
  <r>
    <d v="2026-03-02T00:00:00"/>
    <x v="2"/>
    <x v="2"/>
    <x v="9"/>
    <x v="1"/>
    <x v="23"/>
    <x v="17"/>
    <x v="4"/>
    <n v="17596216"/>
  </r>
  <r>
    <d v="2026-03-02T00:00:00"/>
    <x v="2"/>
    <x v="2"/>
    <x v="9"/>
    <x v="1"/>
    <x v="28"/>
    <x v="17"/>
    <x v="4"/>
    <n v="1378449521"/>
  </r>
  <r>
    <d v="2026-03-02T00:00:00"/>
    <x v="2"/>
    <x v="2"/>
    <x v="9"/>
    <x v="1"/>
    <x v="8"/>
    <x v="8"/>
    <x v="1"/>
    <n v="0"/>
  </r>
  <r>
    <d v="2026-03-02T00:00:00"/>
    <x v="2"/>
    <x v="2"/>
    <x v="9"/>
    <x v="1"/>
    <x v="26"/>
    <x v="16"/>
    <x v="1"/>
    <n v="141000000"/>
  </r>
  <r>
    <d v="2026-03-02T00:00:00"/>
    <x v="2"/>
    <x v="2"/>
    <x v="9"/>
    <x v="1"/>
    <x v="32"/>
    <x v="16"/>
    <x v="1"/>
    <n v="0"/>
  </r>
  <r>
    <d v="2026-03-02T00:00:00"/>
    <x v="2"/>
    <x v="2"/>
    <x v="9"/>
    <x v="1"/>
    <x v="2"/>
    <x v="2"/>
    <x v="1"/>
    <n v="14738820000"/>
  </r>
  <r>
    <d v="2026-03-02T00:00:00"/>
    <x v="2"/>
    <x v="2"/>
    <x v="9"/>
    <x v="1"/>
    <x v="17"/>
    <x v="9"/>
    <x v="1"/>
    <n v="0"/>
  </r>
  <r>
    <d v="2026-03-02T00:00:00"/>
    <x v="2"/>
    <x v="2"/>
    <x v="9"/>
    <x v="1"/>
    <x v="20"/>
    <x v="9"/>
    <x v="1"/>
    <n v="0"/>
  </r>
  <r>
    <d v="2026-03-02T00:00:00"/>
    <x v="2"/>
    <x v="2"/>
    <x v="9"/>
    <x v="1"/>
    <x v="21"/>
    <x v="9"/>
    <x v="1"/>
    <n v="0"/>
  </r>
  <r>
    <d v="2026-03-02T00:00:00"/>
    <x v="2"/>
    <x v="2"/>
    <x v="9"/>
    <x v="1"/>
    <x v="25"/>
    <x v="2"/>
    <x v="1"/>
    <n v="0"/>
  </r>
  <r>
    <d v="2026-03-02T00:00:00"/>
    <x v="2"/>
    <x v="2"/>
    <x v="9"/>
    <x v="1"/>
    <x v="0"/>
    <x v="0"/>
    <x v="0"/>
    <n v="12564828000"/>
  </r>
  <r>
    <d v="2026-03-02T00:00:00"/>
    <x v="2"/>
    <x v="2"/>
    <x v="9"/>
    <x v="1"/>
    <x v="7"/>
    <x v="7"/>
    <x v="4"/>
    <n v="400719017"/>
  </r>
  <r>
    <d v="2026-03-02T00:00:00"/>
    <x v="2"/>
    <x v="2"/>
    <x v="9"/>
    <x v="1"/>
    <x v="1"/>
    <x v="1"/>
    <x v="1"/>
    <n v="21000000"/>
  </r>
  <r>
    <d v="2026-03-02T00:00:00"/>
    <x v="2"/>
    <x v="2"/>
    <x v="9"/>
    <x v="1"/>
    <x v="6"/>
    <x v="6"/>
    <x v="0"/>
    <n v="86000000"/>
  </r>
  <r>
    <d v="2026-03-02T00:00:00"/>
    <x v="2"/>
    <x v="2"/>
    <x v="9"/>
    <x v="1"/>
    <x v="18"/>
    <x v="15"/>
    <x v="1"/>
    <n v="674200000"/>
  </r>
  <r>
    <d v="2026-03-02T00:00:00"/>
    <x v="2"/>
    <x v="2"/>
    <x v="9"/>
    <x v="1"/>
    <x v="29"/>
    <x v="20"/>
    <x v="0"/>
    <n v="258120000"/>
  </r>
  <r>
    <d v="2026-03-02T00:00:00"/>
    <x v="2"/>
    <x v="2"/>
    <x v="9"/>
    <x v="1"/>
    <x v="19"/>
    <x v="12"/>
    <x v="4"/>
    <n v="879010061"/>
  </r>
  <r>
    <d v="2026-03-02T00:00:00"/>
    <x v="2"/>
    <x v="2"/>
    <x v="9"/>
    <x v="1"/>
    <x v="24"/>
    <x v="18"/>
    <x v="1"/>
    <n v="2953550000"/>
  </r>
  <r>
    <d v="2026-03-02T00:00:00"/>
    <x v="2"/>
    <x v="2"/>
    <x v="9"/>
    <x v="1"/>
    <x v="30"/>
    <x v="21"/>
    <x v="0"/>
    <n v="275400000"/>
  </r>
  <r>
    <d v="2026-03-03T00:00:00"/>
    <x v="2"/>
    <x v="2"/>
    <x v="9"/>
    <x v="2"/>
    <x v="3"/>
    <x v="3"/>
    <x v="1"/>
    <n v="611750000"/>
  </r>
  <r>
    <d v="2026-03-03T00:00:00"/>
    <x v="2"/>
    <x v="2"/>
    <x v="9"/>
    <x v="2"/>
    <x v="11"/>
    <x v="10"/>
    <x v="4"/>
    <n v="372685557"/>
  </r>
  <r>
    <d v="2026-03-03T00:00:00"/>
    <x v="2"/>
    <x v="2"/>
    <x v="9"/>
    <x v="2"/>
    <x v="12"/>
    <x v="11"/>
    <x v="1"/>
    <n v="11512230000"/>
  </r>
  <r>
    <d v="2026-03-03T00:00:00"/>
    <x v="2"/>
    <x v="2"/>
    <x v="9"/>
    <x v="2"/>
    <x v="5"/>
    <x v="5"/>
    <x v="3"/>
    <n v="2529067397"/>
  </r>
  <r>
    <d v="2026-03-03T00:00:00"/>
    <x v="2"/>
    <x v="2"/>
    <x v="9"/>
    <x v="2"/>
    <x v="27"/>
    <x v="19"/>
    <x v="0"/>
    <n v="14775372000"/>
  </r>
  <r>
    <d v="2026-03-03T00:00:00"/>
    <x v="2"/>
    <x v="2"/>
    <x v="9"/>
    <x v="2"/>
    <x v="15"/>
    <x v="14"/>
    <x v="4"/>
    <n v="37758534"/>
  </r>
  <r>
    <d v="2026-03-03T00:00:00"/>
    <x v="2"/>
    <x v="2"/>
    <x v="9"/>
    <x v="2"/>
    <x v="31"/>
    <x v="22"/>
    <x v="1"/>
    <n v="0"/>
  </r>
  <r>
    <d v="2026-03-03T00:00:00"/>
    <x v="2"/>
    <x v="2"/>
    <x v="9"/>
    <x v="2"/>
    <x v="14"/>
    <x v="13"/>
    <x v="1"/>
    <n v="2675990000"/>
  </r>
  <r>
    <d v="2026-03-03T00:00:00"/>
    <x v="2"/>
    <x v="2"/>
    <x v="9"/>
    <x v="2"/>
    <x v="33"/>
    <x v="13"/>
    <x v="1"/>
    <n v="894900000"/>
  </r>
  <r>
    <d v="2026-03-03T00:00:00"/>
    <x v="2"/>
    <x v="2"/>
    <x v="9"/>
    <x v="2"/>
    <x v="23"/>
    <x v="17"/>
    <x v="4"/>
    <n v="45301170"/>
  </r>
  <r>
    <d v="2026-03-03T00:00:00"/>
    <x v="2"/>
    <x v="2"/>
    <x v="9"/>
    <x v="2"/>
    <x v="28"/>
    <x v="17"/>
    <x v="4"/>
    <n v="1690329959"/>
  </r>
  <r>
    <d v="2026-03-03T00:00:00"/>
    <x v="2"/>
    <x v="2"/>
    <x v="9"/>
    <x v="2"/>
    <x v="8"/>
    <x v="8"/>
    <x v="1"/>
    <n v="0"/>
  </r>
  <r>
    <d v="2026-03-03T00:00:00"/>
    <x v="2"/>
    <x v="2"/>
    <x v="9"/>
    <x v="2"/>
    <x v="26"/>
    <x v="16"/>
    <x v="1"/>
    <n v="57750000"/>
  </r>
  <r>
    <d v="2026-03-03T00:00:00"/>
    <x v="2"/>
    <x v="2"/>
    <x v="9"/>
    <x v="2"/>
    <x v="32"/>
    <x v="16"/>
    <x v="1"/>
    <n v="180000000"/>
  </r>
  <r>
    <d v="2026-03-03T00:00:00"/>
    <x v="2"/>
    <x v="2"/>
    <x v="9"/>
    <x v="2"/>
    <x v="2"/>
    <x v="2"/>
    <x v="1"/>
    <n v="15084270000"/>
  </r>
  <r>
    <d v="2026-03-03T00:00:00"/>
    <x v="2"/>
    <x v="2"/>
    <x v="9"/>
    <x v="2"/>
    <x v="17"/>
    <x v="9"/>
    <x v="1"/>
    <n v="0"/>
  </r>
  <r>
    <d v="2026-03-03T00:00:00"/>
    <x v="2"/>
    <x v="2"/>
    <x v="9"/>
    <x v="2"/>
    <x v="20"/>
    <x v="9"/>
    <x v="1"/>
    <n v="0"/>
  </r>
  <r>
    <d v="2026-03-03T00:00:00"/>
    <x v="2"/>
    <x v="2"/>
    <x v="9"/>
    <x v="2"/>
    <x v="21"/>
    <x v="9"/>
    <x v="1"/>
    <n v="0"/>
  </r>
  <r>
    <d v="2026-03-03T00:00:00"/>
    <x v="2"/>
    <x v="2"/>
    <x v="9"/>
    <x v="2"/>
    <x v="25"/>
    <x v="2"/>
    <x v="1"/>
    <n v="0"/>
  </r>
  <r>
    <d v="2026-03-03T00:00:00"/>
    <x v="2"/>
    <x v="2"/>
    <x v="9"/>
    <x v="2"/>
    <x v="0"/>
    <x v="0"/>
    <x v="0"/>
    <n v="11459340000"/>
  </r>
  <r>
    <d v="2026-03-03T00:00:00"/>
    <x v="2"/>
    <x v="2"/>
    <x v="9"/>
    <x v="2"/>
    <x v="7"/>
    <x v="7"/>
    <x v="4"/>
    <n v="422286618"/>
  </r>
  <r>
    <d v="2026-03-03T00:00:00"/>
    <x v="2"/>
    <x v="2"/>
    <x v="9"/>
    <x v="2"/>
    <x v="1"/>
    <x v="1"/>
    <x v="1"/>
    <n v="42000000"/>
  </r>
  <r>
    <d v="2026-03-03T00:00:00"/>
    <x v="2"/>
    <x v="2"/>
    <x v="9"/>
    <x v="2"/>
    <x v="6"/>
    <x v="6"/>
    <x v="0"/>
    <n v="44000000"/>
  </r>
  <r>
    <d v="2026-03-03T00:00:00"/>
    <x v="2"/>
    <x v="2"/>
    <x v="9"/>
    <x v="2"/>
    <x v="18"/>
    <x v="15"/>
    <x v="1"/>
    <n v="680480000"/>
  </r>
  <r>
    <d v="2026-03-03T00:00:00"/>
    <x v="2"/>
    <x v="2"/>
    <x v="9"/>
    <x v="2"/>
    <x v="29"/>
    <x v="20"/>
    <x v="0"/>
    <n v="370872000"/>
  </r>
  <r>
    <d v="2026-03-03T00:00:00"/>
    <x v="2"/>
    <x v="2"/>
    <x v="9"/>
    <x v="2"/>
    <x v="19"/>
    <x v="12"/>
    <x v="4"/>
    <n v="938862337"/>
  </r>
  <r>
    <d v="2026-03-03T00:00:00"/>
    <x v="2"/>
    <x v="2"/>
    <x v="9"/>
    <x v="2"/>
    <x v="24"/>
    <x v="18"/>
    <x v="1"/>
    <n v="3363900000"/>
  </r>
  <r>
    <d v="2026-03-03T00:00:00"/>
    <x v="2"/>
    <x v="2"/>
    <x v="9"/>
    <x v="2"/>
    <x v="30"/>
    <x v="21"/>
    <x v="0"/>
    <n v="241920000"/>
  </r>
  <r>
    <d v="2026-03-04T00:00:00"/>
    <x v="2"/>
    <x v="2"/>
    <x v="9"/>
    <x v="3"/>
    <x v="3"/>
    <x v="3"/>
    <x v="1"/>
    <n v="931600000"/>
  </r>
  <r>
    <d v="2026-03-04T00:00:00"/>
    <x v="2"/>
    <x v="2"/>
    <x v="9"/>
    <x v="3"/>
    <x v="11"/>
    <x v="10"/>
    <x v="4"/>
    <n v="382729387"/>
  </r>
  <r>
    <d v="2026-03-04T00:00:00"/>
    <x v="2"/>
    <x v="2"/>
    <x v="9"/>
    <x v="3"/>
    <x v="12"/>
    <x v="11"/>
    <x v="1"/>
    <n v="10237060000"/>
  </r>
  <r>
    <d v="2026-03-04T00:00:00"/>
    <x v="2"/>
    <x v="2"/>
    <x v="9"/>
    <x v="3"/>
    <x v="5"/>
    <x v="5"/>
    <x v="3"/>
    <n v="2109105849"/>
  </r>
  <r>
    <d v="2026-03-04T00:00:00"/>
    <x v="2"/>
    <x v="2"/>
    <x v="9"/>
    <x v="3"/>
    <x v="27"/>
    <x v="19"/>
    <x v="0"/>
    <n v="14409900000"/>
  </r>
  <r>
    <d v="2026-03-04T00:00:00"/>
    <x v="2"/>
    <x v="2"/>
    <x v="9"/>
    <x v="3"/>
    <x v="15"/>
    <x v="14"/>
    <x v="4"/>
    <n v="29007207"/>
  </r>
  <r>
    <d v="2026-03-04T00:00:00"/>
    <x v="2"/>
    <x v="2"/>
    <x v="9"/>
    <x v="3"/>
    <x v="31"/>
    <x v="22"/>
    <x v="1"/>
    <n v="0"/>
  </r>
  <r>
    <d v="2026-03-04T00:00:00"/>
    <x v="2"/>
    <x v="2"/>
    <x v="9"/>
    <x v="3"/>
    <x v="14"/>
    <x v="13"/>
    <x v="1"/>
    <n v="2544310000"/>
  </r>
  <r>
    <d v="2026-03-04T00:00:00"/>
    <x v="2"/>
    <x v="2"/>
    <x v="9"/>
    <x v="3"/>
    <x v="33"/>
    <x v="13"/>
    <x v="1"/>
    <n v="530770000"/>
  </r>
  <r>
    <d v="2026-03-04T00:00:00"/>
    <x v="2"/>
    <x v="2"/>
    <x v="9"/>
    <x v="3"/>
    <x v="23"/>
    <x v="17"/>
    <x v="4"/>
    <n v="19140845"/>
  </r>
  <r>
    <d v="2026-03-04T00:00:00"/>
    <x v="2"/>
    <x v="2"/>
    <x v="9"/>
    <x v="3"/>
    <x v="28"/>
    <x v="17"/>
    <x v="4"/>
    <n v="1851851331"/>
  </r>
  <r>
    <d v="2026-03-04T00:00:00"/>
    <x v="2"/>
    <x v="2"/>
    <x v="9"/>
    <x v="3"/>
    <x v="8"/>
    <x v="8"/>
    <x v="1"/>
    <n v="0"/>
  </r>
  <r>
    <d v="2026-03-04T00:00:00"/>
    <x v="2"/>
    <x v="2"/>
    <x v="9"/>
    <x v="3"/>
    <x v="26"/>
    <x v="16"/>
    <x v="1"/>
    <n v="50500000"/>
  </r>
  <r>
    <d v="2026-03-04T00:00:00"/>
    <x v="2"/>
    <x v="2"/>
    <x v="9"/>
    <x v="3"/>
    <x v="32"/>
    <x v="16"/>
    <x v="1"/>
    <n v="0"/>
  </r>
  <r>
    <d v="2026-03-04T00:00:00"/>
    <x v="2"/>
    <x v="2"/>
    <x v="9"/>
    <x v="3"/>
    <x v="2"/>
    <x v="2"/>
    <x v="1"/>
    <n v="13872060000"/>
  </r>
  <r>
    <d v="2026-03-04T00:00:00"/>
    <x v="2"/>
    <x v="2"/>
    <x v="9"/>
    <x v="3"/>
    <x v="17"/>
    <x v="9"/>
    <x v="1"/>
    <n v="0"/>
  </r>
  <r>
    <d v="2026-03-04T00:00:00"/>
    <x v="2"/>
    <x v="2"/>
    <x v="9"/>
    <x v="3"/>
    <x v="20"/>
    <x v="9"/>
    <x v="1"/>
    <n v="0"/>
  </r>
  <r>
    <d v="2026-03-04T00:00:00"/>
    <x v="2"/>
    <x v="2"/>
    <x v="9"/>
    <x v="3"/>
    <x v="21"/>
    <x v="9"/>
    <x v="1"/>
    <n v="0"/>
  </r>
  <r>
    <d v="2026-03-04T00:00:00"/>
    <x v="2"/>
    <x v="2"/>
    <x v="9"/>
    <x v="3"/>
    <x v="25"/>
    <x v="2"/>
    <x v="1"/>
    <n v="0"/>
  </r>
  <r>
    <d v="2026-03-04T00:00:00"/>
    <x v="2"/>
    <x v="2"/>
    <x v="9"/>
    <x v="3"/>
    <x v="0"/>
    <x v="0"/>
    <x v="0"/>
    <n v="11243124000"/>
  </r>
  <r>
    <d v="2026-03-04T00:00:00"/>
    <x v="2"/>
    <x v="2"/>
    <x v="9"/>
    <x v="3"/>
    <x v="7"/>
    <x v="7"/>
    <x v="4"/>
    <n v="415009282"/>
  </r>
  <r>
    <d v="2026-03-04T00:00:00"/>
    <x v="2"/>
    <x v="2"/>
    <x v="9"/>
    <x v="3"/>
    <x v="1"/>
    <x v="1"/>
    <x v="1"/>
    <n v="21000000"/>
  </r>
  <r>
    <d v="2026-03-04T00:00:00"/>
    <x v="2"/>
    <x v="2"/>
    <x v="9"/>
    <x v="3"/>
    <x v="6"/>
    <x v="6"/>
    <x v="0"/>
    <n v="79000000"/>
  </r>
  <r>
    <d v="2026-03-04T00:00:00"/>
    <x v="2"/>
    <x v="2"/>
    <x v="9"/>
    <x v="3"/>
    <x v="18"/>
    <x v="15"/>
    <x v="1"/>
    <n v="823050000"/>
  </r>
  <r>
    <d v="2026-03-04T00:00:00"/>
    <x v="2"/>
    <x v="2"/>
    <x v="9"/>
    <x v="3"/>
    <x v="29"/>
    <x v="20"/>
    <x v="0"/>
    <n v="338364000"/>
  </r>
  <r>
    <d v="2026-03-04T00:00:00"/>
    <x v="2"/>
    <x v="2"/>
    <x v="9"/>
    <x v="3"/>
    <x v="19"/>
    <x v="12"/>
    <x v="4"/>
    <n v="1036822973"/>
  </r>
  <r>
    <d v="2026-03-04T00:00:00"/>
    <x v="2"/>
    <x v="2"/>
    <x v="9"/>
    <x v="3"/>
    <x v="24"/>
    <x v="18"/>
    <x v="1"/>
    <n v="3466000000"/>
  </r>
  <r>
    <d v="2026-03-04T00:00:00"/>
    <x v="2"/>
    <x v="2"/>
    <x v="9"/>
    <x v="3"/>
    <x v="30"/>
    <x v="21"/>
    <x v="0"/>
    <n v="246240000"/>
  </r>
  <r>
    <d v="2026-03-05T00:00:00"/>
    <x v="2"/>
    <x v="2"/>
    <x v="9"/>
    <x v="4"/>
    <x v="3"/>
    <x v="3"/>
    <x v="1"/>
    <n v="920400000"/>
  </r>
  <r>
    <d v="2026-03-05T00:00:00"/>
    <x v="2"/>
    <x v="2"/>
    <x v="9"/>
    <x v="4"/>
    <x v="11"/>
    <x v="10"/>
    <x v="4"/>
    <n v="381541237"/>
  </r>
  <r>
    <d v="2026-03-05T00:00:00"/>
    <x v="2"/>
    <x v="2"/>
    <x v="9"/>
    <x v="4"/>
    <x v="12"/>
    <x v="11"/>
    <x v="1"/>
    <n v="10802360000"/>
  </r>
  <r>
    <d v="2026-03-05T00:00:00"/>
    <x v="2"/>
    <x v="2"/>
    <x v="9"/>
    <x v="4"/>
    <x v="5"/>
    <x v="5"/>
    <x v="3"/>
    <n v="2570374691"/>
  </r>
  <r>
    <d v="2026-03-05T00:00:00"/>
    <x v="2"/>
    <x v="2"/>
    <x v="9"/>
    <x v="4"/>
    <x v="27"/>
    <x v="19"/>
    <x v="0"/>
    <n v="16653816000"/>
  </r>
  <r>
    <d v="2026-03-05T00:00:00"/>
    <x v="2"/>
    <x v="2"/>
    <x v="9"/>
    <x v="4"/>
    <x v="15"/>
    <x v="14"/>
    <x v="4"/>
    <n v="38027617"/>
  </r>
  <r>
    <d v="2026-03-05T00:00:00"/>
    <x v="2"/>
    <x v="2"/>
    <x v="9"/>
    <x v="4"/>
    <x v="31"/>
    <x v="22"/>
    <x v="1"/>
    <n v="0"/>
  </r>
  <r>
    <d v="2026-03-05T00:00:00"/>
    <x v="2"/>
    <x v="2"/>
    <x v="9"/>
    <x v="4"/>
    <x v="14"/>
    <x v="13"/>
    <x v="1"/>
    <n v="2562210000"/>
  </r>
  <r>
    <d v="2026-03-05T00:00:00"/>
    <x v="2"/>
    <x v="2"/>
    <x v="9"/>
    <x v="4"/>
    <x v="33"/>
    <x v="13"/>
    <x v="1"/>
    <n v="864230000"/>
  </r>
  <r>
    <d v="2026-03-05T00:00:00"/>
    <x v="2"/>
    <x v="2"/>
    <x v="9"/>
    <x v="4"/>
    <x v="23"/>
    <x v="17"/>
    <x v="4"/>
    <n v="27119171"/>
  </r>
  <r>
    <d v="2026-03-05T00:00:00"/>
    <x v="2"/>
    <x v="2"/>
    <x v="9"/>
    <x v="4"/>
    <x v="28"/>
    <x v="17"/>
    <x v="4"/>
    <n v="1740984689"/>
  </r>
  <r>
    <d v="2026-03-05T00:00:00"/>
    <x v="2"/>
    <x v="2"/>
    <x v="9"/>
    <x v="4"/>
    <x v="8"/>
    <x v="8"/>
    <x v="1"/>
    <n v="0"/>
  </r>
  <r>
    <d v="2026-03-05T00:00:00"/>
    <x v="2"/>
    <x v="2"/>
    <x v="9"/>
    <x v="4"/>
    <x v="26"/>
    <x v="16"/>
    <x v="1"/>
    <n v="10500000"/>
  </r>
  <r>
    <d v="2026-03-05T00:00:00"/>
    <x v="2"/>
    <x v="2"/>
    <x v="9"/>
    <x v="4"/>
    <x v="32"/>
    <x v="16"/>
    <x v="1"/>
    <n v="0"/>
  </r>
  <r>
    <d v="2026-03-05T00:00:00"/>
    <x v="2"/>
    <x v="2"/>
    <x v="9"/>
    <x v="4"/>
    <x v="2"/>
    <x v="2"/>
    <x v="1"/>
    <n v="15499430000"/>
  </r>
  <r>
    <d v="2026-03-05T00:00:00"/>
    <x v="2"/>
    <x v="2"/>
    <x v="9"/>
    <x v="4"/>
    <x v="17"/>
    <x v="9"/>
    <x v="1"/>
    <n v="0"/>
  </r>
  <r>
    <d v="2026-03-05T00:00:00"/>
    <x v="2"/>
    <x v="2"/>
    <x v="9"/>
    <x v="4"/>
    <x v="20"/>
    <x v="9"/>
    <x v="1"/>
    <n v="0"/>
  </r>
  <r>
    <d v="2026-03-05T00:00:00"/>
    <x v="2"/>
    <x v="2"/>
    <x v="9"/>
    <x v="4"/>
    <x v="21"/>
    <x v="9"/>
    <x v="1"/>
    <n v="0"/>
  </r>
  <r>
    <d v="2026-03-05T00:00:00"/>
    <x v="2"/>
    <x v="2"/>
    <x v="9"/>
    <x v="4"/>
    <x v="25"/>
    <x v="2"/>
    <x v="1"/>
    <n v="0"/>
  </r>
  <r>
    <d v="2026-03-05T00:00:00"/>
    <x v="2"/>
    <x v="2"/>
    <x v="9"/>
    <x v="4"/>
    <x v="0"/>
    <x v="0"/>
    <x v="0"/>
    <n v="12778560000"/>
  </r>
  <r>
    <d v="2026-03-05T00:00:00"/>
    <x v="2"/>
    <x v="2"/>
    <x v="9"/>
    <x v="4"/>
    <x v="7"/>
    <x v="7"/>
    <x v="4"/>
    <n v="433122512"/>
  </r>
  <r>
    <d v="2026-03-05T00:00:00"/>
    <x v="2"/>
    <x v="2"/>
    <x v="9"/>
    <x v="4"/>
    <x v="1"/>
    <x v="1"/>
    <x v="1"/>
    <n v="68250000"/>
  </r>
  <r>
    <d v="2026-03-05T00:00:00"/>
    <x v="2"/>
    <x v="2"/>
    <x v="9"/>
    <x v="4"/>
    <x v="6"/>
    <x v="6"/>
    <x v="0"/>
    <n v="74000000"/>
  </r>
  <r>
    <d v="2026-03-05T00:00:00"/>
    <x v="2"/>
    <x v="2"/>
    <x v="9"/>
    <x v="4"/>
    <x v="18"/>
    <x v="15"/>
    <x v="1"/>
    <n v="883360000"/>
  </r>
  <r>
    <d v="2026-03-05T00:00:00"/>
    <x v="2"/>
    <x v="2"/>
    <x v="9"/>
    <x v="4"/>
    <x v="29"/>
    <x v="20"/>
    <x v="0"/>
    <n v="348408000"/>
  </r>
  <r>
    <d v="2026-03-05T00:00:00"/>
    <x v="2"/>
    <x v="2"/>
    <x v="9"/>
    <x v="4"/>
    <x v="19"/>
    <x v="12"/>
    <x v="4"/>
    <n v="993225841"/>
  </r>
  <r>
    <d v="2026-03-05T00:00:00"/>
    <x v="2"/>
    <x v="2"/>
    <x v="9"/>
    <x v="4"/>
    <x v="24"/>
    <x v="18"/>
    <x v="1"/>
    <n v="2743100000"/>
  </r>
  <r>
    <d v="2026-03-05T00:00:00"/>
    <x v="2"/>
    <x v="2"/>
    <x v="9"/>
    <x v="4"/>
    <x v="30"/>
    <x v="21"/>
    <x v="0"/>
    <n v="261360000"/>
  </r>
  <r>
    <d v="2026-03-06T00:00:00"/>
    <x v="2"/>
    <x v="2"/>
    <x v="9"/>
    <x v="5"/>
    <x v="3"/>
    <x v="3"/>
    <x v="1"/>
    <n v="1000050000"/>
  </r>
  <r>
    <d v="2026-03-06T00:00:00"/>
    <x v="2"/>
    <x v="2"/>
    <x v="9"/>
    <x v="5"/>
    <x v="11"/>
    <x v="10"/>
    <x v="4"/>
    <n v="484191458"/>
  </r>
  <r>
    <d v="2026-03-06T00:00:00"/>
    <x v="2"/>
    <x v="2"/>
    <x v="9"/>
    <x v="5"/>
    <x v="12"/>
    <x v="11"/>
    <x v="1"/>
    <n v="11391310000"/>
  </r>
  <r>
    <d v="2026-03-06T00:00:00"/>
    <x v="2"/>
    <x v="2"/>
    <x v="9"/>
    <x v="5"/>
    <x v="5"/>
    <x v="5"/>
    <x v="3"/>
    <n v="1857916210"/>
  </r>
  <r>
    <d v="2026-03-06T00:00:00"/>
    <x v="2"/>
    <x v="2"/>
    <x v="9"/>
    <x v="5"/>
    <x v="27"/>
    <x v="19"/>
    <x v="0"/>
    <n v="14831856000"/>
  </r>
  <r>
    <d v="2026-03-06T00:00:00"/>
    <x v="2"/>
    <x v="2"/>
    <x v="9"/>
    <x v="5"/>
    <x v="15"/>
    <x v="14"/>
    <x v="4"/>
    <n v="29411088"/>
  </r>
  <r>
    <d v="2026-03-06T00:00:00"/>
    <x v="2"/>
    <x v="2"/>
    <x v="9"/>
    <x v="5"/>
    <x v="31"/>
    <x v="22"/>
    <x v="1"/>
    <n v="0"/>
  </r>
  <r>
    <d v="2026-03-06T00:00:00"/>
    <x v="2"/>
    <x v="2"/>
    <x v="9"/>
    <x v="5"/>
    <x v="14"/>
    <x v="13"/>
    <x v="1"/>
    <n v="2278440000"/>
  </r>
  <r>
    <d v="2026-03-06T00:00:00"/>
    <x v="2"/>
    <x v="2"/>
    <x v="9"/>
    <x v="5"/>
    <x v="33"/>
    <x v="13"/>
    <x v="1"/>
    <n v="1169890000"/>
  </r>
  <r>
    <d v="2026-03-06T00:00:00"/>
    <x v="2"/>
    <x v="2"/>
    <x v="9"/>
    <x v="5"/>
    <x v="23"/>
    <x v="17"/>
    <x v="4"/>
    <n v="33571315"/>
  </r>
  <r>
    <d v="2026-03-06T00:00:00"/>
    <x v="2"/>
    <x v="2"/>
    <x v="9"/>
    <x v="5"/>
    <x v="28"/>
    <x v="17"/>
    <x v="4"/>
    <n v="1561772550"/>
  </r>
  <r>
    <d v="2026-03-06T00:00:00"/>
    <x v="2"/>
    <x v="2"/>
    <x v="9"/>
    <x v="5"/>
    <x v="8"/>
    <x v="8"/>
    <x v="1"/>
    <n v="0"/>
  </r>
  <r>
    <d v="2026-03-06T00:00:00"/>
    <x v="2"/>
    <x v="2"/>
    <x v="9"/>
    <x v="5"/>
    <x v="26"/>
    <x v="16"/>
    <x v="1"/>
    <n v="81900000"/>
  </r>
  <r>
    <d v="2026-03-06T00:00:00"/>
    <x v="2"/>
    <x v="2"/>
    <x v="9"/>
    <x v="5"/>
    <x v="32"/>
    <x v="16"/>
    <x v="1"/>
    <n v="101000000"/>
  </r>
  <r>
    <d v="2026-03-06T00:00:00"/>
    <x v="2"/>
    <x v="2"/>
    <x v="9"/>
    <x v="5"/>
    <x v="2"/>
    <x v="2"/>
    <x v="1"/>
    <n v="15035160000"/>
  </r>
  <r>
    <d v="2026-03-06T00:00:00"/>
    <x v="2"/>
    <x v="2"/>
    <x v="9"/>
    <x v="5"/>
    <x v="17"/>
    <x v="9"/>
    <x v="1"/>
    <n v="0"/>
  </r>
  <r>
    <d v="2026-03-06T00:00:00"/>
    <x v="2"/>
    <x v="2"/>
    <x v="9"/>
    <x v="5"/>
    <x v="20"/>
    <x v="9"/>
    <x v="1"/>
    <n v="0"/>
  </r>
  <r>
    <d v="2026-03-06T00:00:00"/>
    <x v="2"/>
    <x v="2"/>
    <x v="9"/>
    <x v="5"/>
    <x v="21"/>
    <x v="9"/>
    <x v="1"/>
    <n v="0"/>
  </r>
  <r>
    <d v="2026-03-06T00:00:00"/>
    <x v="2"/>
    <x v="2"/>
    <x v="9"/>
    <x v="5"/>
    <x v="25"/>
    <x v="2"/>
    <x v="1"/>
    <n v="12000000"/>
  </r>
  <r>
    <d v="2026-03-06T00:00:00"/>
    <x v="2"/>
    <x v="2"/>
    <x v="9"/>
    <x v="5"/>
    <x v="0"/>
    <x v="0"/>
    <x v="0"/>
    <n v="12088980000"/>
  </r>
  <r>
    <d v="2026-03-06T00:00:00"/>
    <x v="2"/>
    <x v="2"/>
    <x v="9"/>
    <x v="5"/>
    <x v="7"/>
    <x v="7"/>
    <x v="4"/>
    <n v="378004341"/>
  </r>
  <r>
    <d v="2026-03-06T00:00:00"/>
    <x v="2"/>
    <x v="2"/>
    <x v="9"/>
    <x v="5"/>
    <x v="1"/>
    <x v="1"/>
    <x v="1"/>
    <n v="57750000"/>
  </r>
  <r>
    <d v="2026-03-06T00:00:00"/>
    <x v="2"/>
    <x v="2"/>
    <x v="9"/>
    <x v="5"/>
    <x v="6"/>
    <x v="6"/>
    <x v="0"/>
    <n v="59000000"/>
  </r>
  <r>
    <d v="2026-03-06T00:00:00"/>
    <x v="2"/>
    <x v="2"/>
    <x v="9"/>
    <x v="5"/>
    <x v="18"/>
    <x v="15"/>
    <x v="1"/>
    <n v="624590000"/>
  </r>
  <r>
    <d v="2026-03-06T00:00:00"/>
    <x v="2"/>
    <x v="2"/>
    <x v="9"/>
    <x v="5"/>
    <x v="29"/>
    <x v="20"/>
    <x v="0"/>
    <n v="353268000"/>
  </r>
  <r>
    <d v="2026-03-06T00:00:00"/>
    <x v="2"/>
    <x v="2"/>
    <x v="9"/>
    <x v="5"/>
    <x v="19"/>
    <x v="12"/>
    <x v="4"/>
    <n v="961434278"/>
  </r>
  <r>
    <d v="2026-03-06T00:00:00"/>
    <x v="2"/>
    <x v="2"/>
    <x v="9"/>
    <x v="5"/>
    <x v="24"/>
    <x v="18"/>
    <x v="1"/>
    <n v="2978810000"/>
  </r>
  <r>
    <d v="2026-03-06T00:00:00"/>
    <x v="2"/>
    <x v="2"/>
    <x v="9"/>
    <x v="5"/>
    <x v="30"/>
    <x v="21"/>
    <x v="0"/>
    <n v="306720000"/>
  </r>
  <r>
    <d v="2026-03-07T00:00:00"/>
    <x v="2"/>
    <x v="2"/>
    <x v="9"/>
    <x v="6"/>
    <x v="3"/>
    <x v="3"/>
    <x v="1"/>
    <n v="799000000"/>
  </r>
  <r>
    <d v="2026-03-07T00:00:00"/>
    <x v="2"/>
    <x v="2"/>
    <x v="9"/>
    <x v="6"/>
    <x v="11"/>
    <x v="10"/>
    <x v="4"/>
    <n v="553260146"/>
  </r>
  <r>
    <d v="2026-03-07T00:00:00"/>
    <x v="2"/>
    <x v="2"/>
    <x v="9"/>
    <x v="6"/>
    <x v="12"/>
    <x v="11"/>
    <x v="1"/>
    <n v="9829120000"/>
  </r>
  <r>
    <d v="2026-03-07T00:00:00"/>
    <x v="2"/>
    <x v="2"/>
    <x v="9"/>
    <x v="6"/>
    <x v="5"/>
    <x v="5"/>
    <x v="3"/>
    <n v="1599889408"/>
  </r>
  <r>
    <d v="2026-03-07T00:00:00"/>
    <x v="2"/>
    <x v="2"/>
    <x v="9"/>
    <x v="6"/>
    <x v="27"/>
    <x v="19"/>
    <x v="0"/>
    <n v="13104612000"/>
  </r>
  <r>
    <d v="2026-03-07T00:00:00"/>
    <x v="2"/>
    <x v="2"/>
    <x v="9"/>
    <x v="6"/>
    <x v="15"/>
    <x v="14"/>
    <x v="4"/>
    <n v="32345164"/>
  </r>
  <r>
    <d v="2026-03-07T00:00:00"/>
    <x v="2"/>
    <x v="2"/>
    <x v="9"/>
    <x v="6"/>
    <x v="31"/>
    <x v="22"/>
    <x v="1"/>
    <n v="0"/>
  </r>
  <r>
    <d v="2026-03-07T00:00:00"/>
    <x v="2"/>
    <x v="2"/>
    <x v="9"/>
    <x v="6"/>
    <x v="14"/>
    <x v="13"/>
    <x v="1"/>
    <n v="2326180000"/>
  </r>
  <r>
    <d v="2026-03-07T00:00:00"/>
    <x v="2"/>
    <x v="2"/>
    <x v="9"/>
    <x v="6"/>
    <x v="33"/>
    <x v="13"/>
    <x v="1"/>
    <n v="810700000"/>
  </r>
  <r>
    <d v="2026-03-07T00:00:00"/>
    <x v="2"/>
    <x v="2"/>
    <x v="9"/>
    <x v="6"/>
    <x v="23"/>
    <x v="17"/>
    <x v="4"/>
    <n v="43010269"/>
  </r>
  <r>
    <d v="2026-03-07T00:00:00"/>
    <x v="2"/>
    <x v="2"/>
    <x v="9"/>
    <x v="6"/>
    <x v="28"/>
    <x v="17"/>
    <x v="4"/>
    <n v="2303460345"/>
  </r>
  <r>
    <d v="2026-03-07T00:00:00"/>
    <x v="2"/>
    <x v="2"/>
    <x v="9"/>
    <x v="6"/>
    <x v="8"/>
    <x v="8"/>
    <x v="1"/>
    <n v="0"/>
  </r>
  <r>
    <d v="2026-03-07T00:00:00"/>
    <x v="2"/>
    <x v="2"/>
    <x v="9"/>
    <x v="6"/>
    <x v="26"/>
    <x v="16"/>
    <x v="1"/>
    <n v="47250000"/>
  </r>
  <r>
    <d v="2026-03-07T00:00:00"/>
    <x v="2"/>
    <x v="2"/>
    <x v="9"/>
    <x v="6"/>
    <x v="32"/>
    <x v="16"/>
    <x v="1"/>
    <n v="0"/>
  </r>
  <r>
    <d v="2026-03-07T00:00:00"/>
    <x v="2"/>
    <x v="2"/>
    <x v="9"/>
    <x v="6"/>
    <x v="2"/>
    <x v="2"/>
    <x v="1"/>
    <n v="13506010000"/>
  </r>
  <r>
    <d v="2026-03-07T00:00:00"/>
    <x v="2"/>
    <x v="2"/>
    <x v="9"/>
    <x v="6"/>
    <x v="17"/>
    <x v="9"/>
    <x v="1"/>
    <n v="0"/>
  </r>
  <r>
    <d v="2026-03-07T00:00:00"/>
    <x v="2"/>
    <x v="2"/>
    <x v="9"/>
    <x v="6"/>
    <x v="20"/>
    <x v="9"/>
    <x v="1"/>
    <n v="0"/>
  </r>
  <r>
    <d v="2026-03-07T00:00:00"/>
    <x v="2"/>
    <x v="2"/>
    <x v="9"/>
    <x v="6"/>
    <x v="21"/>
    <x v="9"/>
    <x v="1"/>
    <n v="0"/>
  </r>
  <r>
    <d v="2026-03-07T00:00:00"/>
    <x v="2"/>
    <x v="2"/>
    <x v="9"/>
    <x v="6"/>
    <x v="25"/>
    <x v="2"/>
    <x v="1"/>
    <n v="0"/>
  </r>
  <r>
    <d v="2026-03-07T00:00:00"/>
    <x v="2"/>
    <x v="2"/>
    <x v="9"/>
    <x v="6"/>
    <x v="0"/>
    <x v="0"/>
    <x v="0"/>
    <n v="11672532000"/>
  </r>
  <r>
    <d v="2026-03-07T00:00:00"/>
    <x v="2"/>
    <x v="2"/>
    <x v="9"/>
    <x v="6"/>
    <x v="7"/>
    <x v="7"/>
    <x v="4"/>
    <n v="492328380"/>
  </r>
  <r>
    <d v="2026-03-07T00:00:00"/>
    <x v="2"/>
    <x v="2"/>
    <x v="9"/>
    <x v="6"/>
    <x v="1"/>
    <x v="1"/>
    <x v="1"/>
    <n v="24500000"/>
  </r>
  <r>
    <d v="2026-03-07T00:00:00"/>
    <x v="2"/>
    <x v="2"/>
    <x v="9"/>
    <x v="6"/>
    <x v="6"/>
    <x v="6"/>
    <x v="0"/>
    <n v="48000000"/>
  </r>
  <r>
    <d v="2026-03-07T00:00:00"/>
    <x v="2"/>
    <x v="2"/>
    <x v="9"/>
    <x v="6"/>
    <x v="18"/>
    <x v="15"/>
    <x v="1"/>
    <n v="785170000"/>
  </r>
  <r>
    <d v="2026-03-07T00:00:00"/>
    <x v="2"/>
    <x v="2"/>
    <x v="9"/>
    <x v="6"/>
    <x v="29"/>
    <x v="20"/>
    <x v="0"/>
    <n v="340956000"/>
  </r>
  <r>
    <d v="2026-03-07T00:00:00"/>
    <x v="2"/>
    <x v="2"/>
    <x v="9"/>
    <x v="6"/>
    <x v="19"/>
    <x v="12"/>
    <x v="4"/>
    <n v="1307798867"/>
  </r>
  <r>
    <d v="2026-03-07T00:00:00"/>
    <x v="2"/>
    <x v="2"/>
    <x v="9"/>
    <x v="6"/>
    <x v="24"/>
    <x v="18"/>
    <x v="1"/>
    <n v="2778100000"/>
  </r>
  <r>
    <d v="2026-03-07T00:00:00"/>
    <x v="2"/>
    <x v="2"/>
    <x v="9"/>
    <x v="6"/>
    <x v="30"/>
    <x v="21"/>
    <x v="0"/>
    <n v="210600000"/>
  </r>
  <r>
    <d v="2026-03-08T00:00:00"/>
    <x v="2"/>
    <x v="2"/>
    <x v="9"/>
    <x v="7"/>
    <x v="3"/>
    <x v="3"/>
    <x v="1"/>
    <n v="686850000"/>
  </r>
  <r>
    <d v="2026-03-08T00:00:00"/>
    <x v="2"/>
    <x v="2"/>
    <x v="9"/>
    <x v="7"/>
    <x v="11"/>
    <x v="10"/>
    <x v="4"/>
    <n v="550123381"/>
  </r>
  <r>
    <d v="2026-03-08T00:00:00"/>
    <x v="2"/>
    <x v="2"/>
    <x v="9"/>
    <x v="7"/>
    <x v="12"/>
    <x v="11"/>
    <x v="1"/>
    <n v="7785860000"/>
  </r>
  <r>
    <d v="2026-03-08T00:00:00"/>
    <x v="2"/>
    <x v="2"/>
    <x v="9"/>
    <x v="7"/>
    <x v="5"/>
    <x v="5"/>
    <x v="3"/>
    <n v="1514346309"/>
  </r>
  <r>
    <d v="2026-03-08T00:00:00"/>
    <x v="2"/>
    <x v="2"/>
    <x v="9"/>
    <x v="7"/>
    <x v="27"/>
    <x v="19"/>
    <x v="0"/>
    <n v="12004956000"/>
  </r>
  <r>
    <d v="2026-03-08T00:00:00"/>
    <x v="2"/>
    <x v="2"/>
    <x v="9"/>
    <x v="7"/>
    <x v="15"/>
    <x v="14"/>
    <x v="4"/>
    <n v="10952075"/>
  </r>
  <r>
    <d v="2026-03-08T00:00:00"/>
    <x v="2"/>
    <x v="2"/>
    <x v="9"/>
    <x v="7"/>
    <x v="31"/>
    <x v="22"/>
    <x v="1"/>
    <n v="90000000"/>
  </r>
  <r>
    <d v="2026-03-08T00:00:00"/>
    <x v="2"/>
    <x v="2"/>
    <x v="9"/>
    <x v="7"/>
    <x v="14"/>
    <x v="13"/>
    <x v="1"/>
    <n v="2365410000"/>
  </r>
  <r>
    <d v="2026-03-08T00:00:00"/>
    <x v="2"/>
    <x v="2"/>
    <x v="9"/>
    <x v="7"/>
    <x v="33"/>
    <x v="13"/>
    <x v="1"/>
    <n v="893500000"/>
  </r>
  <r>
    <d v="2026-03-08T00:00:00"/>
    <x v="2"/>
    <x v="2"/>
    <x v="9"/>
    <x v="7"/>
    <x v="23"/>
    <x v="17"/>
    <x v="4"/>
    <n v="15463949"/>
  </r>
  <r>
    <d v="2026-03-08T00:00:00"/>
    <x v="2"/>
    <x v="2"/>
    <x v="9"/>
    <x v="7"/>
    <x v="28"/>
    <x v="17"/>
    <x v="4"/>
    <n v="1880067689"/>
  </r>
  <r>
    <d v="2026-03-08T00:00:00"/>
    <x v="2"/>
    <x v="2"/>
    <x v="9"/>
    <x v="7"/>
    <x v="8"/>
    <x v="8"/>
    <x v="1"/>
    <n v="0"/>
  </r>
  <r>
    <d v="2026-03-08T00:00:00"/>
    <x v="2"/>
    <x v="2"/>
    <x v="9"/>
    <x v="7"/>
    <x v="26"/>
    <x v="16"/>
    <x v="1"/>
    <n v="0"/>
  </r>
  <r>
    <d v="2026-03-08T00:00:00"/>
    <x v="2"/>
    <x v="2"/>
    <x v="9"/>
    <x v="7"/>
    <x v="32"/>
    <x v="16"/>
    <x v="1"/>
    <n v="0"/>
  </r>
  <r>
    <d v="2026-03-08T00:00:00"/>
    <x v="2"/>
    <x v="2"/>
    <x v="9"/>
    <x v="7"/>
    <x v="2"/>
    <x v="2"/>
    <x v="1"/>
    <n v="13167390000"/>
  </r>
  <r>
    <d v="2026-03-08T00:00:00"/>
    <x v="2"/>
    <x v="2"/>
    <x v="9"/>
    <x v="7"/>
    <x v="17"/>
    <x v="9"/>
    <x v="1"/>
    <n v="0"/>
  </r>
  <r>
    <d v="2026-03-08T00:00:00"/>
    <x v="2"/>
    <x v="2"/>
    <x v="9"/>
    <x v="7"/>
    <x v="20"/>
    <x v="9"/>
    <x v="1"/>
    <n v="0"/>
  </r>
  <r>
    <d v="2026-03-08T00:00:00"/>
    <x v="2"/>
    <x v="2"/>
    <x v="9"/>
    <x v="7"/>
    <x v="21"/>
    <x v="9"/>
    <x v="1"/>
    <n v="0"/>
  </r>
  <r>
    <d v="2026-03-08T00:00:00"/>
    <x v="2"/>
    <x v="2"/>
    <x v="9"/>
    <x v="7"/>
    <x v="25"/>
    <x v="2"/>
    <x v="1"/>
    <n v="0"/>
  </r>
  <r>
    <d v="2026-03-08T00:00:00"/>
    <x v="2"/>
    <x v="2"/>
    <x v="9"/>
    <x v="7"/>
    <x v="0"/>
    <x v="0"/>
    <x v="0"/>
    <n v="10349424000"/>
  </r>
  <r>
    <d v="2026-03-08T00:00:00"/>
    <x v="2"/>
    <x v="2"/>
    <x v="9"/>
    <x v="7"/>
    <x v="7"/>
    <x v="7"/>
    <x v="4"/>
    <n v="322444910"/>
  </r>
  <r>
    <d v="2026-03-08T00:00:00"/>
    <x v="2"/>
    <x v="2"/>
    <x v="9"/>
    <x v="7"/>
    <x v="1"/>
    <x v="1"/>
    <x v="1"/>
    <n v="10000000"/>
  </r>
  <r>
    <d v="2026-03-08T00:00:00"/>
    <x v="2"/>
    <x v="2"/>
    <x v="9"/>
    <x v="7"/>
    <x v="6"/>
    <x v="6"/>
    <x v="0"/>
    <n v="55000000"/>
  </r>
  <r>
    <d v="2026-03-08T00:00:00"/>
    <x v="2"/>
    <x v="2"/>
    <x v="9"/>
    <x v="7"/>
    <x v="18"/>
    <x v="15"/>
    <x v="1"/>
    <n v="874430000"/>
  </r>
  <r>
    <d v="2026-03-08T00:00:00"/>
    <x v="2"/>
    <x v="2"/>
    <x v="9"/>
    <x v="7"/>
    <x v="29"/>
    <x v="20"/>
    <x v="0"/>
    <n v="328212000"/>
  </r>
  <r>
    <d v="2026-03-08T00:00:00"/>
    <x v="2"/>
    <x v="2"/>
    <x v="9"/>
    <x v="7"/>
    <x v="19"/>
    <x v="12"/>
    <x v="4"/>
    <n v="624902725"/>
  </r>
  <r>
    <d v="2026-03-08T00:00:00"/>
    <x v="2"/>
    <x v="2"/>
    <x v="9"/>
    <x v="7"/>
    <x v="24"/>
    <x v="18"/>
    <x v="1"/>
    <n v="2246390000"/>
  </r>
  <r>
    <d v="2026-03-08T00:00:00"/>
    <x v="2"/>
    <x v="2"/>
    <x v="9"/>
    <x v="7"/>
    <x v="30"/>
    <x v="21"/>
    <x v="0"/>
    <n v="264600000"/>
  </r>
  <r>
    <d v="2026-03-09T00:00:00"/>
    <x v="2"/>
    <x v="2"/>
    <x v="10"/>
    <x v="8"/>
    <x v="3"/>
    <x v="3"/>
    <x v="1"/>
    <n v="1005700000"/>
  </r>
  <r>
    <d v="2026-03-09T00:00:00"/>
    <x v="2"/>
    <x v="2"/>
    <x v="10"/>
    <x v="8"/>
    <x v="11"/>
    <x v="10"/>
    <x v="4"/>
    <n v="444974431"/>
  </r>
  <r>
    <d v="2026-03-09T00:00:00"/>
    <x v="2"/>
    <x v="2"/>
    <x v="10"/>
    <x v="8"/>
    <x v="12"/>
    <x v="11"/>
    <x v="1"/>
    <n v="11435820000"/>
  </r>
  <r>
    <d v="2026-03-09T00:00:00"/>
    <x v="2"/>
    <x v="2"/>
    <x v="10"/>
    <x v="8"/>
    <x v="5"/>
    <x v="5"/>
    <x v="3"/>
    <n v="2060454033"/>
  </r>
  <r>
    <d v="2026-03-09T00:00:00"/>
    <x v="2"/>
    <x v="2"/>
    <x v="10"/>
    <x v="8"/>
    <x v="27"/>
    <x v="19"/>
    <x v="0"/>
    <n v="13272768000"/>
  </r>
  <r>
    <d v="2026-03-09T00:00:00"/>
    <x v="2"/>
    <x v="2"/>
    <x v="10"/>
    <x v="8"/>
    <x v="15"/>
    <x v="14"/>
    <x v="4"/>
    <n v="19002826"/>
  </r>
  <r>
    <d v="2026-03-09T00:00:00"/>
    <x v="2"/>
    <x v="2"/>
    <x v="10"/>
    <x v="8"/>
    <x v="31"/>
    <x v="22"/>
    <x v="1"/>
    <n v="0"/>
  </r>
  <r>
    <d v="2026-03-09T00:00:00"/>
    <x v="2"/>
    <x v="2"/>
    <x v="10"/>
    <x v="8"/>
    <x v="14"/>
    <x v="13"/>
    <x v="1"/>
    <n v="2979040000"/>
  </r>
  <r>
    <d v="2026-03-09T00:00:00"/>
    <x v="2"/>
    <x v="2"/>
    <x v="10"/>
    <x v="8"/>
    <x v="33"/>
    <x v="13"/>
    <x v="1"/>
    <n v="994660000"/>
  </r>
  <r>
    <d v="2026-03-09T00:00:00"/>
    <x v="2"/>
    <x v="2"/>
    <x v="10"/>
    <x v="8"/>
    <x v="23"/>
    <x v="17"/>
    <x v="4"/>
    <n v="27289580"/>
  </r>
  <r>
    <d v="2026-03-09T00:00:00"/>
    <x v="2"/>
    <x v="2"/>
    <x v="10"/>
    <x v="8"/>
    <x v="28"/>
    <x v="17"/>
    <x v="4"/>
    <n v="1144625438"/>
  </r>
  <r>
    <d v="2026-03-09T00:00:00"/>
    <x v="2"/>
    <x v="2"/>
    <x v="10"/>
    <x v="8"/>
    <x v="8"/>
    <x v="8"/>
    <x v="1"/>
    <n v="0"/>
  </r>
  <r>
    <d v="2026-03-09T00:00:00"/>
    <x v="2"/>
    <x v="2"/>
    <x v="10"/>
    <x v="8"/>
    <x v="26"/>
    <x v="16"/>
    <x v="1"/>
    <n v="156000000"/>
  </r>
  <r>
    <d v="2026-03-09T00:00:00"/>
    <x v="2"/>
    <x v="2"/>
    <x v="10"/>
    <x v="8"/>
    <x v="32"/>
    <x v="16"/>
    <x v="1"/>
    <n v="81000000"/>
  </r>
  <r>
    <d v="2026-03-09T00:00:00"/>
    <x v="2"/>
    <x v="2"/>
    <x v="10"/>
    <x v="8"/>
    <x v="2"/>
    <x v="2"/>
    <x v="1"/>
    <n v="16470360000"/>
  </r>
  <r>
    <d v="2026-03-09T00:00:00"/>
    <x v="2"/>
    <x v="2"/>
    <x v="10"/>
    <x v="8"/>
    <x v="17"/>
    <x v="9"/>
    <x v="1"/>
    <n v="0"/>
  </r>
  <r>
    <d v="2026-03-09T00:00:00"/>
    <x v="2"/>
    <x v="2"/>
    <x v="10"/>
    <x v="8"/>
    <x v="20"/>
    <x v="9"/>
    <x v="1"/>
    <n v="0"/>
  </r>
  <r>
    <d v="2026-03-09T00:00:00"/>
    <x v="2"/>
    <x v="2"/>
    <x v="10"/>
    <x v="8"/>
    <x v="21"/>
    <x v="9"/>
    <x v="1"/>
    <n v="0"/>
  </r>
  <r>
    <d v="2026-03-09T00:00:00"/>
    <x v="2"/>
    <x v="2"/>
    <x v="10"/>
    <x v="8"/>
    <x v="25"/>
    <x v="2"/>
    <x v="1"/>
    <n v="0"/>
  </r>
  <r>
    <d v="2026-03-09T00:00:00"/>
    <x v="2"/>
    <x v="2"/>
    <x v="10"/>
    <x v="8"/>
    <x v="0"/>
    <x v="0"/>
    <x v="0"/>
    <n v="10891260000"/>
  </r>
  <r>
    <d v="2026-03-09T00:00:00"/>
    <x v="2"/>
    <x v="2"/>
    <x v="10"/>
    <x v="8"/>
    <x v="7"/>
    <x v="7"/>
    <x v="4"/>
    <n v="341293506"/>
  </r>
  <r>
    <d v="2026-03-09T00:00:00"/>
    <x v="2"/>
    <x v="2"/>
    <x v="10"/>
    <x v="8"/>
    <x v="1"/>
    <x v="1"/>
    <x v="1"/>
    <n v="21000000"/>
  </r>
  <r>
    <d v="2026-03-09T00:00:00"/>
    <x v="2"/>
    <x v="2"/>
    <x v="10"/>
    <x v="8"/>
    <x v="6"/>
    <x v="6"/>
    <x v="0"/>
    <n v="81000000"/>
  </r>
  <r>
    <d v="2026-03-09T00:00:00"/>
    <x v="2"/>
    <x v="2"/>
    <x v="10"/>
    <x v="8"/>
    <x v="18"/>
    <x v="15"/>
    <x v="1"/>
    <n v="944290000"/>
  </r>
  <r>
    <d v="2026-03-09T00:00:00"/>
    <x v="2"/>
    <x v="2"/>
    <x v="10"/>
    <x v="8"/>
    <x v="29"/>
    <x v="20"/>
    <x v="0"/>
    <n v="268920000"/>
  </r>
  <r>
    <d v="2026-03-09T00:00:00"/>
    <x v="2"/>
    <x v="2"/>
    <x v="10"/>
    <x v="8"/>
    <x v="19"/>
    <x v="12"/>
    <x v="4"/>
    <n v="580390160"/>
  </r>
  <r>
    <d v="2026-03-09T00:00:00"/>
    <x v="2"/>
    <x v="2"/>
    <x v="10"/>
    <x v="8"/>
    <x v="24"/>
    <x v="18"/>
    <x v="1"/>
    <n v="2689610000"/>
  </r>
  <r>
    <d v="2026-03-09T00:00:00"/>
    <x v="2"/>
    <x v="2"/>
    <x v="10"/>
    <x v="8"/>
    <x v="30"/>
    <x v="21"/>
    <x v="0"/>
    <n v="279720000"/>
  </r>
  <r>
    <d v="2026-03-10T00:00:00"/>
    <x v="2"/>
    <x v="2"/>
    <x v="10"/>
    <x v="9"/>
    <x v="3"/>
    <x v="3"/>
    <x v="1"/>
    <n v="1279400000"/>
  </r>
  <r>
    <d v="2026-03-10T00:00:00"/>
    <x v="2"/>
    <x v="2"/>
    <x v="10"/>
    <x v="9"/>
    <x v="11"/>
    <x v="10"/>
    <x v="4"/>
    <n v="377427314"/>
  </r>
  <r>
    <d v="2026-03-10T00:00:00"/>
    <x v="2"/>
    <x v="2"/>
    <x v="10"/>
    <x v="9"/>
    <x v="12"/>
    <x v="11"/>
    <x v="1"/>
    <n v="7659850000"/>
  </r>
  <r>
    <d v="2026-03-10T00:00:00"/>
    <x v="2"/>
    <x v="2"/>
    <x v="10"/>
    <x v="9"/>
    <x v="5"/>
    <x v="5"/>
    <x v="3"/>
    <n v="2025375445"/>
  </r>
  <r>
    <d v="2026-03-10T00:00:00"/>
    <x v="2"/>
    <x v="2"/>
    <x v="10"/>
    <x v="9"/>
    <x v="27"/>
    <x v="19"/>
    <x v="0"/>
    <n v="18105552000"/>
  </r>
  <r>
    <d v="2026-03-10T00:00:00"/>
    <x v="2"/>
    <x v="2"/>
    <x v="10"/>
    <x v="9"/>
    <x v="15"/>
    <x v="14"/>
    <x v="4"/>
    <n v="23264856"/>
  </r>
  <r>
    <d v="2026-03-10T00:00:00"/>
    <x v="2"/>
    <x v="2"/>
    <x v="10"/>
    <x v="9"/>
    <x v="31"/>
    <x v="22"/>
    <x v="1"/>
    <n v="90000000"/>
  </r>
  <r>
    <d v="2026-03-10T00:00:00"/>
    <x v="2"/>
    <x v="2"/>
    <x v="10"/>
    <x v="9"/>
    <x v="14"/>
    <x v="13"/>
    <x v="1"/>
    <n v="2601090000"/>
  </r>
  <r>
    <d v="2026-03-10T00:00:00"/>
    <x v="2"/>
    <x v="2"/>
    <x v="10"/>
    <x v="9"/>
    <x v="33"/>
    <x v="13"/>
    <x v="1"/>
    <n v="909560000"/>
  </r>
  <r>
    <d v="2026-03-10T00:00:00"/>
    <x v="2"/>
    <x v="2"/>
    <x v="10"/>
    <x v="9"/>
    <x v="23"/>
    <x v="17"/>
    <x v="4"/>
    <n v="28209071"/>
  </r>
  <r>
    <d v="2026-03-10T00:00:00"/>
    <x v="2"/>
    <x v="2"/>
    <x v="10"/>
    <x v="9"/>
    <x v="28"/>
    <x v="17"/>
    <x v="4"/>
    <n v="1378495798"/>
  </r>
  <r>
    <d v="2026-03-10T00:00:00"/>
    <x v="2"/>
    <x v="2"/>
    <x v="10"/>
    <x v="9"/>
    <x v="8"/>
    <x v="8"/>
    <x v="1"/>
    <n v="0"/>
  </r>
  <r>
    <d v="2026-03-10T00:00:00"/>
    <x v="2"/>
    <x v="2"/>
    <x v="10"/>
    <x v="9"/>
    <x v="26"/>
    <x v="16"/>
    <x v="1"/>
    <n v="124750000"/>
  </r>
  <r>
    <d v="2026-03-10T00:00:00"/>
    <x v="2"/>
    <x v="2"/>
    <x v="10"/>
    <x v="9"/>
    <x v="32"/>
    <x v="16"/>
    <x v="1"/>
    <n v="0"/>
  </r>
  <r>
    <d v="2026-03-10T00:00:00"/>
    <x v="2"/>
    <x v="2"/>
    <x v="10"/>
    <x v="9"/>
    <x v="2"/>
    <x v="2"/>
    <x v="1"/>
    <n v="17593010000"/>
  </r>
  <r>
    <d v="2026-03-10T00:00:00"/>
    <x v="2"/>
    <x v="2"/>
    <x v="10"/>
    <x v="9"/>
    <x v="17"/>
    <x v="9"/>
    <x v="1"/>
    <n v="0"/>
  </r>
  <r>
    <d v="2026-03-10T00:00:00"/>
    <x v="2"/>
    <x v="2"/>
    <x v="10"/>
    <x v="9"/>
    <x v="20"/>
    <x v="9"/>
    <x v="1"/>
    <n v="0"/>
  </r>
  <r>
    <d v="2026-03-10T00:00:00"/>
    <x v="2"/>
    <x v="2"/>
    <x v="10"/>
    <x v="9"/>
    <x v="21"/>
    <x v="9"/>
    <x v="1"/>
    <n v="0"/>
  </r>
  <r>
    <d v="2026-03-10T00:00:00"/>
    <x v="2"/>
    <x v="2"/>
    <x v="10"/>
    <x v="9"/>
    <x v="25"/>
    <x v="2"/>
    <x v="1"/>
    <n v="0"/>
  </r>
  <r>
    <d v="2026-03-10T00:00:00"/>
    <x v="2"/>
    <x v="2"/>
    <x v="10"/>
    <x v="9"/>
    <x v="0"/>
    <x v="0"/>
    <x v="0"/>
    <n v="17252460000"/>
  </r>
  <r>
    <d v="2026-03-10T00:00:00"/>
    <x v="2"/>
    <x v="2"/>
    <x v="10"/>
    <x v="9"/>
    <x v="7"/>
    <x v="7"/>
    <x v="4"/>
    <n v="287490745"/>
  </r>
  <r>
    <d v="2026-03-10T00:00:00"/>
    <x v="2"/>
    <x v="2"/>
    <x v="10"/>
    <x v="9"/>
    <x v="1"/>
    <x v="1"/>
    <x v="1"/>
    <n v="36750000"/>
  </r>
  <r>
    <d v="2026-03-10T00:00:00"/>
    <x v="2"/>
    <x v="2"/>
    <x v="10"/>
    <x v="9"/>
    <x v="6"/>
    <x v="6"/>
    <x v="0"/>
    <n v="55000000"/>
  </r>
  <r>
    <d v="2026-03-10T00:00:00"/>
    <x v="2"/>
    <x v="2"/>
    <x v="10"/>
    <x v="9"/>
    <x v="18"/>
    <x v="15"/>
    <x v="1"/>
    <n v="1053210000"/>
  </r>
  <r>
    <d v="2026-03-10T00:00:00"/>
    <x v="2"/>
    <x v="2"/>
    <x v="10"/>
    <x v="9"/>
    <x v="29"/>
    <x v="20"/>
    <x v="0"/>
    <n v="430596000"/>
  </r>
  <r>
    <d v="2026-03-10T00:00:00"/>
    <x v="2"/>
    <x v="2"/>
    <x v="10"/>
    <x v="9"/>
    <x v="19"/>
    <x v="12"/>
    <x v="4"/>
    <n v="529054519"/>
  </r>
  <r>
    <d v="2026-03-10T00:00:00"/>
    <x v="2"/>
    <x v="2"/>
    <x v="10"/>
    <x v="9"/>
    <x v="24"/>
    <x v="18"/>
    <x v="1"/>
    <n v="3004280000"/>
  </r>
  <r>
    <d v="2026-03-10T00:00:00"/>
    <x v="2"/>
    <x v="2"/>
    <x v="10"/>
    <x v="9"/>
    <x v="30"/>
    <x v="21"/>
    <x v="0"/>
    <n v="297000000"/>
  </r>
  <r>
    <d v="2026-03-11T00:00:00"/>
    <x v="2"/>
    <x v="2"/>
    <x v="10"/>
    <x v="10"/>
    <x v="3"/>
    <x v="3"/>
    <x v="1"/>
    <n v="849100000"/>
  </r>
  <r>
    <d v="2026-03-11T00:00:00"/>
    <x v="2"/>
    <x v="2"/>
    <x v="10"/>
    <x v="10"/>
    <x v="11"/>
    <x v="10"/>
    <x v="4"/>
    <n v="315493673"/>
  </r>
  <r>
    <d v="2026-03-11T00:00:00"/>
    <x v="2"/>
    <x v="2"/>
    <x v="10"/>
    <x v="10"/>
    <x v="12"/>
    <x v="11"/>
    <x v="1"/>
    <n v="6733330000"/>
  </r>
  <r>
    <d v="2026-03-11T00:00:00"/>
    <x v="2"/>
    <x v="2"/>
    <x v="10"/>
    <x v="10"/>
    <x v="5"/>
    <x v="5"/>
    <x v="3"/>
    <n v="1633382328"/>
  </r>
  <r>
    <d v="2026-03-11T00:00:00"/>
    <x v="2"/>
    <x v="2"/>
    <x v="10"/>
    <x v="10"/>
    <x v="27"/>
    <x v="19"/>
    <x v="0"/>
    <n v="14773644000"/>
  </r>
  <r>
    <d v="2026-03-11T00:00:00"/>
    <x v="2"/>
    <x v="2"/>
    <x v="10"/>
    <x v="10"/>
    <x v="15"/>
    <x v="14"/>
    <x v="4"/>
    <n v="15972375"/>
  </r>
  <r>
    <d v="2026-03-11T00:00:00"/>
    <x v="2"/>
    <x v="2"/>
    <x v="10"/>
    <x v="10"/>
    <x v="31"/>
    <x v="22"/>
    <x v="1"/>
    <n v="90000000"/>
  </r>
  <r>
    <d v="2026-03-11T00:00:00"/>
    <x v="2"/>
    <x v="2"/>
    <x v="10"/>
    <x v="10"/>
    <x v="14"/>
    <x v="13"/>
    <x v="1"/>
    <n v="2780660000"/>
  </r>
  <r>
    <d v="2026-03-11T00:00:00"/>
    <x v="2"/>
    <x v="2"/>
    <x v="10"/>
    <x v="10"/>
    <x v="33"/>
    <x v="13"/>
    <x v="1"/>
    <n v="1063850000"/>
  </r>
  <r>
    <d v="2026-03-11T00:00:00"/>
    <x v="2"/>
    <x v="2"/>
    <x v="10"/>
    <x v="10"/>
    <x v="23"/>
    <x v="17"/>
    <x v="4"/>
    <n v="8023750"/>
  </r>
  <r>
    <d v="2026-03-11T00:00:00"/>
    <x v="2"/>
    <x v="2"/>
    <x v="10"/>
    <x v="10"/>
    <x v="28"/>
    <x v="17"/>
    <x v="4"/>
    <n v="1002477433"/>
  </r>
  <r>
    <d v="2026-03-11T00:00:00"/>
    <x v="2"/>
    <x v="2"/>
    <x v="10"/>
    <x v="10"/>
    <x v="8"/>
    <x v="8"/>
    <x v="1"/>
    <n v="0"/>
  </r>
  <r>
    <d v="2026-03-11T00:00:00"/>
    <x v="2"/>
    <x v="2"/>
    <x v="10"/>
    <x v="10"/>
    <x v="26"/>
    <x v="16"/>
    <x v="1"/>
    <n v="57000000"/>
  </r>
  <r>
    <d v="2026-03-11T00:00:00"/>
    <x v="2"/>
    <x v="2"/>
    <x v="10"/>
    <x v="10"/>
    <x v="32"/>
    <x v="16"/>
    <x v="1"/>
    <n v="0"/>
  </r>
  <r>
    <d v="2026-03-11T00:00:00"/>
    <x v="2"/>
    <x v="2"/>
    <x v="10"/>
    <x v="10"/>
    <x v="2"/>
    <x v="2"/>
    <x v="1"/>
    <n v="17138770000"/>
  </r>
  <r>
    <d v="2026-03-11T00:00:00"/>
    <x v="2"/>
    <x v="2"/>
    <x v="10"/>
    <x v="10"/>
    <x v="17"/>
    <x v="9"/>
    <x v="1"/>
    <n v="0"/>
  </r>
  <r>
    <d v="2026-03-11T00:00:00"/>
    <x v="2"/>
    <x v="2"/>
    <x v="10"/>
    <x v="10"/>
    <x v="20"/>
    <x v="9"/>
    <x v="1"/>
    <n v="0"/>
  </r>
  <r>
    <d v="2026-03-11T00:00:00"/>
    <x v="2"/>
    <x v="2"/>
    <x v="10"/>
    <x v="10"/>
    <x v="21"/>
    <x v="9"/>
    <x v="1"/>
    <n v="0"/>
  </r>
  <r>
    <d v="2026-03-11T00:00:00"/>
    <x v="2"/>
    <x v="2"/>
    <x v="10"/>
    <x v="10"/>
    <x v="25"/>
    <x v="2"/>
    <x v="1"/>
    <n v="0"/>
  </r>
  <r>
    <d v="2026-03-11T00:00:00"/>
    <x v="2"/>
    <x v="2"/>
    <x v="10"/>
    <x v="10"/>
    <x v="0"/>
    <x v="0"/>
    <x v="0"/>
    <n v="13339728000"/>
  </r>
  <r>
    <d v="2026-03-11T00:00:00"/>
    <x v="2"/>
    <x v="2"/>
    <x v="10"/>
    <x v="10"/>
    <x v="7"/>
    <x v="7"/>
    <x v="4"/>
    <n v="242495696"/>
  </r>
  <r>
    <d v="2026-03-11T00:00:00"/>
    <x v="2"/>
    <x v="2"/>
    <x v="10"/>
    <x v="10"/>
    <x v="1"/>
    <x v="1"/>
    <x v="1"/>
    <n v="20000000"/>
  </r>
  <r>
    <d v="2026-03-11T00:00:00"/>
    <x v="2"/>
    <x v="2"/>
    <x v="10"/>
    <x v="10"/>
    <x v="6"/>
    <x v="6"/>
    <x v="0"/>
    <n v="44000000"/>
  </r>
  <r>
    <d v="2026-03-11T00:00:00"/>
    <x v="2"/>
    <x v="2"/>
    <x v="10"/>
    <x v="10"/>
    <x v="18"/>
    <x v="15"/>
    <x v="1"/>
    <n v="621770000"/>
  </r>
  <r>
    <d v="2026-03-11T00:00:00"/>
    <x v="2"/>
    <x v="2"/>
    <x v="10"/>
    <x v="10"/>
    <x v="29"/>
    <x v="20"/>
    <x v="0"/>
    <n v="347004000"/>
  </r>
  <r>
    <d v="2026-03-11T00:00:00"/>
    <x v="2"/>
    <x v="2"/>
    <x v="10"/>
    <x v="10"/>
    <x v="19"/>
    <x v="12"/>
    <x v="4"/>
    <n v="399203922"/>
  </r>
  <r>
    <d v="2026-03-11T00:00:00"/>
    <x v="2"/>
    <x v="2"/>
    <x v="10"/>
    <x v="10"/>
    <x v="24"/>
    <x v="18"/>
    <x v="1"/>
    <n v="2524010000"/>
  </r>
  <r>
    <d v="2026-03-11T00:00:00"/>
    <x v="2"/>
    <x v="2"/>
    <x v="10"/>
    <x v="10"/>
    <x v="30"/>
    <x v="21"/>
    <x v="0"/>
    <n v="287280000"/>
  </r>
  <r>
    <d v="2026-03-12T00:00:00"/>
    <x v="2"/>
    <x v="2"/>
    <x v="10"/>
    <x v="11"/>
    <x v="3"/>
    <x v="3"/>
    <x v="1"/>
    <n v="799790000"/>
  </r>
  <r>
    <d v="2026-03-12T00:00:00"/>
    <x v="2"/>
    <x v="2"/>
    <x v="10"/>
    <x v="11"/>
    <x v="11"/>
    <x v="10"/>
    <x v="4"/>
    <n v="331407688"/>
  </r>
  <r>
    <d v="2026-03-12T00:00:00"/>
    <x v="2"/>
    <x v="2"/>
    <x v="10"/>
    <x v="11"/>
    <x v="12"/>
    <x v="11"/>
    <x v="1"/>
    <n v="8530410000"/>
  </r>
  <r>
    <d v="2026-03-12T00:00:00"/>
    <x v="2"/>
    <x v="2"/>
    <x v="10"/>
    <x v="11"/>
    <x v="5"/>
    <x v="5"/>
    <x v="3"/>
    <n v="1530565656"/>
  </r>
  <r>
    <d v="2026-03-12T00:00:00"/>
    <x v="2"/>
    <x v="2"/>
    <x v="10"/>
    <x v="11"/>
    <x v="27"/>
    <x v="19"/>
    <x v="0"/>
    <n v="13646988000"/>
  </r>
  <r>
    <d v="2026-03-12T00:00:00"/>
    <x v="2"/>
    <x v="2"/>
    <x v="10"/>
    <x v="11"/>
    <x v="15"/>
    <x v="14"/>
    <x v="4"/>
    <n v="9304549"/>
  </r>
  <r>
    <d v="2026-03-12T00:00:00"/>
    <x v="2"/>
    <x v="2"/>
    <x v="10"/>
    <x v="11"/>
    <x v="31"/>
    <x v="22"/>
    <x v="1"/>
    <n v="0"/>
  </r>
  <r>
    <d v="2026-03-12T00:00:00"/>
    <x v="2"/>
    <x v="2"/>
    <x v="10"/>
    <x v="11"/>
    <x v="14"/>
    <x v="13"/>
    <x v="1"/>
    <n v="2922300000"/>
  </r>
  <r>
    <d v="2026-03-12T00:00:00"/>
    <x v="2"/>
    <x v="2"/>
    <x v="10"/>
    <x v="11"/>
    <x v="33"/>
    <x v="13"/>
    <x v="1"/>
    <n v="1472490000"/>
  </r>
  <r>
    <d v="2026-03-12T00:00:00"/>
    <x v="2"/>
    <x v="2"/>
    <x v="10"/>
    <x v="11"/>
    <x v="23"/>
    <x v="17"/>
    <x v="4"/>
    <n v="0"/>
  </r>
  <r>
    <d v="2026-03-12T00:00:00"/>
    <x v="2"/>
    <x v="2"/>
    <x v="10"/>
    <x v="11"/>
    <x v="28"/>
    <x v="17"/>
    <x v="4"/>
    <n v="1072016424"/>
  </r>
  <r>
    <d v="2026-03-12T00:00:00"/>
    <x v="2"/>
    <x v="2"/>
    <x v="10"/>
    <x v="11"/>
    <x v="8"/>
    <x v="8"/>
    <x v="1"/>
    <n v="0"/>
  </r>
  <r>
    <d v="2026-03-12T00:00:00"/>
    <x v="2"/>
    <x v="2"/>
    <x v="10"/>
    <x v="11"/>
    <x v="26"/>
    <x v="16"/>
    <x v="1"/>
    <n v="84850000"/>
  </r>
  <r>
    <d v="2026-03-12T00:00:00"/>
    <x v="2"/>
    <x v="2"/>
    <x v="10"/>
    <x v="11"/>
    <x v="32"/>
    <x v="16"/>
    <x v="1"/>
    <n v="56000000"/>
  </r>
  <r>
    <d v="2026-03-12T00:00:00"/>
    <x v="2"/>
    <x v="2"/>
    <x v="10"/>
    <x v="11"/>
    <x v="2"/>
    <x v="2"/>
    <x v="1"/>
    <n v="15967630000"/>
  </r>
  <r>
    <d v="2026-03-12T00:00:00"/>
    <x v="2"/>
    <x v="2"/>
    <x v="10"/>
    <x v="11"/>
    <x v="17"/>
    <x v="9"/>
    <x v="1"/>
    <n v="0"/>
  </r>
  <r>
    <d v="2026-03-12T00:00:00"/>
    <x v="2"/>
    <x v="2"/>
    <x v="10"/>
    <x v="11"/>
    <x v="20"/>
    <x v="9"/>
    <x v="1"/>
    <n v="0"/>
  </r>
  <r>
    <d v="2026-03-12T00:00:00"/>
    <x v="2"/>
    <x v="2"/>
    <x v="10"/>
    <x v="11"/>
    <x v="21"/>
    <x v="9"/>
    <x v="1"/>
    <n v="0"/>
  </r>
  <r>
    <d v="2026-03-12T00:00:00"/>
    <x v="2"/>
    <x v="2"/>
    <x v="10"/>
    <x v="11"/>
    <x v="25"/>
    <x v="2"/>
    <x v="1"/>
    <n v="0"/>
  </r>
  <r>
    <d v="2026-03-12T00:00:00"/>
    <x v="2"/>
    <x v="2"/>
    <x v="10"/>
    <x v="11"/>
    <x v="0"/>
    <x v="0"/>
    <x v="0"/>
    <n v="12603276000"/>
  </r>
  <r>
    <d v="2026-03-12T00:00:00"/>
    <x v="2"/>
    <x v="2"/>
    <x v="10"/>
    <x v="11"/>
    <x v="7"/>
    <x v="7"/>
    <x v="4"/>
    <n v="245991061"/>
  </r>
  <r>
    <d v="2026-03-12T00:00:00"/>
    <x v="2"/>
    <x v="2"/>
    <x v="10"/>
    <x v="11"/>
    <x v="1"/>
    <x v="1"/>
    <x v="1"/>
    <n v="0"/>
  </r>
  <r>
    <d v="2026-03-12T00:00:00"/>
    <x v="2"/>
    <x v="2"/>
    <x v="10"/>
    <x v="11"/>
    <x v="6"/>
    <x v="6"/>
    <x v="0"/>
    <n v="44000000"/>
  </r>
  <r>
    <d v="2026-03-12T00:00:00"/>
    <x v="2"/>
    <x v="2"/>
    <x v="10"/>
    <x v="11"/>
    <x v="18"/>
    <x v="15"/>
    <x v="1"/>
    <n v="959840000"/>
  </r>
  <r>
    <d v="2026-03-12T00:00:00"/>
    <x v="2"/>
    <x v="2"/>
    <x v="10"/>
    <x v="11"/>
    <x v="29"/>
    <x v="20"/>
    <x v="0"/>
    <n v="373140000"/>
  </r>
  <r>
    <d v="2026-03-12T00:00:00"/>
    <x v="2"/>
    <x v="2"/>
    <x v="10"/>
    <x v="11"/>
    <x v="19"/>
    <x v="12"/>
    <x v="4"/>
    <n v="390819785"/>
  </r>
  <r>
    <d v="2026-03-12T00:00:00"/>
    <x v="2"/>
    <x v="2"/>
    <x v="10"/>
    <x v="11"/>
    <x v="24"/>
    <x v="18"/>
    <x v="1"/>
    <n v="2351920000"/>
  </r>
  <r>
    <d v="2026-03-12T00:00:00"/>
    <x v="2"/>
    <x v="2"/>
    <x v="10"/>
    <x v="11"/>
    <x v="30"/>
    <x v="21"/>
    <x v="0"/>
    <n v="261360000"/>
  </r>
  <r>
    <d v="2026-03-13T00:00:00"/>
    <x v="2"/>
    <x v="2"/>
    <x v="10"/>
    <x v="12"/>
    <x v="3"/>
    <x v="3"/>
    <x v="1"/>
    <n v="793730000"/>
  </r>
  <r>
    <d v="2026-03-13T00:00:00"/>
    <x v="2"/>
    <x v="2"/>
    <x v="10"/>
    <x v="12"/>
    <x v="11"/>
    <x v="10"/>
    <x v="4"/>
    <n v="356146497"/>
  </r>
  <r>
    <d v="2026-03-13T00:00:00"/>
    <x v="2"/>
    <x v="2"/>
    <x v="10"/>
    <x v="12"/>
    <x v="12"/>
    <x v="11"/>
    <x v="1"/>
    <n v="8666460000"/>
  </r>
  <r>
    <d v="2026-03-13T00:00:00"/>
    <x v="2"/>
    <x v="2"/>
    <x v="10"/>
    <x v="12"/>
    <x v="5"/>
    <x v="5"/>
    <x v="3"/>
    <n v="1514794635"/>
  </r>
  <r>
    <d v="2026-03-13T00:00:00"/>
    <x v="2"/>
    <x v="2"/>
    <x v="10"/>
    <x v="12"/>
    <x v="27"/>
    <x v="19"/>
    <x v="0"/>
    <n v="13784580000"/>
  </r>
  <r>
    <d v="2026-03-13T00:00:00"/>
    <x v="2"/>
    <x v="2"/>
    <x v="10"/>
    <x v="12"/>
    <x v="15"/>
    <x v="14"/>
    <x v="4"/>
    <n v="5687443"/>
  </r>
  <r>
    <d v="2026-03-13T00:00:00"/>
    <x v="2"/>
    <x v="2"/>
    <x v="10"/>
    <x v="12"/>
    <x v="31"/>
    <x v="22"/>
    <x v="1"/>
    <n v="0"/>
  </r>
  <r>
    <d v="2026-03-13T00:00:00"/>
    <x v="2"/>
    <x v="2"/>
    <x v="10"/>
    <x v="12"/>
    <x v="14"/>
    <x v="13"/>
    <x v="1"/>
    <n v="2284260000"/>
  </r>
  <r>
    <d v="2026-03-13T00:00:00"/>
    <x v="2"/>
    <x v="2"/>
    <x v="10"/>
    <x v="12"/>
    <x v="33"/>
    <x v="13"/>
    <x v="1"/>
    <n v="1217500000"/>
  </r>
  <r>
    <d v="2026-03-13T00:00:00"/>
    <x v="2"/>
    <x v="2"/>
    <x v="10"/>
    <x v="12"/>
    <x v="23"/>
    <x v="17"/>
    <x v="4"/>
    <n v="10468258"/>
  </r>
  <r>
    <d v="2026-03-13T00:00:00"/>
    <x v="2"/>
    <x v="2"/>
    <x v="10"/>
    <x v="12"/>
    <x v="28"/>
    <x v="17"/>
    <x v="4"/>
    <n v="1261795830"/>
  </r>
  <r>
    <d v="2026-03-13T00:00:00"/>
    <x v="2"/>
    <x v="2"/>
    <x v="10"/>
    <x v="12"/>
    <x v="8"/>
    <x v="8"/>
    <x v="1"/>
    <n v="0"/>
  </r>
  <r>
    <d v="2026-03-13T00:00:00"/>
    <x v="2"/>
    <x v="2"/>
    <x v="10"/>
    <x v="12"/>
    <x v="26"/>
    <x v="16"/>
    <x v="1"/>
    <n v="67750000"/>
  </r>
  <r>
    <d v="2026-03-13T00:00:00"/>
    <x v="2"/>
    <x v="2"/>
    <x v="10"/>
    <x v="12"/>
    <x v="32"/>
    <x v="16"/>
    <x v="1"/>
    <n v="32000000"/>
  </r>
  <r>
    <d v="2026-03-13T00:00:00"/>
    <x v="2"/>
    <x v="2"/>
    <x v="10"/>
    <x v="12"/>
    <x v="2"/>
    <x v="2"/>
    <x v="1"/>
    <n v="17298350000"/>
  </r>
  <r>
    <d v="2026-03-13T00:00:00"/>
    <x v="2"/>
    <x v="2"/>
    <x v="10"/>
    <x v="12"/>
    <x v="17"/>
    <x v="9"/>
    <x v="1"/>
    <n v="0"/>
  </r>
  <r>
    <d v="2026-03-13T00:00:00"/>
    <x v="2"/>
    <x v="2"/>
    <x v="10"/>
    <x v="12"/>
    <x v="20"/>
    <x v="9"/>
    <x v="1"/>
    <n v="0"/>
  </r>
  <r>
    <d v="2026-03-13T00:00:00"/>
    <x v="2"/>
    <x v="2"/>
    <x v="10"/>
    <x v="12"/>
    <x v="21"/>
    <x v="9"/>
    <x v="1"/>
    <n v="0"/>
  </r>
  <r>
    <d v="2026-03-13T00:00:00"/>
    <x v="2"/>
    <x v="2"/>
    <x v="10"/>
    <x v="12"/>
    <x v="25"/>
    <x v="2"/>
    <x v="1"/>
    <n v="0"/>
  </r>
  <r>
    <d v="2026-03-13T00:00:00"/>
    <x v="2"/>
    <x v="2"/>
    <x v="10"/>
    <x v="12"/>
    <x v="0"/>
    <x v="0"/>
    <x v="0"/>
    <n v="13376124000"/>
  </r>
  <r>
    <d v="2026-03-13T00:00:00"/>
    <x v="2"/>
    <x v="2"/>
    <x v="10"/>
    <x v="12"/>
    <x v="7"/>
    <x v="7"/>
    <x v="4"/>
    <n v="178610788"/>
  </r>
  <r>
    <d v="2026-03-13T00:00:00"/>
    <x v="2"/>
    <x v="2"/>
    <x v="10"/>
    <x v="12"/>
    <x v="1"/>
    <x v="1"/>
    <x v="1"/>
    <n v="21000000"/>
  </r>
  <r>
    <d v="2026-03-13T00:00:00"/>
    <x v="2"/>
    <x v="2"/>
    <x v="10"/>
    <x v="12"/>
    <x v="6"/>
    <x v="6"/>
    <x v="0"/>
    <n v="15000000"/>
  </r>
  <r>
    <d v="2026-03-13T00:00:00"/>
    <x v="2"/>
    <x v="2"/>
    <x v="10"/>
    <x v="12"/>
    <x v="18"/>
    <x v="15"/>
    <x v="1"/>
    <n v="685640000"/>
  </r>
  <r>
    <d v="2026-03-13T00:00:00"/>
    <x v="2"/>
    <x v="2"/>
    <x v="10"/>
    <x v="12"/>
    <x v="29"/>
    <x v="20"/>
    <x v="0"/>
    <n v="327564000"/>
  </r>
  <r>
    <d v="2026-03-13T00:00:00"/>
    <x v="2"/>
    <x v="2"/>
    <x v="10"/>
    <x v="12"/>
    <x v="19"/>
    <x v="12"/>
    <x v="4"/>
    <n v="301348104"/>
  </r>
  <r>
    <d v="2026-03-13T00:00:00"/>
    <x v="2"/>
    <x v="2"/>
    <x v="10"/>
    <x v="12"/>
    <x v="24"/>
    <x v="18"/>
    <x v="1"/>
    <n v="3044990000"/>
  </r>
  <r>
    <d v="2026-03-13T00:00:00"/>
    <x v="2"/>
    <x v="2"/>
    <x v="10"/>
    <x v="12"/>
    <x v="30"/>
    <x v="21"/>
    <x v="0"/>
    <n v="251640000"/>
  </r>
  <r>
    <d v="2026-03-14T00:00:00"/>
    <x v="2"/>
    <x v="2"/>
    <x v="10"/>
    <x v="13"/>
    <x v="3"/>
    <x v="3"/>
    <x v="1"/>
    <n v="803580000"/>
  </r>
  <r>
    <d v="2026-03-14T00:00:00"/>
    <x v="2"/>
    <x v="2"/>
    <x v="10"/>
    <x v="13"/>
    <x v="11"/>
    <x v="10"/>
    <x v="4"/>
    <n v="327651632"/>
  </r>
  <r>
    <d v="2026-03-14T00:00:00"/>
    <x v="2"/>
    <x v="2"/>
    <x v="10"/>
    <x v="13"/>
    <x v="12"/>
    <x v="11"/>
    <x v="1"/>
    <n v="8204550000"/>
  </r>
  <r>
    <d v="2026-03-14T00:00:00"/>
    <x v="2"/>
    <x v="2"/>
    <x v="10"/>
    <x v="13"/>
    <x v="5"/>
    <x v="5"/>
    <x v="3"/>
    <n v="1385447749"/>
  </r>
  <r>
    <d v="2026-03-14T00:00:00"/>
    <x v="2"/>
    <x v="2"/>
    <x v="10"/>
    <x v="13"/>
    <x v="27"/>
    <x v="19"/>
    <x v="0"/>
    <n v="12531564000"/>
  </r>
  <r>
    <d v="2026-03-14T00:00:00"/>
    <x v="2"/>
    <x v="2"/>
    <x v="10"/>
    <x v="13"/>
    <x v="15"/>
    <x v="14"/>
    <x v="4"/>
    <n v="4988697"/>
  </r>
  <r>
    <d v="2026-03-14T00:00:00"/>
    <x v="2"/>
    <x v="2"/>
    <x v="10"/>
    <x v="13"/>
    <x v="31"/>
    <x v="22"/>
    <x v="1"/>
    <n v="90000000"/>
  </r>
  <r>
    <d v="2026-03-14T00:00:00"/>
    <x v="2"/>
    <x v="2"/>
    <x v="10"/>
    <x v="13"/>
    <x v="14"/>
    <x v="13"/>
    <x v="1"/>
    <n v="2378780000"/>
  </r>
  <r>
    <d v="2026-03-14T00:00:00"/>
    <x v="2"/>
    <x v="2"/>
    <x v="10"/>
    <x v="13"/>
    <x v="33"/>
    <x v="13"/>
    <x v="1"/>
    <n v="1039980000"/>
  </r>
  <r>
    <d v="2026-03-14T00:00:00"/>
    <x v="2"/>
    <x v="2"/>
    <x v="10"/>
    <x v="13"/>
    <x v="23"/>
    <x v="17"/>
    <x v="4"/>
    <n v="2443938"/>
  </r>
  <r>
    <d v="2026-03-14T00:00:00"/>
    <x v="2"/>
    <x v="2"/>
    <x v="10"/>
    <x v="13"/>
    <x v="28"/>
    <x v="17"/>
    <x v="4"/>
    <n v="1473294906"/>
  </r>
  <r>
    <d v="2026-03-14T00:00:00"/>
    <x v="2"/>
    <x v="2"/>
    <x v="10"/>
    <x v="13"/>
    <x v="8"/>
    <x v="8"/>
    <x v="1"/>
    <n v="0"/>
  </r>
  <r>
    <d v="2026-03-14T00:00:00"/>
    <x v="2"/>
    <x v="2"/>
    <x v="10"/>
    <x v="13"/>
    <x v="26"/>
    <x v="16"/>
    <x v="1"/>
    <n v="15750000"/>
  </r>
  <r>
    <d v="2026-03-14T00:00:00"/>
    <x v="2"/>
    <x v="2"/>
    <x v="10"/>
    <x v="13"/>
    <x v="32"/>
    <x v="16"/>
    <x v="1"/>
    <n v="0"/>
  </r>
  <r>
    <d v="2026-03-14T00:00:00"/>
    <x v="2"/>
    <x v="2"/>
    <x v="10"/>
    <x v="13"/>
    <x v="2"/>
    <x v="2"/>
    <x v="1"/>
    <n v="16076280000"/>
  </r>
  <r>
    <d v="2026-03-14T00:00:00"/>
    <x v="2"/>
    <x v="2"/>
    <x v="10"/>
    <x v="13"/>
    <x v="17"/>
    <x v="9"/>
    <x v="1"/>
    <n v="0"/>
  </r>
  <r>
    <d v="2026-03-14T00:00:00"/>
    <x v="2"/>
    <x v="2"/>
    <x v="10"/>
    <x v="13"/>
    <x v="20"/>
    <x v="9"/>
    <x v="1"/>
    <n v="0"/>
  </r>
  <r>
    <d v="2026-03-14T00:00:00"/>
    <x v="2"/>
    <x v="2"/>
    <x v="10"/>
    <x v="13"/>
    <x v="21"/>
    <x v="9"/>
    <x v="1"/>
    <n v="0"/>
  </r>
  <r>
    <d v="2026-03-14T00:00:00"/>
    <x v="2"/>
    <x v="2"/>
    <x v="10"/>
    <x v="13"/>
    <x v="25"/>
    <x v="2"/>
    <x v="1"/>
    <n v="0"/>
  </r>
  <r>
    <d v="2026-03-14T00:00:00"/>
    <x v="2"/>
    <x v="2"/>
    <x v="10"/>
    <x v="13"/>
    <x v="0"/>
    <x v="0"/>
    <x v="0"/>
    <n v="12209184000"/>
  </r>
  <r>
    <d v="2026-03-14T00:00:00"/>
    <x v="2"/>
    <x v="2"/>
    <x v="10"/>
    <x v="13"/>
    <x v="7"/>
    <x v="7"/>
    <x v="4"/>
    <n v="155508526"/>
  </r>
  <r>
    <d v="2026-03-14T00:00:00"/>
    <x v="2"/>
    <x v="2"/>
    <x v="10"/>
    <x v="13"/>
    <x v="1"/>
    <x v="1"/>
    <x v="1"/>
    <n v="25750000"/>
  </r>
  <r>
    <d v="2026-03-14T00:00:00"/>
    <x v="2"/>
    <x v="2"/>
    <x v="10"/>
    <x v="13"/>
    <x v="6"/>
    <x v="6"/>
    <x v="0"/>
    <n v="31000000"/>
  </r>
  <r>
    <d v="2026-03-14T00:00:00"/>
    <x v="2"/>
    <x v="2"/>
    <x v="10"/>
    <x v="13"/>
    <x v="18"/>
    <x v="15"/>
    <x v="1"/>
    <n v="827810000"/>
  </r>
  <r>
    <d v="2026-03-14T00:00:00"/>
    <x v="2"/>
    <x v="2"/>
    <x v="10"/>
    <x v="13"/>
    <x v="29"/>
    <x v="20"/>
    <x v="0"/>
    <n v="232848000"/>
  </r>
  <r>
    <d v="2026-03-14T00:00:00"/>
    <x v="2"/>
    <x v="2"/>
    <x v="10"/>
    <x v="13"/>
    <x v="19"/>
    <x v="12"/>
    <x v="4"/>
    <n v="260285273"/>
  </r>
  <r>
    <d v="2026-03-14T00:00:00"/>
    <x v="2"/>
    <x v="2"/>
    <x v="10"/>
    <x v="13"/>
    <x v="24"/>
    <x v="18"/>
    <x v="1"/>
    <n v="2484080000"/>
  </r>
  <r>
    <d v="2026-03-14T00:00:00"/>
    <x v="2"/>
    <x v="2"/>
    <x v="10"/>
    <x v="13"/>
    <x v="30"/>
    <x v="21"/>
    <x v="0"/>
    <n v="287280000"/>
  </r>
  <r>
    <d v="2026-03-15T00:00:00"/>
    <x v="2"/>
    <x v="2"/>
    <x v="10"/>
    <x v="14"/>
    <x v="3"/>
    <x v="3"/>
    <x v="1"/>
    <n v="780470000"/>
  </r>
  <r>
    <d v="2026-03-15T00:00:00"/>
    <x v="2"/>
    <x v="2"/>
    <x v="10"/>
    <x v="14"/>
    <x v="11"/>
    <x v="10"/>
    <x v="4"/>
    <n v="313866408"/>
  </r>
  <r>
    <d v="2026-03-15T00:00:00"/>
    <x v="2"/>
    <x v="2"/>
    <x v="10"/>
    <x v="14"/>
    <x v="12"/>
    <x v="11"/>
    <x v="1"/>
    <n v="8212700000"/>
  </r>
  <r>
    <d v="2026-03-15T00:00:00"/>
    <x v="2"/>
    <x v="2"/>
    <x v="10"/>
    <x v="14"/>
    <x v="5"/>
    <x v="5"/>
    <x v="3"/>
    <n v="1420287975"/>
  </r>
  <r>
    <d v="2026-03-15T00:00:00"/>
    <x v="2"/>
    <x v="2"/>
    <x v="10"/>
    <x v="14"/>
    <x v="27"/>
    <x v="19"/>
    <x v="0"/>
    <n v="13145976000"/>
  </r>
  <r>
    <d v="2026-03-15T00:00:00"/>
    <x v="2"/>
    <x v="2"/>
    <x v="10"/>
    <x v="14"/>
    <x v="15"/>
    <x v="14"/>
    <x v="4"/>
    <n v="6520350"/>
  </r>
  <r>
    <d v="2026-03-15T00:00:00"/>
    <x v="2"/>
    <x v="2"/>
    <x v="10"/>
    <x v="14"/>
    <x v="31"/>
    <x v="22"/>
    <x v="1"/>
    <n v="0"/>
  </r>
  <r>
    <d v="2026-03-15T00:00:00"/>
    <x v="2"/>
    <x v="2"/>
    <x v="10"/>
    <x v="14"/>
    <x v="14"/>
    <x v="13"/>
    <x v="1"/>
    <n v="2604000000"/>
  </r>
  <r>
    <d v="2026-03-15T00:00:00"/>
    <x v="2"/>
    <x v="2"/>
    <x v="10"/>
    <x v="14"/>
    <x v="33"/>
    <x v="13"/>
    <x v="1"/>
    <n v="943170000"/>
  </r>
  <r>
    <d v="2026-03-15T00:00:00"/>
    <x v="2"/>
    <x v="2"/>
    <x v="10"/>
    <x v="14"/>
    <x v="23"/>
    <x v="17"/>
    <x v="4"/>
    <n v="3165025"/>
  </r>
  <r>
    <d v="2026-03-15T00:00:00"/>
    <x v="2"/>
    <x v="2"/>
    <x v="10"/>
    <x v="14"/>
    <x v="28"/>
    <x v="17"/>
    <x v="4"/>
    <n v="1593617519"/>
  </r>
  <r>
    <d v="2026-03-15T00:00:00"/>
    <x v="2"/>
    <x v="2"/>
    <x v="10"/>
    <x v="14"/>
    <x v="8"/>
    <x v="8"/>
    <x v="1"/>
    <n v="0"/>
  </r>
  <r>
    <d v="2026-03-15T00:00:00"/>
    <x v="2"/>
    <x v="2"/>
    <x v="10"/>
    <x v="14"/>
    <x v="26"/>
    <x v="16"/>
    <x v="1"/>
    <n v="0"/>
  </r>
  <r>
    <d v="2026-03-15T00:00:00"/>
    <x v="2"/>
    <x v="2"/>
    <x v="10"/>
    <x v="14"/>
    <x v="32"/>
    <x v="16"/>
    <x v="1"/>
    <n v="0"/>
  </r>
  <r>
    <d v="2026-03-15T00:00:00"/>
    <x v="2"/>
    <x v="2"/>
    <x v="10"/>
    <x v="14"/>
    <x v="2"/>
    <x v="2"/>
    <x v="1"/>
    <n v="16139750000"/>
  </r>
  <r>
    <d v="2026-03-15T00:00:00"/>
    <x v="2"/>
    <x v="2"/>
    <x v="10"/>
    <x v="14"/>
    <x v="17"/>
    <x v="9"/>
    <x v="1"/>
    <n v="0"/>
  </r>
  <r>
    <d v="2026-03-15T00:00:00"/>
    <x v="2"/>
    <x v="2"/>
    <x v="10"/>
    <x v="14"/>
    <x v="20"/>
    <x v="9"/>
    <x v="1"/>
    <n v="0"/>
  </r>
  <r>
    <d v="2026-03-15T00:00:00"/>
    <x v="2"/>
    <x v="2"/>
    <x v="10"/>
    <x v="14"/>
    <x v="21"/>
    <x v="9"/>
    <x v="1"/>
    <n v="0"/>
  </r>
  <r>
    <d v="2026-03-15T00:00:00"/>
    <x v="2"/>
    <x v="2"/>
    <x v="10"/>
    <x v="14"/>
    <x v="25"/>
    <x v="2"/>
    <x v="1"/>
    <n v="0"/>
  </r>
  <r>
    <d v="2026-03-15T00:00:00"/>
    <x v="2"/>
    <x v="2"/>
    <x v="10"/>
    <x v="14"/>
    <x v="0"/>
    <x v="0"/>
    <x v="0"/>
    <n v="11918448000"/>
  </r>
  <r>
    <d v="2026-03-15T00:00:00"/>
    <x v="2"/>
    <x v="2"/>
    <x v="10"/>
    <x v="14"/>
    <x v="7"/>
    <x v="7"/>
    <x v="4"/>
    <n v="200447996"/>
  </r>
  <r>
    <d v="2026-03-15T00:00:00"/>
    <x v="2"/>
    <x v="2"/>
    <x v="10"/>
    <x v="14"/>
    <x v="1"/>
    <x v="1"/>
    <x v="1"/>
    <n v="63000000"/>
  </r>
  <r>
    <d v="2026-03-15T00:00:00"/>
    <x v="2"/>
    <x v="2"/>
    <x v="10"/>
    <x v="14"/>
    <x v="6"/>
    <x v="6"/>
    <x v="0"/>
    <n v="46000000"/>
  </r>
  <r>
    <d v="2026-03-15T00:00:00"/>
    <x v="2"/>
    <x v="2"/>
    <x v="10"/>
    <x v="14"/>
    <x v="18"/>
    <x v="15"/>
    <x v="1"/>
    <n v="664980000"/>
  </r>
  <r>
    <d v="2026-03-15T00:00:00"/>
    <x v="2"/>
    <x v="2"/>
    <x v="10"/>
    <x v="14"/>
    <x v="29"/>
    <x v="20"/>
    <x v="0"/>
    <n v="349272000"/>
  </r>
  <r>
    <d v="2026-03-15T00:00:00"/>
    <x v="2"/>
    <x v="2"/>
    <x v="10"/>
    <x v="14"/>
    <x v="19"/>
    <x v="12"/>
    <x v="4"/>
    <n v="272319266"/>
  </r>
  <r>
    <d v="2026-03-15T00:00:00"/>
    <x v="2"/>
    <x v="2"/>
    <x v="10"/>
    <x v="14"/>
    <x v="24"/>
    <x v="18"/>
    <x v="1"/>
    <n v="2889930000"/>
  </r>
  <r>
    <d v="2026-03-15T00:00:00"/>
    <x v="2"/>
    <x v="2"/>
    <x v="10"/>
    <x v="14"/>
    <x v="30"/>
    <x v="21"/>
    <x v="0"/>
    <n v="283176000"/>
  </r>
  <r>
    <d v="2026-03-16T00:00:00"/>
    <x v="2"/>
    <x v="2"/>
    <x v="11"/>
    <x v="15"/>
    <x v="3"/>
    <x v="3"/>
    <x v="1"/>
    <n v="740080000"/>
  </r>
  <r>
    <d v="2026-03-16T00:00:00"/>
    <x v="2"/>
    <x v="2"/>
    <x v="11"/>
    <x v="15"/>
    <x v="11"/>
    <x v="10"/>
    <x v="4"/>
    <n v="299822776"/>
  </r>
  <r>
    <d v="2026-03-16T00:00:00"/>
    <x v="2"/>
    <x v="2"/>
    <x v="11"/>
    <x v="15"/>
    <x v="12"/>
    <x v="11"/>
    <x v="1"/>
    <n v="10591300000"/>
  </r>
  <r>
    <d v="2026-03-16T00:00:00"/>
    <x v="2"/>
    <x v="2"/>
    <x v="11"/>
    <x v="15"/>
    <x v="5"/>
    <x v="5"/>
    <x v="3"/>
    <n v="1944313410"/>
  </r>
  <r>
    <d v="2026-03-16T00:00:00"/>
    <x v="2"/>
    <x v="2"/>
    <x v="11"/>
    <x v="15"/>
    <x v="27"/>
    <x v="19"/>
    <x v="0"/>
    <n v="13928544000"/>
  </r>
  <r>
    <d v="2026-03-16T00:00:00"/>
    <x v="2"/>
    <x v="2"/>
    <x v="11"/>
    <x v="15"/>
    <x v="15"/>
    <x v="14"/>
    <x v="4"/>
    <n v="2764780"/>
  </r>
  <r>
    <d v="2026-03-16T00:00:00"/>
    <x v="2"/>
    <x v="2"/>
    <x v="11"/>
    <x v="15"/>
    <x v="31"/>
    <x v="22"/>
    <x v="1"/>
    <n v="90000000"/>
  </r>
  <r>
    <d v="2026-03-16T00:00:00"/>
    <x v="2"/>
    <x v="2"/>
    <x v="11"/>
    <x v="15"/>
    <x v="14"/>
    <x v="13"/>
    <x v="1"/>
    <n v="2441860000"/>
  </r>
  <r>
    <d v="2026-03-16T00:00:00"/>
    <x v="2"/>
    <x v="2"/>
    <x v="11"/>
    <x v="15"/>
    <x v="33"/>
    <x v="13"/>
    <x v="1"/>
    <n v="781550000"/>
  </r>
  <r>
    <d v="2026-03-16T00:00:00"/>
    <x v="2"/>
    <x v="2"/>
    <x v="11"/>
    <x v="15"/>
    <x v="23"/>
    <x v="17"/>
    <x v="4"/>
    <n v="15958499"/>
  </r>
  <r>
    <d v="2026-03-16T00:00:00"/>
    <x v="2"/>
    <x v="2"/>
    <x v="11"/>
    <x v="15"/>
    <x v="28"/>
    <x v="17"/>
    <x v="4"/>
    <n v="791668366"/>
  </r>
  <r>
    <d v="2026-03-16T00:00:00"/>
    <x v="2"/>
    <x v="2"/>
    <x v="11"/>
    <x v="15"/>
    <x v="8"/>
    <x v="8"/>
    <x v="1"/>
    <n v="0"/>
  </r>
  <r>
    <d v="2026-03-16T00:00:00"/>
    <x v="2"/>
    <x v="2"/>
    <x v="11"/>
    <x v="15"/>
    <x v="26"/>
    <x v="16"/>
    <x v="1"/>
    <n v="129250000"/>
  </r>
  <r>
    <d v="2026-03-16T00:00:00"/>
    <x v="2"/>
    <x v="2"/>
    <x v="11"/>
    <x v="15"/>
    <x v="32"/>
    <x v="16"/>
    <x v="1"/>
    <n v="0"/>
  </r>
  <r>
    <d v="2026-03-16T00:00:00"/>
    <x v="2"/>
    <x v="2"/>
    <x v="11"/>
    <x v="15"/>
    <x v="2"/>
    <x v="2"/>
    <x v="1"/>
    <n v="18652390000"/>
  </r>
  <r>
    <d v="2026-03-16T00:00:00"/>
    <x v="2"/>
    <x v="2"/>
    <x v="11"/>
    <x v="15"/>
    <x v="17"/>
    <x v="9"/>
    <x v="1"/>
    <n v="0"/>
  </r>
  <r>
    <d v="2026-03-16T00:00:00"/>
    <x v="2"/>
    <x v="2"/>
    <x v="11"/>
    <x v="15"/>
    <x v="20"/>
    <x v="9"/>
    <x v="1"/>
    <n v="0"/>
  </r>
  <r>
    <d v="2026-03-16T00:00:00"/>
    <x v="2"/>
    <x v="2"/>
    <x v="11"/>
    <x v="15"/>
    <x v="21"/>
    <x v="9"/>
    <x v="1"/>
    <n v="0"/>
  </r>
  <r>
    <d v="2026-03-16T00:00:00"/>
    <x v="2"/>
    <x v="2"/>
    <x v="11"/>
    <x v="15"/>
    <x v="25"/>
    <x v="2"/>
    <x v="1"/>
    <n v="0"/>
  </r>
  <r>
    <d v="2026-03-16T00:00:00"/>
    <x v="2"/>
    <x v="2"/>
    <x v="11"/>
    <x v="15"/>
    <x v="0"/>
    <x v="0"/>
    <x v="0"/>
    <n v="12140280000"/>
  </r>
  <r>
    <d v="2026-03-16T00:00:00"/>
    <x v="2"/>
    <x v="2"/>
    <x v="11"/>
    <x v="15"/>
    <x v="7"/>
    <x v="7"/>
    <x v="4"/>
    <n v="199800737"/>
  </r>
  <r>
    <d v="2026-03-16T00:00:00"/>
    <x v="2"/>
    <x v="2"/>
    <x v="11"/>
    <x v="15"/>
    <x v="1"/>
    <x v="1"/>
    <x v="1"/>
    <n v="51500000"/>
  </r>
  <r>
    <d v="2026-03-16T00:00:00"/>
    <x v="2"/>
    <x v="2"/>
    <x v="11"/>
    <x v="15"/>
    <x v="6"/>
    <x v="6"/>
    <x v="0"/>
    <n v="25000000"/>
  </r>
  <r>
    <d v="2026-03-16T00:00:00"/>
    <x v="2"/>
    <x v="2"/>
    <x v="11"/>
    <x v="15"/>
    <x v="18"/>
    <x v="15"/>
    <x v="1"/>
    <n v="695310000"/>
  </r>
  <r>
    <d v="2026-03-16T00:00:00"/>
    <x v="2"/>
    <x v="2"/>
    <x v="11"/>
    <x v="15"/>
    <x v="29"/>
    <x v="20"/>
    <x v="0"/>
    <n v="311472000"/>
  </r>
  <r>
    <d v="2026-03-16T00:00:00"/>
    <x v="2"/>
    <x v="2"/>
    <x v="11"/>
    <x v="15"/>
    <x v="19"/>
    <x v="12"/>
    <x v="4"/>
    <n v="262504491"/>
  </r>
  <r>
    <d v="2026-03-16T00:00:00"/>
    <x v="2"/>
    <x v="2"/>
    <x v="11"/>
    <x v="15"/>
    <x v="24"/>
    <x v="18"/>
    <x v="1"/>
    <n v="3685390000"/>
  </r>
  <r>
    <d v="2026-03-16T00:00:00"/>
    <x v="2"/>
    <x v="2"/>
    <x v="11"/>
    <x v="15"/>
    <x v="30"/>
    <x v="21"/>
    <x v="0"/>
    <n v="303264000"/>
  </r>
  <r>
    <d v="2026-03-17T00:00:00"/>
    <x v="2"/>
    <x v="2"/>
    <x v="11"/>
    <x v="16"/>
    <x v="3"/>
    <x v="3"/>
    <x v="1"/>
    <n v="689880000"/>
  </r>
  <r>
    <d v="2026-03-17T00:00:00"/>
    <x v="2"/>
    <x v="2"/>
    <x v="11"/>
    <x v="16"/>
    <x v="11"/>
    <x v="10"/>
    <x v="4"/>
    <n v="287745140"/>
  </r>
  <r>
    <d v="2026-03-17T00:00:00"/>
    <x v="2"/>
    <x v="2"/>
    <x v="11"/>
    <x v="16"/>
    <x v="12"/>
    <x v="11"/>
    <x v="1"/>
    <n v="10769930000"/>
  </r>
  <r>
    <d v="2026-03-17T00:00:00"/>
    <x v="2"/>
    <x v="2"/>
    <x v="11"/>
    <x v="16"/>
    <x v="5"/>
    <x v="5"/>
    <x v="3"/>
    <n v="1636874628"/>
  </r>
  <r>
    <d v="2026-03-17T00:00:00"/>
    <x v="2"/>
    <x v="2"/>
    <x v="11"/>
    <x v="16"/>
    <x v="27"/>
    <x v="19"/>
    <x v="0"/>
    <n v="12807828000"/>
  </r>
  <r>
    <d v="2026-03-17T00:00:00"/>
    <x v="2"/>
    <x v="2"/>
    <x v="11"/>
    <x v="16"/>
    <x v="15"/>
    <x v="14"/>
    <x v="4"/>
    <n v="2576000"/>
  </r>
  <r>
    <d v="2026-03-17T00:00:00"/>
    <x v="2"/>
    <x v="2"/>
    <x v="11"/>
    <x v="16"/>
    <x v="31"/>
    <x v="22"/>
    <x v="1"/>
    <n v="140000000"/>
  </r>
  <r>
    <d v="2026-03-17T00:00:00"/>
    <x v="2"/>
    <x v="2"/>
    <x v="11"/>
    <x v="16"/>
    <x v="14"/>
    <x v="13"/>
    <x v="1"/>
    <n v="2809160000"/>
  </r>
  <r>
    <d v="2026-03-17T00:00:00"/>
    <x v="2"/>
    <x v="2"/>
    <x v="11"/>
    <x v="16"/>
    <x v="33"/>
    <x v="13"/>
    <x v="1"/>
    <n v="833370000"/>
  </r>
  <r>
    <d v="2026-03-17T00:00:00"/>
    <x v="2"/>
    <x v="2"/>
    <x v="11"/>
    <x v="16"/>
    <x v="23"/>
    <x v="17"/>
    <x v="4"/>
    <n v="8492997"/>
  </r>
  <r>
    <d v="2026-03-17T00:00:00"/>
    <x v="2"/>
    <x v="2"/>
    <x v="11"/>
    <x v="16"/>
    <x v="28"/>
    <x v="17"/>
    <x v="4"/>
    <n v="974785500"/>
  </r>
  <r>
    <d v="2026-03-17T00:00:00"/>
    <x v="2"/>
    <x v="2"/>
    <x v="11"/>
    <x v="16"/>
    <x v="8"/>
    <x v="8"/>
    <x v="1"/>
    <n v="0"/>
  </r>
  <r>
    <d v="2026-03-17T00:00:00"/>
    <x v="2"/>
    <x v="2"/>
    <x v="11"/>
    <x v="16"/>
    <x v="26"/>
    <x v="16"/>
    <x v="1"/>
    <n v="41500000"/>
  </r>
  <r>
    <d v="2026-03-17T00:00:00"/>
    <x v="2"/>
    <x v="2"/>
    <x v="11"/>
    <x v="16"/>
    <x v="32"/>
    <x v="16"/>
    <x v="1"/>
    <n v="0"/>
  </r>
  <r>
    <d v="2026-03-17T00:00:00"/>
    <x v="2"/>
    <x v="2"/>
    <x v="11"/>
    <x v="16"/>
    <x v="2"/>
    <x v="2"/>
    <x v="1"/>
    <n v="17827750000"/>
  </r>
  <r>
    <d v="2026-03-17T00:00:00"/>
    <x v="2"/>
    <x v="2"/>
    <x v="11"/>
    <x v="16"/>
    <x v="17"/>
    <x v="9"/>
    <x v="1"/>
    <n v="0"/>
  </r>
  <r>
    <d v="2026-03-17T00:00:00"/>
    <x v="2"/>
    <x v="2"/>
    <x v="11"/>
    <x v="16"/>
    <x v="20"/>
    <x v="9"/>
    <x v="1"/>
    <n v="0"/>
  </r>
  <r>
    <d v="2026-03-17T00:00:00"/>
    <x v="2"/>
    <x v="2"/>
    <x v="11"/>
    <x v="16"/>
    <x v="21"/>
    <x v="9"/>
    <x v="1"/>
    <n v="0"/>
  </r>
  <r>
    <d v="2026-03-17T00:00:00"/>
    <x v="2"/>
    <x v="2"/>
    <x v="11"/>
    <x v="16"/>
    <x v="25"/>
    <x v="2"/>
    <x v="1"/>
    <n v="0"/>
  </r>
  <r>
    <d v="2026-03-17T00:00:00"/>
    <x v="2"/>
    <x v="2"/>
    <x v="11"/>
    <x v="16"/>
    <x v="0"/>
    <x v="0"/>
    <x v="0"/>
    <n v="11693592000"/>
  </r>
  <r>
    <d v="2026-03-17T00:00:00"/>
    <x v="2"/>
    <x v="2"/>
    <x v="11"/>
    <x v="16"/>
    <x v="7"/>
    <x v="7"/>
    <x v="4"/>
    <n v="155065377"/>
  </r>
  <r>
    <d v="2026-03-17T00:00:00"/>
    <x v="2"/>
    <x v="2"/>
    <x v="11"/>
    <x v="16"/>
    <x v="1"/>
    <x v="1"/>
    <x v="1"/>
    <n v="36750000"/>
  </r>
  <r>
    <d v="2026-03-17T00:00:00"/>
    <x v="2"/>
    <x v="2"/>
    <x v="11"/>
    <x v="16"/>
    <x v="6"/>
    <x v="6"/>
    <x v="0"/>
    <n v="45000000"/>
  </r>
  <r>
    <d v="2026-03-17T00:00:00"/>
    <x v="2"/>
    <x v="2"/>
    <x v="11"/>
    <x v="16"/>
    <x v="18"/>
    <x v="15"/>
    <x v="1"/>
    <n v="822140000"/>
  </r>
  <r>
    <d v="2026-03-17T00:00:00"/>
    <x v="2"/>
    <x v="2"/>
    <x v="11"/>
    <x v="16"/>
    <x v="29"/>
    <x v="20"/>
    <x v="0"/>
    <n v="332532000"/>
  </r>
  <r>
    <d v="2026-03-17T00:00:00"/>
    <x v="2"/>
    <x v="2"/>
    <x v="11"/>
    <x v="16"/>
    <x v="19"/>
    <x v="12"/>
    <x v="4"/>
    <n v="253690101"/>
  </r>
  <r>
    <d v="2026-03-17T00:00:00"/>
    <x v="2"/>
    <x v="2"/>
    <x v="11"/>
    <x v="16"/>
    <x v="24"/>
    <x v="18"/>
    <x v="1"/>
    <n v="3012840000"/>
  </r>
  <r>
    <d v="2026-03-17T00:00:00"/>
    <x v="2"/>
    <x v="2"/>
    <x v="11"/>
    <x v="16"/>
    <x v="30"/>
    <x v="21"/>
    <x v="0"/>
    <n v="308016000"/>
  </r>
  <r>
    <d v="2026-03-18T00:00:00"/>
    <x v="2"/>
    <x v="2"/>
    <x v="11"/>
    <x v="17"/>
    <x v="3"/>
    <x v="3"/>
    <x v="1"/>
    <n v="790190000"/>
  </r>
  <r>
    <d v="2026-03-18T00:00:00"/>
    <x v="2"/>
    <x v="2"/>
    <x v="11"/>
    <x v="17"/>
    <x v="11"/>
    <x v="10"/>
    <x v="4"/>
    <n v="296570474"/>
  </r>
  <r>
    <d v="2026-03-18T00:00:00"/>
    <x v="2"/>
    <x v="2"/>
    <x v="11"/>
    <x v="17"/>
    <x v="12"/>
    <x v="11"/>
    <x v="1"/>
    <n v="15602770000"/>
  </r>
  <r>
    <d v="2026-03-18T00:00:00"/>
    <x v="2"/>
    <x v="2"/>
    <x v="11"/>
    <x v="17"/>
    <x v="5"/>
    <x v="5"/>
    <x v="3"/>
    <n v="1479101155"/>
  </r>
  <r>
    <d v="2026-03-18T00:00:00"/>
    <x v="2"/>
    <x v="2"/>
    <x v="11"/>
    <x v="17"/>
    <x v="27"/>
    <x v="19"/>
    <x v="0"/>
    <n v="12733848000"/>
  </r>
  <r>
    <d v="2026-03-18T00:00:00"/>
    <x v="2"/>
    <x v="2"/>
    <x v="11"/>
    <x v="17"/>
    <x v="15"/>
    <x v="14"/>
    <x v="4"/>
    <n v="2074804"/>
  </r>
  <r>
    <d v="2026-03-18T00:00:00"/>
    <x v="2"/>
    <x v="2"/>
    <x v="11"/>
    <x v="17"/>
    <x v="31"/>
    <x v="22"/>
    <x v="1"/>
    <n v="0"/>
  </r>
  <r>
    <d v="2026-03-18T00:00:00"/>
    <x v="2"/>
    <x v="2"/>
    <x v="11"/>
    <x v="17"/>
    <x v="14"/>
    <x v="13"/>
    <x v="1"/>
    <n v="2304920000"/>
  </r>
  <r>
    <d v="2026-03-18T00:00:00"/>
    <x v="2"/>
    <x v="2"/>
    <x v="11"/>
    <x v="17"/>
    <x v="33"/>
    <x v="13"/>
    <x v="1"/>
    <n v="1060050000"/>
  </r>
  <r>
    <d v="2026-03-18T00:00:00"/>
    <x v="2"/>
    <x v="2"/>
    <x v="11"/>
    <x v="17"/>
    <x v="23"/>
    <x v="17"/>
    <x v="4"/>
    <n v="2390000"/>
  </r>
  <r>
    <d v="2026-03-18T00:00:00"/>
    <x v="2"/>
    <x v="2"/>
    <x v="11"/>
    <x v="17"/>
    <x v="28"/>
    <x v="17"/>
    <x v="4"/>
    <n v="861633067"/>
  </r>
  <r>
    <d v="2026-03-18T00:00:00"/>
    <x v="2"/>
    <x v="2"/>
    <x v="11"/>
    <x v="17"/>
    <x v="8"/>
    <x v="8"/>
    <x v="1"/>
    <n v="0"/>
  </r>
  <r>
    <d v="2026-03-18T00:00:00"/>
    <x v="2"/>
    <x v="2"/>
    <x v="11"/>
    <x v="17"/>
    <x v="26"/>
    <x v="16"/>
    <x v="1"/>
    <n v="57250000"/>
  </r>
  <r>
    <d v="2026-03-18T00:00:00"/>
    <x v="2"/>
    <x v="2"/>
    <x v="11"/>
    <x v="17"/>
    <x v="32"/>
    <x v="16"/>
    <x v="1"/>
    <n v="0"/>
  </r>
  <r>
    <d v="2026-03-18T00:00:00"/>
    <x v="2"/>
    <x v="2"/>
    <x v="11"/>
    <x v="17"/>
    <x v="2"/>
    <x v="2"/>
    <x v="1"/>
    <n v="18102430000"/>
  </r>
  <r>
    <d v="2026-03-18T00:00:00"/>
    <x v="2"/>
    <x v="2"/>
    <x v="11"/>
    <x v="17"/>
    <x v="17"/>
    <x v="9"/>
    <x v="1"/>
    <n v="0"/>
  </r>
  <r>
    <d v="2026-03-18T00:00:00"/>
    <x v="2"/>
    <x v="2"/>
    <x v="11"/>
    <x v="17"/>
    <x v="20"/>
    <x v="9"/>
    <x v="1"/>
    <n v="0"/>
  </r>
  <r>
    <d v="2026-03-18T00:00:00"/>
    <x v="2"/>
    <x v="2"/>
    <x v="11"/>
    <x v="17"/>
    <x v="21"/>
    <x v="9"/>
    <x v="1"/>
    <n v="0"/>
  </r>
  <r>
    <d v="2026-03-18T00:00:00"/>
    <x v="2"/>
    <x v="2"/>
    <x v="11"/>
    <x v="17"/>
    <x v="25"/>
    <x v="2"/>
    <x v="1"/>
    <n v="0"/>
  </r>
  <r>
    <d v="2026-03-18T00:00:00"/>
    <x v="2"/>
    <x v="2"/>
    <x v="11"/>
    <x v="17"/>
    <x v="0"/>
    <x v="0"/>
    <x v="0"/>
    <n v="11252088000"/>
  </r>
  <r>
    <d v="2026-03-18T00:00:00"/>
    <x v="2"/>
    <x v="2"/>
    <x v="11"/>
    <x v="17"/>
    <x v="7"/>
    <x v="7"/>
    <x v="4"/>
    <n v="133540913"/>
  </r>
  <r>
    <d v="2026-03-18T00:00:00"/>
    <x v="2"/>
    <x v="2"/>
    <x v="11"/>
    <x v="17"/>
    <x v="1"/>
    <x v="1"/>
    <x v="1"/>
    <n v="68250000"/>
  </r>
  <r>
    <d v="2026-03-18T00:00:00"/>
    <x v="2"/>
    <x v="2"/>
    <x v="11"/>
    <x v="17"/>
    <x v="6"/>
    <x v="6"/>
    <x v="0"/>
    <n v="41000000"/>
  </r>
  <r>
    <d v="2026-03-18T00:00:00"/>
    <x v="2"/>
    <x v="2"/>
    <x v="11"/>
    <x v="17"/>
    <x v="18"/>
    <x v="15"/>
    <x v="1"/>
    <n v="843090000"/>
  </r>
  <r>
    <d v="2026-03-18T00:00:00"/>
    <x v="2"/>
    <x v="2"/>
    <x v="11"/>
    <x v="17"/>
    <x v="29"/>
    <x v="20"/>
    <x v="0"/>
    <n v="337176000"/>
  </r>
  <r>
    <d v="2026-03-18T00:00:00"/>
    <x v="2"/>
    <x v="2"/>
    <x v="11"/>
    <x v="17"/>
    <x v="19"/>
    <x v="12"/>
    <x v="4"/>
    <n v="206571311"/>
  </r>
  <r>
    <d v="2026-03-18T00:00:00"/>
    <x v="2"/>
    <x v="2"/>
    <x v="11"/>
    <x v="17"/>
    <x v="24"/>
    <x v="18"/>
    <x v="1"/>
    <n v="2777110000"/>
  </r>
  <r>
    <d v="2026-03-18T00:00:00"/>
    <x v="2"/>
    <x v="2"/>
    <x v="11"/>
    <x v="17"/>
    <x v="30"/>
    <x v="21"/>
    <x v="0"/>
    <n v="326268000"/>
  </r>
  <r>
    <d v="2026-03-19T00:00:00"/>
    <x v="2"/>
    <x v="2"/>
    <x v="11"/>
    <x v="18"/>
    <x v="3"/>
    <x v="3"/>
    <x v="1"/>
    <n v="753550000"/>
  </r>
  <r>
    <d v="2026-03-19T00:00:00"/>
    <x v="2"/>
    <x v="2"/>
    <x v="11"/>
    <x v="18"/>
    <x v="11"/>
    <x v="10"/>
    <x v="4"/>
    <n v="306159731"/>
  </r>
  <r>
    <d v="2026-03-19T00:00:00"/>
    <x v="2"/>
    <x v="2"/>
    <x v="11"/>
    <x v="18"/>
    <x v="12"/>
    <x v="11"/>
    <x v="1"/>
    <n v="16671240000"/>
  </r>
  <r>
    <d v="2026-03-19T00:00:00"/>
    <x v="2"/>
    <x v="2"/>
    <x v="11"/>
    <x v="18"/>
    <x v="5"/>
    <x v="5"/>
    <x v="3"/>
    <n v="1463978226"/>
  </r>
  <r>
    <d v="2026-03-19T00:00:00"/>
    <x v="2"/>
    <x v="2"/>
    <x v="11"/>
    <x v="18"/>
    <x v="27"/>
    <x v="19"/>
    <x v="0"/>
    <n v="12993696000"/>
  </r>
  <r>
    <d v="2026-03-19T00:00:00"/>
    <x v="2"/>
    <x v="2"/>
    <x v="11"/>
    <x v="18"/>
    <x v="15"/>
    <x v="14"/>
    <x v="4"/>
    <n v="0"/>
  </r>
  <r>
    <d v="2026-03-19T00:00:00"/>
    <x v="2"/>
    <x v="2"/>
    <x v="11"/>
    <x v="18"/>
    <x v="31"/>
    <x v="22"/>
    <x v="1"/>
    <n v="0"/>
  </r>
  <r>
    <d v="2026-03-19T00:00:00"/>
    <x v="2"/>
    <x v="2"/>
    <x v="11"/>
    <x v="18"/>
    <x v="14"/>
    <x v="13"/>
    <x v="1"/>
    <n v="2331900000"/>
  </r>
  <r>
    <d v="2026-03-19T00:00:00"/>
    <x v="2"/>
    <x v="2"/>
    <x v="11"/>
    <x v="18"/>
    <x v="33"/>
    <x v="13"/>
    <x v="1"/>
    <n v="646270000"/>
  </r>
  <r>
    <d v="2026-03-19T00:00:00"/>
    <x v="2"/>
    <x v="2"/>
    <x v="11"/>
    <x v="18"/>
    <x v="23"/>
    <x v="17"/>
    <x v="4"/>
    <n v="0"/>
  </r>
  <r>
    <d v="2026-03-19T00:00:00"/>
    <x v="2"/>
    <x v="2"/>
    <x v="11"/>
    <x v="18"/>
    <x v="28"/>
    <x v="17"/>
    <x v="4"/>
    <n v="714632375"/>
  </r>
  <r>
    <d v="2026-03-19T00:00:00"/>
    <x v="2"/>
    <x v="2"/>
    <x v="11"/>
    <x v="18"/>
    <x v="8"/>
    <x v="8"/>
    <x v="1"/>
    <n v="0"/>
  </r>
  <r>
    <d v="2026-03-19T00:00:00"/>
    <x v="2"/>
    <x v="2"/>
    <x v="11"/>
    <x v="18"/>
    <x v="26"/>
    <x v="16"/>
    <x v="1"/>
    <n v="30750000"/>
  </r>
  <r>
    <d v="2026-03-19T00:00:00"/>
    <x v="2"/>
    <x v="2"/>
    <x v="11"/>
    <x v="18"/>
    <x v="32"/>
    <x v="16"/>
    <x v="1"/>
    <n v="90000000"/>
  </r>
  <r>
    <d v="2026-03-19T00:00:00"/>
    <x v="2"/>
    <x v="2"/>
    <x v="11"/>
    <x v="18"/>
    <x v="2"/>
    <x v="2"/>
    <x v="1"/>
    <n v="17639360000"/>
  </r>
  <r>
    <d v="2026-03-19T00:00:00"/>
    <x v="2"/>
    <x v="2"/>
    <x v="11"/>
    <x v="18"/>
    <x v="17"/>
    <x v="9"/>
    <x v="1"/>
    <n v="0"/>
  </r>
  <r>
    <d v="2026-03-19T00:00:00"/>
    <x v="2"/>
    <x v="2"/>
    <x v="11"/>
    <x v="18"/>
    <x v="20"/>
    <x v="9"/>
    <x v="1"/>
    <n v="0"/>
  </r>
  <r>
    <d v="2026-03-19T00:00:00"/>
    <x v="2"/>
    <x v="2"/>
    <x v="11"/>
    <x v="18"/>
    <x v="21"/>
    <x v="9"/>
    <x v="1"/>
    <n v="0"/>
  </r>
  <r>
    <d v="2026-03-19T00:00:00"/>
    <x v="2"/>
    <x v="2"/>
    <x v="11"/>
    <x v="18"/>
    <x v="25"/>
    <x v="2"/>
    <x v="1"/>
    <n v="0"/>
  </r>
  <r>
    <d v="2026-03-19T00:00:00"/>
    <x v="2"/>
    <x v="2"/>
    <x v="11"/>
    <x v="18"/>
    <x v="0"/>
    <x v="0"/>
    <x v="0"/>
    <n v="10874196000"/>
  </r>
  <r>
    <d v="2026-03-19T00:00:00"/>
    <x v="2"/>
    <x v="2"/>
    <x v="11"/>
    <x v="18"/>
    <x v="7"/>
    <x v="7"/>
    <x v="4"/>
    <n v="129135792"/>
  </r>
  <r>
    <d v="2026-03-19T00:00:00"/>
    <x v="2"/>
    <x v="2"/>
    <x v="11"/>
    <x v="18"/>
    <x v="1"/>
    <x v="1"/>
    <x v="1"/>
    <n v="42000000"/>
  </r>
  <r>
    <d v="2026-03-19T00:00:00"/>
    <x v="2"/>
    <x v="2"/>
    <x v="11"/>
    <x v="18"/>
    <x v="6"/>
    <x v="6"/>
    <x v="0"/>
    <n v="58000000"/>
  </r>
  <r>
    <d v="2026-03-19T00:00:00"/>
    <x v="2"/>
    <x v="2"/>
    <x v="11"/>
    <x v="18"/>
    <x v="18"/>
    <x v="15"/>
    <x v="1"/>
    <n v="810750000"/>
  </r>
  <r>
    <d v="2026-03-19T00:00:00"/>
    <x v="2"/>
    <x v="2"/>
    <x v="11"/>
    <x v="18"/>
    <x v="29"/>
    <x v="20"/>
    <x v="0"/>
    <n v="306396000"/>
  </r>
  <r>
    <d v="2026-03-19T00:00:00"/>
    <x v="2"/>
    <x v="2"/>
    <x v="11"/>
    <x v="18"/>
    <x v="19"/>
    <x v="12"/>
    <x v="4"/>
    <n v="237133397"/>
  </r>
  <r>
    <d v="2026-03-19T00:00:00"/>
    <x v="2"/>
    <x v="2"/>
    <x v="11"/>
    <x v="18"/>
    <x v="24"/>
    <x v="18"/>
    <x v="1"/>
    <n v="3403850000"/>
  </r>
  <r>
    <d v="2026-03-19T00:00:00"/>
    <x v="2"/>
    <x v="2"/>
    <x v="11"/>
    <x v="18"/>
    <x v="30"/>
    <x v="21"/>
    <x v="0"/>
    <n v="370116000"/>
  </r>
  <r>
    <d v="2026-03-20T00:00:00"/>
    <x v="2"/>
    <x v="2"/>
    <x v="11"/>
    <x v="19"/>
    <x v="3"/>
    <x v="3"/>
    <x v="1"/>
    <n v="655130000"/>
  </r>
  <r>
    <d v="2026-03-20T00:00:00"/>
    <x v="2"/>
    <x v="2"/>
    <x v="11"/>
    <x v="19"/>
    <x v="11"/>
    <x v="10"/>
    <x v="4"/>
    <n v="333714600"/>
  </r>
  <r>
    <d v="2026-03-20T00:00:00"/>
    <x v="2"/>
    <x v="2"/>
    <x v="11"/>
    <x v="19"/>
    <x v="12"/>
    <x v="11"/>
    <x v="1"/>
    <n v="23880010000"/>
  </r>
  <r>
    <d v="2026-03-20T00:00:00"/>
    <x v="2"/>
    <x v="2"/>
    <x v="11"/>
    <x v="19"/>
    <x v="5"/>
    <x v="5"/>
    <x v="3"/>
    <n v="1567932673"/>
  </r>
  <r>
    <d v="2026-03-20T00:00:00"/>
    <x v="2"/>
    <x v="2"/>
    <x v="11"/>
    <x v="19"/>
    <x v="27"/>
    <x v="19"/>
    <x v="0"/>
    <n v="13876920000"/>
  </r>
  <r>
    <d v="2026-03-20T00:00:00"/>
    <x v="2"/>
    <x v="2"/>
    <x v="11"/>
    <x v="19"/>
    <x v="15"/>
    <x v="14"/>
    <x v="4"/>
    <n v="6170882"/>
  </r>
  <r>
    <d v="2026-03-20T00:00:00"/>
    <x v="2"/>
    <x v="2"/>
    <x v="11"/>
    <x v="19"/>
    <x v="31"/>
    <x v="22"/>
    <x v="1"/>
    <n v="90000000"/>
  </r>
  <r>
    <d v="2026-03-20T00:00:00"/>
    <x v="2"/>
    <x v="2"/>
    <x v="11"/>
    <x v="19"/>
    <x v="14"/>
    <x v="13"/>
    <x v="1"/>
    <n v="2169670000"/>
  </r>
  <r>
    <d v="2026-03-20T00:00:00"/>
    <x v="2"/>
    <x v="2"/>
    <x v="11"/>
    <x v="19"/>
    <x v="33"/>
    <x v="13"/>
    <x v="1"/>
    <n v="943600000"/>
  </r>
  <r>
    <d v="2026-03-20T00:00:00"/>
    <x v="2"/>
    <x v="2"/>
    <x v="11"/>
    <x v="19"/>
    <x v="23"/>
    <x v="17"/>
    <x v="4"/>
    <n v="3074683"/>
  </r>
  <r>
    <d v="2026-03-20T00:00:00"/>
    <x v="2"/>
    <x v="2"/>
    <x v="11"/>
    <x v="19"/>
    <x v="28"/>
    <x v="17"/>
    <x v="4"/>
    <n v="777976238"/>
  </r>
  <r>
    <d v="2026-03-20T00:00:00"/>
    <x v="2"/>
    <x v="2"/>
    <x v="11"/>
    <x v="19"/>
    <x v="8"/>
    <x v="8"/>
    <x v="1"/>
    <n v="0"/>
  </r>
  <r>
    <d v="2026-03-20T00:00:00"/>
    <x v="2"/>
    <x v="2"/>
    <x v="11"/>
    <x v="19"/>
    <x v="26"/>
    <x v="16"/>
    <x v="1"/>
    <n v="112650000"/>
  </r>
  <r>
    <d v="2026-03-20T00:00:00"/>
    <x v="2"/>
    <x v="2"/>
    <x v="11"/>
    <x v="19"/>
    <x v="32"/>
    <x v="16"/>
    <x v="1"/>
    <n v="0"/>
  </r>
  <r>
    <d v="2026-03-20T00:00:00"/>
    <x v="2"/>
    <x v="2"/>
    <x v="11"/>
    <x v="19"/>
    <x v="2"/>
    <x v="2"/>
    <x v="1"/>
    <n v="18118340000"/>
  </r>
  <r>
    <d v="2026-03-20T00:00:00"/>
    <x v="2"/>
    <x v="2"/>
    <x v="11"/>
    <x v="19"/>
    <x v="17"/>
    <x v="9"/>
    <x v="1"/>
    <n v="0"/>
  </r>
  <r>
    <d v="2026-03-20T00:00:00"/>
    <x v="2"/>
    <x v="2"/>
    <x v="11"/>
    <x v="19"/>
    <x v="20"/>
    <x v="9"/>
    <x v="1"/>
    <n v="0"/>
  </r>
  <r>
    <d v="2026-03-20T00:00:00"/>
    <x v="2"/>
    <x v="2"/>
    <x v="11"/>
    <x v="19"/>
    <x v="21"/>
    <x v="9"/>
    <x v="1"/>
    <n v="0"/>
  </r>
  <r>
    <d v="2026-03-20T00:00:00"/>
    <x v="2"/>
    <x v="2"/>
    <x v="11"/>
    <x v="19"/>
    <x v="25"/>
    <x v="2"/>
    <x v="1"/>
    <n v="0"/>
  </r>
  <r>
    <d v="2026-03-20T00:00:00"/>
    <x v="2"/>
    <x v="2"/>
    <x v="11"/>
    <x v="19"/>
    <x v="0"/>
    <x v="0"/>
    <x v="0"/>
    <n v="11708820000"/>
  </r>
  <r>
    <d v="2026-03-20T00:00:00"/>
    <x v="2"/>
    <x v="2"/>
    <x v="11"/>
    <x v="19"/>
    <x v="7"/>
    <x v="7"/>
    <x v="4"/>
    <n v="137125168"/>
  </r>
  <r>
    <d v="2026-03-20T00:00:00"/>
    <x v="2"/>
    <x v="2"/>
    <x v="11"/>
    <x v="19"/>
    <x v="1"/>
    <x v="1"/>
    <x v="1"/>
    <n v="35700000"/>
  </r>
  <r>
    <d v="2026-03-20T00:00:00"/>
    <x v="2"/>
    <x v="2"/>
    <x v="11"/>
    <x v="19"/>
    <x v="6"/>
    <x v="6"/>
    <x v="0"/>
    <n v="60000000"/>
  </r>
  <r>
    <d v="2026-03-20T00:00:00"/>
    <x v="2"/>
    <x v="2"/>
    <x v="11"/>
    <x v="19"/>
    <x v="18"/>
    <x v="15"/>
    <x v="1"/>
    <n v="571890000"/>
  </r>
  <r>
    <d v="2026-03-20T00:00:00"/>
    <x v="2"/>
    <x v="2"/>
    <x v="11"/>
    <x v="19"/>
    <x v="29"/>
    <x v="20"/>
    <x v="0"/>
    <n v="335232000"/>
  </r>
  <r>
    <d v="2026-03-20T00:00:00"/>
    <x v="2"/>
    <x v="2"/>
    <x v="11"/>
    <x v="19"/>
    <x v="19"/>
    <x v="12"/>
    <x v="4"/>
    <n v="231388445"/>
  </r>
  <r>
    <d v="2026-03-20T00:00:00"/>
    <x v="2"/>
    <x v="2"/>
    <x v="11"/>
    <x v="19"/>
    <x v="24"/>
    <x v="18"/>
    <x v="1"/>
    <n v="3367960000"/>
  </r>
  <r>
    <d v="2026-03-20T00:00:00"/>
    <x v="2"/>
    <x v="2"/>
    <x v="11"/>
    <x v="19"/>
    <x v="30"/>
    <x v="21"/>
    <x v="0"/>
    <n v="196020000"/>
  </r>
  <r>
    <d v="2026-03-21T00:00:00"/>
    <x v="2"/>
    <x v="2"/>
    <x v="11"/>
    <x v="20"/>
    <x v="3"/>
    <x v="3"/>
    <x v="1"/>
    <n v="734770000"/>
  </r>
  <r>
    <d v="2026-03-21T00:00:00"/>
    <x v="2"/>
    <x v="2"/>
    <x v="11"/>
    <x v="20"/>
    <x v="11"/>
    <x v="10"/>
    <x v="4"/>
    <n v="319891352"/>
  </r>
  <r>
    <d v="2026-03-21T00:00:00"/>
    <x v="2"/>
    <x v="2"/>
    <x v="11"/>
    <x v="20"/>
    <x v="12"/>
    <x v="11"/>
    <x v="1"/>
    <n v="18475940000"/>
  </r>
  <r>
    <d v="2026-03-21T00:00:00"/>
    <x v="2"/>
    <x v="2"/>
    <x v="11"/>
    <x v="20"/>
    <x v="5"/>
    <x v="5"/>
    <x v="3"/>
    <n v="1471621421"/>
  </r>
  <r>
    <d v="2026-03-21T00:00:00"/>
    <x v="2"/>
    <x v="2"/>
    <x v="11"/>
    <x v="20"/>
    <x v="27"/>
    <x v="19"/>
    <x v="0"/>
    <n v="12961836000"/>
  </r>
  <r>
    <d v="2026-03-21T00:00:00"/>
    <x v="2"/>
    <x v="2"/>
    <x v="11"/>
    <x v="20"/>
    <x v="15"/>
    <x v="14"/>
    <x v="4"/>
    <n v="6995860"/>
  </r>
  <r>
    <d v="2026-03-21T00:00:00"/>
    <x v="2"/>
    <x v="2"/>
    <x v="11"/>
    <x v="20"/>
    <x v="31"/>
    <x v="22"/>
    <x v="1"/>
    <n v="90000000"/>
  </r>
  <r>
    <d v="2026-03-21T00:00:00"/>
    <x v="2"/>
    <x v="2"/>
    <x v="11"/>
    <x v="20"/>
    <x v="14"/>
    <x v="13"/>
    <x v="1"/>
    <n v="2342230000"/>
  </r>
  <r>
    <d v="2026-03-21T00:00:00"/>
    <x v="2"/>
    <x v="2"/>
    <x v="11"/>
    <x v="20"/>
    <x v="33"/>
    <x v="13"/>
    <x v="1"/>
    <n v="683760000"/>
  </r>
  <r>
    <d v="2026-03-21T00:00:00"/>
    <x v="2"/>
    <x v="2"/>
    <x v="11"/>
    <x v="20"/>
    <x v="23"/>
    <x v="17"/>
    <x v="4"/>
    <n v="16060990"/>
  </r>
  <r>
    <d v="2026-03-21T00:00:00"/>
    <x v="2"/>
    <x v="2"/>
    <x v="11"/>
    <x v="20"/>
    <x v="28"/>
    <x v="17"/>
    <x v="4"/>
    <n v="1271252878"/>
  </r>
  <r>
    <d v="2026-03-21T00:00:00"/>
    <x v="2"/>
    <x v="2"/>
    <x v="11"/>
    <x v="20"/>
    <x v="8"/>
    <x v="8"/>
    <x v="1"/>
    <n v="0"/>
  </r>
  <r>
    <d v="2026-03-21T00:00:00"/>
    <x v="2"/>
    <x v="2"/>
    <x v="11"/>
    <x v="20"/>
    <x v="26"/>
    <x v="16"/>
    <x v="1"/>
    <n v="26250000"/>
  </r>
  <r>
    <d v="2026-03-21T00:00:00"/>
    <x v="2"/>
    <x v="2"/>
    <x v="11"/>
    <x v="20"/>
    <x v="32"/>
    <x v="16"/>
    <x v="1"/>
    <n v="0"/>
  </r>
  <r>
    <d v="2026-03-21T00:00:00"/>
    <x v="2"/>
    <x v="2"/>
    <x v="11"/>
    <x v="20"/>
    <x v="2"/>
    <x v="2"/>
    <x v="1"/>
    <n v="16057500000"/>
  </r>
  <r>
    <d v="2026-03-21T00:00:00"/>
    <x v="2"/>
    <x v="2"/>
    <x v="11"/>
    <x v="20"/>
    <x v="17"/>
    <x v="9"/>
    <x v="1"/>
    <n v="0"/>
  </r>
  <r>
    <d v="2026-03-21T00:00:00"/>
    <x v="2"/>
    <x v="2"/>
    <x v="11"/>
    <x v="20"/>
    <x v="20"/>
    <x v="9"/>
    <x v="1"/>
    <n v="0"/>
  </r>
  <r>
    <d v="2026-03-21T00:00:00"/>
    <x v="2"/>
    <x v="2"/>
    <x v="11"/>
    <x v="20"/>
    <x v="21"/>
    <x v="9"/>
    <x v="1"/>
    <n v="0"/>
  </r>
  <r>
    <d v="2026-03-21T00:00:00"/>
    <x v="2"/>
    <x v="2"/>
    <x v="11"/>
    <x v="20"/>
    <x v="25"/>
    <x v="2"/>
    <x v="1"/>
    <n v="0"/>
  </r>
  <r>
    <d v="2026-03-21T00:00:00"/>
    <x v="2"/>
    <x v="2"/>
    <x v="11"/>
    <x v="20"/>
    <x v="0"/>
    <x v="0"/>
    <x v="0"/>
    <n v="10785096000"/>
  </r>
  <r>
    <d v="2026-03-21T00:00:00"/>
    <x v="2"/>
    <x v="2"/>
    <x v="11"/>
    <x v="20"/>
    <x v="7"/>
    <x v="7"/>
    <x v="4"/>
    <n v="173243458"/>
  </r>
  <r>
    <d v="2026-03-21T00:00:00"/>
    <x v="2"/>
    <x v="2"/>
    <x v="11"/>
    <x v="20"/>
    <x v="1"/>
    <x v="1"/>
    <x v="1"/>
    <n v="72500000"/>
  </r>
  <r>
    <d v="2026-03-21T00:00:00"/>
    <x v="2"/>
    <x v="2"/>
    <x v="11"/>
    <x v="20"/>
    <x v="6"/>
    <x v="6"/>
    <x v="0"/>
    <n v="55000000"/>
  </r>
  <r>
    <d v="2026-03-21T00:00:00"/>
    <x v="2"/>
    <x v="2"/>
    <x v="11"/>
    <x v="20"/>
    <x v="18"/>
    <x v="15"/>
    <x v="1"/>
    <n v="800800000"/>
  </r>
  <r>
    <d v="2026-03-21T00:00:00"/>
    <x v="2"/>
    <x v="2"/>
    <x v="11"/>
    <x v="20"/>
    <x v="29"/>
    <x v="20"/>
    <x v="0"/>
    <n v="314928000"/>
  </r>
  <r>
    <d v="2026-03-21T00:00:00"/>
    <x v="2"/>
    <x v="2"/>
    <x v="11"/>
    <x v="20"/>
    <x v="19"/>
    <x v="12"/>
    <x v="4"/>
    <n v="252798773"/>
  </r>
  <r>
    <d v="2026-03-21T00:00:00"/>
    <x v="2"/>
    <x v="2"/>
    <x v="11"/>
    <x v="20"/>
    <x v="24"/>
    <x v="18"/>
    <x v="1"/>
    <n v="3304280000"/>
  </r>
  <r>
    <d v="2026-03-21T00:00:00"/>
    <x v="2"/>
    <x v="2"/>
    <x v="11"/>
    <x v="20"/>
    <x v="30"/>
    <x v="21"/>
    <x v="0"/>
    <n v="29160000"/>
  </r>
  <r>
    <d v="2026-03-22T00:00:00"/>
    <x v="2"/>
    <x v="2"/>
    <x v="11"/>
    <x v="21"/>
    <x v="3"/>
    <x v="3"/>
    <x v="1"/>
    <n v="607520000"/>
  </r>
  <r>
    <d v="2026-03-22T00:00:00"/>
    <x v="2"/>
    <x v="2"/>
    <x v="11"/>
    <x v="21"/>
    <x v="11"/>
    <x v="10"/>
    <x v="4"/>
    <n v="342822230"/>
  </r>
  <r>
    <d v="2026-03-22T00:00:00"/>
    <x v="2"/>
    <x v="2"/>
    <x v="11"/>
    <x v="21"/>
    <x v="12"/>
    <x v="11"/>
    <x v="1"/>
    <n v="14779100000"/>
  </r>
  <r>
    <d v="2026-03-22T00:00:00"/>
    <x v="2"/>
    <x v="2"/>
    <x v="11"/>
    <x v="21"/>
    <x v="5"/>
    <x v="5"/>
    <x v="3"/>
    <n v="1530795139"/>
  </r>
  <r>
    <d v="2026-03-22T00:00:00"/>
    <x v="2"/>
    <x v="2"/>
    <x v="11"/>
    <x v="21"/>
    <x v="27"/>
    <x v="19"/>
    <x v="0"/>
    <n v="12373560000"/>
  </r>
  <r>
    <d v="2026-03-22T00:00:00"/>
    <x v="2"/>
    <x v="2"/>
    <x v="11"/>
    <x v="21"/>
    <x v="15"/>
    <x v="14"/>
    <x v="4"/>
    <n v="1440172"/>
  </r>
  <r>
    <d v="2026-03-22T00:00:00"/>
    <x v="2"/>
    <x v="2"/>
    <x v="11"/>
    <x v="21"/>
    <x v="31"/>
    <x v="22"/>
    <x v="1"/>
    <n v="0"/>
  </r>
  <r>
    <d v="2026-03-22T00:00:00"/>
    <x v="2"/>
    <x v="2"/>
    <x v="11"/>
    <x v="21"/>
    <x v="14"/>
    <x v="13"/>
    <x v="1"/>
    <n v="2681070000"/>
  </r>
  <r>
    <d v="2026-03-22T00:00:00"/>
    <x v="2"/>
    <x v="2"/>
    <x v="11"/>
    <x v="21"/>
    <x v="33"/>
    <x v="13"/>
    <x v="1"/>
    <n v="861180000"/>
  </r>
  <r>
    <d v="2026-03-22T00:00:00"/>
    <x v="2"/>
    <x v="2"/>
    <x v="11"/>
    <x v="21"/>
    <x v="23"/>
    <x v="17"/>
    <x v="4"/>
    <n v="3268232"/>
  </r>
  <r>
    <d v="2026-03-22T00:00:00"/>
    <x v="2"/>
    <x v="2"/>
    <x v="11"/>
    <x v="21"/>
    <x v="28"/>
    <x v="17"/>
    <x v="4"/>
    <n v="974267581"/>
  </r>
  <r>
    <d v="2026-03-22T00:00:00"/>
    <x v="2"/>
    <x v="2"/>
    <x v="11"/>
    <x v="21"/>
    <x v="8"/>
    <x v="8"/>
    <x v="1"/>
    <n v="0"/>
  </r>
  <r>
    <d v="2026-03-22T00:00:00"/>
    <x v="2"/>
    <x v="2"/>
    <x v="11"/>
    <x v="21"/>
    <x v="26"/>
    <x v="16"/>
    <x v="1"/>
    <n v="0"/>
  </r>
  <r>
    <d v="2026-03-22T00:00:00"/>
    <x v="2"/>
    <x v="2"/>
    <x v="11"/>
    <x v="21"/>
    <x v="32"/>
    <x v="16"/>
    <x v="1"/>
    <n v="0"/>
  </r>
  <r>
    <d v="2026-03-22T00:00:00"/>
    <x v="2"/>
    <x v="2"/>
    <x v="11"/>
    <x v="21"/>
    <x v="2"/>
    <x v="2"/>
    <x v="1"/>
    <n v="15876090000"/>
  </r>
  <r>
    <d v="2026-03-22T00:00:00"/>
    <x v="2"/>
    <x v="2"/>
    <x v="11"/>
    <x v="21"/>
    <x v="17"/>
    <x v="9"/>
    <x v="1"/>
    <n v="0"/>
  </r>
  <r>
    <d v="2026-03-22T00:00:00"/>
    <x v="2"/>
    <x v="2"/>
    <x v="11"/>
    <x v="21"/>
    <x v="20"/>
    <x v="9"/>
    <x v="1"/>
    <n v="0"/>
  </r>
  <r>
    <d v="2026-03-22T00:00:00"/>
    <x v="2"/>
    <x v="2"/>
    <x v="11"/>
    <x v="21"/>
    <x v="21"/>
    <x v="9"/>
    <x v="1"/>
    <n v="0"/>
  </r>
  <r>
    <d v="2026-03-22T00:00:00"/>
    <x v="2"/>
    <x v="2"/>
    <x v="11"/>
    <x v="21"/>
    <x v="25"/>
    <x v="2"/>
    <x v="1"/>
    <n v="0"/>
  </r>
  <r>
    <d v="2026-03-22T00:00:00"/>
    <x v="2"/>
    <x v="2"/>
    <x v="11"/>
    <x v="21"/>
    <x v="0"/>
    <x v="0"/>
    <x v="0"/>
    <n v="11044404000"/>
  </r>
  <r>
    <d v="2026-03-22T00:00:00"/>
    <x v="2"/>
    <x v="2"/>
    <x v="11"/>
    <x v="21"/>
    <x v="7"/>
    <x v="7"/>
    <x v="4"/>
    <n v="139985406"/>
  </r>
  <r>
    <d v="2026-03-22T00:00:00"/>
    <x v="2"/>
    <x v="2"/>
    <x v="11"/>
    <x v="21"/>
    <x v="1"/>
    <x v="1"/>
    <x v="1"/>
    <n v="42000000"/>
  </r>
  <r>
    <d v="2026-03-22T00:00:00"/>
    <x v="2"/>
    <x v="2"/>
    <x v="11"/>
    <x v="21"/>
    <x v="6"/>
    <x v="6"/>
    <x v="0"/>
    <n v="49000000"/>
  </r>
  <r>
    <d v="2026-03-22T00:00:00"/>
    <x v="2"/>
    <x v="2"/>
    <x v="11"/>
    <x v="21"/>
    <x v="18"/>
    <x v="15"/>
    <x v="1"/>
    <n v="572920000"/>
  </r>
  <r>
    <d v="2026-03-22T00:00:00"/>
    <x v="2"/>
    <x v="2"/>
    <x v="11"/>
    <x v="21"/>
    <x v="29"/>
    <x v="20"/>
    <x v="0"/>
    <n v="266868000"/>
  </r>
  <r>
    <d v="2026-03-22T00:00:00"/>
    <x v="2"/>
    <x v="2"/>
    <x v="11"/>
    <x v="21"/>
    <x v="19"/>
    <x v="12"/>
    <x v="4"/>
    <n v="319332411"/>
  </r>
  <r>
    <d v="2026-03-22T00:00:00"/>
    <x v="2"/>
    <x v="2"/>
    <x v="11"/>
    <x v="21"/>
    <x v="24"/>
    <x v="18"/>
    <x v="1"/>
    <n v="2796330000"/>
  </r>
  <r>
    <d v="2026-03-22T00:00:00"/>
    <x v="2"/>
    <x v="2"/>
    <x v="11"/>
    <x v="21"/>
    <x v="30"/>
    <x v="21"/>
    <x v="0"/>
    <n v="30240000"/>
  </r>
  <r>
    <d v="2026-03-23T00:00:00"/>
    <x v="2"/>
    <x v="2"/>
    <x v="12"/>
    <x v="22"/>
    <x v="3"/>
    <x v="3"/>
    <x v="1"/>
    <n v="695790000"/>
  </r>
  <r>
    <d v="2026-03-23T00:00:00"/>
    <x v="2"/>
    <x v="2"/>
    <x v="12"/>
    <x v="22"/>
    <x v="11"/>
    <x v="10"/>
    <x v="4"/>
    <n v="278930554"/>
  </r>
  <r>
    <d v="2026-03-23T00:00:00"/>
    <x v="2"/>
    <x v="2"/>
    <x v="12"/>
    <x v="22"/>
    <x v="12"/>
    <x v="11"/>
    <x v="1"/>
    <n v="18739380000"/>
  </r>
  <r>
    <d v="2026-03-23T00:00:00"/>
    <x v="2"/>
    <x v="2"/>
    <x v="12"/>
    <x v="22"/>
    <x v="5"/>
    <x v="5"/>
    <x v="3"/>
    <n v="1527725458"/>
  </r>
  <r>
    <d v="2026-03-23T00:00:00"/>
    <x v="2"/>
    <x v="2"/>
    <x v="12"/>
    <x v="22"/>
    <x v="27"/>
    <x v="19"/>
    <x v="0"/>
    <n v="13494276000"/>
  </r>
  <r>
    <d v="2026-03-23T00:00:00"/>
    <x v="2"/>
    <x v="2"/>
    <x v="12"/>
    <x v="22"/>
    <x v="15"/>
    <x v="14"/>
    <x v="4"/>
    <n v="13556549"/>
  </r>
  <r>
    <d v="2026-03-23T00:00:00"/>
    <x v="2"/>
    <x v="2"/>
    <x v="12"/>
    <x v="22"/>
    <x v="31"/>
    <x v="22"/>
    <x v="1"/>
    <n v="50000000"/>
  </r>
  <r>
    <d v="2026-03-23T00:00:00"/>
    <x v="2"/>
    <x v="2"/>
    <x v="12"/>
    <x v="22"/>
    <x v="14"/>
    <x v="13"/>
    <x v="1"/>
    <n v="1886090000"/>
  </r>
  <r>
    <d v="2026-03-23T00:00:00"/>
    <x v="2"/>
    <x v="2"/>
    <x v="12"/>
    <x v="22"/>
    <x v="33"/>
    <x v="13"/>
    <x v="1"/>
    <n v="638650000"/>
  </r>
  <r>
    <d v="2026-03-23T00:00:00"/>
    <x v="2"/>
    <x v="2"/>
    <x v="12"/>
    <x v="22"/>
    <x v="23"/>
    <x v="17"/>
    <x v="4"/>
    <n v="1103000"/>
  </r>
  <r>
    <d v="2026-03-23T00:00:00"/>
    <x v="2"/>
    <x v="2"/>
    <x v="12"/>
    <x v="22"/>
    <x v="28"/>
    <x v="17"/>
    <x v="4"/>
    <n v="761779372"/>
  </r>
  <r>
    <d v="2026-03-23T00:00:00"/>
    <x v="2"/>
    <x v="2"/>
    <x v="12"/>
    <x v="22"/>
    <x v="8"/>
    <x v="8"/>
    <x v="1"/>
    <n v="0"/>
  </r>
  <r>
    <d v="2026-03-23T00:00:00"/>
    <x v="2"/>
    <x v="2"/>
    <x v="12"/>
    <x v="22"/>
    <x v="26"/>
    <x v="16"/>
    <x v="1"/>
    <n v="73500000"/>
  </r>
  <r>
    <d v="2026-03-23T00:00:00"/>
    <x v="2"/>
    <x v="2"/>
    <x v="12"/>
    <x v="22"/>
    <x v="32"/>
    <x v="16"/>
    <x v="1"/>
    <n v="0"/>
  </r>
  <r>
    <d v="2026-03-23T00:00:00"/>
    <x v="2"/>
    <x v="2"/>
    <x v="12"/>
    <x v="22"/>
    <x v="2"/>
    <x v="2"/>
    <x v="1"/>
    <n v="17549970000"/>
  </r>
  <r>
    <d v="2026-03-23T00:00:00"/>
    <x v="2"/>
    <x v="2"/>
    <x v="12"/>
    <x v="22"/>
    <x v="17"/>
    <x v="9"/>
    <x v="1"/>
    <n v="0"/>
  </r>
  <r>
    <d v="2026-03-23T00:00:00"/>
    <x v="2"/>
    <x v="2"/>
    <x v="12"/>
    <x v="22"/>
    <x v="20"/>
    <x v="9"/>
    <x v="1"/>
    <n v="0"/>
  </r>
  <r>
    <d v="2026-03-23T00:00:00"/>
    <x v="2"/>
    <x v="2"/>
    <x v="12"/>
    <x v="22"/>
    <x v="21"/>
    <x v="9"/>
    <x v="1"/>
    <n v="0"/>
  </r>
  <r>
    <d v="2026-03-23T00:00:00"/>
    <x v="2"/>
    <x v="2"/>
    <x v="12"/>
    <x v="22"/>
    <x v="25"/>
    <x v="2"/>
    <x v="1"/>
    <n v="0"/>
  </r>
  <r>
    <d v="2026-03-23T00:00:00"/>
    <x v="2"/>
    <x v="2"/>
    <x v="12"/>
    <x v="22"/>
    <x v="0"/>
    <x v="0"/>
    <x v="0"/>
    <n v="11250468000"/>
  </r>
  <r>
    <d v="2026-03-23T00:00:00"/>
    <x v="2"/>
    <x v="2"/>
    <x v="12"/>
    <x v="22"/>
    <x v="7"/>
    <x v="7"/>
    <x v="4"/>
    <n v="120630730"/>
  </r>
  <r>
    <d v="2026-03-23T00:00:00"/>
    <x v="2"/>
    <x v="2"/>
    <x v="12"/>
    <x v="22"/>
    <x v="1"/>
    <x v="1"/>
    <x v="1"/>
    <n v="119700000"/>
  </r>
  <r>
    <d v="2026-03-23T00:00:00"/>
    <x v="2"/>
    <x v="2"/>
    <x v="12"/>
    <x v="22"/>
    <x v="6"/>
    <x v="6"/>
    <x v="0"/>
    <n v="61000000"/>
  </r>
  <r>
    <d v="2026-03-23T00:00:00"/>
    <x v="2"/>
    <x v="2"/>
    <x v="12"/>
    <x v="22"/>
    <x v="18"/>
    <x v="15"/>
    <x v="1"/>
    <n v="914960000"/>
  </r>
  <r>
    <d v="2026-03-23T00:00:00"/>
    <x v="2"/>
    <x v="2"/>
    <x v="12"/>
    <x v="22"/>
    <x v="29"/>
    <x v="20"/>
    <x v="0"/>
    <n v="269136000"/>
  </r>
  <r>
    <d v="2026-03-23T00:00:00"/>
    <x v="2"/>
    <x v="2"/>
    <x v="12"/>
    <x v="22"/>
    <x v="19"/>
    <x v="12"/>
    <x v="4"/>
    <n v="317714985"/>
  </r>
  <r>
    <d v="2026-03-23T00:00:00"/>
    <x v="2"/>
    <x v="2"/>
    <x v="12"/>
    <x v="22"/>
    <x v="24"/>
    <x v="18"/>
    <x v="1"/>
    <n v="3001550000"/>
  </r>
  <r>
    <d v="2026-03-23T00:00:00"/>
    <x v="2"/>
    <x v="2"/>
    <x v="12"/>
    <x v="22"/>
    <x v="30"/>
    <x v="21"/>
    <x v="0"/>
    <n v="11880000"/>
  </r>
  <r>
    <d v="2026-03-24T00:00:00"/>
    <x v="2"/>
    <x v="2"/>
    <x v="12"/>
    <x v="23"/>
    <x v="3"/>
    <x v="3"/>
    <x v="1"/>
    <n v="730660000"/>
  </r>
  <r>
    <d v="2026-03-24T00:00:00"/>
    <x v="2"/>
    <x v="2"/>
    <x v="12"/>
    <x v="23"/>
    <x v="11"/>
    <x v="10"/>
    <x v="4"/>
    <n v="307487767"/>
  </r>
  <r>
    <d v="2026-03-24T00:00:00"/>
    <x v="2"/>
    <x v="2"/>
    <x v="12"/>
    <x v="23"/>
    <x v="12"/>
    <x v="11"/>
    <x v="1"/>
    <n v="16395660000"/>
  </r>
  <r>
    <d v="2026-03-24T00:00:00"/>
    <x v="2"/>
    <x v="2"/>
    <x v="12"/>
    <x v="23"/>
    <x v="5"/>
    <x v="5"/>
    <x v="3"/>
    <n v="1685209063"/>
  </r>
  <r>
    <d v="2026-03-24T00:00:00"/>
    <x v="2"/>
    <x v="2"/>
    <x v="12"/>
    <x v="23"/>
    <x v="27"/>
    <x v="19"/>
    <x v="0"/>
    <n v="12734604000"/>
  </r>
  <r>
    <d v="2026-03-24T00:00:00"/>
    <x v="2"/>
    <x v="2"/>
    <x v="12"/>
    <x v="23"/>
    <x v="15"/>
    <x v="14"/>
    <x v="4"/>
    <n v="8102318"/>
  </r>
  <r>
    <d v="2026-03-24T00:00:00"/>
    <x v="2"/>
    <x v="2"/>
    <x v="12"/>
    <x v="23"/>
    <x v="31"/>
    <x v="22"/>
    <x v="1"/>
    <n v="80000000"/>
  </r>
  <r>
    <d v="2026-03-24T00:00:00"/>
    <x v="2"/>
    <x v="2"/>
    <x v="12"/>
    <x v="23"/>
    <x v="14"/>
    <x v="13"/>
    <x v="1"/>
    <n v="2197800000"/>
  </r>
  <r>
    <d v="2026-03-24T00:00:00"/>
    <x v="2"/>
    <x v="2"/>
    <x v="12"/>
    <x v="23"/>
    <x v="33"/>
    <x v="13"/>
    <x v="1"/>
    <n v="799920000"/>
  </r>
  <r>
    <d v="2026-03-24T00:00:00"/>
    <x v="2"/>
    <x v="2"/>
    <x v="12"/>
    <x v="23"/>
    <x v="23"/>
    <x v="17"/>
    <x v="4"/>
    <n v="461000"/>
  </r>
  <r>
    <d v="2026-03-24T00:00:00"/>
    <x v="2"/>
    <x v="2"/>
    <x v="12"/>
    <x v="23"/>
    <x v="28"/>
    <x v="17"/>
    <x v="4"/>
    <n v="657687289"/>
  </r>
  <r>
    <d v="2026-03-24T00:00:00"/>
    <x v="2"/>
    <x v="2"/>
    <x v="12"/>
    <x v="23"/>
    <x v="8"/>
    <x v="8"/>
    <x v="1"/>
    <n v="0"/>
  </r>
  <r>
    <d v="2026-03-24T00:00:00"/>
    <x v="2"/>
    <x v="2"/>
    <x v="12"/>
    <x v="23"/>
    <x v="26"/>
    <x v="16"/>
    <x v="1"/>
    <n v="78000000"/>
  </r>
  <r>
    <d v="2026-03-24T00:00:00"/>
    <x v="2"/>
    <x v="2"/>
    <x v="12"/>
    <x v="23"/>
    <x v="32"/>
    <x v="16"/>
    <x v="1"/>
    <n v="0"/>
  </r>
  <r>
    <d v="2026-03-24T00:00:00"/>
    <x v="2"/>
    <x v="2"/>
    <x v="12"/>
    <x v="23"/>
    <x v="2"/>
    <x v="2"/>
    <x v="1"/>
    <n v="17340180000"/>
  </r>
  <r>
    <d v="2026-03-24T00:00:00"/>
    <x v="2"/>
    <x v="2"/>
    <x v="12"/>
    <x v="23"/>
    <x v="17"/>
    <x v="9"/>
    <x v="1"/>
    <n v="0"/>
  </r>
  <r>
    <d v="2026-03-24T00:00:00"/>
    <x v="2"/>
    <x v="2"/>
    <x v="12"/>
    <x v="23"/>
    <x v="20"/>
    <x v="9"/>
    <x v="1"/>
    <n v="0"/>
  </r>
  <r>
    <d v="2026-03-24T00:00:00"/>
    <x v="2"/>
    <x v="2"/>
    <x v="12"/>
    <x v="23"/>
    <x v="21"/>
    <x v="9"/>
    <x v="1"/>
    <n v="0"/>
  </r>
  <r>
    <d v="2026-03-24T00:00:00"/>
    <x v="2"/>
    <x v="2"/>
    <x v="12"/>
    <x v="23"/>
    <x v="25"/>
    <x v="2"/>
    <x v="1"/>
    <n v="0"/>
  </r>
  <r>
    <d v="2026-03-24T00:00:00"/>
    <x v="2"/>
    <x v="2"/>
    <x v="12"/>
    <x v="23"/>
    <x v="0"/>
    <x v="0"/>
    <x v="0"/>
    <n v="11052720000"/>
  </r>
  <r>
    <d v="2026-03-24T00:00:00"/>
    <x v="2"/>
    <x v="2"/>
    <x v="12"/>
    <x v="23"/>
    <x v="7"/>
    <x v="7"/>
    <x v="4"/>
    <n v="131582412"/>
  </r>
  <r>
    <d v="2026-03-24T00:00:00"/>
    <x v="2"/>
    <x v="2"/>
    <x v="12"/>
    <x v="23"/>
    <x v="1"/>
    <x v="1"/>
    <x v="1"/>
    <n v="77250000"/>
  </r>
  <r>
    <d v="2026-03-24T00:00:00"/>
    <x v="2"/>
    <x v="2"/>
    <x v="12"/>
    <x v="23"/>
    <x v="6"/>
    <x v="6"/>
    <x v="0"/>
    <n v="61000000"/>
  </r>
  <r>
    <d v="2026-03-24T00:00:00"/>
    <x v="2"/>
    <x v="2"/>
    <x v="12"/>
    <x v="23"/>
    <x v="18"/>
    <x v="15"/>
    <x v="1"/>
    <n v="643770000"/>
  </r>
  <r>
    <d v="2026-03-24T00:00:00"/>
    <x v="2"/>
    <x v="2"/>
    <x v="12"/>
    <x v="23"/>
    <x v="29"/>
    <x v="20"/>
    <x v="0"/>
    <n v="330156000"/>
  </r>
  <r>
    <d v="2026-03-24T00:00:00"/>
    <x v="2"/>
    <x v="2"/>
    <x v="12"/>
    <x v="23"/>
    <x v="19"/>
    <x v="12"/>
    <x v="4"/>
    <n v="344505081"/>
  </r>
  <r>
    <d v="2026-03-24T00:00:00"/>
    <x v="2"/>
    <x v="2"/>
    <x v="12"/>
    <x v="23"/>
    <x v="24"/>
    <x v="18"/>
    <x v="1"/>
    <n v="3313580000"/>
  </r>
  <r>
    <d v="2026-03-24T00:00:00"/>
    <x v="2"/>
    <x v="2"/>
    <x v="12"/>
    <x v="23"/>
    <x v="30"/>
    <x v="21"/>
    <x v="0"/>
    <n v="9936000"/>
  </r>
  <r>
    <d v="2026-03-25T00:00:00"/>
    <x v="2"/>
    <x v="2"/>
    <x v="12"/>
    <x v="24"/>
    <x v="3"/>
    <x v="3"/>
    <x v="1"/>
    <n v="488420000"/>
  </r>
  <r>
    <d v="2026-03-25T00:00:00"/>
    <x v="2"/>
    <x v="2"/>
    <x v="12"/>
    <x v="24"/>
    <x v="11"/>
    <x v="10"/>
    <x v="4"/>
    <n v="321551950"/>
  </r>
  <r>
    <d v="2026-03-25T00:00:00"/>
    <x v="2"/>
    <x v="2"/>
    <x v="12"/>
    <x v="24"/>
    <x v="12"/>
    <x v="11"/>
    <x v="1"/>
    <n v="16534200000"/>
  </r>
  <r>
    <d v="2026-03-25T00:00:00"/>
    <x v="2"/>
    <x v="2"/>
    <x v="12"/>
    <x v="24"/>
    <x v="5"/>
    <x v="5"/>
    <x v="3"/>
    <n v="1549129864"/>
  </r>
  <r>
    <d v="2026-03-25T00:00:00"/>
    <x v="2"/>
    <x v="2"/>
    <x v="12"/>
    <x v="24"/>
    <x v="27"/>
    <x v="19"/>
    <x v="0"/>
    <n v="13166604000"/>
  </r>
  <r>
    <d v="2026-03-25T00:00:00"/>
    <x v="2"/>
    <x v="2"/>
    <x v="12"/>
    <x v="24"/>
    <x v="15"/>
    <x v="14"/>
    <x v="4"/>
    <n v="6570346"/>
  </r>
  <r>
    <d v="2026-03-25T00:00:00"/>
    <x v="2"/>
    <x v="2"/>
    <x v="12"/>
    <x v="24"/>
    <x v="31"/>
    <x v="22"/>
    <x v="1"/>
    <n v="0"/>
  </r>
  <r>
    <d v="2026-03-25T00:00:00"/>
    <x v="2"/>
    <x v="2"/>
    <x v="12"/>
    <x v="24"/>
    <x v="14"/>
    <x v="13"/>
    <x v="1"/>
    <n v="2007250000"/>
  </r>
  <r>
    <d v="2026-03-25T00:00:00"/>
    <x v="2"/>
    <x v="2"/>
    <x v="12"/>
    <x v="24"/>
    <x v="33"/>
    <x v="13"/>
    <x v="1"/>
    <n v="590790000"/>
  </r>
  <r>
    <d v="2026-03-25T00:00:00"/>
    <x v="2"/>
    <x v="2"/>
    <x v="12"/>
    <x v="24"/>
    <x v="23"/>
    <x v="17"/>
    <x v="4"/>
    <n v="918134"/>
  </r>
  <r>
    <d v="2026-03-25T00:00:00"/>
    <x v="2"/>
    <x v="2"/>
    <x v="12"/>
    <x v="24"/>
    <x v="28"/>
    <x v="17"/>
    <x v="4"/>
    <n v="733219421"/>
  </r>
  <r>
    <d v="2026-03-25T00:00:00"/>
    <x v="2"/>
    <x v="2"/>
    <x v="12"/>
    <x v="24"/>
    <x v="8"/>
    <x v="8"/>
    <x v="1"/>
    <n v="0"/>
  </r>
  <r>
    <d v="2026-03-25T00:00:00"/>
    <x v="2"/>
    <x v="2"/>
    <x v="12"/>
    <x v="24"/>
    <x v="26"/>
    <x v="16"/>
    <x v="1"/>
    <n v="88200000"/>
  </r>
  <r>
    <d v="2026-03-25T00:00:00"/>
    <x v="2"/>
    <x v="2"/>
    <x v="12"/>
    <x v="24"/>
    <x v="32"/>
    <x v="16"/>
    <x v="1"/>
    <n v="33000000"/>
  </r>
  <r>
    <d v="2026-03-25T00:00:00"/>
    <x v="2"/>
    <x v="2"/>
    <x v="12"/>
    <x v="24"/>
    <x v="2"/>
    <x v="2"/>
    <x v="1"/>
    <n v="15584130000"/>
  </r>
  <r>
    <d v="2026-03-25T00:00:00"/>
    <x v="2"/>
    <x v="2"/>
    <x v="12"/>
    <x v="24"/>
    <x v="17"/>
    <x v="9"/>
    <x v="1"/>
    <n v="0"/>
  </r>
  <r>
    <d v="2026-03-25T00:00:00"/>
    <x v="2"/>
    <x v="2"/>
    <x v="12"/>
    <x v="24"/>
    <x v="20"/>
    <x v="9"/>
    <x v="1"/>
    <n v="0"/>
  </r>
  <r>
    <d v="2026-03-25T00:00:00"/>
    <x v="2"/>
    <x v="2"/>
    <x v="12"/>
    <x v="24"/>
    <x v="21"/>
    <x v="9"/>
    <x v="1"/>
    <n v="0"/>
  </r>
  <r>
    <d v="2026-03-25T00:00:00"/>
    <x v="2"/>
    <x v="2"/>
    <x v="12"/>
    <x v="24"/>
    <x v="25"/>
    <x v="2"/>
    <x v="1"/>
    <n v="0"/>
  </r>
  <r>
    <d v="2026-03-25T00:00:00"/>
    <x v="2"/>
    <x v="2"/>
    <x v="12"/>
    <x v="24"/>
    <x v="0"/>
    <x v="0"/>
    <x v="0"/>
    <n v="10550196000"/>
  </r>
  <r>
    <d v="2026-03-25T00:00:00"/>
    <x v="2"/>
    <x v="2"/>
    <x v="12"/>
    <x v="24"/>
    <x v="7"/>
    <x v="7"/>
    <x v="4"/>
    <n v="129784512"/>
  </r>
  <r>
    <d v="2026-03-25T00:00:00"/>
    <x v="2"/>
    <x v="2"/>
    <x v="12"/>
    <x v="24"/>
    <x v="1"/>
    <x v="1"/>
    <x v="1"/>
    <n v="42000000"/>
  </r>
  <r>
    <d v="2026-03-25T00:00:00"/>
    <x v="2"/>
    <x v="2"/>
    <x v="12"/>
    <x v="24"/>
    <x v="6"/>
    <x v="6"/>
    <x v="0"/>
    <n v="62000000"/>
  </r>
  <r>
    <d v="2026-03-25T00:00:00"/>
    <x v="2"/>
    <x v="2"/>
    <x v="12"/>
    <x v="24"/>
    <x v="18"/>
    <x v="15"/>
    <x v="1"/>
    <n v="814810000"/>
  </r>
  <r>
    <d v="2026-03-25T00:00:00"/>
    <x v="2"/>
    <x v="2"/>
    <x v="12"/>
    <x v="24"/>
    <x v="29"/>
    <x v="20"/>
    <x v="0"/>
    <n v="200124000"/>
  </r>
  <r>
    <d v="2026-03-25T00:00:00"/>
    <x v="2"/>
    <x v="2"/>
    <x v="12"/>
    <x v="24"/>
    <x v="19"/>
    <x v="12"/>
    <x v="4"/>
    <n v="334914405"/>
  </r>
  <r>
    <d v="2026-03-25T00:00:00"/>
    <x v="2"/>
    <x v="2"/>
    <x v="12"/>
    <x v="24"/>
    <x v="24"/>
    <x v="18"/>
    <x v="1"/>
    <n v="3132060000"/>
  </r>
  <r>
    <d v="2026-03-25T00:00:00"/>
    <x v="2"/>
    <x v="2"/>
    <x v="12"/>
    <x v="24"/>
    <x v="30"/>
    <x v="21"/>
    <x v="0"/>
    <n v="11880000"/>
  </r>
  <r>
    <d v="2026-03-26T00:00:00"/>
    <x v="2"/>
    <x v="2"/>
    <x v="12"/>
    <x v="25"/>
    <x v="3"/>
    <x v="3"/>
    <x v="1"/>
    <n v="652160000"/>
  </r>
  <r>
    <d v="2026-03-26T00:00:00"/>
    <x v="2"/>
    <x v="2"/>
    <x v="12"/>
    <x v="25"/>
    <x v="11"/>
    <x v="10"/>
    <x v="4"/>
    <n v="269557885"/>
  </r>
  <r>
    <d v="2026-03-26T00:00:00"/>
    <x v="2"/>
    <x v="2"/>
    <x v="12"/>
    <x v="25"/>
    <x v="12"/>
    <x v="11"/>
    <x v="1"/>
    <n v="13958880000"/>
  </r>
  <r>
    <d v="2026-03-26T00:00:00"/>
    <x v="2"/>
    <x v="2"/>
    <x v="12"/>
    <x v="25"/>
    <x v="5"/>
    <x v="5"/>
    <x v="3"/>
    <n v="1669586175"/>
  </r>
  <r>
    <d v="2026-03-26T00:00:00"/>
    <x v="2"/>
    <x v="2"/>
    <x v="12"/>
    <x v="25"/>
    <x v="27"/>
    <x v="19"/>
    <x v="0"/>
    <n v="12550248000"/>
  </r>
  <r>
    <d v="2026-03-26T00:00:00"/>
    <x v="2"/>
    <x v="2"/>
    <x v="12"/>
    <x v="25"/>
    <x v="15"/>
    <x v="14"/>
    <x v="4"/>
    <n v="2133905"/>
  </r>
  <r>
    <d v="2026-03-26T00:00:00"/>
    <x v="2"/>
    <x v="2"/>
    <x v="12"/>
    <x v="25"/>
    <x v="31"/>
    <x v="22"/>
    <x v="1"/>
    <n v="180000000"/>
  </r>
  <r>
    <d v="2026-03-26T00:00:00"/>
    <x v="2"/>
    <x v="2"/>
    <x v="12"/>
    <x v="25"/>
    <x v="14"/>
    <x v="13"/>
    <x v="1"/>
    <n v="2195470000"/>
  </r>
  <r>
    <d v="2026-03-26T00:00:00"/>
    <x v="2"/>
    <x v="2"/>
    <x v="12"/>
    <x v="25"/>
    <x v="33"/>
    <x v="13"/>
    <x v="1"/>
    <n v="814550000"/>
  </r>
  <r>
    <d v="2026-03-26T00:00:00"/>
    <x v="2"/>
    <x v="2"/>
    <x v="12"/>
    <x v="25"/>
    <x v="23"/>
    <x v="17"/>
    <x v="4"/>
    <n v="4126898"/>
  </r>
  <r>
    <d v="2026-03-26T00:00:00"/>
    <x v="2"/>
    <x v="2"/>
    <x v="12"/>
    <x v="25"/>
    <x v="28"/>
    <x v="17"/>
    <x v="4"/>
    <n v="622647077"/>
  </r>
  <r>
    <d v="2026-03-26T00:00:00"/>
    <x v="2"/>
    <x v="2"/>
    <x v="12"/>
    <x v="25"/>
    <x v="8"/>
    <x v="8"/>
    <x v="1"/>
    <n v="0"/>
  </r>
  <r>
    <d v="2026-03-26T00:00:00"/>
    <x v="2"/>
    <x v="2"/>
    <x v="12"/>
    <x v="25"/>
    <x v="26"/>
    <x v="16"/>
    <x v="1"/>
    <n v="80900000"/>
  </r>
  <r>
    <d v="2026-03-26T00:00:00"/>
    <x v="2"/>
    <x v="2"/>
    <x v="12"/>
    <x v="25"/>
    <x v="32"/>
    <x v="16"/>
    <x v="1"/>
    <n v="90000000"/>
  </r>
  <r>
    <d v="2026-03-26T00:00:00"/>
    <x v="2"/>
    <x v="2"/>
    <x v="12"/>
    <x v="25"/>
    <x v="2"/>
    <x v="2"/>
    <x v="1"/>
    <n v="14117640000"/>
  </r>
  <r>
    <d v="2026-03-26T00:00:00"/>
    <x v="2"/>
    <x v="2"/>
    <x v="12"/>
    <x v="25"/>
    <x v="17"/>
    <x v="9"/>
    <x v="1"/>
    <n v="0"/>
  </r>
  <r>
    <d v="2026-03-26T00:00:00"/>
    <x v="2"/>
    <x v="2"/>
    <x v="12"/>
    <x v="25"/>
    <x v="20"/>
    <x v="9"/>
    <x v="1"/>
    <n v="0"/>
  </r>
  <r>
    <d v="2026-03-26T00:00:00"/>
    <x v="2"/>
    <x v="2"/>
    <x v="12"/>
    <x v="25"/>
    <x v="21"/>
    <x v="9"/>
    <x v="1"/>
    <n v="0"/>
  </r>
  <r>
    <d v="2026-03-26T00:00:00"/>
    <x v="2"/>
    <x v="2"/>
    <x v="12"/>
    <x v="25"/>
    <x v="25"/>
    <x v="2"/>
    <x v="1"/>
    <n v="0"/>
  </r>
  <r>
    <d v="2026-03-26T00:00:00"/>
    <x v="2"/>
    <x v="2"/>
    <x v="12"/>
    <x v="25"/>
    <x v="0"/>
    <x v="0"/>
    <x v="0"/>
    <n v="9997884000"/>
  </r>
  <r>
    <d v="2026-03-26T00:00:00"/>
    <x v="2"/>
    <x v="2"/>
    <x v="12"/>
    <x v="25"/>
    <x v="7"/>
    <x v="7"/>
    <x v="4"/>
    <n v="134580841"/>
  </r>
  <r>
    <d v="2026-03-26T00:00:00"/>
    <x v="2"/>
    <x v="2"/>
    <x v="12"/>
    <x v="25"/>
    <x v="1"/>
    <x v="1"/>
    <x v="1"/>
    <n v="10500000"/>
  </r>
  <r>
    <d v="2026-03-26T00:00:00"/>
    <x v="2"/>
    <x v="2"/>
    <x v="12"/>
    <x v="25"/>
    <x v="6"/>
    <x v="6"/>
    <x v="0"/>
    <n v="41000000"/>
  </r>
  <r>
    <d v="2026-03-26T00:00:00"/>
    <x v="2"/>
    <x v="2"/>
    <x v="12"/>
    <x v="25"/>
    <x v="18"/>
    <x v="15"/>
    <x v="1"/>
    <n v="619260000"/>
  </r>
  <r>
    <d v="2026-03-26T00:00:00"/>
    <x v="2"/>
    <x v="2"/>
    <x v="12"/>
    <x v="25"/>
    <x v="29"/>
    <x v="20"/>
    <x v="0"/>
    <n v="231660000"/>
  </r>
  <r>
    <d v="2026-03-26T00:00:00"/>
    <x v="2"/>
    <x v="2"/>
    <x v="12"/>
    <x v="25"/>
    <x v="19"/>
    <x v="12"/>
    <x v="4"/>
    <n v="338359237"/>
  </r>
  <r>
    <d v="2026-03-26T00:00:00"/>
    <x v="2"/>
    <x v="2"/>
    <x v="12"/>
    <x v="25"/>
    <x v="24"/>
    <x v="18"/>
    <x v="1"/>
    <n v="3438610000"/>
  </r>
  <r>
    <d v="2026-03-26T00:00:00"/>
    <x v="2"/>
    <x v="2"/>
    <x v="12"/>
    <x v="25"/>
    <x v="30"/>
    <x v="21"/>
    <x v="0"/>
    <n v="30996000"/>
  </r>
  <r>
    <d v="2026-03-27T00:00:00"/>
    <x v="2"/>
    <x v="2"/>
    <x v="12"/>
    <x v="26"/>
    <x v="3"/>
    <x v="3"/>
    <x v="1"/>
    <n v="757300000"/>
  </r>
  <r>
    <d v="2026-03-27T00:00:00"/>
    <x v="2"/>
    <x v="2"/>
    <x v="12"/>
    <x v="26"/>
    <x v="11"/>
    <x v="10"/>
    <x v="4"/>
    <n v="277734584"/>
  </r>
  <r>
    <d v="2026-03-27T00:00:00"/>
    <x v="2"/>
    <x v="2"/>
    <x v="12"/>
    <x v="26"/>
    <x v="12"/>
    <x v="11"/>
    <x v="1"/>
    <n v="14454090000"/>
  </r>
  <r>
    <d v="2026-03-27T00:00:00"/>
    <x v="2"/>
    <x v="2"/>
    <x v="12"/>
    <x v="26"/>
    <x v="5"/>
    <x v="5"/>
    <x v="3"/>
    <n v="1415176565"/>
  </r>
  <r>
    <d v="2026-03-27T00:00:00"/>
    <x v="2"/>
    <x v="2"/>
    <x v="12"/>
    <x v="26"/>
    <x v="27"/>
    <x v="19"/>
    <x v="0"/>
    <n v="13318020000"/>
  </r>
  <r>
    <d v="2026-03-27T00:00:00"/>
    <x v="2"/>
    <x v="2"/>
    <x v="12"/>
    <x v="26"/>
    <x v="15"/>
    <x v="14"/>
    <x v="4"/>
    <n v="2047496"/>
  </r>
  <r>
    <d v="2026-03-27T00:00:00"/>
    <x v="2"/>
    <x v="2"/>
    <x v="12"/>
    <x v="26"/>
    <x v="31"/>
    <x v="22"/>
    <x v="1"/>
    <n v="90000000"/>
  </r>
  <r>
    <d v="2026-03-27T00:00:00"/>
    <x v="2"/>
    <x v="2"/>
    <x v="12"/>
    <x v="26"/>
    <x v="14"/>
    <x v="13"/>
    <x v="1"/>
    <n v="1723540000"/>
  </r>
  <r>
    <d v="2026-03-27T00:00:00"/>
    <x v="2"/>
    <x v="2"/>
    <x v="12"/>
    <x v="26"/>
    <x v="33"/>
    <x v="13"/>
    <x v="1"/>
    <n v="709360000"/>
  </r>
  <r>
    <d v="2026-03-27T00:00:00"/>
    <x v="2"/>
    <x v="2"/>
    <x v="12"/>
    <x v="26"/>
    <x v="23"/>
    <x v="17"/>
    <x v="4"/>
    <n v="4536962"/>
  </r>
  <r>
    <d v="2026-03-27T00:00:00"/>
    <x v="2"/>
    <x v="2"/>
    <x v="12"/>
    <x v="26"/>
    <x v="28"/>
    <x v="17"/>
    <x v="4"/>
    <n v="715815253"/>
  </r>
  <r>
    <d v="2026-03-27T00:00:00"/>
    <x v="2"/>
    <x v="2"/>
    <x v="12"/>
    <x v="26"/>
    <x v="8"/>
    <x v="8"/>
    <x v="1"/>
    <n v="0"/>
  </r>
  <r>
    <d v="2026-03-27T00:00:00"/>
    <x v="2"/>
    <x v="2"/>
    <x v="12"/>
    <x v="26"/>
    <x v="26"/>
    <x v="16"/>
    <x v="1"/>
    <n v="52500000"/>
  </r>
  <r>
    <d v="2026-03-27T00:00:00"/>
    <x v="2"/>
    <x v="2"/>
    <x v="12"/>
    <x v="26"/>
    <x v="32"/>
    <x v="16"/>
    <x v="1"/>
    <n v="0"/>
  </r>
  <r>
    <d v="2026-03-27T00:00:00"/>
    <x v="2"/>
    <x v="2"/>
    <x v="12"/>
    <x v="26"/>
    <x v="2"/>
    <x v="2"/>
    <x v="1"/>
    <n v="15557300000"/>
  </r>
  <r>
    <d v="2026-03-27T00:00:00"/>
    <x v="2"/>
    <x v="2"/>
    <x v="12"/>
    <x v="26"/>
    <x v="17"/>
    <x v="9"/>
    <x v="1"/>
    <n v="0"/>
  </r>
  <r>
    <d v="2026-03-27T00:00:00"/>
    <x v="2"/>
    <x v="2"/>
    <x v="12"/>
    <x v="26"/>
    <x v="20"/>
    <x v="9"/>
    <x v="1"/>
    <n v="0"/>
  </r>
  <r>
    <d v="2026-03-27T00:00:00"/>
    <x v="2"/>
    <x v="2"/>
    <x v="12"/>
    <x v="26"/>
    <x v="21"/>
    <x v="9"/>
    <x v="1"/>
    <n v="0"/>
  </r>
  <r>
    <d v="2026-03-27T00:00:00"/>
    <x v="2"/>
    <x v="2"/>
    <x v="12"/>
    <x v="26"/>
    <x v="25"/>
    <x v="2"/>
    <x v="1"/>
    <n v="0"/>
  </r>
  <r>
    <d v="2026-03-27T00:00:00"/>
    <x v="2"/>
    <x v="2"/>
    <x v="12"/>
    <x v="26"/>
    <x v="0"/>
    <x v="0"/>
    <x v="0"/>
    <n v="10031904000"/>
  </r>
  <r>
    <d v="2026-03-27T00:00:00"/>
    <x v="2"/>
    <x v="2"/>
    <x v="12"/>
    <x v="26"/>
    <x v="7"/>
    <x v="7"/>
    <x v="4"/>
    <n v="147440122"/>
  </r>
  <r>
    <d v="2026-03-27T00:00:00"/>
    <x v="2"/>
    <x v="2"/>
    <x v="12"/>
    <x v="26"/>
    <x v="1"/>
    <x v="1"/>
    <x v="1"/>
    <n v="109250000"/>
  </r>
  <r>
    <d v="2026-03-27T00:00:00"/>
    <x v="2"/>
    <x v="2"/>
    <x v="12"/>
    <x v="26"/>
    <x v="6"/>
    <x v="6"/>
    <x v="0"/>
    <n v="52000000"/>
  </r>
  <r>
    <d v="2026-03-27T00:00:00"/>
    <x v="2"/>
    <x v="2"/>
    <x v="12"/>
    <x v="26"/>
    <x v="18"/>
    <x v="15"/>
    <x v="1"/>
    <n v="938840000"/>
  </r>
  <r>
    <d v="2026-03-27T00:00:00"/>
    <x v="2"/>
    <x v="2"/>
    <x v="12"/>
    <x v="26"/>
    <x v="29"/>
    <x v="20"/>
    <x v="0"/>
    <n v="328104000"/>
  </r>
  <r>
    <d v="2026-03-27T00:00:00"/>
    <x v="2"/>
    <x v="2"/>
    <x v="12"/>
    <x v="26"/>
    <x v="19"/>
    <x v="12"/>
    <x v="4"/>
    <n v="360744201"/>
  </r>
  <r>
    <d v="2026-03-27T00:00:00"/>
    <x v="2"/>
    <x v="2"/>
    <x v="12"/>
    <x v="26"/>
    <x v="24"/>
    <x v="18"/>
    <x v="1"/>
    <n v="3028230000"/>
  </r>
  <r>
    <d v="2026-03-27T00:00:00"/>
    <x v="2"/>
    <x v="2"/>
    <x v="12"/>
    <x v="26"/>
    <x v="30"/>
    <x v="21"/>
    <x v="0"/>
    <n v="4320000"/>
  </r>
  <r>
    <d v="2026-03-28T00:00:00"/>
    <x v="2"/>
    <x v="2"/>
    <x v="12"/>
    <x v="27"/>
    <x v="3"/>
    <x v="3"/>
    <x v="1"/>
    <n v="677070000"/>
  </r>
  <r>
    <d v="2026-03-28T00:00:00"/>
    <x v="2"/>
    <x v="2"/>
    <x v="12"/>
    <x v="27"/>
    <x v="11"/>
    <x v="10"/>
    <x v="4"/>
    <n v="273794305"/>
  </r>
  <r>
    <d v="2026-03-28T00:00:00"/>
    <x v="2"/>
    <x v="2"/>
    <x v="12"/>
    <x v="27"/>
    <x v="12"/>
    <x v="11"/>
    <x v="1"/>
    <n v="12398330000"/>
  </r>
  <r>
    <d v="2026-03-28T00:00:00"/>
    <x v="2"/>
    <x v="2"/>
    <x v="12"/>
    <x v="27"/>
    <x v="5"/>
    <x v="5"/>
    <x v="3"/>
    <n v="1305929004"/>
  </r>
  <r>
    <d v="2026-03-28T00:00:00"/>
    <x v="2"/>
    <x v="2"/>
    <x v="12"/>
    <x v="27"/>
    <x v="27"/>
    <x v="19"/>
    <x v="0"/>
    <n v="11948796000"/>
  </r>
  <r>
    <d v="2026-03-28T00:00:00"/>
    <x v="2"/>
    <x v="2"/>
    <x v="12"/>
    <x v="27"/>
    <x v="15"/>
    <x v="14"/>
    <x v="4"/>
    <n v="2802019"/>
  </r>
  <r>
    <d v="2026-03-28T00:00:00"/>
    <x v="2"/>
    <x v="2"/>
    <x v="12"/>
    <x v="27"/>
    <x v="31"/>
    <x v="22"/>
    <x v="1"/>
    <n v="35000000"/>
  </r>
  <r>
    <d v="2026-03-28T00:00:00"/>
    <x v="2"/>
    <x v="2"/>
    <x v="12"/>
    <x v="27"/>
    <x v="14"/>
    <x v="13"/>
    <x v="1"/>
    <n v="2368860000"/>
  </r>
  <r>
    <d v="2026-03-28T00:00:00"/>
    <x v="2"/>
    <x v="2"/>
    <x v="12"/>
    <x v="27"/>
    <x v="33"/>
    <x v="13"/>
    <x v="1"/>
    <n v="1046200000"/>
  </r>
  <r>
    <d v="2026-03-28T00:00:00"/>
    <x v="2"/>
    <x v="2"/>
    <x v="12"/>
    <x v="27"/>
    <x v="23"/>
    <x v="17"/>
    <x v="4"/>
    <n v="3964267"/>
  </r>
  <r>
    <d v="2026-03-28T00:00:00"/>
    <x v="2"/>
    <x v="2"/>
    <x v="12"/>
    <x v="27"/>
    <x v="28"/>
    <x v="17"/>
    <x v="4"/>
    <n v="868090181"/>
  </r>
  <r>
    <d v="2026-03-28T00:00:00"/>
    <x v="2"/>
    <x v="2"/>
    <x v="12"/>
    <x v="27"/>
    <x v="8"/>
    <x v="8"/>
    <x v="1"/>
    <n v="0"/>
  </r>
  <r>
    <d v="2026-03-28T00:00:00"/>
    <x v="2"/>
    <x v="2"/>
    <x v="12"/>
    <x v="27"/>
    <x v="26"/>
    <x v="16"/>
    <x v="1"/>
    <n v="17000000"/>
  </r>
  <r>
    <d v="2026-03-28T00:00:00"/>
    <x v="2"/>
    <x v="2"/>
    <x v="12"/>
    <x v="27"/>
    <x v="32"/>
    <x v="16"/>
    <x v="1"/>
    <n v="0"/>
  </r>
  <r>
    <d v="2026-03-28T00:00:00"/>
    <x v="2"/>
    <x v="2"/>
    <x v="12"/>
    <x v="27"/>
    <x v="2"/>
    <x v="2"/>
    <x v="1"/>
    <n v="15321170000"/>
  </r>
  <r>
    <d v="2026-03-28T00:00:00"/>
    <x v="2"/>
    <x v="2"/>
    <x v="12"/>
    <x v="27"/>
    <x v="17"/>
    <x v="9"/>
    <x v="1"/>
    <n v="0"/>
  </r>
  <r>
    <d v="2026-03-28T00:00:00"/>
    <x v="2"/>
    <x v="2"/>
    <x v="12"/>
    <x v="27"/>
    <x v="20"/>
    <x v="9"/>
    <x v="1"/>
    <n v="0"/>
  </r>
  <r>
    <d v="2026-03-28T00:00:00"/>
    <x v="2"/>
    <x v="2"/>
    <x v="12"/>
    <x v="27"/>
    <x v="21"/>
    <x v="9"/>
    <x v="1"/>
    <n v="0"/>
  </r>
  <r>
    <d v="2026-03-28T00:00:00"/>
    <x v="2"/>
    <x v="2"/>
    <x v="12"/>
    <x v="27"/>
    <x v="25"/>
    <x v="2"/>
    <x v="1"/>
    <n v="0"/>
  </r>
  <r>
    <d v="2026-03-28T00:00:00"/>
    <x v="2"/>
    <x v="2"/>
    <x v="12"/>
    <x v="27"/>
    <x v="0"/>
    <x v="0"/>
    <x v="0"/>
    <n v="9915048000"/>
  </r>
  <r>
    <d v="2026-03-28T00:00:00"/>
    <x v="2"/>
    <x v="2"/>
    <x v="12"/>
    <x v="27"/>
    <x v="7"/>
    <x v="7"/>
    <x v="4"/>
    <n v="130096861"/>
  </r>
  <r>
    <d v="2026-03-28T00:00:00"/>
    <x v="2"/>
    <x v="2"/>
    <x v="12"/>
    <x v="27"/>
    <x v="1"/>
    <x v="1"/>
    <x v="1"/>
    <n v="68250000"/>
  </r>
  <r>
    <d v="2026-03-28T00:00:00"/>
    <x v="2"/>
    <x v="2"/>
    <x v="12"/>
    <x v="27"/>
    <x v="6"/>
    <x v="6"/>
    <x v="0"/>
    <n v="65000000"/>
  </r>
  <r>
    <d v="2026-03-28T00:00:00"/>
    <x v="2"/>
    <x v="2"/>
    <x v="12"/>
    <x v="27"/>
    <x v="18"/>
    <x v="15"/>
    <x v="1"/>
    <n v="935980000"/>
  </r>
  <r>
    <d v="2026-03-28T00:00:00"/>
    <x v="2"/>
    <x v="2"/>
    <x v="12"/>
    <x v="27"/>
    <x v="29"/>
    <x v="20"/>
    <x v="0"/>
    <n v="326700000"/>
  </r>
  <r>
    <d v="2026-03-28T00:00:00"/>
    <x v="2"/>
    <x v="2"/>
    <x v="12"/>
    <x v="27"/>
    <x v="19"/>
    <x v="12"/>
    <x v="4"/>
    <n v="351764250"/>
  </r>
  <r>
    <d v="2026-03-28T00:00:00"/>
    <x v="2"/>
    <x v="2"/>
    <x v="12"/>
    <x v="27"/>
    <x v="24"/>
    <x v="18"/>
    <x v="1"/>
    <n v="2806780000"/>
  </r>
  <r>
    <d v="2026-03-28T00:00:00"/>
    <x v="2"/>
    <x v="2"/>
    <x v="12"/>
    <x v="27"/>
    <x v="30"/>
    <x v="21"/>
    <x v="0"/>
    <n v="3240000"/>
  </r>
  <r>
    <d v="2026-03-29T00:00:00"/>
    <x v="2"/>
    <x v="2"/>
    <x v="12"/>
    <x v="28"/>
    <x v="3"/>
    <x v="3"/>
    <x v="1"/>
    <n v="662610000"/>
  </r>
  <r>
    <d v="2026-03-29T00:00:00"/>
    <x v="2"/>
    <x v="2"/>
    <x v="12"/>
    <x v="28"/>
    <x v="11"/>
    <x v="10"/>
    <x v="4"/>
    <n v="316649498"/>
  </r>
  <r>
    <d v="2026-03-29T00:00:00"/>
    <x v="2"/>
    <x v="2"/>
    <x v="12"/>
    <x v="28"/>
    <x v="12"/>
    <x v="11"/>
    <x v="1"/>
    <n v="10164860000"/>
  </r>
  <r>
    <d v="2026-03-29T00:00:00"/>
    <x v="2"/>
    <x v="2"/>
    <x v="12"/>
    <x v="28"/>
    <x v="5"/>
    <x v="5"/>
    <x v="3"/>
    <n v="1296102256"/>
  </r>
  <r>
    <d v="2026-03-29T00:00:00"/>
    <x v="2"/>
    <x v="2"/>
    <x v="12"/>
    <x v="28"/>
    <x v="27"/>
    <x v="19"/>
    <x v="0"/>
    <n v="11300580000"/>
  </r>
  <r>
    <d v="2026-03-29T00:00:00"/>
    <x v="2"/>
    <x v="2"/>
    <x v="12"/>
    <x v="28"/>
    <x v="15"/>
    <x v="14"/>
    <x v="4"/>
    <n v="3356656"/>
  </r>
  <r>
    <d v="2026-03-29T00:00:00"/>
    <x v="2"/>
    <x v="2"/>
    <x v="12"/>
    <x v="28"/>
    <x v="31"/>
    <x v="22"/>
    <x v="1"/>
    <n v="0"/>
  </r>
  <r>
    <d v="2026-03-29T00:00:00"/>
    <x v="2"/>
    <x v="2"/>
    <x v="12"/>
    <x v="28"/>
    <x v="14"/>
    <x v="13"/>
    <x v="1"/>
    <n v="2775080000"/>
  </r>
  <r>
    <d v="2026-03-29T00:00:00"/>
    <x v="2"/>
    <x v="2"/>
    <x v="12"/>
    <x v="28"/>
    <x v="33"/>
    <x v="13"/>
    <x v="1"/>
    <n v="896920000"/>
  </r>
  <r>
    <d v="2026-03-29T00:00:00"/>
    <x v="2"/>
    <x v="2"/>
    <x v="12"/>
    <x v="28"/>
    <x v="23"/>
    <x v="17"/>
    <x v="4"/>
    <n v="6972182"/>
  </r>
  <r>
    <d v="2026-03-29T00:00:00"/>
    <x v="2"/>
    <x v="2"/>
    <x v="12"/>
    <x v="28"/>
    <x v="28"/>
    <x v="17"/>
    <x v="4"/>
    <n v="1049981885"/>
  </r>
  <r>
    <d v="2026-03-29T00:00:00"/>
    <x v="2"/>
    <x v="2"/>
    <x v="12"/>
    <x v="28"/>
    <x v="8"/>
    <x v="8"/>
    <x v="1"/>
    <n v="0"/>
  </r>
  <r>
    <d v="2026-03-29T00:00:00"/>
    <x v="2"/>
    <x v="2"/>
    <x v="12"/>
    <x v="28"/>
    <x v="26"/>
    <x v="16"/>
    <x v="1"/>
    <n v="10500000"/>
  </r>
  <r>
    <d v="2026-03-29T00:00:00"/>
    <x v="2"/>
    <x v="2"/>
    <x v="12"/>
    <x v="28"/>
    <x v="32"/>
    <x v="16"/>
    <x v="1"/>
    <n v="0"/>
  </r>
  <r>
    <d v="2026-03-29T00:00:00"/>
    <x v="2"/>
    <x v="2"/>
    <x v="12"/>
    <x v="28"/>
    <x v="2"/>
    <x v="2"/>
    <x v="1"/>
    <n v="14703700000"/>
  </r>
  <r>
    <d v="2026-03-29T00:00:00"/>
    <x v="2"/>
    <x v="2"/>
    <x v="12"/>
    <x v="28"/>
    <x v="17"/>
    <x v="9"/>
    <x v="1"/>
    <n v="0"/>
  </r>
  <r>
    <d v="2026-03-29T00:00:00"/>
    <x v="2"/>
    <x v="2"/>
    <x v="12"/>
    <x v="28"/>
    <x v="20"/>
    <x v="9"/>
    <x v="1"/>
    <n v="0"/>
  </r>
  <r>
    <d v="2026-03-29T00:00:00"/>
    <x v="2"/>
    <x v="2"/>
    <x v="12"/>
    <x v="28"/>
    <x v="21"/>
    <x v="9"/>
    <x v="1"/>
    <n v="0"/>
  </r>
  <r>
    <d v="2026-03-29T00:00:00"/>
    <x v="2"/>
    <x v="2"/>
    <x v="12"/>
    <x v="28"/>
    <x v="25"/>
    <x v="2"/>
    <x v="1"/>
    <n v="0"/>
  </r>
  <r>
    <d v="2026-03-29T00:00:00"/>
    <x v="2"/>
    <x v="2"/>
    <x v="12"/>
    <x v="28"/>
    <x v="0"/>
    <x v="0"/>
    <x v="0"/>
    <n v="10008360000"/>
  </r>
  <r>
    <d v="2026-03-29T00:00:00"/>
    <x v="2"/>
    <x v="2"/>
    <x v="12"/>
    <x v="28"/>
    <x v="7"/>
    <x v="7"/>
    <x v="4"/>
    <n v="137201286"/>
  </r>
  <r>
    <d v="2026-03-29T00:00:00"/>
    <x v="2"/>
    <x v="2"/>
    <x v="12"/>
    <x v="28"/>
    <x v="1"/>
    <x v="1"/>
    <x v="1"/>
    <n v="63000000"/>
  </r>
  <r>
    <d v="2026-03-29T00:00:00"/>
    <x v="2"/>
    <x v="2"/>
    <x v="12"/>
    <x v="28"/>
    <x v="6"/>
    <x v="6"/>
    <x v="0"/>
    <n v="43000000"/>
  </r>
  <r>
    <d v="2026-03-29T00:00:00"/>
    <x v="2"/>
    <x v="2"/>
    <x v="12"/>
    <x v="28"/>
    <x v="18"/>
    <x v="15"/>
    <x v="1"/>
    <n v="575390000"/>
  </r>
  <r>
    <d v="2026-03-29T00:00:00"/>
    <x v="2"/>
    <x v="2"/>
    <x v="12"/>
    <x v="28"/>
    <x v="29"/>
    <x v="20"/>
    <x v="0"/>
    <n v="199260000"/>
  </r>
  <r>
    <d v="2026-03-29T00:00:00"/>
    <x v="2"/>
    <x v="2"/>
    <x v="12"/>
    <x v="28"/>
    <x v="19"/>
    <x v="12"/>
    <x v="4"/>
    <n v="302359652"/>
  </r>
  <r>
    <d v="2026-03-29T00:00:00"/>
    <x v="2"/>
    <x v="2"/>
    <x v="12"/>
    <x v="28"/>
    <x v="24"/>
    <x v="18"/>
    <x v="1"/>
    <n v="2793520000"/>
  </r>
  <r>
    <d v="2026-03-29T00:00:00"/>
    <x v="2"/>
    <x v="2"/>
    <x v="12"/>
    <x v="28"/>
    <x v="30"/>
    <x v="21"/>
    <x v="0"/>
    <n v="19440000"/>
  </r>
  <r>
    <d v="2026-03-30T00:00:00"/>
    <x v="2"/>
    <x v="2"/>
    <x v="13"/>
    <x v="29"/>
    <x v="3"/>
    <x v="3"/>
    <x v="1"/>
    <n v="993310000"/>
  </r>
  <r>
    <d v="2026-03-30T00:00:00"/>
    <x v="2"/>
    <x v="2"/>
    <x v="13"/>
    <x v="29"/>
    <x v="11"/>
    <x v="10"/>
    <x v="4"/>
    <n v="281625178"/>
  </r>
  <r>
    <d v="2026-03-30T00:00:00"/>
    <x v="2"/>
    <x v="2"/>
    <x v="13"/>
    <x v="29"/>
    <x v="12"/>
    <x v="11"/>
    <x v="1"/>
    <n v="23109140000"/>
  </r>
  <r>
    <d v="2026-03-30T00:00:00"/>
    <x v="2"/>
    <x v="2"/>
    <x v="13"/>
    <x v="29"/>
    <x v="5"/>
    <x v="5"/>
    <x v="3"/>
    <n v="2111846731"/>
  </r>
  <r>
    <d v="2026-03-30T00:00:00"/>
    <x v="2"/>
    <x v="2"/>
    <x v="13"/>
    <x v="29"/>
    <x v="27"/>
    <x v="19"/>
    <x v="0"/>
    <n v="13423212000"/>
  </r>
  <r>
    <d v="2026-03-30T00:00:00"/>
    <x v="2"/>
    <x v="2"/>
    <x v="13"/>
    <x v="29"/>
    <x v="15"/>
    <x v="14"/>
    <x v="4"/>
    <n v="727428"/>
  </r>
  <r>
    <d v="2026-03-30T00:00:00"/>
    <x v="2"/>
    <x v="2"/>
    <x v="13"/>
    <x v="29"/>
    <x v="31"/>
    <x v="22"/>
    <x v="1"/>
    <n v="0"/>
  </r>
  <r>
    <d v="2026-03-30T00:00:00"/>
    <x v="2"/>
    <x v="2"/>
    <x v="13"/>
    <x v="29"/>
    <x v="14"/>
    <x v="13"/>
    <x v="1"/>
    <n v="2801700000"/>
  </r>
  <r>
    <d v="2026-03-30T00:00:00"/>
    <x v="2"/>
    <x v="2"/>
    <x v="13"/>
    <x v="29"/>
    <x v="33"/>
    <x v="13"/>
    <x v="1"/>
    <n v="723830000"/>
  </r>
  <r>
    <d v="2026-03-30T00:00:00"/>
    <x v="2"/>
    <x v="2"/>
    <x v="13"/>
    <x v="29"/>
    <x v="23"/>
    <x v="17"/>
    <x v="4"/>
    <n v="4213371"/>
  </r>
  <r>
    <d v="2026-03-30T00:00:00"/>
    <x v="2"/>
    <x v="2"/>
    <x v="13"/>
    <x v="29"/>
    <x v="28"/>
    <x v="17"/>
    <x v="4"/>
    <n v="699971960"/>
  </r>
  <r>
    <d v="2026-03-30T00:00:00"/>
    <x v="2"/>
    <x v="2"/>
    <x v="13"/>
    <x v="29"/>
    <x v="8"/>
    <x v="8"/>
    <x v="1"/>
    <n v="0"/>
  </r>
  <r>
    <d v="2026-03-30T00:00:00"/>
    <x v="2"/>
    <x v="2"/>
    <x v="13"/>
    <x v="29"/>
    <x v="26"/>
    <x v="16"/>
    <x v="1"/>
    <n v="56500000"/>
  </r>
  <r>
    <d v="2026-03-30T00:00:00"/>
    <x v="2"/>
    <x v="2"/>
    <x v="13"/>
    <x v="29"/>
    <x v="32"/>
    <x v="16"/>
    <x v="1"/>
    <n v="0"/>
  </r>
  <r>
    <d v="2026-03-30T00:00:00"/>
    <x v="2"/>
    <x v="2"/>
    <x v="13"/>
    <x v="29"/>
    <x v="2"/>
    <x v="2"/>
    <x v="1"/>
    <n v="17333700000"/>
  </r>
  <r>
    <d v="2026-03-30T00:00:00"/>
    <x v="2"/>
    <x v="2"/>
    <x v="13"/>
    <x v="29"/>
    <x v="17"/>
    <x v="9"/>
    <x v="1"/>
    <n v="0"/>
  </r>
  <r>
    <d v="2026-03-30T00:00:00"/>
    <x v="2"/>
    <x v="2"/>
    <x v="13"/>
    <x v="29"/>
    <x v="20"/>
    <x v="9"/>
    <x v="1"/>
    <n v="0"/>
  </r>
  <r>
    <d v="2026-03-30T00:00:00"/>
    <x v="2"/>
    <x v="2"/>
    <x v="13"/>
    <x v="29"/>
    <x v="21"/>
    <x v="9"/>
    <x v="1"/>
    <n v="0"/>
  </r>
  <r>
    <d v="2026-03-30T00:00:00"/>
    <x v="2"/>
    <x v="2"/>
    <x v="13"/>
    <x v="29"/>
    <x v="25"/>
    <x v="2"/>
    <x v="1"/>
    <n v="0"/>
  </r>
  <r>
    <d v="2026-03-30T00:00:00"/>
    <x v="2"/>
    <x v="2"/>
    <x v="13"/>
    <x v="29"/>
    <x v="0"/>
    <x v="0"/>
    <x v="0"/>
    <n v="10073808000"/>
  </r>
  <r>
    <d v="2026-03-30T00:00:00"/>
    <x v="2"/>
    <x v="2"/>
    <x v="13"/>
    <x v="29"/>
    <x v="7"/>
    <x v="7"/>
    <x v="4"/>
    <n v="152400733"/>
  </r>
  <r>
    <d v="2026-03-30T00:00:00"/>
    <x v="2"/>
    <x v="2"/>
    <x v="13"/>
    <x v="29"/>
    <x v="1"/>
    <x v="1"/>
    <x v="1"/>
    <n v="42000000"/>
  </r>
  <r>
    <d v="2026-03-30T00:00:00"/>
    <x v="2"/>
    <x v="2"/>
    <x v="13"/>
    <x v="29"/>
    <x v="6"/>
    <x v="6"/>
    <x v="0"/>
    <n v="69000000"/>
  </r>
  <r>
    <d v="2026-03-30T00:00:00"/>
    <x v="2"/>
    <x v="2"/>
    <x v="13"/>
    <x v="29"/>
    <x v="18"/>
    <x v="15"/>
    <x v="1"/>
    <n v="815880000"/>
  </r>
  <r>
    <d v="2026-03-30T00:00:00"/>
    <x v="2"/>
    <x v="2"/>
    <x v="13"/>
    <x v="29"/>
    <x v="29"/>
    <x v="20"/>
    <x v="0"/>
    <n v="290844000"/>
  </r>
  <r>
    <d v="2026-03-30T00:00:00"/>
    <x v="2"/>
    <x v="2"/>
    <x v="13"/>
    <x v="29"/>
    <x v="19"/>
    <x v="12"/>
    <x v="4"/>
    <n v="406227567"/>
  </r>
  <r>
    <d v="2026-03-30T00:00:00"/>
    <x v="2"/>
    <x v="2"/>
    <x v="13"/>
    <x v="29"/>
    <x v="24"/>
    <x v="18"/>
    <x v="1"/>
    <n v="3728950000"/>
  </r>
  <r>
    <d v="2026-03-30T00:00:00"/>
    <x v="2"/>
    <x v="2"/>
    <x v="13"/>
    <x v="29"/>
    <x v="30"/>
    <x v="21"/>
    <x v="0"/>
    <n v="2160000"/>
  </r>
  <r>
    <d v="2026-03-31T00:00:00"/>
    <x v="2"/>
    <x v="2"/>
    <x v="13"/>
    <x v="30"/>
    <x v="3"/>
    <x v="3"/>
    <x v="1"/>
    <n v="494560000"/>
  </r>
  <r>
    <d v="2026-03-31T00:00:00"/>
    <x v="2"/>
    <x v="2"/>
    <x v="13"/>
    <x v="30"/>
    <x v="11"/>
    <x v="10"/>
    <x v="4"/>
    <n v="278192946"/>
  </r>
  <r>
    <d v="2026-03-31T00:00:00"/>
    <x v="2"/>
    <x v="2"/>
    <x v="13"/>
    <x v="30"/>
    <x v="12"/>
    <x v="11"/>
    <x v="1"/>
    <n v="21130850000"/>
  </r>
  <r>
    <d v="2026-03-31T00:00:00"/>
    <x v="2"/>
    <x v="2"/>
    <x v="13"/>
    <x v="30"/>
    <x v="5"/>
    <x v="5"/>
    <x v="3"/>
    <n v="1650036262"/>
  </r>
  <r>
    <d v="2026-03-31T00:00:00"/>
    <x v="2"/>
    <x v="2"/>
    <x v="13"/>
    <x v="30"/>
    <x v="27"/>
    <x v="19"/>
    <x v="0"/>
    <n v="14102100000"/>
  </r>
  <r>
    <d v="2026-03-31T00:00:00"/>
    <x v="2"/>
    <x v="2"/>
    <x v="13"/>
    <x v="30"/>
    <x v="15"/>
    <x v="14"/>
    <x v="4"/>
    <n v="3835390"/>
  </r>
  <r>
    <d v="2026-03-31T00:00:00"/>
    <x v="2"/>
    <x v="2"/>
    <x v="13"/>
    <x v="30"/>
    <x v="31"/>
    <x v="22"/>
    <x v="1"/>
    <n v="0"/>
  </r>
  <r>
    <d v="2026-03-31T00:00:00"/>
    <x v="2"/>
    <x v="2"/>
    <x v="13"/>
    <x v="30"/>
    <x v="14"/>
    <x v="13"/>
    <x v="1"/>
    <n v="2271050000"/>
  </r>
  <r>
    <d v="2026-03-31T00:00:00"/>
    <x v="2"/>
    <x v="2"/>
    <x v="13"/>
    <x v="30"/>
    <x v="33"/>
    <x v="13"/>
    <x v="1"/>
    <n v="765370000"/>
  </r>
  <r>
    <d v="2026-03-31T00:00:00"/>
    <x v="2"/>
    <x v="2"/>
    <x v="13"/>
    <x v="30"/>
    <x v="23"/>
    <x v="17"/>
    <x v="4"/>
    <n v="9824710"/>
  </r>
  <r>
    <d v="2026-03-31T00:00:00"/>
    <x v="2"/>
    <x v="2"/>
    <x v="13"/>
    <x v="30"/>
    <x v="28"/>
    <x v="17"/>
    <x v="4"/>
    <n v="736425134"/>
  </r>
  <r>
    <d v="2026-03-31T00:00:00"/>
    <x v="2"/>
    <x v="2"/>
    <x v="13"/>
    <x v="30"/>
    <x v="8"/>
    <x v="8"/>
    <x v="1"/>
    <n v="0"/>
  </r>
  <r>
    <d v="2026-03-31T00:00:00"/>
    <x v="2"/>
    <x v="2"/>
    <x v="13"/>
    <x v="30"/>
    <x v="26"/>
    <x v="16"/>
    <x v="1"/>
    <n v="61000000"/>
  </r>
  <r>
    <d v="2026-03-31T00:00:00"/>
    <x v="2"/>
    <x v="2"/>
    <x v="13"/>
    <x v="30"/>
    <x v="32"/>
    <x v="16"/>
    <x v="1"/>
    <n v="0"/>
  </r>
  <r>
    <d v="2026-03-31T00:00:00"/>
    <x v="2"/>
    <x v="2"/>
    <x v="13"/>
    <x v="30"/>
    <x v="2"/>
    <x v="2"/>
    <x v="1"/>
    <n v="16357500000"/>
  </r>
  <r>
    <d v="2026-03-31T00:00:00"/>
    <x v="2"/>
    <x v="2"/>
    <x v="13"/>
    <x v="30"/>
    <x v="17"/>
    <x v="9"/>
    <x v="1"/>
    <n v="0"/>
  </r>
  <r>
    <d v="2026-03-31T00:00:00"/>
    <x v="2"/>
    <x v="2"/>
    <x v="13"/>
    <x v="30"/>
    <x v="20"/>
    <x v="9"/>
    <x v="1"/>
    <n v="0"/>
  </r>
  <r>
    <d v="2026-03-31T00:00:00"/>
    <x v="2"/>
    <x v="2"/>
    <x v="13"/>
    <x v="30"/>
    <x v="21"/>
    <x v="9"/>
    <x v="1"/>
    <n v="0"/>
  </r>
  <r>
    <d v="2026-03-31T00:00:00"/>
    <x v="2"/>
    <x v="2"/>
    <x v="13"/>
    <x v="30"/>
    <x v="25"/>
    <x v="2"/>
    <x v="1"/>
    <n v="0"/>
  </r>
  <r>
    <d v="2026-03-31T00:00:00"/>
    <x v="2"/>
    <x v="2"/>
    <x v="13"/>
    <x v="30"/>
    <x v="0"/>
    <x v="0"/>
    <x v="0"/>
    <n v="10811772000"/>
  </r>
  <r>
    <d v="2026-03-31T00:00:00"/>
    <x v="2"/>
    <x v="2"/>
    <x v="13"/>
    <x v="30"/>
    <x v="7"/>
    <x v="7"/>
    <x v="4"/>
    <n v="148977859"/>
  </r>
  <r>
    <d v="2026-03-31T00:00:00"/>
    <x v="2"/>
    <x v="2"/>
    <x v="13"/>
    <x v="30"/>
    <x v="1"/>
    <x v="1"/>
    <x v="1"/>
    <n v="63000000"/>
  </r>
  <r>
    <d v="2026-03-31T00:00:00"/>
    <x v="2"/>
    <x v="2"/>
    <x v="13"/>
    <x v="30"/>
    <x v="6"/>
    <x v="6"/>
    <x v="0"/>
    <n v="56000000"/>
  </r>
  <r>
    <d v="2026-03-31T00:00:00"/>
    <x v="2"/>
    <x v="2"/>
    <x v="13"/>
    <x v="30"/>
    <x v="18"/>
    <x v="15"/>
    <x v="1"/>
    <n v="1195750000"/>
  </r>
  <r>
    <d v="2026-03-31T00:00:00"/>
    <x v="2"/>
    <x v="2"/>
    <x v="13"/>
    <x v="30"/>
    <x v="29"/>
    <x v="20"/>
    <x v="0"/>
    <n v="357372000"/>
  </r>
  <r>
    <d v="2026-03-31T00:00:00"/>
    <x v="2"/>
    <x v="2"/>
    <x v="13"/>
    <x v="30"/>
    <x v="19"/>
    <x v="12"/>
    <x v="4"/>
    <n v="430328774"/>
  </r>
  <r>
    <d v="2026-03-31T00:00:00"/>
    <x v="2"/>
    <x v="2"/>
    <x v="13"/>
    <x v="30"/>
    <x v="24"/>
    <x v="18"/>
    <x v="1"/>
    <n v="3696090000"/>
  </r>
  <r>
    <d v="2026-03-31T00:00:00"/>
    <x v="2"/>
    <x v="2"/>
    <x v="13"/>
    <x v="30"/>
    <x v="30"/>
    <x v="21"/>
    <x v="0"/>
    <n v="8640000"/>
  </r>
  <r>
    <d v="2026-04-01T00:00:00"/>
    <x v="2"/>
    <x v="3"/>
    <x v="13"/>
    <x v="0"/>
    <x v="3"/>
    <x v="3"/>
    <x v="1"/>
    <n v="629980000"/>
  </r>
  <r>
    <d v="2026-04-01T00:00:00"/>
    <x v="2"/>
    <x v="3"/>
    <x v="13"/>
    <x v="0"/>
    <x v="11"/>
    <x v="10"/>
    <x v="4"/>
    <n v="308993836"/>
  </r>
  <r>
    <d v="2026-04-01T00:00:00"/>
    <x v="2"/>
    <x v="3"/>
    <x v="13"/>
    <x v="0"/>
    <x v="12"/>
    <x v="11"/>
    <x v="1"/>
    <n v="22731350000"/>
  </r>
  <r>
    <d v="2026-04-01T00:00:00"/>
    <x v="2"/>
    <x v="3"/>
    <x v="13"/>
    <x v="0"/>
    <x v="5"/>
    <x v="5"/>
    <x v="3"/>
    <n v="2812778254"/>
  </r>
  <r>
    <d v="2026-04-01T00:00:00"/>
    <x v="2"/>
    <x v="3"/>
    <x v="13"/>
    <x v="0"/>
    <x v="27"/>
    <x v="19"/>
    <x v="0"/>
    <n v="14857452000"/>
  </r>
  <r>
    <d v="2026-04-01T00:00:00"/>
    <x v="2"/>
    <x v="3"/>
    <x v="13"/>
    <x v="0"/>
    <x v="15"/>
    <x v="14"/>
    <x v="4"/>
    <n v="6410587"/>
  </r>
  <r>
    <d v="2026-04-01T00:00:00"/>
    <x v="2"/>
    <x v="3"/>
    <x v="13"/>
    <x v="0"/>
    <x v="31"/>
    <x v="22"/>
    <x v="1"/>
    <n v="0"/>
  </r>
  <r>
    <d v="2026-04-01T00:00:00"/>
    <x v="2"/>
    <x v="3"/>
    <x v="13"/>
    <x v="0"/>
    <x v="14"/>
    <x v="13"/>
    <x v="1"/>
    <n v="2649000000"/>
  </r>
  <r>
    <d v="2026-04-01T00:00:00"/>
    <x v="2"/>
    <x v="3"/>
    <x v="13"/>
    <x v="0"/>
    <x v="33"/>
    <x v="13"/>
    <x v="1"/>
    <n v="719020000"/>
  </r>
  <r>
    <d v="2026-04-01T00:00:00"/>
    <x v="2"/>
    <x v="3"/>
    <x v="13"/>
    <x v="0"/>
    <x v="23"/>
    <x v="17"/>
    <x v="4"/>
    <n v="9890000"/>
  </r>
  <r>
    <d v="2026-04-01T00:00:00"/>
    <x v="2"/>
    <x v="3"/>
    <x v="13"/>
    <x v="0"/>
    <x v="28"/>
    <x v="17"/>
    <x v="4"/>
    <n v="1143977797"/>
  </r>
  <r>
    <d v="2026-04-01T00:00:00"/>
    <x v="2"/>
    <x v="3"/>
    <x v="13"/>
    <x v="0"/>
    <x v="8"/>
    <x v="8"/>
    <x v="1"/>
    <n v="0"/>
  </r>
  <r>
    <d v="2026-04-01T00:00:00"/>
    <x v="2"/>
    <x v="3"/>
    <x v="13"/>
    <x v="0"/>
    <x v="26"/>
    <x v="16"/>
    <x v="1"/>
    <n v="102500000"/>
  </r>
  <r>
    <d v="2026-04-01T00:00:00"/>
    <x v="2"/>
    <x v="3"/>
    <x v="13"/>
    <x v="0"/>
    <x v="32"/>
    <x v="16"/>
    <x v="1"/>
    <n v="0"/>
  </r>
  <r>
    <d v="2026-04-01T00:00:00"/>
    <x v="2"/>
    <x v="3"/>
    <x v="13"/>
    <x v="0"/>
    <x v="2"/>
    <x v="2"/>
    <x v="1"/>
    <n v="17700590000"/>
  </r>
  <r>
    <d v="2026-04-01T00:00:00"/>
    <x v="2"/>
    <x v="3"/>
    <x v="13"/>
    <x v="0"/>
    <x v="17"/>
    <x v="9"/>
    <x v="1"/>
    <n v="0"/>
  </r>
  <r>
    <d v="2026-04-01T00:00:00"/>
    <x v="2"/>
    <x v="3"/>
    <x v="13"/>
    <x v="0"/>
    <x v="20"/>
    <x v="9"/>
    <x v="1"/>
    <n v="0"/>
  </r>
  <r>
    <d v="2026-04-01T00:00:00"/>
    <x v="2"/>
    <x v="3"/>
    <x v="13"/>
    <x v="0"/>
    <x v="21"/>
    <x v="9"/>
    <x v="1"/>
    <n v="0"/>
  </r>
  <r>
    <d v="2026-04-01T00:00:00"/>
    <x v="2"/>
    <x v="3"/>
    <x v="13"/>
    <x v="0"/>
    <x v="25"/>
    <x v="2"/>
    <x v="1"/>
    <n v="0"/>
  </r>
  <r>
    <d v="2026-04-01T00:00:00"/>
    <x v="2"/>
    <x v="3"/>
    <x v="13"/>
    <x v="0"/>
    <x v="0"/>
    <x v="0"/>
    <x v="0"/>
    <n v="11718324000"/>
  </r>
  <r>
    <d v="2026-04-01T00:00:00"/>
    <x v="2"/>
    <x v="3"/>
    <x v="13"/>
    <x v="0"/>
    <x v="7"/>
    <x v="7"/>
    <x v="4"/>
    <n v="435088361"/>
  </r>
  <r>
    <d v="2026-04-01T00:00:00"/>
    <x v="2"/>
    <x v="3"/>
    <x v="13"/>
    <x v="0"/>
    <x v="1"/>
    <x v="1"/>
    <x v="1"/>
    <n v="41500000"/>
  </r>
  <r>
    <d v="2026-04-01T00:00:00"/>
    <x v="2"/>
    <x v="3"/>
    <x v="13"/>
    <x v="0"/>
    <x v="6"/>
    <x v="6"/>
    <x v="0"/>
    <n v="74000000"/>
  </r>
  <r>
    <d v="2026-04-01T00:00:00"/>
    <x v="2"/>
    <x v="3"/>
    <x v="13"/>
    <x v="0"/>
    <x v="18"/>
    <x v="15"/>
    <x v="1"/>
    <n v="660620000"/>
  </r>
  <r>
    <d v="2026-04-01T00:00:00"/>
    <x v="2"/>
    <x v="3"/>
    <x v="13"/>
    <x v="0"/>
    <x v="29"/>
    <x v="20"/>
    <x v="0"/>
    <n v="299484000"/>
  </r>
  <r>
    <d v="2026-04-01T00:00:00"/>
    <x v="2"/>
    <x v="3"/>
    <x v="13"/>
    <x v="0"/>
    <x v="19"/>
    <x v="12"/>
    <x v="4"/>
    <n v="609579152"/>
  </r>
  <r>
    <d v="2026-04-01T00:00:00"/>
    <x v="2"/>
    <x v="3"/>
    <x v="13"/>
    <x v="0"/>
    <x v="24"/>
    <x v="18"/>
    <x v="1"/>
    <n v="9613660000"/>
  </r>
  <r>
    <d v="2026-04-01T00:00:00"/>
    <x v="2"/>
    <x v="3"/>
    <x v="13"/>
    <x v="0"/>
    <x v="30"/>
    <x v="21"/>
    <x v="0"/>
    <n v="12528000"/>
  </r>
  <r>
    <d v="2026-04-02T00:00:00"/>
    <x v="2"/>
    <x v="3"/>
    <x v="13"/>
    <x v="1"/>
    <x v="3"/>
    <x v="3"/>
    <x v="1"/>
    <n v="722370000"/>
  </r>
  <r>
    <d v="2026-04-02T00:00:00"/>
    <x v="2"/>
    <x v="3"/>
    <x v="13"/>
    <x v="1"/>
    <x v="11"/>
    <x v="10"/>
    <x v="4"/>
    <n v="328591353"/>
  </r>
  <r>
    <d v="2026-04-02T00:00:00"/>
    <x v="2"/>
    <x v="3"/>
    <x v="13"/>
    <x v="1"/>
    <x v="12"/>
    <x v="11"/>
    <x v="1"/>
    <n v="19712400000"/>
  </r>
  <r>
    <d v="2026-04-02T00:00:00"/>
    <x v="2"/>
    <x v="3"/>
    <x v="13"/>
    <x v="1"/>
    <x v="5"/>
    <x v="5"/>
    <x v="3"/>
    <n v="2342325450"/>
  </r>
  <r>
    <d v="2026-04-02T00:00:00"/>
    <x v="2"/>
    <x v="3"/>
    <x v="13"/>
    <x v="1"/>
    <x v="27"/>
    <x v="19"/>
    <x v="0"/>
    <n v="13335408000"/>
  </r>
  <r>
    <d v="2026-04-02T00:00:00"/>
    <x v="2"/>
    <x v="3"/>
    <x v="13"/>
    <x v="1"/>
    <x v="15"/>
    <x v="14"/>
    <x v="4"/>
    <n v="22490346"/>
  </r>
  <r>
    <d v="2026-04-02T00:00:00"/>
    <x v="2"/>
    <x v="3"/>
    <x v="13"/>
    <x v="1"/>
    <x v="31"/>
    <x v="22"/>
    <x v="1"/>
    <n v="180000000"/>
  </r>
  <r>
    <d v="2026-04-02T00:00:00"/>
    <x v="2"/>
    <x v="3"/>
    <x v="13"/>
    <x v="1"/>
    <x v="14"/>
    <x v="13"/>
    <x v="1"/>
    <n v="2298380000"/>
  </r>
  <r>
    <d v="2026-04-02T00:00:00"/>
    <x v="2"/>
    <x v="3"/>
    <x v="13"/>
    <x v="1"/>
    <x v="33"/>
    <x v="13"/>
    <x v="1"/>
    <n v="1198420000"/>
  </r>
  <r>
    <d v="2026-04-02T00:00:00"/>
    <x v="2"/>
    <x v="3"/>
    <x v="13"/>
    <x v="1"/>
    <x v="23"/>
    <x v="17"/>
    <x v="4"/>
    <n v="19042578"/>
  </r>
  <r>
    <d v="2026-04-02T00:00:00"/>
    <x v="2"/>
    <x v="3"/>
    <x v="13"/>
    <x v="1"/>
    <x v="28"/>
    <x v="17"/>
    <x v="4"/>
    <n v="1258751775"/>
  </r>
  <r>
    <d v="2026-04-02T00:00:00"/>
    <x v="2"/>
    <x v="3"/>
    <x v="13"/>
    <x v="1"/>
    <x v="8"/>
    <x v="8"/>
    <x v="1"/>
    <n v="0"/>
  </r>
  <r>
    <d v="2026-04-02T00:00:00"/>
    <x v="2"/>
    <x v="3"/>
    <x v="13"/>
    <x v="1"/>
    <x v="26"/>
    <x v="16"/>
    <x v="1"/>
    <n v="10500000"/>
  </r>
  <r>
    <d v="2026-04-02T00:00:00"/>
    <x v="2"/>
    <x v="3"/>
    <x v="13"/>
    <x v="1"/>
    <x v="32"/>
    <x v="16"/>
    <x v="1"/>
    <n v="56000000"/>
  </r>
  <r>
    <d v="2026-04-02T00:00:00"/>
    <x v="2"/>
    <x v="3"/>
    <x v="13"/>
    <x v="1"/>
    <x v="2"/>
    <x v="2"/>
    <x v="1"/>
    <n v="16327360000"/>
  </r>
  <r>
    <d v="2026-04-02T00:00:00"/>
    <x v="2"/>
    <x v="3"/>
    <x v="13"/>
    <x v="1"/>
    <x v="17"/>
    <x v="9"/>
    <x v="1"/>
    <n v="0"/>
  </r>
  <r>
    <d v="2026-04-02T00:00:00"/>
    <x v="2"/>
    <x v="3"/>
    <x v="13"/>
    <x v="1"/>
    <x v="20"/>
    <x v="9"/>
    <x v="1"/>
    <n v="0"/>
  </r>
  <r>
    <d v="2026-04-02T00:00:00"/>
    <x v="2"/>
    <x v="3"/>
    <x v="13"/>
    <x v="1"/>
    <x v="21"/>
    <x v="9"/>
    <x v="1"/>
    <n v="0"/>
  </r>
  <r>
    <d v="2026-04-02T00:00:00"/>
    <x v="2"/>
    <x v="3"/>
    <x v="13"/>
    <x v="1"/>
    <x v="25"/>
    <x v="2"/>
    <x v="1"/>
    <n v="21400000"/>
  </r>
  <r>
    <d v="2026-04-02T00:00:00"/>
    <x v="2"/>
    <x v="3"/>
    <x v="13"/>
    <x v="1"/>
    <x v="0"/>
    <x v="0"/>
    <x v="0"/>
    <n v="11229300000"/>
  </r>
  <r>
    <d v="2026-04-02T00:00:00"/>
    <x v="2"/>
    <x v="3"/>
    <x v="13"/>
    <x v="1"/>
    <x v="7"/>
    <x v="7"/>
    <x v="4"/>
    <n v="420440924"/>
  </r>
  <r>
    <d v="2026-04-02T00:00:00"/>
    <x v="2"/>
    <x v="3"/>
    <x v="13"/>
    <x v="1"/>
    <x v="1"/>
    <x v="1"/>
    <x v="1"/>
    <n v="29500000"/>
  </r>
  <r>
    <d v="2026-04-02T00:00:00"/>
    <x v="2"/>
    <x v="3"/>
    <x v="13"/>
    <x v="1"/>
    <x v="6"/>
    <x v="6"/>
    <x v="0"/>
    <n v="58000000"/>
  </r>
  <r>
    <d v="2026-04-02T00:00:00"/>
    <x v="2"/>
    <x v="3"/>
    <x v="13"/>
    <x v="1"/>
    <x v="18"/>
    <x v="15"/>
    <x v="1"/>
    <n v="576530000"/>
  </r>
  <r>
    <d v="2026-04-02T00:00:00"/>
    <x v="2"/>
    <x v="3"/>
    <x v="13"/>
    <x v="1"/>
    <x v="29"/>
    <x v="20"/>
    <x v="0"/>
    <n v="314820000"/>
  </r>
  <r>
    <d v="2026-04-02T00:00:00"/>
    <x v="2"/>
    <x v="3"/>
    <x v="13"/>
    <x v="1"/>
    <x v="19"/>
    <x v="12"/>
    <x v="4"/>
    <n v="912032990"/>
  </r>
  <r>
    <d v="2026-04-02T00:00:00"/>
    <x v="2"/>
    <x v="3"/>
    <x v="13"/>
    <x v="1"/>
    <x v="24"/>
    <x v="18"/>
    <x v="1"/>
    <n v="8155820000"/>
  </r>
  <r>
    <d v="2026-04-02T00:00:00"/>
    <x v="2"/>
    <x v="3"/>
    <x v="13"/>
    <x v="1"/>
    <x v="30"/>
    <x v="21"/>
    <x v="0"/>
    <n v="2160000"/>
  </r>
  <r>
    <d v="2026-04-03T00:00:00"/>
    <x v="2"/>
    <x v="3"/>
    <x v="13"/>
    <x v="2"/>
    <x v="3"/>
    <x v="3"/>
    <x v="1"/>
    <n v="495880000"/>
  </r>
  <r>
    <d v="2026-04-03T00:00:00"/>
    <x v="2"/>
    <x v="3"/>
    <x v="13"/>
    <x v="2"/>
    <x v="11"/>
    <x v="10"/>
    <x v="4"/>
    <n v="398855712"/>
  </r>
  <r>
    <d v="2026-04-03T00:00:00"/>
    <x v="2"/>
    <x v="3"/>
    <x v="13"/>
    <x v="2"/>
    <x v="12"/>
    <x v="11"/>
    <x v="1"/>
    <n v="20172160000"/>
  </r>
  <r>
    <d v="2026-04-03T00:00:00"/>
    <x v="2"/>
    <x v="3"/>
    <x v="13"/>
    <x v="2"/>
    <x v="5"/>
    <x v="5"/>
    <x v="3"/>
    <n v="2047843328"/>
  </r>
  <r>
    <d v="2026-04-03T00:00:00"/>
    <x v="2"/>
    <x v="3"/>
    <x v="13"/>
    <x v="2"/>
    <x v="27"/>
    <x v="19"/>
    <x v="0"/>
    <n v="14106960000"/>
  </r>
  <r>
    <d v="2026-04-03T00:00:00"/>
    <x v="2"/>
    <x v="3"/>
    <x v="13"/>
    <x v="2"/>
    <x v="15"/>
    <x v="14"/>
    <x v="4"/>
    <n v="0"/>
  </r>
  <r>
    <d v="2026-04-03T00:00:00"/>
    <x v="2"/>
    <x v="3"/>
    <x v="13"/>
    <x v="2"/>
    <x v="31"/>
    <x v="22"/>
    <x v="1"/>
    <n v="0"/>
  </r>
  <r>
    <d v="2026-04-03T00:00:00"/>
    <x v="2"/>
    <x v="3"/>
    <x v="13"/>
    <x v="2"/>
    <x v="14"/>
    <x v="13"/>
    <x v="1"/>
    <n v="1956850000"/>
  </r>
  <r>
    <d v="2026-04-03T00:00:00"/>
    <x v="2"/>
    <x v="3"/>
    <x v="13"/>
    <x v="2"/>
    <x v="33"/>
    <x v="13"/>
    <x v="1"/>
    <n v="717470000"/>
  </r>
  <r>
    <d v="2026-04-03T00:00:00"/>
    <x v="2"/>
    <x v="3"/>
    <x v="13"/>
    <x v="2"/>
    <x v="23"/>
    <x v="17"/>
    <x v="4"/>
    <n v="32629158"/>
  </r>
  <r>
    <d v="2026-04-03T00:00:00"/>
    <x v="2"/>
    <x v="3"/>
    <x v="13"/>
    <x v="2"/>
    <x v="28"/>
    <x v="17"/>
    <x v="4"/>
    <n v="1599343908"/>
  </r>
  <r>
    <d v="2026-04-03T00:00:00"/>
    <x v="2"/>
    <x v="3"/>
    <x v="13"/>
    <x v="2"/>
    <x v="8"/>
    <x v="8"/>
    <x v="1"/>
    <n v="0"/>
  </r>
  <r>
    <d v="2026-04-03T00:00:00"/>
    <x v="2"/>
    <x v="3"/>
    <x v="13"/>
    <x v="2"/>
    <x v="26"/>
    <x v="16"/>
    <x v="1"/>
    <n v="25500000"/>
  </r>
  <r>
    <d v="2026-04-03T00:00:00"/>
    <x v="2"/>
    <x v="3"/>
    <x v="13"/>
    <x v="2"/>
    <x v="32"/>
    <x v="16"/>
    <x v="1"/>
    <n v="82400000"/>
  </r>
  <r>
    <d v="2026-04-03T00:00:00"/>
    <x v="2"/>
    <x v="3"/>
    <x v="13"/>
    <x v="2"/>
    <x v="2"/>
    <x v="2"/>
    <x v="1"/>
    <n v="17836470000"/>
  </r>
  <r>
    <d v="2026-04-03T00:00:00"/>
    <x v="2"/>
    <x v="3"/>
    <x v="13"/>
    <x v="2"/>
    <x v="17"/>
    <x v="9"/>
    <x v="1"/>
    <n v="0"/>
  </r>
  <r>
    <d v="2026-04-03T00:00:00"/>
    <x v="2"/>
    <x v="3"/>
    <x v="13"/>
    <x v="2"/>
    <x v="20"/>
    <x v="9"/>
    <x v="1"/>
    <n v="0"/>
  </r>
  <r>
    <d v="2026-04-03T00:00:00"/>
    <x v="2"/>
    <x v="3"/>
    <x v="13"/>
    <x v="2"/>
    <x v="21"/>
    <x v="9"/>
    <x v="1"/>
    <n v="0"/>
  </r>
  <r>
    <d v="2026-04-03T00:00:00"/>
    <x v="2"/>
    <x v="3"/>
    <x v="13"/>
    <x v="2"/>
    <x v="25"/>
    <x v="2"/>
    <x v="1"/>
    <n v="0"/>
  </r>
  <r>
    <d v="2026-04-03T00:00:00"/>
    <x v="2"/>
    <x v="3"/>
    <x v="13"/>
    <x v="2"/>
    <x v="0"/>
    <x v="0"/>
    <x v="0"/>
    <n v="10819224000"/>
  </r>
  <r>
    <d v="2026-04-03T00:00:00"/>
    <x v="2"/>
    <x v="3"/>
    <x v="13"/>
    <x v="2"/>
    <x v="7"/>
    <x v="7"/>
    <x v="4"/>
    <n v="508044615"/>
  </r>
  <r>
    <d v="2026-04-03T00:00:00"/>
    <x v="2"/>
    <x v="3"/>
    <x v="13"/>
    <x v="2"/>
    <x v="1"/>
    <x v="1"/>
    <x v="1"/>
    <n v="21000000"/>
  </r>
  <r>
    <d v="2026-04-03T00:00:00"/>
    <x v="2"/>
    <x v="3"/>
    <x v="13"/>
    <x v="2"/>
    <x v="6"/>
    <x v="6"/>
    <x v="0"/>
    <n v="38000000"/>
  </r>
  <r>
    <d v="2026-04-03T00:00:00"/>
    <x v="2"/>
    <x v="3"/>
    <x v="13"/>
    <x v="2"/>
    <x v="18"/>
    <x v="15"/>
    <x v="1"/>
    <n v="796090000"/>
  </r>
  <r>
    <d v="2026-04-03T00:00:00"/>
    <x v="2"/>
    <x v="3"/>
    <x v="13"/>
    <x v="2"/>
    <x v="29"/>
    <x v="20"/>
    <x v="0"/>
    <n v="313200000"/>
  </r>
  <r>
    <d v="2026-04-03T00:00:00"/>
    <x v="2"/>
    <x v="3"/>
    <x v="13"/>
    <x v="2"/>
    <x v="19"/>
    <x v="12"/>
    <x v="4"/>
    <n v="1299011380"/>
  </r>
  <r>
    <d v="2026-04-03T00:00:00"/>
    <x v="2"/>
    <x v="3"/>
    <x v="13"/>
    <x v="2"/>
    <x v="24"/>
    <x v="18"/>
    <x v="1"/>
    <n v="7863820000"/>
  </r>
  <r>
    <d v="2026-04-03T00:00:00"/>
    <x v="2"/>
    <x v="3"/>
    <x v="13"/>
    <x v="2"/>
    <x v="30"/>
    <x v="21"/>
    <x v="0"/>
    <n v="2160000"/>
  </r>
  <r>
    <d v="2026-04-04T00:00:00"/>
    <x v="2"/>
    <x v="3"/>
    <x v="13"/>
    <x v="3"/>
    <x v="3"/>
    <x v="3"/>
    <x v="1"/>
    <n v="576150000"/>
  </r>
  <r>
    <d v="2026-04-04T00:00:00"/>
    <x v="2"/>
    <x v="3"/>
    <x v="13"/>
    <x v="3"/>
    <x v="11"/>
    <x v="10"/>
    <x v="4"/>
    <n v="513712363"/>
  </r>
  <r>
    <d v="2026-04-04T00:00:00"/>
    <x v="2"/>
    <x v="3"/>
    <x v="13"/>
    <x v="3"/>
    <x v="12"/>
    <x v="11"/>
    <x v="1"/>
    <n v="18382180000"/>
  </r>
  <r>
    <d v="2026-04-04T00:00:00"/>
    <x v="2"/>
    <x v="3"/>
    <x v="13"/>
    <x v="3"/>
    <x v="5"/>
    <x v="5"/>
    <x v="3"/>
    <n v="1855556717"/>
  </r>
  <r>
    <d v="2026-04-04T00:00:00"/>
    <x v="2"/>
    <x v="3"/>
    <x v="13"/>
    <x v="3"/>
    <x v="27"/>
    <x v="19"/>
    <x v="0"/>
    <n v="13801320000"/>
  </r>
  <r>
    <d v="2026-04-04T00:00:00"/>
    <x v="2"/>
    <x v="3"/>
    <x v="13"/>
    <x v="3"/>
    <x v="15"/>
    <x v="14"/>
    <x v="4"/>
    <n v="0"/>
  </r>
  <r>
    <d v="2026-04-04T00:00:00"/>
    <x v="2"/>
    <x v="3"/>
    <x v="13"/>
    <x v="3"/>
    <x v="31"/>
    <x v="22"/>
    <x v="1"/>
    <n v="0"/>
  </r>
  <r>
    <d v="2026-04-04T00:00:00"/>
    <x v="2"/>
    <x v="3"/>
    <x v="13"/>
    <x v="3"/>
    <x v="14"/>
    <x v="13"/>
    <x v="1"/>
    <n v="2658650000"/>
  </r>
  <r>
    <d v="2026-04-04T00:00:00"/>
    <x v="2"/>
    <x v="3"/>
    <x v="13"/>
    <x v="3"/>
    <x v="33"/>
    <x v="13"/>
    <x v="1"/>
    <n v="650900000"/>
  </r>
  <r>
    <d v="2026-04-04T00:00:00"/>
    <x v="2"/>
    <x v="3"/>
    <x v="13"/>
    <x v="3"/>
    <x v="23"/>
    <x v="17"/>
    <x v="4"/>
    <n v="34486187"/>
  </r>
  <r>
    <d v="2026-04-04T00:00:00"/>
    <x v="2"/>
    <x v="3"/>
    <x v="13"/>
    <x v="3"/>
    <x v="28"/>
    <x v="17"/>
    <x v="4"/>
    <n v="1763209762"/>
  </r>
  <r>
    <d v="2026-04-04T00:00:00"/>
    <x v="2"/>
    <x v="3"/>
    <x v="13"/>
    <x v="3"/>
    <x v="8"/>
    <x v="8"/>
    <x v="1"/>
    <n v="0"/>
  </r>
  <r>
    <d v="2026-04-04T00:00:00"/>
    <x v="2"/>
    <x v="3"/>
    <x v="13"/>
    <x v="3"/>
    <x v="26"/>
    <x v="16"/>
    <x v="1"/>
    <n v="40000000"/>
  </r>
  <r>
    <d v="2026-04-04T00:00:00"/>
    <x v="2"/>
    <x v="3"/>
    <x v="13"/>
    <x v="3"/>
    <x v="32"/>
    <x v="16"/>
    <x v="1"/>
    <n v="0"/>
  </r>
  <r>
    <d v="2026-04-04T00:00:00"/>
    <x v="2"/>
    <x v="3"/>
    <x v="13"/>
    <x v="3"/>
    <x v="2"/>
    <x v="2"/>
    <x v="1"/>
    <n v="16223600000"/>
  </r>
  <r>
    <d v="2026-04-04T00:00:00"/>
    <x v="2"/>
    <x v="3"/>
    <x v="13"/>
    <x v="3"/>
    <x v="17"/>
    <x v="9"/>
    <x v="1"/>
    <n v="0"/>
  </r>
  <r>
    <d v="2026-04-04T00:00:00"/>
    <x v="2"/>
    <x v="3"/>
    <x v="13"/>
    <x v="3"/>
    <x v="20"/>
    <x v="9"/>
    <x v="1"/>
    <n v="0"/>
  </r>
  <r>
    <d v="2026-04-04T00:00:00"/>
    <x v="2"/>
    <x v="3"/>
    <x v="13"/>
    <x v="3"/>
    <x v="21"/>
    <x v="9"/>
    <x v="1"/>
    <n v="0"/>
  </r>
  <r>
    <d v="2026-04-04T00:00:00"/>
    <x v="2"/>
    <x v="3"/>
    <x v="13"/>
    <x v="3"/>
    <x v="25"/>
    <x v="2"/>
    <x v="1"/>
    <n v="0"/>
  </r>
  <r>
    <d v="2026-04-04T00:00:00"/>
    <x v="2"/>
    <x v="3"/>
    <x v="13"/>
    <x v="3"/>
    <x v="0"/>
    <x v="0"/>
    <x v="0"/>
    <n v="11136204000"/>
  </r>
  <r>
    <d v="2026-04-04T00:00:00"/>
    <x v="2"/>
    <x v="3"/>
    <x v="13"/>
    <x v="3"/>
    <x v="7"/>
    <x v="7"/>
    <x v="4"/>
    <n v="630565541"/>
  </r>
  <r>
    <d v="2026-04-04T00:00:00"/>
    <x v="2"/>
    <x v="3"/>
    <x v="13"/>
    <x v="3"/>
    <x v="1"/>
    <x v="1"/>
    <x v="1"/>
    <n v="63000000"/>
  </r>
  <r>
    <d v="2026-04-04T00:00:00"/>
    <x v="2"/>
    <x v="3"/>
    <x v="13"/>
    <x v="3"/>
    <x v="6"/>
    <x v="6"/>
    <x v="0"/>
    <n v="49000000"/>
  </r>
  <r>
    <d v="2026-04-04T00:00:00"/>
    <x v="2"/>
    <x v="3"/>
    <x v="13"/>
    <x v="3"/>
    <x v="18"/>
    <x v="15"/>
    <x v="1"/>
    <n v="603970000"/>
  </r>
  <r>
    <d v="2026-04-04T00:00:00"/>
    <x v="2"/>
    <x v="3"/>
    <x v="13"/>
    <x v="3"/>
    <x v="29"/>
    <x v="20"/>
    <x v="0"/>
    <n v="315792000"/>
  </r>
  <r>
    <d v="2026-04-04T00:00:00"/>
    <x v="2"/>
    <x v="3"/>
    <x v="13"/>
    <x v="3"/>
    <x v="19"/>
    <x v="12"/>
    <x v="4"/>
    <n v="1642965022"/>
  </r>
  <r>
    <d v="2026-04-04T00:00:00"/>
    <x v="2"/>
    <x v="3"/>
    <x v="13"/>
    <x v="3"/>
    <x v="24"/>
    <x v="18"/>
    <x v="1"/>
    <n v="6077010000"/>
  </r>
  <r>
    <d v="2026-04-04T00:00:00"/>
    <x v="2"/>
    <x v="3"/>
    <x v="13"/>
    <x v="3"/>
    <x v="30"/>
    <x v="21"/>
    <x v="0"/>
    <n v="4320000"/>
  </r>
  <r>
    <d v="2026-04-05T00:00:00"/>
    <x v="2"/>
    <x v="3"/>
    <x v="13"/>
    <x v="4"/>
    <x v="3"/>
    <x v="3"/>
    <x v="1"/>
    <n v="658150000"/>
  </r>
  <r>
    <d v="2026-04-05T00:00:00"/>
    <x v="2"/>
    <x v="3"/>
    <x v="13"/>
    <x v="4"/>
    <x v="11"/>
    <x v="10"/>
    <x v="4"/>
    <n v="473511847"/>
  </r>
  <r>
    <d v="2026-04-05T00:00:00"/>
    <x v="2"/>
    <x v="3"/>
    <x v="13"/>
    <x v="4"/>
    <x v="12"/>
    <x v="11"/>
    <x v="1"/>
    <n v="15050540000"/>
  </r>
  <r>
    <d v="2026-04-05T00:00:00"/>
    <x v="2"/>
    <x v="3"/>
    <x v="13"/>
    <x v="4"/>
    <x v="5"/>
    <x v="5"/>
    <x v="3"/>
    <n v="1581600309"/>
  </r>
  <r>
    <d v="2026-04-05T00:00:00"/>
    <x v="2"/>
    <x v="3"/>
    <x v="13"/>
    <x v="4"/>
    <x v="27"/>
    <x v="19"/>
    <x v="0"/>
    <n v="13768704000"/>
  </r>
  <r>
    <d v="2026-04-05T00:00:00"/>
    <x v="2"/>
    <x v="3"/>
    <x v="13"/>
    <x v="4"/>
    <x v="15"/>
    <x v="14"/>
    <x v="4"/>
    <n v="0"/>
  </r>
  <r>
    <d v="2026-04-05T00:00:00"/>
    <x v="2"/>
    <x v="3"/>
    <x v="13"/>
    <x v="4"/>
    <x v="31"/>
    <x v="22"/>
    <x v="1"/>
    <n v="0"/>
  </r>
  <r>
    <d v="2026-04-05T00:00:00"/>
    <x v="2"/>
    <x v="3"/>
    <x v="13"/>
    <x v="4"/>
    <x v="14"/>
    <x v="13"/>
    <x v="1"/>
    <n v="2859120000"/>
  </r>
  <r>
    <d v="2026-04-05T00:00:00"/>
    <x v="2"/>
    <x v="3"/>
    <x v="13"/>
    <x v="4"/>
    <x v="33"/>
    <x v="13"/>
    <x v="1"/>
    <n v="936350000"/>
  </r>
  <r>
    <d v="2026-04-05T00:00:00"/>
    <x v="2"/>
    <x v="3"/>
    <x v="13"/>
    <x v="4"/>
    <x v="23"/>
    <x v="17"/>
    <x v="4"/>
    <n v="38596801"/>
  </r>
  <r>
    <d v="2026-04-05T00:00:00"/>
    <x v="2"/>
    <x v="3"/>
    <x v="13"/>
    <x v="4"/>
    <x v="28"/>
    <x v="17"/>
    <x v="4"/>
    <n v="1719202172"/>
  </r>
  <r>
    <d v="2026-04-05T00:00:00"/>
    <x v="2"/>
    <x v="3"/>
    <x v="13"/>
    <x v="4"/>
    <x v="8"/>
    <x v="8"/>
    <x v="1"/>
    <n v="0"/>
  </r>
  <r>
    <d v="2026-04-05T00:00:00"/>
    <x v="2"/>
    <x v="3"/>
    <x v="13"/>
    <x v="4"/>
    <x v="26"/>
    <x v="16"/>
    <x v="1"/>
    <n v="42000000"/>
  </r>
  <r>
    <d v="2026-04-05T00:00:00"/>
    <x v="2"/>
    <x v="3"/>
    <x v="13"/>
    <x v="4"/>
    <x v="32"/>
    <x v="16"/>
    <x v="1"/>
    <n v="0"/>
  </r>
  <r>
    <d v="2026-04-05T00:00:00"/>
    <x v="2"/>
    <x v="3"/>
    <x v="13"/>
    <x v="4"/>
    <x v="2"/>
    <x v="2"/>
    <x v="1"/>
    <n v="14475880000"/>
  </r>
  <r>
    <d v="2026-04-05T00:00:00"/>
    <x v="2"/>
    <x v="3"/>
    <x v="13"/>
    <x v="4"/>
    <x v="17"/>
    <x v="9"/>
    <x v="1"/>
    <n v="0"/>
  </r>
  <r>
    <d v="2026-04-05T00:00:00"/>
    <x v="2"/>
    <x v="3"/>
    <x v="13"/>
    <x v="4"/>
    <x v="20"/>
    <x v="9"/>
    <x v="1"/>
    <n v="0"/>
  </r>
  <r>
    <d v="2026-04-05T00:00:00"/>
    <x v="2"/>
    <x v="3"/>
    <x v="13"/>
    <x v="4"/>
    <x v="21"/>
    <x v="9"/>
    <x v="1"/>
    <n v="0"/>
  </r>
  <r>
    <d v="2026-04-05T00:00:00"/>
    <x v="2"/>
    <x v="3"/>
    <x v="13"/>
    <x v="4"/>
    <x v="25"/>
    <x v="2"/>
    <x v="1"/>
    <n v="0"/>
  </r>
  <r>
    <d v="2026-04-05T00:00:00"/>
    <x v="2"/>
    <x v="3"/>
    <x v="13"/>
    <x v="4"/>
    <x v="0"/>
    <x v="0"/>
    <x v="0"/>
    <n v="11467656000"/>
  </r>
  <r>
    <d v="2026-04-05T00:00:00"/>
    <x v="2"/>
    <x v="3"/>
    <x v="13"/>
    <x v="4"/>
    <x v="7"/>
    <x v="7"/>
    <x v="4"/>
    <n v="468020802"/>
  </r>
  <r>
    <d v="2026-04-05T00:00:00"/>
    <x v="2"/>
    <x v="3"/>
    <x v="13"/>
    <x v="4"/>
    <x v="1"/>
    <x v="1"/>
    <x v="1"/>
    <n v="21000000"/>
  </r>
  <r>
    <d v="2026-04-05T00:00:00"/>
    <x v="2"/>
    <x v="3"/>
    <x v="13"/>
    <x v="4"/>
    <x v="6"/>
    <x v="6"/>
    <x v="0"/>
    <n v="97000000"/>
  </r>
  <r>
    <d v="2026-04-05T00:00:00"/>
    <x v="2"/>
    <x v="3"/>
    <x v="13"/>
    <x v="4"/>
    <x v="18"/>
    <x v="15"/>
    <x v="1"/>
    <n v="871700000"/>
  </r>
  <r>
    <d v="2026-04-05T00:00:00"/>
    <x v="2"/>
    <x v="3"/>
    <x v="13"/>
    <x v="4"/>
    <x v="29"/>
    <x v="20"/>
    <x v="0"/>
    <n v="417204000"/>
  </r>
  <r>
    <d v="2026-04-05T00:00:00"/>
    <x v="2"/>
    <x v="3"/>
    <x v="13"/>
    <x v="4"/>
    <x v="19"/>
    <x v="12"/>
    <x v="4"/>
    <n v="967608584"/>
  </r>
  <r>
    <d v="2026-04-05T00:00:00"/>
    <x v="2"/>
    <x v="3"/>
    <x v="13"/>
    <x v="4"/>
    <x v="24"/>
    <x v="18"/>
    <x v="1"/>
    <n v="6031250000"/>
  </r>
  <r>
    <d v="2026-04-05T00:00:00"/>
    <x v="2"/>
    <x v="3"/>
    <x v="13"/>
    <x v="4"/>
    <x v="30"/>
    <x v="21"/>
    <x v="0"/>
    <n v="0"/>
  </r>
  <r>
    <d v="2026-04-06T00:00:00"/>
    <x v="2"/>
    <x v="3"/>
    <x v="14"/>
    <x v="5"/>
    <x v="3"/>
    <x v="3"/>
    <x v="1"/>
    <n v="789650000"/>
  </r>
  <r>
    <d v="2026-04-06T00:00:00"/>
    <x v="2"/>
    <x v="3"/>
    <x v="14"/>
    <x v="5"/>
    <x v="11"/>
    <x v="10"/>
    <x v="4"/>
    <n v="362846492"/>
  </r>
  <r>
    <d v="2026-04-06T00:00:00"/>
    <x v="2"/>
    <x v="3"/>
    <x v="14"/>
    <x v="5"/>
    <x v="12"/>
    <x v="11"/>
    <x v="1"/>
    <n v="18506700000"/>
  </r>
  <r>
    <d v="2026-04-06T00:00:00"/>
    <x v="2"/>
    <x v="3"/>
    <x v="14"/>
    <x v="5"/>
    <x v="5"/>
    <x v="5"/>
    <x v="3"/>
    <n v="2081988827"/>
  </r>
  <r>
    <d v="2026-04-06T00:00:00"/>
    <x v="2"/>
    <x v="3"/>
    <x v="14"/>
    <x v="5"/>
    <x v="27"/>
    <x v="19"/>
    <x v="0"/>
    <n v="14511960000"/>
  </r>
  <r>
    <d v="2026-04-06T00:00:00"/>
    <x v="2"/>
    <x v="3"/>
    <x v="14"/>
    <x v="5"/>
    <x v="15"/>
    <x v="14"/>
    <x v="4"/>
    <n v="0"/>
  </r>
  <r>
    <d v="2026-04-06T00:00:00"/>
    <x v="2"/>
    <x v="3"/>
    <x v="14"/>
    <x v="5"/>
    <x v="31"/>
    <x v="22"/>
    <x v="1"/>
    <n v="0"/>
  </r>
  <r>
    <d v="2026-04-06T00:00:00"/>
    <x v="2"/>
    <x v="3"/>
    <x v="14"/>
    <x v="5"/>
    <x v="14"/>
    <x v="13"/>
    <x v="1"/>
    <n v="2560610000"/>
  </r>
  <r>
    <d v="2026-04-06T00:00:00"/>
    <x v="2"/>
    <x v="3"/>
    <x v="14"/>
    <x v="5"/>
    <x v="33"/>
    <x v="13"/>
    <x v="1"/>
    <n v="1214350000"/>
  </r>
  <r>
    <d v="2026-04-06T00:00:00"/>
    <x v="2"/>
    <x v="3"/>
    <x v="14"/>
    <x v="5"/>
    <x v="23"/>
    <x v="17"/>
    <x v="4"/>
    <n v="13639216"/>
  </r>
  <r>
    <d v="2026-04-06T00:00:00"/>
    <x v="2"/>
    <x v="3"/>
    <x v="14"/>
    <x v="5"/>
    <x v="28"/>
    <x v="17"/>
    <x v="4"/>
    <n v="1231822499"/>
  </r>
  <r>
    <d v="2026-04-06T00:00:00"/>
    <x v="2"/>
    <x v="3"/>
    <x v="14"/>
    <x v="5"/>
    <x v="8"/>
    <x v="8"/>
    <x v="1"/>
    <n v="0"/>
  </r>
  <r>
    <d v="2026-04-06T00:00:00"/>
    <x v="2"/>
    <x v="3"/>
    <x v="14"/>
    <x v="5"/>
    <x v="26"/>
    <x v="16"/>
    <x v="1"/>
    <n v="41250000"/>
  </r>
  <r>
    <d v="2026-04-06T00:00:00"/>
    <x v="2"/>
    <x v="3"/>
    <x v="14"/>
    <x v="5"/>
    <x v="32"/>
    <x v="16"/>
    <x v="1"/>
    <n v="81000000"/>
  </r>
  <r>
    <d v="2026-04-06T00:00:00"/>
    <x v="2"/>
    <x v="3"/>
    <x v="14"/>
    <x v="5"/>
    <x v="2"/>
    <x v="2"/>
    <x v="1"/>
    <n v="16524910000"/>
  </r>
  <r>
    <d v="2026-04-06T00:00:00"/>
    <x v="2"/>
    <x v="3"/>
    <x v="14"/>
    <x v="5"/>
    <x v="17"/>
    <x v="9"/>
    <x v="1"/>
    <n v="0"/>
  </r>
  <r>
    <d v="2026-04-06T00:00:00"/>
    <x v="2"/>
    <x v="3"/>
    <x v="14"/>
    <x v="5"/>
    <x v="20"/>
    <x v="9"/>
    <x v="1"/>
    <n v="0"/>
  </r>
  <r>
    <d v="2026-04-06T00:00:00"/>
    <x v="2"/>
    <x v="3"/>
    <x v="14"/>
    <x v="5"/>
    <x v="21"/>
    <x v="9"/>
    <x v="1"/>
    <n v="0"/>
  </r>
  <r>
    <d v="2026-04-06T00:00:00"/>
    <x v="2"/>
    <x v="3"/>
    <x v="14"/>
    <x v="5"/>
    <x v="25"/>
    <x v="2"/>
    <x v="1"/>
    <n v="0"/>
  </r>
  <r>
    <d v="2026-04-06T00:00:00"/>
    <x v="2"/>
    <x v="3"/>
    <x v="14"/>
    <x v="5"/>
    <x v="0"/>
    <x v="0"/>
    <x v="0"/>
    <n v="10685088000"/>
  </r>
  <r>
    <d v="2026-04-06T00:00:00"/>
    <x v="2"/>
    <x v="3"/>
    <x v="14"/>
    <x v="5"/>
    <x v="7"/>
    <x v="7"/>
    <x v="4"/>
    <n v="413044188"/>
  </r>
  <r>
    <d v="2026-04-06T00:00:00"/>
    <x v="2"/>
    <x v="3"/>
    <x v="14"/>
    <x v="5"/>
    <x v="1"/>
    <x v="1"/>
    <x v="1"/>
    <n v="31500000"/>
  </r>
  <r>
    <d v="2026-04-06T00:00:00"/>
    <x v="2"/>
    <x v="3"/>
    <x v="14"/>
    <x v="5"/>
    <x v="6"/>
    <x v="6"/>
    <x v="0"/>
    <n v="60000000"/>
  </r>
  <r>
    <d v="2026-04-06T00:00:00"/>
    <x v="2"/>
    <x v="3"/>
    <x v="14"/>
    <x v="5"/>
    <x v="18"/>
    <x v="15"/>
    <x v="1"/>
    <n v="884770000"/>
  </r>
  <r>
    <d v="2026-04-06T00:00:00"/>
    <x v="2"/>
    <x v="3"/>
    <x v="14"/>
    <x v="5"/>
    <x v="29"/>
    <x v="20"/>
    <x v="0"/>
    <n v="345492000"/>
  </r>
  <r>
    <d v="2026-04-06T00:00:00"/>
    <x v="2"/>
    <x v="3"/>
    <x v="14"/>
    <x v="5"/>
    <x v="19"/>
    <x v="12"/>
    <x v="4"/>
    <n v="639747115"/>
  </r>
  <r>
    <d v="2026-04-06T00:00:00"/>
    <x v="2"/>
    <x v="3"/>
    <x v="14"/>
    <x v="5"/>
    <x v="24"/>
    <x v="18"/>
    <x v="1"/>
    <n v="7145550000"/>
  </r>
  <r>
    <d v="2026-04-06T00:00:00"/>
    <x v="2"/>
    <x v="3"/>
    <x v="14"/>
    <x v="5"/>
    <x v="30"/>
    <x v="21"/>
    <x v="0"/>
    <n v="3240000"/>
  </r>
  <r>
    <d v="2026-04-07T00:00:00"/>
    <x v="2"/>
    <x v="3"/>
    <x v="14"/>
    <x v="6"/>
    <x v="3"/>
    <x v="3"/>
    <x v="1"/>
    <n v="803500000"/>
  </r>
  <r>
    <d v="2026-04-07T00:00:00"/>
    <x v="2"/>
    <x v="3"/>
    <x v="14"/>
    <x v="6"/>
    <x v="11"/>
    <x v="10"/>
    <x v="4"/>
    <n v="323742554"/>
  </r>
  <r>
    <d v="2026-04-07T00:00:00"/>
    <x v="2"/>
    <x v="3"/>
    <x v="14"/>
    <x v="6"/>
    <x v="12"/>
    <x v="11"/>
    <x v="1"/>
    <n v="16980340000"/>
  </r>
  <r>
    <d v="2026-04-07T00:00:00"/>
    <x v="2"/>
    <x v="3"/>
    <x v="14"/>
    <x v="6"/>
    <x v="5"/>
    <x v="5"/>
    <x v="3"/>
    <n v="1734498184"/>
  </r>
  <r>
    <d v="2026-04-07T00:00:00"/>
    <x v="2"/>
    <x v="3"/>
    <x v="14"/>
    <x v="6"/>
    <x v="27"/>
    <x v="19"/>
    <x v="0"/>
    <n v="14266584000"/>
  </r>
  <r>
    <d v="2026-04-07T00:00:00"/>
    <x v="2"/>
    <x v="3"/>
    <x v="14"/>
    <x v="6"/>
    <x v="15"/>
    <x v="14"/>
    <x v="4"/>
    <n v="0"/>
  </r>
  <r>
    <d v="2026-04-07T00:00:00"/>
    <x v="2"/>
    <x v="3"/>
    <x v="14"/>
    <x v="6"/>
    <x v="31"/>
    <x v="22"/>
    <x v="1"/>
    <n v="170000000"/>
  </r>
  <r>
    <d v="2026-04-07T00:00:00"/>
    <x v="2"/>
    <x v="3"/>
    <x v="14"/>
    <x v="6"/>
    <x v="14"/>
    <x v="13"/>
    <x v="1"/>
    <n v="2352120000"/>
  </r>
  <r>
    <d v="2026-04-07T00:00:00"/>
    <x v="2"/>
    <x v="3"/>
    <x v="14"/>
    <x v="6"/>
    <x v="33"/>
    <x v="13"/>
    <x v="1"/>
    <n v="1111890000"/>
  </r>
  <r>
    <d v="2026-04-07T00:00:00"/>
    <x v="2"/>
    <x v="3"/>
    <x v="14"/>
    <x v="6"/>
    <x v="23"/>
    <x v="17"/>
    <x v="4"/>
    <n v="8941124"/>
  </r>
  <r>
    <d v="2026-04-07T00:00:00"/>
    <x v="2"/>
    <x v="3"/>
    <x v="14"/>
    <x v="6"/>
    <x v="28"/>
    <x v="17"/>
    <x v="4"/>
    <n v="1133115086"/>
  </r>
  <r>
    <d v="2026-04-07T00:00:00"/>
    <x v="2"/>
    <x v="3"/>
    <x v="14"/>
    <x v="6"/>
    <x v="8"/>
    <x v="8"/>
    <x v="1"/>
    <n v="0"/>
  </r>
  <r>
    <d v="2026-04-07T00:00:00"/>
    <x v="2"/>
    <x v="3"/>
    <x v="14"/>
    <x v="6"/>
    <x v="26"/>
    <x v="16"/>
    <x v="1"/>
    <n v="35750000"/>
  </r>
  <r>
    <d v="2026-04-07T00:00:00"/>
    <x v="2"/>
    <x v="3"/>
    <x v="14"/>
    <x v="6"/>
    <x v="32"/>
    <x v="16"/>
    <x v="1"/>
    <n v="49000000"/>
  </r>
  <r>
    <d v="2026-04-07T00:00:00"/>
    <x v="2"/>
    <x v="3"/>
    <x v="14"/>
    <x v="6"/>
    <x v="2"/>
    <x v="2"/>
    <x v="1"/>
    <n v="15016120000"/>
  </r>
  <r>
    <d v="2026-04-07T00:00:00"/>
    <x v="2"/>
    <x v="3"/>
    <x v="14"/>
    <x v="6"/>
    <x v="17"/>
    <x v="9"/>
    <x v="1"/>
    <n v="0"/>
  </r>
  <r>
    <d v="2026-04-07T00:00:00"/>
    <x v="2"/>
    <x v="3"/>
    <x v="14"/>
    <x v="6"/>
    <x v="20"/>
    <x v="9"/>
    <x v="1"/>
    <n v="0"/>
  </r>
  <r>
    <d v="2026-04-07T00:00:00"/>
    <x v="2"/>
    <x v="3"/>
    <x v="14"/>
    <x v="6"/>
    <x v="21"/>
    <x v="9"/>
    <x v="1"/>
    <n v="0"/>
  </r>
  <r>
    <d v="2026-04-07T00:00:00"/>
    <x v="2"/>
    <x v="3"/>
    <x v="14"/>
    <x v="6"/>
    <x v="25"/>
    <x v="2"/>
    <x v="1"/>
    <n v="0"/>
  </r>
  <r>
    <d v="2026-04-07T00:00:00"/>
    <x v="2"/>
    <x v="3"/>
    <x v="14"/>
    <x v="6"/>
    <x v="0"/>
    <x v="0"/>
    <x v="0"/>
    <n v="10865772000"/>
  </r>
  <r>
    <d v="2026-04-07T00:00:00"/>
    <x v="2"/>
    <x v="3"/>
    <x v="14"/>
    <x v="6"/>
    <x v="7"/>
    <x v="7"/>
    <x v="4"/>
    <n v="326694706"/>
  </r>
  <r>
    <d v="2026-04-07T00:00:00"/>
    <x v="2"/>
    <x v="3"/>
    <x v="14"/>
    <x v="6"/>
    <x v="1"/>
    <x v="1"/>
    <x v="1"/>
    <n v="42000000"/>
  </r>
  <r>
    <d v="2026-04-07T00:00:00"/>
    <x v="2"/>
    <x v="3"/>
    <x v="14"/>
    <x v="6"/>
    <x v="6"/>
    <x v="6"/>
    <x v="0"/>
    <n v="47000000"/>
  </r>
  <r>
    <d v="2026-04-07T00:00:00"/>
    <x v="2"/>
    <x v="3"/>
    <x v="14"/>
    <x v="6"/>
    <x v="18"/>
    <x v="15"/>
    <x v="1"/>
    <n v="710300000"/>
  </r>
  <r>
    <d v="2026-04-07T00:00:00"/>
    <x v="2"/>
    <x v="3"/>
    <x v="14"/>
    <x v="6"/>
    <x v="29"/>
    <x v="20"/>
    <x v="0"/>
    <n v="403272000"/>
  </r>
  <r>
    <d v="2026-04-07T00:00:00"/>
    <x v="2"/>
    <x v="3"/>
    <x v="14"/>
    <x v="6"/>
    <x v="19"/>
    <x v="12"/>
    <x v="4"/>
    <n v="546232895"/>
  </r>
  <r>
    <d v="2026-04-07T00:00:00"/>
    <x v="2"/>
    <x v="3"/>
    <x v="14"/>
    <x v="6"/>
    <x v="24"/>
    <x v="18"/>
    <x v="1"/>
    <n v="6696150000"/>
  </r>
  <r>
    <d v="2026-04-07T00:00:00"/>
    <x v="2"/>
    <x v="3"/>
    <x v="14"/>
    <x v="6"/>
    <x v="30"/>
    <x v="21"/>
    <x v="0"/>
    <n v="4320000"/>
  </r>
  <r>
    <d v="2026-04-08T00:00:00"/>
    <x v="2"/>
    <x v="3"/>
    <x v="14"/>
    <x v="7"/>
    <x v="3"/>
    <x v="3"/>
    <x v="1"/>
    <n v="689210000"/>
  </r>
  <r>
    <d v="2026-04-08T00:00:00"/>
    <x v="2"/>
    <x v="3"/>
    <x v="14"/>
    <x v="7"/>
    <x v="11"/>
    <x v="10"/>
    <x v="4"/>
    <n v="331308932"/>
  </r>
  <r>
    <d v="2026-04-08T00:00:00"/>
    <x v="2"/>
    <x v="3"/>
    <x v="14"/>
    <x v="7"/>
    <x v="12"/>
    <x v="11"/>
    <x v="1"/>
    <n v="16108350000"/>
  </r>
  <r>
    <d v="2026-04-08T00:00:00"/>
    <x v="2"/>
    <x v="3"/>
    <x v="14"/>
    <x v="7"/>
    <x v="5"/>
    <x v="5"/>
    <x v="3"/>
    <n v="1698948013"/>
  </r>
  <r>
    <d v="2026-04-08T00:00:00"/>
    <x v="2"/>
    <x v="3"/>
    <x v="14"/>
    <x v="7"/>
    <x v="27"/>
    <x v="19"/>
    <x v="0"/>
    <n v="14246388000"/>
  </r>
  <r>
    <d v="2026-04-08T00:00:00"/>
    <x v="2"/>
    <x v="3"/>
    <x v="14"/>
    <x v="7"/>
    <x v="15"/>
    <x v="14"/>
    <x v="4"/>
    <n v="0"/>
  </r>
  <r>
    <d v="2026-04-08T00:00:00"/>
    <x v="2"/>
    <x v="3"/>
    <x v="14"/>
    <x v="7"/>
    <x v="31"/>
    <x v="22"/>
    <x v="1"/>
    <n v="0"/>
  </r>
  <r>
    <d v="2026-04-08T00:00:00"/>
    <x v="2"/>
    <x v="3"/>
    <x v="14"/>
    <x v="7"/>
    <x v="14"/>
    <x v="13"/>
    <x v="1"/>
    <n v="2533400000"/>
  </r>
  <r>
    <d v="2026-04-08T00:00:00"/>
    <x v="2"/>
    <x v="3"/>
    <x v="14"/>
    <x v="7"/>
    <x v="33"/>
    <x v="13"/>
    <x v="1"/>
    <n v="726830000"/>
  </r>
  <r>
    <d v="2026-04-08T00:00:00"/>
    <x v="2"/>
    <x v="3"/>
    <x v="14"/>
    <x v="7"/>
    <x v="23"/>
    <x v="17"/>
    <x v="4"/>
    <n v="35135499"/>
  </r>
  <r>
    <d v="2026-04-08T00:00:00"/>
    <x v="2"/>
    <x v="3"/>
    <x v="14"/>
    <x v="7"/>
    <x v="28"/>
    <x v="17"/>
    <x v="4"/>
    <n v="1263557686"/>
  </r>
  <r>
    <d v="2026-04-08T00:00:00"/>
    <x v="2"/>
    <x v="3"/>
    <x v="14"/>
    <x v="7"/>
    <x v="8"/>
    <x v="8"/>
    <x v="1"/>
    <n v="0"/>
  </r>
  <r>
    <d v="2026-04-08T00:00:00"/>
    <x v="2"/>
    <x v="3"/>
    <x v="14"/>
    <x v="7"/>
    <x v="26"/>
    <x v="16"/>
    <x v="1"/>
    <n v="77700000"/>
  </r>
  <r>
    <d v="2026-04-08T00:00:00"/>
    <x v="2"/>
    <x v="3"/>
    <x v="14"/>
    <x v="7"/>
    <x v="32"/>
    <x v="16"/>
    <x v="1"/>
    <n v="0"/>
  </r>
  <r>
    <d v="2026-04-08T00:00:00"/>
    <x v="2"/>
    <x v="3"/>
    <x v="14"/>
    <x v="7"/>
    <x v="2"/>
    <x v="2"/>
    <x v="1"/>
    <n v="16870560000"/>
  </r>
  <r>
    <d v="2026-04-08T00:00:00"/>
    <x v="2"/>
    <x v="3"/>
    <x v="14"/>
    <x v="7"/>
    <x v="17"/>
    <x v="9"/>
    <x v="1"/>
    <n v="0"/>
  </r>
  <r>
    <d v="2026-04-08T00:00:00"/>
    <x v="2"/>
    <x v="3"/>
    <x v="14"/>
    <x v="7"/>
    <x v="20"/>
    <x v="9"/>
    <x v="1"/>
    <n v="0"/>
  </r>
  <r>
    <d v="2026-04-08T00:00:00"/>
    <x v="2"/>
    <x v="3"/>
    <x v="14"/>
    <x v="7"/>
    <x v="21"/>
    <x v="9"/>
    <x v="1"/>
    <n v="0"/>
  </r>
  <r>
    <d v="2026-04-08T00:00:00"/>
    <x v="2"/>
    <x v="3"/>
    <x v="14"/>
    <x v="7"/>
    <x v="25"/>
    <x v="2"/>
    <x v="1"/>
    <n v="5000000"/>
  </r>
  <r>
    <d v="2026-04-08T00:00:00"/>
    <x v="2"/>
    <x v="3"/>
    <x v="14"/>
    <x v="7"/>
    <x v="0"/>
    <x v="0"/>
    <x v="0"/>
    <n v="10242288000"/>
  </r>
  <r>
    <d v="2026-04-08T00:00:00"/>
    <x v="2"/>
    <x v="3"/>
    <x v="14"/>
    <x v="7"/>
    <x v="7"/>
    <x v="7"/>
    <x v="4"/>
    <n v="267798669"/>
  </r>
  <r>
    <d v="2026-04-08T00:00:00"/>
    <x v="2"/>
    <x v="3"/>
    <x v="14"/>
    <x v="7"/>
    <x v="1"/>
    <x v="1"/>
    <x v="1"/>
    <n v="52000000"/>
  </r>
  <r>
    <d v="2026-04-08T00:00:00"/>
    <x v="2"/>
    <x v="3"/>
    <x v="14"/>
    <x v="7"/>
    <x v="6"/>
    <x v="6"/>
    <x v="0"/>
    <n v="72000000"/>
  </r>
  <r>
    <d v="2026-04-08T00:00:00"/>
    <x v="2"/>
    <x v="3"/>
    <x v="14"/>
    <x v="7"/>
    <x v="18"/>
    <x v="15"/>
    <x v="1"/>
    <n v="779900000"/>
  </r>
  <r>
    <d v="2026-04-08T00:00:00"/>
    <x v="2"/>
    <x v="3"/>
    <x v="14"/>
    <x v="7"/>
    <x v="29"/>
    <x v="20"/>
    <x v="0"/>
    <n v="356292000"/>
  </r>
  <r>
    <d v="2026-04-08T00:00:00"/>
    <x v="2"/>
    <x v="3"/>
    <x v="14"/>
    <x v="7"/>
    <x v="19"/>
    <x v="12"/>
    <x v="4"/>
    <n v="413342105"/>
  </r>
  <r>
    <d v="2026-04-08T00:00:00"/>
    <x v="2"/>
    <x v="3"/>
    <x v="14"/>
    <x v="7"/>
    <x v="24"/>
    <x v="18"/>
    <x v="1"/>
    <n v="5908770000"/>
  </r>
  <r>
    <d v="2026-04-08T00:00:00"/>
    <x v="2"/>
    <x v="3"/>
    <x v="14"/>
    <x v="7"/>
    <x v="30"/>
    <x v="21"/>
    <x v="0"/>
    <n v="10800000"/>
  </r>
  <r>
    <d v="2026-04-09T00:00:00"/>
    <x v="2"/>
    <x v="3"/>
    <x v="14"/>
    <x v="8"/>
    <x v="3"/>
    <x v="3"/>
    <x v="1"/>
    <n v="627800000"/>
  </r>
  <r>
    <d v="2026-04-09T00:00:00"/>
    <x v="2"/>
    <x v="3"/>
    <x v="14"/>
    <x v="8"/>
    <x v="11"/>
    <x v="10"/>
    <x v="4"/>
    <n v="330557519"/>
  </r>
  <r>
    <d v="2026-04-09T00:00:00"/>
    <x v="2"/>
    <x v="3"/>
    <x v="14"/>
    <x v="8"/>
    <x v="12"/>
    <x v="11"/>
    <x v="1"/>
    <n v="17443040000"/>
  </r>
  <r>
    <d v="2026-04-09T00:00:00"/>
    <x v="2"/>
    <x v="3"/>
    <x v="14"/>
    <x v="8"/>
    <x v="5"/>
    <x v="5"/>
    <x v="3"/>
    <n v="2092921255"/>
  </r>
  <r>
    <d v="2026-04-09T00:00:00"/>
    <x v="2"/>
    <x v="3"/>
    <x v="14"/>
    <x v="8"/>
    <x v="27"/>
    <x v="19"/>
    <x v="0"/>
    <n v="15453072000"/>
  </r>
  <r>
    <d v="2026-04-09T00:00:00"/>
    <x v="2"/>
    <x v="3"/>
    <x v="14"/>
    <x v="8"/>
    <x v="15"/>
    <x v="14"/>
    <x v="4"/>
    <n v="0"/>
  </r>
  <r>
    <d v="2026-04-09T00:00:00"/>
    <x v="2"/>
    <x v="3"/>
    <x v="14"/>
    <x v="8"/>
    <x v="31"/>
    <x v="22"/>
    <x v="1"/>
    <n v="160000000"/>
  </r>
  <r>
    <d v="2026-04-09T00:00:00"/>
    <x v="2"/>
    <x v="3"/>
    <x v="14"/>
    <x v="8"/>
    <x v="14"/>
    <x v="13"/>
    <x v="1"/>
    <n v="2707270000"/>
  </r>
  <r>
    <d v="2026-04-09T00:00:00"/>
    <x v="2"/>
    <x v="3"/>
    <x v="14"/>
    <x v="8"/>
    <x v="33"/>
    <x v="13"/>
    <x v="1"/>
    <n v="774550000"/>
  </r>
  <r>
    <d v="2026-04-09T00:00:00"/>
    <x v="2"/>
    <x v="3"/>
    <x v="14"/>
    <x v="8"/>
    <x v="23"/>
    <x v="17"/>
    <x v="4"/>
    <n v="15950594"/>
  </r>
  <r>
    <d v="2026-04-09T00:00:00"/>
    <x v="2"/>
    <x v="3"/>
    <x v="14"/>
    <x v="8"/>
    <x v="28"/>
    <x v="17"/>
    <x v="4"/>
    <n v="1169180632"/>
  </r>
  <r>
    <d v="2026-04-09T00:00:00"/>
    <x v="2"/>
    <x v="3"/>
    <x v="14"/>
    <x v="8"/>
    <x v="8"/>
    <x v="8"/>
    <x v="1"/>
    <n v="0"/>
  </r>
  <r>
    <d v="2026-04-09T00:00:00"/>
    <x v="2"/>
    <x v="3"/>
    <x v="14"/>
    <x v="8"/>
    <x v="26"/>
    <x v="16"/>
    <x v="1"/>
    <n v="40750000"/>
  </r>
  <r>
    <d v="2026-04-09T00:00:00"/>
    <x v="2"/>
    <x v="3"/>
    <x v="14"/>
    <x v="8"/>
    <x v="32"/>
    <x v="16"/>
    <x v="1"/>
    <n v="0"/>
  </r>
  <r>
    <d v="2026-04-09T00:00:00"/>
    <x v="2"/>
    <x v="3"/>
    <x v="14"/>
    <x v="8"/>
    <x v="2"/>
    <x v="2"/>
    <x v="1"/>
    <n v="15938400000"/>
  </r>
  <r>
    <d v="2026-04-09T00:00:00"/>
    <x v="2"/>
    <x v="3"/>
    <x v="14"/>
    <x v="8"/>
    <x v="17"/>
    <x v="9"/>
    <x v="1"/>
    <n v="0"/>
  </r>
  <r>
    <d v="2026-04-09T00:00:00"/>
    <x v="2"/>
    <x v="3"/>
    <x v="14"/>
    <x v="8"/>
    <x v="20"/>
    <x v="9"/>
    <x v="1"/>
    <n v="0"/>
  </r>
  <r>
    <d v="2026-04-09T00:00:00"/>
    <x v="2"/>
    <x v="3"/>
    <x v="14"/>
    <x v="8"/>
    <x v="21"/>
    <x v="9"/>
    <x v="1"/>
    <n v="0"/>
  </r>
  <r>
    <d v="2026-04-09T00:00:00"/>
    <x v="2"/>
    <x v="3"/>
    <x v="14"/>
    <x v="8"/>
    <x v="25"/>
    <x v="2"/>
    <x v="1"/>
    <n v="0"/>
  </r>
  <r>
    <d v="2026-04-09T00:00:00"/>
    <x v="2"/>
    <x v="3"/>
    <x v="14"/>
    <x v="8"/>
    <x v="0"/>
    <x v="0"/>
    <x v="0"/>
    <n v="10114092000"/>
  </r>
  <r>
    <d v="2026-04-09T00:00:00"/>
    <x v="2"/>
    <x v="3"/>
    <x v="14"/>
    <x v="8"/>
    <x v="7"/>
    <x v="7"/>
    <x v="4"/>
    <n v="249829358"/>
  </r>
  <r>
    <d v="2026-04-09T00:00:00"/>
    <x v="2"/>
    <x v="3"/>
    <x v="14"/>
    <x v="8"/>
    <x v="1"/>
    <x v="1"/>
    <x v="1"/>
    <n v="42000000"/>
  </r>
  <r>
    <d v="2026-04-09T00:00:00"/>
    <x v="2"/>
    <x v="3"/>
    <x v="14"/>
    <x v="8"/>
    <x v="6"/>
    <x v="6"/>
    <x v="0"/>
    <n v="45000000"/>
  </r>
  <r>
    <d v="2026-04-09T00:00:00"/>
    <x v="2"/>
    <x v="3"/>
    <x v="14"/>
    <x v="8"/>
    <x v="18"/>
    <x v="15"/>
    <x v="1"/>
    <n v="867440000"/>
  </r>
  <r>
    <d v="2026-04-09T00:00:00"/>
    <x v="2"/>
    <x v="3"/>
    <x v="14"/>
    <x v="8"/>
    <x v="29"/>
    <x v="20"/>
    <x v="0"/>
    <n v="373788000"/>
  </r>
  <r>
    <d v="2026-04-09T00:00:00"/>
    <x v="2"/>
    <x v="3"/>
    <x v="14"/>
    <x v="8"/>
    <x v="19"/>
    <x v="12"/>
    <x v="4"/>
    <n v="448450851"/>
  </r>
  <r>
    <d v="2026-04-09T00:00:00"/>
    <x v="2"/>
    <x v="3"/>
    <x v="14"/>
    <x v="8"/>
    <x v="24"/>
    <x v="18"/>
    <x v="1"/>
    <n v="6647070000"/>
  </r>
  <r>
    <d v="2026-04-09T00:00:00"/>
    <x v="2"/>
    <x v="3"/>
    <x v="14"/>
    <x v="8"/>
    <x v="30"/>
    <x v="21"/>
    <x v="0"/>
    <n v="0"/>
  </r>
  <r>
    <d v="2026-04-10T00:00:00"/>
    <x v="2"/>
    <x v="3"/>
    <x v="14"/>
    <x v="9"/>
    <x v="3"/>
    <x v="3"/>
    <x v="1"/>
    <n v="662610000"/>
  </r>
  <r>
    <d v="2026-04-10T00:00:00"/>
    <x v="2"/>
    <x v="3"/>
    <x v="14"/>
    <x v="9"/>
    <x v="11"/>
    <x v="10"/>
    <x v="4"/>
    <n v="303036975"/>
  </r>
  <r>
    <d v="2026-04-10T00:00:00"/>
    <x v="2"/>
    <x v="3"/>
    <x v="14"/>
    <x v="9"/>
    <x v="12"/>
    <x v="11"/>
    <x v="1"/>
    <n v="16824250000"/>
  </r>
  <r>
    <d v="2026-04-10T00:00:00"/>
    <x v="2"/>
    <x v="3"/>
    <x v="14"/>
    <x v="9"/>
    <x v="5"/>
    <x v="5"/>
    <x v="3"/>
    <n v="2520438537"/>
  </r>
  <r>
    <d v="2026-04-10T00:00:00"/>
    <x v="2"/>
    <x v="3"/>
    <x v="14"/>
    <x v="9"/>
    <x v="27"/>
    <x v="19"/>
    <x v="0"/>
    <n v="20986668000"/>
  </r>
  <r>
    <d v="2026-04-10T00:00:00"/>
    <x v="2"/>
    <x v="3"/>
    <x v="14"/>
    <x v="9"/>
    <x v="15"/>
    <x v="14"/>
    <x v="4"/>
    <n v="0"/>
  </r>
  <r>
    <d v="2026-04-10T00:00:00"/>
    <x v="2"/>
    <x v="3"/>
    <x v="14"/>
    <x v="9"/>
    <x v="31"/>
    <x v="22"/>
    <x v="1"/>
    <n v="0"/>
  </r>
  <r>
    <d v="2026-04-10T00:00:00"/>
    <x v="2"/>
    <x v="3"/>
    <x v="14"/>
    <x v="9"/>
    <x v="14"/>
    <x v="13"/>
    <x v="1"/>
    <n v="2979680000"/>
  </r>
  <r>
    <d v="2026-04-10T00:00:00"/>
    <x v="2"/>
    <x v="3"/>
    <x v="14"/>
    <x v="9"/>
    <x v="33"/>
    <x v="13"/>
    <x v="1"/>
    <n v="1144350000"/>
  </r>
  <r>
    <d v="2026-04-10T00:00:00"/>
    <x v="2"/>
    <x v="3"/>
    <x v="14"/>
    <x v="9"/>
    <x v="23"/>
    <x v="17"/>
    <x v="4"/>
    <n v="3038883"/>
  </r>
  <r>
    <d v="2026-04-10T00:00:00"/>
    <x v="2"/>
    <x v="3"/>
    <x v="14"/>
    <x v="9"/>
    <x v="28"/>
    <x v="17"/>
    <x v="4"/>
    <n v="1389954668"/>
  </r>
  <r>
    <d v="2026-04-10T00:00:00"/>
    <x v="2"/>
    <x v="3"/>
    <x v="14"/>
    <x v="9"/>
    <x v="8"/>
    <x v="8"/>
    <x v="1"/>
    <n v="0"/>
  </r>
  <r>
    <d v="2026-04-10T00:00:00"/>
    <x v="2"/>
    <x v="3"/>
    <x v="14"/>
    <x v="9"/>
    <x v="26"/>
    <x v="16"/>
    <x v="1"/>
    <n v="99750000"/>
  </r>
  <r>
    <d v="2026-04-10T00:00:00"/>
    <x v="2"/>
    <x v="3"/>
    <x v="14"/>
    <x v="9"/>
    <x v="32"/>
    <x v="16"/>
    <x v="1"/>
    <n v="0"/>
  </r>
  <r>
    <d v="2026-04-10T00:00:00"/>
    <x v="2"/>
    <x v="3"/>
    <x v="14"/>
    <x v="9"/>
    <x v="2"/>
    <x v="2"/>
    <x v="1"/>
    <n v="19497540000"/>
  </r>
  <r>
    <d v="2026-04-10T00:00:00"/>
    <x v="2"/>
    <x v="3"/>
    <x v="14"/>
    <x v="9"/>
    <x v="17"/>
    <x v="9"/>
    <x v="1"/>
    <n v="0"/>
  </r>
  <r>
    <d v="2026-04-10T00:00:00"/>
    <x v="2"/>
    <x v="3"/>
    <x v="14"/>
    <x v="9"/>
    <x v="20"/>
    <x v="9"/>
    <x v="1"/>
    <n v="0"/>
  </r>
  <r>
    <d v="2026-04-10T00:00:00"/>
    <x v="2"/>
    <x v="3"/>
    <x v="14"/>
    <x v="9"/>
    <x v="21"/>
    <x v="9"/>
    <x v="1"/>
    <n v="0"/>
  </r>
  <r>
    <d v="2026-04-10T00:00:00"/>
    <x v="2"/>
    <x v="3"/>
    <x v="14"/>
    <x v="9"/>
    <x v="25"/>
    <x v="2"/>
    <x v="1"/>
    <n v="0"/>
  </r>
  <r>
    <d v="2026-04-10T00:00:00"/>
    <x v="2"/>
    <x v="3"/>
    <x v="14"/>
    <x v="9"/>
    <x v="0"/>
    <x v="0"/>
    <x v="0"/>
    <n v="15692292000"/>
  </r>
  <r>
    <d v="2026-04-10T00:00:00"/>
    <x v="2"/>
    <x v="3"/>
    <x v="14"/>
    <x v="9"/>
    <x v="7"/>
    <x v="7"/>
    <x v="4"/>
    <n v="248584146"/>
  </r>
  <r>
    <d v="2026-04-10T00:00:00"/>
    <x v="2"/>
    <x v="3"/>
    <x v="14"/>
    <x v="9"/>
    <x v="1"/>
    <x v="1"/>
    <x v="1"/>
    <n v="31000000"/>
  </r>
  <r>
    <d v="2026-04-10T00:00:00"/>
    <x v="2"/>
    <x v="3"/>
    <x v="14"/>
    <x v="9"/>
    <x v="6"/>
    <x v="6"/>
    <x v="0"/>
    <n v="31000000"/>
  </r>
  <r>
    <d v="2026-04-10T00:00:00"/>
    <x v="2"/>
    <x v="3"/>
    <x v="14"/>
    <x v="9"/>
    <x v="18"/>
    <x v="15"/>
    <x v="1"/>
    <n v="1104220000"/>
  </r>
  <r>
    <d v="2026-04-10T00:00:00"/>
    <x v="2"/>
    <x v="3"/>
    <x v="14"/>
    <x v="9"/>
    <x v="29"/>
    <x v="20"/>
    <x v="0"/>
    <n v="393660000"/>
  </r>
  <r>
    <d v="2026-04-10T00:00:00"/>
    <x v="2"/>
    <x v="3"/>
    <x v="14"/>
    <x v="9"/>
    <x v="19"/>
    <x v="12"/>
    <x v="4"/>
    <n v="379675871"/>
  </r>
  <r>
    <d v="2026-04-10T00:00:00"/>
    <x v="2"/>
    <x v="3"/>
    <x v="14"/>
    <x v="9"/>
    <x v="24"/>
    <x v="18"/>
    <x v="1"/>
    <n v="7207520000"/>
  </r>
  <r>
    <d v="2026-04-10T00:00:00"/>
    <x v="2"/>
    <x v="3"/>
    <x v="14"/>
    <x v="9"/>
    <x v="30"/>
    <x v="21"/>
    <x v="0"/>
    <n v="3240000"/>
  </r>
  <r>
    <d v="2026-04-11T00:00:00"/>
    <x v="2"/>
    <x v="3"/>
    <x v="14"/>
    <x v="10"/>
    <x v="3"/>
    <x v="3"/>
    <x v="1"/>
    <n v="563600000"/>
  </r>
  <r>
    <d v="2026-04-11T00:00:00"/>
    <x v="2"/>
    <x v="3"/>
    <x v="14"/>
    <x v="10"/>
    <x v="11"/>
    <x v="10"/>
    <x v="4"/>
    <n v="265177744"/>
  </r>
  <r>
    <d v="2026-04-11T00:00:00"/>
    <x v="2"/>
    <x v="3"/>
    <x v="14"/>
    <x v="10"/>
    <x v="12"/>
    <x v="11"/>
    <x v="1"/>
    <n v="13512620000"/>
  </r>
  <r>
    <d v="2026-04-11T00:00:00"/>
    <x v="2"/>
    <x v="3"/>
    <x v="14"/>
    <x v="10"/>
    <x v="5"/>
    <x v="5"/>
    <x v="3"/>
    <n v="1393909416"/>
  </r>
  <r>
    <d v="2026-04-11T00:00:00"/>
    <x v="2"/>
    <x v="3"/>
    <x v="14"/>
    <x v="10"/>
    <x v="27"/>
    <x v="19"/>
    <x v="0"/>
    <n v="15474348000"/>
  </r>
  <r>
    <d v="2026-04-11T00:00:00"/>
    <x v="2"/>
    <x v="3"/>
    <x v="14"/>
    <x v="10"/>
    <x v="15"/>
    <x v="14"/>
    <x v="4"/>
    <n v="0"/>
  </r>
  <r>
    <d v="2026-04-11T00:00:00"/>
    <x v="2"/>
    <x v="3"/>
    <x v="14"/>
    <x v="10"/>
    <x v="31"/>
    <x v="22"/>
    <x v="1"/>
    <n v="90000000"/>
  </r>
  <r>
    <d v="2026-04-11T00:00:00"/>
    <x v="2"/>
    <x v="3"/>
    <x v="14"/>
    <x v="10"/>
    <x v="14"/>
    <x v="13"/>
    <x v="1"/>
    <n v="3246320000"/>
  </r>
  <r>
    <d v="2026-04-11T00:00:00"/>
    <x v="2"/>
    <x v="3"/>
    <x v="14"/>
    <x v="10"/>
    <x v="33"/>
    <x v="13"/>
    <x v="1"/>
    <n v="726040000"/>
  </r>
  <r>
    <d v="2026-04-11T00:00:00"/>
    <x v="2"/>
    <x v="3"/>
    <x v="14"/>
    <x v="10"/>
    <x v="23"/>
    <x v="17"/>
    <x v="4"/>
    <n v="2678744"/>
  </r>
  <r>
    <d v="2026-04-11T00:00:00"/>
    <x v="2"/>
    <x v="3"/>
    <x v="14"/>
    <x v="10"/>
    <x v="28"/>
    <x v="17"/>
    <x v="4"/>
    <n v="1437630222"/>
  </r>
  <r>
    <d v="2026-04-11T00:00:00"/>
    <x v="2"/>
    <x v="3"/>
    <x v="14"/>
    <x v="10"/>
    <x v="8"/>
    <x v="8"/>
    <x v="1"/>
    <n v="0"/>
  </r>
  <r>
    <d v="2026-04-11T00:00:00"/>
    <x v="2"/>
    <x v="3"/>
    <x v="14"/>
    <x v="10"/>
    <x v="26"/>
    <x v="16"/>
    <x v="1"/>
    <n v="10000000"/>
  </r>
  <r>
    <d v="2026-04-11T00:00:00"/>
    <x v="2"/>
    <x v="3"/>
    <x v="14"/>
    <x v="10"/>
    <x v="32"/>
    <x v="16"/>
    <x v="1"/>
    <n v="0"/>
  </r>
  <r>
    <d v="2026-04-11T00:00:00"/>
    <x v="2"/>
    <x v="3"/>
    <x v="14"/>
    <x v="10"/>
    <x v="2"/>
    <x v="2"/>
    <x v="1"/>
    <n v="16632280000"/>
  </r>
  <r>
    <d v="2026-04-11T00:00:00"/>
    <x v="2"/>
    <x v="3"/>
    <x v="14"/>
    <x v="10"/>
    <x v="17"/>
    <x v="9"/>
    <x v="1"/>
    <n v="0"/>
  </r>
  <r>
    <d v="2026-04-11T00:00:00"/>
    <x v="2"/>
    <x v="3"/>
    <x v="14"/>
    <x v="10"/>
    <x v="20"/>
    <x v="9"/>
    <x v="1"/>
    <n v="0"/>
  </r>
  <r>
    <d v="2026-04-11T00:00:00"/>
    <x v="2"/>
    <x v="3"/>
    <x v="14"/>
    <x v="10"/>
    <x v="21"/>
    <x v="9"/>
    <x v="1"/>
    <n v="0"/>
  </r>
  <r>
    <d v="2026-04-11T00:00:00"/>
    <x v="2"/>
    <x v="3"/>
    <x v="14"/>
    <x v="10"/>
    <x v="25"/>
    <x v="2"/>
    <x v="1"/>
    <n v="0"/>
  </r>
  <r>
    <d v="2026-04-11T00:00:00"/>
    <x v="2"/>
    <x v="3"/>
    <x v="14"/>
    <x v="10"/>
    <x v="0"/>
    <x v="0"/>
    <x v="0"/>
    <n v="12623040000"/>
  </r>
  <r>
    <d v="2026-04-11T00:00:00"/>
    <x v="2"/>
    <x v="3"/>
    <x v="14"/>
    <x v="10"/>
    <x v="7"/>
    <x v="7"/>
    <x v="4"/>
    <n v="187797328"/>
  </r>
  <r>
    <d v="2026-04-11T00:00:00"/>
    <x v="2"/>
    <x v="3"/>
    <x v="14"/>
    <x v="10"/>
    <x v="1"/>
    <x v="1"/>
    <x v="1"/>
    <n v="57750000"/>
  </r>
  <r>
    <d v="2026-04-11T00:00:00"/>
    <x v="2"/>
    <x v="3"/>
    <x v="14"/>
    <x v="10"/>
    <x v="6"/>
    <x v="6"/>
    <x v="0"/>
    <n v="30000000"/>
  </r>
  <r>
    <d v="2026-04-11T00:00:00"/>
    <x v="2"/>
    <x v="3"/>
    <x v="14"/>
    <x v="10"/>
    <x v="18"/>
    <x v="15"/>
    <x v="1"/>
    <n v="626120000"/>
  </r>
  <r>
    <d v="2026-04-11T00:00:00"/>
    <x v="2"/>
    <x v="3"/>
    <x v="14"/>
    <x v="10"/>
    <x v="29"/>
    <x v="20"/>
    <x v="0"/>
    <n v="302292000"/>
  </r>
  <r>
    <d v="2026-04-11T00:00:00"/>
    <x v="2"/>
    <x v="3"/>
    <x v="14"/>
    <x v="10"/>
    <x v="19"/>
    <x v="12"/>
    <x v="4"/>
    <n v="323468087"/>
  </r>
  <r>
    <d v="2026-04-11T00:00:00"/>
    <x v="2"/>
    <x v="3"/>
    <x v="14"/>
    <x v="10"/>
    <x v="24"/>
    <x v="18"/>
    <x v="1"/>
    <n v="5508250000"/>
  </r>
  <r>
    <d v="2026-04-11T00:00:00"/>
    <x v="2"/>
    <x v="3"/>
    <x v="14"/>
    <x v="10"/>
    <x v="30"/>
    <x v="21"/>
    <x v="0"/>
    <n v="0"/>
  </r>
  <r>
    <d v="2026-04-12T00:00:00"/>
    <x v="2"/>
    <x v="3"/>
    <x v="14"/>
    <x v="11"/>
    <x v="3"/>
    <x v="3"/>
    <x v="1"/>
    <n v="671250000"/>
  </r>
  <r>
    <d v="2026-04-12T00:00:00"/>
    <x v="2"/>
    <x v="3"/>
    <x v="14"/>
    <x v="11"/>
    <x v="11"/>
    <x v="10"/>
    <x v="4"/>
    <n v="316296496"/>
  </r>
  <r>
    <d v="2026-04-12T00:00:00"/>
    <x v="2"/>
    <x v="3"/>
    <x v="14"/>
    <x v="11"/>
    <x v="12"/>
    <x v="11"/>
    <x v="1"/>
    <n v="10894830000"/>
  </r>
  <r>
    <d v="2026-04-12T00:00:00"/>
    <x v="2"/>
    <x v="3"/>
    <x v="14"/>
    <x v="11"/>
    <x v="5"/>
    <x v="5"/>
    <x v="3"/>
    <n v="1236101463"/>
  </r>
  <r>
    <d v="2026-04-12T00:00:00"/>
    <x v="2"/>
    <x v="3"/>
    <x v="14"/>
    <x v="11"/>
    <x v="27"/>
    <x v="19"/>
    <x v="0"/>
    <n v="13592988000"/>
  </r>
  <r>
    <d v="2026-04-12T00:00:00"/>
    <x v="2"/>
    <x v="3"/>
    <x v="14"/>
    <x v="11"/>
    <x v="15"/>
    <x v="14"/>
    <x v="4"/>
    <n v="0"/>
  </r>
  <r>
    <d v="2026-04-12T00:00:00"/>
    <x v="2"/>
    <x v="3"/>
    <x v="14"/>
    <x v="11"/>
    <x v="31"/>
    <x v="22"/>
    <x v="1"/>
    <n v="0"/>
  </r>
  <r>
    <d v="2026-04-12T00:00:00"/>
    <x v="2"/>
    <x v="3"/>
    <x v="14"/>
    <x v="11"/>
    <x v="14"/>
    <x v="13"/>
    <x v="1"/>
    <n v="3536440000"/>
  </r>
  <r>
    <d v="2026-04-12T00:00:00"/>
    <x v="2"/>
    <x v="3"/>
    <x v="14"/>
    <x v="11"/>
    <x v="33"/>
    <x v="13"/>
    <x v="1"/>
    <n v="564090000"/>
  </r>
  <r>
    <d v="2026-04-12T00:00:00"/>
    <x v="2"/>
    <x v="3"/>
    <x v="14"/>
    <x v="11"/>
    <x v="23"/>
    <x v="17"/>
    <x v="4"/>
    <n v="6340708"/>
  </r>
  <r>
    <d v="2026-04-12T00:00:00"/>
    <x v="2"/>
    <x v="3"/>
    <x v="14"/>
    <x v="11"/>
    <x v="28"/>
    <x v="17"/>
    <x v="4"/>
    <n v="1413464582"/>
  </r>
  <r>
    <d v="2026-04-12T00:00:00"/>
    <x v="2"/>
    <x v="3"/>
    <x v="14"/>
    <x v="11"/>
    <x v="8"/>
    <x v="8"/>
    <x v="1"/>
    <n v="0"/>
  </r>
  <r>
    <d v="2026-04-12T00:00:00"/>
    <x v="2"/>
    <x v="3"/>
    <x v="14"/>
    <x v="11"/>
    <x v="26"/>
    <x v="16"/>
    <x v="1"/>
    <n v="0"/>
  </r>
  <r>
    <d v="2026-04-12T00:00:00"/>
    <x v="2"/>
    <x v="3"/>
    <x v="14"/>
    <x v="11"/>
    <x v="32"/>
    <x v="16"/>
    <x v="1"/>
    <n v="0"/>
  </r>
  <r>
    <d v="2026-04-12T00:00:00"/>
    <x v="2"/>
    <x v="3"/>
    <x v="14"/>
    <x v="11"/>
    <x v="2"/>
    <x v="2"/>
    <x v="1"/>
    <n v="16581150000"/>
  </r>
  <r>
    <d v="2026-04-12T00:00:00"/>
    <x v="2"/>
    <x v="3"/>
    <x v="14"/>
    <x v="11"/>
    <x v="17"/>
    <x v="9"/>
    <x v="1"/>
    <n v="0"/>
  </r>
  <r>
    <d v="2026-04-12T00:00:00"/>
    <x v="2"/>
    <x v="3"/>
    <x v="14"/>
    <x v="11"/>
    <x v="20"/>
    <x v="9"/>
    <x v="1"/>
    <n v="0"/>
  </r>
  <r>
    <d v="2026-04-12T00:00:00"/>
    <x v="2"/>
    <x v="3"/>
    <x v="14"/>
    <x v="11"/>
    <x v="21"/>
    <x v="9"/>
    <x v="1"/>
    <n v="0"/>
  </r>
  <r>
    <d v="2026-04-12T00:00:00"/>
    <x v="2"/>
    <x v="3"/>
    <x v="14"/>
    <x v="11"/>
    <x v="25"/>
    <x v="2"/>
    <x v="1"/>
    <n v="0"/>
  </r>
  <r>
    <d v="2026-04-12T00:00:00"/>
    <x v="2"/>
    <x v="3"/>
    <x v="14"/>
    <x v="11"/>
    <x v="0"/>
    <x v="0"/>
    <x v="0"/>
    <n v="10937592000"/>
  </r>
  <r>
    <d v="2026-04-12T00:00:00"/>
    <x v="2"/>
    <x v="3"/>
    <x v="14"/>
    <x v="11"/>
    <x v="7"/>
    <x v="7"/>
    <x v="4"/>
    <n v="197904553"/>
  </r>
  <r>
    <d v="2026-04-12T00:00:00"/>
    <x v="2"/>
    <x v="3"/>
    <x v="14"/>
    <x v="11"/>
    <x v="1"/>
    <x v="1"/>
    <x v="1"/>
    <n v="21000000"/>
  </r>
  <r>
    <d v="2026-04-12T00:00:00"/>
    <x v="2"/>
    <x v="3"/>
    <x v="14"/>
    <x v="11"/>
    <x v="6"/>
    <x v="6"/>
    <x v="0"/>
    <n v="45000000"/>
  </r>
  <r>
    <d v="2026-04-12T00:00:00"/>
    <x v="2"/>
    <x v="3"/>
    <x v="14"/>
    <x v="11"/>
    <x v="18"/>
    <x v="15"/>
    <x v="1"/>
    <n v="553580000"/>
  </r>
  <r>
    <d v="2026-04-12T00:00:00"/>
    <x v="2"/>
    <x v="3"/>
    <x v="14"/>
    <x v="11"/>
    <x v="29"/>
    <x v="20"/>
    <x v="0"/>
    <n v="275400000"/>
  </r>
  <r>
    <d v="2026-04-12T00:00:00"/>
    <x v="2"/>
    <x v="3"/>
    <x v="14"/>
    <x v="11"/>
    <x v="19"/>
    <x v="12"/>
    <x v="4"/>
    <n v="249197333"/>
  </r>
  <r>
    <d v="2026-04-12T00:00:00"/>
    <x v="2"/>
    <x v="3"/>
    <x v="14"/>
    <x v="11"/>
    <x v="24"/>
    <x v="18"/>
    <x v="1"/>
    <n v="4706910000"/>
  </r>
  <r>
    <d v="2026-04-12T00:00:00"/>
    <x v="2"/>
    <x v="3"/>
    <x v="14"/>
    <x v="11"/>
    <x v="30"/>
    <x v="21"/>
    <x v="0"/>
    <n v="6480000"/>
  </r>
  <r>
    <d v="2026-04-13T00:00:00"/>
    <x v="2"/>
    <x v="3"/>
    <x v="15"/>
    <x v="12"/>
    <x v="3"/>
    <x v="3"/>
    <x v="1"/>
    <n v="438810000"/>
  </r>
  <r>
    <d v="2026-04-13T00:00:00"/>
    <x v="2"/>
    <x v="3"/>
    <x v="15"/>
    <x v="12"/>
    <x v="11"/>
    <x v="10"/>
    <x v="4"/>
    <n v="273934417"/>
  </r>
  <r>
    <d v="2026-04-13T00:00:00"/>
    <x v="2"/>
    <x v="3"/>
    <x v="15"/>
    <x v="12"/>
    <x v="12"/>
    <x v="11"/>
    <x v="1"/>
    <n v="16424450000"/>
  </r>
  <r>
    <d v="2026-04-13T00:00:00"/>
    <x v="2"/>
    <x v="3"/>
    <x v="15"/>
    <x v="12"/>
    <x v="5"/>
    <x v="5"/>
    <x v="3"/>
    <n v="1602643991"/>
  </r>
  <r>
    <d v="2026-04-13T00:00:00"/>
    <x v="2"/>
    <x v="3"/>
    <x v="15"/>
    <x v="12"/>
    <x v="27"/>
    <x v="19"/>
    <x v="0"/>
    <n v="13723668000"/>
  </r>
  <r>
    <d v="2026-04-13T00:00:00"/>
    <x v="2"/>
    <x v="3"/>
    <x v="15"/>
    <x v="12"/>
    <x v="15"/>
    <x v="14"/>
    <x v="4"/>
    <n v="0"/>
  </r>
  <r>
    <d v="2026-04-13T00:00:00"/>
    <x v="2"/>
    <x v="3"/>
    <x v="15"/>
    <x v="12"/>
    <x v="31"/>
    <x v="22"/>
    <x v="1"/>
    <n v="0"/>
  </r>
  <r>
    <d v="2026-04-13T00:00:00"/>
    <x v="2"/>
    <x v="3"/>
    <x v="15"/>
    <x v="12"/>
    <x v="14"/>
    <x v="13"/>
    <x v="1"/>
    <n v="3167440000"/>
  </r>
  <r>
    <d v="2026-04-13T00:00:00"/>
    <x v="2"/>
    <x v="3"/>
    <x v="15"/>
    <x v="12"/>
    <x v="33"/>
    <x v="13"/>
    <x v="1"/>
    <n v="848380000"/>
  </r>
  <r>
    <d v="2026-04-13T00:00:00"/>
    <x v="2"/>
    <x v="3"/>
    <x v="15"/>
    <x v="12"/>
    <x v="23"/>
    <x v="17"/>
    <x v="4"/>
    <n v="5954006"/>
  </r>
  <r>
    <d v="2026-04-13T00:00:00"/>
    <x v="2"/>
    <x v="3"/>
    <x v="15"/>
    <x v="12"/>
    <x v="28"/>
    <x v="17"/>
    <x v="4"/>
    <n v="879939666"/>
  </r>
  <r>
    <d v="2026-04-13T00:00:00"/>
    <x v="2"/>
    <x v="3"/>
    <x v="15"/>
    <x v="12"/>
    <x v="8"/>
    <x v="8"/>
    <x v="1"/>
    <n v="0"/>
  </r>
  <r>
    <d v="2026-04-13T00:00:00"/>
    <x v="2"/>
    <x v="3"/>
    <x v="15"/>
    <x v="12"/>
    <x v="26"/>
    <x v="16"/>
    <x v="1"/>
    <n v="52500000"/>
  </r>
  <r>
    <d v="2026-04-13T00:00:00"/>
    <x v="2"/>
    <x v="3"/>
    <x v="15"/>
    <x v="12"/>
    <x v="32"/>
    <x v="16"/>
    <x v="1"/>
    <n v="0"/>
  </r>
  <r>
    <d v="2026-04-13T00:00:00"/>
    <x v="2"/>
    <x v="3"/>
    <x v="15"/>
    <x v="12"/>
    <x v="2"/>
    <x v="2"/>
    <x v="1"/>
    <n v="17959910000"/>
  </r>
  <r>
    <d v="2026-04-13T00:00:00"/>
    <x v="2"/>
    <x v="3"/>
    <x v="15"/>
    <x v="12"/>
    <x v="17"/>
    <x v="9"/>
    <x v="1"/>
    <n v="0"/>
  </r>
  <r>
    <d v="2026-04-13T00:00:00"/>
    <x v="2"/>
    <x v="3"/>
    <x v="15"/>
    <x v="12"/>
    <x v="20"/>
    <x v="9"/>
    <x v="1"/>
    <n v="0"/>
  </r>
  <r>
    <d v="2026-04-13T00:00:00"/>
    <x v="2"/>
    <x v="3"/>
    <x v="15"/>
    <x v="12"/>
    <x v="21"/>
    <x v="9"/>
    <x v="1"/>
    <n v="0"/>
  </r>
  <r>
    <d v="2026-04-13T00:00:00"/>
    <x v="2"/>
    <x v="3"/>
    <x v="15"/>
    <x v="12"/>
    <x v="25"/>
    <x v="2"/>
    <x v="1"/>
    <n v="0"/>
  </r>
  <r>
    <d v="2026-04-13T00:00:00"/>
    <x v="2"/>
    <x v="3"/>
    <x v="15"/>
    <x v="12"/>
    <x v="0"/>
    <x v="0"/>
    <x v="0"/>
    <n v="10580652000"/>
  </r>
  <r>
    <d v="2026-04-13T00:00:00"/>
    <x v="2"/>
    <x v="3"/>
    <x v="15"/>
    <x v="12"/>
    <x v="7"/>
    <x v="7"/>
    <x v="4"/>
    <n v="178900462"/>
  </r>
  <r>
    <d v="2026-04-13T00:00:00"/>
    <x v="2"/>
    <x v="3"/>
    <x v="15"/>
    <x v="12"/>
    <x v="1"/>
    <x v="1"/>
    <x v="1"/>
    <n v="31500000"/>
  </r>
  <r>
    <d v="2026-04-13T00:00:00"/>
    <x v="2"/>
    <x v="3"/>
    <x v="15"/>
    <x v="12"/>
    <x v="6"/>
    <x v="6"/>
    <x v="0"/>
    <n v="53000000"/>
  </r>
  <r>
    <d v="2026-04-13T00:00:00"/>
    <x v="2"/>
    <x v="3"/>
    <x v="15"/>
    <x v="12"/>
    <x v="18"/>
    <x v="15"/>
    <x v="1"/>
    <n v="537320000"/>
  </r>
  <r>
    <d v="2026-04-13T00:00:00"/>
    <x v="2"/>
    <x v="3"/>
    <x v="15"/>
    <x v="12"/>
    <x v="29"/>
    <x v="20"/>
    <x v="0"/>
    <n v="369684000"/>
  </r>
  <r>
    <d v="2026-04-13T00:00:00"/>
    <x v="2"/>
    <x v="3"/>
    <x v="15"/>
    <x v="12"/>
    <x v="19"/>
    <x v="12"/>
    <x v="4"/>
    <n v="301895258"/>
  </r>
  <r>
    <d v="2026-04-13T00:00:00"/>
    <x v="2"/>
    <x v="3"/>
    <x v="15"/>
    <x v="12"/>
    <x v="24"/>
    <x v="18"/>
    <x v="1"/>
    <n v="5343780000"/>
  </r>
  <r>
    <d v="2026-04-13T00:00:00"/>
    <x v="2"/>
    <x v="3"/>
    <x v="15"/>
    <x v="12"/>
    <x v="30"/>
    <x v="21"/>
    <x v="0"/>
    <n v="2160000"/>
  </r>
  <r>
    <d v="2026-04-14T00:00:00"/>
    <x v="2"/>
    <x v="3"/>
    <x v="15"/>
    <x v="13"/>
    <x v="3"/>
    <x v="3"/>
    <x v="1"/>
    <n v="386090000"/>
  </r>
  <r>
    <d v="2026-04-14T00:00:00"/>
    <x v="2"/>
    <x v="3"/>
    <x v="15"/>
    <x v="13"/>
    <x v="11"/>
    <x v="10"/>
    <x v="4"/>
    <n v="255411827"/>
  </r>
  <r>
    <d v="2026-04-14T00:00:00"/>
    <x v="2"/>
    <x v="3"/>
    <x v="15"/>
    <x v="13"/>
    <x v="12"/>
    <x v="11"/>
    <x v="1"/>
    <n v="14958530000"/>
  </r>
  <r>
    <d v="2026-04-14T00:00:00"/>
    <x v="2"/>
    <x v="3"/>
    <x v="15"/>
    <x v="13"/>
    <x v="5"/>
    <x v="5"/>
    <x v="3"/>
    <n v="1362590416"/>
  </r>
  <r>
    <d v="2026-04-14T00:00:00"/>
    <x v="2"/>
    <x v="3"/>
    <x v="15"/>
    <x v="13"/>
    <x v="27"/>
    <x v="19"/>
    <x v="0"/>
    <n v="13722588000"/>
  </r>
  <r>
    <d v="2026-04-14T00:00:00"/>
    <x v="2"/>
    <x v="3"/>
    <x v="15"/>
    <x v="13"/>
    <x v="15"/>
    <x v="14"/>
    <x v="4"/>
    <n v="0"/>
  </r>
  <r>
    <d v="2026-04-14T00:00:00"/>
    <x v="2"/>
    <x v="3"/>
    <x v="15"/>
    <x v="13"/>
    <x v="31"/>
    <x v="22"/>
    <x v="1"/>
    <n v="90000000"/>
  </r>
  <r>
    <d v="2026-04-14T00:00:00"/>
    <x v="2"/>
    <x v="3"/>
    <x v="15"/>
    <x v="13"/>
    <x v="14"/>
    <x v="13"/>
    <x v="1"/>
    <n v="2837450000"/>
  </r>
  <r>
    <d v="2026-04-14T00:00:00"/>
    <x v="2"/>
    <x v="3"/>
    <x v="15"/>
    <x v="13"/>
    <x v="33"/>
    <x v="13"/>
    <x v="1"/>
    <n v="567530000"/>
  </r>
  <r>
    <d v="2026-04-14T00:00:00"/>
    <x v="2"/>
    <x v="3"/>
    <x v="15"/>
    <x v="13"/>
    <x v="23"/>
    <x v="17"/>
    <x v="4"/>
    <n v="1828000"/>
  </r>
  <r>
    <d v="2026-04-14T00:00:00"/>
    <x v="2"/>
    <x v="3"/>
    <x v="15"/>
    <x v="13"/>
    <x v="28"/>
    <x v="17"/>
    <x v="4"/>
    <n v="932321018"/>
  </r>
  <r>
    <d v="2026-04-14T00:00:00"/>
    <x v="2"/>
    <x v="3"/>
    <x v="15"/>
    <x v="13"/>
    <x v="8"/>
    <x v="8"/>
    <x v="1"/>
    <n v="0"/>
  </r>
  <r>
    <d v="2026-04-14T00:00:00"/>
    <x v="2"/>
    <x v="3"/>
    <x v="15"/>
    <x v="13"/>
    <x v="26"/>
    <x v="16"/>
    <x v="1"/>
    <n v="93250000"/>
  </r>
  <r>
    <d v="2026-04-14T00:00:00"/>
    <x v="2"/>
    <x v="3"/>
    <x v="15"/>
    <x v="13"/>
    <x v="32"/>
    <x v="16"/>
    <x v="1"/>
    <n v="0"/>
  </r>
  <r>
    <d v="2026-04-14T00:00:00"/>
    <x v="2"/>
    <x v="3"/>
    <x v="15"/>
    <x v="13"/>
    <x v="2"/>
    <x v="2"/>
    <x v="1"/>
    <n v="18714060000"/>
  </r>
  <r>
    <d v="2026-04-14T00:00:00"/>
    <x v="2"/>
    <x v="3"/>
    <x v="15"/>
    <x v="13"/>
    <x v="17"/>
    <x v="9"/>
    <x v="1"/>
    <n v="0"/>
  </r>
  <r>
    <d v="2026-04-14T00:00:00"/>
    <x v="2"/>
    <x v="3"/>
    <x v="15"/>
    <x v="13"/>
    <x v="20"/>
    <x v="9"/>
    <x v="1"/>
    <n v="0"/>
  </r>
  <r>
    <d v="2026-04-14T00:00:00"/>
    <x v="2"/>
    <x v="3"/>
    <x v="15"/>
    <x v="13"/>
    <x v="21"/>
    <x v="9"/>
    <x v="1"/>
    <n v="0"/>
  </r>
  <r>
    <d v="2026-04-14T00:00:00"/>
    <x v="2"/>
    <x v="3"/>
    <x v="15"/>
    <x v="13"/>
    <x v="25"/>
    <x v="2"/>
    <x v="1"/>
    <n v="0"/>
  </r>
  <r>
    <d v="2026-04-14T00:00:00"/>
    <x v="2"/>
    <x v="3"/>
    <x v="15"/>
    <x v="13"/>
    <x v="0"/>
    <x v="0"/>
    <x v="0"/>
    <n v="10200060000"/>
  </r>
  <r>
    <d v="2026-04-14T00:00:00"/>
    <x v="2"/>
    <x v="3"/>
    <x v="15"/>
    <x v="13"/>
    <x v="7"/>
    <x v="7"/>
    <x v="4"/>
    <n v="157377981"/>
  </r>
  <r>
    <d v="2026-04-14T00:00:00"/>
    <x v="2"/>
    <x v="3"/>
    <x v="15"/>
    <x v="13"/>
    <x v="1"/>
    <x v="1"/>
    <x v="1"/>
    <n v="57750000"/>
  </r>
  <r>
    <d v="2026-04-14T00:00:00"/>
    <x v="2"/>
    <x v="3"/>
    <x v="15"/>
    <x v="13"/>
    <x v="6"/>
    <x v="6"/>
    <x v="0"/>
    <n v="52000000"/>
  </r>
  <r>
    <d v="2026-04-14T00:00:00"/>
    <x v="2"/>
    <x v="3"/>
    <x v="15"/>
    <x v="13"/>
    <x v="18"/>
    <x v="15"/>
    <x v="1"/>
    <n v="658790000"/>
  </r>
  <r>
    <d v="2026-04-14T00:00:00"/>
    <x v="2"/>
    <x v="3"/>
    <x v="15"/>
    <x v="13"/>
    <x v="29"/>
    <x v="20"/>
    <x v="0"/>
    <n v="349920000"/>
  </r>
  <r>
    <d v="2026-04-14T00:00:00"/>
    <x v="2"/>
    <x v="3"/>
    <x v="15"/>
    <x v="13"/>
    <x v="19"/>
    <x v="12"/>
    <x v="4"/>
    <n v="252671303"/>
  </r>
  <r>
    <d v="2026-04-14T00:00:00"/>
    <x v="2"/>
    <x v="3"/>
    <x v="15"/>
    <x v="13"/>
    <x v="24"/>
    <x v="18"/>
    <x v="1"/>
    <n v="5869520000"/>
  </r>
  <r>
    <d v="2026-04-14T00:00:00"/>
    <x v="2"/>
    <x v="3"/>
    <x v="15"/>
    <x v="13"/>
    <x v="30"/>
    <x v="21"/>
    <x v="0"/>
    <n v="6480000"/>
  </r>
  <r>
    <d v="2026-04-15T00:00:00"/>
    <x v="2"/>
    <x v="3"/>
    <x v="15"/>
    <x v="14"/>
    <x v="3"/>
    <x v="3"/>
    <x v="1"/>
    <n v="485090000"/>
  </r>
  <r>
    <d v="2026-04-15T00:00:00"/>
    <x v="2"/>
    <x v="3"/>
    <x v="15"/>
    <x v="14"/>
    <x v="11"/>
    <x v="10"/>
    <x v="4"/>
    <n v="255129496"/>
  </r>
  <r>
    <d v="2026-04-15T00:00:00"/>
    <x v="2"/>
    <x v="3"/>
    <x v="15"/>
    <x v="14"/>
    <x v="12"/>
    <x v="11"/>
    <x v="1"/>
    <n v="17456220000"/>
  </r>
  <r>
    <d v="2026-04-15T00:00:00"/>
    <x v="2"/>
    <x v="3"/>
    <x v="15"/>
    <x v="14"/>
    <x v="5"/>
    <x v="5"/>
    <x v="3"/>
    <n v="1675318227"/>
  </r>
  <r>
    <d v="2026-04-15T00:00:00"/>
    <x v="2"/>
    <x v="3"/>
    <x v="15"/>
    <x v="14"/>
    <x v="27"/>
    <x v="19"/>
    <x v="0"/>
    <n v="15747264000"/>
  </r>
  <r>
    <d v="2026-04-15T00:00:00"/>
    <x v="2"/>
    <x v="3"/>
    <x v="15"/>
    <x v="14"/>
    <x v="15"/>
    <x v="14"/>
    <x v="4"/>
    <n v="0"/>
  </r>
  <r>
    <d v="2026-04-15T00:00:00"/>
    <x v="2"/>
    <x v="3"/>
    <x v="15"/>
    <x v="14"/>
    <x v="31"/>
    <x v="22"/>
    <x v="1"/>
    <n v="0"/>
  </r>
  <r>
    <d v="2026-04-15T00:00:00"/>
    <x v="2"/>
    <x v="3"/>
    <x v="15"/>
    <x v="14"/>
    <x v="14"/>
    <x v="13"/>
    <x v="1"/>
    <n v="2574730000"/>
  </r>
  <r>
    <d v="2026-04-15T00:00:00"/>
    <x v="2"/>
    <x v="3"/>
    <x v="15"/>
    <x v="14"/>
    <x v="33"/>
    <x v="13"/>
    <x v="1"/>
    <n v="901760000"/>
  </r>
  <r>
    <d v="2026-04-15T00:00:00"/>
    <x v="2"/>
    <x v="3"/>
    <x v="15"/>
    <x v="14"/>
    <x v="23"/>
    <x v="17"/>
    <x v="4"/>
    <n v="5093685"/>
  </r>
  <r>
    <d v="2026-04-15T00:00:00"/>
    <x v="2"/>
    <x v="3"/>
    <x v="15"/>
    <x v="14"/>
    <x v="28"/>
    <x v="17"/>
    <x v="4"/>
    <n v="995142647"/>
  </r>
  <r>
    <d v="2026-04-15T00:00:00"/>
    <x v="2"/>
    <x v="3"/>
    <x v="15"/>
    <x v="14"/>
    <x v="8"/>
    <x v="8"/>
    <x v="1"/>
    <n v="0"/>
  </r>
  <r>
    <d v="2026-04-15T00:00:00"/>
    <x v="2"/>
    <x v="3"/>
    <x v="15"/>
    <x v="14"/>
    <x v="26"/>
    <x v="16"/>
    <x v="1"/>
    <n v="67500000"/>
  </r>
  <r>
    <d v="2026-04-15T00:00:00"/>
    <x v="2"/>
    <x v="3"/>
    <x v="15"/>
    <x v="14"/>
    <x v="32"/>
    <x v="16"/>
    <x v="1"/>
    <n v="0"/>
  </r>
  <r>
    <d v="2026-04-15T00:00:00"/>
    <x v="2"/>
    <x v="3"/>
    <x v="15"/>
    <x v="14"/>
    <x v="2"/>
    <x v="2"/>
    <x v="1"/>
    <n v="19516940000"/>
  </r>
  <r>
    <d v="2026-04-15T00:00:00"/>
    <x v="2"/>
    <x v="3"/>
    <x v="15"/>
    <x v="14"/>
    <x v="17"/>
    <x v="9"/>
    <x v="1"/>
    <n v="0"/>
  </r>
  <r>
    <d v="2026-04-15T00:00:00"/>
    <x v="2"/>
    <x v="3"/>
    <x v="15"/>
    <x v="14"/>
    <x v="20"/>
    <x v="9"/>
    <x v="1"/>
    <n v="0"/>
  </r>
  <r>
    <d v="2026-04-15T00:00:00"/>
    <x v="2"/>
    <x v="3"/>
    <x v="15"/>
    <x v="14"/>
    <x v="21"/>
    <x v="9"/>
    <x v="1"/>
    <n v="0"/>
  </r>
  <r>
    <d v="2026-04-15T00:00:00"/>
    <x v="2"/>
    <x v="3"/>
    <x v="15"/>
    <x v="14"/>
    <x v="25"/>
    <x v="2"/>
    <x v="1"/>
    <n v="0"/>
  </r>
  <r>
    <d v="2026-04-15T00:00:00"/>
    <x v="2"/>
    <x v="3"/>
    <x v="15"/>
    <x v="14"/>
    <x v="0"/>
    <x v="0"/>
    <x v="0"/>
    <n v="12952548000"/>
  </r>
  <r>
    <d v="2026-04-15T00:00:00"/>
    <x v="2"/>
    <x v="3"/>
    <x v="15"/>
    <x v="14"/>
    <x v="7"/>
    <x v="7"/>
    <x v="4"/>
    <n v="173992190"/>
  </r>
  <r>
    <d v="2026-04-15T00:00:00"/>
    <x v="2"/>
    <x v="3"/>
    <x v="15"/>
    <x v="14"/>
    <x v="1"/>
    <x v="1"/>
    <x v="1"/>
    <n v="0"/>
  </r>
  <r>
    <d v="2026-04-15T00:00:00"/>
    <x v="2"/>
    <x v="3"/>
    <x v="15"/>
    <x v="14"/>
    <x v="6"/>
    <x v="6"/>
    <x v="0"/>
    <n v="33000000"/>
  </r>
  <r>
    <d v="2026-04-15T00:00:00"/>
    <x v="2"/>
    <x v="3"/>
    <x v="15"/>
    <x v="14"/>
    <x v="18"/>
    <x v="15"/>
    <x v="1"/>
    <n v="743090000"/>
  </r>
  <r>
    <d v="2026-04-15T00:00:00"/>
    <x v="2"/>
    <x v="3"/>
    <x v="15"/>
    <x v="14"/>
    <x v="29"/>
    <x v="20"/>
    <x v="0"/>
    <n v="327996000"/>
  </r>
  <r>
    <d v="2026-04-15T00:00:00"/>
    <x v="2"/>
    <x v="3"/>
    <x v="15"/>
    <x v="14"/>
    <x v="19"/>
    <x v="12"/>
    <x v="4"/>
    <n v="270805620"/>
  </r>
  <r>
    <d v="2026-04-15T00:00:00"/>
    <x v="2"/>
    <x v="3"/>
    <x v="15"/>
    <x v="14"/>
    <x v="24"/>
    <x v="18"/>
    <x v="1"/>
    <n v="6386390000"/>
  </r>
  <r>
    <d v="2026-04-15T00:00:00"/>
    <x v="2"/>
    <x v="3"/>
    <x v="15"/>
    <x v="14"/>
    <x v="30"/>
    <x v="21"/>
    <x v="0"/>
    <n v="8640000"/>
  </r>
  <r>
    <d v="2026-04-16T00:00:00"/>
    <x v="2"/>
    <x v="3"/>
    <x v="15"/>
    <x v="15"/>
    <x v="3"/>
    <x v="3"/>
    <x v="1"/>
    <n v="394650000"/>
  </r>
  <r>
    <d v="2026-04-16T00:00:00"/>
    <x v="2"/>
    <x v="3"/>
    <x v="15"/>
    <x v="15"/>
    <x v="11"/>
    <x v="10"/>
    <x v="4"/>
    <n v="252673938"/>
  </r>
  <r>
    <d v="2026-04-16T00:00:00"/>
    <x v="2"/>
    <x v="3"/>
    <x v="15"/>
    <x v="15"/>
    <x v="12"/>
    <x v="11"/>
    <x v="1"/>
    <n v="15575360000"/>
  </r>
  <r>
    <d v="2026-04-16T00:00:00"/>
    <x v="2"/>
    <x v="3"/>
    <x v="15"/>
    <x v="15"/>
    <x v="5"/>
    <x v="5"/>
    <x v="3"/>
    <n v="1378132749"/>
  </r>
  <r>
    <d v="2026-04-16T00:00:00"/>
    <x v="2"/>
    <x v="3"/>
    <x v="15"/>
    <x v="15"/>
    <x v="27"/>
    <x v="19"/>
    <x v="0"/>
    <n v="14120028000"/>
  </r>
  <r>
    <d v="2026-04-16T00:00:00"/>
    <x v="2"/>
    <x v="3"/>
    <x v="15"/>
    <x v="15"/>
    <x v="15"/>
    <x v="14"/>
    <x v="4"/>
    <n v="0"/>
  </r>
  <r>
    <d v="2026-04-16T00:00:00"/>
    <x v="2"/>
    <x v="3"/>
    <x v="15"/>
    <x v="15"/>
    <x v="31"/>
    <x v="22"/>
    <x v="1"/>
    <n v="0"/>
  </r>
  <r>
    <d v="2026-04-16T00:00:00"/>
    <x v="2"/>
    <x v="3"/>
    <x v="15"/>
    <x v="15"/>
    <x v="14"/>
    <x v="13"/>
    <x v="1"/>
    <n v="2827170000"/>
  </r>
  <r>
    <d v="2026-04-16T00:00:00"/>
    <x v="2"/>
    <x v="3"/>
    <x v="15"/>
    <x v="15"/>
    <x v="33"/>
    <x v="13"/>
    <x v="1"/>
    <n v="850760000"/>
  </r>
  <r>
    <d v="2026-04-16T00:00:00"/>
    <x v="2"/>
    <x v="3"/>
    <x v="15"/>
    <x v="15"/>
    <x v="23"/>
    <x v="17"/>
    <x v="4"/>
    <n v="11266593"/>
  </r>
  <r>
    <d v="2026-04-16T00:00:00"/>
    <x v="2"/>
    <x v="3"/>
    <x v="15"/>
    <x v="15"/>
    <x v="28"/>
    <x v="17"/>
    <x v="4"/>
    <n v="864715463"/>
  </r>
  <r>
    <d v="2026-04-16T00:00:00"/>
    <x v="2"/>
    <x v="3"/>
    <x v="15"/>
    <x v="15"/>
    <x v="8"/>
    <x v="8"/>
    <x v="1"/>
    <n v="0"/>
  </r>
  <r>
    <d v="2026-04-16T00:00:00"/>
    <x v="2"/>
    <x v="3"/>
    <x v="15"/>
    <x v="15"/>
    <x v="26"/>
    <x v="16"/>
    <x v="1"/>
    <n v="40000000"/>
  </r>
  <r>
    <d v="2026-04-16T00:00:00"/>
    <x v="2"/>
    <x v="3"/>
    <x v="15"/>
    <x v="15"/>
    <x v="32"/>
    <x v="16"/>
    <x v="1"/>
    <n v="0"/>
  </r>
  <r>
    <d v="2026-04-16T00:00:00"/>
    <x v="2"/>
    <x v="3"/>
    <x v="15"/>
    <x v="15"/>
    <x v="2"/>
    <x v="2"/>
    <x v="1"/>
    <n v="18022650000"/>
  </r>
  <r>
    <d v="2026-04-16T00:00:00"/>
    <x v="2"/>
    <x v="3"/>
    <x v="15"/>
    <x v="15"/>
    <x v="17"/>
    <x v="9"/>
    <x v="1"/>
    <n v="0"/>
  </r>
  <r>
    <d v="2026-04-16T00:00:00"/>
    <x v="2"/>
    <x v="3"/>
    <x v="15"/>
    <x v="15"/>
    <x v="20"/>
    <x v="9"/>
    <x v="1"/>
    <n v="0"/>
  </r>
  <r>
    <d v="2026-04-16T00:00:00"/>
    <x v="2"/>
    <x v="3"/>
    <x v="15"/>
    <x v="15"/>
    <x v="21"/>
    <x v="9"/>
    <x v="1"/>
    <n v="0"/>
  </r>
  <r>
    <d v="2026-04-16T00:00:00"/>
    <x v="2"/>
    <x v="3"/>
    <x v="15"/>
    <x v="15"/>
    <x v="25"/>
    <x v="2"/>
    <x v="1"/>
    <n v="0"/>
  </r>
  <r>
    <d v="2026-04-16T00:00:00"/>
    <x v="2"/>
    <x v="3"/>
    <x v="15"/>
    <x v="15"/>
    <x v="0"/>
    <x v="0"/>
    <x v="0"/>
    <n v="11571228000"/>
  </r>
  <r>
    <d v="2026-04-16T00:00:00"/>
    <x v="2"/>
    <x v="3"/>
    <x v="15"/>
    <x v="15"/>
    <x v="7"/>
    <x v="7"/>
    <x v="4"/>
    <n v="180321316"/>
  </r>
  <r>
    <d v="2026-04-16T00:00:00"/>
    <x v="2"/>
    <x v="3"/>
    <x v="15"/>
    <x v="15"/>
    <x v="1"/>
    <x v="1"/>
    <x v="1"/>
    <n v="42000000"/>
  </r>
  <r>
    <d v="2026-04-16T00:00:00"/>
    <x v="2"/>
    <x v="3"/>
    <x v="15"/>
    <x v="15"/>
    <x v="6"/>
    <x v="6"/>
    <x v="0"/>
    <n v="38000000"/>
  </r>
  <r>
    <d v="2026-04-16T00:00:00"/>
    <x v="2"/>
    <x v="3"/>
    <x v="15"/>
    <x v="15"/>
    <x v="18"/>
    <x v="15"/>
    <x v="1"/>
    <n v="654280000"/>
  </r>
  <r>
    <d v="2026-04-16T00:00:00"/>
    <x v="2"/>
    <x v="3"/>
    <x v="15"/>
    <x v="15"/>
    <x v="29"/>
    <x v="20"/>
    <x v="0"/>
    <n v="282312000"/>
  </r>
  <r>
    <d v="2026-04-16T00:00:00"/>
    <x v="2"/>
    <x v="3"/>
    <x v="15"/>
    <x v="15"/>
    <x v="19"/>
    <x v="12"/>
    <x v="4"/>
    <n v="248742818"/>
  </r>
  <r>
    <d v="2026-04-16T00:00:00"/>
    <x v="2"/>
    <x v="3"/>
    <x v="15"/>
    <x v="15"/>
    <x v="24"/>
    <x v="18"/>
    <x v="1"/>
    <n v="5763210000"/>
  </r>
  <r>
    <d v="2026-04-16T00:00:00"/>
    <x v="2"/>
    <x v="3"/>
    <x v="15"/>
    <x v="15"/>
    <x v="30"/>
    <x v="21"/>
    <x v="0"/>
    <n v="6480000"/>
  </r>
  <r>
    <d v="2026-04-17T00:00:00"/>
    <x v="2"/>
    <x v="3"/>
    <x v="15"/>
    <x v="16"/>
    <x v="3"/>
    <x v="3"/>
    <x v="1"/>
    <n v="431120000"/>
  </r>
  <r>
    <d v="2026-04-17T00:00:00"/>
    <x v="2"/>
    <x v="3"/>
    <x v="15"/>
    <x v="16"/>
    <x v="11"/>
    <x v="10"/>
    <x v="4"/>
    <n v="257394445"/>
  </r>
  <r>
    <d v="2026-04-17T00:00:00"/>
    <x v="2"/>
    <x v="3"/>
    <x v="15"/>
    <x v="16"/>
    <x v="12"/>
    <x v="11"/>
    <x v="1"/>
    <n v="13467110000"/>
  </r>
  <r>
    <d v="2026-04-17T00:00:00"/>
    <x v="2"/>
    <x v="3"/>
    <x v="15"/>
    <x v="16"/>
    <x v="5"/>
    <x v="5"/>
    <x v="3"/>
    <n v="1237946176"/>
  </r>
  <r>
    <d v="2026-04-17T00:00:00"/>
    <x v="2"/>
    <x v="3"/>
    <x v="15"/>
    <x v="16"/>
    <x v="27"/>
    <x v="19"/>
    <x v="0"/>
    <n v="13727232000"/>
  </r>
  <r>
    <d v="2026-04-17T00:00:00"/>
    <x v="2"/>
    <x v="3"/>
    <x v="15"/>
    <x v="16"/>
    <x v="15"/>
    <x v="14"/>
    <x v="4"/>
    <n v="0"/>
  </r>
  <r>
    <d v="2026-04-17T00:00:00"/>
    <x v="2"/>
    <x v="3"/>
    <x v="15"/>
    <x v="16"/>
    <x v="31"/>
    <x v="22"/>
    <x v="1"/>
    <n v="90000000"/>
  </r>
  <r>
    <d v="2026-04-17T00:00:00"/>
    <x v="2"/>
    <x v="3"/>
    <x v="15"/>
    <x v="16"/>
    <x v="14"/>
    <x v="13"/>
    <x v="1"/>
    <n v="2383890000"/>
  </r>
  <r>
    <d v="2026-04-17T00:00:00"/>
    <x v="2"/>
    <x v="3"/>
    <x v="15"/>
    <x v="16"/>
    <x v="33"/>
    <x v="13"/>
    <x v="1"/>
    <n v="1076550000"/>
  </r>
  <r>
    <d v="2026-04-17T00:00:00"/>
    <x v="2"/>
    <x v="3"/>
    <x v="15"/>
    <x v="16"/>
    <x v="23"/>
    <x v="17"/>
    <x v="4"/>
    <n v="2077000"/>
  </r>
  <r>
    <d v="2026-04-17T00:00:00"/>
    <x v="2"/>
    <x v="3"/>
    <x v="15"/>
    <x v="16"/>
    <x v="28"/>
    <x v="17"/>
    <x v="4"/>
    <n v="1001350918"/>
  </r>
  <r>
    <d v="2026-04-17T00:00:00"/>
    <x v="2"/>
    <x v="3"/>
    <x v="15"/>
    <x v="16"/>
    <x v="8"/>
    <x v="8"/>
    <x v="1"/>
    <n v="0"/>
  </r>
  <r>
    <d v="2026-04-17T00:00:00"/>
    <x v="2"/>
    <x v="3"/>
    <x v="15"/>
    <x v="16"/>
    <x v="26"/>
    <x v="16"/>
    <x v="1"/>
    <n v="63000000"/>
  </r>
  <r>
    <d v="2026-04-17T00:00:00"/>
    <x v="2"/>
    <x v="3"/>
    <x v="15"/>
    <x v="16"/>
    <x v="32"/>
    <x v="16"/>
    <x v="1"/>
    <n v="0"/>
  </r>
  <r>
    <d v="2026-04-17T00:00:00"/>
    <x v="2"/>
    <x v="3"/>
    <x v="15"/>
    <x v="16"/>
    <x v="2"/>
    <x v="2"/>
    <x v="1"/>
    <n v="17459440000"/>
  </r>
  <r>
    <d v="2026-04-17T00:00:00"/>
    <x v="2"/>
    <x v="3"/>
    <x v="15"/>
    <x v="16"/>
    <x v="17"/>
    <x v="9"/>
    <x v="1"/>
    <n v="0"/>
  </r>
  <r>
    <d v="2026-04-17T00:00:00"/>
    <x v="2"/>
    <x v="3"/>
    <x v="15"/>
    <x v="16"/>
    <x v="20"/>
    <x v="9"/>
    <x v="1"/>
    <n v="0"/>
  </r>
  <r>
    <d v="2026-04-17T00:00:00"/>
    <x v="2"/>
    <x v="3"/>
    <x v="15"/>
    <x v="16"/>
    <x v="21"/>
    <x v="9"/>
    <x v="1"/>
    <n v="0"/>
  </r>
  <r>
    <d v="2026-04-17T00:00:00"/>
    <x v="2"/>
    <x v="3"/>
    <x v="15"/>
    <x v="16"/>
    <x v="25"/>
    <x v="2"/>
    <x v="1"/>
    <n v="0"/>
  </r>
  <r>
    <d v="2026-04-17T00:00:00"/>
    <x v="2"/>
    <x v="3"/>
    <x v="15"/>
    <x v="16"/>
    <x v="0"/>
    <x v="0"/>
    <x v="0"/>
    <n v="10529244000"/>
  </r>
  <r>
    <d v="2026-04-17T00:00:00"/>
    <x v="2"/>
    <x v="3"/>
    <x v="15"/>
    <x v="16"/>
    <x v="7"/>
    <x v="7"/>
    <x v="4"/>
    <n v="154684658"/>
  </r>
  <r>
    <d v="2026-04-17T00:00:00"/>
    <x v="2"/>
    <x v="3"/>
    <x v="15"/>
    <x v="16"/>
    <x v="1"/>
    <x v="1"/>
    <x v="1"/>
    <n v="30500000"/>
  </r>
  <r>
    <d v="2026-04-17T00:00:00"/>
    <x v="2"/>
    <x v="3"/>
    <x v="15"/>
    <x v="16"/>
    <x v="6"/>
    <x v="6"/>
    <x v="0"/>
    <n v="14000000"/>
  </r>
  <r>
    <d v="2026-04-17T00:00:00"/>
    <x v="2"/>
    <x v="3"/>
    <x v="15"/>
    <x v="16"/>
    <x v="18"/>
    <x v="15"/>
    <x v="1"/>
    <n v="1043820000"/>
  </r>
  <r>
    <d v="2026-04-17T00:00:00"/>
    <x v="2"/>
    <x v="3"/>
    <x v="15"/>
    <x v="16"/>
    <x v="29"/>
    <x v="20"/>
    <x v="0"/>
    <n v="363852000"/>
  </r>
  <r>
    <d v="2026-04-17T00:00:00"/>
    <x v="2"/>
    <x v="3"/>
    <x v="15"/>
    <x v="16"/>
    <x v="19"/>
    <x v="12"/>
    <x v="4"/>
    <n v="227579849"/>
  </r>
  <r>
    <d v="2026-04-17T00:00:00"/>
    <x v="2"/>
    <x v="3"/>
    <x v="15"/>
    <x v="16"/>
    <x v="24"/>
    <x v="18"/>
    <x v="1"/>
    <n v="5666300000"/>
  </r>
  <r>
    <d v="2026-04-17T00:00:00"/>
    <x v="2"/>
    <x v="3"/>
    <x v="15"/>
    <x v="16"/>
    <x v="30"/>
    <x v="21"/>
    <x v="0"/>
    <n v="0"/>
  </r>
  <r>
    <d v="2026-04-18T00:00:00"/>
    <x v="2"/>
    <x v="3"/>
    <x v="15"/>
    <x v="17"/>
    <x v="3"/>
    <x v="3"/>
    <x v="1"/>
    <n v="490320000"/>
  </r>
  <r>
    <d v="2026-04-18T00:00:00"/>
    <x v="2"/>
    <x v="3"/>
    <x v="15"/>
    <x v="17"/>
    <x v="11"/>
    <x v="10"/>
    <x v="4"/>
    <n v="249342174"/>
  </r>
  <r>
    <d v="2026-04-18T00:00:00"/>
    <x v="2"/>
    <x v="3"/>
    <x v="15"/>
    <x v="17"/>
    <x v="12"/>
    <x v="11"/>
    <x v="1"/>
    <n v="12698440000"/>
  </r>
  <r>
    <d v="2026-04-18T00:00:00"/>
    <x v="2"/>
    <x v="3"/>
    <x v="15"/>
    <x v="17"/>
    <x v="5"/>
    <x v="5"/>
    <x v="3"/>
    <n v="1188494503"/>
  </r>
  <r>
    <d v="2026-04-18T00:00:00"/>
    <x v="2"/>
    <x v="3"/>
    <x v="15"/>
    <x v="17"/>
    <x v="27"/>
    <x v="19"/>
    <x v="0"/>
    <n v="12928356000"/>
  </r>
  <r>
    <d v="2026-04-18T00:00:00"/>
    <x v="2"/>
    <x v="3"/>
    <x v="15"/>
    <x v="17"/>
    <x v="15"/>
    <x v="14"/>
    <x v="4"/>
    <n v="0"/>
  </r>
  <r>
    <d v="2026-04-18T00:00:00"/>
    <x v="2"/>
    <x v="3"/>
    <x v="15"/>
    <x v="17"/>
    <x v="31"/>
    <x v="22"/>
    <x v="1"/>
    <n v="0"/>
  </r>
  <r>
    <d v="2026-04-18T00:00:00"/>
    <x v="2"/>
    <x v="3"/>
    <x v="15"/>
    <x v="17"/>
    <x v="14"/>
    <x v="13"/>
    <x v="1"/>
    <n v="2279150000"/>
  </r>
  <r>
    <d v="2026-04-18T00:00:00"/>
    <x v="2"/>
    <x v="3"/>
    <x v="15"/>
    <x v="17"/>
    <x v="33"/>
    <x v="13"/>
    <x v="1"/>
    <n v="939210000"/>
  </r>
  <r>
    <d v="2026-04-18T00:00:00"/>
    <x v="2"/>
    <x v="3"/>
    <x v="15"/>
    <x v="17"/>
    <x v="23"/>
    <x v="17"/>
    <x v="4"/>
    <n v="19197095"/>
  </r>
  <r>
    <d v="2026-04-18T00:00:00"/>
    <x v="2"/>
    <x v="3"/>
    <x v="15"/>
    <x v="17"/>
    <x v="28"/>
    <x v="17"/>
    <x v="4"/>
    <n v="1276263506"/>
  </r>
  <r>
    <d v="2026-04-18T00:00:00"/>
    <x v="2"/>
    <x v="3"/>
    <x v="15"/>
    <x v="17"/>
    <x v="8"/>
    <x v="8"/>
    <x v="1"/>
    <n v="0"/>
  </r>
  <r>
    <d v="2026-04-18T00:00:00"/>
    <x v="2"/>
    <x v="3"/>
    <x v="15"/>
    <x v="17"/>
    <x v="26"/>
    <x v="16"/>
    <x v="1"/>
    <n v="77700000"/>
  </r>
  <r>
    <d v="2026-04-18T00:00:00"/>
    <x v="2"/>
    <x v="3"/>
    <x v="15"/>
    <x v="17"/>
    <x v="32"/>
    <x v="16"/>
    <x v="1"/>
    <n v="0"/>
  </r>
  <r>
    <d v="2026-04-18T00:00:00"/>
    <x v="2"/>
    <x v="3"/>
    <x v="15"/>
    <x v="17"/>
    <x v="2"/>
    <x v="2"/>
    <x v="1"/>
    <n v="14181630000"/>
  </r>
  <r>
    <d v="2026-04-18T00:00:00"/>
    <x v="2"/>
    <x v="3"/>
    <x v="15"/>
    <x v="17"/>
    <x v="17"/>
    <x v="9"/>
    <x v="1"/>
    <n v="0"/>
  </r>
  <r>
    <d v="2026-04-18T00:00:00"/>
    <x v="2"/>
    <x v="3"/>
    <x v="15"/>
    <x v="17"/>
    <x v="20"/>
    <x v="9"/>
    <x v="1"/>
    <n v="0"/>
  </r>
  <r>
    <d v="2026-04-18T00:00:00"/>
    <x v="2"/>
    <x v="3"/>
    <x v="15"/>
    <x v="17"/>
    <x v="21"/>
    <x v="9"/>
    <x v="1"/>
    <n v="0"/>
  </r>
  <r>
    <d v="2026-04-18T00:00:00"/>
    <x v="2"/>
    <x v="3"/>
    <x v="15"/>
    <x v="17"/>
    <x v="25"/>
    <x v="2"/>
    <x v="1"/>
    <n v="0"/>
  </r>
  <r>
    <d v="2026-04-18T00:00:00"/>
    <x v="2"/>
    <x v="3"/>
    <x v="15"/>
    <x v="17"/>
    <x v="0"/>
    <x v="0"/>
    <x v="0"/>
    <n v="10708632000"/>
  </r>
  <r>
    <d v="2026-04-18T00:00:00"/>
    <x v="2"/>
    <x v="3"/>
    <x v="15"/>
    <x v="17"/>
    <x v="7"/>
    <x v="7"/>
    <x v="4"/>
    <n v="122729974"/>
  </r>
  <r>
    <d v="2026-04-18T00:00:00"/>
    <x v="2"/>
    <x v="3"/>
    <x v="15"/>
    <x v="17"/>
    <x v="1"/>
    <x v="1"/>
    <x v="1"/>
    <n v="53550000"/>
  </r>
  <r>
    <d v="2026-04-18T00:00:00"/>
    <x v="2"/>
    <x v="3"/>
    <x v="15"/>
    <x v="17"/>
    <x v="6"/>
    <x v="6"/>
    <x v="0"/>
    <n v="35000000"/>
  </r>
  <r>
    <d v="2026-04-18T00:00:00"/>
    <x v="2"/>
    <x v="3"/>
    <x v="15"/>
    <x v="17"/>
    <x v="18"/>
    <x v="15"/>
    <x v="1"/>
    <n v="655810000"/>
  </r>
  <r>
    <d v="2026-04-18T00:00:00"/>
    <x v="2"/>
    <x v="3"/>
    <x v="15"/>
    <x v="17"/>
    <x v="29"/>
    <x v="20"/>
    <x v="0"/>
    <n v="240948000"/>
  </r>
  <r>
    <d v="2026-04-18T00:00:00"/>
    <x v="2"/>
    <x v="3"/>
    <x v="15"/>
    <x v="17"/>
    <x v="19"/>
    <x v="12"/>
    <x v="4"/>
    <n v="162104649"/>
  </r>
  <r>
    <d v="2026-04-18T00:00:00"/>
    <x v="2"/>
    <x v="3"/>
    <x v="15"/>
    <x v="17"/>
    <x v="24"/>
    <x v="18"/>
    <x v="1"/>
    <n v="4977120000"/>
  </r>
  <r>
    <d v="2026-04-18T00:00:00"/>
    <x v="2"/>
    <x v="3"/>
    <x v="15"/>
    <x v="17"/>
    <x v="30"/>
    <x v="21"/>
    <x v="0"/>
    <n v="0"/>
  </r>
  <r>
    <d v="2026-04-19T00:00:00"/>
    <x v="2"/>
    <x v="3"/>
    <x v="15"/>
    <x v="18"/>
    <x v="3"/>
    <x v="3"/>
    <x v="1"/>
    <n v="569780000"/>
  </r>
  <r>
    <d v="2026-04-19T00:00:00"/>
    <x v="2"/>
    <x v="3"/>
    <x v="15"/>
    <x v="18"/>
    <x v="11"/>
    <x v="10"/>
    <x v="4"/>
    <n v="273767079"/>
  </r>
  <r>
    <d v="2026-04-19T00:00:00"/>
    <x v="2"/>
    <x v="3"/>
    <x v="15"/>
    <x v="18"/>
    <x v="12"/>
    <x v="11"/>
    <x v="1"/>
    <n v="11894970000"/>
  </r>
  <r>
    <d v="2026-04-19T00:00:00"/>
    <x v="2"/>
    <x v="3"/>
    <x v="15"/>
    <x v="18"/>
    <x v="5"/>
    <x v="5"/>
    <x v="3"/>
    <n v="1072639158"/>
  </r>
  <r>
    <d v="2026-04-19T00:00:00"/>
    <x v="2"/>
    <x v="3"/>
    <x v="15"/>
    <x v="18"/>
    <x v="27"/>
    <x v="19"/>
    <x v="0"/>
    <n v="13170600000"/>
  </r>
  <r>
    <d v="2026-04-19T00:00:00"/>
    <x v="2"/>
    <x v="3"/>
    <x v="15"/>
    <x v="18"/>
    <x v="15"/>
    <x v="14"/>
    <x v="4"/>
    <n v="0"/>
  </r>
  <r>
    <d v="2026-04-19T00:00:00"/>
    <x v="2"/>
    <x v="3"/>
    <x v="15"/>
    <x v="18"/>
    <x v="31"/>
    <x v="22"/>
    <x v="1"/>
    <n v="0"/>
  </r>
  <r>
    <d v="2026-04-19T00:00:00"/>
    <x v="2"/>
    <x v="3"/>
    <x v="15"/>
    <x v="18"/>
    <x v="14"/>
    <x v="13"/>
    <x v="1"/>
    <n v="3196900000"/>
  </r>
  <r>
    <d v="2026-04-19T00:00:00"/>
    <x v="2"/>
    <x v="3"/>
    <x v="15"/>
    <x v="18"/>
    <x v="33"/>
    <x v="13"/>
    <x v="1"/>
    <n v="580250000"/>
  </r>
  <r>
    <d v="2026-04-19T00:00:00"/>
    <x v="2"/>
    <x v="3"/>
    <x v="15"/>
    <x v="18"/>
    <x v="23"/>
    <x v="17"/>
    <x v="4"/>
    <n v="6009443"/>
  </r>
  <r>
    <d v="2026-04-19T00:00:00"/>
    <x v="2"/>
    <x v="3"/>
    <x v="15"/>
    <x v="18"/>
    <x v="28"/>
    <x v="17"/>
    <x v="4"/>
    <n v="1162515757"/>
  </r>
  <r>
    <d v="2026-04-19T00:00:00"/>
    <x v="2"/>
    <x v="3"/>
    <x v="15"/>
    <x v="18"/>
    <x v="8"/>
    <x v="8"/>
    <x v="1"/>
    <n v="0"/>
  </r>
  <r>
    <d v="2026-04-19T00:00:00"/>
    <x v="2"/>
    <x v="3"/>
    <x v="15"/>
    <x v="18"/>
    <x v="26"/>
    <x v="16"/>
    <x v="1"/>
    <n v="15750000"/>
  </r>
  <r>
    <d v="2026-04-19T00:00:00"/>
    <x v="2"/>
    <x v="3"/>
    <x v="15"/>
    <x v="18"/>
    <x v="32"/>
    <x v="16"/>
    <x v="1"/>
    <n v="0"/>
  </r>
  <r>
    <d v="2026-04-19T00:00:00"/>
    <x v="2"/>
    <x v="3"/>
    <x v="15"/>
    <x v="18"/>
    <x v="2"/>
    <x v="2"/>
    <x v="1"/>
    <n v="15575200000"/>
  </r>
  <r>
    <d v="2026-04-19T00:00:00"/>
    <x v="2"/>
    <x v="3"/>
    <x v="15"/>
    <x v="18"/>
    <x v="17"/>
    <x v="9"/>
    <x v="1"/>
    <n v="0"/>
  </r>
  <r>
    <d v="2026-04-19T00:00:00"/>
    <x v="2"/>
    <x v="3"/>
    <x v="15"/>
    <x v="18"/>
    <x v="20"/>
    <x v="9"/>
    <x v="1"/>
    <n v="0"/>
  </r>
  <r>
    <d v="2026-04-19T00:00:00"/>
    <x v="2"/>
    <x v="3"/>
    <x v="15"/>
    <x v="18"/>
    <x v="21"/>
    <x v="9"/>
    <x v="1"/>
    <n v="0"/>
  </r>
  <r>
    <d v="2026-04-19T00:00:00"/>
    <x v="2"/>
    <x v="3"/>
    <x v="15"/>
    <x v="18"/>
    <x v="25"/>
    <x v="2"/>
    <x v="1"/>
    <n v="0"/>
  </r>
  <r>
    <d v="2026-04-19T00:00:00"/>
    <x v="2"/>
    <x v="3"/>
    <x v="15"/>
    <x v="18"/>
    <x v="0"/>
    <x v="0"/>
    <x v="0"/>
    <n v="10571796000"/>
  </r>
  <r>
    <d v="2026-04-19T00:00:00"/>
    <x v="2"/>
    <x v="3"/>
    <x v="15"/>
    <x v="18"/>
    <x v="7"/>
    <x v="7"/>
    <x v="4"/>
    <n v="131540008"/>
  </r>
  <r>
    <d v="2026-04-19T00:00:00"/>
    <x v="2"/>
    <x v="3"/>
    <x v="15"/>
    <x v="18"/>
    <x v="1"/>
    <x v="1"/>
    <x v="1"/>
    <n v="42000000"/>
  </r>
  <r>
    <d v="2026-04-19T00:00:00"/>
    <x v="2"/>
    <x v="3"/>
    <x v="15"/>
    <x v="18"/>
    <x v="6"/>
    <x v="6"/>
    <x v="0"/>
    <n v="43000000"/>
  </r>
  <r>
    <d v="2026-04-19T00:00:00"/>
    <x v="2"/>
    <x v="3"/>
    <x v="15"/>
    <x v="18"/>
    <x v="18"/>
    <x v="15"/>
    <x v="1"/>
    <n v="902290000"/>
  </r>
  <r>
    <d v="2026-04-19T00:00:00"/>
    <x v="2"/>
    <x v="3"/>
    <x v="15"/>
    <x v="18"/>
    <x v="29"/>
    <x v="20"/>
    <x v="0"/>
    <n v="210600000"/>
  </r>
  <r>
    <d v="2026-04-19T00:00:00"/>
    <x v="2"/>
    <x v="3"/>
    <x v="15"/>
    <x v="18"/>
    <x v="19"/>
    <x v="12"/>
    <x v="4"/>
    <n v="201304062"/>
  </r>
  <r>
    <d v="2026-04-19T00:00:00"/>
    <x v="2"/>
    <x v="3"/>
    <x v="15"/>
    <x v="18"/>
    <x v="24"/>
    <x v="18"/>
    <x v="1"/>
    <n v="4101160000"/>
  </r>
  <r>
    <d v="2026-04-19T00:00:00"/>
    <x v="2"/>
    <x v="3"/>
    <x v="15"/>
    <x v="18"/>
    <x v="30"/>
    <x v="21"/>
    <x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6">
  <r>
    <x v="0"/>
    <x v="0"/>
    <x v="0"/>
    <n v="1"/>
    <n v="1"/>
    <x v="0"/>
    <s v="[BE] - Cashloan"/>
    <x v="0"/>
    <n v="403000000"/>
  </r>
  <r>
    <x v="0"/>
    <x v="0"/>
    <x v="0"/>
    <n v="1"/>
    <n v="1"/>
    <x v="1"/>
    <s v="[BE] - Paylater"/>
    <x v="1"/>
    <n v="356607499"/>
  </r>
  <r>
    <x v="0"/>
    <x v="0"/>
    <x v="0"/>
    <n v="1"/>
    <n v="1"/>
    <x v="2"/>
    <s v="[Cake] - Cashloan"/>
    <x v="0"/>
    <n v="11652570000"/>
  </r>
  <r>
    <x v="0"/>
    <x v="0"/>
    <x v="0"/>
    <n v="1"/>
    <n v="1"/>
    <x v="3"/>
    <s v="[Cake] - Overdraft"/>
    <x v="2"/>
    <n v="2766246451"/>
  </r>
  <r>
    <x v="0"/>
    <x v="0"/>
    <x v="0"/>
    <n v="1"/>
    <n v="1"/>
    <x v="4"/>
    <s v="[Cake] - Payday"/>
    <x v="3"/>
    <n v="11668428000"/>
  </r>
  <r>
    <x v="0"/>
    <x v="0"/>
    <x v="0"/>
    <n v="1"/>
    <n v="1"/>
    <x v="5"/>
    <s v="[FPT] - Paylater"/>
    <x v="1"/>
    <n v="7045956"/>
  </r>
  <r>
    <x v="0"/>
    <x v="0"/>
    <x v="0"/>
    <n v="1"/>
    <n v="1"/>
    <x v="6"/>
    <s v="[MISA] - Cashloan"/>
    <x v="0"/>
    <n v="0"/>
  </r>
  <r>
    <x v="0"/>
    <x v="0"/>
    <x v="0"/>
    <n v="1"/>
    <n v="1"/>
    <x v="7"/>
    <s v="[MWG] - Cashloan"/>
    <x v="0"/>
    <n v="3759660000"/>
  </r>
  <r>
    <x v="0"/>
    <x v="0"/>
    <x v="0"/>
    <n v="1"/>
    <n v="1"/>
    <x v="8"/>
    <s v="[MWG] - Cashloan"/>
    <x v="0"/>
    <n v="142350000"/>
  </r>
  <r>
    <x v="0"/>
    <x v="0"/>
    <x v="0"/>
    <n v="1"/>
    <n v="1"/>
    <x v="9"/>
    <s v="[MWG] - Paylater"/>
    <x v="1"/>
    <n v="16372922"/>
  </r>
  <r>
    <x v="0"/>
    <x v="0"/>
    <x v="0"/>
    <n v="1"/>
    <n v="1"/>
    <x v="10"/>
    <s v="[MWG] - Paylater"/>
    <x v="1"/>
    <n v="1588887066"/>
  </r>
  <r>
    <x v="0"/>
    <x v="0"/>
    <x v="0"/>
    <n v="1"/>
    <n v="1"/>
    <x v="11"/>
    <s v="[NGS] - Cashloan"/>
    <x v="0"/>
    <n v="0"/>
  </r>
  <r>
    <x v="0"/>
    <x v="0"/>
    <x v="0"/>
    <n v="1"/>
    <n v="1"/>
    <x v="12"/>
    <s v="[VNPOST] - Cashloan"/>
    <x v="0"/>
    <n v="319750000"/>
  </r>
  <r>
    <x v="0"/>
    <x v="0"/>
    <x v="0"/>
    <n v="1"/>
    <n v="1"/>
    <x v="13"/>
    <s v="[VNPOST] - Cashloan"/>
    <x v="0"/>
    <n v="0"/>
  </r>
  <r>
    <x v="0"/>
    <x v="0"/>
    <x v="0"/>
    <n v="1"/>
    <n v="1"/>
    <x v="14"/>
    <s v="[VDS] - Cashloan"/>
    <x v="0"/>
    <n v="13409520000"/>
  </r>
  <r>
    <x v="0"/>
    <x v="0"/>
    <x v="0"/>
    <n v="1"/>
    <n v="1"/>
    <x v="15"/>
    <s v="[VDS] - Cashloan LP"/>
    <x v="0"/>
    <n v="0"/>
  </r>
  <r>
    <x v="0"/>
    <x v="0"/>
    <x v="0"/>
    <n v="1"/>
    <n v="1"/>
    <x v="16"/>
    <s v="[VDS] - Cashloan LP"/>
    <x v="0"/>
    <n v="0"/>
  </r>
  <r>
    <x v="0"/>
    <x v="0"/>
    <x v="0"/>
    <n v="1"/>
    <n v="1"/>
    <x v="17"/>
    <s v="[VDS] - Cashloan LP"/>
    <x v="0"/>
    <n v="0"/>
  </r>
  <r>
    <x v="0"/>
    <x v="0"/>
    <x v="0"/>
    <n v="1"/>
    <n v="1"/>
    <x v="18"/>
    <s v="[VDS] - Cashloan"/>
    <x v="0"/>
    <n v="0"/>
  </r>
  <r>
    <x v="0"/>
    <x v="0"/>
    <x v="0"/>
    <n v="1"/>
    <n v="1"/>
    <x v="19"/>
    <s v="[VDS] - Payday"/>
    <x v="3"/>
    <n v="9003096000"/>
  </r>
  <r>
    <x v="0"/>
    <x v="0"/>
    <x v="0"/>
    <n v="1"/>
    <n v="1"/>
    <x v="20"/>
    <s v="[VDS] - Paylater"/>
    <x v="1"/>
    <n v="398190418"/>
  </r>
  <r>
    <x v="0"/>
    <x v="0"/>
    <x v="0"/>
    <n v="1"/>
    <n v="1"/>
    <x v="21"/>
    <s v="[VDS] - Payroll Cashloan"/>
    <x v="0"/>
    <n v="0"/>
  </r>
  <r>
    <x v="0"/>
    <x v="0"/>
    <x v="0"/>
    <n v="1"/>
    <n v="1"/>
    <x v="22"/>
    <s v="[VDS] - Payroll Payday"/>
    <x v="3"/>
    <n v="26000000"/>
  </r>
  <r>
    <x v="0"/>
    <x v="0"/>
    <x v="0"/>
    <n v="1"/>
    <n v="1"/>
    <x v="23"/>
    <s v="[VNPAY] - Cashloan"/>
    <x v="0"/>
    <n v="505810000"/>
  </r>
  <r>
    <x v="0"/>
    <x v="0"/>
    <x v="0"/>
    <n v="1"/>
    <n v="1"/>
    <x v="24"/>
    <s v="[VNPAY] - Payday"/>
    <x v="3"/>
    <n v="311688000"/>
  </r>
  <r>
    <x v="0"/>
    <x v="0"/>
    <x v="0"/>
    <n v="1"/>
    <n v="1"/>
    <x v="25"/>
    <s v="[VNPAY] - Paylater"/>
    <x v="1"/>
    <n v="527539310"/>
  </r>
  <r>
    <x v="0"/>
    <x v="0"/>
    <x v="0"/>
    <n v="1"/>
    <n v="1"/>
    <x v="26"/>
    <s v="[ZLP] - Cashloan"/>
    <x v="0"/>
    <n v="2544540000"/>
  </r>
  <r>
    <x v="0"/>
    <x v="0"/>
    <x v="0"/>
    <n v="1"/>
    <n v="1"/>
    <x v="27"/>
    <s v="[ZLP] - Payday"/>
    <x v="3"/>
    <n v="0"/>
  </r>
  <r>
    <x v="1"/>
    <x v="0"/>
    <x v="0"/>
    <n v="1"/>
    <n v="2"/>
    <x v="0"/>
    <s v="[BE] - Cashloan"/>
    <x v="0"/>
    <n v="550050000"/>
  </r>
  <r>
    <x v="1"/>
    <x v="0"/>
    <x v="0"/>
    <n v="1"/>
    <n v="2"/>
    <x v="1"/>
    <s v="[BE] - Paylater"/>
    <x v="1"/>
    <n v="337710506"/>
  </r>
  <r>
    <x v="1"/>
    <x v="0"/>
    <x v="0"/>
    <n v="1"/>
    <n v="2"/>
    <x v="2"/>
    <s v="[Cake] - Cashloan"/>
    <x v="0"/>
    <n v="14212680000"/>
  </r>
  <r>
    <x v="1"/>
    <x v="0"/>
    <x v="0"/>
    <n v="1"/>
    <n v="2"/>
    <x v="3"/>
    <s v="[Cake] - Overdraft"/>
    <x v="2"/>
    <n v="2790710138"/>
  </r>
  <r>
    <x v="1"/>
    <x v="0"/>
    <x v="0"/>
    <n v="1"/>
    <n v="2"/>
    <x v="4"/>
    <s v="[Cake] - Payday"/>
    <x v="3"/>
    <n v="13163796000"/>
  </r>
  <r>
    <x v="1"/>
    <x v="0"/>
    <x v="0"/>
    <n v="1"/>
    <n v="2"/>
    <x v="5"/>
    <s v="[FPT] - Paylater"/>
    <x v="1"/>
    <n v="24139175"/>
  </r>
  <r>
    <x v="1"/>
    <x v="0"/>
    <x v="0"/>
    <n v="1"/>
    <n v="2"/>
    <x v="6"/>
    <s v="[MISA] - Cashloan"/>
    <x v="0"/>
    <n v="0"/>
  </r>
  <r>
    <x v="1"/>
    <x v="0"/>
    <x v="0"/>
    <n v="1"/>
    <n v="2"/>
    <x v="7"/>
    <s v="[MWG] - Cashloan"/>
    <x v="0"/>
    <n v="3995340000"/>
  </r>
  <r>
    <x v="1"/>
    <x v="0"/>
    <x v="0"/>
    <n v="1"/>
    <n v="2"/>
    <x v="8"/>
    <s v="[MWG] - Cashloan"/>
    <x v="0"/>
    <n v="311000000"/>
  </r>
  <r>
    <x v="1"/>
    <x v="0"/>
    <x v="0"/>
    <n v="1"/>
    <n v="2"/>
    <x v="9"/>
    <s v="[MWG] - Paylater"/>
    <x v="1"/>
    <n v="32294086"/>
  </r>
  <r>
    <x v="1"/>
    <x v="0"/>
    <x v="0"/>
    <n v="1"/>
    <n v="2"/>
    <x v="10"/>
    <s v="[MWG] - Paylater"/>
    <x v="1"/>
    <n v="1843429754"/>
  </r>
  <r>
    <x v="1"/>
    <x v="0"/>
    <x v="0"/>
    <n v="1"/>
    <n v="2"/>
    <x v="11"/>
    <s v="[NGS] - Cashloan"/>
    <x v="0"/>
    <n v="0"/>
  </r>
  <r>
    <x v="1"/>
    <x v="0"/>
    <x v="0"/>
    <n v="1"/>
    <n v="2"/>
    <x v="12"/>
    <s v="[VNPOST] - Cashloan"/>
    <x v="0"/>
    <n v="496450000"/>
  </r>
  <r>
    <x v="1"/>
    <x v="0"/>
    <x v="0"/>
    <n v="1"/>
    <n v="2"/>
    <x v="13"/>
    <s v="[VNPOST] - Cashloan"/>
    <x v="0"/>
    <n v="0"/>
  </r>
  <r>
    <x v="1"/>
    <x v="0"/>
    <x v="0"/>
    <n v="1"/>
    <n v="2"/>
    <x v="14"/>
    <s v="[VDS] - Cashloan"/>
    <x v="0"/>
    <n v="16626100000"/>
  </r>
  <r>
    <x v="1"/>
    <x v="0"/>
    <x v="0"/>
    <n v="1"/>
    <n v="2"/>
    <x v="15"/>
    <s v="[VDS] - Cashloan LP"/>
    <x v="0"/>
    <n v="0"/>
  </r>
  <r>
    <x v="1"/>
    <x v="0"/>
    <x v="0"/>
    <n v="1"/>
    <n v="2"/>
    <x v="16"/>
    <s v="[VDS] - Cashloan LP"/>
    <x v="0"/>
    <n v="0"/>
  </r>
  <r>
    <x v="1"/>
    <x v="0"/>
    <x v="0"/>
    <n v="1"/>
    <n v="2"/>
    <x v="17"/>
    <s v="[VDS] - Cashloan LP"/>
    <x v="0"/>
    <n v="0"/>
  </r>
  <r>
    <x v="1"/>
    <x v="0"/>
    <x v="0"/>
    <n v="1"/>
    <n v="2"/>
    <x v="18"/>
    <s v="[VDS] - Cashloan"/>
    <x v="0"/>
    <n v="0"/>
  </r>
  <r>
    <x v="1"/>
    <x v="0"/>
    <x v="0"/>
    <n v="1"/>
    <n v="2"/>
    <x v="19"/>
    <s v="[VDS] - Payday"/>
    <x v="3"/>
    <n v="9966780000"/>
  </r>
  <r>
    <x v="1"/>
    <x v="0"/>
    <x v="0"/>
    <n v="1"/>
    <n v="2"/>
    <x v="20"/>
    <s v="[VDS] - Paylater"/>
    <x v="1"/>
    <n v="449771094"/>
  </r>
  <r>
    <x v="1"/>
    <x v="0"/>
    <x v="0"/>
    <n v="1"/>
    <n v="2"/>
    <x v="21"/>
    <s v="[VDS] - Payroll Cashloan"/>
    <x v="0"/>
    <n v="21000000"/>
  </r>
  <r>
    <x v="1"/>
    <x v="0"/>
    <x v="0"/>
    <n v="1"/>
    <n v="2"/>
    <x v="22"/>
    <s v="[VDS] - Payroll Payday"/>
    <x v="3"/>
    <n v="53000000"/>
  </r>
  <r>
    <x v="1"/>
    <x v="0"/>
    <x v="0"/>
    <n v="1"/>
    <n v="2"/>
    <x v="23"/>
    <s v="[VNPAY] - Cashloan"/>
    <x v="0"/>
    <n v="783230000"/>
  </r>
  <r>
    <x v="1"/>
    <x v="0"/>
    <x v="0"/>
    <n v="1"/>
    <n v="2"/>
    <x v="24"/>
    <s v="[VNPAY] - Payday"/>
    <x v="3"/>
    <n v="423468000"/>
  </r>
  <r>
    <x v="1"/>
    <x v="0"/>
    <x v="0"/>
    <n v="1"/>
    <n v="2"/>
    <x v="25"/>
    <s v="[VNPAY] - Paylater"/>
    <x v="1"/>
    <n v="916912945"/>
  </r>
  <r>
    <x v="1"/>
    <x v="0"/>
    <x v="0"/>
    <n v="1"/>
    <n v="2"/>
    <x v="26"/>
    <s v="[ZLP] - Cashloan"/>
    <x v="0"/>
    <n v="3083130000"/>
  </r>
  <r>
    <x v="1"/>
    <x v="0"/>
    <x v="0"/>
    <n v="1"/>
    <n v="2"/>
    <x v="27"/>
    <s v="[ZLP] - Payday"/>
    <x v="3"/>
    <n v="0"/>
  </r>
  <r>
    <x v="2"/>
    <x v="0"/>
    <x v="0"/>
    <n v="1"/>
    <n v="3"/>
    <x v="0"/>
    <s v="[BE] - Cashloan"/>
    <x v="0"/>
    <n v="583250000"/>
  </r>
  <r>
    <x v="2"/>
    <x v="0"/>
    <x v="0"/>
    <n v="1"/>
    <n v="3"/>
    <x v="1"/>
    <s v="[BE] - Paylater"/>
    <x v="1"/>
    <n v="359899091"/>
  </r>
  <r>
    <x v="2"/>
    <x v="0"/>
    <x v="0"/>
    <n v="1"/>
    <n v="3"/>
    <x v="2"/>
    <s v="[Cake] - Cashloan"/>
    <x v="0"/>
    <n v="14456160000"/>
  </r>
  <r>
    <x v="2"/>
    <x v="0"/>
    <x v="0"/>
    <n v="1"/>
    <n v="3"/>
    <x v="3"/>
    <s v="[Cake] - Overdraft"/>
    <x v="2"/>
    <n v="2349436887"/>
  </r>
  <r>
    <x v="2"/>
    <x v="0"/>
    <x v="0"/>
    <n v="1"/>
    <n v="3"/>
    <x v="4"/>
    <s v="[Cake] - Payday"/>
    <x v="3"/>
    <n v="12671856000"/>
  </r>
  <r>
    <x v="2"/>
    <x v="0"/>
    <x v="0"/>
    <n v="1"/>
    <n v="3"/>
    <x v="5"/>
    <s v="[FPT] - Paylater"/>
    <x v="1"/>
    <n v="76636650"/>
  </r>
  <r>
    <x v="2"/>
    <x v="0"/>
    <x v="0"/>
    <n v="1"/>
    <n v="3"/>
    <x v="6"/>
    <s v="[MISA] - Cashloan"/>
    <x v="0"/>
    <n v="169000000"/>
  </r>
  <r>
    <x v="2"/>
    <x v="0"/>
    <x v="0"/>
    <n v="1"/>
    <n v="3"/>
    <x v="7"/>
    <s v="[MWG] - Cashloan"/>
    <x v="0"/>
    <n v="3154650000"/>
  </r>
  <r>
    <x v="2"/>
    <x v="0"/>
    <x v="0"/>
    <n v="1"/>
    <n v="3"/>
    <x v="8"/>
    <s v="[MWG] - Cashloan"/>
    <x v="0"/>
    <n v="297150000"/>
  </r>
  <r>
    <x v="2"/>
    <x v="0"/>
    <x v="0"/>
    <n v="1"/>
    <n v="3"/>
    <x v="9"/>
    <s v="[MWG] - Paylater"/>
    <x v="1"/>
    <n v="52658904"/>
  </r>
  <r>
    <x v="2"/>
    <x v="0"/>
    <x v="0"/>
    <n v="1"/>
    <n v="3"/>
    <x v="10"/>
    <s v="[MWG] - Paylater"/>
    <x v="1"/>
    <n v="2503625665"/>
  </r>
  <r>
    <x v="2"/>
    <x v="0"/>
    <x v="0"/>
    <n v="1"/>
    <n v="3"/>
    <x v="11"/>
    <s v="[NGS] - Cashloan"/>
    <x v="0"/>
    <n v="0"/>
  </r>
  <r>
    <x v="2"/>
    <x v="0"/>
    <x v="0"/>
    <n v="1"/>
    <n v="3"/>
    <x v="12"/>
    <s v="[VNPOST] - Cashloan"/>
    <x v="0"/>
    <n v="676500000"/>
  </r>
  <r>
    <x v="2"/>
    <x v="0"/>
    <x v="0"/>
    <n v="1"/>
    <n v="3"/>
    <x v="13"/>
    <s v="[VNPOST] - Cashloan"/>
    <x v="0"/>
    <n v="0"/>
  </r>
  <r>
    <x v="2"/>
    <x v="0"/>
    <x v="0"/>
    <n v="1"/>
    <n v="3"/>
    <x v="14"/>
    <s v="[VDS] - Cashloan"/>
    <x v="0"/>
    <n v="15849000000"/>
  </r>
  <r>
    <x v="2"/>
    <x v="0"/>
    <x v="0"/>
    <n v="1"/>
    <n v="3"/>
    <x v="15"/>
    <s v="[VDS] - Cashloan LP"/>
    <x v="0"/>
    <n v="0"/>
  </r>
  <r>
    <x v="2"/>
    <x v="0"/>
    <x v="0"/>
    <n v="1"/>
    <n v="3"/>
    <x v="16"/>
    <s v="[VDS] - Cashloan LP"/>
    <x v="0"/>
    <n v="0"/>
  </r>
  <r>
    <x v="2"/>
    <x v="0"/>
    <x v="0"/>
    <n v="1"/>
    <n v="3"/>
    <x v="17"/>
    <s v="[VDS] - Cashloan LP"/>
    <x v="0"/>
    <n v="0"/>
  </r>
  <r>
    <x v="2"/>
    <x v="0"/>
    <x v="0"/>
    <n v="1"/>
    <n v="3"/>
    <x v="18"/>
    <s v="[VDS] - Cashloan"/>
    <x v="0"/>
    <n v="0"/>
  </r>
  <r>
    <x v="2"/>
    <x v="0"/>
    <x v="0"/>
    <n v="1"/>
    <n v="3"/>
    <x v="19"/>
    <s v="[VDS] - Payday"/>
    <x v="3"/>
    <n v="9353772000"/>
  </r>
  <r>
    <x v="2"/>
    <x v="0"/>
    <x v="0"/>
    <n v="1"/>
    <n v="3"/>
    <x v="20"/>
    <s v="[VDS] - Paylater"/>
    <x v="1"/>
    <n v="494063226"/>
  </r>
  <r>
    <x v="2"/>
    <x v="0"/>
    <x v="0"/>
    <n v="1"/>
    <n v="3"/>
    <x v="21"/>
    <s v="[VDS] - Payroll Cashloan"/>
    <x v="0"/>
    <n v="0"/>
  </r>
  <r>
    <x v="2"/>
    <x v="0"/>
    <x v="0"/>
    <n v="1"/>
    <n v="3"/>
    <x v="22"/>
    <s v="[VDS] - Payroll Payday"/>
    <x v="3"/>
    <n v="58000000"/>
  </r>
  <r>
    <x v="2"/>
    <x v="0"/>
    <x v="0"/>
    <n v="1"/>
    <n v="3"/>
    <x v="23"/>
    <s v="[VNPAY] - Cashloan"/>
    <x v="0"/>
    <n v="963500000"/>
  </r>
  <r>
    <x v="2"/>
    <x v="0"/>
    <x v="0"/>
    <n v="1"/>
    <n v="3"/>
    <x v="24"/>
    <s v="[VNPAY] - Payday"/>
    <x v="3"/>
    <n v="333504000"/>
  </r>
  <r>
    <x v="2"/>
    <x v="0"/>
    <x v="0"/>
    <n v="1"/>
    <n v="3"/>
    <x v="25"/>
    <s v="[VNPAY] - Paylater"/>
    <x v="1"/>
    <n v="1276435037"/>
  </r>
  <r>
    <x v="2"/>
    <x v="0"/>
    <x v="0"/>
    <n v="1"/>
    <n v="3"/>
    <x v="26"/>
    <s v="[ZLP] - Cashloan"/>
    <x v="0"/>
    <n v="3123240000"/>
  </r>
  <r>
    <x v="2"/>
    <x v="0"/>
    <x v="0"/>
    <n v="1"/>
    <n v="3"/>
    <x v="27"/>
    <s v="[ZLP] - Payday"/>
    <x v="3"/>
    <n v="0"/>
  </r>
  <r>
    <x v="3"/>
    <x v="0"/>
    <x v="0"/>
    <n v="1"/>
    <n v="4"/>
    <x v="0"/>
    <s v="[BE] - Cashloan"/>
    <x v="0"/>
    <n v="596850000"/>
  </r>
  <r>
    <x v="3"/>
    <x v="0"/>
    <x v="0"/>
    <n v="1"/>
    <n v="4"/>
    <x v="1"/>
    <s v="[BE] - Paylater"/>
    <x v="1"/>
    <n v="441460119"/>
  </r>
  <r>
    <x v="3"/>
    <x v="0"/>
    <x v="0"/>
    <n v="1"/>
    <n v="4"/>
    <x v="2"/>
    <s v="[Cake] - Cashloan"/>
    <x v="0"/>
    <n v="13472970000"/>
  </r>
  <r>
    <x v="3"/>
    <x v="0"/>
    <x v="0"/>
    <n v="1"/>
    <n v="4"/>
    <x v="3"/>
    <s v="[Cake] - Overdraft"/>
    <x v="2"/>
    <n v="2438419059"/>
  </r>
  <r>
    <x v="3"/>
    <x v="0"/>
    <x v="0"/>
    <n v="1"/>
    <n v="4"/>
    <x v="4"/>
    <s v="[Cake] - Payday"/>
    <x v="3"/>
    <n v="12509640000"/>
  </r>
  <r>
    <x v="3"/>
    <x v="0"/>
    <x v="0"/>
    <n v="1"/>
    <n v="4"/>
    <x v="5"/>
    <s v="[FPT] - Paylater"/>
    <x v="1"/>
    <n v="70640202"/>
  </r>
  <r>
    <x v="3"/>
    <x v="0"/>
    <x v="0"/>
    <n v="1"/>
    <n v="4"/>
    <x v="6"/>
    <s v="[MISA] - Cashloan"/>
    <x v="0"/>
    <n v="0"/>
  </r>
  <r>
    <x v="3"/>
    <x v="0"/>
    <x v="0"/>
    <n v="1"/>
    <n v="4"/>
    <x v="7"/>
    <s v="[MWG] - Cashloan"/>
    <x v="0"/>
    <n v="4516770000"/>
  </r>
  <r>
    <x v="3"/>
    <x v="0"/>
    <x v="0"/>
    <n v="1"/>
    <n v="4"/>
    <x v="8"/>
    <s v="[MWG] - Cashloan"/>
    <x v="0"/>
    <n v="369950000"/>
  </r>
  <r>
    <x v="3"/>
    <x v="0"/>
    <x v="0"/>
    <n v="1"/>
    <n v="4"/>
    <x v="9"/>
    <s v="[MWG] - Paylater"/>
    <x v="1"/>
    <n v="70201029"/>
  </r>
  <r>
    <x v="3"/>
    <x v="0"/>
    <x v="0"/>
    <n v="1"/>
    <n v="4"/>
    <x v="10"/>
    <s v="[MWG] - Paylater"/>
    <x v="1"/>
    <n v="2874242217"/>
  </r>
  <r>
    <x v="3"/>
    <x v="0"/>
    <x v="0"/>
    <n v="1"/>
    <n v="4"/>
    <x v="11"/>
    <s v="[NGS] - Cashloan"/>
    <x v="0"/>
    <n v="0"/>
  </r>
  <r>
    <x v="3"/>
    <x v="0"/>
    <x v="0"/>
    <n v="1"/>
    <n v="4"/>
    <x v="12"/>
    <s v="[VNPOST] - Cashloan"/>
    <x v="0"/>
    <n v="366000000"/>
  </r>
  <r>
    <x v="3"/>
    <x v="0"/>
    <x v="0"/>
    <n v="1"/>
    <n v="4"/>
    <x v="13"/>
    <s v="[VNPOST] - Cashloan"/>
    <x v="0"/>
    <n v="0"/>
  </r>
  <r>
    <x v="3"/>
    <x v="0"/>
    <x v="0"/>
    <n v="1"/>
    <n v="4"/>
    <x v="14"/>
    <s v="[VDS] - Cashloan"/>
    <x v="0"/>
    <n v="14323530000"/>
  </r>
  <r>
    <x v="3"/>
    <x v="0"/>
    <x v="0"/>
    <n v="1"/>
    <n v="4"/>
    <x v="15"/>
    <s v="[VDS] - Cashloan LP"/>
    <x v="0"/>
    <n v="0"/>
  </r>
  <r>
    <x v="3"/>
    <x v="0"/>
    <x v="0"/>
    <n v="1"/>
    <n v="4"/>
    <x v="16"/>
    <s v="[VDS] - Cashloan LP"/>
    <x v="0"/>
    <n v="0"/>
  </r>
  <r>
    <x v="3"/>
    <x v="0"/>
    <x v="0"/>
    <n v="1"/>
    <n v="4"/>
    <x v="17"/>
    <s v="[VDS] - Cashloan LP"/>
    <x v="0"/>
    <n v="0"/>
  </r>
  <r>
    <x v="3"/>
    <x v="0"/>
    <x v="0"/>
    <n v="1"/>
    <n v="4"/>
    <x v="18"/>
    <s v="[VDS] - Cashloan"/>
    <x v="0"/>
    <n v="0"/>
  </r>
  <r>
    <x v="3"/>
    <x v="0"/>
    <x v="0"/>
    <n v="1"/>
    <n v="4"/>
    <x v="19"/>
    <s v="[VDS] - Payday"/>
    <x v="3"/>
    <n v="9263484000"/>
  </r>
  <r>
    <x v="3"/>
    <x v="0"/>
    <x v="0"/>
    <n v="1"/>
    <n v="4"/>
    <x v="20"/>
    <s v="[VDS] - Paylater"/>
    <x v="1"/>
    <n v="637812477"/>
  </r>
  <r>
    <x v="3"/>
    <x v="0"/>
    <x v="0"/>
    <n v="1"/>
    <n v="4"/>
    <x v="21"/>
    <s v="[VDS] - Payroll Cashloan"/>
    <x v="0"/>
    <n v="21000000"/>
  </r>
  <r>
    <x v="3"/>
    <x v="0"/>
    <x v="0"/>
    <n v="1"/>
    <n v="4"/>
    <x v="22"/>
    <s v="[VDS] - Payroll Payday"/>
    <x v="3"/>
    <n v="32000000"/>
  </r>
  <r>
    <x v="3"/>
    <x v="0"/>
    <x v="0"/>
    <n v="1"/>
    <n v="4"/>
    <x v="23"/>
    <s v="[VNPAY] - Cashloan"/>
    <x v="0"/>
    <n v="745310000"/>
  </r>
  <r>
    <x v="3"/>
    <x v="0"/>
    <x v="0"/>
    <n v="1"/>
    <n v="4"/>
    <x v="24"/>
    <s v="[VNPAY] - Payday"/>
    <x v="3"/>
    <n v="302616000"/>
  </r>
  <r>
    <x v="3"/>
    <x v="0"/>
    <x v="0"/>
    <n v="1"/>
    <n v="4"/>
    <x v="25"/>
    <s v="[VNPAY] - Paylater"/>
    <x v="1"/>
    <n v="1757446176"/>
  </r>
  <r>
    <x v="3"/>
    <x v="0"/>
    <x v="0"/>
    <n v="1"/>
    <n v="4"/>
    <x v="26"/>
    <s v="[ZLP] - Cashloan"/>
    <x v="0"/>
    <n v="3292270000"/>
  </r>
  <r>
    <x v="3"/>
    <x v="0"/>
    <x v="0"/>
    <n v="1"/>
    <n v="4"/>
    <x v="27"/>
    <s v="[ZLP] - Payday"/>
    <x v="3"/>
    <n v="0"/>
  </r>
  <r>
    <x v="4"/>
    <x v="0"/>
    <x v="0"/>
    <n v="2"/>
    <n v="5"/>
    <x v="0"/>
    <s v="[BE] - Cashloan"/>
    <x v="0"/>
    <n v="687250000"/>
  </r>
  <r>
    <x v="4"/>
    <x v="0"/>
    <x v="0"/>
    <n v="2"/>
    <n v="5"/>
    <x v="1"/>
    <s v="[BE] - Paylater"/>
    <x v="1"/>
    <n v="449006164"/>
  </r>
  <r>
    <x v="4"/>
    <x v="0"/>
    <x v="0"/>
    <n v="2"/>
    <n v="5"/>
    <x v="2"/>
    <s v="[Cake] - Cashloan"/>
    <x v="0"/>
    <n v="18178310000"/>
  </r>
  <r>
    <x v="4"/>
    <x v="0"/>
    <x v="0"/>
    <n v="2"/>
    <n v="5"/>
    <x v="3"/>
    <s v="[Cake] - Overdraft"/>
    <x v="2"/>
    <n v="3013009921"/>
  </r>
  <r>
    <x v="4"/>
    <x v="0"/>
    <x v="0"/>
    <n v="2"/>
    <n v="5"/>
    <x v="4"/>
    <s v="[Cake] - Payday"/>
    <x v="3"/>
    <n v="16151940000"/>
  </r>
  <r>
    <x v="4"/>
    <x v="0"/>
    <x v="0"/>
    <n v="2"/>
    <n v="5"/>
    <x v="5"/>
    <s v="[FPT] - Paylater"/>
    <x v="1"/>
    <n v="65833326"/>
  </r>
  <r>
    <x v="4"/>
    <x v="0"/>
    <x v="0"/>
    <n v="2"/>
    <n v="5"/>
    <x v="6"/>
    <s v="[MISA] - Cashloan"/>
    <x v="0"/>
    <n v="90000000"/>
  </r>
  <r>
    <x v="4"/>
    <x v="0"/>
    <x v="0"/>
    <n v="2"/>
    <n v="5"/>
    <x v="7"/>
    <s v="[MWG] - Cashloan"/>
    <x v="0"/>
    <n v="4914460000"/>
  </r>
  <r>
    <x v="4"/>
    <x v="0"/>
    <x v="0"/>
    <n v="2"/>
    <n v="5"/>
    <x v="8"/>
    <s v="[MWG] - Cashloan"/>
    <x v="0"/>
    <n v="288300000"/>
  </r>
  <r>
    <x v="4"/>
    <x v="0"/>
    <x v="0"/>
    <n v="2"/>
    <n v="5"/>
    <x v="9"/>
    <s v="[MWG] - Paylater"/>
    <x v="1"/>
    <n v="58697374"/>
  </r>
  <r>
    <x v="4"/>
    <x v="0"/>
    <x v="0"/>
    <n v="2"/>
    <n v="5"/>
    <x v="10"/>
    <s v="[MWG] - Paylater"/>
    <x v="1"/>
    <n v="2103866423"/>
  </r>
  <r>
    <x v="4"/>
    <x v="0"/>
    <x v="0"/>
    <n v="2"/>
    <n v="5"/>
    <x v="11"/>
    <s v="[NGS] - Cashloan"/>
    <x v="0"/>
    <n v="0"/>
  </r>
  <r>
    <x v="4"/>
    <x v="0"/>
    <x v="0"/>
    <n v="2"/>
    <n v="5"/>
    <x v="12"/>
    <s v="[VNPOST] - Cashloan"/>
    <x v="0"/>
    <n v="753750000"/>
  </r>
  <r>
    <x v="4"/>
    <x v="0"/>
    <x v="0"/>
    <n v="2"/>
    <n v="5"/>
    <x v="13"/>
    <s v="[VNPOST] - Cashloan"/>
    <x v="0"/>
    <n v="0"/>
  </r>
  <r>
    <x v="4"/>
    <x v="0"/>
    <x v="0"/>
    <n v="2"/>
    <n v="5"/>
    <x v="14"/>
    <s v="[VDS] - Cashloan"/>
    <x v="0"/>
    <n v="18812710000"/>
  </r>
  <r>
    <x v="4"/>
    <x v="0"/>
    <x v="0"/>
    <n v="2"/>
    <n v="5"/>
    <x v="15"/>
    <s v="[VDS] - Cashloan LP"/>
    <x v="0"/>
    <n v="0"/>
  </r>
  <r>
    <x v="4"/>
    <x v="0"/>
    <x v="0"/>
    <n v="2"/>
    <n v="5"/>
    <x v="16"/>
    <s v="[VDS] - Cashloan LP"/>
    <x v="0"/>
    <n v="0"/>
  </r>
  <r>
    <x v="4"/>
    <x v="0"/>
    <x v="0"/>
    <n v="2"/>
    <n v="5"/>
    <x v="17"/>
    <s v="[VDS] - Cashloan LP"/>
    <x v="0"/>
    <n v="0"/>
  </r>
  <r>
    <x v="4"/>
    <x v="0"/>
    <x v="0"/>
    <n v="2"/>
    <n v="5"/>
    <x v="18"/>
    <s v="[VDS] - Cashloan"/>
    <x v="0"/>
    <n v="0"/>
  </r>
  <r>
    <x v="4"/>
    <x v="0"/>
    <x v="0"/>
    <n v="2"/>
    <n v="5"/>
    <x v="19"/>
    <s v="[VDS] - Payday"/>
    <x v="3"/>
    <n v="10797300000"/>
  </r>
  <r>
    <x v="4"/>
    <x v="0"/>
    <x v="0"/>
    <n v="2"/>
    <n v="5"/>
    <x v="20"/>
    <s v="[VDS] - Paylater"/>
    <x v="1"/>
    <n v="637389668"/>
  </r>
  <r>
    <x v="4"/>
    <x v="0"/>
    <x v="0"/>
    <n v="2"/>
    <n v="5"/>
    <x v="21"/>
    <s v="[VDS] - Payroll Cashloan"/>
    <x v="0"/>
    <n v="21000000"/>
  </r>
  <r>
    <x v="4"/>
    <x v="0"/>
    <x v="0"/>
    <n v="2"/>
    <n v="5"/>
    <x v="22"/>
    <s v="[VDS] - Payroll Payday"/>
    <x v="3"/>
    <n v="86000000"/>
  </r>
  <r>
    <x v="4"/>
    <x v="0"/>
    <x v="0"/>
    <n v="2"/>
    <n v="5"/>
    <x v="23"/>
    <s v="[VNPAY] - Cashloan"/>
    <x v="0"/>
    <n v="1035290000"/>
  </r>
  <r>
    <x v="4"/>
    <x v="0"/>
    <x v="0"/>
    <n v="2"/>
    <n v="5"/>
    <x v="24"/>
    <s v="[VNPAY] - Payday"/>
    <x v="3"/>
    <n v="454680000"/>
  </r>
  <r>
    <x v="4"/>
    <x v="0"/>
    <x v="0"/>
    <n v="2"/>
    <n v="5"/>
    <x v="25"/>
    <s v="[VNPAY] - Paylater"/>
    <x v="1"/>
    <n v="1426686840"/>
  </r>
  <r>
    <x v="4"/>
    <x v="0"/>
    <x v="0"/>
    <n v="2"/>
    <n v="5"/>
    <x v="26"/>
    <s v="[ZLP] - Cashloan"/>
    <x v="0"/>
    <n v="4379930000"/>
  </r>
  <r>
    <x v="4"/>
    <x v="0"/>
    <x v="0"/>
    <n v="2"/>
    <n v="5"/>
    <x v="27"/>
    <s v="[ZLP] - Payday"/>
    <x v="3"/>
    <n v="0"/>
  </r>
  <r>
    <x v="5"/>
    <x v="0"/>
    <x v="0"/>
    <n v="2"/>
    <n v="6"/>
    <x v="0"/>
    <s v="[BE] - Cashloan"/>
    <x v="0"/>
    <n v="826700000"/>
  </r>
  <r>
    <x v="5"/>
    <x v="0"/>
    <x v="0"/>
    <n v="2"/>
    <n v="6"/>
    <x v="1"/>
    <s v="[BE] - Paylater"/>
    <x v="1"/>
    <n v="435192867"/>
  </r>
  <r>
    <x v="5"/>
    <x v="0"/>
    <x v="0"/>
    <n v="2"/>
    <n v="6"/>
    <x v="2"/>
    <s v="[Cake] - Cashloan"/>
    <x v="0"/>
    <n v="15569330000"/>
  </r>
  <r>
    <x v="5"/>
    <x v="0"/>
    <x v="0"/>
    <n v="2"/>
    <n v="6"/>
    <x v="3"/>
    <s v="[Cake] - Overdraft"/>
    <x v="2"/>
    <n v="2231074599"/>
  </r>
  <r>
    <x v="5"/>
    <x v="0"/>
    <x v="0"/>
    <n v="2"/>
    <n v="6"/>
    <x v="4"/>
    <s v="[Cake] - Payday"/>
    <x v="3"/>
    <n v="13687920000"/>
  </r>
  <r>
    <x v="5"/>
    <x v="0"/>
    <x v="0"/>
    <n v="2"/>
    <n v="6"/>
    <x v="5"/>
    <s v="[FPT] - Paylater"/>
    <x v="1"/>
    <n v="27400994"/>
  </r>
  <r>
    <x v="5"/>
    <x v="0"/>
    <x v="0"/>
    <n v="2"/>
    <n v="6"/>
    <x v="6"/>
    <s v="[MISA] - Cashloan"/>
    <x v="0"/>
    <n v="0"/>
  </r>
  <r>
    <x v="5"/>
    <x v="0"/>
    <x v="0"/>
    <n v="2"/>
    <n v="6"/>
    <x v="7"/>
    <s v="[MWG] - Cashloan"/>
    <x v="0"/>
    <n v="4482220000"/>
  </r>
  <r>
    <x v="5"/>
    <x v="0"/>
    <x v="0"/>
    <n v="2"/>
    <n v="6"/>
    <x v="8"/>
    <s v="[MWG] - Cashloan"/>
    <x v="0"/>
    <n v="318900000"/>
  </r>
  <r>
    <x v="5"/>
    <x v="0"/>
    <x v="0"/>
    <n v="2"/>
    <n v="6"/>
    <x v="9"/>
    <s v="[MWG] - Paylater"/>
    <x v="1"/>
    <n v="19957405"/>
  </r>
  <r>
    <x v="5"/>
    <x v="0"/>
    <x v="0"/>
    <n v="2"/>
    <n v="6"/>
    <x v="10"/>
    <s v="[MWG] - Paylater"/>
    <x v="1"/>
    <n v="1543296050"/>
  </r>
  <r>
    <x v="5"/>
    <x v="0"/>
    <x v="0"/>
    <n v="2"/>
    <n v="6"/>
    <x v="11"/>
    <s v="[NGS] - Cashloan"/>
    <x v="0"/>
    <n v="0"/>
  </r>
  <r>
    <x v="5"/>
    <x v="0"/>
    <x v="0"/>
    <n v="2"/>
    <n v="6"/>
    <x v="12"/>
    <s v="[VNPOST] - Cashloan"/>
    <x v="0"/>
    <n v="331500000"/>
  </r>
  <r>
    <x v="5"/>
    <x v="0"/>
    <x v="0"/>
    <n v="2"/>
    <n v="6"/>
    <x v="13"/>
    <s v="[VNPOST] - Cashloan"/>
    <x v="0"/>
    <n v="0"/>
  </r>
  <r>
    <x v="5"/>
    <x v="0"/>
    <x v="0"/>
    <n v="2"/>
    <n v="6"/>
    <x v="14"/>
    <s v="[VDS] - Cashloan"/>
    <x v="0"/>
    <n v="16112910000"/>
  </r>
  <r>
    <x v="5"/>
    <x v="0"/>
    <x v="0"/>
    <n v="2"/>
    <n v="6"/>
    <x v="15"/>
    <s v="[VDS] - Cashloan LP"/>
    <x v="0"/>
    <n v="0"/>
  </r>
  <r>
    <x v="5"/>
    <x v="0"/>
    <x v="0"/>
    <n v="2"/>
    <n v="6"/>
    <x v="16"/>
    <s v="[VDS] - Cashloan LP"/>
    <x v="0"/>
    <n v="0"/>
  </r>
  <r>
    <x v="5"/>
    <x v="0"/>
    <x v="0"/>
    <n v="2"/>
    <n v="6"/>
    <x v="17"/>
    <s v="[VDS] - Cashloan LP"/>
    <x v="0"/>
    <n v="0"/>
  </r>
  <r>
    <x v="5"/>
    <x v="0"/>
    <x v="0"/>
    <n v="2"/>
    <n v="6"/>
    <x v="18"/>
    <s v="[VDS] - Cashloan"/>
    <x v="0"/>
    <n v="0"/>
  </r>
  <r>
    <x v="5"/>
    <x v="0"/>
    <x v="0"/>
    <n v="2"/>
    <n v="6"/>
    <x v="19"/>
    <s v="[VDS] - Payday"/>
    <x v="3"/>
    <n v="9791604000"/>
  </r>
  <r>
    <x v="5"/>
    <x v="0"/>
    <x v="0"/>
    <n v="2"/>
    <n v="6"/>
    <x v="20"/>
    <s v="[VDS] - Paylater"/>
    <x v="1"/>
    <n v="350790852"/>
  </r>
  <r>
    <x v="5"/>
    <x v="0"/>
    <x v="0"/>
    <n v="2"/>
    <n v="6"/>
    <x v="21"/>
    <s v="[VDS] - Payroll Cashloan"/>
    <x v="0"/>
    <n v="21000000"/>
  </r>
  <r>
    <x v="5"/>
    <x v="0"/>
    <x v="0"/>
    <n v="2"/>
    <n v="6"/>
    <x v="22"/>
    <s v="[VDS] - Payroll Payday"/>
    <x v="3"/>
    <n v="73000000"/>
  </r>
  <r>
    <x v="5"/>
    <x v="0"/>
    <x v="0"/>
    <n v="2"/>
    <n v="6"/>
    <x v="23"/>
    <s v="[VNPAY] - Cashloan"/>
    <x v="0"/>
    <n v="524560000"/>
  </r>
  <r>
    <x v="5"/>
    <x v="0"/>
    <x v="0"/>
    <n v="2"/>
    <n v="6"/>
    <x v="24"/>
    <s v="[VNPAY] - Payday"/>
    <x v="3"/>
    <n v="297756000"/>
  </r>
  <r>
    <x v="5"/>
    <x v="0"/>
    <x v="0"/>
    <n v="2"/>
    <n v="6"/>
    <x v="25"/>
    <s v="[VNPAY] - Paylater"/>
    <x v="1"/>
    <n v="843024671"/>
  </r>
  <r>
    <x v="5"/>
    <x v="0"/>
    <x v="0"/>
    <n v="2"/>
    <n v="6"/>
    <x v="26"/>
    <s v="[ZLP] - Cashloan"/>
    <x v="0"/>
    <n v="4133690000"/>
  </r>
  <r>
    <x v="5"/>
    <x v="0"/>
    <x v="0"/>
    <n v="2"/>
    <n v="6"/>
    <x v="27"/>
    <s v="[ZLP] - Payday"/>
    <x v="3"/>
    <n v="0"/>
  </r>
  <r>
    <x v="6"/>
    <x v="0"/>
    <x v="0"/>
    <n v="2"/>
    <n v="7"/>
    <x v="0"/>
    <s v="[BE] - Cashloan"/>
    <x v="0"/>
    <n v="907400000"/>
  </r>
  <r>
    <x v="6"/>
    <x v="0"/>
    <x v="0"/>
    <n v="2"/>
    <n v="7"/>
    <x v="1"/>
    <s v="[BE] - Paylater"/>
    <x v="1"/>
    <n v="400817994"/>
  </r>
  <r>
    <x v="6"/>
    <x v="0"/>
    <x v="0"/>
    <n v="2"/>
    <n v="7"/>
    <x v="2"/>
    <s v="[Cake] - Cashloan"/>
    <x v="0"/>
    <n v="15492080000"/>
  </r>
  <r>
    <x v="6"/>
    <x v="0"/>
    <x v="0"/>
    <n v="2"/>
    <n v="7"/>
    <x v="3"/>
    <s v="[Cake] - Overdraft"/>
    <x v="2"/>
    <n v="1892761441"/>
  </r>
  <r>
    <x v="6"/>
    <x v="0"/>
    <x v="0"/>
    <n v="2"/>
    <n v="7"/>
    <x v="4"/>
    <s v="[Cake] - Payday"/>
    <x v="3"/>
    <n v="13269096000"/>
  </r>
  <r>
    <x v="6"/>
    <x v="0"/>
    <x v="0"/>
    <n v="2"/>
    <n v="7"/>
    <x v="5"/>
    <s v="[FPT] - Paylater"/>
    <x v="1"/>
    <n v="24325145"/>
  </r>
  <r>
    <x v="6"/>
    <x v="0"/>
    <x v="0"/>
    <n v="2"/>
    <n v="7"/>
    <x v="6"/>
    <s v="[MISA] - Cashloan"/>
    <x v="0"/>
    <n v="0"/>
  </r>
  <r>
    <x v="6"/>
    <x v="0"/>
    <x v="0"/>
    <n v="2"/>
    <n v="7"/>
    <x v="7"/>
    <s v="[MWG] - Cashloan"/>
    <x v="0"/>
    <n v="4550680000"/>
  </r>
  <r>
    <x v="6"/>
    <x v="0"/>
    <x v="0"/>
    <n v="2"/>
    <n v="7"/>
    <x v="8"/>
    <s v="[MWG] - Cashloan"/>
    <x v="0"/>
    <n v="452650000"/>
  </r>
  <r>
    <x v="6"/>
    <x v="0"/>
    <x v="0"/>
    <n v="2"/>
    <n v="7"/>
    <x v="9"/>
    <s v="[MWG] - Paylater"/>
    <x v="1"/>
    <n v="25534191"/>
  </r>
  <r>
    <x v="6"/>
    <x v="0"/>
    <x v="0"/>
    <n v="2"/>
    <n v="7"/>
    <x v="10"/>
    <s v="[MWG] - Paylater"/>
    <x v="1"/>
    <n v="1449111267"/>
  </r>
  <r>
    <x v="6"/>
    <x v="0"/>
    <x v="0"/>
    <n v="2"/>
    <n v="7"/>
    <x v="11"/>
    <s v="[NGS] - Cashloan"/>
    <x v="0"/>
    <n v="0"/>
  </r>
  <r>
    <x v="6"/>
    <x v="0"/>
    <x v="0"/>
    <n v="2"/>
    <n v="7"/>
    <x v="12"/>
    <s v="[VNPOST] - Cashloan"/>
    <x v="0"/>
    <n v="78750000"/>
  </r>
  <r>
    <x v="6"/>
    <x v="0"/>
    <x v="0"/>
    <n v="2"/>
    <n v="7"/>
    <x v="13"/>
    <s v="[VNPOST] - Cashloan"/>
    <x v="0"/>
    <n v="0"/>
  </r>
  <r>
    <x v="6"/>
    <x v="0"/>
    <x v="0"/>
    <n v="2"/>
    <n v="7"/>
    <x v="14"/>
    <s v="[VDS] - Cashloan"/>
    <x v="0"/>
    <n v="16542590000"/>
  </r>
  <r>
    <x v="6"/>
    <x v="0"/>
    <x v="0"/>
    <n v="2"/>
    <n v="7"/>
    <x v="15"/>
    <s v="[VDS] - Cashloan LP"/>
    <x v="0"/>
    <n v="0"/>
  </r>
  <r>
    <x v="6"/>
    <x v="0"/>
    <x v="0"/>
    <n v="2"/>
    <n v="7"/>
    <x v="16"/>
    <s v="[VDS] - Cashloan LP"/>
    <x v="0"/>
    <n v="0"/>
  </r>
  <r>
    <x v="6"/>
    <x v="0"/>
    <x v="0"/>
    <n v="2"/>
    <n v="7"/>
    <x v="17"/>
    <s v="[VDS] - Cashloan LP"/>
    <x v="0"/>
    <n v="0"/>
  </r>
  <r>
    <x v="6"/>
    <x v="0"/>
    <x v="0"/>
    <n v="2"/>
    <n v="7"/>
    <x v="18"/>
    <s v="[VDS] - Cashloan"/>
    <x v="0"/>
    <n v="0"/>
  </r>
  <r>
    <x v="6"/>
    <x v="0"/>
    <x v="0"/>
    <n v="2"/>
    <n v="7"/>
    <x v="19"/>
    <s v="[VDS] - Payday"/>
    <x v="3"/>
    <n v="8963568000"/>
  </r>
  <r>
    <x v="6"/>
    <x v="0"/>
    <x v="0"/>
    <n v="2"/>
    <n v="7"/>
    <x v="20"/>
    <s v="[VDS] - Paylater"/>
    <x v="1"/>
    <n v="353176049"/>
  </r>
  <r>
    <x v="6"/>
    <x v="0"/>
    <x v="0"/>
    <n v="2"/>
    <n v="7"/>
    <x v="21"/>
    <s v="[VDS] - Payroll Cashloan"/>
    <x v="0"/>
    <n v="21000000"/>
  </r>
  <r>
    <x v="6"/>
    <x v="0"/>
    <x v="0"/>
    <n v="2"/>
    <n v="7"/>
    <x v="22"/>
    <s v="[VDS] - Payroll Payday"/>
    <x v="3"/>
    <n v="58000000"/>
  </r>
  <r>
    <x v="6"/>
    <x v="0"/>
    <x v="0"/>
    <n v="2"/>
    <n v="7"/>
    <x v="23"/>
    <s v="[VNPAY] - Cashloan"/>
    <x v="0"/>
    <n v="834840000"/>
  </r>
  <r>
    <x v="6"/>
    <x v="0"/>
    <x v="0"/>
    <n v="2"/>
    <n v="7"/>
    <x v="24"/>
    <s v="[VNPAY] - Payday"/>
    <x v="3"/>
    <n v="342360000"/>
  </r>
  <r>
    <x v="6"/>
    <x v="0"/>
    <x v="0"/>
    <n v="2"/>
    <n v="7"/>
    <x v="25"/>
    <s v="[VNPAY] - Paylater"/>
    <x v="1"/>
    <n v="549040339"/>
  </r>
  <r>
    <x v="6"/>
    <x v="0"/>
    <x v="0"/>
    <n v="2"/>
    <n v="7"/>
    <x v="26"/>
    <s v="[ZLP] - Cashloan"/>
    <x v="0"/>
    <n v="3067300000"/>
  </r>
  <r>
    <x v="6"/>
    <x v="0"/>
    <x v="0"/>
    <n v="2"/>
    <n v="7"/>
    <x v="27"/>
    <s v="[ZLP] - Payday"/>
    <x v="3"/>
    <n v="0"/>
  </r>
  <r>
    <x v="7"/>
    <x v="0"/>
    <x v="0"/>
    <n v="2"/>
    <n v="8"/>
    <x v="0"/>
    <s v="[BE] - Cashloan"/>
    <x v="0"/>
    <n v="629100000"/>
  </r>
  <r>
    <x v="7"/>
    <x v="0"/>
    <x v="0"/>
    <n v="2"/>
    <n v="8"/>
    <x v="1"/>
    <s v="[BE] - Paylater"/>
    <x v="1"/>
    <n v="362697536"/>
  </r>
  <r>
    <x v="7"/>
    <x v="0"/>
    <x v="0"/>
    <n v="2"/>
    <n v="8"/>
    <x v="2"/>
    <s v="[Cake] - Cashloan"/>
    <x v="0"/>
    <n v="16104980000"/>
  </r>
  <r>
    <x v="7"/>
    <x v="0"/>
    <x v="0"/>
    <n v="2"/>
    <n v="8"/>
    <x v="3"/>
    <s v="[Cake] - Overdraft"/>
    <x v="2"/>
    <n v="1916907273"/>
  </r>
  <r>
    <x v="7"/>
    <x v="0"/>
    <x v="0"/>
    <n v="2"/>
    <n v="8"/>
    <x v="4"/>
    <s v="[Cake] - Payday"/>
    <x v="3"/>
    <n v="12846708000"/>
  </r>
  <r>
    <x v="7"/>
    <x v="0"/>
    <x v="0"/>
    <n v="2"/>
    <n v="8"/>
    <x v="5"/>
    <s v="[FPT] - Paylater"/>
    <x v="1"/>
    <n v="9450519"/>
  </r>
  <r>
    <x v="7"/>
    <x v="0"/>
    <x v="0"/>
    <n v="2"/>
    <n v="8"/>
    <x v="6"/>
    <s v="[MISA] - Cashloan"/>
    <x v="0"/>
    <n v="0"/>
  </r>
  <r>
    <x v="7"/>
    <x v="0"/>
    <x v="0"/>
    <n v="2"/>
    <n v="8"/>
    <x v="7"/>
    <s v="[MWG] - Cashloan"/>
    <x v="0"/>
    <n v="4705700000"/>
  </r>
  <r>
    <x v="7"/>
    <x v="0"/>
    <x v="0"/>
    <n v="2"/>
    <n v="8"/>
    <x v="8"/>
    <s v="[MWG] - Cashloan"/>
    <x v="0"/>
    <n v="273540000"/>
  </r>
  <r>
    <x v="7"/>
    <x v="0"/>
    <x v="0"/>
    <n v="2"/>
    <n v="8"/>
    <x v="9"/>
    <s v="[MWG] - Paylater"/>
    <x v="1"/>
    <n v="23569375"/>
  </r>
  <r>
    <x v="7"/>
    <x v="0"/>
    <x v="0"/>
    <n v="2"/>
    <n v="8"/>
    <x v="10"/>
    <s v="[MWG] - Paylater"/>
    <x v="1"/>
    <n v="1473516434"/>
  </r>
  <r>
    <x v="7"/>
    <x v="0"/>
    <x v="0"/>
    <n v="2"/>
    <n v="8"/>
    <x v="11"/>
    <s v="[NGS] - Cashloan"/>
    <x v="0"/>
    <n v="0"/>
  </r>
  <r>
    <x v="7"/>
    <x v="0"/>
    <x v="0"/>
    <n v="2"/>
    <n v="8"/>
    <x v="12"/>
    <s v="[VNPOST] - Cashloan"/>
    <x v="0"/>
    <n v="169250000"/>
  </r>
  <r>
    <x v="7"/>
    <x v="0"/>
    <x v="0"/>
    <n v="2"/>
    <n v="8"/>
    <x v="13"/>
    <s v="[VNPOST] - Cashloan"/>
    <x v="0"/>
    <n v="0"/>
  </r>
  <r>
    <x v="7"/>
    <x v="0"/>
    <x v="0"/>
    <n v="2"/>
    <n v="8"/>
    <x v="14"/>
    <s v="[VDS] - Cashloan"/>
    <x v="0"/>
    <n v="16591150000"/>
  </r>
  <r>
    <x v="7"/>
    <x v="0"/>
    <x v="0"/>
    <n v="2"/>
    <n v="8"/>
    <x v="15"/>
    <s v="[VDS] - Cashloan LP"/>
    <x v="0"/>
    <n v="0"/>
  </r>
  <r>
    <x v="7"/>
    <x v="0"/>
    <x v="0"/>
    <n v="2"/>
    <n v="8"/>
    <x v="16"/>
    <s v="[VDS] - Cashloan LP"/>
    <x v="0"/>
    <n v="0"/>
  </r>
  <r>
    <x v="7"/>
    <x v="0"/>
    <x v="0"/>
    <n v="2"/>
    <n v="8"/>
    <x v="17"/>
    <s v="[VDS] - Cashloan LP"/>
    <x v="0"/>
    <n v="0"/>
  </r>
  <r>
    <x v="7"/>
    <x v="0"/>
    <x v="0"/>
    <n v="2"/>
    <n v="8"/>
    <x v="18"/>
    <s v="[VDS] - Cashloan"/>
    <x v="0"/>
    <n v="30000000"/>
  </r>
  <r>
    <x v="7"/>
    <x v="0"/>
    <x v="0"/>
    <n v="2"/>
    <n v="8"/>
    <x v="19"/>
    <s v="[VDS] - Payday"/>
    <x v="3"/>
    <n v="9084420000"/>
  </r>
  <r>
    <x v="7"/>
    <x v="0"/>
    <x v="0"/>
    <n v="2"/>
    <n v="8"/>
    <x v="20"/>
    <s v="[VDS] - Paylater"/>
    <x v="1"/>
    <n v="255609922"/>
  </r>
  <r>
    <x v="7"/>
    <x v="0"/>
    <x v="0"/>
    <n v="2"/>
    <n v="8"/>
    <x v="21"/>
    <s v="[VDS] - Payroll Cashloan"/>
    <x v="0"/>
    <n v="13650000"/>
  </r>
  <r>
    <x v="7"/>
    <x v="0"/>
    <x v="0"/>
    <n v="2"/>
    <n v="8"/>
    <x v="22"/>
    <s v="[VDS] - Payroll Payday"/>
    <x v="3"/>
    <n v="55000000"/>
  </r>
  <r>
    <x v="7"/>
    <x v="0"/>
    <x v="0"/>
    <n v="2"/>
    <n v="8"/>
    <x v="23"/>
    <s v="[VNPAY] - Cashloan"/>
    <x v="0"/>
    <n v="1366680000"/>
  </r>
  <r>
    <x v="7"/>
    <x v="0"/>
    <x v="0"/>
    <n v="2"/>
    <n v="8"/>
    <x v="24"/>
    <s v="[VNPAY] - Payday"/>
    <x v="3"/>
    <n v="256608000"/>
  </r>
  <r>
    <x v="7"/>
    <x v="0"/>
    <x v="0"/>
    <n v="2"/>
    <n v="8"/>
    <x v="25"/>
    <s v="[VNPAY] - Paylater"/>
    <x v="1"/>
    <n v="453725331"/>
  </r>
  <r>
    <x v="7"/>
    <x v="0"/>
    <x v="0"/>
    <n v="2"/>
    <n v="8"/>
    <x v="26"/>
    <s v="[ZLP] - Cashloan"/>
    <x v="0"/>
    <n v="3093570000"/>
  </r>
  <r>
    <x v="7"/>
    <x v="0"/>
    <x v="0"/>
    <n v="2"/>
    <n v="8"/>
    <x v="27"/>
    <s v="[ZLP] - Payday"/>
    <x v="3"/>
    <n v="0"/>
  </r>
  <r>
    <x v="8"/>
    <x v="0"/>
    <x v="0"/>
    <n v="2"/>
    <n v="9"/>
    <x v="0"/>
    <s v="[BE] - Cashloan"/>
    <x v="0"/>
    <n v="624200000"/>
  </r>
  <r>
    <x v="8"/>
    <x v="0"/>
    <x v="0"/>
    <n v="2"/>
    <n v="9"/>
    <x v="1"/>
    <s v="[BE] - Paylater"/>
    <x v="1"/>
    <n v="411172583"/>
  </r>
  <r>
    <x v="8"/>
    <x v="0"/>
    <x v="0"/>
    <n v="2"/>
    <n v="9"/>
    <x v="2"/>
    <s v="[Cake] - Cashloan"/>
    <x v="0"/>
    <n v="15186380000"/>
  </r>
  <r>
    <x v="8"/>
    <x v="0"/>
    <x v="0"/>
    <n v="2"/>
    <n v="9"/>
    <x v="3"/>
    <s v="[Cake] - Overdraft"/>
    <x v="2"/>
    <n v="2266891336"/>
  </r>
  <r>
    <x v="8"/>
    <x v="0"/>
    <x v="0"/>
    <n v="2"/>
    <n v="9"/>
    <x v="4"/>
    <s v="[Cake] - Payday"/>
    <x v="3"/>
    <n v="14657868000"/>
  </r>
  <r>
    <x v="8"/>
    <x v="0"/>
    <x v="0"/>
    <n v="2"/>
    <n v="9"/>
    <x v="5"/>
    <s v="[FPT] - Paylater"/>
    <x v="1"/>
    <n v="9349726"/>
  </r>
  <r>
    <x v="8"/>
    <x v="0"/>
    <x v="0"/>
    <n v="2"/>
    <n v="9"/>
    <x v="6"/>
    <s v="[MISA] - Cashloan"/>
    <x v="0"/>
    <n v="90000000"/>
  </r>
  <r>
    <x v="8"/>
    <x v="0"/>
    <x v="0"/>
    <n v="2"/>
    <n v="9"/>
    <x v="7"/>
    <s v="[MWG] - Cashloan"/>
    <x v="0"/>
    <n v="4831450000"/>
  </r>
  <r>
    <x v="8"/>
    <x v="0"/>
    <x v="0"/>
    <n v="2"/>
    <n v="9"/>
    <x v="8"/>
    <s v="[MWG] - Cashloan"/>
    <x v="0"/>
    <n v="436840000"/>
  </r>
  <r>
    <x v="8"/>
    <x v="0"/>
    <x v="0"/>
    <n v="2"/>
    <n v="9"/>
    <x v="9"/>
    <s v="[MWG] - Paylater"/>
    <x v="1"/>
    <n v="23417180"/>
  </r>
  <r>
    <x v="8"/>
    <x v="0"/>
    <x v="0"/>
    <n v="2"/>
    <n v="9"/>
    <x v="10"/>
    <s v="[MWG] - Paylater"/>
    <x v="1"/>
    <n v="1828275122"/>
  </r>
  <r>
    <x v="8"/>
    <x v="0"/>
    <x v="0"/>
    <n v="2"/>
    <n v="9"/>
    <x v="11"/>
    <s v="[NGS] - Cashloan"/>
    <x v="0"/>
    <n v="0"/>
  </r>
  <r>
    <x v="8"/>
    <x v="0"/>
    <x v="0"/>
    <n v="2"/>
    <n v="9"/>
    <x v="12"/>
    <s v="[VNPOST] - Cashloan"/>
    <x v="0"/>
    <n v="123750000"/>
  </r>
  <r>
    <x v="8"/>
    <x v="0"/>
    <x v="0"/>
    <n v="2"/>
    <n v="9"/>
    <x v="13"/>
    <s v="[VNPOST] - Cashloan"/>
    <x v="0"/>
    <n v="0"/>
  </r>
  <r>
    <x v="8"/>
    <x v="0"/>
    <x v="0"/>
    <n v="2"/>
    <n v="9"/>
    <x v="14"/>
    <s v="[VDS] - Cashloan"/>
    <x v="0"/>
    <n v="17271450000"/>
  </r>
  <r>
    <x v="8"/>
    <x v="0"/>
    <x v="0"/>
    <n v="2"/>
    <n v="9"/>
    <x v="15"/>
    <s v="[VDS] - Cashloan LP"/>
    <x v="0"/>
    <n v="0"/>
  </r>
  <r>
    <x v="8"/>
    <x v="0"/>
    <x v="0"/>
    <n v="2"/>
    <n v="9"/>
    <x v="16"/>
    <s v="[VDS] - Cashloan LP"/>
    <x v="0"/>
    <n v="0"/>
  </r>
  <r>
    <x v="8"/>
    <x v="0"/>
    <x v="0"/>
    <n v="2"/>
    <n v="9"/>
    <x v="17"/>
    <s v="[VDS] - Cashloan LP"/>
    <x v="0"/>
    <n v="0"/>
  </r>
  <r>
    <x v="8"/>
    <x v="0"/>
    <x v="0"/>
    <n v="2"/>
    <n v="9"/>
    <x v="18"/>
    <s v="[VDS] - Cashloan"/>
    <x v="0"/>
    <n v="0"/>
  </r>
  <r>
    <x v="8"/>
    <x v="0"/>
    <x v="0"/>
    <n v="2"/>
    <n v="9"/>
    <x v="19"/>
    <s v="[VDS] - Payday"/>
    <x v="3"/>
    <n v="11633004000"/>
  </r>
  <r>
    <x v="8"/>
    <x v="0"/>
    <x v="0"/>
    <n v="2"/>
    <n v="9"/>
    <x v="20"/>
    <s v="[VDS] - Paylater"/>
    <x v="1"/>
    <n v="242206144"/>
  </r>
  <r>
    <x v="8"/>
    <x v="0"/>
    <x v="0"/>
    <n v="2"/>
    <n v="9"/>
    <x v="21"/>
    <s v="[VDS] - Payroll Cashloan"/>
    <x v="0"/>
    <n v="20000000"/>
  </r>
  <r>
    <x v="8"/>
    <x v="0"/>
    <x v="0"/>
    <n v="2"/>
    <n v="9"/>
    <x v="22"/>
    <s v="[VDS] - Payroll Payday"/>
    <x v="3"/>
    <n v="62000000"/>
  </r>
  <r>
    <x v="8"/>
    <x v="0"/>
    <x v="0"/>
    <n v="2"/>
    <n v="9"/>
    <x v="23"/>
    <s v="[VNPAY] - Cashloan"/>
    <x v="0"/>
    <n v="1187210000"/>
  </r>
  <r>
    <x v="8"/>
    <x v="0"/>
    <x v="0"/>
    <n v="2"/>
    <n v="9"/>
    <x v="24"/>
    <s v="[VNPAY] - Payday"/>
    <x v="3"/>
    <n v="366012000"/>
  </r>
  <r>
    <x v="8"/>
    <x v="0"/>
    <x v="0"/>
    <n v="2"/>
    <n v="9"/>
    <x v="25"/>
    <s v="[VNPAY] - Paylater"/>
    <x v="1"/>
    <n v="495946678"/>
  </r>
  <r>
    <x v="8"/>
    <x v="0"/>
    <x v="0"/>
    <n v="2"/>
    <n v="9"/>
    <x v="26"/>
    <s v="[ZLP] - Cashloan"/>
    <x v="0"/>
    <n v="3845520000"/>
  </r>
  <r>
    <x v="8"/>
    <x v="0"/>
    <x v="0"/>
    <n v="2"/>
    <n v="9"/>
    <x v="27"/>
    <s v="[ZLP] - Payday"/>
    <x v="3"/>
    <n v="0"/>
  </r>
  <r>
    <x v="9"/>
    <x v="0"/>
    <x v="0"/>
    <n v="2"/>
    <n v="10"/>
    <x v="0"/>
    <s v="[BE] - Cashloan"/>
    <x v="0"/>
    <n v="874400000"/>
  </r>
  <r>
    <x v="9"/>
    <x v="0"/>
    <x v="0"/>
    <n v="2"/>
    <n v="10"/>
    <x v="1"/>
    <s v="[BE] - Paylater"/>
    <x v="1"/>
    <n v="419055212"/>
  </r>
  <r>
    <x v="9"/>
    <x v="0"/>
    <x v="0"/>
    <n v="2"/>
    <n v="10"/>
    <x v="2"/>
    <s v="[Cake] - Cashloan"/>
    <x v="0"/>
    <n v="17945200000"/>
  </r>
  <r>
    <x v="9"/>
    <x v="0"/>
    <x v="0"/>
    <n v="2"/>
    <n v="10"/>
    <x v="3"/>
    <s v="[Cake] - Overdraft"/>
    <x v="2"/>
    <n v="2345771913"/>
  </r>
  <r>
    <x v="9"/>
    <x v="0"/>
    <x v="0"/>
    <n v="2"/>
    <n v="10"/>
    <x v="4"/>
    <s v="[Cake] - Payday"/>
    <x v="3"/>
    <n v="15563340000"/>
  </r>
  <r>
    <x v="9"/>
    <x v="0"/>
    <x v="0"/>
    <n v="2"/>
    <n v="10"/>
    <x v="5"/>
    <s v="[FPT] - Paylater"/>
    <x v="1"/>
    <n v="13061172"/>
  </r>
  <r>
    <x v="9"/>
    <x v="0"/>
    <x v="0"/>
    <n v="2"/>
    <n v="10"/>
    <x v="6"/>
    <s v="[MISA] - Cashloan"/>
    <x v="0"/>
    <n v="90000000"/>
  </r>
  <r>
    <x v="9"/>
    <x v="0"/>
    <x v="0"/>
    <n v="2"/>
    <n v="10"/>
    <x v="7"/>
    <s v="[MWG] - Cashloan"/>
    <x v="0"/>
    <n v="5429640000"/>
  </r>
  <r>
    <x v="9"/>
    <x v="0"/>
    <x v="0"/>
    <n v="2"/>
    <n v="10"/>
    <x v="8"/>
    <s v="[MWG] - Cashloan"/>
    <x v="0"/>
    <n v="1155630000"/>
  </r>
  <r>
    <x v="9"/>
    <x v="0"/>
    <x v="0"/>
    <n v="2"/>
    <n v="10"/>
    <x v="9"/>
    <s v="[MWG] - Paylater"/>
    <x v="1"/>
    <n v="16535474"/>
  </r>
  <r>
    <x v="9"/>
    <x v="0"/>
    <x v="0"/>
    <n v="2"/>
    <n v="10"/>
    <x v="10"/>
    <s v="[MWG] - Paylater"/>
    <x v="1"/>
    <n v="1830713937"/>
  </r>
  <r>
    <x v="9"/>
    <x v="0"/>
    <x v="0"/>
    <n v="2"/>
    <n v="10"/>
    <x v="11"/>
    <s v="[NGS] - Cashloan"/>
    <x v="0"/>
    <n v="0"/>
  </r>
  <r>
    <x v="9"/>
    <x v="0"/>
    <x v="0"/>
    <n v="2"/>
    <n v="10"/>
    <x v="12"/>
    <s v="[VNPOST] - Cashloan"/>
    <x v="0"/>
    <n v="167000000"/>
  </r>
  <r>
    <x v="9"/>
    <x v="0"/>
    <x v="0"/>
    <n v="2"/>
    <n v="10"/>
    <x v="13"/>
    <s v="[VNPOST] - Cashloan"/>
    <x v="0"/>
    <n v="0"/>
  </r>
  <r>
    <x v="9"/>
    <x v="0"/>
    <x v="0"/>
    <n v="2"/>
    <n v="10"/>
    <x v="14"/>
    <s v="[VDS] - Cashloan"/>
    <x v="0"/>
    <n v="17764830000"/>
  </r>
  <r>
    <x v="9"/>
    <x v="0"/>
    <x v="0"/>
    <n v="2"/>
    <n v="10"/>
    <x v="15"/>
    <s v="[VDS] - Cashloan LP"/>
    <x v="0"/>
    <n v="0"/>
  </r>
  <r>
    <x v="9"/>
    <x v="0"/>
    <x v="0"/>
    <n v="2"/>
    <n v="10"/>
    <x v="16"/>
    <s v="[VDS] - Cashloan LP"/>
    <x v="0"/>
    <n v="0"/>
  </r>
  <r>
    <x v="9"/>
    <x v="0"/>
    <x v="0"/>
    <n v="2"/>
    <n v="10"/>
    <x v="17"/>
    <s v="[VDS] - Cashloan LP"/>
    <x v="0"/>
    <n v="0"/>
  </r>
  <r>
    <x v="9"/>
    <x v="0"/>
    <x v="0"/>
    <n v="2"/>
    <n v="10"/>
    <x v="18"/>
    <s v="[VDS] - Cashloan"/>
    <x v="0"/>
    <n v="0"/>
  </r>
  <r>
    <x v="9"/>
    <x v="0"/>
    <x v="0"/>
    <n v="2"/>
    <n v="10"/>
    <x v="19"/>
    <s v="[VDS] - Payday"/>
    <x v="3"/>
    <n v="12705660000"/>
  </r>
  <r>
    <x v="9"/>
    <x v="0"/>
    <x v="0"/>
    <n v="2"/>
    <n v="10"/>
    <x v="20"/>
    <s v="[VDS] - Paylater"/>
    <x v="1"/>
    <n v="283128611"/>
  </r>
  <r>
    <x v="9"/>
    <x v="0"/>
    <x v="0"/>
    <n v="2"/>
    <n v="10"/>
    <x v="21"/>
    <s v="[VDS] - Payroll Cashloan"/>
    <x v="0"/>
    <n v="0"/>
  </r>
  <r>
    <x v="9"/>
    <x v="0"/>
    <x v="0"/>
    <n v="2"/>
    <n v="10"/>
    <x v="22"/>
    <s v="[VDS] - Payroll Payday"/>
    <x v="3"/>
    <n v="33000000"/>
  </r>
  <r>
    <x v="9"/>
    <x v="0"/>
    <x v="0"/>
    <n v="2"/>
    <n v="10"/>
    <x v="23"/>
    <s v="[VNPAY] - Cashloan"/>
    <x v="0"/>
    <n v="1187970000"/>
  </r>
  <r>
    <x v="9"/>
    <x v="0"/>
    <x v="0"/>
    <n v="2"/>
    <n v="10"/>
    <x v="24"/>
    <s v="[VNPAY] - Payday"/>
    <x v="3"/>
    <n v="330588000"/>
  </r>
  <r>
    <x v="9"/>
    <x v="0"/>
    <x v="0"/>
    <n v="2"/>
    <n v="10"/>
    <x v="25"/>
    <s v="[VNPAY] - Paylater"/>
    <x v="1"/>
    <n v="450017217"/>
  </r>
  <r>
    <x v="9"/>
    <x v="0"/>
    <x v="0"/>
    <n v="2"/>
    <n v="10"/>
    <x v="26"/>
    <s v="[ZLP] - Cashloan"/>
    <x v="0"/>
    <n v="4185160000"/>
  </r>
  <r>
    <x v="9"/>
    <x v="0"/>
    <x v="0"/>
    <n v="2"/>
    <n v="10"/>
    <x v="27"/>
    <s v="[ZLP] - Payday"/>
    <x v="3"/>
    <n v="0"/>
  </r>
  <r>
    <x v="10"/>
    <x v="0"/>
    <x v="0"/>
    <n v="2"/>
    <n v="11"/>
    <x v="0"/>
    <s v="[BE] - Cashloan"/>
    <x v="0"/>
    <n v="766700000"/>
  </r>
  <r>
    <x v="10"/>
    <x v="0"/>
    <x v="0"/>
    <n v="2"/>
    <n v="11"/>
    <x v="1"/>
    <s v="[BE] - Paylater"/>
    <x v="1"/>
    <n v="353164484"/>
  </r>
  <r>
    <x v="10"/>
    <x v="0"/>
    <x v="0"/>
    <n v="2"/>
    <n v="11"/>
    <x v="2"/>
    <s v="[Cake] - Cashloan"/>
    <x v="0"/>
    <n v="13005000000"/>
  </r>
  <r>
    <x v="10"/>
    <x v="0"/>
    <x v="0"/>
    <n v="2"/>
    <n v="11"/>
    <x v="3"/>
    <s v="[Cake] - Overdraft"/>
    <x v="2"/>
    <n v="1429945439"/>
  </r>
  <r>
    <x v="10"/>
    <x v="0"/>
    <x v="0"/>
    <n v="2"/>
    <n v="11"/>
    <x v="4"/>
    <s v="[Cake] - Payday"/>
    <x v="3"/>
    <n v="12770892000"/>
  </r>
  <r>
    <x v="10"/>
    <x v="0"/>
    <x v="0"/>
    <n v="2"/>
    <n v="11"/>
    <x v="5"/>
    <s v="[FPT] - Paylater"/>
    <x v="1"/>
    <n v="2940172"/>
  </r>
  <r>
    <x v="10"/>
    <x v="0"/>
    <x v="0"/>
    <n v="2"/>
    <n v="11"/>
    <x v="6"/>
    <s v="[MISA] - Cashloan"/>
    <x v="0"/>
    <n v="0"/>
  </r>
  <r>
    <x v="10"/>
    <x v="0"/>
    <x v="0"/>
    <n v="2"/>
    <n v="11"/>
    <x v="7"/>
    <s v="[MWG] - Cashloan"/>
    <x v="0"/>
    <n v="6696780000"/>
  </r>
  <r>
    <x v="10"/>
    <x v="0"/>
    <x v="0"/>
    <n v="2"/>
    <n v="11"/>
    <x v="8"/>
    <s v="[MWG] - Cashloan"/>
    <x v="0"/>
    <n v="903520000"/>
  </r>
  <r>
    <x v="10"/>
    <x v="0"/>
    <x v="0"/>
    <n v="2"/>
    <n v="11"/>
    <x v="9"/>
    <s v="[MWG] - Paylater"/>
    <x v="1"/>
    <n v="9990512"/>
  </r>
  <r>
    <x v="10"/>
    <x v="0"/>
    <x v="0"/>
    <n v="2"/>
    <n v="11"/>
    <x v="10"/>
    <s v="[MWG] - Paylater"/>
    <x v="1"/>
    <n v="1769960093"/>
  </r>
  <r>
    <x v="10"/>
    <x v="0"/>
    <x v="0"/>
    <n v="2"/>
    <n v="11"/>
    <x v="11"/>
    <s v="[NGS] - Cashloan"/>
    <x v="0"/>
    <n v="0"/>
  </r>
  <r>
    <x v="10"/>
    <x v="0"/>
    <x v="0"/>
    <n v="2"/>
    <n v="11"/>
    <x v="12"/>
    <s v="[VNPOST] - Cashloan"/>
    <x v="0"/>
    <n v="35500000"/>
  </r>
  <r>
    <x v="10"/>
    <x v="0"/>
    <x v="0"/>
    <n v="2"/>
    <n v="11"/>
    <x v="13"/>
    <s v="[VNPOST] - Cashloan"/>
    <x v="0"/>
    <n v="0"/>
  </r>
  <r>
    <x v="10"/>
    <x v="0"/>
    <x v="0"/>
    <n v="2"/>
    <n v="11"/>
    <x v="14"/>
    <s v="[VDS] - Cashloan"/>
    <x v="0"/>
    <n v="16862060000"/>
  </r>
  <r>
    <x v="10"/>
    <x v="0"/>
    <x v="0"/>
    <n v="2"/>
    <n v="11"/>
    <x v="15"/>
    <s v="[VDS] - Cashloan LP"/>
    <x v="0"/>
    <n v="0"/>
  </r>
  <r>
    <x v="10"/>
    <x v="0"/>
    <x v="0"/>
    <n v="2"/>
    <n v="11"/>
    <x v="16"/>
    <s v="[VDS] - Cashloan LP"/>
    <x v="0"/>
    <n v="0"/>
  </r>
  <r>
    <x v="10"/>
    <x v="0"/>
    <x v="0"/>
    <n v="2"/>
    <n v="11"/>
    <x v="17"/>
    <s v="[VDS] - Cashloan LP"/>
    <x v="0"/>
    <n v="0"/>
  </r>
  <r>
    <x v="10"/>
    <x v="0"/>
    <x v="0"/>
    <n v="2"/>
    <n v="11"/>
    <x v="18"/>
    <s v="[VDS] - Cashloan"/>
    <x v="0"/>
    <n v="52000000"/>
  </r>
  <r>
    <x v="10"/>
    <x v="0"/>
    <x v="0"/>
    <n v="2"/>
    <n v="11"/>
    <x v="19"/>
    <s v="[VDS] - Payday"/>
    <x v="3"/>
    <n v="10430424000"/>
  </r>
  <r>
    <x v="10"/>
    <x v="0"/>
    <x v="0"/>
    <n v="2"/>
    <n v="11"/>
    <x v="20"/>
    <s v="[VDS] - Paylater"/>
    <x v="1"/>
    <n v="235834390"/>
  </r>
  <r>
    <x v="10"/>
    <x v="0"/>
    <x v="0"/>
    <n v="2"/>
    <n v="11"/>
    <x v="21"/>
    <s v="[VDS] - Payroll Cashloan"/>
    <x v="0"/>
    <n v="0"/>
  </r>
  <r>
    <x v="10"/>
    <x v="0"/>
    <x v="0"/>
    <n v="2"/>
    <n v="11"/>
    <x v="22"/>
    <s v="[VDS] - Payroll Payday"/>
    <x v="3"/>
    <n v="61000000"/>
  </r>
  <r>
    <x v="10"/>
    <x v="0"/>
    <x v="0"/>
    <n v="2"/>
    <n v="11"/>
    <x v="23"/>
    <s v="[VNPAY] - Cashloan"/>
    <x v="0"/>
    <n v="866630000"/>
  </r>
  <r>
    <x v="10"/>
    <x v="0"/>
    <x v="0"/>
    <n v="2"/>
    <n v="11"/>
    <x v="24"/>
    <s v="[VNPAY] - Payday"/>
    <x v="3"/>
    <n v="349272000"/>
  </r>
  <r>
    <x v="10"/>
    <x v="0"/>
    <x v="0"/>
    <n v="2"/>
    <n v="11"/>
    <x v="25"/>
    <s v="[VNPAY] - Paylater"/>
    <x v="1"/>
    <n v="327498267"/>
  </r>
  <r>
    <x v="10"/>
    <x v="0"/>
    <x v="0"/>
    <n v="2"/>
    <n v="11"/>
    <x v="26"/>
    <s v="[ZLP] - Cashloan"/>
    <x v="0"/>
    <n v="2842020000"/>
  </r>
  <r>
    <x v="10"/>
    <x v="0"/>
    <x v="0"/>
    <n v="2"/>
    <n v="11"/>
    <x v="27"/>
    <s v="[ZLP] - Payday"/>
    <x v="3"/>
    <n v="0"/>
  </r>
  <r>
    <x v="11"/>
    <x v="0"/>
    <x v="0"/>
    <n v="3"/>
    <n v="12"/>
    <x v="0"/>
    <s v="[BE] - Cashloan"/>
    <x v="0"/>
    <n v="637250000"/>
  </r>
  <r>
    <x v="11"/>
    <x v="0"/>
    <x v="0"/>
    <n v="3"/>
    <n v="12"/>
    <x v="1"/>
    <s v="[BE] - Paylater"/>
    <x v="1"/>
    <n v="309805537"/>
  </r>
  <r>
    <x v="11"/>
    <x v="0"/>
    <x v="0"/>
    <n v="3"/>
    <n v="12"/>
    <x v="2"/>
    <s v="[Cake] - Cashloan"/>
    <x v="0"/>
    <n v="16260670000"/>
  </r>
  <r>
    <x v="11"/>
    <x v="0"/>
    <x v="0"/>
    <n v="3"/>
    <n v="12"/>
    <x v="3"/>
    <s v="[Cake] - Overdraft"/>
    <x v="2"/>
    <n v="1839205761"/>
  </r>
  <r>
    <x v="11"/>
    <x v="0"/>
    <x v="0"/>
    <n v="3"/>
    <n v="12"/>
    <x v="4"/>
    <s v="[Cake] - Payday"/>
    <x v="3"/>
    <n v="14468652000"/>
  </r>
  <r>
    <x v="11"/>
    <x v="0"/>
    <x v="0"/>
    <n v="3"/>
    <n v="12"/>
    <x v="5"/>
    <s v="[FPT] - Paylater"/>
    <x v="1"/>
    <n v="13738226"/>
  </r>
  <r>
    <x v="11"/>
    <x v="0"/>
    <x v="0"/>
    <n v="3"/>
    <n v="12"/>
    <x v="6"/>
    <s v="[MISA] - Cashloan"/>
    <x v="0"/>
    <n v="0"/>
  </r>
  <r>
    <x v="11"/>
    <x v="0"/>
    <x v="0"/>
    <n v="3"/>
    <n v="12"/>
    <x v="7"/>
    <s v="[MWG] - Cashloan"/>
    <x v="0"/>
    <n v="5302640000"/>
  </r>
  <r>
    <x v="11"/>
    <x v="0"/>
    <x v="0"/>
    <n v="3"/>
    <n v="12"/>
    <x v="8"/>
    <s v="[MWG] - Cashloan"/>
    <x v="0"/>
    <n v="1020810000"/>
  </r>
  <r>
    <x v="11"/>
    <x v="0"/>
    <x v="0"/>
    <n v="3"/>
    <n v="12"/>
    <x v="9"/>
    <s v="[MWG] - Paylater"/>
    <x v="1"/>
    <n v="7776033"/>
  </r>
  <r>
    <x v="11"/>
    <x v="0"/>
    <x v="0"/>
    <n v="3"/>
    <n v="12"/>
    <x v="10"/>
    <s v="[MWG] - Paylater"/>
    <x v="1"/>
    <n v="1234948962"/>
  </r>
  <r>
    <x v="11"/>
    <x v="0"/>
    <x v="0"/>
    <n v="3"/>
    <n v="12"/>
    <x v="11"/>
    <s v="[NGS] - Cashloan"/>
    <x v="0"/>
    <n v="0"/>
  </r>
  <r>
    <x v="11"/>
    <x v="0"/>
    <x v="0"/>
    <n v="3"/>
    <n v="12"/>
    <x v="12"/>
    <s v="[VNPOST] - Cashloan"/>
    <x v="0"/>
    <n v="206350000"/>
  </r>
  <r>
    <x v="11"/>
    <x v="0"/>
    <x v="0"/>
    <n v="3"/>
    <n v="12"/>
    <x v="13"/>
    <s v="[VNPOST] - Cashloan"/>
    <x v="0"/>
    <n v="92700000"/>
  </r>
  <r>
    <x v="11"/>
    <x v="0"/>
    <x v="0"/>
    <n v="3"/>
    <n v="12"/>
    <x v="14"/>
    <s v="[VDS] - Cashloan"/>
    <x v="0"/>
    <n v="17873570000"/>
  </r>
  <r>
    <x v="11"/>
    <x v="0"/>
    <x v="0"/>
    <n v="3"/>
    <n v="12"/>
    <x v="15"/>
    <s v="[VDS] - Cashloan LP"/>
    <x v="0"/>
    <n v="0"/>
  </r>
  <r>
    <x v="11"/>
    <x v="0"/>
    <x v="0"/>
    <n v="3"/>
    <n v="12"/>
    <x v="16"/>
    <s v="[VDS] - Cashloan LP"/>
    <x v="0"/>
    <n v="0"/>
  </r>
  <r>
    <x v="11"/>
    <x v="0"/>
    <x v="0"/>
    <n v="3"/>
    <n v="12"/>
    <x v="17"/>
    <s v="[VDS] - Cashloan LP"/>
    <x v="0"/>
    <n v="0"/>
  </r>
  <r>
    <x v="11"/>
    <x v="0"/>
    <x v="0"/>
    <n v="3"/>
    <n v="12"/>
    <x v="18"/>
    <s v="[VDS] - Cashloan"/>
    <x v="0"/>
    <n v="15000000"/>
  </r>
  <r>
    <x v="11"/>
    <x v="0"/>
    <x v="0"/>
    <n v="3"/>
    <n v="12"/>
    <x v="19"/>
    <s v="[VDS] - Payday"/>
    <x v="3"/>
    <n v="12377988000"/>
  </r>
  <r>
    <x v="11"/>
    <x v="0"/>
    <x v="0"/>
    <n v="3"/>
    <n v="12"/>
    <x v="20"/>
    <s v="[VDS] - Paylater"/>
    <x v="1"/>
    <n v="176669832"/>
  </r>
  <r>
    <x v="11"/>
    <x v="0"/>
    <x v="0"/>
    <n v="3"/>
    <n v="12"/>
    <x v="21"/>
    <s v="[VDS] - Payroll Cashloan"/>
    <x v="0"/>
    <n v="10500000"/>
  </r>
  <r>
    <x v="11"/>
    <x v="0"/>
    <x v="0"/>
    <n v="3"/>
    <n v="12"/>
    <x v="22"/>
    <s v="[VDS] - Payroll Payday"/>
    <x v="3"/>
    <n v="61000000"/>
  </r>
  <r>
    <x v="11"/>
    <x v="0"/>
    <x v="0"/>
    <n v="3"/>
    <n v="12"/>
    <x v="23"/>
    <s v="[VNPAY] - Cashloan"/>
    <x v="0"/>
    <n v="784820000"/>
  </r>
  <r>
    <x v="11"/>
    <x v="0"/>
    <x v="0"/>
    <n v="3"/>
    <n v="12"/>
    <x v="24"/>
    <s v="[VNPAY] - Payday"/>
    <x v="3"/>
    <n v="260172000"/>
  </r>
  <r>
    <x v="11"/>
    <x v="0"/>
    <x v="0"/>
    <n v="3"/>
    <n v="12"/>
    <x v="25"/>
    <s v="[VNPAY] - Paylater"/>
    <x v="1"/>
    <n v="435769568"/>
  </r>
  <r>
    <x v="11"/>
    <x v="0"/>
    <x v="0"/>
    <n v="3"/>
    <n v="12"/>
    <x v="26"/>
    <s v="[ZLP] - Cashloan"/>
    <x v="0"/>
    <n v="3446350000"/>
  </r>
  <r>
    <x v="11"/>
    <x v="0"/>
    <x v="0"/>
    <n v="3"/>
    <n v="12"/>
    <x v="27"/>
    <s v="[ZLP] - Payday"/>
    <x v="3"/>
    <n v="0"/>
  </r>
  <r>
    <x v="12"/>
    <x v="0"/>
    <x v="0"/>
    <n v="3"/>
    <n v="13"/>
    <x v="0"/>
    <s v="[BE] - Cashloan"/>
    <x v="0"/>
    <n v="524700000"/>
  </r>
  <r>
    <x v="12"/>
    <x v="0"/>
    <x v="0"/>
    <n v="3"/>
    <n v="13"/>
    <x v="1"/>
    <s v="[BE] - Paylater"/>
    <x v="1"/>
    <n v="336997174"/>
  </r>
  <r>
    <x v="12"/>
    <x v="0"/>
    <x v="0"/>
    <n v="3"/>
    <n v="13"/>
    <x v="2"/>
    <s v="[Cake] - Cashloan"/>
    <x v="0"/>
    <n v="15261150000"/>
  </r>
  <r>
    <x v="12"/>
    <x v="0"/>
    <x v="0"/>
    <n v="3"/>
    <n v="13"/>
    <x v="3"/>
    <s v="[Cake] - Overdraft"/>
    <x v="2"/>
    <n v="1824584635"/>
  </r>
  <r>
    <x v="12"/>
    <x v="0"/>
    <x v="0"/>
    <n v="3"/>
    <n v="13"/>
    <x v="4"/>
    <s v="[Cake] - Payday"/>
    <x v="3"/>
    <n v="14995152000"/>
  </r>
  <r>
    <x v="12"/>
    <x v="0"/>
    <x v="0"/>
    <n v="3"/>
    <n v="13"/>
    <x v="5"/>
    <s v="[FPT] - Paylater"/>
    <x v="1"/>
    <n v="7889637"/>
  </r>
  <r>
    <x v="12"/>
    <x v="0"/>
    <x v="0"/>
    <n v="3"/>
    <n v="13"/>
    <x v="6"/>
    <s v="[MISA] - Cashloan"/>
    <x v="0"/>
    <n v="90000000"/>
  </r>
  <r>
    <x v="12"/>
    <x v="0"/>
    <x v="0"/>
    <n v="3"/>
    <n v="13"/>
    <x v="7"/>
    <s v="[MWG] - Cashloan"/>
    <x v="0"/>
    <n v="5207490000"/>
  </r>
  <r>
    <x v="12"/>
    <x v="0"/>
    <x v="0"/>
    <n v="3"/>
    <n v="13"/>
    <x v="8"/>
    <s v="[MWG] - Cashloan"/>
    <x v="0"/>
    <n v="1151770000"/>
  </r>
  <r>
    <x v="12"/>
    <x v="0"/>
    <x v="0"/>
    <n v="3"/>
    <n v="13"/>
    <x v="9"/>
    <s v="[MWG] - Paylater"/>
    <x v="1"/>
    <n v="614469"/>
  </r>
  <r>
    <x v="12"/>
    <x v="0"/>
    <x v="0"/>
    <n v="3"/>
    <n v="13"/>
    <x v="10"/>
    <s v="[MWG] - Paylater"/>
    <x v="1"/>
    <n v="1192411999"/>
  </r>
  <r>
    <x v="12"/>
    <x v="0"/>
    <x v="0"/>
    <n v="3"/>
    <n v="13"/>
    <x v="11"/>
    <s v="[NGS] - Cashloan"/>
    <x v="0"/>
    <n v="0"/>
  </r>
  <r>
    <x v="12"/>
    <x v="0"/>
    <x v="0"/>
    <n v="3"/>
    <n v="13"/>
    <x v="12"/>
    <s v="[VNPOST] - Cashloan"/>
    <x v="0"/>
    <n v="118250000"/>
  </r>
  <r>
    <x v="12"/>
    <x v="0"/>
    <x v="0"/>
    <n v="3"/>
    <n v="13"/>
    <x v="13"/>
    <s v="[VNPOST] - Cashloan"/>
    <x v="0"/>
    <n v="0"/>
  </r>
  <r>
    <x v="12"/>
    <x v="0"/>
    <x v="0"/>
    <n v="3"/>
    <n v="13"/>
    <x v="14"/>
    <s v="[VDS] - Cashloan"/>
    <x v="0"/>
    <n v="17560120000"/>
  </r>
  <r>
    <x v="12"/>
    <x v="0"/>
    <x v="0"/>
    <n v="3"/>
    <n v="13"/>
    <x v="15"/>
    <s v="[VDS] - Cashloan LP"/>
    <x v="0"/>
    <n v="0"/>
  </r>
  <r>
    <x v="12"/>
    <x v="0"/>
    <x v="0"/>
    <n v="3"/>
    <n v="13"/>
    <x v="16"/>
    <s v="[VDS] - Cashloan LP"/>
    <x v="0"/>
    <n v="0"/>
  </r>
  <r>
    <x v="12"/>
    <x v="0"/>
    <x v="0"/>
    <n v="3"/>
    <n v="13"/>
    <x v="17"/>
    <s v="[VDS] - Cashloan LP"/>
    <x v="0"/>
    <n v="0"/>
  </r>
  <r>
    <x v="12"/>
    <x v="0"/>
    <x v="0"/>
    <n v="3"/>
    <n v="13"/>
    <x v="18"/>
    <s v="[VDS] - Cashloan"/>
    <x v="0"/>
    <n v="0"/>
  </r>
  <r>
    <x v="12"/>
    <x v="0"/>
    <x v="0"/>
    <n v="3"/>
    <n v="13"/>
    <x v="19"/>
    <s v="[VDS] - Payday"/>
    <x v="3"/>
    <n v="12590424000"/>
  </r>
  <r>
    <x v="12"/>
    <x v="0"/>
    <x v="0"/>
    <n v="3"/>
    <n v="13"/>
    <x v="20"/>
    <s v="[VDS] - Paylater"/>
    <x v="1"/>
    <n v="205436148"/>
  </r>
  <r>
    <x v="12"/>
    <x v="0"/>
    <x v="0"/>
    <n v="3"/>
    <n v="13"/>
    <x v="21"/>
    <s v="[VDS] - Payroll Cashloan"/>
    <x v="0"/>
    <n v="0"/>
  </r>
  <r>
    <x v="12"/>
    <x v="0"/>
    <x v="0"/>
    <n v="3"/>
    <n v="13"/>
    <x v="22"/>
    <s v="[VDS] - Payroll Payday"/>
    <x v="3"/>
    <n v="46000000"/>
  </r>
  <r>
    <x v="12"/>
    <x v="0"/>
    <x v="0"/>
    <n v="3"/>
    <n v="13"/>
    <x v="23"/>
    <s v="[VNPAY] - Cashloan"/>
    <x v="0"/>
    <n v="819030000"/>
  </r>
  <r>
    <x v="12"/>
    <x v="0"/>
    <x v="0"/>
    <n v="3"/>
    <n v="13"/>
    <x v="24"/>
    <s v="[VNPAY] - Payday"/>
    <x v="3"/>
    <n v="350136000"/>
  </r>
  <r>
    <x v="12"/>
    <x v="0"/>
    <x v="0"/>
    <n v="3"/>
    <n v="13"/>
    <x v="25"/>
    <s v="[VNPAY] - Paylater"/>
    <x v="1"/>
    <n v="316939614"/>
  </r>
  <r>
    <x v="12"/>
    <x v="0"/>
    <x v="0"/>
    <n v="3"/>
    <n v="13"/>
    <x v="26"/>
    <s v="[ZLP] - Cashloan"/>
    <x v="0"/>
    <n v="3638570000"/>
  </r>
  <r>
    <x v="12"/>
    <x v="0"/>
    <x v="0"/>
    <n v="3"/>
    <n v="13"/>
    <x v="27"/>
    <s v="[ZLP] - Payday"/>
    <x v="3"/>
    <n v="0"/>
  </r>
  <r>
    <x v="13"/>
    <x v="0"/>
    <x v="0"/>
    <n v="3"/>
    <n v="14"/>
    <x v="0"/>
    <s v="[BE] - Cashloan"/>
    <x v="0"/>
    <n v="859150000"/>
  </r>
  <r>
    <x v="13"/>
    <x v="0"/>
    <x v="0"/>
    <n v="3"/>
    <n v="14"/>
    <x v="1"/>
    <s v="[BE] - Paylater"/>
    <x v="1"/>
    <n v="297146838"/>
  </r>
  <r>
    <x v="13"/>
    <x v="0"/>
    <x v="0"/>
    <n v="3"/>
    <n v="14"/>
    <x v="2"/>
    <s v="[Cake] - Cashloan"/>
    <x v="0"/>
    <n v="16768100000"/>
  </r>
  <r>
    <x v="13"/>
    <x v="0"/>
    <x v="0"/>
    <n v="3"/>
    <n v="14"/>
    <x v="3"/>
    <s v="[Cake] - Overdraft"/>
    <x v="2"/>
    <n v="1884180636"/>
  </r>
  <r>
    <x v="13"/>
    <x v="0"/>
    <x v="0"/>
    <n v="3"/>
    <n v="14"/>
    <x v="4"/>
    <s v="[Cake] - Payday"/>
    <x v="3"/>
    <n v="15209532000"/>
  </r>
  <r>
    <x v="13"/>
    <x v="0"/>
    <x v="0"/>
    <n v="3"/>
    <n v="14"/>
    <x v="5"/>
    <s v="[FPT] - Paylater"/>
    <x v="1"/>
    <n v="18555585"/>
  </r>
  <r>
    <x v="13"/>
    <x v="0"/>
    <x v="0"/>
    <n v="3"/>
    <n v="14"/>
    <x v="6"/>
    <s v="[MISA] - Cashloan"/>
    <x v="0"/>
    <n v="90000000"/>
  </r>
  <r>
    <x v="13"/>
    <x v="0"/>
    <x v="0"/>
    <n v="3"/>
    <n v="14"/>
    <x v="7"/>
    <s v="[MWG] - Cashloan"/>
    <x v="0"/>
    <n v="4926400000"/>
  </r>
  <r>
    <x v="13"/>
    <x v="0"/>
    <x v="0"/>
    <n v="3"/>
    <n v="14"/>
    <x v="8"/>
    <s v="[MWG] - Cashloan"/>
    <x v="0"/>
    <n v="806950000"/>
  </r>
  <r>
    <x v="13"/>
    <x v="0"/>
    <x v="0"/>
    <n v="3"/>
    <n v="14"/>
    <x v="9"/>
    <s v="[MWG] - Paylater"/>
    <x v="1"/>
    <n v="6735480"/>
  </r>
  <r>
    <x v="13"/>
    <x v="0"/>
    <x v="0"/>
    <n v="3"/>
    <n v="14"/>
    <x v="10"/>
    <s v="[MWG] - Paylater"/>
    <x v="1"/>
    <n v="1263613834"/>
  </r>
  <r>
    <x v="13"/>
    <x v="0"/>
    <x v="0"/>
    <n v="3"/>
    <n v="14"/>
    <x v="11"/>
    <s v="[NGS] - Cashloan"/>
    <x v="0"/>
    <n v="0"/>
  </r>
  <r>
    <x v="13"/>
    <x v="0"/>
    <x v="0"/>
    <n v="3"/>
    <n v="14"/>
    <x v="12"/>
    <s v="[VNPOST] - Cashloan"/>
    <x v="0"/>
    <n v="52500000"/>
  </r>
  <r>
    <x v="13"/>
    <x v="0"/>
    <x v="0"/>
    <n v="3"/>
    <n v="14"/>
    <x v="13"/>
    <s v="[VNPOST] - Cashloan"/>
    <x v="0"/>
    <n v="0"/>
  </r>
  <r>
    <x v="13"/>
    <x v="0"/>
    <x v="0"/>
    <n v="3"/>
    <n v="14"/>
    <x v="14"/>
    <s v="[VDS] - Cashloan"/>
    <x v="0"/>
    <n v="18837120000"/>
  </r>
  <r>
    <x v="13"/>
    <x v="0"/>
    <x v="0"/>
    <n v="3"/>
    <n v="14"/>
    <x v="15"/>
    <s v="[VDS] - Cashloan LP"/>
    <x v="0"/>
    <n v="0"/>
  </r>
  <r>
    <x v="13"/>
    <x v="0"/>
    <x v="0"/>
    <n v="3"/>
    <n v="14"/>
    <x v="16"/>
    <s v="[VDS] - Cashloan LP"/>
    <x v="0"/>
    <n v="0"/>
  </r>
  <r>
    <x v="13"/>
    <x v="0"/>
    <x v="0"/>
    <n v="3"/>
    <n v="14"/>
    <x v="17"/>
    <s v="[VDS] - Cashloan LP"/>
    <x v="0"/>
    <n v="0"/>
  </r>
  <r>
    <x v="13"/>
    <x v="0"/>
    <x v="0"/>
    <n v="3"/>
    <n v="14"/>
    <x v="18"/>
    <s v="[VDS] - Cashloan"/>
    <x v="0"/>
    <n v="0"/>
  </r>
  <r>
    <x v="13"/>
    <x v="0"/>
    <x v="0"/>
    <n v="3"/>
    <n v="14"/>
    <x v="19"/>
    <s v="[VDS] - Payday"/>
    <x v="3"/>
    <n v="12286512000"/>
  </r>
  <r>
    <x v="13"/>
    <x v="0"/>
    <x v="0"/>
    <n v="3"/>
    <n v="14"/>
    <x v="20"/>
    <s v="[VDS] - Paylater"/>
    <x v="1"/>
    <n v="200499332"/>
  </r>
  <r>
    <x v="13"/>
    <x v="0"/>
    <x v="0"/>
    <n v="3"/>
    <n v="14"/>
    <x v="21"/>
    <s v="[VDS] - Payroll Cashloan"/>
    <x v="0"/>
    <n v="0"/>
  </r>
  <r>
    <x v="13"/>
    <x v="0"/>
    <x v="0"/>
    <n v="3"/>
    <n v="14"/>
    <x v="22"/>
    <s v="[VDS] - Payroll Payday"/>
    <x v="3"/>
    <n v="42000000"/>
  </r>
  <r>
    <x v="13"/>
    <x v="0"/>
    <x v="0"/>
    <n v="3"/>
    <n v="14"/>
    <x v="23"/>
    <s v="[VNPAY] - Cashloan"/>
    <x v="0"/>
    <n v="950810000"/>
  </r>
  <r>
    <x v="13"/>
    <x v="0"/>
    <x v="0"/>
    <n v="3"/>
    <n v="14"/>
    <x v="24"/>
    <s v="[VNPAY] - Payday"/>
    <x v="3"/>
    <n v="318168000"/>
  </r>
  <r>
    <x v="13"/>
    <x v="0"/>
    <x v="0"/>
    <n v="3"/>
    <n v="14"/>
    <x v="25"/>
    <s v="[VNPAY] - Paylater"/>
    <x v="1"/>
    <n v="289060098"/>
  </r>
  <r>
    <x v="13"/>
    <x v="0"/>
    <x v="0"/>
    <n v="3"/>
    <n v="14"/>
    <x v="26"/>
    <s v="[ZLP] - Cashloan"/>
    <x v="0"/>
    <n v="4926380000"/>
  </r>
  <r>
    <x v="13"/>
    <x v="0"/>
    <x v="0"/>
    <n v="3"/>
    <n v="14"/>
    <x v="27"/>
    <s v="[ZLP] - Payday"/>
    <x v="3"/>
    <n v="30680000"/>
  </r>
  <r>
    <x v="14"/>
    <x v="0"/>
    <x v="0"/>
    <n v="3"/>
    <n v="15"/>
    <x v="0"/>
    <s v="[BE] - Cashloan"/>
    <x v="0"/>
    <n v="610700000"/>
  </r>
  <r>
    <x v="14"/>
    <x v="0"/>
    <x v="0"/>
    <n v="3"/>
    <n v="15"/>
    <x v="1"/>
    <s v="[BE] - Paylater"/>
    <x v="1"/>
    <n v="327953693"/>
  </r>
  <r>
    <x v="14"/>
    <x v="0"/>
    <x v="0"/>
    <n v="3"/>
    <n v="15"/>
    <x v="2"/>
    <s v="[Cake] - Cashloan"/>
    <x v="0"/>
    <n v="15094390000"/>
  </r>
  <r>
    <x v="14"/>
    <x v="0"/>
    <x v="0"/>
    <n v="3"/>
    <n v="15"/>
    <x v="3"/>
    <s v="[Cake] - Overdraft"/>
    <x v="2"/>
    <n v="2143775393"/>
  </r>
  <r>
    <x v="14"/>
    <x v="0"/>
    <x v="0"/>
    <n v="3"/>
    <n v="15"/>
    <x v="4"/>
    <s v="[Cake] - Payday"/>
    <x v="3"/>
    <n v="16901244000"/>
  </r>
  <r>
    <x v="14"/>
    <x v="0"/>
    <x v="0"/>
    <n v="3"/>
    <n v="15"/>
    <x v="5"/>
    <s v="[FPT] - Paylater"/>
    <x v="1"/>
    <n v="6420589"/>
  </r>
  <r>
    <x v="14"/>
    <x v="0"/>
    <x v="0"/>
    <n v="3"/>
    <n v="15"/>
    <x v="6"/>
    <s v="[MISA] - Cashloan"/>
    <x v="0"/>
    <n v="90000000"/>
  </r>
  <r>
    <x v="14"/>
    <x v="0"/>
    <x v="0"/>
    <n v="3"/>
    <n v="15"/>
    <x v="7"/>
    <s v="[MWG] - Cashloan"/>
    <x v="0"/>
    <n v="5129120000"/>
  </r>
  <r>
    <x v="14"/>
    <x v="0"/>
    <x v="0"/>
    <n v="3"/>
    <n v="15"/>
    <x v="8"/>
    <s v="[MWG] - Cashloan"/>
    <x v="0"/>
    <n v="1194930000"/>
  </r>
  <r>
    <x v="14"/>
    <x v="0"/>
    <x v="0"/>
    <n v="3"/>
    <n v="15"/>
    <x v="9"/>
    <s v="[MWG] - Paylater"/>
    <x v="1"/>
    <n v="0"/>
  </r>
  <r>
    <x v="14"/>
    <x v="0"/>
    <x v="0"/>
    <n v="3"/>
    <n v="15"/>
    <x v="10"/>
    <s v="[MWG] - Paylater"/>
    <x v="1"/>
    <n v="1131964176"/>
  </r>
  <r>
    <x v="14"/>
    <x v="0"/>
    <x v="0"/>
    <n v="3"/>
    <n v="15"/>
    <x v="11"/>
    <s v="[NGS] - Cashloan"/>
    <x v="0"/>
    <n v="0"/>
  </r>
  <r>
    <x v="14"/>
    <x v="0"/>
    <x v="0"/>
    <n v="3"/>
    <n v="15"/>
    <x v="12"/>
    <s v="[VNPOST] - Cashloan"/>
    <x v="0"/>
    <n v="119250000"/>
  </r>
  <r>
    <x v="14"/>
    <x v="0"/>
    <x v="0"/>
    <n v="3"/>
    <n v="15"/>
    <x v="13"/>
    <s v="[VNPOST] - Cashloan"/>
    <x v="0"/>
    <n v="0"/>
  </r>
  <r>
    <x v="14"/>
    <x v="0"/>
    <x v="0"/>
    <n v="3"/>
    <n v="15"/>
    <x v="14"/>
    <s v="[VDS] - Cashloan"/>
    <x v="0"/>
    <n v="21379720000"/>
  </r>
  <r>
    <x v="14"/>
    <x v="0"/>
    <x v="0"/>
    <n v="3"/>
    <n v="15"/>
    <x v="15"/>
    <s v="[VDS] - Cashloan LP"/>
    <x v="0"/>
    <n v="0"/>
  </r>
  <r>
    <x v="14"/>
    <x v="0"/>
    <x v="0"/>
    <n v="3"/>
    <n v="15"/>
    <x v="16"/>
    <s v="[VDS] - Cashloan LP"/>
    <x v="0"/>
    <n v="0"/>
  </r>
  <r>
    <x v="14"/>
    <x v="0"/>
    <x v="0"/>
    <n v="3"/>
    <n v="15"/>
    <x v="17"/>
    <s v="[VDS] - Cashloan LP"/>
    <x v="0"/>
    <n v="0"/>
  </r>
  <r>
    <x v="14"/>
    <x v="0"/>
    <x v="0"/>
    <n v="3"/>
    <n v="15"/>
    <x v="18"/>
    <s v="[VDS] - Cashloan"/>
    <x v="0"/>
    <n v="5000000"/>
  </r>
  <r>
    <x v="14"/>
    <x v="0"/>
    <x v="0"/>
    <n v="3"/>
    <n v="15"/>
    <x v="19"/>
    <s v="[VDS] - Payday"/>
    <x v="3"/>
    <n v="14965236000"/>
  </r>
  <r>
    <x v="14"/>
    <x v="0"/>
    <x v="0"/>
    <n v="3"/>
    <n v="15"/>
    <x v="20"/>
    <s v="[VDS] - Paylater"/>
    <x v="1"/>
    <n v="179063593"/>
  </r>
  <r>
    <x v="14"/>
    <x v="0"/>
    <x v="0"/>
    <n v="3"/>
    <n v="15"/>
    <x v="21"/>
    <s v="[VDS] - Payroll Cashloan"/>
    <x v="0"/>
    <n v="0"/>
  </r>
  <r>
    <x v="14"/>
    <x v="0"/>
    <x v="0"/>
    <n v="3"/>
    <n v="15"/>
    <x v="22"/>
    <s v="[VDS] - Payroll Payday"/>
    <x v="3"/>
    <n v="47000000"/>
  </r>
  <r>
    <x v="14"/>
    <x v="0"/>
    <x v="0"/>
    <n v="3"/>
    <n v="15"/>
    <x v="23"/>
    <s v="[VNPAY] - Cashloan"/>
    <x v="0"/>
    <n v="779120000"/>
  </r>
  <r>
    <x v="14"/>
    <x v="0"/>
    <x v="0"/>
    <n v="3"/>
    <n v="15"/>
    <x v="24"/>
    <s v="[VNPAY] - Payday"/>
    <x v="3"/>
    <n v="371628000"/>
  </r>
  <r>
    <x v="14"/>
    <x v="0"/>
    <x v="0"/>
    <n v="3"/>
    <n v="15"/>
    <x v="25"/>
    <s v="[VNPAY] - Paylater"/>
    <x v="1"/>
    <n v="331278991"/>
  </r>
  <r>
    <x v="14"/>
    <x v="0"/>
    <x v="0"/>
    <n v="3"/>
    <n v="15"/>
    <x v="26"/>
    <s v="[ZLP] - Cashloan"/>
    <x v="0"/>
    <n v="4472290000"/>
  </r>
  <r>
    <x v="14"/>
    <x v="0"/>
    <x v="0"/>
    <n v="3"/>
    <n v="15"/>
    <x v="27"/>
    <s v="[ZLP] - Payday"/>
    <x v="3"/>
    <n v="65400000"/>
  </r>
  <r>
    <x v="15"/>
    <x v="0"/>
    <x v="0"/>
    <n v="3"/>
    <n v="16"/>
    <x v="0"/>
    <s v="[BE] - Cashloan"/>
    <x v="0"/>
    <n v="556550000"/>
  </r>
  <r>
    <x v="15"/>
    <x v="0"/>
    <x v="0"/>
    <n v="3"/>
    <n v="16"/>
    <x v="1"/>
    <s v="[BE] - Paylater"/>
    <x v="1"/>
    <n v="314366274"/>
  </r>
  <r>
    <x v="15"/>
    <x v="0"/>
    <x v="0"/>
    <n v="3"/>
    <n v="16"/>
    <x v="2"/>
    <s v="[Cake] - Cashloan"/>
    <x v="0"/>
    <n v="14388060000"/>
  </r>
  <r>
    <x v="15"/>
    <x v="0"/>
    <x v="0"/>
    <n v="3"/>
    <n v="16"/>
    <x v="3"/>
    <s v="[Cake] - Overdraft"/>
    <x v="2"/>
    <n v="1920746675"/>
  </r>
  <r>
    <x v="15"/>
    <x v="0"/>
    <x v="0"/>
    <n v="3"/>
    <n v="16"/>
    <x v="4"/>
    <s v="[Cake] - Payday"/>
    <x v="3"/>
    <n v="15992100000"/>
  </r>
  <r>
    <x v="15"/>
    <x v="0"/>
    <x v="0"/>
    <n v="3"/>
    <n v="16"/>
    <x v="5"/>
    <s v="[FPT] - Paylater"/>
    <x v="1"/>
    <n v="3099595"/>
  </r>
  <r>
    <x v="15"/>
    <x v="0"/>
    <x v="0"/>
    <n v="3"/>
    <n v="16"/>
    <x v="6"/>
    <s v="[MISA] - Cashloan"/>
    <x v="0"/>
    <n v="0"/>
  </r>
  <r>
    <x v="15"/>
    <x v="0"/>
    <x v="0"/>
    <n v="3"/>
    <n v="16"/>
    <x v="7"/>
    <s v="[MWG] - Cashloan"/>
    <x v="0"/>
    <n v="5001780000"/>
  </r>
  <r>
    <x v="15"/>
    <x v="0"/>
    <x v="0"/>
    <n v="3"/>
    <n v="16"/>
    <x v="8"/>
    <s v="[MWG] - Cashloan"/>
    <x v="0"/>
    <n v="1050880000"/>
  </r>
  <r>
    <x v="15"/>
    <x v="0"/>
    <x v="0"/>
    <n v="3"/>
    <n v="16"/>
    <x v="9"/>
    <s v="[MWG] - Paylater"/>
    <x v="1"/>
    <n v="27792265"/>
  </r>
  <r>
    <x v="15"/>
    <x v="0"/>
    <x v="0"/>
    <n v="3"/>
    <n v="16"/>
    <x v="10"/>
    <s v="[MWG] - Paylater"/>
    <x v="1"/>
    <n v="1266531980"/>
  </r>
  <r>
    <x v="15"/>
    <x v="0"/>
    <x v="0"/>
    <n v="3"/>
    <n v="16"/>
    <x v="11"/>
    <s v="[NGS] - Cashloan"/>
    <x v="0"/>
    <n v="0"/>
  </r>
  <r>
    <x v="15"/>
    <x v="0"/>
    <x v="0"/>
    <n v="3"/>
    <n v="16"/>
    <x v="12"/>
    <s v="[VNPOST] - Cashloan"/>
    <x v="0"/>
    <n v="171000000"/>
  </r>
  <r>
    <x v="15"/>
    <x v="0"/>
    <x v="0"/>
    <n v="3"/>
    <n v="16"/>
    <x v="13"/>
    <s v="[VNPOST] - Cashloan"/>
    <x v="0"/>
    <n v="92700000"/>
  </r>
  <r>
    <x v="15"/>
    <x v="0"/>
    <x v="0"/>
    <n v="3"/>
    <n v="16"/>
    <x v="14"/>
    <s v="[VDS] - Cashloan"/>
    <x v="0"/>
    <n v="17466520000"/>
  </r>
  <r>
    <x v="15"/>
    <x v="0"/>
    <x v="0"/>
    <n v="3"/>
    <n v="16"/>
    <x v="15"/>
    <s v="[VDS] - Cashloan LP"/>
    <x v="0"/>
    <n v="0"/>
  </r>
  <r>
    <x v="15"/>
    <x v="0"/>
    <x v="0"/>
    <n v="3"/>
    <n v="16"/>
    <x v="16"/>
    <s v="[VDS] - Cashloan LP"/>
    <x v="0"/>
    <n v="0"/>
  </r>
  <r>
    <x v="15"/>
    <x v="0"/>
    <x v="0"/>
    <n v="3"/>
    <n v="16"/>
    <x v="17"/>
    <s v="[VDS] - Cashloan LP"/>
    <x v="0"/>
    <n v="0"/>
  </r>
  <r>
    <x v="15"/>
    <x v="0"/>
    <x v="0"/>
    <n v="3"/>
    <n v="16"/>
    <x v="18"/>
    <s v="[VDS] - Cashloan"/>
    <x v="0"/>
    <n v="0"/>
  </r>
  <r>
    <x v="15"/>
    <x v="0"/>
    <x v="0"/>
    <n v="3"/>
    <n v="16"/>
    <x v="19"/>
    <s v="[VDS] - Payday"/>
    <x v="3"/>
    <n v="13843440000"/>
  </r>
  <r>
    <x v="15"/>
    <x v="0"/>
    <x v="0"/>
    <n v="3"/>
    <n v="16"/>
    <x v="20"/>
    <s v="[VDS] - Paylater"/>
    <x v="1"/>
    <n v="181486423"/>
  </r>
  <r>
    <x v="15"/>
    <x v="0"/>
    <x v="0"/>
    <n v="3"/>
    <n v="16"/>
    <x v="21"/>
    <s v="[VDS] - Payroll Cashloan"/>
    <x v="0"/>
    <n v="0"/>
  </r>
  <r>
    <x v="15"/>
    <x v="0"/>
    <x v="0"/>
    <n v="3"/>
    <n v="16"/>
    <x v="22"/>
    <s v="[VDS] - Payroll Payday"/>
    <x v="3"/>
    <n v="34000000"/>
  </r>
  <r>
    <x v="15"/>
    <x v="0"/>
    <x v="0"/>
    <n v="3"/>
    <n v="16"/>
    <x v="23"/>
    <s v="[VNPAY] - Cashloan"/>
    <x v="0"/>
    <n v="839430000"/>
  </r>
  <r>
    <x v="15"/>
    <x v="0"/>
    <x v="0"/>
    <n v="3"/>
    <n v="16"/>
    <x v="24"/>
    <s v="[VNPAY] - Payday"/>
    <x v="3"/>
    <n v="458244000"/>
  </r>
  <r>
    <x v="15"/>
    <x v="0"/>
    <x v="0"/>
    <n v="3"/>
    <n v="16"/>
    <x v="25"/>
    <s v="[VNPAY] - Paylater"/>
    <x v="1"/>
    <n v="225373610"/>
  </r>
  <r>
    <x v="15"/>
    <x v="0"/>
    <x v="0"/>
    <n v="3"/>
    <n v="16"/>
    <x v="26"/>
    <s v="[ZLP] - Cashloan"/>
    <x v="0"/>
    <n v="3781010000"/>
  </r>
  <r>
    <x v="15"/>
    <x v="0"/>
    <x v="0"/>
    <n v="3"/>
    <n v="16"/>
    <x v="27"/>
    <s v="[ZLP] - Payday"/>
    <x v="3"/>
    <n v="143680000"/>
  </r>
  <r>
    <x v="16"/>
    <x v="0"/>
    <x v="0"/>
    <n v="3"/>
    <n v="17"/>
    <x v="0"/>
    <s v="[BE] - Cashloan"/>
    <x v="0"/>
    <n v="763750000"/>
  </r>
  <r>
    <x v="16"/>
    <x v="0"/>
    <x v="0"/>
    <n v="3"/>
    <n v="17"/>
    <x v="1"/>
    <s v="[BE] - Paylater"/>
    <x v="1"/>
    <n v="315997649"/>
  </r>
  <r>
    <x v="16"/>
    <x v="0"/>
    <x v="0"/>
    <n v="3"/>
    <n v="17"/>
    <x v="2"/>
    <s v="[Cake] - Cashloan"/>
    <x v="0"/>
    <n v="12375720000"/>
  </r>
  <r>
    <x v="16"/>
    <x v="0"/>
    <x v="0"/>
    <n v="3"/>
    <n v="17"/>
    <x v="3"/>
    <s v="[Cake] - Overdraft"/>
    <x v="2"/>
    <n v="1705600752"/>
  </r>
  <r>
    <x v="16"/>
    <x v="0"/>
    <x v="0"/>
    <n v="3"/>
    <n v="17"/>
    <x v="4"/>
    <s v="[Cake] - Payday"/>
    <x v="3"/>
    <n v="14618448000"/>
  </r>
  <r>
    <x v="16"/>
    <x v="0"/>
    <x v="0"/>
    <n v="3"/>
    <n v="17"/>
    <x v="5"/>
    <s v="[FPT] - Paylater"/>
    <x v="1"/>
    <n v="5236551"/>
  </r>
  <r>
    <x v="16"/>
    <x v="0"/>
    <x v="0"/>
    <n v="3"/>
    <n v="17"/>
    <x v="6"/>
    <s v="[MISA] - Cashloan"/>
    <x v="0"/>
    <n v="0"/>
  </r>
  <r>
    <x v="16"/>
    <x v="0"/>
    <x v="0"/>
    <n v="3"/>
    <n v="17"/>
    <x v="7"/>
    <s v="[MWG] - Cashloan"/>
    <x v="0"/>
    <n v="3993880000"/>
  </r>
  <r>
    <x v="16"/>
    <x v="0"/>
    <x v="0"/>
    <n v="3"/>
    <n v="17"/>
    <x v="8"/>
    <s v="[MWG] - Cashloan"/>
    <x v="0"/>
    <n v="954800000"/>
  </r>
  <r>
    <x v="16"/>
    <x v="0"/>
    <x v="0"/>
    <n v="3"/>
    <n v="17"/>
    <x v="9"/>
    <s v="[MWG] - Paylater"/>
    <x v="1"/>
    <n v="1673387"/>
  </r>
  <r>
    <x v="16"/>
    <x v="0"/>
    <x v="0"/>
    <n v="3"/>
    <n v="17"/>
    <x v="10"/>
    <s v="[MWG] - Paylater"/>
    <x v="1"/>
    <n v="1558276088"/>
  </r>
  <r>
    <x v="16"/>
    <x v="0"/>
    <x v="0"/>
    <n v="3"/>
    <n v="17"/>
    <x v="11"/>
    <s v="[NGS] - Cashloan"/>
    <x v="0"/>
    <n v="0"/>
  </r>
  <r>
    <x v="16"/>
    <x v="0"/>
    <x v="0"/>
    <n v="3"/>
    <n v="17"/>
    <x v="12"/>
    <s v="[VNPOST] - Cashloan"/>
    <x v="0"/>
    <n v="99450000"/>
  </r>
  <r>
    <x v="16"/>
    <x v="0"/>
    <x v="0"/>
    <n v="3"/>
    <n v="17"/>
    <x v="13"/>
    <s v="[VNPOST] - Cashloan"/>
    <x v="0"/>
    <n v="0"/>
  </r>
  <r>
    <x v="16"/>
    <x v="0"/>
    <x v="0"/>
    <n v="3"/>
    <n v="17"/>
    <x v="14"/>
    <s v="[VDS] - Cashloan"/>
    <x v="0"/>
    <n v="15122490000"/>
  </r>
  <r>
    <x v="16"/>
    <x v="0"/>
    <x v="0"/>
    <n v="3"/>
    <n v="17"/>
    <x v="15"/>
    <s v="[VDS] - Cashloan LP"/>
    <x v="0"/>
    <n v="0"/>
  </r>
  <r>
    <x v="16"/>
    <x v="0"/>
    <x v="0"/>
    <n v="3"/>
    <n v="17"/>
    <x v="16"/>
    <s v="[VDS] - Cashloan LP"/>
    <x v="0"/>
    <n v="0"/>
  </r>
  <r>
    <x v="16"/>
    <x v="0"/>
    <x v="0"/>
    <n v="3"/>
    <n v="17"/>
    <x v="17"/>
    <s v="[VDS] - Cashloan LP"/>
    <x v="0"/>
    <n v="0"/>
  </r>
  <r>
    <x v="16"/>
    <x v="0"/>
    <x v="0"/>
    <n v="3"/>
    <n v="17"/>
    <x v="18"/>
    <s v="[VDS] - Cashloan"/>
    <x v="0"/>
    <n v="0"/>
  </r>
  <r>
    <x v="16"/>
    <x v="0"/>
    <x v="0"/>
    <n v="3"/>
    <n v="17"/>
    <x v="19"/>
    <s v="[VDS] - Payday"/>
    <x v="3"/>
    <n v="11909484000"/>
  </r>
  <r>
    <x v="16"/>
    <x v="0"/>
    <x v="0"/>
    <n v="3"/>
    <n v="17"/>
    <x v="20"/>
    <s v="[VDS] - Paylater"/>
    <x v="1"/>
    <n v="183131625"/>
  </r>
  <r>
    <x v="16"/>
    <x v="0"/>
    <x v="0"/>
    <n v="3"/>
    <n v="17"/>
    <x v="21"/>
    <s v="[VDS] - Payroll Cashloan"/>
    <x v="0"/>
    <n v="0"/>
  </r>
  <r>
    <x v="16"/>
    <x v="0"/>
    <x v="0"/>
    <n v="3"/>
    <n v="17"/>
    <x v="22"/>
    <s v="[VDS] - Payroll Payday"/>
    <x v="3"/>
    <n v="30000000"/>
  </r>
  <r>
    <x v="16"/>
    <x v="0"/>
    <x v="0"/>
    <n v="3"/>
    <n v="17"/>
    <x v="23"/>
    <s v="[VNPAY] - Cashloan"/>
    <x v="0"/>
    <n v="847010000"/>
  </r>
  <r>
    <x v="16"/>
    <x v="0"/>
    <x v="0"/>
    <n v="3"/>
    <n v="17"/>
    <x v="24"/>
    <s v="[VNPAY] - Payday"/>
    <x v="3"/>
    <n v="453708000"/>
  </r>
  <r>
    <x v="16"/>
    <x v="0"/>
    <x v="0"/>
    <n v="3"/>
    <n v="17"/>
    <x v="25"/>
    <s v="[VNPAY] - Paylater"/>
    <x v="1"/>
    <n v="275714787"/>
  </r>
  <r>
    <x v="16"/>
    <x v="0"/>
    <x v="0"/>
    <n v="3"/>
    <n v="17"/>
    <x v="26"/>
    <s v="[ZLP] - Cashloan"/>
    <x v="0"/>
    <n v="3251140000"/>
  </r>
  <r>
    <x v="16"/>
    <x v="0"/>
    <x v="0"/>
    <n v="3"/>
    <n v="17"/>
    <x v="27"/>
    <s v="[ZLP] - Payday"/>
    <x v="3"/>
    <n v="300520000"/>
  </r>
  <r>
    <x v="17"/>
    <x v="0"/>
    <x v="0"/>
    <n v="3"/>
    <n v="18"/>
    <x v="0"/>
    <s v="[BE] - Cashloan"/>
    <x v="0"/>
    <n v="819800000"/>
  </r>
  <r>
    <x v="17"/>
    <x v="0"/>
    <x v="0"/>
    <n v="3"/>
    <n v="18"/>
    <x v="1"/>
    <s v="[BE] - Paylater"/>
    <x v="1"/>
    <n v="300144473"/>
  </r>
  <r>
    <x v="17"/>
    <x v="0"/>
    <x v="0"/>
    <n v="3"/>
    <n v="18"/>
    <x v="2"/>
    <s v="[Cake] - Cashloan"/>
    <x v="0"/>
    <n v="12551320000"/>
  </r>
  <r>
    <x v="17"/>
    <x v="0"/>
    <x v="0"/>
    <n v="3"/>
    <n v="18"/>
    <x v="3"/>
    <s v="[Cake] - Overdraft"/>
    <x v="2"/>
    <n v="1468190659"/>
  </r>
  <r>
    <x v="17"/>
    <x v="0"/>
    <x v="0"/>
    <n v="3"/>
    <n v="18"/>
    <x v="4"/>
    <s v="[Cake] - Payday"/>
    <x v="3"/>
    <n v="14384520000"/>
  </r>
  <r>
    <x v="17"/>
    <x v="0"/>
    <x v="0"/>
    <n v="3"/>
    <n v="18"/>
    <x v="5"/>
    <s v="[FPT] - Paylater"/>
    <x v="1"/>
    <n v="6697906"/>
  </r>
  <r>
    <x v="17"/>
    <x v="0"/>
    <x v="0"/>
    <n v="3"/>
    <n v="18"/>
    <x v="6"/>
    <s v="[MISA] - Cashloan"/>
    <x v="0"/>
    <n v="0"/>
  </r>
  <r>
    <x v="17"/>
    <x v="0"/>
    <x v="0"/>
    <n v="3"/>
    <n v="18"/>
    <x v="7"/>
    <s v="[MWG] - Cashloan"/>
    <x v="0"/>
    <n v="5934900000"/>
  </r>
  <r>
    <x v="17"/>
    <x v="0"/>
    <x v="0"/>
    <n v="3"/>
    <n v="18"/>
    <x v="8"/>
    <s v="[MWG] - Cashloan"/>
    <x v="0"/>
    <n v="1204830000"/>
  </r>
  <r>
    <x v="17"/>
    <x v="0"/>
    <x v="0"/>
    <n v="3"/>
    <n v="18"/>
    <x v="9"/>
    <s v="[MWG] - Paylater"/>
    <x v="1"/>
    <n v="7300100"/>
  </r>
  <r>
    <x v="17"/>
    <x v="0"/>
    <x v="0"/>
    <n v="3"/>
    <n v="18"/>
    <x v="10"/>
    <s v="[MWG] - Paylater"/>
    <x v="1"/>
    <n v="1740651335"/>
  </r>
  <r>
    <x v="17"/>
    <x v="0"/>
    <x v="0"/>
    <n v="3"/>
    <n v="18"/>
    <x v="11"/>
    <s v="[NGS] - Cashloan"/>
    <x v="0"/>
    <n v="0"/>
  </r>
  <r>
    <x v="17"/>
    <x v="0"/>
    <x v="0"/>
    <n v="3"/>
    <n v="18"/>
    <x v="12"/>
    <s v="[VNPOST] - Cashloan"/>
    <x v="0"/>
    <n v="195550000"/>
  </r>
  <r>
    <x v="17"/>
    <x v="0"/>
    <x v="0"/>
    <n v="3"/>
    <n v="18"/>
    <x v="13"/>
    <s v="[VNPOST] - Cashloan"/>
    <x v="0"/>
    <n v="0"/>
  </r>
  <r>
    <x v="17"/>
    <x v="0"/>
    <x v="0"/>
    <n v="3"/>
    <n v="18"/>
    <x v="14"/>
    <s v="[VDS] - Cashloan"/>
    <x v="0"/>
    <n v="16180000000"/>
  </r>
  <r>
    <x v="17"/>
    <x v="0"/>
    <x v="0"/>
    <n v="3"/>
    <n v="18"/>
    <x v="15"/>
    <s v="[VDS] - Cashloan LP"/>
    <x v="0"/>
    <n v="0"/>
  </r>
  <r>
    <x v="17"/>
    <x v="0"/>
    <x v="0"/>
    <n v="3"/>
    <n v="18"/>
    <x v="16"/>
    <s v="[VDS] - Cashloan LP"/>
    <x v="0"/>
    <n v="0"/>
  </r>
  <r>
    <x v="17"/>
    <x v="0"/>
    <x v="0"/>
    <n v="3"/>
    <n v="18"/>
    <x v="17"/>
    <s v="[VDS] - Cashloan LP"/>
    <x v="0"/>
    <n v="0"/>
  </r>
  <r>
    <x v="17"/>
    <x v="0"/>
    <x v="0"/>
    <n v="3"/>
    <n v="18"/>
    <x v="18"/>
    <s v="[VDS] - Cashloan"/>
    <x v="0"/>
    <n v="0"/>
  </r>
  <r>
    <x v="17"/>
    <x v="0"/>
    <x v="0"/>
    <n v="3"/>
    <n v="18"/>
    <x v="19"/>
    <s v="[VDS] - Payday"/>
    <x v="3"/>
    <n v="11843928000"/>
  </r>
  <r>
    <x v="17"/>
    <x v="0"/>
    <x v="0"/>
    <n v="3"/>
    <n v="18"/>
    <x v="20"/>
    <s v="[VDS] - Paylater"/>
    <x v="1"/>
    <n v="161783251"/>
  </r>
  <r>
    <x v="17"/>
    <x v="0"/>
    <x v="0"/>
    <n v="3"/>
    <n v="18"/>
    <x v="21"/>
    <s v="[VDS] - Payroll Cashloan"/>
    <x v="0"/>
    <n v="10500000"/>
  </r>
  <r>
    <x v="17"/>
    <x v="0"/>
    <x v="0"/>
    <n v="3"/>
    <n v="18"/>
    <x v="22"/>
    <s v="[VDS] - Payroll Payday"/>
    <x v="3"/>
    <n v="34000000"/>
  </r>
  <r>
    <x v="17"/>
    <x v="0"/>
    <x v="0"/>
    <n v="3"/>
    <n v="18"/>
    <x v="23"/>
    <s v="[VNPAY] - Cashloan"/>
    <x v="0"/>
    <n v="909750000"/>
  </r>
  <r>
    <x v="17"/>
    <x v="0"/>
    <x v="0"/>
    <n v="3"/>
    <n v="18"/>
    <x v="24"/>
    <s v="[VNPAY] - Payday"/>
    <x v="3"/>
    <n v="380916000"/>
  </r>
  <r>
    <x v="17"/>
    <x v="0"/>
    <x v="0"/>
    <n v="3"/>
    <n v="18"/>
    <x v="25"/>
    <s v="[VNPAY] - Paylater"/>
    <x v="1"/>
    <n v="206865269"/>
  </r>
  <r>
    <x v="17"/>
    <x v="0"/>
    <x v="0"/>
    <n v="3"/>
    <n v="18"/>
    <x v="26"/>
    <s v="[ZLP] - Cashloan"/>
    <x v="0"/>
    <n v="3016280000"/>
  </r>
  <r>
    <x v="17"/>
    <x v="0"/>
    <x v="0"/>
    <n v="3"/>
    <n v="18"/>
    <x v="27"/>
    <s v="[ZLP] - Payday"/>
    <x v="3"/>
    <n v="349800000"/>
  </r>
  <r>
    <x v="18"/>
    <x v="0"/>
    <x v="0"/>
    <n v="4"/>
    <n v="19"/>
    <x v="0"/>
    <s v="[BE] - Cashloan"/>
    <x v="0"/>
    <n v="560600000"/>
  </r>
  <r>
    <x v="18"/>
    <x v="0"/>
    <x v="0"/>
    <n v="4"/>
    <n v="19"/>
    <x v="1"/>
    <s v="[BE] - Paylater"/>
    <x v="1"/>
    <n v="274471160"/>
  </r>
  <r>
    <x v="18"/>
    <x v="0"/>
    <x v="0"/>
    <n v="4"/>
    <n v="19"/>
    <x v="2"/>
    <s v="[Cake] - Cashloan"/>
    <x v="0"/>
    <n v="14654300000"/>
  </r>
  <r>
    <x v="18"/>
    <x v="0"/>
    <x v="0"/>
    <n v="4"/>
    <n v="19"/>
    <x v="3"/>
    <s v="[Cake] - Overdraft"/>
    <x v="2"/>
    <n v="1683779190"/>
  </r>
  <r>
    <x v="18"/>
    <x v="0"/>
    <x v="0"/>
    <n v="4"/>
    <n v="19"/>
    <x v="4"/>
    <s v="[Cake] - Payday"/>
    <x v="3"/>
    <n v="14651064000"/>
  </r>
  <r>
    <x v="18"/>
    <x v="0"/>
    <x v="0"/>
    <n v="4"/>
    <n v="19"/>
    <x v="5"/>
    <s v="[FPT] - Paylater"/>
    <x v="1"/>
    <n v="7712628"/>
  </r>
  <r>
    <x v="18"/>
    <x v="0"/>
    <x v="0"/>
    <n v="4"/>
    <n v="19"/>
    <x v="6"/>
    <s v="[MISA] - Cashloan"/>
    <x v="0"/>
    <n v="47000000"/>
  </r>
  <r>
    <x v="18"/>
    <x v="0"/>
    <x v="0"/>
    <n v="4"/>
    <n v="19"/>
    <x v="7"/>
    <s v="[MWG] - Cashloan"/>
    <x v="0"/>
    <n v="5486190000"/>
  </r>
  <r>
    <x v="18"/>
    <x v="0"/>
    <x v="0"/>
    <n v="4"/>
    <n v="19"/>
    <x v="8"/>
    <s v="[MWG] - Cashloan"/>
    <x v="0"/>
    <n v="1140980000"/>
  </r>
  <r>
    <x v="18"/>
    <x v="0"/>
    <x v="0"/>
    <n v="4"/>
    <n v="19"/>
    <x v="9"/>
    <s v="[MWG] - Paylater"/>
    <x v="1"/>
    <n v="8855382"/>
  </r>
  <r>
    <x v="18"/>
    <x v="0"/>
    <x v="0"/>
    <n v="4"/>
    <n v="19"/>
    <x v="10"/>
    <s v="[MWG] - Paylater"/>
    <x v="1"/>
    <n v="833682606"/>
  </r>
  <r>
    <x v="18"/>
    <x v="0"/>
    <x v="0"/>
    <n v="4"/>
    <n v="19"/>
    <x v="11"/>
    <s v="[NGS] - Cashloan"/>
    <x v="0"/>
    <n v="0"/>
  </r>
  <r>
    <x v="18"/>
    <x v="0"/>
    <x v="0"/>
    <n v="4"/>
    <n v="19"/>
    <x v="12"/>
    <s v="[VNPOST] - Cashloan"/>
    <x v="0"/>
    <n v="213100000"/>
  </r>
  <r>
    <x v="18"/>
    <x v="0"/>
    <x v="0"/>
    <n v="4"/>
    <n v="19"/>
    <x v="13"/>
    <s v="[VNPOST] - Cashloan"/>
    <x v="0"/>
    <n v="185400000"/>
  </r>
  <r>
    <x v="18"/>
    <x v="0"/>
    <x v="0"/>
    <n v="4"/>
    <n v="19"/>
    <x v="14"/>
    <s v="[VDS] - Cashloan"/>
    <x v="0"/>
    <n v="16502710000"/>
  </r>
  <r>
    <x v="18"/>
    <x v="0"/>
    <x v="0"/>
    <n v="4"/>
    <n v="19"/>
    <x v="15"/>
    <s v="[VDS] - Cashloan LP"/>
    <x v="0"/>
    <n v="0"/>
  </r>
  <r>
    <x v="18"/>
    <x v="0"/>
    <x v="0"/>
    <n v="4"/>
    <n v="19"/>
    <x v="16"/>
    <s v="[VDS] - Cashloan LP"/>
    <x v="0"/>
    <n v="0"/>
  </r>
  <r>
    <x v="18"/>
    <x v="0"/>
    <x v="0"/>
    <n v="4"/>
    <n v="19"/>
    <x v="17"/>
    <s v="[VDS] - Cashloan LP"/>
    <x v="0"/>
    <n v="0"/>
  </r>
  <r>
    <x v="18"/>
    <x v="0"/>
    <x v="0"/>
    <n v="4"/>
    <n v="19"/>
    <x v="18"/>
    <s v="[VDS] - Cashloan"/>
    <x v="0"/>
    <n v="8000000"/>
  </r>
  <r>
    <x v="18"/>
    <x v="0"/>
    <x v="0"/>
    <n v="4"/>
    <n v="19"/>
    <x v="19"/>
    <s v="[VDS] - Payday"/>
    <x v="3"/>
    <n v="11507400000"/>
  </r>
  <r>
    <x v="18"/>
    <x v="0"/>
    <x v="0"/>
    <n v="4"/>
    <n v="19"/>
    <x v="20"/>
    <s v="[VDS] - Paylater"/>
    <x v="1"/>
    <n v="162043873"/>
  </r>
  <r>
    <x v="18"/>
    <x v="0"/>
    <x v="0"/>
    <n v="4"/>
    <n v="19"/>
    <x v="21"/>
    <s v="[VDS] - Payroll Cashloan"/>
    <x v="0"/>
    <n v="52500000"/>
  </r>
  <r>
    <x v="18"/>
    <x v="0"/>
    <x v="0"/>
    <n v="4"/>
    <n v="19"/>
    <x v="22"/>
    <s v="[VDS] - Payroll Payday"/>
    <x v="3"/>
    <n v="41000000"/>
  </r>
  <r>
    <x v="18"/>
    <x v="0"/>
    <x v="0"/>
    <n v="4"/>
    <n v="19"/>
    <x v="23"/>
    <s v="[VNPAY] - Cashloan"/>
    <x v="0"/>
    <n v="772590000"/>
  </r>
  <r>
    <x v="18"/>
    <x v="0"/>
    <x v="0"/>
    <n v="4"/>
    <n v="19"/>
    <x v="24"/>
    <s v="[VNPAY] - Payday"/>
    <x v="3"/>
    <n v="327780000"/>
  </r>
  <r>
    <x v="18"/>
    <x v="0"/>
    <x v="0"/>
    <n v="4"/>
    <n v="19"/>
    <x v="25"/>
    <s v="[VNPAY] - Paylater"/>
    <x v="1"/>
    <n v="254458678"/>
  </r>
  <r>
    <x v="18"/>
    <x v="0"/>
    <x v="0"/>
    <n v="4"/>
    <n v="19"/>
    <x v="26"/>
    <s v="[ZLP] - Cashloan"/>
    <x v="0"/>
    <n v="3811440000"/>
  </r>
  <r>
    <x v="18"/>
    <x v="0"/>
    <x v="0"/>
    <n v="4"/>
    <n v="19"/>
    <x v="27"/>
    <s v="[ZLP] - Payday"/>
    <x v="3"/>
    <n v="271000000"/>
  </r>
  <r>
    <x v="19"/>
    <x v="0"/>
    <x v="0"/>
    <n v="4"/>
    <n v="20"/>
    <x v="0"/>
    <s v="[BE] - Cashloan"/>
    <x v="0"/>
    <n v="560550000"/>
  </r>
  <r>
    <x v="19"/>
    <x v="0"/>
    <x v="0"/>
    <n v="4"/>
    <n v="20"/>
    <x v="1"/>
    <s v="[BE] - Paylater"/>
    <x v="1"/>
    <n v="304858329"/>
  </r>
  <r>
    <x v="19"/>
    <x v="0"/>
    <x v="0"/>
    <n v="4"/>
    <n v="20"/>
    <x v="2"/>
    <s v="[Cake] - Cashloan"/>
    <x v="0"/>
    <n v="15070520000"/>
  </r>
  <r>
    <x v="19"/>
    <x v="0"/>
    <x v="0"/>
    <n v="4"/>
    <n v="20"/>
    <x v="3"/>
    <s v="[Cake] - Overdraft"/>
    <x v="2"/>
    <n v="2226554897"/>
  </r>
  <r>
    <x v="19"/>
    <x v="0"/>
    <x v="0"/>
    <n v="4"/>
    <n v="20"/>
    <x v="4"/>
    <s v="[Cake] - Payday"/>
    <x v="3"/>
    <n v="15809148000"/>
  </r>
  <r>
    <x v="19"/>
    <x v="0"/>
    <x v="0"/>
    <n v="4"/>
    <n v="20"/>
    <x v="5"/>
    <s v="[FPT] - Paylater"/>
    <x v="1"/>
    <n v="6626025"/>
  </r>
  <r>
    <x v="19"/>
    <x v="0"/>
    <x v="0"/>
    <n v="4"/>
    <n v="20"/>
    <x v="6"/>
    <s v="[MISA] - Cashloan"/>
    <x v="0"/>
    <n v="0"/>
  </r>
  <r>
    <x v="19"/>
    <x v="0"/>
    <x v="0"/>
    <n v="4"/>
    <n v="20"/>
    <x v="7"/>
    <s v="[MWG] - Cashloan"/>
    <x v="0"/>
    <n v="4105020000"/>
  </r>
  <r>
    <x v="19"/>
    <x v="0"/>
    <x v="0"/>
    <n v="4"/>
    <n v="20"/>
    <x v="8"/>
    <s v="[MWG] - Cashloan"/>
    <x v="0"/>
    <n v="1359600000"/>
  </r>
  <r>
    <x v="19"/>
    <x v="0"/>
    <x v="0"/>
    <n v="4"/>
    <n v="20"/>
    <x v="9"/>
    <s v="[MWG] - Paylater"/>
    <x v="1"/>
    <n v="7293164"/>
  </r>
  <r>
    <x v="19"/>
    <x v="0"/>
    <x v="0"/>
    <n v="4"/>
    <n v="20"/>
    <x v="10"/>
    <s v="[MWG] - Paylater"/>
    <x v="1"/>
    <n v="874981610"/>
  </r>
  <r>
    <x v="19"/>
    <x v="0"/>
    <x v="0"/>
    <n v="4"/>
    <n v="20"/>
    <x v="11"/>
    <s v="[NGS] - Cashloan"/>
    <x v="0"/>
    <n v="0"/>
  </r>
  <r>
    <x v="19"/>
    <x v="0"/>
    <x v="0"/>
    <n v="4"/>
    <n v="20"/>
    <x v="12"/>
    <s v="[VNPOST] - Cashloan"/>
    <x v="0"/>
    <n v="226500000"/>
  </r>
  <r>
    <x v="19"/>
    <x v="0"/>
    <x v="0"/>
    <n v="4"/>
    <n v="20"/>
    <x v="13"/>
    <s v="[VNPOST] - Cashloan"/>
    <x v="0"/>
    <n v="185400000"/>
  </r>
  <r>
    <x v="19"/>
    <x v="0"/>
    <x v="0"/>
    <n v="4"/>
    <n v="20"/>
    <x v="14"/>
    <s v="[VDS] - Cashloan"/>
    <x v="0"/>
    <n v="18066080000"/>
  </r>
  <r>
    <x v="19"/>
    <x v="0"/>
    <x v="0"/>
    <n v="4"/>
    <n v="20"/>
    <x v="15"/>
    <s v="[VDS] - Cashloan LP"/>
    <x v="0"/>
    <n v="0"/>
  </r>
  <r>
    <x v="19"/>
    <x v="0"/>
    <x v="0"/>
    <n v="4"/>
    <n v="20"/>
    <x v="16"/>
    <s v="[VDS] - Cashloan LP"/>
    <x v="0"/>
    <n v="0"/>
  </r>
  <r>
    <x v="19"/>
    <x v="0"/>
    <x v="0"/>
    <n v="4"/>
    <n v="20"/>
    <x v="17"/>
    <s v="[VDS] - Cashloan LP"/>
    <x v="0"/>
    <n v="0"/>
  </r>
  <r>
    <x v="19"/>
    <x v="0"/>
    <x v="0"/>
    <n v="4"/>
    <n v="20"/>
    <x v="18"/>
    <s v="[VDS] - Cashloan"/>
    <x v="0"/>
    <n v="11000000"/>
  </r>
  <r>
    <x v="19"/>
    <x v="0"/>
    <x v="0"/>
    <n v="4"/>
    <n v="20"/>
    <x v="19"/>
    <s v="[VDS] - Payday"/>
    <x v="3"/>
    <n v="12079800000"/>
  </r>
  <r>
    <x v="19"/>
    <x v="0"/>
    <x v="0"/>
    <n v="4"/>
    <n v="20"/>
    <x v="20"/>
    <s v="[VDS] - Paylater"/>
    <x v="1"/>
    <n v="170439192"/>
  </r>
  <r>
    <x v="19"/>
    <x v="0"/>
    <x v="0"/>
    <n v="4"/>
    <n v="20"/>
    <x v="21"/>
    <s v="[VDS] - Payroll Cashloan"/>
    <x v="0"/>
    <n v="0"/>
  </r>
  <r>
    <x v="19"/>
    <x v="0"/>
    <x v="0"/>
    <n v="4"/>
    <n v="20"/>
    <x v="22"/>
    <s v="[VDS] - Payroll Payday"/>
    <x v="3"/>
    <n v="64000000"/>
  </r>
  <r>
    <x v="19"/>
    <x v="0"/>
    <x v="0"/>
    <n v="4"/>
    <n v="20"/>
    <x v="23"/>
    <s v="[VNPAY] - Cashloan"/>
    <x v="0"/>
    <n v="1294110000"/>
  </r>
  <r>
    <x v="19"/>
    <x v="0"/>
    <x v="0"/>
    <n v="4"/>
    <n v="20"/>
    <x v="24"/>
    <s v="[VNPAY] - Payday"/>
    <x v="3"/>
    <n v="386640000"/>
  </r>
  <r>
    <x v="19"/>
    <x v="0"/>
    <x v="0"/>
    <n v="4"/>
    <n v="20"/>
    <x v="25"/>
    <s v="[VNPAY] - Paylater"/>
    <x v="1"/>
    <n v="256250511"/>
  </r>
  <r>
    <x v="19"/>
    <x v="0"/>
    <x v="0"/>
    <n v="4"/>
    <n v="20"/>
    <x v="26"/>
    <s v="[ZLP] - Cashloan"/>
    <x v="0"/>
    <n v="3868860000"/>
  </r>
  <r>
    <x v="19"/>
    <x v="0"/>
    <x v="0"/>
    <n v="4"/>
    <n v="20"/>
    <x v="27"/>
    <s v="[ZLP] - Payday"/>
    <x v="3"/>
    <n v="563400000"/>
  </r>
  <r>
    <x v="20"/>
    <x v="0"/>
    <x v="0"/>
    <n v="4"/>
    <n v="21"/>
    <x v="0"/>
    <s v="[BE] - Cashloan"/>
    <x v="0"/>
    <n v="765250000"/>
  </r>
  <r>
    <x v="20"/>
    <x v="0"/>
    <x v="0"/>
    <n v="4"/>
    <n v="21"/>
    <x v="1"/>
    <s v="[BE] - Paylater"/>
    <x v="1"/>
    <n v="335695331"/>
  </r>
  <r>
    <x v="20"/>
    <x v="0"/>
    <x v="0"/>
    <n v="4"/>
    <n v="21"/>
    <x v="2"/>
    <s v="[Cake] - Cashloan"/>
    <x v="0"/>
    <n v="15247760000"/>
  </r>
  <r>
    <x v="20"/>
    <x v="0"/>
    <x v="0"/>
    <n v="4"/>
    <n v="21"/>
    <x v="3"/>
    <s v="[Cake] - Overdraft"/>
    <x v="2"/>
    <n v="1904199995"/>
  </r>
  <r>
    <x v="20"/>
    <x v="0"/>
    <x v="0"/>
    <n v="4"/>
    <n v="21"/>
    <x v="4"/>
    <s v="[Cake] - Payday"/>
    <x v="3"/>
    <n v="14580864000"/>
  </r>
  <r>
    <x v="20"/>
    <x v="0"/>
    <x v="0"/>
    <n v="4"/>
    <n v="21"/>
    <x v="5"/>
    <s v="[FPT] - Paylater"/>
    <x v="1"/>
    <n v="13028836"/>
  </r>
  <r>
    <x v="20"/>
    <x v="0"/>
    <x v="0"/>
    <n v="4"/>
    <n v="21"/>
    <x v="6"/>
    <s v="[MISA] - Cashloan"/>
    <x v="0"/>
    <n v="0"/>
  </r>
  <r>
    <x v="20"/>
    <x v="0"/>
    <x v="0"/>
    <n v="4"/>
    <n v="21"/>
    <x v="7"/>
    <s v="[MWG] - Cashloan"/>
    <x v="0"/>
    <n v="4137250000"/>
  </r>
  <r>
    <x v="20"/>
    <x v="0"/>
    <x v="0"/>
    <n v="4"/>
    <n v="21"/>
    <x v="8"/>
    <s v="[MWG] - Cashloan"/>
    <x v="0"/>
    <n v="1170710000"/>
  </r>
  <r>
    <x v="20"/>
    <x v="0"/>
    <x v="0"/>
    <n v="4"/>
    <n v="21"/>
    <x v="9"/>
    <s v="[MWG] - Paylater"/>
    <x v="1"/>
    <n v="18270497"/>
  </r>
  <r>
    <x v="20"/>
    <x v="0"/>
    <x v="0"/>
    <n v="4"/>
    <n v="21"/>
    <x v="10"/>
    <s v="[MWG] - Paylater"/>
    <x v="1"/>
    <n v="1117910298"/>
  </r>
  <r>
    <x v="20"/>
    <x v="0"/>
    <x v="0"/>
    <n v="4"/>
    <n v="21"/>
    <x v="11"/>
    <s v="[NGS] - Cashloan"/>
    <x v="0"/>
    <n v="0"/>
  </r>
  <r>
    <x v="20"/>
    <x v="0"/>
    <x v="0"/>
    <n v="4"/>
    <n v="21"/>
    <x v="12"/>
    <s v="[VNPOST] - Cashloan"/>
    <x v="0"/>
    <n v="94000000"/>
  </r>
  <r>
    <x v="20"/>
    <x v="0"/>
    <x v="0"/>
    <n v="4"/>
    <n v="21"/>
    <x v="13"/>
    <s v="[VNPOST] - Cashloan"/>
    <x v="0"/>
    <n v="0"/>
  </r>
  <r>
    <x v="20"/>
    <x v="0"/>
    <x v="0"/>
    <n v="4"/>
    <n v="21"/>
    <x v="14"/>
    <s v="[VDS] - Cashloan"/>
    <x v="0"/>
    <n v="18318490000"/>
  </r>
  <r>
    <x v="20"/>
    <x v="0"/>
    <x v="0"/>
    <n v="4"/>
    <n v="21"/>
    <x v="15"/>
    <s v="[VDS] - Cashloan LP"/>
    <x v="0"/>
    <n v="0"/>
  </r>
  <r>
    <x v="20"/>
    <x v="0"/>
    <x v="0"/>
    <n v="4"/>
    <n v="21"/>
    <x v="16"/>
    <s v="[VDS] - Cashloan LP"/>
    <x v="0"/>
    <n v="0"/>
  </r>
  <r>
    <x v="20"/>
    <x v="0"/>
    <x v="0"/>
    <n v="4"/>
    <n v="21"/>
    <x v="17"/>
    <s v="[VDS] - Cashloan LP"/>
    <x v="0"/>
    <n v="0"/>
  </r>
  <r>
    <x v="20"/>
    <x v="0"/>
    <x v="0"/>
    <n v="4"/>
    <n v="21"/>
    <x v="18"/>
    <s v="[VDS] - Cashloan"/>
    <x v="0"/>
    <n v="15000000"/>
  </r>
  <r>
    <x v="20"/>
    <x v="0"/>
    <x v="0"/>
    <n v="4"/>
    <n v="21"/>
    <x v="19"/>
    <s v="[VDS] - Payday"/>
    <x v="3"/>
    <n v="11299500000"/>
  </r>
  <r>
    <x v="20"/>
    <x v="0"/>
    <x v="0"/>
    <n v="4"/>
    <n v="21"/>
    <x v="20"/>
    <s v="[VDS] - Paylater"/>
    <x v="1"/>
    <n v="200834005"/>
  </r>
  <r>
    <x v="20"/>
    <x v="0"/>
    <x v="0"/>
    <n v="4"/>
    <n v="21"/>
    <x v="21"/>
    <s v="[VDS] - Payroll Cashloan"/>
    <x v="0"/>
    <n v="42000000"/>
  </r>
  <r>
    <x v="20"/>
    <x v="0"/>
    <x v="0"/>
    <n v="4"/>
    <n v="21"/>
    <x v="22"/>
    <s v="[VDS] - Payroll Payday"/>
    <x v="3"/>
    <n v="44000000"/>
  </r>
  <r>
    <x v="20"/>
    <x v="0"/>
    <x v="0"/>
    <n v="4"/>
    <n v="21"/>
    <x v="23"/>
    <s v="[VNPAY] - Cashloan"/>
    <x v="0"/>
    <n v="770810000"/>
  </r>
  <r>
    <x v="20"/>
    <x v="0"/>
    <x v="0"/>
    <n v="4"/>
    <n v="21"/>
    <x v="24"/>
    <s v="[VNPAY] - Payday"/>
    <x v="3"/>
    <n v="307476000"/>
  </r>
  <r>
    <x v="20"/>
    <x v="0"/>
    <x v="0"/>
    <n v="4"/>
    <n v="21"/>
    <x v="25"/>
    <s v="[VNPAY] - Paylater"/>
    <x v="1"/>
    <n v="445798590"/>
  </r>
  <r>
    <x v="20"/>
    <x v="0"/>
    <x v="0"/>
    <n v="4"/>
    <n v="21"/>
    <x v="26"/>
    <s v="[ZLP] - Cashloan"/>
    <x v="0"/>
    <n v="3300290000"/>
  </r>
  <r>
    <x v="20"/>
    <x v="0"/>
    <x v="0"/>
    <n v="4"/>
    <n v="21"/>
    <x v="27"/>
    <s v="[ZLP] - Payday"/>
    <x v="3"/>
    <n v="1009960000"/>
  </r>
  <r>
    <x v="21"/>
    <x v="0"/>
    <x v="0"/>
    <n v="4"/>
    <n v="22"/>
    <x v="0"/>
    <s v="[BE] - Cashloan"/>
    <x v="0"/>
    <n v="617250000"/>
  </r>
  <r>
    <x v="21"/>
    <x v="0"/>
    <x v="0"/>
    <n v="4"/>
    <n v="22"/>
    <x v="1"/>
    <s v="[BE] - Paylater"/>
    <x v="1"/>
    <n v="335056696"/>
  </r>
  <r>
    <x v="21"/>
    <x v="0"/>
    <x v="0"/>
    <n v="4"/>
    <n v="22"/>
    <x v="2"/>
    <s v="[Cake] - Cashloan"/>
    <x v="0"/>
    <n v="14602150000"/>
  </r>
  <r>
    <x v="21"/>
    <x v="0"/>
    <x v="0"/>
    <n v="4"/>
    <n v="22"/>
    <x v="3"/>
    <s v="[Cake] - Overdraft"/>
    <x v="2"/>
    <n v="1857940564"/>
  </r>
  <r>
    <x v="21"/>
    <x v="0"/>
    <x v="0"/>
    <n v="4"/>
    <n v="22"/>
    <x v="4"/>
    <s v="[Cake] - Payday"/>
    <x v="3"/>
    <n v="13052556000"/>
  </r>
  <r>
    <x v="21"/>
    <x v="0"/>
    <x v="0"/>
    <n v="4"/>
    <n v="22"/>
    <x v="5"/>
    <s v="[FPT] - Paylater"/>
    <x v="1"/>
    <n v="8542252"/>
  </r>
  <r>
    <x v="21"/>
    <x v="0"/>
    <x v="0"/>
    <n v="4"/>
    <n v="22"/>
    <x v="6"/>
    <s v="[MISA] - Cashloan"/>
    <x v="0"/>
    <n v="0"/>
  </r>
  <r>
    <x v="21"/>
    <x v="0"/>
    <x v="0"/>
    <n v="4"/>
    <n v="22"/>
    <x v="7"/>
    <s v="[MWG] - Cashloan"/>
    <x v="0"/>
    <n v="4446940000"/>
  </r>
  <r>
    <x v="21"/>
    <x v="0"/>
    <x v="0"/>
    <n v="4"/>
    <n v="22"/>
    <x v="8"/>
    <s v="[MWG] - Cashloan"/>
    <x v="0"/>
    <n v="1488850000"/>
  </r>
  <r>
    <x v="21"/>
    <x v="0"/>
    <x v="0"/>
    <n v="4"/>
    <n v="22"/>
    <x v="9"/>
    <s v="[MWG] - Paylater"/>
    <x v="1"/>
    <n v="3952618"/>
  </r>
  <r>
    <x v="21"/>
    <x v="0"/>
    <x v="0"/>
    <n v="4"/>
    <n v="22"/>
    <x v="10"/>
    <s v="[MWG] - Paylater"/>
    <x v="1"/>
    <n v="1055462327"/>
  </r>
  <r>
    <x v="21"/>
    <x v="0"/>
    <x v="0"/>
    <n v="4"/>
    <n v="22"/>
    <x v="11"/>
    <s v="[NGS] - Cashloan"/>
    <x v="0"/>
    <n v="0"/>
  </r>
  <r>
    <x v="21"/>
    <x v="0"/>
    <x v="0"/>
    <n v="4"/>
    <n v="22"/>
    <x v="12"/>
    <s v="[VNPOST] - Cashloan"/>
    <x v="0"/>
    <n v="117650000"/>
  </r>
  <r>
    <x v="21"/>
    <x v="0"/>
    <x v="0"/>
    <n v="4"/>
    <n v="22"/>
    <x v="13"/>
    <s v="[VNPOST] - Cashloan"/>
    <x v="0"/>
    <n v="55620000"/>
  </r>
  <r>
    <x v="21"/>
    <x v="0"/>
    <x v="0"/>
    <n v="4"/>
    <n v="22"/>
    <x v="14"/>
    <s v="[VDS] - Cashloan"/>
    <x v="0"/>
    <n v="15830660000"/>
  </r>
  <r>
    <x v="21"/>
    <x v="0"/>
    <x v="0"/>
    <n v="4"/>
    <n v="22"/>
    <x v="15"/>
    <s v="[VDS] - Cashloan LP"/>
    <x v="0"/>
    <n v="0"/>
  </r>
  <r>
    <x v="21"/>
    <x v="0"/>
    <x v="0"/>
    <n v="4"/>
    <n v="22"/>
    <x v="16"/>
    <s v="[VDS] - Cashloan LP"/>
    <x v="0"/>
    <n v="0"/>
  </r>
  <r>
    <x v="21"/>
    <x v="0"/>
    <x v="0"/>
    <n v="4"/>
    <n v="22"/>
    <x v="17"/>
    <s v="[VDS] - Cashloan LP"/>
    <x v="0"/>
    <n v="0"/>
  </r>
  <r>
    <x v="21"/>
    <x v="0"/>
    <x v="0"/>
    <n v="4"/>
    <n v="22"/>
    <x v="18"/>
    <s v="[VDS] - Cashloan"/>
    <x v="0"/>
    <n v="0"/>
  </r>
  <r>
    <x v="21"/>
    <x v="0"/>
    <x v="0"/>
    <n v="4"/>
    <n v="22"/>
    <x v="19"/>
    <s v="[VDS] - Payday"/>
    <x v="3"/>
    <n v="8856540000"/>
  </r>
  <r>
    <x v="21"/>
    <x v="0"/>
    <x v="0"/>
    <n v="4"/>
    <n v="22"/>
    <x v="20"/>
    <s v="[VDS] - Paylater"/>
    <x v="1"/>
    <n v="181212665"/>
  </r>
  <r>
    <x v="21"/>
    <x v="0"/>
    <x v="0"/>
    <n v="4"/>
    <n v="22"/>
    <x v="21"/>
    <s v="[VDS] - Payroll Cashloan"/>
    <x v="0"/>
    <n v="18900000"/>
  </r>
  <r>
    <x v="21"/>
    <x v="0"/>
    <x v="0"/>
    <n v="4"/>
    <n v="22"/>
    <x v="22"/>
    <s v="[VDS] - Payroll Payday"/>
    <x v="3"/>
    <n v="42000000"/>
  </r>
  <r>
    <x v="21"/>
    <x v="0"/>
    <x v="0"/>
    <n v="4"/>
    <n v="22"/>
    <x v="23"/>
    <s v="[VNPAY] - Cashloan"/>
    <x v="0"/>
    <n v="938160000"/>
  </r>
  <r>
    <x v="21"/>
    <x v="0"/>
    <x v="0"/>
    <n v="4"/>
    <n v="22"/>
    <x v="24"/>
    <s v="[VNPAY] - Payday"/>
    <x v="3"/>
    <n v="291168000"/>
  </r>
  <r>
    <x v="21"/>
    <x v="0"/>
    <x v="0"/>
    <n v="4"/>
    <n v="22"/>
    <x v="25"/>
    <s v="[VNPAY] - Paylater"/>
    <x v="1"/>
    <n v="346377364"/>
  </r>
  <r>
    <x v="21"/>
    <x v="0"/>
    <x v="0"/>
    <n v="4"/>
    <n v="22"/>
    <x v="26"/>
    <s v="[ZLP] - Cashloan"/>
    <x v="0"/>
    <n v="3879930000"/>
  </r>
  <r>
    <x v="21"/>
    <x v="0"/>
    <x v="0"/>
    <n v="4"/>
    <n v="22"/>
    <x v="27"/>
    <s v="[ZLP] - Payday"/>
    <x v="3"/>
    <n v="1201360000"/>
  </r>
  <r>
    <x v="22"/>
    <x v="0"/>
    <x v="0"/>
    <n v="4"/>
    <n v="23"/>
    <x v="0"/>
    <s v="[BE] - Cashloan"/>
    <x v="0"/>
    <n v="651200000"/>
  </r>
  <r>
    <x v="22"/>
    <x v="0"/>
    <x v="0"/>
    <n v="4"/>
    <n v="23"/>
    <x v="1"/>
    <s v="[BE] - Paylater"/>
    <x v="1"/>
    <n v="372295446"/>
  </r>
  <r>
    <x v="22"/>
    <x v="0"/>
    <x v="0"/>
    <n v="4"/>
    <n v="23"/>
    <x v="2"/>
    <s v="[Cake] - Cashloan"/>
    <x v="0"/>
    <n v="15131180000"/>
  </r>
  <r>
    <x v="22"/>
    <x v="0"/>
    <x v="0"/>
    <n v="4"/>
    <n v="23"/>
    <x v="3"/>
    <s v="[Cake] - Overdraft"/>
    <x v="2"/>
    <n v="1739089635"/>
  </r>
  <r>
    <x v="22"/>
    <x v="0"/>
    <x v="0"/>
    <n v="4"/>
    <n v="23"/>
    <x v="4"/>
    <s v="[Cake] - Payday"/>
    <x v="3"/>
    <n v="13554540000"/>
  </r>
  <r>
    <x v="22"/>
    <x v="0"/>
    <x v="0"/>
    <n v="4"/>
    <n v="23"/>
    <x v="5"/>
    <s v="[FPT] - Paylater"/>
    <x v="1"/>
    <n v="5106534"/>
  </r>
  <r>
    <x v="22"/>
    <x v="0"/>
    <x v="0"/>
    <n v="4"/>
    <n v="23"/>
    <x v="6"/>
    <s v="[MISA] - Cashloan"/>
    <x v="0"/>
    <n v="0"/>
  </r>
  <r>
    <x v="22"/>
    <x v="0"/>
    <x v="0"/>
    <n v="4"/>
    <n v="23"/>
    <x v="7"/>
    <s v="[MWG] - Cashloan"/>
    <x v="0"/>
    <n v="4255310000"/>
  </r>
  <r>
    <x v="22"/>
    <x v="0"/>
    <x v="0"/>
    <n v="4"/>
    <n v="23"/>
    <x v="8"/>
    <s v="[MWG] - Cashloan"/>
    <x v="0"/>
    <n v="1336320000"/>
  </r>
  <r>
    <x v="22"/>
    <x v="0"/>
    <x v="0"/>
    <n v="4"/>
    <n v="23"/>
    <x v="9"/>
    <s v="[MWG] - Paylater"/>
    <x v="1"/>
    <n v="14051882"/>
  </r>
  <r>
    <x v="22"/>
    <x v="0"/>
    <x v="0"/>
    <n v="4"/>
    <n v="23"/>
    <x v="10"/>
    <s v="[MWG] - Paylater"/>
    <x v="1"/>
    <n v="1428542224"/>
  </r>
  <r>
    <x v="22"/>
    <x v="0"/>
    <x v="0"/>
    <n v="4"/>
    <n v="23"/>
    <x v="11"/>
    <s v="[NGS] - Cashloan"/>
    <x v="0"/>
    <n v="0"/>
  </r>
  <r>
    <x v="22"/>
    <x v="0"/>
    <x v="0"/>
    <n v="4"/>
    <n v="23"/>
    <x v="12"/>
    <s v="[VNPOST] - Cashloan"/>
    <x v="0"/>
    <n v="190400000"/>
  </r>
  <r>
    <x v="22"/>
    <x v="0"/>
    <x v="0"/>
    <n v="4"/>
    <n v="23"/>
    <x v="13"/>
    <s v="[VNPOST] - Cashloan"/>
    <x v="0"/>
    <n v="83430000"/>
  </r>
  <r>
    <x v="22"/>
    <x v="0"/>
    <x v="0"/>
    <n v="4"/>
    <n v="23"/>
    <x v="14"/>
    <s v="[VDS] - Cashloan"/>
    <x v="0"/>
    <n v="16048040000"/>
  </r>
  <r>
    <x v="22"/>
    <x v="0"/>
    <x v="0"/>
    <n v="4"/>
    <n v="23"/>
    <x v="15"/>
    <s v="[VDS] - Cashloan LP"/>
    <x v="0"/>
    <n v="0"/>
  </r>
  <r>
    <x v="22"/>
    <x v="0"/>
    <x v="0"/>
    <n v="4"/>
    <n v="23"/>
    <x v="16"/>
    <s v="[VDS] - Cashloan LP"/>
    <x v="0"/>
    <n v="0"/>
  </r>
  <r>
    <x v="22"/>
    <x v="0"/>
    <x v="0"/>
    <n v="4"/>
    <n v="23"/>
    <x v="17"/>
    <s v="[VDS] - Cashloan LP"/>
    <x v="0"/>
    <n v="0"/>
  </r>
  <r>
    <x v="22"/>
    <x v="0"/>
    <x v="0"/>
    <n v="4"/>
    <n v="23"/>
    <x v="18"/>
    <s v="[VDS] - Cashloan"/>
    <x v="0"/>
    <n v="0"/>
  </r>
  <r>
    <x v="22"/>
    <x v="0"/>
    <x v="0"/>
    <n v="4"/>
    <n v="23"/>
    <x v="19"/>
    <s v="[VDS] - Payday"/>
    <x v="3"/>
    <n v="10630332000"/>
  </r>
  <r>
    <x v="22"/>
    <x v="0"/>
    <x v="0"/>
    <n v="4"/>
    <n v="23"/>
    <x v="20"/>
    <s v="[VDS] - Paylater"/>
    <x v="1"/>
    <n v="152190172"/>
  </r>
  <r>
    <x v="22"/>
    <x v="0"/>
    <x v="0"/>
    <n v="4"/>
    <n v="23"/>
    <x v="21"/>
    <s v="[VDS] - Payroll Cashloan"/>
    <x v="0"/>
    <n v="105000000"/>
  </r>
  <r>
    <x v="22"/>
    <x v="0"/>
    <x v="0"/>
    <n v="4"/>
    <n v="23"/>
    <x v="22"/>
    <s v="[VDS] - Payroll Payday"/>
    <x v="3"/>
    <n v="30000000"/>
  </r>
  <r>
    <x v="22"/>
    <x v="0"/>
    <x v="0"/>
    <n v="4"/>
    <n v="23"/>
    <x v="23"/>
    <s v="[VNPAY] - Cashloan"/>
    <x v="0"/>
    <n v="978700000"/>
  </r>
  <r>
    <x v="22"/>
    <x v="0"/>
    <x v="0"/>
    <n v="4"/>
    <n v="23"/>
    <x v="24"/>
    <s v="[VNPAY] - Payday"/>
    <x v="3"/>
    <n v="345924000"/>
  </r>
  <r>
    <x v="22"/>
    <x v="0"/>
    <x v="0"/>
    <n v="4"/>
    <n v="23"/>
    <x v="25"/>
    <s v="[VNPAY] - Paylater"/>
    <x v="1"/>
    <n v="320003512"/>
  </r>
  <r>
    <x v="22"/>
    <x v="0"/>
    <x v="0"/>
    <n v="4"/>
    <n v="23"/>
    <x v="26"/>
    <s v="[ZLP] - Cashloan"/>
    <x v="0"/>
    <n v="4293830000"/>
  </r>
  <r>
    <x v="22"/>
    <x v="0"/>
    <x v="0"/>
    <n v="4"/>
    <n v="23"/>
    <x v="27"/>
    <s v="[ZLP] - Payday"/>
    <x v="3"/>
    <n v="1116960000"/>
  </r>
  <r>
    <x v="23"/>
    <x v="0"/>
    <x v="0"/>
    <n v="4"/>
    <n v="24"/>
    <x v="0"/>
    <s v="[BE] - Cashloan"/>
    <x v="0"/>
    <n v="715050000"/>
  </r>
  <r>
    <x v="23"/>
    <x v="0"/>
    <x v="0"/>
    <n v="4"/>
    <n v="24"/>
    <x v="1"/>
    <s v="[BE] - Paylater"/>
    <x v="1"/>
    <n v="366037698"/>
  </r>
  <r>
    <x v="23"/>
    <x v="0"/>
    <x v="0"/>
    <n v="4"/>
    <n v="24"/>
    <x v="2"/>
    <s v="[Cake] - Cashloan"/>
    <x v="0"/>
    <n v="12679140000"/>
  </r>
  <r>
    <x v="23"/>
    <x v="0"/>
    <x v="0"/>
    <n v="4"/>
    <n v="24"/>
    <x v="3"/>
    <s v="[Cake] - Overdraft"/>
    <x v="2"/>
    <n v="1803418143"/>
  </r>
  <r>
    <x v="23"/>
    <x v="0"/>
    <x v="0"/>
    <n v="4"/>
    <n v="24"/>
    <x v="4"/>
    <s v="[Cake] - Payday"/>
    <x v="3"/>
    <n v="13823028000"/>
  </r>
  <r>
    <x v="23"/>
    <x v="0"/>
    <x v="0"/>
    <n v="4"/>
    <n v="24"/>
    <x v="5"/>
    <s v="[FPT] - Paylater"/>
    <x v="1"/>
    <n v="1114882"/>
  </r>
  <r>
    <x v="23"/>
    <x v="0"/>
    <x v="0"/>
    <n v="4"/>
    <n v="24"/>
    <x v="6"/>
    <s v="[MISA] - Cashloan"/>
    <x v="0"/>
    <n v="0"/>
  </r>
  <r>
    <x v="23"/>
    <x v="0"/>
    <x v="0"/>
    <n v="4"/>
    <n v="24"/>
    <x v="7"/>
    <s v="[MWG] - Cashloan"/>
    <x v="0"/>
    <n v="4192230000"/>
  </r>
  <r>
    <x v="23"/>
    <x v="0"/>
    <x v="0"/>
    <n v="4"/>
    <n v="24"/>
    <x v="8"/>
    <s v="[MWG] - Cashloan"/>
    <x v="0"/>
    <n v="1276800000"/>
  </r>
  <r>
    <x v="23"/>
    <x v="0"/>
    <x v="0"/>
    <n v="4"/>
    <n v="24"/>
    <x v="9"/>
    <s v="[MWG] - Paylater"/>
    <x v="1"/>
    <n v="770000"/>
  </r>
  <r>
    <x v="23"/>
    <x v="0"/>
    <x v="0"/>
    <n v="4"/>
    <n v="24"/>
    <x v="10"/>
    <s v="[MWG] - Paylater"/>
    <x v="1"/>
    <n v="1472880198"/>
  </r>
  <r>
    <x v="23"/>
    <x v="0"/>
    <x v="0"/>
    <n v="4"/>
    <n v="24"/>
    <x v="11"/>
    <s v="[NGS] - Cashloan"/>
    <x v="0"/>
    <n v="0"/>
  </r>
  <r>
    <x v="23"/>
    <x v="0"/>
    <x v="0"/>
    <n v="4"/>
    <n v="24"/>
    <x v="12"/>
    <s v="[VNPOST] - Cashloan"/>
    <x v="0"/>
    <n v="164750000"/>
  </r>
  <r>
    <x v="23"/>
    <x v="0"/>
    <x v="0"/>
    <n v="4"/>
    <n v="24"/>
    <x v="13"/>
    <s v="[VNPOST] - Cashloan"/>
    <x v="0"/>
    <n v="0"/>
  </r>
  <r>
    <x v="23"/>
    <x v="0"/>
    <x v="0"/>
    <n v="4"/>
    <n v="24"/>
    <x v="14"/>
    <s v="[VDS] - Cashloan"/>
    <x v="0"/>
    <n v="13038550000"/>
  </r>
  <r>
    <x v="23"/>
    <x v="0"/>
    <x v="0"/>
    <n v="4"/>
    <n v="24"/>
    <x v="15"/>
    <s v="[VDS] - Cashloan LP"/>
    <x v="0"/>
    <n v="0"/>
  </r>
  <r>
    <x v="23"/>
    <x v="0"/>
    <x v="0"/>
    <n v="4"/>
    <n v="24"/>
    <x v="16"/>
    <s v="[VDS] - Cashloan LP"/>
    <x v="0"/>
    <n v="0"/>
  </r>
  <r>
    <x v="23"/>
    <x v="0"/>
    <x v="0"/>
    <n v="4"/>
    <n v="24"/>
    <x v="17"/>
    <s v="[VDS] - Cashloan LP"/>
    <x v="0"/>
    <n v="0"/>
  </r>
  <r>
    <x v="23"/>
    <x v="0"/>
    <x v="0"/>
    <n v="4"/>
    <n v="24"/>
    <x v="18"/>
    <s v="[VDS] - Cashloan"/>
    <x v="0"/>
    <n v="0"/>
  </r>
  <r>
    <x v="23"/>
    <x v="0"/>
    <x v="0"/>
    <n v="4"/>
    <n v="24"/>
    <x v="19"/>
    <s v="[VDS] - Payday"/>
    <x v="3"/>
    <n v="9946044000"/>
  </r>
  <r>
    <x v="23"/>
    <x v="0"/>
    <x v="0"/>
    <n v="4"/>
    <n v="24"/>
    <x v="20"/>
    <s v="[VDS] - Paylater"/>
    <x v="1"/>
    <n v="155691942"/>
  </r>
  <r>
    <x v="23"/>
    <x v="0"/>
    <x v="0"/>
    <n v="4"/>
    <n v="24"/>
    <x v="21"/>
    <s v="[VDS] - Payroll Cashloan"/>
    <x v="0"/>
    <n v="10500000"/>
  </r>
  <r>
    <x v="23"/>
    <x v="0"/>
    <x v="0"/>
    <n v="4"/>
    <n v="24"/>
    <x v="22"/>
    <s v="[VDS] - Payroll Payday"/>
    <x v="3"/>
    <n v="32000000"/>
  </r>
  <r>
    <x v="23"/>
    <x v="0"/>
    <x v="0"/>
    <n v="4"/>
    <n v="24"/>
    <x v="23"/>
    <s v="[VNPAY] - Cashloan"/>
    <x v="0"/>
    <n v="763170000"/>
  </r>
  <r>
    <x v="23"/>
    <x v="0"/>
    <x v="0"/>
    <n v="4"/>
    <n v="24"/>
    <x v="24"/>
    <s v="[VNPAY] - Payday"/>
    <x v="3"/>
    <n v="337716000"/>
  </r>
  <r>
    <x v="23"/>
    <x v="0"/>
    <x v="0"/>
    <n v="4"/>
    <n v="24"/>
    <x v="25"/>
    <s v="[VNPAY] - Paylater"/>
    <x v="1"/>
    <n v="355477921"/>
  </r>
  <r>
    <x v="23"/>
    <x v="0"/>
    <x v="0"/>
    <n v="4"/>
    <n v="24"/>
    <x v="26"/>
    <s v="[ZLP] - Cashloan"/>
    <x v="0"/>
    <n v="2971960000"/>
  </r>
  <r>
    <x v="23"/>
    <x v="0"/>
    <x v="0"/>
    <n v="4"/>
    <n v="24"/>
    <x v="27"/>
    <s v="[ZLP] - Payday"/>
    <x v="3"/>
    <n v="1006760000"/>
  </r>
  <r>
    <x v="24"/>
    <x v="0"/>
    <x v="0"/>
    <n v="4"/>
    <n v="25"/>
    <x v="0"/>
    <s v="[BE] - Cashloan"/>
    <x v="0"/>
    <n v="658150000"/>
  </r>
  <r>
    <x v="24"/>
    <x v="0"/>
    <x v="0"/>
    <n v="4"/>
    <n v="25"/>
    <x v="1"/>
    <s v="[BE] - Paylater"/>
    <x v="1"/>
    <n v="356598797"/>
  </r>
  <r>
    <x v="24"/>
    <x v="0"/>
    <x v="0"/>
    <n v="4"/>
    <n v="25"/>
    <x v="2"/>
    <s v="[Cake] - Cashloan"/>
    <x v="0"/>
    <n v="12805630000"/>
  </r>
  <r>
    <x v="24"/>
    <x v="0"/>
    <x v="0"/>
    <n v="4"/>
    <n v="25"/>
    <x v="3"/>
    <s v="[Cake] - Overdraft"/>
    <x v="2"/>
    <n v="1641302147"/>
  </r>
  <r>
    <x v="24"/>
    <x v="0"/>
    <x v="0"/>
    <n v="4"/>
    <n v="25"/>
    <x v="4"/>
    <s v="[Cake] - Payday"/>
    <x v="3"/>
    <n v="13490928000"/>
  </r>
  <r>
    <x v="24"/>
    <x v="0"/>
    <x v="0"/>
    <n v="4"/>
    <n v="25"/>
    <x v="5"/>
    <s v="[FPT] - Paylater"/>
    <x v="1"/>
    <n v="15991345"/>
  </r>
  <r>
    <x v="24"/>
    <x v="0"/>
    <x v="0"/>
    <n v="4"/>
    <n v="25"/>
    <x v="6"/>
    <s v="[MISA] - Cashloan"/>
    <x v="0"/>
    <n v="0"/>
  </r>
  <r>
    <x v="24"/>
    <x v="0"/>
    <x v="0"/>
    <n v="4"/>
    <n v="25"/>
    <x v="7"/>
    <s v="[MWG] - Cashloan"/>
    <x v="0"/>
    <n v="5800610000"/>
  </r>
  <r>
    <x v="24"/>
    <x v="0"/>
    <x v="0"/>
    <n v="4"/>
    <n v="25"/>
    <x v="8"/>
    <s v="[MWG] - Cashloan"/>
    <x v="0"/>
    <n v="1009450000"/>
  </r>
  <r>
    <x v="24"/>
    <x v="0"/>
    <x v="0"/>
    <n v="4"/>
    <n v="25"/>
    <x v="9"/>
    <s v="[MWG] - Paylater"/>
    <x v="1"/>
    <n v="7189640"/>
  </r>
  <r>
    <x v="24"/>
    <x v="0"/>
    <x v="0"/>
    <n v="4"/>
    <n v="25"/>
    <x v="10"/>
    <s v="[MWG] - Paylater"/>
    <x v="1"/>
    <n v="1575733898"/>
  </r>
  <r>
    <x v="24"/>
    <x v="0"/>
    <x v="0"/>
    <n v="4"/>
    <n v="25"/>
    <x v="11"/>
    <s v="[NGS] - Cashloan"/>
    <x v="0"/>
    <n v="0"/>
  </r>
  <r>
    <x v="24"/>
    <x v="0"/>
    <x v="0"/>
    <n v="4"/>
    <n v="25"/>
    <x v="12"/>
    <s v="[VNPOST] - Cashloan"/>
    <x v="0"/>
    <n v="196250000"/>
  </r>
  <r>
    <x v="24"/>
    <x v="0"/>
    <x v="0"/>
    <n v="4"/>
    <n v="25"/>
    <x v="13"/>
    <s v="[VNPOST] - Cashloan"/>
    <x v="0"/>
    <n v="0"/>
  </r>
  <r>
    <x v="24"/>
    <x v="0"/>
    <x v="0"/>
    <n v="4"/>
    <n v="25"/>
    <x v="14"/>
    <s v="[VDS] - Cashloan"/>
    <x v="0"/>
    <n v="15535180000"/>
  </r>
  <r>
    <x v="24"/>
    <x v="0"/>
    <x v="0"/>
    <n v="4"/>
    <n v="25"/>
    <x v="15"/>
    <s v="[VDS] - Cashloan LP"/>
    <x v="0"/>
    <n v="0"/>
  </r>
  <r>
    <x v="24"/>
    <x v="0"/>
    <x v="0"/>
    <n v="4"/>
    <n v="25"/>
    <x v="16"/>
    <s v="[VDS] - Cashloan LP"/>
    <x v="0"/>
    <n v="0"/>
  </r>
  <r>
    <x v="24"/>
    <x v="0"/>
    <x v="0"/>
    <n v="4"/>
    <n v="25"/>
    <x v="17"/>
    <s v="[VDS] - Cashloan LP"/>
    <x v="0"/>
    <n v="0"/>
  </r>
  <r>
    <x v="24"/>
    <x v="0"/>
    <x v="0"/>
    <n v="4"/>
    <n v="25"/>
    <x v="18"/>
    <s v="[VDS] - Cashloan"/>
    <x v="0"/>
    <n v="0"/>
  </r>
  <r>
    <x v="24"/>
    <x v="0"/>
    <x v="0"/>
    <n v="4"/>
    <n v="25"/>
    <x v="19"/>
    <s v="[VDS] - Payday"/>
    <x v="3"/>
    <n v="10800864000"/>
  </r>
  <r>
    <x v="24"/>
    <x v="0"/>
    <x v="0"/>
    <n v="4"/>
    <n v="25"/>
    <x v="20"/>
    <s v="[VDS] - Paylater"/>
    <x v="1"/>
    <n v="148339596"/>
  </r>
  <r>
    <x v="24"/>
    <x v="0"/>
    <x v="0"/>
    <n v="4"/>
    <n v="25"/>
    <x v="21"/>
    <s v="[VDS] - Payroll Cashloan"/>
    <x v="0"/>
    <n v="88750000"/>
  </r>
  <r>
    <x v="24"/>
    <x v="0"/>
    <x v="0"/>
    <n v="4"/>
    <n v="25"/>
    <x v="22"/>
    <s v="[VDS] - Payroll Payday"/>
    <x v="3"/>
    <n v="57000000"/>
  </r>
  <r>
    <x v="24"/>
    <x v="0"/>
    <x v="0"/>
    <n v="4"/>
    <n v="25"/>
    <x v="23"/>
    <s v="[VNPAY] - Cashloan"/>
    <x v="0"/>
    <n v="996540000"/>
  </r>
  <r>
    <x v="24"/>
    <x v="0"/>
    <x v="0"/>
    <n v="4"/>
    <n v="25"/>
    <x v="24"/>
    <s v="[VNPAY] - Payday"/>
    <x v="3"/>
    <n v="296136000"/>
  </r>
  <r>
    <x v="24"/>
    <x v="0"/>
    <x v="0"/>
    <n v="4"/>
    <n v="25"/>
    <x v="25"/>
    <s v="[VNPAY] - Paylater"/>
    <x v="1"/>
    <n v="326258892"/>
  </r>
  <r>
    <x v="24"/>
    <x v="0"/>
    <x v="0"/>
    <n v="4"/>
    <n v="25"/>
    <x v="26"/>
    <s v="[ZLP] - Cashloan"/>
    <x v="0"/>
    <n v="3117690000"/>
  </r>
  <r>
    <x v="24"/>
    <x v="0"/>
    <x v="0"/>
    <n v="4"/>
    <n v="25"/>
    <x v="27"/>
    <s v="[ZLP] - Payday"/>
    <x v="3"/>
    <n v="1059840000"/>
  </r>
  <r>
    <x v="25"/>
    <x v="0"/>
    <x v="0"/>
    <n v="5"/>
    <n v="26"/>
    <x v="0"/>
    <s v="[BE] - Cashloan"/>
    <x v="0"/>
    <n v="666750000"/>
  </r>
  <r>
    <x v="25"/>
    <x v="0"/>
    <x v="0"/>
    <n v="5"/>
    <n v="26"/>
    <x v="1"/>
    <s v="[BE] - Paylater"/>
    <x v="1"/>
    <n v="324787575"/>
  </r>
  <r>
    <x v="25"/>
    <x v="0"/>
    <x v="0"/>
    <n v="5"/>
    <n v="26"/>
    <x v="2"/>
    <s v="[Cake] - Cashloan"/>
    <x v="0"/>
    <n v="17445010000"/>
  </r>
  <r>
    <x v="25"/>
    <x v="0"/>
    <x v="0"/>
    <n v="5"/>
    <n v="26"/>
    <x v="3"/>
    <s v="[Cake] - Overdraft"/>
    <x v="2"/>
    <n v="2175792087"/>
  </r>
  <r>
    <x v="25"/>
    <x v="0"/>
    <x v="0"/>
    <n v="5"/>
    <n v="26"/>
    <x v="4"/>
    <s v="[Cake] - Payday"/>
    <x v="3"/>
    <n v="14287320000"/>
  </r>
  <r>
    <x v="25"/>
    <x v="0"/>
    <x v="0"/>
    <n v="5"/>
    <n v="26"/>
    <x v="5"/>
    <s v="[FPT] - Paylater"/>
    <x v="1"/>
    <n v="9531104"/>
  </r>
  <r>
    <x v="25"/>
    <x v="0"/>
    <x v="0"/>
    <n v="5"/>
    <n v="26"/>
    <x v="6"/>
    <s v="[MISA] - Cashloan"/>
    <x v="0"/>
    <n v="0"/>
  </r>
  <r>
    <x v="25"/>
    <x v="0"/>
    <x v="0"/>
    <n v="5"/>
    <n v="26"/>
    <x v="7"/>
    <s v="[MWG] - Cashloan"/>
    <x v="0"/>
    <n v="5627660000"/>
  </r>
  <r>
    <x v="25"/>
    <x v="0"/>
    <x v="0"/>
    <n v="5"/>
    <n v="26"/>
    <x v="8"/>
    <s v="[MWG] - Cashloan"/>
    <x v="0"/>
    <n v="1307270000"/>
  </r>
  <r>
    <x v="25"/>
    <x v="0"/>
    <x v="0"/>
    <n v="5"/>
    <n v="26"/>
    <x v="9"/>
    <s v="[MWG] - Paylater"/>
    <x v="1"/>
    <n v="6409383"/>
  </r>
  <r>
    <x v="25"/>
    <x v="0"/>
    <x v="0"/>
    <n v="5"/>
    <n v="26"/>
    <x v="10"/>
    <s v="[MWG] - Paylater"/>
    <x v="1"/>
    <n v="1073074928"/>
  </r>
  <r>
    <x v="25"/>
    <x v="0"/>
    <x v="0"/>
    <n v="5"/>
    <n v="26"/>
    <x v="11"/>
    <s v="[NGS] - Cashloan"/>
    <x v="0"/>
    <n v="0"/>
  </r>
  <r>
    <x v="25"/>
    <x v="0"/>
    <x v="0"/>
    <n v="5"/>
    <n v="26"/>
    <x v="12"/>
    <s v="[VNPOST] - Cashloan"/>
    <x v="0"/>
    <n v="355850000"/>
  </r>
  <r>
    <x v="25"/>
    <x v="0"/>
    <x v="0"/>
    <n v="5"/>
    <n v="26"/>
    <x v="13"/>
    <s v="[VNPOST] - Cashloan"/>
    <x v="0"/>
    <n v="75000000"/>
  </r>
  <r>
    <x v="25"/>
    <x v="0"/>
    <x v="0"/>
    <n v="5"/>
    <n v="26"/>
    <x v="14"/>
    <s v="[VDS] - Cashloan"/>
    <x v="0"/>
    <n v="16128990000"/>
  </r>
  <r>
    <x v="25"/>
    <x v="0"/>
    <x v="0"/>
    <n v="5"/>
    <n v="26"/>
    <x v="15"/>
    <s v="[VDS] - Cashloan LP"/>
    <x v="0"/>
    <n v="0"/>
  </r>
  <r>
    <x v="25"/>
    <x v="0"/>
    <x v="0"/>
    <n v="5"/>
    <n v="26"/>
    <x v="16"/>
    <s v="[VDS] - Cashloan LP"/>
    <x v="0"/>
    <n v="0"/>
  </r>
  <r>
    <x v="25"/>
    <x v="0"/>
    <x v="0"/>
    <n v="5"/>
    <n v="26"/>
    <x v="17"/>
    <s v="[VDS] - Cashloan LP"/>
    <x v="0"/>
    <n v="0"/>
  </r>
  <r>
    <x v="25"/>
    <x v="0"/>
    <x v="0"/>
    <n v="5"/>
    <n v="26"/>
    <x v="18"/>
    <s v="[VDS] - Cashloan"/>
    <x v="0"/>
    <n v="0"/>
  </r>
  <r>
    <x v="25"/>
    <x v="0"/>
    <x v="0"/>
    <n v="5"/>
    <n v="26"/>
    <x v="19"/>
    <s v="[VDS] - Payday"/>
    <x v="3"/>
    <n v="10711872000"/>
  </r>
  <r>
    <x v="25"/>
    <x v="0"/>
    <x v="0"/>
    <n v="5"/>
    <n v="26"/>
    <x v="20"/>
    <s v="[VDS] - Paylater"/>
    <x v="1"/>
    <n v="204077149"/>
  </r>
  <r>
    <x v="25"/>
    <x v="0"/>
    <x v="0"/>
    <n v="5"/>
    <n v="26"/>
    <x v="21"/>
    <s v="[VDS] - Payroll Cashloan"/>
    <x v="0"/>
    <n v="16000000"/>
  </r>
  <r>
    <x v="25"/>
    <x v="0"/>
    <x v="0"/>
    <n v="5"/>
    <n v="26"/>
    <x v="22"/>
    <s v="[VDS] - Payroll Payday"/>
    <x v="3"/>
    <n v="65000000"/>
  </r>
  <r>
    <x v="25"/>
    <x v="0"/>
    <x v="0"/>
    <n v="5"/>
    <n v="26"/>
    <x v="23"/>
    <s v="[VNPAY] - Cashloan"/>
    <x v="0"/>
    <n v="794300000"/>
  </r>
  <r>
    <x v="25"/>
    <x v="0"/>
    <x v="0"/>
    <n v="5"/>
    <n v="26"/>
    <x v="24"/>
    <s v="[VNPAY] - Payday"/>
    <x v="3"/>
    <n v="357480000"/>
  </r>
  <r>
    <x v="25"/>
    <x v="0"/>
    <x v="0"/>
    <n v="5"/>
    <n v="26"/>
    <x v="25"/>
    <s v="[VNPAY] - Paylater"/>
    <x v="1"/>
    <n v="393358233"/>
  </r>
  <r>
    <x v="25"/>
    <x v="0"/>
    <x v="0"/>
    <n v="5"/>
    <n v="26"/>
    <x v="26"/>
    <s v="[ZLP] - Cashloan"/>
    <x v="0"/>
    <n v="3576450000"/>
  </r>
  <r>
    <x v="25"/>
    <x v="0"/>
    <x v="0"/>
    <n v="5"/>
    <n v="26"/>
    <x v="27"/>
    <s v="[ZLP] - Payday"/>
    <x v="3"/>
    <n v="1035520000"/>
  </r>
  <r>
    <x v="26"/>
    <x v="0"/>
    <x v="0"/>
    <n v="5"/>
    <n v="27"/>
    <x v="0"/>
    <s v="[BE] - Cashloan"/>
    <x v="0"/>
    <n v="860950000"/>
  </r>
  <r>
    <x v="26"/>
    <x v="0"/>
    <x v="0"/>
    <n v="5"/>
    <n v="27"/>
    <x v="1"/>
    <s v="[BE] - Paylater"/>
    <x v="1"/>
    <n v="307292331"/>
  </r>
  <r>
    <x v="26"/>
    <x v="0"/>
    <x v="0"/>
    <n v="5"/>
    <n v="27"/>
    <x v="2"/>
    <s v="[Cake] - Cashloan"/>
    <x v="0"/>
    <n v="15198910000"/>
  </r>
  <r>
    <x v="26"/>
    <x v="0"/>
    <x v="0"/>
    <n v="5"/>
    <n v="27"/>
    <x v="3"/>
    <s v="[Cake] - Overdraft"/>
    <x v="2"/>
    <n v="1750348854"/>
  </r>
  <r>
    <x v="26"/>
    <x v="0"/>
    <x v="0"/>
    <n v="5"/>
    <n v="27"/>
    <x v="4"/>
    <s v="[Cake] - Payday"/>
    <x v="3"/>
    <n v="13099644000"/>
  </r>
  <r>
    <x v="26"/>
    <x v="0"/>
    <x v="0"/>
    <n v="5"/>
    <n v="27"/>
    <x v="5"/>
    <s v="[FPT] - Paylater"/>
    <x v="1"/>
    <n v="12824565"/>
  </r>
  <r>
    <x v="26"/>
    <x v="0"/>
    <x v="0"/>
    <n v="5"/>
    <n v="27"/>
    <x v="6"/>
    <s v="[MISA] - Cashloan"/>
    <x v="0"/>
    <n v="90000000"/>
  </r>
  <r>
    <x v="26"/>
    <x v="0"/>
    <x v="0"/>
    <n v="5"/>
    <n v="27"/>
    <x v="7"/>
    <s v="[MWG] - Cashloan"/>
    <x v="0"/>
    <n v="4565830000"/>
  </r>
  <r>
    <x v="26"/>
    <x v="0"/>
    <x v="0"/>
    <n v="5"/>
    <n v="27"/>
    <x v="8"/>
    <s v="[MWG] - Cashloan"/>
    <x v="0"/>
    <n v="1184310000"/>
  </r>
  <r>
    <x v="26"/>
    <x v="0"/>
    <x v="0"/>
    <n v="5"/>
    <n v="27"/>
    <x v="9"/>
    <s v="[MWG] - Paylater"/>
    <x v="1"/>
    <n v="6093112"/>
  </r>
  <r>
    <x v="26"/>
    <x v="0"/>
    <x v="0"/>
    <n v="5"/>
    <n v="27"/>
    <x v="10"/>
    <s v="[MWG] - Paylater"/>
    <x v="1"/>
    <n v="1097345636"/>
  </r>
  <r>
    <x v="26"/>
    <x v="0"/>
    <x v="0"/>
    <n v="5"/>
    <n v="27"/>
    <x v="11"/>
    <s v="[NGS] - Cashloan"/>
    <x v="0"/>
    <n v="0"/>
  </r>
  <r>
    <x v="26"/>
    <x v="0"/>
    <x v="0"/>
    <n v="5"/>
    <n v="27"/>
    <x v="12"/>
    <s v="[VNPOST] - Cashloan"/>
    <x v="0"/>
    <n v="269100000"/>
  </r>
  <r>
    <x v="26"/>
    <x v="0"/>
    <x v="0"/>
    <n v="5"/>
    <n v="27"/>
    <x v="13"/>
    <s v="[VNPOST] - Cashloan"/>
    <x v="0"/>
    <n v="50000000"/>
  </r>
  <r>
    <x v="26"/>
    <x v="0"/>
    <x v="0"/>
    <n v="5"/>
    <n v="27"/>
    <x v="14"/>
    <s v="[VDS] - Cashloan"/>
    <x v="0"/>
    <n v="16055550000"/>
  </r>
  <r>
    <x v="26"/>
    <x v="0"/>
    <x v="0"/>
    <n v="5"/>
    <n v="27"/>
    <x v="15"/>
    <s v="[VDS] - Cashloan LP"/>
    <x v="0"/>
    <n v="0"/>
  </r>
  <r>
    <x v="26"/>
    <x v="0"/>
    <x v="0"/>
    <n v="5"/>
    <n v="27"/>
    <x v="16"/>
    <s v="[VDS] - Cashloan LP"/>
    <x v="0"/>
    <n v="0"/>
  </r>
  <r>
    <x v="26"/>
    <x v="0"/>
    <x v="0"/>
    <n v="5"/>
    <n v="27"/>
    <x v="17"/>
    <s v="[VDS] - Cashloan LP"/>
    <x v="0"/>
    <n v="0"/>
  </r>
  <r>
    <x v="26"/>
    <x v="0"/>
    <x v="0"/>
    <n v="5"/>
    <n v="27"/>
    <x v="18"/>
    <s v="[VDS] - Cashloan"/>
    <x v="0"/>
    <n v="0"/>
  </r>
  <r>
    <x v="26"/>
    <x v="0"/>
    <x v="0"/>
    <n v="5"/>
    <n v="27"/>
    <x v="19"/>
    <s v="[VDS] - Payday"/>
    <x v="3"/>
    <n v="10637892000"/>
  </r>
  <r>
    <x v="26"/>
    <x v="0"/>
    <x v="0"/>
    <n v="5"/>
    <n v="27"/>
    <x v="20"/>
    <s v="[VDS] - Paylater"/>
    <x v="1"/>
    <n v="143015462"/>
  </r>
  <r>
    <x v="26"/>
    <x v="0"/>
    <x v="0"/>
    <n v="5"/>
    <n v="27"/>
    <x v="21"/>
    <s v="[VDS] - Payroll Cashloan"/>
    <x v="0"/>
    <n v="42000000"/>
  </r>
  <r>
    <x v="26"/>
    <x v="0"/>
    <x v="0"/>
    <n v="5"/>
    <n v="27"/>
    <x v="22"/>
    <s v="[VDS] - Payroll Payday"/>
    <x v="3"/>
    <n v="29000000"/>
  </r>
  <r>
    <x v="26"/>
    <x v="0"/>
    <x v="0"/>
    <n v="5"/>
    <n v="27"/>
    <x v="23"/>
    <s v="[VNPAY] - Cashloan"/>
    <x v="0"/>
    <n v="802390000"/>
  </r>
  <r>
    <x v="26"/>
    <x v="0"/>
    <x v="0"/>
    <n v="5"/>
    <n v="27"/>
    <x v="24"/>
    <s v="[VNPAY] - Payday"/>
    <x v="3"/>
    <n v="308448000"/>
  </r>
  <r>
    <x v="26"/>
    <x v="0"/>
    <x v="0"/>
    <n v="5"/>
    <n v="27"/>
    <x v="25"/>
    <s v="[VNPAY] - Paylater"/>
    <x v="1"/>
    <n v="407241449"/>
  </r>
  <r>
    <x v="26"/>
    <x v="0"/>
    <x v="0"/>
    <n v="5"/>
    <n v="27"/>
    <x v="26"/>
    <s v="[ZLP] - Cashloan"/>
    <x v="0"/>
    <n v="3536010000"/>
  </r>
  <r>
    <x v="26"/>
    <x v="0"/>
    <x v="0"/>
    <n v="5"/>
    <n v="27"/>
    <x v="27"/>
    <s v="[ZLP] - Payday"/>
    <x v="3"/>
    <n v="1021120000"/>
  </r>
  <r>
    <x v="27"/>
    <x v="0"/>
    <x v="0"/>
    <n v="5"/>
    <n v="28"/>
    <x v="0"/>
    <s v="[BE] - Cashloan"/>
    <x v="0"/>
    <n v="899600000"/>
  </r>
  <r>
    <x v="27"/>
    <x v="0"/>
    <x v="0"/>
    <n v="5"/>
    <n v="28"/>
    <x v="1"/>
    <s v="[BE] - Paylater"/>
    <x v="1"/>
    <n v="313527514"/>
  </r>
  <r>
    <x v="27"/>
    <x v="0"/>
    <x v="0"/>
    <n v="5"/>
    <n v="28"/>
    <x v="2"/>
    <s v="[Cake] - Cashloan"/>
    <x v="0"/>
    <n v="16788790000"/>
  </r>
  <r>
    <x v="27"/>
    <x v="0"/>
    <x v="0"/>
    <n v="5"/>
    <n v="28"/>
    <x v="3"/>
    <s v="[Cake] - Overdraft"/>
    <x v="2"/>
    <n v="2143002804"/>
  </r>
  <r>
    <x v="27"/>
    <x v="0"/>
    <x v="0"/>
    <n v="5"/>
    <n v="28"/>
    <x v="4"/>
    <s v="[Cake] - Payday"/>
    <x v="3"/>
    <n v="12049560000"/>
  </r>
  <r>
    <x v="27"/>
    <x v="0"/>
    <x v="0"/>
    <n v="5"/>
    <n v="28"/>
    <x v="5"/>
    <s v="[FPT] - Paylater"/>
    <x v="1"/>
    <n v="6050161"/>
  </r>
  <r>
    <x v="27"/>
    <x v="0"/>
    <x v="0"/>
    <n v="5"/>
    <n v="28"/>
    <x v="6"/>
    <s v="[MISA] - Cashloan"/>
    <x v="0"/>
    <n v="0"/>
  </r>
  <r>
    <x v="27"/>
    <x v="0"/>
    <x v="0"/>
    <n v="5"/>
    <n v="28"/>
    <x v="7"/>
    <s v="[MWG] - Cashloan"/>
    <x v="0"/>
    <n v="4504150000"/>
  </r>
  <r>
    <x v="27"/>
    <x v="0"/>
    <x v="0"/>
    <n v="5"/>
    <n v="28"/>
    <x v="8"/>
    <s v="[MWG] - Cashloan"/>
    <x v="0"/>
    <n v="1271400000"/>
  </r>
  <r>
    <x v="27"/>
    <x v="0"/>
    <x v="0"/>
    <n v="5"/>
    <n v="28"/>
    <x v="9"/>
    <s v="[MWG] - Paylater"/>
    <x v="1"/>
    <n v="9141345"/>
  </r>
  <r>
    <x v="27"/>
    <x v="0"/>
    <x v="0"/>
    <n v="5"/>
    <n v="28"/>
    <x v="10"/>
    <s v="[MWG] - Paylater"/>
    <x v="1"/>
    <n v="783786124"/>
  </r>
  <r>
    <x v="27"/>
    <x v="0"/>
    <x v="0"/>
    <n v="5"/>
    <n v="28"/>
    <x v="11"/>
    <s v="[NGS] - Cashloan"/>
    <x v="0"/>
    <n v="0"/>
  </r>
  <r>
    <x v="27"/>
    <x v="0"/>
    <x v="0"/>
    <n v="5"/>
    <n v="28"/>
    <x v="12"/>
    <s v="[VNPOST] - Cashloan"/>
    <x v="0"/>
    <n v="10500000"/>
  </r>
  <r>
    <x v="27"/>
    <x v="0"/>
    <x v="0"/>
    <n v="5"/>
    <n v="28"/>
    <x v="13"/>
    <s v="[VNPOST] - Cashloan"/>
    <x v="0"/>
    <n v="0"/>
  </r>
  <r>
    <x v="27"/>
    <x v="0"/>
    <x v="0"/>
    <n v="5"/>
    <n v="28"/>
    <x v="14"/>
    <s v="[VDS] - Cashloan"/>
    <x v="0"/>
    <n v="17562710000"/>
  </r>
  <r>
    <x v="27"/>
    <x v="0"/>
    <x v="0"/>
    <n v="5"/>
    <n v="28"/>
    <x v="15"/>
    <s v="[VDS] - Cashloan LP"/>
    <x v="0"/>
    <n v="0"/>
  </r>
  <r>
    <x v="27"/>
    <x v="0"/>
    <x v="0"/>
    <n v="5"/>
    <n v="28"/>
    <x v="16"/>
    <s v="[VDS] - Cashloan LP"/>
    <x v="0"/>
    <n v="0"/>
  </r>
  <r>
    <x v="27"/>
    <x v="0"/>
    <x v="0"/>
    <n v="5"/>
    <n v="28"/>
    <x v="17"/>
    <s v="[VDS] - Cashloan LP"/>
    <x v="0"/>
    <n v="0"/>
  </r>
  <r>
    <x v="27"/>
    <x v="0"/>
    <x v="0"/>
    <n v="5"/>
    <n v="28"/>
    <x v="18"/>
    <s v="[VDS] - Cashloan"/>
    <x v="0"/>
    <n v="0"/>
  </r>
  <r>
    <x v="27"/>
    <x v="0"/>
    <x v="0"/>
    <n v="5"/>
    <n v="28"/>
    <x v="19"/>
    <s v="[VDS] - Payday"/>
    <x v="3"/>
    <n v="9428184000"/>
  </r>
  <r>
    <x v="27"/>
    <x v="0"/>
    <x v="0"/>
    <n v="5"/>
    <n v="28"/>
    <x v="20"/>
    <s v="[VDS] - Paylater"/>
    <x v="1"/>
    <n v="137552159"/>
  </r>
  <r>
    <x v="27"/>
    <x v="0"/>
    <x v="0"/>
    <n v="5"/>
    <n v="28"/>
    <x v="21"/>
    <s v="[VDS] - Payroll Cashloan"/>
    <x v="0"/>
    <n v="52500000"/>
  </r>
  <r>
    <x v="27"/>
    <x v="0"/>
    <x v="0"/>
    <n v="5"/>
    <n v="28"/>
    <x v="22"/>
    <s v="[VDS] - Payroll Payday"/>
    <x v="3"/>
    <n v="44000000"/>
  </r>
  <r>
    <x v="27"/>
    <x v="0"/>
    <x v="0"/>
    <n v="5"/>
    <n v="28"/>
    <x v="23"/>
    <s v="[VNPAY] - Cashloan"/>
    <x v="0"/>
    <n v="1038630000"/>
  </r>
  <r>
    <x v="27"/>
    <x v="0"/>
    <x v="0"/>
    <n v="5"/>
    <n v="28"/>
    <x v="24"/>
    <s v="[VNPAY] - Payday"/>
    <x v="3"/>
    <n v="227772000"/>
  </r>
  <r>
    <x v="27"/>
    <x v="0"/>
    <x v="0"/>
    <n v="5"/>
    <n v="28"/>
    <x v="25"/>
    <s v="[VNPAY] - Paylater"/>
    <x v="1"/>
    <n v="437135256"/>
  </r>
  <r>
    <x v="27"/>
    <x v="0"/>
    <x v="0"/>
    <n v="5"/>
    <n v="28"/>
    <x v="26"/>
    <s v="[ZLP] - Cashloan"/>
    <x v="0"/>
    <n v="3824400000"/>
  </r>
  <r>
    <x v="27"/>
    <x v="0"/>
    <x v="0"/>
    <n v="5"/>
    <n v="28"/>
    <x v="27"/>
    <s v="[ZLP] - Payday"/>
    <x v="3"/>
    <n v="1150200000"/>
  </r>
  <r>
    <x v="28"/>
    <x v="0"/>
    <x v="0"/>
    <n v="5"/>
    <n v="29"/>
    <x v="0"/>
    <s v="[BE] - Cashloan"/>
    <x v="0"/>
    <n v="686550000"/>
  </r>
  <r>
    <x v="28"/>
    <x v="0"/>
    <x v="0"/>
    <n v="5"/>
    <n v="29"/>
    <x v="1"/>
    <s v="[BE] - Paylater"/>
    <x v="1"/>
    <n v="312566304"/>
  </r>
  <r>
    <x v="28"/>
    <x v="0"/>
    <x v="0"/>
    <n v="5"/>
    <n v="29"/>
    <x v="2"/>
    <s v="[Cake] - Cashloan"/>
    <x v="0"/>
    <n v="17662440000"/>
  </r>
  <r>
    <x v="28"/>
    <x v="0"/>
    <x v="0"/>
    <n v="5"/>
    <n v="29"/>
    <x v="3"/>
    <s v="[Cake] - Overdraft"/>
    <x v="2"/>
    <n v="1930713305"/>
  </r>
  <r>
    <x v="28"/>
    <x v="0"/>
    <x v="0"/>
    <n v="5"/>
    <n v="29"/>
    <x v="4"/>
    <s v="[Cake] - Payday"/>
    <x v="3"/>
    <n v="12649068000"/>
  </r>
  <r>
    <x v="28"/>
    <x v="0"/>
    <x v="0"/>
    <n v="5"/>
    <n v="29"/>
    <x v="5"/>
    <s v="[FPT] - Paylater"/>
    <x v="1"/>
    <n v="18451945"/>
  </r>
  <r>
    <x v="28"/>
    <x v="0"/>
    <x v="0"/>
    <n v="5"/>
    <n v="29"/>
    <x v="6"/>
    <s v="[MISA] - Cashloan"/>
    <x v="0"/>
    <n v="0"/>
  </r>
  <r>
    <x v="28"/>
    <x v="0"/>
    <x v="0"/>
    <n v="5"/>
    <n v="29"/>
    <x v="7"/>
    <s v="[MWG] - Cashloan"/>
    <x v="0"/>
    <n v="4552060000"/>
  </r>
  <r>
    <x v="28"/>
    <x v="0"/>
    <x v="0"/>
    <n v="5"/>
    <n v="29"/>
    <x v="8"/>
    <s v="[MWG] - Cashloan"/>
    <x v="0"/>
    <n v="1235550000"/>
  </r>
  <r>
    <x v="28"/>
    <x v="0"/>
    <x v="0"/>
    <n v="5"/>
    <n v="29"/>
    <x v="9"/>
    <s v="[MWG] - Paylater"/>
    <x v="1"/>
    <n v="31476240"/>
  </r>
  <r>
    <x v="28"/>
    <x v="0"/>
    <x v="0"/>
    <n v="5"/>
    <n v="29"/>
    <x v="10"/>
    <s v="[MWG] - Paylater"/>
    <x v="1"/>
    <n v="1004030468"/>
  </r>
  <r>
    <x v="28"/>
    <x v="0"/>
    <x v="0"/>
    <n v="5"/>
    <n v="29"/>
    <x v="11"/>
    <s v="[NGS] - Cashloan"/>
    <x v="0"/>
    <n v="0"/>
  </r>
  <r>
    <x v="28"/>
    <x v="0"/>
    <x v="0"/>
    <n v="5"/>
    <n v="29"/>
    <x v="12"/>
    <s v="[VNPOST] - Cashloan"/>
    <x v="0"/>
    <n v="82000000"/>
  </r>
  <r>
    <x v="28"/>
    <x v="0"/>
    <x v="0"/>
    <n v="5"/>
    <n v="29"/>
    <x v="13"/>
    <s v="[VNPOST] - Cashloan"/>
    <x v="0"/>
    <n v="0"/>
  </r>
  <r>
    <x v="28"/>
    <x v="0"/>
    <x v="0"/>
    <n v="5"/>
    <n v="29"/>
    <x v="14"/>
    <s v="[VDS] - Cashloan"/>
    <x v="0"/>
    <n v="15671860000"/>
  </r>
  <r>
    <x v="28"/>
    <x v="0"/>
    <x v="0"/>
    <n v="5"/>
    <n v="29"/>
    <x v="15"/>
    <s v="[VDS] - Cashloan LP"/>
    <x v="0"/>
    <n v="0"/>
  </r>
  <r>
    <x v="28"/>
    <x v="0"/>
    <x v="0"/>
    <n v="5"/>
    <n v="29"/>
    <x v="16"/>
    <s v="[VDS] - Cashloan LP"/>
    <x v="0"/>
    <n v="0"/>
  </r>
  <r>
    <x v="28"/>
    <x v="0"/>
    <x v="0"/>
    <n v="5"/>
    <n v="29"/>
    <x v="17"/>
    <s v="[VDS] - Cashloan LP"/>
    <x v="0"/>
    <n v="0"/>
  </r>
  <r>
    <x v="28"/>
    <x v="0"/>
    <x v="0"/>
    <n v="5"/>
    <n v="29"/>
    <x v="18"/>
    <s v="[VDS] - Cashloan"/>
    <x v="0"/>
    <n v="0"/>
  </r>
  <r>
    <x v="28"/>
    <x v="0"/>
    <x v="0"/>
    <n v="5"/>
    <n v="29"/>
    <x v="19"/>
    <s v="[VDS] - Payday"/>
    <x v="3"/>
    <n v="9746352000"/>
  </r>
  <r>
    <x v="28"/>
    <x v="0"/>
    <x v="0"/>
    <n v="5"/>
    <n v="29"/>
    <x v="20"/>
    <s v="[VDS] - Paylater"/>
    <x v="1"/>
    <n v="154146315"/>
  </r>
  <r>
    <x v="28"/>
    <x v="0"/>
    <x v="0"/>
    <n v="5"/>
    <n v="29"/>
    <x v="21"/>
    <s v="[VDS] - Payroll Cashloan"/>
    <x v="0"/>
    <n v="56700000"/>
  </r>
  <r>
    <x v="28"/>
    <x v="0"/>
    <x v="0"/>
    <n v="5"/>
    <n v="29"/>
    <x v="22"/>
    <s v="[VDS] - Payroll Payday"/>
    <x v="3"/>
    <n v="18000000"/>
  </r>
  <r>
    <x v="28"/>
    <x v="0"/>
    <x v="0"/>
    <n v="5"/>
    <n v="29"/>
    <x v="23"/>
    <s v="[VNPAY] - Cashloan"/>
    <x v="0"/>
    <n v="925150000"/>
  </r>
  <r>
    <x v="28"/>
    <x v="0"/>
    <x v="0"/>
    <n v="5"/>
    <n v="29"/>
    <x v="24"/>
    <s v="[VNPAY] - Payday"/>
    <x v="3"/>
    <n v="329400000"/>
  </r>
  <r>
    <x v="28"/>
    <x v="0"/>
    <x v="0"/>
    <n v="5"/>
    <n v="29"/>
    <x v="25"/>
    <s v="[VNPAY] - Paylater"/>
    <x v="1"/>
    <n v="484685422"/>
  </r>
  <r>
    <x v="28"/>
    <x v="0"/>
    <x v="0"/>
    <n v="5"/>
    <n v="29"/>
    <x v="26"/>
    <s v="[ZLP] - Cashloan"/>
    <x v="0"/>
    <n v="2946050000"/>
  </r>
  <r>
    <x v="28"/>
    <x v="0"/>
    <x v="0"/>
    <n v="5"/>
    <n v="29"/>
    <x v="27"/>
    <s v="[ZLP] - Payday"/>
    <x v="3"/>
    <n v="1033280000"/>
  </r>
  <r>
    <x v="29"/>
    <x v="0"/>
    <x v="0"/>
    <n v="5"/>
    <n v="30"/>
    <x v="0"/>
    <s v="[BE] - Cashloan"/>
    <x v="0"/>
    <n v="596850000"/>
  </r>
  <r>
    <x v="29"/>
    <x v="0"/>
    <x v="0"/>
    <n v="5"/>
    <n v="30"/>
    <x v="1"/>
    <s v="[BE] - Paylater"/>
    <x v="1"/>
    <n v="361337313"/>
  </r>
  <r>
    <x v="29"/>
    <x v="0"/>
    <x v="0"/>
    <n v="5"/>
    <n v="30"/>
    <x v="2"/>
    <s v="[Cake] - Cashloan"/>
    <x v="0"/>
    <n v="17772880000"/>
  </r>
  <r>
    <x v="29"/>
    <x v="0"/>
    <x v="0"/>
    <n v="5"/>
    <n v="30"/>
    <x v="3"/>
    <s v="[Cake] - Overdraft"/>
    <x v="2"/>
    <n v="2277389791"/>
  </r>
  <r>
    <x v="29"/>
    <x v="0"/>
    <x v="0"/>
    <n v="5"/>
    <n v="30"/>
    <x v="4"/>
    <s v="[Cake] - Payday"/>
    <x v="3"/>
    <n v="13122432000"/>
  </r>
  <r>
    <x v="29"/>
    <x v="0"/>
    <x v="0"/>
    <n v="5"/>
    <n v="30"/>
    <x v="5"/>
    <s v="[FPT] - Paylater"/>
    <x v="1"/>
    <n v="17800435"/>
  </r>
  <r>
    <x v="29"/>
    <x v="0"/>
    <x v="0"/>
    <n v="5"/>
    <n v="30"/>
    <x v="6"/>
    <s v="[MISA] - Cashloan"/>
    <x v="0"/>
    <n v="90000000"/>
  </r>
  <r>
    <x v="29"/>
    <x v="0"/>
    <x v="0"/>
    <n v="5"/>
    <n v="30"/>
    <x v="7"/>
    <s v="[MWG] - Cashloan"/>
    <x v="0"/>
    <n v="4045960000"/>
  </r>
  <r>
    <x v="29"/>
    <x v="0"/>
    <x v="0"/>
    <n v="5"/>
    <n v="30"/>
    <x v="8"/>
    <s v="[MWG] - Cashloan"/>
    <x v="0"/>
    <n v="1251400000"/>
  </r>
  <r>
    <x v="29"/>
    <x v="0"/>
    <x v="0"/>
    <n v="5"/>
    <n v="30"/>
    <x v="9"/>
    <s v="[MWG] - Paylater"/>
    <x v="1"/>
    <n v="33450483"/>
  </r>
  <r>
    <x v="29"/>
    <x v="0"/>
    <x v="0"/>
    <n v="5"/>
    <n v="30"/>
    <x v="10"/>
    <s v="[MWG] - Paylater"/>
    <x v="1"/>
    <n v="1191721323"/>
  </r>
  <r>
    <x v="29"/>
    <x v="0"/>
    <x v="0"/>
    <n v="5"/>
    <n v="30"/>
    <x v="11"/>
    <s v="[NGS] - Cashloan"/>
    <x v="0"/>
    <n v="0"/>
  </r>
  <r>
    <x v="29"/>
    <x v="0"/>
    <x v="0"/>
    <n v="5"/>
    <n v="30"/>
    <x v="12"/>
    <s v="[VNPOST] - Cashloan"/>
    <x v="0"/>
    <n v="196500000"/>
  </r>
  <r>
    <x v="29"/>
    <x v="0"/>
    <x v="0"/>
    <n v="5"/>
    <n v="30"/>
    <x v="13"/>
    <s v="[VNPOST] - Cashloan"/>
    <x v="0"/>
    <n v="0"/>
  </r>
  <r>
    <x v="29"/>
    <x v="0"/>
    <x v="0"/>
    <n v="5"/>
    <n v="30"/>
    <x v="14"/>
    <s v="[VDS] - Cashloan"/>
    <x v="0"/>
    <n v="19896470000"/>
  </r>
  <r>
    <x v="29"/>
    <x v="0"/>
    <x v="0"/>
    <n v="5"/>
    <n v="30"/>
    <x v="15"/>
    <s v="[VDS] - Cashloan LP"/>
    <x v="0"/>
    <n v="0"/>
  </r>
  <r>
    <x v="29"/>
    <x v="0"/>
    <x v="0"/>
    <n v="5"/>
    <n v="30"/>
    <x v="16"/>
    <s v="[VDS] - Cashloan LP"/>
    <x v="0"/>
    <n v="0"/>
  </r>
  <r>
    <x v="29"/>
    <x v="0"/>
    <x v="0"/>
    <n v="5"/>
    <n v="30"/>
    <x v="17"/>
    <s v="[VDS] - Cashloan LP"/>
    <x v="0"/>
    <n v="0"/>
  </r>
  <r>
    <x v="29"/>
    <x v="0"/>
    <x v="0"/>
    <n v="5"/>
    <n v="30"/>
    <x v="18"/>
    <s v="[VDS] - Cashloan"/>
    <x v="0"/>
    <n v="20000000"/>
  </r>
  <r>
    <x v="29"/>
    <x v="0"/>
    <x v="0"/>
    <n v="5"/>
    <n v="30"/>
    <x v="19"/>
    <s v="[VDS] - Payday"/>
    <x v="3"/>
    <n v="10135908000"/>
  </r>
  <r>
    <x v="29"/>
    <x v="0"/>
    <x v="0"/>
    <n v="5"/>
    <n v="30"/>
    <x v="20"/>
    <s v="[VDS] - Paylater"/>
    <x v="1"/>
    <n v="163204446"/>
  </r>
  <r>
    <x v="29"/>
    <x v="0"/>
    <x v="0"/>
    <n v="5"/>
    <n v="30"/>
    <x v="21"/>
    <s v="[VDS] - Payroll Cashloan"/>
    <x v="0"/>
    <n v="157500000"/>
  </r>
  <r>
    <x v="29"/>
    <x v="0"/>
    <x v="0"/>
    <n v="5"/>
    <n v="30"/>
    <x v="22"/>
    <s v="[VDS] - Payroll Payday"/>
    <x v="3"/>
    <n v="28000000"/>
  </r>
  <r>
    <x v="29"/>
    <x v="0"/>
    <x v="0"/>
    <n v="5"/>
    <n v="30"/>
    <x v="23"/>
    <s v="[VNPAY] - Cashloan"/>
    <x v="0"/>
    <n v="719640000"/>
  </r>
  <r>
    <x v="29"/>
    <x v="0"/>
    <x v="0"/>
    <n v="5"/>
    <n v="30"/>
    <x v="24"/>
    <s v="[VNPAY] - Payday"/>
    <x v="3"/>
    <n v="365148000"/>
  </r>
  <r>
    <x v="29"/>
    <x v="0"/>
    <x v="0"/>
    <n v="5"/>
    <n v="30"/>
    <x v="25"/>
    <s v="[VNPAY] - Paylater"/>
    <x v="1"/>
    <n v="525417465"/>
  </r>
  <r>
    <x v="29"/>
    <x v="0"/>
    <x v="0"/>
    <n v="5"/>
    <n v="30"/>
    <x v="26"/>
    <s v="[ZLP] - Cashloan"/>
    <x v="0"/>
    <n v="3193540000"/>
  </r>
  <r>
    <x v="29"/>
    <x v="0"/>
    <x v="0"/>
    <n v="5"/>
    <n v="30"/>
    <x v="27"/>
    <s v="[ZLP] - Payday"/>
    <x v="3"/>
    <n v="959960000"/>
  </r>
  <r>
    <x v="30"/>
    <x v="0"/>
    <x v="0"/>
    <n v="5"/>
    <n v="31"/>
    <x v="0"/>
    <s v="[BE] - Cashloan"/>
    <x v="0"/>
    <n v="677050000"/>
  </r>
  <r>
    <x v="30"/>
    <x v="0"/>
    <x v="0"/>
    <n v="5"/>
    <n v="31"/>
    <x v="1"/>
    <s v="[BE] - Paylater"/>
    <x v="1"/>
    <n v="373883034"/>
  </r>
  <r>
    <x v="30"/>
    <x v="0"/>
    <x v="0"/>
    <n v="5"/>
    <n v="31"/>
    <x v="2"/>
    <s v="[Cake] - Cashloan"/>
    <x v="0"/>
    <n v="14895630000"/>
  </r>
  <r>
    <x v="30"/>
    <x v="0"/>
    <x v="0"/>
    <n v="5"/>
    <n v="31"/>
    <x v="3"/>
    <s v="[Cake] - Overdraft"/>
    <x v="2"/>
    <n v="2048752719"/>
  </r>
  <r>
    <x v="30"/>
    <x v="0"/>
    <x v="0"/>
    <n v="5"/>
    <n v="31"/>
    <x v="4"/>
    <s v="[Cake] - Payday"/>
    <x v="3"/>
    <n v="12375072000"/>
  </r>
  <r>
    <x v="30"/>
    <x v="0"/>
    <x v="0"/>
    <n v="5"/>
    <n v="31"/>
    <x v="5"/>
    <s v="[FPT] - Paylater"/>
    <x v="1"/>
    <n v="11374944"/>
  </r>
  <r>
    <x v="30"/>
    <x v="0"/>
    <x v="0"/>
    <n v="5"/>
    <n v="31"/>
    <x v="6"/>
    <s v="[MISA] - Cashloan"/>
    <x v="0"/>
    <n v="0"/>
  </r>
  <r>
    <x v="30"/>
    <x v="0"/>
    <x v="0"/>
    <n v="5"/>
    <n v="31"/>
    <x v="7"/>
    <s v="[MWG] - Cashloan"/>
    <x v="0"/>
    <n v="4307450000"/>
  </r>
  <r>
    <x v="30"/>
    <x v="0"/>
    <x v="0"/>
    <n v="5"/>
    <n v="31"/>
    <x v="8"/>
    <s v="[MWG] - Cashloan"/>
    <x v="0"/>
    <n v="1593100000"/>
  </r>
  <r>
    <x v="30"/>
    <x v="0"/>
    <x v="0"/>
    <n v="5"/>
    <n v="31"/>
    <x v="9"/>
    <s v="[MWG] - Paylater"/>
    <x v="1"/>
    <n v="5832456"/>
  </r>
  <r>
    <x v="30"/>
    <x v="0"/>
    <x v="0"/>
    <n v="5"/>
    <n v="31"/>
    <x v="10"/>
    <s v="[MWG] - Paylater"/>
    <x v="1"/>
    <n v="1174527093"/>
  </r>
  <r>
    <x v="30"/>
    <x v="0"/>
    <x v="0"/>
    <n v="5"/>
    <n v="31"/>
    <x v="11"/>
    <s v="[NGS] - Cashloan"/>
    <x v="0"/>
    <n v="0"/>
  </r>
  <r>
    <x v="30"/>
    <x v="0"/>
    <x v="0"/>
    <n v="5"/>
    <n v="31"/>
    <x v="12"/>
    <s v="[VNPOST] - Cashloan"/>
    <x v="0"/>
    <n v="206750000"/>
  </r>
  <r>
    <x v="30"/>
    <x v="0"/>
    <x v="0"/>
    <n v="5"/>
    <n v="31"/>
    <x v="13"/>
    <s v="[VNPOST] - Cashloan"/>
    <x v="0"/>
    <n v="0"/>
  </r>
  <r>
    <x v="30"/>
    <x v="0"/>
    <x v="0"/>
    <n v="5"/>
    <n v="31"/>
    <x v="14"/>
    <s v="[VDS] - Cashloan"/>
    <x v="0"/>
    <n v="18154570000"/>
  </r>
  <r>
    <x v="30"/>
    <x v="0"/>
    <x v="0"/>
    <n v="5"/>
    <n v="31"/>
    <x v="15"/>
    <s v="[VDS] - Cashloan LP"/>
    <x v="0"/>
    <n v="0"/>
  </r>
  <r>
    <x v="30"/>
    <x v="0"/>
    <x v="0"/>
    <n v="5"/>
    <n v="31"/>
    <x v="16"/>
    <s v="[VDS] - Cashloan LP"/>
    <x v="0"/>
    <n v="0"/>
  </r>
  <r>
    <x v="30"/>
    <x v="0"/>
    <x v="0"/>
    <n v="5"/>
    <n v="31"/>
    <x v="17"/>
    <s v="[VDS] - Cashloan LP"/>
    <x v="0"/>
    <n v="0"/>
  </r>
  <r>
    <x v="30"/>
    <x v="0"/>
    <x v="0"/>
    <n v="5"/>
    <n v="31"/>
    <x v="18"/>
    <s v="[VDS] - Cashloan"/>
    <x v="0"/>
    <n v="20700000"/>
  </r>
  <r>
    <x v="30"/>
    <x v="0"/>
    <x v="0"/>
    <n v="5"/>
    <n v="31"/>
    <x v="19"/>
    <s v="[VDS] - Payday"/>
    <x v="3"/>
    <n v="9434988000"/>
  </r>
  <r>
    <x v="30"/>
    <x v="0"/>
    <x v="0"/>
    <n v="5"/>
    <n v="31"/>
    <x v="20"/>
    <s v="[VDS] - Paylater"/>
    <x v="1"/>
    <n v="175108185"/>
  </r>
  <r>
    <x v="30"/>
    <x v="0"/>
    <x v="0"/>
    <n v="5"/>
    <n v="31"/>
    <x v="21"/>
    <s v="[VDS] - Payroll Cashloan"/>
    <x v="0"/>
    <n v="26250000"/>
  </r>
  <r>
    <x v="30"/>
    <x v="0"/>
    <x v="0"/>
    <n v="5"/>
    <n v="31"/>
    <x v="22"/>
    <s v="[VDS] - Payroll Payday"/>
    <x v="3"/>
    <n v="54000000"/>
  </r>
  <r>
    <x v="30"/>
    <x v="0"/>
    <x v="0"/>
    <n v="5"/>
    <n v="31"/>
    <x v="23"/>
    <s v="[VNPAY] - Cashloan"/>
    <x v="0"/>
    <n v="835070000"/>
  </r>
  <r>
    <x v="30"/>
    <x v="0"/>
    <x v="0"/>
    <n v="5"/>
    <n v="31"/>
    <x v="24"/>
    <s v="[VNPAY] - Payday"/>
    <x v="3"/>
    <n v="250776000"/>
  </r>
  <r>
    <x v="30"/>
    <x v="0"/>
    <x v="0"/>
    <n v="5"/>
    <n v="31"/>
    <x v="25"/>
    <s v="[VNPAY] - Paylater"/>
    <x v="1"/>
    <n v="414307783"/>
  </r>
  <r>
    <x v="30"/>
    <x v="0"/>
    <x v="0"/>
    <n v="5"/>
    <n v="31"/>
    <x v="26"/>
    <s v="[ZLP] - Cashloan"/>
    <x v="0"/>
    <n v="2784890000"/>
  </r>
  <r>
    <x v="30"/>
    <x v="0"/>
    <x v="0"/>
    <n v="5"/>
    <n v="31"/>
    <x v="27"/>
    <s v="[ZLP] - Payday"/>
    <x v="3"/>
    <n v="821560000"/>
  </r>
  <r>
    <x v="31"/>
    <x v="0"/>
    <x v="1"/>
    <n v="5"/>
    <n v="1"/>
    <x v="0"/>
    <s v="[BE] - Cashloan"/>
    <x v="0"/>
    <n v="831100000"/>
  </r>
  <r>
    <x v="31"/>
    <x v="0"/>
    <x v="1"/>
    <n v="5"/>
    <n v="1"/>
    <x v="1"/>
    <s v="[BE] - Paylater"/>
    <x v="1"/>
    <n v="417907862"/>
  </r>
  <r>
    <x v="31"/>
    <x v="0"/>
    <x v="1"/>
    <n v="5"/>
    <n v="1"/>
    <x v="2"/>
    <s v="[Cake] - Cashloan"/>
    <x v="0"/>
    <n v="15700030000"/>
  </r>
  <r>
    <x v="31"/>
    <x v="0"/>
    <x v="1"/>
    <n v="5"/>
    <n v="1"/>
    <x v="3"/>
    <s v="[Cake] - Overdraft"/>
    <x v="2"/>
    <n v="3282208120"/>
  </r>
  <r>
    <x v="31"/>
    <x v="0"/>
    <x v="1"/>
    <n v="5"/>
    <n v="1"/>
    <x v="4"/>
    <s v="[Cake] - Payday"/>
    <x v="3"/>
    <n v="13618476000"/>
  </r>
  <r>
    <x v="31"/>
    <x v="0"/>
    <x v="1"/>
    <n v="5"/>
    <n v="1"/>
    <x v="5"/>
    <s v="[FPT] - Paylater"/>
    <x v="1"/>
    <n v="26208373"/>
  </r>
  <r>
    <x v="31"/>
    <x v="0"/>
    <x v="1"/>
    <n v="5"/>
    <n v="1"/>
    <x v="6"/>
    <s v="[MISA] - Cashloan"/>
    <x v="0"/>
    <n v="0"/>
  </r>
  <r>
    <x v="31"/>
    <x v="0"/>
    <x v="1"/>
    <n v="5"/>
    <n v="1"/>
    <x v="7"/>
    <s v="[MWG] - Cashloan"/>
    <x v="0"/>
    <n v="5951750000"/>
  </r>
  <r>
    <x v="31"/>
    <x v="0"/>
    <x v="1"/>
    <n v="5"/>
    <n v="1"/>
    <x v="8"/>
    <s v="[MWG] - Cashloan"/>
    <x v="0"/>
    <n v="1592470000"/>
  </r>
  <r>
    <x v="31"/>
    <x v="0"/>
    <x v="1"/>
    <n v="5"/>
    <n v="1"/>
    <x v="9"/>
    <s v="[MWG] - Paylater"/>
    <x v="1"/>
    <n v="5495403"/>
  </r>
  <r>
    <x v="31"/>
    <x v="0"/>
    <x v="1"/>
    <n v="5"/>
    <n v="1"/>
    <x v="10"/>
    <s v="[MWG] - Paylater"/>
    <x v="1"/>
    <n v="2279428587"/>
  </r>
  <r>
    <x v="31"/>
    <x v="0"/>
    <x v="1"/>
    <n v="5"/>
    <n v="1"/>
    <x v="11"/>
    <s v="[NGS] - Cashloan"/>
    <x v="0"/>
    <n v="0"/>
  </r>
  <r>
    <x v="31"/>
    <x v="0"/>
    <x v="1"/>
    <n v="5"/>
    <n v="1"/>
    <x v="12"/>
    <s v="[VNPOST] - Cashloan"/>
    <x v="0"/>
    <n v="147500000"/>
  </r>
  <r>
    <x v="31"/>
    <x v="0"/>
    <x v="1"/>
    <n v="5"/>
    <n v="1"/>
    <x v="13"/>
    <s v="[VNPOST] - Cashloan"/>
    <x v="0"/>
    <n v="0"/>
  </r>
  <r>
    <x v="31"/>
    <x v="0"/>
    <x v="1"/>
    <n v="5"/>
    <n v="1"/>
    <x v="14"/>
    <s v="[VDS] - Cashloan"/>
    <x v="0"/>
    <n v="20007180000"/>
  </r>
  <r>
    <x v="31"/>
    <x v="0"/>
    <x v="1"/>
    <n v="5"/>
    <n v="1"/>
    <x v="15"/>
    <s v="[VDS] - Cashloan LP"/>
    <x v="0"/>
    <n v="0"/>
  </r>
  <r>
    <x v="31"/>
    <x v="0"/>
    <x v="1"/>
    <n v="5"/>
    <n v="1"/>
    <x v="16"/>
    <s v="[VDS] - Cashloan LP"/>
    <x v="0"/>
    <n v="0"/>
  </r>
  <r>
    <x v="31"/>
    <x v="0"/>
    <x v="1"/>
    <n v="5"/>
    <n v="1"/>
    <x v="17"/>
    <s v="[VDS] - Cashloan LP"/>
    <x v="0"/>
    <n v="0"/>
  </r>
  <r>
    <x v="31"/>
    <x v="0"/>
    <x v="1"/>
    <n v="5"/>
    <n v="1"/>
    <x v="18"/>
    <s v="[VDS] - Cashloan"/>
    <x v="0"/>
    <n v="5000000"/>
  </r>
  <r>
    <x v="31"/>
    <x v="0"/>
    <x v="1"/>
    <n v="5"/>
    <n v="1"/>
    <x v="19"/>
    <s v="[VDS] - Payday"/>
    <x v="3"/>
    <n v="11076048000"/>
  </r>
  <r>
    <x v="31"/>
    <x v="0"/>
    <x v="1"/>
    <n v="5"/>
    <n v="1"/>
    <x v="20"/>
    <s v="[VDS] - Paylater"/>
    <x v="1"/>
    <n v="411746350"/>
  </r>
  <r>
    <x v="31"/>
    <x v="0"/>
    <x v="1"/>
    <n v="5"/>
    <n v="1"/>
    <x v="21"/>
    <s v="[VDS] - Payroll Cashloan"/>
    <x v="0"/>
    <n v="52500000"/>
  </r>
  <r>
    <x v="31"/>
    <x v="0"/>
    <x v="1"/>
    <n v="5"/>
    <n v="1"/>
    <x v="22"/>
    <s v="[VDS] - Payroll Payday"/>
    <x v="3"/>
    <n v="63000000"/>
  </r>
  <r>
    <x v="31"/>
    <x v="0"/>
    <x v="1"/>
    <n v="5"/>
    <n v="1"/>
    <x v="23"/>
    <s v="[VNPAY] - Cashloan"/>
    <x v="0"/>
    <n v="634180000"/>
  </r>
  <r>
    <x v="31"/>
    <x v="0"/>
    <x v="1"/>
    <n v="5"/>
    <n v="1"/>
    <x v="24"/>
    <s v="[VNPAY] - Payday"/>
    <x v="3"/>
    <n v="316332000"/>
  </r>
  <r>
    <x v="31"/>
    <x v="0"/>
    <x v="1"/>
    <n v="5"/>
    <n v="1"/>
    <x v="25"/>
    <s v="[VNPAY] - Paylater"/>
    <x v="1"/>
    <n v="702035450"/>
  </r>
  <r>
    <x v="31"/>
    <x v="0"/>
    <x v="1"/>
    <n v="5"/>
    <n v="1"/>
    <x v="26"/>
    <s v="[ZLP] - Cashloan"/>
    <x v="0"/>
    <n v="3272080000"/>
  </r>
  <r>
    <x v="31"/>
    <x v="0"/>
    <x v="1"/>
    <n v="5"/>
    <n v="1"/>
    <x v="27"/>
    <s v="[ZLP] - Payday"/>
    <x v="3"/>
    <n v="902000000"/>
  </r>
  <r>
    <x v="32"/>
    <x v="0"/>
    <x v="1"/>
    <n v="6"/>
    <n v="2"/>
    <x v="0"/>
    <s v="[BE] - Cashloan"/>
    <x v="0"/>
    <n v="1003950000"/>
  </r>
  <r>
    <x v="32"/>
    <x v="0"/>
    <x v="1"/>
    <n v="6"/>
    <n v="2"/>
    <x v="1"/>
    <s v="[BE] - Paylater"/>
    <x v="1"/>
    <n v="415051108"/>
  </r>
  <r>
    <x v="32"/>
    <x v="0"/>
    <x v="1"/>
    <n v="6"/>
    <n v="2"/>
    <x v="2"/>
    <s v="[Cake] - Cashloan"/>
    <x v="0"/>
    <n v="19412460000"/>
  </r>
  <r>
    <x v="32"/>
    <x v="0"/>
    <x v="1"/>
    <n v="6"/>
    <n v="2"/>
    <x v="3"/>
    <s v="[Cake] - Overdraft"/>
    <x v="2"/>
    <n v="3878796475"/>
  </r>
  <r>
    <x v="32"/>
    <x v="0"/>
    <x v="1"/>
    <n v="6"/>
    <n v="2"/>
    <x v="4"/>
    <s v="[Cake] - Payday"/>
    <x v="3"/>
    <n v="15100992000"/>
  </r>
  <r>
    <x v="32"/>
    <x v="0"/>
    <x v="1"/>
    <n v="6"/>
    <n v="2"/>
    <x v="5"/>
    <s v="[FPT] - Paylater"/>
    <x v="1"/>
    <n v="44901749"/>
  </r>
  <r>
    <x v="32"/>
    <x v="0"/>
    <x v="1"/>
    <n v="6"/>
    <n v="2"/>
    <x v="6"/>
    <s v="[MISA] - Cashloan"/>
    <x v="0"/>
    <n v="0"/>
  </r>
  <r>
    <x v="32"/>
    <x v="0"/>
    <x v="1"/>
    <n v="6"/>
    <n v="2"/>
    <x v="7"/>
    <s v="[MWG] - Cashloan"/>
    <x v="0"/>
    <n v="5490500000"/>
  </r>
  <r>
    <x v="32"/>
    <x v="0"/>
    <x v="1"/>
    <n v="6"/>
    <n v="2"/>
    <x v="8"/>
    <s v="[MWG] - Cashloan"/>
    <x v="0"/>
    <n v="1823140000"/>
  </r>
  <r>
    <x v="32"/>
    <x v="0"/>
    <x v="1"/>
    <n v="6"/>
    <n v="2"/>
    <x v="9"/>
    <s v="[MWG] - Paylater"/>
    <x v="1"/>
    <n v="34523861"/>
  </r>
  <r>
    <x v="32"/>
    <x v="0"/>
    <x v="1"/>
    <n v="6"/>
    <n v="2"/>
    <x v="10"/>
    <s v="[MWG] - Paylater"/>
    <x v="1"/>
    <n v="2130199811"/>
  </r>
  <r>
    <x v="32"/>
    <x v="0"/>
    <x v="1"/>
    <n v="6"/>
    <n v="2"/>
    <x v="11"/>
    <s v="[NGS] - Cashloan"/>
    <x v="0"/>
    <n v="0"/>
  </r>
  <r>
    <x v="32"/>
    <x v="0"/>
    <x v="1"/>
    <n v="6"/>
    <n v="2"/>
    <x v="12"/>
    <s v="[VNPOST] - Cashloan"/>
    <x v="0"/>
    <n v="169000000"/>
  </r>
  <r>
    <x v="32"/>
    <x v="0"/>
    <x v="1"/>
    <n v="6"/>
    <n v="2"/>
    <x v="13"/>
    <s v="[VNPOST] - Cashloan"/>
    <x v="0"/>
    <n v="0"/>
  </r>
  <r>
    <x v="32"/>
    <x v="0"/>
    <x v="1"/>
    <n v="6"/>
    <n v="2"/>
    <x v="14"/>
    <s v="[VDS] - Cashloan"/>
    <x v="0"/>
    <n v="21816350000"/>
  </r>
  <r>
    <x v="32"/>
    <x v="0"/>
    <x v="1"/>
    <n v="6"/>
    <n v="2"/>
    <x v="15"/>
    <s v="[VDS] - Cashloan LP"/>
    <x v="0"/>
    <n v="0"/>
  </r>
  <r>
    <x v="32"/>
    <x v="0"/>
    <x v="1"/>
    <n v="6"/>
    <n v="2"/>
    <x v="16"/>
    <s v="[VDS] - Cashloan LP"/>
    <x v="0"/>
    <n v="0"/>
  </r>
  <r>
    <x v="32"/>
    <x v="0"/>
    <x v="1"/>
    <n v="6"/>
    <n v="2"/>
    <x v="17"/>
    <s v="[VDS] - Cashloan LP"/>
    <x v="0"/>
    <n v="0"/>
  </r>
  <r>
    <x v="32"/>
    <x v="0"/>
    <x v="1"/>
    <n v="6"/>
    <n v="2"/>
    <x v="18"/>
    <s v="[VDS] - Cashloan"/>
    <x v="0"/>
    <n v="37100000"/>
  </r>
  <r>
    <x v="32"/>
    <x v="0"/>
    <x v="1"/>
    <n v="6"/>
    <n v="2"/>
    <x v="19"/>
    <s v="[VDS] - Payday"/>
    <x v="3"/>
    <n v="11912292000"/>
  </r>
  <r>
    <x v="32"/>
    <x v="0"/>
    <x v="1"/>
    <n v="6"/>
    <n v="2"/>
    <x v="20"/>
    <s v="[VDS] - Paylater"/>
    <x v="1"/>
    <n v="447859640"/>
  </r>
  <r>
    <x v="32"/>
    <x v="0"/>
    <x v="1"/>
    <n v="6"/>
    <n v="2"/>
    <x v="21"/>
    <s v="[VDS] - Payroll Cashloan"/>
    <x v="0"/>
    <n v="52000000"/>
  </r>
  <r>
    <x v="32"/>
    <x v="0"/>
    <x v="1"/>
    <n v="6"/>
    <n v="2"/>
    <x v="22"/>
    <s v="[VDS] - Payroll Payday"/>
    <x v="3"/>
    <n v="49000000"/>
  </r>
  <r>
    <x v="32"/>
    <x v="0"/>
    <x v="1"/>
    <n v="6"/>
    <n v="2"/>
    <x v="23"/>
    <s v="[VNPAY] - Cashloan"/>
    <x v="0"/>
    <n v="1013200000"/>
  </r>
  <r>
    <x v="32"/>
    <x v="0"/>
    <x v="1"/>
    <n v="6"/>
    <n v="2"/>
    <x v="24"/>
    <s v="[VNPAY] - Payday"/>
    <x v="3"/>
    <n v="458028000"/>
  </r>
  <r>
    <x v="32"/>
    <x v="0"/>
    <x v="1"/>
    <n v="6"/>
    <n v="2"/>
    <x v="25"/>
    <s v="[VNPAY] - Paylater"/>
    <x v="1"/>
    <n v="992318820"/>
  </r>
  <r>
    <x v="32"/>
    <x v="0"/>
    <x v="1"/>
    <n v="6"/>
    <n v="2"/>
    <x v="26"/>
    <s v="[ZLP] - Cashloan"/>
    <x v="0"/>
    <n v="4600240000"/>
  </r>
  <r>
    <x v="32"/>
    <x v="0"/>
    <x v="1"/>
    <n v="6"/>
    <n v="2"/>
    <x v="27"/>
    <s v="[ZLP] - Payday"/>
    <x v="3"/>
    <n v="915800000"/>
  </r>
  <r>
    <x v="33"/>
    <x v="0"/>
    <x v="1"/>
    <n v="6"/>
    <n v="3"/>
    <x v="0"/>
    <s v="[BE] - Cashloan"/>
    <x v="0"/>
    <n v="757350000"/>
  </r>
  <r>
    <x v="33"/>
    <x v="0"/>
    <x v="1"/>
    <n v="6"/>
    <n v="3"/>
    <x v="1"/>
    <s v="[BE] - Paylater"/>
    <x v="1"/>
    <n v="450793395"/>
  </r>
  <r>
    <x v="33"/>
    <x v="0"/>
    <x v="1"/>
    <n v="6"/>
    <n v="3"/>
    <x v="2"/>
    <s v="[Cake] - Cashloan"/>
    <x v="0"/>
    <n v="19764290000"/>
  </r>
  <r>
    <x v="33"/>
    <x v="0"/>
    <x v="1"/>
    <n v="6"/>
    <n v="3"/>
    <x v="3"/>
    <s v="[Cake] - Overdraft"/>
    <x v="2"/>
    <n v="2759130350"/>
  </r>
  <r>
    <x v="33"/>
    <x v="0"/>
    <x v="1"/>
    <n v="6"/>
    <n v="3"/>
    <x v="4"/>
    <s v="[Cake] - Payday"/>
    <x v="3"/>
    <n v="14963508000"/>
  </r>
  <r>
    <x v="33"/>
    <x v="0"/>
    <x v="1"/>
    <n v="6"/>
    <n v="3"/>
    <x v="5"/>
    <s v="[FPT] - Paylater"/>
    <x v="1"/>
    <n v="63202779"/>
  </r>
  <r>
    <x v="33"/>
    <x v="0"/>
    <x v="1"/>
    <n v="6"/>
    <n v="3"/>
    <x v="6"/>
    <s v="[MISA] - Cashloan"/>
    <x v="0"/>
    <n v="170000000"/>
  </r>
  <r>
    <x v="33"/>
    <x v="0"/>
    <x v="1"/>
    <n v="6"/>
    <n v="3"/>
    <x v="7"/>
    <s v="[MWG] - Cashloan"/>
    <x v="0"/>
    <n v="4933810000"/>
  </r>
  <r>
    <x v="33"/>
    <x v="0"/>
    <x v="1"/>
    <n v="6"/>
    <n v="3"/>
    <x v="8"/>
    <s v="[MWG] - Cashloan"/>
    <x v="0"/>
    <n v="1587740000"/>
  </r>
  <r>
    <x v="33"/>
    <x v="0"/>
    <x v="1"/>
    <n v="6"/>
    <n v="3"/>
    <x v="9"/>
    <s v="[MWG] - Paylater"/>
    <x v="1"/>
    <n v="56334108"/>
  </r>
  <r>
    <x v="33"/>
    <x v="0"/>
    <x v="1"/>
    <n v="6"/>
    <n v="3"/>
    <x v="10"/>
    <s v="[MWG] - Paylater"/>
    <x v="1"/>
    <n v="2337638612"/>
  </r>
  <r>
    <x v="33"/>
    <x v="0"/>
    <x v="1"/>
    <n v="6"/>
    <n v="3"/>
    <x v="11"/>
    <s v="[NGS] - Cashloan"/>
    <x v="0"/>
    <n v="0"/>
  </r>
  <r>
    <x v="33"/>
    <x v="0"/>
    <x v="1"/>
    <n v="6"/>
    <n v="3"/>
    <x v="12"/>
    <s v="[VNPOST] - Cashloan"/>
    <x v="0"/>
    <n v="136500000"/>
  </r>
  <r>
    <x v="33"/>
    <x v="0"/>
    <x v="1"/>
    <n v="6"/>
    <n v="3"/>
    <x v="13"/>
    <s v="[VNPOST] - Cashloan"/>
    <x v="0"/>
    <n v="134930000"/>
  </r>
  <r>
    <x v="33"/>
    <x v="0"/>
    <x v="1"/>
    <n v="6"/>
    <n v="3"/>
    <x v="14"/>
    <s v="[VDS] - Cashloan"/>
    <x v="0"/>
    <n v="19479820000"/>
  </r>
  <r>
    <x v="33"/>
    <x v="0"/>
    <x v="1"/>
    <n v="6"/>
    <n v="3"/>
    <x v="15"/>
    <s v="[VDS] - Cashloan LP"/>
    <x v="0"/>
    <n v="0"/>
  </r>
  <r>
    <x v="33"/>
    <x v="0"/>
    <x v="1"/>
    <n v="6"/>
    <n v="3"/>
    <x v="16"/>
    <s v="[VDS] - Cashloan LP"/>
    <x v="0"/>
    <n v="0"/>
  </r>
  <r>
    <x v="33"/>
    <x v="0"/>
    <x v="1"/>
    <n v="6"/>
    <n v="3"/>
    <x v="17"/>
    <s v="[VDS] - Cashloan LP"/>
    <x v="0"/>
    <n v="0"/>
  </r>
  <r>
    <x v="33"/>
    <x v="0"/>
    <x v="1"/>
    <n v="6"/>
    <n v="3"/>
    <x v="18"/>
    <s v="[VDS] - Cashloan"/>
    <x v="0"/>
    <n v="0"/>
  </r>
  <r>
    <x v="33"/>
    <x v="0"/>
    <x v="1"/>
    <n v="6"/>
    <n v="3"/>
    <x v="19"/>
    <s v="[VDS] - Payday"/>
    <x v="3"/>
    <n v="11214612000"/>
  </r>
  <r>
    <x v="33"/>
    <x v="0"/>
    <x v="1"/>
    <n v="6"/>
    <n v="3"/>
    <x v="20"/>
    <s v="[VDS] - Paylater"/>
    <x v="1"/>
    <n v="490566204"/>
  </r>
  <r>
    <x v="33"/>
    <x v="0"/>
    <x v="1"/>
    <n v="6"/>
    <n v="3"/>
    <x v="21"/>
    <s v="[VDS] - Payroll Cashloan"/>
    <x v="0"/>
    <n v="42000000"/>
  </r>
  <r>
    <x v="33"/>
    <x v="0"/>
    <x v="1"/>
    <n v="6"/>
    <n v="3"/>
    <x v="22"/>
    <s v="[VDS] - Payroll Payday"/>
    <x v="3"/>
    <n v="39000000"/>
  </r>
  <r>
    <x v="33"/>
    <x v="0"/>
    <x v="1"/>
    <n v="6"/>
    <n v="3"/>
    <x v="23"/>
    <s v="[VNPAY] - Cashloan"/>
    <x v="0"/>
    <n v="1153780000"/>
  </r>
  <r>
    <x v="33"/>
    <x v="0"/>
    <x v="1"/>
    <n v="6"/>
    <n v="3"/>
    <x v="24"/>
    <s v="[VNPAY] - Payday"/>
    <x v="3"/>
    <n v="377028000"/>
  </r>
  <r>
    <x v="33"/>
    <x v="0"/>
    <x v="1"/>
    <n v="6"/>
    <n v="3"/>
    <x v="25"/>
    <s v="[VNPAY] - Paylater"/>
    <x v="1"/>
    <n v="1394629328"/>
  </r>
  <r>
    <x v="33"/>
    <x v="0"/>
    <x v="1"/>
    <n v="6"/>
    <n v="3"/>
    <x v="26"/>
    <s v="[ZLP] - Cashloan"/>
    <x v="0"/>
    <n v="5633660000"/>
  </r>
  <r>
    <x v="33"/>
    <x v="0"/>
    <x v="1"/>
    <n v="6"/>
    <n v="3"/>
    <x v="27"/>
    <s v="[ZLP] - Payday"/>
    <x v="3"/>
    <n v="861880000"/>
  </r>
  <r>
    <x v="34"/>
    <x v="0"/>
    <x v="1"/>
    <n v="6"/>
    <n v="4"/>
    <x v="0"/>
    <s v="[BE] - Cashloan"/>
    <x v="0"/>
    <n v="856450000"/>
  </r>
  <r>
    <x v="34"/>
    <x v="0"/>
    <x v="1"/>
    <n v="6"/>
    <n v="4"/>
    <x v="1"/>
    <s v="[BE] - Paylater"/>
    <x v="1"/>
    <n v="538683337"/>
  </r>
  <r>
    <x v="34"/>
    <x v="0"/>
    <x v="1"/>
    <n v="6"/>
    <n v="4"/>
    <x v="2"/>
    <s v="[Cake] - Cashloan"/>
    <x v="0"/>
    <n v="18848620000"/>
  </r>
  <r>
    <x v="34"/>
    <x v="0"/>
    <x v="1"/>
    <n v="6"/>
    <n v="4"/>
    <x v="3"/>
    <s v="[Cake] - Overdraft"/>
    <x v="2"/>
    <n v="2607900868"/>
  </r>
  <r>
    <x v="34"/>
    <x v="0"/>
    <x v="1"/>
    <n v="6"/>
    <n v="4"/>
    <x v="4"/>
    <s v="[Cake] - Payday"/>
    <x v="3"/>
    <n v="14700636000"/>
  </r>
  <r>
    <x v="34"/>
    <x v="0"/>
    <x v="1"/>
    <n v="6"/>
    <n v="4"/>
    <x v="5"/>
    <s v="[FPT] - Paylater"/>
    <x v="1"/>
    <n v="53910975"/>
  </r>
  <r>
    <x v="34"/>
    <x v="0"/>
    <x v="1"/>
    <n v="6"/>
    <n v="4"/>
    <x v="6"/>
    <s v="[MISA] - Cashloan"/>
    <x v="0"/>
    <n v="0"/>
  </r>
  <r>
    <x v="34"/>
    <x v="0"/>
    <x v="1"/>
    <n v="6"/>
    <n v="4"/>
    <x v="7"/>
    <s v="[MWG] - Cashloan"/>
    <x v="0"/>
    <n v="5183620000"/>
  </r>
  <r>
    <x v="34"/>
    <x v="0"/>
    <x v="1"/>
    <n v="6"/>
    <n v="4"/>
    <x v="8"/>
    <s v="[MWG] - Cashloan"/>
    <x v="0"/>
    <n v="1219780000"/>
  </r>
  <r>
    <x v="34"/>
    <x v="0"/>
    <x v="1"/>
    <n v="6"/>
    <n v="4"/>
    <x v="9"/>
    <s v="[MWG] - Paylater"/>
    <x v="1"/>
    <n v="53548572"/>
  </r>
  <r>
    <x v="34"/>
    <x v="0"/>
    <x v="1"/>
    <n v="6"/>
    <n v="4"/>
    <x v="10"/>
    <s v="[MWG] - Paylater"/>
    <x v="1"/>
    <n v="2116817182"/>
  </r>
  <r>
    <x v="34"/>
    <x v="0"/>
    <x v="1"/>
    <n v="6"/>
    <n v="4"/>
    <x v="11"/>
    <s v="[NGS] - Cashloan"/>
    <x v="0"/>
    <n v="0"/>
  </r>
  <r>
    <x v="34"/>
    <x v="0"/>
    <x v="1"/>
    <n v="6"/>
    <n v="4"/>
    <x v="12"/>
    <s v="[VNPOST] - Cashloan"/>
    <x v="0"/>
    <n v="99750000"/>
  </r>
  <r>
    <x v="34"/>
    <x v="0"/>
    <x v="1"/>
    <n v="6"/>
    <n v="4"/>
    <x v="13"/>
    <s v="[VNPOST] - Cashloan"/>
    <x v="0"/>
    <n v="0"/>
  </r>
  <r>
    <x v="34"/>
    <x v="0"/>
    <x v="1"/>
    <n v="6"/>
    <n v="4"/>
    <x v="14"/>
    <s v="[VDS] - Cashloan"/>
    <x v="0"/>
    <n v="20838660000"/>
  </r>
  <r>
    <x v="34"/>
    <x v="0"/>
    <x v="1"/>
    <n v="6"/>
    <n v="4"/>
    <x v="15"/>
    <s v="[VDS] - Cashloan LP"/>
    <x v="0"/>
    <n v="0"/>
  </r>
  <r>
    <x v="34"/>
    <x v="0"/>
    <x v="1"/>
    <n v="6"/>
    <n v="4"/>
    <x v="16"/>
    <s v="[VDS] - Cashloan LP"/>
    <x v="0"/>
    <n v="0"/>
  </r>
  <r>
    <x v="34"/>
    <x v="0"/>
    <x v="1"/>
    <n v="6"/>
    <n v="4"/>
    <x v="17"/>
    <s v="[VDS] - Cashloan LP"/>
    <x v="0"/>
    <n v="0"/>
  </r>
  <r>
    <x v="34"/>
    <x v="0"/>
    <x v="1"/>
    <n v="6"/>
    <n v="4"/>
    <x v="18"/>
    <s v="[VDS] - Cashloan"/>
    <x v="0"/>
    <n v="5000000"/>
  </r>
  <r>
    <x v="34"/>
    <x v="0"/>
    <x v="1"/>
    <n v="6"/>
    <n v="4"/>
    <x v="19"/>
    <s v="[VDS] - Payday"/>
    <x v="3"/>
    <n v="11835288000"/>
  </r>
  <r>
    <x v="34"/>
    <x v="0"/>
    <x v="1"/>
    <n v="6"/>
    <n v="4"/>
    <x v="20"/>
    <s v="[VDS] - Paylater"/>
    <x v="1"/>
    <n v="629395712"/>
  </r>
  <r>
    <x v="34"/>
    <x v="0"/>
    <x v="1"/>
    <n v="6"/>
    <n v="4"/>
    <x v="21"/>
    <s v="[VDS] - Payroll Cashloan"/>
    <x v="0"/>
    <n v="61000000"/>
  </r>
  <r>
    <x v="34"/>
    <x v="0"/>
    <x v="1"/>
    <n v="6"/>
    <n v="4"/>
    <x v="22"/>
    <s v="[VDS] - Payroll Payday"/>
    <x v="3"/>
    <n v="59000000"/>
  </r>
  <r>
    <x v="34"/>
    <x v="0"/>
    <x v="1"/>
    <n v="6"/>
    <n v="4"/>
    <x v="23"/>
    <s v="[VNPAY] - Cashloan"/>
    <x v="0"/>
    <n v="971280000"/>
  </r>
  <r>
    <x v="34"/>
    <x v="0"/>
    <x v="1"/>
    <n v="6"/>
    <n v="4"/>
    <x v="24"/>
    <s v="[VNPAY] - Payday"/>
    <x v="3"/>
    <n v="340200000"/>
  </r>
  <r>
    <x v="34"/>
    <x v="0"/>
    <x v="1"/>
    <n v="6"/>
    <n v="4"/>
    <x v="25"/>
    <s v="[VNPAY] - Paylater"/>
    <x v="1"/>
    <n v="1806252793"/>
  </r>
  <r>
    <x v="34"/>
    <x v="0"/>
    <x v="1"/>
    <n v="6"/>
    <n v="4"/>
    <x v="26"/>
    <s v="[ZLP] - Cashloan"/>
    <x v="0"/>
    <n v="5149330000"/>
  </r>
  <r>
    <x v="34"/>
    <x v="0"/>
    <x v="1"/>
    <n v="6"/>
    <n v="4"/>
    <x v="27"/>
    <s v="[ZLP] - Payday"/>
    <x v="3"/>
    <n v="892640000"/>
  </r>
  <r>
    <x v="35"/>
    <x v="0"/>
    <x v="1"/>
    <n v="6"/>
    <n v="5"/>
    <x v="0"/>
    <s v="[BE] - Cashloan"/>
    <x v="0"/>
    <n v="704350000"/>
  </r>
  <r>
    <x v="35"/>
    <x v="0"/>
    <x v="1"/>
    <n v="6"/>
    <n v="5"/>
    <x v="1"/>
    <s v="[BE] - Paylater"/>
    <x v="1"/>
    <n v="540107490"/>
  </r>
  <r>
    <x v="35"/>
    <x v="0"/>
    <x v="1"/>
    <n v="6"/>
    <n v="5"/>
    <x v="2"/>
    <s v="[Cake] - Cashloan"/>
    <x v="0"/>
    <n v="17486150000"/>
  </r>
  <r>
    <x v="35"/>
    <x v="0"/>
    <x v="1"/>
    <n v="6"/>
    <n v="5"/>
    <x v="3"/>
    <s v="[Cake] - Overdraft"/>
    <x v="2"/>
    <n v="2698539865"/>
  </r>
  <r>
    <x v="35"/>
    <x v="0"/>
    <x v="1"/>
    <n v="6"/>
    <n v="5"/>
    <x v="4"/>
    <s v="[Cake] - Payday"/>
    <x v="3"/>
    <n v="15818976000"/>
  </r>
  <r>
    <x v="35"/>
    <x v="0"/>
    <x v="1"/>
    <n v="6"/>
    <n v="5"/>
    <x v="5"/>
    <s v="[FPT] - Paylater"/>
    <x v="1"/>
    <n v="32709955"/>
  </r>
  <r>
    <x v="35"/>
    <x v="0"/>
    <x v="1"/>
    <n v="6"/>
    <n v="5"/>
    <x v="6"/>
    <s v="[MISA] - Cashloan"/>
    <x v="0"/>
    <n v="0"/>
  </r>
  <r>
    <x v="35"/>
    <x v="0"/>
    <x v="1"/>
    <n v="6"/>
    <n v="5"/>
    <x v="7"/>
    <s v="[MWG] - Cashloan"/>
    <x v="0"/>
    <n v="5183150000"/>
  </r>
  <r>
    <x v="35"/>
    <x v="0"/>
    <x v="1"/>
    <n v="6"/>
    <n v="5"/>
    <x v="8"/>
    <s v="[MWG] - Cashloan"/>
    <x v="0"/>
    <n v="1484100000"/>
  </r>
  <r>
    <x v="35"/>
    <x v="0"/>
    <x v="1"/>
    <n v="6"/>
    <n v="5"/>
    <x v="9"/>
    <s v="[MWG] - Paylater"/>
    <x v="1"/>
    <n v="36740495"/>
  </r>
  <r>
    <x v="35"/>
    <x v="0"/>
    <x v="1"/>
    <n v="6"/>
    <n v="5"/>
    <x v="10"/>
    <s v="[MWG] - Paylater"/>
    <x v="1"/>
    <n v="3063895909"/>
  </r>
  <r>
    <x v="35"/>
    <x v="0"/>
    <x v="1"/>
    <n v="6"/>
    <n v="5"/>
    <x v="11"/>
    <s v="[NGS] - Cashloan"/>
    <x v="0"/>
    <n v="0"/>
  </r>
  <r>
    <x v="35"/>
    <x v="0"/>
    <x v="1"/>
    <n v="6"/>
    <n v="5"/>
    <x v="12"/>
    <s v="[VNPOST] - Cashloan"/>
    <x v="0"/>
    <n v="224600000"/>
  </r>
  <r>
    <x v="35"/>
    <x v="0"/>
    <x v="1"/>
    <n v="6"/>
    <n v="5"/>
    <x v="13"/>
    <s v="[VNPOST] - Cashloan"/>
    <x v="0"/>
    <n v="83430000"/>
  </r>
  <r>
    <x v="35"/>
    <x v="0"/>
    <x v="1"/>
    <n v="6"/>
    <n v="5"/>
    <x v="14"/>
    <s v="[VDS] - Cashloan"/>
    <x v="0"/>
    <n v="21361330000"/>
  </r>
  <r>
    <x v="35"/>
    <x v="0"/>
    <x v="1"/>
    <n v="6"/>
    <n v="5"/>
    <x v="15"/>
    <s v="[VDS] - Cashloan LP"/>
    <x v="0"/>
    <n v="0"/>
  </r>
  <r>
    <x v="35"/>
    <x v="0"/>
    <x v="1"/>
    <n v="6"/>
    <n v="5"/>
    <x v="16"/>
    <s v="[VDS] - Cashloan LP"/>
    <x v="0"/>
    <n v="0"/>
  </r>
  <r>
    <x v="35"/>
    <x v="0"/>
    <x v="1"/>
    <n v="6"/>
    <n v="5"/>
    <x v="17"/>
    <s v="[VDS] - Cashloan LP"/>
    <x v="0"/>
    <n v="0"/>
  </r>
  <r>
    <x v="35"/>
    <x v="0"/>
    <x v="1"/>
    <n v="6"/>
    <n v="5"/>
    <x v="18"/>
    <s v="[VDS] - Cashloan"/>
    <x v="0"/>
    <n v="12000000"/>
  </r>
  <r>
    <x v="35"/>
    <x v="0"/>
    <x v="1"/>
    <n v="6"/>
    <n v="5"/>
    <x v="19"/>
    <s v="[VDS] - Payday"/>
    <x v="3"/>
    <n v="11701584000"/>
  </r>
  <r>
    <x v="35"/>
    <x v="0"/>
    <x v="1"/>
    <n v="6"/>
    <n v="5"/>
    <x v="20"/>
    <s v="[VDS] - Paylater"/>
    <x v="1"/>
    <n v="493844603"/>
  </r>
  <r>
    <x v="35"/>
    <x v="0"/>
    <x v="1"/>
    <n v="6"/>
    <n v="5"/>
    <x v="21"/>
    <s v="[VDS] - Payroll Cashloan"/>
    <x v="0"/>
    <n v="89250000"/>
  </r>
  <r>
    <x v="35"/>
    <x v="0"/>
    <x v="1"/>
    <n v="6"/>
    <n v="5"/>
    <x v="22"/>
    <s v="[VDS] - Payroll Payday"/>
    <x v="3"/>
    <n v="36000000"/>
  </r>
  <r>
    <x v="35"/>
    <x v="0"/>
    <x v="1"/>
    <n v="6"/>
    <n v="5"/>
    <x v="23"/>
    <s v="[VNPAY] - Cashloan"/>
    <x v="0"/>
    <n v="1285590000"/>
  </r>
  <r>
    <x v="35"/>
    <x v="0"/>
    <x v="1"/>
    <n v="6"/>
    <n v="5"/>
    <x v="24"/>
    <s v="[VNPAY] - Payday"/>
    <x v="3"/>
    <n v="389124000"/>
  </r>
  <r>
    <x v="35"/>
    <x v="0"/>
    <x v="1"/>
    <n v="6"/>
    <n v="5"/>
    <x v="25"/>
    <s v="[VNPAY] - Paylater"/>
    <x v="1"/>
    <n v="1245454476"/>
  </r>
  <r>
    <x v="35"/>
    <x v="0"/>
    <x v="1"/>
    <n v="6"/>
    <n v="5"/>
    <x v="26"/>
    <s v="[ZLP] - Cashloan"/>
    <x v="0"/>
    <n v="4212850000"/>
  </r>
  <r>
    <x v="35"/>
    <x v="0"/>
    <x v="1"/>
    <n v="6"/>
    <n v="5"/>
    <x v="27"/>
    <s v="[ZLP] - Payday"/>
    <x v="3"/>
    <n v="664920000"/>
  </r>
  <r>
    <x v="36"/>
    <x v="0"/>
    <x v="1"/>
    <n v="6"/>
    <n v="6"/>
    <x v="0"/>
    <s v="[BE] - Cashloan"/>
    <x v="0"/>
    <n v="727650000"/>
  </r>
  <r>
    <x v="36"/>
    <x v="0"/>
    <x v="1"/>
    <n v="6"/>
    <n v="6"/>
    <x v="1"/>
    <s v="[BE] - Paylater"/>
    <x v="1"/>
    <n v="492312958"/>
  </r>
  <r>
    <x v="36"/>
    <x v="0"/>
    <x v="1"/>
    <n v="6"/>
    <n v="6"/>
    <x v="2"/>
    <s v="[Cake] - Cashloan"/>
    <x v="0"/>
    <n v="15259600000"/>
  </r>
  <r>
    <x v="36"/>
    <x v="0"/>
    <x v="1"/>
    <n v="6"/>
    <n v="6"/>
    <x v="3"/>
    <s v="[Cake] - Overdraft"/>
    <x v="2"/>
    <n v="2270716822"/>
  </r>
  <r>
    <x v="36"/>
    <x v="0"/>
    <x v="1"/>
    <n v="6"/>
    <n v="6"/>
    <x v="4"/>
    <s v="[Cake] - Payday"/>
    <x v="3"/>
    <n v="12956112000"/>
  </r>
  <r>
    <x v="36"/>
    <x v="0"/>
    <x v="1"/>
    <n v="6"/>
    <n v="6"/>
    <x v="5"/>
    <s v="[FPT] - Paylater"/>
    <x v="1"/>
    <n v="18243965"/>
  </r>
  <r>
    <x v="36"/>
    <x v="0"/>
    <x v="1"/>
    <n v="6"/>
    <n v="6"/>
    <x v="6"/>
    <s v="[MISA] - Cashloan"/>
    <x v="0"/>
    <n v="180000000"/>
  </r>
  <r>
    <x v="36"/>
    <x v="0"/>
    <x v="1"/>
    <n v="6"/>
    <n v="6"/>
    <x v="7"/>
    <s v="[MWG] - Cashloan"/>
    <x v="0"/>
    <n v="5397880000"/>
  </r>
  <r>
    <x v="36"/>
    <x v="0"/>
    <x v="1"/>
    <n v="6"/>
    <n v="6"/>
    <x v="8"/>
    <s v="[MWG] - Cashloan"/>
    <x v="0"/>
    <n v="1229070000"/>
  </r>
  <r>
    <x v="36"/>
    <x v="0"/>
    <x v="1"/>
    <n v="6"/>
    <n v="6"/>
    <x v="9"/>
    <s v="[MWG] - Paylater"/>
    <x v="1"/>
    <n v="15583492"/>
  </r>
  <r>
    <x v="36"/>
    <x v="0"/>
    <x v="1"/>
    <n v="6"/>
    <n v="6"/>
    <x v="10"/>
    <s v="[MWG] - Paylater"/>
    <x v="1"/>
    <n v="2896477859"/>
  </r>
  <r>
    <x v="36"/>
    <x v="0"/>
    <x v="1"/>
    <n v="6"/>
    <n v="6"/>
    <x v="11"/>
    <s v="[NGS] - Cashloan"/>
    <x v="0"/>
    <n v="0"/>
  </r>
  <r>
    <x v="36"/>
    <x v="0"/>
    <x v="1"/>
    <n v="6"/>
    <n v="6"/>
    <x v="12"/>
    <s v="[VNPOST] - Cashloan"/>
    <x v="0"/>
    <n v="77250000"/>
  </r>
  <r>
    <x v="36"/>
    <x v="0"/>
    <x v="1"/>
    <n v="6"/>
    <n v="6"/>
    <x v="13"/>
    <s v="[VNPOST] - Cashloan"/>
    <x v="0"/>
    <n v="30900000"/>
  </r>
  <r>
    <x v="36"/>
    <x v="0"/>
    <x v="1"/>
    <n v="6"/>
    <n v="6"/>
    <x v="14"/>
    <s v="[VDS] - Cashloan"/>
    <x v="0"/>
    <n v="17838890000"/>
  </r>
  <r>
    <x v="36"/>
    <x v="0"/>
    <x v="1"/>
    <n v="6"/>
    <n v="6"/>
    <x v="15"/>
    <s v="[VDS] - Cashloan LP"/>
    <x v="0"/>
    <n v="0"/>
  </r>
  <r>
    <x v="36"/>
    <x v="0"/>
    <x v="1"/>
    <n v="6"/>
    <n v="6"/>
    <x v="16"/>
    <s v="[VDS] - Cashloan LP"/>
    <x v="0"/>
    <n v="0"/>
  </r>
  <r>
    <x v="36"/>
    <x v="0"/>
    <x v="1"/>
    <n v="6"/>
    <n v="6"/>
    <x v="17"/>
    <s v="[VDS] - Cashloan LP"/>
    <x v="0"/>
    <n v="0"/>
  </r>
  <r>
    <x v="36"/>
    <x v="0"/>
    <x v="1"/>
    <n v="6"/>
    <n v="6"/>
    <x v="18"/>
    <s v="[VDS] - Cashloan"/>
    <x v="0"/>
    <n v="0"/>
  </r>
  <r>
    <x v="36"/>
    <x v="0"/>
    <x v="1"/>
    <n v="6"/>
    <n v="6"/>
    <x v="19"/>
    <s v="[VDS] - Payday"/>
    <x v="3"/>
    <n v="11124540000"/>
  </r>
  <r>
    <x v="36"/>
    <x v="0"/>
    <x v="1"/>
    <n v="6"/>
    <n v="6"/>
    <x v="20"/>
    <s v="[VDS] - Paylater"/>
    <x v="1"/>
    <n v="345731246"/>
  </r>
  <r>
    <x v="36"/>
    <x v="0"/>
    <x v="1"/>
    <n v="6"/>
    <n v="6"/>
    <x v="21"/>
    <s v="[VDS] - Payroll Cashloan"/>
    <x v="0"/>
    <n v="42000000"/>
  </r>
  <r>
    <x v="36"/>
    <x v="0"/>
    <x v="1"/>
    <n v="6"/>
    <n v="6"/>
    <x v="22"/>
    <s v="[VDS] - Payroll Payday"/>
    <x v="3"/>
    <n v="34000000"/>
  </r>
  <r>
    <x v="36"/>
    <x v="0"/>
    <x v="1"/>
    <n v="6"/>
    <n v="6"/>
    <x v="23"/>
    <s v="[VNPAY] - Cashloan"/>
    <x v="0"/>
    <n v="909210000"/>
  </r>
  <r>
    <x v="36"/>
    <x v="0"/>
    <x v="1"/>
    <n v="6"/>
    <n v="6"/>
    <x v="24"/>
    <s v="[VNPAY] - Payday"/>
    <x v="3"/>
    <n v="338796000"/>
  </r>
  <r>
    <x v="36"/>
    <x v="0"/>
    <x v="1"/>
    <n v="6"/>
    <n v="6"/>
    <x v="25"/>
    <s v="[VNPAY] - Paylater"/>
    <x v="1"/>
    <n v="675299337"/>
  </r>
  <r>
    <x v="36"/>
    <x v="0"/>
    <x v="1"/>
    <n v="6"/>
    <n v="6"/>
    <x v="26"/>
    <s v="[ZLP] - Cashloan"/>
    <x v="0"/>
    <n v="4966990000"/>
  </r>
  <r>
    <x v="36"/>
    <x v="0"/>
    <x v="1"/>
    <n v="6"/>
    <n v="6"/>
    <x v="27"/>
    <s v="[ZLP] - Payday"/>
    <x v="3"/>
    <n v="396560000"/>
  </r>
  <r>
    <x v="37"/>
    <x v="0"/>
    <x v="1"/>
    <n v="6"/>
    <n v="7"/>
    <x v="0"/>
    <s v="[BE] - Cashloan"/>
    <x v="0"/>
    <n v="668900000"/>
  </r>
  <r>
    <x v="37"/>
    <x v="0"/>
    <x v="1"/>
    <n v="6"/>
    <n v="7"/>
    <x v="1"/>
    <s v="[BE] - Paylater"/>
    <x v="1"/>
    <n v="459868095"/>
  </r>
  <r>
    <x v="37"/>
    <x v="0"/>
    <x v="1"/>
    <n v="6"/>
    <n v="7"/>
    <x v="2"/>
    <s v="[Cake] - Cashloan"/>
    <x v="0"/>
    <n v="12618190000"/>
  </r>
  <r>
    <x v="37"/>
    <x v="0"/>
    <x v="1"/>
    <n v="6"/>
    <n v="7"/>
    <x v="3"/>
    <s v="[Cake] - Overdraft"/>
    <x v="2"/>
    <n v="1749838140"/>
  </r>
  <r>
    <x v="37"/>
    <x v="0"/>
    <x v="1"/>
    <n v="6"/>
    <n v="7"/>
    <x v="4"/>
    <s v="[Cake] - Payday"/>
    <x v="3"/>
    <n v="12065004000"/>
  </r>
  <r>
    <x v="37"/>
    <x v="0"/>
    <x v="1"/>
    <n v="6"/>
    <n v="7"/>
    <x v="5"/>
    <s v="[FPT] - Paylater"/>
    <x v="1"/>
    <n v="29974937"/>
  </r>
  <r>
    <x v="37"/>
    <x v="0"/>
    <x v="1"/>
    <n v="6"/>
    <n v="7"/>
    <x v="6"/>
    <s v="[MISA] - Cashloan"/>
    <x v="0"/>
    <n v="0"/>
  </r>
  <r>
    <x v="37"/>
    <x v="0"/>
    <x v="1"/>
    <n v="6"/>
    <n v="7"/>
    <x v="7"/>
    <s v="[MWG] - Cashloan"/>
    <x v="0"/>
    <n v="4912210000"/>
  </r>
  <r>
    <x v="37"/>
    <x v="0"/>
    <x v="1"/>
    <n v="6"/>
    <n v="7"/>
    <x v="8"/>
    <s v="[MWG] - Cashloan"/>
    <x v="0"/>
    <n v="1137190000"/>
  </r>
  <r>
    <x v="37"/>
    <x v="0"/>
    <x v="1"/>
    <n v="6"/>
    <n v="7"/>
    <x v="9"/>
    <s v="[MWG] - Paylater"/>
    <x v="1"/>
    <n v="18099098"/>
  </r>
  <r>
    <x v="37"/>
    <x v="0"/>
    <x v="1"/>
    <n v="6"/>
    <n v="7"/>
    <x v="10"/>
    <s v="[MWG] - Paylater"/>
    <x v="1"/>
    <n v="2986593757"/>
  </r>
  <r>
    <x v="37"/>
    <x v="0"/>
    <x v="1"/>
    <n v="6"/>
    <n v="7"/>
    <x v="11"/>
    <s v="[NGS] - Cashloan"/>
    <x v="0"/>
    <n v="0"/>
  </r>
  <r>
    <x v="37"/>
    <x v="0"/>
    <x v="1"/>
    <n v="6"/>
    <n v="7"/>
    <x v="12"/>
    <s v="[VNPOST] - Cashloan"/>
    <x v="0"/>
    <n v="31500000"/>
  </r>
  <r>
    <x v="37"/>
    <x v="0"/>
    <x v="1"/>
    <n v="6"/>
    <n v="7"/>
    <x v="13"/>
    <s v="[VNPOST] - Cashloan"/>
    <x v="0"/>
    <n v="83430000"/>
  </r>
  <r>
    <x v="37"/>
    <x v="0"/>
    <x v="1"/>
    <n v="6"/>
    <n v="7"/>
    <x v="14"/>
    <s v="[VDS] - Cashloan"/>
    <x v="0"/>
    <n v="16453260000"/>
  </r>
  <r>
    <x v="37"/>
    <x v="0"/>
    <x v="1"/>
    <n v="6"/>
    <n v="7"/>
    <x v="15"/>
    <s v="[VDS] - Cashloan LP"/>
    <x v="0"/>
    <n v="0"/>
  </r>
  <r>
    <x v="37"/>
    <x v="0"/>
    <x v="1"/>
    <n v="6"/>
    <n v="7"/>
    <x v="16"/>
    <s v="[VDS] - Cashloan LP"/>
    <x v="0"/>
    <n v="0"/>
  </r>
  <r>
    <x v="37"/>
    <x v="0"/>
    <x v="1"/>
    <n v="6"/>
    <n v="7"/>
    <x v="17"/>
    <s v="[VDS] - Cashloan LP"/>
    <x v="0"/>
    <n v="0"/>
  </r>
  <r>
    <x v="37"/>
    <x v="0"/>
    <x v="1"/>
    <n v="6"/>
    <n v="7"/>
    <x v="18"/>
    <s v="[VDS] - Cashloan"/>
    <x v="0"/>
    <n v="0"/>
  </r>
  <r>
    <x v="37"/>
    <x v="0"/>
    <x v="1"/>
    <n v="6"/>
    <n v="7"/>
    <x v="19"/>
    <s v="[VDS] - Payday"/>
    <x v="3"/>
    <n v="10034172000"/>
  </r>
  <r>
    <x v="37"/>
    <x v="0"/>
    <x v="1"/>
    <n v="6"/>
    <n v="7"/>
    <x v="20"/>
    <s v="[VDS] - Paylater"/>
    <x v="1"/>
    <n v="249314006"/>
  </r>
  <r>
    <x v="37"/>
    <x v="0"/>
    <x v="1"/>
    <n v="6"/>
    <n v="7"/>
    <x v="21"/>
    <s v="[VDS] - Payroll Cashloan"/>
    <x v="0"/>
    <n v="63000000"/>
  </r>
  <r>
    <x v="37"/>
    <x v="0"/>
    <x v="1"/>
    <n v="6"/>
    <n v="7"/>
    <x v="22"/>
    <s v="[VDS] - Payroll Payday"/>
    <x v="3"/>
    <n v="56000000"/>
  </r>
  <r>
    <x v="37"/>
    <x v="0"/>
    <x v="1"/>
    <n v="6"/>
    <n v="7"/>
    <x v="23"/>
    <s v="[VNPAY] - Cashloan"/>
    <x v="0"/>
    <n v="1392850000"/>
  </r>
  <r>
    <x v="37"/>
    <x v="0"/>
    <x v="1"/>
    <n v="6"/>
    <n v="7"/>
    <x v="24"/>
    <s v="[VNPAY] - Payday"/>
    <x v="3"/>
    <n v="294732000"/>
  </r>
  <r>
    <x v="37"/>
    <x v="0"/>
    <x v="1"/>
    <n v="6"/>
    <n v="7"/>
    <x v="25"/>
    <s v="[VNPAY] - Paylater"/>
    <x v="1"/>
    <n v="506709554"/>
  </r>
  <r>
    <x v="37"/>
    <x v="0"/>
    <x v="1"/>
    <n v="6"/>
    <n v="7"/>
    <x v="26"/>
    <s v="[ZLP] - Cashloan"/>
    <x v="0"/>
    <n v="3146690000"/>
  </r>
  <r>
    <x v="37"/>
    <x v="0"/>
    <x v="1"/>
    <n v="6"/>
    <n v="7"/>
    <x v="27"/>
    <s v="[ZLP] - Payday"/>
    <x v="3"/>
    <n v="385080000"/>
  </r>
  <r>
    <x v="38"/>
    <x v="0"/>
    <x v="1"/>
    <n v="6"/>
    <n v="8"/>
    <x v="0"/>
    <s v="[BE] - Cashloan"/>
    <x v="0"/>
    <n v="524250000"/>
  </r>
  <r>
    <x v="38"/>
    <x v="0"/>
    <x v="1"/>
    <n v="6"/>
    <n v="8"/>
    <x v="1"/>
    <s v="[BE] - Paylater"/>
    <x v="1"/>
    <n v="476770827"/>
  </r>
  <r>
    <x v="38"/>
    <x v="0"/>
    <x v="1"/>
    <n v="6"/>
    <n v="8"/>
    <x v="2"/>
    <s v="[Cake] - Cashloan"/>
    <x v="0"/>
    <n v="12137090000"/>
  </r>
  <r>
    <x v="38"/>
    <x v="0"/>
    <x v="1"/>
    <n v="6"/>
    <n v="8"/>
    <x v="3"/>
    <s v="[Cake] - Overdraft"/>
    <x v="2"/>
    <n v="1670104358"/>
  </r>
  <r>
    <x v="38"/>
    <x v="0"/>
    <x v="1"/>
    <n v="6"/>
    <n v="8"/>
    <x v="4"/>
    <s v="[Cake] - Payday"/>
    <x v="3"/>
    <n v="10942128000"/>
  </r>
  <r>
    <x v="38"/>
    <x v="0"/>
    <x v="1"/>
    <n v="6"/>
    <n v="8"/>
    <x v="5"/>
    <s v="[FPT] - Paylater"/>
    <x v="1"/>
    <n v="26052499"/>
  </r>
  <r>
    <x v="38"/>
    <x v="0"/>
    <x v="1"/>
    <n v="6"/>
    <n v="8"/>
    <x v="6"/>
    <s v="[MISA] - Cashloan"/>
    <x v="0"/>
    <n v="0"/>
  </r>
  <r>
    <x v="38"/>
    <x v="0"/>
    <x v="1"/>
    <n v="6"/>
    <n v="8"/>
    <x v="7"/>
    <s v="[MWG] - Cashloan"/>
    <x v="0"/>
    <n v="5382910000"/>
  </r>
  <r>
    <x v="38"/>
    <x v="0"/>
    <x v="1"/>
    <n v="6"/>
    <n v="8"/>
    <x v="8"/>
    <s v="[MWG] - Cashloan"/>
    <x v="0"/>
    <n v="1057020000"/>
  </r>
  <r>
    <x v="38"/>
    <x v="0"/>
    <x v="1"/>
    <n v="6"/>
    <n v="8"/>
    <x v="9"/>
    <s v="[MWG] - Paylater"/>
    <x v="1"/>
    <n v="6988588"/>
  </r>
  <r>
    <x v="38"/>
    <x v="0"/>
    <x v="1"/>
    <n v="6"/>
    <n v="8"/>
    <x v="10"/>
    <s v="[MWG] - Paylater"/>
    <x v="1"/>
    <n v="2817674097"/>
  </r>
  <r>
    <x v="38"/>
    <x v="0"/>
    <x v="1"/>
    <n v="6"/>
    <n v="8"/>
    <x v="11"/>
    <s v="[NGS] - Cashloan"/>
    <x v="0"/>
    <n v="0"/>
  </r>
  <r>
    <x v="38"/>
    <x v="0"/>
    <x v="1"/>
    <n v="6"/>
    <n v="8"/>
    <x v="12"/>
    <s v="[VNPOST] - Cashloan"/>
    <x v="0"/>
    <n v="46500000"/>
  </r>
  <r>
    <x v="38"/>
    <x v="0"/>
    <x v="1"/>
    <n v="6"/>
    <n v="8"/>
    <x v="13"/>
    <s v="[VNPOST] - Cashloan"/>
    <x v="0"/>
    <n v="0"/>
  </r>
  <r>
    <x v="38"/>
    <x v="0"/>
    <x v="1"/>
    <n v="6"/>
    <n v="8"/>
    <x v="14"/>
    <s v="[VDS] - Cashloan"/>
    <x v="0"/>
    <n v="15212350000"/>
  </r>
  <r>
    <x v="38"/>
    <x v="0"/>
    <x v="1"/>
    <n v="6"/>
    <n v="8"/>
    <x v="15"/>
    <s v="[VDS] - Cashloan LP"/>
    <x v="0"/>
    <n v="0"/>
  </r>
  <r>
    <x v="38"/>
    <x v="0"/>
    <x v="1"/>
    <n v="6"/>
    <n v="8"/>
    <x v="16"/>
    <s v="[VDS] - Cashloan LP"/>
    <x v="0"/>
    <n v="0"/>
  </r>
  <r>
    <x v="38"/>
    <x v="0"/>
    <x v="1"/>
    <n v="6"/>
    <n v="8"/>
    <x v="17"/>
    <s v="[VDS] - Cashloan LP"/>
    <x v="0"/>
    <n v="0"/>
  </r>
  <r>
    <x v="38"/>
    <x v="0"/>
    <x v="1"/>
    <n v="6"/>
    <n v="8"/>
    <x v="18"/>
    <s v="[VDS] - Cashloan"/>
    <x v="0"/>
    <n v="32100000"/>
  </r>
  <r>
    <x v="38"/>
    <x v="0"/>
    <x v="1"/>
    <n v="6"/>
    <n v="8"/>
    <x v="19"/>
    <s v="[VDS] - Payday"/>
    <x v="3"/>
    <n v="9469764000"/>
  </r>
  <r>
    <x v="38"/>
    <x v="0"/>
    <x v="1"/>
    <n v="6"/>
    <n v="8"/>
    <x v="20"/>
    <s v="[VDS] - Paylater"/>
    <x v="1"/>
    <n v="245910684"/>
  </r>
  <r>
    <x v="38"/>
    <x v="0"/>
    <x v="1"/>
    <n v="6"/>
    <n v="8"/>
    <x v="21"/>
    <s v="[VDS] - Payroll Cashloan"/>
    <x v="0"/>
    <n v="21000000"/>
  </r>
  <r>
    <x v="38"/>
    <x v="0"/>
    <x v="1"/>
    <n v="6"/>
    <n v="8"/>
    <x v="22"/>
    <s v="[VDS] - Payroll Payday"/>
    <x v="3"/>
    <n v="35000000"/>
  </r>
  <r>
    <x v="38"/>
    <x v="0"/>
    <x v="1"/>
    <n v="6"/>
    <n v="8"/>
    <x v="23"/>
    <s v="[VNPAY] - Cashloan"/>
    <x v="0"/>
    <n v="744770000"/>
  </r>
  <r>
    <x v="38"/>
    <x v="0"/>
    <x v="1"/>
    <n v="6"/>
    <n v="8"/>
    <x v="24"/>
    <s v="[VNPAY] - Payday"/>
    <x v="3"/>
    <n v="252396000"/>
  </r>
  <r>
    <x v="38"/>
    <x v="0"/>
    <x v="1"/>
    <n v="6"/>
    <n v="8"/>
    <x v="25"/>
    <s v="[VNPAY] - Paylater"/>
    <x v="1"/>
    <n v="432783363"/>
  </r>
  <r>
    <x v="38"/>
    <x v="0"/>
    <x v="1"/>
    <n v="6"/>
    <n v="8"/>
    <x v="26"/>
    <s v="[ZLP] - Cashloan"/>
    <x v="0"/>
    <n v="3280360000"/>
  </r>
  <r>
    <x v="38"/>
    <x v="0"/>
    <x v="1"/>
    <n v="6"/>
    <n v="8"/>
    <x v="27"/>
    <s v="[ZLP] - Payday"/>
    <x v="3"/>
    <n v="370440000"/>
  </r>
  <r>
    <x v="39"/>
    <x v="0"/>
    <x v="1"/>
    <n v="7"/>
    <n v="9"/>
    <x v="0"/>
    <s v="[BE] - Cashloan"/>
    <x v="0"/>
    <n v="777350000"/>
  </r>
  <r>
    <x v="39"/>
    <x v="0"/>
    <x v="1"/>
    <n v="7"/>
    <n v="9"/>
    <x v="1"/>
    <s v="[BE] - Paylater"/>
    <x v="1"/>
    <n v="430705140"/>
  </r>
  <r>
    <x v="39"/>
    <x v="0"/>
    <x v="1"/>
    <n v="7"/>
    <n v="9"/>
    <x v="2"/>
    <s v="[Cake] - Cashloan"/>
    <x v="0"/>
    <n v="16102800000"/>
  </r>
  <r>
    <x v="39"/>
    <x v="0"/>
    <x v="1"/>
    <n v="7"/>
    <n v="9"/>
    <x v="3"/>
    <s v="[Cake] - Overdraft"/>
    <x v="2"/>
    <n v="2307332000"/>
  </r>
  <r>
    <x v="39"/>
    <x v="0"/>
    <x v="1"/>
    <n v="7"/>
    <n v="9"/>
    <x v="4"/>
    <s v="[Cake] - Payday"/>
    <x v="3"/>
    <n v="13561560000"/>
  </r>
  <r>
    <x v="39"/>
    <x v="0"/>
    <x v="1"/>
    <n v="7"/>
    <n v="9"/>
    <x v="5"/>
    <s v="[FPT] - Paylater"/>
    <x v="1"/>
    <n v="13958264"/>
  </r>
  <r>
    <x v="39"/>
    <x v="0"/>
    <x v="1"/>
    <n v="7"/>
    <n v="9"/>
    <x v="6"/>
    <s v="[MISA] - Cashloan"/>
    <x v="0"/>
    <n v="0"/>
  </r>
  <r>
    <x v="39"/>
    <x v="0"/>
    <x v="1"/>
    <n v="7"/>
    <n v="9"/>
    <x v="7"/>
    <s v="[MWG] - Cashloan"/>
    <x v="0"/>
    <n v="5687630000"/>
  </r>
  <r>
    <x v="39"/>
    <x v="0"/>
    <x v="1"/>
    <n v="7"/>
    <n v="9"/>
    <x v="8"/>
    <s v="[MWG] - Cashloan"/>
    <x v="0"/>
    <n v="1323600000"/>
  </r>
  <r>
    <x v="39"/>
    <x v="0"/>
    <x v="1"/>
    <n v="7"/>
    <n v="9"/>
    <x v="9"/>
    <s v="[MWG] - Paylater"/>
    <x v="1"/>
    <n v="23825640"/>
  </r>
  <r>
    <x v="39"/>
    <x v="0"/>
    <x v="1"/>
    <n v="7"/>
    <n v="9"/>
    <x v="10"/>
    <s v="[MWG] - Paylater"/>
    <x v="1"/>
    <n v="2219111867"/>
  </r>
  <r>
    <x v="39"/>
    <x v="0"/>
    <x v="1"/>
    <n v="7"/>
    <n v="9"/>
    <x v="11"/>
    <s v="[NGS] - Cashloan"/>
    <x v="0"/>
    <n v="0"/>
  </r>
  <r>
    <x v="39"/>
    <x v="0"/>
    <x v="1"/>
    <n v="7"/>
    <n v="9"/>
    <x v="12"/>
    <s v="[VNPOST] - Cashloan"/>
    <x v="0"/>
    <n v="150500000"/>
  </r>
  <r>
    <x v="39"/>
    <x v="0"/>
    <x v="1"/>
    <n v="7"/>
    <n v="9"/>
    <x v="13"/>
    <s v="[VNPOST] - Cashloan"/>
    <x v="0"/>
    <n v="0"/>
  </r>
  <r>
    <x v="39"/>
    <x v="0"/>
    <x v="1"/>
    <n v="7"/>
    <n v="9"/>
    <x v="14"/>
    <s v="[VDS] - Cashloan"/>
    <x v="0"/>
    <n v="20585370000"/>
  </r>
  <r>
    <x v="39"/>
    <x v="0"/>
    <x v="1"/>
    <n v="7"/>
    <n v="9"/>
    <x v="15"/>
    <s v="[VDS] - Cashloan LP"/>
    <x v="0"/>
    <n v="0"/>
  </r>
  <r>
    <x v="39"/>
    <x v="0"/>
    <x v="1"/>
    <n v="7"/>
    <n v="9"/>
    <x v="16"/>
    <s v="[VDS] - Cashloan LP"/>
    <x v="0"/>
    <n v="0"/>
  </r>
  <r>
    <x v="39"/>
    <x v="0"/>
    <x v="1"/>
    <n v="7"/>
    <n v="9"/>
    <x v="17"/>
    <s v="[VDS] - Cashloan LP"/>
    <x v="0"/>
    <n v="0"/>
  </r>
  <r>
    <x v="39"/>
    <x v="0"/>
    <x v="1"/>
    <n v="7"/>
    <n v="9"/>
    <x v="18"/>
    <s v="[VDS] - Cashloan"/>
    <x v="0"/>
    <n v="10000000"/>
  </r>
  <r>
    <x v="39"/>
    <x v="0"/>
    <x v="1"/>
    <n v="7"/>
    <n v="9"/>
    <x v="19"/>
    <s v="[VDS] - Payday"/>
    <x v="3"/>
    <n v="11518200000"/>
  </r>
  <r>
    <x v="39"/>
    <x v="0"/>
    <x v="1"/>
    <n v="7"/>
    <n v="9"/>
    <x v="20"/>
    <s v="[VDS] - Paylater"/>
    <x v="1"/>
    <n v="252108513"/>
  </r>
  <r>
    <x v="39"/>
    <x v="0"/>
    <x v="1"/>
    <n v="7"/>
    <n v="9"/>
    <x v="21"/>
    <s v="[VDS] - Payroll Cashloan"/>
    <x v="0"/>
    <n v="94000000"/>
  </r>
  <r>
    <x v="39"/>
    <x v="0"/>
    <x v="1"/>
    <n v="7"/>
    <n v="9"/>
    <x v="22"/>
    <s v="[VDS] - Payroll Payday"/>
    <x v="3"/>
    <n v="44000000"/>
  </r>
  <r>
    <x v="39"/>
    <x v="0"/>
    <x v="1"/>
    <n v="7"/>
    <n v="9"/>
    <x v="23"/>
    <s v="[VNPAY] - Cashloan"/>
    <x v="0"/>
    <n v="1218560000"/>
  </r>
  <r>
    <x v="39"/>
    <x v="0"/>
    <x v="1"/>
    <n v="7"/>
    <n v="9"/>
    <x v="24"/>
    <s v="[VNPAY] - Payday"/>
    <x v="3"/>
    <n v="376488000"/>
  </r>
  <r>
    <x v="39"/>
    <x v="0"/>
    <x v="1"/>
    <n v="7"/>
    <n v="9"/>
    <x v="25"/>
    <s v="[VNPAY] - Paylater"/>
    <x v="1"/>
    <n v="461406552"/>
  </r>
  <r>
    <x v="39"/>
    <x v="0"/>
    <x v="1"/>
    <n v="7"/>
    <n v="9"/>
    <x v="26"/>
    <s v="[ZLP] - Cashloan"/>
    <x v="0"/>
    <n v="4252950000"/>
  </r>
  <r>
    <x v="39"/>
    <x v="0"/>
    <x v="1"/>
    <n v="7"/>
    <n v="9"/>
    <x v="27"/>
    <s v="[ZLP] - Payday"/>
    <x v="3"/>
    <n v="421640000"/>
  </r>
  <r>
    <x v="40"/>
    <x v="0"/>
    <x v="1"/>
    <n v="7"/>
    <n v="10"/>
    <x v="0"/>
    <s v="[BE] - Cashloan"/>
    <x v="0"/>
    <n v="944550000"/>
  </r>
  <r>
    <x v="40"/>
    <x v="0"/>
    <x v="1"/>
    <n v="7"/>
    <n v="10"/>
    <x v="1"/>
    <s v="[BE] - Paylater"/>
    <x v="1"/>
    <n v="437028144"/>
  </r>
  <r>
    <x v="40"/>
    <x v="0"/>
    <x v="1"/>
    <n v="7"/>
    <n v="10"/>
    <x v="2"/>
    <s v="[Cake] - Cashloan"/>
    <x v="0"/>
    <n v="16196530000"/>
  </r>
  <r>
    <x v="40"/>
    <x v="0"/>
    <x v="1"/>
    <n v="7"/>
    <n v="10"/>
    <x v="3"/>
    <s v="[Cake] - Overdraft"/>
    <x v="2"/>
    <n v="2427407614"/>
  </r>
  <r>
    <x v="40"/>
    <x v="0"/>
    <x v="1"/>
    <n v="7"/>
    <n v="10"/>
    <x v="4"/>
    <s v="[Cake] - Payday"/>
    <x v="3"/>
    <n v="17914284000"/>
  </r>
  <r>
    <x v="40"/>
    <x v="0"/>
    <x v="1"/>
    <n v="7"/>
    <n v="10"/>
    <x v="5"/>
    <s v="[FPT] - Paylater"/>
    <x v="1"/>
    <n v="4878535"/>
  </r>
  <r>
    <x v="40"/>
    <x v="0"/>
    <x v="1"/>
    <n v="7"/>
    <n v="10"/>
    <x v="6"/>
    <s v="[MISA] - Cashloan"/>
    <x v="0"/>
    <n v="90000000"/>
  </r>
  <r>
    <x v="40"/>
    <x v="0"/>
    <x v="1"/>
    <n v="7"/>
    <n v="10"/>
    <x v="7"/>
    <s v="[MWG] - Cashloan"/>
    <x v="0"/>
    <n v="5553250000"/>
  </r>
  <r>
    <x v="40"/>
    <x v="0"/>
    <x v="1"/>
    <n v="7"/>
    <n v="10"/>
    <x v="8"/>
    <s v="[MWG] - Cashloan"/>
    <x v="0"/>
    <n v="1816740000"/>
  </r>
  <r>
    <x v="40"/>
    <x v="0"/>
    <x v="1"/>
    <n v="7"/>
    <n v="10"/>
    <x v="9"/>
    <s v="[MWG] - Paylater"/>
    <x v="1"/>
    <n v="16585545"/>
  </r>
  <r>
    <x v="40"/>
    <x v="0"/>
    <x v="1"/>
    <n v="7"/>
    <n v="10"/>
    <x v="10"/>
    <s v="[MWG] - Paylater"/>
    <x v="1"/>
    <n v="2363385233"/>
  </r>
  <r>
    <x v="40"/>
    <x v="0"/>
    <x v="1"/>
    <n v="7"/>
    <n v="10"/>
    <x v="11"/>
    <s v="[NGS] - Cashloan"/>
    <x v="0"/>
    <n v="0"/>
  </r>
  <r>
    <x v="40"/>
    <x v="0"/>
    <x v="1"/>
    <n v="7"/>
    <n v="10"/>
    <x v="12"/>
    <s v="[VNPOST] - Cashloan"/>
    <x v="0"/>
    <n v="128250000"/>
  </r>
  <r>
    <x v="40"/>
    <x v="0"/>
    <x v="1"/>
    <n v="7"/>
    <n v="10"/>
    <x v="13"/>
    <s v="[VNPOST] - Cashloan"/>
    <x v="0"/>
    <n v="0"/>
  </r>
  <r>
    <x v="40"/>
    <x v="0"/>
    <x v="1"/>
    <n v="7"/>
    <n v="10"/>
    <x v="14"/>
    <s v="[VDS] - Cashloan"/>
    <x v="0"/>
    <n v="22447140000"/>
  </r>
  <r>
    <x v="40"/>
    <x v="0"/>
    <x v="1"/>
    <n v="7"/>
    <n v="10"/>
    <x v="15"/>
    <s v="[VDS] - Cashloan LP"/>
    <x v="0"/>
    <n v="0"/>
  </r>
  <r>
    <x v="40"/>
    <x v="0"/>
    <x v="1"/>
    <n v="7"/>
    <n v="10"/>
    <x v="16"/>
    <s v="[VDS] - Cashloan LP"/>
    <x v="0"/>
    <n v="0"/>
  </r>
  <r>
    <x v="40"/>
    <x v="0"/>
    <x v="1"/>
    <n v="7"/>
    <n v="10"/>
    <x v="17"/>
    <s v="[VDS] - Cashloan LP"/>
    <x v="0"/>
    <n v="0"/>
  </r>
  <r>
    <x v="40"/>
    <x v="0"/>
    <x v="1"/>
    <n v="7"/>
    <n v="10"/>
    <x v="18"/>
    <s v="[VDS] - Cashloan"/>
    <x v="0"/>
    <n v="5000000"/>
  </r>
  <r>
    <x v="40"/>
    <x v="0"/>
    <x v="1"/>
    <n v="7"/>
    <n v="10"/>
    <x v="19"/>
    <s v="[VDS] - Payday"/>
    <x v="3"/>
    <n v="16601760000"/>
  </r>
  <r>
    <x v="40"/>
    <x v="0"/>
    <x v="1"/>
    <n v="7"/>
    <n v="10"/>
    <x v="20"/>
    <s v="[VDS] - Paylater"/>
    <x v="1"/>
    <n v="263184392"/>
  </r>
  <r>
    <x v="40"/>
    <x v="0"/>
    <x v="1"/>
    <n v="7"/>
    <n v="10"/>
    <x v="21"/>
    <s v="[VDS] - Payroll Cashloan"/>
    <x v="0"/>
    <n v="52500000"/>
  </r>
  <r>
    <x v="40"/>
    <x v="0"/>
    <x v="1"/>
    <n v="7"/>
    <n v="10"/>
    <x v="22"/>
    <s v="[VDS] - Payroll Payday"/>
    <x v="3"/>
    <n v="77000000"/>
  </r>
  <r>
    <x v="40"/>
    <x v="0"/>
    <x v="1"/>
    <n v="7"/>
    <n v="10"/>
    <x v="23"/>
    <s v="[VNPAY] - Cashloan"/>
    <x v="0"/>
    <n v="1239540000"/>
  </r>
  <r>
    <x v="40"/>
    <x v="0"/>
    <x v="1"/>
    <n v="7"/>
    <n v="10"/>
    <x v="24"/>
    <s v="[VNPAY] - Payday"/>
    <x v="3"/>
    <n v="437400000"/>
  </r>
  <r>
    <x v="40"/>
    <x v="0"/>
    <x v="1"/>
    <n v="7"/>
    <n v="10"/>
    <x v="25"/>
    <s v="[VNPAY] - Paylater"/>
    <x v="1"/>
    <n v="531809759"/>
  </r>
  <r>
    <x v="40"/>
    <x v="0"/>
    <x v="1"/>
    <n v="7"/>
    <n v="10"/>
    <x v="26"/>
    <s v="[ZLP] - Cashloan"/>
    <x v="0"/>
    <n v="4441820000"/>
  </r>
  <r>
    <x v="40"/>
    <x v="0"/>
    <x v="1"/>
    <n v="7"/>
    <n v="10"/>
    <x v="27"/>
    <s v="[ZLP] - Payday"/>
    <x v="3"/>
    <n v="450640000"/>
  </r>
  <r>
    <x v="41"/>
    <x v="0"/>
    <x v="1"/>
    <n v="7"/>
    <n v="11"/>
    <x v="0"/>
    <s v="[BE] - Cashloan"/>
    <x v="0"/>
    <n v="884450000"/>
  </r>
  <r>
    <x v="41"/>
    <x v="0"/>
    <x v="1"/>
    <n v="7"/>
    <n v="11"/>
    <x v="1"/>
    <s v="[BE] - Paylater"/>
    <x v="1"/>
    <n v="410495563"/>
  </r>
  <r>
    <x v="41"/>
    <x v="0"/>
    <x v="1"/>
    <n v="7"/>
    <n v="11"/>
    <x v="2"/>
    <s v="[Cake] - Cashloan"/>
    <x v="0"/>
    <n v="15446610000"/>
  </r>
  <r>
    <x v="41"/>
    <x v="0"/>
    <x v="1"/>
    <n v="7"/>
    <n v="11"/>
    <x v="3"/>
    <s v="[Cake] - Overdraft"/>
    <x v="2"/>
    <n v="2518304147"/>
  </r>
  <r>
    <x v="41"/>
    <x v="0"/>
    <x v="1"/>
    <n v="7"/>
    <n v="11"/>
    <x v="4"/>
    <s v="[Cake] - Payday"/>
    <x v="3"/>
    <n v="14549760000"/>
  </r>
  <r>
    <x v="41"/>
    <x v="0"/>
    <x v="1"/>
    <n v="7"/>
    <n v="11"/>
    <x v="5"/>
    <s v="[FPT] - Paylater"/>
    <x v="1"/>
    <n v="8878861"/>
  </r>
  <r>
    <x v="41"/>
    <x v="0"/>
    <x v="1"/>
    <n v="7"/>
    <n v="11"/>
    <x v="6"/>
    <s v="[MISA] - Cashloan"/>
    <x v="0"/>
    <n v="0"/>
  </r>
  <r>
    <x v="41"/>
    <x v="0"/>
    <x v="1"/>
    <n v="7"/>
    <n v="11"/>
    <x v="7"/>
    <s v="[MWG] - Cashloan"/>
    <x v="0"/>
    <n v="5167060000"/>
  </r>
  <r>
    <x v="41"/>
    <x v="0"/>
    <x v="1"/>
    <n v="7"/>
    <n v="11"/>
    <x v="8"/>
    <s v="[MWG] - Cashloan"/>
    <x v="0"/>
    <n v="1733810000"/>
  </r>
  <r>
    <x v="41"/>
    <x v="0"/>
    <x v="1"/>
    <n v="7"/>
    <n v="11"/>
    <x v="9"/>
    <s v="[MWG] - Paylater"/>
    <x v="1"/>
    <n v="11337900"/>
  </r>
  <r>
    <x v="41"/>
    <x v="0"/>
    <x v="1"/>
    <n v="7"/>
    <n v="11"/>
    <x v="10"/>
    <s v="[MWG] - Paylater"/>
    <x v="1"/>
    <n v="2163121408"/>
  </r>
  <r>
    <x v="41"/>
    <x v="0"/>
    <x v="1"/>
    <n v="7"/>
    <n v="11"/>
    <x v="11"/>
    <s v="[NGS] - Cashloan"/>
    <x v="0"/>
    <n v="0"/>
  </r>
  <r>
    <x v="41"/>
    <x v="0"/>
    <x v="1"/>
    <n v="7"/>
    <n v="11"/>
    <x v="12"/>
    <s v="[VNPOST] - Cashloan"/>
    <x v="0"/>
    <n v="117000000"/>
  </r>
  <r>
    <x v="41"/>
    <x v="0"/>
    <x v="1"/>
    <n v="7"/>
    <n v="11"/>
    <x v="13"/>
    <s v="[VNPOST] - Cashloan"/>
    <x v="0"/>
    <n v="0"/>
  </r>
  <r>
    <x v="41"/>
    <x v="0"/>
    <x v="1"/>
    <n v="7"/>
    <n v="11"/>
    <x v="14"/>
    <s v="[VDS] - Cashloan"/>
    <x v="0"/>
    <n v="20131040000"/>
  </r>
  <r>
    <x v="41"/>
    <x v="0"/>
    <x v="1"/>
    <n v="7"/>
    <n v="11"/>
    <x v="15"/>
    <s v="[VDS] - Cashloan LP"/>
    <x v="0"/>
    <n v="0"/>
  </r>
  <r>
    <x v="41"/>
    <x v="0"/>
    <x v="1"/>
    <n v="7"/>
    <n v="11"/>
    <x v="16"/>
    <s v="[VDS] - Cashloan LP"/>
    <x v="0"/>
    <n v="0"/>
  </r>
  <r>
    <x v="41"/>
    <x v="0"/>
    <x v="1"/>
    <n v="7"/>
    <n v="11"/>
    <x v="17"/>
    <s v="[VDS] - Cashloan LP"/>
    <x v="0"/>
    <n v="0"/>
  </r>
  <r>
    <x v="41"/>
    <x v="0"/>
    <x v="1"/>
    <n v="7"/>
    <n v="11"/>
    <x v="18"/>
    <s v="[VDS] - Cashloan"/>
    <x v="0"/>
    <n v="30000000"/>
  </r>
  <r>
    <x v="41"/>
    <x v="0"/>
    <x v="1"/>
    <n v="7"/>
    <n v="11"/>
    <x v="19"/>
    <s v="[VDS] - Payday"/>
    <x v="3"/>
    <n v="14314212000"/>
  </r>
  <r>
    <x v="41"/>
    <x v="0"/>
    <x v="1"/>
    <n v="7"/>
    <n v="11"/>
    <x v="20"/>
    <s v="[VDS] - Paylater"/>
    <x v="1"/>
    <n v="217746686"/>
  </r>
  <r>
    <x v="41"/>
    <x v="0"/>
    <x v="1"/>
    <n v="7"/>
    <n v="11"/>
    <x v="21"/>
    <s v="[VDS] - Payroll Cashloan"/>
    <x v="0"/>
    <n v="26250000"/>
  </r>
  <r>
    <x v="41"/>
    <x v="0"/>
    <x v="1"/>
    <n v="7"/>
    <n v="11"/>
    <x v="22"/>
    <s v="[VDS] - Payroll Payday"/>
    <x v="3"/>
    <n v="41000000"/>
  </r>
  <r>
    <x v="41"/>
    <x v="0"/>
    <x v="1"/>
    <n v="7"/>
    <n v="11"/>
    <x v="23"/>
    <s v="[VNPAY] - Cashloan"/>
    <x v="0"/>
    <n v="1090080000"/>
  </r>
  <r>
    <x v="41"/>
    <x v="0"/>
    <x v="1"/>
    <n v="7"/>
    <n v="11"/>
    <x v="24"/>
    <s v="[VNPAY] - Payday"/>
    <x v="3"/>
    <n v="388692000"/>
  </r>
  <r>
    <x v="41"/>
    <x v="0"/>
    <x v="1"/>
    <n v="7"/>
    <n v="11"/>
    <x v="25"/>
    <s v="[VNPAY] - Paylater"/>
    <x v="1"/>
    <n v="380520888"/>
  </r>
  <r>
    <x v="41"/>
    <x v="0"/>
    <x v="1"/>
    <n v="7"/>
    <n v="11"/>
    <x v="26"/>
    <s v="[ZLP] - Cashloan"/>
    <x v="0"/>
    <n v="4042080000"/>
  </r>
  <r>
    <x v="41"/>
    <x v="0"/>
    <x v="1"/>
    <n v="7"/>
    <n v="11"/>
    <x v="27"/>
    <s v="[ZLP] - Payday"/>
    <x v="3"/>
    <n v="414560000"/>
  </r>
  <r>
    <x v="42"/>
    <x v="0"/>
    <x v="1"/>
    <n v="7"/>
    <n v="12"/>
    <x v="0"/>
    <s v="[BE] - Cashloan"/>
    <x v="0"/>
    <n v="679300000"/>
  </r>
  <r>
    <x v="42"/>
    <x v="0"/>
    <x v="1"/>
    <n v="7"/>
    <n v="12"/>
    <x v="1"/>
    <s v="[BE] - Paylater"/>
    <x v="1"/>
    <n v="339242997"/>
  </r>
  <r>
    <x v="42"/>
    <x v="0"/>
    <x v="1"/>
    <n v="7"/>
    <n v="12"/>
    <x v="2"/>
    <s v="[Cake] - Cashloan"/>
    <x v="0"/>
    <n v="15537640000"/>
  </r>
  <r>
    <x v="42"/>
    <x v="0"/>
    <x v="1"/>
    <n v="7"/>
    <n v="12"/>
    <x v="3"/>
    <s v="[Cake] - Overdraft"/>
    <x v="2"/>
    <n v="2012131802"/>
  </r>
  <r>
    <x v="42"/>
    <x v="0"/>
    <x v="1"/>
    <n v="7"/>
    <n v="12"/>
    <x v="4"/>
    <s v="[Cake] - Payday"/>
    <x v="3"/>
    <n v="14688324000"/>
  </r>
  <r>
    <x v="42"/>
    <x v="0"/>
    <x v="1"/>
    <n v="7"/>
    <n v="12"/>
    <x v="5"/>
    <s v="[FPT] - Paylater"/>
    <x v="1"/>
    <n v="10206317"/>
  </r>
  <r>
    <x v="42"/>
    <x v="0"/>
    <x v="1"/>
    <n v="7"/>
    <n v="12"/>
    <x v="6"/>
    <s v="[MISA] - Cashloan"/>
    <x v="0"/>
    <n v="60000000"/>
  </r>
  <r>
    <x v="42"/>
    <x v="0"/>
    <x v="1"/>
    <n v="7"/>
    <n v="12"/>
    <x v="7"/>
    <s v="[MWG] - Cashloan"/>
    <x v="0"/>
    <n v="5803230000"/>
  </r>
  <r>
    <x v="42"/>
    <x v="0"/>
    <x v="1"/>
    <n v="7"/>
    <n v="12"/>
    <x v="8"/>
    <s v="[MWG] - Cashloan"/>
    <x v="0"/>
    <n v="1310970000"/>
  </r>
  <r>
    <x v="42"/>
    <x v="0"/>
    <x v="1"/>
    <n v="7"/>
    <n v="12"/>
    <x v="9"/>
    <s v="[MWG] - Paylater"/>
    <x v="1"/>
    <n v="11743716"/>
  </r>
  <r>
    <x v="42"/>
    <x v="0"/>
    <x v="1"/>
    <n v="7"/>
    <n v="12"/>
    <x v="10"/>
    <s v="[MWG] - Paylater"/>
    <x v="1"/>
    <n v="1861858527"/>
  </r>
  <r>
    <x v="42"/>
    <x v="0"/>
    <x v="1"/>
    <n v="7"/>
    <n v="12"/>
    <x v="11"/>
    <s v="[NGS] - Cashloan"/>
    <x v="0"/>
    <n v="0"/>
  </r>
  <r>
    <x v="42"/>
    <x v="0"/>
    <x v="1"/>
    <n v="7"/>
    <n v="12"/>
    <x v="12"/>
    <s v="[VNPOST] - Cashloan"/>
    <x v="0"/>
    <n v="95050000"/>
  </r>
  <r>
    <x v="42"/>
    <x v="0"/>
    <x v="1"/>
    <n v="7"/>
    <n v="12"/>
    <x v="13"/>
    <s v="[VNPOST] - Cashloan"/>
    <x v="0"/>
    <n v="51500000"/>
  </r>
  <r>
    <x v="42"/>
    <x v="0"/>
    <x v="1"/>
    <n v="7"/>
    <n v="12"/>
    <x v="14"/>
    <s v="[VDS] - Cashloan"/>
    <x v="0"/>
    <n v="17810790000"/>
  </r>
  <r>
    <x v="42"/>
    <x v="0"/>
    <x v="1"/>
    <n v="7"/>
    <n v="12"/>
    <x v="15"/>
    <s v="[VDS] - Cashloan LP"/>
    <x v="0"/>
    <n v="0"/>
  </r>
  <r>
    <x v="42"/>
    <x v="0"/>
    <x v="1"/>
    <n v="7"/>
    <n v="12"/>
    <x v="16"/>
    <s v="[VDS] - Cashloan LP"/>
    <x v="0"/>
    <n v="0"/>
  </r>
  <r>
    <x v="42"/>
    <x v="0"/>
    <x v="1"/>
    <n v="7"/>
    <n v="12"/>
    <x v="17"/>
    <s v="[VDS] - Cashloan LP"/>
    <x v="0"/>
    <n v="0"/>
  </r>
  <r>
    <x v="42"/>
    <x v="0"/>
    <x v="1"/>
    <n v="7"/>
    <n v="12"/>
    <x v="18"/>
    <s v="[VDS] - Cashloan"/>
    <x v="0"/>
    <n v="0"/>
  </r>
  <r>
    <x v="42"/>
    <x v="0"/>
    <x v="1"/>
    <n v="7"/>
    <n v="12"/>
    <x v="19"/>
    <s v="[VDS] - Payday"/>
    <x v="3"/>
    <n v="14012568000"/>
  </r>
  <r>
    <x v="42"/>
    <x v="0"/>
    <x v="1"/>
    <n v="7"/>
    <n v="12"/>
    <x v="20"/>
    <s v="[VDS] - Paylater"/>
    <x v="1"/>
    <n v="187290414"/>
  </r>
  <r>
    <x v="42"/>
    <x v="0"/>
    <x v="1"/>
    <n v="7"/>
    <n v="12"/>
    <x v="21"/>
    <s v="[VDS] - Payroll Cashloan"/>
    <x v="0"/>
    <n v="31500000"/>
  </r>
  <r>
    <x v="42"/>
    <x v="0"/>
    <x v="1"/>
    <n v="7"/>
    <n v="12"/>
    <x v="22"/>
    <s v="[VDS] - Payroll Payday"/>
    <x v="3"/>
    <n v="59000000"/>
  </r>
  <r>
    <x v="42"/>
    <x v="0"/>
    <x v="1"/>
    <n v="7"/>
    <n v="12"/>
    <x v="23"/>
    <s v="[VNPAY] - Cashloan"/>
    <x v="0"/>
    <n v="825110000"/>
  </r>
  <r>
    <x v="42"/>
    <x v="0"/>
    <x v="1"/>
    <n v="7"/>
    <n v="12"/>
    <x v="24"/>
    <s v="[VNPAY] - Payday"/>
    <x v="3"/>
    <n v="367092000"/>
  </r>
  <r>
    <x v="42"/>
    <x v="0"/>
    <x v="1"/>
    <n v="7"/>
    <n v="12"/>
    <x v="25"/>
    <s v="[VNPAY] - Paylater"/>
    <x v="1"/>
    <n v="299647278"/>
  </r>
  <r>
    <x v="42"/>
    <x v="0"/>
    <x v="1"/>
    <n v="7"/>
    <n v="12"/>
    <x v="26"/>
    <s v="[ZLP] - Cashloan"/>
    <x v="0"/>
    <n v="3647310000"/>
  </r>
  <r>
    <x v="42"/>
    <x v="0"/>
    <x v="1"/>
    <n v="7"/>
    <n v="12"/>
    <x v="27"/>
    <s v="[ZLP] - Payday"/>
    <x v="3"/>
    <n v="510520000"/>
  </r>
  <r>
    <x v="43"/>
    <x v="0"/>
    <x v="1"/>
    <n v="7"/>
    <n v="13"/>
    <x v="0"/>
    <s v="[BE] - Cashloan"/>
    <x v="0"/>
    <n v="780600000"/>
  </r>
  <r>
    <x v="43"/>
    <x v="0"/>
    <x v="1"/>
    <n v="7"/>
    <n v="13"/>
    <x v="1"/>
    <s v="[BE] - Paylater"/>
    <x v="1"/>
    <n v="313771001"/>
  </r>
  <r>
    <x v="43"/>
    <x v="0"/>
    <x v="1"/>
    <n v="7"/>
    <n v="13"/>
    <x v="2"/>
    <s v="[Cake] - Cashloan"/>
    <x v="0"/>
    <n v="14101730000"/>
  </r>
  <r>
    <x v="43"/>
    <x v="0"/>
    <x v="1"/>
    <n v="7"/>
    <n v="13"/>
    <x v="3"/>
    <s v="[Cake] - Overdraft"/>
    <x v="2"/>
    <n v="2129790209"/>
  </r>
  <r>
    <x v="43"/>
    <x v="0"/>
    <x v="1"/>
    <n v="7"/>
    <n v="13"/>
    <x v="4"/>
    <s v="[Cake] - Payday"/>
    <x v="3"/>
    <n v="14502564000"/>
  </r>
  <r>
    <x v="43"/>
    <x v="0"/>
    <x v="1"/>
    <n v="7"/>
    <n v="13"/>
    <x v="5"/>
    <s v="[FPT] - Paylater"/>
    <x v="1"/>
    <n v="2973908"/>
  </r>
  <r>
    <x v="43"/>
    <x v="0"/>
    <x v="1"/>
    <n v="7"/>
    <n v="13"/>
    <x v="6"/>
    <s v="[MISA] - Cashloan"/>
    <x v="0"/>
    <n v="0"/>
  </r>
  <r>
    <x v="43"/>
    <x v="0"/>
    <x v="1"/>
    <n v="7"/>
    <n v="13"/>
    <x v="7"/>
    <s v="[MWG] - Cashloan"/>
    <x v="0"/>
    <n v="5407130000"/>
  </r>
  <r>
    <x v="43"/>
    <x v="0"/>
    <x v="1"/>
    <n v="7"/>
    <n v="13"/>
    <x v="8"/>
    <s v="[MWG] - Cashloan"/>
    <x v="0"/>
    <n v="1812790000"/>
  </r>
  <r>
    <x v="43"/>
    <x v="0"/>
    <x v="1"/>
    <n v="7"/>
    <n v="13"/>
    <x v="9"/>
    <s v="[MWG] - Paylater"/>
    <x v="1"/>
    <n v="23918164"/>
  </r>
  <r>
    <x v="43"/>
    <x v="0"/>
    <x v="1"/>
    <n v="7"/>
    <n v="13"/>
    <x v="10"/>
    <s v="[MWG] - Paylater"/>
    <x v="1"/>
    <n v="1673245815"/>
  </r>
  <r>
    <x v="43"/>
    <x v="0"/>
    <x v="1"/>
    <n v="7"/>
    <n v="13"/>
    <x v="11"/>
    <s v="[NGS] - Cashloan"/>
    <x v="0"/>
    <n v="0"/>
  </r>
  <r>
    <x v="43"/>
    <x v="0"/>
    <x v="1"/>
    <n v="7"/>
    <n v="13"/>
    <x v="12"/>
    <s v="[VNPOST] - Cashloan"/>
    <x v="0"/>
    <n v="171750000"/>
  </r>
  <r>
    <x v="43"/>
    <x v="0"/>
    <x v="1"/>
    <n v="7"/>
    <n v="13"/>
    <x v="13"/>
    <s v="[VNPOST] - Cashloan"/>
    <x v="0"/>
    <n v="0"/>
  </r>
  <r>
    <x v="43"/>
    <x v="0"/>
    <x v="1"/>
    <n v="7"/>
    <n v="13"/>
    <x v="14"/>
    <s v="[VDS] - Cashloan"/>
    <x v="0"/>
    <n v="18195930000"/>
  </r>
  <r>
    <x v="43"/>
    <x v="0"/>
    <x v="1"/>
    <n v="7"/>
    <n v="13"/>
    <x v="15"/>
    <s v="[VDS] - Cashloan LP"/>
    <x v="0"/>
    <n v="0"/>
  </r>
  <r>
    <x v="43"/>
    <x v="0"/>
    <x v="1"/>
    <n v="7"/>
    <n v="13"/>
    <x v="16"/>
    <s v="[VDS] - Cashloan LP"/>
    <x v="0"/>
    <n v="0"/>
  </r>
  <r>
    <x v="43"/>
    <x v="0"/>
    <x v="1"/>
    <n v="7"/>
    <n v="13"/>
    <x v="17"/>
    <s v="[VDS] - Cashloan LP"/>
    <x v="0"/>
    <n v="0"/>
  </r>
  <r>
    <x v="43"/>
    <x v="0"/>
    <x v="1"/>
    <n v="7"/>
    <n v="13"/>
    <x v="18"/>
    <s v="[VDS] - Cashloan"/>
    <x v="0"/>
    <n v="0"/>
  </r>
  <r>
    <x v="43"/>
    <x v="0"/>
    <x v="1"/>
    <n v="7"/>
    <n v="13"/>
    <x v="19"/>
    <s v="[VDS] - Payday"/>
    <x v="3"/>
    <n v="14592420000"/>
  </r>
  <r>
    <x v="43"/>
    <x v="0"/>
    <x v="1"/>
    <n v="7"/>
    <n v="13"/>
    <x v="20"/>
    <s v="[VDS] - Paylater"/>
    <x v="1"/>
    <n v="218166026"/>
  </r>
  <r>
    <x v="43"/>
    <x v="0"/>
    <x v="1"/>
    <n v="7"/>
    <n v="13"/>
    <x v="21"/>
    <s v="[VDS] - Payroll Cashloan"/>
    <x v="0"/>
    <n v="93500000"/>
  </r>
  <r>
    <x v="43"/>
    <x v="0"/>
    <x v="1"/>
    <n v="7"/>
    <n v="13"/>
    <x v="22"/>
    <s v="[VDS] - Payroll Payday"/>
    <x v="3"/>
    <n v="84000000"/>
  </r>
  <r>
    <x v="43"/>
    <x v="0"/>
    <x v="1"/>
    <n v="7"/>
    <n v="13"/>
    <x v="23"/>
    <s v="[VNPAY] - Cashloan"/>
    <x v="0"/>
    <n v="1116740000"/>
  </r>
  <r>
    <x v="43"/>
    <x v="0"/>
    <x v="1"/>
    <n v="7"/>
    <n v="13"/>
    <x v="24"/>
    <s v="[VNPAY] - Payday"/>
    <x v="3"/>
    <n v="430812000"/>
  </r>
  <r>
    <x v="43"/>
    <x v="0"/>
    <x v="1"/>
    <n v="7"/>
    <n v="13"/>
    <x v="25"/>
    <s v="[VNPAY] - Paylater"/>
    <x v="1"/>
    <n v="332005724"/>
  </r>
  <r>
    <x v="43"/>
    <x v="0"/>
    <x v="1"/>
    <n v="7"/>
    <n v="13"/>
    <x v="26"/>
    <s v="[ZLP] - Cashloan"/>
    <x v="0"/>
    <n v="3427090000"/>
  </r>
  <r>
    <x v="43"/>
    <x v="0"/>
    <x v="1"/>
    <n v="7"/>
    <n v="13"/>
    <x v="27"/>
    <s v="[ZLP] - Payday"/>
    <x v="3"/>
    <n v="414560000"/>
  </r>
  <r>
    <x v="44"/>
    <x v="0"/>
    <x v="1"/>
    <n v="7"/>
    <n v="14"/>
    <x v="0"/>
    <s v="[BE] - Cashloan"/>
    <x v="0"/>
    <n v="355550000"/>
  </r>
  <r>
    <x v="44"/>
    <x v="0"/>
    <x v="1"/>
    <n v="7"/>
    <n v="14"/>
    <x v="1"/>
    <s v="[BE] - Paylater"/>
    <x v="1"/>
    <n v="258786164"/>
  </r>
  <r>
    <x v="44"/>
    <x v="0"/>
    <x v="1"/>
    <n v="7"/>
    <n v="14"/>
    <x v="2"/>
    <s v="[Cake] - Cashloan"/>
    <x v="0"/>
    <n v="9592520000"/>
  </r>
  <r>
    <x v="44"/>
    <x v="0"/>
    <x v="1"/>
    <n v="7"/>
    <n v="14"/>
    <x v="3"/>
    <s v="[Cake] - Overdraft"/>
    <x v="2"/>
    <n v="1672196713"/>
  </r>
  <r>
    <x v="44"/>
    <x v="0"/>
    <x v="1"/>
    <n v="7"/>
    <n v="14"/>
    <x v="4"/>
    <s v="[Cake] - Payday"/>
    <x v="3"/>
    <n v="11142144000"/>
  </r>
  <r>
    <x v="44"/>
    <x v="0"/>
    <x v="1"/>
    <n v="7"/>
    <n v="14"/>
    <x v="5"/>
    <s v="[FPT] - Paylater"/>
    <x v="1"/>
    <n v="1402475"/>
  </r>
  <r>
    <x v="44"/>
    <x v="0"/>
    <x v="1"/>
    <n v="7"/>
    <n v="14"/>
    <x v="6"/>
    <s v="[MISA] - Cashloan"/>
    <x v="0"/>
    <n v="0"/>
  </r>
  <r>
    <x v="44"/>
    <x v="0"/>
    <x v="1"/>
    <n v="7"/>
    <n v="14"/>
    <x v="7"/>
    <s v="[MWG] - Cashloan"/>
    <x v="0"/>
    <n v="3394570000"/>
  </r>
  <r>
    <x v="44"/>
    <x v="0"/>
    <x v="1"/>
    <n v="7"/>
    <n v="14"/>
    <x v="8"/>
    <s v="[MWG] - Cashloan"/>
    <x v="0"/>
    <n v="861650000"/>
  </r>
  <r>
    <x v="44"/>
    <x v="0"/>
    <x v="1"/>
    <n v="7"/>
    <n v="14"/>
    <x v="9"/>
    <s v="[MWG] - Paylater"/>
    <x v="1"/>
    <n v="22600147"/>
  </r>
  <r>
    <x v="44"/>
    <x v="0"/>
    <x v="1"/>
    <n v="7"/>
    <n v="14"/>
    <x v="10"/>
    <s v="[MWG] - Paylater"/>
    <x v="1"/>
    <n v="1558512862"/>
  </r>
  <r>
    <x v="44"/>
    <x v="0"/>
    <x v="1"/>
    <n v="7"/>
    <n v="14"/>
    <x v="11"/>
    <s v="[NGS] - Cashloan"/>
    <x v="0"/>
    <n v="0"/>
  </r>
  <r>
    <x v="44"/>
    <x v="0"/>
    <x v="1"/>
    <n v="7"/>
    <n v="14"/>
    <x v="12"/>
    <s v="[VNPOST] - Cashloan"/>
    <x v="0"/>
    <n v="63000000"/>
  </r>
  <r>
    <x v="44"/>
    <x v="0"/>
    <x v="1"/>
    <n v="7"/>
    <n v="14"/>
    <x v="13"/>
    <s v="[VNPOST] - Cashloan"/>
    <x v="0"/>
    <n v="83430000"/>
  </r>
  <r>
    <x v="44"/>
    <x v="0"/>
    <x v="1"/>
    <n v="7"/>
    <n v="14"/>
    <x v="14"/>
    <s v="[VDS] - Cashloan"/>
    <x v="0"/>
    <n v="12781040000"/>
  </r>
  <r>
    <x v="44"/>
    <x v="0"/>
    <x v="1"/>
    <n v="7"/>
    <n v="14"/>
    <x v="15"/>
    <s v="[VDS] - Cashloan LP"/>
    <x v="0"/>
    <n v="0"/>
  </r>
  <r>
    <x v="44"/>
    <x v="0"/>
    <x v="1"/>
    <n v="7"/>
    <n v="14"/>
    <x v="16"/>
    <s v="[VDS] - Cashloan LP"/>
    <x v="0"/>
    <n v="0"/>
  </r>
  <r>
    <x v="44"/>
    <x v="0"/>
    <x v="1"/>
    <n v="7"/>
    <n v="14"/>
    <x v="17"/>
    <s v="[VDS] - Cashloan LP"/>
    <x v="0"/>
    <n v="0"/>
  </r>
  <r>
    <x v="44"/>
    <x v="0"/>
    <x v="1"/>
    <n v="7"/>
    <n v="14"/>
    <x v="18"/>
    <s v="[VDS] - Cashloan"/>
    <x v="0"/>
    <n v="0"/>
  </r>
  <r>
    <x v="44"/>
    <x v="0"/>
    <x v="1"/>
    <n v="7"/>
    <n v="14"/>
    <x v="19"/>
    <s v="[VDS] - Payday"/>
    <x v="3"/>
    <n v="12411684000"/>
  </r>
  <r>
    <x v="44"/>
    <x v="0"/>
    <x v="1"/>
    <n v="7"/>
    <n v="14"/>
    <x v="20"/>
    <s v="[VDS] - Paylater"/>
    <x v="1"/>
    <n v="148151559"/>
  </r>
  <r>
    <x v="44"/>
    <x v="0"/>
    <x v="1"/>
    <n v="7"/>
    <n v="14"/>
    <x v="21"/>
    <s v="[VDS] - Payroll Cashloan"/>
    <x v="0"/>
    <n v="41000000"/>
  </r>
  <r>
    <x v="44"/>
    <x v="0"/>
    <x v="1"/>
    <n v="7"/>
    <n v="14"/>
    <x v="22"/>
    <s v="[VDS] - Payroll Payday"/>
    <x v="3"/>
    <n v="41000000"/>
  </r>
  <r>
    <x v="44"/>
    <x v="0"/>
    <x v="1"/>
    <n v="7"/>
    <n v="14"/>
    <x v="23"/>
    <s v="[VNPAY] - Cashloan"/>
    <x v="0"/>
    <n v="768680000"/>
  </r>
  <r>
    <x v="44"/>
    <x v="0"/>
    <x v="1"/>
    <n v="7"/>
    <n v="14"/>
    <x v="24"/>
    <s v="[VNPAY] - Payday"/>
    <x v="3"/>
    <n v="248076000"/>
  </r>
  <r>
    <x v="44"/>
    <x v="0"/>
    <x v="1"/>
    <n v="7"/>
    <n v="14"/>
    <x v="25"/>
    <s v="[VNPAY] - Paylater"/>
    <x v="1"/>
    <n v="293908630"/>
  </r>
  <r>
    <x v="44"/>
    <x v="0"/>
    <x v="1"/>
    <n v="7"/>
    <n v="14"/>
    <x v="26"/>
    <s v="[ZLP] - Cashloan"/>
    <x v="0"/>
    <n v="2288510000"/>
  </r>
  <r>
    <x v="44"/>
    <x v="0"/>
    <x v="1"/>
    <n v="7"/>
    <n v="14"/>
    <x v="27"/>
    <s v="[ZLP] - Payday"/>
    <x v="3"/>
    <n v="517320000"/>
  </r>
  <r>
    <x v="45"/>
    <x v="0"/>
    <x v="1"/>
    <n v="7"/>
    <n v="15"/>
    <x v="0"/>
    <s v="[BE] - Cashloan"/>
    <x v="0"/>
    <n v="377750000"/>
  </r>
  <r>
    <x v="45"/>
    <x v="0"/>
    <x v="1"/>
    <n v="7"/>
    <n v="15"/>
    <x v="1"/>
    <s v="[BE] - Paylater"/>
    <x v="1"/>
    <n v="200480969"/>
  </r>
  <r>
    <x v="45"/>
    <x v="0"/>
    <x v="1"/>
    <n v="7"/>
    <n v="15"/>
    <x v="2"/>
    <s v="[Cake] - Cashloan"/>
    <x v="0"/>
    <n v="7767740000"/>
  </r>
  <r>
    <x v="45"/>
    <x v="0"/>
    <x v="1"/>
    <n v="7"/>
    <n v="15"/>
    <x v="3"/>
    <s v="[Cake] - Overdraft"/>
    <x v="2"/>
    <n v="1507132265"/>
  </r>
  <r>
    <x v="45"/>
    <x v="0"/>
    <x v="1"/>
    <n v="7"/>
    <n v="15"/>
    <x v="4"/>
    <s v="[Cake] - Payday"/>
    <x v="3"/>
    <n v="10136556000"/>
  </r>
  <r>
    <x v="45"/>
    <x v="0"/>
    <x v="1"/>
    <n v="7"/>
    <n v="15"/>
    <x v="5"/>
    <s v="[FPT] - Paylater"/>
    <x v="1"/>
    <n v="714476"/>
  </r>
  <r>
    <x v="45"/>
    <x v="0"/>
    <x v="1"/>
    <n v="7"/>
    <n v="15"/>
    <x v="6"/>
    <s v="[MISA] - Cashloan"/>
    <x v="0"/>
    <n v="0"/>
  </r>
  <r>
    <x v="45"/>
    <x v="0"/>
    <x v="1"/>
    <n v="7"/>
    <n v="15"/>
    <x v="7"/>
    <s v="[MWG] - Cashloan"/>
    <x v="0"/>
    <n v="2025270000"/>
  </r>
  <r>
    <x v="45"/>
    <x v="0"/>
    <x v="1"/>
    <n v="7"/>
    <n v="15"/>
    <x v="8"/>
    <s v="[MWG] - Cashloan"/>
    <x v="0"/>
    <n v="448410000"/>
  </r>
  <r>
    <x v="45"/>
    <x v="0"/>
    <x v="1"/>
    <n v="7"/>
    <n v="15"/>
    <x v="9"/>
    <s v="[MWG] - Paylater"/>
    <x v="1"/>
    <n v="9994370"/>
  </r>
  <r>
    <x v="45"/>
    <x v="0"/>
    <x v="1"/>
    <n v="7"/>
    <n v="15"/>
    <x v="10"/>
    <s v="[MWG] - Paylater"/>
    <x v="1"/>
    <n v="1094880452"/>
  </r>
  <r>
    <x v="45"/>
    <x v="0"/>
    <x v="1"/>
    <n v="7"/>
    <n v="15"/>
    <x v="11"/>
    <s v="[NGS] - Cashloan"/>
    <x v="0"/>
    <n v="0"/>
  </r>
  <r>
    <x v="45"/>
    <x v="0"/>
    <x v="1"/>
    <n v="7"/>
    <n v="15"/>
    <x v="12"/>
    <s v="[VNPOST] - Cashloan"/>
    <x v="0"/>
    <n v="110250000"/>
  </r>
  <r>
    <x v="45"/>
    <x v="0"/>
    <x v="1"/>
    <n v="7"/>
    <n v="15"/>
    <x v="13"/>
    <s v="[VNPOST] - Cashloan"/>
    <x v="0"/>
    <n v="0"/>
  </r>
  <r>
    <x v="45"/>
    <x v="0"/>
    <x v="1"/>
    <n v="7"/>
    <n v="15"/>
    <x v="14"/>
    <s v="[VDS] - Cashloan"/>
    <x v="0"/>
    <n v="10542680000"/>
  </r>
  <r>
    <x v="45"/>
    <x v="0"/>
    <x v="1"/>
    <n v="7"/>
    <n v="15"/>
    <x v="15"/>
    <s v="[VDS] - Cashloan LP"/>
    <x v="0"/>
    <n v="0"/>
  </r>
  <r>
    <x v="45"/>
    <x v="0"/>
    <x v="1"/>
    <n v="7"/>
    <n v="15"/>
    <x v="16"/>
    <s v="[VDS] - Cashloan LP"/>
    <x v="0"/>
    <n v="0"/>
  </r>
  <r>
    <x v="45"/>
    <x v="0"/>
    <x v="1"/>
    <n v="7"/>
    <n v="15"/>
    <x v="17"/>
    <s v="[VDS] - Cashloan LP"/>
    <x v="0"/>
    <n v="0"/>
  </r>
  <r>
    <x v="45"/>
    <x v="0"/>
    <x v="1"/>
    <n v="7"/>
    <n v="15"/>
    <x v="18"/>
    <s v="[VDS] - Cashloan"/>
    <x v="0"/>
    <n v="15000000"/>
  </r>
  <r>
    <x v="45"/>
    <x v="0"/>
    <x v="1"/>
    <n v="7"/>
    <n v="15"/>
    <x v="19"/>
    <s v="[VDS] - Payday"/>
    <x v="3"/>
    <n v="10047780000"/>
  </r>
  <r>
    <x v="45"/>
    <x v="0"/>
    <x v="1"/>
    <n v="7"/>
    <n v="15"/>
    <x v="20"/>
    <s v="[VDS] - Paylater"/>
    <x v="1"/>
    <n v="141149891"/>
  </r>
  <r>
    <x v="45"/>
    <x v="0"/>
    <x v="1"/>
    <n v="7"/>
    <n v="15"/>
    <x v="21"/>
    <s v="[VDS] - Payroll Cashloan"/>
    <x v="0"/>
    <n v="63000000"/>
  </r>
  <r>
    <x v="45"/>
    <x v="0"/>
    <x v="1"/>
    <n v="7"/>
    <n v="15"/>
    <x v="22"/>
    <s v="[VDS] - Payroll Payday"/>
    <x v="3"/>
    <n v="38000000"/>
  </r>
  <r>
    <x v="45"/>
    <x v="0"/>
    <x v="1"/>
    <n v="7"/>
    <n v="15"/>
    <x v="23"/>
    <s v="[VNPAY] - Cashloan"/>
    <x v="0"/>
    <n v="647650000"/>
  </r>
  <r>
    <x v="45"/>
    <x v="0"/>
    <x v="1"/>
    <n v="7"/>
    <n v="15"/>
    <x v="24"/>
    <s v="[VNPAY] - Payday"/>
    <x v="3"/>
    <n v="288360000"/>
  </r>
  <r>
    <x v="45"/>
    <x v="0"/>
    <x v="1"/>
    <n v="7"/>
    <n v="15"/>
    <x v="25"/>
    <s v="[VNPAY] - Paylater"/>
    <x v="1"/>
    <n v="262063435"/>
  </r>
  <r>
    <x v="45"/>
    <x v="0"/>
    <x v="1"/>
    <n v="7"/>
    <n v="15"/>
    <x v="26"/>
    <s v="[ZLP] - Cashloan"/>
    <x v="0"/>
    <n v="2219280000"/>
  </r>
  <r>
    <x v="45"/>
    <x v="0"/>
    <x v="1"/>
    <n v="7"/>
    <n v="15"/>
    <x v="27"/>
    <s v="[ZLP] - Payday"/>
    <x v="3"/>
    <n v="379080000"/>
  </r>
  <r>
    <x v="46"/>
    <x v="0"/>
    <x v="1"/>
    <n v="8"/>
    <n v="16"/>
    <x v="0"/>
    <s v="[BE] - Cashloan"/>
    <x v="0"/>
    <n v="199100000"/>
  </r>
  <r>
    <x v="46"/>
    <x v="0"/>
    <x v="1"/>
    <n v="8"/>
    <n v="16"/>
    <x v="1"/>
    <s v="[BE] - Paylater"/>
    <x v="1"/>
    <n v="171218066"/>
  </r>
  <r>
    <x v="46"/>
    <x v="0"/>
    <x v="1"/>
    <n v="8"/>
    <n v="16"/>
    <x v="2"/>
    <s v="[Cake] - Cashloan"/>
    <x v="0"/>
    <n v="7015060000"/>
  </r>
  <r>
    <x v="46"/>
    <x v="0"/>
    <x v="1"/>
    <n v="8"/>
    <n v="16"/>
    <x v="3"/>
    <s v="[Cake] - Overdraft"/>
    <x v="2"/>
    <n v="1577459125"/>
  </r>
  <r>
    <x v="46"/>
    <x v="0"/>
    <x v="1"/>
    <n v="8"/>
    <n v="16"/>
    <x v="4"/>
    <s v="[Cake] - Payday"/>
    <x v="3"/>
    <n v="9127728000"/>
  </r>
  <r>
    <x v="46"/>
    <x v="0"/>
    <x v="1"/>
    <n v="8"/>
    <n v="16"/>
    <x v="5"/>
    <s v="[FPT] - Paylater"/>
    <x v="1"/>
    <n v="376000"/>
  </r>
  <r>
    <x v="46"/>
    <x v="0"/>
    <x v="1"/>
    <n v="8"/>
    <n v="16"/>
    <x v="6"/>
    <s v="[MISA] - Cashloan"/>
    <x v="0"/>
    <n v="0"/>
  </r>
  <r>
    <x v="46"/>
    <x v="0"/>
    <x v="1"/>
    <n v="8"/>
    <n v="16"/>
    <x v="7"/>
    <s v="[MWG] - Cashloan"/>
    <x v="0"/>
    <n v="40000000"/>
  </r>
  <r>
    <x v="46"/>
    <x v="0"/>
    <x v="1"/>
    <n v="8"/>
    <n v="16"/>
    <x v="8"/>
    <s v="[MWG] - Cashloan"/>
    <x v="0"/>
    <n v="295690000"/>
  </r>
  <r>
    <x v="46"/>
    <x v="0"/>
    <x v="1"/>
    <n v="8"/>
    <n v="16"/>
    <x v="9"/>
    <s v="[MWG] - Paylater"/>
    <x v="1"/>
    <n v="35836"/>
  </r>
  <r>
    <x v="46"/>
    <x v="0"/>
    <x v="1"/>
    <n v="8"/>
    <n v="16"/>
    <x v="10"/>
    <s v="[MWG] - Paylater"/>
    <x v="1"/>
    <n v="108417293"/>
  </r>
  <r>
    <x v="46"/>
    <x v="0"/>
    <x v="1"/>
    <n v="8"/>
    <n v="16"/>
    <x v="11"/>
    <s v="[NGS] - Cashloan"/>
    <x v="0"/>
    <n v="0"/>
  </r>
  <r>
    <x v="46"/>
    <x v="0"/>
    <x v="1"/>
    <n v="8"/>
    <n v="16"/>
    <x v="12"/>
    <s v="[VNPOST] - Cashloan"/>
    <x v="0"/>
    <n v="0"/>
  </r>
  <r>
    <x v="46"/>
    <x v="0"/>
    <x v="1"/>
    <n v="8"/>
    <n v="16"/>
    <x v="13"/>
    <s v="[VNPOST] - Cashloan"/>
    <x v="0"/>
    <n v="0"/>
  </r>
  <r>
    <x v="46"/>
    <x v="0"/>
    <x v="1"/>
    <n v="8"/>
    <n v="16"/>
    <x v="14"/>
    <s v="[VDS] - Cashloan"/>
    <x v="0"/>
    <n v="8938420000"/>
  </r>
  <r>
    <x v="46"/>
    <x v="0"/>
    <x v="1"/>
    <n v="8"/>
    <n v="16"/>
    <x v="15"/>
    <s v="[VDS] - Cashloan LP"/>
    <x v="0"/>
    <n v="0"/>
  </r>
  <r>
    <x v="46"/>
    <x v="0"/>
    <x v="1"/>
    <n v="8"/>
    <n v="16"/>
    <x v="16"/>
    <s v="[VDS] - Cashloan LP"/>
    <x v="0"/>
    <n v="0"/>
  </r>
  <r>
    <x v="46"/>
    <x v="0"/>
    <x v="1"/>
    <n v="8"/>
    <n v="16"/>
    <x v="17"/>
    <s v="[VDS] - Cashloan LP"/>
    <x v="0"/>
    <n v="0"/>
  </r>
  <r>
    <x v="46"/>
    <x v="0"/>
    <x v="1"/>
    <n v="8"/>
    <n v="16"/>
    <x v="18"/>
    <s v="[VDS] - Cashloan"/>
    <x v="0"/>
    <n v="0"/>
  </r>
  <r>
    <x v="46"/>
    <x v="0"/>
    <x v="1"/>
    <n v="8"/>
    <n v="16"/>
    <x v="19"/>
    <s v="[VDS] - Payday"/>
    <x v="3"/>
    <n v="9461016000"/>
  </r>
  <r>
    <x v="46"/>
    <x v="0"/>
    <x v="1"/>
    <n v="8"/>
    <n v="16"/>
    <x v="20"/>
    <s v="[VDS] - Paylater"/>
    <x v="1"/>
    <n v="104087944"/>
  </r>
  <r>
    <x v="46"/>
    <x v="0"/>
    <x v="1"/>
    <n v="8"/>
    <n v="16"/>
    <x v="21"/>
    <s v="[VDS] - Payroll Cashloan"/>
    <x v="0"/>
    <n v="35700000"/>
  </r>
  <r>
    <x v="46"/>
    <x v="0"/>
    <x v="1"/>
    <n v="8"/>
    <n v="16"/>
    <x v="22"/>
    <s v="[VDS] - Payroll Payday"/>
    <x v="3"/>
    <n v="57000000"/>
  </r>
  <r>
    <x v="46"/>
    <x v="0"/>
    <x v="1"/>
    <n v="8"/>
    <n v="16"/>
    <x v="23"/>
    <s v="[VNPAY] - Cashloan"/>
    <x v="0"/>
    <n v="324530000"/>
  </r>
  <r>
    <x v="46"/>
    <x v="0"/>
    <x v="1"/>
    <n v="8"/>
    <n v="16"/>
    <x v="24"/>
    <s v="[VNPAY] - Payday"/>
    <x v="3"/>
    <n v="150660000"/>
  </r>
  <r>
    <x v="46"/>
    <x v="0"/>
    <x v="1"/>
    <n v="8"/>
    <n v="16"/>
    <x v="25"/>
    <s v="[VNPAY] - Paylater"/>
    <x v="1"/>
    <n v="156031324"/>
  </r>
  <r>
    <x v="46"/>
    <x v="0"/>
    <x v="1"/>
    <n v="8"/>
    <n v="16"/>
    <x v="26"/>
    <s v="[ZLP] - Cashloan"/>
    <x v="0"/>
    <n v="1508030000"/>
  </r>
  <r>
    <x v="46"/>
    <x v="0"/>
    <x v="1"/>
    <n v="8"/>
    <n v="16"/>
    <x v="27"/>
    <s v="[ZLP] - Payday"/>
    <x v="3"/>
    <n v="332640000"/>
  </r>
  <r>
    <x v="47"/>
    <x v="0"/>
    <x v="1"/>
    <n v="8"/>
    <n v="17"/>
    <x v="0"/>
    <s v="[BE] - Cashloan"/>
    <x v="0"/>
    <n v="105000000"/>
  </r>
  <r>
    <x v="47"/>
    <x v="0"/>
    <x v="1"/>
    <n v="8"/>
    <n v="17"/>
    <x v="1"/>
    <s v="[BE] - Paylater"/>
    <x v="1"/>
    <n v="133844469"/>
  </r>
  <r>
    <x v="47"/>
    <x v="0"/>
    <x v="1"/>
    <n v="8"/>
    <n v="17"/>
    <x v="2"/>
    <s v="[Cake] - Cashloan"/>
    <x v="0"/>
    <n v="2916520000"/>
  </r>
  <r>
    <x v="47"/>
    <x v="0"/>
    <x v="1"/>
    <n v="8"/>
    <n v="17"/>
    <x v="3"/>
    <s v="[Cake] - Overdraft"/>
    <x v="2"/>
    <n v="596244194"/>
  </r>
  <r>
    <x v="47"/>
    <x v="0"/>
    <x v="1"/>
    <n v="8"/>
    <n v="17"/>
    <x v="4"/>
    <s v="[Cake] - Payday"/>
    <x v="3"/>
    <n v="4526820000"/>
  </r>
  <r>
    <x v="47"/>
    <x v="0"/>
    <x v="1"/>
    <n v="8"/>
    <n v="17"/>
    <x v="5"/>
    <s v="[FPT] - Paylater"/>
    <x v="1"/>
    <n v="0"/>
  </r>
  <r>
    <x v="47"/>
    <x v="0"/>
    <x v="1"/>
    <n v="8"/>
    <n v="17"/>
    <x v="6"/>
    <s v="[MISA] - Cashloan"/>
    <x v="0"/>
    <n v="0"/>
  </r>
  <r>
    <x v="47"/>
    <x v="0"/>
    <x v="1"/>
    <n v="8"/>
    <n v="17"/>
    <x v="7"/>
    <s v="[MWG] - Cashloan"/>
    <x v="0"/>
    <n v="0"/>
  </r>
  <r>
    <x v="47"/>
    <x v="0"/>
    <x v="1"/>
    <n v="8"/>
    <n v="17"/>
    <x v="8"/>
    <s v="[MWG] - Cashloan"/>
    <x v="0"/>
    <n v="94200000"/>
  </r>
  <r>
    <x v="47"/>
    <x v="0"/>
    <x v="1"/>
    <n v="8"/>
    <n v="17"/>
    <x v="9"/>
    <s v="[MWG] - Paylater"/>
    <x v="1"/>
    <n v="0"/>
  </r>
  <r>
    <x v="47"/>
    <x v="0"/>
    <x v="1"/>
    <n v="8"/>
    <n v="17"/>
    <x v="10"/>
    <s v="[MWG] - Paylater"/>
    <x v="1"/>
    <n v="26145274"/>
  </r>
  <r>
    <x v="47"/>
    <x v="0"/>
    <x v="1"/>
    <n v="8"/>
    <n v="17"/>
    <x v="11"/>
    <s v="[NGS] - Cashloan"/>
    <x v="0"/>
    <n v="0"/>
  </r>
  <r>
    <x v="47"/>
    <x v="0"/>
    <x v="1"/>
    <n v="8"/>
    <n v="17"/>
    <x v="12"/>
    <s v="[VNPOST] - Cashloan"/>
    <x v="0"/>
    <n v="0"/>
  </r>
  <r>
    <x v="47"/>
    <x v="0"/>
    <x v="1"/>
    <n v="8"/>
    <n v="17"/>
    <x v="13"/>
    <s v="[VNPOST] - Cashloan"/>
    <x v="0"/>
    <n v="0"/>
  </r>
  <r>
    <x v="47"/>
    <x v="0"/>
    <x v="1"/>
    <n v="8"/>
    <n v="17"/>
    <x v="14"/>
    <s v="[VDS] - Cashloan"/>
    <x v="0"/>
    <n v="4239480000"/>
  </r>
  <r>
    <x v="47"/>
    <x v="0"/>
    <x v="1"/>
    <n v="8"/>
    <n v="17"/>
    <x v="15"/>
    <s v="[VDS] - Cashloan LP"/>
    <x v="0"/>
    <n v="0"/>
  </r>
  <r>
    <x v="47"/>
    <x v="0"/>
    <x v="1"/>
    <n v="8"/>
    <n v="17"/>
    <x v="16"/>
    <s v="[VDS] - Cashloan LP"/>
    <x v="0"/>
    <n v="0"/>
  </r>
  <r>
    <x v="47"/>
    <x v="0"/>
    <x v="1"/>
    <n v="8"/>
    <n v="17"/>
    <x v="17"/>
    <s v="[VDS] - Cashloan LP"/>
    <x v="0"/>
    <n v="0"/>
  </r>
  <r>
    <x v="47"/>
    <x v="0"/>
    <x v="1"/>
    <n v="8"/>
    <n v="17"/>
    <x v="18"/>
    <s v="[VDS] - Cashloan"/>
    <x v="0"/>
    <n v="0"/>
  </r>
  <r>
    <x v="47"/>
    <x v="0"/>
    <x v="1"/>
    <n v="8"/>
    <n v="17"/>
    <x v="19"/>
    <s v="[VDS] - Payday"/>
    <x v="3"/>
    <n v="4456296000"/>
  </r>
  <r>
    <x v="47"/>
    <x v="0"/>
    <x v="1"/>
    <n v="8"/>
    <n v="17"/>
    <x v="20"/>
    <s v="[VDS] - Paylater"/>
    <x v="1"/>
    <n v="93103833"/>
  </r>
  <r>
    <x v="47"/>
    <x v="0"/>
    <x v="1"/>
    <n v="8"/>
    <n v="17"/>
    <x v="21"/>
    <s v="[VDS] - Payroll Cashloan"/>
    <x v="0"/>
    <n v="0"/>
  </r>
  <r>
    <x v="47"/>
    <x v="0"/>
    <x v="1"/>
    <n v="8"/>
    <n v="17"/>
    <x v="22"/>
    <s v="[VDS] - Payroll Payday"/>
    <x v="3"/>
    <n v="49000000"/>
  </r>
  <r>
    <x v="47"/>
    <x v="0"/>
    <x v="1"/>
    <n v="8"/>
    <n v="17"/>
    <x v="23"/>
    <s v="[VNPAY] - Cashloan"/>
    <x v="0"/>
    <n v="220270000"/>
  </r>
  <r>
    <x v="47"/>
    <x v="0"/>
    <x v="1"/>
    <n v="8"/>
    <n v="17"/>
    <x v="24"/>
    <s v="[VNPAY] - Payday"/>
    <x v="3"/>
    <n v="81648000"/>
  </r>
  <r>
    <x v="47"/>
    <x v="0"/>
    <x v="1"/>
    <n v="8"/>
    <n v="17"/>
    <x v="25"/>
    <s v="[VNPAY] - Paylater"/>
    <x v="1"/>
    <n v="107356656"/>
  </r>
  <r>
    <x v="47"/>
    <x v="0"/>
    <x v="1"/>
    <n v="8"/>
    <n v="17"/>
    <x v="26"/>
    <s v="[ZLP] - Cashloan"/>
    <x v="0"/>
    <n v="595680000"/>
  </r>
  <r>
    <x v="47"/>
    <x v="0"/>
    <x v="1"/>
    <n v="8"/>
    <n v="17"/>
    <x v="27"/>
    <s v="[ZLP] - Payday"/>
    <x v="3"/>
    <n v="156600000"/>
  </r>
  <r>
    <x v="48"/>
    <x v="0"/>
    <x v="1"/>
    <n v="8"/>
    <n v="18"/>
    <x v="0"/>
    <s v="[BE] - Cashloan"/>
    <x v="0"/>
    <n v="124400000"/>
  </r>
  <r>
    <x v="48"/>
    <x v="0"/>
    <x v="1"/>
    <n v="8"/>
    <n v="18"/>
    <x v="1"/>
    <s v="[BE] - Paylater"/>
    <x v="1"/>
    <n v="164703306"/>
  </r>
  <r>
    <x v="48"/>
    <x v="0"/>
    <x v="1"/>
    <n v="8"/>
    <n v="18"/>
    <x v="2"/>
    <s v="[Cake] - Cashloan"/>
    <x v="0"/>
    <n v="3893200000"/>
  </r>
  <r>
    <x v="48"/>
    <x v="0"/>
    <x v="1"/>
    <n v="8"/>
    <n v="18"/>
    <x v="3"/>
    <s v="[Cake] - Overdraft"/>
    <x v="2"/>
    <n v="554331648"/>
  </r>
  <r>
    <x v="48"/>
    <x v="0"/>
    <x v="1"/>
    <n v="8"/>
    <n v="18"/>
    <x v="4"/>
    <s v="[Cake] - Payday"/>
    <x v="3"/>
    <n v="4757616000"/>
  </r>
  <r>
    <x v="48"/>
    <x v="0"/>
    <x v="1"/>
    <n v="8"/>
    <n v="18"/>
    <x v="5"/>
    <s v="[FPT] - Paylater"/>
    <x v="1"/>
    <n v="0"/>
  </r>
  <r>
    <x v="48"/>
    <x v="0"/>
    <x v="1"/>
    <n v="8"/>
    <n v="18"/>
    <x v="6"/>
    <s v="[MISA] - Cashloan"/>
    <x v="0"/>
    <n v="0"/>
  </r>
  <r>
    <x v="48"/>
    <x v="0"/>
    <x v="1"/>
    <n v="8"/>
    <n v="18"/>
    <x v="7"/>
    <s v="[MWG] - Cashloan"/>
    <x v="0"/>
    <n v="0"/>
  </r>
  <r>
    <x v="48"/>
    <x v="0"/>
    <x v="1"/>
    <n v="8"/>
    <n v="18"/>
    <x v="8"/>
    <s v="[MWG] - Cashloan"/>
    <x v="0"/>
    <n v="64200000"/>
  </r>
  <r>
    <x v="48"/>
    <x v="0"/>
    <x v="1"/>
    <n v="8"/>
    <n v="18"/>
    <x v="9"/>
    <s v="[MWG] - Paylater"/>
    <x v="1"/>
    <n v="0"/>
  </r>
  <r>
    <x v="48"/>
    <x v="0"/>
    <x v="1"/>
    <n v="8"/>
    <n v="18"/>
    <x v="10"/>
    <s v="[MWG] - Paylater"/>
    <x v="1"/>
    <n v="85033036"/>
  </r>
  <r>
    <x v="48"/>
    <x v="0"/>
    <x v="1"/>
    <n v="8"/>
    <n v="18"/>
    <x v="11"/>
    <s v="[NGS] - Cashloan"/>
    <x v="0"/>
    <n v="0"/>
  </r>
  <r>
    <x v="48"/>
    <x v="0"/>
    <x v="1"/>
    <n v="8"/>
    <n v="18"/>
    <x v="12"/>
    <s v="[VNPOST] - Cashloan"/>
    <x v="0"/>
    <n v="0"/>
  </r>
  <r>
    <x v="48"/>
    <x v="0"/>
    <x v="1"/>
    <n v="8"/>
    <n v="18"/>
    <x v="13"/>
    <s v="[VNPOST] - Cashloan"/>
    <x v="0"/>
    <n v="0"/>
  </r>
  <r>
    <x v="48"/>
    <x v="0"/>
    <x v="1"/>
    <n v="8"/>
    <n v="18"/>
    <x v="14"/>
    <s v="[VDS] - Cashloan"/>
    <x v="0"/>
    <n v="4522890000"/>
  </r>
  <r>
    <x v="48"/>
    <x v="0"/>
    <x v="1"/>
    <n v="8"/>
    <n v="18"/>
    <x v="15"/>
    <s v="[VDS] - Cashloan LP"/>
    <x v="0"/>
    <n v="0"/>
  </r>
  <r>
    <x v="48"/>
    <x v="0"/>
    <x v="1"/>
    <n v="8"/>
    <n v="18"/>
    <x v="16"/>
    <s v="[VDS] - Cashloan LP"/>
    <x v="0"/>
    <n v="0"/>
  </r>
  <r>
    <x v="48"/>
    <x v="0"/>
    <x v="1"/>
    <n v="8"/>
    <n v="18"/>
    <x v="17"/>
    <s v="[VDS] - Cashloan LP"/>
    <x v="0"/>
    <n v="0"/>
  </r>
  <r>
    <x v="48"/>
    <x v="0"/>
    <x v="1"/>
    <n v="8"/>
    <n v="18"/>
    <x v="18"/>
    <s v="[VDS] - Cashloan"/>
    <x v="0"/>
    <n v="0"/>
  </r>
  <r>
    <x v="48"/>
    <x v="0"/>
    <x v="1"/>
    <n v="8"/>
    <n v="18"/>
    <x v="19"/>
    <s v="[VDS] - Payday"/>
    <x v="3"/>
    <n v="4945860000"/>
  </r>
  <r>
    <x v="48"/>
    <x v="0"/>
    <x v="1"/>
    <n v="8"/>
    <n v="18"/>
    <x v="20"/>
    <s v="[VDS] - Paylater"/>
    <x v="1"/>
    <n v="91904715"/>
  </r>
  <r>
    <x v="48"/>
    <x v="0"/>
    <x v="1"/>
    <n v="8"/>
    <n v="18"/>
    <x v="21"/>
    <s v="[VDS] - Payroll Cashloan"/>
    <x v="0"/>
    <n v="0"/>
  </r>
  <r>
    <x v="48"/>
    <x v="0"/>
    <x v="1"/>
    <n v="8"/>
    <n v="18"/>
    <x v="22"/>
    <s v="[VDS] - Payroll Payday"/>
    <x v="3"/>
    <n v="19000000"/>
  </r>
  <r>
    <x v="48"/>
    <x v="0"/>
    <x v="1"/>
    <n v="8"/>
    <n v="18"/>
    <x v="23"/>
    <s v="[VNPAY] - Cashloan"/>
    <x v="0"/>
    <n v="232350000"/>
  </r>
  <r>
    <x v="48"/>
    <x v="0"/>
    <x v="1"/>
    <n v="8"/>
    <n v="18"/>
    <x v="24"/>
    <s v="[VNPAY] - Payday"/>
    <x v="3"/>
    <n v="131868000"/>
  </r>
  <r>
    <x v="48"/>
    <x v="0"/>
    <x v="1"/>
    <n v="8"/>
    <n v="18"/>
    <x v="25"/>
    <s v="[VNPAY] - Paylater"/>
    <x v="1"/>
    <n v="103238725"/>
  </r>
  <r>
    <x v="48"/>
    <x v="0"/>
    <x v="1"/>
    <n v="8"/>
    <n v="18"/>
    <x v="26"/>
    <s v="[ZLP] - Cashloan"/>
    <x v="0"/>
    <n v="973840000"/>
  </r>
  <r>
    <x v="48"/>
    <x v="0"/>
    <x v="1"/>
    <n v="8"/>
    <n v="18"/>
    <x v="27"/>
    <s v="[ZLP] - Payday"/>
    <x v="3"/>
    <n v="220320000"/>
  </r>
  <r>
    <x v="49"/>
    <x v="0"/>
    <x v="1"/>
    <n v="8"/>
    <n v="19"/>
    <x v="0"/>
    <s v="[BE] - Cashloan"/>
    <x v="0"/>
    <n v="200900000"/>
  </r>
  <r>
    <x v="49"/>
    <x v="0"/>
    <x v="1"/>
    <n v="8"/>
    <n v="19"/>
    <x v="1"/>
    <s v="[BE] - Paylater"/>
    <x v="1"/>
    <n v="145976336"/>
  </r>
  <r>
    <x v="49"/>
    <x v="0"/>
    <x v="1"/>
    <n v="8"/>
    <n v="19"/>
    <x v="2"/>
    <s v="[Cake] - Cashloan"/>
    <x v="0"/>
    <n v="3873140000"/>
  </r>
  <r>
    <x v="49"/>
    <x v="0"/>
    <x v="1"/>
    <n v="8"/>
    <n v="19"/>
    <x v="3"/>
    <s v="[Cake] - Overdraft"/>
    <x v="2"/>
    <n v="633877795"/>
  </r>
  <r>
    <x v="49"/>
    <x v="0"/>
    <x v="1"/>
    <n v="8"/>
    <n v="19"/>
    <x v="4"/>
    <s v="[Cake] - Payday"/>
    <x v="3"/>
    <n v="5544396000"/>
  </r>
  <r>
    <x v="49"/>
    <x v="0"/>
    <x v="1"/>
    <n v="8"/>
    <n v="19"/>
    <x v="5"/>
    <s v="[FPT] - Paylater"/>
    <x v="1"/>
    <n v="0"/>
  </r>
  <r>
    <x v="49"/>
    <x v="0"/>
    <x v="1"/>
    <n v="8"/>
    <n v="19"/>
    <x v="6"/>
    <s v="[MISA] - Cashloan"/>
    <x v="0"/>
    <n v="0"/>
  </r>
  <r>
    <x v="49"/>
    <x v="0"/>
    <x v="1"/>
    <n v="8"/>
    <n v="19"/>
    <x v="7"/>
    <s v="[MWG] - Cashloan"/>
    <x v="0"/>
    <n v="0"/>
  </r>
  <r>
    <x v="49"/>
    <x v="0"/>
    <x v="1"/>
    <n v="8"/>
    <n v="19"/>
    <x v="8"/>
    <s v="[MWG] - Cashloan"/>
    <x v="0"/>
    <n v="194450000"/>
  </r>
  <r>
    <x v="49"/>
    <x v="0"/>
    <x v="1"/>
    <n v="8"/>
    <n v="19"/>
    <x v="9"/>
    <s v="[MWG] - Paylater"/>
    <x v="1"/>
    <n v="0"/>
  </r>
  <r>
    <x v="49"/>
    <x v="0"/>
    <x v="1"/>
    <n v="8"/>
    <n v="19"/>
    <x v="10"/>
    <s v="[MWG] - Paylater"/>
    <x v="1"/>
    <n v="89601074"/>
  </r>
  <r>
    <x v="49"/>
    <x v="0"/>
    <x v="1"/>
    <n v="8"/>
    <n v="19"/>
    <x v="11"/>
    <s v="[NGS] - Cashloan"/>
    <x v="0"/>
    <n v="0"/>
  </r>
  <r>
    <x v="49"/>
    <x v="0"/>
    <x v="1"/>
    <n v="8"/>
    <n v="19"/>
    <x v="12"/>
    <s v="[VNPOST] - Cashloan"/>
    <x v="0"/>
    <n v="0"/>
  </r>
  <r>
    <x v="49"/>
    <x v="0"/>
    <x v="1"/>
    <n v="8"/>
    <n v="19"/>
    <x v="13"/>
    <s v="[VNPOST] - Cashloan"/>
    <x v="0"/>
    <n v="0"/>
  </r>
  <r>
    <x v="49"/>
    <x v="0"/>
    <x v="1"/>
    <n v="8"/>
    <n v="19"/>
    <x v="14"/>
    <s v="[VDS] - Cashloan"/>
    <x v="0"/>
    <n v="4887520000"/>
  </r>
  <r>
    <x v="49"/>
    <x v="0"/>
    <x v="1"/>
    <n v="8"/>
    <n v="19"/>
    <x v="15"/>
    <s v="[VDS] - Cashloan LP"/>
    <x v="0"/>
    <n v="0"/>
  </r>
  <r>
    <x v="49"/>
    <x v="0"/>
    <x v="1"/>
    <n v="8"/>
    <n v="19"/>
    <x v="16"/>
    <s v="[VDS] - Cashloan LP"/>
    <x v="0"/>
    <n v="0"/>
  </r>
  <r>
    <x v="49"/>
    <x v="0"/>
    <x v="1"/>
    <n v="8"/>
    <n v="19"/>
    <x v="17"/>
    <s v="[VDS] - Cashloan LP"/>
    <x v="0"/>
    <n v="0"/>
  </r>
  <r>
    <x v="49"/>
    <x v="0"/>
    <x v="1"/>
    <n v="8"/>
    <n v="19"/>
    <x v="18"/>
    <s v="[VDS] - Cashloan"/>
    <x v="0"/>
    <n v="0"/>
  </r>
  <r>
    <x v="49"/>
    <x v="0"/>
    <x v="1"/>
    <n v="8"/>
    <n v="19"/>
    <x v="19"/>
    <s v="[VDS] - Payday"/>
    <x v="3"/>
    <n v="5241240000"/>
  </r>
  <r>
    <x v="49"/>
    <x v="0"/>
    <x v="1"/>
    <n v="8"/>
    <n v="19"/>
    <x v="20"/>
    <s v="[VDS] - Paylater"/>
    <x v="1"/>
    <n v="79258073"/>
  </r>
  <r>
    <x v="49"/>
    <x v="0"/>
    <x v="1"/>
    <n v="8"/>
    <n v="19"/>
    <x v="21"/>
    <s v="[VDS] - Payroll Cashloan"/>
    <x v="0"/>
    <n v="21000000"/>
  </r>
  <r>
    <x v="49"/>
    <x v="0"/>
    <x v="1"/>
    <n v="8"/>
    <n v="19"/>
    <x v="22"/>
    <s v="[VDS] - Payroll Payday"/>
    <x v="3"/>
    <n v="19000000"/>
  </r>
  <r>
    <x v="49"/>
    <x v="0"/>
    <x v="1"/>
    <n v="8"/>
    <n v="19"/>
    <x v="23"/>
    <s v="[VNPAY] - Cashloan"/>
    <x v="0"/>
    <n v="179800000"/>
  </r>
  <r>
    <x v="49"/>
    <x v="0"/>
    <x v="1"/>
    <n v="8"/>
    <n v="19"/>
    <x v="24"/>
    <s v="[VNPAY] - Payday"/>
    <x v="3"/>
    <n v="112644000"/>
  </r>
  <r>
    <x v="49"/>
    <x v="0"/>
    <x v="1"/>
    <n v="8"/>
    <n v="19"/>
    <x v="25"/>
    <s v="[VNPAY] - Paylater"/>
    <x v="1"/>
    <n v="96671855"/>
  </r>
  <r>
    <x v="49"/>
    <x v="0"/>
    <x v="1"/>
    <n v="8"/>
    <n v="19"/>
    <x v="26"/>
    <s v="[ZLP] - Cashloan"/>
    <x v="0"/>
    <n v="1016350000"/>
  </r>
  <r>
    <x v="49"/>
    <x v="0"/>
    <x v="1"/>
    <n v="8"/>
    <n v="19"/>
    <x v="27"/>
    <s v="[ZLP] - Payday"/>
    <x v="3"/>
    <n v="247320000"/>
  </r>
  <r>
    <x v="50"/>
    <x v="0"/>
    <x v="1"/>
    <n v="8"/>
    <n v="20"/>
    <x v="0"/>
    <s v="[BE] - Cashloan"/>
    <x v="0"/>
    <n v="264000000"/>
  </r>
  <r>
    <x v="50"/>
    <x v="0"/>
    <x v="1"/>
    <n v="8"/>
    <n v="20"/>
    <x v="1"/>
    <s v="[BE] - Paylater"/>
    <x v="1"/>
    <n v="194476613"/>
  </r>
  <r>
    <x v="50"/>
    <x v="0"/>
    <x v="1"/>
    <n v="8"/>
    <n v="20"/>
    <x v="2"/>
    <s v="[Cake] - Cashloan"/>
    <x v="0"/>
    <n v="4534250000"/>
  </r>
  <r>
    <x v="50"/>
    <x v="0"/>
    <x v="1"/>
    <n v="8"/>
    <n v="20"/>
    <x v="3"/>
    <s v="[Cake] - Overdraft"/>
    <x v="2"/>
    <n v="878059568"/>
  </r>
  <r>
    <x v="50"/>
    <x v="0"/>
    <x v="1"/>
    <n v="8"/>
    <n v="20"/>
    <x v="4"/>
    <s v="[Cake] - Payday"/>
    <x v="3"/>
    <n v="7240752000"/>
  </r>
  <r>
    <x v="50"/>
    <x v="0"/>
    <x v="1"/>
    <n v="8"/>
    <n v="20"/>
    <x v="5"/>
    <s v="[FPT] - Paylater"/>
    <x v="1"/>
    <n v="248600"/>
  </r>
  <r>
    <x v="50"/>
    <x v="0"/>
    <x v="1"/>
    <n v="8"/>
    <n v="20"/>
    <x v="6"/>
    <s v="[MISA] - Cashloan"/>
    <x v="0"/>
    <n v="0"/>
  </r>
  <r>
    <x v="50"/>
    <x v="0"/>
    <x v="1"/>
    <n v="8"/>
    <n v="20"/>
    <x v="7"/>
    <s v="[MWG] - Cashloan"/>
    <x v="0"/>
    <n v="510300000"/>
  </r>
  <r>
    <x v="50"/>
    <x v="0"/>
    <x v="1"/>
    <n v="8"/>
    <n v="20"/>
    <x v="8"/>
    <s v="[MWG] - Cashloan"/>
    <x v="0"/>
    <n v="154800000"/>
  </r>
  <r>
    <x v="50"/>
    <x v="0"/>
    <x v="1"/>
    <n v="8"/>
    <n v="20"/>
    <x v="9"/>
    <s v="[MWG] - Paylater"/>
    <x v="1"/>
    <n v="3961000"/>
  </r>
  <r>
    <x v="50"/>
    <x v="0"/>
    <x v="1"/>
    <n v="8"/>
    <n v="20"/>
    <x v="10"/>
    <s v="[MWG] - Paylater"/>
    <x v="1"/>
    <n v="770659205"/>
  </r>
  <r>
    <x v="50"/>
    <x v="0"/>
    <x v="1"/>
    <n v="8"/>
    <n v="20"/>
    <x v="11"/>
    <s v="[NGS] - Cashloan"/>
    <x v="0"/>
    <n v="0"/>
  </r>
  <r>
    <x v="50"/>
    <x v="0"/>
    <x v="1"/>
    <n v="8"/>
    <n v="20"/>
    <x v="12"/>
    <s v="[VNPOST] - Cashloan"/>
    <x v="0"/>
    <n v="0"/>
  </r>
  <r>
    <x v="50"/>
    <x v="0"/>
    <x v="1"/>
    <n v="8"/>
    <n v="20"/>
    <x v="13"/>
    <s v="[VNPOST] - Cashloan"/>
    <x v="0"/>
    <n v="0"/>
  </r>
  <r>
    <x v="50"/>
    <x v="0"/>
    <x v="1"/>
    <n v="8"/>
    <n v="20"/>
    <x v="14"/>
    <s v="[VDS] - Cashloan"/>
    <x v="0"/>
    <n v="5836680000"/>
  </r>
  <r>
    <x v="50"/>
    <x v="0"/>
    <x v="1"/>
    <n v="8"/>
    <n v="20"/>
    <x v="15"/>
    <s v="[VDS] - Cashloan LP"/>
    <x v="0"/>
    <n v="0"/>
  </r>
  <r>
    <x v="50"/>
    <x v="0"/>
    <x v="1"/>
    <n v="8"/>
    <n v="20"/>
    <x v="16"/>
    <s v="[VDS] - Cashloan LP"/>
    <x v="0"/>
    <n v="0"/>
  </r>
  <r>
    <x v="50"/>
    <x v="0"/>
    <x v="1"/>
    <n v="8"/>
    <n v="20"/>
    <x v="17"/>
    <s v="[VDS] - Cashloan LP"/>
    <x v="0"/>
    <n v="0"/>
  </r>
  <r>
    <x v="50"/>
    <x v="0"/>
    <x v="1"/>
    <n v="8"/>
    <n v="20"/>
    <x v="18"/>
    <s v="[VDS] - Cashloan"/>
    <x v="0"/>
    <n v="0"/>
  </r>
  <r>
    <x v="50"/>
    <x v="0"/>
    <x v="1"/>
    <n v="8"/>
    <n v="20"/>
    <x v="19"/>
    <s v="[VDS] - Payday"/>
    <x v="3"/>
    <n v="6076404000"/>
  </r>
  <r>
    <x v="50"/>
    <x v="0"/>
    <x v="1"/>
    <n v="8"/>
    <n v="20"/>
    <x v="20"/>
    <s v="[VDS] - Paylater"/>
    <x v="1"/>
    <n v="106842556"/>
  </r>
  <r>
    <x v="50"/>
    <x v="0"/>
    <x v="1"/>
    <n v="8"/>
    <n v="20"/>
    <x v="21"/>
    <s v="[VDS] - Payroll Cashloan"/>
    <x v="0"/>
    <n v="31500000"/>
  </r>
  <r>
    <x v="50"/>
    <x v="0"/>
    <x v="1"/>
    <n v="8"/>
    <n v="20"/>
    <x v="22"/>
    <s v="[VDS] - Payroll Payday"/>
    <x v="3"/>
    <n v="22000000"/>
  </r>
  <r>
    <x v="50"/>
    <x v="0"/>
    <x v="1"/>
    <n v="8"/>
    <n v="20"/>
    <x v="23"/>
    <s v="[VNPAY] - Cashloan"/>
    <x v="0"/>
    <n v="409870000"/>
  </r>
  <r>
    <x v="50"/>
    <x v="0"/>
    <x v="1"/>
    <n v="8"/>
    <n v="20"/>
    <x v="24"/>
    <s v="[VNPAY] - Payday"/>
    <x v="3"/>
    <n v="173664000"/>
  </r>
  <r>
    <x v="50"/>
    <x v="0"/>
    <x v="1"/>
    <n v="8"/>
    <n v="20"/>
    <x v="25"/>
    <s v="[VNPAY] - Paylater"/>
    <x v="1"/>
    <n v="139793113"/>
  </r>
  <r>
    <x v="50"/>
    <x v="0"/>
    <x v="1"/>
    <n v="8"/>
    <n v="20"/>
    <x v="26"/>
    <s v="[ZLP] - Cashloan"/>
    <x v="0"/>
    <n v="885530000"/>
  </r>
  <r>
    <x v="50"/>
    <x v="0"/>
    <x v="1"/>
    <n v="8"/>
    <n v="20"/>
    <x v="27"/>
    <s v="[ZLP] - Payday"/>
    <x v="3"/>
    <n v="284880000"/>
  </r>
  <r>
    <x v="51"/>
    <x v="0"/>
    <x v="1"/>
    <n v="8"/>
    <n v="21"/>
    <x v="0"/>
    <s v="[BE] - Cashloan"/>
    <x v="0"/>
    <n v="300800000"/>
  </r>
  <r>
    <x v="51"/>
    <x v="0"/>
    <x v="1"/>
    <n v="8"/>
    <n v="21"/>
    <x v="1"/>
    <s v="[BE] - Paylater"/>
    <x v="1"/>
    <n v="214986926"/>
  </r>
  <r>
    <x v="51"/>
    <x v="0"/>
    <x v="1"/>
    <n v="8"/>
    <n v="21"/>
    <x v="2"/>
    <s v="[Cake] - Cashloan"/>
    <x v="0"/>
    <n v="5288040000"/>
  </r>
  <r>
    <x v="51"/>
    <x v="0"/>
    <x v="1"/>
    <n v="8"/>
    <n v="21"/>
    <x v="3"/>
    <s v="[Cake] - Overdraft"/>
    <x v="2"/>
    <n v="899004779"/>
  </r>
  <r>
    <x v="51"/>
    <x v="0"/>
    <x v="1"/>
    <n v="8"/>
    <n v="21"/>
    <x v="4"/>
    <s v="[Cake] - Payday"/>
    <x v="3"/>
    <n v="8806104000"/>
  </r>
  <r>
    <x v="51"/>
    <x v="0"/>
    <x v="1"/>
    <n v="8"/>
    <n v="21"/>
    <x v="5"/>
    <s v="[FPT] - Paylater"/>
    <x v="1"/>
    <n v="4615697"/>
  </r>
  <r>
    <x v="51"/>
    <x v="0"/>
    <x v="1"/>
    <n v="8"/>
    <n v="21"/>
    <x v="6"/>
    <s v="[MISA] - Cashloan"/>
    <x v="0"/>
    <n v="0"/>
  </r>
  <r>
    <x v="51"/>
    <x v="0"/>
    <x v="1"/>
    <n v="8"/>
    <n v="21"/>
    <x v="7"/>
    <s v="[MWG] - Cashloan"/>
    <x v="0"/>
    <n v="875250000"/>
  </r>
  <r>
    <x v="51"/>
    <x v="0"/>
    <x v="1"/>
    <n v="8"/>
    <n v="21"/>
    <x v="8"/>
    <s v="[MWG] - Cashloan"/>
    <x v="0"/>
    <n v="413700000"/>
  </r>
  <r>
    <x v="51"/>
    <x v="0"/>
    <x v="1"/>
    <n v="8"/>
    <n v="21"/>
    <x v="9"/>
    <s v="[MWG] - Paylater"/>
    <x v="1"/>
    <n v="8939426"/>
  </r>
  <r>
    <x v="51"/>
    <x v="0"/>
    <x v="1"/>
    <n v="8"/>
    <n v="21"/>
    <x v="10"/>
    <s v="[MWG] - Paylater"/>
    <x v="1"/>
    <n v="959095652"/>
  </r>
  <r>
    <x v="51"/>
    <x v="0"/>
    <x v="1"/>
    <n v="8"/>
    <n v="21"/>
    <x v="11"/>
    <s v="[NGS] - Cashloan"/>
    <x v="0"/>
    <n v="0"/>
  </r>
  <r>
    <x v="51"/>
    <x v="0"/>
    <x v="1"/>
    <n v="8"/>
    <n v="21"/>
    <x v="12"/>
    <s v="[VNPOST] - Cashloan"/>
    <x v="0"/>
    <n v="0"/>
  </r>
  <r>
    <x v="51"/>
    <x v="0"/>
    <x v="1"/>
    <n v="8"/>
    <n v="21"/>
    <x v="13"/>
    <s v="[VNPOST] - Cashloan"/>
    <x v="0"/>
    <n v="0"/>
  </r>
  <r>
    <x v="51"/>
    <x v="0"/>
    <x v="1"/>
    <n v="8"/>
    <n v="21"/>
    <x v="14"/>
    <s v="[VDS] - Cashloan"/>
    <x v="0"/>
    <n v="6245630000"/>
  </r>
  <r>
    <x v="51"/>
    <x v="0"/>
    <x v="1"/>
    <n v="8"/>
    <n v="21"/>
    <x v="15"/>
    <s v="[VDS] - Cashloan LP"/>
    <x v="0"/>
    <n v="0"/>
  </r>
  <r>
    <x v="51"/>
    <x v="0"/>
    <x v="1"/>
    <n v="8"/>
    <n v="21"/>
    <x v="16"/>
    <s v="[VDS] - Cashloan LP"/>
    <x v="0"/>
    <n v="0"/>
  </r>
  <r>
    <x v="51"/>
    <x v="0"/>
    <x v="1"/>
    <n v="8"/>
    <n v="21"/>
    <x v="17"/>
    <s v="[VDS] - Cashloan LP"/>
    <x v="0"/>
    <n v="0"/>
  </r>
  <r>
    <x v="51"/>
    <x v="0"/>
    <x v="1"/>
    <n v="8"/>
    <n v="21"/>
    <x v="18"/>
    <s v="[VDS] - Cashloan"/>
    <x v="0"/>
    <n v="0"/>
  </r>
  <r>
    <x v="51"/>
    <x v="0"/>
    <x v="1"/>
    <n v="8"/>
    <n v="21"/>
    <x v="19"/>
    <s v="[VDS] - Payday"/>
    <x v="3"/>
    <n v="7378020000"/>
  </r>
  <r>
    <x v="51"/>
    <x v="0"/>
    <x v="1"/>
    <n v="8"/>
    <n v="21"/>
    <x v="20"/>
    <s v="[VDS] - Paylater"/>
    <x v="1"/>
    <n v="104014462"/>
  </r>
  <r>
    <x v="51"/>
    <x v="0"/>
    <x v="1"/>
    <n v="8"/>
    <n v="21"/>
    <x v="21"/>
    <s v="[VDS] - Payroll Cashloan"/>
    <x v="0"/>
    <n v="10500000"/>
  </r>
  <r>
    <x v="51"/>
    <x v="0"/>
    <x v="1"/>
    <n v="8"/>
    <n v="21"/>
    <x v="22"/>
    <s v="[VDS] - Payroll Payday"/>
    <x v="3"/>
    <n v="40000000"/>
  </r>
  <r>
    <x v="51"/>
    <x v="0"/>
    <x v="1"/>
    <n v="8"/>
    <n v="21"/>
    <x v="23"/>
    <s v="[VNPAY] - Cashloan"/>
    <x v="0"/>
    <n v="343140000"/>
  </r>
  <r>
    <x v="51"/>
    <x v="0"/>
    <x v="1"/>
    <n v="8"/>
    <n v="21"/>
    <x v="24"/>
    <s v="[VNPAY] - Payday"/>
    <x v="3"/>
    <n v="156276000"/>
  </r>
  <r>
    <x v="51"/>
    <x v="0"/>
    <x v="1"/>
    <n v="8"/>
    <n v="21"/>
    <x v="25"/>
    <s v="[VNPAY] - Paylater"/>
    <x v="1"/>
    <n v="198687649"/>
  </r>
  <r>
    <x v="51"/>
    <x v="0"/>
    <x v="1"/>
    <n v="8"/>
    <n v="21"/>
    <x v="26"/>
    <s v="[ZLP] - Cashloan"/>
    <x v="0"/>
    <n v="1252750000"/>
  </r>
  <r>
    <x v="51"/>
    <x v="0"/>
    <x v="1"/>
    <n v="8"/>
    <n v="21"/>
    <x v="27"/>
    <s v="[ZLP] - Payday"/>
    <x v="3"/>
    <n v="304400000"/>
  </r>
  <r>
    <x v="52"/>
    <x v="0"/>
    <x v="1"/>
    <n v="8"/>
    <n v="22"/>
    <x v="0"/>
    <s v="[BE] - Cashloan"/>
    <x v="0"/>
    <n v="580200000"/>
  </r>
  <r>
    <x v="52"/>
    <x v="0"/>
    <x v="1"/>
    <n v="8"/>
    <n v="22"/>
    <x v="1"/>
    <s v="[BE] - Paylater"/>
    <x v="1"/>
    <n v="284287591"/>
  </r>
  <r>
    <x v="52"/>
    <x v="0"/>
    <x v="1"/>
    <n v="8"/>
    <n v="22"/>
    <x v="2"/>
    <s v="[Cake] - Cashloan"/>
    <x v="0"/>
    <n v="5969330000"/>
  </r>
  <r>
    <x v="52"/>
    <x v="0"/>
    <x v="1"/>
    <n v="8"/>
    <n v="22"/>
    <x v="3"/>
    <s v="[Cake] - Overdraft"/>
    <x v="2"/>
    <n v="1145161870"/>
  </r>
  <r>
    <x v="52"/>
    <x v="0"/>
    <x v="1"/>
    <n v="8"/>
    <n v="22"/>
    <x v="4"/>
    <s v="[Cake] - Payday"/>
    <x v="3"/>
    <n v="12687840000"/>
  </r>
  <r>
    <x v="52"/>
    <x v="0"/>
    <x v="1"/>
    <n v="8"/>
    <n v="22"/>
    <x v="5"/>
    <s v="[FPT] - Paylater"/>
    <x v="1"/>
    <n v="4576096"/>
  </r>
  <r>
    <x v="52"/>
    <x v="0"/>
    <x v="1"/>
    <n v="8"/>
    <n v="22"/>
    <x v="6"/>
    <s v="[MISA] - Cashloan"/>
    <x v="0"/>
    <n v="0"/>
  </r>
  <r>
    <x v="52"/>
    <x v="0"/>
    <x v="1"/>
    <n v="8"/>
    <n v="22"/>
    <x v="7"/>
    <s v="[MWG] - Cashloan"/>
    <x v="0"/>
    <n v="1526840000"/>
  </r>
  <r>
    <x v="52"/>
    <x v="0"/>
    <x v="1"/>
    <n v="8"/>
    <n v="22"/>
    <x v="8"/>
    <s v="[MWG] - Cashloan"/>
    <x v="0"/>
    <n v="450400000"/>
  </r>
  <r>
    <x v="52"/>
    <x v="0"/>
    <x v="1"/>
    <n v="8"/>
    <n v="22"/>
    <x v="9"/>
    <s v="[MWG] - Paylater"/>
    <x v="1"/>
    <n v="7949324"/>
  </r>
  <r>
    <x v="52"/>
    <x v="0"/>
    <x v="1"/>
    <n v="8"/>
    <n v="22"/>
    <x v="10"/>
    <s v="[MWG] - Paylater"/>
    <x v="1"/>
    <n v="1054032746"/>
  </r>
  <r>
    <x v="52"/>
    <x v="0"/>
    <x v="1"/>
    <n v="8"/>
    <n v="22"/>
    <x v="11"/>
    <s v="[NGS] - Cashloan"/>
    <x v="0"/>
    <n v="0"/>
  </r>
  <r>
    <x v="52"/>
    <x v="0"/>
    <x v="1"/>
    <n v="8"/>
    <n v="22"/>
    <x v="12"/>
    <s v="[VNPOST] - Cashloan"/>
    <x v="0"/>
    <n v="15750000"/>
  </r>
  <r>
    <x v="52"/>
    <x v="0"/>
    <x v="1"/>
    <n v="8"/>
    <n v="22"/>
    <x v="13"/>
    <s v="[VNPOST] - Cashloan"/>
    <x v="0"/>
    <n v="0"/>
  </r>
  <r>
    <x v="52"/>
    <x v="0"/>
    <x v="1"/>
    <n v="8"/>
    <n v="22"/>
    <x v="14"/>
    <s v="[VDS] - Cashloan"/>
    <x v="0"/>
    <n v="7908400000"/>
  </r>
  <r>
    <x v="52"/>
    <x v="0"/>
    <x v="1"/>
    <n v="8"/>
    <n v="22"/>
    <x v="15"/>
    <s v="[VDS] - Cashloan LP"/>
    <x v="0"/>
    <n v="0"/>
  </r>
  <r>
    <x v="52"/>
    <x v="0"/>
    <x v="1"/>
    <n v="8"/>
    <n v="22"/>
    <x v="16"/>
    <s v="[VDS] - Cashloan LP"/>
    <x v="0"/>
    <n v="0"/>
  </r>
  <r>
    <x v="52"/>
    <x v="0"/>
    <x v="1"/>
    <n v="8"/>
    <n v="22"/>
    <x v="17"/>
    <s v="[VDS] - Cashloan LP"/>
    <x v="0"/>
    <n v="0"/>
  </r>
  <r>
    <x v="52"/>
    <x v="0"/>
    <x v="1"/>
    <n v="8"/>
    <n v="22"/>
    <x v="18"/>
    <s v="[VDS] - Cashloan"/>
    <x v="0"/>
    <n v="0"/>
  </r>
  <r>
    <x v="52"/>
    <x v="0"/>
    <x v="1"/>
    <n v="8"/>
    <n v="22"/>
    <x v="19"/>
    <s v="[VDS] - Payday"/>
    <x v="3"/>
    <n v="8930412000"/>
  </r>
  <r>
    <x v="52"/>
    <x v="0"/>
    <x v="1"/>
    <n v="8"/>
    <n v="22"/>
    <x v="20"/>
    <s v="[VDS] - Paylater"/>
    <x v="1"/>
    <n v="129829872"/>
  </r>
  <r>
    <x v="52"/>
    <x v="0"/>
    <x v="1"/>
    <n v="8"/>
    <n v="22"/>
    <x v="21"/>
    <s v="[VDS] - Payroll Cashloan"/>
    <x v="0"/>
    <n v="109250000"/>
  </r>
  <r>
    <x v="52"/>
    <x v="0"/>
    <x v="1"/>
    <n v="8"/>
    <n v="22"/>
    <x v="22"/>
    <s v="[VDS] - Payroll Payday"/>
    <x v="3"/>
    <n v="52000000"/>
  </r>
  <r>
    <x v="52"/>
    <x v="0"/>
    <x v="1"/>
    <n v="8"/>
    <n v="22"/>
    <x v="23"/>
    <s v="[VNPAY] - Cashloan"/>
    <x v="0"/>
    <n v="500160000"/>
  </r>
  <r>
    <x v="52"/>
    <x v="0"/>
    <x v="1"/>
    <n v="8"/>
    <n v="22"/>
    <x v="24"/>
    <s v="[VNPAY] - Payday"/>
    <x v="3"/>
    <n v="269352000"/>
  </r>
  <r>
    <x v="52"/>
    <x v="0"/>
    <x v="1"/>
    <n v="8"/>
    <n v="22"/>
    <x v="25"/>
    <s v="[VNPAY] - Paylater"/>
    <x v="1"/>
    <n v="244266863"/>
  </r>
  <r>
    <x v="52"/>
    <x v="0"/>
    <x v="1"/>
    <n v="8"/>
    <n v="22"/>
    <x v="26"/>
    <s v="[ZLP] - Cashloan"/>
    <x v="0"/>
    <n v="1462680000"/>
  </r>
  <r>
    <x v="52"/>
    <x v="0"/>
    <x v="1"/>
    <n v="8"/>
    <n v="22"/>
    <x v="27"/>
    <s v="[ZLP] - Payday"/>
    <x v="3"/>
    <n v="354240000"/>
  </r>
  <r>
    <x v="53"/>
    <x v="0"/>
    <x v="1"/>
    <n v="9"/>
    <n v="23"/>
    <x v="0"/>
    <s v="[BE] - Cashloan"/>
    <x v="0"/>
    <n v="456650000"/>
  </r>
  <r>
    <x v="53"/>
    <x v="0"/>
    <x v="1"/>
    <n v="9"/>
    <n v="23"/>
    <x v="1"/>
    <s v="[BE] - Paylater"/>
    <x v="1"/>
    <n v="283424694"/>
  </r>
  <r>
    <x v="53"/>
    <x v="0"/>
    <x v="1"/>
    <n v="9"/>
    <n v="23"/>
    <x v="2"/>
    <s v="[Cake] - Cashloan"/>
    <x v="0"/>
    <n v="10136260000"/>
  </r>
  <r>
    <x v="53"/>
    <x v="0"/>
    <x v="1"/>
    <n v="9"/>
    <n v="23"/>
    <x v="3"/>
    <s v="[Cake] - Overdraft"/>
    <x v="2"/>
    <n v="2180900609"/>
  </r>
  <r>
    <x v="53"/>
    <x v="0"/>
    <x v="1"/>
    <n v="9"/>
    <n v="23"/>
    <x v="4"/>
    <s v="[Cake] - Payday"/>
    <x v="3"/>
    <n v="18643608000"/>
  </r>
  <r>
    <x v="53"/>
    <x v="0"/>
    <x v="1"/>
    <n v="9"/>
    <n v="23"/>
    <x v="5"/>
    <s v="[FPT] - Paylater"/>
    <x v="1"/>
    <n v="8811023"/>
  </r>
  <r>
    <x v="53"/>
    <x v="0"/>
    <x v="1"/>
    <n v="9"/>
    <n v="23"/>
    <x v="6"/>
    <s v="[MISA] - Cashloan"/>
    <x v="0"/>
    <n v="0"/>
  </r>
  <r>
    <x v="53"/>
    <x v="0"/>
    <x v="1"/>
    <n v="9"/>
    <n v="23"/>
    <x v="7"/>
    <s v="[MWG] - Cashloan"/>
    <x v="0"/>
    <n v="2430000000"/>
  </r>
  <r>
    <x v="53"/>
    <x v="0"/>
    <x v="1"/>
    <n v="9"/>
    <n v="23"/>
    <x v="8"/>
    <s v="[MWG] - Cashloan"/>
    <x v="0"/>
    <n v="669890000"/>
  </r>
  <r>
    <x v="53"/>
    <x v="0"/>
    <x v="1"/>
    <n v="9"/>
    <n v="23"/>
    <x v="9"/>
    <s v="[MWG] - Paylater"/>
    <x v="1"/>
    <n v="7807533"/>
  </r>
  <r>
    <x v="53"/>
    <x v="0"/>
    <x v="1"/>
    <n v="9"/>
    <n v="23"/>
    <x v="10"/>
    <s v="[MWG] - Paylater"/>
    <x v="1"/>
    <n v="1025473591"/>
  </r>
  <r>
    <x v="53"/>
    <x v="0"/>
    <x v="1"/>
    <n v="9"/>
    <n v="23"/>
    <x v="11"/>
    <s v="[NGS] - Cashloan"/>
    <x v="0"/>
    <n v="0"/>
  </r>
  <r>
    <x v="53"/>
    <x v="0"/>
    <x v="1"/>
    <n v="9"/>
    <n v="23"/>
    <x v="12"/>
    <s v="[VNPOST] - Cashloan"/>
    <x v="0"/>
    <n v="83000000"/>
  </r>
  <r>
    <x v="53"/>
    <x v="0"/>
    <x v="1"/>
    <n v="9"/>
    <n v="23"/>
    <x v="13"/>
    <s v="[VNPOST] - Cashloan"/>
    <x v="0"/>
    <n v="0"/>
  </r>
  <r>
    <x v="53"/>
    <x v="0"/>
    <x v="1"/>
    <n v="9"/>
    <n v="23"/>
    <x v="14"/>
    <s v="[VDS] - Cashloan"/>
    <x v="0"/>
    <n v="10714010000"/>
  </r>
  <r>
    <x v="53"/>
    <x v="0"/>
    <x v="1"/>
    <n v="9"/>
    <n v="23"/>
    <x v="15"/>
    <s v="[VDS] - Cashloan LP"/>
    <x v="0"/>
    <n v="0"/>
  </r>
  <r>
    <x v="53"/>
    <x v="0"/>
    <x v="1"/>
    <n v="9"/>
    <n v="23"/>
    <x v="16"/>
    <s v="[VDS] - Cashloan LP"/>
    <x v="0"/>
    <n v="0"/>
  </r>
  <r>
    <x v="53"/>
    <x v="0"/>
    <x v="1"/>
    <n v="9"/>
    <n v="23"/>
    <x v="17"/>
    <s v="[VDS] - Cashloan LP"/>
    <x v="0"/>
    <n v="0"/>
  </r>
  <r>
    <x v="53"/>
    <x v="0"/>
    <x v="1"/>
    <n v="9"/>
    <n v="23"/>
    <x v="18"/>
    <s v="[VDS] - Cashloan"/>
    <x v="0"/>
    <n v="0"/>
  </r>
  <r>
    <x v="53"/>
    <x v="0"/>
    <x v="1"/>
    <n v="9"/>
    <n v="23"/>
    <x v="19"/>
    <s v="[VDS] - Payday"/>
    <x v="3"/>
    <n v="11487204000"/>
  </r>
  <r>
    <x v="53"/>
    <x v="0"/>
    <x v="1"/>
    <n v="9"/>
    <n v="23"/>
    <x v="20"/>
    <s v="[VDS] - Paylater"/>
    <x v="1"/>
    <n v="138188824"/>
  </r>
  <r>
    <x v="53"/>
    <x v="0"/>
    <x v="1"/>
    <n v="9"/>
    <n v="23"/>
    <x v="21"/>
    <s v="[VDS] - Payroll Cashloan"/>
    <x v="0"/>
    <n v="52500000"/>
  </r>
  <r>
    <x v="53"/>
    <x v="0"/>
    <x v="1"/>
    <n v="9"/>
    <n v="23"/>
    <x v="22"/>
    <s v="[VDS] - Payroll Payday"/>
    <x v="3"/>
    <n v="43000000"/>
  </r>
  <r>
    <x v="53"/>
    <x v="0"/>
    <x v="1"/>
    <n v="9"/>
    <n v="23"/>
    <x v="23"/>
    <s v="[VNPAY] - Cashloan"/>
    <x v="0"/>
    <n v="756400000"/>
  </r>
  <r>
    <x v="53"/>
    <x v="0"/>
    <x v="1"/>
    <n v="9"/>
    <n v="23"/>
    <x v="24"/>
    <s v="[VNPAY] - Payday"/>
    <x v="3"/>
    <n v="392580000"/>
  </r>
  <r>
    <x v="53"/>
    <x v="0"/>
    <x v="1"/>
    <n v="9"/>
    <n v="23"/>
    <x v="25"/>
    <s v="[VNPAY] - Paylater"/>
    <x v="1"/>
    <n v="320598241"/>
  </r>
  <r>
    <x v="53"/>
    <x v="0"/>
    <x v="1"/>
    <n v="9"/>
    <n v="23"/>
    <x v="26"/>
    <s v="[ZLP] - Cashloan"/>
    <x v="0"/>
    <n v="2024080000"/>
  </r>
  <r>
    <x v="53"/>
    <x v="0"/>
    <x v="1"/>
    <n v="9"/>
    <n v="23"/>
    <x v="27"/>
    <s v="[ZLP] - Payday"/>
    <x v="3"/>
    <n v="357480000"/>
  </r>
  <r>
    <x v="54"/>
    <x v="0"/>
    <x v="1"/>
    <n v="9"/>
    <n v="24"/>
    <x v="0"/>
    <s v="[BE] - Cashloan"/>
    <x v="0"/>
    <n v="454700000"/>
  </r>
  <r>
    <x v="54"/>
    <x v="0"/>
    <x v="1"/>
    <n v="9"/>
    <n v="24"/>
    <x v="1"/>
    <s v="[BE] - Paylater"/>
    <x v="1"/>
    <n v="283287013"/>
  </r>
  <r>
    <x v="54"/>
    <x v="0"/>
    <x v="1"/>
    <n v="9"/>
    <n v="24"/>
    <x v="2"/>
    <s v="[Cake] - Cashloan"/>
    <x v="0"/>
    <n v="9067840000"/>
  </r>
  <r>
    <x v="54"/>
    <x v="0"/>
    <x v="1"/>
    <n v="9"/>
    <n v="24"/>
    <x v="3"/>
    <s v="[Cake] - Overdraft"/>
    <x v="2"/>
    <n v="1935620045"/>
  </r>
  <r>
    <x v="54"/>
    <x v="0"/>
    <x v="1"/>
    <n v="9"/>
    <n v="24"/>
    <x v="4"/>
    <s v="[Cake] - Payday"/>
    <x v="3"/>
    <n v="13664808000"/>
  </r>
  <r>
    <x v="54"/>
    <x v="0"/>
    <x v="1"/>
    <n v="9"/>
    <n v="24"/>
    <x v="5"/>
    <s v="[FPT] - Paylater"/>
    <x v="1"/>
    <n v="3443210"/>
  </r>
  <r>
    <x v="54"/>
    <x v="0"/>
    <x v="1"/>
    <n v="9"/>
    <n v="24"/>
    <x v="6"/>
    <s v="[MISA] - Cashloan"/>
    <x v="0"/>
    <n v="0"/>
  </r>
  <r>
    <x v="54"/>
    <x v="0"/>
    <x v="1"/>
    <n v="9"/>
    <n v="24"/>
    <x v="7"/>
    <s v="[MWG] - Cashloan"/>
    <x v="0"/>
    <n v="2456100000"/>
  </r>
  <r>
    <x v="54"/>
    <x v="0"/>
    <x v="1"/>
    <n v="9"/>
    <n v="24"/>
    <x v="8"/>
    <s v="[MWG] - Cashloan"/>
    <x v="0"/>
    <n v="871680000"/>
  </r>
  <r>
    <x v="54"/>
    <x v="0"/>
    <x v="1"/>
    <n v="9"/>
    <n v="24"/>
    <x v="9"/>
    <s v="[MWG] - Paylater"/>
    <x v="1"/>
    <n v="7922883"/>
  </r>
  <r>
    <x v="54"/>
    <x v="0"/>
    <x v="1"/>
    <n v="9"/>
    <n v="24"/>
    <x v="10"/>
    <s v="[MWG] - Paylater"/>
    <x v="1"/>
    <n v="761753633"/>
  </r>
  <r>
    <x v="54"/>
    <x v="0"/>
    <x v="1"/>
    <n v="9"/>
    <n v="24"/>
    <x v="11"/>
    <s v="[NGS] - Cashloan"/>
    <x v="0"/>
    <n v="0"/>
  </r>
  <r>
    <x v="54"/>
    <x v="0"/>
    <x v="1"/>
    <n v="9"/>
    <n v="24"/>
    <x v="12"/>
    <s v="[VNPOST] - Cashloan"/>
    <x v="0"/>
    <n v="30500000"/>
  </r>
  <r>
    <x v="54"/>
    <x v="0"/>
    <x v="1"/>
    <n v="9"/>
    <n v="24"/>
    <x v="13"/>
    <s v="[VNPOST] - Cashloan"/>
    <x v="0"/>
    <n v="0"/>
  </r>
  <r>
    <x v="54"/>
    <x v="0"/>
    <x v="1"/>
    <n v="9"/>
    <n v="24"/>
    <x v="14"/>
    <s v="[VDS] - Cashloan"/>
    <x v="0"/>
    <n v="10193390000"/>
  </r>
  <r>
    <x v="54"/>
    <x v="0"/>
    <x v="1"/>
    <n v="9"/>
    <n v="24"/>
    <x v="15"/>
    <s v="[VDS] - Cashloan LP"/>
    <x v="0"/>
    <n v="0"/>
  </r>
  <r>
    <x v="54"/>
    <x v="0"/>
    <x v="1"/>
    <n v="9"/>
    <n v="24"/>
    <x v="16"/>
    <s v="[VDS] - Cashloan LP"/>
    <x v="0"/>
    <n v="0"/>
  </r>
  <r>
    <x v="54"/>
    <x v="0"/>
    <x v="1"/>
    <n v="9"/>
    <n v="24"/>
    <x v="17"/>
    <s v="[VDS] - Cashloan LP"/>
    <x v="0"/>
    <n v="0"/>
  </r>
  <r>
    <x v="54"/>
    <x v="0"/>
    <x v="1"/>
    <n v="9"/>
    <n v="24"/>
    <x v="18"/>
    <s v="[VDS] - Cashloan"/>
    <x v="0"/>
    <n v="0"/>
  </r>
  <r>
    <x v="54"/>
    <x v="0"/>
    <x v="1"/>
    <n v="9"/>
    <n v="24"/>
    <x v="19"/>
    <s v="[VDS] - Payday"/>
    <x v="3"/>
    <n v="9525708000"/>
  </r>
  <r>
    <x v="54"/>
    <x v="0"/>
    <x v="1"/>
    <n v="9"/>
    <n v="24"/>
    <x v="20"/>
    <s v="[VDS] - Paylater"/>
    <x v="1"/>
    <n v="162284261"/>
  </r>
  <r>
    <x v="54"/>
    <x v="0"/>
    <x v="1"/>
    <n v="9"/>
    <n v="24"/>
    <x v="21"/>
    <s v="[VDS] - Payroll Cashloan"/>
    <x v="0"/>
    <n v="42000000"/>
  </r>
  <r>
    <x v="54"/>
    <x v="0"/>
    <x v="1"/>
    <n v="9"/>
    <n v="24"/>
    <x v="22"/>
    <s v="[VDS] - Payroll Payday"/>
    <x v="3"/>
    <n v="55000000"/>
  </r>
  <r>
    <x v="54"/>
    <x v="0"/>
    <x v="1"/>
    <n v="9"/>
    <n v="24"/>
    <x v="23"/>
    <s v="[VNPAY] - Cashloan"/>
    <x v="0"/>
    <n v="831980000"/>
  </r>
  <r>
    <x v="54"/>
    <x v="0"/>
    <x v="1"/>
    <n v="9"/>
    <n v="24"/>
    <x v="24"/>
    <s v="[VNPAY] - Payday"/>
    <x v="3"/>
    <n v="341280000"/>
  </r>
  <r>
    <x v="54"/>
    <x v="0"/>
    <x v="1"/>
    <n v="9"/>
    <n v="24"/>
    <x v="25"/>
    <s v="[VNPAY] - Paylater"/>
    <x v="1"/>
    <n v="339130789"/>
  </r>
  <r>
    <x v="54"/>
    <x v="0"/>
    <x v="1"/>
    <n v="9"/>
    <n v="24"/>
    <x v="26"/>
    <s v="[ZLP] - Cashloan"/>
    <x v="0"/>
    <n v="2192730000"/>
  </r>
  <r>
    <x v="54"/>
    <x v="0"/>
    <x v="1"/>
    <n v="9"/>
    <n v="24"/>
    <x v="27"/>
    <s v="[ZLP] - Payday"/>
    <x v="3"/>
    <n v="366120000"/>
  </r>
  <r>
    <x v="55"/>
    <x v="0"/>
    <x v="1"/>
    <n v="9"/>
    <n v="25"/>
    <x v="0"/>
    <s v="[BE] - Cashloan"/>
    <x v="0"/>
    <n v="269850000"/>
  </r>
  <r>
    <x v="55"/>
    <x v="0"/>
    <x v="1"/>
    <n v="9"/>
    <n v="25"/>
    <x v="1"/>
    <s v="[BE] - Paylater"/>
    <x v="1"/>
    <n v="295929344"/>
  </r>
  <r>
    <x v="55"/>
    <x v="0"/>
    <x v="1"/>
    <n v="9"/>
    <n v="25"/>
    <x v="2"/>
    <s v="[Cake] - Cashloan"/>
    <x v="0"/>
    <n v="9953570000"/>
  </r>
  <r>
    <x v="55"/>
    <x v="0"/>
    <x v="1"/>
    <n v="9"/>
    <n v="25"/>
    <x v="3"/>
    <s v="[Cake] - Overdraft"/>
    <x v="2"/>
    <n v="2079070507"/>
  </r>
  <r>
    <x v="55"/>
    <x v="0"/>
    <x v="1"/>
    <n v="9"/>
    <n v="25"/>
    <x v="4"/>
    <s v="[Cake] - Payday"/>
    <x v="3"/>
    <n v="13688676000"/>
  </r>
  <r>
    <x v="55"/>
    <x v="0"/>
    <x v="1"/>
    <n v="9"/>
    <n v="25"/>
    <x v="5"/>
    <s v="[FPT] - Paylater"/>
    <x v="1"/>
    <n v="12319883"/>
  </r>
  <r>
    <x v="55"/>
    <x v="0"/>
    <x v="1"/>
    <n v="9"/>
    <n v="25"/>
    <x v="6"/>
    <s v="[MISA] - Cashloan"/>
    <x v="0"/>
    <n v="0"/>
  </r>
  <r>
    <x v="55"/>
    <x v="0"/>
    <x v="1"/>
    <n v="9"/>
    <n v="25"/>
    <x v="7"/>
    <s v="[MWG] - Cashloan"/>
    <x v="0"/>
    <n v="2727830000"/>
  </r>
  <r>
    <x v="55"/>
    <x v="0"/>
    <x v="1"/>
    <n v="9"/>
    <n v="25"/>
    <x v="8"/>
    <s v="[MWG] - Cashloan"/>
    <x v="0"/>
    <n v="949020000"/>
  </r>
  <r>
    <x v="55"/>
    <x v="0"/>
    <x v="1"/>
    <n v="9"/>
    <n v="25"/>
    <x v="9"/>
    <s v="[MWG] - Paylater"/>
    <x v="1"/>
    <n v="33547368"/>
  </r>
  <r>
    <x v="55"/>
    <x v="0"/>
    <x v="1"/>
    <n v="9"/>
    <n v="25"/>
    <x v="10"/>
    <s v="[MWG] - Paylater"/>
    <x v="1"/>
    <n v="938990697"/>
  </r>
  <r>
    <x v="55"/>
    <x v="0"/>
    <x v="1"/>
    <n v="9"/>
    <n v="25"/>
    <x v="11"/>
    <s v="[NGS] - Cashloan"/>
    <x v="0"/>
    <n v="0"/>
  </r>
  <r>
    <x v="55"/>
    <x v="0"/>
    <x v="1"/>
    <n v="9"/>
    <n v="25"/>
    <x v="12"/>
    <s v="[VNPOST] - Cashloan"/>
    <x v="0"/>
    <n v="72500000"/>
  </r>
  <r>
    <x v="55"/>
    <x v="0"/>
    <x v="1"/>
    <n v="9"/>
    <n v="25"/>
    <x v="13"/>
    <s v="[VNPOST] - Cashloan"/>
    <x v="0"/>
    <n v="0"/>
  </r>
  <r>
    <x v="55"/>
    <x v="0"/>
    <x v="1"/>
    <n v="9"/>
    <n v="25"/>
    <x v="14"/>
    <s v="[VDS] - Cashloan"/>
    <x v="0"/>
    <n v="10302190000"/>
  </r>
  <r>
    <x v="55"/>
    <x v="0"/>
    <x v="1"/>
    <n v="9"/>
    <n v="25"/>
    <x v="15"/>
    <s v="[VDS] - Cashloan LP"/>
    <x v="0"/>
    <n v="0"/>
  </r>
  <r>
    <x v="55"/>
    <x v="0"/>
    <x v="1"/>
    <n v="9"/>
    <n v="25"/>
    <x v="16"/>
    <s v="[VDS] - Cashloan LP"/>
    <x v="0"/>
    <n v="0"/>
  </r>
  <r>
    <x v="55"/>
    <x v="0"/>
    <x v="1"/>
    <n v="9"/>
    <n v="25"/>
    <x v="17"/>
    <s v="[VDS] - Cashloan LP"/>
    <x v="0"/>
    <n v="0"/>
  </r>
  <r>
    <x v="55"/>
    <x v="0"/>
    <x v="1"/>
    <n v="9"/>
    <n v="25"/>
    <x v="18"/>
    <s v="[VDS] - Cashloan"/>
    <x v="0"/>
    <n v="0"/>
  </r>
  <r>
    <x v="55"/>
    <x v="0"/>
    <x v="1"/>
    <n v="9"/>
    <n v="25"/>
    <x v="19"/>
    <s v="[VDS] - Payday"/>
    <x v="3"/>
    <n v="10211292000"/>
  </r>
  <r>
    <x v="55"/>
    <x v="0"/>
    <x v="1"/>
    <n v="9"/>
    <n v="25"/>
    <x v="20"/>
    <s v="[VDS] - Paylater"/>
    <x v="1"/>
    <n v="175329420"/>
  </r>
  <r>
    <x v="55"/>
    <x v="0"/>
    <x v="1"/>
    <n v="9"/>
    <n v="25"/>
    <x v="21"/>
    <s v="[VDS] - Payroll Cashloan"/>
    <x v="0"/>
    <n v="42000000"/>
  </r>
  <r>
    <x v="55"/>
    <x v="0"/>
    <x v="1"/>
    <n v="9"/>
    <n v="25"/>
    <x v="22"/>
    <s v="[VDS] - Payroll Payday"/>
    <x v="3"/>
    <n v="51000000"/>
  </r>
  <r>
    <x v="55"/>
    <x v="0"/>
    <x v="1"/>
    <n v="9"/>
    <n v="25"/>
    <x v="23"/>
    <s v="[VNPAY] - Cashloan"/>
    <x v="0"/>
    <n v="504460000"/>
  </r>
  <r>
    <x v="55"/>
    <x v="0"/>
    <x v="1"/>
    <n v="9"/>
    <n v="25"/>
    <x v="24"/>
    <s v="[VNPAY] - Payday"/>
    <x v="3"/>
    <n v="285336000"/>
  </r>
  <r>
    <x v="55"/>
    <x v="0"/>
    <x v="1"/>
    <n v="9"/>
    <n v="25"/>
    <x v="25"/>
    <s v="[VNPAY] - Paylater"/>
    <x v="1"/>
    <n v="352897049"/>
  </r>
  <r>
    <x v="55"/>
    <x v="0"/>
    <x v="1"/>
    <n v="9"/>
    <n v="25"/>
    <x v="26"/>
    <s v="[ZLP] - Cashloan"/>
    <x v="0"/>
    <n v="2264870000"/>
  </r>
  <r>
    <x v="55"/>
    <x v="0"/>
    <x v="1"/>
    <n v="9"/>
    <n v="25"/>
    <x v="27"/>
    <s v="[ZLP] - Payday"/>
    <x v="3"/>
    <n v="401760000"/>
  </r>
  <r>
    <x v="56"/>
    <x v="0"/>
    <x v="1"/>
    <n v="9"/>
    <n v="26"/>
    <x v="0"/>
    <s v="[BE] - Cashloan"/>
    <x v="0"/>
    <n v="438300000"/>
  </r>
  <r>
    <x v="56"/>
    <x v="0"/>
    <x v="1"/>
    <n v="9"/>
    <n v="26"/>
    <x v="1"/>
    <s v="[BE] - Paylater"/>
    <x v="1"/>
    <n v="320224994"/>
  </r>
  <r>
    <x v="56"/>
    <x v="0"/>
    <x v="1"/>
    <n v="9"/>
    <n v="26"/>
    <x v="2"/>
    <s v="[Cake] - Cashloan"/>
    <x v="0"/>
    <n v="8898300000"/>
  </r>
  <r>
    <x v="56"/>
    <x v="0"/>
    <x v="1"/>
    <n v="9"/>
    <n v="26"/>
    <x v="3"/>
    <s v="[Cake] - Overdraft"/>
    <x v="2"/>
    <n v="1709680434"/>
  </r>
  <r>
    <x v="56"/>
    <x v="0"/>
    <x v="1"/>
    <n v="9"/>
    <n v="26"/>
    <x v="4"/>
    <s v="[Cake] - Payday"/>
    <x v="3"/>
    <n v="12725100000"/>
  </r>
  <r>
    <x v="56"/>
    <x v="0"/>
    <x v="1"/>
    <n v="9"/>
    <n v="26"/>
    <x v="5"/>
    <s v="[FPT] - Paylater"/>
    <x v="1"/>
    <n v="12107317"/>
  </r>
  <r>
    <x v="56"/>
    <x v="0"/>
    <x v="1"/>
    <n v="9"/>
    <n v="26"/>
    <x v="6"/>
    <s v="[MISA] - Cashloan"/>
    <x v="0"/>
    <n v="29000000"/>
  </r>
  <r>
    <x v="56"/>
    <x v="0"/>
    <x v="1"/>
    <n v="9"/>
    <n v="26"/>
    <x v="7"/>
    <s v="[MWG] - Cashloan"/>
    <x v="0"/>
    <n v="1860980000"/>
  </r>
  <r>
    <x v="56"/>
    <x v="0"/>
    <x v="1"/>
    <n v="9"/>
    <n v="26"/>
    <x v="8"/>
    <s v="[MWG] - Cashloan"/>
    <x v="0"/>
    <n v="900790000"/>
  </r>
  <r>
    <x v="56"/>
    <x v="0"/>
    <x v="1"/>
    <n v="9"/>
    <n v="26"/>
    <x v="9"/>
    <s v="[MWG] - Paylater"/>
    <x v="1"/>
    <n v="16838744"/>
  </r>
  <r>
    <x v="56"/>
    <x v="0"/>
    <x v="1"/>
    <n v="9"/>
    <n v="26"/>
    <x v="10"/>
    <s v="[MWG] - Paylater"/>
    <x v="1"/>
    <n v="841888111"/>
  </r>
  <r>
    <x v="56"/>
    <x v="0"/>
    <x v="1"/>
    <n v="9"/>
    <n v="26"/>
    <x v="11"/>
    <s v="[NGS] - Cashloan"/>
    <x v="0"/>
    <n v="0"/>
  </r>
  <r>
    <x v="56"/>
    <x v="0"/>
    <x v="1"/>
    <n v="9"/>
    <n v="26"/>
    <x v="12"/>
    <s v="[VNPOST] - Cashloan"/>
    <x v="0"/>
    <n v="41250000"/>
  </r>
  <r>
    <x v="56"/>
    <x v="0"/>
    <x v="1"/>
    <n v="9"/>
    <n v="26"/>
    <x v="13"/>
    <s v="[VNPOST] - Cashloan"/>
    <x v="0"/>
    <n v="0"/>
  </r>
  <r>
    <x v="56"/>
    <x v="0"/>
    <x v="1"/>
    <n v="9"/>
    <n v="26"/>
    <x v="14"/>
    <s v="[VDS] - Cashloan"/>
    <x v="0"/>
    <n v="10847910000"/>
  </r>
  <r>
    <x v="56"/>
    <x v="0"/>
    <x v="1"/>
    <n v="9"/>
    <n v="26"/>
    <x v="15"/>
    <s v="[VDS] - Cashloan LP"/>
    <x v="0"/>
    <n v="0"/>
  </r>
  <r>
    <x v="56"/>
    <x v="0"/>
    <x v="1"/>
    <n v="9"/>
    <n v="26"/>
    <x v="16"/>
    <s v="[VDS] - Cashloan LP"/>
    <x v="0"/>
    <n v="0"/>
  </r>
  <r>
    <x v="56"/>
    <x v="0"/>
    <x v="1"/>
    <n v="9"/>
    <n v="26"/>
    <x v="17"/>
    <s v="[VDS] - Cashloan LP"/>
    <x v="0"/>
    <n v="0"/>
  </r>
  <r>
    <x v="56"/>
    <x v="0"/>
    <x v="1"/>
    <n v="9"/>
    <n v="26"/>
    <x v="18"/>
    <s v="[VDS] - Cashloan"/>
    <x v="0"/>
    <n v="0"/>
  </r>
  <r>
    <x v="56"/>
    <x v="0"/>
    <x v="1"/>
    <n v="9"/>
    <n v="26"/>
    <x v="19"/>
    <s v="[VDS] - Payday"/>
    <x v="3"/>
    <n v="9692460000"/>
  </r>
  <r>
    <x v="56"/>
    <x v="0"/>
    <x v="1"/>
    <n v="9"/>
    <n v="26"/>
    <x v="20"/>
    <s v="[VDS] - Paylater"/>
    <x v="1"/>
    <n v="157400360"/>
  </r>
  <r>
    <x v="56"/>
    <x v="0"/>
    <x v="1"/>
    <n v="9"/>
    <n v="26"/>
    <x v="21"/>
    <s v="[VDS] - Payroll Cashloan"/>
    <x v="0"/>
    <n v="52500000"/>
  </r>
  <r>
    <x v="56"/>
    <x v="0"/>
    <x v="1"/>
    <n v="9"/>
    <n v="26"/>
    <x v="22"/>
    <s v="[VDS] - Payroll Payday"/>
    <x v="3"/>
    <n v="21000000"/>
  </r>
  <r>
    <x v="56"/>
    <x v="0"/>
    <x v="1"/>
    <n v="9"/>
    <n v="26"/>
    <x v="23"/>
    <s v="[VNPAY] - Cashloan"/>
    <x v="0"/>
    <n v="633600000"/>
  </r>
  <r>
    <x v="56"/>
    <x v="0"/>
    <x v="1"/>
    <n v="9"/>
    <n v="26"/>
    <x v="24"/>
    <s v="[VNPAY] - Payday"/>
    <x v="3"/>
    <n v="240624000"/>
  </r>
  <r>
    <x v="56"/>
    <x v="0"/>
    <x v="1"/>
    <n v="9"/>
    <n v="26"/>
    <x v="25"/>
    <s v="[VNPAY] - Paylater"/>
    <x v="1"/>
    <n v="381068555"/>
  </r>
  <r>
    <x v="56"/>
    <x v="0"/>
    <x v="1"/>
    <n v="9"/>
    <n v="26"/>
    <x v="26"/>
    <s v="[ZLP] - Cashloan"/>
    <x v="0"/>
    <n v="2354610000"/>
  </r>
  <r>
    <x v="56"/>
    <x v="0"/>
    <x v="1"/>
    <n v="9"/>
    <n v="26"/>
    <x v="27"/>
    <s v="[ZLP] - Payday"/>
    <x v="3"/>
    <n v="414720000"/>
  </r>
  <r>
    <x v="57"/>
    <x v="0"/>
    <x v="1"/>
    <n v="9"/>
    <n v="27"/>
    <x v="0"/>
    <s v="[BE] - Cashloan"/>
    <x v="0"/>
    <n v="403050000"/>
  </r>
  <r>
    <x v="57"/>
    <x v="0"/>
    <x v="1"/>
    <n v="9"/>
    <n v="27"/>
    <x v="1"/>
    <s v="[BE] - Paylater"/>
    <x v="1"/>
    <n v="273787154"/>
  </r>
  <r>
    <x v="57"/>
    <x v="0"/>
    <x v="1"/>
    <n v="9"/>
    <n v="27"/>
    <x v="2"/>
    <s v="[Cake] - Cashloan"/>
    <x v="0"/>
    <n v="9579890000"/>
  </r>
  <r>
    <x v="57"/>
    <x v="0"/>
    <x v="1"/>
    <n v="9"/>
    <n v="27"/>
    <x v="3"/>
    <s v="[Cake] - Overdraft"/>
    <x v="2"/>
    <n v="2035848864"/>
  </r>
  <r>
    <x v="57"/>
    <x v="0"/>
    <x v="1"/>
    <n v="9"/>
    <n v="27"/>
    <x v="4"/>
    <s v="[Cake] - Payday"/>
    <x v="3"/>
    <n v="13109364000"/>
  </r>
  <r>
    <x v="57"/>
    <x v="0"/>
    <x v="1"/>
    <n v="9"/>
    <n v="27"/>
    <x v="5"/>
    <s v="[FPT] - Paylater"/>
    <x v="1"/>
    <n v="7089201"/>
  </r>
  <r>
    <x v="57"/>
    <x v="0"/>
    <x v="1"/>
    <n v="9"/>
    <n v="27"/>
    <x v="6"/>
    <s v="[MISA] - Cashloan"/>
    <x v="0"/>
    <n v="0"/>
  </r>
  <r>
    <x v="57"/>
    <x v="0"/>
    <x v="1"/>
    <n v="9"/>
    <n v="27"/>
    <x v="7"/>
    <s v="[MWG] - Cashloan"/>
    <x v="0"/>
    <n v="2015920000"/>
  </r>
  <r>
    <x v="57"/>
    <x v="0"/>
    <x v="1"/>
    <n v="9"/>
    <n v="27"/>
    <x v="8"/>
    <s v="[MWG] - Cashloan"/>
    <x v="0"/>
    <n v="988260000"/>
  </r>
  <r>
    <x v="57"/>
    <x v="0"/>
    <x v="1"/>
    <n v="9"/>
    <n v="27"/>
    <x v="9"/>
    <s v="[MWG] - Paylater"/>
    <x v="1"/>
    <n v="9437228"/>
  </r>
  <r>
    <x v="57"/>
    <x v="0"/>
    <x v="1"/>
    <n v="9"/>
    <n v="27"/>
    <x v="10"/>
    <s v="[MWG] - Paylater"/>
    <x v="1"/>
    <n v="960373872"/>
  </r>
  <r>
    <x v="57"/>
    <x v="0"/>
    <x v="1"/>
    <n v="9"/>
    <n v="27"/>
    <x v="11"/>
    <s v="[NGS] - Cashloan"/>
    <x v="0"/>
    <n v="0"/>
  </r>
  <r>
    <x v="57"/>
    <x v="0"/>
    <x v="1"/>
    <n v="9"/>
    <n v="27"/>
    <x v="12"/>
    <s v="[VNPOST] - Cashloan"/>
    <x v="0"/>
    <n v="21000000"/>
  </r>
  <r>
    <x v="57"/>
    <x v="0"/>
    <x v="1"/>
    <n v="9"/>
    <n v="27"/>
    <x v="13"/>
    <s v="[VNPOST] - Cashloan"/>
    <x v="0"/>
    <n v="0"/>
  </r>
  <r>
    <x v="57"/>
    <x v="0"/>
    <x v="1"/>
    <n v="9"/>
    <n v="27"/>
    <x v="14"/>
    <s v="[VDS] - Cashloan"/>
    <x v="0"/>
    <n v="11525560000"/>
  </r>
  <r>
    <x v="57"/>
    <x v="0"/>
    <x v="1"/>
    <n v="9"/>
    <n v="27"/>
    <x v="15"/>
    <s v="[VDS] - Cashloan LP"/>
    <x v="0"/>
    <n v="0"/>
  </r>
  <r>
    <x v="57"/>
    <x v="0"/>
    <x v="1"/>
    <n v="9"/>
    <n v="27"/>
    <x v="16"/>
    <s v="[VDS] - Cashloan LP"/>
    <x v="0"/>
    <n v="0"/>
  </r>
  <r>
    <x v="57"/>
    <x v="0"/>
    <x v="1"/>
    <n v="9"/>
    <n v="27"/>
    <x v="17"/>
    <s v="[VDS] - Cashloan LP"/>
    <x v="0"/>
    <n v="0"/>
  </r>
  <r>
    <x v="57"/>
    <x v="0"/>
    <x v="1"/>
    <n v="9"/>
    <n v="27"/>
    <x v="18"/>
    <s v="[VDS] - Cashloan"/>
    <x v="0"/>
    <n v="0"/>
  </r>
  <r>
    <x v="57"/>
    <x v="0"/>
    <x v="1"/>
    <n v="9"/>
    <n v="27"/>
    <x v="19"/>
    <s v="[VDS] - Payday"/>
    <x v="3"/>
    <n v="10505916000"/>
  </r>
  <r>
    <x v="57"/>
    <x v="0"/>
    <x v="1"/>
    <n v="9"/>
    <n v="27"/>
    <x v="20"/>
    <s v="[VDS] - Paylater"/>
    <x v="1"/>
    <n v="150728976"/>
  </r>
  <r>
    <x v="57"/>
    <x v="0"/>
    <x v="1"/>
    <n v="9"/>
    <n v="27"/>
    <x v="21"/>
    <s v="[VDS] - Payroll Cashloan"/>
    <x v="0"/>
    <n v="0"/>
  </r>
  <r>
    <x v="57"/>
    <x v="0"/>
    <x v="1"/>
    <n v="9"/>
    <n v="27"/>
    <x v="22"/>
    <s v="[VDS] - Payroll Payday"/>
    <x v="3"/>
    <n v="50000000"/>
  </r>
  <r>
    <x v="57"/>
    <x v="0"/>
    <x v="1"/>
    <n v="9"/>
    <n v="27"/>
    <x v="23"/>
    <s v="[VNPAY] - Cashloan"/>
    <x v="0"/>
    <n v="943050000"/>
  </r>
  <r>
    <x v="57"/>
    <x v="0"/>
    <x v="1"/>
    <n v="9"/>
    <n v="27"/>
    <x v="24"/>
    <s v="[VNPAY] - Payday"/>
    <x v="3"/>
    <n v="224748000"/>
  </r>
  <r>
    <x v="57"/>
    <x v="0"/>
    <x v="1"/>
    <n v="9"/>
    <n v="27"/>
    <x v="25"/>
    <s v="[VNPAY] - Paylater"/>
    <x v="1"/>
    <n v="472738951"/>
  </r>
  <r>
    <x v="57"/>
    <x v="0"/>
    <x v="1"/>
    <n v="9"/>
    <n v="27"/>
    <x v="26"/>
    <s v="[ZLP] - Cashloan"/>
    <x v="0"/>
    <n v="2136490000"/>
  </r>
  <r>
    <x v="57"/>
    <x v="0"/>
    <x v="1"/>
    <n v="9"/>
    <n v="27"/>
    <x v="27"/>
    <s v="[ZLP] - Payday"/>
    <x v="3"/>
    <n v="384480000"/>
  </r>
  <r>
    <x v="58"/>
    <x v="0"/>
    <x v="1"/>
    <n v="9"/>
    <n v="28"/>
    <x v="0"/>
    <s v="[BE] - Cashloan"/>
    <x v="0"/>
    <n v="454250000"/>
  </r>
  <r>
    <x v="58"/>
    <x v="0"/>
    <x v="1"/>
    <n v="9"/>
    <n v="28"/>
    <x v="1"/>
    <s v="[BE] - Paylater"/>
    <x v="1"/>
    <n v="285496773"/>
  </r>
  <r>
    <x v="58"/>
    <x v="0"/>
    <x v="1"/>
    <n v="9"/>
    <n v="28"/>
    <x v="2"/>
    <s v="[Cake] - Cashloan"/>
    <x v="0"/>
    <n v="9419310000"/>
  </r>
  <r>
    <x v="58"/>
    <x v="0"/>
    <x v="1"/>
    <n v="9"/>
    <n v="28"/>
    <x v="3"/>
    <s v="[Cake] - Overdraft"/>
    <x v="2"/>
    <n v="2038506007"/>
  </r>
  <r>
    <x v="58"/>
    <x v="0"/>
    <x v="1"/>
    <n v="9"/>
    <n v="28"/>
    <x v="4"/>
    <s v="[Cake] - Payday"/>
    <x v="3"/>
    <n v="12960324000"/>
  </r>
  <r>
    <x v="58"/>
    <x v="0"/>
    <x v="1"/>
    <n v="9"/>
    <n v="28"/>
    <x v="5"/>
    <s v="[FPT] - Paylater"/>
    <x v="1"/>
    <n v="14951163"/>
  </r>
  <r>
    <x v="58"/>
    <x v="0"/>
    <x v="1"/>
    <n v="9"/>
    <n v="28"/>
    <x v="6"/>
    <s v="[MISA] - Cashloan"/>
    <x v="0"/>
    <n v="90000000"/>
  </r>
  <r>
    <x v="58"/>
    <x v="0"/>
    <x v="1"/>
    <n v="9"/>
    <n v="28"/>
    <x v="7"/>
    <s v="[MWG] - Cashloan"/>
    <x v="0"/>
    <n v="2253560000"/>
  </r>
  <r>
    <x v="58"/>
    <x v="0"/>
    <x v="1"/>
    <n v="9"/>
    <n v="28"/>
    <x v="8"/>
    <s v="[MWG] - Cashloan"/>
    <x v="0"/>
    <n v="1114190000"/>
  </r>
  <r>
    <x v="58"/>
    <x v="0"/>
    <x v="1"/>
    <n v="9"/>
    <n v="28"/>
    <x v="9"/>
    <s v="[MWG] - Paylater"/>
    <x v="1"/>
    <n v="11819380"/>
  </r>
  <r>
    <x v="58"/>
    <x v="0"/>
    <x v="1"/>
    <n v="9"/>
    <n v="28"/>
    <x v="10"/>
    <s v="[MWG] - Paylater"/>
    <x v="1"/>
    <n v="1156345072"/>
  </r>
  <r>
    <x v="58"/>
    <x v="0"/>
    <x v="1"/>
    <n v="9"/>
    <n v="28"/>
    <x v="11"/>
    <s v="[NGS] - Cashloan"/>
    <x v="0"/>
    <n v="0"/>
  </r>
  <r>
    <x v="58"/>
    <x v="0"/>
    <x v="1"/>
    <n v="9"/>
    <n v="28"/>
    <x v="12"/>
    <s v="[VNPOST] - Cashloan"/>
    <x v="0"/>
    <n v="0"/>
  </r>
  <r>
    <x v="58"/>
    <x v="0"/>
    <x v="1"/>
    <n v="9"/>
    <n v="28"/>
    <x v="13"/>
    <s v="[VNPOST] - Cashloan"/>
    <x v="0"/>
    <n v="0"/>
  </r>
  <r>
    <x v="58"/>
    <x v="0"/>
    <x v="1"/>
    <n v="9"/>
    <n v="28"/>
    <x v="14"/>
    <s v="[VDS] - Cashloan"/>
    <x v="0"/>
    <n v="10730150000"/>
  </r>
  <r>
    <x v="58"/>
    <x v="0"/>
    <x v="1"/>
    <n v="9"/>
    <n v="28"/>
    <x v="15"/>
    <s v="[VDS] - Cashloan LP"/>
    <x v="0"/>
    <n v="0"/>
  </r>
  <r>
    <x v="58"/>
    <x v="0"/>
    <x v="1"/>
    <n v="9"/>
    <n v="28"/>
    <x v="16"/>
    <s v="[VDS] - Cashloan LP"/>
    <x v="0"/>
    <n v="0"/>
  </r>
  <r>
    <x v="58"/>
    <x v="0"/>
    <x v="1"/>
    <n v="9"/>
    <n v="28"/>
    <x v="17"/>
    <s v="[VDS] - Cashloan LP"/>
    <x v="0"/>
    <n v="0"/>
  </r>
  <r>
    <x v="58"/>
    <x v="0"/>
    <x v="1"/>
    <n v="9"/>
    <n v="28"/>
    <x v="18"/>
    <s v="[VDS] - Cashloan"/>
    <x v="0"/>
    <n v="0"/>
  </r>
  <r>
    <x v="58"/>
    <x v="0"/>
    <x v="1"/>
    <n v="9"/>
    <n v="28"/>
    <x v="19"/>
    <s v="[VDS] - Payday"/>
    <x v="3"/>
    <n v="10585296000"/>
  </r>
  <r>
    <x v="58"/>
    <x v="0"/>
    <x v="1"/>
    <n v="9"/>
    <n v="28"/>
    <x v="20"/>
    <s v="[VDS] - Paylater"/>
    <x v="1"/>
    <n v="146266557"/>
  </r>
  <r>
    <x v="58"/>
    <x v="0"/>
    <x v="1"/>
    <n v="9"/>
    <n v="28"/>
    <x v="21"/>
    <s v="[VDS] - Payroll Cashloan"/>
    <x v="0"/>
    <n v="20500000"/>
  </r>
  <r>
    <x v="58"/>
    <x v="0"/>
    <x v="1"/>
    <n v="9"/>
    <n v="28"/>
    <x v="22"/>
    <s v="[VDS] - Payroll Payday"/>
    <x v="3"/>
    <n v="34000000"/>
  </r>
  <r>
    <x v="58"/>
    <x v="0"/>
    <x v="1"/>
    <n v="9"/>
    <n v="28"/>
    <x v="23"/>
    <s v="[VNPAY] - Cashloan"/>
    <x v="0"/>
    <n v="667490000"/>
  </r>
  <r>
    <x v="58"/>
    <x v="0"/>
    <x v="1"/>
    <n v="9"/>
    <n v="28"/>
    <x v="24"/>
    <s v="[VNPAY] - Payday"/>
    <x v="3"/>
    <n v="323892000"/>
  </r>
  <r>
    <x v="58"/>
    <x v="0"/>
    <x v="1"/>
    <n v="9"/>
    <n v="28"/>
    <x v="25"/>
    <s v="[VNPAY] - Paylater"/>
    <x v="1"/>
    <n v="455690480"/>
  </r>
  <r>
    <x v="58"/>
    <x v="0"/>
    <x v="1"/>
    <n v="9"/>
    <n v="28"/>
    <x v="26"/>
    <s v="[ZLP] - Cashloan"/>
    <x v="0"/>
    <n v="2177870000"/>
  </r>
  <r>
    <x v="58"/>
    <x v="0"/>
    <x v="1"/>
    <n v="9"/>
    <n v="28"/>
    <x v="27"/>
    <s v="[ZLP] - Payday"/>
    <x v="3"/>
    <n v="463320000"/>
  </r>
  <r>
    <x v="59"/>
    <x v="0"/>
    <x v="2"/>
    <n v="9"/>
    <n v="1"/>
    <x v="0"/>
    <s v="[BE] - Cashloan"/>
    <x v="0"/>
    <n v="583800000"/>
  </r>
  <r>
    <x v="59"/>
    <x v="0"/>
    <x v="2"/>
    <n v="9"/>
    <n v="1"/>
    <x v="1"/>
    <s v="[BE] - Paylater"/>
    <x v="1"/>
    <n v="300405796"/>
  </r>
  <r>
    <x v="59"/>
    <x v="0"/>
    <x v="2"/>
    <n v="9"/>
    <n v="1"/>
    <x v="2"/>
    <s v="[Cake] - Cashloan"/>
    <x v="0"/>
    <n v="9480850000"/>
  </r>
  <r>
    <x v="59"/>
    <x v="0"/>
    <x v="2"/>
    <n v="9"/>
    <n v="1"/>
    <x v="3"/>
    <s v="[Cake] - Overdraft"/>
    <x v="2"/>
    <n v="2923609940"/>
  </r>
  <r>
    <x v="59"/>
    <x v="0"/>
    <x v="2"/>
    <n v="9"/>
    <n v="1"/>
    <x v="4"/>
    <s v="[Cake] - Payday"/>
    <x v="3"/>
    <n v="14175540000"/>
  </r>
  <r>
    <x v="59"/>
    <x v="0"/>
    <x v="2"/>
    <n v="9"/>
    <n v="1"/>
    <x v="5"/>
    <s v="[FPT] - Paylater"/>
    <x v="1"/>
    <n v="3332217"/>
  </r>
  <r>
    <x v="59"/>
    <x v="0"/>
    <x v="2"/>
    <n v="9"/>
    <n v="1"/>
    <x v="6"/>
    <s v="[MISA] - Cashloan"/>
    <x v="0"/>
    <n v="0"/>
  </r>
  <r>
    <x v="59"/>
    <x v="0"/>
    <x v="2"/>
    <n v="9"/>
    <n v="1"/>
    <x v="7"/>
    <s v="[MWG] - Cashloan"/>
    <x v="0"/>
    <n v="2746690000"/>
  </r>
  <r>
    <x v="59"/>
    <x v="0"/>
    <x v="2"/>
    <n v="9"/>
    <n v="1"/>
    <x v="8"/>
    <s v="[MWG] - Cashloan"/>
    <x v="0"/>
    <n v="994000000"/>
  </r>
  <r>
    <x v="59"/>
    <x v="0"/>
    <x v="2"/>
    <n v="9"/>
    <n v="1"/>
    <x v="9"/>
    <s v="[MWG] - Paylater"/>
    <x v="1"/>
    <n v="10875742"/>
  </r>
  <r>
    <x v="59"/>
    <x v="0"/>
    <x v="2"/>
    <n v="9"/>
    <n v="1"/>
    <x v="10"/>
    <s v="[MWG] - Paylater"/>
    <x v="1"/>
    <n v="1327248931"/>
  </r>
  <r>
    <x v="59"/>
    <x v="0"/>
    <x v="2"/>
    <n v="9"/>
    <n v="1"/>
    <x v="11"/>
    <s v="[NGS] - Cashloan"/>
    <x v="0"/>
    <n v="0"/>
  </r>
  <r>
    <x v="59"/>
    <x v="0"/>
    <x v="2"/>
    <n v="9"/>
    <n v="1"/>
    <x v="12"/>
    <s v="[VNPOST] - Cashloan"/>
    <x v="0"/>
    <n v="10500000"/>
  </r>
  <r>
    <x v="59"/>
    <x v="0"/>
    <x v="2"/>
    <n v="9"/>
    <n v="1"/>
    <x v="13"/>
    <s v="[VNPOST] - Cashloan"/>
    <x v="0"/>
    <n v="0"/>
  </r>
  <r>
    <x v="59"/>
    <x v="0"/>
    <x v="2"/>
    <n v="9"/>
    <n v="1"/>
    <x v="14"/>
    <s v="[VDS] - Cashloan"/>
    <x v="0"/>
    <n v="12236800000"/>
  </r>
  <r>
    <x v="59"/>
    <x v="0"/>
    <x v="2"/>
    <n v="9"/>
    <n v="1"/>
    <x v="15"/>
    <s v="[VDS] - Cashloan LP"/>
    <x v="0"/>
    <n v="0"/>
  </r>
  <r>
    <x v="59"/>
    <x v="0"/>
    <x v="2"/>
    <n v="9"/>
    <n v="1"/>
    <x v="16"/>
    <s v="[VDS] - Cashloan LP"/>
    <x v="0"/>
    <n v="0"/>
  </r>
  <r>
    <x v="59"/>
    <x v="0"/>
    <x v="2"/>
    <n v="9"/>
    <n v="1"/>
    <x v="17"/>
    <s v="[VDS] - Cashloan LP"/>
    <x v="0"/>
    <n v="0"/>
  </r>
  <r>
    <x v="59"/>
    <x v="0"/>
    <x v="2"/>
    <n v="9"/>
    <n v="1"/>
    <x v="18"/>
    <s v="[VDS] - Cashloan"/>
    <x v="0"/>
    <n v="0"/>
  </r>
  <r>
    <x v="59"/>
    <x v="0"/>
    <x v="2"/>
    <n v="9"/>
    <n v="1"/>
    <x v="19"/>
    <s v="[VDS] - Payday"/>
    <x v="3"/>
    <n v="11641212000"/>
  </r>
  <r>
    <x v="59"/>
    <x v="0"/>
    <x v="2"/>
    <n v="9"/>
    <n v="1"/>
    <x v="20"/>
    <s v="[VDS] - Paylater"/>
    <x v="1"/>
    <n v="355551409"/>
  </r>
  <r>
    <x v="59"/>
    <x v="0"/>
    <x v="2"/>
    <n v="9"/>
    <n v="1"/>
    <x v="21"/>
    <s v="[VDS] - Payroll Cashloan"/>
    <x v="0"/>
    <n v="21000000"/>
  </r>
  <r>
    <x v="59"/>
    <x v="0"/>
    <x v="2"/>
    <n v="9"/>
    <n v="1"/>
    <x v="22"/>
    <s v="[VDS] - Payroll Payday"/>
    <x v="3"/>
    <n v="62000000"/>
  </r>
  <r>
    <x v="59"/>
    <x v="0"/>
    <x v="2"/>
    <n v="9"/>
    <n v="1"/>
    <x v="23"/>
    <s v="[VNPAY] - Cashloan"/>
    <x v="0"/>
    <n v="812230000"/>
  </r>
  <r>
    <x v="59"/>
    <x v="0"/>
    <x v="2"/>
    <n v="9"/>
    <n v="1"/>
    <x v="24"/>
    <s v="[VNPAY] - Payday"/>
    <x v="3"/>
    <n v="272592000"/>
  </r>
  <r>
    <x v="59"/>
    <x v="0"/>
    <x v="2"/>
    <n v="9"/>
    <n v="1"/>
    <x v="25"/>
    <s v="[VNPAY] - Paylater"/>
    <x v="1"/>
    <n v="599289418"/>
  </r>
  <r>
    <x v="59"/>
    <x v="0"/>
    <x v="2"/>
    <n v="9"/>
    <n v="1"/>
    <x v="26"/>
    <s v="[ZLP] - Cashloan"/>
    <x v="0"/>
    <n v="2724510000"/>
  </r>
  <r>
    <x v="59"/>
    <x v="0"/>
    <x v="2"/>
    <n v="9"/>
    <n v="1"/>
    <x v="27"/>
    <s v="[ZLP] - Payday"/>
    <x v="3"/>
    <n v="298080000"/>
  </r>
  <r>
    <x v="60"/>
    <x v="0"/>
    <x v="2"/>
    <n v="10"/>
    <n v="2"/>
    <x v="0"/>
    <s v="[BE] - Cashloan"/>
    <x v="0"/>
    <n v="503600000"/>
  </r>
  <r>
    <x v="60"/>
    <x v="0"/>
    <x v="2"/>
    <n v="10"/>
    <n v="2"/>
    <x v="1"/>
    <s v="[BE] - Paylater"/>
    <x v="1"/>
    <n v="346848287"/>
  </r>
  <r>
    <x v="60"/>
    <x v="0"/>
    <x v="2"/>
    <n v="10"/>
    <n v="2"/>
    <x v="2"/>
    <s v="[Cake] - Cashloan"/>
    <x v="0"/>
    <n v="11842400000"/>
  </r>
  <r>
    <x v="60"/>
    <x v="0"/>
    <x v="2"/>
    <n v="10"/>
    <n v="2"/>
    <x v="3"/>
    <s v="[Cake] - Overdraft"/>
    <x v="2"/>
    <n v="3209812806"/>
  </r>
  <r>
    <x v="60"/>
    <x v="0"/>
    <x v="2"/>
    <n v="10"/>
    <n v="2"/>
    <x v="4"/>
    <s v="[Cake] - Payday"/>
    <x v="3"/>
    <n v="15727068000"/>
  </r>
  <r>
    <x v="60"/>
    <x v="0"/>
    <x v="2"/>
    <n v="10"/>
    <n v="2"/>
    <x v="5"/>
    <s v="[FPT] - Paylater"/>
    <x v="1"/>
    <n v="42606676"/>
  </r>
  <r>
    <x v="60"/>
    <x v="0"/>
    <x v="2"/>
    <n v="10"/>
    <n v="2"/>
    <x v="6"/>
    <s v="[MISA] - Cashloan"/>
    <x v="0"/>
    <n v="137000000"/>
  </r>
  <r>
    <x v="60"/>
    <x v="0"/>
    <x v="2"/>
    <n v="10"/>
    <n v="2"/>
    <x v="7"/>
    <s v="[MWG] - Cashloan"/>
    <x v="0"/>
    <n v="2425040000"/>
  </r>
  <r>
    <x v="60"/>
    <x v="0"/>
    <x v="2"/>
    <n v="10"/>
    <n v="2"/>
    <x v="8"/>
    <s v="[MWG] - Cashloan"/>
    <x v="0"/>
    <n v="1602830000"/>
  </r>
  <r>
    <x v="60"/>
    <x v="0"/>
    <x v="2"/>
    <n v="10"/>
    <n v="2"/>
    <x v="9"/>
    <s v="[MWG] - Paylater"/>
    <x v="1"/>
    <n v="17596216"/>
  </r>
  <r>
    <x v="60"/>
    <x v="0"/>
    <x v="2"/>
    <n v="10"/>
    <n v="2"/>
    <x v="10"/>
    <s v="[MWG] - Paylater"/>
    <x v="1"/>
    <n v="1378449521"/>
  </r>
  <r>
    <x v="60"/>
    <x v="0"/>
    <x v="2"/>
    <n v="10"/>
    <n v="2"/>
    <x v="11"/>
    <s v="[NGS] - Cashloan"/>
    <x v="0"/>
    <n v="0"/>
  </r>
  <r>
    <x v="60"/>
    <x v="0"/>
    <x v="2"/>
    <n v="10"/>
    <n v="2"/>
    <x v="12"/>
    <s v="[VNPOST] - Cashloan"/>
    <x v="0"/>
    <n v="141000000"/>
  </r>
  <r>
    <x v="60"/>
    <x v="0"/>
    <x v="2"/>
    <n v="10"/>
    <n v="2"/>
    <x v="13"/>
    <s v="[VNPOST] - Cashloan"/>
    <x v="0"/>
    <n v="0"/>
  </r>
  <r>
    <x v="60"/>
    <x v="0"/>
    <x v="2"/>
    <n v="10"/>
    <n v="2"/>
    <x v="14"/>
    <s v="[VDS] - Cashloan"/>
    <x v="0"/>
    <n v="14738820000"/>
  </r>
  <r>
    <x v="60"/>
    <x v="0"/>
    <x v="2"/>
    <n v="10"/>
    <n v="2"/>
    <x v="15"/>
    <s v="[VDS] - Cashloan LP"/>
    <x v="0"/>
    <n v="0"/>
  </r>
  <r>
    <x v="60"/>
    <x v="0"/>
    <x v="2"/>
    <n v="10"/>
    <n v="2"/>
    <x v="16"/>
    <s v="[VDS] - Cashloan LP"/>
    <x v="0"/>
    <n v="0"/>
  </r>
  <r>
    <x v="60"/>
    <x v="0"/>
    <x v="2"/>
    <n v="10"/>
    <n v="2"/>
    <x v="17"/>
    <s v="[VDS] - Cashloan LP"/>
    <x v="0"/>
    <n v="0"/>
  </r>
  <r>
    <x v="60"/>
    <x v="0"/>
    <x v="2"/>
    <n v="10"/>
    <n v="2"/>
    <x v="18"/>
    <s v="[VDS] - Cashloan"/>
    <x v="0"/>
    <n v="0"/>
  </r>
  <r>
    <x v="60"/>
    <x v="0"/>
    <x v="2"/>
    <n v="10"/>
    <n v="2"/>
    <x v="19"/>
    <s v="[VDS] - Payday"/>
    <x v="3"/>
    <n v="12564828000"/>
  </r>
  <r>
    <x v="60"/>
    <x v="0"/>
    <x v="2"/>
    <n v="10"/>
    <n v="2"/>
    <x v="20"/>
    <s v="[VDS] - Paylater"/>
    <x v="1"/>
    <n v="400719017"/>
  </r>
  <r>
    <x v="60"/>
    <x v="0"/>
    <x v="2"/>
    <n v="10"/>
    <n v="2"/>
    <x v="21"/>
    <s v="[VDS] - Payroll Cashloan"/>
    <x v="0"/>
    <n v="21000000"/>
  </r>
  <r>
    <x v="60"/>
    <x v="0"/>
    <x v="2"/>
    <n v="10"/>
    <n v="2"/>
    <x v="22"/>
    <s v="[VDS] - Payroll Payday"/>
    <x v="3"/>
    <n v="86000000"/>
  </r>
  <r>
    <x v="60"/>
    <x v="0"/>
    <x v="2"/>
    <n v="10"/>
    <n v="2"/>
    <x v="23"/>
    <s v="[VNPAY] - Cashloan"/>
    <x v="0"/>
    <n v="674200000"/>
  </r>
  <r>
    <x v="60"/>
    <x v="0"/>
    <x v="2"/>
    <n v="10"/>
    <n v="2"/>
    <x v="24"/>
    <s v="[VNPAY] - Payday"/>
    <x v="3"/>
    <n v="258120000"/>
  </r>
  <r>
    <x v="60"/>
    <x v="0"/>
    <x v="2"/>
    <n v="10"/>
    <n v="2"/>
    <x v="25"/>
    <s v="[VNPAY] - Paylater"/>
    <x v="1"/>
    <n v="879010061"/>
  </r>
  <r>
    <x v="60"/>
    <x v="0"/>
    <x v="2"/>
    <n v="10"/>
    <n v="2"/>
    <x v="26"/>
    <s v="[ZLP] - Cashloan"/>
    <x v="0"/>
    <n v="2953550000"/>
  </r>
  <r>
    <x v="60"/>
    <x v="0"/>
    <x v="2"/>
    <n v="10"/>
    <n v="2"/>
    <x v="27"/>
    <s v="[ZLP] - Payday"/>
    <x v="3"/>
    <n v="275400000"/>
  </r>
  <r>
    <x v="61"/>
    <x v="0"/>
    <x v="2"/>
    <n v="10"/>
    <n v="3"/>
    <x v="0"/>
    <s v="[BE] - Cashloan"/>
    <x v="0"/>
    <n v="611750000"/>
  </r>
  <r>
    <x v="61"/>
    <x v="0"/>
    <x v="2"/>
    <n v="10"/>
    <n v="3"/>
    <x v="1"/>
    <s v="[BE] - Paylater"/>
    <x v="1"/>
    <n v="372685557"/>
  </r>
  <r>
    <x v="61"/>
    <x v="0"/>
    <x v="2"/>
    <n v="10"/>
    <n v="3"/>
    <x v="2"/>
    <s v="[Cake] - Cashloan"/>
    <x v="0"/>
    <n v="11512230000"/>
  </r>
  <r>
    <x v="61"/>
    <x v="0"/>
    <x v="2"/>
    <n v="10"/>
    <n v="3"/>
    <x v="3"/>
    <s v="[Cake] - Overdraft"/>
    <x v="2"/>
    <n v="2529067397"/>
  </r>
  <r>
    <x v="61"/>
    <x v="0"/>
    <x v="2"/>
    <n v="10"/>
    <n v="3"/>
    <x v="4"/>
    <s v="[Cake] - Payday"/>
    <x v="3"/>
    <n v="14775372000"/>
  </r>
  <r>
    <x v="61"/>
    <x v="0"/>
    <x v="2"/>
    <n v="10"/>
    <n v="3"/>
    <x v="5"/>
    <s v="[FPT] - Paylater"/>
    <x v="1"/>
    <n v="37758534"/>
  </r>
  <r>
    <x v="61"/>
    <x v="0"/>
    <x v="2"/>
    <n v="10"/>
    <n v="3"/>
    <x v="6"/>
    <s v="[MISA] - Cashloan"/>
    <x v="0"/>
    <n v="0"/>
  </r>
  <r>
    <x v="61"/>
    <x v="0"/>
    <x v="2"/>
    <n v="10"/>
    <n v="3"/>
    <x v="7"/>
    <s v="[MWG] - Cashloan"/>
    <x v="0"/>
    <n v="2675990000"/>
  </r>
  <r>
    <x v="61"/>
    <x v="0"/>
    <x v="2"/>
    <n v="10"/>
    <n v="3"/>
    <x v="8"/>
    <s v="[MWG] - Cashloan"/>
    <x v="0"/>
    <n v="894900000"/>
  </r>
  <r>
    <x v="61"/>
    <x v="0"/>
    <x v="2"/>
    <n v="10"/>
    <n v="3"/>
    <x v="9"/>
    <s v="[MWG] - Paylater"/>
    <x v="1"/>
    <n v="45301170"/>
  </r>
  <r>
    <x v="61"/>
    <x v="0"/>
    <x v="2"/>
    <n v="10"/>
    <n v="3"/>
    <x v="10"/>
    <s v="[MWG] - Paylater"/>
    <x v="1"/>
    <n v="1690329959"/>
  </r>
  <r>
    <x v="61"/>
    <x v="0"/>
    <x v="2"/>
    <n v="10"/>
    <n v="3"/>
    <x v="11"/>
    <s v="[NGS] - Cashloan"/>
    <x v="0"/>
    <n v="0"/>
  </r>
  <r>
    <x v="61"/>
    <x v="0"/>
    <x v="2"/>
    <n v="10"/>
    <n v="3"/>
    <x v="12"/>
    <s v="[VNPOST] - Cashloan"/>
    <x v="0"/>
    <n v="57750000"/>
  </r>
  <r>
    <x v="61"/>
    <x v="0"/>
    <x v="2"/>
    <n v="10"/>
    <n v="3"/>
    <x v="13"/>
    <s v="[VNPOST] - Cashloan"/>
    <x v="0"/>
    <n v="180000000"/>
  </r>
  <r>
    <x v="61"/>
    <x v="0"/>
    <x v="2"/>
    <n v="10"/>
    <n v="3"/>
    <x v="14"/>
    <s v="[VDS] - Cashloan"/>
    <x v="0"/>
    <n v="15084270000"/>
  </r>
  <r>
    <x v="61"/>
    <x v="0"/>
    <x v="2"/>
    <n v="10"/>
    <n v="3"/>
    <x v="15"/>
    <s v="[VDS] - Cashloan LP"/>
    <x v="0"/>
    <n v="0"/>
  </r>
  <r>
    <x v="61"/>
    <x v="0"/>
    <x v="2"/>
    <n v="10"/>
    <n v="3"/>
    <x v="16"/>
    <s v="[VDS] - Cashloan LP"/>
    <x v="0"/>
    <n v="0"/>
  </r>
  <r>
    <x v="61"/>
    <x v="0"/>
    <x v="2"/>
    <n v="10"/>
    <n v="3"/>
    <x v="17"/>
    <s v="[VDS] - Cashloan LP"/>
    <x v="0"/>
    <n v="0"/>
  </r>
  <r>
    <x v="61"/>
    <x v="0"/>
    <x v="2"/>
    <n v="10"/>
    <n v="3"/>
    <x v="18"/>
    <s v="[VDS] - Cashloan"/>
    <x v="0"/>
    <n v="0"/>
  </r>
  <r>
    <x v="61"/>
    <x v="0"/>
    <x v="2"/>
    <n v="10"/>
    <n v="3"/>
    <x v="19"/>
    <s v="[VDS] - Payday"/>
    <x v="3"/>
    <n v="11459340000"/>
  </r>
  <r>
    <x v="61"/>
    <x v="0"/>
    <x v="2"/>
    <n v="10"/>
    <n v="3"/>
    <x v="20"/>
    <s v="[VDS] - Paylater"/>
    <x v="1"/>
    <n v="422286618"/>
  </r>
  <r>
    <x v="61"/>
    <x v="0"/>
    <x v="2"/>
    <n v="10"/>
    <n v="3"/>
    <x v="21"/>
    <s v="[VDS] - Payroll Cashloan"/>
    <x v="0"/>
    <n v="42000000"/>
  </r>
  <r>
    <x v="61"/>
    <x v="0"/>
    <x v="2"/>
    <n v="10"/>
    <n v="3"/>
    <x v="22"/>
    <s v="[VDS] - Payroll Payday"/>
    <x v="3"/>
    <n v="44000000"/>
  </r>
  <r>
    <x v="61"/>
    <x v="0"/>
    <x v="2"/>
    <n v="10"/>
    <n v="3"/>
    <x v="23"/>
    <s v="[VNPAY] - Cashloan"/>
    <x v="0"/>
    <n v="680480000"/>
  </r>
  <r>
    <x v="61"/>
    <x v="0"/>
    <x v="2"/>
    <n v="10"/>
    <n v="3"/>
    <x v="24"/>
    <s v="[VNPAY] - Payday"/>
    <x v="3"/>
    <n v="370872000"/>
  </r>
  <r>
    <x v="61"/>
    <x v="0"/>
    <x v="2"/>
    <n v="10"/>
    <n v="3"/>
    <x v="25"/>
    <s v="[VNPAY] - Paylater"/>
    <x v="1"/>
    <n v="938862337"/>
  </r>
  <r>
    <x v="61"/>
    <x v="0"/>
    <x v="2"/>
    <n v="10"/>
    <n v="3"/>
    <x v="26"/>
    <s v="[ZLP] - Cashloan"/>
    <x v="0"/>
    <n v="3363900000"/>
  </r>
  <r>
    <x v="61"/>
    <x v="0"/>
    <x v="2"/>
    <n v="10"/>
    <n v="3"/>
    <x v="27"/>
    <s v="[ZLP] - Payday"/>
    <x v="3"/>
    <n v="241920000"/>
  </r>
  <r>
    <x v="62"/>
    <x v="0"/>
    <x v="2"/>
    <n v="10"/>
    <n v="4"/>
    <x v="0"/>
    <s v="[BE] - Cashloan"/>
    <x v="0"/>
    <n v="931600000"/>
  </r>
  <r>
    <x v="62"/>
    <x v="0"/>
    <x v="2"/>
    <n v="10"/>
    <n v="4"/>
    <x v="1"/>
    <s v="[BE] - Paylater"/>
    <x v="1"/>
    <n v="382729387"/>
  </r>
  <r>
    <x v="62"/>
    <x v="0"/>
    <x v="2"/>
    <n v="10"/>
    <n v="4"/>
    <x v="2"/>
    <s v="[Cake] - Cashloan"/>
    <x v="0"/>
    <n v="10237060000"/>
  </r>
  <r>
    <x v="62"/>
    <x v="0"/>
    <x v="2"/>
    <n v="10"/>
    <n v="4"/>
    <x v="3"/>
    <s v="[Cake] - Overdraft"/>
    <x v="2"/>
    <n v="2109105849"/>
  </r>
  <r>
    <x v="62"/>
    <x v="0"/>
    <x v="2"/>
    <n v="10"/>
    <n v="4"/>
    <x v="4"/>
    <s v="[Cake] - Payday"/>
    <x v="3"/>
    <n v="14409900000"/>
  </r>
  <r>
    <x v="62"/>
    <x v="0"/>
    <x v="2"/>
    <n v="10"/>
    <n v="4"/>
    <x v="5"/>
    <s v="[FPT] - Paylater"/>
    <x v="1"/>
    <n v="29007207"/>
  </r>
  <r>
    <x v="62"/>
    <x v="0"/>
    <x v="2"/>
    <n v="10"/>
    <n v="4"/>
    <x v="6"/>
    <s v="[MISA] - Cashloan"/>
    <x v="0"/>
    <n v="0"/>
  </r>
  <r>
    <x v="62"/>
    <x v="0"/>
    <x v="2"/>
    <n v="10"/>
    <n v="4"/>
    <x v="7"/>
    <s v="[MWG] - Cashloan"/>
    <x v="0"/>
    <n v="2544310000"/>
  </r>
  <r>
    <x v="62"/>
    <x v="0"/>
    <x v="2"/>
    <n v="10"/>
    <n v="4"/>
    <x v="8"/>
    <s v="[MWG] - Cashloan"/>
    <x v="0"/>
    <n v="530770000"/>
  </r>
  <r>
    <x v="62"/>
    <x v="0"/>
    <x v="2"/>
    <n v="10"/>
    <n v="4"/>
    <x v="9"/>
    <s v="[MWG] - Paylater"/>
    <x v="1"/>
    <n v="19140845"/>
  </r>
  <r>
    <x v="62"/>
    <x v="0"/>
    <x v="2"/>
    <n v="10"/>
    <n v="4"/>
    <x v="10"/>
    <s v="[MWG] - Paylater"/>
    <x v="1"/>
    <n v="1851851331"/>
  </r>
  <r>
    <x v="62"/>
    <x v="0"/>
    <x v="2"/>
    <n v="10"/>
    <n v="4"/>
    <x v="11"/>
    <s v="[NGS] - Cashloan"/>
    <x v="0"/>
    <n v="0"/>
  </r>
  <r>
    <x v="62"/>
    <x v="0"/>
    <x v="2"/>
    <n v="10"/>
    <n v="4"/>
    <x v="12"/>
    <s v="[VNPOST] - Cashloan"/>
    <x v="0"/>
    <n v="50500000"/>
  </r>
  <r>
    <x v="62"/>
    <x v="0"/>
    <x v="2"/>
    <n v="10"/>
    <n v="4"/>
    <x v="13"/>
    <s v="[VNPOST] - Cashloan"/>
    <x v="0"/>
    <n v="0"/>
  </r>
  <r>
    <x v="62"/>
    <x v="0"/>
    <x v="2"/>
    <n v="10"/>
    <n v="4"/>
    <x v="14"/>
    <s v="[VDS] - Cashloan"/>
    <x v="0"/>
    <n v="13872060000"/>
  </r>
  <r>
    <x v="62"/>
    <x v="0"/>
    <x v="2"/>
    <n v="10"/>
    <n v="4"/>
    <x v="15"/>
    <s v="[VDS] - Cashloan LP"/>
    <x v="0"/>
    <n v="0"/>
  </r>
  <r>
    <x v="62"/>
    <x v="0"/>
    <x v="2"/>
    <n v="10"/>
    <n v="4"/>
    <x v="16"/>
    <s v="[VDS] - Cashloan LP"/>
    <x v="0"/>
    <n v="0"/>
  </r>
  <r>
    <x v="62"/>
    <x v="0"/>
    <x v="2"/>
    <n v="10"/>
    <n v="4"/>
    <x v="17"/>
    <s v="[VDS] - Cashloan LP"/>
    <x v="0"/>
    <n v="0"/>
  </r>
  <r>
    <x v="62"/>
    <x v="0"/>
    <x v="2"/>
    <n v="10"/>
    <n v="4"/>
    <x v="18"/>
    <s v="[VDS] - Cashloan"/>
    <x v="0"/>
    <n v="0"/>
  </r>
  <r>
    <x v="62"/>
    <x v="0"/>
    <x v="2"/>
    <n v="10"/>
    <n v="4"/>
    <x v="19"/>
    <s v="[VDS] - Payday"/>
    <x v="3"/>
    <n v="11243124000"/>
  </r>
  <r>
    <x v="62"/>
    <x v="0"/>
    <x v="2"/>
    <n v="10"/>
    <n v="4"/>
    <x v="20"/>
    <s v="[VDS] - Paylater"/>
    <x v="1"/>
    <n v="415009282"/>
  </r>
  <r>
    <x v="62"/>
    <x v="0"/>
    <x v="2"/>
    <n v="10"/>
    <n v="4"/>
    <x v="21"/>
    <s v="[VDS] - Payroll Cashloan"/>
    <x v="0"/>
    <n v="21000000"/>
  </r>
  <r>
    <x v="62"/>
    <x v="0"/>
    <x v="2"/>
    <n v="10"/>
    <n v="4"/>
    <x v="22"/>
    <s v="[VDS] - Payroll Payday"/>
    <x v="3"/>
    <n v="79000000"/>
  </r>
  <r>
    <x v="62"/>
    <x v="0"/>
    <x v="2"/>
    <n v="10"/>
    <n v="4"/>
    <x v="23"/>
    <s v="[VNPAY] - Cashloan"/>
    <x v="0"/>
    <n v="823050000"/>
  </r>
  <r>
    <x v="62"/>
    <x v="0"/>
    <x v="2"/>
    <n v="10"/>
    <n v="4"/>
    <x v="24"/>
    <s v="[VNPAY] - Payday"/>
    <x v="3"/>
    <n v="338364000"/>
  </r>
  <r>
    <x v="62"/>
    <x v="0"/>
    <x v="2"/>
    <n v="10"/>
    <n v="4"/>
    <x v="25"/>
    <s v="[VNPAY] - Paylater"/>
    <x v="1"/>
    <n v="1036822973"/>
  </r>
  <r>
    <x v="62"/>
    <x v="0"/>
    <x v="2"/>
    <n v="10"/>
    <n v="4"/>
    <x v="26"/>
    <s v="[ZLP] - Cashloan"/>
    <x v="0"/>
    <n v="3466000000"/>
  </r>
  <r>
    <x v="62"/>
    <x v="0"/>
    <x v="2"/>
    <n v="10"/>
    <n v="4"/>
    <x v="27"/>
    <s v="[ZLP] - Payday"/>
    <x v="3"/>
    <n v="246240000"/>
  </r>
  <r>
    <x v="63"/>
    <x v="0"/>
    <x v="2"/>
    <n v="10"/>
    <n v="5"/>
    <x v="0"/>
    <s v="[BE] - Cashloan"/>
    <x v="0"/>
    <n v="920400000"/>
  </r>
  <r>
    <x v="63"/>
    <x v="0"/>
    <x v="2"/>
    <n v="10"/>
    <n v="5"/>
    <x v="1"/>
    <s v="[BE] - Paylater"/>
    <x v="1"/>
    <n v="381541237"/>
  </r>
  <r>
    <x v="63"/>
    <x v="0"/>
    <x v="2"/>
    <n v="10"/>
    <n v="5"/>
    <x v="2"/>
    <s v="[Cake] - Cashloan"/>
    <x v="0"/>
    <n v="10802360000"/>
  </r>
  <r>
    <x v="63"/>
    <x v="0"/>
    <x v="2"/>
    <n v="10"/>
    <n v="5"/>
    <x v="3"/>
    <s v="[Cake] - Overdraft"/>
    <x v="2"/>
    <n v="2570374691"/>
  </r>
  <r>
    <x v="63"/>
    <x v="0"/>
    <x v="2"/>
    <n v="10"/>
    <n v="5"/>
    <x v="4"/>
    <s v="[Cake] - Payday"/>
    <x v="3"/>
    <n v="16653816000"/>
  </r>
  <r>
    <x v="63"/>
    <x v="0"/>
    <x v="2"/>
    <n v="10"/>
    <n v="5"/>
    <x v="5"/>
    <s v="[FPT] - Paylater"/>
    <x v="1"/>
    <n v="38027617"/>
  </r>
  <r>
    <x v="63"/>
    <x v="0"/>
    <x v="2"/>
    <n v="10"/>
    <n v="5"/>
    <x v="6"/>
    <s v="[MISA] - Cashloan"/>
    <x v="0"/>
    <n v="0"/>
  </r>
  <r>
    <x v="63"/>
    <x v="0"/>
    <x v="2"/>
    <n v="10"/>
    <n v="5"/>
    <x v="7"/>
    <s v="[MWG] - Cashloan"/>
    <x v="0"/>
    <n v="2562210000"/>
  </r>
  <r>
    <x v="63"/>
    <x v="0"/>
    <x v="2"/>
    <n v="10"/>
    <n v="5"/>
    <x v="8"/>
    <s v="[MWG] - Cashloan"/>
    <x v="0"/>
    <n v="864230000"/>
  </r>
  <r>
    <x v="63"/>
    <x v="0"/>
    <x v="2"/>
    <n v="10"/>
    <n v="5"/>
    <x v="9"/>
    <s v="[MWG] - Paylater"/>
    <x v="1"/>
    <n v="27119171"/>
  </r>
  <r>
    <x v="63"/>
    <x v="0"/>
    <x v="2"/>
    <n v="10"/>
    <n v="5"/>
    <x v="10"/>
    <s v="[MWG] - Paylater"/>
    <x v="1"/>
    <n v="1740984689"/>
  </r>
  <r>
    <x v="63"/>
    <x v="0"/>
    <x v="2"/>
    <n v="10"/>
    <n v="5"/>
    <x v="11"/>
    <s v="[NGS] - Cashloan"/>
    <x v="0"/>
    <n v="0"/>
  </r>
  <r>
    <x v="63"/>
    <x v="0"/>
    <x v="2"/>
    <n v="10"/>
    <n v="5"/>
    <x v="12"/>
    <s v="[VNPOST] - Cashloan"/>
    <x v="0"/>
    <n v="10500000"/>
  </r>
  <r>
    <x v="63"/>
    <x v="0"/>
    <x v="2"/>
    <n v="10"/>
    <n v="5"/>
    <x v="13"/>
    <s v="[VNPOST] - Cashloan"/>
    <x v="0"/>
    <n v="0"/>
  </r>
  <r>
    <x v="63"/>
    <x v="0"/>
    <x v="2"/>
    <n v="10"/>
    <n v="5"/>
    <x v="14"/>
    <s v="[VDS] - Cashloan"/>
    <x v="0"/>
    <n v="15499430000"/>
  </r>
  <r>
    <x v="63"/>
    <x v="0"/>
    <x v="2"/>
    <n v="10"/>
    <n v="5"/>
    <x v="15"/>
    <s v="[VDS] - Cashloan LP"/>
    <x v="0"/>
    <n v="0"/>
  </r>
  <r>
    <x v="63"/>
    <x v="0"/>
    <x v="2"/>
    <n v="10"/>
    <n v="5"/>
    <x v="16"/>
    <s v="[VDS] - Cashloan LP"/>
    <x v="0"/>
    <n v="0"/>
  </r>
  <r>
    <x v="63"/>
    <x v="0"/>
    <x v="2"/>
    <n v="10"/>
    <n v="5"/>
    <x v="17"/>
    <s v="[VDS] - Cashloan LP"/>
    <x v="0"/>
    <n v="0"/>
  </r>
  <r>
    <x v="63"/>
    <x v="0"/>
    <x v="2"/>
    <n v="10"/>
    <n v="5"/>
    <x v="18"/>
    <s v="[VDS] - Cashloan"/>
    <x v="0"/>
    <n v="0"/>
  </r>
  <r>
    <x v="63"/>
    <x v="0"/>
    <x v="2"/>
    <n v="10"/>
    <n v="5"/>
    <x v="19"/>
    <s v="[VDS] - Payday"/>
    <x v="3"/>
    <n v="12778560000"/>
  </r>
  <r>
    <x v="63"/>
    <x v="0"/>
    <x v="2"/>
    <n v="10"/>
    <n v="5"/>
    <x v="20"/>
    <s v="[VDS] - Paylater"/>
    <x v="1"/>
    <n v="433122512"/>
  </r>
  <r>
    <x v="63"/>
    <x v="0"/>
    <x v="2"/>
    <n v="10"/>
    <n v="5"/>
    <x v="21"/>
    <s v="[VDS] - Payroll Cashloan"/>
    <x v="0"/>
    <n v="68250000"/>
  </r>
  <r>
    <x v="63"/>
    <x v="0"/>
    <x v="2"/>
    <n v="10"/>
    <n v="5"/>
    <x v="22"/>
    <s v="[VDS] - Payroll Payday"/>
    <x v="3"/>
    <n v="74000000"/>
  </r>
  <r>
    <x v="63"/>
    <x v="0"/>
    <x v="2"/>
    <n v="10"/>
    <n v="5"/>
    <x v="23"/>
    <s v="[VNPAY] - Cashloan"/>
    <x v="0"/>
    <n v="883360000"/>
  </r>
  <r>
    <x v="63"/>
    <x v="0"/>
    <x v="2"/>
    <n v="10"/>
    <n v="5"/>
    <x v="24"/>
    <s v="[VNPAY] - Payday"/>
    <x v="3"/>
    <n v="348408000"/>
  </r>
  <r>
    <x v="63"/>
    <x v="0"/>
    <x v="2"/>
    <n v="10"/>
    <n v="5"/>
    <x v="25"/>
    <s v="[VNPAY] - Paylater"/>
    <x v="1"/>
    <n v="993225841"/>
  </r>
  <r>
    <x v="63"/>
    <x v="0"/>
    <x v="2"/>
    <n v="10"/>
    <n v="5"/>
    <x v="26"/>
    <s v="[ZLP] - Cashloan"/>
    <x v="0"/>
    <n v="2743100000"/>
  </r>
  <r>
    <x v="63"/>
    <x v="0"/>
    <x v="2"/>
    <n v="10"/>
    <n v="5"/>
    <x v="27"/>
    <s v="[ZLP] - Payday"/>
    <x v="3"/>
    <n v="261360000"/>
  </r>
  <r>
    <x v="64"/>
    <x v="0"/>
    <x v="2"/>
    <n v="10"/>
    <n v="6"/>
    <x v="0"/>
    <s v="[BE] - Cashloan"/>
    <x v="0"/>
    <n v="1000050000"/>
  </r>
  <r>
    <x v="64"/>
    <x v="0"/>
    <x v="2"/>
    <n v="10"/>
    <n v="6"/>
    <x v="1"/>
    <s v="[BE] - Paylater"/>
    <x v="1"/>
    <n v="484191458"/>
  </r>
  <r>
    <x v="64"/>
    <x v="0"/>
    <x v="2"/>
    <n v="10"/>
    <n v="6"/>
    <x v="2"/>
    <s v="[Cake] - Cashloan"/>
    <x v="0"/>
    <n v="11391310000"/>
  </r>
  <r>
    <x v="64"/>
    <x v="0"/>
    <x v="2"/>
    <n v="10"/>
    <n v="6"/>
    <x v="3"/>
    <s v="[Cake] - Overdraft"/>
    <x v="2"/>
    <n v="1857916210"/>
  </r>
  <r>
    <x v="64"/>
    <x v="0"/>
    <x v="2"/>
    <n v="10"/>
    <n v="6"/>
    <x v="4"/>
    <s v="[Cake] - Payday"/>
    <x v="3"/>
    <n v="14831856000"/>
  </r>
  <r>
    <x v="64"/>
    <x v="0"/>
    <x v="2"/>
    <n v="10"/>
    <n v="6"/>
    <x v="5"/>
    <s v="[FPT] - Paylater"/>
    <x v="1"/>
    <n v="29411088"/>
  </r>
  <r>
    <x v="64"/>
    <x v="0"/>
    <x v="2"/>
    <n v="10"/>
    <n v="6"/>
    <x v="6"/>
    <s v="[MISA] - Cashloan"/>
    <x v="0"/>
    <n v="0"/>
  </r>
  <r>
    <x v="64"/>
    <x v="0"/>
    <x v="2"/>
    <n v="10"/>
    <n v="6"/>
    <x v="7"/>
    <s v="[MWG] - Cashloan"/>
    <x v="0"/>
    <n v="2278440000"/>
  </r>
  <r>
    <x v="64"/>
    <x v="0"/>
    <x v="2"/>
    <n v="10"/>
    <n v="6"/>
    <x v="8"/>
    <s v="[MWG] - Cashloan"/>
    <x v="0"/>
    <n v="1169890000"/>
  </r>
  <r>
    <x v="64"/>
    <x v="0"/>
    <x v="2"/>
    <n v="10"/>
    <n v="6"/>
    <x v="9"/>
    <s v="[MWG] - Paylater"/>
    <x v="1"/>
    <n v="33571315"/>
  </r>
  <r>
    <x v="64"/>
    <x v="0"/>
    <x v="2"/>
    <n v="10"/>
    <n v="6"/>
    <x v="10"/>
    <s v="[MWG] - Paylater"/>
    <x v="1"/>
    <n v="1561772550"/>
  </r>
  <r>
    <x v="64"/>
    <x v="0"/>
    <x v="2"/>
    <n v="10"/>
    <n v="6"/>
    <x v="11"/>
    <s v="[NGS] - Cashloan"/>
    <x v="0"/>
    <n v="0"/>
  </r>
  <r>
    <x v="64"/>
    <x v="0"/>
    <x v="2"/>
    <n v="10"/>
    <n v="6"/>
    <x v="12"/>
    <s v="[VNPOST] - Cashloan"/>
    <x v="0"/>
    <n v="81900000"/>
  </r>
  <r>
    <x v="64"/>
    <x v="0"/>
    <x v="2"/>
    <n v="10"/>
    <n v="6"/>
    <x v="13"/>
    <s v="[VNPOST] - Cashloan"/>
    <x v="0"/>
    <n v="101000000"/>
  </r>
  <r>
    <x v="64"/>
    <x v="0"/>
    <x v="2"/>
    <n v="10"/>
    <n v="6"/>
    <x v="14"/>
    <s v="[VDS] - Cashloan"/>
    <x v="0"/>
    <n v="15035160000"/>
  </r>
  <r>
    <x v="64"/>
    <x v="0"/>
    <x v="2"/>
    <n v="10"/>
    <n v="6"/>
    <x v="15"/>
    <s v="[VDS] - Cashloan LP"/>
    <x v="0"/>
    <n v="0"/>
  </r>
  <r>
    <x v="64"/>
    <x v="0"/>
    <x v="2"/>
    <n v="10"/>
    <n v="6"/>
    <x v="16"/>
    <s v="[VDS] - Cashloan LP"/>
    <x v="0"/>
    <n v="0"/>
  </r>
  <r>
    <x v="64"/>
    <x v="0"/>
    <x v="2"/>
    <n v="10"/>
    <n v="6"/>
    <x v="17"/>
    <s v="[VDS] - Cashloan LP"/>
    <x v="0"/>
    <n v="0"/>
  </r>
  <r>
    <x v="64"/>
    <x v="0"/>
    <x v="2"/>
    <n v="10"/>
    <n v="6"/>
    <x v="18"/>
    <s v="[VDS] - Cashloan"/>
    <x v="0"/>
    <n v="12000000"/>
  </r>
  <r>
    <x v="64"/>
    <x v="0"/>
    <x v="2"/>
    <n v="10"/>
    <n v="6"/>
    <x v="19"/>
    <s v="[VDS] - Payday"/>
    <x v="3"/>
    <n v="12088980000"/>
  </r>
  <r>
    <x v="64"/>
    <x v="0"/>
    <x v="2"/>
    <n v="10"/>
    <n v="6"/>
    <x v="20"/>
    <s v="[VDS] - Paylater"/>
    <x v="1"/>
    <n v="378004341"/>
  </r>
  <r>
    <x v="64"/>
    <x v="0"/>
    <x v="2"/>
    <n v="10"/>
    <n v="6"/>
    <x v="21"/>
    <s v="[VDS] - Payroll Cashloan"/>
    <x v="0"/>
    <n v="57750000"/>
  </r>
  <r>
    <x v="64"/>
    <x v="0"/>
    <x v="2"/>
    <n v="10"/>
    <n v="6"/>
    <x v="22"/>
    <s v="[VDS] - Payroll Payday"/>
    <x v="3"/>
    <n v="59000000"/>
  </r>
  <r>
    <x v="64"/>
    <x v="0"/>
    <x v="2"/>
    <n v="10"/>
    <n v="6"/>
    <x v="23"/>
    <s v="[VNPAY] - Cashloan"/>
    <x v="0"/>
    <n v="624590000"/>
  </r>
  <r>
    <x v="64"/>
    <x v="0"/>
    <x v="2"/>
    <n v="10"/>
    <n v="6"/>
    <x v="24"/>
    <s v="[VNPAY] - Payday"/>
    <x v="3"/>
    <n v="353268000"/>
  </r>
  <r>
    <x v="64"/>
    <x v="0"/>
    <x v="2"/>
    <n v="10"/>
    <n v="6"/>
    <x v="25"/>
    <s v="[VNPAY] - Paylater"/>
    <x v="1"/>
    <n v="961434278"/>
  </r>
  <r>
    <x v="64"/>
    <x v="0"/>
    <x v="2"/>
    <n v="10"/>
    <n v="6"/>
    <x v="26"/>
    <s v="[ZLP] - Cashloan"/>
    <x v="0"/>
    <n v="2978810000"/>
  </r>
  <r>
    <x v="64"/>
    <x v="0"/>
    <x v="2"/>
    <n v="10"/>
    <n v="6"/>
    <x v="27"/>
    <s v="[ZLP] - Payday"/>
    <x v="3"/>
    <n v="306720000"/>
  </r>
  <r>
    <x v="65"/>
    <x v="0"/>
    <x v="2"/>
    <n v="10"/>
    <n v="7"/>
    <x v="0"/>
    <s v="[BE] - Cashloan"/>
    <x v="0"/>
    <n v="799000000"/>
  </r>
  <r>
    <x v="65"/>
    <x v="0"/>
    <x v="2"/>
    <n v="10"/>
    <n v="7"/>
    <x v="1"/>
    <s v="[BE] - Paylater"/>
    <x v="1"/>
    <n v="553260146"/>
  </r>
  <r>
    <x v="65"/>
    <x v="0"/>
    <x v="2"/>
    <n v="10"/>
    <n v="7"/>
    <x v="2"/>
    <s v="[Cake] - Cashloan"/>
    <x v="0"/>
    <n v="9829120000"/>
  </r>
  <r>
    <x v="65"/>
    <x v="0"/>
    <x v="2"/>
    <n v="10"/>
    <n v="7"/>
    <x v="3"/>
    <s v="[Cake] - Overdraft"/>
    <x v="2"/>
    <n v="1599889408"/>
  </r>
  <r>
    <x v="65"/>
    <x v="0"/>
    <x v="2"/>
    <n v="10"/>
    <n v="7"/>
    <x v="4"/>
    <s v="[Cake] - Payday"/>
    <x v="3"/>
    <n v="13104612000"/>
  </r>
  <r>
    <x v="65"/>
    <x v="0"/>
    <x v="2"/>
    <n v="10"/>
    <n v="7"/>
    <x v="5"/>
    <s v="[FPT] - Paylater"/>
    <x v="1"/>
    <n v="32345164"/>
  </r>
  <r>
    <x v="65"/>
    <x v="0"/>
    <x v="2"/>
    <n v="10"/>
    <n v="7"/>
    <x v="6"/>
    <s v="[MISA] - Cashloan"/>
    <x v="0"/>
    <n v="0"/>
  </r>
  <r>
    <x v="65"/>
    <x v="0"/>
    <x v="2"/>
    <n v="10"/>
    <n v="7"/>
    <x v="7"/>
    <s v="[MWG] - Cashloan"/>
    <x v="0"/>
    <n v="2326180000"/>
  </r>
  <r>
    <x v="65"/>
    <x v="0"/>
    <x v="2"/>
    <n v="10"/>
    <n v="7"/>
    <x v="8"/>
    <s v="[MWG] - Cashloan"/>
    <x v="0"/>
    <n v="810700000"/>
  </r>
  <r>
    <x v="65"/>
    <x v="0"/>
    <x v="2"/>
    <n v="10"/>
    <n v="7"/>
    <x v="9"/>
    <s v="[MWG] - Paylater"/>
    <x v="1"/>
    <n v="43010269"/>
  </r>
  <r>
    <x v="65"/>
    <x v="0"/>
    <x v="2"/>
    <n v="10"/>
    <n v="7"/>
    <x v="10"/>
    <s v="[MWG] - Paylater"/>
    <x v="1"/>
    <n v="2303460345"/>
  </r>
  <r>
    <x v="65"/>
    <x v="0"/>
    <x v="2"/>
    <n v="10"/>
    <n v="7"/>
    <x v="11"/>
    <s v="[NGS] - Cashloan"/>
    <x v="0"/>
    <n v="0"/>
  </r>
  <r>
    <x v="65"/>
    <x v="0"/>
    <x v="2"/>
    <n v="10"/>
    <n v="7"/>
    <x v="12"/>
    <s v="[VNPOST] - Cashloan"/>
    <x v="0"/>
    <n v="47250000"/>
  </r>
  <r>
    <x v="65"/>
    <x v="0"/>
    <x v="2"/>
    <n v="10"/>
    <n v="7"/>
    <x v="13"/>
    <s v="[VNPOST] - Cashloan"/>
    <x v="0"/>
    <n v="0"/>
  </r>
  <r>
    <x v="65"/>
    <x v="0"/>
    <x v="2"/>
    <n v="10"/>
    <n v="7"/>
    <x v="14"/>
    <s v="[VDS] - Cashloan"/>
    <x v="0"/>
    <n v="13506010000"/>
  </r>
  <r>
    <x v="65"/>
    <x v="0"/>
    <x v="2"/>
    <n v="10"/>
    <n v="7"/>
    <x v="15"/>
    <s v="[VDS] - Cashloan LP"/>
    <x v="0"/>
    <n v="0"/>
  </r>
  <r>
    <x v="65"/>
    <x v="0"/>
    <x v="2"/>
    <n v="10"/>
    <n v="7"/>
    <x v="16"/>
    <s v="[VDS] - Cashloan LP"/>
    <x v="0"/>
    <n v="0"/>
  </r>
  <r>
    <x v="65"/>
    <x v="0"/>
    <x v="2"/>
    <n v="10"/>
    <n v="7"/>
    <x v="17"/>
    <s v="[VDS] - Cashloan LP"/>
    <x v="0"/>
    <n v="0"/>
  </r>
  <r>
    <x v="65"/>
    <x v="0"/>
    <x v="2"/>
    <n v="10"/>
    <n v="7"/>
    <x v="18"/>
    <s v="[VDS] - Cashloan"/>
    <x v="0"/>
    <n v="0"/>
  </r>
  <r>
    <x v="65"/>
    <x v="0"/>
    <x v="2"/>
    <n v="10"/>
    <n v="7"/>
    <x v="19"/>
    <s v="[VDS] - Payday"/>
    <x v="3"/>
    <n v="11672532000"/>
  </r>
  <r>
    <x v="65"/>
    <x v="0"/>
    <x v="2"/>
    <n v="10"/>
    <n v="7"/>
    <x v="20"/>
    <s v="[VDS] - Paylater"/>
    <x v="1"/>
    <n v="492328380"/>
  </r>
  <r>
    <x v="65"/>
    <x v="0"/>
    <x v="2"/>
    <n v="10"/>
    <n v="7"/>
    <x v="21"/>
    <s v="[VDS] - Payroll Cashloan"/>
    <x v="0"/>
    <n v="24500000"/>
  </r>
  <r>
    <x v="65"/>
    <x v="0"/>
    <x v="2"/>
    <n v="10"/>
    <n v="7"/>
    <x v="22"/>
    <s v="[VDS] - Payroll Payday"/>
    <x v="3"/>
    <n v="48000000"/>
  </r>
  <r>
    <x v="65"/>
    <x v="0"/>
    <x v="2"/>
    <n v="10"/>
    <n v="7"/>
    <x v="23"/>
    <s v="[VNPAY] - Cashloan"/>
    <x v="0"/>
    <n v="785170000"/>
  </r>
  <r>
    <x v="65"/>
    <x v="0"/>
    <x v="2"/>
    <n v="10"/>
    <n v="7"/>
    <x v="24"/>
    <s v="[VNPAY] - Payday"/>
    <x v="3"/>
    <n v="340956000"/>
  </r>
  <r>
    <x v="65"/>
    <x v="0"/>
    <x v="2"/>
    <n v="10"/>
    <n v="7"/>
    <x v="25"/>
    <s v="[VNPAY] - Paylater"/>
    <x v="1"/>
    <n v="1307798867"/>
  </r>
  <r>
    <x v="65"/>
    <x v="0"/>
    <x v="2"/>
    <n v="10"/>
    <n v="7"/>
    <x v="26"/>
    <s v="[ZLP] - Cashloan"/>
    <x v="0"/>
    <n v="2778100000"/>
  </r>
  <r>
    <x v="65"/>
    <x v="0"/>
    <x v="2"/>
    <n v="10"/>
    <n v="7"/>
    <x v="27"/>
    <s v="[ZLP] - Payday"/>
    <x v="3"/>
    <n v="210600000"/>
  </r>
  <r>
    <x v="66"/>
    <x v="0"/>
    <x v="2"/>
    <n v="10"/>
    <n v="8"/>
    <x v="0"/>
    <s v="[BE] - Cashloan"/>
    <x v="0"/>
    <n v="686850000"/>
  </r>
  <r>
    <x v="66"/>
    <x v="0"/>
    <x v="2"/>
    <n v="10"/>
    <n v="8"/>
    <x v="1"/>
    <s v="[BE] - Paylater"/>
    <x v="1"/>
    <n v="550123381"/>
  </r>
  <r>
    <x v="66"/>
    <x v="0"/>
    <x v="2"/>
    <n v="10"/>
    <n v="8"/>
    <x v="2"/>
    <s v="[Cake] - Cashloan"/>
    <x v="0"/>
    <n v="7785860000"/>
  </r>
  <r>
    <x v="66"/>
    <x v="0"/>
    <x v="2"/>
    <n v="10"/>
    <n v="8"/>
    <x v="3"/>
    <s v="[Cake] - Overdraft"/>
    <x v="2"/>
    <n v="1514346309"/>
  </r>
  <r>
    <x v="66"/>
    <x v="0"/>
    <x v="2"/>
    <n v="10"/>
    <n v="8"/>
    <x v="4"/>
    <s v="[Cake] - Payday"/>
    <x v="3"/>
    <n v="12004956000"/>
  </r>
  <r>
    <x v="66"/>
    <x v="0"/>
    <x v="2"/>
    <n v="10"/>
    <n v="8"/>
    <x v="5"/>
    <s v="[FPT] - Paylater"/>
    <x v="1"/>
    <n v="10952075"/>
  </r>
  <r>
    <x v="66"/>
    <x v="0"/>
    <x v="2"/>
    <n v="10"/>
    <n v="8"/>
    <x v="6"/>
    <s v="[MISA] - Cashloan"/>
    <x v="0"/>
    <n v="90000000"/>
  </r>
  <r>
    <x v="66"/>
    <x v="0"/>
    <x v="2"/>
    <n v="10"/>
    <n v="8"/>
    <x v="7"/>
    <s v="[MWG] - Cashloan"/>
    <x v="0"/>
    <n v="2365410000"/>
  </r>
  <r>
    <x v="66"/>
    <x v="0"/>
    <x v="2"/>
    <n v="10"/>
    <n v="8"/>
    <x v="8"/>
    <s v="[MWG] - Cashloan"/>
    <x v="0"/>
    <n v="893500000"/>
  </r>
  <r>
    <x v="66"/>
    <x v="0"/>
    <x v="2"/>
    <n v="10"/>
    <n v="8"/>
    <x v="9"/>
    <s v="[MWG] - Paylater"/>
    <x v="1"/>
    <n v="15463949"/>
  </r>
  <r>
    <x v="66"/>
    <x v="0"/>
    <x v="2"/>
    <n v="10"/>
    <n v="8"/>
    <x v="10"/>
    <s v="[MWG] - Paylater"/>
    <x v="1"/>
    <n v="1880067689"/>
  </r>
  <r>
    <x v="66"/>
    <x v="0"/>
    <x v="2"/>
    <n v="10"/>
    <n v="8"/>
    <x v="11"/>
    <s v="[NGS] - Cashloan"/>
    <x v="0"/>
    <n v="0"/>
  </r>
  <r>
    <x v="66"/>
    <x v="0"/>
    <x v="2"/>
    <n v="10"/>
    <n v="8"/>
    <x v="12"/>
    <s v="[VNPOST] - Cashloan"/>
    <x v="0"/>
    <n v="0"/>
  </r>
  <r>
    <x v="66"/>
    <x v="0"/>
    <x v="2"/>
    <n v="10"/>
    <n v="8"/>
    <x v="13"/>
    <s v="[VNPOST] - Cashloan"/>
    <x v="0"/>
    <n v="0"/>
  </r>
  <r>
    <x v="66"/>
    <x v="0"/>
    <x v="2"/>
    <n v="10"/>
    <n v="8"/>
    <x v="14"/>
    <s v="[VDS] - Cashloan"/>
    <x v="0"/>
    <n v="13167390000"/>
  </r>
  <r>
    <x v="66"/>
    <x v="0"/>
    <x v="2"/>
    <n v="10"/>
    <n v="8"/>
    <x v="15"/>
    <s v="[VDS] - Cashloan LP"/>
    <x v="0"/>
    <n v="0"/>
  </r>
  <r>
    <x v="66"/>
    <x v="0"/>
    <x v="2"/>
    <n v="10"/>
    <n v="8"/>
    <x v="16"/>
    <s v="[VDS] - Cashloan LP"/>
    <x v="0"/>
    <n v="0"/>
  </r>
  <r>
    <x v="66"/>
    <x v="0"/>
    <x v="2"/>
    <n v="10"/>
    <n v="8"/>
    <x v="17"/>
    <s v="[VDS] - Cashloan LP"/>
    <x v="0"/>
    <n v="0"/>
  </r>
  <r>
    <x v="66"/>
    <x v="0"/>
    <x v="2"/>
    <n v="10"/>
    <n v="8"/>
    <x v="18"/>
    <s v="[VDS] - Cashloan"/>
    <x v="0"/>
    <n v="0"/>
  </r>
  <r>
    <x v="66"/>
    <x v="0"/>
    <x v="2"/>
    <n v="10"/>
    <n v="8"/>
    <x v="19"/>
    <s v="[VDS] - Payday"/>
    <x v="3"/>
    <n v="10349424000"/>
  </r>
  <r>
    <x v="66"/>
    <x v="0"/>
    <x v="2"/>
    <n v="10"/>
    <n v="8"/>
    <x v="20"/>
    <s v="[VDS] - Paylater"/>
    <x v="1"/>
    <n v="322444910"/>
  </r>
  <r>
    <x v="66"/>
    <x v="0"/>
    <x v="2"/>
    <n v="10"/>
    <n v="8"/>
    <x v="21"/>
    <s v="[VDS] - Payroll Cashloan"/>
    <x v="0"/>
    <n v="10000000"/>
  </r>
  <r>
    <x v="66"/>
    <x v="0"/>
    <x v="2"/>
    <n v="10"/>
    <n v="8"/>
    <x v="22"/>
    <s v="[VDS] - Payroll Payday"/>
    <x v="3"/>
    <n v="55000000"/>
  </r>
  <r>
    <x v="66"/>
    <x v="0"/>
    <x v="2"/>
    <n v="10"/>
    <n v="8"/>
    <x v="23"/>
    <s v="[VNPAY] - Cashloan"/>
    <x v="0"/>
    <n v="874430000"/>
  </r>
  <r>
    <x v="66"/>
    <x v="0"/>
    <x v="2"/>
    <n v="10"/>
    <n v="8"/>
    <x v="24"/>
    <s v="[VNPAY] - Payday"/>
    <x v="3"/>
    <n v="328212000"/>
  </r>
  <r>
    <x v="66"/>
    <x v="0"/>
    <x v="2"/>
    <n v="10"/>
    <n v="8"/>
    <x v="25"/>
    <s v="[VNPAY] - Paylater"/>
    <x v="1"/>
    <n v="624902725"/>
  </r>
  <r>
    <x v="66"/>
    <x v="0"/>
    <x v="2"/>
    <n v="10"/>
    <n v="8"/>
    <x v="26"/>
    <s v="[ZLP] - Cashloan"/>
    <x v="0"/>
    <n v="2246390000"/>
  </r>
  <r>
    <x v="66"/>
    <x v="0"/>
    <x v="2"/>
    <n v="10"/>
    <n v="8"/>
    <x v="27"/>
    <s v="[ZLP] - Payday"/>
    <x v="3"/>
    <n v="264600000"/>
  </r>
  <r>
    <x v="67"/>
    <x v="0"/>
    <x v="2"/>
    <n v="11"/>
    <n v="9"/>
    <x v="0"/>
    <s v="[BE] - Cashloan"/>
    <x v="0"/>
    <n v="1005700000"/>
  </r>
  <r>
    <x v="67"/>
    <x v="0"/>
    <x v="2"/>
    <n v="11"/>
    <n v="9"/>
    <x v="1"/>
    <s v="[BE] - Paylater"/>
    <x v="1"/>
    <n v="444974431"/>
  </r>
  <r>
    <x v="67"/>
    <x v="0"/>
    <x v="2"/>
    <n v="11"/>
    <n v="9"/>
    <x v="2"/>
    <s v="[Cake] - Cashloan"/>
    <x v="0"/>
    <n v="11435820000"/>
  </r>
  <r>
    <x v="67"/>
    <x v="0"/>
    <x v="2"/>
    <n v="11"/>
    <n v="9"/>
    <x v="3"/>
    <s v="[Cake] - Overdraft"/>
    <x v="2"/>
    <n v="2060454033"/>
  </r>
  <r>
    <x v="67"/>
    <x v="0"/>
    <x v="2"/>
    <n v="11"/>
    <n v="9"/>
    <x v="4"/>
    <s v="[Cake] - Payday"/>
    <x v="3"/>
    <n v="13272768000"/>
  </r>
  <r>
    <x v="67"/>
    <x v="0"/>
    <x v="2"/>
    <n v="11"/>
    <n v="9"/>
    <x v="5"/>
    <s v="[FPT] - Paylater"/>
    <x v="1"/>
    <n v="19002826"/>
  </r>
  <r>
    <x v="67"/>
    <x v="0"/>
    <x v="2"/>
    <n v="11"/>
    <n v="9"/>
    <x v="6"/>
    <s v="[MISA] - Cashloan"/>
    <x v="0"/>
    <n v="0"/>
  </r>
  <r>
    <x v="67"/>
    <x v="0"/>
    <x v="2"/>
    <n v="11"/>
    <n v="9"/>
    <x v="7"/>
    <s v="[MWG] - Cashloan"/>
    <x v="0"/>
    <n v="2979040000"/>
  </r>
  <r>
    <x v="67"/>
    <x v="0"/>
    <x v="2"/>
    <n v="11"/>
    <n v="9"/>
    <x v="8"/>
    <s v="[MWG] - Cashloan"/>
    <x v="0"/>
    <n v="994660000"/>
  </r>
  <r>
    <x v="67"/>
    <x v="0"/>
    <x v="2"/>
    <n v="11"/>
    <n v="9"/>
    <x v="9"/>
    <s v="[MWG] - Paylater"/>
    <x v="1"/>
    <n v="27289580"/>
  </r>
  <r>
    <x v="67"/>
    <x v="0"/>
    <x v="2"/>
    <n v="11"/>
    <n v="9"/>
    <x v="10"/>
    <s v="[MWG] - Paylater"/>
    <x v="1"/>
    <n v="1144625438"/>
  </r>
  <r>
    <x v="67"/>
    <x v="0"/>
    <x v="2"/>
    <n v="11"/>
    <n v="9"/>
    <x v="11"/>
    <s v="[NGS] - Cashloan"/>
    <x v="0"/>
    <n v="0"/>
  </r>
  <r>
    <x v="67"/>
    <x v="0"/>
    <x v="2"/>
    <n v="11"/>
    <n v="9"/>
    <x v="12"/>
    <s v="[VNPOST] - Cashloan"/>
    <x v="0"/>
    <n v="156000000"/>
  </r>
  <r>
    <x v="67"/>
    <x v="0"/>
    <x v="2"/>
    <n v="11"/>
    <n v="9"/>
    <x v="13"/>
    <s v="[VNPOST] - Cashloan"/>
    <x v="0"/>
    <n v="81000000"/>
  </r>
  <r>
    <x v="67"/>
    <x v="0"/>
    <x v="2"/>
    <n v="11"/>
    <n v="9"/>
    <x v="14"/>
    <s v="[VDS] - Cashloan"/>
    <x v="0"/>
    <n v="16470360000"/>
  </r>
  <r>
    <x v="67"/>
    <x v="0"/>
    <x v="2"/>
    <n v="11"/>
    <n v="9"/>
    <x v="15"/>
    <s v="[VDS] - Cashloan LP"/>
    <x v="0"/>
    <n v="0"/>
  </r>
  <r>
    <x v="67"/>
    <x v="0"/>
    <x v="2"/>
    <n v="11"/>
    <n v="9"/>
    <x v="16"/>
    <s v="[VDS] - Cashloan LP"/>
    <x v="0"/>
    <n v="0"/>
  </r>
  <r>
    <x v="67"/>
    <x v="0"/>
    <x v="2"/>
    <n v="11"/>
    <n v="9"/>
    <x v="17"/>
    <s v="[VDS] - Cashloan LP"/>
    <x v="0"/>
    <n v="0"/>
  </r>
  <r>
    <x v="67"/>
    <x v="0"/>
    <x v="2"/>
    <n v="11"/>
    <n v="9"/>
    <x v="18"/>
    <s v="[VDS] - Cashloan"/>
    <x v="0"/>
    <n v="0"/>
  </r>
  <r>
    <x v="67"/>
    <x v="0"/>
    <x v="2"/>
    <n v="11"/>
    <n v="9"/>
    <x v="19"/>
    <s v="[VDS] - Payday"/>
    <x v="3"/>
    <n v="10891260000"/>
  </r>
  <r>
    <x v="67"/>
    <x v="0"/>
    <x v="2"/>
    <n v="11"/>
    <n v="9"/>
    <x v="20"/>
    <s v="[VDS] - Paylater"/>
    <x v="1"/>
    <n v="341293506"/>
  </r>
  <r>
    <x v="67"/>
    <x v="0"/>
    <x v="2"/>
    <n v="11"/>
    <n v="9"/>
    <x v="21"/>
    <s v="[VDS] - Payroll Cashloan"/>
    <x v="0"/>
    <n v="21000000"/>
  </r>
  <r>
    <x v="67"/>
    <x v="0"/>
    <x v="2"/>
    <n v="11"/>
    <n v="9"/>
    <x v="22"/>
    <s v="[VDS] - Payroll Payday"/>
    <x v="3"/>
    <n v="81000000"/>
  </r>
  <r>
    <x v="67"/>
    <x v="0"/>
    <x v="2"/>
    <n v="11"/>
    <n v="9"/>
    <x v="23"/>
    <s v="[VNPAY] - Cashloan"/>
    <x v="0"/>
    <n v="944290000"/>
  </r>
  <r>
    <x v="67"/>
    <x v="0"/>
    <x v="2"/>
    <n v="11"/>
    <n v="9"/>
    <x v="24"/>
    <s v="[VNPAY] - Payday"/>
    <x v="3"/>
    <n v="268920000"/>
  </r>
  <r>
    <x v="67"/>
    <x v="0"/>
    <x v="2"/>
    <n v="11"/>
    <n v="9"/>
    <x v="25"/>
    <s v="[VNPAY] - Paylater"/>
    <x v="1"/>
    <n v="580390160"/>
  </r>
  <r>
    <x v="67"/>
    <x v="0"/>
    <x v="2"/>
    <n v="11"/>
    <n v="9"/>
    <x v="26"/>
    <s v="[ZLP] - Cashloan"/>
    <x v="0"/>
    <n v="2689610000"/>
  </r>
  <r>
    <x v="67"/>
    <x v="0"/>
    <x v="2"/>
    <n v="11"/>
    <n v="9"/>
    <x v="27"/>
    <s v="[ZLP] - Payday"/>
    <x v="3"/>
    <n v="279720000"/>
  </r>
  <r>
    <x v="68"/>
    <x v="0"/>
    <x v="2"/>
    <n v="11"/>
    <n v="10"/>
    <x v="0"/>
    <s v="[BE] - Cashloan"/>
    <x v="0"/>
    <n v="1279400000"/>
  </r>
  <r>
    <x v="68"/>
    <x v="0"/>
    <x v="2"/>
    <n v="11"/>
    <n v="10"/>
    <x v="1"/>
    <s v="[BE] - Paylater"/>
    <x v="1"/>
    <n v="377427314"/>
  </r>
  <r>
    <x v="68"/>
    <x v="0"/>
    <x v="2"/>
    <n v="11"/>
    <n v="10"/>
    <x v="2"/>
    <s v="[Cake] - Cashloan"/>
    <x v="0"/>
    <n v="7659850000"/>
  </r>
  <r>
    <x v="68"/>
    <x v="0"/>
    <x v="2"/>
    <n v="11"/>
    <n v="10"/>
    <x v="3"/>
    <s v="[Cake] - Overdraft"/>
    <x v="2"/>
    <n v="2025375445"/>
  </r>
  <r>
    <x v="68"/>
    <x v="0"/>
    <x v="2"/>
    <n v="11"/>
    <n v="10"/>
    <x v="4"/>
    <s v="[Cake] - Payday"/>
    <x v="3"/>
    <n v="18105552000"/>
  </r>
  <r>
    <x v="68"/>
    <x v="0"/>
    <x v="2"/>
    <n v="11"/>
    <n v="10"/>
    <x v="5"/>
    <s v="[FPT] - Paylater"/>
    <x v="1"/>
    <n v="23264856"/>
  </r>
  <r>
    <x v="68"/>
    <x v="0"/>
    <x v="2"/>
    <n v="11"/>
    <n v="10"/>
    <x v="6"/>
    <s v="[MISA] - Cashloan"/>
    <x v="0"/>
    <n v="90000000"/>
  </r>
  <r>
    <x v="68"/>
    <x v="0"/>
    <x v="2"/>
    <n v="11"/>
    <n v="10"/>
    <x v="7"/>
    <s v="[MWG] - Cashloan"/>
    <x v="0"/>
    <n v="2601090000"/>
  </r>
  <r>
    <x v="68"/>
    <x v="0"/>
    <x v="2"/>
    <n v="11"/>
    <n v="10"/>
    <x v="8"/>
    <s v="[MWG] - Cashloan"/>
    <x v="0"/>
    <n v="909560000"/>
  </r>
  <r>
    <x v="68"/>
    <x v="0"/>
    <x v="2"/>
    <n v="11"/>
    <n v="10"/>
    <x v="9"/>
    <s v="[MWG] - Paylater"/>
    <x v="1"/>
    <n v="28209071"/>
  </r>
  <r>
    <x v="68"/>
    <x v="0"/>
    <x v="2"/>
    <n v="11"/>
    <n v="10"/>
    <x v="10"/>
    <s v="[MWG] - Paylater"/>
    <x v="1"/>
    <n v="1378495798"/>
  </r>
  <r>
    <x v="68"/>
    <x v="0"/>
    <x v="2"/>
    <n v="11"/>
    <n v="10"/>
    <x v="11"/>
    <s v="[NGS] - Cashloan"/>
    <x v="0"/>
    <n v="0"/>
  </r>
  <r>
    <x v="68"/>
    <x v="0"/>
    <x v="2"/>
    <n v="11"/>
    <n v="10"/>
    <x v="12"/>
    <s v="[VNPOST] - Cashloan"/>
    <x v="0"/>
    <n v="124750000"/>
  </r>
  <r>
    <x v="68"/>
    <x v="0"/>
    <x v="2"/>
    <n v="11"/>
    <n v="10"/>
    <x v="13"/>
    <s v="[VNPOST] - Cashloan"/>
    <x v="0"/>
    <n v="0"/>
  </r>
  <r>
    <x v="68"/>
    <x v="0"/>
    <x v="2"/>
    <n v="11"/>
    <n v="10"/>
    <x v="14"/>
    <s v="[VDS] - Cashloan"/>
    <x v="0"/>
    <n v="17593010000"/>
  </r>
  <r>
    <x v="68"/>
    <x v="0"/>
    <x v="2"/>
    <n v="11"/>
    <n v="10"/>
    <x v="15"/>
    <s v="[VDS] - Cashloan LP"/>
    <x v="0"/>
    <n v="0"/>
  </r>
  <r>
    <x v="68"/>
    <x v="0"/>
    <x v="2"/>
    <n v="11"/>
    <n v="10"/>
    <x v="16"/>
    <s v="[VDS] - Cashloan LP"/>
    <x v="0"/>
    <n v="0"/>
  </r>
  <r>
    <x v="68"/>
    <x v="0"/>
    <x v="2"/>
    <n v="11"/>
    <n v="10"/>
    <x v="17"/>
    <s v="[VDS] - Cashloan LP"/>
    <x v="0"/>
    <n v="0"/>
  </r>
  <r>
    <x v="68"/>
    <x v="0"/>
    <x v="2"/>
    <n v="11"/>
    <n v="10"/>
    <x v="18"/>
    <s v="[VDS] - Cashloan"/>
    <x v="0"/>
    <n v="0"/>
  </r>
  <r>
    <x v="68"/>
    <x v="0"/>
    <x v="2"/>
    <n v="11"/>
    <n v="10"/>
    <x v="19"/>
    <s v="[VDS] - Payday"/>
    <x v="3"/>
    <n v="17252460000"/>
  </r>
  <r>
    <x v="68"/>
    <x v="0"/>
    <x v="2"/>
    <n v="11"/>
    <n v="10"/>
    <x v="20"/>
    <s v="[VDS] - Paylater"/>
    <x v="1"/>
    <n v="287490745"/>
  </r>
  <r>
    <x v="68"/>
    <x v="0"/>
    <x v="2"/>
    <n v="11"/>
    <n v="10"/>
    <x v="21"/>
    <s v="[VDS] - Payroll Cashloan"/>
    <x v="0"/>
    <n v="36750000"/>
  </r>
  <r>
    <x v="68"/>
    <x v="0"/>
    <x v="2"/>
    <n v="11"/>
    <n v="10"/>
    <x v="22"/>
    <s v="[VDS] - Payroll Payday"/>
    <x v="3"/>
    <n v="55000000"/>
  </r>
  <r>
    <x v="68"/>
    <x v="0"/>
    <x v="2"/>
    <n v="11"/>
    <n v="10"/>
    <x v="23"/>
    <s v="[VNPAY] - Cashloan"/>
    <x v="0"/>
    <n v="1053210000"/>
  </r>
  <r>
    <x v="68"/>
    <x v="0"/>
    <x v="2"/>
    <n v="11"/>
    <n v="10"/>
    <x v="24"/>
    <s v="[VNPAY] - Payday"/>
    <x v="3"/>
    <n v="430596000"/>
  </r>
  <r>
    <x v="68"/>
    <x v="0"/>
    <x v="2"/>
    <n v="11"/>
    <n v="10"/>
    <x v="25"/>
    <s v="[VNPAY] - Paylater"/>
    <x v="1"/>
    <n v="529054519"/>
  </r>
  <r>
    <x v="68"/>
    <x v="0"/>
    <x v="2"/>
    <n v="11"/>
    <n v="10"/>
    <x v="26"/>
    <s v="[ZLP] - Cashloan"/>
    <x v="0"/>
    <n v="3004280000"/>
  </r>
  <r>
    <x v="68"/>
    <x v="0"/>
    <x v="2"/>
    <n v="11"/>
    <n v="10"/>
    <x v="27"/>
    <s v="[ZLP] - Payday"/>
    <x v="3"/>
    <n v="297000000"/>
  </r>
  <r>
    <x v="69"/>
    <x v="0"/>
    <x v="2"/>
    <n v="11"/>
    <n v="11"/>
    <x v="0"/>
    <s v="[BE] - Cashloan"/>
    <x v="0"/>
    <n v="849100000"/>
  </r>
  <r>
    <x v="69"/>
    <x v="0"/>
    <x v="2"/>
    <n v="11"/>
    <n v="11"/>
    <x v="1"/>
    <s v="[BE] - Paylater"/>
    <x v="1"/>
    <n v="315493673"/>
  </r>
  <r>
    <x v="69"/>
    <x v="0"/>
    <x v="2"/>
    <n v="11"/>
    <n v="11"/>
    <x v="2"/>
    <s v="[Cake] - Cashloan"/>
    <x v="0"/>
    <n v="6733330000"/>
  </r>
  <r>
    <x v="69"/>
    <x v="0"/>
    <x v="2"/>
    <n v="11"/>
    <n v="11"/>
    <x v="3"/>
    <s v="[Cake] - Overdraft"/>
    <x v="2"/>
    <n v="1633382328"/>
  </r>
  <r>
    <x v="69"/>
    <x v="0"/>
    <x v="2"/>
    <n v="11"/>
    <n v="11"/>
    <x v="4"/>
    <s v="[Cake] - Payday"/>
    <x v="3"/>
    <n v="14773644000"/>
  </r>
  <r>
    <x v="69"/>
    <x v="0"/>
    <x v="2"/>
    <n v="11"/>
    <n v="11"/>
    <x v="5"/>
    <s v="[FPT] - Paylater"/>
    <x v="1"/>
    <n v="15972375"/>
  </r>
  <r>
    <x v="69"/>
    <x v="0"/>
    <x v="2"/>
    <n v="11"/>
    <n v="11"/>
    <x v="6"/>
    <s v="[MISA] - Cashloan"/>
    <x v="0"/>
    <n v="90000000"/>
  </r>
  <r>
    <x v="69"/>
    <x v="0"/>
    <x v="2"/>
    <n v="11"/>
    <n v="11"/>
    <x v="7"/>
    <s v="[MWG] - Cashloan"/>
    <x v="0"/>
    <n v="2780660000"/>
  </r>
  <r>
    <x v="69"/>
    <x v="0"/>
    <x v="2"/>
    <n v="11"/>
    <n v="11"/>
    <x v="8"/>
    <s v="[MWG] - Cashloan"/>
    <x v="0"/>
    <n v="1063850000"/>
  </r>
  <r>
    <x v="69"/>
    <x v="0"/>
    <x v="2"/>
    <n v="11"/>
    <n v="11"/>
    <x v="9"/>
    <s v="[MWG] - Paylater"/>
    <x v="1"/>
    <n v="8023750"/>
  </r>
  <r>
    <x v="69"/>
    <x v="0"/>
    <x v="2"/>
    <n v="11"/>
    <n v="11"/>
    <x v="10"/>
    <s v="[MWG] - Paylater"/>
    <x v="1"/>
    <n v="1002477433"/>
  </r>
  <r>
    <x v="69"/>
    <x v="0"/>
    <x v="2"/>
    <n v="11"/>
    <n v="11"/>
    <x v="11"/>
    <s v="[NGS] - Cashloan"/>
    <x v="0"/>
    <n v="0"/>
  </r>
  <r>
    <x v="69"/>
    <x v="0"/>
    <x v="2"/>
    <n v="11"/>
    <n v="11"/>
    <x v="12"/>
    <s v="[VNPOST] - Cashloan"/>
    <x v="0"/>
    <n v="57000000"/>
  </r>
  <r>
    <x v="69"/>
    <x v="0"/>
    <x v="2"/>
    <n v="11"/>
    <n v="11"/>
    <x v="13"/>
    <s v="[VNPOST] - Cashloan"/>
    <x v="0"/>
    <n v="0"/>
  </r>
  <r>
    <x v="69"/>
    <x v="0"/>
    <x v="2"/>
    <n v="11"/>
    <n v="11"/>
    <x v="14"/>
    <s v="[VDS] - Cashloan"/>
    <x v="0"/>
    <n v="17138770000"/>
  </r>
  <r>
    <x v="69"/>
    <x v="0"/>
    <x v="2"/>
    <n v="11"/>
    <n v="11"/>
    <x v="15"/>
    <s v="[VDS] - Cashloan LP"/>
    <x v="0"/>
    <n v="0"/>
  </r>
  <r>
    <x v="69"/>
    <x v="0"/>
    <x v="2"/>
    <n v="11"/>
    <n v="11"/>
    <x v="16"/>
    <s v="[VDS] - Cashloan LP"/>
    <x v="0"/>
    <n v="0"/>
  </r>
  <r>
    <x v="69"/>
    <x v="0"/>
    <x v="2"/>
    <n v="11"/>
    <n v="11"/>
    <x v="17"/>
    <s v="[VDS] - Cashloan LP"/>
    <x v="0"/>
    <n v="0"/>
  </r>
  <r>
    <x v="69"/>
    <x v="0"/>
    <x v="2"/>
    <n v="11"/>
    <n v="11"/>
    <x v="18"/>
    <s v="[VDS] - Cashloan"/>
    <x v="0"/>
    <n v="0"/>
  </r>
  <r>
    <x v="69"/>
    <x v="0"/>
    <x v="2"/>
    <n v="11"/>
    <n v="11"/>
    <x v="19"/>
    <s v="[VDS] - Payday"/>
    <x v="3"/>
    <n v="13339728000"/>
  </r>
  <r>
    <x v="69"/>
    <x v="0"/>
    <x v="2"/>
    <n v="11"/>
    <n v="11"/>
    <x v="20"/>
    <s v="[VDS] - Paylater"/>
    <x v="1"/>
    <n v="242495696"/>
  </r>
  <r>
    <x v="69"/>
    <x v="0"/>
    <x v="2"/>
    <n v="11"/>
    <n v="11"/>
    <x v="21"/>
    <s v="[VDS] - Payroll Cashloan"/>
    <x v="0"/>
    <n v="20000000"/>
  </r>
  <r>
    <x v="69"/>
    <x v="0"/>
    <x v="2"/>
    <n v="11"/>
    <n v="11"/>
    <x v="22"/>
    <s v="[VDS] - Payroll Payday"/>
    <x v="3"/>
    <n v="44000000"/>
  </r>
  <r>
    <x v="69"/>
    <x v="0"/>
    <x v="2"/>
    <n v="11"/>
    <n v="11"/>
    <x v="23"/>
    <s v="[VNPAY] - Cashloan"/>
    <x v="0"/>
    <n v="621770000"/>
  </r>
  <r>
    <x v="69"/>
    <x v="0"/>
    <x v="2"/>
    <n v="11"/>
    <n v="11"/>
    <x v="24"/>
    <s v="[VNPAY] - Payday"/>
    <x v="3"/>
    <n v="347004000"/>
  </r>
  <r>
    <x v="69"/>
    <x v="0"/>
    <x v="2"/>
    <n v="11"/>
    <n v="11"/>
    <x v="25"/>
    <s v="[VNPAY] - Paylater"/>
    <x v="1"/>
    <n v="399203922"/>
  </r>
  <r>
    <x v="69"/>
    <x v="0"/>
    <x v="2"/>
    <n v="11"/>
    <n v="11"/>
    <x v="26"/>
    <s v="[ZLP] - Cashloan"/>
    <x v="0"/>
    <n v="2524010000"/>
  </r>
  <r>
    <x v="69"/>
    <x v="0"/>
    <x v="2"/>
    <n v="11"/>
    <n v="11"/>
    <x v="27"/>
    <s v="[ZLP] - Payday"/>
    <x v="3"/>
    <n v="287280000"/>
  </r>
  <r>
    <x v="70"/>
    <x v="0"/>
    <x v="2"/>
    <n v="11"/>
    <n v="12"/>
    <x v="0"/>
    <s v="[BE] - Cashloan"/>
    <x v="0"/>
    <n v="799790000"/>
  </r>
  <r>
    <x v="70"/>
    <x v="0"/>
    <x v="2"/>
    <n v="11"/>
    <n v="12"/>
    <x v="1"/>
    <s v="[BE] - Paylater"/>
    <x v="1"/>
    <n v="331407688"/>
  </r>
  <r>
    <x v="70"/>
    <x v="0"/>
    <x v="2"/>
    <n v="11"/>
    <n v="12"/>
    <x v="2"/>
    <s v="[Cake] - Cashloan"/>
    <x v="0"/>
    <n v="8530410000"/>
  </r>
  <r>
    <x v="70"/>
    <x v="0"/>
    <x v="2"/>
    <n v="11"/>
    <n v="12"/>
    <x v="3"/>
    <s v="[Cake] - Overdraft"/>
    <x v="2"/>
    <n v="1530565656"/>
  </r>
  <r>
    <x v="70"/>
    <x v="0"/>
    <x v="2"/>
    <n v="11"/>
    <n v="12"/>
    <x v="4"/>
    <s v="[Cake] - Payday"/>
    <x v="3"/>
    <n v="13646988000"/>
  </r>
  <r>
    <x v="70"/>
    <x v="0"/>
    <x v="2"/>
    <n v="11"/>
    <n v="12"/>
    <x v="5"/>
    <s v="[FPT] - Paylater"/>
    <x v="1"/>
    <n v="9304549"/>
  </r>
  <r>
    <x v="70"/>
    <x v="0"/>
    <x v="2"/>
    <n v="11"/>
    <n v="12"/>
    <x v="6"/>
    <s v="[MISA] - Cashloan"/>
    <x v="0"/>
    <n v="0"/>
  </r>
  <r>
    <x v="70"/>
    <x v="0"/>
    <x v="2"/>
    <n v="11"/>
    <n v="12"/>
    <x v="7"/>
    <s v="[MWG] - Cashloan"/>
    <x v="0"/>
    <n v="2922300000"/>
  </r>
  <r>
    <x v="70"/>
    <x v="0"/>
    <x v="2"/>
    <n v="11"/>
    <n v="12"/>
    <x v="8"/>
    <s v="[MWG] - Cashloan"/>
    <x v="0"/>
    <n v="1472490000"/>
  </r>
  <r>
    <x v="70"/>
    <x v="0"/>
    <x v="2"/>
    <n v="11"/>
    <n v="12"/>
    <x v="9"/>
    <s v="[MWG] - Paylater"/>
    <x v="1"/>
    <n v="0"/>
  </r>
  <r>
    <x v="70"/>
    <x v="0"/>
    <x v="2"/>
    <n v="11"/>
    <n v="12"/>
    <x v="10"/>
    <s v="[MWG] - Paylater"/>
    <x v="1"/>
    <n v="1072016424"/>
  </r>
  <r>
    <x v="70"/>
    <x v="0"/>
    <x v="2"/>
    <n v="11"/>
    <n v="12"/>
    <x v="11"/>
    <s v="[NGS] - Cashloan"/>
    <x v="0"/>
    <n v="0"/>
  </r>
  <r>
    <x v="70"/>
    <x v="0"/>
    <x v="2"/>
    <n v="11"/>
    <n v="12"/>
    <x v="12"/>
    <s v="[VNPOST] - Cashloan"/>
    <x v="0"/>
    <n v="84850000"/>
  </r>
  <r>
    <x v="70"/>
    <x v="0"/>
    <x v="2"/>
    <n v="11"/>
    <n v="12"/>
    <x v="13"/>
    <s v="[VNPOST] - Cashloan"/>
    <x v="0"/>
    <n v="56000000"/>
  </r>
  <r>
    <x v="70"/>
    <x v="0"/>
    <x v="2"/>
    <n v="11"/>
    <n v="12"/>
    <x v="14"/>
    <s v="[VDS] - Cashloan"/>
    <x v="0"/>
    <n v="15967630000"/>
  </r>
  <r>
    <x v="70"/>
    <x v="0"/>
    <x v="2"/>
    <n v="11"/>
    <n v="12"/>
    <x v="15"/>
    <s v="[VDS] - Cashloan LP"/>
    <x v="0"/>
    <n v="0"/>
  </r>
  <r>
    <x v="70"/>
    <x v="0"/>
    <x v="2"/>
    <n v="11"/>
    <n v="12"/>
    <x v="16"/>
    <s v="[VDS] - Cashloan LP"/>
    <x v="0"/>
    <n v="0"/>
  </r>
  <r>
    <x v="70"/>
    <x v="0"/>
    <x v="2"/>
    <n v="11"/>
    <n v="12"/>
    <x v="17"/>
    <s v="[VDS] - Cashloan LP"/>
    <x v="0"/>
    <n v="0"/>
  </r>
  <r>
    <x v="70"/>
    <x v="0"/>
    <x v="2"/>
    <n v="11"/>
    <n v="12"/>
    <x v="18"/>
    <s v="[VDS] - Cashloan"/>
    <x v="0"/>
    <n v="0"/>
  </r>
  <r>
    <x v="70"/>
    <x v="0"/>
    <x v="2"/>
    <n v="11"/>
    <n v="12"/>
    <x v="19"/>
    <s v="[VDS] - Payday"/>
    <x v="3"/>
    <n v="12603276000"/>
  </r>
  <r>
    <x v="70"/>
    <x v="0"/>
    <x v="2"/>
    <n v="11"/>
    <n v="12"/>
    <x v="20"/>
    <s v="[VDS] - Paylater"/>
    <x v="1"/>
    <n v="245991061"/>
  </r>
  <r>
    <x v="70"/>
    <x v="0"/>
    <x v="2"/>
    <n v="11"/>
    <n v="12"/>
    <x v="21"/>
    <s v="[VDS] - Payroll Cashloan"/>
    <x v="0"/>
    <n v="0"/>
  </r>
  <r>
    <x v="70"/>
    <x v="0"/>
    <x v="2"/>
    <n v="11"/>
    <n v="12"/>
    <x v="22"/>
    <s v="[VDS] - Payroll Payday"/>
    <x v="3"/>
    <n v="44000000"/>
  </r>
  <r>
    <x v="70"/>
    <x v="0"/>
    <x v="2"/>
    <n v="11"/>
    <n v="12"/>
    <x v="23"/>
    <s v="[VNPAY] - Cashloan"/>
    <x v="0"/>
    <n v="959840000"/>
  </r>
  <r>
    <x v="70"/>
    <x v="0"/>
    <x v="2"/>
    <n v="11"/>
    <n v="12"/>
    <x v="24"/>
    <s v="[VNPAY] - Payday"/>
    <x v="3"/>
    <n v="373140000"/>
  </r>
  <r>
    <x v="70"/>
    <x v="0"/>
    <x v="2"/>
    <n v="11"/>
    <n v="12"/>
    <x v="25"/>
    <s v="[VNPAY] - Paylater"/>
    <x v="1"/>
    <n v="390819785"/>
  </r>
  <r>
    <x v="70"/>
    <x v="0"/>
    <x v="2"/>
    <n v="11"/>
    <n v="12"/>
    <x v="26"/>
    <s v="[ZLP] - Cashloan"/>
    <x v="0"/>
    <n v="2351920000"/>
  </r>
  <r>
    <x v="70"/>
    <x v="0"/>
    <x v="2"/>
    <n v="11"/>
    <n v="12"/>
    <x v="27"/>
    <s v="[ZLP] - Payday"/>
    <x v="3"/>
    <n v="261360000"/>
  </r>
  <r>
    <x v="71"/>
    <x v="0"/>
    <x v="2"/>
    <n v="11"/>
    <n v="13"/>
    <x v="0"/>
    <s v="[BE] - Cashloan"/>
    <x v="0"/>
    <n v="793730000"/>
  </r>
  <r>
    <x v="71"/>
    <x v="0"/>
    <x v="2"/>
    <n v="11"/>
    <n v="13"/>
    <x v="1"/>
    <s v="[BE] - Paylater"/>
    <x v="1"/>
    <n v="356146497"/>
  </r>
  <r>
    <x v="71"/>
    <x v="0"/>
    <x v="2"/>
    <n v="11"/>
    <n v="13"/>
    <x v="2"/>
    <s v="[Cake] - Cashloan"/>
    <x v="0"/>
    <n v="8666460000"/>
  </r>
  <r>
    <x v="71"/>
    <x v="0"/>
    <x v="2"/>
    <n v="11"/>
    <n v="13"/>
    <x v="3"/>
    <s v="[Cake] - Overdraft"/>
    <x v="2"/>
    <n v="1514794635"/>
  </r>
  <r>
    <x v="71"/>
    <x v="0"/>
    <x v="2"/>
    <n v="11"/>
    <n v="13"/>
    <x v="4"/>
    <s v="[Cake] - Payday"/>
    <x v="3"/>
    <n v="13784580000"/>
  </r>
  <r>
    <x v="71"/>
    <x v="0"/>
    <x v="2"/>
    <n v="11"/>
    <n v="13"/>
    <x v="5"/>
    <s v="[FPT] - Paylater"/>
    <x v="1"/>
    <n v="5687443"/>
  </r>
  <r>
    <x v="71"/>
    <x v="0"/>
    <x v="2"/>
    <n v="11"/>
    <n v="13"/>
    <x v="6"/>
    <s v="[MISA] - Cashloan"/>
    <x v="0"/>
    <n v="0"/>
  </r>
  <r>
    <x v="71"/>
    <x v="0"/>
    <x v="2"/>
    <n v="11"/>
    <n v="13"/>
    <x v="7"/>
    <s v="[MWG] - Cashloan"/>
    <x v="0"/>
    <n v="2284260000"/>
  </r>
  <r>
    <x v="71"/>
    <x v="0"/>
    <x v="2"/>
    <n v="11"/>
    <n v="13"/>
    <x v="8"/>
    <s v="[MWG] - Cashloan"/>
    <x v="0"/>
    <n v="1217500000"/>
  </r>
  <r>
    <x v="71"/>
    <x v="0"/>
    <x v="2"/>
    <n v="11"/>
    <n v="13"/>
    <x v="9"/>
    <s v="[MWG] - Paylater"/>
    <x v="1"/>
    <n v="10468258"/>
  </r>
  <r>
    <x v="71"/>
    <x v="0"/>
    <x v="2"/>
    <n v="11"/>
    <n v="13"/>
    <x v="10"/>
    <s v="[MWG] - Paylater"/>
    <x v="1"/>
    <n v="1261795830"/>
  </r>
  <r>
    <x v="71"/>
    <x v="0"/>
    <x v="2"/>
    <n v="11"/>
    <n v="13"/>
    <x v="11"/>
    <s v="[NGS] - Cashloan"/>
    <x v="0"/>
    <n v="0"/>
  </r>
  <r>
    <x v="71"/>
    <x v="0"/>
    <x v="2"/>
    <n v="11"/>
    <n v="13"/>
    <x v="12"/>
    <s v="[VNPOST] - Cashloan"/>
    <x v="0"/>
    <n v="67750000"/>
  </r>
  <r>
    <x v="71"/>
    <x v="0"/>
    <x v="2"/>
    <n v="11"/>
    <n v="13"/>
    <x v="13"/>
    <s v="[VNPOST] - Cashloan"/>
    <x v="0"/>
    <n v="32000000"/>
  </r>
  <r>
    <x v="71"/>
    <x v="0"/>
    <x v="2"/>
    <n v="11"/>
    <n v="13"/>
    <x v="14"/>
    <s v="[VDS] - Cashloan"/>
    <x v="0"/>
    <n v="17298350000"/>
  </r>
  <r>
    <x v="71"/>
    <x v="0"/>
    <x v="2"/>
    <n v="11"/>
    <n v="13"/>
    <x v="15"/>
    <s v="[VDS] - Cashloan LP"/>
    <x v="0"/>
    <n v="0"/>
  </r>
  <r>
    <x v="71"/>
    <x v="0"/>
    <x v="2"/>
    <n v="11"/>
    <n v="13"/>
    <x v="16"/>
    <s v="[VDS] - Cashloan LP"/>
    <x v="0"/>
    <n v="0"/>
  </r>
  <r>
    <x v="71"/>
    <x v="0"/>
    <x v="2"/>
    <n v="11"/>
    <n v="13"/>
    <x v="17"/>
    <s v="[VDS] - Cashloan LP"/>
    <x v="0"/>
    <n v="0"/>
  </r>
  <r>
    <x v="71"/>
    <x v="0"/>
    <x v="2"/>
    <n v="11"/>
    <n v="13"/>
    <x v="18"/>
    <s v="[VDS] - Cashloan"/>
    <x v="0"/>
    <n v="0"/>
  </r>
  <r>
    <x v="71"/>
    <x v="0"/>
    <x v="2"/>
    <n v="11"/>
    <n v="13"/>
    <x v="19"/>
    <s v="[VDS] - Payday"/>
    <x v="3"/>
    <n v="13376124000"/>
  </r>
  <r>
    <x v="71"/>
    <x v="0"/>
    <x v="2"/>
    <n v="11"/>
    <n v="13"/>
    <x v="20"/>
    <s v="[VDS] - Paylater"/>
    <x v="1"/>
    <n v="178610788"/>
  </r>
  <r>
    <x v="71"/>
    <x v="0"/>
    <x v="2"/>
    <n v="11"/>
    <n v="13"/>
    <x v="21"/>
    <s v="[VDS] - Payroll Cashloan"/>
    <x v="0"/>
    <n v="21000000"/>
  </r>
  <r>
    <x v="71"/>
    <x v="0"/>
    <x v="2"/>
    <n v="11"/>
    <n v="13"/>
    <x v="22"/>
    <s v="[VDS] - Payroll Payday"/>
    <x v="3"/>
    <n v="15000000"/>
  </r>
  <r>
    <x v="71"/>
    <x v="0"/>
    <x v="2"/>
    <n v="11"/>
    <n v="13"/>
    <x v="23"/>
    <s v="[VNPAY] - Cashloan"/>
    <x v="0"/>
    <n v="685640000"/>
  </r>
  <r>
    <x v="71"/>
    <x v="0"/>
    <x v="2"/>
    <n v="11"/>
    <n v="13"/>
    <x v="24"/>
    <s v="[VNPAY] - Payday"/>
    <x v="3"/>
    <n v="327564000"/>
  </r>
  <r>
    <x v="71"/>
    <x v="0"/>
    <x v="2"/>
    <n v="11"/>
    <n v="13"/>
    <x v="25"/>
    <s v="[VNPAY] - Paylater"/>
    <x v="1"/>
    <n v="301348104"/>
  </r>
  <r>
    <x v="71"/>
    <x v="0"/>
    <x v="2"/>
    <n v="11"/>
    <n v="13"/>
    <x v="26"/>
    <s v="[ZLP] - Cashloan"/>
    <x v="0"/>
    <n v="3044990000"/>
  </r>
  <r>
    <x v="71"/>
    <x v="0"/>
    <x v="2"/>
    <n v="11"/>
    <n v="13"/>
    <x v="27"/>
    <s v="[ZLP] - Payday"/>
    <x v="3"/>
    <n v="251640000"/>
  </r>
  <r>
    <x v="72"/>
    <x v="0"/>
    <x v="2"/>
    <n v="11"/>
    <n v="14"/>
    <x v="0"/>
    <s v="[BE] - Cashloan"/>
    <x v="0"/>
    <n v="803580000"/>
  </r>
  <r>
    <x v="72"/>
    <x v="0"/>
    <x v="2"/>
    <n v="11"/>
    <n v="14"/>
    <x v="1"/>
    <s v="[BE] - Paylater"/>
    <x v="1"/>
    <n v="327651632"/>
  </r>
  <r>
    <x v="72"/>
    <x v="0"/>
    <x v="2"/>
    <n v="11"/>
    <n v="14"/>
    <x v="2"/>
    <s v="[Cake] - Cashloan"/>
    <x v="0"/>
    <n v="8204550000"/>
  </r>
  <r>
    <x v="72"/>
    <x v="0"/>
    <x v="2"/>
    <n v="11"/>
    <n v="14"/>
    <x v="3"/>
    <s v="[Cake] - Overdraft"/>
    <x v="2"/>
    <n v="1385447749"/>
  </r>
  <r>
    <x v="72"/>
    <x v="0"/>
    <x v="2"/>
    <n v="11"/>
    <n v="14"/>
    <x v="4"/>
    <s v="[Cake] - Payday"/>
    <x v="3"/>
    <n v="12531564000"/>
  </r>
  <r>
    <x v="72"/>
    <x v="0"/>
    <x v="2"/>
    <n v="11"/>
    <n v="14"/>
    <x v="5"/>
    <s v="[FPT] - Paylater"/>
    <x v="1"/>
    <n v="4988697"/>
  </r>
  <r>
    <x v="72"/>
    <x v="0"/>
    <x v="2"/>
    <n v="11"/>
    <n v="14"/>
    <x v="6"/>
    <s v="[MISA] - Cashloan"/>
    <x v="0"/>
    <n v="90000000"/>
  </r>
  <r>
    <x v="72"/>
    <x v="0"/>
    <x v="2"/>
    <n v="11"/>
    <n v="14"/>
    <x v="7"/>
    <s v="[MWG] - Cashloan"/>
    <x v="0"/>
    <n v="2378780000"/>
  </r>
  <r>
    <x v="72"/>
    <x v="0"/>
    <x v="2"/>
    <n v="11"/>
    <n v="14"/>
    <x v="8"/>
    <s v="[MWG] - Cashloan"/>
    <x v="0"/>
    <n v="1039980000"/>
  </r>
  <r>
    <x v="72"/>
    <x v="0"/>
    <x v="2"/>
    <n v="11"/>
    <n v="14"/>
    <x v="9"/>
    <s v="[MWG] - Paylater"/>
    <x v="1"/>
    <n v="2443938"/>
  </r>
  <r>
    <x v="72"/>
    <x v="0"/>
    <x v="2"/>
    <n v="11"/>
    <n v="14"/>
    <x v="10"/>
    <s v="[MWG] - Paylater"/>
    <x v="1"/>
    <n v="1473294906"/>
  </r>
  <r>
    <x v="72"/>
    <x v="0"/>
    <x v="2"/>
    <n v="11"/>
    <n v="14"/>
    <x v="11"/>
    <s v="[NGS] - Cashloan"/>
    <x v="0"/>
    <n v="0"/>
  </r>
  <r>
    <x v="72"/>
    <x v="0"/>
    <x v="2"/>
    <n v="11"/>
    <n v="14"/>
    <x v="12"/>
    <s v="[VNPOST] - Cashloan"/>
    <x v="0"/>
    <n v="15750000"/>
  </r>
  <r>
    <x v="72"/>
    <x v="0"/>
    <x v="2"/>
    <n v="11"/>
    <n v="14"/>
    <x v="13"/>
    <s v="[VNPOST] - Cashloan"/>
    <x v="0"/>
    <n v="0"/>
  </r>
  <r>
    <x v="72"/>
    <x v="0"/>
    <x v="2"/>
    <n v="11"/>
    <n v="14"/>
    <x v="14"/>
    <s v="[VDS] - Cashloan"/>
    <x v="0"/>
    <n v="16076280000"/>
  </r>
  <r>
    <x v="72"/>
    <x v="0"/>
    <x v="2"/>
    <n v="11"/>
    <n v="14"/>
    <x v="15"/>
    <s v="[VDS] - Cashloan LP"/>
    <x v="0"/>
    <n v="0"/>
  </r>
  <r>
    <x v="72"/>
    <x v="0"/>
    <x v="2"/>
    <n v="11"/>
    <n v="14"/>
    <x v="16"/>
    <s v="[VDS] - Cashloan LP"/>
    <x v="0"/>
    <n v="0"/>
  </r>
  <r>
    <x v="72"/>
    <x v="0"/>
    <x v="2"/>
    <n v="11"/>
    <n v="14"/>
    <x v="17"/>
    <s v="[VDS] - Cashloan LP"/>
    <x v="0"/>
    <n v="0"/>
  </r>
  <r>
    <x v="72"/>
    <x v="0"/>
    <x v="2"/>
    <n v="11"/>
    <n v="14"/>
    <x v="18"/>
    <s v="[VDS] - Cashloan"/>
    <x v="0"/>
    <n v="0"/>
  </r>
  <r>
    <x v="72"/>
    <x v="0"/>
    <x v="2"/>
    <n v="11"/>
    <n v="14"/>
    <x v="19"/>
    <s v="[VDS] - Payday"/>
    <x v="3"/>
    <n v="12209184000"/>
  </r>
  <r>
    <x v="72"/>
    <x v="0"/>
    <x v="2"/>
    <n v="11"/>
    <n v="14"/>
    <x v="20"/>
    <s v="[VDS] - Paylater"/>
    <x v="1"/>
    <n v="155508526"/>
  </r>
  <r>
    <x v="72"/>
    <x v="0"/>
    <x v="2"/>
    <n v="11"/>
    <n v="14"/>
    <x v="21"/>
    <s v="[VDS] - Payroll Cashloan"/>
    <x v="0"/>
    <n v="25750000"/>
  </r>
  <r>
    <x v="72"/>
    <x v="0"/>
    <x v="2"/>
    <n v="11"/>
    <n v="14"/>
    <x v="22"/>
    <s v="[VDS] - Payroll Payday"/>
    <x v="3"/>
    <n v="31000000"/>
  </r>
  <r>
    <x v="72"/>
    <x v="0"/>
    <x v="2"/>
    <n v="11"/>
    <n v="14"/>
    <x v="23"/>
    <s v="[VNPAY] - Cashloan"/>
    <x v="0"/>
    <n v="827810000"/>
  </r>
  <r>
    <x v="72"/>
    <x v="0"/>
    <x v="2"/>
    <n v="11"/>
    <n v="14"/>
    <x v="24"/>
    <s v="[VNPAY] - Payday"/>
    <x v="3"/>
    <n v="232848000"/>
  </r>
  <r>
    <x v="72"/>
    <x v="0"/>
    <x v="2"/>
    <n v="11"/>
    <n v="14"/>
    <x v="25"/>
    <s v="[VNPAY] - Paylater"/>
    <x v="1"/>
    <n v="260285273"/>
  </r>
  <r>
    <x v="72"/>
    <x v="0"/>
    <x v="2"/>
    <n v="11"/>
    <n v="14"/>
    <x v="26"/>
    <s v="[ZLP] - Cashloan"/>
    <x v="0"/>
    <n v="2484080000"/>
  </r>
  <r>
    <x v="72"/>
    <x v="0"/>
    <x v="2"/>
    <n v="11"/>
    <n v="14"/>
    <x v="27"/>
    <s v="[ZLP] - Payday"/>
    <x v="3"/>
    <n v="287280000"/>
  </r>
  <r>
    <x v="73"/>
    <x v="0"/>
    <x v="2"/>
    <n v="11"/>
    <n v="15"/>
    <x v="0"/>
    <s v="[BE] - Cashloan"/>
    <x v="0"/>
    <n v="780470000"/>
  </r>
  <r>
    <x v="73"/>
    <x v="0"/>
    <x v="2"/>
    <n v="11"/>
    <n v="15"/>
    <x v="1"/>
    <s v="[BE] - Paylater"/>
    <x v="1"/>
    <n v="313866408"/>
  </r>
  <r>
    <x v="73"/>
    <x v="0"/>
    <x v="2"/>
    <n v="11"/>
    <n v="15"/>
    <x v="2"/>
    <s v="[Cake] - Cashloan"/>
    <x v="0"/>
    <n v="8212700000"/>
  </r>
  <r>
    <x v="73"/>
    <x v="0"/>
    <x v="2"/>
    <n v="11"/>
    <n v="15"/>
    <x v="3"/>
    <s v="[Cake] - Overdraft"/>
    <x v="2"/>
    <n v="1420287975"/>
  </r>
  <r>
    <x v="73"/>
    <x v="0"/>
    <x v="2"/>
    <n v="11"/>
    <n v="15"/>
    <x v="4"/>
    <s v="[Cake] - Payday"/>
    <x v="3"/>
    <n v="13145976000"/>
  </r>
  <r>
    <x v="73"/>
    <x v="0"/>
    <x v="2"/>
    <n v="11"/>
    <n v="15"/>
    <x v="5"/>
    <s v="[FPT] - Paylater"/>
    <x v="1"/>
    <n v="6520350"/>
  </r>
  <r>
    <x v="73"/>
    <x v="0"/>
    <x v="2"/>
    <n v="11"/>
    <n v="15"/>
    <x v="6"/>
    <s v="[MISA] - Cashloan"/>
    <x v="0"/>
    <n v="0"/>
  </r>
  <r>
    <x v="73"/>
    <x v="0"/>
    <x v="2"/>
    <n v="11"/>
    <n v="15"/>
    <x v="7"/>
    <s v="[MWG] - Cashloan"/>
    <x v="0"/>
    <n v="2604000000"/>
  </r>
  <r>
    <x v="73"/>
    <x v="0"/>
    <x v="2"/>
    <n v="11"/>
    <n v="15"/>
    <x v="8"/>
    <s v="[MWG] - Cashloan"/>
    <x v="0"/>
    <n v="943170000"/>
  </r>
  <r>
    <x v="73"/>
    <x v="0"/>
    <x v="2"/>
    <n v="11"/>
    <n v="15"/>
    <x v="9"/>
    <s v="[MWG] - Paylater"/>
    <x v="1"/>
    <n v="3165025"/>
  </r>
  <r>
    <x v="73"/>
    <x v="0"/>
    <x v="2"/>
    <n v="11"/>
    <n v="15"/>
    <x v="10"/>
    <s v="[MWG] - Paylater"/>
    <x v="1"/>
    <n v="1593617519"/>
  </r>
  <r>
    <x v="73"/>
    <x v="0"/>
    <x v="2"/>
    <n v="11"/>
    <n v="15"/>
    <x v="11"/>
    <s v="[NGS] - Cashloan"/>
    <x v="0"/>
    <n v="0"/>
  </r>
  <r>
    <x v="73"/>
    <x v="0"/>
    <x v="2"/>
    <n v="11"/>
    <n v="15"/>
    <x v="12"/>
    <s v="[VNPOST] - Cashloan"/>
    <x v="0"/>
    <n v="0"/>
  </r>
  <r>
    <x v="73"/>
    <x v="0"/>
    <x v="2"/>
    <n v="11"/>
    <n v="15"/>
    <x v="13"/>
    <s v="[VNPOST] - Cashloan"/>
    <x v="0"/>
    <n v="0"/>
  </r>
  <r>
    <x v="73"/>
    <x v="0"/>
    <x v="2"/>
    <n v="11"/>
    <n v="15"/>
    <x v="14"/>
    <s v="[VDS] - Cashloan"/>
    <x v="0"/>
    <n v="16139750000"/>
  </r>
  <r>
    <x v="73"/>
    <x v="0"/>
    <x v="2"/>
    <n v="11"/>
    <n v="15"/>
    <x v="15"/>
    <s v="[VDS] - Cashloan LP"/>
    <x v="0"/>
    <n v="0"/>
  </r>
  <r>
    <x v="73"/>
    <x v="0"/>
    <x v="2"/>
    <n v="11"/>
    <n v="15"/>
    <x v="16"/>
    <s v="[VDS] - Cashloan LP"/>
    <x v="0"/>
    <n v="0"/>
  </r>
  <r>
    <x v="73"/>
    <x v="0"/>
    <x v="2"/>
    <n v="11"/>
    <n v="15"/>
    <x v="17"/>
    <s v="[VDS] - Cashloan LP"/>
    <x v="0"/>
    <n v="0"/>
  </r>
  <r>
    <x v="73"/>
    <x v="0"/>
    <x v="2"/>
    <n v="11"/>
    <n v="15"/>
    <x v="18"/>
    <s v="[VDS] - Cashloan"/>
    <x v="0"/>
    <n v="0"/>
  </r>
  <r>
    <x v="73"/>
    <x v="0"/>
    <x v="2"/>
    <n v="11"/>
    <n v="15"/>
    <x v="19"/>
    <s v="[VDS] - Payday"/>
    <x v="3"/>
    <n v="11918448000"/>
  </r>
  <r>
    <x v="73"/>
    <x v="0"/>
    <x v="2"/>
    <n v="11"/>
    <n v="15"/>
    <x v="20"/>
    <s v="[VDS] - Paylater"/>
    <x v="1"/>
    <n v="200447996"/>
  </r>
  <r>
    <x v="73"/>
    <x v="0"/>
    <x v="2"/>
    <n v="11"/>
    <n v="15"/>
    <x v="21"/>
    <s v="[VDS] - Payroll Cashloan"/>
    <x v="0"/>
    <n v="63000000"/>
  </r>
  <r>
    <x v="73"/>
    <x v="0"/>
    <x v="2"/>
    <n v="11"/>
    <n v="15"/>
    <x v="22"/>
    <s v="[VDS] - Payroll Payday"/>
    <x v="3"/>
    <n v="46000000"/>
  </r>
  <r>
    <x v="73"/>
    <x v="0"/>
    <x v="2"/>
    <n v="11"/>
    <n v="15"/>
    <x v="23"/>
    <s v="[VNPAY] - Cashloan"/>
    <x v="0"/>
    <n v="664980000"/>
  </r>
  <r>
    <x v="73"/>
    <x v="0"/>
    <x v="2"/>
    <n v="11"/>
    <n v="15"/>
    <x v="24"/>
    <s v="[VNPAY] - Payday"/>
    <x v="3"/>
    <n v="349272000"/>
  </r>
  <r>
    <x v="73"/>
    <x v="0"/>
    <x v="2"/>
    <n v="11"/>
    <n v="15"/>
    <x v="25"/>
    <s v="[VNPAY] - Paylater"/>
    <x v="1"/>
    <n v="272319266"/>
  </r>
  <r>
    <x v="73"/>
    <x v="0"/>
    <x v="2"/>
    <n v="11"/>
    <n v="15"/>
    <x v="26"/>
    <s v="[ZLP] - Cashloan"/>
    <x v="0"/>
    <n v="2889930000"/>
  </r>
  <r>
    <x v="73"/>
    <x v="0"/>
    <x v="2"/>
    <n v="11"/>
    <n v="15"/>
    <x v="27"/>
    <s v="[ZLP] - Payday"/>
    <x v="3"/>
    <n v="283176000"/>
  </r>
  <r>
    <x v="74"/>
    <x v="0"/>
    <x v="2"/>
    <n v="12"/>
    <n v="16"/>
    <x v="0"/>
    <s v="[BE] - Cashloan"/>
    <x v="0"/>
    <n v="740080000"/>
  </r>
  <r>
    <x v="74"/>
    <x v="0"/>
    <x v="2"/>
    <n v="12"/>
    <n v="16"/>
    <x v="1"/>
    <s v="[BE] - Paylater"/>
    <x v="1"/>
    <n v="299822776"/>
  </r>
  <r>
    <x v="74"/>
    <x v="0"/>
    <x v="2"/>
    <n v="12"/>
    <n v="16"/>
    <x v="2"/>
    <s v="[Cake] - Cashloan"/>
    <x v="0"/>
    <n v="10591300000"/>
  </r>
  <r>
    <x v="74"/>
    <x v="0"/>
    <x v="2"/>
    <n v="12"/>
    <n v="16"/>
    <x v="3"/>
    <s v="[Cake] - Overdraft"/>
    <x v="2"/>
    <n v="1944313410"/>
  </r>
  <r>
    <x v="74"/>
    <x v="0"/>
    <x v="2"/>
    <n v="12"/>
    <n v="16"/>
    <x v="4"/>
    <s v="[Cake] - Payday"/>
    <x v="3"/>
    <n v="13928544000"/>
  </r>
  <r>
    <x v="74"/>
    <x v="0"/>
    <x v="2"/>
    <n v="12"/>
    <n v="16"/>
    <x v="5"/>
    <s v="[FPT] - Paylater"/>
    <x v="1"/>
    <n v="2764780"/>
  </r>
  <r>
    <x v="74"/>
    <x v="0"/>
    <x v="2"/>
    <n v="12"/>
    <n v="16"/>
    <x v="6"/>
    <s v="[MISA] - Cashloan"/>
    <x v="0"/>
    <n v="90000000"/>
  </r>
  <r>
    <x v="74"/>
    <x v="0"/>
    <x v="2"/>
    <n v="12"/>
    <n v="16"/>
    <x v="7"/>
    <s v="[MWG] - Cashloan"/>
    <x v="0"/>
    <n v="2441860000"/>
  </r>
  <r>
    <x v="74"/>
    <x v="0"/>
    <x v="2"/>
    <n v="12"/>
    <n v="16"/>
    <x v="8"/>
    <s v="[MWG] - Cashloan"/>
    <x v="0"/>
    <n v="781550000"/>
  </r>
  <r>
    <x v="74"/>
    <x v="0"/>
    <x v="2"/>
    <n v="12"/>
    <n v="16"/>
    <x v="9"/>
    <s v="[MWG] - Paylater"/>
    <x v="1"/>
    <n v="15958499"/>
  </r>
  <r>
    <x v="74"/>
    <x v="0"/>
    <x v="2"/>
    <n v="12"/>
    <n v="16"/>
    <x v="10"/>
    <s v="[MWG] - Paylater"/>
    <x v="1"/>
    <n v="791668366"/>
  </r>
  <r>
    <x v="74"/>
    <x v="0"/>
    <x v="2"/>
    <n v="12"/>
    <n v="16"/>
    <x v="11"/>
    <s v="[NGS] - Cashloan"/>
    <x v="0"/>
    <n v="0"/>
  </r>
  <r>
    <x v="74"/>
    <x v="0"/>
    <x v="2"/>
    <n v="12"/>
    <n v="16"/>
    <x v="12"/>
    <s v="[VNPOST] - Cashloan"/>
    <x v="0"/>
    <n v="129250000"/>
  </r>
  <r>
    <x v="74"/>
    <x v="0"/>
    <x v="2"/>
    <n v="12"/>
    <n v="16"/>
    <x v="13"/>
    <s v="[VNPOST] - Cashloan"/>
    <x v="0"/>
    <n v="0"/>
  </r>
  <r>
    <x v="74"/>
    <x v="0"/>
    <x v="2"/>
    <n v="12"/>
    <n v="16"/>
    <x v="14"/>
    <s v="[VDS] - Cashloan"/>
    <x v="0"/>
    <n v="18652390000"/>
  </r>
  <r>
    <x v="74"/>
    <x v="0"/>
    <x v="2"/>
    <n v="12"/>
    <n v="16"/>
    <x v="15"/>
    <s v="[VDS] - Cashloan LP"/>
    <x v="0"/>
    <n v="0"/>
  </r>
  <r>
    <x v="74"/>
    <x v="0"/>
    <x v="2"/>
    <n v="12"/>
    <n v="16"/>
    <x v="16"/>
    <s v="[VDS] - Cashloan LP"/>
    <x v="0"/>
    <n v="0"/>
  </r>
  <r>
    <x v="74"/>
    <x v="0"/>
    <x v="2"/>
    <n v="12"/>
    <n v="16"/>
    <x v="17"/>
    <s v="[VDS] - Cashloan LP"/>
    <x v="0"/>
    <n v="0"/>
  </r>
  <r>
    <x v="74"/>
    <x v="0"/>
    <x v="2"/>
    <n v="12"/>
    <n v="16"/>
    <x v="18"/>
    <s v="[VDS] - Cashloan"/>
    <x v="0"/>
    <n v="0"/>
  </r>
  <r>
    <x v="74"/>
    <x v="0"/>
    <x v="2"/>
    <n v="12"/>
    <n v="16"/>
    <x v="19"/>
    <s v="[VDS] - Payday"/>
    <x v="3"/>
    <n v="12140280000"/>
  </r>
  <r>
    <x v="74"/>
    <x v="0"/>
    <x v="2"/>
    <n v="12"/>
    <n v="16"/>
    <x v="20"/>
    <s v="[VDS] - Paylater"/>
    <x v="1"/>
    <n v="199800737"/>
  </r>
  <r>
    <x v="74"/>
    <x v="0"/>
    <x v="2"/>
    <n v="12"/>
    <n v="16"/>
    <x v="21"/>
    <s v="[VDS] - Payroll Cashloan"/>
    <x v="0"/>
    <n v="51500000"/>
  </r>
  <r>
    <x v="74"/>
    <x v="0"/>
    <x v="2"/>
    <n v="12"/>
    <n v="16"/>
    <x v="22"/>
    <s v="[VDS] - Payroll Payday"/>
    <x v="3"/>
    <n v="25000000"/>
  </r>
  <r>
    <x v="74"/>
    <x v="0"/>
    <x v="2"/>
    <n v="12"/>
    <n v="16"/>
    <x v="23"/>
    <s v="[VNPAY] - Cashloan"/>
    <x v="0"/>
    <n v="695310000"/>
  </r>
  <r>
    <x v="74"/>
    <x v="0"/>
    <x v="2"/>
    <n v="12"/>
    <n v="16"/>
    <x v="24"/>
    <s v="[VNPAY] - Payday"/>
    <x v="3"/>
    <n v="311472000"/>
  </r>
  <r>
    <x v="74"/>
    <x v="0"/>
    <x v="2"/>
    <n v="12"/>
    <n v="16"/>
    <x v="25"/>
    <s v="[VNPAY] - Paylater"/>
    <x v="1"/>
    <n v="262504491"/>
  </r>
  <r>
    <x v="74"/>
    <x v="0"/>
    <x v="2"/>
    <n v="12"/>
    <n v="16"/>
    <x v="26"/>
    <s v="[ZLP] - Cashloan"/>
    <x v="0"/>
    <n v="3685390000"/>
  </r>
  <r>
    <x v="74"/>
    <x v="0"/>
    <x v="2"/>
    <n v="12"/>
    <n v="16"/>
    <x v="27"/>
    <s v="[ZLP] - Payday"/>
    <x v="3"/>
    <n v="303264000"/>
  </r>
  <r>
    <x v="75"/>
    <x v="0"/>
    <x v="2"/>
    <n v="12"/>
    <n v="17"/>
    <x v="0"/>
    <s v="[BE] - Cashloan"/>
    <x v="0"/>
    <n v="689880000"/>
  </r>
  <r>
    <x v="75"/>
    <x v="0"/>
    <x v="2"/>
    <n v="12"/>
    <n v="17"/>
    <x v="1"/>
    <s v="[BE] - Paylater"/>
    <x v="1"/>
    <n v="287745140"/>
  </r>
  <r>
    <x v="75"/>
    <x v="0"/>
    <x v="2"/>
    <n v="12"/>
    <n v="17"/>
    <x v="2"/>
    <s v="[Cake] - Cashloan"/>
    <x v="0"/>
    <n v="10769930000"/>
  </r>
  <r>
    <x v="75"/>
    <x v="0"/>
    <x v="2"/>
    <n v="12"/>
    <n v="17"/>
    <x v="3"/>
    <s v="[Cake] - Overdraft"/>
    <x v="2"/>
    <n v="1636874628"/>
  </r>
  <r>
    <x v="75"/>
    <x v="0"/>
    <x v="2"/>
    <n v="12"/>
    <n v="17"/>
    <x v="4"/>
    <s v="[Cake] - Payday"/>
    <x v="3"/>
    <n v="12807828000"/>
  </r>
  <r>
    <x v="75"/>
    <x v="0"/>
    <x v="2"/>
    <n v="12"/>
    <n v="17"/>
    <x v="5"/>
    <s v="[FPT] - Paylater"/>
    <x v="1"/>
    <n v="2576000"/>
  </r>
  <r>
    <x v="75"/>
    <x v="0"/>
    <x v="2"/>
    <n v="12"/>
    <n v="17"/>
    <x v="6"/>
    <s v="[MISA] - Cashloan"/>
    <x v="0"/>
    <n v="140000000"/>
  </r>
  <r>
    <x v="75"/>
    <x v="0"/>
    <x v="2"/>
    <n v="12"/>
    <n v="17"/>
    <x v="7"/>
    <s v="[MWG] - Cashloan"/>
    <x v="0"/>
    <n v="2809160000"/>
  </r>
  <r>
    <x v="75"/>
    <x v="0"/>
    <x v="2"/>
    <n v="12"/>
    <n v="17"/>
    <x v="8"/>
    <s v="[MWG] - Cashloan"/>
    <x v="0"/>
    <n v="833370000"/>
  </r>
  <r>
    <x v="75"/>
    <x v="0"/>
    <x v="2"/>
    <n v="12"/>
    <n v="17"/>
    <x v="9"/>
    <s v="[MWG] - Paylater"/>
    <x v="1"/>
    <n v="8492997"/>
  </r>
  <r>
    <x v="75"/>
    <x v="0"/>
    <x v="2"/>
    <n v="12"/>
    <n v="17"/>
    <x v="10"/>
    <s v="[MWG] - Paylater"/>
    <x v="1"/>
    <n v="974785500"/>
  </r>
  <r>
    <x v="75"/>
    <x v="0"/>
    <x v="2"/>
    <n v="12"/>
    <n v="17"/>
    <x v="11"/>
    <s v="[NGS] - Cashloan"/>
    <x v="0"/>
    <n v="0"/>
  </r>
  <r>
    <x v="75"/>
    <x v="0"/>
    <x v="2"/>
    <n v="12"/>
    <n v="17"/>
    <x v="12"/>
    <s v="[VNPOST] - Cashloan"/>
    <x v="0"/>
    <n v="41500000"/>
  </r>
  <r>
    <x v="75"/>
    <x v="0"/>
    <x v="2"/>
    <n v="12"/>
    <n v="17"/>
    <x v="13"/>
    <s v="[VNPOST] - Cashloan"/>
    <x v="0"/>
    <n v="0"/>
  </r>
  <r>
    <x v="75"/>
    <x v="0"/>
    <x v="2"/>
    <n v="12"/>
    <n v="17"/>
    <x v="14"/>
    <s v="[VDS] - Cashloan"/>
    <x v="0"/>
    <n v="17827750000"/>
  </r>
  <r>
    <x v="75"/>
    <x v="0"/>
    <x v="2"/>
    <n v="12"/>
    <n v="17"/>
    <x v="15"/>
    <s v="[VDS] - Cashloan LP"/>
    <x v="0"/>
    <n v="0"/>
  </r>
  <r>
    <x v="75"/>
    <x v="0"/>
    <x v="2"/>
    <n v="12"/>
    <n v="17"/>
    <x v="16"/>
    <s v="[VDS] - Cashloan LP"/>
    <x v="0"/>
    <n v="0"/>
  </r>
  <r>
    <x v="75"/>
    <x v="0"/>
    <x v="2"/>
    <n v="12"/>
    <n v="17"/>
    <x v="17"/>
    <s v="[VDS] - Cashloan LP"/>
    <x v="0"/>
    <n v="0"/>
  </r>
  <r>
    <x v="75"/>
    <x v="0"/>
    <x v="2"/>
    <n v="12"/>
    <n v="17"/>
    <x v="18"/>
    <s v="[VDS] - Cashloan"/>
    <x v="0"/>
    <n v="0"/>
  </r>
  <r>
    <x v="75"/>
    <x v="0"/>
    <x v="2"/>
    <n v="12"/>
    <n v="17"/>
    <x v="19"/>
    <s v="[VDS] - Payday"/>
    <x v="3"/>
    <n v="11693592000"/>
  </r>
  <r>
    <x v="75"/>
    <x v="0"/>
    <x v="2"/>
    <n v="12"/>
    <n v="17"/>
    <x v="20"/>
    <s v="[VDS] - Paylater"/>
    <x v="1"/>
    <n v="155065377"/>
  </r>
  <r>
    <x v="75"/>
    <x v="0"/>
    <x v="2"/>
    <n v="12"/>
    <n v="17"/>
    <x v="21"/>
    <s v="[VDS] - Payroll Cashloan"/>
    <x v="0"/>
    <n v="36750000"/>
  </r>
  <r>
    <x v="75"/>
    <x v="0"/>
    <x v="2"/>
    <n v="12"/>
    <n v="17"/>
    <x v="22"/>
    <s v="[VDS] - Payroll Payday"/>
    <x v="3"/>
    <n v="45000000"/>
  </r>
  <r>
    <x v="75"/>
    <x v="0"/>
    <x v="2"/>
    <n v="12"/>
    <n v="17"/>
    <x v="23"/>
    <s v="[VNPAY] - Cashloan"/>
    <x v="0"/>
    <n v="822140000"/>
  </r>
  <r>
    <x v="75"/>
    <x v="0"/>
    <x v="2"/>
    <n v="12"/>
    <n v="17"/>
    <x v="24"/>
    <s v="[VNPAY] - Payday"/>
    <x v="3"/>
    <n v="332532000"/>
  </r>
  <r>
    <x v="75"/>
    <x v="0"/>
    <x v="2"/>
    <n v="12"/>
    <n v="17"/>
    <x v="25"/>
    <s v="[VNPAY] - Paylater"/>
    <x v="1"/>
    <n v="253690101"/>
  </r>
  <r>
    <x v="75"/>
    <x v="0"/>
    <x v="2"/>
    <n v="12"/>
    <n v="17"/>
    <x v="26"/>
    <s v="[ZLP] - Cashloan"/>
    <x v="0"/>
    <n v="3012840000"/>
  </r>
  <r>
    <x v="75"/>
    <x v="0"/>
    <x v="2"/>
    <n v="12"/>
    <n v="17"/>
    <x v="27"/>
    <s v="[ZLP] - Payday"/>
    <x v="3"/>
    <n v="308016000"/>
  </r>
  <r>
    <x v="76"/>
    <x v="0"/>
    <x v="2"/>
    <n v="12"/>
    <n v="18"/>
    <x v="0"/>
    <s v="[BE] - Cashloan"/>
    <x v="0"/>
    <n v="790190000"/>
  </r>
  <r>
    <x v="76"/>
    <x v="0"/>
    <x v="2"/>
    <n v="12"/>
    <n v="18"/>
    <x v="1"/>
    <s v="[BE] - Paylater"/>
    <x v="1"/>
    <n v="296570474"/>
  </r>
  <r>
    <x v="76"/>
    <x v="0"/>
    <x v="2"/>
    <n v="12"/>
    <n v="18"/>
    <x v="2"/>
    <s v="[Cake] - Cashloan"/>
    <x v="0"/>
    <n v="15602770000"/>
  </r>
  <r>
    <x v="76"/>
    <x v="0"/>
    <x v="2"/>
    <n v="12"/>
    <n v="18"/>
    <x v="3"/>
    <s v="[Cake] - Overdraft"/>
    <x v="2"/>
    <n v="1479101155"/>
  </r>
  <r>
    <x v="76"/>
    <x v="0"/>
    <x v="2"/>
    <n v="12"/>
    <n v="18"/>
    <x v="4"/>
    <s v="[Cake] - Payday"/>
    <x v="3"/>
    <n v="12733848000"/>
  </r>
  <r>
    <x v="76"/>
    <x v="0"/>
    <x v="2"/>
    <n v="12"/>
    <n v="18"/>
    <x v="5"/>
    <s v="[FPT] - Paylater"/>
    <x v="1"/>
    <n v="2074804"/>
  </r>
  <r>
    <x v="76"/>
    <x v="0"/>
    <x v="2"/>
    <n v="12"/>
    <n v="18"/>
    <x v="6"/>
    <s v="[MISA] - Cashloan"/>
    <x v="0"/>
    <n v="0"/>
  </r>
  <r>
    <x v="76"/>
    <x v="0"/>
    <x v="2"/>
    <n v="12"/>
    <n v="18"/>
    <x v="7"/>
    <s v="[MWG] - Cashloan"/>
    <x v="0"/>
    <n v="2304920000"/>
  </r>
  <r>
    <x v="76"/>
    <x v="0"/>
    <x v="2"/>
    <n v="12"/>
    <n v="18"/>
    <x v="8"/>
    <s v="[MWG] - Cashloan"/>
    <x v="0"/>
    <n v="1060050000"/>
  </r>
  <r>
    <x v="76"/>
    <x v="0"/>
    <x v="2"/>
    <n v="12"/>
    <n v="18"/>
    <x v="9"/>
    <s v="[MWG] - Paylater"/>
    <x v="1"/>
    <n v="2390000"/>
  </r>
  <r>
    <x v="76"/>
    <x v="0"/>
    <x v="2"/>
    <n v="12"/>
    <n v="18"/>
    <x v="10"/>
    <s v="[MWG] - Paylater"/>
    <x v="1"/>
    <n v="861633067"/>
  </r>
  <r>
    <x v="76"/>
    <x v="0"/>
    <x v="2"/>
    <n v="12"/>
    <n v="18"/>
    <x v="11"/>
    <s v="[NGS] - Cashloan"/>
    <x v="0"/>
    <n v="0"/>
  </r>
  <r>
    <x v="76"/>
    <x v="0"/>
    <x v="2"/>
    <n v="12"/>
    <n v="18"/>
    <x v="12"/>
    <s v="[VNPOST] - Cashloan"/>
    <x v="0"/>
    <n v="57250000"/>
  </r>
  <r>
    <x v="76"/>
    <x v="0"/>
    <x v="2"/>
    <n v="12"/>
    <n v="18"/>
    <x v="13"/>
    <s v="[VNPOST] - Cashloan"/>
    <x v="0"/>
    <n v="0"/>
  </r>
  <r>
    <x v="76"/>
    <x v="0"/>
    <x v="2"/>
    <n v="12"/>
    <n v="18"/>
    <x v="14"/>
    <s v="[VDS] - Cashloan"/>
    <x v="0"/>
    <n v="18102430000"/>
  </r>
  <r>
    <x v="76"/>
    <x v="0"/>
    <x v="2"/>
    <n v="12"/>
    <n v="18"/>
    <x v="15"/>
    <s v="[VDS] - Cashloan LP"/>
    <x v="0"/>
    <n v="0"/>
  </r>
  <r>
    <x v="76"/>
    <x v="0"/>
    <x v="2"/>
    <n v="12"/>
    <n v="18"/>
    <x v="16"/>
    <s v="[VDS] - Cashloan LP"/>
    <x v="0"/>
    <n v="0"/>
  </r>
  <r>
    <x v="76"/>
    <x v="0"/>
    <x v="2"/>
    <n v="12"/>
    <n v="18"/>
    <x v="17"/>
    <s v="[VDS] - Cashloan LP"/>
    <x v="0"/>
    <n v="0"/>
  </r>
  <r>
    <x v="76"/>
    <x v="0"/>
    <x v="2"/>
    <n v="12"/>
    <n v="18"/>
    <x v="18"/>
    <s v="[VDS] - Cashloan"/>
    <x v="0"/>
    <n v="0"/>
  </r>
  <r>
    <x v="76"/>
    <x v="0"/>
    <x v="2"/>
    <n v="12"/>
    <n v="18"/>
    <x v="19"/>
    <s v="[VDS] - Payday"/>
    <x v="3"/>
    <n v="11252088000"/>
  </r>
  <r>
    <x v="76"/>
    <x v="0"/>
    <x v="2"/>
    <n v="12"/>
    <n v="18"/>
    <x v="20"/>
    <s v="[VDS] - Paylater"/>
    <x v="1"/>
    <n v="133540913"/>
  </r>
  <r>
    <x v="76"/>
    <x v="0"/>
    <x v="2"/>
    <n v="12"/>
    <n v="18"/>
    <x v="21"/>
    <s v="[VDS] - Payroll Cashloan"/>
    <x v="0"/>
    <n v="68250000"/>
  </r>
  <r>
    <x v="76"/>
    <x v="0"/>
    <x v="2"/>
    <n v="12"/>
    <n v="18"/>
    <x v="22"/>
    <s v="[VDS] - Payroll Payday"/>
    <x v="3"/>
    <n v="41000000"/>
  </r>
  <r>
    <x v="76"/>
    <x v="0"/>
    <x v="2"/>
    <n v="12"/>
    <n v="18"/>
    <x v="23"/>
    <s v="[VNPAY] - Cashloan"/>
    <x v="0"/>
    <n v="843090000"/>
  </r>
  <r>
    <x v="76"/>
    <x v="0"/>
    <x v="2"/>
    <n v="12"/>
    <n v="18"/>
    <x v="24"/>
    <s v="[VNPAY] - Payday"/>
    <x v="3"/>
    <n v="337176000"/>
  </r>
  <r>
    <x v="76"/>
    <x v="0"/>
    <x v="2"/>
    <n v="12"/>
    <n v="18"/>
    <x v="25"/>
    <s v="[VNPAY] - Paylater"/>
    <x v="1"/>
    <n v="206571311"/>
  </r>
  <r>
    <x v="76"/>
    <x v="0"/>
    <x v="2"/>
    <n v="12"/>
    <n v="18"/>
    <x v="26"/>
    <s v="[ZLP] - Cashloan"/>
    <x v="0"/>
    <n v="2777110000"/>
  </r>
  <r>
    <x v="76"/>
    <x v="0"/>
    <x v="2"/>
    <n v="12"/>
    <n v="18"/>
    <x v="27"/>
    <s v="[ZLP] - Payday"/>
    <x v="3"/>
    <n v="326268000"/>
  </r>
  <r>
    <x v="77"/>
    <x v="0"/>
    <x v="2"/>
    <n v="12"/>
    <n v="19"/>
    <x v="0"/>
    <s v="[BE] - Cashloan"/>
    <x v="0"/>
    <n v="753550000"/>
  </r>
  <r>
    <x v="77"/>
    <x v="0"/>
    <x v="2"/>
    <n v="12"/>
    <n v="19"/>
    <x v="1"/>
    <s v="[BE] - Paylater"/>
    <x v="1"/>
    <n v="306159731"/>
  </r>
  <r>
    <x v="77"/>
    <x v="0"/>
    <x v="2"/>
    <n v="12"/>
    <n v="19"/>
    <x v="2"/>
    <s v="[Cake] - Cashloan"/>
    <x v="0"/>
    <n v="16671240000"/>
  </r>
  <r>
    <x v="77"/>
    <x v="0"/>
    <x v="2"/>
    <n v="12"/>
    <n v="19"/>
    <x v="3"/>
    <s v="[Cake] - Overdraft"/>
    <x v="2"/>
    <n v="1463978226"/>
  </r>
  <r>
    <x v="77"/>
    <x v="0"/>
    <x v="2"/>
    <n v="12"/>
    <n v="19"/>
    <x v="4"/>
    <s v="[Cake] - Payday"/>
    <x v="3"/>
    <n v="12993696000"/>
  </r>
  <r>
    <x v="77"/>
    <x v="0"/>
    <x v="2"/>
    <n v="12"/>
    <n v="19"/>
    <x v="5"/>
    <s v="[FPT] - Paylater"/>
    <x v="1"/>
    <n v="0"/>
  </r>
  <r>
    <x v="77"/>
    <x v="0"/>
    <x v="2"/>
    <n v="12"/>
    <n v="19"/>
    <x v="6"/>
    <s v="[MISA] - Cashloan"/>
    <x v="0"/>
    <n v="0"/>
  </r>
  <r>
    <x v="77"/>
    <x v="0"/>
    <x v="2"/>
    <n v="12"/>
    <n v="19"/>
    <x v="7"/>
    <s v="[MWG] - Cashloan"/>
    <x v="0"/>
    <n v="2331900000"/>
  </r>
  <r>
    <x v="77"/>
    <x v="0"/>
    <x v="2"/>
    <n v="12"/>
    <n v="19"/>
    <x v="8"/>
    <s v="[MWG] - Cashloan"/>
    <x v="0"/>
    <n v="646270000"/>
  </r>
  <r>
    <x v="77"/>
    <x v="0"/>
    <x v="2"/>
    <n v="12"/>
    <n v="19"/>
    <x v="9"/>
    <s v="[MWG] - Paylater"/>
    <x v="1"/>
    <n v="0"/>
  </r>
  <r>
    <x v="77"/>
    <x v="0"/>
    <x v="2"/>
    <n v="12"/>
    <n v="19"/>
    <x v="10"/>
    <s v="[MWG] - Paylater"/>
    <x v="1"/>
    <n v="714632375"/>
  </r>
  <r>
    <x v="77"/>
    <x v="0"/>
    <x v="2"/>
    <n v="12"/>
    <n v="19"/>
    <x v="11"/>
    <s v="[NGS] - Cashloan"/>
    <x v="0"/>
    <n v="0"/>
  </r>
  <r>
    <x v="77"/>
    <x v="0"/>
    <x v="2"/>
    <n v="12"/>
    <n v="19"/>
    <x v="12"/>
    <s v="[VNPOST] - Cashloan"/>
    <x v="0"/>
    <n v="30750000"/>
  </r>
  <r>
    <x v="77"/>
    <x v="0"/>
    <x v="2"/>
    <n v="12"/>
    <n v="19"/>
    <x v="13"/>
    <s v="[VNPOST] - Cashloan"/>
    <x v="0"/>
    <n v="90000000"/>
  </r>
  <r>
    <x v="77"/>
    <x v="0"/>
    <x v="2"/>
    <n v="12"/>
    <n v="19"/>
    <x v="14"/>
    <s v="[VDS] - Cashloan"/>
    <x v="0"/>
    <n v="17639360000"/>
  </r>
  <r>
    <x v="77"/>
    <x v="0"/>
    <x v="2"/>
    <n v="12"/>
    <n v="19"/>
    <x v="15"/>
    <s v="[VDS] - Cashloan LP"/>
    <x v="0"/>
    <n v="0"/>
  </r>
  <r>
    <x v="77"/>
    <x v="0"/>
    <x v="2"/>
    <n v="12"/>
    <n v="19"/>
    <x v="16"/>
    <s v="[VDS] - Cashloan LP"/>
    <x v="0"/>
    <n v="0"/>
  </r>
  <r>
    <x v="77"/>
    <x v="0"/>
    <x v="2"/>
    <n v="12"/>
    <n v="19"/>
    <x v="17"/>
    <s v="[VDS] - Cashloan LP"/>
    <x v="0"/>
    <n v="0"/>
  </r>
  <r>
    <x v="77"/>
    <x v="0"/>
    <x v="2"/>
    <n v="12"/>
    <n v="19"/>
    <x v="18"/>
    <s v="[VDS] - Cashloan"/>
    <x v="0"/>
    <n v="0"/>
  </r>
  <r>
    <x v="77"/>
    <x v="0"/>
    <x v="2"/>
    <n v="12"/>
    <n v="19"/>
    <x v="19"/>
    <s v="[VDS] - Payday"/>
    <x v="3"/>
    <n v="10874196000"/>
  </r>
  <r>
    <x v="77"/>
    <x v="0"/>
    <x v="2"/>
    <n v="12"/>
    <n v="19"/>
    <x v="20"/>
    <s v="[VDS] - Paylater"/>
    <x v="1"/>
    <n v="129135792"/>
  </r>
  <r>
    <x v="77"/>
    <x v="0"/>
    <x v="2"/>
    <n v="12"/>
    <n v="19"/>
    <x v="21"/>
    <s v="[VDS] - Payroll Cashloan"/>
    <x v="0"/>
    <n v="42000000"/>
  </r>
  <r>
    <x v="77"/>
    <x v="0"/>
    <x v="2"/>
    <n v="12"/>
    <n v="19"/>
    <x v="22"/>
    <s v="[VDS] - Payroll Payday"/>
    <x v="3"/>
    <n v="58000000"/>
  </r>
  <r>
    <x v="77"/>
    <x v="0"/>
    <x v="2"/>
    <n v="12"/>
    <n v="19"/>
    <x v="23"/>
    <s v="[VNPAY] - Cashloan"/>
    <x v="0"/>
    <n v="810750000"/>
  </r>
  <r>
    <x v="77"/>
    <x v="0"/>
    <x v="2"/>
    <n v="12"/>
    <n v="19"/>
    <x v="24"/>
    <s v="[VNPAY] - Payday"/>
    <x v="3"/>
    <n v="306396000"/>
  </r>
  <r>
    <x v="77"/>
    <x v="0"/>
    <x v="2"/>
    <n v="12"/>
    <n v="19"/>
    <x v="25"/>
    <s v="[VNPAY] - Paylater"/>
    <x v="1"/>
    <n v="237133397"/>
  </r>
  <r>
    <x v="77"/>
    <x v="0"/>
    <x v="2"/>
    <n v="12"/>
    <n v="19"/>
    <x v="26"/>
    <s v="[ZLP] - Cashloan"/>
    <x v="0"/>
    <n v="3403850000"/>
  </r>
  <r>
    <x v="77"/>
    <x v="0"/>
    <x v="2"/>
    <n v="12"/>
    <n v="19"/>
    <x v="27"/>
    <s v="[ZLP] - Payday"/>
    <x v="3"/>
    <n v="370116000"/>
  </r>
  <r>
    <x v="78"/>
    <x v="0"/>
    <x v="2"/>
    <n v="12"/>
    <n v="20"/>
    <x v="0"/>
    <s v="[BE] - Cashloan"/>
    <x v="0"/>
    <n v="655130000"/>
  </r>
  <r>
    <x v="78"/>
    <x v="0"/>
    <x v="2"/>
    <n v="12"/>
    <n v="20"/>
    <x v="1"/>
    <s v="[BE] - Paylater"/>
    <x v="1"/>
    <n v="333714600"/>
  </r>
  <r>
    <x v="78"/>
    <x v="0"/>
    <x v="2"/>
    <n v="12"/>
    <n v="20"/>
    <x v="2"/>
    <s v="[Cake] - Cashloan"/>
    <x v="0"/>
    <n v="23880010000"/>
  </r>
  <r>
    <x v="78"/>
    <x v="0"/>
    <x v="2"/>
    <n v="12"/>
    <n v="20"/>
    <x v="3"/>
    <s v="[Cake] - Overdraft"/>
    <x v="2"/>
    <n v="1567932673"/>
  </r>
  <r>
    <x v="78"/>
    <x v="0"/>
    <x v="2"/>
    <n v="12"/>
    <n v="20"/>
    <x v="4"/>
    <s v="[Cake] - Payday"/>
    <x v="3"/>
    <n v="13876920000"/>
  </r>
  <r>
    <x v="78"/>
    <x v="0"/>
    <x v="2"/>
    <n v="12"/>
    <n v="20"/>
    <x v="5"/>
    <s v="[FPT] - Paylater"/>
    <x v="1"/>
    <n v="6170882"/>
  </r>
  <r>
    <x v="78"/>
    <x v="0"/>
    <x v="2"/>
    <n v="12"/>
    <n v="20"/>
    <x v="6"/>
    <s v="[MISA] - Cashloan"/>
    <x v="0"/>
    <n v="90000000"/>
  </r>
  <r>
    <x v="78"/>
    <x v="0"/>
    <x v="2"/>
    <n v="12"/>
    <n v="20"/>
    <x v="7"/>
    <s v="[MWG] - Cashloan"/>
    <x v="0"/>
    <n v="2169670000"/>
  </r>
  <r>
    <x v="78"/>
    <x v="0"/>
    <x v="2"/>
    <n v="12"/>
    <n v="20"/>
    <x v="8"/>
    <s v="[MWG] - Cashloan"/>
    <x v="0"/>
    <n v="943600000"/>
  </r>
  <r>
    <x v="78"/>
    <x v="0"/>
    <x v="2"/>
    <n v="12"/>
    <n v="20"/>
    <x v="9"/>
    <s v="[MWG] - Paylater"/>
    <x v="1"/>
    <n v="3074683"/>
  </r>
  <r>
    <x v="78"/>
    <x v="0"/>
    <x v="2"/>
    <n v="12"/>
    <n v="20"/>
    <x v="10"/>
    <s v="[MWG] - Paylater"/>
    <x v="1"/>
    <n v="777976238"/>
  </r>
  <r>
    <x v="78"/>
    <x v="0"/>
    <x v="2"/>
    <n v="12"/>
    <n v="20"/>
    <x v="11"/>
    <s v="[NGS] - Cashloan"/>
    <x v="0"/>
    <n v="0"/>
  </r>
  <r>
    <x v="78"/>
    <x v="0"/>
    <x v="2"/>
    <n v="12"/>
    <n v="20"/>
    <x v="12"/>
    <s v="[VNPOST] - Cashloan"/>
    <x v="0"/>
    <n v="112650000"/>
  </r>
  <r>
    <x v="78"/>
    <x v="0"/>
    <x v="2"/>
    <n v="12"/>
    <n v="20"/>
    <x v="13"/>
    <s v="[VNPOST] - Cashloan"/>
    <x v="0"/>
    <n v="0"/>
  </r>
  <r>
    <x v="78"/>
    <x v="0"/>
    <x v="2"/>
    <n v="12"/>
    <n v="20"/>
    <x v="14"/>
    <s v="[VDS] - Cashloan"/>
    <x v="0"/>
    <n v="18118340000"/>
  </r>
  <r>
    <x v="78"/>
    <x v="0"/>
    <x v="2"/>
    <n v="12"/>
    <n v="20"/>
    <x v="15"/>
    <s v="[VDS] - Cashloan LP"/>
    <x v="0"/>
    <n v="0"/>
  </r>
  <r>
    <x v="78"/>
    <x v="0"/>
    <x v="2"/>
    <n v="12"/>
    <n v="20"/>
    <x v="16"/>
    <s v="[VDS] - Cashloan LP"/>
    <x v="0"/>
    <n v="0"/>
  </r>
  <r>
    <x v="78"/>
    <x v="0"/>
    <x v="2"/>
    <n v="12"/>
    <n v="20"/>
    <x v="17"/>
    <s v="[VDS] - Cashloan LP"/>
    <x v="0"/>
    <n v="0"/>
  </r>
  <r>
    <x v="78"/>
    <x v="0"/>
    <x v="2"/>
    <n v="12"/>
    <n v="20"/>
    <x v="18"/>
    <s v="[VDS] - Cashloan"/>
    <x v="0"/>
    <n v="0"/>
  </r>
  <r>
    <x v="78"/>
    <x v="0"/>
    <x v="2"/>
    <n v="12"/>
    <n v="20"/>
    <x v="19"/>
    <s v="[VDS] - Payday"/>
    <x v="3"/>
    <n v="11708820000"/>
  </r>
  <r>
    <x v="78"/>
    <x v="0"/>
    <x v="2"/>
    <n v="12"/>
    <n v="20"/>
    <x v="20"/>
    <s v="[VDS] - Paylater"/>
    <x v="1"/>
    <n v="137125168"/>
  </r>
  <r>
    <x v="78"/>
    <x v="0"/>
    <x v="2"/>
    <n v="12"/>
    <n v="20"/>
    <x v="21"/>
    <s v="[VDS] - Payroll Cashloan"/>
    <x v="0"/>
    <n v="35700000"/>
  </r>
  <r>
    <x v="78"/>
    <x v="0"/>
    <x v="2"/>
    <n v="12"/>
    <n v="20"/>
    <x v="22"/>
    <s v="[VDS] - Payroll Payday"/>
    <x v="3"/>
    <n v="60000000"/>
  </r>
  <r>
    <x v="78"/>
    <x v="0"/>
    <x v="2"/>
    <n v="12"/>
    <n v="20"/>
    <x v="23"/>
    <s v="[VNPAY] - Cashloan"/>
    <x v="0"/>
    <n v="571890000"/>
  </r>
  <r>
    <x v="78"/>
    <x v="0"/>
    <x v="2"/>
    <n v="12"/>
    <n v="20"/>
    <x v="24"/>
    <s v="[VNPAY] - Payday"/>
    <x v="3"/>
    <n v="335232000"/>
  </r>
  <r>
    <x v="78"/>
    <x v="0"/>
    <x v="2"/>
    <n v="12"/>
    <n v="20"/>
    <x v="25"/>
    <s v="[VNPAY] - Paylater"/>
    <x v="1"/>
    <n v="231388445"/>
  </r>
  <r>
    <x v="78"/>
    <x v="0"/>
    <x v="2"/>
    <n v="12"/>
    <n v="20"/>
    <x v="26"/>
    <s v="[ZLP] - Cashloan"/>
    <x v="0"/>
    <n v="3367960000"/>
  </r>
  <r>
    <x v="78"/>
    <x v="0"/>
    <x v="2"/>
    <n v="12"/>
    <n v="20"/>
    <x v="27"/>
    <s v="[ZLP] - Payday"/>
    <x v="3"/>
    <n v="196020000"/>
  </r>
  <r>
    <x v="79"/>
    <x v="0"/>
    <x v="2"/>
    <n v="12"/>
    <n v="21"/>
    <x v="0"/>
    <s v="[BE] - Cashloan"/>
    <x v="0"/>
    <n v="734770000"/>
  </r>
  <r>
    <x v="79"/>
    <x v="0"/>
    <x v="2"/>
    <n v="12"/>
    <n v="21"/>
    <x v="1"/>
    <s v="[BE] - Paylater"/>
    <x v="1"/>
    <n v="319891352"/>
  </r>
  <r>
    <x v="79"/>
    <x v="0"/>
    <x v="2"/>
    <n v="12"/>
    <n v="21"/>
    <x v="2"/>
    <s v="[Cake] - Cashloan"/>
    <x v="0"/>
    <n v="18475940000"/>
  </r>
  <r>
    <x v="79"/>
    <x v="0"/>
    <x v="2"/>
    <n v="12"/>
    <n v="21"/>
    <x v="3"/>
    <s v="[Cake] - Overdraft"/>
    <x v="2"/>
    <n v="1471621421"/>
  </r>
  <r>
    <x v="79"/>
    <x v="0"/>
    <x v="2"/>
    <n v="12"/>
    <n v="21"/>
    <x v="4"/>
    <s v="[Cake] - Payday"/>
    <x v="3"/>
    <n v="12961836000"/>
  </r>
  <r>
    <x v="79"/>
    <x v="0"/>
    <x v="2"/>
    <n v="12"/>
    <n v="21"/>
    <x v="5"/>
    <s v="[FPT] - Paylater"/>
    <x v="1"/>
    <n v="6995860"/>
  </r>
  <r>
    <x v="79"/>
    <x v="0"/>
    <x v="2"/>
    <n v="12"/>
    <n v="21"/>
    <x v="6"/>
    <s v="[MISA] - Cashloan"/>
    <x v="0"/>
    <n v="90000000"/>
  </r>
  <r>
    <x v="79"/>
    <x v="0"/>
    <x v="2"/>
    <n v="12"/>
    <n v="21"/>
    <x v="7"/>
    <s v="[MWG] - Cashloan"/>
    <x v="0"/>
    <n v="2342230000"/>
  </r>
  <r>
    <x v="79"/>
    <x v="0"/>
    <x v="2"/>
    <n v="12"/>
    <n v="21"/>
    <x v="8"/>
    <s v="[MWG] - Cashloan"/>
    <x v="0"/>
    <n v="683760000"/>
  </r>
  <r>
    <x v="79"/>
    <x v="0"/>
    <x v="2"/>
    <n v="12"/>
    <n v="21"/>
    <x v="9"/>
    <s v="[MWG] - Paylater"/>
    <x v="1"/>
    <n v="16060990"/>
  </r>
  <r>
    <x v="79"/>
    <x v="0"/>
    <x v="2"/>
    <n v="12"/>
    <n v="21"/>
    <x v="10"/>
    <s v="[MWG] - Paylater"/>
    <x v="1"/>
    <n v="1271252878"/>
  </r>
  <r>
    <x v="79"/>
    <x v="0"/>
    <x v="2"/>
    <n v="12"/>
    <n v="21"/>
    <x v="11"/>
    <s v="[NGS] - Cashloan"/>
    <x v="0"/>
    <n v="0"/>
  </r>
  <r>
    <x v="79"/>
    <x v="0"/>
    <x v="2"/>
    <n v="12"/>
    <n v="21"/>
    <x v="12"/>
    <s v="[VNPOST] - Cashloan"/>
    <x v="0"/>
    <n v="26250000"/>
  </r>
  <r>
    <x v="79"/>
    <x v="0"/>
    <x v="2"/>
    <n v="12"/>
    <n v="21"/>
    <x v="13"/>
    <s v="[VNPOST] - Cashloan"/>
    <x v="0"/>
    <n v="0"/>
  </r>
  <r>
    <x v="79"/>
    <x v="0"/>
    <x v="2"/>
    <n v="12"/>
    <n v="21"/>
    <x v="14"/>
    <s v="[VDS] - Cashloan"/>
    <x v="0"/>
    <n v="16057500000"/>
  </r>
  <r>
    <x v="79"/>
    <x v="0"/>
    <x v="2"/>
    <n v="12"/>
    <n v="21"/>
    <x v="15"/>
    <s v="[VDS] - Cashloan LP"/>
    <x v="0"/>
    <n v="0"/>
  </r>
  <r>
    <x v="79"/>
    <x v="0"/>
    <x v="2"/>
    <n v="12"/>
    <n v="21"/>
    <x v="16"/>
    <s v="[VDS] - Cashloan LP"/>
    <x v="0"/>
    <n v="0"/>
  </r>
  <r>
    <x v="79"/>
    <x v="0"/>
    <x v="2"/>
    <n v="12"/>
    <n v="21"/>
    <x v="17"/>
    <s v="[VDS] - Cashloan LP"/>
    <x v="0"/>
    <n v="0"/>
  </r>
  <r>
    <x v="79"/>
    <x v="0"/>
    <x v="2"/>
    <n v="12"/>
    <n v="21"/>
    <x v="18"/>
    <s v="[VDS] - Cashloan"/>
    <x v="0"/>
    <n v="0"/>
  </r>
  <r>
    <x v="79"/>
    <x v="0"/>
    <x v="2"/>
    <n v="12"/>
    <n v="21"/>
    <x v="19"/>
    <s v="[VDS] - Payday"/>
    <x v="3"/>
    <n v="10785096000"/>
  </r>
  <r>
    <x v="79"/>
    <x v="0"/>
    <x v="2"/>
    <n v="12"/>
    <n v="21"/>
    <x v="20"/>
    <s v="[VDS] - Paylater"/>
    <x v="1"/>
    <n v="173243458"/>
  </r>
  <r>
    <x v="79"/>
    <x v="0"/>
    <x v="2"/>
    <n v="12"/>
    <n v="21"/>
    <x v="21"/>
    <s v="[VDS] - Payroll Cashloan"/>
    <x v="0"/>
    <n v="72500000"/>
  </r>
  <r>
    <x v="79"/>
    <x v="0"/>
    <x v="2"/>
    <n v="12"/>
    <n v="21"/>
    <x v="22"/>
    <s v="[VDS] - Payroll Payday"/>
    <x v="3"/>
    <n v="55000000"/>
  </r>
  <r>
    <x v="79"/>
    <x v="0"/>
    <x v="2"/>
    <n v="12"/>
    <n v="21"/>
    <x v="23"/>
    <s v="[VNPAY] - Cashloan"/>
    <x v="0"/>
    <n v="800800000"/>
  </r>
  <r>
    <x v="79"/>
    <x v="0"/>
    <x v="2"/>
    <n v="12"/>
    <n v="21"/>
    <x v="24"/>
    <s v="[VNPAY] - Payday"/>
    <x v="3"/>
    <n v="314928000"/>
  </r>
  <r>
    <x v="79"/>
    <x v="0"/>
    <x v="2"/>
    <n v="12"/>
    <n v="21"/>
    <x v="25"/>
    <s v="[VNPAY] - Paylater"/>
    <x v="1"/>
    <n v="252798773"/>
  </r>
  <r>
    <x v="79"/>
    <x v="0"/>
    <x v="2"/>
    <n v="12"/>
    <n v="21"/>
    <x v="26"/>
    <s v="[ZLP] - Cashloan"/>
    <x v="0"/>
    <n v="3304280000"/>
  </r>
  <r>
    <x v="79"/>
    <x v="0"/>
    <x v="2"/>
    <n v="12"/>
    <n v="21"/>
    <x v="27"/>
    <s v="[ZLP] - Payday"/>
    <x v="3"/>
    <n v="29160000"/>
  </r>
  <r>
    <x v="80"/>
    <x v="0"/>
    <x v="2"/>
    <n v="12"/>
    <n v="22"/>
    <x v="0"/>
    <s v="[BE] - Cashloan"/>
    <x v="0"/>
    <n v="607520000"/>
  </r>
  <r>
    <x v="80"/>
    <x v="0"/>
    <x v="2"/>
    <n v="12"/>
    <n v="22"/>
    <x v="1"/>
    <s v="[BE] - Paylater"/>
    <x v="1"/>
    <n v="342822230"/>
  </r>
  <r>
    <x v="80"/>
    <x v="0"/>
    <x v="2"/>
    <n v="12"/>
    <n v="22"/>
    <x v="2"/>
    <s v="[Cake] - Cashloan"/>
    <x v="0"/>
    <n v="14779100000"/>
  </r>
  <r>
    <x v="80"/>
    <x v="0"/>
    <x v="2"/>
    <n v="12"/>
    <n v="22"/>
    <x v="3"/>
    <s v="[Cake] - Overdraft"/>
    <x v="2"/>
    <n v="1530795139"/>
  </r>
  <r>
    <x v="80"/>
    <x v="0"/>
    <x v="2"/>
    <n v="12"/>
    <n v="22"/>
    <x v="4"/>
    <s v="[Cake] - Payday"/>
    <x v="3"/>
    <n v="12373560000"/>
  </r>
  <r>
    <x v="80"/>
    <x v="0"/>
    <x v="2"/>
    <n v="12"/>
    <n v="22"/>
    <x v="5"/>
    <s v="[FPT] - Paylater"/>
    <x v="1"/>
    <n v="1440172"/>
  </r>
  <r>
    <x v="80"/>
    <x v="0"/>
    <x v="2"/>
    <n v="12"/>
    <n v="22"/>
    <x v="6"/>
    <s v="[MISA] - Cashloan"/>
    <x v="0"/>
    <n v="0"/>
  </r>
  <r>
    <x v="80"/>
    <x v="0"/>
    <x v="2"/>
    <n v="12"/>
    <n v="22"/>
    <x v="7"/>
    <s v="[MWG] - Cashloan"/>
    <x v="0"/>
    <n v="2681070000"/>
  </r>
  <r>
    <x v="80"/>
    <x v="0"/>
    <x v="2"/>
    <n v="12"/>
    <n v="22"/>
    <x v="8"/>
    <s v="[MWG] - Cashloan"/>
    <x v="0"/>
    <n v="861180000"/>
  </r>
  <r>
    <x v="80"/>
    <x v="0"/>
    <x v="2"/>
    <n v="12"/>
    <n v="22"/>
    <x v="9"/>
    <s v="[MWG] - Paylater"/>
    <x v="1"/>
    <n v="3268232"/>
  </r>
  <r>
    <x v="80"/>
    <x v="0"/>
    <x v="2"/>
    <n v="12"/>
    <n v="22"/>
    <x v="10"/>
    <s v="[MWG] - Paylater"/>
    <x v="1"/>
    <n v="974267581"/>
  </r>
  <r>
    <x v="80"/>
    <x v="0"/>
    <x v="2"/>
    <n v="12"/>
    <n v="22"/>
    <x v="11"/>
    <s v="[NGS] - Cashloan"/>
    <x v="0"/>
    <n v="0"/>
  </r>
  <r>
    <x v="80"/>
    <x v="0"/>
    <x v="2"/>
    <n v="12"/>
    <n v="22"/>
    <x v="12"/>
    <s v="[VNPOST] - Cashloan"/>
    <x v="0"/>
    <n v="0"/>
  </r>
  <r>
    <x v="80"/>
    <x v="0"/>
    <x v="2"/>
    <n v="12"/>
    <n v="22"/>
    <x v="13"/>
    <s v="[VNPOST] - Cashloan"/>
    <x v="0"/>
    <n v="0"/>
  </r>
  <r>
    <x v="80"/>
    <x v="0"/>
    <x v="2"/>
    <n v="12"/>
    <n v="22"/>
    <x v="14"/>
    <s v="[VDS] - Cashloan"/>
    <x v="0"/>
    <n v="15876090000"/>
  </r>
  <r>
    <x v="80"/>
    <x v="0"/>
    <x v="2"/>
    <n v="12"/>
    <n v="22"/>
    <x v="15"/>
    <s v="[VDS] - Cashloan LP"/>
    <x v="0"/>
    <n v="0"/>
  </r>
  <r>
    <x v="80"/>
    <x v="0"/>
    <x v="2"/>
    <n v="12"/>
    <n v="22"/>
    <x v="16"/>
    <s v="[VDS] - Cashloan LP"/>
    <x v="0"/>
    <n v="0"/>
  </r>
  <r>
    <x v="80"/>
    <x v="0"/>
    <x v="2"/>
    <n v="12"/>
    <n v="22"/>
    <x v="17"/>
    <s v="[VDS] - Cashloan LP"/>
    <x v="0"/>
    <n v="0"/>
  </r>
  <r>
    <x v="80"/>
    <x v="0"/>
    <x v="2"/>
    <n v="12"/>
    <n v="22"/>
    <x v="18"/>
    <s v="[VDS] - Cashloan"/>
    <x v="0"/>
    <n v="0"/>
  </r>
  <r>
    <x v="80"/>
    <x v="0"/>
    <x v="2"/>
    <n v="12"/>
    <n v="22"/>
    <x v="19"/>
    <s v="[VDS] - Payday"/>
    <x v="3"/>
    <n v="11044404000"/>
  </r>
  <r>
    <x v="80"/>
    <x v="0"/>
    <x v="2"/>
    <n v="12"/>
    <n v="22"/>
    <x v="20"/>
    <s v="[VDS] - Paylater"/>
    <x v="1"/>
    <n v="139985406"/>
  </r>
  <r>
    <x v="80"/>
    <x v="0"/>
    <x v="2"/>
    <n v="12"/>
    <n v="22"/>
    <x v="21"/>
    <s v="[VDS] - Payroll Cashloan"/>
    <x v="0"/>
    <n v="42000000"/>
  </r>
  <r>
    <x v="80"/>
    <x v="0"/>
    <x v="2"/>
    <n v="12"/>
    <n v="22"/>
    <x v="22"/>
    <s v="[VDS] - Payroll Payday"/>
    <x v="3"/>
    <n v="49000000"/>
  </r>
  <r>
    <x v="80"/>
    <x v="0"/>
    <x v="2"/>
    <n v="12"/>
    <n v="22"/>
    <x v="23"/>
    <s v="[VNPAY] - Cashloan"/>
    <x v="0"/>
    <n v="572920000"/>
  </r>
  <r>
    <x v="80"/>
    <x v="0"/>
    <x v="2"/>
    <n v="12"/>
    <n v="22"/>
    <x v="24"/>
    <s v="[VNPAY] - Payday"/>
    <x v="3"/>
    <n v="266868000"/>
  </r>
  <r>
    <x v="80"/>
    <x v="0"/>
    <x v="2"/>
    <n v="12"/>
    <n v="22"/>
    <x v="25"/>
    <s v="[VNPAY] - Paylater"/>
    <x v="1"/>
    <n v="319332411"/>
  </r>
  <r>
    <x v="80"/>
    <x v="0"/>
    <x v="2"/>
    <n v="12"/>
    <n v="22"/>
    <x v="26"/>
    <s v="[ZLP] - Cashloan"/>
    <x v="0"/>
    <n v="2796330000"/>
  </r>
  <r>
    <x v="80"/>
    <x v="0"/>
    <x v="2"/>
    <n v="12"/>
    <n v="22"/>
    <x v="27"/>
    <s v="[ZLP] - Payday"/>
    <x v="3"/>
    <n v="30240000"/>
  </r>
  <r>
    <x v="81"/>
    <x v="0"/>
    <x v="2"/>
    <n v="13"/>
    <n v="23"/>
    <x v="0"/>
    <s v="[BE] - Cashloan"/>
    <x v="0"/>
    <n v="695790000"/>
  </r>
  <r>
    <x v="81"/>
    <x v="0"/>
    <x v="2"/>
    <n v="13"/>
    <n v="23"/>
    <x v="1"/>
    <s v="[BE] - Paylater"/>
    <x v="1"/>
    <n v="278930554"/>
  </r>
  <r>
    <x v="81"/>
    <x v="0"/>
    <x v="2"/>
    <n v="13"/>
    <n v="23"/>
    <x v="2"/>
    <s v="[Cake] - Cashloan"/>
    <x v="0"/>
    <n v="18739380000"/>
  </r>
  <r>
    <x v="81"/>
    <x v="0"/>
    <x v="2"/>
    <n v="13"/>
    <n v="23"/>
    <x v="3"/>
    <s v="[Cake] - Overdraft"/>
    <x v="2"/>
    <n v="1527725458"/>
  </r>
  <r>
    <x v="81"/>
    <x v="0"/>
    <x v="2"/>
    <n v="13"/>
    <n v="23"/>
    <x v="4"/>
    <s v="[Cake] - Payday"/>
    <x v="3"/>
    <n v="13494276000"/>
  </r>
  <r>
    <x v="81"/>
    <x v="0"/>
    <x v="2"/>
    <n v="13"/>
    <n v="23"/>
    <x v="5"/>
    <s v="[FPT] - Paylater"/>
    <x v="1"/>
    <n v="13556549"/>
  </r>
  <r>
    <x v="81"/>
    <x v="0"/>
    <x v="2"/>
    <n v="13"/>
    <n v="23"/>
    <x v="6"/>
    <s v="[MISA] - Cashloan"/>
    <x v="0"/>
    <n v="50000000"/>
  </r>
  <r>
    <x v="81"/>
    <x v="0"/>
    <x v="2"/>
    <n v="13"/>
    <n v="23"/>
    <x v="7"/>
    <s v="[MWG] - Cashloan"/>
    <x v="0"/>
    <n v="1886090000"/>
  </r>
  <r>
    <x v="81"/>
    <x v="0"/>
    <x v="2"/>
    <n v="13"/>
    <n v="23"/>
    <x v="8"/>
    <s v="[MWG] - Cashloan"/>
    <x v="0"/>
    <n v="638650000"/>
  </r>
  <r>
    <x v="81"/>
    <x v="0"/>
    <x v="2"/>
    <n v="13"/>
    <n v="23"/>
    <x v="9"/>
    <s v="[MWG] - Paylater"/>
    <x v="1"/>
    <n v="1103000"/>
  </r>
  <r>
    <x v="81"/>
    <x v="0"/>
    <x v="2"/>
    <n v="13"/>
    <n v="23"/>
    <x v="10"/>
    <s v="[MWG] - Paylater"/>
    <x v="1"/>
    <n v="761779372"/>
  </r>
  <r>
    <x v="81"/>
    <x v="0"/>
    <x v="2"/>
    <n v="13"/>
    <n v="23"/>
    <x v="11"/>
    <s v="[NGS] - Cashloan"/>
    <x v="0"/>
    <n v="0"/>
  </r>
  <r>
    <x v="81"/>
    <x v="0"/>
    <x v="2"/>
    <n v="13"/>
    <n v="23"/>
    <x v="12"/>
    <s v="[VNPOST] - Cashloan"/>
    <x v="0"/>
    <n v="73500000"/>
  </r>
  <r>
    <x v="81"/>
    <x v="0"/>
    <x v="2"/>
    <n v="13"/>
    <n v="23"/>
    <x v="13"/>
    <s v="[VNPOST] - Cashloan"/>
    <x v="0"/>
    <n v="0"/>
  </r>
  <r>
    <x v="81"/>
    <x v="0"/>
    <x v="2"/>
    <n v="13"/>
    <n v="23"/>
    <x v="14"/>
    <s v="[VDS] - Cashloan"/>
    <x v="0"/>
    <n v="17549970000"/>
  </r>
  <r>
    <x v="81"/>
    <x v="0"/>
    <x v="2"/>
    <n v="13"/>
    <n v="23"/>
    <x v="15"/>
    <s v="[VDS] - Cashloan LP"/>
    <x v="0"/>
    <n v="0"/>
  </r>
  <r>
    <x v="81"/>
    <x v="0"/>
    <x v="2"/>
    <n v="13"/>
    <n v="23"/>
    <x v="16"/>
    <s v="[VDS] - Cashloan LP"/>
    <x v="0"/>
    <n v="0"/>
  </r>
  <r>
    <x v="81"/>
    <x v="0"/>
    <x v="2"/>
    <n v="13"/>
    <n v="23"/>
    <x v="17"/>
    <s v="[VDS] - Cashloan LP"/>
    <x v="0"/>
    <n v="0"/>
  </r>
  <r>
    <x v="81"/>
    <x v="0"/>
    <x v="2"/>
    <n v="13"/>
    <n v="23"/>
    <x v="18"/>
    <s v="[VDS] - Cashloan"/>
    <x v="0"/>
    <n v="0"/>
  </r>
  <r>
    <x v="81"/>
    <x v="0"/>
    <x v="2"/>
    <n v="13"/>
    <n v="23"/>
    <x v="19"/>
    <s v="[VDS] - Payday"/>
    <x v="3"/>
    <n v="11250468000"/>
  </r>
  <r>
    <x v="81"/>
    <x v="0"/>
    <x v="2"/>
    <n v="13"/>
    <n v="23"/>
    <x v="20"/>
    <s v="[VDS] - Paylater"/>
    <x v="1"/>
    <n v="120630730"/>
  </r>
  <r>
    <x v="81"/>
    <x v="0"/>
    <x v="2"/>
    <n v="13"/>
    <n v="23"/>
    <x v="21"/>
    <s v="[VDS] - Payroll Cashloan"/>
    <x v="0"/>
    <n v="119700000"/>
  </r>
  <r>
    <x v="81"/>
    <x v="0"/>
    <x v="2"/>
    <n v="13"/>
    <n v="23"/>
    <x v="22"/>
    <s v="[VDS] - Payroll Payday"/>
    <x v="3"/>
    <n v="61000000"/>
  </r>
  <r>
    <x v="81"/>
    <x v="0"/>
    <x v="2"/>
    <n v="13"/>
    <n v="23"/>
    <x v="23"/>
    <s v="[VNPAY] - Cashloan"/>
    <x v="0"/>
    <n v="914960000"/>
  </r>
  <r>
    <x v="81"/>
    <x v="0"/>
    <x v="2"/>
    <n v="13"/>
    <n v="23"/>
    <x v="24"/>
    <s v="[VNPAY] - Payday"/>
    <x v="3"/>
    <n v="269136000"/>
  </r>
  <r>
    <x v="81"/>
    <x v="0"/>
    <x v="2"/>
    <n v="13"/>
    <n v="23"/>
    <x v="25"/>
    <s v="[VNPAY] - Paylater"/>
    <x v="1"/>
    <n v="317714985"/>
  </r>
  <r>
    <x v="81"/>
    <x v="0"/>
    <x v="2"/>
    <n v="13"/>
    <n v="23"/>
    <x v="26"/>
    <s v="[ZLP] - Cashloan"/>
    <x v="0"/>
    <n v="3001550000"/>
  </r>
  <r>
    <x v="81"/>
    <x v="0"/>
    <x v="2"/>
    <n v="13"/>
    <n v="23"/>
    <x v="27"/>
    <s v="[ZLP] - Payday"/>
    <x v="3"/>
    <n v="11880000"/>
  </r>
  <r>
    <x v="82"/>
    <x v="0"/>
    <x v="2"/>
    <n v="13"/>
    <n v="24"/>
    <x v="0"/>
    <s v="[BE] - Cashloan"/>
    <x v="0"/>
    <n v="730660000"/>
  </r>
  <r>
    <x v="82"/>
    <x v="0"/>
    <x v="2"/>
    <n v="13"/>
    <n v="24"/>
    <x v="1"/>
    <s v="[BE] - Paylater"/>
    <x v="1"/>
    <n v="307487767"/>
  </r>
  <r>
    <x v="82"/>
    <x v="0"/>
    <x v="2"/>
    <n v="13"/>
    <n v="24"/>
    <x v="2"/>
    <s v="[Cake] - Cashloan"/>
    <x v="0"/>
    <n v="16395660000"/>
  </r>
  <r>
    <x v="82"/>
    <x v="0"/>
    <x v="2"/>
    <n v="13"/>
    <n v="24"/>
    <x v="3"/>
    <s v="[Cake] - Overdraft"/>
    <x v="2"/>
    <n v="1685209063"/>
  </r>
  <r>
    <x v="82"/>
    <x v="0"/>
    <x v="2"/>
    <n v="13"/>
    <n v="24"/>
    <x v="4"/>
    <s v="[Cake] - Payday"/>
    <x v="3"/>
    <n v="12734604000"/>
  </r>
  <r>
    <x v="82"/>
    <x v="0"/>
    <x v="2"/>
    <n v="13"/>
    <n v="24"/>
    <x v="5"/>
    <s v="[FPT] - Paylater"/>
    <x v="1"/>
    <n v="8102318"/>
  </r>
  <r>
    <x v="82"/>
    <x v="0"/>
    <x v="2"/>
    <n v="13"/>
    <n v="24"/>
    <x v="6"/>
    <s v="[MISA] - Cashloan"/>
    <x v="0"/>
    <n v="80000000"/>
  </r>
  <r>
    <x v="82"/>
    <x v="0"/>
    <x v="2"/>
    <n v="13"/>
    <n v="24"/>
    <x v="7"/>
    <s v="[MWG] - Cashloan"/>
    <x v="0"/>
    <n v="2197800000"/>
  </r>
  <r>
    <x v="82"/>
    <x v="0"/>
    <x v="2"/>
    <n v="13"/>
    <n v="24"/>
    <x v="8"/>
    <s v="[MWG] - Cashloan"/>
    <x v="0"/>
    <n v="799920000"/>
  </r>
  <r>
    <x v="82"/>
    <x v="0"/>
    <x v="2"/>
    <n v="13"/>
    <n v="24"/>
    <x v="9"/>
    <s v="[MWG] - Paylater"/>
    <x v="1"/>
    <n v="461000"/>
  </r>
  <r>
    <x v="82"/>
    <x v="0"/>
    <x v="2"/>
    <n v="13"/>
    <n v="24"/>
    <x v="10"/>
    <s v="[MWG] - Paylater"/>
    <x v="1"/>
    <n v="657687289"/>
  </r>
  <r>
    <x v="82"/>
    <x v="0"/>
    <x v="2"/>
    <n v="13"/>
    <n v="24"/>
    <x v="11"/>
    <s v="[NGS] - Cashloan"/>
    <x v="0"/>
    <n v="0"/>
  </r>
  <r>
    <x v="82"/>
    <x v="0"/>
    <x v="2"/>
    <n v="13"/>
    <n v="24"/>
    <x v="12"/>
    <s v="[VNPOST] - Cashloan"/>
    <x v="0"/>
    <n v="78000000"/>
  </r>
  <r>
    <x v="82"/>
    <x v="0"/>
    <x v="2"/>
    <n v="13"/>
    <n v="24"/>
    <x v="13"/>
    <s v="[VNPOST] - Cashloan"/>
    <x v="0"/>
    <n v="0"/>
  </r>
  <r>
    <x v="82"/>
    <x v="0"/>
    <x v="2"/>
    <n v="13"/>
    <n v="24"/>
    <x v="14"/>
    <s v="[VDS] - Cashloan"/>
    <x v="0"/>
    <n v="17340180000"/>
  </r>
  <r>
    <x v="82"/>
    <x v="0"/>
    <x v="2"/>
    <n v="13"/>
    <n v="24"/>
    <x v="15"/>
    <s v="[VDS] - Cashloan LP"/>
    <x v="0"/>
    <n v="0"/>
  </r>
  <r>
    <x v="82"/>
    <x v="0"/>
    <x v="2"/>
    <n v="13"/>
    <n v="24"/>
    <x v="16"/>
    <s v="[VDS] - Cashloan LP"/>
    <x v="0"/>
    <n v="0"/>
  </r>
  <r>
    <x v="82"/>
    <x v="0"/>
    <x v="2"/>
    <n v="13"/>
    <n v="24"/>
    <x v="17"/>
    <s v="[VDS] - Cashloan LP"/>
    <x v="0"/>
    <n v="0"/>
  </r>
  <r>
    <x v="82"/>
    <x v="0"/>
    <x v="2"/>
    <n v="13"/>
    <n v="24"/>
    <x v="18"/>
    <s v="[VDS] - Cashloan"/>
    <x v="0"/>
    <n v="0"/>
  </r>
  <r>
    <x v="82"/>
    <x v="0"/>
    <x v="2"/>
    <n v="13"/>
    <n v="24"/>
    <x v="19"/>
    <s v="[VDS] - Payday"/>
    <x v="3"/>
    <n v="11052720000"/>
  </r>
  <r>
    <x v="82"/>
    <x v="0"/>
    <x v="2"/>
    <n v="13"/>
    <n v="24"/>
    <x v="20"/>
    <s v="[VDS] - Paylater"/>
    <x v="1"/>
    <n v="131582412"/>
  </r>
  <r>
    <x v="82"/>
    <x v="0"/>
    <x v="2"/>
    <n v="13"/>
    <n v="24"/>
    <x v="21"/>
    <s v="[VDS] - Payroll Cashloan"/>
    <x v="0"/>
    <n v="77250000"/>
  </r>
  <r>
    <x v="82"/>
    <x v="0"/>
    <x v="2"/>
    <n v="13"/>
    <n v="24"/>
    <x v="22"/>
    <s v="[VDS] - Payroll Payday"/>
    <x v="3"/>
    <n v="61000000"/>
  </r>
  <r>
    <x v="82"/>
    <x v="0"/>
    <x v="2"/>
    <n v="13"/>
    <n v="24"/>
    <x v="23"/>
    <s v="[VNPAY] - Cashloan"/>
    <x v="0"/>
    <n v="643770000"/>
  </r>
  <r>
    <x v="82"/>
    <x v="0"/>
    <x v="2"/>
    <n v="13"/>
    <n v="24"/>
    <x v="24"/>
    <s v="[VNPAY] - Payday"/>
    <x v="3"/>
    <n v="330156000"/>
  </r>
  <r>
    <x v="82"/>
    <x v="0"/>
    <x v="2"/>
    <n v="13"/>
    <n v="24"/>
    <x v="25"/>
    <s v="[VNPAY] - Paylater"/>
    <x v="1"/>
    <n v="344505081"/>
  </r>
  <r>
    <x v="82"/>
    <x v="0"/>
    <x v="2"/>
    <n v="13"/>
    <n v="24"/>
    <x v="26"/>
    <s v="[ZLP] - Cashloan"/>
    <x v="0"/>
    <n v="3313580000"/>
  </r>
  <r>
    <x v="82"/>
    <x v="0"/>
    <x v="2"/>
    <n v="13"/>
    <n v="24"/>
    <x v="27"/>
    <s v="[ZLP] - Payday"/>
    <x v="3"/>
    <n v="9936000"/>
  </r>
  <r>
    <x v="83"/>
    <x v="0"/>
    <x v="2"/>
    <n v="13"/>
    <n v="25"/>
    <x v="0"/>
    <s v="[BE] - Cashloan"/>
    <x v="0"/>
    <n v="488420000"/>
  </r>
  <r>
    <x v="83"/>
    <x v="0"/>
    <x v="2"/>
    <n v="13"/>
    <n v="25"/>
    <x v="1"/>
    <s v="[BE] - Paylater"/>
    <x v="1"/>
    <n v="321551950"/>
  </r>
  <r>
    <x v="83"/>
    <x v="0"/>
    <x v="2"/>
    <n v="13"/>
    <n v="25"/>
    <x v="2"/>
    <s v="[Cake] - Cashloan"/>
    <x v="0"/>
    <n v="16534200000"/>
  </r>
  <r>
    <x v="83"/>
    <x v="0"/>
    <x v="2"/>
    <n v="13"/>
    <n v="25"/>
    <x v="3"/>
    <s v="[Cake] - Overdraft"/>
    <x v="2"/>
    <n v="1549129864"/>
  </r>
  <r>
    <x v="83"/>
    <x v="0"/>
    <x v="2"/>
    <n v="13"/>
    <n v="25"/>
    <x v="4"/>
    <s v="[Cake] - Payday"/>
    <x v="3"/>
    <n v="13166604000"/>
  </r>
  <r>
    <x v="83"/>
    <x v="0"/>
    <x v="2"/>
    <n v="13"/>
    <n v="25"/>
    <x v="5"/>
    <s v="[FPT] - Paylater"/>
    <x v="1"/>
    <n v="6570346"/>
  </r>
  <r>
    <x v="83"/>
    <x v="0"/>
    <x v="2"/>
    <n v="13"/>
    <n v="25"/>
    <x v="6"/>
    <s v="[MISA] - Cashloan"/>
    <x v="0"/>
    <n v="0"/>
  </r>
  <r>
    <x v="83"/>
    <x v="0"/>
    <x v="2"/>
    <n v="13"/>
    <n v="25"/>
    <x v="7"/>
    <s v="[MWG] - Cashloan"/>
    <x v="0"/>
    <n v="2007250000"/>
  </r>
  <r>
    <x v="83"/>
    <x v="0"/>
    <x v="2"/>
    <n v="13"/>
    <n v="25"/>
    <x v="8"/>
    <s v="[MWG] - Cashloan"/>
    <x v="0"/>
    <n v="590790000"/>
  </r>
  <r>
    <x v="83"/>
    <x v="0"/>
    <x v="2"/>
    <n v="13"/>
    <n v="25"/>
    <x v="9"/>
    <s v="[MWG] - Paylater"/>
    <x v="1"/>
    <n v="918134"/>
  </r>
  <r>
    <x v="83"/>
    <x v="0"/>
    <x v="2"/>
    <n v="13"/>
    <n v="25"/>
    <x v="10"/>
    <s v="[MWG] - Paylater"/>
    <x v="1"/>
    <n v="733219421"/>
  </r>
  <r>
    <x v="83"/>
    <x v="0"/>
    <x v="2"/>
    <n v="13"/>
    <n v="25"/>
    <x v="11"/>
    <s v="[NGS] - Cashloan"/>
    <x v="0"/>
    <n v="0"/>
  </r>
  <r>
    <x v="83"/>
    <x v="0"/>
    <x v="2"/>
    <n v="13"/>
    <n v="25"/>
    <x v="12"/>
    <s v="[VNPOST] - Cashloan"/>
    <x v="0"/>
    <n v="88200000"/>
  </r>
  <r>
    <x v="83"/>
    <x v="0"/>
    <x v="2"/>
    <n v="13"/>
    <n v="25"/>
    <x v="13"/>
    <s v="[VNPOST] - Cashloan"/>
    <x v="0"/>
    <n v="33000000"/>
  </r>
  <r>
    <x v="83"/>
    <x v="0"/>
    <x v="2"/>
    <n v="13"/>
    <n v="25"/>
    <x v="14"/>
    <s v="[VDS] - Cashloan"/>
    <x v="0"/>
    <n v="15584130000"/>
  </r>
  <r>
    <x v="83"/>
    <x v="0"/>
    <x v="2"/>
    <n v="13"/>
    <n v="25"/>
    <x v="15"/>
    <s v="[VDS] - Cashloan LP"/>
    <x v="0"/>
    <n v="0"/>
  </r>
  <r>
    <x v="83"/>
    <x v="0"/>
    <x v="2"/>
    <n v="13"/>
    <n v="25"/>
    <x v="16"/>
    <s v="[VDS] - Cashloan LP"/>
    <x v="0"/>
    <n v="0"/>
  </r>
  <r>
    <x v="83"/>
    <x v="0"/>
    <x v="2"/>
    <n v="13"/>
    <n v="25"/>
    <x v="17"/>
    <s v="[VDS] - Cashloan LP"/>
    <x v="0"/>
    <n v="0"/>
  </r>
  <r>
    <x v="83"/>
    <x v="0"/>
    <x v="2"/>
    <n v="13"/>
    <n v="25"/>
    <x v="18"/>
    <s v="[VDS] - Cashloan"/>
    <x v="0"/>
    <n v="0"/>
  </r>
  <r>
    <x v="83"/>
    <x v="0"/>
    <x v="2"/>
    <n v="13"/>
    <n v="25"/>
    <x v="19"/>
    <s v="[VDS] - Payday"/>
    <x v="3"/>
    <n v="10550196000"/>
  </r>
  <r>
    <x v="83"/>
    <x v="0"/>
    <x v="2"/>
    <n v="13"/>
    <n v="25"/>
    <x v="20"/>
    <s v="[VDS] - Paylater"/>
    <x v="1"/>
    <n v="129784512"/>
  </r>
  <r>
    <x v="83"/>
    <x v="0"/>
    <x v="2"/>
    <n v="13"/>
    <n v="25"/>
    <x v="21"/>
    <s v="[VDS] - Payroll Cashloan"/>
    <x v="0"/>
    <n v="42000000"/>
  </r>
  <r>
    <x v="83"/>
    <x v="0"/>
    <x v="2"/>
    <n v="13"/>
    <n v="25"/>
    <x v="22"/>
    <s v="[VDS] - Payroll Payday"/>
    <x v="3"/>
    <n v="62000000"/>
  </r>
  <r>
    <x v="83"/>
    <x v="0"/>
    <x v="2"/>
    <n v="13"/>
    <n v="25"/>
    <x v="23"/>
    <s v="[VNPAY] - Cashloan"/>
    <x v="0"/>
    <n v="814810000"/>
  </r>
  <r>
    <x v="83"/>
    <x v="0"/>
    <x v="2"/>
    <n v="13"/>
    <n v="25"/>
    <x v="24"/>
    <s v="[VNPAY] - Payday"/>
    <x v="3"/>
    <n v="200124000"/>
  </r>
  <r>
    <x v="83"/>
    <x v="0"/>
    <x v="2"/>
    <n v="13"/>
    <n v="25"/>
    <x v="25"/>
    <s v="[VNPAY] - Paylater"/>
    <x v="1"/>
    <n v="334914405"/>
  </r>
  <r>
    <x v="83"/>
    <x v="0"/>
    <x v="2"/>
    <n v="13"/>
    <n v="25"/>
    <x v="26"/>
    <s v="[ZLP] - Cashloan"/>
    <x v="0"/>
    <n v="3132060000"/>
  </r>
  <r>
    <x v="83"/>
    <x v="0"/>
    <x v="2"/>
    <n v="13"/>
    <n v="25"/>
    <x v="27"/>
    <s v="[ZLP] - Payday"/>
    <x v="3"/>
    <n v="11880000"/>
  </r>
  <r>
    <x v="84"/>
    <x v="0"/>
    <x v="2"/>
    <n v="13"/>
    <n v="26"/>
    <x v="0"/>
    <s v="[BE] - Cashloan"/>
    <x v="0"/>
    <n v="652160000"/>
  </r>
  <r>
    <x v="84"/>
    <x v="0"/>
    <x v="2"/>
    <n v="13"/>
    <n v="26"/>
    <x v="1"/>
    <s v="[BE] - Paylater"/>
    <x v="1"/>
    <n v="269557885"/>
  </r>
  <r>
    <x v="84"/>
    <x v="0"/>
    <x v="2"/>
    <n v="13"/>
    <n v="26"/>
    <x v="2"/>
    <s v="[Cake] - Cashloan"/>
    <x v="0"/>
    <n v="13958880000"/>
  </r>
  <r>
    <x v="84"/>
    <x v="0"/>
    <x v="2"/>
    <n v="13"/>
    <n v="26"/>
    <x v="3"/>
    <s v="[Cake] - Overdraft"/>
    <x v="2"/>
    <n v="1669586175"/>
  </r>
  <r>
    <x v="84"/>
    <x v="0"/>
    <x v="2"/>
    <n v="13"/>
    <n v="26"/>
    <x v="4"/>
    <s v="[Cake] - Payday"/>
    <x v="3"/>
    <n v="12550248000"/>
  </r>
  <r>
    <x v="84"/>
    <x v="0"/>
    <x v="2"/>
    <n v="13"/>
    <n v="26"/>
    <x v="5"/>
    <s v="[FPT] - Paylater"/>
    <x v="1"/>
    <n v="2133905"/>
  </r>
  <r>
    <x v="84"/>
    <x v="0"/>
    <x v="2"/>
    <n v="13"/>
    <n v="26"/>
    <x v="6"/>
    <s v="[MISA] - Cashloan"/>
    <x v="0"/>
    <n v="180000000"/>
  </r>
  <r>
    <x v="84"/>
    <x v="0"/>
    <x v="2"/>
    <n v="13"/>
    <n v="26"/>
    <x v="7"/>
    <s v="[MWG] - Cashloan"/>
    <x v="0"/>
    <n v="2195470000"/>
  </r>
  <r>
    <x v="84"/>
    <x v="0"/>
    <x v="2"/>
    <n v="13"/>
    <n v="26"/>
    <x v="8"/>
    <s v="[MWG] - Cashloan"/>
    <x v="0"/>
    <n v="814550000"/>
  </r>
  <r>
    <x v="84"/>
    <x v="0"/>
    <x v="2"/>
    <n v="13"/>
    <n v="26"/>
    <x v="9"/>
    <s v="[MWG] - Paylater"/>
    <x v="1"/>
    <n v="4126898"/>
  </r>
  <r>
    <x v="84"/>
    <x v="0"/>
    <x v="2"/>
    <n v="13"/>
    <n v="26"/>
    <x v="10"/>
    <s v="[MWG] - Paylater"/>
    <x v="1"/>
    <n v="622647077"/>
  </r>
  <r>
    <x v="84"/>
    <x v="0"/>
    <x v="2"/>
    <n v="13"/>
    <n v="26"/>
    <x v="11"/>
    <s v="[NGS] - Cashloan"/>
    <x v="0"/>
    <n v="0"/>
  </r>
  <r>
    <x v="84"/>
    <x v="0"/>
    <x v="2"/>
    <n v="13"/>
    <n v="26"/>
    <x v="12"/>
    <s v="[VNPOST] - Cashloan"/>
    <x v="0"/>
    <n v="80900000"/>
  </r>
  <r>
    <x v="84"/>
    <x v="0"/>
    <x v="2"/>
    <n v="13"/>
    <n v="26"/>
    <x v="13"/>
    <s v="[VNPOST] - Cashloan"/>
    <x v="0"/>
    <n v="90000000"/>
  </r>
  <r>
    <x v="84"/>
    <x v="0"/>
    <x v="2"/>
    <n v="13"/>
    <n v="26"/>
    <x v="14"/>
    <s v="[VDS] - Cashloan"/>
    <x v="0"/>
    <n v="14117640000"/>
  </r>
  <r>
    <x v="84"/>
    <x v="0"/>
    <x v="2"/>
    <n v="13"/>
    <n v="26"/>
    <x v="15"/>
    <s v="[VDS] - Cashloan LP"/>
    <x v="0"/>
    <n v="0"/>
  </r>
  <r>
    <x v="84"/>
    <x v="0"/>
    <x v="2"/>
    <n v="13"/>
    <n v="26"/>
    <x v="16"/>
    <s v="[VDS] - Cashloan LP"/>
    <x v="0"/>
    <n v="0"/>
  </r>
  <r>
    <x v="84"/>
    <x v="0"/>
    <x v="2"/>
    <n v="13"/>
    <n v="26"/>
    <x v="17"/>
    <s v="[VDS] - Cashloan LP"/>
    <x v="0"/>
    <n v="0"/>
  </r>
  <r>
    <x v="84"/>
    <x v="0"/>
    <x v="2"/>
    <n v="13"/>
    <n v="26"/>
    <x v="18"/>
    <s v="[VDS] - Cashloan"/>
    <x v="0"/>
    <n v="0"/>
  </r>
  <r>
    <x v="84"/>
    <x v="0"/>
    <x v="2"/>
    <n v="13"/>
    <n v="26"/>
    <x v="19"/>
    <s v="[VDS] - Payday"/>
    <x v="3"/>
    <n v="9997884000"/>
  </r>
  <r>
    <x v="84"/>
    <x v="0"/>
    <x v="2"/>
    <n v="13"/>
    <n v="26"/>
    <x v="20"/>
    <s v="[VDS] - Paylater"/>
    <x v="1"/>
    <n v="134580841"/>
  </r>
  <r>
    <x v="84"/>
    <x v="0"/>
    <x v="2"/>
    <n v="13"/>
    <n v="26"/>
    <x v="21"/>
    <s v="[VDS] - Payroll Cashloan"/>
    <x v="0"/>
    <n v="10500000"/>
  </r>
  <r>
    <x v="84"/>
    <x v="0"/>
    <x v="2"/>
    <n v="13"/>
    <n v="26"/>
    <x v="22"/>
    <s v="[VDS] - Payroll Payday"/>
    <x v="3"/>
    <n v="41000000"/>
  </r>
  <r>
    <x v="84"/>
    <x v="0"/>
    <x v="2"/>
    <n v="13"/>
    <n v="26"/>
    <x v="23"/>
    <s v="[VNPAY] - Cashloan"/>
    <x v="0"/>
    <n v="619260000"/>
  </r>
  <r>
    <x v="84"/>
    <x v="0"/>
    <x v="2"/>
    <n v="13"/>
    <n v="26"/>
    <x v="24"/>
    <s v="[VNPAY] - Payday"/>
    <x v="3"/>
    <n v="231660000"/>
  </r>
  <r>
    <x v="84"/>
    <x v="0"/>
    <x v="2"/>
    <n v="13"/>
    <n v="26"/>
    <x v="25"/>
    <s v="[VNPAY] - Paylater"/>
    <x v="1"/>
    <n v="338359237"/>
  </r>
  <r>
    <x v="84"/>
    <x v="0"/>
    <x v="2"/>
    <n v="13"/>
    <n v="26"/>
    <x v="26"/>
    <s v="[ZLP] - Cashloan"/>
    <x v="0"/>
    <n v="3438610000"/>
  </r>
  <r>
    <x v="84"/>
    <x v="0"/>
    <x v="2"/>
    <n v="13"/>
    <n v="26"/>
    <x v="27"/>
    <s v="[ZLP] - Payday"/>
    <x v="3"/>
    <n v="30996000"/>
  </r>
  <r>
    <x v="85"/>
    <x v="0"/>
    <x v="2"/>
    <n v="13"/>
    <n v="27"/>
    <x v="0"/>
    <s v="[BE] - Cashloan"/>
    <x v="0"/>
    <n v="757300000"/>
  </r>
  <r>
    <x v="85"/>
    <x v="0"/>
    <x v="2"/>
    <n v="13"/>
    <n v="27"/>
    <x v="1"/>
    <s v="[BE] - Paylater"/>
    <x v="1"/>
    <n v="277734584"/>
  </r>
  <r>
    <x v="85"/>
    <x v="0"/>
    <x v="2"/>
    <n v="13"/>
    <n v="27"/>
    <x v="2"/>
    <s v="[Cake] - Cashloan"/>
    <x v="0"/>
    <n v="14454090000"/>
  </r>
  <r>
    <x v="85"/>
    <x v="0"/>
    <x v="2"/>
    <n v="13"/>
    <n v="27"/>
    <x v="3"/>
    <s v="[Cake] - Overdraft"/>
    <x v="2"/>
    <n v="1415176565"/>
  </r>
  <r>
    <x v="85"/>
    <x v="0"/>
    <x v="2"/>
    <n v="13"/>
    <n v="27"/>
    <x v="4"/>
    <s v="[Cake] - Payday"/>
    <x v="3"/>
    <n v="13318020000"/>
  </r>
  <r>
    <x v="85"/>
    <x v="0"/>
    <x v="2"/>
    <n v="13"/>
    <n v="27"/>
    <x v="5"/>
    <s v="[FPT] - Paylater"/>
    <x v="1"/>
    <n v="2047496"/>
  </r>
  <r>
    <x v="85"/>
    <x v="0"/>
    <x v="2"/>
    <n v="13"/>
    <n v="27"/>
    <x v="6"/>
    <s v="[MISA] - Cashloan"/>
    <x v="0"/>
    <n v="90000000"/>
  </r>
  <r>
    <x v="85"/>
    <x v="0"/>
    <x v="2"/>
    <n v="13"/>
    <n v="27"/>
    <x v="7"/>
    <s v="[MWG] - Cashloan"/>
    <x v="0"/>
    <n v="1723540000"/>
  </r>
  <r>
    <x v="85"/>
    <x v="0"/>
    <x v="2"/>
    <n v="13"/>
    <n v="27"/>
    <x v="8"/>
    <s v="[MWG] - Cashloan"/>
    <x v="0"/>
    <n v="709360000"/>
  </r>
  <r>
    <x v="85"/>
    <x v="0"/>
    <x v="2"/>
    <n v="13"/>
    <n v="27"/>
    <x v="9"/>
    <s v="[MWG] - Paylater"/>
    <x v="1"/>
    <n v="4536962"/>
  </r>
  <r>
    <x v="85"/>
    <x v="0"/>
    <x v="2"/>
    <n v="13"/>
    <n v="27"/>
    <x v="10"/>
    <s v="[MWG] - Paylater"/>
    <x v="1"/>
    <n v="715815253"/>
  </r>
  <r>
    <x v="85"/>
    <x v="0"/>
    <x v="2"/>
    <n v="13"/>
    <n v="27"/>
    <x v="11"/>
    <s v="[NGS] - Cashloan"/>
    <x v="0"/>
    <n v="0"/>
  </r>
  <r>
    <x v="85"/>
    <x v="0"/>
    <x v="2"/>
    <n v="13"/>
    <n v="27"/>
    <x v="12"/>
    <s v="[VNPOST] - Cashloan"/>
    <x v="0"/>
    <n v="52500000"/>
  </r>
  <r>
    <x v="85"/>
    <x v="0"/>
    <x v="2"/>
    <n v="13"/>
    <n v="27"/>
    <x v="13"/>
    <s v="[VNPOST] - Cashloan"/>
    <x v="0"/>
    <n v="0"/>
  </r>
  <r>
    <x v="85"/>
    <x v="0"/>
    <x v="2"/>
    <n v="13"/>
    <n v="27"/>
    <x v="14"/>
    <s v="[VDS] - Cashloan"/>
    <x v="0"/>
    <n v="15557300000"/>
  </r>
  <r>
    <x v="85"/>
    <x v="0"/>
    <x v="2"/>
    <n v="13"/>
    <n v="27"/>
    <x v="15"/>
    <s v="[VDS] - Cashloan LP"/>
    <x v="0"/>
    <n v="0"/>
  </r>
  <r>
    <x v="85"/>
    <x v="0"/>
    <x v="2"/>
    <n v="13"/>
    <n v="27"/>
    <x v="16"/>
    <s v="[VDS] - Cashloan LP"/>
    <x v="0"/>
    <n v="0"/>
  </r>
  <r>
    <x v="85"/>
    <x v="0"/>
    <x v="2"/>
    <n v="13"/>
    <n v="27"/>
    <x v="17"/>
    <s v="[VDS] - Cashloan LP"/>
    <x v="0"/>
    <n v="0"/>
  </r>
  <r>
    <x v="85"/>
    <x v="0"/>
    <x v="2"/>
    <n v="13"/>
    <n v="27"/>
    <x v="18"/>
    <s v="[VDS] - Cashloan"/>
    <x v="0"/>
    <n v="0"/>
  </r>
  <r>
    <x v="85"/>
    <x v="0"/>
    <x v="2"/>
    <n v="13"/>
    <n v="27"/>
    <x v="19"/>
    <s v="[VDS] - Payday"/>
    <x v="3"/>
    <n v="10031904000"/>
  </r>
  <r>
    <x v="85"/>
    <x v="0"/>
    <x v="2"/>
    <n v="13"/>
    <n v="27"/>
    <x v="20"/>
    <s v="[VDS] - Paylater"/>
    <x v="1"/>
    <n v="147440122"/>
  </r>
  <r>
    <x v="85"/>
    <x v="0"/>
    <x v="2"/>
    <n v="13"/>
    <n v="27"/>
    <x v="21"/>
    <s v="[VDS] - Payroll Cashloan"/>
    <x v="0"/>
    <n v="109250000"/>
  </r>
  <r>
    <x v="85"/>
    <x v="0"/>
    <x v="2"/>
    <n v="13"/>
    <n v="27"/>
    <x v="22"/>
    <s v="[VDS] - Payroll Payday"/>
    <x v="3"/>
    <n v="52000000"/>
  </r>
  <r>
    <x v="85"/>
    <x v="0"/>
    <x v="2"/>
    <n v="13"/>
    <n v="27"/>
    <x v="23"/>
    <s v="[VNPAY] - Cashloan"/>
    <x v="0"/>
    <n v="938840000"/>
  </r>
  <r>
    <x v="85"/>
    <x v="0"/>
    <x v="2"/>
    <n v="13"/>
    <n v="27"/>
    <x v="24"/>
    <s v="[VNPAY] - Payday"/>
    <x v="3"/>
    <n v="328104000"/>
  </r>
  <r>
    <x v="85"/>
    <x v="0"/>
    <x v="2"/>
    <n v="13"/>
    <n v="27"/>
    <x v="25"/>
    <s v="[VNPAY] - Paylater"/>
    <x v="1"/>
    <n v="360744201"/>
  </r>
  <r>
    <x v="85"/>
    <x v="0"/>
    <x v="2"/>
    <n v="13"/>
    <n v="27"/>
    <x v="26"/>
    <s v="[ZLP] - Cashloan"/>
    <x v="0"/>
    <n v="3028230000"/>
  </r>
  <r>
    <x v="85"/>
    <x v="0"/>
    <x v="2"/>
    <n v="13"/>
    <n v="27"/>
    <x v="27"/>
    <s v="[ZLP] - Payday"/>
    <x v="3"/>
    <n v="4320000"/>
  </r>
  <r>
    <x v="86"/>
    <x v="0"/>
    <x v="2"/>
    <n v="13"/>
    <n v="28"/>
    <x v="0"/>
    <s v="[BE] - Cashloan"/>
    <x v="0"/>
    <n v="677070000"/>
  </r>
  <r>
    <x v="86"/>
    <x v="0"/>
    <x v="2"/>
    <n v="13"/>
    <n v="28"/>
    <x v="1"/>
    <s v="[BE] - Paylater"/>
    <x v="1"/>
    <n v="273794305"/>
  </r>
  <r>
    <x v="86"/>
    <x v="0"/>
    <x v="2"/>
    <n v="13"/>
    <n v="28"/>
    <x v="2"/>
    <s v="[Cake] - Cashloan"/>
    <x v="0"/>
    <n v="12398330000"/>
  </r>
  <r>
    <x v="86"/>
    <x v="0"/>
    <x v="2"/>
    <n v="13"/>
    <n v="28"/>
    <x v="3"/>
    <s v="[Cake] - Overdraft"/>
    <x v="2"/>
    <n v="1305929004"/>
  </r>
  <r>
    <x v="86"/>
    <x v="0"/>
    <x v="2"/>
    <n v="13"/>
    <n v="28"/>
    <x v="4"/>
    <s v="[Cake] - Payday"/>
    <x v="3"/>
    <n v="11948796000"/>
  </r>
  <r>
    <x v="86"/>
    <x v="0"/>
    <x v="2"/>
    <n v="13"/>
    <n v="28"/>
    <x v="5"/>
    <s v="[FPT] - Paylater"/>
    <x v="1"/>
    <n v="2802019"/>
  </r>
  <r>
    <x v="86"/>
    <x v="0"/>
    <x v="2"/>
    <n v="13"/>
    <n v="28"/>
    <x v="6"/>
    <s v="[MISA] - Cashloan"/>
    <x v="0"/>
    <n v="35000000"/>
  </r>
  <r>
    <x v="86"/>
    <x v="0"/>
    <x v="2"/>
    <n v="13"/>
    <n v="28"/>
    <x v="7"/>
    <s v="[MWG] - Cashloan"/>
    <x v="0"/>
    <n v="2368860000"/>
  </r>
  <r>
    <x v="86"/>
    <x v="0"/>
    <x v="2"/>
    <n v="13"/>
    <n v="28"/>
    <x v="8"/>
    <s v="[MWG] - Cashloan"/>
    <x v="0"/>
    <n v="1046200000"/>
  </r>
  <r>
    <x v="86"/>
    <x v="0"/>
    <x v="2"/>
    <n v="13"/>
    <n v="28"/>
    <x v="9"/>
    <s v="[MWG] - Paylater"/>
    <x v="1"/>
    <n v="3964267"/>
  </r>
  <r>
    <x v="86"/>
    <x v="0"/>
    <x v="2"/>
    <n v="13"/>
    <n v="28"/>
    <x v="10"/>
    <s v="[MWG] - Paylater"/>
    <x v="1"/>
    <n v="868090181"/>
  </r>
  <r>
    <x v="86"/>
    <x v="0"/>
    <x v="2"/>
    <n v="13"/>
    <n v="28"/>
    <x v="11"/>
    <s v="[NGS] - Cashloan"/>
    <x v="0"/>
    <n v="0"/>
  </r>
  <r>
    <x v="86"/>
    <x v="0"/>
    <x v="2"/>
    <n v="13"/>
    <n v="28"/>
    <x v="12"/>
    <s v="[VNPOST] - Cashloan"/>
    <x v="0"/>
    <n v="17000000"/>
  </r>
  <r>
    <x v="86"/>
    <x v="0"/>
    <x v="2"/>
    <n v="13"/>
    <n v="28"/>
    <x v="13"/>
    <s v="[VNPOST] - Cashloan"/>
    <x v="0"/>
    <n v="0"/>
  </r>
  <r>
    <x v="86"/>
    <x v="0"/>
    <x v="2"/>
    <n v="13"/>
    <n v="28"/>
    <x v="14"/>
    <s v="[VDS] - Cashloan"/>
    <x v="0"/>
    <n v="15321170000"/>
  </r>
  <r>
    <x v="86"/>
    <x v="0"/>
    <x v="2"/>
    <n v="13"/>
    <n v="28"/>
    <x v="15"/>
    <s v="[VDS] - Cashloan LP"/>
    <x v="0"/>
    <n v="0"/>
  </r>
  <r>
    <x v="86"/>
    <x v="0"/>
    <x v="2"/>
    <n v="13"/>
    <n v="28"/>
    <x v="16"/>
    <s v="[VDS] - Cashloan LP"/>
    <x v="0"/>
    <n v="0"/>
  </r>
  <r>
    <x v="86"/>
    <x v="0"/>
    <x v="2"/>
    <n v="13"/>
    <n v="28"/>
    <x v="17"/>
    <s v="[VDS] - Cashloan LP"/>
    <x v="0"/>
    <n v="0"/>
  </r>
  <r>
    <x v="86"/>
    <x v="0"/>
    <x v="2"/>
    <n v="13"/>
    <n v="28"/>
    <x v="18"/>
    <s v="[VDS] - Cashloan"/>
    <x v="0"/>
    <n v="0"/>
  </r>
  <r>
    <x v="86"/>
    <x v="0"/>
    <x v="2"/>
    <n v="13"/>
    <n v="28"/>
    <x v="19"/>
    <s v="[VDS] - Payday"/>
    <x v="3"/>
    <n v="9915048000"/>
  </r>
  <r>
    <x v="86"/>
    <x v="0"/>
    <x v="2"/>
    <n v="13"/>
    <n v="28"/>
    <x v="20"/>
    <s v="[VDS] - Paylater"/>
    <x v="1"/>
    <n v="130096861"/>
  </r>
  <r>
    <x v="86"/>
    <x v="0"/>
    <x v="2"/>
    <n v="13"/>
    <n v="28"/>
    <x v="21"/>
    <s v="[VDS] - Payroll Cashloan"/>
    <x v="0"/>
    <n v="68250000"/>
  </r>
  <r>
    <x v="86"/>
    <x v="0"/>
    <x v="2"/>
    <n v="13"/>
    <n v="28"/>
    <x v="22"/>
    <s v="[VDS] - Payroll Payday"/>
    <x v="3"/>
    <n v="65000000"/>
  </r>
  <r>
    <x v="86"/>
    <x v="0"/>
    <x v="2"/>
    <n v="13"/>
    <n v="28"/>
    <x v="23"/>
    <s v="[VNPAY] - Cashloan"/>
    <x v="0"/>
    <n v="935980000"/>
  </r>
  <r>
    <x v="86"/>
    <x v="0"/>
    <x v="2"/>
    <n v="13"/>
    <n v="28"/>
    <x v="24"/>
    <s v="[VNPAY] - Payday"/>
    <x v="3"/>
    <n v="326700000"/>
  </r>
  <r>
    <x v="86"/>
    <x v="0"/>
    <x v="2"/>
    <n v="13"/>
    <n v="28"/>
    <x v="25"/>
    <s v="[VNPAY] - Paylater"/>
    <x v="1"/>
    <n v="351764250"/>
  </r>
  <r>
    <x v="86"/>
    <x v="0"/>
    <x v="2"/>
    <n v="13"/>
    <n v="28"/>
    <x v="26"/>
    <s v="[ZLP] - Cashloan"/>
    <x v="0"/>
    <n v="2806780000"/>
  </r>
  <r>
    <x v="86"/>
    <x v="0"/>
    <x v="2"/>
    <n v="13"/>
    <n v="28"/>
    <x v="27"/>
    <s v="[ZLP] - Payday"/>
    <x v="3"/>
    <n v="3240000"/>
  </r>
  <r>
    <x v="87"/>
    <x v="0"/>
    <x v="2"/>
    <n v="13"/>
    <n v="29"/>
    <x v="0"/>
    <s v="[BE] - Cashloan"/>
    <x v="0"/>
    <n v="662610000"/>
  </r>
  <r>
    <x v="87"/>
    <x v="0"/>
    <x v="2"/>
    <n v="13"/>
    <n v="29"/>
    <x v="1"/>
    <s v="[BE] - Paylater"/>
    <x v="1"/>
    <n v="316649498"/>
  </r>
  <r>
    <x v="87"/>
    <x v="0"/>
    <x v="2"/>
    <n v="13"/>
    <n v="29"/>
    <x v="2"/>
    <s v="[Cake] - Cashloan"/>
    <x v="0"/>
    <n v="10164860000"/>
  </r>
  <r>
    <x v="87"/>
    <x v="0"/>
    <x v="2"/>
    <n v="13"/>
    <n v="29"/>
    <x v="3"/>
    <s v="[Cake] - Overdraft"/>
    <x v="2"/>
    <n v="1296102256"/>
  </r>
  <r>
    <x v="87"/>
    <x v="0"/>
    <x v="2"/>
    <n v="13"/>
    <n v="29"/>
    <x v="4"/>
    <s v="[Cake] - Payday"/>
    <x v="3"/>
    <n v="11300580000"/>
  </r>
  <r>
    <x v="87"/>
    <x v="0"/>
    <x v="2"/>
    <n v="13"/>
    <n v="29"/>
    <x v="5"/>
    <s v="[FPT] - Paylater"/>
    <x v="1"/>
    <n v="3356656"/>
  </r>
  <r>
    <x v="87"/>
    <x v="0"/>
    <x v="2"/>
    <n v="13"/>
    <n v="29"/>
    <x v="6"/>
    <s v="[MISA] - Cashloan"/>
    <x v="0"/>
    <n v="0"/>
  </r>
  <r>
    <x v="87"/>
    <x v="0"/>
    <x v="2"/>
    <n v="13"/>
    <n v="29"/>
    <x v="7"/>
    <s v="[MWG] - Cashloan"/>
    <x v="0"/>
    <n v="2775080000"/>
  </r>
  <r>
    <x v="87"/>
    <x v="0"/>
    <x v="2"/>
    <n v="13"/>
    <n v="29"/>
    <x v="8"/>
    <s v="[MWG] - Cashloan"/>
    <x v="0"/>
    <n v="896920000"/>
  </r>
  <r>
    <x v="87"/>
    <x v="0"/>
    <x v="2"/>
    <n v="13"/>
    <n v="29"/>
    <x v="9"/>
    <s v="[MWG] - Paylater"/>
    <x v="1"/>
    <n v="6972182"/>
  </r>
  <r>
    <x v="87"/>
    <x v="0"/>
    <x v="2"/>
    <n v="13"/>
    <n v="29"/>
    <x v="10"/>
    <s v="[MWG] - Paylater"/>
    <x v="1"/>
    <n v="1049981885"/>
  </r>
  <r>
    <x v="87"/>
    <x v="0"/>
    <x v="2"/>
    <n v="13"/>
    <n v="29"/>
    <x v="11"/>
    <s v="[NGS] - Cashloan"/>
    <x v="0"/>
    <n v="0"/>
  </r>
  <r>
    <x v="87"/>
    <x v="0"/>
    <x v="2"/>
    <n v="13"/>
    <n v="29"/>
    <x v="12"/>
    <s v="[VNPOST] - Cashloan"/>
    <x v="0"/>
    <n v="10500000"/>
  </r>
  <r>
    <x v="87"/>
    <x v="0"/>
    <x v="2"/>
    <n v="13"/>
    <n v="29"/>
    <x v="13"/>
    <s v="[VNPOST] - Cashloan"/>
    <x v="0"/>
    <n v="0"/>
  </r>
  <r>
    <x v="87"/>
    <x v="0"/>
    <x v="2"/>
    <n v="13"/>
    <n v="29"/>
    <x v="14"/>
    <s v="[VDS] - Cashloan"/>
    <x v="0"/>
    <n v="14703700000"/>
  </r>
  <r>
    <x v="87"/>
    <x v="0"/>
    <x v="2"/>
    <n v="13"/>
    <n v="29"/>
    <x v="15"/>
    <s v="[VDS] - Cashloan LP"/>
    <x v="0"/>
    <n v="0"/>
  </r>
  <r>
    <x v="87"/>
    <x v="0"/>
    <x v="2"/>
    <n v="13"/>
    <n v="29"/>
    <x v="16"/>
    <s v="[VDS] - Cashloan LP"/>
    <x v="0"/>
    <n v="0"/>
  </r>
  <r>
    <x v="87"/>
    <x v="0"/>
    <x v="2"/>
    <n v="13"/>
    <n v="29"/>
    <x v="17"/>
    <s v="[VDS] - Cashloan LP"/>
    <x v="0"/>
    <n v="0"/>
  </r>
  <r>
    <x v="87"/>
    <x v="0"/>
    <x v="2"/>
    <n v="13"/>
    <n v="29"/>
    <x v="18"/>
    <s v="[VDS] - Cashloan"/>
    <x v="0"/>
    <n v="0"/>
  </r>
  <r>
    <x v="87"/>
    <x v="0"/>
    <x v="2"/>
    <n v="13"/>
    <n v="29"/>
    <x v="19"/>
    <s v="[VDS] - Payday"/>
    <x v="3"/>
    <n v="10008360000"/>
  </r>
  <r>
    <x v="87"/>
    <x v="0"/>
    <x v="2"/>
    <n v="13"/>
    <n v="29"/>
    <x v="20"/>
    <s v="[VDS] - Paylater"/>
    <x v="1"/>
    <n v="137201286"/>
  </r>
  <r>
    <x v="87"/>
    <x v="0"/>
    <x v="2"/>
    <n v="13"/>
    <n v="29"/>
    <x v="21"/>
    <s v="[VDS] - Payroll Cashloan"/>
    <x v="0"/>
    <n v="63000000"/>
  </r>
  <r>
    <x v="87"/>
    <x v="0"/>
    <x v="2"/>
    <n v="13"/>
    <n v="29"/>
    <x v="22"/>
    <s v="[VDS] - Payroll Payday"/>
    <x v="3"/>
    <n v="43000000"/>
  </r>
  <r>
    <x v="87"/>
    <x v="0"/>
    <x v="2"/>
    <n v="13"/>
    <n v="29"/>
    <x v="23"/>
    <s v="[VNPAY] - Cashloan"/>
    <x v="0"/>
    <n v="575390000"/>
  </r>
  <r>
    <x v="87"/>
    <x v="0"/>
    <x v="2"/>
    <n v="13"/>
    <n v="29"/>
    <x v="24"/>
    <s v="[VNPAY] - Payday"/>
    <x v="3"/>
    <n v="199260000"/>
  </r>
  <r>
    <x v="87"/>
    <x v="0"/>
    <x v="2"/>
    <n v="13"/>
    <n v="29"/>
    <x v="25"/>
    <s v="[VNPAY] - Paylater"/>
    <x v="1"/>
    <n v="302359652"/>
  </r>
  <r>
    <x v="87"/>
    <x v="0"/>
    <x v="2"/>
    <n v="13"/>
    <n v="29"/>
    <x v="26"/>
    <s v="[ZLP] - Cashloan"/>
    <x v="0"/>
    <n v="2793520000"/>
  </r>
  <r>
    <x v="87"/>
    <x v="0"/>
    <x v="2"/>
    <n v="13"/>
    <n v="29"/>
    <x v="27"/>
    <s v="[ZLP] - Payday"/>
    <x v="3"/>
    <n v="19440000"/>
  </r>
  <r>
    <x v="88"/>
    <x v="0"/>
    <x v="2"/>
    <n v="14"/>
    <n v="30"/>
    <x v="0"/>
    <s v="[BE] - Cashloan"/>
    <x v="0"/>
    <n v="993310000"/>
  </r>
  <r>
    <x v="88"/>
    <x v="0"/>
    <x v="2"/>
    <n v="14"/>
    <n v="30"/>
    <x v="1"/>
    <s v="[BE] - Paylater"/>
    <x v="1"/>
    <n v="281625178"/>
  </r>
  <r>
    <x v="88"/>
    <x v="0"/>
    <x v="2"/>
    <n v="14"/>
    <n v="30"/>
    <x v="2"/>
    <s v="[Cake] - Cashloan"/>
    <x v="0"/>
    <n v="23109140000"/>
  </r>
  <r>
    <x v="88"/>
    <x v="0"/>
    <x v="2"/>
    <n v="14"/>
    <n v="30"/>
    <x v="3"/>
    <s v="[Cake] - Overdraft"/>
    <x v="2"/>
    <n v="2111846731"/>
  </r>
  <r>
    <x v="88"/>
    <x v="0"/>
    <x v="2"/>
    <n v="14"/>
    <n v="30"/>
    <x v="4"/>
    <s v="[Cake] - Payday"/>
    <x v="3"/>
    <n v="13423212000"/>
  </r>
  <r>
    <x v="88"/>
    <x v="0"/>
    <x v="2"/>
    <n v="14"/>
    <n v="30"/>
    <x v="5"/>
    <s v="[FPT] - Paylater"/>
    <x v="1"/>
    <n v="727428"/>
  </r>
  <r>
    <x v="88"/>
    <x v="0"/>
    <x v="2"/>
    <n v="14"/>
    <n v="30"/>
    <x v="6"/>
    <s v="[MISA] - Cashloan"/>
    <x v="0"/>
    <n v="0"/>
  </r>
  <r>
    <x v="88"/>
    <x v="0"/>
    <x v="2"/>
    <n v="14"/>
    <n v="30"/>
    <x v="7"/>
    <s v="[MWG] - Cashloan"/>
    <x v="0"/>
    <n v="2801700000"/>
  </r>
  <r>
    <x v="88"/>
    <x v="0"/>
    <x v="2"/>
    <n v="14"/>
    <n v="30"/>
    <x v="8"/>
    <s v="[MWG] - Cashloan"/>
    <x v="0"/>
    <n v="723830000"/>
  </r>
  <r>
    <x v="88"/>
    <x v="0"/>
    <x v="2"/>
    <n v="14"/>
    <n v="30"/>
    <x v="9"/>
    <s v="[MWG] - Paylater"/>
    <x v="1"/>
    <n v="4213371"/>
  </r>
  <r>
    <x v="88"/>
    <x v="0"/>
    <x v="2"/>
    <n v="14"/>
    <n v="30"/>
    <x v="10"/>
    <s v="[MWG] - Paylater"/>
    <x v="1"/>
    <n v="699971960"/>
  </r>
  <r>
    <x v="88"/>
    <x v="0"/>
    <x v="2"/>
    <n v="14"/>
    <n v="30"/>
    <x v="11"/>
    <s v="[NGS] - Cashloan"/>
    <x v="0"/>
    <n v="0"/>
  </r>
  <r>
    <x v="88"/>
    <x v="0"/>
    <x v="2"/>
    <n v="14"/>
    <n v="30"/>
    <x v="12"/>
    <s v="[VNPOST] - Cashloan"/>
    <x v="0"/>
    <n v="56500000"/>
  </r>
  <r>
    <x v="88"/>
    <x v="0"/>
    <x v="2"/>
    <n v="14"/>
    <n v="30"/>
    <x v="13"/>
    <s v="[VNPOST] - Cashloan"/>
    <x v="0"/>
    <n v="0"/>
  </r>
  <r>
    <x v="88"/>
    <x v="0"/>
    <x v="2"/>
    <n v="14"/>
    <n v="30"/>
    <x v="14"/>
    <s v="[VDS] - Cashloan"/>
    <x v="0"/>
    <n v="17333700000"/>
  </r>
  <r>
    <x v="88"/>
    <x v="0"/>
    <x v="2"/>
    <n v="14"/>
    <n v="30"/>
    <x v="15"/>
    <s v="[VDS] - Cashloan LP"/>
    <x v="0"/>
    <n v="0"/>
  </r>
  <r>
    <x v="88"/>
    <x v="0"/>
    <x v="2"/>
    <n v="14"/>
    <n v="30"/>
    <x v="16"/>
    <s v="[VDS] - Cashloan LP"/>
    <x v="0"/>
    <n v="0"/>
  </r>
  <r>
    <x v="88"/>
    <x v="0"/>
    <x v="2"/>
    <n v="14"/>
    <n v="30"/>
    <x v="17"/>
    <s v="[VDS] - Cashloan LP"/>
    <x v="0"/>
    <n v="0"/>
  </r>
  <r>
    <x v="88"/>
    <x v="0"/>
    <x v="2"/>
    <n v="14"/>
    <n v="30"/>
    <x v="18"/>
    <s v="[VDS] - Cashloan"/>
    <x v="0"/>
    <n v="0"/>
  </r>
  <r>
    <x v="88"/>
    <x v="0"/>
    <x v="2"/>
    <n v="14"/>
    <n v="30"/>
    <x v="19"/>
    <s v="[VDS] - Payday"/>
    <x v="3"/>
    <n v="10073808000"/>
  </r>
  <r>
    <x v="88"/>
    <x v="0"/>
    <x v="2"/>
    <n v="14"/>
    <n v="30"/>
    <x v="20"/>
    <s v="[VDS] - Paylater"/>
    <x v="1"/>
    <n v="152400733"/>
  </r>
  <r>
    <x v="88"/>
    <x v="0"/>
    <x v="2"/>
    <n v="14"/>
    <n v="30"/>
    <x v="21"/>
    <s v="[VDS] - Payroll Cashloan"/>
    <x v="0"/>
    <n v="42000000"/>
  </r>
  <r>
    <x v="88"/>
    <x v="0"/>
    <x v="2"/>
    <n v="14"/>
    <n v="30"/>
    <x v="22"/>
    <s v="[VDS] - Payroll Payday"/>
    <x v="3"/>
    <n v="69000000"/>
  </r>
  <r>
    <x v="88"/>
    <x v="0"/>
    <x v="2"/>
    <n v="14"/>
    <n v="30"/>
    <x v="23"/>
    <s v="[VNPAY] - Cashloan"/>
    <x v="0"/>
    <n v="815880000"/>
  </r>
  <r>
    <x v="88"/>
    <x v="0"/>
    <x v="2"/>
    <n v="14"/>
    <n v="30"/>
    <x v="24"/>
    <s v="[VNPAY] - Payday"/>
    <x v="3"/>
    <n v="290844000"/>
  </r>
  <r>
    <x v="88"/>
    <x v="0"/>
    <x v="2"/>
    <n v="14"/>
    <n v="30"/>
    <x v="25"/>
    <s v="[VNPAY] - Paylater"/>
    <x v="1"/>
    <n v="406227567"/>
  </r>
  <r>
    <x v="88"/>
    <x v="0"/>
    <x v="2"/>
    <n v="14"/>
    <n v="30"/>
    <x v="26"/>
    <s v="[ZLP] - Cashloan"/>
    <x v="0"/>
    <n v="3728950000"/>
  </r>
  <r>
    <x v="88"/>
    <x v="0"/>
    <x v="2"/>
    <n v="14"/>
    <n v="30"/>
    <x v="27"/>
    <s v="[ZLP] - Payday"/>
    <x v="3"/>
    <n v="2160000"/>
  </r>
  <r>
    <x v="89"/>
    <x v="0"/>
    <x v="2"/>
    <n v="14"/>
    <n v="31"/>
    <x v="0"/>
    <s v="[BE] - Cashloan"/>
    <x v="0"/>
    <n v="494560000"/>
  </r>
  <r>
    <x v="89"/>
    <x v="0"/>
    <x v="2"/>
    <n v="14"/>
    <n v="31"/>
    <x v="1"/>
    <s v="[BE] - Paylater"/>
    <x v="1"/>
    <n v="278192946"/>
  </r>
  <r>
    <x v="89"/>
    <x v="0"/>
    <x v="2"/>
    <n v="14"/>
    <n v="31"/>
    <x v="2"/>
    <s v="[Cake] - Cashloan"/>
    <x v="0"/>
    <n v="21130850000"/>
  </r>
  <r>
    <x v="89"/>
    <x v="0"/>
    <x v="2"/>
    <n v="14"/>
    <n v="31"/>
    <x v="3"/>
    <s v="[Cake] - Overdraft"/>
    <x v="2"/>
    <n v="1650036262"/>
  </r>
  <r>
    <x v="89"/>
    <x v="0"/>
    <x v="2"/>
    <n v="14"/>
    <n v="31"/>
    <x v="4"/>
    <s v="[Cake] - Payday"/>
    <x v="3"/>
    <n v="14102100000"/>
  </r>
  <r>
    <x v="89"/>
    <x v="0"/>
    <x v="2"/>
    <n v="14"/>
    <n v="31"/>
    <x v="5"/>
    <s v="[FPT] - Paylater"/>
    <x v="1"/>
    <n v="3835390"/>
  </r>
  <r>
    <x v="89"/>
    <x v="0"/>
    <x v="2"/>
    <n v="14"/>
    <n v="31"/>
    <x v="6"/>
    <s v="[MISA] - Cashloan"/>
    <x v="0"/>
    <n v="0"/>
  </r>
  <r>
    <x v="89"/>
    <x v="0"/>
    <x v="2"/>
    <n v="14"/>
    <n v="31"/>
    <x v="7"/>
    <s v="[MWG] - Cashloan"/>
    <x v="0"/>
    <n v="2271050000"/>
  </r>
  <r>
    <x v="89"/>
    <x v="0"/>
    <x v="2"/>
    <n v="14"/>
    <n v="31"/>
    <x v="8"/>
    <s v="[MWG] - Cashloan"/>
    <x v="0"/>
    <n v="765370000"/>
  </r>
  <r>
    <x v="89"/>
    <x v="0"/>
    <x v="2"/>
    <n v="14"/>
    <n v="31"/>
    <x v="9"/>
    <s v="[MWG] - Paylater"/>
    <x v="1"/>
    <n v="9824710"/>
  </r>
  <r>
    <x v="89"/>
    <x v="0"/>
    <x v="2"/>
    <n v="14"/>
    <n v="31"/>
    <x v="10"/>
    <s v="[MWG] - Paylater"/>
    <x v="1"/>
    <n v="736425134"/>
  </r>
  <r>
    <x v="89"/>
    <x v="0"/>
    <x v="2"/>
    <n v="14"/>
    <n v="31"/>
    <x v="11"/>
    <s v="[NGS] - Cashloan"/>
    <x v="0"/>
    <n v="0"/>
  </r>
  <r>
    <x v="89"/>
    <x v="0"/>
    <x v="2"/>
    <n v="14"/>
    <n v="31"/>
    <x v="12"/>
    <s v="[VNPOST] - Cashloan"/>
    <x v="0"/>
    <n v="61000000"/>
  </r>
  <r>
    <x v="89"/>
    <x v="0"/>
    <x v="2"/>
    <n v="14"/>
    <n v="31"/>
    <x v="13"/>
    <s v="[VNPOST] - Cashloan"/>
    <x v="0"/>
    <n v="0"/>
  </r>
  <r>
    <x v="89"/>
    <x v="0"/>
    <x v="2"/>
    <n v="14"/>
    <n v="31"/>
    <x v="14"/>
    <s v="[VDS] - Cashloan"/>
    <x v="0"/>
    <n v="16357500000"/>
  </r>
  <r>
    <x v="89"/>
    <x v="0"/>
    <x v="2"/>
    <n v="14"/>
    <n v="31"/>
    <x v="15"/>
    <s v="[VDS] - Cashloan LP"/>
    <x v="0"/>
    <n v="0"/>
  </r>
  <r>
    <x v="89"/>
    <x v="0"/>
    <x v="2"/>
    <n v="14"/>
    <n v="31"/>
    <x v="16"/>
    <s v="[VDS] - Cashloan LP"/>
    <x v="0"/>
    <n v="0"/>
  </r>
  <r>
    <x v="89"/>
    <x v="0"/>
    <x v="2"/>
    <n v="14"/>
    <n v="31"/>
    <x v="17"/>
    <s v="[VDS] - Cashloan LP"/>
    <x v="0"/>
    <n v="0"/>
  </r>
  <r>
    <x v="89"/>
    <x v="0"/>
    <x v="2"/>
    <n v="14"/>
    <n v="31"/>
    <x v="18"/>
    <s v="[VDS] - Cashloan"/>
    <x v="0"/>
    <n v="0"/>
  </r>
  <r>
    <x v="89"/>
    <x v="0"/>
    <x v="2"/>
    <n v="14"/>
    <n v="31"/>
    <x v="19"/>
    <s v="[VDS] - Payday"/>
    <x v="3"/>
    <n v="10811772000"/>
  </r>
  <r>
    <x v="89"/>
    <x v="0"/>
    <x v="2"/>
    <n v="14"/>
    <n v="31"/>
    <x v="20"/>
    <s v="[VDS] - Paylater"/>
    <x v="1"/>
    <n v="148977859"/>
  </r>
  <r>
    <x v="89"/>
    <x v="0"/>
    <x v="2"/>
    <n v="14"/>
    <n v="31"/>
    <x v="21"/>
    <s v="[VDS] - Payroll Cashloan"/>
    <x v="0"/>
    <n v="63000000"/>
  </r>
  <r>
    <x v="89"/>
    <x v="0"/>
    <x v="2"/>
    <n v="14"/>
    <n v="31"/>
    <x v="22"/>
    <s v="[VDS] - Payroll Payday"/>
    <x v="3"/>
    <n v="56000000"/>
  </r>
  <r>
    <x v="89"/>
    <x v="0"/>
    <x v="2"/>
    <n v="14"/>
    <n v="31"/>
    <x v="23"/>
    <s v="[VNPAY] - Cashloan"/>
    <x v="0"/>
    <n v="1195750000"/>
  </r>
  <r>
    <x v="89"/>
    <x v="0"/>
    <x v="2"/>
    <n v="14"/>
    <n v="31"/>
    <x v="24"/>
    <s v="[VNPAY] - Payday"/>
    <x v="3"/>
    <n v="357372000"/>
  </r>
  <r>
    <x v="89"/>
    <x v="0"/>
    <x v="2"/>
    <n v="14"/>
    <n v="31"/>
    <x v="25"/>
    <s v="[VNPAY] - Paylater"/>
    <x v="1"/>
    <n v="430328774"/>
  </r>
  <r>
    <x v="89"/>
    <x v="0"/>
    <x v="2"/>
    <n v="14"/>
    <n v="31"/>
    <x v="26"/>
    <s v="[ZLP] - Cashloan"/>
    <x v="0"/>
    <n v="3696090000"/>
  </r>
  <r>
    <x v="89"/>
    <x v="0"/>
    <x v="2"/>
    <n v="14"/>
    <n v="31"/>
    <x v="27"/>
    <s v="[ZLP] - Payday"/>
    <x v="3"/>
    <n v="8640000"/>
  </r>
  <r>
    <x v="90"/>
    <x v="0"/>
    <x v="3"/>
    <n v="14"/>
    <n v="1"/>
    <x v="0"/>
    <s v="[BE] - Cashloan"/>
    <x v="0"/>
    <n v="629980000"/>
  </r>
  <r>
    <x v="90"/>
    <x v="0"/>
    <x v="3"/>
    <n v="14"/>
    <n v="1"/>
    <x v="1"/>
    <s v="[BE] - Paylater"/>
    <x v="1"/>
    <n v="308993836"/>
  </r>
  <r>
    <x v="90"/>
    <x v="0"/>
    <x v="3"/>
    <n v="14"/>
    <n v="1"/>
    <x v="2"/>
    <s v="[Cake] - Cashloan"/>
    <x v="0"/>
    <n v="22731350000"/>
  </r>
  <r>
    <x v="90"/>
    <x v="0"/>
    <x v="3"/>
    <n v="14"/>
    <n v="1"/>
    <x v="3"/>
    <s v="[Cake] - Overdraft"/>
    <x v="2"/>
    <n v="2812778254"/>
  </r>
  <r>
    <x v="90"/>
    <x v="0"/>
    <x v="3"/>
    <n v="14"/>
    <n v="1"/>
    <x v="4"/>
    <s v="[Cake] - Payday"/>
    <x v="3"/>
    <n v="14857452000"/>
  </r>
  <r>
    <x v="90"/>
    <x v="0"/>
    <x v="3"/>
    <n v="14"/>
    <n v="1"/>
    <x v="5"/>
    <s v="[FPT] - Paylater"/>
    <x v="1"/>
    <n v="6410587"/>
  </r>
  <r>
    <x v="90"/>
    <x v="0"/>
    <x v="3"/>
    <n v="14"/>
    <n v="1"/>
    <x v="6"/>
    <s v="[MISA] - Cashloan"/>
    <x v="0"/>
    <n v="0"/>
  </r>
  <r>
    <x v="90"/>
    <x v="0"/>
    <x v="3"/>
    <n v="14"/>
    <n v="1"/>
    <x v="7"/>
    <s v="[MWG] - Cashloan"/>
    <x v="0"/>
    <n v="2649000000"/>
  </r>
  <r>
    <x v="90"/>
    <x v="0"/>
    <x v="3"/>
    <n v="14"/>
    <n v="1"/>
    <x v="8"/>
    <s v="[MWG] - Cashloan"/>
    <x v="0"/>
    <n v="719020000"/>
  </r>
  <r>
    <x v="90"/>
    <x v="0"/>
    <x v="3"/>
    <n v="14"/>
    <n v="1"/>
    <x v="9"/>
    <s v="[MWG] - Paylater"/>
    <x v="1"/>
    <n v="9890000"/>
  </r>
  <r>
    <x v="90"/>
    <x v="0"/>
    <x v="3"/>
    <n v="14"/>
    <n v="1"/>
    <x v="10"/>
    <s v="[MWG] - Paylater"/>
    <x v="1"/>
    <n v="1143977797"/>
  </r>
  <r>
    <x v="90"/>
    <x v="0"/>
    <x v="3"/>
    <n v="14"/>
    <n v="1"/>
    <x v="11"/>
    <s v="[NGS] - Cashloan"/>
    <x v="0"/>
    <n v="0"/>
  </r>
  <r>
    <x v="90"/>
    <x v="0"/>
    <x v="3"/>
    <n v="14"/>
    <n v="1"/>
    <x v="12"/>
    <s v="[VNPOST] - Cashloan"/>
    <x v="0"/>
    <n v="102500000"/>
  </r>
  <r>
    <x v="90"/>
    <x v="0"/>
    <x v="3"/>
    <n v="14"/>
    <n v="1"/>
    <x v="13"/>
    <s v="[VNPOST] - Cashloan"/>
    <x v="0"/>
    <n v="0"/>
  </r>
  <r>
    <x v="90"/>
    <x v="0"/>
    <x v="3"/>
    <n v="14"/>
    <n v="1"/>
    <x v="14"/>
    <s v="[VDS] - Cashloan"/>
    <x v="0"/>
    <n v="17700590000"/>
  </r>
  <r>
    <x v="90"/>
    <x v="0"/>
    <x v="3"/>
    <n v="14"/>
    <n v="1"/>
    <x v="15"/>
    <s v="[VDS] - Cashloan LP"/>
    <x v="0"/>
    <n v="0"/>
  </r>
  <r>
    <x v="90"/>
    <x v="0"/>
    <x v="3"/>
    <n v="14"/>
    <n v="1"/>
    <x v="16"/>
    <s v="[VDS] - Cashloan LP"/>
    <x v="0"/>
    <n v="0"/>
  </r>
  <r>
    <x v="90"/>
    <x v="0"/>
    <x v="3"/>
    <n v="14"/>
    <n v="1"/>
    <x v="17"/>
    <s v="[VDS] - Cashloan LP"/>
    <x v="0"/>
    <n v="0"/>
  </r>
  <r>
    <x v="90"/>
    <x v="0"/>
    <x v="3"/>
    <n v="14"/>
    <n v="1"/>
    <x v="18"/>
    <s v="[VDS] - Cashloan"/>
    <x v="0"/>
    <n v="0"/>
  </r>
  <r>
    <x v="90"/>
    <x v="0"/>
    <x v="3"/>
    <n v="14"/>
    <n v="1"/>
    <x v="19"/>
    <s v="[VDS] - Payday"/>
    <x v="3"/>
    <n v="11718324000"/>
  </r>
  <r>
    <x v="90"/>
    <x v="0"/>
    <x v="3"/>
    <n v="14"/>
    <n v="1"/>
    <x v="20"/>
    <s v="[VDS] - Paylater"/>
    <x v="1"/>
    <n v="435088361"/>
  </r>
  <r>
    <x v="90"/>
    <x v="0"/>
    <x v="3"/>
    <n v="14"/>
    <n v="1"/>
    <x v="21"/>
    <s v="[VDS] - Payroll Cashloan"/>
    <x v="0"/>
    <n v="41500000"/>
  </r>
  <r>
    <x v="90"/>
    <x v="0"/>
    <x v="3"/>
    <n v="14"/>
    <n v="1"/>
    <x v="22"/>
    <s v="[VDS] - Payroll Payday"/>
    <x v="3"/>
    <n v="74000000"/>
  </r>
  <r>
    <x v="90"/>
    <x v="0"/>
    <x v="3"/>
    <n v="14"/>
    <n v="1"/>
    <x v="23"/>
    <s v="[VNPAY] - Cashloan"/>
    <x v="0"/>
    <n v="660620000"/>
  </r>
  <r>
    <x v="90"/>
    <x v="0"/>
    <x v="3"/>
    <n v="14"/>
    <n v="1"/>
    <x v="24"/>
    <s v="[VNPAY] - Payday"/>
    <x v="3"/>
    <n v="299484000"/>
  </r>
  <r>
    <x v="90"/>
    <x v="0"/>
    <x v="3"/>
    <n v="14"/>
    <n v="1"/>
    <x v="25"/>
    <s v="[VNPAY] - Paylater"/>
    <x v="1"/>
    <n v="609579152"/>
  </r>
  <r>
    <x v="90"/>
    <x v="0"/>
    <x v="3"/>
    <n v="14"/>
    <n v="1"/>
    <x v="26"/>
    <s v="[ZLP] - Cashloan"/>
    <x v="0"/>
    <n v="9613660000"/>
  </r>
  <r>
    <x v="90"/>
    <x v="0"/>
    <x v="3"/>
    <n v="14"/>
    <n v="1"/>
    <x v="27"/>
    <s v="[ZLP] - Payday"/>
    <x v="3"/>
    <n v="12528000"/>
  </r>
  <r>
    <x v="91"/>
    <x v="0"/>
    <x v="3"/>
    <n v="14"/>
    <n v="2"/>
    <x v="0"/>
    <s v="[BE] - Cashloan"/>
    <x v="0"/>
    <n v="722370000"/>
  </r>
  <r>
    <x v="91"/>
    <x v="0"/>
    <x v="3"/>
    <n v="14"/>
    <n v="2"/>
    <x v="1"/>
    <s v="[BE] - Paylater"/>
    <x v="1"/>
    <n v="328591353"/>
  </r>
  <r>
    <x v="91"/>
    <x v="0"/>
    <x v="3"/>
    <n v="14"/>
    <n v="2"/>
    <x v="2"/>
    <s v="[Cake] - Cashloan"/>
    <x v="0"/>
    <n v="19712400000"/>
  </r>
  <r>
    <x v="91"/>
    <x v="0"/>
    <x v="3"/>
    <n v="14"/>
    <n v="2"/>
    <x v="3"/>
    <s v="[Cake] - Overdraft"/>
    <x v="2"/>
    <n v="2342325450"/>
  </r>
  <r>
    <x v="91"/>
    <x v="0"/>
    <x v="3"/>
    <n v="14"/>
    <n v="2"/>
    <x v="4"/>
    <s v="[Cake] - Payday"/>
    <x v="3"/>
    <n v="13335408000"/>
  </r>
  <r>
    <x v="91"/>
    <x v="0"/>
    <x v="3"/>
    <n v="14"/>
    <n v="2"/>
    <x v="5"/>
    <s v="[FPT] - Paylater"/>
    <x v="1"/>
    <n v="22490346"/>
  </r>
  <r>
    <x v="91"/>
    <x v="0"/>
    <x v="3"/>
    <n v="14"/>
    <n v="2"/>
    <x v="6"/>
    <s v="[MISA] - Cashloan"/>
    <x v="0"/>
    <n v="180000000"/>
  </r>
  <r>
    <x v="91"/>
    <x v="0"/>
    <x v="3"/>
    <n v="14"/>
    <n v="2"/>
    <x v="7"/>
    <s v="[MWG] - Cashloan"/>
    <x v="0"/>
    <n v="2298380000"/>
  </r>
  <r>
    <x v="91"/>
    <x v="0"/>
    <x v="3"/>
    <n v="14"/>
    <n v="2"/>
    <x v="8"/>
    <s v="[MWG] - Cashloan"/>
    <x v="0"/>
    <n v="1198420000"/>
  </r>
  <r>
    <x v="91"/>
    <x v="0"/>
    <x v="3"/>
    <n v="14"/>
    <n v="2"/>
    <x v="9"/>
    <s v="[MWG] - Paylater"/>
    <x v="1"/>
    <n v="19042578"/>
  </r>
  <r>
    <x v="91"/>
    <x v="0"/>
    <x v="3"/>
    <n v="14"/>
    <n v="2"/>
    <x v="10"/>
    <s v="[MWG] - Paylater"/>
    <x v="1"/>
    <n v="1258751775"/>
  </r>
  <r>
    <x v="91"/>
    <x v="0"/>
    <x v="3"/>
    <n v="14"/>
    <n v="2"/>
    <x v="11"/>
    <s v="[NGS] - Cashloan"/>
    <x v="0"/>
    <n v="0"/>
  </r>
  <r>
    <x v="91"/>
    <x v="0"/>
    <x v="3"/>
    <n v="14"/>
    <n v="2"/>
    <x v="12"/>
    <s v="[VNPOST] - Cashloan"/>
    <x v="0"/>
    <n v="10500000"/>
  </r>
  <r>
    <x v="91"/>
    <x v="0"/>
    <x v="3"/>
    <n v="14"/>
    <n v="2"/>
    <x v="13"/>
    <s v="[VNPOST] - Cashloan"/>
    <x v="0"/>
    <n v="56000000"/>
  </r>
  <r>
    <x v="91"/>
    <x v="0"/>
    <x v="3"/>
    <n v="14"/>
    <n v="2"/>
    <x v="14"/>
    <s v="[VDS] - Cashloan"/>
    <x v="0"/>
    <n v="16327360000"/>
  </r>
  <r>
    <x v="91"/>
    <x v="0"/>
    <x v="3"/>
    <n v="14"/>
    <n v="2"/>
    <x v="15"/>
    <s v="[VDS] - Cashloan LP"/>
    <x v="0"/>
    <n v="0"/>
  </r>
  <r>
    <x v="91"/>
    <x v="0"/>
    <x v="3"/>
    <n v="14"/>
    <n v="2"/>
    <x v="16"/>
    <s v="[VDS] - Cashloan LP"/>
    <x v="0"/>
    <n v="0"/>
  </r>
  <r>
    <x v="91"/>
    <x v="0"/>
    <x v="3"/>
    <n v="14"/>
    <n v="2"/>
    <x v="17"/>
    <s v="[VDS] - Cashloan LP"/>
    <x v="0"/>
    <n v="0"/>
  </r>
  <r>
    <x v="91"/>
    <x v="0"/>
    <x v="3"/>
    <n v="14"/>
    <n v="2"/>
    <x v="18"/>
    <s v="[VDS] - Cashloan"/>
    <x v="0"/>
    <n v="21400000"/>
  </r>
  <r>
    <x v="91"/>
    <x v="0"/>
    <x v="3"/>
    <n v="14"/>
    <n v="2"/>
    <x v="19"/>
    <s v="[VDS] - Payday"/>
    <x v="3"/>
    <n v="11229300000"/>
  </r>
  <r>
    <x v="91"/>
    <x v="0"/>
    <x v="3"/>
    <n v="14"/>
    <n v="2"/>
    <x v="20"/>
    <s v="[VDS] - Paylater"/>
    <x v="1"/>
    <n v="420440924"/>
  </r>
  <r>
    <x v="91"/>
    <x v="0"/>
    <x v="3"/>
    <n v="14"/>
    <n v="2"/>
    <x v="21"/>
    <s v="[VDS] - Payroll Cashloan"/>
    <x v="0"/>
    <n v="29500000"/>
  </r>
  <r>
    <x v="91"/>
    <x v="0"/>
    <x v="3"/>
    <n v="14"/>
    <n v="2"/>
    <x v="22"/>
    <s v="[VDS] - Payroll Payday"/>
    <x v="3"/>
    <n v="58000000"/>
  </r>
  <r>
    <x v="91"/>
    <x v="0"/>
    <x v="3"/>
    <n v="14"/>
    <n v="2"/>
    <x v="23"/>
    <s v="[VNPAY] - Cashloan"/>
    <x v="0"/>
    <n v="576530000"/>
  </r>
  <r>
    <x v="91"/>
    <x v="0"/>
    <x v="3"/>
    <n v="14"/>
    <n v="2"/>
    <x v="24"/>
    <s v="[VNPAY] - Payday"/>
    <x v="3"/>
    <n v="314820000"/>
  </r>
  <r>
    <x v="91"/>
    <x v="0"/>
    <x v="3"/>
    <n v="14"/>
    <n v="2"/>
    <x v="25"/>
    <s v="[VNPAY] - Paylater"/>
    <x v="1"/>
    <n v="912032990"/>
  </r>
  <r>
    <x v="91"/>
    <x v="0"/>
    <x v="3"/>
    <n v="14"/>
    <n v="2"/>
    <x v="26"/>
    <s v="[ZLP] - Cashloan"/>
    <x v="0"/>
    <n v="8155820000"/>
  </r>
  <r>
    <x v="91"/>
    <x v="0"/>
    <x v="3"/>
    <n v="14"/>
    <n v="2"/>
    <x v="27"/>
    <s v="[ZLP] - Payday"/>
    <x v="3"/>
    <n v="2160000"/>
  </r>
  <r>
    <x v="92"/>
    <x v="0"/>
    <x v="3"/>
    <n v="14"/>
    <n v="3"/>
    <x v="0"/>
    <s v="[BE] - Cashloan"/>
    <x v="0"/>
    <n v="495880000"/>
  </r>
  <r>
    <x v="92"/>
    <x v="0"/>
    <x v="3"/>
    <n v="14"/>
    <n v="3"/>
    <x v="1"/>
    <s v="[BE] - Paylater"/>
    <x v="1"/>
    <n v="398855712"/>
  </r>
  <r>
    <x v="92"/>
    <x v="0"/>
    <x v="3"/>
    <n v="14"/>
    <n v="3"/>
    <x v="2"/>
    <s v="[Cake] - Cashloan"/>
    <x v="0"/>
    <n v="20172160000"/>
  </r>
  <r>
    <x v="92"/>
    <x v="0"/>
    <x v="3"/>
    <n v="14"/>
    <n v="3"/>
    <x v="3"/>
    <s v="[Cake] - Overdraft"/>
    <x v="2"/>
    <n v="2047843328"/>
  </r>
  <r>
    <x v="92"/>
    <x v="0"/>
    <x v="3"/>
    <n v="14"/>
    <n v="3"/>
    <x v="4"/>
    <s v="[Cake] - Payday"/>
    <x v="3"/>
    <n v="14106960000"/>
  </r>
  <r>
    <x v="92"/>
    <x v="0"/>
    <x v="3"/>
    <n v="14"/>
    <n v="3"/>
    <x v="5"/>
    <s v="[FPT] - Paylater"/>
    <x v="1"/>
    <n v="0"/>
  </r>
  <r>
    <x v="92"/>
    <x v="0"/>
    <x v="3"/>
    <n v="14"/>
    <n v="3"/>
    <x v="6"/>
    <s v="[MISA] - Cashloan"/>
    <x v="0"/>
    <n v="0"/>
  </r>
  <r>
    <x v="92"/>
    <x v="0"/>
    <x v="3"/>
    <n v="14"/>
    <n v="3"/>
    <x v="7"/>
    <s v="[MWG] - Cashloan"/>
    <x v="0"/>
    <n v="1956850000"/>
  </r>
  <r>
    <x v="92"/>
    <x v="0"/>
    <x v="3"/>
    <n v="14"/>
    <n v="3"/>
    <x v="8"/>
    <s v="[MWG] - Cashloan"/>
    <x v="0"/>
    <n v="717470000"/>
  </r>
  <r>
    <x v="92"/>
    <x v="0"/>
    <x v="3"/>
    <n v="14"/>
    <n v="3"/>
    <x v="9"/>
    <s v="[MWG] - Paylater"/>
    <x v="1"/>
    <n v="32629158"/>
  </r>
  <r>
    <x v="92"/>
    <x v="0"/>
    <x v="3"/>
    <n v="14"/>
    <n v="3"/>
    <x v="10"/>
    <s v="[MWG] - Paylater"/>
    <x v="1"/>
    <n v="1599343908"/>
  </r>
  <r>
    <x v="92"/>
    <x v="0"/>
    <x v="3"/>
    <n v="14"/>
    <n v="3"/>
    <x v="11"/>
    <s v="[NGS] - Cashloan"/>
    <x v="0"/>
    <n v="0"/>
  </r>
  <r>
    <x v="92"/>
    <x v="0"/>
    <x v="3"/>
    <n v="14"/>
    <n v="3"/>
    <x v="12"/>
    <s v="[VNPOST] - Cashloan"/>
    <x v="0"/>
    <n v="25500000"/>
  </r>
  <r>
    <x v="92"/>
    <x v="0"/>
    <x v="3"/>
    <n v="14"/>
    <n v="3"/>
    <x v="13"/>
    <s v="[VNPOST] - Cashloan"/>
    <x v="0"/>
    <n v="82400000"/>
  </r>
  <r>
    <x v="92"/>
    <x v="0"/>
    <x v="3"/>
    <n v="14"/>
    <n v="3"/>
    <x v="14"/>
    <s v="[VDS] - Cashloan"/>
    <x v="0"/>
    <n v="17836470000"/>
  </r>
  <r>
    <x v="92"/>
    <x v="0"/>
    <x v="3"/>
    <n v="14"/>
    <n v="3"/>
    <x v="15"/>
    <s v="[VDS] - Cashloan LP"/>
    <x v="0"/>
    <n v="0"/>
  </r>
  <r>
    <x v="92"/>
    <x v="0"/>
    <x v="3"/>
    <n v="14"/>
    <n v="3"/>
    <x v="16"/>
    <s v="[VDS] - Cashloan LP"/>
    <x v="0"/>
    <n v="0"/>
  </r>
  <r>
    <x v="92"/>
    <x v="0"/>
    <x v="3"/>
    <n v="14"/>
    <n v="3"/>
    <x v="17"/>
    <s v="[VDS] - Cashloan LP"/>
    <x v="0"/>
    <n v="0"/>
  </r>
  <r>
    <x v="92"/>
    <x v="0"/>
    <x v="3"/>
    <n v="14"/>
    <n v="3"/>
    <x v="18"/>
    <s v="[VDS] - Cashloan"/>
    <x v="0"/>
    <n v="0"/>
  </r>
  <r>
    <x v="92"/>
    <x v="0"/>
    <x v="3"/>
    <n v="14"/>
    <n v="3"/>
    <x v="19"/>
    <s v="[VDS] - Payday"/>
    <x v="3"/>
    <n v="10819224000"/>
  </r>
  <r>
    <x v="92"/>
    <x v="0"/>
    <x v="3"/>
    <n v="14"/>
    <n v="3"/>
    <x v="20"/>
    <s v="[VDS] - Paylater"/>
    <x v="1"/>
    <n v="508044615"/>
  </r>
  <r>
    <x v="92"/>
    <x v="0"/>
    <x v="3"/>
    <n v="14"/>
    <n v="3"/>
    <x v="21"/>
    <s v="[VDS] - Payroll Cashloan"/>
    <x v="0"/>
    <n v="21000000"/>
  </r>
  <r>
    <x v="92"/>
    <x v="0"/>
    <x v="3"/>
    <n v="14"/>
    <n v="3"/>
    <x v="22"/>
    <s v="[VDS] - Payroll Payday"/>
    <x v="3"/>
    <n v="38000000"/>
  </r>
  <r>
    <x v="92"/>
    <x v="0"/>
    <x v="3"/>
    <n v="14"/>
    <n v="3"/>
    <x v="23"/>
    <s v="[VNPAY] - Cashloan"/>
    <x v="0"/>
    <n v="796090000"/>
  </r>
  <r>
    <x v="92"/>
    <x v="0"/>
    <x v="3"/>
    <n v="14"/>
    <n v="3"/>
    <x v="24"/>
    <s v="[VNPAY] - Payday"/>
    <x v="3"/>
    <n v="313200000"/>
  </r>
  <r>
    <x v="92"/>
    <x v="0"/>
    <x v="3"/>
    <n v="14"/>
    <n v="3"/>
    <x v="25"/>
    <s v="[VNPAY] - Paylater"/>
    <x v="1"/>
    <n v="1299011380"/>
  </r>
  <r>
    <x v="92"/>
    <x v="0"/>
    <x v="3"/>
    <n v="14"/>
    <n v="3"/>
    <x v="26"/>
    <s v="[ZLP] - Cashloan"/>
    <x v="0"/>
    <n v="7863820000"/>
  </r>
  <r>
    <x v="92"/>
    <x v="0"/>
    <x v="3"/>
    <n v="14"/>
    <n v="3"/>
    <x v="27"/>
    <s v="[ZLP] - Payday"/>
    <x v="3"/>
    <n v="2160000"/>
  </r>
  <r>
    <x v="93"/>
    <x v="0"/>
    <x v="3"/>
    <n v="14"/>
    <n v="4"/>
    <x v="0"/>
    <s v="[BE] - Cashloan"/>
    <x v="0"/>
    <n v="576150000"/>
  </r>
  <r>
    <x v="93"/>
    <x v="0"/>
    <x v="3"/>
    <n v="14"/>
    <n v="4"/>
    <x v="1"/>
    <s v="[BE] - Paylater"/>
    <x v="1"/>
    <n v="513712363"/>
  </r>
  <r>
    <x v="93"/>
    <x v="0"/>
    <x v="3"/>
    <n v="14"/>
    <n v="4"/>
    <x v="2"/>
    <s v="[Cake] - Cashloan"/>
    <x v="0"/>
    <n v="18382180000"/>
  </r>
  <r>
    <x v="93"/>
    <x v="0"/>
    <x v="3"/>
    <n v="14"/>
    <n v="4"/>
    <x v="3"/>
    <s v="[Cake] - Overdraft"/>
    <x v="2"/>
    <n v="1855556717"/>
  </r>
  <r>
    <x v="93"/>
    <x v="0"/>
    <x v="3"/>
    <n v="14"/>
    <n v="4"/>
    <x v="4"/>
    <s v="[Cake] - Payday"/>
    <x v="3"/>
    <n v="13801320000"/>
  </r>
  <r>
    <x v="93"/>
    <x v="0"/>
    <x v="3"/>
    <n v="14"/>
    <n v="4"/>
    <x v="5"/>
    <s v="[FPT] - Paylater"/>
    <x v="1"/>
    <n v="0"/>
  </r>
  <r>
    <x v="93"/>
    <x v="0"/>
    <x v="3"/>
    <n v="14"/>
    <n v="4"/>
    <x v="6"/>
    <s v="[MISA] - Cashloan"/>
    <x v="0"/>
    <n v="0"/>
  </r>
  <r>
    <x v="93"/>
    <x v="0"/>
    <x v="3"/>
    <n v="14"/>
    <n v="4"/>
    <x v="7"/>
    <s v="[MWG] - Cashloan"/>
    <x v="0"/>
    <n v="2658650000"/>
  </r>
  <r>
    <x v="93"/>
    <x v="0"/>
    <x v="3"/>
    <n v="14"/>
    <n v="4"/>
    <x v="8"/>
    <s v="[MWG] - Cashloan"/>
    <x v="0"/>
    <n v="650900000"/>
  </r>
  <r>
    <x v="93"/>
    <x v="0"/>
    <x v="3"/>
    <n v="14"/>
    <n v="4"/>
    <x v="9"/>
    <s v="[MWG] - Paylater"/>
    <x v="1"/>
    <n v="34486187"/>
  </r>
  <r>
    <x v="93"/>
    <x v="0"/>
    <x v="3"/>
    <n v="14"/>
    <n v="4"/>
    <x v="10"/>
    <s v="[MWG] - Paylater"/>
    <x v="1"/>
    <n v="1763209762"/>
  </r>
  <r>
    <x v="93"/>
    <x v="0"/>
    <x v="3"/>
    <n v="14"/>
    <n v="4"/>
    <x v="11"/>
    <s v="[NGS] - Cashloan"/>
    <x v="0"/>
    <n v="0"/>
  </r>
  <r>
    <x v="93"/>
    <x v="0"/>
    <x v="3"/>
    <n v="14"/>
    <n v="4"/>
    <x v="12"/>
    <s v="[VNPOST] - Cashloan"/>
    <x v="0"/>
    <n v="40000000"/>
  </r>
  <r>
    <x v="93"/>
    <x v="0"/>
    <x v="3"/>
    <n v="14"/>
    <n v="4"/>
    <x v="13"/>
    <s v="[VNPOST] - Cashloan"/>
    <x v="0"/>
    <n v="0"/>
  </r>
  <r>
    <x v="93"/>
    <x v="0"/>
    <x v="3"/>
    <n v="14"/>
    <n v="4"/>
    <x v="14"/>
    <s v="[VDS] - Cashloan"/>
    <x v="0"/>
    <n v="16223600000"/>
  </r>
  <r>
    <x v="93"/>
    <x v="0"/>
    <x v="3"/>
    <n v="14"/>
    <n v="4"/>
    <x v="15"/>
    <s v="[VDS] - Cashloan LP"/>
    <x v="0"/>
    <n v="0"/>
  </r>
  <r>
    <x v="93"/>
    <x v="0"/>
    <x v="3"/>
    <n v="14"/>
    <n v="4"/>
    <x v="16"/>
    <s v="[VDS] - Cashloan LP"/>
    <x v="0"/>
    <n v="0"/>
  </r>
  <r>
    <x v="93"/>
    <x v="0"/>
    <x v="3"/>
    <n v="14"/>
    <n v="4"/>
    <x v="17"/>
    <s v="[VDS] - Cashloan LP"/>
    <x v="0"/>
    <n v="0"/>
  </r>
  <r>
    <x v="93"/>
    <x v="0"/>
    <x v="3"/>
    <n v="14"/>
    <n v="4"/>
    <x v="18"/>
    <s v="[VDS] - Cashloan"/>
    <x v="0"/>
    <n v="0"/>
  </r>
  <r>
    <x v="93"/>
    <x v="0"/>
    <x v="3"/>
    <n v="14"/>
    <n v="4"/>
    <x v="19"/>
    <s v="[VDS] - Payday"/>
    <x v="3"/>
    <n v="11136204000"/>
  </r>
  <r>
    <x v="93"/>
    <x v="0"/>
    <x v="3"/>
    <n v="14"/>
    <n v="4"/>
    <x v="20"/>
    <s v="[VDS] - Paylater"/>
    <x v="1"/>
    <n v="630565541"/>
  </r>
  <r>
    <x v="93"/>
    <x v="0"/>
    <x v="3"/>
    <n v="14"/>
    <n v="4"/>
    <x v="21"/>
    <s v="[VDS] - Payroll Cashloan"/>
    <x v="0"/>
    <n v="63000000"/>
  </r>
  <r>
    <x v="93"/>
    <x v="0"/>
    <x v="3"/>
    <n v="14"/>
    <n v="4"/>
    <x v="22"/>
    <s v="[VDS] - Payroll Payday"/>
    <x v="3"/>
    <n v="49000000"/>
  </r>
  <r>
    <x v="93"/>
    <x v="0"/>
    <x v="3"/>
    <n v="14"/>
    <n v="4"/>
    <x v="23"/>
    <s v="[VNPAY] - Cashloan"/>
    <x v="0"/>
    <n v="603970000"/>
  </r>
  <r>
    <x v="93"/>
    <x v="0"/>
    <x v="3"/>
    <n v="14"/>
    <n v="4"/>
    <x v="24"/>
    <s v="[VNPAY] - Payday"/>
    <x v="3"/>
    <n v="315792000"/>
  </r>
  <r>
    <x v="93"/>
    <x v="0"/>
    <x v="3"/>
    <n v="14"/>
    <n v="4"/>
    <x v="25"/>
    <s v="[VNPAY] - Paylater"/>
    <x v="1"/>
    <n v="1642965022"/>
  </r>
  <r>
    <x v="93"/>
    <x v="0"/>
    <x v="3"/>
    <n v="14"/>
    <n v="4"/>
    <x v="26"/>
    <s v="[ZLP] - Cashloan"/>
    <x v="0"/>
    <n v="6077010000"/>
  </r>
  <r>
    <x v="93"/>
    <x v="0"/>
    <x v="3"/>
    <n v="14"/>
    <n v="4"/>
    <x v="27"/>
    <s v="[ZLP] - Payday"/>
    <x v="3"/>
    <n v="4320000"/>
  </r>
  <r>
    <x v="94"/>
    <x v="0"/>
    <x v="3"/>
    <n v="14"/>
    <n v="5"/>
    <x v="0"/>
    <s v="[BE] - Cashloan"/>
    <x v="0"/>
    <n v="658150000"/>
  </r>
  <r>
    <x v="94"/>
    <x v="0"/>
    <x v="3"/>
    <n v="14"/>
    <n v="5"/>
    <x v="1"/>
    <s v="[BE] - Paylater"/>
    <x v="1"/>
    <n v="473511847"/>
  </r>
  <r>
    <x v="94"/>
    <x v="0"/>
    <x v="3"/>
    <n v="14"/>
    <n v="5"/>
    <x v="2"/>
    <s v="[Cake] - Cashloan"/>
    <x v="0"/>
    <n v="15050540000"/>
  </r>
  <r>
    <x v="94"/>
    <x v="0"/>
    <x v="3"/>
    <n v="14"/>
    <n v="5"/>
    <x v="3"/>
    <s v="[Cake] - Overdraft"/>
    <x v="2"/>
    <n v="1581600309"/>
  </r>
  <r>
    <x v="94"/>
    <x v="0"/>
    <x v="3"/>
    <n v="14"/>
    <n v="5"/>
    <x v="4"/>
    <s v="[Cake] - Payday"/>
    <x v="3"/>
    <n v="13768704000"/>
  </r>
  <r>
    <x v="94"/>
    <x v="0"/>
    <x v="3"/>
    <n v="14"/>
    <n v="5"/>
    <x v="5"/>
    <s v="[FPT] - Paylater"/>
    <x v="1"/>
    <n v="0"/>
  </r>
  <r>
    <x v="94"/>
    <x v="0"/>
    <x v="3"/>
    <n v="14"/>
    <n v="5"/>
    <x v="6"/>
    <s v="[MISA] - Cashloan"/>
    <x v="0"/>
    <n v="0"/>
  </r>
  <r>
    <x v="94"/>
    <x v="0"/>
    <x v="3"/>
    <n v="14"/>
    <n v="5"/>
    <x v="7"/>
    <s v="[MWG] - Cashloan"/>
    <x v="0"/>
    <n v="2859120000"/>
  </r>
  <r>
    <x v="94"/>
    <x v="0"/>
    <x v="3"/>
    <n v="14"/>
    <n v="5"/>
    <x v="8"/>
    <s v="[MWG] - Cashloan"/>
    <x v="0"/>
    <n v="936350000"/>
  </r>
  <r>
    <x v="94"/>
    <x v="0"/>
    <x v="3"/>
    <n v="14"/>
    <n v="5"/>
    <x v="9"/>
    <s v="[MWG] - Paylater"/>
    <x v="1"/>
    <n v="38596801"/>
  </r>
  <r>
    <x v="94"/>
    <x v="0"/>
    <x v="3"/>
    <n v="14"/>
    <n v="5"/>
    <x v="10"/>
    <s v="[MWG] - Paylater"/>
    <x v="1"/>
    <n v="1719202172"/>
  </r>
  <r>
    <x v="94"/>
    <x v="0"/>
    <x v="3"/>
    <n v="14"/>
    <n v="5"/>
    <x v="11"/>
    <s v="[NGS] - Cashloan"/>
    <x v="0"/>
    <n v="0"/>
  </r>
  <r>
    <x v="94"/>
    <x v="0"/>
    <x v="3"/>
    <n v="14"/>
    <n v="5"/>
    <x v="12"/>
    <s v="[VNPOST] - Cashloan"/>
    <x v="0"/>
    <n v="42000000"/>
  </r>
  <r>
    <x v="94"/>
    <x v="0"/>
    <x v="3"/>
    <n v="14"/>
    <n v="5"/>
    <x v="13"/>
    <s v="[VNPOST] - Cashloan"/>
    <x v="0"/>
    <n v="0"/>
  </r>
  <r>
    <x v="94"/>
    <x v="0"/>
    <x v="3"/>
    <n v="14"/>
    <n v="5"/>
    <x v="14"/>
    <s v="[VDS] - Cashloan"/>
    <x v="0"/>
    <n v="14475880000"/>
  </r>
  <r>
    <x v="94"/>
    <x v="0"/>
    <x v="3"/>
    <n v="14"/>
    <n v="5"/>
    <x v="15"/>
    <s v="[VDS] - Cashloan LP"/>
    <x v="0"/>
    <n v="0"/>
  </r>
  <r>
    <x v="94"/>
    <x v="0"/>
    <x v="3"/>
    <n v="14"/>
    <n v="5"/>
    <x v="16"/>
    <s v="[VDS] - Cashloan LP"/>
    <x v="0"/>
    <n v="0"/>
  </r>
  <r>
    <x v="94"/>
    <x v="0"/>
    <x v="3"/>
    <n v="14"/>
    <n v="5"/>
    <x v="17"/>
    <s v="[VDS] - Cashloan LP"/>
    <x v="0"/>
    <n v="0"/>
  </r>
  <r>
    <x v="94"/>
    <x v="0"/>
    <x v="3"/>
    <n v="14"/>
    <n v="5"/>
    <x v="18"/>
    <s v="[VDS] - Cashloan"/>
    <x v="0"/>
    <n v="0"/>
  </r>
  <r>
    <x v="94"/>
    <x v="0"/>
    <x v="3"/>
    <n v="14"/>
    <n v="5"/>
    <x v="19"/>
    <s v="[VDS] - Payday"/>
    <x v="3"/>
    <n v="11467656000"/>
  </r>
  <r>
    <x v="94"/>
    <x v="0"/>
    <x v="3"/>
    <n v="14"/>
    <n v="5"/>
    <x v="20"/>
    <s v="[VDS] - Paylater"/>
    <x v="1"/>
    <n v="468020802"/>
  </r>
  <r>
    <x v="94"/>
    <x v="0"/>
    <x v="3"/>
    <n v="14"/>
    <n v="5"/>
    <x v="21"/>
    <s v="[VDS] - Payroll Cashloan"/>
    <x v="0"/>
    <n v="21000000"/>
  </r>
  <r>
    <x v="94"/>
    <x v="0"/>
    <x v="3"/>
    <n v="14"/>
    <n v="5"/>
    <x v="22"/>
    <s v="[VDS] - Payroll Payday"/>
    <x v="3"/>
    <n v="97000000"/>
  </r>
  <r>
    <x v="94"/>
    <x v="0"/>
    <x v="3"/>
    <n v="14"/>
    <n v="5"/>
    <x v="23"/>
    <s v="[VNPAY] - Cashloan"/>
    <x v="0"/>
    <n v="871700000"/>
  </r>
  <r>
    <x v="94"/>
    <x v="0"/>
    <x v="3"/>
    <n v="14"/>
    <n v="5"/>
    <x v="24"/>
    <s v="[VNPAY] - Payday"/>
    <x v="3"/>
    <n v="417204000"/>
  </r>
  <r>
    <x v="94"/>
    <x v="0"/>
    <x v="3"/>
    <n v="14"/>
    <n v="5"/>
    <x v="25"/>
    <s v="[VNPAY] - Paylater"/>
    <x v="1"/>
    <n v="967608584"/>
  </r>
  <r>
    <x v="94"/>
    <x v="0"/>
    <x v="3"/>
    <n v="14"/>
    <n v="5"/>
    <x v="26"/>
    <s v="[ZLP] - Cashloan"/>
    <x v="0"/>
    <n v="6031250000"/>
  </r>
  <r>
    <x v="94"/>
    <x v="0"/>
    <x v="3"/>
    <n v="14"/>
    <n v="5"/>
    <x v="27"/>
    <s v="[ZLP] - Payday"/>
    <x v="3"/>
    <n v="0"/>
  </r>
  <r>
    <x v="95"/>
    <x v="0"/>
    <x v="3"/>
    <n v="15"/>
    <n v="6"/>
    <x v="0"/>
    <s v="[BE] - Cashloan"/>
    <x v="0"/>
    <n v="789650000"/>
  </r>
  <r>
    <x v="95"/>
    <x v="0"/>
    <x v="3"/>
    <n v="15"/>
    <n v="6"/>
    <x v="1"/>
    <s v="[BE] - Paylater"/>
    <x v="1"/>
    <n v="362846492"/>
  </r>
  <r>
    <x v="95"/>
    <x v="0"/>
    <x v="3"/>
    <n v="15"/>
    <n v="6"/>
    <x v="2"/>
    <s v="[Cake] - Cashloan"/>
    <x v="0"/>
    <n v="18506700000"/>
  </r>
  <r>
    <x v="95"/>
    <x v="0"/>
    <x v="3"/>
    <n v="15"/>
    <n v="6"/>
    <x v="3"/>
    <s v="[Cake] - Overdraft"/>
    <x v="2"/>
    <n v="2081988827"/>
  </r>
  <r>
    <x v="95"/>
    <x v="0"/>
    <x v="3"/>
    <n v="15"/>
    <n v="6"/>
    <x v="4"/>
    <s v="[Cake] - Payday"/>
    <x v="3"/>
    <n v="14511960000"/>
  </r>
  <r>
    <x v="95"/>
    <x v="0"/>
    <x v="3"/>
    <n v="15"/>
    <n v="6"/>
    <x v="5"/>
    <s v="[FPT] - Paylater"/>
    <x v="1"/>
    <n v="0"/>
  </r>
  <r>
    <x v="95"/>
    <x v="0"/>
    <x v="3"/>
    <n v="15"/>
    <n v="6"/>
    <x v="6"/>
    <s v="[MISA] - Cashloan"/>
    <x v="0"/>
    <n v="0"/>
  </r>
  <r>
    <x v="95"/>
    <x v="0"/>
    <x v="3"/>
    <n v="15"/>
    <n v="6"/>
    <x v="7"/>
    <s v="[MWG] - Cashloan"/>
    <x v="0"/>
    <n v="2560610000"/>
  </r>
  <r>
    <x v="95"/>
    <x v="0"/>
    <x v="3"/>
    <n v="15"/>
    <n v="6"/>
    <x v="8"/>
    <s v="[MWG] - Cashloan"/>
    <x v="0"/>
    <n v="1214350000"/>
  </r>
  <r>
    <x v="95"/>
    <x v="0"/>
    <x v="3"/>
    <n v="15"/>
    <n v="6"/>
    <x v="9"/>
    <s v="[MWG] - Paylater"/>
    <x v="1"/>
    <n v="13639216"/>
  </r>
  <r>
    <x v="95"/>
    <x v="0"/>
    <x v="3"/>
    <n v="15"/>
    <n v="6"/>
    <x v="10"/>
    <s v="[MWG] - Paylater"/>
    <x v="1"/>
    <n v="1231822499"/>
  </r>
  <r>
    <x v="95"/>
    <x v="0"/>
    <x v="3"/>
    <n v="15"/>
    <n v="6"/>
    <x v="11"/>
    <s v="[NGS] - Cashloan"/>
    <x v="0"/>
    <n v="0"/>
  </r>
  <r>
    <x v="95"/>
    <x v="0"/>
    <x v="3"/>
    <n v="15"/>
    <n v="6"/>
    <x v="12"/>
    <s v="[VNPOST] - Cashloan"/>
    <x v="0"/>
    <n v="41250000"/>
  </r>
  <r>
    <x v="95"/>
    <x v="0"/>
    <x v="3"/>
    <n v="15"/>
    <n v="6"/>
    <x v="13"/>
    <s v="[VNPOST] - Cashloan"/>
    <x v="0"/>
    <n v="81000000"/>
  </r>
  <r>
    <x v="95"/>
    <x v="0"/>
    <x v="3"/>
    <n v="15"/>
    <n v="6"/>
    <x v="14"/>
    <s v="[VDS] - Cashloan"/>
    <x v="0"/>
    <n v="16524910000"/>
  </r>
  <r>
    <x v="95"/>
    <x v="0"/>
    <x v="3"/>
    <n v="15"/>
    <n v="6"/>
    <x v="15"/>
    <s v="[VDS] - Cashloan LP"/>
    <x v="0"/>
    <n v="0"/>
  </r>
  <r>
    <x v="95"/>
    <x v="0"/>
    <x v="3"/>
    <n v="15"/>
    <n v="6"/>
    <x v="16"/>
    <s v="[VDS] - Cashloan LP"/>
    <x v="0"/>
    <n v="0"/>
  </r>
  <r>
    <x v="95"/>
    <x v="0"/>
    <x v="3"/>
    <n v="15"/>
    <n v="6"/>
    <x v="17"/>
    <s v="[VDS] - Cashloan LP"/>
    <x v="0"/>
    <n v="0"/>
  </r>
  <r>
    <x v="95"/>
    <x v="0"/>
    <x v="3"/>
    <n v="15"/>
    <n v="6"/>
    <x v="18"/>
    <s v="[VDS] - Cashloan"/>
    <x v="0"/>
    <n v="0"/>
  </r>
  <r>
    <x v="95"/>
    <x v="0"/>
    <x v="3"/>
    <n v="15"/>
    <n v="6"/>
    <x v="19"/>
    <s v="[VDS] - Payday"/>
    <x v="3"/>
    <n v="10685088000"/>
  </r>
  <r>
    <x v="95"/>
    <x v="0"/>
    <x v="3"/>
    <n v="15"/>
    <n v="6"/>
    <x v="20"/>
    <s v="[VDS] - Paylater"/>
    <x v="1"/>
    <n v="413044188"/>
  </r>
  <r>
    <x v="95"/>
    <x v="0"/>
    <x v="3"/>
    <n v="15"/>
    <n v="6"/>
    <x v="21"/>
    <s v="[VDS] - Payroll Cashloan"/>
    <x v="0"/>
    <n v="31500000"/>
  </r>
  <r>
    <x v="95"/>
    <x v="0"/>
    <x v="3"/>
    <n v="15"/>
    <n v="6"/>
    <x v="22"/>
    <s v="[VDS] - Payroll Payday"/>
    <x v="3"/>
    <n v="60000000"/>
  </r>
  <r>
    <x v="95"/>
    <x v="0"/>
    <x v="3"/>
    <n v="15"/>
    <n v="6"/>
    <x v="23"/>
    <s v="[VNPAY] - Cashloan"/>
    <x v="0"/>
    <n v="884770000"/>
  </r>
  <r>
    <x v="95"/>
    <x v="0"/>
    <x v="3"/>
    <n v="15"/>
    <n v="6"/>
    <x v="24"/>
    <s v="[VNPAY] - Payday"/>
    <x v="3"/>
    <n v="345492000"/>
  </r>
  <r>
    <x v="95"/>
    <x v="0"/>
    <x v="3"/>
    <n v="15"/>
    <n v="6"/>
    <x v="25"/>
    <s v="[VNPAY] - Paylater"/>
    <x v="1"/>
    <n v="639747115"/>
  </r>
  <r>
    <x v="95"/>
    <x v="0"/>
    <x v="3"/>
    <n v="15"/>
    <n v="6"/>
    <x v="26"/>
    <s v="[ZLP] - Cashloan"/>
    <x v="0"/>
    <n v="7145550000"/>
  </r>
  <r>
    <x v="95"/>
    <x v="0"/>
    <x v="3"/>
    <n v="15"/>
    <n v="6"/>
    <x v="27"/>
    <s v="[ZLP] - Payday"/>
    <x v="3"/>
    <n v="3240000"/>
  </r>
  <r>
    <x v="96"/>
    <x v="0"/>
    <x v="3"/>
    <n v="15"/>
    <n v="7"/>
    <x v="0"/>
    <s v="[BE] - Cashloan"/>
    <x v="0"/>
    <n v="803500000"/>
  </r>
  <r>
    <x v="96"/>
    <x v="0"/>
    <x v="3"/>
    <n v="15"/>
    <n v="7"/>
    <x v="1"/>
    <s v="[BE] - Paylater"/>
    <x v="1"/>
    <n v="323742554"/>
  </r>
  <r>
    <x v="96"/>
    <x v="0"/>
    <x v="3"/>
    <n v="15"/>
    <n v="7"/>
    <x v="2"/>
    <s v="[Cake] - Cashloan"/>
    <x v="0"/>
    <n v="16980340000"/>
  </r>
  <r>
    <x v="96"/>
    <x v="0"/>
    <x v="3"/>
    <n v="15"/>
    <n v="7"/>
    <x v="3"/>
    <s v="[Cake] - Overdraft"/>
    <x v="2"/>
    <n v="1734498184"/>
  </r>
  <r>
    <x v="96"/>
    <x v="0"/>
    <x v="3"/>
    <n v="15"/>
    <n v="7"/>
    <x v="4"/>
    <s v="[Cake] - Payday"/>
    <x v="3"/>
    <n v="14266584000"/>
  </r>
  <r>
    <x v="96"/>
    <x v="0"/>
    <x v="3"/>
    <n v="15"/>
    <n v="7"/>
    <x v="5"/>
    <s v="[FPT] - Paylater"/>
    <x v="1"/>
    <n v="0"/>
  </r>
  <r>
    <x v="96"/>
    <x v="0"/>
    <x v="3"/>
    <n v="15"/>
    <n v="7"/>
    <x v="6"/>
    <s v="[MISA] - Cashloan"/>
    <x v="0"/>
    <n v="170000000"/>
  </r>
  <r>
    <x v="96"/>
    <x v="0"/>
    <x v="3"/>
    <n v="15"/>
    <n v="7"/>
    <x v="7"/>
    <s v="[MWG] - Cashloan"/>
    <x v="0"/>
    <n v="2352120000"/>
  </r>
  <r>
    <x v="96"/>
    <x v="0"/>
    <x v="3"/>
    <n v="15"/>
    <n v="7"/>
    <x v="8"/>
    <s v="[MWG] - Cashloan"/>
    <x v="0"/>
    <n v="1111890000"/>
  </r>
  <r>
    <x v="96"/>
    <x v="0"/>
    <x v="3"/>
    <n v="15"/>
    <n v="7"/>
    <x v="9"/>
    <s v="[MWG] - Paylater"/>
    <x v="1"/>
    <n v="8941124"/>
  </r>
  <r>
    <x v="96"/>
    <x v="0"/>
    <x v="3"/>
    <n v="15"/>
    <n v="7"/>
    <x v="10"/>
    <s v="[MWG] - Paylater"/>
    <x v="1"/>
    <n v="1133115086"/>
  </r>
  <r>
    <x v="96"/>
    <x v="0"/>
    <x v="3"/>
    <n v="15"/>
    <n v="7"/>
    <x v="11"/>
    <s v="[NGS] - Cashloan"/>
    <x v="0"/>
    <n v="0"/>
  </r>
  <r>
    <x v="96"/>
    <x v="0"/>
    <x v="3"/>
    <n v="15"/>
    <n v="7"/>
    <x v="12"/>
    <s v="[VNPOST] - Cashloan"/>
    <x v="0"/>
    <n v="35750000"/>
  </r>
  <r>
    <x v="96"/>
    <x v="0"/>
    <x v="3"/>
    <n v="15"/>
    <n v="7"/>
    <x v="13"/>
    <s v="[VNPOST] - Cashloan"/>
    <x v="0"/>
    <n v="49000000"/>
  </r>
  <r>
    <x v="96"/>
    <x v="0"/>
    <x v="3"/>
    <n v="15"/>
    <n v="7"/>
    <x v="14"/>
    <s v="[VDS] - Cashloan"/>
    <x v="0"/>
    <n v="15016120000"/>
  </r>
  <r>
    <x v="96"/>
    <x v="0"/>
    <x v="3"/>
    <n v="15"/>
    <n v="7"/>
    <x v="15"/>
    <s v="[VDS] - Cashloan LP"/>
    <x v="0"/>
    <n v="0"/>
  </r>
  <r>
    <x v="96"/>
    <x v="0"/>
    <x v="3"/>
    <n v="15"/>
    <n v="7"/>
    <x v="16"/>
    <s v="[VDS] - Cashloan LP"/>
    <x v="0"/>
    <n v="0"/>
  </r>
  <r>
    <x v="96"/>
    <x v="0"/>
    <x v="3"/>
    <n v="15"/>
    <n v="7"/>
    <x v="17"/>
    <s v="[VDS] - Cashloan LP"/>
    <x v="0"/>
    <n v="0"/>
  </r>
  <r>
    <x v="96"/>
    <x v="0"/>
    <x v="3"/>
    <n v="15"/>
    <n v="7"/>
    <x v="18"/>
    <s v="[VDS] - Cashloan"/>
    <x v="0"/>
    <n v="0"/>
  </r>
  <r>
    <x v="96"/>
    <x v="0"/>
    <x v="3"/>
    <n v="15"/>
    <n v="7"/>
    <x v="19"/>
    <s v="[VDS] - Payday"/>
    <x v="3"/>
    <n v="10865772000"/>
  </r>
  <r>
    <x v="96"/>
    <x v="0"/>
    <x v="3"/>
    <n v="15"/>
    <n v="7"/>
    <x v="20"/>
    <s v="[VDS] - Paylater"/>
    <x v="1"/>
    <n v="326694706"/>
  </r>
  <r>
    <x v="96"/>
    <x v="0"/>
    <x v="3"/>
    <n v="15"/>
    <n v="7"/>
    <x v="21"/>
    <s v="[VDS] - Payroll Cashloan"/>
    <x v="0"/>
    <n v="42000000"/>
  </r>
  <r>
    <x v="96"/>
    <x v="0"/>
    <x v="3"/>
    <n v="15"/>
    <n v="7"/>
    <x v="22"/>
    <s v="[VDS] - Payroll Payday"/>
    <x v="3"/>
    <n v="47000000"/>
  </r>
  <r>
    <x v="96"/>
    <x v="0"/>
    <x v="3"/>
    <n v="15"/>
    <n v="7"/>
    <x v="23"/>
    <s v="[VNPAY] - Cashloan"/>
    <x v="0"/>
    <n v="710300000"/>
  </r>
  <r>
    <x v="96"/>
    <x v="0"/>
    <x v="3"/>
    <n v="15"/>
    <n v="7"/>
    <x v="24"/>
    <s v="[VNPAY] - Payday"/>
    <x v="3"/>
    <n v="403272000"/>
  </r>
  <r>
    <x v="96"/>
    <x v="0"/>
    <x v="3"/>
    <n v="15"/>
    <n v="7"/>
    <x v="25"/>
    <s v="[VNPAY] - Paylater"/>
    <x v="1"/>
    <n v="546232895"/>
  </r>
  <r>
    <x v="96"/>
    <x v="0"/>
    <x v="3"/>
    <n v="15"/>
    <n v="7"/>
    <x v="26"/>
    <s v="[ZLP] - Cashloan"/>
    <x v="0"/>
    <n v="6696150000"/>
  </r>
  <r>
    <x v="96"/>
    <x v="0"/>
    <x v="3"/>
    <n v="15"/>
    <n v="7"/>
    <x v="27"/>
    <s v="[ZLP] - Payday"/>
    <x v="3"/>
    <n v="4320000"/>
  </r>
  <r>
    <x v="97"/>
    <x v="0"/>
    <x v="3"/>
    <n v="15"/>
    <n v="8"/>
    <x v="0"/>
    <s v="[BE] - Cashloan"/>
    <x v="0"/>
    <n v="689210000"/>
  </r>
  <r>
    <x v="97"/>
    <x v="0"/>
    <x v="3"/>
    <n v="15"/>
    <n v="8"/>
    <x v="1"/>
    <s v="[BE] - Paylater"/>
    <x v="1"/>
    <n v="331308932"/>
  </r>
  <r>
    <x v="97"/>
    <x v="0"/>
    <x v="3"/>
    <n v="15"/>
    <n v="8"/>
    <x v="2"/>
    <s v="[Cake] - Cashloan"/>
    <x v="0"/>
    <n v="16108350000"/>
  </r>
  <r>
    <x v="97"/>
    <x v="0"/>
    <x v="3"/>
    <n v="15"/>
    <n v="8"/>
    <x v="3"/>
    <s v="[Cake] - Overdraft"/>
    <x v="2"/>
    <n v="1698948013"/>
  </r>
  <r>
    <x v="97"/>
    <x v="0"/>
    <x v="3"/>
    <n v="15"/>
    <n v="8"/>
    <x v="4"/>
    <s v="[Cake] - Payday"/>
    <x v="3"/>
    <n v="14246388000"/>
  </r>
  <r>
    <x v="97"/>
    <x v="0"/>
    <x v="3"/>
    <n v="15"/>
    <n v="8"/>
    <x v="5"/>
    <s v="[FPT] - Paylater"/>
    <x v="1"/>
    <n v="0"/>
  </r>
  <r>
    <x v="97"/>
    <x v="0"/>
    <x v="3"/>
    <n v="15"/>
    <n v="8"/>
    <x v="6"/>
    <s v="[MISA] - Cashloan"/>
    <x v="0"/>
    <n v="0"/>
  </r>
  <r>
    <x v="97"/>
    <x v="0"/>
    <x v="3"/>
    <n v="15"/>
    <n v="8"/>
    <x v="7"/>
    <s v="[MWG] - Cashloan"/>
    <x v="0"/>
    <n v="2533400000"/>
  </r>
  <r>
    <x v="97"/>
    <x v="0"/>
    <x v="3"/>
    <n v="15"/>
    <n v="8"/>
    <x v="8"/>
    <s v="[MWG] - Cashloan"/>
    <x v="0"/>
    <n v="726830000"/>
  </r>
  <r>
    <x v="97"/>
    <x v="0"/>
    <x v="3"/>
    <n v="15"/>
    <n v="8"/>
    <x v="9"/>
    <s v="[MWG] - Paylater"/>
    <x v="1"/>
    <n v="35135499"/>
  </r>
  <r>
    <x v="97"/>
    <x v="0"/>
    <x v="3"/>
    <n v="15"/>
    <n v="8"/>
    <x v="10"/>
    <s v="[MWG] - Paylater"/>
    <x v="1"/>
    <n v="1263557686"/>
  </r>
  <r>
    <x v="97"/>
    <x v="0"/>
    <x v="3"/>
    <n v="15"/>
    <n v="8"/>
    <x v="11"/>
    <s v="[NGS] - Cashloan"/>
    <x v="0"/>
    <n v="0"/>
  </r>
  <r>
    <x v="97"/>
    <x v="0"/>
    <x v="3"/>
    <n v="15"/>
    <n v="8"/>
    <x v="12"/>
    <s v="[VNPOST] - Cashloan"/>
    <x v="0"/>
    <n v="77700000"/>
  </r>
  <r>
    <x v="97"/>
    <x v="0"/>
    <x v="3"/>
    <n v="15"/>
    <n v="8"/>
    <x v="13"/>
    <s v="[VNPOST] - Cashloan"/>
    <x v="0"/>
    <n v="0"/>
  </r>
  <r>
    <x v="97"/>
    <x v="0"/>
    <x v="3"/>
    <n v="15"/>
    <n v="8"/>
    <x v="14"/>
    <s v="[VDS] - Cashloan"/>
    <x v="0"/>
    <n v="16870560000"/>
  </r>
  <r>
    <x v="97"/>
    <x v="0"/>
    <x v="3"/>
    <n v="15"/>
    <n v="8"/>
    <x v="15"/>
    <s v="[VDS] - Cashloan LP"/>
    <x v="0"/>
    <n v="0"/>
  </r>
  <r>
    <x v="97"/>
    <x v="0"/>
    <x v="3"/>
    <n v="15"/>
    <n v="8"/>
    <x v="16"/>
    <s v="[VDS] - Cashloan LP"/>
    <x v="0"/>
    <n v="0"/>
  </r>
  <r>
    <x v="97"/>
    <x v="0"/>
    <x v="3"/>
    <n v="15"/>
    <n v="8"/>
    <x v="17"/>
    <s v="[VDS] - Cashloan LP"/>
    <x v="0"/>
    <n v="0"/>
  </r>
  <r>
    <x v="97"/>
    <x v="0"/>
    <x v="3"/>
    <n v="15"/>
    <n v="8"/>
    <x v="18"/>
    <s v="[VDS] - Cashloan"/>
    <x v="0"/>
    <n v="5000000"/>
  </r>
  <r>
    <x v="97"/>
    <x v="0"/>
    <x v="3"/>
    <n v="15"/>
    <n v="8"/>
    <x v="19"/>
    <s v="[VDS] - Payday"/>
    <x v="3"/>
    <n v="10242288000"/>
  </r>
  <r>
    <x v="97"/>
    <x v="0"/>
    <x v="3"/>
    <n v="15"/>
    <n v="8"/>
    <x v="20"/>
    <s v="[VDS] - Paylater"/>
    <x v="1"/>
    <n v="267798669"/>
  </r>
  <r>
    <x v="97"/>
    <x v="0"/>
    <x v="3"/>
    <n v="15"/>
    <n v="8"/>
    <x v="21"/>
    <s v="[VDS] - Payroll Cashloan"/>
    <x v="0"/>
    <n v="52000000"/>
  </r>
  <r>
    <x v="97"/>
    <x v="0"/>
    <x v="3"/>
    <n v="15"/>
    <n v="8"/>
    <x v="22"/>
    <s v="[VDS] - Payroll Payday"/>
    <x v="3"/>
    <n v="72000000"/>
  </r>
  <r>
    <x v="97"/>
    <x v="0"/>
    <x v="3"/>
    <n v="15"/>
    <n v="8"/>
    <x v="23"/>
    <s v="[VNPAY] - Cashloan"/>
    <x v="0"/>
    <n v="779900000"/>
  </r>
  <r>
    <x v="97"/>
    <x v="0"/>
    <x v="3"/>
    <n v="15"/>
    <n v="8"/>
    <x v="24"/>
    <s v="[VNPAY] - Payday"/>
    <x v="3"/>
    <n v="356292000"/>
  </r>
  <r>
    <x v="97"/>
    <x v="0"/>
    <x v="3"/>
    <n v="15"/>
    <n v="8"/>
    <x v="25"/>
    <s v="[VNPAY] - Paylater"/>
    <x v="1"/>
    <n v="413342105"/>
  </r>
  <r>
    <x v="97"/>
    <x v="0"/>
    <x v="3"/>
    <n v="15"/>
    <n v="8"/>
    <x v="26"/>
    <s v="[ZLP] - Cashloan"/>
    <x v="0"/>
    <n v="5908770000"/>
  </r>
  <r>
    <x v="97"/>
    <x v="0"/>
    <x v="3"/>
    <n v="15"/>
    <n v="8"/>
    <x v="27"/>
    <s v="[ZLP] - Payday"/>
    <x v="3"/>
    <n v="10800000"/>
  </r>
  <r>
    <x v="98"/>
    <x v="0"/>
    <x v="3"/>
    <n v="15"/>
    <n v="9"/>
    <x v="0"/>
    <s v="[BE] - Cashloan"/>
    <x v="0"/>
    <n v="627800000"/>
  </r>
  <r>
    <x v="98"/>
    <x v="0"/>
    <x v="3"/>
    <n v="15"/>
    <n v="9"/>
    <x v="1"/>
    <s v="[BE] - Paylater"/>
    <x v="1"/>
    <n v="330557519"/>
  </r>
  <r>
    <x v="98"/>
    <x v="0"/>
    <x v="3"/>
    <n v="15"/>
    <n v="9"/>
    <x v="2"/>
    <s v="[Cake] - Cashloan"/>
    <x v="0"/>
    <n v="17443040000"/>
  </r>
  <r>
    <x v="98"/>
    <x v="0"/>
    <x v="3"/>
    <n v="15"/>
    <n v="9"/>
    <x v="3"/>
    <s v="[Cake] - Overdraft"/>
    <x v="2"/>
    <n v="2092921255"/>
  </r>
  <r>
    <x v="98"/>
    <x v="0"/>
    <x v="3"/>
    <n v="15"/>
    <n v="9"/>
    <x v="4"/>
    <s v="[Cake] - Payday"/>
    <x v="3"/>
    <n v="15453072000"/>
  </r>
  <r>
    <x v="98"/>
    <x v="0"/>
    <x v="3"/>
    <n v="15"/>
    <n v="9"/>
    <x v="5"/>
    <s v="[FPT] - Paylater"/>
    <x v="1"/>
    <n v="0"/>
  </r>
  <r>
    <x v="98"/>
    <x v="0"/>
    <x v="3"/>
    <n v="15"/>
    <n v="9"/>
    <x v="6"/>
    <s v="[MISA] - Cashloan"/>
    <x v="0"/>
    <n v="160000000"/>
  </r>
  <r>
    <x v="98"/>
    <x v="0"/>
    <x v="3"/>
    <n v="15"/>
    <n v="9"/>
    <x v="7"/>
    <s v="[MWG] - Cashloan"/>
    <x v="0"/>
    <n v="2707270000"/>
  </r>
  <r>
    <x v="98"/>
    <x v="0"/>
    <x v="3"/>
    <n v="15"/>
    <n v="9"/>
    <x v="8"/>
    <s v="[MWG] - Cashloan"/>
    <x v="0"/>
    <n v="774550000"/>
  </r>
  <r>
    <x v="98"/>
    <x v="0"/>
    <x v="3"/>
    <n v="15"/>
    <n v="9"/>
    <x v="9"/>
    <s v="[MWG] - Paylater"/>
    <x v="1"/>
    <n v="15950594"/>
  </r>
  <r>
    <x v="98"/>
    <x v="0"/>
    <x v="3"/>
    <n v="15"/>
    <n v="9"/>
    <x v="10"/>
    <s v="[MWG] - Paylater"/>
    <x v="1"/>
    <n v="1169180632"/>
  </r>
  <r>
    <x v="98"/>
    <x v="0"/>
    <x v="3"/>
    <n v="15"/>
    <n v="9"/>
    <x v="11"/>
    <s v="[NGS] - Cashloan"/>
    <x v="0"/>
    <n v="0"/>
  </r>
  <r>
    <x v="98"/>
    <x v="0"/>
    <x v="3"/>
    <n v="15"/>
    <n v="9"/>
    <x v="12"/>
    <s v="[VNPOST] - Cashloan"/>
    <x v="0"/>
    <n v="40750000"/>
  </r>
  <r>
    <x v="98"/>
    <x v="0"/>
    <x v="3"/>
    <n v="15"/>
    <n v="9"/>
    <x v="13"/>
    <s v="[VNPOST] - Cashloan"/>
    <x v="0"/>
    <n v="0"/>
  </r>
  <r>
    <x v="98"/>
    <x v="0"/>
    <x v="3"/>
    <n v="15"/>
    <n v="9"/>
    <x v="14"/>
    <s v="[VDS] - Cashloan"/>
    <x v="0"/>
    <n v="15938400000"/>
  </r>
  <r>
    <x v="98"/>
    <x v="0"/>
    <x v="3"/>
    <n v="15"/>
    <n v="9"/>
    <x v="15"/>
    <s v="[VDS] - Cashloan LP"/>
    <x v="0"/>
    <n v="0"/>
  </r>
  <r>
    <x v="98"/>
    <x v="0"/>
    <x v="3"/>
    <n v="15"/>
    <n v="9"/>
    <x v="16"/>
    <s v="[VDS] - Cashloan LP"/>
    <x v="0"/>
    <n v="0"/>
  </r>
  <r>
    <x v="98"/>
    <x v="0"/>
    <x v="3"/>
    <n v="15"/>
    <n v="9"/>
    <x v="17"/>
    <s v="[VDS] - Cashloan LP"/>
    <x v="0"/>
    <n v="0"/>
  </r>
  <r>
    <x v="98"/>
    <x v="0"/>
    <x v="3"/>
    <n v="15"/>
    <n v="9"/>
    <x v="18"/>
    <s v="[VDS] - Cashloan"/>
    <x v="0"/>
    <n v="0"/>
  </r>
  <r>
    <x v="98"/>
    <x v="0"/>
    <x v="3"/>
    <n v="15"/>
    <n v="9"/>
    <x v="19"/>
    <s v="[VDS] - Payday"/>
    <x v="3"/>
    <n v="10114092000"/>
  </r>
  <r>
    <x v="98"/>
    <x v="0"/>
    <x v="3"/>
    <n v="15"/>
    <n v="9"/>
    <x v="20"/>
    <s v="[VDS] - Paylater"/>
    <x v="1"/>
    <n v="249829358"/>
  </r>
  <r>
    <x v="98"/>
    <x v="0"/>
    <x v="3"/>
    <n v="15"/>
    <n v="9"/>
    <x v="21"/>
    <s v="[VDS] - Payroll Cashloan"/>
    <x v="0"/>
    <n v="42000000"/>
  </r>
  <r>
    <x v="98"/>
    <x v="0"/>
    <x v="3"/>
    <n v="15"/>
    <n v="9"/>
    <x v="22"/>
    <s v="[VDS] - Payroll Payday"/>
    <x v="3"/>
    <n v="45000000"/>
  </r>
  <r>
    <x v="98"/>
    <x v="0"/>
    <x v="3"/>
    <n v="15"/>
    <n v="9"/>
    <x v="23"/>
    <s v="[VNPAY] - Cashloan"/>
    <x v="0"/>
    <n v="867440000"/>
  </r>
  <r>
    <x v="98"/>
    <x v="0"/>
    <x v="3"/>
    <n v="15"/>
    <n v="9"/>
    <x v="24"/>
    <s v="[VNPAY] - Payday"/>
    <x v="3"/>
    <n v="373788000"/>
  </r>
  <r>
    <x v="98"/>
    <x v="0"/>
    <x v="3"/>
    <n v="15"/>
    <n v="9"/>
    <x v="25"/>
    <s v="[VNPAY] - Paylater"/>
    <x v="1"/>
    <n v="448450851"/>
  </r>
  <r>
    <x v="98"/>
    <x v="0"/>
    <x v="3"/>
    <n v="15"/>
    <n v="9"/>
    <x v="26"/>
    <s v="[ZLP] - Cashloan"/>
    <x v="0"/>
    <n v="6647070000"/>
  </r>
  <r>
    <x v="98"/>
    <x v="0"/>
    <x v="3"/>
    <n v="15"/>
    <n v="9"/>
    <x v="27"/>
    <s v="[ZLP] - Payday"/>
    <x v="3"/>
    <n v="0"/>
  </r>
  <r>
    <x v="99"/>
    <x v="0"/>
    <x v="3"/>
    <n v="15"/>
    <n v="10"/>
    <x v="0"/>
    <s v="[BE] - Cashloan"/>
    <x v="0"/>
    <n v="662610000"/>
  </r>
  <r>
    <x v="99"/>
    <x v="0"/>
    <x v="3"/>
    <n v="15"/>
    <n v="10"/>
    <x v="1"/>
    <s v="[BE] - Paylater"/>
    <x v="1"/>
    <n v="303036975"/>
  </r>
  <r>
    <x v="99"/>
    <x v="0"/>
    <x v="3"/>
    <n v="15"/>
    <n v="10"/>
    <x v="2"/>
    <s v="[Cake] - Cashloan"/>
    <x v="0"/>
    <n v="16824250000"/>
  </r>
  <r>
    <x v="99"/>
    <x v="0"/>
    <x v="3"/>
    <n v="15"/>
    <n v="10"/>
    <x v="3"/>
    <s v="[Cake] - Overdraft"/>
    <x v="2"/>
    <n v="2520438537"/>
  </r>
  <r>
    <x v="99"/>
    <x v="0"/>
    <x v="3"/>
    <n v="15"/>
    <n v="10"/>
    <x v="4"/>
    <s v="[Cake] - Payday"/>
    <x v="3"/>
    <n v="20986668000"/>
  </r>
  <r>
    <x v="99"/>
    <x v="0"/>
    <x v="3"/>
    <n v="15"/>
    <n v="10"/>
    <x v="5"/>
    <s v="[FPT] - Paylater"/>
    <x v="1"/>
    <n v="0"/>
  </r>
  <r>
    <x v="99"/>
    <x v="0"/>
    <x v="3"/>
    <n v="15"/>
    <n v="10"/>
    <x v="6"/>
    <s v="[MISA] - Cashloan"/>
    <x v="0"/>
    <n v="0"/>
  </r>
  <r>
    <x v="99"/>
    <x v="0"/>
    <x v="3"/>
    <n v="15"/>
    <n v="10"/>
    <x v="7"/>
    <s v="[MWG] - Cashloan"/>
    <x v="0"/>
    <n v="2979680000"/>
  </r>
  <r>
    <x v="99"/>
    <x v="0"/>
    <x v="3"/>
    <n v="15"/>
    <n v="10"/>
    <x v="8"/>
    <s v="[MWG] - Cashloan"/>
    <x v="0"/>
    <n v="1144350000"/>
  </r>
  <r>
    <x v="99"/>
    <x v="0"/>
    <x v="3"/>
    <n v="15"/>
    <n v="10"/>
    <x v="9"/>
    <s v="[MWG] - Paylater"/>
    <x v="1"/>
    <n v="3038883"/>
  </r>
  <r>
    <x v="99"/>
    <x v="0"/>
    <x v="3"/>
    <n v="15"/>
    <n v="10"/>
    <x v="10"/>
    <s v="[MWG] - Paylater"/>
    <x v="1"/>
    <n v="1389954668"/>
  </r>
  <r>
    <x v="99"/>
    <x v="0"/>
    <x v="3"/>
    <n v="15"/>
    <n v="10"/>
    <x v="11"/>
    <s v="[NGS] - Cashloan"/>
    <x v="0"/>
    <n v="0"/>
  </r>
  <r>
    <x v="99"/>
    <x v="0"/>
    <x v="3"/>
    <n v="15"/>
    <n v="10"/>
    <x v="12"/>
    <s v="[VNPOST] - Cashloan"/>
    <x v="0"/>
    <n v="99750000"/>
  </r>
  <r>
    <x v="99"/>
    <x v="0"/>
    <x v="3"/>
    <n v="15"/>
    <n v="10"/>
    <x v="13"/>
    <s v="[VNPOST] - Cashloan"/>
    <x v="0"/>
    <n v="0"/>
  </r>
  <r>
    <x v="99"/>
    <x v="0"/>
    <x v="3"/>
    <n v="15"/>
    <n v="10"/>
    <x v="14"/>
    <s v="[VDS] - Cashloan"/>
    <x v="0"/>
    <n v="19497540000"/>
  </r>
  <r>
    <x v="99"/>
    <x v="0"/>
    <x v="3"/>
    <n v="15"/>
    <n v="10"/>
    <x v="15"/>
    <s v="[VDS] - Cashloan LP"/>
    <x v="0"/>
    <n v="0"/>
  </r>
  <r>
    <x v="99"/>
    <x v="0"/>
    <x v="3"/>
    <n v="15"/>
    <n v="10"/>
    <x v="16"/>
    <s v="[VDS] - Cashloan LP"/>
    <x v="0"/>
    <n v="0"/>
  </r>
  <r>
    <x v="99"/>
    <x v="0"/>
    <x v="3"/>
    <n v="15"/>
    <n v="10"/>
    <x v="17"/>
    <s v="[VDS] - Cashloan LP"/>
    <x v="0"/>
    <n v="0"/>
  </r>
  <r>
    <x v="99"/>
    <x v="0"/>
    <x v="3"/>
    <n v="15"/>
    <n v="10"/>
    <x v="18"/>
    <s v="[VDS] - Cashloan"/>
    <x v="0"/>
    <n v="0"/>
  </r>
  <r>
    <x v="99"/>
    <x v="0"/>
    <x v="3"/>
    <n v="15"/>
    <n v="10"/>
    <x v="19"/>
    <s v="[VDS] - Payday"/>
    <x v="3"/>
    <n v="15692292000"/>
  </r>
  <r>
    <x v="99"/>
    <x v="0"/>
    <x v="3"/>
    <n v="15"/>
    <n v="10"/>
    <x v="20"/>
    <s v="[VDS] - Paylater"/>
    <x v="1"/>
    <n v="248584146"/>
  </r>
  <r>
    <x v="99"/>
    <x v="0"/>
    <x v="3"/>
    <n v="15"/>
    <n v="10"/>
    <x v="21"/>
    <s v="[VDS] - Payroll Cashloan"/>
    <x v="0"/>
    <n v="31000000"/>
  </r>
  <r>
    <x v="99"/>
    <x v="0"/>
    <x v="3"/>
    <n v="15"/>
    <n v="10"/>
    <x v="22"/>
    <s v="[VDS] - Payroll Payday"/>
    <x v="3"/>
    <n v="31000000"/>
  </r>
  <r>
    <x v="99"/>
    <x v="0"/>
    <x v="3"/>
    <n v="15"/>
    <n v="10"/>
    <x v="23"/>
    <s v="[VNPAY] - Cashloan"/>
    <x v="0"/>
    <n v="1104220000"/>
  </r>
  <r>
    <x v="99"/>
    <x v="0"/>
    <x v="3"/>
    <n v="15"/>
    <n v="10"/>
    <x v="24"/>
    <s v="[VNPAY] - Payday"/>
    <x v="3"/>
    <n v="393660000"/>
  </r>
  <r>
    <x v="99"/>
    <x v="0"/>
    <x v="3"/>
    <n v="15"/>
    <n v="10"/>
    <x v="25"/>
    <s v="[VNPAY] - Paylater"/>
    <x v="1"/>
    <n v="379675871"/>
  </r>
  <r>
    <x v="99"/>
    <x v="0"/>
    <x v="3"/>
    <n v="15"/>
    <n v="10"/>
    <x v="26"/>
    <s v="[ZLP] - Cashloan"/>
    <x v="0"/>
    <n v="7207520000"/>
  </r>
  <r>
    <x v="99"/>
    <x v="0"/>
    <x v="3"/>
    <n v="15"/>
    <n v="10"/>
    <x v="27"/>
    <s v="[ZLP] - Payday"/>
    <x v="3"/>
    <n v="3240000"/>
  </r>
  <r>
    <x v="100"/>
    <x v="0"/>
    <x v="3"/>
    <n v="15"/>
    <n v="11"/>
    <x v="0"/>
    <s v="[BE] - Cashloan"/>
    <x v="0"/>
    <n v="563600000"/>
  </r>
  <r>
    <x v="100"/>
    <x v="0"/>
    <x v="3"/>
    <n v="15"/>
    <n v="11"/>
    <x v="1"/>
    <s v="[BE] - Paylater"/>
    <x v="1"/>
    <n v="265177744"/>
  </r>
  <r>
    <x v="100"/>
    <x v="0"/>
    <x v="3"/>
    <n v="15"/>
    <n v="11"/>
    <x v="2"/>
    <s v="[Cake] - Cashloan"/>
    <x v="0"/>
    <n v="13512620000"/>
  </r>
  <r>
    <x v="100"/>
    <x v="0"/>
    <x v="3"/>
    <n v="15"/>
    <n v="11"/>
    <x v="3"/>
    <s v="[Cake] - Overdraft"/>
    <x v="2"/>
    <n v="1393909416"/>
  </r>
  <r>
    <x v="100"/>
    <x v="0"/>
    <x v="3"/>
    <n v="15"/>
    <n v="11"/>
    <x v="4"/>
    <s v="[Cake] - Payday"/>
    <x v="3"/>
    <n v="15474348000"/>
  </r>
  <r>
    <x v="100"/>
    <x v="0"/>
    <x v="3"/>
    <n v="15"/>
    <n v="11"/>
    <x v="5"/>
    <s v="[FPT] - Paylater"/>
    <x v="1"/>
    <n v="0"/>
  </r>
  <r>
    <x v="100"/>
    <x v="0"/>
    <x v="3"/>
    <n v="15"/>
    <n v="11"/>
    <x v="6"/>
    <s v="[MISA] - Cashloan"/>
    <x v="0"/>
    <n v="90000000"/>
  </r>
  <r>
    <x v="100"/>
    <x v="0"/>
    <x v="3"/>
    <n v="15"/>
    <n v="11"/>
    <x v="7"/>
    <s v="[MWG] - Cashloan"/>
    <x v="0"/>
    <n v="3246320000"/>
  </r>
  <r>
    <x v="100"/>
    <x v="0"/>
    <x v="3"/>
    <n v="15"/>
    <n v="11"/>
    <x v="8"/>
    <s v="[MWG] - Cashloan"/>
    <x v="0"/>
    <n v="726040000"/>
  </r>
  <r>
    <x v="100"/>
    <x v="0"/>
    <x v="3"/>
    <n v="15"/>
    <n v="11"/>
    <x v="9"/>
    <s v="[MWG] - Paylater"/>
    <x v="1"/>
    <n v="2678744"/>
  </r>
  <r>
    <x v="100"/>
    <x v="0"/>
    <x v="3"/>
    <n v="15"/>
    <n v="11"/>
    <x v="10"/>
    <s v="[MWG] - Paylater"/>
    <x v="1"/>
    <n v="1437630222"/>
  </r>
  <r>
    <x v="100"/>
    <x v="0"/>
    <x v="3"/>
    <n v="15"/>
    <n v="11"/>
    <x v="11"/>
    <s v="[NGS] - Cashloan"/>
    <x v="0"/>
    <n v="0"/>
  </r>
  <r>
    <x v="100"/>
    <x v="0"/>
    <x v="3"/>
    <n v="15"/>
    <n v="11"/>
    <x v="12"/>
    <s v="[VNPOST] - Cashloan"/>
    <x v="0"/>
    <n v="10000000"/>
  </r>
  <r>
    <x v="100"/>
    <x v="0"/>
    <x v="3"/>
    <n v="15"/>
    <n v="11"/>
    <x v="13"/>
    <s v="[VNPOST] - Cashloan"/>
    <x v="0"/>
    <n v="0"/>
  </r>
  <r>
    <x v="100"/>
    <x v="0"/>
    <x v="3"/>
    <n v="15"/>
    <n v="11"/>
    <x v="14"/>
    <s v="[VDS] - Cashloan"/>
    <x v="0"/>
    <n v="16632280000"/>
  </r>
  <r>
    <x v="100"/>
    <x v="0"/>
    <x v="3"/>
    <n v="15"/>
    <n v="11"/>
    <x v="15"/>
    <s v="[VDS] - Cashloan LP"/>
    <x v="0"/>
    <n v="0"/>
  </r>
  <r>
    <x v="100"/>
    <x v="0"/>
    <x v="3"/>
    <n v="15"/>
    <n v="11"/>
    <x v="16"/>
    <s v="[VDS] - Cashloan LP"/>
    <x v="0"/>
    <n v="0"/>
  </r>
  <r>
    <x v="100"/>
    <x v="0"/>
    <x v="3"/>
    <n v="15"/>
    <n v="11"/>
    <x v="17"/>
    <s v="[VDS] - Cashloan LP"/>
    <x v="0"/>
    <n v="0"/>
  </r>
  <r>
    <x v="100"/>
    <x v="0"/>
    <x v="3"/>
    <n v="15"/>
    <n v="11"/>
    <x v="18"/>
    <s v="[VDS] - Cashloan"/>
    <x v="0"/>
    <n v="0"/>
  </r>
  <r>
    <x v="100"/>
    <x v="0"/>
    <x v="3"/>
    <n v="15"/>
    <n v="11"/>
    <x v="19"/>
    <s v="[VDS] - Payday"/>
    <x v="3"/>
    <n v="12623040000"/>
  </r>
  <r>
    <x v="100"/>
    <x v="0"/>
    <x v="3"/>
    <n v="15"/>
    <n v="11"/>
    <x v="20"/>
    <s v="[VDS] - Paylater"/>
    <x v="1"/>
    <n v="187797328"/>
  </r>
  <r>
    <x v="100"/>
    <x v="0"/>
    <x v="3"/>
    <n v="15"/>
    <n v="11"/>
    <x v="21"/>
    <s v="[VDS] - Payroll Cashloan"/>
    <x v="0"/>
    <n v="57750000"/>
  </r>
  <r>
    <x v="100"/>
    <x v="0"/>
    <x v="3"/>
    <n v="15"/>
    <n v="11"/>
    <x v="22"/>
    <s v="[VDS] - Payroll Payday"/>
    <x v="3"/>
    <n v="30000000"/>
  </r>
  <r>
    <x v="100"/>
    <x v="0"/>
    <x v="3"/>
    <n v="15"/>
    <n v="11"/>
    <x v="23"/>
    <s v="[VNPAY] - Cashloan"/>
    <x v="0"/>
    <n v="626120000"/>
  </r>
  <r>
    <x v="100"/>
    <x v="0"/>
    <x v="3"/>
    <n v="15"/>
    <n v="11"/>
    <x v="24"/>
    <s v="[VNPAY] - Payday"/>
    <x v="3"/>
    <n v="302292000"/>
  </r>
  <r>
    <x v="100"/>
    <x v="0"/>
    <x v="3"/>
    <n v="15"/>
    <n v="11"/>
    <x v="25"/>
    <s v="[VNPAY] - Paylater"/>
    <x v="1"/>
    <n v="323468087"/>
  </r>
  <r>
    <x v="100"/>
    <x v="0"/>
    <x v="3"/>
    <n v="15"/>
    <n v="11"/>
    <x v="26"/>
    <s v="[ZLP] - Cashloan"/>
    <x v="0"/>
    <n v="5508250000"/>
  </r>
  <r>
    <x v="100"/>
    <x v="0"/>
    <x v="3"/>
    <n v="15"/>
    <n v="11"/>
    <x v="27"/>
    <s v="[ZLP] - Payday"/>
    <x v="3"/>
    <n v="0"/>
  </r>
  <r>
    <x v="101"/>
    <x v="0"/>
    <x v="3"/>
    <n v="15"/>
    <n v="12"/>
    <x v="0"/>
    <s v="[BE] - Cashloan"/>
    <x v="0"/>
    <n v="671250000"/>
  </r>
  <r>
    <x v="101"/>
    <x v="0"/>
    <x v="3"/>
    <n v="15"/>
    <n v="12"/>
    <x v="1"/>
    <s v="[BE] - Paylater"/>
    <x v="1"/>
    <n v="316296496"/>
  </r>
  <r>
    <x v="101"/>
    <x v="0"/>
    <x v="3"/>
    <n v="15"/>
    <n v="12"/>
    <x v="2"/>
    <s v="[Cake] - Cashloan"/>
    <x v="0"/>
    <n v="10894830000"/>
  </r>
  <r>
    <x v="101"/>
    <x v="0"/>
    <x v="3"/>
    <n v="15"/>
    <n v="12"/>
    <x v="3"/>
    <s v="[Cake] - Overdraft"/>
    <x v="2"/>
    <n v="1236101463"/>
  </r>
  <r>
    <x v="101"/>
    <x v="0"/>
    <x v="3"/>
    <n v="15"/>
    <n v="12"/>
    <x v="4"/>
    <s v="[Cake] - Payday"/>
    <x v="3"/>
    <n v="13592988000"/>
  </r>
  <r>
    <x v="101"/>
    <x v="0"/>
    <x v="3"/>
    <n v="15"/>
    <n v="12"/>
    <x v="5"/>
    <s v="[FPT] - Paylater"/>
    <x v="1"/>
    <n v="0"/>
  </r>
  <r>
    <x v="101"/>
    <x v="0"/>
    <x v="3"/>
    <n v="15"/>
    <n v="12"/>
    <x v="6"/>
    <s v="[MISA] - Cashloan"/>
    <x v="0"/>
    <n v="0"/>
  </r>
  <r>
    <x v="101"/>
    <x v="0"/>
    <x v="3"/>
    <n v="15"/>
    <n v="12"/>
    <x v="7"/>
    <s v="[MWG] - Cashloan"/>
    <x v="0"/>
    <n v="3536440000"/>
  </r>
  <r>
    <x v="101"/>
    <x v="0"/>
    <x v="3"/>
    <n v="15"/>
    <n v="12"/>
    <x v="8"/>
    <s v="[MWG] - Cashloan"/>
    <x v="0"/>
    <n v="564090000"/>
  </r>
  <r>
    <x v="101"/>
    <x v="0"/>
    <x v="3"/>
    <n v="15"/>
    <n v="12"/>
    <x v="9"/>
    <s v="[MWG] - Paylater"/>
    <x v="1"/>
    <n v="6340708"/>
  </r>
  <r>
    <x v="101"/>
    <x v="0"/>
    <x v="3"/>
    <n v="15"/>
    <n v="12"/>
    <x v="10"/>
    <s v="[MWG] - Paylater"/>
    <x v="1"/>
    <n v="1413464582"/>
  </r>
  <r>
    <x v="101"/>
    <x v="0"/>
    <x v="3"/>
    <n v="15"/>
    <n v="12"/>
    <x v="11"/>
    <s v="[NGS] - Cashloan"/>
    <x v="0"/>
    <n v="0"/>
  </r>
  <r>
    <x v="101"/>
    <x v="0"/>
    <x v="3"/>
    <n v="15"/>
    <n v="12"/>
    <x v="12"/>
    <s v="[VNPOST] - Cashloan"/>
    <x v="0"/>
    <n v="0"/>
  </r>
  <r>
    <x v="101"/>
    <x v="0"/>
    <x v="3"/>
    <n v="15"/>
    <n v="12"/>
    <x v="13"/>
    <s v="[VNPOST] - Cashloan"/>
    <x v="0"/>
    <n v="0"/>
  </r>
  <r>
    <x v="101"/>
    <x v="0"/>
    <x v="3"/>
    <n v="15"/>
    <n v="12"/>
    <x v="14"/>
    <s v="[VDS] - Cashloan"/>
    <x v="0"/>
    <n v="16581150000"/>
  </r>
  <r>
    <x v="101"/>
    <x v="0"/>
    <x v="3"/>
    <n v="15"/>
    <n v="12"/>
    <x v="15"/>
    <s v="[VDS] - Cashloan LP"/>
    <x v="0"/>
    <n v="0"/>
  </r>
  <r>
    <x v="101"/>
    <x v="0"/>
    <x v="3"/>
    <n v="15"/>
    <n v="12"/>
    <x v="16"/>
    <s v="[VDS] - Cashloan LP"/>
    <x v="0"/>
    <n v="0"/>
  </r>
  <r>
    <x v="101"/>
    <x v="0"/>
    <x v="3"/>
    <n v="15"/>
    <n v="12"/>
    <x v="17"/>
    <s v="[VDS] - Cashloan LP"/>
    <x v="0"/>
    <n v="0"/>
  </r>
  <r>
    <x v="101"/>
    <x v="0"/>
    <x v="3"/>
    <n v="15"/>
    <n v="12"/>
    <x v="18"/>
    <s v="[VDS] - Cashloan"/>
    <x v="0"/>
    <n v="0"/>
  </r>
  <r>
    <x v="101"/>
    <x v="0"/>
    <x v="3"/>
    <n v="15"/>
    <n v="12"/>
    <x v="19"/>
    <s v="[VDS] - Payday"/>
    <x v="3"/>
    <n v="10937592000"/>
  </r>
  <r>
    <x v="101"/>
    <x v="0"/>
    <x v="3"/>
    <n v="15"/>
    <n v="12"/>
    <x v="20"/>
    <s v="[VDS] - Paylater"/>
    <x v="1"/>
    <n v="197904553"/>
  </r>
  <r>
    <x v="101"/>
    <x v="0"/>
    <x v="3"/>
    <n v="15"/>
    <n v="12"/>
    <x v="21"/>
    <s v="[VDS] - Payroll Cashloan"/>
    <x v="0"/>
    <n v="21000000"/>
  </r>
  <r>
    <x v="101"/>
    <x v="0"/>
    <x v="3"/>
    <n v="15"/>
    <n v="12"/>
    <x v="22"/>
    <s v="[VDS] - Payroll Payday"/>
    <x v="3"/>
    <n v="45000000"/>
  </r>
  <r>
    <x v="101"/>
    <x v="0"/>
    <x v="3"/>
    <n v="15"/>
    <n v="12"/>
    <x v="23"/>
    <s v="[VNPAY] - Cashloan"/>
    <x v="0"/>
    <n v="553580000"/>
  </r>
  <r>
    <x v="101"/>
    <x v="0"/>
    <x v="3"/>
    <n v="15"/>
    <n v="12"/>
    <x v="24"/>
    <s v="[VNPAY] - Payday"/>
    <x v="3"/>
    <n v="275400000"/>
  </r>
  <r>
    <x v="101"/>
    <x v="0"/>
    <x v="3"/>
    <n v="15"/>
    <n v="12"/>
    <x v="25"/>
    <s v="[VNPAY] - Paylater"/>
    <x v="1"/>
    <n v="249197333"/>
  </r>
  <r>
    <x v="101"/>
    <x v="0"/>
    <x v="3"/>
    <n v="15"/>
    <n v="12"/>
    <x v="26"/>
    <s v="[ZLP] - Cashloan"/>
    <x v="0"/>
    <n v="4706910000"/>
  </r>
  <r>
    <x v="101"/>
    <x v="0"/>
    <x v="3"/>
    <n v="15"/>
    <n v="12"/>
    <x v="27"/>
    <s v="[ZLP] - Payday"/>
    <x v="3"/>
    <n v="6480000"/>
  </r>
  <r>
    <x v="102"/>
    <x v="0"/>
    <x v="3"/>
    <n v="16"/>
    <n v="13"/>
    <x v="0"/>
    <s v="[BE] - Cashloan"/>
    <x v="0"/>
    <n v="438810000"/>
  </r>
  <r>
    <x v="102"/>
    <x v="0"/>
    <x v="3"/>
    <n v="16"/>
    <n v="13"/>
    <x v="1"/>
    <s v="[BE] - Paylater"/>
    <x v="1"/>
    <n v="273934417"/>
  </r>
  <r>
    <x v="102"/>
    <x v="0"/>
    <x v="3"/>
    <n v="16"/>
    <n v="13"/>
    <x v="2"/>
    <s v="[Cake] - Cashloan"/>
    <x v="0"/>
    <n v="16424450000"/>
  </r>
  <r>
    <x v="102"/>
    <x v="0"/>
    <x v="3"/>
    <n v="16"/>
    <n v="13"/>
    <x v="3"/>
    <s v="[Cake] - Overdraft"/>
    <x v="2"/>
    <n v="1602643991"/>
  </r>
  <r>
    <x v="102"/>
    <x v="0"/>
    <x v="3"/>
    <n v="16"/>
    <n v="13"/>
    <x v="4"/>
    <s v="[Cake] - Payday"/>
    <x v="3"/>
    <n v="13723668000"/>
  </r>
  <r>
    <x v="102"/>
    <x v="0"/>
    <x v="3"/>
    <n v="16"/>
    <n v="13"/>
    <x v="5"/>
    <s v="[FPT] - Paylater"/>
    <x v="1"/>
    <n v="0"/>
  </r>
  <r>
    <x v="102"/>
    <x v="0"/>
    <x v="3"/>
    <n v="16"/>
    <n v="13"/>
    <x v="6"/>
    <s v="[MISA] - Cashloan"/>
    <x v="0"/>
    <n v="0"/>
  </r>
  <r>
    <x v="102"/>
    <x v="0"/>
    <x v="3"/>
    <n v="16"/>
    <n v="13"/>
    <x v="7"/>
    <s v="[MWG] - Cashloan"/>
    <x v="0"/>
    <n v="3167440000"/>
  </r>
  <r>
    <x v="102"/>
    <x v="0"/>
    <x v="3"/>
    <n v="16"/>
    <n v="13"/>
    <x v="8"/>
    <s v="[MWG] - Cashloan"/>
    <x v="0"/>
    <n v="848380000"/>
  </r>
  <r>
    <x v="102"/>
    <x v="0"/>
    <x v="3"/>
    <n v="16"/>
    <n v="13"/>
    <x v="9"/>
    <s v="[MWG] - Paylater"/>
    <x v="1"/>
    <n v="5954006"/>
  </r>
  <r>
    <x v="102"/>
    <x v="0"/>
    <x v="3"/>
    <n v="16"/>
    <n v="13"/>
    <x v="10"/>
    <s v="[MWG] - Paylater"/>
    <x v="1"/>
    <n v="879939666"/>
  </r>
  <r>
    <x v="102"/>
    <x v="0"/>
    <x v="3"/>
    <n v="16"/>
    <n v="13"/>
    <x v="11"/>
    <s v="[NGS] - Cashloan"/>
    <x v="0"/>
    <n v="0"/>
  </r>
  <r>
    <x v="102"/>
    <x v="0"/>
    <x v="3"/>
    <n v="16"/>
    <n v="13"/>
    <x v="12"/>
    <s v="[VNPOST] - Cashloan"/>
    <x v="0"/>
    <n v="52500000"/>
  </r>
  <r>
    <x v="102"/>
    <x v="0"/>
    <x v="3"/>
    <n v="16"/>
    <n v="13"/>
    <x v="13"/>
    <s v="[VNPOST] - Cashloan"/>
    <x v="0"/>
    <n v="0"/>
  </r>
  <r>
    <x v="102"/>
    <x v="0"/>
    <x v="3"/>
    <n v="16"/>
    <n v="13"/>
    <x v="14"/>
    <s v="[VDS] - Cashloan"/>
    <x v="0"/>
    <n v="17959910000"/>
  </r>
  <r>
    <x v="102"/>
    <x v="0"/>
    <x v="3"/>
    <n v="16"/>
    <n v="13"/>
    <x v="15"/>
    <s v="[VDS] - Cashloan LP"/>
    <x v="0"/>
    <n v="0"/>
  </r>
  <r>
    <x v="102"/>
    <x v="0"/>
    <x v="3"/>
    <n v="16"/>
    <n v="13"/>
    <x v="16"/>
    <s v="[VDS] - Cashloan LP"/>
    <x v="0"/>
    <n v="0"/>
  </r>
  <r>
    <x v="102"/>
    <x v="0"/>
    <x v="3"/>
    <n v="16"/>
    <n v="13"/>
    <x v="17"/>
    <s v="[VDS] - Cashloan LP"/>
    <x v="0"/>
    <n v="0"/>
  </r>
  <r>
    <x v="102"/>
    <x v="0"/>
    <x v="3"/>
    <n v="16"/>
    <n v="13"/>
    <x v="18"/>
    <s v="[VDS] - Cashloan"/>
    <x v="0"/>
    <n v="0"/>
  </r>
  <r>
    <x v="102"/>
    <x v="0"/>
    <x v="3"/>
    <n v="16"/>
    <n v="13"/>
    <x v="19"/>
    <s v="[VDS] - Payday"/>
    <x v="3"/>
    <n v="10580652000"/>
  </r>
  <r>
    <x v="102"/>
    <x v="0"/>
    <x v="3"/>
    <n v="16"/>
    <n v="13"/>
    <x v="20"/>
    <s v="[VDS] - Paylater"/>
    <x v="1"/>
    <n v="178900462"/>
  </r>
  <r>
    <x v="102"/>
    <x v="0"/>
    <x v="3"/>
    <n v="16"/>
    <n v="13"/>
    <x v="21"/>
    <s v="[VDS] - Payroll Cashloan"/>
    <x v="0"/>
    <n v="31500000"/>
  </r>
  <r>
    <x v="102"/>
    <x v="0"/>
    <x v="3"/>
    <n v="16"/>
    <n v="13"/>
    <x v="22"/>
    <s v="[VDS] - Payroll Payday"/>
    <x v="3"/>
    <n v="53000000"/>
  </r>
  <r>
    <x v="102"/>
    <x v="0"/>
    <x v="3"/>
    <n v="16"/>
    <n v="13"/>
    <x v="23"/>
    <s v="[VNPAY] - Cashloan"/>
    <x v="0"/>
    <n v="537320000"/>
  </r>
  <r>
    <x v="102"/>
    <x v="0"/>
    <x v="3"/>
    <n v="16"/>
    <n v="13"/>
    <x v="24"/>
    <s v="[VNPAY] - Payday"/>
    <x v="3"/>
    <n v="369684000"/>
  </r>
  <r>
    <x v="102"/>
    <x v="0"/>
    <x v="3"/>
    <n v="16"/>
    <n v="13"/>
    <x v="25"/>
    <s v="[VNPAY] - Paylater"/>
    <x v="1"/>
    <n v="301895258"/>
  </r>
  <r>
    <x v="102"/>
    <x v="0"/>
    <x v="3"/>
    <n v="16"/>
    <n v="13"/>
    <x v="26"/>
    <s v="[ZLP] - Cashloan"/>
    <x v="0"/>
    <n v="5343780000"/>
  </r>
  <r>
    <x v="102"/>
    <x v="0"/>
    <x v="3"/>
    <n v="16"/>
    <n v="13"/>
    <x v="27"/>
    <s v="[ZLP] - Payday"/>
    <x v="3"/>
    <n v="2160000"/>
  </r>
  <r>
    <x v="103"/>
    <x v="0"/>
    <x v="3"/>
    <n v="16"/>
    <n v="14"/>
    <x v="0"/>
    <s v="[BE] - Cashloan"/>
    <x v="0"/>
    <n v="386090000"/>
  </r>
  <r>
    <x v="103"/>
    <x v="0"/>
    <x v="3"/>
    <n v="16"/>
    <n v="14"/>
    <x v="1"/>
    <s v="[BE] - Paylater"/>
    <x v="1"/>
    <n v="255411827"/>
  </r>
  <r>
    <x v="103"/>
    <x v="0"/>
    <x v="3"/>
    <n v="16"/>
    <n v="14"/>
    <x v="2"/>
    <s v="[Cake] - Cashloan"/>
    <x v="0"/>
    <n v="14958530000"/>
  </r>
  <r>
    <x v="103"/>
    <x v="0"/>
    <x v="3"/>
    <n v="16"/>
    <n v="14"/>
    <x v="3"/>
    <s v="[Cake] - Overdraft"/>
    <x v="2"/>
    <n v="1362590416"/>
  </r>
  <r>
    <x v="103"/>
    <x v="0"/>
    <x v="3"/>
    <n v="16"/>
    <n v="14"/>
    <x v="4"/>
    <s v="[Cake] - Payday"/>
    <x v="3"/>
    <n v="13722588000"/>
  </r>
  <r>
    <x v="103"/>
    <x v="0"/>
    <x v="3"/>
    <n v="16"/>
    <n v="14"/>
    <x v="5"/>
    <s v="[FPT] - Paylater"/>
    <x v="1"/>
    <n v="0"/>
  </r>
  <r>
    <x v="103"/>
    <x v="0"/>
    <x v="3"/>
    <n v="16"/>
    <n v="14"/>
    <x v="6"/>
    <s v="[MISA] - Cashloan"/>
    <x v="0"/>
    <n v="90000000"/>
  </r>
  <r>
    <x v="103"/>
    <x v="0"/>
    <x v="3"/>
    <n v="16"/>
    <n v="14"/>
    <x v="7"/>
    <s v="[MWG] - Cashloan"/>
    <x v="0"/>
    <n v="2837450000"/>
  </r>
  <r>
    <x v="103"/>
    <x v="0"/>
    <x v="3"/>
    <n v="16"/>
    <n v="14"/>
    <x v="8"/>
    <s v="[MWG] - Cashloan"/>
    <x v="0"/>
    <n v="567530000"/>
  </r>
  <r>
    <x v="103"/>
    <x v="0"/>
    <x v="3"/>
    <n v="16"/>
    <n v="14"/>
    <x v="9"/>
    <s v="[MWG] - Paylater"/>
    <x v="1"/>
    <n v="1828000"/>
  </r>
  <r>
    <x v="103"/>
    <x v="0"/>
    <x v="3"/>
    <n v="16"/>
    <n v="14"/>
    <x v="10"/>
    <s v="[MWG] - Paylater"/>
    <x v="1"/>
    <n v="932321018"/>
  </r>
  <r>
    <x v="103"/>
    <x v="0"/>
    <x v="3"/>
    <n v="16"/>
    <n v="14"/>
    <x v="11"/>
    <s v="[NGS] - Cashloan"/>
    <x v="0"/>
    <n v="0"/>
  </r>
  <r>
    <x v="103"/>
    <x v="0"/>
    <x v="3"/>
    <n v="16"/>
    <n v="14"/>
    <x v="12"/>
    <s v="[VNPOST] - Cashloan"/>
    <x v="0"/>
    <n v="93250000"/>
  </r>
  <r>
    <x v="103"/>
    <x v="0"/>
    <x v="3"/>
    <n v="16"/>
    <n v="14"/>
    <x v="13"/>
    <s v="[VNPOST] - Cashloan"/>
    <x v="0"/>
    <n v="0"/>
  </r>
  <r>
    <x v="103"/>
    <x v="0"/>
    <x v="3"/>
    <n v="16"/>
    <n v="14"/>
    <x v="14"/>
    <s v="[VDS] - Cashloan"/>
    <x v="0"/>
    <n v="18714060000"/>
  </r>
  <r>
    <x v="103"/>
    <x v="0"/>
    <x v="3"/>
    <n v="16"/>
    <n v="14"/>
    <x v="15"/>
    <s v="[VDS] - Cashloan LP"/>
    <x v="0"/>
    <n v="0"/>
  </r>
  <r>
    <x v="103"/>
    <x v="0"/>
    <x v="3"/>
    <n v="16"/>
    <n v="14"/>
    <x v="16"/>
    <s v="[VDS] - Cashloan LP"/>
    <x v="0"/>
    <n v="0"/>
  </r>
  <r>
    <x v="103"/>
    <x v="0"/>
    <x v="3"/>
    <n v="16"/>
    <n v="14"/>
    <x v="17"/>
    <s v="[VDS] - Cashloan LP"/>
    <x v="0"/>
    <n v="0"/>
  </r>
  <r>
    <x v="103"/>
    <x v="0"/>
    <x v="3"/>
    <n v="16"/>
    <n v="14"/>
    <x v="18"/>
    <s v="[VDS] - Cashloan"/>
    <x v="0"/>
    <n v="0"/>
  </r>
  <r>
    <x v="103"/>
    <x v="0"/>
    <x v="3"/>
    <n v="16"/>
    <n v="14"/>
    <x v="19"/>
    <s v="[VDS] - Payday"/>
    <x v="3"/>
    <n v="10200060000"/>
  </r>
  <r>
    <x v="103"/>
    <x v="0"/>
    <x v="3"/>
    <n v="16"/>
    <n v="14"/>
    <x v="20"/>
    <s v="[VDS] - Paylater"/>
    <x v="1"/>
    <n v="157377981"/>
  </r>
  <r>
    <x v="103"/>
    <x v="0"/>
    <x v="3"/>
    <n v="16"/>
    <n v="14"/>
    <x v="21"/>
    <s v="[VDS] - Payroll Cashloan"/>
    <x v="0"/>
    <n v="57750000"/>
  </r>
  <r>
    <x v="103"/>
    <x v="0"/>
    <x v="3"/>
    <n v="16"/>
    <n v="14"/>
    <x v="22"/>
    <s v="[VDS] - Payroll Payday"/>
    <x v="3"/>
    <n v="52000000"/>
  </r>
  <r>
    <x v="103"/>
    <x v="0"/>
    <x v="3"/>
    <n v="16"/>
    <n v="14"/>
    <x v="23"/>
    <s v="[VNPAY] - Cashloan"/>
    <x v="0"/>
    <n v="658790000"/>
  </r>
  <r>
    <x v="103"/>
    <x v="0"/>
    <x v="3"/>
    <n v="16"/>
    <n v="14"/>
    <x v="24"/>
    <s v="[VNPAY] - Payday"/>
    <x v="3"/>
    <n v="349920000"/>
  </r>
  <r>
    <x v="103"/>
    <x v="0"/>
    <x v="3"/>
    <n v="16"/>
    <n v="14"/>
    <x v="25"/>
    <s v="[VNPAY] - Paylater"/>
    <x v="1"/>
    <n v="252671303"/>
  </r>
  <r>
    <x v="103"/>
    <x v="0"/>
    <x v="3"/>
    <n v="16"/>
    <n v="14"/>
    <x v="26"/>
    <s v="[ZLP] - Cashloan"/>
    <x v="0"/>
    <n v="5869520000"/>
  </r>
  <r>
    <x v="103"/>
    <x v="0"/>
    <x v="3"/>
    <n v="16"/>
    <n v="14"/>
    <x v="27"/>
    <s v="[ZLP] - Payday"/>
    <x v="3"/>
    <n v="6480000"/>
  </r>
  <r>
    <x v="104"/>
    <x v="0"/>
    <x v="3"/>
    <n v="16"/>
    <n v="15"/>
    <x v="0"/>
    <s v="[BE] - Cashloan"/>
    <x v="0"/>
    <n v="485090000"/>
  </r>
  <r>
    <x v="104"/>
    <x v="0"/>
    <x v="3"/>
    <n v="16"/>
    <n v="15"/>
    <x v="1"/>
    <s v="[BE] - Paylater"/>
    <x v="1"/>
    <n v="255129496"/>
  </r>
  <r>
    <x v="104"/>
    <x v="0"/>
    <x v="3"/>
    <n v="16"/>
    <n v="15"/>
    <x v="2"/>
    <s v="[Cake] - Cashloan"/>
    <x v="0"/>
    <n v="17456220000"/>
  </r>
  <r>
    <x v="104"/>
    <x v="0"/>
    <x v="3"/>
    <n v="16"/>
    <n v="15"/>
    <x v="3"/>
    <s v="[Cake] - Overdraft"/>
    <x v="2"/>
    <n v="1675318227"/>
  </r>
  <r>
    <x v="104"/>
    <x v="0"/>
    <x v="3"/>
    <n v="16"/>
    <n v="15"/>
    <x v="4"/>
    <s v="[Cake] - Payday"/>
    <x v="3"/>
    <n v="15747264000"/>
  </r>
  <r>
    <x v="104"/>
    <x v="0"/>
    <x v="3"/>
    <n v="16"/>
    <n v="15"/>
    <x v="5"/>
    <s v="[FPT] - Paylater"/>
    <x v="1"/>
    <n v="0"/>
  </r>
  <r>
    <x v="104"/>
    <x v="0"/>
    <x v="3"/>
    <n v="16"/>
    <n v="15"/>
    <x v="6"/>
    <s v="[MISA] - Cashloan"/>
    <x v="0"/>
    <n v="0"/>
  </r>
  <r>
    <x v="104"/>
    <x v="0"/>
    <x v="3"/>
    <n v="16"/>
    <n v="15"/>
    <x v="7"/>
    <s v="[MWG] - Cashloan"/>
    <x v="0"/>
    <n v="2574730000"/>
  </r>
  <r>
    <x v="104"/>
    <x v="0"/>
    <x v="3"/>
    <n v="16"/>
    <n v="15"/>
    <x v="8"/>
    <s v="[MWG] - Cashloan"/>
    <x v="0"/>
    <n v="901760000"/>
  </r>
  <r>
    <x v="104"/>
    <x v="0"/>
    <x v="3"/>
    <n v="16"/>
    <n v="15"/>
    <x v="9"/>
    <s v="[MWG] - Paylater"/>
    <x v="1"/>
    <n v="5093685"/>
  </r>
  <r>
    <x v="104"/>
    <x v="0"/>
    <x v="3"/>
    <n v="16"/>
    <n v="15"/>
    <x v="10"/>
    <s v="[MWG] - Paylater"/>
    <x v="1"/>
    <n v="995142647"/>
  </r>
  <r>
    <x v="104"/>
    <x v="0"/>
    <x v="3"/>
    <n v="16"/>
    <n v="15"/>
    <x v="11"/>
    <s v="[NGS] - Cashloan"/>
    <x v="0"/>
    <n v="0"/>
  </r>
  <r>
    <x v="104"/>
    <x v="0"/>
    <x v="3"/>
    <n v="16"/>
    <n v="15"/>
    <x v="12"/>
    <s v="[VNPOST] - Cashloan"/>
    <x v="0"/>
    <n v="67500000"/>
  </r>
  <r>
    <x v="104"/>
    <x v="0"/>
    <x v="3"/>
    <n v="16"/>
    <n v="15"/>
    <x v="13"/>
    <s v="[VNPOST] - Cashloan"/>
    <x v="0"/>
    <n v="0"/>
  </r>
  <r>
    <x v="104"/>
    <x v="0"/>
    <x v="3"/>
    <n v="16"/>
    <n v="15"/>
    <x v="14"/>
    <s v="[VDS] - Cashloan"/>
    <x v="0"/>
    <n v="19516940000"/>
  </r>
  <r>
    <x v="104"/>
    <x v="0"/>
    <x v="3"/>
    <n v="16"/>
    <n v="15"/>
    <x v="15"/>
    <s v="[VDS] - Cashloan LP"/>
    <x v="0"/>
    <n v="0"/>
  </r>
  <r>
    <x v="104"/>
    <x v="0"/>
    <x v="3"/>
    <n v="16"/>
    <n v="15"/>
    <x v="16"/>
    <s v="[VDS] - Cashloan LP"/>
    <x v="0"/>
    <n v="0"/>
  </r>
  <r>
    <x v="104"/>
    <x v="0"/>
    <x v="3"/>
    <n v="16"/>
    <n v="15"/>
    <x v="17"/>
    <s v="[VDS] - Cashloan LP"/>
    <x v="0"/>
    <n v="0"/>
  </r>
  <r>
    <x v="104"/>
    <x v="0"/>
    <x v="3"/>
    <n v="16"/>
    <n v="15"/>
    <x v="18"/>
    <s v="[VDS] - Cashloan"/>
    <x v="0"/>
    <n v="0"/>
  </r>
  <r>
    <x v="104"/>
    <x v="0"/>
    <x v="3"/>
    <n v="16"/>
    <n v="15"/>
    <x v="19"/>
    <s v="[VDS] - Payday"/>
    <x v="3"/>
    <n v="12952548000"/>
  </r>
  <r>
    <x v="104"/>
    <x v="0"/>
    <x v="3"/>
    <n v="16"/>
    <n v="15"/>
    <x v="20"/>
    <s v="[VDS] - Paylater"/>
    <x v="1"/>
    <n v="173992190"/>
  </r>
  <r>
    <x v="104"/>
    <x v="0"/>
    <x v="3"/>
    <n v="16"/>
    <n v="15"/>
    <x v="21"/>
    <s v="[VDS] - Payroll Cashloan"/>
    <x v="0"/>
    <n v="0"/>
  </r>
  <r>
    <x v="104"/>
    <x v="0"/>
    <x v="3"/>
    <n v="16"/>
    <n v="15"/>
    <x v="22"/>
    <s v="[VDS] - Payroll Payday"/>
    <x v="3"/>
    <n v="33000000"/>
  </r>
  <r>
    <x v="104"/>
    <x v="0"/>
    <x v="3"/>
    <n v="16"/>
    <n v="15"/>
    <x v="23"/>
    <s v="[VNPAY] - Cashloan"/>
    <x v="0"/>
    <n v="743090000"/>
  </r>
  <r>
    <x v="104"/>
    <x v="0"/>
    <x v="3"/>
    <n v="16"/>
    <n v="15"/>
    <x v="24"/>
    <s v="[VNPAY] - Payday"/>
    <x v="3"/>
    <n v="327996000"/>
  </r>
  <r>
    <x v="104"/>
    <x v="0"/>
    <x v="3"/>
    <n v="16"/>
    <n v="15"/>
    <x v="25"/>
    <s v="[VNPAY] - Paylater"/>
    <x v="1"/>
    <n v="270805620"/>
  </r>
  <r>
    <x v="104"/>
    <x v="0"/>
    <x v="3"/>
    <n v="16"/>
    <n v="15"/>
    <x v="26"/>
    <s v="[ZLP] - Cashloan"/>
    <x v="0"/>
    <n v="6386390000"/>
  </r>
  <r>
    <x v="104"/>
    <x v="0"/>
    <x v="3"/>
    <n v="16"/>
    <n v="15"/>
    <x v="27"/>
    <s v="[ZLP] - Payday"/>
    <x v="3"/>
    <n v="8640000"/>
  </r>
  <r>
    <x v="105"/>
    <x v="0"/>
    <x v="3"/>
    <n v="16"/>
    <n v="16"/>
    <x v="0"/>
    <s v="[BE] - Cashloan"/>
    <x v="0"/>
    <n v="394650000"/>
  </r>
  <r>
    <x v="105"/>
    <x v="0"/>
    <x v="3"/>
    <n v="16"/>
    <n v="16"/>
    <x v="1"/>
    <s v="[BE] - Paylater"/>
    <x v="1"/>
    <n v="252673938"/>
  </r>
  <r>
    <x v="105"/>
    <x v="0"/>
    <x v="3"/>
    <n v="16"/>
    <n v="16"/>
    <x v="2"/>
    <s v="[Cake] - Cashloan"/>
    <x v="0"/>
    <n v="15575360000"/>
  </r>
  <r>
    <x v="105"/>
    <x v="0"/>
    <x v="3"/>
    <n v="16"/>
    <n v="16"/>
    <x v="3"/>
    <s v="[Cake] - Overdraft"/>
    <x v="2"/>
    <n v="1378132749"/>
  </r>
  <r>
    <x v="105"/>
    <x v="0"/>
    <x v="3"/>
    <n v="16"/>
    <n v="16"/>
    <x v="4"/>
    <s v="[Cake] - Payday"/>
    <x v="3"/>
    <n v="14120028000"/>
  </r>
  <r>
    <x v="105"/>
    <x v="0"/>
    <x v="3"/>
    <n v="16"/>
    <n v="16"/>
    <x v="5"/>
    <s v="[FPT] - Paylater"/>
    <x v="1"/>
    <n v="0"/>
  </r>
  <r>
    <x v="105"/>
    <x v="0"/>
    <x v="3"/>
    <n v="16"/>
    <n v="16"/>
    <x v="6"/>
    <s v="[MISA] - Cashloan"/>
    <x v="0"/>
    <n v="0"/>
  </r>
  <r>
    <x v="105"/>
    <x v="0"/>
    <x v="3"/>
    <n v="16"/>
    <n v="16"/>
    <x v="7"/>
    <s v="[MWG] - Cashloan"/>
    <x v="0"/>
    <n v="2827170000"/>
  </r>
  <r>
    <x v="105"/>
    <x v="0"/>
    <x v="3"/>
    <n v="16"/>
    <n v="16"/>
    <x v="8"/>
    <s v="[MWG] - Cashloan"/>
    <x v="0"/>
    <n v="850760000"/>
  </r>
  <r>
    <x v="105"/>
    <x v="0"/>
    <x v="3"/>
    <n v="16"/>
    <n v="16"/>
    <x v="9"/>
    <s v="[MWG] - Paylater"/>
    <x v="1"/>
    <n v="11266593"/>
  </r>
  <r>
    <x v="105"/>
    <x v="0"/>
    <x v="3"/>
    <n v="16"/>
    <n v="16"/>
    <x v="10"/>
    <s v="[MWG] - Paylater"/>
    <x v="1"/>
    <n v="864715463"/>
  </r>
  <r>
    <x v="105"/>
    <x v="0"/>
    <x v="3"/>
    <n v="16"/>
    <n v="16"/>
    <x v="11"/>
    <s v="[NGS] - Cashloan"/>
    <x v="0"/>
    <n v="0"/>
  </r>
  <r>
    <x v="105"/>
    <x v="0"/>
    <x v="3"/>
    <n v="16"/>
    <n v="16"/>
    <x v="12"/>
    <s v="[VNPOST] - Cashloan"/>
    <x v="0"/>
    <n v="40000000"/>
  </r>
  <r>
    <x v="105"/>
    <x v="0"/>
    <x v="3"/>
    <n v="16"/>
    <n v="16"/>
    <x v="13"/>
    <s v="[VNPOST] - Cashloan"/>
    <x v="0"/>
    <n v="0"/>
  </r>
  <r>
    <x v="105"/>
    <x v="0"/>
    <x v="3"/>
    <n v="16"/>
    <n v="16"/>
    <x v="14"/>
    <s v="[VDS] - Cashloan"/>
    <x v="0"/>
    <n v="18022650000"/>
  </r>
  <r>
    <x v="105"/>
    <x v="0"/>
    <x v="3"/>
    <n v="16"/>
    <n v="16"/>
    <x v="15"/>
    <s v="[VDS] - Cashloan LP"/>
    <x v="0"/>
    <n v="0"/>
  </r>
  <r>
    <x v="105"/>
    <x v="0"/>
    <x v="3"/>
    <n v="16"/>
    <n v="16"/>
    <x v="16"/>
    <s v="[VDS] - Cashloan LP"/>
    <x v="0"/>
    <n v="0"/>
  </r>
  <r>
    <x v="105"/>
    <x v="0"/>
    <x v="3"/>
    <n v="16"/>
    <n v="16"/>
    <x v="17"/>
    <s v="[VDS] - Cashloan LP"/>
    <x v="0"/>
    <n v="0"/>
  </r>
  <r>
    <x v="105"/>
    <x v="0"/>
    <x v="3"/>
    <n v="16"/>
    <n v="16"/>
    <x v="18"/>
    <s v="[VDS] - Cashloan"/>
    <x v="0"/>
    <n v="0"/>
  </r>
  <r>
    <x v="105"/>
    <x v="0"/>
    <x v="3"/>
    <n v="16"/>
    <n v="16"/>
    <x v="19"/>
    <s v="[VDS] - Payday"/>
    <x v="3"/>
    <n v="11571228000"/>
  </r>
  <r>
    <x v="105"/>
    <x v="0"/>
    <x v="3"/>
    <n v="16"/>
    <n v="16"/>
    <x v="20"/>
    <s v="[VDS] - Paylater"/>
    <x v="1"/>
    <n v="180321316"/>
  </r>
  <r>
    <x v="105"/>
    <x v="0"/>
    <x v="3"/>
    <n v="16"/>
    <n v="16"/>
    <x v="21"/>
    <s v="[VDS] - Payroll Cashloan"/>
    <x v="0"/>
    <n v="42000000"/>
  </r>
  <r>
    <x v="105"/>
    <x v="0"/>
    <x v="3"/>
    <n v="16"/>
    <n v="16"/>
    <x v="22"/>
    <s v="[VDS] - Payroll Payday"/>
    <x v="3"/>
    <n v="38000000"/>
  </r>
  <r>
    <x v="105"/>
    <x v="0"/>
    <x v="3"/>
    <n v="16"/>
    <n v="16"/>
    <x v="23"/>
    <s v="[VNPAY] - Cashloan"/>
    <x v="0"/>
    <n v="654280000"/>
  </r>
  <r>
    <x v="105"/>
    <x v="0"/>
    <x v="3"/>
    <n v="16"/>
    <n v="16"/>
    <x v="24"/>
    <s v="[VNPAY] - Payday"/>
    <x v="3"/>
    <n v="282312000"/>
  </r>
  <r>
    <x v="105"/>
    <x v="0"/>
    <x v="3"/>
    <n v="16"/>
    <n v="16"/>
    <x v="25"/>
    <s v="[VNPAY] - Paylater"/>
    <x v="1"/>
    <n v="248742818"/>
  </r>
  <r>
    <x v="105"/>
    <x v="0"/>
    <x v="3"/>
    <n v="16"/>
    <n v="16"/>
    <x v="26"/>
    <s v="[ZLP] - Cashloan"/>
    <x v="0"/>
    <n v="5763210000"/>
  </r>
  <r>
    <x v="105"/>
    <x v="0"/>
    <x v="3"/>
    <n v="16"/>
    <n v="16"/>
    <x v="27"/>
    <s v="[ZLP] - Payday"/>
    <x v="3"/>
    <n v="6480000"/>
  </r>
  <r>
    <x v="106"/>
    <x v="0"/>
    <x v="3"/>
    <n v="16"/>
    <n v="17"/>
    <x v="0"/>
    <s v="[BE] - Cashloan"/>
    <x v="0"/>
    <n v="431120000"/>
  </r>
  <r>
    <x v="106"/>
    <x v="0"/>
    <x v="3"/>
    <n v="16"/>
    <n v="17"/>
    <x v="1"/>
    <s v="[BE] - Paylater"/>
    <x v="1"/>
    <n v="257394445"/>
  </r>
  <r>
    <x v="106"/>
    <x v="0"/>
    <x v="3"/>
    <n v="16"/>
    <n v="17"/>
    <x v="2"/>
    <s v="[Cake] - Cashloan"/>
    <x v="0"/>
    <n v="13467110000"/>
  </r>
  <r>
    <x v="106"/>
    <x v="0"/>
    <x v="3"/>
    <n v="16"/>
    <n v="17"/>
    <x v="3"/>
    <s v="[Cake] - Overdraft"/>
    <x v="2"/>
    <n v="1237946176"/>
  </r>
  <r>
    <x v="106"/>
    <x v="0"/>
    <x v="3"/>
    <n v="16"/>
    <n v="17"/>
    <x v="4"/>
    <s v="[Cake] - Payday"/>
    <x v="3"/>
    <n v="13727232000"/>
  </r>
  <r>
    <x v="106"/>
    <x v="0"/>
    <x v="3"/>
    <n v="16"/>
    <n v="17"/>
    <x v="5"/>
    <s v="[FPT] - Paylater"/>
    <x v="1"/>
    <n v="0"/>
  </r>
  <r>
    <x v="106"/>
    <x v="0"/>
    <x v="3"/>
    <n v="16"/>
    <n v="17"/>
    <x v="6"/>
    <s v="[MISA] - Cashloan"/>
    <x v="0"/>
    <n v="90000000"/>
  </r>
  <r>
    <x v="106"/>
    <x v="0"/>
    <x v="3"/>
    <n v="16"/>
    <n v="17"/>
    <x v="7"/>
    <s v="[MWG] - Cashloan"/>
    <x v="0"/>
    <n v="2383890000"/>
  </r>
  <r>
    <x v="106"/>
    <x v="0"/>
    <x v="3"/>
    <n v="16"/>
    <n v="17"/>
    <x v="8"/>
    <s v="[MWG] - Cashloan"/>
    <x v="0"/>
    <n v="1076550000"/>
  </r>
  <r>
    <x v="106"/>
    <x v="0"/>
    <x v="3"/>
    <n v="16"/>
    <n v="17"/>
    <x v="9"/>
    <s v="[MWG] - Paylater"/>
    <x v="1"/>
    <n v="2077000"/>
  </r>
  <r>
    <x v="106"/>
    <x v="0"/>
    <x v="3"/>
    <n v="16"/>
    <n v="17"/>
    <x v="10"/>
    <s v="[MWG] - Paylater"/>
    <x v="1"/>
    <n v="1001350918"/>
  </r>
  <r>
    <x v="106"/>
    <x v="0"/>
    <x v="3"/>
    <n v="16"/>
    <n v="17"/>
    <x v="11"/>
    <s v="[NGS] - Cashloan"/>
    <x v="0"/>
    <n v="0"/>
  </r>
  <r>
    <x v="106"/>
    <x v="0"/>
    <x v="3"/>
    <n v="16"/>
    <n v="17"/>
    <x v="12"/>
    <s v="[VNPOST] - Cashloan"/>
    <x v="0"/>
    <n v="63000000"/>
  </r>
  <r>
    <x v="106"/>
    <x v="0"/>
    <x v="3"/>
    <n v="16"/>
    <n v="17"/>
    <x v="13"/>
    <s v="[VNPOST] - Cashloan"/>
    <x v="0"/>
    <n v="0"/>
  </r>
  <r>
    <x v="106"/>
    <x v="0"/>
    <x v="3"/>
    <n v="16"/>
    <n v="17"/>
    <x v="14"/>
    <s v="[VDS] - Cashloan"/>
    <x v="0"/>
    <n v="17459440000"/>
  </r>
  <r>
    <x v="106"/>
    <x v="0"/>
    <x v="3"/>
    <n v="16"/>
    <n v="17"/>
    <x v="15"/>
    <s v="[VDS] - Cashloan LP"/>
    <x v="0"/>
    <n v="0"/>
  </r>
  <r>
    <x v="106"/>
    <x v="0"/>
    <x v="3"/>
    <n v="16"/>
    <n v="17"/>
    <x v="16"/>
    <s v="[VDS] - Cashloan LP"/>
    <x v="0"/>
    <n v="0"/>
  </r>
  <r>
    <x v="106"/>
    <x v="0"/>
    <x v="3"/>
    <n v="16"/>
    <n v="17"/>
    <x v="17"/>
    <s v="[VDS] - Cashloan LP"/>
    <x v="0"/>
    <n v="0"/>
  </r>
  <r>
    <x v="106"/>
    <x v="0"/>
    <x v="3"/>
    <n v="16"/>
    <n v="17"/>
    <x v="18"/>
    <s v="[VDS] - Cashloan"/>
    <x v="0"/>
    <n v="0"/>
  </r>
  <r>
    <x v="106"/>
    <x v="0"/>
    <x v="3"/>
    <n v="16"/>
    <n v="17"/>
    <x v="19"/>
    <s v="[VDS] - Payday"/>
    <x v="3"/>
    <n v="10529244000"/>
  </r>
  <r>
    <x v="106"/>
    <x v="0"/>
    <x v="3"/>
    <n v="16"/>
    <n v="17"/>
    <x v="20"/>
    <s v="[VDS] - Paylater"/>
    <x v="1"/>
    <n v="154684658"/>
  </r>
  <r>
    <x v="106"/>
    <x v="0"/>
    <x v="3"/>
    <n v="16"/>
    <n v="17"/>
    <x v="21"/>
    <s v="[VDS] - Payroll Cashloan"/>
    <x v="0"/>
    <n v="30500000"/>
  </r>
  <r>
    <x v="106"/>
    <x v="0"/>
    <x v="3"/>
    <n v="16"/>
    <n v="17"/>
    <x v="22"/>
    <s v="[VDS] - Payroll Payday"/>
    <x v="3"/>
    <n v="14000000"/>
  </r>
  <r>
    <x v="106"/>
    <x v="0"/>
    <x v="3"/>
    <n v="16"/>
    <n v="17"/>
    <x v="23"/>
    <s v="[VNPAY] - Cashloan"/>
    <x v="0"/>
    <n v="1043820000"/>
  </r>
  <r>
    <x v="106"/>
    <x v="0"/>
    <x v="3"/>
    <n v="16"/>
    <n v="17"/>
    <x v="24"/>
    <s v="[VNPAY] - Payday"/>
    <x v="3"/>
    <n v="363852000"/>
  </r>
  <r>
    <x v="106"/>
    <x v="0"/>
    <x v="3"/>
    <n v="16"/>
    <n v="17"/>
    <x v="25"/>
    <s v="[VNPAY] - Paylater"/>
    <x v="1"/>
    <n v="227579849"/>
  </r>
  <r>
    <x v="106"/>
    <x v="0"/>
    <x v="3"/>
    <n v="16"/>
    <n v="17"/>
    <x v="26"/>
    <s v="[ZLP] - Cashloan"/>
    <x v="0"/>
    <n v="5666300000"/>
  </r>
  <r>
    <x v="106"/>
    <x v="0"/>
    <x v="3"/>
    <n v="16"/>
    <n v="17"/>
    <x v="27"/>
    <s v="[ZLP] - Payday"/>
    <x v="3"/>
    <n v="0"/>
  </r>
  <r>
    <x v="107"/>
    <x v="0"/>
    <x v="3"/>
    <n v="16"/>
    <n v="18"/>
    <x v="0"/>
    <s v="[BE] - Cashloan"/>
    <x v="0"/>
    <n v="490320000"/>
  </r>
  <r>
    <x v="107"/>
    <x v="0"/>
    <x v="3"/>
    <n v="16"/>
    <n v="18"/>
    <x v="1"/>
    <s v="[BE] - Paylater"/>
    <x v="1"/>
    <n v="249342174"/>
  </r>
  <r>
    <x v="107"/>
    <x v="0"/>
    <x v="3"/>
    <n v="16"/>
    <n v="18"/>
    <x v="2"/>
    <s v="[Cake] - Cashloan"/>
    <x v="0"/>
    <n v="12698440000"/>
  </r>
  <r>
    <x v="107"/>
    <x v="0"/>
    <x v="3"/>
    <n v="16"/>
    <n v="18"/>
    <x v="3"/>
    <s v="[Cake] - Overdraft"/>
    <x v="2"/>
    <n v="1188494503"/>
  </r>
  <r>
    <x v="107"/>
    <x v="0"/>
    <x v="3"/>
    <n v="16"/>
    <n v="18"/>
    <x v="4"/>
    <s v="[Cake] - Payday"/>
    <x v="3"/>
    <n v="12928356000"/>
  </r>
  <r>
    <x v="107"/>
    <x v="0"/>
    <x v="3"/>
    <n v="16"/>
    <n v="18"/>
    <x v="5"/>
    <s v="[FPT] - Paylater"/>
    <x v="1"/>
    <n v="0"/>
  </r>
  <r>
    <x v="107"/>
    <x v="0"/>
    <x v="3"/>
    <n v="16"/>
    <n v="18"/>
    <x v="6"/>
    <s v="[MISA] - Cashloan"/>
    <x v="0"/>
    <n v="0"/>
  </r>
  <r>
    <x v="107"/>
    <x v="0"/>
    <x v="3"/>
    <n v="16"/>
    <n v="18"/>
    <x v="7"/>
    <s v="[MWG] - Cashloan"/>
    <x v="0"/>
    <n v="2279150000"/>
  </r>
  <r>
    <x v="107"/>
    <x v="0"/>
    <x v="3"/>
    <n v="16"/>
    <n v="18"/>
    <x v="8"/>
    <s v="[MWG] - Cashloan"/>
    <x v="0"/>
    <n v="939210000"/>
  </r>
  <r>
    <x v="107"/>
    <x v="0"/>
    <x v="3"/>
    <n v="16"/>
    <n v="18"/>
    <x v="9"/>
    <s v="[MWG] - Paylater"/>
    <x v="1"/>
    <n v="19197095"/>
  </r>
  <r>
    <x v="107"/>
    <x v="0"/>
    <x v="3"/>
    <n v="16"/>
    <n v="18"/>
    <x v="10"/>
    <s v="[MWG] - Paylater"/>
    <x v="1"/>
    <n v="1276263506"/>
  </r>
  <r>
    <x v="107"/>
    <x v="0"/>
    <x v="3"/>
    <n v="16"/>
    <n v="18"/>
    <x v="11"/>
    <s v="[NGS] - Cashloan"/>
    <x v="0"/>
    <n v="0"/>
  </r>
  <r>
    <x v="107"/>
    <x v="0"/>
    <x v="3"/>
    <n v="16"/>
    <n v="18"/>
    <x v="12"/>
    <s v="[VNPOST] - Cashloan"/>
    <x v="0"/>
    <n v="77700000"/>
  </r>
  <r>
    <x v="107"/>
    <x v="0"/>
    <x v="3"/>
    <n v="16"/>
    <n v="18"/>
    <x v="13"/>
    <s v="[VNPOST] - Cashloan"/>
    <x v="0"/>
    <n v="0"/>
  </r>
  <r>
    <x v="107"/>
    <x v="0"/>
    <x v="3"/>
    <n v="16"/>
    <n v="18"/>
    <x v="14"/>
    <s v="[VDS] - Cashloan"/>
    <x v="0"/>
    <n v="14181630000"/>
  </r>
  <r>
    <x v="107"/>
    <x v="0"/>
    <x v="3"/>
    <n v="16"/>
    <n v="18"/>
    <x v="15"/>
    <s v="[VDS] - Cashloan LP"/>
    <x v="0"/>
    <n v="0"/>
  </r>
  <r>
    <x v="107"/>
    <x v="0"/>
    <x v="3"/>
    <n v="16"/>
    <n v="18"/>
    <x v="16"/>
    <s v="[VDS] - Cashloan LP"/>
    <x v="0"/>
    <n v="0"/>
  </r>
  <r>
    <x v="107"/>
    <x v="0"/>
    <x v="3"/>
    <n v="16"/>
    <n v="18"/>
    <x v="17"/>
    <s v="[VDS] - Cashloan LP"/>
    <x v="0"/>
    <n v="0"/>
  </r>
  <r>
    <x v="107"/>
    <x v="0"/>
    <x v="3"/>
    <n v="16"/>
    <n v="18"/>
    <x v="18"/>
    <s v="[VDS] - Cashloan"/>
    <x v="0"/>
    <n v="0"/>
  </r>
  <r>
    <x v="107"/>
    <x v="0"/>
    <x v="3"/>
    <n v="16"/>
    <n v="18"/>
    <x v="19"/>
    <s v="[VDS] - Payday"/>
    <x v="3"/>
    <n v="10708632000"/>
  </r>
  <r>
    <x v="107"/>
    <x v="0"/>
    <x v="3"/>
    <n v="16"/>
    <n v="18"/>
    <x v="20"/>
    <s v="[VDS] - Paylater"/>
    <x v="1"/>
    <n v="122729974"/>
  </r>
  <r>
    <x v="107"/>
    <x v="0"/>
    <x v="3"/>
    <n v="16"/>
    <n v="18"/>
    <x v="21"/>
    <s v="[VDS] - Payroll Cashloan"/>
    <x v="0"/>
    <n v="53550000"/>
  </r>
  <r>
    <x v="107"/>
    <x v="0"/>
    <x v="3"/>
    <n v="16"/>
    <n v="18"/>
    <x v="22"/>
    <s v="[VDS] - Payroll Payday"/>
    <x v="3"/>
    <n v="35000000"/>
  </r>
  <r>
    <x v="107"/>
    <x v="0"/>
    <x v="3"/>
    <n v="16"/>
    <n v="18"/>
    <x v="23"/>
    <s v="[VNPAY] - Cashloan"/>
    <x v="0"/>
    <n v="655810000"/>
  </r>
  <r>
    <x v="107"/>
    <x v="0"/>
    <x v="3"/>
    <n v="16"/>
    <n v="18"/>
    <x v="24"/>
    <s v="[VNPAY] - Payday"/>
    <x v="3"/>
    <n v="240948000"/>
  </r>
  <r>
    <x v="107"/>
    <x v="0"/>
    <x v="3"/>
    <n v="16"/>
    <n v="18"/>
    <x v="25"/>
    <s v="[VNPAY] - Paylater"/>
    <x v="1"/>
    <n v="162104649"/>
  </r>
  <r>
    <x v="107"/>
    <x v="0"/>
    <x v="3"/>
    <n v="16"/>
    <n v="18"/>
    <x v="26"/>
    <s v="[ZLP] - Cashloan"/>
    <x v="0"/>
    <n v="4977120000"/>
  </r>
  <r>
    <x v="107"/>
    <x v="0"/>
    <x v="3"/>
    <n v="16"/>
    <n v="18"/>
    <x v="27"/>
    <s v="[ZLP] - Payday"/>
    <x v="3"/>
    <n v="0"/>
  </r>
  <r>
    <x v="108"/>
    <x v="0"/>
    <x v="3"/>
    <n v="16"/>
    <n v="19"/>
    <x v="0"/>
    <s v="[BE] - Cashloan"/>
    <x v="0"/>
    <n v="569780000"/>
  </r>
  <r>
    <x v="108"/>
    <x v="0"/>
    <x v="3"/>
    <n v="16"/>
    <n v="19"/>
    <x v="1"/>
    <s v="[BE] - Paylater"/>
    <x v="1"/>
    <n v="273767079"/>
  </r>
  <r>
    <x v="108"/>
    <x v="0"/>
    <x v="3"/>
    <n v="16"/>
    <n v="19"/>
    <x v="2"/>
    <s v="[Cake] - Cashloan"/>
    <x v="0"/>
    <n v="11894970000"/>
  </r>
  <r>
    <x v="108"/>
    <x v="0"/>
    <x v="3"/>
    <n v="16"/>
    <n v="19"/>
    <x v="3"/>
    <s v="[Cake] - Overdraft"/>
    <x v="2"/>
    <n v="1072639158"/>
  </r>
  <r>
    <x v="108"/>
    <x v="0"/>
    <x v="3"/>
    <n v="16"/>
    <n v="19"/>
    <x v="4"/>
    <s v="[Cake] - Payday"/>
    <x v="3"/>
    <n v="13170600000"/>
  </r>
  <r>
    <x v="108"/>
    <x v="0"/>
    <x v="3"/>
    <n v="16"/>
    <n v="19"/>
    <x v="5"/>
    <s v="[FPT] - Paylater"/>
    <x v="1"/>
    <n v="0"/>
  </r>
  <r>
    <x v="108"/>
    <x v="0"/>
    <x v="3"/>
    <n v="16"/>
    <n v="19"/>
    <x v="6"/>
    <s v="[MISA] - Cashloan"/>
    <x v="0"/>
    <n v="0"/>
  </r>
  <r>
    <x v="108"/>
    <x v="0"/>
    <x v="3"/>
    <n v="16"/>
    <n v="19"/>
    <x v="7"/>
    <s v="[MWG] - Cashloan"/>
    <x v="0"/>
    <n v="3196900000"/>
  </r>
  <r>
    <x v="108"/>
    <x v="0"/>
    <x v="3"/>
    <n v="16"/>
    <n v="19"/>
    <x v="8"/>
    <s v="[MWG] - Cashloan"/>
    <x v="0"/>
    <n v="580250000"/>
  </r>
  <r>
    <x v="108"/>
    <x v="0"/>
    <x v="3"/>
    <n v="16"/>
    <n v="19"/>
    <x v="9"/>
    <s v="[MWG] - Paylater"/>
    <x v="1"/>
    <n v="6009443"/>
  </r>
  <r>
    <x v="108"/>
    <x v="0"/>
    <x v="3"/>
    <n v="16"/>
    <n v="19"/>
    <x v="10"/>
    <s v="[MWG] - Paylater"/>
    <x v="1"/>
    <n v="1162515757"/>
  </r>
  <r>
    <x v="108"/>
    <x v="0"/>
    <x v="3"/>
    <n v="16"/>
    <n v="19"/>
    <x v="11"/>
    <s v="[NGS] - Cashloan"/>
    <x v="0"/>
    <n v="0"/>
  </r>
  <r>
    <x v="108"/>
    <x v="0"/>
    <x v="3"/>
    <n v="16"/>
    <n v="19"/>
    <x v="12"/>
    <s v="[VNPOST] - Cashloan"/>
    <x v="0"/>
    <n v="15750000"/>
  </r>
  <r>
    <x v="108"/>
    <x v="0"/>
    <x v="3"/>
    <n v="16"/>
    <n v="19"/>
    <x v="13"/>
    <s v="[VNPOST] - Cashloan"/>
    <x v="0"/>
    <n v="0"/>
  </r>
  <r>
    <x v="108"/>
    <x v="0"/>
    <x v="3"/>
    <n v="16"/>
    <n v="19"/>
    <x v="14"/>
    <s v="[VDS] - Cashloan"/>
    <x v="0"/>
    <n v="15575200000"/>
  </r>
  <r>
    <x v="108"/>
    <x v="0"/>
    <x v="3"/>
    <n v="16"/>
    <n v="19"/>
    <x v="15"/>
    <s v="[VDS] - Cashloan LP"/>
    <x v="0"/>
    <n v="0"/>
  </r>
  <r>
    <x v="108"/>
    <x v="0"/>
    <x v="3"/>
    <n v="16"/>
    <n v="19"/>
    <x v="16"/>
    <s v="[VDS] - Cashloan LP"/>
    <x v="0"/>
    <n v="0"/>
  </r>
  <r>
    <x v="108"/>
    <x v="0"/>
    <x v="3"/>
    <n v="16"/>
    <n v="19"/>
    <x v="17"/>
    <s v="[VDS] - Cashloan LP"/>
    <x v="0"/>
    <n v="0"/>
  </r>
  <r>
    <x v="108"/>
    <x v="0"/>
    <x v="3"/>
    <n v="16"/>
    <n v="19"/>
    <x v="18"/>
    <s v="[VDS] - Cashloan"/>
    <x v="0"/>
    <n v="0"/>
  </r>
  <r>
    <x v="108"/>
    <x v="0"/>
    <x v="3"/>
    <n v="16"/>
    <n v="19"/>
    <x v="19"/>
    <s v="[VDS] - Payday"/>
    <x v="3"/>
    <n v="10571796000"/>
  </r>
  <r>
    <x v="108"/>
    <x v="0"/>
    <x v="3"/>
    <n v="16"/>
    <n v="19"/>
    <x v="20"/>
    <s v="[VDS] - Paylater"/>
    <x v="1"/>
    <n v="131540008"/>
  </r>
  <r>
    <x v="108"/>
    <x v="0"/>
    <x v="3"/>
    <n v="16"/>
    <n v="19"/>
    <x v="21"/>
    <s v="[VDS] - Payroll Cashloan"/>
    <x v="0"/>
    <n v="42000000"/>
  </r>
  <r>
    <x v="108"/>
    <x v="0"/>
    <x v="3"/>
    <n v="16"/>
    <n v="19"/>
    <x v="22"/>
    <s v="[VDS] - Payroll Payday"/>
    <x v="3"/>
    <n v="43000000"/>
  </r>
  <r>
    <x v="108"/>
    <x v="0"/>
    <x v="3"/>
    <n v="16"/>
    <n v="19"/>
    <x v="23"/>
    <s v="[VNPAY] - Cashloan"/>
    <x v="0"/>
    <n v="902290000"/>
  </r>
  <r>
    <x v="108"/>
    <x v="0"/>
    <x v="3"/>
    <n v="16"/>
    <n v="19"/>
    <x v="24"/>
    <s v="[VNPAY] - Payday"/>
    <x v="3"/>
    <n v="210600000"/>
  </r>
  <r>
    <x v="108"/>
    <x v="0"/>
    <x v="3"/>
    <n v="16"/>
    <n v="19"/>
    <x v="25"/>
    <s v="[VNPAY] - Paylater"/>
    <x v="1"/>
    <n v="201304062"/>
  </r>
  <r>
    <x v="108"/>
    <x v="0"/>
    <x v="3"/>
    <n v="16"/>
    <n v="19"/>
    <x v="26"/>
    <s v="[ZLP] - Cashloan"/>
    <x v="0"/>
    <n v="4101160000"/>
  </r>
  <r>
    <x v="108"/>
    <x v="0"/>
    <x v="3"/>
    <n v="16"/>
    <n v="19"/>
    <x v="27"/>
    <s v="[ZLP] - Payday"/>
    <x v="3"/>
    <n v="0"/>
  </r>
  <r>
    <x v="109"/>
    <x v="0"/>
    <x v="3"/>
    <n v="17"/>
    <n v="20"/>
    <x v="0"/>
    <s v="[BE] - Cashloan"/>
    <x v="0"/>
    <n v="443250000"/>
  </r>
  <r>
    <x v="109"/>
    <x v="0"/>
    <x v="3"/>
    <n v="17"/>
    <n v="20"/>
    <x v="1"/>
    <s v="[BE] - Paylater"/>
    <x v="1"/>
    <n v="251999633"/>
  </r>
  <r>
    <x v="109"/>
    <x v="0"/>
    <x v="3"/>
    <n v="17"/>
    <n v="20"/>
    <x v="2"/>
    <s v="[Cake] - Cashloan"/>
    <x v="0"/>
    <n v="14875820000"/>
  </r>
  <r>
    <x v="109"/>
    <x v="0"/>
    <x v="3"/>
    <n v="17"/>
    <n v="20"/>
    <x v="3"/>
    <s v="[Cake] - Overdraft"/>
    <x v="2"/>
    <n v="2794444072"/>
  </r>
  <r>
    <x v="109"/>
    <x v="0"/>
    <x v="3"/>
    <n v="17"/>
    <n v="20"/>
    <x v="4"/>
    <s v="[Cake] - Payday"/>
    <x v="3"/>
    <n v="14755608000"/>
  </r>
  <r>
    <x v="109"/>
    <x v="0"/>
    <x v="3"/>
    <n v="17"/>
    <n v="20"/>
    <x v="5"/>
    <s v="[FPT] - Paylater"/>
    <x v="1"/>
    <n v="0"/>
  </r>
  <r>
    <x v="109"/>
    <x v="0"/>
    <x v="3"/>
    <n v="17"/>
    <n v="20"/>
    <x v="6"/>
    <s v="[MISA] - Cashloan"/>
    <x v="0"/>
    <n v="0"/>
  </r>
  <r>
    <x v="109"/>
    <x v="0"/>
    <x v="3"/>
    <n v="17"/>
    <n v="20"/>
    <x v="7"/>
    <s v="[MWG] - Cashloan"/>
    <x v="0"/>
    <n v="2936790000"/>
  </r>
  <r>
    <x v="109"/>
    <x v="0"/>
    <x v="3"/>
    <n v="17"/>
    <n v="20"/>
    <x v="8"/>
    <s v="[MWG] - Cashloan"/>
    <x v="0"/>
    <n v="998770000"/>
  </r>
  <r>
    <x v="109"/>
    <x v="0"/>
    <x v="3"/>
    <n v="17"/>
    <n v="20"/>
    <x v="9"/>
    <s v="[MWG] - Paylater"/>
    <x v="1"/>
    <n v="13525090"/>
  </r>
  <r>
    <x v="109"/>
    <x v="0"/>
    <x v="3"/>
    <n v="17"/>
    <n v="20"/>
    <x v="10"/>
    <s v="[MWG] - Paylater"/>
    <x v="1"/>
    <n v="804617153"/>
  </r>
  <r>
    <x v="109"/>
    <x v="0"/>
    <x v="3"/>
    <n v="17"/>
    <n v="20"/>
    <x v="11"/>
    <s v="[NGS] - Cashloan"/>
    <x v="0"/>
    <n v="0"/>
  </r>
  <r>
    <x v="109"/>
    <x v="0"/>
    <x v="3"/>
    <n v="17"/>
    <n v="20"/>
    <x v="12"/>
    <s v="[VNPOST] - Cashloan"/>
    <x v="0"/>
    <n v="73500000"/>
  </r>
  <r>
    <x v="109"/>
    <x v="0"/>
    <x v="3"/>
    <n v="17"/>
    <n v="20"/>
    <x v="13"/>
    <s v="[VNPOST] - Cashloan"/>
    <x v="0"/>
    <n v="0"/>
  </r>
  <r>
    <x v="109"/>
    <x v="0"/>
    <x v="3"/>
    <n v="17"/>
    <n v="20"/>
    <x v="14"/>
    <s v="[VDS] - Cashloan"/>
    <x v="0"/>
    <n v="16555900000"/>
  </r>
  <r>
    <x v="109"/>
    <x v="0"/>
    <x v="3"/>
    <n v="17"/>
    <n v="20"/>
    <x v="15"/>
    <s v="[VDS] - Cashloan LP"/>
    <x v="0"/>
    <n v="0"/>
  </r>
  <r>
    <x v="109"/>
    <x v="0"/>
    <x v="3"/>
    <n v="17"/>
    <n v="20"/>
    <x v="16"/>
    <s v="[VDS] - Cashloan LP"/>
    <x v="0"/>
    <n v="0"/>
  </r>
  <r>
    <x v="109"/>
    <x v="0"/>
    <x v="3"/>
    <n v="17"/>
    <n v="20"/>
    <x v="17"/>
    <s v="[VDS] - Cashloan LP"/>
    <x v="0"/>
    <n v="0"/>
  </r>
  <r>
    <x v="109"/>
    <x v="0"/>
    <x v="3"/>
    <n v="17"/>
    <n v="20"/>
    <x v="18"/>
    <s v="[VDS] - Cashloan"/>
    <x v="0"/>
    <n v="0"/>
  </r>
  <r>
    <x v="109"/>
    <x v="0"/>
    <x v="3"/>
    <n v="17"/>
    <n v="20"/>
    <x v="19"/>
    <s v="[VDS] - Payday"/>
    <x v="3"/>
    <n v="11234592000"/>
  </r>
  <r>
    <x v="109"/>
    <x v="0"/>
    <x v="3"/>
    <n v="17"/>
    <n v="20"/>
    <x v="20"/>
    <s v="[VDS] - Paylater"/>
    <x v="1"/>
    <n v="168559692"/>
  </r>
  <r>
    <x v="109"/>
    <x v="0"/>
    <x v="3"/>
    <n v="17"/>
    <n v="20"/>
    <x v="21"/>
    <s v="[VDS] - Payroll Cashloan"/>
    <x v="0"/>
    <n v="72500000"/>
  </r>
  <r>
    <x v="109"/>
    <x v="0"/>
    <x v="3"/>
    <n v="17"/>
    <n v="20"/>
    <x v="22"/>
    <s v="[VDS] - Payroll Payday"/>
    <x v="3"/>
    <n v="46000000"/>
  </r>
  <r>
    <x v="109"/>
    <x v="0"/>
    <x v="3"/>
    <n v="17"/>
    <n v="20"/>
    <x v="23"/>
    <s v="[VNPAY] - Cashloan"/>
    <x v="0"/>
    <n v="840560000"/>
  </r>
  <r>
    <x v="109"/>
    <x v="0"/>
    <x v="3"/>
    <n v="17"/>
    <n v="20"/>
    <x v="24"/>
    <s v="[VNPAY] - Payday"/>
    <x v="3"/>
    <n v="337608000"/>
  </r>
  <r>
    <x v="109"/>
    <x v="0"/>
    <x v="3"/>
    <n v="17"/>
    <n v="20"/>
    <x v="25"/>
    <s v="[VNPAY] - Paylater"/>
    <x v="1"/>
    <n v="226619379"/>
  </r>
  <r>
    <x v="109"/>
    <x v="0"/>
    <x v="3"/>
    <n v="17"/>
    <n v="20"/>
    <x v="26"/>
    <s v="[ZLP] - Cashloan"/>
    <x v="0"/>
    <n v="5538620000"/>
  </r>
  <r>
    <x v="109"/>
    <x v="0"/>
    <x v="3"/>
    <n v="17"/>
    <n v="20"/>
    <x v="27"/>
    <s v="[ZLP] - Payday"/>
    <x v="3"/>
    <n v="0"/>
  </r>
  <r>
    <x v="110"/>
    <x v="0"/>
    <x v="3"/>
    <n v="17"/>
    <n v="21"/>
    <x v="0"/>
    <s v="[BE] - Cashloan"/>
    <x v="0"/>
    <n v="332570000"/>
  </r>
  <r>
    <x v="110"/>
    <x v="0"/>
    <x v="3"/>
    <n v="17"/>
    <n v="21"/>
    <x v="1"/>
    <s v="[BE] - Paylater"/>
    <x v="1"/>
    <n v="288336238"/>
  </r>
  <r>
    <x v="110"/>
    <x v="0"/>
    <x v="3"/>
    <n v="17"/>
    <n v="21"/>
    <x v="2"/>
    <s v="[Cake] - Cashloan"/>
    <x v="0"/>
    <n v="13878130000"/>
  </r>
  <r>
    <x v="110"/>
    <x v="0"/>
    <x v="3"/>
    <n v="17"/>
    <n v="21"/>
    <x v="3"/>
    <s v="[Cake] - Overdraft"/>
    <x v="2"/>
    <n v="1509161012"/>
  </r>
  <r>
    <x v="110"/>
    <x v="0"/>
    <x v="3"/>
    <n v="17"/>
    <n v="21"/>
    <x v="4"/>
    <s v="[Cake] - Payday"/>
    <x v="3"/>
    <n v="13785984000"/>
  </r>
  <r>
    <x v="110"/>
    <x v="0"/>
    <x v="3"/>
    <n v="17"/>
    <n v="21"/>
    <x v="5"/>
    <s v="[FPT] - Paylater"/>
    <x v="1"/>
    <n v="0"/>
  </r>
  <r>
    <x v="110"/>
    <x v="0"/>
    <x v="3"/>
    <n v="17"/>
    <n v="21"/>
    <x v="6"/>
    <s v="[MISA] - Cashloan"/>
    <x v="0"/>
    <n v="0"/>
  </r>
  <r>
    <x v="110"/>
    <x v="0"/>
    <x v="3"/>
    <n v="17"/>
    <n v="21"/>
    <x v="7"/>
    <s v="[MWG] - Cashloan"/>
    <x v="0"/>
    <n v="2285230000"/>
  </r>
  <r>
    <x v="110"/>
    <x v="0"/>
    <x v="3"/>
    <n v="17"/>
    <n v="21"/>
    <x v="8"/>
    <s v="[MWG] - Cashloan"/>
    <x v="0"/>
    <n v="956550000"/>
  </r>
  <r>
    <x v="110"/>
    <x v="0"/>
    <x v="3"/>
    <n v="17"/>
    <n v="21"/>
    <x v="9"/>
    <s v="[MWG] - Paylater"/>
    <x v="1"/>
    <n v="16625330"/>
  </r>
  <r>
    <x v="110"/>
    <x v="0"/>
    <x v="3"/>
    <n v="17"/>
    <n v="21"/>
    <x v="10"/>
    <s v="[MWG] - Paylater"/>
    <x v="1"/>
    <n v="944037049"/>
  </r>
  <r>
    <x v="110"/>
    <x v="0"/>
    <x v="3"/>
    <n v="17"/>
    <n v="21"/>
    <x v="11"/>
    <s v="[NGS] - Cashloan"/>
    <x v="0"/>
    <n v="0"/>
  </r>
  <r>
    <x v="110"/>
    <x v="0"/>
    <x v="3"/>
    <n v="17"/>
    <n v="21"/>
    <x v="12"/>
    <s v="[VNPOST] - Cashloan"/>
    <x v="0"/>
    <n v="51750000"/>
  </r>
  <r>
    <x v="110"/>
    <x v="0"/>
    <x v="3"/>
    <n v="17"/>
    <n v="21"/>
    <x v="13"/>
    <s v="[VNPOST] - Cashloan"/>
    <x v="0"/>
    <n v="0"/>
  </r>
  <r>
    <x v="110"/>
    <x v="0"/>
    <x v="3"/>
    <n v="17"/>
    <n v="21"/>
    <x v="14"/>
    <s v="[VDS] - Cashloan"/>
    <x v="0"/>
    <n v="17244300000"/>
  </r>
  <r>
    <x v="110"/>
    <x v="0"/>
    <x v="3"/>
    <n v="17"/>
    <n v="21"/>
    <x v="15"/>
    <s v="[VDS] - Cashloan LP"/>
    <x v="0"/>
    <n v="0"/>
  </r>
  <r>
    <x v="110"/>
    <x v="0"/>
    <x v="3"/>
    <n v="17"/>
    <n v="21"/>
    <x v="16"/>
    <s v="[VDS] - Cashloan LP"/>
    <x v="0"/>
    <n v="0"/>
  </r>
  <r>
    <x v="110"/>
    <x v="0"/>
    <x v="3"/>
    <n v="17"/>
    <n v="21"/>
    <x v="17"/>
    <s v="[VDS] - Cashloan LP"/>
    <x v="0"/>
    <n v="0"/>
  </r>
  <r>
    <x v="110"/>
    <x v="0"/>
    <x v="3"/>
    <n v="17"/>
    <n v="21"/>
    <x v="18"/>
    <s v="[VDS] - Cashloan"/>
    <x v="0"/>
    <n v="0"/>
  </r>
  <r>
    <x v="110"/>
    <x v="0"/>
    <x v="3"/>
    <n v="17"/>
    <n v="21"/>
    <x v="19"/>
    <s v="[VDS] - Payday"/>
    <x v="3"/>
    <n v="10527732000"/>
  </r>
  <r>
    <x v="110"/>
    <x v="0"/>
    <x v="3"/>
    <n v="17"/>
    <n v="21"/>
    <x v="20"/>
    <s v="[VDS] - Paylater"/>
    <x v="1"/>
    <n v="179683952"/>
  </r>
  <r>
    <x v="110"/>
    <x v="0"/>
    <x v="3"/>
    <n v="17"/>
    <n v="21"/>
    <x v="21"/>
    <s v="[VDS] - Payroll Cashloan"/>
    <x v="0"/>
    <n v="10500000"/>
  </r>
  <r>
    <x v="110"/>
    <x v="0"/>
    <x v="3"/>
    <n v="17"/>
    <n v="21"/>
    <x v="22"/>
    <s v="[VDS] - Payroll Payday"/>
    <x v="3"/>
    <n v="65000000"/>
  </r>
  <r>
    <x v="110"/>
    <x v="0"/>
    <x v="3"/>
    <n v="17"/>
    <n v="21"/>
    <x v="23"/>
    <s v="[VNPAY] - Cashloan"/>
    <x v="0"/>
    <n v="869660000"/>
  </r>
  <r>
    <x v="110"/>
    <x v="0"/>
    <x v="3"/>
    <n v="17"/>
    <n v="21"/>
    <x v="24"/>
    <s v="[VNPAY] - Payday"/>
    <x v="3"/>
    <n v="332316000"/>
  </r>
  <r>
    <x v="110"/>
    <x v="0"/>
    <x v="3"/>
    <n v="17"/>
    <n v="21"/>
    <x v="25"/>
    <s v="[VNPAY] - Paylater"/>
    <x v="1"/>
    <n v="303930939"/>
  </r>
  <r>
    <x v="110"/>
    <x v="0"/>
    <x v="3"/>
    <n v="17"/>
    <n v="21"/>
    <x v="26"/>
    <s v="[ZLP] - Cashloan"/>
    <x v="0"/>
    <n v="4818270000"/>
  </r>
  <r>
    <x v="110"/>
    <x v="0"/>
    <x v="3"/>
    <n v="17"/>
    <n v="21"/>
    <x v="27"/>
    <s v="[ZLP] - Payday"/>
    <x v="3"/>
    <n v="0"/>
  </r>
  <r>
    <x v="111"/>
    <x v="0"/>
    <x v="3"/>
    <n v="17"/>
    <n v="22"/>
    <x v="0"/>
    <s v="[BE] - Cashloan"/>
    <x v="0"/>
    <n v="243180000"/>
  </r>
  <r>
    <x v="111"/>
    <x v="0"/>
    <x v="3"/>
    <n v="17"/>
    <n v="22"/>
    <x v="1"/>
    <s v="[BE] - Paylater"/>
    <x v="1"/>
    <n v="282811198"/>
  </r>
  <r>
    <x v="111"/>
    <x v="0"/>
    <x v="3"/>
    <n v="17"/>
    <n v="22"/>
    <x v="2"/>
    <s v="[Cake] - Cashloan"/>
    <x v="0"/>
    <n v="13039630000"/>
  </r>
  <r>
    <x v="111"/>
    <x v="0"/>
    <x v="3"/>
    <n v="17"/>
    <n v="22"/>
    <x v="3"/>
    <s v="[Cake] - Overdraft"/>
    <x v="2"/>
    <n v="1483311980"/>
  </r>
  <r>
    <x v="111"/>
    <x v="0"/>
    <x v="3"/>
    <n v="17"/>
    <n v="22"/>
    <x v="4"/>
    <s v="[Cake] - Payday"/>
    <x v="3"/>
    <n v="13454964000"/>
  </r>
  <r>
    <x v="111"/>
    <x v="0"/>
    <x v="3"/>
    <n v="17"/>
    <n v="22"/>
    <x v="5"/>
    <s v="[FPT] - Paylater"/>
    <x v="1"/>
    <n v="0"/>
  </r>
  <r>
    <x v="111"/>
    <x v="0"/>
    <x v="3"/>
    <n v="17"/>
    <n v="22"/>
    <x v="6"/>
    <s v="[MISA] - Cashloan"/>
    <x v="0"/>
    <n v="0"/>
  </r>
  <r>
    <x v="111"/>
    <x v="0"/>
    <x v="3"/>
    <n v="17"/>
    <n v="22"/>
    <x v="7"/>
    <s v="[MWG] - Cashloan"/>
    <x v="0"/>
    <n v="2311780000"/>
  </r>
  <r>
    <x v="111"/>
    <x v="0"/>
    <x v="3"/>
    <n v="17"/>
    <n v="22"/>
    <x v="8"/>
    <s v="[MWG] - Cashloan"/>
    <x v="0"/>
    <n v="994270000"/>
  </r>
  <r>
    <x v="111"/>
    <x v="0"/>
    <x v="3"/>
    <n v="17"/>
    <n v="22"/>
    <x v="9"/>
    <s v="[MWG] - Paylater"/>
    <x v="1"/>
    <n v="5289000"/>
  </r>
  <r>
    <x v="111"/>
    <x v="0"/>
    <x v="3"/>
    <n v="17"/>
    <n v="22"/>
    <x v="10"/>
    <s v="[MWG] - Paylater"/>
    <x v="1"/>
    <n v="873223574"/>
  </r>
  <r>
    <x v="111"/>
    <x v="0"/>
    <x v="3"/>
    <n v="17"/>
    <n v="22"/>
    <x v="11"/>
    <s v="[NGS] - Cashloan"/>
    <x v="0"/>
    <n v="0"/>
  </r>
  <r>
    <x v="111"/>
    <x v="0"/>
    <x v="3"/>
    <n v="17"/>
    <n v="22"/>
    <x v="12"/>
    <s v="[VNPOST] - Cashloan"/>
    <x v="0"/>
    <n v="15000000"/>
  </r>
  <r>
    <x v="111"/>
    <x v="0"/>
    <x v="3"/>
    <n v="17"/>
    <n v="22"/>
    <x v="13"/>
    <s v="[VNPOST] - Cashloan"/>
    <x v="0"/>
    <n v="0"/>
  </r>
  <r>
    <x v="111"/>
    <x v="0"/>
    <x v="3"/>
    <n v="17"/>
    <n v="22"/>
    <x v="14"/>
    <s v="[VDS] - Cashloan"/>
    <x v="0"/>
    <n v="13777860000"/>
  </r>
  <r>
    <x v="111"/>
    <x v="0"/>
    <x v="3"/>
    <n v="17"/>
    <n v="22"/>
    <x v="15"/>
    <s v="[VDS] - Cashloan LP"/>
    <x v="0"/>
    <n v="0"/>
  </r>
  <r>
    <x v="111"/>
    <x v="0"/>
    <x v="3"/>
    <n v="17"/>
    <n v="22"/>
    <x v="16"/>
    <s v="[VDS] - Cashloan LP"/>
    <x v="0"/>
    <n v="0"/>
  </r>
  <r>
    <x v="111"/>
    <x v="0"/>
    <x v="3"/>
    <n v="17"/>
    <n v="22"/>
    <x v="17"/>
    <s v="[VDS] - Cashloan LP"/>
    <x v="0"/>
    <n v="0"/>
  </r>
  <r>
    <x v="111"/>
    <x v="0"/>
    <x v="3"/>
    <n v="17"/>
    <n v="22"/>
    <x v="18"/>
    <s v="[VDS] - Cashloan"/>
    <x v="0"/>
    <n v="0"/>
  </r>
  <r>
    <x v="111"/>
    <x v="0"/>
    <x v="3"/>
    <n v="17"/>
    <n v="22"/>
    <x v="19"/>
    <s v="[VDS] - Payday"/>
    <x v="3"/>
    <n v="10224036000"/>
  </r>
  <r>
    <x v="111"/>
    <x v="0"/>
    <x v="3"/>
    <n v="17"/>
    <n v="22"/>
    <x v="20"/>
    <s v="[VDS] - Paylater"/>
    <x v="1"/>
    <n v="116695203"/>
  </r>
  <r>
    <x v="111"/>
    <x v="0"/>
    <x v="3"/>
    <n v="17"/>
    <n v="22"/>
    <x v="21"/>
    <s v="[VDS] - Payroll Cashloan"/>
    <x v="0"/>
    <n v="41500000"/>
  </r>
  <r>
    <x v="111"/>
    <x v="0"/>
    <x v="3"/>
    <n v="17"/>
    <n v="22"/>
    <x v="22"/>
    <s v="[VDS] - Payroll Payday"/>
    <x v="3"/>
    <n v="69000000"/>
  </r>
  <r>
    <x v="111"/>
    <x v="0"/>
    <x v="3"/>
    <n v="17"/>
    <n v="22"/>
    <x v="23"/>
    <s v="[VNPAY] - Cashloan"/>
    <x v="0"/>
    <n v="637280000"/>
  </r>
  <r>
    <x v="111"/>
    <x v="0"/>
    <x v="3"/>
    <n v="17"/>
    <n v="22"/>
    <x v="24"/>
    <s v="[VNPAY] - Payday"/>
    <x v="3"/>
    <n v="309852000"/>
  </r>
  <r>
    <x v="111"/>
    <x v="0"/>
    <x v="3"/>
    <n v="17"/>
    <n v="22"/>
    <x v="25"/>
    <s v="[VNPAY] - Paylater"/>
    <x v="1"/>
    <n v="316000074"/>
  </r>
  <r>
    <x v="111"/>
    <x v="0"/>
    <x v="3"/>
    <n v="17"/>
    <n v="22"/>
    <x v="26"/>
    <s v="[ZLP] - Cashloan"/>
    <x v="0"/>
    <n v="5213060000"/>
  </r>
  <r>
    <x v="111"/>
    <x v="0"/>
    <x v="3"/>
    <n v="17"/>
    <n v="22"/>
    <x v="27"/>
    <s v="[ZLP] - Payday"/>
    <x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72">
  <r>
    <x v="0"/>
    <x v="0"/>
    <x v="0"/>
    <n v="1"/>
    <n v="1"/>
    <x v="0"/>
    <x v="0"/>
    <s v="payday"/>
    <n v="885500000"/>
  </r>
  <r>
    <x v="0"/>
    <x v="0"/>
    <x v="0"/>
    <n v="1"/>
    <n v="1"/>
    <x v="1"/>
    <x v="1"/>
    <s v="cashloan"/>
    <n v="63000000"/>
  </r>
  <r>
    <x v="0"/>
    <x v="0"/>
    <x v="0"/>
    <n v="1"/>
    <n v="1"/>
    <x v="2"/>
    <x v="2"/>
    <s v="cashloan"/>
    <n v="1360850000"/>
  </r>
  <r>
    <x v="0"/>
    <x v="0"/>
    <x v="0"/>
    <n v="1"/>
    <n v="1"/>
    <x v="3"/>
    <x v="3"/>
    <s v="cashloan"/>
    <n v="178500000"/>
  </r>
  <r>
    <x v="0"/>
    <x v="0"/>
    <x v="0"/>
    <n v="1"/>
    <n v="1"/>
    <x v="4"/>
    <x v="4"/>
    <n v="0"/>
    <n v="4603693408"/>
  </r>
  <r>
    <x v="0"/>
    <x v="0"/>
    <x v="0"/>
    <n v="1"/>
    <n v="1"/>
    <x v="5"/>
    <x v="5"/>
    <s v="overdraft"/>
    <n v="2100843408"/>
  </r>
  <r>
    <x v="0"/>
    <x v="0"/>
    <x v="0"/>
    <n v="1"/>
    <n v="1"/>
    <x v="6"/>
    <x v="6"/>
    <s v="payday"/>
    <n v="15000000"/>
  </r>
  <r>
    <x v="1"/>
    <x v="0"/>
    <x v="0"/>
    <n v="1"/>
    <n v="2"/>
    <x v="3"/>
    <x v="3"/>
    <s v="cashloan"/>
    <n v="555450000"/>
  </r>
  <r>
    <x v="1"/>
    <x v="0"/>
    <x v="0"/>
    <n v="1"/>
    <n v="2"/>
    <x v="5"/>
    <x v="5"/>
    <s v="overdraft"/>
    <n v="2821136978"/>
  </r>
  <r>
    <x v="1"/>
    <x v="0"/>
    <x v="0"/>
    <n v="1"/>
    <n v="2"/>
    <x v="0"/>
    <x v="0"/>
    <s v="payday"/>
    <n v="1403000000"/>
  </r>
  <r>
    <x v="1"/>
    <x v="0"/>
    <x v="0"/>
    <n v="1"/>
    <n v="2"/>
    <x v="1"/>
    <x v="1"/>
    <s v="cashloan"/>
    <n v="63000000"/>
  </r>
  <r>
    <x v="1"/>
    <x v="0"/>
    <x v="0"/>
    <n v="1"/>
    <n v="2"/>
    <x v="2"/>
    <x v="2"/>
    <s v="cashloan"/>
    <n v="3798050000"/>
  </r>
  <r>
    <x v="1"/>
    <x v="0"/>
    <x v="0"/>
    <n v="1"/>
    <n v="2"/>
    <x v="4"/>
    <x v="4"/>
    <n v="0"/>
    <n v="8648636978"/>
  </r>
  <r>
    <x v="1"/>
    <x v="0"/>
    <x v="0"/>
    <n v="1"/>
    <n v="2"/>
    <x v="6"/>
    <x v="6"/>
    <s v="payday"/>
    <n v="8000000"/>
  </r>
  <r>
    <x v="2"/>
    <x v="0"/>
    <x v="0"/>
    <n v="1"/>
    <n v="3"/>
    <x v="4"/>
    <x v="4"/>
    <n v="0"/>
    <n v="8212311764"/>
  </r>
  <r>
    <x v="2"/>
    <x v="0"/>
    <x v="0"/>
    <n v="1"/>
    <n v="3"/>
    <x v="0"/>
    <x v="0"/>
    <s v="payday"/>
    <n v="1471500000"/>
  </r>
  <r>
    <x v="2"/>
    <x v="0"/>
    <x v="0"/>
    <n v="1"/>
    <n v="3"/>
    <x v="5"/>
    <x v="5"/>
    <s v="overdraft"/>
    <n v="2702011764"/>
  </r>
  <r>
    <x v="2"/>
    <x v="0"/>
    <x v="0"/>
    <n v="1"/>
    <n v="3"/>
    <x v="3"/>
    <x v="3"/>
    <s v="cashloan"/>
    <n v="369600000"/>
  </r>
  <r>
    <x v="2"/>
    <x v="0"/>
    <x v="0"/>
    <n v="1"/>
    <n v="3"/>
    <x v="1"/>
    <x v="1"/>
    <s v="cashloan"/>
    <n v="51500000"/>
  </r>
  <r>
    <x v="2"/>
    <x v="0"/>
    <x v="0"/>
    <n v="1"/>
    <n v="3"/>
    <x v="6"/>
    <x v="6"/>
    <s v="payday"/>
    <n v="5000000"/>
  </r>
  <r>
    <x v="2"/>
    <x v="0"/>
    <x v="0"/>
    <n v="1"/>
    <n v="3"/>
    <x v="2"/>
    <x v="2"/>
    <s v="cashloan"/>
    <n v="3612700000"/>
  </r>
  <r>
    <x v="3"/>
    <x v="0"/>
    <x v="0"/>
    <n v="1"/>
    <n v="4"/>
    <x v="4"/>
    <x v="4"/>
    <n v="0"/>
    <n v="8026608163"/>
  </r>
  <r>
    <x v="3"/>
    <x v="0"/>
    <x v="0"/>
    <n v="1"/>
    <n v="4"/>
    <x v="1"/>
    <x v="1"/>
    <s v="cashloan"/>
    <n v="0"/>
  </r>
  <r>
    <x v="3"/>
    <x v="0"/>
    <x v="0"/>
    <n v="1"/>
    <n v="4"/>
    <x v="3"/>
    <x v="3"/>
    <s v="cashloan"/>
    <n v="140750000"/>
  </r>
  <r>
    <x v="3"/>
    <x v="0"/>
    <x v="0"/>
    <n v="1"/>
    <n v="4"/>
    <x v="5"/>
    <x v="5"/>
    <s v="overdraft"/>
    <n v="2723808163"/>
  </r>
  <r>
    <x v="3"/>
    <x v="0"/>
    <x v="0"/>
    <n v="1"/>
    <n v="4"/>
    <x v="6"/>
    <x v="6"/>
    <s v="payday"/>
    <n v="0"/>
  </r>
  <r>
    <x v="3"/>
    <x v="0"/>
    <x v="0"/>
    <n v="1"/>
    <n v="4"/>
    <x v="0"/>
    <x v="0"/>
    <s v="payday"/>
    <n v="1522000000"/>
  </r>
  <r>
    <x v="3"/>
    <x v="0"/>
    <x v="0"/>
    <n v="1"/>
    <n v="4"/>
    <x v="2"/>
    <x v="2"/>
    <s v="cashloan"/>
    <n v="3640050000"/>
  </r>
  <r>
    <x v="4"/>
    <x v="0"/>
    <x v="0"/>
    <n v="1"/>
    <n v="5"/>
    <x v="1"/>
    <x v="1"/>
    <s v="cashloan"/>
    <n v="134450000"/>
  </r>
  <r>
    <x v="4"/>
    <x v="0"/>
    <x v="0"/>
    <n v="1"/>
    <n v="5"/>
    <x v="3"/>
    <x v="3"/>
    <s v="cashloan"/>
    <n v="162750000"/>
  </r>
  <r>
    <x v="4"/>
    <x v="0"/>
    <x v="0"/>
    <n v="1"/>
    <n v="5"/>
    <x v="5"/>
    <x v="5"/>
    <s v="overdraft"/>
    <n v="2399718960"/>
  </r>
  <r>
    <x v="4"/>
    <x v="0"/>
    <x v="0"/>
    <n v="1"/>
    <n v="5"/>
    <x v="6"/>
    <x v="6"/>
    <s v="payday"/>
    <n v="37000000"/>
  </r>
  <r>
    <x v="4"/>
    <x v="0"/>
    <x v="0"/>
    <n v="1"/>
    <n v="5"/>
    <x v="0"/>
    <x v="0"/>
    <s v="payday"/>
    <n v="634500000"/>
  </r>
  <r>
    <x v="4"/>
    <x v="0"/>
    <x v="0"/>
    <n v="1"/>
    <n v="5"/>
    <x v="2"/>
    <x v="2"/>
    <s v="cashloan"/>
    <n v="3216250000"/>
  </r>
  <r>
    <x v="4"/>
    <x v="0"/>
    <x v="0"/>
    <n v="1"/>
    <n v="5"/>
    <x v="4"/>
    <x v="4"/>
    <n v="0"/>
    <n v="6584668960"/>
  </r>
  <r>
    <x v="5"/>
    <x v="0"/>
    <x v="0"/>
    <n v="1"/>
    <n v="6"/>
    <x v="5"/>
    <x v="5"/>
    <s v="overdraft"/>
    <n v="1875629049"/>
  </r>
  <r>
    <x v="5"/>
    <x v="0"/>
    <x v="0"/>
    <n v="1"/>
    <n v="6"/>
    <x v="1"/>
    <x v="1"/>
    <s v="cashloan"/>
    <n v="21000000"/>
  </r>
  <r>
    <x v="5"/>
    <x v="0"/>
    <x v="0"/>
    <n v="1"/>
    <n v="6"/>
    <x v="6"/>
    <x v="6"/>
    <s v="payday"/>
    <n v="12000000"/>
  </r>
  <r>
    <x v="5"/>
    <x v="0"/>
    <x v="0"/>
    <n v="1"/>
    <n v="6"/>
    <x v="4"/>
    <x v="4"/>
    <n v="0"/>
    <n v="6253329049"/>
  </r>
  <r>
    <x v="5"/>
    <x v="0"/>
    <x v="0"/>
    <n v="1"/>
    <n v="6"/>
    <x v="0"/>
    <x v="0"/>
    <s v="payday"/>
    <n v="1726500000"/>
  </r>
  <r>
    <x v="5"/>
    <x v="0"/>
    <x v="0"/>
    <n v="1"/>
    <n v="6"/>
    <x v="2"/>
    <x v="2"/>
    <s v="cashloan"/>
    <n v="2544700000"/>
  </r>
  <r>
    <x v="5"/>
    <x v="0"/>
    <x v="0"/>
    <n v="1"/>
    <n v="6"/>
    <x v="3"/>
    <x v="3"/>
    <s v="cashloan"/>
    <n v="73500000"/>
  </r>
  <r>
    <x v="6"/>
    <x v="0"/>
    <x v="0"/>
    <n v="1"/>
    <n v="7"/>
    <x v="3"/>
    <x v="3"/>
    <s v="cashloan"/>
    <n v="168000000"/>
  </r>
  <r>
    <x v="6"/>
    <x v="0"/>
    <x v="0"/>
    <n v="1"/>
    <n v="7"/>
    <x v="1"/>
    <x v="1"/>
    <s v="cashloan"/>
    <n v="29400000"/>
  </r>
  <r>
    <x v="6"/>
    <x v="0"/>
    <x v="0"/>
    <n v="1"/>
    <n v="7"/>
    <x v="2"/>
    <x v="2"/>
    <s v="cashloan"/>
    <n v="2609450000"/>
  </r>
  <r>
    <x v="6"/>
    <x v="0"/>
    <x v="0"/>
    <n v="1"/>
    <n v="7"/>
    <x v="4"/>
    <x v="4"/>
    <n v="0"/>
    <n v="5667284937"/>
  </r>
  <r>
    <x v="6"/>
    <x v="0"/>
    <x v="0"/>
    <n v="1"/>
    <n v="7"/>
    <x v="0"/>
    <x v="0"/>
    <s v="payday"/>
    <n v="1258500000"/>
  </r>
  <r>
    <x v="6"/>
    <x v="0"/>
    <x v="0"/>
    <n v="1"/>
    <n v="7"/>
    <x v="5"/>
    <x v="5"/>
    <s v="overdraft"/>
    <n v="1568934937"/>
  </r>
  <r>
    <x v="6"/>
    <x v="0"/>
    <x v="0"/>
    <n v="1"/>
    <n v="7"/>
    <x v="6"/>
    <x v="6"/>
    <s v="payday"/>
    <n v="33000000"/>
  </r>
  <r>
    <x v="7"/>
    <x v="0"/>
    <x v="0"/>
    <n v="2"/>
    <n v="8"/>
    <x v="0"/>
    <x v="0"/>
    <s v="payday"/>
    <n v="1285000000"/>
  </r>
  <r>
    <x v="7"/>
    <x v="0"/>
    <x v="0"/>
    <n v="2"/>
    <n v="8"/>
    <x v="4"/>
    <x v="4"/>
    <n v="0"/>
    <n v="8024473205"/>
  </r>
  <r>
    <x v="7"/>
    <x v="0"/>
    <x v="0"/>
    <n v="2"/>
    <n v="8"/>
    <x v="1"/>
    <x v="1"/>
    <s v="cashloan"/>
    <n v="15750000"/>
  </r>
  <r>
    <x v="7"/>
    <x v="0"/>
    <x v="0"/>
    <n v="2"/>
    <n v="8"/>
    <x v="2"/>
    <x v="2"/>
    <s v="cashloan"/>
    <n v="4071250000"/>
  </r>
  <r>
    <x v="7"/>
    <x v="0"/>
    <x v="0"/>
    <n v="2"/>
    <n v="8"/>
    <x v="6"/>
    <x v="6"/>
    <s v="payday"/>
    <n v="36000000"/>
  </r>
  <r>
    <x v="7"/>
    <x v="0"/>
    <x v="0"/>
    <n v="2"/>
    <n v="8"/>
    <x v="3"/>
    <x v="3"/>
    <s v="cashloan"/>
    <n v="217350000"/>
  </r>
  <r>
    <x v="7"/>
    <x v="0"/>
    <x v="0"/>
    <n v="2"/>
    <n v="8"/>
    <x v="5"/>
    <x v="5"/>
    <s v="overdraft"/>
    <n v="2399123205"/>
  </r>
  <r>
    <x v="8"/>
    <x v="0"/>
    <x v="0"/>
    <n v="2"/>
    <n v="9"/>
    <x v="4"/>
    <x v="4"/>
    <n v="0"/>
    <n v="7322937922"/>
  </r>
  <r>
    <x v="8"/>
    <x v="0"/>
    <x v="0"/>
    <n v="2"/>
    <n v="9"/>
    <x v="6"/>
    <x v="6"/>
    <s v="payday"/>
    <n v="4000000"/>
  </r>
  <r>
    <x v="8"/>
    <x v="0"/>
    <x v="0"/>
    <n v="2"/>
    <n v="9"/>
    <x v="2"/>
    <x v="2"/>
    <s v="cashloan"/>
    <n v="3581800000"/>
  </r>
  <r>
    <x v="8"/>
    <x v="0"/>
    <x v="0"/>
    <n v="2"/>
    <n v="9"/>
    <x v="5"/>
    <x v="5"/>
    <s v="overdraft"/>
    <n v="2129037922"/>
  </r>
  <r>
    <x v="8"/>
    <x v="0"/>
    <x v="0"/>
    <n v="2"/>
    <n v="9"/>
    <x v="0"/>
    <x v="0"/>
    <s v="payday"/>
    <n v="1260500000"/>
  </r>
  <r>
    <x v="8"/>
    <x v="0"/>
    <x v="0"/>
    <n v="2"/>
    <n v="9"/>
    <x v="1"/>
    <x v="1"/>
    <s v="cashloan"/>
    <n v="63050000"/>
  </r>
  <r>
    <x v="8"/>
    <x v="0"/>
    <x v="0"/>
    <n v="2"/>
    <n v="9"/>
    <x v="3"/>
    <x v="3"/>
    <s v="cashloan"/>
    <n v="284550000"/>
  </r>
  <r>
    <x v="9"/>
    <x v="0"/>
    <x v="0"/>
    <n v="2"/>
    <n v="10"/>
    <x v="3"/>
    <x v="3"/>
    <s v="cashloan"/>
    <n v="339150000"/>
  </r>
  <r>
    <x v="9"/>
    <x v="0"/>
    <x v="0"/>
    <n v="2"/>
    <n v="10"/>
    <x v="0"/>
    <x v="0"/>
    <s v="payday"/>
    <n v="1513500000"/>
  </r>
  <r>
    <x v="9"/>
    <x v="0"/>
    <x v="0"/>
    <n v="2"/>
    <n v="10"/>
    <x v="1"/>
    <x v="1"/>
    <s v="cashloan"/>
    <n v="0"/>
  </r>
  <r>
    <x v="9"/>
    <x v="0"/>
    <x v="0"/>
    <n v="2"/>
    <n v="10"/>
    <x v="2"/>
    <x v="2"/>
    <s v="cashloan"/>
    <n v="3518400000"/>
  </r>
  <r>
    <x v="9"/>
    <x v="0"/>
    <x v="0"/>
    <n v="2"/>
    <n v="10"/>
    <x v="5"/>
    <x v="5"/>
    <s v="overdraft"/>
    <n v="2300205804"/>
  </r>
  <r>
    <x v="9"/>
    <x v="0"/>
    <x v="0"/>
    <n v="2"/>
    <n v="10"/>
    <x v="4"/>
    <x v="4"/>
    <n v="0"/>
    <n v="7703255804"/>
  </r>
  <r>
    <x v="9"/>
    <x v="0"/>
    <x v="0"/>
    <n v="2"/>
    <n v="10"/>
    <x v="6"/>
    <x v="6"/>
    <s v="payday"/>
    <n v="32000000"/>
  </r>
  <r>
    <x v="10"/>
    <x v="0"/>
    <x v="0"/>
    <n v="2"/>
    <n v="11"/>
    <x v="4"/>
    <x v="4"/>
    <n v="0"/>
    <n v="6113037614"/>
  </r>
  <r>
    <x v="10"/>
    <x v="0"/>
    <x v="0"/>
    <n v="2"/>
    <n v="11"/>
    <x v="2"/>
    <x v="2"/>
    <s v="cashloan"/>
    <n v="2634900000"/>
  </r>
  <r>
    <x v="10"/>
    <x v="0"/>
    <x v="0"/>
    <n v="2"/>
    <n v="11"/>
    <x v="5"/>
    <x v="5"/>
    <s v="overdraft"/>
    <n v="1751887614"/>
  </r>
  <r>
    <x v="10"/>
    <x v="0"/>
    <x v="0"/>
    <n v="2"/>
    <n v="11"/>
    <x v="0"/>
    <x v="0"/>
    <s v="payday"/>
    <n v="1433000000"/>
  </r>
  <r>
    <x v="10"/>
    <x v="0"/>
    <x v="0"/>
    <n v="2"/>
    <n v="11"/>
    <x v="3"/>
    <x v="3"/>
    <s v="cashloan"/>
    <n v="257250000"/>
  </r>
  <r>
    <x v="10"/>
    <x v="0"/>
    <x v="0"/>
    <n v="2"/>
    <n v="11"/>
    <x v="1"/>
    <x v="1"/>
    <s v="cashloan"/>
    <n v="21000000"/>
  </r>
  <r>
    <x v="10"/>
    <x v="0"/>
    <x v="0"/>
    <n v="2"/>
    <n v="11"/>
    <x v="6"/>
    <x v="6"/>
    <s v="payday"/>
    <n v="15000000"/>
  </r>
  <r>
    <x v="11"/>
    <x v="0"/>
    <x v="0"/>
    <n v="2"/>
    <n v="12"/>
    <x v="3"/>
    <x v="3"/>
    <s v="cashloan"/>
    <n v="264600000"/>
  </r>
  <r>
    <x v="11"/>
    <x v="0"/>
    <x v="0"/>
    <n v="2"/>
    <n v="12"/>
    <x v="4"/>
    <x v="4"/>
    <n v="0"/>
    <n v="7160082244"/>
  </r>
  <r>
    <x v="11"/>
    <x v="0"/>
    <x v="0"/>
    <n v="2"/>
    <n v="12"/>
    <x v="6"/>
    <x v="6"/>
    <s v="payday"/>
    <n v="38000000"/>
  </r>
  <r>
    <x v="11"/>
    <x v="0"/>
    <x v="0"/>
    <n v="2"/>
    <n v="12"/>
    <x v="5"/>
    <x v="5"/>
    <s v="overdraft"/>
    <n v="2059682244"/>
  </r>
  <r>
    <x v="11"/>
    <x v="0"/>
    <x v="0"/>
    <n v="2"/>
    <n v="12"/>
    <x v="0"/>
    <x v="0"/>
    <s v="payday"/>
    <n v="1726500000"/>
  </r>
  <r>
    <x v="11"/>
    <x v="0"/>
    <x v="0"/>
    <n v="2"/>
    <n v="12"/>
    <x v="1"/>
    <x v="1"/>
    <s v="cashloan"/>
    <n v="52500000"/>
  </r>
  <r>
    <x v="11"/>
    <x v="0"/>
    <x v="0"/>
    <n v="2"/>
    <n v="12"/>
    <x v="2"/>
    <x v="2"/>
    <s v="cashloan"/>
    <n v="3018800000"/>
  </r>
  <r>
    <x v="12"/>
    <x v="0"/>
    <x v="0"/>
    <n v="2"/>
    <n v="13"/>
    <x v="5"/>
    <x v="5"/>
    <s v="overdraft"/>
    <n v="1692046747"/>
  </r>
  <r>
    <x v="12"/>
    <x v="0"/>
    <x v="0"/>
    <n v="2"/>
    <n v="13"/>
    <x v="0"/>
    <x v="0"/>
    <s v="payday"/>
    <n v="1379500000"/>
  </r>
  <r>
    <x v="12"/>
    <x v="0"/>
    <x v="0"/>
    <n v="2"/>
    <n v="13"/>
    <x v="6"/>
    <x v="6"/>
    <s v="payday"/>
    <n v="29000000"/>
  </r>
  <r>
    <x v="12"/>
    <x v="0"/>
    <x v="0"/>
    <n v="2"/>
    <n v="13"/>
    <x v="3"/>
    <x v="3"/>
    <s v="cashloan"/>
    <n v="430650000"/>
  </r>
  <r>
    <x v="12"/>
    <x v="0"/>
    <x v="0"/>
    <n v="2"/>
    <n v="13"/>
    <x v="1"/>
    <x v="1"/>
    <s v="cashloan"/>
    <n v="21000000"/>
  </r>
  <r>
    <x v="12"/>
    <x v="0"/>
    <x v="0"/>
    <n v="2"/>
    <n v="13"/>
    <x v="4"/>
    <x v="4"/>
    <n v="0"/>
    <n v="6169996747"/>
  </r>
  <r>
    <x v="12"/>
    <x v="0"/>
    <x v="0"/>
    <n v="2"/>
    <n v="13"/>
    <x v="2"/>
    <x v="2"/>
    <s v="cashloan"/>
    <n v="2617800000"/>
  </r>
  <r>
    <x v="13"/>
    <x v="0"/>
    <x v="0"/>
    <n v="2"/>
    <n v="14"/>
    <x v="2"/>
    <x v="2"/>
    <s v="cashloan"/>
    <n v="1710100000"/>
  </r>
  <r>
    <x v="13"/>
    <x v="0"/>
    <x v="0"/>
    <n v="2"/>
    <n v="14"/>
    <x v="1"/>
    <x v="1"/>
    <s v="cashloan"/>
    <n v="21000000"/>
  </r>
  <r>
    <x v="13"/>
    <x v="0"/>
    <x v="0"/>
    <n v="2"/>
    <n v="14"/>
    <x v="3"/>
    <x v="3"/>
    <s v="cashloan"/>
    <n v="275100000"/>
  </r>
  <r>
    <x v="13"/>
    <x v="0"/>
    <x v="0"/>
    <n v="2"/>
    <n v="14"/>
    <x v="0"/>
    <x v="0"/>
    <s v="payday"/>
    <n v="1399000000"/>
  </r>
  <r>
    <x v="13"/>
    <x v="0"/>
    <x v="0"/>
    <n v="2"/>
    <n v="14"/>
    <x v="5"/>
    <x v="5"/>
    <s v="overdraft"/>
    <n v="1611265412"/>
  </r>
  <r>
    <x v="13"/>
    <x v="0"/>
    <x v="0"/>
    <n v="2"/>
    <n v="14"/>
    <x v="4"/>
    <x v="4"/>
    <n v="0"/>
    <n v="5024465412"/>
  </r>
  <r>
    <x v="13"/>
    <x v="0"/>
    <x v="0"/>
    <n v="2"/>
    <n v="14"/>
    <x v="6"/>
    <x v="6"/>
    <s v="payday"/>
    <n v="8000000"/>
  </r>
  <r>
    <x v="14"/>
    <x v="0"/>
    <x v="0"/>
    <n v="3"/>
    <n v="15"/>
    <x v="4"/>
    <x v="4"/>
    <n v="0"/>
    <n v="7566861477"/>
  </r>
  <r>
    <x v="14"/>
    <x v="0"/>
    <x v="0"/>
    <n v="3"/>
    <n v="15"/>
    <x v="6"/>
    <x v="6"/>
    <s v="payday"/>
    <n v="5000000"/>
  </r>
  <r>
    <x v="14"/>
    <x v="0"/>
    <x v="0"/>
    <n v="3"/>
    <n v="15"/>
    <x v="3"/>
    <x v="3"/>
    <s v="cashloan"/>
    <n v="268800000"/>
  </r>
  <r>
    <x v="14"/>
    <x v="0"/>
    <x v="0"/>
    <n v="3"/>
    <n v="15"/>
    <x v="2"/>
    <x v="2"/>
    <s v="cashloan"/>
    <n v="2940100000"/>
  </r>
  <r>
    <x v="14"/>
    <x v="0"/>
    <x v="0"/>
    <n v="3"/>
    <n v="15"/>
    <x v="1"/>
    <x v="1"/>
    <s v="cashloan"/>
    <n v="26250000"/>
  </r>
  <r>
    <x v="14"/>
    <x v="0"/>
    <x v="0"/>
    <n v="3"/>
    <n v="15"/>
    <x v="0"/>
    <x v="0"/>
    <s v="payday"/>
    <n v="1800500000"/>
  </r>
  <r>
    <x v="14"/>
    <x v="0"/>
    <x v="0"/>
    <n v="3"/>
    <n v="15"/>
    <x v="5"/>
    <x v="5"/>
    <s v="overdraft"/>
    <n v="2526211477"/>
  </r>
  <r>
    <x v="15"/>
    <x v="0"/>
    <x v="0"/>
    <n v="3"/>
    <n v="16"/>
    <x v="2"/>
    <x v="2"/>
    <s v="cashloan"/>
    <n v="2519250000"/>
  </r>
  <r>
    <x v="15"/>
    <x v="0"/>
    <x v="0"/>
    <n v="3"/>
    <n v="16"/>
    <x v="3"/>
    <x v="3"/>
    <s v="cashloan"/>
    <n v="576450000"/>
  </r>
  <r>
    <x v="15"/>
    <x v="0"/>
    <x v="0"/>
    <n v="3"/>
    <n v="16"/>
    <x v="5"/>
    <x v="5"/>
    <s v="overdraft"/>
    <n v="1820445407"/>
  </r>
  <r>
    <x v="15"/>
    <x v="0"/>
    <x v="0"/>
    <n v="3"/>
    <n v="16"/>
    <x v="0"/>
    <x v="0"/>
    <s v="payday"/>
    <n v="1430000000"/>
  </r>
  <r>
    <x v="15"/>
    <x v="0"/>
    <x v="0"/>
    <n v="3"/>
    <n v="16"/>
    <x v="4"/>
    <x v="4"/>
    <n v="0"/>
    <n v="6412345407"/>
  </r>
  <r>
    <x v="15"/>
    <x v="0"/>
    <x v="0"/>
    <n v="3"/>
    <n v="16"/>
    <x v="6"/>
    <x v="6"/>
    <s v="payday"/>
    <n v="0"/>
  </r>
  <r>
    <x v="15"/>
    <x v="0"/>
    <x v="0"/>
    <n v="3"/>
    <n v="16"/>
    <x v="1"/>
    <x v="1"/>
    <s v="cashloan"/>
    <n v="66200000"/>
  </r>
  <r>
    <x v="16"/>
    <x v="0"/>
    <x v="0"/>
    <n v="3"/>
    <n v="17"/>
    <x v="5"/>
    <x v="5"/>
    <s v="overdraft"/>
    <n v="2051206656"/>
  </r>
  <r>
    <x v="16"/>
    <x v="0"/>
    <x v="0"/>
    <n v="3"/>
    <n v="17"/>
    <x v="3"/>
    <x v="3"/>
    <s v="cashloan"/>
    <n v="475750000"/>
  </r>
  <r>
    <x v="16"/>
    <x v="0"/>
    <x v="0"/>
    <n v="3"/>
    <n v="17"/>
    <x v="6"/>
    <x v="6"/>
    <s v="payday"/>
    <n v="8000000"/>
  </r>
  <r>
    <x v="16"/>
    <x v="0"/>
    <x v="0"/>
    <n v="3"/>
    <n v="17"/>
    <x v="0"/>
    <x v="0"/>
    <s v="payday"/>
    <n v="1516000000"/>
  </r>
  <r>
    <x v="16"/>
    <x v="0"/>
    <x v="0"/>
    <n v="3"/>
    <n v="17"/>
    <x v="1"/>
    <x v="1"/>
    <s v="cashloan"/>
    <n v="42000000"/>
  </r>
  <r>
    <x v="16"/>
    <x v="0"/>
    <x v="0"/>
    <n v="3"/>
    <n v="17"/>
    <x v="4"/>
    <x v="4"/>
    <n v="0"/>
    <n v="6570656656"/>
  </r>
  <r>
    <x v="16"/>
    <x v="0"/>
    <x v="0"/>
    <n v="3"/>
    <n v="17"/>
    <x v="2"/>
    <x v="2"/>
    <s v="cashloan"/>
    <n v="2477700000"/>
  </r>
  <r>
    <x v="17"/>
    <x v="0"/>
    <x v="0"/>
    <n v="3"/>
    <n v="18"/>
    <x v="3"/>
    <x v="3"/>
    <s v="cashloan"/>
    <n v="380700000"/>
  </r>
  <r>
    <x v="17"/>
    <x v="0"/>
    <x v="0"/>
    <n v="3"/>
    <n v="18"/>
    <x v="5"/>
    <x v="5"/>
    <s v="overdraft"/>
    <n v="1597780747"/>
  </r>
  <r>
    <x v="17"/>
    <x v="0"/>
    <x v="0"/>
    <n v="3"/>
    <n v="18"/>
    <x v="2"/>
    <x v="2"/>
    <s v="cashloan"/>
    <n v="2851550000"/>
  </r>
  <r>
    <x v="17"/>
    <x v="0"/>
    <x v="0"/>
    <n v="3"/>
    <n v="18"/>
    <x v="6"/>
    <x v="6"/>
    <s v="payday"/>
    <n v="22000000"/>
  </r>
  <r>
    <x v="17"/>
    <x v="0"/>
    <x v="0"/>
    <n v="3"/>
    <n v="18"/>
    <x v="1"/>
    <x v="1"/>
    <s v="cashloan"/>
    <n v="94500000"/>
  </r>
  <r>
    <x v="17"/>
    <x v="0"/>
    <x v="0"/>
    <n v="3"/>
    <n v="18"/>
    <x v="0"/>
    <x v="0"/>
    <s v="payday"/>
    <n v="1574000000"/>
  </r>
  <r>
    <x v="17"/>
    <x v="0"/>
    <x v="0"/>
    <n v="3"/>
    <n v="18"/>
    <x v="4"/>
    <x v="4"/>
    <n v="0"/>
    <n v="6520530747"/>
  </r>
  <r>
    <x v="18"/>
    <x v="0"/>
    <x v="0"/>
    <n v="3"/>
    <n v="19"/>
    <x v="1"/>
    <x v="1"/>
    <s v="cashloan"/>
    <n v="0"/>
  </r>
  <r>
    <x v="18"/>
    <x v="0"/>
    <x v="0"/>
    <n v="3"/>
    <n v="19"/>
    <x v="4"/>
    <x v="4"/>
    <n v="0"/>
    <n v="6898819560"/>
  </r>
  <r>
    <x v="18"/>
    <x v="0"/>
    <x v="0"/>
    <n v="3"/>
    <n v="19"/>
    <x v="6"/>
    <x v="6"/>
    <s v="payday"/>
    <n v="0"/>
  </r>
  <r>
    <x v="18"/>
    <x v="0"/>
    <x v="0"/>
    <n v="3"/>
    <n v="19"/>
    <x v="3"/>
    <x v="3"/>
    <s v="cashloan"/>
    <n v="446250000"/>
  </r>
  <r>
    <x v="18"/>
    <x v="0"/>
    <x v="0"/>
    <n v="3"/>
    <n v="19"/>
    <x v="0"/>
    <x v="0"/>
    <s v="payday"/>
    <n v="1724500000"/>
  </r>
  <r>
    <x v="18"/>
    <x v="0"/>
    <x v="0"/>
    <n v="3"/>
    <n v="19"/>
    <x v="2"/>
    <x v="2"/>
    <s v="cashloan"/>
    <n v="2787000000"/>
  </r>
  <r>
    <x v="18"/>
    <x v="0"/>
    <x v="0"/>
    <n v="3"/>
    <n v="19"/>
    <x v="5"/>
    <x v="5"/>
    <s v="overdraft"/>
    <n v="1941069560"/>
  </r>
  <r>
    <x v="19"/>
    <x v="0"/>
    <x v="0"/>
    <n v="3"/>
    <n v="20"/>
    <x v="1"/>
    <x v="1"/>
    <s v="cashloan"/>
    <n v="0"/>
  </r>
  <r>
    <x v="19"/>
    <x v="0"/>
    <x v="0"/>
    <n v="3"/>
    <n v="20"/>
    <x v="6"/>
    <x v="6"/>
    <s v="payday"/>
    <n v="10000000"/>
  </r>
  <r>
    <x v="19"/>
    <x v="0"/>
    <x v="0"/>
    <n v="3"/>
    <n v="20"/>
    <x v="3"/>
    <x v="3"/>
    <s v="cashloan"/>
    <n v="289800000"/>
  </r>
  <r>
    <x v="19"/>
    <x v="0"/>
    <x v="0"/>
    <n v="3"/>
    <n v="20"/>
    <x v="2"/>
    <x v="2"/>
    <s v="cashloan"/>
    <n v="1925950000"/>
  </r>
  <r>
    <x v="19"/>
    <x v="0"/>
    <x v="0"/>
    <n v="3"/>
    <n v="20"/>
    <x v="5"/>
    <x v="5"/>
    <s v="overdraft"/>
    <n v="1581446021"/>
  </r>
  <r>
    <x v="19"/>
    <x v="0"/>
    <x v="0"/>
    <n v="3"/>
    <n v="20"/>
    <x v="4"/>
    <x v="4"/>
    <n v="0"/>
    <n v="5289696021"/>
  </r>
  <r>
    <x v="19"/>
    <x v="0"/>
    <x v="0"/>
    <n v="3"/>
    <n v="20"/>
    <x v="0"/>
    <x v="0"/>
    <s v="payday"/>
    <n v="1482500000"/>
  </r>
  <r>
    <x v="20"/>
    <x v="0"/>
    <x v="0"/>
    <n v="3"/>
    <n v="21"/>
    <x v="3"/>
    <x v="3"/>
    <s v="cashloan"/>
    <n v="316050000"/>
  </r>
  <r>
    <x v="20"/>
    <x v="0"/>
    <x v="0"/>
    <n v="3"/>
    <n v="21"/>
    <x v="6"/>
    <x v="6"/>
    <s v="payday"/>
    <n v="15000000"/>
  </r>
  <r>
    <x v="20"/>
    <x v="0"/>
    <x v="0"/>
    <n v="3"/>
    <n v="21"/>
    <x v="2"/>
    <x v="2"/>
    <s v="cashloan"/>
    <n v="1615700000"/>
  </r>
  <r>
    <x v="20"/>
    <x v="0"/>
    <x v="0"/>
    <n v="3"/>
    <n v="21"/>
    <x v="4"/>
    <x v="4"/>
    <n v="0"/>
    <n v="5137674543"/>
  </r>
  <r>
    <x v="20"/>
    <x v="0"/>
    <x v="0"/>
    <n v="3"/>
    <n v="21"/>
    <x v="1"/>
    <x v="1"/>
    <s v="cashloan"/>
    <n v="58800000"/>
  </r>
  <r>
    <x v="20"/>
    <x v="0"/>
    <x v="0"/>
    <n v="3"/>
    <n v="21"/>
    <x v="0"/>
    <x v="0"/>
    <s v="payday"/>
    <n v="1439000000"/>
  </r>
  <r>
    <x v="20"/>
    <x v="0"/>
    <x v="0"/>
    <n v="3"/>
    <n v="21"/>
    <x v="5"/>
    <x v="5"/>
    <s v="overdraft"/>
    <n v="1693124543"/>
  </r>
  <r>
    <x v="21"/>
    <x v="0"/>
    <x v="0"/>
    <n v="4"/>
    <n v="22"/>
    <x v="4"/>
    <x v="4"/>
    <n v="0"/>
    <n v="6554511705"/>
  </r>
  <r>
    <x v="21"/>
    <x v="0"/>
    <x v="0"/>
    <n v="4"/>
    <n v="22"/>
    <x v="3"/>
    <x v="3"/>
    <s v="cashloan"/>
    <n v="153300000"/>
  </r>
  <r>
    <x v="21"/>
    <x v="0"/>
    <x v="0"/>
    <n v="4"/>
    <n v="22"/>
    <x v="2"/>
    <x v="2"/>
    <s v="cashloan"/>
    <n v="2636150000"/>
  </r>
  <r>
    <x v="21"/>
    <x v="0"/>
    <x v="0"/>
    <n v="4"/>
    <n v="22"/>
    <x v="6"/>
    <x v="6"/>
    <s v="payday"/>
    <n v="20000000"/>
  </r>
  <r>
    <x v="21"/>
    <x v="0"/>
    <x v="0"/>
    <n v="4"/>
    <n v="22"/>
    <x v="0"/>
    <x v="0"/>
    <s v="payday"/>
    <n v="1575000000"/>
  </r>
  <r>
    <x v="21"/>
    <x v="0"/>
    <x v="0"/>
    <n v="4"/>
    <n v="22"/>
    <x v="1"/>
    <x v="1"/>
    <s v="cashloan"/>
    <n v="52500000"/>
  </r>
  <r>
    <x v="21"/>
    <x v="0"/>
    <x v="0"/>
    <n v="4"/>
    <n v="22"/>
    <x v="5"/>
    <x v="5"/>
    <s v="overdraft"/>
    <n v="2117561705"/>
  </r>
  <r>
    <x v="22"/>
    <x v="0"/>
    <x v="0"/>
    <n v="4"/>
    <n v="23"/>
    <x v="2"/>
    <x v="2"/>
    <s v="cashloan"/>
    <n v="2264300000"/>
  </r>
  <r>
    <x v="22"/>
    <x v="0"/>
    <x v="0"/>
    <n v="4"/>
    <n v="23"/>
    <x v="6"/>
    <x v="6"/>
    <s v="payday"/>
    <n v="15000000"/>
  </r>
  <r>
    <x v="22"/>
    <x v="0"/>
    <x v="0"/>
    <n v="4"/>
    <n v="23"/>
    <x v="4"/>
    <x v="4"/>
    <n v="0"/>
    <n v="6223735898"/>
  </r>
  <r>
    <x v="22"/>
    <x v="0"/>
    <x v="0"/>
    <n v="4"/>
    <n v="23"/>
    <x v="1"/>
    <x v="1"/>
    <s v="cashloan"/>
    <n v="83000000"/>
  </r>
  <r>
    <x v="22"/>
    <x v="0"/>
    <x v="0"/>
    <n v="4"/>
    <n v="23"/>
    <x v="0"/>
    <x v="0"/>
    <s v="payday"/>
    <n v="1487000000"/>
  </r>
  <r>
    <x v="22"/>
    <x v="0"/>
    <x v="0"/>
    <n v="4"/>
    <n v="23"/>
    <x v="5"/>
    <x v="5"/>
    <s v="overdraft"/>
    <n v="2034235898"/>
  </r>
  <r>
    <x v="22"/>
    <x v="0"/>
    <x v="0"/>
    <n v="4"/>
    <n v="23"/>
    <x v="3"/>
    <x v="3"/>
    <s v="cashloan"/>
    <n v="340200000"/>
  </r>
  <r>
    <x v="23"/>
    <x v="0"/>
    <x v="0"/>
    <n v="4"/>
    <n v="24"/>
    <x v="2"/>
    <x v="2"/>
    <s v="cashloan"/>
    <n v="2172600000"/>
  </r>
  <r>
    <x v="23"/>
    <x v="0"/>
    <x v="0"/>
    <n v="4"/>
    <n v="24"/>
    <x v="0"/>
    <x v="0"/>
    <s v="payday"/>
    <n v="1495000000"/>
  </r>
  <r>
    <x v="23"/>
    <x v="0"/>
    <x v="0"/>
    <n v="4"/>
    <n v="24"/>
    <x v="5"/>
    <x v="5"/>
    <s v="overdraft"/>
    <n v="2037683916"/>
  </r>
  <r>
    <x v="23"/>
    <x v="0"/>
    <x v="0"/>
    <n v="4"/>
    <n v="24"/>
    <x v="3"/>
    <x v="3"/>
    <s v="cashloan"/>
    <n v="210000000"/>
  </r>
  <r>
    <x v="23"/>
    <x v="0"/>
    <x v="0"/>
    <n v="4"/>
    <n v="24"/>
    <x v="4"/>
    <x v="4"/>
    <n v="0"/>
    <n v="5942283916"/>
  </r>
  <r>
    <x v="23"/>
    <x v="0"/>
    <x v="0"/>
    <n v="4"/>
    <n v="24"/>
    <x v="6"/>
    <x v="6"/>
    <s v="payday"/>
    <n v="7000000"/>
  </r>
  <r>
    <x v="23"/>
    <x v="0"/>
    <x v="0"/>
    <n v="4"/>
    <n v="24"/>
    <x v="1"/>
    <x v="1"/>
    <s v="cashloan"/>
    <n v="20000000"/>
  </r>
  <r>
    <x v="24"/>
    <x v="0"/>
    <x v="0"/>
    <n v="4"/>
    <n v="25"/>
    <x v="4"/>
    <x v="4"/>
    <n v="0"/>
    <n v="6330594134"/>
  </r>
  <r>
    <x v="24"/>
    <x v="0"/>
    <x v="0"/>
    <n v="4"/>
    <n v="25"/>
    <x v="3"/>
    <x v="3"/>
    <s v="cashloan"/>
    <n v="177500000"/>
  </r>
  <r>
    <x v="24"/>
    <x v="0"/>
    <x v="0"/>
    <n v="4"/>
    <n v="25"/>
    <x v="1"/>
    <x v="1"/>
    <s v="cashloan"/>
    <n v="10500000"/>
  </r>
  <r>
    <x v="24"/>
    <x v="0"/>
    <x v="0"/>
    <n v="4"/>
    <n v="25"/>
    <x v="5"/>
    <x v="5"/>
    <s v="overdraft"/>
    <n v="2235894134"/>
  </r>
  <r>
    <x v="24"/>
    <x v="0"/>
    <x v="0"/>
    <n v="4"/>
    <n v="25"/>
    <x v="6"/>
    <x v="6"/>
    <s v="payday"/>
    <n v="15000000"/>
  </r>
  <r>
    <x v="24"/>
    <x v="0"/>
    <x v="0"/>
    <n v="4"/>
    <n v="25"/>
    <x v="0"/>
    <x v="0"/>
    <s v="payday"/>
    <n v="1372000000"/>
  </r>
  <r>
    <x v="24"/>
    <x v="0"/>
    <x v="0"/>
    <n v="4"/>
    <n v="25"/>
    <x v="2"/>
    <x v="2"/>
    <s v="cashloan"/>
    <n v="2519700000"/>
  </r>
  <r>
    <x v="25"/>
    <x v="0"/>
    <x v="0"/>
    <n v="4"/>
    <n v="26"/>
    <x v="5"/>
    <x v="5"/>
    <s v="overdraft"/>
    <n v="1865227312"/>
  </r>
  <r>
    <x v="25"/>
    <x v="0"/>
    <x v="0"/>
    <n v="4"/>
    <n v="26"/>
    <x v="6"/>
    <x v="6"/>
    <s v="payday"/>
    <n v="2000000"/>
  </r>
  <r>
    <x v="25"/>
    <x v="0"/>
    <x v="0"/>
    <n v="4"/>
    <n v="26"/>
    <x v="3"/>
    <x v="3"/>
    <s v="cashloan"/>
    <n v="231000000"/>
  </r>
  <r>
    <x v="25"/>
    <x v="0"/>
    <x v="0"/>
    <n v="4"/>
    <n v="26"/>
    <x v="0"/>
    <x v="0"/>
    <s v="payday"/>
    <n v="1371500000"/>
  </r>
  <r>
    <x v="25"/>
    <x v="0"/>
    <x v="0"/>
    <n v="4"/>
    <n v="26"/>
    <x v="1"/>
    <x v="1"/>
    <s v="cashloan"/>
    <n v="44100000"/>
  </r>
  <r>
    <x v="25"/>
    <x v="0"/>
    <x v="0"/>
    <n v="4"/>
    <n v="26"/>
    <x v="2"/>
    <x v="2"/>
    <s v="cashloan"/>
    <n v="1924200000"/>
  </r>
  <r>
    <x v="25"/>
    <x v="0"/>
    <x v="0"/>
    <n v="4"/>
    <n v="26"/>
    <x v="4"/>
    <x v="4"/>
    <n v="0"/>
    <n v="5438027312"/>
  </r>
  <r>
    <x v="26"/>
    <x v="0"/>
    <x v="0"/>
    <n v="4"/>
    <n v="27"/>
    <x v="4"/>
    <x v="4"/>
    <n v="0"/>
    <n v="4868990983"/>
  </r>
  <r>
    <x v="26"/>
    <x v="0"/>
    <x v="0"/>
    <n v="4"/>
    <n v="27"/>
    <x v="5"/>
    <x v="5"/>
    <s v="overdraft"/>
    <n v="1483440983"/>
  </r>
  <r>
    <x v="26"/>
    <x v="0"/>
    <x v="0"/>
    <n v="4"/>
    <n v="27"/>
    <x v="2"/>
    <x v="2"/>
    <s v="cashloan"/>
    <n v="1944050000"/>
  </r>
  <r>
    <x v="26"/>
    <x v="0"/>
    <x v="0"/>
    <n v="4"/>
    <n v="27"/>
    <x v="3"/>
    <x v="3"/>
    <s v="cashloan"/>
    <n v="168000000"/>
  </r>
  <r>
    <x v="26"/>
    <x v="0"/>
    <x v="0"/>
    <n v="4"/>
    <n v="27"/>
    <x v="0"/>
    <x v="0"/>
    <s v="payday"/>
    <n v="1273500000"/>
  </r>
  <r>
    <x v="26"/>
    <x v="0"/>
    <x v="0"/>
    <n v="4"/>
    <n v="27"/>
    <x v="6"/>
    <x v="6"/>
    <s v="payday"/>
    <n v="0"/>
  </r>
  <r>
    <x v="26"/>
    <x v="0"/>
    <x v="0"/>
    <n v="4"/>
    <n v="27"/>
    <x v="1"/>
    <x v="1"/>
    <s v="cashloan"/>
    <n v="0"/>
  </r>
  <r>
    <x v="27"/>
    <x v="0"/>
    <x v="0"/>
    <n v="4"/>
    <n v="28"/>
    <x v="2"/>
    <x v="2"/>
    <s v="cashloan"/>
    <n v="2036200000"/>
  </r>
  <r>
    <x v="27"/>
    <x v="0"/>
    <x v="0"/>
    <n v="4"/>
    <n v="28"/>
    <x v="1"/>
    <x v="1"/>
    <s v="cashloan"/>
    <n v="0"/>
  </r>
  <r>
    <x v="27"/>
    <x v="0"/>
    <x v="0"/>
    <n v="4"/>
    <n v="28"/>
    <x v="3"/>
    <x v="3"/>
    <s v="cashloan"/>
    <n v="296100000"/>
  </r>
  <r>
    <x v="27"/>
    <x v="0"/>
    <x v="0"/>
    <n v="4"/>
    <n v="28"/>
    <x v="5"/>
    <x v="5"/>
    <s v="overdraft"/>
    <n v="1910275185"/>
  </r>
  <r>
    <x v="27"/>
    <x v="0"/>
    <x v="0"/>
    <n v="4"/>
    <n v="28"/>
    <x v="0"/>
    <x v="0"/>
    <s v="payday"/>
    <n v="1140000000"/>
  </r>
  <r>
    <x v="27"/>
    <x v="0"/>
    <x v="0"/>
    <n v="4"/>
    <n v="28"/>
    <x v="4"/>
    <x v="4"/>
    <n v="0"/>
    <n v="5382575185"/>
  </r>
  <r>
    <x v="27"/>
    <x v="0"/>
    <x v="0"/>
    <n v="4"/>
    <n v="28"/>
    <x v="6"/>
    <x v="6"/>
    <s v="payday"/>
    <n v="0"/>
  </r>
  <r>
    <x v="28"/>
    <x v="0"/>
    <x v="0"/>
    <n v="5"/>
    <n v="29"/>
    <x v="5"/>
    <x v="5"/>
    <s v="overdraft"/>
    <n v="3158142809"/>
  </r>
  <r>
    <x v="28"/>
    <x v="0"/>
    <x v="0"/>
    <n v="5"/>
    <n v="29"/>
    <x v="4"/>
    <x v="4"/>
    <n v="0"/>
    <n v="7988492809"/>
  </r>
  <r>
    <x v="28"/>
    <x v="0"/>
    <x v="0"/>
    <n v="5"/>
    <n v="29"/>
    <x v="6"/>
    <x v="6"/>
    <s v="payday"/>
    <n v="2000000"/>
  </r>
  <r>
    <x v="28"/>
    <x v="0"/>
    <x v="0"/>
    <n v="5"/>
    <n v="29"/>
    <x v="1"/>
    <x v="1"/>
    <s v="cashloan"/>
    <n v="21000000"/>
  </r>
  <r>
    <x v="28"/>
    <x v="0"/>
    <x v="0"/>
    <n v="5"/>
    <n v="29"/>
    <x v="2"/>
    <x v="2"/>
    <s v="cashloan"/>
    <n v="3015700000"/>
  </r>
  <r>
    <x v="28"/>
    <x v="0"/>
    <x v="0"/>
    <n v="5"/>
    <n v="29"/>
    <x v="3"/>
    <x v="3"/>
    <s v="cashloan"/>
    <n v="265650000"/>
  </r>
  <r>
    <x v="28"/>
    <x v="0"/>
    <x v="0"/>
    <n v="5"/>
    <n v="29"/>
    <x v="0"/>
    <x v="0"/>
    <s v="payday"/>
    <n v="1526000000"/>
  </r>
  <r>
    <x v="29"/>
    <x v="0"/>
    <x v="0"/>
    <n v="5"/>
    <n v="30"/>
    <x v="0"/>
    <x v="0"/>
    <s v="payday"/>
    <n v="1385000000"/>
  </r>
  <r>
    <x v="29"/>
    <x v="0"/>
    <x v="0"/>
    <n v="5"/>
    <n v="30"/>
    <x v="2"/>
    <x v="2"/>
    <s v="cashloan"/>
    <n v="2225350000"/>
  </r>
  <r>
    <x v="29"/>
    <x v="0"/>
    <x v="0"/>
    <n v="5"/>
    <n v="30"/>
    <x v="6"/>
    <x v="6"/>
    <s v="payday"/>
    <n v="33000000"/>
  </r>
  <r>
    <x v="29"/>
    <x v="0"/>
    <x v="0"/>
    <n v="5"/>
    <n v="30"/>
    <x v="1"/>
    <x v="1"/>
    <s v="cashloan"/>
    <n v="41000000"/>
  </r>
  <r>
    <x v="29"/>
    <x v="0"/>
    <x v="0"/>
    <n v="5"/>
    <n v="30"/>
    <x v="3"/>
    <x v="3"/>
    <s v="cashloan"/>
    <n v="264650000"/>
  </r>
  <r>
    <x v="29"/>
    <x v="0"/>
    <x v="0"/>
    <n v="5"/>
    <n v="30"/>
    <x v="5"/>
    <x v="5"/>
    <s v="overdraft"/>
    <n v="2761160790"/>
  </r>
  <r>
    <x v="29"/>
    <x v="0"/>
    <x v="0"/>
    <n v="5"/>
    <n v="30"/>
    <x v="4"/>
    <x v="4"/>
    <n v="0"/>
    <n v="6710160790"/>
  </r>
  <r>
    <x v="30"/>
    <x v="0"/>
    <x v="0"/>
    <n v="5"/>
    <n v="31"/>
    <x v="3"/>
    <x v="3"/>
    <s v="cashloan"/>
    <n v="455750000"/>
  </r>
  <r>
    <x v="30"/>
    <x v="0"/>
    <x v="0"/>
    <n v="5"/>
    <n v="31"/>
    <x v="2"/>
    <x v="2"/>
    <s v="cashloan"/>
    <n v="2016600000"/>
  </r>
  <r>
    <x v="30"/>
    <x v="0"/>
    <x v="0"/>
    <n v="5"/>
    <n v="31"/>
    <x v="1"/>
    <x v="1"/>
    <s v="cashloan"/>
    <n v="31500000"/>
  </r>
  <r>
    <x v="30"/>
    <x v="0"/>
    <x v="0"/>
    <n v="5"/>
    <n v="31"/>
    <x v="5"/>
    <x v="5"/>
    <s v="overdraft"/>
    <n v="2490876024"/>
  </r>
  <r>
    <x v="30"/>
    <x v="0"/>
    <x v="0"/>
    <n v="5"/>
    <n v="31"/>
    <x v="0"/>
    <x v="0"/>
    <s v="payday"/>
    <n v="1471000000"/>
  </r>
  <r>
    <x v="30"/>
    <x v="0"/>
    <x v="0"/>
    <n v="5"/>
    <n v="31"/>
    <x v="6"/>
    <x v="6"/>
    <s v="payday"/>
    <n v="41000000"/>
  </r>
  <r>
    <x v="30"/>
    <x v="0"/>
    <x v="0"/>
    <n v="5"/>
    <n v="31"/>
    <x v="4"/>
    <x v="4"/>
    <n v="0"/>
    <n v="6506726024"/>
  </r>
  <r>
    <x v="31"/>
    <x v="0"/>
    <x v="1"/>
    <n v="5"/>
    <n v="1"/>
    <x v="5"/>
    <x v="5"/>
    <s v="overdraft"/>
    <n v="3510551482"/>
  </r>
  <r>
    <x v="31"/>
    <x v="0"/>
    <x v="1"/>
    <n v="5"/>
    <n v="1"/>
    <x v="1"/>
    <x v="1"/>
    <s v="cashloan"/>
    <n v="106050000"/>
  </r>
  <r>
    <x v="31"/>
    <x v="0"/>
    <x v="1"/>
    <n v="5"/>
    <n v="1"/>
    <x v="2"/>
    <x v="2"/>
    <s v="cashloan"/>
    <n v="2979150000"/>
  </r>
  <r>
    <x v="31"/>
    <x v="0"/>
    <x v="1"/>
    <n v="5"/>
    <n v="1"/>
    <x v="3"/>
    <x v="3"/>
    <s v="cashloan"/>
    <n v="274350000"/>
  </r>
  <r>
    <x v="31"/>
    <x v="0"/>
    <x v="1"/>
    <n v="5"/>
    <n v="1"/>
    <x v="0"/>
    <x v="0"/>
    <s v="payday"/>
    <n v="1716500000"/>
  </r>
  <r>
    <x v="31"/>
    <x v="0"/>
    <x v="1"/>
    <n v="5"/>
    <n v="1"/>
    <x v="6"/>
    <x v="6"/>
    <s v="payday"/>
    <n v="12000000"/>
  </r>
  <r>
    <x v="31"/>
    <x v="0"/>
    <x v="1"/>
    <n v="5"/>
    <n v="1"/>
    <x v="4"/>
    <x v="4"/>
    <n v="0"/>
    <n v="8598601482"/>
  </r>
  <r>
    <x v="32"/>
    <x v="0"/>
    <x v="1"/>
    <n v="5"/>
    <n v="2"/>
    <x v="5"/>
    <x v="5"/>
    <s v="overdraft"/>
    <n v="3215317784"/>
  </r>
  <r>
    <x v="32"/>
    <x v="0"/>
    <x v="1"/>
    <n v="5"/>
    <n v="2"/>
    <x v="6"/>
    <x v="6"/>
    <s v="payday"/>
    <n v="30000000"/>
  </r>
  <r>
    <x v="32"/>
    <x v="0"/>
    <x v="1"/>
    <n v="5"/>
    <n v="2"/>
    <x v="4"/>
    <x v="4"/>
    <n v="0"/>
    <n v="7990617784"/>
  </r>
  <r>
    <x v="32"/>
    <x v="0"/>
    <x v="1"/>
    <n v="5"/>
    <n v="2"/>
    <x v="3"/>
    <x v="3"/>
    <s v="cashloan"/>
    <n v="156500000"/>
  </r>
  <r>
    <x v="32"/>
    <x v="0"/>
    <x v="1"/>
    <n v="5"/>
    <n v="2"/>
    <x v="2"/>
    <x v="2"/>
    <s v="cashloan"/>
    <n v="3059800000"/>
  </r>
  <r>
    <x v="32"/>
    <x v="0"/>
    <x v="1"/>
    <n v="5"/>
    <n v="2"/>
    <x v="1"/>
    <x v="1"/>
    <s v="cashloan"/>
    <n v="42000000"/>
  </r>
  <r>
    <x v="32"/>
    <x v="0"/>
    <x v="1"/>
    <n v="5"/>
    <n v="2"/>
    <x v="0"/>
    <x v="0"/>
    <s v="payday"/>
    <n v="1487000000"/>
  </r>
  <r>
    <x v="33"/>
    <x v="0"/>
    <x v="1"/>
    <n v="5"/>
    <n v="3"/>
    <x v="3"/>
    <x v="3"/>
    <s v="cashloan"/>
    <n v="147000000"/>
  </r>
  <r>
    <x v="33"/>
    <x v="0"/>
    <x v="1"/>
    <n v="5"/>
    <n v="3"/>
    <x v="4"/>
    <x v="4"/>
    <n v="0"/>
    <n v="6644252477"/>
  </r>
  <r>
    <x v="33"/>
    <x v="0"/>
    <x v="1"/>
    <n v="5"/>
    <n v="3"/>
    <x v="1"/>
    <x v="1"/>
    <s v="cashloan"/>
    <n v="93450000"/>
  </r>
  <r>
    <x v="33"/>
    <x v="0"/>
    <x v="1"/>
    <n v="5"/>
    <n v="3"/>
    <x v="5"/>
    <x v="5"/>
    <s v="overdraft"/>
    <n v="2454002477"/>
  </r>
  <r>
    <x v="33"/>
    <x v="0"/>
    <x v="1"/>
    <n v="5"/>
    <n v="3"/>
    <x v="6"/>
    <x v="6"/>
    <s v="payday"/>
    <n v="18000000"/>
  </r>
  <r>
    <x v="33"/>
    <x v="0"/>
    <x v="1"/>
    <n v="5"/>
    <n v="3"/>
    <x v="0"/>
    <x v="0"/>
    <s v="payday"/>
    <n v="1562000000"/>
  </r>
  <r>
    <x v="33"/>
    <x v="0"/>
    <x v="1"/>
    <n v="5"/>
    <n v="3"/>
    <x v="2"/>
    <x v="2"/>
    <s v="cashloan"/>
    <n v="2369800000"/>
  </r>
  <r>
    <x v="34"/>
    <x v="0"/>
    <x v="1"/>
    <n v="5"/>
    <n v="4"/>
    <x v="0"/>
    <x v="0"/>
    <s v="payday"/>
    <n v="1414500000"/>
  </r>
  <r>
    <x v="34"/>
    <x v="0"/>
    <x v="1"/>
    <n v="5"/>
    <n v="4"/>
    <x v="4"/>
    <x v="4"/>
    <n v="0"/>
    <n v="6362040259"/>
  </r>
  <r>
    <x v="34"/>
    <x v="0"/>
    <x v="1"/>
    <n v="5"/>
    <n v="4"/>
    <x v="6"/>
    <x v="6"/>
    <s v="payday"/>
    <n v="37000000"/>
  </r>
  <r>
    <x v="34"/>
    <x v="0"/>
    <x v="1"/>
    <n v="5"/>
    <n v="4"/>
    <x v="1"/>
    <x v="1"/>
    <s v="cashloan"/>
    <n v="83000000"/>
  </r>
  <r>
    <x v="34"/>
    <x v="0"/>
    <x v="1"/>
    <n v="5"/>
    <n v="4"/>
    <x v="3"/>
    <x v="3"/>
    <s v="cashloan"/>
    <n v="304500000"/>
  </r>
  <r>
    <x v="34"/>
    <x v="0"/>
    <x v="1"/>
    <n v="5"/>
    <n v="4"/>
    <x v="5"/>
    <x v="5"/>
    <s v="overdraft"/>
    <n v="2268490259"/>
  </r>
  <r>
    <x v="34"/>
    <x v="0"/>
    <x v="1"/>
    <n v="5"/>
    <n v="4"/>
    <x v="2"/>
    <x v="2"/>
    <s v="cashloan"/>
    <n v="2254550000"/>
  </r>
  <r>
    <x v="35"/>
    <x v="0"/>
    <x v="1"/>
    <n v="6"/>
    <n v="5"/>
    <x v="0"/>
    <x v="0"/>
    <s v="payday"/>
    <n v="1919500000"/>
  </r>
  <r>
    <x v="35"/>
    <x v="0"/>
    <x v="1"/>
    <n v="6"/>
    <n v="5"/>
    <x v="5"/>
    <x v="5"/>
    <s v="overdraft"/>
    <n v="2986917763"/>
  </r>
  <r>
    <x v="35"/>
    <x v="0"/>
    <x v="1"/>
    <n v="6"/>
    <n v="5"/>
    <x v="4"/>
    <x v="4"/>
    <n v="0"/>
    <n v="8671267763"/>
  </r>
  <r>
    <x v="35"/>
    <x v="0"/>
    <x v="1"/>
    <n v="6"/>
    <n v="5"/>
    <x v="2"/>
    <x v="2"/>
    <s v="cashloan"/>
    <n v="3007500000"/>
  </r>
  <r>
    <x v="35"/>
    <x v="0"/>
    <x v="1"/>
    <n v="6"/>
    <n v="5"/>
    <x v="1"/>
    <x v="1"/>
    <s v="cashloan"/>
    <n v="231000000"/>
  </r>
  <r>
    <x v="35"/>
    <x v="0"/>
    <x v="1"/>
    <n v="6"/>
    <n v="5"/>
    <x v="6"/>
    <x v="6"/>
    <s v="payday"/>
    <n v="120000000"/>
  </r>
  <r>
    <x v="35"/>
    <x v="0"/>
    <x v="1"/>
    <n v="6"/>
    <n v="5"/>
    <x v="3"/>
    <x v="3"/>
    <s v="cashloan"/>
    <n v="406350000"/>
  </r>
  <r>
    <x v="36"/>
    <x v="0"/>
    <x v="1"/>
    <n v="6"/>
    <n v="6"/>
    <x v="0"/>
    <x v="0"/>
    <s v="payday"/>
    <n v="1932500000"/>
  </r>
  <r>
    <x v="36"/>
    <x v="0"/>
    <x v="1"/>
    <n v="6"/>
    <n v="6"/>
    <x v="6"/>
    <x v="6"/>
    <s v="payday"/>
    <n v="72000000"/>
  </r>
  <r>
    <x v="36"/>
    <x v="0"/>
    <x v="1"/>
    <n v="6"/>
    <n v="6"/>
    <x v="2"/>
    <x v="2"/>
    <s v="cashloan"/>
    <n v="3047950000"/>
  </r>
  <r>
    <x v="36"/>
    <x v="0"/>
    <x v="1"/>
    <n v="6"/>
    <n v="6"/>
    <x v="1"/>
    <x v="1"/>
    <s v="cashloan"/>
    <n v="147000000"/>
  </r>
  <r>
    <x v="36"/>
    <x v="0"/>
    <x v="1"/>
    <n v="6"/>
    <n v="6"/>
    <x v="4"/>
    <x v="4"/>
    <n v="0"/>
    <n v="8458780971"/>
  </r>
  <r>
    <x v="36"/>
    <x v="0"/>
    <x v="1"/>
    <n v="6"/>
    <n v="6"/>
    <x v="3"/>
    <x v="3"/>
    <s v="cashloan"/>
    <n v="397950000"/>
  </r>
  <r>
    <x v="36"/>
    <x v="0"/>
    <x v="1"/>
    <n v="6"/>
    <n v="6"/>
    <x v="5"/>
    <x v="5"/>
    <s v="overdraft"/>
    <n v="2861380971"/>
  </r>
  <r>
    <x v="37"/>
    <x v="0"/>
    <x v="1"/>
    <n v="6"/>
    <n v="7"/>
    <x v="5"/>
    <x v="5"/>
    <s v="overdraft"/>
    <n v="2279321173"/>
  </r>
  <r>
    <x v="37"/>
    <x v="0"/>
    <x v="1"/>
    <n v="6"/>
    <n v="7"/>
    <x v="0"/>
    <x v="0"/>
    <s v="payday"/>
    <n v="1726500000"/>
  </r>
  <r>
    <x v="37"/>
    <x v="0"/>
    <x v="1"/>
    <n v="6"/>
    <n v="7"/>
    <x v="6"/>
    <x v="6"/>
    <s v="payday"/>
    <n v="0"/>
  </r>
  <r>
    <x v="37"/>
    <x v="0"/>
    <x v="1"/>
    <n v="6"/>
    <n v="7"/>
    <x v="2"/>
    <x v="2"/>
    <s v="cashloan"/>
    <n v="2536650000"/>
  </r>
  <r>
    <x v="37"/>
    <x v="0"/>
    <x v="1"/>
    <n v="6"/>
    <n v="7"/>
    <x v="3"/>
    <x v="3"/>
    <s v="cashloan"/>
    <n v="170100000"/>
  </r>
  <r>
    <x v="37"/>
    <x v="0"/>
    <x v="1"/>
    <n v="6"/>
    <n v="7"/>
    <x v="4"/>
    <x v="4"/>
    <n v="0"/>
    <n v="6712571173"/>
  </r>
  <r>
    <x v="37"/>
    <x v="0"/>
    <x v="1"/>
    <n v="6"/>
    <n v="7"/>
    <x v="1"/>
    <x v="1"/>
    <s v="cashloan"/>
    <n v="0"/>
  </r>
  <r>
    <x v="38"/>
    <x v="0"/>
    <x v="1"/>
    <n v="6"/>
    <n v="8"/>
    <x v="4"/>
    <x v="4"/>
    <n v="0"/>
    <n v="5084174338"/>
  </r>
  <r>
    <x v="38"/>
    <x v="0"/>
    <x v="1"/>
    <n v="6"/>
    <n v="8"/>
    <x v="2"/>
    <x v="2"/>
    <s v="cashloan"/>
    <n v="2010550000"/>
  </r>
  <r>
    <x v="38"/>
    <x v="0"/>
    <x v="1"/>
    <n v="6"/>
    <n v="8"/>
    <x v="6"/>
    <x v="6"/>
    <s v="payday"/>
    <n v="0"/>
  </r>
  <r>
    <x v="38"/>
    <x v="0"/>
    <x v="1"/>
    <n v="6"/>
    <n v="8"/>
    <x v="0"/>
    <x v="0"/>
    <s v="payday"/>
    <n v="1354000000"/>
  </r>
  <r>
    <x v="38"/>
    <x v="0"/>
    <x v="1"/>
    <n v="6"/>
    <n v="8"/>
    <x v="3"/>
    <x v="3"/>
    <s v="cashloan"/>
    <n v="95850000"/>
  </r>
  <r>
    <x v="38"/>
    <x v="0"/>
    <x v="1"/>
    <n v="6"/>
    <n v="8"/>
    <x v="5"/>
    <x v="5"/>
    <s v="overdraft"/>
    <n v="1623774338"/>
  </r>
  <r>
    <x v="38"/>
    <x v="0"/>
    <x v="1"/>
    <n v="6"/>
    <n v="8"/>
    <x v="1"/>
    <x v="1"/>
    <s v="cashloan"/>
    <n v="0"/>
  </r>
  <r>
    <x v="39"/>
    <x v="0"/>
    <x v="1"/>
    <n v="6"/>
    <n v="9"/>
    <x v="2"/>
    <x v="2"/>
    <s v="cashloan"/>
    <n v="1741800000"/>
  </r>
  <r>
    <x v="39"/>
    <x v="0"/>
    <x v="1"/>
    <n v="6"/>
    <n v="9"/>
    <x v="4"/>
    <x v="4"/>
    <n v="0"/>
    <n v="4767104561"/>
  </r>
  <r>
    <x v="39"/>
    <x v="0"/>
    <x v="1"/>
    <n v="6"/>
    <n v="9"/>
    <x v="0"/>
    <x v="0"/>
    <s v="payday"/>
    <n v="1126500000"/>
  </r>
  <r>
    <x v="39"/>
    <x v="0"/>
    <x v="1"/>
    <n v="6"/>
    <n v="9"/>
    <x v="6"/>
    <x v="6"/>
    <s v="payday"/>
    <n v="0"/>
  </r>
  <r>
    <x v="39"/>
    <x v="0"/>
    <x v="1"/>
    <n v="6"/>
    <n v="9"/>
    <x v="1"/>
    <x v="1"/>
    <s v="cashloan"/>
    <n v="0"/>
  </r>
  <r>
    <x v="39"/>
    <x v="0"/>
    <x v="1"/>
    <n v="6"/>
    <n v="9"/>
    <x v="3"/>
    <x v="3"/>
    <s v="cashloan"/>
    <n v="63000000"/>
  </r>
  <r>
    <x v="39"/>
    <x v="0"/>
    <x v="1"/>
    <n v="6"/>
    <n v="9"/>
    <x v="5"/>
    <x v="5"/>
    <s v="overdraft"/>
    <n v="1835804561"/>
  </r>
  <r>
    <x v="40"/>
    <x v="0"/>
    <x v="1"/>
    <n v="6"/>
    <n v="10"/>
    <x v="5"/>
    <x v="5"/>
    <s v="overdraft"/>
    <n v="602866026"/>
  </r>
  <r>
    <x v="40"/>
    <x v="0"/>
    <x v="1"/>
    <n v="6"/>
    <n v="10"/>
    <x v="3"/>
    <x v="3"/>
    <s v="cashloan"/>
    <n v="12600000"/>
  </r>
  <r>
    <x v="40"/>
    <x v="0"/>
    <x v="1"/>
    <n v="6"/>
    <n v="10"/>
    <x v="0"/>
    <x v="0"/>
    <s v="payday"/>
    <n v="392500000"/>
  </r>
  <r>
    <x v="40"/>
    <x v="0"/>
    <x v="1"/>
    <n v="6"/>
    <n v="10"/>
    <x v="1"/>
    <x v="1"/>
    <s v="cashloan"/>
    <n v="0"/>
  </r>
  <r>
    <x v="40"/>
    <x v="0"/>
    <x v="1"/>
    <n v="6"/>
    <n v="10"/>
    <x v="6"/>
    <x v="6"/>
    <s v="payday"/>
    <n v="0"/>
  </r>
  <r>
    <x v="40"/>
    <x v="0"/>
    <x v="1"/>
    <n v="6"/>
    <n v="10"/>
    <x v="2"/>
    <x v="2"/>
    <s v="cashloan"/>
    <n v="384050000"/>
  </r>
  <r>
    <x v="40"/>
    <x v="0"/>
    <x v="1"/>
    <n v="6"/>
    <n v="10"/>
    <x v="4"/>
    <x v="4"/>
    <n v="0"/>
    <n v="1392016026"/>
  </r>
  <r>
    <x v="41"/>
    <x v="0"/>
    <x v="1"/>
    <n v="6"/>
    <n v="11"/>
    <x v="0"/>
    <x v="0"/>
    <s v="payday"/>
    <n v="506000000"/>
  </r>
  <r>
    <x v="41"/>
    <x v="0"/>
    <x v="1"/>
    <n v="6"/>
    <n v="11"/>
    <x v="1"/>
    <x v="1"/>
    <s v="cashloan"/>
    <n v="0"/>
  </r>
  <r>
    <x v="41"/>
    <x v="0"/>
    <x v="1"/>
    <n v="6"/>
    <n v="11"/>
    <x v="3"/>
    <x v="3"/>
    <s v="cashloan"/>
    <n v="47250000"/>
  </r>
  <r>
    <x v="41"/>
    <x v="0"/>
    <x v="1"/>
    <n v="6"/>
    <n v="11"/>
    <x v="4"/>
    <x v="4"/>
    <n v="0"/>
    <n v="1837851977"/>
  </r>
  <r>
    <x v="41"/>
    <x v="0"/>
    <x v="1"/>
    <n v="6"/>
    <n v="11"/>
    <x v="2"/>
    <x v="2"/>
    <s v="cashloan"/>
    <n v="537600000"/>
  </r>
  <r>
    <x v="41"/>
    <x v="0"/>
    <x v="1"/>
    <n v="6"/>
    <n v="11"/>
    <x v="5"/>
    <x v="5"/>
    <s v="overdraft"/>
    <n v="747001977"/>
  </r>
  <r>
    <x v="41"/>
    <x v="0"/>
    <x v="1"/>
    <n v="6"/>
    <n v="11"/>
    <x v="6"/>
    <x v="6"/>
    <s v="payday"/>
    <n v="0"/>
  </r>
  <r>
    <x v="42"/>
    <x v="0"/>
    <x v="1"/>
    <n v="7"/>
    <n v="12"/>
    <x v="4"/>
    <x v="4"/>
    <n v="0"/>
    <n v="1931850888"/>
  </r>
  <r>
    <x v="42"/>
    <x v="0"/>
    <x v="1"/>
    <n v="7"/>
    <n v="12"/>
    <x v="2"/>
    <x v="2"/>
    <s v="cashloan"/>
    <n v="504150000"/>
  </r>
  <r>
    <x v="42"/>
    <x v="0"/>
    <x v="1"/>
    <n v="7"/>
    <n v="12"/>
    <x v="0"/>
    <x v="0"/>
    <s v="payday"/>
    <n v="663500000"/>
  </r>
  <r>
    <x v="42"/>
    <x v="0"/>
    <x v="1"/>
    <n v="7"/>
    <n v="12"/>
    <x v="5"/>
    <x v="5"/>
    <s v="overdraft"/>
    <n v="743200888"/>
  </r>
  <r>
    <x v="42"/>
    <x v="0"/>
    <x v="1"/>
    <n v="7"/>
    <n v="12"/>
    <x v="3"/>
    <x v="3"/>
    <s v="cashloan"/>
    <n v="21000000"/>
  </r>
  <r>
    <x v="42"/>
    <x v="0"/>
    <x v="1"/>
    <n v="7"/>
    <n v="12"/>
    <x v="6"/>
    <x v="6"/>
    <s v="payday"/>
    <n v="0"/>
  </r>
  <r>
    <x v="42"/>
    <x v="0"/>
    <x v="1"/>
    <n v="7"/>
    <n v="12"/>
    <x v="1"/>
    <x v="1"/>
    <s v="cashloan"/>
    <n v="0"/>
  </r>
  <r>
    <x v="43"/>
    <x v="0"/>
    <x v="1"/>
    <n v="7"/>
    <n v="13"/>
    <x v="2"/>
    <x v="2"/>
    <s v="cashloan"/>
    <n v="814750000"/>
  </r>
  <r>
    <x v="43"/>
    <x v="0"/>
    <x v="1"/>
    <n v="7"/>
    <n v="13"/>
    <x v="3"/>
    <x v="3"/>
    <s v="cashloan"/>
    <n v="62000000"/>
  </r>
  <r>
    <x v="43"/>
    <x v="0"/>
    <x v="1"/>
    <n v="7"/>
    <n v="13"/>
    <x v="6"/>
    <x v="6"/>
    <s v="payday"/>
    <n v="0"/>
  </r>
  <r>
    <x v="43"/>
    <x v="0"/>
    <x v="1"/>
    <n v="7"/>
    <n v="13"/>
    <x v="4"/>
    <x v="4"/>
    <n v="0"/>
    <n v="2471124499"/>
  </r>
  <r>
    <x v="43"/>
    <x v="0"/>
    <x v="1"/>
    <n v="7"/>
    <n v="13"/>
    <x v="1"/>
    <x v="1"/>
    <s v="cashloan"/>
    <n v="0"/>
  </r>
  <r>
    <x v="43"/>
    <x v="0"/>
    <x v="1"/>
    <n v="7"/>
    <n v="13"/>
    <x v="5"/>
    <x v="5"/>
    <s v="overdraft"/>
    <n v="836374499"/>
  </r>
  <r>
    <x v="43"/>
    <x v="0"/>
    <x v="1"/>
    <n v="7"/>
    <n v="13"/>
    <x v="0"/>
    <x v="0"/>
    <s v="payday"/>
    <n v="758000000"/>
  </r>
  <r>
    <x v="44"/>
    <x v="0"/>
    <x v="1"/>
    <n v="7"/>
    <n v="14"/>
    <x v="2"/>
    <x v="2"/>
    <s v="cashloan"/>
    <n v="1072500000"/>
  </r>
  <r>
    <x v="44"/>
    <x v="0"/>
    <x v="1"/>
    <n v="7"/>
    <n v="14"/>
    <x v="1"/>
    <x v="1"/>
    <s v="cashloan"/>
    <n v="0"/>
  </r>
  <r>
    <x v="44"/>
    <x v="0"/>
    <x v="1"/>
    <n v="7"/>
    <n v="14"/>
    <x v="6"/>
    <x v="6"/>
    <s v="payday"/>
    <n v="0"/>
  </r>
  <r>
    <x v="44"/>
    <x v="0"/>
    <x v="1"/>
    <n v="7"/>
    <n v="14"/>
    <x v="5"/>
    <x v="5"/>
    <s v="overdraft"/>
    <n v="1113290957"/>
  </r>
  <r>
    <x v="44"/>
    <x v="0"/>
    <x v="1"/>
    <n v="7"/>
    <n v="14"/>
    <x v="3"/>
    <x v="3"/>
    <s v="cashloan"/>
    <n v="105000000"/>
  </r>
  <r>
    <x v="44"/>
    <x v="0"/>
    <x v="1"/>
    <n v="7"/>
    <n v="14"/>
    <x v="0"/>
    <x v="0"/>
    <s v="payday"/>
    <n v="1159000000"/>
  </r>
  <r>
    <x v="44"/>
    <x v="0"/>
    <x v="1"/>
    <n v="7"/>
    <n v="14"/>
    <x v="4"/>
    <x v="4"/>
    <n v="0"/>
    <n v="3449790957"/>
  </r>
  <r>
    <x v="45"/>
    <x v="0"/>
    <x v="1"/>
    <n v="7"/>
    <n v="15"/>
    <x v="2"/>
    <x v="2"/>
    <s v="cashloan"/>
    <n v="1851450000"/>
  </r>
  <r>
    <x v="45"/>
    <x v="0"/>
    <x v="1"/>
    <n v="7"/>
    <n v="15"/>
    <x v="1"/>
    <x v="1"/>
    <s v="cashloan"/>
    <n v="391700000"/>
  </r>
  <r>
    <x v="45"/>
    <x v="0"/>
    <x v="1"/>
    <n v="7"/>
    <n v="15"/>
    <x v="6"/>
    <x v="6"/>
    <s v="payday"/>
    <n v="126000000"/>
  </r>
  <r>
    <x v="45"/>
    <x v="0"/>
    <x v="1"/>
    <n v="7"/>
    <n v="15"/>
    <x v="4"/>
    <x v="4"/>
    <n v="0"/>
    <n v="6668909221"/>
  </r>
  <r>
    <x v="45"/>
    <x v="0"/>
    <x v="1"/>
    <n v="7"/>
    <n v="15"/>
    <x v="3"/>
    <x v="3"/>
    <s v="cashloan"/>
    <n v="200550000"/>
  </r>
  <r>
    <x v="45"/>
    <x v="0"/>
    <x v="1"/>
    <n v="7"/>
    <n v="15"/>
    <x v="5"/>
    <x v="5"/>
    <s v="overdraft"/>
    <n v="2128209221"/>
  </r>
  <r>
    <x v="45"/>
    <x v="0"/>
    <x v="1"/>
    <n v="7"/>
    <n v="15"/>
    <x v="0"/>
    <x v="0"/>
    <s v="payday"/>
    <n v="1971000000"/>
  </r>
  <r>
    <x v="46"/>
    <x v="0"/>
    <x v="1"/>
    <n v="7"/>
    <n v="16"/>
    <x v="6"/>
    <x v="6"/>
    <s v="payday"/>
    <n v="14000000"/>
  </r>
  <r>
    <x v="46"/>
    <x v="0"/>
    <x v="1"/>
    <n v="7"/>
    <n v="16"/>
    <x v="1"/>
    <x v="1"/>
    <s v="cashloan"/>
    <n v="20500000"/>
  </r>
  <r>
    <x v="46"/>
    <x v="0"/>
    <x v="1"/>
    <n v="7"/>
    <n v="16"/>
    <x v="0"/>
    <x v="0"/>
    <s v="payday"/>
    <n v="1748000000"/>
  </r>
  <r>
    <x v="46"/>
    <x v="0"/>
    <x v="1"/>
    <n v="7"/>
    <n v="16"/>
    <x v="3"/>
    <x v="3"/>
    <s v="cashloan"/>
    <n v="52500000"/>
  </r>
  <r>
    <x v="46"/>
    <x v="0"/>
    <x v="1"/>
    <n v="7"/>
    <n v="16"/>
    <x v="4"/>
    <x v="4"/>
    <n v="0"/>
    <n v="5143292964"/>
  </r>
  <r>
    <x v="46"/>
    <x v="0"/>
    <x v="1"/>
    <n v="7"/>
    <n v="16"/>
    <x v="2"/>
    <x v="2"/>
    <s v="cashloan"/>
    <n v="1854550000"/>
  </r>
  <r>
    <x v="46"/>
    <x v="0"/>
    <x v="1"/>
    <n v="7"/>
    <n v="16"/>
    <x v="5"/>
    <x v="5"/>
    <s v="overdraft"/>
    <n v="1453742964"/>
  </r>
  <r>
    <x v="47"/>
    <x v="0"/>
    <x v="1"/>
    <n v="7"/>
    <n v="17"/>
    <x v="1"/>
    <x v="1"/>
    <s v="cashloan"/>
    <n v="21000000"/>
  </r>
  <r>
    <x v="47"/>
    <x v="0"/>
    <x v="1"/>
    <n v="7"/>
    <n v="17"/>
    <x v="3"/>
    <x v="3"/>
    <s v="cashloan"/>
    <n v="136500000"/>
  </r>
  <r>
    <x v="47"/>
    <x v="0"/>
    <x v="1"/>
    <n v="7"/>
    <n v="17"/>
    <x v="6"/>
    <x v="6"/>
    <s v="payday"/>
    <n v="34000000"/>
  </r>
  <r>
    <x v="47"/>
    <x v="0"/>
    <x v="1"/>
    <n v="7"/>
    <n v="17"/>
    <x v="4"/>
    <x v="4"/>
    <n v="0"/>
    <n v="4363252155"/>
  </r>
  <r>
    <x v="47"/>
    <x v="0"/>
    <x v="1"/>
    <n v="7"/>
    <n v="17"/>
    <x v="2"/>
    <x v="2"/>
    <s v="cashloan"/>
    <n v="1304450000"/>
  </r>
  <r>
    <x v="47"/>
    <x v="0"/>
    <x v="1"/>
    <n v="7"/>
    <n v="17"/>
    <x v="5"/>
    <x v="5"/>
    <s v="overdraft"/>
    <n v="1499802155"/>
  </r>
  <r>
    <x v="47"/>
    <x v="0"/>
    <x v="1"/>
    <n v="7"/>
    <n v="17"/>
    <x v="0"/>
    <x v="0"/>
    <s v="payday"/>
    <n v="1367500000"/>
  </r>
  <r>
    <x v="48"/>
    <x v="0"/>
    <x v="1"/>
    <n v="7"/>
    <n v="18"/>
    <x v="0"/>
    <x v="0"/>
    <s v="payday"/>
    <n v="1278000000"/>
  </r>
  <r>
    <x v="48"/>
    <x v="0"/>
    <x v="1"/>
    <n v="7"/>
    <n v="18"/>
    <x v="6"/>
    <x v="6"/>
    <s v="payday"/>
    <n v="10000000"/>
  </r>
  <r>
    <x v="48"/>
    <x v="0"/>
    <x v="1"/>
    <n v="7"/>
    <n v="18"/>
    <x v="2"/>
    <x v="2"/>
    <s v="cashloan"/>
    <n v="1083350000"/>
  </r>
  <r>
    <x v="48"/>
    <x v="0"/>
    <x v="1"/>
    <n v="7"/>
    <n v="18"/>
    <x v="1"/>
    <x v="1"/>
    <s v="cashloan"/>
    <n v="31500000"/>
  </r>
  <r>
    <x v="48"/>
    <x v="0"/>
    <x v="1"/>
    <n v="7"/>
    <n v="18"/>
    <x v="5"/>
    <x v="5"/>
    <s v="overdraft"/>
    <n v="1283675740"/>
  </r>
  <r>
    <x v="48"/>
    <x v="0"/>
    <x v="1"/>
    <n v="7"/>
    <n v="18"/>
    <x v="4"/>
    <x v="4"/>
    <n v="0"/>
    <n v="3760025740"/>
  </r>
  <r>
    <x v="48"/>
    <x v="0"/>
    <x v="1"/>
    <n v="7"/>
    <n v="18"/>
    <x v="3"/>
    <x v="3"/>
    <s v="cashloan"/>
    <n v="73500000"/>
  </r>
  <r>
    <x v="49"/>
    <x v="0"/>
    <x v="1"/>
    <n v="8"/>
    <n v="19"/>
    <x v="0"/>
    <x v="0"/>
    <s v="payday"/>
    <n v="1598000000"/>
  </r>
  <r>
    <x v="49"/>
    <x v="0"/>
    <x v="1"/>
    <n v="8"/>
    <n v="19"/>
    <x v="4"/>
    <x v="4"/>
    <n v="0"/>
    <n v="5628132708"/>
  </r>
  <r>
    <x v="49"/>
    <x v="0"/>
    <x v="1"/>
    <n v="8"/>
    <n v="19"/>
    <x v="1"/>
    <x v="1"/>
    <s v="cashloan"/>
    <n v="52500000"/>
  </r>
  <r>
    <x v="49"/>
    <x v="0"/>
    <x v="1"/>
    <n v="8"/>
    <n v="19"/>
    <x v="3"/>
    <x v="3"/>
    <s v="cashloan"/>
    <n v="239400000"/>
  </r>
  <r>
    <x v="49"/>
    <x v="0"/>
    <x v="1"/>
    <n v="8"/>
    <n v="19"/>
    <x v="6"/>
    <x v="6"/>
    <s v="payday"/>
    <n v="10000000"/>
  </r>
  <r>
    <x v="49"/>
    <x v="0"/>
    <x v="1"/>
    <n v="8"/>
    <n v="19"/>
    <x v="5"/>
    <x v="5"/>
    <s v="overdraft"/>
    <n v="2005982708"/>
  </r>
  <r>
    <x v="49"/>
    <x v="0"/>
    <x v="1"/>
    <n v="8"/>
    <n v="19"/>
    <x v="2"/>
    <x v="2"/>
    <s v="cashloan"/>
    <n v="1722250000"/>
  </r>
  <r>
    <x v="50"/>
    <x v="0"/>
    <x v="1"/>
    <n v="8"/>
    <n v="20"/>
    <x v="2"/>
    <x v="2"/>
    <s v="cashloan"/>
    <n v="1552600000"/>
  </r>
  <r>
    <x v="50"/>
    <x v="0"/>
    <x v="1"/>
    <n v="8"/>
    <n v="20"/>
    <x v="4"/>
    <x v="4"/>
    <n v="0"/>
    <n v="5194226766"/>
  </r>
  <r>
    <x v="50"/>
    <x v="0"/>
    <x v="1"/>
    <n v="8"/>
    <n v="20"/>
    <x v="1"/>
    <x v="1"/>
    <s v="cashloan"/>
    <n v="63000000"/>
  </r>
  <r>
    <x v="50"/>
    <x v="0"/>
    <x v="1"/>
    <n v="8"/>
    <n v="20"/>
    <x v="5"/>
    <x v="5"/>
    <s v="overdraft"/>
    <n v="1843876766"/>
  </r>
  <r>
    <x v="50"/>
    <x v="0"/>
    <x v="1"/>
    <n v="8"/>
    <n v="20"/>
    <x v="3"/>
    <x v="3"/>
    <s v="cashloan"/>
    <n v="78750000"/>
  </r>
  <r>
    <x v="50"/>
    <x v="0"/>
    <x v="1"/>
    <n v="8"/>
    <n v="20"/>
    <x v="6"/>
    <x v="6"/>
    <s v="payday"/>
    <n v="19000000"/>
  </r>
  <r>
    <x v="50"/>
    <x v="0"/>
    <x v="1"/>
    <n v="8"/>
    <n v="20"/>
    <x v="0"/>
    <x v="0"/>
    <s v="payday"/>
    <n v="1637000000"/>
  </r>
  <r>
    <x v="51"/>
    <x v="0"/>
    <x v="1"/>
    <n v="8"/>
    <n v="21"/>
    <x v="4"/>
    <x v="4"/>
    <n v="0"/>
    <n v="5279952364"/>
  </r>
  <r>
    <x v="51"/>
    <x v="0"/>
    <x v="1"/>
    <n v="8"/>
    <n v="21"/>
    <x v="2"/>
    <x v="2"/>
    <s v="cashloan"/>
    <n v="1660400000"/>
  </r>
  <r>
    <x v="51"/>
    <x v="0"/>
    <x v="1"/>
    <n v="8"/>
    <n v="21"/>
    <x v="0"/>
    <x v="0"/>
    <s v="payday"/>
    <n v="1728000000"/>
  </r>
  <r>
    <x v="51"/>
    <x v="0"/>
    <x v="1"/>
    <n v="8"/>
    <n v="21"/>
    <x v="6"/>
    <x v="6"/>
    <s v="payday"/>
    <n v="17000000"/>
  </r>
  <r>
    <x v="51"/>
    <x v="0"/>
    <x v="1"/>
    <n v="8"/>
    <n v="21"/>
    <x v="1"/>
    <x v="1"/>
    <s v="cashloan"/>
    <n v="35750000"/>
  </r>
  <r>
    <x v="51"/>
    <x v="0"/>
    <x v="1"/>
    <n v="8"/>
    <n v="21"/>
    <x v="5"/>
    <x v="5"/>
    <s v="overdraft"/>
    <n v="1696002364"/>
  </r>
  <r>
    <x v="51"/>
    <x v="0"/>
    <x v="1"/>
    <n v="8"/>
    <n v="21"/>
    <x v="3"/>
    <x v="3"/>
    <s v="cashloan"/>
    <n v="142800000"/>
  </r>
  <r>
    <x v="52"/>
    <x v="0"/>
    <x v="1"/>
    <n v="8"/>
    <n v="22"/>
    <x v="1"/>
    <x v="1"/>
    <s v="cashloan"/>
    <n v="104000000"/>
  </r>
  <r>
    <x v="52"/>
    <x v="0"/>
    <x v="1"/>
    <n v="8"/>
    <n v="22"/>
    <x v="0"/>
    <x v="0"/>
    <s v="payday"/>
    <n v="1946500000"/>
  </r>
  <r>
    <x v="52"/>
    <x v="0"/>
    <x v="1"/>
    <n v="8"/>
    <n v="22"/>
    <x v="4"/>
    <x v="4"/>
    <n v="0"/>
    <n v="5102615849"/>
  </r>
  <r>
    <x v="52"/>
    <x v="0"/>
    <x v="1"/>
    <n v="8"/>
    <n v="22"/>
    <x v="6"/>
    <x v="6"/>
    <s v="payday"/>
    <n v="6000000"/>
  </r>
  <r>
    <x v="52"/>
    <x v="0"/>
    <x v="1"/>
    <n v="8"/>
    <n v="22"/>
    <x v="3"/>
    <x v="3"/>
    <s v="cashloan"/>
    <n v="63000000"/>
  </r>
  <r>
    <x v="52"/>
    <x v="0"/>
    <x v="1"/>
    <n v="8"/>
    <n v="22"/>
    <x v="5"/>
    <x v="5"/>
    <s v="overdraft"/>
    <n v="1777265849"/>
  </r>
  <r>
    <x v="52"/>
    <x v="0"/>
    <x v="1"/>
    <n v="8"/>
    <n v="22"/>
    <x v="2"/>
    <x v="2"/>
    <s v="cashloan"/>
    <n v="1205850000"/>
  </r>
  <r>
    <x v="53"/>
    <x v="0"/>
    <x v="1"/>
    <n v="8"/>
    <n v="23"/>
    <x v="6"/>
    <x v="6"/>
    <s v="payday"/>
    <n v="24000000"/>
  </r>
  <r>
    <x v="53"/>
    <x v="0"/>
    <x v="1"/>
    <n v="8"/>
    <n v="23"/>
    <x v="1"/>
    <x v="1"/>
    <s v="cashloan"/>
    <n v="21000000"/>
  </r>
  <r>
    <x v="53"/>
    <x v="0"/>
    <x v="1"/>
    <n v="8"/>
    <n v="23"/>
    <x v="4"/>
    <x v="4"/>
    <n v="0"/>
    <n v="5114306899"/>
  </r>
  <r>
    <x v="53"/>
    <x v="0"/>
    <x v="1"/>
    <n v="8"/>
    <n v="23"/>
    <x v="3"/>
    <x v="3"/>
    <s v="cashloan"/>
    <n v="86100000"/>
  </r>
  <r>
    <x v="53"/>
    <x v="0"/>
    <x v="1"/>
    <n v="8"/>
    <n v="23"/>
    <x v="0"/>
    <x v="0"/>
    <s v="payday"/>
    <n v="1815000000"/>
  </r>
  <r>
    <x v="53"/>
    <x v="0"/>
    <x v="1"/>
    <n v="8"/>
    <n v="23"/>
    <x v="5"/>
    <x v="5"/>
    <s v="overdraft"/>
    <n v="1600506899"/>
  </r>
  <r>
    <x v="53"/>
    <x v="0"/>
    <x v="1"/>
    <n v="8"/>
    <n v="23"/>
    <x v="2"/>
    <x v="2"/>
    <s v="cashloan"/>
    <n v="1567700000"/>
  </r>
  <r>
    <x v="54"/>
    <x v="0"/>
    <x v="1"/>
    <n v="8"/>
    <n v="24"/>
    <x v="2"/>
    <x v="2"/>
    <s v="cashloan"/>
    <n v="1386400000"/>
  </r>
  <r>
    <x v="54"/>
    <x v="0"/>
    <x v="1"/>
    <n v="8"/>
    <n v="24"/>
    <x v="6"/>
    <x v="6"/>
    <s v="payday"/>
    <n v="17000000"/>
  </r>
  <r>
    <x v="54"/>
    <x v="0"/>
    <x v="1"/>
    <n v="8"/>
    <n v="24"/>
    <x v="1"/>
    <x v="1"/>
    <s v="cashloan"/>
    <n v="0"/>
  </r>
  <r>
    <x v="54"/>
    <x v="0"/>
    <x v="1"/>
    <n v="8"/>
    <n v="24"/>
    <x v="0"/>
    <x v="0"/>
    <s v="payday"/>
    <n v="1643000000"/>
  </r>
  <r>
    <x v="54"/>
    <x v="0"/>
    <x v="1"/>
    <n v="8"/>
    <n v="24"/>
    <x v="5"/>
    <x v="5"/>
    <s v="overdraft"/>
    <n v="1697685067"/>
  </r>
  <r>
    <x v="54"/>
    <x v="0"/>
    <x v="1"/>
    <n v="8"/>
    <n v="24"/>
    <x v="4"/>
    <x v="4"/>
    <n v="0"/>
    <n v="4902635067"/>
  </r>
  <r>
    <x v="54"/>
    <x v="0"/>
    <x v="1"/>
    <n v="8"/>
    <n v="24"/>
    <x v="3"/>
    <x v="3"/>
    <s v="cashloan"/>
    <n v="158550000"/>
  </r>
  <r>
    <x v="55"/>
    <x v="0"/>
    <x v="1"/>
    <n v="8"/>
    <n v="25"/>
    <x v="4"/>
    <x v="4"/>
    <n v="0"/>
    <n v="4237232198"/>
  </r>
  <r>
    <x v="55"/>
    <x v="0"/>
    <x v="1"/>
    <n v="8"/>
    <n v="25"/>
    <x v="0"/>
    <x v="0"/>
    <s v="payday"/>
    <n v="1581000000"/>
  </r>
  <r>
    <x v="55"/>
    <x v="0"/>
    <x v="1"/>
    <n v="8"/>
    <n v="25"/>
    <x v="3"/>
    <x v="3"/>
    <s v="cashloan"/>
    <n v="152300000"/>
  </r>
  <r>
    <x v="55"/>
    <x v="0"/>
    <x v="1"/>
    <n v="8"/>
    <n v="25"/>
    <x v="1"/>
    <x v="1"/>
    <s v="cashloan"/>
    <n v="31500000"/>
  </r>
  <r>
    <x v="55"/>
    <x v="0"/>
    <x v="1"/>
    <n v="8"/>
    <n v="25"/>
    <x v="6"/>
    <x v="6"/>
    <s v="payday"/>
    <n v="22000000"/>
  </r>
  <r>
    <x v="55"/>
    <x v="0"/>
    <x v="1"/>
    <n v="8"/>
    <n v="25"/>
    <x v="2"/>
    <x v="2"/>
    <s v="cashloan"/>
    <n v="1037300000"/>
  </r>
  <r>
    <x v="55"/>
    <x v="0"/>
    <x v="1"/>
    <n v="8"/>
    <n v="25"/>
    <x v="5"/>
    <x v="5"/>
    <s v="overdraft"/>
    <n v="1413132198"/>
  </r>
  <r>
    <x v="56"/>
    <x v="0"/>
    <x v="1"/>
    <n v="9"/>
    <n v="26"/>
    <x v="4"/>
    <x v="4"/>
    <n v="0"/>
    <n v="6413162105"/>
  </r>
  <r>
    <x v="56"/>
    <x v="0"/>
    <x v="1"/>
    <n v="9"/>
    <n v="26"/>
    <x v="3"/>
    <x v="3"/>
    <s v="cashloan"/>
    <n v="136500000"/>
  </r>
  <r>
    <x v="56"/>
    <x v="0"/>
    <x v="1"/>
    <n v="9"/>
    <n v="26"/>
    <x v="2"/>
    <x v="2"/>
    <s v="cashloan"/>
    <n v="2093300000"/>
  </r>
  <r>
    <x v="56"/>
    <x v="0"/>
    <x v="1"/>
    <n v="9"/>
    <n v="26"/>
    <x v="0"/>
    <x v="0"/>
    <s v="payday"/>
    <n v="1850500000"/>
  </r>
  <r>
    <x v="56"/>
    <x v="0"/>
    <x v="1"/>
    <n v="9"/>
    <n v="26"/>
    <x v="1"/>
    <x v="1"/>
    <s v="cashloan"/>
    <n v="77750000"/>
  </r>
  <r>
    <x v="56"/>
    <x v="0"/>
    <x v="1"/>
    <n v="9"/>
    <n v="26"/>
    <x v="6"/>
    <x v="6"/>
    <s v="payday"/>
    <n v="37000000"/>
  </r>
  <r>
    <x v="56"/>
    <x v="0"/>
    <x v="1"/>
    <n v="9"/>
    <n v="26"/>
    <x v="5"/>
    <x v="5"/>
    <s v="overdraft"/>
    <n v="2218112105"/>
  </r>
  <r>
    <x v="57"/>
    <x v="0"/>
    <x v="1"/>
    <n v="9"/>
    <n v="27"/>
    <x v="5"/>
    <x v="5"/>
    <s v="overdraft"/>
    <n v="1746714188"/>
  </r>
  <r>
    <x v="57"/>
    <x v="0"/>
    <x v="1"/>
    <n v="9"/>
    <n v="27"/>
    <x v="6"/>
    <x v="6"/>
    <s v="payday"/>
    <n v="53000000"/>
  </r>
  <r>
    <x v="57"/>
    <x v="0"/>
    <x v="1"/>
    <n v="9"/>
    <n v="27"/>
    <x v="3"/>
    <x v="3"/>
    <s v="cashloan"/>
    <n v="268800000"/>
  </r>
  <r>
    <x v="57"/>
    <x v="0"/>
    <x v="1"/>
    <n v="9"/>
    <n v="27"/>
    <x v="0"/>
    <x v="0"/>
    <s v="payday"/>
    <n v="1758000000"/>
  </r>
  <r>
    <x v="57"/>
    <x v="0"/>
    <x v="1"/>
    <n v="9"/>
    <n v="27"/>
    <x v="1"/>
    <x v="1"/>
    <s v="cashloan"/>
    <n v="0"/>
  </r>
  <r>
    <x v="57"/>
    <x v="0"/>
    <x v="1"/>
    <n v="9"/>
    <n v="27"/>
    <x v="2"/>
    <x v="2"/>
    <s v="cashloan"/>
    <n v="1189850000"/>
  </r>
  <r>
    <x v="57"/>
    <x v="0"/>
    <x v="1"/>
    <n v="9"/>
    <n v="27"/>
    <x v="4"/>
    <x v="4"/>
    <n v="0"/>
    <n v="5016364188"/>
  </r>
  <r>
    <x v="58"/>
    <x v="0"/>
    <x v="1"/>
    <n v="9"/>
    <n v="28"/>
    <x v="1"/>
    <x v="1"/>
    <s v="cashloan"/>
    <n v="156500000"/>
  </r>
  <r>
    <x v="58"/>
    <x v="0"/>
    <x v="1"/>
    <n v="9"/>
    <n v="28"/>
    <x v="0"/>
    <x v="0"/>
    <s v="payday"/>
    <n v="1998500000"/>
  </r>
  <r>
    <x v="58"/>
    <x v="0"/>
    <x v="1"/>
    <n v="9"/>
    <n v="28"/>
    <x v="5"/>
    <x v="5"/>
    <s v="overdraft"/>
    <n v="1934855018"/>
  </r>
  <r>
    <x v="58"/>
    <x v="0"/>
    <x v="1"/>
    <n v="9"/>
    <n v="28"/>
    <x v="6"/>
    <x v="6"/>
    <s v="payday"/>
    <n v="40000000"/>
  </r>
  <r>
    <x v="58"/>
    <x v="0"/>
    <x v="1"/>
    <n v="9"/>
    <n v="28"/>
    <x v="2"/>
    <x v="2"/>
    <s v="cashloan"/>
    <n v="1739200000"/>
  </r>
  <r>
    <x v="58"/>
    <x v="0"/>
    <x v="1"/>
    <n v="9"/>
    <n v="28"/>
    <x v="4"/>
    <x v="4"/>
    <n v="0"/>
    <n v="6072755018"/>
  </r>
  <r>
    <x v="58"/>
    <x v="0"/>
    <x v="1"/>
    <n v="9"/>
    <n v="28"/>
    <x v="3"/>
    <x v="3"/>
    <s v="cashloan"/>
    <n v="203700000"/>
  </r>
  <r>
    <x v="59"/>
    <x v="0"/>
    <x v="1"/>
    <n v="9"/>
    <n v="29"/>
    <x v="6"/>
    <x v="6"/>
    <s v="payday"/>
    <n v="57000000"/>
  </r>
  <r>
    <x v="59"/>
    <x v="0"/>
    <x v="1"/>
    <n v="9"/>
    <n v="29"/>
    <x v="0"/>
    <x v="0"/>
    <s v="payday"/>
    <n v="2100500000"/>
  </r>
  <r>
    <x v="59"/>
    <x v="0"/>
    <x v="1"/>
    <n v="9"/>
    <n v="29"/>
    <x v="1"/>
    <x v="1"/>
    <s v="cashloan"/>
    <n v="88200000"/>
  </r>
  <r>
    <x v="59"/>
    <x v="0"/>
    <x v="1"/>
    <n v="9"/>
    <n v="29"/>
    <x v="2"/>
    <x v="2"/>
    <s v="cashloan"/>
    <n v="1413850000"/>
  </r>
  <r>
    <x v="59"/>
    <x v="0"/>
    <x v="1"/>
    <n v="9"/>
    <n v="29"/>
    <x v="5"/>
    <x v="5"/>
    <s v="overdraft"/>
    <n v="2493489443"/>
  </r>
  <r>
    <x v="59"/>
    <x v="0"/>
    <x v="1"/>
    <n v="9"/>
    <n v="29"/>
    <x v="3"/>
    <x v="3"/>
    <s v="cashloan"/>
    <n v="128100000"/>
  </r>
  <r>
    <x v="59"/>
    <x v="0"/>
    <x v="1"/>
    <n v="9"/>
    <n v="29"/>
    <x v="4"/>
    <x v="4"/>
    <n v="0"/>
    <n v="6281139443"/>
  </r>
  <r>
    <x v="60"/>
    <x v="0"/>
    <x v="2"/>
    <n v="9"/>
    <n v="1"/>
    <x v="5"/>
    <x v="5"/>
    <s v="overdraft"/>
    <n v="3416046217"/>
  </r>
  <r>
    <x v="60"/>
    <x v="0"/>
    <x v="2"/>
    <n v="9"/>
    <n v="1"/>
    <x v="3"/>
    <x v="3"/>
    <s v="cashloan"/>
    <n v="78750000"/>
  </r>
  <r>
    <x v="60"/>
    <x v="0"/>
    <x v="2"/>
    <n v="9"/>
    <n v="1"/>
    <x v="4"/>
    <x v="4"/>
    <n v="0"/>
    <n v="8228146217"/>
  </r>
  <r>
    <x v="60"/>
    <x v="0"/>
    <x v="2"/>
    <n v="9"/>
    <n v="1"/>
    <x v="6"/>
    <x v="6"/>
    <s v="payday"/>
    <n v="24000000"/>
  </r>
  <r>
    <x v="60"/>
    <x v="0"/>
    <x v="2"/>
    <n v="9"/>
    <n v="1"/>
    <x v="1"/>
    <x v="1"/>
    <s v="cashloan"/>
    <n v="117600000"/>
  </r>
  <r>
    <x v="60"/>
    <x v="0"/>
    <x v="2"/>
    <n v="9"/>
    <n v="1"/>
    <x v="2"/>
    <x v="2"/>
    <s v="cashloan"/>
    <n v="2332750000"/>
  </r>
  <r>
    <x v="60"/>
    <x v="0"/>
    <x v="2"/>
    <n v="9"/>
    <n v="1"/>
    <x v="0"/>
    <x v="0"/>
    <s v="payday"/>
    <n v="2259000000"/>
  </r>
  <r>
    <x v="61"/>
    <x v="0"/>
    <x v="2"/>
    <n v="9"/>
    <n v="2"/>
    <x v="3"/>
    <x v="3"/>
    <s v="cashloan"/>
    <n v="150150000"/>
  </r>
  <r>
    <x v="61"/>
    <x v="0"/>
    <x v="2"/>
    <n v="9"/>
    <n v="2"/>
    <x v="2"/>
    <x v="2"/>
    <s v="cashloan"/>
    <n v="1609000000"/>
  </r>
  <r>
    <x v="61"/>
    <x v="0"/>
    <x v="2"/>
    <n v="9"/>
    <n v="2"/>
    <x v="1"/>
    <x v="1"/>
    <s v="cashloan"/>
    <n v="62000000"/>
  </r>
  <r>
    <x v="61"/>
    <x v="0"/>
    <x v="2"/>
    <n v="9"/>
    <n v="2"/>
    <x v="6"/>
    <x v="6"/>
    <s v="payday"/>
    <n v="19000000"/>
  </r>
  <r>
    <x v="61"/>
    <x v="0"/>
    <x v="2"/>
    <n v="9"/>
    <n v="2"/>
    <x v="4"/>
    <x v="4"/>
    <n v="0"/>
    <n v="6350797884"/>
  </r>
  <r>
    <x v="61"/>
    <x v="0"/>
    <x v="2"/>
    <n v="9"/>
    <n v="2"/>
    <x v="0"/>
    <x v="0"/>
    <s v="payday"/>
    <n v="1889000000"/>
  </r>
  <r>
    <x v="61"/>
    <x v="0"/>
    <x v="2"/>
    <n v="9"/>
    <n v="2"/>
    <x v="5"/>
    <x v="5"/>
    <s v="overdraft"/>
    <n v="2621647884"/>
  </r>
  <r>
    <x v="62"/>
    <x v="0"/>
    <x v="2"/>
    <n v="9"/>
    <n v="3"/>
    <x v="5"/>
    <x v="5"/>
    <s v="overdraft"/>
    <n v="2078927796"/>
  </r>
  <r>
    <x v="62"/>
    <x v="0"/>
    <x v="2"/>
    <n v="9"/>
    <n v="3"/>
    <x v="1"/>
    <x v="1"/>
    <s v="cashloan"/>
    <n v="0"/>
  </r>
  <r>
    <x v="62"/>
    <x v="0"/>
    <x v="2"/>
    <n v="9"/>
    <n v="3"/>
    <x v="3"/>
    <x v="3"/>
    <s v="cashloan"/>
    <n v="78750000"/>
  </r>
  <r>
    <x v="62"/>
    <x v="0"/>
    <x v="2"/>
    <n v="9"/>
    <n v="3"/>
    <x v="2"/>
    <x v="2"/>
    <s v="cashloan"/>
    <n v="1425400000"/>
  </r>
  <r>
    <x v="62"/>
    <x v="0"/>
    <x v="2"/>
    <n v="9"/>
    <n v="3"/>
    <x v="6"/>
    <x v="6"/>
    <s v="payday"/>
    <n v="47000000"/>
  </r>
  <r>
    <x v="62"/>
    <x v="0"/>
    <x v="2"/>
    <n v="9"/>
    <n v="3"/>
    <x v="4"/>
    <x v="4"/>
    <n v="0"/>
    <n v="5330577796"/>
  </r>
  <r>
    <x v="62"/>
    <x v="0"/>
    <x v="2"/>
    <n v="9"/>
    <n v="3"/>
    <x v="0"/>
    <x v="0"/>
    <s v="payday"/>
    <n v="1700500000"/>
  </r>
  <r>
    <x v="63"/>
    <x v="0"/>
    <x v="2"/>
    <n v="10"/>
    <n v="4"/>
    <x v="3"/>
    <x v="3"/>
    <s v="cashloan"/>
    <n v="134400000"/>
  </r>
  <r>
    <x v="63"/>
    <x v="0"/>
    <x v="2"/>
    <n v="10"/>
    <n v="4"/>
    <x v="4"/>
    <x v="4"/>
    <n v="0"/>
    <n v="6550966933"/>
  </r>
  <r>
    <x v="63"/>
    <x v="0"/>
    <x v="2"/>
    <n v="10"/>
    <n v="4"/>
    <x v="5"/>
    <x v="5"/>
    <s v="overdraft"/>
    <n v="2589056933"/>
  </r>
  <r>
    <x v="63"/>
    <x v="0"/>
    <x v="2"/>
    <n v="10"/>
    <n v="4"/>
    <x v="2"/>
    <x v="2"/>
    <s v="cashloan"/>
    <n v="1594010000"/>
  </r>
  <r>
    <x v="63"/>
    <x v="0"/>
    <x v="2"/>
    <n v="10"/>
    <n v="4"/>
    <x v="1"/>
    <x v="1"/>
    <s v="cashloan"/>
    <n v="78000000"/>
  </r>
  <r>
    <x v="63"/>
    <x v="0"/>
    <x v="2"/>
    <n v="10"/>
    <n v="4"/>
    <x v="0"/>
    <x v="0"/>
    <s v="payday"/>
    <n v="2145500000"/>
  </r>
  <r>
    <x v="63"/>
    <x v="0"/>
    <x v="2"/>
    <n v="10"/>
    <n v="4"/>
    <x v="6"/>
    <x v="6"/>
    <s v="payday"/>
    <n v="10000000"/>
  </r>
  <r>
    <x v="64"/>
    <x v="0"/>
    <x v="2"/>
    <n v="10"/>
    <n v="5"/>
    <x v="2"/>
    <x v="2"/>
    <s v="cashloan"/>
    <n v="1555620000"/>
  </r>
  <r>
    <x v="64"/>
    <x v="0"/>
    <x v="2"/>
    <n v="10"/>
    <n v="5"/>
    <x v="6"/>
    <x v="6"/>
    <s v="payday"/>
    <n v="42000000"/>
  </r>
  <r>
    <x v="64"/>
    <x v="0"/>
    <x v="2"/>
    <n v="10"/>
    <n v="5"/>
    <x v="1"/>
    <x v="1"/>
    <s v="cashloan"/>
    <n v="42000000"/>
  </r>
  <r>
    <x v="64"/>
    <x v="0"/>
    <x v="2"/>
    <n v="10"/>
    <n v="5"/>
    <x v="4"/>
    <x v="4"/>
    <n v="0"/>
    <n v="6638732547"/>
  </r>
  <r>
    <x v="64"/>
    <x v="0"/>
    <x v="2"/>
    <n v="10"/>
    <n v="5"/>
    <x v="0"/>
    <x v="0"/>
    <s v="payday"/>
    <n v="2303500000"/>
  </r>
  <r>
    <x v="64"/>
    <x v="0"/>
    <x v="2"/>
    <n v="10"/>
    <n v="5"/>
    <x v="5"/>
    <x v="5"/>
    <s v="overdraft"/>
    <n v="2532862547"/>
  </r>
  <r>
    <x v="64"/>
    <x v="0"/>
    <x v="2"/>
    <n v="10"/>
    <n v="5"/>
    <x v="3"/>
    <x v="3"/>
    <s v="cashloan"/>
    <n v="162750000"/>
  </r>
  <r>
    <x v="65"/>
    <x v="0"/>
    <x v="2"/>
    <n v="10"/>
    <n v="6"/>
    <x v="2"/>
    <x v="2"/>
    <s v="cashloan"/>
    <n v="2131460000"/>
  </r>
  <r>
    <x v="65"/>
    <x v="0"/>
    <x v="2"/>
    <n v="10"/>
    <n v="6"/>
    <x v="1"/>
    <x v="1"/>
    <s v="cashloan"/>
    <n v="42000000"/>
  </r>
  <r>
    <x v="65"/>
    <x v="0"/>
    <x v="2"/>
    <n v="10"/>
    <n v="6"/>
    <x v="3"/>
    <x v="3"/>
    <s v="cashloan"/>
    <n v="115500000"/>
  </r>
  <r>
    <x v="65"/>
    <x v="0"/>
    <x v="2"/>
    <n v="10"/>
    <n v="6"/>
    <x v="6"/>
    <x v="6"/>
    <s v="payday"/>
    <n v="30000000"/>
  </r>
  <r>
    <x v="65"/>
    <x v="0"/>
    <x v="2"/>
    <n v="10"/>
    <n v="6"/>
    <x v="5"/>
    <x v="5"/>
    <s v="overdraft"/>
    <n v="2818688899"/>
  </r>
  <r>
    <x v="65"/>
    <x v="0"/>
    <x v="2"/>
    <n v="10"/>
    <n v="6"/>
    <x v="0"/>
    <x v="0"/>
    <s v="payday"/>
    <n v="2202500000"/>
  </r>
  <r>
    <x v="65"/>
    <x v="0"/>
    <x v="2"/>
    <n v="10"/>
    <n v="6"/>
    <x v="4"/>
    <x v="4"/>
    <n v="0"/>
    <n v="7340148899"/>
  </r>
  <r>
    <x v="66"/>
    <x v="0"/>
    <x v="2"/>
    <n v="10"/>
    <n v="7"/>
    <x v="5"/>
    <x v="5"/>
    <s v="overdraft"/>
    <n v="2213357647"/>
  </r>
  <r>
    <x v="66"/>
    <x v="0"/>
    <x v="2"/>
    <n v="10"/>
    <n v="7"/>
    <x v="2"/>
    <x v="2"/>
    <s v="cashloan"/>
    <n v="1608320000"/>
  </r>
  <r>
    <x v="66"/>
    <x v="0"/>
    <x v="2"/>
    <n v="10"/>
    <n v="7"/>
    <x v="6"/>
    <x v="6"/>
    <s v="payday"/>
    <n v="67000000"/>
  </r>
  <r>
    <x v="66"/>
    <x v="0"/>
    <x v="2"/>
    <n v="10"/>
    <n v="7"/>
    <x v="4"/>
    <x v="4"/>
    <n v="0"/>
    <n v="6241227647"/>
  </r>
  <r>
    <x v="66"/>
    <x v="0"/>
    <x v="2"/>
    <n v="10"/>
    <n v="7"/>
    <x v="1"/>
    <x v="1"/>
    <s v="cashloan"/>
    <n v="79000000"/>
  </r>
  <r>
    <x v="66"/>
    <x v="0"/>
    <x v="2"/>
    <n v="10"/>
    <n v="7"/>
    <x v="0"/>
    <x v="0"/>
    <s v="payday"/>
    <n v="2115000000"/>
  </r>
  <r>
    <x v="66"/>
    <x v="0"/>
    <x v="2"/>
    <n v="10"/>
    <n v="7"/>
    <x v="3"/>
    <x v="3"/>
    <s v="cashloan"/>
    <n v="158550000"/>
  </r>
  <r>
    <x v="67"/>
    <x v="0"/>
    <x v="2"/>
    <n v="10"/>
    <n v="8"/>
    <x v="5"/>
    <x v="5"/>
    <s v="overdraft"/>
    <n v="2528824692"/>
  </r>
  <r>
    <x v="67"/>
    <x v="0"/>
    <x v="2"/>
    <n v="10"/>
    <n v="8"/>
    <x v="0"/>
    <x v="0"/>
    <s v="payday"/>
    <n v="1999000000"/>
  </r>
  <r>
    <x v="67"/>
    <x v="0"/>
    <x v="2"/>
    <n v="10"/>
    <n v="8"/>
    <x v="6"/>
    <x v="6"/>
    <s v="payday"/>
    <n v="39000000"/>
  </r>
  <r>
    <x v="67"/>
    <x v="0"/>
    <x v="2"/>
    <n v="10"/>
    <n v="8"/>
    <x v="3"/>
    <x v="3"/>
    <s v="cashloan"/>
    <n v="159600000"/>
  </r>
  <r>
    <x v="67"/>
    <x v="0"/>
    <x v="2"/>
    <n v="10"/>
    <n v="8"/>
    <x v="1"/>
    <x v="1"/>
    <s v="cashloan"/>
    <n v="31500000"/>
  </r>
  <r>
    <x v="67"/>
    <x v="0"/>
    <x v="2"/>
    <n v="10"/>
    <n v="8"/>
    <x v="2"/>
    <x v="2"/>
    <s v="cashloan"/>
    <n v="1366390000"/>
  </r>
  <r>
    <x v="67"/>
    <x v="0"/>
    <x v="2"/>
    <n v="10"/>
    <n v="8"/>
    <x v="4"/>
    <x v="4"/>
    <n v="0"/>
    <n v="6124314692"/>
  </r>
  <r>
    <x v="68"/>
    <x v="0"/>
    <x v="2"/>
    <n v="10"/>
    <n v="9"/>
    <x v="0"/>
    <x v="0"/>
    <s v="payday"/>
    <n v="1924000000"/>
  </r>
  <r>
    <x v="68"/>
    <x v="0"/>
    <x v="2"/>
    <n v="10"/>
    <n v="9"/>
    <x v="1"/>
    <x v="1"/>
    <s v="cashloan"/>
    <n v="72500000"/>
  </r>
  <r>
    <x v="68"/>
    <x v="0"/>
    <x v="2"/>
    <n v="10"/>
    <n v="9"/>
    <x v="2"/>
    <x v="2"/>
    <s v="cashloan"/>
    <n v="1468850000"/>
  </r>
  <r>
    <x v="68"/>
    <x v="0"/>
    <x v="2"/>
    <n v="10"/>
    <n v="9"/>
    <x v="3"/>
    <x v="3"/>
    <s v="cashloan"/>
    <n v="99750000"/>
  </r>
  <r>
    <x v="68"/>
    <x v="0"/>
    <x v="2"/>
    <n v="10"/>
    <n v="9"/>
    <x v="4"/>
    <x v="4"/>
    <n v="0"/>
    <n v="5525151251"/>
  </r>
  <r>
    <x v="68"/>
    <x v="0"/>
    <x v="2"/>
    <n v="10"/>
    <n v="9"/>
    <x v="5"/>
    <x v="5"/>
    <s v="overdraft"/>
    <n v="1934051251"/>
  </r>
  <r>
    <x v="68"/>
    <x v="0"/>
    <x v="2"/>
    <n v="10"/>
    <n v="9"/>
    <x v="6"/>
    <x v="6"/>
    <s v="payday"/>
    <n v="26000000"/>
  </r>
  <r>
    <x v="69"/>
    <x v="0"/>
    <x v="2"/>
    <n v="10"/>
    <n v="10"/>
    <x v="6"/>
    <x v="6"/>
    <s v="payday"/>
    <n v="33000000"/>
  </r>
  <r>
    <x v="69"/>
    <x v="0"/>
    <x v="2"/>
    <n v="10"/>
    <n v="10"/>
    <x v="4"/>
    <x v="4"/>
    <n v="0"/>
    <n v="5021270777"/>
  </r>
  <r>
    <x v="69"/>
    <x v="0"/>
    <x v="2"/>
    <n v="10"/>
    <n v="10"/>
    <x v="0"/>
    <x v="0"/>
    <s v="payday"/>
    <n v="1570000000"/>
  </r>
  <r>
    <x v="69"/>
    <x v="0"/>
    <x v="2"/>
    <n v="10"/>
    <n v="10"/>
    <x v="2"/>
    <x v="2"/>
    <s v="cashloan"/>
    <n v="1220070000"/>
  </r>
  <r>
    <x v="69"/>
    <x v="0"/>
    <x v="2"/>
    <n v="10"/>
    <n v="10"/>
    <x v="5"/>
    <x v="5"/>
    <s v="overdraft"/>
    <n v="1951450777"/>
  </r>
  <r>
    <x v="69"/>
    <x v="0"/>
    <x v="2"/>
    <n v="10"/>
    <n v="10"/>
    <x v="1"/>
    <x v="1"/>
    <s v="cashloan"/>
    <n v="57750000"/>
  </r>
  <r>
    <x v="69"/>
    <x v="0"/>
    <x v="2"/>
    <n v="10"/>
    <n v="10"/>
    <x v="3"/>
    <x v="3"/>
    <s v="cashloan"/>
    <n v="189000000"/>
  </r>
  <r>
    <x v="70"/>
    <x v="0"/>
    <x v="2"/>
    <n v="11"/>
    <n v="11"/>
    <x v="6"/>
    <x v="6"/>
    <s v="payday"/>
    <n v="62000000"/>
  </r>
  <r>
    <x v="70"/>
    <x v="0"/>
    <x v="2"/>
    <n v="11"/>
    <n v="11"/>
    <x v="5"/>
    <x v="5"/>
    <s v="overdraft"/>
    <n v="2471531139"/>
  </r>
  <r>
    <x v="70"/>
    <x v="0"/>
    <x v="2"/>
    <n v="11"/>
    <n v="11"/>
    <x v="4"/>
    <x v="4"/>
    <n v="0"/>
    <n v="6503891139"/>
  </r>
  <r>
    <x v="70"/>
    <x v="0"/>
    <x v="2"/>
    <n v="11"/>
    <n v="11"/>
    <x v="0"/>
    <x v="0"/>
    <s v="payday"/>
    <n v="1986000000"/>
  </r>
  <r>
    <x v="70"/>
    <x v="0"/>
    <x v="2"/>
    <n v="11"/>
    <n v="11"/>
    <x v="1"/>
    <x v="1"/>
    <s v="cashloan"/>
    <n v="69850000"/>
  </r>
  <r>
    <x v="70"/>
    <x v="0"/>
    <x v="2"/>
    <n v="11"/>
    <n v="11"/>
    <x v="2"/>
    <x v="2"/>
    <s v="cashloan"/>
    <n v="1792710000"/>
  </r>
  <r>
    <x v="70"/>
    <x v="0"/>
    <x v="2"/>
    <n v="11"/>
    <n v="11"/>
    <x v="3"/>
    <x v="3"/>
    <s v="cashloan"/>
    <n v="121800000"/>
  </r>
  <r>
    <x v="71"/>
    <x v="0"/>
    <x v="2"/>
    <n v="11"/>
    <n v="12"/>
    <x v="3"/>
    <x v="3"/>
    <s v="cashloan"/>
    <n v="277750000"/>
  </r>
  <r>
    <x v="71"/>
    <x v="0"/>
    <x v="2"/>
    <n v="11"/>
    <n v="12"/>
    <x v="4"/>
    <x v="4"/>
    <n v="0"/>
    <n v="6346205853"/>
  </r>
  <r>
    <x v="71"/>
    <x v="0"/>
    <x v="2"/>
    <n v="11"/>
    <n v="12"/>
    <x v="1"/>
    <x v="1"/>
    <s v="cashloan"/>
    <n v="135500000"/>
  </r>
  <r>
    <x v="71"/>
    <x v="0"/>
    <x v="2"/>
    <n v="11"/>
    <n v="12"/>
    <x v="6"/>
    <x v="6"/>
    <s v="payday"/>
    <n v="48000000"/>
  </r>
  <r>
    <x v="71"/>
    <x v="0"/>
    <x v="2"/>
    <n v="11"/>
    <n v="12"/>
    <x v="0"/>
    <x v="0"/>
    <s v="payday"/>
    <n v="1875500000"/>
  </r>
  <r>
    <x v="71"/>
    <x v="0"/>
    <x v="2"/>
    <n v="11"/>
    <n v="12"/>
    <x v="2"/>
    <x v="2"/>
    <s v="cashloan"/>
    <n v="2002630000"/>
  </r>
  <r>
    <x v="71"/>
    <x v="0"/>
    <x v="2"/>
    <n v="11"/>
    <n v="12"/>
    <x v="5"/>
    <x v="5"/>
    <s v="overdraft"/>
    <n v="2006825853"/>
  </r>
  <r>
    <x v="72"/>
    <x v="0"/>
    <x v="2"/>
    <n v="11"/>
    <n v="13"/>
    <x v="1"/>
    <x v="1"/>
    <s v="cashloan"/>
    <n v="63000000"/>
  </r>
  <r>
    <x v="72"/>
    <x v="0"/>
    <x v="2"/>
    <n v="11"/>
    <n v="13"/>
    <x v="0"/>
    <x v="0"/>
    <s v="payday"/>
    <n v="1931000000"/>
  </r>
  <r>
    <x v="72"/>
    <x v="0"/>
    <x v="2"/>
    <n v="11"/>
    <n v="13"/>
    <x v="5"/>
    <x v="5"/>
    <s v="overdraft"/>
    <n v="1727246651"/>
  </r>
  <r>
    <x v="72"/>
    <x v="0"/>
    <x v="2"/>
    <n v="11"/>
    <n v="13"/>
    <x v="6"/>
    <x v="6"/>
    <s v="payday"/>
    <n v="36000000"/>
  </r>
  <r>
    <x v="72"/>
    <x v="0"/>
    <x v="2"/>
    <n v="11"/>
    <n v="13"/>
    <x v="2"/>
    <x v="2"/>
    <s v="cashloan"/>
    <n v="1933140000"/>
  </r>
  <r>
    <x v="72"/>
    <x v="0"/>
    <x v="2"/>
    <n v="11"/>
    <n v="13"/>
    <x v="4"/>
    <x v="4"/>
    <n v="0"/>
    <n v="5868886651"/>
  </r>
  <r>
    <x v="72"/>
    <x v="0"/>
    <x v="2"/>
    <n v="11"/>
    <n v="13"/>
    <x v="3"/>
    <x v="3"/>
    <s v="cashloan"/>
    <n v="178500000"/>
  </r>
  <r>
    <x v="73"/>
    <x v="0"/>
    <x v="2"/>
    <n v="11"/>
    <n v="14"/>
    <x v="2"/>
    <x v="2"/>
    <s v="cashloan"/>
    <n v="1951780000"/>
  </r>
  <r>
    <x v="73"/>
    <x v="0"/>
    <x v="2"/>
    <n v="11"/>
    <n v="14"/>
    <x v="5"/>
    <x v="5"/>
    <s v="overdraft"/>
    <n v="2145948677"/>
  </r>
  <r>
    <x v="73"/>
    <x v="0"/>
    <x v="2"/>
    <n v="11"/>
    <n v="14"/>
    <x v="3"/>
    <x v="3"/>
    <s v="cashloan"/>
    <n v="148050000"/>
  </r>
  <r>
    <x v="73"/>
    <x v="0"/>
    <x v="2"/>
    <n v="11"/>
    <n v="14"/>
    <x v="4"/>
    <x v="4"/>
    <n v="0"/>
    <n v="6218278677"/>
  </r>
  <r>
    <x v="73"/>
    <x v="0"/>
    <x v="2"/>
    <n v="11"/>
    <n v="14"/>
    <x v="1"/>
    <x v="1"/>
    <s v="cashloan"/>
    <n v="21000000"/>
  </r>
  <r>
    <x v="73"/>
    <x v="0"/>
    <x v="2"/>
    <n v="11"/>
    <n v="14"/>
    <x v="0"/>
    <x v="0"/>
    <s v="payday"/>
    <n v="1935500000"/>
  </r>
  <r>
    <x v="73"/>
    <x v="0"/>
    <x v="2"/>
    <n v="11"/>
    <n v="14"/>
    <x v="6"/>
    <x v="6"/>
    <s v="payday"/>
    <n v="16000000"/>
  </r>
  <r>
    <x v="74"/>
    <x v="0"/>
    <x v="2"/>
    <n v="11"/>
    <n v="15"/>
    <x v="3"/>
    <x v="3"/>
    <s v="cashloan"/>
    <n v="213200000"/>
  </r>
  <r>
    <x v="74"/>
    <x v="0"/>
    <x v="2"/>
    <n v="11"/>
    <n v="15"/>
    <x v="1"/>
    <x v="1"/>
    <s v="cashloan"/>
    <n v="57250000"/>
  </r>
  <r>
    <x v="74"/>
    <x v="0"/>
    <x v="2"/>
    <n v="11"/>
    <n v="15"/>
    <x v="5"/>
    <x v="5"/>
    <s v="overdraft"/>
    <n v="2412573873"/>
  </r>
  <r>
    <x v="74"/>
    <x v="0"/>
    <x v="2"/>
    <n v="11"/>
    <n v="15"/>
    <x v="0"/>
    <x v="0"/>
    <s v="payday"/>
    <n v="1950500000"/>
  </r>
  <r>
    <x v="74"/>
    <x v="0"/>
    <x v="2"/>
    <n v="11"/>
    <n v="15"/>
    <x v="4"/>
    <x v="4"/>
    <n v="0"/>
    <n v="6266413873"/>
  </r>
  <r>
    <x v="74"/>
    <x v="0"/>
    <x v="2"/>
    <n v="11"/>
    <n v="15"/>
    <x v="2"/>
    <x v="2"/>
    <s v="cashloan"/>
    <n v="1607890000"/>
  </r>
  <r>
    <x v="74"/>
    <x v="0"/>
    <x v="2"/>
    <n v="11"/>
    <n v="15"/>
    <x v="6"/>
    <x v="6"/>
    <s v="payday"/>
    <n v="25000000"/>
  </r>
  <r>
    <x v="75"/>
    <x v="0"/>
    <x v="2"/>
    <n v="11"/>
    <n v="16"/>
    <x v="4"/>
    <x v="4"/>
    <n v="0"/>
    <n v="5041001781"/>
  </r>
  <r>
    <x v="75"/>
    <x v="0"/>
    <x v="2"/>
    <n v="11"/>
    <n v="16"/>
    <x v="2"/>
    <x v="2"/>
    <s v="cashloan"/>
    <n v="1520660000"/>
  </r>
  <r>
    <x v="75"/>
    <x v="0"/>
    <x v="2"/>
    <n v="11"/>
    <n v="16"/>
    <x v="1"/>
    <x v="1"/>
    <s v="cashloan"/>
    <n v="93450000"/>
  </r>
  <r>
    <x v="75"/>
    <x v="0"/>
    <x v="2"/>
    <n v="11"/>
    <n v="16"/>
    <x v="3"/>
    <x v="3"/>
    <s v="cashloan"/>
    <n v="26250000"/>
  </r>
  <r>
    <x v="75"/>
    <x v="0"/>
    <x v="2"/>
    <n v="11"/>
    <n v="16"/>
    <x v="5"/>
    <x v="5"/>
    <s v="overdraft"/>
    <n v="1527141781"/>
  </r>
  <r>
    <x v="75"/>
    <x v="0"/>
    <x v="2"/>
    <n v="11"/>
    <n v="16"/>
    <x v="0"/>
    <x v="0"/>
    <s v="payday"/>
    <n v="1855500000"/>
  </r>
  <r>
    <x v="75"/>
    <x v="0"/>
    <x v="2"/>
    <n v="11"/>
    <n v="16"/>
    <x v="6"/>
    <x v="6"/>
    <s v="payday"/>
    <n v="18000000"/>
  </r>
  <r>
    <x v="76"/>
    <x v="0"/>
    <x v="2"/>
    <n v="11"/>
    <n v="17"/>
    <x v="3"/>
    <x v="3"/>
    <s v="cashloan"/>
    <n v="78750000"/>
  </r>
  <r>
    <x v="76"/>
    <x v="0"/>
    <x v="2"/>
    <n v="11"/>
    <n v="17"/>
    <x v="2"/>
    <x v="2"/>
    <s v="cashloan"/>
    <n v="1307100000"/>
  </r>
  <r>
    <x v="76"/>
    <x v="0"/>
    <x v="2"/>
    <n v="11"/>
    <n v="17"/>
    <x v="5"/>
    <x v="5"/>
    <s v="overdraft"/>
    <n v="1628683941"/>
  </r>
  <r>
    <x v="76"/>
    <x v="0"/>
    <x v="2"/>
    <n v="11"/>
    <n v="17"/>
    <x v="6"/>
    <x v="6"/>
    <s v="payday"/>
    <n v="5000000"/>
  </r>
  <r>
    <x v="76"/>
    <x v="0"/>
    <x v="2"/>
    <n v="11"/>
    <n v="17"/>
    <x v="1"/>
    <x v="1"/>
    <s v="cashloan"/>
    <n v="94500000"/>
  </r>
  <r>
    <x v="76"/>
    <x v="0"/>
    <x v="2"/>
    <n v="11"/>
    <n v="17"/>
    <x v="4"/>
    <x v="4"/>
    <n v="0"/>
    <n v="4906033941"/>
  </r>
  <r>
    <x v="76"/>
    <x v="0"/>
    <x v="2"/>
    <n v="11"/>
    <n v="17"/>
    <x v="0"/>
    <x v="0"/>
    <s v="payday"/>
    <n v="1792000000"/>
  </r>
  <r>
    <x v="77"/>
    <x v="0"/>
    <x v="2"/>
    <n v="12"/>
    <n v="18"/>
    <x v="1"/>
    <x v="1"/>
    <s v="cashloan"/>
    <n v="99900000"/>
  </r>
  <r>
    <x v="77"/>
    <x v="0"/>
    <x v="2"/>
    <n v="12"/>
    <n v="18"/>
    <x v="6"/>
    <x v="6"/>
    <s v="payday"/>
    <n v="9000000"/>
  </r>
  <r>
    <x v="77"/>
    <x v="0"/>
    <x v="2"/>
    <n v="12"/>
    <n v="18"/>
    <x v="2"/>
    <x v="2"/>
    <s v="cashloan"/>
    <n v="1789410000"/>
  </r>
  <r>
    <x v="77"/>
    <x v="0"/>
    <x v="2"/>
    <n v="12"/>
    <n v="18"/>
    <x v="0"/>
    <x v="0"/>
    <s v="payday"/>
    <n v="2054000000"/>
  </r>
  <r>
    <x v="77"/>
    <x v="0"/>
    <x v="2"/>
    <n v="12"/>
    <n v="18"/>
    <x v="4"/>
    <x v="4"/>
    <n v="0"/>
    <n v="6273067938"/>
  </r>
  <r>
    <x v="77"/>
    <x v="0"/>
    <x v="2"/>
    <n v="12"/>
    <n v="18"/>
    <x v="3"/>
    <x v="3"/>
    <s v="cashloan"/>
    <n v="126000000"/>
  </r>
  <r>
    <x v="77"/>
    <x v="0"/>
    <x v="2"/>
    <n v="12"/>
    <n v="18"/>
    <x v="5"/>
    <x v="5"/>
    <s v="overdraft"/>
    <n v="2194757938"/>
  </r>
  <r>
    <x v="78"/>
    <x v="0"/>
    <x v="2"/>
    <n v="12"/>
    <n v="19"/>
    <x v="1"/>
    <x v="1"/>
    <s v="cashloan"/>
    <n v="94500000"/>
  </r>
  <r>
    <x v="78"/>
    <x v="0"/>
    <x v="2"/>
    <n v="12"/>
    <n v="19"/>
    <x v="2"/>
    <x v="2"/>
    <s v="cashloan"/>
    <n v="1533910000"/>
  </r>
  <r>
    <x v="78"/>
    <x v="0"/>
    <x v="2"/>
    <n v="12"/>
    <n v="19"/>
    <x v="4"/>
    <x v="4"/>
    <n v="0"/>
    <n v="5433584662"/>
  </r>
  <r>
    <x v="78"/>
    <x v="0"/>
    <x v="2"/>
    <n v="12"/>
    <n v="19"/>
    <x v="5"/>
    <x v="5"/>
    <s v="overdraft"/>
    <n v="1830624662"/>
  </r>
  <r>
    <x v="78"/>
    <x v="0"/>
    <x v="2"/>
    <n v="12"/>
    <n v="19"/>
    <x v="6"/>
    <x v="6"/>
    <s v="payday"/>
    <n v="72000000"/>
  </r>
  <r>
    <x v="78"/>
    <x v="0"/>
    <x v="2"/>
    <n v="12"/>
    <n v="19"/>
    <x v="0"/>
    <x v="0"/>
    <s v="payday"/>
    <n v="1582000000"/>
  </r>
  <r>
    <x v="78"/>
    <x v="0"/>
    <x v="2"/>
    <n v="12"/>
    <n v="19"/>
    <x v="3"/>
    <x v="3"/>
    <s v="cashloan"/>
    <n v="320550000"/>
  </r>
  <r>
    <x v="79"/>
    <x v="0"/>
    <x v="2"/>
    <n v="12"/>
    <n v="20"/>
    <x v="6"/>
    <x v="6"/>
    <s v="payday"/>
    <n v="14000000"/>
  </r>
  <r>
    <x v="79"/>
    <x v="0"/>
    <x v="2"/>
    <n v="12"/>
    <n v="20"/>
    <x v="1"/>
    <x v="1"/>
    <s v="cashloan"/>
    <n v="94500000"/>
  </r>
  <r>
    <x v="79"/>
    <x v="0"/>
    <x v="2"/>
    <n v="12"/>
    <n v="20"/>
    <x v="4"/>
    <x v="4"/>
    <n v="0"/>
    <n v="5453000928"/>
  </r>
  <r>
    <x v="79"/>
    <x v="0"/>
    <x v="2"/>
    <n v="12"/>
    <n v="20"/>
    <x v="5"/>
    <x v="5"/>
    <s v="overdraft"/>
    <n v="1737460928"/>
  </r>
  <r>
    <x v="79"/>
    <x v="0"/>
    <x v="2"/>
    <n v="12"/>
    <n v="20"/>
    <x v="2"/>
    <x v="2"/>
    <s v="cashloan"/>
    <n v="1607640000"/>
  </r>
  <r>
    <x v="79"/>
    <x v="0"/>
    <x v="2"/>
    <n v="12"/>
    <n v="20"/>
    <x v="3"/>
    <x v="3"/>
    <s v="cashloan"/>
    <n v="176400000"/>
  </r>
  <r>
    <x v="79"/>
    <x v="0"/>
    <x v="2"/>
    <n v="12"/>
    <n v="20"/>
    <x v="0"/>
    <x v="0"/>
    <s v="payday"/>
    <n v="1823000000"/>
  </r>
  <r>
    <x v="80"/>
    <x v="0"/>
    <x v="2"/>
    <n v="12"/>
    <n v="21"/>
    <x v="4"/>
    <x v="4"/>
    <n v="0"/>
    <n v="5470373779"/>
  </r>
  <r>
    <x v="80"/>
    <x v="0"/>
    <x v="2"/>
    <n v="12"/>
    <n v="21"/>
    <x v="7"/>
    <x v="7"/>
    <s v="paylater"/>
    <n v="25000"/>
  </r>
  <r>
    <x v="80"/>
    <x v="0"/>
    <x v="2"/>
    <n v="12"/>
    <n v="21"/>
    <x v="3"/>
    <x v="3"/>
    <s v="cashloan"/>
    <n v="159600000"/>
  </r>
  <r>
    <x v="80"/>
    <x v="0"/>
    <x v="2"/>
    <n v="12"/>
    <n v="21"/>
    <x v="1"/>
    <x v="1"/>
    <s v="cashloan"/>
    <n v="49900000"/>
  </r>
  <r>
    <x v="80"/>
    <x v="0"/>
    <x v="2"/>
    <n v="12"/>
    <n v="21"/>
    <x v="6"/>
    <x v="6"/>
    <s v="payday"/>
    <n v="64000000"/>
  </r>
  <r>
    <x v="80"/>
    <x v="0"/>
    <x v="2"/>
    <n v="12"/>
    <n v="21"/>
    <x v="2"/>
    <x v="2"/>
    <s v="cashloan"/>
    <n v="1414930000"/>
  </r>
  <r>
    <x v="80"/>
    <x v="0"/>
    <x v="2"/>
    <n v="12"/>
    <n v="21"/>
    <x v="0"/>
    <x v="0"/>
    <s v="payday"/>
    <n v="2019000000"/>
  </r>
  <r>
    <x v="80"/>
    <x v="0"/>
    <x v="2"/>
    <n v="12"/>
    <n v="21"/>
    <x v="5"/>
    <x v="5"/>
    <s v="overdraft"/>
    <n v="1762918779"/>
  </r>
  <r>
    <x v="81"/>
    <x v="0"/>
    <x v="2"/>
    <n v="12"/>
    <n v="22"/>
    <x v="2"/>
    <x v="2"/>
    <s v="cashloan"/>
    <n v="1450480000"/>
  </r>
  <r>
    <x v="81"/>
    <x v="0"/>
    <x v="2"/>
    <n v="12"/>
    <n v="22"/>
    <x v="7"/>
    <x v="7"/>
    <s v="paylater"/>
    <n v="168769"/>
  </r>
  <r>
    <x v="81"/>
    <x v="0"/>
    <x v="2"/>
    <n v="12"/>
    <n v="22"/>
    <x v="5"/>
    <x v="5"/>
    <s v="overdraft"/>
    <n v="2328694861"/>
  </r>
  <r>
    <x v="81"/>
    <x v="0"/>
    <x v="2"/>
    <n v="12"/>
    <n v="22"/>
    <x v="6"/>
    <x v="6"/>
    <s v="payday"/>
    <n v="36000000"/>
  </r>
  <r>
    <x v="81"/>
    <x v="0"/>
    <x v="2"/>
    <n v="12"/>
    <n v="22"/>
    <x v="1"/>
    <x v="1"/>
    <s v="cashloan"/>
    <n v="73500000"/>
  </r>
  <r>
    <x v="81"/>
    <x v="0"/>
    <x v="2"/>
    <n v="12"/>
    <n v="22"/>
    <x v="4"/>
    <x v="4"/>
    <n v="0"/>
    <n v="6242343630"/>
  </r>
  <r>
    <x v="81"/>
    <x v="0"/>
    <x v="2"/>
    <n v="12"/>
    <n v="22"/>
    <x v="0"/>
    <x v="0"/>
    <s v="payday"/>
    <n v="2144000000"/>
  </r>
  <r>
    <x v="81"/>
    <x v="0"/>
    <x v="2"/>
    <n v="12"/>
    <n v="22"/>
    <x v="3"/>
    <x v="3"/>
    <s v="cashloan"/>
    <n v="209500000"/>
  </r>
  <r>
    <x v="82"/>
    <x v="0"/>
    <x v="2"/>
    <n v="12"/>
    <n v="23"/>
    <x v="5"/>
    <x v="5"/>
    <s v="overdraft"/>
    <n v="1643105261"/>
  </r>
  <r>
    <x v="82"/>
    <x v="0"/>
    <x v="2"/>
    <n v="12"/>
    <n v="23"/>
    <x v="6"/>
    <x v="6"/>
    <s v="payday"/>
    <n v="42000000"/>
  </r>
  <r>
    <x v="82"/>
    <x v="0"/>
    <x v="2"/>
    <n v="12"/>
    <n v="23"/>
    <x v="1"/>
    <x v="1"/>
    <s v="cashloan"/>
    <n v="78750000"/>
  </r>
  <r>
    <x v="82"/>
    <x v="0"/>
    <x v="2"/>
    <n v="12"/>
    <n v="23"/>
    <x v="2"/>
    <x v="2"/>
    <s v="cashloan"/>
    <n v="1514420000"/>
  </r>
  <r>
    <x v="82"/>
    <x v="0"/>
    <x v="2"/>
    <n v="12"/>
    <n v="23"/>
    <x v="7"/>
    <x v="7"/>
    <s v="paylater"/>
    <n v="45356"/>
  </r>
  <r>
    <x v="82"/>
    <x v="0"/>
    <x v="2"/>
    <n v="12"/>
    <n v="23"/>
    <x v="3"/>
    <x v="3"/>
    <s v="cashloan"/>
    <n v="73500000"/>
  </r>
  <r>
    <x v="82"/>
    <x v="0"/>
    <x v="2"/>
    <n v="12"/>
    <n v="23"/>
    <x v="0"/>
    <x v="0"/>
    <s v="payday"/>
    <n v="1749500000"/>
  </r>
  <r>
    <x v="82"/>
    <x v="0"/>
    <x v="2"/>
    <n v="12"/>
    <n v="23"/>
    <x v="4"/>
    <x v="4"/>
    <n v="0"/>
    <n v="5101320617"/>
  </r>
  <r>
    <x v="83"/>
    <x v="0"/>
    <x v="2"/>
    <n v="12"/>
    <n v="24"/>
    <x v="0"/>
    <x v="0"/>
    <s v="payday"/>
    <n v="1557000000"/>
  </r>
  <r>
    <x v="83"/>
    <x v="0"/>
    <x v="2"/>
    <n v="12"/>
    <n v="24"/>
    <x v="1"/>
    <x v="1"/>
    <s v="cashloan"/>
    <n v="125500000"/>
  </r>
  <r>
    <x v="83"/>
    <x v="0"/>
    <x v="2"/>
    <n v="12"/>
    <n v="24"/>
    <x v="3"/>
    <x v="3"/>
    <s v="cashloan"/>
    <n v="108200000"/>
  </r>
  <r>
    <x v="83"/>
    <x v="0"/>
    <x v="2"/>
    <n v="12"/>
    <n v="24"/>
    <x v="7"/>
    <x v="7"/>
    <s v="paylater"/>
    <n v="0"/>
  </r>
  <r>
    <x v="83"/>
    <x v="0"/>
    <x v="2"/>
    <n v="12"/>
    <n v="24"/>
    <x v="6"/>
    <x v="6"/>
    <s v="payday"/>
    <n v="37000000"/>
  </r>
  <r>
    <x v="83"/>
    <x v="0"/>
    <x v="2"/>
    <n v="12"/>
    <n v="24"/>
    <x v="4"/>
    <x v="4"/>
    <n v="0"/>
    <n v="4836062027"/>
  </r>
  <r>
    <x v="83"/>
    <x v="0"/>
    <x v="2"/>
    <n v="12"/>
    <n v="24"/>
    <x v="2"/>
    <x v="2"/>
    <s v="cashloan"/>
    <n v="1125010000"/>
  </r>
  <r>
    <x v="83"/>
    <x v="0"/>
    <x v="2"/>
    <n v="12"/>
    <n v="24"/>
    <x v="5"/>
    <x v="5"/>
    <s v="overdraft"/>
    <n v="1883352027"/>
  </r>
  <r>
    <x v="84"/>
    <x v="0"/>
    <x v="2"/>
    <n v="13"/>
    <n v="25"/>
    <x v="7"/>
    <x v="7"/>
    <s v="paylater"/>
    <n v="71056"/>
  </r>
  <r>
    <x v="84"/>
    <x v="0"/>
    <x v="2"/>
    <n v="13"/>
    <n v="25"/>
    <x v="5"/>
    <x v="5"/>
    <s v="overdraft"/>
    <n v="1666741556"/>
  </r>
  <r>
    <x v="84"/>
    <x v="0"/>
    <x v="2"/>
    <n v="13"/>
    <n v="25"/>
    <x v="6"/>
    <x v="6"/>
    <s v="payday"/>
    <n v="69000000"/>
  </r>
  <r>
    <x v="84"/>
    <x v="0"/>
    <x v="2"/>
    <n v="13"/>
    <n v="25"/>
    <x v="1"/>
    <x v="1"/>
    <s v="cashloan"/>
    <n v="99750000"/>
  </r>
  <r>
    <x v="84"/>
    <x v="0"/>
    <x v="2"/>
    <n v="13"/>
    <n v="25"/>
    <x v="4"/>
    <x v="4"/>
    <n v="0"/>
    <n v="6029302612"/>
  </r>
  <r>
    <x v="84"/>
    <x v="0"/>
    <x v="2"/>
    <n v="13"/>
    <n v="25"/>
    <x v="0"/>
    <x v="0"/>
    <s v="payday"/>
    <n v="2167000000"/>
  </r>
  <r>
    <x v="84"/>
    <x v="0"/>
    <x v="2"/>
    <n v="13"/>
    <n v="25"/>
    <x v="2"/>
    <x v="2"/>
    <s v="cashloan"/>
    <n v="1801490000"/>
  </r>
  <r>
    <x v="84"/>
    <x v="0"/>
    <x v="2"/>
    <n v="13"/>
    <n v="25"/>
    <x v="3"/>
    <x v="3"/>
    <s v="cashloan"/>
    <n v="225250000"/>
  </r>
  <r>
    <x v="85"/>
    <x v="0"/>
    <x v="2"/>
    <n v="13"/>
    <n v="26"/>
    <x v="0"/>
    <x v="0"/>
    <s v="payday"/>
    <n v="1892000000"/>
  </r>
  <r>
    <x v="85"/>
    <x v="0"/>
    <x v="2"/>
    <n v="13"/>
    <n v="26"/>
    <x v="3"/>
    <x v="3"/>
    <s v="cashloan"/>
    <n v="94500000"/>
  </r>
  <r>
    <x v="85"/>
    <x v="0"/>
    <x v="2"/>
    <n v="13"/>
    <n v="26"/>
    <x v="5"/>
    <x v="5"/>
    <s v="overdraft"/>
    <n v="1908240123"/>
  </r>
  <r>
    <x v="85"/>
    <x v="0"/>
    <x v="2"/>
    <n v="13"/>
    <n v="26"/>
    <x v="6"/>
    <x v="6"/>
    <s v="payday"/>
    <n v="28000000"/>
  </r>
  <r>
    <x v="85"/>
    <x v="0"/>
    <x v="2"/>
    <n v="13"/>
    <n v="26"/>
    <x v="4"/>
    <x v="4"/>
    <n v="0"/>
    <n v="5770060123"/>
  </r>
  <r>
    <x v="85"/>
    <x v="0"/>
    <x v="2"/>
    <n v="13"/>
    <n v="26"/>
    <x v="1"/>
    <x v="1"/>
    <s v="cashloan"/>
    <n v="63000000"/>
  </r>
  <r>
    <x v="85"/>
    <x v="0"/>
    <x v="2"/>
    <n v="13"/>
    <n v="26"/>
    <x v="7"/>
    <x v="7"/>
    <s v="paylater"/>
    <n v="0"/>
  </r>
  <r>
    <x v="85"/>
    <x v="0"/>
    <x v="2"/>
    <n v="13"/>
    <n v="26"/>
    <x v="2"/>
    <x v="2"/>
    <s v="cashloan"/>
    <n v="1784320000"/>
  </r>
  <r>
    <x v="86"/>
    <x v="0"/>
    <x v="2"/>
    <n v="13"/>
    <n v="27"/>
    <x v="5"/>
    <x v="5"/>
    <s v="overdraft"/>
    <n v="1892157279"/>
  </r>
  <r>
    <x v="86"/>
    <x v="0"/>
    <x v="2"/>
    <n v="13"/>
    <n v="27"/>
    <x v="6"/>
    <x v="6"/>
    <s v="payday"/>
    <n v="41000000"/>
  </r>
  <r>
    <x v="86"/>
    <x v="0"/>
    <x v="2"/>
    <n v="13"/>
    <n v="27"/>
    <x v="2"/>
    <x v="2"/>
    <s v="cashloan"/>
    <n v="1956130000"/>
  </r>
  <r>
    <x v="86"/>
    <x v="0"/>
    <x v="2"/>
    <n v="13"/>
    <n v="27"/>
    <x v="3"/>
    <x v="3"/>
    <s v="cashloan"/>
    <n v="136500000"/>
  </r>
  <r>
    <x v="86"/>
    <x v="0"/>
    <x v="2"/>
    <n v="13"/>
    <n v="27"/>
    <x v="1"/>
    <x v="1"/>
    <s v="cashloan"/>
    <n v="94500000"/>
  </r>
  <r>
    <x v="86"/>
    <x v="0"/>
    <x v="2"/>
    <n v="13"/>
    <n v="27"/>
    <x v="4"/>
    <x v="4"/>
    <n v="0"/>
    <n v="5897787279"/>
  </r>
  <r>
    <x v="86"/>
    <x v="0"/>
    <x v="2"/>
    <n v="13"/>
    <n v="27"/>
    <x v="0"/>
    <x v="0"/>
    <s v="payday"/>
    <n v="1777500000"/>
  </r>
  <r>
    <x v="86"/>
    <x v="0"/>
    <x v="2"/>
    <n v="13"/>
    <n v="27"/>
    <x v="7"/>
    <x v="7"/>
    <s v="paylater"/>
    <n v="0"/>
  </r>
  <r>
    <x v="87"/>
    <x v="0"/>
    <x v="2"/>
    <n v="13"/>
    <n v="28"/>
    <x v="1"/>
    <x v="1"/>
    <s v="cashloan"/>
    <n v="63000000"/>
  </r>
  <r>
    <x v="87"/>
    <x v="0"/>
    <x v="2"/>
    <n v="13"/>
    <n v="28"/>
    <x v="3"/>
    <x v="3"/>
    <s v="cashloan"/>
    <n v="96600000"/>
  </r>
  <r>
    <x v="87"/>
    <x v="0"/>
    <x v="2"/>
    <n v="13"/>
    <n v="28"/>
    <x v="2"/>
    <x v="2"/>
    <s v="cashloan"/>
    <n v="1591320000"/>
  </r>
  <r>
    <x v="87"/>
    <x v="0"/>
    <x v="2"/>
    <n v="13"/>
    <n v="28"/>
    <x v="5"/>
    <x v="5"/>
    <s v="overdraft"/>
    <n v="1733341018"/>
  </r>
  <r>
    <x v="87"/>
    <x v="0"/>
    <x v="2"/>
    <n v="13"/>
    <n v="28"/>
    <x v="4"/>
    <x v="4"/>
    <n v="0"/>
    <n v="5411266018"/>
  </r>
  <r>
    <x v="87"/>
    <x v="0"/>
    <x v="2"/>
    <n v="13"/>
    <n v="28"/>
    <x v="7"/>
    <x v="7"/>
    <s v="paylater"/>
    <n v="5000"/>
  </r>
  <r>
    <x v="87"/>
    <x v="0"/>
    <x v="2"/>
    <n v="13"/>
    <n v="28"/>
    <x v="6"/>
    <x v="6"/>
    <s v="payday"/>
    <n v="48000000"/>
  </r>
  <r>
    <x v="87"/>
    <x v="0"/>
    <x v="2"/>
    <n v="13"/>
    <n v="28"/>
    <x v="0"/>
    <x v="0"/>
    <s v="payday"/>
    <n v="1879000000"/>
  </r>
  <r>
    <x v="88"/>
    <x v="0"/>
    <x v="2"/>
    <n v="13"/>
    <n v="29"/>
    <x v="7"/>
    <x v="7"/>
    <s v="paylater"/>
    <n v="730689"/>
  </r>
  <r>
    <x v="88"/>
    <x v="0"/>
    <x v="2"/>
    <n v="13"/>
    <n v="29"/>
    <x v="6"/>
    <x v="6"/>
    <s v="payday"/>
    <n v="38000000"/>
  </r>
  <r>
    <x v="88"/>
    <x v="0"/>
    <x v="2"/>
    <n v="13"/>
    <n v="29"/>
    <x v="4"/>
    <x v="4"/>
    <n v="0"/>
    <n v="6303437639"/>
  </r>
  <r>
    <x v="88"/>
    <x v="0"/>
    <x v="2"/>
    <n v="13"/>
    <n v="29"/>
    <x v="5"/>
    <x v="5"/>
    <s v="overdraft"/>
    <n v="2258666950"/>
  </r>
  <r>
    <x v="88"/>
    <x v="0"/>
    <x v="2"/>
    <n v="13"/>
    <n v="29"/>
    <x v="1"/>
    <x v="1"/>
    <s v="cashloan"/>
    <n v="21000000"/>
  </r>
  <r>
    <x v="88"/>
    <x v="0"/>
    <x v="2"/>
    <n v="13"/>
    <n v="29"/>
    <x v="0"/>
    <x v="0"/>
    <s v="payday"/>
    <n v="2088000000"/>
  </r>
  <r>
    <x v="88"/>
    <x v="0"/>
    <x v="2"/>
    <n v="13"/>
    <n v="29"/>
    <x v="2"/>
    <x v="2"/>
    <s v="cashloan"/>
    <n v="1673390000"/>
  </r>
  <r>
    <x v="88"/>
    <x v="0"/>
    <x v="2"/>
    <n v="13"/>
    <n v="29"/>
    <x v="3"/>
    <x v="3"/>
    <s v="cashloan"/>
    <n v="223650000"/>
  </r>
  <r>
    <x v="89"/>
    <x v="0"/>
    <x v="2"/>
    <n v="13"/>
    <n v="30"/>
    <x v="5"/>
    <x v="5"/>
    <s v="overdraft"/>
    <n v="1741872390"/>
  </r>
  <r>
    <x v="89"/>
    <x v="0"/>
    <x v="2"/>
    <n v="13"/>
    <n v="30"/>
    <x v="7"/>
    <x v="7"/>
    <s v="paylater"/>
    <n v="0"/>
  </r>
  <r>
    <x v="89"/>
    <x v="0"/>
    <x v="2"/>
    <n v="13"/>
    <n v="30"/>
    <x v="1"/>
    <x v="1"/>
    <s v="cashloan"/>
    <n v="83000000"/>
  </r>
  <r>
    <x v="89"/>
    <x v="0"/>
    <x v="2"/>
    <n v="13"/>
    <n v="30"/>
    <x v="2"/>
    <x v="2"/>
    <s v="cashloan"/>
    <n v="1433850000"/>
  </r>
  <r>
    <x v="89"/>
    <x v="0"/>
    <x v="2"/>
    <n v="13"/>
    <n v="30"/>
    <x v="6"/>
    <x v="6"/>
    <s v="payday"/>
    <n v="10000000"/>
  </r>
  <r>
    <x v="89"/>
    <x v="0"/>
    <x v="2"/>
    <n v="13"/>
    <n v="30"/>
    <x v="3"/>
    <x v="3"/>
    <s v="cashloan"/>
    <n v="130250000"/>
  </r>
  <r>
    <x v="89"/>
    <x v="0"/>
    <x v="2"/>
    <n v="13"/>
    <n v="30"/>
    <x v="0"/>
    <x v="0"/>
    <s v="payday"/>
    <n v="1924000000"/>
  </r>
  <r>
    <x v="89"/>
    <x v="0"/>
    <x v="2"/>
    <n v="13"/>
    <n v="30"/>
    <x v="4"/>
    <x v="4"/>
    <n v="0"/>
    <n v="5322972390"/>
  </r>
  <r>
    <x v="90"/>
    <x v="0"/>
    <x v="2"/>
    <n v="13"/>
    <n v="31"/>
    <x v="1"/>
    <x v="1"/>
    <s v="cashloan"/>
    <n v="115500000"/>
  </r>
  <r>
    <x v="90"/>
    <x v="0"/>
    <x v="2"/>
    <n v="13"/>
    <n v="31"/>
    <x v="2"/>
    <x v="2"/>
    <s v="cashloan"/>
    <n v="1437610000"/>
  </r>
  <r>
    <x v="90"/>
    <x v="0"/>
    <x v="2"/>
    <n v="13"/>
    <n v="31"/>
    <x v="3"/>
    <x v="3"/>
    <s v="cashloan"/>
    <n v="42000000"/>
  </r>
  <r>
    <x v="90"/>
    <x v="0"/>
    <x v="2"/>
    <n v="13"/>
    <n v="31"/>
    <x v="5"/>
    <x v="5"/>
    <s v="overdraft"/>
    <n v="1507177240"/>
  </r>
  <r>
    <x v="90"/>
    <x v="0"/>
    <x v="2"/>
    <n v="13"/>
    <n v="31"/>
    <x v="0"/>
    <x v="0"/>
    <s v="payday"/>
    <n v="1730000000"/>
  </r>
  <r>
    <x v="90"/>
    <x v="0"/>
    <x v="2"/>
    <n v="13"/>
    <n v="31"/>
    <x v="4"/>
    <x v="4"/>
    <n v="0"/>
    <n v="4877287240"/>
  </r>
  <r>
    <x v="90"/>
    <x v="0"/>
    <x v="2"/>
    <n v="13"/>
    <n v="31"/>
    <x v="7"/>
    <x v="7"/>
    <s v="paylater"/>
    <n v="0"/>
  </r>
  <r>
    <x v="90"/>
    <x v="0"/>
    <x v="2"/>
    <n v="13"/>
    <n v="31"/>
    <x v="6"/>
    <x v="6"/>
    <s v="payday"/>
    <n v="45000000"/>
  </r>
  <r>
    <x v="91"/>
    <x v="0"/>
    <x v="3"/>
    <n v="14"/>
    <n v="1"/>
    <x v="7"/>
    <x v="7"/>
    <s v="paylater"/>
    <n v="0"/>
  </r>
  <r>
    <x v="91"/>
    <x v="0"/>
    <x v="3"/>
    <n v="14"/>
    <n v="1"/>
    <x v="0"/>
    <x v="0"/>
    <s v="payday"/>
    <n v="2358500000"/>
  </r>
  <r>
    <x v="91"/>
    <x v="0"/>
    <x v="3"/>
    <n v="14"/>
    <n v="1"/>
    <x v="5"/>
    <x v="5"/>
    <s v="overdraft"/>
    <n v="3651306103"/>
  </r>
  <r>
    <x v="91"/>
    <x v="0"/>
    <x v="3"/>
    <n v="14"/>
    <n v="1"/>
    <x v="2"/>
    <x v="2"/>
    <s v="cashloan"/>
    <n v="2165120000"/>
  </r>
  <r>
    <x v="91"/>
    <x v="0"/>
    <x v="3"/>
    <n v="14"/>
    <n v="1"/>
    <x v="4"/>
    <x v="4"/>
    <n v="0"/>
    <n v="8431176103"/>
  </r>
  <r>
    <x v="91"/>
    <x v="0"/>
    <x v="3"/>
    <n v="14"/>
    <n v="1"/>
    <x v="1"/>
    <x v="1"/>
    <s v="cashloan"/>
    <n v="84000000"/>
  </r>
  <r>
    <x v="91"/>
    <x v="0"/>
    <x v="3"/>
    <n v="14"/>
    <n v="1"/>
    <x v="3"/>
    <x v="3"/>
    <s v="cashloan"/>
    <n v="125250000"/>
  </r>
  <r>
    <x v="91"/>
    <x v="0"/>
    <x v="3"/>
    <n v="14"/>
    <n v="1"/>
    <x v="6"/>
    <x v="6"/>
    <s v="payday"/>
    <n v="47000000"/>
  </r>
  <r>
    <x v="92"/>
    <x v="0"/>
    <x v="3"/>
    <n v="14"/>
    <n v="2"/>
    <x v="6"/>
    <x v="6"/>
    <s v="payday"/>
    <n v="36000000"/>
  </r>
  <r>
    <x v="92"/>
    <x v="0"/>
    <x v="3"/>
    <n v="14"/>
    <n v="2"/>
    <x v="1"/>
    <x v="1"/>
    <s v="cashloan"/>
    <n v="130250000"/>
  </r>
  <r>
    <x v="92"/>
    <x v="0"/>
    <x v="3"/>
    <n v="14"/>
    <n v="2"/>
    <x v="0"/>
    <x v="0"/>
    <s v="payday"/>
    <n v="2266000000"/>
  </r>
  <r>
    <x v="92"/>
    <x v="0"/>
    <x v="3"/>
    <n v="14"/>
    <n v="2"/>
    <x v="2"/>
    <x v="2"/>
    <s v="cashloan"/>
    <n v="2443410000"/>
  </r>
  <r>
    <x v="92"/>
    <x v="0"/>
    <x v="3"/>
    <n v="14"/>
    <n v="2"/>
    <x v="3"/>
    <x v="3"/>
    <s v="cashloan"/>
    <n v="138600000"/>
  </r>
  <r>
    <x v="92"/>
    <x v="0"/>
    <x v="3"/>
    <n v="14"/>
    <n v="2"/>
    <x v="5"/>
    <x v="5"/>
    <s v="overdraft"/>
    <n v="3086410832"/>
  </r>
  <r>
    <x v="92"/>
    <x v="0"/>
    <x v="3"/>
    <n v="14"/>
    <n v="2"/>
    <x v="7"/>
    <x v="7"/>
    <s v="paylater"/>
    <n v="0"/>
  </r>
  <r>
    <x v="92"/>
    <x v="0"/>
    <x v="3"/>
    <n v="14"/>
    <n v="2"/>
    <x v="4"/>
    <x v="4"/>
    <n v="0"/>
    <n v="8100670832"/>
  </r>
  <r>
    <x v="93"/>
    <x v="0"/>
    <x v="3"/>
    <n v="14"/>
    <n v="3"/>
    <x v="0"/>
    <x v="0"/>
    <s v="payday"/>
    <n v="2292500000"/>
  </r>
  <r>
    <x v="93"/>
    <x v="0"/>
    <x v="3"/>
    <n v="14"/>
    <n v="3"/>
    <x v="5"/>
    <x v="5"/>
    <s v="overdraft"/>
    <n v="2488062461"/>
  </r>
  <r>
    <x v="93"/>
    <x v="0"/>
    <x v="3"/>
    <n v="14"/>
    <n v="3"/>
    <x v="7"/>
    <x v="7"/>
    <s v="paylater"/>
    <n v="0"/>
  </r>
  <r>
    <x v="93"/>
    <x v="0"/>
    <x v="3"/>
    <n v="14"/>
    <n v="3"/>
    <x v="1"/>
    <x v="1"/>
    <s v="cashloan"/>
    <n v="131250000"/>
  </r>
  <r>
    <x v="93"/>
    <x v="0"/>
    <x v="3"/>
    <n v="14"/>
    <n v="3"/>
    <x v="2"/>
    <x v="2"/>
    <s v="cashloan"/>
    <n v="2152090000"/>
  </r>
  <r>
    <x v="93"/>
    <x v="0"/>
    <x v="3"/>
    <n v="14"/>
    <n v="3"/>
    <x v="3"/>
    <x v="3"/>
    <s v="cashloan"/>
    <n v="103950000"/>
  </r>
  <r>
    <x v="93"/>
    <x v="0"/>
    <x v="3"/>
    <n v="14"/>
    <n v="3"/>
    <x v="4"/>
    <x v="4"/>
    <n v="0"/>
    <n v="7191852461"/>
  </r>
  <r>
    <x v="93"/>
    <x v="0"/>
    <x v="3"/>
    <n v="14"/>
    <n v="3"/>
    <x v="6"/>
    <x v="6"/>
    <s v="payday"/>
    <n v="24000000"/>
  </r>
  <r>
    <x v="94"/>
    <x v="0"/>
    <x v="3"/>
    <n v="14"/>
    <n v="4"/>
    <x v="5"/>
    <x v="5"/>
    <s v="overdraft"/>
    <n v="2938356490"/>
  </r>
  <r>
    <x v="94"/>
    <x v="0"/>
    <x v="3"/>
    <n v="14"/>
    <n v="4"/>
    <x v="2"/>
    <x v="2"/>
    <s v="cashloan"/>
    <n v="2640850000"/>
  </r>
  <r>
    <x v="94"/>
    <x v="0"/>
    <x v="3"/>
    <n v="14"/>
    <n v="4"/>
    <x v="0"/>
    <x v="0"/>
    <s v="payday"/>
    <n v="2153000000"/>
  </r>
  <r>
    <x v="94"/>
    <x v="0"/>
    <x v="3"/>
    <n v="14"/>
    <n v="4"/>
    <x v="1"/>
    <x v="1"/>
    <s v="cashloan"/>
    <n v="115500000"/>
  </r>
  <r>
    <x v="94"/>
    <x v="0"/>
    <x v="3"/>
    <n v="14"/>
    <n v="4"/>
    <x v="3"/>
    <x v="3"/>
    <s v="cashloan"/>
    <n v="84000000"/>
  </r>
  <r>
    <x v="94"/>
    <x v="0"/>
    <x v="3"/>
    <n v="14"/>
    <n v="4"/>
    <x v="6"/>
    <x v="6"/>
    <s v="payday"/>
    <n v="54000000"/>
  </r>
  <r>
    <x v="94"/>
    <x v="0"/>
    <x v="3"/>
    <n v="14"/>
    <n v="4"/>
    <x v="7"/>
    <x v="7"/>
    <s v="paylater"/>
    <n v="0"/>
  </r>
  <r>
    <x v="94"/>
    <x v="0"/>
    <x v="3"/>
    <n v="14"/>
    <n v="4"/>
    <x v="4"/>
    <x v="4"/>
    <n v="0"/>
    <n v="7985706490"/>
  </r>
  <r>
    <x v="95"/>
    <x v="0"/>
    <x v="3"/>
    <n v="14"/>
    <n v="5"/>
    <x v="7"/>
    <x v="7"/>
    <s v="paylater"/>
    <n v="0"/>
  </r>
  <r>
    <x v="95"/>
    <x v="0"/>
    <x v="3"/>
    <n v="14"/>
    <n v="5"/>
    <x v="1"/>
    <x v="1"/>
    <s v="cashloan"/>
    <n v="128100000"/>
  </r>
  <r>
    <x v="95"/>
    <x v="0"/>
    <x v="3"/>
    <n v="14"/>
    <n v="5"/>
    <x v="5"/>
    <x v="5"/>
    <s v="overdraft"/>
    <n v="2508782365"/>
  </r>
  <r>
    <x v="95"/>
    <x v="0"/>
    <x v="3"/>
    <n v="14"/>
    <n v="5"/>
    <x v="0"/>
    <x v="0"/>
    <s v="payday"/>
    <n v="2523500000"/>
  </r>
  <r>
    <x v="95"/>
    <x v="0"/>
    <x v="3"/>
    <n v="14"/>
    <n v="5"/>
    <x v="6"/>
    <x v="6"/>
    <s v="payday"/>
    <n v="34000000"/>
  </r>
  <r>
    <x v="95"/>
    <x v="0"/>
    <x v="3"/>
    <n v="14"/>
    <n v="5"/>
    <x v="2"/>
    <x v="2"/>
    <s v="cashloan"/>
    <n v="2529520000"/>
  </r>
  <r>
    <x v="95"/>
    <x v="0"/>
    <x v="3"/>
    <n v="14"/>
    <n v="5"/>
    <x v="3"/>
    <x v="3"/>
    <s v="cashloan"/>
    <n v="100300000"/>
  </r>
  <r>
    <x v="95"/>
    <x v="0"/>
    <x v="3"/>
    <n v="14"/>
    <n v="5"/>
    <x v="4"/>
    <x v="4"/>
    <n v="0"/>
    <n v="7824202365"/>
  </r>
  <r>
    <x v="96"/>
    <x v="0"/>
    <x v="3"/>
    <n v="14"/>
    <n v="6"/>
    <x v="5"/>
    <x v="5"/>
    <s v="overdraft"/>
    <n v="1724129265"/>
  </r>
  <r>
    <x v="96"/>
    <x v="0"/>
    <x v="3"/>
    <n v="14"/>
    <n v="6"/>
    <x v="1"/>
    <x v="1"/>
    <s v="cashloan"/>
    <n v="63000000"/>
  </r>
  <r>
    <x v="96"/>
    <x v="0"/>
    <x v="3"/>
    <n v="14"/>
    <n v="6"/>
    <x v="3"/>
    <x v="3"/>
    <s v="cashloan"/>
    <n v="10500000"/>
  </r>
  <r>
    <x v="96"/>
    <x v="0"/>
    <x v="3"/>
    <n v="14"/>
    <n v="6"/>
    <x v="0"/>
    <x v="0"/>
    <s v="payday"/>
    <n v="2241500000"/>
  </r>
  <r>
    <x v="96"/>
    <x v="0"/>
    <x v="3"/>
    <n v="14"/>
    <n v="6"/>
    <x v="2"/>
    <x v="2"/>
    <s v="cashloan"/>
    <n v="2075520000"/>
  </r>
  <r>
    <x v="96"/>
    <x v="0"/>
    <x v="3"/>
    <n v="14"/>
    <n v="6"/>
    <x v="6"/>
    <x v="6"/>
    <s v="payday"/>
    <n v="55000000"/>
  </r>
  <r>
    <x v="96"/>
    <x v="0"/>
    <x v="3"/>
    <n v="14"/>
    <n v="6"/>
    <x v="7"/>
    <x v="7"/>
    <s v="paylater"/>
    <n v="0"/>
  </r>
  <r>
    <x v="96"/>
    <x v="0"/>
    <x v="3"/>
    <n v="14"/>
    <n v="6"/>
    <x v="4"/>
    <x v="4"/>
    <n v="0"/>
    <n v="6169649265"/>
  </r>
  <r>
    <x v="97"/>
    <x v="0"/>
    <x v="3"/>
    <n v="14"/>
    <n v="7"/>
    <x v="3"/>
    <x v="3"/>
    <s v="cashloan"/>
    <n v="75600000"/>
  </r>
  <r>
    <x v="97"/>
    <x v="0"/>
    <x v="3"/>
    <n v="14"/>
    <n v="7"/>
    <x v="5"/>
    <x v="5"/>
    <s v="overdraft"/>
    <n v="1560471811"/>
  </r>
  <r>
    <x v="97"/>
    <x v="0"/>
    <x v="3"/>
    <n v="14"/>
    <n v="7"/>
    <x v="0"/>
    <x v="0"/>
    <s v="payday"/>
    <n v="1718000000"/>
  </r>
  <r>
    <x v="97"/>
    <x v="0"/>
    <x v="3"/>
    <n v="14"/>
    <n v="7"/>
    <x v="2"/>
    <x v="2"/>
    <s v="cashloan"/>
    <n v="1724210000"/>
  </r>
  <r>
    <x v="97"/>
    <x v="0"/>
    <x v="3"/>
    <n v="14"/>
    <n v="7"/>
    <x v="1"/>
    <x v="1"/>
    <s v="cashloan"/>
    <n v="31500000"/>
  </r>
  <r>
    <x v="97"/>
    <x v="0"/>
    <x v="3"/>
    <n v="14"/>
    <n v="7"/>
    <x v="6"/>
    <x v="6"/>
    <s v="payday"/>
    <n v="25000000"/>
  </r>
  <r>
    <x v="97"/>
    <x v="0"/>
    <x v="3"/>
    <n v="14"/>
    <n v="7"/>
    <x v="4"/>
    <x v="4"/>
    <n v="0"/>
    <n v="5134781811"/>
  </r>
  <r>
    <x v="97"/>
    <x v="0"/>
    <x v="3"/>
    <n v="14"/>
    <n v="7"/>
    <x v="7"/>
    <x v="7"/>
    <s v="paylater"/>
    <n v="0"/>
  </r>
  <r>
    <x v="98"/>
    <x v="0"/>
    <x v="3"/>
    <n v="15"/>
    <n v="8"/>
    <x v="0"/>
    <x v="0"/>
    <s v="payday"/>
    <n v="2303500000"/>
  </r>
  <r>
    <x v="98"/>
    <x v="0"/>
    <x v="3"/>
    <n v="15"/>
    <n v="8"/>
    <x v="7"/>
    <x v="7"/>
    <s v="paylater"/>
    <n v="0"/>
  </r>
  <r>
    <x v="98"/>
    <x v="0"/>
    <x v="3"/>
    <n v="15"/>
    <n v="8"/>
    <x v="1"/>
    <x v="1"/>
    <s v="cashloan"/>
    <n v="63000000"/>
  </r>
  <r>
    <x v="98"/>
    <x v="0"/>
    <x v="3"/>
    <n v="15"/>
    <n v="8"/>
    <x v="2"/>
    <x v="2"/>
    <s v="cashloan"/>
    <n v="3138280000"/>
  </r>
  <r>
    <x v="98"/>
    <x v="0"/>
    <x v="3"/>
    <n v="15"/>
    <n v="8"/>
    <x v="3"/>
    <x v="3"/>
    <s v="cashloan"/>
    <n v="268800000"/>
  </r>
  <r>
    <x v="98"/>
    <x v="0"/>
    <x v="3"/>
    <n v="15"/>
    <n v="8"/>
    <x v="6"/>
    <x v="6"/>
    <s v="payday"/>
    <n v="55000000"/>
  </r>
  <r>
    <x v="98"/>
    <x v="0"/>
    <x v="3"/>
    <n v="15"/>
    <n v="8"/>
    <x v="4"/>
    <x v="4"/>
    <n v="0"/>
    <n v="8248143317"/>
  </r>
  <r>
    <x v="98"/>
    <x v="0"/>
    <x v="3"/>
    <n v="15"/>
    <n v="8"/>
    <x v="5"/>
    <x v="5"/>
    <s v="overdraft"/>
    <n v="2419563317"/>
  </r>
  <r>
    <x v="99"/>
    <x v="0"/>
    <x v="3"/>
    <n v="15"/>
    <n v="9"/>
    <x v="3"/>
    <x v="3"/>
    <s v="cashloan"/>
    <n v="284550000"/>
  </r>
  <r>
    <x v="99"/>
    <x v="0"/>
    <x v="3"/>
    <n v="15"/>
    <n v="9"/>
    <x v="8"/>
    <x v="8"/>
    <s v="cashloan"/>
    <n v="41730000"/>
  </r>
  <r>
    <x v="99"/>
    <x v="0"/>
    <x v="3"/>
    <n v="15"/>
    <n v="9"/>
    <x v="0"/>
    <x v="0"/>
    <s v="payday"/>
    <n v="1910500000"/>
  </r>
  <r>
    <x v="99"/>
    <x v="0"/>
    <x v="3"/>
    <n v="15"/>
    <n v="9"/>
    <x v="2"/>
    <x v="2"/>
    <s v="cashloan"/>
    <n v="2300330000"/>
  </r>
  <r>
    <x v="99"/>
    <x v="0"/>
    <x v="3"/>
    <n v="15"/>
    <n v="9"/>
    <x v="1"/>
    <x v="1"/>
    <s v="cashloan"/>
    <n v="88200000"/>
  </r>
  <r>
    <x v="99"/>
    <x v="0"/>
    <x v="3"/>
    <n v="15"/>
    <n v="9"/>
    <x v="5"/>
    <x v="5"/>
    <s v="overdraft"/>
    <n v="2030176958"/>
  </r>
  <r>
    <x v="99"/>
    <x v="0"/>
    <x v="3"/>
    <n v="15"/>
    <n v="9"/>
    <x v="7"/>
    <x v="7"/>
    <s v="paylater"/>
    <n v="0"/>
  </r>
  <r>
    <x v="99"/>
    <x v="0"/>
    <x v="3"/>
    <n v="15"/>
    <n v="9"/>
    <x v="4"/>
    <x v="4"/>
    <n v="0"/>
    <n v="6668486958"/>
  </r>
  <r>
    <x v="99"/>
    <x v="0"/>
    <x v="3"/>
    <n v="15"/>
    <n v="9"/>
    <x v="6"/>
    <x v="6"/>
    <s v="payday"/>
    <n v="13000000"/>
  </r>
  <r>
    <x v="100"/>
    <x v="0"/>
    <x v="3"/>
    <n v="15"/>
    <n v="10"/>
    <x v="1"/>
    <x v="1"/>
    <s v="cashloan"/>
    <n v="57750000"/>
  </r>
  <r>
    <x v="100"/>
    <x v="0"/>
    <x v="3"/>
    <n v="15"/>
    <n v="10"/>
    <x v="0"/>
    <x v="0"/>
    <s v="payday"/>
    <n v="2493000000"/>
  </r>
  <r>
    <x v="100"/>
    <x v="0"/>
    <x v="3"/>
    <n v="15"/>
    <n v="10"/>
    <x v="6"/>
    <x v="6"/>
    <s v="payday"/>
    <n v="32000000"/>
  </r>
  <r>
    <x v="100"/>
    <x v="0"/>
    <x v="3"/>
    <n v="15"/>
    <n v="10"/>
    <x v="5"/>
    <x v="5"/>
    <s v="overdraft"/>
    <n v="2554247508"/>
  </r>
  <r>
    <x v="100"/>
    <x v="0"/>
    <x v="3"/>
    <n v="15"/>
    <n v="10"/>
    <x v="4"/>
    <x v="4"/>
    <n v="0"/>
    <n v="9511717508"/>
  </r>
  <r>
    <x v="100"/>
    <x v="0"/>
    <x v="3"/>
    <n v="15"/>
    <n v="10"/>
    <x v="7"/>
    <x v="7"/>
    <s v="paylater"/>
    <n v="0"/>
  </r>
  <r>
    <x v="100"/>
    <x v="0"/>
    <x v="3"/>
    <n v="15"/>
    <n v="10"/>
    <x v="3"/>
    <x v="3"/>
    <s v="cashloan"/>
    <n v="117600000"/>
  </r>
  <r>
    <x v="100"/>
    <x v="0"/>
    <x v="3"/>
    <n v="15"/>
    <n v="10"/>
    <x v="8"/>
    <x v="8"/>
    <s v="cashloan"/>
    <n v="24610000"/>
  </r>
  <r>
    <x v="100"/>
    <x v="0"/>
    <x v="3"/>
    <n v="15"/>
    <n v="10"/>
    <x v="2"/>
    <x v="2"/>
    <s v="cashloan"/>
    <n v="4232510000"/>
  </r>
  <r>
    <x v="101"/>
    <x v="0"/>
    <x v="3"/>
    <n v="15"/>
    <n v="11"/>
    <x v="2"/>
    <x v="2"/>
    <s v="cashloan"/>
    <n v="4193370000"/>
  </r>
  <r>
    <x v="101"/>
    <x v="0"/>
    <x v="3"/>
    <n v="15"/>
    <n v="11"/>
    <x v="4"/>
    <x v="4"/>
    <n v="0"/>
    <n v="8639804872"/>
  </r>
  <r>
    <x v="101"/>
    <x v="0"/>
    <x v="3"/>
    <n v="15"/>
    <n v="11"/>
    <x v="7"/>
    <x v="7"/>
    <s v="paylater"/>
    <n v="0"/>
  </r>
  <r>
    <x v="101"/>
    <x v="0"/>
    <x v="3"/>
    <n v="15"/>
    <n v="11"/>
    <x v="5"/>
    <x v="5"/>
    <s v="overdraft"/>
    <n v="1851514872"/>
  </r>
  <r>
    <x v="101"/>
    <x v="0"/>
    <x v="3"/>
    <n v="15"/>
    <n v="11"/>
    <x v="8"/>
    <x v="8"/>
    <s v="cashloan"/>
    <n v="59920000"/>
  </r>
  <r>
    <x v="101"/>
    <x v="0"/>
    <x v="3"/>
    <n v="15"/>
    <n v="11"/>
    <x v="1"/>
    <x v="1"/>
    <s v="cashloan"/>
    <n v="62500000"/>
  </r>
  <r>
    <x v="101"/>
    <x v="0"/>
    <x v="3"/>
    <n v="15"/>
    <n v="11"/>
    <x v="3"/>
    <x v="3"/>
    <s v="cashloan"/>
    <n v="115000000"/>
  </r>
  <r>
    <x v="101"/>
    <x v="0"/>
    <x v="3"/>
    <n v="15"/>
    <n v="11"/>
    <x v="6"/>
    <x v="6"/>
    <s v="payday"/>
    <n v="39000000"/>
  </r>
  <r>
    <x v="101"/>
    <x v="0"/>
    <x v="3"/>
    <n v="15"/>
    <n v="11"/>
    <x v="0"/>
    <x v="0"/>
    <s v="payday"/>
    <n v="2318500000"/>
  </r>
  <r>
    <x v="102"/>
    <x v="0"/>
    <x v="3"/>
    <n v="15"/>
    <n v="12"/>
    <x v="8"/>
    <x v="8"/>
    <s v="cashloan"/>
    <n v="165850000"/>
  </r>
  <r>
    <x v="102"/>
    <x v="0"/>
    <x v="3"/>
    <n v="15"/>
    <n v="12"/>
    <x v="2"/>
    <x v="2"/>
    <s v="cashloan"/>
    <n v="3871010000"/>
  </r>
  <r>
    <x v="102"/>
    <x v="0"/>
    <x v="3"/>
    <n v="15"/>
    <n v="12"/>
    <x v="5"/>
    <x v="5"/>
    <s v="overdraft"/>
    <n v="1871598023"/>
  </r>
  <r>
    <x v="102"/>
    <x v="0"/>
    <x v="3"/>
    <n v="15"/>
    <n v="12"/>
    <x v="7"/>
    <x v="7"/>
    <s v="paylater"/>
    <n v="0"/>
  </r>
  <r>
    <x v="102"/>
    <x v="0"/>
    <x v="3"/>
    <n v="15"/>
    <n v="12"/>
    <x v="6"/>
    <x v="6"/>
    <s v="payday"/>
    <n v="35000000"/>
  </r>
  <r>
    <x v="102"/>
    <x v="0"/>
    <x v="3"/>
    <n v="15"/>
    <n v="12"/>
    <x v="0"/>
    <x v="0"/>
    <s v="payday"/>
    <n v="2046000000"/>
  </r>
  <r>
    <x v="102"/>
    <x v="0"/>
    <x v="3"/>
    <n v="15"/>
    <n v="12"/>
    <x v="3"/>
    <x v="3"/>
    <s v="cashloan"/>
    <n v="110800000"/>
  </r>
  <r>
    <x v="102"/>
    <x v="0"/>
    <x v="3"/>
    <n v="15"/>
    <n v="12"/>
    <x v="4"/>
    <x v="4"/>
    <n v="0"/>
    <n v="8206308023"/>
  </r>
  <r>
    <x v="102"/>
    <x v="0"/>
    <x v="3"/>
    <n v="15"/>
    <n v="12"/>
    <x v="1"/>
    <x v="1"/>
    <s v="cashloan"/>
    <n v="106050000"/>
  </r>
  <r>
    <x v="103"/>
    <x v="0"/>
    <x v="3"/>
    <n v="15"/>
    <n v="13"/>
    <x v="0"/>
    <x v="0"/>
    <s v="payday"/>
    <n v="2223000000"/>
  </r>
  <r>
    <x v="103"/>
    <x v="0"/>
    <x v="3"/>
    <n v="15"/>
    <n v="13"/>
    <x v="2"/>
    <x v="2"/>
    <s v="cashloan"/>
    <n v="3379420000"/>
  </r>
  <r>
    <x v="103"/>
    <x v="0"/>
    <x v="3"/>
    <n v="15"/>
    <n v="13"/>
    <x v="3"/>
    <x v="3"/>
    <s v="cashloan"/>
    <n v="125000000"/>
  </r>
  <r>
    <x v="103"/>
    <x v="0"/>
    <x v="3"/>
    <n v="15"/>
    <n v="13"/>
    <x v="1"/>
    <x v="1"/>
    <s v="cashloan"/>
    <n v="26250000"/>
  </r>
  <r>
    <x v="103"/>
    <x v="0"/>
    <x v="3"/>
    <n v="15"/>
    <n v="13"/>
    <x v="5"/>
    <x v="5"/>
    <s v="overdraft"/>
    <n v="1866130519"/>
  </r>
  <r>
    <x v="103"/>
    <x v="0"/>
    <x v="3"/>
    <n v="15"/>
    <n v="13"/>
    <x v="4"/>
    <x v="4"/>
    <n v="0"/>
    <n v="7678780519"/>
  </r>
  <r>
    <x v="103"/>
    <x v="0"/>
    <x v="3"/>
    <n v="15"/>
    <n v="13"/>
    <x v="8"/>
    <x v="8"/>
    <s v="cashloan"/>
    <n v="14980000"/>
  </r>
  <r>
    <x v="103"/>
    <x v="0"/>
    <x v="3"/>
    <n v="15"/>
    <n v="13"/>
    <x v="6"/>
    <x v="6"/>
    <s v="payday"/>
    <n v="44000000"/>
  </r>
  <r>
    <x v="103"/>
    <x v="0"/>
    <x v="3"/>
    <n v="15"/>
    <n v="13"/>
    <x v="7"/>
    <x v="7"/>
    <s v="paylater"/>
    <n v="0"/>
  </r>
  <r>
    <x v="104"/>
    <x v="0"/>
    <x v="3"/>
    <n v="15"/>
    <n v="14"/>
    <x v="5"/>
    <x v="5"/>
    <s v="overdraft"/>
    <n v="1831794053"/>
  </r>
  <r>
    <x v="104"/>
    <x v="0"/>
    <x v="3"/>
    <n v="15"/>
    <n v="14"/>
    <x v="7"/>
    <x v="7"/>
    <s v="paylater"/>
    <n v="0"/>
  </r>
  <r>
    <x v="104"/>
    <x v="0"/>
    <x v="3"/>
    <n v="15"/>
    <n v="14"/>
    <x v="4"/>
    <x v="4"/>
    <n v="0"/>
    <n v="7086614053"/>
  </r>
  <r>
    <x v="104"/>
    <x v="0"/>
    <x v="3"/>
    <n v="15"/>
    <n v="14"/>
    <x v="8"/>
    <x v="8"/>
    <s v="cashloan"/>
    <n v="0"/>
  </r>
  <r>
    <x v="104"/>
    <x v="0"/>
    <x v="3"/>
    <n v="15"/>
    <n v="14"/>
    <x v="6"/>
    <x v="6"/>
    <s v="payday"/>
    <n v="9000000"/>
  </r>
  <r>
    <x v="104"/>
    <x v="0"/>
    <x v="3"/>
    <n v="15"/>
    <n v="14"/>
    <x v="3"/>
    <x v="3"/>
    <s v="cashloan"/>
    <n v="195850000"/>
  </r>
  <r>
    <x v="104"/>
    <x v="0"/>
    <x v="3"/>
    <n v="15"/>
    <n v="14"/>
    <x v="1"/>
    <x v="1"/>
    <s v="cashloan"/>
    <n v="82500000"/>
  </r>
  <r>
    <x v="104"/>
    <x v="0"/>
    <x v="3"/>
    <n v="15"/>
    <n v="14"/>
    <x v="0"/>
    <x v="0"/>
    <s v="payday"/>
    <n v="1899500000"/>
  </r>
  <r>
    <x v="104"/>
    <x v="0"/>
    <x v="3"/>
    <n v="15"/>
    <n v="14"/>
    <x v="2"/>
    <x v="2"/>
    <s v="cashloan"/>
    <n v="3067970000"/>
  </r>
  <r>
    <x v="105"/>
    <x v="0"/>
    <x v="3"/>
    <n v="16"/>
    <n v="15"/>
    <x v="5"/>
    <x v="5"/>
    <s v="overdraft"/>
    <n v="2588638596"/>
  </r>
  <r>
    <x v="105"/>
    <x v="0"/>
    <x v="3"/>
    <n v="16"/>
    <n v="15"/>
    <x v="2"/>
    <x v="2"/>
    <s v="cashloan"/>
    <n v="4699210000"/>
  </r>
  <r>
    <x v="105"/>
    <x v="0"/>
    <x v="3"/>
    <n v="16"/>
    <n v="15"/>
    <x v="8"/>
    <x v="8"/>
    <s v="cashloan"/>
    <n v="35310000"/>
  </r>
  <r>
    <x v="105"/>
    <x v="0"/>
    <x v="3"/>
    <n v="16"/>
    <n v="15"/>
    <x v="0"/>
    <x v="0"/>
    <s v="payday"/>
    <n v="2834500000"/>
  </r>
  <r>
    <x v="105"/>
    <x v="0"/>
    <x v="3"/>
    <n v="16"/>
    <n v="15"/>
    <x v="3"/>
    <x v="3"/>
    <s v="cashloan"/>
    <n v="273000000"/>
  </r>
  <r>
    <x v="105"/>
    <x v="0"/>
    <x v="3"/>
    <n v="16"/>
    <n v="15"/>
    <x v="1"/>
    <x v="1"/>
    <s v="cashloan"/>
    <n v="104000000"/>
  </r>
  <r>
    <x v="105"/>
    <x v="0"/>
    <x v="3"/>
    <n v="16"/>
    <n v="15"/>
    <x v="7"/>
    <x v="7"/>
    <s v="paylater"/>
    <n v="0"/>
  </r>
  <r>
    <x v="105"/>
    <x v="0"/>
    <x v="3"/>
    <n v="16"/>
    <n v="15"/>
    <x v="4"/>
    <x v="4"/>
    <n v="0"/>
    <n v="10544658596"/>
  </r>
  <r>
    <x v="105"/>
    <x v="0"/>
    <x v="3"/>
    <n v="16"/>
    <n v="15"/>
    <x v="6"/>
    <x v="6"/>
    <s v="payday"/>
    <n v="10000000"/>
  </r>
  <r>
    <x v="106"/>
    <x v="0"/>
    <x v="3"/>
    <n v="16"/>
    <n v="16"/>
    <x v="3"/>
    <x v="3"/>
    <s v="cashloan"/>
    <n v="210550000"/>
  </r>
  <r>
    <x v="106"/>
    <x v="0"/>
    <x v="3"/>
    <n v="16"/>
    <n v="16"/>
    <x v="2"/>
    <x v="2"/>
    <s v="cashloan"/>
    <n v="3828720000"/>
  </r>
  <r>
    <x v="106"/>
    <x v="0"/>
    <x v="3"/>
    <n v="16"/>
    <n v="16"/>
    <x v="0"/>
    <x v="0"/>
    <s v="payday"/>
    <n v="2345000000"/>
  </r>
  <r>
    <x v="106"/>
    <x v="0"/>
    <x v="3"/>
    <n v="16"/>
    <n v="16"/>
    <x v="5"/>
    <x v="5"/>
    <s v="overdraft"/>
    <n v="2203403983"/>
  </r>
  <r>
    <x v="106"/>
    <x v="0"/>
    <x v="3"/>
    <n v="16"/>
    <n v="16"/>
    <x v="1"/>
    <x v="1"/>
    <s v="cashloan"/>
    <n v="110250000"/>
  </r>
  <r>
    <x v="106"/>
    <x v="0"/>
    <x v="3"/>
    <n v="16"/>
    <n v="16"/>
    <x v="8"/>
    <x v="8"/>
    <s v="cashloan"/>
    <n v="146590000"/>
  </r>
  <r>
    <x v="106"/>
    <x v="0"/>
    <x v="3"/>
    <n v="16"/>
    <n v="16"/>
    <x v="6"/>
    <x v="6"/>
    <s v="payday"/>
    <n v="62000000"/>
  </r>
  <r>
    <x v="106"/>
    <x v="0"/>
    <x v="3"/>
    <n v="16"/>
    <n v="16"/>
    <x v="4"/>
    <x v="4"/>
    <n v="0"/>
    <n v="8906523983"/>
  </r>
  <r>
    <x v="106"/>
    <x v="0"/>
    <x v="3"/>
    <n v="16"/>
    <n v="16"/>
    <x v="7"/>
    <x v="7"/>
    <s v="paylater"/>
    <n v="10000"/>
  </r>
  <r>
    <x v="107"/>
    <x v="0"/>
    <x v="3"/>
    <n v="16"/>
    <n v="17"/>
    <x v="7"/>
    <x v="7"/>
    <s v="paylater"/>
    <n v="20000"/>
  </r>
  <r>
    <x v="107"/>
    <x v="0"/>
    <x v="3"/>
    <n v="16"/>
    <n v="17"/>
    <x v="2"/>
    <x v="2"/>
    <s v="cashloan"/>
    <n v="3483390000"/>
  </r>
  <r>
    <x v="107"/>
    <x v="0"/>
    <x v="3"/>
    <n v="16"/>
    <n v="17"/>
    <x v="0"/>
    <x v="0"/>
    <s v="payday"/>
    <n v="2341500000"/>
  </r>
  <r>
    <x v="107"/>
    <x v="0"/>
    <x v="3"/>
    <n v="16"/>
    <n v="17"/>
    <x v="4"/>
    <x v="4"/>
    <n v="0"/>
    <n v="7871544676"/>
  </r>
  <r>
    <x v="107"/>
    <x v="0"/>
    <x v="3"/>
    <n v="16"/>
    <n v="17"/>
    <x v="3"/>
    <x v="3"/>
    <s v="cashloan"/>
    <n v="140750000"/>
  </r>
  <r>
    <x v="107"/>
    <x v="0"/>
    <x v="3"/>
    <n v="16"/>
    <n v="17"/>
    <x v="5"/>
    <x v="5"/>
    <s v="overdraft"/>
    <n v="1706624676"/>
  </r>
  <r>
    <x v="107"/>
    <x v="0"/>
    <x v="3"/>
    <n v="16"/>
    <n v="17"/>
    <x v="6"/>
    <x v="6"/>
    <s v="payday"/>
    <n v="31000000"/>
  </r>
  <r>
    <x v="107"/>
    <x v="0"/>
    <x v="3"/>
    <n v="16"/>
    <n v="17"/>
    <x v="1"/>
    <x v="1"/>
    <s v="cashloan"/>
    <n v="42000000"/>
  </r>
  <r>
    <x v="107"/>
    <x v="0"/>
    <x v="3"/>
    <n v="16"/>
    <n v="17"/>
    <x v="8"/>
    <x v="8"/>
    <s v="cashloan"/>
    <n v="126260000"/>
  </r>
  <r>
    <x v="108"/>
    <x v="0"/>
    <x v="3"/>
    <n v="16"/>
    <n v="18"/>
    <x v="4"/>
    <x v="4"/>
    <n v="0"/>
    <n v="6709074587"/>
  </r>
  <r>
    <x v="108"/>
    <x v="0"/>
    <x v="3"/>
    <n v="16"/>
    <n v="18"/>
    <x v="8"/>
    <x v="8"/>
    <s v="cashloan"/>
    <n v="88810000"/>
  </r>
  <r>
    <x v="108"/>
    <x v="0"/>
    <x v="3"/>
    <n v="16"/>
    <n v="18"/>
    <x v="6"/>
    <x v="6"/>
    <s v="payday"/>
    <n v="25000000"/>
  </r>
  <r>
    <x v="108"/>
    <x v="0"/>
    <x v="3"/>
    <n v="16"/>
    <n v="18"/>
    <x v="2"/>
    <x v="2"/>
    <s v="cashloan"/>
    <n v="2984110000"/>
  </r>
  <r>
    <x v="108"/>
    <x v="0"/>
    <x v="3"/>
    <n v="16"/>
    <n v="18"/>
    <x v="5"/>
    <x v="5"/>
    <s v="overdraft"/>
    <n v="1603404587"/>
  </r>
  <r>
    <x v="108"/>
    <x v="0"/>
    <x v="3"/>
    <n v="16"/>
    <n v="18"/>
    <x v="7"/>
    <x v="7"/>
    <s v="paylater"/>
    <n v="50000"/>
  </r>
  <r>
    <x v="108"/>
    <x v="0"/>
    <x v="3"/>
    <n v="16"/>
    <n v="18"/>
    <x v="0"/>
    <x v="0"/>
    <s v="payday"/>
    <n v="1733000000"/>
  </r>
  <r>
    <x v="108"/>
    <x v="0"/>
    <x v="3"/>
    <n v="16"/>
    <n v="18"/>
    <x v="3"/>
    <x v="3"/>
    <s v="cashloan"/>
    <n v="154950000"/>
  </r>
  <r>
    <x v="108"/>
    <x v="0"/>
    <x v="3"/>
    <n v="16"/>
    <n v="18"/>
    <x v="1"/>
    <x v="1"/>
    <s v="cashloan"/>
    <n v="119750000"/>
  </r>
  <r>
    <x v="109"/>
    <x v="0"/>
    <x v="3"/>
    <n v="16"/>
    <n v="19"/>
    <x v="3"/>
    <x v="3"/>
    <s v="cashloan"/>
    <n v="184900000"/>
  </r>
  <r>
    <x v="109"/>
    <x v="0"/>
    <x v="3"/>
    <n v="16"/>
    <n v="19"/>
    <x v="1"/>
    <x v="1"/>
    <s v="cashloan"/>
    <n v="15750000"/>
  </r>
  <r>
    <x v="109"/>
    <x v="0"/>
    <x v="3"/>
    <n v="16"/>
    <n v="19"/>
    <x v="2"/>
    <x v="2"/>
    <s v="cashloan"/>
    <n v="3917820000"/>
  </r>
  <r>
    <x v="109"/>
    <x v="0"/>
    <x v="3"/>
    <n v="16"/>
    <n v="19"/>
    <x v="6"/>
    <x v="6"/>
    <s v="payday"/>
    <n v="5000000"/>
  </r>
  <r>
    <x v="109"/>
    <x v="0"/>
    <x v="3"/>
    <n v="16"/>
    <n v="19"/>
    <x v="4"/>
    <x v="4"/>
    <n v="0"/>
    <n v="8692696512"/>
  </r>
  <r>
    <x v="109"/>
    <x v="0"/>
    <x v="3"/>
    <n v="16"/>
    <n v="19"/>
    <x v="5"/>
    <x v="5"/>
    <s v="overdraft"/>
    <n v="1970529923"/>
  </r>
  <r>
    <x v="109"/>
    <x v="0"/>
    <x v="3"/>
    <n v="16"/>
    <n v="19"/>
    <x v="8"/>
    <x v="8"/>
    <s v="cashloan"/>
    <n v="233260000"/>
  </r>
  <r>
    <x v="109"/>
    <x v="0"/>
    <x v="3"/>
    <n v="16"/>
    <n v="19"/>
    <x v="7"/>
    <x v="7"/>
    <s v="paylater"/>
    <n v="436589"/>
  </r>
  <r>
    <x v="109"/>
    <x v="0"/>
    <x v="3"/>
    <n v="16"/>
    <n v="19"/>
    <x v="0"/>
    <x v="0"/>
    <s v="payday"/>
    <n v="2365000000"/>
  </r>
  <r>
    <x v="110"/>
    <x v="0"/>
    <x v="3"/>
    <n v="16"/>
    <n v="20"/>
    <x v="3"/>
    <x v="3"/>
    <s v="cashloan"/>
    <n v="189000000"/>
  </r>
  <r>
    <x v="110"/>
    <x v="0"/>
    <x v="3"/>
    <n v="16"/>
    <n v="20"/>
    <x v="2"/>
    <x v="2"/>
    <s v="cashloan"/>
    <n v="3292600000"/>
  </r>
  <r>
    <x v="110"/>
    <x v="0"/>
    <x v="3"/>
    <n v="16"/>
    <n v="20"/>
    <x v="8"/>
    <x v="8"/>
    <s v="cashloan"/>
    <n v="134820000"/>
  </r>
  <r>
    <x v="110"/>
    <x v="0"/>
    <x v="3"/>
    <n v="16"/>
    <n v="20"/>
    <x v="0"/>
    <x v="0"/>
    <s v="payday"/>
    <n v="2297500000"/>
  </r>
  <r>
    <x v="110"/>
    <x v="0"/>
    <x v="3"/>
    <n v="16"/>
    <n v="20"/>
    <x v="6"/>
    <x v="6"/>
    <s v="payday"/>
    <n v="2000000"/>
  </r>
  <r>
    <x v="110"/>
    <x v="0"/>
    <x v="3"/>
    <n v="16"/>
    <n v="20"/>
    <x v="4"/>
    <x v="4"/>
    <n v="0"/>
    <n v="7707342696"/>
  </r>
  <r>
    <x v="110"/>
    <x v="0"/>
    <x v="3"/>
    <n v="16"/>
    <n v="20"/>
    <x v="5"/>
    <x v="5"/>
    <s v="overdraft"/>
    <n v="1791339741"/>
  </r>
  <r>
    <x v="110"/>
    <x v="0"/>
    <x v="3"/>
    <n v="16"/>
    <n v="20"/>
    <x v="1"/>
    <x v="1"/>
    <s v="cashloan"/>
    <n v="0"/>
  </r>
  <r>
    <x v="110"/>
    <x v="0"/>
    <x v="3"/>
    <n v="16"/>
    <n v="20"/>
    <x v="7"/>
    <x v="7"/>
    <s v="paylater"/>
    <n v="82955"/>
  </r>
  <r>
    <x v="111"/>
    <x v="0"/>
    <x v="3"/>
    <n v="16"/>
    <n v="21"/>
    <x v="7"/>
    <x v="7"/>
    <s v="paylater"/>
    <n v="15000"/>
  </r>
  <r>
    <x v="111"/>
    <x v="0"/>
    <x v="3"/>
    <n v="16"/>
    <n v="21"/>
    <x v="4"/>
    <x v="4"/>
    <n v="0"/>
    <n v="6494151612"/>
  </r>
  <r>
    <x v="111"/>
    <x v="0"/>
    <x v="3"/>
    <n v="16"/>
    <n v="21"/>
    <x v="5"/>
    <x v="5"/>
    <s v="overdraft"/>
    <n v="1708686612"/>
  </r>
  <r>
    <x v="111"/>
    <x v="0"/>
    <x v="3"/>
    <n v="16"/>
    <n v="21"/>
    <x v="2"/>
    <x v="2"/>
    <s v="cashloan"/>
    <n v="2633300000"/>
  </r>
  <r>
    <x v="111"/>
    <x v="0"/>
    <x v="3"/>
    <n v="16"/>
    <n v="21"/>
    <x v="6"/>
    <x v="6"/>
    <s v="payday"/>
    <n v="50000000"/>
  </r>
  <r>
    <x v="111"/>
    <x v="0"/>
    <x v="3"/>
    <n v="16"/>
    <n v="21"/>
    <x v="3"/>
    <x v="3"/>
    <s v="cashloan"/>
    <n v="117900000"/>
  </r>
  <r>
    <x v="111"/>
    <x v="0"/>
    <x v="3"/>
    <n v="16"/>
    <n v="21"/>
    <x v="1"/>
    <x v="1"/>
    <s v="cashloan"/>
    <n v="47250000"/>
  </r>
  <r>
    <x v="111"/>
    <x v="0"/>
    <x v="3"/>
    <n v="16"/>
    <n v="21"/>
    <x v="0"/>
    <x v="0"/>
    <s v="payday"/>
    <n v="1937000000"/>
  </r>
  <r>
    <x v="111"/>
    <x v="0"/>
    <x v="3"/>
    <n v="16"/>
    <n v="21"/>
    <x v="8"/>
    <x v="8"/>
    <s v="cashloan"/>
    <n v="0"/>
  </r>
  <r>
    <x v="112"/>
    <x v="0"/>
    <x v="3"/>
    <n v="17"/>
    <n v="22"/>
    <x v="8"/>
    <x v="8"/>
    <s v="cashloan"/>
    <n v="95600000"/>
  </r>
  <r>
    <x v="112"/>
    <x v="0"/>
    <x v="3"/>
    <n v="17"/>
    <n v="22"/>
    <x v="7"/>
    <x v="7"/>
    <s v="paylater"/>
    <n v="311585"/>
  </r>
  <r>
    <x v="112"/>
    <x v="0"/>
    <x v="3"/>
    <n v="17"/>
    <n v="22"/>
    <x v="3"/>
    <x v="3"/>
    <s v="cashloan"/>
    <n v="317100000"/>
  </r>
  <r>
    <x v="112"/>
    <x v="0"/>
    <x v="3"/>
    <n v="17"/>
    <n v="22"/>
    <x v="2"/>
    <x v="2"/>
    <s v="cashloan"/>
    <n v="4076840000"/>
  </r>
  <r>
    <x v="112"/>
    <x v="0"/>
    <x v="3"/>
    <n v="17"/>
    <n v="22"/>
    <x v="0"/>
    <x v="0"/>
    <s v="payday"/>
    <n v="2515000000"/>
  </r>
  <r>
    <x v="112"/>
    <x v="0"/>
    <x v="3"/>
    <n v="17"/>
    <n v="22"/>
    <x v="6"/>
    <x v="6"/>
    <s v="payday"/>
    <n v="73000000"/>
  </r>
  <r>
    <x v="112"/>
    <x v="0"/>
    <x v="3"/>
    <n v="17"/>
    <n v="22"/>
    <x v="4"/>
    <x v="4"/>
    <n v="0"/>
    <n v="9328249068"/>
  </r>
  <r>
    <x v="112"/>
    <x v="0"/>
    <x v="3"/>
    <n v="17"/>
    <n v="22"/>
    <x v="1"/>
    <x v="1"/>
    <s v="cashloan"/>
    <n v="152250000"/>
  </r>
  <r>
    <x v="112"/>
    <x v="0"/>
    <x v="3"/>
    <n v="17"/>
    <n v="22"/>
    <x v="5"/>
    <x v="5"/>
    <s v="overdraft"/>
    <n v="2098147483"/>
  </r>
  <r>
    <x v="113"/>
    <x v="0"/>
    <x v="3"/>
    <n v="17"/>
    <n v="23"/>
    <x v="2"/>
    <x v="2"/>
    <s v="cashloan"/>
    <n v="3194470000"/>
  </r>
  <r>
    <x v="113"/>
    <x v="0"/>
    <x v="3"/>
    <n v="17"/>
    <n v="23"/>
    <x v="8"/>
    <x v="8"/>
    <s v="cashloan"/>
    <n v="150870000"/>
  </r>
  <r>
    <x v="113"/>
    <x v="0"/>
    <x v="3"/>
    <n v="17"/>
    <n v="23"/>
    <x v="1"/>
    <x v="1"/>
    <s v="cashloan"/>
    <n v="41500000"/>
  </r>
  <r>
    <x v="113"/>
    <x v="0"/>
    <x v="3"/>
    <n v="17"/>
    <n v="23"/>
    <x v="5"/>
    <x v="5"/>
    <s v="overdraft"/>
    <n v="1829502296"/>
  </r>
  <r>
    <x v="113"/>
    <x v="0"/>
    <x v="3"/>
    <n v="17"/>
    <n v="23"/>
    <x v="3"/>
    <x v="3"/>
    <s v="cashloan"/>
    <n v="315100000"/>
  </r>
  <r>
    <x v="113"/>
    <x v="0"/>
    <x v="3"/>
    <n v="17"/>
    <n v="23"/>
    <x v="6"/>
    <x v="6"/>
    <s v="payday"/>
    <n v="12000000"/>
  </r>
  <r>
    <x v="113"/>
    <x v="0"/>
    <x v="3"/>
    <n v="17"/>
    <n v="23"/>
    <x v="4"/>
    <x v="4"/>
    <n v="0"/>
    <n v="7808952296"/>
  </r>
  <r>
    <x v="113"/>
    <x v="0"/>
    <x v="3"/>
    <n v="17"/>
    <n v="23"/>
    <x v="0"/>
    <x v="0"/>
    <s v="payday"/>
    <n v="2265500000"/>
  </r>
  <r>
    <x v="113"/>
    <x v="0"/>
    <x v="3"/>
    <n v="17"/>
    <n v="23"/>
    <x v="7"/>
    <x v="7"/>
    <s v="paylater"/>
    <n v="10000"/>
  </r>
  <r>
    <x v="114"/>
    <x v="0"/>
    <x v="3"/>
    <n v="17"/>
    <n v="24"/>
    <x v="1"/>
    <x v="1"/>
    <s v="cashloan"/>
    <n v="36750000"/>
  </r>
  <r>
    <x v="114"/>
    <x v="0"/>
    <x v="3"/>
    <n v="17"/>
    <n v="24"/>
    <x v="2"/>
    <x v="2"/>
    <s v="cashloan"/>
    <n v="3643210000"/>
  </r>
  <r>
    <x v="114"/>
    <x v="0"/>
    <x v="3"/>
    <n v="17"/>
    <n v="24"/>
    <x v="3"/>
    <x v="3"/>
    <s v="cashloan"/>
    <n v="341350000"/>
  </r>
  <r>
    <x v="114"/>
    <x v="0"/>
    <x v="3"/>
    <n v="17"/>
    <n v="24"/>
    <x v="0"/>
    <x v="0"/>
    <s v="payday"/>
    <n v="2478000000"/>
  </r>
  <r>
    <x v="114"/>
    <x v="0"/>
    <x v="3"/>
    <n v="17"/>
    <n v="24"/>
    <x v="4"/>
    <x v="4"/>
    <n v="0"/>
    <n v="8981895147"/>
  </r>
  <r>
    <x v="114"/>
    <x v="0"/>
    <x v="3"/>
    <n v="17"/>
    <n v="24"/>
    <x v="8"/>
    <x v="8"/>
    <s v="cashloan"/>
    <n v="99510000"/>
  </r>
  <r>
    <x v="114"/>
    <x v="0"/>
    <x v="3"/>
    <n v="17"/>
    <n v="24"/>
    <x v="5"/>
    <x v="5"/>
    <s v="overdraft"/>
    <n v="2324050147"/>
  </r>
  <r>
    <x v="114"/>
    <x v="0"/>
    <x v="3"/>
    <n v="17"/>
    <n v="24"/>
    <x v="7"/>
    <x v="7"/>
    <s v="paylater"/>
    <n v="25000"/>
  </r>
  <r>
    <x v="114"/>
    <x v="0"/>
    <x v="3"/>
    <n v="17"/>
    <n v="24"/>
    <x v="6"/>
    <x v="6"/>
    <s v="payday"/>
    <n v="59000000"/>
  </r>
  <r>
    <x v="115"/>
    <x v="0"/>
    <x v="3"/>
    <n v="17"/>
    <n v="25"/>
    <x v="2"/>
    <x v="2"/>
    <s v="cashloan"/>
    <n v="4055580000"/>
  </r>
  <r>
    <x v="115"/>
    <x v="0"/>
    <x v="3"/>
    <n v="17"/>
    <n v="25"/>
    <x v="4"/>
    <x v="4"/>
    <n v="0"/>
    <n v="9544462173"/>
  </r>
  <r>
    <x v="115"/>
    <x v="0"/>
    <x v="3"/>
    <n v="17"/>
    <n v="25"/>
    <x v="0"/>
    <x v="0"/>
    <s v="payday"/>
    <n v="2857000000"/>
  </r>
  <r>
    <x v="115"/>
    <x v="0"/>
    <x v="3"/>
    <n v="17"/>
    <n v="25"/>
    <x v="1"/>
    <x v="1"/>
    <s v="cashloan"/>
    <n v="116600000"/>
  </r>
  <r>
    <x v="115"/>
    <x v="0"/>
    <x v="3"/>
    <n v="17"/>
    <n v="25"/>
    <x v="7"/>
    <x v="7"/>
    <s v="paylater"/>
    <n v="23000"/>
  </r>
  <r>
    <x v="115"/>
    <x v="0"/>
    <x v="3"/>
    <n v="17"/>
    <n v="25"/>
    <x v="8"/>
    <x v="8"/>
    <s v="cashloan"/>
    <n v="38520000"/>
  </r>
  <r>
    <x v="115"/>
    <x v="0"/>
    <x v="3"/>
    <n v="17"/>
    <n v="25"/>
    <x v="6"/>
    <x v="6"/>
    <s v="payday"/>
    <n v="28000000"/>
  </r>
  <r>
    <x v="115"/>
    <x v="0"/>
    <x v="3"/>
    <n v="17"/>
    <n v="25"/>
    <x v="3"/>
    <x v="3"/>
    <s v="cashloan"/>
    <n v="295250000"/>
  </r>
  <r>
    <x v="115"/>
    <x v="0"/>
    <x v="3"/>
    <n v="17"/>
    <n v="25"/>
    <x v="5"/>
    <x v="5"/>
    <s v="overdraft"/>
    <n v="2153489173"/>
  </r>
  <r>
    <x v="116"/>
    <x v="0"/>
    <x v="3"/>
    <n v="17"/>
    <n v="26"/>
    <x v="3"/>
    <x v="3"/>
    <s v="cashloan"/>
    <n v="135500000"/>
  </r>
  <r>
    <x v="116"/>
    <x v="0"/>
    <x v="3"/>
    <n v="17"/>
    <n v="26"/>
    <x v="7"/>
    <x v="7"/>
    <s v="paylater"/>
    <n v="55000"/>
  </r>
  <r>
    <x v="116"/>
    <x v="0"/>
    <x v="3"/>
    <n v="17"/>
    <n v="26"/>
    <x v="5"/>
    <x v="5"/>
    <s v="overdraft"/>
    <n v="1997704361"/>
  </r>
  <r>
    <x v="116"/>
    <x v="0"/>
    <x v="3"/>
    <n v="17"/>
    <n v="26"/>
    <x v="1"/>
    <x v="1"/>
    <s v="cashloan"/>
    <n v="88250000"/>
  </r>
  <r>
    <x v="116"/>
    <x v="0"/>
    <x v="3"/>
    <n v="17"/>
    <n v="26"/>
    <x v="8"/>
    <x v="8"/>
    <s v="cashloan"/>
    <n v="166920000"/>
  </r>
  <r>
    <x v="116"/>
    <x v="0"/>
    <x v="3"/>
    <n v="17"/>
    <n v="26"/>
    <x v="4"/>
    <x v="4"/>
    <n v="0"/>
    <n v="8677649361"/>
  </r>
  <r>
    <x v="116"/>
    <x v="0"/>
    <x v="3"/>
    <n v="17"/>
    <n v="26"/>
    <x v="6"/>
    <x v="6"/>
    <s v="payday"/>
    <n v="26000000"/>
  </r>
  <r>
    <x v="116"/>
    <x v="0"/>
    <x v="3"/>
    <n v="17"/>
    <n v="26"/>
    <x v="2"/>
    <x v="2"/>
    <s v="cashloan"/>
    <n v="3381720000"/>
  </r>
  <r>
    <x v="116"/>
    <x v="0"/>
    <x v="3"/>
    <n v="17"/>
    <n v="26"/>
    <x v="0"/>
    <x v="0"/>
    <s v="payday"/>
    <n v="2881500000"/>
  </r>
  <r>
    <x v="117"/>
    <x v="0"/>
    <x v="3"/>
    <n v="17"/>
    <n v="27"/>
    <x v="8"/>
    <x v="8"/>
    <s v="cashloan"/>
    <n v="34240000"/>
  </r>
  <r>
    <x v="117"/>
    <x v="0"/>
    <x v="3"/>
    <n v="17"/>
    <n v="27"/>
    <x v="2"/>
    <x v="2"/>
    <s v="cashloan"/>
    <n v="2435930000"/>
  </r>
  <r>
    <x v="117"/>
    <x v="0"/>
    <x v="3"/>
    <n v="17"/>
    <n v="27"/>
    <x v="0"/>
    <x v="0"/>
    <s v="payday"/>
    <n v="2398000000"/>
  </r>
  <r>
    <x v="117"/>
    <x v="0"/>
    <x v="3"/>
    <n v="17"/>
    <n v="27"/>
    <x v="7"/>
    <x v="7"/>
    <s v="paylater"/>
    <n v="420000"/>
  </r>
  <r>
    <x v="117"/>
    <x v="0"/>
    <x v="3"/>
    <n v="17"/>
    <n v="27"/>
    <x v="5"/>
    <x v="5"/>
    <s v="overdraft"/>
    <n v="1538773481"/>
  </r>
  <r>
    <x v="117"/>
    <x v="0"/>
    <x v="3"/>
    <n v="17"/>
    <n v="27"/>
    <x v="1"/>
    <x v="1"/>
    <s v="cashloan"/>
    <n v="52500000"/>
  </r>
  <r>
    <x v="117"/>
    <x v="0"/>
    <x v="3"/>
    <n v="17"/>
    <n v="27"/>
    <x v="4"/>
    <x v="4"/>
    <n v="0"/>
    <n v="6556663481"/>
  </r>
  <r>
    <x v="117"/>
    <x v="0"/>
    <x v="3"/>
    <n v="17"/>
    <n v="27"/>
    <x v="6"/>
    <x v="6"/>
    <s v="payday"/>
    <n v="38000000"/>
  </r>
  <r>
    <x v="117"/>
    <x v="0"/>
    <x v="3"/>
    <n v="17"/>
    <n v="27"/>
    <x v="3"/>
    <x v="3"/>
    <s v="cashloan"/>
    <n v="58800000"/>
  </r>
  <r>
    <x v="118"/>
    <x v="0"/>
    <x v="3"/>
    <n v="17"/>
    <n v="28"/>
    <x v="6"/>
    <x v="6"/>
    <s v="payday"/>
    <n v="33000000"/>
  </r>
  <r>
    <x v="118"/>
    <x v="0"/>
    <x v="3"/>
    <n v="17"/>
    <n v="28"/>
    <x v="8"/>
    <x v="8"/>
    <s v="cashloan"/>
    <n v="0"/>
  </r>
  <r>
    <x v="118"/>
    <x v="0"/>
    <x v="3"/>
    <n v="17"/>
    <n v="28"/>
    <x v="7"/>
    <x v="7"/>
    <s v="paylater"/>
    <n v="2772000"/>
  </r>
  <r>
    <x v="118"/>
    <x v="0"/>
    <x v="3"/>
    <n v="17"/>
    <n v="28"/>
    <x v="5"/>
    <x v="5"/>
    <s v="overdraft"/>
    <n v="1370513890"/>
  </r>
  <r>
    <x v="118"/>
    <x v="0"/>
    <x v="3"/>
    <n v="17"/>
    <n v="28"/>
    <x v="4"/>
    <x v="4"/>
    <n v="0"/>
    <n v="5434995890"/>
  </r>
  <r>
    <x v="118"/>
    <x v="0"/>
    <x v="3"/>
    <n v="17"/>
    <n v="28"/>
    <x v="2"/>
    <x v="2"/>
    <s v="cashloan"/>
    <n v="1964210000"/>
  </r>
  <r>
    <x v="118"/>
    <x v="0"/>
    <x v="3"/>
    <n v="17"/>
    <n v="28"/>
    <x v="0"/>
    <x v="0"/>
    <s v="payday"/>
    <n v="2022500000"/>
  </r>
  <r>
    <x v="118"/>
    <x v="0"/>
    <x v="3"/>
    <n v="17"/>
    <n v="28"/>
    <x v="1"/>
    <x v="1"/>
    <s v="cashloan"/>
    <n v="21000000"/>
  </r>
  <r>
    <x v="118"/>
    <x v="0"/>
    <x v="3"/>
    <n v="17"/>
    <n v="28"/>
    <x v="3"/>
    <x v="3"/>
    <s v="cashloan"/>
    <n v="21000000"/>
  </r>
  <r>
    <x v="119"/>
    <x v="0"/>
    <x v="3"/>
    <n v="18"/>
    <n v="29"/>
    <x v="0"/>
    <x v="0"/>
    <s v="payday"/>
    <n v="2062500000"/>
  </r>
  <r>
    <x v="119"/>
    <x v="0"/>
    <x v="3"/>
    <n v="18"/>
    <n v="29"/>
    <x v="3"/>
    <x v="3"/>
    <s v="cashloan"/>
    <n v="84050000"/>
  </r>
  <r>
    <x v="119"/>
    <x v="0"/>
    <x v="3"/>
    <n v="18"/>
    <n v="29"/>
    <x v="1"/>
    <x v="1"/>
    <s v="cashloan"/>
    <n v="10000000"/>
  </r>
  <r>
    <x v="119"/>
    <x v="0"/>
    <x v="3"/>
    <n v="18"/>
    <n v="29"/>
    <x v="2"/>
    <x v="2"/>
    <s v="cashloan"/>
    <n v="2965480000"/>
  </r>
  <r>
    <x v="119"/>
    <x v="0"/>
    <x v="3"/>
    <n v="18"/>
    <n v="29"/>
    <x v="7"/>
    <x v="7"/>
    <s v="paylater"/>
    <n v="2562800"/>
  </r>
  <r>
    <x v="119"/>
    <x v="0"/>
    <x v="3"/>
    <n v="18"/>
    <n v="29"/>
    <x v="4"/>
    <x v="4"/>
    <n v="0"/>
    <n v="6789835967"/>
  </r>
  <r>
    <x v="119"/>
    <x v="0"/>
    <x v="3"/>
    <n v="18"/>
    <n v="29"/>
    <x v="6"/>
    <x v="6"/>
    <s v="payday"/>
    <n v="32000000"/>
  </r>
  <r>
    <x v="119"/>
    <x v="0"/>
    <x v="3"/>
    <n v="18"/>
    <n v="29"/>
    <x v="8"/>
    <x v="8"/>
    <s v="cashloan"/>
    <n v="0"/>
  </r>
  <r>
    <x v="119"/>
    <x v="0"/>
    <x v="3"/>
    <n v="18"/>
    <n v="29"/>
    <x v="5"/>
    <x v="5"/>
    <s v="overdraft"/>
    <n v="1633243167"/>
  </r>
  <r>
    <x v="120"/>
    <x v="0"/>
    <x v="3"/>
    <n v="18"/>
    <n v="30"/>
    <x v="8"/>
    <x v="8"/>
    <s v="cashloan"/>
    <n v="13910000"/>
  </r>
  <r>
    <x v="120"/>
    <x v="0"/>
    <x v="3"/>
    <n v="18"/>
    <n v="30"/>
    <x v="9"/>
    <x v="9"/>
    <s v="cashloan"/>
    <n v="10700000"/>
  </r>
  <r>
    <x v="120"/>
    <x v="0"/>
    <x v="3"/>
    <n v="18"/>
    <n v="30"/>
    <x v="2"/>
    <x v="2"/>
    <s v="cashloan"/>
    <n v="1977840000"/>
  </r>
  <r>
    <x v="120"/>
    <x v="0"/>
    <x v="3"/>
    <n v="18"/>
    <n v="30"/>
    <x v="5"/>
    <x v="5"/>
    <s v="overdraft"/>
    <n v="1653725036"/>
  </r>
  <r>
    <x v="120"/>
    <x v="0"/>
    <x v="3"/>
    <n v="18"/>
    <n v="30"/>
    <x v="0"/>
    <x v="0"/>
    <s v="payday"/>
    <n v="1660500000"/>
  </r>
  <r>
    <x v="120"/>
    <x v="0"/>
    <x v="3"/>
    <n v="18"/>
    <n v="30"/>
    <x v="4"/>
    <x v="4"/>
    <n v="0"/>
    <n v="5461640533"/>
  </r>
  <r>
    <x v="120"/>
    <x v="0"/>
    <x v="3"/>
    <n v="18"/>
    <n v="30"/>
    <x v="7"/>
    <x v="7"/>
    <s v="paylater"/>
    <n v="12315497"/>
  </r>
  <r>
    <x v="120"/>
    <x v="0"/>
    <x v="3"/>
    <n v="18"/>
    <n v="30"/>
    <x v="6"/>
    <x v="6"/>
    <s v="payday"/>
    <n v="15000000"/>
  </r>
  <r>
    <x v="120"/>
    <x v="0"/>
    <x v="3"/>
    <n v="18"/>
    <n v="30"/>
    <x v="3"/>
    <x v="3"/>
    <s v="cashloan"/>
    <n v="75650000"/>
  </r>
  <r>
    <x v="120"/>
    <x v="0"/>
    <x v="3"/>
    <n v="18"/>
    <n v="30"/>
    <x v="1"/>
    <x v="1"/>
    <s v="cashloan"/>
    <n v="42000000"/>
  </r>
  <r>
    <x v="121"/>
    <x v="0"/>
    <x v="4"/>
    <n v="18"/>
    <n v="1"/>
    <x v="7"/>
    <x v="7"/>
    <s v="paylater"/>
    <n v="12406162"/>
  </r>
  <r>
    <x v="121"/>
    <x v="0"/>
    <x v="4"/>
    <n v="18"/>
    <n v="1"/>
    <x v="3"/>
    <x v="3"/>
    <s v="cashloan"/>
    <n v="101850000"/>
  </r>
  <r>
    <x v="121"/>
    <x v="0"/>
    <x v="4"/>
    <n v="18"/>
    <n v="1"/>
    <x v="8"/>
    <x v="8"/>
    <s v="cashloan"/>
    <n v="10700000"/>
  </r>
  <r>
    <x v="121"/>
    <x v="0"/>
    <x v="4"/>
    <n v="18"/>
    <n v="1"/>
    <x v="1"/>
    <x v="1"/>
    <s v="cashloan"/>
    <n v="49350000"/>
  </r>
  <r>
    <x v="121"/>
    <x v="0"/>
    <x v="4"/>
    <n v="18"/>
    <n v="1"/>
    <x v="4"/>
    <x v="4"/>
    <n v="0"/>
    <n v="6852705710"/>
  </r>
  <r>
    <x v="121"/>
    <x v="0"/>
    <x v="4"/>
    <n v="18"/>
    <n v="1"/>
    <x v="6"/>
    <x v="6"/>
    <s v="payday"/>
    <n v="19000000"/>
  </r>
  <r>
    <x v="121"/>
    <x v="0"/>
    <x v="4"/>
    <n v="18"/>
    <n v="1"/>
    <x v="9"/>
    <x v="9"/>
    <s v="cashloan"/>
    <n v="0"/>
  </r>
  <r>
    <x v="121"/>
    <x v="0"/>
    <x v="4"/>
    <n v="18"/>
    <n v="1"/>
    <x v="2"/>
    <x v="2"/>
    <s v="cashloan"/>
    <n v="2128310000"/>
  </r>
  <r>
    <x v="121"/>
    <x v="0"/>
    <x v="4"/>
    <n v="18"/>
    <n v="1"/>
    <x v="5"/>
    <x v="5"/>
    <s v="overdraft"/>
    <n v="2369589548"/>
  </r>
  <r>
    <x v="121"/>
    <x v="0"/>
    <x v="4"/>
    <n v="18"/>
    <n v="1"/>
    <x v="0"/>
    <x v="0"/>
    <s v="payday"/>
    <n v="2161500000"/>
  </r>
  <r>
    <x v="122"/>
    <x v="0"/>
    <x v="4"/>
    <n v="18"/>
    <n v="2"/>
    <x v="1"/>
    <x v="1"/>
    <s v="cashloan"/>
    <n v="184350000"/>
  </r>
  <r>
    <x v="122"/>
    <x v="0"/>
    <x v="4"/>
    <n v="18"/>
    <n v="2"/>
    <x v="2"/>
    <x v="2"/>
    <s v="cashloan"/>
    <n v="3443710000"/>
  </r>
  <r>
    <x v="122"/>
    <x v="0"/>
    <x v="4"/>
    <n v="18"/>
    <n v="2"/>
    <x v="0"/>
    <x v="0"/>
    <s v="payday"/>
    <n v="2573500000"/>
  </r>
  <r>
    <x v="122"/>
    <x v="0"/>
    <x v="4"/>
    <n v="18"/>
    <n v="2"/>
    <x v="6"/>
    <x v="6"/>
    <s v="payday"/>
    <n v="43000000"/>
  </r>
  <r>
    <x v="122"/>
    <x v="0"/>
    <x v="4"/>
    <n v="18"/>
    <n v="2"/>
    <x v="8"/>
    <x v="8"/>
    <s v="cashloan"/>
    <n v="52430000"/>
  </r>
  <r>
    <x v="122"/>
    <x v="0"/>
    <x v="4"/>
    <n v="18"/>
    <n v="2"/>
    <x v="4"/>
    <x v="4"/>
    <n v="0"/>
    <n v="9888118246"/>
  </r>
  <r>
    <x v="122"/>
    <x v="0"/>
    <x v="4"/>
    <n v="18"/>
    <n v="2"/>
    <x v="7"/>
    <x v="7"/>
    <s v="paylater"/>
    <n v="13958374"/>
  </r>
  <r>
    <x v="122"/>
    <x v="0"/>
    <x v="4"/>
    <n v="18"/>
    <n v="2"/>
    <x v="5"/>
    <x v="5"/>
    <s v="overdraft"/>
    <n v="3412269872"/>
  </r>
  <r>
    <x v="122"/>
    <x v="0"/>
    <x v="4"/>
    <n v="18"/>
    <n v="2"/>
    <x v="9"/>
    <x v="9"/>
    <s v="cashloan"/>
    <n v="0"/>
  </r>
  <r>
    <x v="122"/>
    <x v="0"/>
    <x v="4"/>
    <n v="18"/>
    <n v="2"/>
    <x v="3"/>
    <x v="3"/>
    <s v="cashloan"/>
    <n v="164900000"/>
  </r>
  <r>
    <x v="123"/>
    <x v="0"/>
    <x v="4"/>
    <n v="18"/>
    <n v="3"/>
    <x v="7"/>
    <x v="7"/>
    <s v="paylater"/>
    <n v="30947121"/>
  </r>
  <r>
    <x v="123"/>
    <x v="0"/>
    <x v="4"/>
    <n v="18"/>
    <n v="3"/>
    <x v="1"/>
    <x v="1"/>
    <s v="cashloan"/>
    <n v="57250000"/>
  </r>
  <r>
    <x v="123"/>
    <x v="0"/>
    <x v="4"/>
    <n v="18"/>
    <n v="3"/>
    <x v="8"/>
    <x v="8"/>
    <s v="cashloan"/>
    <n v="75970000"/>
  </r>
  <r>
    <x v="123"/>
    <x v="0"/>
    <x v="4"/>
    <n v="18"/>
    <n v="3"/>
    <x v="4"/>
    <x v="4"/>
    <n v="0"/>
    <n v="9854009235"/>
  </r>
  <r>
    <x v="123"/>
    <x v="0"/>
    <x v="4"/>
    <n v="18"/>
    <n v="3"/>
    <x v="6"/>
    <x v="6"/>
    <s v="payday"/>
    <n v="26000000"/>
  </r>
  <r>
    <x v="123"/>
    <x v="0"/>
    <x v="4"/>
    <n v="18"/>
    <n v="3"/>
    <x v="9"/>
    <x v="9"/>
    <s v="cashloan"/>
    <n v="0"/>
  </r>
  <r>
    <x v="123"/>
    <x v="0"/>
    <x v="4"/>
    <n v="18"/>
    <n v="3"/>
    <x v="3"/>
    <x v="3"/>
    <s v="cashloan"/>
    <n v="89300000"/>
  </r>
  <r>
    <x v="123"/>
    <x v="0"/>
    <x v="4"/>
    <n v="18"/>
    <n v="3"/>
    <x v="5"/>
    <x v="5"/>
    <s v="overdraft"/>
    <n v="2655142114"/>
  </r>
  <r>
    <x v="123"/>
    <x v="0"/>
    <x v="4"/>
    <n v="18"/>
    <n v="3"/>
    <x v="2"/>
    <x v="2"/>
    <s v="cashloan"/>
    <n v="3913900000"/>
  </r>
  <r>
    <x v="123"/>
    <x v="0"/>
    <x v="4"/>
    <n v="18"/>
    <n v="3"/>
    <x v="0"/>
    <x v="0"/>
    <s v="payday"/>
    <n v="3005500000"/>
  </r>
  <r>
    <x v="124"/>
    <x v="0"/>
    <x v="4"/>
    <n v="18"/>
    <n v="4"/>
    <x v="5"/>
    <x v="5"/>
    <s v="overdraft"/>
    <n v="2479216421"/>
  </r>
  <r>
    <x v="124"/>
    <x v="0"/>
    <x v="4"/>
    <n v="18"/>
    <n v="4"/>
    <x v="2"/>
    <x v="2"/>
    <s v="cashloan"/>
    <n v="3181290000"/>
  </r>
  <r>
    <x v="124"/>
    <x v="0"/>
    <x v="4"/>
    <n v="18"/>
    <n v="4"/>
    <x v="0"/>
    <x v="0"/>
    <s v="payday"/>
    <n v="2776500000"/>
  </r>
  <r>
    <x v="124"/>
    <x v="0"/>
    <x v="4"/>
    <n v="18"/>
    <n v="4"/>
    <x v="6"/>
    <x v="6"/>
    <s v="payday"/>
    <n v="27000000"/>
  </r>
  <r>
    <x v="124"/>
    <x v="0"/>
    <x v="4"/>
    <n v="18"/>
    <n v="4"/>
    <x v="1"/>
    <x v="1"/>
    <s v="cashloan"/>
    <n v="52000000"/>
  </r>
  <r>
    <x v="124"/>
    <x v="0"/>
    <x v="4"/>
    <n v="18"/>
    <n v="4"/>
    <x v="3"/>
    <x v="3"/>
    <s v="cashloan"/>
    <n v="73500000"/>
  </r>
  <r>
    <x v="124"/>
    <x v="0"/>
    <x v="4"/>
    <n v="18"/>
    <n v="4"/>
    <x v="9"/>
    <x v="9"/>
    <s v="cashloan"/>
    <n v="0"/>
  </r>
  <r>
    <x v="124"/>
    <x v="0"/>
    <x v="4"/>
    <n v="18"/>
    <n v="4"/>
    <x v="4"/>
    <x v="4"/>
    <n v="0"/>
    <n v="8808524770"/>
  </r>
  <r>
    <x v="124"/>
    <x v="0"/>
    <x v="4"/>
    <n v="18"/>
    <n v="4"/>
    <x v="8"/>
    <x v="8"/>
    <s v="cashloan"/>
    <n v="175480000"/>
  </r>
  <r>
    <x v="124"/>
    <x v="0"/>
    <x v="4"/>
    <n v="18"/>
    <n v="4"/>
    <x v="7"/>
    <x v="7"/>
    <s v="paylater"/>
    <n v="43538349"/>
  </r>
  <r>
    <x v="125"/>
    <x v="0"/>
    <x v="4"/>
    <n v="18"/>
    <n v="5"/>
    <x v="4"/>
    <x v="4"/>
    <n v="0"/>
    <n v="7059564904"/>
  </r>
  <r>
    <x v="125"/>
    <x v="0"/>
    <x v="4"/>
    <n v="18"/>
    <n v="5"/>
    <x v="7"/>
    <x v="7"/>
    <s v="paylater"/>
    <n v="30329010"/>
  </r>
  <r>
    <x v="125"/>
    <x v="0"/>
    <x v="4"/>
    <n v="18"/>
    <n v="5"/>
    <x v="9"/>
    <x v="9"/>
    <s v="cashloan"/>
    <n v="0"/>
  </r>
  <r>
    <x v="125"/>
    <x v="0"/>
    <x v="4"/>
    <n v="18"/>
    <n v="5"/>
    <x v="0"/>
    <x v="0"/>
    <s v="payday"/>
    <n v="2395000000"/>
  </r>
  <r>
    <x v="125"/>
    <x v="0"/>
    <x v="4"/>
    <n v="18"/>
    <n v="5"/>
    <x v="1"/>
    <x v="1"/>
    <s v="cashloan"/>
    <n v="13650000"/>
  </r>
  <r>
    <x v="125"/>
    <x v="0"/>
    <x v="4"/>
    <n v="18"/>
    <n v="5"/>
    <x v="3"/>
    <x v="3"/>
    <s v="cashloan"/>
    <n v="69300000"/>
  </r>
  <r>
    <x v="125"/>
    <x v="0"/>
    <x v="4"/>
    <n v="18"/>
    <n v="5"/>
    <x v="6"/>
    <x v="6"/>
    <s v="payday"/>
    <n v="68000000"/>
  </r>
  <r>
    <x v="125"/>
    <x v="0"/>
    <x v="4"/>
    <n v="18"/>
    <n v="5"/>
    <x v="8"/>
    <x v="8"/>
    <s v="cashloan"/>
    <n v="26750000"/>
  </r>
  <r>
    <x v="125"/>
    <x v="0"/>
    <x v="4"/>
    <n v="18"/>
    <n v="5"/>
    <x v="2"/>
    <x v="2"/>
    <s v="cashloan"/>
    <n v="2410780000"/>
  </r>
  <r>
    <x v="125"/>
    <x v="0"/>
    <x v="4"/>
    <n v="18"/>
    <n v="5"/>
    <x v="5"/>
    <x v="5"/>
    <s v="overdraft"/>
    <n v="2045755894"/>
  </r>
  <r>
    <x v="126"/>
    <x v="0"/>
    <x v="4"/>
    <n v="19"/>
    <n v="6"/>
    <x v="8"/>
    <x v="8"/>
    <s v="cashloan"/>
    <n v="222560000"/>
  </r>
  <r>
    <x v="126"/>
    <x v="0"/>
    <x v="4"/>
    <n v="19"/>
    <n v="6"/>
    <x v="3"/>
    <x v="3"/>
    <s v="cashloan"/>
    <n v="152250000"/>
  </r>
  <r>
    <x v="126"/>
    <x v="0"/>
    <x v="4"/>
    <n v="19"/>
    <n v="6"/>
    <x v="5"/>
    <x v="5"/>
    <s v="overdraft"/>
    <n v="2396624435"/>
  </r>
  <r>
    <x v="126"/>
    <x v="0"/>
    <x v="4"/>
    <n v="19"/>
    <n v="6"/>
    <x v="1"/>
    <x v="1"/>
    <s v="cashloan"/>
    <n v="161750000"/>
  </r>
  <r>
    <x v="126"/>
    <x v="0"/>
    <x v="4"/>
    <n v="19"/>
    <n v="6"/>
    <x v="6"/>
    <x v="6"/>
    <s v="payday"/>
    <n v="57000000"/>
  </r>
  <r>
    <x v="126"/>
    <x v="0"/>
    <x v="4"/>
    <n v="19"/>
    <n v="6"/>
    <x v="7"/>
    <x v="7"/>
    <s v="paylater"/>
    <n v="32361625"/>
  </r>
  <r>
    <x v="126"/>
    <x v="0"/>
    <x v="4"/>
    <n v="19"/>
    <n v="6"/>
    <x v="4"/>
    <x v="4"/>
    <n v="0"/>
    <n v="10405976060"/>
  </r>
  <r>
    <x v="126"/>
    <x v="0"/>
    <x v="4"/>
    <n v="19"/>
    <n v="6"/>
    <x v="9"/>
    <x v="9"/>
    <s v="cashloan"/>
    <n v="0"/>
  </r>
  <r>
    <x v="126"/>
    <x v="0"/>
    <x v="4"/>
    <n v="19"/>
    <n v="6"/>
    <x v="0"/>
    <x v="0"/>
    <s v="payday"/>
    <n v="3299500000"/>
  </r>
  <r>
    <x v="126"/>
    <x v="0"/>
    <x v="4"/>
    <n v="19"/>
    <n v="6"/>
    <x v="2"/>
    <x v="2"/>
    <s v="cashloan"/>
    <n v="4083930000"/>
  </r>
  <r>
    <x v="127"/>
    <x v="0"/>
    <x v="4"/>
    <n v="19"/>
    <n v="7"/>
    <x v="2"/>
    <x v="2"/>
    <s v="cashloan"/>
    <n v="4381160000"/>
  </r>
  <r>
    <x v="127"/>
    <x v="0"/>
    <x v="4"/>
    <n v="19"/>
    <n v="7"/>
    <x v="9"/>
    <x v="9"/>
    <s v="cashloan"/>
    <n v="16050000"/>
  </r>
  <r>
    <x v="127"/>
    <x v="0"/>
    <x v="4"/>
    <n v="19"/>
    <n v="7"/>
    <x v="8"/>
    <x v="8"/>
    <s v="cashloan"/>
    <n v="128400000"/>
  </r>
  <r>
    <x v="127"/>
    <x v="0"/>
    <x v="4"/>
    <n v="19"/>
    <n v="7"/>
    <x v="3"/>
    <x v="3"/>
    <s v="cashloan"/>
    <n v="142100000"/>
  </r>
  <r>
    <x v="127"/>
    <x v="0"/>
    <x v="4"/>
    <n v="19"/>
    <n v="7"/>
    <x v="4"/>
    <x v="4"/>
    <n v="0"/>
    <n v="9365394251"/>
  </r>
  <r>
    <x v="127"/>
    <x v="0"/>
    <x v="4"/>
    <n v="19"/>
    <n v="7"/>
    <x v="5"/>
    <x v="5"/>
    <s v="overdraft"/>
    <n v="1822966158"/>
  </r>
  <r>
    <x v="127"/>
    <x v="0"/>
    <x v="4"/>
    <n v="19"/>
    <n v="7"/>
    <x v="6"/>
    <x v="6"/>
    <s v="payday"/>
    <n v="38000000"/>
  </r>
  <r>
    <x v="127"/>
    <x v="0"/>
    <x v="4"/>
    <n v="19"/>
    <n v="7"/>
    <x v="7"/>
    <x v="7"/>
    <s v="paylater"/>
    <n v="28668093"/>
  </r>
  <r>
    <x v="127"/>
    <x v="0"/>
    <x v="4"/>
    <n v="19"/>
    <n v="7"/>
    <x v="0"/>
    <x v="0"/>
    <s v="payday"/>
    <n v="2712500000"/>
  </r>
  <r>
    <x v="127"/>
    <x v="0"/>
    <x v="4"/>
    <n v="19"/>
    <n v="7"/>
    <x v="1"/>
    <x v="1"/>
    <s v="cashloan"/>
    <n v="95550000"/>
  </r>
  <r>
    <x v="128"/>
    <x v="0"/>
    <x v="4"/>
    <n v="19"/>
    <n v="8"/>
    <x v="2"/>
    <x v="2"/>
    <s v="cashloan"/>
    <n v="4063820000"/>
  </r>
  <r>
    <x v="128"/>
    <x v="0"/>
    <x v="4"/>
    <n v="19"/>
    <n v="8"/>
    <x v="0"/>
    <x v="0"/>
    <s v="payday"/>
    <n v="2272500000"/>
  </r>
  <r>
    <x v="128"/>
    <x v="0"/>
    <x v="4"/>
    <n v="19"/>
    <n v="8"/>
    <x v="5"/>
    <x v="5"/>
    <s v="overdraft"/>
    <n v="2368109740"/>
  </r>
  <r>
    <x v="128"/>
    <x v="0"/>
    <x v="4"/>
    <n v="19"/>
    <n v="8"/>
    <x v="8"/>
    <x v="8"/>
    <s v="cashloan"/>
    <n v="151940000"/>
  </r>
  <r>
    <x v="128"/>
    <x v="0"/>
    <x v="4"/>
    <n v="19"/>
    <n v="8"/>
    <x v="7"/>
    <x v="7"/>
    <s v="paylater"/>
    <n v="30583491"/>
  </r>
  <r>
    <x v="128"/>
    <x v="0"/>
    <x v="4"/>
    <n v="19"/>
    <n v="8"/>
    <x v="4"/>
    <x v="4"/>
    <n v="0"/>
    <n v="9106913231"/>
  </r>
  <r>
    <x v="128"/>
    <x v="0"/>
    <x v="4"/>
    <n v="19"/>
    <n v="8"/>
    <x v="6"/>
    <x v="6"/>
    <s v="payday"/>
    <n v="14000000"/>
  </r>
  <r>
    <x v="128"/>
    <x v="0"/>
    <x v="4"/>
    <n v="19"/>
    <n v="8"/>
    <x v="9"/>
    <x v="9"/>
    <s v="cashloan"/>
    <n v="8560000"/>
  </r>
  <r>
    <x v="128"/>
    <x v="0"/>
    <x v="4"/>
    <n v="19"/>
    <n v="8"/>
    <x v="3"/>
    <x v="3"/>
    <s v="cashloan"/>
    <n v="186900000"/>
  </r>
  <r>
    <x v="128"/>
    <x v="0"/>
    <x v="4"/>
    <n v="19"/>
    <n v="8"/>
    <x v="1"/>
    <x v="1"/>
    <s v="cashloan"/>
    <n v="10500000"/>
  </r>
  <r>
    <x v="129"/>
    <x v="0"/>
    <x v="4"/>
    <n v="19"/>
    <n v="9"/>
    <x v="2"/>
    <x v="2"/>
    <s v="cashloan"/>
    <n v="3753110000"/>
  </r>
  <r>
    <x v="129"/>
    <x v="0"/>
    <x v="4"/>
    <n v="19"/>
    <n v="9"/>
    <x v="1"/>
    <x v="1"/>
    <s v="cashloan"/>
    <n v="121050000"/>
  </r>
  <r>
    <x v="129"/>
    <x v="0"/>
    <x v="4"/>
    <n v="19"/>
    <n v="9"/>
    <x v="8"/>
    <x v="8"/>
    <s v="cashloan"/>
    <n v="240050000"/>
  </r>
  <r>
    <x v="129"/>
    <x v="0"/>
    <x v="4"/>
    <n v="19"/>
    <n v="9"/>
    <x v="0"/>
    <x v="0"/>
    <s v="payday"/>
    <n v="2731000000"/>
  </r>
  <r>
    <x v="129"/>
    <x v="0"/>
    <x v="4"/>
    <n v="19"/>
    <n v="9"/>
    <x v="4"/>
    <x v="4"/>
    <n v="0"/>
    <n v="9034555214"/>
  </r>
  <r>
    <x v="129"/>
    <x v="0"/>
    <x v="4"/>
    <n v="19"/>
    <n v="9"/>
    <x v="6"/>
    <x v="6"/>
    <s v="payday"/>
    <n v="35000000"/>
  </r>
  <r>
    <x v="129"/>
    <x v="0"/>
    <x v="4"/>
    <n v="19"/>
    <n v="9"/>
    <x v="3"/>
    <x v="3"/>
    <s v="cashloan"/>
    <n v="109250000"/>
  </r>
  <r>
    <x v="129"/>
    <x v="0"/>
    <x v="4"/>
    <n v="19"/>
    <n v="9"/>
    <x v="5"/>
    <x v="5"/>
    <s v="overdraft"/>
    <n v="2015083710"/>
  </r>
  <r>
    <x v="129"/>
    <x v="0"/>
    <x v="4"/>
    <n v="19"/>
    <n v="9"/>
    <x v="7"/>
    <x v="7"/>
    <s v="paylater"/>
    <n v="30011504"/>
  </r>
  <r>
    <x v="129"/>
    <x v="0"/>
    <x v="4"/>
    <n v="19"/>
    <n v="9"/>
    <x v="9"/>
    <x v="9"/>
    <s v="cashloan"/>
    <n v="0"/>
  </r>
  <r>
    <x v="130"/>
    <x v="0"/>
    <x v="4"/>
    <n v="19"/>
    <n v="10"/>
    <x v="8"/>
    <x v="8"/>
    <s v="cashloan"/>
    <n v="247170000"/>
  </r>
  <r>
    <x v="130"/>
    <x v="0"/>
    <x v="4"/>
    <n v="19"/>
    <n v="10"/>
    <x v="1"/>
    <x v="1"/>
    <s v="cashloan"/>
    <n v="52500000"/>
  </r>
  <r>
    <x v="130"/>
    <x v="0"/>
    <x v="4"/>
    <n v="19"/>
    <n v="10"/>
    <x v="6"/>
    <x v="6"/>
    <s v="payday"/>
    <n v="48000000"/>
  </r>
  <r>
    <x v="130"/>
    <x v="0"/>
    <x v="4"/>
    <n v="19"/>
    <n v="10"/>
    <x v="2"/>
    <x v="2"/>
    <s v="cashloan"/>
    <n v="4187740000"/>
  </r>
  <r>
    <x v="130"/>
    <x v="0"/>
    <x v="4"/>
    <n v="19"/>
    <n v="10"/>
    <x v="7"/>
    <x v="7"/>
    <s v="paylater"/>
    <n v="38102756"/>
  </r>
  <r>
    <x v="130"/>
    <x v="0"/>
    <x v="4"/>
    <n v="19"/>
    <n v="10"/>
    <x v="0"/>
    <x v="0"/>
    <s v="payday"/>
    <n v="3162000000"/>
  </r>
  <r>
    <x v="130"/>
    <x v="0"/>
    <x v="4"/>
    <n v="19"/>
    <n v="10"/>
    <x v="9"/>
    <x v="9"/>
    <s v="cashloan"/>
    <n v="0"/>
  </r>
  <r>
    <x v="130"/>
    <x v="0"/>
    <x v="4"/>
    <n v="19"/>
    <n v="10"/>
    <x v="4"/>
    <x v="4"/>
    <n v="0"/>
    <n v="10284143152"/>
  </r>
  <r>
    <x v="130"/>
    <x v="0"/>
    <x v="4"/>
    <n v="19"/>
    <n v="10"/>
    <x v="5"/>
    <x v="5"/>
    <s v="overdraft"/>
    <n v="2455180396"/>
  </r>
  <r>
    <x v="130"/>
    <x v="0"/>
    <x v="4"/>
    <n v="19"/>
    <n v="10"/>
    <x v="3"/>
    <x v="3"/>
    <s v="cashloan"/>
    <n v="93450000"/>
  </r>
  <r>
    <x v="131"/>
    <x v="0"/>
    <x v="4"/>
    <n v="19"/>
    <n v="11"/>
    <x v="0"/>
    <x v="0"/>
    <s v="payday"/>
    <n v="2605500000"/>
  </r>
  <r>
    <x v="131"/>
    <x v="0"/>
    <x v="4"/>
    <n v="19"/>
    <n v="11"/>
    <x v="8"/>
    <x v="8"/>
    <s v="cashloan"/>
    <n v="111280000"/>
  </r>
  <r>
    <x v="131"/>
    <x v="0"/>
    <x v="4"/>
    <n v="19"/>
    <n v="11"/>
    <x v="3"/>
    <x v="3"/>
    <s v="cashloan"/>
    <n v="73500000"/>
  </r>
  <r>
    <x v="131"/>
    <x v="0"/>
    <x v="4"/>
    <n v="19"/>
    <n v="11"/>
    <x v="4"/>
    <x v="4"/>
    <n v="0"/>
    <n v="7670783824"/>
  </r>
  <r>
    <x v="131"/>
    <x v="0"/>
    <x v="4"/>
    <n v="19"/>
    <n v="11"/>
    <x v="6"/>
    <x v="6"/>
    <s v="payday"/>
    <n v="43000000"/>
  </r>
  <r>
    <x v="131"/>
    <x v="0"/>
    <x v="4"/>
    <n v="19"/>
    <n v="11"/>
    <x v="1"/>
    <x v="1"/>
    <s v="cashloan"/>
    <n v="42000000"/>
  </r>
  <r>
    <x v="131"/>
    <x v="0"/>
    <x v="4"/>
    <n v="19"/>
    <n v="11"/>
    <x v="9"/>
    <x v="9"/>
    <s v="cashloan"/>
    <n v="0"/>
  </r>
  <r>
    <x v="131"/>
    <x v="0"/>
    <x v="4"/>
    <n v="19"/>
    <n v="11"/>
    <x v="5"/>
    <x v="5"/>
    <s v="overdraft"/>
    <n v="1817259725"/>
  </r>
  <r>
    <x v="131"/>
    <x v="0"/>
    <x v="4"/>
    <n v="19"/>
    <n v="11"/>
    <x v="2"/>
    <x v="2"/>
    <s v="cashloan"/>
    <n v="2959970000"/>
  </r>
  <r>
    <x v="131"/>
    <x v="0"/>
    <x v="4"/>
    <n v="19"/>
    <n v="11"/>
    <x v="7"/>
    <x v="7"/>
    <s v="paylater"/>
    <n v="18274099"/>
  </r>
  <r>
    <x v="132"/>
    <x v="0"/>
    <x v="4"/>
    <n v="19"/>
    <n v="12"/>
    <x v="2"/>
    <x v="2"/>
    <s v="cashloan"/>
    <n v="2831900000"/>
  </r>
  <r>
    <x v="132"/>
    <x v="0"/>
    <x v="4"/>
    <n v="19"/>
    <n v="12"/>
    <x v="3"/>
    <x v="3"/>
    <s v="cashloan"/>
    <n v="176400000"/>
  </r>
  <r>
    <x v="132"/>
    <x v="0"/>
    <x v="4"/>
    <n v="19"/>
    <n v="12"/>
    <x v="0"/>
    <x v="0"/>
    <s v="payday"/>
    <n v="2182500000"/>
  </r>
  <r>
    <x v="132"/>
    <x v="0"/>
    <x v="4"/>
    <n v="19"/>
    <n v="12"/>
    <x v="1"/>
    <x v="1"/>
    <s v="cashloan"/>
    <n v="72750000"/>
  </r>
  <r>
    <x v="132"/>
    <x v="0"/>
    <x v="4"/>
    <n v="19"/>
    <n v="12"/>
    <x v="7"/>
    <x v="7"/>
    <s v="paylater"/>
    <n v="26686524"/>
  </r>
  <r>
    <x v="132"/>
    <x v="0"/>
    <x v="4"/>
    <n v="19"/>
    <n v="12"/>
    <x v="9"/>
    <x v="9"/>
    <s v="cashloan"/>
    <n v="0"/>
  </r>
  <r>
    <x v="132"/>
    <x v="0"/>
    <x v="4"/>
    <n v="19"/>
    <n v="12"/>
    <x v="6"/>
    <x v="6"/>
    <s v="payday"/>
    <n v="25000000"/>
  </r>
  <r>
    <x v="132"/>
    <x v="0"/>
    <x v="4"/>
    <n v="19"/>
    <n v="12"/>
    <x v="5"/>
    <x v="5"/>
    <s v="overdraft"/>
    <n v="1574723031"/>
  </r>
  <r>
    <x v="132"/>
    <x v="0"/>
    <x v="4"/>
    <n v="19"/>
    <n v="12"/>
    <x v="4"/>
    <x v="4"/>
    <n v="0"/>
    <n v="6903869555"/>
  </r>
  <r>
    <x v="132"/>
    <x v="0"/>
    <x v="4"/>
    <n v="19"/>
    <n v="12"/>
    <x v="8"/>
    <x v="8"/>
    <s v="cashloan"/>
    <n v="13910000"/>
  </r>
  <r>
    <x v="133"/>
    <x v="0"/>
    <x v="4"/>
    <n v="20"/>
    <n v="13"/>
    <x v="6"/>
    <x v="6"/>
    <s v="payday"/>
    <n v="17000000"/>
  </r>
  <r>
    <x v="133"/>
    <x v="0"/>
    <x v="4"/>
    <n v="20"/>
    <n v="13"/>
    <x v="1"/>
    <x v="1"/>
    <s v="cashloan"/>
    <n v="94500000"/>
  </r>
  <r>
    <x v="133"/>
    <x v="0"/>
    <x v="4"/>
    <n v="20"/>
    <n v="13"/>
    <x v="7"/>
    <x v="7"/>
    <s v="paylater"/>
    <n v="26529304"/>
  </r>
  <r>
    <x v="133"/>
    <x v="0"/>
    <x v="4"/>
    <n v="20"/>
    <n v="13"/>
    <x v="2"/>
    <x v="2"/>
    <s v="cashloan"/>
    <n v="4040970000"/>
  </r>
  <r>
    <x v="133"/>
    <x v="0"/>
    <x v="4"/>
    <n v="20"/>
    <n v="13"/>
    <x v="8"/>
    <x v="8"/>
    <s v="cashloan"/>
    <n v="342400000"/>
  </r>
  <r>
    <x v="133"/>
    <x v="0"/>
    <x v="4"/>
    <n v="20"/>
    <n v="13"/>
    <x v="4"/>
    <x v="4"/>
    <n v="0"/>
    <n v="9151068491"/>
  </r>
  <r>
    <x v="133"/>
    <x v="0"/>
    <x v="4"/>
    <n v="20"/>
    <n v="13"/>
    <x v="0"/>
    <x v="0"/>
    <s v="payday"/>
    <n v="2673000000"/>
  </r>
  <r>
    <x v="133"/>
    <x v="0"/>
    <x v="4"/>
    <n v="20"/>
    <n v="13"/>
    <x v="5"/>
    <x v="5"/>
    <s v="overdraft"/>
    <n v="1790469187"/>
  </r>
  <r>
    <x v="133"/>
    <x v="0"/>
    <x v="4"/>
    <n v="20"/>
    <n v="13"/>
    <x v="9"/>
    <x v="9"/>
    <s v="cashloan"/>
    <n v="0"/>
  </r>
  <r>
    <x v="133"/>
    <x v="0"/>
    <x v="4"/>
    <n v="20"/>
    <n v="13"/>
    <x v="3"/>
    <x v="3"/>
    <s v="cashloan"/>
    <n v="166200000"/>
  </r>
  <r>
    <x v="134"/>
    <x v="0"/>
    <x v="4"/>
    <n v="20"/>
    <n v="14"/>
    <x v="0"/>
    <x v="0"/>
    <s v="payday"/>
    <n v="2625500000"/>
  </r>
  <r>
    <x v="134"/>
    <x v="0"/>
    <x v="4"/>
    <n v="20"/>
    <n v="14"/>
    <x v="8"/>
    <x v="8"/>
    <s v="cashloan"/>
    <n v="191530000"/>
  </r>
  <r>
    <x v="134"/>
    <x v="0"/>
    <x v="4"/>
    <n v="20"/>
    <n v="14"/>
    <x v="9"/>
    <x v="9"/>
    <s v="cashloan"/>
    <n v="26420000"/>
  </r>
  <r>
    <x v="134"/>
    <x v="0"/>
    <x v="4"/>
    <n v="20"/>
    <n v="14"/>
    <x v="1"/>
    <x v="1"/>
    <s v="cashloan"/>
    <n v="153300000"/>
  </r>
  <r>
    <x v="134"/>
    <x v="0"/>
    <x v="4"/>
    <n v="20"/>
    <n v="14"/>
    <x v="6"/>
    <x v="6"/>
    <s v="payday"/>
    <n v="20000000"/>
  </r>
  <r>
    <x v="134"/>
    <x v="0"/>
    <x v="4"/>
    <n v="20"/>
    <n v="14"/>
    <x v="7"/>
    <x v="7"/>
    <s v="paylater"/>
    <n v="33209811"/>
  </r>
  <r>
    <x v="134"/>
    <x v="0"/>
    <x v="4"/>
    <n v="20"/>
    <n v="14"/>
    <x v="4"/>
    <x v="4"/>
    <n v="0"/>
    <n v="8960730873"/>
  </r>
  <r>
    <x v="134"/>
    <x v="0"/>
    <x v="4"/>
    <n v="20"/>
    <n v="14"/>
    <x v="2"/>
    <x v="2"/>
    <s v="cashloan"/>
    <n v="3782920000"/>
  </r>
  <r>
    <x v="134"/>
    <x v="0"/>
    <x v="4"/>
    <n v="20"/>
    <n v="14"/>
    <x v="3"/>
    <x v="3"/>
    <s v="cashloan"/>
    <n v="161700000"/>
  </r>
  <r>
    <x v="134"/>
    <x v="0"/>
    <x v="4"/>
    <n v="20"/>
    <n v="14"/>
    <x v="5"/>
    <x v="5"/>
    <s v="overdraft"/>
    <n v="1966151062"/>
  </r>
  <r>
    <x v="135"/>
    <x v="0"/>
    <x v="4"/>
    <n v="20"/>
    <n v="15"/>
    <x v="7"/>
    <x v="7"/>
    <s v="paylater"/>
    <n v="52934052"/>
  </r>
  <r>
    <x v="135"/>
    <x v="0"/>
    <x v="4"/>
    <n v="20"/>
    <n v="15"/>
    <x v="2"/>
    <x v="2"/>
    <s v="cashloan"/>
    <n v="3782450000"/>
  </r>
  <r>
    <x v="135"/>
    <x v="0"/>
    <x v="4"/>
    <n v="20"/>
    <n v="15"/>
    <x v="3"/>
    <x v="3"/>
    <s v="cashloan"/>
    <n v="120250000"/>
  </r>
  <r>
    <x v="135"/>
    <x v="0"/>
    <x v="4"/>
    <n v="20"/>
    <n v="15"/>
    <x v="8"/>
    <x v="8"/>
    <s v="cashloan"/>
    <n v="267330000"/>
  </r>
  <r>
    <x v="135"/>
    <x v="0"/>
    <x v="4"/>
    <n v="20"/>
    <n v="15"/>
    <x v="9"/>
    <x v="9"/>
    <s v="cashloan"/>
    <n v="0"/>
  </r>
  <r>
    <x v="135"/>
    <x v="0"/>
    <x v="4"/>
    <n v="20"/>
    <n v="15"/>
    <x v="6"/>
    <x v="6"/>
    <s v="payday"/>
    <n v="26000000"/>
  </r>
  <r>
    <x v="135"/>
    <x v="0"/>
    <x v="4"/>
    <n v="20"/>
    <n v="15"/>
    <x v="1"/>
    <x v="1"/>
    <s v="cashloan"/>
    <n v="116550000"/>
  </r>
  <r>
    <x v="135"/>
    <x v="0"/>
    <x v="4"/>
    <n v="20"/>
    <n v="15"/>
    <x v="4"/>
    <x v="4"/>
    <n v="0"/>
    <n v="9339919848"/>
  </r>
  <r>
    <x v="135"/>
    <x v="0"/>
    <x v="4"/>
    <n v="20"/>
    <n v="15"/>
    <x v="5"/>
    <x v="5"/>
    <s v="overdraft"/>
    <n v="2246405796"/>
  </r>
  <r>
    <x v="135"/>
    <x v="0"/>
    <x v="4"/>
    <n v="20"/>
    <n v="15"/>
    <x v="0"/>
    <x v="0"/>
    <s v="payday"/>
    <n v="2728000000"/>
  </r>
  <r>
    <x v="136"/>
    <x v="0"/>
    <x v="4"/>
    <n v="20"/>
    <n v="16"/>
    <x v="9"/>
    <x v="9"/>
    <s v="cashloan"/>
    <n v="14000000"/>
  </r>
  <r>
    <x v="136"/>
    <x v="0"/>
    <x v="4"/>
    <n v="20"/>
    <n v="16"/>
    <x v="3"/>
    <x v="3"/>
    <s v="cashloan"/>
    <n v="189000000"/>
  </r>
  <r>
    <x v="136"/>
    <x v="0"/>
    <x v="4"/>
    <n v="20"/>
    <n v="16"/>
    <x v="7"/>
    <x v="7"/>
    <s v="paylater"/>
    <n v="38926320"/>
  </r>
  <r>
    <x v="136"/>
    <x v="0"/>
    <x v="4"/>
    <n v="20"/>
    <n v="16"/>
    <x v="0"/>
    <x v="0"/>
    <s v="payday"/>
    <n v="2621000000"/>
  </r>
  <r>
    <x v="136"/>
    <x v="0"/>
    <x v="4"/>
    <n v="20"/>
    <n v="16"/>
    <x v="1"/>
    <x v="1"/>
    <s v="cashloan"/>
    <n v="47250000"/>
  </r>
  <r>
    <x v="136"/>
    <x v="0"/>
    <x v="4"/>
    <n v="20"/>
    <n v="16"/>
    <x v="2"/>
    <x v="2"/>
    <s v="cashloan"/>
    <n v="3433540000"/>
  </r>
  <r>
    <x v="136"/>
    <x v="0"/>
    <x v="4"/>
    <n v="20"/>
    <n v="16"/>
    <x v="6"/>
    <x v="6"/>
    <s v="payday"/>
    <n v="19000000"/>
  </r>
  <r>
    <x v="136"/>
    <x v="0"/>
    <x v="4"/>
    <n v="20"/>
    <n v="16"/>
    <x v="4"/>
    <x v="4"/>
    <n v="0"/>
    <n v="8514101335"/>
  </r>
  <r>
    <x v="136"/>
    <x v="0"/>
    <x v="4"/>
    <n v="20"/>
    <n v="16"/>
    <x v="8"/>
    <x v="8"/>
    <s v="cashloan"/>
    <n v="225770000"/>
  </r>
  <r>
    <x v="136"/>
    <x v="0"/>
    <x v="4"/>
    <n v="20"/>
    <n v="16"/>
    <x v="5"/>
    <x v="5"/>
    <s v="overdraft"/>
    <n v="1925615015"/>
  </r>
  <r>
    <x v="137"/>
    <x v="0"/>
    <x v="4"/>
    <n v="20"/>
    <n v="17"/>
    <x v="1"/>
    <x v="1"/>
    <s v="cashloan"/>
    <n v="19950000"/>
  </r>
  <r>
    <x v="137"/>
    <x v="0"/>
    <x v="4"/>
    <n v="20"/>
    <n v="17"/>
    <x v="0"/>
    <x v="0"/>
    <s v="payday"/>
    <n v="2618500000"/>
  </r>
  <r>
    <x v="137"/>
    <x v="0"/>
    <x v="4"/>
    <n v="20"/>
    <n v="17"/>
    <x v="9"/>
    <x v="9"/>
    <s v="cashloan"/>
    <n v="0"/>
  </r>
  <r>
    <x v="137"/>
    <x v="0"/>
    <x v="4"/>
    <n v="20"/>
    <n v="17"/>
    <x v="2"/>
    <x v="2"/>
    <s v="cashloan"/>
    <n v="3405390000"/>
  </r>
  <r>
    <x v="137"/>
    <x v="0"/>
    <x v="4"/>
    <n v="20"/>
    <n v="17"/>
    <x v="8"/>
    <x v="8"/>
    <s v="cashloan"/>
    <n v="207580000"/>
  </r>
  <r>
    <x v="137"/>
    <x v="0"/>
    <x v="4"/>
    <n v="20"/>
    <n v="17"/>
    <x v="4"/>
    <x v="4"/>
    <n v="0"/>
    <n v="8123784134"/>
  </r>
  <r>
    <x v="137"/>
    <x v="0"/>
    <x v="4"/>
    <n v="20"/>
    <n v="17"/>
    <x v="5"/>
    <x v="5"/>
    <s v="overdraft"/>
    <n v="1701853054"/>
  </r>
  <r>
    <x v="137"/>
    <x v="0"/>
    <x v="4"/>
    <n v="20"/>
    <n v="17"/>
    <x v="3"/>
    <x v="3"/>
    <s v="cashloan"/>
    <n v="82950000"/>
  </r>
  <r>
    <x v="137"/>
    <x v="0"/>
    <x v="4"/>
    <n v="20"/>
    <n v="17"/>
    <x v="6"/>
    <x v="6"/>
    <s v="payday"/>
    <n v="29000000"/>
  </r>
  <r>
    <x v="137"/>
    <x v="0"/>
    <x v="4"/>
    <n v="20"/>
    <n v="17"/>
    <x v="7"/>
    <x v="7"/>
    <s v="paylater"/>
    <n v="58561080"/>
  </r>
  <r>
    <x v="138"/>
    <x v="0"/>
    <x v="4"/>
    <n v="20"/>
    <n v="18"/>
    <x v="8"/>
    <x v="8"/>
    <s v="cashloan"/>
    <n v="145750000"/>
  </r>
  <r>
    <x v="138"/>
    <x v="0"/>
    <x v="4"/>
    <n v="20"/>
    <n v="18"/>
    <x v="2"/>
    <x v="2"/>
    <s v="cashloan"/>
    <n v="2085900000"/>
  </r>
  <r>
    <x v="138"/>
    <x v="0"/>
    <x v="4"/>
    <n v="20"/>
    <n v="18"/>
    <x v="9"/>
    <x v="9"/>
    <s v="cashloan"/>
    <n v="8560000"/>
  </r>
  <r>
    <x v="138"/>
    <x v="0"/>
    <x v="4"/>
    <n v="20"/>
    <n v="18"/>
    <x v="7"/>
    <x v="7"/>
    <s v="paylater"/>
    <n v="38791442"/>
  </r>
  <r>
    <x v="138"/>
    <x v="0"/>
    <x v="4"/>
    <n v="20"/>
    <n v="18"/>
    <x v="1"/>
    <x v="1"/>
    <s v="cashloan"/>
    <n v="31500000"/>
  </r>
  <r>
    <x v="138"/>
    <x v="0"/>
    <x v="4"/>
    <n v="20"/>
    <n v="18"/>
    <x v="4"/>
    <x v="4"/>
    <n v="0"/>
    <n v="5645176414"/>
  </r>
  <r>
    <x v="138"/>
    <x v="0"/>
    <x v="4"/>
    <n v="20"/>
    <n v="18"/>
    <x v="3"/>
    <x v="3"/>
    <s v="cashloan"/>
    <n v="42000000"/>
  </r>
  <r>
    <x v="138"/>
    <x v="0"/>
    <x v="4"/>
    <n v="20"/>
    <n v="18"/>
    <x v="0"/>
    <x v="0"/>
    <s v="payday"/>
    <n v="1801000000"/>
  </r>
  <r>
    <x v="138"/>
    <x v="0"/>
    <x v="4"/>
    <n v="20"/>
    <n v="18"/>
    <x v="5"/>
    <x v="5"/>
    <s v="overdraft"/>
    <n v="1469674972"/>
  </r>
  <r>
    <x v="138"/>
    <x v="0"/>
    <x v="4"/>
    <n v="20"/>
    <n v="18"/>
    <x v="6"/>
    <x v="6"/>
    <s v="payday"/>
    <n v="22000000"/>
  </r>
  <r>
    <x v="139"/>
    <x v="0"/>
    <x v="4"/>
    <n v="20"/>
    <n v="19"/>
    <x v="0"/>
    <x v="0"/>
    <s v="payday"/>
    <n v="2295000000"/>
  </r>
  <r>
    <x v="139"/>
    <x v="0"/>
    <x v="4"/>
    <n v="20"/>
    <n v="19"/>
    <x v="8"/>
    <x v="8"/>
    <s v="cashloan"/>
    <n v="11770000"/>
  </r>
  <r>
    <x v="139"/>
    <x v="0"/>
    <x v="4"/>
    <n v="20"/>
    <n v="19"/>
    <x v="4"/>
    <x v="4"/>
    <n v="0"/>
    <n v="7349023950"/>
  </r>
  <r>
    <x v="139"/>
    <x v="0"/>
    <x v="4"/>
    <n v="20"/>
    <n v="19"/>
    <x v="9"/>
    <x v="9"/>
    <s v="cashloan"/>
    <n v="21400000"/>
  </r>
  <r>
    <x v="139"/>
    <x v="0"/>
    <x v="4"/>
    <n v="20"/>
    <n v="19"/>
    <x v="2"/>
    <x v="2"/>
    <s v="cashloan"/>
    <n v="3371590000"/>
  </r>
  <r>
    <x v="139"/>
    <x v="0"/>
    <x v="4"/>
    <n v="20"/>
    <n v="19"/>
    <x v="5"/>
    <x v="5"/>
    <s v="overdraft"/>
    <n v="1504707618"/>
  </r>
  <r>
    <x v="139"/>
    <x v="0"/>
    <x v="4"/>
    <n v="20"/>
    <n v="19"/>
    <x v="6"/>
    <x v="6"/>
    <s v="payday"/>
    <n v="14000000"/>
  </r>
  <r>
    <x v="139"/>
    <x v="0"/>
    <x v="4"/>
    <n v="20"/>
    <n v="19"/>
    <x v="7"/>
    <x v="7"/>
    <s v="paylater"/>
    <n v="21356332"/>
  </r>
  <r>
    <x v="139"/>
    <x v="0"/>
    <x v="4"/>
    <n v="20"/>
    <n v="19"/>
    <x v="3"/>
    <x v="3"/>
    <s v="cashloan"/>
    <n v="72450000"/>
  </r>
  <r>
    <x v="139"/>
    <x v="0"/>
    <x v="4"/>
    <n v="20"/>
    <n v="19"/>
    <x v="1"/>
    <x v="1"/>
    <s v="cashloan"/>
    <n v="36750000"/>
  </r>
  <r>
    <x v="140"/>
    <x v="0"/>
    <x v="4"/>
    <n v="21"/>
    <n v="20"/>
    <x v="3"/>
    <x v="3"/>
    <s v="cashloan"/>
    <n v="262500000"/>
  </r>
  <r>
    <x v="140"/>
    <x v="0"/>
    <x v="4"/>
    <n v="21"/>
    <n v="20"/>
    <x v="2"/>
    <x v="2"/>
    <s v="cashloan"/>
    <n v="3971860000"/>
  </r>
  <r>
    <x v="140"/>
    <x v="0"/>
    <x v="4"/>
    <n v="21"/>
    <n v="20"/>
    <x v="1"/>
    <x v="1"/>
    <s v="cashloan"/>
    <n v="84000000"/>
  </r>
  <r>
    <x v="140"/>
    <x v="0"/>
    <x v="4"/>
    <n v="21"/>
    <n v="20"/>
    <x v="0"/>
    <x v="0"/>
    <s v="payday"/>
    <n v="2880500000"/>
  </r>
  <r>
    <x v="140"/>
    <x v="0"/>
    <x v="4"/>
    <n v="21"/>
    <n v="20"/>
    <x v="7"/>
    <x v="7"/>
    <s v="paylater"/>
    <n v="33953818"/>
  </r>
  <r>
    <x v="140"/>
    <x v="0"/>
    <x v="4"/>
    <n v="21"/>
    <n v="20"/>
    <x v="6"/>
    <x v="6"/>
    <s v="payday"/>
    <n v="72000000"/>
  </r>
  <r>
    <x v="140"/>
    <x v="0"/>
    <x v="4"/>
    <n v="21"/>
    <n v="20"/>
    <x v="5"/>
    <x v="5"/>
    <s v="overdraft"/>
    <n v="2412624909"/>
  </r>
  <r>
    <x v="140"/>
    <x v="0"/>
    <x v="4"/>
    <n v="21"/>
    <n v="20"/>
    <x v="9"/>
    <x v="9"/>
    <s v="cashloan"/>
    <n v="10700000"/>
  </r>
  <r>
    <x v="140"/>
    <x v="0"/>
    <x v="4"/>
    <n v="21"/>
    <n v="20"/>
    <x v="4"/>
    <x v="4"/>
    <n v="0"/>
    <n v="9926088727"/>
  </r>
  <r>
    <x v="140"/>
    <x v="0"/>
    <x v="4"/>
    <n v="21"/>
    <n v="20"/>
    <x v="8"/>
    <x v="8"/>
    <s v="cashloan"/>
    <n v="197950000"/>
  </r>
  <r>
    <x v="141"/>
    <x v="0"/>
    <x v="4"/>
    <n v="21"/>
    <n v="21"/>
    <x v="2"/>
    <x v="2"/>
    <s v="cashloan"/>
    <n v="3445590000"/>
  </r>
  <r>
    <x v="141"/>
    <x v="0"/>
    <x v="4"/>
    <n v="21"/>
    <n v="21"/>
    <x v="0"/>
    <x v="0"/>
    <s v="payday"/>
    <n v="2449000000"/>
  </r>
  <r>
    <x v="141"/>
    <x v="0"/>
    <x v="4"/>
    <n v="21"/>
    <n v="21"/>
    <x v="5"/>
    <x v="5"/>
    <s v="overdraft"/>
    <n v="2521759199"/>
  </r>
  <r>
    <x v="141"/>
    <x v="0"/>
    <x v="4"/>
    <n v="21"/>
    <n v="21"/>
    <x v="4"/>
    <x v="4"/>
    <n v="0"/>
    <n v="8972893418"/>
  </r>
  <r>
    <x v="141"/>
    <x v="0"/>
    <x v="4"/>
    <n v="21"/>
    <n v="21"/>
    <x v="8"/>
    <x v="8"/>
    <s v="cashloan"/>
    <n v="201160000"/>
  </r>
  <r>
    <x v="141"/>
    <x v="0"/>
    <x v="4"/>
    <n v="21"/>
    <n v="21"/>
    <x v="6"/>
    <x v="6"/>
    <s v="payday"/>
    <n v="46000000"/>
  </r>
  <r>
    <x v="141"/>
    <x v="0"/>
    <x v="4"/>
    <n v="21"/>
    <n v="21"/>
    <x v="3"/>
    <x v="3"/>
    <s v="cashloan"/>
    <n v="186900000"/>
  </r>
  <r>
    <x v="141"/>
    <x v="0"/>
    <x v="4"/>
    <n v="21"/>
    <n v="21"/>
    <x v="9"/>
    <x v="9"/>
    <s v="cashloan"/>
    <n v="15000000"/>
  </r>
  <r>
    <x v="141"/>
    <x v="0"/>
    <x v="4"/>
    <n v="21"/>
    <n v="21"/>
    <x v="1"/>
    <x v="1"/>
    <s v="cashloan"/>
    <n v="70350000"/>
  </r>
  <r>
    <x v="141"/>
    <x v="0"/>
    <x v="4"/>
    <n v="21"/>
    <n v="21"/>
    <x v="7"/>
    <x v="7"/>
    <s v="paylater"/>
    <n v="37134219"/>
  </r>
  <r>
    <x v="142"/>
    <x v="0"/>
    <x v="4"/>
    <n v="21"/>
    <n v="22"/>
    <x v="9"/>
    <x v="9"/>
    <s v="cashloan"/>
    <n v="21400000"/>
  </r>
  <r>
    <x v="142"/>
    <x v="0"/>
    <x v="4"/>
    <n v="21"/>
    <n v="22"/>
    <x v="7"/>
    <x v="7"/>
    <s v="paylater"/>
    <n v="27860027"/>
  </r>
  <r>
    <x v="142"/>
    <x v="0"/>
    <x v="4"/>
    <n v="21"/>
    <n v="22"/>
    <x v="5"/>
    <x v="5"/>
    <s v="overdraft"/>
    <n v="1753188978"/>
  </r>
  <r>
    <x v="142"/>
    <x v="0"/>
    <x v="4"/>
    <n v="21"/>
    <n v="22"/>
    <x v="1"/>
    <x v="1"/>
    <s v="cashloan"/>
    <n v="26250000"/>
  </r>
  <r>
    <x v="142"/>
    <x v="0"/>
    <x v="4"/>
    <n v="21"/>
    <n v="22"/>
    <x v="0"/>
    <x v="0"/>
    <s v="payday"/>
    <n v="2558500000"/>
  </r>
  <r>
    <x v="142"/>
    <x v="0"/>
    <x v="4"/>
    <n v="21"/>
    <n v="22"/>
    <x v="6"/>
    <x v="6"/>
    <s v="payday"/>
    <n v="15000000"/>
  </r>
  <r>
    <x v="142"/>
    <x v="0"/>
    <x v="4"/>
    <n v="21"/>
    <n v="22"/>
    <x v="4"/>
    <x v="4"/>
    <n v="0"/>
    <n v="8326459005"/>
  </r>
  <r>
    <x v="142"/>
    <x v="0"/>
    <x v="4"/>
    <n v="21"/>
    <n v="22"/>
    <x v="8"/>
    <x v="8"/>
    <s v="cashloan"/>
    <n v="156220000"/>
  </r>
  <r>
    <x v="142"/>
    <x v="0"/>
    <x v="4"/>
    <n v="21"/>
    <n v="22"/>
    <x v="3"/>
    <x v="3"/>
    <s v="cashloan"/>
    <n v="120750000"/>
  </r>
  <r>
    <x v="142"/>
    <x v="0"/>
    <x v="4"/>
    <n v="21"/>
    <n v="22"/>
    <x v="2"/>
    <x v="2"/>
    <s v="cashloan"/>
    <n v="3647290000"/>
  </r>
  <r>
    <x v="143"/>
    <x v="0"/>
    <x v="4"/>
    <n v="21"/>
    <n v="23"/>
    <x v="5"/>
    <x v="5"/>
    <s v="overdraft"/>
    <n v="1831898572"/>
  </r>
  <r>
    <x v="143"/>
    <x v="0"/>
    <x v="4"/>
    <n v="21"/>
    <n v="23"/>
    <x v="3"/>
    <x v="3"/>
    <s v="cashloan"/>
    <n v="130200000"/>
  </r>
  <r>
    <x v="143"/>
    <x v="0"/>
    <x v="4"/>
    <n v="21"/>
    <n v="23"/>
    <x v="8"/>
    <x v="8"/>
    <s v="cashloan"/>
    <n v="159660000"/>
  </r>
  <r>
    <x v="143"/>
    <x v="0"/>
    <x v="4"/>
    <n v="21"/>
    <n v="23"/>
    <x v="0"/>
    <x v="0"/>
    <s v="payday"/>
    <n v="2330500000"/>
  </r>
  <r>
    <x v="143"/>
    <x v="0"/>
    <x v="4"/>
    <n v="21"/>
    <n v="23"/>
    <x v="1"/>
    <x v="1"/>
    <s v="cashloan"/>
    <n v="20500000"/>
  </r>
  <r>
    <x v="143"/>
    <x v="0"/>
    <x v="4"/>
    <n v="21"/>
    <n v="23"/>
    <x v="4"/>
    <x v="4"/>
    <n v="0"/>
    <n v="7725853315"/>
  </r>
  <r>
    <x v="143"/>
    <x v="0"/>
    <x v="4"/>
    <n v="21"/>
    <n v="23"/>
    <x v="7"/>
    <x v="7"/>
    <s v="paylater"/>
    <n v="36554743"/>
  </r>
  <r>
    <x v="143"/>
    <x v="0"/>
    <x v="4"/>
    <n v="21"/>
    <n v="23"/>
    <x v="6"/>
    <x v="6"/>
    <s v="payday"/>
    <n v="13000000"/>
  </r>
  <r>
    <x v="143"/>
    <x v="0"/>
    <x v="4"/>
    <n v="21"/>
    <n v="23"/>
    <x v="9"/>
    <x v="9"/>
    <s v="cashloan"/>
    <n v="0"/>
  </r>
  <r>
    <x v="143"/>
    <x v="0"/>
    <x v="4"/>
    <n v="21"/>
    <n v="23"/>
    <x v="2"/>
    <x v="2"/>
    <s v="cashloan"/>
    <n v="3203540000"/>
  </r>
  <r>
    <x v="144"/>
    <x v="0"/>
    <x v="4"/>
    <n v="21"/>
    <n v="24"/>
    <x v="0"/>
    <x v="0"/>
    <s v="payday"/>
    <n v="2647500000"/>
  </r>
  <r>
    <x v="144"/>
    <x v="0"/>
    <x v="4"/>
    <n v="21"/>
    <n v="24"/>
    <x v="3"/>
    <x v="3"/>
    <s v="cashloan"/>
    <n v="115000000"/>
  </r>
  <r>
    <x v="144"/>
    <x v="0"/>
    <x v="4"/>
    <n v="21"/>
    <n v="24"/>
    <x v="2"/>
    <x v="2"/>
    <s v="cashloan"/>
    <n v="3425530000"/>
  </r>
  <r>
    <x v="144"/>
    <x v="0"/>
    <x v="4"/>
    <n v="21"/>
    <n v="24"/>
    <x v="6"/>
    <x v="6"/>
    <s v="payday"/>
    <n v="45000000"/>
  </r>
  <r>
    <x v="144"/>
    <x v="0"/>
    <x v="4"/>
    <n v="21"/>
    <n v="24"/>
    <x v="4"/>
    <x v="4"/>
    <n v="0"/>
    <n v="8594852085"/>
  </r>
  <r>
    <x v="144"/>
    <x v="0"/>
    <x v="4"/>
    <n v="21"/>
    <n v="24"/>
    <x v="7"/>
    <x v="7"/>
    <s v="paylater"/>
    <n v="30400767"/>
  </r>
  <r>
    <x v="144"/>
    <x v="0"/>
    <x v="4"/>
    <n v="21"/>
    <n v="24"/>
    <x v="9"/>
    <x v="9"/>
    <s v="cashloan"/>
    <n v="38520000"/>
  </r>
  <r>
    <x v="144"/>
    <x v="0"/>
    <x v="4"/>
    <n v="21"/>
    <n v="24"/>
    <x v="1"/>
    <x v="1"/>
    <s v="cashloan"/>
    <n v="82950000"/>
  </r>
  <r>
    <x v="144"/>
    <x v="0"/>
    <x v="4"/>
    <n v="21"/>
    <n v="24"/>
    <x v="8"/>
    <x v="8"/>
    <s v="cashloan"/>
    <n v="289060000"/>
  </r>
  <r>
    <x v="144"/>
    <x v="0"/>
    <x v="4"/>
    <n v="21"/>
    <n v="24"/>
    <x v="5"/>
    <x v="5"/>
    <s v="overdraft"/>
    <n v="1920891318"/>
  </r>
  <r>
    <x v="145"/>
    <x v="0"/>
    <x v="4"/>
    <n v="21"/>
    <n v="25"/>
    <x v="8"/>
    <x v="8"/>
    <s v="cashloan"/>
    <n v="217210000"/>
  </r>
  <r>
    <x v="145"/>
    <x v="0"/>
    <x v="4"/>
    <n v="21"/>
    <n v="25"/>
    <x v="1"/>
    <x v="1"/>
    <s v="cashloan"/>
    <n v="31500000"/>
  </r>
  <r>
    <x v="145"/>
    <x v="0"/>
    <x v="4"/>
    <n v="21"/>
    <n v="25"/>
    <x v="0"/>
    <x v="0"/>
    <s v="payday"/>
    <n v="2469000000"/>
  </r>
  <r>
    <x v="145"/>
    <x v="0"/>
    <x v="4"/>
    <n v="21"/>
    <n v="25"/>
    <x v="4"/>
    <x v="4"/>
    <n v="0"/>
    <n v="7290933394"/>
  </r>
  <r>
    <x v="145"/>
    <x v="0"/>
    <x v="4"/>
    <n v="21"/>
    <n v="25"/>
    <x v="7"/>
    <x v="7"/>
    <s v="paylater"/>
    <n v="30585395"/>
  </r>
  <r>
    <x v="145"/>
    <x v="0"/>
    <x v="4"/>
    <n v="21"/>
    <n v="25"/>
    <x v="5"/>
    <x v="5"/>
    <s v="overdraft"/>
    <n v="1607167999"/>
  </r>
  <r>
    <x v="145"/>
    <x v="0"/>
    <x v="4"/>
    <n v="21"/>
    <n v="25"/>
    <x v="2"/>
    <x v="2"/>
    <s v="cashloan"/>
    <n v="2804160000"/>
  </r>
  <r>
    <x v="145"/>
    <x v="0"/>
    <x v="4"/>
    <n v="21"/>
    <n v="25"/>
    <x v="6"/>
    <x v="6"/>
    <s v="payday"/>
    <n v="24000000"/>
  </r>
  <r>
    <x v="145"/>
    <x v="0"/>
    <x v="4"/>
    <n v="21"/>
    <n v="25"/>
    <x v="9"/>
    <x v="9"/>
    <s v="cashloan"/>
    <n v="28560000"/>
  </r>
  <r>
    <x v="145"/>
    <x v="0"/>
    <x v="4"/>
    <n v="21"/>
    <n v="25"/>
    <x v="3"/>
    <x v="3"/>
    <s v="cashloan"/>
    <n v="78750000"/>
  </r>
  <r>
    <x v="146"/>
    <x v="0"/>
    <x v="4"/>
    <n v="21"/>
    <n v="26"/>
    <x v="1"/>
    <x v="1"/>
    <s v="cashloan"/>
    <n v="57750000"/>
  </r>
  <r>
    <x v="146"/>
    <x v="0"/>
    <x v="4"/>
    <n v="21"/>
    <n v="26"/>
    <x v="7"/>
    <x v="7"/>
    <s v="paylater"/>
    <n v="36066114"/>
  </r>
  <r>
    <x v="146"/>
    <x v="0"/>
    <x v="4"/>
    <n v="21"/>
    <n v="26"/>
    <x v="2"/>
    <x v="2"/>
    <s v="cashloan"/>
    <n v="3095010000"/>
  </r>
  <r>
    <x v="146"/>
    <x v="0"/>
    <x v="4"/>
    <n v="21"/>
    <n v="26"/>
    <x v="0"/>
    <x v="0"/>
    <s v="payday"/>
    <n v="2219500000"/>
  </r>
  <r>
    <x v="146"/>
    <x v="0"/>
    <x v="4"/>
    <n v="21"/>
    <n v="26"/>
    <x v="8"/>
    <x v="8"/>
    <s v="cashloan"/>
    <n v="40660000"/>
  </r>
  <r>
    <x v="146"/>
    <x v="0"/>
    <x v="4"/>
    <n v="21"/>
    <n v="26"/>
    <x v="5"/>
    <x v="5"/>
    <s v="overdraft"/>
    <n v="1471655317"/>
  </r>
  <r>
    <x v="146"/>
    <x v="0"/>
    <x v="4"/>
    <n v="21"/>
    <n v="26"/>
    <x v="3"/>
    <x v="3"/>
    <s v="cashloan"/>
    <n v="100800000"/>
  </r>
  <r>
    <x v="146"/>
    <x v="0"/>
    <x v="4"/>
    <n v="21"/>
    <n v="26"/>
    <x v="4"/>
    <x v="4"/>
    <n v="0"/>
    <n v="7044441431"/>
  </r>
  <r>
    <x v="146"/>
    <x v="0"/>
    <x v="4"/>
    <n v="21"/>
    <n v="26"/>
    <x v="6"/>
    <x v="6"/>
    <s v="payday"/>
    <n v="23000000"/>
  </r>
  <r>
    <x v="146"/>
    <x v="0"/>
    <x v="4"/>
    <n v="21"/>
    <n v="26"/>
    <x v="9"/>
    <x v="9"/>
    <s v="cashloan"/>
    <n v="0"/>
  </r>
  <r>
    <x v="147"/>
    <x v="0"/>
    <x v="4"/>
    <n v="22"/>
    <n v="27"/>
    <x v="5"/>
    <x v="5"/>
    <s v="overdraft"/>
    <n v="1901570224"/>
  </r>
  <r>
    <x v="147"/>
    <x v="0"/>
    <x v="4"/>
    <n v="22"/>
    <n v="27"/>
    <x v="0"/>
    <x v="0"/>
    <s v="payday"/>
    <n v="2592500000"/>
  </r>
  <r>
    <x v="147"/>
    <x v="0"/>
    <x v="4"/>
    <n v="22"/>
    <n v="27"/>
    <x v="3"/>
    <x v="3"/>
    <s v="cashloan"/>
    <n v="182750000"/>
  </r>
  <r>
    <x v="147"/>
    <x v="0"/>
    <x v="4"/>
    <n v="22"/>
    <n v="27"/>
    <x v="4"/>
    <x v="4"/>
    <n v="0"/>
    <n v="8631974968"/>
  </r>
  <r>
    <x v="147"/>
    <x v="0"/>
    <x v="4"/>
    <n v="22"/>
    <n v="27"/>
    <x v="7"/>
    <x v="7"/>
    <s v="paylater"/>
    <n v="46114744"/>
  </r>
  <r>
    <x v="147"/>
    <x v="0"/>
    <x v="4"/>
    <n v="22"/>
    <n v="27"/>
    <x v="6"/>
    <x v="6"/>
    <s v="payday"/>
    <n v="23000000"/>
  </r>
  <r>
    <x v="147"/>
    <x v="0"/>
    <x v="4"/>
    <n v="22"/>
    <n v="27"/>
    <x v="9"/>
    <x v="9"/>
    <s v="cashloan"/>
    <n v="41400000"/>
  </r>
  <r>
    <x v="147"/>
    <x v="0"/>
    <x v="4"/>
    <n v="22"/>
    <n v="27"/>
    <x v="8"/>
    <x v="8"/>
    <s v="cashloan"/>
    <n v="172270000"/>
  </r>
  <r>
    <x v="147"/>
    <x v="0"/>
    <x v="4"/>
    <n v="22"/>
    <n v="27"/>
    <x v="1"/>
    <x v="1"/>
    <s v="cashloan"/>
    <n v="83000000"/>
  </r>
  <r>
    <x v="147"/>
    <x v="0"/>
    <x v="4"/>
    <n v="22"/>
    <n v="27"/>
    <x v="2"/>
    <x v="2"/>
    <s v="cashloan"/>
    <n v="3589370000"/>
  </r>
  <r>
    <x v="148"/>
    <x v="0"/>
    <x v="4"/>
    <n v="22"/>
    <n v="28"/>
    <x v="2"/>
    <x v="2"/>
    <s v="cashloan"/>
    <n v="3334940000"/>
  </r>
  <r>
    <x v="148"/>
    <x v="0"/>
    <x v="4"/>
    <n v="22"/>
    <n v="28"/>
    <x v="9"/>
    <x v="9"/>
    <s v="cashloan"/>
    <n v="26750000"/>
  </r>
  <r>
    <x v="148"/>
    <x v="0"/>
    <x v="4"/>
    <n v="22"/>
    <n v="28"/>
    <x v="0"/>
    <x v="0"/>
    <s v="payday"/>
    <n v="2397000000"/>
  </r>
  <r>
    <x v="148"/>
    <x v="0"/>
    <x v="4"/>
    <n v="22"/>
    <n v="28"/>
    <x v="7"/>
    <x v="7"/>
    <s v="paylater"/>
    <n v="51180548"/>
  </r>
  <r>
    <x v="148"/>
    <x v="0"/>
    <x v="4"/>
    <n v="22"/>
    <n v="28"/>
    <x v="1"/>
    <x v="1"/>
    <s v="cashloan"/>
    <n v="73500000"/>
  </r>
  <r>
    <x v="148"/>
    <x v="0"/>
    <x v="4"/>
    <n v="22"/>
    <n v="28"/>
    <x v="5"/>
    <x v="5"/>
    <s v="overdraft"/>
    <n v="2181506546"/>
  </r>
  <r>
    <x v="148"/>
    <x v="0"/>
    <x v="4"/>
    <n v="22"/>
    <n v="28"/>
    <x v="8"/>
    <x v="8"/>
    <s v="cashloan"/>
    <n v="105930000"/>
  </r>
  <r>
    <x v="148"/>
    <x v="0"/>
    <x v="4"/>
    <n v="22"/>
    <n v="28"/>
    <x v="4"/>
    <x v="4"/>
    <n v="0"/>
    <n v="8336057094"/>
  </r>
  <r>
    <x v="148"/>
    <x v="0"/>
    <x v="4"/>
    <n v="22"/>
    <n v="28"/>
    <x v="6"/>
    <x v="6"/>
    <s v="payday"/>
    <n v="34000000"/>
  </r>
  <r>
    <x v="148"/>
    <x v="0"/>
    <x v="4"/>
    <n v="22"/>
    <n v="28"/>
    <x v="3"/>
    <x v="3"/>
    <s v="cashloan"/>
    <n v="131250000"/>
  </r>
  <r>
    <x v="149"/>
    <x v="0"/>
    <x v="4"/>
    <n v="22"/>
    <n v="29"/>
    <x v="0"/>
    <x v="0"/>
    <s v="payday"/>
    <n v="2288500000"/>
  </r>
  <r>
    <x v="149"/>
    <x v="0"/>
    <x v="4"/>
    <n v="22"/>
    <n v="29"/>
    <x v="5"/>
    <x v="5"/>
    <s v="overdraft"/>
    <n v="2111710934"/>
  </r>
  <r>
    <x v="149"/>
    <x v="0"/>
    <x v="4"/>
    <n v="22"/>
    <n v="29"/>
    <x v="8"/>
    <x v="8"/>
    <s v="cashloan"/>
    <n v="108070000"/>
  </r>
  <r>
    <x v="149"/>
    <x v="0"/>
    <x v="4"/>
    <n v="22"/>
    <n v="29"/>
    <x v="2"/>
    <x v="2"/>
    <s v="cashloan"/>
    <n v="3509680000"/>
  </r>
  <r>
    <x v="149"/>
    <x v="0"/>
    <x v="4"/>
    <n v="22"/>
    <n v="29"/>
    <x v="4"/>
    <x v="4"/>
    <n v="0"/>
    <n v="8218281097"/>
  </r>
  <r>
    <x v="149"/>
    <x v="0"/>
    <x v="4"/>
    <n v="22"/>
    <n v="29"/>
    <x v="9"/>
    <x v="9"/>
    <s v="cashloan"/>
    <n v="41400000"/>
  </r>
  <r>
    <x v="149"/>
    <x v="0"/>
    <x v="4"/>
    <n v="22"/>
    <n v="29"/>
    <x v="3"/>
    <x v="3"/>
    <s v="cashloan"/>
    <n v="93450000"/>
  </r>
  <r>
    <x v="149"/>
    <x v="0"/>
    <x v="4"/>
    <n v="22"/>
    <n v="29"/>
    <x v="7"/>
    <x v="7"/>
    <s v="paylater"/>
    <n v="33470163"/>
  </r>
  <r>
    <x v="149"/>
    <x v="0"/>
    <x v="4"/>
    <n v="22"/>
    <n v="29"/>
    <x v="1"/>
    <x v="1"/>
    <s v="cashloan"/>
    <n v="21000000"/>
  </r>
  <r>
    <x v="149"/>
    <x v="0"/>
    <x v="4"/>
    <n v="22"/>
    <n v="29"/>
    <x v="6"/>
    <x v="6"/>
    <s v="payday"/>
    <n v="11000000"/>
  </r>
  <r>
    <x v="150"/>
    <x v="0"/>
    <x v="4"/>
    <n v="22"/>
    <n v="30"/>
    <x v="6"/>
    <x v="6"/>
    <s v="payday"/>
    <n v="27000000"/>
  </r>
  <r>
    <x v="150"/>
    <x v="0"/>
    <x v="4"/>
    <n v="22"/>
    <n v="30"/>
    <x v="9"/>
    <x v="9"/>
    <s v="cashloan"/>
    <n v="28000000"/>
  </r>
  <r>
    <x v="150"/>
    <x v="0"/>
    <x v="4"/>
    <n v="22"/>
    <n v="30"/>
    <x v="8"/>
    <x v="8"/>
    <s v="cashloan"/>
    <n v="111280000"/>
  </r>
  <r>
    <x v="150"/>
    <x v="0"/>
    <x v="4"/>
    <n v="22"/>
    <n v="30"/>
    <x v="1"/>
    <x v="1"/>
    <s v="cashloan"/>
    <n v="47250000"/>
  </r>
  <r>
    <x v="150"/>
    <x v="0"/>
    <x v="4"/>
    <n v="22"/>
    <n v="30"/>
    <x v="4"/>
    <x v="4"/>
    <n v="0"/>
    <n v="8108640832"/>
  </r>
  <r>
    <x v="150"/>
    <x v="0"/>
    <x v="4"/>
    <n v="22"/>
    <n v="30"/>
    <x v="5"/>
    <x v="5"/>
    <s v="overdraft"/>
    <n v="1925788567"/>
  </r>
  <r>
    <x v="150"/>
    <x v="0"/>
    <x v="4"/>
    <n v="22"/>
    <n v="30"/>
    <x v="0"/>
    <x v="0"/>
    <s v="payday"/>
    <n v="2529500000"/>
  </r>
  <r>
    <x v="150"/>
    <x v="0"/>
    <x v="4"/>
    <n v="22"/>
    <n v="30"/>
    <x v="7"/>
    <x v="7"/>
    <s v="paylater"/>
    <n v="33062265"/>
  </r>
  <r>
    <x v="150"/>
    <x v="0"/>
    <x v="4"/>
    <n v="22"/>
    <n v="30"/>
    <x v="3"/>
    <x v="3"/>
    <s v="cashloan"/>
    <n v="157500000"/>
  </r>
  <r>
    <x v="150"/>
    <x v="0"/>
    <x v="4"/>
    <n v="22"/>
    <n v="30"/>
    <x v="2"/>
    <x v="2"/>
    <s v="cashloan"/>
    <n v="3249260000"/>
  </r>
  <r>
    <x v="151"/>
    <x v="0"/>
    <x v="4"/>
    <n v="22"/>
    <n v="31"/>
    <x v="8"/>
    <x v="8"/>
    <s v="cashloan"/>
    <n v="173340000"/>
  </r>
  <r>
    <x v="151"/>
    <x v="0"/>
    <x v="4"/>
    <n v="22"/>
    <n v="31"/>
    <x v="0"/>
    <x v="0"/>
    <s v="payday"/>
    <n v="2773500000"/>
  </r>
  <r>
    <x v="151"/>
    <x v="0"/>
    <x v="4"/>
    <n v="22"/>
    <n v="31"/>
    <x v="6"/>
    <x v="6"/>
    <s v="payday"/>
    <n v="46000000"/>
  </r>
  <r>
    <x v="151"/>
    <x v="0"/>
    <x v="4"/>
    <n v="22"/>
    <n v="31"/>
    <x v="5"/>
    <x v="5"/>
    <s v="overdraft"/>
    <n v="2494341190"/>
  </r>
  <r>
    <x v="151"/>
    <x v="0"/>
    <x v="4"/>
    <n v="22"/>
    <n v="31"/>
    <x v="1"/>
    <x v="1"/>
    <s v="cashloan"/>
    <n v="0"/>
  </r>
  <r>
    <x v="151"/>
    <x v="0"/>
    <x v="4"/>
    <n v="22"/>
    <n v="31"/>
    <x v="2"/>
    <x v="2"/>
    <s v="cashloan"/>
    <n v="3814030000"/>
  </r>
  <r>
    <x v="151"/>
    <x v="0"/>
    <x v="4"/>
    <n v="22"/>
    <n v="31"/>
    <x v="4"/>
    <x v="4"/>
    <n v="0"/>
    <n v="9527906568"/>
  </r>
  <r>
    <x v="151"/>
    <x v="0"/>
    <x v="4"/>
    <n v="22"/>
    <n v="31"/>
    <x v="7"/>
    <x v="7"/>
    <s v="paylater"/>
    <n v="47545378"/>
  </r>
  <r>
    <x v="151"/>
    <x v="0"/>
    <x v="4"/>
    <n v="22"/>
    <n v="31"/>
    <x v="3"/>
    <x v="3"/>
    <s v="cashloan"/>
    <n v="156450000"/>
  </r>
  <r>
    <x v="151"/>
    <x v="0"/>
    <x v="4"/>
    <n v="22"/>
    <n v="31"/>
    <x v="10"/>
    <x v="9"/>
    <s v="cashloan"/>
    <n v="10700000"/>
  </r>
  <r>
    <x v="151"/>
    <x v="0"/>
    <x v="4"/>
    <n v="22"/>
    <n v="31"/>
    <x v="9"/>
    <x v="9"/>
    <s v="cashloan"/>
    <n v="12000000"/>
  </r>
  <r>
    <x v="152"/>
    <x v="0"/>
    <x v="5"/>
    <n v="22"/>
    <n v="1"/>
    <x v="1"/>
    <x v="1"/>
    <s v="cashloan"/>
    <n v="23100000"/>
  </r>
  <r>
    <x v="152"/>
    <x v="0"/>
    <x v="5"/>
    <n v="22"/>
    <n v="1"/>
    <x v="2"/>
    <x v="2"/>
    <s v="cashloan"/>
    <n v="3614890000"/>
  </r>
  <r>
    <x v="152"/>
    <x v="0"/>
    <x v="5"/>
    <n v="22"/>
    <n v="1"/>
    <x v="9"/>
    <x v="9"/>
    <s v="cashloan"/>
    <n v="41680000"/>
  </r>
  <r>
    <x v="152"/>
    <x v="0"/>
    <x v="5"/>
    <n v="22"/>
    <n v="1"/>
    <x v="3"/>
    <x v="3"/>
    <s v="cashloan"/>
    <n v="116850000"/>
  </r>
  <r>
    <x v="152"/>
    <x v="0"/>
    <x v="5"/>
    <n v="22"/>
    <n v="1"/>
    <x v="10"/>
    <x v="9"/>
    <s v="cashloan"/>
    <n v="115560000"/>
  </r>
  <r>
    <x v="152"/>
    <x v="0"/>
    <x v="5"/>
    <n v="22"/>
    <n v="1"/>
    <x v="0"/>
    <x v="0"/>
    <s v="payday"/>
    <n v="3223500000"/>
  </r>
  <r>
    <x v="152"/>
    <x v="0"/>
    <x v="5"/>
    <n v="22"/>
    <n v="1"/>
    <x v="4"/>
    <x v="4"/>
    <n v="0"/>
    <n v="10530966249"/>
  </r>
  <r>
    <x v="152"/>
    <x v="0"/>
    <x v="5"/>
    <n v="22"/>
    <n v="1"/>
    <x v="7"/>
    <x v="7"/>
    <s v="paylater"/>
    <n v="29498921"/>
  </r>
  <r>
    <x v="152"/>
    <x v="0"/>
    <x v="5"/>
    <n v="22"/>
    <n v="1"/>
    <x v="6"/>
    <x v="6"/>
    <s v="payday"/>
    <n v="73000000"/>
  </r>
  <r>
    <x v="152"/>
    <x v="0"/>
    <x v="5"/>
    <n v="22"/>
    <n v="1"/>
    <x v="5"/>
    <x v="5"/>
    <s v="overdraft"/>
    <n v="3255437328"/>
  </r>
  <r>
    <x v="152"/>
    <x v="0"/>
    <x v="5"/>
    <n v="22"/>
    <n v="1"/>
    <x v="8"/>
    <x v="8"/>
    <s v="cashloan"/>
    <n v="37450000"/>
  </r>
  <r>
    <x v="153"/>
    <x v="0"/>
    <x v="5"/>
    <n v="22"/>
    <n v="2"/>
    <x v="8"/>
    <x v="8"/>
    <s v="cashloan"/>
    <n v="44940000"/>
  </r>
  <r>
    <x v="153"/>
    <x v="0"/>
    <x v="5"/>
    <n v="22"/>
    <n v="2"/>
    <x v="0"/>
    <x v="0"/>
    <s v="payday"/>
    <n v="2579000000"/>
  </r>
  <r>
    <x v="153"/>
    <x v="0"/>
    <x v="5"/>
    <n v="22"/>
    <n v="2"/>
    <x v="1"/>
    <x v="1"/>
    <s v="cashloan"/>
    <n v="0"/>
  </r>
  <r>
    <x v="153"/>
    <x v="0"/>
    <x v="5"/>
    <n v="22"/>
    <n v="2"/>
    <x v="9"/>
    <x v="9"/>
    <s v="cashloan"/>
    <n v="48660000"/>
  </r>
  <r>
    <x v="153"/>
    <x v="0"/>
    <x v="5"/>
    <n v="22"/>
    <n v="2"/>
    <x v="3"/>
    <x v="3"/>
    <s v="cashloan"/>
    <n v="105000000"/>
  </r>
  <r>
    <x v="153"/>
    <x v="0"/>
    <x v="5"/>
    <n v="22"/>
    <n v="2"/>
    <x v="7"/>
    <x v="7"/>
    <s v="paylater"/>
    <n v="35509644"/>
  </r>
  <r>
    <x v="153"/>
    <x v="0"/>
    <x v="5"/>
    <n v="22"/>
    <n v="2"/>
    <x v="4"/>
    <x v="4"/>
    <n v="0"/>
    <n v="8529377936"/>
  </r>
  <r>
    <x v="153"/>
    <x v="0"/>
    <x v="5"/>
    <n v="22"/>
    <n v="2"/>
    <x v="10"/>
    <x v="9"/>
    <s v="cashloan"/>
    <n v="112160000"/>
  </r>
  <r>
    <x v="153"/>
    <x v="0"/>
    <x v="5"/>
    <n v="22"/>
    <n v="2"/>
    <x v="6"/>
    <x v="6"/>
    <s v="payday"/>
    <n v="27000000"/>
  </r>
  <r>
    <x v="153"/>
    <x v="0"/>
    <x v="5"/>
    <n v="22"/>
    <n v="2"/>
    <x v="2"/>
    <x v="2"/>
    <s v="cashloan"/>
    <n v="2912430000"/>
  </r>
  <r>
    <x v="153"/>
    <x v="0"/>
    <x v="5"/>
    <n v="22"/>
    <n v="2"/>
    <x v="5"/>
    <x v="5"/>
    <s v="overdraft"/>
    <n v="2664678292"/>
  </r>
  <r>
    <x v="154"/>
    <x v="0"/>
    <x v="5"/>
    <n v="23"/>
    <n v="3"/>
    <x v="7"/>
    <x v="7"/>
    <s v="paylater"/>
    <n v="57665380"/>
  </r>
  <r>
    <x v="154"/>
    <x v="0"/>
    <x v="5"/>
    <n v="23"/>
    <n v="3"/>
    <x v="8"/>
    <x v="8"/>
    <s v="cashloan"/>
    <n v="63130000"/>
  </r>
  <r>
    <x v="154"/>
    <x v="0"/>
    <x v="5"/>
    <n v="23"/>
    <n v="3"/>
    <x v="6"/>
    <x v="6"/>
    <s v="payday"/>
    <n v="35000000"/>
  </r>
  <r>
    <x v="154"/>
    <x v="0"/>
    <x v="5"/>
    <n v="23"/>
    <n v="3"/>
    <x v="5"/>
    <x v="5"/>
    <s v="overdraft"/>
    <n v="2851459569"/>
  </r>
  <r>
    <x v="154"/>
    <x v="0"/>
    <x v="5"/>
    <n v="23"/>
    <n v="3"/>
    <x v="9"/>
    <x v="9"/>
    <s v="cashloan"/>
    <n v="0"/>
  </r>
  <r>
    <x v="154"/>
    <x v="0"/>
    <x v="5"/>
    <n v="23"/>
    <n v="3"/>
    <x v="10"/>
    <x v="9"/>
    <s v="cashloan"/>
    <n v="97180000"/>
  </r>
  <r>
    <x v="154"/>
    <x v="0"/>
    <x v="5"/>
    <n v="23"/>
    <n v="3"/>
    <x v="1"/>
    <x v="1"/>
    <s v="cashloan"/>
    <n v="62500000"/>
  </r>
  <r>
    <x v="154"/>
    <x v="0"/>
    <x v="5"/>
    <n v="23"/>
    <n v="3"/>
    <x v="4"/>
    <x v="4"/>
    <n v="0"/>
    <n v="11780764949"/>
  </r>
  <r>
    <x v="154"/>
    <x v="0"/>
    <x v="5"/>
    <n v="23"/>
    <n v="3"/>
    <x v="3"/>
    <x v="3"/>
    <s v="cashloan"/>
    <n v="167000000"/>
  </r>
  <r>
    <x v="154"/>
    <x v="0"/>
    <x v="5"/>
    <n v="23"/>
    <n v="3"/>
    <x v="2"/>
    <x v="2"/>
    <s v="cashloan"/>
    <n v="5082330000"/>
  </r>
  <r>
    <x v="154"/>
    <x v="0"/>
    <x v="5"/>
    <n v="23"/>
    <n v="3"/>
    <x v="0"/>
    <x v="0"/>
    <s v="payday"/>
    <n v="3364500000"/>
  </r>
  <r>
    <x v="155"/>
    <x v="0"/>
    <x v="5"/>
    <n v="23"/>
    <n v="4"/>
    <x v="10"/>
    <x v="9"/>
    <s v="cashloan"/>
    <n v="108070000"/>
  </r>
  <r>
    <x v="155"/>
    <x v="0"/>
    <x v="5"/>
    <n v="23"/>
    <n v="4"/>
    <x v="7"/>
    <x v="7"/>
    <s v="paylater"/>
    <n v="81077103"/>
  </r>
  <r>
    <x v="155"/>
    <x v="0"/>
    <x v="5"/>
    <n v="23"/>
    <n v="4"/>
    <x v="0"/>
    <x v="0"/>
    <s v="payday"/>
    <n v="3177000000"/>
  </r>
  <r>
    <x v="155"/>
    <x v="0"/>
    <x v="5"/>
    <n v="23"/>
    <n v="4"/>
    <x v="6"/>
    <x v="6"/>
    <s v="payday"/>
    <n v="15000000"/>
  </r>
  <r>
    <x v="155"/>
    <x v="0"/>
    <x v="5"/>
    <n v="23"/>
    <n v="4"/>
    <x v="2"/>
    <x v="2"/>
    <s v="cashloan"/>
    <n v="5017700000"/>
  </r>
  <r>
    <x v="155"/>
    <x v="0"/>
    <x v="5"/>
    <n v="23"/>
    <n v="4"/>
    <x v="4"/>
    <x v="4"/>
    <n v="0"/>
    <n v="11598870896"/>
  </r>
  <r>
    <x v="155"/>
    <x v="0"/>
    <x v="5"/>
    <n v="23"/>
    <n v="4"/>
    <x v="8"/>
    <x v="8"/>
    <s v="cashloan"/>
    <n v="114490000"/>
  </r>
  <r>
    <x v="155"/>
    <x v="0"/>
    <x v="5"/>
    <n v="23"/>
    <n v="4"/>
    <x v="3"/>
    <x v="3"/>
    <s v="cashloan"/>
    <n v="246800000"/>
  </r>
  <r>
    <x v="155"/>
    <x v="0"/>
    <x v="5"/>
    <n v="23"/>
    <n v="4"/>
    <x v="9"/>
    <x v="9"/>
    <s v="cashloan"/>
    <n v="0"/>
  </r>
  <r>
    <x v="155"/>
    <x v="0"/>
    <x v="5"/>
    <n v="23"/>
    <n v="4"/>
    <x v="5"/>
    <x v="5"/>
    <s v="overdraft"/>
    <n v="2796733793"/>
  </r>
  <r>
    <x v="155"/>
    <x v="0"/>
    <x v="5"/>
    <n v="23"/>
    <n v="4"/>
    <x v="1"/>
    <x v="1"/>
    <s v="cashloan"/>
    <n v="42000000"/>
  </r>
  <r>
    <x v="156"/>
    <x v="0"/>
    <x v="5"/>
    <n v="23"/>
    <n v="5"/>
    <x v="10"/>
    <x v="9"/>
    <s v="cashloan"/>
    <n v="160860000"/>
  </r>
  <r>
    <x v="156"/>
    <x v="0"/>
    <x v="5"/>
    <n v="23"/>
    <n v="5"/>
    <x v="9"/>
    <x v="9"/>
    <s v="cashloan"/>
    <n v="0"/>
  </r>
  <r>
    <x v="156"/>
    <x v="0"/>
    <x v="5"/>
    <n v="23"/>
    <n v="5"/>
    <x v="6"/>
    <x v="6"/>
    <s v="payday"/>
    <n v="50000000"/>
  </r>
  <r>
    <x v="156"/>
    <x v="0"/>
    <x v="5"/>
    <n v="23"/>
    <n v="5"/>
    <x v="4"/>
    <x v="4"/>
    <n v="0"/>
    <n v="11440221174"/>
  </r>
  <r>
    <x v="156"/>
    <x v="0"/>
    <x v="5"/>
    <n v="23"/>
    <n v="5"/>
    <x v="7"/>
    <x v="7"/>
    <s v="paylater"/>
    <n v="74148298"/>
  </r>
  <r>
    <x v="156"/>
    <x v="0"/>
    <x v="5"/>
    <n v="23"/>
    <n v="5"/>
    <x v="1"/>
    <x v="1"/>
    <s v="cashloan"/>
    <n v="36750000"/>
  </r>
  <r>
    <x v="156"/>
    <x v="0"/>
    <x v="5"/>
    <n v="23"/>
    <n v="5"/>
    <x v="0"/>
    <x v="0"/>
    <s v="payday"/>
    <n v="3573500000"/>
  </r>
  <r>
    <x v="156"/>
    <x v="0"/>
    <x v="5"/>
    <n v="23"/>
    <n v="5"/>
    <x v="3"/>
    <x v="3"/>
    <s v="cashloan"/>
    <n v="297150000"/>
  </r>
  <r>
    <x v="156"/>
    <x v="0"/>
    <x v="5"/>
    <n v="23"/>
    <n v="5"/>
    <x v="8"/>
    <x v="8"/>
    <s v="cashloan"/>
    <n v="53500000"/>
  </r>
  <r>
    <x v="156"/>
    <x v="0"/>
    <x v="5"/>
    <n v="23"/>
    <n v="5"/>
    <x v="5"/>
    <x v="5"/>
    <s v="overdraft"/>
    <n v="2386222876"/>
  </r>
  <r>
    <x v="156"/>
    <x v="0"/>
    <x v="5"/>
    <n v="23"/>
    <n v="5"/>
    <x v="2"/>
    <x v="2"/>
    <s v="cashloan"/>
    <n v="4808090000"/>
  </r>
  <r>
    <x v="157"/>
    <x v="0"/>
    <x v="5"/>
    <n v="23"/>
    <n v="6"/>
    <x v="7"/>
    <x v="7"/>
    <s v="paylater"/>
    <n v="100728013"/>
  </r>
  <r>
    <x v="157"/>
    <x v="0"/>
    <x v="5"/>
    <n v="23"/>
    <n v="6"/>
    <x v="2"/>
    <x v="2"/>
    <s v="cashloan"/>
    <n v="4168540000"/>
  </r>
  <r>
    <x v="157"/>
    <x v="0"/>
    <x v="5"/>
    <n v="23"/>
    <n v="6"/>
    <x v="6"/>
    <x v="6"/>
    <s v="payday"/>
    <n v="31000000"/>
  </r>
  <r>
    <x v="157"/>
    <x v="0"/>
    <x v="5"/>
    <n v="23"/>
    <n v="6"/>
    <x v="10"/>
    <x v="9"/>
    <s v="cashloan"/>
    <n v="172640000"/>
  </r>
  <r>
    <x v="157"/>
    <x v="0"/>
    <x v="5"/>
    <n v="23"/>
    <n v="6"/>
    <x v="8"/>
    <x v="8"/>
    <s v="cashloan"/>
    <n v="199990000"/>
  </r>
  <r>
    <x v="157"/>
    <x v="0"/>
    <x v="5"/>
    <n v="23"/>
    <n v="6"/>
    <x v="0"/>
    <x v="0"/>
    <s v="payday"/>
    <n v="3314500000"/>
  </r>
  <r>
    <x v="157"/>
    <x v="0"/>
    <x v="5"/>
    <n v="23"/>
    <n v="6"/>
    <x v="1"/>
    <x v="1"/>
    <s v="cashloan"/>
    <n v="25200000"/>
  </r>
  <r>
    <x v="157"/>
    <x v="0"/>
    <x v="5"/>
    <n v="23"/>
    <n v="6"/>
    <x v="9"/>
    <x v="9"/>
    <s v="cashloan"/>
    <n v="31030000"/>
  </r>
  <r>
    <x v="157"/>
    <x v="0"/>
    <x v="5"/>
    <n v="23"/>
    <n v="6"/>
    <x v="4"/>
    <x v="4"/>
    <n v="0"/>
    <n v="10398537295"/>
  </r>
  <r>
    <x v="157"/>
    <x v="0"/>
    <x v="5"/>
    <n v="23"/>
    <n v="6"/>
    <x v="3"/>
    <x v="3"/>
    <s v="cashloan"/>
    <n v="236800000"/>
  </r>
  <r>
    <x v="157"/>
    <x v="0"/>
    <x v="5"/>
    <n v="23"/>
    <n v="6"/>
    <x v="5"/>
    <x v="5"/>
    <s v="overdraft"/>
    <n v="2118109282"/>
  </r>
  <r>
    <x v="158"/>
    <x v="0"/>
    <x v="5"/>
    <n v="23"/>
    <n v="7"/>
    <x v="0"/>
    <x v="0"/>
    <s v="payday"/>
    <n v="3018500000"/>
  </r>
  <r>
    <x v="158"/>
    <x v="0"/>
    <x v="5"/>
    <n v="23"/>
    <n v="7"/>
    <x v="5"/>
    <x v="5"/>
    <s v="overdraft"/>
    <n v="1975387485"/>
  </r>
  <r>
    <x v="158"/>
    <x v="0"/>
    <x v="5"/>
    <n v="23"/>
    <n v="7"/>
    <x v="8"/>
    <x v="8"/>
    <s v="cashloan"/>
    <n v="310300000"/>
  </r>
  <r>
    <x v="158"/>
    <x v="0"/>
    <x v="5"/>
    <n v="23"/>
    <n v="7"/>
    <x v="9"/>
    <x v="9"/>
    <s v="cashloan"/>
    <n v="34420000"/>
  </r>
  <r>
    <x v="158"/>
    <x v="0"/>
    <x v="5"/>
    <n v="23"/>
    <n v="7"/>
    <x v="3"/>
    <x v="3"/>
    <s v="cashloan"/>
    <n v="92400000"/>
  </r>
  <r>
    <x v="158"/>
    <x v="0"/>
    <x v="5"/>
    <n v="23"/>
    <n v="7"/>
    <x v="1"/>
    <x v="1"/>
    <s v="cashloan"/>
    <n v="10500000"/>
  </r>
  <r>
    <x v="158"/>
    <x v="0"/>
    <x v="5"/>
    <n v="23"/>
    <n v="7"/>
    <x v="6"/>
    <x v="6"/>
    <s v="payday"/>
    <n v="42000000"/>
  </r>
  <r>
    <x v="158"/>
    <x v="0"/>
    <x v="5"/>
    <n v="23"/>
    <n v="7"/>
    <x v="2"/>
    <x v="2"/>
    <s v="cashloan"/>
    <n v="4081160000"/>
  </r>
  <r>
    <x v="158"/>
    <x v="0"/>
    <x v="5"/>
    <n v="23"/>
    <n v="7"/>
    <x v="4"/>
    <x v="4"/>
    <n v="0"/>
    <n v="9774769392"/>
  </r>
  <r>
    <x v="158"/>
    <x v="0"/>
    <x v="5"/>
    <n v="23"/>
    <n v="7"/>
    <x v="7"/>
    <x v="7"/>
    <s v="paylater"/>
    <n v="99521907"/>
  </r>
  <r>
    <x v="158"/>
    <x v="0"/>
    <x v="5"/>
    <n v="23"/>
    <n v="7"/>
    <x v="10"/>
    <x v="9"/>
    <s v="cashloan"/>
    <n v="110580000"/>
  </r>
  <r>
    <x v="159"/>
    <x v="0"/>
    <x v="5"/>
    <n v="23"/>
    <n v="8"/>
    <x v="0"/>
    <x v="0"/>
    <s v="payday"/>
    <n v="2730500000"/>
  </r>
  <r>
    <x v="159"/>
    <x v="0"/>
    <x v="5"/>
    <n v="23"/>
    <n v="8"/>
    <x v="2"/>
    <x v="2"/>
    <s v="cashloan"/>
    <n v="4452720000"/>
  </r>
  <r>
    <x v="159"/>
    <x v="0"/>
    <x v="5"/>
    <n v="23"/>
    <n v="8"/>
    <x v="5"/>
    <x v="5"/>
    <s v="overdraft"/>
    <n v="1817924991"/>
  </r>
  <r>
    <x v="159"/>
    <x v="0"/>
    <x v="5"/>
    <n v="23"/>
    <n v="8"/>
    <x v="3"/>
    <x v="3"/>
    <s v="cashloan"/>
    <n v="177600000"/>
  </r>
  <r>
    <x v="159"/>
    <x v="0"/>
    <x v="5"/>
    <n v="23"/>
    <n v="8"/>
    <x v="4"/>
    <x v="4"/>
    <n v="0"/>
    <n v="9925566411"/>
  </r>
  <r>
    <x v="159"/>
    <x v="0"/>
    <x v="5"/>
    <n v="23"/>
    <n v="8"/>
    <x v="6"/>
    <x v="6"/>
    <s v="payday"/>
    <n v="23000000"/>
  </r>
  <r>
    <x v="159"/>
    <x v="0"/>
    <x v="5"/>
    <n v="23"/>
    <n v="8"/>
    <x v="10"/>
    <x v="9"/>
    <s v="cashloan"/>
    <n v="94900000"/>
  </r>
  <r>
    <x v="159"/>
    <x v="0"/>
    <x v="5"/>
    <n v="23"/>
    <n v="8"/>
    <x v="1"/>
    <x v="1"/>
    <s v="cashloan"/>
    <n v="10500000"/>
  </r>
  <r>
    <x v="159"/>
    <x v="0"/>
    <x v="5"/>
    <n v="23"/>
    <n v="8"/>
    <x v="9"/>
    <x v="9"/>
    <s v="cashloan"/>
    <n v="75970000"/>
  </r>
  <r>
    <x v="159"/>
    <x v="0"/>
    <x v="5"/>
    <n v="23"/>
    <n v="8"/>
    <x v="8"/>
    <x v="8"/>
    <s v="cashloan"/>
    <n v="463310000"/>
  </r>
  <r>
    <x v="159"/>
    <x v="0"/>
    <x v="5"/>
    <n v="23"/>
    <n v="8"/>
    <x v="7"/>
    <x v="7"/>
    <s v="paylater"/>
    <n v="79141420"/>
  </r>
  <r>
    <x v="160"/>
    <x v="0"/>
    <x v="5"/>
    <n v="23"/>
    <n v="9"/>
    <x v="8"/>
    <x v="8"/>
    <s v="cashloan"/>
    <n v="40660000"/>
  </r>
  <r>
    <x v="160"/>
    <x v="0"/>
    <x v="5"/>
    <n v="23"/>
    <n v="9"/>
    <x v="1"/>
    <x v="1"/>
    <s v="cashloan"/>
    <n v="52500000"/>
  </r>
  <r>
    <x v="160"/>
    <x v="0"/>
    <x v="5"/>
    <n v="23"/>
    <n v="9"/>
    <x v="7"/>
    <x v="7"/>
    <s v="paylater"/>
    <n v="46261744"/>
  </r>
  <r>
    <x v="160"/>
    <x v="0"/>
    <x v="5"/>
    <n v="23"/>
    <n v="9"/>
    <x v="4"/>
    <x v="4"/>
    <n v="0"/>
    <n v="8134430087"/>
  </r>
  <r>
    <x v="160"/>
    <x v="0"/>
    <x v="5"/>
    <n v="23"/>
    <n v="9"/>
    <x v="6"/>
    <x v="6"/>
    <s v="payday"/>
    <n v="34000000"/>
  </r>
  <r>
    <x v="160"/>
    <x v="0"/>
    <x v="5"/>
    <n v="23"/>
    <n v="9"/>
    <x v="3"/>
    <x v="3"/>
    <s v="cashloan"/>
    <n v="131250000"/>
  </r>
  <r>
    <x v="160"/>
    <x v="0"/>
    <x v="5"/>
    <n v="23"/>
    <n v="9"/>
    <x v="9"/>
    <x v="9"/>
    <s v="cashloan"/>
    <n v="21400000"/>
  </r>
  <r>
    <x v="160"/>
    <x v="0"/>
    <x v="5"/>
    <n v="23"/>
    <n v="9"/>
    <x v="10"/>
    <x v="9"/>
    <s v="cashloan"/>
    <n v="121980000"/>
  </r>
  <r>
    <x v="160"/>
    <x v="0"/>
    <x v="5"/>
    <n v="23"/>
    <n v="9"/>
    <x v="0"/>
    <x v="0"/>
    <s v="payday"/>
    <n v="2280500000"/>
  </r>
  <r>
    <x v="160"/>
    <x v="0"/>
    <x v="5"/>
    <n v="23"/>
    <n v="9"/>
    <x v="5"/>
    <x v="5"/>
    <s v="overdraft"/>
    <n v="1888048343"/>
  </r>
  <r>
    <x v="160"/>
    <x v="0"/>
    <x v="5"/>
    <n v="23"/>
    <n v="9"/>
    <x v="2"/>
    <x v="2"/>
    <s v="cashloan"/>
    <n v="3517830000"/>
  </r>
  <r>
    <x v="161"/>
    <x v="0"/>
    <x v="5"/>
    <n v="24"/>
    <n v="10"/>
    <x v="2"/>
    <x v="2"/>
    <s v="cashloan"/>
    <n v="5257830000"/>
  </r>
  <r>
    <x v="161"/>
    <x v="0"/>
    <x v="5"/>
    <n v="24"/>
    <n v="10"/>
    <x v="8"/>
    <x v="8"/>
    <s v="cashloan"/>
    <n v="512530000"/>
  </r>
  <r>
    <x v="161"/>
    <x v="0"/>
    <x v="5"/>
    <n v="24"/>
    <n v="10"/>
    <x v="1"/>
    <x v="1"/>
    <s v="cashloan"/>
    <n v="10500000"/>
  </r>
  <r>
    <x v="161"/>
    <x v="0"/>
    <x v="5"/>
    <n v="24"/>
    <n v="10"/>
    <x v="5"/>
    <x v="5"/>
    <s v="overdraft"/>
    <n v="2457935552"/>
  </r>
  <r>
    <x v="161"/>
    <x v="0"/>
    <x v="5"/>
    <n v="24"/>
    <n v="10"/>
    <x v="10"/>
    <x v="9"/>
    <s v="cashloan"/>
    <n v="80250000"/>
  </r>
  <r>
    <x v="161"/>
    <x v="0"/>
    <x v="5"/>
    <n v="24"/>
    <n v="10"/>
    <x v="7"/>
    <x v="7"/>
    <s v="paylater"/>
    <n v="54929933"/>
  </r>
  <r>
    <x v="161"/>
    <x v="0"/>
    <x v="5"/>
    <n v="24"/>
    <n v="10"/>
    <x v="6"/>
    <x v="6"/>
    <s v="payday"/>
    <n v="46000000"/>
  </r>
  <r>
    <x v="161"/>
    <x v="0"/>
    <x v="5"/>
    <n v="24"/>
    <n v="10"/>
    <x v="0"/>
    <x v="0"/>
    <s v="payday"/>
    <n v="3705000000"/>
  </r>
  <r>
    <x v="161"/>
    <x v="0"/>
    <x v="5"/>
    <n v="24"/>
    <n v="10"/>
    <x v="4"/>
    <x v="4"/>
    <n v="0"/>
    <n v="12336985485"/>
  </r>
  <r>
    <x v="161"/>
    <x v="0"/>
    <x v="5"/>
    <n v="24"/>
    <n v="10"/>
    <x v="9"/>
    <x v="9"/>
    <s v="cashloan"/>
    <n v="51360000"/>
  </r>
  <r>
    <x v="161"/>
    <x v="0"/>
    <x v="5"/>
    <n v="24"/>
    <n v="10"/>
    <x v="3"/>
    <x v="3"/>
    <s v="cashloan"/>
    <n v="160650000"/>
  </r>
  <r>
    <x v="162"/>
    <x v="0"/>
    <x v="5"/>
    <n v="24"/>
    <n v="11"/>
    <x v="3"/>
    <x v="3"/>
    <s v="cashloan"/>
    <n v="278850000"/>
  </r>
  <r>
    <x v="162"/>
    <x v="0"/>
    <x v="5"/>
    <n v="24"/>
    <n v="11"/>
    <x v="7"/>
    <x v="7"/>
    <s v="paylater"/>
    <n v="64559975"/>
  </r>
  <r>
    <x v="162"/>
    <x v="0"/>
    <x v="5"/>
    <n v="24"/>
    <n v="11"/>
    <x v="1"/>
    <x v="1"/>
    <s v="cashloan"/>
    <n v="0"/>
  </r>
  <r>
    <x v="162"/>
    <x v="0"/>
    <x v="5"/>
    <n v="24"/>
    <n v="11"/>
    <x v="2"/>
    <x v="2"/>
    <s v="cashloan"/>
    <n v="4075270000"/>
  </r>
  <r>
    <x v="162"/>
    <x v="0"/>
    <x v="5"/>
    <n v="24"/>
    <n v="11"/>
    <x v="8"/>
    <x v="8"/>
    <s v="cashloan"/>
    <n v="481500000"/>
  </r>
  <r>
    <x v="162"/>
    <x v="0"/>
    <x v="5"/>
    <n v="24"/>
    <n v="11"/>
    <x v="4"/>
    <x v="4"/>
    <n v="0"/>
    <n v="10389817454"/>
  </r>
  <r>
    <x v="162"/>
    <x v="0"/>
    <x v="5"/>
    <n v="24"/>
    <n v="11"/>
    <x v="6"/>
    <x v="6"/>
    <s v="payday"/>
    <n v="44000000"/>
  </r>
  <r>
    <x v="162"/>
    <x v="0"/>
    <x v="5"/>
    <n v="24"/>
    <n v="11"/>
    <x v="9"/>
    <x v="9"/>
    <s v="cashloan"/>
    <n v="96300000"/>
  </r>
  <r>
    <x v="162"/>
    <x v="0"/>
    <x v="5"/>
    <n v="24"/>
    <n v="11"/>
    <x v="5"/>
    <x v="5"/>
    <s v="overdraft"/>
    <n v="2048547479"/>
  </r>
  <r>
    <x v="162"/>
    <x v="0"/>
    <x v="5"/>
    <n v="24"/>
    <n v="11"/>
    <x v="10"/>
    <x v="9"/>
    <s v="cashloan"/>
    <n v="136790000"/>
  </r>
  <r>
    <x v="162"/>
    <x v="0"/>
    <x v="5"/>
    <n v="24"/>
    <n v="11"/>
    <x v="0"/>
    <x v="0"/>
    <s v="payday"/>
    <n v="3164000000"/>
  </r>
  <r>
    <x v="163"/>
    <x v="0"/>
    <x v="5"/>
    <n v="24"/>
    <n v="12"/>
    <x v="9"/>
    <x v="9"/>
    <s v="cashloan"/>
    <n v="99180000"/>
  </r>
  <r>
    <x v="163"/>
    <x v="0"/>
    <x v="5"/>
    <n v="24"/>
    <n v="12"/>
    <x v="0"/>
    <x v="0"/>
    <s v="payday"/>
    <n v="3044500000"/>
  </r>
  <r>
    <x v="163"/>
    <x v="0"/>
    <x v="5"/>
    <n v="24"/>
    <n v="12"/>
    <x v="2"/>
    <x v="2"/>
    <s v="cashloan"/>
    <n v="4977530000"/>
  </r>
  <r>
    <x v="163"/>
    <x v="0"/>
    <x v="5"/>
    <n v="24"/>
    <n v="12"/>
    <x v="7"/>
    <x v="7"/>
    <s v="paylater"/>
    <n v="69442397"/>
  </r>
  <r>
    <x v="163"/>
    <x v="0"/>
    <x v="5"/>
    <n v="24"/>
    <n v="12"/>
    <x v="3"/>
    <x v="3"/>
    <s v="cashloan"/>
    <n v="400600000"/>
  </r>
  <r>
    <x v="163"/>
    <x v="0"/>
    <x v="5"/>
    <n v="24"/>
    <n v="12"/>
    <x v="6"/>
    <x v="6"/>
    <s v="payday"/>
    <n v="24000000"/>
  </r>
  <r>
    <x v="163"/>
    <x v="0"/>
    <x v="5"/>
    <n v="24"/>
    <n v="12"/>
    <x v="1"/>
    <x v="1"/>
    <s v="cashloan"/>
    <n v="42000000"/>
  </r>
  <r>
    <x v="163"/>
    <x v="0"/>
    <x v="5"/>
    <n v="24"/>
    <n v="12"/>
    <x v="8"/>
    <x v="8"/>
    <s v="cashloan"/>
    <n v="585660000"/>
  </r>
  <r>
    <x v="163"/>
    <x v="0"/>
    <x v="5"/>
    <n v="24"/>
    <n v="12"/>
    <x v="10"/>
    <x v="9"/>
    <s v="cashloan"/>
    <n v="195430000"/>
  </r>
  <r>
    <x v="163"/>
    <x v="0"/>
    <x v="5"/>
    <n v="24"/>
    <n v="12"/>
    <x v="5"/>
    <x v="5"/>
    <s v="overdraft"/>
    <n v="2118529033"/>
  </r>
  <r>
    <x v="163"/>
    <x v="0"/>
    <x v="5"/>
    <n v="24"/>
    <n v="12"/>
    <x v="4"/>
    <x v="4"/>
    <n v="0"/>
    <n v="11556871430"/>
  </r>
  <r>
    <x v="164"/>
    <x v="0"/>
    <x v="5"/>
    <n v="24"/>
    <n v="13"/>
    <x v="11"/>
    <x v="10"/>
    <s v="paylater"/>
    <n v="2129700"/>
  </r>
  <r>
    <x v="164"/>
    <x v="0"/>
    <x v="5"/>
    <n v="24"/>
    <n v="13"/>
    <x v="10"/>
    <x v="9"/>
    <s v="cashloan"/>
    <n v="127300000"/>
  </r>
  <r>
    <x v="164"/>
    <x v="0"/>
    <x v="5"/>
    <n v="24"/>
    <n v="13"/>
    <x v="7"/>
    <x v="7"/>
    <s v="paylater"/>
    <n v="76467996"/>
  </r>
  <r>
    <x v="164"/>
    <x v="0"/>
    <x v="5"/>
    <n v="24"/>
    <n v="13"/>
    <x v="5"/>
    <x v="5"/>
    <s v="overdraft"/>
    <n v="2568552779"/>
  </r>
  <r>
    <x v="164"/>
    <x v="0"/>
    <x v="5"/>
    <n v="24"/>
    <n v="13"/>
    <x v="3"/>
    <x v="3"/>
    <s v="cashloan"/>
    <n v="303450000"/>
  </r>
  <r>
    <x v="164"/>
    <x v="0"/>
    <x v="5"/>
    <n v="24"/>
    <n v="13"/>
    <x v="2"/>
    <x v="2"/>
    <s v="cashloan"/>
    <n v="4472390000"/>
  </r>
  <r>
    <x v="164"/>
    <x v="0"/>
    <x v="5"/>
    <n v="24"/>
    <n v="13"/>
    <x v="9"/>
    <x v="9"/>
    <s v="cashloan"/>
    <n v="97370000"/>
  </r>
  <r>
    <x v="164"/>
    <x v="0"/>
    <x v="5"/>
    <n v="24"/>
    <n v="13"/>
    <x v="6"/>
    <x v="6"/>
    <s v="payday"/>
    <n v="8000000"/>
  </r>
  <r>
    <x v="164"/>
    <x v="0"/>
    <x v="5"/>
    <n v="24"/>
    <n v="13"/>
    <x v="4"/>
    <x v="4"/>
    <n v="0"/>
    <n v="11279630475"/>
  </r>
  <r>
    <x v="164"/>
    <x v="0"/>
    <x v="5"/>
    <n v="24"/>
    <n v="13"/>
    <x v="1"/>
    <x v="1"/>
    <s v="cashloan"/>
    <n v="36750000"/>
  </r>
  <r>
    <x v="164"/>
    <x v="0"/>
    <x v="5"/>
    <n v="24"/>
    <n v="13"/>
    <x v="8"/>
    <x v="8"/>
    <s v="cashloan"/>
    <n v="711220000"/>
  </r>
  <r>
    <x v="164"/>
    <x v="0"/>
    <x v="5"/>
    <n v="24"/>
    <n v="13"/>
    <x v="0"/>
    <x v="0"/>
    <s v="payday"/>
    <n v="2876000000"/>
  </r>
  <r>
    <x v="165"/>
    <x v="0"/>
    <x v="5"/>
    <n v="24"/>
    <n v="14"/>
    <x v="11"/>
    <x v="10"/>
    <s v="paylater"/>
    <n v="1219000"/>
  </r>
  <r>
    <x v="165"/>
    <x v="0"/>
    <x v="5"/>
    <n v="24"/>
    <n v="14"/>
    <x v="10"/>
    <x v="9"/>
    <s v="cashloan"/>
    <n v="78060000"/>
  </r>
  <r>
    <x v="165"/>
    <x v="0"/>
    <x v="5"/>
    <n v="24"/>
    <n v="14"/>
    <x v="8"/>
    <x v="8"/>
    <s v="cashloan"/>
    <n v="773770000"/>
  </r>
  <r>
    <x v="165"/>
    <x v="0"/>
    <x v="5"/>
    <n v="24"/>
    <n v="14"/>
    <x v="4"/>
    <x v="4"/>
    <n v="0"/>
    <n v="11395618833"/>
  </r>
  <r>
    <x v="165"/>
    <x v="0"/>
    <x v="5"/>
    <n v="24"/>
    <n v="14"/>
    <x v="5"/>
    <x v="5"/>
    <s v="overdraft"/>
    <n v="2516376316"/>
  </r>
  <r>
    <x v="165"/>
    <x v="0"/>
    <x v="5"/>
    <n v="24"/>
    <n v="14"/>
    <x v="6"/>
    <x v="6"/>
    <s v="payday"/>
    <n v="29000000"/>
  </r>
  <r>
    <x v="165"/>
    <x v="0"/>
    <x v="5"/>
    <n v="24"/>
    <n v="14"/>
    <x v="7"/>
    <x v="7"/>
    <s v="paylater"/>
    <n v="75083517"/>
  </r>
  <r>
    <x v="165"/>
    <x v="0"/>
    <x v="5"/>
    <n v="24"/>
    <n v="14"/>
    <x v="9"/>
    <x v="9"/>
    <s v="cashloan"/>
    <n v="65270000"/>
  </r>
  <r>
    <x v="165"/>
    <x v="0"/>
    <x v="5"/>
    <n v="24"/>
    <n v="14"/>
    <x v="0"/>
    <x v="0"/>
    <s v="payday"/>
    <n v="3226500000"/>
  </r>
  <r>
    <x v="165"/>
    <x v="0"/>
    <x v="5"/>
    <n v="24"/>
    <n v="14"/>
    <x v="3"/>
    <x v="3"/>
    <s v="cashloan"/>
    <n v="155400000"/>
  </r>
  <r>
    <x v="165"/>
    <x v="0"/>
    <x v="5"/>
    <n v="24"/>
    <n v="14"/>
    <x v="2"/>
    <x v="2"/>
    <s v="cashloan"/>
    <n v="4464440000"/>
  </r>
  <r>
    <x v="165"/>
    <x v="0"/>
    <x v="5"/>
    <n v="24"/>
    <n v="14"/>
    <x v="1"/>
    <x v="1"/>
    <s v="cashloan"/>
    <n v="10500000"/>
  </r>
  <r>
    <x v="166"/>
    <x v="0"/>
    <x v="5"/>
    <n v="24"/>
    <n v="15"/>
    <x v="10"/>
    <x v="9"/>
    <s v="cashloan"/>
    <n v="116860000"/>
  </r>
  <r>
    <x v="166"/>
    <x v="0"/>
    <x v="5"/>
    <n v="24"/>
    <n v="15"/>
    <x v="3"/>
    <x v="3"/>
    <s v="cashloan"/>
    <n v="211100000"/>
  </r>
  <r>
    <x v="166"/>
    <x v="0"/>
    <x v="5"/>
    <n v="24"/>
    <n v="15"/>
    <x v="9"/>
    <x v="9"/>
    <s v="cashloan"/>
    <n v="61660000"/>
  </r>
  <r>
    <x v="166"/>
    <x v="0"/>
    <x v="5"/>
    <n v="24"/>
    <n v="15"/>
    <x v="2"/>
    <x v="2"/>
    <s v="cashloan"/>
    <n v="4564080000"/>
  </r>
  <r>
    <x v="166"/>
    <x v="0"/>
    <x v="5"/>
    <n v="24"/>
    <n v="15"/>
    <x v="6"/>
    <x v="6"/>
    <s v="payday"/>
    <n v="22000000"/>
  </r>
  <r>
    <x v="166"/>
    <x v="0"/>
    <x v="5"/>
    <n v="24"/>
    <n v="15"/>
    <x v="4"/>
    <x v="4"/>
    <n v="0"/>
    <n v="10879268864"/>
  </r>
  <r>
    <x v="166"/>
    <x v="0"/>
    <x v="5"/>
    <n v="24"/>
    <n v="15"/>
    <x v="7"/>
    <x v="7"/>
    <s v="paylater"/>
    <n v="88678130"/>
  </r>
  <r>
    <x v="166"/>
    <x v="0"/>
    <x v="5"/>
    <n v="24"/>
    <n v="15"/>
    <x v="11"/>
    <x v="10"/>
    <s v="paylater"/>
    <n v="138000"/>
  </r>
  <r>
    <x v="166"/>
    <x v="0"/>
    <x v="5"/>
    <n v="24"/>
    <n v="15"/>
    <x v="0"/>
    <x v="0"/>
    <s v="payday"/>
    <n v="3021000000"/>
  </r>
  <r>
    <x v="166"/>
    <x v="0"/>
    <x v="5"/>
    <n v="24"/>
    <n v="15"/>
    <x v="8"/>
    <x v="8"/>
    <s v="cashloan"/>
    <n v="721430000"/>
  </r>
  <r>
    <x v="166"/>
    <x v="0"/>
    <x v="5"/>
    <n v="24"/>
    <n v="15"/>
    <x v="1"/>
    <x v="1"/>
    <s v="cashloan"/>
    <n v="24150000"/>
  </r>
  <r>
    <x v="166"/>
    <x v="0"/>
    <x v="5"/>
    <n v="24"/>
    <n v="15"/>
    <x v="5"/>
    <x v="5"/>
    <s v="overdraft"/>
    <n v="2048172734"/>
  </r>
  <r>
    <x v="167"/>
    <x v="0"/>
    <x v="5"/>
    <n v="24"/>
    <n v="16"/>
    <x v="5"/>
    <x v="5"/>
    <s v="overdraft"/>
    <n v="1794079018"/>
  </r>
  <r>
    <x v="167"/>
    <x v="0"/>
    <x v="5"/>
    <n v="24"/>
    <n v="16"/>
    <x v="3"/>
    <x v="3"/>
    <s v="cashloan"/>
    <n v="176400000"/>
  </r>
  <r>
    <x v="167"/>
    <x v="0"/>
    <x v="5"/>
    <n v="24"/>
    <n v="16"/>
    <x v="8"/>
    <x v="8"/>
    <s v="cashloan"/>
    <n v="192600000"/>
  </r>
  <r>
    <x v="167"/>
    <x v="0"/>
    <x v="5"/>
    <n v="24"/>
    <n v="16"/>
    <x v="0"/>
    <x v="0"/>
    <s v="payday"/>
    <n v="2587000000"/>
  </r>
  <r>
    <x v="167"/>
    <x v="0"/>
    <x v="5"/>
    <n v="24"/>
    <n v="16"/>
    <x v="4"/>
    <x v="4"/>
    <n v="0"/>
    <n v="8821738237"/>
  </r>
  <r>
    <x v="167"/>
    <x v="0"/>
    <x v="5"/>
    <n v="24"/>
    <n v="16"/>
    <x v="9"/>
    <x v="9"/>
    <s v="cashloan"/>
    <n v="58800000"/>
  </r>
  <r>
    <x v="167"/>
    <x v="0"/>
    <x v="5"/>
    <n v="24"/>
    <n v="16"/>
    <x v="6"/>
    <x v="6"/>
    <s v="payday"/>
    <n v="15000000"/>
  </r>
  <r>
    <x v="167"/>
    <x v="0"/>
    <x v="5"/>
    <n v="24"/>
    <n v="16"/>
    <x v="1"/>
    <x v="1"/>
    <s v="cashloan"/>
    <n v="10500000"/>
  </r>
  <r>
    <x v="167"/>
    <x v="0"/>
    <x v="5"/>
    <n v="24"/>
    <n v="16"/>
    <x v="7"/>
    <x v="7"/>
    <s v="paylater"/>
    <n v="79889219"/>
  </r>
  <r>
    <x v="167"/>
    <x v="0"/>
    <x v="5"/>
    <n v="24"/>
    <n v="16"/>
    <x v="11"/>
    <x v="10"/>
    <s v="paylater"/>
    <n v="0"/>
  </r>
  <r>
    <x v="167"/>
    <x v="0"/>
    <x v="5"/>
    <n v="24"/>
    <n v="16"/>
    <x v="2"/>
    <x v="2"/>
    <s v="cashloan"/>
    <n v="3846810000"/>
  </r>
  <r>
    <x v="167"/>
    <x v="0"/>
    <x v="5"/>
    <n v="24"/>
    <n v="16"/>
    <x v="10"/>
    <x v="9"/>
    <s v="cashloan"/>
    <n v="60660000"/>
  </r>
  <r>
    <x v="168"/>
    <x v="0"/>
    <x v="5"/>
    <n v="25"/>
    <n v="17"/>
    <x v="2"/>
    <x v="2"/>
    <s v="cashloan"/>
    <n v="5252480000"/>
  </r>
  <r>
    <x v="168"/>
    <x v="0"/>
    <x v="5"/>
    <n v="25"/>
    <n v="17"/>
    <x v="5"/>
    <x v="5"/>
    <s v="overdraft"/>
    <n v="2589093258"/>
  </r>
  <r>
    <x v="168"/>
    <x v="0"/>
    <x v="5"/>
    <n v="25"/>
    <n v="17"/>
    <x v="1"/>
    <x v="1"/>
    <s v="cashloan"/>
    <n v="46500000"/>
  </r>
  <r>
    <x v="168"/>
    <x v="0"/>
    <x v="5"/>
    <n v="25"/>
    <n v="17"/>
    <x v="9"/>
    <x v="9"/>
    <s v="cashloan"/>
    <n v="0"/>
  </r>
  <r>
    <x v="168"/>
    <x v="0"/>
    <x v="5"/>
    <n v="25"/>
    <n v="17"/>
    <x v="7"/>
    <x v="7"/>
    <s v="paylater"/>
    <n v="117257026"/>
  </r>
  <r>
    <x v="168"/>
    <x v="0"/>
    <x v="5"/>
    <n v="25"/>
    <n v="17"/>
    <x v="3"/>
    <x v="3"/>
    <s v="cashloan"/>
    <n v="169450000"/>
  </r>
  <r>
    <x v="168"/>
    <x v="0"/>
    <x v="5"/>
    <n v="25"/>
    <n v="17"/>
    <x v="6"/>
    <x v="6"/>
    <s v="payday"/>
    <n v="31000000"/>
  </r>
  <r>
    <x v="168"/>
    <x v="0"/>
    <x v="5"/>
    <n v="25"/>
    <n v="17"/>
    <x v="4"/>
    <x v="4"/>
    <n v="0"/>
    <n v="12314630084"/>
  </r>
  <r>
    <x v="168"/>
    <x v="0"/>
    <x v="5"/>
    <n v="25"/>
    <n v="17"/>
    <x v="11"/>
    <x v="10"/>
    <s v="paylater"/>
    <n v="359800"/>
  </r>
  <r>
    <x v="168"/>
    <x v="0"/>
    <x v="5"/>
    <n v="25"/>
    <n v="17"/>
    <x v="10"/>
    <x v="9"/>
    <s v="cashloan"/>
    <n v="104110000"/>
  </r>
  <r>
    <x v="168"/>
    <x v="0"/>
    <x v="5"/>
    <n v="25"/>
    <n v="17"/>
    <x v="0"/>
    <x v="0"/>
    <s v="payday"/>
    <n v="3165500000"/>
  </r>
  <r>
    <x v="168"/>
    <x v="0"/>
    <x v="5"/>
    <n v="25"/>
    <n v="17"/>
    <x v="8"/>
    <x v="8"/>
    <s v="cashloan"/>
    <n v="838880000"/>
  </r>
  <r>
    <x v="169"/>
    <x v="0"/>
    <x v="5"/>
    <n v="25"/>
    <n v="18"/>
    <x v="2"/>
    <x v="2"/>
    <s v="cashloan"/>
    <n v="6215520000"/>
  </r>
  <r>
    <x v="169"/>
    <x v="0"/>
    <x v="5"/>
    <n v="25"/>
    <n v="18"/>
    <x v="10"/>
    <x v="9"/>
    <s v="cashloan"/>
    <n v="169840000"/>
  </r>
  <r>
    <x v="169"/>
    <x v="0"/>
    <x v="5"/>
    <n v="25"/>
    <n v="18"/>
    <x v="8"/>
    <x v="8"/>
    <s v="cashloan"/>
    <n v="2550830000"/>
  </r>
  <r>
    <x v="169"/>
    <x v="0"/>
    <x v="5"/>
    <n v="25"/>
    <n v="18"/>
    <x v="11"/>
    <x v="10"/>
    <s v="paylater"/>
    <n v="770990"/>
  </r>
  <r>
    <x v="169"/>
    <x v="0"/>
    <x v="5"/>
    <n v="25"/>
    <n v="18"/>
    <x v="7"/>
    <x v="7"/>
    <s v="paylater"/>
    <n v="111292560"/>
  </r>
  <r>
    <x v="169"/>
    <x v="0"/>
    <x v="5"/>
    <n v="25"/>
    <n v="18"/>
    <x v="4"/>
    <x v="4"/>
    <n v="0"/>
    <n v="14523985483"/>
  </r>
  <r>
    <x v="169"/>
    <x v="0"/>
    <x v="5"/>
    <n v="25"/>
    <n v="18"/>
    <x v="9"/>
    <x v="9"/>
    <s v="cashloan"/>
    <n v="0"/>
  </r>
  <r>
    <x v="169"/>
    <x v="0"/>
    <x v="5"/>
    <n v="25"/>
    <n v="18"/>
    <x v="0"/>
    <x v="0"/>
    <s v="payday"/>
    <n v="3057000000"/>
  </r>
  <r>
    <x v="169"/>
    <x v="0"/>
    <x v="5"/>
    <n v="25"/>
    <n v="18"/>
    <x v="6"/>
    <x v="6"/>
    <s v="payday"/>
    <n v="40000000"/>
  </r>
  <r>
    <x v="169"/>
    <x v="0"/>
    <x v="5"/>
    <n v="25"/>
    <n v="18"/>
    <x v="1"/>
    <x v="1"/>
    <s v="cashloan"/>
    <n v="21000000"/>
  </r>
  <r>
    <x v="169"/>
    <x v="0"/>
    <x v="5"/>
    <n v="25"/>
    <n v="18"/>
    <x v="5"/>
    <x v="5"/>
    <s v="overdraft"/>
    <n v="2161381933"/>
  </r>
  <r>
    <x v="169"/>
    <x v="0"/>
    <x v="5"/>
    <n v="25"/>
    <n v="18"/>
    <x v="3"/>
    <x v="3"/>
    <s v="cashloan"/>
    <n v="196350000"/>
  </r>
  <r>
    <x v="170"/>
    <x v="0"/>
    <x v="5"/>
    <n v="25"/>
    <n v="19"/>
    <x v="0"/>
    <x v="0"/>
    <s v="payday"/>
    <n v="2851000000"/>
  </r>
  <r>
    <x v="170"/>
    <x v="0"/>
    <x v="5"/>
    <n v="25"/>
    <n v="19"/>
    <x v="2"/>
    <x v="2"/>
    <s v="cashloan"/>
    <n v="5451400000"/>
  </r>
  <r>
    <x v="170"/>
    <x v="0"/>
    <x v="5"/>
    <n v="25"/>
    <n v="19"/>
    <x v="9"/>
    <x v="9"/>
    <s v="cashloan"/>
    <n v="67220000"/>
  </r>
  <r>
    <x v="170"/>
    <x v="0"/>
    <x v="5"/>
    <n v="25"/>
    <n v="19"/>
    <x v="5"/>
    <x v="5"/>
    <s v="overdraft"/>
    <n v="2143204581"/>
  </r>
  <r>
    <x v="170"/>
    <x v="0"/>
    <x v="5"/>
    <n v="25"/>
    <n v="19"/>
    <x v="4"/>
    <x v="4"/>
    <n v="0"/>
    <n v="12277252661"/>
  </r>
  <r>
    <x v="170"/>
    <x v="0"/>
    <x v="5"/>
    <n v="25"/>
    <n v="19"/>
    <x v="6"/>
    <x v="6"/>
    <s v="payday"/>
    <n v="22000000"/>
  </r>
  <r>
    <x v="170"/>
    <x v="0"/>
    <x v="5"/>
    <n v="25"/>
    <n v="19"/>
    <x v="11"/>
    <x v="10"/>
    <s v="paylater"/>
    <n v="308000"/>
  </r>
  <r>
    <x v="170"/>
    <x v="0"/>
    <x v="5"/>
    <n v="25"/>
    <n v="19"/>
    <x v="8"/>
    <x v="8"/>
    <s v="cashloan"/>
    <n v="1412000000"/>
  </r>
  <r>
    <x v="170"/>
    <x v="0"/>
    <x v="5"/>
    <n v="25"/>
    <n v="19"/>
    <x v="10"/>
    <x v="9"/>
    <s v="cashloan"/>
    <n v="122490000"/>
  </r>
  <r>
    <x v="170"/>
    <x v="0"/>
    <x v="5"/>
    <n v="25"/>
    <n v="19"/>
    <x v="7"/>
    <x v="7"/>
    <s v="paylater"/>
    <n v="126780080"/>
  </r>
  <r>
    <x v="170"/>
    <x v="0"/>
    <x v="5"/>
    <n v="25"/>
    <n v="19"/>
    <x v="3"/>
    <x v="3"/>
    <s v="cashloan"/>
    <n v="50400000"/>
  </r>
  <r>
    <x v="170"/>
    <x v="0"/>
    <x v="5"/>
    <n v="25"/>
    <n v="19"/>
    <x v="1"/>
    <x v="1"/>
    <s v="cashloan"/>
    <n v="30450000"/>
  </r>
  <r>
    <x v="171"/>
    <x v="0"/>
    <x v="5"/>
    <n v="25"/>
    <n v="20"/>
    <x v="3"/>
    <x v="3"/>
    <s v="cashloan"/>
    <n v="116550000"/>
  </r>
  <r>
    <x v="171"/>
    <x v="0"/>
    <x v="5"/>
    <n v="25"/>
    <n v="20"/>
    <x v="2"/>
    <x v="2"/>
    <s v="cashloan"/>
    <n v="5897670000"/>
  </r>
  <r>
    <x v="171"/>
    <x v="0"/>
    <x v="5"/>
    <n v="25"/>
    <n v="20"/>
    <x v="1"/>
    <x v="1"/>
    <s v="cashloan"/>
    <n v="21000000"/>
  </r>
  <r>
    <x v="171"/>
    <x v="0"/>
    <x v="5"/>
    <n v="25"/>
    <n v="20"/>
    <x v="7"/>
    <x v="7"/>
    <s v="paylater"/>
    <n v="124653104"/>
  </r>
  <r>
    <x v="171"/>
    <x v="0"/>
    <x v="5"/>
    <n v="25"/>
    <n v="20"/>
    <x v="0"/>
    <x v="0"/>
    <s v="payday"/>
    <n v="3262000000"/>
  </r>
  <r>
    <x v="171"/>
    <x v="0"/>
    <x v="5"/>
    <n v="25"/>
    <n v="20"/>
    <x v="5"/>
    <x v="5"/>
    <s v="overdraft"/>
    <n v="2519642733"/>
  </r>
  <r>
    <x v="171"/>
    <x v="0"/>
    <x v="5"/>
    <n v="25"/>
    <n v="20"/>
    <x v="11"/>
    <x v="10"/>
    <s v="paylater"/>
    <n v="537000"/>
  </r>
  <r>
    <x v="171"/>
    <x v="0"/>
    <x v="5"/>
    <n v="25"/>
    <n v="20"/>
    <x v="4"/>
    <x v="4"/>
    <n v="0"/>
    <n v="14323822837"/>
  </r>
  <r>
    <x v="171"/>
    <x v="0"/>
    <x v="5"/>
    <n v="25"/>
    <n v="20"/>
    <x v="6"/>
    <x v="6"/>
    <s v="payday"/>
    <n v="33000000"/>
  </r>
  <r>
    <x v="171"/>
    <x v="0"/>
    <x v="5"/>
    <n v="25"/>
    <n v="20"/>
    <x v="9"/>
    <x v="9"/>
    <s v="cashloan"/>
    <n v="21400000"/>
  </r>
  <r>
    <x v="171"/>
    <x v="0"/>
    <x v="5"/>
    <n v="25"/>
    <n v="20"/>
    <x v="12"/>
    <x v="11"/>
    <s v="cashloan"/>
    <n v="721260000"/>
  </r>
  <r>
    <x v="171"/>
    <x v="0"/>
    <x v="5"/>
    <n v="25"/>
    <n v="20"/>
    <x v="10"/>
    <x v="9"/>
    <s v="cashloan"/>
    <n v="184990000"/>
  </r>
  <r>
    <x v="171"/>
    <x v="0"/>
    <x v="5"/>
    <n v="25"/>
    <n v="20"/>
    <x v="8"/>
    <x v="8"/>
    <s v="cashloan"/>
    <n v="1421120000"/>
  </r>
  <r>
    <x v="172"/>
    <x v="0"/>
    <x v="5"/>
    <n v="25"/>
    <n v="21"/>
    <x v="2"/>
    <x v="2"/>
    <s v="cashloan"/>
    <n v="5273440000"/>
  </r>
  <r>
    <x v="172"/>
    <x v="0"/>
    <x v="5"/>
    <n v="25"/>
    <n v="21"/>
    <x v="11"/>
    <x v="10"/>
    <s v="paylater"/>
    <n v="993000"/>
  </r>
  <r>
    <x v="172"/>
    <x v="0"/>
    <x v="5"/>
    <n v="25"/>
    <n v="21"/>
    <x v="0"/>
    <x v="0"/>
    <s v="payday"/>
    <n v="3203500000"/>
  </r>
  <r>
    <x v="172"/>
    <x v="0"/>
    <x v="5"/>
    <n v="25"/>
    <n v="21"/>
    <x v="12"/>
    <x v="11"/>
    <s v="cashloan"/>
    <n v="609165000"/>
  </r>
  <r>
    <x v="172"/>
    <x v="0"/>
    <x v="5"/>
    <n v="25"/>
    <n v="21"/>
    <x v="6"/>
    <x v="6"/>
    <s v="payday"/>
    <n v="20000000"/>
  </r>
  <r>
    <x v="172"/>
    <x v="0"/>
    <x v="5"/>
    <n v="25"/>
    <n v="21"/>
    <x v="3"/>
    <x v="3"/>
    <s v="cashloan"/>
    <n v="180650000"/>
  </r>
  <r>
    <x v="172"/>
    <x v="0"/>
    <x v="5"/>
    <n v="25"/>
    <n v="21"/>
    <x v="10"/>
    <x v="9"/>
    <s v="cashloan"/>
    <n v="212550000"/>
  </r>
  <r>
    <x v="172"/>
    <x v="0"/>
    <x v="5"/>
    <n v="25"/>
    <n v="21"/>
    <x v="9"/>
    <x v="9"/>
    <s v="cashloan"/>
    <n v="16050000"/>
  </r>
  <r>
    <x v="172"/>
    <x v="0"/>
    <x v="5"/>
    <n v="25"/>
    <n v="21"/>
    <x v="4"/>
    <x v="4"/>
    <n v="0"/>
    <n v="13870235074"/>
  </r>
  <r>
    <x v="172"/>
    <x v="0"/>
    <x v="5"/>
    <n v="25"/>
    <n v="21"/>
    <x v="8"/>
    <x v="8"/>
    <s v="cashloan"/>
    <n v="1501300000"/>
  </r>
  <r>
    <x v="172"/>
    <x v="0"/>
    <x v="5"/>
    <n v="25"/>
    <n v="21"/>
    <x v="7"/>
    <x v="7"/>
    <s v="paylater"/>
    <n v="127448635"/>
  </r>
  <r>
    <x v="172"/>
    <x v="0"/>
    <x v="5"/>
    <n v="25"/>
    <n v="21"/>
    <x v="5"/>
    <x v="5"/>
    <s v="overdraft"/>
    <n v="2672638439"/>
  </r>
  <r>
    <x v="172"/>
    <x v="0"/>
    <x v="5"/>
    <n v="25"/>
    <n v="21"/>
    <x v="1"/>
    <x v="1"/>
    <s v="cashloan"/>
    <n v="52500000"/>
  </r>
  <r>
    <x v="173"/>
    <x v="0"/>
    <x v="5"/>
    <n v="25"/>
    <n v="22"/>
    <x v="5"/>
    <x v="5"/>
    <s v="overdraft"/>
    <n v="1989775929"/>
  </r>
  <r>
    <x v="173"/>
    <x v="0"/>
    <x v="5"/>
    <n v="25"/>
    <n v="22"/>
    <x v="0"/>
    <x v="0"/>
    <s v="payday"/>
    <n v="3111000000"/>
  </r>
  <r>
    <x v="173"/>
    <x v="0"/>
    <x v="5"/>
    <n v="25"/>
    <n v="22"/>
    <x v="10"/>
    <x v="9"/>
    <s v="cashloan"/>
    <n v="112740000"/>
  </r>
  <r>
    <x v="173"/>
    <x v="0"/>
    <x v="5"/>
    <n v="25"/>
    <n v="22"/>
    <x v="2"/>
    <x v="2"/>
    <s v="cashloan"/>
    <n v="5149900000"/>
  </r>
  <r>
    <x v="173"/>
    <x v="0"/>
    <x v="5"/>
    <n v="25"/>
    <n v="22"/>
    <x v="8"/>
    <x v="8"/>
    <s v="cashloan"/>
    <n v="1086050000"/>
  </r>
  <r>
    <x v="173"/>
    <x v="0"/>
    <x v="5"/>
    <n v="25"/>
    <n v="22"/>
    <x v="11"/>
    <x v="10"/>
    <s v="paylater"/>
    <n v="282850"/>
  </r>
  <r>
    <x v="173"/>
    <x v="0"/>
    <x v="5"/>
    <n v="25"/>
    <n v="22"/>
    <x v="12"/>
    <x v="11"/>
    <s v="cashloan"/>
    <n v="2538805000"/>
  </r>
  <r>
    <x v="173"/>
    <x v="0"/>
    <x v="5"/>
    <n v="25"/>
    <n v="22"/>
    <x v="4"/>
    <x v="4"/>
    <n v="0"/>
    <n v="14448850634"/>
  </r>
  <r>
    <x v="173"/>
    <x v="0"/>
    <x v="5"/>
    <n v="25"/>
    <n v="22"/>
    <x v="9"/>
    <x v="9"/>
    <s v="cashloan"/>
    <n v="21400000"/>
  </r>
  <r>
    <x v="173"/>
    <x v="0"/>
    <x v="5"/>
    <n v="25"/>
    <n v="22"/>
    <x v="6"/>
    <x v="6"/>
    <s v="payday"/>
    <n v="50000000"/>
  </r>
  <r>
    <x v="173"/>
    <x v="0"/>
    <x v="5"/>
    <n v="25"/>
    <n v="22"/>
    <x v="7"/>
    <x v="7"/>
    <s v="paylater"/>
    <n v="106446855"/>
  </r>
  <r>
    <x v="173"/>
    <x v="0"/>
    <x v="5"/>
    <n v="25"/>
    <n v="22"/>
    <x v="1"/>
    <x v="1"/>
    <s v="cashloan"/>
    <n v="54600000"/>
  </r>
  <r>
    <x v="173"/>
    <x v="0"/>
    <x v="5"/>
    <n v="25"/>
    <n v="22"/>
    <x v="3"/>
    <x v="3"/>
    <s v="cashloan"/>
    <n v="227850000"/>
  </r>
  <r>
    <x v="174"/>
    <x v="0"/>
    <x v="5"/>
    <n v="25"/>
    <n v="23"/>
    <x v="1"/>
    <x v="1"/>
    <s v="cashloan"/>
    <n v="52500000"/>
  </r>
  <r>
    <x v="174"/>
    <x v="0"/>
    <x v="5"/>
    <n v="25"/>
    <n v="23"/>
    <x v="8"/>
    <x v="8"/>
    <s v="cashloan"/>
    <n v="120910000"/>
  </r>
  <r>
    <x v="174"/>
    <x v="0"/>
    <x v="5"/>
    <n v="25"/>
    <n v="23"/>
    <x v="9"/>
    <x v="9"/>
    <s v="cashloan"/>
    <n v="0"/>
  </r>
  <r>
    <x v="174"/>
    <x v="0"/>
    <x v="5"/>
    <n v="25"/>
    <n v="23"/>
    <x v="2"/>
    <x v="2"/>
    <s v="cashloan"/>
    <n v="4070010000"/>
  </r>
  <r>
    <x v="174"/>
    <x v="0"/>
    <x v="5"/>
    <n v="25"/>
    <n v="23"/>
    <x v="12"/>
    <x v="11"/>
    <s v="cashloan"/>
    <n v="4415630000"/>
  </r>
  <r>
    <x v="174"/>
    <x v="0"/>
    <x v="5"/>
    <n v="25"/>
    <n v="23"/>
    <x v="5"/>
    <x v="5"/>
    <s v="overdraft"/>
    <n v="1630683142"/>
  </r>
  <r>
    <x v="174"/>
    <x v="0"/>
    <x v="5"/>
    <n v="25"/>
    <n v="23"/>
    <x v="0"/>
    <x v="0"/>
    <s v="payday"/>
    <n v="2567000000"/>
  </r>
  <r>
    <x v="174"/>
    <x v="0"/>
    <x v="5"/>
    <n v="25"/>
    <n v="23"/>
    <x v="3"/>
    <x v="3"/>
    <s v="cashloan"/>
    <n v="99750000"/>
  </r>
  <r>
    <x v="174"/>
    <x v="0"/>
    <x v="5"/>
    <n v="25"/>
    <n v="23"/>
    <x v="11"/>
    <x v="10"/>
    <s v="paylater"/>
    <n v="428000"/>
  </r>
  <r>
    <x v="174"/>
    <x v="0"/>
    <x v="5"/>
    <n v="25"/>
    <n v="23"/>
    <x v="4"/>
    <x v="4"/>
    <n v="0"/>
    <n v="13161895562"/>
  </r>
  <r>
    <x v="174"/>
    <x v="0"/>
    <x v="5"/>
    <n v="25"/>
    <n v="23"/>
    <x v="10"/>
    <x v="9"/>
    <s v="cashloan"/>
    <n v="71690000"/>
  </r>
  <r>
    <x v="174"/>
    <x v="0"/>
    <x v="5"/>
    <n v="25"/>
    <n v="23"/>
    <x v="6"/>
    <x v="6"/>
    <s v="payday"/>
    <n v="40000000"/>
  </r>
  <r>
    <x v="174"/>
    <x v="0"/>
    <x v="5"/>
    <n v="25"/>
    <n v="23"/>
    <x v="7"/>
    <x v="7"/>
    <s v="paylater"/>
    <n v="93294420"/>
  </r>
  <r>
    <x v="175"/>
    <x v="0"/>
    <x v="5"/>
    <n v="26"/>
    <n v="24"/>
    <x v="1"/>
    <x v="1"/>
    <s v="cashloan"/>
    <n v="84000000"/>
  </r>
  <r>
    <x v="175"/>
    <x v="0"/>
    <x v="5"/>
    <n v="26"/>
    <n v="24"/>
    <x v="2"/>
    <x v="2"/>
    <s v="cashloan"/>
    <n v="6080920000"/>
  </r>
  <r>
    <x v="175"/>
    <x v="0"/>
    <x v="5"/>
    <n v="26"/>
    <n v="24"/>
    <x v="0"/>
    <x v="0"/>
    <s v="payday"/>
    <n v="3285500000"/>
  </r>
  <r>
    <x v="175"/>
    <x v="0"/>
    <x v="5"/>
    <n v="26"/>
    <n v="24"/>
    <x v="5"/>
    <x v="5"/>
    <s v="overdraft"/>
    <n v="2704764891"/>
  </r>
  <r>
    <x v="175"/>
    <x v="0"/>
    <x v="5"/>
    <n v="26"/>
    <n v="24"/>
    <x v="8"/>
    <x v="8"/>
    <s v="cashloan"/>
    <n v="1306470000"/>
  </r>
  <r>
    <x v="175"/>
    <x v="0"/>
    <x v="5"/>
    <n v="26"/>
    <n v="24"/>
    <x v="6"/>
    <x v="6"/>
    <s v="payday"/>
    <n v="37000000"/>
  </r>
  <r>
    <x v="175"/>
    <x v="0"/>
    <x v="5"/>
    <n v="26"/>
    <n v="24"/>
    <x v="4"/>
    <x v="4"/>
    <n v="0"/>
    <n v="27254899302"/>
  </r>
  <r>
    <x v="175"/>
    <x v="0"/>
    <x v="5"/>
    <n v="26"/>
    <n v="24"/>
    <x v="11"/>
    <x v="10"/>
    <s v="paylater"/>
    <n v="1164900"/>
  </r>
  <r>
    <x v="175"/>
    <x v="0"/>
    <x v="5"/>
    <n v="26"/>
    <n v="24"/>
    <x v="10"/>
    <x v="9"/>
    <s v="cashloan"/>
    <n v="125560000"/>
  </r>
  <r>
    <x v="175"/>
    <x v="0"/>
    <x v="5"/>
    <n v="26"/>
    <n v="24"/>
    <x v="7"/>
    <x v="7"/>
    <s v="paylater"/>
    <n v="105249502"/>
  </r>
  <r>
    <x v="175"/>
    <x v="0"/>
    <x v="5"/>
    <n v="26"/>
    <n v="24"/>
    <x v="9"/>
    <x v="9"/>
    <s v="cashloan"/>
    <n v="0"/>
  </r>
  <r>
    <x v="175"/>
    <x v="0"/>
    <x v="5"/>
    <n v="26"/>
    <n v="24"/>
    <x v="12"/>
    <x v="11"/>
    <s v="cashloan"/>
    <n v="13418220009"/>
  </r>
  <r>
    <x v="175"/>
    <x v="0"/>
    <x v="5"/>
    <n v="26"/>
    <n v="24"/>
    <x v="3"/>
    <x v="3"/>
    <s v="cashloan"/>
    <n v="106050000"/>
  </r>
  <r>
    <x v="176"/>
    <x v="0"/>
    <x v="5"/>
    <n v="26"/>
    <n v="25"/>
    <x v="12"/>
    <x v="11"/>
    <s v="cashloan"/>
    <n v="8321579875"/>
  </r>
  <r>
    <x v="176"/>
    <x v="0"/>
    <x v="5"/>
    <n v="26"/>
    <n v="25"/>
    <x v="11"/>
    <x v="10"/>
    <s v="paylater"/>
    <n v="244000"/>
  </r>
  <r>
    <x v="176"/>
    <x v="0"/>
    <x v="5"/>
    <n v="26"/>
    <n v="25"/>
    <x v="10"/>
    <x v="9"/>
    <s v="cashloan"/>
    <n v="59220000"/>
  </r>
  <r>
    <x v="176"/>
    <x v="0"/>
    <x v="5"/>
    <n v="26"/>
    <n v="25"/>
    <x v="1"/>
    <x v="1"/>
    <s v="cashloan"/>
    <n v="31500000"/>
  </r>
  <r>
    <x v="176"/>
    <x v="0"/>
    <x v="5"/>
    <n v="26"/>
    <n v="25"/>
    <x v="5"/>
    <x v="5"/>
    <s v="overdraft"/>
    <n v="2332115218"/>
  </r>
  <r>
    <x v="176"/>
    <x v="0"/>
    <x v="5"/>
    <n v="26"/>
    <n v="25"/>
    <x v="4"/>
    <x v="4"/>
    <n v="0"/>
    <n v="21688381584"/>
  </r>
  <r>
    <x v="176"/>
    <x v="0"/>
    <x v="5"/>
    <n v="26"/>
    <n v="25"/>
    <x v="2"/>
    <x v="2"/>
    <s v="cashloan"/>
    <n v="6167770000"/>
  </r>
  <r>
    <x v="176"/>
    <x v="0"/>
    <x v="5"/>
    <n v="26"/>
    <n v="25"/>
    <x v="9"/>
    <x v="9"/>
    <s v="cashloan"/>
    <n v="6420000"/>
  </r>
  <r>
    <x v="176"/>
    <x v="0"/>
    <x v="5"/>
    <n v="26"/>
    <n v="25"/>
    <x v="6"/>
    <x v="6"/>
    <s v="payday"/>
    <n v="50000000"/>
  </r>
  <r>
    <x v="176"/>
    <x v="0"/>
    <x v="5"/>
    <n v="26"/>
    <n v="25"/>
    <x v="7"/>
    <x v="7"/>
    <s v="paylater"/>
    <n v="113192491"/>
  </r>
  <r>
    <x v="176"/>
    <x v="0"/>
    <x v="5"/>
    <n v="26"/>
    <n v="25"/>
    <x v="8"/>
    <x v="8"/>
    <s v="cashloan"/>
    <n v="1263040000"/>
  </r>
  <r>
    <x v="176"/>
    <x v="0"/>
    <x v="5"/>
    <n v="26"/>
    <n v="25"/>
    <x v="0"/>
    <x v="0"/>
    <s v="payday"/>
    <n v="3263500000"/>
  </r>
  <r>
    <x v="176"/>
    <x v="0"/>
    <x v="5"/>
    <n v="26"/>
    <n v="25"/>
    <x v="3"/>
    <x v="3"/>
    <s v="cashloan"/>
    <n v="79800000"/>
  </r>
  <r>
    <x v="177"/>
    <x v="0"/>
    <x v="5"/>
    <n v="26"/>
    <n v="26"/>
    <x v="1"/>
    <x v="1"/>
    <s v="cashloan"/>
    <n v="0"/>
  </r>
  <r>
    <x v="177"/>
    <x v="0"/>
    <x v="5"/>
    <n v="26"/>
    <n v="26"/>
    <x v="12"/>
    <x v="11"/>
    <s v="cashloan"/>
    <n v="8705740000"/>
  </r>
  <r>
    <x v="177"/>
    <x v="0"/>
    <x v="5"/>
    <n v="26"/>
    <n v="26"/>
    <x v="9"/>
    <x v="9"/>
    <s v="cashloan"/>
    <n v="39400000"/>
  </r>
  <r>
    <x v="177"/>
    <x v="0"/>
    <x v="5"/>
    <n v="26"/>
    <n v="26"/>
    <x v="7"/>
    <x v="7"/>
    <s v="paylater"/>
    <n v="83306867"/>
  </r>
  <r>
    <x v="177"/>
    <x v="0"/>
    <x v="5"/>
    <n v="26"/>
    <n v="26"/>
    <x v="10"/>
    <x v="9"/>
    <s v="cashloan"/>
    <n v="78110000"/>
  </r>
  <r>
    <x v="177"/>
    <x v="0"/>
    <x v="5"/>
    <n v="26"/>
    <n v="26"/>
    <x v="4"/>
    <x v="4"/>
    <n v="0"/>
    <n v="22830917137"/>
  </r>
  <r>
    <x v="177"/>
    <x v="0"/>
    <x v="5"/>
    <n v="26"/>
    <n v="26"/>
    <x v="3"/>
    <x v="3"/>
    <s v="cashloan"/>
    <n v="255700000"/>
  </r>
  <r>
    <x v="177"/>
    <x v="0"/>
    <x v="5"/>
    <n v="26"/>
    <n v="26"/>
    <x v="8"/>
    <x v="8"/>
    <s v="cashloan"/>
    <n v="1448780000"/>
  </r>
  <r>
    <x v="177"/>
    <x v="0"/>
    <x v="5"/>
    <n v="26"/>
    <n v="26"/>
    <x v="11"/>
    <x v="10"/>
    <s v="paylater"/>
    <n v="1842450"/>
  </r>
  <r>
    <x v="177"/>
    <x v="0"/>
    <x v="5"/>
    <n v="26"/>
    <n v="26"/>
    <x v="6"/>
    <x v="6"/>
    <s v="payday"/>
    <n v="96000000"/>
  </r>
  <r>
    <x v="177"/>
    <x v="0"/>
    <x v="5"/>
    <n v="26"/>
    <n v="26"/>
    <x v="0"/>
    <x v="0"/>
    <s v="payday"/>
    <n v="3647500000"/>
  </r>
  <r>
    <x v="177"/>
    <x v="0"/>
    <x v="5"/>
    <n v="26"/>
    <n v="26"/>
    <x v="5"/>
    <x v="5"/>
    <s v="overdraft"/>
    <n v="2607727820"/>
  </r>
  <r>
    <x v="177"/>
    <x v="0"/>
    <x v="5"/>
    <n v="26"/>
    <n v="26"/>
    <x v="2"/>
    <x v="2"/>
    <s v="cashloan"/>
    <n v="5866810000"/>
  </r>
  <r>
    <x v="178"/>
    <x v="0"/>
    <x v="5"/>
    <n v="26"/>
    <n v="27"/>
    <x v="3"/>
    <x v="3"/>
    <s v="cashloan"/>
    <n v="265650000"/>
  </r>
  <r>
    <x v="178"/>
    <x v="0"/>
    <x v="5"/>
    <n v="26"/>
    <n v="27"/>
    <x v="2"/>
    <x v="2"/>
    <s v="cashloan"/>
    <n v="4726220000"/>
  </r>
  <r>
    <x v="178"/>
    <x v="0"/>
    <x v="5"/>
    <n v="26"/>
    <n v="27"/>
    <x v="12"/>
    <x v="11"/>
    <s v="cashloan"/>
    <n v="9626130000"/>
  </r>
  <r>
    <x v="178"/>
    <x v="0"/>
    <x v="5"/>
    <n v="26"/>
    <n v="27"/>
    <x v="11"/>
    <x v="10"/>
    <s v="paylater"/>
    <n v="5965610"/>
  </r>
  <r>
    <x v="178"/>
    <x v="0"/>
    <x v="5"/>
    <n v="26"/>
    <n v="27"/>
    <x v="10"/>
    <x v="9"/>
    <s v="cashloan"/>
    <n v="0"/>
  </r>
  <r>
    <x v="178"/>
    <x v="0"/>
    <x v="5"/>
    <n v="26"/>
    <n v="27"/>
    <x v="9"/>
    <x v="9"/>
    <s v="cashloan"/>
    <n v="0"/>
  </r>
  <r>
    <x v="178"/>
    <x v="0"/>
    <x v="5"/>
    <n v="26"/>
    <n v="27"/>
    <x v="4"/>
    <x v="4"/>
    <n v="0"/>
    <n v="22392298410"/>
  </r>
  <r>
    <x v="178"/>
    <x v="0"/>
    <x v="5"/>
    <n v="26"/>
    <n v="27"/>
    <x v="8"/>
    <x v="8"/>
    <s v="cashloan"/>
    <n v="1614630000"/>
  </r>
  <r>
    <x v="178"/>
    <x v="0"/>
    <x v="5"/>
    <n v="26"/>
    <n v="27"/>
    <x v="1"/>
    <x v="1"/>
    <s v="cashloan"/>
    <n v="31500000"/>
  </r>
  <r>
    <x v="178"/>
    <x v="0"/>
    <x v="5"/>
    <n v="26"/>
    <n v="27"/>
    <x v="7"/>
    <x v="7"/>
    <s v="paylater"/>
    <n v="74630360"/>
  </r>
  <r>
    <x v="178"/>
    <x v="0"/>
    <x v="5"/>
    <n v="26"/>
    <n v="27"/>
    <x v="6"/>
    <x v="6"/>
    <s v="payday"/>
    <n v="52000000"/>
  </r>
  <r>
    <x v="178"/>
    <x v="0"/>
    <x v="5"/>
    <n v="26"/>
    <n v="27"/>
    <x v="0"/>
    <x v="0"/>
    <s v="payday"/>
    <n v="3346500000"/>
  </r>
  <r>
    <x v="178"/>
    <x v="0"/>
    <x v="5"/>
    <n v="26"/>
    <n v="27"/>
    <x v="5"/>
    <x v="5"/>
    <s v="overdraft"/>
    <n v="2649072440"/>
  </r>
  <r>
    <x v="179"/>
    <x v="0"/>
    <x v="5"/>
    <n v="26"/>
    <n v="28"/>
    <x v="1"/>
    <x v="1"/>
    <s v="cashloan"/>
    <n v="42000000"/>
  </r>
  <r>
    <x v="179"/>
    <x v="0"/>
    <x v="5"/>
    <n v="26"/>
    <n v="28"/>
    <x v="0"/>
    <x v="0"/>
    <s v="payday"/>
    <n v="3553500000"/>
  </r>
  <r>
    <x v="179"/>
    <x v="0"/>
    <x v="5"/>
    <n v="26"/>
    <n v="28"/>
    <x v="5"/>
    <x v="5"/>
    <s v="overdraft"/>
    <n v="2880060638"/>
  </r>
  <r>
    <x v="179"/>
    <x v="0"/>
    <x v="5"/>
    <n v="26"/>
    <n v="28"/>
    <x v="3"/>
    <x v="3"/>
    <s v="cashloan"/>
    <n v="70350000"/>
  </r>
  <r>
    <x v="179"/>
    <x v="0"/>
    <x v="5"/>
    <n v="26"/>
    <n v="28"/>
    <x v="4"/>
    <x v="4"/>
    <n v="0"/>
    <n v="20077454021"/>
  </r>
  <r>
    <x v="179"/>
    <x v="0"/>
    <x v="5"/>
    <n v="26"/>
    <n v="28"/>
    <x v="12"/>
    <x v="11"/>
    <s v="cashloan"/>
    <n v="6924780000"/>
  </r>
  <r>
    <x v="179"/>
    <x v="0"/>
    <x v="5"/>
    <n v="26"/>
    <n v="28"/>
    <x v="2"/>
    <x v="2"/>
    <s v="cashloan"/>
    <n v="5110270000"/>
  </r>
  <r>
    <x v="179"/>
    <x v="0"/>
    <x v="5"/>
    <n v="26"/>
    <n v="28"/>
    <x v="10"/>
    <x v="9"/>
    <s v="cashloan"/>
    <n v="59920000"/>
  </r>
  <r>
    <x v="179"/>
    <x v="0"/>
    <x v="5"/>
    <n v="26"/>
    <n v="28"/>
    <x v="9"/>
    <x v="9"/>
    <s v="cashloan"/>
    <n v="26750000"/>
  </r>
  <r>
    <x v="179"/>
    <x v="0"/>
    <x v="5"/>
    <n v="26"/>
    <n v="28"/>
    <x v="6"/>
    <x v="6"/>
    <s v="payday"/>
    <n v="36000000"/>
  </r>
  <r>
    <x v="179"/>
    <x v="0"/>
    <x v="5"/>
    <n v="26"/>
    <n v="28"/>
    <x v="7"/>
    <x v="7"/>
    <s v="paylater"/>
    <n v="77421353"/>
  </r>
  <r>
    <x v="179"/>
    <x v="0"/>
    <x v="5"/>
    <n v="26"/>
    <n v="28"/>
    <x v="11"/>
    <x v="10"/>
    <s v="paylater"/>
    <n v="9192030"/>
  </r>
  <r>
    <x v="179"/>
    <x v="0"/>
    <x v="5"/>
    <n v="26"/>
    <n v="28"/>
    <x v="8"/>
    <x v="8"/>
    <s v="cashloan"/>
    <n v="1287210000"/>
  </r>
  <r>
    <x v="180"/>
    <x v="0"/>
    <x v="5"/>
    <n v="26"/>
    <n v="29"/>
    <x v="8"/>
    <x v="8"/>
    <s v="cashloan"/>
    <n v="1200860000"/>
  </r>
  <r>
    <x v="180"/>
    <x v="0"/>
    <x v="5"/>
    <n v="26"/>
    <n v="29"/>
    <x v="7"/>
    <x v="7"/>
    <s v="paylater"/>
    <n v="77570376"/>
  </r>
  <r>
    <x v="180"/>
    <x v="0"/>
    <x v="5"/>
    <n v="26"/>
    <n v="29"/>
    <x v="2"/>
    <x v="2"/>
    <s v="cashloan"/>
    <n v="5075100000"/>
  </r>
  <r>
    <x v="180"/>
    <x v="0"/>
    <x v="5"/>
    <n v="26"/>
    <n v="29"/>
    <x v="0"/>
    <x v="0"/>
    <s v="payday"/>
    <n v="3177000000"/>
  </r>
  <r>
    <x v="180"/>
    <x v="0"/>
    <x v="5"/>
    <n v="26"/>
    <n v="29"/>
    <x v="4"/>
    <x v="4"/>
    <n v="0"/>
    <n v="20176928459"/>
  </r>
  <r>
    <x v="180"/>
    <x v="0"/>
    <x v="5"/>
    <n v="26"/>
    <n v="29"/>
    <x v="5"/>
    <x v="5"/>
    <s v="overdraft"/>
    <n v="2806112903"/>
  </r>
  <r>
    <x v="180"/>
    <x v="0"/>
    <x v="5"/>
    <n v="26"/>
    <n v="29"/>
    <x v="10"/>
    <x v="9"/>
    <s v="cashloan"/>
    <n v="122350000"/>
  </r>
  <r>
    <x v="180"/>
    <x v="0"/>
    <x v="5"/>
    <n v="26"/>
    <n v="29"/>
    <x v="9"/>
    <x v="9"/>
    <s v="cashloan"/>
    <n v="0"/>
  </r>
  <r>
    <x v="180"/>
    <x v="0"/>
    <x v="5"/>
    <n v="26"/>
    <n v="29"/>
    <x v="12"/>
    <x v="11"/>
    <s v="cashloan"/>
    <n v="7235250000"/>
  </r>
  <r>
    <x v="180"/>
    <x v="0"/>
    <x v="5"/>
    <n v="26"/>
    <n v="29"/>
    <x v="11"/>
    <x v="10"/>
    <s v="paylater"/>
    <n v="10135180"/>
  </r>
  <r>
    <x v="180"/>
    <x v="0"/>
    <x v="5"/>
    <n v="26"/>
    <n v="29"/>
    <x v="1"/>
    <x v="1"/>
    <s v="cashloan"/>
    <n v="53750000"/>
  </r>
  <r>
    <x v="180"/>
    <x v="0"/>
    <x v="5"/>
    <n v="26"/>
    <n v="29"/>
    <x v="6"/>
    <x v="6"/>
    <s v="payday"/>
    <n v="56000000"/>
  </r>
  <r>
    <x v="180"/>
    <x v="0"/>
    <x v="5"/>
    <n v="26"/>
    <n v="29"/>
    <x v="3"/>
    <x v="3"/>
    <s v="cashloan"/>
    <n v="362800000"/>
  </r>
  <r>
    <x v="181"/>
    <x v="0"/>
    <x v="5"/>
    <n v="26"/>
    <n v="30"/>
    <x v="9"/>
    <x v="9"/>
    <s v="cashloan"/>
    <n v="0"/>
  </r>
  <r>
    <x v="181"/>
    <x v="0"/>
    <x v="5"/>
    <n v="26"/>
    <n v="30"/>
    <x v="11"/>
    <x v="10"/>
    <s v="paylater"/>
    <n v="8357120"/>
  </r>
  <r>
    <x v="181"/>
    <x v="0"/>
    <x v="5"/>
    <n v="26"/>
    <n v="30"/>
    <x v="6"/>
    <x v="6"/>
    <s v="payday"/>
    <n v="51000000"/>
  </r>
  <r>
    <x v="181"/>
    <x v="0"/>
    <x v="5"/>
    <n v="26"/>
    <n v="30"/>
    <x v="10"/>
    <x v="9"/>
    <s v="cashloan"/>
    <n v="51380000"/>
  </r>
  <r>
    <x v="181"/>
    <x v="0"/>
    <x v="5"/>
    <n v="26"/>
    <n v="30"/>
    <x v="8"/>
    <x v="8"/>
    <s v="cashloan"/>
    <n v="230050000"/>
  </r>
  <r>
    <x v="181"/>
    <x v="0"/>
    <x v="5"/>
    <n v="26"/>
    <n v="30"/>
    <x v="12"/>
    <x v="11"/>
    <s v="cashloan"/>
    <n v="5564780000"/>
  </r>
  <r>
    <x v="181"/>
    <x v="0"/>
    <x v="5"/>
    <n v="26"/>
    <n v="30"/>
    <x v="7"/>
    <x v="7"/>
    <s v="paylater"/>
    <n v="71272041"/>
  </r>
  <r>
    <x v="181"/>
    <x v="0"/>
    <x v="5"/>
    <n v="26"/>
    <n v="30"/>
    <x v="0"/>
    <x v="0"/>
    <s v="payday"/>
    <n v="2939500000"/>
  </r>
  <r>
    <x v="181"/>
    <x v="0"/>
    <x v="5"/>
    <n v="26"/>
    <n v="30"/>
    <x v="3"/>
    <x v="3"/>
    <s v="cashloan"/>
    <n v="450500000"/>
  </r>
  <r>
    <x v="181"/>
    <x v="0"/>
    <x v="5"/>
    <n v="26"/>
    <n v="30"/>
    <x v="1"/>
    <x v="1"/>
    <s v="cashloan"/>
    <n v="10500000"/>
  </r>
  <r>
    <x v="181"/>
    <x v="0"/>
    <x v="5"/>
    <n v="26"/>
    <n v="30"/>
    <x v="2"/>
    <x v="2"/>
    <s v="cashloan"/>
    <n v="4497960000"/>
  </r>
  <r>
    <x v="181"/>
    <x v="0"/>
    <x v="5"/>
    <n v="26"/>
    <n v="30"/>
    <x v="5"/>
    <x v="5"/>
    <s v="overdraft"/>
    <n v="2433875179"/>
  </r>
  <r>
    <x v="181"/>
    <x v="0"/>
    <x v="5"/>
    <n v="26"/>
    <n v="30"/>
    <x v="4"/>
    <x v="4"/>
    <n v="0"/>
    <n v="16309174340"/>
  </r>
  <r>
    <x v="182"/>
    <x v="0"/>
    <x v="6"/>
    <n v="27"/>
    <n v="1"/>
    <x v="10"/>
    <x v="9"/>
    <s v="cashloan"/>
    <n v="83460000"/>
  </r>
  <r>
    <x v="182"/>
    <x v="0"/>
    <x v="6"/>
    <n v="27"/>
    <n v="1"/>
    <x v="3"/>
    <x v="3"/>
    <s v="cashloan"/>
    <n v="306550000"/>
  </r>
  <r>
    <x v="182"/>
    <x v="0"/>
    <x v="6"/>
    <n v="27"/>
    <n v="1"/>
    <x v="7"/>
    <x v="7"/>
    <s v="paylater"/>
    <n v="76945556"/>
  </r>
  <r>
    <x v="182"/>
    <x v="0"/>
    <x v="6"/>
    <n v="27"/>
    <n v="1"/>
    <x v="0"/>
    <x v="0"/>
    <s v="payday"/>
    <n v="3865000000"/>
  </r>
  <r>
    <x v="182"/>
    <x v="0"/>
    <x v="6"/>
    <n v="27"/>
    <n v="1"/>
    <x v="8"/>
    <x v="8"/>
    <s v="cashloan"/>
    <n v="1288740000"/>
  </r>
  <r>
    <x v="182"/>
    <x v="0"/>
    <x v="6"/>
    <n v="27"/>
    <n v="1"/>
    <x v="2"/>
    <x v="2"/>
    <s v="cashloan"/>
    <n v="6181640000"/>
  </r>
  <r>
    <x v="182"/>
    <x v="0"/>
    <x v="6"/>
    <n v="27"/>
    <n v="1"/>
    <x v="1"/>
    <x v="1"/>
    <s v="cashloan"/>
    <n v="42000000"/>
  </r>
  <r>
    <x v="182"/>
    <x v="0"/>
    <x v="6"/>
    <n v="27"/>
    <n v="1"/>
    <x v="9"/>
    <x v="9"/>
    <s v="cashloan"/>
    <n v="16050000"/>
  </r>
  <r>
    <x v="182"/>
    <x v="0"/>
    <x v="6"/>
    <n v="27"/>
    <n v="1"/>
    <x v="6"/>
    <x v="6"/>
    <s v="payday"/>
    <n v="52000000"/>
  </r>
  <r>
    <x v="182"/>
    <x v="0"/>
    <x v="6"/>
    <n v="27"/>
    <n v="1"/>
    <x v="12"/>
    <x v="11"/>
    <s v="cashloan"/>
    <n v="7348430000"/>
  </r>
  <r>
    <x v="182"/>
    <x v="0"/>
    <x v="6"/>
    <n v="27"/>
    <n v="1"/>
    <x v="5"/>
    <x v="5"/>
    <s v="overdraft"/>
    <n v="4081557292"/>
  </r>
  <r>
    <x v="182"/>
    <x v="0"/>
    <x v="6"/>
    <n v="27"/>
    <n v="1"/>
    <x v="11"/>
    <x v="10"/>
    <s v="paylater"/>
    <n v="8938625"/>
  </r>
  <r>
    <x v="183"/>
    <x v="0"/>
    <x v="6"/>
    <n v="27"/>
    <n v="2"/>
    <x v="8"/>
    <x v="8"/>
    <s v="cashloan"/>
    <n v="1501210000"/>
  </r>
  <r>
    <x v="183"/>
    <x v="0"/>
    <x v="6"/>
    <n v="27"/>
    <n v="2"/>
    <x v="6"/>
    <x v="6"/>
    <s v="payday"/>
    <n v="32000000"/>
  </r>
  <r>
    <x v="183"/>
    <x v="0"/>
    <x v="6"/>
    <n v="27"/>
    <n v="2"/>
    <x v="0"/>
    <x v="0"/>
    <s v="payday"/>
    <n v="3601000000"/>
  </r>
  <r>
    <x v="183"/>
    <x v="0"/>
    <x v="6"/>
    <n v="27"/>
    <n v="2"/>
    <x v="1"/>
    <x v="1"/>
    <s v="cashloan"/>
    <n v="26250000"/>
  </r>
  <r>
    <x v="183"/>
    <x v="0"/>
    <x v="6"/>
    <n v="27"/>
    <n v="2"/>
    <x v="9"/>
    <x v="9"/>
    <s v="cashloan"/>
    <n v="15000000"/>
  </r>
  <r>
    <x v="183"/>
    <x v="0"/>
    <x v="6"/>
    <n v="27"/>
    <n v="2"/>
    <x v="5"/>
    <x v="5"/>
    <s v="overdraft"/>
    <n v="3728980619"/>
  </r>
  <r>
    <x v="183"/>
    <x v="0"/>
    <x v="6"/>
    <n v="27"/>
    <n v="2"/>
    <x v="10"/>
    <x v="9"/>
    <s v="cashloan"/>
    <n v="94530000"/>
  </r>
  <r>
    <x v="183"/>
    <x v="0"/>
    <x v="6"/>
    <n v="27"/>
    <n v="2"/>
    <x v="12"/>
    <x v="11"/>
    <s v="cashloan"/>
    <n v="4968960000"/>
  </r>
  <r>
    <x v="183"/>
    <x v="0"/>
    <x v="6"/>
    <n v="27"/>
    <n v="2"/>
    <x v="7"/>
    <x v="7"/>
    <s v="paylater"/>
    <n v="113264546"/>
  </r>
  <r>
    <x v="183"/>
    <x v="0"/>
    <x v="6"/>
    <n v="27"/>
    <n v="2"/>
    <x v="2"/>
    <x v="2"/>
    <s v="cashloan"/>
    <n v="5351920000"/>
  </r>
  <r>
    <x v="183"/>
    <x v="0"/>
    <x v="6"/>
    <n v="27"/>
    <n v="2"/>
    <x v="11"/>
    <x v="10"/>
    <s v="paylater"/>
    <n v="12410620"/>
  </r>
  <r>
    <x v="183"/>
    <x v="0"/>
    <x v="6"/>
    <n v="27"/>
    <n v="2"/>
    <x v="3"/>
    <x v="3"/>
    <s v="cashloan"/>
    <n v="201600000"/>
  </r>
  <r>
    <x v="184"/>
    <x v="0"/>
    <x v="6"/>
    <n v="27"/>
    <n v="3"/>
    <x v="6"/>
    <x v="6"/>
    <s v="payday"/>
    <n v="29000000"/>
  </r>
  <r>
    <x v="184"/>
    <x v="0"/>
    <x v="6"/>
    <n v="27"/>
    <n v="3"/>
    <x v="0"/>
    <x v="0"/>
    <s v="payday"/>
    <n v="3844500000"/>
  </r>
  <r>
    <x v="184"/>
    <x v="0"/>
    <x v="6"/>
    <n v="27"/>
    <n v="3"/>
    <x v="1"/>
    <x v="1"/>
    <s v="cashloan"/>
    <n v="10500000"/>
  </r>
  <r>
    <x v="184"/>
    <x v="0"/>
    <x v="6"/>
    <n v="27"/>
    <n v="3"/>
    <x v="9"/>
    <x v="9"/>
    <s v="cashloan"/>
    <n v="0"/>
  </r>
  <r>
    <x v="184"/>
    <x v="0"/>
    <x v="6"/>
    <n v="27"/>
    <n v="3"/>
    <x v="2"/>
    <x v="2"/>
    <s v="cashloan"/>
    <n v="2285220000"/>
  </r>
  <r>
    <x v="184"/>
    <x v="0"/>
    <x v="6"/>
    <n v="27"/>
    <n v="3"/>
    <x v="11"/>
    <x v="10"/>
    <s v="paylater"/>
    <n v="8190450"/>
  </r>
  <r>
    <x v="184"/>
    <x v="0"/>
    <x v="6"/>
    <n v="27"/>
    <n v="3"/>
    <x v="12"/>
    <x v="11"/>
    <s v="cashloan"/>
    <n v="5393440000"/>
  </r>
  <r>
    <x v="184"/>
    <x v="0"/>
    <x v="6"/>
    <n v="27"/>
    <n v="3"/>
    <x v="8"/>
    <x v="8"/>
    <s v="cashloan"/>
    <n v="1134360000"/>
  </r>
  <r>
    <x v="184"/>
    <x v="0"/>
    <x v="6"/>
    <n v="27"/>
    <n v="3"/>
    <x v="10"/>
    <x v="9"/>
    <s v="cashloan"/>
    <n v="59220000"/>
  </r>
  <r>
    <x v="184"/>
    <x v="0"/>
    <x v="6"/>
    <n v="27"/>
    <n v="3"/>
    <x v="7"/>
    <x v="7"/>
    <s v="paylater"/>
    <n v="131385786"/>
  </r>
  <r>
    <x v="184"/>
    <x v="0"/>
    <x v="6"/>
    <n v="27"/>
    <n v="3"/>
    <x v="3"/>
    <x v="3"/>
    <s v="cashloan"/>
    <n v="201000000"/>
  </r>
  <r>
    <x v="184"/>
    <x v="0"/>
    <x v="6"/>
    <n v="27"/>
    <n v="3"/>
    <x v="5"/>
    <x v="5"/>
    <s v="overdraft"/>
    <n v="3331904356"/>
  </r>
  <r>
    <x v="185"/>
    <x v="0"/>
    <x v="6"/>
    <n v="27"/>
    <n v="4"/>
    <x v="12"/>
    <x v="11"/>
    <s v="cashloan"/>
    <n v="4805640000"/>
  </r>
  <r>
    <x v="185"/>
    <x v="0"/>
    <x v="6"/>
    <n v="27"/>
    <n v="4"/>
    <x v="2"/>
    <x v="2"/>
    <s v="cashloan"/>
    <n v="3353640000"/>
  </r>
  <r>
    <x v="185"/>
    <x v="0"/>
    <x v="6"/>
    <n v="27"/>
    <n v="4"/>
    <x v="0"/>
    <x v="0"/>
    <s v="payday"/>
    <n v="3243000000"/>
  </r>
  <r>
    <x v="185"/>
    <x v="0"/>
    <x v="6"/>
    <n v="27"/>
    <n v="4"/>
    <x v="1"/>
    <x v="1"/>
    <s v="cashloan"/>
    <n v="71400000"/>
  </r>
  <r>
    <x v="185"/>
    <x v="0"/>
    <x v="6"/>
    <n v="27"/>
    <n v="4"/>
    <x v="5"/>
    <x v="5"/>
    <s v="overdraft"/>
    <n v="3117791512"/>
  </r>
  <r>
    <x v="185"/>
    <x v="0"/>
    <x v="6"/>
    <n v="27"/>
    <n v="4"/>
    <x v="3"/>
    <x v="3"/>
    <s v="cashloan"/>
    <n v="228400000"/>
  </r>
  <r>
    <x v="185"/>
    <x v="0"/>
    <x v="6"/>
    <n v="27"/>
    <n v="4"/>
    <x v="9"/>
    <x v="9"/>
    <s v="cashloan"/>
    <n v="17120000"/>
  </r>
  <r>
    <x v="185"/>
    <x v="0"/>
    <x v="6"/>
    <n v="27"/>
    <n v="4"/>
    <x v="11"/>
    <x v="10"/>
    <s v="paylater"/>
    <n v="9847370"/>
  </r>
  <r>
    <x v="185"/>
    <x v="0"/>
    <x v="6"/>
    <n v="27"/>
    <n v="4"/>
    <x v="8"/>
    <x v="8"/>
    <s v="cashloan"/>
    <n v="584220000"/>
  </r>
  <r>
    <x v="185"/>
    <x v="0"/>
    <x v="6"/>
    <n v="27"/>
    <n v="4"/>
    <x v="6"/>
    <x v="6"/>
    <s v="payday"/>
    <n v="25000000"/>
  </r>
  <r>
    <x v="185"/>
    <x v="0"/>
    <x v="6"/>
    <n v="27"/>
    <n v="4"/>
    <x v="7"/>
    <x v="7"/>
    <s v="paylater"/>
    <n v="154844263"/>
  </r>
  <r>
    <x v="185"/>
    <x v="0"/>
    <x v="6"/>
    <n v="27"/>
    <n v="4"/>
    <x v="10"/>
    <x v="9"/>
    <s v="cashloan"/>
    <n v="56660000"/>
  </r>
  <r>
    <x v="186"/>
    <x v="0"/>
    <x v="6"/>
    <n v="27"/>
    <n v="5"/>
    <x v="5"/>
    <x v="5"/>
    <s v="overdraft"/>
    <n v="3788810482"/>
  </r>
  <r>
    <x v="186"/>
    <x v="0"/>
    <x v="6"/>
    <n v="27"/>
    <n v="5"/>
    <x v="3"/>
    <x v="3"/>
    <s v="cashloan"/>
    <n v="173250000"/>
  </r>
  <r>
    <x v="186"/>
    <x v="0"/>
    <x v="6"/>
    <n v="27"/>
    <n v="5"/>
    <x v="10"/>
    <x v="9"/>
    <s v="cashloan"/>
    <n v="96950000"/>
  </r>
  <r>
    <x v="186"/>
    <x v="0"/>
    <x v="6"/>
    <n v="27"/>
    <n v="5"/>
    <x v="1"/>
    <x v="1"/>
    <s v="cashloan"/>
    <n v="42000000"/>
  </r>
  <r>
    <x v="186"/>
    <x v="0"/>
    <x v="6"/>
    <n v="27"/>
    <n v="5"/>
    <x v="12"/>
    <x v="11"/>
    <s v="cashloan"/>
    <n v="5769270000"/>
  </r>
  <r>
    <x v="186"/>
    <x v="0"/>
    <x v="6"/>
    <n v="27"/>
    <n v="5"/>
    <x v="6"/>
    <x v="6"/>
    <s v="payday"/>
    <n v="27000000"/>
  </r>
  <r>
    <x v="186"/>
    <x v="0"/>
    <x v="6"/>
    <n v="27"/>
    <n v="5"/>
    <x v="2"/>
    <x v="2"/>
    <s v="cashloan"/>
    <n v="7723180000"/>
  </r>
  <r>
    <x v="186"/>
    <x v="0"/>
    <x v="6"/>
    <n v="27"/>
    <n v="5"/>
    <x v="11"/>
    <x v="10"/>
    <s v="paylater"/>
    <n v="11874890"/>
  </r>
  <r>
    <x v="186"/>
    <x v="0"/>
    <x v="6"/>
    <n v="27"/>
    <n v="5"/>
    <x v="8"/>
    <x v="8"/>
    <s v="cashloan"/>
    <n v="1555780000"/>
  </r>
  <r>
    <x v="186"/>
    <x v="0"/>
    <x v="6"/>
    <n v="27"/>
    <n v="5"/>
    <x v="7"/>
    <x v="7"/>
    <s v="paylater"/>
    <n v="195000265"/>
  </r>
  <r>
    <x v="186"/>
    <x v="0"/>
    <x v="6"/>
    <n v="27"/>
    <n v="5"/>
    <x v="9"/>
    <x v="9"/>
    <s v="cashloan"/>
    <n v="17120000"/>
  </r>
  <r>
    <x v="186"/>
    <x v="0"/>
    <x v="6"/>
    <n v="27"/>
    <n v="5"/>
    <x v="0"/>
    <x v="0"/>
    <s v="payday"/>
    <n v="4600000000"/>
  </r>
  <r>
    <x v="187"/>
    <x v="0"/>
    <x v="6"/>
    <n v="27"/>
    <n v="6"/>
    <x v="0"/>
    <x v="0"/>
    <s v="payday"/>
    <n v="3822500000"/>
  </r>
  <r>
    <x v="187"/>
    <x v="0"/>
    <x v="6"/>
    <n v="27"/>
    <n v="6"/>
    <x v="12"/>
    <x v="11"/>
    <s v="cashloan"/>
    <n v="4380180000"/>
  </r>
  <r>
    <x v="187"/>
    <x v="0"/>
    <x v="6"/>
    <n v="27"/>
    <n v="6"/>
    <x v="5"/>
    <x v="5"/>
    <s v="overdraft"/>
    <n v="2235724225"/>
  </r>
  <r>
    <x v="187"/>
    <x v="0"/>
    <x v="6"/>
    <n v="27"/>
    <n v="6"/>
    <x v="8"/>
    <x v="8"/>
    <s v="cashloan"/>
    <n v="1701670000"/>
  </r>
  <r>
    <x v="187"/>
    <x v="0"/>
    <x v="6"/>
    <n v="27"/>
    <n v="6"/>
    <x v="3"/>
    <x v="3"/>
    <s v="cashloan"/>
    <n v="109200000"/>
  </r>
  <r>
    <x v="187"/>
    <x v="0"/>
    <x v="6"/>
    <n v="27"/>
    <n v="6"/>
    <x v="7"/>
    <x v="7"/>
    <s v="paylater"/>
    <n v="159139090"/>
  </r>
  <r>
    <x v="187"/>
    <x v="0"/>
    <x v="6"/>
    <n v="27"/>
    <n v="6"/>
    <x v="10"/>
    <x v="9"/>
    <s v="cashloan"/>
    <n v="49220000"/>
  </r>
  <r>
    <x v="187"/>
    <x v="0"/>
    <x v="6"/>
    <n v="27"/>
    <n v="6"/>
    <x v="1"/>
    <x v="1"/>
    <s v="cashloan"/>
    <n v="33600000"/>
  </r>
  <r>
    <x v="187"/>
    <x v="0"/>
    <x v="6"/>
    <n v="27"/>
    <n v="6"/>
    <x v="2"/>
    <x v="2"/>
    <s v="cashloan"/>
    <n v="6972950000"/>
  </r>
  <r>
    <x v="187"/>
    <x v="0"/>
    <x v="6"/>
    <n v="27"/>
    <n v="6"/>
    <x v="6"/>
    <x v="6"/>
    <s v="payday"/>
    <n v="51000000"/>
  </r>
  <r>
    <x v="187"/>
    <x v="0"/>
    <x v="6"/>
    <n v="27"/>
    <n v="6"/>
    <x v="9"/>
    <x v="9"/>
    <s v="cashloan"/>
    <n v="0"/>
  </r>
  <r>
    <x v="187"/>
    <x v="0"/>
    <x v="6"/>
    <n v="27"/>
    <n v="6"/>
    <x v="11"/>
    <x v="10"/>
    <s v="paylater"/>
    <n v="9143900"/>
  </r>
  <r>
    <x v="188"/>
    <x v="0"/>
    <x v="6"/>
    <n v="27"/>
    <n v="7"/>
    <x v="10"/>
    <x v="9"/>
    <s v="cashloan"/>
    <n v="76270000"/>
  </r>
  <r>
    <x v="188"/>
    <x v="0"/>
    <x v="6"/>
    <n v="27"/>
    <n v="7"/>
    <x v="1"/>
    <x v="1"/>
    <s v="cashloan"/>
    <n v="42000000"/>
  </r>
  <r>
    <x v="188"/>
    <x v="0"/>
    <x v="6"/>
    <n v="27"/>
    <n v="7"/>
    <x v="12"/>
    <x v="11"/>
    <s v="cashloan"/>
    <n v="3717210000"/>
  </r>
  <r>
    <x v="188"/>
    <x v="0"/>
    <x v="6"/>
    <n v="27"/>
    <n v="7"/>
    <x v="9"/>
    <x v="9"/>
    <s v="cashloan"/>
    <n v="0"/>
  </r>
  <r>
    <x v="188"/>
    <x v="0"/>
    <x v="6"/>
    <n v="27"/>
    <n v="7"/>
    <x v="3"/>
    <x v="3"/>
    <s v="cashloan"/>
    <n v="176850000"/>
  </r>
  <r>
    <x v="188"/>
    <x v="0"/>
    <x v="6"/>
    <n v="27"/>
    <n v="7"/>
    <x v="11"/>
    <x v="10"/>
    <s v="paylater"/>
    <n v="10519900"/>
  </r>
  <r>
    <x v="188"/>
    <x v="0"/>
    <x v="6"/>
    <n v="27"/>
    <n v="7"/>
    <x v="2"/>
    <x v="2"/>
    <s v="cashloan"/>
    <n v="6081390000"/>
  </r>
  <r>
    <x v="188"/>
    <x v="0"/>
    <x v="6"/>
    <n v="27"/>
    <n v="7"/>
    <x v="0"/>
    <x v="0"/>
    <s v="payday"/>
    <n v="3382000000"/>
  </r>
  <r>
    <x v="188"/>
    <x v="0"/>
    <x v="6"/>
    <n v="27"/>
    <n v="7"/>
    <x v="5"/>
    <x v="5"/>
    <s v="overdraft"/>
    <n v="2077816418"/>
  </r>
  <r>
    <x v="188"/>
    <x v="0"/>
    <x v="6"/>
    <n v="27"/>
    <n v="7"/>
    <x v="7"/>
    <x v="7"/>
    <s v="paylater"/>
    <n v="134465072"/>
  </r>
  <r>
    <x v="188"/>
    <x v="0"/>
    <x v="6"/>
    <n v="27"/>
    <n v="7"/>
    <x v="6"/>
    <x v="6"/>
    <s v="payday"/>
    <n v="62000000"/>
  </r>
  <r>
    <x v="188"/>
    <x v="0"/>
    <x v="6"/>
    <n v="27"/>
    <n v="7"/>
    <x v="8"/>
    <x v="8"/>
    <s v="cashloan"/>
    <n v="289970000"/>
  </r>
  <r>
    <x v="189"/>
    <x v="0"/>
    <x v="6"/>
    <n v="28"/>
    <n v="8"/>
    <x v="8"/>
    <x v="8"/>
    <s v="cashloan"/>
    <n v="1762520000"/>
  </r>
  <r>
    <x v="189"/>
    <x v="0"/>
    <x v="6"/>
    <n v="28"/>
    <n v="8"/>
    <x v="0"/>
    <x v="0"/>
    <s v="payday"/>
    <n v="3926500000"/>
  </r>
  <r>
    <x v="189"/>
    <x v="0"/>
    <x v="6"/>
    <n v="28"/>
    <n v="8"/>
    <x v="11"/>
    <x v="10"/>
    <s v="paylater"/>
    <n v="10015750"/>
  </r>
  <r>
    <x v="189"/>
    <x v="0"/>
    <x v="6"/>
    <n v="28"/>
    <n v="8"/>
    <x v="1"/>
    <x v="1"/>
    <s v="cashloan"/>
    <n v="51500000"/>
  </r>
  <r>
    <x v="189"/>
    <x v="0"/>
    <x v="6"/>
    <n v="28"/>
    <n v="8"/>
    <x v="6"/>
    <x v="6"/>
    <s v="payday"/>
    <n v="23000000"/>
  </r>
  <r>
    <x v="189"/>
    <x v="0"/>
    <x v="6"/>
    <n v="28"/>
    <n v="8"/>
    <x v="2"/>
    <x v="2"/>
    <s v="cashloan"/>
    <n v="4945610000"/>
  </r>
  <r>
    <x v="189"/>
    <x v="0"/>
    <x v="6"/>
    <n v="28"/>
    <n v="8"/>
    <x v="12"/>
    <x v="11"/>
    <s v="cashloan"/>
    <n v="3903700000"/>
  </r>
  <r>
    <x v="189"/>
    <x v="0"/>
    <x v="6"/>
    <n v="28"/>
    <n v="8"/>
    <x v="3"/>
    <x v="3"/>
    <s v="cashloan"/>
    <n v="187800000"/>
  </r>
  <r>
    <x v="189"/>
    <x v="0"/>
    <x v="6"/>
    <n v="28"/>
    <n v="8"/>
    <x v="9"/>
    <x v="9"/>
    <s v="cashloan"/>
    <n v="0"/>
  </r>
  <r>
    <x v="189"/>
    <x v="0"/>
    <x v="6"/>
    <n v="28"/>
    <n v="8"/>
    <x v="5"/>
    <x v="5"/>
    <s v="overdraft"/>
    <n v="2818127396"/>
  </r>
  <r>
    <x v="189"/>
    <x v="0"/>
    <x v="6"/>
    <n v="28"/>
    <n v="8"/>
    <x v="10"/>
    <x v="9"/>
    <s v="cashloan"/>
    <n v="85780000"/>
  </r>
  <r>
    <x v="189"/>
    <x v="0"/>
    <x v="6"/>
    <n v="28"/>
    <n v="8"/>
    <x v="7"/>
    <x v="7"/>
    <s v="paylater"/>
    <n v="143221238"/>
  </r>
  <r>
    <x v="190"/>
    <x v="0"/>
    <x v="6"/>
    <n v="28"/>
    <n v="9"/>
    <x v="11"/>
    <x v="10"/>
    <s v="paylater"/>
    <n v="12674650"/>
  </r>
  <r>
    <x v="190"/>
    <x v="0"/>
    <x v="6"/>
    <n v="28"/>
    <n v="9"/>
    <x v="10"/>
    <x v="9"/>
    <s v="cashloan"/>
    <n v="67080000"/>
  </r>
  <r>
    <x v="190"/>
    <x v="0"/>
    <x v="6"/>
    <n v="28"/>
    <n v="9"/>
    <x v="1"/>
    <x v="1"/>
    <s v="cashloan"/>
    <n v="10500000"/>
  </r>
  <r>
    <x v="190"/>
    <x v="0"/>
    <x v="6"/>
    <n v="28"/>
    <n v="9"/>
    <x v="3"/>
    <x v="3"/>
    <s v="cashloan"/>
    <n v="207950000"/>
  </r>
  <r>
    <x v="190"/>
    <x v="0"/>
    <x v="6"/>
    <n v="28"/>
    <n v="9"/>
    <x v="12"/>
    <x v="11"/>
    <s v="cashloan"/>
    <n v="3888090000"/>
  </r>
  <r>
    <x v="190"/>
    <x v="0"/>
    <x v="6"/>
    <n v="28"/>
    <n v="9"/>
    <x v="8"/>
    <x v="8"/>
    <s v="cashloan"/>
    <n v="1590360000"/>
  </r>
  <r>
    <x v="190"/>
    <x v="0"/>
    <x v="6"/>
    <n v="28"/>
    <n v="9"/>
    <x v="7"/>
    <x v="7"/>
    <s v="paylater"/>
    <n v="181957213"/>
  </r>
  <r>
    <x v="190"/>
    <x v="0"/>
    <x v="6"/>
    <n v="28"/>
    <n v="9"/>
    <x v="5"/>
    <x v="5"/>
    <s v="overdraft"/>
    <n v="2569048590"/>
  </r>
  <r>
    <x v="190"/>
    <x v="0"/>
    <x v="6"/>
    <n v="28"/>
    <n v="9"/>
    <x v="2"/>
    <x v="2"/>
    <s v="cashloan"/>
    <n v="6477740000"/>
  </r>
  <r>
    <x v="190"/>
    <x v="0"/>
    <x v="6"/>
    <n v="28"/>
    <n v="9"/>
    <x v="0"/>
    <x v="0"/>
    <s v="payday"/>
    <n v="3698000000"/>
  </r>
  <r>
    <x v="190"/>
    <x v="0"/>
    <x v="6"/>
    <n v="28"/>
    <n v="9"/>
    <x v="9"/>
    <x v="9"/>
    <s v="cashloan"/>
    <n v="23120000"/>
  </r>
  <r>
    <x v="190"/>
    <x v="0"/>
    <x v="6"/>
    <n v="28"/>
    <n v="9"/>
    <x v="6"/>
    <x v="6"/>
    <s v="payday"/>
    <n v="25000000"/>
  </r>
  <r>
    <x v="191"/>
    <x v="0"/>
    <x v="6"/>
    <n v="28"/>
    <n v="10"/>
    <x v="3"/>
    <x v="3"/>
    <s v="cashloan"/>
    <n v="94750000"/>
  </r>
  <r>
    <x v="191"/>
    <x v="0"/>
    <x v="6"/>
    <n v="28"/>
    <n v="10"/>
    <x v="0"/>
    <x v="0"/>
    <s v="payday"/>
    <n v="4407500000"/>
  </r>
  <r>
    <x v="191"/>
    <x v="0"/>
    <x v="6"/>
    <n v="28"/>
    <n v="10"/>
    <x v="12"/>
    <x v="11"/>
    <s v="cashloan"/>
    <n v="4644210000"/>
  </r>
  <r>
    <x v="191"/>
    <x v="0"/>
    <x v="6"/>
    <n v="28"/>
    <n v="10"/>
    <x v="5"/>
    <x v="5"/>
    <s v="overdraft"/>
    <n v="3712357674"/>
  </r>
  <r>
    <x v="191"/>
    <x v="0"/>
    <x v="6"/>
    <n v="28"/>
    <n v="10"/>
    <x v="11"/>
    <x v="10"/>
    <s v="paylater"/>
    <n v="6990570"/>
  </r>
  <r>
    <x v="191"/>
    <x v="0"/>
    <x v="6"/>
    <n v="28"/>
    <n v="10"/>
    <x v="6"/>
    <x v="6"/>
    <s v="payday"/>
    <n v="27000000"/>
  </r>
  <r>
    <x v="191"/>
    <x v="0"/>
    <x v="6"/>
    <n v="28"/>
    <n v="10"/>
    <x v="1"/>
    <x v="1"/>
    <s v="cashloan"/>
    <n v="42000000"/>
  </r>
  <r>
    <x v="191"/>
    <x v="0"/>
    <x v="6"/>
    <n v="28"/>
    <n v="10"/>
    <x v="10"/>
    <x v="9"/>
    <s v="cashloan"/>
    <n v="151140000"/>
  </r>
  <r>
    <x v="191"/>
    <x v="0"/>
    <x v="6"/>
    <n v="28"/>
    <n v="10"/>
    <x v="7"/>
    <x v="7"/>
    <s v="paylater"/>
    <n v="160368653"/>
  </r>
  <r>
    <x v="191"/>
    <x v="0"/>
    <x v="6"/>
    <n v="28"/>
    <n v="10"/>
    <x v="2"/>
    <x v="2"/>
    <s v="cashloan"/>
    <n v="6739510000"/>
  </r>
  <r>
    <x v="191"/>
    <x v="0"/>
    <x v="6"/>
    <n v="28"/>
    <n v="10"/>
    <x v="9"/>
    <x v="9"/>
    <s v="cashloan"/>
    <n v="0"/>
  </r>
  <r>
    <x v="191"/>
    <x v="0"/>
    <x v="6"/>
    <n v="28"/>
    <n v="10"/>
    <x v="8"/>
    <x v="8"/>
    <s v="cashloan"/>
    <n v="1838650000"/>
  </r>
  <r>
    <x v="192"/>
    <x v="0"/>
    <x v="6"/>
    <n v="28"/>
    <n v="11"/>
    <x v="11"/>
    <x v="10"/>
    <s v="paylater"/>
    <n v="9885399"/>
  </r>
  <r>
    <x v="192"/>
    <x v="0"/>
    <x v="6"/>
    <n v="28"/>
    <n v="11"/>
    <x v="8"/>
    <x v="8"/>
    <s v="cashloan"/>
    <n v="2072070000"/>
  </r>
  <r>
    <x v="192"/>
    <x v="0"/>
    <x v="6"/>
    <n v="28"/>
    <n v="11"/>
    <x v="2"/>
    <x v="2"/>
    <s v="cashloan"/>
    <n v="6361160000"/>
  </r>
  <r>
    <x v="192"/>
    <x v="0"/>
    <x v="6"/>
    <n v="28"/>
    <n v="11"/>
    <x v="1"/>
    <x v="1"/>
    <s v="cashloan"/>
    <n v="52500000"/>
  </r>
  <r>
    <x v="192"/>
    <x v="0"/>
    <x v="6"/>
    <n v="28"/>
    <n v="11"/>
    <x v="0"/>
    <x v="0"/>
    <s v="payday"/>
    <n v="3808500000"/>
  </r>
  <r>
    <x v="192"/>
    <x v="0"/>
    <x v="6"/>
    <n v="28"/>
    <n v="11"/>
    <x v="7"/>
    <x v="7"/>
    <s v="paylater"/>
    <n v="148792777"/>
  </r>
  <r>
    <x v="192"/>
    <x v="0"/>
    <x v="6"/>
    <n v="28"/>
    <n v="11"/>
    <x v="3"/>
    <x v="3"/>
    <s v="cashloan"/>
    <n v="98700000"/>
  </r>
  <r>
    <x v="192"/>
    <x v="0"/>
    <x v="6"/>
    <n v="28"/>
    <n v="11"/>
    <x v="9"/>
    <x v="9"/>
    <s v="cashloan"/>
    <n v="0"/>
  </r>
  <r>
    <x v="192"/>
    <x v="0"/>
    <x v="6"/>
    <n v="28"/>
    <n v="11"/>
    <x v="6"/>
    <x v="6"/>
    <s v="payday"/>
    <n v="61000000"/>
  </r>
  <r>
    <x v="192"/>
    <x v="0"/>
    <x v="6"/>
    <n v="28"/>
    <n v="11"/>
    <x v="12"/>
    <x v="11"/>
    <s v="cashloan"/>
    <n v="4426290000"/>
  </r>
  <r>
    <x v="192"/>
    <x v="0"/>
    <x v="6"/>
    <n v="28"/>
    <n v="11"/>
    <x v="5"/>
    <x v="5"/>
    <s v="overdraft"/>
    <n v="2610710868"/>
  </r>
  <r>
    <x v="192"/>
    <x v="0"/>
    <x v="6"/>
    <n v="28"/>
    <n v="11"/>
    <x v="10"/>
    <x v="9"/>
    <s v="cashloan"/>
    <n v="38520000"/>
  </r>
  <r>
    <x v="193"/>
    <x v="0"/>
    <x v="6"/>
    <n v="28"/>
    <n v="12"/>
    <x v="3"/>
    <x v="3"/>
    <s v="cashloan"/>
    <n v="109200000"/>
  </r>
  <r>
    <x v="193"/>
    <x v="0"/>
    <x v="6"/>
    <n v="28"/>
    <n v="12"/>
    <x v="5"/>
    <x v="5"/>
    <s v="overdraft"/>
    <n v="2468306245"/>
  </r>
  <r>
    <x v="193"/>
    <x v="0"/>
    <x v="6"/>
    <n v="28"/>
    <n v="12"/>
    <x v="7"/>
    <x v="7"/>
    <s v="paylater"/>
    <n v="144724081"/>
  </r>
  <r>
    <x v="193"/>
    <x v="0"/>
    <x v="6"/>
    <n v="28"/>
    <n v="12"/>
    <x v="6"/>
    <x v="6"/>
    <s v="payday"/>
    <n v="53000000"/>
  </r>
  <r>
    <x v="193"/>
    <x v="0"/>
    <x v="6"/>
    <n v="28"/>
    <n v="12"/>
    <x v="12"/>
    <x v="11"/>
    <s v="cashloan"/>
    <n v="4436950000"/>
  </r>
  <r>
    <x v="193"/>
    <x v="0"/>
    <x v="6"/>
    <n v="28"/>
    <n v="12"/>
    <x v="10"/>
    <x v="9"/>
    <s v="cashloan"/>
    <n v="47450000"/>
  </r>
  <r>
    <x v="193"/>
    <x v="0"/>
    <x v="6"/>
    <n v="28"/>
    <n v="12"/>
    <x v="1"/>
    <x v="1"/>
    <s v="cashloan"/>
    <n v="52500000"/>
  </r>
  <r>
    <x v="193"/>
    <x v="0"/>
    <x v="6"/>
    <n v="28"/>
    <n v="12"/>
    <x v="9"/>
    <x v="9"/>
    <s v="cashloan"/>
    <n v="0"/>
  </r>
  <r>
    <x v="193"/>
    <x v="0"/>
    <x v="6"/>
    <n v="28"/>
    <n v="12"/>
    <x v="0"/>
    <x v="0"/>
    <s v="payday"/>
    <n v="3774000000"/>
  </r>
  <r>
    <x v="193"/>
    <x v="0"/>
    <x v="6"/>
    <n v="28"/>
    <n v="12"/>
    <x v="8"/>
    <x v="8"/>
    <s v="cashloan"/>
    <n v="2133580000"/>
  </r>
  <r>
    <x v="193"/>
    <x v="0"/>
    <x v="6"/>
    <n v="28"/>
    <n v="12"/>
    <x v="2"/>
    <x v="2"/>
    <s v="cashloan"/>
    <n v="5457100000"/>
  </r>
  <r>
    <x v="193"/>
    <x v="0"/>
    <x v="6"/>
    <n v="28"/>
    <n v="12"/>
    <x v="11"/>
    <x v="10"/>
    <s v="paylater"/>
    <n v="7174600"/>
  </r>
  <r>
    <x v="194"/>
    <x v="0"/>
    <x v="6"/>
    <n v="28"/>
    <n v="13"/>
    <x v="0"/>
    <x v="0"/>
    <s v="payday"/>
    <n v="3517000000"/>
  </r>
  <r>
    <x v="194"/>
    <x v="0"/>
    <x v="6"/>
    <n v="28"/>
    <n v="13"/>
    <x v="2"/>
    <x v="2"/>
    <s v="cashloan"/>
    <n v="4494780000"/>
  </r>
  <r>
    <x v="194"/>
    <x v="0"/>
    <x v="6"/>
    <n v="28"/>
    <n v="13"/>
    <x v="8"/>
    <x v="8"/>
    <s v="cashloan"/>
    <n v="1690600000"/>
  </r>
  <r>
    <x v="194"/>
    <x v="0"/>
    <x v="6"/>
    <n v="28"/>
    <n v="13"/>
    <x v="10"/>
    <x v="9"/>
    <s v="cashloan"/>
    <n v="53500000"/>
  </r>
  <r>
    <x v="194"/>
    <x v="0"/>
    <x v="6"/>
    <n v="28"/>
    <n v="13"/>
    <x v="3"/>
    <x v="3"/>
    <s v="cashloan"/>
    <n v="150300000"/>
  </r>
  <r>
    <x v="194"/>
    <x v="0"/>
    <x v="6"/>
    <n v="28"/>
    <n v="13"/>
    <x v="1"/>
    <x v="1"/>
    <s v="cashloan"/>
    <n v="52550000"/>
  </r>
  <r>
    <x v="194"/>
    <x v="0"/>
    <x v="6"/>
    <n v="28"/>
    <n v="13"/>
    <x v="9"/>
    <x v="9"/>
    <s v="cashloan"/>
    <n v="0"/>
  </r>
  <r>
    <x v="194"/>
    <x v="0"/>
    <x v="6"/>
    <n v="28"/>
    <n v="13"/>
    <x v="6"/>
    <x v="6"/>
    <s v="payday"/>
    <n v="31000000"/>
  </r>
  <r>
    <x v="194"/>
    <x v="0"/>
    <x v="6"/>
    <n v="28"/>
    <n v="13"/>
    <x v="12"/>
    <x v="11"/>
    <s v="cashloan"/>
    <n v="3547390000"/>
  </r>
  <r>
    <x v="194"/>
    <x v="0"/>
    <x v="6"/>
    <n v="28"/>
    <n v="13"/>
    <x v="7"/>
    <x v="7"/>
    <s v="paylater"/>
    <n v="139634692"/>
  </r>
  <r>
    <x v="194"/>
    <x v="0"/>
    <x v="6"/>
    <n v="28"/>
    <n v="13"/>
    <x v="5"/>
    <x v="5"/>
    <s v="overdraft"/>
    <n v="1930942692"/>
  </r>
  <r>
    <x v="194"/>
    <x v="0"/>
    <x v="6"/>
    <n v="28"/>
    <n v="13"/>
    <x v="11"/>
    <x v="10"/>
    <s v="paylater"/>
    <n v="9374550"/>
  </r>
  <r>
    <x v="195"/>
    <x v="0"/>
    <x v="6"/>
    <n v="28"/>
    <n v="14"/>
    <x v="7"/>
    <x v="7"/>
    <s v="paylater"/>
    <n v="150960104"/>
  </r>
  <r>
    <x v="195"/>
    <x v="0"/>
    <x v="6"/>
    <n v="28"/>
    <n v="14"/>
    <x v="11"/>
    <x v="10"/>
    <s v="paylater"/>
    <n v="16285109"/>
  </r>
  <r>
    <x v="195"/>
    <x v="0"/>
    <x v="6"/>
    <n v="28"/>
    <n v="14"/>
    <x v="6"/>
    <x v="6"/>
    <s v="payday"/>
    <n v="48000000"/>
  </r>
  <r>
    <x v="195"/>
    <x v="0"/>
    <x v="6"/>
    <n v="28"/>
    <n v="14"/>
    <x v="2"/>
    <x v="2"/>
    <s v="cashloan"/>
    <n v="4840510000"/>
  </r>
  <r>
    <x v="195"/>
    <x v="0"/>
    <x v="6"/>
    <n v="28"/>
    <n v="14"/>
    <x v="1"/>
    <x v="1"/>
    <s v="cashloan"/>
    <n v="21000000"/>
  </r>
  <r>
    <x v="195"/>
    <x v="0"/>
    <x v="6"/>
    <n v="28"/>
    <n v="14"/>
    <x v="0"/>
    <x v="0"/>
    <s v="payday"/>
    <n v="3394500000"/>
  </r>
  <r>
    <x v="195"/>
    <x v="0"/>
    <x v="6"/>
    <n v="28"/>
    <n v="14"/>
    <x v="3"/>
    <x v="3"/>
    <s v="cashloan"/>
    <n v="84000000"/>
  </r>
  <r>
    <x v="195"/>
    <x v="0"/>
    <x v="6"/>
    <n v="28"/>
    <n v="14"/>
    <x v="8"/>
    <x v="8"/>
    <s v="cashloan"/>
    <n v="645180000"/>
  </r>
  <r>
    <x v="195"/>
    <x v="0"/>
    <x v="6"/>
    <n v="28"/>
    <n v="14"/>
    <x v="5"/>
    <x v="5"/>
    <s v="overdraft"/>
    <n v="2303081443"/>
  </r>
  <r>
    <x v="195"/>
    <x v="0"/>
    <x v="6"/>
    <n v="28"/>
    <n v="14"/>
    <x v="10"/>
    <x v="9"/>
    <s v="cashloan"/>
    <n v="24980000"/>
  </r>
  <r>
    <x v="195"/>
    <x v="0"/>
    <x v="6"/>
    <n v="28"/>
    <n v="14"/>
    <x v="9"/>
    <x v="9"/>
    <s v="cashloan"/>
    <n v="0"/>
  </r>
  <r>
    <x v="195"/>
    <x v="0"/>
    <x v="6"/>
    <n v="28"/>
    <n v="14"/>
    <x v="12"/>
    <x v="11"/>
    <s v="cashloan"/>
    <n v="3281880000"/>
  </r>
  <r>
    <x v="196"/>
    <x v="0"/>
    <x v="6"/>
    <n v="29"/>
    <n v="15"/>
    <x v="2"/>
    <x v="2"/>
    <s v="cashloan"/>
    <n v="6710950000"/>
  </r>
  <r>
    <x v="196"/>
    <x v="0"/>
    <x v="6"/>
    <n v="29"/>
    <n v="15"/>
    <x v="8"/>
    <x v="8"/>
    <s v="cashloan"/>
    <n v="1941350000"/>
  </r>
  <r>
    <x v="196"/>
    <x v="0"/>
    <x v="6"/>
    <n v="29"/>
    <n v="15"/>
    <x v="12"/>
    <x v="11"/>
    <s v="cashloan"/>
    <n v="5358670000"/>
  </r>
  <r>
    <x v="196"/>
    <x v="0"/>
    <x v="6"/>
    <n v="29"/>
    <n v="15"/>
    <x v="3"/>
    <x v="3"/>
    <s v="cashloan"/>
    <n v="84000000"/>
  </r>
  <r>
    <x v="196"/>
    <x v="0"/>
    <x v="6"/>
    <n v="29"/>
    <n v="15"/>
    <x v="6"/>
    <x v="6"/>
    <s v="payday"/>
    <n v="46000000"/>
  </r>
  <r>
    <x v="196"/>
    <x v="0"/>
    <x v="6"/>
    <n v="29"/>
    <n v="15"/>
    <x v="1"/>
    <x v="1"/>
    <s v="cashloan"/>
    <n v="115500000"/>
  </r>
  <r>
    <x v="196"/>
    <x v="0"/>
    <x v="6"/>
    <n v="29"/>
    <n v="15"/>
    <x v="0"/>
    <x v="0"/>
    <s v="payday"/>
    <n v="4459500000"/>
  </r>
  <r>
    <x v="196"/>
    <x v="0"/>
    <x v="6"/>
    <n v="29"/>
    <n v="15"/>
    <x v="7"/>
    <x v="7"/>
    <s v="paylater"/>
    <n v="139225844"/>
  </r>
  <r>
    <x v="196"/>
    <x v="0"/>
    <x v="6"/>
    <n v="29"/>
    <n v="15"/>
    <x v="10"/>
    <x v="9"/>
    <s v="cashloan"/>
    <n v="14980000"/>
  </r>
  <r>
    <x v="196"/>
    <x v="0"/>
    <x v="6"/>
    <n v="29"/>
    <n v="15"/>
    <x v="9"/>
    <x v="9"/>
    <s v="cashloan"/>
    <n v="18000000"/>
  </r>
  <r>
    <x v="196"/>
    <x v="0"/>
    <x v="6"/>
    <n v="29"/>
    <n v="15"/>
    <x v="5"/>
    <x v="5"/>
    <s v="overdraft"/>
    <n v="2823095065"/>
  </r>
  <r>
    <x v="196"/>
    <x v="0"/>
    <x v="6"/>
    <n v="29"/>
    <n v="15"/>
    <x v="11"/>
    <x v="10"/>
    <s v="paylater"/>
    <n v="17100450"/>
  </r>
  <r>
    <x v="197"/>
    <x v="0"/>
    <x v="6"/>
    <n v="29"/>
    <n v="16"/>
    <x v="12"/>
    <x v="11"/>
    <s v="cashloan"/>
    <n v="2836260000"/>
  </r>
  <r>
    <x v="197"/>
    <x v="0"/>
    <x v="6"/>
    <n v="29"/>
    <n v="16"/>
    <x v="11"/>
    <x v="10"/>
    <s v="paylater"/>
    <n v="20267295"/>
  </r>
  <r>
    <x v="197"/>
    <x v="0"/>
    <x v="6"/>
    <n v="29"/>
    <n v="16"/>
    <x v="2"/>
    <x v="2"/>
    <s v="cashloan"/>
    <n v="6031900000"/>
  </r>
  <r>
    <x v="197"/>
    <x v="0"/>
    <x v="6"/>
    <n v="29"/>
    <n v="16"/>
    <x v="3"/>
    <x v="3"/>
    <s v="cashloan"/>
    <n v="122850000"/>
  </r>
  <r>
    <x v="197"/>
    <x v="0"/>
    <x v="6"/>
    <n v="29"/>
    <n v="16"/>
    <x v="9"/>
    <x v="9"/>
    <s v="cashloan"/>
    <n v="0"/>
  </r>
  <r>
    <x v="197"/>
    <x v="0"/>
    <x v="6"/>
    <n v="29"/>
    <n v="16"/>
    <x v="6"/>
    <x v="6"/>
    <s v="payday"/>
    <n v="66000000"/>
  </r>
  <r>
    <x v="197"/>
    <x v="0"/>
    <x v="6"/>
    <n v="29"/>
    <n v="16"/>
    <x v="10"/>
    <x v="9"/>
    <s v="cashloan"/>
    <n v="85600000"/>
  </r>
  <r>
    <x v="197"/>
    <x v="0"/>
    <x v="6"/>
    <n v="29"/>
    <n v="16"/>
    <x v="5"/>
    <x v="5"/>
    <s v="overdraft"/>
    <n v="2128293547"/>
  </r>
  <r>
    <x v="197"/>
    <x v="0"/>
    <x v="6"/>
    <n v="29"/>
    <n v="16"/>
    <x v="0"/>
    <x v="0"/>
    <s v="payday"/>
    <n v="3683500000"/>
  </r>
  <r>
    <x v="197"/>
    <x v="0"/>
    <x v="6"/>
    <n v="29"/>
    <n v="16"/>
    <x v="8"/>
    <x v="8"/>
    <s v="cashloan"/>
    <n v="2012290000"/>
  </r>
  <r>
    <x v="197"/>
    <x v="0"/>
    <x v="6"/>
    <n v="29"/>
    <n v="16"/>
    <x v="1"/>
    <x v="1"/>
    <s v="cashloan"/>
    <n v="30500000"/>
  </r>
  <r>
    <x v="197"/>
    <x v="0"/>
    <x v="6"/>
    <n v="29"/>
    <n v="16"/>
    <x v="7"/>
    <x v="7"/>
    <s v="paylater"/>
    <n v="145346445"/>
  </r>
  <r>
    <x v="198"/>
    <x v="0"/>
    <x v="6"/>
    <n v="29"/>
    <n v="17"/>
    <x v="10"/>
    <x v="9"/>
    <s v="cashloan"/>
    <n v="78850000"/>
  </r>
  <r>
    <x v="198"/>
    <x v="0"/>
    <x v="6"/>
    <n v="29"/>
    <n v="17"/>
    <x v="3"/>
    <x v="3"/>
    <s v="cashloan"/>
    <n v="124950000"/>
  </r>
  <r>
    <x v="198"/>
    <x v="0"/>
    <x v="6"/>
    <n v="29"/>
    <n v="17"/>
    <x v="6"/>
    <x v="6"/>
    <s v="payday"/>
    <n v="35000000"/>
  </r>
  <r>
    <x v="198"/>
    <x v="0"/>
    <x v="6"/>
    <n v="29"/>
    <n v="17"/>
    <x v="7"/>
    <x v="7"/>
    <s v="paylater"/>
    <n v="128517336"/>
  </r>
  <r>
    <x v="198"/>
    <x v="0"/>
    <x v="6"/>
    <n v="29"/>
    <n v="17"/>
    <x v="1"/>
    <x v="1"/>
    <s v="cashloan"/>
    <n v="72750000"/>
  </r>
  <r>
    <x v="198"/>
    <x v="0"/>
    <x v="6"/>
    <n v="29"/>
    <n v="17"/>
    <x v="9"/>
    <x v="9"/>
    <s v="cashloan"/>
    <n v="6420000"/>
  </r>
  <r>
    <x v="198"/>
    <x v="0"/>
    <x v="6"/>
    <n v="29"/>
    <n v="17"/>
    <x v="11"/>
    <x v="10"/>
    <s v="paylater"/>
    <n v="10828315"/>
  </r>
  <r>
    <x v="198"/>
    <x v="0"/>
    <x v="6"/>
    <n v="29"/>
    <n v="17"/>
    <x v="8"/>
    <x v="8"/>
    <s v="cashloan"/>
    <n v="1924930000"/>
  </r>
  <r>
    <x v="198"/>
    <x v="0"/>
    <x v="6"/>
    <n v="29"/>
    <n v="17"/>
    <x v="0"/>
    <x v="0"/>
    <s v="payday"/>
    <n v="3576000000"/>
  </r>
  <r>
    <x v="198"/>
    <x v="0"/>
    <x v="6"/>
    <n v="29"/>
    <n v="17"/>
    <x v="2"/>
    <x v="2"/>
    <s v="cashloan"/>
    <n v="5384580000"/>
  </r>
  <r>
    <x v="198"/>
    <x v="0"/>
    <x v="6"/>
    <n v="29"/>
    <n v="17"/>
    <x v="5"/>
    <x v="5"/>
    <s v="overdraft"/>
    <n v="2231225552"/>
  </r>
  <r>
    <x v="198"/>
    <x v="0"/>
    <x v="6"/>
    <n v="29"/>
    <n v="17"/>
    <x v="12"/>
    <x v="11"/>
    <s v="cashloan"/>
    <n v="4858670000"/>
  </r>
  <r>
    <x v="199"/>
    <x v="0"/>
    <x v="6"/>
    <n v="29"/>
    <n v="18"/>
    <x v="1"/>
    <x v="1"/>
    <s v="cashloan"/>
    <n v="56750000"/>
  </r>
  <r>
    <x v="199"/>
    <x v="0"/>
    <x v="6"/>
    <n v="29"/>
    <n v="18"/>
    <x v="10"/>
    <x v="9"/>
    <s v="cashloan"/>
    <n v="60800000"/>
  </r>
  <r>
    <x v="199"/>
    <x v="0"/>
    <x v="6"/>
    <n v="29"/>
    <n v="18"/>
    <x v="12"/>
    <x v="11"/>
    <s v="cashloan"/>
    <n v="4168970000"/>
  </r>
  <r>
    <x v="199"/>
    <x v="0"/>
    <x v="6"/>
    <n v="29"/>
    <n v="18"/>
    <x v="9"/>
    <x v="9"/>
    <s v="cashloan"/>
    <n v="0"/>
  </r>
  <r>
    <x v="199"/>
    <x v="0"/>
    <x v="6"/>
    <n v="29"/>
    <n v="18"/>
    <x v="11"/>
    <x v="10"/>
    <s v="paylater"/>
    <n v="9022790"/>
  </r>
  <r>
    <x v="199"/>
    <x v="0"/>
    <x v="6"/>
    <n v="29"/>
    <n v="18"/>
    <x v="8"/>
    <x v="8"/>
    <s v="cashloan"/>
    <n v="1873570000"/>
  </r>
  <r>
    <x v="199"/>
    <x v="0"/>
    <x v="6"/>
    <n v="29"/>
    <n v="18"/>
    <x v="3"/>
    <x v="3"/>
    <s v="cashloan"/>
    <n v="433700000"/>
  </r>
  <r>
    <x v="199"/>
    <x v="0"/>
    <x v="6"/>
    <n v="29"/>
    <n v="18"/>
    <x v="5"/>
    <x v="5"/>
    <s v="overdraft"/>
    <n v="2190605646"/>
  </r>
  <r>
    <x v="199"/>
    <x v="0"/>
    <x v="6"/>
    <n v="29"/>
    <n v="18"/>
    <x v="6"/>
    <x v="6"/>
    <s v="payday"/>
    <n v="33000000"/>
  </r>
  <r>
    <x v="199"/>
    <x v="0"/>
    <x v="6"/>
    <n v="29"/>
    <n v="18"/>
    <x v="0"/>
    <x v="0"/>
    <s v="payday"/>
    <n v="3498500000"/>
  </r>
  <r>
    <x v="199"/>
    <x v="0"/>
    <x v="6"/>
    <n v="29"/>
    <n v="18"/>
    <x v="7"/>
    <x v="7"/>
    <s v="paylater"/>
    <n v="157932849"/>
  </r>
  <r>
    <x v="199"/>
    <x v="0"/>
    <x v="6"/>
    <n v="29"/>
    <n v="18"/>
    <x v="2"/>
    <x v="2"/>
    <s v="cashloan"/>
    <n v="4825660000"/>
  </r>
  <r>
    <x v="200"/>
    <x v="0"/>
    <x v="6"/>
    <n v="29"/>
    <n v="19"/>
    <x v="5"/>
    <x v="5"/>
    <s v="overdraft"/>
    <n v="2117265272"/>
  </r>
  <r>
    <x v="200"/>
    <x v="0"/>
    <x v="6"/>
    <n v="29"/>
    <n v="19"/>
    <x v="12"/>
    <x v="11"/>
    <s v="cashloan"/>
    <n v="4201050000"/>
  </r>
  <r>
    <x v="200"/>
    <x v="0"/>
    <x v="6"/>
    <n v="29"/>
    <n v="19"/>
    <x v="9"/>
    <x v="9"/>
    <s v="cashloan"/>
    <n v="0"/>
  </r>
  <r>
    <x v="200"/>
    <x v="0"/>
    <x v="6"/>
    <n v="29"/>
    <n v="19"/>
    <x v="1"/>
    <x v="1"/>
    <s v="cashloan"/>
    <n v="68250000"/>
  </r>
  <r>
    <x v="200"/>
    <x v="0"/>
    <x v="6"/>
    <n v="29"/>
    <n v="19"/>
    <x v="2"/>
    <x v="2"/>
    <s v="cashloan"/>
    <n v="5094720000"/>
  </r>
  <r>
    <x v="200"/>
    <x v="0"/>
    <x v="6"/>
    <n v="29"/>
    <n v="19"/>
    <x v="0"/>
    <x v="0"/>
    <s v="payday"/>
    <n v="3561500000"/>
  </r>
  <r>
    <x v="200"/>
    <x v="0"/>
    <x v="6"/>
    <n v="29"/>
    <n v="19"/>
    <x v="6"/>
    <x v="6"/>
    <s v="payday"/>
    <n v="41000000"/>
  </r>
  <r>
    <x v="200"/>
    <x v="0"/>
    <x v="6"/>
    <n v="29"/>
    <n v="19"/>
    <x v="7"/>
    <x v="7"/>
    <s v="paylater"/>
    <n v="152653326"/>
  </r>
  <r>
    <x v="200"/>
    <x v="0"/>
    <x v="6"/>
    <n v="29"/>
    <n v="19"/>
    <x v="10"/>
    <x v="9"/>
    <s v="cashloan"/>
    <n v="33170000"/>
  </r>
  <r>
    <x v="200"/>
    <x v="0"/>
    <x v="6"/>
    <n v="29"/>
    <n v="19"/>
    <x v="11"/>
    <x v="10"/>
    <s v="paylater"/>
    <n v="13405660"/>
  </r>
  <r>
    <x v="200"/>
    <x v="0"/>
    <x v="6"/>
    <n v="29"/>
    <n v="19"/>
    <x v="3"/>
    <x v="3"/>
    <s v="cashloan"/>
    <n v="132300000"/>
  </r>
  <r>
    <x v="200"/>
    <x v="0"/>
    <x v="6"/>
    <n v="29"/>
    <n v="19"/>
    <x v="8"/>
    <x v="8"/>
    <s v="cashloan"/>
    <n v="1837560000"/>
  </r>
  <r>
    <x v="201"/>
    <x v="0"/>
    <x v="6"/>
    <n v="29"/>
    <n v="20"/>
    <x v="12"/>
    <x v="11"/>
    <s v="cashloan"/>
    <n v="4646480000"/>
  </r>
  <r>
    <x v="201"/>
    <x v="0"/>
    <x v="6"/>
    <n v="29"/>
    <n v="20"/>
    <x v="8"/>
    <x v="8"/>
    <s v="cashloan"/>
    <n v="1545380000"/>
  </r>
  <r>
    <x v="201"/>
    <x v="0"/>
    <x v="6"/>
    <n v="29"/>
    <n v="20"/>
    <x v="7"/>
    <x v="7"/>
    <s v="paylater"/>
    <n v="138223219"/>
  </r>
  <r>
    <x v="201"/>
    <x v="0"/>
    <x v="6"/>
    <n v="29"/>
    <n v="20"/>
    <x v="2"/>
    <x v="2"/>
    <s v="cashloan"/>
    <n v="4421280000"/>
  </r>
  <r>
    <x v="201"/>
    <x v="0"/>
    <x v="6"/>
    <n v="29"/>
    <n v="20"/>
    <x v="1"/>
    <x v="1"/>
    <s v="cashloan"/>
    <n v="0"/>
  </r>
  <r>
    <x v="201"/>
    <x v="0"/>
    <x v="6"/>
    <n v="29"/>
    <n v="20"/>
    <x v="10"/>
    <x v="9"/>
    <s v="cashloan"/>
    <n v="53500000"/>
  </r>
  <r>
    <x v="201"/>
    <x v="0"/>
    <x v="6"/>
    <n v="29"/>
    <n v="20"/>
    <x v="9"/>
    <x v="9"/>
    <s v="cashloan"/>
    <n v="0"/>
  </r>
  <r>
    <x v="201"/>
    <x v="0"/>
    <x v="6"/>
    <n v="29"/>
    <n v="20"/>
    <x v="6"/>
    <x v="6"/>
    <s v="payday"/>
    <n v="21000000"/>
  </r>
  <r>
    <x v="201"/>
    <x v="0"/>
    <x v="6"/>
    <n v="29"/>
    <n v="20"/>
    <x v="5"/>
    <x v="5"/>
    <s v="overdraft"/>
    <n v="2068970344"/>
  </r>
  <r>
    <x v="201"/>
    <x v="0"/>
    <x v="6"/>
    <n v="29"/>
    <n v="20"/>
    <x v="11"/>
    <x v="10"/>
    <s v="paylater"/>
    <n v="10894670"/>
  </r>
  <r>
    <x v="201"/>
    <x v="0"/>
    <x v="6"/>
    <n v="29"/>
    <n v="20"/>
    <x v="3"/>
    <x v="3"/>
    <s v="cashloan"/>
    <n v="161000000"/>
  </r>
  <r>
    <x v="201"/>
    <x v="0"/>
    <x v="6"/>
    <n v="29"/>
    <n v="20"/>
    <x v="0"/>
    <x v="0"/>
    <s v="payday"/>
    <n v="3867500000"/>
  </r>
  <r>
    <x v="202"/>
    <x v="0"/>
    <x v="6"/>
    <n v="29"/>
    <n v="21"/>
    <x v="1"/>
    <x v="1"/>
    <s v="cashloan"/>
    <n v="107100000"/>
  </r>
  <r>
    <x v="202"/>
    <x v="0"/>
    <x v="6"/>
    <n v="29"/>
    <n v="21"/>
    <x v="8"/>
    <x v="8"/>
    <s v="cashloan"/>
    <n v="960160000"/>
  </r>
  <r>
    <x v="202"/>
    <x v="0"/>
    <x v="6"/>
    <n v="29"/>
    <n v="21"/>
    <x v="11"/>
    <x v="10"/>
    <s v="paylater"/>
    <n v="12703416"/>
  </r>
  <r>
    <x v="202"/>
    <x v="0"/>
    <x v="6"/>
    <n v="29"/>
    <n v="21"/>
    <x v="9"/>
    <x v="9"/>
    <s v="cashloan"/>
    <n v="0"/>
  </r>
  <r>
    <x v="202"/>
    <x v="0"/>
    <x v="6"/>
    <n v="29"/>
    <n v="21"/>
    <x v="12"/>
    <x v="11"/>
    <s v="cashloan"/>
    <n v="3745010000"/>
  </r>
  <r>
    <x v="202"/>
    <x v="0"/>
    <x v="6"/>
    <n v="29"/>
    <n v="21"/>
    <x v="6"/>
    <x v="6"/>
    <s v="payday"/>
    <n v="80000000"/>
  </r>
  <r>
    <x v="202"/>
    <x v="0"/>
    <x v="6"/>
    <n v="29"/>
    <n v="21"/>
    <x v="10"/>
    <x v="9"/>
    <s v="cashloan"/>
    <n v="97180000"/>
  </r>
  <r>
    <x v="202"/>
    <x v="0"/>
    <x v="6"/>
    <n v="29"/>
    <n v="21"/>
    <x v="0"/>
    <x v="0"/>
    <s v="payday"/>
    <n v="3139000000"/>
  </r>
  <r>
    <x v="202"/>
    <x v="0"/>
    <x v="6"/>
    <n v="29"/>
    <n v="21"/>
    <x v="2"/>
    <x v="2"/>
    <s v="cashloan"/>
    <n v="3950210000"/>
  </r>
  <r>
    <x v="202"/>
    <x v="0"/>
    <x v="6"/>
    <n v="29"/>
    <n v="21"/>
    <x v="3"/>
    <x v="3"/>
    <s v="cashloan"/>
    <n v="70350000"/>
  </r>
  <r>
    <x v="202"/>
    <x v="0"/>
    <x v="6"/>
    <n v="29"/>
    <n v="21"/>
    <x v="5"/>
    <x v="5"/>
    <s v="overdraft"/>
    <n v="1721068296"/>
  </r>
  <r>
    <x v="202"/>
    <x v="0"/>
    <x v="6"/>
    <n v="29"/>
    <n v="21"/>
    <x v="7"/>
    <x v="7"/>
    <s v="paylater"/>
    <n v="158575918"/>
  </r>
  <r>
    <x v="203"/>
    <x v="0"/>
    <x v="6"/>
    <n v="30"/>
    <n v="22"/>
    <x v="9"/>
    <x v="9"/>
    <s v="cashloan"/>
    <n v="0"/>
  </r>
  <r>
    <x v="203"/>
    <x v="0"/>
    <x v="6"/>
    <n v="30"/>
    <n v="22"/>
    <x v="12"/>
    <x v="11"/>
    <s v="cashloan"/>
    <n v="3720450000"/>
  </r>
  <r>
    <x v="203"/>
    <x v="0"/>
    <x v="6"/>
    <n v="30"/>
    <n v="22"/>
    <x v="3"/>
    <x v="3"/>
    <s v="cashloan"/>
    <n v="163100000"/>
  </r>
  <r>
    <x v="203"/>
    <x v="0"/>
    <x v="6"/>
    <n v="30"/>
    <n v="22"/>
    <x v="10"/>
    <x v="9"/>
    <s v="cashloan"/>
    <n v="83460000"/>
  </r>
  <r>
    <x v="203"/>
    <x v="0"/>
    <x v="6"/>
    <n v="30"/>
    <n v="22"/>
    <x v="5"/>
    <x v="5"/>
    <s v="overdraft"/>
    <n v="2571930778"/>
  </r>
  <r>
    <x v="203"/>
    <x v="0"/>
    <x v="6"/>
    <n v="30"/>
    <n v="22"/>
    <x v="6"/>
    <x v="6"/>
    <s v="payday"/>
    <n v="22000000"/>
  </r>
  <r>
    <x v="203"/>
    <x v="0"/>
    <x v="6"/>
    <n v="30"/>
    <n v="22"/>
    <x v="1"/>
    <x v="1"/>
    <s v="cashloan"/>
    <n v="36750000"/>
  </r>
  <r>
    <x v="203"/>
    <x v="0"/>
    <x v="6"/>
    <n v="30"/>
    <n v="22"/>
    <x v="7"/>
    <x v="7"/>
    <s v="paylater"/>
    <n v="131678489"/>
  </r>
  <r>
    <x v="203"/>
    <x v="0"/>
    <x v="6"/>
    <n v="30"/>
    <n v="22"/>
    <x v="0"/>
    <x v="0"/>
    <s v="payday"/>
    <n v="3913500000"/>
  </r>
  <r>
    <x v="203"/>
    <x v="0"/>
    <x v="6"/>
    <n v="30"/>
    <n v="22"/>
    <x v="2"/>
    <x v="2"/>
    <s v="cashloan"/>
    <n v="5346920000"/>
  </r>
  <r>
    <x v="203"/>
    <x v="0"/>
    <x v="6"/>
    <n v="30"/>
    <n v="22"/>
    <x v="8"/>
    <x v="8"/>
    <s v="cashloan"/>
    <n v="1866450000"/>
  </r>
  <r>
    <x v="203"/>
    <x v="0"/>
    <x v="6"/>
    <n v="30"/>
    <n v="22"/>
    <x v="11"/>
    <x v="10"/>
    <s v="paylater"/>
    <n v="10525050"/>
  </r>
  <r>
    <x v="204"/>
    <x v="0"/>
    <x v="6"/>
    <n v="30"/>
    <n v="23"/>
    <x v="5"/>
    <x v="5"/>
    <s v="overdraft"/>
    <n v="2435350914"/>
  </r>
  <r>
    <x v="204"/>
    <x v="0"/>
    <x v="6"/>
    <n v="30"/>
    <n v="23"/>
    <x v="6"/>
    <x v="6"/>
    <s v="payday"/>
    <n v="68000000"/>
  </r>
  <r>
    <x v="204"/>
    <x v="0"/>
    <x v="6"/>
    <n v="30"/>
    <n v="23"/>
    <x v="0"/>
    <x v="0"/>
    <s v="payday"/>
    <n v="3292000000"/>
  </r>
  <r>
    <x v="204"/>
    <x v="0"/>
    <x v="6"/>
    <n v="30"/>
    <n v="23"/>
    <x v="9"/>
    <x v="9"/>
    <s v="cashloan"/>
    <n v="0"/>
  </r>
  <r>
    <x v="204"/>
    <x v="0"/>
    <x v="6"/>
    <n v="30"/>
    <n v="23"/>
    <x v="11"/>
    <x v="10"/>
    <s v="paylater"/>
    <n v="30159214"/>
  </r>
  <r>
    <x v="204"/>
    <x v="0"/>
    <x v="6"/>
    <n v="30"/>
    <n v="23"/>
    <x v="8"/>
    <x v="8"/>
    <s v="cashloan"/>
    <n v="1231570000"/>
  </r>
  <r>
    <x v="204"/>
    <x v="0"/>
    <x v="6"/>
    <n v="30"/>
    <n v="23"/>
    <x v="12"/>
    <x v="11"/>
    <s v="cashloan"/>
    <n v="1803840000"/>
  </r>
  <r>
    <x v="204"/>
    <x v="0"/>
    <x v="6"/>
    <n v="30"/>
    <n v="23"/>
    <x v="7"/>
    <x v="7"/>
    <s v="paylater"/>
    <n v="127240658"/>
  </r>
  <r>
    <x v="204"/>
    <x v="0"/>
    <x v="6"/>
    <n v="30"/>
    <n v="23"/>
    <x v="1"/>
    <x v="1"/>
    <s v="cashloan"/>
    <n v="44100000"/>
  </r>
  <r>
    <x v="204"/>
    <x v="0"/>
    <x v="6"/>
    <n v="30"/>
    <n v="23"/>
    <x v="3"/>
    <x v="3"/>
    <s v="cashloan"/>
    <n v="166900000"/>
  </r>
  <r>
    <x v="204"/>
    <x v="0"/>
    <x v="6"/>
    <n v="30"/>
    <n v="23"/>
    <x v="10"/>
    <x v="9"/>
    <s v="cashloan"/>
    <n v="117720000"/>
  </r>
  <r>
    <x v="204"/>
    <x v="0"/>
    <x v="6"/>
    <n v="30"/>
    <n v="23"/>
    <x v="2"/>
    <x v="2"/>
    <s v="cashloan"/>
    <n v="4898300000"/>
  </r>
  <r>
    <x v="205"/>
    <x v="0"/>
    <x v="6"/>
    <n v="30"/>
    <n v="24"/>
    <x v="0"/>
    <x v="0"/>
    <s v="payday"/>
    <n v="3713500000"/>
  </r>
  <r>
    <x v="205"/>
    <x v="0"/>
    <x v="6"/>
    <n v="30"/>
    <n v="24"/>
    <x v="2"/>
    <x v="2"/>
    <s v="cashloan"/>
    <n v="4406610000"/>
  </r>
  <r>
    <x v="205"/>
    <x v="0"/>
    <x v="6"/>
    <n v="30"/>
    <n v="24"/>
    <x v="11"/>
    <x v="10"/>
    <s v="paylater"/>
    <n v="25099365"/>
  </r>
  <r>
    <x v="205"/>
    <x v="0"/>
    <x v="6"/>
    <n v="30"/>
    <n v="24"/>
    <x v="1"/>
    <x v="1"/>
    <s v="cashloan"/>
    <n v="30500000"/>
  </r>
  <r>
    <x v="205"/>
    <x v="0"/>
    <x v="6"/>
    <n v="30"/>
    <n v="24"/>
    <x v="5"/>
    <x v="5"/>
    <s v="overdraft"/>
    <n v="2701304333"/>
  </r>
  <r>
    <x v="205"/>
    <x v="0"/>
    <x v="6"/>
    <n v="30"/>
    <n v="24"/>
    <x v="7"/>
    <x v="7"/>
    <s v="paylater"/>
    <n v="145479476"/>
  </r>
  <r>
    <x v="205"/>
    <x v="0"/>
    <x v="6"/>
    <n v="30"/>
    <n v="24"/>
    <x v="9"/>
    <x v="9"/>
    <s v="cashloan"/>
    <n v="17120000"/>
  </r>
  <r>
    <x v="205"/>
    <x v="0"/>
    <x v="6"/>
    <n v="30"/>
    <n v="24"/>
    <x v="10"/>
    <x v="9"/>
    <s v="cashloan"/>
    <n v="73130000"/>
  </r>
  <r>
    <x v="205"/>
    <x v="0"/>
    <x v="6"/>
    <n v="30"/>
    <n v="24"/>
    <x v="3"/>
    <x v="3"/>
    <s v="cashloan"/>
    <n v="379350000"/>
  </r>
  <r>
    <x v="205"/>
    <x v="0"/>
    <x v="6"/>
    <n v="30"/>
    <n v="24"/>
    <x v="12"/>
    <x v="11"/>
    <s v="cashloan"/>
    <n v="2588010000"/>
  </r>
  <r>
    <x v="205"/>
    <x v="0"/>
    <x v="6"/>
    <n v="30"/>
    <n v="24"/>
    <x v="6"/>
    <x v="6"/>
    <s v="payday"/>
    <n v="78000000"/>
  </r>
  <r>
    <x v="205"/>
    <x v="0"/>
    <x v="6"/>
    <n v="30"/>
    <n v="24"/>
    <x v="8"/>
    <x v="8"/>
    <s v="cashloan"/>
    <n v="1388860000"/>
  </r>
  <r>
    <x v="206"/>
    <x v="0"/>
    <x v="6"/>
    <n v="30"/>
    <n v="25"/>
    <x v="8"/>
    <x v="8"/>
    <s v="cashloan"/>
    <n v="1798110000"/>
  </r>
  <r>
    <x v="206"/>
    <x v="0"/>
    <x v="6"/>
    <n v="30"/>
    <n v="25"/>
    <x v="12"/>
    <x v="11"/>
    <s v="cashloan"/>
    <n v="2060060000"/>
  </r>
  <r>
    <x v="206"/>
    <x v="0"/>
    <x v="6"/>
    <n v="30"/>
    <n v="25"/>
    <x v="9"/>
    <x v="9"/>
    <s v="cashloan"/>
    <n v="0"/>
  </r>
  <r>
    <x v="206"/>
    <x v="0"/>
    <x v="6"/>
    <n v="30"/>
    <n v="25"/>
    <x v="1"/>
    <x v="1"/>
    <s v="cashloan"/>
    <n v="31500000"/>
  </r>
  <r>
    <x v="206"/>
    <x v="0"/>
    <x v="6"/>
    <n v="30"/>
    <n v="25"/>
    <x v="11"/>
    <x v="10"/>
    <s v="paylater"/>
    <n v="17444360"/>
  </r>
  <r>
    <x v="206"/>
    <x v="0"/>
    <x v="6"/>
    <n v="30"/>
    <n v="25"/>
    <x v="3"/>
    <x v="3"/>
    <s v="cashloan"/>
    <n v="122100000"/>
  </r>
  <r>
    <x v="206"/>
    <x v="0"/>
    <x v="6"/>
    <n v="30"/>
    <n v="25"/>
    <x v="6"/>
    <x v="6"/>
    <s v="payday"/>
    <n v="64000000"/>
  </r>
  <r>
    <x v="206"/>
    <x v="0"/>
    <x v="6"/>
    <n v="30"/>
    <n v="25"/>
    <x v="10"/>
    <x v="9"/>
    <s v="cashloan"/>
    <n v="36380000"/>
  </r>
  <r>
    <x v="206"/>
    <x v="0"/>
    <x v="6"/>
    <n v="30"/>
    <n v="25"/>
    <x v="5"/>
    <x v="5"/>
    <s v="overdraft"/>
    <n v="2846138674"/>
  </r>
  <r>
    <x v="206"/>
    <x v="0"/>
    <x v="6"/>
    <n v="30"/>
    <n v="25"/>
    <x v="7"/>
    <x v="7"/>
    <s v="paylater"/>
    <n v="126943044"/>
  </r>
  <r>
    <x v="206"/>
    <x v="0"/>
    <x v="6"/>
    <n v="30"/>
    <n v="25"/>
    <x v="2"/>
    <x v="2"/>
    <s v="cashloan"/>
    <n v="4960040000"/>
  </r>
  <r>
    <x v="206"/>
    <x v="0"/>
    <x v="6"/>
    <n v="30"/>
    <n v="25"/>
    <x v="0"/>
    <x v="0"/>
    <s v="payday"/>
    <n v="3726500000"/>
  </r>
  <r>
    <x v="207"/>
    <x v="0"/>
    <x v="6"/>
    <n v="30"/>
    <n v="26"/>
    <x v="12"/>
    <x v="11"/>
    <s v="cashloan"/>
    <n v="1943320000"/>
  </r>
  <r>
    <x v="207"/>
    <x v="0"/>
    <x v="6"/>
    <n v="30"/>
    <n v="26"/>
    <x v="11"/>
    <x v="10"/>
    <s v="paylater"/>
    <n v="26429843"/>
  </r>
  <r>
    <x v="207"/>
    <x v="0"/>
    <x v="6"/>
    <n v="30"/>
    <n v="26"/>
    <x v="3"/>
    <x v="3"/>
    <s v="cashloan"/>
    <n v="106050000"/>
  </r>
  <r>
    <x v="207"/>
    <x v="0"/>
    <x v="6"/>
    <n v="30"/>
    <n v="26"/>
    <x v="7"/>
    <x v="7"/>
    <s v="paylater"/>
    <n v="127690262"/>
  </r>
  <r>
    <x v="207"/>
    <x v="0"/>
    <x v="6"/>
    <n v="30"/>
    <n v="26"/>
    <x v="6"/>
    <x v="6"/>
    <s v="payday"/>
    <n v="28000000"/>
  </r>
  <r>
    <x v="207"/>
    <x v="0"/>
    <x v="6"/>
    <n v="30"/>
    <n v="26"/>
    <x v="0"/>
    <x v="0"/>
    <s v="payday"/>
    <n v="3517000000"/>
  </r>
  <r>
    <x v="207"/>
    <x v="0"/>
    <x v="6"/>
    <n v="30"/>
    <n v="26"/>
    <x v="8"/>
    <x v="8"/>
    <s v="cashloan"/>
    <n v="2143740000"/>
  </r>
  <r>
    <x v="207"/>
    <x v="0"/>
    <x v="6"/>
    <n v="30"/>
    <n v="26"/>
    <x v="9"/>
    <x v="9"/>
    <s v="cashloan"/>
    <n v="0"/>
  </r>
  <r>
    <x v="207"/>
    <x v="0"/>
    <x v="6"/>
    <n v="30"/>
    <n v="26"/>
    <x v="10"/>
    <x v="9"/>
    <s v="cashloan"/>
    <n v="19260000"/>
  </r>
  <r>
    <x v="207"/>
    <x v="0"/>
    <x v="6"/>
    <n v="30"/>
    <n v="26"/>
    <x v="1"/>
    <x v="1"/>
    <s v="cashloan"/>
    <n v="15750000"/>
  </r>
  <r>
    <x v="207"/>
    <x v="0"/>
    <x v="6"/>
    <n v="30"/>
    <n v="26"/>
    <x v="5"/>
    <x v="5"/>
    <s v="overdraft"/>
    <n v="2377981093"/>
  </r>
  <r>
    <x v="207"/>
    <x v="0"/>
    <x v="6"/>
    <n v="30"/>
    <n v="26"/>
    <x v="2"/>
    <x v="2"/>
    <s v="cashloan"/>
    <n v="4463500000"/>
  </r>
  <r>
    <x v="208"/>
    <x v="0"/>
    <x v="6"/>
    <n v="30"/>
    <n v="27"/>
    <x v="3"/>
    <x v="3"/>
    <s v="cashloan"/>
    <n v="80850000"/>
  </r>
  <r>
    <x v="208"/>
    <x v="0"/>
    <x v="6"/>
    <n v="30"/>
    <n v="27"/>
    <x v="5"/>
    <x v="5"/>
    <s v="overdraft"/>
    <n v="1777002702"/>
  </r>
  <r>
    <x v="208"/>
    <x v="0"/>
    <x v="6"/>
    <n v="30"/>
    <n v="27"/>
    <x v="10"/>
    <x v="9"/>
    <s v="cashloan"/>
    <n v="10700000"/>
  </r>
  <r>
    <x v="208"/>
    <x v="0"/>
    <x v="6"/>
    <n v="30"/>
    <n v="27"/>
    <x v="8"/>
    <x v="8"/>
    <s v="cashloan"/>
    <n v="2080470000"/>
  </r>
  <r>
    <x v="208"/>
    <x v="0"/>
    <x v="6"/>
    <n v="30"/>
    <n v="27"/>
    <x v="6"/>
    <x v="6"/>
    <s v="payday"/>
    <n v="76000000"/>
  </r>
  <r>
    <x v="208"/>
    <x v="0"/>
    <x v="6"/>
    <n v="30"/>
    <n v="27"/>
    <x v="0"/>
    <x v="0"/>
    <s v="payday"/>
    <n v="3142500000"/>
  </r>
  <r>
    <x v="208"/>
    <x v="0"/>
    <x v="6"/>
    <n v="30"/>
    <n v="27"/>
    <x v="12"/>
    <x v="11"/>
    <s v="cashloan"/>
    <n v="1986040000"/>
  </r>
  <r>
    <x v="208"/>
    <x v="0"/>
    <x v="6"/>
    <n v="30"/>
    <n v="27"/>
    <x v="7"/>
    <x v="7"/>
    <s v="paylater"/>
    <n v="121497473"/>
  </r>
  <r>
    <x v="208"/>
    <x v="0"/>
    <x v="6"/>
    <n v="30"/>
    <n v="27"/>
    <x v="1"/>
    <x v="1"/>
    <s v="cashloan"/>
    <n v="31500000"/>
  </r>
  <r>
    <x v="208"/>
    <x v="0"/>
    <x v="6"/>
    <n v="30"/>
    <n v="27"/>
    <x v="11"/>
    <x v="10"/>
    <s v="paylater"/>
    <n v="30815077"/>
  </r>
  <r>
    <x v="208"/>
    <x v="0"/>
    <x v="6"/>
    <n v="30"/>
    <n v="27"/>
    <x v="2"/>
    <x v="2"/>
    <s v="cashloan"/>
    <n v="4005940000"/>
  </r>
  <r>
    <x v="208"/>
    <x v="0"/>
    <x v="6"/>
    <n v="30"/>
    <n v="27"/>
    <x v="9"/>
    <x v="9"/>
    <s v="cashloan"/>
    <n v="0"/>
  </r>
  <r>
    <x v="209"/>
    <x v="0"/>
    <x v="6"/>
    <n v="30"/>
    <n v="28"/>
    <x v="5"/>
    <x v="5"/>
    <s v="overdraft"/>
    <n v="1877564120"/>
  </r>
  <r>
    <x v="209"/>
    <x v="0"/>
    <x v="6"/>
    <n v="30"/>
    <n v="28"/>
    <x v="3"/>
    <x v="3"/>
    <s v="cashloan"/>
    <n v="161900000"/>
  </r>
  <r>
    <x v="209"/>
    <x v="0"/>
    <x v="6"/>
    <n v="30"/>
    <n v="28"/>
    <x v="9"/>
    <x v="9"/>
    <s v="cashloan"/>
    <n v="26420000"/>
  </r>
  <r>
    <x v="209"/>
    <x v="0"/>
    <x v="6"/>
    <n v="30"/>
    <n v="28"/>
    <x v="1"/>
    <x v="1"/>
    <s v="cashloan"/>
    <n v="31500000"/>
  </r>
  <r>
    <x v="209"/>
    <x v="0"/>
    <x v="6"/>
    <n v="30"/>
    <n v="28"/>
    <x v="11"/>
    <x v="10"/>
    <s v="paylater"/>
    <n v="25744120"/>
  </r>
  <r>
    <x v="209"/>
    <x v="0"/>
    <x v="6"/>
    <n v="30"/>
    <n v="28"/>
    <x v="10"/>
    <x v="9"/>
    <s v="cashloan"/>
    <n v="10000000"/>
  </r>
  <r>
    <x v="209"/>
    <x v="0"/>
    <x v="6"/>
    <n v="30"/>
    <n v="28"/>
    <x v="8"/>
    <x v="8"/>
    <s v="cashloan"/>
    <n v="968350000"/>
  </r>
  <r>
    <x v="209"/>
    <x v="0"/>
    <x v="6"/>
    <n v="30"/>
    <n v="28"/>
    <x v="0"/>
    <x v="0"/>
    <s v="payday"/>
    <n v="3041500000"/>
  </r>
  <r>
    <x v="209"/>
    <x v="0"/>
    <x v="6"/>
    <n v="30"/>
    <n v="28"/>
    <x v="7"/>
    <x v="7"/>
    <s v="paylater"/>
    <n v="137865797"/>
  </r>
  <r>
    <x v="209"/>
    <x v="0"/>
    <x v="6"/>
    <n v="30"/>
    <n v="28"/>
    <x v="6"/>
    <x v="6"/>
    <s v="payday"/>
    <n v="12000000"/>
  </r>
  <r>
    <x v="209"/>
    <x v="0"/>
    <x v="6"/>
    <n v="30"/>
    <n v="28"/>
    <x v="12"/>
    <x v="11"/>
    <s v="cashloan"/>
    <n v="1762040000"/>
  </r>
  <r>
    <x v="209"/>
    <x v="0"/>
    <x v="6"/>
    <n v="30"/>
    <n v="28"/>
    <x v="2"/>
    <x v="2"/>
    <s v="cashloan"/>
    <n v="3657320000"/>
  </r>
  <r>
    <x v="210"/>
    <x v="0"/>
    <x v="6"/>
    <n v="31"/>
    <n v="29"/>
    <x v="0"/>
    <x v="0"/>
    <s v="payday"/>
    <n v="3530000000"/>
  </r>
  <r>
    <x v="210"/>
    <x v="0"/>
    <x v="6"/>
    <n v="31"/>
    <n v="29"/>
    <x v="6"/>
    <x v="6"/>
    <s v="payday"/>
    <n v="87000000"/>
  </r>
  <r>
    <x v="210"/>
    <x v="0"/>
    <x v="6"/>
    <n v="31"/>
    <n v="29"/>
    <x v="2"/>
    <x v="2"/>
    <s v="cashloan"/>
    <n v="4645080000"/>
  </r>
  <r>
    <x v="210"/>
    <x v="0"/>
    <x v="6"/>
    <n v="31"/>
    <n v="29"/>
    <x v="7"/>
    <x v="7"/>
    <s v="paylater"/>
    <n v="130034933"/>
  </r>
  <r>
    <x v="210"/>
    <x v="0"/>
    <x v="6"/>
    <n v="31"/>
    <n v="29"/>
    <x v="10"/>
    <x v="9"/>
    <s v="cashloan"/>
    <n v="37450000"/>
  </r>
  <r>
    <x v="210"/>
    <x v="0"/>
    <x v="6"/>
    <n v="31"/>
    <n v="29"/>
    <x v="5"/>
    <x v="5"/>
    <s v="overdraft"/>
    <n v="2529088864"/>
  </r>
  <r>
    <x v="210"/>
    <x v="0"/>
    <x v="6"/>
    <n v="31"/>
    <n v="29"/>
    <x v="11"/>
    <x v="10"/>
    <s v="paylater"/>
    <n v="24335824"/>
  </r>
  <r>
    <x v="210"/>
    <x v="0"/>
    <x v="6"/>
    <n v="31"/>
    <n v="29"/>
    <x v="9"/>
    <x v="9"/>
    <s v="cashloan"/>
    <n v="18000000"/>
  </r>
  <r>
    <x v="210"/>
    <x v="0"/>
    <x v="6"/>
    <n v="31"/>
    <n v="29"/>
    <x v="8"/>
    <x v="8"/>
    <s v="cashloan"/>
    <n v="1843980000"/>
  </r>
  <r>
    <x v="210"/>
    <x v="0"/>
    <x v="6"/>
    <n v="31"/>
    <n v="29"/>
    <x v="12"/>
    <x v="11"/>
    <s v="cashloan"/>
    <n v="2043710000"/>
  </r>
  <r>
    <x v="210"/>
    <x v="0"/>
    <x v="6"/>
    <n v="31"/>
    <n v="29"/>
    <x v="1"/>
    <x v="1"/>
    <s v="cashloan"/>
    <n v="0"/>
  </r>
  <r>
    <x v="210"/>
    <x v="0"/>
    <x v="6"/>
    <n v="31"/>
    <n v="29"/>
    <x v="3"/>
    <x v="3"/>
    <s v="cashloan"/>
    <n v="117600000"/>
  </r>
  <r>
    <x v="211"/>
    <x v="0"/>
    <x v="6"/>
    <n v="31"/>
    <n v="30"/>
    <x v="10"/>
    <x v="9"/>
    <s v="cashloan"/>
    <n v="14980000"/>
  </r>
  <r>
    <x v="211"/>
    <x v="0"/>
    <x v="6"/>
    <n v="31"/>
    <n v="30"/>
    <x v="3"/>
    <x v="3"/>
    <s v="cashloan"/>
    <n v="132850000"/>
  </r>
  <r>
    <x v="211"/>
    <x v="0"/>
    <x v="6"/>
    <n v="31"/>
    <n v="30"/>
    <x v="6"/>
    <x v="6"/>
    <s v="payday"/>
    <n v="77000000"/>
  </r>
  <r>
    <x v="211"/>
    <x v="0"/>
    <x v="6"/>
    <n v="31"/>
    <n v="30"/>
    <x v="0"/>
    <x v="0"/>
    <s v="payday"/>
    <n v="3645500000"/>
  </r>
  <r>
    <x v="211"/>
    <x v="0"/>
    <x v="6"/>
    <n v="31"/>
    <n v="30"/>
    <x v="2"/>
    <x v="2"/>
    <s v="cashloan"/>
    <n v="4537320000"/>
  </r>
  <r>
    <x v="211"/>
    <x v="0"/>
    <x v="6"/>
    <n v="31"/>
    <n v="30"/>
    <x v="11"/>
    <x v="10"/>
    <s v="paylater"/>
    <n v="27737197"/>
  </r>
  <r>
    <x v="211"/>
    <x v="0"/>
    <x v="6"/>
    <n v="31"/>
    <n v="30"/>
    <x v="7"/>
    <x v="7"/>
    <s v="paylater"/>
    <n v="125965486"/>
  </r>
  <r>
    <x v="211"/>
    <x v="0"/>
    <x v="6"/>
    <n v="31"/>
    <n v="30"/>
    <x v="12"/>
    <x v="11"/>
    <s v="cashloan"/>
    <n v="1722360000"/>
  </r>
  <r>
    <x v="211"/>
    <x v="0"/>
    <x v="6"/>
    <n v="31"/>
    <n v="30"/>
    <x v="8"/>
    <x v="8"/>
    <s v="cashloan"/>
    <n v="1941740000"/>
  </r>
  <r>
    <x v="211"/>
    <x v="0"/>
    <x v="6"/>
    <n v="31"/>
    <n v="30"/>
    <x v="5"/>
    <x v="5"/>
    <s v="overdraft"/>
    <n v="2845676626"/>
  </r>
  <r>
    <x v="211"/>
    <x v="0"/>
    <x v="6"/>
    <n v="31"/>
    <n v="30"/>
    <x v="1"/>
    <x v="1"/>
    <s v="cashloan"/>
    <n v="35000000"/>
  </r>
  <r>
    <x v="211"/>
    <x v="0"/>
    <x v="6"/>
    <n v="31"/>
    <n v="30"/>
    <x v="9"/>
    <x v="9"/>
    <s v="cashloan"/>
    <n v="0"/>
  </r>
  <r>
    <x v="212"/>
    <x v="0"/>
    <x v="6"/>
    <n v="31"/>
    <n v="31"/>
    <x v="6"/>
    <x v="6"/>
    <s v="payday"/>
    <n v="56000000"/>
  </r>
  <r>
    <x v="212"/>
    <x v="0"/>
    <x v="6"/>
    <n v="31"/>
    <n v="31"/>
    <x v="9"/>
    <x v="9"/>
    <s v="cashloan"/>
    <n v="0"/>
  </r>
  <r>
    <x v="212"/>
    <x v="0"/>
    <x v="6"/>
    <n v="31"/>
    <n v="31"/>
    <x v="10"/>
    <x v="9"/>
    <s v="cashloan"/>
    <n v="69640000"/>
  </r>
  <r>
    <x v="212"/>
    <x v="0"/>
    <x v="6"/>
    <n v="31"/>
    <n v="31"/>
    <x v="11"/>
    <x v="10"/>
    <s v="paylater"/>
    <n v="25972500"/>
  </r>
  <r>
    <x v="212"/>
    <x v="0"/>
    <x v="6"/>
    <n v="31"/>
    <n v="31"/>
    <x v="7"/>
    <x v="7"/>
    <s v="paylater"/>
    <n v="140835600"/>
  </r>
  <r>
    <x v="212"/>
    <x v="0"/>
    <x v="6"/>
    <n v="31"/>
    <n v="31"/>
    <x v="1"/>
    <x v="1"/>
    <s v="cashloan"/>
    <n v="73500000"/>
  </r>
  <r>
    <x v="212"/>
    <x v="0"/>
    <x v="6"/>
    <n v="31"/>
    <n v="31"/>
    <x v="3"/>
    <x v="3"/>
    <s v="cashloan"/>
    <n v="205800000"/>
  </r>
  <r>
    <x v="212"/>
    <x v="0"/>
    <x v="6"/>
    <n v="31"/>
    <n v="31"/>
    <x v="8"/>
    <x v="8"/>
    <s v="cashloan"/>
    <n v="2163540000"/>
  </r>
  <r>
    <x v="212"/>
    <x v="0"/>
    <x v="6"/>
    <n v="31"/>
    <n v="31"/>
    <x v="12"/>
    <x v="11"/>
    <s v="cashloan"/>
    <n v="1833610000"/>
  </r>
  <r>
    <x v="212"/>
    <x v="0"/>
    <x v="6"/>
    <n v="31"/>
    <n v="31"/>
    <x v="0"/>
    <x v="0"/>
    <s v="payday"/>
    <n v="3811500000"/>
  </r>
  <r>
    <x v="212"/>
    <x v="0"/>
    <x v="6"/>
    <n v="31"/>
    <n v="31"/>
    <x v="5"/>
    <x v="5"/>
    <s v="overdraft"/>
    <n v="2851335766"/>
  </r>
  <r>
    <x v="212"/>
    <x v="0"/>
    <x v="6"/>
    <n v="31"/>
    <n v="31"/>
    <x v="2"/>
    <x v="2"/>
    <s v="cashloan"/>
    <n v="4674260000"/>
  </r>
  <r>
    <x v="213"/>
    <x v="0"/>
    <x v="7"/>
    <n v="31"/>
    <n v="1"/>
    <x v="0"/>
    <x v="0"/>
    <s v="payday"/>
    <n v="4133500000"/>
  </r>
  <r>
    <x v="213"/>
    <x v="0"/>
    <x v="7"/>
    <n v="31"/>
    <n v="1"/>
    <x v="8"/>
    <x v="8"/>
    <s v="cashloan"/>
    <n v="1704510000"/>
  </r>
  <r>
    <x v="213"/>
    <x v="0"/>
    <x v="7"/>
    <n v="31"/>
    <n v="1"/>
    <x v="7"/>
    <x v="7"/>
    <s v="paylater"/>
    <n v="179475954"/>
  </r>
  <r>
    <x v="213"/>
    <x v="0"/>
    <x v="7"/>
    <n v="31"/>
    <n v="1"/>
    <x v="2"/>
    <x v="2"/>
    <s v="cashloan"/>
    <n v="4942760000"/>
  </r>
  <r>
    <x v="213"/>
    <x v="0"/>
    <x v="7"/>
    <n v="31"/>
    <n v="1"/>
    <x v="12"/>
    <x v="11"/>
    <s v="cashloan"/>
    <n v="2054140000"/>
  </r>
  <r>
    <x v="213"/>
    <x v="0"/>
    <x v="7"/>
    <n v="31"/>
    <n v="1"/>
    <x v="5"/>
    <x v="5"/>
    <s v="overdraft"/>
    <n v="4448879712"/>
  </r>
  <r>
    <x v="213"/>
    <x v="0"/>
    <x v="7"/>
    <n v="31"/>
    <n v="1"/>
    <x v="6"/>
    <x v="6"/>
    <s v="payday"/>
    <n v="59000000"/>
  </r>
  <r>
    <x v="213"/>
    <x v="0"/>
    <x v="7"/>
    <n v="31"/>
    <n v="1"/>
    <x v="11"/>
    <x v="10"/>
    <s v="paylater"/>
    <n v="24879383"/>
  </r>
  <r>
    <x v="213"/>
    <x v="0"/>
    <x v="7"/>
    <n v="31"/>
    <n v="1"/>
    <x v="3"/>
    <x v="3"/>
    <s v="cashloan"/>
    <n v="221550000"/>
  </r>
  <r>
    <x v="213"/>
    <x v="0"/>
    <x v="7"/>
    <n v="31"/>
    <n v="1"/>
    <x v="10"/>
    <x v="9"/>
    <s v="cashloan"/>
    <n v="36380000"/>
  </r>
  <r>
    <x v="213"/>
    <x v="0"/>
    <x v="7"/>
    <n v="31"/>
    <n v="1"/>
    <x v="9"/>
    <x v="9"/>
    <s v="cashloan"/>
    <n v="0"/>
  </r>
  <r>
    <x v="213"/>
    <x v="0"/>
    <x v="7"/>
    <n v="31"/>
    <n v="1"/>
    <x v="1"/>
    <x v="1"/>
    <s v="cashloan"/>
    <n v="62250000"/>
  </r>
  <r>
    <x v="213"/>
    <x v="0"/>
    <x v="7"/>
    <n v="31"/>
    <n v="1"/>
    <x v="7"/>
    <x v="7"/>
    <s v="paylater"/>
    <n v="176086012"/>
  </r>
  <r>
    <x v="214"/>
    <x v="0"/>
    <x v="7"/>
    <n v="31"/>
    <n v="2"/>
    <x v="8"/>
    <x v="8"/>
    <s v="cashloan"/>
    <n v="2188530000"/>
  </r>
  <r>
    <x v="214"/>
    <x v="0"/>
    <x v="7"/>
    <n v="31"/>
    <n v="2"/>
    <x v="9"/>
    <x v="9"/>
    <s v="cashloan"/>
    <n v="0"/>
  </r>
  <r>
    <x v="214"/>
    <x v="0"/>
    <x v="7"/>
    <n v="31"/>
    <n v="2"/>
    <x v="2"/>
    <x v="2"/>
    <s v="cashloan"/>
    <n v="4863960000"/>
  </r>
  <r>
    <x v="214"/>
    <x v="0"/>
    <x v="7"/>
    <n v="31"/>
    <n v="2"/>
    <x v="6"/>
    <x v="6"/>
    <s v="payday"/>
    <n v="26000000"/>
  </r>
  <r>
    <x v="214"/>
    <x v="0"/>
    <x v="7"/>
    <n v="31"/>
    <n v="2"/>
    <x v="5"/>
    <x v="5"/>
    <s v="overdraft"/>
    <n v="3765035529"/>
  </r>
  <r>
    <x v="214"/>
    <x v="0"/>
    <x v="7"/>
    <n v="31"/>
    <n v="2"/>
    <x v="12"/>
    <x v="11"/>
    <s v="cashloan"/>
    <n v="1742260000"/>
  </r>
  <r>
    <x v="214"/>
    <x v="0"/>
    <x v="7"/>
    <n v="31"/>
    <n v="2"/>
    <x v="1"/>
    <x v="1"/>
    <s v="cashloan"/>
    <n v="41500000"/>
  </r>
  <r>
    <x v="214"/>
    <x v="0"/>
    <x v="7"/>
    <n v="31"/>
    <n v="2"/>
    <x v="10"/>
    <x v="9"/>
    <s v="cashloan"/>
    <n v="24420000"/>
  </r>
  <r>
    <x v="214"/>
    <x v="0"/>
    <x v="7"/>
    <n v="31"/>
    <n v="2"/>
    <x v="3"/>
    <x v="3"/>
    <s v="cashloan"/>
    <n v="88200000"/>
  </r>
  <r>
    <x v="214"/>
    <x v="0"/>
    <x v="7"/>
    <n v="31"/>
    <n v="2"/>
    <x v="0"/>
    <x v="0"/>
    <s v="payday"/>
    <n v="4106000000"/>
  </r>
  <r>
    <x v="214"/>
    <x v="0"/>
    <x v="7"/>
    <n v="31"/>
    <n v="2"/>
    <x v="11"/>
    <x v="10"/>
    <s v="paylater"/>
    <n v="30846700"/>
  </r>
  <r>
    <x v="214"/>
    <x v="0"/>
    <x v="7"/>
    <n v="31"/>
    <n v="2"/>
    <x v="0"/>
    <x v="0"/>
    <s v="payday"/>
    <n v="3896000000"/>
  </r>
  <r>
    <x v="214"/>
    <x v="0"/>
    <x v="7"/>
    <n v="31"/>
    <n v="2"/>
    <x v="7"/>
    <x v="7"/>
    <s v="paylater"/>
    <n v="217104708"/>
  </r>
  <r>
    <x v="215"/>
    <x v="0"/>
    <x v="7"/>
    <n v="31"/>
    <n v="3"/>
    <x v="6"/>
    <x v="6"/>
    <s v="payday"/>
    <n v="54000000"/>
  </r>
  <r>
    <x v="215"/>
    <x v="0"/>
    <x v="7"/>
    <n v="31"/>
    <n v="3"/>
    <x v="3"/>
    <x v="3"/>
    <s v="cashloan"/>
    <n v="86100000"/>
  </r>
  <r>
    <x v="215"/>
    <x v="0"/>
    <x v="7"/>
    <n v="31"/>
    <n v="3"/>
    <x v="11"/>
    <x v="10"/>
    <s v="paylater"/>
    <n v="32833051"/>
  </r>
  <r>
    <x v="215"/>
    <x v="0"/>
    <x v="7"/>
    <n v="31"/>
    <n v="3"/>
    <x v="12"/>
    <x v="11"/>
    <s v="cashloan"/>
    <n v="1512960000"/>
  </r>
  <r>
    <x v="215"/>
    <x v="0"/>
    <x v="7"/>
    <n v="31"/>
    <n v="3"/>
    <x v="1"/>
    <x v="1"/>
    <s v="cashloan"/>
    <n v="42000000"/>
  </r>
  <r>
    <x v="215"/>
    <x v="0"/>
    <x v="7"/>
    <n v="31"/>
    <n v="3"/>
    <x v="2"/>
    <x v="2"/>
    <s v="cashloan"/>
    <n v="4645030000"/>
  </r>
  <r>
    <x v="215"/>
    <x v="0"/>
    <x v="7"/>
    <n v="31"/>
    <n v="3"/>
    <x v="5"/>
    <x v="5"/>
    <s v="overdraft"/>
    <n v="3013634506"/>
  </r>
  <r>
    <x v="215"/>
    <x v="0"/>
    <x v="7"/>
    <n v="31"/>
    <n v="3"/>
    <x v="9"/>
    <x v="9"/>
    <s v="cashloan"/>
    <n v="0"/>
  </r>
  <r>
    <x v="215"/>
    <x v="0"/>
    <x v="7"/>
    <n v="31"/>
    <n v="3"/>
    <x v="10"/>
    <x v="9"/>
    <s v="cashloan"/>
    <n v="21400000"/>
  </r>
  <r>
    <x v="215"/>
    <x v="0"/>
    <x v="7"/>
    <n v="31"/>
    <n v="3"/>
    <x v="8"/>
    <x v="8"/>
    <s v="cashloan"/>
    <n v="1432560000"/>
  </r>
  <r>
    <x v="216"/>
    <x v="0"/>
    <x v="7"/>
    <n v="31"/>
    <n v="4"/>
    <x v="10"/>
    <x v="9"/>
    <s v="cashloan"/>
    <n v="42800000"/>
  </r>
  <r>
    <x v="216"/>
    <x v="0"/>
    <x v="7"/>
    <n v="31"/>
    <n v="4"/>
    <x v="11"/>
    <x v="10"/>
    <s v="paylater"/>
    <n v="40069797"/>
  </r>
  <r>
    <x v="216"/>
    <x v="0"/>
    <x v="7"/>
    <n v="31"/>
    <n v="4"/>
    <x v="9"/>
    <x v="9"/>
    <s v="cashloan"/>
    <n v="0"/>
  </r>
  <r>
    <x v="216"/>
    <x v="0"/>
    <x v="7"/>
    <n v="31"/>
    <n v="4"/>
    <x v="3"/>
    <x v="3"/>
    <s v="cashloan"/>
    <n v="152200000"/>
  </r>
  <r>
    <x v="216"/>
    <x v="0"/>
    <x v="7"/>
    <n v="31"/>
    <n v="4"/>
    <x v="7"/>
    <x v="7"/>
    <s v="paylater"/>
    <n v="346103560"/>
  </r>
  <r>
    <x v="216"/>
    <x v="0"/>
    <x v="7"/>
    <n v="31"/>
    <n v="4"/>
    <x v="8"/>
    <x v="8"/>
    <s v="cashloan"/>
    <n v="481150000"/>
  </r>
  <r>
    <x v="216"/>
    <x v="0"/>
    <x v="7"/>
    <n v="31"/>
    <n v="4"/>
    <x v="6"/>
    <x v="6"/>
    <s v="payday"/>
    <n v="32000000"/>
  </r>
  <r>
    <x v="216"/>
    <x v="0"/>
    <x v="7"/>
    <n v="31"/>
    <n v="4"/>
    <x v="12"/>
    <x v="11"/>
    <s v="cashloan"/>
    <n v="1535190000"/>
  </r>
  <r>
    <x v="216"/>
    <x v="0"/>
    <x v="7"/>
    <n v="31"/>
    <n v="4"/>
    <x v="1"/>
    <x v="1"/>
    <s v="cashloan"/>
    <n v="30500000"/>
  </r>
  <r>
    <x v="216"/>
    <x v="0"/>
    <x v="7"/>
    <n v="31"/>
    <n v="4"/>
    <x v="0"/>
    <x v="0"/>
    <s v="payday"/>
    <n v="3385500000"/>
  </r>
  <r>
    <x v="216"/>
    <x v="0"/>
    <x v="7"/>
    <n v="31"/>
    <n v="4"/>
    <x v="2"/>
    <x v="2"/>
    <s v="cashloan"/>
    <n v="3993670000"/>
  </r>
  <r>
    <x v="216"/>
    <x v="0"/>
    <x v="7"/>
    <n v="31"/>
    <n v="4"/>
    <x v="5"/>
    <x v="5"/>
    <s v="overdraft"/>
    <n v="2738288820"/>
  </r>
  <r>
    <x v="217"/>
    <x v="0"/>
    <x v="7"/>
    <n v="32"/>
    <n v="5"/>
    <x v="8"/>
    <x v="8"/>
    <s v="cashloan"/>
    <n v="1363550000"/>
  </r>
  <r>
    <x v="217"/>
    <x v="0"/>
    <x v="7"/>
    <n v="32"/>
    <n v="5"/>
    <x v="6"/>
    <x v="6"/>
    <s v="payday"/>
    <n v="61000000"/>
  </r>
  <r>
    <x v="217"/>
    <x v="0"/>
    <x v="7"/>
    <n v="32"/>
    <n v="5"/>
    <x v="10"/>
    <x v="9"/>
    <s v="cashloan"/>
    <n v="39960000"/>
  </r>
  <r>
    <x v="217"/>
    <x v="0"/>
    <x v="7"/>
    <n v="32"/>
    <n v="5"/>
    <x v="9"/>
    <x v="9"/>
    <s v="cashloan"/>
    <n v="0"/>
  </r>
  <r>
    <x v="217"/>
    <x v="0"/>
    <x v="7"/>
    <n v="32"/>
    <n v="5"/>
    <x v="2"/>
    <x v="2"/>
    <s v="cashloan"/>
    <n v="6604450000"/>
  </r>
  <r>
    <x v="217"/>
    <x v="0"/>
    <x v="7"/>
    <n v="32"/>
    <n v="5"/>
    <x v="3"/>
    <x v="3"/>
    <s v="cashloan"/>
    <n v="163300000"/>
  </r>
  <r>
    <x v="217"/>
    <x v="0"/>
    <x v="7"/>
    <n v="32"/>
    <n v="5"/>
    <x v="5"/>
    <x v="5"/>
    <s v="overdraft"/>
    <n v="3874846777"/>
  </r>
  <r>
    <x v="217"/>
    <x v="0"/>
    <x v="7"/>
    <n v="32"/>
    <n v="5"/>
    <x v="11"/>
    <x v="10"/>
    <s v="paylater"/>
    <n v="39201165"/>
  </r>
  <r>
    <x v="217"/>
    <x v="0"/>
    <x v="7"/>
    <n v="32"/>
    <n v="5"/>
    <x v="1"/>
    <x v="1"/>
    <s v="cashloan"/>
    <n v="33600000"/>
  </r>
  <r>
    <x v="217"/>
    <x v="0"/>
    <x v="7"/>
    <n v="32"/>
    <n v="5"/>
    <x v="7"/>
    <x v="7"/>
    <s v="paylater"/>
    <n v="275345365"/>
  </r>
  <r>
    <x v="217"/>
    <x v="0"/>
    <x v="7"/>
    <n v="32"/>
    <n v="5"/>
    <x v="4"/>
    <x v="4"/>
    <n v="0"/>
    <n v="19641763307"/>
  </r>
  <r>
    <x v="217"/>
    <x v="0"/>
    <x v="7"/>
    <n v="32"/>
    <n v="5"/>
    <x v="0"/>
    <x v="0"/>
    <s v="payday"/>
    <n v="4977000000"/>
  </r>
  <r>
    <x v="217"/>
    <x v="0"/>
    <x v="7"/>
    <n v="32"/>
    <n v="5"/>
    <x v="12"/>
    <x v="11"/>
    <s v="cashloan"/>
    <n v="2209510000"/>
  </r>
  <r>
    <x v="218"/>
    <x v="0"/>
    <x v="7"/>
    <n v="32"/>
    <n v="6"/>
    <x v="6"/>
    <x v="6"/>
    <s v="payday"/>
    <n v="69000000"/>
  </r>
  <r>
    <x v="218"/>
    <x v="0"/>
    <x v="7"/>
    <n v="32"/>
    <n v="6"/>
    <x v="2"/>
    <x v="2"/>
    <s v="cashloan"/>
    <n v="5511480000"/>
  </r>
  <r>
    <x v="218"/>
    <x v="0"/>
    <x v="7"/>
    <n v="32"/>
    <n v="6"/>
    <x v="7"/>
    <x v="7"/>
    <s v="paylater"/>
    <n v="270090474"/>
  </r>
  <r>
    <x v="218"/>
    <x v="0"/>
    <x v="7"/>
    <n v="32"/>
    <n v="6"/>
    <x v="3"/>
    <x v="3"/>
    <s v="cashloan"/>
    <n v="225750000"/>
  </r>
  <r>
    <x v="218"/>
    <x v="0"/>
    <x v="7"/>
    <n v="32"/>
    <n v="6"/>
    <x v="12"/>
    <x v="11"/>
    <s v="cashloan"/>
    <n v="2573760000"/>
  </r>
  <r>
    <x v="218"/>
    <x v="0"/>
    <x v="7"/>
    <n v="32"/>
    <n v="6"/>
    <x v="0"/>
    <x v="0"/>
    <s v="payday"/>
    <n v="3893000000"/>
  </r>
  <r>
    <x v="218"/>
    <x v="0"/>
    <x v="7"/>
    <n v="32"/>
    <n v="6"/>
    <x v="11"/>
    <x v="10"/>
    <s v="paylater"/>
    <n v="32935645"/>
  </r>
  <r>
    <x v="218"/>
    <x v="0"/>
    <x v="7"/>
    <n v="32"/>
    <n v="6"/>
    <x v="4"/>
    <x v="4"/>
    <n v="0"/>
    <n v="16557294151"/>
  </r>
  <r>
    <x v="218"/>
    <x v="0"/>
    <x v="7"/>
    <n v="32"/>
    <n v="6"/>
    <x v="9"/>
    <x v="9"/>
    <s v="cashloan"/>
    <n v="18000000"/>
  </r>
  <r>
    <x v="218"/>
    <x v="0"/>
    <x v="7"/>
    <n v="32"/>
    <n v="6"/>
    <x v="5"/>
    <x v="5"/>
    <s v="overdraft"/>
    <n v="2801218032"/>
  </r>
  <r>
    <x v="218"/>
    <x v="0"/>
    <x v="7"/>
    <n v="32"/>
    <n v="6"/>
    <x v="8"/>
    <x v="8"/>
    <s v="cashloan"/>
    <n v="1067860000"/>
  </r>
  <r>
    <x v="218"/>
    <x v="0"/>
    <x v="7"/>
    <n v="32"/>
    <n v="6"/>
    <x v="10"/>
    <x v="9"/>
    <s v="cashloan"/>
    <n v="20700000"/>
  </r>
  <r>
    <x v="218"/>
    <x v="0"/>
    <x v="7"/>
    <n v="32"/>
    <n v="6"/>
    <x v="1"/>
    <x v="1"/>
    <s v="cashloan"/>
    <n v="73500000"/>
  </r>
  <r>
    <x v="219"/>
    <x v="0"/>
    <x v="7"/>
    <n v="32"/>
    <n v="7"/>
    <x v="9"/>
    <x v="9"/>
    <s v="cashloan"/>
    <n v="0"/>
  </r>
  <r>
    <x v="219"/>
    <x v="0"/>
    <x v="7"/>
    <n v="32"/>
    <n v="7"/>
    <x v="11"/>
    <x v="10"/>
    <s v="paylater"/>
    <n v="36765833"/>
  </r>
  <r>
    <x v="219"/>
    <x v="0"/>
    <x v="7"/>
    <n v="32"/>
    <n v="7"/>
    <x v="10"/>
    <x v="9"/>
    <s v="cashloan"/>
    <n v="10700000"/>
  </r>
  <r>
    <x v="219"/>
    <x v="0"/>
    <x v="7"/>
    <n v="32"/>
    <n v="7"/>
    <x v="1"/>
    <x v="1"/>
    <s v="cashloan"/>
    <n v="67250000"/>
  </r>
  <r>
    <x v="219"/>
    <x v="0"/>
    <x v="7"/>
    <n v="32"/>
    <n v="7"/>
    <x v="6"/>
    <x v="6"/>
    <s v="payday"/>
    <n v="128000000"/>
  </r>
  <r>
    <x v="219"/>
    <x v="0"/>
    <x v="7"/>
    <n v="32"/>
    <n v="7"/>
    <x v="8"/>
    <x v="8"/>
    <s v="cashloan"/>
    <n v="1354210000"/>
  </r>
  <r>
    <x v="219"/>
    <x v="0"/>
    <x v="7"/>
    <n v="32"/>
    <n v="7"/>
    <x v="0"/>
    <x v="0"/>
    <s v="payday"/>
    <n v="3830000000"/>
  </r>
  <r>
    <x v="219"/>
    <x v="0"/>
    <x v="7"/>
    <n v="32"/>
    <n v="7"/>
    <x v="5"/>
    <x v="5"/>
    <s v="overdraft"/>
    <n v="2259544229"/>
  </r>
  <r>
    <x v="219"/>
    <x v="0"/>
    <x v="7"/>
    <n v="32"/>
    <n v="7"/>
    <x v="2"/>
    <x v="2"/>
    <s v="cashloan"/>
    <n v="5600060000"/>
  </r>
  <r>
    <x v="219"/>
    <x v="0"/>
    <x v="7"/>
    <n v="32"/>
    <n v="7"/>
    <x v="7"/>
    <x v="7"/>
    <s v="paylater"/>
    <n v="246075081"/>
  </r>
  <r>
    <x v="219"/>
    <x v="0"/>
    <x v="7"/>
    <n v="32"/>
    <n v="7"/>
    <x v="12"/>
    <x v="11"/>
    <s v="cashloan"/>
    <n v="2464740000"/>
  </r>
  <r>
    <x v="219"/>
    <x v="0"/>
    <x v="7"/>
    <n v="32"/>
    <n v="7"/>
    <x v="4"/>
    <x v="4"/>
    <n v="0"/>
    <n v="16111795143"/>
  </r>
  <r>
    <x v="219"/>
    <x v="0"/>
    <x v="7"/>
    <n v="32"/>
    <n v="7"/>
    <x v="3"/>
    <x v="3"/>
    <s v="cashloan"/>
    <n v="114450000"/>
  </r>
  <r>
    <x v="220"/>
    <x v="0"/>
    <x v="7"/>
    <n v="32"/>
    <n v="8"/>
    <x v="7"/>
    <x v="7"/>
    <s v="paylater"/>
    <n v="229123338"/>
  </r>
  <r>
    <x v="220"/>
    <x v="0"/>
    <x v="7"/>
    <n v="32"/>
    <n v="8"/>
    <x v="1"/>
    <x v="1"/>
    <s v="cashloan"/>
    <n v="42000000"/>
  </r>
  <r>
    <x v="220"/>
    <x v="0"/>
    <x v="7"/>
    <n v="32"/>
    <n v="8"/>
    <x v="6"/>
    <x v="6"/>
    <s v="payday"/>
    <n v="46000000"/>
  </r>
  <r>
    <x v="220"/>
    <x v="0"/>
    <x v="7"/>
    <n v="32"/>
    <n v="8"/>
    <x v="4"/>
    <x v="4"/>
    <n v="0"/>
    <n v="16416699609"/>
  </r>
  <r>
    <x v="220"/>
    <x v="0"/>
    <x v="7"/>
    <n v="32"/>
    <n v="8"/>
    <x v="5"/>
    <x v="5"/>
    <s v="overdraft"/>
    <n v="2807414989"/>
  </r>
  <r>
    <x v="220"/>
    <x v="0"/>
    <x v="7"/>
    <n v="32"/>
    <n v="8"/>
    <x v="3"/>
    <x v="3"/>
    <s v="cashloan"/>
    <n v="95550000"/>
  </r>
  <r>
    <x v="220"/>
    <x v="0"/>
    <x v="7"/>
    <n v="32"/>
    <n v="8"/>
    <x v="0"/>
    <x v="0"/>
    <s v="payday"/>
    <n v="4085000000"/>
  </r>
  <r>
    <x v="220"/>
    <x v="0"/>
    <x v="7"/>
    <n v="32"/>
    <n v="8"/>
    <x v="2"/>
    <x v="2"/>
    <s v="cashloan"/>
    <n v="5450640000"/>
  </r>
  <r>
    <x v="220"/>
    <x v="0"/>
    <x v="7"/>
    <n v="32"/>
    <n v="8"/>
    <x v="12"/>
    <x v="11"/>
    <s v="cashloan"/>
    <n v="2593360000"/>
  </r>
  <r>
    <x v="220"/>
    <x v="0"/>
    <x v="7"/>
    <n v="32"/>
    <n v="8"/>
    <x v="11"/>
    <x v="10"/>
    <s v="paylater"/>
    <n v="26951282"/>
  </r>
  <r>
    <x v="220"/>
    <x v="0"/>
    <x v="7"/>
    <n v="32"/>
    <n v="8"/>
    <x v="10"/>
    <x v="9"/>
    <s v="cashloan"/>
    <n v="0"/>
  </r>
  <r>
    <x v="220"/>
    <x v="0"/>
    <x v="7"/>
    <n v="32"/>
    <n v="8"/>
    <x v="9"/>
    <x v="9"/>
    <s v="cashloan"/>
    <n v="0"/>
  </r>
  <r>
    <x v="220"/>
    <x v="0"/>
    <x v="7"/>
    <n v="32"/>
    <n v="8"/>
    <x v="8"/>
    <x v="8"/>
    <s v="cashloan"/>
    <n v="1040660000"/>
  </r>
  <r>
    <x v="221"/>
    <x v="0"/>
    <x v="7"/>
    <n v="32"/>
    <n v="9"/>
    <x v="1"/>
    <x v="1"/>
    <s v="cashloan"/>
    <n v="42000000"/>
  </r>
  <r>
    <x v="221"/>
    <x v="0"/>
    <x v="7"/>
    <n v="32"/>
    <n v="9"/>
    <x v="12"/>
    <x v="11"/>
    <s v="cashloan"/>
    <n v="2306520000"/>
  </r>
  <r>
    <x v="221"/>
    <x v="0"/>
    <x v="7"/>
    <n v="32"/>
    <n v="9"/>
    <x v="2"/>
    <x v="2"/>
    <s v="cashloan"/>
    <n v="6296150000"/>
  </r>
  <r>
    <x v="221"/>
    <x v="0"/>
    <x v="7"/>
    <n v="32"/>
    <n v="9"/>
    <x v="5"/>
    <x v="5"/>
    <s v="overdraft"/>
    <n v="2799906262"/>
  </r>
  <r>
    <x v="221"/>
    <x v="0"/>
    <x v="7"/>
    <n v="32"/>
    <n v="9"/>
    <x v="3"/>
    <x v="3"/>
    <s v="cashloan"/>
    <n v="69300000"/>
  </r>
  <r>
    <x v="221"/>
    <x v="0"/>
    <x v="7"/>
    <n v="32"/>
    <n v="9"/>
    <x v="11"/>
    <x v="10"/>
    <s v="paylater"/>
    <n v="41095650"/>
  </r>
  <r>
    <x v="221"/>
    <x v="0"/>
    <x v="7"/>
    <n v="32"/>
    <n v="9"/>
    <x v="0"/>
    <x v="0"/>
    <s v="payday"/>
    <n v="4475500000"/>
  </r>
  <r>
    <x v="221"/>
    <x v="0"/>
    <x v="7"/>
    <n v="32"/>
    <n v="9"/>
    <x v="6"/>
    <x v="6"/>
    <s v="payday"/>
    <n v="72000000"/>
  </r>
  <r>
    <x v="221"/>
    <x v="0"/>
    <x v="7"/>
    <n v="32"/>
    <n v="9"/>
    <x v="8"/>
    <x v="8"/>
    <s v="cashloan"/>
    <n v="1245150000"/>
  </r>
  <r>
    <x v="221"/>
    <x v="0"/>
    <x v="7"/>
    <n v="32"/>
    <n v="9"/>
    <x v="7"/>
    <x v="7"/>
    <s v="paylater"/>
    <n v="204083998"/>
  </r>
  <r>
    <x v="221"/>
    <x v="0"/>
    <x v="7"/>
    <n v="32"/>
    <n v="9"/>
    <x v="10"/>
    <x v="9"/>
    <s v="cashloan"/>
    <n v="0"/>
  </r>
  <r>
    <x v="221"/>
    <x v="0"/>
    <x v="7"/>
    <n v="32"/>
    <n v="9"/>
    <x v="4"/>
    <x v="4"/>
    <n v="0"/>
    <n v="17560265910"/>
  </r>
  <r>
    <x v="221"/>
    <x v="0"/>
    <x v="7"/>
    <n v="32"/>
    <n v="9"/>
    <x v="9"/>
    <x v="9"/>
    <s v="cashloan"/>
    <n v="8560000"/>
  </r>
  <r>
    <x v="222"/>
    <x v="0"/>
    <x v="7"/>
    <n v="32"/>
    <n v="10"/>
    <x v="5"/>
    <x v="5"/>
    <s v="overdraft"/>
    <n v="2506066767"/>
  </r>
  <r>
    <x v="222"/>
    <x v="0"/>
    <x v="7"/>
    <n v="32"/>
    <n v="10"/>
    <x v="11"/>
    <x v="10"/>
    <s v="paylater"/>
    <n v="38667787"/>
  </r>
  <r>
    <x v="222"/>
    <x v="0"/>
    <x v="7"/>
    <n v="32"/>
    <n v="10"/>
    <x v="6"/>
    <x v="6"/>
    <s v="payday"/>
    <n v="40000000"/>
  </r>
  <r>
    <x v="222"/>
    <x v="0"/>
    <x v="7"/>
    <n v="32"/>
    <n v="10"/>
    <x v="2"/>
    <x v="2"/>
    <s v="cashloan"/>
    <n v="5790810000"/>
  </r>
  <r>
    <x v="222"/>
    <x v="0"/>
    <x v="7"/>
    <n v="32"/>
    <n v="10"/>
    <x v="7"/>
    <x v="7"/>
    <s v="paylater"/>
    <n v="200087381"/>
  </r>
  <r>
    <x v="222"/>
    <x v="0"/>
    <x v="7"/>
    <n v="32"/>
    <n v="10"/>
    <x v="10"/>
    <x v="9"/>
    <s v="cashloan"/>
    <n v="0"/>
  </r>
  <r>
    <x v="222"/>
    <x v="0"/>
    <x v="7"/>
    <n v="32"/>
    <n v="10"/>
    <x v="9"/>
    <x v="9"/>
    <s v="cashloan"/>
    <n v="0"/>
  </r>
  <r>
    <x v="222"/>
    <x v="0"/>
    <x v="7"/>
    <n v="32"/>
    <n v="10"/>
    <x v="1"/>
    <x v="1"/>
    <s v="cashloan"/>
    <n v="44100000"/>
  </r>
  <r>
    <x v="222"/>
    <x v="0"/>
    <x v="7"/>
    <n v="32"/>
    <n v="10"/>
    <x v="4"/>
    <x v="4"/>
    <n v="0"/>
    <n v="17380021935"/>
  </r>
  <r>
    <x v="222"/>
    <x v="0"/>
    <x v="7"/>
    <n v="32"/>
    <n v="10"/>
    <x v="12"/>
    <x v="11"/>
    <s v="cashloan"/>
    <n v="2618570000"/>
  </r>
  <r>
    <x v="222"/>
    <x v="0"/>
    <x v="7"/>
    <n v="32"/>
    <n v="10"/>
    <x v="0"/>
    <x v="0"/>
    <s v="payday"/>
    <n v="4537000000"/>
  </r>
  <r>
    <x v="222"/>
    <x v="0"/>
    <x v="7"/>
    <n v="32"/>
    <n v="10"/>
    <x v="3"/>
    <x v="3"/>
    <s v="cashloan"/>
    <n v="54600000"/>
  </r>
  <r>
    <x v="222"/>
    <x v="0"/>
    <x v="7"/>
    <n v="32"/>
    <n v="10"/>
    <x v="8"/>
    <x v="8"/>
    <s v="cashloan"/>
    <n v="1550120000"/>
  </r>
  <r>
    <x v="223"/>
    <x v="0"/>
    <x v="7"/>
    <n v="32"/>
    <n v="11"/>
    <x v="4"/>
    <x v="4"/>
    <n v="0"/>
    <n v="12357492848"/>
  </r>
  <r>
    <x v="223"/>
    <x v="0"/>
    <x v="7"/>
    <n v="32"/>
    <n v="11"/>
    <x v="6"/>
    <x v="6"/>
    <s v="payday"/>
    <n v="31000000"/>
  </r>
  <r>
    <x v="223"/>
    <x v="0"/>
    <x v="7"/>
    <n v="32"/>
    <n v="11"/>
    <x v="3"/>
    <x v="3"/>
    <s v="cashloan"/>
    <n v="57750000"/>
  </r>
  <r>
    <x v="223"/>
    <x v="0"/>
    <x v="7"/>
    <n v="32"/>
    <n v="11"/>
    <x v="12"/>
    <x v="11"/>
    <s v="cashloan"/>
    <n v="1776650000"/>
  </r>
  <r>
    <x v="223"/>
    <x v="0"/>
    <x v="7"/>
    <n v="32"/>
    <n v="11"/>
    <x v="7"/>
    <x v="7"/>
    <s v="paylater"/>
    <n v="136003530"/>
  </r>
  <r>
    <x v="223"/>
    <x v="0"/>
    <x v="7"/>
    <n v="32"/>
    <n v="11"/>
    <x v="8"/>
    <x v="8"/>
    <s v="cashloan"/>
    <n v="432280000"/>
  </r>
  <r>
    <x v="223"/>
    <x v="0"/>
    <x v="7"/>
    <n v="32"/>
    <n v="11"/>
    <x v="1"/>
    <x v="1"/>
    <s v="cashloan"/>
    <n v="46750000"/>
  </r>
  <r>
    <x v="223"/>
    <x v="0"/>
    <x v="7"/>
    <n v="32"/>
    <n v="11"/>
    <x v="5"/>
    <x v="5"/>
    <s v="overdraft"/>
    <n v="1769767742"/>
  </r>
  <r>
    <x v="223"/>
    <x v="0"/>
    <x v="7"/>
    <n v="32"/>
    <n v="11"/>
    <x v="11"/>
    <x v="10"/>
    <s v="paylater"/>
    <n v="29461576"/>
  </r>
  <r>
    <x v="223"/>
    <x v="0"/>
    <x v="7"/>
    <n v="32"/>
    <n v="11"/>
    <x v="0"/>
    <x v="0"/>
    <s v="payday"/>
    <n v="3521500000"/>
  </r>
  <r>
    <x v="223"/>
    <x v="0"/>
    <x v="7"/>
    <n v="32"/>
    <n v="11"/>
    <x v="9"/>
    <x v="9"/>
    <s v="cashloan"/>
    <n v="0"/>
  </r>
  <r>
    <x v="223"/>
    <x v="0"/>
    <x v="7"/>
    <n v="32"/>
    <n v="11"/>
    <x v="10"/>
    <x v="9"/>
    <s v="cashloan"/>
    <n v="0"/>
  </r>
  <r>
    <x v="223"/>
    <x v="0"/>
    <x v="7"/>
    <n v="32"/>
    <n v="11"/>
    <x v="2"/>
    <x v="2"/>
    <s v="cashloan"/>
    <n v="4556330000"/>
  </r>
  <r>
    <x v="224"/>
    <x v="0"/>
    <x v="7"/>
    <n v="33"/>
    <n v="12"/>
    <x v="12"/>
    <x v="11"/>
    <s v="cashloan"/>
    <n v="2640230000"/>
  </r>
  <r>
    <x v="224"/>
    <x v="0"/>
    <x v="7"/>
    <n v="33"/>
    <n v="12"/>
    <x v="5"/>
    <x v="5"/>
    <s v="overdraft"/>
    <n v="2685094474"/>
  </r>
  <r>
    <x v="224"/>
    <x v="0"/>
    <x v="7"/>
    <n v="33"/>
    <n v="12"/>
    <x v="2"/>
    <x v="2"/>
    <s v="cashloan"/>
    <n v="6423030000"/>
  </r>
  <r>
    <x v="224"/>
    <x v="0"/>
    <x v="7"/>
    <n v="33"/>
    <n v="12"/>
    <x v="9"/>
    <x v="9"/>
    <s v="cashloan"/>
    <n v="0"/>
  </r>
  <r>
    <x v="224"/>
    <x v="0"/>
    <x v="7"/>
    <n v="33"/>
    <n v="12"/>
    <x v="10"/>
    <x v="9"/>
    <s v="cashloan"/>
    <n v="0"/>
  </r>
  <r>
    <x v="224"/>
    <x v="0"/>
    <x v="7"/>
    <n v="33"/>
    <n v="12"/>
    <x v="4"/>
    <x v="4"/>
    <n v="0"/>
    <n v="18505530494"/>
  </r>
  <r>
    <x v="224"/>
    <x v="0"/>
    <x v="7"/>
    <n v="33"/>
    <n v="12"/>
    <x v="0"/>
    <x v="0"/>
    <s v="payday"/>
    <n v="4266000000"/>
  </r>
  <r>
    <x v="224"/>
    <x v="0"/>
    <x v="7"/>
    <n v="33"/>
    <n v="12"/>
    <x v="11"/>
    <x v="10"/>
    <s v="paylater"/>
    <n v="36085229"/>
  </r>
  <r>
    <x v="224"/>
    <x v="0"/>
    <x v="7"/>
    <n v="33"/>
    <n v="12"/>
    <x v="6"/>
    <x v="6"/>
    <s v="payday"/>
    <n v="84000000"/>
  </r>
  <r>
    <x v="224"/>
    <x v="0"/>
    <x v="7"/>
    <n v="33"/>
    <n v="12"/>
    <x v="7"/>
    <x v="7"/>
    <s v="paylater"/>
    <n v="219150791"/>
  </r>
  <r>
    <x v="224"/>
    <x v="0"/>
    <x v="7"/>
    <n v="33"/>
    <n v="12"/>
    <x v="3"/>
    <x v="3"/>
    <s v="cashloan"/>
    <n v="248850000"/>
  </r>
  <r>
    <x v="224"/>
    <x v="0"/>
    <x v="7"/>
    <n v="33"/>
    <n v="12"/>
    <x v="1"/>
    <x v="1"/>
    <s v="cashloan"/>
    <n v="21000000"/>
  </r>
  <r>
    <x v="224"/>
    <x v="0"/>
    <x v="7"/>
    <n v="33"/>
    <n v="12"/>
    <x v="8"/>
    <x v="8"/>
    <s v="cashloan"/>
    <n v="1882090000"/>
  </r>
  <r>
    <x v="225"/>
    <x v="0"/>
    <x v="7"/>
    <n v="33"/>
    <n v="13"/>
    <x v="12"/>
    <x v="11"/>
    <s v="cashloan"/>
    <n v="2777960000"/>
  </r>
  <r>
    <x v="225"/>
    <x v="0"/>
    <x v="7"/>
    <n v="33"/>
    <n v="13"/>
    <x v="5"/>
    <x v="5"/>
    <s v="overdraft"/>
    <n v="2612197570"/>
  </r>
  <r>
    <x v="225"/>
    <x v="0"/>
    <x v="7"/>
    <n v="33"/>
    <n v="13"/>
    <x v="11"/>
    <x v="10"/>
    <s v="paylater"/>
    <n v="44660943"/>
  </r>
  <r>
    <x v="225"/>
    <x v="0"/>
    <x v="7"/>
    <n v="33"/>
    <n v="13"/>
    <x v="0"/>
    <x v="0"/>
    <s v="payday"/>
    <n v="3932000000"/>
  </r>
  <r>
    <x v="225"/>
    <x v="0"/>
    <x v="7"/>
    <n v="33"/>
    <n v="13"/>
    <x v="4"/>
    <x v="4"/>
    <n v="0"/>
    <n v="17391434614"/>
  </r>
  <r>
    <x v="225"/>
    <x v="0"/>
    <x v="7"/>
    <n v="33"/>
    <n v="13"/>
    <x v="9"/>
    <x v="9"/>
    <s v="cashloan"/>
    <n v="0"/>
  </r>
  <r>
    <x v="225"/>
    <x v="0"/>
    <x v="7"/>
    <n v="33"/>
    <n v="13"/>
    <x v="7"/>
    <x v="7"/>
    <s v="paylater"/>
    <n v="215936101"/>
  </r>
  <r>
    <x v="225"/>
    <x v="0"/>
    <x v="7"/>
    <n v="33"/>
    <n v="13"/>
    <x v="1"/>
    <x v="1"/>
    <s v="cashloan"/>
    <n v="21000000"/>
  </r>
  <r>
    <x v="225"/>
    <x v="0"/>
    <x v="7"/>
    <n v="33"/>
    <n v="13"/>
    <x v="3"/>
    <x v="3"/>
    <s v="cashloan"/>
    <n v="204300000"/>
  </r>
  <r>
    <x v="225"/>
    <x v="0"/>
    <x v="7"/>
    <n v="33"/>
    <n v="13"/>
    <x v="10"/>
    <x v="9"/>
    <s v="cashloan"/>
    <n v="30700000"/>
  </r>
  <r>
    <x v="225"/>
    <x v="0"/>
    <x v="7"/>
    <n v="33"/>
    <n v="13"/>
    <x v="6"/>
    <x v="6"/>
    <s v="payday"/>
    <n v="83000000"/>
  </r>
  <r>
    <x v="225"/>
    <x v="0"/>
    <x v="7"/>
    <n v="33"/>
    <n v="13"/>
    <x v="8"/>
    <x v="8"/>
    <s v="cashloan"/>
    <n v="2075840000"/>
  </r>
  <r>
    <x v="225"/>
    <x v="0"/>
    <x v="7"/>
    <n v="33"/>
    <n v="13"/>
    <x v="2"/>
    <x v="2"/>
    <s v="cashloan"/>
    <n v="5393840000"/>
  </r>
  <r>
    <x v="226"/>
    <x v="0"/>
    <x v="7"/>
    <n v="33"/>
    <n v="14"/>
    <x v="12"/>
    <x v="11"/>
    <s v="cashloan"/>
    <n v="2553470000"/>
  </r>
  <r>
    <x v="226"/>
    <x v="0"/>
    <x v="7"/>
    <n v="33"/>
    <n v="14"/>
    <x v="8"/>
    <x v="8"/>
    <s v="cashloan"/>
    <n v="2092920000"/>
  </r>
  <r>
    <x v="226"/>
    <x v="0"/>
    <x v="7"/>
    <n v="33"/>
    <n v="14"/>
    <x v="3"/>
    <x v="3"/>
    <s v="cashloan"/>
    <n v="219450000"/>
  </r>
  <r>
    <x v="226"/>
    <x v="0"/>
    <x v="7"/>
    <n v="33"/>
    <n v="14"/>
    <x v="1"/>
    <x v="1"/>
    <s v="cashloan"/>
    <n v="98700000"/>
  </r>
  <r>
    <x v="226"/>
    <x v="0"/>
    <x v="7"/>
    <n v="33"/>
    <n v="14"/>
    <x v="6"/>
    <x v="6"/>
    <s v="payday"/>
    <n v="38000000"/>
  </r>
  <r>
    <x v="226"/>
    <x v="0"/>
    <x v="7"/>
    <n v="33"/>
    <n v="14"/>
    <x v="2"/>
    <x v="2"/>
    <s v="cashloan"/>
    <n v="5845390000"/>
  </r>
  <r>
    <x v="226"/>
    <x v="0"/>
    <x v="7"/>
    <n v="33"/>
    <n v="14"/>
    <x v="11"/>
    <x v="10"/>
    <s v="paylater"/>
    <n v="35845994"/>
  </r>
  <r>
    <x v="226"/>
    <x v="0"/>
    <x v="7"/>
    <n v="33"/>
    <n v="14"/>
    <x v="4"/>
    <x v="4"/>
    <n v="0"/>
    <n v="17408859122"/>
  </r>
  <r>
    <x v="226"/>
    <x v="0"/>
    <x v="7"/>
    <n v="33"/>
    <n v="14"/>
    <x v="10"/>
    <x v="9"/>
    <s v="cashloan"/>
    <n v="0"/>
  </r>
  <r>
    <x v="226"/>
    <x v="0"/>
    <x v="7"/>
    <n v="33"/>
    <n v="14"/>
    <x v="9"/>
    <x v="9"/>
    <s v="cashloan"/>
    <n v="0"/>
  </r>
  <r>
    <x v="226"/>
    <x v="0"/>
    <x v="7"/>
    <n v="33"/>
    <n v="14"/>
    <x v="5"/>
    <x v="5"/>
    <s v="overdraft"/>
    <n v="2572566027"/>
  </r>
  <r>
    <x v="226"/>
    <x v="0"/>
    <x v="7"/>
    <n v="33"/>
    <n v="14"/>
    <x v="0"/>
    <x v="0"/>
    <s v="payday"/>
    <n v="3735000000"/>
  </r>
  <r>
    <x v="226"/>
    <x v="0"/>
    <x v="7"/>
    <n v="33"/>
    <n v="14"/>
    <x v="7"/>
    <x v="7"/>
    <s v="paylater"/>
    <n v="217517101"/>
  </r>
  <r>
    <x v="227"/>
    <x v="0"/>
    <x v="7"/>
    <n v="33"/>
    <n v="15"/>
    <x v="12"/>
    <x v="11"/>
    <s v="cashloan"/>
    <n v="2676440000"/>
  </r>
  <r>
    <x v="227"/>
    <x v="0"/>
    <x v="7"/>
    <n v="33"/>
    <n v="15"/>
    <x v="9"/>
    <x v="9"/>
    <s v="cashloan"/>
    <n v="0"/>
  </r>
  <r>
    <x v="227"/>
    <x v="0"/>
    <x v="7"/>
    <n v="33"/>
    <n v="15"/>
    <x v="3"/>
    <x v="3"/>
    <s v="cashloan"/>
    <n v="162750000"/>
  </r>
  <r>
    <x v="227"/>
    <x v="0"/>
    <x v="7"/>
    <n v="33"/>
    <n v="15"/>
    <x v="11"/>
    <x v="10"/>
    <s v="paylater"/>
    <n v="38327326"/>
  </r>
  <r>
    <x v="227"/>
    <x v="0"/>
    <x v="7"/>
    <n v="33"/>
    <n v="15"/>
    <x v="4"/>
    <x v="4"/>
    <n v="0"/>
    <n v="18143781145"/>
  </r>
  <r>
    <x v="227"/>
    <x v="0"/>
    <x v="7"/>
    <n v="33"/>
    <n v="15"/>
    <x v="6"/>
    <x v="6"/>
    <s v="payday"/>
    <n v="66000000"/>
  </r>
  <r>
    <x v="227"/>
    <x v="0"/>
    <x v="7"/>
    <n v="33"/>
    <n v="15"/>
    <x v="0"/>
    <x v="0"/>
    <s v="payday"/>
    <n v="4731000000"/>
  </r>
  <r>
    <x v="227"/>
    <x v="0"/>
    <x v="7"/>
    <n v="33"/>
    <n v="15"/>
    <x v="5"/>
    <x v="5"/>
    <s v="overdraft"/>
    <n v="2731039768"/>
  </r>
  <r>
    <x v="227"/>
    <x v="0"/>
    <x v="7"/>
    <n v="33"/>
    <n v="15"/>
    <x v="7"/>
    <x v="7"/>
    <s v="paylater"/>
    <n v="207034051"/>
  </r>
  <r>
    <x v="227"/>
    <x v="0"/>
    <x v="7"/>
    <n v="33"/>
    <n v="15"/>
    <x v="8"/>
    <x v="8"/>
    <s v="cashloan"/>
    <n v="1485610000"/>
  </r>
  <r>
    <x v="227"/>
    <x v="0"/>
    <x v="7"/>
    <n v="33"/>
    <n v="15"/>
    <x v="10"/>
    <x v="9"/>
    <s v="cashloan"/>
    <n v="15000000"/>
  </r>
  <r>
    <x v="227"/>
    <x v="0"/>
    <x v="7"/>
    <n v="33"/>
    <n v="15"/>
    <x v="1"/>
    <x v="1"/>
    <s v="cashloan"/>
    <n v="63000000"/>
  </r>
  <r>
    <x v="227"/>
    <x v="0"/>
    <x v="7"/>
    <n v="33"/>
    <n v="15"/>
    <x v="2"/>
    <x v="2"/>
    <s v="cashloan"/>
    <n v="5967580000"/>
  </r>
  <r>
    <x v="228"/>
    <x v="0"/>
    <x v="7"/>
    <n v="33"/>
    <n v="16"/>
    <x v="9"/>
    <x v="9"/>
    <s v="cashloan"/>
    <n v="0"/>
  </r>
  <r>
    <x v="228"/>
    <x v="0"/>
    <x v="7"/>
    <n v="33"/>
    <n v="16"/>
    <x v="3"/>
    <x v="3"/>
    <s v="cashloan"/>
    <n v="121800000"/>
  </r>
  <r>
    <x v="228"/>
    <x v="0"/>
    <x v="7"/>
    <n v="33"/>
    <n v="16"/>
    <x v="10"/>
    <x v="9"/>
    <s v="cashloan"/>
    <n v="0"/>
  </r>
  <r>
    <x v="228"/>
    <x v="0"/>
    <x v="7"/>
    <n v="33"/>
    <n v="16"/>
    <x v="1"/>
    <x v="1"/>
    <s v="cashloan"/>
    <n v="42000000"/>
  </r>
  <r>
    <x v="228"/>
    <x v="0"/>
    <x v="7"/>
    <n v="33"/>
    <n v="16"/>
    <x v="8"/>
    <x v="8"/>
    <s v="cashloan"/>
    <n v="1207930000"/>
  </r>
  <r>
    <x v="228"/>
    <x v="0"/>
    <x v="7"/>
    <n v="33"/>
    <n v="16"/>
    <x v="6"/>
    <x v="6"/>
    <s v="payday"/>
    <n v="33000000"/>
  </r>
  <r>
    <x v="228"/>
    <x v="0"/>
    <x v="7"/>
    <n v="33"/>
    <n v="16"/>
    <x v="12"/>
    <x v="11"/>
    <s v="cashloan"/>
    <n v="2101900000"/>
  </r>
  <r>
    <x v="228"/>
    <x v="0"/>
    <x v="7"/>
    <n v="33"/>
    <n v="16"/>
    <x v="2"/>
    <x v="2"/>
    <s v="cashloan"/>
    <n v="7280970000"/>
  </r>
  <r>
    <x v="228"/>
    <x v="0"/>
    <x v="7"/>
    <n v="33"/>
    <n v="16"/>
    <x v="4"/>
    <x v="4"/>
    <n v="0"/>
    <n v="17689868662"/>
  </r>
  <r>
    <x v="228"/>
    <x v="0"/>
    <x v="7"/>
    <n v="33"/>
    <n v="16"/>
    <x v="0"/>
    <x v="0"/>
    <s v="payday"/>
    <n v="4367500000"/>
  </r>
  <r>
    <x v="228"/>
    <x v="0"/>
    <x v="7"/>
    <n v="33"/>
    <n v="16"/>
    <x v="11"/>
    <x v="10"/>
    <s v="paylater"/>
    <n v="41786768"/>
  </r>
  <r>
    <x v="228"/>
    <x v="0"/>
    <x v="7"/>
    <n v="33"/>
    <n v="16"/>
    <x v="5"/>
    <x v="5"/>
    <s v="overdraft"/>
    <n v="2285287750"/>
  </r>
  <r>
    <x v="228"/>
    <x v="0"/>
    <x v="7"/>
    <n v="33"/>
    <n v="16"/>
    <x v="7"/>
    <x v="7"/>
    <s v="paylater"/>
    <n v="207694144"/>
  </r>
  <r>
    <x v="229"/>
    <x v="0"/>
    <x v="7"/>
    <n v="33"/>
    <n v="17"/>
    <x v="1"/>
    <x v="1"/>
    <s v="cashloan"/>
    <n v="0"/>
  </r>
  <r>
    <x v="229"/>
    <x v="0"/>
    <x v="7"/>
    <n v="33"/>
    <n v="17"/>
    <x v="8"/>
    <x v="8"/>
    <s v="cashloan"/>
    <n v="581400000"/>
  </r>
  <r>
    <x v="229"/>
    <x v="0"/>
    <x v="7"/>
    <n v="33"/>
    <n v="17"/>
    <x v="5"/>
    <x v="5"/>
    <s v="overdraft"/>
    <n v="2205517984"/>
  </r>
  <r>
    <x v="229"/>
    <x v="0"/>
    <x v="7"/>
    <n v="33"/>
    <n v="17"/>
    <x v="11"/>
    <x v="10"/>
    <s v="paylater"/>
    <n v="25612445"/>
  </r>
  <r>
    <x v="229"/>
    <x v="0"/>
    <x v="7"/>
    <n v="33"/>
    <n v="17"/>
    <x v="4"/>
    <x v="4"/>
    <n v="0"/>
    <n v="15033592785"/>
  </r>
  <r>
    <x v="229"/>
    <x v="0"/>
    <x v="7"/>
    <n v="33"/>
    <n v="17"/>
    <x v="2"/>
    <x v="2"/>
    <s v="cashloan"/>
    <n v="5991490000"/>
  </r>
  <r>
    <x v="229"/>
    <x v="0"/>
    <x v="7"/>
    <n v="33"/>
    <n v="17"/>
    <x v="10"/>
    <x v="9"/>
    <s v="cashloan"/>
    <n v="19260000"/>
  </r>
  <r>
    <x v="229"/>
    <x v="0"/>
    <x v="7"/>
    <n v="33"/>
    <n v="17"/>
    <x v="12"/>
    <x v="11"/>
    <s v="cashloan"/>
    <n v="2049680000"/>
  </r>
  <r>
    <x v="229"/>
    <x v="0"/>
    <x v="7"/>
    <n v="33"/>
    <n v="17"/>
    <x v="9"/>
    <x v="9"/>
    <s v="cashloan"/>
    <n v="0"/>
  </r>
  <r>
    <x v="229"/>
    <x v="0"/>
    <x v="7"/>
    <n v="33"/>
    <n v="17"/>
    <x v="7"/>
    <x v="7"/>
    <s v="paylater"/>
    <n v="167032356"/>
  </r>
  <r>
    <x v="229"/>
    <x v="0"/>
    <x v="7"/>
    <n v="33"/>
    <n v="17"/>
    <x v="6"/>
    <x v="6"/>
    <s v="payday"/>
    <n v="46000000"/>
  </r>
  <r>
    <x v="229"/>
    <x v="0"/>
    <x v="7"/>
    <n v="33"/>
    <n v="17"/>
    <x v="0"/>
    <x v="0"/>
    <s v="payday"/>
    <n v="3861500000"/>
  </r>
  <r>
    <x v="229"/>
    <x v="0"/>
    <x v="7"/>
    <n v="33"/>
    <n v="17"/>
    <x v="3"/>
    <x v="3"/>
    <s v="cashloan"/>
    <n v="86100000"/>
  </r>
  <r>
    <x v="230"/>
    <x v="0"/>
    <x v="7"/>
    <n v="33"/>
    <n v="18"/>
    <x v="8"/>
    <x v="8"/>
    <s v="cashloan"/>
    <n v="65270000"/>
  </r>
  <r>
    <x v="230"/>
    <x v="0"/>
    <x v="7"/>
    <n v="33"/>
    <n v="18"/>
    <x v="4"/>
    <x v="4"/>
    <n v="0"/>
    <n v="12888762026"/>
  </r>
  <r>
    <x v="230"/>
    <x v="0"/>
    <x v="7"/>
    <n v="33"/>
    <n v="18"/>
    <x v="0"/>
    <x v="0"/>
    <s v="payday"/>
    <n v="3330000000"/>
  </r>
  <r>
    <x v="230"/>
    <x v="0"/>
    <x v="7"/>
    <n v="33"/>
    <n v="18"/>
    <x v="7"/>
    <x v="7"/>
    <s v="paylater"/>
    <n v="145144732"/>
  </r>
  <r>
    <x v="230"/>
    <x v="0"/>
    <x v="7"/>
    <n v="33"/>
    <n v="18"/>
    <x v="5"/>
    <x v="5"/>
    <s v="overdraft"/>
    <n v="2014866410"/>
  </r>
  <r>
    <x v="230"/>
    <x v="0"/>
    <x v="7"/>
    <n v="33"/>
    <n v="18"/>
    <x v="2"/>
    <x v="2"/>
    <s v="cashloan"/>
    <n v="5210210000"/>
  </r>
  <r>
    <x v="230"/>
    <x v="0"/>
    <x v="7"/>
    <n v="33"/>
    <n v="18"/>
    <x v="6"/>
    <x v="6"/>
    <s v="payday"/>
    <n v="39000000"/>
  </r>
  <r>
    <x v="230"/>
    <x v="0"/>
    <x v="7"/>
    <n v="33"/>
    <n v="18"/>
    <x v="9"/>
    <x v="9"/>
    <s v="cashloan"/>
    <n v="0"/>
  </r>
  <r>
    <x v="230"/>
    <x v="0"/>
    <x v="7"/>
    <n v="33"/>
    <n v="18"/>
    <x v="3"/>
    <x v="3"/>
    <s v="cashloan"/>
    <n v="90300000"/>
  </r>
  <r>
    <x v="230"/>
    <x v="0"/>
    <x v="7"/>
    <n v="33"/>
    <n v="18"/>
    <x v="1"/>
    <x v="1"/>
    <s v="cashloan"/>
    <n v="36750000"/>
  </r>
  <r>
    <x v="230"/>
    <x v="0"/>
    <x v="7"/>
    <n v="33"/>
    <n v="18"/>
    <x v="10"/>
    <x v="9"/>
    <s v="cashloan"/>
    <n v="31030000"/>
  </r>
  <r>
    <x v="230"/>
    <x v="0"/>
    <x v="7"/>
    <n v="33"/>
    <n v="18"/>
    <x v="11"/>
    <x v="10"/>
    <s v="paylater"/>
    <n v="30880884"/>
  </r>
  <r>
    <x v="230"/>
    <x v="0"/>
    <x v="7"/>
    <n v="33"/>
    <n v="18"/>
    <x v="12"/>
    <x v="11"/>
    <s v="cashloan"/>
    <n v="1895310000"/>
  </r>
  <r>
    <x v="231"/>
    <x v="0"/>
    <x v="7"/>
    <n v="34"/>
    <n v="25"/>
    <x v="1"/>
    <x v="1"/>
    <s v="cashloan"/>
    <n v="42000000"/>
  </r>
  <r>
    <x v="231"/>
    <x v="0"/>
    <x v="7"/>
    <n v="34"/>
    <n v="25"/>
    <x v="5"/>
    <x v="5"/>
    <s v="overdraft"/>
    <n v="2512907741"/>
  </r>
  <r>
    <x v="231"/>
    <x v="0"/>
    <x v="7"/>
    <n v="34"/>
    <n v="25"/>
    <x v="3"/>
    <x v="3"/>
    <s v="cashloan"/>
    <n v="166150000"/>
  </r>
  <r>
    <x v="231"/>
    <x v="0"/>
    <x v="7"/>
    <n v="34"/>
    <n v="25"/>
    <x v="2"/>
    <x v="2"/>
    <s v="cashloan"/>
    <n v="7802820000"/>
  </r>
  <r>
    <x v="231"/>
    <x v="0"/>
    <x v="7"/>
    <n v="34"/>
    <n v="25"/>
    <x v="6"/>
    <x v="6"/>
    <s v="payday"/>
    <n v="24000000"/>
  </r>
  <r>
    <x v="231"/>
    <x v="0"/>
    <x v="7"/>
    <n v="34"/>
    <n v="25"/>
    <x v="12"/>
    <x v="11"/>
    <s v="cashloan"/>
    <n v="2491950000"/>
  </r>
  <r>
    <x v="231"/>
    <x v="0"/>
    <x v="7"/>
    <n v="34"/>
    <n v="25"/>
    <x v="11"/>
    <x v="10"/>
    <s v="paylater"/>
    <n v="26593081"/>
  </r>
  <r>
    <x v="231"/>
    <x v="0"/>
    <x v="7"/>
    <n v="34"/>
    <n v="25"/>
    <x v="0"/>
    <x v="0"/>
    <s v="payday"/>
    <n v="4041500000"/>
  </r>
  <r>
    <x v="231"/>
    <x v="0"/>
    <x v="7"/>
    <n v="34"/>
    <n v="25"/>
    <x v="8"/>
    <x v="8"/>
    <s v="cashloan"/>
    <n v="936450000"/>
  </r>
  <r>
    <x v="231"/>
    <x v="0"/>
    <x v="7"/>
    <n v="34"/>
    <n v="25"/>
    <x v="9"/>
    <x v="9"/>
    <s v="cashloan"/>
    <n v="21400000"/>
  </r>
  <r>
    <x v="231"/>
    <x v="0"/>
    <x v="7"/>
    <n v="34"/>
    <n v="25"/>
    <x v="7"/>
    <x v="7"/>
    <s v="paylater"/>
    <n v="188287818"/>
  </r>
  <r>
    <x v="231"/>
    <x v="0"/>
    <x v="7"/>
    <n v="34"/>
    <n v="25"/>
    <x v="10"/>
    <x v="9"/>
    <s v="cashloan"/>
    <n v="0"/>
  </r>
  <r>
    <x v="231"/>
    <x v="0"/>
    <x v="7"/>
    <n v="34"/>
    <n v="25"/>
    <x v="3"/>
    <x v="3"/>
    <s v="cashloan"/>
    <n v="136500000"/>
  </r>
  <r>
    <x v="231"/>
    <x v="0"/>
    <x v="7"/>
    <n v="34"/>
    <n v="25"/>
    <x v="1"/>
    <x v="1"/>
    <s v="cashloan"/>
    <n v="58800000"/>
  </r>
  <r>
    <x v="231"/>
    <x v="0"/>
    <x v="7"/>
    <n v="34"/>
    <n v="25"/>
    <x v="6"/>
    <x v="6"/>
    <s v="payday"/>
    <n v="71000000"/>
  </r>
  <r>
    <x v="231"/>
    <x v="0"/>
    <x v="7"/>
    <n v="34"/>
    <n v="25"/>
    <x v="9"/>
    <x v="9"/>
    <s v="cashloan"/>
    <n v="21400000"/>
  </r>
  <r>
    <x v="231"/>
    <x v="0"/>
    <x v="7"/>
    <n v="34"/>
    <n v="25"/>
    <x v="10"/>
    <x v="9"/>
    <s v="cashloan"/>
    <n v="27120000"/>
  </r>
  <r>
    <x v="231"/>
    <x v="0"/>
    <x v="7"/>
    <n v="34"/>
    <n v="25"/>
    <x v="11"/>
    <x v="10"/>
    <s v="paylater"/>
    <n v="20728155"/>
  </r>
  <r>
    <x v="231"/>
    <x v="0"/>
    <x v="7"/>
    <n v="34"/>
    <n v="25"/>
    <x v="8"/>
    <x v="8"/>
    <s v="cashloan"/>
    <n v="553190000"/>
  </r>
  <r>
    <x v="231"/>
    <x v="0"/>
    <x v="7"/>
    <n v="34"/>
    <n v="25"/>
    <x v="5"/>
    <x v="5"/>
    <s v="overdraft"/>
    <n v="2525067800"/>
  </r>
  <r>
    <x v="231"/>
    <x v="0"/>
    <x v="7"/>
    <n v="34"/>
    <n v="25"/>
    <x v="7"/>
    <x v="7"/>
    <s v="paylater"/>
    <n v="178002653"/>
  </r>
  <r>
    <x v="231"/>
    <x v="0"/>
    <x v="7"/>
    <n v="34"/>
    <n v="25"/>
    <x v="0"/>
    <x v="0"/>
    <s v="payday"/>
    <n v="4244000000"/>
  </r>
  <r>
    <x v="231"/>
    <x v="0"/>
    <x v="7"/>
    <n v="34"/>
    <n v="25"/>
    <x v="12"/>
    <x v="11"/>
    <s v="cashloan"/>
    <n v="2575110000"/>
  </r>
  <r>
    <x v="231"/>
    <x v="0"/>
    <x v="7"/>
    <n v="34"/>
    <n v="25"/>
    <x v="2"/>
    <x v="2"/>
    <s v="cashloan"/>
    <n v="6911660000"/>
  </r>
  <r>
    <x v="231"/>
    <x v="0"/>
    <x v="7"/>
    <n v="34"/>
    <n v="25"/>
    <x v="2"/>
    <x v="2"/>
    <s v="cashloan"/>
    <n v="6175000000"/>
  </r>
  <r>
    <x v="231"/>
    <x v="0"/>
    <x v="7"/>
    <n v="34"/>
    <n v="25"/>
    <x v="10"/>
    <x v="9"/>
    <s v="cashloan"/>
    <n v="21400000"/>
  </r>
  <r>
    <x v="231"/>
    <x v="0"/>
    <x v="7"/>
    <n v="34"/>
    <n v="25"/>
    <x v="6"/>
    <x v="6"/>
    <s v="payday"/>
    <n v="100000000"/>
  </r>
  <r>
    <x v="231"/>
    <x v="0"/>
    <x v="7"/>
    <n v="34"/>
    <n v="25"/>
    <x v="7"/>
    <x v="7"/>
    <s v="paylater"/>
    <n v="216579425"/>
  </r>
  <r>
    <x v="231"/>
    <x v="0"/>
    <x v="7"/>
    <n v="34"/>
    <n v="25"/>
    <x v="12"/>
    <x v="11"/>
    <s v="cashloan"/>
    <n v="2204170000"/>
  </r>
  <r>
    <x v="231"/>
    <x v="0"/>
    <x v="7"/>
    <n v="34"/>
    <n v="25"/>
    <x v="11"/>
    <x v="10"/>
    <s v="paylater"/>
    <n v="19763175"/>
  </r>
  <r>
    <x v="231"/>
    <x v="0"/>
    <x v="7"/>
    <n v="34"/>
    <n v="25"/>
    <x v="8"/>
    <x v="8"/>
    <s v="cashloan"/>
    <n v="842090000"/>
  </r>
  <r>
    <x v="231"/>
    <x v="0"/>
    <x v="7"/>
    <n v="34"/>
    <n v="25"/>
    <x v="5"/>
    <x v="5"/>
    <s v="overdraft"/>
    <n v="2544794596"/>
  </r>
  <r>
    <x v="231"/>
    <x v="0"/>
    <x v="7"/>
    <n v="34"/>
    <n v="25"/>
    <x v="3"/>
    <x v="3"/>
    <s v="cashloan"/>
    <n v="197400000"/>
  </r>
  <r>
    <x v="231"/>
    <x v="0"/>
    <x v="7"/>
    <n v="34"/>
    <n v="25"/>
    <x v="1"/>
    <x v="1"/>
    <s v="cashloan"/>
    <n v="33600000"/>
  </r>
  <r>
    <x v="231"/>
    <x v="0"/>
    <x v="7"/>
    <n v="34"/>
    <n v="25"/>
    <x v="0"/>
    <x v="0"/>
    <s v="payday"/>
    <n v="4082000000"/>
  </r>
  <r>
    <x v="231"/>
    <x v="0"/>
    <x v="7"/>
    <n v="34"/>
    <n v="25"/>
    <x v="9"/>
    <x v="9"/>
    <s v="cashloan"/>
    <n v="0"/>
  </r>
  <r>
    <x v="231"/>
    <x v="0"/>
    <x v="7"/>
    <n v="34"/>
    <n v="25"/>
    <x v="8"/>
    <x v="8"/>
    <s v="cashloan"/>
    <n v="733200000"/>
  </r>
  <r>
    <x v="231"/>
    <x v="0"/>
    <x v="7"/>
    <n v="34"/>
    <n v="25"/>
    <x v="3"/>
    <x v="3"/>
    <s v="cashloan"/>
    <n v="85050000"/>
  </r>
  <r>
    <x v="231"/>
    <x v="0"/>
    <x v="7"/>
    <n v="34"/>
    <n v="25"/>
    <x v="5"/>
    <x v="5"/>
    <s v="overdraft"/>
    <n v="2561211381"/>
  </r>
  <r>
    <x v="231"/>
    <x v="0"/>
    <x v="7"/>
    <n v="34"/>
    <n v="25"/>
    <x v="6"/>
    <x v="6"/>
    <s v="payday"/>
    <n v="52000000"/>
  </r>
  <r>
    <x v="231"/>
    <x v="0"/>
    <x v="7"/>
    <n v="34"/>
    <n v="25"/>
    <x v="12"/>
    <x v="11"/>
    <s v="cashloan"/>
    <n v="2119920000"/>
  </r>
  <r>
    <x v="231"/>
    <x v="0"/>
    <x v="7"/>
    <n v="34"/>
    <n v="25"/>
    <x v="11"/>
    <x v="10"/>
    <s v="paylater"/>
    <n v="25820695"/>
  </r>
  <r>
    <x v="231"/>
    <x v="0"/>
    <x v="7"/>
    <n v="34"/>
    <n v="25"/>
    <x v="0"/>
    <x v="0"/>
    <s v="payday"/>
    <n v="3958000000"/>
  </r>
  <r>
    <x v="231"/>
    <x v="0"/>
    <x v="7"/>
    <n v="34"/>
    <n v="25"/>
    <x v="9"/>
    <x v="9"/>
    <s v="cashloan"/>
    <n v="0"/>
  </r>
  <r>
    <x v="231"/>
    <x v="0"/>
    <x v="7"/>
    <n v="34"/>
    <n v="25"/>
    <x v="7"/>
    <x v="7"/>
    <s v="paylater"/>
    <n v="182772869"/>
  </r>
  <r>
    <x v="231"/>
    <x v="0"/>
    <x v="7"/>
    <n v="34"/>
    <n v="25"/>
    <x v="1"/>
    <x v="1"/>
    <s v="cashloan"/>
    <n v="68250000"/>
  </r>
  <r>
    <x v="231"/>
    <x v="0"/>
    <x v="7"/>
    <n v="34"/>
    <n v="25"/>
    <x v="10"/>
    <x v="9"/>
    <s v="cashloan"/>
    <n v="20000000"/>
  </r>
  <r>
    <x v="231"/>
    <x v="0"/>
    <x v="7"/>
    <n v="34"/>
    <n v="25"/>
    <x v="2"/>
    <x v="2"/>
    <s v="cashloan"/>
    <n v="6001010000"/>
  </r>
  <r>
    <x v="231"/>
    <x v="0"/>
    <x v="7"/>
    <n v="34"/>
    <n v="25"/>
    <x v="7"/>
    <x v="7"/>
    <s v="paylater"/>
    <n v="177789087"/>
  </r>
  <r>
    <x v="231"/>
    <x v="0"/>
    <x v="7"/>
    <n v="34"/>
    <n v="25"/>
    <x v="1"/>
    <x v="1"/>
    <s v="cashloan"/>
    <n v="21000000"/>
  </r>
  <r>
    <x v="231"/>
    <x v="0"/>
    <x v="7"/>
    <n v="34"/>
    <n v="25"/>
    <x v="5"/>
    <x v="5"/>
    <s v="overdraft"/>
    <n v="2386903058"/>
  </r>
  <r>
    <x v="231"/>
    <x v="0"/>
    <x v="7"/>
    <n v="34"/>
    <n v="25"/>
    <x v="10"/>
    <x v="9"/>
    <s v="cashloan"/>
    <n v="22470000"/>
  </r>
  <r>
    <x v="231"/>
    <x v="0"/>
    <x v="7"/>
    <n v="34"/>
    <n v="25"/>
    <x v="9"/>
    <x v="9"/>
    <s v="cashloan"/>
    <n v="0"/>
  </r>
  <r>
    <x v="231"/>
    <x v="0"/>
    <x v="7"/>
    <n v="34"/>
    <n v="25"/>
    <x v="8"/>
    <x v="8"/>
    <s v="cashloan"/>
    <n v="380920000"/>
  </r>
  <r>
    <x v="231"/>
    <x v="0"/>
    <x v="7"/>
    <n v="34"/>
    <n v="25"/>
    <x v="3"/>
    <x v="3"/>
    <s v="cashloan"/>
    <n v="75900000"/>
  </r>
  <r>
    <x v="231"/>
    <x v="0"/>
    <x v="7"/>
    <n v="34"/>
    <n v="25"/>
    <x v="2"/>
    <x v="2"/>
    <s v="cashloan"/>
    <n v="5874430000"/>
  </r>
  <r>
    <x v="231"/>
    <x v="0"/>
    <x v="7"/>
    <n v="34"/>
    <n v="25"/>
    <x v="11"/>
    <x v="10"/>
    <s v="paylater"/>
    <n v="34839665"/>
  </r>
  <r>
    <x v="231"/>
    <x v="0"/>
    <x v="7"/>
    <n v="34"/>
    <n v="25"/>
    <x v="12"/>
    <x v="11"/>
    <s v="cashloan"/>
    <n v="2116550000"/>
  </r>
  <r>
    <x v="231"/>
    <x v="0"/>
    <x v="7"/>
    <n v="34"/>
    <n v="25"/>
    <x v="0"/>
    <x v="0"/>
    <s v="payday"/>
    <n v="3894000000"/>
  </r>
  <r>
    <x v="231"/>
    <x v="0"/>
    <x v="7"/>
    <n v="34"/>
    <n v="25"/>
    <x v="6"/>
    <x v="6"/>
    <s v="payday"/>
    <n v="46000000"/>
  </r>
  <r>
    <x v="231"/>
    <x v="0"/>
    <x v="7"/>
    <n v="34"/>
    <n v="25"/>
    <x v="9"/>
    <x v="9"/>
    <s v="cashloan"/>
    <n v="20000000"/>
  </r>
  <r>
    <x v="231"/>
    <x v="0"/>
    <x v="7"/>
    <n v="34"/>
    <n v="25"/>
    <x v="11"/>
    <x v="10"/>
    <s v="paylater"/>
    <n v="32320883"/>
  </r>
  <r>
    <x v="231"/>
    <x v="0"/>
    <x v="7"/>
    <n v="34"/>
    <n v="25"/>
    <x v="3"/>
    <x v="3"/>
    <s v="cashloan"/>
    <n v="30450000"/>
  </r>
  <r>
    <x v="231"/>
    <x v="0"/>
    <x v="7"/>
    <n v="34"/>
    <n v="25"/>
    <x v="1"/>
    <x v="1"/>
    <s v="cashloan"/>
    <n v="31500000"/>
  </r>
  <r>
    <x v="231"/>
    <x v="0"/>
    <x v="7"/>
    <n v="34"/>
    <n v="25"/>
    <x v="5"/>
    <x v="5"/>
    <s v="overdraft"/>
    <n v="2616639245"/>
  </r>
  <r>
    <x v="231"/>
    <x v="0"/>
    <x v="7"/>
    <n v="34"/>
    <n v="25"/>
    <x v="2"/>
    <x v="2"/>
    <s v="cashloan"/>
    <n v="5655910000"/>
  </r>
  <r>
    <x v="231"/>
    <x v="0"/>
    <x v="7"/>
    <n v="34"/>
    <n v="25"/>
    <x v="6"/>
    <x v="6"/>
    <s v="payday"/>
    <n v="83000000"/>
  </r>
  <r>
    <x v="231"/>
    <x v="0"/>
    <x v="7"/>
    <n v="34"/>
    <n v="25"/>
    <x v="10"/>
    <x v="9"/>
    <s v="cashloan"/>
    <n v="21400000"/>
  </r>
  <r>
    <x v="231"/>
    <x v="0"/>
    <x v="7"/>
    <n v="34"/>
    <n v="25"/>
    <x v="12"/>
    <x v="11"/>
    <s v="cashloan"/>
    <n v="1962660000"/>
  </r>
  <r>
    <x v="231"/>
    <x v="0"/>
    <x v="7"/>
    <n v="34"/>
    <n v="25"/>
    <x v="8"/>
    <x v="8"/>
    <s v="cashloan"/>
    <n v="195810000"/>
  </r>
  <r>
    <x v="231"/>
    <x v="0"/>
    <x v="7"/>
    <n v="34"/>
    <n v="25"/>
    <x v="0"/>
    <x v="0"/>
    <s v="payday"/>
    <n v="3736500000"/>
  </r>
  <r>
    <x v="231"/>
    <x v="0"/>
    <x v="7"/>
    <n v="34"/>
    <n v="25"/>
    <x v="7"/>
    <x v="7"/>
    <s v="paylater"/>
    <n v="150655403"/>
  </r>
  <r>
    <x v="231"/>
    <x v="0"/>
    <x v="7"/>
    <n v="34"/>
    <n v="25"/>
    <x v="6"/>
    <x v="6"/>
    <s v="payday"/>
    <n v="54000000"/>
  </r>
  <r>
    <x v="231"/>
    <x v="0"/>
    <x v="7"/>
    <n v="34"/>
    <n v="25"/>
    <x v="3"/>
    <x v="3"/>
    <s v="cashloan"/>
    <n v="66150000"/>
  </r>
  <r>
    <x v="231"/>
    <x v="0"/>
    <x v="7"/>
    <n v="34"/>
    <n v="25"/>
    <x v="11"/>
    <x v="10"/>
    <s v="paylater"/>
    <n v="30304939"/>
  </r>
  <r>
    <x v="231"/>
    <x v="0"/>
    <x v="7"/>
    <n v="34"/>
    <n v="25"/>
    <x v="9"/>
    <x v="9"/>
    <s v="cashloan"/>
    <n v="0"/>
  </r>
  <r>
    <x v="231"/>
    <x v="0"/>
    <x v="7"/>
    <n v="34"/>
    <n v="25"/>
    <x v="12"/>
    <x v="11"/>
    <s v="cashloan"/>
    <n v="1926810000"/>
  </r>
  <r>
    <x v="231"/>
    <x v="0"/>
    <x v="7"/>
    <n v="34"/>
    <n v="25"/>
    <x v="10"/>
    <x v="9"/>
    <s v="cashloan"/>
    <n v="29540000"/>
  </r>
  <r>
    <x v="231"/>
    <x v="0"/>
    <x v="7"/>
    <n v="34"/>
    <n v="25"/>
    <x v="8"/>
    <x v="8"/>
    <s v="cashloan"/>
    <n v="27820000"/>
  </r>
  <r>
    <x v="231"/>
    <x v="0"/>
    <x v="7"/>
    <n v="34"/>
    <n v="25"/>
    <x v="7"/>
    <x v="7"/>
    <s v="paylater"/>
    <n v="187118446"/>
  </r>
  <r>
    <x v="231"/>
    <x v="0"/>
    <x v="7"/>
    <n v="34"/>
    <n v="25"/>
    <x v="0"/>
    <x v="0"/>
    <s v="payday"/>
    <n v="3378500000"/>
  </r>
  <r>
    <x v="231"/>
    <x v="0"/>
    <x v="7"/>
    <n v="34"/>
    <n v="25"/>
    <x v="2"/>
    <x v="2"/>
    <s v="cashloan"/>
    <n v="5362250000"/>
  </r>
  <r>
    <x v="231"/>
    <x v="0"/>
    <x v="7"/>
    <n v="34"/>
    <n v="25"/>
    <x v="5"/>
    <x v="5"/>
    <s v="overdraft"/>
    <n v="2267336692"/>
  </r>
  <r>
    <x v="231"/>
    <x v="0"/>
    <x v="7"/>
    <n v="34"/>
    <n v="25"/>
    <x v="1"/>
    <x v="1"/>
    <s v="cashloan"/>
    <n v="31500000"/>
  </r>
  <r>
    <x v="232"/>
    <x v="0"/>
    <x v="7"/>
    <n v="35"/>
    <n v="26"/>
    <x v="5"/>
    <x v="5"/>
    <s v="overdraft"/>
    <n v="2954824736"/>
  </r>
  <r>
    <x v="232"/>
    <x v="0"/>
    <x v="7"/>
    <n v="35"/>
    <n v="26"/>
    <x v="3"/>
    <x v="3"/>
    <s v="cashloan"/>
    <n v="112650000"/>
  </r>
  <r>
    <x v="232"/>
    <x v="0"/>
    <x v="7"/>
    <n v="35"/>
    <n v="26"/>
    <x v="2"/>
    <x v="2"/>
    <s v="cashloan"/>
    <n v="6285750000"/>
  </r>
  <r>
    <x v="232"/>
    <x v="0"/>
    <x v="7"/>
    <n v="35"/>
    <n v="26"/>
    <x v="8"/>
    <x v="8"/>
    <s v="cashloan"/>
    <n v="269640000"/>
  </r>
  <r>
    <x v="232"/>
    <x v="0"/>
    <x v="7"/>
    <n v="35"/>
    <n v="26"/>
    <x v="10"/>
    <x v="9"/>
    <s v="cashloan"/>
    <n v="10700000"/>
  </r>
  <r>
    <x v="232"/>
    <x v="0"/>
    <x v="7"/>
    <n v="35"/>
    <n v="26"/>
    <x v="6"/>
    <x v="6"/>
    <s v="payday"/>
    <n v="73000000"/>
  </r>
  <r>
    <x v="232"/>
    <x v="0"/>
    <x v="7"/>
    <n v="35"/>
    <n v="26"/>
    <x v="9"/>
    <x v="9"/>
    <s v="cashloan"/>
    <n v="0"/>
  </r>
  <r>
    <x v="232"/>
    <x v="0"/>
    <x v="7"/>
    <n v="35"/>
    <n v="26"/>
    <x v="7"/>
    <x v="7"/>
    <s v="paylater"/>
    <n v="197855029"/>
  </r>
  <r>
    <x v="232"/>
    <x v="0"/>
    <x v="7"/>
    <n v="35"/>
    <n v="26"/>
    <x v="12"/>
    <x v="11"/>
    <s v="cashloan"/>
    <n v="2182150000"/>
  </r>
  <r>
    <x v="232"/>
    <x v="0"/>
    <x v="7"/>
    <n v="35"/>
    <n v="26"/>
    <x v="1"/>
    <x v="1"/>
    <s v="cashloan"/>
    <n v="21000000"/>
  </r>
  <r>
    <x v="232"/>
    <x v="0"/>
    <x v="7"/>
    <n v="35"/>
    <n v="26"/>
    <x v="0"/>
    <x v="0"/>
    <s v="payday"/>
    <n v="3837000000"/>
  </r>
  <r>
    <x v="232"/>
    <x v="0"/>
    <x v="7"/>
    <n v="35"/>
    <n v="26"/>
    <x v="11"/>
    <x v="10"/>
    <s v="paylater"/>
    <n v="27263693"/>
  </r>
  <r>
    <x v="232"/>
    <x v="0"/>
    <x v="7"/>
    <n v="35"/>
    <n v="26"/>
    <x v="4"/>
    <x v="4"/>
    <n v="0"/>
    <n v="15971833458"/>
  </r>
  <r>
    <x v="233"/>
    <x v="0"/>
    <x v="7"/>
    <n v="35"/>
    <n v="27"/>
    <x v="3"/>
    <x v="3"/>
    <s v="cashloan"/>
    <n v="70350000"/>
  </r>
  <r>
    <x v="233"/>
    <x v="0"/>
    <x v="7"/>
    <n v="35"/>
    <n v="27"/>
    <x v="5"/>
    <x v="5"/>
    <s v="overdraft"/>
    <n v="2622107807"/>
  </r>
  <r>
    <x v="233"/>
    <x v="0"/>
    <x v="7"/>
    <n v="35"/>
    <n v="27"/>
    <x v="10"/>
    <x v="9"/>
    <s v="cashloan"/>
    <n v="0"/>
  </r>
  <r>
    <x v="233"/>
    <x v="0"/>
    <x v="7"/>
    <n v="35"/>
    <n v="27"/>
    <x v="4"/>
    <x v="4"/>
    <n v="0"/>
    <n v="15322783439"/>
  </r>
  <r>
    <x v="233"/>
    <x v="0"/>
    <x v="7"/>
    <n v="35"/>
    <n v="27"/>
    <x v="2"/>
    <x v="2"/>
    <s v="cashloan"/>
    <n v="6332220000"/>
  </r>
  <r>
    <x v="233"/>
    <x v="0"/>
    <x v="7"/>
    <n v="35"/>
    <n v="27"/>
    <x v="6"/>
    <x v="6"/>
    <s v="payday"/>
    <n v="87000000"/>
  </r>
  <r>
    <x v="233"/>
    <x v="0"/>
    <x v="7"/>
    <n v="35"/>
    <n v="27"/>
    <x v="12"/>
    <x v="11"/>
    <s v="cashloan"/>
    <n v="2254120000"/>
  </r>
  <r>
    <x v="233"/>
    <x v="0"/>
    <x v="7"/>
    <n v="35"/>
    <n v="27"/>
    <x v="7"/>
    <x v="7"/>
    <s v="paylater"/>
    <n v="161645591"/>
  </r>
  <r>
    <x v="233"/>
    <x v="0"/>
    <x v="7"/>
    <n v="35"/>
    <n v="27"/>
    <x v="9"/>
    <x v="9"/>
    <s v="cashloan"/>
    <n v="0"/>
  </r>
  <r>
    <x v="233"/>
    <x v="0"/>
    <x v="7"/>
    <n v="35"/>
    <n v="27"/>
    <x v="1"/>
    <x v="1"/>
    <s v="cashloan"/>
    <n v="0"/>
  </r>
  <r>
    <x v="233"/>
    <x v="0"/>
    <x v="7"/>
    <n v="35"/>
    <n v="27"/>
    <x v="0"/>
    <x v="0"/>
    <s v="payday"/>
    <n v="3549500000"/>
  </r>
  <r>
    <x v="233"/>
    <x v="0"/>
    <x v="7"/>
    <n v="35"/>
    <n v="27"/>
    <x v="11"/>
    <x v="10"/>
    <s v="paylater"/>
    <n v="29590041"/>
  </r>
  <r>
    <x v="233"/>
    <x v="0"/>
    <x v="7"/>
    <n v="35"/>
    <n v="27"/>
    <x v="8"/>
    <x v="8"/>
    <s v="cashloan"/>
    <n v="216250000"/>
  </r>
  <r>
    <x v="234"/>
    <x v="0"/>
    <x v="7"/>
    <n v="35"/>
    <n v="28"/>
    <x v="11"/>
    <x v="10"/>
    <s v="paylater"/>
    <n v="27649044"/>
  </r>
  <r>
    <x v="234"/>
    <x v="0"/>
    <x v="7"/>
    <n v="35"/>
    <n v="28"/>
    <x v="4"/>
    <x v="4"/>
    <n v="0"/>
    <n v="15471274773"/>
  </r>
  <r>
    <x v="234"/>
    <x v="0"/>
    <x v="7"/>
    <n v="35"/>
    <n v="28"/>
    <x v="7"/>
    <x v="7"/>
    <s v="paylater"/>
    <n v="159856543"/>
  </r>
  <r>
    <x v="234"/>
    <x v="0"/>
    <x v="7"/>
    <n v="35"/>
    <n v="28"/>
    <x v="10"/>
    <x v="9"/>
    <s v="cashloan"/>
    <n v="29540000"/>
  </r>
  <r>
    <x v="234"/>
    <x v="0"/>
    <x v="7"/>
    <n v="35"/>
    <n v="28"/>
    <x v="5"/>
    <x v="5"/>
    <s v="overdraft"/>
    <n v="2744699186"/>
  </r>
  <r>
    <x v="234"/>
    <x v="0"/>
    <x v="7"/>
    <n v="35"/>
    <n v="28"/>
    <x v="8"/>
    <x v="8"/>
    <s v="cashloan"/>
    <n v="172270000"/>
  </r>
  <r>
    <x v="234"/>
    <x v="0"/>
    <x v="7"/>
    <n v="35"/>
    <n v="28"/>
    <x v="3"/>
    <x v="3"/>
    <s v="cashloan"/>
    <n v="393700000"/>
  </r>
  <r>
    <x v="234"/>
    <x v="0"/>
    <x v="7"/>
    <n v="35"/>
    <n v="28"/>
    <x v="1"/>
    <x v="1"/>
    <s v="cashloan"/>
    <n v="10500000"/>
  </r>
  <r>
    <x v="234"/>
    <x v="0"/>
    <x v="7"/>
    <n v="35"/>
    <n v="28"/>
    <x v="0"/>
    <x v="0"/>
    <s v="payday"/>
    <n v="3547500000"/>
  </r>
  <r>
    <x v="234"/>
    <x v="0"/>
    <x v="7"/>
    <n v="35"/>
    <n v="28"/>
    <x v="12"/>
    <x v="11"/>
    <s v="cashloan"/>
    <n v="2214780000"/>
  </r>
  <r>
    <x v="234"/>
    <x v="0"/>
    <x v="7"/>
    <n v="35"/>
    <n v="28"/>
    <x v="6"/>
    <x v="6"/>
    <s v="payday"/>
    <n v="64000000"/>
  </r>
  <r>
    <x v="234"/>
    <x v="0"/>
    <x v="7"/>
    <n v="35"/>
    <n v="28"/>
    <x v="2"/>
    <x v="2"/>
    <s v="cashloan"/>
    <n v="6106780000"/>
  </r>
  <r>
    <x v="234"/>
    <x v="0"/>
    <x v="7"/>
    <n v="35"/>
    <n v="28"/>
    <x v="9"/>
    <x v="9"/>
    <s v="cashloan"/>
    <n v="0"/>
  </r>
  <r>
    <x v="235"/>
    <x v="0"/>
    <x v="7"/>
    <n v="35"/>
    <n v="29"/>
    <x v="4"/>
    <x v="4"/>
    <n v="0"/>
    <n v="15973496530"/>
  </r>
  <r>
    <x v="235"/>
    <x v="0"/>
    <x v="7"/>
    <n v="35"/>
    <n v="29"/>
    <x v="6"/>
    <x v="6"/>
    <s v="payday"/>
    <n v="43000000"/>
  </r>
  <r>
    <x v="235"/>
    <x v="0"/>
    <x v="7"/>
    <n v="35"/>
    <n v="29"/>
    <x v="7"/>
    <x v="7"/>
    <s v="paylater"/>
    <n v="163456705"/>
  </r>
  <r>
    <x v="235"/>
    <x v="0"/>
    <x v="7"/>
    <n v="35"/>
    <n v="29"/>
    <x v="5"/>
    <x v="5"/>
    <s v="overdraft"/>
    <n v="3108274555"/>
  </r>
  <r>
    <x v="235"/>
    <x v="0"/>
    <x v="7"/>
    <n v="35"/>
    <n v="29"/>
    <x v="2"/>
    <x v="2"/>
    <s v="cashloan"/>
    <n v="6015420000"/>
  </r>
  <r>
    <x v="235"/>
    <x v="0"/>
    <x v="7"/>
    <n v="35"/>
    <n v="29"/>
    <x v="10"/>
    <x v="9"/>
    <s v="cashloan"/>
    <n v="6420000"/>
  </r>
  <r>
    <x v="235"/>
    <x v="0"/>
    <x v="7"/>
    <n v="35"/>
    <n v="29"/>
    <x v="11"/>
    <x v="10"/>
    <s v="paylater"/>
    <n v="23255270"/>
  </r>
  <r>
    <x v="235"/>
    <x v="0"/>
    <x v="7"/>
    <n v="35"/>
    <n v="29"/>
    <x v="3"/>
    <x v="3"/>
    <s v="cashloan"/>
    <n v="255450000"/>
  </r>
  <r>
    <x v="235"/>
    <x v="0"/>
    <x v="7"/>
    <n v="35"/>
    <n v="29"/>
    <x v="8"/>
    <x v="8"/>
    <s v="cashloan"/>
    <n v="79180000"/>
  </r>
  <r>
    <x v="235"/>
    <x v="0"/>
    <x v="7"/>
    <n v="35"/>
    <n v="29"/>
    <x v="12"/>
    <x v="11"/>
    <s v="cashloan"/>
    <n v="2364790000"/>
  </r>
  <r>
    <x v="235"/>
    <x v="0"/>
    <x v="7"/>
    <n v="35"/>
    <n v="29"/>
    <x v="0"/>
    <x v="0"/>
    <s v="payday"/>
    <n v="3873000000"/>
  </r>
  <r>
    <x v="235"/>
    <x v="0"/>
    <x v="7"/>
    <n v="35"/>
    <n v="29"/>
    <x v="9"/>
    <x v="9"/>
    <s v="cashloan"/>
    <n v="0"/>
  </r>
  <r>
    <x v="235"/>
    <x v="0"/>
    <x v="7"/>
    <n v="35"/>
    <n v="29"/>
    <x v="1"/>
    <x v="1"/>
    <s v="cashloan"/>
    <n v="41250000"/>
  </r>
  <r>
    <x v="236"/>
    <x v="0"/>
    <x v="7"/>
    <n v="35"/>
    <n v="30"/>
    <x v="6"/>
    <x v="6"/>
    <s v="payday"/>
    <n v="103000000"/>
  </r>
  <r>
    <x v="236"/>
    <x v="0"/>
    <x v="7"/>
    <n v="35"/>
    <n v="30"/>
    <x v="7"/>
    <x v="7"/>
    <s v="paylater"/>
    <n v="190906204"/>
  </r>
  <r>
    <x v="236"/>
    <x v="0"/>
    <x v="7"/>
    <n v="35"/>
    <n v="30"/>
    <x v="0"/>
    <x v="0"/>
    <s v="payday"/>
    <n v="4291500000"/>
  </r>
  <r>
    <x v="236"/>
    <x v="0"/>
    <x v="7"/>
    <n v="35"/>
    <n v="30"/>
    <x v="2"/>
    <x v="2"/>
    <s v="cashloan"/>
    <n v="6435150000"/>
  </r>
  <r>
    <x v="236"/>
    <x v="0"/>
    <x v="7"/>
    <n v="35"/>
    <n v="30"/>
    <x v="12"/>
    <x v="11"/>
    <s v="cashloan"/>
    <n v="2183250000"/>
  </r>
  <r>
    <x v="236"/>
    <x v="0"/>
    <x v="7"/>
    <n v="35"/>
    <n v="30"/>
    <x v="8"/>
    <x v="8"/>
    <s v="cashloan"/>
    <n v="62060000"/>
  </r>
  <r>
    <x v="236"/>
    <x v="0"/>
    <x v="7"/>
    <n v="35"/>
    <n v="30"/>
    <x v="9"/>
    <x v="9"/>
    <s v="cashloan"/>
    <n v="0"/>
  </r>
  <r>
    <x v="236"/>
    <x v="0"/>
    <x v="7"/>
    <n v="35"/>
    <n v="30"/>
    <x v="11"/>
    <x v="10"/>
    <s v="paylater"/>
    <n v="36740776"/>
  </r>
  <r>
    <x v="236"/>
    <x v="0"/>
    <x v="7"/>
    <n v="35"/>
    <n v="30"/>
    <x v="3"/>
    <x v="3"/>
    <s v="cashloan"/>
    <n v="126000000"/>
  </r>
  <r>
    <x v="236"/>
    <x v="0"/>
    <x v="7"/>
    <n v="35"/>
    <n v="30"/>
    <x v="5"/>
    <x v="5"/>
    <s v="overdraft"/>
    <n v="3435083083"/>
  </r>
  <r>
    <x v="236"/>
    <x v="0"/>
    <x v="7"/>
    <n v="35"/>
    <n v="30"/>
    <x v="4"/>
    <x v="4"/>
    <n v="0"/>
    <n v="16906860063"/>
  </r>
  <r>
    <x v="236"/>
    <x v="0"/>
    <x v="7"/>
    <n v="35"/>
    <n v="30"/>
    <x v="1"/>
    <x v="1"/>
    <s v="cashloan"/>
    <n v="36750000"/>
  </r>
  <r>
    <x v="236"/>
    <x v="0"/>
    <x v="7"/>
    <n v="35"/>
    <n v="30"/>
    <x v="10"/>
    <x v="9"/>
    <s v="cashloan"/>
    <n v="6420000"/>
  </r>
  <r>
    <x v="237"/>
    <x v="0"/>
    <x v="7"/>
    <n v="35"/>
    <n v="31"/>
    <x v="9"/>
    <x v="9"/>
    <s v="cashloan"/>
    <n v="0"/>
  </r>
  <r>
    <x v="237"/>
    <x v="0"/>
    <x v="7"/>
    <n v="35"/>
    <n v="31"/>
    <x v="2"/>
    <x v="2"/>
    <s v="cashloan"/>
    <n v="5634400000"/>
  </r>
  <r>
    <x v="237"/>
    <x v="0"/>
    <x v="7"/>
    <n v="35"/>
    <n v="31"/>
    <x v="6"/>
    <x v="6"/>
    <s v="payday"/>
    <n v="31000000"/>
  </r>
  <r>
    <x v="237"/>
    <x v="0"/>
    <x v="7"/>
    <n v="35"/>
    <n v="31"/>
    <x v="11"/>
    <x v="10"/>
    <s v="paylater"/>
    <n v="45597774"/>
  </r>
  <r>
    <x v="237"/>
    <x v="0"/>
    <x v="7"/>
    <n v="35"/>
    <n v="31"/>
    <x v="1"/>
    <x v="1"/>
    <s v="cashloan"/>
    <n v="31500000"/>
  </r>
  <r>
    <x v="237"/>
    <x v="0"/>
    <x v="7"/>
    <n v="35"/>
    <n v="31"/>
    <x v="10"/>
    <x v="9"/>
    <s v="cashloan"/>
    <n v="6420000"/>
  </r>
  <r>
    <x v="237"/>
    <x v="0"/>
    <x v="7"/>
    <n v="35"/>
    <n v="31"/>
    <x v="8"/>
    <x v="8"/>
    <s v="cashloan"/>
    <n v="42800000"/>
  </r>
  <r>
    <x v="237"/>
    <x v="0"/>
    <x v="7"/>
    <n v="35"/>
    <n v="31"/>
    <x v="4"/>
    <x v="4"/>
    <n v="0"/>
    <n v="14508913012"/>
  </r>
  <r>
    <x v="237"/>
    <x v="0"/>
    <x v="7"/>
    <n v="35"/>
    <n v="31"/>
    <x v="3"/>
    <x v="3"/>
    <s v="cashloan"/>
    <n v="206500000"/>
  </r>
  <r>
    <x v="237"/>
    <x v="0"/>
    <x v="7"/>
    <n v="35"/>
    <n v="31"/>
    <x v="7"/>
    <x v="7"/>
    <s v="paylater"/>
    <n v="167008073"/>
  </r>
  <r>
    <x v="237"/>
    <x v="0"/>
    <x v="7"/>
    <n v="35"/>
    <n v="31"/>
    <x v="5"/>
    <x v="5"/>
    <s v="overdraft"/>
    <n v="2550887165"/>
  </r>
  <r>
    <x v="237"/>
    <x v="0"/>
    <x v="7"/>
    <n v="35"/>
    <n v="31"/>
    <x v="0"/>
    <x v="0"/>
    <s v="payday"/>
    <n v="4114500000"/>
  </r>
  <r>
    <x v="237"/>
    <x v="0"/>
    <x v="7"/>
    <n v="35"/>
    <n v="31"/>
    <x v="12"/>
    <x v="11"/>
    <s v="cashloan"/>
    <n v="1678300000"/>
  </r>
  <r>
    <x v="238"/>
    <x v="0"/>
    <x v="8"/>
    <n v="35"/>
    <n v="1"/>
    <x v="4"/>
    <x v="4"/>
    <n v="0"/>
    <m/>
  </r>
  <r>
    <x v="238"/>
    <x v="0"/>
    <x v="8"/>
    <n v="35"/>
    <n v="1"/>
    <x v="1"/>
    <x v="1"/>
    <s v="cashloan"/>
    <n v="77750000"/>
  </r>
  <r>
    <x v="238"/>
    <x v="0"/>
    <x v="8"/>
    <n v="35"/>
    <n v="1"/>
    <x v="10"/>
    <x v="9"/>
    <s v="cashloan"/>
    <n v="7490000"/>
  </r>
  <r>
    <x v="238"/>
    <x v="0"/>
    <x v="8"/>
    <n v="35"/>
    <n v="1"/>
    <x v="9"/>
    <x v="9"/>
    <s v="cashloan"/>
    <n v="0"/>
  </r>
  <r>
    <x v="238"/>
    <x v="0"/>
    <x v="8"/>
    <n v="35"/>
    <n v="1"/>
    <x v="8"/>
    <x v="8"/>
    <s v="cashloan"/>
    <n v="0"/>
  </r>
  <r>
    <x v="238"/>
    <x v="0"/>
    <x v="8"/>
    <n v="35"/>
    <n v="1"/>
    <x v="3"/>
    <x v="3"/>
    <s v="cashloan"/>
    <n v="75600000"/>
  </r>
  <r>
    <x v="238"/>
    <x v="0"/>
    <x v="8"/>
    <n v="35"/>
    <n v="1"/>
    <x v="7"/>
    <x v="7"/>
    <s v="paylater"/>
    <n v="207376518"/>
  </r>
  <r>
    <x v="238"/>
    <x v="0"/>
    <x v="8"/>
    <n v="35"/>
    <n v="1"/>
    <x v="6"/>
    <x v="6"/>
    <s v="payday"/>
    <n v="63000000"/>
  </r>
  <r>
    <x v="238"/>
    <x v="0"/>
    <x v="8"/>
    <n v="35"/>
    <n v="1"/>
    <x v="11"/>
    <x v="10"/>
    <s v="paylater"/>
    <n v="37735728"/>
  </r>
  <r>
    <x v="238"/>
    <x v="0"/>
    <x v="8"/>
    <n v="35"/>
    <n v="1"/>
    <x v="12"/>
    <x v="11"/>
    <s v="cashloan"/>
    <n v="1889280000"/>
  </r>
  <r>
    <x v="238"/>
    <x v="0"/>
    <x v="8"/>
    <n v="35"/>
    <n v="1"/>
    <x v="0"/>
    <x v="0"/>
    <s v="payday"/>
    <n v="3748500000"/>
  </r>
  <r>
    <x v="238"/>
    <x v="0"/>
    <x v="8"/>
    <n v="35"/>
    <n v="1"/>
    <x v="5"/>
    <x v="5"/>
    <s v="overdraft"/>
    <n v="4018778982"/>
  </r>
  <r>
    <x v="238"/>
    <x v="0"/>
    <x v="8"/>
    <n v="35"/>
    <n v="1"/>
    <x v="2"/>
    <x v="2"/>
    <s v="cashloan"/>
    <n v="5218720000"/>
  </r>
  <r>
    <x v="239"/>
    <x v="0"/>
    <x v="8"/>
    <n v="36"/>
    <n v="2"/>
    <x v="4"/>
    <x v="4"/>
    <n v="0"/>
    <m/>
  </r>
  <r>
    <x v="239"/>
    <x v="0"/>
    <x v="8"/>
    <n v="36"/>
    <n v="2"/>
    <x v="7"/>
    <x v="7"/>
    <s v="paylater"/>
    <n v="181623144"/>
  </r>
  <r>
    <x v="239"/>
    <x v="0"/>
    <x v="8"/>
    <n v="36"/>
    <n v="2"/>
    <x v="5"/>
    <x v="5"/>
    <s v="overdraft"/>
    <n v="3069738364"/>
  </r>
  <r>
    <x v="239"/>
    <x v="0"/>
    <x v="8"/>
    <n v="36"/>
    <n v="2"/>
    <x v="2"/>
    <x v="2"/>
    <s v="cashloan"/>
    <n v="4823500000"/>
  </r>
  <r>
    <x v="239"/>
    <x v="0"/>
    <x v="8"/>
    <n v="36"/>
    <n v="2"/>
    <x v="8"/>
    <x v="8"/>
    <s v="cashloan"/>
    <n v="46010000"/>
  </r>
  <r>
    <x v="239"/>
    <x v="0"/>
    <x v="8"/>
    <n v="36"/>
    <n v="2"/>
    <x v="3"/>
    <x v="3"/>
    <s v="cashloan"/>
    <n v="93500000"/>
  </r>
  <r>
    <x v="239"/>
    <x v="0"/>
    <x v="8"/>
    <n v="36"/>
    <n v="2"/>
    <x v="9"/>
    <x v="9"/>
    <s v="cashloan"/>
    <n v="6420000"/>
  </r>
  <r>
    <x v="239"/>
    <x v="0"/>
    <x v="8"/>
    <n v="36"/>
    <n v="2"/>
    <x v="1"/>
    <x v="1"/>
    <s v="cashloan"/>
    <n v="31500000"/>
  </r>
  <r>
    <x v="239"/>
    <x v="0"/>
    <x v="8"/>
    <n v="36"/>
    <n v="2"/>
    <x v="6"/>
    <x v="6"/>
    <s v="payday"/>
    <n v="39000000"/>
  </r>
  <r>
    <x v="239"/>
    <x v="0"/>
    <x v="8"/>
    <n v="36"/>
    <n v="2"/>
    <x v="10"/>
    <x v="9"/>
    <s v="cashloan"/>
    <n v="22050000"/>
  </r>
  <r>
    <x v="239"/>
    <x v="0"/>
    <x v="8"/>
    <n v="36"/>
    <n v="2"/>
    <x v="0"/>
    <x v="0"/>
    <s v="payday"/>
    <n v="3036500000"/>
  </r>
  <r>
    <x v="239"/>
    <x v="0"/>
    <x v="8"/>
    <n v="36"/>
    <n v="2"/>
    <x v="12"/>
    <x v="11"/>
    <s v="cashloan"/>
    <n v="1764220000"/>
  </r>
  <r>
    <x v="239"/>
    <x v="0"/>
    <x v="8"/>
    <n v="36"/>
    <n v="2"/>
    <x v="11"/>
    <x v="10"/>
    <s v="paylater"/>
    <n v="38644951"/>
  </r>
  <r>
    <x v="240"/>
    <x v="0"/>
    <x v="8"/>
    <n v="36"/>
    <n v="3"/>
    <x v="4"/>
    <x v="4"/>
    <n v="0"/>
    <n v="15248125042"/>
  </r>
  <r>
    <x v="240"/>
    <x v="0"/>
    <x v="8"/>
    <n v="36"/>
    <n v="3"/>
    <x v="8"/>
    <x v="8"/>
    <s v="cashloan"/>
    <n v="0"/>
  </r>
  <r>
    <x v="240"/>
    <x v="0"/>
    <x v="8"/>
    <n v="36"/>
    <n v="3"/>
    <x v="2"/>
    <x v="2"/>
    <s v="cashloan"/>
    <n v="6369230000"/>
  </r>
  <r>
    <x v="240"/>
    <x v="0"/>
    <x v="8"/>
    <n v="36"/>
    <n v="3"/>
    <x v="5"/>
    <x v="5"/>
    <s v="overdraft"/>
    <n v="2807514631"/>
  </r>
  <r>
    <x v="240"/>
    <x v="0"/>
    <x v="8"/>
    <n v="36"/>
    <n v="3"/>
    <x v="12"/>
    <x v="11"/>
    <s v="cashloan"/>
    <n v="1978650000"/>
  </r>
  <r>
    <x v="240"/>
    <x v="0"/>
    <x v="8"/>
    <n v="36"/>
    <n v="3"/>
    <x v="7"/>
    <x v="7"/>
    <s v="paylater"/>
    <n v="274373699"/>
  </r>
  <r>
    <x v="240"/>
    <x v="0"/>
    <x v="8"/>
    <n v="36"/>
    <n v="3"/>
    <x v="10"/>
    <x v="9"/>
    <s v="cashloan"/>
    <n v="32420000"/>
  </r>
  <r>
    <x v="240"/>
    <x v="0"/>
    <x v="8"/>
    <n v="36"/>
    <n v="3"/>
    <x v="3"/>
    <x v="3"/>
    <s v="cashloan"/>
    <n v="77200000"/>
  </r>
  <r>
    <x v="240"/>
    <x v="0"/>
    <x v="8"/>
    <n v="36"/>
    <n v="3"/>
    <x v="0"/>
    <x v="0"/>
    <s v="payday"/>
    <n v="3558500000"/>
  </r>
  <r>
    <x v="240"/>
    <x v="0"/>
    <x v="8"/>
    <n v="36"/>
    <n v="3"/>
    <x v="11"/>
    <x v="10"/>
    <s v="paylater"/>
    <n v="32236712"/>
  </r>
  <r>
    <x v="240"/>
    <x v="0"/>
    <x v="8"/>
    <n v="36"/>
    <n v="3"/>
    <x v="1"/>
    <x v="1"/>
    <s v="cashloan"/>
    <n v="42000000"/>
  </r>
  <r>
    <x v="240"/>
    <x v="0"/>
    <x v="8"/>
    <n v="36"/>
    <n v="3"/>
    <x v="6"/>
    <x v="6"/>
    <s v="payday"/>
    <n v="76000000"/>
  </r>
  <r>
    <x v="240"/>
    <x v="0"/>
    <x v="8"/>
    <n v="36"/>
    <n v="3"/>
    <x v="9"/>
    <x v="9"/>
    <s v="cashloan"/>
    <n v="0"/>
  </r>
  <r>
    <x v="241"/>
    <x v="0"/>
    <x v="8"/>
    <n v="36"/>
    <n v="4"/>
    <x v="10"/>
    <x v="9"/>
    <s v="cashloan"/>
    <n v="0"/>
  </r>
  <r>
    <x v="241"/>
    <x v="0"/>
    <x v="8"/>
    <n v="36"/>
    <n v="4"/>
    <x v="5"/>
    <x v="5"/>
    <s v="overdraft"/>
    <n v="4573773276"/>
  </r>
  <r>
    <x v="241"/>
    <x v="0"/>
    <x v="8"/>
    <n v="36"/>
    <n v="4"/>
    <x v="4"/>
    <x v="4"/>
    <n v="0"/>
    <n v="21054219546"/>
  </r>
  <r>
    <x v="241"/>
    <x v="0"/>
    <x v="8"/>
    <n v="36"/>
    <n v="4"/>
    <x v="1"/>
    <x v="1"/>
    <s v="cashloan"/>
    <n v="10500000"/>
  </r>
  <r>
    <x v="241"/>
    <x v="0"/>
    <x v="8"/>
    <n v="36"/>
    <n v="4"/>
    <x v="0"/>
    <x v="0"/>
    <s v="payday"/>
    <n v="5224000000"/>
  </r>
  <r>
    <x v="241"/>
    <x v="0"/>
    <x v="8"/>
    <n v="36"/>
    <n v="4"/>
    <x v="2"/>
    <x v="2"/>
    <s v="cashloan"/>
    <n v="7840770000"/>
  </r>
  <r>
    <x v="241"/>
    <x v="0"/>
    <x v="8"/>
    <n v="36"/>
    <n v="4"/>
    <x v="9"/>
    <x v="9"/>
    <s v="cashloan"/>
    <n v="10700000"/>
  </r>
  <r>
    <x v="241"/>
    <x v="0"/>
    <x v="8"/>
    <n v="36"/>
    <n v="4"/>
    <x v="12"/>
    <x v="11"/>
    <s v="cashloan"/>
    <n v="2614880000"/>
  </r>
  <r>
    <x v="241"/>
    <x v="0"/>
    <x v="8"/>
    <n v="36"/>
    <n v="4"/>
    <x v="7"/>
    <x v="7"/>
    <s v="paylater"/>
    <n v="425600160"/>
  </r>
  <r>
    <x v="241"/>
    <x v="0"/>
    <x v="8"/>
    <n v="36"/>
    <n v="4"/>
    <x v="11"/>
    <x v="10"/>
    <s v="paylater"/>
    <n v="64686110"/>
  </r>
  <r>
    <x v="241"/>
    <x v="0"/>
    <x v="8"/>
    <n v="36"/>
    <n v="4"/>
    <x v="3"/>
    <x v="3"/>
    <s v="cashloan"/>
    <n v="165700000"/>
  </r>
  <r>
    <x v="241"/>
    <x v="0"/>
    <x v="8"/>
    <n v="36"/>
    <n v="4"/>
    <x v="8"/>
    <x v="8"/>
    <s v="cashloan"/>
    <n v="24610000"/>
  </r>
  <r>
    <x v="241"/>
    <x v="0"/>
    <x v="8"/>
    <n v="36"/>
    <n v="4"/>
    <x v="6"/>
    <x v="6"/>
    <s v="payday"/>
    <n v="99000000"/>
  </r>
  <r>
    <x v="242"/>
    <x v="0"/>
    <x v="8"/>
    <n v="36"/>
    <n v="5"/>
    <x v="12"/>
    <x v="11"/>
    <s v="cashloan"/>
    <n v="2902100000"/>
  </r>
  <r>
    <x v="242"/>
    <x v="0"/>
    <x v="8"/>
    <n v="36"/>
    <n v="5"/>
    <x v="7"/>
    <x v="7"/>
    <s v="paylater"/>
    <n v="360246204"/>
  </r>
  <r>
    <x v="242"/>
    <x v="0"/>
    <x v="8"/>
    <n v="36"/>
    <n v="5"/>
    <x v="9"/>
    <x v="9"/>
    <s v="cashloan"/>
    <n v="27820000"/>
  </r>
  <r>
    <x v="242"/>
    <x v="0"/>
    <x v="8"/>
    <n v="36"/>
    <n v="5"/>
    <x v="4"/>
    <x v="4"/>
    <n v="0"/>
    <n v="18736012565"/>
  </r>
  <r>
    <x v="242"/>
    <x v="0"/>
    <x v="8"/>
    <n v="36"/>
    <n v="5"/>
    <x v="10"/>
    <x v="9"/>
    <s v="cashloan"/>
    <n v="44100000"/>
  </r>
  <r>
    <x v="242"/>
    <x v="0"/>
    <x v="8"/>
    <n v="36"/>
    <n v="5"/>
    <x v="11"/>
    <x v="10"/>
    <s v="paylater"/>
    <n v="69894223"/>
  </r>
  <r>
    <x v="242"/>
    <x v="0"/>
    <x v="8"/>
    <n v="36"/>
    <n v="5"/>
    <x v="8"/>
    <x v="8"/>
    <s v="cashloan"/>
    <n v="0"/>
  </r>
  <r>
    <x v="242"/>
    <x v="0"/>
    <x v="8"/>
    <n v="36"/>
    <n v="5"/>
    <x v="3"/>
    <x v="3"/>
    <s v="cashloan"/>
    <n v="40950000"/>
  </r>
  <r>
    <x v="242"/>
    <x v="0"/>
    <x v="8"/>
    <n v="36"/>
    <n v="5"/>
    <x v="2"/>
    <x v="2"/>
    <s v="cashloan"/>
    <n v="7985830000"/>
  </r>
  <r>
    <x v="242"/>
    <x v="0"/>
    <x v="8"/>
    <n v="36"/>
    <n v="5"/>
    <x v="6"/>
    <x v="6"/>
    <s v="payday"/>
    <n v="92000000"/>
  </r>
  <r>
    <x v="242"/>
    <x v="0"/>
    <x v="8"/>
    <n v="36"/>
    <n v="5"/>
    <x v="0"/>
    <x v="0"/>
    <s v="payday"/>
    <n v="2951500000"/>
  </r>
  <r>
    <x v="242"/>
    <x v="0"/>
    <x v="8"/>
    <n v="36"/>
    <n v="5"/>
    <x v="5"/>
    <x v="5"/>
    <s v="overdraft"/>
    <n v="4198572138"/>
  </r>
  <r>
    <x v="242"/>
    <x v="0"/>
    <x v="8"/>
    <n v="36"/>
    <n v="5"/>
    <x v="1"/>
    <x v="1"/>
    <s v="cashloan"/>
    <n v="63000000"/>
  </r>
  <r>
    <x v="243"/>
    <x v="0"/>
    <x v="8"/>
    <n v="36"/>
    <n v="6"/>
    <x v="1"/>
    <x v="1"/>
    <s v="cashloan"/>
    <n v="56750000"/>
  </r>
  <r>
    <x v="243"/>
    <x v="0"/>
    <x v="8"/>
    <n v="36"/>
    <n v="6"/>
    <x v="8"/>
    <x v="8"/>
    <s v="cashloan"/>
    <n v="12000000"/>
  </r>
  <r>
    <x v="243"/>
    <x v="0"/>
    <x v="8"/>
    <n v="36"/>
    <n v="6"/>
    <x v="0"/>
    <x v="0"/>
    <s v="payday"/>
    <n v="3488000000"/>
  </r>
  <r>
    <x v="243"/>
    <x v="0"/>
    <x v="8"/>
    <n v="36"/>
    <n v="6"/>
    <x v="5"/>
    <x v="5"/>
    <s v="overdraft"/>
    <n v="2879426720"/>
  </r>
  <r>
    <x v="243"/>
    <x v="0"/>
    <x v="8"/>
    <n v="36"/>
    <n v="6"/>
    <x v="2"/>
    <x v="2"/>
    <s v="cashloan"/>
    <n v="7457480000"/>
  </r>
  <r>
    <x v="243"/>
    <x v="0"/>
    <x v="8"/>
    <n v="36"/>
    <n v="6"/>
    <x v="4"/>
    <x v="4"/>
    <n v="0"/>
    <n v="16606045526"/>
  </r>
  <r>
    <x v="243"/>
    <x v="0"/>
    <x v="8"/>
    <n v="36"/>
    <n v="6"/>
    <x v="7"/>
    <x v="7"/>
    <s v="paylater"/>
    <n v="310872408"/>
  </r>
  <r>
    <x v="243"/>
    <x v="0"/>
    <x v="8"/>
    <n v="36"/>
    <n v="6"/>
    <x v="10"/>
    <x v="9"/>
    <s v="cashloan"/>
    <n v="10700000"/>
  </r>
  <r>
    <x v="243"/>
    <x v="0"/>
    <x v="8"/>
    <n v="36"/>
    <n v="6"/>
    <x v="11"/>
    <x v="10"/>
    <s v="paylater"/>
    <n v="54216398"/>
  </r>
  <r>
    <x v="243"/>
    <x v="0"/>
    <x v="8"/>
    <n v="36"/>
    <n v="6"/>
    <x v="6"/>
    <x v="6"/>
    <s v="payday"/>
    <n v="46000000"/>
  </r>
  <r>
    <x v="243"/>
    <x v="0"/>
    <x v="8"/>
    <n v="36"/>
    <n v="6"/>
    <x v="9"/>
    <x v="9"/>
    <s v="cashloan"/>
    <n v="0"/>
  </r>
  <r>
    <x v="243"/>
    <x v="0"/>
    <x v="8"/>
    <n v="36"/>
    <n v="6"/>
    <x v="3"/>
    <x v="3"/>
    <s v="cashloan"/>
    <n v="68550000"/>
  </r>
  <r>
    <x v="243"/>
    <x v="0"/>
    <x v="8"/>
    <n v="36"/>
    <n v="6"/>
    <x v="12"/>
    <x v="11"/>
    <s v="cashloan"/>
    <n v="2222050000"/>
  </r>
  <r>
    <x v="244"/>
    <x v="0"/>
    <x v="8"/>
    <n v="36"/>
    <n v="7"/>
    <x v="11"/>
    <x v="10"/>
    <s v="paylater"/>
    <n v="46274728"/>
  </r>
  <r>
    <x v="244"/>
    <x v="0"/>
    <x v="8"/>
    <n v="36"/>
    <n v="7"/>
    <x v="7"/>
    <x v="7"/>
    <s v="paylater"/>
    <n v="234377308"/>
  </r>
  <r>
    <x v="244"/>
    <x v="0"/>
    <x v="8"/>
    <n v="36"/>
    <n v="7"/>
    <x v="8"/>
    <x v="8"/>
    <s v="cashloan"/>
    <n v="12000000"/>
  </r>
  <r>
    <x v="244"/>
    <x v="0"/>
    <x v="8"/>
    <n v="36"/>
    <n v="7"/>
    <x v="12"/>
    <x v="11"/>
    <s v="cashloan"/>
    <n v="1874890000"/>
  </r>
  <r>
    <x v="244"/>
    <x v="0"/>
    <x v="8"/>
    <n v="36"/>
    <n v="7"/>
    <x v="10"/>
    <x v="9"/>
    <s v="cashloan"/>
    <n v="21400000"/>
  </r>
  <r>
    <x v="244"/>
    <x v="0"/>
    <x v="8"/>
    <n v="36"/>
    <n v="7"/>
    <x v="2"/>
    <x v="2"/>
    <s v="cashloan"/>
    <n v="5931830000"/>
  </r>
  <r>
    <x v="244"/>
    <x v="0"/>
    <x v="8"/>
    <n v="36"/>
    <n v="7"/>
    <x v="4"/>
    <x v="4"/>
    <n v="0"/>
    <n v="14366110903"/>
  </r>
  <r>
    <x v="244"/>
    <x v="0"/>
    <x v="8"/>
    <n v="36"/>
    <n v="7"/>
    <x v="1"/>
    <x v="1"/>
    <s v="cashloan"/>
    <n v="36750000"/>
  </r>
  <r>
    <x v="244"/>
    <x v="0"/>
    <x v="8"/>
    <n v="36"/>
    <n v="7"/>
    <x v="9"/>
    <x v="9"/>
    <s v="cashloan"/>
    <n v="0"/>
  </r>
  <r>
    <x v="244"/>
    <x v="0"/>
    <x v="8"/>
    <n v="36"/>
    <n v="7"/>
    <x v="5"/>
    <x v="5"/>
    <s v="overdraft"/>
    <n v="2178088867"/>
  </r>
  <r>
    <x v="244"/>
    <x v="0"/>
    <x v="8"/>
    <n v="36"/>
    <n v="7"/>
    <x v="0"/>
    <x v="0"/>
    <s v="payday"/>
    <n v="3897500000"/>
  </r>
  <r>
    <x v="244"/>
    <x v="0"/>
    <x v="8"/>
    <n v="36"/>
    <n v="7"/>
    <x v="3"/>
    <x v="3"/>
    <s v="cashloan"/>
    <n v="42000000"/>
  </r>
  <r>
    <x v="244"/>
    <x v="0"/>
    <x v="8"/>
    <n v="36"/>
    <n v="7"/>
    <x v="6"/>
    <x v="6"/>
    <s v="payday"/>
    <n v="91000000"/>
  </r>
  <r>
    <x v="245"/>
    <x v="0"/>
    <x v="8"/>
    <n v="36"/>
    <n v="8"/>
    <x v="1"/>
    <x v="1"/>
    <s v="cashloan"/>
    <n v="42000000"/>
  </r>
  <r>
    <x v="245"/>
    <x v="0"/>
    <x v="8"/>
    <n v="36"/>
    <n v="8"/>
    <x v="9"/>
    <x v="9"/>
    <s v="cashloan"/>
    <n v="0"/>
  </r>
  <r>
    <x v="245"/>
    <x v="0"/>
    <x v="8"/>
    <n v="36"/>
    <n v="8"/>
    <x v="10"/>
    <x v="9"/>
    <s v="cashloan"/>
    <n v="0"/>
  </r>
  <r>
    <x v="245"/>
    <x v="0"/>
    <x v="8"/>
    <n v="36"/>
    <n v="8"/>
    <x v="2"/>
    <x v="2"/>
    <s v="cashloan"/>
    <n v="4965160000"/>
  </r>
  <r>
    <x v="245"/>
    <x v="0"/>
    <x v="8"/>
    <n v="36"/>
    <n v="8"/>
    <x v="0"/>
    <x v="0"/>
    <s v="payday"/>
    <n v="3457500000"/>
  </r>
  <r>
    <x v="245"/>
    <x v="0"/>
    <x v="8"/>
    <n v="36"/>
    <n v="8"/>
    <x v="11"/>
    <x v="10"/>
    <s v="paylater"/>
    <n v="48325142"/>
  </r>
  <r>
    <x v="245"/>
    <x v="0"/>
    <x v="8"/>
    <n v="36"/>
    <n v="8"/>
    <x v="8"/>
    <x v="8"/>
    <s v="cashloan"/>
    <n v="0"/>
  </r>
  <r>
    <x v="245"/>
    <x v="0"/>
    <x v="8"/>
    <n v="36"/>
    <n v="8"/>
    <x v="4"/>
    <x v="4"/>
    <n v="0"/>
    <n v="12786457111"/>
  </r>
  <r>
    <x v="245"/>
    <x v="0"/>
    <x v="8"/>
    <n v="36"/>
    <n v="8"/>
    <x v="3"/>
    <x v="3"/>
    <s v="cashloan"/>
    <n v="73000000"/>
  </r>
  <r>
    <x v="245"/>
    <x v="0"/>
    <x v="8"/>
    <n v="36"/>
    <n v="8"/>
    <x v="12"/>
    <x v="11"/>
    <s v="cashloan"/>
    <n v="1494010000"/>
  </r>
  <r>
    <x v="245"/>
    <x v="0"/>
    <x v="8"/>
    <n v="36"/>
    <n v="8"/>
    <x v="6"/>
    <x v="6"/>
    <s v="payday"/>
    <n v="44000000"/>
  </r>
  <r>
    <x v="245"/>
    <x v="0"/>
    <x v="8"/>
    <n v="36"/>
    <n v="8"/>
    <x v="7"/>
    <x v="7"/>
    <s v="paylater"/>
    <n v="156447824"/>
  </r>
  <r>
    <x v="245"/>
    <x v="0"/>
    <x v="8"/>
    <n v="36"/>
    <n v="8"/>
    <x v="5"/>
    <x v="5"/>
    <s v="overdraft"/>
    <n v="2506014145"/>
  </r>
  <r>
    <x v="246"/>
    <x v="0"/>
    <x v="8"/>
    <n v="37"/>
    <n v="9"/>
    <x v="4"/>
    <x v="4"/>
    <n v="0"/>
    <n v="17416469127"/>
  </r>
  <r>
    <x v="246"/>
    <x v="0"/>
    <x v="8"/>
    <n v="37"/>
    <n v="9"/>
    <x v="10"/>
    <x v="9"/>
    <s v="cashloan"/>
    <n v="32100000"/>
  </r>
  <r>
    <x v="246"/>
    <x v="0"/>
    <x v="8"/>
    <n v="37"/>
    <n v="9"/>
    <x v="12"/>
    <x v="11"/>
    <s v="cashloan"/>
    <n v="2182070000"/>
  </r>
  <r>
    <x v="246"/>
    <x v="0"/>
    <x v="8"/>
    <n v="37"/>
    <n v="9"/>
    <x v="6"/>
    <x v="6"/>
    <s v="payday"/>
    <n v="82000000"/>
  </r>
  <r>
    <x v="246"/>
    <x v="0"/>
    <x v="8"/>
    <n v="37"/>
    <n v="9"/>
    <x v="3"/>
    <x v="3"/>
    <s v="cashloan"/>
    <n v="97000000"/>
  </r>
  <r>
    <x v="246"/>
    <x v="0"/>
    <x v="8"/>
    <n v="37"/>
    <n v="9"/>
    <x v="9"/>
    <x v="9"/>
    <s v="cashloan"/>
    <n v="0"/>
  </r>
  <r>
    <x v="246"/>
    <x v="0"/>
    <x v="8"/>
    <n v="37"/>
    <n v="9"/>
    <x v="0"/>
    <x v="0"/>
    <s v="payday"/>
    <n v="4436000000"/>
  </r>
  <r>
    <x v="246"/>
    <x v="0"/>
    <x v="8"/>
    <n v="37"/>
    <n v="9"/>
    <x v="1"/>
    <x v="1"/>
    <s v="cashloan"/>
    <n v="42000000"/>
  </r>
  <r>
    <x v="246"/>
    <x v="0"/>
    <x v="8"/>
    <n v="37"/>
    <n v="9"/>
    <x v="8"/>
    <x v="8"/>
    <s v="cashloan"/>
    <n v="0"/>
  </r>
  <r>
    <x v="246"/>
    <x v="0"/>
    <x v="8"/>
    <n v="37"/>
    <n v="9"/>
    <x v="5"/>
    <x v="5"/>
    <s v="overdraft"/>
    <n v="3487622641"/>
  </r>
  <r>
    <x v="246"/>
    <x v="0"/>
    <x v="8"/>
    <n v="37"/>
    <n v="9"/>
    <x v="11"/>
    <x v="10"/>
    <s v="paylater"/>
    <n v="44663034"/>
  </r>
  <r>
    <x v="246"/>
    <x v="0"/>
    <x v="8"/>
    <n v="37"/>
    <n v="9"/>
    <x v="2"/>
    <x v="2"/>
    <s v="cashloan"/>
    <n v="6743310000"/>
  </r>
  <r>
    <x v="246"/>
    <x v="0"/>
    <x v="8"/>
    <n v="37"/>
    <n v="9"/>
    <x v="7"/>
    <x v="7"/>
    <s v="paylater"/>
    <n v="269703452"/>
  </r>
  <r>
    <x v="247"/>
    <x v="0"/>
    <x v="8"/>
    <n v="37"/>
    <n v="10"/>
    <x v="4"/>
    <x v="4"/>
    <n v="0"/>
    <n v="18379938781"/>
  </r>
  <r>
    <x v="247"/>
    <x v="0"/>
    <x v="8"/>
    <n v="37"/>
    <n v="10"/>
    <x v="11"/>
    <x v="10"/>
    <s v="paylater"/>
    <n v="45403481"/>
  </r>
  <r>
    <x v="247"/>
    <x v="0"/>
    <x v="8"/>
    <n v="37"/>
    <n v="10"/>
    <x v="10"/>
    <x v="9"/>
    <s v="cashloan"/>
    <n v="6420000"/>
  </r>
  <r>
    <x v="247"/>
    <x v="0"/>
    <x v="8"/>
    <n v="37"/>
    <n v="10"/>
    <x v="3"/>
    <x v="3"/>
    <s v="cashloan"/>
    <n v="140000000"/>
  </r>
  <r>
    <x v="247"/>
    <x v="0"/>
    <x v="8"/>
    <n v="37"/>
    <n v="10"/>
    <x v="8"/>
    <x v="8"/>
    <s v="cashloan"/>
    <n v="0"/>
  </r>
  <r>
    <x v="247"/>
    <x v="0"/>
    <x v="8"/>
    <n v="37"/>
    <n v="10"/>
    <x v="7"/>
    <x v="7"/>
    <s v="paylater"/>
    <n v="238654927"/>
  </r>
  <r>
    <x v="247"/>
    <x v="0"/>
    <x v="8"/>
    <n v="37"/>
    <n v="10"/>
    <x v="1"/>
    <x v="1"/>
    <s v="cashloan"/>
    <n v="73000000"/>
  </r>
  <r>
    <x v="247"/>
    <x v="0"/>
    <x v="8"/>
    <n v="37"/>
    <n v="10"/>
    <x v="5"/>
    <x v="5"/>
    <s v="overdraft"/>
    <n v="3221580373"/>
  </r>
  <r>
    <x v="247"/>
    <x v="0"/>
    <x v="8"/>
    <n v="37"/>
    <n v="10"/>
    <x v="6"/>
    <x v="6"/>
    <s v="payday"/>
    <n v="79000000"/>
  </r>
  <r>
    <x v="247"/>
    <x v="0"/>
    <x v="8"/>
    <n v="37"/>
    <n v="10"/>
    <x v="9"/>
    <x v="9"/>
    <s v="cashloan"/>
    <n v="21400000"/>
  </r>
  <r>
    <x v="247"/>
    <x v="0"/>
    <x v="8"/>
    <n v="37"/>
    <n v="10"/>
    <x v="0"/>
    <x v="0"/>
    <s v="payday"/>
    <n v="5598000000"/>
  </r>
  <r>
    <x v="247"/>
    <x v="0"/>
    <x v="8"/>
    <n v="37"/>
    <n v="10"/>
    <x v="2"/>
    <x v="2"/>
    <s v="cashloan"/>
    <n v="6611980000"/>
  </r>
  <r>
    <x v="247"/>
    <x v="0"/>
    <x v="8"/>
    <n v="37"/>
    <n v="10"/>
    <x v="12"/>
    <x v="11"/>
    <s v="cashloan"/>
    <n v="2344500000"/>
  </r>
  <r>
    <x v="248"/>
    <x v="0"/>
    <x v="8"/>
    <n v="37"/>
    <n v="11"/>
    <x v="10"/>
    <x v="9"/>
    <s v="cashloan"/>
    <n v="6420000"/>
  </r>
  <r>
    <x v="248"/>
    <x v="0"/>
    <x v="8"/>
    <n v="37"/>
    <n v="11"/>
    <x v="8"/>
    <x v="8"/>
    <s v="cashloan"/>
    <n v="28000000"/>
  </r>
  <r>
    <x v="248"/>
    <x v="0"/>
    <x v="8"/>
    <n v="37"/>
    <n v="11"/>
    <x v="11"/>
    <x v="10"/>
    <s v="paylater"/>
    <n v="32664785"/>
  </r>
  <r>
    <x v="248"/>
    <x v="0"/>
    <x v="8"/>
    <n v="37"/>
    <n v="11"/>
    <x v="1"/>
    <x v="1"/>
    <s v="cashloan"/>
    <n v="31500000"/>
  </r>
  <r>
    <x v="248"/>
    <x v="0"/>
    <x v="8"/>
    <n v="37"/>
    <n v="11"/>
    <x v="6"/>
    <x v="6"/>
    <s v="payday"/>
    <n v="23000000"/>
  </r>
  <r>
    <x v="248"/>
    <x v="0"/>
    <x v="8"/>
    <n v="37"/>
    <n v="11"/>
    <x v="9"/>
    <x v="9"/>
    <s v="cashloan"/>
    <n v="0"/>
  </r>
  <r>
    <x v="248"/>
    <x v="0"/>
    <x v="8"/>
    <n v="37"/>
    <n v="11"/>
    <x v="3"/>
    <x v="3"/>
    <s v="cashloan"/>
    <n v="149000000"/>
  </r>
  <r>
    <x v="248"/>
    <x v="0"/>
    <x v="8"/>
    <n v="37"/>
    <n v="11"/>
    <x v="2"/>
    <x v="2"/>
    <s v="cashloan"/>
    <n v="5945860000"/>
  </r>
  <r>
    <x v="248"/>
    <x v="0"/>
    <x v="8"/>
    <n v="37"/>
    <n v="11"/>
    <x v="0"/>
    <x v="0"/>
    <s v="payday"/>
    <n v="4268500000"/>
  </r>
  <r>
    <x v="248"/>
    <x v="0"/>
    <x v="8"/>
    <n v="37"/>
    <n v="11"/>
    <x v="5"/>
    <x v="5"/>
    <s v="overdraft"/>
    <n v="2638375612"/>
  </r>
  <r>
    <x v="248"/>
    <x v="0"/>
    <x v="8"/>
    <n v="37"/>
    <n v="11"/>
    <x v="7"/>
    <x v="7"/>
    <s v="paylater"/>
    <n v="207767994"/>
  </r>
  <r>
    <x v="248"/>
    <x v="0"/>
    <x v="8"/>
    <n v="37"/>
    <n v="11"/>
    <x v="12"/>
    <x v="11"/>
    <s v="cashloan"/>
    <n v="2144440000"/>
  </r>
  <r>
    <x v="248"/>
    <x v="0"/>
    <x v="8"/>
    <n v="37"/>
    <n v="11"/>
    <x v="4"/>
    <x v="4"/>
    <n v="0"/>
    <n v="15475528391"/>
  </r>
  <r>
    <x v="249"/>
    <x v="0"/>
    <x v="8"/>
    <n v="37"/>
    <n v="12"/>
    <x v="11"/>
    <x v="10"/>
    <s v="paylater"/>
    <n v="32065959"/>
  </r>
  <r>
    <x v="249"/>
    <x v="0"/>
    <x v="8"/>
    <n v="37"/>
    <n v="12"/>
    <x v="8"/>
    <x v="8"/>
    <s v="cashloan"/>
    <n v="0"/>
  </r>
  <r>
    <x v="249"/>
    <x v="0"/>
    <x v="8"/>
    <n v="37"/>
    <n v="12"/>
    <x v="4"/>
    <x v="4"/>
    <n v="0"/>
    <n v="14793881138"/>
  </r>
  <r>
    <x v="249"/>
    <x v="0"/>
    <x v="8"/>
    <n v="37"/>
    <n v="12"/>
    <x v="0"/>
    <x v="0"/>
    <s v="payday"/>
    <n v="4242500000"/>
  </r>
  <r>
    <x v="249"/>
    <x v="0"/>
    <x v="8"/>
    <n v="37"/>
    <n v="12"/>
    <x v="9"/>
    <x v="9"/>
    <s v="cashloan"/>
    <n v="0"/>
  </r>
  <r>
    <x v="249"/>
    <x v="0"/>
    <x v="8"/>
    <n v="37"/>
    <n v="12"/>
    <x v="10"/>
    <x v="9"/>
    <s v="cashloan"/>
    <n v="57800000"/>
  </r>
  <r>
    <x v="249"/>
    <x v="0"/>
    <x v="8"/>
    <n v="37"/>
    <n v="12"/>
    <x v="1"/>
    <x v="1"/>
    <s v="cashloan"/>
    <n v="26250000"/>
  </r>
  <r>
    <x v="249"/>
    <x v="0"/>
    <x v="8"/>
    <n v="37"/>
    <n v="12"/>
    <x v="7"/>
    <x v="7"/>
    <s v="paylater"/>
    <n v="179562371"/>
  </r>
  <r>
    <x v="249"/>
    <x v="0"/>
    <x v="8"/>
    <n v="37"/>
    <n v="12"/>
    <x v="6"/>
    <x v="6"/>
    <s v="payday"/>
    <n v="23000000"/>
  </r>
  <r>
    <x v="249"/>
    <x v="0"/>
    <x v="8"/>
    <n v="37"/>
    <n v="12"/>
    <x v="5"/>
    <x v="5"/>
    <s v="overdraft"/>
    <n v="2732272808"/>
  </r>
  <r>
    <x v="249"/>
    <x v="0"/>
    <x v="8"/>
    <n v="37"/>
    <n v="12"/>
    <x v="2"/>
    <x v="2"/>
    <s v="cashloan"/>
    <n v="5549390000"/>
  </r>
  <r>
    <x v="249"/>
    <x v="0"/>
    <x v="8"/>
    <n v="37"/>
    <n v="12"/>
    <x v="3"/>
    <x v="3"/>
    <s v="cashloan"/>
    <n v="63000000"/>
  </r>
  <r>
    <x v="249"/>
    <x v="0"/>
    <x v="8"/>
    <n v="37"/>
    <n v="12"/>
    <x v="12"/>
    <x v="11"/>
    <s v="cashloan"/>
    <n v="1888040000"/>
  </r>
  <r>
    <x v="250"/>
    <x v="0"/>
    <x v="8"/>
    <n v="37"/>
    <n v="13"/>
    <x v="3"/>
    <x v="3"/>
    <s v="cashloan"/>
    <n v="82950000"/>
  </r>
  <r>
    <x v="250"/>
    <x v="0"/>
    <x v="8"/>
    <n v="37"/>
    <n v="13"/>
    <x v="10"/>
    <x v="9"/>
    <s v="cashloan"/>
    <n v="0"/>
  </r>
  <r>
    <x v="250"/>
    <x v="0"/>
    <x v="8"/>
    <n v="37"/>
    <n v="13"/>
    <x v="2"/>
    <x v="2"/>
    <s v="cashloan"/>
    <n v="5923360000"/>
  </r>
  <r>
    <x v="250"/>
    <x v="0"/>
    <x v="8"/>
    <n v="37"/>
    <n v="13"/>
    <x v="12"/>
    <x v="11"/>
    <s v="cashloan"/>
    <n v="2256200000"/>
  </r>
  <r>
    <x v="250"/>
    <x v="0"/>
    <x v="8"/>
    <n v="37"/>
    <n v="13"/>
    <x v="8"/>
    <x v="8"/>
    <s v="cashloan"/>
    <n v="0"/>
  </r>
  <r>
    <x v="250"/>
    <x v="0"/>
    <x v="8"/>
    <n v="37"/>
    <n v="13"/>
    <x v="4"/>
    <x v="4"/>
    <n v="0"/>
    <n v="15455802088"/>
  </r>
  <r>
    <x v="250"/>
    <x v="0"/>
    <x v="8"/>
    <n v="37"/>
    <n v="13"/>
    <x v="6"/>
    <x v="6"/>
    <s v="payday"/>
    <n v="11000000"/>
  </r>
  <r>
    <x v="250"/>
    <x v="0"/>
    <x v="8"/>
    <n v="37"/>
    <n v="13"/>
    <x v="1"/>
    <x v="1"/>
    <s v="cashloan"/>
    <n v="0"/>
  </r>
  <r>
    <x v="250"/>
    <x v="0"/>
    <x v="8"/>
    <n v="37"/>
    <n v="13"/>
    <x v="7"/>
    <x v="7"/>
    <s v="paylater"/>
    <n v="192664417"/>
  </r>
  <r>
    <x v="250"/>
    <x v="0"/>
    <x v="8"/>
    <n v="37"/>
    <n v="13"/>
    <x v="11"/>
    <x v="10"/>
    <s v="paylater"/>
    <n v="26173438"/>
  </r>
  <r>
    <x v="250"/>
    <x v="0"/>
    <x v="8"/>
    <n v="37"/>
    <n v="13"/>
    <x v="0"/>
    <x v="0"/>
    <s v="payday"/>
    <n v="4137000000"/>
  </r>
  <r>
    <x v="250"/>
    <x v="0"/>
    <x v="8"/>
    <n v="37"/>
    <n v="13"/>
    <x v="9"/>
    <x v="9"/>
    <s v="cashloan"/>
    <n v="0"/>
  </r>
  <r>
    <x v="250"/>
    <x v="0"/>
    <x v="8"/>
    <n v="37"/>
    <n v="13"/>
    <x v="5"/>
    <x v="5"/>
    <s v="overdraft"/>
    <n v="2826454233"/>
  </r>
  <r>
    <x v="251"/>
    <x v="0"/>
    <x v="8"/>
    <n v="37"/>
    <n v="14"/>
    <x v="4"/>
    <x v="4"/>
    <n v="0"/>
    <n v="14258269311"/>
  </r>
  <r>
    <x v="251"/>
    <x v="0"/>
    <x v="8"/>
    <n v="37"/>
    <n v="14"/>
    <x v="0"/>
    <x v="0"/>
    <s v="payday"/>
    <n v="4116000000"/>
  </r>
  <r>
    <x v="251"/>
    <x v="0"/>
    <x v="8"/>
    <n v="37"/>
    <n v="14"/>
    <x v="1"/>
    <x v="1"/>
    <s v="cashloan"/>
    <n v="26250000"/>
  </r>
  <r>
    <x v="251"/>
    <x v="0"/>
    <x v="8"/>
    <n v="37"/>
    <n v="14"/>
    <x v="12"/>
    <x v="11"/>
    <s v="cashloan"/>
    <n v="1904020000"/>
  </r>
  <r>
    <x v="251"/>
    <x v="0"/>
    <x v="8"/>
    <n v="37"/>
    <n v="14"/>
    <x v="7"/>
    <x v="7"/>
    <s v="paylater"/>
    <n v="213989710"/>
  </r>
  <r>
    <x v="251"/>
    <x v="0"/>
    <x v="8"/>
    <n v="37"/>
    <n v="14"/>
    <x v="8"/>
    <x v="8"/>
    <s v="cashloan"/>
    <n v="0"/>
  </r>
  <r>
    <x v="251"/>
    <x v="0"/>
    <x v="8"/>
    <n v="37"/>
    <n v="14"/>
    <x v="5"/>
    <x v="5"/>
    <s v="overdraft"/>
    <n v="2703255668"/>
  </r>
  <r>
    <x v="251"/>
    <x v="0"/>
    <x v="8"/>
    <n v="37"/>
    <n v="14"/>
    <x v="2"/>
    <x v="2"/>
    <s v="cashloan"/>
    <n v="5084660000"/>
  </r>
  <r>
    <x v="251"/>
    <x v="0"/>
    <x v="8"/>
    <n v="37"/>
    <n v="14"/>
    <x v="10"/>
    <x v="9"/>
    <s v="cashloan"/>
    <n v="7490000"/>
  </r>
  <r>
    <x v="251"/>
    <x v="0"/>
    <x v="8"/>
    <n v="37"/>
    <n v="14"/>
    <x v="11"/>
    <x v="10"/>
    <s v="paylater"/>
    <n v="31453933"/>
  </r>
  <r>
    <x v="251"/>
    <x v="0"/>
    <x v="8"/>
    <n v="37"/>
    <n v="14"/>
    <x v="6"/>
    <x v="6"/>
    <s v="payday"/>
    <n v="14000000"/>
  </r>
  <r>
    <x v="251"/>
    <x v="0"/>
    <x v="8"/>
    <n v="37"/>
    <n v="14"/>
    <x v="3"/>
    <x v="3"/>
    <s v="cashloan"/>
    <n v="157150000"/>
  </r>
  <r>
    <x v="251"/>
    <x v="0"/>
    <x v="8"/>
    <n v="37"/>
    <n v="14"/>
    <x v="9"/>
    <x v="9"/>
    <s v="cashloan"/>
    <n v="0"/>
  </r>
  <r>
    <x v="252"/>
    <x v="0"/>
    <x v="8"/>
    <n v="37"/>
    <n v="15"/>
    <x v="2"/>
    <x v="2"/>
    <s v="cashloan"/>
    <n v="5785480000"/>
  </r>
  <r>
    <x v="252"/>
    <x v="0"/>
    <x v="8"/>
    <n v="37"/>
    <n v="15"/>
    <x v="10"/>
    <x v="9"/>
    <s v="cashloan"/>
    <n v="21400000"/>
  </r>
  <r>
    <x v="252"/>
    <x v="0"/>
    <x v="8"/>
    <n v="37"/>
    <n v="15"/>
    <x v="0"/>
    <x v="0"/>
    <s v="payday"/>
    <n v="4058000000"/>
  </r>
  <r>
    <x v="252"/>
    <x v="0"/>
    <x v="8"/>
    <n v="37"/>
    <n v="15"/>
    <x v="7"/>
    <x v="7"/>
    <s v="paylater"/>
    <n v="196909568"/>
  </r>
  <r>
    <x v="252"/>
    <x v="0"/>
    <x v="8"/>
    <n v="37"/>
    <n v="15"/>
    <x v="1"/>
    <x v="1"/>
    <s v="cashloan"/>
    <n v="94500000"/>
  </r>
  <r>
    <x v="252"/>
    <x v="0"/>
    <x v="8"/>
    <n v="37"/>
    <n v="15"/>
    <x v="11"/>
    <x v="10"/>
    <s v="paylater"/>
    <n v="38007483"/>
  </r>
  <r>
    <x v="252"/>
    <x v="0"/>
    <x v="8"/>
    <n v="37"/>
    <n v="15"/>
    <x v="5"/>
    <x v="5"/>
    <s v="overdraft"/>
    <n v="2784114016"/>
  </r>
  <r>
    <x v="252"/>
    <x v="0"/>
    <x v="8"/>
    <n v="37"/>
    <n v="15"/>
    <x v="4"/>
    <x v="4"/>
    <n v="0"/>
    <n v="14980001067"/>
  </r>
  <r>
    <x v="252"/>
    <x v="0"/>
    <x v="8"/>
    <n v="37"/>
    <n v="15"/>
    <x v="9"/>
    <x v="9"/>
    <s v="cashloan"/>
    <n v="0"/>
  </r>
  <r>
    <x v="252"/>
    <x v="0"/>
    <x v="8"/>
    <n v="37"/>
    <n v="15"/>
    <x v="12"/>
    <x v="11"/>
    <s v="cashloan"/>
    <n v="1898890000"/>
  </r>
  <r>
    <x v="252"/>
    <x v="0"/>
    <x v="8"/>
    <n v="37"/>
    <n v="15"/>
    <x v="6"/>
    <x v="6"/>
    <s v="payday"/>
    <n v="32000000"/>
  </r>
  <r>
    <x v="252"/>
    <x v="0"/>
    <x v="8"/>
    <n v="37"/>
    <n v="15"/>
    <x v="3"/>
    <x v="3"/>
    <s v="cashloan"/>
    <n v="70700000"/>
  </r>
  <r>
    <x v="252"/>
    <x v="0"/>
    <x v="8"/>
    <n v="37"/>
    <n v="15"/>
    <x v="8"/>
    <x v="8"/>
    <s v="cashloan"/>
    <n v="0"/>
  </r>
  <r>
    <x v="253"/>
    <x v="0"/>
    <x v="8"/>
    <n v="38"/>
    <n v="16"/>
    <x v="12"/>
    <x v="11"/>
    <s v="cashloan"/>
    <n v="2345310000"/>
  </r>
  <r>
    <x v="253"/>
    <x v="0"/>
    <x v="8"/>
    <n v="38"/>
    <n v="16"/>
    <x v="7"/>
    <x v="7"/>
    <s v="paylater"/>
    <n v="236626423"/>
  </r>
  <r>
    <x v="253"/>
    <x v="0"/>
    <x v="8"/>
    <n v="38"/>
    <n v="16"/>
    <x v="2"/>
    <x v="2"/>
    <s v="cashloan"/>
    <n v="6493940000"/>
  </r>
  <r>
    <x v="253"/>
    <x v="0"/>
    <x v="8"/>
    <n v="38"/>
    <n v="16"/>
    <x v="3"/>
    <x v="3"/>
    <s v="cashloan"/>
    <n v="78750000"/>
  </r>
  <r>
    <x v="253"/>
    <x v="0"/>
    <x v="8"/>
    <n v="38"/>
    <n v="16"/>
    <x v="1"/>
    <x v="1"/>
    <s v="cashloan"/>
    <n v="124950000"/>
  </r>
  <r>
    <x v="253"/>
    <x v="0"/>
    <x v="8"/>
    <n v="38"/>
    <n v="16"/>
    <x v="10"/>
    <x v="9"/>
    <s v="cashloan"/>
    <n v="28840000"/>
  </r>
  <r>
    <x v="253"/>
    <x v="0"/>
    <x v="8"/>
    <n v="38"/>
    <n v="16"/>
    <x v="6"/>
    <x v="6"/>
    <s v="payday"/>
    <n v="3000000"/>
  </r>
  <r>
    <x v="253"/>
    <x v="0"/>
    <x v="8"/>
    <n v="38"/>
    <n v="16"/>
    <x v="8"/>
    <x v="8"/>
    <s v="cashloan"/>
    <n v="0"/>
  </r>
  <r>
    <x v="253"/>
    <x v="0"/>
    <x v="8"/>
    <n v="38"/>
    <n v="16"/>
    <x v="0"/>
    <x v="0"/>
    <s v="payday"/>
    <n v="4733000000"/>
  </r>
  <r>
    <x v="253"/>
    <x v="0"/>
    <x v="8"/>
    <n v="38"/>
    <n v="16"/>
    <x v="9"/>
    <x v="9"/>
    <s v="cashloan"/>
    <n v="6000000"/>
  </r>
  <r>
    <x v="253"/>
    <x v="0"/>
    <x v="8"/>
    <n v="38"/>
    <n v="16"/>
    <x v="4"/>
    <x v="4"/>
    <n v="0"/>
    <n v="16989837852"/>
  </r>
  <r>
    <x v="253"/>
    <x v="0"/>
    <x v="8"/>
    <n v="38"/>
    <n v="16"/>
    <x v="11"/>
    <x v="10"/>
    <s v="paylater"/>
    <n v="36389302"/>
  </r>
  <r>
    <x v="253"/>
    <x v="0"/>
    <x v="8"/>
    <n v="38"/>
    <n v="16"/>
    <x v="5"/>
    <x v="5"/>
    <s v="overdraft"/>
    <n v="2903032127"/>
  </r>
  <r>
    <x v="254"/>
    <x v="0"/>
    <x v="8"/>
    <n v="38"/>
    <n v="17"/>
    <x v="8"/>
    <x v="8"/>
    <s v="cashloan"/>
    <n v="0"/>
  </r>
  <r>
    <x v="254"/>
    <x v="0"/>
    <x v="8"/>
    <n v="38"/>
    <n v="17"/>
    <x v="7"/>
    <x v="7"/>
    <s v="paylater"/>
    <n v="177359459"/>
  </r>
  <r>
    <x v="254"/>
    <x v="0"/>
    <x v="8"/>
    <n v="38"/>
    <n v="17"/>
    <x v="0"/>
    <x v="0"/>
    <s v="payday"/>
    <n v="4206500000"/>
  </r>
  <r>
    <x v="254"/>
    <x v="0"/>
    <x v="8"/>
    <n v="38"/>
    <n v="17"/>
    <x v="4"/>
    <x v="4"/>
    <n v="0"/>
    <n v="18751606046"/>
  </r>
  <r>
    <x v="254"/>
    <x v="0"/>
    <x v="8"/>
    <n v="38"/>
    <n v="17"/>
    <x v="10"/>
    <x v="9"/>
    <s v="cashloan"/>
    <n v="0"/>
  </r>
  <r>
    <x v="254"/>
    <x v="0"/>
    <x v="8"/>
    <n v="38"/>
    <n v="17"/>
    <x v="12"/>
    <x v="11"/>
    <s v="cashloan"/>
    <n v="2310080000"/>
  </r>
  <r>
    <x v="254"/>
    <x v="0"/>
    <x v="8"/>
    <n v="38"/>
    <n v="17"/>
    <x v="9"/>
    <x v="9"/>
    <s v="cashloan"/>
    <n v="0"/>
  </r>
  <r>
    <x v="254"/>
    <x v="0"/>
    <x v="8"/>
    <n v="38"/>
    <n v="17"/>
    <x v="1"/>
    <x v="1"/>
    <s v="cashloan"/>
    <n v="67250000"/>
  </r>
  <r>
    <x v="254"/>
    <x v="0"/>
    <x v="8"/>
    <n v="38"/>
    <n v="17"/>
    <x v="11"/>
    <x v="10"/>
    <s v="paylater"/>
    <n v="30231920"/>
  </r>
  <r>
    <x v="254"/>
    <x v="0"/>
    <x v="8"/>
    <n v="38"/>
    <n v="17"/>
    <x v="5"/>
    <x v="5"/>
    <s v="overdraft"/>
    <n v="2836904667"/>
  </r>
  <r>
    <x v="254"/>
    <x v="0"/>
    <x v="8"/>
    <n v="38"/>
    <n v="17"/>
    <x v="3"/>
    <x v="3"/>
    <s v="cashloan"/>
    <n v="122550000"/>
  </r>
  <r>
    <x v="254"/>
    <x v="0"/>
    <x v="8"/>
    <n v="38"/>
    <n v="17"/>
    <x v="2"/>
    <x v="2"/>
    <s v="cashloan"/>
    <n v="8974730000"/>
  </r>
  <r>
    <x v="254"/>
    <x v="0"/>
    <x v="8"/>
    <n v="38"/>
    <n v="17"/>
    <x v="6"/>
    <x v="6"/>
    <s v="payday"/>
    <n v="26000000"/>
  </r>
  <r>
    <x v="255"/>
    <x v="0"/>
    <x v="8"/>
    <n v="38"/>
    <n v="18"/>
    <x v="8"/>
    <x v="8"/>
    <s v="cashloan"/>
    <n v="0"/>
  </r>
  <r>
    <x v="255"/>
    <x v="0"/>
    <x v="8"/>
    <n v="38"/>
    <n v="18"/>
    <x v="2"/>
    <x v="2"/>
    <s v="cashloan"/>
    <n v="9446570000"/>
  </r>
  <r>
    <x v="255"/>
    <x v="0"/>
    <x v="8"/>
    <n v="38"/>
    <n v="18"/>
    <x v="10"/>
    <x v="9"/>
    <s v="cashloan"/>
    <n v="58850000"/>
  </r>
  <r>
    <x v="255"/>
    <x v="0"/>
    <x v="8"/>
    <n v="38"/>
    <n v="18"/>
    <x v="6"/>
    <x v="6"/>
    <s v="payday"/>
    <n v="16000000"/>
  </r>
  <r>
    <x v="255"/>
    <x v="0"/>
    <x v="8"/>
    <n v="38"/>
    <n v="18"/>
    <x v="0"/>
    <x v="0"/>
    <s v="payday"/>
    <n v="4144000000"/>
  </r>
  <r>
    <x v="255"/>
    <x v="0"/>
    <x v="8"/>
    <n v="38"/>
    <n v="18"/>
    <x v="7"/>
    <x v="7"/>
    <s v="paylater"/>
    <n v="174740894"/>
  </r>
  <r>
    <x v="255"/>
    <x v="0"/>
    <x v="8"/>
    <n v="38"/>
    <n v="18"/>
    <x v="12"/>
    <x v="11"/>
    <s v="cashloan"/>
    <n v="2175600000"/>
  </r>
  <r>
    <x v="255"/>
    <x v="0"/>
    <x v="8"/>
    <n v="38"/>
    <n v="18"/>
    <x v="11"/>
    <x v="10"/>
    <s v="paylater"/>
    <n v="34419160"/>
  </r>
  <r>
    <x v="255"/>
    <x v="0"/>
    <x v="8"/>
    <n v="38"/>
    <n v="18"/>
    <x v="5"/>
    <x v="5"/>
    <s v="overdraft"/>
    <n v="2688272211"/>
  </r>
  <r>
    <x v="255"/>
    <x v="0"/>
    <x v="8"/>
    <n v="38"/>
    <n v="18"/>
    <x v="3"/>
    <x v="3"/>
    <s v="cashloan"/>
    <n v="85600000"/>
  </r>
  <r>
    <x v="255"/>
    <x v="0"/>
    <x v="8"/>
    <n v="38"/>
    <n v="18"/>
    <x v="4"/>
    <x v="4"/>
    <n v="0"/>
    <n v="18845052265"/>
  </r>
  <r>
    <x v="255"/>
    <x v="0"/>
    <x v="8"/>
    <n v="38"/>
    <n v="18"/>
    <x v="1"/>
    <x v="1"/>
    <s v="cashloan"/>
    <n v="21000000"/>
  </r>
  <r>
    <x v="255"/>
    <x v="0"/>
    <x v="8"/>
    <n v="38"/>
    <n v="18"/>
    <x v="9"/>
    <x v="9"/>
    <s v="cashloan"/>
    <n v="0"/>
  </r>
  <r>
    <x v="256"/>
    <x v="0"/>
    <x v="8"/>
    <n v="38"/>
    <n v="19"/>
    <x v="8"/>
    <x v="8"/>
    <s v="cashloan"/>
    <n v="0"/>
  </r>
  <r>
    <x v="256"/>
    <x v="0"/>
    <x v="8"/>
    <n v="38"/>
    <n v="19"/>
    <x v="7"/>
    <x v="7"/>
    <s v="paylater"/>
    <n v="178671263"/>
  </r>
  <r>
    <x v="256"/>
    <x v="0"/>
    <x v="8"/>
    <n v="38"/>
    <n v="19"/>
    <x v="9"/>
    <x v="9"/>
    <s v="cashloan"/>
    <n v="6000000"/>
  </r>
  <r>
    <x v="256"/>
    <x v="0"/>
    <x v="8"/>
    <n v="38"/>
    <n v="19"/>
    <x v="5"/>
    <x v="5"/>
    <s v="overdraft"/>
    <n v="2843777174"/>
  </r>
  <r>
    <x v="256"/>
    <x v="0"/>
    <x v="8"/>
    <n v="38"/>
    <n v="19"/>
    <x v="4"/>
    <x v="4"/>
    <n v="0"/>
    <n v="19680295187"/>
  </r>
  <r>
    <x v="256"/>
    <x v="0"/>
    <x v="8"/>
    <n v="38"/>
    <n v="19"/>
    <x v="10"/>
    <x v="9"/>
    <s v="cashloan"/>
    <n v="10700000"/>
  </r>
  <r>
    <x v="256"/>
    <x v="0"/>
    <x v="8"/>
    <n v="38"/>
    <n v="19"/>
    <x v="1"/>
    <x v="1"/>
    <s v="cashloan"/>
    <n v="42000000"/>
  </r>
  <r>
    <x v="256"/>
    <x v="0"/>
    <x v="8"/>
    <n v="38"/>
    <n v="19"/>
    <x v="0"/>
    <x v="0"/>
    <s v="payday"/>
    <n v="4098500000"/>
  </r>
  <r>
    <x v="256"/>
    <x v="0"/>
    <x v="8"/>
    <n v="38"/>
    <n v="19"/>
    <x v="11"/>
    <x v="10"/>
    <s v="paylater"/>
    <n v="33336750"/>
  </r>
  <r>
    <x v="256"/>
    <x v="0"/>
    <x v="8"/>
    <n v="38"/>
    <n v="19"/>
    <x v="12"/>
    <x v="11"/>
    <s v="cashloan"/>
    <n v="2463570000"/>
  </r>
  <r>
    <x v="256"/>
    <x v="0"/>
    <x v="8"/>
    <n v="38"/>
    <n v="19"/>
    <x v="3"/>
    <x v="3"/>
    <s v="cashloan"/>
    <n v="23100000"/>
  </r>
  <r>
    <x v="256"/>
    <x v="0"/>
    <x v="8"/>
    <n v="38"/>
    <n v="19"/>
    <x v="6"/>
    <x v="6"/>
    <s v="payday"/>
    <n v="10000000"/>
  </r>
  <r>
    <x v="256"/>
    <x v="0"/>
    <x v="8"/>
    <n v="38"/>
    <n v="19"/>
    <x v="2"/>
    <x v="2"/>
    <s v="cashloan"/>
    <n v="9970640000"/>
  </r>
  <r>
    <x v="257"/>
    <x v="0"/>
    <x v="8"/>
    <n v="38"/>
    <n v="20"/>
    <x v="10"/>
    <x v="9"/>
    <s v="cashloan"/>
    <n v="0"/>
  </r>
  <r>
    <x v="257"/>
    <x v="0"/>
    <x v="8"/>
    <n v="38"/>
    <n v="20"/>
    <x v="12"/>
    <x v="11"/>
    <s v="cashloan"/>
    <n v="2891760000"/>
  </r>
  <r>
    <x v="257"/>
    <x v="0"/>
    <x v="8"/>
    <n v="38"/>
    <n v="20"/>
    <x v="3"/>
    <x v="3"/>
    <s v="cashloan"/>
    <n v="116550000"/>
  </r>
  <r>
    <x v="257"/>
    <x v="0"/>
    <x v="8"/>
    <n v="38"/>
    <n v="20"/>
    <x v="4"/>
    <x v="4"/>
    <n v="0"/>
    <n v="19686490130"/>
  </r>
  <r>
    <x v="257"/>
    <x v="0"/>
    <x v="8"/>
    <n v="38"/>
    <n v="20"/>
    <x v="5"/>
    <x v="5"/>
    <s v="overdraft"/>
    <n v="2926954139"/>
  </r>
  <r>
    <x v="257"/>
    <x v="0"/>
    <x v="8"/>
    <n v="38"/>
    <n v="20"/>
    <x v="1"/>
    <x v="1"/>
    <s v="cashloan"/>
    <n v="0"/>
  </r>
  <r>
    <x v="257"/>
    <x v="0"/>
    <x v="8"/>
    <n v="38"/>
    <n v="20"/>
    <x v="6"/>
    <x v="6"/>
    <s v="payday"/>
    <n v="57000000"/>
  </r>
  <r>
    <x v="257"/>
    <x v="0"/>
    <x v="8"/>
    <n v="38"/>
    <n v="20"/>
    <x v="7"/>
    <x v="7"/>
    <s v="paylater"/>
    <n v="171927742"/>
  </r>
  <r>
    <x v="257"/>
    <x v="0"/>
    <x v="8"/>
    <n v="38"/>
    <n v="20"/>
    <x v="11"/>
    <x v="10"/>
    <s v="paylater"/>
    <n v="33128249"/>
  </r>
  <r>
    <x v="257"/>
    <x v="0"/>
    <x v="8"/>
    <n v="38"/>
    <n v="20"/>
    <x v="0"/>
    <x v="0"/>
    <s v="payday"/>
    <n v="4262000000"/>
  </r>
  <r>
    <x v="257"/>
    <x v="0"/>
    <x v="8"/>
    <n v="38"/>
    <n v="20"/>
    <x v="8"/>
    <x v="8"/>
    <s v="cashloan"/>
    <n v="0"/>
  </r>
  <r>
    <x v="257"/>
    <x v="0"/>
    <x v="8"/>
    <n v="38"/>
    <n v="20"/>
    <x v="9"/>
    <x v="9"/>
    <s v="cashloan"/>
    <n v="0"/>
  </r>
  <r>
    <x v="257"/>
    <x v="0"/>
    <x v="8"/>
    <n v="38"/>
    <n v="20"/>
    <x v="2"/>
    <x v="2"/>
    <s v="cashloan"/>
    <n v="9227170000"/>
  </r>
  <r>
    <x v="258"/>
    <x v="0"/>
    <x v="8"/>
    <n v="38"/>
    <n v="21"/>
    <x v="6"/>
    <x v="6"/>
    <s v="payday"/>
    <n v="41000000"/>
  </r>
  <r>
    <x v="258"/>
    <x v="0"/>
    <x v="8"/>
    <n v="38"/>
    <n v="21"/>
    <x v="4"/>
    <x v="4"/>
    <n v="0"/>
    <n v="18134400831"/>
  </r>
  <r>
    <x v="258"/>
    <x v="0"/>
    <x v="8"/>
    <n v="38"/>
    <n v="21"/>
    <x v="5"/>
    <x v="5"/>
    <s v="overdraft"/>
    <n v="2475222254"/>
  </r>
  <r>
    <x v="258"/>
    <x v="0"/>
    <x v="8"/>
    <n v="38"/>
    <n v="21"/>
    <x v="9"/>
    <x v="9"/>
    <s v="cashloan"/>
    <n v="0"/>
  </r>
  <r>
    <x v="258"/>
    <x v="0"/>
    <x v="8"/>
    <n v="38"/>
    <n v="21"/>
    <x v="11"/>
    <x v="10"/>
    <s v="paylater"/>
    <n v="30294246"/>
  </r>
  <r>
    <x v="258"/>
    <x v="0"/>
    <x v="8"/>
    <n v="38"/>
    <n v="21"/>
    <x v="0"/>
    <x v="0"/>
    <s v="payday"/>
    <n v="3997500000"/>
  </r>
  <r>
    <x v="258"/>
    <x v="0"/>
    <x v="8"/>
    <n v="38"/>
    <n v="21"/>
    <x v="7"/>
    <x v="7"/>
    <s v="paylater"/>
    <n v="193424331"/>
  </r>
  <r>
    <x v="258"/>
    <x v="0"/>
    <x v="8"/>
    <n v="38"/>
    <n v="21"/>
    <x v="12"/>
    <x v="11"/>
    <s v="cashloan"/>
    <n v="2866960000"/>
  </r>
  <r>
    <x v="258"/>
    <x v="0"/>
    <x v="8"/>
    <n v="38"/>
    <n v="21"/>
    <x v="3"/>
    <x v="3"/>
    <s v="cashloan"/>
    <n v="54100000"/>
  </r>
  <r>
    <x v="258"/>
    <x v="0"/>
    <x v="8"/>
    <n v="38"/>
    <n v="21"/>
    <x v="10"/>
    <x v="9"/>
    <s v="cashloan"/>
    <n v="0"/>
  </r>
  <r>
    <x v="258"/>
    <x v="0"/>
    <x v="8"/>
    <n v="38"/>
    <n v="21"/>
    <x v="1"/>
    <x v="1"/>
    <s v="cashloan"/>
    <n v="47250000"/>
  </r>
  <r>
    <x v="258"/>
    <x v="0"/>
    <x v="8"/>
    <n v="38"/>
    <n v="21"/>
    <x v="8"/>
    <x v="8"/>
    <s v="cashloan"/>
    <n v="0"/>
  </r>
  <r>
    <x v="258"/>
    <x v="0"/>
    <x v="8"/>
    <n v="38"/>
    <n v="21"/>
    <x v="2"/>
    <x v="2"/>
    <s v="cashloan"/>
    <n v="8428650000"/>
  </r>
  <r>
    <x v="259"/>
    <x v="0"/>
    <x v="8"/>
    <n v="38"/>
    <n v="22"/>
    <x v="4"/>
    <x v="4"/>
    <n v="0"/>
    <n v="17270401237"/>
  </r>
  <r>
    <x v="259"/>
    <x v="0"/>
    <x v="8"/>
    <n v="38"/>
    <n v="22"/>
    <x v="6"/>
    <x v="6"/>
    <s v="payday"/>
    <n v="114000000"/>
  </r>
  <r>
    <x v="259"/>
    <x v="0"/>
    <x v="8"/>
    <n v="38"/>
    <n v="22"/>
    <x v="7"/>
    <x v="7"/>
    <s v="paylater"/>
    <n v="188026862"/>
  </r>
  <r>
    <x v="259"/>
    <x v="0"/>
    <x v="8"/>
    <n v="38"/>
    <n v="22"/>
    <x v="8"/>
    <x v="8"/>
    <s v="cashloan"/>
    <n v="0"/>
  </r>
  <r>
    <x v="259"/>
    <x v="0"/>
    <x v="8"/>
    <n v="38"/>
    <n v="22"/>
    <x v="2"/>
    <x v="2"/>
    <s v="cashloan"/>
    <n v="8160370000"/>
  </r>
  <r>
    <x v="259"/>
    <x v="0"/>
    <x v="8"/>
    <n v="38"/>
    <n v="22"/>
    <x v="12"/>
    <x v="11"/>
    <s v="cashloan"/>
    <n v="2680160000"/>
  </r>
  <r>
    <x v="259"/>
    <x v="0"/>
    <x v="8"/>
    <n v="38"/>
    <n v="22"/>
    <x v="0"/>
    <x v="0"/>
    <s v="payday"/>
    <n v="3682000000"/>
  </r>
  <r>
    <x v="259"/>
    <x v="0"/>
    <x v="8"/>
    <n v="38"/>
    <n v="22"/>
    <x v="11"/>
    <x v="10"/>
    <s v="paylater"/>
    <n v="33423155"/>
  </r>
  <r>
    <x v="259"/>
    <x v="0"/>
    <x v="8"/>
    <n v="38"/>
    <n v="22"/>
    <x v="1"/>
    <x v="1"/>
    <s v="cashloan"/>
    <n v="42000000"/>
  </r>
  <r>
    <x v="259"/>
    <x v="0"/>
    <x v="8"/>
    <n v="38"/>
    <n v="22"/>
    <x v="3"/>
    <x v="3"/>
    <s v="cashloan"/>
    <n v="26250000"/>
  </r>
  <r>
    <x v="259"/>
    <x v="0"/>
    <x v="8"/>
    <n v="38"/>
    <n v="22"/>
    <x v="10"/>
    <x v="9"/>
    <s v="cashloan"/>
    <n v="22700000"/>
  </r>
  <r>
    <x v="259"/>
    <x v="0"/>
    <x v="8"/>
    <n v="38"/>
    <n v="22"/>
    <x v="9"/>
    <x v="9"/>
    <s v="cashloan"/>
    <n v="0"/>
  </r>
  <r>
    <x v="259"/>
    <x v="0"/>
    <x v="8"/>
    <n v="38"/>
    <n v="22"/>
    <x v="5"/>
    <x v="5"/>
    <s v="overdraft"/>
    <n v="2321471220"/>
  </r>
  <r>
    <x v="260"/>
    <x v="0"/>
    <x v="8"/>
    <n v="39"/>
    <n v="23"/>
    <x v="9"/>
    <x v="9"/>
    <s v="cashloan"/>
    <n v="0"/>
  </r>
  <r>
    <x v="260"/>
    <x v="0"/>
    <x v="8"/>
    <n v="39"/>
    <n v="23"/>
    <x v="4"/>
    <x v="4"/>
    <n v="0"/>
    <n v="21437265259"/>
  </r>
  <r>
    <x v="260"/>
    <x v="0"/>
    <x v="8"/>
    <n v="39"/>
    <n v="23"/>
    <x v="5"/>
    <x v="5"/>
    <s v="overdraft"/>
    <n v="3019488342"/>
  </r>
  <r>
    <x v="260"/>
    <x v="0"/>
    <x v="8"/>
    <n v="39"/>
    <n v="23"/>
    <x v="11"/>
    <x v="10"/>
    <s v="paylater"/>
    <n v="24184846"/>
  </r>
  <r>
    <x v="260"/>
    <x v="0"/>
    <x v="8"/>
    <n v="39"/>
    <n v="23"/>
    <x v="12"/>
    <x v="11"/>
    <s v="cashloan"/>
    <n v="3737840000"/>
  </r>
  <r>
    <x v="260"/>
    <x v="0"/>
    <x v="8"/>
    <n v="39"/>
    <n v="23"/>
    <x v="10"/>
    <x v="9"/>
    <s v="cashloan"/>
    <n v="7490000"/>
  </r>
  <r>
    <x v="260"/>
    <x v="0"/>
    <x v="8"/>
    <n v="39"/>
    <n v="23"/>
    <x v="6"/>
    <x v="6"/>
    <s v="payday"/>
    <n v="65000000"/>
  </r>
  <r>
    <x v="260"/>
    <x v="0"/>
    <x v="8"/>
    <n v="39"/>
    <n v="23"/>
    <x v="1"/>
    <x v="1"/>
    <s v="cashloan"/>
    <n v="49350000"/>
  </r>
  <r>
    <x v="260"/>
    <x v="0"/>
    <x v="8"/>
    <n v="39"/>
    <n v="23"/>
    <x v="3"/>
    <x v="3"/>
    <s v="cashloan"/>
    <n v="202150000"/>
  </r>
  <r>
    <x v="260"/>
    <x v="0"/>
    <x v="8"/>
    <n v="39"/>
    <n v="23"/>
    <x v="8"/>
    <x v="8"/>
    <s v="cashloan"/>
    <n v="0"/>
  </r>
  <r>
    <x v="260"/>
    <x v="0"/>
    <x v="8"/>
    <n v="39"/>
    <n v="23"/>
    <x v="7"/>
    <x v="7"/>
    <s v="paylater"/>
    <n v="194882071"/>
  </r>
  <r>
    <x v="260"/>
    <x v="0"/>
    <x v="8"/>
    <n v="39"/>
    <n v="23"/>
    <x v="0"/>
    <x v="0"/>
    <s v="payday"/>
    <n v="4285500000"/>
  </r>
  <r>
    <x v="260"/>
    <x v="0"/>
    <x v="8"/>
    <n v="39"/>
    <n v="23"/>
    <x v="2"/>
    <x v="2"/>
    <s v="cashloan"/>
    <n v="9851380000"/>
  </r>
  <r>
    <x v="261"/>
    <x v="0"/>
    <x v="8"/>
    <n v="39"/>
    <n v="24"/>
    <x v="7"/>
    <x v="7"/>
    <s v="paylater"/>
    <n v="167747940"/>
  </r>
  <r>
    <x v="261"/>
    <x v="0"/>
    <x v="8"/>
    <n v="39"/>
    <n v="24"/>
    <x v="11"/>
    <x v="10"/>
    <s v="paylater"/>
    <n v="31181404"/>
  </r>
  <r>
    <x v="261"/>
    <x v="0"/>
    <x v="8"/>
    <n v="39"/>
    <n v="24"/>
    <x v="3"/>
    <x v="3"/>
    <s v="cashloan"/>
    <n v="106050000"/>
  </r>
  <r>
    <x v="261"/>
    <x v="0"/>
    <x v="8"/>
    <n v="39"/>
    <n v="24"/>
    <x v="2"/>
    <x v="2"/>
    <s v="cashloan"/>
    <n v="9052980000"/>
  </r>
  <r>
    <x v="261"/>
    <x v="0"/>
    <x v="8"/>
    <n v="39"/>
    <n v="24"/>
    <x v="4"/>
    <x v="4"/>
    <n v="0"/>
    <n v="19709192635"/>
  </r>
  <r>
    <x v="261"/>
    <x v="0"/>
    <x v="8"/>
    <n v="39"/>
    <n v="24"/>
    <x v="5"/>
    <x v="5"/>
    <s v="overdraft"/>
    <n v="3219733291"/>
  </r>
  <r>
    <x v="261"/>
    <x v="0"/>
    <x v="8"/>
    <n v="39"/>
    <n v="24"/>
    <x v="10"/>
    <x v="9"/>
    <s v="cashloan"/>
    <n v="180500000"/>
  </r>
  <r>
    <x v="261"/>
    <x v="0"/>
    <x v="8"/>
    <n v="39"/>
    <n v="24"/>
    <x v="8"/>
    <x v="8"/>
    <s v="cashloan"/>
    <n v="0"/>
  </r>
  <r>
    <x v="261"/>
    <x v="0"/>
    <x v="8"/>
    <n v="39"/>
    <n v="24"/>
    <x v="9"/>
    <x v="9"/>
    <s v="cashloan"/>
    <n v="6420000"/>
  </r>
  <r>
    <x v="261"/>
    <x v="0"/>
    <x v="8"/>
    <n v="39"/>
    <n v="24"/>
    <x v="6"/>
    <x v="6"/>
    <s v="payday"/>
    <n v="38000000"/>
  </r>
  <r>
    <x v="261"/>
    <x v="0"/>
    <x v="8"/>
    <n v="39"/>
    <n v="24"/>
    <x v="1"/>
    <x v="1"/>
    <s v="cashloan"/>
    <n v="75600000"/>
  </r>
  <r>
    <x v="261"/>
    <x v="0"/>
    <x v="8"/>
    <n v="39"/>
    <n v="24"/>
    <x v="0"/>
    <x v="0"/>
    <s v="payday"/>
    <n v="3572000000"/>
  </r>
  <r>
    <x v="261"/>
    <x v="0"/>
    <x v="8"/>
    <n v="39"/>
    <n v="24"/>
    <x v="12"/>
    <x v="11"/>
    <s v="cashloan"/>
    <n v="3258980000"/>
  </r>
  <r>
    <x v="262"/>
    <x v="0"/>
    <x v="8"/>
    <n v="39"/>
    <n v="25"/>
    <x v="3"/>
    <x v="3"/>
    <s v="cashloan"/>
    <n v="259650000"/>
  </r>
  <r>
    <x v="262"/>
    <x v="0"/>
    <x v="8"/>
    <n v="39"/>
    <n v="25"/>
    <x v="9"/>
    <x v="9"/>
    <s v="cashloan"/>
    <n v="0"/>
  </r>
  <r>
    <x v="262"/>
    <x v="0"/>
    <x v="8"/>
    <n v="39"/>
    <n v="25"/>
    <x v="12"/>
    <x v="11"/>
    <s v="cashloan"/>
    <n v="3089110000"/>
  </r>
  <r>
    <x v="262"/>
    <x v="0"/>
    <x v="8"/>
    <n v="39"/>
    <n v="25"/>
    <x v="8"/>
    <x v="8"/>
    <s v="cashloan"/>
    <n v="25680000"/>
  </r>
  <r>
    <x v="262"/>
    <x v="0"/>
    <x v="8"/>
    <n v="39"/>
    <n v="25"/>
    <x v="1"/>
    <x v="1"/>
    <s v="cashloan"/>
    <n v="52500000"/>
  </r>
  <r>
    <x v="262"/>
    <x v="0"/>
    <x v="8"/>
    <n v="39"/>
    <n v="25"/>
    <x v="5"/>
    <x v="5"/>
    <s v="overdraft"/>
    <n v="2907957430"/>
  </r>
  <r>
    <x v="262"/>
    <x v="0"/>
    <x v="8"/>
    <n v="39"/>
    <n v="25"/>
    <x v="4"/>
    <x v="4"/>
    <n v="0"/>
    <n v="19438187510"/>
  </r>
  <r>
    <x v="262"/>
    <x v="0"/>
    <x v="8"/>
    <n v="39"/>
    <n v="25"/>
    <x v="2"/>
    <x v="2"/>
    <s v="cashloan"/>
    <n v="8534550000"/>
  </r>
  <r>
    <x v="262"/>
    <x v="0"/>
    <x v="8"/>
    <n v="39"/>
    <n v="25"/>
    <x v="6"/>
    <x v="6"/>
    <s v="payday"/>
    <n v="64000000"/>
  </r>
  <r>
    <x v="262"/>
    <x v="0"/>
    <x v="8"/>
    <n v="39"/>
    <n v="25"/>
    <x v="0"/>
    <x v="0"/>
    <s v="payday"/>
    <n v="4149000000"/>
  </r>
  <r>
    <x v="262"/>
    <x v="0"/>
    <x v="8"/>
    <n v="39"/>
    <n v="25"/>
    <x v="7"/>
    <x v="7"/>
    <s v="paylater"/>
    <n v="169643926"/>
  </r>
  <r>
    <x v="262"/>
    <x v="0"/>
    <x v="8"/>
    <n v="39"/>
    <n v="25"/>
    <x v="10"/>
    <x v="9"/>
    <s v="cashloan"/>
    <n v="145890000"/>
  </r>
  <r>
    <x v="262"/>
    <x v="0"/>
    <x v="8"/>
    <n v="39"/>
    <n v="25"/>
    <x v="11"/>
    <x v="10"/>
    <s v="paylater"/>
    <n v="40206154"/>
  </r>
  <r>
    <x v="263"/>
    <x v="0"/>
    <x v="8"/>
    <n v="39"/>
    <n v="26"/>
    <x v="7"/>
    <x v="7"/>
    <s v="paylater"/>
    <n v="192571944"/>
  </r>
  <r>
    <x v="263"/>
    <x v="0"/>
    <x v="8"/>
    <n v="39"/>
    <n v="26"/>
    <x v="11"/>
    <x v="10"/>
    <s v="paylater"/>
    <n v="32165487"/>
  </r>
  <r>
    <x v="263"/>
    <x v="0"/>
    <x v="8"/>
    <n v="39"/>
    <n v="26"/>
    <x v="10"/>
    <x v="9"/>
    <s v="cashloan"/>
    <n v="56660000"/>
  </r>
  <r>
    <x v="263"/>
    <x v="0"/>
    <x v="8"/>
    <n v="39"/>
    <n v="26"/>
    <x v="2"/>
    <x v="2"/>
    <s v="cashloan"/>
    <n v="7839290000"/>
  </r>
  <r>
    <x v="263"/>
    <x v="0"/>
    <x v="8"/>
    <n v="39"/>
    <n v="26"/>
    <x v="0"/>
    <x v="0"/>
    <s v="payday"/>
    <n v="3941500000"/>
  </r>
  <r>
    <x v="263"/>
    <x v="0"/>
    <x v="8"/>
    <n v="39"/>
    <n v="26"/>
    <x v="12"/>
    <x v="11"/>
    <s v="cashloan"/>
    <n v="3879240000"/>
  </r>
  <r>
    <x v="263"/>
    <x v="0"/>
    <x v="8"/>
    <n v="39"/>
    <n v="26"/>
    <x v="1"/>
    <x v="1"/>
    <s v="cashloan"/>
    <n v="62000000"/>
  </r>
  <r>
    <x v="263"/>
    <x v="0"/>
    <x v="8"/>
    <n v="39"/>
    <n v="26"/>
    <x v="6"/>
    <x v="6"/>
    <s v="payday"/>
    <n v="52000000"/>
  </r>
  <r>
    <x v="263"/>
    <x v="0"/>
    <x v="8"/>
    <n v="39"/>
    <n v="26"/>
    <x v="8"/>
    <x v="8"/>
    <s v="cashloan"/>
    <n v="0"/>
  </r>
  <r>
    <x v="263"/>
    <x v="0"/>
    <x v="8"/>
    <n v="39"/>
    <n v="26"/>
    <x v="3"/>
    <x v="3"/>
    <s v="cashloan"/>
    <n v="111750000"/>
  </r>
  <r>
    <x v="263"/>
    <x v="0"/>
    <x v="8"/>
    <n v="39"/>
    <n v="26"/>
    <x v="4"/>
    <x v="4"/>
    <n v="0"/>
    <n v="19150642375"/>
  </r>
  <r>
    <x v="263"/>
    <x v="0"/>
    <x v="8"/>
    <n v="39"/>
    <n v="26"/>
    <x v="5"/>
    <x v="5"/>
    <s v="overdraft"/>
    <n v="2983464944"/>
  </r>
  <r>
    <x v="263"/>
    <x v="0"/>
    <x v="8"/>
    <n v="39"/>
    <n v="26"/>
    <x v="9"/>
    <x v="9"/>
    <s v="cashloan"/>
    <n v="0"/>
  </r>
  <r>
    <x v="264"/>
    <x v="0"/>
    <x v="8"/>
    <n v="39"/>
    <n v="27"/>
    <x v="0"/>
    <x v="0"/>
    <s v="payday"/>
    <n v="3917500000"/>
  </r>
  <r>
    <x v="264"/>
    <x v="0"/>
    <x v="8"/>
    <n v="39"/>
    <n v="27"/>
    <x v="6"/>
    <x v="6"/>
    <s v="payday"/>
    <n v="90000000"/>
  </r>
  <r>
    <x v="264"/>
    <x v="0"/>
    <x v="8"/>
    <n v="39"/>
    <n v="27"/>
    <x v="3"/>
    <x v="3"/>
    <s v="cashloan"/>
    <n v="0"/>
  </r>
  <r>
    <x v="264"/>
    <x v="0"/>
    <x v="8"/>
    <n v="39"/>
    <n v="27"/>
    <x v="10"/>
    <x v="9"/>
    <s v="cashloan"/>
    <n v="34240000"/>
  </r>
  <r>
    <x v="264"/>
    <x v="0"/>
    <x v="8"/>
    <n v="39"/>
    <n v="27"/>
    <x v="7"/>
    <x v="7"/>
    <s v="paylater"/>
    <n v="171218451"/>
  </r>
  <r>
    <x v="264"/>
    <x v="0"/>
    <x v="8"/>
    <n v="39"/>
    <n v="27"/>
    <x v="5"/>
    <x v="5"/>
    <s v="overdraft"/>
    <n v="3228626280"/>
  </r>
  <r>
    <x v="264"/>
    <x v="0"/>
    <x v="8"/>
    <n v="39"/>
    <n v="27"/>
    <x v="2"/>
    <x v="2"/>
    <s v="cashloan"/>
    <n v="7096030000"/>
  </r>
  <r>
    <x v="264"/>
    <x v="0"/>
    <x v="8"/>
    <n v="39"/>
    <n v="27"/>
    <x v="12"/>
    <x v="11"/>
    <s v="cashloan"/>
    <n v="3628920000"/>
  </r>
  <r>
    <x v="264"/>
    <x v="0"/>
    <x v="8"/>
    <n v="39"/>
    <n v="27"/>
    <x v="11"/>
    <x v="10"/>
    <s v="paylater"/>
    <n v="37206742"/>
  </r>
  <r>
    <x v="264"/>
    <x v="0"/>
    <x v="8"/>
    <n v="39"/>
    <n v="27"/>
    <x v="1"/>
    <x v="1"/>
    <s v="cashloan"/>
    <n v="31500000"/>
  </r>
  <r>
    <x v="264"/>
    <x v="0"/>
    <x v="8"/>
    <n v="39"/>
    <n v="27"/>
    <x v="8"/>
    <x v="8"/>
    <s v="cashloan"/>
    <n v="0"/>
  </r>
  <r>
    <x v="264"/>
    <x v="0"/>
    <x v="8"/>
    <n v="39"/>
    <n v="27"/>
    <x v="4"/>
    <x v="4"/>
    <n v="0"/>
    <n v="18256641473"/>
  </r>
  <r>
    <x v="264"/>
    <x v="0"/>
    <x v="8"/>
    <n v="39"/>
    <n v="27"/>
    <x v="9"/>
    <x v="9"/>
    <s v="cashloan"/>
    <n v="21400000"/>
  </r>
  <r>
    <x v="265"/>
    <x v="0"/>
    <x v="8"/>
    <n v="39"/>
    <n v="28"/>
    <x v="10"/>
    <x v="9"/>
    <s v="cashloan"/>
    <n v="21400000"/>
  </r>
  <r>
    <x v="265"/>
    <x v="0"/>
    <x v="8"/>
    <n v="39"/>
    <n v="28"/>
    <x v="8"/>
    <x v="8"/>
    <s v="cashloan"/>
    <n v="0"/>
  </r>
  <r>
    <x v="265"/>
    <x v="0"/>
    <x v="8"/>
    <n v="39"/>
    <n v="28"/>
    <x v="5"/>
    <x v="5"/>
    <s v="overdraft"/>
    <n v="3167431937"/>
  </r>
  <r>
    <x v="265"/>
    <x v="0"/>
    <x v="8"/>
    <n v="39"/>
    <n v="28"/>
    <x v="1"/>
    <x v="1"/>
    <s v="cashloan"/>
    <n v="51450000"/>
  </r>
  <r>
    <x v="265"/>
    <x v="0"/>
    <x v="8"/>
    <n v="39"/>
    <n v="28"/>
    <x v="2"/>
    <x v="2"/>
    <s v="cashloan"/>
    <n v="6946690000"/>
  </r>
  <r>
    <x v="265"/>
    <x v="0"/>
    <x v="8"/>
    <n v="39"/>
    <n v="28"/>
    <x v="6"/>
    <x v="6"/>
    <s v="payday"/>
    <n v="84000000"/>
  </r>
  <r>
    <x v="265"/>
    <x v="0"/>
    <x v="8"/>
    <n v="39"/>
    <n v="28"/>
    <x v="12"/>
    <x v="11"/>
    <s v="cashloan"/>
    <n v="3170070000"/>
  </r>
  <r>
    <x v="265"/>
    <x v="0"/>
    <x v="8"/>
    <n v="39"/>
    <n v="28"/>
    <x v="11"/>
    <x v="10"/>
    <s v="paylater"/>
    <n v="40671170"/>
  </r>
  <r>
    <x v="265"/>
    <x v="0"/>
    <x v="8"/>
    <n v="39"/>
    <n v="28"/>
    <x v="3"/>
    <x v="3"/>
    <s v="cashloan"/>
    <n v="36750000"/>
  </r>
  <r>
    <x v="265"/>
    <x v="0"/>
    <x v="8"/>
    <n v="39"/>
    <n v="28"/>
    <x v="0"/>
    <x v="0"/>
    <s v="payday"/>
    <n v="3792000000"/>
  </r>
  <r>
    <x v="265"/>
    <x v="0"/>
    <x v="8"/>
    <n v="39"/>
    <n v="28"/>
    <x v="7"/>
    <x v="7"/>
    <s v="paylater"/>
    <n v="183231020"/>
  </r>
  <r>
    <x v="265"/>
    <x v="0"/>
    <x v="8"/>
    <n v="39"/>
    <n v="28"/>
    <x v="4"/>
    <x v="4"/>
    <n v="0"/>
    <n v="17500114127"/>
  </r>
  <r>
    <x v="265"/>
    <x v="0"/>
    <x v="8"/>
    <n v="39"/>
    <n v="28"/>
    <x v="9"/>
    <x v="9"/>
    <s v="cashloan"/>
    <n v="6420000"/>
  </r>
  <r>
    <x v="266"/>
    <x v="0"/>
    <x v="8"/>
    <n v="39"/>
    <n v="29"/>
    <x v="4"/>
    <x v="4"/>
    <n v="0"/>
    <n v="15765590835"/>
  </r>
  <r>
    <x v="266"/>
    <x v="0"/>
    <x v="8"/>
    <n v="39"/>
    <n v="29"/>
    <x v="0"/>
    <x v="0"/>
    <s v="payday"/>
    <n v="3416500000"/>
  </r>
  <r>
    <x v="266"/>
    <x v="0"/>
    <x v="8"/>
    <n v="39"/>
    <n v="29"/>
    <x v="5"/>
    <x v="5"/>
    <s v="overdraft"/>
    <n v="2793333037"/>
  </r>
  <r>
    <x v="266"/>
    <x v="0"/>
    <x v="8"/>
    <n v="39"/>
    <n v="29"/>
    <x v="11"/>
    <x v="10"/>
    <s v="paylater"/>
    <n v="36275602"/>
  </r>
  <r>
    <x v="266"/>
    <x v="0"/>
    <x v="8"/>
    <n v="39"/>
    <n v="29"/>
    <x v="3"/>
    <x v="3"/>
    <s v="cashloan"/>
    <n v="26250000"/>
  </r>
  <r>
    <x v="266"/>
    <x v="0"/>
    <x v="8"/>
    <n v="39"/>
    <n v="29"/>
    <x v="9"/>
    <x v="9"/>
    <s v="cashloan"/>
    <n v="0"/>
  </r>
  <r>
    <x v="266"/>
    <x v="0"/>
    <x v="8"/>
    <n v="39"/>
    <n v="29"/>
    <x v="10"/>
    <x v="9"/>
    <s v="cashloan"/>
    <n v="48150000"/>
  </r>
  <r>
    <x v="266"/>
    <x v="0"/>
    <x v="8"/>
    <n v="39"/>
    <n v="29"/>
    <x v="6"/>
    <x v="6"/>
    <s v="payday"/>
    <n v="71000000"/>
  </r>
  <r>
    <x v="266"/>
    <x v="0"/>
    <x v="8"/>
    <n v="39"/>
    <n v="29"/>
    <x v="1"/>
    <x v="1"/>
    <s v="cashloan"/>
    <n v="10500000"/>
  </r>
  <r>
    <x v="266"/>
    <x v="0"/>
    <x v="8"/>
    <n v="39"/>
    <n v="29"/>
    <x v="8"/>
    <x v="8"/>
    <s v="cashloan"/>
    <n v="0"/>
  </r>
  <r>
    <x v="266"/>
    <x v="0"/>
    <x v="8"/>
    <n v="39"/>
    <n v="29"/>
    <x v="7"/>
    <x v="7"/>
    <s v="paylater"/>
    <n v="175022196"/>
  </r>
  <r>
    <x v="266"/>
    <x v="0"/>
    <x v="8"/>
    <n v="39"/>
    <n v="29"/>
    <x v="12"/>
    <x v="11"/>
    <s v="cashloan"/>
    <n v="2688240000"/>
  </r>
  <r>
    <x v="266"/>
    <x v="0"/>
    <x v="8"/>
    <n v="39"/>
    <n v="29"/>
    <x v="2"/>
    <x v="2"/>
    <s v="cashloan"/>
    <n v="6500320000"/>
  </r>
  <r>
    <x v="267"/>
    <x v="0"/>
    <x v="8"/>
    <n v="40"/>
    <n v="30"/>
    <x v="3"/>
    <x v="3"/>
    <s v="cashloan"/>
    <n v="75600000"/>
  </r>
  <r>
    <x v="267"/>
    <x v="0"/>
    <x v="8"/>
    <n v="40"/>
    <n v="30"/>
    <x v="7"/>
    <x v="7"/>
    <s v="paylater"/>
    <n v="194349994"/>
  </r>
  <r>
    <x v="267"/>
    <x v="0"/>
    <x v="8"/>
    <n v="40"/>
    <n v="30"/>
    <x v="11"/>
    <x v="10"/>
    <s v="paylater"/>
    <n v="32312203"/>
  </r>
  <r>
    <x v="267"/>
    <x v="0"/>
    <x v="8"/>
    <n v="40"/>
    <n v="30"/>
    <x v="2"/>
    <x v="2"/>
    <s v="cashloan"/>
    <n v="9113780000"/>
  </r>
  <r>
    <x v="267"/>
    <x v="0"/>
    <x v="8"/>
    <n v="40"/>
    <n v="30"/>
    <x v="0"/>
    <x v="0"/>
    <s v="payday"/>
    <n v="4239000000"/>
  </r>
  <r>
    <x v="267"/>
    <x v="0"/>
    <x v="8"/>
    <n v="40"/>
    <n v="30"/>
    <x v="10"/>
    <x v="9"/>
    <s v="cashloan"/>
    <n v="27820000"/>
  </r>
  <r>
    <x v="267"/>
    <x v="0"/>
    <x v="8"/>
    <n v="40"/>
    <n v="30"/>
    <x v="6"/>
    <x v="6"/>
    <s v="payday"/>
    <n v="54000000"/>
  </r>
  <r>
    <x v="267"/>
    <x v="0"/>
    <x v="8"/>
    <n v="40"/>
    <n v="30"/>
    <x v="5"/>
    <x v="5"/>
    <s v="overdraft"/>
    <n v="4118375050"/>
  </r>
  <r>
    <x v="267"/>
    <x v="0"/>
    <x v="8"/>
    <n v="40"/>
    <n v="30"/>
    <x v="8"/>
    <x v="8"/>
    <s v="cashloan"/>
    <n v="0"/>
  </r>
  <r>
    <x v="267"/>
    <x v="0"/>
    <x v="8"/>
    <n v="40"/>
    <n v="30"/>
    <x v="1"/>
    <x v="1"/>
    <s v="cashloan"/>
    <n v="107100000"/>
  </r>
  <r>
    <x v="267"/>
    <x v="0"/>
    <x v="8"/>
    <n v="40"/>
    <n v="30"/>
    <x v="9"/>
    <x v="9"/>
    <s v="cashloan"/>
    <n v="0"/>
  </r>
  <r>
    <x v="267"/>
    <x v="0"/>
    <x v="8"/>
    <n v="40"/>
    <n v="30"/>
    <x v="12"/>
    <x v="11"/>
    <s v="cashloan"/>
    <n v="4161760000"/>
  </r>
  <r>
    <x v="268"/>
    <x v="0"/>
    <x v="9"/>
    <n v="40"/>
    <n v="1"/>
    <x v="6"/>
    <x v="6"/>
    <s v="payday"/>
    <n v="79000000"/>
  </r>
  <r>
    <x v="268"/>
    <x v="0"/>
    <x v="9"/>
    <n v="40"/>
    <n v="1"/>
    <x v="3"/>
    <x v="3"/>
    <s v="cashloan"/>
    <n v="92700000"/>
  </r>
  <r>
    <x v="268"/>
    <x v="0"/>
    <x v="9"/>
    <n v="40"/>
    <n v="1"/>
    <x v="8"/>
    <x v="8"/>
    <s v="cashloan"/>
    <n v="0"/>
  </r>
  <r>
    <x v="268"/>
    <x v="0"/>
    <x v="9"/>
    <n v="40"/>
    <n v="1"/>
    <x v="5"/>
    <x v="5"/>
    <s v="overdraft"/>
    <n v="5657744784"/>
  </r>
  <r>
    <x v="268"/>
    <x v="0"/>
    <x v="9"/>
    <n v="40"/>
    <n v="1"/>
    <x v="12"/>
    <x v="11"/>
    <s v="cashloan"/>
    <n v="4068960000"/>
  </r>
  <r>
    <x v="268"/>
    <x v="0"/>
    <x v="9"/>
    <n v="40"/>
    <n v="1"/>
    <x v="10"/>
    <x v="9"/>
    <s v="cashloan"/>
    <n v="29540000"/>
  </r>
  <r>
    <x v="268"/>
    <x v="0"/>
    <x v="9"/>
    <n v="40"/>
    <n v="1"/>
    <x v="2"/>
    <x v="2"/>
    <s v="cashloan"/>
    <n v="8229370000"/>
  </r>
  <r>
    <x v="268"/>
    <x v="0"/>
    <x v="9"/>
    <n v="40"/>
    <n v="1"/>
    <x v="0"/>
    <x v="0"/>
    <s v="payday"/>
    <n v="4779500000"/>
  </r>
  <r>
    <x v="268"/>
    <x v="0"/>
    <x v="9"/>
    <n v="40"/>
    <n v="1"/>
    <x v="7"/>
    <x v="7"/>
    <s v="paylater"/>
    <n v="246816337"/>
  </r>
  <r>
    <x v="268"/>
    <x v="0"/>
    <x v="9"/>
    <n v="40"/>
    <n v="1"/>
    <x v="11"/>
    <x v="10"/>
    <s v="paylater"/>
    <n v="41070702"/>
  </r>
  <r>
    <x v="268"/>
    <x v="0"/>
    <x v="9"/>
    <n v="40"/>
    <n v="1"/>
    <x v="9"/>
    <x v="9"/>
    <s v="cashloan"/>
    <n v="0"/>
  </r>
  <r>
    <x v="268"/>
    <x v="0"/>
    <x v="9"/>
    <n v="40"/>
    <n v="1"/>
    <x v="1"/>
    <x v="1"/>
    <s v="cashloan"/>
    <n v="31500000"/>
  </r>
  <r>
    <x v="269"/>
    <x v="0"/>
    <x v="9"/>
    <n v="40"/>
    <n v="2"/>
    <x v="13"/>
    <x v="12"/>
    <s v="paylater"/>
    <n v="30000"/>
  </r>
  <r>
    <x v="269"/>
    <x v="0"/>
    <x v="9"/>
    <n v="40"/>
    <n v="2"/>
    <x v="8"/>
    <x v="8"/>
    <s v="cashloan"/>
    <n v="0"/>
  </r>
  <r>
    <x v="269"/>
    <x v="0"/>
    <x v="9"/>
    <n v="40"/>
    <n v="2"/>
    <x v="11"/>
    <x v="10"/>
    <s v="paylater"/>
    <n v="39459713"/>
  </r>
  <r>
    <x v="269"/>
    <x v="0"/>
    <x v="9"/>
    <n v="40"/>
    <n v="2"/>
    <x v="6"/>
    <x v="6"/>
    <s v="payday"/>
    <n v="75000000"/>
  </r>
  <r>
    <x v="269"/>
    <x v="0"/>
    <x v="9"/>
    <n v="40"/>
    <n v="2"/>
    <x v="1"/>
    <x v="1"/>
    <s v="cashloan"/>
    <n v="80850000"/>
  </r>
  <r>
    <x v="269"/>
    <x v="0"/>
    <x v="9"/>
    <n v="40"/>
    <n v="2"/>
    <x v="9"/>
    <x v="9"/>
    <s v="cashloan"/>
    <n v="0"/>
  </r>
  <r>
    <x v="269"/>
    <x v="0"/>
    <x v="9"/>
    <n v="40"/>
    <n v="2"/>
    <x v="2"/>
    <x v="2"/>
    <s v="cashloan"/>
    <n v="8669410000"/>
  </r>
  <r>
    <x v="269"/>
    <x v="0"/>
    <x v="9"/>
    <n v="40"/>
    <n v="2"/>
    <x v="0"/>
    <x v="0"/>
    <s v="payday"/>
    <n v="4493000000"/>
  </r>
  <r>
    <x v="269"/>
    <x v="0"/>
    <x v="9"/>
    <n v="40"/>
    <n v="2"/>
    <x v="7"/>
    <x v="7"/>
    <s v="paylater"/>
    <n v="239162861"/>
  </r>
  <r>
    <x v="269"/>
    <x v="0"/>
    <x v="9"/>
    <n v="40"/>
    <n v="2"/>
    <x v="3"/>
    <x v="3"/>
    <s v="cashloan"/>
    <n v="259450000"/>
  </r>
  <r>
    <x v="269"/>
    <x v="0"/>
    <x v="9"/>
    <n v="40"/>
    <n v="2"/>
    <x v="12"/>
    <x v="11"/>
    <s v="cashloan"/>
    <n v="3411330000"/>
  </r>
  <r>
    <x v="269"/>
    <x v="0"/>
    <x v="9"/>
    <n v="40"/>
    <n v="2"/>
    <x v="10"/>
    <x v="9"/>
    <s v="cashloan"/>
    <n v="22470000"/>
  </r>
  <r>
    <x v="269"/>
    <x v="0"/>
    <x v="9"/>
    <n v="40"/>
    <n v="2"/>
    <x v="5"/>
    <x v="5"/>
    <s v="overdraft"/>
    <n v="4844123637"/>
  </r>
  <r>
    <x v="270"/>
    <x v="0"/>
    <x v="9"/>
    <n v="40"/>
    <n v="3"/>
    <x v="3"/>
    <x v="3"/>
    <s v="cashloan"/>
    <n v="84000000"/>
  </r>
  <r>
    <x v="270"/>
    <x v="0"/>
    <x v="9"/>
    <n v="40"/>
    <n v="3"/>
    <x v="13"/>
    <x v="12"/>
    <s v="paylater"/>
    <n v="34000"/>
  </r>
  <r>
    <x v="270"/>
    <x v="0"/>
    <x v="9"/>
    <n v="40"/>
    <n v="3"/>
    <x v="12"/>
    <x v="11"/>
    <s v="cashloan"/>
    <n v="4126750000"/>
  </r>
  <r>
    <x v="270"/>
    <x v="0"/>
    <x v="9"/>
    <n v="40"/>
    <n v="3"/>
    <x v="6"/>
    <x v="6"/>
    <s v="payday"/>
    <n v="44000000"/>
  </r>
  <r>
    <x v="270"/>
    <x v="0"/>
    <x v="9"/>
    <n v="40"/>
    <n v="3"/>
    <x v="5"/>
    <x v="5"/>
    <s v="overdraft"/>
    <n v="3744730369"/>
  </r>
  <r>
    <x v="270"/>
    <x v="0"/>
    <x v="9"/>
    <n v="40"/>
    <n v="3"/>
    <x v="11"/>
    <x v="10"/>
    <s v="paylater"/>
    <n v="49592899"/>
  </r>
  <r>
    <x v="270"/>
    <x v="0"/>
    <x v="9"/>
    <n v="40"/>
    <n v="3"/>
    <x v="8"/>
    <x v="8"/>
    <s v="cashloan"/>
    <n v="0"/>
  </r>
  <r>
    <x v="270"/>
    <x v="0"/>
    <x v="9"/>
    <n v="40"/>
    <n v="3"/>
    <x v="2"/>
    <x v="2"/>
    <s v="cashloan"/>
    <n v="7496820000"/>
  </r>
  <r>
    <x v="270"/>
    <x v="0"/>
    <x v="9"/>
    <n v="40"/>
    <n v="3"/>
    <x v="10"/>
    <x v="9"/>
    <s v="cashloan"/>
    <n v="0"/>
  </r>
  <r>
    <x v="270"/>
    <x v="0"/>
    <x v="9"/>
    <n v="40"/>
    <n v="3"/>
    <x v="9"/>
    <x v="9"/>
    <s v="cashloan"/>
    <n v="6420000"/>
  </r>
  <r>
    <x v="270"/>
    <x v="0"/>
    <x v="9"/>
    <n v="40"/>
    <n v="3"/>
    <x v="1"/>
    <x v="1"/>
    <s v="cashloan"/>
    <n v="115500000"/>
  </r>
  <r>
    <x v="270"/>
    <x v="0"/>
    <x v="9"/>
    <n v="40"/>
    <n v="3"/>
    <x v="7"/>
    <x v="7"/>
    <s v="paylater"/>
    <n v="284719543"/>
  </r>
  <r>
    <x v="270"/>
    <x v="0"/>
    <x v="9"/>
    <n v="40"/>
    <n v="3"/>
    <x v="0"/>
    <x v="0"/>
    <s v="payday"/>
    <n v="3936000000"/>
  </r>
  <r>
    <x v="271"/>
    <x v="0"/>
    <x v="9"/>
    <n v="40"/>
    <n v="4"/>
    <x v="13"/>
    <x v="12"/>
    <s v="paylater"/>
    <n v="38000"/>
  </r>
  <r>
    <x v="271"/>
    <x v="0"/>
    <x v="9"/>
    <n v="40"/>
    <n v="4"/>
    <x v="6"/>
    <x v="6"/>
    <s v="payday"/>
    <n v="35000000"/>
  </r>
  <r>
    <x v="271"/>
    <x v="0"/>
    <x v="9"/>
    <n v="40"/>
    <n v="4"/>
    <x v="12"/>
    <x v="11"/>
    <s v="cashloan"/>
    <n v="4345110000"/>
  </r>
  <r>
    <x v="271"/>
    <x v="0"/>
    <x v="9"/>
    <n v="40"/>
    <n v="4"/>
    <x v="0"/>
    <x v="0"/>
    <s v="payday"/>
    <n v="4289500000"/>
  </r>
  <r>
    <x v="271"/>
    <x v="0"/>
    <x v="9"/>
    <n v="40"/>
    <n v="4"/>
    <x v="10"/>
    <x v="9"/>
    <s v="cashloan"/>
    <n v="10700000"/>
  </r>
  <r>
    <x v="271"/>
    <x v="0"/>
    <x v="9"/>
    <n v="40"/>
    <n v="4"/>
    <x v="8"/>
    <x v="8"/>
    <s v="cashloan"/>
    <n v="0"/>
  </r>
  <r>
    <x v="271"/>
    <x v="0"/>
    <x v="9"/>
    <n v="40"/>
    <n v="4"/>
    <x v="5"/>
    <x v="5"/>
    <s v="overdraft"/>
    <n v="3996046624"/>
  </r>
  <r>
    <x v="271"/>
    <x v="0"/>
    <x v="9"/>
    <n v="40"/>
    <n v="4"/>
    <x v="9"/>
    <x v="9"/>
    <s v="cashloan"/>
    <n v="27820000"/>
  </r>
  <r>
    <x v="271"/>
    <x v="0"/>
    <x v="9"/>
    <n v="40"/>
    <n v="4"/>
    <x v="1"/>
    <x v="1"/>
    <s v="cashloan"/>
    <n v="51500000"/>
  </r>
  <r>
    <x v="271"/>
    <x v="0"/>
    <x v="9"/>
    <n v="40"/>
    <n v="4"/>
    <x v="11"/>
    <x v="10"/>
    <s v="paylater"/>
    <n v="57825964"/>
  </r>
  <r>
    <x v="271"/>
    <x v="0"/>
    <x v="9"/>
    <n v="40"/>
    <n v="4"/>
    <x v="7"/>
    <x v="7"/>
    <s v="paylater"/>
    <n v="304830544"/>
  </r>
  <r>
    <x v="271"/>
    <x v="0"/>
    <x v="9"/>
    <n v="40"/>
    <n v="4"/>
    <x v="3"/>
    <x v="3"/>
    <s v="cashloan"/>
    <n v="42000000"/>
  </r>
  <r>
    <x v="271"/>
    <x v="0"/>
    <x v="9"/>
    <n v="40"/>
    <n v="4"/>
    <x v="2"/>
    <x v="2"/>
    <s v="cashloan"/>
    <n v="7375490000"/>
  </r>
  <r>
    <x v="272"/>
    <x v="0"/>
    <x v="9"/>
    <n v="40"/>
    <n v="5"/>
    <x v="1"/>
    <x v="1"/>
    <s v="cashloan"/>
    <n v="10500000"/>
  </r>
  <r>
    <x v="272"/>
    <x v="0"/>
    <x v="9"/>
    <n v="40"/>
    <n v="5"/>
    <x v="0"/>
    <x v="0"/>
    <s v="payday"/>
    <n v="4362500000"/>
  </r>
  <r>
    <x v="272"/>
    <x v="0"/>
    <x v="9"/>
    <n v="40"/>
    <n v="5"/>
    <x v="9"/>
    <x v="9"/>
    <s v="cashloan"/>
    <n v="18190000"/>
  </r>
  <r>
    <x v="272"/>
    <x v="0"/>
    <x v="9"/>
    <n v="40"/>
    <n v="5"/>
    <x v="5"/>
    <x v="5"/>
    <s v="overdraft"/>
    <n v="3555549597"/>
  </r>
  <r>
    <x v="272"/>
    <x v="0"/>
    <x v="9"/>
    <n v="40"/>
    <n v="5"/>
    <x v="8"/>
    <x v="8"/>
    <s v="cashloan"/>
    <n v="0"/>
  </r>
  <r>
    <x v="272"/>
    <x v="0"/>
    <x v="9"/>
    <n v="40"/>
    <n v="5"/>
    <x v="6"/>
    <x v="6"/>
    <s v="payday"/>
    <n v="57000000"/>
  </r>
  <r>
    <x v="272"/>
    <x v="0"/>
    <x v="9"/>
    <n v="40"/>
    <n v="5"/>
    <x v="13"/>
    <x v="12"/>
    <s v="paylater"/>
    <n v="0"/>
  </r>
  <r>
    <x v="272"/>
    <x v="0"/>
    <x v="9"/>
    <n v="40"/>
    <n v="5"/>
    <x v="2"/>
    <x v="2"/>
    <s v="cashloan"/>
    <n v="7153210000"/>
  </r>
  <r>
    <x v="272"/>
    <x v="0"/>
    <x v="9"/>
    <n v="40"/>
    <n v="5"/>
    <x v="7"/>
    <x v="7"/>
    <s v="paylater"/>
    <n v="478550379"/>
  </r>
  <r>
    <x v="272"/>
    <x v="0"/>
    <x v="9"/>
    <n v="40"/>
    <n v="5"/>
    <x v="11"/>
    <x v="10"/>
    <s v="paylater"/>
    <n v="80061142"/>
  </r>
  <r>
    <x v="272"/>
    <x v="0"/>
    <x v="9"/>
    <n v="40"/>
    <n v="5"/>
    <x v="3"/>
    <x v="3"/>
    <s v="cashloan"/>
    <n v="42000000"/>
  </r>
  <r>
    <x v="272"/>
    <x v="0"/>
    <x v="9"/>
    <n v="40"/>
    <n v="5"/>
    <x v="12"/>
    <x v="11"/>
    <s v="cashloan"/>
    <n v="4153870000"/>
  </r>
  <r>
    <x v="272"/>
    <x v="0"/>
    <x v="9"/>
    <n v="40"/>
    <n v="5"/>
    <x v="10"/>
    <x v="9"/>
    <s v="cashloan"/>
    <n v="22700000"/>
  </r>
  <r>
    <x v="273"/>
    <x v="0"/>
    <x v="9"/>
    <n v="40"/>
    <n v="6"/>
    <x v="13"/>
    <x v="12"/>
    <s v="paylater"/>
    <n v="0"/>
  </r>
  <r>
    <x v="273"/>
    <x v="0"/>
    <x v="9"/>
    <n v="40"/>
    <n v="6"/>
    <x v="6"/>
    <x v="6"/>
    <s v="payday"/>
    <n v="47000000"/>
  </r>
  <r>
    <x v="273"/>
    <x v="0"/>
    <x v="9"/>
    <n v="40"/>
    <n v="6"/>
    <x v="0"/>
    <x v="0"/>
    <s v="payday"/>
    <n v="3526000000"/>
  </r>
  <r>
    <x v="273"/>
    <x v="0"/>
    <x v="9"/>
    <n v="40"/>
    <n v="6"/>
    <x v="8"/>
    <x v="8"/>
    <s v="cashloan"/>
    <n v="0"/>
  </r>
  <r>
    <x v="273"/>
    <x v="0"/>
    <x v="9"/>
    <n v="40"/>
    <n v="6"/>
    <x v="3"/>
    <x v="3"/>
    <s v="cashloan"/>
    <n v="0"/>
  </r>
  <r>
    <x v="273"/>
    <x v="0"/>
    <x v="9"/>
    <n v="40"/>
    <n v="6"/>
    <x v="11"/>
    <x v="10"/>
    <s v="paylater"/>
    <n v="79074752"/>
  </r>
  <r>
    <x v="273"/>
    <x v="0"/>
    <x v="9"/>
    <n v="40"/>
    <n v="6"/>
    <x v="1"/>
    <x v="1"/>
    <s v="cashloan"/>
    <n v="21000000"/>
  </r>
  <r>
    <x v="273"/>
    <x v="0"/>
    <x v="9"/>
    <n v="40"/>
    <n v="6"/>
    <x v="9"/>
    <x v="9"/>
    <s v="cashloan"/>
    <n v="0"/>
  </r>
  <r>
    <x v="273"/>
    <x v="0"/>
    <x v="9"/>
    <n v="40"/>
    <n v="6"/>
    <x v="10"/>
    <x v="9"/>
    <s v="cashloan"/>
    <n v="42800000"/>
  </r>
  <r>
    <x v="273"/>
    <x v="0"/>
    <x v="9"/>
    <n v="40"/>
    <n v="6"/>
    <x v="5"/>
    <x v="5"/>
    <s v="overdraft"/>
    <n v="3075836334"/>
  </r>
  <r>
    <x v="273"/>
    <x v="0"/>
    <x v="9"/>
    <n v="40"/>
    <n v="6"/>
    <x v="2"/>
    <x v="2"/>
    <s v="cashloan"/>
    <n v="6586630000"/>
  </r>
  <r>
    <x v="273"/>
    <x v="0"/>
    <x v="9"/>
    <n v="40"/>
    <n v="6"/>
    <x v="7"/>
    <x v="7"/>
    <s v="paylater"/>
    <n v="336267812"/>
  </r>
  <r>
    <x v="273"/>
    <x v="0"/>
    <x v="9"/>
    <n v="40"/>
    <n v="6"/>
    <x v="12"/>
    <x v="11"/>
    <s v="cashloan"/>
    <n v="2970270000"/>
  </r>
  <r>
    <x v="274"/>
    <x v="0"/>
    <x v="9"/>
    <n v="41"/>
    <n v="7"/>
    <x v="4"/>
    <x v="4"/>
    <n v="0"/>
    <n v="22393830824"/>
  </r>
  <r>
    <x v="274"/>
    <x v="0"/>
    <x v="9"/>
    <n v="41"/>
    <n v="7"/>
    <x v="0"/>
    <x v="0"/>
    <s v="payday"/>
    <n v="4908500000"/>
  </r>
  <r>
    <x v="274"/>
    <x v="0"/>
    <x v="9"/>
    <n v="41"/>
    <n v="7"/>
    <x v="2"/>
    <x v="2"/>
    <s v="cashloan"/>
    <n v="9096980000"/>
  </r>
  <r>
    <x v="274"/>
    <x v="0"/>
    <x v="9"/>
    <n v="41"/>
    <n v="7"/>
    <x v="12"/>
    <x v="11"/>
    <s v="cashloan"/>
    <n v="3818290000"/>
  </r>
  <r>
    <x v="274"/>
    <x v="0"/>
    <x v="9"/>
    <n v="41"/>
    <n v="7"/>
    <x v="13"/>
    <x v="12"/>
    <s v="paylater"/>
    <n v="100000"/>
  </r>
  <r>
    <x v="274"/>
    <x v="0"/>
    <x v="9"/>
    <n v="41"/>
    <n v="7"/>
    <x v="6"/>
    <x v="6"/>
    <s v="payday"/>
    <n v="33000000"/>
  </r>
  <r>
    <x v="274"/>
    <x v="0"/>
    <x v="9"/>
    <n v="41"/>
    <n v="7"/>
    <x v="9"/>
    <x v="9"/>
    <s v="cashloan"/>
    <n v="0"/>
  </r>
  <r>
    <x v="274"/>
    <x v="0"/>
    <x v="9"/>
    <n v="41"/>
    <n v="7"/>
    <x v="10"/>
    <x v="9"/>
    <s v="cashloan"/>
    <n v="27820000"/>
  </r>
  <r>
    <x v="274"/>
    <x v="0"/>
    <x v="9"/>
    <n v="41"/>
    <n v="7"/>
    <x v="11"/>
    <x v="10"/>
    <s v="paylater"/>
    <n v="69379751"/>
  </r>
  <r>
    <x v="274"/>
    <x v="0"/>
    <x v="9"/>
    <n v="41"/>
    <n v="7"/>
    <x v="5"/>
    <x v="5"/>
    <s v="overdraft"/>
    <n v="3837175385"/>
  </r>
  <r>
    <x v="274"/>
    <x v="0"/>
    <x v="9"/>
    <n v="41"/>
    <n v="7"/>
    <x v="8"/>
    <x v="8"/>
    <s v="cashloan"/>
    <n v="0"/>
  </r>
  <r>
    <x v="274"/>
    <x v="0"/>
    <x v="9"/>
    <n v="41"/>
    <n v="7"/>
    <x v="3"/>
    <x v="3"/>
    <s v="cashloan"/>
    <n v="132600000"/>
  </r>
  <r>
    <x v="274"/>
    <x v="0"/>
    <x v="9"/>
    <n v="41"/>
    <n v="7"/>
    <x v="1"/>
    <x v="1"/>
    <s v="cashloan"/>
    <n v="73500000"/>
  </r>
  <r>
    <x v="274"/>
    <x v="0"/>
    <x v="9"/>
    <n v="41"/>
    <n v="7"/>
    <x v="7"/>
    <x v="7"/>
    <s v="paylater"/>
    <n v="396485688"/>
  </r>
  <r>
    <x v="275"/>
    <x v="0"/>
    <x v="9"/>
    <n v="41"/>
    <n v="8"/>
    <x v="1"/>
    <x v="1"/>
    <s v="cashloan"/>
    <n v="10500000"/>
  </r>
  <r>
    <x v="275"/>
    <x v="0"/>
    <x v="9"/>
    <n v="41"/>
    <n v="8"/>
    <x v="6"/>
    <x v="6"/>
    <s v="payday"/>
    <n v="62000000"/>
  </r>
  <r>
    <x v="275"/>
    <x v="0"/>
    <x v="9"/>
    <n v="41"/>
    <n v="8"/>
    <x v="13"/>
    <x v="12"/>
    <s v="paylater"/>
    <n v="33050"/>
  </r>
  <r>
    <x v="275"/>
    <x v="0"/>
    <x v="9"/>
    <n v="41"/>
    <n v="8"/>
    <x v="9"/>
    <x v="9"/>
    <s v="cashloan"/>
    <n v="65270000"/>
  </r>
  <r>
    <x v="275"/>
    <x v="0"/>
    <x v="9"/>
    <n v="41"/>
    <n v="8"/>
    <x v="8"/>
    <x v="8"/>
    <s v="cashloan"/>
    <n v="0"/>
  </r>
  <r>
    <x v="275"/>
    <x v="0"/>
    <x v="9"/>
    <n v="41"/>
    <n v="8"/>
    <x v="4"/>
    <x v="4"/>
    <n v="0"/>
    <n v="20436775269"/>
  </r>
  <r>
    <x v="275"/>
    <x v="0"/>
    <x v="9"/>
    <n v="41"/>
    <n v="8"/>
    <x v="7"/>
    <x v="7"/>
    <s v="paylater"/>
    <n v="330089066"/>
  </r>
  <r>
    <x v="275"/>
    <x v="0"/>
    <x v="9"/>
    <n v="41"/>
    <n v="8"/>
    <x v="2"/>
    <x v="2"/>
    <s v="cashloan"/>
    <n v="8537240000"/>
  </r>
  <r>
    <x v="275"/>
    <x v="0"/>
    <x v="9"/>
    <n v="41"/>
    <n v="8"/>
    <x v="11"/>
    <x v="10"/>
    <s v="paylater"/>
    <n v="62799503"/>
  </r>
  <r>
    <x v="275"/>
    <x v="0"/>
    <x v="9"/>
    <n v="41"/>
    <n v="8"/>
    <x v="10"/>
    <x v="9"/>
    <s v="cashloan"/>
    <n v="69920000"/>
  </r>
  <r>
    <x v="275"/>
    <x v="0"/>
    <x v="9"/>
    <n v="41"/>
    <n v="8"/>
    <x v="12"/>
    <x v="11"/>
    <s v="cashloan"/>
    <n v="3475010000"/>
  </r>
  <r>
    <x v="275"/>
    <x v="0"/>
    <x v="9"/>
    <n v="41"/>
    <n v="8"/>
    <x v="0"/>
    <x v="0"/>
    <s v="payday"/>
    <n v="4333000000"/>
  </r>
  <r>
    <x v="275"/>
    <x v="0"/>
    <x v="9"/>
    <n v="41"/>
    <n v="8"/>
    <x v="3"/>
    <x v="3"/>
    <s v="cashloan"/>
    <n v="138400000"/>
  </r>
  <r>
    <x v="275"/>
    <x v="0"/>
    <x v="9"/>
    <n v="41"/>
    <n v="8"/>
    <x v="5"/>
    <x v="5"/>
    <s v="overdraft"/>
    <n v="3352513650"/>
  </r>
  <r>
    <x v="276"/>
    <x v="0"/>
    <x v="9"/>
    <n v="41"/>
    <n v="9"/>
    <x v="5"/>
    <x v="5"/>
    <s v="overdraft"/>
    <n v="3261476163"/>
  </r>
  <r>
    <x v="276"/>
    <x v="0"/>
    <x v="9"/>
    <n v="41"/>
    <n v="9"/>
    <x v="3"/>
    <x v="3"/>
    <s v="cashloan"/>
    <n v="76500000"/>
  </r>
  <r>
    <x v="276"/>
    <x v="0"/>
    <x v="9"/>
    <n v="41"/>
    <n v="9"/>
    <x v="4"/>
    <x v="4"/>
    <n v="0"/>
    <n v="20342777528"/>
  </r>
  <r>
    <x v="276"/>
    <x v="0"/>
    <x v="9"/>
    <n v="41"/>
    <n v="9"/>
    <x v="6"/>
    <x v="6"/>
    <s v="payday"/>
    <n v="0"/>
  </r>
  <r>
    <x v="276"/>
    <x v="0"/>
    <x v="9"/>
    <n v="41"/>
    <n v="9"/>
    <x v="7"/>
    <x v="7"/>
    <s v="paylater"/>
    <n v="280910839"/>
  </r>
  <r>
    <x v="276"/>
    <x v="0"/>
    <x v="9"/>
    <n v="41"/>
    <n v="9"/>
    <x v="1"/>
    <x v="1"/>
    <s v="cashloan"/>
    <n v="64050000"/>
  </r>
  <r>
    <x v="276"/>
    <x v="0"/>
    <x v="9"/>
    <n v="41"/>
    <n v="9"/>
    <x v="13"/>
    <x v="12"/>
    <s v="paylater"/>
    <n v="0"/>
  </r>
  <r>
    <x v="276"/>
    <x v="0"/>
    <x v="9"/>
    <n v="41"/>
    <n v="9"/>
    <x v="11"/>
    <x v="10"/>
    <s v="paylater"/>
    <n v="53350526"/>
  </r>
  <r>
    <x v="276"/>
    <x v="0"/>
    <x v="9"/>
    <n v="41"/>
    <n v="9"/>
    <x v="9"/>
    <x v="9"/>
    <s v="cashloan"/>
    <n v="31400000"/>
  </r>
  <r>
    <x v="276"/>
    <x v="0"/>
    <x v="9"/>
    <n v="41"/>
    <n v="9"/>
    <x v="8"/>
    <x v="8"/>
    <s v="cashloan"/>
    <n v="0"/>
  </r>
  <r>
    <x v="276"/>
    <x v="0"/>
    <x v="9"/>
    <n v="41"/>
    <n v="9"/>
    <x v="10"/>
    <x v="9"/>
    <s v="cashloan"/>
    <n v="65270000"/>
  </r>
  <r>
    <x v="276"/>
    <x v="0"/>
    <x v="9"/>
    <n v="41"/>
    <n v="9"/>
    <x v="2"/>
    <x v="2"/>
    <s v="cashloan"/>
    <n v="8084500000"/>
  </r>
  <r>
    <x v="276"/>
    <x v="0"/>
    <x v="9"/>
    <n v="41"/>
    <n v="9"/>
    <x v="12"/>
    <x v="11"/>
    <s v="cashloan"/>
    <n v="4214820000"/>
  </r>
  <r>
    <x v="276"/>
    <x v="0"/>
    <x v="9"/>
    <n v="41"/>
    <n v="9"/>
    <x v="0"/>
    <x v="0"/>
    <s v="payday"/>
    <n v="4210500000"/>
  </r>
  <r>
    <x v="277"/>
    <x v="0"/>
    <x v="9"/>
    <n v="41"/>
    <n v="10"/>
    <x v="8"/>
    <x v="8"/>
    <s v="cashloan"/>
    <n v="0"/>
  </r>
  <r>
    <x v="277"/>
    <x v="0"/>
    <x v="9"/>
    <n v="41"/>
    <n v="10"/>
    <x v="7"/>
    <x v="7"/>
    <s v="paylater"/>
    <n v="259237720"/>
  </r>
  <r>
    <x v="277"/>
    <x v="0"/>
    <x v="9"/>
    <n v="41"/>
    <n v="10"/>
    <x v="11"/>
    <x v="10"/>
    <s v="paylater"/>
    <n v="53455178"/>
  </r>
  <r>
    <x v="277"/>
    <x v="0"/>
    <x v="9"/>
    <n v="41"/>
    <n v="10"/>
    <x v="5"/>
    <x v="5"/>
    <s v="overdraft"/>
    <n v="3970042557"/>
  </r>
  <r>
    <x v="277"/>
    <x v="0"/>
    <x v="9"/>
    <n v="41"/>
    <n v="10"/>
    <x v="2"/>
    <x v="2"/>
    <s v="cashloan"/>
    <n v="8020900000"/>
  </r>
  <r>
    <x v="277"/>
    <x v="0"/>
    <x v="9"/>
    <n v="41"/>
    <n v="10"/>
    <x v="0"/>
    <x v="0"/>
    <s v="payday"/>
    <n v="5404500000"/>
  </r>
  <r>
    <x v="277"/>
    <x v="0"/>
    <x v="9"/>
    <n v="41"/>
    <n v="10"/>
    <x v="1"/>
    <x v="1"/>
    <s v="cashloan"/>
    <n v="114500000"/>
  </r>
  <r>
    <x v="277"/>
    <x v="0"/>
    <x v="9"/>
    <n v="41"/>
    <n v="10"/>
    <x v="9"/>
    <x v="9"/>
    <s v="cashloan"/>
    <n v="22470000"/>
  </r>
  <r>
    <x v="277"/>
    <x v="0"/>
    <x v="9"/>
    <n v="41"/>
    <n v="10"/>
    <x v="10"/>
    <x v="9"/>
    <s v="cashloan"/>
    <n v="52800000"/>
  </r>
  <r>
    <x v="277"/>
    <x v="0"/>
    <x v="9"/>
    <n v="41"/>
    <n v="10"/>
    <x v="13"/>
    <x v="12"/>
    <s v="paylater"/>
    <n v="5000"/>
  </r>
  <r>
    <x v="277"/>
    <x v="0"/>
    <x v="9"/>
    <n v="41"/>
    <n v="10"/>
    <x v="3"/>
    <x v="3"/>
    <s v="cashloan"/>
    <n v="74850000"/>
  </r>
  <r>
    <x v="277"/>
    <x v="0"/>
    <x v="9"/>
    <n v="41"/>
    <n v="10"/>
    <x v="14"/>
    <x v="13"/>
    <s v="cashloan"/>
    <n v="8560000"/>
  </r>
  <r>
    <x v="277"/>
    <x v="0"/>
    <x v="9"/>
    <n v="41"/>
    <n v="10"/>
    <x v="6"/>
    <x v="6"/>
    <s v="payday"/>
    <n v="95000000"/>
  </r>
  <r>
    <x v="277"/>
    <x v="0"/>
    <x v="9"/>
    <n v="41"/>
    <n v="10"/>
    <x v="4"/>
    <x v="4"/>
    <n v="0"/>
    <n v="21848320455"/>
  </r>
  <r>
    <x v="277"/>
    <x v="0"/>
    <x v="9"/>
    <n v="41"/>
    <n v="10"/>
    <x v="12"/>
    <x v="11"/>
    <s v="cashloan"/>
    <n v="3772000000"/>
  </r>
  <r>
    <x v="278"/>
    <x v="0"/>
    <x v="9"/>
    <n v="41"/>
    <n v="11"/>
    <x v="10"/>
    <x v="9"/>
    <s v="cashloan"/>
    <n v="53080000"/>
  </r>
  <r>
    <x v="278"/>
    <x v="0"/>
    <x v="9"/>
    <n v="41"/>
    <n v="11"/>
    <x v="2"/>
    <x v="2"/>
    <s v="cashloan"/>
    <n v="7538700000"/>
  </r>
  <r>
    <x v="278"/>
    <x v="0"/>
    <x v="9"/>
    <n v="41"/>
    <n v="11"/>
    <x v="5"/>
    <x v="5"/>
    <s v="overdraft"/>
    <n v="3024005346"/>
  </r>
  <r>
    <x v="278"/>
    <x v="0"/>
    <x v="9"/>
    <n v="41"/>
    <n v="11"/>
    <x v="0"/>
    <x v="0"/>
    <s v="payday"/>
    <n v="4422500000"/>
  </r>
  <r>
    <x v="278"/>
    <x v="0"/>
    <x v="9"/>
    <n v="41"/>
    <n v="11"/>
    <x v="11"/>
    <x v="10"/>
    <s v="paylater"/>
    <n v="44297829"/>
  </r>
  <r>
    <x v="278"/>
    <x v="0"/>
    <x v="9"/>
    <n v="41"/>
    <n v="11"/>
    <x v="7"/>
    <x v="7"/>
    <s v="paylater"/>
    <n v="293416649"/>
  </r>
  <r>
    <x v="278"/>
    <x v="0"/>
    <x v="9"/>
    <n v="41"/>
    <n v="11"/>
    <x v="4"/>
    <x v="4"/>
    <n v="0"/>
    <n v="18967808124"/>
  </r>
  <r>
    <x v="278"/>
    <x v="0"/>
    <x v="9"/>
    <n v="41"/>
    <n v="11"/>
    <x v="12"/>
    <x v="11"/>
    <s v="cashloan"/>
    <n v="3476200000"/>
  </r>
  <r>
    <x v="278"/>
    <x v="0"/>
    <x v="9"/>
    <n v="41"/>
    <n v="11"/>
    <x v="9"/>
    <x v="9"/>
    <s v="cashloan"/>
    <n v="32100000"/>
  </r>
  <r>
    <x v="278"/>
    <x v="0"/>
    <x v="9"/>
    <n v="41"/>
    <n v="11"/>
    <x v="13"/>
    <x v="12"/>
    <s v="paylater"/>
    <n v="8300"/>
  </r>
  <r>
    <x v="278"/>
    <x v="0"/>
    <x v="9"/>
    <n v="41"/>
    <n v="11"/>
    <x v="14"/>
    <x v="13"/>
    <s v="cashloan"/>
    <n v="8000000"/>
  </r>
  <r>
    <x v="278"/>
    <x v="0"/>
    <x v="9"/>
    <n v="41"/>
    <n v="11"/>
    <x v="6"/>
    <x v="6"/>
    <s v="payday"/>
    <n v="50000000"/>
  </r>
  <r>
    <x v="278"/>
    <x v="0"/>
    <x v="9"/>
    <n v="41"/>
    <n v="11"/>
    <x v="1"/>
    <x v="1"/>
    <s v="cashloan"/>
    <n v="10500000"/>
  </r>
  <r>
    <x v="278"/>
    <x v="0"/>
    <x v="9"/>
    <n v="41"/>
    <n v="11"/>
    <x v="8"/>
    <x v="8"/>
    <s v="cashloan"/>
    <n v="0"/>
  </r>
  <r>
    <x v="278"/>
    <x v="0"/>
    <x v="9"/>
    <n v="41"/>
    <n v="11"/>
    <x v="3"/>
    <x v="3"/>
    <s v="cashloan"/>
    <n v="15000000"/>
  </r>
  <r>
    <x v="279"/>
    <x v="0"/>
    <x v="9"/>
    <n v="41"/>
    <n v="12"/>
    <x v="3"/>
    <x v="3"/>
    <s v="cashloan"/>
    <n v="0"/>
  </r>
  <r>
    <x v="279"/>
    <x v="0"/>
    <x v="9"/>
    <n v="41"/>
    <n v="12"/>
    <x v="4"/>
    <x v="4"/>
    <n v="0"/>
    <n v="18772745715"/>
  </r>
  <r>
    <x v="279"/>
    <x v="0"/>
    <x v="9"/>
    <n v="41"/>
    <n v="12"/>
    <x v="12"/>
    <x v="11"/>
    <s v="cashloan"/>
    <n v="3222050000"/>
  </r>
  <r>
    <x v="279"/>
    <x v="0"/>
    <x v="9"/>
    <n v="41"/>
    <n v="12"/>
    <x v="5"/>
    <x v="5"/>
    <s v="overdraft"/>
    <n v="3028013912"/>
  </r>
  <r>
    <x v="279"/>
    <x v="0"/>
    <x v="9"/>
    <n v="41"/>
    <n v="12"/>
    <x v="6"/>
    <x v="6"/>
    <s v="payday"/>
    <n v="48000000"/>
  </r>
  <r>
    <x v="279"/>
    <x v="0"/>
    <x v="9"/>
    <n v="41"/>
    <n v="12"/>
    <x v="2"/>
    <x v="2"/>
    <s v="cashloan"/>
    <n v="7824150000"/>
  </r>
  <r>
    <x v="279"/>
    <x v="0"/>
    <x v="9"/>
    <n v="41"/>
    <n v="12"/>
    <x v="7"/>
    <x v="7"/>
    <s v="paylater"/>
    <n v="224510008"/>
  </r>
  <r>
    <x v="279"/>
    <x v="0"/>
    <x v="9"/>
    <n v="41"/>
    <n v="12"/>
    <x v="11"/>
    <x v="10"/>
    <s v="paylater"/>
    <n v="52131795"/>
  </r>
  <r>
    <x v="279"/>
    <x v="0"/>
    <x v="9"/>
    <n v="41"/>
    <n v="12"/>
    <x v="8"/>
    <x v="8"/>
    <s v="cashloan"/>
    <n v="0"/>
  </r>
  <r>
    <x v="279"/>
    <x v="0"/>
    <x v="9"/>
    <n v="41"/>
    <n v="12"/>
    <x v="14"/>
    <x v="13"/>
    <s v="cashloan"/>
    <n v="10700000"/>
  </r>
  <r>
    <x v="279"/>
    <x v="0"/>
    <x v="9"/>
    <n v="41"/>
    <n v="12"/>
    <x v="1"/>
    <x v="1"/>
    <s v="cashloan"/>
    <n v="63000000"/>
  </r>
  <r>
    <x v="279"/>
    <x v="0"/>
    <x v="9"/>
    <n v="41"/>
    <n v="12"/>
    <x v="9"/>
    <x v="9"/>
    <s v="cashloan"/>
    <n v="12840000"/>
  </r>
  <r>
    <x v="279"/>
    <x v="0"/>
    <x v="9"/>
    <n v="41"/>
    <n v="12"/>
    <x v="10"/>
    <x v="9"/>
    <s v="cashloan"/>
    <n v="148350000"/>
  </r>
  <r>
    <x v="279"/>
    <x v="0"/>
    <x v="9"/>
    <n v="41"/>
    <n v="12"/>
    <x v="0"/>
    <x v="0"/>
    <s v="payday"/>
    <n v="4139000000"/>
  </r>
  <r>
    <x v="279"/>
    <x v="0"/>
    <x v="9"/>
    <n v="41"/>
    <n v="12"/>
    <x v="13"/>
    <x v="12"/>
    <s v="paylater"/>
    <n v="0"/>
  </r>
  <r>
    <x v="280"/>
    <x v="0"/>
    <x v="9"/>
    <n v="41"/>
    <n v="13"/>
    <x v="13"/>
    <x v="12"/>
    <s v="paylater"/>
    <n v="0"/>
  </r>
  <r>
    <x v="280"/>
    <x v="0"/>
    <x v="9"/>
    <n v="41"/>
    <n v="13"/>
    <x v="4"/>
    <x v="4"/>
    <n v="0"/>
    <n v="16871890988"/>
  </r>
  <r>
    <x v="280"/>
    <x v="0"/>
    <x v="9"/>
    <n v="41"/>
    <n v="13"/>
    <x v="14"/>
    <x v="13"/>
    <s v="cashloan"/>
    <n v="7490000"/>
  </r>
  <r>
    <x v="280"/>
    <x v="0"/>
    <x v="9"/>
    <n v="41"/>
    <n v="13"/>
    <x v="11"/>
    <x v="10"/>
    <s v="paylater"/>
    <n v="57877659"/>
  </r>
  <r>
    <x v="280"/>
    <x v="0"/>
    <x v="9"/>
    <n v="41"/>
    <n v="13"/>
    <x v="6"/>
    <x v="6"/>
    <s v="payday"/>
    <n v="58000000"/>
  </r>
  <r>
    <x v="280"/>
    <x v="0"/>
    <x v="9"/>
    <n v="41"/>
    <n v="13"/>
    <x v="8"/>
    <x v="8"/>
    <s v="cashloan"/>
    <n v="0"/>
  </r>
  <r>
    <x v="280"/>
    <x v="0"/>
    <x v="9"/>
    <n v="41"/>
    <n v="13"/>
    <x v="12"/>
    <x v="11"/>
    <s v="cashloan"/>
    <n v="3242000000"/>
  </r>
  <r>
    <x v="280"/>
    <x v="0"/>
    <x v="9"/>
    <n v="41"/>
    <n v="13"/>
    <x v="5"/>
    <x v="5"/>
    <s v="overdraft"/>
    <n v="2516802464"/>
  </r>
  <r>
    <x v="280"/>
    <x v="0"/>
    <x v="9"/>
    <n v="41"/>
    <n v="13"/>
    <x v="3"/>
    <x v="3"/>
    <s v="cashloan"/>
    <n v="20000000"/>
  </r>
  <r>
    <x v="280"/>
    <x v="0"/>
    <x v="9"/>
    <n v="41"/>
    <n v="13"/>
    <x v="1"/>
    <x v="1"/>
    <s v="cashloan"/>
    <n v="28350000"/>
  </r>
  <r>
    <x v="280"/>
    <x v="0"/>
    <x v="9"/>
    <n v="41"/>
    <n v="13"/>
    <x v="7"/>
    <x v="7"/>
    <s v="paylater"/>
    <n v="231730865"/>
  </r>
  <r>
    <x v="280"/>
    <x v="0"/>
    <x v="9"/>
    <n v="41"/>
    <n v="13"/>
    <x v="9"/>
    <x v="9"/>
    <s v="cashloan"/>
    <n v="53500000"/>
  </r>
  <r>
    <x v="280"/>
    <x v="0"/>
    <x v="9"/>
    <n v="41"/>
    <n v="13"/>
    <x v="10"/>
    <x v="9"/>
    <s v="cashloan"/>
    <n v="70620000"/>
  </r>
  <r>
    <x v="280"/>
    <x v="0"/>
    <x v="9"/>
    <n v="41"/>
    <n v="13"/>
    <x v="2"/>
    <x v="2"/>
    <s v="cashloan"/>
    <n v="6984020000"/>
  </r>
  <r>
    <x v="280"/>
    <x v="0"/>
    <x v="9"/>
    <n v="41"/>
    <n v="13"/>
    <x v="0"/>
    <x v="0"/>
    <s v="payday"/>
    <n v="3601500000"/>
  </r>
  <r>
    <x v="281"/>
    <x v="0"/>
    <x v="9"/>
    <n v="42"/>
    <n v="14"/>
    <x v="12"/>
    <x v="11"/>
    <s v="cashloan"/>
    <n v="3633460000"/>
  </r>
  <r>
    <x v="281"/>
    <x v="0"/>
    <x v="9"/>
    <n v="42"/>
    <n v="14"/>
    <x v="0"/>
    <x v="0"/>
    <s v="payday"/>
    <n v="4250500000"/>
  </r>
  <r>
    <x v="281"/>
    <x v="0"/>
    <x v="9"/>
    <n v="42"/>
    <n v="14"/>
    <x v="6"/>
    <x v="6"/>
    <s v="payday"/>
    <n v="18000000"/>
  </r>
  <r>
    <x v="281"/>
    <x v="0"/>
    <x v="9"/>
    <n v="42"/>
    <n v="14"/>
    <x v="8"/>
    <x v="8"/>
    <s v="cashloan"/>
    <n v="0"/>
  </r>
  <r>
    <x v="281"/>
    <x v="0"/>
    <x v="9"/>
    <n v="42"/>
    <n v="14"/>
    <x v="5"/>
    <x v="5"/>
    <s v="overdraft"/>
    <n v="3796717664"/>
  </r>
  <r>
    <x v="281"/>
    <x v="0"/>
    <x v="9"/>
    <n v="42"/>
    <n v="14"/>
    <x v="11"/>
    <x v="10"/>
    <s v="paylater"/>
    <n v="53510291"/>
  </r>
  <r>
    <x v="281"/>
    <x v="0"/>
    <x v="9"/>
    <n v="42"/>
    <n v="14"/>
    <x v="14"/>
    <x v="13"/>
    <s v="cashloan"/>
    <n v="26750000"/>
  </r>
  <r>
    <x v="281"/>
    <x v="0"/>
    <x v="9"/>
    <n v="42"/>
    <n v="14"/>
    <x v="3"/>
    <x v="3"/>
    <s v="cashloan"/>
    <n v="66150000"/>
  </r>
  <r>
    <x v="281"/>
    <x v="0"/>
    <x v="9"/>
    <n v="42"/>
    <n v="14"/>
    <x v="2"/>
    <x v="2"/>
    <s v="cashloan"/>
    <n v="8854990000"/>
  </r>
  <r>
    <x v="281"/>
    <x v="0"/>
    <x v="9"/>
    <n v="42"/>
    <n v="14"/>
    <x v="9"/>
    <x v="9"/>
    <s v="cashloan"/>
    <n v="10000000"/>
  </r>
  <r>
    <x v="281"/>
    <x v="0"/>
    <x v="9"/>
    <n v="42"/>
    <n v="14"/>
    <x v="10"/>
    <x v="9"/>
    <s v="cashloan"/>
    <n v="165930000"/>
  </r>
  <r>
    <x v="281"/>
    <x v="0"/>
    <x v="9"/>
    <n v="42"/>
    <n v="14"/>
    <x v="7"/>
    <x v="7"/>
    <s v="paylater"/>
    <n v="228768666"/>
  </r>
  <r>
    <x v="281"/>
    <x v="0"/>
    <x v="9"/>
    <n v="42"/>
    <n v="14"/>
    <x v="13"/>
    <x v="12"/>
    <s v="paylater"/>
    <n v="0"/>
  </r>
  <r>
    <x v="281"/>
    <x v="0"/>
    <x v="9"/>
    <n v="42"/>
    <n v="14"/>
    <x v="1"/>
    <x v="1"/>
    <s v="cashloan"/>
    <n v="31500000"/>
  </r>
  <r>
    <x v="282"/>
    <x v="0"/>
    <x v="9"/>
    <n v="42"/>
    <n v="15"/>
    <x v="0"/>
    <x v="0"/>
    <s v="payday"/>
    <n v="4882500000"/>
  </r>
  <r>
    <x v="282"/>
    <x v="0"/>
    <x v="9"/>
    <n v="42"/>
    <n v="15"/>
    <x v="1"/>
    <x v="1"/>
    <s v="cashloan"/>
    <n v="71000000"/>
  </r>
  <r>
    <x v="282"/>
    <x v="0"/>
    <x v="9"/>
    <n v="42"/>
    <n v="15"/>
    <x v="14"/>
    <x v="13"/>
    <s v="cashloan"/>
    <n v="21400000"/>
  </r>
  <r>
    <x v="282"/>
    <x v="0"/>
    <x v="9"/>
    <n v="42"/>
    <n v="15"/>
    <x v="9"/>
    <x v="9"/>
    <s v="cashloan"/>
    <n v="0"/>
  </r>
  <r>
    <x v="282"/>
    <x v="0"/>
    <x v="9"/>
    <n v="42"/>
    <n v="15"/>
    <x v="6"/>
    <x v="6"/>
    <s v="payday"/>
    <n v="46000000"/>
  </r>
  <r>
    <x v="282"/>
    <x v="0"/>
    <x v="9"/>
    <n v="42"/>
    <n v="15"/>
    <x v="10"/>
    <x v="9"/>
    <s v="cashloan"/>
    <n v="37820000"/>
  </r>
  <r>
    <x v="282"/>
    <x v="0"/>
    <x v="9"/>
    <n v="42"/>
    <n v="15"/>
    <x v="5"/>
    <x v="5"/>
    <s v="overdraft"/>
    <n v="4056070284"/>
  </r>
  <r>
    <x v="282"/>
    <x v="0"/>
    <x v="9"/>
    <n v="42"/>
    <n v="15"/>
    <x v="13"/>
    <x v="12"/>
    <s v="paylater"/>
    <n v="0"/>
  </r>
  <r>
    <x v="282"/>
    <x v="0"/>
    <x v="9"/>
    <n v="42"/>
    <n v="15"/>
    <x v="2"/>
    <x v="2"/>
    <s v="cashloan"/>
    <n v="8997190000"/>
  </r>
  <r>
    <x v="282"/>
    <x v="0"/>
    <x v="9"/>
    <n v="42"/>
    <n v="15"/>
    <x v="7"/>
    <x v="7"/>
    <s v="paylater"/>
    <n v="239740931"/>
  </r>
  <r>
    <x v="282"/>
    <x v="0"/>
    <x v="9"/>
    <n v="42"/>
    <n v="15"/>
    <x v="8"/>
    <x v="8"/>
    <s v="cashloan"/>
    <n v="0"/>
  </r>
  <r>
    <x v="282"/>
    <x v="0"/>
    <x v="9"/>
    <n v="42"/>
    <n v="15"/>
    <x v="11"/>
    <x v="10"/>
    <s v="paylater"/>
    <n v="46685454"/>
  </r>
  <r>
    <x v="282"/>
    <x v="0"/>
    <x v="9"/>
    <n v="42"/>
    <n v="15"/>
    <x v="3"/>
    <x v="3"/>
    <s v="cashloan"/>
    <n v="98750000"/>
  </r>
  <r>
    <x v="282"/>
    <x v="0"/>
    <x v="9"/>
    <n v="42"/>
    <n v="15"/>
    <x v="12"/>
    <x v="11"/>
    <s v="cashloan"/>
    <n v="3907370000"/>
  </r>
  <r>
    <x v="283"/>
    <x v="0"/>
    <x v="9"/>
    <n v="42"/>
    <n v="16"/>
    <x v="5"/>
    <x v="5"/>
    <s v="overdraft"/>
    <n v="3220466756"/>
  </r>
  <r>
    <x v="283"/>
    <x v="0"/>
    <x v="9"/>
    <n v="42"/>
    <n v="16"/>
    <x v="10"/>
    <x v="9"/>
    <s v="cashloan"/>
    <n v="57820000"/>
  </r>
  <r>
    <x v="283"/>
    <x v="0"/>
    <x v="9"/>
    <n v="42"/>
    <n v="16"/>
    <x v="12"/>
    <x v="11"/>
    <s v="cashloan"/>
    <n v="3695940000"/>
  </r>
  <r>
    <x v="283"/>
    <x v="0"/>
    <x v="9"/>
    <n v="42"/>
    <n v="16"/>
    <x v="9"/>
    <x v="9"/>
    <s v="cashloan"/>
    <n v="10700000"/>
  </r>
  <r>
    <x v="283"/>
    <x v="0"/>
    <x v="9"/>
    <n v="42"/>
    <n v="16"/>
    <x v="13"/>
    <x v="12"/>
    <s v="paylater"/>
    <n v="0"/>
  </r>
  <r>
    <x v="283"/>
    <x v="0"/>
    <x v="9"/>
    <n v="42"/>
    <n v="16"/>
    <x v="14"/>
    <x v="13"/>
    <s v="cashloan"/>
    <n v="10000000"/>
  </r>
  <r>
    <x v="283"/>
    <x v="0"/>
    <x v="9"/>
    <n v="42"/>
    <n v="16"/>
    <x v="2"/>
    <x v="2"/>
    <s v="cashloan"/>
    <n v="7857700000"/>
  </r>
  <r>
    <x v="283"/>
    <x v="0"/>
    <x v="9"/>
    <n v="42"/>
    <n v="16"/>
    <x v="0"/>
    <x v="0"/>
    <s v="payday"/>
    <n v="4917000000"/>
  </r>
  <r>
    <x v="283"/>
    <x v="0"/>
    <x v="9"/>
    <n v="42"/>
    <n v="16"/>
    <x v="6"/>
    <x v="6"/>
    <s v="payday"/>
    <n v="4000000"/>
  </r>
  <r>
    <x v="283"/>
    <x v="0"/>
    <x v="9"/>
    <n v="42"/>
    <n v="16"/>
    <x v="11"/>
    <x v="10"/>
    <s v="paylater"/>
    <n v="41691268"/>
  </r>
  <r>
    <x v="283"/>
    <x v="0"/>
    <x v="9"/>
    <n v="42"/>
    <n v="16"/>
    <x v="8"/>
    <x v="8"/>
    <s v="cashloan"/>
    <n v="0"/>
  </r>
  <r>
    <x v="283"/>
    <x v="0"/>
    <x v="9"/>
    <n v="42"/>
    <n v="16"/>
    <x v="3"/>
    <x v="3"/>
    <s v="cashloan"/>
    <n v="0"/>
  </r>
  <r>
    <x v="283"/>
    <x v="0"/>
    <x v="9"/>
    <n v="42"/>
    <n v="16"/>
    <x v="1"/>
    <x v="1"/>
    <s v="cashloan"/>
    <n v="10500000"/>
  </r>
  <r>
    <x v="283"/>
    <x v="0"/>
    <x v="9"/>
    <n v="42"/>
    <n v="16"/>
    <x v="7"/>
    <x v="7"/>
    <s v="paylater"/>
    <n v="262804168"/>
  </r>
  <r>
    <x v="284"/>
    <x v="0"/>
    <x v="9"/>
    <n v="42"/>
    <n v="17"/>
    <x v="1"/>
    <x v="1"/>
    <s v="cashloan"/>
    <n v="30500000"/>
  </r>
  <r>
    <x v="284"/>
    <x v="0"/>
    <x v="9"/>
    <n v="42"/>
    <n v="17"/>
    <x v="7"/>
    <x v="7"/>
    <s v="paylater"/>
    <n v="386736787"/>
  </r>
  <r>
    <x v="284"/>
    <x v="0"/>
    <x v="9"/>
    <n v="42"/>
    <n v="17"/>
    <x v="10"/>
    <x v="9"/>
    <s v="cashloan"/>
    <n v="36750000"/>
  </r>
  <r>
    <x v="284"/>
    <x v="0"/>
    <x v="9"/>
    <n v="42"/>
    <n v="17"/>
    <x v="14"/>
    <x v="13"/>
    <s v="cashloan"/>
    <n v="19260000"/>
  </r>
  <r>
    <x v="284"/>
    <x v="0"/>
    <x v="9"/>
    <n v="42"/>
    <n v="17"/>
    <x v="5"/>
    <x v="5"/>
    <s v="overdraft"/>
    <n v="2802876864"/>
  </r>
  <r>
    <x v="284"/>
    <x v="0"/>
    <x v="9"/>
    <n v="42"/>
    <n v="17"/>
    <x v="13"/>
    <x v="12"/>
    <s v="paylater"/>
    <n v="0"/>
  </r>
  <r>
    <x v="284"/>
    <x v="0"/>
    <x v="9"/>
    <n v="42"/>
    <n v="17"/>
    <x v="6"/>
    <x v="6"/>
    <s v="payday"/>
    <n v="31000000"/>
  </r>
  <r>
    <x v="284"/>
    <x v="0"/>
    <x v="9"/>
    <n v="42"/>
    <n v="17"/>
    <x v="12"/>
    <x v="11"/>
    <s v="cashloan"/>
    <n v="3611540000"/>
  </r>
  <r>
    <x v="284"/>
    <x v="0"/>
    <x v="9"/>
    <n v="42"/>
    <n v="17"/>
    <x v="2"/>
    <x v="2"/>
    <s v="cashloan"/>
    <n v="8364080000"/>
  </r>
  <r>
    <x v="284"/>
    <x v="0"/>
    <x v="9"/>
    <n v="42"/>
    <n v="17"/>
    <x v="0"/>
    <x v="0"/>
    <s v="payday"/>
    <n v="4731000000"/>
  </r>
  <r>
    <x v="284"/>
    <x v="0"/>
    <x v="9"/>
    <n v="42"/>
    <n v="17"/>
    <x v="8"/>
    <x v="8"/>
    <s v="cashloan"/>
    <n v="0"/>
  </r>
  <r>
    <x v="284"/>
    <x v="0"/>
    <x v="9"/>
    <n v="42"/>
    <n v="17"/>
    <x v="9"/>
    <x v="9"/>
    <s v="cashloan"/>
    <n v="20000000"/>
  </r>
  <r>
    <x v="284"/>
    <x v="0"/>
    <x v="9"/>
    <n v="42"/>
    <n v="17"/>
    <x v="11"/>
    <x v="10"/>
    <s v="paylater"/>
    <n v="36179581"/>
  </r>
  <r>
    <x v="284"/>
    <x v="0"/>
    <x v="9"/>
    <n v="42"/>
    <n v="17"/>
    <x v="3"/>
    <x v="3"/>
    <s v="cashloan"/>
    <n v="13650000"/>
  </r>
  <r>
    <x v="285"/>
    <x v="0"/>
    <x v="9"/>
    <n v="42"/>
    <n v="18"/>
    <x v="1"/>
    <x v="1"/>
    <s v="cashloan"/>
    <n v="21000000"/>
  </r>
  <r>
    <x v="285"/>
    <x v="0"/>
    <x v="9"/>
    <n v="42"/>
    <n v="18"/>
    <x v="9"/>
    <x v="9"/>
    <s v="cashloan"/>
    <n v="0"/>
  </r>
  <r>
    <x v="285"/>
    <x v="0"/>
    <x v="9"/>
    <n v="42"/>
    <n v="18"/>
    <x v="3"/>
    <x v="3"/>
    <s v="cashloan"/>
    <n v="31500000"/>
  </r>
  <r>
    <x v="285"/>
    <x v="0"/>
    <x v="9"/>
    <n v="42"/>
    <n v="18"/>
    <x v="10"/>
    <x v="9"/>
    <s v="cashloan"/>
    <n v="70620000"/>
  </r>
  <r>
    <x v="285"/>
    <x v="0"/>
    <x v="9"/>
    <n v="42"/>
    <n v="18"/>
    <x v="13"/>
    <x v="12"/>
    <s v="paylater"/>
    <n v="0"/>
  </r>
  <r>
    <x v="285"/>
    <x v="0"/>
    <x v="9"/>
    <n v="42"/>
    <n v="18"/>
    <x v="0"/>
    <x v="0"/>
    <s v="payday"/>
    <n v="4401500000"/>
  </r>
  <r>
    <x v="285"/>
    <x v="0"/>
    <x v="9"/>
    <n v="42"/>
    <n v="18"/>
    <x v="7"/>
    <x v="7"/>
    <s v="paylater"/>
    <n v="307556045"/>
  </r>
  <r>
    <x v="285"/>
    <x v="0"/>
    <x v="9"/>
    <n v="42"/>
    <n v="18"/>
    <x v="14"/>
    <x v="13"/>
    <s v="cashloan"/>
    <n v="12840000"/>
  </r>
  <r>
    <x v="285"/>
    <x v="0"/>
    <x v="9"/>
    <n v="42"/>
    <n v="18"/>
    <x v="6"/>
    <x v="6"/>
    <s v="payday"/>
    <n v="78000000"/>
  </r>
  <r>
    <x v="285"/>
    <x v="0"/>
    <x v="9"/>
    <n v="42"/>
    <n v="18"/>
    <x v="2"/>
    <x v="2"/>
    <s v="cashloan"/>
    <n v="8549010000"/>
  </r>
  <r>
    <x v="285"/>
    <x v="0"/>
    <x v="9"/>
    <n v="42"/>
    <n v="18"/>
    <x v="12"/>
    <x v="11"/>
    <s v="cashloan"/>
    <n v="3338290000"/>
  </r>
  <r>
    <x v="285"/>
    <x v="0"/>
    <x v="9"/>
    <n v="42"/>
    <n v="18"/>
    <x v="5"/>
    <x v="5"/>
    <s v="overdraft"/>
    <n v="3009403693"/>
  </r>
  <r>
    <x v="285"/>
    <x v="0"/>
    <x v="9"/>
    <n v="42"/>
    <n v="18"/>
    <x v="8"/>
    <x v="8"/>
    <s v="cashloan"/>
    <n v="0"/>
  </r>
  <r>
    <x v="285"/>
    <x v="0"/>
    <x v="9"/>
    <n v="42"/>
    <n v="18"/>
    <x v="11"/>
    <x v="10"/>
    <s v="paylater"/>
    <n v="43633368"/>
  </r>
  <r>
    <x v="286"/>
    <x v="0"/>
    <x v="9"/>
    <n v="42"/>
    <n v="19"/>
    <x v="11"/>
    <x v="10"/>
    <s v="paylater"/>
    <n v="49301437"/>
  </r>
  <r>
    <x v="286"/>
    <x v="0"/>
    <x v="9"/>
    <n v="42"/>
    <n v="19"/>
    <x v="10"/>
    <x v="9"/>
    <s v="cashloan"/>
    <n v="27820000"/>
  </r>
  <r>
    <x v="286"/>
    <x v="0"/>
    <x v="9"/>
    <n v="42"/>
    <n v="19"/>
    <x v="3"/>
    <x v="3"/>
    <s v="cashloan"/>
    <n v="0"/>
  </r>
  <r>
    <x v="286"/>
    <x v="0"/>
    <x v="9"/>
    <n v="42"/>
    <n v="19"/>
    <x v="13"/>
    <x v="12"/>
    <s v="paylater"/>
    <n v="0"/>
  </r>
  <r>
    <x v="286"/>
    <x v="0"/>
    <x v="9"/>
    <n v="42"/>
    <n v="19"/>
    <x v="12"/>
    <x v="11"/>
    <s v="cashloan"/>
    <n v="3178390000"/>
  </r>
  <r>
    <x v="286"/>
    <x v="0"/>
    <x v="9"/>
    <n v="42"/>
    <n v="19"/>
    <x v="7"/>
    <x v="7"/>
    <s v="paylater"/>
    <n v="333906331"/>
  </r>
  <r>
    <x v="286"/>
    <x v="0"/>
    <x v="9"/>
    <n v="42"/>
    <n v="19"/>
    <x v="14"/>
    <x v="13"/>
    <s v="cashloan"/>
    <n v="12840000"/>
  </r>
  <r>
    <x v="286"/>
    <x v="0"/>
    <x v="9"/>
    <n v="42"/>
    <n v="19"/>
    <x v="6"/>
    <x v="6"/>
    <s v="payday"/>
    <n v="15000000"/>
  </r>
  <r>
    <x v="286"/>
    <x v="0"/>
    <x v="9"/>
    <n v="42"/>
    <n v="19"/>
    <x v="8"/>
    <x v="8"/>
    <s v="cashloan"/>
    <n v="0"/>
  </r>
  <r>
    <x v="286"/>
    <x v="0"/>
    <x v="9"/>
    <n v="42"/>
    <n v="19"/>
    <x v="1"/>
    <x v="1"/>
    <s v="cashloan"/>
    <n v="103950000"/>
  </r>
  <r>
    <x v="286"/>
    <x v="0"/>
    <x v="9"/>
    <n v="42"/>
    <n v="19"/>
    <x v="0"/>
    <x v="0"/>
    <s v="payday"/>
    <n v="4646000000"/>
  </r>
  <r>
    <x v="286"/>
    <x v="0"/>
    <x v="9"/>
    <n v="42"/>
    <n v="19"/>
    <x v="2"/>
    <x v="2"/>
    <s v="cashloan"/>
    <n v="8499280000"/>
  </r>
  <r>
    <x v="286"/>
    <x v="0"/>
    <x v="9"/>
    <n v="42"/>
    <n v="19"/>
    <x v="5"/>
    <x v="5"/>
    <s v="overdraft"/>
    <n v="2846412817"/>
  </r>
  <r>
    <x v="286"/>
    <x v="0"/>
    <x v="9"/>
    <n v="42"/>
    <n v="19"/>
    <x v="9"/>
    <x v="9"/>
    <s v="cashloan"/>
    <n v="6420000"/>
  </r>
  <r>
    <x v="287"/>
    <x v="0"/>
    <x v="9"/>
    <n v="42"/>
    <n v="20"/>
    <x v="8"/>
    <x v="8"/>
    <s v="cashloan"/>
    <n v="0"/>
  </r>
  <r>
    <x v="287"/>
    <x v="0"/>
    <x v="9"/>
    <n v="42"/>
    <n v="20"/>
    <x v="3"/>
    <x v="3"/>
    <s v="cashloan"/>
    <n v="0"/>
  </r>
  <r>
    <x v="287"/>
    <x v="0"/>
    <x v="9"/>
    <n v="42"/>
    <n v="20"/>
    <x v="5"/>
    <x v="5"/>
    <s v="overdraft"/>
    <n v="2936509666"/>
  </r>
  <r>
    <x v="287"/>
    <x v="0"/>
    <x v="9"/>
    <n v="42"/>
    <n v="20"/>
    <x v="1"/>
    <x v="1"/>
    <s v="cashloan"/>
    <n v="31500000"/>
  </r>
  <r>
    <x v="287"/>
    <x v="0"/>
    <x v="9"/>
    <n v="42"/>
    <n v="20"/>
    <x v="11"/>
    <x v="10"/>
    <s v="paylater"/>
    <n v="60493446"/>
  </r>
  <r>
    <x v="287"/>
    <x v="0"/>
    <x v="9"/>
    <n v="42"/>
    <n v="20"/>
    <x v="9"/>
    <x v="9"/>
    <s v="cashloan"/>
    <n v="6420000"/>
  </r>
  <r>
    <x v="287"/>
    <x v="0"/>
    <x v="9"/>
    <n v="42"/>
    <n v="20"/>
    <x v="6"/>
    <x v="6"/>
    <s v="payday"/>
    <n v="35000000"/>
  </r>
  <r>
    <x v="287"/>
    <x v="0"/>
    <x v="9"/>
    <n v="42"/>
    <n v="20"/>
    <x v="13"/>
    <x v="12"/>
    <s v="paylater"/>
    <n v="0"/>
  </r>
  <r>
    <x v="287"/>
    <x v="0"/>
    <x v="9"/>
    <n v="42"/>
    <n v="20"/>
    <x v="14"/>
    <x v="13"/>
    <s v="cashloan"/>
    <n v="37680000"/>
  </r>
  <r>
    <x v="287"/>
    <x v="0"/>
    <x v="9"/>
    <n v="42"/>
    <n v="20"/>
    <x v="10"/>
    <x v="9"/>
    <s v="cashloan"/>
    <n v="48520000"/>
  </r>
  <r>
    <x v="287"/>
    <x v="0"/>
    <x v="9"/>
    <n v="42"/>
    <n v="20"/>
    <x v="12"/>
    <x v="11"/>
    <s v="cashloan"/>
    <n v="3064790000"/>
  </r>
  <r>
    <x v="287"/>
    <x v="0"/>
    <x v="9"/>
    <n v="42"/>
    <n v="20"/>
    <x v="7"/>
    <x v="7"/>
    <s v="paylater"/>
    <n v="276830642"/>
  </r>
  <r>
    <x v="287"/>
    <x v="0"/>
    <x v="9"/>
    <n v="42"/>
    <n v="20"/>
    <x v="2"/>
    <x v="2"/>
    <s v="cashloan"/>
    <n v="7318570000"/>
  </r>
  <r>
    <x v="287"/>
    <x v="0"/>
    <x v="9"/>
    <n v="42"/>
    <n v="20"/>
    <x v="0"/>
    <x v="0"/>
    <s v="payday"/>
    <n v="4293500000"/>
  </r>
  <r>
    <x v="288"/>
    <x v="0"/>
    <x v="9"/>
    <n v="43"/>
    <n v="21"/>
    <x v="8"/>
    <x v="8"/>
    <s v="cashloan"/>
    <n v="0"/>
  </r>
  <r>
    <x v="288"/>
    <x v="0"/>
    <x v="9"/>
    <n v="43"/>
    <n v="21"/>
    <x v="2"/>
    <x v="2"/>
    <s v="cashloan"/>
    <n v="8566110000"/>
  </r>
  <r>
    <x v="288"/>
    <x v="0"/>
    <x v="9"/>
    <n v="43"/>
    <n v="21"/>
    <x v="6"/>
    <x v="6"/>
    <s v="payday"/>
    <n v="24000000"/>
  </r>
  <r>
    <x v="288"/>
    <x v="0"/>
    <x v="9"/>
    <n v="43"/>
    <n v="21"/>
    <x v="9"/>
    <x v="9"/>
    <s v="cashloan"/>
    <n v="0"/>
  </r>
  <r>
    <x v="288"/>
    <x v="0"/>
    <x v="9"/>
    <n v="43"/>
    <n v="21"/>
    <x v="14"/>
    <x v="13"/>
    <s v="cashloan"/>
    <n v="10700000"/>
  </r>
  <r>
    <x v="288"/>
    <x v="0"/>
    <x v="9"/>
    <n v="43"/>
    <n v="21"/>
    <x v="12"/>
    <x v="11"/>
    <s v="cashloan"/>
    <n v="1607810000"/>
  </r>
  <r>
    <x v="288"/>
    <x v="0"/>
    <x v="9"/>
    <n v="43"/>
    <n v="21"/>
    <x v="13"/>
    <x v="12"/>
    <s v="paylater"/>
    <n v="0"/>
  </r>
  <r>
    <x v="288"/>
    <x v="0"/>
    <x v="9"/>
    <n v="43"/>
    <n v="21"/>
    <x v="11"/>
    <x v="10"/>
    <s v="paylater"/>
    <n v="46377289"/>
  </r>
  <r>
    <x v="288"/>
    <x v="0"/>
    <x v="9"/>
    <n v="43"/>
    <n v="21"/>
    <x v="7"/>
    <x v="7"/>
    <s v="paylater"/>
    <n v="363870763"/>
  </r>
  <r>
    <x v="288"/>
    <x v="0"/>
    <x v="9"/>
    <n v="43"/>
    <n v="21"/>
    <x v="5"/>
    <x v="5"/>
    <s v="overdraft"/>
    <n v="3545992383"/>
  </r>
  <r>
    <x v="288"/>
    <x v="0"/>
    <x v="9"/>
    <n v="43"/>
    <n v="21"/>
    <x v="3"/>
    <x v="3"/>
    <s v="cashloan"/>
    <n v="45150000"/>
  </r>
  <r>
    <x v="288"/>
    <x v="0"/>
    <x v="9"/>
    <n v="43"/>
    <n v="21"/>
    <x v="1"/>
    <x v="1"/>
    <s v="cashloan"/>
    <n v="30450000"/>
  </r>
  <r>
    <x v="288"/>
    <x v="0"/>
    <x v="9"/>
    <n v="43"/>
    <n v="21"/>
    <x v="0"/>
    <x v="0"/>
    <s v="payday"/>
    <n v="4081000000"/>
  </r>
  <r>
    <x v="288"/>
    <x v="0"/>
    <x v="9"/>
    <n v="43"/>
    <n v="21"/>
    <x v="10"/>
    <x v="9"/>
    <s v="cashloan"/>
    <n v="72760000"/>
  </r>
  <r>
    <x v="289"/>
    <x v="0"/>
    <x v="9"/>
    <n v="43"/>
    <n v="22"/>
    <x v="7"/>
    <x v="7"/>
    <s v="paylater"/>
    <n v="307454014"/>
  </r>
  <r>
    <x v="289"/>
    <x v="0"/>
    <x v="9"/>
    <n v="43"/>
    <n v="22"/>
    <x v="11"/>
    <x v="10"/>
    <s v="paylater"/>
    <n v="38812912"/>
  </r>
  <r>
    <x v="289"/>
    <x v="0"/>
    <x v="9"/>
    <n v="43"/>
    <n v="22"/>
    <x v="5"/>
    <x v="5"/>
    <s v="overdraft"/>
    <n v="3140135365"/>
  </r>
  <r>
    <x v="289"/>
    <x v="0"/>
    <x v="9"/>
    <n v="43"/>
    <n v="22"/>
    <x v="9"/>
    <x v="9"/>
    <s v="cashloan"/>
    <n v="0"/>
  </r>
  <r>
    <x v="289"/>
    <x v="0"/>
    <x v="9"/>
    <n v="43"/>
    <n v="22"/>
    <x v="13"/>
    <x v="12"/>
    <s v="paylater"/>
    <n v="0"/>
  </r>
  <r>
    <x v="289"/>
    <x v="0"/>
    <x v="9"/>
    <n v="43"/>
    <n v="22"/>
    <x v="2"/>
    <x v="2"/>
    <s v="cashloan"/>
    <n v="8061310000"/>
  </r>
  <r>
    <x v="289"/>
    <x v="0"/>
    <x v="9"/>
    <n v="43"/>
    <n v="22"/>
    <x v="10"/>
    <x v="9"/>
    <s v="cashloan"/>
    <n v="98440000"/>
  </r>
  <r>
    <x v="289"/>
    <x v="0"/>
    <x v="9"/>
    <n v="43"/>
    <n v="22"/>
    <x v="0"/>
    <x v="0"/>
    <s v="payday"/>
    <n v="3998500000"/>
  </r>
  <r>
    <x v="289"/>
    <x v="0"/>
    <x v="9"/>
    <n v="43"/>
    <n v="22"/>
    <x v="14"/>
    <x v="13"/>
    <s v="cashloan"/>
    <n v="59540000"/>
  </r>
  <r>
    <x v="289"/>
    <x v="0"/>
    <x v="9"/>
    <n v="43"/>
    <n v="22"/>
    <x v="6"/>
    <x v="6"/>
    <s v="payday"/>
    <n v="49000000"/>
  </r>
  <r>
    <x v="289"/>
    <x v="0"/>
    <x v="9"/>
    <n v="43"/>
    <n v="22"/>
    <x v="8"/>
    <x v="8"/>
    <s v="cashloan"/>
    <n v="0"/>
  </r>
  <r>
    <x v="289"/>
    <x v="0"/>
    <x v="9"/>
    <n v="43"/>
    <n v="22"/>
    <x v="12"/>
    <x v="11"/>
    <s v="cashloan"/>
    <n v="2195140000"/>
  </r>
  <r>
    <x v="289"/>
    <x v="0"/>
    <x v="9"/>
    <n v="43"/>
    <n v="22"/>
    <x v="3"/>
    <x v="3"/>
    <s v="cashloan"/>
    <n v="53550000"/>
  </r>
  <r>
    <x v="289"/>
    <x v="0"/>
    <x v="9"/>
    <n v="43"/>
    <n v="22"/>
    <x v="1"/>
    <x v="1"/>
    <s v="cashloan"/>
    <n v="31500000"/>
  </r>
  <r>
    <x v="290"/>
    <x v="0"/>
    <x v="9"/>
    <n v="43"/>
    <n v="23"/>
    <x v="12"/>
    <x v="11"/>
    <s v="cashloan"/>
    <n v="4135320000"/>
  </r>
  <r>
    <x v="290"/>
    <x v="0"/>
    <x v="9"/>
    <n v="43"/>
    <n v="23"/>
    <x v="9"/>
    <x v="9"/>
    <s v="cashloan"/>
    <n v="27820000"/>
  </r>
  <r>
    <x v="290"/>
    <x v="0"/>
    <x v="9"/>
    <n v="43"/>
    <n v="23"/>
    <x v="2"/>
    <x v="2"/>
    <s v="cashloan"/>
    <n v="8854990000"/>
  </r>
  <r>
    <x v="290"/>
    <x v="0"/>
    <x v="9"/>
    <n v="43"/>
    <n v="23"/>
    <x v="10"/>
    <x v="9"/>
    <s v="cashloan"/>
    <n v="156560000"/>
  </r>
  <r>
    <x v="290"/>
    <x v="0"/>
    <x v="9"/>
    <n v="43"/>
    <n v="23"/>
    <x v="13"/>
    <x v="12"/>
    <s v="paylater"/>
    <n v="10000"/>
  </r>
  <r>
    <x v="290"/>
    <x v="0"/>
    <x v="9"/>
    <n v="43"/>
    <n v="23"/>
    <x v="11"/>
    <x v="10"/>
    <s v="paylater"/>
    <n v="44037609"/>
  </r>
  <r>
    <x v="290"/>
    <x v="0"/>
    <x v="9"/>
    <n v="43"/>
    <n v="23"/>
    <x v="8"/>
    <x v="8"/>
    <s v="cashloan"/>
    <n v="0"/>
  </r>
  <r>
    <x v="290"/>
    <x v="0"/>
    <x v="9"/>
    <n v="43"/>
    <n v="23"/>
    <x v="14"/>
    <x v="13"/>
    <s v="cashloan"/>
    <n v="96290000"/>
  </r>
  <r>
    <x v="290"/>
    <x v="0"/>
    <x v="9"/>
    <n v="43"/>
    <n v="23"/>
    <x v="5"/>
    <x v="5"/>
    <s v="overdraft"/>
    <n v="3071888567"/>
  </r>
  <r>
    <x v="290"/>
    <x v="0"/>
    <x v="9"/>
    <n v="43"/>
    <n v="23"/>
    <x v="0"/>
    <x v="0"/>
    <s v="payday"/>
    <n v="4166000000"/>
  </r>
  <r>
    <x v="290"/>
    <x v="0"/>
    <x v="9"/>
    <n v="43"/>
    <n v="23"/>
    <x v="7"/>
    <x v="7"/>
    <s v="paylater"/>
    <n v="258181947"/>
  </r>
  <r>
    <x v="290"/>
    <x v="0"/>
    <x v="9"/>
    <n v="43"/>
    <n v="23"/>
    <x v="6"/>
    <x v="6"/>
    <s v="payday"/>
    <n v="72000000"/>
  </r>
  <r>
    <x v="290"/>
    <x v="0"/>
    <x v="9"/>
    <n v="43"/>
    <n v="23"/>
    <x v="3"/>
    <x v="3"/>
    <s v="cashloan"/>
    <n v="61200000"/>
  </r>
  <r>
    <x v="290"/>
    <x v="0"/>
    <x v="9"/>
    <n v="43"/>
    <n v="23"/>
    <x v="1"/>
    <x v="1"/>
    <s v="cashloan"/>
    <n v="63000000"/>
  </r>
  <r>
    <x v="291"/>
    <x v="0"/>
    <x v="9"/>
    <n v="43"/>
    <n v="24"/>
    <x v="2"/>
    <x v="2"/>
    <s v="cashloan"/>
    <n v="7201440000"/>
  </r>
  <r>
    <x v="291"/>
    <x v="0"/>
    <x v="9"/>
    <n v="43"/>
    <n v="24"/>
    <x v="10"/>
    <x v="9"/>
    <s v="cashloan"/>
    <n v="95460000"/>
  </r>
  <r>
    <x v="291"/>
    <x v="0"/>
    <x v="9"/>
    <n v="43"/>
    <n v="24"/>
    <x v="1"/>
    <x v="1"/>
    <s v="cashloan"/>
    <n v="21000000"/>
  </r>
  <r>
    <x v="291"/>
    <x v="0"/>
    <x v="9"/>
    <n v="43"/>
    <n v="24"/>
    <x v="14"/>
    <x v="13"/>
    <s v="cashloan"/>
    <n v="119090000"/>
  </r>
  <r>
    <x v="291"/>
    <x v="0"/>
    <x v="9"/>
    <n v="43"/>
    <n v="24"/>
    <x v="0"/>
    <x v="0"/>
    <s v="payday"/>
    <n v="3876000000"/>
  </r>
  <r>
    <x v="291"/>
    <x v="0"/>
    <x v="9"/>
    <n v="43"/>
    <n v="24"/>
    <x v="3"/>
    <x v="3"/>
    <s v="cashloan"/>
    <n v="36750000"/>
  </r>
  <r>
    <x v="291"/>
    <x v="0"/>
    <x v="9"/>
    <n v="43"/>
    <n v="24"/>
    <x v="7"/>
    <x v="7"/>
    <s v="paylater"/>
    <n v="346532803"/>
  </r>
  <r>
    <x v="291"/>
    <x v="0"/>
    <x v="9"/>
    <n v="43"/>
    <n v="24"/>
    <x v="9"/>
    <x v="9"/>
    <s v="cashloan"/>
    <n v="0"/>
  </r>
  <r>
    <x v="291"/>
    <x v="0"/>
    <x v="9"/>
    <n v="43"/>
    <n v="24"/>
    <x v="13"/>
    <x v="12"/>
    <s v="paylater"/>
    <n v="40000"/>
  </r>
  <r>
    <x v="291"/>
    <x v="0"/>
    <x v="9"/>
    <n v="43"/>
    <n v="24"/>
    <x v="11"/>
    <x v="10"/>
    <s v="paylater"/>
    <n v="43172817"/>
  </r>
  <r>
    <x v="291"/>
    <x v="0"/>
    <x v="9"/>
    <n v="43"/>
    <n v="24"/>
    <x v="12"/>
    <x v="11"/>
    <s v="cashloan"/>
    <n v="3770260000"/>
  </r>
  <r>
    <x v="291"/>
    <x v="0"/>
    <x v="9"/>
    <n v="43"/>
    <n v="24"/>
    <x v="6"/>
    <x v="6"/>
    <s v="payday"/>
    <n v="43000000"/>
  </r>
  <r>
    <x v="291"/>
    <x v="0"/>
    <x v="9"/>
    <n v="43"/>
    <n v="24"/>
    <x v="8"/>
    <x v="8"/>
    <s v="cashloan"/>
    <n v="0"/>
  </r>
  <r>
    <x v="291"/>
    <x v="0"/>
    <x v="9"/>
    <n v="43"/>
    <n v="24"/>
    <x v="5"/>
    <x v="5"/>
    <s v="overdraft"/>
    <n v="2641340633"/>
  </r>
  <r>
    <x v="292"/>
    <x v="0"/>
    <x v="9"/>
    <n v="43"/>
    <n v="25"/>
    <x v="8"/>
    <x v="8"/>
    <s v="cashloan"/>
    <n v="0"/>
  </r>
  <r>
    <x v="292"/>
    <x v="0"/>
    <x v="9"/>
    <n v="43"/>
    <n v="25"/>
    <x v="14"/>
    <x v="13"/>
    <s v="cashloan"/>
    <n v="165090000"/>
  </r>
  <r>
    <x v="292"/>
    <x v="0"/>
    <x v="9"/>
    <n v="43"/>
    <n v="25"/>
    <x v="2"/>
    <x v="2"/>
    <s v="cashloan"/>
    <n v="6074690000"/>
  </r>
  <r>
    <x v="292"/>
    <x v="0"/>
    <x v="9"/>
    <n v="43"/>
    <n v="25"/>
    <x v="6"/>
    <x v="6"/>
    <s v="payday"/>
    <n v="101000000"/>
  </r>
  <r>
    <x v="292"/>
    <x v="0"/>
    <x v="9"/>
    <n v="43"/>
    <n v="25"/>
    <x v="13"/>
    <x v="12"/>
    <s v="paylater"/>
    <n v="20000"/>
  </r>
  <r>
    <x v="292"/>
    <x v="0"/>
    <x v="9"/>
    <n v="43"/>
    <n v="25"/>
    <x v="9"/>
    <x v="9"/>
    <s v="cashloan"/>
    <n v="10700000"/>
  </r>
  <r>
    <x v="292"/>
    <x v="0"/>
    <x v="9"/>
    <n v="43"/>
    <n v="25"/>
    <x v="10"/>
    <x v="9"/>
    <s v="cashloan"/>
    <n v="49220000"/>
  </r>
  <r>
    <x v="292"/>
    <x v="0"/>
    <x v="9"/>
    <n v="43"/>
    <n v="25"/>
    <x v="11"/>
    <x v="10"/>
    <s v="paylater"/>
    <n v="43904328"/>
  </r>
  <r>
    <x v="292"/>
    <x v="0"/>
    <x v="9"/>
    <n v="43"/>
    <n v="25"/>
    <x v="7"/>
    <x v="7"/>
    <s v="paylater"/>
    <n v="311668904"/>
  </r>
  <r>
    <x v="292"/>
    <x v="0"/>
    <x v="9"/>
    <n v="43"/>
    <n v="25"/>
    <x v="0"/>
    <x v="0"/>
    <s v="payday"/>
    <n v="4260000000"/>
  </r>
  <r>
    <x v="292"/>
    <x v="0"/>
    <x v="9"/>
    <n v="43"/>
    <n v="25"/>
    <x v="12"/>
    <x v="11"/>
    <s v="cashloan"/>
    <n v="4157460000"/>
  </r>
  <r>
    <x v="292"/>
    <x v="0"/>
    <x v="9"/>
    <n v="43"/>
    <n v="25"/>
    <x v="3"/>
    <x v="3"/>
    <s v="cashloan"/>
    <n v="0"/>
  </r>
  <r>
    <x v="292"/>
    <x v="0"/>
    <x v="9"/>
    <n v="43"/>
    <n v="25"/>
    <x v="1"/>
    <x v="1"/>
    <s v="cashloan"/>
    <n v="67500000"/>
  </r>
  <r>
    <x v="292"/>
    <x v="0"/>
    <x v="9"/>
    <n v="43"/>
    <n v="25"/>
    <x v="5"/>
    <x v="5"/>
    <s v="overdraft"/>
    <n v="3313590098"/>
  </r>
  <r>
    <x v="293"/>
    <x v="0"/>
    <x v="9"/>
    <n v="43"/>
    <n v="26"/>
    <x v="12"/>
    <x v="11"/>
    <s v="cashloan"/>
    <n v="3225340000"/>
  </r>
  <r>
    <x v="293"/>
    <x v="0"/>
    <x v="9"/>
    <n v="43"/>
    <n v="26"/>
    <x v="0"/>
    <x v="0"/>
    <s v="payday"/>
    <n v="3792000000"/>
  </r>
  <r>
    <x v="293"/>
    <x v="0"/>
    <x v="9"/>
    <n v="43"/>
    <n v="26"/>
    <x v="2"/>
    <x v="2"/>
    <s v="cashloan"/>
    <n v="4662510000"/>
  </r>
  <r>
    <x v="293"/>
    <x v="0"/>
    <x v="9"/>
    <n v="43"/>
    <n v="26"/>
    <x v="5"/>
    <x v="5"/>
    <s v="overdraft"/>
    <n v="2720533274"/>
  </r>
  <r>
    <x v="293"/>
    <x v="0"/>
    <x v="9"/>
    <n v="43"/>
    <n v="26"/>
    <x v="6"/>
    <x v="6"/>
    <s v="payday"/>
    <n v="50000000"/>
  </r>
  <r>
    <x v="293"/>
    <x v="0"/>
    <x v="9"/>
    <n v="43"/>
    <n v="26"/>
    <x v="13"/>
    <x v="12"/>
    <s v="paylater"/>
    <n v="0"/>
  </r>
  <r>
    <x v="293"/>
    <x v="0"/>
    <x v="9"/>
    <n v="43"/>
    <n v="26"/>
    <x v="14"/>
    <x v="13"/>
    <s v="cashloan"/>
    <n v="94940000"/>
  </r>
  <r>
    <x v="293"/>
    <x v="0"/>
    <x v="9"/>
    <n v="43"/>
    <n v="26"/>
    <x v="11"/>
    <x v="10"/>
    <s v="paylater"/>
    <n v="51068519"/>
  </r>
  <r>
    <x v="293"/>
    <x v="0"/>
    <x v="9"/>
    <n v="43"/>
    <n v="26"/>
    <x v="7"/>
    <x v="7"/>
    <s v="paylater"/>
    <n v="312308692"/>
  </r>
  <r>
    <x v="293"/>
    <x v="0"/>
    <x v="9"/>
    <n v="43"/>
    <n v="26"/>
    <x v="10"/>
    <x v="9"/>
    <s v="cashloan"/>
    <n v="102020000"/>
  </r>
  <r>
    <x v="293"/>
    <x v="0"/>
    <x v="9"/>
    <n v="43"/>
    <n v="26"/>
    <x v="3"/>
    <x v="3"/>
    <s v="cashloan"/>
    <n v="31500000"/>
  </r>
  <r>
    <x v="293"/>
    <x v="0"/>
    <x v="9"/>
    <n v="43"/>
    <n v="26"/>
    <x v="1"/>
    <x v="1"/>
    <s v="cashloan"/>
    <n v="73500000"/>
  </r>
  <r>
    <x v="293"/>
    <x v="0"/>
    <x v="9"/>
    <n v="43"/>
    <n v="26"/>
    <x v="8"/>
    <x v="8"/>
    <s v="cashloan"/>
    <n v="0"/>
  </r>
  <r>
    <x v="293"/>
    <x v="0"/>
    <x v="9"/>
    <n v="43"/>
    <n v="26"/>
    <x v="9"/>
    <x v="9"/>
    <s v="cashloan"/>
    <n v="0"/>
  </r>
  <r>
    <x v="294"/>
    <x v="0"/>
    <x v="9"/>
    <n v="43"/>
    <n v="27"/>
    <x v="3"/>
    <x v="3"/>
    <s v="cashloan"/>
    <n v="10500000"/>
  </r>
  <r>
    <x v="294"/>
    <x v="0"/>
    <x v="9"/>
    <n v="43"/>
    <n v="27"/>
    <x v="1"/>
    <x v="1"/>
    <s v="cashloan"/>
    <n v="56750000"/>
  </r>
  <r>
    <x v="294"/>
    <x v="0"/>
    <x v="9"/>
    <n v="43"/>
    <n v="27"/>
    <x v="0"/>
    <x v="0"/>
    <s v="payday"/>
    <n v="3782500000"/>
  </r>
  <r>
    <x v="294"/>
    <x v="0"/>
    <x v="9"/>
    <n v="43"/>
    <n v="27"/>
    <x v="10"/>
    <x v="9"/>
    <s v="cashloan"/>
    <n v="72100000"/>
  </r>
  <r>
    <x v="294"/>
    <x v="0"/>
    <x v="9"/>
    <n v="43"/>
    <n v="27"/>
    <x v="2"/>
    <x v="2"/>
    <s v="cashloan"/>
    <n v="4626730000"/>
  </r>
  <r>
    <x v="294"/>
    <x v="0"/>
    <x v="9"/>
    <n v="43"/>
    <n v="27"/>
    <x v="9"/>
    <x v="9"/>
    <s v="cashloan"/>
    <n v="0"/>
  </r>
  <r>
    <x v="294"/>
    <x v="0"/>
    <x v="9"/>
    <n v="43"/>
    <n v="27"/>
    <x v="14"/>
    <x v="13"/>
    <s v="cashloan"/>
    <n v="122370000"/>
  </r>
  <r>
    <x v="294"/>
    <x v="0"/>
    <x v="9"/>
    <n v="43"/>
    <n v="27"/>
    <x v="13"/>
    <x v="12"/>
    <s v="paylater"/>
    <n v="0"/>
  </r>
  <r>
    <x v="294"/>
    <x v="0"/>
    <x v="9"/>
    <n v="43"/>
    <n v="27"/>
    <x v="11"/>
    <x v="10"/>
    <s v="paylater"/>
    <n v="60428535"/>
  </r>
  <r>
    <x v="294"/>
    <x v="0"/>
    <x v="9"/>
    <n v="43"/>
    <n v="27"/>
    <x v="6"/>
    <x v="6"/>
    <s v="payday"/>
    <n v="51000000"/>
  </r>
  <r>
    <x v="294"/>
    <x v="0"/>
    <x v="9"/>
    <n v="43"/>
    <n v="27"/>
    <x v="8"/>
    <x v="8"/>
    <s v="cashloan"/>
    <n v="0"/>
  </r>
  <r>
    <x v="294"/>
    <x v="0"/>
    <x v="9"/>
    <n v="43"/>
    <n v="27"/>
    <x v="5"/>
    <x v="5"/>
    <s v="overdraft"/>
    <n v="2949547990"/>
  </r>
  <r>
    <x v="294"/>
    <x v="0"/>
    <x v="9"/>
    <n v="43"/>
    <n v="27"/>
    <x v="7"/>
    <x v="7"/>
    <s v="paylater"/>
    <n v="286676536"/>
  </r>
  <r>
    <x v="294"/>
    <x v="0"/>
    <x v="9"/>
    <n v="43"/>
    <n v="27"/>
    <x v="12"/>
    <x v="11"/>
    <s v="cashloan"/>
    <n v="3089700000"/>
  </r>
  <r>
    <x v="295"/>
    <x v="0"/>
    <x v="9"/>
    <n v="44"/>
    <n v="28"/>
    <x v="7"/>
    <x v="7"/>
    <s v="paylater"/>
    <n v="311926906"/>
  </r>
  <r>
    <x v="295"/>
    <x v="0"/>
    <x v="9"/>
    <n v="44"/>
    <n v="28"/>
    <x v="13"/>
    <x v="12"/>
    <s v="paylater"/>
    <n v="10000"/>
  </r>
  <r>
    <x v="295"/>
    <x v="0"/>
    <x v="9"/>
    <n v="44"/>
    <n v="28"/>
    <x v="0"/>
    <x v="0"/>
    <s v="payday"/>
    <n v="3791000000"/>
  </r>
  <r>
    <x v="295"/>
    <x v="0"/>
    <x v="9"/>
    <n v="44"/>
    <n v="28"/>
    <x v="9"/>
    <x v="9"/>
    <s v="cashloan"/>
    <n v="10700000"/>
  </r>
  <r>
    <x v="295"/>
    <x v="0"/>
    <x v="9"/>
    <n v="44"/>
    <n v="28"/>
    <x v="10"/>
    <x v="9"/>
    <s v="cashloan"/>
    <n v="126530000"/>
  </r>
  <r>
    <x v="295"/>
    <x v="0"/>
    <x v="9"/>
    <n v="44"/>
    <n v="28"/>
    <x v="14"/>
    <x v="13"/>
    <s v="cashloan"/>
    <n v="127250000"/>
  </r>
  <r>
    <x v="295"/>
    <x v="0"/>
    <x v="9"/>
    <n v="44"/>
    <n v="28"/>
    <x v="8"/>
    <x v="8"/>
    <s v="cashloan"/>
    <n v="0"/>
  </r>
  <r>
    <x v="295"/>
    <x v="0"/>
    <x v="9"/>
    <n v="44"/>
    <n v="28"/>
    <x v="6"/>
    <x v="6"/>
    <s v="payday"/>
    <n v="77000000"/>
  </r>
  <r>
    <x v="295"/>
    <x v="0"/>
    <x v="9"/>
    <n v="44"/>
    <n v="28"/>
    <x v="11"/>
    <x v="10"/>
    <s v="paylater"/>
    <n v="55840640"/>
  </r>
  <r>
    <x v="295"/>
    <x v="0"/>
    <x v="9"/>
    <n v="44"/>
    <n v="28"/>
    <x v="2"/>
    <x v="2"/>
    <s v="cashloan"/>
    <n v="5499250000"/>
  </r>
  <r>
    <x v="295"/>
    <x v="0"/>
    <x v="9"/>
    <n v="44"/>
    <n v="28"/>
    <x v="12"/>
    <x v="11"/>
    <s v="cashloan"/>
    <n v="3274510000"/>
  </r>
  <r>
    <x v="295"/>
    <x v="0"/>
    <x v="9"/>
    <n v="44"/>
    <n v="28"/>
    <x v="3"/>
    <x v="3"/>
    <s v="cashloan"/>
    <n v="10500000"/>
  </r>
  <r>
    <x v="295"/>
    <x v="0"/>
    <x v="9"/>
    <n v="44"/>
    <n v="28"/>
    <x v="1"/>
    <x v="1"/>
    <s v="cashloan"/>
    <n v="41000000"/>
  </r>
  <r>
    <x v="295"/>
    <x v="0"/>
    <x v="9"/>
    <n v="44"/>
    <n v="28"/>
    <x v="5"/>
    <x v="5"/>
    <s v="overdraft"/>
    <n v="2777585315"/>
  </r>
  <r>
    <x v="296"/>
    <x v="0"/>
    <x v="9"/>
    <n v="44"/>
    <n v="29"/>
    <x v="3"/>
    <x v="3"/>
    <s v="cashloan"/>
    <n v="79800000"/>
  </r>
  <r>
    <x v="296"/>
    <x v="0"/>
    <x v="9"/>
    <n v="44"/>
    <n v="29"/>
    <x v="11"/>
    <x v="10"/>
    <s v="paylater"/>
    <n v="52435769"/>
  </r>
  <r>
    <x v="296"/>
    <x v="0"/>
    <x v="9"/>
    <n v="44"/>
    <n v="29"/>
    <x v="1"/>
    <x v="1"/>
    <s v="cashloan"/>
    <n v="83000000"/>
  </r>
  <r>
    <x v="296"/>
    <x v="0"/>
    <x v="9"/>
    <n v="44"/>
    <n v="29"/>
    <x v="12"/>
    <x v="11"/>
    <s v="cashloan"/>
    <n v="4126250000"/>
  </r>
  <r>
    <x v="296"/>
    <x v="0"/>
    <x v="9"/>
    <n v="44"/>
    <n v="29"/>
    <x v="13"/>
    <x v="12"/>
    <s v="paylater"/>
    <n v="0"/>
  </r>
  <r>
    <x v="296"/>
    <x v="0"/>
    <x v="9"/>
    <n v="44"/>
    <n v="29"/>
    <x v="9"/>
    <x v="9"/>
    <s v="cashloan"/>
    <n v="15000000"/>
  </r>
  <r>
    <x v="296"/>
    <x v="0"/>
    <x v="9"/>
    <n v="44"/>
    <n v="29"/>
    <x v="0"/>
    <x v="0"/>
    <s v="payday"/>
    <n v="3458000000"/>
  </r>
  <r>
    <x v="296"/>
    <x v="0"/>
    <x v="9"/>
    <n v="44"/>
    <n v="29"/>
    <x v="7"/>
    <x v="7"/>
    <s v="paylater"/>
    <n v="275572391"/>
  </r>
  <r>
    <x v="296"/>
    <x v="0"/>
    <x v="9"/>
    <n v="44"/>
    <n v="29"/>
    <x v="10"/>
    <x v="9"/>
    <s v="cashloan"/>
    <n v="73500000"/>
  </r>
  <r>
    <x v="296"/>
    <x v="0"/>
    <x v="9"/>
    <n v="44"/>
    <n v="29"/>
    <x v="6"/>
    <x v="6"/>
    <s v="payday"/>
    <n v="41000000"/>
  </r>
  <r>
    <x v="296"/>
    <x v="0"/>
    <x v="9"/>
    <n v="44"/>
    <n v="29"/>
    <x v="5"/>
    <x v="5"/>
    <s v="overdraft"/>
    <n v="3238427560"/>
  </r>
  <r>
    <x v="296"/>
    <x v="0"/>
    <x v="9"/>
    <n v="44"/>
    <n v="29"/>
    <x v="14"/>
    <x v="13"/>
    <s v="cashloan"/>
    <n v="175140000"/>
  </r>
  <r>
    <x v="296"/>
    <x v="0"/>
    <x v="9"/>
    <n v="44"/>
    <n v="29"/>
    <x v="8"/>
    <x v="8"/>
    <s v="cashloan"/>
    <n v="0"/>
  </r>
  <r>
    <x v="296"/>
    <x v="0"/>
    <x v="9"/>
    <n v="44"/>
    <n v="29"/>
    <x v="2"/>
    <x v="2"/>
    <s v="cashloan"/>
    <n v="6089530000"/>
  </r>
  <r>
    <x v="297"/>
    <x v="0"/>
    <x v="9"/>
    <n v="44"/>
    <n v="30"/>
    <x v="7"/>
    <x v="7"/>
    <s v="paylater"/>
    <n v="311154360"/>
  </r>
  <r>
    <x v="297"/>
    <x v="0"/>
    <x v="9"/>
    <n v="44"/>
    <n v="30"/>
    <x v="10"/>
    <x v="9"/>
    <s v="cashloan"/>
    <n v="80250000"/>
  </r>
  <r>
    <x v="297"/>
    <x v="0"/>
    <x v="9"/>
    <n v="44"/>
    <n v="30"/>
    <x v="3"/>
    <x v="3"/>
    <s v="cashloan"/>
    <n v="62000000"/>
  </r>
  <r>
    <x v="297"/>
    <x v="0"/>
    <x v="9"/>
    <n v="44"/>
    <n v="30"/>
    <x v="13"/>
    <x v="12"/>
    <s v="paylater"/>
    <n v="66000"/>
  </r>
  <r>
    <x v="297"/>
    <x v="0"/>
    <x v="9"/>
    <n v="44"/>
    <n v="30"/>
    <x v="14"/>
    <x v="13"/>
    <s v="cashloan"/>
    <n v="195490000"/>
  </r>
  <r>
    <x v="297"/>
    <x v="0"/>
    <x v="9"/>
    <n v="44"/>
    <n v="30"/>
    <x v="9"/>
    <x v="9"/>
    <s v="cashloan"/>
    <n v="0"/>
  </r>
  <r>
    <x v="297"/>
    <x v="0"/>
    <x v="9"/>
    <n v="44"/>
    <n v="30"/>
    <x v="8"/>
    <x v="8"/>
    <s v="cashloan"/>
    <n v="0"/>
  </r>
  <r>
    <x v="297"/>
    <x v="0"/>
    <x v="9"/>
    <n v="44"/>
    <n v="30"/>
    <x v="6"/>
    <x v="6"/>
    <s v="payday"/>
    <n v="56000000"/>
  </r>
  <r>
    <x v="297"/>
    <x v="0"/>
    <x v="9"/>
    <n v="44"/>
    <n v="30"/>
    <x v="12"/>
    <x v="11"/>
    <s v="cashloan"/>
    <n v="4806330000"/>
  </r>
  <r>
    <x v="297"/>
    <x v="0"/>
    <x v="9"/>
    <n v="44"/>
    <n v="30"/>
    <x v="0"/>
    <x v="0"/>
    <s v="payday"/>
    <n v="3949500000"/>
  </r>
  <r>
    <x v="297"/>
    <x v="0"/>
    <x v="9"/>
    <n v="44"/>
    <n v="30"/>
    <x v="5"/>
    <x v="5"/>
    <s v="overdraft"/>
    <n v="3434092682"/>
  </r>
  <r>
    <x v="297"/>
    <x v="0"/>
    <x v="9"/>
    <n v="44"/>
    <n v="30"/>
    <x v="11"/>
    <x v="10"/>
    <s v="paylater"/>
    <n v="46819934"/>
  </r>
  <r>
    <x v="297"/>
    <x v="0"/>
    <x v="9"/>
    <n v="44"/>
    <n v="30"/>
    <x v="1"/>
    <x v="1"/>
    <s v="cashloan"/>
    <n v="73500000"/>
  </r>
  <r>
    <x v="297"/>
    <x v="0"/>
    <x v="9"/>
    <n v="44"/>
    <n v="30"/>
    <x v="2"/>
    <x v="2"/>
    <s v="cashloan"/>
    <n v="5598280000"/>
  </r>
  <r>
    <x v="298"/>
    <x v="0"/>
    <x v="9"/>
    <n v="44"/>
    <n v="31"/>
    <x v="3"/>
    <x v="3"/>
    <s v="cashloan"/>
    <n v="60900000"/>
  </r>
  <r>
    <x v="298"/>
    <x v="0"/>
    <x v="9"/>
    <n v="44"/>
    <n v="31"/>
    <x v="14"/>
    <x v="13"/>
    <s v="cashloan"/>
    <n v="328420000"/>
  </r>
  <r>
    <x v="298"/>
    <x v="0"/>
    <x v="9"/>
    <n v="44"/>
    <n v="31"/>
    <x v="1"/>
    <x v="1"/>
    <s v="cashloan"/>
    <n v="65150000"/>
  </r>
  <r>
    <x v="298"/>
    <x v="0"/>
    <x v="9"/>
    <n v="44"/>
    <n v="31"/>
    <x v="7"/>
    <x v="7"/>
    <s v="paylater"/>
    <n v="288101325"/>
  </r>
  <r>
    <x v="298"/>
    <x v="0"/>
    <x v="9"/>
    <n v="44"/>
    <n v="31"/>
    <x v="11"/>
    <x v="10"/>
    <s v="paylater"/>
    <n v="53306201"/>
  </r>
  <r>
    <x v="298"/>
    <x v="0"/>
    <x v="9"/>
    <n v="44"/>
    <n v="31"/>
    <x v="12"/>
    <x v="11"/>
    <s v="cashloan"/>
    <n v="4450600000"/>
  </r>
  <r>
    <x v="298"/>
    <x v="0"/>
    <x v="9"/>
    <n v="44"/>
    <n v="31"/>
    <x v="13"/>
    <x v="12"/>
    <s v="paylater"/>
    <n v="0"/>
  </r>
  <r>
    <x v="298"/>
    <x v="0"/>
    <x v="9"/>
    <n v="44"/>
    <n v="31"/>
    <x v="15"/>
    <x v="14"/>
    <s v="paylater"/>
    <n v="12000"/>
  </r>
  <r>
    <x v="298"/>
    <x v="0"/>
    <x v="9"/>
    <n v="44"/>
    <n v="31"/>
    <x v="5"/>
    <x v="5"/>
    <s v="overdraft"/>
    <n v="3948052108"/>
  </r>
  <r>
    <x v="298"/>
    <x v="0"/>
    <x v="9"/>
    <n v="44"/>
    <n v="31"/>
    <x v="2"/>
    <x v="2"/>
    <s v="cashloan"/>
    <n v="5491700000"/>
  </r>
  <r>
    <x v="298"/>
    <x v="0"/>
    <x v="9"/>
    <n v="44"/>
    <n v="31"/>
    <x v="16"/>
    <x v="9"/>
    <s v="cashloan"/>
    <n v="20000000"/>
  </r>
  <r>
    <x v="298"/>
    <x v="0"/>
    <x v="9"/>
    <n v="44"/>
    <n v="31"/>
    <x v="10"/>
    <x v="9"/>
    <s v="cashloan"/>
    <n v="55220000"/>
  </r>
  <r>
    <x v="298"/>
    <x v="0"/>
    <x v="9"/>
    <n v="44"/>
    <n v="31"/>
    <x v="9"/>
    <x v="9"/>
    <s v="cashloan"/>
    <n v="20000000"/>
  </r>
  <r>
    <x v="298"/>
    <x v="0"/>
    <x v="9"/>
    <n v="44"/>
    <n v="31"/>
    <x v="8"/>
    <x v="8"/>
    <s v="cashloan"/>
    <n v="0"/>
  </r>
  <r>
    <x v="298"/>
    <x v="0"/>
    <x v="9"/>
    <n v="44"/>
    <n v="31"/>
    <x v="6"/>
    <x v="6"/>
    <s v="payday"/>
    <n v="43000000"/>
  </r>
  <r>
    <x v="298"/>
    <x v="0"/>
    <x v="9"/>
    <n v="44"/>
    <n v="31"/>
    <x v="0"/>
    <x v="0"/>
    <s v="payday"/>
    <n v="4355000000"/>
  </r>
  <r>
    <x v="299"/>
    <x v="0"/>
    <x v="10"/>
    <n v="44"/>
    <n v="1"/>
    <x v="11"/>
    <x v="10"/>
    <s v="paylater"/>
    <n v="72128740"/>
  </r>
  <r>
    <x v="299"/>
    <x v="0"/>
    <x v="10"/>
    <n v="44"/>
    <n v="1"/>
    <x v="12"/>
    <x v="11"/>
    <s v="cashloan"/>
    <n v="4424630000"/>
  </r>
  <r>
    <x v="299"/>
    <x v="0"/>
    <x v="10"/>
    <n v="44"/>
    <n v="1"/>
    <x v="7"/>
    <x v="7"/>
    <s v="paylater"/>
    <n v="397240483"/>
  </r>
  <r>
    <x v="299"/>
    <x v="0"/>
    <x v="10"/>
    <n v="44"/>
    <n v="1"/>
    <x v="8"/>
    <x v="8"/>
    <s v="cashloan"/>
    <n v="20000000"/>
  </r>
  <r>
    <x v="299"/>
    <x v="0"/>
    <x v="10"/>
    <n v="44"/>
    <n v="1"/>
    <x v="6"/>
    <x v="6"/>
    <s v="payday"/>
    <n v="23000000"/>
  </r>
  <r>
    <x v="299"/>
    <x v="0"/>
    <x v="10"/>
    <n v="44"/>
    <n v="1"/>
    <x v="0"/>
    <x v="0"/>
    <s v="payday"/>
    <n v="3843500000"/>
  </r>
  <r>
    <x v="299"/>
    <x v="0"/>
    <x v="10"/>
    <n v="44"/>
    <n v="1"/>
    <x v="2"/>
    <x v="2"/>
    <s v="cashloan"/>
    <n v="5123210000"/>
  </r>
  <r>
    <x v="299"/>
    <x v="0"/>
    <x v="10"/>
    <n v="44"/>
    <n v="1"/>
    <x v="5"/>
    <x v="5"/>
    <s v="overdraft"/>
    <n v="5890083935"/>
  </r>
  <r>
    <x v="299"/>
    <x v="0"/>
    <x v="10"/>
    <n v="44"/>
    <n v="1"/>
    <x v="13"/>
    <x v="12"/>
    <s v="paylater"/>
    <n v="0"/>
  </r>
  <r>
    <x v="299"/>
    <x v="0"/>
    <x v="10"/>
    <n v="44"/>
    <n v="1"/>
    <x v="15"/>
    <x v="14"/>
    <s v="paylater"/>
    <n v="15240"/>
  </r>
  <r>
    <x v="299"/>
    <x v="0"/>
    <x v="10"/>
    <n v="44"/>
    <n v="1"/>
    <x v="16"/>
    <x v="9"/>
    <s v="cashloan"/>
    <n v="6420000"/>
  </r>
  <r>
    <x v="299"/>
    <x v="0"/>
    <x v="10"/>
    <n v="44"/>
    <n v="1"/>
    <x v="9"/>
    <x v="9"/>
    <s v="cashloan"/>
    <n v="31400000"/>
  </r>
  <r>
    <x v="299"/>
    <x v="0"/>
    <x v="10"/>
    <n v="44"/>
    <n v="1"/>
    <x v="3"/>
    <x v="3"/>
    <s v="cashloan"/>
    <n v="21000000"/>
  </r>
  <r>
    <x v="299"/>
    <x v="0"/>
    <x v="10"/>
    <n v="44"/>
    <n v="1"/>
    <x v="1"/>
    <x v="1"/>
    <s v="cashloan"/>
    <n v="46750000"/>
  </r>
  <r>
    <x v="299"/>
    <x v="0"/>
    <x v="10"/>
    <n v="44"/>
    <n v="1"/>
    <x v="10"/>
    <x v="9"/>
    <s v="cashloan"/>
    <n v="40660000"/>
  </r>
  <r>
    <x v="299"/>
    <x v="0"/>
    <x v="10"/>
    <n v="44"/>
    <n v="1"/>
    <x v="14"/>
    <x v="13"/>
    <s v="cashloan"/>
    <n v="366440000"/>
  </r>
  <r>
    <x v="300"/>
    <x v="0"/>
    <x v="10"/>
    <n v="44"/>
    <n v="2"/>
    <x v="10"/>
    <x v="9"/>
    <s v="cashloan"/>
    <n v="78110000"/>
  </r>
  <r>
    <x v="300"/>
    <x v="0"/>
    <x v="10"/>
    <n v="44"/>
    <n v="2"/>
    <x v="11"/>
    <x v="10"/>
    <s v="paylater"/>
    <n v="63597986"/>
  </r>
  <r>
    <x v="300"/>
    <x v="0"/>
    <x v="10"/>
    <n v="44"/>
    <n v="2"/>
    <x v="3"/>
    <x v="3"/>
    <s v="cashloan"/>
    <n v="120250000"/>
  </r>
  <r>
    <x v="300"/>
    <x v="0"/>
    <x v="10"/>
    <n v="44"/>
    <n v="2"/>
    <x v="15"/>
    <x v="14"/>
    <s v="paylater"/>
    <n v="0"/>
  </r>
  <r>
    <x v="300"/>
    <x v="0"/>
    <x v="10"/>
    <n v="44"/>
    <n v="2"/>
    <x v="1"/>
    <x v="1"/>
    <s v="cashloan"/>
    <n v="63000000"/>
  </r>
  <r>
    <x v="300"/>
    <x v="0"/>
    <x v="10"/>
    <n v="44"/>
    <n v="2"/>
    <x v="16"/>
    <x v="9"/>
    <s v="cashloan"/>
    <n v="0"/>
  </r>
  <r>
    <x v="300"/>
    <x v="0"/>
    <x v="10"/>
    <n v="44"/>
    <n v="2"/>
    <x v="9"/>
    <x v="9"/>
    <s v="cashloan"/>
    <n v="16050000"/>
  </r>
  <r>
    <x v="300"/>
    <x v="0"/>
    <x v="10"/>
    <n v="44"/>
    <n v="2"/>
    <x v="13"/>
    <x v="12"/>
    <s v="paylater"/>
    <n v="0"/>
  </r>
  <r>
    <x v="300"/>
    <x v="0"/>
    <x v="10"/>
    <n v="44"/>
    <n v="2"/>
    <x v="5"/>
    <x v="5"/>
    <s v="overdraft"/>
    <n v="4521156693"/>
  </r>
  <r>
    <x v="300"/>
    <x v="0"/>
    <x v="10"/>
    <n v="44"/>
    <n v="2"/>
    <x v="8"/>
    <x v="8"/>
    <s v="cashloan"/>
    <n v="0"/>
  </r>
  <r>
    <x v="300"/>
    <x v="0"/>
    <x v="10"/>
    <n v="44"/>
    <n v="2"/>
    <x v="0"/>
    <x v="0"/>
    <s v="payday"/>
    <n v="3826000000"/>
  </r>
  <r>
    <x v="300"/>
    <x v="0"/>
    <x v="10"/>
    <n v="44"/>
    <n v="2"/>
    <x v="2"/>
    <x v="2"/>
    <s v="cashloan"/>
    <n v="5423500000"/>
  </r>
  <r>
    <x v="300"/>
    <x v="0"/>
    <x v="10"/>
    <n v="44"/>
    <n v="2"/>
    <x v="6"/>
    <x v="6"/>
    <s v="payday"/>
    <n v="41000000"/>
  </r>
  <r>
    <x v="300"/>
    <x v="0"/>
    <x v="10"/>
    <n v="44"/>
    <n v="2"/>
    <x v="7"/>
    <x v="7"/>
    <s v="paylater"/>
    <n v="376911765"/>
  </r>
  <r>
    <x v="300"/>
    <x v="0"/>
    <x v="10"/>
    <n v="44"/>
    <n v="2"/>
    <x v="12"/>
    <x v="11"/>
    <s v="cashloan"/>
    <n v="3668320000"/>
  </r>
  <r>
    <x v="300"/>
    <x v="0"/>
    <x v="10"/>
    <n v="44"/>
    <n v="2"/>
    <x v="14"/>
    <x v="13"/>
    <s v="cashloan"/>
    <n v="363210000"/>
  </r>
  <r>
    <x v="301"/>
    <x v="0"/>
    <x v="10"/>
    <n v="44"/>
    <n v="3"/>
    <x v="1"/>
    <x v="1"/>
    <s v="cashloan"/>
    <n v="52000000"/>
  </r>
  <r>
    <x v="301"/>
    <x v="0"/>
    <x v="10"/>
    <n v="44"/>
    <n v="3"/>
    <x v="9"/>
    <x v="9"/>
    <s v="cashloan"/>
    <n v="21400000"/>
  </r>
  <r>
    <x v="301"/>
    <x v="0"/>
    <x v="10"/>
    <n v="44"/>
    <n v="3"/>
    <x v="14"/>
    <x v="13"/>
    <s v="cashloan"/>
    <n v="474010000"/>
  </r>
  <r>
    <x v="301"/>
    <x v="0"/>
    <x v="10"/>
    <n v="44"/>
    <n v="3"/>
    <x v="13"/>
    <x v="12"/>
    <s v="paylater"/>
    <n v="0"/>
  </r>
  <r>
    <x v="301"/>
    <x v="0"/>
    <x v="10"/>
    <n v="44"/>
    <n v="3"/>
    <x v="3"/>
    <x v="3"/>
    <s v="cashloan"/>
    <n v="0"/>
  </r>
  <r>
    <x v="301"/>
    <x v="0"/>
    <x v="10"/>
    <n v="44"/>
    <n v="3"/>
    <x v="16"/>
    <x v="9"/>
    <s v="cashloan"/>
    <n v="0"/>
  </r>
  <r>
    <x v="301"/>
    <x v="0"/>
    <x v="10"/>
    <n v="44"/>
    <n v="3"/>
    <x v="6"/>
    <x v="6"/>
    <s v="payday"/>
    <n v="60000000"/>
  </r>
  <r>
    <x v="301"/>
    <x v="0"/>
    <x v="10"/>
    <n v="44"/>
    <n v="3"/>
    <x v="10"/>
    <x v="9"/>
    <s v="cashloan"/>
    <n v="79920000"/>
  </r>
  <r>
    <x v="301"/>
    <x v="0"/>
    <x v="10"/>
    <n v="44"/>
    <n v="3"/>
    <x v="0"/>
    <x v="0"/>
    <s v="payday"/>
    <n v="3896500000"/>
  </r>
  <r>
    <x v="301"/>
    <x v="0"/>
    <x v="10"/>
    <n v="44"/>
    <n v="3"/>
    <x v="7"/>
    <x v="7"/>
    <s v="paylater"/>
    <n v="437681972"/>
  </r>
  <r>
    <x v="301"/>
    <x v="0"/>
    <x v="10"/>
    <n v="44"/>
    <n v="3"/>
    <x v="8"/>
    <x v="8"/>
    <s v="cashloan"/>
    <n v="0"/>
  </r>
  <r>
    <x v="301"/>
    <x v="0"/>
    <x v="10"/>
    <n v="44"/>
    <n v="3"/>
    <x v="2"/>
    <x v="2"/>
    <s v="cashloan"/>
    <n v="4963520000"/>
  </r>
  <r>
    <x v="301"/>
    <x v="0"/>
    <x v="10"/>
    <n v="44"/>
    <n v="3"/>
    <x v="11"/>
    <x v="10"/>
    <s v="paylater"/>
    <n v="75651751"/>
  </r>
  <r>
    <x v="301"/>
    <x v="0"/>
    <x v="10"/>
    <n v="44"/>
    <n v="3"/>
    <x v="12"/>
    <x v="11"/>
    <s v="cashloan"/>
    <n v="3758390000"/>
  </r>
  <r>
    <x v="301"/>
    <x v="0"/>
    <x v="10"/>
    <n v="44"/>
    <n v="3"/>
    <x v="5"/>
    <x v="5"/>
    <s v="overdraft"/>
    <n v="3399202352"/>
  </r>
  <r>
    <x v="301"/>
    <x v="0"/>
    <x v="10"/>
    <n v="44"/>
    <n v="3"/>
    <x v="15"/>
    <x v="14"/>
    <s v="paylater"/>
    <n v="0"/>
  </r>
  <r>
    <x v="302"/>
    <x v="0"/>
    <x v="10"/>
    <n v="45"/>
    <n v="4"/>
    <x v="9"/>
    <x v="9"/>
    <s v="cashloan"/>
    <n v="16050000"/>
  </r>
  <r>
    <x v="302"/>
    <x v="0"/>
    <x v="10"/>
    <n v="45"/>
    <n v="4"/>
    <x v="14"/>
    <x v="13"/>
    <s v="cashloan"/>
    <n v="350610000"/>
  </r>
  <r>
    <x v="302"/>
    <x v="0"/>
    <x v="10"/>
    <n v="45"/>
    <n v="4"/>
    <x v="7"/>
    <x v="7"/>
    <s v="paylater"/>
    <n v="594523663"/>
  </r>
  <r>
    <x v="302"/>
    <x v="0"/>
    <x v="10"/>
    <n v="45"/>
    <n v="4"/>
    <x v="3"/>
    <x v="3"/>
    <s v="cashloan"/>
    <n v="108150000"/>
  </r>
  <r>
    <x v="302"/>
    <x v="0"/>
    <x v="10"/>
    <n v="45"/>
    <n v="4"/>
    <x v="5"/>
    <x v="5"/>
    <s v="overdraft"/>
    <n v="5046602882"/>
  </r>
  <r>
    <x v="302"/>
    <x v="0"/>
    <x v="10"/>
    <n v="45"/>
    <n v="4"/>
    <x v="15"/>
    <x v="14"/>
    <s v="paylater"/>
    <n v="232601"/>
  </r>
  <r>
    <x v="302"/>
    <x v="0"/>
    <x v="10"/>
    <n v="45"/>
    <n v="4"/>
    <x v="13"/>
    <x v="12"/>
    <s v="paylater"/>
    <n v="0"/>
  </r>
  <r>
    <x v="302"/>
    <x v="0"/>
    <x v="10"/>
    <n v="45"/>
    <n v="4"/>
    <x v="8"/>
    <x v="8"/>
    <s v="cashloan"/>
    <n v="0"/>
  </r>
  <r>
    <x v="302"/>
    <x v="0"/>
    <x v="10"/>
    <n v="45"/>
    <n v="4"/>
    <x v="0"/>
    <x v="0"/>
    <s v="payday"/>
    <n v="4615500000"/>
  </r>
  <r>
    <x v="302"/>
    <x v="0"/>
    <x v="10"/>
    <n v="45"/>
    <n v="4"/>
    <x v="12"/>
    <x v="11"/>
    <s v="cashloan"/>
    <n v="5290480000"/>
  </r>
  <r>
    <x v="302"/>
    <x v="0"/>
    <x v="10"/>
    <n v="45"/>
    <n v="4"/>
    <x v="16"/>
    <x v="9"/>
    <s v="cashloan"/>
    <n v="49220000"/>
  </r>
  <r>
    <x v="302"/>
    <x v="0"/>
    <x v="10"/>
    <n v="45"/>
    <n v="4"/>
    <x v="2"/>
    <x v="2"/>
    <s v="cashloan"/>
    <n v="7390680000"/>
  </r>
  <r>
    <x v="302"/>
    <x v="0"/>
    <x v="10"/>
    <n v="45"/>
    <n v="4"/>
    <x v="6"/>
    <x v="6"/>
    <s v="payday"/>
    <n v="56000000"/>
  </r>
  <r>
    <x v="302"/>
    <x v="0"/>
    <x v="10"/>
    <n v="45"/>
    <n v="4"/>
    <x v="11"/>
    <x v="10"/>
    <s v="paylater"/>
    <n v="124579998"/>
  </r>
  <r>
    <x v="302"/>
    <x v="0"/>
    <x v="10"/>
    <n v="45"/>
    <n v="4"/>
    <x v="10"/>
    <x v="9"/>
    <s v="cashloan"/>
    <n v="46420000"/>
  </r>
  <r>
    <x v="302"/>
    <x v="0"/>
    <x v="10"/>
    <n v="45"/>
    <n v="4"/>
    <x v="1"/>
    <x v="1"/>
    <s v="cashloan"/>
    <n v="89250000"/>
  </r>
  <r>
    <x v="303"/>
    <x v="0"/>
    <x v="10"/>
    <n v="45"/>
    <n v="5"/>
    <x v="16"/>
    <x v="9"/>
    <s v="cashloan"/>
    <n v="56050000"/>
  </r>
  <r>
    <x v="303"/>
    <x v="0"/>
    <x v="10"/>
    <n v="45"/>
    <n v="5"/>
    <x v="12"/>
    <x v="11"/>
    <s v="cashloan"/>
    <n v="5263490000"/>
  </r>
  <r>
    <x v="303"/>
    <x v="0"/>
    <x v="10"/>
    <n v="45"/>
    <n v="5"/>
    <x v="9"/>
    <x v="9"/>
    <s v="cashloan"/>
    <n v="31400000"/>
  </r>
  <r>
    <x v="303"/>
    <x v="0"/>
    <x v="10"/>
    <n v="45"/>
    <n v="5"/>
    <x v="14"/>
    <x v="13"/>
    <s v="cashloan"/>
    <n v="172640000"/>
  </r>
  <r>
    <x v="303"/>
    <x v="0"/>
    <x v="10"/>
    <n v="45"/>
    <n v="5"/>
    <x v="5"/>
    <x v="5"/>
    <s v="overdraft"/>
    <n v="4456354905"/>
  </r>
  <r>
    <x v="303"/>
    <x v="0"/>
    <x v="10"/>
    <n v="45"/>
    <n v="5"/>
    <x v="13"/>
    <x v="12"/>
    <s v="paylater"/>
    <n v="0"/>
  </r>
  <r>
    <x v="303"/>
    <x v="0"/>
    <x v="10"/>
    <n v="45"/>
    <n v="5"/>
    <x v="15"/>
    <x v="14"/>
    <s v="paylater"/>
    <n v="221101"/>
  </r>
  <r>
    <x v="303"/>
    <x v="0"/>
    <x v="10"/>
    <n v="45"/>
    <n v="5"/>
    <x v="2"/>
    <x v="2"/>
    <s v="cashloan"/>
    <n v="6997160000"/>
  </r>
  <r>
    <x v="303"/>
    <x v="0"/>
    <x v="10"/>
    <n v="45"/>
    <n v="5"/>
    <x v="10"/>
    <x v="9"/>
    <s v="cashloan"/>
    <n v="52100000"/>
  </r>
  <r>
    <x v="303"/>
    <x v="0"/>
    <x v="10"/>
    <n v="45"/>
    <n v="5"/>
    <x v="8"/>
    <x v="8"/>
    <s v="cashloan"/>
    <n v="0"/>
  </r>
  <r>
    <x v="303"/>
    <x v="0"/>
    <x v="10"/>
    <n v="45"/>
    <n v="5"/>
    <x v="7"/>
    <x v="7"/>
    <s v="paylater"/>
    <n v="651345155"/>
  </r>
  <r>
    <x v="303"/>
    <x v="0"/>
    <x v="10"/>
    <n v="45"/>
    <n v="5"/>
    <x v="0"/>
    <x v="0"/>
    <s v="payday"/>
    <n v="4439500000"/>
  </r>
  <r>
    <x v="303"/>
    <x v="0"/>
    <x v="10"/>
    <n v="45"/>
    <n v="5"/>
    <x v="11"/>
    <x v="10"/>
    <s v="paylater"/>
    <n v="123911105"/>
  </r>
  <r>
    <x v="303"/>
    <x v="0"/>
    <x v="10"/>
    <n v="45"/>
    <n v="5"/>
    <x v="6"/>
    <x v="6"/>
    <s v="payday"/>
    <n v="70000000"/>
  </r>
  <r>
    <x v="303"/>
    <x v="0"/>
    <x v="10"/>
    <n v="45"/>
    <n v="5"/>
    <x v="3"/>
    <x v="3"/>
    <s v="cashloan"/>
    <n v="56700000"/>
  </r>
  <r>
    <x v="303"/>
    <x v="0"/>
    <x v="10"/>
    <n v="45"/>
    <n v="5"/>
    <x v="1"/>
    <x v="1"/>
    <s v="cashloan"/>
    <n v="115600000"/>
  </r>
  <r>
    <x v="304"/>
    <x v="0"/>
    <x v="10"/>
    <n v="45"/>
    <n v="6"/>
    <x v="11"/>
    <x v="10"/>
    <s v="paylater"/>
    <n v="112612595"/>
  </r>
  <r>
    <x v="304"/>
    <x v="0"/>
    <x v="10"/>
    <n v="45"/>
    <n v="6"/>
    <x v="6"/>
    <x v="6"/>
    <s v="payday"/>
    <n v="29000000"/>
  </r>
  <r>
    <x v="304"/>
    <x v="0"/>
    <x v="10"/>
    <n v="45"/>
    <n v="6"/>
    <x v="12"/>
    <x v="11"/>
    <s v="cashloan"/>
    <n v="4973030000"/>
  </r>
  <r>
    <x v="304"/>
    <x v="0"/>
    <x v="10"/>
    <n v="45"/>
    <n v="6"/>
    <x v="7"/>
    <x v="7"/>
    <s v="paylater"/>
    <n v="501372720"/>
  </r>
  <r>
    <x v="304"/>
    <x v="0"/>
    <x v="10"/>
    <n v="45"/>
    <n v="6"/>
    <x v="3"/>
    <x v="3"/>
    <s v="cashloan"/>
    <n v="52500000"/>
  </r>
  <r>
    <x v="304"/>
    <x v="0"/>
    <x v="10"/>
    <n v="45"/>
    <n v="6"/>
    <x v="1"/>
    <x v="1"/>
    <s v="cashloan"/>
    <n v="74550000"/>
  </r>
  <r>
    <x v="304"/>
    <x v="0"/>
    <x v="10"/>
    <n v="45"/>
    <n v="6"/>
    <x v="0"/>
    <x v="0"/>
    <s v="payday"/>
    <n v="4266000000"/>
  </r>
  <r>
    <x v="304"/>
    <x v="0"/>
    <x v="10"/>
    <n v="45"/>
    <n v="6"/>
    <x v="2"/>
    <x v="2"/>
    <s v="cashloan"/>
    <n v="6946640000"/>
  </r>
  <r>
    <x v="304"/>
    <x v="0"/>
    <x v="10"/>
    <n v="45"/>
    <n v="6"/>
    <x v="13"/>
    <x v="12"/>
    <s v="paylater"/>
    <n v="0"/>
  </r>
  <r>
    <x v="304"/>
    <x v="0"/>
    <x v="10"/>
    <n v="45"/>
    <n v="6"/>
    <x v="15"/>
    <x v="14"/>
    <s v="paylater"/>
    <n v="866503"/>
  </r>
  <r>
    <x v="304"/>
    <x v="0"/>
    <x v="10"/>
    <n v="45"/>
    <n v="6"/>
    <x v="14"/>
    <x v="13"/>
    <s v="cashloan"/>
    <n v="241460000"/>
  </r>
  <r>
    <x v="304"/>
    <x v="0"/>
    <x v="10"/>
    <n v="45"/>
    <n v="6"/>
    <x v="5"/>
    <x v="5"/>
    <s v="overdraft"/>
    <n v="3643657657"/>
  </r>
  <r>
    <x v="304"/>
    <x v="0"/>
    <x v="10"/>
    <n v="45"/>
    <n v="6"/>
    <x v="16"/>
    <x v="9"/>
    <s v="cashloan"/>
    <n v="0"/>
  </r>
  <r>
    <x v="304"/>
    <x v="0"/>
    <x v="10"/>
    <n v="45"/>
    <n v="6"/>
    <x v="9"/>
    <x v="9"/>
    <s v="cashloan"/>
    <n v="6420000"/>
  </r>
  <r>
    <x v="304"/>
    <x v="0"/>
    <x v="10"/>
    <n v="45"/>
    <n v="6"/>
    <x v="10"/>
    <x v="9"/>
    <s v="cashloan"/>
    <n v="37030000"/>
  </r>
  <r>
    <x v="304"/>
    <x v="0"/>
    <x v="10"/>
    <n v="45"/>
    <n v="6"/>
    <x v="8"/>
    <x v="8"/>
    <s v="cashloan"/>
    <n v="0"/>
  </r>
  <r>
    <x v="305"/>
    <x v="0"/>
    <x v="10"/>
    <n v="45"/>
    <n v="7"/>
    <x v="2"/>
    <x v="2"/>
    <s v="cashloan"/>
    <n v="6564280000"/>
  </r>
  <r>
    <x v="305"/>
    <x v="0"/>
    <x v="10"/>
    <n v="45"/>
    <n v="7"/>
    <x v="3"/>
    <x v="3"/>
    <s v="cashloan"/>
    <n v="81900000"/>
  </r>
  <r>
    <x v="305"/>
    <x v="0"/>
    <x v="10"/>
    <n v="45"/>
    <n v="7"/>
    <x v="1"/>
    <x v="1"/>
    <s v="cashloan"/>
    <n v="30500000"/>
  </r>
  <r>
    <x v="305"/>
    <x v="0"/>
    <x v="10"/>
    <n v="45"/>
    <n v="7"/>
    <x v="9"/>
    <x v="9"/>
    <s v="cashloan"/>
    <n v="16050000"/>
  </r>
  <r>
    <x v="305"/>
    <x v="0"/>
    <x v="10"/>
    <n v="45"/>
    <n v="7"/>
    <x v="15"/>
    <x v="14"/>
    <s v="paylater"/>
    <n v="30000"/>
  </r>
  <r>
    <x v="305"/>
    <x v="0"/>
    <x v="10"/>
    <n v="45"/>
    <n v="7"/>
    <x v="8"/>
    <x v="8"/>
    <s v="cashloan"/>
    <n v="0"/>
  </r>
  <r>
    <x v="305"/>
    <x v="0"/>
    <x v="10"/>
    <n v="45"/>
    <n v="7"/>
    <x v="14"/>
    <x v="13"/>
    <s v="cashloan"/>
    <n v="326510000"/>
  </r>
  <r>
    <x v="305"/>
    <x v="0"/>
    <x v="10"/>
    <n v="45"/>
    <n v="7"/>
    <x v="7"/>
    <x v="7"/>
    <s v="paylater"/>
    <n v="479752175"/>
  </r>
  <r>
    <x v="305"/>
    <x v="0"/>
    <x v="10"/>
    <n v="45"/>
    <n v="7"/>
    <x v="10"/>
    <x v="9"/>
    <s v="cashloan"/>
    <n v="229350000"/>
  </r>
  <r>
    <x v="305"/>
    <x v="0"/>
    <x v="10"/>
    <n v="45"/>
    <n v="7"/>
    <x v="13"/>
    <x v="12"/>
    <s v="paylater"/>
    <n v="0"/>
  </r>
  <r>
    <x v="305"/>
    <x v="0"/>
    <x v="10"/>
    <n v="45"/>
    <n v="7"/>
    <x v="16"/>
    <x v="9"/>
    <s v="cashloan"/>
    <n v="44960000"/>
  </r>
  <r>
    <x v="305"/>
    <x v="0"/>
    <x v="10"/>
    <n v="45"/>
    <n v="7"/>
    <x v="6"/>
    <x v="6"/>
    <s v="payday"/>
    <n v="28000000"/>
  </r>
  <r>
    <x v="305"/>
    <x v="0"/>
    <x v="10"/>
    <n v="45"/>
    <n v="7"/>
    <x v="12"/>
    <x v="11"/>
    <s v="cashloan"/>
    <n v="5207550000"/>
  </r>
  <r>
    <x v="305"/>
    <x v="0"/>
    <x v="10"/>
    <n v="45"/>
    <n v="7"/>
    <x v="5"/>
    <x v="5"/>
    <s v="overdraft"/>
    <n v="3348507551"/>
  </r>
  <r>
    <x v="305"/>
    <x v="0"/>
    <x v="10"/>
    <n v="45"/>
    <n v="7"/>
    <x v="11"/>
    <x v="10"/>
    <s v="paylater"/>
    <n v="83256670"/>
  </r>
  <r>
    <x v="305"/>
    <x v="0"/>
    <x v="10"/>
    <n v="45"/>
    <n v="7"/>
    <x v="0"/>
    <x v="0"/>
    <s v="payday"/>
    <n v="4404500000"/>
  </r>
  <r>
    <x v="306"/>
    <x v="0"/>
    <x v="10"/>
    <n v="45"/>
    <n v="8"/>
    <x v="0"/>
    <x v="0"/>
    <s v="payday"/>
    <n v="4719000000"/>
  </r>
  <r>
    <x v="306"/>
    <x v="0"/>
    <x v="10"/>
    <n v="45"/>
    <n v="8"/>
    <x v="1"/>
    <x v="1"/>
    <s v="cashloan"/>
    <n v="25500000"/>
  </r>
  <r>
    <x v="306"/>
    <x v="0"/>
    <x v="10"/>
    <n v="45"/>
    <n v="8"/>
    <x v="8"/>
    <x v="8"/>
    <s v="cashloan"/>
    <n v="0"/>
  </r>
  <r>
    <x v="306"/>
    <x v="0"/>
    <x v="10"/>
    <n v="45"/>
    <n v="8"/>
    <x v="9"/>
    <x v="9"/>
    <s v="cashloan"/>
    <n v="10000000"/>
  </r>
  <r>
    <x v="306"/>
    <x v="0"/>
    <x v="10"/>
    <n v="45"/>
    <n v="8"/>
    <x v="3"/>
    <x v="3"/>
    <s v="cashloan"/>
    <n v="41500000"/>
  </r>
  <r>
    <x v="306"/>
    <x v="0"/>
    <x v="10"/>
    <n v="45"/>
    <n v="8"/>
    <x v="15"/>
    <x v="14"/>
    <s v="paylater"/>
    <n v="0"/>
  </r>
  <r>
    <x v="306"/>
    <x v="0"/>
    <x v="10"/>
    <n v="45"/>
    <n v="8"/>
    <x v="5"/>
    <x v="5"/>
    <s v="overdraft"/>
    <n v="3493586848"/>
  </r>
  <r>
    <x v="306"/>
    <x v="0"/>
    <x v="10"/>
    <n v="45"/>
    <n v="8"/>
    <x v="12"/>
    <x v="11"/>
    <s v="cashloan"/>
    <n v="4058970000"/>
  </r>
  <r>
    <x v="306"/>
    <x v="0"/>
    <x v="10"/>
    <n v="45"/>
    <n v="8"/>
    <x v="14"/>
    <x v="13"/>
    <s v="cashloan"/>
    <n v="289360000"/>
  </r>
  <r>
    <x v="306"/>
    <x v="0"/>
    <x v="10"/>
    <n v="45"/>
    <n v="8"/>
    <x v="13"/>
    <x v="12"/>
    <s v="paylater"/>
    <n v="3519000"/>
  </r>
  <r>
    <x v="306"/>
    <x v="0"/>
    <x v="10"/>
    <n v="45"/>
    <n v="8"/>
    <x v="10"/>
    <x v="9"/>
    <s v="cashloan"/>
    <n v="77780000"/>
  </r>
  <r>
    <x v="306"/>
    <x v="0"/>
    <x v="10"/>
    <n v="45"/>
    <n v="8"/>
    <x v="16"/>
    <x v="9"/>
    <s v="cashloan"/>
    <n v="21400000"/>
  </r>
  <r>
    <x v="306"/>
    <x v="0"/>
    <x v="10"/>
    <n v="45"/>
    <n v="8"/>
    <x v="6"/>
    <x v="6"/>
    <s v="payday"/>
    <n v="98000000"/>
  </r>
  <r>
    <x v="306"/>
    <x v="0"/>
    <x v="10"/>
    <n v="45"/>
    <n v="8"/>
    <x v="7"/>
    <x v="7"/>
    <s v="paylater"/>
    <n v="431856956"/>
  </r>
  <r>
    <x v="306"/>
    <x v="0"/>
    <x v="10"/>
    <n v="45"/>
    <n v="8"/>
    <x v="2"/>
    <x v="2"/>
    <s v="cashloan"/>
    <n v="6599730000"/>
  </r>
  <r>
    <x v="306"/>
    <x v="0"/>
    <x v="10"/>
    <n v="45"/>
    <n v="8"/>
    <x v="11"/>
    <x v="10"/>
    <s v="paylater"/>
    <n v="83353047"/>
  </r>
  <r>
    <x v="307"/>
    <x v="0"/>
    <x v="10"/>
    <n v="45"/>
    <n v="9"/>
    <x v="1"/>
    <x v="1"/>
    <s v="cashloan"/>
    <n v="51500000"/>
  </r>
  <r>
    <x v="307"/>
    <x v="0"/>
    <x v="10"/>
    <n v="45"/>
    <n v="9"/>
    <x v="11"/>
    <x v="10"/>
    <s v="paylater"/>
    <n v="72956798"/>
  </r>
  <r>
    <x v="307"/>
    <x v="0"/>
    <x v="10"/>
    <n v="45"/>
    <n v="9"/>
    <x v="3"/>
    <x v="3"/>
    <s v="cashloan"/>
    <n v="42000000"/>
  </r>
  <r>
    <x v="307"/>
    <x v="0"/>
    <x v="10"/>
    <n v="45"/>
    <n v="9"/>
    <x v="6"/>
    <x v="6"/>
    <s v="payday"/>
    <n v="50000000"/>
  </r>
  <r>
    <x v="307"/>
    <x v="0"/>
    <x v="10"/>
    <n v="45"/>
    <n v="9"/>
    <x v="2"/>
    <x v="2"/>
    <s v="cashloan"/>
    <n v="6131870000"/>
  </r>
  <r>
    <x v="307"/>
    <x v="0"/>
    <x v="10"/>
    <n v="45"/>
    <n v="9"/>
    <x v="12"/>
    <x v="11"/>
    <s v="cashloan"/>
    <n v="4177980000"/>
  </r>
  <r>
    <x v="307"/>
    <x v="0"/>
    <x v="10"/>
    <n v="45"/>
    <n v="9"/>
    <x v="13"/>
    <x v="12"/>
    <s v="paylater"/>
    <n v="270103"/>
  </r>
  <r>
    <x v="307"/>
    <x v="0"/>
    <x v="10"/>
    <n v="45"/>
    <n v="9"/>
    <x v="7"/>
    <x v="7"/>
    <s v="paylater"/>
    <n v="414533616"/>
  </r>
  <r>
    <x v="307"/>
    <x v="0"/>
    <x v="10"/>
    <n v="45"/>
    <n v="9"/>
    <x v="0"/>
    <x v="0"/>
    <s v="payday"/>
    <n v="4232000000"/>
  </r>
  <r>
    <x v="307"/>
    <x v="0"/>
    <x v="10"/>
    <n v="45"/>
    <n v="9"/>
    <x v="15"/>
    <x v="14"/>
    <s v="paylater"/>
    <n v="563600"/>
  </r>
  <r>
    <x v="307"/>
    <x v="0"/>
    <x v="10"/>
    <n v="45"/>
    <n v="9"/>
    <x v="14"/>
    <x v="13"/>
    <s v="cashloan"/>
    <n v="270080000"/>
  </r>
  <r>
    <x v="307"/>
    <x v="0"/>
    <x v="10"/>
    <n v="45"/>
    <n v="9"/>
    <x v="8"/>
    <x v="8"/>
    <s v="cashloan"/>
    <n v="0"/>
  </r>
  <r>
    <x v="307"/>
    <x v="0"/>
    <x v="10"/>
    <n v="45"/>
    <n v="9"/>
    <x v="5"/>
    <x v="5"/>
    <s v="overdraft"/>
    <n v="3332907050"/>
  </r>
  <r>
    <x v="307"/>
    <x v="0"/>
    <x v="10"/>
    <n v="45"/>
    <n v="9"/>
    <x v="16"/>
    <x v="9"/>
    <s v="cashloan"/>
    <n v="32840000"/>
  </r>
  <r>
    <x v="307"/>
    <x v="0"/>
    <x v="10"/>
    <n v="45"/>
    <n v="9"/>
    <x v="10"/>
    <x v="9"/>
    <s v="cashloan"/>
    <n v="82060000"/>
  </r>
  <r>
    <x v="307"/>
    <x v="0"/>
    <x v="10"/>
    <n v="45"/>
    <n v="9"/>
    <x v="9"/>
    <x v="9"/>
    <s v="cashloan"/>
    <n v="7000000"/>
  </r>
  <r>
    <x v="308"/>
    <x v="0"/>
    <x v="10"/>
    <n v="45"/>
    <n v="10"/>
    <x v="16"/>
    <x v="9"/>
    <s v="cashloan"/>
    <n v="0"/>
  </r>
  <r>
    <x v="308"/>
    <x v="0"/>
    <x v="10"/>
    <n v="45"/>
    <n v="10"/>
    <x v="15"/>
    <x v="14"/>
    <s v="paylater"/>
    <n v="0"/>
  </r>
  <r>
    <x v="308"/>
    <x v="0"/>
    <x v="10"/>
    <n v="45"/>
    <n v="10"/>
    <x v="6"/>
    <x v="6"/>
    <s v="payday"/>
    <n v="67000000"/>
  </r>
  <r>
    <x v="308"/>
    <x v="0"/>
    <x v="10"/>
    <n v="45"/>
    <n v="10"/>
    <x v="13"/>
    <x v="12"/>
    <s v="paylater"/>
    <n v="0"/>
  </r>
  <r>
    <x v="308"/>
    <x v="0"/>
    <x v="10"/>
    <n v="45"/>
    <n v="10"/>
    <x v="11"/>
    <x v="10"/>
    <s v="paylater"/>
    <n v="75608707"/>
  </r>
  <r>
    <x v="308"/>
    <x v="0"/>
    <x v="10"/>
    <n v="45"/>
    <n v="10"/>
    <x v="0"/>
    <x v="0"/>
    <s v="payday"/>
    <n v="4113000000"/>
  </r>
  <r>
    <x v="308"/>
    <x v="0"/>
    <x v="10"/>
    <n v="45"/>
    <n v="10"/>
    <x v="10"/>
    <x v="9"/>
    <s v="cashloan"/>
    <n v="33120000"/>
  </r>
  <r>
    <x v="308"/>
    <x v="0"/>
    <x v="10"/>
    <n v="45"/>
    <n v="10"/>
    <x v="12"/>
    <x v="11"/>
    <s v="cashloan"/>
    <n v="4525300000"/>
  </r>
  <r>
    <x v="308"/>
    <x v="0"/>
    <x v="10"/>
    <n v="45"/>
    <n v="10"/>
    <x v="8"/>
    <x v="8"/>
    <s v="cashloan"/>
    <n v="0"/>
  </r>
  <r>
    <x v="308"/>
    <x v="0"/>
    <x v="10"/>
    <n v="45"/>
    <n v="10"/>
    <x v="7"/>
    <x v="7"/>
    <s v="paylater"/>
    <n v="342957491"/>
  </r>
  <r>
    <x v="308"/>
    <x v="0"/>
    <x v="10"/>
    <n v="45"/>
    <n v="10"/>
    <x v="14"/>
    <x v="13"/>
    <s v="cashloan"/>
    <n v="280980000"/>
  </r>
  <r>
    <x v="308"/>
    <x v="0"/>
    <x v="10"/>
    <n v="45"/>
    <n v="10"/>
    <x v="9"/>
    <x v="9"/>
    <s v="cashloan"/>
    <n v="0"/>
  </r>
  <r>
    <x v="308"/>
    <x v="0"/>
    <x v="10"/>
    <n v="45"/>
    <n v="10"/>
    <x v="3"/>
    <x v="3"/>
    <s v="cashloan"/>
    <n v="0"/>
  </r>
  <r>
    <x v="308"/>
    <x v="0"/>
    <x v="10"/>
    <n v="45"/>
    <n v="10"/>
    <x v="5"/>
    <x v="5"/>
    <s v="overdraft"/>
    <n v="3407987482"/>
  </r>
  <r>
    <x v="308"/>
    <x v="0"/>
    <x v="10"/>
    <n v="45"/>
    <n v="10"/>
    <x v="1"/>
    <x v="1"/>
    <s v="cashloan"/>
    <n v="0"/>
  </r>
  <r>
    <x v="308"/>
    <x v="0"/>
    <x v="10"/>
    <n v="45"/>
    <n v="10"/>
    <x v="2"/>
    <x v="2"/>
    <s v="cashloan"/>
    <n v="5725010000"/>
  </r>
  <r>
    <x v="309"/>
    <x v="0"/>
    <x v="10"/>
    <n v="46"/>
    <n v="11"/>
    <x v="1"/>
    <x v="1"/>
    <s v="cashloan"/>
    <n v="45150000"/>
  </r>
  <r>
    <x v="309"/>
    <x v="0"/>
    <x v="10"/>
    <n v="46"/>
    <n v="11"/>
    <x v="10"/>
    <x v="9"/>
    <s v="cashloan"/>
    <n v="124900000"/>
  </r>
  <r>
    <x v="309"/>
    <x v="0"/>
    <x v="10"/>
    <n v="46"/>
    <n v="11"/>
    <x v="12"/>
    <x v="11"/>
    <s v="cashloan"/>
    <n v="5202610000"/>
  </r>
  <r>
    <x v="309"/>
    <x v="0"/>
    <x v="10"/>
    <n v="46"/>
    <n v="11"/>
    <x v="14"/>
    <x v="13"/>
    <s v="cashloan"/>
    <n v="373570000"/>
  </r>
  <r>
    <x v="309"/>
    <x v="0"/>
    <x v="10"/>
    <n v="46"/>
    <n v="11"/>
    <x v="5"/>
    <x v="5"/>
    <s v="overdraft"/>
    <n v="4052591034"/>
  </r>
  <r>
    <x v="309"/>
    <x v="0"/>
    <x v="10"/>
    <n v="46"/>
    <n v="11"/>
    <x v="15"/>
    <x v="14"/>
    <s v="paylater"/>
    <n v="4000"/>
  </r>
  <r>
    <x v="309"/>
    <x v="0"/>
    <x v="10"/>
    <n v="46"/>
    <n v="11"/>
    <x v="13"/>
    <x v="12"/>
    <s v="paylater"/>
    <n v="0"/>
  </r>
  <r>
    <x v="309"/>
    <x v="0"/>
    <x v="10"/>
    <n v="46"/>
    <n v="11"/>
    <x v="11"/>
    <x v="10"/>
    <s v="paylater"/>
    <n v="70550432"/>
  </r>
  <r>
    <x v="309"/>
    <x v="0"/>
    <x v="10"/>
    <n v="46"/>
    <n v="11"/>
    <x v="2"/>
    <x v="2"/>
    <s v="cashloan"/>
    <n v="7622310000"/>
  </r>
  <r>
    <x v="309"/>
    <x v="0"/>
    <x v="10"/>
    <n v="46"/>
    <n v="11"/>
    <x v="16"/>
    <x v="9"/>
    <s v="cashloan"/>
    <n v="18190000"/>
  </r>
  <r>
    <x v="309"/>
    <x v="0"/>
    <x v="10"/>
    <n v="46"/>
    <n v="11"/>
    <x v="6"/>
    <x v="6"/>
    <s v="payday"/>
    <n v="62000000"/>
  </r>
  <r>
    <x v="309"/>
    <x v="0"/>
    <x v="10"/>
    <n v="46"/>
    <n v="11"/>
    <x v="7"/>
    <x v="7"/>
    <s v="paylater"/>
    <n v="376438672"/>
  </r>
  <r>
    <x v="309"/>
    <x v="0"/>
    <x v="10"/>
    <n v="46"/>
    <n v="11"/>
    <x v="8"/>
    <x v="8"/>
    <s v="cashloan"/>
    <n v="0"/>
  </r>
  <r>
    <x v="309"/>
    <x v="0"/>
    <x v="10"/>
    <n v="46"/>
    <n v="11"/>
    <x v="3"/>
    <x v="3"/>
    <s v="cashloan"/>
    <n v="20500000"/>
  </r>
  <r>
    <x v="309"/>
    <x v="0"/>
    <x v="10"/>
    <n v="46"/>
    <n v="11"/>
    <x v="9"/>
    <x v="9"/>
    <s v="cashloan"/>
    <n v="18420000"/>
  </r>
  <r>
    <x v="309"/>
    <x v="0"/>
    <x v="10"/>
    <n v="46"/>
    <n v="11"/>
    <x v="0"/>
    <x v="0"/>
    <s v="payday"/>
    <n v="4831000000"/>
  </r>
  <r>
    <x v="310"/>
    <x v="0"/>
    <x v="10"/>
    <n v="46"/>
    <n v="12"/>
    <x v="7"/>
    <x v="7"/>
    <s v="paylater"/>
    <n v="390738034"/>
  </r>
  <r>
    <x v="310"/>
    <x v="0"/>
    <x v="10"/>
    <n v="46"/>
    <n v="12"/>
    <x v="10"/>
    <x v="9"/>
    <s v="cashloan"/>
    <n v="120160000"/>
  </r>
  <r>
    <x v="310"/>
    <x v="0"/>
    <x v="10"/>
    <n v="46"/>
    <n v="12"/>
    <x v="13"/>
    <x v="12"/>
    <s v="paylater"/>
    <n v="0"/>
  </r>
  <r>
    <x v="310"/>
    <x v="0"/>
    <x v="10"/>
    <n v="46"/>
    <n v="12"/>
    <x v="12"/>
    <x v="11"/>
    <s v="cashloan"/>
    <n v="4815230000"/>
  </r>
  <r>
    <x v="310"/>
    <x v="0"/>
    <x v="10"/>
    <n v="46"/>
    <n v="12"/>
    <x v="15"/>
    <x v="14"/>
    <s v="paylater"/>
    <n v="0"/>
  </r>
  <r>
    <x v="310"/>
    <x v="0"/>
    <x v="10"/>
    <n v="46"/>
    <n v="12"/>
    <x v="11"/>
    <x v="10"/>
    <s v="paylater"/>
    <n v="65779283"/>
  </r>
  <r>
    <x v="310"/>
    <x v="0"/>
    <x v="10"/>
    <n v="46"/>
    <n v="12"/>
    <x v="0"/>
    <x v="0"/>
    <s v="payday"/>
    <n v="4194500000"/>
  </r>
  <r>
    <x v="310"/>
    <x v="0"/>
    <x v="10"/>
    <n v="46"/>
    <n v="12"/>
    <x v="2"/>
    <x v="2"/>
    <s v="cashloan"/>
    <n v="7474590000"/>
  </r>
  <r>
    <x v="310"/>
    <x v="0"/>
    <x v="10"/>
    <n v="46"/>
    <n v="12"/>
    <x v="8"/>
    <x v="8"/>
    <s v="cashloan"/>
    <n v="0"/>
  </r>
  <r>
    <x v="310"/>
    <x v="0"/>
    <x v="10"/>
    <n v="46"/>
    <n v="12"/>
    <x v="9"/>
    <x v="9"/>
    <s v="cashloan"/>
    <n v="0"/>
  </r>
  <r>
    <x v="310"/>
    <x v="0"/>
    <x v="10"/>
    <n v="46"/>
    <n v="12"/>
    <x v="16"/>
    <x v="9"/>
    <s v="cashloan"/>
    <n v="0"/>
  </r>
  <r>
    <x v="310"/>
    <x v="0"/>
    <x v="10"/>
    <n v="46"/>
    <n v="12"/>
    <x v="14"/>
    <x v="13"/>
    <s v="cashloan"/>
    <n v="392580000"/>
  </r>
  <r>
    <x v="310"/>
    <x v="0"/>
    <x v="10"/>
    <n v="46"/>
    <n v="12"/>
    <x v="5"/>
    <x v="5"/>
    <s v="overdraft"/>
    <n v="3274783840"/>
  </r>
  <r>
    <x v="310"/>
    <x v="0"/>
    <x v="10"/>
    <n v="46"/>
    <n v="12"/>
    <x v="6"/>
    <x v="6"/>
    <s v="payday"/>
    <n v="75000000"/>
  </r>
  <r>
    <x v="310"/>
    <x v="0"/>
    <x v="10"/>
    <n v="46"/>
    <n v="12"/>
    <x v="3"/>
    <x v="3"/>
    <s v="cashloan"/>
    <n v="112850000"/>
  </r>
  <r>
    <x v="310"/>
    <x v="0"/>
    <x v="10"/>
    <n v="46"/>
    <n v="12"/>
    <x v="1"/>
    <x v="1"/>
    <s v="cashloan"/>
    <n v="126650000"/>
  </r>
  <r>
    <x v="311"/>
    <x v="0"/>
    <x v="10"/>
    <n v="46"/>
    <n v="13"/>
    <x v="8"/>
    <x v="8"/>
    <s v="cashloan"/>
    <n v="0"/>
  </r>
  <r>
    <x v="311"/>
    <x v="0"/>
    <x v="10"/>
    <n v="46"/>
    <n v="13"/>
    <x v="5"/>
    <x v="5"/>
    <s v="overdraft"/>
    <n v="3562501805"/>
  </r>
  <r>
    <x v="311"/>
    <x v="0"/>
    <x v="10"/>
    <n v="46"/>
    <n v="13"/>
    <x v="7"/>
    <x v="7"/>
    <s v="paylater"/>
    <n v="379108119"/>
  </r>
  <r>
    <x v="311"/>
    <x v="0"/>
    <x v="10"/>
    <n v="46"/>
    <n v="13"/>
    <x v="15"/>
    <x v="14"/>
    <s v="paylater"/>
    <n v="0"/>
  </r>
  <r>
    <x v="311"/>
    <x v="0"/>
    <x v="10"/>
    <n v="46"/>
    <n v="13"/>
    <x v="3"/>
    <x v="3"/>
    <s v="cashloan"/>
    <n v="0"/>
  </r>
  <r>
    <x v="311"/>
    <x v="0"/>
    <x v="10"/>
    <n v="46"/>
    <n v="13"/>
    <x v="13"/>
    <x v="12"/>
    <s v="paylater"/>
    <n v="0"/>
  </r>
  <r>
    <x v="311"/>
    <x v="0"/>
    <x v="10"/>
    <n v="46"/>
    <n v="13"/>
    <x v="1"/>
    <x v="1"/>
    <s v="cashloan"/>
    <n v="46500000"/>
  </r>
  <r>
    <x v="311"/>
    <x v="0"/>
    <x v="10"/>
    <n v="46"/>
    <n v="13"/>
    <x v="11"/>
    <x v="10"/>
    <s v="paylater"/>
    <n v="60081328"/>
  </r>
  <r>
    <x v="311"/>
    <x v="0"/>
    <x v="10"/>
    <n v="46"/>
    <n v="13"/>
    <x v="0"/>
    <x v="0"/>
    <s v="payday"/>
    <n v="4064000000"/>
  </r>
  <r>
    <x v="311"/>
    <x v="0"/>
    <x v="10"/>
    <n v="46"/>
    <n v="13"/>
    <x v="2"/>
    <x v="2"/>
    <s v="cashloan"/>
    <n v="7080540000"/>
  </r>
  <r>
    <x v="311"/>
    <x v="0"/>
    <x v="10"/>
    <n v="46"/>
    <n v="13"/>
    <x v="12"/>
    <x v="11"/>
    <s v="cashloan"/>
    <n v="4690690000"/>
  </r>
  <r>
    <x v="311"/>
    <x v="0"/>
    <x v="10"/>
    <n v="46"/>
    <n v="13"/>
    <x v="9"/>
    <x v="9"/>
    <s v="cashloan"/>
    <n v="0"/>
  </r>
  <r>
    <x v="311"/>
    <x v="0"/>
    <x v="10"/>
    <n v="46"/>
    <n v="13"/>
    <x v="10"/>
    <x v="9"/>
    <s v="cashloan"/>
    <n v="146960000"/>
  </r>
  <r>
    <x v="311"/>
    <x v="0"/>
    <x v="10"/>
    <n v="46"/>
    <n v="13"/>
    <x v="16"/>
    <x v="9"/>
    <s v="cashloan"/>
    <n v="21400000"/>
  </r>
  <r>
    <x v="311"/>
    <x v="0"/>
    <x v="10"/>
    <n v="46"/>
    <n v="13"/>
    <x v="6"/>
    <x v="6"/>
    <s v="payday"/>
    <n v="48000000"/>
  </r>
  <r>
    <x v="311"/>
    <x v="0"/>
    <x v="10"/>
    <n v="46"/>
    <n v="13"/>
    <x v="14"/>
    <x v="13"/>
    <s v="cashloan"/>
    <n v="325590000"/>
  </r>
  <r>
    <x v="312"/>
    <x v="0"/>
    <x v="10"/>
    <n v="46"/>
    <n v="14"/>
    <x v="3"/>
    <x v="3"/>
    <s v="cashloan"/>
    <n v="20000000"/>
  </r>
  <r>
    <x v="312"/>
    <x v="0"/>
    <x v="10"/>
    <n v="46"/>
    <n v="14"/>
    <x v="1"/>
    <x v="1"/>
    <s v="cashloan"/>
    <n v="31500000"/>
  </r>
  <r>
    <x v="312"/>
    <x v="0"/>
    <x v="10"/>
    <n v="46"/>
    <n v="14"/>
    <x v="12"/>
    <x v="11"/>
    <s v="cashloan"/>
    <n v="4693550000"/>
  </r>
  <r>
    <x v="312"/>
    <x v="0"/>
    <x v="10"/>
    <n v="46"/>
    <n v="14"/>
    <x v="7"/>
    <x v="7"/>
    <s v="paylater"/>
    <n v="355076983"/>
  </r>
  <r>
    <x v="312"/>
    <x v="0"/>
    <x v="10"/>
    <n v="46"/>
    <n v="14"/>
    <x v="13"/>
    <x v="12"/>
    <s v="paylater"/>
    <n v="54000"/>
  </r>
  <r>
    <x v="312"/>
    <x v="0"/>
    <x v="10"/>
    <n v="46"/>
    <n v="14"/>
    <x v="14"/>
    <x v="13"/>
    <s v="cashloan"/>
    <n v="360520000"/>
  </r>
  <r>
    <x v="312"/>
    <x v="0"/>
    <x v="10"/>
    <n v="46"/>
    <n v="14"/>
    <x v="5"/>
    <x v="5"/>
    <s v="overdraft"/>
    <n v="3128609342"/>
  </r>
  <r>
    <x v="312"/>
    <x v="0"/>
    <x v="10"/>
    <n v="46"/>
    <n v="14"/>
    <x v="8"/>
    <x v="8"/>
    <s v="cashloan"/>
    <n v="0"/>
  </r>
  <r>
    <x v="312"/>
    <x v="0"/>
    <x v="10"/>
    <n v="46"/>
    <n v="14"/>
    <x v="0"/>
    <x v="0"/>
    <s v="payday"/>
    <n v="4150000000"/>
  </r>
  <r>
    <x v="312"/>
    <x v="0"/>
    <x v="10"/>
    <n v="46"/>
    <n v="14"/>
    <x v="11"/>
    <x v="10"/>
    <s v="paylater"/>
    <n v="59121871"/>
  </r>
  <r>
    <x v="312"/>
    <x v="0"/>
    <x v="10"/>
    <n v="46"/>
    <n v="14"/>
    <x v="15"/>
    <x v="14"/>
    <s v="paylater"/>
    <n v="0"/>
  </r>
  <r>
    <x v="312"/>
    <x v="0"/>
    <x v="10"/>
    <n v="46"/>
    <n v="14"/>
    <x v="2"/>
    <x v="2"/>
    <s v="cashloan"/>
    <n v="6833200000"/>
  </r>
  <r>
    <x v="312"/>
    <x v="0"/>
    <x v="10"/>
    <n v="46"/>
    <n v="14"/>
    <x v="6"/>
    <x v="6"/>
    <s v="payday"/>
    <n v="29000000"/>
  </r>
  <r>
    <x v="312"/>
    <x v="0"/>
    <x v="10"/>
    <n v="46"/>
    <n v="14"/>
    <x v="16"/>
    <x v="9"/>
    <s v="cashloan"/>
    <n v="10700000"/>
  </r>
  <r>
    <x v="312"/>
    <x v="0"/>
    <x v="10"/>
    <n v="46"/>
    <n v="14"/>
    <x v="10"/>
    <x v="9"/>
    <s v="cashloan"/>
    <n v="189060000"/>
  </r>
  <r>
    <x v="312"/>
    <x v="0"/>
    <x v="10"/>
    <n v="46"/>
    <n v="14"/>
    <x v="9"/>
    <x v="9"/>
    <s v="cashloan"/>
    <n v="0"/>
  </r>
  <r>
    <x v="313"/>
    <x v="0"/>
    <x v="10"/>
    <n v="46"/>
    <n v="15"/>
    <x v="11"/>
    <x v="10"/>
    <s v="paylater"/>
    <n v="59218815"/>
  </r>
  <r>
    <x v="313"/>
    <x v="0"/>
    <x v="10"/>
    <n v="46"/>
    <n v="15"/>
    <x v="7"/>
    <x v="7"/>
    <s v="paylater"/>
    <n v="363025364"/>
  </r>
  <r>
    <x v="313"/>
    <x v="0"/>
    <x v="10"/>
    <n v="46"/>
    <n v="15"/>
    <x v="3"/>
    <x v="3"/>
    <s v="cashloan"/>
    <n v="0"/>
  </r>
  <r>
    <x v="313"/>
    <x v="0"/>
    <x v="10"/>
    <n v="46"/>
    <n v="15"/>
    <x v="13"/>
    <x v="12"/>
    <s v="paylater"/>
    <n v="0"/>
  </r>
  <r>
    <x v="313"/>
    <x v="0"/>
    <x v="10"/>
    <n v="46"/>
    <n v="15"/>
    <x v="12"/>
    <x v="11"/>
    <s v="cashloan"/>
    <n v="5208760000"/>
  </r>
  <r>
    <x v="313"/>
    <x v="0"/>
    <x v="10"/>
    <n v="46"/>
    <n v="15"/>
    <x v="0"/>
    <x v="0"/>
    <s v="payday"/>
    <n v="4812000000"/>
  </r>
  <r>
    <x v="313"/>
    <x v="0"/>
    <x v="10"/>
    <n v="46"/>
    <n v="15"/>
    <x v="6"/>
    <x v="6"/>
    <s v="payday"/>
    <n v="77000000"/>
  </r>
  <r>
    <x v="313"/>
    <x v="0"/>
    <x v="10"/>
    <n v="46"/>
    <n v="15"/>
    <x v="14"/>
    <x v="13"/>
    <s v="cashloan"/>
    <n v="412380000"/>
  </r>
  <r>
    <x v="313"/>
    <x v="0"/>
    <x v="10"/>
    <n v="46"/>
    <n v="15"/>
    <x v="5"/>
    <x v="5"/>
    <s v="overdraft"/>
    <n v="3728959833"/>
  </r>
  <r>
    <x v="313"/>
    <x v="0"/>
    <x v="10"/>
    <n v="46"/>
    <n v="15"/>
    <x v="1"/>
    <x v="1"/>
    <s v="cashloan"/>
    <n v="52500000"/>
  </r>
  <r>
    <x v="313"/>
    <x v="0"/>
    <x v="10"/>
    <n v="46"/>
    <n v="15"/>
    <x v="8"/>
    <x v="8"/>
    <s v="cashloan"/>
    <n v="0"/>
  </r>
  <r>
    <x v="313"/>
    <x v="0"/>
    <x v="10"/>
    <n v="46"/>
    <n v="15"/>
    <x v="10"/>
    <x v="9"/>
    <s v="cashloan"/>
    <n v="100250000"/>
  </r>
  <r>
    <x v="313"/>
    <x v="0"/>
    <x v="10"/>
    <n v="46"/>
    <n v="15"/>
    <x v="16"/>
    <x v="9"/>
    <s v="cashloan"/>
    <n v="41400000"/>
  </r>
  <r>
    <x v="313"/>
    <x v="0"/>
    <x v="10"/>
    <n v="46"/>
    <n v="15"/>
    <x v="2"/>
    <x v="2"/>
    <s v="cashloan"/>
    <n v="6844330000"/>
  </r>
  <r>
    <x v="313"/>
    <x v="0"/>
    <x v="10"/>
    <n v="46"/>
    <n v="15"/>
    <x v="9"/>
    <x v="9"/>
    <s v="cashloan"/>
    <n v="21400000"/>
  </r>
  <r>
    <x v="313"/>
    <x v="0"/>
    <x v="10"/>
    <n v="46"/>
    <n v="15"/>
    <x v="15"/>
    <x v="14"/>
    <s v="paylater"/>
    <n v="10000"/>
  </r>
  <r>
    <x v="314"/>
    <x v="0"/>
    <x v="10"/>
    <n v="46"/>
    <n v="16"/>
    <x v="14"/>
    <x v="13"/>
    <s v="cashloan"/>
    <n v="279110000"/>
  </r>
  <r>
    <x v="314"/>
    <x v="0"/>
    <x v="10"/>
    <n v="46"/>
    <n v="16"/>
    <x v="6"/>
    <x v="6"/>
    <s v="payday"/>
    <n v="33000000"/>
  </r>
  <r>
    <x v="314"/>
    <x v="0"/>
    <x v="10"/>
    <n v="46"/>
    <n v="16"/>
    <x v="12"/>
    <x v="11"/>
    <s v="cashloan"/>
    <n v="3878800000"/>
  </r>
  <r>
    <x v="314"/>
    <x v="0"/>
    <x v="10"/>
    <n v="46"/>
    <n v="16"/>
    <x v="5"/>
    <x v="5"/>
    <s v="overdraft"/>
    <n v="3276245470"/>
  </r>
  <r>
    <x v="314"/>
    <x v="0"/>
    <x v="10"/>
    <n v="46"/>
    <n v="16"/>
    <x v="15"/>
    <x v="14"/>
    <s v="paylater"/>
    <n v="0"/>
  </r>
  <r>
    <x v="314"/>
    <x v="0"/>
    <x v="10"/>
    <n v="46"/>
    <n v="16"/>
    <x v="0"/>
    <x v="0"/>
    <s v="payday"/>
    <n v="4208500000"/>
  </r>
  <r>
    <x v="314"/>
    <x v="0"/>
    <x v="10"/>
    <n v="46"/>
    <n v="16"/>
    <x v="16"/>
    <x v="9"/>
    <s v="cashloan"/>
    <n v="10700000"/>
  </r>
  <r>
    <x v="314"/>
    <x v="0"/>
    <x v="10"/>
    <n v="46"/>
    <n v="16"/>
    <x v="13"/>
    <x v="12"/>
    <s v="paylater"/>
    <n v="0"/>
  </r>
  <r>
    <x v="314"/>
    <x v="0"/>
    <x v="10"/>
    <n v="46"/>
    <n v="16"/>
    <x v="3"/>
    <x v="3"/>
    <s v="cashloan"/>
    <n v="0"/>
  </r>
  <r>
    <x v="314"/>
    <x v="0"/>
    <x v="10"/>
    <n v="46"/>
    <n v="16"/>
    <x v="1"/>
    <x v="1"/>
    <s v="cashloan"/>
    <n v="63000000"/>
  </r>
  <r>
    <x v="314"/>
    <x v="0"/>
    <x v="10"/>
    <n v="46"/>
    <n v="16"/>
    <x v="9"/>
    <x v="9"/>
    <s v="cashloan"/>
    <n v="16700000"/>
  </r>
  <r>
    <x v="314"/>
    <x v="0"/>
    <x v="10"/>
    <n v="46"/>
    <n v="16"/>
    <x v="10"/>
    <x v="9"/>
    <s v="cashloan"/>
    <n v="84970000"/>
  </r>
  <r>
    <x v="314"/>
    <x v="0"/>
    <x v="10"/>
    <n v="46"/>
    <n v="16"/>
    <x v="7"/>
    <x v="7"/>
    <s v="paylater"/>
    <n v="341810796"/>
  </r>
  <r>
    <x v="314"/>
    <x v="0"/>
    <x v="10"/>
    <n v="46"/>
    <n v="16"/>
    <x v="11"/>
    <x v="10"/>
    <s v="paylater"/>
    <n v="61498390"/>
  </r>
  <r>
    <x v="314"/>
    <x v="0"/>
    <x v="10"/>
    <n v="46"/>
    <n v="16"/>
    <x v="8"/>
    <x v="8"/>
    <s v="cashloan"/>
    <n v="0"/>
  </r>
  <r>
    <x v="314"/>
    <x v="0"/>
    <x v="10"/>
    <n v="46"/>
    <n v="16"/>
    <x v="2"/>
    <x v="2"/>
    <s v="cashloan"/>
    <n v="5780130000"/>
  </r>
  <r>
    <x v="315"/>
    <x v="0"/>
    <x v="10"/>
    <n v="46"/>
    <n v="17"/>
    <x v="15"/>
    <x v="14"/>
    <s v="paylater"/>
    <n v="0"/>
  </r>
  <r>
    <x v="315"/>
    <x v="0"/>
    <x v="10"/>
    <n v="46"/>
    <n v="17"/>
    <x v="2"/>
    <x v="2"/>
    <s v="cashloan"/>
    <n v="5579090000"/>
  </r>
  <r>
    <x v="315"/>
    <x v="0"/>
    <x v="10"/>
    <n v="46"/>
    <n v="17"/>
    <x v="13"/>
    <x v="12"/>
    <s v="paylater"/>
    <n v="0"/>
  </r>
  <r>
    <x v="315"/>
    <x v="0"/>
    <x v="10"/>
    <n v="46"/>
    <n v="17"/>
    <x v="14"/>
    <x v="13"/>
    <s v="cashloan"/>
    <n v="608790000"/>
  </r>
  <r>
    <x v="315"/>
    <x v="0"/>
    <x v="10"/>
    <n v="46"/>
    <n v="17"/>
    <x v="5"/>
    <x v="5"/>
    <s v="overdraft"/>
    <n v="2754065183"/>
  </r>
  <r>
    <x v="315"/>
    <x v="0"/>
    <x v="10"/>
    <n v="46"/>
    <n v="17"/>
    <x v="6"/>
    <x v="6"/>
    <s v="payday"/>
    <n v="44000000"/>
  </r>
  <r>
    <x v="315"/>
    <x v="0"/>
    <x v="10"/>
    <n v="46"/>
    <n v="17"/>
    <x v="7"/>
    <x v="7"/>
    <s v="paylater"/>
    <n v="274619566"/>
  </r>
  <r>
    <x v="315"/>
    <x v="0"/>
    <x v="10"/>
    <n v="46"/>
    <n v="17"/>
    <x v="16"/>
    <x v="9"/>
    <s v="cashloan"/>
    <n v="0"/>
  </r>
  <r>
    <x v="315"/>
    <x v="0"/>
    <x v="10"/>
    <n v="46"/>
    <n v="17"/>
    <x v="9"/>
    <x v="9"/>
    <s v="cashloan"/>
    <n v="21400000"/>
  </r>
  <r>
    <x v="315"/>
    <x v="0"/>
    <x v="10"/>
    <n v="46"/>
    <n v="17"/>
    <x v="10"/>
    <x v="9"/>
    <s v="cashloan"/>
    <n v="69920000"/>
  </r>
  <r>
    <x v="315"/>
    <x v="0"/>
    <x v="10"/>
    <n v="46"/>
    <n v="17"/>
    <x v="8"/>
    <x v="8"/>
    <s v="cashloan"/>
    <n v="0"/>
  </r>
  <r>
    <x v="315"/>
    <x v="0"/>
    <x v="10"/>
    <n v="46"/>
    <n v="17"/>
    <x v="11"/>
    <x v="10"/>
    <s v="paylater"/>
    <n v="49884376"/>
  </r>
  <r>
    <x v="315"/>
    <x v="0"/>
    <x v="10"/>
    <n v="46"/>
    <n v="17"/>
    <x v="0"/>
    <x v="0"/>
    <s v="payday"/>
    <n v="3883500000"/>
  </r>
  <r>
    <x v="315"/>
    <x v="0"/>
    <x v="10"/>
    <n v="46"/>
    <n v="17"/>
    <x v="3"/>
    <x v="3"/>
    <s v="cashloan"/>
    <n v="0"/>
  </r>
  <r>
    <x v="315"/>
    <x v="0"/>
    <x v="10"/>
    <n v="46"/>
    <n v="17"/>
    <x v="12"/>
    <x v="11"/>
    <s v="cashloan"/>
    <n v="3867930000"/>
  </r>
  <r>
    <x v="315"/>
    <x v="0"/>
    <x v="10"/>
    <n v="46"/>
    <n v="17"/>
    <x v="1"/>
    <x v="1"/>
    <s v="cashloan"/>
    <n v="21000000"/>
  </r>
  <r>
    <x v="316"/>
    <x v="0"/>
    <x v="10"/>
    <n v="47"/>
    <n v="18"/>
    <x v="8"/>
    <x v="8"/>
    <s v="cashloan"/>
    <n v="0"/>
  </r>
  <r>
    <x v="316"/>
    <x v="0"/>
    <x v="10"/>
    <n v="47"/>
    <n v="18"/>
    <x v="17"/>
    <x v="9"/>
    <s v="cashloan"/>
    <n v="0"/>
  </r>
  <r>
    <x v="316"/>
    <x v="0"/>
    <x v="10"/>
    <n v="47"/>
    <n v="18"/>
    <x v="5"/>
    <x v="5"/>
    <s v="overdraft"/>
    <n v="3405724713"/>
  </r>
  <r>
    <x v="316"/>
    <x v="0"/>
    <x v="10"/>
    <n v="47"/>
    <n v="18"/>
    <x v="11"/>
    <x v="10"/>
    <s v="paylater"/>
    <n v="68965950"/>
  </r>
  <r>
    <x v="316"/>
    <x v="0"/>
    <x v="10"/>
    <n v="47"/>
    <n v="18"/>
    <x v="1"/>
    <x v="1"/>
    <s v="cashloan"/>
    <n v="71450000"/>
  </r>
  <r>
    <x v="316"/>
    <x v="0"/>
    <x v="10"/>
    <n v="47"/>
    <n v="18"/>
    <x v="18"/>
    <x v="15"/>
    <s v="cashloan"/>
    <n v="5000000"/>
  </r>
  <r>
    <x v="316"/>
    <x v="0"/>
    <x v="10"/>
    <n v="47"/>
    <n v="18"/>
    <x v="15"/>
    <x v="14"/>
    <s v="paylater"/>
    <n v="0"/>
  </r>
  <r>
    <x v="316"/>
    <x v="0"/>
    <x v="10"/>
    <n v="47"/>
    <n v="18"/>
    <x v="0"/>
    <x v="0"/>
    <s v="payday"/>
    <n v="4391500000"/>
  </r>
  <r>
    <x v="316"/>
    <x v="0"/>
    <x v="10"/>
    <n v="47"/>
    <n v="18"/>
    <x v="3"/>
    <x v="3"/>
    <s v="cashloan"/>
    <n v="0"/>
  </r>
  <r>
    <x v="316"/>
    <x v="0"/>
    <x v="10"/>
    <n v="47"/>
    <n v="18"/>
    <x v="7"/>
    <x v="7"/>
    <s v="paylater"/>
    <n v="311628124"/>
  </r>
  <r>
    <x v="316"/>
    <x v="0"/>
    <x v="10"/>
    <n v="47"/>
    <n v="18"/>
    <x v="14"/>
    <x v="13"/>
    <s v="cashloan"/>
    <n v="441990000"/>
  </r>
  <r>
    <x v="316"/>
    <x v="0"/>
    <x v="10"/>
    <n v="47"/>
    <n v="18"/>
    <x v="19"/>
    <x v="12"/>
    <s v="paylater"/>
    <n v="206631307"/>
  </r>
  <r>
    <x v="316"/>
    <x v="0"/>
    <x v="10"/>
    <n v="47"/>
    <n v="18"/>
    <x v="20"/>
    <x v="9"/>
    <s v="cashloan"/>
    <n v="16050000"/>
  </r>
  <r>
    <x v="316"/>
    <x v="0"/>
    <x v="10"/>
    <n v="47"/>
    <n v="18"/>
    <x v="12"/>
    <x v="11"/>
    <s v="cashloan"/>
    <n v="4851130000"/>
  </r>
  <r>
    <x v="316"/>
    <x v="0"/>
    <x v="10"/>
    <n v="47"/>
    <n v="18"/>
    <x v="2"/>
    <x v="2"/>
    <s v="cashloan"/>
    <n v="7273280000"/>
  </r>
  <r>
    <x v="316"/>
    <x v="0"/>
    <x v="10"/>
    <n v="47"/>
    <n v="18"/>
    <x v="6"/>
    <x v="6"/>
    <s v="payday"/>
    <n v="67000000"/>
  </r>
  <r>
    <x v="316"/>
    <x v="0"/>
    <x v="10"/>
    <n v="47"/>
    <n v="18"/>
    <x v="21"/>
    <x v="9"/>
    <s v="cashloan"/>
    <n v="66380000"/>
  </r>
  <r>
    <x v="317"/>
    <x v="0"/>
    <x v="10"/>
    <n v="47"/>
    <n v="19"/>
    <x v="3"/>
    <x v="3"/>
    <s v="cashloan"/>
    <n v="0"/>
  </r>
  <r>
    <x v="317"/>
    <x v="0"/>
    <x v="10"/>
    <n v="47"/>
    <n v="19"/>
    <x v="1"/>
    <x v="1"/>
    <s v="cashloan"/>
    <n v="33600000"/>
  </r>
  <r>
    <x v="317"/>
    <x v="0"/>
    <x v="10"/>
    <n v="47"/>
    <n v="19"/>
    <x v="15"/>
    <x v="14"/>
    <s v="paylater"/>
    <n v="0"/>
  </r>
  <r>
    <x v="317"/>
    <x v="0"/>
    <x v="10"/>
    <n v="47"/>
    <n v="19"/>
    <x v="19"/>
    <x v="12"/>
    <s v="paylater"/>
    <n v="343540581"/>
  </r>
  <r>
    <x v="317"/>
    <x v="0"/>
    <x v="10"/>
    <n v="47"/>
    <n v="19"/>
    <x v="18"/>
    <x v="15"/>
    <s v="cashloan"/>
    <n v="5000000"/>
  </r>
  <r>
    <x v="317"/>
    <x v="0"/>
    <x v="10"/>
    <n v="47"/>
    <n v="19"/>
    <x v="14"/>
    <x v="13"/>
    <s v="cashloan"/>
    <n v="265830000"/>
  </r>
  <r>
    <x v="317"/>
    <x v="0"/>
    <x v="10"/>
    <n v="47"/>
    <n v="19"/>
    <x v="11"/>
    <x v="10"/>
    <s v="paylater"/>
    <n v="62722826"/>
  </r>
  <r>
    <x v="317"/>
    <x v="0"/>
    <x v="10"/>
    <n v="47"/>
    <n v="19"/>
    <x v="0"/>
    <x v="0"/>
    <s v="payday"/>
    <n v="3921000000"/>
  </r>
  <r>
    <x v="317"/>
    <x v="0"/>
    <x v="10"/>
    <n v="47"/>
    <n v="19"/>
    <x v="5"/>
    <x v="5"/>
    <s v="overdraft"/>
    <n v="3210615730"/>
  </r>
  <r>
    <x v="317"/>
    <x v="0"/>
    <x v="10"/>
    <n v="47"/>
    <n v="19"/>
    <x v="8"/>
    <x v="8"/>
    <s v="cashloan"/>
    <n v="0"/>
  </r>
  <r>
    <x v="317"/>
    <x v="0"/>
    <x v="10"/>
    <n v="47"/>
    <n v="19"/>
    <x v="12"/>
    <x v="11"/>
    <s v="cashloan"/>
    <n v="4949460000"/>
  </r>
  <r>
    <x v="317"/>
    <x v="0"/>
    <x v="10"/>
    <n v="47"/>
    <n v="19"/>
    <x v="2"/>
    <x v="2"/>
    <s v="cashloan"/>
    <n v="7049750000"/>
  </r>
  <r>
    <x v="317"/>
    <x v="0"/>
    <x v="10"/>
    <n v="47"/>
    <n v="19"/>
    <x v="7"/>
    <x v="7"/>
    <s v="paylater"/>
    <n v="288751469"/>
  </r>
  <r>
    <x v="317"/>
    <x v="0"/>
    <x v="10"/>
    <n v="47"/>
    <n v="19"/>
    <x v="6"/>
    <x v="6"/>
    <s v="payday"/>
    <n v="40000000"/>
  </r>
  <r>
    <x v="317"/>
    <x v="0"/>
    <x v="10"/>
    <n v="47"/>
    <n v="19"/>
    <x v="20"/>
    <x v="9"/>
    <s v="cashloan"/>
    <n v="32100000"/>
  </r>
  <r>
    <x v="317"/>
    <x v="0"/>
    <x v="10"/>
    <n v="47"/>
    <n v="19"/>
    <x v="21"/>
    <x v="9"/>
    <s v="cashloan"/>
    <n v="100600000"/>
  </r>
  <r>
    <x v="317"/>
    <x v="0"/>
    <x v="10"/>
    <n v="47"/>
    <n v="19"/>
    <x v="17"/>
    <x v="9"/>
    <s v="cashloan"/>
    <n v="21400000"/>
  </r>
  <r>
    <x v="318"/>
    <x v="0"/>
    <x v="10"/>
    <n v="47"/>
    <n v="20"/>
    <x v="2"/>
    <x v="2"/>
    <s v="cashloan"/>
    <n v="6685750000"/>
  </r>
  <r>
    <x v="318"/>
    <x v="0"/>
    <x v="10"/>
    <n v="47"/>
    <n v="20"/>
    <x v="21"/>
    <x v="9"/>
    <s v="cashloan"/>
    <n v="33170000"/>
  </r>
  <r>
    <x v="318"/>
    <x v="0"/>
    <x v="10"/>
    <n v="47"/>
    <n v="20"/>
    <x v="15"/>
    <x v="14"/>
    <s v="paylater"/>
    <n v="0"/>
  </r>
  <r>
    <x v="318"/>
    <x v="0"/>
    <x v="10"/>
    <n v="47"/>
    <n v="20"/>
    <x v="18"/>
    <x v="15"/>
    <s v="cashloan"/>
    <n v="0"/>
  </r>
  <r>
    <x v="318"/>
    <x v="0"/>
    <x v="10"/>
    <n v="47"/>
    <n v="20"/>
    <x v="7"/>
    <x v="7"/>
    <s v="paylater"/>
    <n v="316097106"/>
  </r>
  <r>
    <x v="318"/>
    <x v="0"/>
    <x v="10"/>
    <n v="47"/>
    <n v="20"/>
    <x v="1"/>
    <x v="1"/>
    <s v="cashloan"/>
    <n v="21000000"/>
  </r>
  <r>
    <x v="318"/>
    <x v="0"/>
    <x v="10"/>
    <n v="47"/>
    <n v="20"/>
    <x v="0"/>
    <x v="0"/>
    <s v="payday"/>
    <n v="3955000000"/>
  </r>
  <r>
    <x v="318"/>
    <x v="0"/>
    <x v="10"/>
    <n v="47"/>
    <n v="20"/>
    <x v="11"/>
    <x v="10"/>
    <s v="paylater"/>
    <n v="65687319"/>
  </r>
  <r>
    <x v="318"/>
    <x v="0"/>
    <x v="10"/>
    <n v="47"/>
    <n v="20"/>
    <x v="19"/>
    <x v="12"/>
    <s v="paylater"/>
    <n v="213357944"/>
  </r>
  <r>
    <x v="318"/>
    <x v="0"/>
    <x v="10"/>
    <n v="47"/>
    <n v="20"/>
    <x v="8"/>
    <x v="8"/>
    <s v="cashloan"/>
    <n v="0"/>
  </r>
  <r>
    <x v="318"/>
    <x v="0"/>
    <x v="10"/>
    <n v="47"/>
    <n v="20"/>
    <x v="12"/>
    <x v="11"/>
    <s v="cashloan"/>
    <n v="4421750000"/>
  </r>
  <r>
    <x v="318"/>
    <x v="0"/>
    <x v="10"/>
    <n v="47"/>
    <n v="20"/>
    <x v="14"/>
    <x v="13"/>
    <s v="cashloan"/>
    <n v="265010000"/>
  </r>
  <r>
    <x v="318"/>
    <x v="0"/>
    <x v="10"/>
    <n v="47"/>
    <n v="20"/>
    <x v="5"/>
    <x v="5"/>
    <s v="overdraft"/>
    <n v="3181441230"/>
  </r>
  <r>
    <x v="318"/>
    <x v="0"/>
    <x v="10"/>
    <n v="47"/>
    <n v="20"/>
    <x v="6"/>
    <x v="6"/>
    <s v="payday"/>
    <n v="39000000"/>
  </r>
  <r>
    <x v="318"/>
    <x v="0"/>
    <x v="10"/>
    <n v="47"/>
    <n v="20"/>
    <x v="17"/>
    <x v="9"/>
    <s v="cashloan"/>
    <n v="10700000"/>
  </r>
  <r>
    <x v="318"/>
    <x v="0"/>
    <x v="10"/>
    <n v="47"/>
    <n v="20"/>
    <x v="20"/>
    <x v="9"/>
    <s v="cashloan"/>
    <n v="21400000"/>
  </r>
  <r>
    <x v="318"/>
    <x v="0"/>
    <x v="10"/>
    <n v="47"/>
    <n v="20"/>
    <x v="3"/>
    <x v="3"/>
    <s v="cashloan"/>
    <n v="41000000"/>
  </r>
  <r>
    <x v="319"/>
    <x v="0"/>
    <x v="10"/>
    <n v="47"/>
    <n v="21"/>
    <x v="12"/>
    <x v="11"/>
    <s v="cashloan"/>
    <n v="4530340000"/>
  </r>
  <r>
    <x v="319"/>
    <x v="0"/>
    <x v="10"/>
    <n v="47"/>
    <n v="21"/>
    <x v="3"/>
    <x v="3"/>
    <s v="cashloan"/>
    <n v="29900000"/>
  </r>
  <r>
    <x v="319"/>
    <x v="0"/>
    <x v="10"/>
    <n v="47"/>
    <n v="21"/>
    <x v="5"/>
    <x v="5"/>
    <s v="overdraft"/>
    <n v="3436723841"/>
  </r>
  <r>
    <x v="319"/>
    <x v="0"/>
    <x v="10"/>
    <n v="47"/>
    <n v="21"/>
    <x v="2"/>
    <x v="2"/>
    <s v="cashloan"/>
    <n v="6138230000"/>
  </r>
  <r>
    <x v="319"/>
    <x v="0"/>
    <x v="10"/>
    <n v="47"/>
    <n v="21"/>
    <x v="6"/>
    <x v="6"/>
    <s v="payday"/>
    <n v="44000000"/>
  </r>
  <r>
    <x v="319"/>
    <x v="0"/>
    <x v="10"/>
    <n v="47"/>
    <n v="21"/>
    <x v="19"/>
    <x v="12"/>
    <s v="paylater"/>
    <n v="183953900"/>
  </r>
  <r>
    <x v="319"/>
    <x v="0"/>
    <x v="10"/>
    <n v="47"/>
    <n v="21"/>
    <x v="18"/>
    <x v="15"/>
    <s v="cashloan"/>
    <n v="0"/>
  </r>
  <r>
    <x v="319"/>
    <x v="0"/>
    <x v="10"/>
    <n v="47"/>
    <n v="21"/>
    <x v="11"/>
    <x v="10"/>
    <s v="paylater"/>
    <n v="89202580"/>
  </r>
  <r>
    <x v="319"/>
    <x v="0"/>
    <x v="10"/>
    <n v="47"/>
    <n v="21"/>
    <x v="20"/>
    <x v="9"/>
    <s v="cashloan"/>
    <n v="0"/>
  </r>
  <r>
    <x v="319"/>
    <x v="0"/>
    <x v="10"/>
    <n v="47"/>
    <n v="21"/>
    <x v="15"/>
    <x v="14"/>
    <s v="paylater"/>
    <n v="190000"/>
  </r>
  <r>
    <x v="319"/>
    <x v="0"/>
    <x v="10"/>
    <n v="47"/>
    <n v="21"/>
    <x v="0"/>
    <x v="0"/>
    <s v="payday"/>
    <n v="4033500000"/>
  </r>
  <r>
    <x v="319"/>
    <x v="0"/>
    <x v="10"/>
    <n v="47"/>
    <n v="21"/>
    <x v="14"/>
    <x v="13"/>
    <s v="cashloan"/>
    <n v="192750000"/>
  </r>
  <r>
    <x v="319"/>
    <x v="0"/>
    <x v="10"/>
    <n v="47"/>
    <n v="21"/>
    <x v="7"/>
    <x v="7"/>
    <s v="paylater"/>
    <n v="354048543"/>
  </r>
  <r>
    <x v="319"/>
    <x v="0"/>
    <x v="10"/>
    <n v="47"/>
    <n v="21"/>
    <x v="21"/>
    <x v="9"/>
    <s v="cashloan"/>
    <n v="92670000"/>
  </r>
  <r>
    <x v="319"/>
    <x v="0"/>
    <x v="10"/>
    <n v="47"/>
    <n v="21"/>
    <x v="8"/>
    <x v="8"/>
    <s v="cashloan"/>
    <n v="0"/>
  </r>
  <r>
    <x v="319"/>
    <x v="0"/>
    <x v="10"/>
    <n v="47"/>
    <n v="21"/>
    <x v="1"/>
    <x v="1"/>
    <s v="cashloan"/>
    <n v="56750000"/>
  </r>
  <r>
    <x v="319"/>
    <x v="0"/>
    <x v="10"/>
    <n v="47"/>
    <n v="21"/>
    <x v="17"/>
    <x v="9"/>
    <s v="cashloan"/>
    <n v="60800000"/>
  </r>
  <r>
    <x v="320"/>
    <x v="0"/>
    <x v="10"/>
    <n v="47"/>
    <n v="22"/>
    <x v="19"/>
    <x v="12"/>
    <s v="paylater"/>
    <n v="120094644"/>
  </r>
  <r>
    <x v="320"/>
    <x v="0"/>
    <x v="10"/>
    <n v="47"/>
    <n v="22"/>
    <x v="3"/>
    <x v="3"/>
    <s v="cashloan"/>
    <n v="0"/>
  </r>
  <r>
    <x v="320"/>
    <x v="0"/>
    <x v="10"/>
    <n v="47"/>
    <n v="22"/>
    <x v="11"/>
    <x v="10"/>
    <s v="paylater"/>
    <n v="77722463"/>
  </r>
  <r>
    <x v="320"/>
    <x v="0"/>
    <x v="10"/>
    <n v="47"/>
    <n v="22"/>
    <x v="17"/>
    <x v="9"/>
    <s v="cashloan"/>
    <n v="21400000"/>
  </r>
  <r>
    <x v="320"/>
    <x v="0"/>
    <x v="10"/>
    <n v="47"/>
    <n v="22"/>
    <x v="5"/>
    <x v="5"/>
    <s v="overdraft"/>
    <n v="3549782561"/>
  </r>
  <r>
    <x v="320"/>
    <x v="0"/>
    <x v="10"/>
    <n v="47"/>
    <n v="22"/>
    <x v="20"/>
    <x v="9"/>
    <s v="cashloan"/>
    <n v="27400000"/>
  </r>
  <r>
    <x v="320"/>
    <x v="0"/>
    <x v="10"/>
    <n v="47"/>
    <n v="22"/>
    <x v="1"/>
    <x v="1"/>
    <s v="cashloan"/>
    <n v="52500000"/>
  </r>
  <r>
    <x v="320"/>
    <x v="0"/>
    <x v="10"/>
    <n v="47"/>
    <n v="22"/>
    <x v="21"/>
    <x v="9"/>
    <s v="cashloan"/>
    <n v="63800000"/>
  </r>
  <r>
    <x v="320"/>
    <x v="0"/>
    <x v="10"/>
    <n v="47"/>
    <n v="22"/>
    <x v="7"/>
    <x v="7"/>
    <s v="paylater"/>
    <n v="307896883"/>
  </r>
  <r>
    <x v="320"/>
    <x v="0"/>
    <x v="10"/>
    <n v="47"/>
    <n v="22"/>
    <x v="8"/>
    <x v="8"/>
    <s v="cashloan"/>
    <n v="0"/>
  </r>
  <r>
    <x v="320"/>
    <x v="0"/>
    <x v="10"/>
    <n v="47"/>
    <n v="22"/>
    <x v="15"/>
    <x v="14"/>
    <s v="paylater"/>
    <n v="0"/>
  </r>
  <r>
    <x v="320"/>
    <x v="0"/>
    <x v="10"/>
    <n v="47"/>
    <n v="22"/>
    <x v="14"/>
    <x v="13"/>
    <s v="cashloan"/>
    <n v="293170000"/>
  </r>
  <r>
    <x v="320"/>
    <x v="0"/>
    <x v="10"/>
    <n v="47"/>
    <n v="22"/>
    <x v="18"/>
    <x v="15"/>
    <s v="cashloan"/>
    <n v="0"/>
  </r>
  <r>
    <x v="320"/>
    <x v="0"/>
    <x v="10"/>
    <n v="47"/>
    <n v="22"/>
    <x v="0"/>
    <x v="0"/>
    <s v="payday"/>
    <n v="3833000000"/>
  </r>
  <r>
    <x v="320"/>
    <x v="0"/>
    <x v="10"/>
    <n v="47"/>
    <n v="22"/>
    <x v="2"/>
    <x v="2"/>
    <s v="cashloan"/>
    <n v="6916440000"/>
  </r>
  <r>
    <x v="320"/>
    <x v="0"/>
    <x v="10"/>
    <n v="47"/>
    <n v="22"/>
    <x v="6"/>
    <x v="6"/>
    <s v="payday"/>
    <n v="46000000"/>
  </r>
  <r>
    <x v="320"/>
    <x v="0"/>
    <x v="10"/>
    <n v="47"/>
    <n v="22"/>
    <x v="12"/>
    <x v="11"/>
    <s v="cashloan"/>
    <n v="4752530000"/>
  </r>
  <r>
    <x v="321"/>
    <x v="0"/>
    <x v="10"/>
    <n v="47"/>
    <n v="23"/>
    <x v="3"/>
    <x v="3"/>
    <s v="cashloan"/>
    <n v="0"/>
  </r>
  <r>
    <x v="321"/>
    <x v="0"/>
    <x v="10"/>
    <n v="47"/>
    <n v="23"/>
    <x v="21"/>
    <x v="9"/>
    <s v="cashloan"/>
    <n v="76990000"/>
  </r>
  <r>
    <x v="321"/>
    <x v="0"/>
    <x v="10"/>
    <n v="47"/>
    <n v="23"/>
    <x v="14"/>
    <x v="13"/>
    <s v="cashloan"/>
    <n v="428410000"/>
  </r>
  <r>
    <x v="321"/>
    <x v="0"/>
    <x v="10"/>
    <n v="47"/>
    <n v="23"/>
    <x v="17"/>
    <x v="9"/>
    <s v="cashloan"/>
    <n v="0"/>
  </r>
  <r>
    <x v="321"/>
    <x v="0"/>
    <x v="10"/>
    <n v="47"/>
    <n v="23"/>
    <x v="18"/>
    <x v="15"/>
    <s v="cashloan"/>
    <n v="0"/>
  </r>
  <r>
    <x v="321"/>
    <x v="0"/>
    <x v="10"/>
    <n v="47"/>
    <n v="23"/>
    <x v="20"/>
    <x v="9"/>
    <s v="cashloan"/>
    <n v="49220000"/>
  </r>
  <r>
    <x v="321"/>
    <x v="0"/>
    <x v="10"/>
    <n v="47"/>
    <n v="23"/>
    <x v="15"/>
    <x v="14"/>
    <s v="paylater"/>
    <n v="0"/>
  </r>
  <r>
    <x v="321"/>
    <x v="0"/>
    <x v="10"/>
    <n v="47"/>
    <n v="23"/>
    <x v="19"/>
    <x v="12"/>
    <s v="paylater"/>
    <n v="124149900"/>
  </r>
  <r>
    <x v="321"/>
    <x v="0"/>
    <x v="10"/>
    <n v="47"/>
    <n v="23"/>
    <x v="2"/>
    <x v="2"/>
    <s v="cashloan"/>
    <n v="6108700000"/>
  </r>
  <r>
    <x v="321"/>
    <x v="0"/>
    <x v="10"/>
    <n v="47"/>
    <n v="23"/>
    <x v="0"/>
    <x v="0"/>
    <s v="payday"/>
    <n v="3717000000"/>
  </r>
  <r>
    <x v="321"/>
    <x v="0"/>
    <x v="10"/>
    <n v="47"/>
    <n v="23"/>
    <x v="1"/>
    <x v="1"/>
    <s v="cashloan"/>
    <n v="10500000"/>
  </r>
  <r>
    <x v="321"/>
    <x v="0"/>
    <x v="10"/>
    <n v="47"/>
    <n v="23"/>
    <x v="7"/>
    <x v="7"/>
    <s v="paylater"/>
    <n v="254992948"/>
  </r>
  <r>
    <x v="321"/>
    <x v="0"/>
    <x v="10"/>
    <n v="47"/>
    <n v="23"/>
    <x v="8"/>
    <x v="8"/>
    <s v="cashloan"/>
    <n v="0"/>
  </r>
  <r>
    <x v="321"/>
    <x v="0"/>
    <x v="10"/>
    <n v="47"/>
    <n v="23"/>
    <x v="12"/>
    <x v="11"/>
    <s v="cashloan"/>
    <n v="4324200000"/>
  </r>
  <r>
    <x v="321"/>
    <x v="0"/>
    <x v="10"/>
    <n v="47"/>
    <n v="23"/>
    <x v="11"/>
    <x v="10"/>
    <s v="paylater"/>
    <n v="88000466"/>
  </r>
  <r>
    <x v="321"/>
    <x v="0"/>
    <x v="10"/>
    <n v="47"/>
    <n v="23"/>
    <x v="5"/>
    <x v="5"/>
    <s v="overdraft"/>
    <n v="2890718049"/>
  </r>
  <r>
    <x v="321"/>
    <x v="0"/>
    <x v="10"/>
    <n v="47"/>
    <n v="23"/>
    <x v="6"/>
    <x v="6"/>
    <s v="payday"/>
    <n v="74000000"/>
  </r>
  <r>
    <x v="322"/>
    <x v="0"/>
    <x v="10"/>
    <n v="47"/>
    <n v="24"/>
    <x v="17"/>
    <x v="9"/>
    <s v="cashloan"/>
    <n v="20000000"/>
  </r>
  <r>
    <x v="322"/>
    <x v="0"/>
    <x v="10"/>
    <n v="47"/>
    <n v="24"/>
    <x v="15"/>
    <x v="14"/>
    <s v="paylater"/>
    <n v="0"/>
  </r>
  <r>
    <x v="322"/>
    <x v="0"/>
    <x v="10"/>
    <n v="47"/>
    <n v="24"/>
    <x v="3"/>
    <x v="3"/>
    <s v="cashloan"/>
    <n v="0"/>
  </r>
  <r>
    <x v="322"/>
    <x v="0"/>
    <x v="10"/>
    <n v="47"/>
    <n v="24"/>
    <x v="2"/>
    <x v="2"/>
    <s v="cashloan"/>
    <n v="3267490000"/>
  </r>
  <r>
    <x v="322"/>
    <x v="0"/>
    <x v="10"/>
    <n v="47"/>
    <n v="24"/>
    <x v="8"/>
    <x v="8"/>
    <s v="cashloan"/>
    <n v="0"/>
  </r>
  <r>
    <x v="322"/>
    <x v="0"/>
    <x v="10"/>
    <n v="47"/>
    <n v="24"/>
    <x v="20"/>
    <x v="9"/>
    <s v="cashloan"/>
    <n v="0"/>
  </r>
  <r>
    <x v="322"/>
    <x v="0"/>
    <x v="10"/>
    <n v="47"/>
    <n v="24"/>
    <x v="19"/>
    <x v="12"/>
    <s v="paylater"/>
    <n v="52447499"/>
  </r>
  <r>
    <x v="322"/>
    <x v="0"/>
    <x v="10"/>
    <n v="47"/>
    <n v="24"/>
    <x v="7"/>
    <x v="7"/>
    <s v="paylater"/>
    <n v="268114542"/>
  </r>
  <r>
    <x v="322"/>
    <x v="0"/>
    <x v="10"/>
    <n v="47"/>
    <n v="24"/>
    <x v="14"/>
    <x v="13"/>
    <s v="cashloan"/>
    <n v="238510000"/>
  </r>
  <r>
    <x v="322"/>
    <x v="0"/>
    <x v="10"/>
    <n v="47"/>
    <n v="24"/>
    <x v="6"/>
    <x v="6"/>
    <s v="payday"/>
    <n v="40000000"/>
  </r>
  <r>
    <x v="322"/>
    <x v="0"/>
    <x v="10"/>
    <n v="47"/>
    <n v="24"/>
    <x v="11"/>
    <x v="10"/>
    <s v="paylater"/>
    <n v="57894698"/>
  </r>
  <r>
    <x v="322"/>
    <x v="0"/>
    <x v="10"/>
    <n v="47"/>
    <n v="24"/>
    <x v="0"/>
    <x v="0"/>
    <s v="payday"/>
    <n v="1949000000"/>
  </r>
  <r>
    <x v="322"/>
    <x v="0"/>
    <x v="10"/>
    <n v="47"/>
    <n v="24"/>
    <x v="1"/>
    <x v="1"/>
    <s v="cashloan"/>
    <n v="21000000"/>
  </r>
  <r>
    <x v="322"/>
    <x v="0"/>
    <x v="10"/>
    <n v="47"/>
    <n v="24"/>
    <x v="18"/>
    <x v="15"/>
    <s v="cashloan"/>
    <n v="0"/>
  </r>
  <r>
    <x v="322"/>
    <x v="0"/>
    <x v="10"/>
    <n v="47"/>
    <n v="24"/>
    <x v="12"/>
    <x v="11"/>
    <s v="cashloan"/>
    <n v="2074750000"/>
  </r>
  <r>
    <x v="322"/>
    <x v="0"/>
    <x v="10"/>
    <n v="47"/>
    <n v="24"/>
    <x v="21"/>
    <x v="9"/>
    <s v="cashloan"/>
    <n v="32470000"/>
  </r>
  <r>
    <x v="322"/>
    <x v="0"/>
    <x v="10"/>
    <n v="47"/>
    <n v="24"/>
    <x v="5"/>
    <x v="5"/>
    <s v="overdraft"/>
    <n v="2312398101"/>
  </r>
  <r>
    <x v="323"/>
    <x v="0"/>
    <x v="10"/>
    <n v="48"/>
    <n v="25"/>
    <x v="7"/>
    <x v="7"/>
    <s v="paylater"/>
    <n v="270986226"/>
  </r>
  <r>
    <x v="323"/>
    <x v="0"/>
    <x v="10"/>
    <n v="48"/>
    <n v="25"/>
    <x v="2"/>
    <x v="2"/>
    <s v="cashloan"/>
    <n v="3993870000"/>
  </r>
  <r>
    <x v="323"/>
    <x v="0"/>
    <x v="10"/>
    <n v="48"/>
    <n v="25"/>
    <x v="0"/>
    <x v="0"/>
    <s v="payday"/>
    <n v="2208500000"/>
  </r>
  <r>
    <x v="323"/>
    <x v="0"/>
    <x v="10"/>
    <n v="48"/>
    <n v="25"/>
    <x v="8"/>
    <x v="8"/>
    <s v="cashloan"/>
    <n v="0"/>
  </r>
  <r>
    <x v="323"/>
    <x v="0"/>
    <x v="10"/>
    <n v="48"/>
    <n v="25"/>
    <x v="14"/>
    <x v="13"/>
    <s v="cashloan"/>
    <n v="228970000"/>
  </r>
  <r>
    <x v="323"/>
    <x v="0"/>
    <x v="10"/>
    <n v="48"/>
    <n v="25"/>
    <x v="6"/>
    <x v="6"/>
    <s v="payday"/>
    <n v="31000000"/>
  </r>
  <r>
    <x v="323"/>
    <x v="0"/>
    <x v="10"/>
    <n v="48"/>
    <n v="25"/>
    <x v="17"/>
    <x v="9"/>
    <s v="cashloan"/>
    <n v="0"/>
  </r>
  <r>
    <x v="323"/>
    <x v="0"/>
    <x v="10"/>
    <n v="48"/>
    <n v="25"/>
    <x v="11"/>
    <x v="10"/>
    <s v="paylater"/>
    <n v="63036153"/>
  </r>
  <r>
    <x v="323"/>
    <x v="0"/>
    <x v="10"/>
    <n v="48"/>
    <n v="25"/>
    <x v="5"/>
    <x v="5"/>
    <s v="overdraft"/>
    <n v="3192289232"/>
  </r>
  <r>
    <x v="323"/>
    <x v="0"/>
    <x v="10"/>
    <n v="48"/>
    <n v="25"/>
    <x v="15"/>
    <x v="14"/>
    <s v="paylater"/>
    <n v="0"/>
  </r>
  <r>
    <x v="323"/>
    <x v="0"/>
    <x v="10"/>
    <n v="48"/>
    <n v="25"/>
    <x v="18"/>
    <x v="15"/>
    <s v="cashloan"/>
    <n v="5000000"/>
  </r>
  <r>
    <x v="323"/>
    <x v="0"/>
    <x v="10"/>
    <n v="48"/>
    <n v="25"/>
    <x v="20"/>
    <x v="9"/>
    <s v="cashloan"/>
    <n v="0"/>
  </r>
  <r>
    <x v="323"/>
    <x v="0"/>
    <x v="10"/>
    <n v="48"/>
    <n v="25"/>
    <x v="21"/>
    <x v="9"/>
    <s v="cashloan"/>
    <n v="107000000"/>
  </r>
  <r>
    <x v="323"/>
    <x v="0"/>
    <x v="10"/>
    <n v="48"/>
    <n v="25"/>
    <x v="1"/>
    <x v="1"/>
    <s v="cashloan"/>
    <n v="31500000"/>
  </r>
  <r>
    <x v="323"/>
    <x v="0"/>
    <x v="10"/>
    <n v="48"/>
    <n v="25"/>
    <x v="3"/>
    <x v="3"/>
    <s v="cashloan"/>
    <n v="21000000"/>
  </r>
  <r>
    <x v="323"/>
    <x v="0"/>
    <x v="10"/>
    <n v="48"/>
    <n v="25"/>
    <x v="19"/>
    <x v="12"/>
    <s v="paylater"/>
    <n v="61967565"/>
  </r>
  <r>
    <x v="323"/>
    <x v="0"/>
    <x v="10"/>
    <n v="48"/>
    <n v="25"/>
    <x v="12"/>
    <x v="11"/>
    <s v="cashloan"/>
    <n v="1992750000"/>
  </r>
  <r>
    <x v="324"/>
    <x v="0"/>
    <x v="10"/>
    <n v="48"/>
    <n v="26"/>
    <x v="12"/>
    <x v="11"/>
    <s v="cashloan"/>
    <n v="5372500000"/>
  </r>
  <r>
    <x v="324"/>
    <x v="0"/>
    <x v="10"/>
    <n v="48"/>
    <n v="26"/>
    <x v="2"/>
    <x v="2"/>
    <s v="cashloan"/>
    <n v="5431420000"/>
  </r>
  <r>
    <x v="324"/>
    <x v="0"/>
    <x v="10"/>
    <n v="48"/>
    <n v="26"/>
    <x v="8"/>
    <x v="8"/>
    <s v="cashloan"/>
    <n v="0"/>
  </r>
  <r>
    <x v="324"/>
    <x v="0"/>
    <x v="10"/>
    <n v="48"/>
    <n v="26"/>
    <x v="19"/>
    <x v="12"/>
    <s v="paylater"/>
    <n v="64594217"/>
  </r>
  <r>
    <x v="324"/>
    <x v="0"/>
    <x v="10"/>
    <n v="48"/>
    <n v="26"/>
    <x v="7"/>
    <x v="7"/>
    <s v="paylater"/>
    <n v="271776577"/>
  </r>
  <r>
    <x v="324"/>
    <x v="0"/>
    <x v="10"/>
    <n v="48"/>
    <n v="26"/>
    <x v="6"/>
    <x v="6"/>
    <s v="payday"/>
    <n v="65000000"/>
  </r>
  <r>
    <x v="324"/>
    <x v="0"/>
    <x v="10"/>
    <n v="48"/>
    <n v="26"/>
    <x v="0"/>
    <x v="0"/>
    <s v="payday"/>
    <n v="2887000000"/>
  </r>
  <r>
    <x v="324"/>
    <x v="0"/>
    <x v="10"/>
    <n v="48"/>
    <n v="26"/>
    <x v="11"/>
    <x v="10"/>
    <s v="paylater"/>
    <n v="72364521"/>
  </r>
  <r>
    <x v="324"/>
    <x v="0"/>
    <x v="10"/>
    <n v="48"/>
    <n v="26"/>
    <x v="5"/>
    <x v="5"/>
    <s v="overdraft"/>
    <n v="2999705092"/>
  </r>
  <r>
    <x v="324"/>
    <x v="0"/>
    <x v="10"/>
    <n v="48"/>
    <n v="26"/>
    <x v="18"/>
    <x v="15"/>
    <s v="cashloan"/>
    <n v="0"/>
  </r>
  <r>
    <x v="324"/>
    <x v="0"/>
    <x v="10"/>
    <n v="48"/>
    <n v="26"/>
    <x v="15"/>
    <x v="14"/>
    <s v="paylater"/>
    <n v="0"/>
  </r>
  <r>
    <x v="324"/>
    <x v="0"/>
    <x v="10"/>
    <n v="48"/>
    <n v="26"/>
    <x v="1"/>
    <x v="1"/>
    <s v="cashloan"/>
    <n v="21000000"/>
  </r>
  <r>
    <x v="324"/>
    <x v="0"/>
    <x v="10"/>
    <n v="48"/>
    <n v="26"/>
    <x v="17"/>
    <x v="9"/>
    <s v="cashloan"/>
    <n v="13910000"/>
  </r>
  <r>
    <x v="324"/>
    <x v="0"/>
    <x v="10"/>
    <n v="48"/>
    <n v="26"/>
    <x v="14"/>
    <x v="13"/>
    <s v="cashloan"/>
    <n v="305620000"/>
  </r>
  <r>
    <x v="324"/>
    <x v="0"/>
    <x v="10"/>
    <n v="48"/>
    <n v="26"/>
    <x v="20"/>
    <x v="9"/>
    <s v="cashloan"/>
    <n v="10700000"/>
  </r>
  <r>
    <x v="324"/>
    <x v="0"/>
    <x v="10"/>
    <n v="48"/>
    <n v="26"/>
    <x v="21"/>
    <x v="9"/>
    <s v="cashloan"/>
    <n v="145520000"/>
  </r>
  <r>
    <x v="324"/>
    <x v="0"/>
    <x v="10"/>
    <n v="48"/>
    <n v="26"/>
    <x v="3"/>
    <x v="3"/>
    <s v="cashloan"/>
    <n v="21000000"/>
  </r>
  <r>
    <x v="325"/>
    <x v="0"/>
    <x v="10"/>
    <n v="48"/>
    <n v="27"/>
    <x v="15"/>
    <x v="14"/>
    <s v="paylater"/>
    <n v="189700"/>
  </r>
  <r>
    <x v="325"/>
    <x v="0"/>
    <x v="10"/>
    <n v="48"/>
    <n v="27"/>
    <x v="3"/>
    <x v="3"/>
    <s v="cashloan"/>
    <n v="0"/>
  </r>
  <r>
    <x v="325"/>
    <x v="0"/>
    <x v="10"/>
    <n v="48"/>
    <n v="27"/>
    <x v="7"/>
    <x v="7"/>
    <s v="paylater"/>
    <n v="263982693"/>
  </r>
  <r>
    <x v="325"/>
    <x v="0"/>
    <x v="10"/>
    <n v="48"/>
    <n v="27"/>
    <x v="1"/>
    <x v="1"/>
    <s v="cashloan"/>
    <n v="57750000"/>
  </r>
  <r>
    <x v="325"/>
    <x v="0"/>
    <x v="10"/>
    <n v="48"/>
    <n v="27"/>
    <x v="6"/>
    <x v="6"/>
    <s v="payday"/>
    <n v="28000000"/>
  </r>
  <r>
    <x v="325"/>
    <x v="0"/>
    <x v="10"/>
    <n v="48"/>
    <n v="27"/>
    <x v="18"/>
    <x v="15"/>
    <s v="cashloan"/>
    <n v="0"/>
  </r>
  <r>
    <x v="325"/>
    <x v="0"/>
    <x v="10"/>
    <n v="48"/>
    <n v="27"/>
    <x v="5"/>
    <x v="5"/>
    <s v="overdraft"/>
    <n v="2737738700"/>
  </r>
  <r>
    <x v="325"/>
    <x v="0"/>
    <x v="10"/>
    <n v="48"/>
    <n v="27"/>
    <x v="14"/>
    <x v="13"/>
    <s v="cashloan"/>
    <n v="260930000"/>
  </r>
  <r>
    <x v="325"/>
    <x v="0"/>
    <x v="10"/>
    <n v="48"/>
    <n v="27"/>
    <x v="21"/>
    <x v="9"/>
    <s v="cashloan"/>
    <n v="74200000"/>
  </r>
  <r>
    <x v="325"/>
    <x v="0"/>
    <x v="10"/>
    <n v="48"/>
    <n v="27"/>
    <x v="17"/>
    <x v="9"/>
    <s v="cashloan"/>
    <n v="16050000"/>
  </r>
  <r>
    <x v="325"/>
    <x v="0"/>
    <x v="10"/>
    <n v="48"/>
    <n v="27"/>
    <x v="20"/>
    <x v="9"/>
    <s v="cashloan"/>
    <n v="12840000"/>
  </r>
  <r>
    <x v="325"/>
    <x v="0"/>
    <x v="10"/>
    <n v="48"/>
    <n v="27"/>
    <x v="11"/>
    <x v="10"/>
    <s v="paylater"/>
    <n v="92254219"/>
  </r>
  <r>
    <x v="325"/>
    <x v="0"/>
    <x v="10"/>
    <n v="48"/>
    <n v="27"/>
    <x v="2"/>
    <x v="2"/>
    <s v="cashloan"/>
    <n v="6321430000"/>
  </r>
  <r>
    <x v="325"/>
    <x v="0"/>
    <x v="10"/>
    <n v="48"/>
    <n v="27"/>
    <x v="0"/>
    <x v="0"/>
    <s v="payday"/>
    <n v="3252500000"/>
  </r>
  <r>
    <x v="325"/>
    <x v="0"/>
    <x v="10"/>
    <n v="48"/>
    <n v="27"/>
    <x v="8"/>
    <x v="8"/>
    <s v="cashloan"/>
    <n v="0"/>
  </r>
  <r>
    <x v="325"/>
    <x v="0"/>
    <x v="10"/>
    <n v="48"/>
    <n v="27"/>
    <x v="19"/>
    <x v="12"/>
    <s v="paylater"/>
    <n v="87109299"/>
  </r>
  <r>
    <x v="325"/>
    <x v="0"/>
    <x v="10"/>
    <n v="48"/>
    <n v="27"/>
    <x v="12"/>
    <x v="11"/>
    <s v="cashloan"/>
    <n v="4384050000"/>
  </r>
  <r>
    <x v="326"/>
    <x v="0"/>
    <x v="10"/>
    <n v="48"/>
    <n v="28"/>
    <x v="7"/>
    <x v="7"/>
    <s v="paylater"/>
    <n v="306807682"/>
  </r>
  <r>
    <x v="326"/>
    <x v="0"/>
    <x v="10"/>
    <n v="48"/>
    <n v="28"/>
    <x v="2"/>
    <x v="2"/>
    <s v="cashloan"/>
    <n v="6228440000"/>
  </r>
  <r>
    <x v="326"/>
    <x v="0"/>
    <x v="10"/>
    <n v="48"/>
    <n v="28"/>
    <x v="6"/>
    <x v="6"/>
    <s v="payday"/>
    <n v="71000000"/>
  </r>
  <r>
    <x v="326"/>
    <x v="0"/>
    <x v="10"/>
    <n v="48"/>
    <n v="28"/>
    <x v="14"/>
    <x v="13"/>
    <s v="cashloan"/>
    <n v="405280000"/>
  </r>
  <r>
    <x v="326"/>
    <x v="0"/>
    <x v="10"/>
    <n v="48"/>
    <n v="28"/>
    <x v="0"/>
    <x v="0"/>
    <s v="payday"/>
    <n v="5116000000"/>
  </r>
  <r>
    <x v="326"/>
    <x v="0"/>
    <x v="10"/>
    <n v="48"/>
    <n v="28"/>
    <x v="12"/>
    <x v="11"/>
    <s v="cashloan"/>
    <n v="5235360000"/>
  </r>
  <r>
    <x v="326"/>
    <x v="0"/>
    <x v="10"/>
    <n v="48"/>
    <n v="28"/>
    <x v="18"/>
    <x v="15"/>
    <s v="cashloan"/>
    <n v="0"/>
  </r>
  <r>
    <x v="326"/>
    <x v="0"/>
    <x v="10"/>
    <n v="48"/>
    <n v="28"/>
    <x v="15"/>
    <x v="14"/>
    <s v="paylater"/>
    <n v="834000"/>
  </r>
  <r>
    <x v="326"/>
    <x v="0"/>
    <x v="10"/>
    <n v="48"/>
    <n v="28"/>
    <x v="3"/>
    <x v="3"/>
    <s v="cashloan"/>
    <n v="32550000"/>
  </r>
  <r>
    <x v="326"/>
    <x v="0"/>
    <x v="10"/>
    <n v="48"/>
    <n v="28"/>
    <x v="19"/>
    <x v="12"/>
    <s v="paylater"/>
    <n v="78673757"/>
  </r>
  <r>
    <x v="326"/>
    <x v="0"/>
    <x v="10"/>
    <n v="48"/>
    <n v="28"/>
    <x v="11"/>
    <x v="10"/>
    <s v="paylater"/>
    <n v="90500429"/>
  </r>
  <r>
    <x v="326"/>
    <x v="0"/>
    <x v="10"/>
    <n v="48"/>
    <n v="28"/>
    <x v="20"/>
    <x v="9"/>
    <s v="cashloan"/>
    <n v="78850000"/>
  </r>
  <r>
    <x v="326"/>
    <x v="0"/>
    <x v="10"/>
    <n v="48"/>
    <n v="28"/>
    <x v="17"/>
    <x v="9"/>
    <s v="cashloan"/>
    <n v="0"/>
  </r>
  <r>
    <x v="326"/>
    <x v="0"/>
    <x v="10"/>
    <n v="48"/>
    <n v="28"/>
    <x v="21"/>
    <x v="9"/>
    <s v="cashloan"/>
    <n v="145520000"/>
  </r>
  <r>
    <x v="326"/>
    <x v="0"/>
    <x v="10"/>
    <n v="48"/>
    <n v="28"/>
    <x v="5"/>
    <x v="5"/>
    <s v="overdraft"/>
    <n v="3292175345"/>
  </r>
  <r>
    <x v="326"/>
    <x v="0"/>
    <x v="10"/>
    <n v="48"/>
    <n v="28"/>
    <x v="1"/>
    <x v="1"/>
    <s v="cashloan"/>
    <n v="31500000"/>
  </r>
  <r>
    <x v="326"/>
    <x v="0"/>
    <x v="10"/>
    <n v="48"/>
    <n v="28"/>
    <x v="8"/>
    <x v="8"/>
    <s v="cashloan"/>
    <n v="0"/>
  </r>
  <r>
    <x v="327"/>
    <x v="0"/>
    <x v="10"/>
    <n v="48"/>
    <n v="29"/>
    <x v="6"/>
    <x v="6"/>
    <s v="payday"/>
    <n v="33000000"/>
  </r>
  <r>
    <x v="327"/>
    <x v="0"/>
    <x v="10"/>
    <n v="48"/>
    <n v="29"/>
    <x v="3"/>
    <x v="3"/>
    <s v="cashloan"/>
    <n v="15750000"/>
  </r>
  <r>
    <x v="327"/>
    <x v="0"/>
    <x v="10"/>
    <n v="48"/>
    <n v="29"/>
    <x v="21"/>
    <x v="9"/>
    <s v="cashloan"/>
    <n v="109200000"/>
  </r>
  <r>
    <x v="327"/>
    <x v="0"/>
    <x v="10"/>
    <n v="48"/>
    <n v="29"/>
    <x v="19"/>
    <x v="12"/>
    <s v="paylater"/>
    <n v="69575644"/>
  </r>
  <r>
    <x v="327"/>
    <x v="0"/>
    <x v="10"/>
    <n v="48"/>
    <n v="29"/>
    <x v="12"/>
    <x v="11"/>
    <s v="cashloan"/>
    <n v="4376490000"/>
  </r>
  <r>
    <x v="327"/>
    <x v="0"/>
    <x v="10"/>
    <n v="48"/>
    <n v="29"/>
    <x v="15"/>
    <x v="14"/>
    <s v="paylater"/>
    <n v="39900"/>
  </r>
  <r>
    <x v="327"/>
    <x v="0"/>
    <x v="10"/>
    <n v="48"/>
    <n v="29"/>
    <x v="1"/>
    <x v="1"/>
    <s v="cashloan"/>
    <n v="115500000"/>
  </r>
  <r>
    <x v="327"/>
    <x v="0"/>
    <x v="10"/>
    <n v="48"/>
    <n v="29"/>
    <x v="2"/>
    <x v="2"/>
    <s v="cashloan"/>
    <n v="5958770000"/>
  </r>
  <r>
    <x v="327"/>
    <x v="0"/>
    <x v="10"/>
    <n v="48"/>
    <n v="29"/>
    <x v="20"/>
    <x v="9"/>
    <s v="cashloan"/>
    <n v="0"/>
  </r>
  <r>
    <x v="327"/>
    <x v="0"/>
    <x v="10"/>
    <n v="48"/>
    <n v="29"/>
    <x v="17"/>
    <x v="9"/>
    <s v="cashloan"/>
    <n v="0"/>
  </r>
  <r>
    <x v="327"/>
    <x v="0"/>
    <x v="10"/>
    <n v="48"/>
    <n v="29"/>
    <x v="18"/>
    <x v="15"/>
    <s v="cashloan"/>
    <n v="0"/>
  </r>
  <r>
    <x v="327"/>
    <x v="0"/>
    <x v="10"/>
    <n v="48"/>
    <n v="29"/>
    <x v="7"/>
    <x v="7"/>
    <s v="paylater"/>
    <n v="278425724"/>
  </r>
  <r>
    <x v="327"/>
    <x v="0"/>
    <x v="10"/>
    <n v="48"/>
    <n v="29"/>
    <x v="14"/>
    <x v="13"/>
    <s v="cashloan"/>
    <n v="160860000"/>
  </r>
  <r>
    <x v="327"/>
    <x v="0"/>
    <x v="10"/>
    <n v="48"/>
    <n v="29"/>
    <x v="8"/>
    <x v="8"/>
    <s v="cashloan"/>
    <n v="0"/>
  </r>
  <r>
    <x v="327"/>
    <x v="0"/>
    <x v="10"/>
    <n v="48"/>
    <n v="29"/>
    <x v="11"/>
    <x v="10"/>
    <s v="paylater"/>
    <n v="79086669"/>
  </r>
  <r>
    <x v="327"/>
    <x v="0"/>
    <x v="10"/>
    <n v="48"/>
    <n v="29"/>
    <x v="0"/>
    <x v="0"/>
    <s v="payday"/>
    <n v="5055500000"/>
  </r>
  <r>
    <x v="327"/>
    <x v="0"/>
    <x v="10"/>
    <n v="48"/>
    <n v="29"/>
    <x v="5"/>
    <x v="5"/>
    <s v="overdraft"/>
    <n v="3395569428"/>
  </r>
  <r>
    <x v="328"/>
    <x v="0"/>
    <x v="10"/>
    <n v="48"/>
    <n v="30"/>
    <x v="3"/>
    <x v="3"/>
    <s v="cashloan"/>
    <n v="62000000"/>
  </r>
  <r>
    <x v="328"/>
    <x v="0"/>
    <x v="10"/>
    <n v="48"/>
    <n v="30"/>
    <x v="5"/>
    <x v="5"/>
    <s v="overdraft"/>
    <n v="3754871271"/>
  </r>
  <r>
    <x v="328"/>
    <x v="0"/>
    <x v="10"/>
    <n v="48"/>
    <n v="30"/>
    <x v="8"/>
    <x v="8"/>
    <s v="cashloan"/>
    <n v="0"/>
  </r>
  <r>
    <x v="328"/>
    <x v="0"/>
    <x v="10"/>
    <n v="48"/>
    <n v="30"/>
    <x v="6"/>
    <x v="6"/>
    <s v="payday"/>
    <n v="73000000"/>
  </r>
  <r>
    <x v="328"/>
    <x v="0"/>
    <x v="10"/>
    <n v="48"/>
    <n v="30"/>
    <x v="18"/>
    <x v="15"/>
    <s v="cashloan"/>
    <n v="0"/>
  </r>
  <r>
    <x v="328"/>
    <x v="0"/>
    <x v="10"/>
    <n v="48"/>
    <n v="30"/>
    <x v="14"/>
    <x v="13"/>
    <s v="cashloan"/>
    <n v="314470000"/>
  </r>
  <r>
    <x v="328"/>
    <x v="0"/>
    <x v="10"/>
    <n v="48"/>
    <n v="30"/>
    <x v="15"/>
    <x v="14"/>
    <s v="paylater"/>
    <n v="0"/>
  </r>
  <r>
    <x v="328"/>
    <x v="0"/>
    <x v="10"/>
    <n v="48"/>
    <n v="30"/>
    <x v="1"/>
    <x v="1"/>
    <s v="cashloan"/>
    <n v="28350000"/>
  </r>
  <r>
    <x v="328"/>
    <x v="0"/>
    <x v="10"/>
    <n v="48"/>
    <n v="30"/>
    <x v="17"/>
    <x v="9"/>
    <s v="cashloan"/>
    <n v="6420000"/>
  </r>
  <r>
    <x v="328"/>
    <x v="0"/>
    <x v="10"/>
    <n v="48"/>
    <n v="30"/>
    <x v="21"/>
    <x v="9"/>
    <s v="cashloan"/>
    <n v="80250000"/>
  </r>
  <r>
    <x v="328"/>
    <x v="0"/>
    <x v="10"/>
    <n v="48"/>
    <n v="30"/>
    <x v="20"/>
    <x v="9"/>
    <s v="cashloan"/>
    <n v="21400000"/>
  </r>
  <r>
    <x v="328"/>
    <x v="0"/>
    <x v="10"/>
    <n v="48"/>
    <n v="30"/>
    <x v="12"/>
    <x v="11"/>
    <s v="cashloan"/>
    <n v="4722770000"/>
  </r>
  <r>
    <x v="328"/>
    <x v="0"/>
    <x v="10"/>
    <n v="48"/>
    <n v="30"/>
    <x v="2"/>
    <x v="2"/>
    <s v="cashloan"/>
    <n v="5799780000"/>
  </r>
  <r>
    <x v="328"/>
    <x v="0"/>
    <x v="10"/>
    <n v="48"/>
    <n v="30"/>
    <x v="0"/>
    <x v="0"/>
    <s v="payday"/>
    <n v="5580500000"/>
  </r>
  <r>
    <x v="328"/>
    <x v="0"/>
    <x v="10"/>
    <n v="48"/>
    <n v="30"/>
    <x v="11"/>
    <x v="10"/>
    <s v="paylater"/>
    <n v="89338915"/>
  </r>
  <r>
    <x v="328"/>
    <x v="0"/>
    <x v="10"/>
    <n v="48"/>
    <n v="30"/>
    <x v="7"/>
    <x v="7"/>
    <s v="paylater"/>
    <n v="287079268"/>
  </r>
  <r>
    <x v="328"/>
    <x v="0"/>
    <x v="10"/>
    <n v="48"/>
    <n v="30"/>
    <x v="19"/>
    <x v="12"/>
    <s v="paylater"/>
    <n v="65075923"/>
  </r>
  <r>
    <x v="329"/>
    <x v="0"/>
    <x v="11"/>
    <n v="48"/>
    <n v="1"/>
    <x v="8"/>
    <x v="8"/>
    <s v="cashloan"/>
    <n v="0"/>
  </r>
  <r>
    <x v="329"/>
    <x v="0"/>
    <x v="11"/>
    <n v="48"/>
    <n v="1"/>
    <x v="6"/>
    <x v="6"/>
    <s v="payday"/>
    <n v="13000000"/>
  </r>
  <r>
    <x v="329"/>
    <x v="0"/>
    <x v="11"/>
    <n v="48"/>
    <n v="1"/>
    <x v="14"/>
    <x v="13"/>
    <s v="cashloan"/>
    <n v="305530000"/>
  </r>
  <r>
    <x v="329"/>
    <x v="0"/>
    <x v="11"/>
    <n v="48"/>
    <n v="1"/>
    <x v="19"/>
    <x v="12"/>
    <s v="paylater"/>
    <n v="89222440"/>
  </r>
  <r>
    <x v="329"/>
    <x v="0"/>
    <x v="11"/>
    <n v="48"/>
    <n v="1"/>
    <x v="7"/>
    <x v="7"/>
    <s v="paylater"/>
    <n v="397400440"/>
  </r>
  <r>
    <x v="329"/>
    <x v="0"/>
    <x v="11"/>
    <n v="48"/>
    <n v="1"/>
    <x v="2"/>
    <x v="2"/>
    <s v="cashloan"/>
    <n v="5005690000"/>
  </r>
  <r>
    <x v="329"/>
    <x v="0"/>
    <x v="11"/>
    <n v="48"/>
    <n v="1"/>
    <x v="3"/>
    <x v="3"/>
    <s v="cashloan"/>
    <n v="50400000"/>
  </r>
  <r>
    <x v="329"/>
    <x v="0"/>
    <x v="11"/>
    <n v="48"/>
    <n v="1"/>
    <x v="18"/>
    <x v="15"/>
    <s v="cashloan"/>
    <n v="0"/>
  </r>
  <r>
    <x v="329"/>
    <x v="0"/>
    <x v="11"/>
    <n v="48"/>
    <n v="1"/>
    <x v="15"/>
    <x v="14"/>
    <s v="paylater"/>
    <n v="3635855"/>
  </r>
  <r>
    <x v="329"/>
    <x v="0"/>
    <x v="11"/>
    <n v="48"/>
    <n v="1"/>
    <x v="12"/>
    <x v="11"/>
    <s v="cashloan"/>
    <n v="4352440000"/>
  </r>
  <r>
    <x v="329"/>
    <x v="0"/>
    <x v="11"/>
    <n v="48"/>
    <n v="1"/>
    <x v="1"/>
    <x v="1"/>
    <s v="cashloan"/>
    <n v="0"/>
  </r>
  <r>
    <x v="329"/>
    <x v="0"/>
    <x v="11"/>
    <n v="48"/>
    <n v="1"/>
    <x v="21"/>
    <x v="9"/>
    <s v="cashloan"/>
    <n v="125190000"/>
  </r>
  <r>
    <x v="329"/>
    <x v="0"/>
    <x v="11"/>
    <n v="48"/>
    <n v="1"/>
    <x v="17"/>
    <x v="9"/>
    <s v="cashloan"/>
    <n v="0"/>
  </r>
  <r>
    <x v="329"/>
    <x v="0"/>
    <x v="11"/>
    <n v="48"/>
    <n v="1"/>
    <x v="11"/>
    <x v="10"/>
    <s v="paylater"/>
    <n v="109570028"/>
  </r>
  <r>
    <x v="329"/>
    <x v="0"/>
    <x v="11"/>
    <n v="48"/>
    <n v="1"/>
    <x v="20"/>
    <x v="9"/>
    <s v="cashloan"/>
    <n v="10700000"/>
  </r>
  <r>
    <x v="329"/>
    <x v="0"/>
    <x v="11"/>
    <n v="48"/>
    <n v="1"/>
    <x v="0"/>
    <x v="0"/>
    <s v="payday"/>
    <n v="5474000000"/>
  </r>
  <r>
    <x v="329"/>
    <x v="0"/>
    <x v="11"/>
    <n v="48"/>
    <n v="1"/>
    <x v="5"/>
    <x v="5"/>
    <s v="overdraft"/>
    <n v="4943460703"/>
  </r>
  <r>
    <x v="330"/>
    <x v="0"/>
    <x v="11"/>
    <n v="49"/>
    <n v="2"/>
    <x v="2"/>
    <x v="2"/>
    <s v="cashloan"/>
    <n v="6799890000"/>
  </r>
  <r>
    <x v="330"/>
    <x v="0"/>
    <x v="11"/>
    <n v="49"/>
    <n v="2"/>
    <x v="11"/>
    <x v="10"/>
    <s v="paylater"/>
    <n v="92829401"/>
  </r>
  <r>
    <x v="330"/>
    <x v="0"/>
    <x v="11"/>
    <n v="49"/>
    <n v="2"/>
    <x v="19"/>
    <x v="12"/>
    <s v="paylater"/>
    <n v="118707946"/>
  </r>
  <r>
    <x v="330"/>
    <x v="0"/>
    <x v="11"/>
    <n v="49"/>
    <n v="2"/>
    <x v="3"/>
    <x v="3"/>
    <s v="cashloan"/>
    <n v="96600000"/>
  </r>
  <r>
    <x v="330"/>
    <x v="0"/>
    <x v="11"/>
    <n v="49"/>
    <n v="2"/>
    <x v="20"/>
    <x v="9"/>
    <s v="cashloan"/>
    <n v="30700000"/>
  </r>
  <r>
    <x v="330"/>
    <x v="0"/>
    <x v="11"/>
    <n v="49"/>
    <n v="2"/>
    <x v="15"/>
    <x v="14"/>
    <s v="paylater"/>
    <n v="7688808"/>
  </r>
  <r>
    <x v="330"/>
    <x v="0"/>
    <x v="11"/>
    <n v="49"/>
    <n v="2"/>
    <x v="18"/>
    <x v="15"/>
    <s v="cashloan"/>
    <n v="0"/>
  </r>
  <r>
    <x v="330"/>
    <x v="0"/>
    <x v="11"/>
    <n v="49"/>
    <n v="2"/>
    <x v="0"/>
    <x v="0"/>
    <s v="payday"/>
    <n v="5565500000"/>
  </r>
  <r>
    <x v="330"/>
    <x v="0"/>
    <x v="11"/>
    <n v="49"/>
    <n v="2"/>
    <x v="1"/>
    <x v="1"/>
    <s v="cashloan"/>
    <n v="84000000"/>
  </r>
  <r>
    <x v="330"/>
    <x v="0"/>
    <x v="11"/>
    <n v="49"/>
    <n v="2"/>
    <x v="14"/>
    <x v="13"/>
    <s v="cashloan"/>
    <n v="329090000"/>
  </r>
  <r>
    <x v="330"/>
    <x v="0"/>
    <x v="11"/>
    <n v="49"/>
    <n v="2"/>
    <x v="7"/>
    <x v="7"/>
    <s v="paylater"/>
    <n v="389762230"/>
  </r>
  <r>
    <x v="330"/>
    <x v="0"/>
    <x v="11"/>
    <n v="49"/>
    <n v="2"/>
    <x v="6"/>
    <x v="6"/>
    <s v="payday"/>
    <n v="91000000"/>
  </r>
  <r>
    <x v="330"/>
    <x v="0"/>
    <x v="11"/>
    <n v="49"/>
    <n v="2"/>
    <x v="17"/>
    <x v="9"/>
    <s v="cashloan"/>
    <n v="21400000"/>
  </r>
  <r>
    <x v="330"/>
    <x v="0"/>
    <x v="11"/>
    <n v="49"/>
    <n v="2"/>
    <x v="21"/>
    <x v="9"/>
    <s v="cashloan"/>
    <n v="56010000"/>
  </r>
  <r>
    <x v="330"/>
    <x v="0"/>
    <x v="11"/>
    <n v="49"/>
    <n v="2"/>
    <x v="8"/>
    <x v="8"/>
    <s v="cashloan"/>
    <n v="0"/>
  </r>
  <r>
    <x v="330"/>
    <x v="0"/>
    <x v="11"/>
    <n v="49"/>
    <n v="2"/>
    <x v="12"/>
    <x v="11"/>
    <s v="cashloan"/>
    <n v="5011230000"/>
  </r>
  <r>
    <x v="330"/>
    <x v="0"/>
    <x v="11"/>
    <n v="49"/>
    <n v="2"/>
    <x v="5"/>
    <x v="5"/>
    <s v="overdraft"/>
    <n v="5017667162"/>
  </r>
  <r>
    <x v="331"/>
    <x v="0"/>
    <x v="11"/>
    <n v="49"/>
    <n v="3"/>
    <x v="6"/>
    <x v="6"/>
    <s v="payday"/>
    <n v="52000000"/>
  </r>
  <r>
    <x v="331"/>
    <x v="0"/>
    <x v="11"/>
    <n v="49"/>
    <n v="3"/>
    <x v="11"/>
    <x v="10"/>
    <s v="paylater"/>
    <n v="132158699"/>
  </r>
  <r>
    <x v="331"/>
    <x v="0"/>
    <x v="11"/>
    <n v="49"/>
    <n v="3"/>
    <x v="3"/>
    <x v="3"/>
    <s v="cashloan"/>
    <n v="70000000"/>
  </r>
  <r>
    <x v="331"/>
    <x v="0"/>
    <x v="11"/>
    <n v="49"/>
    <n v="3"/>
    <x v="18"/>
    <x v="15"/>
    <s v="cashloan"/>
    <n v="0"/>
  </r>
  <r>
    <x v="331"/>
    <x v="0"/>
    <x v="11"/>
    <n v="49"/>
    <n v="3"/>
    <x v="20"/>
    <x v="9"/>
    <s v="cashloan"/>
    <n v="20000000"/>
  </r>
  <r>
    <x v="331"/>
    <x v="0"/>
    <x v="11"/>
    <n v="49"/>
    <n v="3"/>
    <x v="17"/>
    <x v="9"/>
    <s v="cashloan"/>
    <n v="21400000"/>
  </r>
  <r>
    <x v="331"/>
    <x v="0"/>
    <x v="11"/>
    <n v="49"/>
    <n v="3"/>
    <x v="19"/>
    <x v="12"/>
    <s v="paylater"/>
    <n v="94805933"/>
  </r>
  <r>
    <x v="331"/>
    <x v="0"/>
    <x v="11"/>
    <n v="49"/>
    <n v="3"/>
    <x v="15"/>
    <x v="14"/>
    <s v="paylater"/>
    <n v="14085595"/>
  </r>
  <r>
    <x v="331"/>
    <x v="0"/>
    <x v="11"/>
    <n v="49"/>
    <n v="3"/>
    <x v="1"/>
    <x v="1"/>
    <s v="cashloan"/>
    <n v="23100000"/>
  </r>
  <r>
    <x v="331"/>
    <x v="0"/>
    <x v="11"/>
    <n v="49"/>
    <n v="3"/>
    <x v="0"/>
    <x v="0"/>
    <s v="payday"/>
    <n v="6053500000"/>
  </r>
  <r>
    <x v="331"/>
    <x v="0"/>
    <x v="11"/>
    <n v="49"/>
    <n v="3"/>
    <x v="5"/>
    <x v="5"/>
    <s v="overdraft"/>
    <n v="4249564125"/>
  </r>
  <r>
    <x v="331"/>
    <x v="0"/>
    <x v="11"/>
    <n v="49"/>
    <n v="3"/>
    <x v="21"/>
    <x v="9"/>
    <s v="cashloan"/>
    <n v="115600000"/>
  </r>
  <r>
    <x v="331"/>
    <x v="0"/>
    <x v="11"/>
    <n v="49"/>
    <n v="3"/>
    <x v="8"/>
    <x v="8"/>
    <s v="cashloan"/>
    <n v="0"/>
  </r>
  <r>
    <x v="331"/>
    <x v="0"/>
    <x v="11"/>
    <n v="49"/>
    <n v="3"/>
    <x v="12"/>
    <x v="11"/>
    <s v="cashloan"/>
    <n v="5619530000"/>
  </r>
  <r>
    <x v="331"/>
    <x v="0"/>
    <x v="11"/>
    <n v="49"/>
    <n v="3"/>
    <x v="14"/>
    <x v="13"/>
    <s v="cashloan"/>
    <n v="362960000"/>
  </r>
  <r>
    <x v="331"/>
    <x v="0"/>
    <x v="11"/>
    <n v="49"/>
    <n v="3"/>
    <x v="7"/>
    <x v="7"/>
    <s v="paylater"/>
    <n v="489355831"/>
  </r>
  <r>
    <x v="331"/>
    <x v="0"/>
    <x v="11"/>
    <n v="49"/>
    <n v="3"/>
    <x v="2"/>
    <x v="2"/>
    <s v="cashloan"/>
    <n v="7115300000"/>
  </r>
  <r>
    <x v="332"/>
    <x v="0"/>
    <x v="11"/>
    <n v="49"/>
    <n v="4"/>
    <x v="1"/>
    <x v="1"/>
    <s v="cashloan"/>
    <n v="15750000"/>
  </r>
  <r>
    <x v="332"/>
    <x v="0"/>
    <x v="11"/>
    <n v="49"/>
    <n v="4"/>
    <x v="22"/>
    <x v="16"/>
    <s v="cashloan"/>
    <n v="10000000"/>
  </r>
  <r>
    <x v="332"/>
    <x v="0"/>
    <x v="11"/>
    <n v="49"/>
    <n v="4"/>
    <x v="20"/>
    <x v="9"/>
    <s v="cashloan"/>
    <n v="0"/>
  </r>
  <r>
    <x v="332"/>
    <x v="0"/>
    <x v="11"/>
    <n v="49"/>
    <n v="4"/>
    <x v="15"/>
    <x v="14"/>
    <s v="paylater"/>
    <n v="11997776"/>
  </r>
  <r>
    <x v="332"/>
    <x v="0"/>
    <x v="11"/>
    <n v="49"/>
    <n v="4"/>
    <x v="2"/>
    <x v="2"/>
    <s v="cashloan"/>
    <n v="6367520000"/>
  </r>
  <r>
    <x v="332"/>
    <x v="0"/>
    <x v="11"/>
    <n v="49"/>
    <n v="4"/>
    <x v="17"/>
    <x v="9"/>
    <s v="cashloan"/>
    <n v="59920000"/>
  </r>
  <r>
    <x v="332"/>
    <x v="0"/>
    <x v="11"/>
    <n v="49"/>
    <n v="4"/>
    <x v="19"/>
    <x v="12"/>
    <s v="paylater"/>
    <n v="136898041"/>
  </r>
  <r>
    <x v="332"/>
    <x v="0"/>
    <x v="11"/>
    <n v="49"/>
    <n v="4"/>
    <x v="21"/>
    <x v="9"/>
    <s v="cashloan"/>
    <n v="54940000"/>
  </r>
  <r>
    <x v="332"/>
    <x v="0"/>
    <x v="11"/>
    <n v="49"/>
    <n v="4"/>
    <x v="8"/>
    <x v="8"/>
    <s v="cashloan"/>
    <n v="0"/>
  </r>
  <r>
    <x v="332"/>
    <x v="0"/>
    <x v="11"/>
    <n v="49"/>
    <n v="4"/>
    <x v="5"/>
    <x v="5"/>
    <s v="overdraft"/>
    <n v="4590730307"/>
  </r>
  <r>
    <x v="332"/>
    <x v="0"/>
    <x v="11"/>
    <n v="49"/>
    <n v="4"/>
    <x v="14"/>
    <x v="13"/>
    <s v="cashloan"/>
    <n v="301720000"/>
  </r>
  <r>
    <x v="332"/>
    <x v="0"/>
    <x v="11"/>
    <n v="49"/>
    <n v="4"/>
    <x v="12"/>
    <x v="11"/>
    <s v="cashloan"/>
    <n v="5570570000"/>
  </r>
  <r>
    <x v="332"/>
    <x v="0"/>
    <x v="11"/>
    <n v="49"/>
    <n v="4"/>
    <x v="3"/>
    <x v="3"/>
    <s v="cashloan"/>
    <n v="0"/>
  </r>
  <r>
    <x v="332"/>
    <x v="0"/>
    <x v="11"/>
    <n v="49"/>
    <n v="4"/>
    <x v="7"/>
    <x v="7"/>
    <s v="paylater"/>
    <n v="512962898"/>
  </r>
  <r>
    <x v="332"/>
    <x v="0"/>
    <x v="11"/>
    <n v="49"/>
    <n v="4"/>
    <x v="6"/>
    <x v="6"/>
    <s v="payday"/>
    <n v="44000000"/>
  </r>
  <r>
    <x v="332"/>
    <x v="0"/>
    <x v="11"/>
    <n v="49"/>
    <n v="4"/>
    <x v="11"/>
    <x v="10"/>
    <s v="paylater"/>
    <n v="158394979"/>
  </r>
  <r>
    <x v="332"/>
    <x v="0"/>
    <x v="11"/>
    <n v="49"/>
    <n v="4"/>
    <x v="18"/>
    <x v="15"/>
    <s v="cashloan"/>
    <n v="0"/>
  </r>
  <r>
    <x v="332"/>
    <x v="0"/>
    <x v="11"/>
    <n v="49"/>
    <n v="4"/>
    <x v="0"/>
    <x v="0"/>
    <s v="payday"/>
    <n v="6317000000"/>
  </r>
  <r>
    <x v="333"/>
    <x v="0"/>
    <x v="11"/>
    <n v="49"/>
    <n v="5"/>
    <x v="6"/>
    <x v="6"/>
    <s v="payday"/>
    <n v="34000000"/>
  </r>
  <r>
    <x v="333"/>
    <x v="0"/>
    <x v="11"/>
    <n v="49"/>
    <n v="5"/>
    <x v="14"/>
    <x v="13"/>
    <s v="cashloan"/>
    <n v="250360000"/>
  </r>
  <r>
    <x v="333"/>
    <x v="0"/>
    <x v="11"/>
    <n v="49"/>
    <n v="5"/>
    <x v="3"/>
    <x v="3"/>
    <s v="cashloan"/>
    <n v="37000000"/>
  </r>
  <r>
    <x v="333"/>
    <x v="0"/>
    <x v="11"/>
    <n v="49"/>
    <n v="5"/>
    <x v="18"/>
    <x v="15"/>
    <s v="cashloan"/>
    <n v="0"/>
  </r>
  <r>
    <x v="333"/>
    <x v="0"/>
    <x v="11"/>
    <n v="49"/>
    <n v="5"/>
    <x v="22"/>
    <x v="16"/>
    <s v="cashloan"/>
    <n v="0"/>
  </r>
  <r>
    <x v="333"/>
    <x v="0"/>
    <x v="11"/>
    <n v="49"/>
    <n v="5"/>
    <x v="19"/>
    <x v="12"/>
    <s v="paylater"/>
    <n v="220094902"/>
  </r>
  <r>
    <x v="333"/>
    <x v="0"/>
    <x v="11"/>
    <n v="49"/>
    <n v="5"/>
    <x v="15"/>
    <x v="14"/>
    <s v="paylater"/>
    <n v="34851783"/>
  </r>
  <r>
    <x v="333"/>
    <x v="0"/>
    <x v="11"/>
    <n v="49"/>
    <n v="5"/>
    <x v="5"/>
    <x v="5"/>
    <s v="overdraft"/>
    <n v="5008346171"/>
  </r>
  <r>
    <x v="333"/>
    <x v="0"/>
    <x v="11"/>
    <n v="49"/>
    <n v="5"/>
    <x v="11"/>
    <x v="10"/>
    <s v="paylater"/>
    <n v="224846251"/>
  </r>
  <r>
    <x v="333"/>
    <x v="0"/>
    <x v="11"/>
    <n v="49"/>
    <n v="5"/>
    <x v="1"/>
    <x v="1"/>
    <s v="cashloan"/>
    <n v="31500000"/>
  </r>
  <r>
    <x v="333"/>
    <x v="0"/>
    <x v="11"/>
    <n v="49"/>
    <n v="5"/>
    <x v="7"/>
    <x v="7"/>
    <s v="paylater"/>
    <n v="767109555"/>
  </r>
  <r>
    <x v="333"/>
    <x v="0"/>
    <x v="11"/>
    <n v="49"/>
    <n v="5"/>
    <x v="17"/>
    <x v="9"/>
    <s v="cashloan"/>
    <n v="10700000"/>
  </r>
  <r>
    <x v="333"/>
    <x v="0"/>
    <x v="11"/>
    <n v="49"/>
    <n v="5"/>
    <x v="21"/>
    <x v="9"/>
    <s v="cashloan"/>
    <n v="155520000"/>
  </r>
  <r>
    <x v="333"/>
    <x v="0"/>
    <x v="11"/>
    <n v="49"/>
    <n v="5"/>
    <x v="20"/>
    <x v="9"/>
    <s v="cashloan"/>
    <n v="21400000"/>
  </r>
  <r>
    <x v="333"/>
    <x v="0"/>
    <x v="11"/>
    <n v="49"/>
    <n v="5"/>
    <x v="8"/>
    <x v="8"/>
    <s v="cashloan"/>
    <n v="0"/>
  </r>
  <r>
    <x v="333"/>
    <x v="0"/>
    <x v="11"/>
    <n v="49"/>
    <n v="5"/>
    <x v="12"/>
    <x v="11"/>
    <s v="cashloan"/>
    <n v="7100540000"/>
  </r>
  <r>
    <x v="333"/>
    <x v="0"/>
    <x v="11"/>
    <n v="49"/>
    <n v="5"/>
    <x v="0"/>
    <x v="0"/>
    <s v="payday"/>
    <n v="6704500000"/>
  </r>
  <r>
    <x v="333"/>
    <x v="0"/>
    <x v="11"/>
    <n v="49"/>
    <n v="5"/>
    <x v="2"/>
    <x v="2"/>
    <s v="cashloan"/>
    <n v="6647230000"/>
  </r>
  <r>
    <x v="334"/>
    <x v="0"/>
    <x v="11"/>
    <n v="49"/>
    <n v="6"/>
    <x v="3"/>
    <x v="3"/>
    <s v="cashloan"/>
    <n v="0"/>
  </r>
  <r>
    <x v="334"/>
    <x v="0"/>
    <x v="11"/>
    <n v="49"/>
    <n v="6"/>
    <x v="2"/>
    <x v="2"/>
    <s v="cashloan"/>
    <n v="4885860000"/>
  </r>
  <r>
    <x v="334"/>
    <x v="0"/>
    <x v="11"/>
    <n v="49"/>
    <n v="6"/>
    <x v="22"/>
    <x v="16"/>
    <s v="cashloan"/>
    <n v="0"/>
  </r>
  <r>
    <x v="334"/>
    <x v="0"/>
    <x v="11"/>
    <n v="49"/>
    <n v="6"/>
    <x v="6"/>
    <x v="6"/>
    <s v="payday"/>
    <n v="35000000"/>
  </r>
  <r>
    <x v="334"/>
    <x v="0"/>
    <x v="11"/>
    <n v="49"/>
    <n v="6"/>
    <x v="1"/>
    <x v="1"/>
    <s v="cashloan"/>
    <n v="21000000"/>
  </r>
  <r>
    <x v="334"/>
    <x v="0"/>
    <x v="11"/>
    <n v="49"/>
    <n v="6"/>
    <x v="12"/>
    <x v="11"/>
    <s v="cashloan"/>
    <n v="4414960000"/>
  </r>
  <r>
    <x v="334"/>
    <x v="0"/>
    <x v="11"/>
    <n v="49"/>
    <n v="6"/>
    <x v="15"/>
    <x v="14"/>
    <s v="paylater"/>
    <n v="67311496"/>
  </r>
  <r>
    <x v="334"/>
    <x v="0"/>
    <x v="11"/>
    <n v="49"/>
    <n v="6"/>
    <x v="18"/>
    <x v="15"/>
    <s v="cashloan"/>
    <n v="0"/>
  </r>
  <r>
    <x v="334"/>
    <x v="0"/>
    <x v="11"/>
    <n v="49"/>
    <n v="6"/>
    <x v="0"/>
    <x v="0"/>
    <s v="payday"/>
    <n v="6179000000"/>
  </r>
  <r>
    <x v="334"/>
    <x v="0"/>
    <x v="11"/>
    <n v="49"/>
    <n v="6"/>
    <x v="8"/>
    <x v="8"/>
    <s v="cashloan"/>
    <n v="0"/>
  </r>
  <r>
    <x v="334"/>
    <x v="0"/>
    <x v="11"/>
    <n v="49"/>
    <n v="6"/>
    <x v="21"/>
    <x v="9"/>
    <s v="cashloan"/>
    <n v="97740000"/>
  </r>
  <r>
    <x v="334"/>
    <x v="0"/>
    <x v="11"/>
    <n v="49"/>
    <n v="6"/>
    <x v="17"/>
    <x v="9"/>
    <s v="cashloan"/>
    <n v="0"/>
  </r>
  <r>
    <x v="334"/>
    <x v="0"/>
    <x v="11"/>
    <n v="49"/>
    <n v="6"/>
    <x v="20"/>
    <x v="9"/>
    <s v="cashloan"/>
    <n v="0"/>
  </r>
  <r>
    <x v="334"/>
    <x v="0"/>
    <x v="11"/>
    <n v="49"/>
    <n v="6"/>
    <x v="19"/>
    <x v="12"/>
    <s v="paylater"/>
    <n v="167709387"/>
  </r>
  <r>
    <x v="334"/>
    <x v="0"/>
    <x v="11"/>
    <n v="49"/>
    <n v="6"/>
    <x v="7"/>
    <x v="7"/>
    <s v="paylater"/>
    <n v="634489346"/>
  </r>
  <r>
    <x v="334"/>
    <x v="0"/>
    <x v="11"/>
    <n v="49"/>
    <n v="6"/>
    <x v="11"/>
    <x v="10"/>
    <s v="paylater"/>
    <n v="256714615"/>
  </r>
  <r>
    <x v="334"/>
    <x v="0"/>
    <x v="11"/>
    <n v="49"/>
    <n v="6"/>
    <x v="5"/>
    <x v="5"/>
    <s v="overdraft"/>
    <n v="3688396128"/>
  </r>
  <r>
    <x v="334"/>
    <x v="0"/>
    <x v="11"/>
    <n v="49"/>
    <n v="6"/>
    <x v="14"/>
    <x v="13"/>
    <s v="cashloan"/>
    <n v="345310000"/>
  </r>
  <r>
    <x v="335"/>
    <x v="0"/>
    <x v="11"/>
    <n v="49"/>
    <n v="7"/>
    <x v="5"/>
    <x v="5"/>
    <s v="overdraft"/>
    <n v="3375508852"/>
  </r>
  <r>
    <x v="335"/>
    <x v="0"/>
    <x v="11"/>
    <n v="49"/>
    <n v="7"/>
    <x v="2"/>
    <x v="2"/>
    <s v="cashloan"/>
    <n v="5588860000"/>
  </r>
  <r>
    <x v="335"/>
    <x v="0"/>
    <x v="11"/>
    <n v="49"/>
    <n v="7"/>
    <x v="21"/>
    <x v="9"/>
    <s v="cashloan"/>
    <n v="117370000"/>
  </r>
  <r>
    <x v="335"/>
    <x v="0"/>
    <x v="11"/>
    <n v="49"/>
    <n v="7"/>
    <x v="15"/>
    <x v="14"/>
    <s v="paylater"/>
    <n v="95698016"/>
  </r>
  <r>
    <x v="335"/>
    <x v="0"/>
    <x v="11"/>
    <n v="49"/>
    <n v="7"/>
    <x v="1"/>
    <x v="1"/>
    <s v="cashloan"/>
    <n v="10500000"/>
  </r>
  <r>
    <x v="335"/>
    <x v="0"/>
    <x v="11"/>
    <n v="49"/>
    <n v="7"/>
    <x v="8"/>
    <x v="8"/>
    <s v="cashloan"/>
    <n v="0"/>
  </r>
  <r>
    <x v="335"/>
    <x v="0"/>
    <x v="11"/>
    <n v="49"/>
    <n v="7"/>
    <x v="17"/>
    <x v="9"/>
    <s v="cashloan"/>
    <n v="10700000"/>
  </r>
  <r>
    <x v="335"/>
    <x v="0"/>
    <x v="11"/>
    <n v="49"/>
    <n v="7"/>
    <x v="0"/>
    <x v="0"/>
    <s v="payday"/>
    <n v="6631500000"/>
  </r>
  <r>
    <x v="335"/>
    <x v="0"/>
    <x v="11"/>
    <n v="49"/>
    <n v="7"/>
    <x v="19"/>
    <x v="12"/>
    <s v="paylater"/>
    <n v="66255858"/>
  </r>
  <r>
    <x v="335"/>
    <x v="0"/>
    <x v="11"/>
    <n v="49"/>
    <n v="7"/>
    <x v="11"/>
    <x v="10"/>
    <s v="paylater"/>
    <n v="174712857"/>
  </r>
  <r>
    <x v="335"/>
    <x v="0"/>
    <x v="11"/>
    <n v="49"/>
    <n v="7"/>
    <x v="7"/>
    <x v="7"/>
    <s v="paylater"/>
    <n v="505503394"/>
  </r>
  <r>
    <x v="335"/>
    <x v="0"/>
    <x v="11"/>
    <n v="49"/>
    <n v="7"/>
    <x v="3"/>
    <x v="3"/>
    <s v="cashloan"/>
    <n v="15000000"/>
  </r>
  <r>
    <x v="335"/>
    <x v="0"/>
    <x v="11"/>
    <n v="49"/>
    <n v="7"/>
    <x v="20"/>
    <x v="9"/>
    <s v="cashloan"/>
    <n v="16050000"/>
  </r>
  <r>
    <x v="335"/>
    <x v="0"/>
    <x v="11"/>
    <n v="49"/>
    <n v="7"/>
    <x v="14"/>
    <x v="13"/>
    <s v="cashloan"/>
    <n v="446530000"/>
  </r>
  <r>
    <x v="335"/>
    <x v="0"/>
    <x v="11"/>
    <n v="49"/>
    <n v="7"/>
    <x v="22"/>
    <x v="16"/>
    <s v="cashloan"/>
    <n v="0"/>
  </r>
  <r>
    <x v="335"/>
    <x v="0"/>
    <x v="11"/>
    <n v="49"/>
    <n v="7"/>
    <x v="6"/>
    <x v="6"/>
    <s v="payday"/>
    <n v="45000000"/>
  </r>
  <r>
    <x v="335"/>
    <x v="0"/>
    <x v="11"/>
    <n v="49"/>
    <n v="7"/>
    <x v="18"/>
    <x v="15"/>
    <s v="cashloan"/>
    <n v="0"/>
  </r>
  <r>
    <x v="335"/>
    <x v="0"/>
    <x v="11"/>
    <n v="49"/>
    <n v="7"/>
    <x v="12"/>
    <x v="11"/>
    <s v="cashloan"/>
    <n v="2828690000"/>
  </r>
  <r>
    <x v="336"/>
    <x v="0"/>
    <x v="11"/>
    <n v="49"/>
    <n v="8"/>
    <x v="8"/>
    <x v="8"/>
    <s v="cashloan"/>
    <n v="0"/>
  </r>
  <r>
    <x v="336"/>
    <x v="0"/>
    <x v="11"/>
    <n v="49"/>
    <n v="8"/>
    <x v="2"/>
    <x v="2"/>
    <s v="cashloan"/>
    <n v="5044420000"/>
  </r>
  <r>
    <x v="336"/>
    <x v="0"/>
    <x v="11"/>
    <n v="49"/>
    <n v="8"/>
    <x v="17"/>
    <x v="9"/>
    <s v="cashloan"/>
    <n v="21400000"/>
  </r>
  <r>
    <x v="336"/>
    <x v="0"/>
    <x v="11"/>
    <n v="49"/>
    <n v="8"/>
    <x v="7"/>
    <x v="7"/>
    <s v="paylater"/>
    <n v="371590283"/>
  </r>
  <r>
    <x v="336"/>
    <x v="0"/>
    <x v="11"/>
    <n v="49"/>
    <n v="8"/>
    <x v="20"/>
    <x v="9"/>
    <s v="cashloan"/>
    <n v="21400000"/>
  </r>
  <r>
    <x v="336"/>
    <x v="0"/>
    <x v="11"/>
    <n v="49"/>
    <n v="8"/>
    <x v="21"/>
    <x v="9"/>
    <s v="cashloan"/>
    <n v="110950000"/>
  </r>
  <r>
    <x v="336"/>
    <x v="0"/>
    <x v="11"/>
    <n v="49"/>
    <n v="8"/>
    <x v="5"/>
    <x v="5"/>
    <s v="overdraft"/>
    <n v="3256173470"/>
  </r>
  <r>
    <x v="336"/>
    <x v="0"/>
    <x v="11"/>
    <n v="49"/>
    <n v="8"/>
    <x v="12"/>
    <x v="11"/>
    <s v="cashloan"/>
    <n v="1561530000"/>
  </r>
  <r>
    <x v="336"/>
    <x v="0"/>
    <x v="11"/>
    <n v="49"/>
    <n v="8"/>
    <x v="19"/>
    <x v="12"/>
    <s v="paylater"/>
    <n v="88405215"/>
  </r>
  <r>
    <x v="336"/>
    <x v="0"/>
    <x v="11"/>
    <n v="49"/>
    <n v="8"/>
    <x v="0"/>
    <x v="0"/>
    <s v="payday"/>
    <n v="5611500000"/>
  </r>
  <r>
    <x v="336"/>
    <x v="0"/>
    <x v="11"/>
    <n v="49"/>
    <n v="8"/>
    <x v="15"/>
    <x v="14"/>
    <s v="paylater"/>
    <n v="44148198"/>
  </r>
  <r>
    <x v="336"/>
    <x v="0"/>
    <x v="11"/>
    <n v="49"/>
    <n v="8"/>
    <x v="3"/>
    <x v="3"/>
    <s v="cashloan"/>
    <n v="10500000"/>
  </r>
  <r>
    <x v="336"/>
    <x v="0"/>
    <x v="11"/>
    <n v="49"/>
    <n v="8"/>
    <x v="1"/>
    <x v="1"/>
    <s v="cashloan"/>
    <n v="36750000"/>
  </r>
  <r>
    <x v="336"/>
    <x v="0"/>
    <x v="11"/>
    <n v="49"/>
    <n v="8"/>
    <x v="6"/>
    <x v="6"/>
    <s v="payday"/>
    <n v="31000000"/>
  </r>
  <r>
    <x v="336"/>
    <x v="0"/>
    <x v="11"/>
    <n v="49"/>
    <n v="8"/>
    <x v="11"/>
    <x v="10"/>
    <s v="paylater"/>
    <n v="153396739"/>
  </r>
  <r>
    <x v="336"/>
    <x v="0"/>
    <x v="11"/>
    <n v="49"/>
    <n v="8"/>
    <x v="14"/>
    <x v="13"/>
    <s v="cashloan"/>
    <n v="333190000"/>
  </r>
  <r>
    <x v="336"/>
    <x v="0"/>
    <x v="11"/>
    <n v="49"/>
    <n v="8"/>
    <x v="22"/>
    <x v="16"/>
    <s v="cashloan"/>
    <n v="0"/>
  </r>
  <r>
    <x v="336"/>
    <x v="0"/>
    <x v="11"/>
    <n v="49"/>
    <n v="8"/>
    <x v="18"/>
    <x v="15"/>
    <s v="cashloan"/>
    <n v="0"/>
  </r>
  <r>
    <x v="337"/>
    <x v="0"/>
    <x v="11"/>
    <n v="50"/>
    <n v="9"/>
    <x v="1"/>
    <x v="1"/>
    <s v="cashloan"/>
    <n v="42000000"/>
  </r>
  <r>
    <x v="337"/>
    <x v="0"/>
    <x v="11"/>
    <n v="50"/>
    <n v="9"/>
    <x v="0"/>
    <x v="0"/>
    <s v="payday"/>
    <n v="6351000000"/>
  </r>
  <r>
    <x v="337"/>
    <x v="0"/>
    <x v="11"/>
    <n v="50"/>
    <n v="9"/>
    <x v="7"/>
    <x v="7"/>
    <s v="paylater"/>
    <n v="411402465"/>
  </r>
  <r>
    <x v="337"/>
    <x v="0"/>
    <x v="11"/>
    <n v="50"/>
    <n v="9"/>
    <x v="19"/>
    <x v="12"/>
    <s v="paylater"/>
    <n v="90028322"/>
  </r>
  <r>
    <x v="337"/>
    <x v="0"/>
    <x v="11"/>
    <n v="50"/>
    <n v="9"/>
    <x v="3"/>
    <x v="3"/>
    <s v="cashloan"/>
    <n v="18000000"/>
  </r>
  <r>
    <x v="337"/>
    <x v="0"/>
    <x v="11"/>
    <n v="50"/>
    <n v="9"/>
    <x v="12"/>
    <x v="11"/>
    <s v="cashloan"/>
    <n v="4158200000"/>
  </r>
  <r>
    <x v="337"/>
    <x v="0"/>
    <x v="11"/>
    <n v="50"/>
    <n v="9"/>
    <x v="22"/>
    <x v="16"/>
    <s v="cashloan"/>
    <n v="0"/>
  </r>
  <r>
    <x v="337"/>
    <x v="0"/>
    <x v="11"/>
    <n v="50"/>
    <n v="9"/>
    <x v="18"/>
    <x v="15"/>
    <s v="cashloan"/>
    <n v="0"/>
  </r>
  <r>
    <x v="337"/>
    <x v="0"/>
    <x v="11"/>
    <n v="50"/>
    <n v="9"/>
    <x v="6"/>
    <x v="6"/>
    <s v="payday"/>
    <n v="60000000"/>
  </r>
  <r>
    <x v="337"/>
    <x v="0"/>
    <x v="11"/>
    <n v="50"/>
    <n v="9"/>
    <x v="5"/>
    <x v="5"/>
    <s v="overdraft"/>
    <n v="3884822436"/>
  </r>
  <r>
    <x v="337"/>
    <x v="0"/>
    <x v="11"/>
    <n v="50"/>
    <n v="9"/>
    <x v="2"/>
    <x v="2"/>
    <s v="cashloan"/>
    <n v="6964410000"/>
  </r>
  <r>
    <x v="337"/>
    <x v="0"/>
    <x v="11"/>
    <n v="50"/>
    <n v="9"/>
    <x v="14"/>
    <x v="13"/>
    <s v="cashloan"/>
    <n v="519470000"/>
  </r>
  <r>
    <x v="337"/>
    <x v="0"/>
    <x v="11"/>
    <n v="50"/>
    <n v="9"/>
    <x v="15"/>
    <x v="14"/>
    <s v="paylater"/>
    <n v="37935360"/>
  </r>
  <r>
    <x v="337"/>
    <x v="0"/>
    <x v="11"/>
    <n v="50"/>
    <n v="9"/>
    <x v="11"/>
    <x v="10"/>
    <s v="paylater"/>
    <n v="185597502"/>
  </r>
  <r>
    <x v="337"/>
    <x v="0"/>
    <x v="11"/>
    <n v="50"/>
    <n v="9"/>
    <x v="8"/>
    <x v="8"/>
    <s v="cashloan"/>
    <n v="0"/>
  </r>
  <r>
    <x v="337"/>
    <x v="0"/>
    <x v="11"/>
    <n v="50"/>
    <n v="9"/>
    <x v="20"/>
    <x v="9"/>
    <s v="cashloan"/>
    <n v="0"/>
  </r>
  <r>
    <x v="337"/>
    <x v="0"/>
    <x v="11"/>
    <n v="50"/>
    <n v="9"/>
    <x v="17"/>
    <x v="9"/>
    <s v="cashloan"/>
    <n v="42800000"/>
  </r>
  <r>
    <x v="337"/>
    <x v="0"/>
    <x v="11"/>
    <n v="50"/>
    <n v="9"/>
    <x v="21"/>
    <x v="9"/>
    <s v="cashloan"/>
    <n v="85970000"/>
  </r>
  <r>
    <x v="338"/>
    <x v="0"/>
    <x v="11"/>
    <n v="50"/>
    <n v="10"/>
    <x v="3"/>
    <x v="3"/>
    <s v="cashloan"/>
    <n v="0"/>
  </r>
  <r>
    <x v="338"/>
    <x v="0"/>
    <x v="11"/>
    <n v="50"/>
    <n v="10"/>
    <x v="17"/>
    <x v="9"/>
    <s v="cashloan"/>
    <n v="0"/>
  </r>
  <r>
    <x v="338"/>
    <x v="0"/>
    <x v="11"/>
    <n v="50"/>
    <n v="10"/>
    <x v="19"/>
    <x v="12"/>
    <s v="paylater"/>
    <n v="69865728"/>
  </r>
  <r>
    <x v="338"/>
    <x v="0"/>
    <x v="11"/>
    <n v="50"/>
    <n v="10"/>
    <x v="0"/>
    <x v="0"/>
    <s v="payday"/>
    <n v="6999500000"/>
  </r>
  <r>
    <x v="338"/>
    <x v="0"/>
    <x v="11"/>
    <n v="50"/>
    <n v="10"/>
    <x v="6"/>
    <x v="6"/>
    <s v="payday"/>
    <n v="41000000"/>
  </r>
  <r>
    <x v="338"/>
    <x v="0"/>
    <x v="11"/>
    <n v="50"/>
    <n v="10"/>
    <x v="2"/>
    <x v="2"/>
    <s v="cashloan"/>
    <n v="5411800000"/>
  </r>
  <r>
    <x v="338"/>
    <x v="0"/>
    <x v="11"/>
    <n v="50"/>
    <n v="10"/>
    <x v="18"/>
    <x v="15"/>
    <s v="cashloan"/>
    <n v="170880000"/>
  </r>
  <r>
    <x v="338"/>
    <x v="0"/>
    <x v="11"/>
    <n v="50"/>
    <n v="10"/>
    <x v="7"/>
    <x v="7"/>
    <s v="paylater"/>
    <n v="481772069"/>
  </r>
  <r>
    <x v="338"/>
    <x v="0"/>
    <x v="11"/>
    <n v="50"/>
    <n v="10"/>
    <x v="14"/>
    <x v="13"/>
    <s v="cashloan"/>
    <n v="436320000"/>
  </r>
  <r>
    <x v="338"/>
    <x v="0"/>
    <x v="11"/>
    <n v="50"/>
    <n v="10"/>
    <x v="22"/>
    <x v="16"/>
    <s v="cashloan"/>
    <n v="0"/>
  </r>
  <r>
    <x v="338"/>
    <x v="0"/>
    <x v="11"/>
    <n v="50"/>
    <n v="10"/>
    <x v="15"/>
    <x v="14"/>
    <s v="paylater"/>
    <n v="45341228"/>
  </r>
  <r>
    <x v="338"/>
    <x v="0"/>
    <x v="11"/>
    <n v="50"/>
    <n v="10"/>
    <x v="8"/>
    <x v="8"/>
    <s v="cashloan"/>
    <n v="0"/>
  </r>
  <r>
    <x v="338"/>
    <x v="0"/>
    <x v="11"/>
    <n v="50"/>
    <n v="10"/>
    <x v="5"/>
    <x v="5"/>
    <s v="overdraft"/>
    <n v="4119506757"/>
  </r>
  <r>
    <x v="338"/>
    <x v="0"/>
    <x v="11"/>
    <n v="50"/>
    <n v="10"/>
    <x v="1"/>
    <x v="1"/>
    <s v="cashloan"/>
    <n v="21000000"/>
  </r>
  <r>
    <x v="338"/>
    <x v="0"/>
    <x v="11"/>
    <n v="50"/>
    <n v="10"/>
    <x v="12"/>
    <x v="11"/>
    <s v="cashloan"/>
    <n v="6807600000"/>
  </r>
  <r>
    <x v="338"/>
    <x v="0"/>
    <x v="11"/>
    <n v="50"/>
    <n v="10"/>
    <x v="11"/>
    <x v="10"/>
    <s v="paylater"/>
    <n v="149487147"/>
  </r>
  <r>
    <x v="338"/>
    <x v="0"/>
    <x v="11"/>
    <n v="50"/>
    <n v="10"/>
    <x v="20"/>
    <x v="9"/>
    <s v="cashloan"/>
    <n v="6420000"/>
  </r>
  <r>
    <x v="338"/>
    <x v="0"/>
    <x v="11"/>
    <n v="50"/>
    <n v="10"/>
    <x v="21"/>
    <x v="9"/>
    <s v="cashloan"/>
    <n v="53500000"/>
  </r>
  <r>
    <x v="339"/>
    <x v="0"/>
    <x v="11"/>
    <n v="50"/>
    <n v="11"/>
    <x v="14"/>
    <x v="13"/>
    <s v="cashloan"/>
    <n v="462200000"/>
  </r>
  <r>
    <x v="339"/>
    <x v="0"/>
    <x v="11"/>
    <n v="50"/>
    <n v="11"/>
    <x v="2"/>
    <x v="2"/>
    <s v="cashloan"/>
    <n v="6596020000"/>
  </r>
  <r>
    <x v="339"/>
    <x v="0"/>
    <x v="11"/>
    <n v="50"/>
    <n v="11"/>
    <x v="7"/>
    <x v="7"/>
    <s v="paylater"/>
    <n v="418179754"/>
  </r>
  <r>
    <x v="339"/>
    <x v="0"/>
    <x v="11"/>
    <n v="50"/>
    <n v="11"/>
    <x v="15"/>
    <x v="14"/>
    <s v="paylater"/>
    <n v="33106072"/>
  </r>
  <r>
    <x v="339"/>
    <x v="0"/>
    <x v="11"/>
    <n v="50"/>
    <n v="11"/>
    <x v="22"/>
    <x v="16"/>
    <s v="cashloan"/>
    <n v="0"/>
  </r>
  <r>
    <x v="339"/>
    <x v="0"/>
    <x v="11"/>
    <n v="50"/>
    <n v="11"/>
    <x v="0"/>
    <x v="0"/>
    <s v="payday"/>
    <n v="6783500000"/>
  </r>
  <r>
    <x v="339"/>
    <x v="0"/>
    <x v="11"/>
    <n v="50"/>
    <n v="11"/>
    <x v="6"/>
    <x v="6"/>
    <s v="payday"/>
    <n v="64000000"/>
  </r>
  <r>
    <x v="339"/>
    <x v="0"/>
    <x v="11"/>
    <n v="50"/>
    <n v="11"/>
    <x v="12"/>
    <x v="11"/>
    <s v="cashloan"/>
    <n v="5784330000"/>
  </r>
  <r>
    <x v="339"/>
    <x v="0"/>
    <x v="11"/>
    <n v="50"/>
    <n v="11"/>
    <x v="1"/>
    <x v="1"/>
    <s v="cashloan"/>
    <n v="36750000"/>
  </r>
  <r>
    <x v="339"/>
    <x v="0"/>
    <x v="11"/>
    <n v="50"/>
    <n v="11"/>
    <x v="18"/>
    <x v="15"/>
    <s v="cashloan"/>
    <n v="293070000"/>
  </r>
  <r>
    <x v="339"/>
    <x v="0"/>
    <x v="11"/>
    <n v="50"/>
    <n v="11"/>
    <x v="8"/>
    <x v="8"/>
    <s v="cashloan"/>
    <n v="0"/>
  </r>
  <r>
    <x v="339"/>
    <x v="0"/>
    <x v="11"/>
    <n v="50"/>
    <n v="11"/>
    <x v="17"/>
    <x v="9"/>
    <s v="cashloan"/>
    <n v="0"/>
  </r>
  <r>
    <x v="339"/>
    <x v="0"/>
    <x v="11"/>
    <n v="50"/>
    <n v="11"/>
    <x v="20"/>
    <x v="9"/>
    <s v="cashloan"/>
    <n v="10700000"/>
  </r>
  <r>
    <x v="339"/>
    <x v="0"/>
    <x v="11"/>
    <n v="50"/>
    <n v="11"/>
    <x v="21"/>
    <x v="9"/>
    <s v="cashloan"/>
    <n v="64200000"/>
  </r>
  <r>
    <x v="339"/>
    <x v="0"/>
    <x v="11"/>
    <n v="50"/>
    <n v="11"/>
    <x v="11"/>
    <x v="10"/>
    <s v="paylater"/>
    <n v="142792933"/>
  </r>
  <r>
    <x v="339"/>
    <x v="0"/>
    <x v="11"/>
    <n v="50"/>
    <n v="11"/>
    <x v="5"/>
    <x v="5"/>
    <s v="overdraft"/>
    <n v="3202358238"/>
  </r>
  <r>
    <x v="339"/>
    <x v="0"/>
    <x v="11"/>
    <n v="50"/>
    <n v="11"/>
    <x v="19"/>
    <x v="12"/>
    <s v="paylater"/>
    <n v="92174485"/>
  </r>
  <r>
    <x v="339"/>
    <x v="0"/>
    <x v="11"/>
    <n v="50"/>
    <n v="11"/>
    <x v="3"/>
    <x v="3"/>
    <s v="cashloan"/>
    <n v="0"/>
  </r>
  <r>
    <x v="340"/>
    <x v="0"/>
    <x v="11"/>
    <n v="50"/>
    <n v="12"/>
    <x v="14"/>
    <x v="13"/>
    <s v="cashloan"/>
    <n v="451390000"/>
  </r>
  <r>
    <x v="340"/>
    <x v="0"/>
    <x v="11"/>
    <n v="50"/>
    <n v="12"/>
    <x v="2"/>
    <x v="2"/>
    <s v="cashloan"/>
    <n v="6247960000"/>
  </r>
  <r>
    <x v="340"/>
    <x v="0"/>
    <x v="11"/>
    <n v="50"/>
    <n v="12"/>
    <x v="6"/>
    <x v="6"/>
    <s v="payday"/>
    <n v="38000000"/>
  </r>
  <r>
    <x v="340"/>
    <x v="0"/>
    <x v="11"/>
    <n v="50"/>
    <n v="12"/>
    <x v="1"/>
    <x v="1"/>
    <s v="cashloan"/>
    <n v="10500000"/>
  </r>
  <r>
    <x v="340"/>
    <x v="0"/>
    <x v="11"/>
    <n v="50"/>
    <n v="12"/>
    <x v="12"/>
    <x v="11"/>
    <s v="cashloan"/>
    <n v="5465810000"/>
  </r>
  <r>
    <x v="340"/>
    <x v="0"/>
    <x v="11"/>
    <n v="50"/>
    <n v="12"/>
    <x v="5"/>
    <x v="5"/>
    <s v="overdraft"/>
    <n v="3350878277"/>
  </r>
  <r>
    <x v="340"/>
    <x v="0"/>
    <x v="11"/>
    <n v="50"/>
    <n v="12"/>
    <x v="18"/>
    <x v="15"/>
    <s v="cashloan"/>
    <n v="188690000"/>
  </r>
  <r>
    <x v="340"/>
    <x v="0"/>
    <x v="11"/>
    <n v="50"/>
    <n v="12"/>
    <x v="8"/>
    <x v="8"/>
    <s v="cashloan"/>
    <n v="0"/>
  </r>
  <r>
    <x v="340"/>
    <x v="0"/>
    <x v="11"/>
    <n v="50"/>
    <n v="12"/>
    <x v="15"/>
    <x v="14"/>
    <s v="paylater"/>
    <n v="23192044"/>
  </r>
  <r>
    <x v="340"/>
    <x v="0"/>
    <x v="11"/>
    <n v="50"/>
    <n v="12"/>
    <x v="22"/>
    <x v="16"/>
    <s v="cashloan"/>
    <n v="0"/>
  </r>
  <r>
    <x v="340"/>
    <x v="0"/>
    <x v="11"/>
    <n v="50"/>
    <n v="12"/>
    <x v="17"/>
    <x v="9"/>
    <s v="cashloan"/>
    <n v="0"/>
  </r>
  <r>
    <x v="340"/>
    <x v="0"/>
    <x v="11"/>
    <n v="50"/>
    <n v="12"/>
    <x v="20"/>
    <x v="9"/>
    <s v="cashloan"/>
    <n v="21400000"/>
  </r>
  <r>
    <x v="340"/>
    <x v="0"/>
    <x v="11"/>
    <n v="50"/>
    <n v="12"/>
    <x v="21"/>
    <x v="9"/>
    <s v="cashloan"/>
    <n v="53500000"/>
  </r>
  <r>
    <x v="340"/>
    <x v="0"/>
    <x v="11"/>
    <n v="50"/>
    <n v="12"/>
    <x v="3"/>
    <x v="3"/>
    <s v="cashloan"/>
    <n v="30600000"/>
  </r>
  <r>
    <x v="340"/>
    <x v="0"/>
    <x v="11"/>
    <n v="50"/>
    <n v="12"/>
    <x v="0"/>
    <x v="0"/>
    <s v="payday"/>
    <n v="6412000000"/>
  </r>
  <r>
    <x v="340"/>
    <x v="0"/>
    <x v="11"/>
    <n v="50"/>
    <n v="12"/>
    <x v="11"/>
    <x v="10"/>
    <s v="paylater"/>
    <n v="133304959"/>
  </r>
  <r>
    <x v="340"/>
    <x v="0"/>
    <x v="11"/>
    <n v="50"/>
    <n v="12"/>
    <x v="7"/>
    <x v="7"/>
    <s v="paylater"/>
    <n v="392607041"/>
  </r>
  <r>
    <x v="340"/>
    <x v="0"/>
    <x v="11"/>
    <n v="50"/>
    <n v="12"/>
    <x v="19"/>
    <x v="12"/>
    <s v="paylater"/>
    <n v="65902214"/>
  </r>
  <r>
    <x v="341"/>
    <x v="0"/>
    <x v="11"/>
    <n v="50"/>
    <n v="13"/>
    <x v="11"/>
    <x v="10"/>
    <s v="paylater"/>
    <n v="165739821"/>
  </r>
  <r>
    <x v="341"/>
    <x v="0"/>
    <x v="11"/>
    <n v="50"/>
    <n v="13"/>
    <x v="3"/>
    <x v="3"/>
    <s v="cashloan"/>
    <n v="33000000"/>
  </r>
  <r>
    <x v="341"/>
    <x v="0"/>
    <x v="11"/>
    <n v="50"/>
    <n v="13"/>
    <x v="14"/>
    <x v="13"/>
    <s v="cashloan"/>
    <n v="312500000"/>
  </r>
  <r>
    <x v="341"/>
    <x v="0"/>
    <x v="11"/>
    <n v="50"/>
    <n v="13"/>
    <x v="0"/>
    <x v="0"/>
    <s v="payday"/>
    <n v="6166000000"/>
  </r>
  <r>
    <x v="341"/>
    <x v="0"/>
    <x v="11"/>
    <n v="50"/>
    <n v="13"/>
    <x v="6"/>
    <x v="6"/>
    <s v="payday"/>
    <n v="36000000"/>
  </r>
  <r>
    <x v="341"/>
    <x v="0"/>
    <x v="11"/>
    <n v="50"/>
    <n v="13"/>
    <x v="19"/>
    <x v="12"/>
    <s v="paylater"/>
    <n v="67267621"/>
  </r>
  <r>
    <x v="341"/>
    <x v="0"/>
    <x v="11"/>
    <n v="50"/>
    <n v="13"/>
    <x v="1"/>
    <x v="1"/>
    <s v="cashloan"/>
    <n v="49350000"/>
  </r>
  <r>
    <x v="341"/>
    <x v="0"/>
    <x v="11"/>
    <n v="50"/>
    <n v="13"/>
    <x v="7"/>
    <x v="7"/>
    <s v="paylater"/>
    <n v="323566230"/>
  </r>
  <r>
    <x v="341"/>
    <x v="0"/>
    <x v="11"/>
    <n v="50"/>
    <n v="13"/>
    <x v="2"/>
    <x v="2"/>
    <s v="cashloan"/>
    <n v="5989300000"/>
  </r>
  <r>
    <x v="341"/>
    <x v="0"/>
    <x v="11"/>
    <n v="50"/>
    <n v="13"/>
    <x v="18"/>
    <x v="15"/>
    <s v="cashloan"/>
    <n v="204900000"/>
  </r>
  <r>
    <x v="341"/>
    <x v="0"/>
    <x v="11"/>
    <n v="50"/>
    <n v="13"/>
    <x v="22"/>
    <x v="16"/>
    <s v="cashloan"/>
    <n v="0"/>
  </r>
  <r>
    <x v="341"/>
    <x v="0"/>
    <x v="11"/>
    <n v="50"/>
    <n v="13"/>
    <x v="8"/>
    <x v="8"/>
    <s v="cashloan"/>
    <n v="0"/>
  </r>
  <r>
    <x v="341"/>
    <x v="0"/>
    <x v="11"/>
    <n v="50"/>
    <n v="13"/>
    <x v="15"/>
    <x v="14"/>
    <s v="paylater"/>
    <n v="29991326"/>
  </r>
  <r>
    <x v="341"/>
    <x v="0"/>
    <x v="11"/>
    <n v="50"/>
    <n v="13"/>
    <x v="20"/>
    <x v="9"/>
    <s v="cashloan"/>
    <n v="43750000"/>
  </r>
  <r>
    <x v="341"/>
    <x v="0"/>
    <x v="11"/>
    <n v="50"/>
    <n v="13"/>
    <x v="17"/>
    <x v="9"/>
    <s v="cashloan"/>
    <n v="0"/>
  </r>
  <r>
    <x v="341"/>
    <x v="0"/>
    <x v="11"/>
    <n v="50"/>
    <n v="13"/>
    <x v="21"/>
    <x v="9"/>
    <s v="cashloan"/>
    <n v="37450000"/>
  </r>
  <r>
    <x v="341"/>
    <x v="0"/>
    <x v="11"/>
    <n v="50"/>
    <n v="13"/>
    <x v="5"/>
    <x v="5"/>
    <s v="overdraft"/>
    <n v="3155529273"/>
  </r>
  <r>
    <x v="341"/>
    <x v="0"/>
    <x v="11"/>
    <n v="50"/>
    <n v="13"/>
    <x v="12"/>
    <x v="11"/>
    <s v="cashloan"/>
    <n v="5244890000"/>
  </r>
  <r>
    <x v="342"/>
    <x v="0"/>
    <x v="11"/>
    <n v="50"/>
    <n v="14"/>
    <x v="19"/>
    <x v="12"/>
    <s v="paylater"/>
    <n v="52525313"/>
  </r>
  <r>
    <x v="342"/>
    <x v="0"/>
    <x v="11"/>
    <n v="50"/>
    <n v="14"/>
    <x v="1"/>
    <x v="1"/>
    <s v="cashloan"/>
    <n v="0"/>
  </r>
  <r>
    <x v="342"/>
    <x v="0"/>
    <x v="11"/>
    <n v="50"/>
    <n v="14"/>
    <x v="11"/>
    <x v="10"/>
    <s v="paylater"/>
    <n v="150581274"/>
  </r>
  <r>
    <x v="342"/>
    <x v="0"/>
    <x v="11"/>
    <n v="50"/>
    <n v="14"/>
    <x v="8"/>
    <x v="8"/>
    <s v="cashloan"/>
    <n v="0"/>
  </r>
  <r>
    <x v="342"/>
    <x v="0"/>
    <x v="11"/>
    <n v="50"/>
    <n v="14"/>
    <x v="18"/>
    <x v="15"/>
    <s v="cashloan"/>
    <n v="119860000"/>
  </r>
  <r>
    <x v="342"/>
    <x v="0"/>
    <x v="11"/>
    <n v="50"/>
    <n v="14"/>
    <x v="12"/>
    <x v="11"/>
    <s v="cashloan"/>
    <n v="5466350000"/>
  </r>
  <r>
    <x v="342"/>
    <x v="0"/>
    <x v="11"/>
    <n v="50"/>
    <n v="14"/>
    <x v="17"/>
    <x v="9"/>
    <s v="cashloan"/>
    <n v="21400000"/>
  </r>
  <r>
    <x v="342"/>
    <x v="0"/>
    <x v="11"/>
    <n v="50"/>
    <n v="14"/>
    <x v="6"/>
    <x v="6"/>
    <s v="payday"/>
    <n v="33000000"/>
  </r>
  <r>
    <x v="342"/>
    <x v="0"/>
    <x v="11"/>
    <n v="50"/>
    <n v="14"/>
    <x v="20"/>
    <x v="9"/>
    <s v="cashloan"/>
    <n v="21400000"/>
  </r>
  <r>
    <x v="342"/>
    <x v="0"/>
    <x v="11"/>
    <n v="50"/>
    <n v="14"/>
    <x v="21"/>
    <x v="9"/>
    <s v="cashloan"/>
    <n v="84200000"/>
  </r>
  <r>
    <x v="342"/>
    <x v="0"/>
    <x v="11"/>
    <n v="50"/>
    <n v="14"/>
    <x v="2"/>
    <x v="2"/>
    <s v="cashloan"/>
    <n v="6157130000"/>
  </r>
  <r>
    <x v="342"/>
    <x v="0"/>
    <x v="11"/>
    <n v="50"/>
    <n v="14"/>
    <x v="0"/>
    <x v="0"/>
    <s v="payday"/>
    <n v="5702500000"/>
  </r>
  <r>
    <x v="342"/>
    <x v="0"/>
    <x v="11"/>
    <n v="50"/>
    <n v="14"/>
    <x v="14"/>
    <x v="13"/>
    <s v="cashloan"/>
    <n v="235900000"/>
  </r>
  <r>
    <x v="342"/>
    <x v="0"/>
    <x v="11"/>
    <n v="50"/>
    <n v="14"/>
    <x v="3"/>
    <x v="3"/>
    <s v="cashloan"/>
    <n v="0"/>
  </r>
  <r>
    <x v="342"/>
    <x v="0"/>
    <x v="11"/>
    <n v="50"/>
    <n v="14"/>
    <x v="7"/>
    <x v="7"/>
    <s v="paylater"/>
    <n v="319857813"/>
  </r>
  <r>
    <x v="342"/>
    <x v="0"/>
    <x v="11"/>
    <n v="50"/>
    <n v="14"/>
    <x v="15"/>
    <x v="14"/>
    <s v="paylater"/>
    <n v="49613556"/>
  </r>
  <r>
    <x v="342"/>
    <x v="0"/>
    <x v="11"/>
    <n v="50"/>
    <n v="14"/>
    <x v="22"/>
    <x v="16"/>
    <s v="cashloan"/>
    <n v="0"/>
  </r>
  <r>
    <x v="342"/>
    <x v="0"/>
    <x v="11"/>
    <n v="50"/>
    <n v="14"/>
    <x v="5"/>
    <x v="5"/>
    <s v="overdraft"/>
    <n v="3186732007"/>
  </r>
  <r>
    <x v="343"/>
    <x v="0"/>
    <x v="11"/>
    <n v="50"/>
    <n v="15"/>
    <x v="3"/>
    <x v="3"/>
    <s v="cashloan"/>
    <n v="0"/>
  </r>
  <r>
    <x v="343"/>
    <x v="0"/>
    <x v="11"/>
    <n v="50"/>
    <n v="15"/>
    <x v="7"/>
    <x v="7"/>
    <s v="paylater"/>
    <n v="291450073"/>
  </r>
  <r>
    <x v="343"/>
    <x v="0"/>
    <x v="11"/>
    <n v="50"/>
    <n v="15"/>
    <x v="14"/>
    <x v="13"/>
    <s v="cashloan"/>
    <n v="470680000"/>
  </r>
  <r>
    <x v="343"/>
    <x v="0"/>
    <x v="11"/>
    <n v="50"/>
    <n v="15"/>
    <x v="2"/>
    <x v="2"/>
    <s v="cashloan"/>
    <n v="5373280000"/>
  </r>
  <r>
    <x v="343"/>
    <x v="0"/>
    <x v="11"/>
    <n v="50"/>
    <n v="15"/>
    <x v="1"/>
    <x v="1"/>
    <s v="cashloan"/>
    <n v="59850000"/>
  </r>
  <r>
    <x v="343"/>
    <x v="0"/>
    <x v="11"/>
    <n v="50"/>
    <n v="15"/>
    <x v="19"/>
    <x v="12"/>
    <s v="paylater"/>
    <n v="76905503"/>
  </r>
  <r>
    <x v="343"/>
    <x v="0"/>
    <x v="11"/>
    <n v="50"/>
    <n v="15"/>
    <x v="6"/>
    <x v="6"/>
    <s v="payday"/>
    <n v="38000000"/>
  </r>
  <r>
    <x v="343"/>
    <x v="0"/>
    <x v="11"/>
    <n v="50"/>
    <n v="15"/>
    <x v="12"/>
    <x v="11"/>
    <s v="cashloan"/>
    <n v="4892090000"/>
  </r>
  <r>
    <x v="343"/>
    <x v="0"/>
    <x v="11"/>
    <n v="50"/>
    <n v="15"/>
    <x v="21"/>
    <x v="9"/>
    <s v="cashloan"/>
    <n v="0"/>
  </r>
  <r>
    <x v="343"/>
    <x v="0"/>
    <x v="11"/>
    <n v="50"/>
    <n v="15"/>
    <x v="22"/>
    <x v="16"/>
    <s v="cashloan"/>
    <n v="0"/>
  </r>
  <r>
    <x v="343"/>
    <x v="0"/>
    <x v="11"/>
    <n v="50"/>
    <n v="15"/>
    <x v="0"/>
    <x v="0"/>
    <s v="payday"/>
    <n v="5542500000"/>
  </r>
  <r>
    <x v="343"/>
    <x v="0"/>
    <x v="11"/>
    <n v="50"/>
    <n v="15"/>
    <x v="11"/>
    <x v="10"/>
    <s v="paylater"/>
    <n v="137566176"/>
  </r>
  <r>
    <x v="343"/>
    <x v="0"/>
    <x v="11"/>
    <n v="50"/>
    <n v="15"/>
    <x v="8"/>
    <x v="8"/>
    <s v="cashloan"/>
    <n v="0"/>
  </r>
  <r>
    <x v="343"/>
    <x v="0"/>
    <x v="11"/>
    <n v="50"/>
    <n v="15"/>
    <x v="18"/>
    <x v="15"/>
    <s v="cashloan"/>
    <n v="58150000"/>
  </r>
  <r>
    <x v="343"/>
    <x v="0"/>
    <x v="11"/>
    <n v="50"/>
    <n v="15"/>
    <x v="5"/>
    <x v="5"/>
    <s v="overdraft"/>
    <n v="2928051829"/>
  </r>
  <r>
    <x v="343"/>
    <x v="0"/>
    <x v="11"/>
    <n v="50"/>
    <n v="15"/>
    <x v="15"/>
    <x v="14"/>
    <s v="paylater"/>
    <n v="21588451"/>
  </r>
  <r>
    <x v="343"/>
    <x v="0"/>
    <x v="11"/>
    <n v="50"/>
    <n v="15"/>
    <x v="20"/>
    <x v="9"/>
    <s v="cashloan"/>
    <n v="0"/>
  </r>
  <r>
    <x v="343"/>
    <x v="0"/>
    <x v="11"/>
    <n v="50"/>
    <n v="15"/>
    <x v="17"/>
    <x v="9"/>
    <s v="cashloan"/>
    <n v="72060000"/>
  </r>
  <r>
    <x v="344"/>
    <x v="0"/>
    <x v="11"/>
    <n v="51"/>
    <n v="16"/>
    <x v="12"/>
    <x v="11"/>
    <s v="cashloan"/>
    <n v="6165850000"/>
  </r>
  <r>
    <x v="344"/>
    <x v="0"/>
    <x v="11"/>
    <n v="51"/>
    <n v="16"/>
    <x v="22"/>
    <x v="16"/>
    <s v="cashloan"/>
    <n v="0"/>
  </r>
  <r>
    <x v="344"/>
    <x v="0"/>
    <x v="11"/>
    <n v="51"/>
    <n v="16"/>
    <x v="21"/>
    <x v="9"/>
    <s v="cashloan"/>
    <n v="0"/>
  </r>
  <r>
    <x v="344"/>
    <x v="0"/>
    <x v="11"/>
    <n v="51"/>
    <n v="16"/>
    <x v="18"/>
    <x v="15"/>
    <s v="cashloan"/>
    <n v="113390000"/>
  </r>
  <r>
    <x v="344"/>
    <x v="0"/>
    <x v="11"/>
    <n v="51"/>
    <n v="16"/>
    <x v="7"/>
    <x v="7"/>
    <s v="paylater"/>
    <n v="362112713"/>
  </r>
  <r>
    <x v="344"/>
    <x v="0"/>
    <x v="11"/>
    <n v="51"/>
    <n v="16"/>
    <x v="5"/>
    <x v="5"/>
    <s v="overdraft"/>
    <n v="3485129811"/>
  </r>
  <r>
    <x v="344"/>
    <x v="0"/>
    <x v="11"/>
    <n v="51"/>
    <n v="16"/>
    <x v="0"/>
    <x v="0"/>
    <s v="payday"/>
    <n v="5893500000"/>
  </r>
  <r>
    <x v="344"/>
    <x v="0"/>
    <x v="11"/>
    <n v="51"/>
    <n v="16"/>
    <x v="14"/>
    <x v="13"/>
    <s v="cashloan"/>
    <n v="393180000"/>
  </r>
  <r>
    <x v="344"/>
    <x v="0"/>
    <x v="11"/>
    <n v="51"/>
    <n v="16"/>
    <x v="6"/>
    <x v="6"/>
    <s v="payday"/>
    <n v="32000000"/>
  </r>
  <r>
    <x v="344"/>
    <x v="0"/>
    <x v="11"/>
    <n v="51"/>
    <n v="16"/>
    <x v="8"/>
    <x v="8"/>
    <s v="cashloan"/>
    <n v="0"/>
  </r>
  <r>
    <x v="344"/>
    <x v="0"/>
    <x v="11"/>
    <n v="51"/>
    <n v="16"/>
    <x v="1"/>
    <x v="1"/>
    <s v="cashloan"/>
    <n v="21000000"/>
  </r>
  <r>
    <x v="344"/>
    <x v="0"/>
    <x v="11"/>
    <n v="51"/>
    <n v="16"/>
    <x v="3"/>
    <x v="3"/>
    <s v="cashloan"/>
    <n v="0"/>
  </r>
  <r>
    <x v="344"/>
    <x v="0"/>
    <x v="11"/>
    <n v="51"/>
    <n v="16"/>
    <x v="17"/>
    <x v="9"/>
    <s v="cashloan"/>
    <n v="21400000"/>
  </r>
  <r>
    <x v="344"/>
    <x v="0"/>
    <x v="11"/>
    <n v="51"/>
    <n v="16"/>
    <x v="19"/>
    <x v="12"/>
    <s v="paylater"/>
    <n v="68921486"/>
  </r>
  <r>
    <x v="344"/>
    <x v="0"/>
    <x v="11"/>
    <n v="51"/>
    <n v="16"/>
    <x v="2"/>
    <x v="2"/>
    <s v="cashloan"/>
    <n v="6444680000"/>
  </r>
  <r>
    <x v="344"/>
    <x v="0"/>
    <x v="11"/>
    <n v="51"/>
    <n v="16"/>
    <x v="11"/>
    <x v="10"/>
    <s v="paylater"/>
    <n v="133997860"/>
  </r>
  <r>
    <x v="344"/>
    <x v="0"/>
    <x v="11"/>
    <n v="51"/>
    <n v="16"/>
    <x v="15"/>
    <x v="14"/>
    <s v="paylater"/>
    <n v="30831837"/>
  </r>
  <r>
    <x v="344"/>
    <x v="0"/>
    <x v="11"/>
    <n v="51"/>
    <n v="16"/>
    <x v="20"/>
    <x v="9"/>
    <s v="cashloan"/>
    <n v="10000000"/>
  </r>
  <r>
    <x v="345"/>
    <x v="0"/>
    <x v="11"/>
    <n v="51"/>
    <n v="17"/>
    <x v="5"/>
    <x v="5"/>
    <s v="overdraft"/>
    <n v="3340152981"/>
  </r>
  <r>
    <x v="345"/>
    <x v="0"/>
    <x v="11"/>
    <n v="51"/>
    <n v="17"/>
    <x v="11"/>
    <x v="10"/>
    <s v="paylater"/>
    <n v="127235371"/>
  </r>
  <r>
    <x v="345"/>
    <x v="0"/>
    <x v="11"/>
    <n v="51"/>
    <n v="17"/>
    <x v="8"/>
    <x v="8"/>
    <s v="cashloan"/>
    <n v="0"/>
  </r>
  <r>
    <x v="345"/>
    <x v="0"/>
    <x v="11"/>
    <n v="51"/>
    <n v="17"/>
    <x v="3"/>
    <x v="3"/>
    <s v="cashloan"/>
    <n v="0"/>
  </r>
  <r>
    <x v="345"/>
    <x v="0"/>
    <x v="11"/>
    <n v="51"/>
    <n v="17"/>
    <x v="22"/>
    <x v="16"/>
    <s v="cashloan"/>
    <n v="0"/>
  </r>
  <r>
    <x v="345"/>
    <x v="0"/>
    <x v="11"/>
    <n v="51"/>
    <n v="17"/>
    <x v="19"/>
    <x v="12"/>
    <s v="paylater"/>
    <n v="75829660"/>
  </r>
  <r>
    <x v="345"/>
    <x v="0"/>
    <x v="11"/>
    <n v="51"/>
    <n v="17"/>
    <x v="6"/>
    <x v="6"/>
    <s v="payday"/>
    <n v="67000000"/>
  </r>
  <r>
    <x v="345"/>
    <x v="0"/>
    <x v="11"/>
    <n v="51"/>
    <n v="17"/>
    <x v="2"/>
    <x v="2"/>
    <s v="cashloan"/>
    <n v="6460390000"/>
  </r>
  <r>
    <x v="345"/>
    <x v="0"/>
    <x v="11"/>
    <n v="51"/>
    <n v="17"/>
    <x v="14"/>
    <x v="13"/>
    <s v="cashloan"/>
    <n v="390170000"/>
  </r>
  <r>
    <x v="345"/>
    <x v="0"/>
    <x v="11"/>
    <n v="51"/>
    <n v="17"/>
    <x v="18"/>
    <x v="15"/>
    <s v="cashloan"/>
    <n v="41730000"/>
  </r>
  <r>
    <x v="345"/>
    <x v="0"/>
    <x v="11"/>
    <n v="51"/>
    <n v="17"/>
    <x v="12"/>
    <x v="11"/>
    <s v="cashloan"/>
    <n v="6101160000"/>
  </r>
  <r>
    <x v="345"/>
    <x v="0"/>
    <x v="11"/>
    <n v="51"/>
    <n v="17"/>
    <x v="7"/>
    <x v="7"/>
    <s v="paylater"/>
    <n v="283011821"/>
  </r>
  <r>
    <x v="345"/>
    <x v="0"/>
    <x v="11"/>
    <n v="51"/>
    <n v="17"/>
    <x v="15"/>
    <x v="14"/>
    <s v="paylater"/>
    <n v="12990100"/>
  </r>
  <r>
    <x v="345"/>
    <x v="0"/>
    <x v="11"/>
    <n v="51"/>
    <n v="17"/>
    <x v="1"/>
    <x v="1"/>
    <s v="cashloan"/>
    <n v="44100000"/>
  </r>
  <r>
    <x v="345"/>
    <x v="0"/>
    <x v="11"/>
    <n v="51"/>
    <n v="17"/>
    <x v="20"/>
    <x v="9"/>
    <s v="cashloan"/>
    <n v="0"/>
  </r>
  <r>
    <x v="345"/>
    <x v="0"/>
    <x v="11"/>
    <n v="51"/>
    <n v="17"/>
    <x v="17"/>
    <x v="9"/>
    <s v="cashloan"/>
    <n v="0"/>
  </r>
  <r>
    <x v="345"/>
    <x v="0"/>
    <x v="11"/>
    <n v="51"/>
    <n v="17"/>
    <x v="21"/>
    <x v="9"/>
    <s v="cashloan"/>
    <n v="30700000"/>
  </r>
  <r>
    <x v="345"/>
    <x v="0"/>
    <x v="11"/>
    <n v="51"/>
    <n v="17"/>
    <x v="0"/>
    <x v="0"/>
    <s v="payday"/>
    <n v="5705000000"/>
  </r>
  <r>
    <x v="346"/>
    <x v="0"/>
    <x v="11"/>
    <n v="51"/>
    <n v="18"/>
    <x v="11"/>
    <x v="10"/>
    <s v="paylater"/>
    <n v="116262854"/>
  </r>
  <r>
    <x v="346"/>
    <x v="0"/>
    <x v="11"/>
    <n v="51"/>
    <n v="18"/>
    <x v="3"/>
    <x v="3"/>
    <s v="cashloan"/>
    <n v="0"/>
  </r>
  <r>
    <x v="346"/>
    <x v="0"/>
    <x v="11"/>
    <n v="51"/>
    <n v="18"/>
    <x v="12"/>
    <x v="11"/>
    <s v="cashloan"/>
    <n v="5494920000"/>
  </r>
  <r>
    <x v="346"/>
    <x v="0"/>
    <x v="11"/>
    <n v="51"/>
    <n v="18"/>
    <x v="6"/>
    <x v="6"/>
    <s v="payday"/>
    <n v="24000000"/>
  </r>
  <r>
    <x v="346"/>
    <x v="0"/>
    <x v="11"/>
    <n v="51"/>
    <n v="18"/>
    <x v="7"/>
    <x v="7"/>
    <s v="paylater"/>
    <n v="263569385"/>
  </r>
  <r>
    <x v="346"/>
    <x v="0"/>
    <x v="11"/>
    <n v="51"/>
    <n v="18"/>
    <x v="0"/>
    <x v="0"/>
    <s v="payday"/>
    <n v="5065000000"/>
  </r>
  <r>
    <x v="346"/>
    <x v="0"/>
    <x v="11"/>
    <n v="51"/>
    <n v="18"/>
    <x v="2"/>
    <x v="2"/>
    <s v="cashloan"/>
    <n v="5923710000"/>
  </r>
  <r>
    <x v="346"/>
    <x v="0"/>
    <x v="11"/>
    <n v="51"/>
    <n v="18"/>
    <x v="1"/>
    <x v="1"/>
    <s v="cashloan"/>
    <n v="21000000"/>
  </r>
  <r>
    <x v="346"/>
    <x v="0"/>
    <x v="11"/>
    <n v="51"/>
    <n v="18"/>
    <x v="22"/>
    <x v="16"/>
    <s v="cashloan"/>
    <n v="0"/>
  </r>
  <r>
    <x v="346"/>
    <x v="0"/>
    <x v="11"/>
    <n v="51"/>
    <n v="18"/>
    <x v="14"/>
    <x v="13"/>
    <s v="cashloan"/>
    <n v="395580000"/>
  </r>
  <r>
    <x v="346"/>
    <x v="0"/>
    <x v="11"/>
    <n v="51"/>
    <n v="18"/>
    <x v="8"/>
    <x v="8"/>
    <s v="cashloan"/>
    <n v="0"/>
  </r>
  <r>
    <x v="346"/>
    <x v="0"/>
    <x v="11"/>
    <n v="51"/>
    <n v="18"/>
    <x v="19"/>
    <x v="12"/>
    <s v="paylater"/>
    <n v="56249664"/>
  </r>
  <r>
    <x v="346"/>
    <x v="0"/>
    <x v="11"/>
    <n v="51"/>
    <n v="18"/>
    <x v="18"/>
    <x v="15"/>
    <s v="cashloan"/>
    <n v="151840000"/>
  </r>
  <r>
    <x v="346"/>
    <x v="0"/>
    <x v="11"/>
    <n v="51"/>
    <n v="18"/>
    <x v="15"/>
    <x v="14"/>
    <s v="paylater"/>
    <n v="30120707"/>
  </r>
  <r>
    <x v="346"/>
    <x v="0"/>
    <x v="11"/>
    <n v="51"/>
    <n v="18"/>
    <x v="20"/>
    <x v="9"/>
    <s v="cashloan"/>
    <n v="21400000"/>
  </r>
  <r>
    <x v="346"/>
    <x v="0"/>
    <x v="11"/>
    <n v="51"/>
    <n v="18"/>
    <x v="21"/>
    <x v="9"/>
    <s v="cashloan"/>
    <n v="31050000"/>
  </r>
  <r>
    <x v="346"/>
    <x v="0"/>
    <x v="11"/>
    <n v="51"/>
    <n v="18"/>
    <x v="5"/>
    <x v="5"/>
    <s v="overdraft"/>
    <n v="3162224020"/>
  </r>
  <r>
    <x v="346"/>
    <x v="0"/>
    <x v="11"/>
    <n v="51"/>
    <n v="18"/>
    <x v="17"/>
    <x v="9"/>
    <s v="cashloan"/>
    <n v="0"/>
  </r>
  <r>
    <x v="347"/>
    <x v="0"/>
    <x v="11"/>
    <n v="51"/>
    <n v="19"/>
    <x v="3"/>
    <x v="3"/>
    <s v="cashloan"/>
    <n v="15000000"/>
  </r>
  <r>
    <x v="347"/>
    <x v="0"/>
    <x v="11"/>
    <n v="51"/>
    <n v="19"/>
    <x v="19"/>
    <x v="12"/>
    <s v="paylater"/>
    <n v="38092438"/>
  </r>
  <r>
    <x v="347"/>
    <x v="0"/>
    <x v="11"/>
    <n v="51"/>
    <n v="19"/>
    <x v="11"/>
    <x v="10"/>
    <s v="paylater"/>
    <n v="126722952"/>
  </r>
  <r>
    <x v="347"/>
    <x v="0"/>
    <x v="11"/>
    <n v="51"/>
    <n v="19"/>
    <x v="1"/>
    <x v="1"/>
    <s v="cashloan"/>
    <n v="31500000"/>
  </r>
  <r>
    <x v="347"/>
    <x v="0"/>
    <x v="11"/>
    <n v="51"/>
    <n v="19"/>
    <x v="22"/>
    <x v="16"/>
    <s v="cashloan"/>
    <n v="0"/>
  </r>
  <r>
    <x v="347"/>
    <x v="0"/>
    <x v="11"/>
    <n v="51"/>
    <n v="19"/>
    <x v="12"/>
    <x v="11"/>
    <s v="cashloan"/>
    <n v="5419910000"/>
  </r>
  <r>
    <x v="347"/>
    <x v="0"/>
    <x v="11"/>
    <n v="51"/>
    <n v="19"/>
    <x v="5"/>
    <x v="5"/>
    <s v="overdraft"/>
    <n v="3523120943"/>
  </r>
  <r>
    <x v="347"/>
    <x v="0"/>
    <x v="11"/>
    <n v="51"/>
    <n v="19"/>
    <x v="7"/>
    <x v="7"/>
    <s v="paylater"/>
    <n v="243623964"/>
  </r>
  <r>
    <x v="347"/>
    <x v="0"/>
    <x v="11"/>
    <n v="51"/>
    <n v="19"/>
    <x v="8"/>
    <x v="8"/>
    <s v="cashloan"/>
    <n v="0"/>
  </r>
  <r>
    <x v="347"/>
    <x v="0"/>
    <x v="11"/>
    <n v="51"/>
    <n v="19"/>
    <x v="14"/>
    <x v="13"/>
    <s v="cashloan"/>
    <n v="500000000"/>
  </r>
  <r>
    <x v="347"/>
    <x v="0"/>
    <x v="11"/>
    <n v="51"/>
    <n v="19"/>
    <x v="2"/>
    <x v="2"/>
    <s v="cashloan"/>
    <n v="5864530000"/>
  </r>
  <r>
    <x v="347"/>
    <x v="0"/>
    <x v="11"/>
    <n v="51"/>
    <n v="19"/>
    <x v="15"/>
    <x v="14"/>
    <s v="paylater"/>
    <n v="14902449"/>
  </r>
  <r>
    <x v="347"/>
    <x v="0"/>
    <x v="11"/>
    <n v="51"/>
    <n v="19"/>
    <x v="18"/>
    <x v="15"/>
    <s v="cashloan"/>
    <n v="208340000"/>
  </r>
  <r>
    <x v="347"/>
    <x v="0"/>
    <x v="11"/>
    <n v="51"/>
    <n v="19"/>
    <x v="20"/>
    <x v="9"/>
    <s v="cashloan"/>
    <n v="21400000"/>
  </r>
  <r>
    <x v="347"/>
    <x v="0"/>
    <x v="11"/>
    <n v="51"/>
    <n v="19"/>
    <x v="6"/>
    <x v="6"/>
    <s v="payday"/>
    <n v="22000000"/>
  </r>
  <r>
    <x v="347"/>
    <x v="0"/>
    <x v="11"/>
    <n v="51"/>
    <n v="19"/>
    <x v="17"/>
    <x v="9"/>
    <s v="cashloan"/>
    <n v="0"/>
  </r>
  <r>
    <x v="347"/>
    <x v="0"/>
    <x v="11"/>
    <n v="51"/>
    <n v="19"/>
    <x v="21"/>
    <x v="9"/>
    <s v="cashloan"/>
    <n v="21400000"/>
  </r>
  <r>
    <x v="347"/>
    <x v="0"/>
    <x v="11"/>
    <n v="51"/>
    <n v="19"/>
    <x v="0"/>
    <x v="0"/>
    <s v="payday"/>
    <n v="5351000000"/>
  </r>
  <r>
    <x v="348"/>
    <x v="0"/>
    <x v="11"/>
    <n v="51"/>
    <n v="20"/>
    <x v="3"/>
    <x v="3"/>
    <s v="cashloan"/>
    <n v="18900000"/>
  </r>
  <r>
    <x v="348"/>
    <x v="0"/>
    <x v="11"/>
    <n v="51"/>
    <n v="20"/>
    <x v="12"/>
    <x v="11"/>
    <s v="cashloan"/>
    <n v="5727080000"/>
  </r>
  <r>
    <x v="348"/>
    <x v="0"/>
    <x v="11"/>
    <n v="51"/>
    <n v="20"/>
    <x v="5"/>
    <x v="5"/>
    <s v="overdraft"/>
    <n v="3829799395"/>
  </r>
  <r>
    <x v="348"/>
    <x v="0"/>
    <x v="11"/>
    <n v="51"/>
    <n v="20"/>
    <x v="2"/>
    <x v="2"/>
    <s v="cashloan"/>
    <n v="6058010000"/>
  </r>
  <r>
    <x v="348"/>
    <x v="0"/>
    <x v="11"/>
    <n v="51"/>
    <n v="20"/>
    <x v="0"/>
    <x v="0"/>
    <s v="payday"/>
    <n v="5719500000"/>
  </r>
  <r>
    <x v="348"/>
    <x v="0"/>
    <x v="11"/>
    <n v="51"/>
    <n v="20"/>
    <x v="6"/>
    <x v="6"/>
    <s v="payday"/>
    <n v="59000000"/>
  </r>
  <r>
    <x v="348"/>
    <x v="0"/>
    <x v="11"/>
    <n v="51"/>
    <n v="20"/>
    <x v="1"/>
    <x v="1"/>
    <s v="cashloan"/>
    <n v="0"/>
  </r>
  <r>
    <x v="348"/>
    <x v="0"/>
    <x v="11"/>
    <n v="51"/>
    <n v="20"/>
    <x v="11"/>
    <x v="10"/>
    <s v="paylater"/>
    <n v="119742711"/>
  </r>
  <r>
    <x v="348"/>
    <x v="0"/>
    <x v="11"/>
    <n v="51"/>
    <n v="20"/>
    <x v="8"/>
    <x v="8"/>
    <s v="cashloan"/>
    <n v="0"/>
  </r>
  <r>
    <x v="348"/>
    <x v="0"/>
    <x v="11"/>
    <n v="51"/>
    <n v="20"/>
    <x v="14"/>
    <x v="13"/>
    <s v="cashloan"/>
    <n v="437000000"/>
  </r>
  <r>
    <x v="348"/>
    <x v="0"/>
    <x v="11"/>
    <n v="51"/>
    <n v="20"/>
    <x v="22"/>
    <x v="16"/>
    <s v="cashloan"/>
    <n v="0"/>
  </r>
  <r>
    <x v="348"/>
    <x v="0"/>
    <x v="11"/>
    <n v="51"/>
    <n v="20"/>
    <x v="19"/>
    <x v="12"/>
    <s v="paylater"/>
    <n v="56532946"/>
  </r>
  <r>
    <x v="348"/>
    <x v="0"/>
    <x v="11"/>
    <n v="51"/>
    <n v="20"/>
    <x v="15"/>
    <x v="14"/>
    <s v="paylater"/>
    <n v="15256993"/>
  </r>
  <r>
    <x v="348"/>
    <x v="0"/>
    <x v="11"/>
    <n v="51"/>
    <n v="20"/>
    <x v="20"/>
    <x v="9"/>
    <s v="cashloan"/>
    <n v="36050000"/>
  </r>
  <r>
    <x v="348"/>
    <x v="0"/>
    <x v="11"/>
    <n v="51"/>
    <n v="20"/>
    <x v="17"/>
    <x v="9"/>
    <s v="cashloan"/>
    <n v="0"/>
  </r>
  <r>
    <x v="348"/>
    <x v="0"/>
    <x v="11"/>
    <n v="51"/>
    <n v="20"/>
    <x v="21"/>
    <x v="9"/>
    <s v="cashloan"/>
    <n v="52100000"/>
  </r>
  <r>
    <x v="348"/>
    <x v="0"/>
    <x v="11"/>
    <n v="51"/>
    <n v="20"/>
    <x v="18"/>
    <x v="15"/>
    <s v="cashloan"/>
    <n v="156530000"/>
  </r>
  <r>
    <x v="348"/>
    <x v="0"/>
    <x v="11"/>
    <n v="51"/>
    <n v="20"/>
    <x v="7"/>
    <x v="7"/>
    <s v="paylater"/>
    <n v="288296849"/>
  </r>
  <r>
    <x v="349"/>
    <x v="0"/>
    <x v="11"/>
    <n v="51"/>
    <n v="21"/>
    <x v="19"/>
    <x v="12"/>
    <s v="paylater"/>
    <n v="68645025"/>
  </r>
  <r>
    <x v="349"/>
    <x v="0"/>
    <x v="11"/>
    <n v="51"/>
    <n v="21"/>
    <x v="15"/>
    <x v="14"/>
    <s v="paylater"/>
    <n v="26440540"/>
  </r>
  <r>
    <x v="349"/>
    <x v="0"/>
    <x v="11"/>
    <n v="51"/>
    <n v="21"/>
    <x v="20"/>
    <x v="9"/>
    <s v="cashloan"/>
    <n v="0"/>
  </r>
  <r>
    <x v="349"/>
    <x v="0"/>
    <x v="11"/>
    <n v="51"/>
    <n v="21"/>
    <x v="17"/>
    <x v="9"/>
    <s v="cashloan"/>
    <n v="0"/>
  </r>
  <r>
    <x v="349"/>
    <x v="0"/>
    <x v="11"/>
    <n v="51"/>
    <n v="21"/>
    <x v="21"/>
    <x v="9"/>
    <s v="cashloan"/>
    <n v="42800000"/>
  </r>
  <r>
    <x v="349"/>
    <x v="0"/>
    <x v="11"/>
    <n v="51"/>
    <n v="21"/>
    <x v="18"/>
    <x v="15"/>
    <s v="cashloan"/>
    <n v="113970000"/>
  </r>
  <r>
    <x v="349"/>
    <x v="0"/>
    <x v="11"/>
    <n v="51"/>
    <n v="21"/>
    <x v="0"/>
    <x v="0"/>
    <s v="payday"/>
    <n v="5078000000"/>
  </r>
  <r>
    <x v="349"/>
    <x v="0"/>
    <x v="11"/>
    <n v="51"/>
    <n v="21"/>
    <x v="8"/>
    <x v="8"/>
    <s v="cashloan"/>
    <n v="0"/>
  </r>
  <r>
    <x v="349"/>
    <x v="0"/>
    <x v="11"/>
    <n v="51"/>
    <n v="21"/>
    <x v="11"/>
    <x v="10"/>
    <s v="paylater"/>
    <n v="126523446"/>
  </r>
  <r>
    <x v="349"/>
    <x v="0"/>
    <x v="11"/>
    <n v="51"/>
    <n v="21"/>
    <x v="12"/>
    <x v="11"/>
    <s v="cashloan"/>
    <n v="5324600000"/>
  </r>
  <r>
    <x v="349"/>
    <x v="0"/>
    <x v="11"/>
    <n v="51"/>
    <n v="21"/>
    <x v="7"/>
    <x v="7"/>
    <s v="paylater"/>
    <n v="323622024"/>
  </r>
  <r>
    <x v="349"/>
    <x v="0"/>
    <x v="11"/>
    <n v="51"/>
    <n v="21"/>
    <x v="3"/>
    <x v="3"/>
    <s v="cashloan"/>
    <n v="21000000"/>
  </r>
  <r>
    <x v="349"/>
    <x v="0"/>
    <x v="11"/>
    <n v="51"/>
    <n v="21"/>
    <x v="22"/>
    <x v="16"/>
    <s v="cashloan"/>
    <n v="0"/>
  </r>
  <r>
    <x v="349"/>
    <x v="0"/>
    <x v="11"/>
    <n v="51"/>
    <n v="21"/>
    <x v="14"/>
    <x v="13"/>
    <s v="cashloan"/>
    <n v="313350000"/>
  </r>
  <r>
    <x v="349"/>
    <x v="0"/>
    <x v="11"/>
    <n v="51"/>
    <n v="21"/>
    <x v="5"/>
    <x v="5"/>
    <s v="overdraft"/>
    <n v="3285163546"/>
  </r>
  <r>
    <x v="349"/>
    <x v="0"/>
    <x v="11"/>
    <n v="51"/>
    <n v="21"/>
    <x v="6"/>
    <x v="6"/>
    <s v="payday"/>
    <n v="29000000"/>
  </r>
  <r>
    <x v="349"/>
    <x v="0"/>
    <x v="11"/>
    <n v="51"/>
    <n v="21"/>
    <x v="1"/>
    <x v="1"/>
    <s v="cashloan"/>
    <n v="21000000"/>
  </r>
  <r>
    <x v="349"/>
    <x v="0"/>
    <x v="11"/>
    <n v="51"/>
    <n v="21"/>
    <x v="2"/>
    <x v="2"/>
    <s v="cashloan"/>
    <n v="5157040000"/>
  </r>
  <r>
    <x v="350"/>
    <x v="0"/>
    <x v="11"/>
    <n v="51"/>
    <n v="22"/>
    <x v="22"/>
    <x v="16"/>
    <s v="cashloan"/>
    <n v="0"/>
  </r>
  <r>
    <x v="350"/>
    <x v="0"/>
    <x v="11"/>
    <n v="51"/>
    <n v="22"/>
    <x v="5"/>
    <x v="5"/>
    <s v="overdraft"/>
    <n v="2827490078"/>
  </r>
  <r>
    <x v="350"/>
    <x v="0"/>
    <x v="11"/>
    <n v="51"/>
    <n v="22"/>
    <x v="3"/>
    <x v="3"/>
    <s v="cashloan"/>
    <n v="20000000"/>
  </r>
  <r>
    <x v="350"/>
    <x v="0"/>
    <x v="11"/>
    <n v="51"/>
    <n v="22"/>
    <x v="21"/>
    <x v="9"/>
    <s v="cashloan"/>
    <n v="45310000"/>
  </r>
  <r>
    <x v="350"/>
    <x v="0"/>
    <x v="11"/>
    <n v="51"/>
    <n v="22"/>
    <x v="7"/>
    <x v="7"/>
    <s v="paylater"/>
    <n v="256854444"/>
  </r>
  <r>
    <x v="350"/>
    <x v="0"/>
    <x v="11"/>
    <n v="51"/>
    <n v="22"/>
    <x v="8"/>
    <x v="8"/>
    <s v="cashloan"/>
    <n v="0"/>
  </r>
  <r>
    <x v="350"/>
    <x v="0"/>
    <x v="11"/>
    <n v="51"/>
    <n v="22"/>
    <x v="20"/>
    <x v="9"/>
    <s v="cashloan"/>
    <n v="16050000"/>
  </r>
  <r>
    <x v="350"/>
    <x v="0"/>
    <x v="11"/>
    <n v="51"/>
    <n v="22"/>
    <x v="1"/>
    <x v="1"/>
    <s v="cashloan"/>
    <n v="52500000"/>
  </r>
  <r>
    <x v="350"/>
    <x v="0"/>
    <x v="11"/>
    <n v="51"/>
    <n v="22"/>
    <x v="11"/>
    <x v="10"/>
    <s v="paylater"/>
    <n v="120315841"/>
  </r>
  <r>
    <x v="350"/>
    <x v="0"/>
    <x v="11"/>
    <n v="51"/>
    <n v="22"/>
    <x v="0"/>
    <x v="0"/>
    <s v="payday"/>
    <n v="4747500000"/>
  </r>
  <r>
    <x v="350"/>
    <x v="0"/>
    <x v="11"/>
    <n v="51"/>
    <n v="22"/>
    <x v="2"/>
    <x v="2"/>
    <s v="cashloan"/>
    <n v="4644830000"/>
  </r>
  <r>
    <x v="350"/>
    <x v="0"/>
    <x v="11"/>
    <n v="51"/>
    <n v="22"/>
    <x v="15"/>
    <x v="14"/>
    <s v="paylater"/>
    <n v="11283062"/>
  </r>
  <r>
    <x v="350"/>
    <x v="0"/>
    <x v="11"/>
    <n v="51"/>
    <n v="22"/>
    <x v="19"/>
    <x v="12"/>
    <s v="paylater"/>
    <n v="48640266"/>
  </r>
  <r>
    <x v="350"/>
    <x v="0"/>
    <x v="11"/>
    <n v="51"/>
    <n v="22"/>
    <x v="18"/>
    <x v="15"/>
    <s v="cashloan"/>
    <n v="115560000"/>
  </r>
  <r>
    <x v="350"/>
    <x v="0"/>
    <x v="11"/>
    <n v="51"/>
    <n v="22"/>
    <x v="6"/>
    <x v="6"/>
    <s v="payday"/>
    <n v="65000000"/>
  </r>
  <r>
    <x v="350"/>
    <x v="0"/>
    <x v="11"/>
    <n v="51"/>
    <n v="22"/>
    <x v="17"/>
    <x v="9"/>
    <s v="cashloan"/>
    <n v="0"/>
  </r>
  <r>
    <x v="350"/>
    <x v="0"/>
    <x v="11"/>
    <n v="51"/>
    <n v="22"/>
    <x v="12"/>
    <x v="11"/>
    <s v="cashloan"/>
    <n v="4559310000"/>
  </r>
  <r>
    <x v="350"/>
    <x v="0"/>
    <x v="11"/>
    <n v="51"/>
    <n v="22"/>
    <x v="14"/>
    <x v="13"/>
    <s v="cashloan"/>
    <n v="549660000"/>
  </r>
  <r>
    <x v="351"/>
    <x v="0"/>
    <x v="11"/>
    <n v="52"/>
    <n v="23"/>
    <x v="7"/>
    <x v="7"/>
    <s v="paylater"/>
    <n v="275212714"/>
  </r>
  <r>
    <x v="351"/>
    <x v="0"/>
    <x v="11"/>
    <n v="52"/>
    <n v="23"/>
    <x v="8"/>
    <x v="8"/>
    <s v="cashloan"/>
    <n v="0"/>
  </r>
  <r>
    <x v="351"/>
    <x v="0"/>
    <x v="11"/>
    <n v="52"/>
    <n v="23"/>
    <x v="22"/>
    <x v="16"/>
    <s v="cashloan"/>
    <n v="0"/>
  </r>
  <r>
    <x v="351"/>
    <x v="0"/>
    <x v="11"/>
    <n v="52"/>
    <n v="23"/>
    <x v="21"/>
    <x v="9"/>
    <s v="cashloan"/>
    <n v="0"/>
  </r>
  <r>
    <x v="351"/>
    <x v="0"/>
    <x v="11"/>
    <n v="52"/>
    <n v="23"/>
    <x v="0"/>
    <x v="0"/>
    <s v="payday"/>
    <n v="5050500000"/>
  </r>
  <r>
    <x v="351"/>
    <x v="0"/>
    <x v="11"/>
    <n v="52"/>
    <n v="23"/>
    <x v="11"/>
    <x v="10"/>
    <s v="paylater"/>
    <n v="122220446"/>
  </r>
  <r>
    <x v="351"/>
    <x v="0"/>
    <x v="11"/>
    <n v="52"/>
    <n v="23"/>
    <x v="19"/>
    <x v="12"/>
    <s v="paylater"/>
    <n v="73526029"/>
  </r>
  <r>
    <x v="351"/>
    <x v="0"/>
    <x v="11"/>
    <n v="52"/>
    <n v="23"/>
    <x v="18"/>
    <x v="15"/>
    <s v="cashloan"/>
    <n v="152350000"/>
  </r>
  <r>
    <x v="351"/>
    <x v="0"/>
    <x v="11"/>
    <n v="52"/>
    <n v="23"/>
    <x v="6"/>
    <x v="6"/>
    <s v="payday"/>
    <n v="25000000"/>
  </r>
  <r>
    <x v="351"/>
    <x v="0"/>
    <x v="11"/>
    <n v="52"/>
    <n v="23"/>
    <x v="14"/>
    <x v="13"/>
    <s v="cashloan"/>
    <n v="397200000"/>
  </r>
  <r>
    <x v="351"/>
    <x v="0"/>
    <x v="11"/>
    <n v="52"/>
    <n v="23"/>
    <x v="17"/>
    <x v="9"/>
    <s v="cashloan"/>
    <n v="37450000"/>
  </r>
  <r>
    <x v="351"/>
    <x v="0"/>
    <x v="11"/>
    <n v="52"/>
    <n v="23"/>
    <x v="5"/>
    <x v="5"/>
    <s v="overdraft"/>
    <n v="3566233183"/>
  </r>
  <r>
    <x v="351"/>
    <x v="0"/>
    <x v="11"/>
    <n v="52"/>
    <n v="23"/>
    <x v="1"/>
    <x v="1"/>
    <s v="cashloan"/>
    <n v="42000000"/>
  </r>
  <r>
    <x v="351"/>
    <x v="0"/>
    <x v="11"/>
    <n v="52"/>
    <n v="23"/>
    <x v="15"/>
    <x v="14"/>
    <s v="paylater"/>
    <n v="18556360"/>
  </r>
  <r>
    <x v="351"/>
    <x v="0"/>
    <x v="11"/>
    <n v="52"/>
    <n v="23"/>
    <x v="12"/>
    <x v="11"/>
    <s v="cashloan"/>
    <n v="5788620000"/>
  </r>
  <r>
    <x v="351"/>
    <x v="0"/>
    <x v="11"/>
    <n v="52"/>
    <n v="23"/>
    <x v="2"/>
    <x v="2"/>
    <s v="cashloan"/>
    <n v="5809280000"/>
  </r>
  <r>
    <x v="351"/>
    <x v="0"/>
    <x v="11"/>
    <n v="52"/>
    <n v="23"/>
    <x v="20"/>
    <x v="9"/>
    <s v="cashloan"/>
    <n v="0"/>
  </r>
  <r>
    <x v="351"/>
    <x v="0"/>
    <x v="11"/>
    <n v="52"/>
    <n v="23"/>
    <x v="3"/>
    <x v="3"/>
    <s v="cashloan"/>
    <n v="0"/>
  </r>
  <r>
    <x v="352"/>
    <x v="0"/>
    <x v="11"/>
    <n v="52"/>
    <n v="24"/>
    <x v="5"/>
    <x v="5"/>
    <s v="overdraft"/>
    <n v="3401782559"/>
  </r>
  <r>
    <x v="352"/>
    <x v="0"/>
    <x v="11"/>
    <n v="52"/>
    <n v="24"/>
    <x v="17"/>
    <x v="9"/>
    <s v="cashloan"/>
    <n v="0"/>
  </r>
  <r>
    <x v="352"/>
    <x v="0"/>
    <x v="11"/>
    <n v="52"/>
    <n v="24"/>
    <x v="8"/>
    <x v="8"/>
    <s v="cashloan"/>
    <n v="0"/>
  </r>
  <r>
    <x v="352"/>
    <x v="0"/>
    <x v="11"/>
    <n v="52"/>
    <n v="24"/>
    <x v="3"/>
    <x v="3"/>
    <s v="cashloan"/>
    <n v="0"/>
  </r>
  <r>
    <x v="352"/>
    <x v="0"/>
    <x v="11"/>
    <n v="52"/>
    <n v="24"/>
    <x v="22"/>
    <x v="16"/>
    <s v="cashloan"/>
    <n v="0"/>
  </r>
  <r>
    <x v="352"/>
    <x v="0"/>
    <x v="11"/>
    <n v="52"/>
    <n v="24"/>
    <x v="6"/>
    <x v="6"/>
    <s v="payday"/>
    <n v="38000000"/>
  </r>
  <r>
    <x v="352"/>
    <x v="0"/>
    <x v="11"/>
    <n v="52"/>
    <n v="24"/>
    <x v="1"/>
    <x v="1"/>
    <s v="cashloan"/>
    <n v="42000000"/>
  </r>
  <r>
    <x v="352"/>
    <x v="0"/>
    <x v="11"/>
    <n v="52"/>
    <n v="24"/>
    <x v="12"/>
    <x v="11"/>
    <s v="cashloan"/>
    <n v="5980190000"/>
  </r>
  <r>
    <x v="352"/>
    <x v="0"/>
    <x v="11"/>
    <n v="52"/>
    <n v="24"/>
    <x v="2"/>
    <x v="2"/>
    <s v="cashloan"/>
    <n v="5312100000"/>
  </r>
  <r>
    <x v="352"/>
    <x v="0"/>
    <x v="11"/>
    <n v="52"/>
    <n v="24"/>
    <x v="15"/>
    <x v="14"/>
    <s v="paylater"/>
    <n v="34682364"/>
  </r>
  <r>
    <x v="352"/>
    <x v="0"/>
    <x v="11"/>
    <n v="52"/>
    <n v="24"/>
    <x v="20"/>
    <x v="9"/>
    <s v="cashloan"/>
    <n v="32100000"/>
  </r>
  <r>
    <x v="352"/>
    <x v="0"/>
    <x v="11"/>
    <n v="52"/>
    <n v="24"/>
    <x v="21"/>
    <x v="9"/>
    <s v="cashloan"/>
    <n v="32100000"/>
  </r>
  <r>
    <x v="352"/>
    <x v="0"/>
    <x v="11"/>
    <n v="52"/>
    <n v="24"/>
    <x v="0"/>
    <x v="0"/>
    <s v="payday"/>
    <n v="4626000000"/>
  </r>
  <r>
    <x v="352"/>
    <x v="0"/>
    <x v="11"/>
    <n v="52"/>
    <n v="24"/>
    <x v="18"/>
    <x v="15"/>
    <s v="cashloan"/>
    <n v="104920000"/>
  </r>
  <r>
    <x v="352"/>
    <x v="0"/>
    <x v="11"/>
    <n v="52"/>
    <n v="24"/>
    <x v="7"/>
    <x v="7"/>
    <s v="paylater"/>
    <n v="274585943"/>
  </r>
  <r>
    <x v="352"/>
    <x v="0"/>
    <x v="11"/>
    <n v="52"/>
    <n v="24"/>
    <x v="11"/>
    <x v="10"/>
    <s v="paylater"/>
    <n v="114519281"/>
  </r>
  <r>
    <x v="352"/>
    <x v="0"/>
    <x v="11"/>
    <n v="52"/>
    <n v="24"/>
    <x v="14"/>
    <x v="13"/>
    <s v="cashloan"/>
    <n v="323080000"/>
  </r>
  <r>
    <x v="352"/>
    <x v="0"/>
    <x v="11"/>
    <n v="52"/>
    <n v="24"/>
    <x v="19"/>
    <x v="12"/>
    <s v="paylater"/>
    <n v="92045372"/>
  </r>
  <r>
    <x v="353"/>
    <x v="0"/>
    <x v="11"/>
    <n v="52"/>
    <n v="25"/>
    <x v="19"/>
    <x v="12"/>
    <s v="paylater"/>
    <n v="61728622"/>
  </r>
  <r>
    <x v="353"/>
    <x v="0"/>
    <x v="11"/>
    <n v="52"/>
    <n v="25"/>
    <x v="2"/>
    <x v="2"/>
    <s v="cashloan"/>
    <n v="5878220000"/>
  </r>
  <r>
    <x v="353"/>
    <x v="0"/>
    <x v="11"/>
    <n v="52"/>
    <n v="25"/>
    <x v="18"/>
    <x v="15"/>
    <s v="cashloan"/>
    <n v="107970000"/>
  </r>
  <r>
    <x v="353"/>
    <x v="0"/>
    <x v="11"/>
    <n v="52"/>
    <n v="25"/>
    <x v="1"/>
    <x v="1"/>
    <s v="cashloan"/>
    <n v="16000000"/>
  </r>
  <r>
    <x v="353"/>
    <x v="0"/>
    <x v="11"/>
    <n v="52"/>
    <n v="25"/>
    <x v="21"/>
    <x v="9"/>
    <s v="cashloan"/>
    <n v="34240000"/>
  </r>
  <r>
    <x v="353"/>
    <x v="0"/>
    <x v="11"/>
    <n v="52"/>
    <n v="25"/>
    <x v="3"/>
    <x v="3"/>
    <s v="cashloan"/>
    <n v="12600000"/>
  </r>
  <r>
    <x v="353"/>
    <x v="0"/>
    <x v="11"/>
    <n v="52"/>
    <n v="25"/>
    <x v="14"/>
    <x v="13"/>
    <s v="cashloan"/>
    <n v="277390000"/>
  </r>
  <r>
    <x v="353"/>
    <x v="0"/>
    <x v="11"/>
    <n v="52"/>
    <n v="25"/>
    <x v="11"/>
    <x v="10"/>
    <s v="paylater"/>
    <n v="114285395"/>
  </r>
  <r>
    <x v="353"/>
    <x v="0"/>
    <x v="11"/>
    <n v="52"/>
    <n v="25"/>
    <x v="0"/>
    <x v="0"/>
    <s v="payday"/>
    <n v="4693000000"/>
  </r>
  <r>
    <x v="353"/>
    <x v="0"/>
    <x v="11"/>
    <n v="52"/>
    <n v="25"/>
    <x v="6"/>
    <x v="6"/>
    <s v="payday"/>
    <n v="39000000"/>
  </r>
  <r>
    <x v="353"/>
    <x v="0"/>
    <x v="11"/>
    <n v="52"/>
    <n v="25"/>
    <x v="12"/>
    <x v="11"/>
    <s v="cashloan"/>
    <n v="5476810000"/>
  </r>
  <r>
    <x v="353"/>
    <x v="0"/>
    <x v="11"/>
    <n v="52"/>
    <n v="25"/>
    <x v="22"/>
    <x v="16"/>
    <s v="cashloan"/>
    <n v="0"/>
  </r>
  <r>
    <x v="353"/>
    <x v="0"/>
    <x v="11"/>
    <n v="52"/>
    <n v="25"/>
    <x v="7"/>
    <x v="7"/>
    <s v="paylater"/>
    <n v="296384247"/>
  </r>
  <r>
    <x v="353"/>
    <x v="0"/>
    <x v="11"/>
    <n v="52"/>
    <n v="25"/>
    <x v="8"/>
    <x v="8"/>
    <s v="cashloan"/>
    <n v="0"/>
  </r>
  <r>
    <x v="353"/>
    <x v="0"/>
    <x v="11"/>
    <n v="52"/>
    <n v="25"/>
    <x v="5"/>
    <x v="5"/>
    <s v="overdraft"/>
    <n v="3672194738"/>
  </r>
  <r>
    <x v="353"/>
    <x v="0"/>
    <x v="11"/>
    <n v="52"/>
    <n v="25"/>
    <x v="15"/>
    <x v="14"/>
    <s v="paylater"/>
    <n v="16652808"/>
  </r>
  <r>
    <x v="353"/>
    <x v="0"/>
    <x v="11"/>
    <n v="52"/>
    <n v="25"/>
    <x v="17"/>
    <x v="9"/>
    <s v="cashloan"/>
    <n v="32100000"/>
  </r>
  <r>
    <x v="353"/>
    <x v="0"/>
    <x v="11"/>
    <n v="52"/>
    <n v="25"/>
    <x v="20"/>
    <x v="9"/>
    <s v="cashloan"/>
    <n v="10700000"/>
  </r>
  <r>
    <x v="354"/>
    <x v="0"/>
    <x v="11"/>
    <n v="52"/>
    <n v="26"/>
    <x v="7"/>
    <x v="7"/>
    <s v="paylater"/>
    <n v="264363936"/>
  </r>
  <r>
    <x v="354"/>
    <x v="0"/>
    <x v="11"/>
    <n v="52"/>
    <n v="26"/>
    <x v="2"/>
    <x v="2"/>
    <s v="cashloan"/>
    <n v="5231890000"/>
  </r>
  <r>
    <x v="354"/>
    <x v="0"/>
    <x v="11"/>
    <n v="52"/>
    <n v="26"/>
    <x v="1"/>
    <x v="1"/>
    <s v="cashloan"/>
    <n v="42000000"/>
  </r>
  <r>
    <x v="354"/>
    <x v="0"/>
    <x v="11"/>
    <n v="52"/>
    <n v="26"/>
    <x v="21"/>
    <x v="9"/>
    <s v="cashloan"/>
    <n v="10700000"/>
  </r>
  <r>
    <x v="354"/>
    <x v="0"/>
    <x v="11"/>
    <n v="52"/>
    <n v="26"/>
    <x v="5"/>
    <x v="5"/>
    <s v="overdraft"/>
    <n v="3463105730"/>
  </r>
  <r>
    <x v="354"/>
    <x v="0"/>
    <x v="11"/>
    <n v="52"/>
    <n v="26"/>
    <x v="0"/>
    <x v="0"/>
    <s v="payday"/>
    <n v="4437500000"/>
  </r>
  <r>
    <x v="354"/>
    <x v="0"/>
    <x v="11"/>
    <n v="52"/>
    <n v="26"/>
    <x v="14"/>
    <x v="13"/>
    <s v="cashloan"/>
    <n v="378130000"/>
  </r>
  <r>
    <x v="354"/>
    <x v="0"/>
    <x v="11"/>
    <n v="52"/>
    <n v="26"/>
    <x v="12"/>
    <x v="11"/>
    <s v="cashloan"/>
    <n v="6313270000"/>
  </r>
  <r>
    <x v="354"/>
    <x v="0"/>
    <x v="11"/>
    <n v="52"/>
    <n v="26"/>
    <x v="20"/>
    <x v="9"/>
    <s v="cashloan"/>
    <n v="0"/>
  </r>
  <r>
    <x v="354"/>
    <x v="0"/>
    <x v="11"/>
    <n v="52"/>
    <n v="26"/>
    <x v="3"/>
    <x v="3"/>
    <s v="cashloan"/>
    <n v="46250000"/>
  </r>
  <r>
    <x v="354"/>
    <x v="0"/>
    <x v="11"/>
    <n v="52"/>
    <n v="26"/>
    <x v="22"/>
    <x v="16"/>
    <s v="cashloan"/>
    <n v="0"/>
  </r>
  <r>
    <x v="354"/>
    <x v="0"/>
    <x v="11"/>
    <n v="52"/>
    <n v="26"/>
    <x v="6"/>
    <x v="6"/>
    <s v="payday"/>
    <n v="12000000"/>
  </r>
  <r>
    <x v="354"/>
    <x v="0"/>
    <x v="11"/>
    <n v="52"/>
    <n v="26"/>
    <x v="18"/>
    <x v="15"/>
    <s v="cashloan"/>
    <n v="200250000"/>
  </r>
  <r>
    <x v="354"/>
    <x v="0"/>
    <x v="11"/>
    <n v="52"/>
    <n v="26"/>
    <x v="8"/>
    <x v="8"/>
    <s v="cashloan"/>
    <n v="0"/>
  </r>
  <r>
    <x v="354"/>
    <x v="0"/>
    <x v="11"/>
    <n v="52"/>
    <n v="26"/>
    <x v="19"/>
    <x v="12"/>
    <s v="paylater"/>
    <n v="74017325"/>
  </r>
  <r>
    <x v="354"/>
    <x v="0"/>
    <x v="11"/>
    <n v="52"/>
    <n v="26"/>
    <x v="15"/>
    <x v="14"/>
    <s v="paylater"/>
    <n v="16777139"/>
  </r>
  <r>
    <x v="354"/>
    <x v="0"/>
    <x v="11"/>
    <n v="52"/>
    <n v="26"/>
    <x v="11"/>
    <x v="10"/>
    <s v="paylater"/>
    <n v="148436075"/>
  </r>
  <r>
    <x v="354"/>
    <x v="0"/>
    <x v="11"/>
    <n v="52"/>
    <n v="26"/>
    <x v="17"/>
    <x v="9"/>
    <s v="cashloan"/>
    <n v="10000000"/>
  </r>
  <r>
    <x v="355"/>
    <x v="0"/>
    <x v="11"/>
    <n v="52"/>
    <n v="27"/>
    <x v="5"/>
    <x v="5"/>
    <s v="overdraft"/>
    <n v="3878610994"/>
  </r>
  <r>
    <x v="355"/>
    <x v="0"/>
    <x v="11"/>
    <n v="52"/>
    <n v="27"/>
    <x v="11"/>
    <x v="10"/>
    <s v="paylater"/>
    <n v="163128006"/>
  </r>
  <r>
    <x v="355"/>
    <x v="0"/>
    <x v="11"/>
    <n v="52"/>
    <n v="27"/>
    <x v="17"/>
    <x v="9"/>
    <s v="cashloan"/>
    <n v="10700000"/>
  </r>
  <r>
    <x v="355"/>
    <x v="0"/>
    <x v="11"/>
    <n v="52"/>
    <n v="27"/>
    <x v="15"/>
    <x v="14"/>
    <s v="paylater"/>
    <n v="17436417"/>
  </r>
  <r>
    <x v="355"/>
    <x v="0"/>
    <x v="11"/>
    <n v="52"/>
    <n v="27"/>
    <x v="20"/>
    <x v="9"/>
    <s v="cashloan"/>
    <n v="0"/>
  </r>
  <r>
    <x v="355"/>
    <x v="0"/>
    <x v="11"/>
    <n v="52"/>
    <n v="27"/>
    <x v="19"/>
    <x v="12"/>
    <s v="paylater"/>
    <n v="63892203"/>
  </r>
  <r>
    <x v="355"/>
    <x v="0"/>
    <x v="11"/>
    <n v="52"/>
    <n v="27"/>
    <x v="7"/>
    <x v="7"/>
    <s v="paylater"/>
    <n v="258839826"/>
  </r>
  <r>
    <x v="355"/>
    <x v="0"/>
    <x v="11"/>
    <n v="52"/>
    <n v="27"/>
    <x v="21"/>
    <x v="9"/>
    <s v="cashloan"/>
    <n v="109900000"/>
  </r>
  <r>
    <x v="355"/>
    <x v="0"/>
    <x v="11"/>
    <n v="52"/>
    <n v="27"/>
    <x v="0"/>
    <x v="0"/>
    <s v="payday"/>
    <n v="4145500000"/>
  </r>
  <r>
    <x v="355"/>
    <x v="0"/>
    <x v="11"/>
    <n v="52"/>
    <n v="27"/>
    <x v="12"/>
    <x v="11"/>
    <s v="cashloan"/>
    <n v="5752720000"/>
  </r>
  <r>
    <x v="355"/>
    <x v="0"/>
    <x v="11"/>
    <n v="52"/>
    <n v="27"/>
    <x v="2"/>
    <x v="2"/>
    <s v="cashloan"/>
    <n v="5893130000"/>
  </r>
  <r>
    <x v="355"/>
    <x v="0"/>
    <x v="11"/>
    <n v="52"/>
    <n v="27"/>
    <x v="22"/>
    <x v="16"/>
    <s v="cashloan"/>
    <n v="0"/>
  </r>
  <r>
    <x v="355"/>
    <x v="0"/>
    <x v="11"/>
    <n v="52"/>
    <n v="27"/>
    <x v="3"/>
    <x v="3"/>
    <s v="cashloan"/>
    <n v="12600000"/>
  </r>
  <r>
    <x v="355"/>
    <x v="0"/>
    <x v="11"/>
    <n v="52"/>
    <n v="27"/>
    <x v="18"/>
    <x v="15"/>
    <s v="cashloan"/>
    <n v="119410000"/>
  </r>
  <r>
    <x v="355"/>
    <x v="0"/>
    <x v="11"/>
    <n v="52"/>
    <n v="27"/>
    <x v="6"/>
    <x v="6"/>
    <s v="payday"/>
    <n v="37000000"/>
  </r>
  <r>
    <x v="355"/>
    <x v="0"/>
    <x v="11"/>
    <n v="52"/>
    <n v="27"/>
    <x v="14"/>
    <x v="13"/>
    <s v="cashloan"/>
    <n v="182720000"/>
  </r>
  <r>
    <x v="355"/>
    <x v="0"/>
    <x v="11"/>
    <n v="52"/>
    <n v="27"/>
    <x v="1"/>
    <x v="1"/>
    <s v="cashloan"/>
    <n v="26250000"/>
  </r>
  <r>
    <x v="355"/>
    <x v="0"/>
    <x v="11"/>
    <n v="52"/>
    <n v="27"/>
    <x v="8"/>
    <x v="8"/>
    <s v="cashloan"/>
    <n v="0"/>
  </r>
  <r>
    <x v="356"/>
    <x v="0"/>
    <x v="11"/>
    <n v="52"/>
    <n v="28"/>
    <x v="17"/>
    <x v="9"/>
    <s v="cashloan"/>
    <n v="21400000"/>
  </r>
  <r>
    <x v="356"/>
    <x v="0"/>
    <x v="11"/>
    <n v="52"/>
    <n v="28"/>
    <x v="21"/>
    <x v="9"/>
    <s v="cashloan"/>
    <n v="68150000"/>
  </r>
  <r>
    <x v="356"/>
    <x v="0"/>
    <x v="11"/>
    <n v="52"/>
    <n v="28"/>
    <x v="20"/>
    <x v="9"/>
    <s v="cashloan"/>
    <n v="0"/>
  </r>
  <r>
    <x v="356"/>
    <x v="0"/>
    <x v="11"/>
    <n v="52"/>
    <n v="28"/>
    <x v="5"/>
    <x v="5"/>
    <s v="overdraft"/>
    <n v="2892420684"/>
  </r>
  <r>
    <x v="356"/>
    <x v="0"/>
    <x v="11"/>
    <n v="52"/>
    <n v="28"/>
    <x v="22"/>
    <x v="16"/>
    <s v="cashloan"/>
    <n v="0"/>
  </r>
  <r>
    <x v="356"/>
    <x v="0"/>
    <x v="11"/>
    <n v="52"/>
    <n v="28"/>
    <x v="7"/>
    <x v="7"/>
    <s v="paylater"/>
    <n v="244318872"/>
  </r>
  <r>
    <x v="356"/>
    <x v="0"/>
    <x v="11"/>
    <n v="52"/>
    <n v="28"/>
    <x v="3"/>
    <x v="3"/>
    <s v="cashloan"/>
    <n v="0"/>
  </r>
  <r>
    <x v="356"/>
    <x v="0"/>
    <x v="11"/>
    <n v="52"/>
    <n v="28"/>
    <x v="18"/>
    <x v="15"/>
    <s v="cashloan"/>
    <n v="182350000"/>
  </r>
  <r>
    <x v="356"/>
    <x v="0"/>
    <x v="11"/>
    <n v="52"/>
    <n v="28"/>
    <x v="19"/>
    <x v="12"/>
    <s v="paylater"/>
    <n v="89521692"/>
  </r>
  <r>
    <x v="356"/>
    <x v="0"/>
    <x v="11"/>
    <n v="52"/>
    <n v="28"/>
    <x v="6"/>
    <x v="6"/>
    <s v="payday"/>
    <n v="15000000"/>
  </r>
  <r>
    <x v="356"/>
    <x v="0"/>
    <x v="11"/>
    <n v="52"/>
    <n v="28"/>
    <x v="0"/>
    <x v="0"/>
    <s v="payday"/>
    <n v="3965500000"/>
  </r>
  <r>
    <x v="356"/>
    <x v="0"/>
    <x v="11"/>
    <n v="52"/>
    <n v="28"/>
    <x v="1"/>
    <x v="1"/>
    <s v="cashloan"/>
    <n v="21000000"/>
  </r>
  <r>
    <x v="356"/>
    <x v="0"/>
    <x v="11"/>
    <n v="52"/>
    <n v="28"/>
    <x v="14"/>
    <x v="13"/>
    <s v="cashloan"/>
    <n v="181660000"/>
  </r>
  <r>
    <x v="356"/>
    <x v="0"/>
    <x v="11"/>
    <n v="52"/>
    <n v="28"/>
    <x v="8"/>
    <x v="8"/>
    <s v="cashloan"/>
    <n v="0"/>
  </r>
  <r>
    <x v="356"/>
    <x v="0"/>
    <x v="11"/>
    <n v="52"/>
    <n v="28"/>
    <x v="12"/>
    <x v="11"/>
    <s v="cashloan"/>
    <n v="5158210000"/>
  </r>
  <r>
    <x v="356"/>
    <x v="0"/>
    <x v="11"/>
    <n v="52"/>
    <n v="28"/>
    <x v="11"/>
    <x v="10"/>
    <s v="paylater"/>
    <n v="135029402"/>
  </r>
  <r>
    <x v="356"/>
    <x v="0"/>
    <x v="11"/>
    <n v="52"/>
    <n v="28"/>
    <x v="2"/>
    <x v="2"/>
    <s v="cashloan"/>
    <n v="5822120000"/>
  </r>
  <r>
    <x v="356"/>
    <x v="0"/>
    <x v="11"/>
    <n v="52"/>
    <n v="28"/>
    <x v="15"/>
    <x v="14"/>
    <s v="paylater"/>
    <n v="8522277"/>
  </r>
  <r>
    <x v="357"/>
    <x v="0"/>
    <x v="11"/>
    <n v="52"/>
    <n v="29"/>
    <x v="18"/>
    <x v="15"/>
    <s v="cashloan"/>
    <n v="143840000"/>
  </r>
  <r>
    <x v="357"/>
    <x v="0"/>
    <x v="11"/>
    <n v="52"/>
    <n v="29"/>
    <x v="6"/>
    <x v="6"/>
    <s v="payday"/>
    <n v="12000000"/>
  </r>
  <r>
    <x v="357"/>
    <x v="0"/>
    <x v="11"/>
    <n v="52"/>
    <n v="29"/>
    <x v="7"/>
    <x v="7"/>
    <s v="paylater"/>
    <n v="236824886"/>
  </r>
  <r>
    <x v="357"/>
    <x v="0"/>
    <x v="11"/>
    <n v="52"/>
    <n v="29"/>
    <x v="19"/>
    <x v="12"/>
    <s v="paylater"/>
    <n v="156457750"/>
  </r>
  <r>
    <x v="357"/>
    <x v="0"/>
    <x v="11"/>
    <n v="52"/>
    <n v="29"/>
    <x v="1"/>
    <x v="1"/>
    <s v="cashloan"/>
    <n v="0"/>
  </r>
  <r>
    <x v="357"/>
    <x v="0"/>
    <x v="11"/>
    <n v="52"/>
    <n v="29"/>
    <x v="14"/>
    <x v="13"/>
    <s v="cashloan"/>
    <n v="430430000"/>
  </r>
  <r>
    <x v="357"/>
    <x v="0"/>
    <x v="11"/>
    <n v="52"/>
    <n v="29"/>
    <x v="5"/>
    <x v="5"/>
    <s v="overdraft"/>
    <n v="2973459989"/>
  </r>
  <r>
    <x v="357"/>
    <x v="0"/>
    <x v="11"/>
    <n v="52"/>
    <n v="29"/>
    <x v="3"/>
    <x v="3"/>
    <s v="cashloan"/>
    <n v="0"/>
  </r>
  <r>
    <x v="357"/>
    <x v="0"/>
    <x v="11"/>
    <n v="52"/>
    <n v="29"/>
    <x v="0"/>
    <x v="0"/>
    <s v="payday"/>
    <n v="3709500000"/>
  </r>
  <r>
    <x v="357"/>
    <x v="0"/>
    <x v="11"/>
    <n v="52"/>
    <n v="29"/>
    <x v="15"/>
    <x v="14"/>
    <s v="paylater"/>
    <n v="17031870"/>
  </r>
  <r>
    <x v="357"/>
    <x v="0"/>
    <x v="11"/>
    <n v="52"/>
    <n v="29"/>
    <x v="20"/>
    <x v="9"/>
    <s v="cashloan"/>
    <n v="0"/>
  </r>
  <r>
    <x v="357"/>
    <x v="0"/>
    <x v="11"/>
    <n v="52"/>
    <n v="29"/>
    <x v="17"/>
    <x v="9"/>
    <s v="cashloan"/>
    <n v="0"/>
  </r>
  <r>
    <x v="357"/>
    <x v="0"/>
    <x v="11"/>
    <n v="52"/>
    <n v="29"/>
    <x v="8"/>
    <x v="8"/>
    <s v="cashloan"/>
    <n v="0"/>
  </r>
  <r>
    <x v="357"/>
    <x v="0"/>
    <x v="11"/>
    <n v="52"/>
    <n v="29"/>
    <x v="21"/>
    <x v="9"/>
    <s v="cashloan"/>
    <n v="21400000"/>
  </r>
  <r>
    <x v="357"/>
    <x v="0"/>
    <x v="11"/>
    <n v="52"/>
    <n v="29"/>
    <x v="11"/>
    <x v="10"/>
    <s v="paylater"/>
    <n v="129897479"/>
  </r>
  <r>
    <x v="357"/>
    <x v="0"/>
    <x v="11"/>
    <n v="52"/>
    <n v="29"/>
    <x v="2"/>
    <x v="2"/>
    <s v="cashloan"/>
    <n v="5185490000"/>
  </r>
  <r>
    <x v="357"/>
    <x v="0"/>
    <x v="11"/>
    <n v="52"/>
    <n v="29"/>
    <x v="12"/>
    <x v="11"/>
    <s v="cashloan"/>
    <n v="4459880000"/>
  </r>
  <r>
    <x v="357"/>
    <x v="0"/>
    <x v="11"/>
    <n v="52"/>
    <n v="29"/>
    <x v="22"/>
    <x v="16"/>
    <s v="cashloan"/>
    <n v="0"/>
  </r>
  <r>
    <x v="358"/>
    <x v="0"/>
    <x v="11"/>
    <n v="53"/>
    <n v="30"/>
    <x v="7"/>
    <x v="7"/>
    <s v="paylater"/>
    <n v="283785739"/>
  </r>
  <r>
    <x v="358"/>
    <x v="0"/>
    <x v="11"/>
    <n v="53"/>
    <n v="30"/>
    <x v="6"/>
    <x v="6"/>
    <s v="payday"/>
    <n v="25000000"/>
  </r>
  <r>
    <x v="358"/>
    <x v="0"/>
    <x v="11"/>
    <n v="53"/>
    <n v="30"/>
    <x v="12"/>
    <x v="11"/>
    <s v="cashloan"/>
    <n v="5840450000"/>
  </r>
  <r>
    <x v="358"/>
    <x v="0"/>
    <x v="11"/>
    <n v="53"/>
    <n v="30"/>
    <x v="2"/>
    <x v="2"/>
    <s v="cashloan"/>
    <n v="6720380000"/>
  </r>
  <r>
    <x v="358"/>
    <x v="0"/>
    <x v="11"/>
    <n v="53"/>
    <n v="30"/>
    <x v="11"/>
    <x v="10"/>
    <s v="paylater"/>
    <n v="128974047"/>
  </r>
  <r>
    <x v="358"/>
    <x v="0"/>
    <x v="11"/>
    <n v="53"/>
    <n v="30"/>
    <x v="8"/>
    <x v="8"/>
    <s v="cashloan"/>
    <n v="0"/>
  </r>
  <r>
    <x v="358"/>
    <x v="0"/>
    <x v="11"/>
    <n v="53"/>
    <n v="30"/>
    <x v="19"/>
    <x v="12"/>
    <s v="paylater"/>
    <n v="230354558"/>
  </r>
  <r>
    <x v="358"/>
    <x v="0"/>
    <x v="11"/>
    <n v="53"/>
    <n v="30"/>
    <x v="5"/>
    <x v="5"/>
    <s v="overdraft"/>
    <n v="4285437405"/>
  </r>
  <r>
    <x v="358"/>
    <x v="0"/>
    <x v="11"/>
    <n v="53"/>
    <n v="30"/>
    <x v="21"/>
    <x v="9"/>
    <s v="cashloan"/>
    <n v="47450000"/>
  </r>
  <r>
    <x v="358"/>
    <x v="0"/>
    <x v="11"/>
    <n v="53"/>
    <n v="30"/>
    <x v="22"/>
    <x v="16"/>
    <s v="cashloan"/>
    <n v="0"/>
  </r>
  <r>
    <x v="358"/>
    <x v="0"/>
    <x v="11"/>
    <n v="53"/>
    <n v="30"/>
    <x v="20"/>
    <x v="9"/>
    <s v="cashloan"/>
    <n v="20000000"/>
  </r>
  <r>
    <x v="358"/>
    <x v="0"/>
    <x v="11"/>
    <n v="53"/>
    <n v="30"/>
    <x v="15"/>
    <x v="14"/>
    <s v="paylater"/>
    <n v="17188185"/>
  </r>
  <r>
    <x v="358"/>
    <x v="0"/>
    <x v="11"/>
    <n v="53"/>
    <n v="30"/>
    <x v="3"/>
    <x v="3"/>
    <s v="cashloan"/>
    <n v="0"/>
  </r>
  <r>
    <x v="358"/>
    <x v="0"/>
    <x v="11"/>
    <n v="53"/>
    <n v="30"/>
    <x v="1"/>
    <x v="1"/>
    <s v="cashloan"/>
    <n v="13650000"/>
  </r>
  <r>
    <x v="358"/>
    <x v="0"/>
    <x v="11"/>
    <n v="53"/>
    <n v="30"/>
    <x v="0"/>
    <x v="0"/>
    <s v="payday"/>
    <n v="4514000000"/>
  </r>
  <r>
    <x v="358"/>
    <x v="0"/>
    <x v="11"/>
    <n v="53"/>
    <n v="30"/>
    <x v="18"/>
    <x v="15"/>
    <s v="cashloan"/>
    <n v="181080000"/>
  </r>
  <r>
    <x v="358"/>
    <x v="0"/>
    <x v="11"/>
    <n v="53"/>
    <n v="30"/>
    <x v="17"/>
    <x v="9"/>
    <s v="cashloan"/>
    <n v="37450000"/>
  </r>
  <r>
    <x v="358"/>
    <x v="0"/>
    <x v="11"/>
    <n v="53"/>
    <n v="30"/>
    <x v="14"/>
    <x v="13"/>
    <s v="cashloan"/>
    <n v="365920000"/>
  </r>
  <r>
    <x v="359"/>
    <x v="0"/>
    <x v="11"/>
    <n v="53"/>
    <n v="31"/>
    <x v="1"/>
    <x v="1"/>
    <s v="cashloan"/>
    <n v="10500000"/>
  </r>
  <r>
    <x v="359"/>
    <x v="0"/>
    <x v="11"/>
    <n v="53"/>
    <n v="31"/>
    <x v="14"/>
    <x v="13"/>
    <s v="cashloan"/>
    <n v="317770000"/>
  </r>
  <r>
    <x v="359"/>
    <x v="0"/>
    <x v="11"/>
    <n v="53"/>
    <n v="31"/>
    <x v="21"/>
    <x v="9"/>
    <s v="cashloan"/>
    <n v="72800000"/>
  </r>
  <r>
    <x v="359"/>
    <x v="0"/>
    <x v="11"/>
    <n v="53"/>
    <n v="31"/>
    <x v="19"/>
    <x v="12"/>
    <s v="paylater"/>
    <n v="187491604"/>
  </r>
  <r>
    <x v="359"/>
    <x v="0"/>
    <x v="11"/>
    <n v="53"/>
    <n v="31"/>
    <x v="20"/>
    <x v="9"/>
    <s v="cashloan"/>
    <n v="13910000"/>
  </r>
  <r>
    <x v="359"/>
    <x v="0"/>
    <x v="11"/>
    <n v="53"/>
    <n v="31"/>
    <x v="6"/>
    <x v="6"/>
    <s v="payday"/>
    <n v="14000000"/>
  </r>
  <r>
    <x v="359"/>
    <x v="0"/>
    <x v="11"/>
    <n v="53"/>
    <n v="31"/>
    <x v="22"/>
    <x v="16"/>
    <s v="cashloan"/>
    <n v="0"/>
  </r>
  <r>
    <x v="359"/>
    <x v="0"/>
    <x v="11"/>
    <n v="53"/>
    <n v="31"/>
    <x v="3"/>
    <x v="3"/>
    <s v="cashloan"/>
    <n v="12600000"/>
  </r>
  <r>
    <x v="359"/>
    <x v="0"/>
    <x v="11"/>
    <n v="53"/>
    <n v="31"/>
    <x v="0"/>
    <x v="0"/>
    <s v="payday"/>
    <n v="4608000000"/>
  </r>
  <r>
    <x v="359"/>
    <x v="0"/>
    <x v="11"/>
    <n v="53"/>
    <n v="31"/>
    <x v="2"/>
    <x v="2"/>
    <s v="cashloan"/>
    <n v="6257160000"/>
  </r>
  <r>
    <x v="359"/>
    <x v="0"/>
    <x v="11"/>
    <n v="53"/>
    <n v="31"/>
    <x v="5"/>
    <x v="5"/>
    <s v="overdraft"/>
    <n v="3958088657"/>
  </r>
  <r>
    <x v="359"/>
    <x v="0"/>
    <x v="11"/>
    <n v="53"/>
    <n v="31"/>
    <x v="8"/>
    <x v="8"/>
    <s v="cashloan"/>
    <n v="0"/>
  </r>
  <r>
    <x v="359"/>
    <x v="0"/>
    <x v="11"/>
    <n v="53"/>
    <n v="31"/>
    <x v="18"/>
    <x v="15"/>
    <s v="cashloan"/>
    <n v="240760000"/>
  </r>
  <r>
    <x v="359"/>
    <x v="0"/>
    <x v="11"/>
    <n v="53"/>
    <n v="31"/>
    <x v="11"/>
    <x v="10"/>
    <s v="paylater"/>
    <n v="156658138"/>
  </r>
  <r>
    <x v="359"/>
    <x v="0"/>
    <x v="11"/>
    <n v="53"/>
    <n v="31"/>
    <x v="12"/>
    <x v="11"/>
    <s v="cashloan"/>
    <n v="4530240000"/>
  </r>
  <r>
    <x v="359"/>
    <x v="0"/>
    <x v="11"/>
    <n v="53"/>
    <n v="31"/>
    <x v="17"/>
    <x v="9"/>
    <s v="cashloan"/>
    <n v="12840000"/>
  </r>
  <r>
    <x v="359"/>
    <x v="0"/>
    <x v="11"/>
    <n v="53"/>
    <n v="31"/>
    <x v="15"/>
    <x v="14"/>
    <s v="paylater"/>
    <n v="24291703"/>
  </r>
  <r>
    <x v="359"/>
    <x v="0"/>
    <x v="11"/>
    <n v="53"/>
    <n v="31"/>
    <x v="7"/>
    <x v="7"/>
    <s v="paylater"/>
    <n v="307894376"/>
  </r>
  <r>
    <x v="360"/>
    <x v="1"/>
    <x v="0"/>
    <n v="1"/>
    <n v="1"/>
    <x v="12"/>
    <x v="11"/>
    <s v="cashloan"/>
    <n v="4588890000"/>
  </r>
  <r>
    <x v="360"/>
    <x v="1"/>
    <x v="0"/>
    <n v="1"/>
    <n v="1"/>
    <x v="3"/>
    <x v="3"/>
    <s v="cashloan"/>
    <n v="21000000"/>
  </r>
  <r>
    <x v="360"/>
    <x v="1"/>
    <x v="0"/>
    <n v="1"/>
    <n v="1"/>
    <x v="19"/>
    <x v="12"/>
    <s v="paylater"/>
    <n v="211080142"/>
  </r>
  <r>
    <x v="360"/>
    <x v="1"/>
    <x v="0"/>
    <n v="1"/>
    <n v="1"/>
    <x v="15"/>
    <x v="14"/>
    <s v="paylater"/>
    <n v="34963484"/>
  </r>
  <r>
    <x v="360"/>
    <x v="1"/>
    <x v="0"/>
    <n v="1"/>
    <n v="1"/>
    <x v="8"/>
    <x v="8"/>
    <s v="cashloan"/>
    <n v="0"/>
  </r>
  <r>
    <x v="360"/>
    <x v="1"/>
    <x v="0"/>
    <n v="1"/>
    <n v="1"/>
    <x v="22"/>
    <x v="16"/>
    <s v="cashloan"/>
    <n v="0"/>
  </r>
  <r>
    <x v="360"/>
    <x v="1"/>
    <x v="0"/>
    <n v="1"/>
    <n v="1"/>
    <x v="20"/>
    <x v="9"/>
    <s v="cashloan"/>
    <n v="0"/>
  </r>
  <r>
    <x v="360"/>
    <x v="1"/>
    <x v="0"/>
    <n v="1"/>
    <n v="1"/>
    <x v="7"/>
    <x v="7"/>
    <s v="paylater"/>
    <n v="369241367"/>
  </r>
  <r>
    <x v="360"/>
    <x v="1"/>
    <x v="0"/>
    <n v="1"/>
    <n v="1"/>
    <x v="5"/>
    <x v="5"/>
    <s v="overdraft"/>
    <n v="4799967356"/>
  </r>
  <r>
    <x v="360"/>
    <x v="1"/>
    <x v="0"/>
    <n v="1"/>
    <n v="1"/>
    <x v="0"/>
    <x v="0"/>
    <s v="payday"/>
    <n v="4368000000"/>
  </r>
  <r>
    <x v="360"/>
    <x v="1"/>
    <x v="0"/>
    <n v="1"/>
    <n v="1"/>
    <x v="6"/>
    <x v="6"/>
    <s v="payday"/>
    <n v="22000000"/>
  </r>
  <r>
    <x v="360"/>
    <x v="1"/>
    <x v="0"/>
    <n v="1"/>
    <n v="1"/>
    <x v="11"/>
    <x v="10"/>
    <s v="paylater"/>
    <n v="159837074"/>
  </r>
  <r>
    <x v="360"/>
    <x v="1"/>
    <x v="0"/>
    <n v="1"/>
    <n v="1"/>
    <x v="18"/>
    <x v="15"/>
    <s v="cashloan"/>
    <n v="194550000"/>
  </r>
  <r>
    <x v="360"/>
    <x v="1"/>
    <x v="0"/>
    <n v="1"/>
    <n v="1"/>
    <x v="14"/>
    <x v="13"/>
    <s v="cashloan"/>
    <n v="215990000"/>
  </r>
  <r>
    <x v="360"/>
    <x v="1"/>
    <x v="0"/>
    <n v="1"/>
    <n v="1"/>
    <x v="21"/>
    <x v="9"/>
    <s v="cashloan"/>
    <n v="37450000"/>
  </r>
  <r>
    <x v="360"/>
    <x v="1"/>
    <x v="0"/>
    <n v="1"/>
    <n v="1"/>
    <x v="1"/>
    <x v="1"/>
    <s v="cashloan"/>
    <n v="26250000"/>
  </r>
  <r>
    <x v="360"/>
    <x v="1"/>
    <x v="0"/>
    <n v="1"/>
    <n v="1"/>
    <x v="17"/>
    <x v="9"/>
    <s v="cashloan"/>
    <n v="42800000"/>
  </r>
  <r>
    <x v="360"/>
    <x v="1"/>
    <x v="0"/>
    <n v="1"/>
    <n v="1"/>
    <x v="2"/>
    <x v="2"/>
    <s v="cashloan"/>
    <n v="5550870000"/>
  </r>
  <r>
    <x v="361"/>
    <x v="1"/>
    <x v="0"/>
    <n v="1"/>
    <n v="2"/>
    <x v="18"/>
    <x v="15"/>
    <s v="cashloan"/>
    <n v="240910000"/>
  </r>
  <r>
    <x v="361"/>
    <x v="1"/>
    <x v="0"/>
    <n v="1"/>
    <n v="2"/>
    <x v="11"/>
    <x v="10"/>
    <s v="paylater"/>
    <n v="192183071"/>
  </r>
  <r>
    <x v="361"/>
    <x v="1"/>
    <x v="0"/>
    <n v="1"/>
    <n v="2"/>
    <x v="14"/>
    <x v="13"/>
    <s v="cashloan"/>
    <n v="459830000"/>
  </r>
  <r>
    <x v="361"/>
    <x v="1"/>
    <x v="0"/>
    <n v="1"/>
    <n v="2"/>
    <x v="21"/>
    <x v="9"/>
    <s v="cashloan"/>
    <n v="116300000"/>
  </r>
  <r>
    <x v="361"/>
    <x v="1"/>
    <x v="0"/>
    <n v="1"/>
    <n v="2"/>
    <x v="20"/>
    <x v="9"/>
    <s v="cashloan"/>
    <n v="17120000"/>
  </r>
  <r>
    <x v="361"/>
    <x v="1"/>
    <x v="0"/>
    <n v="1"/>
    <n v="2"/>
    <x v="0"/>
    <x v="0"/>
    <s v="payday"/>
    <n v="4880000000"/>
  </r>
  <r>
    <x v="361"/>
    <x v="1"/>
    <x v="0"/>
    <n v="1"/>
    <n v="2"/>
    <x v="5"/>
    <x v="5"/>
    <s v="overdraft"/>
    <n v="5309791648"/>
  </r>
  <r>
    <x v="361"/>
    <x v="1"/>
    <x v="0"/>
    <n v="1"/>
    <n v="2"/>
    <x v="19"/>
    <x v="12"/>
    <s v="paylater"/>
    <n v="305065225"/>
  </r>
  <r>
    <x v="361"/>
    <x v="1"/>
    <x v="0"/>
    <n v="1"/>
    <n v="2"/>
    <x v="17"/>
    <x v="9"/>
    <s v="cashloan"/>
    <n v="21400000"/>
  </r>
  <r>
    <x v="361"/>
    <x v="1"/>
    <x v="0"/>
    <n v="1"/>
    <n v="2"/>
    <x v="3"/>
    <x v="3"/>
    <s v="cashloan"/>
    <n v="18900000"/>
  </r>
  <r>
    <x v="361"/>
    <x v="1"/>
    <x v="0"/>
    <n v="1"/>
    <n v="2"/>
    <x v="15"/>
    <x v="14"/>
    <s v="paylater"/>
    <n v="45152211"/>
  </r>
  <r>
    <x v="361"/>
    <x v="1"/>
    <x v="0"/>
    <n v="1"/>
    <n v="2"/>
    <x v="6"/>
    <x v="6"/>
    <s v="payday"/>
    <n v="41000000"/>
  </r>
  <r>
    <x v="361"/>
    <x v="1"/>
    <x v="0"/>
    <n v="1"/>
    <n v="2"/>
    <x v="7"/>
    <x v="7"/>
    <s v="paylater"/>
    <n v="361474588"/>
  </r>
  <r>
    <x v="361"/>
    <x v="1"/>
    <x v="0"/>
    <n v="1"/>
    <n v="2"/>
    <x v="22"/>
    <x v="16"/>
    <s v="cashloan"/>
    <n v="0"/>
  </r>
  <r>
    <x v="361"/>
    <x v="1"/>
    <x v="0"/>
    <n v="1"/>
    <n v="2"/>
    <x v="1"/>
    <x v="1"/>
    <s v="cashloan"/>
    <n v="23100000"/>
  </r>
  <r>
    <x v="361"/>
    <x v="1"/>
    <x v="0"/>
    <n v="1"/>
    <n v="2"/>
    <x v="2"/>
    <x v="2"/>
    <s v="cashloan"/>
    <n v="6899440000"/>
  </r>
  <r>
    <x v="361"/>
    <x v="1"/>
    <x v="0"/>
    <n v="1"/>
    <n v="2"/>
    <x v="12"/>
    <x v="11"/>
    <s v="cashloan"/>
    <n v="5692530000"/>
  </r>
  <r>
    <x v="361"/>
    <x v="1"/>
    <x v="0"/>
    <n v="1"/>
    <n v="2"/>
    <x v="8"/>
    <x v="8"/>
    <s v="cashloan"/>
    <n v="0"/>
  </r>
  <r>
    <x v="362"/>
    <x v="1"/>
    <x v="0"/>
    <n v="1"/>
    <n v="3"/>
    <x v="1"/>
    <x v="1"/>
    <s v="cashloan"/>
    <n v="42000000"/>
  </r>
  <r>
    <x v="362"/>
    <x v="1"/>
    <x v="0"/>
    <n v="1"/>
    <n v="3"/>
    <x v="5"/>
    <x v="5"/>
    <s v="overdraft"/>
    <n v="4740965911"/>
  </r>
  <r>
    <x v="362"/>
    <x v="1"/>
    <x v="0"/>
    <n v="1"/>
    <n v="3"/>
    <x v="7"/>
    <x v="7"/>
    <s v="paylater"/>
    <n v="400913003"/>
  </r>
  <r>
    <x v="362"/>
    <x v="1"/>
    <x v="0"/>
    <n v="1"/>
    <n v="3"/>
    <x v="18"/>
    <x v="15"/>
    <s v="cashloan"/>
    <n v="179080000"/>
  </r>
  <r>
    <x v="362"/>
    <x v="1"/>
    <x v="0"/>
    <n v="1"/>
    <n v="3"/>
    <x v="19"/>
    <x v="12"/>
    <s v="paylater"/>
    <n v="301909256"/>
  </r>
  <r>
    <x v="362"/>
    <x v="1"/>
    <x v="0"/>
    <n v="1"/>
    <n v="3"/>
    <x v="0"/>
    <x v="0"/>
    <s v="payday"/>
    <n v="4541000000"/>
  </r>
  <r>
    <x v="362"/>
    <x v="1"/>
    <x v="0"/>
    <n v="1"/>
    <n v="3"/>
    <x v="15"/>
    <x v="14"/>
    <s v="paylater"/>
    <n v="26399467"/>
  </r>
  <r>
    <x v="362"/>
    <x v="1"/>
    <x v="0"/>
    <n v="1"/>
    <n v="3"/>
    <x v="2"/>
    <x v="2"/>
    <s v="cashloan"/>
    <n v="6159700000"/>
  </r>
  <r>
    <x v="362"/>
    <x v="1"/>
    <x v="0"/>
    <n v="1"/>
    <n v="3"/>
    <x v="17"/>
    <x v="9"/>
    <s v="cashloan"/>
    <n v="10700000"/>
  </r>
  <r>
    <x v="362"/>
    <x v="1"/>
    <x v="0"/>
    <n v="1"/>
    <n v="3"/>
    <x v="21"/>
    <x v="9"/>
    <s v="cashloan"/>
    <n v="10700000"/>
  </r>
  <r>
    <x v="362"/>
    <x v="1"/>
    <x v="0"/>
    <n v="1"/>
    <n v="3"/>
    <x v="20"/>
    <x v="9"/>
    <s v="cashloan"/>
    <n v="0"/>
  </r>
  <r>
    <x v="362"/>
    <x v="1"/>
    <x v="0"/>
    <n v="1"/>
    <n v="3"/>
    <x v="11"/>
    <x v="10"/>
    <s v="paylater"/>
    <n v="170468716"/>
  </r>
  <r>
    <x v="362"/>
    <x v="1"/>
    <x v="0"/>
    <n v="1"/>
    <n v="3"/>
    <x v="8"/>
    <x v="8"/>
    <s v="cashloan"/>
    <n v="0"/>
  </r>
  <r>
    <x v="362"/>
    <x v="1"/>
    <x v="0"/>
    <n v="1"/>
    <n v="3"/>
    <x v="14"/>
    <x v="13"/>
    <s v="cashloan"/>
    <n v="512270000"/>
  </r>
  <r>
    <x v="362"/>
    <x v="1"/>
    <x v="0"/>
    <n v="1"/>
    <n v="3"/>
    <x v="22"/>
    <x v="16"/>
    <s v="cashloan"/>
    <n v="0"/>
  </r>
  <r>
    <x v="362"/>
    <x v="1"/>
    <x v="0"/>
    <n v="1"/>
    <n v="3"/>
    <x v="3"/>
    <x v="3"/>
    <s v="cashloan"/>
    <n v="0"/>
  </r>
  <r>
    <x v="362"/>
    <x v="1"/>
    <x v="0"/>
    <n v="1"/>
    <n v="3"/>
    <x v="12"/>
    <x v="11"/>
    <s v="cashloan"/>
    <n v="5723110000"/>
  </r>
  <r>
    <x v="362"/>
    <x v="1"/>
    <x v="0"/>
    <n v="1"/>
    <n v="3"/>
    <x v="6"/>
    <x v="6"/>
    <s v="payday"/>
    <n v="11000000"/>
  </r>
  <r>
    <x v="363"/>
    <x v="1"/>
    <x v="0"/>
    <n v="1"/>
    <n v="4"/>
    <x v="21"/>
    <x v="9"/>
    <s v="cashloan"/>
    <n v="10700000"/>
  </r>
  <r>
    <x v="363"/>
    <x v="1"/>
    <x v="0"/>
    <n v="1"/>
    <n v="4"/>
    <x v="15"/>
    <x v="14"/>
    <s v="paylater"/>
    <n v="35500547"/>
  </r>
  <r>
    <x v="363"/>
    <x v="1"/>
    <x v="0"/>
    <n v="1"/>
    <n v="4"/>
    <x v="3"/>
    <x v="3"/>
    <s v="cashloan"/>
    <n v="0"/>
  </r>
  <r>
    <x v="363"/>
    <x v="1"/>
    <x v="0"/>
    <n v="1"/>
    <n v="4"/>
    <x v="22"/>
    <x v="16"/>
    <s v="cashloan"/>
    <n v="0"/>
  </r>
  <r>
    <x v="363"/>
    <x v="1"/>
    <x v="0"/>
    <n v="1"/>
    <n v="4"/>
    <x v="14"/>
    <x v="13"/>
    <s v="cashloan"/>
    <n v="549570000"/>
  </r>
  <r>
    <x v="363"/>
    <x v="1"/>
    <x v="0"/>
    <n v="1"/>
    <n v="4"/>
    <x v="11"/>
    <x v="10"/>
    <s v="paylater"/>
    <n v="240833408"/>
  </r>
  <r>
    <x v="363"/>
    <x v="1"/>
    <x v="0"/>
    <n v="1"/>
    <n v="4"/>
    <x v="0"/>
    <x v="0"/>
    <s v="payday"/>
    <n v="4558500000"/>
  </r>
  <r>
    <x v="363"/>
    <x v="1"/>
    <x v="0"/>
    <n v="1"/>
    <n v="4"/>
    <x v="19"/>
    <x v="12"/>
    <s v="paylater"/>
    <n v="449637181"/>
  </r>
  <r>
    <x v="363"/>
    <x v="1"/>
    <x v="0"/>
    <n v="1"/>
    <n v="4"/>
    <x v="6"/>
    <x v="6"/>
    <s v="payday"/>
    <n v="26000000"/>
  </r>
  <r>
    <x v="363"/>
    <x v="1"/>
    <x v="0"/>
    <n v="1"/>
    <n v="4"/>
    <x v="1"/>
    <x v="1"/>
    <s v="cashloan"/>
    <n v="21000000"/>
  </r>
  <r>
    <x v="363"/>
    <x v="1"/>
    <x v="0"/>
    <n v="1"/>
    <n v="4"/>
    <x v="8"/>
    <x v="8"/>
    <s v="cashloan"/>
    <n v="0"/>
  </r>
  <r>
    <x v="363"/>
    <x v="1"/>
    <x v="0"/>
    <n v="1"/>
    <n v="4"/>
    <x v="18"/>
    <x v="15"/>
    <s v="cashloan"/>
    <n v="257160000"/>
  </r>
  <r>
    <x v="363"/>
    <x v="1"/>
    <x v="0"/>
    <n v="1"/>
    <n v="4"/>
    <x v="7"/>
    <x v="7"/>
    <s v="paylater"/>
    <n v="553954292"/>
  </r>
  <r>
    <x v="363"/>
    <x v="1"/>
    <x v="0"/>
    <n v="1"/>
    <n v="4"/>
    <x v="2"/>
    <x v="2"/>
    <s v="cashloan"/>
    <n v="5643960000"/>
  </r>
  <r>
    <x v="363"/>
    <x v="1"/>
    <x v="0"/>
    <n v="1"/>
    <n v="4"/>
    <x v="12"/>
    <x v="11"/>
    <s v="cashloan"/>
    <n v="5456720000"/>
  </r>
  <r>
    <x v="363"/>
    <x v="1"/>
    <x v="0"/>
    <n v="1"/>
    <n v="4"/>
    <x v="5"/>
    <x v="5"/>
    <s v="overdraft"/>
    <n v="4028235805"/>
  </r>
  <r>
    <x v="363"/>
    <x v="1"/>
    <x v="0"/>
    <n v="1"/>
    <n v="4"/>
    <x v="20"/>
    <x v="9"/>
    <s v="cashloan"/>
    <n v="0"/>
  </r>
  <r>
    <x v="363"/>
    <x v="1"/>
    <x v="0"/>
    <n v="1"/>
    <n v="4"/>
    <x v="17"/>
    <x v="9"/>
    <s v="cashloan"/>
    <n v="0"/>
  </r>
  <r>
    <x v="364"/>
    <x v="1"/>
    <x v="0"/>
    <n v="1"/>
    <n v="5"/>
    <x v="15"/>
    <x v="14"/>
    <s v="paylater"/>
    <n v="53722328"/>
  </r>
  <r>
    <x v="364"/>
    <x v="1"/>
    <x v="0"/>
    <n v="1"/>
    <n v="5"/>
    <x v="2"/>
    <x v="2"/>
    <s v="cashloan"/>
    <n v="5412630000"/>
  </r>
  <r>
    <x v="364"/>
    <x v="1"/>
    <x v="0"/>
    <n v="1"/>
    <n v="5"/>
    <x v="3"/>
    <x v="3"/>
    <s v="cashloan"/>
    <n v="0"/>
  </r>
  <r>
    <x v="364"/>
    <x v="1"/>
    <x v="0"/>
    <n v="1"/>
    <n v="5"/>
    <x v="6"/>
    <x v="6"/>
    <s v="payday"/>
    <n v="22000000"/>
  </r>
  <r>
    <x v="364"/>
    <x v="1"/>
    <x v="0"/>
    <n v="1"/>
    <n v="5"/>
    <x v="14"/>
    <x v="13"/>
    <s v="cashloan"/>
    <n v="482790000"/>
  </r>
  <r>
    <x v="364"/>
    <x v="1"/>
    <x v="0"/>
    <n v="1"/>
    <n v="5"/>
    <x v="5"/>
    <x v="5"/>
    <s v="overdraft"/>
    <n v="4162176090"/>
  </r>
  <r>
    <x v="364"/>
    <x v="1"/>
    <x v="0"/>
    <n v="1"/>
    <n v="5"/>
    <x v="1"/>
    <x v="1"/>
    <s v="cashloan"/>
    <n v="20000000"/>
  </r>
  <r>
    <x v="364"/>
    <x v="1"/>
    <x v="0"/>
    <n v="1"/>
    <n v="5"/>
    <x v="21"/>
    <x v="9"/>
    <s v="cashloan"/>
    <n v="0"/>
  </r>
  <r>
    <x v="364"/>
    <x v="1"/>
    <x v="0"/>
    <n v="1"/>
    <n v="5"/>
    <x v="11"/>
    <x v="10"/>
    <s v="paylater"/>
    <n v="277757097"/>
  </r>
  <r>
    <x v="364"/>
    <x v="1"/>
    <x v="0"/>
    <n v="1"/>
    <n v="5"/>
    <x v="19"/>
    <x v="12"/>
    <s v="paylater"/>
    <n v="363574641"/>
  </r>
  <r>
    <x v="364"/>
    <x v="1"/>
    <x v="0"/>
    <n v="1"/>
    <n v="5"/>
    <x v="8"/>
    <x v="8"/>
    <s v="cashloan"/>
    <n v="0"/>
  </r>
  <r>
    <x v="364"/>
    <x v="1"/>
    <x v="0"/>
    <n v="1"/>
    <n v="5"/>
    <x v="12"/>
    <x v="11"/>
    <s v="cashloan"/>
    <n v="5117700000"/>
  </r>
  <r>
    <x v="364"/>
    <x v="1"/>
    <x v="0"/>
    <n v="1"/>
    <n v="5"/>
    <x v="22"/>
    <x v="16"/>
    <s v="cashloan"/>
    <n v="0"/>
  </r>
  <r>
    <x v="364"/>
    <x v="1"/>
    <x v="0"/>
    <n v="1"/>
    <n v="5"/>
    <x v="18"/>
    <x v="15"/>
    <s v="cashloan"/>
    <n v="248650000"/>
  </r>
  <r>
    <x v="364"/>
    <x v="1"/>
    <x v="0"/>
    <n v="1"/>
    <n v="5"/>
    <x v="7"/>
    <x v="7"/>
    <s v="paylater"/>
    <n v="454804584"/>
  </r>
  <r>
    <x v="364"/>
    <x v="1"/>
    <x v="0"/>
    <n v="1"/>
    <n v="5"/>
    <x v="17"/>
    <x v="9"/>
    <s v="cashloan"/>
    <n v="0"/>
  </r>
  <r>
    <x v="364"/>
    <x v="1"/>
    <x v="0"/>
    <n v="1"/>
    <n v="5"/>
    <x v="20"/>
    <x v="9"/>
    <s v="cashloan"/>
    <n v="21400000"/>
  </r>
  <r>
    <x v="364"/>
    <x v="1"/>
    <x v="0"/>
    <n v="1"/>
    <n v="5"/>
    <x v="0"/>
    <x v="0"/>
    <s v="payday"/>
    <n v="4277000000"/>
  </r>
  <r>
    <x v="365"/>
    <x v="1"/>
    <x v="0"/>
    <n v="2"/>
    <n v="6"/>
    <x v="21"/>
    <x v="9"/>
    <s v="cashloan"/>
    <n v="0"/>
  </r>
  <r>
    <x v="365"/>
    <x v="1"/>
    <x v="0"/>
    <n v="2"/>
    <n v="6"/>
    <x v="12"/>
    <x v="11"/>
    <s v="cashloan"/>
    <n v="5167610000"/>
  </r>
  <r>
    <x v="365"/>
    <x v="1"/>
    <x v="0"/>
    <n v="2"/>
    <n v="6"/>
    <x v="15"/>
    <x v="14"/>
    <s v="paylater"/>
    <n v="43229854"/>
  </r>
  <r>
    <x v="365"/>
    <x v="1"/>
    <x v="0"/>
    <n v="2"/>
    <n v="6"/>
    <x v="7"/>
    <x v="7"/>
    <s v="paylater"/>
    <n v="571714502"/>
  </r>
  <r>
    <x v="365"/>
    <x v="1"/>
    <x v="0"/>
    <n v="2"/>
    <n v="6"/>
    <x v="6"/>
    <x v="6"/>
    <s v="payday"/>
    <n v="7000000"/>
  </r>
  <r>
    <x v="365"/>
    <x v="1"/>
    <x v="0"/>
    <n v="2"/>
    <n v="6"/>
    <x v="3"/>
    <x v="3"/>
    <s v="cashloan"/>
    <n v="21000000"/>
  </r>
  <r>
    <x v="365"/>
    <x v="1"/>
    <x v="0"/>
    <n v="2"/>
    <n v="6"/>
    <x v="2"/>
    <x v="2"/>
    <s v="cashloan"/>
    <n v="6184210000"/>
  </r>
  <r>
    <x v="365"/>
    <x v="1"/>
    <x v="0"/>
    <n v="2"/>
    <n v="6"/>
    <x v="20"/>
    <x v="9"/>
    <s v="cashloan"/>
    <n v="42800000"/>
  </r>
  <r>
    <x v="365"/>
    <x v="1"/>
    <x v="0"/>
    <n v="2"/>
    <n v="6"/>
    <x v="1"/>
    <x v="1"/>
    <s v="cashloan"/>
    <n v="21000000"/>
  </r>
  <r>
    <x v="365"/>
    <x v="1"/>
    <x v="0"/>
    <n v="2"/>
    <n v="6"/>
    <x v="14"/>
    <x v="13"/>
    <s v="cashloan"/>
    <n v="423840000"/>
  </r>
  <r>
    <x v="365"/>
    <x v="1"/>
    <x v="0"/>
    <n v="2"/>
    <n v="6"/>
    <x v="8"/>
    <x v="8"/>
    <s v="cashloan"/>
    <n v="0"/>
  </r>
  <r>
    <x v="365"/>
    <x v="1"/>
    <x v="0"/>
    <n v="2"/>
    <n v="6"/>
    <x v="11"/>
    <x v="10"/>
    <s v="paylater"/>
    <n v="226074994"/>
  </r>
  <r>
    <x v="365"/>
    <x v="1"/>
    <x v="0"/>
    <n v="2"/>
    <n v="6"/>
    <x v="22"/>
    <x v="16"/>
    <s v="cashloan"/>
    <n v="0"/>
  </r>
  <r>
    <x v="365"/>
    <x v="1"/>
    <x v="0"/>
    <n v="2"/>
    <n v="6"/>
    <x v="19"/>
    <x v="12"/>
    <s v="paylater"/>
    <n v="279034017"/>
  </r>
  <r>
    <x v="365"/>
    <x v="1"/>
    <x v="0"/>
    <n v="2"/>
    <n v="6"/>
    <x v="5"/>
    <x v="5"/>
    <s v="overdraft"/>
    <n v="4110141036"/>
  </r>
  <r>
    <x v="365"/>
    <x v="1"/>
    <x v="0"/>
    <n v="2"/>
    <n v="6"/>
    <x v="0"/>
    <x v="0"/>
    <s v="payday"/>
    <n v="4536000000"/>
  </r>
  <r>
    <x v="365"/>
    <x v="1"/>
    <x v="0"/>
    <n v="2"/>
    <n v="6"/>
    <x v="18"/>
    <x v="15"/>
    <s v="cashloan"/>
    <n v="198540000"/>
  </r>
  <r>
    <x v="365"/>
    <x v="1"/>
    <x v="0"/>
    <n v="2"/>
    <n v="6"/>
    <x v="17"/>
    <x v="9"/>
    <s v="cashloan"/>
    <n v="0"/>
  </r>
  <r>
    <x v="366"/>
    <x v="1"/>
    <x v="0"/>
    <n v="2"/>
    <n v="7"/>
    <x v="12"/>
    <x v="11"/>
    <s v="cashloan"/>
    <n v="5580460000"/>
  </r>
  <r>
    <x v="366"/>
    <x v="1"/>
    <x v="0"/>
    <n v="2"/>
    <n v="7"/>
    <x v="11"/>
    <x v="10"/>
    <s v="paylater"/>
    <n v="213974583"/>
  </r>
  <r>
    <x v="366"/>
    <x v="1"/>
    <x v="0"/>
    <n v="2"/>
    <n v="7"/>
    <x v="15"/>
    <x v="14"/>
    <s v="paylater"/>
    <n v="19125715"/>
  </r>
  <r>
    <x v="366"/>
    <x v="1"/>
    <x v="0"/>
    <n v="2"/>
    <n v="7"/>
    <x v="19"/>
    <x v="12"/>
    <s v="paylater"/>
    <n v="228985018"/>
  </r>
  <r>
    <x v="366"/>
    <x v="1"/>
    <x v="0"/>
    <n v="2"/>
    <n v="7"/>
    <x v="22"/>
    <x v="16"/>
    <s v="cashloan"/>
    <n v="0"/>
  </r>
  <r>
    <x v="366"/>
    <x v="1"/>
    <x v="0"/>
    <n v="2"/>
    <n v="7"/>
    <x v="17"/>
    <x v="9"/>
    <s v="cashloan"/>
    <n v="0"/>
  </r>
  <r>
    <x v="366"/>
    <x v="1"/>
    <x v="0"/>
    <n v="2"/>
    <n v="7"/>
    <x v="20"/>
    <x v="9"/>
    <s v="cashloan"/>
    <n v="11770000"/>
  </r>
  <r>
    <x v="366"/>
    <x v="1"/>
    <x v="0"/>
    <n v="2"/>
    <n v="7"/>
    <x v="21"/>
    <x v="9"/>
    <s v="cashloan"/>
    <n v="21400000"/>
  </r>
  <r>
    <x v="366"/>
    <x v="1"/>
    <x v="0"/>
    <n v="2"/>
    <n v="7"/>
    <x v="18"/>
    <x v="15"/>
    <s v="cashloan"/>
    <n v="351360000"/>
  </r>
  <r>
    <x v="366"/>
    <x v="1"/>
    <x v="0"/>
    <n v="2"/>
    <n v="7"/>
    <x v="0"/>
    <x v="0"/>
    <s v="payday"/>
    <n v="4279500000"/>
  </r>
  <r>
    <x v="366"/>
    <x v="1"/>
    <x v="0"/>
    <n v="2"/>
    <n v="7"/>
    <x v="3"/>
    <x v="3"/>
    <s v="cashloan"/>
    <n v="87150000"/>
  </r>
  <r>
    <x v="366"/>
    <x v="1"/>
    <x v="0"/>
    <n v="2"/>
    <n v="7"/>
    <x v="5"/>
    <x v="5"/>
    <s v="overdraft"/>
    <n v="3717609229"/>
  </r>
  <r>
    <x v="366"/>
    <x v="1"/>
    <x v="0"/>
    <n v="2"/>
    <n v="7"/>
    <x v="6"/>
    <x v="6"/>
    <s v="payday"/>
    <n v="50000000"/>
  </r>
  <r>
    <x v="366"/>
    <x v="1"/>
    <x v="0"/>
    <n v="2"/>
    <n v="7"/>
    <x v="1"/>
    <x v="1"/>
    <s v="cashloan"/>
    <n v="0"/>
  </r>
  <r>
    <x v="366"/>
    <x v="1"/>
    <x v="0"/>
    <n v="2"/>
    <n v="7"/>
    <x v="8"/>
    <x v="8"/>
    <s v="cashloan"/>
    <n v="0"/>
  </r>
  <r>
    <x v="366"/>
    <x v="1"/>
    <x v="0"/>
    <n v="2"/>
    <n v="7"/>
    <x v="2"/>
    <x v="2"/>
    <s v="cashloan"/>
    <n v="6383840000"/>
  </r>
  <r>
    <x v="366"/>
    <x v="1"/>
    <x v="0"/>
    <n v="2"/>
    <n v="7"/>
    <x v="7"/>
    <x v="7"/>
    <s v="paylater"/>
    <n v="546402503"/>
  </r>
  <r>
    <x v="366"/>
    <x v="1"/>
    <x v="0"/>
    <n v="2"/>
    <n v="7"/>
    <x v="14"/>
    <x v="13"/>
    <s v="cashloan"/>
    <n v="449880000"/>
  </r>
  <r>
    <x v="367"/>
    <x v="1"/>
    <x v="0"/>
    <n v="2"/>
    <n v="8"/>
    <x v="14"/>
    <x v="13"/>
    <s v="cashloan"/>
    <n v="455210000"/>
  </r>
  <r>
    <x v="367"/>
    <x v="1"/>
    <x v="0"/>
    <n v="2"/>
    <n v="8"/>
    <x v="17"/>
    <x v="9"/>
    <s v="cashloan"/>
    <n v="0"/>
  </r>
  <r>
    <x v="367"/>
    <x v="1"/>
    <x v="0"/>
    <n v="2"/>
    <n v="8"/>
    <x v="19"/>
    <x v="12"/>
    <s v="paylater"/>
    <n v="232893356"/>
  </r>
  <r>
    <x v="367"/>
    <x v="1"/>
    <x v="0"/>
    <n v="2"/>
    <n v="8"/>
    <x v="21"/>
    <x v="9"/>
    <s v="cashloan"/>
    <n v="0"/>
  </r>
  <r>
    <x v="367"/>
    <x v="1"/>
    <x v="0"/>
    <n v="2"/>
    <n v="8"/>
    <x v="22"/>
    <x v="16"/>
    <s v="cashloan"/>
    <n v="0"/>
  </r>
  <r>
    <x v="367"/>
    <x v="1"/>
    <x v="0"/>
    <n v="2"/>
    <n v="8"/>
    <x v="15"/>
    <x v="14"/>
    <s v="paylater"/>
    <n v="40140067"/>
  </r>
  <r>
    <x v="367"/>
    <x v="1"/>
    <x v="0"/>
    <n v="2"/>
    <n v="8"/>
    <x v="20"/>
    <x v="9"/>
    <s v="cashloan"/>
    <n v="0"/>
  </r>
  <r>
    <x v="367"/>
    <x v="1"/>
    <x v="0"/>
    <n v="2"/>
    <n v="8"/>
    <x v="3"/>
    <x v="3"/>
    <s v="cashloan"/>
    <n v="0"/>
  </r>
  <r>
    <x v="367"/>
    <x v="1"/>
    <x v="0"/>
    <n v="2"/>
    <n v="8"/>
    <x v="18"/>
    <x v="15"/>
    <s v="cashloan"/>
    <n v="315110000"/>
  </r>
  <r>
    <x v="367"/>
    <x v="1"/>
    <x v="0"/>
    <n v="2"/>
    <n v="8"/>
    <x v="6"/>
    <x v="6"/>
    <s v="payday"/>
    <n v="32000000"/>
  </r>
  <r>
    <x v="367"/>
    <x v="1"/>
    <x v="0"/>
    <n v="2"/>
    <n v="8"/>
    <x v="0"/>
    <x v="0"/>
    <s v="payday"/>
    <n v="4277000000"/>
  </r>
  <r>
    <x v="367"/>
    <x v="1"/>
    <x v="0"/>
    <n v="2"/>
    <n v="8"/>
    <x v="1"/>
    <x v="1"/>
    <s v="cashloan"/>
    <n v="21000000"/>
  </r>
  <r>
    <x v="367"/>
    <x v="1"/>
    <x v="0"/>
    <n v="2"/>
    <n v="8"/>
    <x v="12"/>
    <x v="11"/>
    <s v="cashloan"/>
    <n v="5090650000"/>
  </r>
  <r>
    <x v="367"/>
    <x v="1"/>
    <x v="0"/>
    <n v="2"/>
    <n v="8"/>
    <x v="8"/>
    <x v="8"/>
    <s v="cashloan"/>
    <n v="0"/>
  </r>
  <r>
    <x v="367"/>
    <x v="1"/>
    <x v="0"/>
    <n v="2"/>
    <n v="8"/>
    <x v="11"/>
    <x v="10"/>
    <s v="paylater"/>
    <n v="200535759"/>
  </r>
  <r>
    <x v="367"/>
    <x v="1"/>
    <x v="0"/>
    <n v="2"/>
    <n v="8"/>
    <x v="5"/>
    <x v="5"/>
    <s v="overdraft"/>
    <n v="3616167969"/>
  </r>
  <r>
    <x v="367"/>
    <x v="1"/>
    <x v="0"/>
    <n v="2"/>
    <n v="8"/>
    <x v="2"/>
    <x v="2"/>
    <s v="cashloan"/>
    <n v="6069650000"/>
  </r>
  <r>
    <x v="367"/>
    <x v="1"/>
    <x v="0"/>
    <n v="2"/>
    <n v="8"/>
    <x v="7"/>
    <x v="7"/>
    <s v="paylater"/>
    <n v="463765772"/>
  </r>
  <r>
    <x v="368"/>
    <x v="1"/>
    <x v="0"/>
    <n v="2"/>
    <n v="9"/>
    <x v="3"/>
    <x v="3"/>
    <s v="cashloan"/>
    <n v="51500000"/>
  </r>
  <r>
    <x v="368"/>
    <x v="1"/>
    <x v="0"/>
    <n v="2"/>
    <n v="9"/>
    <x v="5"/>
    <x v="5"/>
    <s v="overdraft"/>
    <n v="3599006843"/>
  </r>
  <r>
    <x v="368"/>
    <x v="1"/>
    <x v="0"/>
    <n v="2"/>
    <n v="9"/>
    <x v="15"/>
    <x v="14"/>
    <s v="paylater"/>
    <n v="16364655"/>
  </r>
  <r>
    <x v="368"/>
    <x v="1"/>
    <x v="0"/>
    <n v="2"/>
    <n v="9"/>
    <x v="11"/>
    <x v="10"/>
    <s v="paylater"/>
    <n v="217709987"/>
  </r>
  <r>
    <x v="368"/>
    <x v="1"/>
    <x v="0"/>
    <n v="2"/>
    <n v="9"/>
    <x v="18"/>
    <x v="15"/>
    <s v="cashloan"/>
    <n v="410930000"/>
  </r>
  <r>
    <x v="368"/>
    <x v="1"/>
    <x v="0"/>
    <n v="2"/>
    <n v="9"/>
    <x v="8"/>
    <x v="8"/>
    <s v="cashloan"/>
    <n v="0"/>
  </r>
  <r>
    <x v="368"/>
    <x v="1"/>
    <x v="0"/>
    <n v="2"/>
    <n v="9"/>
    <x v="1"/>
    <x v="1"/>
    <s v="cashloan"/>
    <n v="31500000"/>
  </r>
  <r>
    <x v="368"/>
    <x v="1"/>
    <x v="0"/>
    <n v="2"/>
    <n v="9"/>
    <x v="19"/>
    <x v="12"/>
    <s v="paylater"/>
    <n v="203542250"/>
  </r>
  <r>
    <x v="368"/>
    <x v="1"/>
    <x v="0"/>
    <n v="2"/>
    <n v="9"/>
    <x v="6"/>
    <x v="6"/>
    <s v="payday"/>
    <n v="23000000"/>
  </r>
  <r>
    <x v="368"/>
    <x v="1"/>
    <x v="0"/>
    <n v="2"/>
    <n v="9"/>
    <x v="2"/>
    <x v="2"/>
    <s v="cashloan"/>
    <n v="6638310000"/>
  </r>
  <r>
    <x v="368"/>
    <x v="1"/>
    <x v="0"/>
    <n v="2"/>
    <n v="9"/>
    <x v="0"/>
    <x v="0"/>
    <s v="payday"/>
    <n v="4601000000"/>
  </r>
  <r>
    <x v="368"/>
    <x v="1"/>
    <x v="0"/>
    <n v="2"/>
    <n v="9"/>
    <x v="14"/>
    <x v="13"/>
    <s v="cashloan"/>
    <n v="529950000"/>
  </r>
  <r>
    <x v="368"/>
    <x v="1"/>
    <x v="0"/>
    <n v="2"/>
    <n v="9"/>
    <x v="20"/>
    <x v="9"/>
    <s v="cashloan"/>
    <n v="20000000"/>
  </r>
  <r>
    <x v="368"/>
    <x v="1"/>
    <x v="0"/>
    <n v="2"/>
    <n v="9"/>
    <x v="17"/>
    <x v="9"/>
    <s v="cashloan"/>
    <n v="0"/>
  </r>
  <r>
    <x v="368"/>
    <x v="1"/>
    <x v="0"/>
    <n v="2"/>
    <n v="9"/>
    <x v="21"/>
    <x v="9"/>
    <s v="cashloan"/>
    <n v="0"/>
  </r>
  <r>
    <x v="368"/>
    <x v="1"/>
    <x v="0"/>
    <n v="2"/>
    <n v="9"/>
    <x v="12"/>
    <x v="11"/>
    <s v="cashloan"/>
    <n v="5384460000"/>
  </r>
  <r>
    <x v="368"/>
    <x v="1"/>
    <x v="0"/>
    <n v="2"/>
    <n v="9"/>
    <x v="22"/>
    <x v="16"/>
    <s v="cashloan"/>
    <n v="0"/>
  </r>
  <r>
    <x v="368"/>
    <x v="1"/>
    <x v="0"/>
    <n v="2"/>
    <n v="9"/>
    <x v="7"/>
    <x v="7"/>
    <s v="paylater"/>
    <n v="453659182"/>
  </r>
  <r>
    <x v="369"/>
    <x v="1"/>
    <x v="0"/>
    <n v="2"/>
    <n v="10"/>
    <x v="0"/>
    <x v="0"/>
    <s v="payday"/>
    <n v="5982000000"/>
  </r>
  <r>
    <x v="369"/>
    <x v="1"/>
    <x v="0"/>
    <n v="2"/>
    <n v="10"/>
    <x v="3"/>
    <x v="3"/>
    <s v="cashloan"/>
    <n v="32600000"/>
  </r>
  <r>
    <x v="369"/>
    <x v="1"/>
    <x v="0"/>
    <n v="2"/>
    <n v="10"/>
    <x v="6"/>
    <x v="6"/>
    <s v="payday"/>
    <n v="33000000"/>
  </r>
  <r>
    <x v="369"/>
    <x v="1"/>
    <x v="0"/>
    <n v="2"/>
    <n v="10"/>
    <x v="1"/>
    <x v="1"/>
    <s v="cashloan"/>
    <n v="41000000"/>
  </r>
  <r>
    <x v="369"/>
    <x v="1"/>
    <x v="0"/>
    <n v="2"/>
    <n v="10"/>
    <x v="18"/>
    <x v="15"/>
    <s v="cashloan"/>
    <n v="433980000"/>
  </r>
  <r>
    <x v="369"/>
    <x v="1"/>
    <x v="0"/>
    <n v="2"/>
    <n v="10"/>
    <x v="8"/>
    <x v="8"/>
    <s v="cashloan"/>
    <n v="0"/>
  </r>
  <r>
    <x v="369"/>
    <x v="1"/>
    <x v="0"/>
    <n v="2"/>
    <n v="10"/>
    <x v="7"/>
    <x v="7"/>
    <s v="paylater"/>
    <n v="443491453"/>
  </r>
  <r>
    <x v="369"/>
    <x v="1"/>
    <x v="0"/>
    <n v="2"/>
    <n v="10"/>
    <x v="15"/>
    <x v="14"/>
    <s v="paylater"/>
    <n v="27067354"/>
  </r>
  <r>
    <x v="369"/>
    <x v="1"/>
    <x v="0"/>
    <n v="2"/>
    <n v="10"/>
    <x v="5"/>
    <x v="5"/>
    <s v="overdraft"/>
    <n v="3903461157"/>
  </r>
  <r>
    <x v="369"/>
    <x v="1"/>
    <x v="0"/>
    <n v="2"/>
    <n v="10"/>
    <x v="2"/>
    <x v="2"/>
    <s v="cashloan"/>
    <n v="7461300000"/>
  </r>
  <r>
    <x v="369"/>
    <x v="1"/>
    <x v="0"/>
    <n v="2"/>
    <n v="10"/>
    <x v="11"/>
    <x v="10"/>
    <s v="paylater"/>
    <n v="227968393"/>
  </r>
  <r>
    <x v="369"/>
    <x v="1"/>
    <x v="0"/>
    <n v="2"/>
    <n v="10"/>
    <x v="19"/>
    <x v="12"/>
    <s v="paylater"/>
    <n v="250365101"/>
  </r>
  <r>
    <x v="369"/>
    <x v="1"/>
    <x v="0"/>
    <n v="2"/>
    <n v="10"/>
    <x v="12"/>
    <x v="11"/>
    <s v="cashloan"/>
    <n v="6236920000"/>
  </r>
  <r>
    <x v="369"/>
    <x v="1"/>
    <x v="0"/>
    <n v="2"/>
    <n v="10"/>
    <x v="20"/>
    <x v="9"/>
    <s v="cashloan"/>
    <n v="0"/>
  </r>
  <r>
    <x v="369"/>
    <x v="1"/>
    <x v="0"/>
    <n v="2"/>
    <n v="10"/>
    <x v="21"/>
    <x v="9"/>
    <s v="cashloan"/>
    <n v="20000000"/>
  </r>
  <r>
    <x v="369"/>
    <x v="1"/>
    <x v="0"/>
    <n v="2"/>
    <n v="10"/>
    <x v="17"/>
    <x v="9"/>
    <s v="cashloan"/>
    <n v="0"/>
  </r>
  <r>
    <x v="369"/>
    <x v="1"/>
    <x v="0"/>
    <n v="2"/>
    <n v="10"/>
    <x v="22"/>
    <x v="16"/>
    <s v="cashloan"/>
    <n v="0"/>
  </r>
  <r>
    <x v="369"/>
    <x v="1"/>
    <x v="0"/>
    <n v="2"/>
    <n v="10"/>
    <x v="14"/>
    <x v="13"/>
    <s v="cashloan"/>
    <n v="558230000"/>
  </r>
  <r>
    <x v="370"/>
    <x v="1"/>
    <x v="0"/>
    <n v="2"/>
    <n v="11"/>
    <x v="17"/>
    <x v="9"/>
    <s v="cashloan"/>
    <n v="0"/>
  </r>
  <r>
    <x v="370"/>
    <x v="1"/>
    <x v="0"/>
    <n v="2"/>
    <n v="11"/>
    <x v="21"/>
    <x v="9"/>
    <s v="cashloan"/>
    <n v="0"/>
  </r>
  <r>
    <x v="370"/>
    <x v="1"/>
    <x v="0"/>
    <n v="2"/>
    <n v="11"/>
    <x v="20"/>
    <x v="9"/>
    <s v="cashloan"/>
    <n v="18000000"/>
  </r>
  <r>
    <x v="370"/>
    <x v="1"/>
    <x v="0"/>
    <n v="2"/>
    <n v="11"/>
    <x v="14"/>
    <x v="13"/>
    <s v="cashloan"/>
    <n v="573520000"/>
  </r>
  <r>
    <x v="370"/>
    <x v="1"/>
    <x v="0"/>
    <n v="2"/>
    <n v="11"/>
    <x v="22"/>
    <x v="16"/>
    <s v="cashloan"/>
    <n v="0"/>
  </r>
  <r>
    <x v="370"/>
    <x v="1"/>
    <x v="0"/>
    <n v="2"/>
    <n v="11"/>
    <x v="5"/>
    <x v="5"/>
    <s v="overdraft"/>
    <n v="3238217732"/>
  </r>
  <r>
    <x v="370"/>
    <x v="1"/>
    <x v="0"/>
    <n v="2"/>
    <n v="11"/>
    <x v="15"/>
    <x v="14"/>
    <s v="paylater"/>
    <n v="27719112"/>
  </r>
  <r>
    <x v="370"/>
    <x v="1"/>
    <x v="0"/>
    <n v="2"/>
    <n v="11"/>
    <x v="19"/>
    <x v="12"/>
    <s v="paylater"/>
    <n v="187129637"/>
  </r>
  <r>
    <x v="370"/>
    <x v="1"/>
    <x v="0"/>
    <n v="2"/>
    <n v="11"/>
    <x v="12"/>
    <x v="11"/>
    <s v="cashloan"/>
    <n v="4964390000"/>
  </r>
  <r>
    <x v="370"/>
    <x v="1"/>
    <x v="0"/>
    <n v="2"/>
    <n v="11"/>
    <x v="6"/>
    <x v="6"/>
    <s v="payday"/>
    <n v="29000000"/>
  </r>
  <r>
    <x v="370"/>
    <x v="1"/>
    <x v="0"/>
    <n v="2"/>
    <n v="11"/>
    <x v="1"/>
    <x v="1"/>
    <s v="cashloan"/>
    <n v="31500000"/>
  </r>
  <r>
    <x v="370"/>
    <x v="1"/>
    <x v="0"/>
    <n v="2"/>
    <n v="11"/>
    <x v="8"/>
    <x v="8"/>
    <s v="cashloan"/>
    <n v="0"/>
  </r>
  <r>
    <x v="370"/>
    <x v="1"/>
    <x v="0"/>
    <n v="2"/>
    <n v="11"/>
    <x v="3"/>
    <x v="3"/>
    <s v="cashloan"/>
    <n v="10500000"/>
  </r>
  <r>
    <x v="370"/>
    <x v="1"/>
    <x v="0"/>
    <n v="2"/>
    <n v="11"/>
    <x v="0"/>
    <x v="0"/>
    <s v="payday"/>
    <n v="4845500000"/>
  </r>
  <r>
    <x v="370"/>
    <x v="1"/>
    <x v="0"/>
    <n v="2"/>
    <n v="11"/>
    <x v="18"/>
    <x v="15"/>
    <s v="cashloan"/>
    <n v="350190000"/>
  </r>
  <r>
    <x v="370"/>
    <x v="1"/>
    <x v="0"/>
    <n v="2"/>
    <n v="11"/>
    <x v="7"/>
    <x v="7"/>
    <s v="paylater"/>
    <n v="401089062"/>
  </r>
  <r>
    <x v="370"/>
    <x v="1"/>
    <x v="0"/>
    <n v="2"/>
    <n v="11"/>
    <x v="11"/>
    <x v="10"/>
    <s v="paylater"/>
    <n v="187526277"/>
  </r>
  <r>
    <x v="370"/>
    <x v="1"/>
    <x v="0"/>
    <n v="2"/>
    <n v="11"/>
    <x v="2"/>
    <x v="2"/>
    <s v="cashloan"/>
    <n v="5937410000"/>
  </r>
  <r>
    <x v="371"/>
    <x v="1"/>
    <x v="0"/>
    <n v="2"/>
    <n v="12"/>
    <x v="8"/>
    <x v="8"/>
    <s v="cashloan"/>
    <n v="0"/>
  </r>
  <r>
    <x v="371"/>
    <x v="1"/>
    <x v="0"/>
    <n v="2"/>
    <n v="12"/>
    <x v="18"/>
    <x v="15"/>
    <s v="cashloan"/>
    <n v="276490000"/>
  </r>
  <r>
    <x v="371"/>
    <x v="1"/>
    <x v="0"/>
    <n v="2"/>
    <n v="12"/>
    <x v="1"/>
    <x v="1"/>
    <s v="cashloan"/>
    <n v="12600000"/>
  </r>
  <r>
    <x v="371"/>
    <x v="1"/>
    <x v="0"/>
    <n v="2"/>
    <n v="12"/>
    <x v="21"/>
    <x v="9"/>
    <s v="cashloan"/>
    <n v="0"/>
  </r>
  <r>
    <x v="371"/>
    <x v="1"/>
    <x v="0"/>
    <n v="2"/>
    <n v="12"/>
    <x v="22"/>
    <x v="16"/>
    <s v="cashloan"/>
    <n v="0"/>
  </r>
  <r>
    <x v="371"/>
    <x v="1"/>
    <x v="0"/>
    <n v="2"/>
    <n v="12"/>
    <x v="6"/>
    <x v="6"/>
    <s v="payday"/>
    <n v="15000000"/>
  </r>
  <r>
    <x v="371"/>
    <x v="1"/>
    <x v="0"/>
    <n v="2"/>
    <n v="12"/>
    <x v="0"/>
    <x v="0"/>
    <s v="payday"/>
    <n v="4442500000"/>
  </r>
  <r>
    <x v="371"/>
    <x v="1"/>
    <x v="0"/>
    <n v="2"/>
    <n v="12"/>
    <x v="7"/>
    <x v="7"/>
    <s v="paylater"/>
    <n v="380612361"/>
  </r>
  <r>
    <x v="371"/>
    <x v="1"/>
    <x v="0"/>
    <n v="2"/>
    <n v="12"/>
    <x v="11"/>
    <x v="10"/>
    <s v="paylater"/>
    <n v="186376592"/>
  </r>
  <r>
    <x v="371"/>
    <x v="1"/>
    <x v="0"/>
    <n v="2"/>
    <n v="12"/>
    <x v="20"/>
    <x v="9"/>
    <s v="cashloan"/>
    <n v="0"/>
  </r>
  <r>
    <x v="371"/>
    <x v="1"/>
    <x v="0"/>
    <n v="2"/>
    <n v="12"/>
    <x v="17"/>
    <x v="9"/>
    <s v="cashloan"/>
    <n v="0"/>
  </r>
  <r>
    <x v="371"/>
    <x v="1"/>
    <x v="0"/>
    <n v="2"/>
    <n v="12"/>
    <x v="12"/>
    <x v="11"/>
    <s v="cashloan"/>
    <n v="4609500000"/>
  </r>
  <r>
    <x v="371"/>
    <x v="1"/>
    <x v="0"/>
    <n v="2"/>
    <n v="12"/>
    <x v="2"/>
    <x v="2"/>
    <s v="cashloan"/>
    <n v="5754150000"/>
  </r>
  <r>
    <x v="371"/>
    <x v="1"/>
    <x v="0"/>
    <n v="2"/>
    <n v="12"/>
    <x v="19"/>
    <x v="12"/>
    <s v="paylater"/>
    <n v="163828913"/>
  </r>
  <r>
    <x v="371"/>
    <x v="1"/>
    <x v="0"/>
    <n v="2"/>
    <n v="12"/>
    <x v="15"/>
    <x v="14"/>
    <s v="paylater"/>
    <n v="21466651"/>
  </r>
  <r>
    <x v="371"/>
    <x v="1"/>
    <x v="0"/>
    <n v="2"/>
    <n v="12"/>
    <x v="3"/>
    <x v="3"/>
    <s v="cashloan"/>
    <n v="31500000"/>
  </r>
  <r>
    <x v="371"/>
    <x v="1"/>
    <x v="0"/>
    <n v="2"/>
    <n v="12"/>
    <x v="5"/>
    <x v="5"/>
    <s v="overdraft"/>
    <n v="3036663200"/>
  </r>
  <r>
    <x v="371"/>
    <x v="1"/>
    <x v="0"/>
    <n v="2"/>
    <n v="12"/>
    <x v="14"/>
    <x v="13"/>
    <s v="cashloan"/>
    <n v="497260000"/>
  </r>
  <r>
    <x v="372"/>
    <x v="1"/>
    <x v="0"/>
    <n v="3"/>
    <n v="13"/>
    <x v="17"/>
    <x v="9"/>
    <s v="cashloan"/>
    <n v="0"/>
  </r>
  <r>
    <x v="372"/>
    <x v="1"/>
    <x v="0"/>
    <n v="3"/>
    <n v="13"/>
    <x v="20"/>
    <x v="9"/>
    <s v="cashloan"/>
    <n v="0"/>
  </r>
  <r>
    <x v="372"/>
    <x v="1"/>
    <x v="0"/>
    <n v="3"/>
    <n v="13"/>
    <x v="21"/>
    <x v="9"/>
    <s v="cashloan"/>
    <n v="0"/>
  </r>
  <r>
    <x v="372"/>
    <x v="1"/>
    <x v="0"/>
    <n v="3"/>
    <n v="13"/>
    <x v="15"/>
    <x v="14"/>
    <s v="paylater"/>
    <n v="20478055"/>
  </r>
  <r>
    <x v="372"/>
    <x v="1"/>
    <x v="0"/>
    <n v="3"/>
    <n v="13"/>
    <x v="0"/>
    <x v="0"/>
    <s v="payday"/>
    <n v="4786000000"/>
  </r>
  <r>
    <x v="372"/>
    <x v="1"/>
    <x v="0"/>
    <n v="3"/>
    <n v="13"/>
    <x v="11"/>
    <x v="10"/>
    <s v="paylater"/>
    <n v="188268380"/>
  </r>
  <r>
    <x v="372"/>
    <x v="1"/>
    <x v="0"/>
    <n v="3"/>
    <n v="13"/>
    <x v="3"/>
    <x v="3"/>
    <s v="cashloan"/>
    <n v="18000000"/>
  </r>
  <r>
    <x v="372"/>
    <x v="1"/>
    <x v="0"/>
    <n v="3"/>
    <n v="13"/>
    <x v="18"/>
    <x v="15"/>
    <s v="cashloan"/>
    <n v="437170000"/>
  </r>
  <r>
    <x v="372"/>
    <x v="1"/>
    <x v="0"/>
    <n v="3"/>
    <n v="13"/>
    <x v="7"/>
    <x v="7"/>
    <s v="paylater"/>
    <n v="388838280"/>
  </r>
  <r>
    <x v="372"/>
    <x v="1"/>
    <x v="0"/>
    <n v="3"/>
    <n v="13"/>
    <x v="19"/>
    <x v="12"/>
    <s v="paylater"/>
    <n v="205461630"/>
  </r>
  <r>
    <x v="372"/>
    <x v="1"/>
    <x v="0"/>
    <n v="3"/>
    <n v="13"/>
    <x v="6"/>
    <x v="6"/>
    <s v="payday"/>
    <n v="35000000"/>
  </r>
  <r>
    <x v="372"/>
    <x v="1"/>
    <x v="0"/>
    <n v="3"/>
    <n v="13"/>
    <x v="1"/>
    <x v="1"/>
    <s v="cashloan"/>
    <n v="38850000"/>
  </r>
  <r>
    <x v="372"/>
    <x v="1"/>
    <x v="0"/>
    <n v="3"/>
    <n v="13"/>
    <x v="22"/>
    <x v="16"/>
    <s v="cashloan"/>
    <n v="0"/>
  </r>
  <r>
    <x v="372"/>
    <x v="1"/>
    <x v="0"/>
    <n v="3"/>
    <n v="13"/>
    <x v="12"/>
    <x v="11"/>
    <s v="cashloan"/>
    <n v="5527620000"/>
  </r>
  <r>
    <x v="372"/>
    <x v="1"/>
    <x v="0"/>
    <n v="3"/>
    <n v="13"/>
    <x v="8"/>
    <x v="8"/>
    <s v="cashloan"/>
    <n v="0"/>
  </r>
  <r>
    <x v="372"/>
    <x v="1"/>
    <x v="0"/>
    <n v="3"/>
    <n v="13"/>
    <x v="14"/>
    <x v="13"/>
    <s v="cashloan"/>
    <n v="669760000"/>
  </r>
  <r>
    <x v="372"/>
    <x v="1"/>
    <x v="0"/>
    <n v="3"/>
    <n v="13"/>
    <x v="5"/>
    <x v="5"/>
    <s v="overdraft"/>
    <n v="3824287620"/>
  </r>
  <r>
    <x v="372"/>
    <x v="1"/>
    <x v="0"/>
    <n v="3"/>
    <n v="13"/>
    <x v="2"/>
    <x v="2"/>
    <s v="cashloan"/>
    <n v="7880630000"/>
  </r>
  <r>
    <x v="373"/>
    <x v="1"/>
    <x v="0"/>
    <n v="3"/>
    <n v="14"/>
    <x v="21"/>
    <x v="9"/>
    <s v="cashloan"/>
    <n v="21400000"/>
  </r>
  <r>
    <x v="373"/>
    <x v="1"/>
    <x v="0"/>
    <n v="3"/>
    <n v="14"/>
    <x v="17"/>
    <x v="9"/>
    <s v="cashloan"/>
    <n v="0"/>
  </r>
  <r>
    <x v="373"/>
    <x v="1"/>
    <x v="0"/>
    <n v="3"/>
    <n v="14"/>
    <x v="1"/>
    <x v="1"/>
    <s v="cashloan"/>
    <n v="15750000"/>
  </r>
  <r>
    <x v="373"/>
    <x v="1"/>
    <x v="0"/>
    <n v="3"/>
    <n v="14"/>
    <x v="11"/>
    <x v="10"/>
    <s v="paylater"/>
    <n v="184095308"/>
  </r>
  <r>
    <x v="373"/>
    <x v="1"/>
    <x v="0"/>
    <n v="3"/>
    <n v="14"/>
    <x v="6"/>
    <x v="6"/>
    <s v="payday"/>
    <n v="30000000"/>
  </r>
  <r>
    <x v="373"/>
    <x v="1"/>
    <x v="0"/>
    <n v="3"/>
    <n v="14"/>
    <x v="22"/>
    <x v="16"/>
    <s v="cashloan"/>
    <n v="0"/>
  </r>
  <r>
    <x v="373"/>
    <x v="1"/>
    <x v="0"/>
    <n v="3"/>
    <n v="14"/>
    <x v="12"/>
    <x v="11"/>
    <s v="cashloan"/>
    <n v="5850140000"/>
  </r>
  <r>
    <x v="373"/>
    <x v="1"/>
    <x v="0"/>
    <n v="3"/>
    <n v="14"/>
    <x v="3"/>
    <x v="3"/>
    <s v="cashloan"/>
    <n v="0"/>
  </r>
  <r>
    <x v="373"/>
    <x v="1"/>
    <x v="0"/>
    <n v="3"/>
    <n v="14"/>
    <x v="2"/>
    <x v="2"/>
    <s v="cashloan"/>
    <n v="7482390000"/>
  </r>
  <r>
    <x v="373"/>
    <x v="1"/>
    <x v="0"/>
    <n v="3"/>
    <n v="14"/>
    <x v="15"/>
    <x v="14"/>
    <s v="paylater"/>
    <n v="23908905"/>
  </r>
  <r>
    <x v="373"/>
    <x v="1"/>
    <x v="0"/>
    <n v="3"/>
    <n v="14"/>
    <x v="8"/>
    <x v="8"/>
    <s v="cashloan"/>
    <n v="0"/>
  </r>
  <r>
    <x v="373"/>
    <x v="1"/>
    <x v="0"/>
    <n v="3"/>
    <n v="14"/>
    <x v="7"/>
    <x v="7"/>
    <s v="paylater"/>
    <n v="343387908"/>
  </r>
  <r>
    <x v="373"/>
    <x v="1"/>
    <x v="0"/>
    <n v="3"/>
    <n v="14"/>
    <x v="19"/>
    <x v="12"/>
    <s v="paylater"/>
    <n v="156092150"/>
  </r>
  <r>
    <x v="373"/>
    <x v="1"/>
    <x v="0"/>
    <n v="3"/>
    <n v="14"/>
    <x v="0"/>
    <x v="0"/>
    <s v="payday"/>
    <n v="4732500000"/>
  </r>
  <r>
    <x v="373"/>
    <x v="1"/>
    <x v="0"/>
    <n v="3"/>
    <n v="14"/>
    <x v="14"/>
    <x v="13"/>
    <s v="cashloan"/>
    <n v="651670000"/>
  </r>
  <r>
    <x v="373"/>
    <x v="1"/>
    <x v="0"/>
    <n v="3"/>
    <n v="14"/>
    <x v="5"/>
    <x v="5"/>
    <s v="overdraft"/>
    <n v="3342824325"/>
  </r>
  <r>
    <x v="373"/>
    <x v="1"/>
    <x v="0"/>
    <n v="3"/>
    <n v="14"/>
    <x v="18"/>
    <x v="15"/>
    <s v="cashloan"/>
    <n v="485090000"/>
  </r>
  <r>
    <x v="373"/>
    <x v="1"/>
    <x v="0"/>
    <n v="3"/>
    <n v="14"/>
    <x v="20"/>
    <x v="9"/>
    <s v="cashloan"/>
    <n v="0"/>
  </r>
  <r>
    <x v="374"/>
    <x v="1"/>
    <x v="0"/>
    <n v="3"/>
    <n v="15"/>
    <x v="7"/>
    <x v="7"/>
    <s v="paylater"/>
    <n v="360203228"/>
  </r>
  <r>
    <x v="374"/>
    <x v="1"/>
    <x v="0"/>
    <n v="3"/>
    <n v="15"/>
    <x v="0"/>
    <x v="0"/>
    <s v="payday"/>
    <n v="5162000000"/>
  </r>
  <r>
    <x v="374"/>
    <x v="1"/>
    <x v="0"/>
    <n v="3"/>
    <n v="15"/>
    <x v="3"/>
    <x v="3"/>
    <s v="cashloan"/>
    <n v="0"/>
  </r>
  <r>
    <x v="374"/>
    <x v="1"/>
    <x v="0"/>
    <n v="3"/>
    <n v="15"/>
    <x v="21"/>
    <x v="9"/>
    <s v="cashloan"/>
    <n v="0"/>
  </r>
  <r>
    <x v="374"/>
    <x v="1"/>
    <x v="0"/>
    <n v="3"/>
    <n v="15"/>
    <x v="18"/>
    <x v="15"/>
    <s v="cashloan"/>
    <n v="365290000"/>
  </r>
  <r>
    <x v="374"/>
    <x v="1"/>
    <x v="0"/>
    <n v="3"/>
    <n v="15"/>
    <x v="17"/>
    <x v="9"/>
    <s v="cashloan"/>
    <n v="0"/>
  </r>
  <r>
    <x v="374"/>
    <x v="1"/>
    <x v="0"/>
    <n v="3"/>
    <n v="15"/>
    <x v="15"/>
    <x v="14"/>
    <s v="paylater"/>
    <n v="19859614"/>
  </r>
  <r>
    <x v="374"/>
    <x v="1"/>
    <x v="0"/>
    <n v="3"/>
    <n v="15"/>
    <x v="5"/>
    <x v="5"/>
    <s v="overdraft"/>
    <n v="4208577888"/>
  </r>
  <r>
    <x v="374"/>
    <x v="1"/>
    <x v="0"/>
    <n v="3"/>
    <n v="15"/>
    <x v="6"/>
    <x v="6"/>
    <s v="payday"/>
    <n v="18000000"/>
  </r>
  <r>
    <x v="374"/>
    <x v="1"/>
    <x v="0"/>
    <n v="3"/>
    <n v="15"/>
    <x v="1"/>
    <x v="1"/>
    <s v="cashloan"/>
    <n v="31500000"/>
  </r>
  <r>
    <x v="374"/>
    <x v="1"/>
    <x v="0"/>
    <n v="3"/>
    <n v="15"/>
    <x v="22"/>
    <x v="16"/>
    <s v="cashloan"/>
    <n v="0"/>
  </r>
  <r>
    <x v="374"/>
    <x v="1"/>
    <x v="0"/>
    <n v="3"/>
    <n v="15"/>
    <x v="8"/>
    <x v="8"/>
    <s v="cashloan"/>
    <n v="0"/>
  </r>
  <r>
    <x v="374"/>
    <x v="1"/>
    <x v="0"/>
    <n v="3"/>
    <n v="15"/>
    <x v="11"/>
    <x v="10"/>
    <s v="paylater"/>
    <n v="182440717"/>
  </r>
  <r>
    <x v="374"/>
    <x v="1"/>
    <x v="0"/>
    <n v="3"/>
    <n v="15"/>
    <x v="19"/>
    <x v="12"/>
    <s v="paylater"/>
    <n v="154265288"/>
  </r>
  <r>
    <x v="374"/>
    <x v="1"/>
    <x v="0"/>
    <n v="3"/>
    <n v="15"/>
    <x v="20"/>
    <x v="9"/>
    <s v="cashloan"/>
    <n v="21400000"/>
  </r>
  <r>
    <x v="374"/>
    <x v="1"/>
    <x v="0"/>
    <n v="3"/>
    <n v="15"/>
    <x v="12"/>
    <x v="11"/>
    <s v="cashloan"/>
    <n v="5574590000"/>
  </r>
  <r>
    <x v="374"/>
    <x v="1"/>
    <x v="0"/>
    <n v="3"/>
    <n v="15"/>
    <x v="2"/>
    <x v="2"/>
    <s v="cashloan"/>
    <n v="8565820000"/>
  </r>
  <r>
    <x v="374"/>
    <x v="1"/>
    <x v="0"/>
    <n v="3"/>
    <n v="15"/>
    <x v="14"/>
    <x v="13"/>
    <s v="cashloan"/>
    <n v="730000000"/>
  </r>
  <r>
    <x v="375"/>
    <x v="1"/>
    <x v="0"/>
    <n v="3"/>
    <n v="16"/>
    <x v="21"/>
    <x v="9"/>
    <s v="cashloan"/>
    <n v="0"/>
  </r>
  <r>
    <x v="375"/>
    <x v="1"/>
    <x v="0"/>
    <n v="3"/>
    <n v="16"/>
    <x v="17"/>
    <x v="9"/>
    <s v="cashloan"/>
    <n v="0"/>
  </r>
  <r>
    <x v="375"/>
    <x v="1"/>
    <x v="0"/>
    <n v="3"/>
    <n v="16"/>
    <x v="20"/>
    <x v="9"/>
    <s v="cashloan"/>
    <n v="0"/>
  </r>
  <r>
    <x v="375"/>
    <x v="1"/>
    <x v="0"/>
    <n v="3"/>
    <n v="16"/>
    <x v="7"/>
    <x v="7"/>
    <s v="paylater"/>
    <n v="337565419"/>
  </r>
  <r>
    <x v="375"/>
    <x v="1"/>
    <x v="0"/>
    <n v="3"/>
    <n v="16"/>
    <x v="22"/>
    <x v="16"/>
    <s v="cashloan"/>
    <n v="0"/>
  </r>
  <r>
    <x v="375"/>
    <x v="1"/>
    <x v="0"/>
    <n v="3"/>
    <n v="16"/>
    <x v="18"/>
    <x v="15"/>
    <s v="cashloan"/>
    <n v="372080000"/>
  </r>
  <r>
    <x v="375"/>
    <x v="1"/>
    <x v="0"/>
    <n v="3"/>
    <n v="16"/>
    <x v="3"/>
    <x v="3"/>
    <s v="cashloan"/>
    <n v="0"/>
  </r>
  <r>
    <x v="375"/>
    <x v="1"/>
    <x v="0"/>
    <n v="3"/>
    <n v="16"/>
    <x v="15"/>
    <x v="14"/>
    <s v="paylater"/>
    <n v="21938277"/>
  </r>
  <r>
    <x v="375"/>
    <x v="1"/>
    <x v="0"/>
    <n v="3"/>
    <n v="16"/>
    <x v="5"/>
    <x v="5"/>
    <s v="overdraft"/>
    <n v="3525905773"/>
  </r>
  <r>
    <x v="375"/>
    <x v="1"/>
    <x v="0"/>
    <n v="3"/>
    <n v="16"/>
    <x v="14"/>
    <x v="13"/>
    <s v="cashloan"/>
    <n v="829480000"/>
  </r>
  <r>
    <x v="375"/>
    <x v="1"/>
    <x v="0"/>
    <n v="3"/>
    <n v="16"/>
    <x v="0"/>
    <x v="0"/>
    <s v="payday"/>
    <n v="4958000000"/>
  </r>
  <r>
    <x v="375"/>
    <x v="1"/>
    <x v="0"/>
    <n v="3"/>
    <n v="16"/>
    <x v="6"/>
    <x v="6"/>
    <s v="payday"/>
    <n v="19000000"/>
  </r>
  <r>
    <x v="375"/>
    <x v="1"/>
    <x v="0"/>
    <n v="3"/>
    <n v="16"/>
    <x v="1"/>
    <x v="1"/>
    <s v="cashloan"/>
    <n v="39900000"/>
  </r>
  <r>
    <x v="375"/>
    <x v="1"/>
    <x v="0"/>
    <n v="3"/>
    <n v="16"/>
    <x v="12"/>
    <x v="11"/>
    <s v="cashloan"/>
    <n v="5578470000"/>
  </r>
  <r>
    <x v="375"/>
    <x v="1"/>
    <x v="0"/>
    <n v="3"/>
    <n v="16"/>
    <x v="8"/>
    <x v="8"/>
    <s v="cashloan"/>
    <n v="0"/>
  </r>
  <r>
    <x v="375"/>
    <x v="1"/>
    <x v="0"/>
    <n v="3"/>
    <n v="16"/>
    <x v="2"/>
    <x v="2"/>
    <s v="cashloan"/>
    <n v="7629590000"/>
  </r>
  <r>
    <x v="375"/>
    <x v="1"/>
    <x v="0"/>
    <n v="3"/>
    <n v="16"/>
    <x v="11"/>
    <x v="10"/>
    <s v="paylater"/>
    <n v="172307055"/>
  </r>
  <r>
    <x v="375"/>
    <x v="1"/>
    <x v="0"/>
    <n v="3"/>
    <n v="16"/>
    <x v="19"/>
    <x v="12"/>
    <s v="paylater"/>
    <n v="171186207"/>
  </r>
  <r>
    <x v="376"/>
    <x v="1"/>
    <x v="0"/>
    <n v="3"/>
    <n v="17"/>
    <x v="7"/>
    <x v="7"/>
    <s v="paylater"/>
    <n v="289550643"/>
  </r>
  <r>
    <x v="376"/>
    <x v="1"/>
    <x v="0"/>
    <n v="3"/>
    <n v="17"/>
    <x v="1"/>
    <x v="1"/>
    <s v="cashloan"/>
    <n v="31500000"/>
  </r>
  <r>
    <x v="376"/>
    <x v="1"/>
    <x v="0"/>
    <n v="3"/>
    <n v="17"/>
    <x v="8"/>
    <x v="8"/>
    <s v="cashloan"/>
    <n v="0"/>
  </r>
  <r>
    <x v="376"/>
    <x v="1"/>
    <x v="0"/>
    <n v="3"/>
    <n v="17"/>
    <x v="2"/>
    <x v="2"/>
    <s v="cashloan"/>
    <n v="6863600000"/>
  </r>
  <r>
    <x v="376"/>
    <x v="1"/>
    <x v="0"/>
    <n v="3"/>
    <n v="17"/>
    <x v="12"/>
    <x v="11"/>
    <s v="cashloan"/>
    <n v="5131250000"/>
  </r>
  <r>
    <x v="376"/>
    <x v="1"/>
    <x v="0"/>
    <n v="3"/>
    <n v="17"/>
    <x v="5"/>
    <x v="5"/>
    <s v="overdraft"/>
    <n v="3260690653"/>
  </r>
  <r>
    <x v="376"/>
    <x v="1"/>
    <x v="0"/>
    <n v="3"/>
    <n v="17"/>
    <x v="11"/>
    <x v="10"/>
    <s v="paylater"/>
    <n v="203452420"/>
  </r>
  <r>
    <x v="376"/>
    <x v="1"/>
    <x v="0"/>
    <n v="3"/>
    <n v="17"/>
    <x v="6"/>
    <x v="6"/>
    <s v="payday"/>
    <n v="27000000"/>
  </r>
  <r>
    <x v="376"/>
    <x v="1"/>
    <x v="0"/>
    <n v="3"/>
    <n v="17"/>
    <x v="17"/>
    <x v="9"/>
    <s v="cashloan"/>
    <n v="0"/>
  </r>
  <r>
    <x v="376"/>
    <x v="1"/>
    <x v="0"/>
    <n v="3"/>
    <n v="17"/>
    <x v="20"/>
    <x v="9"/>
    <s v="cashloan"/>
    <n v="21400000"/>
  </r>
  <r>
    <x v="376"/>
    <x v="1"/>
    <x v="0"/>
    <n v="3"/>
    <n v="17"/>
    <x v="21"/>
    <x v="9"/>
    <s v="cashloan"/>
    <n v="0"/>
  </r>
  <r>
    <x v="376"/>
    <x v="1"/>
    <x v="0"/>
    <n v="3"/>
    <n v="17"/>
    <x v="22"/>
    <x v="16"/>
    <s v="cashloan"/>
    <n v="0"/>
  </r>
  <r>
    <x v="376"/>
    <x v="1"/>
    <x v="0"/>
    <n v="3"/>
    <n v="17"/>
    <x v="3"/>
    <x v="3"/>
    <s v="cashloan"/>
    <n v="0"/>
  </r>
  <r>
    <x v="376"/>
    <x v="1"/>
    <x v="0"/>
    <n v="3"/>
    <n v="17"/>
    <x v="15"/>
    <x v="14"/>
    <s v="paylater"/>
    <n v="22344180"/>
  </r>
  <r>
    <x v="376"/>
    <x v="1"/>
    <x v="0"/>
    <n v="3"/>
    <n v="17"/>
    <x v="19"/>
    <x v="12"/>
    <s v="paylater"/>
    <n v="207253994"/>
  </r>
  <r>
    <x v="376"/>
    <x v="1"/>
    <x v="0"/>
    <n v="3"/>
    <n v="17"/>
    <x v="18"/>
    <x v="15"/>
    <s v="cashloan"/>
    <n v="269160000"/>
  </r>
  <r>
    <x v="376"/>
    <x v="1"/>
    <x v="0"/>
    <n v="3"/>
    <n v="17"/>
    <x v="14"/>
    <x v="13"/>
    <s v="cashloan"/>
    <n v="775230000"/>
  </r>
  <r>
    <x v="376"/>
    <x v="1"/>
    <x v="0"/>
    <n v="3"/>
    <n v="17"/>
    <x v="0"/>
    <x v="0"/>
    <s v="payday"/>
    <n v="4454500000"/>
  </r>
  <r>
    <x v="377"/>
    <x v="1"/>
    <x v="0"/>
    <n v="3"/>
    <n v="18"/>
    <x v="0"/>
    <x v="0"/>
    <s v="payday"/>
    <n v="4577500000"/>
  </r>
  <r>
    <x v="377"/>
    <x v="1"/>
    <x v="0"/>
    <n v="3"/>
    <n v="18"/>
    <x v="18"/>
    <x v="15"/>
    <s v="cashloan"/>
    <n v="545860000"/>
  </r>
  <r>
    <x v="377"/>
    <x v="1"/>
    <x v="0"/>
    <n v="3"/>
    <n v="18"/>
    <x v="14"/>
    <x v="13"/>
    <s v="cashloan"/>
    <n v="880190000"/>
  </r>
  <r>
    <x v="377"/>
    <x v="1"/>
    <x v="0"/>
    <n v="3"/>
    <n v="18"/>
    <x v="20"/>
    <x v="9"/>
    <s v="cashloan"/>
    <n v="0"/>
  </r>
  <r>
    <x v="377"/>
    <x v="1"/>
    <x v="0"/>
    <n v="3"/>
    <n v="18"/>
    <x v="7"/>
    <x v="7"/>
    <s v="paylater"/>
    <n v="233231171"/>
  </r>
  <r>
    <x v="377"/>
    <x v="1"/>
    <x v="0"/>
    <n v="3"/>
    <n v="18"/>
    <x v="1"/>
    <x v="1"/>
    <s v="cashloan"/>
    <n v="136500000"/>
  </r>
  <r>
    <x v="377"/>
    <x v="1"/>
    <x v="0"/>
    <n v="3"/>
    <n v="18"/>
    <x v="19"/>
    <x v="12"/>
    <s v="paylater"/>
    <n v="289109460"/>
  </r>
  <r>
    <x v="377"/>
    <x v="1"/>
    <x v="0"/>
    <n v="3"/>
    <n v="18"/>
    <x v="11"/>
    <x v="10"/>
    <s v="paylater"/>
    <n v="167886483"/>
  </r>
  <r>
    <x v="377"/>
    <x v="1"/>
    <x v="0"/>
    <n v="3"/>
    <n v="18"/>
    <x v="8"/>
    <x v="8"/>
    <s v="cashloan"/>
    <n v="0"/>
  </r>
  <r>
    <x v="377"/>
    <x v="1"/>
    <x v="0"/>
    <n v="3"/>
    <n v="18"/>
    <x v="17"/>
    <x v="9"/>
    <s v="cashloan"/>
    <n v="0"/>
  </r>
  <r>
    <x v="377"/>
    <x v="1"/>
    <x v="0"/>
    <n v="3"/>
    <n v="18"/>
    <x v="22"/>
    <x v="16"/>
    <s v="cashloan"/>
    <n v="0"/>
  </r>
  <r>
    <x v="377"/>
    <x v="1"/>
    <x v="0"/>
    <n v="3"/>
    <n v="18"/>
    <x v="3"/>
    <x v="3"/>
    <s v="cashloan"/>
    <n v="0"/>
  </r>
  <r>
    <x v="377"/>
    <x v="1"/>
    <x v="0"/>
    <n v="3"/>
    <n v="18"/>
    <x v="21"/>
    <x v="9"/>
    <s v="cashloan"/>
    <n v="0"/>
  </r>
  <r>
    <x v="377"/>
    <x v="1"/>
    <x v="0"/>
    <n v="3"/>
    <n v="18"/>
    <x v="2"/>
    <x v="2"/>
    <s v="cashloan"/>
    <n v="6237170000"/>
  </r>
  <r>
    <x v="377"/>
    <x v="1"/>
    <x v="0"/>
    <n v="3"/>
    <n v="18"/>
    <x v="5"/>
    <x v="5"/>
    <s v="overdraft"/>
    <n v="2985004209"/>
  </r>
  <r>
    <x v="377"/>
    <x v="1"/>
    <x v="0"/>
    <n v="3"/>
    <n v="18"/>
    <x v="15"/>
    <x v="14"/>
    <s v="paylater"/>
    <n v="10288610"/>
  </r>
  <r>
    <x v="377"/>
    <x v="1"/>
    <x v="0"/>
    <n v="3"/>
    <n v="18"/>
    <x v="12"/>
    <x v="11"/>
    <s v="cashloan"/>
    <n v="4564070000"/>
  </r>
  <r>
    <x v="377"/>
    <x v="1"/>
    <x v="0"/>
    <n v="3"/>
    <n v="18"/>
    <x v="6"/>
    <x v="6"/>
    <s v="payday"/>
    <n v="13000000"/>
  </r>
  <r>
    <x v="378"/>
    <x v="1"/>
    <x v="0"/>
    <n v="3"/>
    <n v="19"/>
    <x v="18"/>
    <x v="15"/>
    <s v="cashloan"/>
    <n v="368130000"/>
  </r>
  <r>
    <x v="378"/>
    <x v="1"/>
    <x v="0"/>
    <n v="3"/>
    <n v="19"/>
    <x v="0"/>
    <x v="0"/>
    <s v="payday"/>
    <n v="4510500000"/>
  </r>
  <r>
    <x v="378"/>
    <x v="1"/>
    <x v="0"/>
    <n v="3"/>
    <n v="19"/>
    <x v="2"/>
    <x v="2"/>
    <s v="cashloan"/>
    <n v="6209460000"/>
  </r>
  <r>
    <x v="378"/>
    <x v="1"/>
    <x v="0"/>
    <n v="3"/>
    <n v="19"/>
    <x v="19"/>
    <x v="12"/>
    <s v="paylater"/>
    <n v="254766036"/>
  </r>
  <r>
    <x v="378"/>
    <x v="1"/>
    <x v="0"/>
    <n v="3"/>
    <n v="19"/>
    <x v="22"/>
    <x v="16"/>
    <s v="cashloan"/>
    <n v="0"/>
  </r>
  <r>
    <x v="378"/>
    <x v="1"/>
    <x v="0"/>
    <n v="3"/>
    <n v="19"/>
    <x v="5"/>
    <x v="5"/>
    <s v="overdraft"/>
    <n v="2924545867"/>
  </r>
  <r>
    <x v="378"/>
    <x v="1"/>
    <x v="0"/>
    <n v="3"/>
    <n v="19"/>
    <x v="14"/>
    <x v="13"/>
    <s v="cashloan"/>
    <n v="705090000"/>
  </r>
  <r>
    <x v="378"/>
    <x v="1"/>
    <x v="0"/>
    <n v="3"/>
    <n v="19"/>
    <x v="7"/>
    <x v="7"/>
    <s v="paylater"/>
    <n v="261710584"/>
  </r>
  <r>
    <x v="378"/>
    <x v="1"/>
    <x v="0"/>
    <n v="3"/>
    <n v="19"/>
    <x v="20"/>
    <x v="9"/>
    <s v="cashloan"/>
    <n v="0"/>
  </r>
  <r>
    <x v="378"/>
    <x v="1"/>
    <x v="0"/>
    <n v="3"/>
    <n v="19"/>
    <x v="21"/>
    <x v="9"/>
    <s v="cashloan"/>
    <n v="0"/>
  </r>
  <r>
    <x v="378"/>
    <x v="1"/>
    <x v="0"/>
    <n v="3"/>
    <n v="19"/>
    <x v="17"/>
    <x v="9"/>
    <s v="cashloan"/>
    <n v="0"/>
  </r>
  <r>
    <x v="378"/>
    <x v="1"/>
    <x v="0"/>
    <n v="3"/>
    <n v="19"/>
    <x v="12"/>
    <x v="11"/>
    <s v="cashloan"/>
    <n v="4738510000"/>
  </r>
  <r>
    <x v="378"/>
    <x v="1"/>
    <x v="0"/>
    <n v="3"/>
    <n v="19"/>
    <x v="11"/>
    <x v="10"/>
    <s v="paylater"/>
    <n v="149472083"/>
  </r>
  <r>
    <x v="378"/>
    <x v="1"/>
    <x v="0"/>
    <n v="3"/>
    <n v="19"/>
    <x v="3"/>
    <x v="3"/>
    <s v="cashloan"/>
    <n v="0"/>
  </r>
  <r>
    <x v="378"/>
    <x v="1"/>
    <x v="0"/>
    <n v="3"/>
    <n v="19"/>
    <x v="15"/>
    <x v="14"/>
    <s v="paylater"/>
    <n v="9451659"/>
  </r>
  <r>
    <x v="378"/>
    <x v="1"/>
    <x v="0"/>
    <n v="3"/>
    <n v="19"/>
    <x v="6"/>
    <x v="6"/>
    <s v="payday"/>
    <n v="9000000"/>
  </r>
  <r>
    <x v="378"/>
    <x v="1"/>
    <x v="0"/>
    <n v="3"/>
    <n v="19"/>
    <x v="1"/>
    <x v="1"/>
    <s v="cashloan"/>
    <n v="20500000"/>
  </r>
  <r>
    <x v="378"/>
    <x v="1"/>
    <x v="0"/>
    <n v="3"/>
    <n v="19"/>
    <x v="8"/>
    <x v="8"/>
    <s v="cashloan"/>
    <n v="0"/>
  </r>
  <r>
    <x v="379"/>
    <x v="1"/>
    <x v="0"/>
    <n v="4"/>
    <n v="20"/>
    <x v="21"/>
    <x v="9"/>
    <s v="cashloan"/>
    <n v="0"/>
  </r>
  <r>
    <x v="379"/>
    <x v="1"/>
    <x v="0"/>
    <n v="4"/>
    <n v="20"/>
    <x v="5"/>
    <x v="5"/>
    <s v="overdraft"/>
    <n v="4040419975"/>
  </r>
  <r>
    <x v="379"/>
    <x v="1"/>
    <x v="0"/>
    <n v="4"/>
    <n v="20"/>
    <x v="12"/>
    <x v="11"/>
    <s v="cashloan"/>
    <n v="6060300000"/>
  </r>
  <r>
    <x v="379"/>
    <x v="1"/>
    <x v="0"/>
    <n v="4"/>
    <n v="20"/>
    <x v="19"/>
    <x v="12"/>
    <s v="paylater"/>
    <n v="267049329"/>
  </r>
  <r>
    <x v="379"/>
    <x v="1"/>
    <x v="0"/>
    <n v="4"/>
    <n v="20"/>
    <x v="0"/>
    <x v="0"/>
    <s v="payday"/>
    <n v="4634500000"/>
  </r>
  <r>
    <x v="379"/>
    <x v="1"/>
    <x v="0"/>
    <n v="4"/>
    <n v="20"/>
    <x v="17"/>
    <x v="9"/>
    <s v="cashloan"/>
    <n v="0"/>
  </r>
  <r>
    <x v="379"/>
    <x v="1"/>
    <x v="0"/>
    <n v="4"/>
    <n v="20"/>
    <x v="2"/>
    <x v="2"/>
    <s v="cashloan"/>
    <n v="8024580000"/>
  </r>
  <r>
    <x v="379"/>
    <x v="1"/>
    <x v="0"/>
    <n v="4"/>
    <n v="20"/>
    <x v="14"/>
    <x v="13"/>
    <s v="cashloan"/>
    <n v="817520000"/>
  </r>
  <r>
    <x v="379"/>
    <x v="1"/>
    <x v="0"/>
    <n v="4"/>
    <n v="20"/>
    <x v="22"/>
    <x v="16"/>
    <s v="cashloan"/>
    <n v="0"/>
  </r>
  <r>
    <x v="379"/>
    <x v="1"/>
    <x v="0"/>
    <n v="4"/>
    <n v="20"/>
    <x v="18"/>
    <x v="15"/>
    <s v="cashloan"/>
    <n v="407980000"/>
  </r>
  <r>
    <x v="379"/>
    <x v="1"/>
    <x v="0"/>
    <n v="4"/>
    <n v="20"/>
    <x v="7"/>
    <x v="7"/>
    <s v="paylater"/>
    <n v="273954321"/>
  </r>
  <r>
    <x v="379"/>
    <x v="1"/>
    <x v="0"/>
    <n v="4"/>
    <n v="20"/>
    <x v="3"/>
    <x v="3"/>
    <s v="cashloan"/>
    <n v="0"/>
  </r>
  <r>
    <x v="379"/>
    <x v="1"/>
    <x v="0"/>
    <n v="4"/>
    <n v="20"/>
    <x v="11"/>
    <x v="10"/>
    <s v="paylater"/>
    <n v="149148638"/>
  </r>
  <r>
    <x v="379"/>
    <x v="1"/>
    <x v="0"/>
    <n v="4"/>
    <n v="20"/>
    <x v="15"/>
    <x v="14"/>
    <s v="paylater"/>
    <n v="21388608"/>
  </r>
  <r>
    <x v="379"/>
    <x v="1"/>
    <x v="0"/>
    <n v="4"/>
    <n v="20"/>
    <x v="1"/>
    <x v="1"/>
    <s v="cashloan"/>
    <n v="19000000"/>
  </r>
  <r>
    <x v="379"/>
    <x v="1"/>
    <x v="0"/>
    <n v="4"/>
    <n v="20"/>
    <x v="6"/>
    <x v="6"/>
    <s v="payday"/>
    <n v="45000000"/>
  </r>
  <r>
    <x v="379"/>
    <x v="1"/>
    <x v="0"/>
    <n v="4"/>
    <n v="20"/>
    <x v="20"/>
    <x v="9"/>
    <s v="cashloan"/>
    <n v="0"/>
  </r>
  <r>
    <x v="379"/>
    <x v="1"/>
    <x v="0"/>
    <n v="4"/>
    <n v="20"/>
    <x v="8"/>
    <x v="8"/>
    <s v="cashloan"/>
    <n v="0"/>
  </r>
  <r>
    <x v="380"/>
    <x v="1"/>
    <x v="0"/>
    <n v="4"/>
    <n v="21"/>
    <x v="7"/>
    <x v="7"/>
    <s v="paylater"/>
    <n v="318307790"/>
  </r>
  <r>
    <x v="380"/>
    <x v="1"/>
    <x v="0"/>
    <n v="4"/>
    <n v="21"/>
    <x v="22"/>
    <x v="16"/>
    <s v="cashloan"/>
    <n v="0"/>
  </r>
  <r>
    <x v="380"/>
    <x v="1"/>
    <x v="0"/>
    <n v="4"/>
    <n v="21"/>
    <x v="12"/>
    <x v="11"/>
    <s v="cashloan"/>
    <n v="6672180000"/>
  </r>
  <r>
    <x v="380"/>
    <x v="1"/>
    <x v="0"/>
    <n v="4"/>
    <n v="21"/>
    <x v="3"/>
    <x v="3"/>
    <s v="cashloan"/>
    <n v="0"/>
  </r>
  <r>
    <x v="380"/>
    <x v="1"/>
    <x v="0"/>
    <n v="4"/>
    <n v="21"/>
    <x v="14"/>
    <x v="13"/>
    <s v="cashloan"/>
    <n v="593770000"/>
  </r>
  <r>
    <x v="380"/>
    <x v="1"/>
    <x v="0"/>
    <n v="4"/>
    <n v="21"/>
    <x v="5"/>
    <x v="5"/>
    <s v="overdraft"/>
    <n v="3910684190"/>
  </r>
  <r>
    <x v="380"/>
    <x v="1"/>
    <x v="0"/>
    <n v="4"/>
    <n v="21"/>
    <x v="15"/>
    <x v="14"/>
    <s v="paylater"/>
    <n v="44924959"/>
  </r>
  <r>
    <x v="380"/>
    <x v="1"/>
    <x v="0"/>
    <n v="4"/>
    <n v="21"/>
    <x v="11"/>
    <x v="10"/>
    <s v="paylater"/>
    <n v="144967112"/>
  </r>
  <r>
    <x v="380"/>
    <x v="1"/>
    <x v="0"/>
    <n v="4"/>
    <n v="21"/>
    <x v="1"/>
    <x v="1"/>
    <s v="cashloan"/>
    <n v="94500000"/>
  </r>
  <r>
    <x v="380"/>
    <x v="1"/>
    <x v="0"/>
    <n v="4"/>
    <n v="21"/>
    <x v="2"/>
    <x v="2"/>
    <s v="cashloan"/>
    <n v="6327300000"/>
  </r>
  <r>
    <x v="380"/>
    <x v="1"/>
    <x v="0"/>
    <n v="4"/>
    <n v="21"/>
    <x v="19"/>
    <x v="12"/>
    <s v="paylater"/>
    <n v="348586010"/>
  </r>
  <r>
    <x v="380"/>
    <x v="1"/>
    <x v="0"/>
    <n v="4"/>
    <n v="21"/>
    <x v="18"/>
    <x v="15"/>
    <s v="cashloan"/>
    <n v="448600000"/>
  </r>
  <r>
    <x v="380"/>
    <x v="1"/>
    <x v="0"/>
    <n v="4"/>
    <n v="21"/>
    <x v="21"/>
    <x v="9"/>
    <s v="cashloan"/>
    <n v="0"/>
  </r>
  <r>
    <x v="380"/>
    <x v="1"/>
    <x v="0"/>
    <n v="4"/>
    <n v="21"/>
    <x v="17"/>
    <x v="9"/>
    <s v="cashloan"/>
    <n v="0"/>
  </r>
  <r>
    <x v="380"/>
    <x v="1"/>
    <x v="0"/>
    <n v="4"/>
    <n v="21"/>
    <x v="8"/>
    <x v="8"/>
    <s v="cashloan"/>
    <n v="0"/>
  </r>
  <r>
    <x v="380"/>
    <x v="1"/>
    <x v="0"/>
    <n v="4"/>
    <n v="21"/>
    <x v="0"/>
    <x v="0"/>
    <s v="payday"/>
    <n v="5447000000"/>
  </r>
  <r>
    <x v="380"/>
    <x v="1"/>
    <x v="0"/>
    <n v="4"/>
    <n v="21"/>
    <x v="20"/>
    <x v="9"/>
    <s v="cashloan"/>
    <n v="0"/>
  </r>
  <r>
    <x v="380"/>
    <x v="1"/>
    <x v="0"/>
    <n v="4"/>
    <n v="21"/>
    <x v="6"/>
    <x v="6"/>
    <s v="payday"/>
    <n v="13000000"/>
  </r>
  <r>
    <x v="381"/>
    <x v="1"/>
    <x v="0"/>
    <n v="4"/>
    <n v="22"/>
    <x v="17"/>
    <x v="9"/>
    <s v="cashloan"/>
    <n v="0"/>
  </r>
  <r>
    <x v="381"/>
    <x v="1"/>
    <x v="0"/>
    <n v="4"/>
    <n v="22"/>
    <x v="3"/>
    <x v="3"/>
    <s v="cashloan"/>
    <n v="0"/>
  </r>
  <r>
    <x v="381"/>
    <x v="1"/>
    <x v="0"/>
    <n v="4"/>
    <n v="22"/>
    <x v="21"/>
    <x v="9"/>
    <s v="cashloan"/>
    <n v="0"/>
  </r>
  <r>
    <x v="381"/>
    <x v="1"/>
    <x v="0"/>
    <n v="4"/>
    <n v="22"/>
    <x v="22"/>
    <x v="16"/>
    <s v="cashloan"/>
    <n v="0"/>
  </r>
  <r>
    <x v="381"/>
    <x v="1"/>
    <x v="0"/>
    <n v="4"/>
    <n v="22"/>
    <x v="20"/>
    <x v="9"/>
    <s v="cashloan"/>
    <n v="0"/>
  </r>
  <r>
    <x v="381"/>
    <x v="1"/>
    <x v="0"/>
    <n v="4"/>
    <n v="22"/>
    <x v="19"/>
    <x v="12"/>
    <s v="paylater"/>
    <n v="354656328"/>
  </r>
  <r>
    <x v="381"/>
    <x v="1"/>
    <x v="0"/>
    <n v="4"/>
    <n v="22"/>
    <x v="18"/>
    <x v="15"/>
    <s v="cashloan"/>
    <n v="625340000"/>
  </r>
  <r>
    <x v="381"/>
    <x v="1"/>
    <x v="0"/>
    <n v="4"/>
    <n v="22"/>
    <x v="15"/>
    <x v="14"/>
    <s v="paylater"/>
    <n v="35810703"/>
  </r>
  <r>
    <x v="381"/>
    <x v="1"/>
    <x v="0"/>
    <n v="4"/>
    <n v="22"/>
    <x v="12"/>
    <x v="11"/>
    <s v="cashloan"/>
    <n v="6524720000"/>
  </r>
  <r>
    <x v="381"/>
    <x v="1"/>
    <x v="0"/>
    <n v="4"/>
    <n v="22"/>
    <x v="0"/>
    <x v="0"/>
    <s v="payday"/>
    <n v="5568500000"/>
  </r>
  <r>
    <x v="381"/>
    <x v="1"/>
    <x v="0"/>
    <n v="4"/>
    <n v="22"/>
    <x v="6"/>
    <x v="6"/>
    <s v="payday"/>
    <n v="81000000"/>
  </r>
  <r>
    <x v="381"/>
    <x v="1"/>
    <x v="0"/>
    <n v="4"/>
    <n v="22"/>
    <x v="8"/>
    <x v="8"/>
    <s v="cashloan"/>
    <n v="0"/>
  </r>
  <r>
    <x v="381"/>
    <x v="1"/>
    <x v="0"/>
    <n v="4"/>
    <n v="22"/>
    <x v="11"/>
    <x v="10"/>
    <s v="paylater"/>
    <n v="153322750"/>
  </r>
  <r>
    <x v="381"/>
    <x v="1"/>
    <x v="0"/>
    <n v="4"/>
    <n v="22"/>
    <x v="14"/>
    <x v="13"/>
    <s v="cashloan"/>
    <n v="838880000"/>
  </r>
  <r>
    <x v="381"/>
    <x v="1"/>
    <x v="0"/>
    <n v="4"/>
    <n v="22"/>
    <x v="1"/>
    <x v="1"/>
    <s v="cashloan"/>
    <n v="113400000"/>
  </r>
  <r>
    <x v="381"/>
    <x v="1"/>
    <x v="0"/>
    <n v="4"/>
    <n v="22"/>
    <x v="5"/>
    <x v="5"/>
    <s v="overdraft"/>
    <n v="3762009671"/>
  </r>
  <r>
    <x v="381"/>
    <x v="1"/>
    <x v="0"/>
    <n v="4"/>
    <n v="22"/>
    <x v="2"/>
    <x v="2"/>
    <s v="cashloan"/>
    <n v="7062690000"/>
  </r>
  <r>
    <x v="381"/>
    <x v="1"/>
    <x v="0"/>
    <n v="4"/>
    <n v="22"/>
    <x v="7"/>
    <x v="7"/>
    <s v="paylater"/>
    <n v="323985250"/>
  </r>
  <r>
    <x v="382"/>
    <x v="1"/>
    <x v="0"/>
    <n v="4"/>
    <n v="23"/>
    <x v="15"/>
    <x v="14"/>
    <s v="paylater"/>
    <n v="28330519"/>
  </r>
  <r>
    <x v="382"/>
    <x v="1"/>
    <x v="0"/>
    <n v="4"/>
    <n v="23"/>
    <x v="8"/>
    <x v="8"/>
    <s v="cashloan"/>
    <n v="0"/>
  </r>
  <r>
    <x v="382"/>
    <x v="1"/>
    <x v="0"/>
    <n v="4"/>
    <n v="23"/>
    <x v="18"/>
    <x v="15"/>
    <s v="cashloan"/>
    <n v="567070000"/>
  </r>
  <r>
    <x v="382"/>
    <x v="1"/>
    <x v="0"/>
    <n v="4"/>
    <n v="23"/>
    <x v="6"/>
    <x v="6"/>
    <s v="payday"/>
    <n v="49000000"/>
  </r>
  <r>
    <x v="382"/>
    <x v="1"/>
    <x v="0"/>
    <n v="4"/>
    <n v="23"/>
    <x v="19"/>
    <x v="12"/>
    <s v="paylater"/>
    <n v="328435139"/>
  </r>
  <r>
    <x v="382"/>
    <x v="1"/>
    <x v="0"/>
    <n v="4"/>
    <n v="23"/>
    <x v="11"/>
    <x v="10"/>
    <s v="paylater"/>
    <n v="163815940"/>
  </r>
  <r>
    <x v="382"/>
    <x v="1"/>
    <x v="0"/>
    <n v="4"/>
    <n v="23"/>
    <x v="0"/>
    <x v="0"/>
    <s v="payday"/>
    <n v="5643500000"/>
  </r>
  <r>
    <x v="382"/>
    <x v="1"/>
    <x v="0"/>
    <n v="4"/>
    <n v="23"/>
    <x v="14"/>
    <x v="13"/>
    <s v="cashloan"/>
    <n v="815410000"/>
  </r>
  <r>
    <x v="382"/>
    <x v="1"/>
    <x v="0"/>
    <n v="4"/>
    <n v="23"/>
    <x v="7"/>
    <x v="7"/>
    <s v="paylater"/>
    <n v="299915800"/>
  </r>
  <r>
    <x v="382"/>
    <x v="1"/>
    <x v="0"/>
    <n v="4"/>
    <n v="23"/>
    <x v="5"/>
    <x v="5"/>
    <s v="overdraft"/>
    <n v="3738497348"/>
  </r>
  <r>
    <x v="382"/>
    <x v="1"/>
    <x v="0"/>
    <n v="4"/>
    <n v="23"/>
    <x v="21"/>
    <x v="9"/>
    <s v="cashloan"/>
    <n v="0"/>
  </r>
  <r>
    <x v="382"/>
    <x v="1"/>
    <x v="0"/>
    <n v="4"/>
    <n v="23"/>
    <x v="17"/>
    <x v="9"/>
    <s v="cashloan"/>
    <n v="0"/>
  </r>
  <r>
    <x v="382"/>
    <x v="1"/>
    <x v="0"/>
    <n v="4"/>
    <n v="23"/>
    <x v="1"/>
    <x v="1"/>
    <s v="cashloan"/>
    <n v="26250000"/>
  </r>
  <r>
    <x v="382"/>
    <x v="1"/>
    <x v="0"/>
    <n v="4"/>
    <n v="23"/>
    <x v="20"/>
    <x v="9"/>
    <s v="cashloan"/>
    <n v="0"/>
  </r>
  <r>
    <x v="382"/>
    <x v="1"/>
    <x v="0"/>
    <n v="4"/>
    <n v="23"/>
    <x v="23"/>
    <x v="17"/>
    <s v="paylater"/>
    <n v="100000"/>
  </r>
  <r>
    <x v="382"/>
    <x v="1"/>
    <x v="0"/>
    <n v="4"/>
    <n v="23"/>
    <x v="22"/>
    <x v="16"/>
    <s v="cashloan"/>
    <n v="0"/>
  </r>
  <r>
    <x v="382"/>
    <x v="1"/>
    <x v="0"/>
    <n v="4"/>
    <n v="23"/>
    <x v="12"/>
    <x v="11"/>
    <s v="cashloan"/>
    <n v="5780070000"/>
  </r>
  <r>
    <x v="382"/>
    <x v="1"/>
    <x v="0"/>
    <n v="4"/>
    <n v="23"/>
    <x v="2"/>
    <x v="2"/>
    <s v="cashloan"/>
    <n v="6304910000"/>
  </r>
  <r>
    <x v="382"/>
    <x v="1"/>
    <x v="0"/>
    <n v="4"/>
    <n v="23"/>
    <x v="3"/>
    <x v="3"/>
    <s v="cashloan"/>
    <n v="0"/>
  </r>
  <r>
    <x v="383"/>
    <x v="1"/>
    <x v="0"/>
    <n v="4"/>
    <n v="24"/>
    <x v="2"/>
    <x v="2"/>
    <s v="cashloan"/>
    <n v="7129810000"/>
  </r>
  <r>
    <x v="383"/>
    <x v="1"/>
    <x v="0"/>
    <n v="4"/>
    <n v="24"/>
    <x v="11"/>
    <x v="10"/>
    <s v="paylater"/>
    <n v="150797109"/>
  </r>
  <r>
    <x v="383"/>
    <x v="1"/>
    <x v="0"/>
    <n v="4"/>
    <n v="24"/>
    <x v="18"/>
    <x v="15"/>
    <s v="cashloan"/>
    <n v="643090000"/>
  </r>
  <r>
    <x v="383"/>
    <x v="1"/>
    <x v="0"/>
    <n v="4"/>
    <n v="24"/>
    <x v="15"/>
    <x v="14"/>
    <s v="paylater"/>
    <n v="32335979"/>
  </r>
  <r>
    <x v="383"/>
    <x v="1"/>
    <x v="0"/>
    <n v="4"/>
    <n v="24"/>
    <x v="3"/>
    <x v="3"/>
    <s v="cashloan"/>
    <n v="13000000"/>
  </r>
  <r>
    <x v="383"/>
    <x v="1"/>
    <x v="0"/>
    <n v="4"/>
    <n v="24"/>
    <x v="22"/>
    <x v="16"/>
    <s v="cashloan"/>
    <n v="0"/>
  </r>
  <r>
    <x v="383"/>
    <x v="1"/>
    <x v="0"/>
    <n v="4"/>
    <n v="24"/>
    <x v="7"/>
    <x v="7"/>
    <s v="paylater"/>
    <n v="310517089"/>
  </r>
  <r>
    <x v="383"/>
    <x v="1"/>
    <x v="0"/>
    <n v="4"/>
    <n v="24"/>
    <x v="0"/>
    <x v="0"/>
    <s v="payday"/>
    <n v="6474500000"/>
  </r>
  <r>
    <x v="383"/>
    <x v="1"/>
    <x v="0"/>
    <n v="4"/>
    <n v="24"/>
    <x v="5"/>
    <x v="5"/>
    <s v="overdraft"/>
    <n v="4164157031"/>
  </r>
  <r>
    <x v="383"/>
    <x v="1"/>
    <x v="0"/>
    <n v="4"/>
    <n v="24"/>
    <x v="8"/>
    <x v="8"/>
    <s v="cashloan"/>
    <n v="0"/>
  </r>
  <r>
    <x v="383"/>
    <x v="1"/>
    <x v="0"/>
    <n v="4"/>
    <n v="24"/>
    <x v="6"/>
    <x v="6"/>
    <s v="payday"/>
    <n v="54000000"/>
  </r>
  <r>
    <x v="383"/>
    <x v="1"/>
    <x v="0"/>
    <n v="4"/>
    <n v="24"/>
    <x v="23"/>
    <x v="17"/>
    <s v="paylater"/>
    <n v="0"/>
  </r>
  <r>
    <x v="383"/>
    <x v="1"/>
    <x v="0"/>
    <n v="4"/>
    <n v="24"/>
    <x v="14"/>
    <x v="13"/>
    <s v="cashloan"/>
    <n v="796920000"/>
  </r>
  <r>
    <x v="383"/>
    <x v="1"/>
    <x v="0"/>
    <n v="4"/>
    <n v="24"/>
    <x v="17"/>
    <x v="9"/>
    <s v="cashloan"/>
    <n v="0"/>
  </r>
  <r>
    <x v="383"/>
    <x v="1"/>
    <x v="0"/>
    <n v="4"/>
    <n v="24"/>
    <x v="20"/>
    <x v="9"/>
    <s v="cashloan"/>
    <n v="0"/>
  </r>
  <r>
    <x v="383"/>
    <x v="1"/>
    <x v="0"/>
    <n v="4"/>
    <n v="24"/>
    <x v="21"/>
    <x v="9"/>
    <s v="cashloan"/>
    <n v="0"/>
  </r>
  <r>
    <x v="383"/>
    <x v="1"/>
    <x v="0"/>
    <n v="4"/>
    <n v="24"/>
    <x v="12"/>
    <x v="11"/>
    <s v="cashloan"/>
    <n v="5792770000"/>
  </r>
  <r>
    <x v="383"/>
    <x v="1"/>
    <x v="0"/>
    <n v="4"/>
    <n v="24"/>
    <x v="19"/>
    <x v="12"/>
    <s v="paylater"/>
    <n v="313636668"/>
  </r>
  <r>
    <x v="383"/>
    <x v="1"/>
    <x v="0"/>
    <n v="4"/>
    <n v="24"/>
    <x v="1"/>
    <x v="1"/>
    <s v="cashloan"/>
    <n v="30500000"/>
  </r>
  <r>
    <x v="384"/>
    <x v="1"/>
    <x v="0"/>
    <n v="4"/>
    <n v="25"/>
    <x v="5"/>
    <x v="5"/>
    <s v="overdraft"/>
    <n v="3486369235"/>
  </r>
  <r>
    <x v="384"/>
    <x v="1"/>
    <x v="0"/>
    <n v="4"/>
    <n v="25"/>
    <x v="2"/>
    <x v="2"/>
    <s v="cashloan"/>
    <n v="5536990000"/>
  </r>
  <r>
    <x v="384"/>
    <x v="1"/>
    <x v="0"/>
    <n v="4"/>
    <n v="25"/>
    <x v="17"/>
    <x v="9"/>
    <s v="cashloan"/>
    <n v="0"/>
  </r>
  <r>
    <x v="384"/>
    <x v="1"/>
    <x v="0"/>
    <n v="4"/>
    <n v="25"/>
    <x v="15"/>
    <x v="14"/>
    <s v="paylater"/>
    <n v="21913922"/>
  </r>
  <r>
    <x v="384"/>
    <x v="1"/>
    <x v="0"/>
    <n v="4"/>
    <n v="25"/>
    <x v="23"/>
    <x v="17"/>
    <s v="paylater"/>
    <n v="0"/>
  </r>
  <r>
    <x v="384"/>
    <x v="1"/>
    <x v="0"/>
    <n v="4"/>
    <n v="25"/>
    <x v="14"/>
    <x v="13"/>
    <s v="cashloan"/>
    <n v="592790000"/>
  </r>
  <r>
    <x v="384"/>
    <x v="1"/>
    <x v="0"/>
    <n v="4"/>
    <n v="25"/>
    <x v="3"/>
    <x v="3"/>
    <s v="cashloan"/>
    <n v="0"/>
  </r>
  <r>
    <x v="384"/>
    <x v="1"/>
    <x v="0"/>
    <n v="4"/>
    <n v="25"/>
    <x v="20"/>
    <x v="9"/>
    <s v="cashloan"/>
    <n v="0"/>
  </r>
  <r>
    <x v="384"/>
    <x v="1"/>
    <x v="0"/>
    <n v="4"/>
    <n v="25"/>
    <x v="19"/>
    <x v="12"/>
    <s v="paylater"/>
    <n v="332035119"/>
  </r>
  <r>
    <x v="384"/>
    <x v="1"/>
    <x v="0"/>
    <n v="4"/>
    <n v="25"/>
    <x v="7"/>
    <x v="7"/>
    <s v="paylater"/>
    <n v="309799480"/>
  </r>
  <r>
    <x v="384"/>
    <x v="1"/>
    <x v="0"/>
    <n v="4"/>
    <n v="25"/>
    <x v="21"/>
    <x v="9"/>
    <s v="cashloan"/>
    <n v="0"/>
  </r>
  <r>
    <x v="384"/>
    <x v="1"/>
    <x v="0"/>
    <n v="4"/>
    <n v="25"/>
    <x v="12"/>
    <x v="11"/>
    <s v="cashloan"/>
    <n v="4232100000"/>
  </r>
  <r>
    <x v="384"/>
    <x v="1"/>
    <x v="0"/>
    <n v="4"/>
    <n v="25"/>
    <x v="18"/>
    <x v="15"/>
    <s v="cashloan"/>
    <n v="313890000"/>
  </r>
  <r>
    <x v="384"/>
    <x v="1"/>
    <x v="0"/>
    <n v="4"/>
    <n v="25"/>
    <x v="8"/>
    <x v="8"/>
    <s v="cashloan"/>
    <n v="0"/>
  </r>
  <r>
    <x v="384"/>
    <x v="1"/>
    <x v="0"/>
    <n v="4"/>
    <n v="25"/>
    <x v="6"/>
    <x v="6"/>
    <s v="payday"/>
    <n v="52000000"/>
  </r>
  <r>
    <x v="384"/>
    <x v="1"/>
    <x v="0"/>
    <n v="4"/>
    <n v="25"/>
    <x v="22"/>
    <x v="16"/>
    <s v="cashloan"/>
    <n v="0"/>
  </r>
  <r>
    <x v="384"/>
    <x v="1"/>
    <x v="0"/>
    <n v="4"/>
    <n v="25"/>
    <x v="11"/>
    <x v="10"/>
    <s v="paylater"/>
    <n v="153476807"/>
  </r>
  <r>
    <x v="384"/>
    <x v="1"/>
    <x v="0"/>
    <n v="4"/>
    <n v="25"/>
    <x v="1"/>
    <x v="1"/>
    <s v="cashloan"/>
    <n v="16800000"/>
  </r>
  <r>
    <x v="384"/>
    <x v="1"/>
    <x v="0"/>
    <n v="4"/>
    <n v="25"/>
    <x v="0"/>
    <x v="0"/>
    <s v="payday"/>
    <n v="5594500000"/>
  </r>
  <r>
    <x v="385"/>
    <x v="1"/>
    <x v="0"/>
    <n v="4"/>
    <n v="26"/>
    <x v="23"/>
    <x v="17"/>
    <s v="paylater"/>
    <n v="0"/>
  </r>
  <r>
    <x v="385"/>
    <x v="1"/>
    <x v="0"/>
    <n v="4"/>
    <n v="26"/>
    <x v="20"/>
    <x v="9"/>
    <s v="cashloan"/>
    <n v="0"/>
  </r>
  <r>
    <x v="385"/>
    <x v="1"/>
    <x v="0"/>
    <n v="4"/>
    <n v="26"/>
    <x v="18"/>
    <x v="15"/>
    <s v="cashloan"/>
    <n v="227040000"/>
  </r>
  <r>
    <x v="385"/>
    <x v="1"/>
    <x v="0"/>
    <n v="4"/>
    <n v="26"/>
    <x v="3"/>
    <x v="3"/>
    <s v="cashloan"/>
    <n v="0"/>
  </r>
  <r>
    <x v="385"/>
    <x v="1"/>
    <x v="0"/>
    <n v="4"/>
    <n v="26"/>
    <x v="15"/>
    <x v="14"/>
    <s v="paylater"/>
    <n v="19861806"/>
  </r>
  <r>
    <x v="385"/>
    <x v="1"/>
    <x v="0"/>
    <n v="4"/>
    <n v="26"/>
    <x v="21"/>
    <x v="9"/>
    <s v="cashloan"/>
    <n v="0"/>
  </r>
  <r>
    <x v="385"/>
    <x v="1"/>
    <x v="0"/>
    <n v="4"/>
    <n v="26"/>
    <x v="11"/>
    <x v="10"/>
    <s v="paylater"/>
    <n v="126284740"/>
  </r>
  <r>
    <x v="385"/>
    <x v="1"/>
    <x v="0"/>
    <n v="4"/>
    <n v="26"/>
    <x v="17"/>
    <x v="9"/>
    <s v="cashloan"/>
    <n v="0"/>
  </r>
  <r>
    <x v="385"/>
    <x v="1"/>
    <x v="0"/>
    <n v="4"/>
    <n v="26"/>
    <x v="19"/>
    <x v="12"/>
    <s v="paylater"/>
    <n v="297886962"/>
  </r>
  <r>
    <x v="385"/>
    <x v="1"/>
    <x v="0"/>
    <n v="4"/>
    <n v="26"/>
    <x v="5"/>
    <x v="5"/>
    <s v="overdraft"/>
    <n v="3186290889"/>
  </r>
  <r>
    <x v="385"/>
    <x v="1"/>
    <x v="0"/>
    <n v="4"/>
    <n v="26"/>
    <x v="0"/>
    <x v="0"/>
    <s v="payday"/>
    <n v="4575000000"/>
  </r>
  <r>
    <x v="385"/>
    <x v="1"/>
    <x v="0"/>
    <n v="4"/>
    <n v="26"/>
    <x v="1"/>
    <x v="1"/>
    <s v="cashloan"/>
    <n v="42000000"/>
  </r>
  <r>
    <x v="385"/>
    <x v="1"/>
    <x v="0"/>
    <n v="4"/>
    <n v="26"/>
    <x v="6"/>
    <x v="6"/>
    <s v="payday"/>
    <n v="36000000"/>
  </r>
  <r>
    <x v="385"/>
    <x v="1"/>
    <x v="0"/>
    <n v="4"/>
    <n v="26"/>
    <x v="7"/>
    <x v="7"/>
    <s v="paylater"/>
    <n v="285941475"/>
  </r>
  <r>
    <x v="385"/>
    <x v="1"/>
    <x v="0"/>
    <n v="4"/>
    <n v="26"/>
    <x v="22"/>
    <x v="16"/>
    <s v="cashloan"/>
    <n v="0"/>
  </r>
  <r>
    <x v="385"/>
    <x v="1"/>
    <x v="0"/>
    <n v="4"/>
    <n v="26"/>
    <x v="12"/>
    <x v="11"/>
    <s v="cashloan"/>
    <n v="3429750000"/>
  </r>
  <r>
    <x v="385"/>
    <x v="1"/>
    <x v="0"/>
    <n v="4"/>
    <n v="26"/>
    <x v="2"/>
    <x v="2"/>
    <s v="cashloan"/>
    <n v="4535060000"/>
  </r>
  <r>
    <x v="385"/>
    <x v="1"/>
    <x v="0"/>
    <n v="4"/>
    <n v="26"/>
    <x v="14"/>
    <x v="13"/>
    <s v="cashloan"/>
    <n v="469970000"/>
  </r>
  <r>
    <x v="385"/>
    <x v="1"/>
    <x v="0"/>
    <n v="4"/>
    <n v="26"/>
    <x v="8"/>
    <x v="8"/>
    <s v="cashloan"/>
    <n v="0"/>
  </r>
  <r>
    <x v="386"/>
    <x v="1"/>
    <x v="0"/>
    <n v="5"/>
    <n v="27"/>
    <x v="1"/>
    <x v="1"/>
    <s v="cashloan"/>
    <n v="34650000"/>
  </r>
  <r>
    <x v="386"/>
    <x v="1"/>
    <x v="0"/>
    <n v="5"/>
    <n v="27"/>
    <x v="0"/>
    <x v="0"/>
    <s v="payday"/>
    <n v="4243500000"/>
  </r>
  <r>
    <x v="386"/>
    <x v="1"/>
    <x v="0"/>
    <n v="5"/>
    <n v="27"/>
    <x v="7"/>
    <x v="7"/>
    <s v="paylater"/>
    <n v="256374548"/>
  </r>
  <r>
    <x v="386"/>
    <x v="1"/>
    <x v="0"/>
    <n v="5"/>
    <n v="27"/>
    <x v="6"/>
    <x v="6"/>
    <s v="payday"/>
    <n v="31000000"/>
  </r>
  <r>
    <x v="386"/>
    <x v="1"/>
    <x v="0"/>
    <n v="5"/>
    <n v="27"/>
    <x v="19"/>
    <x v="12"/>
    <s v="paylater"/>
    <n v="189767602"/>
  </r>
  <r>
    <x v="386"/>
    <x v="1"/>
    <x v="0"/>
    <n v="5"/>
    <n v="27"/>
    <x v="18"/>
    <x v="15"/>
    <s v="cashloan"/>
    <n v="249300000"/>
  </r>
  <r>
    <x v="386"/>
    <x v="1"/>
    <x v="0"/>
    <n v="5"/>
    <n v="27"/>
    <x v="11"/>
    <x v="10"/>
    <s v="paylater"/>
    <n v="107467316"/>
  </r>
  <r>
    <x v="386"/>
    <x v="1"/>
    <x v="0"/>
    <n v="5"/>
    <n v="27"/>
    <x v="2"/>
    <x v="2"/>
    <s v="cashloan"/>
    <n v="3492310000"/>
  </r>
  <r>
    <x v="386"/>
    <x v="1"/>
    <x v="0"/>
    <n v="5"/>
    <n v="27"/>
    <x v="21"/>
    <x v="9"/>
    <s v="cashloan"/>
    <n v="0"/>
  </r>
  <r>
    <x v="386"/>
    <x v="1"/>
    <x v="0"/>
    <n v="5"/>
    <n v="27"/>
    <x v="17"/>
    <x v="9"/>
    <s v="cashloan"/>
    <n v="0"/>
  </r>
  <r>
    <x v="386"/>
    <x v="1"/>
    <x v="0"/>
    <n v="5"/>
    <n v="27"/>
    <x v="12"/>
    <x v="11"/>
    <s v="cashloan"/>
    <n v="2800420000"/>
  </r>
  <r>
    <x v="386"/>
    <x v="1"/>
    <x v="0"/>
    <n v="5"/>
    <n v="27"/>
    <x v="20"/>
    <x v="9"/>
    <s v="cashloan"/>
    <n v="0"/>
  </r>
  <r>
    <x v="386"/>
    <x v="1"/>
    <x v="0"/>
    <n v="5"/>
    <n v="27"/>
    <x v="8"/>
    <x v="8"/>
    <s v="cashloan"/>
    <n v="0"/>
  </r>
  <r>
    <x v="386"/>
    <x v="1"/>
    <x v="0"/>
    <n v="5"/>
    <n v="27"/>
    <x v="5"/>
    <x v="5"/>
    <s v="overdraft"/>
    <n v="2770320764"/>
  </r>
  <r>
    <x v="386"/>
    <x v="1"/>
    <x v="0"/>
    <n v="5"/>
    <n v="27"/>
    <x v="14"/>
    <x v="13"/>
    <s v="cashloan"/>
    <n v="256940000"/>
  </r>
  <r>
    <x v="386"/>
    <x v="1"/>
    <x v="0"/>
    <n v="5"/>
    <n v="27"/>
    <x v="15"/>
    <x v="14"/>
    <s v="paylater"/>
    <n v="8011063"/>
  </r>
  <r>
    <x v="386"/>
    <x v="1"/>
    <x v="0"/>
    <n v="5"/>
    <n v="27"/>
    <x v="23"/>
    <x v="17"/>
    <s v="paylater"/>
    <n v="0"/>
  </r>
  <r>
    <x v="386"/>
    <x v="1"/>
    <x v="0"/>
    <n v="5"/>
    <n v="27"/>
    <x v="3"/>
    <x v="3"/>
    <s v="cashloan"/>
    <n v="0"/>
  </r>
  <r>
    <x v="386"/>
    <x v="1"/>
    <x v="0"/>
    <n v="5"/>
    <n v="27"/>
    <x v="22"/>
    <x v="16"/>
    <s v="cashloan"/>
    <n v="0"/>
  </r>
  <r>
    <x v="387"/>
    <x v="1"/>
    <x v="0"/>
    <n v="5"/>
    <n v="28"/>
    <x v="19"/>
    <x v="12"/>
    <s v="paylater"/>
    <n v="196795308"/>
  </r>
  <r>
    <x v="387"/>
    <x v="1"/>
    <x v="0"/>
    <n v="5"/>
    <n v="28"/>
    <x v="21"/>
    <x v="9"/>
    <s v="cashloan"/>
    <n v="0"/>
  </r>
  <r>
    <x v="387"/>
    <x v="1"/>
    <x v="0"/>
    <n v="5"/>
    <n v="28"/>
    <x v="1"/>
    <x v="1"/>
    <s v="cashloan"/>
    <n v="0"/>
  </r>
  <r>
    <x v="387"/>
    <x v="1"/>
    <x v="0"/>
    <n v="5"/>
    <n v="28"/>
    <x v="20"/>
    <x v="9"/>
    <s v="cashloan"/>
    <n v="0"/>
  </r>
  <r>
    <x v="387"/>
    <x v="1"/>
    <x v="0"/>
    <n v="5"/>
    <n v="28"/>
    <x v="22"/>
    <x v="16"/>
    <s v="cashloan"/>
    <n v="0"/>
  </r>
  <r>
    <x v="387"/>
    <x v="1"/>
    <x v="0"/>
    <n v="5"/>
    <n v="28"/>
    <x v="12"/>
    <x v="11"/>
    <s v="cashloan"/>
    <n v="2445470000"/>
  </r>
  <r>
    <x v="387"/>
    <x v="1"/>
    <x v="0"/>
    <n v="5"/>
    <n v="28"/>
    <x v="11"/>
    <x v="10"/>
    <s v="paylater"/>
    <n v="78614806"/>
  </r>
  <r>
    <x v="387"/>
    <x v="1"/>
    <x v="0"/>
    <n v="5"/>
    <n v="28"/>
    <x v="3"/>
    <x v="3"/>
    <s v="cashloan"/>
    <n v="0"/>
  </r>
  <r>
    <x v="387"/>
    <x v="1"/>
    <x v="0"/>
    <n v="5"/>
    <n v="28"/>
    <x v="5"/>
    <x v="5"/>
    <s v="overdraft"/>
    <n v="2914163430"/>
  </r>
  <r>
    <x v="387"/>
    <x v="1"/>
    <x v="0"/>
    <n v="5"/>
    <n v="28"/>
    <x v="17"/>
    <x v="9"/>
    <s v="cashloan"/>
    <n v="0"/>
  </r>
  <r>
    <x v="387"/>
    <x v="1"/>
    <x v="0"/>
    <n v="5"/>
    <n v="28"/>
    <x v="23"/>
    <x v="17"/>
    <s v="paylater"/>
    <n v="0"/>
  </r>
  <r>
    <x v="387"/>
    <x v="1"/>
    <x v="0"/>
    <n v="5"/>
    <n v="28"/>
    <x v="15"/>
    <x v="14"/>
    <s v="paylater"/>
    <n v="4756400"/>
  </r>
  <r>
    <x v="387"/>
    <x v="1"/>
    <x v="0"/>
    <n v="5"/>
    <n v="28"/>
    <x v="14"/>
    <x v="13"/>
    <s v="cashloan"/>
    <n v="42260000"/>
  </r>
  <r>
    <x v="387"/>
    <x v="1"/>
    <x v="0"/>
    <n v="5"/>
    <n v="28"/>
    <x v="8"/>
    <x v="8"/>
    <s v="cashloan"/>
    <n v="0"/>
  </r>
  <r>
    <x v="387"/>
    <x v="1"/>
    <x v="0"/>
    <n v="5"/>
    <n v="28"/>
    <x v="6"/>
    <x v="6"/>
    <s v="payday"/>
    <n v="14000000"/>
  </r>
  <r>
    <x v="387"/>
    <x v="1"/>
    <x v="0"/>
    <n v="5"/>
    <n v="28"/>
    <x v="0"/>
    <x v="0"/>
    <s v="payday"/>
    <n v="3945500000"/>
  </r>
  <r>
    <x v="387"/>
    <x v="1"/>
    <x v="0"/>
    <n v="5"/>
    <n v="28"/>
    <x v="2"/>
    <x v="2"/>
    <s v="cashloan"/>
    <n v="3088760000"/>
  </r>
  <r>
    <x v="387"/>
    <x v="1"/>
    <x v="0"/>
    <n v="5"/>
    <n v="28"/>
    <x v="18"/>
    <x v="15"/>
    <s v="cashloan"/>
    <n v="128930000"/>
  </r>
  <r>
    <x v="387"/>
    <x v="1"/>
    <x v="0"/>
    <n v="5"/>
    <n v="28"/>
    <x v="7"/>
    <x v="7"/>
    <s v="paylater"/>
    <n v="251951624"/>
  </r>
  <r>
    <x v="388"/>
    <x v="1"/>
    <x v="0"/>
    <n v="5"/>
    <n v="29"/>
    <x v="20"/>
    <x v="9"/>
    <s v="cashloan"/>
    <n v="0"/>
  </r>
  <r>
    <x v="388"/>
    <x v="1"/>
    <x v="0"/>
    <n v="5"/>
    <n v="29"/>
    <x v="21"/>
    <x v="9"/>
    <s v="cashloan"/>
    <n v="0"/>
  </r>
  <r>
    <x v="388"/>
    <x v="1"/>
    <x v="0"/>
    <n v="5"/>
    <n v="29"/>
    <x v="18"/>
    <x v="15"/>
    <s v="cashloan"/>
    <n v="95950000"/>
  </r>
  <r>
    <x v="388"/>
    <x v="1"/>
    <x v="0"/>
    <n v="5"/>
    <n v="29"/>
    <x v="17"/>
    <x v="9"/>
    <s v="cashloan"/>
    <n v="0"/>
  </r>
  <r>
    <x v="388"/>
    <x v="1"/>
    <x v="0"/>
    <n v="5"/>
    <n v="29"/>
    <x v="11"/>
    <x v="10"/>
    <s v="paylater"/>
    <n v="64522486"/>
  </r>
  <r>
    <x v="388"/>
    <x v="1"/>
    <x v="0"/>
    <n v="5"/>
    <n v="29"/>
    <x v="19"/>
    <x v="12"/>
    <s v="paylater"/>
    <n v="61702390"/>
  </r>
  <r>
    <x v="388"/>
    <x v="1"/>
    <x v="0"/>
    <n v="5"/>
    <n v="29"/>
    <x v="14"/>
    <x v="13"/>
    <s v="cashloan"/>
    <n v="0"/>
  </r>
  <r>
    <x v="388"/>
    <x v="1"/>
    <x v="0"/>
    <n v="5"/>
    <n v="29"/>
    <x v="7"/>
    <x v="7"/>
    <s v="paylater"/>
    <n v="164858497"/>
  </r>
  <r>
    <x v="388"/>
    <x v="1"/>
    <x v="0"/>
    <n v="5"/>
    <n v="29"/>
    <x v="3"/>
    <x v="3"/>
    <s v="cashloan"/>
    <n v="0"/>
  </r>
  <r>
    <x v="388"/>
    <x v="1"/>
    <x v="0"/>
    <n v="5"/>
    <n v="29"/>
    <x v="12"/>
    <x v="11"/>
    <s v="cashloan"/>
    <n v="1132670000"/>
  </r>
  <r>
    <x v="388"/>
    <x v="1"/>
    <x v="0"/>
    <n v="5"/>
    <n v="29"/>
    <x v="1"/>
    <x v="1"/>
    <s v="cashloan"/>
    <n v="18900000"/>
  </r>
  <r>
    <x v="388"/>
    <x v="1"/>
    <x v="0"/>
    <n v="5"/>
    <n v="29"/>
    <x v="23"/>
    <x v="17"/>
    <s v="paylater"/>
    <n v="0"/>
  </r>
  <r>
    <x v="388"/>
    <x v="1"/>
    <x v="0"/>
    <n v="5"/>
    <n v="29"/>
    <x v="15"/>
    <x v="14"/>
    <s v="paylater"/>
    <n v="1499631"/>
  </r>
  <r>
    <x v="388"/>
    <x v="1"/>
    <x v="0"/>
    <n v="5"/>
    <n v="29"/>
    <x v="5"/>
    <x v="5"/>
    <s v="overdraft"/>
    <n v="1431003032"/>
  </r>
  <r>
    <x v="388"/>
    <x v="1"/>
    <x v="0"/>
    <n v="5"/>
    <n v="29"/>
    <x v="8"/>
    <x v="8"/>
    <s v="cashloan"/>
    <n v="0"/>
  </r>
  <r>
    <x v="388"/>
    <x v="1"/>
    <x v="0"/>
    <n v="5"/>
    <n v="29"/>
    <x v="22"/>
    <x v="16"/>
    <s v="cashloan"/>
    <n v="0"/>
  </r>
  <r>
    <x v="388"/>
    <x v="1"/>
    <x v="0"/>
    <n v="5"/>
    <n v="29"/>
    <x v="6"/>
    <x v="6"/>
    <s v="payday"/>
    <n v="19000000"/>
  </r>
  <r>
    <x v="388"/>
    <x v="1"/>
    <x v="0"/>
    <n v="5"/>
    <n v="29"/>
    <x v="2"/>
    <x v="2"/>
    <s v="cashloan"/>
    <n v="1172770000"/>
  </r>
  <r>
    <x v="388"/>
    <x v="1"/>
    <x v="0"/>
    <n v="5"/>
    <n v="29"/>
    <x v="0"/>
    <x v="0"/>
    <s v="payday"/>
    <n v="1601000000"/>
  </r>
  <r>
    <x v="389"/>
    <x v="1"/>
    <x v="0"/>
    <n v="5"/>
    <n v="30"/>
    <x v="2"/>
    <x v="2"/>
    <s v="cashloan"/>
    <n v="1604570000"/>
  </r>
  <r>
    <x v="389"/>
    <x v="1"/>
    <x v="0"/>
    <n v="5"/>
    <n v="30"/>
    <x v="22"/>
    <x v="16"/>
    <s v="cashloan"/>
    <n v="0"/>
  </r>
  <r>
    <x v="389"/>
    <x v="1"/>
    <x v="0"/>
    <n v="5"/>
    <n v="30"/>
    <x v="23"/>
    <x v="17"/>
    <s v="paylater"/>
    <n v="0"/>
  </r>
  <r>
    <x v="389"/>
    <x v="1"/>
    <x v="0"/>
    <n v="5"/>
    <n v="30"/>
    <x v="21"/>
    <x v="9"/>
    <s v="cashloan"/>
    <n v="0"/>
  </r>
  <r>
    <x v="389"/>
    <x v="1"/>
    <x v="0"/>
    <n v="5"/>
    <n v="30"/>
    <x v="20"/>
    <x v="9"/>
    <s v="cashloan"/>
    <n v="0"/>
  </r>
  <r>
    <x v="389"/>
    <x v="1"/>
    <x v="0"/>
    <n v="5"/>
    <n v="30"/>
    <x v="11"/>
    <x v="10"/>
    <s v="paylater"/>
    <n v="79112347"/>
  </r>
  <r>
    <x v="389"/>
    <x v="1"/>
    <x v="0"/>
    <n v="5"/>
    <n v="30"/>
    <x v="3"/>
    <x v="3"/>
    <s v="cashloan"/>
    <n v="0"/>
  </r>
  <r>
    <x v="389"/>
    <x v="1"/>
    <x v="0"/>
    <n v="5"/>
    <n v="30"/>
    <x v="19"/>
    <x v="12"/>
    <s v="paylater"/>
    <n v="69378810"/>
  </r>
  <r>
    <x v="389"/>
    <x v="1"/>
    <x v="0"/>
    <n v="5"/>
    <n v="30"/>
    <x v="7"/>
    <x v="7"/>
    <s v="paylater"/>
    <n v="161744292"/>
  </r>
  <r>
    <x v="389"/>
    <x v="1"/>
    <x v="0"/>
    <n v="5"/>
    <n v="30"/>
    <x v="18"/>
    <x v="15"/>
    <s v="cashloan"/>
    <n v="138750000"/>
  </r>
  <r>
    <x v="389"/>
    <x v="1"/>
    <x v="0"/>
    <n v="5"/>
    <n v="30"/>
    <x v="14"/>
    <x v="13"/>
    <s v="cashloan"/>
    <n v="0"/>
  </r>
  <r>
    <x v="389"/>
    <x v="1"/>
    <x v="0"/>
    <n v="5"/>
    <n v="30"/>
    <x v="15"/>
    <x v="14"/>
    <s v="paylater"/>
    <n v="0"/>
  </r>
  <r>
    <x v="389"/>
    <x v="1"/>
    <x v="0"/>
    <n v="5"/>
    <n v="30"/>
    <x v="8"/>
    <x v="8"/>
    <s v="cashloan"/>
    <n v="0"/>
  </r>
  <r>
    <x v="389"/>
    <x v="1"/>
    <x v="0"/>
    <n v="5"/>
    <n v="30"/>
    <x v="5"/>
    <x v="5"/>
    <s v="overdraft"/>
    <n v="1609920188"/>
  </r>
  <r>
    <x v="389"/>
    <x v="1"/>
    <x v="0"/>
    <n v="5"/>
    <n v="30"/>
    <x v="0"/>
    <x v="0"/>
    <s v="payday"/>
    <n v="2024500000"/>
  </r>
  <r>
    <x v="389"/>
    <x v="1"/>
    <x v="0"/>
    <n v="5"/>
    <n v="30"/>
    <x v="6"/>
    <x v="6"/>
    <s v="payday"/>
    <n v="9000000"/>
  </r>
  <r>
    <x v="389"/>
    <x v="1"/>
    <x v="0"/>
    <n v="5"/>
    <n v="30"/>
    <x v="1"/>
    <x v="1"/>
    <s v="cashloan"/>
    <n v="10500000"/>
  </r>
  <r>
    <x v="389"/>
    <x v="1"/>
    <x v="0"/>
    <n v="5"/>
    <n v="30"/>
    <x v="12"/>
    <x v="11"/>
    <s v="cashloan"/>
    <n v="1200060000"/>
  </r>
  <r>
    <x v="389"/>
    <x v="1"/>
    <x v="0"/>
    <n v="5"/>
    <n v="30"/>
    <x v="17"/>
    <x v="9"/>
    <s v="cashloan"/>
    <n v="0"/>
  </r>
  <r>
    <x v="390"/>
    <x v="1"/>
    <x v="0"/>
    <n v="5"/>
    <n v="31"/>
    <x v="20"/>
    <x v="9"/>
    <s v="cashloan"/>
    <n v="0"/>
  </r>
  <r>
    <x v="390"/>
    <x v="1"/>
    <x v="0"/>
    <n v="5"/>
    <n v="31"/>
    <x v="21"/>
    <x v="9"/>
    <s v="cashloan"/>
    <n v="0"/>
  </r>
  <r>
    <x v="390"/>
    <x v="1"/>
    <x v="0"/>
    <n v="5"/>
    <n v="31"/>
    <x v="0"/>
    <x v="0"/>
    <s v="payday"/>
    <n v="1980000000"/>
  </r>
  <r>
    <x v="390"/>
    <x v="1"/>
    <x v="0"/>
    <n v="5"/>
    <n v="31"/>
    <x v="12"/>
    <x v="11"/>
    <s v="cashloan"/>
    <n v="1679730000"/>
  </r>
  <r>
    <x v="390"/>
    <x v="1"/>
    <x v="0"/>
    <n v="5"/>
    <n v="31"/>
    <x v="17"/>
    <x v="9"/>
    <s v="cashloan"/>
    <n v="0"/>
  </r>
  <r>
    <x v="390"/>
    <x v="1"/>
    <x v="0"/>
    <n v="5"/>
    <n v="31"/>
    <x v="22"/>
    <x v="16"/>
    <s v="cashloan"/>
    <n v="0"/>
  </r>
  <r>
    <x v="390"/>
    <x v="1"/>
    <x v="0"/>
    <n v="5"/>
    <n v="31"/>
    <x v="23"/>
    <x v="17"/>
    <s v="paylater"/>
    <n v="0"/>
  </r>
  <r>
    <x v="390"/>
    <x v="1"/>
    <x v="0"/>
    <n v="5"/>
    <n v="31"/>
    <x v="11"/>
    <x v="10"/>
    <s v="paylater"/>
    <n v="60558152"/>
  </r>
  <r>
    <x v="390"/>
    <x v="1"/>
    <x v="0"/>
    <n v="5"/>
    <n v="31"/>
    <x v="18"/>
    <x v="15"/>
    <s v="cashloan"/>
    <n v="86990000"/>
  </r>
  <r>
    <x v="390"/>
    <x v="1"/>
    <x v="0"/>
    <n v="5"/>
    <n v="31"/>
    <x v="3"/>
    <x v="3"/>
    <s v="cashloan"/>
    <n v="0"/>
  </r>
  <r>
    <x v="390"/>
    <x v="1"/>
    <x v="0"/>
    <n v="5"/>
    <n v="31"/>
    <x v="19"/>
    <x v="12"/>
    <s v="paylater"/>
    <n v="73376724"/>
  </r>
  <r>
    <x v="390"/>
    <x v="1"/>
    <x v="0"/>
    <n v="5"/>
    <n v="31"/>
    <x v="7"/>
    <x v="7"/>
    <s v="paylater"/>
    <n v="138903034"/>
  </r>
  <r>
    <x v="390"/>
    <x v="1"/>
    <x v="0"/>
    <n v="5"/>
    <n v="31"/>
    <x v="14"/>
    <x v="13"/>
    <s v="cashloan"/>
    <n v="0"/>
  </r>
  <r>
    <x v="390"/>
    <x v="1"/>
    <x v="0"/>
    <n v="5"/>
    <n v="31"/>
    <x v="15"/>
    <x v="14"/>
    <s v="paylater"/>
    <n v="4331550"/>
  </r>
  <r>
    <x v="390"/>
    <x v="1"/>
    <x v="0"/>
    <n v="5"/>
    <n v="31"/>
    <x v="8"/>
    <x v="8"/>
    <s v="cashloan"/>
    <n v="0"/>
  </r>
  <r>
    <x v="390"/>
    <x v="1"/>
    <x v="0"/>
    <n v="5"/>
    <n v="31"/>
    <x v="1"/>
    <x v="1"/>
    <s v="cashloan"/>
    <n v="0"/>
  </r>
  <r>
    <x v="390"/>
    <x v="1"/>
    <x v="0"/>
    <n v="5"/>
    <n v="31"/>
    <x v="6"/>
    <x v="6"/>
    <s v="payday"/>
    <n v="9000000"/>
  </r>
  <r>
    <x v="390"/>
    <x v="1"/>
    <x v="0"/>
    <n v="5"/>
    <n v="31"/>
    <x v="5"/>
    <x v="5"/>
    <s v="overdraft"/>
    <n v="1713347211"/>
  </r>
  <r>
    <x v="390"/>
    <x v="1"/>
    <x v="0"/>
    <n v="5"/>
    <n v="31"/>
    <x v="2"/>
    <x v="2"/>
    <s v="cashloan"/>
    <n v="1267520000"/>
  </r>
  <r>
    <x v="391"/>
    <x v="1"/>
    <x v="1"/>
    <n v="5"/>
    <n v="1"/>
    <x v="18"/>
    <x v="15"/>
    <s v="cashloan"/>
    <n v="68060000"/>
  </r>
  <r>
    <x v="391"/>
    <x v="1"/>
    <x v="1"/>
    <n v="5"/>
    <n v="1"/>
    <x v="0"/>
    <x v="0"/>
    <s v="payday"/>
    <n v="2619000000"/>
  </r>
  <r>
    <x v="391"/>
    <x v="1"/>
    <x v="1"/>
    <n v="5"/>
    <n v="1"/>
    <x v="7"/>
    <x v="7"/>
    <s v="paylater"/>
    <n v="264713604"/>
  </r>
  <r>
    <x v="391"/>
    <x v="1"/>
    <x v="1"/>
    <n v="5"/>
    <n v="1"/>
    <x v="5"/>
    <x v="5"/>
    <s v="overdraft"/>
    <n v="3161952064"/>
  </r>
  <r>
    <x v="391"/>
    <x v="1"/>
    <x v="1"/>
    <n v="5"/>
    <n v="1"/>
    <x v="14"/>
    <x v="13"/>
    <s v="cashloan"/>
    <n v="42800000"/>
  </r>
  <r>
    <x v="391"/>
    <x v="1"/>
    <x v="1"/>
    <n v="5"/>
    <n v="1"/>
    <x v="17"/>
    <x v="9"/>
    <s v="cashloan"/>
    <n v="0"/>
  </r>
  <r>
    <x v="391"/>
    <x v="1"/>
    <x v="1"/>
    <n v="5"/>
    <n v="1"/>
    <x v="19"/>
    <x v="12"/>
    <s v="paylater"/>
    <n v="229564547"/>
  </r>
  <r>
    <x v="391"/>
    <x v="1"/>
    <x v="1"/>
    <n v="5"/>
    <n v="1"/>
    <x v="1"/>
    <x v="1"/>
    <s v="cashloan"/>
    <n v="21000000"/>
  </r>
  <r>
    <x v="391"/>
    <x v="1"/>
    <x v="1"/>
    <n v="5"/>
    <n v="1"/>
    <x v="3"/>
    <x v="3"/>
    <s v="cashloan"/>
    <n v="0"/>
  </r>
  <r>
    <x v="391"/>
    <x v="1"/>
    <x v="1"/>
    <n v="5"/>
    <n v="1"/>
    <x v="6"/>
    <x v="6"/>
    <s v="payday"/>
    <n v="8000000"/>
  </r>
  <r>
    <x v="391"/>
    <x v="1"/>
    <x v="1"/>
    <n v="5"/>
    <n v="1"/>
    <x v="2"/>
    <x v="2"/>
    <s v="cashloan"/>
    <n v="2003110000"/>
  </r>
  <r>
    <x v="391"/>
    <x v="1"/>
    <x v="1"/>
    <n v="5"/>
    <n v="1"/>
    <x v="8"/>
    <x v="8"/>
    <s v="cashloan"/>
    <n v="0"/>
  </r>
  <r>
    <x v="391"/>
    <x v="1"/>
    <x v="1"/>
    <n v="5"/>
    <n v="1"/>
    <x v="21"/>
    <x v="9"/>
    <s v="cashloan"/>
    <n v="0"/>
  </r>
  <r>
    <x v="391"/>
    <x v="1"/>
    <x v="1"/>
    <n v="5"/>
    <n v="1"/>
    <x v="15"/>
    <x v="14"/>
    <s v="paylater"/>
    <n v="12257350"/>
  </r>
  <r>
    <x v="391"/>
    <x v="1"/>
    <x v="1"/>
    <n v="5"/>
    <n v="1"/>
    <x v="20"/>
    <x v="9"/>
    <s v="cashloan"/>
    <n v="0"/>
  </r>
  <r>
    <x v="391"/>
    <x v="1"/>
    <x v="1"/>
    <n v="5"/>
    <n v="1"/>
    <x v="12"/>
    <x v="11"/>
    <s v="cashloan"/>
    <n v="1895040000"/>
  </r>
  <r>
    <x v="391"/>
    <x v="1"/>
    <x v="1"/>
    <n v="5"/>
    <n v="1"/>
    <x v="23"/>
    <x v="17"/>
    <s v="paylater"/>
    <n v="0"/>
  </r>
  <r>
    <x v="391"/>
    <x v="1"/>
    <x v="1"/>
    <n v="5"/>
    <n v="1"/>
    <x v="22"/>
    <x v="16"/>
    <s v="cashloan"/>
    <n v="0"/>
  </r>
  <r>
    <x v="391"/>
    <x v="1"/>
    <x v="1"/>
    <n v="5"/>
    <n v="1"/>
    <x v="11"/>
    <x v="10"/>
    <s v="paylater"/>
    <n v="127492596"/>
  </r>
  <r>
    <x v="392"/>
    <x v="1"/>
    <x v="1"/>
    <n v="5"/>
    <n v="2"/>
    <x v="23"/>
    <x v="17"/>
    <s v="paylater"/>
    <n v="0"/>
  </r>
  <r>
    <x v="392"/>
    <x v="1"/>
    <x v="1"/>
    <n v="5"/>
    <n v="2"/>
    <x v="18"/>
    <x v="15"/>
    <s v="cashloan"/>
    <n v="138250000"/>
  </r>
  <r>
    <x v="392"/>
    <x v="1"/>
    <x v="1"/>
    <n v="5"/>
    <n v="2"/>
    <x v="20"/>
    <x v="9"/>
    <s v="cashloan"/>
    <n v="0"/>
  </r>
  <r>
    <x v="392"/>
    <x v="1"/>
    <x v="1"/>
    <n v="5"/>
    <n v="2"/>
    <x v="7"/>
    <x v="7"/>
    <s v="paylater"/>
    <n v="337600553"/>
  </r>
  <r>
    <x v="392"/>
    <x v="1"/>
    <x v="1"/>
    <n v="5"/>
    <n v="2"/>
    <x v="14"/>
    <x v="13"/>
    <s v="cashloan"/>
    <n v="110580000"/>
  </r>
  <r>
    <x v="392"/>
    <x v="1"/>
    <x v="1"/>
    <n v="5"/>
    <n v="2"/>
    <x v="8"/>
    <x v="8"/>
    <s v="cashloan"/>
    <n v="0"/>
  </r>
  <r>
    <x v="392"/>
    <x v="1"/>
    <x v="1"/>
    <n v="5"/>
    <n v="2"/>
    <x v="15"/>
    <x v="14"/>
    <s v="paylater"/>
    <n v="21938742"/>
  </r>
  <r>
    <x v="392"/>
    <x v="1"/>
    <x v="1"/>
    <n v="5"/>
    <n v="2"/>
    <x v="11"/>
    <x v="10"/>
    <s v="paylater"/>
    <n v="159383809"/>
  </r>
  <r>
    <x v="392"/>
    <x v="1"/>
    <x v="1"/>
    <n v="5"/>
    <n v="2"/>
    <x v="17"/>
    <x v="9"/>
    <s v="cashloan"/>
    <n v="0"/>
  </r>
  <r>
    <x v="392"/>
    <x v="1"/>
    <x v="1"/>
    <n v="5"/>
    <n v="2"/>
    <x v="5"/>
    <x v="5"/>
    <s v="overdraft"/>
    <n v="3222000927"/>
  </r>
  <r>
    <x v="392"/>
    <x v="1"/>
    <x v="1"/>
    <n v="5"/>
    <n v="2"/>
    <x v="6"/>
    <x v="6"/>
    <s v="payday"/>
    <n v="27000000"/>
  </r>
  <r>
    <x v="392"/>
    <x v="1"/>
    <x v="1"/>
    <n v="5"/>
    <n v="2"/>
    <x v="21"/>
    <x v="9"/>
    <s v="cashloan"/>
    <n v="0"/>
  </r>
  <r>
    <x v="392"/>
    <x v="1"/>
    <x v="1"/>
    <n v="5"/>
    <n v="2"/>
    <x v="0"/>
    <x v="0"/>
    <s v="payday"/>
    <n v="2895500000"/>
  </r>
  <r>
    <x v="392"/>
    <x v="1"/>
    <x v="1"/>
    <n v="5"/>
    <n v="2"/>
    <x v="12"/>
    <x v="11"/>
    <s v="cashloan"/>
    <n v="2323120000"/>
  </r>
  <r>
    <x v="392"/>
    <x v="1"/>
    <x v="1"/>
    <n v="5"/>
    <n v="2"/>
    <x v="19"/>
    <x v="12"/>
    <s v="paylater"/>
    <n v="360990264"/>
  </r>
  <r>
    <x v="392"/>
    <x v="1"/>
    <x v="1"/>
    <n v="5"/>
    <n v="2"/>
    <x v="2"/>
    <x v="2"/>
    <s v="cashloan"/>
    <n v="1947770000"/>
  </r>
  <r>
    <x v="392"/>
    <x v="1"/>
    <x v="1"/>
    <n v="5"/>
    <n v="2"/>
    <x v="1"/>
    <x v="1"/>
    <s v="cashloan"/>
    <n v="62500000"/>
  </r>
  <r>
    <x v="392"/>
    <x v="1"/>
    <x v="1"/>
    <n v="5"/>
    <n v="2"/>
    <x v="3"/>
    <x v="3"/>
    <s v="cashloan"/>
    <n v="0"/>
  </r>
  <r>
    <x v="392"/>
    <x v="1"/>
    <x v="1"/>
    <n v="5"/>
    <n v="2"/>
    <x v="22"/>
    <x v="16"/>
    <s v="cashloan"/>
    <n v="0"/>
  </r>
  <r>
    <x v="393"/>
    <x v="1"/>
    <x v="1"/>
    <n v="6"/>
    <n v="3"/>
    <x v="21"/>
    <x v="9"/>
    <s v="cashloan"/>
    <n v="0"/>
  </r>
  <r>
    <x v="393"/>
    <x v="1"/>
    <x v="1"/>
    <n v="6"/>
    <n v="3"/>
    <x v="11"/>
    <x v="10"/>
    <s v="paylater"/>
    <n v="222481603"/>
  </r>
  <r>
    <x v="393"/>
    <x v="1"/>
    <x v="1"/>
    <n v="6"/>
    <n v="3"/>
    <x v="7"/>
    <x v="7"/>
    <s v="paylater"/>
    <n v="502000423"/>
  </r>
  <r>
    <x v="393"/>
    <x v="1"/>
    <x v="1"/>
    <n v="6"/>
    <n v="3"/>
    <x v="19"/>
    <x v="12"/>
    <s v="paylater"/>
    <n v="575826453"/>
  </r>
  <r>
    <x v="393"/>
    <x v="1"/>
    <x v="1"/>
    <n v="6"/>
    <n v="3"/>
    <x v="20"/>
    <x v="9"/>
    <s v="cashloan"/>
    <n v="0"/>
  </r>
  <r>
    <x v="393"/>
    <x v="1"/>
    <x v="1"/>
    <n v="6"/>
    <n v="3"/>
    <x v="0"/>
    <x v="0"/>
    <s v="payday"/>
    <n v="4135500000"/>
  </r>
  <r>
    <x v="393"/>
    <x v="1"/>
    <x v="1"/>
    <n v="6"/>
    <n v="3"/>
    <x v="18"/>
    <x v="15"/>
    <s v="cashloan"/>
    <n v="278450000"/>
  </r>
  <r>
    <x v="393"/>
    <x v="1"/>
    <x v="1"/>
    <n v="6"/>
    <n v="3"/>
    <x v="17"/>
    <x v="9"/>
    <s v="cashloan"/>
    <n v="0"/>
  </r>
  <r>
    <x v="393"/>
    <x v="1"/>
    <x v="1"/>
    <n v="6"/>
    <n v="3"/>
    <x v="6"/>
    <x v="6"/>
    <s v="payday"/>
    <n v="48000000"/>
  </r>
  <r>
    <x v="393"/>
    <x v="1"/>
    <x v="1"/>
    <n v="6"/>
    <n v="3"/>
    <x v="3"/>
    <x v="3"/>
    <s v="cashloan"/>
    <n v="0"/>
  </r>
  <r>
    <x v="393"/>
    <x v="1"/>
    <x v="1"/>
    <n v="6"/>
    <n v="3"/>
    <x v="2"/>
    <x v="2"/>
    <s v="cashloan"/>
    <n v="3938620000"/>
  </r>
  <r>
    <x v="393"/>
    <x v="1"/>
    <x v="1"/>
    <n v="6"/>
    <n v="3"/>
    <x v="23"/>
    <x v="17"/>
    <s v="paylater"/>
    <n v="0"/>
  </r>
  <r>
    <x v="393"/>
    <x v="1"/>
    <x v="1"/>
    <n v="6"/>
    <n v="3"/>
    <x v="15"/>
    <x v="14"/>
    <s v="paylater"/>
    <n v="58576116"/>
  </r>
  <r>
    <x v="393"/>
    <x v="1"/>
    <x v="1"/>
    <n v="6"/>
    <n v="3"/>
    <x v="12"/>
    <x v="11"/>
    <s v="cashloan"/>
    <n v="3255490000"/>
  </r>
  <r>
    <x v="393"/>
    <x v="1"/>
    <x v="1"/>
    <n v="6"/>
    <n v="3"/>
    <x v="14"/>
    <x v="13"/>
    <s v="cashloan"/>
    <n v="161920000"/>
  </r>
  <r>
    <x v="393"/>
    <x v="1"/>
    <x v="1"/>
    <n v="6"/>
    <n v="3"/>
    <x v="5"/>
    <x v="5"/>
    <s v="overdraft"/>
    <n v="4474063231"/>
  </r>
  <r>
    <x v="393"/>
    <x v="1"/>
    <x v="1"/>
    <n v="6"/>
    <n v="3"/>
    <x v="8"/>
    <x v="8"/>
    <s v="cashloan"/>
    <n v="0"/>
  </r>
  <r>
    <x v="393"/>
    <x v="1"/>
    <x v="1"/>
    <n v="6"/>
    <n v="3"/>
    <x v="1"/>
    <x v="1"/>
    <s v="cashloan"/>
    <n v="20000000"/>
  </r>
  <r>
    <x v="393"/>
    <x v="1"/>
    <x v="1"/>
    <n v="6"/>
    <n v="3"/>
    <x v="22"/>
    <x v="16"/>
    <s v="cashloan"/>
    <n v="0"/>
  </r>
  <r>
    <x v="394"/>
    <x v="1"/>
    <x v="1"/>
    <n v="6"/>
    <n v="4"/>
    <x v="8"/>
    <x v="8"/>
    <s v="cashloan"/>
    <n v="0"/>
  </r>
  <r>
    <x v="394"/>
    <x v="1"/>
    <x v="1"/>
    <n v="6"/>
    <n v="4"/>
    <x v="21"/>
    <x v="9"/>
    <s v="cashloan"/>
    <n v="0"/>
  </r>
  <r>
    <x v="394"/>
    <x v="1"/>
    <x v="1"/>
    <n v="6"/>
    <n v="4"/>
    <x v="5"/>
    <x v="5"/>
    <s v="overdraft"/>
    <n v="4337099283"/>
  </r>
  <r>
    <x v="394"/>
    <x v="1"/>
    <x v="1"/>
    <n v="6"/>
    <n v="4"/>
    <x v="22"/>
    <x v="16"/>
    <s v="cashloan"/>
    <n v="0"/>
  </r>
  <r>
    <x v="394"/>
    <x v="1"/>
    <x v="1"/>
    <n v="6"/>
    <n v="4"/>
    <x v="3"/>
    <x v="3"/>
    <s v="cashloan"/>
    <n v="0"/>
  </r>
  <r>
    <x v="394"/>
    <x v="1"/>
    <x v="1"/>
    <n v="6"/>
    <n v="4"/>
    <x v="12"/>
    <x v="11"/>
    <s v="cashloan"/>
    <n v="3815460000"/>
  </r>
  <r>
    <x v="394"/>
    <x v="1"/>
    <x v="1"/>
    <n v="6"/>
    <n v="4"/>
    <x v="14"/>
    <x v="13"/>
    <s v="cashloan"/>
    <n v="166260000"/>
  </r>
  <r>
    <x v="394"/>
    <x v="1"/>
    <x v="1"/>
    <n v="6"/>
    <n v="4"/>
    <x v="11"/>
    <x v="10"/>
    <s v="paylater"/>
    <n v="310307404"/>
  </r>
  <r>
    <x v="394"/>
    <x v="1"/>
    <x v="1"/>
    <n v="6"/>
    <n v="4"/>
    <x v="6"/>
    <x v="6"/>
    <s v="payday"/>
    <n v="24000000"/>
  </r>
  <r>
    <x v="394"/>
    <x v="1"/>
    <x v="1"/>
    <n v="6"/>
    <n v="4"/>
    <x v="2"/>
    <x v="2"/>
    <s v="cashloan"/>
    <n v="3927270000"/>
  </r>
  <r>
    <x v="394"/>
    <x v="1"/>
    <x v="1"/>
    <n v="6"/>
    <n v="4"/>
    <x v="7"/>
    <x v="7"/>
    <s v="paylater"/>
    <n v="695554060"/>
  </r>
  <r>
    <x v="394"/>
    <x v="1"/>
    <x v="1"/>
    <n v="6"/>
    <n v="4"/>
    <x v="15"/>
    <x v="14"/>
    <s v="paylater"/>
    <n v="64919754"/>
  </r>
  <r>
    <x v="394"/>
    <x v="1"/>
    <x v="1"/>
    <n v="6"/>
    <n v="4"/>
    <x v="18"/>
    <x v="15"/>
    <s v="cashloan"/>
    <n v="441420000"/>
  </r>
  <r>
    <x v="394"/>
    <x v="1"/>
    <x v="1"/>
    <n v="6"/>
    <n v="4"/>
    <x v="23"/>
    <x v="17"/>
    <s v="paylater"/>
    <n v="0"/>
  </r>
  <r>
    <x v="394"/>
    <x v="1"/>
    <x v="1"/>
    <n v="6"/>
    <n v="4"/>
    <x v="17"/>
    <x v="9"/>
    <s v="cashloan"/>
    <n v="0"/>
  </r>
  <r>
    <x v="394"/>
    <x v="1"/>
    <x v="1"/>
    <n v="6"/>
    <n v="4"/>
    <x v="0"/>
    <x v="0"/>
    <s v="payday"/>
    <n v="4476000000"/>
  </r>
  <r>
    <x v="394"/>
    <x v="1"/>
    <x v="1"/>
    <n v="6"/>
    <n v="4"/>
    <x v="20"/>
    <x v="9"/>
    <s v="cashloan"/>
    <n v="0"/>
  </r>
  <r>
    <x v="394"/>
    <x v="1"/>
    <x v="1"/>
    <n v="6"/>
    <n v="4"/>
    <x v="19"/>
    <x v="12"/>
    <s v="paylater"/>
    <n v="962935849"/>
  </r>
  <r>
    <x v="394"/>
    <x v="1"/>
    <x v="1"/>
    <n v="6"/>
    <n v="4"/>
    <x v="1"/>
    <x v="1"/>
    <s v="cashloan"/>
    <n v="21000000"/>
  </r>
  <r>
    <x v="395"/>
    <x v="1"/>
    <x v="1"/>
    <n v="6"/>
    <n v="5"/>
    <x v="7"/>
    <x v="7"/>
    <s v="paylater"/>
    <n v="647271054"/>
  </r>
  <r>
    <x v="395"/>
    <x v="1"/>
    <x v="1"/>
    <n v="6"/>
    <n v="5"/>
    <x v="20"/>
    <x v="9"/>
    <s v="cashloan"/>
    <n v="0"/>
  </r>
  <r>
    <x v="395"/>
    <x v="1"/>
    <x v="1"/>
    <n v="6"/>
    <n v="5"/>
    <x v="19"/>
    <x v="12"/>
    <s v="paylater"/>
    <n v="900096121"/>
  </r>
  <r>
    <x v="395"/>
    <x v="1"/>
    <x v="1"/>
    <n v="6"/>
    <n v="5"/>
    <x v="17"/>
    <x v="9"/>
    <s v="cashloan"/>
    <n v="0"/>
  </r>
  <r>
    <x v="395"/>
    <x v="1"/>
    <x v="1"/>
    <n v="6"/>
    <n v="5"/>
    <x v="6"/>
    <x v="6"/>
    <s v="payday"/>
    <n v="23000000"/>
  </r>
  <r>
    <x v="395"/>
    <x v="1"/>
    <x v="1"/>
    <n v="6"/>
    <n v="5"/>
    <x v="18"/>
    <x v="15"/>
    <s v="cashloan"/>
    <n v="327960000"/>
  </r>
  <r>
    <x v="395"/>
    <x v="1"/>
    <x v="1"/>
    <n v="6"/>
    <n v="5"/>
    <x v="2"/>
    <x v="2"/>
    <s v="cashloan"/>
    <n v="3973020000"/>
  </r>
  <r>
    <x v="395"/>
    <x v="1"/>
    <x v="1"/>
    <n v="6"/>
    <n v="5"/>
    <x v="11"/>
    <x v="10"/>
    <s v="paylater"/>
    <n v="335601038"/>
  </r>
  <r>
    <x v="395"/>
    <x v="1"/>
    <x v="1"/>
    <n v="6"/>
    <n v="5"/>
    <x v="22"/>
    <x v="16"/>
    <s v="cashloan"/>
    <n v="0"/>
  </r>
  <r>
    <x v="395"/>
    <x v="1"/>
    <x v="1"/>
    <n v="6"/>
    <n v="5"/>
    <x v="15"/>
    <x v="14"/>
    <s v="paylater"/>
    <n v="64288683"/>
  </r>
  <r>
    <x v="395"/>
    <x v="1"/>
    <x v="1"/>
    <n v="6"/>
    <n v="5"/>
    <x v="5"/>
    <x v="5"/>
    <s v="overdraft"/>
    <n v="3960514225"/>
  </r>
  <r>
    <x v="395"/>
    <x v="1"/>
    <x v="1"/>
    <n v="6"/>
    <n v="5"/>
    <x v="8"/>
    <x v="8"/>
    <s v="cashloan"/>
    <n v="0"/>
  </r>
  <r>
    <x v="395"/>
    <x v="1"/>
    <x v="1"/>
    <n v="6"/>
    <n v="5"/>
    <x v="23"/>
    <x v="17"/>
    <s v="paylater"/>
    <n v="0"/>
  </r>
  <r>
    <x v="395"/>
    <x v="1"/>
    <x v="1"/>
    <n v="6"/>
    <n v="5"/>
    <x v="21"/>
    <x v="9"/>
    <s v="cashloan"/>
    <n v="0"/>
  </r>
  <r>
    <x v="395"/>
    <x v="1"/>
    <x v="1"/>
    <n v="6"/>
    <n v="5"/>
    <x v="0"/>
    <x v="0"/>
    <s v="payday"/>
    <n v="4779500000"/>
  </r>
  <r>
    <x v="395"/>
    <x v="1"/>
    <x v="1"/>
    <n v="6"/>
    <n v="5"/>
    <x v="3"/>
    <x v="3"/>
    <s v="cashloan"/>
    <n v="0"/>
  </r>
  <r>
    <x v="395"/>
    <x v="1"/>
    <x v="1"/>
    <n v="6"/>
    <n v="5"/>
    <x v="12"/>
    <x v="11"/>
    <s v="cashloan"/>
    <n v="3727220000"/>
  </r>
  <r>
    <x v="395"/>
    <x v="1"/>
    <x v="1"/>
    <n v="6"/>
    <n v="5"/>
    <x v="14"/>
    <x v="13"/>
    <s v="cashloan"/>
    <n v="439440000"/>
  </r>
  <r>
    <x v="395"/>
    <x v="1"/>
    <x v="1"/>
    <n v="6"/>
    <n v="5"/>
    <x v="1"/>
    <x v="1"/>
    <s v="cashloan"/>
    <n v="91400000"/>
  </r>
  <r>
    <x v="396"/>
    <x v="1"/>
    <x v="1"/>
    <n v="6"/>
    <n v="6"/>
    <x v="8"/>
    <x v="8"/>
    <s v="cashloan"/>
    <n v="0"/>
  </r>
  <r>
    <x v="396"/>
    <x v="1"/>
    <x v="1"/>
    <n v="6"/>
    <n v="6"/>
    <x v="7"/>
    <x v="7"/>
    <s v="paylater"/>
    <n v="631407844"/>
  </r>
  <r>
    <x v="396"/>
    <x v="1"/>
    <x v="1"/>
    <n v="6"/>
    <n v="6"/>
    <x v="6"/>
    <x v="6"/>
    <s v="payday"/>
    <n v="13000000"/>
  </r>
  <r>
    <x v="396"/>
    <x v="1"/>
    <x v="1"/>
    <n v="6"/>
    <n v="6"/>
    <x v="3"/>
    <x v="3"/>
    <s v="cashloan"/>
    <n v="0"/>
  </r>
  <r>
    <x v="396"/>
    <x v="1"/>
    <x v="1"/>
    <n v="6"/>
    <n v="6"/>
    <x v="0"/>
    <x v="0"/>
    <s v="payday"/>
    <n v="4537500000"/>
  </r>
  <r>
    <x v="396"/>
    <x v="1"/>
    <x v="1"/>
    <n v="6"/>
    <n v="6"/>
    <x v="5"/>
    <x v="5"/>
    <s v="overdraft"/>
    <n v="3047988607"/>
  </r>
  <r>
    <x v="396"/>
    <x v="1"/>
    <x v="1"/>
    <n v="6"/>
    <n v="6"/>
    <x v="11"/>
    <x v="10"/>
    <s v="paylater"/>
    <n v="288230524"/>
  </r>
  <r>
    <x v="396"/>
    <x v="1"/>
    <x v="1"/>
    <n v="6"/>
    <n v="6"/>
    <x v="12"/>
    <x v="11"/>
    <s v="cashloan"/>
    <n v="3700360000"/>
  </r>
  <r>
    <x v="396"/>
    <x v="1"/>
    <x v="1"/>
    <n v="6"/>
    <n v="6"/>
    <x v="18"/>
    <x v="15"/>
    <s v="cashloan"/>
    <n v="365830000"/>
  </r>
  <r>
    <x v="396"/>
    <x v="1"/>
    <x v="1"/>
    <n v="6"/>
    <n v="6"/>
    <x v="14"/>
    <x v="13"/>
    <s v="cashloan"/>
    <n v="258060000"/>
  </r>
  <r>
    <x v="396"/>
    <x v="1"/>
    <x v="1"/>
    <n v="6"/>
    <n v="6"/>
    <x v="23"/>
    <x v="17"/>
    <s v="paylater"/>
    <n v="0"/>
  </r>
  <r>
    <x v="396"/>
    <x v="1"/>
    <x v="1"/>
    <n v="6"/>
    <n v="6"/>
    <x v="19"/>
    <x v="12"/>
    <s v="paylater"/>
    <n v="540939997"/>
  </r>
  <r>
    <x v="396"/>
    <x v="1"/>
    <x v="1"/>
    <n v="6"/>
    <n v="6"/>
    <x v="1"/>
    <x v="1"/>
    <s v="cashloan"/>
    <n v="0"/>
  </r>
  <r>
    <x v="396"/>
    <x v="1"/>
    <x v="1"/>
    <n v="6"/>
    <n v="6"/>
    <x v="21"/>
    <x v="9"/>
    <s v="cashloan"/>
    <n v="0"/>
  </r>
  <r>
    <x v="396"/>
    <x v="1"/>
    <x v="1"/>
    <n v="6"/>
    <n v="6"/>
    <x v="20"/>
    <x v="9"/>
    <s v="cashloan"/>
    <n v="0"/>
  </r>
  <r>
    <x v="396"/>
    <x v="1"/>
    <x v="1"/>
    <n v="6"/>
    <n v="6"/>
    <x v="17"/>
    <x v="9"/>
    <s v="cashloan"/>
    <n v="0"/>
  </r>
  <r>
    <x v="396"/>
    <x v="1"/>
    <x v="1"/>
    <n v="6"/>
    <n v="6"/>
    <x v="2"/>
    <x v="2"/>
    <s v="cashloan"/>
    <n v="4177660000"/>
  </r>
  <r>
    <x v="396"/>
    <x v="1"/>
    <x v="1"/>
    <n v="6"/>
    <n v="6"/>
    <x v="15"/>
    <x v="14"/>
    <s v="paylater"/>
    <n v="41679760"/>
  </r>
  <r>
    <x v="396"/>
    <x v="1"/>
    <x v="1"/>
    <n v="6"/>
    <n v="6"/>
    <x v="22"/>
    <x v="16"/>
    <s v="cashloan"/>
    <n v="0"/>
  </r>
  <r>
    <x v="397"/>
    <x v="1"/>
    <x v="1"/>
    <n v="6"/>
    <n v="7"/>
    <x v="20"/>
    <x v="9"/>
    <s v="cashloan"/>
    <n v="0"/>
  </r>
  <r>
    <x v="397"/>
    <x v="1"/>
    <x v="1"/>
    <n v="6"/>
    <n v="7"/>
    <x v="14"/>
    <x v="13"/>
    <s v="cashloan"/>
    <n v="271670000"/>
  </r>
  <r>
    <x v="397"/>
    <x v="1"/>
    <x v="1"/>
    <n v="6"/>
    <n v="7"/>
    <x v="23"/>
    <x v="17"/>
    <s v="paylater"/>
    <n v="0"/>
  </r>
  <r>
    <x v="397"/>
    <x v="1"/>
    <x v="1"/>
    <n v="6"/>
    <n v="7"/>
    <x v="18"/>
    <x v="15"/>
    <s v="cashloan"/>
    <n v="248690000"/>
  </r>
  <r>
    <x v="397"/>
    <x v="1"/>
    <x v="1"/>
    <n v="6"/>
    <n v="7"/>
    <x v="22"/>
    <x v="16"/>
    <s v="cashloan"/>
    <n v="0"/>
  </r>
  <r>
    <x v="397"/>
    <x v="1"/>
    <x v="1"/>
    <n v="6"/>
    <n v="7"/>
    <x v="7"/>
    <x v="7"/>
    <s v="paylater"/>
    <n v="528740326"/>
  </r>
  <r>
    <x v="397"/>
    <x v="1"/>
    <x v="1"/>
    <n v="6"/>
    <n v="7"/>
    <x v="8"/>
    <x v="8"/>
    <s v="cashloan"/>
    <n v="0"/>
  </r>
  <r>
    <x v="397"/>
    <x v="1"/>
    <x v="1"/>
    <n v="6"/>
    <n v="7"/>
    <x v="12"/>
    <x v="11"/>
    <s v="cashloan"/>
    <n v="3243520000"/>
  </r>
  <r>
    <x v="397"/>
    <x v="1"/>
    <x v="1"/>
    <n v="6"/>
    <n v="7"/>
    <x v="2"/>
    <x v="2"/>
    <s v="cashloan"/>
    <n v="4004510000"/>
  </r>
  <r>
    <x v="397"/>
    <x v="1"/>
    <x v="1"/>
    <n v="6"/>
    <n v="7"/>
    <x v="15"/>
    <x v="14"/>
    <s v="paylater"/>
    <n v="35613624"/>
  </r>
  <r>
    <x v="397"/>
    <x v="1"/>
    <x v="1"/>
    <n v="6"/>
    <n v="7"/>
    <x v="21"/>
    <x v="9"/>
    <s v="cashloan"/>
    <n v="0"/>
  </r>
  <r>
    <x v="397"/>
    <x v="1"/>
    <x v="1"/>
    <n v="6"/>
    <n v="7"/>
    <x v="11"/>
    <x v="10"/>
    <s v="paylater"/>
    <n v="248571075"/>
  </r>
  <r>
    <x v="397"/>
    <x v="1"/>
    <x v="1"/>
    <n v="6"/>
    <n v="7"/>
    <x v="3"/>
    <x v="3"/>
    <s v="cashloan"/>
    <n v="0"/>
  </r>
  <r>
    <x v="397"/>
    <x v="1"/>
    <x v="1"/>
    <n v="6"/>
    <n v="7"/>
    <x v="0"/>
    <x v="0"/>
    <s v="payday"/>
    <n v="4802500000"/>
  </r>
  <r>
    <x v="397"/>
    <x v="1"/>
    <x v="1"/>
    <n v="6"/>
    <n v="7"/>
    <x v="5"/>
    <x v="5"/>
    <s v="overdraft"/>
    <n v="3032423056"/>
  </r>
  <r>
    <x v="397"/>
    <x v="1"/>
    <x v="1"/>
    <n v="6"/>
    <n v="7"/>
    <x v="19"/>
    <x v="12"/>
    <s v="paylater"/>
    <n v="399251721"/>
  </r>
  <r>
    <x v="397"/>
    <x v="1"/>
    <x v="1"/>
    <n v="6"/>
    <n v="7"/>
    <x v="6"/>
    <x v="6"/>
    <s v="payday"/>
    <n v="56000000"/>
  </r>
  <r>
    <x v="397"/>
    <x v="1"/>
    <x v="1"/>
    <n v="6"/>
    <n v="7"/>
    <x v="17"/>
    <x v="9"/>
    <s v="cashloan"/>
    <n v="0"/>
  </r>
  <r>
    <x v="397"/>
    <x v="1"/>
    <x v="1"/>
    <n v="6"/>
    <n v="7"/>
    <x v="1"/>
    <x v="1"/>
    <s v="cashloan"/>
    <n v="22050000"/>
  </r>
  <r>
    <x v="398"/>
    <x v="1"/>
    <x v="1"/>
    <n v="6"/>
    <n v="8"/>
    <x v="22"/>
    <x v="16"/>
    <s v="cashloan"/>
    <n v="0"/>
  </r>
  <r>
    <x v="398"/>
    <x v="1"/>
    <x v="1"/>
    <n v="6"/>
    <n v="8"/>
    <x v="5"/>
    <x v="5"/>
    <s v="overdraft"/>
    <n v="2744916686"/>
  </r>
  <r>
    <x v="398"/>
    <x v="1"/>
    <x v="1"/>
    <n v="6"/>
    <n v="8"/>
    <x v="19"/>
    <x v="12"/>
    <s v="paylater"/>
    <n v="341394512"/>
  </r>
  <r>
    <x v="398"/>
    <x v="1"/>
    <x v="1"/>
    <n v="6"/>
    <n v="8"/>
    <x v="23"/>
    <x v="17"/>
    <s v="paylater"/>
    <n v="0"/>
  </r>
  <r>
    <x v="398"/>
    <x v="1"/>
    <x v="1"/>
    <n v="6"/>
    <n v="8"/>
    <x v="1"/>
    <x v="1"/>
    <s v="cashloan"/>
    <n v="42000000"/>
  </r>
  <r>
    <x v="398"/>
    <x v="1"/>
    <x v="1"/>
    <n v="6"/>
    <n v="8"/>
    <x v="8"/>
    <x v="8"/>
    <s v="cashloan"/>
    <n v="0"/>
  </r>
  <r>
    <x v="398"/>
    <x v="1"/>
    <x v="1"/>
    <n v="6"/>
    <n v="8"/>
    <x v="20"/>
    <x v="9"/>
    <s v="cashloan"/>
    <n v="0"/>
  </r>
  <r>
    <x v="398"/>
    <x v="1"/>
    <x v="1"/>
    <n v="6"/>
    <n v="8"/>
    <x v="2"/>
    <x v="2"/>
    <s v="cashloan"/>
    <n v="4270320000"/>
  </r>
  <r>
    <x v="398"/>
    <x v="1"/>
    <x v="1"/>
    <n v="6"/>
    <n v="8"/>
    <x v="0"/>
    <x v="0"/>
    <s v="payday"/>
    <n v="4388500000"/>
  </r>
  <r>
    <x v="398"/>
    <x v="1"/>
    <x v="1"/>
    <n v="6"/>
    <n v="8"/>
    <x v="12"/>
    <x v="11"/>
    <s v="cashloan"/>
    <n v="3521690000"/>
  </r>
  <r>
    <x v="398"/>
    <x v="1"/>
    <x v="1"/>
    <n v="6"/>
    <n v="8"/>
    <x v="6"/>
    <x v="6"/>
    <s v="payday"/>
    <n v="59000000"/>
  </r>
  <r>
    <x v="398"/>
    <x v="1"/>
    <x v="1"/>
    <n v="6"/>
    <n v="8"/>
    <x v="21"/>
    <x v="9"/>
    <s v="cashloan"/>
    <n v="0"/>
  </r>
  <r>
    <x v="398"/>
    <x v="1"/>
    <x v="1"/>
    <n v="6"/>
    <n v="8"/>
    <x v="17"/>
    <x v="9"/>
    <s v="cashloan"/>
    <n v="0"/>
  </r>
  <r>
    <x v="398"/>
    <x v="1"/>
    <x v="1"/>
    <n v="6"/>
    <n v="8"/>
    <x v="14"/>
    <x v="13"/>
    <s v="cashloan"/>
    <n v="471200000"/>
  </r>
  <r>
    <x v="398"/>
    <x v="1"/>
    <x v="1"/>
    <n v="6"/>
    <n v="8"/>
    <x v="11"/>
    <x v="10"/>
    <s v="paylater"/>
    <n v="218714881"/>
  </r>
  <r>
    <x v="398"/>
    <x v="1"/>
    <x v="1"/>
    <n v="6"/>
    <n v="8"/>
    <x v="15"/>
    <x v="14"/>
    <s v="paylater"/>
    <n v="42420930"/>
  </r>
  <r>
    <x v="398"/>
    <x v="1"/>
    <x v="1"/>
    <n v="6"/>
    <n v="8"/>
    <x v="18"/>
    <x v="15"/>
    <s v="cashloan"/>
    <n v="192260000"/>
  </r>
  <r>
    <x v="398"/>
    <x v="1"/>
    <x v="1"/>
    <n v="6"/>
    <n v="8"/>
    <x v="3"/>
    <x v="3"/>
    <s v="cashloan"/>
    <n v="0"/>
  </r>
  <r>
    <x v="398"/>
    <x v="1"/>
    <x v="1"/>
    <n v="6"/>
    <n v="8"/>
    <x v="7"/>
    <x v="7"/>
    <s v="paylater"/>
    <n v="456097427"/>
  </r>
  <r>
    <x v="399"/>
    <x v="1"/>
    <x v="1"/>
    <n v="6"/>
    <n v="9"/>
    <x v="20"/>
    <x v="9"/>
    <s v="cashloan"/>
    <n v="0"/>
  </r>
  <r>
    <x v="399"/>
    <x v="1"/>
    <x v="1"/>
    <n v="6"/>
    <n v="9"/>
    <x v="2"/>
    <x v="2"/>
    <s v="cashloan"/>
    <n v="4133050000"/>
  </r>
  <r>
    <x v="399"/>
    <x v="1"/>
    <x v="1"/>
    <n v="6"/>
    <n v="9"/>
    <x v="6"/>
    <x v="6"/>
    <s v="payday"/>
    <n v="41000000"/>
  </r>
  <r>
    <x v="399"/>
    <x v="1"/>
    <x v="1"/>
    <n v="6"/>
    <n v="9"/>
    <x v="0"/>
    <x v="0"/>
    <s v="payday"/>
    <n v="3893000000"/>
  </r>
  <r>
    <x v="399"/>
    <x v="1"/>
    <x v="1"/>
    <n v="6"/>
    <n v="9"/>
    <x v="5"/>
    <x v="5"/>
    <s v="overdraft"/>
    <n v="2735973754"/>
  </r>
  <r>
    <x v="399"/>
    <x v="1"/>
    <x v="1"/>
    <n v="6"/>
    <n v="9"/>
    <x v="14"/>
    <x v="13"/>
    <s v="cashloan"/>
    <n v="323910000"/>
  </r>
  <r>
    <x v="399"/>
    <x v="1"/>
    <x v="1"/>
    <n v="6"/>
    <n v="9"/>
    <x v="23"/>
    <x v="17"/>
    <s v="paylater"/>
    <n v="0"/>
  </r>
  <r>
    <x v="399"/>
    <x v="1"/>
    <x v="1"/>
    <n v="6"/>
    <n v="9"/>
    <x v="22"/>
    <x v="16"/>
    <s v="cashloan"/>
    <n v="0"/>
  </r>
  <r>
    <x v="399"/>
    <x v="1"/>
    <x v="1"/>
    <n v="6"/>
    <n v="9"/>
    <x v="15"/>
    <x v="14"/>
    <s v="paylater"/>
    <n v="34261656"/>
  </r>
  <r>
    <x v="399"/>
    <x v="1"/>
    <x v="1"/>
    <n v="6"/>
    <n v="9"/>
    <x v="1"/>
    <x v="1"/>
    <s v="cashloan"/>
    <n v="10000000"/>
  </r>
  <r>
    <x v="399"/>
    <x v="1"/>
    <x v="1"/>
    <n v="6"/>
    <n v="9"/>
    <x v="3"/>
    <x v="3"/>
    <s v="cashloan"/>
    <n v="0"/>
  </r>
  <r>
    <x v="399"/>
    <x v="1"/>
    <x v="1"/>
    <n v="6"/>
    <n v="9"/>
    <x v="18"/>
    <x v="15"/>
    <s v="cashloan"/>
    <n v="291170000"/>
  </r>
  <r>
    <x v="399"/>
    <x v="1"/>
    <x v="1"/>
    <n v="6"/>
    <n v="9"/>
    <x v="19"/>
    <x v="12"/>
    <s v="paylater"/>
    <n v="358289376"/>
  </r>
  <r>
    <x v="399"/>
    <x v="1"/>
    <x v="1"/>
    <n v="6"/>
    <n v="9"/>
    <x v="21"/>
    <x v="9"/>
    <s v="cashloan"/>
    <n v="0"/>
  </r>
  <r>
    <x v="399"/>
    <x v="1"/>
    <x v="1"/>
    <n v="6"/>
    <n v="9"/>
    <x v="11"/>
    <x v="10"/>
    <s v="paylater"/>
    <n v="215347933"/>
  </r>
  <r>
    <x v="399"/>
    <x v="1"/>
    <x v="1"/>
    <n v="6"/>
    <n v="9"/>
    <x v="17"/>
    <x v="9"/>
    <s v="cashloan"/>
    <n v="0"/>
  </r>
  <r>
    <x v="399"/>
    <x v="1"/>
    <x v="1"/>
    <n v="6"/>
    <n v="9"/>
    <x v="12"/>
    <x v="11"/>
    <s v="cashloan"/>
    <n v="3180860000"/>
  </r>
  <r>
    <x v="399"/>
    <x v="1"/>
    <x v="1"/>
    <n v="6"/>
    <n v="9"/>
    <x v="8"/>
    <x v="8"/>
    <s v="cashloan"/>
    <n v="0"/>
  </r>
  <r>
    <x v="399"/>
    <x v="1"/>
    <x v="1"/>
    <n v="6"/>
    <n v="9"/>
    <x v="7"/>
    <x v="7"/>
    <s v="paylater"/>
    <n v="396053322"/>
  </r>
  <r>
    <x v="400"/>
    <x v="1"/>
    <x v="1"/>
    <n v="7"/>
    <n v="10"/>
    <x v="21"/>
    <x v="9"/>
    <s v="cashloan"/>
    <n v="0"/>
  </r>
  <r>
    <x v="400"/>
    <x v="1"/>
    <x v="1"/>
    <n v="7"/>
    <n v="10"/>
    <x v="14"/>
    <x v="13"/>
    <s v="cashloan"/>
    <n v="457670000"/>
  </r>
  <r>
    <x v="400"/>
    <x v="1"/>
    <x v="1"/>
    <n v="7"/>
    <n v="10"/>
    <x v="20"/>
    <x v="9"/>
    <s v="cashloan"/>
    <n v="0"/>
  </r>
  <r>
    <x v="400"/>
    <x v="1"/>
    <x v="1"/>
    <n v="7"/>
    <n v="10"/>
    <x v="1"/>
    <x v="1"/>
    <s v="cashloan"/>
    <n v="95000000"/>
  </r>
  <r>
    <x v="400"/>
    <x v="1"/>
    <x v="1"/>
    <n v="7"/>
    <n v="10"/>
    <x v="17"/>
    <x v="9"/>
    <s v="cashloan"/>
    <n v="0"/>
  </r>
  <r>
    <x v="400"/>
    <x v="1"/>
    <x v="1"/>
    <n v="7"/>
    <n v="10"/>
    <x v="23"/>
    <x v="17"/>
    <s v="paylater"/>
    <n v="0"/>
  </r>
  <r>
    <x v="400"/>
    <x v="1"/>
    <x v="1"/>
    <n v="7"/>
    <n v="10"/>
    <x v="22"/>
    <x v="16"/>
    <s v="cashloan"/>
    <n v="0"/>
  </r>
  <r>
    <x v="400"/>
    <x v="1"/>
    <x v="1"/>
    <n v="7"/>
    <n v="10"/>
    <x v="15"/>
    <x v="14"/>
    <s v="paylater"/>
    <n v="20109609"/>
  </r>
  <r>
    <x v="400"/>
    <x v="1"/>
    <x v="1"/>
    <n v="7"/>
    <n v="10"/>
    <x v="18"/>
    <x v="15"/>
    <s v="cashloan"/>
    <n v="293010000"/>
  </r>
  <r>
    <x v="400"/>
    <x v="1"/>
    <x v="1"/>
    <n v="7"/>
    <n v="10"/>
    <x v="6"/>
    <x v="6"/>
    <s v="payday"/>
    <n v="44000000"/>
  </r>
  <r>
    <x v="400"/>
    <x v="1"/>
    <x v="1"/>
    <n v="7"/>
    <n v="10"/>
    <x v="11"/>
    <x v="10"/>
    <s v="paylater"/>
    <n v="226879854"/>
  </r>
  <r>
    <x v="400"/>
    <x v="1"/>
    <x v="1"/>
    <n v="7"/>
    <n v="10"/>
    <x v="19"/>
    <x v="12"/>
    <s v="paylater"/>
    <n v="373130314"/>
  </r>
  <r>
    <x v="400"/>
    <x v="1"/>
    <x v="1"/>
    <n v="7"/>
    <n v="10"/>
    <x v="8"/>
    <x v="8"/>
    <s v="cashloan"/>
    <n v="0"/>
  </r>
  <r>
    <x v="400"/>
    <x v="1"/>
    <x v="1"/>
    <n v="7"/>
    <n v="10"/>
    <x v="5"/>
    <x v="5"/>
    <s v="overdraft"/>
    <n v="4173814193"/>
  </r>
  <r>
    <x v="400"/>
    <x v="1"/>
    <x v="1"/>
    <n v="7"/>
    <n v="10"/>
    <x v="7"/>
    <x v="7"/>
    <s v="paylater"/>
    <n v="430440735"/>
  </r>
  <r>
    <x v="400"/>
    <x v="1"/>
    <x v="1"/>
    <n v="7"/>
    <n v="10"/>
    <x v="3"/>
    <x v="3"/>
    <s v="cashloan"/>
    <n v="20000000"/>
  </r>
  <r>
    <x v="400"/>
    <x v="1"/>
    <x v="1"/>
    <n v="7"/>
    <n v="10"/>
    <x v="12"/>
    <x v="11"/>
    <s v="cashloan"/>
    <n v="4342460000"/>
  </r>
  <r>
    <x v="400"/>
    <x v="1"/>
    <x v="1"/>
    <n v="7"/>
    <n v="10"/>
    <x v="0"/>
    <x v="0"/>
    <s v="payday"/>
    <n v="6486500000"/>
  </r>
  <r>
    <x v="400"/>
    <x v="1"/>
    <x v="1"/>
    <n v="7"/>
    <n v="10"/>
    <x v="2"/>
    <x v="2"/>
    <s v="cashloan"/>
    <n v="5201270000"/>
  </r>
  <r>
    <x v="401"/>
    <x v="1"/>
    <x v="1"/>
    <n v="7"/>
    <n v="11"/>
    <x v="8"/>
    <x v="8"/>
    <s v="cashloan"/>
    <n v="0"/>
  </r>
  <r>
    <x v="401"/>
    <x v="1"/>
    <x v="1"/>
    <n v="7"/>
    <n v="11"/>
    <x v="11"/>
    <x v="10"/>
    <s v="paylater"/>
    <n v="225129051"/>
  </r>
  <r>
    <x v="401"/>
    <x v="1"/>
    <x v="1"/>
    <n v="7"/>
    <n v="11"/>
    <x v="2"/>
    <x v="2"/>
    <s v="cashloan"/>
    <n v="5217990000"/>
  </r>
  <r>
    <x v="401"/>
    <x v="1"/>
    <x v="1"/>
    <n v="7"/>
    <n v="11"/>
    <x v="14"/>
    <x v="13"/>
    <s v="cashloan"/>
    <n v="484910000"/>
  </r>
  <r>
    <x v="401"/>
    <x v="1"/>
    <x v="1"/>
    <n v="7"/>
    <n v="11"/>
    <x v="18"/>
    <x v="15"/>
    <s v="cashloan"/>
    <n v="216880000"/>
  </r>
  <r>
    <x v="401"/>
    <x v="1"/>
    <x v="1"/>
    <n v="7"/>
    <n v="11"/>
    <x v="15"/>
    <x v="14"/>
    <s v="paylater"/>
    <n v="26670209"/>
  </r>
  <r>
    <x v="401"/>
    <x v="1"/>
    <x v="1"/>
    <n v="7"/>
    <n v="11"/>
    <x v="22"/>
    <x v="16"/>
    <s v="cashloan"/>
    <n v="0"/>
  </r>
  <r>
    <x v="401"/>
    <x v="1"/>
    <x v="1"/>
    <n v="7"/>
    <n v="11"/>
    <x v="21"/>
    <x v="9"/>
    <s v="cashloan"/>
    <n v="0"/>
  </r>
  <r>
    <x v="401"/>
    <x v="1"/>
    <x v="1"/>
    <n v="7"/>
    <n v="11"/>
    <x v="6"/>
    <x v="6"/>
    <s v="payday"/>
    <n v="20000000"/>
  </r>
  <r>
    <x v="401"/>
    <x v="1"/>
    <x v="1"/>
    <n v="7"/>
    <n v="11"/>
    <x v="17"/>
    <x v="9"/>
    <s v="cashloan"/>
    <n v="0"/>
  </r>
  <r>
    <x v="401"/>
    <x v="1"/>
    <x v="1"/>
    <n v="7"/>
    <n v="11"/>
    <x v="3"/>
    <x v="3"/>
    <s v="cashloan"/>
    <n v="0"/>
  </r>
  <r>
    <x v="401"/>
    <x v="1"/>
    <x v="1"/>
    <n v="7"/>
    <n v="11"/>
    <x v="19"/>
    <x v="12"/>
    <s v="paylater"/>
    <n v="336642414"/>
  </r>
  <r>
    <x v="401"/>
    <x v="1"/>
    <x v="1"/>
    <n v="7"/>
    <n v="11"/>
    <x v="20"/>
    <x v="9"/>
    <s v="cashloan"/>
    <n v="0"/>
  </r>
  <r>
    <x v="401"/>
    <x v="1"/>
    <x v="1"/>
    <n v="7"/>
    <n v="11"/>
    <x v="7"/>
    <x v="7"/>
    <s v="paylater"/>
    <n v="444396608"/>
  </r>
  <r>
    <x v="401"/>
    <x v="1"/>
    <x v="1"/>
    <n v="7"/>
    <n v="11"/>
    <x v="23"/>
    <x v="17"/>
    <s v="paylater"/>
    <n v="1340400000"/>
  </r>
  <r>
    <x v="401"/>
    <x v="1"/>
    <x v="1"/>
    <n v="7"/>
    <n v="11"/>
    <x v="1"/>
    <x v="1"/>
    <s v="cashloan"/>
    <n v="36750000"/>
  </r>
  <r>
    <x v="401"/>
    <x v="1"/>
    <x v="1"/>
    <n v="7"/>
    <n v="11"/>
    <x v="5"/>
    <x v="5"/>
    <s v="overdraft"/>
    <n v="3197373099"/>
  </r>
  <r>
    <x v="401"/>
    <x v="1"/>
    <x v="1"/>
    <n v="7"/>
    <n v="11"/>
    <x v="12"/>
    <x v="11"/>
    <s v="cashloan"/>
    <n v="4873660000"/>
  </r>
  <r>
    <x v="401"/>
    <x v="1"/>
    <x v="1"/>
    <n v="7"/>
    <n v="11"/>
    <x v="0"/>
    <x v="0"/>
    <s v="payday"/>
    <n v="5204500000"/>
  </r>
  <r>
    <x v="402"/>
    <x v="1"/>
    <x v="1"/>
    <n v="7"/>
    <n v="12"/>
    <x v="20"/>
    <x v="9"/>
    <s v="cashloan"/>
    <n v="0"/>
  </r>
  <r>
    <x v="402"/>
    <x v="1"/>
    <x v="1"/>
    <n v="7"/>
    <n v="12"/>
    <x v="6"/>
    <x v="6"/>
    <s v="payday"/>
    <n v="68000000"/>
  </r>
  <r>
    <x v="402"/>
    <x v="1"/>
    <x v="1"/>
    <n v="7"/>
    <n v="12"/>
    <x v="18"/>
    <x v="15"/>
    <s v="cashloan"/>
    <n v="190080000"/>
  </r>
  <r>
    <x v="402"/>
    <x v="1"/>
    <x v="1"/>
    <n v="7"/>
    <n v="12"/>
    <x v="17"/>
    <x v="9"/>
    <s v="cashloan"/>
    <n v="0"/>
  </r>
  <r>
    <x v="402"/>
    <x v="1"/>
    <x v="1"/>
    <n v="7"/>
    <n v="12"/>
    <x v="23"/>
    <x v="17"/>
    <s v="paylater"/>
    <n v="4196023000"/>
  </r>
  <r>
    <x v="402"/>
    <x v="1"/>
    <x v="1"/>
    <n v="7"/>
    <n v="12"/>
    <x v="14"/>
    <x v="13"/>
    <s v="cashloan"/>
    <n v="509040000"/>
  </r>
  <r>
    <x v="402"/>
    <x v="1"/>
    <x v="1"/>
    <n v="7"/>
    <n v="12"/>
    <x v="7"/>
    <x v="7"/>
    <s v="paylater"/>
    <n v="396765193"/>
  </r>
  <r>
    <x v="402"/>
    <x v="1"/>
    <x v="1"/>
    <n v="7"/>
    <n v="12"/>
    <x v="5"/>
    <x v="5"/>
    <s v="overdraft"/>
    <n v="3060068720"/>
  </r>
  <r>
    <x v="402"/>
    <x v="1"/>
    <x v="1"/>
    <n v="7"/>
    <n v="12"/>
    <x v="21"/>
    <x v="9"/>
    <s v="cashloan"/>
    <n v="0"/>
  </r>
  <r>
    <x v="402"/>
    <x v="1"/>
    <x v="1"/>
    <n v="7"/>
    <n v="12"/>
    <x v="12"/>
    <x v="11"/>
    <s v="cashloan"/>
    <n v="4437870000"/>
  </r>
  <r>
    <x v="402"/>
    <x v="1"/>
    <x v="1"/>
    <n v="7"/>
    <n v="12"/>
    <x v="2"/>
    <x v="2"/>
    <s v="cashloan"/>
    <n v="4561590000"/>
  </r>
  <r>
    <x v="402"/>
    <x v="1"/>
    <x v="1"/>
    <n v="7"/>
    <n v="12"/>
    <x v="0"/>
    <x v="0"/>
    <s v="payday"/>
    <n v="4900000000"/>
  </r>
  <r>
    <x v="402"/>
    <x v="1"/>
    <x v="1"/>
    <n v="7"/>
    <n v="12"/>
    <x v="22"/>
    <x v="16"/>
    <s v="cashloan"/>
    <n v="0"/>
  </r>
  <r>
    <x v="402"/>
    <x v="1"/>
    <x v="1"/>
    <n v="7"/>
    <n v="12"/>
    <x v="3"/>
    <x v="3"/>
    <s v="cashloan"/>
    <n v="0"/>
  </r>
  <r>
    <x v="402"/>
    <x v="1"/>
    <x v="1"/>
    <n v="7"/>
    <n v="12"/>
    <x v="8"/>
    <x v="8"/>
    <s v="cashloan"/>
    <n v="0"/>
  </r>
  <r>
    <x v="402"/>
    <x v="1"/>
    <x v="1"/>
    <n v="7"/>
    <n v="12"/>
    <x v="15"/>
    <x v="14"/>
    <s v="paylater"/>
    <n v="25707833"/>
  </r>
  <r>
    <x v="402"/>
    <x v="1"/>
    <x v="1"/>
    <n v="7"/>
    <n v="12"/>
    <x v="19"/>
    <x v="12"/>
    <s v="paylater"/>
    <n v="262455503"/>
  </r>
  <r>
    <x v="402"/>
    <x v="1"/>
    <x v="1"/>
    <n v="7"/>
    <n v="12"/>
    <x v="11"/>
    <x v="10"/>
    <s v="paylater"/>
    <n v="201579212"/>
  </r>
  <r>
    <x v="402"/>
    <x v="1"/>
    <x v="1"/>
    <n v="7"/>
    <n v="12"/>
    <x v="1"/>
    <x v="1"/>
    <s v="cashloan"/>
    <n v="0"/>
  </r>
  <r>
    <x v="403"/>
    <x v="1"/>
    <x v="1"/>
    <n v="7"/>
    <n v="13"/>
    <x v="19"/>
    <x v="12"/>
    <s v="paylater"/>
    <n v="280738963"/>
  </r>
  <r>
    <x v="403"/>
    <x v="1"/>
    <x v="1"/>
    <n v="7"/>
    <n v="13"/>
    <x v="1"/>
    <x v="1"/>
    <s v="cashloan"/>
    <n v="21000000"/>
  </r>
  <r>
    <x v="403"/>
    <x v="1"/>
    <x v="1"/>
    <n v="7"/>
    <n v="13"/>
    <x v="23"/>
    <x v="17"/>
    <s v="paylater"/>
    <n v="2239686000"/>
  </r>
  <r>
    <x v="403"/>
    <x v="1"/>
    <x v="1"/>
    <n v="7"/>
    <n v="13"/>
    <x v="6"/>
    <x v="6"/>
    <s v="payday"/>
    <n v="41000000"/>
  </r>
  <r>
    <x v="403"/>
    <x v="1"/>
    <x v="1"/>
    <n v="7"/>
    <n v="13"/>
    <x v="11"/>
    <x v="10"/>
    <s v="paylater"/>
    <n v="215986937"/>
  </r>
  <r>
    <x v="403"/>
    <x v="1"/>
    <x v="1"/>
    <n v="7"/>
    <n v="13"/>
    <x v="15"/>
    <x v="14"/>
    <s v="paylater"/>
    <n v="19147901"/>
  </r>
  <r>
    <x v="403"/>
    <x v="1"/>
    <x v="1"/>
    <n v="7"/>
    <n v="13"/>
    <x v="3"/>
    <x v="3"/>
    <s v="cashloan"/>
    <n v="0"/>
  </r>
  <r>
    <x v="403"/>
    <x v="1"/>
    <x v="1"/>
    <n v="7"/>
    <n v="13"/>
    <x v="17"/>
    <x v="9"/>
    <s v="cashloan"/>
    <n v="0"/>
  </r>
  <r>
    <x v="403"/>
    <x v="1"/>
    <x v="1"/>
    <n v="7"/>
    <n v="13"/>
    <x v="20"/>
    <x v="9"/>
    <s v="cashloan"/>
    <n v="0"/>
  </r>
  <r>
    <x v="403"/>
    <x v="1"/>
    <x v="1"/>
    <n v="7"/>
    <n v="13"/>
    <x v="21"/>
    <x v="9"/>
    <s v="cashloan"/>
    <n v="0"/>
  </r>
  <r>
    <x v="403"/>
    <x v="1"/>
    <x v="1"/>
    <n v="7"/>
    <n v="13"/>
    <x v="22"/>
    <x v="16"/>
    <s v="cashloan"/>
    <n v="0"/>
  </r>
  <r>
    <x v="403"/>
    <x v="1"/>
    <x v="1"/>
    <n v="7"/>
    <n v="13"/>
    <x v="18"/>
    <x v="15"/>
    <s v="cashloan"/>
    <n v="184450000"/>
  </r>
  <r>
    <x v="403"/>
    <x v="1"/>
    <x v="1"/>
    <n v="7"/>
    <n v="13"/>
    <x v="14"/>
    <x v="13"/>
    <s v="cashloan"/>
    <n v="424930000"/>
  </r>
  <r>
    <x v="403"/>
    <x v="1"/>
    <x v="1"/>
    <n v="7"/>
    <n v="13"/>
    <x v="12"/>
    <x v="11"/>
    <s v="cashloan"/>
    <n v="4235180000"/>
  </r>
  <r>
    <x v="403"/>
    <x v="1"/>
    <x v="1"/>
    <n v="7"/>
    <n v="13"/>
    <x v="8"/>
    <x v="8"/>
    <s v="cashloan"/>
    <n v="0"/>
  </r>
  <r>
    <x v="403"/>
    <x v="1"/>
    <x v="1"/>
    <n v="7"/>
    <n v="13"/>
    <x v="2"/>
    <x v="2"/>
    <s v="cashloan"/>
    <n v="4957700000"/>
  </r>
  <r>
    <x v="403"/>
    <x v="1"/>
    <x v="1"/>
    <n v="7"/>
    <n v="13"/>
    <x v="0"/>
    <x v="0"/>
    <s v="payday"/>
    <n v="4892500000"/>
  </r>
  <r>
    <x v="403"/>
    <x v="1"/>
    <x v="1"/>
    <n v="7"/>
    <n v="13"/>
    <x v="5"/>
    <x v="5"/>
    <s v="overdraft"/>
    <n v="3247200579"/>
  </r>
  <r>
    <x v="403"/>
    <x v="1"/>
    <x v="1"/>
    <n v="7"/>
    <n v="13"/>
    <x v="7"/>
    <x v="7"/>
    <s v="paylater"/>
    <n v="389227378"/>
  </r>
  <r>
    <x v="404"/>
    <x v="1"/>
    <x v="1"/>
    <n v="7"/>
    <n v="14"/>
    <x v="0"/>
    <x v="0"/>
    <s v="payday"/>
    <n v="5389500000"/>
  </r>
  <r>
    <x v="404"/>
    <x v="1"/>
    <x v="1"/>
    <n v="7"/>
    <n v="14"/>
    <x v="22"/>
    <x v="16"/>
    <s v="cashloan"/>
    <n v="0"/>
  </r>
  <r>
    <x v="404"/>
    <x v="1"/>
    <x v="1"/>
    <n v="7"/>
    <n v="14"/>
    <x v="21"/>
    <x v="9"/>
    <s v="cashloan"/>
    <n v="0"/>
  </r>
  <r>
    <x v="404"/>
    <x v="1"/>
    <x v="1"/>
    <n v="7"/>
    <n v="14"/>
    <x v="2"/>
    <x v="2"/>
    <s v="cashloan"/>
    <n v="4791360000"/>
  </r>
  <r>
    <x v="404"/>
    <x v="1"/>
    <x v="1"/>
    <n v="7"/>
    <n v="14"/>
    <x v="12"/>
    <x v="11"/>
    <s v="cashloan"/>
    <n v="4836380000"/>
  </r>
  <r>
    <x v="404"/>
    <x v="1"/>
    <x v="1"/>
    <n v="7"/>
    <n v="14"/>
    <x v="5"/>
    <x v="5"/>
    <s v="overdraft"/>
    <n v="3733702520"/>
  </r>
  <r>
    <x v="404"/>
    <x v="1"/>
    <x v="1"/>
    <n v="7"/>
    <n v="14"/>
    <x v="1"/>
    <x v="1"/>
    <s v="cashloan"/>
    <n v="84000000"/>
  </r>
  <r>
    <x v="404"/>
    <x v="1"/>
    <x v="1"/>
    <n v="7"/>
    <n v="14"/>
    <x v="6"/>
    <x v="6"/>
    <s v="payday"/>
    <n v="18000000"/>
  </r>
  <r>
    <x v="404"/>
    <x v="1"/>
    <x v="1"/>
    <n v="7"/>
    <n v="14"/>
    <x v="15"/>
    <x v="14"/>
    <s v="paylater"/>
    <n v="17074519"/>
  </r>
  <r>
    <x v="404"/>
    <x v="1"/>
    <x v="1"/>
    <n v="7"/>
    <n v="14"/>
    <x v="23"/>
    <x v="17"/>
    <s v="paylater"/>
    <n v="771213000"/>
  </r>
  <r>
    <x v="404"/>
    <x v="1"/>
    <x v="1"/>
    <n v="7"/>
    <n v="14"/>
    <x v="17"/>
    <x v="9"/>
    <s v="cashloan"/>
    <n v="0"/>
  </r>
  <r>
    <x v="404"/>
    <x v="1"/>
    <x v="1"/>
    <n v="7"/>
    <n v="14"/>
    <x v="20"/>
    <x v="9"/>
    <s v="cashloan"/>
    <n v="0"/>
  </r>
  <r>
    <x v="404"/>
    <x v="1"/>
    <x v="1"/>
    <n v="7"/>
    <n v="14"/>
    <x v="19"/>
    <x v="12"/>
    <s v="paylater"/>
    <n v="268830780"/>
  </r>
  <r>
    <x v="404"/>
    <x v="1"/>
    <x v="1"/>
    <n v="7"/>
    <n v="14"/>
    <x v="3"/>
    <x v="3"/>
    <s v="cashloan"/>
    <n v="0"/>
  </r>
  <r>
    <x v="404"/>
    <x v="1"/>
    <x v="1"/>
    <n v="7"/>
    <n v="14"/>
    <x v="14"/>
    <x v="13"/>
    <s v="cashloan"/>
    <n v="524150000"/>
  </r>
  <r>
    <x v="404"/>
    <x v="1"/>
    <x v="1"/>
    <n v="7"/>
    <n v="14"/>
    <x v="8"/>
    <x v="8"/>
    <s v="cashloan"/>
    <n v="0"/>
  </r>
  <r>
    <x v="404"/>
    <x v="1"/>
    <x v="1"/>
    <n v="7"/>
    <n v="14"/>
    <x v="11"/>
    <x v="10"/>
    <s v="paylater"/>
    <n v="235630310"/>
  </r>
  <r>
    <x v="404"/>
    <x v="1"/>
    <x v="1"/>
    <n v="7"/>
    <n v="14"/>
    <x v="18"/>
    <x v="15"/>
    <s v="cashloan"/>
    <n v="247160000"/>
  </r>
  <r>
    <x v="404"/>
    <x v="1"/>
    <x v="1"/>
    <n v="7"/>
    <n v="14"/>
    <x v="7"/>
    <x v="7"/>
    <s v="paylater"/>
    <n v="405691719"/>
  </r>
  <r>
    <x v="405"/>
    <x v="1"/>
    <x v="1"/>
    <n v="7"/>
    <n v="15"/>
    <x v="21"/>
    <x v="9"/>
    <s v="cashloan"/>
    <n v="0"/>
  </r>
  <r>
    <x v="405"/>
    <x v="1"/>
    <x v="1"/>
    <n v="7"/>
    <n v="15"/>
    <x v="15"/>
    <x v="14"/>
    <s v="paylater"/>
    <n v="14426241"/>
  </r>
  <r>
    <x v="405"/>
    <x v="1"/>
    <x v="1"/>
    <n v="7"/>
    <n v="15"/>
    <x v="14"/>
    <x v="13"/>
    <s v="cashloan"/>
    <n v="359070000"/>
  </r>
  <r>
    <x v="405"/>
    <x v="1"/>
    <x v="1"/>
    <n v="7"/>
    <n v="15"/>
    <x v="8"/>
    <x v="8"/>
    <s v="cashloan"/>
    <n v="0"/>
  </r>
  <r>
    <x v="405"/>
    <x v="1"/>
    <x v="1"/>
    <n v="7"/>
    <n v="15"/>
    <x v="7"/>
    <x v="7"/>
    <s v="paylater"/>
    <n v="369640078"/>
  </r>
  <r>
    <x v="405"/>
    <x v="1"/>
    <x v="1"/>
    <n v="7"/>
    <n v="15"/>
    <x v="17"/>
    <x v="9"/>
    <s v="cashloan"/>
    <n v="0"/>
  </r>
  <r>
    <x v="405"/>
    <x v="1"/>
    <x v="1"/>
    <n v="7"/>
    <n v="15"/>
    <x v="6"/>
    <x v="6"/>
    <s v="payday"/>
    <n v="64000000"/>
  </r>
  <r>
    <x v="405"/>
    <x v="1"/>
    <x v="1"/>
    <n v="7"/>
    <n v="15"/>
    <x v="20"/>
    <x v="9"/>
    <s v="cashloan"/>
    <n v="0"/>
  </r>
  <r>
    <x v="405"/>
    <x v="1"/>
    <x v="1"/>
    <n v="7"/>
    <n v="15"/>
    <x v="1"/>
    <x v="1"/>
    <s v="cashloan"/>
    <n v="31500000"/>
  </r>
  <r>
    <x v="405"/>
    <x v="1"/>
    <x v="1"/>
    <n v="7"/>
    <n v="15"/>
    <x v="23"/>
    <x v="17"/>
    <s v="paylater"/>
    <n v="1065398000"/>
  </r>
  <r>
    <x v="405"/>
    <x v="1"/>
    <x v="1"/>
    <n v="7"/>
    <n v="15"/>
    <x v="18"/>
    <x v="15"/>
    <s v="cashloan"/>
    <n v="313110000"/>
  </r>
  <r>
    <x v="405"/>
    <x v="1"/>
    <x v="1"/>
    <n v="7"/>
    <n v="15"/>
    <x v="3"/>
    <x v="3"/>
    <s v="cashloan"/>
    <n v="38900000"/>
  </r>
  <r>
    <x v="405"/>
    <x v="1"/>
    <x v="1"/>
    <n v="7"/>
    <n v="15"/>
    <x v="22"/>
    <x v="16"/>
    <s v="cashloan"/>
    <n v="0"/>
  </r>
  <r>
    <x v="405"/>
    <x v="1"/>
    <x v="1"/>
    <n v="7"/>
    <n v="15"/>
    <x v="19"/>
    <x v="12"/>
    <s v="paylater"/>
    <n v="201233782"/>
  </r>
  <r>
    <x v="405"/>
    <x v="1"/>
    <x v="1"/>
    <n v="7"/>
    <n v="15"/>
    <x v="11"/>
    <x v="10"/>
    <s v="paylater"/>
    <n v="187028028"/>
  </r>
  <r>
    <x v="405"/>
    <x v="1"/>
    <x v="1"/>
    <n v="7"/>
    <n v="15"/>
    <x v="5"/>
    <x v="5"/>
    <s v="overdraft"/>
    <n v="3357485465"/>
  </r>
  <r>
    <x v="405"/>
    <x v="1"/>
    <x v="1"/>
    <n v="7"/>
    <n v="15"/>
    <x v="12"/>
    <x v="11"/>
    <s v="cashloan"/>
    <n v="4407640000"/>
  </r>
  <r>
    <x v="405"/>
    <x v="1"/>
    <x v="1"/>
    <n v="7"/>
    <n v="15"/>
    <x v="0"/>
    <x v="0"/>
    <s v="payday"/>
    <n v="5526000000"/>
  </r>
  <r>
    <x v="405"/>
    <x v="1"/>
    <x v="1"/>
    <n v="7"/>
    <n v="15"/>
    <x v="2"/>
    <x v="2"/>
    <s v="cashloan"/>
    <n v="4483310000"/>
  </r>
  <r>
    <x v="406"/>
    <x v="1"/>
    <x v="1"/>
    <n v="7"/>
    <n v="16"/>
    <x v="22"/>
    <x v="16"/>
    <s v="cashloan"/>
    <n v="0"/>
  </r>
  <r>
    <x v="406"/>
    <x v="1"/>
    <x v="1"/>
    <n v="7"/>
    <n v="16"/>
    <x v="2"/>
    <x v="2"/>
    <s v="cashloan"/>
    <n v="4488310000"/>
  </r>
  <r>
    <x v="406"/>
    <x v="1"/>
    <x v="1"/>
    <n v="7"/>
    <n v="16"/>
    <x v="15"/>
    <x v="14"/>
    <s v="paylater"/>
    <n v="14139711"/>
  </r>
  <r>
    <x v="406"/>
    <x v="1"/>
    <x v="1"/>
    <n v="7"/>
    <n v="16"/>
    <x v="1"/>
    <x v="1"/>
    <s v="cashloan"/>
    <n v="50500000"/>
  </r>
  <r>
    <x v="406"/>
    <x v="1"/>
    <x v="1"/>
    <n v="7"/>
    <n v="16"/>
    <x v="6"/>
    <x v="6"/>
    <s v="payday"/>
    <n v="27000000"/>
  </r>
  <r>
    <x v="406"/>
    <x v="1"/>
    <x v="1"/>
    <n v="7"/>
    <n v="16"/>
    <x v="20"/>
    <x v="9"/>
    <s v="cashloan"/>
    <n v="0"/>
  </r>
  <r>
    <x v="406"/>
    <x v="1"/>
    <x v="1"/>
    <n v="7"/>
    <n v="16"/>
    <x v="17"/>
    <x v="9"/>
    <s v="cashloan"/>
    <n v="0"/>
  </r>
  <r>
    <x v="406"/>
    <x v="1"/>
    <x v="1"/>
    <n v="7"/>
    <n v="16"/>
    <x v="21"/>
    <x v="9"/>
    <s v="cashloan"/>
    <n v="0"/>
  </r>
  <r>
    <x v="406"/>
    <x v="1"/>
    <x v="1"/>
    <n v="7"/>
    <n v="16"/>
    <x v="23"/>
    <x v="17"/>
    <s v="paylater"/>
    <n v="0"/>
  </r>
  <r>
    <x v="406"/>
    <x v="1"/>
    <x v="1"/>
    <n v="7"/>
    <n v="16"/>
    <x v="0"/>
    <x v="0"/>
    <s v="payday"/>
    <n v="5071500000"/>
  </r>
  <r>
    <x v="406"/>
    <x v="1"/>
    <x v="1"/>
    <n v="7"/>
    <n v="16"/>
    <x v="18"/>
    <x v="15"/>
    <s v="cashloan"/>
    <n v="231000000"/>
  </r>
  <r>
    <x v="406"/>
    <x v="1"/>
    <x v="1"/>
    <n v="7"/>
    <n v="16"/>
    <x v="14"/>
    <x v="13"/>
    <s v="cashloan"/>
    <n v="470260000"/>
  </r>
  <r>
    <x v="406"/>
    <x v="1"/>
    <x v="1"/>
    <n v="7"/>
    <n v="16"/>
    <x v="19"/>
    <x v="12"/>
    <s v="paylater"/>
    <n v="225526077"/>
  </r>
  <r>
    <x v="406"/>
    <x v="1"/>
    <x v="1"/>
    <n v="7"/>
    <n v="16"/>
    <x v="8"/>
    <x v="8"/>
    <s v="cashloan"/>
    <n v="0"/>
  </r>
  <r>
    <x v="406"/>
    <x v="1"/>
    <x v="1"/>
    <n v="7"/>
    <n v="16"/>
    <x v="7"/>
    <x v="7"/>
    <s v="paylater"/>
    <n v="358593351"/>
  </r>
  <r>
    <x v="406"/>
    <x v="1"/>
    <x v="1"/>
    <n v="7"/>
    <n v="16"/>
    <x v="11"/>
    <x v="10"/>
    <s v="paylater"/>
    <n v="177821792"/>
  </r>
  <r>
    <x v="406"/>
    <x v="1"/>
    <x v="1"/>
    <n v="7"/>
    <n v="16"/>
    <x v="3"/>
    <x v="3"/>
    <s v="cashloan"/>
    <n v="15000000"/>
  </r>
  <r>
    <x v="406"/>
    <x v="1"/>
    <x v="1"/>
    <n v="7"/>
    <n v="16"/>
    <x v="5"/>
    <x v="5"/>
    <s v="overdraft"/>
    <n v="2498417876"/>
  </r>
  <r>
    <x v="406"/>
    <x v="1"/>
    <x v="1"/>
    <n v="7"/>
    <n v="16"/>
    <x v="12"/>
    <x v="11"/>
    <s v="cashloan"/>
    <n v="3874440000"/>
  </r>
  <r>
    <x v="407"/>
    <x v="1"/>
    <x v="1"/>
    <n v="8"/>
    <n v="17"/>
    <x v="18"/>
    <x v="15"/>
    <s v="cashloan"/>
    <n v="1049640000"/>
  </r>
  <r>
    <x v="407"/>
    <x v="1"/>
    <x v="1"/>
    <n v="8"/>
    <n v="17"/>
    <x v="14"/>
    <x v="13"/>
    <s v="cashloan"/>
    <n v="450930000"/>
  </r>
  <r>
    <x v="407"/>
    <x v="1"/>
    <x v="1"/>
    <n v="8"/>
    <n v="17"/>
    <x v="7"/>
    <x v="7"/>
    <s v="paylater"/>
    <n v="336790355"/>
  </r>
  <r>
    <x v="407"/>
    <x v="1"/>
    <x v="1"/>
    <n v="8"/>
    <n v="17"/>
    <x v="3"/>
    <x v="3"/>
    <s v="cashloan"/>
    <n v="0"/>
  </r>
  <r>
    <x v="407"/>
    <x v="1"/>
    <x v="1"/>
    <n v="8"/>
    <n v="17"/>
    <x v="19"/>
    <x v="12"/>
    <s v="paylater"/>
    <n v="255908532"/>
  </r>
  <r>
    <x v="407"/>
    <x v="1"/>
    <x v="1"/>
    <n v="8"/>
    <n v="17"/>
    <x v="11"/>
    <x v="10"/>
    <s v="paylater"/>
    <n v="162186781"/>
  </r>
  <r>
    <x v="407"/>
    <x v="1"/>
    <x v="1"/>
    <n v="8"/>
    <n v="17"/>
    <x v="12"/>
    <x v="11"/>
    <s v="cashloan"/>
    <n v="5194090000"/>
  </r>
  <r>
    <x v="407"/>
    <x v="1"/>
    <x v="1"/>
    <n v="8"/>
    <n v="17"/>
    <x v="17"/>
    <x v="9"/>
    <s v="cashloan"/>
    <n v="0"/>
  </r>
  <r>
    <x v="407"/>
    <x v="1"/>
    <x v="1"/>
    <n v="8"/>
    <n v="17"/>
    <x v="23"/>
    <x v="17"/>
    <s v="paylater"/>
    <n v="0"/>
  </r>
  <r>
    <x v="407"/>
    <x v="1"/>
    <x v="1"/>
    <n v="8"/>
    <n v="17"/>
    <x v="5"/>
    <x v="5"/>
    <s v="overdraft"/>
    <n v="3655665229"/>
  </r>
  <r>
    <x v="407"/>
    <x v="1"/>
    <x v="1"/>
    <n v="8"/>
    <n v="17"/>
    <x v="0"/>
    <x v="0"/>
    <s v="payday"/>
    <n v="5037500000"/>
  </r>
  <r>
    <x v="407"/>
    <x v="1"/>
    <x v="1"/>
    <n v="8"/>
    <n v="17"/>
    <x v="2"/>
    <x v="2"/>
    <s v="cashloan"/>
    <n v="4826850000"/>
  </r>
  <r>
    <x v="407"/>
    <x v="1"/>
    <x v="1"/>
    <n v="8"/>
    <n v="17"/>
    <x v="21"/>
    <x v="9"/>
    <s v="cashloan"/>
    <n v="0"/>
  </r>
  <r>
    <x v="407"/>
    <x v="1"/>
    <x v="1"/>
    <n v="8"/>
    <n v="17"/>
    <x v="22"/>
    <x v="16"/>
    <s v="cashloan"/>
    <n v="0"/>
  </r>
  <r>
    <x v="407"/>
    <x v="1"/>
    <x v="1"/>
    <n v="8"/>
    <n v="17"/>
    <x v="15"/>
    <x v="14"/>
    <s v="paylater"/>
    <n v="11763064"/>
  </r>
  <r>
    <x v="407"/>
    <x v="1"/>
    <x v="1"/>
    <n v="8"/>
    <n v="17"/>
    <x v="8"/>
    <x v="8"/>
    <s v="cashloan"/>
    <n v="0"/>
  </r>
  <r>
    <x v="407"/>
    <x v="1"/>
    <x v="1"/>
    <n v="8"/>
    <n v="17"/>
    <x v="1"/>
    <x v="1"/>
    <s v="cashloan"/>
    <n v="52500000"/>
  </r>
  <r>
    <x v="407"/>
    <x v="1"/>
    <x v="1"/>
    <n v="8"/>
    <n v="17"/>
    <x v="6"/>
    <x v="6"/>
    <s v="payday"/>
    <n v="86000000"/>
  </r>
  <r>
    <x v="407"/>
    <x v="1"/>
    <x v="1"/>
    <n v="8"/>
    <n v="17"/>
    <x v="20"/>
    <x v="9"/>
    <s v="cashloan"/>
    <n v="0"/>
  </r>
  <r>
    <x v="408"/>
    <x v="1"/>
    <x v="1"/>
    <n v="8"/>
    <n v="18"/>
    <x v="12"/>
    <x v="11"/>
    <s v="cashloan"/>
    <n v="4441940000"/>
  </r>
  <r>
    <x v="408"/>
    <x v="1"/>
    <x v="1"/>
    <n v="8"/>
    <n v="18"/>
    <x v="2"/>
    <x v="2"/>
    <s v="cashloan"/>
    <n v="5410730000"/>
  </r>
  <r>
    <x v="408"/>
    <x v="1"/>
    <x v="1"/>
    <n v="8"/>
    <n v="18"/>
    <x v="5"/>
    <x v="5"/>
    <s v="overdraft"/>
    <n v="3000763479"/>
  </r>
  <r>
    <x v="408"/>
    <x v="1"/>
    <x v="1"/>
    <n v="8"/>
    <n v="18"/>
    <x v="15"/>
    <x v="14"/>
    <s v="paylater"/>
    <n v="15001935"/>
  </r>
  <r>
    <x v="408"/>
    <x v="1"/>
    <x v="1"/>
    <n v="8"/>
    <n v="18"/>
    <x v="6"/>
    <x v="6"/>
    <s v="payday"/>
    <n v="83000000"/>
  </r>
  <r>
    <x v="408"/>
    <x v="1"/>
    <x v="1"/>
    <n v="8"/>
    <n v="18"/>
    <x v="20"/>
    <x v="9"/>
    <s v="cashloan"/>
    <n v="0"/>
  </r>
  <r>
    <x v="408"/>
    <x v="1"/>
    <x v="1"/>
    <n v="8"/>
    <n v="18"/>
    <x v="0"/>
    <x v="0"/>
    <s v="payday"/>
    <n v="5091500000"/>
  </r>
  <r>
    <x v="408"/>
    <x v="1"/>
    <x v="1"/>
    <n v="8"/>
    <n v="18"/>
    <x v="14"/>
    <x v="13"/>
    <s v="cashloan"/>
    <n v="534740000"/>
  </r>
  <r>
    <x v="408"/>
    <x v="1"/>
    <x v="1"/>
    <n v="8"/>
    <n v="18"/>
    <x v="22"/>
    <x v="16"/>
    <s v="cashloan"/>
    <n v="0"/>
  </r>
  <r>
    <x v="408"/>
    <x v="1"/>
    <x v="1"/>
    <n v="8"/>
    <n v="18"/>
    <x v="1"/>
    <x v="1"/>
    <s v="cashloan"/>
    <n v="0"/>
  </r>
  <r>
    <x v="408"/>
    <x v="1"/>
    <x v="1"/>
    <n v="8"/>
    <n v="18"/>
    <x v="8"/>
    <x v="8"/>
    <s v="cashloan"/>
    <n v="0"/>
  </r>
  <r>
    <x v="408"/>
    <x v="1"/>
    <x v="1"/>
    <n v="8"/>
    <n v="18"/>
    <x v="17"/>
    <x v="9"/>
    <s v="cashloan"/>
    <n v="0"/>
  </r>
  <r>
    <x v="408"/>
    <x v="1"/>
    <x v="1"/>
    <n v="8"/>
    <n v="18"/>
    <x v="21"/>
    <x v="9"/>
    <s v="cashloan"/>
    <n v="0"/>
  </r>
  <r>
    <x v="408"/>
    <x v="1"/>
    <x v="1"/>
    <n v="8"/>
    <n v="18"/>
    <x v="23"/>
    <x v="17"/>
    <s v="paylater"/>
    <n v="0"/>
  </r>
  <r>
    <x v="408"/>
    <x v="1"/>
    <x v="1"/>
    <n v="8"/>
    <n v="18"/>
    <x v="18"/>
    <x v="15"/>
    <s v="cashloan"/>
    <n v="204990000"/>
  </r>
  <r>
    <x v="408"/>
    <x v="1"/>
    <x v="1"/>
    <n v="8"/>
    <n v="18"/>
    <x v="3"/>
    <x v="3"/>
    <s v="cashloan"/>
    <n v="0"/>
  </r>
  <r>
    <x v="408"/>
    <x v="1"/>
    <x v="1"/>
    <n v="8"/>
    <n v="18"/>
    <x v="19"/>
    <x v="12"/>
    <s v="paylater"/>
    <n v="223699002"/>
  </r>
  <r>
    <x v="408"/>
    <x v="1"/>
    <x v="1"/>
    <n v="8"/>
    <n v="18"/>
    <x v="11"/>
    <x v="10"/>
    <s v="paylater"/>
    <n v="160177408"/>
  </r>
  <r>
    <x v="408"/>
    <x v="1"/>
    <x v="1"/>
    <n v="8"/>
    <n v="18"/>
    <x v="7"/>
    <x v="7"/>
    <s v="paylater"/>
    <n v="273306186"/>
  </r>
  <r>
    <x v="409"/>
    <x v="1"/>
    <x v="1"/>
    <n v="8"/>
    <n v="19"/>
    <x v="23"/>
    <x v="17"/>
    <s v="paylater"/>
    <n v="0"/>
  </r>
  <r>
    <x v="409"/>
    <x v="1"/>
    <x v="1"/>
    <n v="8"/>
    <n v="19"/>
    <x v="14"/>
    <x v="13"/>
    <s v="cashloan"/>
    <n v="584470000"/>
  </r>
  <r>
    <x v="409"/>
    <x v="1"/>
    <x v="1"/>
    <n v="8"/>
    <n v="19"/>
    <x v="7"/>
    <x v="7"/>
    <s v="paylater"/>
    <n v="315330502"/>
  </r>
  <r>
    <x v="409"/>
    <x v="1"/>
    <x v="1"/>
    <n v="8"/>
    <n v="19"/>
    <x v="19"/>
    <x v="12"/>
    <s v="paylater"/>
    <n v="236464313"/>
  </r>
  <r>
    <x v="409"/>
    <x v="1"/>
    <x v="1"/>
    <n v="8"/>
    <n v="19"/>
    <x v="1"/>
    <x v="1"/>
    <s v="cashloan"/>
    <n v="72500000"/>
  </r>
  <r>
    <x v="409"/>
    <x v="1"/>
    <x v="1"/>
    <n v="8"/>
    <n v="19"/>
    <x v="5"/>
    <x v="5"/>
    <s v="overdraft"/>
    <n v="2956404987"/>
  </r>
  <r>
    <x v="409"/>
    <x v="1"/>
    <x v="1"/>
    <n v="8"/>
    <n v="19"/>
    <x v="17"/>
    <x v="9"/>
    <s v="cashloan"/>
    <n v="0"/>
  </r>
  <r>
    <x v="409"/>
    <x v="1"/>
    <x v="1"/>
    <n v="8"/>
    <n v="19"/>
    <x v="12"/>
    <x v="11"/>
    <s v="cashloan"/>
    <n v="4440390000"/>
  </r>
  <r>
    <x v="409"/>
    <x v="1"/>
    <x v="1"/>
    <n v="8"/>
    <n v="19"/>
    <x v="0"/>
    <x v="0"/>
    <s v="payday"/>
    <n v="4972500000"/>
  </r>
  <r>
    <x v="409"/>
    <x v="1"/>
    <x v="1"/>
    <n v="8"/>
    <n v="19"/>
    <x v="18"/>
    <x v="15"/>
    <s v="cashloan"/>
    <n v="289280000"/>
  </r>
  <r>
    <x v="409"/>
    <x v="1"/>
    <x v="1"/>
    <n v="8"/>
    <n v="19"/>
    <x v="2"/>
    <x v="2"/>
    <s v="cashloan"/>
    <n v="4899710000"/>
  </r>
  <r>
    <x v="409"/>
    <x v="1"/>
    <x v="1"/>
    <n v="8"/>
    <n v="19"/>
    <x v="21"/>
    <x v="9"/>
    <s v="cashloan"/>
    <n v="0"/>
  </r>
  <r>
    <x v="409"/>
    <x v="1"/>
    <x v="1"/>
    <n v="8"/>
    <n v="19"/>
    <x v="6"/>
    <x v="6"/>
    <s v="payday"/>
    <n v="13000000"/>
  </r>
  <r>
    <x v="409"/>
    <x v="1"/>
    <x v="1"/>
    <n v="8"/>
    <n v="19"/>
    <x v="22"/>
    <x v="16"/>
    <s v="cashloan"/>
    <n v="0"/>
  </r>
  <r>
    <x v="409"/>
    <x v="1"/>
    <x v="1"/>
    <n v="8"/>
    <n v="19"/>
    <x v="11"/>
    <x v="10"/>
    <s v="paylater"/>
    <n v="138608683"/>
  </r>
  <r>
    <x v="409"/>
    <x v="1"/>
    <x v="1"/>
    <n v="8"/>
    <n v="19"/>
    <x v="20"/>
    <x v="9"/>
    <s v="cashloan"/>
    <n v="0"/>
  </r>
  <r>
    <x v="409"/>
    <x v="1"/>
    <x v="1"/>
    <n v="8"/>
    <n v="19"/>
    <x v="3"/>
    <x v="3"/>
    <s v="cashloan"/>
    <n v="0"/>
  </r>
  <r>
    <x v="409"/>
    <x v="1"/>
    <x v="1"/>
    <n v="8"/>
    <n v="19"/>
    <x v="15"/>
    <x v="14"/>
    <s v="paylater"/>
    <n v="9174199"/>
  </r>
  <r>
    <x v="409"/>
    <x v="1"/>
    <x v="1"/>
    <n v="8"/>
    <n v="19"/>
    <x v="8"/>
    <x v="8"/>
    <s v="cashloan"/>
    <n v="0"/>
  </r>
  <r>
    <x v="410"/>
    <x v="1"/>
    <x v="1"/>
    <n v="8"/>
    <n v="20"/>
    <x v="0"/>
    <x v="0"/>
    <s v="payday"/>
    <n v="5573000000"/>
  </r>
  <r>
    <x v="410"/>
    <x v="1"/>
    <x v="1"/>
    <n v="8"/>
    <n v="20"/>
    <x v="7"/>
    <x v="7"/>
    <s v="paylater"/>
    <n v="336373375"/>
  </r>
  <r>
    <x v="410"/>
    <x v="1"/>
    <x v="1"/>
    <n v="8"/>
    <n v="20"/>
    <x v="12"/>
    <x v="11"/>
    <s v="cashloan"/>
    <n v="4588730000"/>
  </r>
  <r>
    <x v="410"/>
    <x v="1"/>
    <x v="1"/>
    <n v="8"/>
    <n v="20"/>
    <x v="5"/>
    <x v="5"/>
    <s v="overdraft"/>
    <n v="3339081955"/>
  </r>
  <r>
    <x v="410"/>
    <x v="1"/>
    <x v="1"/>
    <n v="8"/>
    <n v="20"/>
    <x v="15"/>
    <x v="14"/>
    <s v="paylater"/>
    <n v="28163023"/>
  </r>
  <r>
    <x v="410"/>
    <x v="1"/>
    <x v="1"/>
    <n v="8"/>
    <n v="20"/>
    <x v="1"/>
    <x v="1"/>
    <s v="cashloan"/>
    <n v="99000000"/>
  </r>
  <r>
    <x v="410"/>
    <x v="1"/>
    <x v="1"/>
    <n v="8"/>
    <n v="20"/>
    <x v="6"/>
    <x v="6"/>
    <s v="payday"/>
    <n v="27000000"/>
  </r>
  <r>
    <x v="410"/>
    <x v="1"/>
    <x v="1"/>
    <n v="8"/>
    <n v="20"/>
    <x v="20"/>
    <x v="9"/>
    <s v="cashloan"/>
    <n v="0"/>
  </r>
  <r>
    <x v="410"/>
    <x v="1"/>
    <x v="1"/>
    <n v="8"/>
    <n v="20"/>
    <x v="17"/>
    <x v="9"/>
    <s v="cashloan"/>
    <n v="0"/>
  </r>
  <r>
    <x v="410"/>
    <x v="1"/>
    <x v="1"/>
    <n v="8"/>
    <n v="20"/>
    <x v="23"/>
    <x v="17"/>
    <s v="paylater"/>
    <n v="0"/>
  </r>
  <r>
    <x v="410"/>
    <x v="1"/>
    <x v="1"/>
    <n v="8"/>
    <n v="20"/>
    <x v="18"/>
    <x v="15"/>
    <s v="cashloan"/>
    <n v="410010000"/>
  </r>
  <r>
    <x v="410"/>
    <x v="1"/>
    <x v="1"/>
    <n v="8"/>
    <n v="20"/>
    <x v="22"/>
    <x v="16"/>
    <s v="cashloan"/>
    <n v="0"/>
  </r>
  <r>
    <x v="410"/>
    <x v="1"/>
    <x v="1"/>
    <n v="8"/>
    <n v="20"/>
    <x v="14"/>
    <x v="13"/>
    <s v="cashloan"/>
    <n v="540330000"/>
  </r>
  <r>
    <x v="410"/>
    <x v="1"/>
    <x v="1"/>
    <n v="8"/>
    <n v="20"/>
    <x v="3"/>
    <x v="3"/>
    <s v="cashloan"/>
    <n v="0"/>
  </r>
  <r>
    <x v="410"/>
    <x v="1"/>
    <x v="1"/>
    <n v="8"/>
    <n v="20"/>
    <x v="19"/>
    <x v="12"/>
    <s v="paylater"/>
    <n v="215290121"/>
  </r>
  <r>
    <x v="410"/>
    <x v="1"/>
    <x v="1"/>
    <n v="8"/>
    <n v="20"/>
    <x v="11"/>
    <x v="10"/>
    <s v="paylater"/>
    <n v="146227435"/>
  </r>
  <r>
    <x v="410"/>
    <x v="1"/>
    <x v="1"/>
    <n v="8"/>
    <n v="20"/>
    <x v="8"/>
    <x v="8"/>
    <s v="cashloan"/>
    <n v="0"/>
  </r>
  <r>
    <x v="410"/>
    <x v="1"/>
    <x v="1"/>
    <n v="8"/>
    <n v="20"/>
    <x v="2"/>
    <x v="2"/>
    <s v="cashloan"/>
    <n v="4868610000"/>
  </r>
  <r>
    <x v="410"/>
    <x v="1"/>
    <x v="1"/>
    <n v="8"/>
    <n v="20"/>
    <x v="21"/>
    <x v="9"/>
    <s v="cashloan"/>
    <n v="0"/>
  </r>
  <r>
    <x v="411"/>
    <x v="1"/>
    <x v="1"/>
    <n v="8"/>
    <n v="21"/>
    <x v="15"/>
    <x v="14"/>
    <s v="paylater"/>
    <n v="48294189"/>
  </r>
  <r>
    <x v="411"/>
    <x v="1"/>
    <x v="1"/>
    <n v="8"/>
    <n v="21"/>
    <x v="6"/>
    <x v="6"/>
    <s v="payday"/>
    <n v="66000000"/>
  </r>
  <r>
    <x v="411"/>
    <x v="1"/>
    <x v="1"/>
    <n v="8"/>
    <n v="21"/>
    <x v="1"/>
    <x v="1"/>
    <s v="cashloan"/>
    <n v="34650000"/>
  </r>
  <r>
    <x v="411"/>
    <x v="1"/>
    <x v="1"/>
    <n v="8"/>
    <n v="21"/>
    <x v="17"/>
    <x v="9"/>
    <s v="cashloan"/>
    <n v="0"/>
  </r>
  <r>
    <x v="411"/>
    <x v="1"/>
    <x v="1"/>
    <n v="8"/>
    <n v="21"/>
    <x v="22"/>
    <x v="16"/>
    <s v="cashloan"/>
    <n v="0"/>
  </r>
  <r>
    <x v="411"/>
    <x v="1"/>
    <x v="1"/>
    <n v="8"/>
    <n v="21"/>
    <x v="21"/>
    <x v="9"/>
    <s v="cashloan"/>
    <n v="0"/>
  </r>
  <r>
    <x v="411"/>
    <x v="1"/>
    <x v="1"/>
    <n v="8"/>
    <n v="21"/>
    <x v="2"/>
    <x v="2"/>
    <s v="cashloan"/>
    <n v="6263190000"/>
  </r>
  <r>
    <x v="411"/>
    <x v="1"/>
    <x v="1"/>
    <n v="8"/>
    <n v="21"/>
    <x v="23"/>
    <x v="17"/>
    <s v="paylater"/>
    <n v="0"/>
  </r>
  <r>
    <x v="411"/>
    <x v="1"/>
    <x v="1"/>
    <n v="8"/>
    <n v="21"/>
    <x v="18"/>
    <x v="15"/>
    <s v="cashloan"/>
    <n v="541250000"/>
  </r>
  <r>
    <x v="411"/>
    <x v="1"/>
    <x v="1"/>
    <n v="8"/>
    <n v="21"/>
    <x v="14"/>
    <x v="13"/>
    <s v="cashloan"/>
    <n v="838370000"/>
  </r>
  <r>
    <x v="411"/>
    <x v="1"/>
    <x v="1"/>
    <n v="8"/>
    <n v="21"/>
    <x v="3"/>
    <x v="3"/>
    <s v="cashloan"/>
    <n v="0"/>
  </r>
  <r>
    <x v="411"/>
    <x v="1"/>
    <x v="1"/>
    <n v="8"/>
    <n v="21"/>
    <x v="19"/>
    <x v="12"/>
    <s v="paylater"/>
    <n v="280519772"/>
  </r>
  <r>
    <x v="411"/>
    <x v="1"/>
    <x v="1"/>
    <n v="8"/>
    <n v="21"/>
    <x v="11"/>
    <x v="10"/>
    <s v="paylater"/>
    <n v="179084585"/>
  </r>
  <r>
    <x v="411"/>
    <x v="1"/>
    <x v="1"/>
    <n v="8"/>
    <n v="21"/>
    <x v="8"/>
    <x v="8"/>
    <s v="cashloan"/>
    <n v="0"/>
  </r>
  <r>
    <x v="411"/>
    <x v="1"/>
    <x v="1"/>
    <n v="8"/>
    <n v="21"/>
    <x v="7"/>
    <x v="7"/>
    <s v="paylater"/>
    <n v="331325421"/>
  </r>
  <r>
    <x v="411"/>
    <x v="1"/>
    <x v="1"/>
    <n v="8"/>
    <n v="21"/>
    <x v="5"/>
    <x v="5"/>
    <s v="overdraft"/>
    <n v="4223097675"/>
  </r>
  <r>
    <x v="411"/>
    <x v="1"/>
    <x v="1"/>
    <n v="8"/>
    <n v="21"/>
    <x v="12"/>
    <x v="11"/>
    <s v="cashloan"/>
    <n v="4051450000"/>
  </r>
  <r>
    <x v="411"/>
    <x v="1"/>
    <x v="1"/>
    <n v="8"/>
    <n v="21"/>
    <x v="0"/>
    <x v="0"/>
    <s v="payday"/>
    <n v="5085000000"/>
  </r>
  <r>
    <x v="411"/>
    <x v="1"/>
    <x v="1"/>
    <n v="8"/>
    <n v="21"/>
    <x v="20"/>
    <x v="9"/>
    <s v="cashloan"/>
    <n v="0"/>
  </r>
  <r>
    <x v="412"/>
    <x v="1"/>
    <x v="1"/>
    <n v="8"/>
    <n v="22"/>
    <x v="12"/>
    <x v="11"/>
    <s v="cashloan"/>
    <n v="3036430000"/>
  </r>
  <r>
    <x v="412"/>
    <x v="1"/>
    <x v="1"/>
    <n v="8"/>
    <n v="22"/>
    <x v="2"/>
    <x v="2"/>
    <s v="cashloan"/>
    <n v="5113960000"/>
  </r>
  <r>
    <x v="412"/>
    <x v="1"/>
    <x v="1"/>
    <n v="8"/>
    <n v="22"/>
    <x v="5"/>
    <x v="5"/>
    <s v="overdraft"/>
    <n v="2902878499"/>
  </r>
  <r>
    <x v="412"/>
    <x v="1"/>
    <x v="1"/>
    <n v="8"/>
    <n v="22"/>
    <x v="0"/>
    <x v="0"/>
    <s v="payday"/>
    <n v="4680000000"/>
  </r>
  <r>
    <x v="412"/>
    <x v="1"/>
    <x v="1"/>
    <n v="8"/>
    <n v="22"/>
    <x v="17"/>
    <x v="9"/>
    <s v="cashloan"/>
    <n v="0"/>
  </r>
  <r>
    <x v="412"/>
    <x v="1"/>
    <x v="1"/>
    <n v="8"/>
    <n v="22"/>
    <x v="7"/>
    <x v="7"/>
    <s v="paylater"/>
    <n v="322916986"/>
  </r>
  <r>
    <x v="412"/>
    <x v="1"/>
    <x v="1"/>
    <n v="8"/>
    <n v="22"/>
    <x v="22"/>
    <x v="16"/>
    <s v="cashloan"/>
    <n v="0"/>
  </r>
  <r>
    <x v="412"/>
    <x v="1"/>
    <x v="1"/>
    <n v="8"/>
    <n v="22"/>
    <x v="15"/>
    <x v="14"/>
    <s v="paylater"/>
    <n v="13569251"/>
  </r>
  <r>
    <x v="412"/>
    <x v="1"/>
    <x v="1"/>
    <n v="8"/>
    <n v="22"/>
    <x v="1"/>
    <x v="1"/>
    <s v="cashloan"/>
    <n v="10500000"/>
  </r>
  <r>
    <x v="412"/>
    <x v="1"/>
    <x v="1"/>
    <n v="8"/>
    <n v="22"/>
    <x v="6"/>
    <x v="6"/>
    <s v="payday"/>
    <n v="76000000"/>
  </r>
  <r>
    <x v="412"/>
    <x v="1"/>
    <x v="1"/>
    <n v="8"/>
    <n v="22"/>
    <x v="20"/>
    <x v="9"/>
    <s v="cashloan"/>
    <n v="0"/>
  </r>
  <r>
    <x v="412"/>
    <x v="1"/>
    <x v="1"/>
    <n v="8"/>
    <n v="22"/>
    <x v="8"/>
    <x v="8"/>
    <s v="cashloan"/>
    <n v="0"/>
  </r>
  <r>
    <x v="412"/>
    <x v="1"/>
    <x v="1"/>
    <n v="8"/>
    <n v="22"/>
    <x v="21"/>
    <x v="9"/>
    <s v="cashloan"/>
    <n v="0"/>
  </r>
  <r>
    <x v="412"/>
    <x v="1"/>
    <x v="1"/>
    <n v="8"/>
    <n v="22"/>
    <x v="23"/>
    <x v="17"/>
    <s v="paylater"/>
    <n v="0"/>
  </r>
  <r>
    <x v="412"/>
    <x v="1"/>
    <x v="1"/>
    <n v="8"/>
    <n v="22"/>
    <x v="18"/>
    <x v="15"/>
    <s v="cashloan"/>
    <n v="418560000"/>
  </r>
  <r>
    <x v="412"/>
    <x v="1"/>
    <x v="1"/>
    <n v="8"/>
    <n v="22"/>
    <x v="14"/>
    <x v="13"/>
    <s v="cashloan"/>
    <n v="684600000"/>
  </r>
  <r>
    <x v="412"/>
    <x v="1"/>
    <x v="1"/>
    <n v="8"/>
    <n v="22"/>
    <x v="3"/>
    <x v="3"/>
    <s v="cashloan"/>
    <n v="0"/>
  </r>
  <r>
    <x v="412"/>
    <x v="1"/>
    <x v="1"/>
    <n v="8"/>
    <n v="22"/>
    <x v="19"/>
    <x v="12"/>
    <s v="paylater"/>
    <n v="255218007"/>
  </r>
  <r>
    <x v="412"/>
    <x v="1"/>
    <x v="1"/>
    <n v="8"/>
    <n v="22"/>
    <x v="11"/>
    <x v="10"/>
    <s v="paylater"/>
    <n v="177359450"/>
  </r>
  <r>
    <x v="413"/>
    <x v="1"/>
    <x v="1"/>
    <n v="8"/>
    <n v="23"/>
    <x v="8"/>
    <x v="8"/>
    <s v="cashloan"/>
    <n v="0"/>
  </r>
  <r>
    <x v="413"/>
    <x v="1"/>
    <x v="1"/>
    <n v="8"/>
    <n v="23"/>
    <x v="6"/>
    <x v="6"/>
    <s v="payday"/>
    <n v="50000000"/>
  </r>
  <r>
    <x v="413"/>
    <x v="1"/>
    <x v="1"/>
    <n v="8"/>
    <n v="23"/>
    <x v="15"/>
    <x v="14"/>
    <s v="paylater"/>
    <n v="24417158"/>
  </r>
  <r>
    <x v="413"/>
    <x v="1"/>
    <x v="1"/>
    <n v="8"/>
    <n v="23"/>
    <x v="17"/>
    <x v="9"/>
    <s v="cashloan"/>
    <n v="0"/>
  </r>
  <r>
    <x v="413"/>
    <x v="1"/>
    <x v="1"/>
    <n v="8"/>
    <n v="23"/>
    <x v="21"/>
    <x v="9"/>
    <s v="cashloan"/>
    <n v="0"/>
  </r>
  <r>
    <x v="413"/>
    <x v="1"/>
    <x v="1"/>
    <n v="8"/>
    <n v="23"/>
    <x v="12"/>
    <x v="11"/>
    <s v="cashloan"/>
    <n v="3288440000"/>
  </r>
  <r>
    <x v="413"/>
    <x v="1"/>
    <x v="1"/>
    <n v="8"/>
    <n v="23"/>
    <x v="23"/>
    <x v="17"/>
    <s v="paylater"/>
    <n v="0"/>
  </r>
  <r>
    <x v="413"/>
    <x v="1"/>
    <x v="1"/>
    <n v="8"/>
    <n v="23"/>
    <x v="18"/>
    <x v="15"/>
    <s v="cashloan"/>
    <n v="379210000"/>
  </r>
  <r>
    <x v="413"/>
    <x v="1"/>
    <x v="1"/>
    <n v="8"/>
    <n v="23"/>
    <x v="14"/>
    <x v="13"/>
    <s v="cashloan"/>
    <n v="578540000"/>
  </r>
  <r>
    <x v="413"/>
    <x v="1"/>
    <x v="1"/>
    <n v="8"/>
    <n v="23"/>
    <x v="3"/>
    <x v="3"/>
    <s v="cashloan"/>
    <n v="32600000"/>
  </r>
  <r>
    <x v="413"/>
    <x v="1"/>
    <x v="1"/>
    <n v="8"/>
    <n v="23"/>
    <x v="19"/>
    <x v="12"/>
    <s v="paylater"/>
    <n v="182687871"/>
  </r>
  <r>
    <x v="413"/>
    <x v="1"/>
    <x v="1"/>
    <n v="8"/>
    <n v="23"/>
    <x v="11"/>
    <x v="10"/>
    <s v="paylater"/>
    <n v="153533644"/>
  </r>
  <r>
    <x v="413"/>
    <x v="1"/>
    <x v="1"/>
    <n v="8"/>
    <n v="23"/>
    <x v="22"/>
    <x v="16"/>
    <s v="cashloan"/>
    <n v="0"/>
  </r>
  <r>
    <x v="413"/>
    <x v="1"/>
    <x v="1"/>
    <n v="8"/>
    <n v="23"/>
    <x v="20"/>
    <x v="9"/>
    <s v="cashloan"/>
    <n v="0"/>
  </r>
  <r>
    <x v="413"/>
    <x v="1"/>
    <x v="1"/>
    <n v="8"/>
    <n v="23"/>
    <x v="0"/>
    <x v="0"/>
    <s v="payday"/>
    <n v="4382500000"/>
  </r>
  <r>
    <x v="413"/>
    <x v="1"/>
    <x v="1"/>
    <n v="8"/>
    <n v="23"/>
    <x v="1"/>
    <x v="1"/>
    <s v="cashloan"/>
    <n v="31500000"/>
  </r>
  <r>
    <x v="413"/>
    <x v="1"/>
    <x v="1"/>
    <n v="8"/>
    <n v="23"/>
    <x v="2"/>
    <x v="2"/>
    <s v="cashloan"/>
    <n v="5054380000"/>
  </r>
  <r>
    <x v="413"/>
    <x v="1"/>
    <x v="1"/>
    <n v="8"/>
    <n v="23"/>
    <x v="7"/>
    <x v="7"/>
    <s v="paylater"/>
    <n v="249714650"/>
  </r>
  <r>
    <x v="413"/>
    <x v="1"/>
    <x v="1"/>
    <n v="8"/>
    <n v="23"/>
    <x v="5"/>
    <x v="5"/>
    <s v="overdraft"/>
    <n v="2827181839"/>
  </r>
  <r>
    <x v="414"/>
    <x v="1"/>
    <x v="1"/>
    <n v="9"/>
    <n v="24"/>
    <x v="14"/>
    <x v="13"/>
    <s v="cashloan"/>
    <n v="662840000"/>
  </r>
  <r>
    <x v="414"/>
    <x v="1"/>
    <x v="1"/>
    <n v="9"/>
    <n v="24"/>
    <x v="21"/>
    <x v="9"/>
    <s v="cashloan"/>
    <n v="0"/>
  </r>
  <r>
    <x v="414"/>
    <x v="1"/>
    <x v="1"/>
    <n v="9"/>
    <n v="24"/>
    <x v="2"/>
    <x v="2"/>
    <s v="cashloan"/>
    <n v="4987730000"/>
  </r>
  <r>
    <x v="414"/>
    <x v="1"/>
    <x v="1"/>
    <n v="9"/>
    <n v="24"/>
    <x v="19"/>
    <x v="12"/>
    <s v="paylater"/>
    <n v="261242863"/>
  </r>
  <r>
    <x v="414"/>
    <x v="1"/>
    <x v="1"/>
    <n v="9"/>
    <n v="24"/>
    <x v="15"/>
    <x v="14"/>
    <s v="paylater"/>
    <n v="13963624"/>
  </r>
  <r>
    <x v="414"/>
    <x v="1"/>
    <x v="1"/>
    <n v="9"/>
    <n v="24"/>
    <x v="1"/>
    <x v="1"/>
    <s v="cashloan"/>
    <n v="31500000"/>
  </r>
  <r>
    <x v="414"/>
    <x v="1"/>
    <x v="1"/>
    <n v="9"/>
    <n v="24"/>
    <x v="6"/>
    <x v="6"/>
    <s v="payday"/>
    <n v="66000000"/>
  </r>
  <r>
    <x v="414"/>
    <x v="1"/>
    <x v="1"/>
    <n v="9"/>
    <n v="24"/>
    <x v="20"/>
    <x v="9"/>
    <s v="cashloan"/>
    <n v="0"/>
  </r>
  <r>
    <x v="414"/>
    <x v="1"/>
    <x v="1"/>
    <n v="9"/>
    <n v="24"/>
    <x v="17"/>
    <x v="9"/>
    <s v="cashloan"/>
    <n v="0"/>
  </r>
  <r>
    <x v="414"/>
    <x v="1"/>
    <x v="1"/>
    <n v="9"/>
    <n v="24"/>
    <x v="23"/>
    <x v="17"/>
    <s v="paylater"/>
    <n v="0"/>
  </r>
  <r>
    <x v="414"/>
    <x v="1"/>
    <x v="1"/>
    <n v="9"/>
    <n v="24"/>
    <x v="22"/>
    <x v="16"/>
    <s v="cashloan"/>
    <n v="0"/>
  </r>
  <r>
    <x v="414"/>
    <x v="1"/>
    <x v="1"/>
    <n v="9"/>
    <n v="24"/>
    <x v="18"/>
    <x v="15"/>
    <s v="cashloan"/>
    <n v="398490000"/>
  </r>
  <r>
    <x v="414"/>
    <x v="1"/>
    <x v="1"/>
    <n v="9"/>
    <n v="24"/>
    <x v="3"/>
    <x v="3"/>
    <s v="cashloan"/>
    <n v="0"/>
  </r>
  <r>
    <x v="414"/>
    <x v="1"/>
    <x v="1"/>
    <n v="9"/>
    <n v="24"/>
    <x v="11"/>
    <x v="10"/>
    <s v="paylater"/>
    <n v="142709997"/>
  </r>
  <r>
    <x v="414"/>
    <x v="1"/>
    <x v="1"/>
    <n v="9"/>
    <n v="24"/>
    <x v="8"/>
    <x v="8"/>
    <s v="cashloan"/>
    <n v="0"/>
  </r>
  <r>
    <x v="414"/>
    <x v="1"/>
    <x v="1"/>
    <n v="9"/>
    <n v="24"/>
    <x v="7"/>
    <x v="7"/>
    <s v="paylater"/>
    <n v="323234625"/>
  </r>
  <r>
    <x v="414"/>
    <x v="1"/>
    <x v="1"/>
    <n v="9"/>
    <n v="24"/>
    <x v="5"/>
    <x v="5"/>
    <s v="overdraft"/>
    <n v="3269945427"/>
  </r>
  <r>
    <x v="414"/>
    <x v="1"/>
    <x v="1"/>
    <n v="9"/>
    <n v="24"/>
    <x v="12"/>
    <x v="11"/>
    <s v="cashloan"/>
    <n v="3987960000"/>
  </r>
  <r>
    <x v="414"/>
    <x v="1"/>
    <x v="1"/>
    <n v="9"/>
    <n v="24"/>
    <x v="0"/>
    <x v="0"/>
    <s v="payday"/>
    <n v="4273000000"/>
  </r>
  <r>
    <x v="415"/>
    <x v="1"/>
    <x v="1"/>
    <n v="9"/>
    <n v="25"/>
    <x v="2"/>
    <x v="2"/>
    <s v="cashloan"/>
    <n v="5469880000"/>
  </r>
  <r>
    <x v="415"/>
    <x v="1"/>
    <x v="1"/>
    <n v="9"/>
    <n v="25"/>
    <x v="22"/>
    <x v="16"/>
    <s v="cashloan"/>
    <n v="0"/>
  </r>
  <r>
    <x v="415"/>
    <x v="1"/>
    <x v="1"/>
    <n v="9"/>
    <n v="25"/>
    <x v="20"/>
    <x v="9"/>
    <s v="cashloan"/>
    <n v="0"/>
  </r>
  <r>
    <x v="415"/>
    <x v="1"/>
    <x v="1"/>
    <n v="9"/>
    <n v="25"/>
    <x v="12"/>
    <x v="11"/>
    <s v="cashloan"/>
    <n v="4633550000"/>
  </r>
  <r>
    <x v="415"/>
    <x v="1"/>
    <x v="1"/>
    <n v="9"/>
    <n v="25"/>
    <x v="15"/>
    <x v="14"/>
    <s v="paylater"/>
    <n v="32865413"/>
  </r>
  <r>
    <x v="415"/>
    <x v="1"/>
    <x v="1"/>
    <n v="9"/>
    <n v="25"/>
    <x v="1"/>
    <x v="1"/>
    <s v="cashloan"/>
    <n v="0"/>
  </r>
  <r>
    <x v="415"/>
    <x v="1"/>
    <x v="1"/>
    <n v="9"/>
    <n v="25"/>
    <x v="0"/>
    <x v="0"/>
    <s v="payday"/>
    <n v="4964000000"/>
  </r>
  <r>
    <x v="415"/>
    <x v="1"/>
    <x v="1"/>
    <n v="9"/>
    <n v="25"/>
    <x v="17"/>
    <x v="9"/>
    <s v="cashloan"/>
    <n v="10700000"/>
  </r>
  <r>
    <x v="415"/>
    <x v="1"/>
    <x v="1"/>
    <n v="9"/>
    <n v="25"/>
    <x v="21"/>
    <x v="9"/>
    <s v="cashloan"/>
    <n v="0"/>
  </r>
  <r>
    <x v="415"/>
    <x v="1"/>
    <x v="1"/>
    <n v="9"/>
    <n v="25"/>
    <x v="23"/>
    <x v="17"/>
    <s v="paylater"/>
    <n v="0"/>
  </r>
  <r>
    <x v="415"/>
    <x v="1"/>
    <x v="1"/>
    <n v="9"/>
    <n v="25"/>
    <x v="18"/>
    <x v="15"/>
    <s v="cashloan"/>
    <n v="424930000"/>
  </r>
  <r>
    <x v="415"/>
    <x v="1"/>
    <x v="1"/>
    <n v="9"/>
    <n v="25"/>
    <x v="3"/>
    <x v="3"/>
    <s v="cashloan"/>
    <n v="0"/>
  </r>
  <r>
    <x v="415"/>
    <x v="1"/>
    <x v="1"/>
    <n v="9"/>
    <n v="25"/>
    <x v="14"/>
    <x v="13"/>
    <s v="cashloan"/>
    <n v="522740000"/>
  </r>
  <r>
    <x v="415"/>
    <x v="1"/>
    <x v="1"/>
    <n v="9"/>
    <n v="25"/>
    <x v="19"/>
    <x v="12"/>
    <s v="paylater"/>
    <n v="305062624"/>
  </r>
  <r>
    <x v="415"/>
    <x v="1"/>
    <x v="1"/>
    <n v="9"/>
    <n v="25"/>
    <x v="11"/>
    <x v="10"/>
    <s v="paylater"/>
    <n v="195796124"/>
  </r>
  <r>
    <x v="415"/>
    <x v="1"/>
    <x v="1"/>
    <n v="9"/>
    <n v="25"/>
    <x v="6"/>
    <x v="6"/>
    <s v="payday"/>
    <n v="65000000"/>
  </r>
  <r>
    <x v="415"/>
    <x v="1"/>
    <x v="1"/>
    <n v="9"/>
    <n v="25"/>
    <x v="8"/>
    <x v="8"/>
    <s v="cashloan"/>
    <n v="0"/>
  </r>
  <r>
    <x v="415"/>
    <x v="1"/>
    <x v="1"/>
    <n v="9"/>
    <n v="25"/>
    <x v="7"/>
    <x v="7"/>
    <s v="paylater"/>
    <n v="327525624"/>
  </r>
  <r>
    <x v="415"/>
    <x v="1"/>
    <x v="1"/>
    <n v="9"/>
    <n v="25"/>
    <x v="5"/>
    <x v="5"/>
    <s v="overdraft"/>
    <n v="3465615251"/>
  </r>
  <r>
    <x v="416"/>
    <x v="1"/>
    <x v="1"/>
    <n v="9"/>
    <n v="26"/>
    <x v="11"/>
    <x v="10"/>
    <s v="paylater"/>
    <n v="154268875"/>
  </r>
  <r>
    <x v="416"/>
    <x v="1"/>
    <x v="1"/>
    <n v="9"/>
    <n v="26"/>
    <x v="15"/>
    <x v="14"/>
    <s v="paylater"/>
    <n v="6545017"/>
  </r>
  <r>
    <x v="416"/>
    <x v="1"/>
    <x v="1"/>
    <n v="9"/>
    <n v="26"/>
    <x v="5"/>
    <x v="5"/>
    <s v="overdraft"/>
    <n v="3674797398"/>
  </r>
  <r>
    <x v="416"/>
    <x v="1"/>
    <x v="1"/>
    <n v="9"/>
    <n v="26"/>
    <x v="19"/>
    <x v="12"/>
    <s v="paylater"/>
    <n v="251266708"/>
  </r>
  <r>
    <x v="416"/>
    <x v="1"/>
    <x v="1"/>
    <n v="9"/>
    <n v="26"/>
    <x v="12"/>
    <x v="11"/>
    <s v="cashloan"/>
    <n v="4485520000"/>
  </r>
  <r>
    <x v="416"/>
    <x v="1"/>
    <x v="1"/>
    <n v="9"/>
    <n v="26"/>
    <x v="1"/>
    <x v="1"/>
    <s v="cashloan"/>
    <n v="41500000"/>
  </r>
  <r>
    <x v="416"/>
    <x v="1"/>
    <x v="1"/>
    <n v="9"/>
    <n v="26"/>
    <x v="2"/>
    <x v="2"/>
    <s v="cashloan"/>
    <n v="6094910000"/>
  </r>
  <r>
    <x v="416"/>
    <x v="1"/>
    <x v="1"/>
    <n v="9"/>
    <n v="26"/>
    <x v="21"/>
    <x v="9"/>
    <s v="cashloan"/>
    <n v="0"/>
  </r>
  <r>
    <x v="416"/>
    <x v="1"/>
    <x v="1"/>
    <n v="9"/>
    <n v="26"/>
    <x v="7"/>
    <x v="7"/>
    <s v="paylater"/>
    <n v="310744497"/>
  </r>
  <r>
    <x v="416"/>
    <x v="1"/>
    <x v="1"/>
    <n v="9"/>
    <n v="26"/>
    <x v="0"/>
    <x v="0"/>
    <s v="payday"/>
    <n v="4474000000"/>
  </r>
  <r>
    <x v="416"/>
    <x v="1"/>
    <x v="1"/>
    <n v="9"/>
    <n v="26"/>
    <x v="3"/>
    <x v="3"/>
    <s v="cashloan"/>
    <n v="0"/>
  </r>
  <r>
    <x v="416"/>
    <x v="1"/>
    <x v="1"/>
    <n v="9"/>
    <n v="26"/>
    <x v="14"/>
    <x v="13"/>
    <s v="cashloan"/>
    <n v="777140000"/>
  </r>
  <r>
    <x v="416"/>
    <x v="1"/>
    <x v="1"/>
    <n v="9"/>
    <n v="26"/>
    <x v="18"/>
    <x v="15"/>
    <s v="cashloan"/>
    <n v="372680000"/>
  </r>
  <r>
    <x v="416"/>
    <x v="1"/>
    <x v="1"/>
    <n v="9"/>
    <n v="26"/>
    <x v="8"/>
    <x v="8"/>
    <s v="cashloan"/>
    <n v="0"/>
  </r>
  <r>
    <x v="416"/>
    <x v="1"/>
    <x v="1"/>
    <n v="9"/>
    <n v="26"/>
    <x v="22"/>
    <x v="16"/>
    <s v="cashloan"/>
    <n v="0"/>
  </r>
  <r>
    <x v="416"/>
    <x v="1"/>
    <x v="1"/>
    <n v="9"/>
    <n v="26"/>
    <x v="23"/>
    <x v="17"/>
    <s v="paylater"/>
    <n v="0"/>
  </r>
  <r>
    <x v="416"/>
    <x v="1"/>
    <x v="1"/>
    <n v="9"/>
    <n v="26"/>
    <x v="6"/>
    <x v="6"/>
    <s v="payday"/>
    <n v="86000000"/>
  </r>
  <r>
    <x v="416"/>
    <x v="1"/>
    <x v="1"/>
    <n v="9"/>
    <n v="26"/>
    <x v="17"/>
    <x v="9"/>
    <s v="cashloan"/>
    <n v="0"/>
  </r>
  <r>
    <x v="416"/>
    <x v="1"/>
    <x v="1"/>
    <n v="9"/>
    <n v="26"/>
    <x v="20"/>
    <x v="9"/>
    <s v="cashloan"/>
    <n v="0"/>
  </r>
  <r>
    <x v="417"/>
    <x v="1"/>
    <x v="1"/>
    <n v="9"/>
    <n v="27"/>
    <x v="15"/>
    <x v="14"/>
    <s v="paylater"/>
    <n v="10349695"/>
  </r>
  <r>
    <x v="417"/>
    <x v="1"/>
    <x v="1"/>
    <n v="9"/>
    <n v="27"/>
    <x v="1"/>
    <x v="1"/>
    <s v="cashloan"/>
    <n v="56750000"/>
  </r>
  <r>
    <x v="417"/>
    <x v="1"/>
    <x v="1"/>
    <n v="9"/>
    <n v="27"/>
    <x v="2"/>
    <x v="2"/>
    <s v="cashloan"/>
    <n v="5584100000"/>
  </r>
  <r>
    <x v="417"/>
    <x v="1"/>
    <x v="1"/>
    <n v="9"/>
    <n v="27"/>
    <x v="20"/>
    <x v="9"/>
    <s v="cashloan"/>
    <n v="0"/>
  </r>
  <r>
    <x v="417"/>
    <x v="1"/>
    <x v="1"/>
    <n v="9"/>
    <n v="27"/>
    <x v="17"/>
    <x v="9"/>
    <s v="cashloan"/>
    <n v="0"/>
  </r>
  <r>
    <x v="417"/>
    <x v="1"/>
    <x v="1"/>
    <n v="9"/>
    <n v="27"/>
    <x v="5"/>
    <x v="5"/>
    <s v="overdraft"/>
    <n v="3460854161"/>
  </r>
  <r>
    <x v="417"/>
    <x v="1"/>
    <x v="1"/>
    <n v="9"/>
    <n v="27"/>
    <x v="23"/>
    <x v="17"/>
    <s v="paylater"/>
    <n v="0"/>
  </r>
  <r>
    <x v="417"/>
    <x v="1"/>
    <x v="1"/>
    <n v="9"/>
    <n v="27"/>
    <x v="18"/>
    <x v="15"/>
    <s v="cashloan"/>
    <n v="243040000"/>
  </r>
  <r>
    <x v="417"/>
    <x v="1"/>
    <x v="1"/>
    <n v="9"/>
    <n v="27"/>
    <x v="6"/>
    <x v="6"/>
    <s v="payday"/>
    <n v="57000000"/>
  </r>
  <r>
    <x v="417"/>
    <x v="1"/>
    <x v="1"/>
    <n v="9"/>
    <n v="27"/>
    <x v="3"/>
    <x v="3"/>
    <s v="cashloan"/>
    <n v="0"/>
  </r>
  <r>
    <x v="417"/>
    <x v="1"/>
    <x v="1"/>
    <n v="9"/>
    <n v="27"/>
    <x v="14"/>
    <x v="13"/>
    <s v="cashloan"/>
    <n v="588760000"/>
  </r>
  <r>
    <x v="417"/>
    <x v="1"/>
    <x v="1"/>
    <n v="9"/>
    <n v="27"/>
    <x v="19"/>
    <x v="12"/>
    <s v="paylater"/>
    <n v="307904611"/>
  </r>
  <r>
    <x v="417"/>
    <x v="1"/>
    <x v="1"/>
    <n v="9"/>
    <n v="27"/>
    <x v="11"/>
    <x v="10"/>
    <s v="paylater"/>
    <n v="164011710"/>
  </r>
  <r>
    <x v="417"/>
    <x v="1"/>
    <x v="1"/>
    <n v="9"/>
    <n v="27"/>
    <x v="8"/>
    <x v="8"/>
    <s v="cashloan"/>
    <n v="0"/>
  </r>
  <r>
    <x v="417"/>
    <x v="1"/>
    <x v="1"/>
    <n v="9"/>
    <n v="27"/>
    <x v="12"/>
    <x v="11"/>
    <s v="cashloan"/>
    <n v="4553750000"/>
  </r>
  <r>
    <x v="417"/>
    <x v="1"/>
    <x v="1"/>
    <n v="9"/>
    <n v="27"/>
    <x v="21"/>
    <x v="9"/>
    <s v="cashloan"/>
    <n v="0"/>
  </r>
  <r>
    <x v="417"/>
    <x v="1"/>
    <x v="1"/>
    <n v="9"/>
    <n v="27"/>
    <x v="0"/>
    <x v="0"/>
    <s v="payday"/>
    <n v="4569500000"/>
  </r>
  <r>
    <x v="417"/>
    <x v="1"/>
    <x v="1"/>
    <n v="9"/>
    <n v="27"/>
    <x v="7"/>
    <x v="7"/>
    <s v="paylater"/>
    <n v="297727139"/>
  </r>
  <r>
    <x v="417"/>
    <x v="1"/>
    <x v="1"/>
    <n v="9"/>
    <n v="27"/>
    <x v="22"/>
    <x v="16"/>
    <s v="cashloan"/>
    <n v="0"/>
  </r>
  <r>
    <x v="418"/>
    <x v="1"/>
    <x v="1"/>
    <n v="9"/>
    <n v="28"/>
    <x v="12"/>
    <x v="11"/>
    <s v="cashloan"/>
    <n v="5206800000"/>
  </r>
  <r>
    <x v="418"/>
    <x v="1"/>
    <x v="1"/>
    <n v="9"/>
    <n v="28"/>
    <x v="0"/>
    <x v="0"/>
    <s v="payday"/>
    <n v="5084000000"/>
  </r>
  <r>
    <x v="418"/>
    <x v="1"/>
    <x v="1"/>
    <n v="9"/>
    <n v="28"/>
    <x v="5"/>
    <x v="5"/>
    <s v="overdraft"/>
    <n v="4491892021"/>
  </r>
  <r>
    <x v="418"/>
    <x v="1"/>
    <x v="1"/>
    <n v="9"/>
    <n v="28"/>
    <x v="2"/>
    <x v="2"/>
    <s v="cashloan"/>
    <n v="7097440000"/>
  </r>
  <r>
    <x v="418"/>
    <x v="1"/>
    <x v="1"/>
    <n v="9"/>
    <n v="28"/>
    <x v="7"/>
    <x v="7"/>
    <s v="paylater"/>
    <n v="337082779"/>
  </r>
  <r>
    <x v="418"/>
    <x v="1"/>
    <x v="1"/>
    <n v="9"/>
    <n v="28"/>
    <x v="15"/>
    <x v="14"/>
    <s v="paylater"/>
    <n v="30809847"/>
  </r>
  <r>
    <x v="418"/>
    <x v="1"/>
    <x v="1"/>
    <n v="9"/>
    <n v="28"/>
    <x v="1"/>
    <x v="1"/>
    <s v="cashloan"/>
    <n v="70350000"/>
  </r>
  <r>
    <x v="418"/>
    <x v="1"/>
    <x v="1"/>
    <n v="9"/>
    <n v="28"/>
    <x v="6"/>
    <x v="6"/>
    <s v="payday"/>
    <n v="45000000"/>
  </r>
  <r>
    <x v="418"/>
    <x v="1"/>
    <x v="1"/>
    <n v="9"/>
    <n v="28"/>
    <x v="22"/>
    <x v="16"/>
    <s v="cashloan"/>
    <n v="0"/>
  </r>
  <r>
    <x v="418"/>
    <x v="1"/>
    <x v="1"/>
    <n v="9"/>
    <n v="28"/>
    <x v="20"/>
    <x v="9"/>
    <s v="cashloan"/>
    <n v="0"/>
  </r>
  <r>
    <x v="418"/>
    <x v="1"/>
    <x v="1"/>
    <n v="9"/>
    <n v="28"/>
    <x v="17"/>
    <x v="9"/>
    <s v="cashloan"/>
    <n v="21400000"/>
  </r>
  <r>
    <x v="418"/>
    <x v="1"/>
    <x v="1"/>
    <n v="9"/>
    <n v="28"/>
    <x v="21"/>
    <x v="9"/>
    <s v="cashloan"/>
    <n v="0"/>
  </r>
  <r>
    <x v="418"/>
    <x v="1"/>
    <x v="1"/>
    <n v="9"/>
    <n v="28"/>
    <x v="23"/>
    <x v="17"/>
    <s v="paylater"/>
    <n v="0"/>
  </r>
  <r>
    <x v="418"/>
    <x v="1"/>
    <x v="1"/>
    <n v="9"/>
    <n v="28"/>
    <x v="18"/>
    <x v="15"/>
    <s v="cashloan"/>
    <n v="522720000"/>
  </r>
  <r>
    <x v="418"/>
    <x v="1"/>
    <x v="1"/>
    <n v="9"/>
    <n v="28"/>
    <x v="3"/>
    <x v="3"/>
    <s v="cashloan"/>
    <n v="0"/>
  </r>
  <r>
    <x v="418"/>
    <x v="1"/>
    <x v="1"/>
    <n v="9"/>
    <n v="28"/>
    <x v="14"/>
    <x v="13"/>
    <s v="cashloan"/>
    <n v="610460000"/>
  </r>
  <r>
    <x v="418"/>
    <x v="1"/>
    <x v="1"/>
    <n v="9"/>
    <n v="28"/>
    <x v="19"/>
    <x v="12"/>
    <s v="paylater"/>
    <n v="316317756"/>
  </r>
  <r>
    <x v="418"/>
    <x v="1"/>
    <x v="1"/>
    <n v="9"/>
    <n v="28"/>
    <x v="11"/>
    <x v="10"/>
    <s v="paylater"/>
    <n v="173746955"/>
  </r>
  <r>
    <x v="418"/>
    <x v="1"/>
    <x v="1"/>
    <n v="9"/>
    <n v="28"/>
    <x v="8"/>
    <x v="8"/>
    <s v="cashloan"/>
    <n v="0"/>
  </r>
  <r>
    <x v="419"/>
    <x v="1"/>
    <x v="2"/>
    <n v="9"/>
    <n v="1"/>
    <x v="2"/>
    <x v="2"/>
    <s v="cashloan"/>
    <n v="5041030000"/>
  </r>
  <r>
    <x v="419"/>
    <x v="1"/>
    <x v="2"/>
    <n v="9"/>
    <n v="1"/>
    <x v="5"/>
    <x v="5"/>
    <s v="overdraft"/>
    <n v="5237116660"/>
  </r>
  <r>
    <x v="419"/>
    <x v="1"/>
    <x v="2"/>
    <n v="9"/>
    <n v="1"/>
    <x v="12"/>
    <x v="11"/>
    <s v="cashloan"/>
    <n v="4961980000"/>
  </r>
  <r>
    <x v="419"/>
    <x v="1"/>
    <x v="2"/>
    <n v="9"/>
    <n v="1"/>
    <x v="15"/>
    <x v="14"/>
    <s v="paylater"/>
    <n v="23112189"/>
  </r>
  <r>
    <x v="419"/>
    <x v="1"/>
    <x v="2"/>
    <n v="9"/>
    <n v="1"/>
    <x v="22"/>
    <x v="16"/>
    <s v="cashloan"/>
    <n v="0"/>
  </r>
  <r>
    <x v="419"/>
    <x v="1"/>
    <x v="2"/>
    <n v="9"/>
    <n v="1"/>
    <x v="1"/>
    <x v="1"/>
    <s v="cashloan"/>
    <n v="50400000"/>
  </r>
  <r>
    <x v="419"/>
    <x v="1"/>
    <x v="2"/>
    <n v="9"/>
    <n v="1"/>
    <x v="6"/>
    <x v="6"/>
    <s v="payday"/>
    <n v="28000000"/>
  </r>
  <r>
    <x v="419"/>
    <x v="1"/>
    <x v="2"/>
    <n v="9"/>
    <n v="1"/>
    <x v="20"/>
    <x v="9"/>
    <s v="cashloan"/>
    <n v="0"/>
  </r>
  <r>
    <x v="419"/>
    <x v="1"/>
    <x v="2"/>
    <n v="9"/>
    <n v="1"/>
    <x v="17"/>
    <x v="9"/>
    <s v="cashloan"/>
    <n v="0"/>
  </r>
  <r>
    <x v="419"/>
    <x v="1"/>
    <x v="2"/>
    <n v="9"/>
    <n v="1"/>
    <x v="21"/>
    <x v="9"/>
    <s v="cashloan"/>
    <n v="0"/>
  </r>
  <r>
    <x v="419"/>
    <x v="1"/>
    <x v="2"/>
    <n v="9"/>
    <n v="1"/>
    <x v="23"/>
    <x v="17"/>
    <s v="paylater"/>
    <n v="0"/>
  </r>
  <r>
    <x v="419"/>
    <x v="1"/>
    <x v="2"/>
    <n v="9"/>
    <n v="1"/>
    <x v="18"/>
    <x v="15"/>
    <s v="cashloan"/>
    <n v="334470000"/>
  </r>
  <r>
    <x v="419"/>
    <x v="1"/>
    <x v="2"/>
    <n v="9"/>
    <n v="1"/>
    <x v="3"/>
    <x v="3"/>
    <s v="cashloan"/>
    <n v="21000000"/>
  </r>
  <r>
    <x v="419"/>
    <x v="1"/>
    <x v="2"/>
    <n v="9"/>
    <n v="1"/>
    <x v="14"/>
    <x v="13"/>
    <s v="cashloan"/>
    <n v="545620000"/>
  </r>
  <r>
    <x v="419"/>
    <x v="1"/>
    <x v="2"/>
    <n v="9"/>
    <n v="1"/>
    <x v="19"/>
    <x v="12"/>
    <s v="paylater"/>
    <n v="441180489"/>
  </r>
  <r>
    <x v="419"/>
    <x v="1"/>
    <x v="2"/>
    <n v="9"/>
    <n v="1"/>
    <x v="11"/>
    <x v="10"/>
    <s v="paylater"/>
    <n v="160339820"/>
  </r>
  <r>
    <x v="419"/>
    <x v="1"/>
    <x v="2"/>
    <n v="9"/>
    <n v="1"/>
    <x v="7"/>
    <x v="7"/>
    <s v="paylater"/>
    <n v="386775262"/>
  </r>
  <r>
    <x v="419"/>
    <x v="1"/>
    <x v="2"/>
    <n v="9"/>
    <n v="1"/>
    <x v="8"/>
    <x v="8"/>
    <s v="cashloan"/>
    <n v="0"/>
  </r>
  <r>
    <x v="419"/>
    <x v="1"/>
    <x v="2"/>
    <n v="9"/>
    <n v="1"/>
    <x v="0"/>
    <x v="0"/>
    <s v="payday"/>
    <n v="4906000000"/>
  </r>
  <r>
    <x v="420"/>
    <x v="1"/>
    <x v="2"/>
    <n v="9"/>
    <n v="2"/>
    <x v="5"/>
    <x v="5"/>
    <s v="overdraft"/>
    <n v="4926549388"/>
  </r>
  <r>
    <x v="420"/>
    <x v="1"/>
    <x v="2"/>
    <n v="9"/>
    <n v="2"/>
    <x v="12"/>
    <x v="11"/>
    <s v="cashloan"/>
    <n v="4492030000"/>
  </r>
  <r>
    <x v="420"/>
    <x v="1"/>
    <x v="2"/>
    <n v="9"/>
    <n v="2"/>
    <x v="7"/>
    <x v="7"/>
    <s v="paylater"/>
    <n v="399773755"/>
  </r>
  <r>
    <x v="420"/>
    <x v="1"/>
    <x v="2"/>
    <n v="9"/>
    <n v="2"/>
    <x v="2"/>
    <x v="2"/>
    <s v="cashloan"/>
    <n v="5604730000"/>
  </r>
  <r>
    <x v="420"/>
    <x v="1"/>
    <x v="2"/>
    <n v="9"/>
    <n v="2"/>
    <x v="0"/>
    <x v="0"/>
    <s v="payday"/>
    <n v="4793500000"/>
  </r>
  <r>
    <x v="420"/>
    <x v="1"/>
    <x v="2"/>
    <n v="9"/>
    <n v="2"/>
    <x v="17"/>
    <x v="9"/>
    <s v="cashloan"/>
    <n v="0"/>
  </r>
  <r>
    <x v="420"/>
    <x v="1"/>
    <x v="2"/>
    <n v="9"/>
    <n v="2"/>
    <x v="11"/>
    <x v="10"/>
    <s v="paylater"/>
    <n v="167334106"/>
  </r>
  <r>
    <x v="420"/>
    <x v="1"/>
    <x v="2"/>
    <n v="9"/>
    <n v="2"/>
    <x v="8"/>
    <x v="8"/>
    <s v="cashloan"/>
    <n v="0"/>
  </r>
  <r>
    <x v="420"/>
    <x v="1"/>
    <x v="2"/>
    <n v="9"/>
    <n v="2"/>
    <x v="22"/>
    <x v="16"/>
    <s v="cashloan"/>
    <n v="0"/>
  </r>
  <r>
    <x v="420"/>
    <x v="1"/>
    <x v="2"/>
    <n v="9"/>
    <n v="2"/>
    <x v="20"/>
    <x v="9"/>
    <s v="cashloan"/>
    <n v="0"/>
  </r>
  <r>
    <x v="420"/>
    <x v="1"/>
    <x v="2"/>
    <n v="9"/>
    <n v="2"/>
    <x v="15"/>
    <x v="14"/>
    <s v="paylater"/>
    <n v="44353450"/>
  </r>
  <r>
    <x v="420"/>
    <x v="1"/>
    <x v="2"/>
    <n v="9"/>
    <n v="2"/>
    <x v="1"/>
    <x v="1"/>
    <s v="cashloan"/>
    <n v="73500000"/>
  </r>
  <r>
    <x v="420"/>
    <x v="1"/>
    <x v="2"/>
    <n v="9"/>
    <n v="2"/>
    <x v="6"/>
    <x v="6"/>
    <s v="payday"/>
    <n v="43000000"/>
  </r>
  <r>
    <x v="420"/>
    <x v="1"/>
    <x v="2"/>
    <n v="9"/>
    <n v="2"/>
    <x v="21"/>
    <x v="9"/>
    <s v="cashloan"/>
    <n v="0"/>
  </r>
  <r>
    <x v="420"/>
    <x v="1"/>
    <x v="2"/>
    <n v="9"/>
    <n v="2"/>
    <x v="23"/>
    <x v="17"/>
    <s v="paylater"/>
    <n v="0"/>
  </r>
  <r>
    <x v="420"/>
    <x v="1"/>
    <x v="2"/>
    <n v="9"/>
    <n v="2"/>
    <x v="18"/>
    <x v="15"/>
    <s v="cashloan"/>
    <n v="229340000"/>
  </r>
  <r>
    <x v="420"/>
    <x v="1"/>
    <x v="2"/>
    <n v="9"/>
    <n v="2"/>
    <x v="3"/>
    <x v="3"/>
    <s v="cashloan"/>
    <n v="0"/>
  </r>
  <r>
    <x v="420"/>
    <x v="1"/>
    <x v="2"/>
    <n v="9"/>
    <n v="2"/>
    <x v="14"/>
    <x v="13"/>
    <s v="cashloan"/>
    <n v="469950000"/>
  </r>
  <r>
    <x v="420"/>
    <x v="1"/>
    <x v="2"/>
    <n v="9"/>
    <n v="2"/>
    <x v="19"/>
    <x v="12"/>
    <s v="paylater"/>
    <n v="521513878"/>
  </r>
  <r>
    <x v="421"/>
    <x v="1"/>
    <x v="2"/>
    <n v="10"/>
    <n v="3"/>
    <x v="2"/>
    <x v="2"/>
    <s v="cashloan"/>
    <n v="6928460000"/>
  </r>
  <r>
    <x v="421"/>
    <x v="1"/>
    <x v="2"/>
    <n v="10"/>
    <n v="3"/>
    <x v="3"/>
    <x v="3"/>
    <s v="cashloan"/>
    <n v="0"/>
  </r>
  <r>
    <x v="421"/>
    <x v="1"/>
    <x v="2"/>
    <n v="10"/>
    <n v="3"/>
    <x v="22"/>
    <x v="16"/>
    <s v="cashloan"/>
    <n v="0"/>
  </r>
  <r>
    <x v="421"/>
    <x v="1"/>
    <x v="2"/>
    <n v="10"/>
    <n v="3"/>
    <x v="14"/>
    <x v="13"/>
    <s v="cashloan"/>
    <n v="767170000"/>
  </r>
  <r>
    <x v="421"/>
    <x v="1"/>
    <x v="2"/>
    <n v="10"/>
    <n v="3"/>
    <x v="15"/>
    <x v="14"/>
    <s v="paylater"/>
    <n v="46450014"/>
  </r>
  <r>
    <x v="421"/>
    <x v="1"/>
    <x v="2"/>
    <n v="10"/>
    <n v="3"/>
    <x v="1"/>
    <x v="1"/>
    <s v="cashloan"/>
    <n v="26250000"/>
  </r>
  <r>
    <x v="421"/>
    <x v="1"/>
    <x v="2"/>
    <n v="10"/>
    <n v="3"/>
    <x v="19"/>
    <x v="12"/>
    <s v="paylater"/>
    <n v="655139054"/>
  </r>
  <r>
    <x v="421"/>
    <x v="1"/>
    <x v="2"/>
    <n v="10"/>
    <n v="3"/>
    <x v="6"/>
    <x v="6"/>
    <s v="payday"/>
    <n v="39000000"/>
  </r>
  <r>
    <x v="421"/>
    <x v="1"/>
    <x v="2"/>
    <n v="10"/>
    <n v="3"/>
    <x v="17"/>
    <x v="9"/>
    <s v="cashloan"/>
    <n v="0"/>
  </r>
  <r>
    <x v="421"/>
    <x v="1"/>
    <x v="2"/>
    <n v="10"/>
    <n v="3"/>
    <x v="20"/>
    <x v="9"/>
    <s v="cashloan"/>
    <n v="0"/>
  </r>
  <r>
    <x v="421"/>
    <x v="1"/>
    <x v="2"/>
    <n v="10"/>
    <n v="3"/>
    <x v="21"/>
    <x v="9"/>
    <s v="cashloan"/>
    <n v="0"/>
  </r>
  <r>
    <x v="421"/>
    <x v="1"/>
    <x v="2"/>
    <n v="10"/>
    <n v="3"/>
    <x v="23"/>
    <x v="17"/>
    <s v="paylater"/>
    <n v="0"/>
  </r>
  <r>
    <x v="421"/>
    <x v="1"/>
    <x v="2"/>
    <n v="10"/>
    <n v="3"/>
    <x v="18"/>
    <x v="15"/>
    <s v="cashloan"/>
    <n v="430440000"/>
  </r>
  <r>
    <x v="421"/>
    <x v="1"/>
    <x v="2"/>
    <n v="10"/>
    <n v="3"/>
    <x v="0"/>
    <x v="0"/>
    <s v="payday"/>
    <n v="5196000000"/>
  </r>
  <r>
    <x v="421"/>
    <x v="1"/>
    <x v="2"/>
    <n v="10"/>
    <n v="3"/>
    <x v="11"/>
    <x v="10"/>
    <s v="paylater"/>
    <n v="169032915"/>
  </r>
  <r>
    <x v="421"/>
    <x v="1"/>
    <x v="2"/>
    <n v="10"/>
    <n v="3"/>
    <x v="8"/>
    <x v="8"/>
    <s v="cashloan"/>
    <n v="0"/>
  </r>
  <r>
    <x v="421"/>
    <x v="1"/>
    <x v="2"/>
    <n v="10"/>
    <n v="3"/>
    <x v="7"/>
    <x v="7"/>
    <s v="paylater"/>
    <n v="457868113"/>
  </r>
  <r>
    <x v="421"/>
    <x v="1"/>
    <x v="2"/>
    <n v="10"/>
    <n v="3"/>
    <x v="5"/>
    <x v="5"/>
    <s v="overdraft"/>
    <n v="4575578892"/>
  </r>
  <r>
    <x v="421"/>
    <x v="1"/>
    <x v="2"/>
    <n v="10"/>
    <n v="3"/>
    <x v="12"/>
    <x v="11"/>
    <s v="cashloan"/>
    <n v="5072870000"/>
  </r>
  <r>
    <x v="422"/>
    <x v="1"/>
    <x v="2"/>
    <n v="10"/>
    <n v="4"/>
    <x v="17"/>
    <x v="9"/>
    <s v="cashloan"/>
    <n v="0"/>
  </r>
  <r>
    <x v="422"/>
    <x v="1"/>
    <x v="2"/>
    <n v="10"/>
    <n v="4"/>
    <x v="8"/>
    <x v="8"/>
    <s v="cashloan"/>
    <n v="0"/>
  </r>
  <r>
    <x v="422"/>
    <x v="1"/>
    <x v="2"/>
    <n v="10"/>
    <n v="4"/>
    <x v="11"/>
    <x v="10"/>
    <s v="paylater"/>
    <n v="178184606"/>
  </r>
  <r>
    <x v="422"/>
    <x v="1"/>
    <x v="2"/>
    <n v="10"/>
    <n v="4"/>
    <x v="1"/>
    <x v="1"/>
    <s v="cashloan"/>
    <n v="120250000"/>
  </r>
  <r>
    <x v="422"/>
    <x v="1"/>
    <x v="2"/>
    <n v="10"/>
    <n v="4"/>
    <x v="21"/>
    <x v="9"/>
    <s v="cashloan"/>
    <n v="0"/>
  </r>
  <r>
    <x v="422"/>
    <x v="1"/>
    <x v="2"/>
    <n v="10"/>
    <n v="4"/>
    <x v="5"/>
    <x v="5"/>
    <s v="overdraft"/>
    <n v="4293375952"/>
  </r>
  <r>
    <x v="422"/>
    <x v="1"/>
    <x v="2"/>
    <n v="10"/>
    <n v="4"/>
    <x v="23"/>
    <x v="17"/>
    <s v="paylater"/>
    <n v="0"/>
  </r>
  <r>
    <x v="422"/>
    <x v="1"/>
    <x v="2"/>
    <n v="10"/>
    <n v="4"/>
    <x v="0"/>
    <x v="0"/>
    <s v="payday"/>
    <n v="5442000000"/>
  </r>
  <r>
    <x v="422"/>
    <x v="1"/>
    <x v="2"/>
    <n v="10"/>
    <n v="4"/>
    <x v="2"/>
    <x v="2"/>
    <s v="cashloan"/>
    <n v="6823450000"/>
  </r>
  <r>
    <x v="422"/>
    <x v="1"/>
    <x v="2"/>
    <n v="10"/>
    <n v="4"/>
    <x v="6"/>
    <x v="6"/>
    <s v="payday"/>
    <n v="83000000"/>
  </r>
  <r>
    <x v="422"/>
    <x v="1"/>
    <x v="2"/>
    <n v="10"/>
    <n v="4"/>
    <x v="18"/>
    <x v="15"/>
    <s v="cashloan"/>
    <n v="515140000"/>
  </r>
  <r>
    <x v="422"/>
    <x v="1"/>
    <x v="2"/>
    <n v="10"/>
    <n v="4"/>
    <x v="7"/>
    <x v="7"/>
    <s v="paylater"/>
    <n v="509418729"/>
  </r>
  <r>
    <x v="422"/>
    <x v="1"/>
    <x v="2"/>
    <n v="10"/>
    <n v="4"/>
    <x v="3"/>
    <x v="3"/>
    <s v="cashloan"/>
    <n v="0"/>
  </r>
  <r>
    <x v="422"/>
    <x v="1"/>
    <x v="2"/>
    <n v="10"/>
    <n v="4"/>
    <x v="12"/>
    <x v="11"/>
    <s v="cashloan"/>
    <n v="5678930000"/>
  </r>
  <r>
    <x v="422"/>
    <x v="1"/>
    <x v="2"/>
    <n v="10"/>
    <n v="4"/>
    <x v="22"/>
    <x v="16"/>
    <s v="cashloan"/>
    <n v="0"/>
  </r>
  <r>
    <x v="422"/>
    <x v="1"/>
    <x v="2"/>
    <n v="10"/>
    <n v="4"/>
    <x v="14"/>
    <x v="13"/>
    <s v="cashloan"/>
    <n v="642990000"/>
  </r>
  <r>
    <x v="422"/>
    <x v="1"/>
    <x v="2"/>
    <n v="10"/>
    <n v="4"/>
    <x v="15"/>
    <x v="14"/>
    <s v="paylater"/>
    <n v="47428886"/>
  </r>
  <r>
    <x v="422"/>
    <x v="1"/>
    <x v="2"/>
    <n v="10"/>
    <n v="4"/>
    <x v="20"/>
    <x v="9"/>
    <s v="cashloan"/>
    <n v="0"/>
  </r>
  <r>
    <x v="422"/>
    <x v="1"/>
    <x v="2"/>
    <n v="10"/>
    <n v="4"/>
    <x v="19"/>
    <x v="12"/>
    <s v="paylater"/>
    <n v="638129036"/>
  </r>
  <r>
    <x v="423"/>
    <x v="1"/>
    <x v="2"/>
    <n v="10"/>
    <n v="5"/>
    <x v="8"/>
    <x v="8"/>
    <s v="cashloan"/>
    <n v="0"/>
  </r>
  <r>
    <x v="423"/>
    <x v="1"/>
    <x v="2"/>
    <n v="10"/>
    <n v="5"/>
    <x v="1"/>
    <x v="1"/>
    <s v="cashloan"/>
    <n v="21000000"/>
  </r>
  <r>
    <x v="423"/>
    <x v="1"/>
    <x v="2"/>
    <n v="10"/>
    <n v="5"/>
    <x v="17"/>
    <x v="9"/>
    <s v="cashloan"/>
    <n v="0"/>
  </r>
  <r>
    <x v="423"/>
    <x v="1"/>
    <x v="2"/>
    <n v="10"/>
    <n v="5"/>
    <x v="6"/>
    <x v="6"/>
    <s v="payday"/>
    <n v="38000000"/>
  </r>
  <r>
    <x v="423"/>
    <x v="1"/>
    <x v="2"/>
    <n v="10"/>
    <n v="5"/>
    <x v="2"/>
    <x v="2"/>
    <s v="cashloan"/>
    <n v="7043810000"/>
  </r>
  <r>
    <x v="423"/>
    <x v="1"/>
    <x v="2"/>
    <n v="10"/>
    <n v="5"/>
    <x v="22"/>
    <x v="16"/>
    <s v="cashloan"/>
    <n v="10000000"/>
  </r>
  <r>
    <x v="423"/>
    <x v="1"/>
    <x v="2"/>
    <n v="10"/>
    <n v="5"/>
    <x v="5"/>
    <x v="5"/>
    <s v="overdraft"/>
    <n v="4419316745"/>
  </r>
  <r>
    <x v="423"/>
    <x v="1"/>
    <x v="2"/>
    <n v="10"/>
    <n v="5"/>
    <x v="14"/>
    <x v="13"/>
    <s v="cashloan"/>
    <n v="755330000"/>
  </r>
  <r>
    <x v="423"/>
    <x v="1"/>
    <x v="2"/>
    <n v="10"/>
    <n v="5"/>
    <x v="21"/>
    <x v="9"/>
    <s v="cashloan"/>
    <n v="32100000"/>
  </r>
  <r>
    <x v="423"/>
    <x v="1"/>
    <x v="2"/>
    <n v="10"/>
    <n v="5"/>
    <x v="18"/>
    <x v="15"/>
    <s v="cashloan"/>
    <n v="478420000"/>
  </r>
  <r>
    <x v="423"/>
    <x v="1"/>
    <x v="2"/>
    <n v="10"/>
    <n v="5"/>
    <x v="3"/>
    <x v="3"/>
    <s v="cashloan"/>
    <n v="18900000"/>
  </r>
  <r>
    <x v="423"/>
    <x v="1"/>
    <x v="2"/>
    <n v="10"/>
    <n v="5"/>
    <x v="0"/>
    <x v="0"/>
    <s v="payday"/>
    <n v="5927000000"/>
  </r>
  <r>
    <x v="423"/>
    <x v="1"/>
    <x v="2"/>
    <n v="10"/>
    <n v="5"/>
    <x v="12"/>
    <x v="11"/>
    <s v="cashloan"/>
    <n v="5785830000"/>
  </r>
  <r>
    <x v="423"/>
    <x v="1"/>
    <x v="2"/>
    <n v="10"/>
    <n v="5"/>
    <x v="23"/>
    <x v="17"/>
    <s v="paylater"/>
    <n v="0"/>
  </r>
  <r>
    <x v="423"/>
    <x v="1"/>
    <x v="2"/>
    <n v="10"/>
    <n v="5"/>
    <x v="15"/>
    <x v="14"/>
    <s v="paylater"/>
    <n v="61780512"/>
  </r>
  <r>
    <x v="423"/>
    <x v="1"/>
    <x v="2"/>
    <n v="10"/>
    <n v="5"/>
    <x v="20"/>
    <x v="9"/>
    <s v="cashloan"/>
    <n v="0"/>
  </r>
  <r>
    <x v="423"/>
    <x v="1"/>
    <x v="2"/>
    <n v="10"/>
    <n v="5"/>
    <x v="11"/>
    <x v="10"/>
    <s v="paylater"/>
    <n v="209242618"/>
  </r>
  <r>
    <x v="423"/>
    <x v="1"/>
    <x v="2"/>
    <n v="10"/>
    <n v="5"/>
    <x v="7"/>
    <x v="7"/>
    <s v="paylater"/>
    <n v="492743506"/>
  </r>
  <r>
    <x v="423"/>
    <x v="1"/>
    <x v="2"/>
    <n v="10"/>
    <n v="5"/>
    <x v="19"/>
    <x v="12"/>
    <s v="paylater"/>
    <n v="706672923"/>
  </r>
  <r>
    <x v="424"/>
    <x v="1"/>
    <x v="2"/>
    <n v="10"/>
    <n v="6"/>
    <x v="3"/>
    <x v="3"/>
    <s v="cashloan"/>
    <n v="0"/>
  </r>
  <r>
    <x v="424"/>
    <x v="1"/>
    <x v="2"/>
    <n v="10"/>
    <n v="6"/>
    <x v="14"/>
    <x v="13"/>
    <s v="cashloan"/>
    <n v="772170000"/>
  </r>
  <r>
    <x v="424"/>
    <x v="1"/>
    <x v="2"/>
    <n v="10"/>
    <n v="6"/>
    <x v="19"/>
    <x v="12"/>
    <s v="paylater"/>
    <n v="644979086"/>
  </r>
  <r>
    <x v="424"/>
    <x v="1"/>
    <x v="2"/>
    <n v="10"/>
    <n v="6"/>
    <x v="18"/>
    <x v="15"/>
    <s v="cashloan"/>
    <n v="367390000"/>
  </r>
  <r>
    <x v="424"/>
    <x v="1"/>
    <x v="2"/>
    <n v="10"/>
    <n v="6"/>
    <x v="11"/>
    <x v="10"/>
    <s v="paylater"/>
    <n v="206134396"/>
  </r>
  <r>
    <x v="424"/>
    <x v="1"/>
    <x v="2"/>
    <n v="10"/>
    <n v="6"/>
    <x v="8"/>
    <x v="8"/>
    <s v="cashloan"/>
    <n v="0"/>
  </r>
  <r>
    <x v="424"/>
    <x v="1"/>
    <x v="2"/>
    <n v="10"/>
    <n v="6"/>
    <x v="7"/>
    <x v="7"/>
    <s v="paylater"/>
    <n v="517518733"/>
  </r>
  <r>
    <x v="424"/>
    <x v="1"/>
    <x v="2"/>
    <n v="10"/>
    <n v="6"/>
    <x v="5"/>
    <x v="5"/>
    <s v="overdraft"/>
    <n v="3570661890"/>
  </r>
  <r>
    <x v="424"/>
    <x v="1"/>
    <x v="2"/>
    <n v="10"/>
    <n v="6"/>
    <x v="12"/>
    <x v="11"/>
    <s v="cashloan"/>
    <n v="5198950000"/>
  </r>
  <r>
    <x v="424"/>
    <x v="1"/>
    <x v="2"/>
    <n v="10"/>
    <n v="6"/>
    <x v="0"/>
    <x v="0"/>
    <s v="payday"/>
    <n v="5304000000"/>
  </r>
  <r>
    <x v="424"/>
    <x v="1"/>
    <x v="2"/>
    <n v="10"/>
    <n v="6"/>
    <x v="21"/>
    <x v="9"/>
    <s v="cashloan"/>
    <n v="16050000"/>
  </r>
  <r>
    <x v="424"/>
    <x v="1"/>
    <x v="2"/>
    <n v="10"/>
    <n v="6"/>
    <x v="23"/>
    <x v="17"/>
    <s v="paylater"/>
    <n v="100000"/>
  </r>
  <r>
    <x v="424"/>
    <x v="1"/>
    <x v="2"/>
    <n v="10"/>
    <n v="6"/>
    <x v="17"/>
    <x v="9"/>
    <s v="cashloan"/>
    <n v="6420000"/>
  </r>
  <r>
    <x v="424"/>
    <x v="1"/>
    <x v="2"/>
    <n v="10"/>
    <n v="6"/>
    <x v="2"/>
    <x v="2"/>
    <s v="cashloan"/>
    <n v="6234460000"/>
  </r>
  <r>
    <x v="424"/>
    <x v="1"/>
    <x v="2"/>
    <n v="10"/>
    <n v="6"/>
    <x v="6"/>
    <x v="6"/>
    <s v="payday"/>
    <n v="101000000"/>
  </r>
  <r>
    <x v="424"/>
    <x v="1"/>
    <x v="2"/>
    <n v="10"/>
    <n v="6"/>
    <x v="20"/>
    <x v="9"/>
    <s v="cashloan"/>
    <n v="0"/>
  </r>
  <r>
    <x v="424"/>
    <x v="1"/>
    <x v="2"/>
    <n v="10"/>
    <n v="6"/>
    <x v="22"/>
    <x v="16"/>
    <s v="cashloan"/>
    <n v="0"/>
  </r>
  <r>
    <x v="424"/>
    <x v="1"/>
    <x v="2"/>
    <n v="10"/>
    <n v="6"/>
    <x v="15"/>
    <x v="14"/>
    <s v="paylater"/>
    <n v="40374851"/>
  </r>
  <r>
    <x v="424"/>
    <x v="1"/>
    <x v="2"/>
    <n v="10"/>
    <n v="6"/>
    <x v="1"/>
    <x v="1"/>
    <s v="cashloan"/>
    <n v="0"/>
  </r>
  <r>
    <x v="425"/>
    <x v="1"/>
    <x v="2"/>
    <n v="10"/>
    <n v="7"/>
    <x v="2"/>
    <x v="2"/>
    <s v="cashloan"/>
    <n v="6721370000"/>
  </r>
  <r>
    <x v="425"/>
    <x v="1"/>
    <x v="2"/>
    <n v="10"/>
    <n v="7"/>
    <x v="19"/>
    <x v="12"/>
    <s v="paylater"/>
    <n v="1017983516"/>
  </r>
  <r>
    <x v="425"/>
    <x v="1"/>
    <x v="2"/>
    <n v="10"/>
    <n v="7"/>
    <x v="22"/>
    <x v="16"/>
    <s v="cashloan"/>
    <n v="0"/>
  </r>
  <r>
    <x v="425"/>
    <x v="1"/>
    <x v="2"/>
    <n v="10"/>
    <n v="7"/>
    <x v="7"/>
    <x v="7"/>
    <s v="paylater"/>
    <n v="778407138"/>
  </r>
  <r>
    <x v="425"/>
    <x v="1"/>
    <x v="2"/>
    <n v="10"/>
    <n v="7"/>
    <x v="15"/>
    <x v="14"/>
    <s v="paylater"/>
    <n v="64778975"/>
  </r>
  <r>
    <x v="425"/>
    <x v="1"/>
    <x v="2"/>
    <n v="10"/>
    <n v="7"/>
    <x v="1"/>
    <x v="1"/>
    <s v="cashloan"/>
    <n v="67500000"/>
  </r>
  <r>
    <x v="425"/>
    <x v="1"/>
    <x v="2"/>
    <n v="10"/>
    <n v="7"/>
    <x v="5"/>
    <x v="5"/>
    <s v="overdraft"/>
    <n v="4010057953"/>
  </r>
  <r>
    <x v="425"/>
    <x v="1"/>
    <x v="2"/>
    <n v="10"/>
    <n v="7"/>
    <x v="20"/>
    <x v="9"/>
    <s v="cashloan"/>
    <n v="10700000"/>
  </r>
  <r>
    <x v="425"/>
    <x v="1"/>
    <x v="2"/>
    <n v="10"/>
    <n v="7"/>
    <x v="17"/>
    <x v="9"/>
    <s v="cashloan"/>
    <n v="0"/>
  </r>
  <r>
    <x v="425"/>
    <x v="1"/>
    <x v="2"/>
    <n v="10"/>
    <n v="7"/>
    <x v="21"/>
    <x v="9"/>
    <s v="cashloan"/>
    <n v="74200000"/>
  </r>
  <r>
    <x v="425"/>
    <x v="1"/>
    <x v="2"/>
    <n v="10"/>
    <n v="7"/>
    <x v="23"/>
    <x v="17"/>
    <s v="paylater"/>
    <n v="2550000"/>
  </r>
  <r>
    <x v="425"/>
    <x v="1"/>
    <x v="2"/>
    <n v="10"/>
    <n v="7"/>
    <x v="18"/>
    <x v="15"/>
    <s v="cashloan"/>
    <n v="364230000"/>
  </r>
  <r>
    <x v="425"/>
    <x v="1"/>
    <x v="2"/>
    <n v="10"/>
    <n v="7"/>
    <x v="3"/>
    <x v="3"/>
    <s v="cashloan"/>
    <n v="0"/>
  </r>
  <r>
    <x v="425"/>
    <x v="1"/>
    <x v="2"/>
    <n v="10"/>
    <n v="7"/>
    <x v="14"/>
    <x v="13"/>
    <s v="cashloan"/>
    <n v="671710000"/>
  </r>
  <r>
    <x v="425"/>
    <x v="1"/>
    <x v="2"/>
    <n v="10"/>
    <n v="7"/>
    <x v="12"/>
    <x v="11"/>
    <s v="cashloan"/>
    <n v="5410490000"/>
  </r>
  <r>
    <x v="425"/>
    <x v="1"/>
    <x v="2"/>
    <n v="10"/>
    <n v="7"/>
    <x v="6"/>
    <x v="6"/>
    <s v="payday"/>
    <n v="108000000"/>
  </r>
  <r>
    <x v="425"/>
    <x v="1"/>
    <x v="2"/>
    <n v="10"/>
    <n v="7"/>
    <x v="11"/>
    <x v="10"/>
    <s v="paylater"/>
    <n v="372940263"/>
  </r>
  <r>
    <x v="425"/>
    <x v="1"/>
    <x v="2"/>
    <n v="10"/>
    <n v="7"/>
    <x v="8"/>
    <x v="8"/>
    <s v="cashloan"/>
    <n v="0"/>
  </r>
  <r>
    <x v="425"/>
    <x v="1"/>
    <x v="2"/>
    <n v="10"/>
    <n v="7"/>
    <x v="0"/>
    <x v="0"/>
    <s v="payday"/>
    <n v="5634500000"/>
  </r>
  <r>
    <x v="426"/>
    <x v="1"/>
    <x v="2"/>
    <n v="10"/>
    <n v="8"/>
    <x v="12"/>
    <x v="11"/>
    <s v="cashloan"/>
    <n v="4549300000"/>
  </r>
  <r>
    <x v="426"/>
    <x v="1"/>
    <x v="2"/>
    <n v="10"/>
    <n v="8"/>
    <x v="0"/>
    <x v="0"/>
    <s v="payday"/>
    <n v="4773500000"/>
  </r>
  <r>
    <x v="426"/>
    <x v="1"/>
    <x v="2"/>
    <n v="10"/>
    <n v="8"/>
    <x v="5"/>
    <x v="5"/>
    <s v="overdraft"/>
    <n v="3183811165"/>
  </r>
  <r>
    <x v="426"/>
    <x v="1"/>
    <x v="2"/>
    <n v="10"/>
    <n v="8"/>
    <x v="2"/>
    <x v="2"/>
    <s v="cashloan"/>
    <n v="5432750000"/>
  </r>
  <r>
    <x v="426"/>
    <x v="1"/>
    <x v="2"/>
    <n v="10"/>
    <n v="8"/>
    <x v="22"/>
    <x v="16"/>
    <s v="cashloan"/>
    <n v="0"/>
  </r>
  <r>
    <x v="426"/>
    <x v="1"/>
    <x v="2"/>
    <n v="10"/>
    <n v="8"/>
    <x v="7"/>
    <x v="7"/>
    <s v="paylater"/>
    <n v="706195387"/>
  </r>
  <r>
    <x v="426"/>
    <x v="1"/>
    <x v="2"/>
    <n v="10"/>
    <n v="8"/>
    <x v="15"/>
    <x v="14"/>
    <s v="paylater"/>
    <n v="31602202"/>
  </r>
  <r>
    <x v="426"/>
    <x v="1"/>
    <x v="2"/>
    <n v="10"/>
    <n v="8"/>
    <x v="1"/>
    <x v="1"/>
    <s v="cashloan"/>
    <n v="42000000"/>
  </r>
  <r>
    <x v="426"/>
    <x v="1"/>
    <x v="2"/>
    <n v="10"/>
    <n v="8"/>
    <x v="6"/>
    <x v="6"/>
    <s v="payday"/>
    <n v="56000000"/>
  </r>
  <r>
    <x v="426"/>
    <x v="1"/>
    <x v="2"/>
    <n v="10"/>
    <n v="8"/>
    <x v="20"/>
    <x v="9"/>
    <s v="cashloan"/>
    <n v="0"/>
  </r>
  <r>
    <x v="426"/>
    <x v="1"/>
    <x v="2"/>
    <n v="10"/>
    <n v="8"/>
    <x v="17"/>
    <x v="9"/>
    <s v="cashloan"/>
    <n v="0"/>
  </r>
  <r>
    <x v="426"/>
    <x v="1"/>
    <x v="2"/>
    <n v="10"/>
    <n v="8"/>
    <x v="21"/>
    <x v="9"/>
    <s v="cashloan"/>
    <n v="20000000"/>
  </r>
  <r>
    <x v="426"/>
    <x v="1"/>
    <x v="2"/>
    <n v="10"/>
    <n v="8"/>
    <x v="23"/>
    <x v="17"/>
    <s v="paylater"/>
    <n v="0"/>
  </r>
  <r>
    <x v="426"/>
    <x v="1"/>
    <x v="2"/>
    <n v="10"/>
    <n v="8"/>
    <x v="18"/>
    <x v="15"/>
    <s v="cashloan"/>
    <n v="296120000"/>
  </r>
  <r>
    <x v="426"/>
    <x v="1"/>
    <x v="2"/>
    <n v="10"/>
    <n v="8"/>
    <x v="3"/>
    <x v="3"/>
    <s v="cashloan"/>
    <n v="0"/>
  </r>
  <r>
    <x v="426"/>
    <x v="1"/>
    <x v="2"/>
    <n v="10"/>
    <n v="8"/>
    <x v="14"/>
    <x v="13"/>
    <s v="cashloan"/>
    <n v="577100000"/>
  </r>
  <r>
    <x v="426"/>
    <x v="1"/>
    <x v="2"/>
    <n v="10"/>
    <n v="8"/>
    <x v="19"/>
    <x v="12"/>
    <s v="paylater"/>
    <n v="701819085"/>
  </r>
  <r>
    <x v="426"/>
    <x v="1"/>
    <x v="2"/>
    <n v="10"/>
    <n v="8"/>
    <x v="11"/>
    <x v="10"/>
    <s v="paylater"/>
    <n v="354210195"/>
  </r>
  <r>
    <x v="426"/>
    <x v="1"/>
    <x v="2"/>
    <n v="10"/>
    <n v="8"/>
    <x v="8"/>
    <x v="8"/>
    <s v="cashloan"/>
    <n v="0"/>
  </r>
  <r>
    <x v="427"/>
    <x v="1"/>
    <x v="2"/>
    <n v="10"/>
    <n v="9"/>
    <x v="12"/>
    <x v="11"/>
    <s v="cashloan"/>
    <n v="4089020000"/>
  </r>
  <r>
    <x v="427"/>
    <x v="1"/>
    <x v="2"/>
    <n v="10"/>
    <n v="9"/>
    <x v="0"/>
    <x v="0"/>
    <s v="payday"/>
    <n v="4675000000"/>
  </r>
  <r>
    <x v="427"/>
    <x v="1"/>
    <x v="2"/>
    <n v="10"/>
    <n v="9"/>
    <x v="2"/>
    <x v="2"/>
    <s v="cashloan"/>
    <n v="5149830000"/>
  </r>
  <r>
    <x v="427"/>
    <x v="1"/>
    <x v="2"/>
    <n v="10"/>
    <n v="9"/>
    <x v="22"/>
    <x v="16"/>
    <s v="cashloan"/>
    <n v="0"/>
  </r>
  <r>
    <x v="427"/>
    <x v="1"/>
    <x v="2"/>
    <n v="10"/>
    <n v="9"/>
    <x v="15"/>
    <x v="14"/>
    <s v="paylater"/>
    <n v="51360204"/>
  </r>
  <r>
    <x v="427"/>
    <x v="1"/>
    <x v="2"/>
    <n v="10"/>
    <n v="9"/>
    <x v="1"/>
    <x v="1"/>
    <s v="cashloan"/>
    <n v="109250000"/>
  </r>
  <r>
    <x v="427"/>
    <x v="1"/>
    <x v="2"/>
    <n v="10"/>
    <n v="9"/>
    <x v="6"/>
    <x v="6"/>
    <s v="payday"/>
    <n v="39000000"/>
  </r>
  <r>
    <x v="427"/>
    <x v="1"/>
    <x v="2"/>
    <n v="10"/>
    <n v="9"/>
    <x v="20"/>
    <x v="9"/>
    <s v="cashloan"/>
    <n v="0"/>
  </r>
  <r>
    <x v="427"/>
    <x v="1"/>
    <x v="2"/>
    <n v="10"/>
    <n v="9"/>
    <x v="17"/>
    <x v="9"/>
    <s v="cashloan"/>
    <n v="0"/>
  </r>
  <r>
    <x v="427"/>
    <x v="1"/>
    <x v="2"/>
    <n v="10"/>
    <n v="9"/>
    <x v="21"/>
    <x v="9"/>
    <s v="cashloan"/>
    <n v="10700000"/>
  </r>
  <r>
    <x v="427"/>
    <x v="1"/>
    <x v="2"/>
    <n v="10"/>
    <n v="9"/>
    <x v="23"/>
    <x v="17"/>
    <s v="paylater"/>
    <n v="0"/>
  </r>
  <r>
    <x v="427"/>
    <x v="1"/>
    <x v="2"/>
    <n v="10"/>
    <n v="9"/>
    <x v="18"/>
    <x v="15"/>
    <s v="cashloan"/>
    <n v="180920000"/>
  </r>
  <r>
    <x v="427"/>
    <x v="1"/>
    <x v="2"/>
    <n v="10"/>
    <n v="9"/>
    <x v="3"/>
    <x v="3"/>
    <s v="cashloan"/>
    <n v="0"/>
  </r>
  <r>
    <x v="427"/>
    <x v="1"/>
    <x v="2"/>
    <n v="10"/>
    <n v="9"/>
    <x v="14"/>
    <x v="13"/>
    <s v="cashloan"/>
    <n v="339540000"/>
  </r>
  <r>
    <x v="427"/>
    <x v="1"/>
    <x v="2"/>
    <n v="10"/>
    <n v="9"/>
    <x v="19"/>
    <x v="12"/>
    <s v="paylater"/>
    <n v="839258286"/>
  </r>
  <r>
    <x v="427"/>
    <x v="1"/>
    <x v="2"/>
    <n v="10"/>
    <n v="9"/>
    <x v="11"/>
    <x v="10"/>
    <s v="paylater"/>
    <n v="323646129"/>
  </r>
  <r>
    <x v="427"/>
    <x v="1"/>
    <x v="2"/>
    <n v="10"/>
    <n v="9"/>
    <x v="8"/>
    <x v="8"/>
    <s v="cashloan"/>
    <n v="0"/>
  </r>
  <r>
    <x v="427"/>
    <x v="1"/>
    <x v="2"/>
    <n v="10"/>
    <n v="9"/>
    <x v="7"/>
    <x v="7"/>
    <s v="paylater"/>
    <n v="538739975"/>
  </r>
  <r>
    <x v="427"/>
    <x v="1"/>
    <x v="2"/>
    <n v="10"/>
    <n v="9"/>
    <x v="5"/>
    <x v="5"/>
    <s v="overdraft"/>
    <n v="3242024504"/>
  </r>
  <r>
    <x v="428"/>
    <x v="1"/>
    <x v="2"/>
    <n v="11"/>
    <n v="10"/>
    <x v="5"/>
    <x v="5"/>
    <s v="overdraft"/>
    <n v="4349470921"/>
  </r>
  <r>
    <x v="428"/>
    <x v="1"/>
    <x v="2"/>
    <n v="11"/>
    <n v="10"/>
    <x v="14"/>
    <x v="13"/>
    <s v="cashloan"/>
    <n v="765050000"/>
  </r>
  <r>
    <x v="428"/>
    <x v="1"/>
    <x v="2"/>
    <n v="11"/>
    <n v="10"/>
    <x v="19"/>
    <x v="12"/>
    <s v="paylater"/>
    <n v="597985053"/>
  </r>
  <r>
    <x v="428"/>
    <x v="1"/>
    <x v="2"/>
    <n v="11"/>
    <n v="10"/>
    <x v="1"/>
    <x v="1"/>
    <s v="cashloan"/>
    <n v="46250000"/>
  </r>
  <r>
    <x v="428"/>
    <x v="1"/>
    <x v="2"/>
    <n v="11"/>
    <n v="10"/>
    <x v="6"/>
    <x v="6"/>
    <s v="payday"/>
    <n v="57000000"/>
  </r>
  <r>
    <x v="428"/>
    <x v="1"/>
    <x v="2"/>
    <n v="11"/>
    <n v="10"/>
    <x v="11"/>
    <x v="10"/>
    <s v="paylater"/>
    <n v="243769004"/>
  </r>
  <r>
    <x v="428"/>
    <x v="1"/>
    <x v="2"/>
    <n v="11"/>
    <n v="10"/>
    <x v="20"/>
    <x v="9"/>
    <s v="cashloan"/>
    <n v="0"/>
  </r>
  <r>
    <x v="428"/>
    <x v="1"/>
    <x v="2"/>
    <n v="11"/>
    <n v="10"/>
    <x v="17"/>
    <x v="9"/>
    <s v="cashloan"/>
    <n v="10700000"/>
  </r>
  <r>
    <x v="428"/>
    <x v="1"/>
    <x v="2"/>
    <n v="11"/>
    <n v="10"/>
    <x v="21"/>
    <x v="9"/>
    <s v="cashloan"/>
    <n v="67410000"/>
  </r>
  <r>
    <x v="428"/>
    <x v="1"/>
    <x v="2"/>
    <n v="11"/>
    <n v="10"/>
    <x v="23"/>
    <x v="17"/>
    <s v="paylater"/>
    <n v="0"/>
  </r>
  <r>
    <x v="428"/>
    <x v="1"/>
    <x v="2"/>
    <n v="11"/>
    <n v="10"/>
    <x v="18"/>
    <x v="15"/>
    <s v="cashloan"/>
    <n v="699990000"/>
  </r>
  <r>
    <x v="428"/>
    <x v="1"/>
    <x v="2"/>
    <n v="11"/>
    <n v="10"/>
    <x v="3"/>
    <x v="3"/>
    <s v="cashloan"/>
    <n v="10500000"/>
  </r>
  <r>
    <x v="428"/>
    <x v="1"/>
    <x v="2"/>
    <n v="11"/>
    <n v="10"/>
    <x v="7"/>
    <x v="7"/>
    <s v="paylater"/>
    <n v="513242989"/>
  </r>
  <r>
    <x v="428"/>
    <x v="1"/>
    <x v="2"/>
    <n v="11"/>
    <n v="10"/>
    <x v="15"/>
    <x v="14"/>
    <s v="paylater"/>
    <n v="62956065"/>
  </r>
  <r>
    <x v="428"/>
    <x v="1"/>
    <x v="2"/>
    <n v="11"/>
    <n v="10"/>
    <x v="8"/>
    <x v="8"/>
    <s v="cashloan"/>
    <n v="0"/>
  </r>
  <r>
    <x v="428"/>
    <x v="1"/>
    <x v="2"/>
    <n v="11"/>
    <n v="10"/>
    <x v="12"/>
    <x v="11"/>
    <s v="cashloan"/>
    <n v="6724470000"/>
  </r>
  <r>
    <x v="428"/>
    <x v="1"/>
    <x v="2"/>
    <n v="11"/>
    <n v="10"/>
    <x v="0"/>
    <x v="0"/>
    <s v="payday"/>
    <n v="6409500000"/>
  </r>
  <r>
    <x v="428"/>
    <x v="1"/>
    <x v="2"/>
    <n v="11"/>
    <n v="10"/>
    <x v="22"/>
    <x v="16"/>
    <s v="cashloan"/>
    <n v="0"/>
  </r>
  <r>
    <x v="428"/>
    <x v="1"/>
    <x v="2"/>
    <n v="11"/>
    <n v="10"/>
    <x v="2"/>
    <x v="2"/>
    <s v="cashloan"/>
    <n v="7345930000"/>
  </r>
  <r>
    <x v="429"/>
    <x v="1"/>
    <x v="2"/>
    <n v="11"/>
    <n v="11"/>
    <x v="0"/>
    <x v="0"/>
    <s v="payday"/>
    <n v="5654500000"/>
  </r>
  <r>
    <x v="429"/>
    <x v="1"/>
    <x v="2"/>
    <n v="11"/>
    <n v="11"/>
    <x v="2"/>
    <x v="2"/>
    <s v="cashloan"/>
    <n v="6601710000"/>
  </r>
  <r>
    <x v="429"/>
    <x v="1"/>
    <x v="2"/>
    <n v="11"/>
    <n v="11"/>
    <x v="12"/>
    <x v="11"/>
    <s v="cashloan"/>
    <n v="7603470000"/>
  </r>
  <r>
    <x v="429"/>
    <x v="1"/>
    <x v="2"/>
    <n v="11"/>
    <n v="11"/>
    <x v="15"/>
    <x v="14"/>
    <s v="paylater"/>
    <n v="21785971"/>
  </r>
  <r>
    <x v="429"/>
    <x v="1"/>
    <x v="2"/>
    <n v="11"/>
    <n v="11"/>
    <x v="1"/>
    <x v="1"/>
    <s v="cashloan"/>
    <n v="67250000"/>
  </r>
  <r>
    <x v="429"/>
    <x v="1"/>
    <x v="2"/>
    <n v="11"/>
    <n v="11"/>
    <x v="6"/>
    <x v="6"/>
    <s v="payday"/>
    <n v="81000000"/>
  </r>
  <r>
    <x v="429"/>
    <x v="1"/>
    <x v="2"/>
    <n v="11"/>
    <n v="11"/>
    <x v="20"/>
    <x v="9"/>
    <s v="cashloan"/>
    <n v="0"/>
  </r>
  <r>
    <x v="429"/>
    <x v="1"/>
    <x v="2"/>
    <n v="11"/>
    <n v="11"/>
    <x v="17"/>
    <x v="9"/>
    <s v="cashloan"/>
    <n v="0"/>
  </r>
  <r>
    <x v="429"/>
    <x v="1"/>
    <x v="2"/>
    <n v="11"/>
    <n v="11"/>
    <x v="21"/>
    <x v="9"/>
    <s v="cashloan"/>
    <n v="37450000"/>
  </r>
  <r>
    <x v="429"/>
    <x v="1"/>
    <x v="2"/>
    <n v="11"/>
    <n v="11"/>
    <x v="23"/>
    <x v="17"/>
    <s v="paylater"/>
    <n v="0"/>
  </r>
  <r>
    <x v="429"/>
    <x v="1"/>
    <x v="2"/>
    <n v="11"/>
    <n v="11"/>
    <x v="22"/>
    <x v="16"/>
    <s v="cashloan"/>
    <n v="0"/>
  </r>
  <r>
    <x v="429"/>
    <x v="1"/>
    <x v="2"/>
    <n v="11"/>
    <n v="11"/>
    <x v="18"/>
    <x v="15"/>
    <s v="cashloan"/>
    <n v="433230000"/>
  </r>
  <r>
    <x v="429"/>
    <x v="1"/>
    <x v="2"/>
    <n v="11"/>
    <n v="11"/>
    <x v="3"/>
    <x v="3"/>
    <s v="cashloan"/>
    <n v="0"/>
  </r>
  <r>
    <x v="429"/>
    <x v="1"/>
    <x v="2"/>
    <n v="11"/>
    <n v="11"/>
    <x v="14"/>
    <x v="13"/>
    <s v="cashloan"/>
    <n v="811850000"/>
  </r>
  <r>
    <x v="429"/>
    <x v="1"/>
    <x v="2"/>
    <n v="11"/>
    <n v="11"/>
    <x v="19"/>
    <x v="12"/>
    <s v="paylater"/>
    <n v="419437456"/>
  </r>
  <r>
    <x v="429"/>
    <x v="1"/>
    <x v="2"/>
    <n v="11"/>
    <n v="11"/>
    <x v="11"/>
    <x v="10"/>
    <s v="paylater"/>
    <n v="252484696"/>
  </r>
  <r>
    <x v="429"/>
    <x v="1"/>
    <x v="2"/>
    <n v="11"/>
    <n v="11"/>
    <x v="8"/>
    <x v="8"/>
    <s v="cashloan"/>
    <n v="0"/>
  </r>
  <r>
    <x v="429"/>
    <x v="1"/>
    <x v="2"/>
    <n v="11"/>
    <n v="11"/>
    <x v="7"/>
    <x v="7"/>
    <s v="paylater"/>
    <n v="548704130"/>
  </r>
  <r>
    <x v="429"/>
    <x v="1"/>
    <x v="2"/>
    <n v="11"/>
    <n v="11"/>
    <x v="5"/>
    <x v="5"/>
    <s v="overdraft"/>
    <n v="3507266942"/>
  </r>
  <r>
    <x v="430"/>
    <x v="1"/>
    <x v="2"/>
    <n v="11"/>
    <n v="12"/>
    <x v="23"/>
    <x v="17"/>
    <s v="paylater"/>
    <n v="0"/>
  </r>
  <r>
    <x v="430"/>
    <x v="1"/>
    <x v="2"/>
    <n v="11"/>
    <n v="12"/>
    <x v="7"/>
    <x v="7"/>
    <s v="paylater"/>
    <n v="530734205"/>
  </r>
  <r>
    <x v="430"/>
    <x v="1"/>
    <x v="2"/>
    <n v="11"/>
    <n v="12"/>
    <x v="6"/>
    <x v="6"/>
    <s v="payday"/>
    <n v="54000000"/>
  </r>
  <r>
    <x v="430"/>
    <x v="1"/>
    <x v="2"/>
    <n v="11"/>
    <n v="12"/>
    <x v="21"/>
    <x v="9"/>
    <s v="cashloan"/>
    <n v="47450000"/>
  </r>
  <r>
    <x v="430"/>
    <x v="1"/>
    <x v="2"/>
    <n v="11"/>
    <n v="12"/>
    <x v="22"/>
    <x v="16"/>
    <s v="cashloan"/>
    <n v="0"/>
  </r>
  <r>
    <x v="430"/>
    <x v="1"/>
    <x v="2"/>
    <n v="11"/>
    <n v="12"/>
    <x v="15"/>
    <x v="14"/>
    <s v="paylater"/>
    <n v="33685461"/>
  </r>
  <r>
    <x v="430"/>
    <x v="1"/>
    <x v="2"/>
    <n v="11"/>
    <n v="12"/>
    <x v="2"/>
    <x v="2"/>
    <s v="cashloan"/>
    <n v="6127350000"/>
  </r>
  <r>
    <x v="430"/>
    <x v="1"/>
    <x v="2"/>
    <n v="11"/>
    <n v="12"/>
    <x v="20"/>
    <x v="9"/>
    <s v="cashloan"/>
    <n v="0"/>
  </r>
  <r>
    <x v="430"/>
    <x v="1"/>
    <x v="2"/>
    <n v="11"/>
    <n v="12"/>
    <x v="17"/>
    <x v="9"/>
    <s v="cashloan"/>
    <n v="0"/>
  </r>
  <r>
    <x v="430"/>
    <x v="1"/>
    <x v="2"/>
    <n v="11"/>
    <n v="12"/>
    <x v="18"/>
    <x v="15"/>
    <s v="cashloan"/>
    <n v="396020000"/>
  </r>
  <r>
    <x v="430"/>
    <x v="1"/>
    <x v="2"/>
    <n v="11"/>
    <n v="12"/>
    <x v="3"/>
    <x v="3"/>
    <s v="cashloan"/>
    <n v="0"/>
  </r>
  <r>
    <x v="430"/>
    <x v="1"/>
    <x v="2"/>
    <n v="11"/>
    <n v="12"/>
    <x v="14"/>
    <x v="13"/>
    <s v="cashloan"/>
    <n v="1046000000"/>
  </r>
  <r>
    <x v="430"/>
    <x v="1"/>
    <x v="2"/>
    <n v="11"/>
    <n v="12"/>
    <x v="19"/>
    <x v="12"/>
    <s v="paylater"/>
    <n v="390502482"/>
  </r>
  <r>
    <x v="430"/>
    <x v="1"/>
    <x v="2"/>
    <n v="11"/>
    <n v="12"/>
    <x v="11"/>
    <x v="10"/>
    <s v="paylater"/>
    <n v="228532088"/>
  </r>
  <r>
    <x v="430"/>
    <x v="1"/>
    <x v="2"/>
    <n v="11"/>
    <n v="12"/>
    <x v="8"/>
    <x v="8"/>
    <s v="cashloan"/>
    <n v="0"/>
  </r>
  <r>
    <x v="430"/>
    <x v="1"/>
    <x v="2"/>
    <n v="11"/>
    <n v="12"/>
    <x v="1"/>
    <x v="1"/>
    <s v="cashloan"/>
    <n v="52500000"/>
  </r>
  <r>
    <x v="430"/>
    <x v="1"/>
    <x v="2"/>
    <n v="11"/>
    <n v="12"/>
    <x v="5"/>
    <x v="5"/>
    <s v="overdraft"/>
    <n v="3669650948"/>
  </r>
  <r>
    <x v="430"/>
    <x v="1"/>
    <x v="2"/>
    <n v="11"/>
    <n v="12"/>
    <x v="12"/>
    <x v="11"/>
    <s v="cashloan"/>
    <n v="6355860000"/>
  </r>
  <r>
    <x v="430"/>
    <x v="1"/>
    <x v="2"/>
    <n v="11"/>
    <n v="12"/>
    <x v="0"/>
    <x v="0"/>
    <s v="payday"/>
    <n v="5319000000"/>
  </r>
  <r>
    <x v="431"/>
    <x v="1"/>
    <x v="2"/>
    <n v="11"/>
    <n v="13"/>
    <x v="0"/>
    <x v="0"/>
    <s v="payday"/>
    <n v="5206500000"/>
  </r>
  <r>
    <x v="431"/>
    <x v="1"/>
    <x v="2"/>
    <n v="11"/>
    <n v="13"/>
    <x v="2"/>
    <x v="2"/>
    <s v="cashloan"/>
    <n v="5516860000"/>
  </r>
  <r>
    <x v="431"/>
    <x v="1"/>
    <x v="2"/>
    <n v="11"/>
    <n v="13"/>
    <x v="21"/>
    <x v="9"/>
    <s v="cashloan"/>
    <n v="33170000"/>
  </r>
  <r>
    <x v="431"/>
    <x v="1"/>
    <x v="2"/>
    <n v="11"/>
    <n v="13"/>
    <x v="12"/>
    <x v="11"/>
    <s v="cashloan"/>
    <n v="6844600000"/>
  </r>
  <r>
    <x v="431"/>
    <x v="1"/>
    <x v="2"/>
    <n v="11"/>
    <n v="13"/>
    <x v="22"/>
    <x v="16"/>
    <s v="cashloan"/>
    <n v="0"/>
  </r>
  <r>
    <x v="431"/>
    <x v="1"/>
    <x v="2"/>
    <n v="11"/>
    <n v="13"/>
    <x v="15"/>
    <x v="14"/>
    <s v="paylater"/>
    <n v="26035283"/>
  </r>
  <r>
    <x v="431"/>
    <x v="1"/>
    <x v="2"/>
    <n v="11"/>
    <n v="13"/>
    <x v="1"/>
    <x v="1"/>
    <s v="cashloan"/>
    <n v="26250000"/>
  </r>
  <r>
    <x v="431"/>
    <x v="1"/>
    <x v="2"/>
    <n v="11"/>
    <n v="13"/>
    <x v="6"/>
    <x v="6"/>
    <s v="payday"/>
    <n v="40000000"/>
  </r>
  <r>
    <x v="431"/>
    <x v="1"/>
    <x v="2"/>
    <n v="11"/>
    <n v="13"/>
    <x v="20"/>
    <x v="9"/>
    <s v="cashloan"/>
    <n v="0"/>
  </r>
  <r>
    <x v="431"/>
    <x v="1"/>
    <x v="2"/>
    <n v="11"/>
    <n v="13"/>
    <x v="7"/>
    <x v="7"/>
    <s v="paylater"/>
    <n v="476281341"/>
  </r>
  <r>
    <x v="431"/>
    <x v="1"/>
    <x v="2"/>
    <n v="11"/>
    <n v="13"/>
    <x v="5"/>
    <x v="5"/>
    <s v="overdraft"/>
    <n v="3244632724"/>
  </r>
  <r>
    <x v="431"/>
    <x v="1"/>
    <x v="2"/>
    <n v="11"/>
    <n v="13"/>
    <x v="8"/>
    <x v="8"/>
    <s v="cashloan"/>
    <n v="0"/>
  </r>
  <r>
    <x v="431"/>
    <x v="1"/>
    <x v="2"/>
    <n v="11"/>
    <n v="13"/>
    <x v="17"/>
    <x v="9"/>
    <s v="cashloan"/>
    <n v="0"/>
  </r>
  <r>
    <x v="431"/>
    <x v="1"/>
    <x v="2"/>
    <n v="11"/>
    <n v="13"/>
    <x v="18"/>
    <x v="15"/>
    <s v="cashloan"/>
    <n v="551930000"/>
  </r>
  <r>
    <x v="431"/>
    <x v="1"/>
    <x v="2"/>
    <n v="11"/>
    <n v="13"/>
    <x v="19"/>
    <x v="12"/>
    <s v="paylater"/>
    <n v="346562136"/>
  </r>
  <r>
    <x v="431"/>
    <x v="1"/>
    <x v="2"/>
    <n v="11"/>
    <n v="13"/>
    <x v="11"/>
    <x v="10"/>
    <s v="paylater"/>
    <n v="191236930"/>
  </r>
  <r>
    <x v="431"/>
    <x v="1"/>
    <x v="2"/>
    <n v="11"/>
    <n v="13"/>
    <x v="3"/>
    <x v="3"/>
    <s v="cashloan"/>
    <n v="0"/>
  </r>
  <r>
    <x v="431"/>
    <x v="1"/>
    <x v="2"/>
    <n v="11"/>
    <n v="13"/>
    <x v="23"/>
    <x v="17"/>
    <s v="paylater"/>
    <n v="0"/>
  </r>
  <r>
    <x v="431"/>
    <x v="1"/>
    <x v="2"/>
    <n v="11"/>
    <n v="13"/>
    <x v="14"/>
    <x v="13"/>
    <s v="cashloan"/>
    <n v="860890000"/>
  </r>
  <r>
    <x v="432"/>
    <x v="1"/>
    <x v="2"/>
    <n v="11"/>
    <n v="14"/>
    <x v="6"/>
    <x v="6"/>
    <s v="payday"/>
    <n v="34000000"/>
  </r>
  <r>
    <x v="432"/>
    <x v="1"/>
    <x v="2"/>
    <n v="11"/>
    <n v="14"/>
    <x v="21"/>
    <x v="9"/>
    <s v="cashloan"/>
    <n v="32100000"/>
  </r>
  <r>
    <x v="432"/>
    <x v="1"/>
    <x v="2"/>
    <n v="11"/>
    <n v="14"/>
    <x v="14"/>
    <x v="13"/>
    <s v="cashloan"/>
    <n v="1071250000"/>
  </r>
  <r>
    <x v="432"/>
    <x v="1"/>
    <x v="2"/>
    <n v="11"/>
    <n v="14"/>
    <x v="19"/>
    <x v="12"/>
    <s v="paylater"/>
    <n v="374571065"/>
  </r>
  <r>
    <x v="432"/>
    <x v="1"/>
    <x v="2"/>
    <n v="11"/>
    <n v="14"/>
    <x v="15"/>
    <x v="14"/>
    <s v="paylater"/>
    <n v="24776104"/>
  </r>
  <r>
    <x v="432"/>
    <x v="1"/>
    <x v="2"/>
    <n v="11"/>
    <n v="14"/>
    <x v="8"/>
    <x v="8"/>
    <s v="cashloan"/>
    <n v="0"/>
  </r>
  <r>
    <x v="432"/>
    <x v="1"/>
    <x v="2"/>
    <n v="11"/>
    <n v="14"/>
    <x v="7"/>
    <x v="7"/>
    <s v="paylater"/>
    <n v="436547527"/>
  </r>
  <r>
    <x v="432"/>
    <x v="1"/>
    <x v="2"/>
    <n v="11"/>
    <n v="14"/>
    <x v="0"/>
    <x v="0"/>
    <s v="payday"/>
    <n v="5410000000"/>
  </r>
  <r>
    <x v="432"/>
    <x v="1"/>
    <x v="2"/>
    <n v="11"/>
    <n v="14"/>
    <x v="20"/>
    <x v="9"/>
    <s v="cashloan"/>
    <n v="0"/>
  </r>
  <r>
    <x v="432"/>
    <x v="1"/>
    <x v="2"/>
    <n v="11"/>
    <n v="14"/>
    <x v="23"/>
    <x v="17"/>
    <s v="paylater"/>
    <n v="0"/>
  </r>
  <r>
    <x v="432"/>
    <x v="1"/>
    <x v="2"/>
    <n v="11"/>
    <n v="14"/>
    <x v="5"/>
    <x v="5"/>
    <s v="overdraft"/>
    <n v="3653668820"/>
  </r>
  <r>
    <x v="432"/>
    <x v="1"/>
    <x v="2"/>
    <n v="11"/>
    <n v="14"/>
    <x v="17"/>
    <x v="9"/>
    <s v="cashloan"/>
    <n v="0"/>
  </r>
  <r>
    <x v="432"/>
    <x v="1"/>
    <x v="2"/>
    <n v="11"/>
    <n v="14"/>
    <x v="1"/>
    <x v="1"/>
    <s v="cashloan"/>
    <n v="42000000"/>
  </r>
  <r>
    <x v="432"/>
    <x v="1"/>
    <x v="2"/>
    <n v="11"/>
    <n v="14"/>
    <x v="22"/>
    <x v="16"/>
    <s v="cashloan"/>
    <n v="0"/>
  </r>
  <r>
    <x v="432"/>
    <x v="1"/>
    <x v="2"/>
    <n v="11"/>
    <n v="14"/>
    <x v="12"/>
    <x v="11"/>
    <s v="cashloan"/>
    <n v="5722870000"/>
  </r>
  <r>
    <x v="432"/>
    <x v="1"/>
    <x v="2"/>
    <n v="11"/>
    <n v="14"/>
    <x v="11"/>
    <x v="10"/>
    <s v="paylater"/>
    <n v="191240517"/>
  </r>
  <r>
    <x v="432"/>
    <x v="1"/>
    <x v="2"/>
    <n v="11"/>
    <n v="14"/>
    <x v="3"/>
    <x v="3"/>
    <s v="cashloan"/>
    <n v="0"/>
  </r>
  <r>
    <x v="432"/>
    <x v="1"/>
    <x v="2"/>
    <n v="11"/>
    <n v="14"/>
    <x v="18"/>
    <x v="15"/>
    <s v="cashloan"/>
    <n v="366650000"/>
  </r>
  <r>
    <x v="432"/>
    <x v="1"/>
    <x v="2"/>
    <n v="11"/>
    <n v="14"/>
    <x v="2"/>
    <x v="2"/>
    <s v="cashloan"/>
    <n v="6319920000"/>
  </r>
  <r>
    <x v="433"/>
    <x v="1"/>
    <x v="2"/>
    <n v="11"/>
    <n v="15"/>
    <x v="2"/>
    <x v="2"/>
    <s v="cashloan"/>
    <n v="5871570000"/>
  </r>
  <r>
    <x v="433"/>
    <x v="1"/>
    <x v="2"/>
    <n v="11"/>
    <n v="15"/>
    <x v="22"/>
    <x v="16"/>
    <s v="cashloan"/>
    <n v="0"/>
  </r>
  <r>
    <x v="433"/>
    <x v="1"/>
    <x v="2"/>
    <n v="11"/>
    <n v="15"/>
    <x v="0"/>
    <x v="0"/>
    <s v="payday"/>
    <n v="4980000000"/>
  </r>
  <r>
    <x v="433"/>
    <x v="1"/>
    <x v="2"/>
    <n v="11"/>
    <n v="15"/>
    <x v="14"/>
    <x v="13"/>
    <s v="cashloan"/>
    <n v="748120000"/>
  </r>
  <r>
    <x v="433"/>
    <x v="1"/>
    <x v="2"/>
    <n v="11"/>
    <n v="15"/>
    <x v="12"/>
    <x v="11"/>
    <s v="cashloan"/>
    <n v="4587550000"/>
  </r>
  <r>
    <x v="433"/>
    <x v="1"/>
    <x v="2"/>
    <n v="11"/>
    <n v="15"/>
    <x v="1"/>
    <x v="1"/>
    <s v="cashloan"/>
    <n v="31500000"/>
  </r>
  <r>
    <x v="433"/>
    <x v="1"/>
    <x v="2"/>
    <n v="11"/>
    <n v="15"/>
    <x v="6"/>
    <x v="6"/>
    <s v="payday"/>
    <n v="56000000"/>
  </r>
  <r>
    <x v="433"/>
    <x v="1"/>
    <x v="2"/>
    <n v="11"/>
    <n v="15"/>
    <x v="20"/>
    <x v="9"/>
    <s v="cashloan"/>
    <n v="0"/>
  </r>
  <r>
    <x v="433"/>
    <x v="1"/>
    <x v="2"/>
    <n v="11"/>
    <n v="15"/>
    <x v="15"/>
    <x v="14"/>
    <s v="paylater"/>
    <n v="24065294"/>
  </r>
  <r>
    <x v="433"/>
    <x v="1"/>
    <x v="2"/>
    <n v="11"/>
    <n v="15"/>
    <x v="17"/>
    <x v="9"/>
    <s v="cashloan"/>
    <n v="0"/>
  </r>
  <r>
    <x v="433"/>
    <x v="1"/>
    <x v="2"/>
    <n v="11"/>
    <n v="15"/>
    <x v="21"/>
    <x v="9"/>
    <s v="cashloan"/>
    <n v="21400000"/>
  </r>
  <r>
    <x v="433"/>
    <x v="1"/>
    <x v="2"/>
    <n v="11"/>
    <n v="15"/>
    <x v="23"/>
    <x v="17"/>
    <s v="paylater"/>
    <n v="0"/>
  </r>
  <r>
    <x v="433"/>
    <x v="1"/>
    <x v="2"/>
    <n v="11"/>
    <n v="15"/>
    <x v="18"/>
    <x v="15"/>
    <s v="cashloan"/>
    <n v="344990000"/>
  </r>
  <r>
    <x v="433"/>
    <x v="1"/>
    <x v="2"/>
    <n v="11"/>
    <n v="15"/>
    <x v="3"/>
    <x v="3"/>
    <s v="cashloan"/>
    <n v="15750000"/>
  </r>
  <r>
    <x v="433"/>
    <x v="1"/>
    <x v="2"/>
    <n v="11"/>
    <n v="15"/>
    <x v="19"/>
    <x v="12"/>
    <s v="paylater"/>
    <n v="312372333"/>
  </r>
  <r>
    <x v="433"/>
    <x v="1"/>
    <x v="2"/>
    <n v="11"/>
    <n v="15"/>
    <x v="11"/>
    <x v="10"/>
    <s v="paylater"/>
    <n v="167815504"/>
  </r>
  <r>
    <x v="433"/>
    <x v="1"/>
    <x v="2"/>
    <n v="11"/>
    <n v="15"/>
    <x v="8"/>
    <x v="8"/>
    <s v="cashloan"/>
    <n v="0"/>
  </r>
  <r>
    <x v="433"/>
    <x v="1"/>
    <x v="2"/>
    <n v="11"/>
    <n v="15"/>
    <x v="7"/>
    <x v="7"/>
    <s v="paylater"/>
    <n v="404546010"/>
  </r>
  <r>
    <x v="433"/>
    <x v="1"/>
    <x v="2"/>
    <n v="11"/>
    <n v="15"/>
    <x v="5"/>
    <x v="5"/>
    <s v="overdraft"/>
    <n v="3157798966"/>
  </r>
  <r>
    <x v="434"/>
    <x v="1"/>
    <x v="2"/>
    <n v="11"/>
    <n v="16"/>
    <x v="23"/>
    <x v="17"/>
    <s v="paylater"/>
    <n v="0"/>
  </r>
  <r>
    <x v="434"/>
    <x v="1"/>
    <x v="2"/>
    <n v="11"/>
    <n v="16"/>
    <x v="18"/>
    <x v="15"/>
    <s v="cashloan"/>
    <n v="110760000"/>
  </r>
  <r>
    <x v="434"/>
    <x v="1"/>
    <x v="2"/>
    <n v="11"/>
    <n v="16"/>
    <x v="3"/>
    <x v="3"/>
    <s v="cashloan"/>
    <n v="10500000"/>
  </r>
  <r>
    <x v="434"/>
    <x v="1"/>
    <x v="2"/>
    <n v="11"/>
    <n v="16"/>
    <x v="19"/>
    <x v="12"/>
    <s v="paylater"/>
    <n v="188653947"/>
  </r>
  <r>
    <x v="434"/>
    <x v="1"/>
    <x v="2"/>
    <n v="11"/>
    <n v="16"/>
    <x v="11"/>
    <x v="10"/>
    <s v="paylater"/>
    <n v="155262408"/>
  </r>
  <r>
    <x v="434"/>
    <x v="1"/>
    <x v="2"/>
    <n v="11"/>
    <n v="16"/>
    <x v="14"/>
    <x v="13"/>
    <s v="cashloan"/>
    <n v="858140000"/>
  </r>
  <r>
    <x v="434"/>
    <x v="1"/>
    <x v="2"/>
    <n v="11"/>
    <n v="16"/>
    <x v="8"/>
    <x v="8"/>
    <s v="cashloan"/>
    <n v="0"/>
  </r>
  <r>
    <x v="434"/>
    <x v="1"/>
    <x v="2"/>
    <n v="11"/>
    <n v="16"/>
    <x v="7"/>
    <x v="7"/>
    <s v="paylater"/>
    <n v="366023941"/>
  </r>
  <r>
    <x v="434"/>
    <x v="1"/>
    <x v="2"/>
    <n v="11"/>
    <n v="16"/>
    <x v="5"/>
    <x v="5"/>
    <s v="overdraft"/>
    <n v="2847226806"/>
  </r>
  <r>
    <x v="434"/>
    <x v="1"/>
    <x v="2"/>
    <n v="11"/>
    <n v="16"/>
    <x v="12"/>
    <x v="11"/>
    <s v="cashloan"/>
    <n v="4810120000"/>
  </r>
  <r>
    <x v="434"/>
    <x v="1"/>
    <x v="2"/>
    <n v="11"/>
    <n v="16"/>
    <x v="0"/>
    <x v="0"/>
    <s v="payday"/>
    <n v="4752000000"/>
  </r>
  <r>
    <x v="434"/>
    <x v="1"/>
    <x v="2"/>
    <n v="11"/>
    <n v="16"/>
    <x v="2"/>
    <x v="2"/>
    <s v="cashloan"/>
    <n v="5295520000"/>
  </r>
  <r>
    <x v="434"/>
    <x v="1"/>
    <x v="2"/>
    <n v="11"/>
    <n v="16"/>
    <x v="22"/>
    <x v="16"/>
    <s v="cashloan"/>
    <n v="0"/>
  </r>
  <r>
    <x v="434"/>
    <x v="1"/>
    <x v="2"/>
    <n v="11"/>
    <n v="16"/>
    <x v="15"/>
    <x v="14"/>
    <s v="paylater"/>
    <n v="15717195"/>
  </r>
  <r>
    <x v="434"/>
    <x v="1"/>
    <x v="2"/>
    <n v="11"/>
    <n v="16"/>
    <x v="1"/>
    <x v="1"/>
    <s v="cashloan"/>
    <n v="26250000"/>
  </r>
  <r>
    <x v="434"/>
    <x v="1"/>
    <x v="2"/>
    <n v="11"/>
    <n v="16"/>
    <x v="6"/>
    <x v="6"/>
    <s v="payday"/>
    <n v="71000000"/>
  </r>
  <r>
    <x v="434"/>
    <x v="1"/>
    <x v="2"/>
    <n v="11"/>
    <n v="16"/>
    <x v="20"/>
    <x v="9"/>
    <s v="cashloan"/>
    <n v="0"/>
  </r>
  <r>
    <x v="434"/>
    <x v="1"/>
    <x v="2"/>
    <n v="11"/>
    <n v="16"/>
    <x v="17"/>
    <x v="9"/>
    <s v="cashloan"/>
    <n v="0"/>
  </r>
  <r>
    <x v="434"/>
    <x v="1"/>
    <x v="2"/>
    <n v="11"/>
    <n v="16"/>
    <x v="21"/>
    <x v="9"/>
    <s v="cashloan"/>
    <n v="32100000"/>
  </r>
  <r>
    <x v="435"/>
    <x v="1"/>
    <x v="2"/>
    <n v="12"/>
    <n v="17"/>
    <x v="2"/>
    <x v="2"/>
    <s v="cashloan"/>
    <n v="6386420000"/>
  </r>
  <r>
    <x v="435"/>
    <x v="1"/>
    <x v="2"/>
    <n v="12"/>
    <n v="17"/>
    <x v="1"/>
    <x v="1"/>
    <s v="cashloan"/>
    <n v="21000000"/>
  </r>
  <r>
    <x v="435"/>
    <x v="1"/>
    <x v="2"/>
    <n v="12"/>
    <n v="17"/>
    <x v="22"/>
    <x v="16"/>
    <s v="cashloan"/>
    <n v="0"/>
  </r>
  <r>
    <x v="435"/>
    <x v="1"/>
    <x v="2"/>
    <n v="12"/>
    <n v="17"/>
    <x v="15"/>
    <x v="14"/>
    <s v="paylater"/>
    <n v="49031919"/>
  </r>
  <r>
    <x v="435"/>
    <x v="1"/>
    <x v="2"/>
    <n v="12"/>
    <n v="17"/>
    <x v="0"/>
    <x v="0"/>
    <s v="payday"/>
    <n v="4236000000"/>
  </r>
  <r>
    <x v="435"/>
    <x v="1"/>
    <x v="2"/>
    <n v="12"/>
    <n v="17"/>
    <x v="6"/>
    <x v="6"/>
    <s v="payday"/>
    <n v="26000000"/>
  </r>
  <r>
    <x v="435"/>
    <x v="1"/>
    <x v="2"/>
    <n v="12"/>
    <n v="17"/>
    <x v="20"/>
    <x v="9"/>
    <s v="cashloan"/>
    <n v="0"/>
  </r>
  <r>
    <x v="435"/>
    <x v="1"/>
    <x v="2"/>
    <n v="12"/>
    <n v="17"/>
    <x v="17"/>
    <x v="9"/>
    <s v="cashloan"/>
    <n v="42800000"/>
  </r>
  <r>
    <x v="435"/>
    <x v="1"/>
    <x v="2"/>
    <n v="12"/>
    <n v="17"/>
    <x v="21"/>
    <x v="9"/>
    <s v="cashloan"/>
    <n v="10700000"/>
  </r>
  <r>
    <x v="435"/>
    <x v="1"/>
    <x v="2"/>
    <n v="12"/>
    <n v="17"/>
    <x v="23"/>
    <x v="17"/>
    <s v="paylater"/>
    <n v="0"/>
  </r>
  <r>
    <x v="435"/>
    <x v="1"/>
    <x v="2"/>
    <n v="12"/>
    <n v="17"/>
    <x v="18"/>
    <x v="15"/>
    <s v="cashloan"/>
    <n v="488210000"/>
  </r>
  <r>
    <x v="435"/>
    <x v="1"/>
    <x v="2"/>
    <n v="12"/>
    <n v="17"/>
    <x v="3"/>
    <x v="3"/>
    <s v="cashloan"/>
    <n v="0"/>
  </r>
  <r>
    <x v="435"/>
    <x v="1"/>
    <x v="2"/>
    <n v="12"/>
    <n v="17"/>
    <x v="14"/>
    <x v="13"/>
    <s v="cashloan"/>
    <n v="938830000"/>
  </r>
  <r>
    <x v="435"/>
    <x v="1"/>
    <x v="2"/>
    <n v="12"/>
    <n v="17"/>
    <x v="19"/>
    <x v="12"/>
    <s v="paylater"/>
    <n v="220825736"/>
  </r>
  <r>
    <x v="435"/>
    <x v="1"/>
    <x v="2"/>
    <n v="12"/>
    <n v="17"/>
    <x v="11"/>
    <x v="10"/>
    <s v="paylater"/>
    <n v="141531227"/>
  </r>
  <r>
    <x v="435"/>
    <x v="1"/>
    <x v="2"/>
    <n v="12"/>
    <n v="17"/>
    <x v="7"/>
    <x v="7"/>
    <s v="paylater"/>
    <n v="349859663"/>
  </r>
  <r>
    <x v="435"/>
    <x v="1"/>
    <x v="2"/>
    <n v="12"/>
    <n v="17"/>
    <x v="5"/>
    <x v="5"/>
    <s v="overdraft"/>
    <n v="3605828495"/>
  </r>
  <r>
    <x v="435"/>
    <x v="1"/>
    <x v="2"/>
    <n v="12"/>
    <n v="17"/>
    <x v="12"/>
    <x v="11"/>
    <s v="cashloan"/>
    <n v="5496930000"/>
  </r>
  <r>
    <x v="436"/>
    <x v="1"/>
    <x v="2"/>
    <n v="12"/>
    <n v="18"/>
    <x v="12"/>
    <x v="11"/>
    <s v="cashloan"/>
    <n v="6236500000"/>
  </r>
  <r>
    <x v="436"/>
    <x v="1"/>
    <x v="2"/>
    <n v="12"/>
    <n v="18"/>
    <x v="5"/>
    <x v="5"/>
    <s v="overdraft"/>
    <n v="3366484653"/>
  </r>
  <r>
    <x v="436"/>
    <x v="1"/>
    <x v="2"/>
    <n v="12"/>
    <n v="18"/>
    <x v="2"/>
    <x v="2"/>
    <s v="cashloan"/>
    <n v="5780970000"/>
  </r>
  <r>
    <x v="436"/>
    <x v="1"/>
    <x v="2"/>
    <n v="12"/>
    <n v="18"/>
    <x v="0"/>
    <x v="0"/>
    <s v="payday"/>
    <n v="4732000000"/>
  </r>
  <r>
    <x v="436"/>
    <x v="1"/>
    <x v="2"/>
    <n v="12"/>
    <n v="18"/>
    <x v="15"/>
    <x v="14"/>
    <s v="paylater"/>
    <n v="11440552"/>
  </r>
  <r>
    <x v="436"/>
    <x v="1"/>
    <x v="2"/>
    <n v="12"/>
    <n v="18"/>
    <x v="22"/>
    <x v="16"/>
    <s v="cashloan"/>
    <n v="0"/>
  </r>
  <r>
    <x v="436"/>
    <x v="1"/>
    <x v="2"/>
    <n v="12"/>
    <n v="18"/>
    <x v="20"/>
    <x v="9"/>
    <s v="cashloan"/>
    <n v="10700000"/>
  </r>
  <r>
    <x v="436"/>
    <x v="1"/>
    <x v="2"/>
    <n v="12"/>
    <n v="18"/>
    <x v="1"/>
    <x v="1"/>
    <s v="cashloan"/>
    <n v="42000000"/>
  </r>
  <r>
    <x v="436"/>
    <x v="1"/>
    <x v="2"/>
    <n v="12"/>
    <n v="18"/>
    <x v="6"/>
    <x v="6"/>
    <s v="payday"/>
    <n v="82000000"/>
  </r>
  <r>
    <x v="436"/>
    <x v="1"/>
    <x v="2"/>
    <n v="12"/>
    <n v="18"/>
    <x v="17"/>
    <x v="9"/>
    <s v="cashloan"/>
    <n v="0"/>
  </r>
  <r>
    <x v="436"/>
    <x v="1"/>
    <x v="2"/>
    <n v="12"/>
    <n v="18"/>
    <x v="21"/>
    <x v="9"/>
    <s v="cashloan"/>
    <n v="20000000"/>
  </r>
  <r>
    <x v="436"/>
    <x v="1"/>
    <x v="2"/>
    <n v="12"/>
    <n v="18"/>
    <x v="23"/>
    <x v="17"/>
    <s v="paylater"/>
    <n v="0"/>
  </r>
  <r>
    <x v="436"/>
    <x v="1"/>
    <x v="2"/>
    <n v="12"/>
    <n v="18"/>
    <x v="18"/>
    <x v="15"/>
    <s v="cashloan"/>
    <n v="339060000"/>
  </r>
  <r>
    <x v="436"/>
    <x v="1"/>
    <x v="2"/>
    <n v="12"/>
    <n v="18"/>
    <x v="3"/>
    <x v="3"/>
    <s v="cashloan"/>
    <n v="0"/>
  </r>
  <r>
    <x v="436"/>
    <x v="1"/>
    <x v="2"/>
    <n v="12"/>
    <n v="18"/>
    <x v="14"/>
    <x v="13"/>
    <s v="cashloan"/>
    <n v="995720000"/>
  </r>
  <r>
    <x v="436"/>
    <x v="1"/>
    <x v="2"/>
    <n v="12"/>
    <n v="18"/>
    <x v="19"/>
    <x v="12"/>
    <s v="paylater"/>
    <n v="262729970"/>
  </r>
  <r>
    <x v="436"/>
    <x v="1"/>
    <x v="2"/>
    <n v="12"/>
    <n v="18"/>
    <x v="11"/>
    <x v="10"/>
    <s v="paylater"/>
    <n v="140559562"/>
  </r>
  <r>
    <x v="436"/>
    <x v="1"/>
    <x v="2"/>
    <n v="12"/>
    <n v="18"/>
    <x v="7"/>
    <x v="7"/>
    <s v="paylater"/>
    <n v="294797589"/>
  </r>
  <r>
    <x v="437"/>
    <x v="1"/>
    <x v="2"/>
    <n v="12"/>
    <n v="19"/>
    <x v="21"/>
    <x v="9"/>
    <s v="cashloan"/>
    <n v="23540000"/>
  </r>
  <r>
    <x v="437"/>
    <x v="1"/>
    <x v="2"/>
    <n v="12"/>
    <n v="19"/>
    <x v="0"/>
    <x v="0"/>
    <s v="payday"/>
    <n v="4941000000"/>
  </r>
  <r>
    <x v="437"/>
    <x v="1"/>
    <x v="2"/>
    <n v="12"/>
    <n v="19"/>
    <x v="3"/>
    <x v="3"/>
    <s v="cashloan"/>
    <n v="0"/>
  </r>
  <r>
    <x v="437"/>
    <x v="1"/>
    <x v="2"/>
    <n v="12"/>
    <n v="19"/>
    <x v="2"/>
    <x v="2"/>
    <s v="cashloan"/>
    <n v="6365580000"/>
  </r>
  <r>
    <x v="437"/>
    <x v="1"/>
    <x v="2"/>
    <n v="12"/>
    <n v="19"/>
    <x v="22"/>
    <x v="16"/>
    <s v="cashloan"/>
    <n v="0"/>
  </r>
  <r>
    <x v="437"/>
    <x v="1"/>
    <x v="2"/>
    <n v="12"/>
    <n v="19"/>
    <x v="18"/>
    <x v="15"/>
    <s v="cashloan"/>
    <n v="460980000"/>
  </r>
  <r>
    <x v="437"/>
    <x v="1"/>
    <x v="2"/>
    <n v="12"/>
    <n v="19"/>
    <x v="6"/>
    <x v="6"/>
    <s v="payday"/>
    <n v="96000000"/>
  </r>
  <r>
    <x v="437"/>
    <x v="1"/>
    <x v="2"/>
    <n v="12"/>
    <n v="19"/>
    <x v="20"/>
    <x v="9"/>
    <s v="cashloan"/>
    <n v="0"/>
  </r>
  <r>
    <x v="437"/>
    <x v="1"/>
    <x v="2"/>
    <n v="12"/>
    <n v="19"/>
    <x v="17"/>
    <x v="9"/>
    <s v="cashloan"/>
    <n v="10700000"/>
  </r>
  <r>
    <x v="437"/>
    <x v="1"/>
    <x v="2"/>
    <n v="12"/>
    <n v="19"/>
    <x v="12"/>
    <x v="11"/>
    <s v="cashloan"/>
    <n v="6140770000"/>
  </r>
  <r>
    <x v="437"/>
    <x v="1"/>
    <x v="2"/>
    <n v="12"/>
    <n v="19"/>
    <x v="23"/>
    <x v="17"/>
    <s v="paylater"/>
    <n v="0"/>
  </r>
  <r>
    <x v="437"/>
    <x v="1"/>
    <x v="2"/>
    <n v="12"/>
    <n v="19"/>
    <x v="1"/>
    <x v="1"/>
    <s v="cashloan"/>
    <n v="31500000"/>
  </r>
  <r>
    <x v="437"/>
    <x v="1"/>
    <x v="2"/>
    <n v="12"/>
    <n v="19"/>
    <x v="14"/>
    <x v="13"/>
    <s v="cashloan"/>
    <n v="888290000"/>
  </r>
  <r>
    <x v="437"/>
    <x v="1"/>
    <x v="2"/>
    <n v="12"/>
    <n v="19"/>
    <x v="19"/>
    <x v="12"/>
    <s v="paylater"/>
    <n v="267460254"/>
  </r>
  <r>
    <x v="437"/>
    <x v="1"/>
    <x v="2"/>
    <n v="12"/>
    <n v="19"/>
    <x v="11"/>
    <x v="10"/>
    <s v="paylater"/>
    <n v="138218285"/>
  </r>
  <r>
    <x v="437"/>
    <x v="1"/>
    <x v="2"/>
    <n v="12"/>
    <n v="19"/>
    <x v="15"/>
    <x v="14"/>
    <s v="paylater"/>
    <n v="18305316"/>
  </r>
  <r>
    <x v="437"/>
    <x v="1"/>
    <x v="2"/>
    <n v="12"/>
    <n v="19"/>
    <x v="7"/>
    <x v="7"/>
    <s v="paylater"/>
    <n v="333941156"/>
  </r>
  <r>
    <x v="437"/>
    <x v="1"/>
    <x v="2"/>
    <n v="12"/>
    <n v="19"/>
    <x v="5"/>
    <x v="5"/>
    <s v="overdraft"/>
    <n v="2979629954"/>
  </r>
  <r>
    <x v="438"/>
    <x v="1"/>
    <x v="2"/>
    <n v="12"/>
    <n v="20"/>
    <x v="21"/>
    <x v="9"/>
    <s v="cashloan"/>
    <n v="53500000"/>
  </r>
  <r>
    <x v="438"/>
    <x v="1"/>
    <x v="2"/>
    <n v="12"/>
    <n v="20"/>
    <x v="11"/>
    <x v="10"/>
    <s v="paylater"/>
    <n v="117399544"/>
  </r>
  <r>
    <x v="438"/>
    <x v="1"/>
    <x v="2"/>
    <n v="12"/>
    <n v="20"/>
    <x v="0"/>
    <x v="0"/>
    <s v="payday"/>
    <n v="5194500000"/>
  </r>
  <r>
    <x v="438"/>
    <x v="1"/>
    <x v="2"/>
    <n v="12"/>
    <n v="20"/>
    <x v="15"/>
    <x v="14"/>
    <s v="paylater"/>
    <n v="11677366"/>
  </r>
  <r>
    <x v="438"/>
    <x v="1"/>
    <x v="2"/>
    <n v="12"/>
    <n v="20"/>
    <x v="1"/>
    <x v="1"/>
    <s v="cashloan"/>
    <n v="157300000"/>
  </r>
  <r>
    <x v="438"/>
    <x v="1"/>
    <x v="2"/>
    <n v="12"/>
    <n v="20"/>
    <x v="2"/>
    <x v="2"/>
    <s v="cashloan"/>
    <n v="6670710000"/>
  </r>
  <r>
    <x v="438"/>
    <x v="1"/>
    <x v="2"/>
    <n v="12"/>
    <n v="20"/>
    <x v="6"/>
    <x v="6"/>
    <s v="payday"/>
    <n v="65000000"/>
  </r>
  <r>
    <x v="438"/>
    <x v="1"/>
    <x v="2"/>
    <n v="12"/>
    <n v="20"/>
    <x v="20"/>
    <x v="9"/>
    <s v="cashloan"/>
    <n v="21400000"/>
  </r>
  <r>
    <x v="438"/>
    <x v="1"/>
    <x v="2"/>
    <n v="12"/>
    <n v="20"/>
    <x v="22"/>
    <x v="16"/>
    <s v="cashloan"/>
    <n v="0"/>
  </r>
  <r>
    <x v="438"/>
    <x v="1"/>
    <x v="2"/>
    <n v="12"/>
    <n v="20"/>
    <x v="17"/>
    <x v="9"/>
    <s v="cashloan"/>
    <n v="0"/>
  </r>
  <r>
    <x v="438"/>
    <x v="1"/>
    <x v="2"/>
    <n v="12"/>
    <n v="20"/>
    <x v="23"/>
    <x v="17"/>
    <s v="paylater"/>
    <n v="0"/>
  </r>
  <r>
    <x v="438"/>
    <x v="1"/>
    <x v="2"/>
    <n v="12"/>
    <n v="20"/>
    <x v="18"/>
    <x v="15"/>
    <s v="cashloan"/>
    <n v="342010000"/>
  </r>
  <r>
    <x v="438"/>
    <x v="1"/>
    <x v="2"/>
    <n v="12"/>
    <n v="20"/>
    <x v="3"/>
    <x v="3"/>
    <s v="cashloan"/>
    <n v="10500000"/>
  </r>
  <r>
    <x v="438"/>
    <x v="1"/>
    <x v="2"/>
    <n v="12"/>
    <n v="20"/>
    <x v="19"/>
    <x v="12"/>
    <s v="paylater"/>
    <n v="310415168"/>
  </r>
  <r>
    <x v="438"/>
    <x v="1"/>
    <x v="2"/>
    <n v="12"/>
    <n v="20"/>
    <x v="5"/>
    <x v="5"/>
    <s v="overdraft"/>
    <n v="3387449629"/>
  </r>
  <r>
    <x v="438"/>
    <x v="1"/>
    <x v="2"/>
    <n v="12"/>
    <n v="20"/>
    <x v="7"/>
    <x v="7"/>
    <s v="paylater"/>
    <n v="325836356"/>
  </r>
  <r>
    <x v="438"/>
    <x v="1"/>
    <x v="2"/>
    <n v="12"/>
    <n v="20"/>
    <x v="12"/>
    <x v="11"/>
    <s v="cashloan"/>
    <n v="6017000000"/>
  </r>
  <r>
    <x v="438"/>
    <x v="1"/>
    <x v="2"/>
    <n v="12"/>
    <n v="20"/>
    <x v="14"/>
    <x v="13"/>
    <s v="cashloan"/>
    <n v="753770000"/>
  </r>
  <r>
    <x v="439"/>
    <x v="1"/>
    <x v="2"/>
    <n v="12"/>
    <n v="21"/>
    <x v="7"/>
    <x v="7"/>
    <s v="paylater"/>
    <n v="368888775"/>
  </r>
  <r>
    <x v="439"/>
    <x v="1"/>
    <x v="2"/>
    <n v="12"/>
    <n v="21"/>
    <x v="2"/>
    <x v="2"/>
    <s v="cashloan"/>
    <n v="7414510000"/>
  </r>
  <r>
    <x v="439"/>
    <x v="1"/>
    <x v="2"/>
    <n v="12"/>
    <n v="21"/>
    <x v="5"/>
    <x v="5"/>
    <s v="overdraft"/>
    <n v="3578778101"/>
  </r>
  <r>
    <x v="439"/>
    <x v="1"/>
    <x v="2"/>
    <n v="12"/>
    <n v="21"/>
    <x v="11"/>
    <x v="10"/>
    <s v="paylater"/>
    <n v="162610512"/>
  </r>
  <r>
    <x v="439"/>
    <x v="1"/>
    <x v="2"/>
    <n v="12"/>
    <n v="21"/>
    <x v="22"/>
    <x v="16"/>
    <s v="cashloan"/>
    <n v="0"/>
  </r>
  <r>
    <x v="439"/>
    <x v="1"/>
    <x v="2"/>
    <n v="12"/>
    <n v="21"/>
    <x v="15"/>
    <x v="14"/>
    <s v="paylater"/>
    <n v="25912884"/>
  </r>
  <r>
    <x v="439"/>
    <x v="1"/>
    <x v="2"/>
    <n v="12"/>
    <n v="21"/>
    <x v="1"/>
    <x v="1"/>
    <s v="cashloan"/>
    <n v="63000000"/>
  </r>
  <r>
    <x v="439"/>
    <x v="1"/>
    <x v="2"/>
    <n v="12"/>
    <n v="21"/>
    <x v="6"/>
    <x v="6"/>
    <s v="payday"/>
    <n v="121000000"/>
  </r>
  <r>
    <x v="439"/>
    <x v="1"/>
    <x v="2"/>
    <n v="12"/>
    <n v="21"/>
    <x v="20"/>
    <x v="9"/>
    <s v="cashloan"/>
    <n v="0"/>
  </r>
  <r>
    <x v="439"/>
    <x v="1"/>
    <x v="2"/>
    <n v="12"/>
    <n v="21"/>
    <x v="17"/>
    <x v="9"/>
    <s v="cashloan"/>
    <n v="0"/>
  </r>
  <r>
    <x v="439"/>
    <x v="1"/>
    <x v="2"/>
    <n v="12"/>
    <n v="21"/>
    <x v="21"/>
    <x v="9"/>
    <s v="cashloan"/>
    <n v="10000000"/>
  </r>
  <r>
    <x v="439"/>
    <x v="1"/>
    <x v="2"/>
    <n v="12"/>
    <n v="21"/>
    <x v="24"/>
    <x v="18"/>
    <s v="cashloan"/>
    <n v="13910000"/>
  </r>
  <r>
    <x v="439"/>
    <x v="1"/>
    <x v="2"/>
    <n v="12"/>
    <n v="21"/>
    <x v="23"/>
    <x v="17"/>
    <s v="paylater"/>
    <n v="0"/>
  </r>
  <r>
    <x v="439"/>
    <x v="1"/>
    <x v="2"/>
    <n v="12"/>
    <n v="21"/>
    <x v="18"/>
    <x v="15"/>
    <s v="cashloan"/>
    <n v="502860000"/>
  </r>
  <r>
    <x v="439"/>
    <x v="1"/>
    <x v="2"/>
    <n v="12"/>
    <n v="21"/>
    <x v="3"/>
    <x v="3"/>
    <s v="cashloan"/>
    <n v="0"/>
  </r>
  <r>
    <x v="439"/>
    <x v="1"/>
    <x v="2"/>
    <n v="12"/>
    <n v="21"/>
    <x v="14"/>
    <x v="13"/>
    <s v="cashloan"/>
    <n v="700790000"/>
  </r>
  <r>
    <x v="439"/>
    <x v="1"/>
    <x v="2"/>
    <n v="12"/>
    <n v="21"/>
    <x v="19"/>
    <x v="12"/>
    <s v="paylater"/>
    <n v="381927285"/>
  </r>
  <r>
    <x v="439"/>
    <x v="1"/>
    <x v="2"/>
    <n v="12"/>
    <n v="21"/>
    <x v="12"/>
    <x v="11"/>
    <s v="cashloan"/>
    <n v="4930670000"/>
  </r>
  <r>
    <x v="439"/>
    <x v="1"/>
    <x v="2"/>
    <n v="12"/>
    <n v="21"/>
    <x v="0"/>
    <x v="0"/>
    <s v="payday"/>
    <n v="5400000000"/>
  </r>
  <r>
    <x v="440"/>
    <x v="1"/>
    <x v="2"/>
    <n v="12"/>
    <n v="22"/>
    <x v="21"/>
    <x v="9"/>
    <s v="cashloan"/>
    <n v="20330000"/>
  </r>
  <r>
    <x v="440"/>
    <x v="1"/>
    <x v="2"/>
    <n v="12"/>
    <n v="22"/>
    <x v="2"/>
    <x v="2"/>
    <s v="cashloan"/>
    <n v="6535770000"/>
  </r>
  <r>
    <x v="440"/>
    <x v="1"/>
    <x v="2"/>
    <n v="12"/>
    <n v="22"/>
    <x v="15"/>
    <x v="14"/>
    <s v="paylater"/>
    <n v="29759152"/>
  </r>
  <r>
    <x v="440"/>
    <x v="1"/>
    <x v="2"/>
    <n v="12"/>
    <n v="22"/>
    <x v="24"/>
    <x v="18"/>
    <s v="cashloan"/>
    <n v="0"/>
  </r>
  <r>
    <x v="440"/>
    <x v="1"/>
    <x v="2"/>
    <n v="12"/>
    <n v="22"/>
    <x v="1"/>
    <x v="1"/>
    <s v="cashloan"/>
    <n v="52500000"/>
  </r>
  <r>
    <x v="440"/>
    <x v="1"/>
    <x v="2"/>
    <n v="12"/>
    <n v="22"/>
    <x v="12"/>
    <x v="11"/>
    <s v="cashloan"/>
    <n v="4864860000"/>
  </r>
  <r>
    <x v="440"/>
    <x v="1"/>
    <x v="2"/>
    <n v="12"/>
    <n v="22"/>
    <x v="6"/>
    <x v="6"/>
    <s v="payday"/>
    <n v="76000000"/>
  </r>
  <r>
    <x v="440"/>
    <x v="1"/>
    <x v="2"/>
    <n v="12"/>
    <n v="22"/>
    <x v="20"/>
    <x v="9"/>
    <s v="cashloan"/>
    <n v="0"/>
  </r>
  <r>
    <x v="440"/>
    <x v="1"/>
    <x v="2"/>
    <n v="12"/>
    <n v="22"/>
    <x v="17"/>
    <x v="9"/>
    <s v="cashloan"/>
    <n v="0"/>
  </r>
  <r>
    <x v="440"/>
    <x v="1"/>
    <x v="2"/>
    <n v="12"/>
    <n v="22"/>
    <x v="0"/>
    <x v="0"/>
    <s v="payday"/>
    <n v="5284500000"/>
  </r>
  <r>
    <x v="440"/>
    <x v="1"/>
    <x v="2"/>
    <n v="12"/>
    <n v="22"/>
    <x v="23"/>
    <x v="17"/>
    <s v="paylater"/>
    <n v="0"/>
  </r>
  <r>
    <x v="440"/>
    <x v="1"/>
    <x v="2"/>
    <n v="12"/>
    <n v="22"/>
    <x v="18"/>
    <x v="15"/>
    <s v="cashloan"/>
    <n v="303030000"/>
  </r>
  <r>
    <x v="440"/>
    <x v="1"/>
    <x v="2"/>
    <n v="12"/>
    <n v="22"/>
    <x v="3"/>
    <x v="3"/>
    <s v="cashloan"/>
    <n v="0"/>
  </r>
  <r>
    <x v="440"/>
    <x v="1"/>
    <x v="2"/>
    <n v="12"/>
    <n v="22"/>
    <x v="14"/>
    <x v="13"/>
    <s v="cashloan"/>
    <n v="765470000"/>
  </r>
  <r>
    <x v="440"/>
    <x v="1"/>
    <x v="2"/>
    <n v="12"/>
    <n v="22"/>
    <x v="22"/>
    <x v="16"/>
    <s v="cashloan"/>
    <n v="0"/>
  </r>
  <r>
    <x v="440"/>
    <x v="1"/>
    <x v="2"/>
    <n v="12"/>
    <n v="22"/>
    <x v="19"/>
    <x v="12"/>
    <s v="paylater"/>
    <n v="259892445"/>
  </r>
  <r>
    <x v="440"/>
    <x v="1"/>
    <x v="2"/>
    <n v="12"/>
    <n v="22"/>
    <x v="11"/>
    <x v="10"/>
    <s v="paylater"/>
    <n v="151770646"/>
  </r>
  <r>
    <x v="440"/>
    <x v="1"/>
    <x v="2"/>
    <n v="12"/>
    <n v="22"/>
    <x v="7"/>
    <x v="7"/>
    <s v="paylater"/>
    <n v="336319141"/>
  </r>
  <r>
    <x v="440"/>
    <x v="1"/>
    <x v="2"/>
    <n v="12"/>
    <n v="22"/>
    <x v="5"/>
    <x v="5"/>
    <s v="overdraft"/>
    <n v="3067355511"/>
  </r>
  <r>
    <x v="441"/>
    <x v="1"/>
    <x v="2"/>
    <n v="12"/>
    <n v="23"/>
    <x v="24"/>
    <x v="18"/>
    <s v="cashloan"/>
    <n v="0"/>
  </r>
  <r>
    <x v="441"/>
    <x v="1"/>
    <x v="2"/>
    <n v="12"/>
    <n v="23"/>
    <x v="22"/>
    <x v="16"/>
    <s v="cashloan"/>
    <n v="0"/>
  </r>
  <r>
    <x v="441"/>
    <x v="1"/>
    <x v="2"/>
    <n v="12"/>
    <n v="23"/>
    <x v="15"/>
    <x v="14"/>
    <s v="paylater"/>
    <n v="18639727"/>
  </r>
  <r>
    <x v="441"/>
    <x v="1"/>
    <x v="2"/>
    <n v="12"/>
    <n v="23"/>
    <x v="1"/>
    <x v="1"/>
    <s v="cashloan"/>
    <n v="56750000"/>
  </r>
  <r>
    <x v="441"/>
    <x v="1"/>
    <x v="2"/>
    <n v="12"/>
    <n v="23"/>
    <x v="6"/>
    <x v="6"/>
    <s v="payday"/>
    <n v="96000000"/>
  </r>
  <r>
    <x v="441"/>
    <x v="1"/>
    <x v="2"/>
    <n v="12"/>
    <n v="23"/>
    <x v="20"/>
    <x v="9"/>
    <s v="cashloan"/>
    <n v="0"/>
  </r>
  <r>
    <x v="441"/>
    <x v="1"/>
    <x v="2"/>
    <n v="12"/>
    <n v="23"/>
    <x v="17"/>
    <x v="9"/>
    <s v="cashloan"/>
    <n v="0"/>
  </r>
  <r>
    <x v="441"/>
    <x v="1"/>
    <x v="2"/>
    <n v="12"/>
    <n v="23"/>
    <x v="21"/>
    <x v="9"/>
    <s v="cashloan"/>
    <n v="10700000"/>
  </r>
  <r>
    <x v="441"/>
    <x v="1"/>
    <x v="2"/>
    <n v="12"/>
    <n v="23"/>
    <x v="23"/>
    <x v="17"/>
    <s v="paylater"/>
    <n v="0"/>
  </r>
  <r>
    <x v="441"/>
    <x v="1"/>
    <x v="2"/>
    <n v="12"/>
    <n v="23"/>
    <x v="18"/>
    <x v="15"/>
    <s v="cashloan"/>
    <n v="222990000"/>
  </r>
  <r>
    <x v="441"/>
    <x v="1"/>
    <x v="2"/>
    <n v="12"/>
    <n v="23"/>
    <x v="3"/>
    <x v="3"/>
    <s v="cashloan"/>
    <n v="0"/>
  </r>
  <r>
    <x v="441"/>
    <x v="1"/>
    <x v="2"/>
    <n v="12"/>
    <n v="23"/>
    <x v="14"/>
    <x v="13"/>
    <s v="cashloan"/>
    <n v="814790000"/>
  </r>
  <r>
    <x v="441"/>
    <x v="1"/>
    <x v="2"/>
    <n v="12"/>
    <n v="23"/>
    <x v="19"/>
    <x v="12"/>
    <s v="paylater"/>
    <n v="278058007"/>
  </r>
  <r>
    <x v="441"/>
    <x v="1"/>
    <x v="2"/>
    <n v="12"/>
    <n v="23"/>
    <x v="11"/>
    <x v="10"/>
    <s v="paylater"/>
    <n v="140247449"/>
  </r>
  <r>
    <x v="441"/>
    <x v="1"/>
    <x v="2"/>
    <n v="12"/>
    <n v="23"/>
    <x v="7"/>
    <x v="7"/>
    <s v="paylater"/>
    <n v="295389674"/>
  </r>
  <r>
    <x v="441"/>
    <x v="1"/>
    <x v="2"/>
    <n v="12"/>
    <n v="23"/>
    <x v="5"/>
    <x v="5"/>
    <s v="overdraft"/>
    <n v="2900491486"/>
  </r>
  <r>
    <x v="441"/>
    <x v="1"/>
    <x v="2"/>
    <n v="12"/>
    <n v="23"/>
    <x v="12"/>
    <x v="11"/>
    <s v="cashloan"/>
    <n v="4851960000"/>
  </r>
  <r>
    <x v="441"/>
    <x v="1"/>
    <x v="2"/>
    <n v="12"/>
    <n v="23"/>
    <x v="0"/>
    <x v="0"/>
    <s v="payday"/>
    <n v="4368000000"/>
  </r>
  <r>
    <x v="441"/>
    <x v="1"/>
    <x v="2"/>
    <n v="12"/>
    <n v="23"/>
    <x v="2"/>
    <x v="2"/>
    <s v="cashloan"/>
    <n v="6424900000"/>
  </r>
  <r>
    <x v="442"/>
    <x v="1"/>
    <x v="2"/>
    <n v="13"/>
    <n v="24"/>
    <x v="0"/>
    <x v="0"/>
    <s v="payday"/>
    <n v="4733000000"/>
  </r>
  <r>
    <x v="442"/>
    <x v="1"/>
    <x v="2"/>
    <n v="13"/>
    <n v="24"/>
    <x v="15"/>
    <x v="14"/>
    <s v="paylater"/>
    <n v="26227880"/>
  </r>
  <r>
    <x v="442"/>
    <x v="1"/>
    <x v="2"/>
    <n v="13"/>
    <n v="24"/>
    <x v="12"/>
    <x v="11"/>
    <s v="cashloan"/>
    <n v="5786750000"/>
  </r>
  <r>
    <x v="442"/>
    <x v="1"/>
    <x v="2"/>
    <n v="13"/>
    <n v="24"/>
    <x v="2"/>
    <x v="2"/>
    <s v="cashloan"/>
    <n v="7259280000"/>
  </r>
  <r>
    <x v="442"/>
    <x v="1"/>
    <x v="2"/>
    <n v="13"/>
    <n v="24"/>
    <x v="22"/>
    <x v="16"/>
    <s v="cashloan"/>
    <n v="0"/>
  </r>
  <r>
    <x v="442"/>
    <x v="1"/>
    <x v="2"/>
    <n v="13"/>
    <n v="24"/>
    <x v="1"/>
    <x v="1"/>
    <s v="cashloan"/>
    <n v="97750000"/>
  </r>
  <r>
    <x v="442"/>
    <x v="1"/>
    <x v="2"/>
    <n v="13"/>
    <n v="24"/>
    <x v="6"/>
    <x v="6"/>
    <s v="payday"/>
    <n v="111000000"/>
  </r>
  <r>
    <x v="442"/>
    <x v="1"/>
    <x v="2"/>
    <n v="13"/>
    <n v="24"/>
    <x v="24"/>
    <x v="18"/>
    <s v="cashloan"/>
    <n v="0"/>
  </r>
  <r>
    <x v="442"/>
    <x v="1"/>
    <x v="2"/>
    <n v="13"/>
    <n v="24"/>
    <x v="20"/>
    <x v="9"/>
    <s v="cashloan"/>
    <n v="21400000"/>
  </r>
  <r>
    <x v="442"/>
    <x v="1"/>
    <x v="2"/>
    <n v="13"/>
    <n v="24"/>
    <x v="17"/>
    <x v="9"/>
    <s v="cashloan"/>
    <n v="0"/>
  </r>
  <r>
    <x v="442"/>
    <x v="1"/>
    <x v="2"/>
    <n v="13"/>
    <n v="24"/>
    <x v="21"/>
    <x v="9"/>
    <s v="cashloan"/>
    <n v="0"/>
  </r>
  <r>
    <x v="442"/>
    <x v="1"/>
    <x v="2"/>
    <n v="13"/>
    <n v="24"/>
    <x v="23"/>
    <x v="17"/>
    <s v="paylater"/>
    <n v="0"/>
  </r>
  <r>
    <x v="442"/>
    <x v="1"/>
    <x v="2"/>
    <n v="13"/>
    <n v="24"/>
    <x v="18"/>
    <x v="15"/>
    <s v="cashloan"/>
    <n v="331970000"/>
  </r>
  <r>
    <x v="442"/>
    <x v="1"/>
    <x v="2"/>
    <n v="13"/>
    <n v="24"/>
    <x v="3"/>
    <x v="3"/>
    <s v="cashloan"/>
    <n v="0"/>
  </r>
  <r>
    <x v="442"/>
    <x v="1"/>
    <x v="2"/>
    <n v="13"/>
    <n v="24"/>
    <x v="14"/>
    <x v="13"/>
    <s v="cashloan"/>
    <n v="787960000"/>
  </r>
  <r>
    <x v="442"/>
    <x v="1"/>
    <x v="2"/>
    <n v="13"/>
    <n v="24"/>
    <x v="19"/>
    <x v="12"/>
    <s v="paylater"/>
    <n v="272861990"/>
  </r>
  <r>
    <x v="442"/>
    <x v="1"/>
    <x v="2"/>
    <n v="13"/>
    <n v="24"/>
    <x v="11"/>
    <x v="10"/>
    <s v="paylater"/>
    <n v="143645482"/>
  </r>
  <r>
    <x v="442"/>
    <x v="1"/>
    <x v="2"/>
    <n v="13"/>
    <n v="24"/>
    <x v="7"/>
    <x v="7"/>
    <s v="paylater"/>
    <n v="257962544"/>
  </r>
  <r>
    <x v="442"/>
    <x v="1"/>
    <x v="2"/>
    <n v="13"/>
    <n v="24"/>
    <x v="5"/>
    <x v="5"/>
    <s v="overdraft"/>
    <n v="3606938719"/>
  </r>
  <r>
    <x v="443"/>
    <x v="1"/>
    <x v="2"/>
    <n v="13"/>
    <n v="25"/>
    <x v="12"/>
    <x v="11"/>
    <s v="cashloan"/>
    <n v="6110630000"/>
  </r>
  <r>
    <x v="443"/>
    <x v="1"/>
    <x v="2"/>
    <n v="13"/>
    <n v="25"/>
    <x v="0"/>
    <x v="0"/>
    <s v="payday"/>
    <n v="4972500000"/>
  </r>
  <r>
    <x v="443"/>
    <x v="1"/>
    <x v="2"/>
    <n v="13"/>
    <n v="25"/>
    <x v="2"/>
    <x v="2"/>
    <s v="cashloan"/>
    <n v="7149760000"/>
  </r>
  <r>
    <x v="443"/>
    <x v="1"/>
    <x v="2"/>
    <n v="13"/>
    <n v="25"/>
    <x v="1"/>
    <x v="1"/>
    <s v="cashloan"/>
    <n v="112950000"/>
  </r>
  <r>
    <x v="443"/>
    <x v="1"/>
    <x v="2"/>
    <n v="13"/>
    <n v="25"/>
    <x v="24"/>
    <x v="18"/>
    <s v="cashloan"/>
    <n v="0"/>
  </r>
  <r>
    <x v="443"/>
    <x v="1"/>
    <x v="2"/>
    <n v="13"/>
    <n v="25"/>
    <x v="7"/>
    <x v="7"/>
    <s v="paylater"/>
    <n v="325292771"/>
  </r>
  <r>
    <x v="443"/>
    <x v="1"/>
    <x v="2"/>
    <n v="13"/>
    <n v="25"/>
    <x v="22"/>
    <x v="16"/>
    <s v="cashloan"/>
    <n v="0"/>
  </r>
  <r>
    <x v="443"/>
    <x v="1"/>
    <x v="2"/>
    <n v="13"/>
    <n v="25"/>
    <x v="5"/>
    <x v="5"/>
    <s v="overdraft"/>
    <n v="3858280100"/>
  </r>
  <r>
    <x v="443"/>
    <x v="1"/>
    <x v="2"/>
    <n v="13"/>
    <n v="25"/>
    <x v="6"/>
    <x v="6"/>
    <s v="payday"/>
    <n v="64000000"/>
  </r>
  <r>
    <x v="443"/>
    <x v="1"/>
    <x v="2"/>
    <n v="13"/>
    <n v="25"/>
    <x v="17"/>
    <x v="9"/>
    <s v="cashloan"/>
    <n v="0"/>
  </r>
  <r>
    <x v="443"/>
    <x v="1"/>
    <x v="2"/>
    <n v="13"/>
    <n v="25"/>
    <x v="20"/>
    <x v="9"/>
    <s v="cashloan"/>
    <n v="0"/>
  </r>
  <r>
    <x v="443"/>
    <x v="1"/>
    <x v="2"/>
    <n v="13"/>
    <n v="25"/>
    <x v="21"/>
    <x v="9"/>
    <s v="cashloan"/>
    <n v="21400000"/>
  </r>
  <r>
    <x v="443"/>
    <x v="1"/>
    <x v="2"/>
    <n v="13"/>
    <n v="25"/>
    <x v="15"/>
    <x v="14"/>
    <s v="paylater"/>
    <n v="16837709"/>
  </r>
  <r>
    <x v="443"/>
    <x v="1"/>
    <x v="2"/>
    <n v="13"/>
    <n v="25"/>
    <x v="23"/>
    <x v="17"/>
    <s v="paylater"/>
    <n v="0"/>
  </r>
  <r>
    <x v="443"/>
    <x v="1"/>
    <x v="2"/>
    <n v="13"/>
    <n v="25"/>
    <x v="18"/>
    <x v="15"/>
    <s v="cashloan"/>
    <n v="400680000"/>
  </r>
  <r>
    <x v="443"/>
    <x v="1"/>
    <x v="2"/>
    <n v="13"/>
    <n v="25"/>
    <x v="3"/>
    <x v="3"/>
    <s v="cashloan"/>
    <n v="0"/>
  </r>
  <r>
    <x v="443"/>
    <x v="1"/>
    <x v="2"/>
    <n v="13"/>
    <n v="25"/>
    <x v="14"/>
    <x v="13"/>
    <s v="cashloan"/>
    <n v="613520000"/>
  </r>
  <r>
    <x v="443"/>
    <x v="1"/>
    <x v="2"/>
    <n v="13"/>
    <n v="25"/>
    <x v="19"/>
    <x v="12"/>
    <s v="paylater"/>
    <n v="326464289"/>
  </r>
  <r>
    <x v="443"/>
    <x v="1"/>
    <x v="2"/>
    <n v="13"/>
    <n v="25"/>
    <x v="11"/>
    <x v="10"/>
    <s v="paylater"/>
    <n v="145329890"/>
  </r>
  <r>
    <x v="444"/>
    <x v="1"/>
    <x v="2"/>
    <n v="13"/>
    <n v="26"/>
    <x v="18"/>
    <x v="15"/>
    <s v="cashloan"/>
    <n v="310520000"/>
  </r>
  <r>
    <x v="444"/>
    <x v="1"/>
    <x v="2"/>
    <n v="13"/>
    <n v="26"/>
    <x v="23"/>
    <x v="17"/>
    <s v="paylater"/>
    <n v="0"/>
  </r>
  <r>
    <x v="444"/>
    <x v="1"/>
    <x v="2"/>
    <n v="13"/>
    <n v="26"/>
    <x v="3"/>
    <x v="3"/>
    <s v="cashloan"/>
    <n v="0"/>
  </r>
  <r>
    <x v="444"/>
    <x v="1"/>
    <x v="2"/>
    <n v="13"/>
    <n v="26"/>
    <x v="14"/>
    <x v="13"/>
    <s v="cashloan"/>
    <n v="793100000"/>
  </r>
  <r>
    <x v="444"/>
    <x v="1"/>
    <x v="2"/>
    <n v="13"/>
    <n v="26"/>
    <x v="19"/>
    <x v="12"/>
    <s v="paylater"/>
    <n v="313377663"/>
  </r>
  <r>
    <x v="444"/>
    <x v="1"/>
    <x v="2"/>
    <n v="13"/>
    <n v="26"/>
    <x v="11"/>
    <x v="10"/>
    <s v="paylater"/>
    <n v="136939291"/>
  </r>
  <r>
    <x v="444"/>
    <x v="1"/>
    <x v="2"/>
    <n v="13"/>
    <n v="26"/>
    <x v="7"/>
    <x v="7"/>
    <s v="paylater"/>
    <n v="323340843"/>
  </r>
  <r>
    <x v="444"/>
    <x v="1"/>
    <x v="2"/>
    <n v="13"/>
    <n v="26"/>
    <x v="5"/>
    <x v="5"/>
    <s v="overdraft"/>
    <n v="2864614502"/>
  </r>
  <r>
    <x v="444"/>
    <x v="1"/>
    <x v="2"/>
    <n v="13"/>
    <n v="26"/>
    <x v="12"/>
    <x v="11"/>
    <s v="cashloan"/>
    <n v="6624920000"/>
  </r>
  <r>
    <x v="444"/>
    <x v="1"/>
    <x v="2"/>
    <n v="13"/>
    <n v="26"/>
    <x v="0"/>
    <x v="0"/>
    <s v="payday"/>
    <n v="4699500000"/>
  </r>
  <r>
    <x v="444"/>
    <x v="1"/>
    <x v="2"/>
    <n v="13"/>
    <n v="26"/>
    <x v="20"/>
    <x v="9"/>
    <s v="cashloan"/>
    <n v="0"/>
  </r>
  <r>
    <x v="444"/>
    <x v="1"/>
    <x v="2"/>
    <n v="13"/>
    <n v="26"/>
    <x v="17"/>
    <x v="9"/>
    <s v="cashloan"/>
    <n v="0"/>
  </r>
  <r>
    <x v="444"/>
    <x v="1"/>
    <x v="2"/>
    <n v="13"/>
    <n v="26"/>
    <x v="6"/>
    <x v="6"/>
    <s v="payday"/>
    <n v="103000000"/>
  </r>
  <r>
    <x v="444"/>
    <x v="1"/>
    <x v="2"/>
    <n v="13"/>
    <n v="26"/>
    <x v="21"/>
    <x v="9"/>
    <s v="cashloan"/>
    <n v="0"/>
  </r>
  <r>
    <x v="444"/>
    <x v="1"/>
    <x v="2"/>
    <n v="13"/>
    <n v="26"/>
    <x v="22"/>
    <x v="16"/>
    <s v="cashloan"/>
    <n v="0"/>
  </r>
  <r>
    <x v="444"/>
    <x v="1"/>
    <x v="2"/>
    <n v="13"/>
    <n v="26"/>
    <x v="15"/>
    <x v="14"/>
    <s v="paylater"/>
    <n v="12850119"/>
  </r>
  <r>
    <x v="444"/>
    <x v="1"/>
    <x v="2"/>
    <n v="13"/>
    <n v="26"/>
    <x v="1"/>
    <x v="1"/>
    <s v="cashloan"/>
    <n v="73550000"/>
  </r>
  <r>
    <x v="444"/>
    <x v="1"/>
    <x v="2"/>
    <n v="13"/>
    <n v="26"/>
    <x v="2"/>
    <x v="2"/>
    <s v="cashloan"/>
    <n v="7550560000"/>
  </r>
  <r>
    <x v="444"/>
    <x v="1"/>
    <x v="2"/>
    <n v="13"/>
    <n v="26"/>
    <x v="24"/>
    <x v="18"/>
    <s v="cashloan"/>
    <n v="6420000"/>
  </r>
  <r>
    <x v="445"/>
    <x v="1"/>
    <x v="2"/>
    <n v="13"/>
    <n v="27"/>
    <x v="14"/>
    <x v="13"/>
    <s v="cashloan"/>
    <n v="726510000"/>
  </r>
  <r>
    <x v="445"/>
    <x v="1"/>
    <x v="2"/>
    <n v="13"/>
    <n v="27"/>
    <x v="5"/>
    <x v="5"/>
    <s v="overdraft"/>
    <n v="3340077062"/>
  </r>
  <r>
    <x v="445"/>
    <x v="1"/>
    <x v="2"/>
    <n v="13"/>
    <n v="27"/>
    <x v="19"/>
    <x v="12"/>
    <s v="paylater"/>
    <n v="309236027"/>
  </r>
  <r>
    <x v="445"/>
    <x v="1"/>
    <x v="2"/>
    <n v="13"/>
    <n v="27"/>
    <x v="22"/>
    <x v="16"/>
    <s v="cashloan"/>
    <n v="0"/>
  </r>
  <r>
    <x v="445"/>
    <x v="1"/>
    <x v="2"/>
    <n v="13"/>
    <n v="27"/>
    <x v="7"/>
    <x v="7"/>
    <s v="paylater"/>
    <n v="286065629"/>
  </r>
  <r>
    <x v="445"/>
    <x v="1"/>
    <x v="2"/>
    <n v="13"/>
    <n v="27"/>
    <x v="24"/>
    <x v="18"/>
    <s v="cashloan"/>
    <n v="0"/>
  </r>
  <r>
    <x v="445"/>
    <x v="1"/>
    <x v="2"/>
    <n v="13"/>
    <n v="27"/>
    <x v="15"/>
    <x v="14"/>
    <s v="paylater"/>
    <n v="11995123"/>
  </r>
  <r>
    <x v="445"/>
    <x v="1"/>
    <x v="2"/>
    <n v="13"/>
    <n v="27"/>
    <x v="12"/>
    <x v="11"/>
    <s v="cashloan"/>
    <n v="5982160000"/>
  </r>
  <r>
    <x v="445"/>
    <x v="1"/>
    <x v="2"/>
    <n v="13"/>
    <n v="27"/>
    <x v="6"/>
    <x v="6"/>
    <s v="payday"/>
    <n v="64000000"/>
  </r>
  <r>
    <x v="445"/>
    <x v="1"/>
    <x v="2"/>
    <n v="13"/>
    <n v="27"/>
    <x v="20"/>
    <x v="9"/>
    <s v="cashloan"/>
    <n v="0"/>
  </r>
  <r>
    <x v="445"/>
    <x v="1"/>
    <x v="2"/>
    <n v="13"/>
    <n v="27"/>
    <x v="17"/>
    <x v="9"/>
    <s v="cashloan"/>
    <n v="0"/>
  </r>
  <r>
    <x v="445"/>
    <x v="1"/>
    <x v="2"/>
    <n v="13"/>
    <n v="27"/>
    <x v="21"/>
    <x v="9"/>
    <s v="cashloan"/>
    <n v="0"/>
  </r>
  <r>
    <x v="445"/>
    <x v="1"/>
    <x v="2"/>
    <n v="13"/>
    <n v="27"/>
    <x v="1"/>
    <x v="1"/>
    <s v="cashloan"/>
    <n v="41500000"/>
  </r>
  <r>
    <x v="445"/>
    <x v="1"/>
    <x v="2"/>
    <n v="13"/>
    <n v="27"/>
    <x v="23"/>
    <x v="17"/>
    <s v="paylater"/>
    <n v="0"/>
  </r>
  <r>
    <x v="445"/>
    <x v="1"/>
    <x v="2"/>
    <n v="13"/>
    <n v="27"/>
    <x v="18"/>
    <x v="15"/>
    <s v="cashloan"/>
    <n v="376700000"/>
  </r>
  <r>
    <x v="445"/>
    <x v="1"/>
    <x v="2"/>
    <n v="13"/>
    <n v="27"/>
    <x v="3"/>
    <x v="3"/>
    <s v="cashloan"/>
    <n v="10500000"/>
  </r>
  <r>
    <x v="445"/>
    <x v="1"/>
    <x v="2"/>
    <n v="13"/>
    <n v="27"/>
    <x v="0"/>
    <x v="0"/>
    <s v="payday"/>
    <n v="4474500000"/>
  </r>
  <r>
    <x v="445"/>
    <x v="1"/>
    <x v="2"/>
    <n v="13"/>
    <n v="27"/>
    <x v="11"/>
    <x v="10"/>
    <s v="paylater"/>
    <n v="133799209"/>
  </r>
  <r>
    <x v="445"/>
    <x v="1"/>
    <x v="2"/>
    <n v="13"/>
    <n v="27"/>
    <x v="2"/>
    <x v="2"/>
    <s v="cashloan"/>
    <n v="6680440000"/>
  </r>
  <r>
    <x v="446"/>
    <x v="1"/>
    <x v="2"/>
    <n v="13"/>
    <n v="28"/>
    <x v="5"/>
    <x v="5"/>
    <s v="overdraft"/>
    <n v="3577147333"/>
  </r>
  <r>
    <x v="446"/>
    <x v="1"/>
    <x v="2"/>
    <n v="13"/>
    <n v="28"/>
    <x v="12"/>
    <x v="11"/>
    <s v="cashloan"/>
    <n v="7221390000"/>
  </r>
  <r>
    <x v="446"/>
    <x v="1"/>
    <x v="2"/>
    <n v="13"/>
    <n v="28"/>
    <x v="7"/>
    <x v="7"/>
    <s v="paylater"/>
    <n v="321496558"/>
  </r>
  <r>
    <x v="446"/>
    <x v="1"/>
    <x v="2"/>
    <n v="13"/>
    <n v="28"/>
    <x v="0"/>
    <x v="0"/>
    <s v="payday"/>
    <n v="5222500000"/>
  </r>
  <r>
    <x v="446"/>
    <x v="1"/>
    <x v="2"/>
    <n v="13"/>
    <n v="28"/>
    <x v="11"/>
    <x v="10"/>
    <s v="paylater"/>
    <n v="142691508"/>
  </r>
  <r>
    <x v="446"/>
    <x v="1"/>
    <x v="2"/>
    <n v="13"/>
    <n v="28"/>
    <x v="2"/>
    <x v="2"/>
    <s v="cashloan"/>
    <n v="7246970000"/>
  </r>
  <r>
    <x v="446"/>
    <x v="1"/>
    <x v="2"/>
    <n v="13"/>
    <n v="28"/>
    <x v="15"/>
    <x v="14"/>
    <s v="paylater"/>
    <n v="33039214"/>
  </r>
  <r>
    <x v="446"/>
    <x v="1"/>
    <x v="2"/>
    <n v="13"/>
    <n v="28"/>
    <x v="22"/>
    <x v="16"/>
    <s v="cashloan"/>
    <n v="0"/>
  </r>
  <r>
    <x v="446"/>
    <x v="1"/>
    <x v="2"/>
    <n v="13"/>
    <n v="28"/>
    <x v="24"/>
    <x v="18"/>
    <s v="cashloan"/>
    <n v="0"/>
  </r>
  <r>
    <x v="446"/>
    <x v="1"/>
    <x v="2"/>
    <n v="13"/>
    <n v="28"/>
    <x v="1"/>
    <x v="1"/>
    <s v="cashloan"/>
    <n v="57750000"/>
  </r>
  <r>
    <x v="446"/>
    <x v="1"/>
    <x v="2"/>
    <n v="13"/>
    <n v="28"/>
    <x v="6"/>
    <x v="6"/>
    <s v="payday"/>
    <n v="50000000"/>
  </r>
  <r>
    <x v="446"/>
    <x v="1"/>
    <x v="2"/>
    <n v="13"/>
    <n v="28"/>
    <x v="17"/>
    <x v="9"/>
    <s v="cashloan"/>
    <n v="0"/>
  </r>
  <r>
    <x v="446"/>
    <x v="1"/>
    <x v="2"/>
    <n v="13"/>
    <n v="28"/>
    <x v="20"/>
    <x v="9"/>
    <s v="cashloan"/>
    <n v="0"/>
  </r>
  <r>
    <x v="446"/>
    <x v="1"/>
    <x v="2"/>
    <n v="13"/>
    <n v="28"/>
    <x v="21"/>
    <x v="9"/>
    <s v="cashloan"/>
    <n v="0"/>
  </r>
  <r>
    <x v="446"/>
    <x v="1"/>
    <x v="2"/>
    <n v="13"/>
    <n v="28"/>
    <x v="3"/>
    <x v="3"/>
    <s v="cashloan"/>
    <n v="0"/>
  </r>
  <r>
    <x v="446"/>
    <x v="1"/>
    <x v="2"/>
    <n v="13"/>
    <n v="28"/>
    <x v="14"/>
    <x v="13"/>
    <s v="cashloan"/>
    <n v="801030000"/>
  </r>
  <r>
    <x v="446"/>
    <x v="1"/>
    <x v="2"/>
    <n v="13"/>
    <n v="28"/>
    <x v="23"/>
    <x v="17"/>
    <s v="paylater"/>
    <n v="0"/>
  </r>
  <r>
    <x v="446"/>
    <x v="1"/>
    <x v="2"/>
    <n v="13"/>
    <n v="28"/>
    <x v="18"/>
    <x v="15"/>
    <s v="cashloan"/>
    <n v="363010000"/>
  </r>
  <r>
    <x v="446"/>
    <x v="1"/>
    <x v="2"/>
    <n v="13"/>
    <n v="28"/>
    <x v="19"/>
    <x v="12"/>
    <s v="paylater"/>
    <n v="360798233"/>
  </r>
  <r>
    <x v="447"/>
    <x v="1"/>
    <x v="2"/>
    <n v="13"/>
    <n v="29"/>
    <x v="2"/>
    <x v="2"/>
    <s v="cashloan"/>
    <n v="6103710000"/>
  </r>
  <r>
    <x v="447"/>
    <x v="1"/>
    <x v="2"/>
    <n v="13"/>
    <n v="29"/>
    <x v="5"/>
    <x v="5"/>
    <s v="overdraft"/>
    <n v="2973797088"/>
  </r>
  <r>
    <x v="447"/>
    <x v="1"/>
    <x v="2"/>
    <n v="13"/>
    <n v="29"/>
    <x v="12"/>
    <x v="11"/>
    <s v="cashloan"/>
    <n v="5641280000"/>
  </r>
  <r>
    <x v="447"/>
    <x v="1"/>
    <x v="2"/>
    <n v="13"/>
    <n v="29"/>
    <x v="0"/>
    <x v="0"/>
    <s v="payday"/>
    <n v="4422500000"/>
  </r>
  <r>
    <x v="447"/>
    <x v="1"/>
    <x v="2"/>
    <n v="13"/>
    <n v="29"/>
    <x v="24"/>
    <x v="18"/>
    <s v="cashloan"/>
    <n v="0"/>
  </r>
  <r>
    <x v="447"/>
    <x v="1"/>
    <x v="2"/>
    <n v="13"/>
    <n v="29"/>
    <x v="22"/>
    <x v="16"/>
    <s v="cashloan"/>
    <n v="0"/>
  </r>
  <r>
    <x v="447"/>
    <x v="1"/>
    <x v="2"/>
    <n v="13"/>
    <n v="29"/>
    <x v="15"/>
    <x v="14"/>
    <s v="paylater"/>
    <n v="20734812"/>
  </r>
  <r>
    <x v="447"/>
    <x v="1"/>
    <x v="2"/>
    <n v="13"/>
    <n v="29"/>
    <x v="1"/>
    <x v="1"/>
    <s v="cashloan"/>
    <n v="30450000"/>
  </r>
  <r>
    <x v="447"/>
    <x v="1"/>
    <x v="2"/>
    <n v="13"/>
    <n v="29"/>
    <x v="6"/>
    <x v="6"/>
    <s v="payday"/>
    <n v="25000000"/>
  </r>
  <r>
    <x v="447"/>
    <x v="1"/>
    <x v="2"/>
    <n v="13"/>
    <n v="29"/>
    <x v="20"/>
    <x v="9"/>
    <s v="cashloan"/>
    <n v="0"/>
  </r>
  <r>
    <x v="447"/>
    <x v="1"/>
    <x v="2"/>
    <n v="13"/>
    <n v="29"/>
    <x v="17"/>
    <x v="9"/>
    <s v="cashloan"/>
    <n v="0"/>
  </r>
  <r>
    <x v="447"/>
    <x v="1"/>
    <x v="2"/>
    <n v="13"/>
    <n v="29"/>
    <x v="21"/>
    <x v="9"/>
    <s v="cashloan"/>
    <n v="0"/>
  </r>
  <r>
    <x v="447"/>
    <x v="1"/>
    <x v="2"/>
    <n v="13"/>
    <n v="29"/>
    <x v="23"/>
    <x v="17"/>
    <s v="paylater"/>
    <n v="0"/>
  </r>
  <r>
    <x v="447"/>
    <x v="1"/>
    <x v="2"/>
    <n v="13"/>
    <n v="29"/>
    <x v="18"/>
    <x v="15"/>
    <s v="cashloan"/>
    <n v="382360000"/>
  </r>
  <r>
    <x v="447"/>
    <x v="1"/>
    <x v="2"/>
    <n v="13"/>
    <n v="29"/>
    <x v="3"/>
    <x v="3"/>
    <s v="cashloan"/>
    <n v="0"/>
  </r>
  <r>
    <x v="447"/>
    <x v="1"/>
    <x v="2"/>
    <n v="13"/>
    <n v="29"/>
    <x v="14"/>
    <x v="13"/>
    <s v="cashloan"/>
    <n v="522950000"/>
  </r>
  <r>
    <x v="447"/>
    <x v="1"/>
    <x v="2"/>
    <n v="13"/>
    <n v="29"/>
    <x v="19"/>
    <x v="12"/>
    <s v="paylater"/>
    <n v="342721440"/>
  </r>
  <r>
    <x v="447"/>
    <x v="1"/>
    <x v="2"/>
    <n v="13"/>
    <n v="29"/>
    <x v="11"/>
    <x v="10"/>
    <s v="paylater"/>
    <n v="135070647"/>
  </r>
  <r>
    <x v="447"/>
    <x v="1"/>
    <x v="2"/>
    <n v="13"/>
    <n v="29"/>
    <x v="7"/>
    <x v="7"/>
    <s v="paylater"/>
    <n v="326907240"/>
  </r>
  <r>
    <x v="448"/>
    <x v="1"/>
    <x v="2"/>
    <n v="13"/>
    <n v="30"/>
    <x v="24"/>
    <x v="18"/>
    <s v="cashloan"/>
    <n v="0"/>
  </r>
  <r>
    <x v="448"/>
    <x v="1"/>
    <x v="2"/>
    <n v="13"/>
    <n v="30"/>
    <x v="15"/>
    <x v="14"/>
    <s v="paylater"/>
    <n v="18866657"/>
  </r>
  <r>
    <x v="448"/>
    <x v="1"/>
    <x v="2"/>
    <n v="13"/>
    <n v="30"/>
    <x v="1"/>
    <x v="1"/>
    <s v="cashloan"/>
    <n v="57750000"/>
  </r>
  <r>
    <x v="448"/>
    <x v="1"/>
    <x v="2"/>
    <n v="13"/>
    <n v="30"/>
    <x v="6"/>
    <x v="6"/>
    <s v="payday"/>
    <n v="67000000"/>
  </r>
  <r>
    <x v="448"/>
    <x v="1"/>
    <x v="2"/>
    <n v="13"/>
    <n v="30"/>
    <x v="20"/>
    <x v="9"/>
    <s v="cashloan"/>
    <n v="0"/>
  </r>
  <r>
    <x v="448"/>
    <x v="1"/>
    <x v="2"/>
    <n v="13"/>
    <n v="30"/>
    <x v="17"/>
    <x v="9"/>
    <s v="cashloan"/>
    <n v="0"/>
  </r>
  <r>
    <x v="448"/>
    <x v="1"/>
    <x v="2"/>
    <n v="13"/>
    <n v="30"/>
    <x v="21"/>
    <x v="9"/>
    <s v="cashloan"/>
    <n v="0"/>
  </r>
  <r>
    <x v="448"/>
    <x v="1"/>
    <x v="2"/>
    <n v="13"/>
    <n v="30"/>
    <x v="22"/>
    <x v="16"/>
    <s v="cashloan"/>
    <n v="0"/>
  </r>
  <r>
    <x v="448"/>
    <x v="1"/>
    <x v="2"/>
    <n v="13"/>
    <n v="30"/>
    <x v="23"/>
    <x v="17"/>
    <s v="paylater"/>
    <n v="0"/>
  </r>
  <r>
    <x v="448"/>
    <x v="1"/>
    <x v="2"/>
    <n v="13"/>
    <n v="30"/>
    <x v="18"/>
    <x v="15"/>
    <s v="cashloan"/>
    <n v="205990000"/>
  </r>
  <r>
    <x v="448"/>
    <x v="1"/>
    <x v="2"/>
    <n v="13"/>
    <n v="30"/>
    <x v="3"/>
    <x v="3"/>
    <s v="cashloan"/>
    <n v="22500000"/>
  </r>
  <r>
    <x v="448"/>
    <x v="1"/>
    <x v="2"/>
    <n v="13"/>
    <n v="30"/>
    <x v="14"/>
    <x v="13"/>
    <s v="cashloan"/>
    <n v="782190000"/>
  </r>
  <r>
    <x v="448"/>
    <x v="1"/>
    <x v="2"/>
    <n v="13"/>
    <n v="30"/>
    <x v="19"/>
    <x v="12"/>
    <s v="paylater"/>
    <n v="340873907"/>
  </r>
  <r>
    <x v="448"/>
    <x v="1"/>
    <x v="2"/>
    <n v="13"/>
    <n v="30"/>
    <x v="11"/>
    <x v="10"/>
    <s v="paylater"/>
    <n v="140440681"/>
  </r>
  <r>
    <x v="448"/>
    <x v="1"/>
    <x v="2"/>
    <n v="13"/>
    <n v="30"/>
    <x v="7"/>
    <x v="7"/>
    <s v="paylater"/>
    <n v="321415971"/>
  </r>
  <r>
    <x v="448"/>
    <x v="1"/>
    <x v="2"/>
    <n v="13"/>
    <n v="30"/>
    <x v="5"/>
    <x v="5"/>
    <s v="overdraft"/>
    <n v="2963964895"/>
  </r>
  <r>
    <x v="448"/>
    <x v="1"/>
    <x v="2"/>
    <n v="13"/>
    <n v="30"/>
    <x v="12"/>
    <x v="11"/>
    <s v="cashloan"/>
    <n v="5338750000"/>
  </r>
  <r>
    <x v="448"/>
    <x v="1"/>
    <x v="2"/>
    <n v="13"/>
    <n v="30"/>
    <x v="0"/>
    <x v="0"/>
    <s v="payday"/>
    <n v="4620500000"/>
  </r>
  <r>
    <x v="448"/>
    <x v="1"/>
    <x v="2"/>
    <n v="13"/>
    <n v="30"/>
    <x v="2"/>
    <x v="2"/>
    <s v="cashloan"/>
    <n v="5831520000"/>
  </r>
  <r>
    <x v="449"/>
    <x v="1"/>
    <x v="2"/>
    <n v="14"/>
    <n v="31"/>
    <x v="22"/>
    <x v="16"/>
    <s v="cashloan"/>
    <n v="0"/>
  </r>
  <r>
    <x v="449"/>
    <x v="1"/>
    <x v="2"/>
    <n v="14"/>
    <n v="31"/>
    <x v="2"/>
    <x v="2"/>
    <s v="cashloan"/>
    <n v="7303440000"/>
  </r>
  <r>
    <x v="449"/>
    <x v="1"/>
    <x v="2"/>
    <n v="14"/>
    <n v="31"/>
    <x v="24"/>
    <x v="18"/>
    <s v="cashloan"/>
    <n v="0"/>
  </r>
  <r>
    <x v="449"/>
    <x v="1"/>
    <x v="2"/>
    <n v="14"/>
    <n v="31"/>
    <x v="15"/>
    <x v="14"/>
    <s v="paylater"/>
    <n v="25186456"/>
  </r>
  <r>
    <x v="449"/>
    <x v="1"/>
    <x v="2"/>
    <n v="14"/>
    <n v="31"/>
    <x v="1"/>
    <x v="1"/>
    <s v="cashloan"/>
    <n v="100800000"/>
  </r>
  <r>
    <x v="449"/>
    <x v="1"/>
    <x v="2"/>
    <n v="14"/>
    <n v="31"/>
    <x v="6"/>
    <x v="6"/>
    <s v="payday"/>
    <n v="60000000"/>
  </r>
  <r>
    <x v="449"/>
    <x v="1"/>
    <x v="2"/>
    <n v="14"/>
    <n v="31"/>
    <x v="20"/>
    <x v="9"/>
    <s v="cashloan"/>
    <n v="0"/>
  </r>
  <r>
    <x v="449"/>
    <x v="1"/>
    <x v="2"/>
    <n v="14"/>
    <n v="31"/>
    <x v="17"/>
    <x v="9"/>
    <s v="cashloan"/>
    <n v="0"/>
  </r>
  <r>
    <x v="449"/>
    <x v="1"/>
    <x v="2"/>
    <n v="14"/>
    <n v="31"/>
    <x v="21"/>
    <x v="9"/>
    <s v="cashloan"/>
    <n v="0"/>
  </r>
  <r>
    <x v="449"/>
    <x v="1"/>
    <x v="2"/>
    <n v="14"/>
    <n v="31"/>
    <x v="0"/>
    <x v="0"/>
    <s v="payday"/>
    <n v="5127500000"/>
  </r>
  <r>
    <x v="449"/>
    <x v="1"/>
    <x v="2"/>
    <n v="14"/>
    <n v="31"/>
    <x v="23"/>
    <x v="17"/>
    <s v="paylater"/>
    <n v="0"/>
  </r>
  <r>
    <x v="449"/>
    <x v="1"/>
    <x v="2"/>
    <n v="14"/>
    <n v="31"/>
    <x v="18"/>
    <x v="15"/>
    <s v="cashloan"/>
    <n v="745770000"/>
  </r>
  <r>
    <x v="449"/>
    <x v="1"/>
    <x v="2"/>
    <n v="14"/>
    <n v="31"/>
    <x v="3"/>
    <x v="3"/>
    <s v="cashloan"/>
    <n v="0"/>
  </r>
  <r>
    <x v="449"/>
    <x v="1"/>
    <x v="2"/>
    <n v="14"/>
    <n v="31"/>
    <x v="14"/>
    <x v="13"/>
    <s v="cashloan"/>
    <n v="797040000"/>
  </r>
  <r>
    <x v="449"/>
    <x v="1"/>
    <x v="2"/>
    <n v="14"/>
    <n v="31"/>
    <x v="19"/>
    <x v="12"/>
    <s v="paylater"/>
    <n v="454649163"/>
  </r>
  <r>
    <x v="449"/>
    <x v="1"/>
    <x v="2"/>
    <n v="14"/>
    <n v="31"/>
    <x v="11"/>
    <x v="10"/>
    <s v="paylater"/>
    <n v="150677300"/>
  </r>
  <r>
    <x v="449"/>
    <x v="1"/>
    <x v="2"/>
    <n v="14"/>
    <n v="31"/>
    <x v="7"/>
    <x v="7"/>
    <s v="paylater"/>
    <n v="351075127"/>
  </r>
  <r>
    <x v="449"/>
    <x v="1"/>
    <x v="2"/>
    <n v="14"/>
    <n v="31"/>
    <x v="5"/>
    <x v="5"/>
    <s v="overdraft"/>
    <n v="4114283014"/>
  </r>
  <r>
    <x v="449"/>
    <x v="1"/>
    <x v="2"/>
    <n v="14"/>
    <n v="31"/>
    <x v="12"/>
    <x v="11"/>
    <s v="cashloan"/>
    <n v="6816400000"/>
  </r>
  <r>
    <x v="450"/>
    <x v="1"/>
    <x v="3"/>
    <n v="14"/>
    <n v="1"/>
    <x v="20"/>
    <x v="9"/>
    <s v="cashloan"/>
    <n v="21400000"/>
  </r>
  <r>
    <x v="450"/>
    <x v="1"/>
    <x v="3"/>
    <n v="14"/>
    <n v="1"/>
    <x v="11"/>
    <x v="10"/>
    <s v="paylater"/>
    <n v="168725176"/>
  </r>
  <r>
    <x v="450"/>
    <x v="1"/>
    <x v="3"/>
    <n v="14"/>
    <n v="1"/>
    <x v="2"/>
    <x v="2"/>
    <s v="cashloan"/>
    <n v="8207400000"/>
  </r>
  <r>
    <x v="450"/>
    <x v="1"/>
    <x v="3"/>
    <n v="14"/>
    <n v="1"/>
    <x v="17"/>
    <x v="9"/>
    <s v="cashloan"/>
    <n v="0"/>
  </r>
  <r>
    <x v="450"/>
    <x v="1"/>
    <x v="3"/>
    <n v="14"/>
    <n v="1"/>
    <x v="5"/>
    <x v="5"/>
    <s v="overdraft"/>
    <n v="5833834417"/>
  </r>
  <r>
    <x v="450"/>
    <x v="1"/>
    <x v="3"/>
    <n v="14"/>
    <n v="1"/>
    <x v="15"/>
    <x v="14"/>
    <s v="paylater"/>
    <n v="43970775"/>
  </r>
  <r>
    <x v="450"/>
    <x v="1"/>
    <x v="3"/>
    <n v="14"/>
    <n v="1"/>
    <x v="0"/>
    <x v="0"/>
    <s v="payday"/>
    <n v="5552940000"/>
  </r>
  <r>
    <x v="450"/>
    <x v="1"/>
    <x v="3"/>
    <n v="14"/>
    <n v="1"/>
    <x v="12"/>
    <x v="11"/>
    <s v="cashloan"/>
    <n v="8386720000"/>
  </r>
  <r>
    <x v="450"/>
    <x v="1"/>
    <x v="3"/>
    <n v="14"/>
    <n v="1"/>
    <x v="14"/>
    <x v="13"/>
    <s v="cashloan"/>
    <n v="924720000"/>
  </r>
  <r>
    <x v="450"/>
    <x v="1"/>
    <x v="3"/>
    <n v="14"/>
    <n v="1"/>
    <x v="7"/>
    <x v="7"/>
    <s v="paylater"/>
    <n v="499101938"/>
  </r>
  <r>
    <x v="450"/>
    <x v="1"/>
    <x v="3"/>
    <n v="14"/>
    <n v="1"/>
    <x v="21"/>
    <x v="9"/>
    <s v="cashloan"/>
    <n v="0"/>
  </r>
  <r>
    <x v="450"/>
    <x v="1"/>
    <x v="3"/>
    <n v="14"/>
    <n v="1"/>
    <x v="6"/>
    <x v="6"/>
    <s v="payday"/>
    <n v="58000000"/>
  </r>
  <r>
    <x v="450"/>
    <x v="1"/>
    <x v="3"/>
    <n v="14"/>
    <n v="1"/>
    <x v="1"/>
    <x v="1"/>
    <s v="cashloan"/>
    <n v="95000000"/>
  </r>
  <r>
    <x v="450"/>
    <x v="1"/>
    <x v="3"/>
    <n v="14"/>
    <n v="1"/>
    <x v="22"/>
    <x v="16"/>
    <s v="cashloan"/>
    <n v="0"/>
  </r>
  <r>
    <x v="450"/>
    <x v="1"/>
    <x v="3"/>
    <n v="14"/>
    <n v="1"/>
    <x v="24"/>
    <x v="18"/>
    <s v="cashloan"/>
    <n v="0"/>
  </r>
  <r>
    <x v="450"/>
    <x v="1"/>
    <x v="3"/>
    <n v="14"/>
    <n v="1"/>
    <x v="19"/>
    <x v="12"/>
    <s v="paylater"/>
    <n v="662220792"/>
  </r>
  <r>
    <x v="450"/>
    <x v="1"/>
    <x v="3"/>
    <n v="14"/>
    <n v="1"/>
    <x v="23"/>
    <x v="17"/>
    <s v="paylater"/>
    <n v="0"/>
  </r>
  <r>
    <x v="450"/>
    <x v="1"/>
    <x v="3"/>
    <n v="14"/>
    <n v="1"/>
    <x v="18"/>
    <x v="15"/>
    <s v="cashloan"/>
    <n v="554400000"/>
  </r>
  <r>
    <x v="450"/>
    <x v="1"/>
    <x v="3"/>
    <n v="14"/>
    <n v="1"/>
    <x v="3"/>
    <x v="3"/>
    <s v="cashloan"/>
    <n v="0"/>
  </r>
  <r>
    <x v="451"/>
    <x v="1"/>
    <x v="3"/>
    <n v="14"/>
    <n v="2"/>
    <x v="11"/>
    <x v="10"/>
    <s v="paylater"/>
    <n v="182158341"/>
  </r>
  <r>
    <x v="451"/>
    <x v="1"/>
    <x v="3"/>
    <n v="14"/>
    <n v="2"/>
    <x v="20"/>
    <x v="9"/>
    <s v="cashloan"/>
    <n v="0"/>
  </r>
  <r>
    <x v="451"/>
    <x v="1"/>
    <x v="3"/>
    <n v="14"/>
    <n v="2"/>
    <x v="22"/>
    <x v="16"/>
    <s v="cashloan"/>
    <n v="0"/>
  </r>
  <r>
    <x v="451"/>
    <x v="1"/>
    <x v="3"/>
    <n v="14"/>
    <n v="2"/>
    <x v="5"/>
    <x v="5"/>
    <s v="overdraft"/>
    <n v="5100133153"/>
  </r>
  <r>
    <x v="451"/>
    <x v="1"/>
    <x v="3"/>
    <n v="14"/>
    <n v="2"/>
    <x v="0"/>
    <x v="0"/>
    <s v="payday"/>
    <n v="5686420000"/>
  </r>
  <r>
    <x v="451"/>
    <x v="1"/>
    <x v="3"/>
    <n v="14"/>
    <n v="2"/>
    <x v="2"/>
    <x v="2"/>
    <s v="cashloan"/>
    <n v="7608930000"/>
  </r>
  <r>
    <x v="451"/>
    <x v="1"/>
    <x v="3"/>
    <n v="14"/>
    <n v="2"/>
    <x v="15"/>
    <x v="14"/>
    <s v="paylater"/>
    <n v="79095014"/>
  </r>
  <r>
    <x v="451"/>
    <x v="1"/>
    <x v="3"/>
    <n v="14"/>
    <n v="2"/>
    <x v="6"/>
    <x v="6"/>
    <s v="payday"/>
    <n v="67000000"/>
  </r>
  <r>
    <x v="451"/>
    <x v="1"/>
    <x v="3"/>
    <n v="14"/>
    <n v="2"/>
    <x v="23"/>
    <x v="17"/>
    <s v="paylater"/>
    <n v="0"/>
  </r>
  <r>
    <x v="451"/>
    <x v="1"/>
    <x v="3"/>
    <n v="14"/>
    <n v="2"/>
    <x v="7"/>
    <x v="7"/>
    <s v="paylater"/>
    <n v="486292095"/>
  </r>
  <r>
    <x v="451"/>
    <x v="1"/>
    <x v="3"/>
    <n v="14"/>
    <n v="2"/>
    <x v="3"/>
    <x v="3"/>
    <s v="cashloan"/>
    <n v="0"/>
  </r>
  <r>
    <x v="451"/>
    <x v="1"/>
    <x v="3"/>
    <n v="14"/>
    <n v="2"/>
    <x v="19"/>
    <x v="12"/>
    <s v="paylater"/>
    <n v="825383416"/>
  </r>
  <r>
    <x v="451"/>
    <x v="1"/>
    <x v="3"/>
    <n v="14"/>
    <n v="2"/>
    <x v="12"/>
    <x v="11"/>
    <s v="cashloan"/>
    <n v="7999290000"/>
  </r>
  <r>
    <x v="451"/>
    <x v="1"/>
    <x v="3"/>
    <n v="14"/>
    <n v="2"/>
    <x v="24"/>
    <x v="18"/>
    <s v="cashloan"/>
    <n v="0"/>
  </r>
  <r>
    <x v="451"/>
    <x v="1"/>
    <x v="3"/>
    <n v="14"/>
    <n v="2"/>
    <x v="18"/>
    <x v="15"/>
    <s v="cashloan"/>
    <n v="478900000"/>
  </r>
  <r>
    <x v="451"/>
    <x v="1"/>
    <x v="3"/>
    <n v="14"/>
    <n v="2"/>
    <x v="14"/>
    <x v="13"/>
    <s v="cashloan"/>
    <n v="853110000"/>
  </r>
  <r>
    <x v="451"/>
    <x v="1"/>
    <x v="3"/>
    <n v="14"/>
    <n v="2"/>
    <x v="21"/>
    <x v="9"/>
    <s v="cashloan"/>
    <n v="0"/>
  </r>
  <r>
    <x v="451"/>
    <x v="1"/>
    <x v="3"/>
    <n v="14"/>
    <n v="2"/>
    <x v="1"/>
    <x v="1"/>
    <s v="cashloan"/>
    <n v="31500000"/>
  </r>
  <r>
    <x v="451"/>
    <x v="1"/>
    <x v="3"/>
    <n v="14"/>
    <n v="2"/>
    <x v="17"/>
    <x v="9"/>
    <s v="cashloan"/>
    <n v="0"/>
  </r>
  <r>
    <x v="452"/>
    <x v="1"/>
    <x v="3"/>
    <n v="14"/>
    <n v="3"/>
    <x v="19"/>
    <x v="12"/>
    <s v="paylater"/>
    <n v="1072698157"/>
  </r>
  <r>
    <x v="452"/>
    <x v="1"/>
    <x v="3"/>
    <n v="14"/>
    <n v="3"/>
    <x v="7"/>
    <x v="7"/>
    <s v="paylater"/>
    <n v="547508578"/>
  </r>
  <r>
    <x v="452"/>
    <x v="1"/>
    <x v="3"/>
    <n v="14"/>
    <n v="3"/>
    <x v="2"/>
    <x v="2"/>
    <s v="cashloan"/>
    <n v="7851360000"/>
  </r>
  <r>
    <x v="452"/>
    <x v="1"/>
    <x v="3"/>
    <n v="14"/>
    <n v="3"/>
    <x v="0"/>
    <x v="0"/>
    <s v="payday"/>
    <n v="5401652000"/>
  </r>
  <r>
    <x v="452"/>
    <x v="1"/>
    <x v="3"/>
    <n v="14"/>
    <n v="3"/>
    <x v="12"/>
    <x v="11"/>
    <s v="cashloan"/>
    <n v="8070530000"/>
  </r>
  <r>
    <x v="452"/>
    <x v="1"/>
    <x v="3"/>
    <n v="14"/>
    <n v="3"/>
    <x v="3"/>
    <x v="3"/>
    <s v="cashloan"/>
    <n v="0"/>
  </r>
  <r>
    <x v="452"/>
    <x v="1"/>
    <x v="3"/>
    <n v="14"/>
    <n v="3"/>
    <x v="6"/>
    <x v="6"/>
    <s v="payday"/>
    <n v="61000000"/>
  </r>
  <r>
    <x v="452"/>
    <x v="1"/>
    <x v="3"/>
    <n v="14"/>
    <n v="3"/>
    <x v="11"/>
    <x v="10"/>
    <s v="paylater"/>
    <n v="235975384"/>
  </r>
  <r>
    <x v="452"/>
    <x v="1"/>
    <x v="3"/>
    <n v="14"/>
    <n v="3"/>
    <x v="14"/>
    <x v="13"/>
    <s v="cashloan"/>
    <n v="835600000"/>
  </r>
  <r>
    <x v="452"/>
    <x v="1"/>
    <x v="3"/>
    <n v="14"/>
    <n v="3"/>
    <x v="20"/>
    <x v="9"/>
    <s v="cashloan"/>
    <n v="0"/>
  </r>
  <r>
    <x v="452"/>
    <x v="1"/>
    <x v="3"/>
    <n v="14"/>
    <n v="3"/>
    <x v="18"/>
    <x v="15"/>
    <s v="cashloan"/>
    <n v="367510000"/>
  </r>
  <r>
    <x v="452"/>
    <x v="1"/>
    <x v="3"/>
    <n v="14"/>
    <n v="3"/>
    <x v="23"/>
    <x v="17"/>
    <s v="paylater"/>
    <n v="0"/>
  </r>
  <r>
    <x v="452"/>
    <x v="1"/>
    <x v="3"/>
    <n v="14"/>
    <n v="3"/>
    <x v="21"/>
    <x v="9"/>
    <s v="cashloan"/>
    <n v="0"/>
  </r>
  <r>
    <x v="452"/>
    <x v="1"/>
    <x v="3"/>
    <n v="14"/>
    <n v="3"/>
    <x v="5"/>
    <x v="5"/>
    <s v="overdraft"/>
    <n v="4575280742"/>
  </r>
  <r>
    <x v="452"/>
    <x v="1"/>
    <x v="3"/>
    <n v="14"/>
    <n v="3"/>
    <x v="24"/>
    <x v="18"/>
    <s v="cashloan"/>
    <n v="0"/>
  </r>
  <r>
    <x v="452"/>
    <x v="1"/>
    <x v="3"/>
    <n v="14"/>
    <n v="3"/>
    <x v="22"/>
    <x v="16"/>
    <s v="cashloan"/>
    <n v="0"/>
  </r>
  <r>
    <x v="452"/>
    <x v="1"/>
    <x v="3"/>
    <n v="14"/>
    <n v="3"/>
    <x v="1"/>
    <x v="1"/>
    <s v="cashloan"/>
    <n v="51000000"/>
  </r>
  <r>
    <x v="452"/>
    <x v="1"/>
    <x v="3"/>
    <n v="14"/>
    <n v="3"/>
    <x v="15"/>
    <x v="14"/>
    <s v="paylater"/>
    <n v="53431784"/>
  </r>
  <r>
    <x v="452"/>
    <x v="1"/>
    <x v="3"/>
    <n v="14"/>
    <n v="3"/>
    <x v="17"/>
    <x v="9"/>
    <s v="cashloan"/>
    <n v="0"/>
  </r>
  <r>
    <x v="453"/>
    <x v="1"/>
    <x v="3"/>
    <n v="14"/>
    <n v="4"/>
    <x v="0"/>
    <x v="0"/>
    <s v="payday"/>
    <n v="6004360000"/>
  </r>
  <r>
    <x v="453"/>
    <x v="1"/>
    <x v="3"/>
    <n v="14"/>
    <n v="4"/>
    <x v="2"/>
    <x v="2"/>
    <s v="cashloan"/>
    <n v="8047470000"/>
  </r>
  <r>
    <x v="453"/>
    <x v="1"/>
    <x v="3"/>
    <n v="14"/>
    <n v="4"/>
    <x v="12"/>
    <x v="11"/>
    <s v="cashloan"/>
    <n v="8259360000"/>
  </r>
  <r>
    <x v="453"/>
    <x v="1"/>
    <x v="3"/>
    <n v="14"/>
    <n v="4"/>
    <x v="7"/>
    <x v="7"/>
    <s v="paylater"/>
    <n v="820352462"/>
  </r>
  <r>
    <x v="453"/>
    <x v="1"/>
    <x v="3"/>
    <n v="14"/>
    <n v="4"/>
    <x v="17"/>
    <x v="9"/>
    <s v="cashloan"/>
    <n v="0"/>
  </r>
  <r>
    <x v="453"/>
    <x v="1"/>
    <x v="3"/>
    <n v="14"/>
    <n v="4"/>
    <x v="21"/>
    <x v="9"/>
    <s v="cashloan"/>
    <n v="0"/>
  </r>
  <r>
    <x v="453"/>
    <x v="1"/>
    <x v="3"/>
    <n v="14"/>
    <n v="4"/>
    <x v="24"/>
    <x v="18"/>
    <s v="cashloan"/>
    <n v="0"/>
  </r>
  <r>
    <x v="453"/>
    <x v="1"/>
    <x v="3"/>
    <n v="14"/>
    <n v="4"/>
    <x v="15"/>
    <x v="14"/>
    <s v="paylater"/>
    <n v="90721680"/>
  </r>
  <r>
    <x v="453"/>
    <x v="1"/>
    <x v="3"/>
    <n v="14"/>
    <n v="4"/>
    <x v="1"/>
    <x v="1"/>
    <s v="cashloan"/>
    <n v="130350000"/>
  </r>
  <r>
    <x v="453"/>
    <x v="1"/>
    <x v="3"/>
    <n v="14"/>
    <n v="4"/>
    <x v="6"/>
    <x v="6"/>
    <s v="payday"/>
    <n v="59000000"/>
  </r>
  <r>
    <x v="453"/>
    <x v="1"/>
    <x v="3"/>
    <n v="14"/>
    <n v="4"/>
    <x v="20"/>
    <x v="9"/>
    <s v="cashloan"/>
    <n v="0"/>
  </r>
  <r>
    <x v="453"/>
    <x v="1"/>
    <x v="3"/>
    <n v="14"/>
    <n v="4"/>
    <x v="22"/>
    <x v="16"/>
    <s v="cashloan"/>
    <n v="0"/>
  </r>
  <r>
    <x v="453"/>
    <x v="1"/>
    <x v="3"/>
    <n v="14"/>
    <n v="4"/>
    <x v="23"/>
    <x v="17"/>
    <s v="paylater"/>
    <n v="0"/>
  </r>
  <r>
    <x v="453"/>
    <x v="1"/>
    <x v="3"/>
    <n v="14"/>
    <n v="4"/>
    <x v="3"/>
    <x v="3"/>
    <s v="cashloan"/>
    <n v="10000000"/>
  </r>
  <r>
    <x v="453"/>
    <x v="1"/>
    <x v="3"/>
    <n v="14"/>
    <n v="4"/>
    <x v="18"/>
    <x v="15"/>
    <s v="cashloan"/>
    <n v="584620000"/>
  </r>
  <r>
    <x v="453"/>
    <x v="1"/>
    <x v="3"/>
    <n v="14"/>
    <n v="4"/>
    <x v="14"/>
    <x v="13"/>
    <s v="cashloan"/>
    <n v="899360000"/>
  </r>
  <r>
    <x v="453"/>
    <x v="1"/>
    <x v="3"/>
    <n v="14"/>
    <n v="4"/>
    <x v="19"/>
    <x v="12"/>
    <s v="paylater"/>
    <n v="1421769963"/>
  </r>
  <r>
    <x v="453"/>
    <x v="1"/>
    <x v="3"/>
    <n v="14"/>
    <n v="4"/>
    <x v="11"/>
    <x v="10"/>
    <s v="paylater"/>
    <n v="293686225"/>
  </r>
  <r>
    <x v="453"/>
    <x v="1"/>
    <x v="3"/>
    <n v="14"/>
    <n v="4"/>
    <x v="5"/>
    <x v="5"/>
    <s v="overdraft"/>
    <n v="4670839718"/>
  </r>
  <r>
    <x v="454"/>
    <x v="1"/>
    <x v="3"/>
    <n v="14"/>
    <n v="5"/>
    <x v="14"/>
    <x v="13"/>
    <s v="cashloan"/>
    <n v="776920000"/>
  </r>
  <r>
    <x v="454"/>
    <x v="1"/>
    <x v="3"/>
    <n v="14"/>
    <n v="5"/>
    <x v="7"/>
    <x v="7"/>
    <s v="paylater"/>
    <n v="703720661"/>
  </r>
  <r>
    <x v="454"/>
    <x v="1"/>
    <x v="3"/>
    <n v="14"/>
    <n v="5"/>
    <x v="24"/>
    <x v="18"/>
    <s v="cashloan"/>
    <n v="0"/>
  </r>
  <r>
    <x v="454"/>
    <x v="1"/>
    <x v="3"/>
    <n v="14"/>
    <n v="5"/>
    <x v="15"/>
    <x v="14"/>
    <s v="paylater"/>
    <n v="68584444"/>
  </r>
  <r>
    <x v="454"/>
    <x v="1"/>
    <x v="3"/>
    <n v="14"/>
    <n v="5"/>
    <x v="5"/>
    <x v="5"/>
    <s v="overdraft"/>
    <n v="3406810291"/>
  </r>
  <r>
    <x v="454"/>
    <x v="1"/>
    <x v="3"/>
    <n v="14"/>
    <n v="5"/>
    <x v="6"/>
    <x v="6"/>
    <s v="payday"/>
    <n v="82000000"/>
  </r>
  <r>
    <x v="454"/>
    <x v="1"/>
    <x v="3"/>
    <n v="14"/>
    <n v="5"/>
    <x v="20"/>
    <x v="9"/>
    <s v="cashloan"/>
    <n v="0"/>
  </r>
  <r>
    <x v="454"/>
    <x v="1"/>
    <x v="3"/>
    <n v="14"/>
    <n v="5"/>
    <x v="17"/>
    <x v="9"/>
    <s v="cashloan"/>
    <n v="0"/>
  </r>
  <r>
    <x v="454"/>
    <x v="1"/>
    <x v="3"/>
    <n v="14"/>
    <n v="5"/>
    <x v="21"/>
    <x v="9"/>
    <s v="cashloan"/>
    <n v="0"/>
  </r>
  <r>
    <x v="454"/>
    <x v="1"/>
    <x v="3"/>
    <n v="14"/>
    <n v="5"/>
    <x v="22"/>
    <x v="16"/>
    <s v="cashloan"/>
    <n v="0"/>
  </r>
  <r>
    <x v="454"/>
    <x v="1"/>
    <x v="3"/>
    <n v="14"/>
    <n v="5"/>
    <x v="23"/>
    <x v="17"/>
    <s v="paylater"/>
    <n v="0"/>
  </r>
  <r>
    <x v="454"/>
    <x v="1"/>
    <x v="3"/>
    <n v="14"/>
    <n v="5"/>
    <x v="18"/>
    <x v="15"/>
    <s v="cashloan"/>
    <n v="326780000"/>
  </r>
  <r>
    <x v="454"/>
    <x v="1"/>
    <x v="3"/>
    <n v="14"/>
    <n v="5"/>
    <x v="3"/>
    <x v="3"/>
    <s v="cashloan"/>
    <n v="0"/>
  </r>
  <r>
    <x v="454"/>
    <x v="1"/>
    <x v="3"/>
    <n v="14"/>
    <n v="5"/>
    <x v="12"/>
    <x v="11"/>
    <s v="cashloan"/>
    <n v="6786650000"/>
  </r>
  <r>
    <x v="454"/>
    <x v="1"/>
    <x v="3"/>
    <n v="14"/>
    <n v="5"/>
    <x v="1"/>
    <x v="1"/>
    <s v="cashloan"/>
    <n v="21000000"/>
  </r>
  <r>
    <x v="454"/>
    <x v="1"/>
    <x v="3"/>
    <n v="14"/>
    <n v="5"/>
    <x v="19"/>
    <x v="12"/>
    <s v="paylater"/>
    <n v="890259198"/>
  </r>
  <r>
    <x v="454"/>
    <x v="1"/>
    <x v="3"/>
    <n v="14"/>
    <n v="5"/>
    <x v="11"/>
    <x v="10"/>
    <s v="paylater"/>
    <n v="280460172"/>
  </r>
  <r>
    <x v="454"/>
    <x v="1"/>
    <x v="3"/>
    <n v="14"/>
    <n v="5"/>
    <x v="0"/>
    <x v="0"/>
    <s v="payday"/>
    <n v="5897304000"/>
  </r>
  <r>
    <x v="454"/>
    <x v="1"/>
    <x v="3"/>
    <n v="14"/>
    <n v="5"/>
    <x v="2"/>
    <x v="2"/>
    <s v="cashloan"/>
    <n v="7221630000"/>
  </r>
  <r>
    <x v="455"/>
    <x v="1"/>
    <x v="3"/>
    <n v="14"/>
    <n v="6"/>
    <x v="19"/>
    <x v="12"/>
    <s v="paylater"/>
    <n v="519558184"/>
  </r>
  <r>
    <x v="455"/>
    <x v="1"/>
    <x v="3"/>
    <n v="14"/>
    <n v="6"/>
    <x v="0"/>
    <x v="0"/>
    <s v="payday"/>
    <n v="4890440000"/>
  </r>
  <r>
    <x v="455"/>
    <x v="1"/>
    <x v="3"/>
    <n v="14"/>
    <n v="6"/>
    <x v="7"/>
    <x v="7"/>
    <s v="paylater"/>
    <n v="493176146"/>
  </r>
  <r>
    <x v="455"/>
    <x v="1"/>
    <x v="3"/>
    <n v="14"/>
    <n v="6"/>
    <x v="12"/>
    <x v="11"/>
    <s v="cashloan"/>
    <n v="5422830000"/>
  </r>
  <r>
    <x v="455"/>
    <x v="1"/>
    <x v="3"/>
    <n v="14"/>
    <n v="6"/>
    <x v="2"/>
    <x v="2"/>
    <s v="cashloan"/>
    <n v="6782130000"/>
  </r>
  <r>
    <x v="455"/>
    <x v="1"/>
    <x v="3"/>
    <n v="14"/>
    <n v="6"/>
    <x v="11"/>
    <x v="10"/>
    <s v="paylater"/>
    <n v="234308969"/>
  </r>
  <r>
    <x v="455"/>
    <x v="1"/>
    <x v="3"/>
    <n v="14"/>
    <n v="6"/>
    <x v="5"/>
    <x v="5"/>
    <s v="overdraft"/>
    <n v="2859338032"/>
  </r>
  <r>
    <x v="455"/>
    <x v="1"/>
    <x v="3"/>
    <n v="14"/>
    <n v="6"/>
    <x v="22"/>
    <x v="16"/>
    <s v="cashloan"/>
    <n v="0"/>
  </r>
  <r>
    <x v="455"/>
    <x v="1"/>
    <x v="3"/>
    <n v="14"/>
    <n v="6"/>
    <x v="14"/>
    <x v="13"/>
    <s v="cashloan"/>
    <n v="752910000"/>
  </r>
  <r>
    <x v="455"/>
    <x v="1"/>
    <x v="3"/>
    <n v="14"/>
    <n v="6"/>
    <x v="24"/>
    <x v="18"/>
    <s v="cashloan"/>
    <n v="0"/>
  </r>
  <r>
    <x v="455"/>
    <x v="1"/>
    <x v="3"/>
    <n v="14"/>
    <n v="6"/>
    <x v="15"/>
    <x v="14"/>
    <s v="paylater"/>
    <n v="54575128"/>
  </r>
  <r>
    <x v="455"/>
    <x v="1"/>
    <x v="3"/>
    <n v="14"/>
    <n v="6"/>
    <x v="1"/>
    <x v="1"/>
    <s v="cashloan"/>
    <n v="21000000"/>
  </r>
  <r>
    <x v="455"/>
    <x v="1"/>
    <x v="3"/>
    <n v="14"/>
    <n v="6"/>
    <x v="17"/>
    <x v="9"/>
    <s v="cashloan"/>
    <n v="0"/>
  </r>
  <r>
    <x v="455"/>
    <x v="1"/>
    <x v="3"/>
    <n v="14"/>
    <n v="6"/>
    <x v="21"/>
    <x v="9"/>
    <s v="cashloan"/>
    <n v="0"/>
  </r>
  <r>
    <x v="455"/>
    <x v="1"/>
    <x v="3"/>
    <n v="14"/>
    <n v="6"/>
    <x v="6"/>
    <x v="6"/>
    <s v="payday"/>
    <n v="68000000"/>
  </r>
  <r>
    <x v="455"/>
    <x v="1"/>
    <x v="3"/>
    <n v="14"/>
    <n v="6"/>
    <x v="23"/>
    <x v="17"/>
    <s v="paylater"/>
    <n v="0"/>
  </r>
  <r>
    <x v="455"/>
    <x v="1"/>
    <x v="3"/>
    <n v="14"/>
    <n v="6"/>
    <x v="18"/>
    <x v="15"/>
    <s v="cashloan"/>
    <n v="382110000"/>
  </r>
  <r>
    <x v="455"/>
    <x v="1"/>
    <x v="3"/>
    <n v="14"/>
    <n v="6"/>
    <x v="3"/>
    <x v="3"/>
    <s v="cashloan"/>
    <n v="0"/>
  </r>
  <r>
    <x v="455"/>
    <x v="1"/>
    <x v="3"/>
    <n v="14"/>
    <n v="6"/>
    <x v="20"/>
    <x v="9"/>
    <s v="cashloan"/>
    <n v="0"/>
  </r>
  <r>
    <x v="456"/>
    <x v="1"/>
    <x v="3"/>
    <n v="15"/>
    <n v="7"/>
    <x v="12"/>
    <x v="11"/>
    <s v="cashloan"/>
    <n v="5951680000"/>
  </r>
  <r>
    <x v="456"/>
    <x v="1"/>
    <x v="3"/>
    <n v="15"/>
    <n v="7"/>
    <x v="0"/>
    <x v="0"/>
    <s v="payday"/>
    <n v="4718520000"/>
  </r>
  <r>
    <x v="456"/>
    <x v="1"/>
    <x v="3"/>
    <n v="15"/>
    <n v="7"/>
    <x v="2"/>
    <x v="2"/>
    <s v="cashloan"/>
    <n v="7142670000"/>
  </r>
  <r>
    <x v="456"/>
    <x v="1"/>
    <x v="3"/>
    <n v="15"/>
    <n v="7"/>
    <x v="15"/>
    <x v="14"/>
    <s v="paylater"/>
    <n v="28472671"/>
  </r>
  <r>
    <x v="456"/>
    <x v="1"/>
    <x v="3"/>
    <n v="15"/>
    <n v="7"/>
    <x v="22"/>
    <x v="16"/>
    <s v="cashloan"/>
    <n v="0"/>
  </r>
  <r>
    <x v="456"/>
    <x v="1"/>
    <x v="3"/>
    <n v="15"/>
    <n v="7"/>
    <x v="1"/>
    <x v="1"/>
    <s v="cashloan"/>
    <n v="35750000"/>
  </r>
  <r>
    <x v="456"/>
    <x v="1"/>
    <x v="3"/>
    <n v="15"/>
    <n v="7"/>
    <x v="5"/>
    <x v="5"/>
    <s v="overdraft"/>
    <n v="3607444343"/>
  </r>
  <r>
    <x v="456"/>
    <x v="1"/>
    <x v="3"/>
    <n v="15"/>
    <n v="7"/>
    <x v="20"/>
    <x v="9"/>
    <s v="cashloan"/>
    <n v="0"/>
  </r>
  <r>
    <x v="456"/>
    <x v="1"/>
    <x v="3"/>
    <n v="15"/>
    <n v="7"/>
    <x v="17"/>
    <x v="9"/>
    <s v="cashloan"/>
    <n v="21400000"/>
  </r>
  <r>
    <x v="456"/>
    <x v="1"/>
    <x v="3"/>
    <n v="15"/>
    <n v="7"/>
    <x v="21"/>
    <x v="9"/>
    <s v="cashloan"/>
    <n v="0"/>
  </r>
  <r>
    <x v="456"/>
    <x v="1"/>
    <x v="3"/>
    <n v="15"/>
    <n v="7"/>
    <x v="6"/>
    <x v="6"/>
    <s v="payday"/>
    <n v="30000000"/>
  </r>
  <r>
    <x v="456"/>
    <x v="1"/>
    <x v="3"/>
    <n v="15"/>
    <n v="7"/>
    <x v="24"/>
    <x v="18"/>
    <s v="cashloan"/>
    <n v="0"/>
  </r>
  <r>
    <x v="456"/>
    <x v="1"/>
    <x v="3"/>
    <n v="15"/>
    <n v="7"/>
    <x v="23"/>
    <x v="17"/>
    <s v="paylater"/>
    <n v="0"/>
  </r>
  <r>
    <x v="456"/>
    <x v="1"/>
    <x v="3"/>
    <n v="15"/>
    <n v="7"/>
    <x v="18"/>
    <x v="15"/>
    <s v="cashloan"/>
    <n v="309520000"/>
  </r>
  <r>
    <x v="456"/>
    <x v="1"/>
    <x v="3"/>
    <n v="15"/>
    <n v="7"/>
    <x v="3"/>
    <x v="3"/>
    <s v="cashloan"/>
    <n v="0"/>
  </r>
  <r>
    <x v="456"/>
    <x v="1"/>
    <x v="3"/>
    <n v="15"/>
    <n v="7"/>
    <x v="14"/>
    <x v="13"/>
    <s v="cashloan"/>
    <n v="571640000"/>
  </r>
  <r>
    <x v="456"/>
    <x v="1"/>
    <x v="3"/>
    <n v="15"/>
    <n v="7"/>
    <x v="19"/>
    <x v="12"/>
    <s v="paylater"/>
    <n v="504235757"/>
  </r>
  <r>
    <x v="456"/>
    <x v="1"/>
    <x v="3"/>
    <n v="15"/>
    <n v="7"/>
    <x v="11"/>
    <x v="10"/>
    <s v="paylater"/>
    <n v="209788589"/>
  </r>
  <r>
    <x v="456"/>
    <x v="1"/>
    <x v="3"/>
    <n v="15"/>
    <n v="7"/>
    <x v="7"/>
    <x v="7"/>
    <s v="paylater"/>
    <n v="458767034"/>
  </r>
  <r>
    <x v="457"/>
    <x v="1"/>
    <x v="3"/>
    <n v="15"/>
    <n v="8"/>
    <x v="12"/>
    <x v="11"/>
    <s v="cashloan"/>
    <n v="7892810000"/>
  </r>
  <r>
    <x v="457"/>
    <x v="1"/>
    <x v="3"/>
    <n v="15"/>
    <n v="8"/>
    <x v="0"/>
    <x v="0"/>
    <s v="payday"/>
    <n v="5312388000"/>
  </r>
  <r>
    <x v="457"/>
    <x v="1"/>
    <x v="3"/>
    <n v="15"/>
    <n v="8"/>
    <x v="5"/>
    <x v="5"/>
    <s v="overdraft"/>
    <n v="4125520998"/>
  </r>
  <r>
    <x v="457"/>
    <x v="1"/>
    <x v="3"/>
    <n v="15"/>
    <n v="8"/>
    <x v="2"/>
    <x v="2"/>
    <s v="cashloan"/>
    <n v="8689610000"/>
  </r>
  <r>
    <x v="457"/>
    <x v="1"/>
    <x v="3"/>
    <n v="15"/>
    <n v="8"/>
    <x v="22"/>
    <x v="16"/>
    <s v="cashloan"/>
    <n v="0"/>
  </r>
  <r>
    <x v="457"/>
    <x v="1"/>
    <x v="3"/>
    <n v="15"/>
    <n v="8"/>
    <x v="6"/>
    <x v="6"/>
    <s v="payday"/>
    <n v="84000000"/>
  </r>
  <r>
    <x v="457"/>
    <x v="1"/>
    <x v="3"/>
    <n v="15"/>
    <n v="8"/>
    <x v="7"/>
    <x v="7"/>
    <s v="paylater"/>
    <n v="456387725"/>
  </r>
  <r>
    <x v="457"/>
    <x v="1"/>
    <x v="3"/>
    <n v="15"/>
    <n v="8"/>
    <x v="24"/>
    <x v="18"/>
    <s v="cashloan"/>
    <n v="0"/>
  </r>
  <r>
    <x v="457"/>
    <x v="1"/>
    <x v="3"/>
    <n v="15"/>
    <n v="8"/>
    <x v="15"/>
    <x v="14"/>
    <s v="paylater"/>
    <n v="20859041"/>
  </r>
  <r>
    <x v="457"/>
    <x v="1"/>
    <x v="3"/>
    <n v="15"/>
    <n v="8"/>
    <x v="1"/>
    <x v="1"/>
    <s v="cashloan"/>
    <n v="21000000"/>
  </r>
  <r>
    <x v="457"/>
    <x v="1"/>
    <x v="3"/>
    <n v="15"/>
    <n v="8"/>
    <x v="20"/>
    <x v="9"/>
    <s v="cashloan"/>
    <n v="0"/>
  </r>
  <r>
    <x v="457"/>
    <x v="1"/>
    <x v="3"/>
    <n v="15"/>
    <n v="8"/>
    <x v="17"/>
    <x v="9"/>
    <s v="cashloan"/>
    <n v="0"/>
  </r>
  <r>
    <x v="457"/>
    <x v="1"/>
    <x v="3"/>
    <n v="15"/>
    <n v="8"/>
    <x v="21"/>
    <x v="9"/>
    <s v="cashloan"/>
    <n v="0"/>
  </r>
  <r>
    <x v="457"/>
    <x v="1"/>
    <x v="3"/>
    <n v="15"/>
    <n v="8"/>
    <x v="23"/>
    <x v="17"/>
    <s v="paylater"/>
    <n v="0"/>
  </r>
  <r>
    <x v="457"/>
    <x v="1"/>
    <x v="3"/>
    <n v="15"/>
    <n v="8"/>
    <x v="18"/>
    <x v="15"/>
    <s v="cashloan"/>
    <n v="579060000"/>
  </r>
  <r>
    <x v="457"/>
    <x v="1"/>
    <x v="3"/>
    <n v="15"/>
    <n v="8"/>
    <x v="3"/>
    <x v="3"/>
    <s v="cashloan"/>
    <n v="0"/>
  </r>
  <r>
    <x v="457"/>
    <x v="1"/>
    <x v="3"/>
    <n v="15"/>
    <n v="8"/>
    <x v="14"/>
    <x v="13"/>
    <s v="cashloan"/>
    <n v="1188030000"/>
  </r>
  <r>
    <x v="457"/>
    <x v="1"/>
    <x v="3"/>
    <n v="15"/>
    <n v="8"/>
    <x v="19"/>
    <x v="12"/>
    <s v="paylater"/>
    <n v="523442719"/>
  </r>
  <r>
    <x v="457"/>
    <x v="1"/>
    <x v="3"/>
    <n v="15"/>
    <n v="8"/>
    <x v="11"/>
    <x v="10"/>
    <s v="paylater"/>
    <n v="170361828"/>
  </r>
  <r>
    <x v="458"/>
    <x v="1"/>
    <x v="3"/>
    <n v="15"/>
    <n v="9"/>
    <x v="14"/>
    <x v="13"/>
    <s v="cashloan"/>
    <n v="883450000"/>
  </r>
  <r>
    <x v="458"/>
    <x v="1"/>
    <x v="3"/>
    <n v="15"/>
    <n v="9"/>
    <x v="2"/>
    <x v="2"/>
    <s v="cashloan"/>
    <n v="8697580000"/>
  </r>
  <r>
    <x v="458"/>
    <x v="1"/>
    <x v="3"/>
    <n v="15"/>
    <n v="9"/>
    <x v="6"/>
    <x v="6"/>
    <s v="payday"/>
    <n v="28000000"/>
  </r>
  <r>
    <x v="458"/>
    <x v="1"/>
    <x v="3"/>
    <n v="15"/>
    <n v="9"/>
    <x v="22"/>
    <x v="16"/>
    <s v="cashloan"/>
    <n v="0"/>
  </r>
  <r>
    <x v="458"/>
    <x v="1"/>
    <x v="3"/>
    <n v="15"/>
    <n v="9"/>
    <x v="23"/>
    <x v="17"/>
    <s v="paylater"/>
    <n v="0"/>
  </r>
  <r>
    <x v="458"/>
    <x v="1"/>
    <x v="3"/>
    <n v="15"/>
    <n v="9"/>
    <x v="24"/>
    <x v="18"/>
    <s v="cashloan"/>
    <n v="0"/>
  </r>
  <r>
    <x v="458"/>
    <x v="1"/>
    <x v="3"/>
    <n v="15"/>
    <n v="9"/>
    <x v="15"/>
    <x v="14"/>
    <s v="paylater"/>
    <n v="16325153"/>
  </r>
  <r>
    <x v="458"/>
    <x v="1"/>
    <x v="3"/>
    <n v="15"/>
    <n v="9"/>
    <x v="3"/>
    <x v="3"/>
    <s v="cashloan"/>
    <n v="0"/>
  </r>
  <r>
    <x v="458"/>
    <x v="1"/>
    <x v="3"/>
    <n v="15"/>
    <n v="9"/>
    <x v="1"/>
    <x v="1"/>
    <s v="cashloan"/>
    <n v="10500000"/>
  </r>
  <r>
    <x v="458"/>
    <x v="1"/>
    <x v="3"/>
    <n v="15"/>
    <n v="9"/>
    <x v="20"/>
    <x v="9"/>
    <s v="cashloan"/>
    <n v="0"/>
  </r>
  <r>
    <x v="458"/>
    <x v="1"/>
    <x v="3"/>
    <n v="15"/>
    <n v="9"/>
    <x v="17"/>
    <x v="9"/>
    <s v="cashloan"/>
    <n v="0"/>
  </r>
  <r>
    <x v="458"/>
    <x v="1"/>
    <x v="3"/>
    <n v="15"/>
    <n v="9"/>
    <x v="21"/>
    <x v="9"/>
    <s v="cashloan"/>
    <n v="0"/>
  </r>
  <r>
    <x v="458"/>
    <x v="1"/>
    <x v="3"/>
    <n v="15"/>
    <n v="9"/>
    <x v="18"/>
    <x v="15"/>
    <s v="cashloan"/>
    <n v="723330000"/>
  </r>
  <r>
    <x v="458"/>
    <x v="1"/>
    <x v="3"/>
    <n v="15"/>
    <n v="9"/>
    <x v="19"/>
    <x v="12"/>
    <s v="paylater"/>
    <n v="514680172"/>
  </r>
  <r>
    <x v="458"/>
    <x v="1"/>
    <x v="3"/>
    <n v="15"/>
    <n v="9"/>
    <x v="11"/>
    <x v="10"/>
    <s v="paylater"/>
    <n v="204050064"/>
  </r>
  <r>
    <x v="458"/>
    <x v="1"/>
    <x v="3"/>
    <n v="15"/>
    <n v="9"/>
    <x v="7"/>
    <x v="7"/>
    <s v="paylater"/>
    <n v="454979130"/>
  </r>
  <r>
    <x v="458"/>
    <x v="1"/>
    <x v="3"/>
    <n v="15"/>
    <n v="9"/>
    <x v="5"/>
    <x v="5"/>
    <s v="overdraft"/>
    <n v="4149949712"/>
  </r>
  <r>
    <x v="458"/>
    <x v="1"/>
    <x v="3"/>
    <n v="15"/>
    <n v="9"/>
    <x v="12"/>
    <x v="11"/>
    <s v="cashloan"/>
    <n v="8959790000"/>
  </r>
  <r>
    <x v="458"/>
    <x v="1"/>
    <x v="3"/>
    <n v="15"/>
    <n v="9"/>
    <x v="0"/>
    <x v="0"/>
    <s v="payday"/>
    <n v="5285088000"/>
  </r>
  <r>
    <x v="459"/>
    <x v="1"/>
    <x v="3"/>
    <n v="15"/>
    <n v="10"/>
    <x v="5"/>
    <x v="5"/>
    <s v="overdraft"/>
    <n v="5294274810"/>
  </r>
  <r>
    <x v="459"/>
    <x v="1"/>
    <x v="3"/>
    <n v="15"/>
    <n v="10"/>
    <x v="0"/>
    <x v="0"/>
    <s v="payday"/>
    <n v="7397352000"/>
  </r>
  <r>
    <x v="459"/>
    <x v="1"/>
    <x v="3"/>
    <n v="15"/>
    <n v="10"/>
    <x v="11"/>
    <x v="10"/>
    <s v="paylater"/>
    <n v="194736595"/>
  </r>
  <r>
    <x v="459"/>
    <x v="1"/>
    <x v="3"/>
    <n v="15"/>
    <n v="10"/>
    <x v="2"/>
    <x v="2"/>
    <s v="cashloan"/>
    <n v="9156040000"/>
  </r>
  <r>
    <x v="459"/>
    <x v="1"/>
    <x v="3"/>
    <n v="15"/>
    <n v="10"/>
    <x v="12"/>
    <x v="11"/>
    <s v="cashloan"/>
    <n v="9662570000"/>
  </r>
  <r>
    <x v="459"/>
    <x v="1"/>
    <x v="3"/>
    <n v="15"/>
    <n v="10"/>
    <x v="19"/>
    <x v="12"/>
    <s v="paylater"/>
    <n v="498704002"/>
  </r>
  <r>
    <x v="459"/>
    <x v="1"/>
    <x v="3"/>
    <n v="15"/>
    <n v="10"/>
    <x v="21"/>
    <x v="9"/>
    <s v="cashloan"/>
    <n v="0"/>
  </r>
  <r>
    <x v="459"/>
    <x v="1"/>
    <x v="3"/>
    <n v="15"/>
    <n v="10"/>
    <x v="23"/>
    <x v="17"/>
    <s v="paylater"/>
    <n v="0"/>
  </r>
  <r>
    <x v="459"/>
    <x v="1"/>
    <x v="3"/>
    <n v="15"/>
    <n v="10"/>
    <x v="7"/>
    <x v="7"/>
    <s v="paylater"/>
    <n v="477641891"/>
  </r>
  <r>
    <x v="459"/>
    <x v="1"/>
    <x v="3"/>
    <n v="15"/>
    <n v="10"/>
    <x v="20"/>
    <x v="9"/>
    <s v="cashloan"/>
    <n v="0"/>
  </r>
  <r>
    <x v="459"/>
    <x v="1"/>
    <x v="3"/>
    <n v="15"/>
    <n v="10"/>
    <x v="22"/>
    <x v="16"/>
    <s v="cashloan"/>
    <n v="0"/>
  </r>
  <r>
    <x v="459"/>
    <x v="1"/>
    <x v="3"/>
    <n v="15"/>
    <n v="10"/>
    <x v="24"/>
    <x v="18"/>
    <s v="cashloan"/>
    <n v="0"/>
  </r>
  <r>
    <x v="459"/>
    <x v="1"/>
    <x v="3"/>
    <n v="15"/>
    <n v="10"/>
    <x v="15"/>
    <x v="14"/>
    <s v="paylater"/>
    <n v="29388532"/>
  </r>
  <r>
    <x v="459"/>
    <x v="1"/>
    <x v="3"/>
    <n v="15"/>
    <n v="10"/>
    <x v="1"/>
    <x v="1"/>
    <s v="cashloan"/>
    <n v="21000000"/>
  </r>
  <r>
    <x v="459"/>
    <x v="1"/>
    <x v="3"/>
    <n v="15"/>
    <n v="10"/>
    <x v="17"/>
    <x v="9"/>
    <s v="cashloan"/>
    <n v="0"/>
  </r>
  <r>
    <x v="459"/>
    <x v="1"/>
    <x v="3"/>
    <n v="15"/>
    <n v="10"/>
    <x v="6"/>
    <x v="6"/>
    <s v="payday"/>
    <n v="50000000"/>
  </r>
  <r>
    <x v="459"/>
    <x v="1"/>
    <x v="3"/>
    <n v="15"/>
    <n v="10"/>
    <x v="3"/>
    <x v="3"/>
    <s v="cashloan"/>
    <n v="0"/>
  </r>
  <r>
    <x v="459"/>
    <x v="1"/>
    <x v="3"/>
    <n v="15"/>
    <n v="10"/>
    <x v="18"/>
    <x v="15"/>
    <s v="cashloan"/>
    <n v="626510000"/>
  </r>
  <r>
    <x v="459"/>
    <x v="1"/>
    <x v="3"/>
    <n v="15"/>
    <n v="10"/>
    <x v="14"/>
    <x v="13"/>
    <s v="cashloan"/>
    <n v="980650000"/>
  </r>
  <r>
    <x v="460"/>
    <x v="1"/>
    <x v="3"/>
    <n v="15"/>
    <n v="11"/>
    <x v="0"/>
    <x v="0"/>
    <s v="payday"/>
    <n v="6757236000"/>
  </r>
  <r>
    <x v="460"/>
    <x v="1"/>
    <x v="3"/>
    <n v="15"/>
    <n v="11"/>
    <x v="2"/>
    <x v="2"/>
    <s v="cashloan"/>
    <n v="9156990000"/>
  </r>
  <r>
    <x v="460"/>
    <x v="1"/>
    <x v="3"/>
    <n v="15"/>
    <n v="11"/>
    <x v="5"/>
    <x v="5"/>
    <s v="overdraft"/>
    <n v="3862847554"/>
  </r>
  <r>
    <x v="460"/>
    <x v="1"/>
    <x v="3"/>
    <n v="15"/>
    <n v="11"/>
    <x v="24"/>
    <x v="18"/>
    <s v="cashloan"/>
    <n v="0"/>
  </r>
  <r>
    <x v="460"/>
    <x v="1"/>
    <x v="3"/>
    <n v="15"/>
    <n v="11"/>
    <x v="14"/>
    <x v="13"/>
    <s v="cashloan"/>
    <n v="1405840000"/>
  </r>
  <r>
    <x v="460"/>
    <x v="1"/>
    <x v="3"/>
    <n v="15"/>
    <n v="11"/>
    <x v="7"/>
    <x v="7"/>
    <s v="paylater"/>
    <n v="427667553"/>
  </r>
  <r>
    <x v="460"/>
    <x v="1"/>
    <x v="3"/>
    <n v="15"/>
    <n v="11"/>
    <x v="6"/>
    <x v="6"/>
    <s v="payday"/>
    <n v="29000000"/>
  </r>
  <r>
    <x v="460"/>
    <x v="1"/>
    <x v="3"/>
    <n v="15"/>
    <n v="11"/>
    <x v="12"/>
    <x v="11"/>
    <s v="cashloan"/>
    <n v="8892070000"/>
  </r>
  <r>
    <x v="460"/>
    <x v="1"/>
    <x v="3"/>
    <n v="15"/>
    <n v="11"/>
    <x v="15"/>
    <x v="14"/>
    <s v="paylater"/>
    <n v="18432912"/>
  </r>
  <r>
    <x v="460"/>
    <x v="1"/>
    <x v="3"/>
    <n v="15"/>
    <n v="11"/>
    <x v="1"/>
    <x v="1"/>
    <s v="cashloan"/>
    <n v="57750000"/>
  </r>
  <r>
    <x v="460"/>
    <x v="1"/>
    <x v="3"/>
    <n v="15"/>
    <n v="11"/>
    <x v="20"/>
    <x v="9"/>
    <s v="cashloan"/>
    <n v="0"/>
  </r>
  <r>
    <x v="460"/>
    <x v="1"/>
    <x v="3"/>
    <n v="15"/>
    <n v="11"/>
    <x v="17"/>
    <x v="9"/>
    <s v="cashloan"/>
    <n v="0"/>
  </r>
  <r>
    <x v="460"/>
    <x v="1"/>
    <x v="3"/>
    <n v="15"/>
    <n v="11"/>
    <x v="22"/>
    <x v="16"/>
    <s v="cashloan"/>
    <n v="0"/>
  </r>
  <r>
    <x v="460"/>
    <x v="1"/>
    <x v="3"/>
    <n v="15"/>
    <n v="11"/>
    <x v="21"/>
    <x v="9"/>
    <s v="cashloan"/>
    <n v="0"/>
  </r>
  <r>
    <x v="460"/>
    <x v="1"/>
    <x v="3"/>
    <n v="15"/>
    <n v="11"/>
    <x v="23"/>
    <x v="17"/>
    <s v="paylater"/>
    <n v="0"/>
  </r>
  <r>
    <x v="460"/>
    <x v="1"/>
    <x v="3"/>
    <n v="15"/>
    <n v="11"/>
    <x v="3"/>
    <x v="3"/>
    <s v="cashloan"/>
    <n v="0"/>
  </r>
  <r>
    <x v="460"/>
    <x v="1"/>
    <x v="3"/>
    <n v="15"/>
    <n v="11"/>
    <x v="18"/>
    <x v="15"/>
    <s v="cashloan"/>
    <n v="659540000"/>
  </r>
  <r>
    <x v="460"/>
    <x v="1"/>
    <x v="3"/>
    <n v="15"/>
    <n v="11"/>
    <x v="19"/>
    <x v="12"/>
    <s v="paylater"/>
    <n v="471310605"/>
  </r>
  <r>
    <x v="460"/>
    <x v="1"/>
    <x v="3"/>
    <n v="15"/>
    <n v="11"/>
    <x v="11"/>
    <x v="10"/>
    <s v="paylater"/>
    <n v="170153842"/>
  </r>
  <r>
    <x v="461"/>
    <x v="1"/>
    <x v="3"/>
    <n v="15"/>
    <n v="12"/>
    <x v="0"/>
    <x v="0"/>
    <s v="payday"/>
    <n v="6007068000"/>
  </r>
  <r>
    <x v="461"/>
    <x v="1"/>
    <x v="3"/>
    <n v="15"/>
    <n v="12"/>
    <x v="6"/>
    <x v="6"/>
    <s v="payday"/>
    <n v="32000000"/>
  </r>
  <r>
    <x v="461"/>
    <x v="1"/>
    <x v="3"/>
    <n v="15"/>
    <n v="12"/>
    <x v="2"/>
    <x v="2"/>
    <s v="cashloan"/>
    <n v="8376050000"/>
  </r>
  <r>
    <x v="461"/>
    <x v="1"/>
    <x v="3"/>
    <n v="15"/>
    <n v="12"/>
    <x v="22"/>
    <x v="16"/>
    <s v="cashloan"/>
    <n v="0"/>
  </r>
  <r>
    <x v="461"/>
    <x v="1"/>
    <x v="3"/>
    <n v="15"/>
    <n v="12"/>
    <x v="17"/>
    <x v="9"/>
    <s v="cashloan"/>
    <n v="0"/>
  </r>
  <r>
    <x v="461"/>
    <x v="1"/>
    <x v="3"/>
    <n v="15"/>
    <n v="12"/>
    <x v="21"/>
    <x v="9"/>
    <s v="cashloan"/>
    <n v="0"/>
  </r>
  <r>
    <x v="461"/>
    <x v="1"/>
    <x v="3"/>
    <n v="15"/>
    <n v="12"/>
    <x v="12"/>
    <x v="11"/>
    <s v="cashloan"/>
    <n v="6365740000"/>
  </r>
  <r>
    <x v="461"/>
    <x v="1"/>
    <x v="3"/>
    <n v="15"/>
    <n v="12"/>
    <x v="24"/>
    <x v="18"/>
    <s v="cashloan"/>
    <n v="0"/>
  </r>
  <r>
    <x v="461"/>
    <x v="1"/>
    <x v="3"/>
    <n v="15"/>
    <n v="12"/>
    <x v="15"/>
    <x v="14"/>
    <s v="paylater"/>
    <n v="11829678"/>
  </r>
  <r>
    <x v="461"/>
    <x v="1"/>
    <x v="3"/>
    <n v="15"/>
    <n v="12"/>
    <x v="1"/>
    <x v="1"/>
    <s v="cashloan"/>
    <n v="0"/>
  </r>
  <r>
    <x v="461"/>
    <x v="1"/>
    <x v="3"/>
    <n v="15"/>
    <n v="12"/>
    <x v="20"/>
    <x v="9"/>
    <s v="cashloan"/>
    <n v="0"/>
  </r>
  <r>
    <x v="461"/>
    <x v="1"/>
    <x v="3"/>
    <n v="15"/>
    <n v="12"/>
    <x v="23"/>
    <x v="17"/>
    <s v="paylater"/>
    <n v="0"/>
  </r>
  <r>
    <x v="461"/>
    <x v="1"/>
    <x v="3"/>
    <n v="15"/>
    <n v="12"/>
    <x v="3"/>
    <x v="3"/>
    <s v="cashloan"/>
    <n v="0"/>
  </r>
  <r>
    <x v="461"/>
    <x v="1"/>
    <x v="3"/>
    <n v="15"/>
    <n v="12"/>
    <x v="18"/>
    <x v="15"/>
    <s v="cashloan"/>
    <n v="401440000"/>
  </r>
  <r>
    <x v="461"/>
    <x v="1"/>
    <x v="3"/>
    <n v="15"/>
    <n v="12"/>
    <x v="14"/>
    <x v="13"/>
    <s v="cashloan"/>
    <n v="917050000"/>
  </r>
  <r>
    <x v="461"/>
    <x v="1"/>
    <x v="3"/>
    <n v="15"/>
    <n v="12"/>
    <x v="19"/>
    <x v="12"/>
    <s v="paylater"/>
    <n v="352327008"/>
  </r>
  <r>
    <x v="461"/>
    <x v="1"/>
    <x v="3"/>
    <n v="15"/>
    <n v="12"/>
    <x v="11"/>
    <x v="10"/>
    <s v="paylater"/>
    <n v="165752565"/>
  </r>
  <r>
    <x v="461"/>
    <x v="1"/>
    <x v="3"/>
    <n v="15"/>
    <n v="12"/>
    <x v="7"/>
    <x v="7"/>
    <s v="paylater"/>
    <n v="393267222"/>
  </r>
  <r>
    <x v="461"/>
    <x v="1"/>
    <x v="3"/>
    <n v="15"/>
    <n v="12"/>
    <x v="5"/>
    <x v="5"/>
    <s v="overdraft"/>
    <n v="3148039707"/>
  </r>
  <r>
    <x v="462"/>
    <x v="1"/>
    <x v="3"/>
    <n v="15"/>
    <n v="13"/>
    <x v="17"/>
    <x v="9"/>
    <s v="cashloan"/>
    <n v="0"/>
  </r>
  <r>
    <x v="462"/>
    <x v="1"/>
    <x v="3"/>
    <n v="15"/>
    <n v="13"/>
    <x v="2"/>
    <x v="2"/>
    <s v="cashloan"/>
    <n v="7666880000"/>
  </r>
  <r>
    <x v="462"/>
    <x v="1"/>
    <x v="3"/>
    <n v="15"/>
    <n v="13"/>
    <x v="14"/>
    <x v="13"/>
    <s v="cashloan"/>
    <n v="1281180000"/>
  </r>
  <r>
    <x v="462"/>
    <x v="1"/>
    <x v="3"/>
    <n v="15"/>
    <n v="13"/>
    <x v="7"/>
    <x v="7"/>
    <s v="paylater"/>
    <n v="314599016"/>
  </r>
  <r>
    <x v="462"/>
    <x v="1"/>
    <x v="3"/>
    <n v="15"/>
    <n v="13"/>
    <x v="24"/>
    <x v="18"/>
    <s v="cashloan"/>
    <n v="0"/>
  </r>
  <r>
    <x v="462"/>
    <x v="1"/>
    <x v="3"/>
    <n v="15"/>
    <n v="13"/>
    <x v="15"/>
    <x v="14"/>
    <s v="paylater"/>
    <n v="18784485"/>
  </r>
  <r>
    <x v="462"/>
    <x v="1"/>
    <x v="3"/>
    <n v="15"/>
    <n v="13"/>
    <x v="5"/>
    <x v="5"/>
    <s v="overdraft"/>
    <n v="2876793259"/>
  </r>
  <r>
    <x v="462"/>
    <x v="1"/>
    <x v="3"/>
    <n v="15"/>
    <n v="13"/>
    <x v="22"/>
    <x v="16"/>
    <s v="cashloan"/>
    <n v="0"/>
  </r>
  <r>
    <x v="462"/>
    <x v="1"/>
    <x v="3"/>
    <n v="15"/>
    <n v="13"/>
    <x v="20"/>
    <x v="9"/>
    <s v="cashloan"/>
    <n v="0"/>
  </r>
  <r>
    <x v="462"/>
    <x v="1"/>
    <x v="3"/>
    <n v="15"/>
    <n v="13"/>
    <x v="1"/>
    <x v="1"/>
    <s v="cashloan"/>
    <n v="0"/>
  </r>
  <r>
    <x v="462"/>
    <x v="1"/>
    <x v="3"/>
    <n v="15"/>
    <n v="13"/>
    <x v="21"/>
    <x v="9"/>
    <s v="cashloan"/>
    <n v="0"/>
  </r>
  <r>
    <x v="462"/>
    <x v="1"/>
    <x v="3"/>
    <n v="15"/>
    <n v="13"/>
    <x v="6"/>
    <x v="6"/>
    <s v="payday"/>
    <n v="52000000"/>
  </r>
  <r>
    <x v="462"/>
    <x v="1"/>
    <x v="3"/>
    <n v="15"/>
    <n v="13"/>
    <x v="23"/>
    <x v="17"/>
    <s v="paylater"/>
    <n v="0"/>
  </r>
  <r>
    <x v="462"/>
    <x v="1"/>
    <x v="3"/>
    <n v="15"/>
    <n v="13"/>
    <x v="3"/>
    <x v="3"/>
    <s v="cashloan"/>
    <n v="0"/>
  </r>
  <r>
    <x v="462"/>
    <x v="1"/>
    <x v="3"/>
    <n v="15"/>
    <n v="13"/>
    <x v="18"/>
    <x v="15"/>
    <s v="cashloan"/>
    <n v="256280000"/>
  </r>
  <r>
    <x v="462"/>
    <x v="1"/>
    <x v="3"/>
    <n v="15"/>
    <n v="13"/>
    <x v="12"/>
    <x v="11"/>
    <s v="cashloan"/>
    <n v="5512280000"/>
  </r>
  <r>
    <x v="462"/>
    <x v="1"/>
    <x v="3"/>
    <n v="15"/>
    <n v="13"/>
    <x v="19"/>
    <x v="12"/>
    <s v="paylater"/>
    <n v="335306680"/>
  </r>
  <r>
    <x v="462"/>
    <x v="1"/>
    <x v="3"/>
    <n v="15"/>
    <n v="13"/>
    <x v="11"/>
    <x v="10"/>
    <s v="paylater"/>
    <n v="151986707"/>
  </r>
  <r>
    <x v="462"/>
    <x v="1"/>
    <x v="3"/>
    <n v="15"/>
    <n v="13"/>
    <x v="0"/>
    <x v="0"/>
    <s v="payday"/>
    <n v="5319324000"/>
  </r>
  <r>
    <x v="463"/>
    <x v="1"/>
    <x v="3"/>
    <n v="16"/>
    <n v="14"/>
    <x v="0"/>
    <x v="0"/>
    <s v="payday"/>
    <n v="5722380000"/>
  </r>
  <r>
    <x v="463"/>
    <x v="1"/>
    <x v="3"/>
    <n v="16"/>
    <n v="14"/>
    <x v="7"/>
    <x v="7"/>
    <s v="paylater"/>
    <n v="389040567"/>
  </r>
  <r>
    <x v="463"/>
    <x v="1"/>
    <x v="3"/>
    <n v="16"/>
    <n v="14"/>
    <x v="2"/>
    <x v="2"/>
    <s v="cashloan"/>
    <n v="8827100000"/>
  </r>
  <r>
    <x v="463"/>
    <x v="1"/>
    <x v="3"/>
    <n v="16"/>
    <n v="14"/>
    <x v="12"/>
    <x v="11"/>
    <s v="cashloan"/>
    <n v="7854950000"/>
  </r>
  <r>
    <x v="463"/>
    <x v="1"/>
    <x v="3"/>
    <n v="16"/>
    <n v="14"/>
    <x v="11"/>
    <x v="10"/>
    <s v="paylater"/>
    <n v="156424995"/>
  </r>
  <r>
    <x v="463"/>
    <x v="1"/>
    <x v="3"/>
    <n v="16"/>
    <n v="14"/>
    <x v="23"/>
    <x v="17"/>
    <s v="paylater"/>
    <n v="0"/>
  </r>
  <r>
    <x v="463"/>
    <x v="1"/>
    <x v="3"/>
    <n v="16"/>
    <n v="14"/>
    <x v="20"/>
    <x v="9"/>
    <s v="cashloan"/>
    <n v="0"/>
  </r>
  <r>
    <x v="463"/>
    <x v="1"/>
    <x v="3"/>
    <n v="16"/>
    <n v="14"/>
    <x v="22"/>
    <x v="16"/>
    <s v="cashloan"/>
    <n v="0"/>
  </r>
  <r>
    <x v="463"/>
    <x v="1"/>
    <x v="3"/>
    <n v="16"/>
    <n v="14"/>
    <x v="19"/>
    <x v="12"/>
    <s v="paylater"/>
    <n v="352445822"/>
  </r>
  <r>
    <x v="463"/>
    <x v="1"/>
    <x v="3"/>
    <n v="16"/>
    <n v="14"/>
    <x v="5"/>
    <x v="5"/>
    <s v="overdraft"/>
    <n v="3968664693"/>
  </r>
  <r>
    <x v="463"/>
    <x v="1"/>
    <x v="3"/>
    <n v="16"/>
    <n v="14"/>
    <x v="24"/>
    <x v="18"/>
    <s v="cashloan"/>
    <n v="0"/>
  </r>
  <r>
    <x v="463"/>
    <x v="1"/>
    <x v="3"/>
    <n v="16"/>
    <n v="14"/>
    <x v="15"/>
    <x v="14"/>
    <s v="paylater"/>
    <n v="13578805"/>
  </r>
  <r>
    <x v="463"/>
    <x v="1"/>
    <x v="3"/>
    <n v="16"/>
    <n v="14"/>
    <x v="1"/>
    <x v="1"/>
    <s v="cashloan"/>
    <n v="36000000"/>
  </r>
  <r>
    <x v="463"/>
    <x v="1"/>
    <x v="3"/>
    <n v="16"/>
    <n v="14"/>
    <x v="17"/>
    <x v="9"/>
    <s v="cashloan"/>
    <n v="0"/>
  </r>
  <r>
    <x v="463"/>
    <x v="1"/>
    <x v="3"/>
    <n v="16"/>
    <n v="14"/>
    <x v="21"/>
    <x v="9"/>
    <s v="cashloan"/>
    <n v="0"/>
  </r>
  <r>
    <x v="463"/>
    <x v="1"/>
    <x v="3"/>
    <n v="16"/>
    <n v="14"/>
    <x v="6"/>
    <x v="6"/>
    <s v="payday"/>
    <n v="30000000"/>
  </r>
  <r>
    <x v="463"/>
    <x v="1"/>
    <x v="3"/>
    <n v="16"/>
    <n v="14"/>
    <x v="3"/>
    <x v="3"/>
    <s v="cashloan"/>
    <n v="0"/>
  </r>
  <r>
    <x v="463"/>
    <x v="1"/>
    <x v="3"/>
    <n v="16"/>
    <n v="14"/>
    <x v="18"/>
    <x v="15"/>
    <s v="cashloan"/>
    <n v="421860000"/>
  </r>
  <r>
    <x v="463"/>
    <x v="1"/>
    <x v="3"/>
    <n v="16"/>
    <n v="14"/>
    <x v="14"/>
    <x v="13"/>
    <s v="cashloan"/>
    <n v="1201290000"/>
  </r>
  <r>
    <x v="464"/>
    <x v="1"/>
    <x v="3"/>
    <n v="16"/>
    <n v="15"/>
    <x v="1"/>
    <x v="1"/>
    <s v="cashloan"/>
    <n v="41000000"/>
  </r>
  <r>
    <x v="464"/>
    <x v="1"/>
    <x v="3"/>
    <n v="16"/>
    <n v="15"/>
    <x v="0"/>
    <x v="0"/>
    <s v="payday"/>
    <n v="6306660000"/>
  </r>
  <r>
    <x v="464"/>
    <x v="1"/>
    <x v="3"/>
    <n v="16"/>
    <n v="15"/>
    <x v="2"/>
    <x v="2"/>
    <s v="cashloan"/>
    <n v="8957020000"/>
  </r>
  <r>
    <x v="464"/>
    <x v="1"/>
    <x v="3"/>
    <n v="16"/>
    <n v="15"/>
    <x v="22"/>
    <x v="16"/>
    <s v="cashloan"/>
    <n v="18900000"/>
  </r>
  <r>
    <x v="464"/>
    <x v="1"/>
    <x v="3"/>
    <n v="16"/>
    <n v="15"/>
    <x v="24"/>
    <x v="18"/>
    <s v="cashloan"/>
    <n v="0"/>
  </r>
  <r>
    <x v="464"/>
    <x v="1"/>
    <x v="3"/>
    <n v="16"/>
    <n v="15"/>
    <x v="15"/>
    <x v="14"/>
    <s v="paylater"/>
    <n v="20257691"/>
  </r>
  <r>
    <x v="464"/>
    <x v="1"/>
    <x v="3"/>
    <n v="16"/>
    <n v="15"/>
    <x v="20"/>
    <x v="9"/>
    <s v="cashloan"/>
    <n v="0"/>
  </r>
  <r>
    <x v="464"/>
    <x v="1"/>
    <x v="3"/>
    <n v="16"/>
    <n v="15"/>
    <x v="17"/>
    <x v="9"/>
    <s v="cashloan"/>
    <n v="0"/>
  </r>
  <r>
    <x v="464"/>
    <x v="1"/>
    <x v="3"/>
    <n v="16"/>
    <n v="15"/>
    <x v="21"/>
    <x v="9"/>
    <s v="cashloan"/>
    <n v="0"/>
  </r>
  <r>
    <x v="464"/>
    <x v="1"/>
    <x v="3"/>
    <n v="16"/>
    <n v="15"/>
    <x v="6"/>
    <x v="6"/>
    <s v="payday"/>
    <n v="63000000"/>
  </r>
  <r>
    <x v="464"/>
    <x v="1"/>
    <x v="3"/>
    <n v="16"/>
    <n v="15"/>
    <x v="23"/>
    <x v="17"/>
    <s v="paylater"/>
    <n v="0"/>
  </r>
  <r>
    <x v="464"/>
    <x v="1"/>
    <x v="3"/>
    <n v="16"/>
    <n v="15"/>
    <x v="3"/>
    <x v="3"/>
    <s v="cashloan"/>
    <n v="0"/>
  </r>
  <r>
    <x v="464"/>
    <x v="1"/>
    <x v="3"/>
    <n v="16"/>
    <n v="15"/>
    <x v="18"/>
    <x v="15"/>
    <s v="cashloan"/>
    <n v="563020000"/>
  </r>
  <r>
    <x v="464"/>
    <x v="1"/>
    <x v="3"/>
    <n v="16"/>
    <n v="15"/>
    <x v="14"/>
    <x v="13"/>
    <s v="cashloan"/>
    <n v="1075990000"/>
  </r>
  <r>
    <x v="464"/>
    <x v="1"/>
    <x v="3"/>
    <n v="16"/>
    <n v="15"/>
    <x v="19"/>
    <x v="12"/>
    <s v="paylater"/>
    <n v="381486768"/>
  </r>
  <r>
    <x v="464"/>
    <x v="1"/>
    <x v="3"/>
    <n v="16"/>
    <n v="15"/>
    <x v="11"/>
    <x v="10"/>
    <s v="paylater"/>
    <n v="146445425"/>
  </r>
  <r>
    <x v="464"/>
    <x v="1"/>
    <x v="3"/>
    <n v="16"/>
    <n v="15"/>
    <x v="7"/>
    <x v="7"/>
    <s v="paylater"/>
    <n v="343714923"/>
  </r>
  <r>
    <x v="464"/>
    <x v="1"/>
    <x v="3"/>
    <n v="16"/>
    <n v="15"/>
    <x v="5"/>
    <x v="5"/>
    <s v="overdraft"/>
    <n v="3960009740"/>
  </r>
  <r>
    <x v="464"/>
    <x v="1"/>
    <x v="3"/>
    <n v="16"/>
    <n v="15"/>
    <x v="12"/>
    <x v="11"/>
    <s v="cashloan"/>
    <n v="7944670000"/>
  </r>
  <r>
    <x v="465"/>
    <x v="1"/>
    <x v="3"/>
    <n v="16"/>
    <n v="16"/>
    <x v="17"/>
    <x v="9"/>
    <s v="cashloan"/>
    <n v="21400000"/>
  </r>
  <r>
    <x v="465"/>
    <x v="1"/>
    <x v="3"/>
    <n v="16"/>
    <n v="16"/>
    <x v="15"/>
    <x v="14"/>
    <s v="paylater"/>
    <n v="15336735"/>
  </r>
  <r>
    <x v="465"/>
    <x v="1"/>
    <x v="3"/>
    <n v="16"/>
    <n v="16"/>
    <x v="1"/>
    <x v="1"/>
    <s v="cashloan"/>
    <n v="0"/>
  </r>
  <r>
    <x v="465"/>
    <x v="1"/>
    <x v="3"/>
    <n v="16"/>
    <n v="16"/>
    <x v="22"/>
    <x v="16"/>
    <s v="cashloan"/>
    <n v="0"/>
  </r>
  <r>
    <x v="465"/>
    <x v="1"/>
    <x v="3"/>
    <n v="16"/>
    <n v="16"/>
    <x v="0"/>
    <x v="0"/>
    <s v="payday"/>
    <n v="6174360000"/>
  </r>
  <r>
    <x v="465"/>
    <x v="1"/>
    <x v="3"/>
    <n v="16"/>
    <n v="16"/>
    <x v="6"/>
    <x v="6"/>
    <s v="payday"/>
    <n v="47000000"/>
  </r>
  <r>
    <x v="465"/>
    <x v="1"/>
    <x v="3"/>
    <n v="16"/>
    <n v="16"/>
    <x v="20"/>
    <x v="9"/>
    <s v="cashloan"/>
    <n v="0"/>
  </r>
  <r>
    <x v="465"/>
    <x v="1"/>
    <x v="3"/>
    <n v="16"/>
    <n v="16"/>
    <x v="21"/>
    <x v="9"/>
    <s v="cashloan"/>
    <n v="0"/>
  </r>
  <r>
    <x v="465"/>
    <x v="1"/>
    <x v="3"/>
    <n v="16"/>
    <n v="16"/>
    <x v="23"/>
    <x v="17"/>
    <s v="paylater"/>
    <n v="0"/>
  </r>
  <r>
    <x v="465"/>
    <x v="1"/>
    <x v="3"/>
    <n v="16"/>
    <n v="16"/>
    <x v="24"/>
    <x v="18"/>
    <s v="cashloan"/>
    <n v="0"/>
  </r>
  <r>
    <x v="465"/>
    <x v="1"/>
    <x v="3"/>
    <n v="16"/>
    <n v="16"/>
    <x v="19"/>
    <x v="12"/>
    <s v="paylater"/>
    <n v="240458821"/>
  </r>
  <r>
    <x v="465"/>
    <x v="1"/>
    <x v="3"/>
    <n v="16"/>
    <n v="16"/>
    <x v="11"/>
    <x v="10"/>
    <s v="paylater"/>
    <n v="119902845"/>
  </r>
  <r>
    <x v="465"/>
    <x v="1"/>
    <x v="3"/>
    <n v="16"/>
    <n v="16"/>
    <x v="7"/>
    <x v="7"/>
    <s v="paylater"/>
    <n v="384128546"/>
  </r>
  <r>
    <x v="465"/>
    <x v="1"/>
    <x v="3"/>
    <n v="16"/>
    <n v="16"/>
    <x v="12"/>
    <x v="11"/>
    <s v="cashloan"/>
    <n v="7415600000"/>
  </r>
  <r>
    <x v="465"/>
    <x v="1"/>
    <x v="3"/>
    <n v="16"/>
    <n v="16"/>
    <x v="2"/>
    <x v="2"/>
    <s v="cashloan"/>
    <n v="10294720000"/>
  </r>
  <r>
    <x v="465"/>
    <x v="1"/>
    <x v="3"/>
    <n v="16"/>
    <n v="16"/>
    <x v="3"/>
    <x v="3"/>
    <s v="cashloan"/>
    <n v="0"/>
  </r>
  <r>
    <x v="465"/>
    <x v="1"/>
    <x v="3"/>
    <n v="16"/>
    <n v="16"/>
    <x v="5"/>
    <x v="5"/>
    <s v="overdraft"/>
    <n v="3404759848"/>
  </r>
  <r>
    <x v="465"/>
    <x v="1"/>
    <x v="3"/>
    <n v="16"/>
    <n v="16"/>
    <x v="18"/>
    <x v="15"/>
    <s v="cashloan"/>
    <n v="492160000"/>
  </r>
  <r>
    <x v="465"/>
    <x v="1"/>
    <x v="3"/>
    <n v="16"/>
    <n v="16"/>
    <x v="14"/>
    <x v="13"/>
    <s v="cashloan"/>
    <n v="1372160000"/>
  </r>
  <r>
    <x v="466"/>
    <x v="1"/>
    <x v="3"/>
    <n v="16"/>
    <n v="17"/>
    <x v="0"/>
    <x v="0"/>
    <s v="payday"/>
    <n v="5907816000"/>
  </r>
  <r>
    <x v="466"/>
    <x v="1"/>
    <x v="3"/>
    <n v="16"/>
    <n v="17"/>
    <x v="2"/>
    <x v="2"/>
    <s v="cashloan"/>
    <n v="10032770000"/>
  </r>
  <r>
    <x v="466"/>
    <x v="1"/>
    <x v="3"/>
    <n v="16"/>
    <n v="17"/>
    <x v="18"/>
    <x v="15"/>
    <s v="cashloan"/>
    <n v="393780000"/>
  </r>
  <r>
    <x v="466"/>
    <x v="1"/>
    <x v="3"/>
    <n v="16"/>
    <n v="17"/>
    <x v="22"/>
    <x v="16"/>
    <s v="cashloan"/>
    <n v="0"/>
  </r>
  <r>
    <x v="466"/>
    <x v="1"/>
    <x v="3"/>
    <n v="16"/>
    <n v="17"/>
    <x v="14"/>
    <x v="13"/>
    <s v="cashloan"/>
    <n v="1161070000"/>
  </r>
  <r>
    <x v="466"/>
    <x v="1"/>
    <x v="3"/>
    <n v="16"/>
    <n v="17"/>
    <x v="24"/>
    <x v="18"/>
    <s v="cashloan"/>
    <n v="0"/>
  </r>
  <r>
    <x v="466"/>
    <x v="1"/>
    <x v="3"/>
    <n v="16"/>
    <n v="17"/>
    <x v="15"/>
    <x v="14"/>
    <s v="paylater"/>
    <n v="14915490"/>
  </r>
  <r>
    <x v="466"/>
    <x v="1"/>
    <x v="3"/>
    <n v="16"/>
    <n v="17"/>
    <x v="5"/>
    <x v="5"/>
    <s v="overdraft"/>
    <n v="3418303742"/>
  </r>
  <r>
    <x v="466"/>
    <x v="1"/>
    <x v="3"/>
    <n v="16"/>
    <n v="17"/>
    <x v="20"/>
    <x v="9"/>
    <s v="cashloan"/>
    <n v="0"/>
  </r>
  <r>
    <x v="466"/>
    <x v="1"/>
    <x v="3"/>
    <n v="16"/>
    <n v="17"/>
    <x v="17"/>
    <x v="9"/>
    <s v="cashloan"/>
    <n v="0"/>
  </r>
  <r>
    <x v="466"/>
    <x v="1"/>
    <x v="3"/>
    <n v="16"/>
    <n v="17"/>
    <x v="21"/>
    <x v="9"/>
    <s v="cashloan"/>
    <n v="0"/>
  </r>
  <r>
    <x v="466"/>
    <x v="1"/>
    <x v="3"/>
    <n v="16"/>
    <n v="17"/>
    <x v="6"/>
    <x v="6"/>
    <s v="payday"/>
    <n v="78000000"/>
  </r>
  <r>
    <x v="466"/>
    <x v="1"/>
    <x v="3"/>
    <n v="16"/>
    <n v="17"/>
    <x v="23"/>
    <x v="17"/>
    <s v="paylater"/>
    <n v="0"/>
  </r>
  <r>
    <x v="466"/>
    <x v="1"/>
    <x v="3"/>
    <n v="16"/>
    <n v="17"/>
    <x v="3"/>
    <x v="3"/>
    <s v="cashloan"/>
    <n v="0"/>
  </r>
  <r>
    <x v="466"/>
    <x v="1"/>
    <x v="3"/>
    <n v="16"/>
    <n v="17"/>
    <x v="12"/>
    <x v="11"/>
    <s v="cashloan"/>
    <n v="8904790000"/>
  </r>
  <r>
    <x v="466"/>
    <x v="1"/>
    <x v="3"/>
    <n v="16"/>
    <n v="17"/>
    <x v="1"/>
    <x v="1"/>
    <s v="cashloan"/>
    <n v="68250000"/>
  </r>
  <r>
    <x v="466"/>
    <x v="1"/>
    <x v="3"/>
    <n v="16"/>
    <n v="17"/>
    <x v="19"/>
    <x v="12"/>
    <s v="paylater"/>
    <n v="287175786"/>
  </r>
  <r>
    <x v="466"/>
    <x v="1"/>
    <x v="3"/>
    <n v="16"/>
    <n v="17"/>
    <x v="11"/>
    <x v="10"/>
    <s v="paylater"/>
    <n v="145231950"/>
  </r>
  <r>
    <x v="466"/>
    <x v="1"/>
    <x v="3"/>
    <n v="16"/>
    <n v="17"/>
    <x v="7"/>
    <x v="7"/>
    <s v="paylater"/>
    <n v="346117820"/>
  </r>
  <r>
    <x v="467"/>
    <x v="1"/>
    <x v="3"/>
    <n v="16"/>
    <n v="18"/>
    <x v="12"/>
    <x v="11"/>
    <s v="cashloan"/>
    <n v="6855070000"/>
  </r>
  <r>
    <x v="467"/>
    <x v="1"/>
    <x v="3"/>
    <n v="16"/>
    <n v="18"/>
    <x v="22"/>
    <x v="16"/>
    <s v="cashloan"/>
    <n v="0"/>
  </r>
  <r>
    <x v="467"/>
    <x v="1"/>
    <x v="3"/>
    <n v="16"/>
    <n v="18"/>
    <x v="24"/>
    <x v="18"/>
    <s v="cashloan"/>
    <n v="0"/>
  </r>
  <r>
    <x v="467"/>
    <x v="1"/>
    <x v="3"/>
    <n v="16"/>
    <n v="18"/>
    <x v="1"/>
    <x v="1"/>
    <s v="cashloan"/>
    <n v="44100000"/>
  </r>
  <r>
    <x v="467"/>
    <x v="1"/>
    <x v="3"/>
    <n v="16"/>
    <n v="18"/>
    <x v="20"/>
    <x v="9"/>
    <s v="cashloan"/>
    <n v="0"/>
  </r>
  <r>
    <x v="467"/>
    <x v="1"/>
    <x v="3"/>
    <n v="16"/>
    <n v="18"/>
    <x v="17"/>
    <x v="9"/>
    <s v="cashloan"/>
    <n v="0"/>
  </r>
  <r>
    <x v="467"/>
    <x v="1"/>
    <x v="3"/>
    <n v="16"/>
    <n v="18"/>
    <x v="21"/>
    <x v="9"/>
    <s v="cashloan"/>
    <n v="0"/>
  </r>
  <r>
    <x v="467"/>
    <x v="1"/>
    <x v="3"/>
    <n v="16"/>
    <n v="18"/>
    <x v="6"/>
    <x v="6"/>
    <s v="payday"/>
    <n v="36000000"/>
  </r>
  <r>
    <x v="467"/>
    <x v="1"/>
    <x v="3"/>
    <n v="16"/>
    <n v="18"/>
    <x v="23"/>
    <x v="17"/>
    <s v="paylater"/>
    <n v="0"/>
  </r>
  <r>
    <x v="467"/>
    <x v="1"/>
    <x v="3"/>
    <n v="16"/>
    <n v="18"/>
    <x v="3"/>
    <x v="3"/>
    <s v="cashloan"/>
    <n v="0"/>
  </r>
  <r>
    <x v="467"/>
    <x v="1"/>
    <x v="3"/>
    <n v="16"/>
    <n v="18"/>
    <x v="15"/>
    <x v="14"/>
    <s v="paylater"/>
    <n v="12678918"/>
  </r>
  <r>
    <x v="467"/>
    <x v="1"/>
    <x v="3"/>
    <n v="16"/>
    <n v="18"/>
    <x v="18"/>
    <x v="15"/>
    <s v="cashloan"/>
    <n v="234730000"/>
  </r>
  <r>
    <x v="467"/>
    <x v="1"/>
    <x v="3"/>
    <n v="16"/>
    <n v="18"/>
    <x v="14"/>
    <x v="13"/>
    <s v="cashloan"/>
    <n v="866140000"/>
  </r>
  <r>
    <x v="467"/>
    <x v="1"/>
    <x v="3"/>
    <n v="16"/>
    <n v="18"/>
    <x v="19"/>
    <x v="12"/>
    <s v="paylater"/>
    <n v="247179311"/>
  </r>
  <r>
    <x v="467"/>
    <x v="1"/>
    <x v="3"/>
    <n v="16"/>
    <n v="18"/>
    <x v="11"/>
    <x v="10"/>
    <s v="paylater"/>
    <n v="131032309"/>
  </r>
  <r>
    <x v="467"/>
    <x v="1"/>
    <x v="3"/>
    <n v="16"/>
    <n v="18"/>
    <x v="7"/>
    <x v="7"/>
    <s v="paylater"/>
    <n v="304296674"/>
  </r>
  <r>
    <x v="467"/>
    <x v="1"/>
    <x v="3"/>
    <n v="16"/>
    <n v="18"/>
    <x v="5"/>
    <x v="5"/>
    <s v="overdraft"/>
    <n v="3129491517"/>
  </r>
  <r>
    <x v="467"/>
    <x v="1"/>
    <x v="3"/>
    <n v="16"/>
    <n v="18"/>
    <x v="0"/>
    <x v="0"/>
    <s v="payday"/>
    <n v="5510160000"/>
  </r>
  <r>
    <x v="467"/>
    <x v="1"/>
    <x v="3"/>
    <n v="16"/>
    <n v="18"/>
    <x v="2"/>
    <x v="2"/>
    <s v="cashloan"/>
    <n v="9416430000"/>
  </r>
  <r>
    <x v="468"/>
    <x v="1"/>
    <x v="3"/>
    <n v="16"/>
    <n v="19"/>
    <x v="12"/>
    <x v="11"/>
    <s v="cashloan"/>
    <n v="7199100000"/>
  </r>
  <r>
    <x v="468"/>
    <x v="1"/>
    <x v="3"/>
    <n v="16"/>
    <n v="19"/>
    <x v="0"/>
    <x v="0"/>
    <s v="payday"/>
    <n v="5253768000"/>
  </r>
  <r>
    <x v="468"/>
    <x v="1"/>
    <x v="3"/>
    <n v="16"/>
    <n v="19"/>
    <x v="2"/>
    <x v="2"/>
    <s v="cashloan"/>
    <n v="7857060000"/>
  </r>
  <r>
    <x v="468"/>
    <x v="1"/>
    <x v="3"/>
    <n v="16"/>
    <n v="19"/>
    <x v="1"/>
    <x v="1"/>
    <s v="cashloan"/>
    <n v="31550000"/>
  </r>
  <r>
    <x v="468"/>
    <x v="1"/>
    <x v="3"/>
    <n v="16"/>
    <n v="19"/>
    <x v="7"/>
    <x v="7"/>
    <s v="paylater"/>
    <n v="310943402"/>
  </r>
  <r>
    <x v="468"/>
    <x v="1"/>
    <x v="3"/>
    <n v="16"/>
    <n v="19"/>
    <x v="22"/>
    <x v="16"/>
    <s v="cashloan"/>
    <n v="0"/>
  </r>
  <r>
    <x v="468"/>
    <x v="1"/>
    <x v="3"/>
    <n v="16"/>
    <n v="19"/>
    <x v="24"/>
    <x v="18"/>
    <s v="cashloan"/>
    <n v="0"/>
  </r>
  <r>
    <x v="468"/>
    <x v="1"/>
    <x v="3"/>
    <n v="16"/>
    <n v="19"/>
    <x v="5"/>
    <x v="5"/>
    <s v="overdraft"/>
    <n v="3077404452"/>
  </r>
  <r>
    <x v="468"/>
    <x v="1"/>
    <x v="3"/>
    <n v="16"/>
    <n v="19"/>
    <x v="20"/>
    <x v="9"/>
    <s v="cashloan"/>
    <n v="0"/>
  </r>
  <r>
    <x v="468"/>
    <x v="1"/>
    <x v="3"/>
    <n v="16"/>
    <n v="19"/>
    <x v="17"/>
    <x v="9"/>
    <s v="cashloan"/>
    <n v="21400000"/>
  </r>
  <r>
    <x v="468"/>
    <x v="1"/>
    <x v="3"/>
    <n v="16"/>
    <n v="19"/>
    <x v="21"/>
    <x v="9"/>
    <s v="cashloan"/>
    <n v="0"/>
  </r>
  <r>
    <x v="468"/>
    <x v="1"/>
    <x v="3"/>
    <n v="16"/>
    <n v="19"/>
    <x v="6"/>
    <x v="6"/>
    <s v="payday"/>
    <n v="51000000"/>
  </r>
  <r>
    <x v="468"/>
    <x v="1"/>
    <x v="3"/>
    <n v="16"/>
    <n v="19"/>
    <x v="15"/>
    <x v="14"/>
    <s v="paylater"/>
    <n v="10612073"/>
  </r>
  <r>
    <x v="468"/>
    <x v="1"/>
    <x v="3"/>
    <n v="16"/>
    <n v="19"/>
    <x v="23"/>
    <x v="17"/>
    <s v="paylater"/>
    <n v="0"/>
  </r>
  <r>
    <x v="468"/>
    <x v="1"/>
    <x v="3"/>
    <n v="16"/>
    <n v="19"/>
    <x v="3"/>
    <x v="3"/>
    <s v="cashloan"/>
    <n v="0"/>
  </r>
  <r>
    <x v="468"/>
    <x v="1"/>
    <x v="3"/>
    <n v="16"/>
    <n v="19"/>
    <x v="18"/>
    <x v="15"/>
    <s v="cashloan"/>
    <n v="209040000"/>
  </r>
  <r>
    <x v="468"/>
    <x v="1"/>
    <x v="3"/>
    <n v="16"/>
    <n v="19"/>
    <x v="14"/>
    <x v="13"/>
    <s v="cashloan"/>
    <n v="922010000"/>
  </r>
  <r>
    <x v="468"/>
    <x v="1"/>
    <x v="3"/>
    <n v="16"/>
    <n v="19"/>
    <x v="11"/>
    <x v="10"/>
    <s v="paylater"/>
    <n v="150084721"/>
  </r>
  <r>
    <x v="468"/>
    <x v="1"/>
    <x v="3"/>
    <n v="16"/>
    <n v="19"/>
    <x v="19"/>
    <x v="12"/>
    <s v="paylater"/>
    <n v="256790031"/>
  </r>
  <r>
    <x v="469"/>
    <x v="1"/>
    <x v="3"/>
    <n v="16"/>
    <n v="20"/>
    <x v="20"/>
    <x v="9"/>
    <s v="cashloan"/>
    <n v="0"/>
  </r>
  <r>
    <x v="469"/>
    <x v="1"/>
    <x v="3"/>
    <n v="16"/>
    <n v="20"/>
    <x v="5"/>
    <x v="5"/>
    <s v="overdraft"/>
    <n v="3256663936"/>
  </r>
  <r>
    <x v="469"/>
    <x v="1"/>
    <x v="3"/>
    <n v="16"/>
    <n v="20"/>
    <x v="0"/>
    <x v="0"/>
    <s v="payday"/>
    <n v="5500548000"/>
  </r>
  <r>
    <x v="469"/>
    <x v="1"/>
    <x v="3"/>
    <n v="16"/>
    <n v="20"/>
    <x v="6"/>
    <x v="6"/>
    <s v="payday"/>
    <n v="48000000"/>
  </r>
  <r>
    <x v="469"/>
    <x v="1"/>
    <x v="3"/>
    <n v="16"/>
    <n v="20"/>
    <x v="22"/>
    <x v="16"/>
    <s v="cashloan"/>
    <n v="0"/>
  </r>
  <r>
    <x v="469"/>
    <x v="1"/>
    <x v="3"/>
    <n v="16"/>
    <n v="20"/>
    <x v="21"/>
    <x v="9"/>
    <s v="cashloan"/>
    <n v="0"/>
  </r>
  <r>
    <x v="469"/>
    <x v="1"/>
    <x v="3"/>
    <n v="16"/>
    <n v="20"/>
    <x v="23"/>
    <x v="17"/>
    <s v="paylater"/>
    <n v="0"/>
  </r>
  <r>
    <x v="469"/>
    <x v="1"/>
    <x v="3"/>
    <n v="16"/>
    <n v="20"/>
    <x v="24"/>
    <x v="18"/>
    <s v="cashloan"/>
    <n v="0"/>
  </r>
  <r>
    <x v="469"/>
    <x v="1"/>
    <x v="3"/>
    <n v="16"/>
    <n v="20"/>
    <x v="15"/>
    <x v="14"/>
    <s v="paylater"/>
    <n v="675000"/>
  </r>
  <r>
    <x v="469"/>
    <x v="1"/>
    <x v="3"/>
    <n v="16"/>
    <n v="20"/>
    <x v="1"/>
    <x v="1"/>
    <s v="cashloan"/>
    <n v="31500000"/>
  </r>
  <r>
    <x v="469"/>
    <x v="1"/>
    <x v="3"/>
    <n v="16"/>
    <n v="20"/>
    <x v="2"/>
    <x v="2"/>
    <s v="cashloan"/>
    <n v="7492680000"/>
  </r>
  <r>
    <x v="469"/>
    <x v="1"/>
    <x v="3"/>
    <n v="16"/>
    <n v="20"/>
    <x v="17"/>
    <x v="9"/>
    <s v="cashloan"/>
    <n v="0"/>
  </r>
  <r>
    <x v="469"/>
    <x v="1"/>
    <x v="3"/>
    <n v="16"/>
    <n v="20"/>
    <x v="3"/>
    <x v="3"/>
    <s v="cashloan"/>
    <n v="21000000"/>
  </r>
  <r>
    <x v="469"/>
    <x v="1"/>
    <x v="3"/>
    <n v="16"/>
    <n v="20"/>
    <x v="18"/>
    <x v="15"/>
    <s v="cashloan"/>
    <n v="191060000"/>
  </r>
  <r>
    <x v="469"/>
    <x v="1"/>
    <x v="3"/>
    <n v="16"/>
    <n v="20"/>
    <x v="14"/>
    <x v="13"/>
    <s v="cashloan"/>
    <n v="1094610000"/>
  </r>
  <r>
    <x v="469"/>
    <x v="1"/>
    <x v="3"/>
    <n v="16"/>
    <n v="20"/>
    <x v="19"/>
    <x v="12"/>
    <s v="paylater"/>
    <n v="280474355"/>
  </r>
  <r>
    <x v="469"/>
    <x v="1"/>
    <x v="3"/>
    <n v="16"/>
    <n v="20"/>
    <x v="11"/>
    <x v="10"/>
    <s v="paylater"/>
    <n v="162044006"/>
  </r>
  <r>
    <x v="469"/>
    <x v="1"/>
    <x v="3"/>
    <n v="16"/>
    <n v="20"/>
    <x v="7"/>
    <x v="7"/>
    <s v="paylater"/>
    <n v="313477792"/>
  </r>
  <r>
    <x v="469"/>
    <x v="1"/>
    <x v="3"/>
    <n v="16"/>
    <n v="20"/>
    <x v="12"/>
    <x v="11"/>
    <s v="cashloan"/>
    <n v="6609130000"/>
  </r>
  <r>
    <x v="470"/>
    <x v="1"/>
    <x v="3"/>
    <n v="17"/>
    <n v="21"/>
    <x v="14"/>
    <x v="13"/>
    <s v="cashloan"/>
    <n v="908030000"/>
  </r>
  <r>
    <x v="470"/>
    <x v="1"/>
    <x v="3"/>
    <n v="17"/>
    <n v="21"/>
    <x v="24"/>
    <x v="18"/>
    <s v="cashloan"/>
    <n v="0"/>
  </r>
  <r>
    <x v="470"/>
    <x v="1"/>
    <x v="3"/>
    <n v="17"/>
    <n v="21"/>
    <x v="7"/>
    <x v="7"/>
    <s v="paylater"/>
    <n v="393260165"/>
  </r>
  <r>
    <x v="470"/>
    <x v="1"/>
    <x v="3"/>
    <n v="17"/>
    <n v="21"/>
    <x v="22"/>
    <x v="16"/>
    <s v="cashloan"/>
    <n v="0"/>
  </r>
  <r>
    <x v="470"/>
    <x v="1"/>
    <x v="3"/>
    <n v="17"/>
    <n v="21"/>
    <x v="15"/>
    <x v="14"/>
    <s v="paylater"/>
    <n v="27734254"/>
  </r>
  <r>
    <x v="470"/>
    <x v="1"/>
    <x v="3"/>
    <n v="17"/>
    <n v="21"/>
    <x v="5"/>
    <x v="5"/>
    <s v="overdraft"/>
    <n v="3928480974"/>
  </r>
  <r>
    <x v="470"/>
    <x v="1"/>
    <x v="3"/>
    <n v="17"/>
    <n v="21"/>
    <x v="20"/>
    <x v="9"/>
    <s v="cashloan"/>
    <n v="0"/>
  </r>
  <r>
    <x v="470"/>
    <x v="1"/>
    <x v="3"/>
    <n v="17"/>
    <n v="21"/>
    <x v="17"/>
    <x v="9"/>
    <s v="cashloan"/>
    <n v="0"/>
  </r>
  <r>
    <x v="470"/>
    <x v="1"/>
    <x v="3"/>
    <n v="17"/>
    <n v="21"/>
    <x v="21"/>
    <x v="9"/>
    <s v="cashloan"/>
    <n v="0"/>
  </r>
  <r>
    <x v="470"/>
    <x v="1"/>
    <x v="3"/>
    <n v="17"/>
    <n v="21"/>
    <x v="6"/>
    <x v="6"/>
    <s v="payday"/>
    <n v="124000000"/>
  </r>
  <r>
    <x v="470"/>
    <x v="1"/>
    <x v="3"/>
    <n v="17"/>
    <n v="21"/>
    <x v="23"/>
    <x v="17"/>
    <s v="paylater"/>
    <n v="0"/>
  </r>
  <r>
    <x v="470"/>
    <x v="1"/>
    <x v="3"/>
    <n v="17"/>
    <n v="21"/>
    <x v="3"/>
    <x v="3"/>
    <s v="cashloan"/>
    <n v="0"/>
  </r>
  <r>
    <x v="470"/>
    <x v="1"/>
    <x v="3"/>
    <n v="17"/>
    <n v="21"/>
    <x v="18"/>
    <x v="15"/>
    <s v="cashloan"/>
    <n v="637280000"/>
  </r>
  <r>
    <x v="470"/>
    <x v="1"/>
    <x v="3"/>
    <n v="17"/>
    <n v="21"/>
    <x v="12"/>
    <x v="11"/>
    <s v="cashloan"/>
    <n v="6380590000"/>
  </r>
  <r>
    <x v="470"/>
    <x v="1"/>
    <x v="3"/>
    <n v="17"/>
    <n v="21"/>
    <x v="1"/>
    <x v="1"/>
    <s v="cashloan"/>
    <n v="82500000"/>
  </r>
  <r>
    <x v="470"/>
    <x v="1"/>
    <x v="3"/>
    <n v="17"/>
    <n v="21"/>
    <x v="19"/>
    <x v="12"/>
    <s v="paylater"/>
    <n v="376853725"/>
  </r>
  <r>
    <x v="470"/>
    <x v="1"/>
    <x v="3"/>
    <n v="17"/>
    <n v="21"/>
    <x v="11"/>
    <x v="10"/>
    <s v="paylater"/>
    <n v="180261469"/>
  </r>
  <r>
    <x v="470"/>
    <x v="1"/>
    <x v="3"/>
    <n v="17"/>
    <n v="21"/>
    <x v="0"/>
    <x v="0"/>
    <s v="payday"/>
    <n v="4325616000"/>
  </r>
  <r>
    <x v="470"/>
    <x v="1"/>
    <x v="3"/>
    <n v="17"/>
    <n v="21"/>
    <x v="2"/>
    <x v="2"/>
    <s v="cashloan"/>
    <n v="6079630000"/>
  </r>
  <r>
    <x v="471"/>
    <x v="1"/>
    <x v="3"/>
    <n v="17"/>
    <n v="22"/>
    <x v="2"/>
    <x v="2"/>
    <s v="cashloan"/>
    <n v="9694260000"/>
  </r>
  <r>
    <x v="471"/>
    <x v="1"/>
    <x v="3"/>
    <n v="17"/>
    <n v="22"/>
    <x v="7"/>
    <x v="7"/>
    <s v="paylater"/>
    <n v="355076165"/>
  </r>
  <r>
    <x v="471"/>
    <x v="1"/>
    <x v="3"/>
    <n v="17"/>
    <n v="22"/>
    <x v="11"/>
    <x v="10"/>
    <s v="paylater"/>
    <n v="182515360"/>
  </r>
  <r>
    <x v="471"/>
    <x v="1"/>
    <x v="3"/>
    <n v="17"/>
    <n v="22"/>
    <x v="12"/>
    <x v="11"/>
    <s v="cashloan"/>
    <n v="8698170000"/>
  </r>
  <r>
    <x v="471"/>
    <x v="1"/>
    <x v="3"/>
    <n v="17"/>
    <n v="22"/>
    <x v="19"/>
    <x v="12"/>
    <s v="paylater"/>
    <n v="342224981"/>
  </r>
  <r>
    <x v="471"/>
    <x v="1"/>
    <x v="3"/>
    <n v="17"/>
    <n v="22"/>
    <x v="0"/>
    <x v="0"/>
    <s v="payday"/>
    <n v="3124008000"/>
  </r>
  <r>
    <x v="471"/>
    <x v="1"/>
    <x v="3"/>
    <n v="17"/>
    <n v="22"/>
    <x v="14"/>
    <x v="13"/>
    <s v="cashloan"/>
    <n v="805410000"/>
  </r>
  <r>
    <x v="471"/>
    <x v="1"/>
    <x v="3"/>
    <n v="17"/>
    <n v="22"/>
    <x v="5"/>
    <x v="5"/>
    <s v="overdraft"/>
    <n v="3723774971"/>
  </r>
  <r>
    <x v="471"/>
    <x v="1"/>
    <x v="3"/>
    <n v="17"/>
    <n v="22"/>
    <x v="24"/>
    <x v="18"/>
    <s v="cashloan"/>
    <n v="0"/>
  </r>
  <r>
    <x v="471"/>
    <x v="1"/>
    <x v="3"/>
    <n v="17"/>
    <n v="22"/>
    <x v="22"/>
    <x v="16"/>
    <s v="cashloan"/>
    <n v="0"/>
  </r>
  <r>
    <x v="471"/>
    <x v="1"/>
    <x v="3"/>
    <n v="17"/>
    <n v="22"/>
    <x v="15"/>
    <x v="14"/>
    <s v="paylater"/>
    <n v="19326139"/>
  </r>
  <r>
    <x v="471"/>
    <x v="1"/>
    <x v="3"/>
    <n v="17"/>
    <n v="22"/>
    <x v="1"/>
    <x v="1"/>
    <s v="cashloan"/>
    <n v="44100000"/>
  </r>
  <r>
    <x v="471"/>
    <x v="1"/>
    <x v="3"/>
    <n v="17"/>
    <n v="22"/>
    <x v="20"/>
    <x v="9"/>
    <s v="cashloan"/>
    <n v="0"/>
  </r>
  <r>
    <x v="471"/>
    <x v="1"/>
    <x v="3"/>
    <n v="17"/>
    <n v="22"/>
    <x v="17"/>
    <x v="9"/>
    <s v="cashloan"/>
    <n v="0"/>
  </r>
  <r>
    <x v="471"/>
    <x v="1"/>
    <x v="3"/>
    <n v="17"/>
    <n v="22"/>
    <x v="21"/>
    <x v="9"/>
    <s v="cashloan"/>
    <n v="0"/>
  </r>
  <r>
    <x v="471"/>
    <x v="1"/>
    <x v="3"/>
    <n v="17"/>
    <n v="22"/>
    <x v="6"/>
    <x v="6"/>
    <s v="payday"/>
    <n v="39000000"/>
  </r>
  <r>
    <x v="471"/>
    <x v="1"/>
    <x v="3"/>
    <n v="17"/>
    <n v="22"/>
    <x v="23"/>
    <x v="17"/>
    <s v="paylater"/>
    <n v="0"/>
  </r>
  <r>
    <x v="471"/>
    <x v="1"/>
    <x v="3"/>
    <n v="17"/>
    <n v="22"/>
    <x v="3"/>
    <x v="3"/>
    <s v="cashloan"/>
    <n v="0"/>
  </r>
  <r>
    <x v="471"/>
    <x v="1"/>
    <x v="3"/>
    <n v="17"/>
    <n v="22"/>
    <x v="18"/>
    <x v="15"/>
    <s v="cashloan"/>
    <n v="455520000"/>
  </r>
  <r>
    <x v="472"/>
    <x v="1"/>
    <x v="3"/>
    <n v="17"/>
    <n v="23"/>
    <x v="2"/>
    <x v="2"/>
    <s v="cashloan"/>
    <n v="8934100000"/>
  </r>
  <r>
    <x v="472"/>
    <x v="1"/>
    <x v="3"/>
    <n v="17"/>
    <n v="23"/>
    <x v="5"/>
    <x v="5"/>
    <s v="overdraft"/>
    <n v="3459400256"/>
  </r>
  <r>
    <x v="472"/>
    <x v="1"/>
    <x v="3"/>
    <n v="17"/>
    <n v="23"/>
    <x v="12"/>
    <x v="11"/>
    <s v="cashloan"/>
    <n v="8869710000"/>
  </r>
  <r>
    <x v="472"/>
    <x v="1"/>
    <x v="3"/>
    <n v="17"/>
    <n v="23"/>
    <x v="0"/>
    <x v="0"/>
    <s v="payday"/>
    <n v="5677236000"/>
  </r>
  <r>
    <x v="472"/>
    <x v="1"/>
    <x v="3"/>
    <n v="17"/>
    <n v="23"/>
    <x v="15"/>
    <x v="14"/>
    <s v="paylater"/>
    <n v="25310120"/>
  </r>
  <r>
    <x v="472"/>
    <x v="1"/>
    <x v="3"/>
    <n v="17"/>
    <n v="23"/>
    <x v="22"/>
    <x v="16"/>
    <s v="cashloan"/>
    <n v="0"/>
  </r>
  <r>
    <x v="472"/>
    <x v="1"/>
    <x v="3"/>
    <n v="17"/>
    <n v="23"/>
    <x v="20"/>
    <x v="9"/>
    <s v="cashloan"/>
    <n v="0"/>
  </r>
  <r>
    <x v="472"/>
    <x v="1"/>
    <x v="3"/>
    <n v="17"/>
    <n v="23"/>
    <x v="7"/>
    <x v="7"/>
    <s v="paylater"/>
    <n v="288311316"/>
  </r>
  <r>
    <x v="472"/>
    <x v="1"/>
    <x v="3"/>
    <n v="17"/>
    <n v="23"/>
    <x v="17"/>
    <x v="9"/>
    <s v="cashloan"/>
    <n v="0"/>
  </r>
  <r>
    <x v="472"/>
    <x v="1"/>
    <x v="3"/>
    <n v="17"/>
    <n v="23"/>
    <x v="21"/>
    <x v="9"/>
    <s v="cashloan"/>
    <n v="0"/>
  </r>
  <r>
    <x v="472"/>
    <x v="1"/>
    <x v="3"/>
    <n v="17"/>
    <n v="23"/>
    <x v="1"/>
    <x v="1"/>
    <s v="cashloan"/>
    <n v="85050000"/>
  </r>
  <r>
    <x v="472"/>
    <x v="1"/>
    <x v="3"/>
    <n v="17"/>
    <n v="23"/>
    <x v="6"/>
    <x v="6"/>
    <s v="payday"/>
    <n v="56000000"/>
  </r>
  <r>
    <x v="472"/>
    <x v="1"/>
    <x v="3"/>
    <n v="17"/>
    <n v="23"/>
    <x v="24"/>
    <x v="18"/>
    <s v="cashloan"/>
    <n v="0"/>
  </r>
  <r>
    <x v="472"/>
    <x v="1"/>
    <x v="3"/>
    <n v="17"/>
    <n v="23"/>
    <x v="23"/>
    <x v="17"/>
    <s v="paylater"/>
    <n v="0"/>
  </r>
  <r>
    <x v="472"/>
    <x v="1"/>
    <x v="3"/>
    <n v="17"/>
    <n v="23"/>
    <x v="3"/>
    <x v="3"/>
    <s v="cashloan"/>
    <n v="0"/>
  </r>
  <r>
    <x v="472"/>
    <x v="1"/>
    <x v="3"/>
    <n v="17"/>
    <n v="23"/>
    <x v="18"/>
    <x v="15"/>
    <s v="cashloan"/>
    <n v="460490000"/>
  </r>
  <r>
    <x v="472"/>
    <x v="1"/>
    <x v="3"/>
    <n v="17"/>
    <n v="23"/>
    <x v="14"/>
    <x v="13"/>
    <s v="cashloan"/>
    <n v="713020000"/>
  </r>
  <r>
    <x v="472"/>
    <x v="1"/>
    <x v="3"/>
    <n v="17"/>
    <n v="23"/>
    <x v="19"/>
    <x v="12"/>
    <s v="paylater"/>
    <n v="311728454"/>
  </r>
  <r>
    <x v="472"/>
    <x v="1"/>
    <x v="3"/>
    <n v="17"/>
    <n v="23"/>
    <x v="11"/>
    <x v="10"/>
    <s v="paylater"/>
    <n v="177868183"/>
  </r>
  <r>
    <x v="473"/>
    <x v="1"/>
    <x v="3"/>
    <n v="17"/>
    <n v="24"/>
    <x v="7"/>
    <x v="7"/>
    <s v="paylater"/>
    <n v="249700165"/>
  </r>
  <r>
    <x v="473"/>
    <x v="1"/>
    <x v="3"/>
    <n v="17"/>
    <n v="24"/>
    <x v="12"/>
    <x v="11"/>
    <s v="cashloan"/>
    <n v="8305750000"/>
  </r>
  <r>
    <x v="473"/>
    <x v="1"/>
    <x v="3"/>
    <n v="17"/>
    <n v="24"/>
    <x v="5"/>
    <x v="5"/>
    <s v="overdraft"/>
    <n v="3520308023"/>
  </r>
  <r>
    <x v="473"/>
    <x v="1"/>
    <x v="3"/>
    <n v="17"/>
    <n v="24"/>
    <x v="0"/>
    <x v="0"/>
    <s v="payday"/>
    <n v="4793472000"/>
  </r>
  <r>
    <x v="473"/>
    <x v="1"/>
    <x v="3"/>
    <n v="17"/>
    <n v="24"/>
    <x v="6"/>
    <x v="6"/>
    <s v="payday"/>
    <n v="19000000"/>
  </r>
  <r>
    <x v="473"/>
    <x v="1"/>
    <x v="3"/>
    <n v="17"/>
    <n v="24"/>
    <x v="19"/>
    <x v="12"/>
    <s v="paylater"/>
    <n v="283267737"/>
  </r>
  <r>
    <x v="473"/>
    <x v="1"/>
    <x v="3"/>
    <n v="17"/>
    <n v="24"/>
    <x v="2"/>
    <x v="2"/>
    <s v="cashloan"/>
    <n v="8944960000"/>
  </r>
  <r>
    <x v="473"/>
    <x v="1"/>
    <x v="3"/>
    <n v="17"/>
    <n v="24"/>
    <x v="22"/>
    <x v="16"/>
    <s v="cashloan"/>
    <n v="0"/>
  </r>
  <r>
    <x v="473"/>
    <x v="1"/>
    <x v="3"/>
    <n v="17"/>
    <n v="24"/>
    <x v="24"/>
    <x v="18"/>
    <s v="cashloan"/>
    <n v="0"/>
  </r>
  <r>
    <x v="473"/>
    <x v="1"/>
    <x v="3"/>
    <n v="17"/>
    <n v="24"/>
    <x v="15"/>
    <x v="14"/>
    <s v="paylater"/>
    <n v="27181470"/>
  </r>
  <r>
    <x v="473"/>
    <x v="1"/>
    <x v="3"/>
    <n v="17"/>
    <n v="24"/>
    <x v="20"/>
    <x v="9"/>
    <s v="cashloan"/>
    <n v="0"/>
  </r>
  <r>
    <x v="473"/>
    <x v="1"/>
    <x v="3"/>
    <n v="17"/>
    <n v="24"/>
    <x v="17"/>
    <x v="9"/>
    <s v="cashloan"/>
    <n v="0"/>
  </r>
  <r>
    <x v="473"/>
    <x v="1"/>
    <x v="3"/>
    <n v="17"/>
    <n v="24"/>
    <x v="21"/>
    <x v="9"/>
    <s v="cashloan"/>
    <n v="0"/>
  </r>
  <r>
    <x v="473"/>
    <x v="1"/>
    <x v="3"/>
    <n v="17"/>
    <n v="24"/>
    <x v="1"/>
    <x v="1"/>
    <s v="cashloan"/>
    <n v="11550000"/>
  </r>
  <r>
    <x v="473"/>
    <x v="1"/>
    <x v="3"/>
    <n v="17"/>
    <n v="24"/>
    <x v="3"/>
    <x v="3"/>
    <s v="cashloan"/>
    <n v="0"/>
  </r>
  <r>
    <x v="473"/>
    <x v="1"/>
    <x v="3"/>
    <n v="17"/>
    <n v="24"/>
    <x v="18"/>
    <x v="15"/>
    <s v="cashloan"/>
    <n v="508360000"/>
  </r>
  <r>
    <x v="473"/>
    <x v="1"/>
    <x v="3"/>
    <n v="17"/>
    <n v="24"/>
    <x v="14"/>
    <x v="13"/>
    <s v="cashloan"/>
    <n v="1057460000"/>
  </r>
  <r>
    <x v="473"/>
    <x v="1"/>
    <x v="3"/>
    <n v="17"/>
    <n v="24"/>
    <x v="23"/>
    <x v="17"/>
    <s v="paylater"/>
    <n v="0"/>
  </r>
  <r>
    <x v="473"/>
    <x v="1"/>
    <x v="3"/>
    <n v="17"/>
    <n v="24"/>
    <x v="11"/>
    <x v="10"/>
    <s v="paylater"/>
    <n v="187968833"/>
  </r>
  <r>
    <x v="474"/>
    <x v="1"/>
    <x v="3"/>
    <n v="17"/>
    <n v="25"/>
    <x v="14"/>
    <x v="13"/>
    <s v="cashloan"/>
    <n v="837740000"/>
  </r>
  <r>
    <x v="474"/>
    <x v="1"/>
    <x v="3"/>
    <n v="17"/>
    <n v="25"/>
    <x v="6"/>
    <x v="6"/>
    <s v="payday"/>
    <n v="53000000"/>
  </r>
  <r>
    <x v="474"/>
    <x v="1"/>
    <x v="3"/>
    <n v="17"/>
    <n v="25"/>
    <x v="18"/>
    <x v="15"/>
    <s v="cashloan"/>
    <n v="405160000"/>
  </r>
  <r>
    <x v="474"/>
    <x v="1"/>
    <x v="3"/>
    <n v="17"/>
    <n v="25"/>
    <x v="24"/>
    <x v="18"/>
    <s v="cashloan"/>
    <n v="0"/>
  </r>
  <r>
    <x v="474"/>
    <x v="1"/>
    <x v="3"/>
    <n v="17"/>
    <n v="25"/>
    <x v="23"/>
    <x v="17"/>
    <s v="paylater"/>
    <n v="0"/>
  </r>
  <r>
    <x v="474"/>
    <x v="1"/>
    <x v="3"/>
    <n v="17"/>
    <n v="25"/>
    <x v="19"/>
    <x v="12"/>
    <s v="paylater"/>
    <n v="291085782"/>
  </r>
  <r>
    <x v="474"/>
    <x v="1"/>
    <x v="3"/>
    <n v="17"/>
    <n v="25"/>
    <x v="5"/>
    <x v="5"/>
    <s v="overdraft"/>
    <n v="4353921248"/>
  </r>
  <r>
    <x v="474"/>
    <x v="1"/>
    <x v="3"/>
    <n v="17"/>
    <n v="25"/>
    <x v="20"/>
    <x v="9"/>
    <s v="cashloan"/>
    <n v="0"/>
  </r>
  <r>
    <x v="474"/>
    <x v="1"/>
    <x v="3"/>
    <n v="17"/>
    <n v="25"/>
    <x v="11"/>
    <x v="10"/>
    <s v="paylater"/>
    <n v="192187940"/>
  </r>
  <r>
    <x v="474"/>
    <x v="1"/>
    <x v="3"/>
    <n v="17"/>
    <n v="25"/>
    <x v="12"/>
    <x v="11"/>
    <s v="cashloan"/>
    <n v="8120420000"/>
  </r>
  <r>
    <x v="474"/>
    <x v="1"/>
    <x v="3"/>
    <n v="17"/>
    <n v="25"/>
    <x v="0"/>
    <x v="0"/>
    <s v="payday"/>
    <n v="5015304000"/>
  </r>
  <r>
    <x v="474"/>
    <x v="1"/>
    <x v="3"/>
    <n v="17"/>
    <n v="25"/>
    <x v="2"/>
    <x v="2"/>
    <s v="cashloan"/>
    <n v="8173660000"/>
  </r>
  <r>
    <x v="474"/>
    <x v="1"/>
    <x v="3"/>
    <n v="17"/>
    <n v="25"/>
    <x v="22"/>
    <x v="16"/>
    <s v="cashloan"/>
    <n v="0"/>
  </r>
  <r>
    <x v="474"/>
    <x v="1"/>
    <x v="3"/>
    <n v="17"/>
    <n v="25"/>
    <x v="15"/>
    <x v="14"/>
    <s v="paylater"/>
    <n v="20370872"/>
  </r>
  <r>
    <x v="474"/>
    <x v="1"/>
    <x v="3"/>
    <n v="17"/>
    <n v="25"/>
    <x v="3"/>
    <x v="3"/>
    <s v="cashloan"/>
    <n v="0"/>
  </r>
  <r>
    <x v="474"/>
    <x v="1"/>
    <x v="3"/>
    <n v="17"/>
    <n v="25"/>
    <x v="7"/>
    <x v="7"/>
    <s v="paylater"/>
    <n v="322949186"/>
  </r>
  <r>
    <x v="474"/>
    <x v="1"/>
    <x v="3"/>
    <n v="17"/>
    <n v="25"/>
    <x v="17"/>
    <x v="9"/>
    <s v="cashloan"/>
    <n v="0"/>
  </r>
  <r>
    <x v="474"/>
    <x v="1"/>
    <x v="3"/>
    <n v="17"/>
    <n v="25"/>
    <x v="21"/>
    <x v="9"/>
    <s v="cashloan"/>
    <n v="0"/>
  </r>
  <r>
    <x v="474"/>
    <x v="1"/>
    <x v="3"/>
    <n v="17"/>
    <n v="25"/>
    <x v="1"/>
    <x v="1"/>
    <s v="cashloan"/>
    <n v="31500000"/>
  </r>
  <r>
    <x v="475"/>
    <x v="1"/>
    <x v="3"/>
    <n v="17"/>
    <n v="26"/>
    <x v="0"/>
    <x v="0"/>
    <s v="payday"/>
    <n v="5086584000"/>
  </r>
  <r>
    <x v="475"/>
    <x v="1"/>
    <x v="3"/>
    <n v="17"/>
    <n v="26"/>
    <x v="2"/>
    <x v="2"/>
    <s v="cashloan"/>
    <n v="8729290000"/>
  </r>
  <r>
    <x v="475"/>
    <x v="1"/>
    <x v="3"/>
    <n v="17"/>
    <n v="26"/>
    <x v="12"/>
    <x v="11"/>
    <s v="cashloan"/>
    <n v="6934770000"/>
  </r>
  <r>
    <x v="475"/>
    <x v="1"/>
    <x v="3"/>
    <n v="17"/>
    <n v="26"/>
    <x v="14"/>
    <x v="13"/>
    <s v="cashloan"/>
    <n v="706490000"/>
  </r>
  <r>
    <x v="475"/>
    <x v="1"/>
    <x v="3"/>
    <n v="17"/>
    <n v="26"/>
    <x v="24"/>
    <x v="18"/>
    <s v="cashloan"/>
    <n v="0"/>
  </r>
  <r>
    <x v="475"/>
    <x v="1"/>
    <x v="3"/>
    <n v="17"/>
    <n v="26"/>
    <x v="15"/>
    <x v="14"/>
    <s v="paylater"/>
    <n v="12965747"/>
  </r>
  <r>
    <x v="475"/>
    <x v="1"/>
    <x v="3"/>
    <n v="17"/>
    <n v="26"/>
    <x v="20"/>
    <x v="9"/>
    <s v="cashloan"/>
    <n v="0"/>
  </r>
  <r>
    <x v="475"/>
    <x v="1"/>
    <x v="3"/>
    <n v="17"/>
    <n v="26"/>
    <x v="17"/>
    <x v="9"/>
    <s v="cashloan"/>
    <n v="0"/>
  </r>
  <r>
    <x v="475"/>
    <x v="1"/>
    <x v="3"/>
    <n v="17"/>
    <n v="26"/>
    <x v="22"/>
    <x v="16"/>
    <s v="cashloan"/>
    <n v="0"/>
  </r>
  <r>
    <x v="475"/>
    <x v="1"/>
    <x v="3"/>
    <n v="17"/>
    <n v="26"/>
    <x v="21"/>
    <x v="9"/>
    <s v="cashloan"/>
    <n v="0"/>
  </r>
  <r>
    <x v="475"/>
    <x v="1"/>
    <x v="3"/>
    <n v="17"/>
    <n v="26"/>
    <x v="1"/>
    <x v="1"/>
    <s v="cashloan"/>
    <n v="20500000"/>
  </r>
  <r>
    <x v="475"/>
    <x v="1"/>
    <x v="3"/>
    <n v="17"/>
    <n v="26"/>
    <x v="6"/>
    <x v="6"/>
    <s v="payday"/>
    <n v="38000000"/>
  </r>
  <r>
    <x v="475"/>
    <x v="1"/>
    <x v="3"/>
    <n v="17"/>
    <n v="26"/>
    <x v="3"/>
    <x v="3"/>
    <s v="cashloan"/>
    <n v="0"/>
  </r>
  <r>
    <x v="475"/>
    <x v="1"/>
    <x v="3"/>
    <n v="17"/>
    <n v="26"/>
    <x v="18"/>
    <x v="15"/>
    <s v="cashloan"/>
    <n v="494600000"/>
  </r>
  <r>
    <x v="475"/>
    <x v="1"/>
    <x v="3"/>
    <n v="17"/>
    <n v="26"/>
    <x v="23"/>
    <x v="17"/>
    <s v="paylater"/>
    <n v="0"/>
  </r>
  <r>
    <x v="475"/>
    <x v="1"/>
    <x v="3"/>
    <n v="17"/>
    <n v="26"/>
    <x v="11"/>
    <x v="10"/>
    <s v="paylater"/>
    <n v="154364378"/>
  </r>
  <r>
    <x v="475"/>
    <x v="1"/>
    <x v="3"/>
    <n v="17"/>
    <n v="26"/>
    <x v="19"/>
    <x v="12"/>
    <s v="paylater"/>
    <n v="299826629"/>
  </r>
  <r>
    <x v="475"/>
    <x v="1"/>
    <x v="3"/>
    <n v="17"/>
    <n v="26"/>
    <x v="5"/>
    <x v="5"/>
    <s v="overdraft"/>
    <n v="3140181550"/>
  </r>
  <r>
    <x v="475"/>
    <x v="1"/>
    <x v="3"/>
    <n v="17"/>
    <n v="26"/>
    <x v="7"/>
    <x v="7"/>
    <s v="paylater"/>
    <n v="354382704"/>
  </r>
  <r>
    <x v="476"/>
    <x v="1"/>
    <x v="3"/>
    <n v="17"/>
    <n v="27"/>
    <x v="24"/>
    <x v="18"/>
    <s v="cashloan"/>
    <n v="0"/>
  </r>
  <r>
    <x v="476"/>
    <x v="1"/>
    <x v="3"/>
    <n v="17"/>
    <n v="27"/>
    <x v="22"/>
    <x v="16"/>
    <s v="cashloan"/>
    <n v="0"/>
  </r>
  <r>
    <x v="476"/>
    <x v="1"/>
    <x v="3"/>
    <n v="17"/>
    <n v="27"/>
    <x v="15"/>
    <x v="14"/>
    <s v="paylater"/>
    <n v="16216550"/>
  </r>
  <r>
    <x v="476"/>
    <x v="1"/>
    <x v="3"/>
    <n v="17"/>
    <n v="27"/>
    <x v="20"/>
    <x v="9"/>
    <s v="cashloan"/>
    <n v="0"/>
  </r>
  <r>
    <x v="476"/>
    <x v="1"/>
    <x v="3"/>
    <n v="17"/>
    <n v="27"/>
    <x v="17"/>
    <x v="9"/>
    <s v="cashloan"/>
    <n v="0"/>
  </r>
  <r>
    <x v="476"/>
    <x v="1"/>
    <x v="3"/>
    <n v="17"/>
    <n v="27"/>
    <x v="21"/>
    <x v="9"/>
    <s v="cashloan"/>
    <n v="0"/>
  </r>
  <r>
    <x v="476"/>
    <x v="1"/>
    <x v="3"/>
    <n v="17"/>
    <n v="27"/>
    <x v="1"/>
    <x v="1"/>
    <s v="cashloan"/>
    <n v="52500000"/>
  </r>
  <r>
    <x v="476"/>
    <x v="1"/>
    <x v="3"/>
    <n v="17"/>
    <n v="27"/>
    <x v="6"/>
    <x v="6"/>
    <s v="payday"/>
    <n v="30000000"/>
  </r>
  <r>
    <x v="476"/>
    <x v="1"/>
    <x v="3"/>
    <n v="17"/>
    <n v="27"/>
    <x v="3"/>
    <x v="3"/>
    <s v="cashloan"/>
    <n v="0"/>
  </r>
  <r>
    <x v="476"/>
    <x v="1"/>
    <x v="3"/>
    <n v="17"/>
    <n v="27"/>
    <x v="18"/>
    <x v="15"/>
    <s v="cashloan"/>
    <n v="375900000"/>
  </r>
  <r>
    <x v="476"/>
    <x v="1"/>
    <x v="3"/>
    <n v="17"/>
    <n v="27"/>
    <x v="14"/>
    <x v="13"/>
    <s v="cashloan"/>
    <n v="835840000"/>
  </r>
  <r>
    <x v="476"/>
    <x v="1"/>
    <x v="3"/>
    <n v="17"/>
    <n v="27"/>
    <x v="23"/>
    <x v="17"/>
    <s v="paylater"/>
    <n v="0"/>
  </r>
  <r>
    <x v="476"/>
    <x v="1"/>
    <x v="3"/>
    <n v="17"/>
    <n v="27"/>
    <x v="11"/>
    <x v="10"/>
    <s v="paylater"/>
    <n v="180597914"/>
  </r>
  <r>
    <x v="476"/>
    <x v="1"/>
    <x v="3"/>
    <n v="17"/>
    <n v="27"/>
    <x v="19"/>
    <x v="12"/>
    <s v="paylater"/>
    <n v="275638157"/>
  </r>
  <r>
    <x v="476"/>
    <x v="1"/>
    <x v="3"/>
    <n v="17"/>
    <n v="27"/>
    <x v="5"/>
    <x v="5"/>
    <s v="overdraft"/>
    <n v="2961190877"/>
  </r>
  <r>
    <x v="476"/>
    <x v="1"/>
    <x v="3"/>
    <n v="17"/>
    <n v="27"/>
    <x v="7"/>
    <x v="7"/>
    <s v="paylater"/>
    <n v="299723008"/>
  </r>
  <r>
    <x v="476"/>
    <x v="1"/>
    <x v="3"/>
    <n v="17"/>
    <n v="27"/>
    <x v="12"/>
    <x v="11"/>
    <s v="cashloan"/>
    <n v="6877400000"/>
  </r>
  <r>
    <x v="476"/>
    <x v="1"/>
    <x v="3"/>
    <n v="17"/>
    <n v="27"/>
    <x v="0"/>
    <x v="0"/>
    <s v="payday"/>
    <n v="4590864000"/>
  </r>
  <r>
    <x v="476"/>
    <x v="1"/>
    <x v="3"/>
    <n v="17"/>
    <n v="27"/>
    <x v="2"/>
    <x v="2"/>
    <s v="cashloan"/>
    <n v="7275840000"/>
  </r>
  <r>
    <x v="477"/>
    <x v="1"/>
    <x v="3"/>
    <n v="18"/>
    <n v="28"/>
    <x v="1"/>
    <x v="1"/>
    <s v="cashloan"/>
    <n v="52500000"/>
  </r>
  <r>
    <x v="477"/>
    <x v="1"/>
    <x v="3"/>
    <n v="18"/>
    <n v="28"/>
    <x v="7"/>
    <x v="7"/>
    <s v="paylater"/>
    <n v="318310256"/>
  </r>
  <r>
    <x v="477"/>
    <x v="1"/>
    <x v="3"/>
    <n v="18"/>
    <n v="28"/>
    <x v="21"/>
    <x v="9"/>
    <s v="cashloan"/>
    <n v="0"/>
  </r>
  <r>
    <x v="477"/>
    <x v="1"/>
    <x v="3"/>
    <n v="18"/>
    <n v="28"/>
    <x v="12"/>
    <x v="11"/>
    <s v="cashloan"/>
    <n v="7838830000"/>
  </r>
  <r>
    <x v="477"/>
    <x v="1"/>
    <x v="3"/>
    <n v="18"/>
    <n v="28"/>
    <x v="20"/>
    <x v="9"/>
    <s v="cashloan"/>
    <n v="0"/>
  </r>
  <r>
    <x v="477"/>
    <x v="1"/>
    <x v="3"/>
    <n v="18"/>
    <n v="28"/>
    <x v="17"/>
    <x v="9"/>
    <s v="cashloan"/>
    <n v="0"/>
  </r>
  <r>
    <x v="477"/>
    <x v="1"/>
    <x v="3"/>
    <n v="18"/>
    <n v="28"/>
    <x v="0"/>
    <x v="0"/>
    <s v="payday"/>
    <n v="5110020000"/>
  </r>
  <r>
    <x v="477"/>
    <x v="1"/>
    <x v="3"/>
    <n v="18"/>
    <n v="28"/>
    <x v="24"/>
    <x v="18"/>
    <s v="cashloan"/>
    <n v="0"/>
  </r>
  <r>
    <x v="477"/>
    <x v="1"/>
    <x v="3"/>
    <n v="18"/>
    <n v="28"/>
    <x v="22"/>
    <x v="16"/>
    <s v="cashloan"/>
    <n v="0"/>
  </r>
  <r>
    <x v="477"/>
    <x v="1"/>
    <x v="3"/>
    <n v="18"/>
    <n v="28"/>
    <x v="15"/>
    <x v="14"/>
    <s v="paylater"/>
    <n v="26885530"/>
  </r>
  <r>
    <x v="477"/>
    <x v="1"/>
    <x v="3"/>
    <n v="18"/>
    <n v="28"/>
    <x v="2"/>
    <x v="2"/>
    <s v="cashloan"/>
    <n v="8021380000"/>
  </r>
  <r>
    <x v="477"/>
    <x v="1"/>
    <x v="3"/>
    <n v="18"/>
    <n v="28"/>
    <x v="6"/>
    <x v="6"/>
    <s v="payday"/>
    <n v="39000000"/>
  </r>
  <r>
    <x v="477"/>
    <x v="1"/>
    <x v="3"/>
    <n v="18"/>
    <n v="28"/>
    <x v="3"/>
    <x v="3"/>
    <s v="cashloan"/>
    <n v="0"/>
  </r>
  <r>
    <x v="477"/>
    <x v="1"/>
    <x v="3"/>
    <n v="18"/>
    <n v="28"/>
    <x v="18"/>
    <x v="15"/>
    <s v="cashloan"/>
    <n v="530440000"/>
  </r>
  <r>
    <x v="477"/>
    <x v="1"/>
    <x v="3"/>
    <n v="18"/>
    <n v="28"/>
    <x v="14"/>
    <x v="13"/>
    <s v="cashloan"/>
    <n v="873610000"/>
  </r>
  <r>
    <x v="477"/>
    <x v="1"/>
    <x v="3"/>
    <n v="18"/>
    <n v="28"/>
    <x v="23"/>
    <x v="17"/>
    <s v="paylater"/>
    <n v="0"/>
  </r>
  <r>
    <x v="477"/>
    <x v="1"/>
    <x v="3"/>
    <n v="18"/>
    <n v="28"/>
    <x v="11"/>
    <x v="10"/>
    <s v="paylater"/>
    <n v="194187216"/>
  </r>
  <r>
    <x v="477"/>
    <x v="1"/>
    <x v="3"/>
    <n v="18"/>
    <n v="28"/>
    <x v="19"/>
    <x v="12"/>
    <s v="paylater"/>
    <n v="376209773"/>
  </r>
  <r>
    <x v="477"/>
    <x v="1"/>
    <x v="3"/>
    <n v="18"/>
    <n v="28"/>
    <x v="5"/>
    <x v="5"/>
    <s v="overdraft"/>
    <n v="4242408819"/>
  </r>
  <r>
    <x v="478"/>
    <x v="1"/>
    <x v="3"/>
    <n v="18"/>
    <n v="29"/>
    <x v="2"/>
    <x v="2"/>
    <s v="cashloan"/>
    <n v="9731170000"/>
  </r>
  <r>
    <x v="478"/>
    <x v="1"/>
    <x v="3"/>
    <n v="18"/>
    <n v="29"/>
    <x v="0"/>
    <x v="0"/>
    <s v="payday"/>
    <n v="5529816000"/>
  </r>
  <r>
    <x v="478"/>
    <x v="1"/>
    <x v="3"/>
    <n v="18"/>
    <n v="29"/>
    <x v="23"/>
    <x v="17"/>
    <s v="paylater"/>
    <n v="0"/>
  </r>
  <r>
    <x v="478"/>
    <x v="1"/>
    <x v="3"/>
    <n v="18"/>
    <n v="29"/>
    <x v="24"/>
    <x v="18"/>
    <s v="cashloan"/>
    <n v="0"/>
  </r>
  <r>
    <x v="478"/>
    <x v="1"/>
    <x v="3"/>
    <n v="18"/>
    <n v="29"/>
    <x v="19"/>
    <x v="12"/>
    <s v="paylater"/>
    <n v="532854328"/>
  </r>
  <r>
    <x v="478"/>
    <x v="1"/>
    <x v="3"/>
    <n v="18"/>
    <n v="29"/>
    <x v="22"/>
    <x v="16"/>
    <s v="cashloan"/>
    <n v="0"/>
  </r>
  <r>
    <x v="478"/>
    <x v="1"/>
    <x v="3"/>
    <n v="18"/>
    <n v="29"/>
    <x v="15"/>
    <x v="14"/>
    <s v="paylater"/>
    <n v="24743599"/>
  </r>
  <r>
    <x v="478"/>
    <x v="1"/>
    <x v="3"/>
    <n v="18"/>
    <n v="29"/>
    <x v="5"/>
    <x v="5"/>
    <s v="overdraft"/>
    <n v="4230708613"/>
  </r>
  <r>
    <x v="478"/>
    <x v="1"/>
    <x v="3"/>
    <n v="18"/>
    <n v="29"/>
    <x v="17"/>
    <x v="9"/>
    <s v="cashloan"/>
    <n v="0"/>
  </r>
  <r>
    <x v="478"/>
    <x v="1"/>
    <x v="3"/>
    <n v="18"/>
    <n v="29"/>
    <x v="21"/>
    <x v="9"/>
    <s v="cashloan"/>
    <n v="0"/>
  </r>
  <r>
    <x v="478"/>
    <x v="1"/>
    <x v="3"/>
    <n v="18"/>
    <n v="29"/>
    <x v="1"/>
    <x v="1"/>
    <s v="cashloan"/>
    <n v="72500000"/>
  </r>
  <r>
    <x v="478"/>
    <x v="1"/>
    <x v="3"/>
    <n v="18"/>
    <n v="29"/>
    <x v="6"/>
    <x v="6"/>
    <s v="payday"/>
    <n v="72000000"/>
  </r>
  <r>
    <x v="478"/>
    <x v="1"/>
    <x v="3"/>
    <n v="18"/>
    <n v="29"/>
    <x v="20"/>
    <x v="9"/>
    <s v="cashloan"/>
    <n v="0"/>
  </r>
  <r>
    <x v="478"/>
    <x v="1"/>
    <x v="3"/>
    <n v="18"/>
    <n v="29"/>
    <x v="3"/>
    <x v="3"/>
    <s v="cashloan"/>
    <n v="0"/>
  </r>
  <r>
    <x v="478"/>
    <x v="1"/>
    <x v="3"/>
    <n v="18"/>
    <n v="29"/>
    <x v="18"/>
    <x v="15"/>
    <s v="cashloan"/>
    <n v="568860000"/>
  </r>
  <r>
    <x v="478"/>
    <x v="1"/>
    <x v="3"/>
    <n v="18"/>
    <n v="29"/>
    <x v="14"/>
    <x v="13"/>
    <s v="cashloan"/>
    <n v="882980000"/>
  </r>
  <r>
    <x v="478"/>
    <x v="1"/>
    <x v="3"/>
    <n v="18"/>
    <n v="29"/>
    <x v="7"/>
    <x v="7"/>
    <s v="paylater"/>
    <n v="336635383"/>
  </r>
  <r>
    <x v="478"/>
    <x v="1"/>
    <x v="3"/>
    <n v="18"/>
    <n v="29"/>
    <x v="11"/>
    <x v="10"/>
    <s v="paylater"/>
    <n v="230071148"/>
  </r>
  <r>
    <x v="478"/>
    <x v="1"/>
    <x v="3"/>
    <n v="18"/>
    <n v="29"/>
    <x v="12"/>
    <x v="11"/>
    <s v="cashloan"/>
    <n v="8792240000"/>
  </r>
  <r>
    <x v="479"/>
    <x v="1"/>
    <x v="3"/>
    <n v="18"/>
    <n v="30"/>
    <x v="5"/>
    <x v="5"/>
    <s v="overdraft"/>
    <n v="3200556134"/>
  </r>
  <r>
    <x v="479"/>
    <x v="1"/>
    <x v="3"/>
    <n v="18"/>
    <n v="30"/>
    <x v="7"/>
    <x v="7"/>
    <s v="paylater"/>
    <n v="245973045"/>
  </r>
  <r>
    <x v="479"/>
    <x v="1"/>
    <x v="3"/>
    <n v="18"/>
    <n v="30"/>
    <x v="19"/>
    <x v="12"/>
    <s v="paylater"/>
    <n v="316819511"/>
  </r>
  <r>
    <x v="479"/>
    <x v="1"/>
    <x v="3"/>
    <n v="18"/>
    <n v="30"/>
    <x v="0"/>
    <x v="0"/>
    <s v="payday"/>
    <n v="4412124000"/>
  </r>
  <r>
    <x v="479"/>
    <x v="1"/>
    <x v="3"/>
    <n v="18"/>
    <n v="30"/>
    <x v="11"/>
    <x v="10"/>
    <s v="paylater"/>
    <n v="251261352"/>
  </r>
  <r>
    <x v="479"/>
    <x v="1"/>
    <x v="3"/>
    <n v="18"/>
    <n v="30"/>
    <x v="2"/>
    <x v="2"/>
    <s v="cashloan"/>
    <n v="6213380000"/>
  </r>
  <r>
    <x v="479"/>
    <x v="1"/>
    <x v="3"/>
    <n v="18"/>
    <n v="30"/>
    <x v="22"/>
    <x v="16"/>
    <s v="cashloan"/>
    <n v="0"/>
  </r>
  <r>
    <x v="479"/>
    <x v="1"/>
    <x v="3"/>
    <n v="18"/>
    <n v="30"/>
    <x v="24"/>
    <x v="18"/>
    <s v="cashloan"/>
    <n v="0"/>
  </r>
  <r>
    <x v="479"/>
    <x v="1"/>
    <x v="3"/>
    <n v="18"/>
    <n v="30"/>
    <x v="15"/>
    <x v="14"/>
    <s v="paylater"/>
    <n v="15159264"/>
  </r>
  <r>
    <x v="479"/>
    <x v="1"/>
    <x v="3"/>
    <n v="18"/>
    <n v="30"/>
    <x v="20"/>
    <x v="9"/>
    <s v="cashloan"/>
    <n v="0"/>
  </r>
  <r>
    <x v="479"/>
    <x v="1"/>
    <x v="3"/>
    <n v="18"/>
    <n v="30"/>
    <x v="17"/>
    <x v="9"/>
    <s v="cashloan"/>
    <n v="0"/>
  </r>
  <r>
    <x v="479"/>
    <x v="1"/>
    <x v="3"/>
    <n v="18"/>
    <n v="30"/>
    <x v="21"/>
    <x v="9"/>
    <s v="cashloan"/>
    <n v="0"/>
  </r>
  <r>
    <x v="479"/>
    <x v="1"/>
    <x v="3"/>
    <n v="18"/>
    <n v="30"/>
    <x v="1"/>
    <x v="1"/>
    <s v="cashloan"/>
    <n v="26250000"/>
  </r>
  <r>
    <x v="479"/>
    <x v="1"/>
    <x v="3"/>
    <n v="18"/>
    <n v="30"/>
    <x v="6"/>
    <x v="6"/>
    <s v="payday"/>
    <n v="4000000"/>
  </r>
  <r>
    <x v="479"/>
    <x v="1"/>
    <x v="3"/>
    <n v="18"/>
    <n v="30"/>
    <x v="3"/>
    <x v="3"/>
    <s v="cashloan"/>
    <n v="0"/>
  </r>
  <r>
    <x v="479"/>
    <x v="1"/>
    <x v="3"/>
    <n v="18"/>
    <n v="30"/>
    <x v="12"/>
    <x v="11"/>
    <s v="cashloan"/>
    <n v="5898900000"/>
  </r>
  <r>
    <x v="479"/>
    <x v="1"/>
    <x v="3"/>
    <n v="18"/>
    <n v="30"/>
    <x v="18"/>
    <x v="15"/>
    <s v="cashloan"/>
    <n v="341760000"/>
  </r>
  <r>
    <x v="479"/>
    <x v="1"/>
    <x v="3"/>
    <n v="18"/>
    <n v="30"/>
    <x v="14"/>
    <x v="13"/>
    <s v="cashloan"/>
    <n v="481380000"/>
  </r>
  <r>
    <x v="479"/>
    <x v="1"/>
    <x v="3"/>
    <n v="18"/>
    <n v="30"/>
    <x v="23"/>
    <x v="17"/>
    <s v="paylater"/>
    <n v="0"/>
  </r>
  <r>
    <x v="480"/>
    <x v="1"/>
    <x v="4"/>
    <n v="18"/>
    <n v="1"/>
    <x v="19"/>
    <x v="12"/>
    <s v="paylater"/>
    <n v="609346681"/>
  </r>
  <r>
    <x v="480"/>
    <x v="1"/>
    <x v="4"/>
    <n v="18"/>
    <n v="1"/>
    <x v="23"/>
    <x v="17"/>
    <s v="paylater"/>
    <n v="0"/>
  </r>
  <r>
    <x v="480"/>
    <x v="1"/>
    <x v="4"/>
    <n v="18"/>
    <n v="1"/>
    <x v="21"/>
    <x v="9"/>
    <s v="cashloan"/>
    <n v="0"/>
  </r>
  <r>
    <x v="480"/>
    <x v="1"/>
    <x v="4"/>
    <n v="18"/>
    <n v="1"/>
    <x v="11"/>
    <x v="10"/>
    <s v="paylater"/>
    <n v="188043434"/>
  </r>
  <r>
    <x v="480"/>
    <x v="1"/>
    <x v="4"/>
    <n v="18"/>
    <n v="1"/>
    <x v="15"/>
    <x v="14"/>
    <s v="paylater"/>
    <n v="59943097"/>
  </r>
  <r>
    <x v="480"/>
    <x v="1"/>
    <x v="4"/>
    <n v="18"/>
    <n v="1"/>
    <x v="1"/>
    <x v="1"/>
    <s v="cashloan"/>
    <n v="31000000"/>
  </r>
  <r>
    <x v="480"/>
    <x v="1"/>
    <x v="4"/>
    <n v="18"/>
    <n v="1"/>
    <x v="5"/>
    <x v="5"/>
    <s v="overdraft"/>
    <n v="5179711947"/>
  </r>
  <r>
    <x v="480"/>
    <x v="1"/>
    <x v="4"/>
    <n v="18"/>
    <n v="1"/>
    <x v="7"/>
    <x v="7"/>
    <s v="paylater"/>
    <n v="364183271"/>
  </r>
  <r>
    <x v="480"/>
    <x v="1"/>
    <x v="4"/>
    <n v="18"/>
    <n v="1"/>
    <x v="6"/>
    <x v="6"/>
    <s v="payday"/>
    <n v="6000000"/>
  </r>
  <r>
    <x v="480"/>
    <x v="1"/>
    <x v="4"/>
    <n v="18"/>
    <n v="1"/>
    <x v="12"/>
    <x v="11"/>
    <s v="cashloan"/>
    <n v="5380730000"/>
  </r>
  <r>
    <x v="480"/>
    <x v="1"/>
    <x v="4"/>
    <n v="18"/>
    <n v="1"/>
    <x v="0"/>
    <x v="0"/>
    <s v="payday"/>
    <n v="4726728000"/>
  </r>
  <r>
    <x v="480"/>
    <x v="1"/>
    <x v="4"/>
    <n v="18"/>
    <n v="1"/>
    <x v="20"/>
    <x v="9"/>
    <s v="cashloan"/>
    <n v="0"/>
  </r>
  <r>
    <x v="480"/>
    <x v="1"/>
    <x v="4"/>
    <n v="18"/>
    <n v="1"/>
    <x v="2"/>
    <x v="2"/>
    <s v="cashloan"/>
    <n v="7352980000"/>
  </r>
  <r>
    <x v="480"/>
    <x v="1"/>
    <x v="4"/>
    <n v="18"/>
    <n v="1"/>
    <x v="3"/>
    <x v="3"/>
    <s v="cashloan"/>
    <n v="0"/>
  </r>
  <r>
    <x v="480"/>
    <x v="1"/>
    <x v="4"/>
    <n v="18"/>
    <n v="1"/>
    <x v="24"/>
    <x v="18"/>
    <s v="cashloan"/>
    <n v="0"/>
  </r>
  <r>
    <x v="480"/>
    <x v="1"/>
    <x v="4"/>
    <n v="18"/>
    <n v="1"/>
    <x v="18"/>
    <x v="15"/>
    <s v="cashloan"/>
    <n v="431760000"/>
  </r>
  <r>
    <x v="480"/>
    <x v="1"/>
    <x v="4"/>
    <n v="18"/>
    <n v="1"/>
    <x v="17"/>
    <x v="9"/>
    <s v="cashloan"/>
    <n v="0"/>
  </r>
  <r>
    <x v="480"/>
    <x v="1"/>
    <x v="4"/>
    <n v="18"/>
    <n v="1"/>
    <x v="14"/>
    <x v="13"/>
    <s v="cashloan"/>
    <n v="551790000"/>
  </r>
  <r>
    <x v="480"/>
    <x v="1"/>
    <x v="4"/>
    <n v="18"/>
    <n v="1"/>
    <x v="22"/>
    <x v="16"/>
    <s v="cashloan"/>
    <n v="0"/>
  </r>
  <r>
    <x v="481"/>
    <x v="1"/>
    <x v="4"/>
    <n v="18"/>
    <n v="2"/>
    <x v="0"/>
    <x v="0"/>
    <s v="payday"/>
    <n v="4930524000"/>
  </r>
  <r>
    <x v="481"/>
    <x v="1"/>
    <x v="4"/>
    <n v="18"/>
    <n v="2"/>
    <x v="2"/>
    <x v="2"/>
    <s v="cashloan"/>
    <n v="7432680000"/>
  </r>
  <r>
    <x v="481"/>
    <x v="1"/>
    <x v="4"/>
    <n v="18"/>
    <n v="2"/>
    <x v="12"/>
    <x v="11"/>
    <s v="cashloan"/>
    <n v="6316090000"/>
  </r>
  <r>
    <x v="481"/>
    <x v="1"/>
    <x v="4"/>
    <n v="18"/>
    <n v="2"/>
    <x v="24"/>
    <x v="18"/>
    <s v="cashloan"/>
    <n v="0"/>
  </r>
  <r>
    <x v="481"/>
    <x v="1"/>
    <x v="4"/>
    <n v="18"/>
    <n v="2"/>
    <x v="18"/>
    <x v="15"/>
    <s v="cashloan"/>
    <n v="598540000"/>
  </r>
  <r>
    <x v="481"/>
    <x v="1"/>
    <x v="4"/>
    <n v="18"/>
    <n v="2"/>
    <x v="7"/>
    <x v="7"/>
    <s v="paylater"/>
    <n v="391517234"/>
  </r>
  <r>
    <x v="481"/>
    <x v="1"/>
    <x v="4"/>
    <n v="18"/>
    <n v="2"/>
    <x v="6"/>
    <x v="6"/>
    <s v="payday"/>
    <n v="36000000"/>
  </r>
  <r>
    <x v="481"/>
    <x v="1"/>
    <x v="4"/>
    <n v="18"/>
    <n v="2"/>
    <x v="15"/>
    <x v="14"/>
    <s v="paylater"/>
    <n v="37625936"/>
  </r>
  <r>
    <x v="481"/>
    <x v="1"/>
    <x v="4"/>
    <n v="18"/>
    <n v="2"/>
    <x v="22"/>
    <x v="16"/>
    <s v="cashloan"/>
    <n v="0"/>
  </r>
  <r>
    <x v="481"/>
    <x v="1"/>
    <x v="4"/>
    <n v="18"/>
    <n v="2"/>
    <x v="17"/>
    <x v="9"/>
    <s v="cashloan"/>
    <n v="0"/>
  </r>
  <r>
    <x v="481"/>
    <x v="1"/>
    <x v="4"/>
    <n v="18"/>
    <n v="2"/>
    <x v="20"/>
    <x v="9"/>
    <s v="cashloan"/>
    <n v="0"/>
  </r>
  <r>
    <x v="481"/>
    <x v="1"/>
    <x v="4"/>
    <n v="18"/>
    <n v="2"/>
    <x v="21"/>
    <x v="9"/>
    <s v="cashloan"/>
    <n v="0"/>
  </r>
  <r>
    <x v="481"/>
    <x v="1"/>
    <x v="4"/>
    <n v="18"/>
    <n v="2"/>
    <x v="1"/>
    <x v="1"/>
    <s v="cashloan"/>
    <n v="56750000"/>
  </r>
  <r>
    <x v="481"/>
    <x v="1"/>
    <x v="4"/>
    <n v="18"/>
    <n v="2"/>
    <x v="3"/>
    <x v="3"/>
    <s v="cashloan"/>
    <n v="0"/>
  </r>
  <r>
    <x v="481"/>
    <x v="1"/>
    <x v="4"/>
    <n v="18"/>
    <n v="2"/>
    <x v="14"/>
    <x v="13"/>
    <s v="cashloan"/>
    <n v="821970000"/>
  </r>
  <r>
    <x v="481"/>
    <x v="1"/>
    <x v="4"/>
    <n v="18"/>
    <n v="2"/>
    <x v="23"/>
    <x v="17"/>
    <s v="paylater"/>
    <n v="0"/>
  </r>
  <r>
    <x v="481"/>
    <x v="1"/>
    <x v="4"/>
    <n v="18"/>
    <n v="2"/>
    <x v="11"/>
    <x v="10"/>
    <s v="paylater"/>
    <n v="179900435"/>
  </r>
  <r>
    <x v="481"/>
    <x v="1"/>
    <x v="4"/>
    <n v="18"/>
    <n v="2"/>
    <x v="19"/>
    <x v="12"/>
    <s v="paylater"/>
    <n v="716904009"/>
  </r>
  <r>
    <x v="481"/>
    <x v="1"/>
    <x v="4"/>
    <n v="18"/>
    <n v="2"/>
    <x v="5"/>
    <x v="5"/>
    <s v="overdraft"/>
    <n v="5218729025"/>
  </r>
  <r>
    <x v="482"/>
    <x v="1"/>
    <x v="4"/>
    <n v="18"/>
    <n v="3"/>
    <x v="24"/>
    <x v="18"/>
    <s v="cashloan"/>
    <n v="0"/>
  </r>
  <r>
    <x v="482"/>
    <x v="1"/>
    <x v="4"/>
    <n v="18"/>
    <n v="3"/>
    <x v="18"/>
    <x v="15"/>
    <s v="cashloan"/>
    <n v="495530000"/>
  </r>
  <r>
    <x v="482"/>
    <x v="1"/>
    <x v="4"/>
    <n v="18"/>
    <n v="3"/>
    <x v="14"/>
    <x v="13"/>
    <s v="cashloan"/>
    <n v="926460000"/>
  </r>
  <r>
    <x v="482"/>
    <x v="1"/>
    <x v="4"/>
    <n v="18"/>
    <n v="3"/>
    <x v="23"/>
    <x v="17"/>
    <s v="paylater"/>
    <n v="0"/>
  </r>
  <r>
    <x v="482"/>
    <x v="1"/>
    <x v="4"/>
    <n v="18"/>
    <n v="3"/>
    <x v="11"/>
    <x v="10"/>
    <s v="paylater"/>
    <n v="193457267"/>
  </r>
  <r>
    <x v="482"/>
    <x v="1"/>
    <x v="4"/>
    <n v="18"/>
    <n v="3"/>
    <x v="19"/>
    <x v="12"/>
    <s v="paylater"/>
    <n v="846242486"/>
  </r>
  <r>
    <x v="482"/>
    <x v="1"/>
    <x v="4"/>
    <n v="18"/>
    <n v="3"/>
    <x v="5"/>
    <x v="5"/>
    <s v="overdraft"/>
    <n v="4227266832"/>
  </r>
  <r>
    <x v="482"/>
    <x v="1"/>
    <x v="4"/>
    <n v="18"/>
    <n v="3"/>
    <x v="7"/>
    <x v="7"/>
    <s v="paylater"/>
    <n v="459940502"/>
  </r>
  <r>
    <x v="482"/>
    <x v="1"/>
    <x v="4"/>
    <n v="18"/>
    <n v="3"/>
    <x v="12"/>
    <x v="11"/>
    <s v="cashloan"/>
    <n v="7189940000"/>
  </r>
  <r>
    <x v="482"/>
    <x v="1"/>
    <x v="4"/>
    <n v="18"/>
    <n v="3"/>
    <x v="0"/>
    <x v="0"/>
    <s v="payday"/>
    <n v="4571856000"/>
  </r>
  <r>
    <x v="482"/>
    <x v="1"/>
    <x v="4"/>
    <n v="18"/>
    <n v="3"/>
    <x v="2"/>
    <x v="2"/>
    <s v="cashloan"/>
    <n v="7459040000"/>
  </r>
  <r>
    <x v="482"/>
    <x v="1"/>
    <x v="4"/>
    <n v="18"/>
    <n v="3"/>
    <x v="3"/>
    <x v="3"/>
    <s v="cashloan"/>
    <n v="0"/>
  </r>
  <r>
    <x v="482"/>
    <x v="1"/>
    <x v="4"/>
    <n v="18"/>
    <n v="3"/>
    <x v="22"/>
    <x v="16"/>
    <s v="cashloan"/>
    <n v="0"/>
  </r>
  <r>
    <x v="482"/>
    <x v="1"/>
    <x v="4"/>
    <n v="18"/>
    <n v="3"/>
    <x v="15"/>
    <x v="14"/>
    <s v="paylater"/>
    <n v="45539571"/>
  </r>
  <r>
    <x v="482"/>
    <x v="1"/>
    <x v="4"/>
    <n v="18"/>
    <n v="3"/>
    <x v="20"/>
    <x v="9"/>
    <s v="cashloan"/>
    <n v="0"/>
  </r>
  <r>
    <x v="482"/>
    <x v="1"/>
    <x v="4"/>
    <n v="18"/>
    <n v="3"/>
    <x v="17"/>
    <x v="9"/>
    <s v="cashloan"/>
    <n v="0"/>
  </r>
  <r>
    <x v="482"/>
    <x v="1"/>
    <x v="4"/>
    <n v="18"/>
    <n v="3"/>
    <x v="21"/>
    <x v="9"/>
    <s v="cashloan"/>
    <n v="0"/>
  </r>
  <r>
    <x v="482"/>
    <x v="1"/>
    <x v="4"/>
    <n v="18"/>
    <n v="3"/>
    <x v="1"/>
    <x v="1"/>
    <s v="cashloan"/>
    <n v="52500000"/>
  </r>
  <r>
    <x v="482"/>
    <x v="1"/>
    <x v="4"/>
    <n v="18"/>
    <n v="3"/>
    <x v="6"/>
    <x v="6"/>
    <s v="payday"/>
    <n v="37000000"/>
  </r>
  <r>
    <x v="483"/>
    <x v="1"/>
    <x v="4"/>
    <n v="18"/>
    <n v="4"/>
    <x v="0"/>
    <x v="0"/>
    <s v="payday"/>
    <n v="4746168000"/>
  </r>
  <r>
    <x v="483"/>
    <x v="1"/>
    <x v="4"/>
    <n v="18"/>
    <n v="4"/>
    <x v="22"/>
    <x v="16"/>
    <s v="cashloan"/>
    <n v="0"/>
  </r>
  <r>
    <x v="483"/>
    <x v="1"/>
    <x v="4"/>
    <n v="18"/>
    <n v="4"/>
    <x v="2"/>
    <x v="2"/>
    <s v="cashloan"/>
    <n v="7601730000"/>
  </r>
  <r>
    <x v="483"/>
    <x v="1"/>
    <x v="4"/>
    <n v="18"/>
    <n v="4"/>
    <x v="17"/>
    <x v="9"/>
    <s v="cashloan"/>
    <n v="0"/>
  </r>
  <r>
    <x v="483"/>
    <x v="1"/>
    <x v="4"/>
    <n v="18"/>
    <n v="4"/>
    <x v="24"/>
    <x v="18"/>
    <s v="cashloan"/>
    <n v="0"/>
  </r>
  <r>
    <x v="483"/>
    <x v="1"/>
    <x v="4"/>
    <n v="18"/>
    <n v="4"/>
    <x v="15"/>
    <x v="14"/>
    <s v="paylater"/>
    <n v="49272873"/>
  </r>
  <r>
    <x v="483"/>
    <x v="1"/>
    <x v="4"/>
    <n v="18"/>
    <n v="4"/>
    <x v="20"/>
    <x v="9"/>
    <s v="cashloan"/>
    <n v="0"/>
  </r>
  <r>
    <x v="483"/>
    <x v="1"/>
    <x v="4"/>
    <n v="18"/>
    <n v="4"/>
    <x v="21"/>
    <x v="9"/>
    <s v="cashloan"/>
    <n v="0"/>
  </r>
  <r>
    <x v="483"/>
    <x v="1"/>
    <x v="4"/>
    <n v="18"/>
    <n v="4"/>
    <x v="1"/>
    <x v="1"/>
    <s v="cashloan"/>
    <n v="31500000"/>
  </r>
  <r>
    <x v="483"/>
    <x v="1"/>
    <x v="4"/>
    <n v="18"/>
    <n v="4"/>
    <x v="6"/>
    <x v="6"/>
    <s v="payday"/>
    <n v="52000000"/>
  </r>
  <r>
    <x v="483"/>
    <x v="1"/>
    <x v="4"/>
    <n v="18"/>
    <n v="4"/>
    <x v="3"/>
    <x v="3"/>
    <s v="cashloan"/>
    <n v="0"/>
  </r>
  <r>
    <x v="483"/>
    <x v="1"/>
    <x v="4"/>
    <n v="18"/>
    <n v="4"/>
    <x v="18"/>
    <x v="15"/>
    <s v="cashloan"/>
    <n v="541420000"/>
  </r>
  <r>
    <x v="483"/>
    <x v="1"/>
    <x v="4"/>
    <n v="18"/>
    <n v="4"/>
    <x v="14"/>
    <x v="13"/>
    <s v="cashloan"/>
    <n v="820630000"/>
  </r>
  <r>
    <x v="483"/>
    <x v="1"/>
    <x v="4"/>
    <n v="18"/>
    <n v="4"/>
    <x v="11"/>
    <x v="10"/>
    <s v="paylater"/>
    <n v="232283012"/>
  </r>
  <r>
    <x v="483"/>
    <x v="1"/>
    <x v="4"/>
    <n v="18"/>
    <n v="4"/>
    <x v="19"/>
    <x v="12"/>
    <s v="paylater"/>
    <n v="1030025528"/>
  </r>
  <r>
    <x v="483"/>
    <x v="1"/>
    <x v="4"/>
    <n v="18"/>
    <n v="4"/>
    <x v="5"/>
    <x v="5"/>
    <s v="overdraft"/>
    <n v="4184796288"/>
  </r>
  <r>
    <x v="483"/>
    <x v="1"/>
    <x v="4"/>
    <n v="18"/>
    <n v="4"/>
    <x v="7"/>
    <x v="7"/>
    <s v="paylater"/>
    <n v="427796971"/>
  </r>
  <r>
    <x v="483"/>
    <x v="1"/>
    <x v="4"/>
    <n v="18"/>
    <n v="4"/>
    <x v="12"/>
    <x v="11"/>
    <s v="cashloan"/>
    <n v="7396590000"/>
  </r>
  <r>
    <x v="484"/>
    <x v="1"/>
    <x v="4"/>
    <n v="19"/>
    <n v="5"/>
    <x v="2"/>
    <x v="2"/>
    <s v="cashloan"/>
    <n v="9829490000"/>
  </r>
  <r>
    <x v="484"/>
    <x v="1"/>
    <x v="4"/>
    <n v="19"/>
    <n v="5"/>
    <x v="18"/>
    <x v="15"/>
    <s v="cashloan"/>
    <n v="807810000"/>
  </r>
  <r>
    <x v="484"/>
    <x v="1"/>
    <x v="4"/>
    <n v="19"/>
    <n v="5"/>
    <x v="24"/>
    <x v="18"/>
    <s v="cashloan"/>
    <n v="0"/>
  </r>
  <r>
    <x v="484"/>
    <x v="1"/>
    <x v="4"/>
    <n v="19"/>
    <n v="5"/>
    <x v="14"/>
    <x v="13"/>
    <s v="cashloan"/>
    <n v="1151950000"/>
  </r>
  <r>
    <x v="484"/>
    <x v="1"/>
    <x v="4"/>
    <n v="19"/>
    <n v="5"/>
    <x v="22"/>
    <x v="16"/>
    <s v="cashloan"/>
    <n v="0"/>
  </r>
  <r>
    <x v="484"/>
    <x v="1"/>
    <x v="4"/>
    <n v="19"/>
    <n v="5"/>
    <x v="15"/>
    <x v="14"/>
    <s v="paylater"/>
    <n v="60004546"/>
  </r>
  <r>
    <x v="484"/>
    <x v="1"/>
    <x v="4"/>
    <n v="19"/>
    <n v="5"/>
    <x v="23"/>
    <x v="17"/>
    <s v="paylater"/>
    <n v="0"/>
  </r>
  <r>
    <x v="484"/>
    <x v="1"/>
    <x v="4"/>
    <n v="19"/>
    <n v="5"/>
    <x v="20"/>
    <x v="9"/>
    <s v="cashloan"/>
    <n v="0"/>
  </r>
  <r>
    <x v="484"/>
    <x v="1"/>
    <x v="4"/>
    <n v="19"/>
    <n v="5"/>
    <x v="17"/>
    <x v="9"/>
    <s v="cashloan"/>
    <n v="0"/>
  </r>
  <r>
    <x v="484"/>
    <x v="1"/>
    <x v="4"/>
    <n v="19"/>
    <n v="5"/>
    <x v="21"/>
    <x v="9"/>
    <s v="cashloan"/>
    <n v="0"/>
  </r>
  <r>
    <x v="484"/>
    <x v="1"/>
    <x v="4"/>
    <n v="19"/>
    <n v="5"/>
    <x v="1"/>
    <x v="1"/>
    <s v="cashloan"/>
    <n v="69350000"/>
  </r>
  <r>
    <x v="484"/>
    <x v="1"/>
    <x v="4"/>
    <n v="19"/>
    <n v="5"/>
    <x v="6"/>
    <x v="6"/>
    <s v="payday"/>
    <n v="34000000"/>
  </r>
  <r>
    <x v="484"/>
    <x v="1"/>
    <x v="4"/>
    <n v="19"/>
    <n v="5"/>
    <x v="3"/>
    <x v="3"/>
    <s v="cashloan"/>
    <n v="0"/>
  </r>
  <r>
    <x v="484"/>
    <x v="1"/>
    <x v="4"/>
    <n v="19"/>
    <n v="5"/>
    <x v="0"/>
    <x v="0"/>
    <s v="payday"/>
    <n v="6022404000"/>
  </r>
  <r>
    <x v="484"/>
    <x v="1"/>
    <x v="4"/>
    <n v="19"/>
    <n v="5"/>
    <x v="11"/>
    <x v="10"/>
    <s v="paylater"/>
    <n v="382181504"/>
  </r>
  <r>
    <x v="484"/>
    <x v="1"/>
    <x v="4"/>
    <n v="19"/>
    <n v="5"/>
    <x v="19"/>
    <x v="12"/>
    <s v="paylater"/>
    <n v="2041036355"/>
  </r>
  <r>
    <x v="484"/>
    <x v="1"/>
    <x v="4"/>
    <n v="19"/>
    <n v="5"/>
    <x v="5"/>
    <x v="5"/>
    <s v="overdraft"/>
    <n v="6882815552"/>
  </r>
  <r>
    <x v="484"/>
    <x v="1"/>
    <x v="4"/>
    <n v="19"/>
    <n v="5"/>
    <x v="7"/>
    <x v="7"/>
    <s v="paylater"/>
    <n v="796884970"/>
  </r>
  <r>
    <x v="484"/>
    <x v="1"/>
    <x v="4"/>
    <n v="19"/>
    <n v="5"/>
    <x v="12"/>
    <x v="11"/>
    <s v="cashloan"/>
    <n v="10815890000"/>
  </r>
  <r>
    <x v="485"/>
    <x v="1"/>
    <x v="4"/>
    <n v="19"/>
    <n v="6"/>
    <x v="0"/>
    <x v="0"/>
    <s v="payday"/>
    <n v="5234652000"/>
  </r>
  <r>
    <x v="485"/>
    <x v="1"/>
    <x v="4"/>
    <n v="19"/>
    <n v="6"/>
    <x v="2"/>
    <x v="2"/>
    <s v="cashloan"/>
    <n v="8794860000"/>
  </r>
  <r>
    <x v="485"/>
    <x v="1"/>
    <x v="4"/>
    <n v="19"/>
    <n v="6"/>
    <x v="12"/>
    <x v="11"/>
    <s v="cashloan"/>
    <n v="8905980000"/>
  </r>
  <r>
    <x v="485"/>
    <x v="1"/>
    <x v="4"/>
    <n v="19"/>
    <n v="6"/>
    <x v="22"/>
    <x v="16"/>
    <s v="cashloan"/>
    <n v="0"/>
  </r>
  <r>
    <x v="485"/>
    <x v="1"/>
    <x v="4"/>
    <n v="19"/>
    <n v="6"/>
    <x v="15"/>
    <x v="14"/>
    <s v="paylater"/>
    <n v="98567884"/>
  </r>
  <r>
    <x v="485"/>
    <x v="1"/>
    <x v="4"/>
    <n v="19"/>
    <n v="6"/>
    <x v="20"/>
    <x v="9"/>
    <s v="cashloan"/>
    <n v="0"/>
  </r>
  <r>
    <x v="485"/>
    <x v="1"/>
    <x v="4"/>
    <n v="19"/>
    <n v="6"/>
    <x v="17"/>
    <x v="9"/>
    <s v="cashloan"/>
    <n v="0"/>
  </r>
  <r>
    <x v="485"/>
    <x v="1"/>
    <x v="4"/>
    <n v="19"/>
    <n v="6"/>
    <x v="21"/>
    <x v="9"/>
    <s v="cashloan"/>
    <n v="0"/>
  </r>
  <r>
    <x v="485"/>
    <x v="1"/>
    <x v="4"/>
    <n v="19"/>
    <n v="6"/>
    <x v="1"/>
    <x v="1"/>
    <s v="cashloan"/>
    <n v="73500000"/>
  </r>
  <r>
    <x v="485"/>
    <x v="1"/>
    <x v="4"/>
    <n v="19"/>
    <n v="6"/>
    <x v="6"/>
    <x v="6"/>
    <s v="payday"/>
    <n v="63000000"/>
  </r>
  <r>
    <x v="485"/>
    <x v="1"/>
    <x v="4"/>
    <n v="19"/>
    <n v="6"/>
    <x v="24"/>
    <x v="18"/>
    <s v="cashloan"/>
    <n v="0"/>
  </r>
  <r>
    <x v="485"/>
    <x v="1"/>
    <x v="4"/>
    <n v="19"/>
    <n v="6"/>
    <x v="3"/>
    <x v="3"/>
    <s v="cashloan"/>
    <n v="0"/>
  </r>
  <r>
    <x v="485"/>
    <x v="1"/>
    <x v="4"/>
    <n v="19"/>
    <n v="6"/>
    <x v="18"/>
    <x v="15"/>
    <s v="cashloan"/>
    <n v="883320000"/>
  </r>
  <r>
    <x v="485"/>
    <x v="1"/>
    <x v="4"/>
    <n v="19"/>
    <n v="6"/>
    <x v="14"/>
    <x v="13"/>
    <s v="cashloan"/>
    <n v="1115800000"/>
  </r>
  <r>
    <x v="485"/>
    <x v="1"/>
    <x v="4"/>
    <n v="19"/>
    <n v="6"/>
    <x v="23"/>
    <x v="17"/>
    <s v="paylater"/>
    <n v="0"/>
  </r>
  <r>
    <x v="485"/>
    <x v="1"/>
    <x v="4"/>
    <n v="19"/>
    <n v="6"/>
    <x v="11"/>
    <x v="10"/>
    <s v="paylater"/>
    <n v="324335534"/>
  </r>
  <r>
    <x v="485"/>
    <x v="1"/>
    <x v="4"/>
    <n v="19"/>
    <n v="6"/>
    <x v="19"/>
    <x v="12"/>
    <s v="paylater"/>
    <n v="1175122658"/>
  </r>
  <r>
    <x v="485"/>
    <x v="1"/>
    <x v="4"/>
    <n v="19"/>
    <n v="6"/>
    <x v="5"/>
    <x v="5"/>
    <s v="overdraft"/>
    <n v="4159359673"/>
  </r>
  <r>
    <x v="485"/>
    <x v="1"/>
    <x v="4"/>
    <n v="19"/>
    <n v="6"/>
    <x v="7"/>
    <x v="7"/>
    <s v="paylater"/>
    <n v="769928225"/>
  </r>
  <r>
    <x v="486"/>
    <x v="1"/>
    <x v="4"/>
    <n v="19"/>
    <n v="7"/>
    <x v="0"/>
    <x v="0"/>
    <s v="payday"/>
    <n v="5385204000"/>
  </r>
  <r>
    <x v="486"/>
    <x v="1"/>
    <x v="4"/>
    <n v="19"/>
    <n v="7"/>
    <x v="2"/>
    <x v="2"/>
    <s v="cashloan"/>
    <n v="8616410000"/>
  </r>
  <r>
    <x v="486"/>
    <x v="1"/>
    <x v="4"/>
    <n v="19"/>
    <n v="7"/>
    <x v="20"/>
    <x v="9"/>
    <s v="cashloan"/>
    <n v="0"/>
  </r>
  <r>
    <x v="486"/>
    <x v="1"/>
    <x v="4"/>
    <n v="19"/>
    <n v="7"/>
    <x v="24"/>
    <x v="18"/>
    <s v="cashloan"/>
    <n v="0"/>
  </r>
  <r>
    <x v="486"/>
    <x v="1"/>
    <x v="4"/>
    <n v="19"/>
    <n v="7"/>
    <x v="7"/>
    <x v="7"/>
    <s v="paylater"/>
    <n v="690483096"/>
  </r>
  <r>
    <x v="486"/>
    <x v="1"/>
    <x v="4"/>
    <n v="19"/>
    <n v="7"/>
    <x v="22"/>
    <x v="16"/>
    <s v="cashloan"/>
    <n v="0"/>
  </r>
  <r>
    <x v="486"/>
    <x v="1"/>
    <x v="4"/>
    <n v="19"/>
    <n v="7"/>
    <x v="12"/>
    <x v="11"/>
    <s v="cashloan"/>
    <n v="8396070000"/>
  </r>
  <r>
    <x v="486"/>
    <x v="1"/>
    <x v="4"/>
    <n v="19"/>
    <n v="7"/>
    <x v="17"/>
    <x v="9"/>
    <s v="cashloan"/>
    <n v="0"/>
  </r>
  <r>
    <x v="486"/>
    <x v="1"/>
    <x v="4"/>
    <n v="19"/>
    <n v="7"/>
    <x v="21"/>
    <x v="9"/>
    <s v="cashloan"/>
    <n v="0"/>
  </r>
  <r>
    <x v="486"/>
    <x v="1"/>
    <x v="4"/>
    <n v="19"/>
    <n v="7"/>
    <x v="1"/>
    <x v="1"/>
    <s v="cashloan"/>
    <n v="52500000"/>
  </r>
  <r>
    <x v="486"/>
    <x v="1"/>
    <x v="4"/>
    <n v="19"/>
    <n v="7"/>
    <x v="6"/>
    <x v="6"/>
    <s v="payday"/>
    <n v="41000000"/>
  </r>
  <r>
    <x v="486"/>
    <x v="1"/>
    <x v="4"/>
    <n v="19"/>
    <n v="7"/>
    <x v="3"/>
    <x v="3"/>
    <s v="cashloan"/>
    <n v="0"/>
  </r>
  <r>
    <x v="486"/>
    <x v="1"/>
    <x v="4"/>
    <n v="19"/>
    <n v="7"/>
    <x v="18"/>
    <x v="15"/>
    <s v="cashloan"/>
    <n v="697650000"/>
  </r>
  <r>
    <x v="486"/>
    <x v="1"/>
    <x v="4"/>
    <n v="19"/>
    <n v="7"/>
    <x v="14"/>
    <x v="13"/>
    <s v="cashloan"/>
    <n v="1125390000"/>
  </r>
  <r>
    <x v="486"/>
    <x v="1"/>
    <x v="4"/>
    <n v="19"/>
    <n v="7"/>
    <x v="23"/>
    <x v="17"/>
    <s v="paylater"/>
    <n v="0"/>
  </r>
  <r>
    <x v="486"/>
    <x v="1"/>
    <x v="4"/>
    <n v="19"/>
    <n v="7"/>
    <x v="15"/>
    <x v="14"/>
    <s v="paylater"/>
    <n v="61243741"/>
  </r>
  <r>
    <x v="486"/>
    <x v="1"/>
    <x v="4"/>
    <n v="19"/>
    <n v="7"/>
    <x v="11"/>
    <x v="10"/>
    <s v="paylater"/>
    <n v="298562334"/>
  </r>
  <r>
    <x v="486"/>
    <x v="1"/>
    <x v="4"/>
    <n v="19"/>
    <n v="7"/>
    <x v="19"/>
    <x v="12"/>
    <s v="paylater"/>
    <n v="827449280"/>
  </r>
  <r>
    <x v="486"/>
    <x v="1"/>
    <x v="4"/>
    <n v="19"/>
    <n v="7"/>
    <x v="5"/>
    <x v="5"/>
    <s v="overdraft"/>
    <n v="3920422765"/>
  </r>
  <r>
    <x v="487"/>
    <x v="1"/>
    <x v="4"/>
    <n v="19"/>
    <n v="8"/>
    <x v="12"/>
    <x v="11"/>
    <s v="cashloan"/>
    <n v="8600700000"/>
  </r>
  <r>
    <x v="487"/>
    <x v="1"/>
    <x v="4"/>
    <n v="19"/>
    <n v="8"/>
    <x v="0"/>
    <x v="0"/>
    <s v="payday"/>
    <n v="4792824000"/>
  </r>
  <r>
    <x v="487"/>
    <x v="1"/>
    <x v="4"/>
    <n v="19"/>
    <n v="8"/>
    <x v="2"/>
    <x v="2"/>
    <s v="cashloan"/>
    <n v="8257610000"/>
  </r>
  <r>
    <x v="487"/>
    <x v="1"/>
    <x v="4"/>
    <n v="19"/>
    <n v="8"/>
    <x v="7"/>
    <x v="7"/>
    <s v="paylater"/>
    <n v="540743072"/>
  </r>
  <r>
    <x v="487"/>
    <x v="1"/>
    <x v="4"/>
    <n v="19"/>
    <n v="8"/>
    <x v="24"/>
    <x v="18"/>
    <s v="cashloan"/>
    <n v="0"/>
  </r>
  <r>
    <x v="487"/>
    <x v="1"/>
    <x v="4"/>
    <n v="19"/>
    <n v="8"/>
    <x v="22"/>
    <x v="16"/>
    <s v="cashloan"/>
    <n v="0"/>
  </r>
  <r>
    <x v="487"/>
    <x v="1"/>
    <x v="4"/>
    <n v="19"/>
    <n v="8"/>
    <x v="15"/>
    <x v="14"/>
    <s v="paylater"/>
    <n v="31758038"/>
  </r>
  <r>
    <x v="487"/>
    <x v="1"/>
    <x v="4"/>
    <n v="19"/>
    <n v="8"/>
    <x v="20"/>
    <x v="9"/>
    <s v="cashloan"/>
    <n v="0"/>
  </r>
  <r>
    <x v="487"/>
    <x v="1"/>
    <x v="4"/>
    <n v="19"/>
    <n v="8"/>
    <x v="17"/>
    <x v="9"/>
    <s v="cashloan"/>
    <n v="0"/>
  </r>
  <r>
    <x v="487"/>
    <x v="1"/>
    <x v="4"/>
    <n v="19"/>
    <n v="8"/>
    <x v="19"/>
    <x v="12"/>
    <s v="paylater"/>
    <n v="566602787"/>
  </r>
  <r>
    <x v="487"/>
    <x v="1"/>
    <x v="4"/>
    <n v="19"/>
    <n v="8"/>
    <x v="5"/>
    <x v="5"/>
    <s v="overdraft"/>
    <n v="3588079949"/>
  </r>
  <r>
    <x v="487"/>
    <x v="1"/>
    <x v="4"/>
    <n v="19"/>
    <n v="8"/>
    <x v="11"/>
    <x v="10"/>
    <s v="paylater"/>
    <n v="259471512"/>
  </r>
  <r>
    <x v="487"/>
    <x v="1"/>
    <x v="4"/>
    <n v="19"/>
    <n v="8"/>
    <x v="21"/>
    <x v="9"/>
    <s v="cashloan"/>
    <n v="0"/>
  </r>
  <r>
    <x v="487"/>
    <x v="1"/>
    <x v="4"/>
    <n v="19"/>
    <n v="8"/>
    <x v="1"/>
    <x v="1"/>
    <s v="cashloan"/>
    <n v="21000000"/>
  </r>
  <r>
    <x v="487"/>
    <x v="1"/>
    <x v="4"/>
    <n v="19"/>
    <n v="8"/>
    <x v="14"/>
    <x v="13"/>
    <s v="cashloan"/>
    <n v="1249280000"/>
  </r>
  <r>
    <x v="487"/>
    <x v="1"/>
    <x v="4"/>
    <n v="19"/>
    <n v="8"/>
    <x v="23"/>
    <x v="17"/>
    <s v="paylater"/>
    <n v="0"/>
  </r>
  <r>
    <x v="487"/>
    <x v="1"/>
    <x v="4"/>
    <n v="19"/>
    <n v="8"/>
    <x v="6"/>
    <x v="6"/>
    <s v="payday"/>
    <n v="35000000"/>
  </r>
  <r>
    <x v="487"/>
    <x v="1"/>
    <x v="4"/>
    <n v="19"/>
    <n v="8"/>
    <x v="3"/>
    <x v="3"/>
    <s v="cashloan"/>
    <n v="0"/>
  </r>
  <r>
    <x v="487"/>
    <x v="1"/>
    <x v="4"/>
    <n v="19"/>
    <n v="8"/>
    <x v="18"/>
    <x v="15"/>
    <s v="cashloan"/>
    <n v="664520000"/>
  </r>
  <r>
    <x v="488"/>
    <x v="1"/>
    <x v="4"/>
    <n v="19"/>
    <n v="9"/>
    <x v="2"/>
    <x v="2"/>
    <s v="cashloan"/>
    <n v="7898560000"/>
  </r>
  <r>
    <x v="488"/>
    <x v="1"/>
    <x v="4"/>
    <n v="19"/>
    <n v="9"/>
    <x v="23"/>
    <x v="17"/>
    <s v="paylater"/>
    <n v="0"/>
  </r>
  <r>
    <x v="488"/>
    <x v="1"/>
    <x v="4"/>
    <n v="19"/>
    <n v="9"/>
    <x v="24"/>
    <x v="18"/>
    <s v="cashloan"/>
    <n v="0"/>
  </r>
  <r>
    <x v="488"/>
    <x v="1"/>
    <x v="4"/>
    <n v="19"/>
    <n v="9"/>
    <x v="5"/>
    <x v="5"/>
    <s v="overdraft"/>
    <n v="3787989838"/>
  </r>
  <r>
    <x v="488"/>
    <x v="1"/>
    <x v="4"/>
    <n v="19"/>
    <n v="9"/>
    <x v="22"/>
    <x v="16"/>
    <s v="cashloan"/>
    <n v="0"/>
  </r>
  <r>
    <x v="488"/>
    <x v="1"/>
    <x v="4"/>
    <n v="19"/>
    <n v="9"/>
    <x v="15"/>
    <x v="14"/>
    <s v="paylater"/>
    <n v="22423088"/>
  </r>
  <r>
    <x v="488"/>
    <x v="1"/>
    <x v="4"/>
    <n v="19"/>
    <n v="9"/>
    <x v="7"/>
    <x v="7"/>
    <s v="paylater"/>
    <n v="457941232"/>
  </r>
  <r>
    <x v="488"/>
    <x v="1"/>
    <x v="4"/>
    <n v="19"/>
    <n v="9"/>
    <x v="17"/>
    <x v="9"/>
    <s v="cashloan"/>
    <n v="0"/>
  </r>
  <r>
    <x v="488"/>
    <x v="1"/>
    <x v="4"/>
    <n v="19"/>
    <n v="9"/>
    <x v="21"/>
    <x v="9"/>
    <s v="cashloan"/>
    <n v="0"/>
  </r>
  <r>
    <x v="488"/>
    <x v="1"/>
    <x v="4"/>
    <n v="19"/>
    <n v="9"/>
    <x v="1"/>
    <x v="1"/>
    <s v="cashloan"/>
    <n v="61500000"/>
  </r>
  <r>
    <x v="488"/>
    <x v="1"/>
    <x v="4"/>
    <n v="19"/>
    <n v="9"/>
    <x v="6"/>
    <x v="6"/>
    <s v="payday"/>
    <n v="38000000"/>
  </r>
  <r>
    <x v="488"/>
    <x v="1"/>
    <x v="4"/>
    <n v="19"/>
    <n v="9"/>
    <x v="3"/>
    <x v="3"/>
    <s v="cashloan"/>
    <n v="0"/>
  </r>
  <r>
    <x v="488"/>
    <x v="1"/>
    <x v="4"/>
    <n v="19"/>
    <n v="9"/>
    <x v="18"/>
    <x v="15"/>
    <s v="cashloan"/>
    <n v="699380000"/>
  </r>
  <r>
    <x v="488"/>
    <x v="1"/>
    <x v="4"/>
    <n v="19"/>
    <n v="9"/>
    <x v="14"/>
    <x v="13"/>
    <s v="cashloan"/>
    <n v="797280000"/>
  </r>
  <r>
    <x v="488"/>
    <x v="1"/>
    <x v="4"/>
    <n v="19"/>
    <n v="9"/>
    <x v="12"/>
    <x v="11"/>
    <s v="cashloan"/>
    <n v="7382920000"/>
  </r>
  <r>
    <x v="488"/>
    <x v="1"/>
    <x v="4"/>
    <n v="19"/>
    <n v="9"/>
    <x v="20"/>
    <x v="9"/>
    <s v="cashloan"/>
    <n v="0"/>
  </r>
  <r>
    <x v="488"/>
    <x v="1"/>
    <x v="4"/>
    <n v="19"/>
    <n v="9"/>
    <x v="11"/>
    <x v="10"/>
    <s v="paylater"/>
    <n v="265382455"/>
  </r>
  <r>
    <x v="488"/>
    <x v="1"/>
    <x v="4"/>
    <n v="19"/>
    <n v="9"/>
    <x v="19"/>
    <x v="12"/>
    <s v="paylater"/>
    <n v="563598907"/>
  </r>
  <r>
    <x v="488"/>
    <x v="1"/>
    <x v="4"/>
    <n v="19"/>
    <n v="9"/>
    <x v="0"/>
    <x v="0"/>
    <s v="payday"/>
    <n v="5836644000"/>
  </r>
  <r>
    <x v="489"/>
    <x v="1"/>
    <x v="4"/>
    <n v="19"/>
    <n v="10"/>
    <x v="12"/>
    <x v="11"/>
    <s v="cashloan"/>
    <n v="7138150000"/>
  </r>
  <r>
    <x v="489"/>
    <x v="1"/>
    <x v="4"/>
    <n v="19"/>
    <n v="10"/>
    <x v="0"/>
    <x v="0"/>
    <s v="payday"/>
    <n v="6603660000"/>
  </r>
  <r>
    <x v="489"/>
    <x v="1"/>
    <x v="4"/>
    <n v="19"/>
    <n v="10"/>
    <x v="7"/>
    <x v="7"/>
    <s v="paylater"/>
    <n v="484643746"/>
  </r>
  <r>
    <x v="489"/>
    <x v="1"/>
    <x v="4"/>
    <n v="19"/>
    <n v="10"/>
    <x v="2"/>
    <x v="2"/>
    <s v="cashloan"/>
    <n v="9164060000"/>
  </r>
  <r>
    <x v="489"/>
    <x v="1"/>
    <x v="4"/>
    <n v="19"/>
    <n v="10"/>
    <x v="5"/>
    <x v="5"/>
    <s v="overdraft"/>
    <n v="3743492408"/>
  </r>
  <r>
    <x v="489"/>
    <x v="1"/>
    <x v="4"/>
    <n v="19"/>
    <n v="10"/>
    <x v="22"/>
    <x v="16"/>
    <s v="cashloan"/>
    <n v="0"/>
  </r>
  <r>
    <x v="489"/>
    <x v="1"/>
    <x v="4"/>
    <n v="19"/>
    <n v="10"/>
    <x v="15"/>
    <x v="14"/>
    <s v="paylater"/>
    <n v="31806656"/>
  </r>
  <r>
    <x v="489"/>
    <x v="1"/>
    <x v="4"/>
    <n v="19"/>
    <n v="10"/>
    <x v="20"/>
    <x v="9"/>
    <s v="cashloan"/>
    <n v="0"/>
  </r>
  <r>
    <x v="489"/>
    <x v="1"/>
    <x v="4"/>
    <n v="19"/>
    <n v="10"/>
    <x v="24"/>
    <x v="18"/>
    <s v="cashloan"/>
    <n v="3000000"/>
  </r>
  <r>
    <x v="489"/>
    <x v="1"/>
    <x v="4"/>
    <n v="19"/>
    <n v="10"/>
    <x v="17"/>
    <x v="9"/>
    <s v="cashloan"/>
    <n v="0"/>
  </r>
  <r>
    <x v="489"/>
    <x v="1"/>
    <x v="4"/>
    <n v="19"/>
    <n v="10"/>
    <x v="21"/>
    <x v="9"/>
    <s v="cashloan"/>
    <n v="0"/>
  </r>
  <r>
    <x v="489"/>
    <x v="1"/>
    <x v="4"/>
    <n v="19"/>
    <n v="10"/>
    <x v="1"/>
    <x v="1"/>
    <s v="cashloan"/>
    <n v="25500000"/>
  </r>
  <r>
    <x v="489"/>
    <x v="1"/>
    <x v="4"/>
    <n v="19"/>
    <n v="10"/>
    <x v="6"/>
    <x v="6"/>
    <s v="payday"/>
    <n v="34000000"/>
  </r>
  <r>
    <x v="489"/>
    <x v="1"/>
    <x v="4"/>
    <n v="19"/>
    <n v="10"/>
    <x v="3"/>
    <x v="3"/>
    <s v="cashloan"/>
    <n v="0"/>
  </r>
  <r>
    <x v="489"/>
    <x v="1"/>
    <x v="4"/>
    <n v="19"/>
    <n v="10"/>
    <x v="18"/>
    <x v="15"/>
    <s v="cashloan"/>
    <n v="824640000"/>
  </r>
  <r>
    <x v="489"/>
    <x v="1"/>
    <x v="4"/>
    <n v="19"/>
    <n v="10"/>
    <x v="14"/>
    <x v="13"/>
    <s v="cashloan"/>
    <n v="838020000"/>
  </r>
  <r>
    <x v="489"/>
    <x v="1"/>
    <x v="4"/>
    <n v="19"/>
    <n v="10"/>
    <x v="23"/>
    <x v="17"/>
    <s v="paylater"/>
    <n v="0"/>
  </r>
  <r>
    <x v="489"/>
    <x v="1"/>
    <x v="4"/>
    <n v="19"/>
    <n v="10"/>
    <x v="11"/>
    <x v="10"/>
    <s v="paylater"/>
    <n v="284916277"/>
  </r>
  <r>
    <x v="489"/>
    <x v="1"/>
    <x v="4"/>
    <n v="19"/>
    <n v="10"/>
    <x v="19"/>
    <x v="12"/>
    <s v="paylater"/>
    <n v="551129547"/>
  </r>
  <r>
    <x v="490"/>
    <x v="1"/>
    <x v="4"/>
    <n v="19"/>
    <n v="11"/>
    <x v="12"/>
    <x v="11"/>
    <s v="cashloan"/>
    <n v="6326530000"/>
  </r>
  <r>
    <x v="490"/>
    <x v="1"/>
    <x v="4"/>
    <n v="19"/>
    <n v="11"/>
    <x v="0"/>
    <x v="0"/>
    <s v="payday"/>
    <n v="5293944000"/>
  </r>
  <r>
    <x v="490"/>
    <x v="1"/>
    <x v="4"/>
    <n v="19"/>
    <n v="11"/>
    <x v="2"/>
    <x v="2"/>
    <s v="cashloan"/>
    <n v="8335560000"/>
  </r>
  <r>
    <x v="490"/>
    <x v="1"/>
    <x v="4"/>
    <n v="19"/>
    <n v="11"/>
    <x v="22"/>
    <x v="16"/>
    <s v="cashloan"/>
    <n v="0"/>
  </r>
  <r>
    <x v="490"/>
    <x v="1"/>
    <x v="4"/>
    <n v="19"/>
    <n v="11"/>
    <x v="24"/>
    <x v="18"/>
    <s v="cashloan"/>
    <n v="12000000"/>
  </r>
  <r>
    <x v="490"/>
    <x v="1"/>
    <x v="4"/>
    <n v="19"/>
    <n v="11"/>
    <x v="15"/>
    <x v="14"/>
    <s v="paylater"/>
    <n v="2808866"/>
  </r>
  <r>
    <x v="490"/>
    <x v="1"/>
    <x v="4"/>
    <n v="19"/>
    <n v="11"/>
    <x v="20"/>
    <x v="9"/>
    <s v="cashloan"/>
    <n v="0"/>
  </r>
  <r>
    <x v="490"/>
    <x v="1"/>
    <x v="4"/>
    <n v="19"/>
    <n v="11"/>
    <x v="17"/>
    <x v="9"/>
    <s v="cashloan"/>
    <n v="0"/>
  </r>
  <r>
    <x v="490"/>
    <x v="1"/>
    <x v="4"/>
    <n v="19"/>
    <n v="11"/>
    <x v="21"/>
    <x v="9"/>
    <s v="cashloan"/>
    <n v="0"/>
  </r>
  <r>
    <x v="490"/>
    <x v="1"/>
    <x v="4"/>
    <n v="19"/>
    <n v="11"/>
    <x v="1"/>
    <x v="1"/>
    <s v="cashloan"/>
    <n v="0"/>
  </r>
  <r>
    <x v="490"/>
    <x v="1"/>
    <x v="4"/>
    <n v="19"/>
    <n v="11"/>
    <x v="6"/>
    <x v="6"/>
    <s v="payday"/>
    <n v="36000000"/>
  </r>
  <r>
    <x v="490"/>
    <x v="1"/>
    <x v="4"/>
    <n v="19"/>
    <n v="11"/>
    <x v="3"/>
    <x v="3"/>
    <s v="cashloan"/>
    <n v="0"/>
  </r>
  <r>
    <x v="490"/>
    <x v="1"/>
    <x v="4"/>
    <n v="19"/>
    <n v="11"/>
    <x v="18"/>
    <x v="15"/>
    <s v="cashloan"/>
    <n v="494880000"/>
  </r>
  <r>
    <x v="490"/>
    <x v="1"/>
    <x v="4"/>
    <n v="19"/>
    <n v="11"/>
    <x v="14"/>
    <x v="13"/>
    <s v="cashloan"/>
    <n v="1241740000"/>
  </r>
  <r>
    <x v="490"/>
    <x v="1"/>
    <x v="4"/>
    <n v="19"/>
    <n v="11"/>
    <x v="23"/>
    <x v="17"/>
    <s v="paylater"/>
    <n v="0"/>
  </r>
  <r>
    <x v="490"/>
    <x v="1"/>
    <x v="4"/>
    <n v="19"/>
    <n v="11"/>
    <x v="11"/>
    <x v="10"/>
    <s v="paylater"/>
    <n v="235861316"/>
  </r>
  <r>
    <x v="490"/>
    <x v="1"/>
    <x v="4"/>
    <n v="19"/>
    <n v="11"/>
    <x v="19"/>
    <x v="12"/>
    <s v="paylater"/>
    <n v="410398901"/>
  </r>
  <r>
    <x v="490"/>
    <x v="1"/>
    <x v="4"/>
    <n v="19"/>
    <n v="11"/>
    <x v="5"/>
    <x v="5"/>
    <s v="overdraft"/>
    <n v="3003863867"/>
  </r>
  <r>
    <x v="490"/>
    <x v="1"/>
    <x v="4"/>
    <n v="19"/>
    <n v="11"/>
    <x v="7"/>
    <x v="7"/>
    <s v="paylater"/>
    <n v="391676933"/>
  </r>
  <r>
    <x v="491"/>
    <x v="1"/>
    <x v="4"/>
    <n v="20"/>
    <n v="12"/>
    <x v="0"/>
    <x v="0"/>
    <s v="payday"/>
    <n v="5774652000"/>
  </r>
  <r>
    <x v="491"/>
    <x v="1"/>
    <x v="4"/>
    <n v="20"/>
    <n v="12"/>
    <x v="2"/>
    <x v="2"/>
    <s v="cashloan"/>
    <n v="8904910000"/>
  </r>
  <r>
    <x v="491"/>
    <x v="1"/>
    <x v="4"/>
    <n v="20"/>
    <n v="12"/>
    <x v="12"/>
    <x v="11"/>
    <s v="cashloan"/>
    <n v="7488660000"/>
  </r>
  <r>
    <x v="491"/>
    <x v="1"/>
    <x v="4"/>
    <n v="20"/>
    <n v="12"/>
    <x v="24"/>
    <x v="18"/>
    <s v="cashloan"/>
    <n v="94000000"/>
  </r>
  <r>
    <x v="491"/>
    <x v="1"/>
    <x v="4"/>
    <n v="20"/>
    <n v="12"/>
    <x v="15"/>
    <x v="14"/>
    <s v="paylater"/>
    <n v="27700180"/>
  </r>
  <r>
    <x v="491"/>
    <x v="1"/>
    <x v="4"/>
    <n v="20"/>
    <n v="12"/>
    <x v="20"/>
    <x v="9"/>
    <s v="cashloan"/>
    <n v="0"/>
  </r>
  <r>
    <x v="491"/>
    <x v="1"/>
    <x v="4"/>
    <n v="20"/>
    <n v="12"/>
    <x v="17"/>
    <x v="9"/>
    <s v="cashloan"/>
    <n v="0"/>
  </r>
  <r>
    <x v="491"/>
    <x v="1"/>
    <x v="4"/>
    <n v="20"/>
    <n v="12"/>
    <x v="21"/>
    <x v="9"/>
    <s v="cashloan"/>
    <n v="0"/>
  </r>
  <r>
    <x v="491"/>
    <x v="1"/>
    <x v="4"/>
    <n v="20"/>
    <n v="12"/>
    <x v="1"/>
    <x v="1"/>
    <s v="cashloan"/>
    <n v="42000000"/>
  </r>
  <r>
    <x v="491"/>
    <x v="1"/>
    <x v="4"/>
    <n v="20"/>
    <n v="12"/>
    <x v="6"/>
    <x v="6"/>
    <s v="payday"/>
    <n v="36000000"/>
  </r>
  <r>
    <x v="491"/>
    <x v="1"/>
    <x v="4"/>
    <n v="20"/>
    <n v="12"/>
    <x v="22"/>
    <x v="16"/>
    <s v="cashloan"/>
    <n v="0"/>
  </r>
  <r>
    <x v="491"/>
    <x v="1"/>
    <x v="4"/>
    <n v="20"/>
    <n v="12"/>
    <x v="3"/>
    <x v="3"/>
    <s v="cashloan"/>
    <n v="0"/>
  </r>
  <r>
    <x v="491"/>
    <x v="1"/>
    <x v="4"/>
    <n v="20"/>
    <n v="12"/>
    <x v="18"/>
    <x v="15"/>
    <s v="cashloan"/>
    <n v="959240000"/>
  </r>
  <r>
    <x v="491"/>
    <x v="1"/>
    <x v="4"/>
    <n v="20"/>
    <n v="12"/>
    <x v="14"/>
    <x v="13"/>
    <s v="cashloan"/>
    <n v="1238990000"/>
  </r>
  <r>
    <x v="491"/>
    <x v="1"/>
    <x v="4"/>
    <n v="20"/>
    <n v="12"/>
    <x v="23"/>
    <x v="17"/>
    <s v="paylater"/>
    <n v="0"/>
  </r>
  <r>
    <x v="491"/>
    <x v="1"/>
    <x v="4"/>
    <n v="20"/>
    <n v="12"/>
    <x v="11"/>
    <x v="10"/>
    <s v="paylater"/>
    <n v="203384969"/>
  </r>
  <r>
    <x v="491"/>
    <x v="1"/>
    <x v="4"/>
    <n v="20"/>
    <n v="12"/>
    <x v="19"/>
    <x v="12"/>
    <s v="paylater"/>
    <n v="490473869"/>
  </r>
  <r>
    <x v="491"/>
    <x v="1"/>
    <x v="4"/>
    <n v="20"/>
    <n v="12"/>
    <x v="5"/>
    <x v="5"/>
    <s v="overdraft"/>
    <n v="3790545338"/>
  </r>
  <r>
    <x v="491"/>
    <x v="1"/>
    <x v="4"/>
    <n v="20"/>
    <n v="12"/>
    <x v="7"/>
    <x v="7"/>
    <s v="paylater"/>
    <n v="393912460"/>
  </r>
  <r>
    <x v="492"/>
    <x v="1"/>
    <x v="4"/>
    <n v="20"/>
    <n v="13"/>
    <x v="11"/>
    <x v="10"/>
    <s v="paylater"/>
    <n v="178306212"/>
  </r>
  <r>
    <x v="492"/>
    <x v="1"/>
    <x v="4"/>
    <n v="20"/>
    <n v="13"/>
    <x v="19"/>
    <x v="12"/>
    <s v="paylater"/>
    <n v="410564387"/>
  </r>
  <r>
    <x v="492"/>
    <x v="1"/>
    <x v="4"/>
    <n v="20"/>
    <n v="13"/>
    <x v="2"/>
    <x v="2"/>
    <s v="cashloan"/>
    <n v="8227700000"/>
  </r>
  <r>
    <x v="492"/>
    <x v="1"/>
    <x v="4"/>
    <n v="20"/>
    <n v="13"/>
    <x v="5"/>
    <x v="5"/>
    <s v="overdraft"/>
    <n v="3423765456"/>
  </r>
  <r>
    <x v="492"/>
    <x v="1"/>
    <x v="4"/>
    <n v="20"/>
    <n v="13"/>
    <x v="14"/>
    <x v="13"/>
    <s v="cashloan"/>
    <n v="985210000"/>
  </r>
  <r>
    <x v="492"/>
    <x v="1"/>
    <x v="4"/>
    <n v="20"/>
    <n v="13"/>
    <x v="7"/>
    <x v="7"/>
    <s v="paylater"/>
    <n v="365516589"/>
  </r>
  <r>
    <x v="492"/>
    <x v="1"/>
    <x v="4"/>
    <n v="20"/>
    <n v="13"/>
    <x v="12"/>
    <x v="11"/>
    <s v="cashloan"/>
    <n v="7051330000"/>
  </r>
  <r>
    <x v="492"/>
    <x v="1"/>
    <x v="4"/>
    <n v="20"/>
    <n v="13"/>
    <x v="23"/>
    <x v="17"/>
    <s v="paylater"/>
    <n v="0"/>
  </r>
  <r>
    <x v="492"/>
    <x v="1"/>
    <x v="4"/>
    <n v="20"/>
    <n v="13"/>
    <x v="22"/>
    <x v="16"/>
    <s v="cashloan"/>
    <n v="0"/>
  </r>
  <r>
    <x v="492"/>
    <x v="1"/>
    <x v="4"/>
    <n v="20"/>
    <n v="13"/>
    <x v="24"/>
    <x v="18"/>
    <s v="cashloan"/>
    <n v="594000000"/>
  </r>
  <r>
    <x v="492"/>
    <x v="1"/>
    <x v="4"/>
    <n v="20"/>
    <n v="13"/>
    <x v="15"/>
    <x v="14"/>
    <s v="paylater"/>
    <n v="25317378"/>
  </r>
  <r>
    <x v="492"/>
    <x v="1"/>
    <x v="4"/>
    <n v="20"/>
    <n v="13"/>
    <x v="20"/>
    <x v="9"/>
    <s v="cashloan"/>
    <n v="0"/>
  </r>
  <r>
    <x v="492"/>
    <x v="1"/>
    <x v="4"/>
    <n v="20"/>
    <n v="13"/>
    <x v="17"/>
    <x v="9"/>
    <s v="cashloan"/>
    <n v="0"/>
  </r>
  <r>
    <x v="492"/>
    <x v="1"/>
    <x v="4"/>
    <n v="20"/>
    <n v="13"/>
    <x v="21"/>
    <x v="9"/>
    <s v="cashloan"/>
    <n v="0"/>
  </r>
  <r>
    <x v="492"/>
    <x v="1"/>
    <x v="4"/>
    <n v="20"/>
    <n v="13"/>
    <x v="1"/>
    <x v="1"/>
    <s v="cashloan"/>
    <n v="42000000"/>
  </r>
  <r>
    <x v="492"/>
    <x v="1"/>
    <x v="4"/>
    <n v="20"/>
    <n v="13"/>
    <x v="0"/>
    <x v="0"/>
    <s v="payday"/>
    <n v="5132484000"/>
  </r>
  <r>
    <x v="492"/>
    <x v="1"/>
    <x v="4"/>
    <n v="20"/>
    <n v="13"/>
    <x v="6"/>
    <x v="6"/>
    <s v="payday"/>
    <n v="33000000"/>
  </r>
  <r>
    <x v="492"/>
    <x v="1"/>
    <x v="4"/>
    <n v="20"/>
    <n v="13"/>
    <x v="3"/>
    <x v="3"/>
    <s v="cashloan"/>
    <n v="0"/>
  </r>
  <r>
    <x v="492"/>
    <x v="1"/>
    <x v="4"/>
    <n v="20"/>
    <n v="13"/>
    <x v="18"/>
    <x v="15"/>
    <s v="cashloan"/>
    <n v="476700000"/>
  </r>
  <r>
    <x v="493"/>
    <x v="1"/>
    <x v="4"/>
    <n v="20"/>
    <n v="14"/>
    <x v="18"/>
    <x v="15"/>
    <s v="cashloan"/>
    <n v="778070000"/>
  </r>
  <r>
    <x v="493"/>
    <x v="1"/>
    <x v="4"/>
    <n v="20"/>
    <n v="14"/>
    <x v="14"/>
    <x v="13"/>
    <s v="cashloan"/>
    <n v="1209660000"/>
  </r>
  <r>
    <x v="493"/>
    <x v="1"/>
    <x v="4"/>
    <n v="20"/>
    <n v="14"/>
    <x v="23"/>
    <x v="17"/>
    <s v="paylater"/>
    <n v="0"/>
  </r>
  <r>
    <x v="493"/>
    <x v="1"/>
    <x v="4"/>
    <n v="20"/>
    <n v="14"/>
    <x v="3"/>
    <x v="3"/>
    <s v="cashloan"/>
    <n v="0"/>
  </r>
  <r>
    <x v="493"/>
    <x v="1"/>
    <x v="4"/>
    <n v="20"/>
    <n v="14"/>
    <x v="11"/>
    <x v="10"/>
    <s v="paylater"/>
    <n v="204202663"/>
  </r>
  <r>
    <x v="493"/>
    <x v="1"/>
    <x v="4"/>
    <n v="20"/>
    <n v="14"/>
    <x v="19"/>
    <x v="12"/>
    <s v="paylater"/>
    <n v="356655483"/>
  </r>
  <r>
    <x v="493"/>
    <x v="1"/>
    <x v="4"/>
    <n v="20"/>
    <n v="14"/>
    <x v="5"/>
    <x v="5"/>
    <s v="overdraft"/>
    <n v="3471797574"/>
  </r>
  <r>
    <x v="493"/>
    <x v="1"/>
    <x v="4"/>
    <n v="20"/>
    <n v="14"/>
    <x v="7"/>
    <x v="7"/>
    <s v="paylater"/>
    <n v="342469772"/>
  </r>
  <r>
    <x v="493"/>
    <x v="1"/>
    <x v="4"/>
    <n v="20"/>
    <n v="14"/>
    <x v="12"/>
    <x v="11"/>
    <s v="cashloan"/>
    <n v="8724370000"/>
  </r>
  <r>
    <x v="493"/>
    <x v="1"/>
    <x v="4"/>
    <n v="20"/>
    <n v="14"/>
    <x v="0"/>
    <x v="0"/>
    <s v="payday"/>
    <n v="5676156000"/>
  </r>
  <r>
    <x v="493"/>
    <x v="1"/>
    <x v="4"/>
    <n v="20"/>
    <n v="14"/>
    <x v="1"/>
    <x v="1"/>
    <s v="cashloan"/>
    <n v="10500000"/>
  </r>
  <r>
    <x v="493"/>
    <x v="1"/>
    <x v="4"/>
    <n v="20"/>
    <n v="14"/>
    <x v="6"/>
    <x v="6"/>
    <s v="payday"/>
    <n v="31000000"/>
  </r>
  <r>
    <x v="493"/>
    <x v="1"/>
    <x v="4"/>
    <n v="20"/>
    <n v="14"/>
    <x v="21"/>
    <x v="9"/>
    <s v="cashloan"/>
    <n v="0"/>
  </r>
  <r>
    <x v="493"/>
    <x v="1"/>
    <x v="4"/>
    <n v="20"/>
    <n v="14"/>
    <x v="2"/>
    <x v="2"/>
    <s v="cashloan"/>
    <n v="8781380000"/>
  </r>
  <r>
    <x v="493"/>
    <x v="1"/>
    <x v="4"/>
    <n v="20"/>
    <n v="14"/>
    <x v="20"/>
    <x v="9"/>
    <s v="cashloan"/>
    <n v="0"/>
  </r>
  <r>
    <x v="493"/>
    <x v="1"/>
    <x v="4"/>
    <n v="20"/>
    <n v="14"/>
    <x v="17"/>
    <x v="9"/>
    <s v="cashloan"/>
    <n v="0"/>
  </r>
  <r>
    <x v="493"/>
    <x v="1"/>
    <x v="4"/>
    <n v="20"/>
    <n v="14"/>
    <x v="22"/>
    <x v="16"/>
    <s v="cashloan"/>
    <n v="0"/>
  </r>
  <r>
    <x v="493"/>
    <x v="1"/>
    <x v="4"/>
    <n v="20"/>
    <n v="14"/>
    <x v="24"/>
    <x v="18"/>
    <s v="cashloan"/>
    <n v="629000000"/>
  </r>
  <r>
    <x v="493"/>
    <x v="1"/>
    <x v="4"/>
    <n v="20"/>
    <n v="14"/>
    <x v="15"/>
    <x v="14"/>
    <s v="paylater"/>
    <n v="19270670"/>
  </r>
  <r>
    <x v="494"/>
    <x v="1"/>
    <x v="4"/>
    <n v="20"/>
    <n v="15"/>
    <x v="2"/>
    <x v="2"/>
    <s v="cashloan"/>
    <n v="9308830000"/>
  </r>
  <r>
    <x v="494"/>
    <x v="1"/>
    <x v="4"/>
    <n v="20"/>
    <n v="15"/>
    <x v="23"/>
    <x v="17"/>
    <s v="paylater"/>
    <n v="2079000"/>
  </r>
  <r>
    <x v="494"/>
    <x v="1"/>
    <x v="4"/>
    <n v="20"/>
    <n v="15"/>
    <x v="5"/>
    <x v="5"/>
    <s v="overdraft"/>
    <n v="3985096248"/>
  </r>
  <r>
    <x v="494"/>
    <x v="1"/>
    <x v="4"/>
    <n v="20"/>
    <n v="15"/>
    <x v="24"/>
    <x v="18"/>
    <s v="cashloan"/>
    <n v="957000000"/>
  </r>
  <r>
    <x v="494"/>
    <x v="1"/>
    <x v="4"/>
    <n v="20"/>
    <n v="15"/>
    <x v="15"/>
    <x v="14"/>
    <s v="paylater"/>
    <n v="9310824"/>
  </r>
  <r>
    <x v="494"/>
    <x v="1"/>
    <x v="4"/>
    <n v="20"/>
    <n v="15"/>
    <x v="7"/>
    <x v="7"/>
    <s v="paylater"/>
    <n v="369418163"/>
  </r>
  <r>
    <x v="494"/>
    <x v="1"/>
    <x v="4"/>
    <n v="20"/>
    <n v="15"/>
    <x v="17"/>
    <x v="9"/>
    <s v="cashloan"/>
    <n v="0"/>
  </r>
  <r>
    <x v="494"/>
    <x v="1"/>
    <x v="4"/>
    <n v="20"/>
    <n v="15"/>
    <x v="21"/>
    <x v="9"/>
    <s v="cashloan"/>
    <n v="0"/>
  </r>
  <r>
    <x v="494"/>
    <x v="1"/>
    <x v="4"/>
    <n v="20"/>
    <n v="15"/>
    <x v="22"/>
    <x v="16"/>
    <s v="cashloan"/>
    <n v="0"/>
  </r>
  <r>
    <x v="494"/>
    <x v="1"/>
    <x v="4"/>
    <n v="20"/>
    <n v="15"/>
    <x v="1"/>
    <x v="1"/>
    <s v="cashloan"/>
    <n v="48300000"/>
  </r>
  <r>
    <x v="494"/>
    <x v="1"/>
    <x v="4"/>
    <n v="20"/>
    <n v="15"/>
    <x v="6"/>
    <x v="6"/>
    <s v="payday"/>
    <n v="64000000"/>
  </r>
  <r>
    <x v="494"/>
    <x v="1"/>
    <x v="4"/>
    <n v="20"/>
    <n v="15"/>
    <x v="3"/>
    <x v="3"/>
    <s v="cashloan"/>
    <n v="0"/>
  </r>
  <r>
    <x v="494"/>
    <x v="1"/>
    <x v="4"/>
    <n v="20"/>
    <n v="15"/>
    <x v="18"/>
    <x v="15"/>
    <s v="cashloan"/>
    <n v="783440000"/>
  </r>
  <r>
    <x v="494"/>
    <x v="1"/>
    <x v="4"/>
    <n v="20"/>
    <n v="15"/>
    <x v="14"/>
    <x v="13"/>
    <s v="cashloan"/>
    <n v="1383110000"/>
  </r>
  <r>
    <x v="494"/>
    <x v="1"/>
    <x v="4"/>
    <n v="20"/>
    <n v="15"/>
    <x v="12"/>
    <x v="11"/>
    <s v="cashloan"/>
    <n v="8009810000"/>
  </r>
  <r>
    <x v="494"/>
    <x v="1"/>
    <x v="4"/>
    <n v="20"/>
    <n v="15"/>
    <x v="20"/>
    <x v="9"/>
    <s v="cashloan"/>
    <n v="0"/>
  </r>
  <r>
    <x v="494"/>
    <x v="1"/>
    <x v="4"/>
    <n v="20"/>
    <n v="15"/>
    <x v="11"/>
    <x v="10"/>
    <s v="paylater"/>
    <n v="216801971"/>
  </r>
  <r>
    <x v="494"/>
    <x v="1"/>
    <x v="4"/>
    <n v="20"/>
    <n v="15"/>
    <x v="19"/>
    <x v="12"/>
    <s v="paylater"/>
    <n v="336760732"/>
  </r>
  <r>
    <x v="494"/>
    <x v="1"/>
    <x v="4"/>
    <n v="20"/>
    <n v="15"/>
    <x v="0"/>
    <x v="0"/>
    <s v="payday"/>
    <n v="6775704000"/>
  </r>
  <r>
    <x v="495"/>
    <x v="1"/>
    <x v="4"/>
    <n v="20"/>
    <n v="16"/>
    <x v="12"/>
    <x v="11"/>
    <s v="cashloan"/>
    <n v="7951440000"/>
  </r>
  <r>
    <x v="495"/>
    <x v="1"/>
    <x v="4"/>
    <n v="20"/>
    <n v="16"/>
    <x v="0"/>
    <x v="0"/>
    <s v="payday"/>
    <n v="6000156000"/>
  </r>
  <r>
    <x v="495"/>
    <x v="1"/>
    <x v="4"/>
    <n v="20"/>
    <n v="16"/>
    <x v="7"/>
    <x v="7"/>
    <s v="paylater"/>
    <n v="347838203"/>
  </r>
  <r>
    <x v="495"/>
    <x v="1"/>
    <x v="4"/>
    <n v="20"/>
    <n v="16"/>
    <x v="2"/>
    <x v="2"/>
    <s v="cashloan"/>
    <n v="7269460000"/>
  </r>
  <r>
    <x v="495"/>
    <x v="1"/>
    <x v="4"/>
    <n v="20"/>
    <n v="16"/>
    <x v="22"/>
    <x v="16"/>
    <s v="cashloan"/>
    <n v="0"/>
  </r>
  <r>
    <x v="495"/>
    <x v="1"/>
    <x v="4"/>
    <n v="20"/>
    <n v="16"/>
    <x v="5"/>
    <x v="5"/>
    <s v="overdraft"/>
    <n v="3400345990"/>
  </r>
  <r>
    <x v="495"/>
    <x v="1"/>
    <x v="4"/>
    <n v="20"/>
    <n v="16"/>
    <x v="24"/>
    <x v="18"/>
    <s v="cashloan"/>
    <n v="1418000000"/>
  </r>
  <r>
    <x v="495"/>
    <x v="1"/>
    <x v="4"/>
    <n v="20"/>
    <n v="16"/>
    <x v="15"/>
    <x v="14"/>
    <s v="paylater"/>
    <n v="17040473"/>
  </r>
  <r>
    <x v="495"/>
    <x v="1"/>
    <x v="4"/>
    <n v="20"/>
    <n v="16"/>
    <x v="20"/>
    <x v="9"/>
    <s v="cashloan"/>
    <n v="0"/>
  </r>
  <r>
    <x v="495"/>
    <x v="1"/>
    <x v="4"/>
    <n v="20"/>
    <n v="16"/>
    <x v="17"/>
    <x v="9"/>
    <s v="cashloan"/>
    <n v="0"/>
  </r>
  <r>
    <x v="495"/>
    <x v="1"/>
    <x v="4"/>
    <n v="20"/>
    <n v="16"/>
    <x v="21"/>
    <x v="9"/>
    <s v="cashloan"/>
    <n v="0"/>
  </r>
  <r>
    <x v="495"/>
    <x v="1"/>
    <x v="4"/>
    <n v="20"/>
    <n v="16"/>
    <x v="1"/>
    <x v="1"/>
    <s v="cashloan"/>
    <n v="21000000"/>
  </r>
  <r>
    <x v="495"/>
    <x v="1"/>
    <x v="4"/>
    <n v="20"/>
    <n v="16"/>
    <x v="6"/>
    <x v="6"/>
    <s v="payday"/>
    <n v="20000000"/>
  </r>
  <r>
    <x v="495"/>
    <x v="1"/>
    <x v="4"/>
    <n v="20"/>
    <n v="16"/>
    <x v="3"/>
    <x v="3"/>
    <s v="cashloan"/>
    <n v="0"/>
  </r>
  <r>
    <x v="495"/>
    <x v="1"/>
    <x v="4"/>
    <n v="20"/>
    <n v="16"/>
    <x v="18"/>
    <x v="15"/>
    <s v="cashloan"/>
    <n v="442340000"/>
  </r>
  <r>
    <x v="495"/>
    <x v="1"/>
    <x v="4"/>
    <n v="20"/>
    <n v="16"/>
    <x v="14"/>
    <x v="13"/>
    <s v="cashloan"/>
    <n v="1358910000"/>
  </r>
  <r>
    <x v="495"/>
    <x v="1"/>
    <x v="4"/>
    <n v="20"/>
    <n v="16"/>
    <x v="23"/>
    <x v="17"/>
    <s v="paylater"/>
    <n v="0"/>
  </r>
  <r>
    <x v="495"/>
    <x v="1"/>
    <x v="4"/>
    <n v="20"/>
    <n v="16"/>
    <x v="11"/>
    <x v="10"/>
    <s v="paylater"/>
    <n v="225218077"/>
  </r>
  <r>
    <x v="495"/>
    <x v="1"/>
    <x v="4"/>
    <n v="20"/>
    <n v="16"/>
    <x v="19"/>
    <x v="12"/>
    <s v="paylater"/>
    <n v="302132131"/>
  </r>
  <r>
    <x v="496"/>
    <x v="1"/>
    <x v="4"/>
    <n v="20"/>
    <n v="17"/>
    <x v="12"/>
    <x v="11"/>
    <s v="cashloan"/>
    <n v="7487990000"/>
  </r>
  <r>
    <x v="496"/>
    <x v="1"/>
    <x v="4"/>
    <n v="20"/>
    <n v="17"/>
    <x v="0"/>
    <x v="0"/>
    <s v="payday"/>
    <n v="5514048000"/>
  </r>
  <r>
    <x v="496"/>
    <x v="1"/>
    <x v="4"/>
    <n v="20"/>
    <n v="17"/>
    <x v="2"/>
    <x v="2"/>
    <s v="cashloan"/>
    <n v="7572640000"/>
  </r>
  <r>
    <x v="496"/>
    <x v="1"/>
    <x v="4"/>
    <n v="20"/>
    <n v="17"/>
    <x v="22"/>
    <x v="16"/>
    <s v="cashloan"/>
    <n v="10000000"/>
  </r>
  <r>
    <x v="496"/>
    <x v="1"/>
    <x v="4"/>
    <n v="20"/>
    <n v="17"/>
    <x v="24"/>
    <x v="18"/>
    <s v="cashloan"/>
    <n v="2122000000"/>
  </r>
  <r>
    <x v="496"/>
    <x v="1"/>
    <x v="4"/>
    <n v="20"/>
    <n v="17"/>
    <x v="15"/>
    <x v="14"/>
    <s v="paylater"/>
    <n v="14088975"/>
  </r>
  <r>
    <x v="496"/>
    <x v="1"/>
    <x v="4"/>
    <n v="20"/>
    <n v="17"/>
    <x v="20"/>
    <x v="9"/>
    <s v="cashloan"/>
    <n v="0"/>
  </r>
  <r>
    <x v="496"/>
    <x v="1"/>
    <x v="4"/>
    <n v="20"/>
    <n v="17"/>
    <x v="17"/>
    <x v="9"/>
    <s v="cashloan"/>
    <n v="0"/>
  </r>
  <r>
    <x v="496"/>
    <x v="1"/>
    <x v="4"/>
    <n v="20"/>
    <n v="17"/>
    <x v="21"/>
    <x v="9"/>
    <s v="cashloan"/>
    <n v="0"/>
  </r>
  <r>
    <x v="496"/>
    <x v="1"/>
    <x v="4"/>
    <n v="20"/>
    <n v="17"/>
    <x v="1"/>
    <x v="1"/>
    <s v="cashloan"/>
    <n v="10500000"/>
  </r>
  <r>
    <x v="496"/>
    <x v="1"/>
    <x v="4"/>
    <n v="20"/>
    <n v="17"/>
    <x v="6"/>
    <x v="6"/>
    <s v="payday"/>
    <n v="28000000"/>
  </r>
  <r>
    <x v="496"/>
    <x v="1"/>
    <x v="4"/>
    <n v="20"/>
    <n v="17"/>
    <x v="3"/>
    <x v="3"/>
    <s v="cashloan"/>
    <n v="0"/>
  </r>
  <r>
    <x v="496"/>
    <x v="1"/>
    <x v="4"/>
    <n v="20"/>
    <n v="17"/>
    <x v="18"/>
    <x v="15"/>
    <s v="cashloan"/>
    <n v="617610000"/>
  </r>
  <r>
    <x v="496"/>
    <x v="1"/>
    <x v="4"/>
    <n v="20"/>
    <n v="17"/>
    <x v="14"/>
    <x v="13"/>
    <s v="cashloan"/>
    <n v="1335720000"/>
  </r>
  <r>
    <x v="496"/>
    <x v="1"/>
    <x v="4"/>
    <n v="20"/>
    <n v="17"/>
    <x v="23"/>
    <x v="17"/>
    <s v="paylater"/>
    <n v="0"/>
  </r>
  <r>
    <x v="496"/>
    <x v="1"/>
    <x v="4"/>
    <n v="20"/>
    <n v="17"/>
    <x v="11"/>
    <x v="10"/>
    <s v="paylater"/>
    <n v="210307348"/>
  </r>
  <r>
    <x v="496"/>
    <x v="1"/>
    <x v="4"/>
    <n v="20"/>
    <n v="17"/>
    <x v="19"/>
    <x v="12"/>
    <s v="paylater"/>
    <n v="243519168"/>
  </r>
  <r>
    <x v="496"/>
    <x v="1"/>
    <x v="4"/>
    <n v="20"/>
    <n v="17"/>
    <x v="5"/>
    <x v="5"/>
    <s v="overdraft"/>
    <n v="3198300842"/>
  </r>
  <r>
    <x v="496"/>
    <x v="1"/>
    <x v="4"/>
    <n v="20"/>
    <n v="17"/>
    <x v="7"/>
    <x v="7"/>
    <s v="paylater"/>
    <n v="311212522"/>
  </r>
  <r>
    <x v="497"/>
    <x v="1"/>
    <x v="4"/>
    <n v="20"/>
    <n v="18"/>
    <x v="12"/>
    <x v="11"/>
    <s v="cashloan"/>
    <n v="7071770000"/>
  </r>
  <r>
    <x v="497"/>
    <x v="1"/>
    <x v="4"/>
    <n v="20"/>
    <n v="18"/>
    <x v="0"/>
    <x v="0"/>
    <s v="payday"/>
    <n v="5306256000"/>
  </r>
  <r>
    <x v="497"/>
    <x v="1"/>
    <x v="4"/>
    <n v="20"/>
    <n v="18"/>
    <x v="2"/>
    <x v="2"/>
    <s v="cashloan"/>
    <n v="6646680000"/>
  </r>
  <r>
    <x v="497"/>
    <x v="1"/>
    <x v="4"/>
    <n v="20"/>
    <n v="18"/>
    <x v="22"/>
    <x v="16"/>
    <s v="cashloan"/>
    <n v="0"/>
  </r>
  <r>
    <x v="497"/>
    <x v="1"/>
    <x v="4"/>
    <n v="20"/>
    <n v="18"/>
    <x v="15"/>
    <x v="14"/>
    <s v="paylater"/>
    <n v="9107012"/>
  </r>
  <r>
    <x v="497"/>
    <x v="1"/>
    <x v="4"/>
    <n v="20"/>
    <n v="18"/>
    <x v="24"/>
    <x v="18"/>
    <s v="cashloan"/>
    <n v="1911000000"/>
  </r>
  <r>
    <x v="497"/>
    <x v="1"/>
    <x v="4"/>
    <n v="20"/>
    <n v="18"/>
    <x v="20"/>
    <x v="9"/>
    <s v="cashloan"/>
    <n v="0"/>
  </r>
  <r>
    <x v="497"/>
    <x v="1"/>
    <x v="4"/>
    <n v="20"/>
    <n v="18"/>
    <x v="17"/>
    <x v="9"/>
    <s v="cashloan"/>
    <n v="0"/>
  </r>
  <r>
    <x v="497"/>
    <x v="1"/>
    <x v="4"/>
    <n v="20"/>
    <n v="18"/>
    <x v="1"/>
    <x v="1"/>
    <s v="cashloan"/>
    <n v="20000000"/>
  </r>
  <r>
    <x v="497"/>
    <x v="1"/>
    <x v="4"/>
    <n v="20"/>
    <n v="18"/>
    <x v="6"/>
    <x v="6"/>
    <s v="payday"/>
    <n v="2000000"/>
  </r>
  <r>
    <x v="497"/>
    <x v="1"/>
    <x v="4"/>
    <n v="20"/>
    <n v="18"/>
    <x v="3"/>
    <x v="3"/>
    <s v="cashloan"/>
    <n v="0"/>
  </r>
  <r>
    <x v="497"/>
    <x v="1"/>
    <x v="4"/>
    <n v="20"/>
    <n v="18"/>
    <x v="18"/>
    <x v="15"/>
    <s v="cashloan"/>
    <n v="701070000"/>
  </r>
  <r>
    <x v="497"/>
    <x v="1"/>
    <x v="4"/>
    <n v="20"/>
    <n v="18"/>
    <x v="8"/>
    <x v="8"/>
    <s v="cashloan"/>
    <n v="0"/>
  </r>
  <r>
    <x v="497"/>
    <x v="1"/>
    <x v="4"/>
    <n v="20"/>
    <n v="18"/>
    <x v="14"/>
    <x v="13"/>
    <s v="cashloan"/>
    <n v="1549430000"/>
  </r>
  <r>
    <x v="497"/>
    <x v="1"/>
    <x v="4"/>
    <n v="20"/>
    <n v="18"/>
    <x v="23"/>
    <x v="17"/>
    <s v="paylater"/>
    <n v="0"/>
  </r>
  <r>
    <x v="497"/>
    <x v="1"/>
    <x v="4"/>
    <n v="20"/>
    <n v="18"/>
    <x v="11"/>
    <x v="10"/>
    <s v="paylater"/>
    <n v="221879249"/>
  </r>
  <r>
    <x v="497"/>
    <x v="1"/>
    <x v="4"/>
    <n v="20"/>
    <n v="18"/>
    <x v="19"/>
    <x v="12"/>
    <s v="paylater"/>
    <n v="283581102"/>
  </r>
  <r>
    <x v="497"/>
    <x v="1"/>
    <x v="4"/>
    <n v="20"/>
    <n v="18"/>
    <x v="5"/>
    <x v="5"/>
    <s v="overdraft"/>
    <n v="3041198009"/>
  </r>
  <r>
    <x v="497"/>
    <x v="1"/>
    <x v="4"/>
    <n v="20"/>
    <n v="18"/>
    <x v="7"/>
    <x v="7"/>
    <s v="paylater"/>
    <n v="277169547"/>
  </r>
  <r>
    <x v="498"/>
    <x v="1"/>
    <x v="4"/>
    <n v="21"/>
    <n v="19"/>
    <x v="1"/>
    <x v="1"/>
    <s v="cashloan"/>
    <n v="79800000"/>
  </r>
  <r>
    <x v="498"/>
    <x v="1"/>
    <x v="4"/>
    <n v="21"/>
    <n v="19"/>
    <x v="15"/>
    <x v="14"/>
    <s v="paylater"/>
    <n v="29702834"/>
  </r>
  <r>
    <x v="498"/>
    <x v="1"/>
    <x v="4"/>
    <n v="21"/>
    <n v="19"/>
    <x v="19"/>
    <x v="12"/>
    <s v="paylater"/>
    <n v="268906367"/>
  </r>
  <r>
    <x v="498"/>
    <x v="1"/>
    <x v="4"/>
    <n v="21"/>
    <n v="19"/>
    <x v="24"/>
    <x v="18"/>
    <s v="cashloan"/>
    <n v="2095000000"/>
  </r>
  <r>
    <x v="498"/>
    <x v="1"/>
    <x v="4"/>
    <n v="21"/>
    <n v="19"/>
    <x v="20"/>
    <x v="9"/>
    <s v="cashloan"/>
    <n v="0"/>
  </r>
  <r>
    <x v="498"/>
    <x v="1"/>
    <x v="4"/>
    <n v="21"/>
    <n v="19"/>
    <x v="17"/>
    <x v="9"/>
    <s v="cashloan"/>
    <n v="0"/>
  </r>
  <r>
    <x v="498"/>
    <x v="1"/>
    <x v="4"/>
    <n v="21"/>
    <n v="19"/>
    <x v="6"/>
    <x v="6"/>
    <s v="payday"/>
    <n v="13000000"/>
  </r>
  <r>
    <x v="498"/>
    <x v="1"/>
    <x v="4"/>
    <n v="21"/>
    <n v="19"/>
    <x v="3"/>
    <x v="3"/>
    <s v="cashloan"/>
    <n v="0"/>
  </r>
  <r>
    <x v="498"/>
    <x v="1"/>
    <x v="4"/>
    <n v="21"/>
    <n v="19"/>
    <x v="18"/>
    <x v="15"/>
    <s v="cashloan"/>
    <n v="633370000"/>
  </r>
  <r>
    <x v="498"/>
    <x v="1"/>
    <x v="4"/>
    <n v="21"/>
    <n v="19"/>
    <x v="8"/>
    <x v="8"/>
    <s v="cashloan"/>
    <n v="0"/>
  </r>
  <r>
    <x v="498"/>
    <x v="1"/>
    <x v="4"/>
    <n v="21"/>
    <n v="19"/>
    <x v="22"/>
    <x v="16"/>
    <s v="cashloan"/>
    <n v="0"/>
  </r>
  <r>
    <x v="498"/>
    <x v="1"/>
    <x v="4"/>
    <n v="21"/>
    <n v="19"/>
    <x v="14"/>
    <x v="13"/>
    <s v="cashloan"/>
    <n v="1300630000"/>
  </r>
  <r>
    <x v="498"/>
    <x v="1"/>
    <x v="4"/>
    <n v="21"/>
    <n v="19"/>
    <x v="23"/>
    <x v="17"/>
    <s v="paylater"/>
    <n v="0"/>
  </r>
  <r>
    <x v="498"/>
    <x v="1"/>
    <x v="4"/>
    <n v="21"/>
    <n v="19"/>
    <x v="11"/>
    <x v="10"/>
    <s v="paylater"/>
    <n v="216229778"/>
  </r>
  <r>
    <x v="498"/>
    <x v="1"/>
    <x v="4"/>
    <n v="21"/>
    <n v="19"/>
    <x v="5"/>
    <x v="5"/>
    <s v="overdraft"/>
    <n v="3737360275"/>
  </r>
  <r>
    <x v="498"/>
    <x v="1"/>
    <x v="4"/>
    <n v="21"/>
    <n v="19"/>
    <x v="7"/>
    <x v="7"/>
    <s v="paylater"/>
    <n v="275556874"/>
  </r>
  <r>
    <x v="498"/>
    <x v="1"/>
    <x v="4"/>
    <n v="21"/>
    <n v="19"/>
    <x v="12"/>
    <x v="11"/>
    <s v="cashloan"/>
    <n v="7788130000"/>
  </r>
  <r>
    <x v="498"/>
    <x v="1"/>
    <x v="4"/>
    <n v="21"/>
    <n v="19"/>
    <x v="2"/>
    <x v="2"/>
    <s v="cashloan"/>
    <n v="7769060000"/>
  </r>
  <r>
    <x v="498"/>
    <x v="1"/>
    <x v="4"/>
    <n v="21"/>
    <n v="19"/>
    <x v="0"/>
    <x v="0"/>
    <s v="payday"/>
    <n v="5612544000"/>
  </r>
  <r>
    <x v="499"/>
    <x v="1"/>
    <x v="4"/>
    <n v="21"/>
    <n v="20"/>
    <x v="3"/>
    <x v="3"/>
    <s v="cashloan"/>
    <n v="0"/>
  </r>
  <r>
    <x v="499"/>
    <x v="1"/>
    <x v="4"/>
    <n v="21"/>
    <n v="20"/>
    <x v="18"/>
    <x v="15"/>
    <s v="cashloan"/>
    <n v="471810000"/>
  </r>
  <r>
    <x v="499"/>
    <x v="1"/>
    <x v="4"/>
    <n v="21"/>
    <n v="20"/>
    <x v="5"/>
    <x v="5"/>
    <s v="overdraft"/>
    <n v="3952412561"/>
  </r>
  <r>
    <x v="499"/>
    <x v="1"/>
    <x v="4"/>
    <n v="21"/>
    <n v="20"/>
    <x v="14"/>
    <x v="13"/>
    <s v="cashloan"/>
    <n v="1360330000"/>
  </r>
  <r>
    <x v="499"/>
    <x v="1"/>
    <x v="4"/>
    <n v="21"/>
    <n v="20"/>
    <x v="17"/>
    <x v="9"/>
    <s v="cashloan"/>
    <n v="0"/>
  </r>
  <r>
    <x v="499"/>
    <x v="1"/>
    <x v="4"/>
    <n v="21"/>
    <n v="20"/>
    <x v="23"/>
    <x v="17"/>
    <s v="paylater"/>
    <n v="0"/>
  </r>
  <r>
    <x v="499"/>
    <x v="1"/>
    <x v="4"/>
    <n v="21"/>
    <n v="20"/>
    <x v="11"/>
    <x v="10"/>
    <s v="paylater"/>
    <n v="191310830"/>
  </r>
  <r>
    <x v="499"/>
    <x v="1"/>
    <x v="4"/>
    <n v="21"/>
    <n v="20"/>
    <x v="6"/>
    <x v="6"/>
    <s v="payday"/>
    <n v="20000000"/>
  </r>
  <r>
    <x v="499"/>
    <x v="1"/>
    <x v="4"/>
    <n v="21"/>
    <n v="20"/>
    <x v="7"/>
    <x v="7"/>
    <s v="paylater"/>
    <n v="333542933"/>
  </r>
  <r>
    <x v="499"/>
    <x v="1"/>
    <x v="4"/>
    <n v="21"/>
    <n v="20"/>
    <x v="12"/>
    <x v="11"/>
    <s v="cashloan"/>
    <n v="8242600000"/>
  </r>
  <r>
    <x v="499"/>
    <x v="1"/>
    <x v="4"/>
    <n v="21"/>
    <n v="20"/>
    <x v="0"/>
    <x v="0"/>
    <s v="payday"/>
    <n v="5812344000"/>
  </r>
  <r>
    <x v="499"/>
    <x v="1"/>
    <x v="4"/>
    <n v="21"/>
    <n v="20"/>
    <x v="2"/>
    <x v="2"/>
    <s v="cashloan"/>
    <n v="7966470000"/>
  </r>
  <r>
    <x v="499"/>
    <x v="1"/>
    <x v="4"/>
    <n v="21"/>
    <n v="20"/>
    <x v="8"/>
    <x v="8"/>
    <s v="cashloan"/>
    <n v="0"/>
  </r>
  <r>
    <x v="499"/>
    <x v="1"/>
    <x v="4"/>
    <n v="21"/>
    <n v="20"/>
    <x v="1"/>
    <x v="1"/>
    <s v="cashloan"/>
    <n v="31500000"/>
  </r>
  <r>
    <x v="499"/>
    <x v="1"/>
    <x v="4"/>
    <n v="21"/>
    <n v="20"/>
    <x v="22"/>
    <x v="16"/>
    <s v="cashloan"/>
    <n v="0"/>
  </r>
  <r>
    <x v="499"/>
    <x v="1"/>
    <x v="4"/>
    <n v="21"/>
    <n v="20"/>
    <x v="19"/>
    <x v="12"/>
    <s v="paylater"/>
    <n v="277153098"/>
  </r>
  <r>
    <x v="499"/>
    <x v="1"/>
    <x v="4"/>
    <n v="21"/>
    <n v="20"/>
    <x v="15"/>
    <x v="14"/>
    <s v="paylater"/>
    <n v="28296470"/>
  </r>
  <r>
    <x v="499"/>
    <x v="1"/>
    <x v="4"/>
    <n v="21"/>
    <n v="20"/>
    <x v="24"/>
    <x v="18"/>
    <s v="cashloan"/>
    <n v="2685000000"/>
  </r>
  <r>
    <x v="499"/>
    <x v="1"/>
    <x v="4"/>
    <n v="21"/>
    <n v="20"/>
    <x v="20"/>
    <x v="9"/>
    <s v="cashloan"/>
    <n v="0"/>
  </r>
  <r>
    <x v="500"/>
    <x v="1"/>
    <x v="4"/>
    <n v="21"/>
    <n v="21"/>
    <x v="8"/>
    <x v="8"/>
    <s v="cashloan"/>
    <n v="0"/>
  </r>
  <r>
    <x v="500"/>
    <x v="1"/>
    <x v="4"/>
    <n v="21"/>
    <n v="21"/>
    <x v="14"/>
    <x v="13"/>
    <s v="cashloan"/>
    <n v="845280000"/>
  </r>
  <r>
    <x v="500"/>
    <x v="1"/>
    <x v="4"/>
    <n v="21"/>
    <n v="21"/>
    <x v="23"/>
    <x v="17"/>
    <s v="paylater"/>
    <n v="1005000"/>
  </r>
  <r>
    <x v="500"/>
    <x v="1"/>
    <x v="4"/>
    <n v="21"/>
    <n v="21"/>
    <x v="18"/>
    <x v="15"/>
    <s v="cashloan"/>
    <n v="558340000"/>
  </r>
  <r>
    <x v="500"/>
    <x v="1"/>
    <x v="4"/>
    <n v="21"/>
    <n v="21"/>
    <x v="11"/>
    <x v="10"/>
    <s v="paylater"/>
    <n v="223272236"/>
  </r>
  <r>
    <x v="500"/>
    <x v="1"/>
    <x v="4"/>
    <n v="21"/>
    <n v="21"/>
    <x v="19"/>
    <x v="12"/>
    <s v="paylater"/>
    <n v="389092939"/>
  </r>
  <r>
    <x v="500"/>
    <x v="1"/>
    <x v="4"/>
    <n v="21"/>
    <n v="21"/>
    <x v="5"/>
    <x v="5"/>
    <s v="overdraft"/>
    <n v="4031866300"/>
  </r>
  <r>
    <x v="500"/>
    <x v="1"/>
    <x v="4"/>
    <n v="21"/>
    <n v="21"/>
    <x v="7"/>
    <x v="7"/>
    <s v="paylater"/>
    <n v="355365878"/>
  </r>
  <r>
    <x v="500"/>
    <x v="1"/>
    <x v="4"/>
    <n v="21"/>
    <n v="21"/>
    <x v="12"/>
    <x v="11"/>
    <s v="cashloan"/>
    <n v="7941950000"/>
  </r>
  <r>
    <x v="500"/>
    <x v="1"/>
    <x v="4"/>
    <n v="21"/>
    <n v="21"/>
    <x v="0"/>
    <x v="0"/>
    <s v="payday"/>
    <n v="5508216000"/>
  </r>
  <r>
    <x v="500"/>
    <x v="1"/>
    <x v="4"/>
    <n v="21"/>
    <n v="21"/>
    <x v="6"/>
    <x v="6"/>
    <s v="payday"/>
    <n v="51000000"/>
  </r>
  <r>
    <x v="500"/>
    <x v="1"/>
    <x v="4"/>
    <n v="21"/>
    <n v="21"/>
    <x v="3"/>
    <x v="3"/>
    <s v="cashloan"/>
    <n v="0"/>
  </r>
  <r>
    <x v="500"/>
    <x v="1"/>
    <x v="4"/>
    <n v="21"/>
    <n v="21"/>
    <x v="24"/>
    <x v="18"/>
    <s v="cashloan"/>
    <n v="1803000000"/>
  </r>
  <r>
    <x v="500"/>
    <x v="1"/>
    <x v="4"/>
    <n v="21"/>
    <n v="21"/>
    <x v="2"/>
    <x v="2"/>
    <s v="cashloan"/>
    <n v="7746590000"/>
  </r>
  <r>
    <x v="500"/>
    <x v="1"/>
    <x v="4"/>
    <n v="21"/>
    <n v="21"/>
    <x v="17"/>
    <x v="9"/>
    <s v="cashloan"/>
    <n v="0"/>
  </r>
  <r>
    <x v="500"/>
    <x v="1"/>
    <x v="4"/>
    <n v="21"/>
    <n v="21"/>
    <x v="1"/>
    <x v="1"/>
    <s v="cashloan"/>
    <n v="21000000"/>
  </r>
  <r>
    <x v="500"/>
    <x v="1"/>
    <x v="4"/>
    <n v="21"/>
    <n v="21"/>
    <x v="22"/>
    <x v="16"/>
    <s v="cashloan"/>
    <n v="23100000"/>
  </r>
  <r>
    <x v="500"/>
    <x v="1"/>
    <x v="4"/>
    <n v="21"/>
    <n v="21"/>
    <x v="15"/>
    <x v="14"/>
    <s v="paylater"/>
    <n v="20997671"/>
  </r>
  <r>
    <x v="500"/>
    <x v="1"/>
    <x v="4"/>
    <n v="21"/>
    <n v="21"/>
    <x v="20"/>
    <x v="9"/>
    <s v="cashloan"/>
    <n v="0"/>
  </r>
  <r>
    <x v="501"/>
    <x v="1"/>
    <x v="4"/>
    <n v="21"/>
    <n v="22"/>
    <x v="2"/>
    <x v="2"/>
    <s v="cashloan"/>
    <n v="6854500000"/>
  </r>
  <r>
    <x v="501"/>
    <x v="1"/>
    <x v="4"/>
    <n v="21"/>
    <n v="22"/>
    <x v="23"/>
    <x v="17"/>
    <s v="paylater"/>
    <n v="5685000"/>
  </r>
  <r>
    <x v="501"/>
    <x v="1"/>
    <x v="4"/>
    <n v="21"/>
    <n v="22"/>
    <x v="5"/>
    <x v="5"/>
    <s v="overdraft"/>
    <n v="3594909614"/>
  </r>
  <r>
    <x v="501"/>
    <x v="1"/>
    <x v="4"/>
    <n v="21"/>
    <n v="22"/>
    <x v="15"/>
    <x v="14"/>
    <s v="paylater"/>
    <n v="23768154"/>
  </r>
  <r>
    <x v="501"/>
    <x v="1"/>
    <x v="4"/>
    <n v="21"/>
    <n v="22"/>
    <x v="20"/>
    <x v="9"/>
    <s v="cashloan"/>
    <n v="0"/>
  </r>
  <r>
    <x v="501"/>
    <x v="1"/>
    <x v="4"/>
    <n v="21"/>
    <n v="22"/>
    <x v="7"/>
    <x v="7"/>
    <s v="paylater"/>
    <n v="246638241"/>
  </r>
  <r>
    <x v="501"/>
    <x v="1"/>
    <x v="4"/>
    <n v="21"/>
    <n v="22"/>
    <x v="1"/>
    <x v="1"/>
    <s v="cashloan"/>
    <n v="63000000"/>
  </r>
  <r>
    <x v="501"/>
    <x v="1"/>
    <x v="4"/>
    <n v="21"/>
    <n v="22"/>
    <x v="6"/>
    <x v="6"/>
    <s v="payday"/>
    <n v="38000000"/>
  </r>
  <r>
    <x v="501"/>
    <x v="1"/>
    <x v="4"/>
    <n v="21"/>
    <n v="22"/>
    <x v="22"/>
    <x v="16"/>
    <s v="cashloan"/>
    <n v="0"/>
  </r>
  <r>
    <x v="501"/>
    <x v="1"/>
    <x v="4"/>
    <n v="21"/>
    <n v="22"/>
    <x v="24"/>
    <x v="18"/>
    <s v="cashloan"/>
    <n v="1703000000"/>
  </r>
  <r>
    <x v="501"/>
    <x v="1"/>
    <x v="4"/>
    <n v="21"/>
    <n v="22"/>
    <x v="3"/>
    <x v="3"/>
    <s v="cashloan"/>
    <n v="0"/>
  </r>
  <r>
    <x v="501"/>
    <x v="1"/>
    <x v="4"/>
    <n v="21"/>
    <n v="22"/>
    <x v="18"/>
    <x v="15"/>
    <s v="cashloan"/>
    <n v="500520000"/>
  </r>
  <r>
    <x v="501"/>
    <x v="1"/>
    <x v="4"/>
    <n v="21"/>
    <n v="22"/>
    <x v="8"/>
    <x v="8"/>
    <s v="cashloan"/>
    <n v="0"/>
  </r>
  <r>
    <x v="501"/>
    <x v="1"/>
    <x v="4"/>
    <n v="21"/>
    <n v="22"/>
    <x v="14"/>
    <x v="13"/>
    <s v="cashloan"/>
    <n v="1049190000"/>
  </r>
  <r>
    <x v="501"/>
    <x v="1"/>
    <x v="4"/>
    <n v="21"/>
    <n v="22"/>
    <x v="12"/>
    <x v="11"/>
    <s v="cashloan"/>
    <n v="7977230000"/>
  </r>
  <r>
    <x v="501"/>
    <x v="1"/>
    <x v="4"/>
    <n v="21"/>
    <n v="22"/>
    <x v="17"/>
    <x v="9"/>
    <s v="cashloan"/>
    <n v="0"/>
  </r>
  <r>
    <x v="501"/>
    <x v="1"/>
    <x v="4"/>
    <n v="21"/>
    <n v="22"/>
    <x v="11"/>
    <x v="10"/>
    <s v="paylater"/>
    <n v="200363471"/>
  </r>
  <r>
    <x v="501"/>
    <x v="1"/>
    <x v="4"/>
    <n v="21"/>
    <n v="22"/>
    <x v="19"/>
    <x v="12"/>
    <s v="paylater"/>
    <n v="362187891"/>
  </r>
  <r>
    <x v="501"/>
    <x v="1"/>
    <x v="4"/>
    <n v="21"/>
    <n v="22"/>
    <x v="0"/>
    <x v="0"/>
    <s v="payday"/>
    <n v="4883760000"/>
  </r>
  <r>
    <x v="502"/>
    <x v="1"/>
    <x v="4"/>
    <n v="21"/>
    <n v="23"/>
    <x v="12"/>
    <x v="11"/>
    <s v="cashloan"/>
    <n v="8380520000"/>
  </r>
  <r>
    <x v="502"/>
    <x v="1"/>
    <x v="4"/>
    <n v="21"/>
    <n v="23"/>
    <x v="0"/>
    <x v="0"/>
    <s v="payday"/>
    <n v="5058180000"/>
  </r>
  <r>
    <x v="502"/>
    <x v="1"/>
    <x v="4"/>
    <n v="21"/>
    <n v="23"/>
    <x v="7"/>
    <x v="7"/>
    <s v="paylater"/>
    <n v="271712290"/>
  </r>
  <r>
    <x v="502"/>
    <x v="1"/>
    <x v="4"/>
    <n v="21"/>
    <n v="23"/>
    <x v="2"/>
    <x v="2"/>
    <s v="cashloan"/>
    <n v="6978990000"/>
  </r>
  <r>
    <x v="502"/>
    <x v="1"/>
    <x v="4"/>
    <n v="21"/>
    <n v="23"/>
    <x v="5"/>
    <x v="5"/>
    <s v="overdraft"/>
    <n v="3296498041"/>
  </r>
  <r>
    <x v="502"/>
    <x v="1"/>
    <x v="4"/>
    <n v="21"/>
    <n v="23"/>
    <x v="15"/>
    <x v="14"/>
    <s v="paylater"/>
    <n v="33270375"/>
  </r>
  <r>
    <x v="502"/>
    <x v="1"/>
    <x v="4"/>
    <n v="21"/>
    <n v="23"/>
    <x v="20"/>
    <x v="9"/>
    <s v="cashloan"/>
    <n v="0"/>
  </r>
  <r>
    <x v="502"/>
    <x v="1"/>
    <x v="4"/>
    <n v="21"/>
    <n v="23"/>
    <x v="17"/>
    <x v="9"/>
    <s v="cashloan"/>
    <n v="0"/>
  </r>
  <r>
    <x v="502"/>
    <x v="1"/>
    <x v="4"/>
    <n v="21"/>
    <n v="23"/>
    <x v="22"/>
    <x v="16"/>
    <s v="cashloan"/>
    <n v="10000000"/>
  </r>
  <r>
    <x v="502"/>
    <x v="1"/>
    <x v="4"/>
    <n v="21"/>
    <n v="23"/>
    <x v="1"/>
    <x v="1"/>
    <s v="cashloan"/>
    <n v="46250000"/>
  </r>
  <r>
    <x v="502"/>
    <x v="1"/>
    <x v="4"/>
    <n v="21"/>
    <n v="23"/>
    <x v="6"/>
    <x v="6"/>
    <s v="payday"/>
    <n v="27000000"/>
  </r>
  <r>
    <x v="502"/>
    <x v="1"/>
    <x v="4"/>
    <n v="21"/>
    <n v="23"/>
    <x v="24"/>
    <x v="18"/>
    <s v="cashloan"/>
    <n v="1547000000"/>
  </r>
  <r>
    <x v="502"/>
    <x v="1"/>
    <x v="4"/>
    <n v="21"/>
    <n v="23"/>
    <x v="3"/>
    <x v="3"/>
    <s v="cashloan"/>
    <n v="0"/>
  </r>
  <r>
    <x v="502"/>
    <x v="1"/>
    <x v="4"/>
    <n v="21"/>
    <n v="23"/>
    <x v="18"/>
    <x v="15"/>
    <s v="cashloan"/>
    <n v="616320000"/>
  </r>
  <r>
    <x v="502"/>
    <x v="1"/>
    <x v="4"/>
    <n v="21"/>
    <n v="23"/>
    <x v="8"/>
    <x v="8"/>
    <s v="cashloan"/>
    <n v="0"/>
  </r>
  <r>
    <x v="502"/>
    <x v="1"/>
    <x v="4"/>
    <n v="21"/>
    <n v="23"/>
    <x v="14"/>
    <x v="13"/>
    <s v="cashloan"/>
    <n v="843860000"/>
  </r>
  <r>
    <x v="502"/>
    <x v="1"/>
    <x v="4"/>
    <n v="21"/>
    <n v="23"/>
    <x v="23"/>
    <x v="17"/>
    <s v="paylater"/>
    <n v="6858000"/>
  </r>
  <r>
    <x v="502"/>
    <x v="1"/>
    <x v="4"/>
    <n v="21"/>
    <n v="23"/>
    <x v="11"/>
    <x v="10"/>
    <s v="paylater"/>
    <n v="223790459"/>
  </r>
  <r>
    <x v="502"/>
    <x v="1"/>
    <x v="4"/>
    <n v="21"/>
    <n v="23"/>
    <x v="19"/>
    <x v="12"/>
    <s v="paylater"/>
    <n v="391715544"/>
  </r>
  <r>
    <x v="503"/>
    <x v="1"/>
    <x v="4"/>
    <n v="21"/>
    <n v="24"/>
    <x v="12"/>
    <x v="11"/>
    <s v="cashloan"/>
    <n v="5935110000"/>
  </r>
  <r>
    <x v="503"/>
    <x v="1"/>
    <x v="4"/>
    <n v="21"/>
    <n v="24"/>
    <x v="0"/>
    <x v="0"/>
    <s v="payday"/>
    <n v="4830624000"/>
  </r>
  <r>
    <x v="503"/>
    <x v="1"/>
    <x v="4"/>
    <n v="21"/>
    <n v="24"/>
    <x v="2"/>
    <x v="2"/>
    <s v="cashloan"/>
    <n v="6341190000"/>
  </r>
  <r>
    <x v="503"/>
    <x v="1"/>
    <x v="4"/>
    <n v="21"/>
    <n v="24"/>
    <x v="22"/>
    <x v="16"/>
    <s v="cashloan"/>
    <n v="0"/>
  </r>
  <r>
    <x v="503"/>
    <x v="1"/>
    <x v="4"/>
    <n v="21"/>
    <n v="24"/>
    <x v="15"/>
    <x v="14"/>
    <s v="paylater"/>
    <n v="32222564"/>
  </r>
  <r>
    <x v="503"/>
    <x v="1"/>
    <x v="4"/>
    <n v="21"/>
    <n v="24"/>
    <x v="20"/>
    <x v="9"/>
    <s v="cashloan"/>
    <n v="0"/>
  </r>
  <r>
    <x v="503"/>
    <x v="1"/>
    <x v="4"/>
    <n v="21"/>
    <n v="24"/>
    <x v="17"/>
    <x v="9"/>
    <s v="cashloan"/>
    <n v="0"/>
  </r>
  <r>
    <x v="503"/>
    <x v="1"/>
    <x v="4"/>
    <n v="21"/>
    <n v="24"/>
    <x v="1"/>
    <x v="1"/>
    <s v="cashloan"/>
    <n v="25500000"/>
  </r>
  <r>
    <x v="503"/>
    <x v="1"/>
    <x v="4"/>
    <n v="21"/>
    <n v="24"/>
    <x v="6"/>
    <x v="6"/>
    <s v="payday"/>
    <n v="34000000"/>
  </r>
  <r>
    <x v="503"/>
    <x v="1"/>
    <x v="4"/>
    <n v="21"/>
    <n v="24"/>
    <x v="24"/>
    <x v="18"/>
    <s v="cashloan"/>
    <n v="1210000000"/>
  </r>
  <r>
    <x v="503"/>
    <x v="1"/>
    <x v="4"/>
    <n v="21"/>
    <n v="24"/>
    <x v="3"/>
    <x v="3"/>
    <s v="cashloan"/>
    <n v="0"/>
  </r>
  <r>
    <x v="503"/>
    <x v="1"/>
    <x v="4"/>
    <n v="21"/>
    <n v="24"/>
    <x v="18"/>
    <x v="15"/>
    <s v="cashloan"/>
    <n v="426590000"/>
  </r>
  <r>
    <x v="503"/>
    <x v="1"/>
    <x v="4"/>
    <n v="21"/>
    <n v="24"/>
    <x v="8"/>
    <x v="8"/>
    <s v="cashloan"/>
    <n v="0"/>
  </r>
  <r>
    <x v="503"/>
    <x v="1"/>
    <x v="4"/>
    <n v="21"/>
    <n v="24"/>
    <x v="14"/>
    <x v="13"/>
    <s v="cashloan"/>
    <n v="1079960000"/>
  </r>
  <r>
    <x v="503"/>
    <x v="1"/>
    <x v="4"/>
    <n v="21"/>
    <n v="24"/>
    <x v="23"/>
    <x v="17"/>
    <s v="paylater"/>
    <n v="2283000"/>
  </r>
  <r>
    <x v="503"/>
    <x v="1"/>
    <x v="4"/>
    <n v="21"/>
    <n v="24"/>
    <x v="11"/>
    <x v="10"/>
    <s v="paylater"/>
    <n v="234447888"/>
  </r>
  <r>
    <x v="503"/>
    <x v="1"/>
    <x v="4"/>
    <n v="21"/>
    <n v="24"/>
    <x v="19"/>
    <x v="12"/>
    <s v="paylater"/>
    <n v="331136917"/>
  </r>
  <r>
    <x v="503"/>
    <x v="1"/>
    <x v="4"/>
    <n v="21"/>
    <n v="24"/>
    <x v="5"/>
    <x v="5"/>
    <s v="overdraft"/>
    <n v="2954735689"/>
  </r>
  <r>
    <x v="503"/>
    <x v="1"/>
    <x v="4"/>
    <n v="21"/>
    <n v="24"/>
    <x v="7"/>
    <x v="7"/>
    <s v="paylater"/>
    <n v="250849292"/>
  </r>
  <r>
    <x v="504"/>
    <x v="1"/>
    <x v="4"/>
    <n v="21"/>
    <n v="25"/>
    <x v="12"/>
    <x v="11"/>
    <s v="cashloan"/>
    <n v="6236670000"/>
  </r>
  <r>
    <x v="504"/>
    <x v="1"/>
    <x v="4"/>
    <n v="21"/>
    <n v="25"/>
    <x v="0"/>
    <x v="0"/>
    <s v="payday"/>
    <n v="4842612000"/>
  </r>
  <r>
    <x v="504"/>
    <x v="1"/>
    <x v="4"/>
    <n v="21"/>
    <n v="25"/>
    <x v="2"/>
    <x v="2"/>
    <s v="cashloan"/>
    <n v="6879480000"/>
  </r>
  <r>
    <x v="504"/>
    <x v="1"/>
    <x v="4"/>
    <n v="21"/>
    <n v="25"/>
    <x v="15"/>
    <x v="14"/>
    <s v="paylater"/>
    <n v="9337940"/>
  </r>
  <r>
    <x v="504"/>
    <x v="1"/>
    <x v="4"/>
    <n v="21"/>
    <n v="25"/>
    <x v="22"/>
    <x v="16"/>
    <s v="cashloan"/>
    <n v="0"/>
  </r>
  <r>
    <x v="504"/>
    <x v="1"/>
    <x v="4"/>
    <n v="21"/>
    <n v="25"/>
    <x v="20"/>
    <x v="9"/>
    <s v="cashloan"/>
    <n v="0"/>
  </r>
  <r>
    <x v="504"/>
    <x v="1"/>
    <x v="4"/>
    <n v="21"/>
    <n v="25"/>
    <x v="17"/>
    <x v="9"/>
    <s v="cashloan"/>
    <n v="0"/>
  </r>
  <r>
    <x v="504"/>
    <x v="1"/>
    <x v="4"/>
    <n v="21"/>
    <n v="25"/>
    <x v="1"/>
    <x v="1"/>
    <s v="cashloan"/>
    <n v="10500000"/>
  </r>
  <r>
    <x v="504"/>
    <x v="1"/>
    <x v="4"/>
    <n v="21"/>
    <n v="25"/>
    <x v="6"/>
    <x v="6"/>
    <s v="payday"/>
    <n v="23000000"/>
  </r>
  <r>
    <x v="504"/>
    <x v="1"/>
    <x v="4"/>
    <n v="21"/>
    <n v="25"/>
    <x v="24"/>
    <x v="18"/>
    <s v="cashloan"/>
    <n v="1297000000"/>
  </r>
  <r>
    <x v="504"/>
    <x v="1"/>
    <x v="4"/>
    <n v="21"/>
    <n v="25"/>
    <x v="3"/>
    <x v="3"/>
    <s v="cashloan"/>
    <n v="0"/>
  </r>
  <r>
    <x v="504"/>
    <x v="1"/>
    <x v="4"/>
    <n v="21"/>
    <n v="25"/>
    <x v="18"/>
    <x v="15"/>
    <s v="cashloan"/>
    <n v="368050000"/>
  </r>
  <r>
    <x v="504"/>
    <x v="1"/>
    <x v="4"/>
    <n v="21"/>
    <n v="25"/>
    <x v="8"/>
    <x v="8"/>
    <s v="cashloan"/>
    <n v="0"/>
  </r>
  <r>
    <x v="504"/>
    <x v="1"/>
    <x v="4"/>
    <n v="21"/>
    <n v="25"/>
    <x v="23"/>
    <x v="17"/>
    <s v="paylater"/>
    <n v="470000"/>
  </r>
  <r>
    <x v="504"/>
    <x v="1"/>
    <x v="4"/>
    <n v="21"/>
    <n v="25"/>
    <x v="14"/>
    <x v="13"/>
    <s v="cashloan"/>
    <n v="1148140000"/>
  </r>
  <r>
    <x v="504"/>
    <x v="1"/>
    <x v="4"/>
    <n v="21"/>
    <n v="25"/>
    <x v="11"/>
    <x v="10"/>
    <s v="paylater"/>
    <n v="228851732"/>
  </r>
  <r>
    <x v="504"/>
    <x v="1"/>
    <x v="4"/>
    <n v="21"/>
    <n v="25"/>
    <x v="19"/>
    <x v="12"/>
    <s v="paylater"/>
    <n v="291355241"/>
  </r>
  <r>
    <x v="504"/>
    <x v="1"/>
    <x v="4"/>
    <n v="21"/>
    <n v="25"/>
    <x v="5"/>
    <x v="5"/>
    <s v="overdraft"/>
    <n v="3151529495"/>
  </r>
  <r>
    <x v="504"/>
    <x v="1"/>
    <x v="4"/>
    <n v="21"/>
    <n v="25"/>
    <x v="7"/>
    <x v="7"/>
    <s v="paylater"/>
    <n v="240775550"/>
  </r>
  <r>
    <x v="505"/>
    <x v="1"/>
    <x v="4"/>
    <n v="22"/>
    <n v="26"/>
    <x v="3"/>
    <x v="3"/>
    <s v="cashloan"/>
    <n v="0"/>
  </r>
  <r>
    <x v="505"/>
    <x v="1"/>
    <x v="4"/>
    <n v="22"/>
    <n v="26"/>
    <x v="18"/>
    <x v="15"/>
    <s v="cashloan"/>
    <n v="607830000"/>
  </r>
  <r>
    <x v="505"/>
    <x v="1"/>
    <x v="4"/>
    <n v="22"/>
    <n v="26"/>
    <x v="23"/>
    <x v="17"/>
    <s v="paylater"/>
    <n v="0"/>
  </r>
  <r>
    <x v="505"/>
    <x v="1"/>
    <x v="4"/>
    <n v="22"/>
    <n v="26"/>
    <x v="24"/>
    <x v="18"/>
    <s v="cashloan"/>
    <n v="1550000000"/>
  </r>
  <r>
    <x v="505"/>
    <x v="1"/>
    <x v="4"/>
    <n v="22"/>
    <n v="26"/>
    <x v="8"/>
    <x v="8"/>
    <s v="cashloan"/>
    <n v="0"/>
  </r>
  <r>
    <x v="505"/>
    <x v="1"/>
    <x v="4"/>
    <n v="22"/>
    <n v="26"/>
    <x v="11"/>
    <x v="10"/>
    <s v="paylater"/>
    <n v="197002830"/>
  </r>
  <r>
    <x v="505"/>
    <x v="1"/>
    <x v="4"/>
    <n v="22"/>
    <n v="26"/>
    <x v="5"/>
    <x v="5"/>
    <s v="overdraft"/>
    <n v="4242879578"/>
  </r>
  <r>
    <x v="505"/>
    <x v="1"/>
    <x v="4"/>
    <n v="22"/>
    <n v="26"/>
    <x v="14"/>
    <x v="13"/>
    <s v="cashloan"/>
    <n v="1400950000"/>
  </r>
  <r>
    <x v="505"/>
    <x v="1"/>
    <x v="4"/>
    <n v="22"/>
    <n v="26"/>
    <x v="2"/>
    <x v="2"/>
    <s v="cashloan"/>
    <n v="7910020000"/>
  </r>
  <r>
    <x v="505"/>
    <x v="1"/>
    <x v="4"/>
    <n v="22"/>
    <n v="26"/>
    <x v="15"/>
    <x v="14"/>
    <s v="paylater"/>
    <n v="16185205"/>
  </r>
  <r>
    <x v="505"/>
    <x v="1"/>
    <x v="4"/>
    <n v="22"/>
    <n v="26"/>
    <x v="1"/>
    <x v="1"/>
    <s v="cashloan"/>
    <n v="51500000"/>
  </r>
  <r>
    <x v="505"/>
    <x v="1"/>
    <x v="4"/>
    <n v="22"/>
    <n v="26"/>
    <x v="6"/>
    <x v="6"/>
    <s v="payday"/>
    <n v="11000000"/>
  </r>
  <r>
    <x v="505"/>
    <x v="1"/>
    <x v="4"/>
    <n v="22"/>
    <n v="26"/>
    <x v="17"/>
    <x v="9"/>
    <s v="cashloan"/>
    <n v="0"/>
  </r>
  <r>
    <x v="505"/>
    <x v="1"/>
    <x v="4"/>
    <n v="22"/>
    <n v="26"/>
    <x v="7"/>
    <x v="7"/>
    <s v="paylater"/>
    <n v="306972700"/>
  </r>
  <r>
    <x v="505"/>
    <x v="1"/>
    <x v="4"/>
    <n v="22"/>
    <n v="26"/>
    <x v="12"/>
    <x v="11"/>
    <s v="cashloan"/>
    <n v="7453280000"/>
  </r>
  <r>
    <x v="505"/>
    <x v="1"/>
    <x v="4"/>
    <n v="22"/>
    <n v="26"/>
    <x v="20"/>
    <x v="9"/>
    <s v="cashloan"/>
    <n v="0"/>
  </r>
  <r>
    <x v="505"/>
    <x v="1"/>
    <x v="4"/>
    <n v="22"/>
    <n v="26"/>
    <x v="19"/>
    <x v="12"/>
    <s v="paylater"/>
    <n v="371861682"/>
  </r>
  <r>
    <x v="505"/>
    <x v="1"/>
    <x v="4"/>
    <n v="22"/>
    <n v="26"/>
    <x v="0"/>
    <x v="0"/>
    <s v="payday"/>
    <n v="5293188000"/>
  </r>
  <r>
    <x v="505"/>
    <x v="1"/>
    <x v="4"/>
    <n v="22"/>
    <n v="26"/>
    <x v="22"/>
    <x v="16"/>
    <s v="cashloan"/>
    <n v="10000000"/>
  </r>
  <r>
    <x v="506"/>
    <x v="1"/>
    <x v="4"/>
    <n v="22"/>
    <n v="27"/>
    <x v="6"/>
    <x v="6"/>
    <s v="payday"/>
    <n v="18000000"/>
  </r>
  <r>
    <x v="506"/>
    <x v="1"/>
    <x v="4"/>
    <n v="22"/>
    <n v="27"/>
    <x v="11"/>
    <x v="10"/>
    <s v="paylater"/>
    <n v="186804420"/>
  </r>
  <r>
    <x v="506"/>
    <x v="1"/>
    <x v="4"/>
    <n v="22"/>
    <n v="27"/>
    <x v="12"/>
    <x v="11"/>
    <s v="cashloan"/>
    <n v="6570320000"/>
  </r>
  <r>
    <x v="506"/>
    <x v="1"/>
    <x v="4"/>
    <n v="22"/>
    <n v="27"/>
    <x v="15"/>
    <x v="14"/>
    <s v="paylater"/>
    <n v="24255809"/>
  </r>
  <r>
    <x v="506"/>
    <x v="1"/>
    <x v="4"/>
    <n v="22"/>
    <n v="27"/>
    <x v="17"/>
    <x v="9"/>
    <s v="cashloan"/>
    <n v="0"/>
  </r>
  <r>
    <x v="506"/>
    <x v="1"/>
    <x v="4"/>
    <n v="22"/>
    <n v="27"/>
    <x v="2"/>
    <x v="2"/>
    <s v="cashloan"/>
    <n v="6876620000"/>
  </r>
  <r>
    <x v="506"/>
    <x v="1"/>
    <x v="4"/>
    <n v="22"/>
    <n v="27"/>
    <x v="1"/>
    <x v="1"/>
    <s v="cashloan"/>
    <n v="36750000"/>
  </r>
  <r>
    <x v="506"/>
    <x v="1"/>
    <x v="4"/>
    <n v="22"/>
    <n v="27"/>
    <x v="24"/>
    <x v="18"/>
    <s v="cashloan"/>
    <n v="1568000000"/>
  </r>
  <r>
    <x v="506"/>
    <x v="1"/>
    <x v="4"/>
    <n v="22"/>
    <n v="27"/>
    <x v="22"/>
    <x v="16"/>
    <s v="cashloan"/>
    <n v="0"/>
  </r>
  <r>
    <x v="506"/>
    <x v="1"/>
    <x v="4"/>
    <n v="22"/>
    <n v="27"/>
    <x v="3"/>
    <x v="3"/>
    <s v="cashloan"/>
    <n v="0"/>
  </r>
  <r>
    <x v="506"/>
    <x v="1"/>
    <x v="4"/>
    <n v="22"/>
    <n v="27"/>
    <x v="18"/>
    <x v="15"/>
    <s v="cashloan"/>
    <n v="668550000"/>
  </r>
  <r>
    <x v="506"/>
    <x v="1"/>
    <x v="4"/>
    <n v="22"/>
    <n v="27"/>
    <x v="8"/>
    <x v="8"/>
    <s v="cashloan"/>
    <n v="0"/>
  </r>
  <r>
    <x v="506"/>
    <x v="1"/>
    <x v="4"/>
    <n v="22"/>
    <n v="27"/>
    <x v="23"/>
    <x v="17"/>
    <s v="paylater"/>
    <n v="2030000"/>
  </r>
  <r>
    <x v="506"/>
    <x v="1"/>
    <x v="4"/>
    <n v="22"/>
    <n v="27"/>
    <x v="14"/>
    <x v="13"/>
    <s v="cashloan"/>
    <n v="985750000"/>
  </r>
  <r>
    <x v="506"/>
    <x v="1"/>
    <x v="4"/>
    <n v="22"/>
    <n v="27"/>
    <x v="0"/>
    <x v="0"/>
    <s v="payday"/>
    <n v="4843476000"/>
  </r>
  <r>
    <x v="506"/>
    <x v="1"/>
    <x v="4"/>
    <n v="22"/>
    <n v="27"/>
    <x v="20"/>
    <x v="9"/>
    <s v="cashloan"/>
    <n v="0"/>
  </r>
  <r>
    <x v="506"/>
    <x v="1"/>
    <x v="4"/>
    <n v="22"/>
    <n v="27"/>
    <x v="5"/>
    <x v="5"/>
    <s v="overdraft"/>
    <n v="3252619837"/>
  </r>
  <r>
    <x v="506"/>
    <x v="1"/>
    <x v="4"/>
    <n v="22"/>
    <n v="27"/>
    <x v="7"/>
    <x v="7"/>
    <s v="paylater"/>
    <n v="282314929"/>
  </r>
  <r>
    <x v="506"/>
    <x v="1"/>
    <x v="4"/>
    <n v="22"/>
    <n v="27"/>
    <x v="19"/>
    <x v="12"/>
    <s v="paylater"/>
    <n v="402521737"/>
  </r>
  <r>
    <x v="507"/>
    <x v="1"/>
    <x v="4"/>
    <n v="22"/>
    <n v="28"/>
    <x v="7"/>
    <x v="7"/>
    <s v="paylater"/>
    <n v="291376692"/>
  </r>
  <r>
    <x v="507"/>
    <x v="1"/>
    <x v="4"/>
    <n v="22"/>
    <n v="28"/>
    <x v="12"/>
    <x v="11"/>
    <s v="cashloan"/>
    <n v="7683630000"/>
  </r>
  <r>
    <x v="507"/>
    <x v="1"/>
    <x v="4"/>
    <n v="22"/>
    <n v="28"/>
    <x v="5"/>
    <x v="5"/>
    <s v="overdraft"/>
    <n v="3605860709"/>
  </r>
  <r>
    <x v="507"/>
    <x v="1"/>
    <x v="4"/>
    <n v="22"/>
    <n v="28"/>
    <x v="2"/>
    <x v="2"/>
    <s v="cashloan"/>
    <n v="6112960000"/>
  </r>
  <r>
    <x v="507"/>
    <x v="1"/>
    <x v="4"/>
    <n v="22"/>
    <n v="28"/>
    <x v="11"/>
    <x v="10"/>
    <s v="paylater"/>
    <n v="211669161"/>
  </r>
  <r>
    <x v="507"/>
    <x v="1"/>
    <x v="4"/>
    <n v="22"/>
    <n v="28"/>
    <x v="15"/>
    <x v="14"/>
    <s v="paylater"/>
    <n v="37733698"/>
  </r>
  <r>
    <x v="507"/>
    <x v="1"/>
    <x v="4"/>
    <n v="22"/>
    <n v="28"/>
    <x v="20"/>
    <x v="9"/>
    <s v="cashloan"/>
    <n v="0"/>
  </r>
  <r>
    <x v="507"/>
    <x v="1"/>
    <x v="4"/>
    <n v="22"/>
    <n v="28"/>
    <x v="17"/>
    <x v="9"/>
    <s v="cashloan"/>
    <n v="0"/>
  </r>
  <r>
    <x v="507"/>
    <x v="1"/>
    <x v="4"/>
    <n v="22"/>
    <n v="28"/>
    <x v="22"/>
    <x v="16"/>
    <s v="cashloan"/>
    <n v="0"/>
  </r>
  <r>
    <x v="507"/>
    <x v="1"/>
    <x v="4"/>
    <n v="22"/>
    <n v="28"/>
    <x v="1"/>
    <x v="1"/>
    <s v="cashloan"/>
    <n v="10500000"/>
  </r>
  <r>
    <x v="507"/>
    <x v="1"/>
    <x v="4"/>
    <n v="22"/>
    <n v="28"/>
    <x v="6"/>
    <x v="6"/>
    <s v="payday"/>
    <n v="22000000"/>
  </r>
  <r>
    <x v="507"/>
    <x v="1"/>
    <x v="4"/>
    <n v="22"/>
    <n v="28"/>
    <x v="24"/>
    <x v="18"/>
    <s v="cashloan"/>
    <n v="1288000000"/>
  </r>
  <r>
    <x v="507"/>
    <x v="1"/>
    <x v="4"/>
    <n v="22"/>
    <n v="28"/>
    <x v="3"/>
    <x v="3"/>
    <s v="cashloan"/>
    <n v="0"/>
  </r>
  <r>
    <x v="507"/>
    <x v="1"/>
    <x v="4"/>
    <n v="22"/>
    <n v="28"/>
    <x v="18"/>
    <x v="15"/>
    <s v="cashloan"/>
    <n v="457840000"/>
  </r>
  <r>
    <x v="507"/>
    <x v="1"/>
    <x v="4"/>
    <n v="22"/>
    <n v="28"/>
    <x v="8"/>
    <x v="8"/>
    <s v="cashloan"/>
    <n v="0"/>
  </r>
  <r>
    <x v="507"/>
    <x v="1"/>
    <x v="4"/>
    <n v="22"/>
    <n v="28"/>
    <x v="0"/>
    <x v="0"/>
    <s v="payday"/>
    <n v="5185296000"/>
  </r>
  <r>
    <x v="507"/>
    <x v="1"/>
    <x v="4"/>
    <n v="22"/>
    <n v="28"/>
    <x v="19"/>
    <x v="12"/>
    <s v="paylater"/>
    <n v="407715786"/>
  </r>
  <r>
    <x v="507"/>
    <x v="1"/>
    <x v="4"/>
    <n v="22"/>
    <n v="28"/>
    <x v="23"/>
    <x v="17"/>
    <s v="paylater"/>
    <n v="0"/>
  </r>
  <r>
    <x v="507"/>
    <x v="1"/>
    <x v="4"/>
    <n v="22"/>
    <n v="28"/>
    <x v="14"/>
    <x v="13"/>
    <s v="cashloan"/>
    <n v="724040000"/>
  </r>
  <r>
    <x v="508"/>
    <x v="1"/>
    <x v="4"/>
    <n v="22"/>
    <n v="29"/>
    <x v="12"/>
    <x v="11"/>
    <s v="cashloan"/>
    <n v="6905690000"/>
  </r>
  <r>
    <x v="508"/>
    <x v="1"/>
    <x v="4"/>
    <n v="22"/>
    <n v="29"/>
    <x v="0"/>
    <x v="0"/>
    <s v="payday"/>
    <n v="5380668000"/>
  </r>
  <r>
    <x v="508"/>
    <x v="1"/>
    <x v="4"/>
    <n v="22"/>
    <n v="29"/>
    <x v="2"/>
    <x v="2"/>
    <s v="cashloan"/>
    <n v="6269210000"/>
  </r>
  <r>
    <x v="508"/>
    <x v="1"/>
    <x v="4"/>
    <n v="22"/>
    <n v="29"/>
    <x v="22"/>
    <x v="16"/>
    <s v="cashloan"/>
    <n v="0"/>
  </r>
  <r>
    <x v="508"/>
    <x v="1"/>
    <x v="4"/>
    <n v="22"/>
    <n v="29"/>
    <x v="15"/>
    <x v="14"/>
    <s v="paylater"/>
    <n v="31338616"/>
  </r>
  <r>
    <x v="508"/>
    <x v="1"/>
    <x v="4"/>
    <n v="22"/>
    <n v="29"/>
    <x v="20"/>
    <x v="9"/>
    <s v="cashloan"/>
    <n v="0"/>
  </r>
  <r>
    <x v="508"/>
    <x v="1"/>
    <x v="4"/>
    <n v="22"/>
    <n v="29"/>
    <x v="17"/>
    <x v="9"/>
    <s v="cashloan"/>
    <n v="0"/>
  </r>
  <r>
    <x v="508"/>
    <x v="1"/>
    <x v="4"/>
    <n v="22"/>
    <n v="29"/>
    <x v="1"/>
    <x v="1"/>
    <s v="cashloan"/>
    <n v="42000000"/>
  </r>
  <r>
    <x v="508"/>
    <x v="1"/>
    <x v="4"/>
    <n v="22"/>
    <n v="29"/>
    <x v="6"/>
    <x v="6"/>
    <s v="payday"/>
    <n v="34000000"/>
  </r>
  <r>
    <x v="508"/>
    <x v="1"/>
    <x v="4"/>
    <n v="22"/>
    <n v="29"/>
    <x v="24"/>
    <x v="18"/>
    <s v="cashloan"/>
    <n v="1795000000"/>
  </r>
  <r>
    <x v="508"/>
    <x v="1"/>
    <x v="4"/>
    <n v="22"/>
    <n v="29"/>
    <x v="3"/>
    <x v="3"/>
    <s v="cashloan"/>
    <n v="0"/>
  </r>
  <r>
    <x v="508"/>
    <x v="1"/>
    <x v="4"/>
    <n v="22"/>
    <n v="29"/>
    <x v="18"/>
    <x v="15"/>
    <s v="cashloan"/>
    <n v="545540000"/>
  </r>
  <r>
    <x v="508"/>
    <x v="1"/>
    <x v="4"/>
    <n v="22"/>
    <n v="29"/>
    <x v="8"/>
    <x v="8"/>
    <s v="cashloan"/>
    <n v="0"/>
  </r>
  <r>
    <x v="508"/>
    <x v="1"/>
    <x v="4"/>
    <n v="22"/>
    <n v="29"/>
    <x v="23"/>
    <x v="17"/>
    <s v="paylater"/>
    <n v="0"/>
  </r>
  <r>
    <x v="508"/>
    <x v="1"/>
    <x v="4"/>
    <n v="22"/>
    <n v="29"/>
    <x v="14"/>
    <x v="13"/>
    <s v="cashloan"/>
    <n v="1023930000"/>
  </r>
  <r>
    <x v="508"/>
    <x v="1"/>
    <x v="4"/>
    <n v="22"/>
    <n v="29"/>
    <x v="11"/>
    <x v="10"/>
    <s v="paylater"/>
    <n v="274254467"/>
  </r>
  <r>
    <x v="508"/>
    <x v="1"/>
    <x v="4"/>
    <n v="22"/>
    <n v="29"/>
    <x v="19"/>
    <x v="12"/>
    <s v="paylater"/>
    <n v="402335059"/>
  </r>
  <r>
    <x v="508"/>
    <x v="1"/>
    <x v="4"/>
    <n v="22"/>
    <n v="29"/>
    <x v="5"/>
    <x v="5"/>
    <s v="overdraft"/>
    <n v="3612979634"/>
  </r>
  <r>
    <x v="508"/>
    <x v="1"/>
    <x v="4"/>
    <n v="22"/>
    <n v="29"/>
    <x v="7"/>
    <x v="7"/>
    <s v="paylater"/>
    <n v="302021970"/>
  </r>
  <r>
    <x v="509"/>
    <x v="1"/>
    <x v="4"/>
    <n v="22"/>
    <n v="30"/>
    <x v="3"/>
    <x v="3"/>
    <s v="cashloan"/>
    <n v="0"/>
  </r>
  <r>
    <x v="509"/>
    <x v="1"/>
    <x v="4"/>
    <n v="22"/>
    <n v="30"/>
    <x v="18"/>
    <x v="15"/>
    <s v="cashloan"/>
    <n v="770080000"/>
  </r>
  <r>
    <x v="509"/>
    <x v="1"/>
    <x v="4"/>
    <n v="22"/>
    <n v="30"/>
    <x v="24"/>
    <x v="18"/>
    <s v="cashloan"/>
    <n v="1681000000"/>
  </r>
  <r>
    <x v="509"/>
    <x v="1"/>
    <x v="4"/>
    <n v="22"/>
    <n v="30"/>
    <x v="8"/>
    <x v="8"/>
    <s v="cashloan"/>
    <n v="0"/>
  </r>
  <r>
    <x v="509"/>
    <x v="1"/>
    <x v="4"/>
    <n v="22"/>
    <n v="30"/>
    <x v="23"/>
    <x v="17"/>
    <s v="paylater"/>
    <n v="476000"/>
  </r>
  <r>
    <x v="509"/>
    <x v="1"/>
    <x v="4"/>
    <n v="22"/>
    <n v="30"/>
    <x v="2"/>
    <x v="2"/>
    <s v="cashloan"/>
    <n v="6136850000"/>
  </r>
  <r>
    <x v="509"/>
    <x v="1"/>
    <x v="4"/>
    <n v="22"/>
    <n v="30"/>
    <x v="6"/>
    <x v="6"/>
    <s v="payday"/>
    <n v="16000000"/>
  </r>
  <r>
    <x v="509"/>
    <x v="1"/>
    <x v="4"/>
    <n v="22"/>
    <n v="30"/>
    <x v="11"/>
    <x v="10"/>
    <s v="paylater"/>
    <n v="232554002"/>
  </r>
  <r>
    <x v="509"/>
    <x v="1"/>
    <x v="4"/>
    <n v="22"/>
    <n v="30"/>
    <x v="19"/>
    <x v="12"/>
    <s v="paylater"/>
    <n v="516091104"/>
  </r>
  <r>
    <x v="509"/>
    <x v="1"/>
    <x v="4"/>
    <n v="22"/>
    <n v="30"/>
    <x v="5"/>
    <x v="5"/>
    <s v="overdraft"/>
    <n v="4186991628"/>
  </r>
  <r>
    <x v="509"/>
    <x v="1"/>
    <x v="4"/>
    <n v="22"/>
    <n v="30"/>
    <x v="14"/>
    <x v="13"/>
    <s v="cashloan"/>
    <n v="1253720000"/>
  </r>
  <r>
    <x v="509"/>
    <x v="1"/>
    <x v="4"/>
    <n v="22"/>
    <n v="30"/>
    <x v="7"/>
    <x v="7"/>
    <s v="paylater"/>
    <n v="321522364"/>
  </r>
  <r>
    <x v="509"/>
    <x v="1"/>
    <x v="4"/>
    <n v="22"/>
    <n v="30"/>
    <x v="12"/>
    <x v="11"/>
    <s v="cashloan"/>
    <n v="7414200000"/>
  </r>
  <r>
    <x v="509"/>
    <x v="1"/>
    <x v="4"/>
    <n v="22"/>
    <n v="30"/>
    <x v="0"/>
    <x v="0"/>
    <s v="payday"/>
    <n v="5836320000"/>
  </r>
  <r>
    <x v="509"/>
    <x v="1"/>
    <x v="4"/>
    <n v="22"/>
    <n v="30"/>
    <x v="22"/>
    <x v="16"/>
    <s v="cashloan"/>
    <n v="25000000"/>
  </r>
  <r>
    <x v="509"/>
    <x v="1"/>
    <x v="4"/>
    <n v="22"/>
    <n v="30"/>
    <x v="15"/>
    <x v="14"/>
    <s v="paylater"/>
    <n v="56386972"/>
  </r>
  <r>
    <x v="509"/>
    <x v="1"/>
    <x v="4"/>
    <n v="22"/>
    <n v="30"/>
    <x v="20"/>
    <x v="9"/>
    <s v="cashloan"/>
    <n v="0"/>
  </r>
  <r>
    <x v="509"/>
    <x v="1"/>
    <x v="4"/>
    <n v="22"/>
    <n v="30"/>
    <x v="17"/>
    <x v="9"/>
    <s v="cashloan"/>
    <n v="0"/>
  </r>
  <r>
    <x v="509"/>
    <x v="1"/>
    <x v="4"/>
    <n v="22"/>
    <n v="30"/>
    <x v="1"/>
    <x v="1"/>
    <s v="cashloan"/>
    <n v="42000000"/>
  </r>
  <r>
    <x v="510"/>
    <x v="1"/>
    <x v="4"/>
    <n v="22"/>
    <n v="31"/>
    <x v="20"/>
    <x v="9"/>
    <s v="cashloan"/>
    <n v="0"/>
  </r>
  <r>
    <x v="510"/>
    <x v="1"/>
    <x v="4"/>
    <n v="22"/>
    <n v="31"/>
    <x v="0"/>
    <x v="0"/>
    <s v="payday"/>
    <n v="5492880000"/>
  </r>
  <r>
    <x v="510"/>
    <x v="1"/>
    <x v="4"/>
    <n v="22"/>
    <n v="31"/>
    <x v="2"/>
    <x v="2"/>
    <s v="cashloan"/>
    <n v="6381890000"/>
  </r>
  <r>
    <x v="510"/>
    <x v="1"/>
    <x v="4"/>
    <n v="22"/>
    <n v="31"/>
    <x v="23"/>
    <x v="17"/>
    <s v="paylater"/>
    <n v="2781000"/>
  </r>
  <r>
    <x v="510"/>
    <x v="1"/>
    <x v="4"/>
    <n v="22"/>
    <n v="31"/>
    <x v="22"/>
    <x v="16"/>
    <s v="cashloan"/>
    <n v="0"/>
  </r>
  <r>
    <x v="510"/>
    <x v="1"/>
    <x v="4"/>
    <n v="22"/>
    <n v="31"/>
    <x v="14"/>
    <x v="13"/>
    <s v="cashloan"/>
    <n v="1118030000"/>
  </r>
  <r>
    <x v="510"/>
    <x v="1"/>
    <x v="4"/>
    <n v="22"/>
    <n v="31"/>
    <x v="15"/>
    <x v="14"/>
    <s v="paylater"/>
    <n v="13852762"/>
  </r>
  <r>
    <x v="510"/>
    <x v="1"/>
    <x v="4"/>
    <n v="22"/>
    <n v="31"/>
    <x v="17"/>
    <x v="9"/>
    <s v="cashloan"/>
    <n v="0"/>
  </r>
  <r>
    <x v="510"/>
    <x v="1"/>
    <x v="4"/>
    <n v="22"/>
    <n v="31"/>
    <x v="7"/>
    <x v="7"/>
    <s v="paylater"/>
    <n v="302669713"/>
  </r>
  <r>
    <x v="510"/>
    <x v="1"/>
    <x v="4"/>
    <n v="22"/>
    <n v="31"/>
    <x v="1"/>
    <x v="1"/>
    <s v="cashloan"/>
    <n v="20000000"/>
  </r>
  <r>
    <x v="510"/>
    <x v="1"/>
    <x v="4"/>
    <n v="22"/>
    <n v="31"/>
    <x v="6"/>
    <x v="6"/>
    <s v="payday"/>
    <n v="21000000"/>
  </r>
  <r>
    <x v="510"/>
    <x v="1"/>
    <x v="4"/>
    <n v="22"/>
    <n v="31"/>
    <x v="24"/>
    <x v="18"/>
    <s v="cashloan"/>
    <n v="1215000000"/>
  </r>
  <r>
    <x v="510"/>
    <x v="1"/>
    <x v="4"/>
    <n v="22"/>
    <n v="31"/>
    <x v="3"/>
    <x v="3"/>
    <s v="cashloan"/>
    <n v="0"/>
  </r>
  <r>
    <x v="510"/>
    <x v="1"/>
    <x v="4"/>
    <n v="22"/>
    <n v="31"/>
    <x v="18"/>
    <x v="15"/>
    <s v="cashloan"/>
    <n v="444820000"/>
  </r>
  <r>
    <x v="510"/>
    <x v="1"/>
    <x v="4"/>
    <n v="22"/>
    <n v="31"/>
    <x v="8"/>
    <x v="8"/>
    <s v="cashloan"/>
    <n v="0"/>
  </r>
  <r>
    <x v="510"/>
    <x v="1"/>
    <x v="4"/>
    <n v="22"/>
    <n v="31"/>
    <x v="12"/>
    <x v="11"/>
    <s v="cashloan"/>
    <n v="6505060000"/>
  </r>
  <r>
    <x v="510"/>
    <x v="1"/>
    <x v="4"/>
    <n v="22"/>
    <n v="31"/>
    <x v="11"/>
    <x v="10"/>
    <s v="paylater"/>
    <n v="220912336"/>
  </r>
  <r>
    <x v="510"/>
    <x v="1"/>
    <x v="4"/>
    <n v="22"/>
    <n v="31"/>
    <x v="19"/>
    <x v="12"/>
    <s v="paylater"/>
    <n v="403660576"/>
  </r>
  <r>
    <x v="510"/>
    <x v="1"/>
    <x v="4"/>
    <n v="22"/>
    <n v="31"/>
    <x v="5"/>
    <x v="5"/>
    <s v="overdraft"/>
    <n v="3709380697"/>
  </r>
  <r>
    <x v="511"/>
    <x v="1"/>
    <x v="5"/>
    <n v="22"/>
    <n v="1"/>
    <x v="22"/>
    <x v="16"/>
    <s v="cashloan"/>
    <n v="0"/>
  </r>
  <r>
    <x v="511"/>
    <x v="1"/>
    <x v="5"/>
    <n v="22"/>
    <n v="1"/>
    <x v="20"/>
    <x v="9"/>
    <s v="cashloan"/>
    <n v="0"/>
  </r>
  <r>
    <x v="511"/>
    <x v="1"/>
    <x v="5"/>
    <n v="22"/>
    <n v="1"/>
    <x v="3"/>
    <x v="3"/>
    <s v="cashloan"/>
    <n v="0"/>
  </r>
  <r>
    <x v="511"/>
    <x v="1"/>
    <x v="5"/>
    <n v="22"/>
    <n v="1"/>
    <x v="17"/>
    <x v="9"/>
    <s v="cashloan"/>
    <n v="0"/>
  </r>
  <r>
    <x v="511"/>
    <x v="1"/>
    <x v="5"/>
    <n v="22"/>
    <n v="1"/>
    <x v="24"/>
    <x v="18"/>
    <s v="cashloan"/>
    <n v="1596000000"/>
  </r>
  <r>
    <x v="511"/>
    <x v="1"/>
    <x v="5"/>
    <n v="22"/>
    <n v="1"/>
    <x v="12"/>
    <x v="11"/>
    <s v="cashloan"/>
    <n v="6637810000"/>
  </r>
  <r>
    <x v="511"/>
    <x v="1"/>
    <x v="5"/>
    <n v="22"/>
    <n v="1"/>
    <x v="11"/>
    <x v="10"/>
    <s v="paylater"/>
    <n v="294544742"/>
  </r>
  <r>
    <x v="511"/>
    <x v="1"/>
    <x v="5"/>
    <n v="22"/>
    <n v="1"/>
    <x v="6"/>
    <x v="6"/>
    <s v="payday"/>
    <n v="17000000"/>
  </r>
  <r>
    <x v="511"/>
    <x v="1"/>
    <x v="5"/>
    <n v="22"/>
    <n v="1"/>
    <x v="15"/>
    <x v="14"/>
    <s v="paylater"/>
    <n v="36641396"/>
  </r>
  <r>
    <x v="511"/>
    <x v="1"/>
    <x v="5"/>
    <n v="22"/>
    <n v="1"/>
    <x v="7"/>
    <x v="7"/>
    <s v="paylater"/>
    <n v="368176550"/>
  </r>
  <r>
    <x v="511"/>
    <x v="1"/>
    <x v="5"/>
    <n v="22"/>
    <n v="1"/>
    <x v="2"/>
    <x v="2"/>
    <s v="cashloan"/>
    <n v="6303930000"/>
  </r>
  <r>
    <x v="511"/>
    <x v="1"/>
    <x v="5"/>
    <n v="22"/>
    <n v="1"/>
    <x v="14"/>
    <x v="13"/>
    <s v="cashloan"/>
    <n v="1176750000"/>
  </r>
  <r>
    <x v="511"/>
    <x v="1"/>
    <x v="5"/>
    <n v="22"/>
    <n v="1"/>
    <x v="5"/>
    <x v="5"/>
    <s v="overdraft"/>
    <n v="5758867893"/>
  </r>
  <r>
    <x v="511"/>
    <x v="1"/>
    <x v="5"/>
    <n v="22"/>
    <n v="1"/>
    <x v="0"/>
    <x v="0"/>
    <s v="payday"/>
    <n v="5846256000"/>
  </r>
  <r>
    <x v="511"/>
    <x v="1"/>
    <x v="5"/>
    <n v="22"/>
    <n v="1"/>
    <x v="19"/>
    <x v="12"/>
    <s v="paylater"/>
    <n v="722211486"/>
  </r>
  <r>
    <x v="511"/>
    <x v="1"/>
    <x v="5"/>
    <n v="22"/>
    <n v="1"/>
    <x v="23"/>
    <x v="17"/>
    <s v="paylater"/>
    <n v="0"/>
  </r>
  <r>
    <x v="511"/>
    <x v="1"/>
    <x v="5"/>
    <n v="22"/>
    <n v="1"/>
    <x v="1"/>
    <x v="1"/>
    <s v="cashloan"/>
    <n v="10500000"/>
  </r>
  <r>
    <x v="511"/>
    <x v="1"/>
    <x v="5"/>
    <n v="22"/>
    <n v="1"/>
    <x v="18"/>
    <x v="15"/>
    <s v="cashloan"/>
    <n v="744300000"/>
  </r>
  <r>
    <x v="512"/>
    <x v="1"/>
    <x v="5"/>
    <n v="23"/>
    <n v="2"/>
    <x v="24"/>
    <x v="18"/>
    <s v="cashloan"/>
    <n v="2209000000"/>
  </r>
  <r>
    <x v="512"/>
    <x v="1"/>
    <x v="5"/>
    <n v="23"/>
    <n v="2"/>
    <x v="1"/>
    <x v="1"/>
    <s v="cashloan"/>
    <n v="42000000"/>
  </r>
  <r>
    <x v="512"/>
    <x v="1"/>
    <x v="5"/>
    <n v="23"/>
    <n v="2"/>
    <x v="20"/>
    <x v="9"/>
    <s v="cashloan"/>
    <n v="0"/>
  </r>
  <r>
    <x v="512"/>
    <x v="1"/>
    <x v="5"/>
    <n v="23"/>
    <n v="2"/>
    <x v="19"/>
    <x v="12"/>
    <s v="paylater"/>
    <n v="969925569"/>
  </r>
  <r>
    <x v="512"/>
    <x v="1"/>
    <x v="5"/>
    <n v="23"/>
    <n v="2"/>
    <x v="2"/>
    <x v="2"/>
    <s v="cashloan"/>
    <n v="7488890000"/>
  </r>
  <r>
    <x v="512"/>
    <x v="1"/>
    <x v="5"/>
    <n v="23"/>
    <n v="2"/>
    <x v="17"/>
    <x v="9"/>
    <s v="cashloan"/>
    <n v="0"/>
  </r>
  <r>
    <x v="512"/>
    <x v="1"/>
    <x v="5"/>
    <n v="23"/>
    <n v="2"/>
    <x v="22"/>
    <x v="16"/>
    <s v="cashloan"/>
    <n v="12600000"/>
  </r>
  <r>
    <x v="512"/>
    <x v="1"/>
    <x v="5"/>
    <n v="23"/>
    <n v="2"/>
    <x v="15"/>
    <x v="14"/>
    <s v="paylater"/>
    <n v="68350763"/>
  </r>
  <r>
    <x v="512"/>
    <x v="1"/>
    <x v="5"/>
    <n v="23"/>
    <n v="2"/>
    <x v="6"/>
    <x v="6"/>
    <s v="payday"/>
    <n v="44000000"/>
  </r>
  <r>
    <x v="512"/>
    <x v="1"/>
    <x v="5"/>
    <n v="23"/>
    <n v="2"/>
    <x v="18"/>
    <x v="15"/>
    <s v="cashloan"/>
    <n v="418050000"/>
  </r>
  <r>
    <x v="512"/>
    <x v="1"/>
    <x v="5"/>
    <n v="23"/>
    <n v="2"/>
    <x v="23"/>
    <x v="17"/>
    <s v="paylater"/>
    <n v="0"/>
  </r>
  <r>
    <x v="512"/>
    <x v="1"/>
    <x v="5"/>
    <n v="23"/>
    <n v="2"/>
    <x v="11"/>
    <x v="10"/>
    <s v="paylater"/>
    <n v="285370959"/>
  </r>
  <r>
    <x v="512"/>
    <x v="1"/>
    <x v="5"/>
    <n v="23"/>
    <n v="2"/>
    <x v="7"/>
    <x v="7"/>
    <s v="paylater"/>
    <n v="378025986"/>
  </r>
  <r>
    <x v="512"/>
    <x v="1"/>
    <x v="5"/>
    <n v="23"/>
    <n v="2"/>
    <x v="14"/>
    <x v="13"/>
    <s v="cashloan"/>
    <n v="1569180000"/>
  </r>
  <r>
    <x v="512"/>
    <x v="1"/>
    <x v="5"/>
    <n v="23"/>
    <n v="2"/>
    <x v="3"/>
    <x v="3"/>
    <s v="cashloan"/>
    <n v="0"/>
  </r>
  <r>
    <x v="512"/>
    <x v="1"/>
    <x v="5"/>
    <n v="23"/>
    <n v="2"/>
    <x v="5"/>
    <x v="5"/>
    <s v="overdraft"/>
    <n v="5585163543"/>
  </r>
  <r>
    <x v="512"/>
    <x v="1"/>
    <x v="5"/>
    <n v="23"/>
    <n v="2"/>
    <x v="12"/>
    <x v="11"/>
    <s v="cashloan"/>
    <n v="7615870000"/>
  </r>
  <r>
    <x v="512"/>
    <x v="1"/>
    <x v="5"/>
    <n v="23"/>
    <n v="2"/>
    <x v="0"/>
    <x v="0"/>
    <s v="payday"/>
    <n v="5868504000"/>
  </r>
  <r>
    <x v="513"/>
    <x v="1"/>
    <x v="5"/>
    <n v="23"/>
    <n v="3"/>
    <x v="17"/>
    <x v="9"/>
    <s v="cashloan"/>
    <n v="0"/>
  </r>
  <r>
    <x v="513"/>
    <x v="1"/>
    <x v="5"/>
    <n v="23"/>
    <n v="3"/>
    <x v="5"/>
    <x v="5"/>
    <s v="overdraft"/>
    <n v="4570116877"/>
  </r>
  <r>
    <x v="513"/>
    <x v="1"/>
    <x v="5"/>
    <n v="23"/>
    <n v="3"/>
    <x v="7"/>
    <x v="7"/>
    <s v="paylater"/>
    <n v="534136304"/>
  </r>
  <r>
    <x v="513"/>
    <x v="1"/>
    <x v="5"/>
    <n v="23"/>
    <n v="3"/>
    <x v="14"/>
    <x v="13"/>
    <s v="cashloan"/>
    <n v="1157890000"/>
  </r>
  <r>
    <x v="513"/>
    <x v="1"/>
    <x v="5"/>
    <n v="23"/>
    <n v="3"/>
    <x v="6"/>
    <x v="6"/>
    <s v="payday"/>
    <n v="52000000"/>
  </r>
  <r>
    <x v="513"/>
    <x v="1"/>
    <x v="5"/>
    <n v="23"/>
    <n v="3"/>
    <x v="2"/>
    <x v="2"/>
    <s v="cashloan"/>
    <n v="7314810000"/>
  </r>
  <r>
    <x v="513"/>
    <x v="1"/>
    <x v="5"/>
    <n v="23"/>
    <n v="3"/>
    <x v="12"/>
    <x v="11"/>
    <s v="cashloan"/>
    <n v="9956120000"/>
  </r>
  <r>
    <x v="513"/>
    <x v="1"/>
    <x v="5"/>
    <n v="23"/>
    <n v="3"/>
    <x v="20"/>
    <x v="9"/>
    <s v="cashloan"/>
    <n v="0"/>
  </r>
  <r>
    <x v="513"/>
    <x v="1"/>
    <x v="5"/>
    <n v="23"/>
    <n v="3"/>
    <x v="3"/>
    <x v="3"/>
    <s v="cashloan"/>
    <n v="0"/>
  </r>
  <r>
    <x v="513"/>
    <x v="1"/>
    <x v="5"/>
    <n v="23"/>
    <n v="3"/>
    <x v="15"/>
    <x v="14"/>
    <s v="paylater"/>
    <n v="56070279"/>
  </r>
  <r>
    <x v="513"/>
    <x v="1"/>
    <x v="5"/>
    <n v="23"/>
    <n v="3"/>
    <x v="24"/>
    <x v="18"/>
    <s v="cashloan"/>
    <n v="3244000000"/>
  </r>
  <r>
    <x v="513"/>
    <x v="1"/>
    <x v="5"/>
    <n v="23"/>
    <n v="3"/>
    <x v="19"/>
    <x v="12"/>
    <s v="paylater"/>
    <n v="1220246387"/>
  </r>
  <r>
    <x v="513"/>
    <x v="1"/>
    <x v="5"/>
    <n v="23"/>
    <n v="3"/>
    <x v="23"/>
    <x v="17"/>
    <s v="paylater"/>
    <n v="0"/>
  </r>
  <r>
    <x v="513"/>
    <x v="1"/>
    <x v="5"/>
    <n v="23"/>
    <n v="3"/>
    <x v="11"/>
    <x v="10"/>
    <s v="paylater"/>
    <n v="324495184"/>
  </r>
  <r>
    <x v="513"/>
    <x v="1"/>
    <x v="5"/>
    <n v="23"/>
    <n v="3"/>
    <x v="22"/>
    <x v="16"/>
    <s v="cashloan"/>
    <n v="0"/>
  </r>
  <r>
    <x v="513"/>
    <x v="1"/>
    <x v="5"/>
    <n v="23"/>
    <n v="3"/>
    <x v="18"/>
    <x v="15"/>
    <s v="cashloan"/>
    <n v="628140000"/>
  </r>
  <r>
    <x v="513"/>
    <x v="1"/>
    <x v="5"/>
    <n v="23"/>
    <n v="3"/>
    <x v="1"/>
    <x v="1"/>
    <s v="cashloan"/>
    <n v="10500000"/>
  </r>
  <r>
    <x v="513"/>
    <x v="1"/>
    <x v="5"/>
    <n v="23"/>
    <n v="3"/>
    <x v="0"/>
    <x v="0"/>
    <s v="payday"/>
    <n v="5594076000"/>
  </r>
  <r>
    <x v="514"/>
    <x v="1"/>
    <x v="5"/>
    <n v="23"/>
    <n v="4"/>
    <x v="12"/>
    <x v="11"/>
    <s v="cashloan"/>
    <n v="9567990000"/>
  </r>
  <r>
    <x v="514"/>
    <x v="1"/>
    <x v="5"/>
    <n v="23"/>
    <n v="4"/>
    <x v="3"/>
    <x v="3"/>
    <s v="cashloan"/>
    <n v="14000000"/>
  </r>
  <r>
    <x v="514"/>
    <x v="1"/>
    <x v="5"/>
    <n v="23"/>
    <n v="4"/>
    <x v="24"/>
    <x v="18"/>
    <s v="cashloan"/>
    <n v="2417440000"/>
  </r>
  <r>
    <x v="514"/>
    <x v="1"/>
    <x v="5"/>
    <n v="23"/>
    <n v="4"/>
    <x v="0"/>
    <x v="0"/>
    <s v="payday"/>
    <n v="5751756000"/>
  </r>
  <r>
    <x v="514"/>
    <x v="1"/>
    <x v="5"/>
    <n v="23"/>
    <n v="4"/>
    <x v="17"/>
    <x v="9"/>
    <s v="cashloan"/>
    <n v="0"/>
  </r>
  <r>
    <x v="514"/>
    <x v="1"/>
    <x v="5"/>
    <n v="23"/>
    <n v="4"/>
    <x v="7"/>
    <x v="7"/>
    <s v="paylater"/>
    <n v="816341257"/>
  </r>
  <r>
    <x v="514"/>
    <x v="1"/>
    <x v="5"/>
    <n v="23"/>
    <n v="4"/>
    <x v="5"/>
    <x v="5"/>
    <s v="overdraft"/>
    <n v="4857003911"/>
  </r>
  <r>
    <x v="514"/>
    <x v="1"/>
    <x v="5"/>
    <n v="23"/>
    <n v="4"/>
    <x v="11"/>
    <x v="10"/>
    <s v="paylater"/>
    <n v="436802134"/>
  </r>
  <r>
    <x v="514"/>
    <x v="1"/>
    <x v="5"/>
    <n v="23"/>
    <n v="4"/>
    <x v="20"/>
    <x v="9"/>
    <s v="cashloan"/>
    <n v="0"/>
  </r>
  <r>
    <x v="514"/>
    <x v="1"/>
    <x v="5"/>
    <n v="23"/>
    <n v="4"/>
    <x v="23"/>
    <x v="17"/>
    <s v="paylater"/>
    <n v="0"/>
  </r>
  <r>
    <x v="514"/>
    <x v="1"/>
    <x v="5"/>
    <n v="23"/>
    <n v="4"/>
    <x v="14"/>
    <x v="13"/>
    <s v="cashloan"/>
    <n v="1079490000"/>
  </r>
  <r>
    <x v="514"/>
    <x v="1"/>
    <x v="5"/>
    <n v="23"/>
    <n v="4"/>
    <x v="18"/>
    <x v="15"/>
    <s v="cashloan"/>
    <n v="658050000"/>
  </r>
  <r>
    <x v="514"/>
    <x v="1"/>
    <x v="5"/>
    <n v="23"/>
    <n v="4"/>
    <x v="22"/>
    <x v="16"/>
    <s v="cashloan"/>
    <n v="15750000"/>
  </r>
  <r>
    <x v="514"/>
    <x v="1"/>
    <x v="5"/>
    <n v="23"/>
    <n v="4"/>
    <x v="1"/>
    <x v="1"/>
    <s v="cashloan"/>
    <n v="21000000"/>
  </r>
  <r>
    <x v="514"/>
    <x v="1"/>
    <x v="5"/>
    <n v="23"/>
    <n v="4"/>
    <x v="15"/>
    <x v="14"/>
    <s v="paylater"/>
    <n v="80029074"/>
  </r>
  <r>
    <x v="514"/>
    <x v="1"/>
    <x v="5"/>
    <n v="23"/>
    <n v="4"/>
    <x v="19"/>
    <x v="12"/>
    <s v="paylater"/>
    <n v="2070625314"/>
  </r>
  <r>
    <x v="514"/>
    <x v="1"/>
    <x v="5"/>
    <n v="23"/>
    <n v="4"/>
    <x v="2"/>
    <x v="2"/>
    <s v="cashloan"/>
    <n v="7870210000"/>
  </r>
  <r>
    <x v="514"/>
    <x v="1"/>
    <x v="5"/>
    <n v="23"/>
    <n v="4"/>
    <x v="6"/>
    <x v="6"/>
    <s v="payday"/>
    <n v="23000000"/>
  </r>
  <r>
    <x v="515"/>
    <x v="1"/>
    <x v="5"/>
    <n v="23"/>
    <n v="5"/>
    <x v="15"/>
    <x v="14"/>
    <s v="paylater"/>
    <n v="67814761"/>
  </r>
  <r>
    <x v="515"/>
    <x v="1"/>
    <x v="5"/>
    <n v="23"/>
    <n v="5"/>
    <x v="12"/>
    <x v="11"/>
    <s v="cashloan"/>
    <n v="9822970000"/>
  </r>
  <r>
    <x v="515"/>
    <x v="1"/>
    <x v="5"/>
    <n v="23"/>
    <n v="5"/>
    <x v="3"/>
    <x v="3"/>
    <s v="cashloan"/>
    <n v="0"/>
  </r>
  <r>
    <x v="515"/>
    <x v="1"/>
    <x v="5"/>
    <n v="23"/>
    <n v="5"/>
    <x v="0"/>
    <x v="0"/>
    <s v="payday"/>
    <n v="6697080000"/>
  </r>
  <r>
    <x v="515"/>
    <x v="1"/>
    <x v="5"/>
    <n v="23"/>
    <n v="5"/>
    <x v="22"/>
    <x v="16"/>
    <s v="cashloan"/>
    <n v="0"/>
  </r>
  <r>
    <x v="515"/>
    <x v="1"/>
    <x v="5"/>
    <n v="23"/>
    <n v="5"/>
    <x v="20"/>
    <x v="9"/>
    <s v="cashloan"/>
    <n v="0"/>
  </r>
  <r>
    <x v="515"/>
    <x v="1"/>
    <x v="5"/>
    <n v="23"/>
    <n v="5"/>
    <x v="17"/>
    <x v="9"/>
    <s v="cashloan"/>
    <n v="0"/>
  </r>
  <r>
    <x v="515"/>
    <x v="1"/>
    <x v="5"/>
    <n v="23"/>
    <n v="5"/>
    <x v="6"/>
    <x v="6"/>
    <s v="payday"/>
    <n v="0"/>
  </r>
  <r>
    <x v="515"/>
    <x v="1"/>
    <x v="5"/>
    <n v="23"/>
    <n v="5"/>
    <x v="1"/>
    <x v="1"/>
    <s v="cashloan"/>
    <n v="0"/>
  </r>
  <r>
    <x v="515"/>
    <x v="1"/>
    <x v="5"/>
    <n v="23"/>
    <n v="5"/>
    <x v="2"/>
    <x v="2"/>
    <s v="cashloan"/>
    <n v="9728400000"/>
  </r>
  <r>
    <x v="515"/>
    <x v="1"/>
    <x v="5"/>
    <n v="23"/>
    <n v="5"/>
    <x v="24"/>
    <x v="18"/>
    <s v="cashloan"/>
    <n v="1816590000"/>
  </r>
  <r>
    <x v="515"/>
    <x v="1"/>
    <x v="5"/>
    <n v="23"/>
    <n v="5"/>
    <x v="18"/>
    <x v="15"/>
    <s v="cashloan"/>
    <n v="708960000"/>
  </r>
  <r>
    <x v="515"/>
    <x v="1"/>
    <x v="5"/>
    <n v="23"/>
    <n v="5"/>
    <x v="23"/>
    <x v="17"/>
    <s v="paylater"/>
    <n v="8472000"/>
  </r>
  <r>
    <x v="515"/>
    <x v="1"/>
    <x v="5"/>
    <n v="23"/>
    <n v="5"/>
    <x v="14"/>
    <x v="13"/>
    <s v="cashloan"/>
    <n v="1325980000"/>
  </r>
  <r>
    <x v="515"/>
    <x v="1"/>
    <x v="5"/>
    <n v="23"/>
    <n v="5"/>
    <x v="11"/>
    <x v="10"/>
    <s v="paylater"/>
    <n v="377434595"/>
  </r>
  <r>
    <x v="515"/>
    <x v="1"/>
    <x v="5"/>
    <n v="23"/>
    <n v="5"/>
    <x v="5"/>
    <x v="5"/>
    <s v="overdraft"/>
    <n v="4997832148"/>
  </r>
  <r>
    <x v="515"/>
    <x v="1"/>
    <x v="5"/>
    <n v="23"/>
    <n v="5"/>
    <x v="19"/>
    <x v="12"/>
    <s v="paylater"/>
    <n v="1436628343"/>
  </r>
  <r>
    <x v="515"/>
    <x v="1"/>
    <x v="5"/>
    <n v="23"/>
    <n v="5"/>
    <x v="7"/>
    <x v="7"/>
    <s v="paylater"/>
    <n v="802987843"/>
  </r>
  <r>
    <x v="516"/>
    <x v="1"/>
    <x v="5"/>
    <n v="23"/>
    <n v="6"/>
    <x v="11"/>
    <x v="10"/>
    <s v="paylater"/>
    <n v="359611999"/>
  </r>
  <r>
    <x v="516"/>
    <x v="1"/>
    <x v="5"/>
    <n v="23"/>
    <n v="6"/>
    <x v="19"/>
    <x v="12"/>
    <s v="paylater"/>
    <n v="972653763"/>
  </r>
  <r>
    <x v="516"/>
    <x v="1"/>
    <x v="5"/>
    <n v="23"/>
    <n v="6"/>
    <x v="5"/>
    <x v="5"/>
    <s v="overdraft"/>
    <n v="4195013800"/>
  </r>
  <r>
    <x v="516"/>
    <x v="1"/>
    <x v="5"/>
    <n v="23"/>
    <n v="6"/>
    <x v="14"/>
    <x v="13"/>
    <s v="cashloan"/>
    <n v="1355640000"/>
  </r>
  <r>
    <x v="516"/>
    <x v="1"/>
    <x v="5"/>
    <n v="23"/>
    <n v="6"/>
    <x v="7"/>
    <x v="7"/>
    <s v="paylater"/>
    <n v="639909019"/>
  </r>
  <r>
    <x v="516"/>
    <x v="1"/>
    <x v="5"/>
    <n v="23"/>
    <n v="6"/>
    <x v="12"/>
    <x v="11"/>
    <s v="cashloan"/>
    <n v="7853340000"/>
  </r>
  <r>
    <x v="516"/>
    <x v="1"/>
    <x v="5"/>
    <n v="23"/>
    <n v="6"/>
    <x v="0"/>
    <x v="0"/>
    <s v="payday"/>
    <n v="5949936000"/>
  </r>
  <r>
    <x v="516"/>
    <x v="1"/>
    <x v="5"/>
    <n v="23"/>
    <n v="6"/>
    <x v="3"/>
    <x v="3"/>
    <s v="cashloan"/>
    <n v="0"/>
  </r>
  <r>
    <x v="516"/>
    <x v="1"/>
    <x v="5"/>
    <n v="23"/>
    <n v="6"/>
    <x v="23"/>
    <x v="17"/>
    <s v="paylater"/>
    <n v="850000"/>
  </r>
  <r>
    <x v="516"/>
    <x v="1"/>
    <x v="5"/>
    <n v="23"/>
    <n v="6"/>
    <x v="22"/>
    <x v="16"/>
    <s v="cashloan"/>
    <n v="12000000"/>
  </r>
  <r>
    <x v="516"/>
    <x v="1"/>
    <x v="5"/>
    <n v="23"/>
    <n v="6"/>
    <x v="24"/>
    <x v="18"/>
    <s v="cashloan"/>
    <n v="1932080000"/>
  </r>
  <r>
    <x v="516"/>
    <x v="1"/>
    <x v="5"/>
    <n v="23"/>
    <n v="6"/>
    <x v="2"/>
    <x v="2"/>
    <s v="cashloan"/>
    <n v="9171120000"/>
  </r>
  <r>
    <x v="516"/>
    <x v="1"/>
    <x v="5"/>
    <n v="23"/>
    <n v="6"/>
    <x v="18"/>
    <x v="15"/>
    <s v="cashloan"/>
    <n v="534210000"/>
  </r>
  <r>
    <x v="516"/>
    <x v="1"/>
    <x v="5"/>
    <n v="23"/>
    <n v="6"/>
    <x v="15"/>
    <x v="14"/>
    <s v="paylater"/>
    <n v="48795863"/>
  </r>
  <r>
    <x v="516"/>
    <x v="1"/>
    <x v="5"/>
    <n v="23"/>
    <n v="6"/>
    <x v="1"/>
    <x v="1"/>
    <s v="cashloan"/>
    <n v="0"/>
  </r>
  <r>
    <x v="516"/>
    <x v="1"/>
    <x v="5"/>
    <n v="23"/>
    <n v="6"/>
    <x v="17"/>
    <x v="9"/>
    <s v="cashloan"/>
    <n v="0"/>
  </r>
  <r>
    <x v="516"/>
    <x v="1"/>
    <x v="5"/>
    <n v="23"/>
    <n v="6"/>
    <x v="20"/>
    <x v="9"/>
    <s v="cashloan"/>
    <n v="0"/>
  </r>
  <r>
    <x v="516"/>
    <x v="1"/>
    <x v="5"/>
    <n v="23"/>
    <n v="6"/>
    <x v="6"/>
    <x v="6"/>
    <s v="payday"/>
    <n v="0"/>
  </r>
  <r>
    <x v="517"/>
    <x v="1"/>
    <x v="5"/>
    <n v="23"/>
    <n v="7"/>
    <x v="12"/>
    <x v="11"/>
    <s v="cashloan"/>
    <n v="7121460000"/>
  </r>
  <r>
    <x v="517"/>
    <x v="1"/>
    <x v="5"/>
    <n v="23"/>
    <n v="7"/>
    <x v="23"/>
    <x v="17"/>
    <s v="paylater"/>
    <n v="13790000"/>
  </r>
  <r>
    <x v="517"/>
    <x v="1"/>
    <x v="5"/>
    <n v="23"/>
    <n v="7"/>
    <x v="24"/>
    <x v="18"/>
    <s v="cashloan"/>
    <n v="1382900000"/>
  </r>
  <r>
    <x v="517"/>
    <x v="1"/>
    <x v="5"/>
    <n v="23"/>
    <n v="7"/>
    <x v="3"/>
    <x v="3"/>
    <s v="cashloan"/>
    <n v="0"/>
  </r>
  <r>
    <x v="517"/>
    <x v="1"/>
    <x v="5"/>
    <n v="23"/>
    <n v="7"/>
    <x v="0"/>
    <x v="0"/>
    <s v="payday"/>
    <n v="5058504000"/>
  </r>
  <r>
    <x v="517"/>
    <x v="1"/>
    <x v="5"/>
    <n v="23"/>
    <n v="7"/>
    <x v="17"/>
    <x v="9"/>
    <s v="cashloan"/>
    <n v="0"/>
  </r>
  <r>
    <x v="517"/>
    <x v="1"/>
    <x v="5"/>
    <n v="23"/>
    <n v="7"/>
    <x v="1"/>
    <x v="1"/>
    <s v="cashloan"/>
    <n v="0"/>
  </r>
  <r>
    <x v="517"/>
    <x v="1"/>
    <x v="5"/>
    <n v="23"/>
    <n v="7"/>
    <x v="22"/>
    <x v="16"/>
    <s v="cashloan"/>
    <n v="23100000"/>
  </r>
  <r>
    <x v="517"/>
    <x v="1"/>
    <x v="5"/>
    <n v="23"/>
    <n v="7"/>
    <x v="14"/>
    <x v="13"/>
    <s v="cashloan"/>
    <n v="1231630000"/>
  </r>
  <r>
    <x v="517"/>
    <x v="1"/>
    <x v="5"/>
    <n v="23"/>
    <n v="7"/>
    <x v="15"/>
    <x v="14"/>
    <s v="paylater"/>
    <n v="5252534"/>
  </r>
  <r>
    <x v="517"/>
    <x v="1"/>
    <x v="5"/>
    <n v="23"/>
    <n v="7"/>
    <x v="11"/>
    <x v="10"/>
    <s v="paylater"/>
    <n v="284813171"/>
  </r>
  <r>
    <x v="517"/>
    <x v="1"/>
    <x v="5"/>
    <n v="23"/>
    <n v="7"/>
    <x v="19"/>
    <x v="12"/>
    <s v="paylater"/>
    <n v="663940378"/>
  </r>
  <r>
    <x v="517"/>
    <x v="1"/>
    <x v="5"/>
    <n v="23"/>
    <n v="7"/>
    <x v="20"/>
    <x v="9"/>
    <s v="cashloan"/>
    <n v="0"/>
  </r>
  <r>
    <x v="517"/>
    <x v="1"/>
    <x v="5"/>
    <n v="23"/>
    <n v="7"/>
    <x v="5"/>
    <x v="5"/>
    <s v="overdraft"/>
    <n v="3740967626"/>
  </r>
  <r>
    <x v="517"/>
    <x v="1"/>
    <x v="5"/>
    <n v="23"/>
    <n v="7"/>
    <x v="18"/>
    <x v="15"/>
    <s v="cashloan"/>
    <n v="553700000"/>
  </r>
  <r>
    <x v="517"/>
    <x v="1"/>
    <x v="5"/>
    <n v="23"/>
    <n v="7"/>
    <x v="7"/>
    <x v="7"/>
    <s v="paylater"/>
    <n v="492095209"/>
  </r>
  <r>
    <x v="517"/>
    <x v="1"/>
    <x v="5"/>
    <n v="23"/>
    <n v="7"/>
    <x v="2"/>
    <x v="2"/>
    <s v="cashloan"/>
    <n v="8464970000"/>
  </r>
  <r>
    <x v="517"/>
    <x v="1"/>
    <x v="5"/>
    <n v="23"/>
    <n v="7"/>
    <x v="6"/>
    <x v="6"/>
    <s v="payday"/>
    <n v="0"/>
  </r>
  <r>
    <x v="518"/>
    <x v="1"/>
    <x v="5"/>
    <n v="23"/>
    <n v="8"/>
    <x v="11"/>
    <x v="10"/>
    <s v="paylater"/>
    <n v="266553615"/>
  </r>
  <r>
    <x v="518"/>
    <x v="1"/>
    <x v="5"/>
    <n v="23"/>
    <n v="8"/>
    <x v="18"/>
    <x v="15"/>
    <s v="cashloan"/>
    <n v="371270000"/>
  </r>
  <r>
    <x v="518"/>
    <x v="1"/>
    <x v="5"/>
    <n v="23"/>
    <n v="8"/>
    <x v="3"/>
    <x v="3"/>
    <s v="cashloan"/>
    <n v="0"/>
  </r>
  <r>
    <x v="518"/>
    <x v="1"/>
    <x v="5"/>
    <n v="23"/>
    <n v="8"/>
    <x v="19"/>
    <x v="12"/>
    <s v="paylater"/>
    <n v="545865618"/>
  </r>
  <r>
    <x v="518"/>
    <x v="1"/>
    <x v="5"/>
    <n v="23"/>
    <n v="8"/>
    <x v="6"/>
    <x v="6"/>
    <s v="payday"/>
    <n v="0"/>
  </r>
  <r>
    <x v="518"/>
    <x v="1"/>
    <x v="5"/>
    <n v="23"/>
    <n v="8"/>
    <x v="14"/>
    <x v="13"/>
    <s v="cashloan"/>
    <n v="1156020000"/>
  </r>
  <r>
    <x v="518"/>
    <x v="1"/>
    <x v="5"/>
    <n v="23"/>
    <n v="8"/>
    <x v="24"/>
    <x v="18"/>
    <s v="cashloan"/>
    <n v="1156870000"/>
  </r>
  <r>
    <x v="518"/>
    <x v="1"/>
    <x v="5"/>
    <n v="23"/>
    <n v="8"/>
    <x v="7"/>
    <x v="7"/>
    <s v="paylater"/>
    <n v="440093785"/>
  </r>
  <r>
    <x v="518"/>
    <x v="1"/>
    <x v="5"/>
    <n v="23"/>
    <n v="8"/>
    <x v="5"/>
    <x v="5"/>
    <s v="overdraft"/>
    <n v="3345949532"/>
  </r>
  <r>
    <x v="518"/>
    <x v="1"/>
    <x v="5"/>
    <n v="23"/>
    <n v="8"/>
    <x v="2"/>
    <x v="2"/>
    <s v="cashloan"/>
    <n v="8203840000"/>
  </r>
  <r>
    <x v="518"/>
    <x v="1"/>
    <x v="5"/>
    <n v="23"/>
    <n v="8"/>
    <x v="12"/>
    <x v="11"/>
    <s v="cashloan"/>
    <n v="7274480000"/>
  </r>
  <r>
    <x v="518"/>
    <x v="1"/>
    <x v="5"/>
    <n v="23"/>
    <n v="8"/>
    <x v="0"/>
    <x v="0"/>
    <s v="payday"/>
    <n v="4828356000"/>
  </r>
  <r>
    <x v="518"/>
    <x v="1"/>
    <x v="5"/>
    <n v="23"/>
    <n v="8"/>
    <x v="23"/>
    <x v="17"/>
    <s v="paylater"/>
    <n v="740000"/>
  </r>
  <r>
    <x v="518"/>
    <x v="1"/>
    <x v="5"/>
    <n v="23"/>
    <n v="8"/>
    <x v="22"/>
    <x v="16"/>
    <s v="cashloan"/>
    <n v="12600000"/>
  </r>
  <r>
    <x v="518"/>
    <x v="1"/>
    <x v="5"/>
    <n v="23"/>
    <n v="8"/>
    <x v="15"/>
    <x v="14"/>
    <s v="paylater"/>
    <n v="14923866"/>
  </r>
  <r>
    <x v="518"/>
    <x v="1"/>
    <x v="5"/>
    <n v="23"/>
    <n v="8"/>
    <x v="17"/>
    <x v="9"/>
    <s v="cashloan"/>
    <n v="0"/>
  </r>
  <r>
    <x v="518"/>
    <x v="1"/>
    <x v="5"/>
    <n v="23"/>
    <n v="8"/>
    <x v="1"/>
    <x v="1"/>
    <s v="cashloan"/>
    <n v="0"/>
  </r>
  <r>
    <x v="518"/>
    <x v="1"/>
    <x v="5"/>
    <n v="23"/>
    <n v="8"/>
    <x v="20"/>
    <x v="9"/>
    <s v="cashloan"/>
    <n v="0"/>
  </r>
  <r>
    <x v="519"/>
    <x v="1"/>
    <x v="5"/>
    <n v="24"/>
    <n v="9"/>
    <x v="1"/>
    <x v="1"/>
    <s v="cashloan"/>
    <n v="0"/>
  </r>
  <r>
    <x v="519"/>
    <x v="1"/>
    <x v="5"/>
    <n v="24"/>
    <n v="9"/>
    <x v="11"/>
    <x v="10"/>
    <s v="paylater"/>
    <n v="286902440"/>
  </r>
  <r>
    <x v="519"/>
    <x v="1"/>
    <x v="5"/>
    <n v="24"/>
    <n v="9"/>
    <x v="6"/>
    <x v="6"/>
    <s v="payday"/>
    <n v="0"/>
  </r>
  <r>
    <x v="519"/>
    <x v="1"/>
    <x v="5"/>
    <n v="24"/>
    <n v="9"/>
    <x v="3"/>
    <x v="3"/>
    <s v="cashloan"/>
    <n v="0"/>
  </r>
  <r>
    <x v="519"/>
    <x v="1"/>
    <x v="5"/>
    <n v="24"/>
    <n v="9"/>
    <x v="22"/>
    <x v="16"/>
    <s v="cashloan"/>
    <n v="27600000"/>
  </r>
  <r>
    <x v="519"/>
    <x v="1"/>
    <x v="5"/>
    <n v="24"/>
    <n v="9"/>
    <x v="0"/>
    <x v="0"/>
    <s v="payday"/>
    <n v="5434236000"/>
  </r>
  <r>
    <x v="519"/>
    <x v="1"/>
    <x v="5"/>
    <n v="24"/>
    <n v="9"/>
    <x v="15"/>
    <x v="14"/>
    <s v="paylater"/>
    <n v="48882354"/>
  </r>
  <r>
    <x v="519"/>
    <x v="1"/>
    <x v="5"/>
    <n v="24"/>
    <n v="9"/>
    <x v="20"/>
    <x v="9"/>
    <s v="cashloan"/>
    <n v="0"/>
  </r>
  <r>
    <x v="519"/>
    <x v="1"/>
    <x v="5"/>
    <n v="24"/>
    <n v="9"/>
    <x v="17"/>
    <x v="9"/>
    <s v="cashloan"/>
    <n v="0"/>
  </r>
  <r>
    <x v="519"/>
    <x v="1"/>
    <x v="5"/>
    <n v="24"/>
    <n v="9"/>
    <x v="23"/>
    <x v="17"/>
    <s v="paylater"/>
    <n v="4070000"/>
  </r>
  <r>
    <x v="519"/>
    <x v="1"/>
    <x v="5"/>
    <n v="24"/>
    <n v="9"/>
    <x v="24"/>
    <x v="18"/>
    <s v="cashloan"/>
    <n v="1895880000"/>
  </r>
  <r>
    <x v="519"/>
    <x v="1"/>
    <x v="5"/>
    <n v="24"/>
    <n v="9"/>
    <x v="18"/>
    <x v="15"/>
    <s v="cashloan"/>
    <n v="509650000"/>
  </r>
  <r>
    <x v="519"/>
    <x v="1"/>
    <x v="5"/>
    <n v="24"/>
    <n v="9"/>
    <x v="14"/>
    <x v="13"/>
    <s v="cashloan"/>
    <n v="1566050000"/>
  </r>
  <r>
    <x v="519"/>
    <x v="1"/>
    <x v="5"/>
    <n v="24"/>
    <n v="9"/>
    <x v="19"/>
    <x v="12"/>
    <s v="paylater"/>
    <n v="630085297"/>
  </r>
  <r>
    <x v="519"/>
    <x v="1"/>
    <x v="5"/>
    <n v="24"/>
    <n v="9"/>
    <x v="5"/>
    <x v="5"/>
    <s v="overdraft"/>
    <n v="4359147700"/>
  </r>
  <r>
    <x v="519"/>
    <x v="1"/>
    <x v="5"/>
    <n v="24"/>
    <n v="9"/>
    <x v="12"/>
    <x v="11"/>
    <s v="cashloan"/>
    <n v="9195550000"/>
  </r>
  <r>
    <x v="519"/>
    <x v="1"/>
    <x v="5"/>
    <n v="24"/>
    <n v="9"/>
    <x v="2"/>
    <x v="2"/>
    <s v="cashloan"/>
    <n v="10391060000"/>
  </r>
  <r>
    <x v="519"/>
    <x v="1"/>
    <x v="5"/>
    <n v="24"/>
    <n v="9"/>
    <x v="7"/>
    <x v="7"/>
    <s v="paylater"/>
    <n v="438492477"/>
  </r>
  <r>
    <x v="520"/>
    <x v="1"/>
    <x v="5"/>
    <n v="24"/>
    <n v="10"/>
    <x v="23"/>
    <x v="17"/>
    <s v="paylater"/>
    <n v="5390000"/>
  </r>
  <r>
    <x v="520"/>
    <x v="1"/>
    <x v="5"/>
    <n v="24"/>
    <n v="10"/>
    <x v="2"/>
    <x v="2"/>
    <s v="cashloan"/>
    <n v="11845000000"/>
  </r>
  <r>
    <x v="520"/>
    <x v="1"/>
    <x v="5"/>
    <n v="24"/>
    <n v="10"/>
    <x v="17"/>
    <x v="9"/>
    <s v="cashloan"/>
    <n v="0"/>
  </r>
  <r>
    <x v="520"/>
    <x v="1"/>
    <x v="5"/>
    <n v="24"/>
    <n v="10"/>
    <x v="7"/>
    <x v="7"/>
    <s v="paylater"/>
    <n v="501697103"/>
  </r>
  <r>
    <x v="520"/>
    <x v="1"/>
    <x v="5"/>
    <n v="24"/>
    <n v="10"/>
    <x v="12"/>
    <x v="11"/>
    <s v="cashloan"/>
    <n v="9359090000"/>
  </r>
  <r>
    <x v="520"/>
    <x v="1"/>
    <x v="5"/>
    <n v="24"/>
    <n v="10"/>
    <x v="0"/>
    <x v="0"/>
    <s v="payday"/>
    <n v="7186752000"/>
  </r>
  <r>
    <x v="520"/>
    <x v="1"/>
    <x v="5"/>
    <n v="24"/>
    <n v="10"/>
    <x v="18"/>
    <x v="15"/>
    <s v="cashloan"/>
    <n v="575910000"/>
  </r>
  <r>
    <x v="520"/>
    <x v="1"/>
    <x v="5"/>
    <n v="24"/>
    <n v="10"/>
    <x v="25"/>
    <x v="2"/>
    <s v="cashloan"/>
    <n v="0"/>
  </r>
  <r>
    <x v="520"/>
    <x v="1"/>
    <x v="5"/>
    <n v="24"/>
    <n v="10"/>
    <x v="22"/>
    <x v="16"/>
    <s v="cashloan"/>
    <n v="29400000"/>
  </r>
  <r>
    <x v="520"/>
    <x v="1"/>
    <x v="5"/>
    <n v="24"/>
    <n v="10"/>
    <x v="15"/>
    <x v="14"/>
    <s v="paylater"/>
    <n v="33154760"/>
  </r>
  <r>
    <x v="520"/>
    <x v="1"/>
    <x v="5"/>
    <n v="24"/>
    <n v="10"/>
    <x v="1"/>
    <x v="1"/>
    <s v="cashloan"/>
    <n v="0"/>
  </r>
  <r>
    <x v="520"/>
    <x v="1"/>
    <x v="5"/>
    <n v="24"/>
    <n v="10"/>
    <x v="20"/>
    <x v="9"/>
    <s v="cashloan"/>
    <n v="0"/>
  </r>
  <r>
    <x v="520"/>
    <x v="1"/>
    <x v="5"/>
    <n v="24"/>
    <n v="10"/>
    <x v="6"/>
    <x v="6"/>
    <s v="payday"/>
    <n v="0"/>
  </r>
  <r>
    <x v="520"/>
    <x v="1"/>
    <x v="5"/>
    <n v="24"/>
    <n v="10"/>
    <x v="3"/>
    <x v="3"/>
    <s v="cashloan"/>
    <n v="0"/>
  </r>
  <r>
    <x v="520"/>
    <x v="1"/>
    <x v="5"/>
    <n v="24"/>
    <n v="10"/>
    <x v="24"/>
    <x v="18"/>
    <s v="cashloan"/>
    <n v="2017490000"/>
  </r>
  <r>
    <x v="520"/>
    <x v="1"/>
    <x v="5"/>
    <n v="24"/>
    <n v="10"/>
    <x v="14"/>
    <x v="13"/>
    <s v="cashloan"/>
    <n v="1462780000"/>
  </r>
  <r>
    <x v="520"/>
    <x v="1"/>
    <x v="5"/>
    <n v="24"/>
    <n v="10"/>
    <x v="11"/>
    <x v="10"/>
    <s v="paylater"/>
    <n v="326220213"/>
  </r>
  <r>
    <x v="520"/>
    <x v="1"/>
    <x v="5"/>
    <n v="24"/>
    <n v="10"/>
    <x v="19"/>
    <x v="12"/>
    <s v="paylater"/>
    <n v="597038254"/>
  </r>
  <r>
    <x v="520"/>
    <x v="1"/>
    <x v="5"/>
    <n v="24"/>
    <n v="10"/>
    <x v="5"/>
    <x v="5"/>
    <s v="overdraft"/>
    <n v="4471064340"/>
  </r>
  <r>
    <x v="521"/>
    <x v="1"/>
    <x v="5"/>
    <n v="24"/>
    <n v="11"/>
    <x v="24"/>
    <x v="18"/>
    <s v="cashloan"/>
    <n v="1741590000"/>
  </r>
  <r>
    <x v="521"/>
    <x v="1"/>
    <x v="5"/>
    <n v="24"/>
    <n v="11"/>
    <x v="22"/>
    <x v="16"/>
    <s v="cashloan"/>
    <n v="0"/>
  </r>
  <r>
    <x v="521"/>
    <x v="1"/>
    <x v="5"/>
    <n v="24"/>
    <n v="11"/>
    <x v="2"/>
    <x v="2"/>
    <s v="cashloan"/>
    <n v="10332810000"/>
  </r>
  <r>
    <x v="521"/>
    <x v="1"/>
    <x v="5"/>
    <n v="24"/>
    <n v="11"/>
    <x v="25"/>
    <x v="2"/>
    <s v="cashloan"/>
    <n v="0"/>
  </r>
  <r>
    <x v="521"/>
    <x v="1"/>
    <x v="5"/>
    <n v="24"/>
    <n v="11"/>
    <x v="5"/>
    <x v="5"/>
    <s v="overdraft"/>
    <n v="3560520794"/>
  </r>
  <r>
    <x v="521"/>
    <x v="1"/>
    <x v="5"/>
    <n v="24"/>
    <n v="11"/>
    <x v="17"/>
    <x v="9"/>
    <s v="cashloan"/>
    <n v="0"/>
  </r>
  <r>
    <x v="521"/>
    <x v="1"/>
    <x v="5"/>
    <n v="24"/>
    <n v="11"/>
    <x v="15"/>
    <x v="14"/>
    <s v="paylater"/>
    <n v="7516741"/>
  </r>
  <r>
    <x v="521"/>
    <x v="1"/>
    <x v="5"/>
    <n v="24"/>
    <n v="11"/>
    <x v="20"/>
    <x v="9"/>
    <s v="cashloan"/>
    <n v="0"/>
  </r>
  <r>
    <x v="521"/>
    <x v="1"/>
    <x v="5"/>
    <n v="24"/>
    <n v="11"/>
    <x v="6"/>
    <x v="6"/>
    <s v="payday"/>
    <n v="0"/>
  </r>
  <r>
    <x v="521"/>
    <x v="1"/>
    <x v="5"/>
    <n v="24"/>
    <n v="11"/>
    <x v="3"/>
    <x v="3"/>
    <s v="cashloan"/>
    <n v="0"/>
  </r>
  <r>
    <x v="521"/>
    <x v="1"/>
    <x v="5"/>
    <n v="24"/>
    <n v="11"/>
    <x v="23"/>
    <x v="17"/>
    <s v="paylater"/>
    <n v="630000"/>
  </r>
  <r>
    <x v="521"/>
    <x v="1"/>
    <x v="5"/>
    <n v="24"/>
    <n v="11"/>
    <x v="1"/>
    <x v="1"/>
    <s v="cashloan"/>
    <n v="0"/>
  </r>
  <r>
    <x v="521"/>
    <x v="1"/>
    <x v="5"/>
    <n v="24"/>
    <n v="11"/>
    <x v="19"/>
    <x v="12"/>
    <s v="paylater"/>
    <n v="528456913"/>
  </r>
  <r>
    <x v="521"/>
    <x v="1"/>
    <x v="5"/>
    <n v="24"/>
    <n v="11"/>
    <x v="18"/>
    <x v="15"/>
    <s v="cashloan"/>
    <n v="507220000"/>
  </r>
  <r>
    <x v="521"/>
    <x v="1"/>
    <x v="5"/>
    <n v="24"/>
    <n v="11"/>
    <x v="14"/>
    <x v="13"/>
    <s v="cashloan"/>
    <n v="1267830000"/>
  </r>
  <r>
    <x v="521"/>
    <x v="1"/>
    <x v="5"/>
    <n v="24"/>
    <n v="11"/>
    <x v="11"/>
    <x v="10"/>
    <s v="paylater"/>
    <n v="245249966"/>
  </r>
  <r>
    <x v="521"/>
    <x v="1"/>
    <x v="5"/>
    <n v="24"/>
    <n v="11"/>
    <x v="7"/>
    <x v="7"/>
    <s v="paylater"/>
    <n v="419514377"/>
  </r>
  <r>
    <x v="521"/>
    <x v="1"/>
    <x v="5"/>
    <n v="24"/>
    <n v="11"/>
    <x v="12"/>
    <x v="11"/>
    <s v="cashloan"/>
    <n v="7655770000"/>
  </r>
  <r>
    <x v="521"/>
    <x v="1"/>
    <x v="5"/>
    <n v="24"/>
    <n v="11"/>
    <x v="0"/>
    <x v="0"/>
    <s v="payday"/>
    <n v="6133212000"/>
  </r>
  <r>
    <x v="522"/>
    <x v="1"/>
    <x v="5"/>
    <n v="24"/>
    <n v="12"/>
    <x v="25"/>
    <x v="2"/>
    <s v="cashloan"/>
    <n v="0"/>
  </r>
  <r>
    <x v="522"/>
    <x v="1"/>
    <x v="5"/>
    <n v="24"/>
    <n v="12"/>
    <x v="22"/>
    <x v="16"/>
    <s v="cashloan"/>
    <n v="55200000"/>
  </r>
  <r>
    <x v="522"/>
    <x v="1"/>
    <x v="5"/>
    <n v="24"/>
    <n v="12"/>
    <x v="17"/>
    <x v="9"/>
    <s v="cashloan"/>
    <n v="0"/>
  </r>
  <r>
    <x v="522"/>
    <x v="1"/>
    <x v="5"/>
    <n v="24"/>
    <n v="12"/>
    <x v="20"/>
    <x v="9"/>
    <s v="cashloan"/>
    <n v="0"/>
  </r>
  <r>
    <x v="522"/>
    <x v="1"/>
    <x v="5"/>
    <n v="24"/>
    <n v="12"/>
    <x v="3"/>
    <x v="3"/>
    <s v="cashloan"/>
    <n v="10500000"/>
  </r>
  <r>
    <x v="522"/>
    <x v="1"/>
    <x v="5"/>
    <n v="24"/>
    <n v="12"/>
    <x v="24"/>
    <x v="18"/>
    <s v="cashloan"/>
    <n v="1373540000"/>
  </r>
  <r>
    <x v="522"/>
    <x v="1"/>
    <x v="5"/>
    <n v="24"/>
    <n v="12"/>
    <x v="18"/>
    <x v="15"/>
    <s v="cashloan"/>
    <n v="607690000"/>
  </r>
  <r>
    <x v="522"/>
    <x v="1"/>
    <x v="5"/>
    <n v="24"/>
    <n v="12"/>
    <x v="1"/>
    <x v="1"/>
    <s v="cashloan"/>
    <n v="0"/>
  </r>
  <r>
    <x v="522"/>
    <x v="1"/>
    <x v="5"/>
    <n v="24"/>
    <n v="12"/>
    <x v="14"/>
    <x v="13"/>
    <s v="cashloan"/>
    <n v="1072050000"/>
  </r>
  <r>
    <x v="522"/>
    <x v="1"/>
    <x v="5"/>
    <n v="24"/>
    <n v="12"/>
    <x v="11"/>
    <x v="10"/>
    <s v="paylater"/>
    <n v="232225370"/>
  </r>
  <r>
    <x v="522"/>
    <x v="1"/>
    <x v="5"/>
    <n v="24"/>
    <n v="12"/>
    <x v="19"/>
    <x v="12"/>
    <s v="paylater"/>
    <n v="451427556"/>
  </r>
  <r>
    <x v="522"/>
    <x v="1"/>
    <x v="5"/>
    <n v="24"/>
    <n v="12"/>
    <x v="7"/>
    <x v="7"/>
    <s v="paylater"/>
    <n v="483297578"/>
  </r>
  <r>
    <x v="522"/>
    <x v="1"/>
    <x v="5"/>
    <n v="24"/>
    <n v="12"/>
    <x v="12"/>
    <x v="11"/>
    <s v="cashloan"/>
    <n v="9083520000"/>
  </r>
  <r>
    <x v="522"/>
    <x v="1"/>
    <x v="5"/>
    <n v="24"/>
    <n v="12"/>
    <x v="0"/>
    <x v="0"/>
    <s v="payday"/>
    <n v="5834916000"/>
  </r>
  <r>
    <x v="522"/>
    <x v="1"/>
    <x v="5"/>
    <n v="24"/>
    <n v="12"/>
    <x v="2"/>
    <x v="2"/>
    <s v="cashloan"/>
    <n v="10075570000"/>
  </r>
  <r>
    <x v="522"/>
    <x v="1"/>
    <x v="5"/>
    <n v="24"/>
    <n v="12"/>
    <x v="15"/>
    <x v="14"/>
    <s v="paylater"/>
    <n v="22141657"/>
  </r>
  <r>
    <x v="522"/>
    <x v="1"/>
    <x v="5"/>
    <n v="24"/>
    <n v="12"/>
    <x v="5"/>
    <x v="5"/>
    <s v="overdraft"/>
    <n v="3407039660"/>
  </r>
  <r>
    <x v="522"/>
    <x v="1"/>
    <x v="5"/>
    <n v="24"/>
    <n v="12"/>
    <x v="23"/>
    <x v="17"/>
    <s v="paylater"/>
    <n v="2352000"/>
  </r>
  <r>
    <x v="522"/>
    <x v="1"/>
    <x v="5"/>
    <n v="24"/>
    <n v="12"/>
    <x v="6"/>
    <x v="6"/>
    <s v="payday"/>
    <n v="13000000"/>
  </r>
  <r>
    <x v="523"/>
    <x v="1"/>
    <x v="5"/>
    <n v="24"/>
    <n v="13"/>
    <x v="6"/>
    <x v="6"/>
    <s v="payday"/>
    <n v="51000000"/>
  </r>
  <r>
    <x v="523"/>
    <x v="1"/>
    <x v="5"/>
    <n v="24"/>
    <n v="13"/>
    <x v="12"/>
    <x v="11"/>
    <s v="cashloan"/>
    <n v="9867440000"/>
  </r>
  <r>
    <x v="523"/>
    <x v="1"/>
    <x v="5"/>
    <n v="24"/>
    <n v="13"/>
    <x v="23"/>
    <x v="17"/>
    <s v="paylater"/>
    <n v="1432000"/>
  </r>
  <r>
    <x v="523"/>
    <x v="1"/>
    <x v="5"/>
    <n v="24"/>
    <n v="13"/>
    <x v="0"/>
    <x v="0"/>
    <s v="payday"/>
    <n v="6144336000"/>
  </r>
  <r>
    <x v="523"/>
    <x v="1"/>
    <x v="5"/>
    <n v="24"/>
    <n v="13"/>
    <x v="2"/>
    <x v="2"/>
    <s v="cashloan"/>
    <n v="9311220000"/>
  </r>
  <r>
    <x v="523"/>
    <x v="1"/>
    <x v="5"/>
    <n v="24"/>
    <n v="13"/>
    <x v="5"/>
    <x v="5"/>
    <s v="overdraft"/>
    <n v="3591531184"/>
  </r>
  <r>
    <x v="523"/>
    <x v="1"/>
    <x v="5"/>
    <n v="24"/>
    <n v="13"/>
    <x v="7"/>
    <x v="7"/>
    <s v="paylater"/>
    <n v="371344668"/>
  </r>
  <r>
    <x v="523"/>
    <x v="1"/>
    <x v="5"/>
    <n v="24"/>
    <n v="13"/>
    <x v="25"/>
    <x v="2"/>
    <s v="cashloan"/>
    <n v="21050000"/>
  </r>
  <r>
    <x v="523"/>
    <x v="1"/>
    <x v="5"/>
    <n v="24"/>
    <n v="13"/>
    <x v="22"/>
    <x v="16"/>
    <s v="cashloan"/>
    <n v="12600000"/>
  </r>
  <r>
    <x v="523"/>
    <x v="1"/>
    <x v="5"/>
    <n v="24"/>
    <n v="13"/>
    <x v="15"/>
    <x v="14"/>
    <s v="paylater"/>
    <n v="20705883"/>
  </r>
  <r>
    <x v="523"/>
    <x v="1"/>
    <x v="5"/>
    <n v="24"/>
    <n v="13"/>
    <x v="20"/>
    <x v="9"/>
    <s v="cashloan"/>
    <n v="0"/>
  </r>
  <r>
    <x v="523"/>
    <x v="1"/>
    <x v="5"/>
    <n v="24"/>
    <n v="13"/>
    <x v="17"/>
    <x v="9"/>
    <s v="cashloan"/>
    <n v="0"/>
  </r>
  <r>
    <x v="523"/>
    <x v="1"/>
    <x v="5"/>
    <n v="24"/>
    <n v="13"/>
    <x v="1"/>
    <x v="1"/>
    <s v="cashloan"/>
    <n v="0"/>
  </r>
  <r>
    <x v="523"/>
    <x v="1"/>
    <x v="5"/>
    <n v="24"/>
    <n v="13"/>
    <x v="3"/>
    <x v="3"/>
    <s v="cashloan"/>
    <n v="0"/>
  </r>
  <r>
    <x v="523"/>
    <x v="1"/>
    <x v="5"/>
    <n v="24"/>
    <n v="13"/>
    <x v="24"/>
    <x v="18"/>
    <s v="cashloan"/>
    <n v="1471960000"/>
  </r>
  <r>
    <x v="523"/>
    <x v="1"/>
    <x v="5"/>
    <n v="24"/>
    <n v="13"/>
    <x v="18"/>
    <x v="15"/>
    <s v="cashloan"/>
    <n v="416530000"/>
  </r>
  <r>
    <x v="523"/>
    <x v="1"/>
    <x v="5"/>
    <n v="24"/>
    <n v="13"/>
    <x v="14"/>
    <x v="13"/>
    <s v="cashloan"/>
    <n v="1295850000"/>
  </r>
  <r>
    <x v="523"/>
    <x v="1"/>
    <x v="5"/>
    <n v="24"/>
    <n v="13"/>
    <x v="11"/>
    <x v="10"/>
    <s v="paylater"/>
    <n v="223430809"/>
  </r>
  <r>
    <x v="523"/>
    <x v="1"/>
    <x v="5"/>
    <n v="24"/>
    <n v="13"/>
    <x v="19"/>
    <x v="12"/>
    <s v="paylater"/>
    <n v="456654391"/>
  </r>
  <r>
    <x v="524"/>
    <x v="1"/>
    <x v="5"/>
    <n v="24"/>
    <n v="14"/>
    <x v="15"/>
    <x v="14"/>
    <s v="paylater"/>
    <n v="14756340"/>
  </r>
  <r>
    <x v="524"/>
    <x v="1"/>
    <x v="5"/>
    <n v="24"/>
    <n v="14"/>
    <x v="6"/>
    <x v="6"/>
    <s v="payday"/>
    <n v="14000000"/>
  </r>
  <r>
    <x v="524"/>
    <x v="1"/>
    <x v="5"/>
    <n v="24"/>
    <n v="14"/>
    <x v="3"/>
    <x v="3"/>
    <s v="cashloan"/>
    <n v="0"/>
  </r>
  <r>
    <x v="524"/>
    <x v="1"/>
    <x v="5"/>
    <n v="24"/>
    <n v="14"/>
    <x v="24"/>
    <x v="18"/>
    <s v="cashloan"/>
    <n v="1475870000"/>
  </r>
  <r>
    <x v="524"/>
    <x v="1"/>
    <x v="5"/>
    <n v="24"/>
    <n v="14"/>
    <x v="23"/>
    <x v="17"/>
    <s v="paylater"/>
    <n v="550000"/>
  </r>
  <r>
    <x v="524"/>
    <x v="1"/>
    <x v="5"/>
    <n v="24"/>
    <n v="14"/>
    <x v="22"/>
    <x v="16"/>
    <s v="cashloan"/>
    <n v="0"/>
  </r>
  <r>
    <x v="524"/>
    <x v="1"/>
    <x v="5"/>
    <n v="24"/>
    <n v="14"/>
    <x v="20"/>
    <x v="9"/>
    <s v="cashloan"/>
    <n v="0"/>
  </r>
  <r>
    <x v="524"/>
    <x v="1"/>
    <x v="5"/>
    <n v="24"/>
    <n v="14"/>
    <x v="17"/>
    <x v="9"/>
    <s v="cashloan"/>
    <n v="0"/>
  </r>
  <r>
    <x v="524"/>
    <x v="1"/>
    <x v="5"/>
    <n v="24"/>
    <n v="14"/>
    <x v="1"/>
    <x v="1"/>
    <s v="cashloan"/>
    <n v="21000000"/>
  </r>
  <r>
    <x v="524"/>
    <x v="1"/>
    <x v="5"/>
    <n v="24"/>
    <n v="14"/>
    <x v="25"/>
    <x v="2"/>
    <s v="cashloan"/>
    <n v="0"/>
  </r>
  <r>
    <x v="524"/>
    <x v="1"/>
    <x v="5"/>
    <n v="24"/>
    <n v="14"/>
    <x v="18"/>
    <x v="15"/>
    <s v="cashloan"/>
    <n v="533390000"/>
  </r>
  <r>
    <x v="524"/>
    <x v="1"/>
    <x v="5"/>
    <n v="24"/>
    <n v="14"/>
    <x v="14"/>
    <x v="13"/>
    <s v="cashloan"/>
    <n v="1474440000"/>
  </r>
  <r>
    <x v="524"/>
    <x v="1"/>
    <x v="5"/>
    <n v="24"/>
    <n v="14"/>
    <x v="11"/>
    <x v="10"/>
    <s v="paylater"/>
    <n v="231030187"/>
  </r>
  <r>
    <x v="524"/>
    <x v="1"/>
    <x v="5"/>
    <n v="24"/>
    <n v="14"/>
    <x v="19"/>
    <x v="12"/>
    <s v="paylater"/>
    <n v="331833930"/>
  </r>
  <r>
    <x v="524"/>
    <x v="1"/>
    <x v="5"/>
    <n v="24"/>
    <n v="14"/>
    <x v="7"/>
    <x v="7"/>
    <s v="paylater"/>
    <n v="363429023"/>
  </r>
  <r>
    <x v="524"/>
    <x v="1"/>
    <x v="5"/>
    <n v="24"/>
    <n v="14"/>
    <x v="0"/>
    <x v="0"/>
    <s v="payday"/>
    <n v="5773032000"/>
  </r>
  <r>
    <x v="524"/>
    <x v="1"/>
    <x v="5"/>
    <n v="24"/>
    <n v="14"/>
    <x v="2"/>
    <x v="2"/>
    <s v="cashloan"/>
    <n v="8658770000"/>
  </r>
  <r>
    <x v="524"/>
    <x v="1"/>
    <x v="5"/>
    <n v="24"/>
    <n v="14"/>
    <x v="5"/>
    <x v="5"/>
    <s v="overdraft"/>
    <n v="3129557818"/>
  </r>
  <r>
    <x v="524"/>
    <x v="1"/>
    <x v="5"/>
    <n v="24"/>
    <n v="14"/>
    <x v="12"/>
    <x v="11"/>
    <s v="cashloan"/>
    <n v="7941780000"/>
  </r>
  <r>
    <x v="525"/>
    <x v="1"/>
    <x v="5"/>
    <n v="24"/>
    <n v="15"/>
    <x v="3"/>
    <x v="3"/>
    <s v="cashloan"/>
    <n v="10500000"/>
  </r>
  <r>
    <x v="525"/>
    <x v="1"/>
    <x v="5"/>
    <n v="24"/>
    <n v="15"/>
    <x v="22"/>
    <x v="16"/>
    <s v="cashloan"/>
    <n v="0"/>
  </r>
  <r>
    <x v="525"/>
    <x v="1"/>
    <x v="5"/>
    <n v="24"/>
    <n v="15"/>
    <x v="14"/>
    <x v="13"/>
    <s v="cashloan"/>
    <n v="1555930000"/>
  </r>
  <r>
    <x v="525"/>
    <x v="1"/>
    <x v="5"/>
    <n v="24"/>
    <n v="15"/>
    <x v="20"/>
    <x v="9"/>
    <s v="cashloan"/>
    <n v="0"/>
  </r>
  <r>
    <x v="525"/>
    <x v="1"/>
    <x v="5"/>
    <n v="24"/>
    <n v="15"/>
    <x v="24"/>
    <x v="18"/>
    <s v="cashloan"/>
    <n v="1466760000"/>
  </r>
  <r>
    <x v="525"/>
    <x v="1"/>
    <x v="5"/>
    <n v="24"/>
    <n v="15"/>
    <x v="18"/>
    <x v="15"/>
    <s v="cashloan"/>
    <n v="516520000"/>
  </r>
  <r>
    <x v="525"/>
    <x v="1"/>
    <x v="5"/>
    <n v="24"/>
    <n v="15"/>
    <x v="17"/>
    <x v="9"/>
    <s v="cashloan"/>
    <n v="0"/>
  </r>
  <r>
    <x v="525"/>
    <x v="1"/>
    <x v="5"/>
    <n v="24"/>
    <n v="15"/>
    <x v="11"/>
    <x v="10"/>
    <s v="paylater"/>
    <n v="209999907"/>
  </r>
  <r>
    <x v="525"/>
    <x v="1"/>
    <x v="5"/>
    <n v="24"/>
    <n v="15"/>
    <x v="19"/>
    <x v="12"/>
    <s v="paylater"/>
    <n v="362860236"/>
  </r>
  <r>
    <x v="525"/>
    <x v="1"/>
    <x v="5"/>
    <n v="24"/>
    <n v="15"/>
    <x v="7"/>
    <x v="7"/>
    <s v="paylater"/>
    <n v="377915311"/>
  </r>
  <r>
    <x v="525"/>
    <x v="1"/>
    <x v="5"/>
    <n v="24"/>
    <n v="15"/>
    <x v="12"/>
    <x v="11"/>
    <s v="cashloan"/>
    <n v="7824960000"/>
  </r>
  <r>
    <x v="525"/>
    <x v="1"/>
    <x v="5"/>
    <n v="24"/>
    <n v="15"/>
    <x v="23"/>
    <x v="17"/>
    <s v="paylater"/>
    <n v="0"/>
  </r>
  <r>
    <x v="525"/>
    <x v="1"/>
    <x v="5"/>
    <n v="24"/>
    <n v="15"/>
    <x v="0"/>
    <x v="0"/>
    <s v="payday"/>
    <n v="5881140000"/>
  </r>
  <r>
    <x v="525"/>
    <x v="1"/>
    <x v="5"/>
    <n v="24"/>
    <n v="15"/>
    <x v="2"/>
    <x v="2"/>
    <s v="cashloan"/>
    <n v="8904430000"/>
  </r>
  <r>
    <x v="525"/>
    <x v="1"/>
    <x v="5"/>
    <n v="24"/>
    <n v="15"/>
    <x v="5"/>
    <x v="5"/>
    <s v="overdraft"/>
    <n v="3173074623"/>
  </r>
  <r>
    <x v="525"/>
    <x v="1"/>
    <x v="5"/>
    <n v="24"/>
    <n v="15"/>
    <x v="1"/>
    <x v="1"/>
    <s v="cashloan"/>
    <n v="0"/>
  </r>
  <r>
    <x v="525"/>
    <x v="1"/>
    <x v="5"/>
    <n v="24"/>
    <n v="15"/>
    <x v="6"/>
    <x v="6"/>
    <s v="payday"/>
    <n v="39000000"/>
  </r>
  <r>
    <x v="525"/>
    <x v="1"/>
    <x v="5"/>
    <n v="24"/>
    <n v="15"/>
    <x v="15"/>
    <x v="14"/>
    <s v="paylater"/>
    <n v="28485059"/>
  </r>
  <r>
    <x v="525"/>
    <x v="1"/>
    <x v="5"/>
    <n v="24"/>
    <n v="15"/>
    <x v="25"/>
    <x v="2"/>
    <s v="cashloan"/>
    <n v="0"/>
  </r>
  <r>
    <x v="526"/>
    <x v="1"/>
    <x v="5"/>
    <n v="25"/>
    <n v="16"/>
    <x v="25"/>
    <x v="2"/>
    <s v="cashloan"/>
    <n v="0"/>
  </r>
  <r>
    <x v="526"/>
    <x v="1"/>
    <x v="5"/>
    <n v="25"/>
    <n v="16"/>
    <x v="6"/>
    <x v="6"/>
    <s v="payday"/>
    <n v="11000000"/>
  </r>
  <r>
    <x v="526"/>
    <x v="1"/>
    <x v="5"/>
    <n v="25"/>
    <n v="16"/>
    <x v="17"/>
    <x v="9"/>
    <s v="cashloan"/>
    <n v="0"/>
  </r>
  <r>
    <x v="526"/>
    <x v="1"/>
    <x v="5"/>
    <n v="25"/>
    <n v="16"/>
    <x v="20"/>
    <x v="9"/>
    <s v="cashloan"/>
    <n v="0"/>
  </r>
  <r>
    <x v="526"/>
    <x v="1"/>
    <x v="5"/>
    <n v="25"/>
    <n v="16"/>
    <x v="22"/>
    <x v="16"/>
    <s v="cashloan"/>
    <n v="30000000"/>
  </r>
  <r>
    <x v="526"/>
    <x v="1"/>
    <x v="5"/>
    <n v="25"/>
    <n v="16"/>
    <x v="19"/>
    <x v="12"/>
    <s v="paylater"/>
    <n v="379722415"/>
  </r>
  <r>
    <x v="526"/>
    <x v="1"/>
    <x v="5"/>
    <n v="25"/>
    <n v="16"/>
    <x v="14"/>
    <x v="13"/>
    <s v="cashloan"/>
    <n v="1507150000"/>
  </r>
  <r>
    <x v="526"/>
    <x v="1"/>
    <x v="5"/>
    <n v="25"/>
    <n v="16"/>
    <x v="3"/>
    <x v="3"/>
    <s v="cashloan"/>
    <n v="0"/>
  </r>
  <r>
    <x v="526"/>
    <x v="1"/>
    <x v="5"/>
    <n v="25"/>
    <n v="16"/>
    <x v="18"/>
    <x v="15"/>
    <s v="cashloan"/>
    <n v="459070000"/>
  </r>
  <r>
    <x v="526"/>
    <x v="1"/>
    <x v="5"/>
    <n v="25"/>
    <n v="16"/>
    <x v="0"/>
    <x v="0"/>
    <s v="payday"/>
    <n v="5694192000"/>
  </r>
  <r>
    <x v="526"/>
    <x v="1"/>
    <x v="5"/>
    <n v="25"/>
    <n v="16"/>
    <x v="12"/>
    <x v="11"/>
    <s v="cashloan"/>
    <n v="8118980000"/>
  </r>
  <r>
    <x v="526"/>
    <x v="1"/>
    <x v="5"/>
    <n v="25"/>
    <n v="16"/>
    <x v="1"/>
    <x v="1"/>
    <s v="cashloan"/>
    <n v="0"/>
  </r>
  <r>
    <x v="526"/>
    <x v="1"/>
    <x v="5"/>
    <n v="25"/>
    <n v="16"/>
    <x v="2"/>
    <x v="2"/>
    <s v="cashloan"/>
    <n v="9220010000"/>
  </r>
  <r>
    <x v="526"/>
    <x v="1"/>
    <x v="5"/>
    <n v="25"/>
    <n v="16"/>
    <x v="24"/>
    <x v="18"/>
    <s v="cashloan"/>
    <n v="1415420000"/>
  </r>
  <r>
    <x v="526"/>
    <x v="1"/>
    <x v="5"/>
    <n v="25"/>
    <n v="16"/>
    <x v="7"/>
    <x v="7"/>
    <s v="paylater"/>
    <n v="451388993"/>
  </r>
  <r>
    <x v="526"/>
    <x v="1"/>
    <x v="5"/>
    <n v="25"/>
    <n v="16"/>
    <x v="11"/>
    <x v="10"/>
    <s v="paylater"/>
    <n v="226152076"/>
  </r>
  <r>
    <x v="526"/>
    <x v="1"/>
    <x v="5"/>
    <n v="25"/>
    <n v="16"/>
    <x v="5"/>
    <x v="5"/>
    <s v="overdraft"/>
    <n v="3860964742"/>
  </r>
  <r>
    <x v="526"/>
    <x v="1"/>
    <x v="5"/>
    <n v="25"/>
    <n v="16"/>
    <x v="23"/>
    <x v="17"/>
    <s v="paylater"/>
    <n v="0"/>
  </r>
  <r>
    <x v="526"/>
    <x v="1"/>
    <x v="5"/>
    <n v="25"/>
    <n v="16"/>
    <x v="15"/>
    <x v="14"/>
    <s v="paylater"/>
    <n v="9679056"/>
  </r>
  <r>
    <x v="527"/>
    <x v="1"/>
    <x v="5"/>
    <n v="25"/>
    <n v="17"/>
    <x v="2"/>
    <x v="2"/>
    <s v="cashloan"/>
    <n v="9116110000"/>
  </r>
  <r>
    <x v="527"/>
    <x v="1"/>
    <x v="5"/>
    <n v="25"/>
    <n v="17"/>
    <x v="15"/>
    <x v="14"/>
    <s v="paylater"/>
    <n v="26293478"/>
  </r>
  <r>
    <x v="527"/>
    <x v="1"/>
    <x v="5"/>
    <n v="25"/>
    <n v="17"/>
    <x v="22"/>
    <x v="16"/>
    <s v="cashloan"/>
    <n v="75100000"/>
  </r>
  <r>
    <x v="527"/>
    <x v="1"/>
    <x v="5"/>
    <n v="25"/>
    <n v="17"/>
    <x v="25"/>
    <x v="2"/>
    <s v="cashloan"/>
    <n v="0"/>
  </r>
  <r>
    <x v="527"/>
    <x v="1"/>
    <x v="5"/>
    <n v="25"/>
    <n v="17"/>
    <x v="12"/>
    <x v="11"/>
    <s v="cashloan"/>
    <n v="8302350000"/>
  </r>
  <r>
    <x v="527"/>
    <x v="1"/>
    <x v="5"/>
    <n v="25"/>
    <n v="17"/>
    <x v="0"/>
    <x v="0"/>
    <s v="payday"/>
    <n v="4160268000"/>
  </r>
  <r>
    <x v="527"/>
    <x v="1"/>
    <x v="5"/>
    <n v="25"/>
    <n v="17"/>
    <x v="20"/>
    <x v="9"/>
    <s v="cashloan"/>
    <n v="0"/>
  </r>
  <r>
    <x v="527"/>
    <x v="1"/>
    <x v="5"/>
    <n v="25"/>
    <n v="17"/>
    <x v="17"/>
    <x v="9"/>
    <s v="cashloan"/>
    <n v="0"/>
  </r>
  <r>
    <x v="527"/>
    <x v="1"/>
    <x v="5"/>
    <n v="25"/>
    <n v="17"/>
    <x v="1"/>
    <x v="1"/>
    <s v="cashloan"/>
    <n v="21000000"/>
  </r>
  <r>
    <x v="527"/>
    <x v="1"/>
    <x v="5"/>
    <n v="25"/>
    <n v="17"/>
    <x v="6"/>
    <x v="6"/>
    <s v="payday"/>
    <n v="15000000"/>
  </r>
  <r>
    <x v="527"/>
    <x v="1"/>
    <x v="5"/>
    <n v="25"/>
    <n v="17"/>
    <x v="3"/>
    <x v="3"/>
    <s v="cashloan"/>
    <n v="0"/>
  </r>
  <r>
    <x v="527"/>
    <x v="1"/>
    <x v="5"/>
    <n v="25"/>
    <n v="17"/>
    <x v="24"/>
    <x v="18"/>
    <s v="cashloan"/>
    <n v="1327620000"/>
  </r>
  <r>
    <x v="527"/>
    <x v="1"/>
    <x v="5"/>
    <n v="25"/>
    <n v="17"/>
    <x v="18"/>
    <x v="15"/>
    <s v="cashloan"/>
    <n v="571820000"/>
  </r>
  <r>
    <x v="527"/>
    <x v="1"/>
    <x v="5"/>
    <n v="25"/>
    <n v="17"/>
    <x v="23"/>
    <x v="17"/>
    <s v="paylater"/>
    <n v="32621000"/>
  </r>
  <r>
    <x v="527"/>
    <x v="1"/>
    <x v="5"/>
    <n v="25"/>
    <n v="17"/>
    <x v="14"/>
    <x v="13"/>
    <s v="cashloan"/>
    <n v="1252360000"/>
  </r>
  <r>
    <x v="527"/>
    <x v="1"/>
    <x v="5"/>
    <n v="25"/>
    <n v="17"/>
    <x v="11"/>
    <x v="10"/>
    <s v="paylater"/>
    <n v="183898463"/>
  </r>
  <r>
    <x v="527"/>
    <x v="1"/>
    <x v="5"/>
    <n v="25"/>
    <n v="17"/>
    <x v="19"/>
    <x v="12"/>
    <s v="paylater"/>
    <n v="322444552"/>
  </r>
  <r>
    <x v="527"/>
    <x v="1"/>
    <x v="5"/>
    <n v="25"/>
    <n v="17"/>
    <x v="5"/>
    <x v="5"/>
    <s v="overdraft"/>
    <n v="3713866317"/>
  </r>
  <r>
    <x v="527"/>
    <x v="1"/>
    <x v="5"/>
    <n v="25"/>
    <n v="17"/>
    <x v="7"/>
    <x v="7"/>
    <s v="paylater"/>
    <n v="341455003"/>
  </r>
  <r>
    <x v="528"/>
    <x v="1"/>
    <x v="5"/>
    <n v="25"/>
    <n v="18"/>
    <x v="2"/>
    <x v="2"/>
    <s v="cashloan"/>
    <n v="9596090000"/>
  </r>
  <r>
    <x v="528"/>
    <x v="1"/>
    <x v="5"/>
    <n v="25"/>
    <n v="18"/>
    <x v="0"/>
    <x v="0"/>
    <s v="payday"/>
    <n v="5852412000"/>
  </r>
  <r>
    <x v="528"/>
    <x v="1"/>
    <x v="5"/>
    <n v="25"/>
    <n v="18"/>
    <x v="6"/>
    <x v="6"/>
    <s v="payday"/>
    <n v="17000000"/>
  </r>
  <r>
    <x v="528"/>
    <x v="1"/>
    <x v="5"/>
    <n v="25"/>
    <n v="18"/>
    <x v="7"/>
    <x v="7"/>
    <s v="paylater"/>
    <n v="331064337"/>
  </r>
  <r>
    <x v="528"/>
    <x v="1"/>
    <x v="5"/>
    <n v="25"/>
    <n v="18"/>
    <x v="12"/>
    <x v="11"/>
    <s v="cashloan"/>
    <n v="8712570000"/>
  </r>
  <r>
    <x v="528"/>
    <x v="1"/>
    <x v="5"/>
    <n v="25"/>
    <n v="18"/>
    <x v="22"/>
    <x v="16"/>
    <s v="cashloan"/>
    <n v="23100000"/>
  </r>
  <r>
    <x v="528"/>
    <x v="1"/>
    <x v="5"/>
    <n v="25"/>
    <n v="18"/>
    <x v="15"/>
    <x v="14"/>
    <s v="paylater"/>
    <n v="31541032"/>
  </r>
  <r>
    <x v="528"/>
    <x v="1"/>
    <x v="5"/>
    <n v="25"/>
    <n v="18"/>
    <x v="20"/>
    <x v="9"/>
    <s v="cashloan"/>
    <n v="0"/>
  </r>
  <r>
    <x v="528"/>
    <x v="1"/>
    <x v="5"/>
    <n v="25"/>
    <n v="18"/>
    <x v="17"/>
    <x v="9"/>
    <s v="cashloan"/>
    <n v="0"/>
  </r>
  <r>
    <x v="528"/>
    <x v="1"/>
    <x v="5"/>
    <n v="25"/>
    <n v="18"/>
    <x v="1"/>
    <x v="1"/>
    <s v="cashloan"/>
    <n v="0"/>
  </r>
  <r>
    <x v="528"/>
    <x v="1"/>
    <x v="5"/>
    <n v="25"/>
    <n v="18"/>
    <x v="25"/>
    <x v="2"/>
    <s v="cashloan"/>
    <n v="0"/>
  </r>
  <r>
    <x v="528"/>
    <x v="1"/>
    <x v="5"/>
    <n v="25"/>
    <n v="18"/>
    <x v="3"/>
    <x v="3"/>
    <s v="cashloan"/>
    <n v="0"/>
  </r>
  <r>
    <x v="528"/>
    <x v="1"/>
    <x v="5"/>
    <n v="25"/>
    <n v="18"/>
    <x v="24"/>
    <x v="18"/>
    <s v="cashloan"/>
    <n v="1334990000"/>
  </r>
  <r>
    <x v="528"/>
    <x v="1"/>
    <x v="5"/>
    <n v="25"/>
    <n v="18"/>
    <x v="18"/>
    <x v="15"/>
    <s v="cashloan"/>
    <n v="460610000"/>
  </r>
  <r>
    <x v="528"/>
    <x v="1"/>
    <x v="5"/>
    <n v="25"/>
    <n v="18"/>
    <x v="23"/>
    <x v="17"/>
    <s v="paylater"/>
    <n v="56255000"/>
  </r>
  <r>
    <x v="528"/>
    <x v="1"/>
    <x v="5"/>
    <n v="25"/>
    <n v="18"/>
    <x v="14"/>
    <x v="13"/>
    <s v="cashloan"/>
    <n v="1311850000"/>
  </r>
  <r>
    <x v="528"/>
    <x v="1"/>
    <x v="5"/>
    <n v="25"/>
    <n v="18"/>
    <x v="11"/>
    <x v="10"/>
    <s v="paylater"/>
    <n v="218889860"/>
  </r>
  <r>
    <x v="528"/>
    <x v="1"/>
    <x v="5"/>
    <n v="25"/>
    <n v="18"/>
    <x v="19"/>
    <x v="12"/>
    <s v="paylater"/>
    <n v="277383118"/>
  </r>
  <r>
    <x v="528"/>
    <x v="1"/>
    <x v="5"/>
    <n v="25"/>
    <n v="18"/>
    <x v="5"/>
    <x v="5"/>
    <s v="overdraft"/>
    <n v="3453741499"/>
  </r>
  <r>
    <x v="529"/>
    <x v="1"/>
    <x v="5"/>
    <n v="25"/>
    <n v="19"/>
    <x v="14"/>
    <x v="13"/>
    <s v="cashloan"/>
    <n v="1209920000"/>
  </r>
  <r>
    <x v="529"/>
    <x v="1"/>
    <x v="5"/>
    <n v="25"/>
    <n v="19"/>
    <x v="11"/>
    <x v="10"/>
    <s v="paylater"/>
    <n v="211141509"/>
  </r>
  <r>
    <x v="529"/>
    <x v="1"/>
    <x v="5"/>
    <n v="25"/>
    <n v="19"/>
    <x v="19"/>
    <x v="12"/>
    <s v="paylater"/>
    <n v="274979379"/>
  </r>
  <r>
    <x v="529"/>
    <x v="1"/>
    <x v="5"/>
    <n v="25"/>
    <n v="19"/>
    <x v="5"/>
    <x v="5"/>
    <s v="overdraft"/>
    <n v="3477352126"/>
  </r>
  <r>
    <x v="529"/>
    <x v="1"/>
    <x v="5"/>
    <n v="25"/>
    <n v="19"/>
    <x v="7"/>
    <x v="7"/>
    <s v="paylater"/>
    <n v="281647611"/>
  </r>
  <r>
    <x v="529"/>
    <x v="1"/>
    <x v="5"/>
    <n v="25"/>
    <n v="19"/>
    <x v="12"/>
    <x v="11"/>
    <s v="cashloan"/>
    <n v="9085150000"/>
  </r>
  <r>
    <x v="529"/>
    <x v="1"/>
    <x v="5"/>
    <n v="25"/>
    <n v="19"/>
    <x v="0"/>
    <x v="0"/>
    <s v="payday"/>
    <n v="4133160000"/>
  </r>
  <r>
    <x v="529"/>
    <x v="1"/>
    <x v="5"/>
    <n v="25"/>
    <n v="19"/>
    <x v="2"/>
    <x v="2"/>
    <s v="cashloan"/>
    <n v="7870140000"/>
  </r>
  <r>
    <x v="529"/>
    <x v="1"/>
    <x v="5"/>
    <n v="25"/>
    <n v="19"/>
    <x v="3"/>
    <x v="3"/>
    <s v="cashloan"/>
    <n v="0"/>
  </r>
  <r>
    <x v="529"/>
    <x v="1"/>
    <x v="5"/>
    <n v="25"/>
    <n v="19"/>
    <x v="15"/>
    <x v="14"/>
    <s v="paylater"/>
    <n v="17330002"/>
  </r>
  <r>
    <x v="529"/>
    <x v="1"/>
    <x v="5"/>
    <n v="25"/>
    <n v="19"/>
    <x v="24"/>
    <x v="18"/>
    <s v="cashloan"/>
    <n v="1196550000"/>
  </r>
  <r>
    <x v="529"/>
    <x v="1"/>
    <x v="5"/>
    <n v="25"/>
    <n v="19"/>
    <x v="25"/>
    <x v="2"/>
    <s v="cashloan"/>
    <n v="0"/>
  </r>
  <r>
    <x v="529"/>
    <x v="1"/>
    <x v="5"/>
    <n v="25"/>
    <n v="19"/>
    <x v="22"/>
    <x v="16"/>
    <s v="cashloan"/>
    <n v="41500000"/>
  </r>
  <r>
    <x v="529"/>
    <x v="1"/>
    <x v="5"/>
    <n v="25"/>
    <n v="19"/>
    <x v="18"/>
    <x v="15"/>
    <s v="cashloan"/>
    <n v="491180000"/>
  </r>
  <r>
    <x v="529"/>
    <x v="1"/>
    <x v="5"/>
    <n v="25"/>
    <n v="19"/>
    <x v="6"/>
    <x v="6"/>
    <s v="payday"/>
    <n v="20000000"/>
  </r>
  <r>
    <x v="529"/>
    <x v="1"/>
    <x v="5"/>
    <n v="25"/>
    <n v="19"/>
    <x v="20"/>
    <x v="9"/>
    <s v="cashloan"/>
    <n v="0"/>
  </r>
  <r>
    <x v="529"/>
    <x v="1"/>
    <x v="5"/>
    <n v="25"/>
    <n v="19"/>
    <x v="17"/>
    <x v="9"/>
    <s v="cashloan"/>
    <n v="0"/>
  </r>
  <r>
    <x v="529"/>
    <x v="1"/>
    <x v="5"/>
    <n v="25"/>
    <n v="19"/>
    <x v="1"/>
    <x v="1"/>
    <s v="cashloan"/>
    <n v="0"/>
  </r>
  <r>
    <x v="529"/>
    <x v="1"/>
    <x v="5"/>
    <n v="25"/>
    <n v="19"/>
    <x v="23"/>
    <x v="17"/>
    <s v="paylater"/>
    <n v="64225000"/>
  </r>
  <r>
    <x v="530"/>
    <x v="1"/>
    <x v="5"/>
    <n v="25"/>
    <n v="20"/>
    <x v="0"/>
    <x v="0"/>
    <s v="payday"/>
    <n v="5737608000"/>
  </r>
  <r>
    <x v="530"/>
    <x v="1"/>
    <x v="5"/>
    <n v="25"/>
    <n v="20"/>
    <x v="2"/>
    <x v="2"/>
    <s v="cashloan"/>
    <n v="8577810000"/>
  </r>
  <r>
    <x v="530"/>
    <x v="1"/>
    <x v="5"/>
    <n v="25"/>
    <n v="20"/>
    <x v="12"/>
    <x v="11"/>
    <s v="cashloan"/>
    <n v="7776030000"/>
  </r>
  <r>
    <x v="530"/>
    <x v="1"/>
    <x v="5"/>
    <n v="25"/>
    <n v="20"/>
    <x v="7"/>
    <x v="7"/>
    <s v="paylater"/>
    <n v="307858081"/>
  </r>
  <r>
    <x v="530"/>
    <x v="1"/>
    <x v="5"/>
    <n v="25"/>
    <n v="20"/>
    <x v="22"/>
    <x v="16"/>
    <s v="cashloan"/>
    <n v="33600000"/>
  </r>
  <r>
    <x v="530"/>
    <x v="1"/>
    <x v="5"/>
    <n v="25"/>
    <n v="20"/>
    <x v="15"/>
    <x v="14"/>
    <s v="paylater"/>
    <n v="24235334"/>
  </r>
  <r>
    <x v="530"/>
    <x v="1"/>
    <x v="5"/>
    <n v="25"/>
    <n v="20"/>
    <x v="20"/>
    <x v="9"/>
    <s v="cashloan"/>
    <n v="0"/>
  </r>
  <r>
    <x v="530"/>
    <x v="1"/>
    <x v="5"/>
    <n v="25"/>
    <n v="20"/>
    <x v="17"/>
    <x v="9"/>
    <s v="cashloan"/>
    <n v="0"/>
  </r>
  <r>
    <x v="530"/>
    <x v="1"/>
    <x v="5"/>
    <n v="25"/>
    <n v="20"/>
    <x v="1"/>
    <x v="1"/>
    <s v="cashloan"/>
    <n v="52500000"/>
  </r>
  <r>
    <x v="530"/>
    <x v="1"/>
    <x v="5"/>
    <n v="25"/>
    <n v="20"/>
    <x v="6"/>
    <x v="6"/>
    <s v="payday"/>
    <n v="30000000"/>
  </r>
  <r>
    <x v="530"/>
    <x v="1"/>
    <x v="5"/>
    <n v="25"/>
    <n v="20"/>
    <x v="25"/>
    <x v="2"/>
    <s v="cashloan"/>
    <n v="0"/>
  </r>
  <r>
    <x v="530"/>
    <x v="1"/>
    <x v="5"/>
    <n v="25"/>
    <n v="20"/>
    <x v="3"/>
    <x v="3"/>
    <s v="cashloan"/>
    <n v="0"/>
  </r>
  <r>
    <x v="530"/>
    <x v="1"/>
    <x v="5"/>
    <n v="25"/>
    <n v="20"/>
    <x v="24"/>
    <x v="18"/>
    <s v="cashloan"/>
    <n v="1181020000"/>
  </r>
  <r>
    <x v="530"/>
    <x v="1"/>
    <x v="5"/>
    <n v="25"/>
    <n v="20"/>
    <x v="18"/>
    <x v="15"/>
    <s v="cashloan"/>
    <n v="661150000"/>
  </r>
  <r>
    <x v="530"/>
    <x v="1"/>
    <x v="5"/>
    <n v="25"/>
    <n v="20"/>
    <x v="23"/>
    <x v="17"/>
    <s v="paylater"/>
    <n v="112285000"/>
  </r>
  <r>
    <x v="530"/>
    <x v="1"/>
    <x v="5"/>
    <n v="25"/>
    <n v="20"/>
    <x v="14"/>
    <x v="13"/>
    <s v="cashloan"/>
    <n v="1809070000"/>
  </r>
  <r>
    <x v="530"/>
    <x v="1"/>
    <x v="5"/>
    <n v="25"/>
    <n v="20"/>
    <x v="11"/>
    <x v="10"/>
    <s v="paylater"/>
    <n v="217994103"/>
  </r>
  <r>
    <x v="530"/>
    <x v="1"/>
    <x v="5"/>
    <n v="25"/>
    <n v="20"/>
    <x v="19"/>
    <x v="12"/>
    <s v="paylater"/>
    <n v="310865606"/>
  </r>
  <r>
    <x v="530"/>
    <x v="1"/>
    <x v="5"/>
    <n v="25"/>
    <n v="20"/>
    <x v="5"/>
    <x v="5"/>
    <s v="overdraft"/>
    <n v="3893018256"/>
  </r>
  <r>
    <x v="531"/>
    <x v="1"/>
    <x v="5"/>
    <n v="25"/>
    <n v="21"/>
    <x v="24"/>
    <x v="18"/>
    <s v="cashloan"/>
    <n v="1117120000"/>
  </r>
  <r>
    <x v="531"/>
    <x v="1"/>
    <x v="5"/>
    <n v="25"/>
    <n v="21"/>
    <x v="20"/>
    <x v="9"/>
    <s v="cashloan"/>
    <n v="0"/>
  </r>
  <r>
    <x v="531"/>
    <x v="1"/>
    <x v="5"/>
    <n v="25"/>
    <n v="21"/>
    <x v="17"/>
    <x v="9"/>
    <s v="cashloan"/>
    <n v="0"/>
  </r>
  <r>
    <x v="531"/>
    <x v="1"/>
    <x v="5"/>
    <n v="25"/>
    <n v="21"/>
    <x v="25"/>
    <x v="2"/>
    <s v="cashloan"/>
    <n v="0"/>
  </r>
  <r>
    <x v="531"/>
    <x v="1"/>
    <x v="5"/>
    <n v="25"/>
    <n v="21"/>
    <x v="3"/>
    <x v="3"/>
    <s v="cashloan"/>
    <n v="0"/>
  </r>
  <r>
    <x v="531"/>
    <x v="1"/>
    <x v="5"/>
    <n v="25"/>
    <n v="21"/>
    <x v="22"/>
    <x v="16"/>
    <s v="cashloan"/>
    <n v="0"/>
  </r>
  <r>
    <x v="531"/>
    <x v="1"/>
    <x v="5"/>
    <n v="25"/>
    <n v="21"/>
    <x v="1"/>
    <x v="1"/>
    <s v="cashloan"/>
    <n v="42000000"/>
  </r>
  <r>
    <x v="531"/>
    <x v="1"/>
    <x v="5"/>
    <n v="25"/>
    <n v="21"/>
    <x v="6"/>
    <x v="6"/>
    <s v="payday"/>
    <n v="13000000"/>
  </r>
  <r>
    <x v="531"/>
    <x v="1"/>
    <x v="5"/>
    <n v="25"/>
    <n v="21"/>
    <x v="15"/>
    <x v="14"/>
    <s v="paylater"/>
    <n v="30590924"/>
  </r>
  <r>
    <x v="531"/>
    <x v="1"/>
    <x v="5"/>
    <n v="25"/>
    <n v="21"/>
    <x v="18"/>
    <x v="15"/>
    <s v="cashloan"/>
    <n v="516270000"/>
  </r>
  <r>
    <x v="531"/>
    <x v="1"/>
    <x v="5"/>
    <n v="25"/>
    <n v="21"/>
    <x v="23"/>
    <x v="17"/>
    <s v="paylater"/>
    <n v="365079000"/>
  </r>
  <r>
    <x v="531"/>
    <x v="1"/>
    <x v="5"/>
    <n v="25"/>
    <n v="21"/>
    <x v="14"/>
    <x v="13"/>
    <s v="cashloan"/>
    <n v="1123010000"/>
  </r>
  <r>
    <x v="531"/>
    <x v="1"/>
    <x v="5"/>
    <n v="25"/>
    <n v="21"/>
    <x v="11"/>
    <x v="10"/>
    <s v="paylater"/>
    <n v="222241873"/>
  </r>
  <r>
    <x v="531"/>
    <x v="1"/>
    <x v="5"/>
    <n v="25"/>
    <n v="21"/>
    <x v="19"/>
    <x v="12"/>
    <s v="paylater"/>
    <n v="374023734"/>
  </r>
  <r>
    <x v="531"/>
    <x v="1"/>
    <x v="5"/>
    <n v="25"/>
    <n v="21"/>
    <x v="5"/>
    <x v="5"/>
    <s v="overdraft"/>
    <n v="4166316503"/>
  </r>
  <r>
    <x v="531"/>
    <x v="1"/>
    <x v="5"/>
    <n v="25"/>
    <n v="21"/>
    <x v="7"/>
    <x v="7"/>
    <s v="paylater"/>
    <n v="351915054"/>
  </r>
  <r>
    <x v="531"/>
    <x v="1"/>
    <x v="5"/>
    <n v="25"/>
    <n v="21"/>
    <x v="12"/>
    <x v="11"/>
    <s v="cashloan"/>
    <n v="8575700000"/>
  </r>
  <r>
    <x v="531"/>
    <x v="1"/>
    <x v="5"/>
    <n v="25"/>
    <n v="21"/>
    <x v="0"/>
    <x v="0"/>
    <s v="payday"/>
    <n v="5618052000"/>
  </r>
  <r>
    <x v="531"/>
    <x v="1"/>
    <x v="5"/>
    <n v="25"/>
    <n v="21"/>
    <x v="2"/>
    <x v="2"/>
    <s v="cashloan"/>
    <n v="8947650000"/>
  </r>
  <r>
    <x v="532"/>
    <x v="1"/>
    <x v="5"/>
    <n v="25"/>
    <n v="22"/>
    <x v="22"/>
    <x v="16"/>
    <s v="cashloan"/>
    <n v="0"/>
  </r>
  <r>
    <x v="532"/>
    <x v="1"/>
    <x v="5"/>
    <n v="25"/>
    <n v="22"/>
    <x v="25"/>
    <x v="2"/>
    <s v="cashloan"/>
    <n v="0"/>
  </r>
  <r>
    <x v="532"/>
    <x v="1"/>
    <x v="5"/>
    <n v="25"/>
    <n v="22"/>
    <x v="3"/>
    <x v="3"/>
    <s v="cashloan"/>
    <n v="0"/>
  </r>
  <r>
    <x v="532"/>
    <x v="1"/>
    <x v="5"/>
    <n v="25"/>
    <n v="22"/>
    <x v="15"/>
    <x v="14"/>
    <s v="paylater"/>
    <n v="5078518"/>
  </r>
  <r>
    <x v="532"/>
    <x v="1"/>
    <x v="5"/>
    <n v="25"/>
    <n v="22"/>
    <x v="12"/>
    <x v="11"/>
    <s v="cashloan"/>
    <n v="9112470000"/>
  </r>
  <r>
    <x v="532"/>
    <x v="1"/>
    <x v="5"/>
    <n v="25"/>
    <n v="22"/>
    <x v="20"/>
    <x v="9"/>
    <s v="cashloan"/>
    <n v="0"/>
  </r>
  <r>
    <x v="532"/>
    <x v="1"/>
    <x v="5"/>
    <n v="25"/>
    <n v="22"/>
    <x v="17"/>
    <x v="9"/>
    <s v="cashloan"/>
    <n v="0"/>
  </r>
  <r>
    <x v="532"/>
    <x v="1"/>
    <x v="5"/>
    <n v="25"/>
    <n v="22"/>
    <x v="2"/>
    <x v="2"/>
    <s v="cashloan"/>
    <n v="8352760000"/>
  </r>
  <r>
    <x v="532"/>
    <x v="1"/>
    <x v="5"/>
    <n v="25"/>
    <n v="22"/>
    <x v="24"/>
    <x v="18"/>
    <s v="cashloan"/>
    <n v="1030030000"/>
  </r>
  <r>
    <x v="532"/>
    <x v="1"/>
    <x v="5"/>
    <n v="25"/>
    <n v="22"/>
    <x v="18"/>
    <x v="15"/>
    <s v="cashloan"/>
    <n v="352900000"/>
  </r>
  <r>
    <x v="532"/>
    <x v="1"/>
    <x v="5"/>
    <n v="25"/>
    <n v="22"/>
    <x v="23"/>
    <x v="17"/>
    <s v="paylater"/>
    <n v="377501650"/>
  </r>
  <r>
    <x v="532"/>
    <x v="1"/>
    <x v="5"/>
    <n v="25"/>
    <n v="22"/>
    <x v="14"/>
    <x v="13"/>
    <s v="cashloan"/>
    <n v="1487920000"/>
  </r>
  <r>
    <x v="532"/>
    <x v="1"/>
    <x v="5"/>
    <n v="25"/>
    <n v="22"/>
    <x v="6"/>
    <x v="6"/>
    <s v="payday"/>
    <n v="14000000"/>
  </r>
  <r>
    <x v="532"/>
    <x v="1"/>
    <x v="5"/>
    <n v="25"/>
    <n v="22"/>
    <x v="1"/>
    <x v="1"/>
    <s v="cashloan"/>
    <n v="0"/>
  </r>
  <r>
    <x v="532"/>
    <x v="1"/>
    <x v="5"/>
    <n v="25"/>
    <n v="22"/>
    <x v="19"/>
    <x v="12"/>
    <s v="paylater"/>
    <n v="295856411"/>
  </r>
  <r>
    <x v="532"/>
    <x v="1"/>
    <x v="5"/>
    <n v="25"/>
    <n v="22"/>
    <x v="5"/>
    <x v="5"/>
    <s v="overdraft"/>
    <n v="3205774208"/>
  </r>
  <r>
    <x v="532"/>
    <x v="1"/>
    <x v="5"/>
    <n v="25"/>
    <n v="22"/>
    <x v="7"/>
    <x v="7"/>
    <s v="paylater"/>
    <n v="306793410"/>
  </r>
  <r>
    <x v="532"/>
    <x v="1"/>
    <x v="5"/>
    <n v="25"/>
    <n v="22"/>
    <x v="11"/>
    <x v="10"/>
    <s v="paylater"/>
    <n v="224895648"/>
  </r>
  <r>
    <x v="532"/>
    <x v="1"/>
    <x v="5"/>
    <n v="25"/>
    <n v="22"/>
    <x v="0"/>
    <x v="0"/>
    <s v="payday"/>
    <n v="5142636000"/>
  </r>
  <r>
    <x v="533"/>
    <x v="1"/>
    <x v="5"/>
    <n v="26"/>
    <n v="23"/>
    <x v="12"/>
    <x v="11"/>
    <s v="cashloan"/>
    <n v="11289630000"/>
  </r>
  <r>
    <x v="533"/>
    <x v="1"/>
    <x v="5"/>
    <n v="26"/>
    <n v="23"/>
    <x v="0"/>
    <x v="0"/>
    <s v="payday"/>
    <n v="5050404000"/>
  </r>
  <r>
    <x v="533"/>
    <x v="1"/>
    <x v="5"/>
    <n v="26"/>
    <n v="23"/>
    <x v="19"/>
    <x v="12"/>
    <s v="paylater"/>
    <n v="372759602"/>
  </r>
  <r>
    <x v="533"/>
    <x v="1"/>
    <x v="5"/>
    <n v="26"/>
    <n v="23"/>
    <x v="5"/>
    <x v="5"/>
    <s v="overdraft"/>
    <n v="3616460194"/>
  </r>
  <r>
    <x v="533"/>
    <x v="1"/>
    <x v="5"/>
    <n v="26"/>
    <n v="23"/>
    <x v="11"/>
    <x v="10"/>
    <s v="paylater"/>
    <n v="238142686"/>
  </r>
  <r>
    <x v="533"/>
    <x v="1"/>
    <x v="5"/>
    <n v="26"/>
    <n v="23"/>
    <x v="7"/>
    <x v="7"/>
    <s v="paylater"/>
    <n v="293015500"/>
  </r>
  <r>
    <x v="533"/>
    <x v="1"/>
    <x v="5"/>
    <n v="26"/>
    <n v="23"/>
    <x v="14"/>
    <x v="13"/>
    <s v="cashloan"/>
    <n v="1243050000"/>
  </r>
  <r>
    <x v="533"/>
    <x v="1"/>
    <x v="5"/>
    <n v="26"/>
    <n v="23"/>
    <x v="2"/>
    <x v="2"/>
    <s v="cashloan"/>
    <n v="8806530000"/>
  </r>
  <r>
    <x v="533"/>
    <x v="1"/>
    <x v="5"/>
    <n v="26"/>
    <n v="23"/>
    <x v="25"/>
    <x v="2"/>
    <s v="cashloan"/>
    <n v="0"/>
  </r>
  <r>
    <x v="533"/>
    <x v="1"/>
    <x v="5"/>
    <n v="26"/>
    <n v="23"/>
    <x v="15"/>
    <x v="14"/>
    <s v="paylater"/>
    <n v="22447912"/>
  </r>
  <r>
    <x v="533"/>
    <x v="1"/>
    <x v="5"/>
    <n v="26"/>
    <n v="23"/>
    <x v="22"/>
    <x v="16"/>
    <s v="cashloan"/>
    <n v="12600000"/>
  </r>
  <r>
    <x v="533"/>
    <x v="1"/>
    <x v="5"/>
    <n v="26"/>
    <n v="23"/>
    <x v="20"/>
    <x v="9"/>
    <s v="cashloan"/>
    <n v="0"/>
  </r>
  <r>
    <x v="533"/>
    <x v="1"/>
    <x v="5"/>
    <n v="26"/>
    <n v="23"/>
    <x v="17"/>
    <x v="9"/>
    <s v="cashloan"/>
    <n v="0"/>
  </r>
  <r>
    <x v="533"/>
    <x v="1"/>
    <x v="5"/>
    <n v="26"/>
    <n v="23"/>
    <x v="6"/>
    <x v="6"/>
    <s v="payday"/>
    <n v="29000000"/>
  </r>
  <r>
    <x v="533"/>
    <x v="1"/>
    <x v="5"/>
    <n v="26"/>
    <n v="23"/>
    <x v="1"/>
    <x v="1"/>
    <s v="cashloan"/>
    <n v="0"/>
  </r>
  <r>
    <x v="533"/>
    <x v="1"/>
    <x v="5"/>
    <n v="26"/>
    <n v="23"/>
    <x v="3"/>
    <x v="3"/>
    <s v="cashloan"/>
    <n v="13650000"/>
  </r>
  <r>
    <x v="533"/>
    <x v="1"/>
    <x v="5"/>
    <n v="26"/>
    <n v="23"/>
    <x v="24"/>
    <x v="18"/>
    <s v="cashloan"/>
    <n v="1312070000"/>
  </r>
  <r>
    <x v="533"/>
    <x v="1"/>
    <x v="5"/>
    <n v="26"/>
    <n v="23"/>
    <x v="18"/>
    <x v="15"/>
    <s v="cashloan"/>
    <n v="747240000"/>
  </r>
  <r>
    <x v="533"/>
    <x v="1"/>
    <x v="5"/>
    <n v="26"/>
    <n v="23"/>
    <x v="23"/>
    <x v="17"/>
    <s v="paylater"/>
    <n v="526478000"/>
  </r>
  <r>
    <x v="534"/>
    <x v="1"/>
    <x v="5"/>
    <n v="26"/>
    <n v="24"/>
    <x v="12"/>
    <x v="11"/>
    <s v="cashloan"/>
    <n v="10890740000"/>
  </r>
  <r>
    <x v="534"/>
    <x v="1"/>
    <x v="5"/>
    <n v="26"/>
    <n v="24"/>
    <x v="7"/>
    <x v="7"/>
    <s v="paylater"/>
    <n v="283172521"/>
  </r>
  <r>
    <x v="534"/>
    <x v="1"/>
    <x v="5"/>
    <n v="26"/>
    <n v="24"/>
    <x v="0"/>
    <x v="0"/>
    <s v="payday"/>
    <n v="4985712000"/>
  </r>
  <r>
    <x v="534"/>
    <x v="1"/>
    <x v="5"/>
    <n v="26"/>
    <n v="24"/>
    <x v="2"/>
    <x v="2"/>
    <s v="cashloan"/>
    <n v="9368780000"/>
  </r>
  <r>
    <x v="534"/>
    <x v="1"/>
    <x v="5"/>
    <n v="26"/>
    <n v="24"/>
    <x v="15"/>
    <x v="14"/>
    <s v="paylater"/>
    <n v="18472689"/>
  </r>
  <r>
    <x v="534"/>
    <x v="1"/>
    <x v="5"/>
    <n v="26"/>
    <n v="24"/>
    <x v="20"/>
    <x v="9"/>
    <s v="cashloan"/>
    <n v="0"/>
  </r>
  <r>
    <x v="534"/>
    <x v="1"/>
    <x v="5"/>
    <n v="26"/>
    <n v="24"/>
    <x v="25"/>
    <x v="2"/>
    <s v="cashloan"/>
    <n v="0"/>
  </r>
  <r>
    <x v="534"/>
    <x v="1"/>
    <x v="5"/>
    <n v="26"/>
    <n v="24"/>
    <x v="5"/>
    <x v="5"/>
    <s v="overdraft"/>
    <n v="3610204733"/>
  </r>
  <r>
    <x v="534"/>
    <x v="1"/>
    <x v="5"/>
    <n v="26"/>
    <n v="24"/>
    <x v="17"/>
    <x v="9"/>
    <s v="cashloan"/>
    <n v="0"/>
  </r>
  <r>
    <x v="534"/>
    <x v="1"/>
    <x v="5"/>
    <n v="26"/>
    <n v="24"/>
    <x v="1"/>
    <x v="1"/>
    <s v="cashloan"/>
    <n v="0"/>
  </r>
  <r>
    <x v="534"/>
    <x v="1"/>
    <x v="5"/>
    <n v="26"/>
    <n v="24"/>
    <x v="6"/>
    <x v="6"/>
    <s v="payday"/>
    <n v="15000000"/>
  </r>
  <r>
    <x v="534"/>
    <x v="1"/>
    <x v="5"/>
    <n v="26"/>
    <n v="24"/>
    <x v="3"/>
    <x v="3"/>
    <s v="cashloan"/>
    <n v="0"/>
  </r>
  <r>
    <x v="534"/>
    <x v="1"/>
    <x v="5"/>
    <n v="26"/>
    <n v="24"/>
    <x v="22"/>
    <x v="16"/>
    <s v="cashloan"/>
    <n v="43750000"/>
  </r>
  <r>
    <x v="534"/>
    <x v="1"/>
    <x v="5"/>
    <n v="26"/>
    <n v="24"/>
    <x v="24"/>
    <x v="18"/>
    <s v="cashloan"/>
    <n v="1552640000"/>
  </r>
  <r>
    <x v="534"/>
    <x v="1"/>
    <x v="5"/>
    <n v="26"/>
    <n v="24"/>
    <x v="18"/>
    <x v="15"/>
    <s v="cashloan"/>
    <n v="814000000"/>
  </r>
  <r>
    <x v="534"/>
    <x v="1"/>
    <x v="5"/>
    <n v="26"/>
    <n v="24"/>
    <x v="23"/>
    <x v="17"/>
    <s v="paylater"/>
    <n v="567282300"/>
  </r>
  <r>
    <x v="534"/>
    <x v="1"/>
    <x v="5"/>
    <n v="26"/>
    <n v="24"/>
    <x v="14"/>
    <x v="13"/>
    <s v="cashloan"/>
    <n v="1478710000"/>
  </r>
  <r>
    <x v="534"/>
    <x v="1"/>
    <x v="5"/>
    <n v="26"/>
    <n v="24"/>
    <x v="11"/>
    <x v="10"/>
    <s v="paylater"/>
    <n v="214796466"/>
  </r>
  <r>
    <x v="534"/>
    <x v="1"/>
    <x v="5"/>
    <n v="26"/>
    <n v="24"/>
    <x v="19"/>
    <x v="12"/>
    <s v="paylater"/>
    <n v="397201217"/>
  </r>
  <r>
    <x v="535"/>
    <x v="1"/>
    <x v="5"/>
    <n v="26"/>
    <n v="25"/>
    <x v="7"/>
    <x v="7"/>
    <s v="paylater"/>
    <n v="341215120"/>
  </r>
  <r>
    <x v="535"/>
    <x v="1"/>
    <x v="5"/>
    <n v="26"/>
    <n v="25"/>
    <x v="12"/>
    <x v="11"/>
    <s v="cashloan"/>
    <n v="11653690000"/>
  </r>
  <r>
    <x v="535"/>
    <x v="1"/>
    <x v="5"/>
    <n v="26"/>
    <n v="25"/>
    <x v="5"/>
    <x v="5"/>
    <s v="overdraft"/>
    <n v="3762696560"/>
  </r>
  <r>
    <x v="535"/>
    <x v="1"/>
    <x v="5"/>
    <n v="26"/>
    <n v="25"/>
    <x v="0"/>
    <x v="0"/>
    <s v="payday"/>
    <n v="4745628000"/>
  </r>
  <r>
    <x v="535"/>
    <x v="1"/>
    <x v="5"/>
    <n v="26"/>
    <n v="25"/>
    <x v="3"/>
    <x v="3"/>
    <s v="cashloan"/>
    <n v="0"/>
  </r>
  <r>
    <x v="535"/>
    <x v="1"/>
    <x v="5"/>
    <n v="26"/>
    <n v="25"/>
    <x v="19"/>
    <x v="12"/>
    <s v="paylater"/>
    <n v="417988535"/>
  </r>
  <r>
    <x v="535"/>
    <x v="1"/>
    <x v="5"/>
    <n v="26"/>
    <n v="25"/>
    <x v="2"/>
    <x v="2"/>
    <s v="cashloan"/>
    <n v="7601010000"/>
  </r>
  <r>
    <x v="535"/>
    <x v="1"/>
    <x v="5"/>
    <n v="26"/>
    <n v="25"/>
    <x v="22"/>
    <x v="16"/>
    <s v="cashloan"/>
    <n v="10500000"/>
  </r>
  <r>
    <x v="535"/>
    <x v="1"/>
    <x v="5"/>
    <n v="26"/>
    <n v="25"/>
    <x v="15"/>
    <x v="14"/>
    <s v="paylater"/>
    <n v="54422906"/>
  </r>
  <r>
    <x v="535"/>
    <x v="1"/>
    <x v="5"/>
    <n v="26"/>
    <n v="25"/>
    <x v="17"/>
    <x v="9"/>
    <s v="cashloan"/>
    <n v="0"/>
  </r>
  <r>
    <x v="535"/>
    <x v="1"/>
    <x v="5"/>
    <n v="26"/>
    <n v="25"/>
    <x v="20"/>
    <x v="9"/>
    <s v="cashloan"/>
    <n v="0"/>
  </r>
  <r>
    <x v="535"/>
    <x v="1"/>
    <x v="5"/>
    <n v="26"/>
    <n v="25"/>
    <x v="1"/>
    <x v="1"/>
    <s v="cashloan"/>
    <n v="20000000"/>
  </r>
  <r>
    <x v="535"/>
    <x v="1"/>
    <x v="5"/>
    <n v="26"/>
    <n v="25"/>
    <x v="6"/>
    <x v="6"/>
    <s v="payday"/>
    <n v="22000000"/>
  </r>
  <r>
    <x v="535"/>
    <x v="1"/>
    <x v="5"/>
    <n v="26"/>
    <n v="25"/>
    <x v="25"/>
    <x v="2"/>
    <s v="cashloan"/>
    <n v="5350000"/>
  </r>
  <r>
    <x v="535"/>
    <x v="1"/>
    <x v="5"/>
    <n v="26"/>
    <n v="25"/>
    <x v="24"/>
    <x v="18"/>
    <s v="cashloan"/>
    <n v="1244320000"/>
  </r>
  <r>
    <x v="535"/>
    <x v="1"/>
    <x v="5"/>
    <n v="26"/>
    <n v="25"/>
    <x v="18"/>
    <x v="15"/>
    <s v="cashloan"/>
    <n v="352550000"/>
  </r>
  <r>
    <x v="535"/>
    <x v="1"/>
    <x v="5"/>
    <n v="26"/>
    <n v="25"/>
    <x v="23"/>
    <x v="17"/>
    <s v="paylater"/>
    <n v="344027500"/>
  </r>
  <r>
    <x v="535"/>
    <x v="1"/>
    <x v="5"/>
    <n v="26"/>
    <n v="25"/>
    <x v="14"/>
    <x v="13"/>
    <s v="cashloan"/>
    <n v="1040190000"/>
  </r>
  <r>
    <x v="535"/>
    <x v="1"/>
    <x v="5"/>
    <n v="26"/>
    <n v="25"/>
    <x v="11"/>
    <x v="10"/>
    <s v="paylater"/>
    <n v="219392350"/>
  </r>
  <r>
    <x v="536"/>
    <x v="1"/>
    <x v="5"/>
    <n v="26"/>
    <n v="26"/>
    <x v="19"/>
    <x v="12"/>
    <s v="paylater"/>
    <n v="430949488"/>
  </r>
  <r>
    <x v="536"/>
    <x v="1"/>
    <x v="5"/>
    <n v="26"/>
    <n v="26"/>
    <x v="1"/>
    <x v="1"/>
    <s v="cashloan"/>
    <n v="21000000"/>
  </r>
  <r>
    <x v="536"/>
    <x v="1"/>
    <x v="5"/>
    <n v="26"/>
    <n v="26"/>
    <x v="11"/>
    <x v="10"/>
    <s v="paylater"/>
    <n v="231228094"/>
  </r>
  <r>
    <x v="536"/>
    <x v="1"/>
    <x v="5"/>
    <n v="26"/>
    <n v="26"/>
    <x v="2"/>
    <x v="2"/>
    <s v="cashloan"/>
    <n v="8066530000"/>
  </r>
  <r>
    <x v="536"/>
    <x v="1"/>
    <x v="5"/>
    <n v="26"/>
    <n v="26"/>
    <x v="18"/>
    <x v="15"/>
    <s v="cashloan"/>
    <n v="448470000"/>
  </r>
  <r>
    <x v="536"/>
    <x v="1"/>
    <x v="5"/>
    <n v="26"/>
    <n v="26"/>
    <x v="6"/>
    <x v="6"/>
    <s v="payday"/>
    <n v="18000000"/>
  </r>
  <r>
    <x v="536"/>
    <x v="1"/>
    <x v="5"/>
    <n v="26"/>
    <n v="26"/>
    <x v="5"/>
    <x v="5"/>
    <s v="overdraft"/>
    <n v="3688983369"/>
  </r>
  <r>
    <x v="536"/>
    <x v="1"/>
    <x v="5"/>
    <n v="26"/>
    <n v="26"/>
    <x v="17"/>
    <x v="9"/>
    <s v="cashloan"/>
    <n v="0"/>
  </r>
  <r>
    <x v="536"/>
    <x v="1"/>
    <x v="5"/>
    <n v="26"/>
    <n v="26"/>
    <x v="15"/>
    <x v="14"/>
    <s v="paylater"/>
    <n v="16258627"/>
  </r>
  <r>
    <x v="536"/>
    <x v="1"/>
    <x v="5"/>
    <n v="26"/>
    <n v="26"/>
    <x v="3"/>
    <x v="3"/>
    <s v="cashloan"/>
    <n v="0"/>
  </r>
  <r>
    <x v="536"/>
    <x v="1"/>
    <x v="5"/>
    <n v="26"/>
    <n v="26"/>
    <x v="12"/>
    <x v="11"/>
    <s v="cashloan"/>
    <n v="11362950000"/>
  </r>
  <r>
    <x v="536"/>
    <x v="1"/>
    <x v="5"/>
    <n v="26"/>
    <n v="26"/>
    <x v="0"/>
    <x v="0"/>
    <s v="payday"/>
    <n v="4826412000"/>
  </r>
  <r>
    <x v="536"/>
    <x v="1"/>
    <x v="5"/>
    <n v="26"/>
    <n v="26"/>
    <x v="20"/>
    <x v="9"/>
    <s v="cashloan"/>
    <n v="0"/>
  </r>
  <r>
    <x v="536"/>
    <x v="1"/>
    <x v="5"/>
    <n v="26"/>
    <n v="26"/>
    <x v="24"/>
    <x v="18"/>
    <s v="cashloan"/>
    <n v="1119570000"/>
  </r>
  <r>
    <x v="536"/>
    <x v="1"/>
    <x v="5"/>
    <n v="26"/>
    <n v="26"/>
    <x v="14"/>
    <x v="13"/>
    <s v="cashloan"/>
    <n v="1001910000"/>
  </r>
  <r>
    <x v="536"/>
    <x v="1"/>
    <x v="5"/>
    <n v="26"/>
    <n v="26"/>
    <x v="7"/>
    <x v="7"/>
    <s v="paylater"/>
    <n v="286015440"/>
  </r>
  <r>
    <x v="536"/>
    <x v="1"/>
    <x v="5"/>
    <n v="26"/>
    <n v="26"/>
    <x v="23"/>
    <x v="17"/>
    <s v="paylater"/>
    <n v="379370000"/>
  </r>
  <r>
    <x v="536"/>
    <x v="1"/>
    <x v="5"/>
    <n v="26"/>
    <n v="26"/>
    <x v="25"/>
    <x v="2"/>
    <s v="cashloan"/>
    <n v="0"/>
  </r>
  <r>
    <x v="536"/>
    <x v="1"/>
    <x v="5"/>
    <n v="26"/>
    <n v="26"/>
    <x v="22"/>
    <x v="16"/>
    <s v="cashloan"/>
    <n v="21000000"/>
  </r>
  <r>
    <x v="537"/>
    <x v="1"/>
    <x v="5"/>
    <n v="26"/>
    <n v="27"/>
    <x v="7"/>
    <x v="7"/>
    <s v="paylater"/>
    <n v="306818743"/>
  </r>
  <r>
    <x v="537"/>
    <x v="1"/>
    <x v="5"/>
    <n v="26"/>
    <n v="27"/>
    <x v="12"/>
    <x v="11"/>
    <s v="cashloan"/>
    <n v="10616350000"/>
  </r>
  <r>
    <x v="537"/>
    <x v="1"/>
    <x v="5"/>
    <n v="26"/>
    <n v="27"/>
    <x v="5"/>
    <x v="5"/>
    <s v="overdraft"/>
    <n v="3355143850"/>
  </r>
  <r>
    <x v="537"/>
    <x v="1"/>
    <x v="5"/>
    <n v="26"/>
    <n v="27"/>
    <x v="0"/>
    <x v="0"/>
    <s v="payday"/>
    <n v="5236164000"/>
  </r>
  <r>
    <x v="537"/>
    <x v="1"/>
    <x v="5"/>
    <n v="26"/>
    <n v="27"/>
    <x v="25"/>
    <x v="2"/>
    <s v="cashloan"/>
    <n v="7000000"/>
  </r>
  <r>
    <x v="537"/>
    <x v="1"/>
    <x v="5"/>
    <n v="26"/>
    <n v="27"/>
    <x v="2"/>
    <x v="2"/>
    <s v="cashloan"/>
    <n v="9014050000"/>
  </r>
  <r>
    <x v="537"/>
    <x v="1"/>
    <x v="5"/>
    <n v="26"/>
    <n v="27"/>
    <x v="22"/>
    <x v="16"/>
    <s v="cashloan"/>
    <n v="38850000"/>
  </r>
  <r>
    <x v="537"/>
    <x v="1"/>
    <x v="5"/>
    <n v="26"/>
    <n v="27"/>
    <x v="15"/>
    <x v="14"/>
    <s v="paylater"/>
    <n v="9076164"/>
  </r>
  <r>
    <x v="537"/>
    <x v="1"/>
    <x v="5"/>
    <n v="26"/>
    <n v="27"/>
    <x v="20"/>
    <x v="9"/>
    <s v="cashloan"/>
    <n v="0"/>
  </r>
  <r>
    <x v="537"/>
    <x v="1"/>
    <x v="5"/>
    <n v="26"/>
    <n v="27"/>
    <x v="17"/>
    <x v="9"/>
    <s v="cashloan"/>
    <n v="0"/>
  </r>
  <r>
    <x v="537"/>
    <x v="1"/>
    <x v="5"/>
    <n v="26"/>
    <n v="27"/>
    <x v="1"/>
    <x v="1"/>
    <s v="cashloan"/>
    <n v="20000000"/>
  </r>
  <r>
    <x v="537"/>
    <x v="1"/>
    <x v="5"/>
    <n v="26"/>
    <n v="27"/>
    <x v="6"/>
    <x v="6"/>
    <s v="payday"/>
    <n v="34000000"/>
  </r>
  <r>
    <x v="537"/>
    <x v="1"/>
    <x v="5"/>
    <n v="26"/>
    <n v="27"/>
    <x v="3"/>
    <x v="3"/>
    <s v="cashloan"/>
    <n v="0"/>
  </r>
  <r>
    <x v="537"/>
    <x v="1"/>
    <x v="5"/>
    <n v="26"/>
    <n v="27"/>
    <x v="24"/>
    <x v="18"/>
    <s v="cashloan"/>
    <n v="1992560000"/>
  </r>
  <r>
    <x v="537"/>
    <x v="1"/>
    <x v="5"/>
    <n v="26"/>
    <n v="27"/>
    <x v="18"/>
    <x v="15"/>
    <s v="cashloan"/>
    <n v="563810000"/>
  </r>
  <r>
    <x v="537"/>
    <x v="1"/>
    <x v="5"/>
    <n v="26"/>
    <n v="27"/>
    <x v="23"/>
    <x v="17"/>
    <s v="paylater"/>
    <n v="314750000"/>
  </r>
  <r>
    <x v="537"/>
    <x v="1"/>
    <x v="5"/>
    <n v="26"/>
    <n v="27"/>
    <x v="14"/>
    <x v="13"/>
    <s v="cashloan"/>
    <n v="1147140000"/>
  </r>
  <r>
    <x v="537"/>
    <x v="1"/>
    <x v="5"/>
    <n v="26"/>
    <n v="27"/>
    <x v="11"/>
    <x v="10"/>
    <s v="paylater"/>
    <n v="257598609"/>
  </r>
  <r>
    <x v="537"/>
    <x v="1"/>
    <x v="5"/>
    <n v="26"/>
    <n v="27"/>
    <x v="19"/>
    <x v="12"/>
    <s v="paylater"/>
    <n v="376346449"/>
  </r>
  <r>
    <x v="538"/>
    <x v="1"/>
    <x v="5"/>
    <n v="26"/>
    <n v="28"/>
    <x v="11"/>
    <x v="10"/>
    <s v="paylater"/>
    <n v="232429398"/>
  </r>
  <r>
    <x v="538"/>
    <x v="1"/>
    <x v="5"/>
    <n v="26"/>
    <n v="28"/>
    <x v="22"/>
    <x v="16"/>
    <s v="cashloan"/>
    <n v="10500000"/>
  </r>
  <r>
    <x v="538"/>
    <x v="1"/>
    <x v="5"/>
    <n v="26"/>
    <n v="28"/>
    <x v="25"/>
    <x v="2"/>
    <s v="cashloan"/>
    <n v="0"/>
  </r>
  <r>
    <x v="538"/>
    <x v="1"/>
    <x v="5"/>
    <n v="26"/>
    <n v="28"/>
    <x v="3"/>
    <x v="3"/>
    <s v="cashloan"/>
    <n v="0"/>
  </r>
  <r>
    <x v="538"/>
    <x v="1"/>
    <x v="5"/>
    <n v="26"/>
    <n v="28"/>
    <x v="20"/>
    <x v="9"/>
    <s v="cashloan"/>
    <n v="0"/>
  </r>
  <r>
    <x v="538"/>
    <x v="1"/>
    <x v="5"/>
    <n v="26"/>
    <n v="28"/>
    <x v="15"/>
    <x v="14"/>
    <s v="paylater"/>
    <n v="21570985"/>
  </r>
  <r>
    <x v="538"/>
    <x v="1"/>
    <x v="5"/>
    <n v="26"/>
    <n v="28"/>
    <x v="17"/>
    <x v="9"/>
    <s v="cashloan"/>
    <n v="0"/>
  </r>
  <r>
    <x v="538"/>
    <x v="1"/>
    <x v="5"/>
    <n v="26"/>
    <n v="28"/>
    <x v="1"/>
    <x v="1"/>
    <s v="cashloan"/>
    <n v="10500000"/>
  </r>
  <r>
    <x v="538"/>
    <x v="1"/>
    <x v="5"/>
    <n v="26"/>
    <n v="28"/>
    <x v="14"/>
    <x v="13"/>
    <s v="cashloan"/>
    <n v="1348240000"/>
  </r>
  <r>
    <x v="538"/>
    <x v="1"/>
    <x v="5"/>
    <n v="26"/>
    <n v="28"/>
    <x v="18"/>
    <x v="15"/>
    <s v="cashloan"/>
    <n v="406610000"/>
  </r>
  <r>
    <x v="538"/>
    <x v="1"/>
    <x v="5"/>
    <n v="26"/>
    <n v="28"/>
    <x v="24"/>
    <x v="18"/>
    <s v="cashloan"/>
    <n v="1539810000"/>
  </r>
  <r>
    <x v="538"/>
    <x v="1"/>
    <x v="5"/>
    <n v="26"/>
    <n v="28"/>
    <x v="6"/>
    <x v="6"/>
    <s v="payday"/>
    <n v="16000000"/>
  </r>
  <r>
    <x v="538"/>
    <x v="1"/>
    <x v="5"/>
    <n v="26"/>
    <n v="28"/>
    <x v="23"/>
    <x v="17"/>
    <s v="paylater"/>
    <n v="280682000"/>
  </r>
  <r>
    <x v="538"/>
    <x v="1"/>
    <x v="5"/>
    <n v="26"/>
    <n v="28"/>
    <x v="19"/>
    <x v="12"/>
    <s v="paylater"/>
    <n v="400766090"/>
  </r>
  <r>
    <x v="538"/>
    <x v="1"/>
    <x v="5"/>
    <n v="26"/>
    <n v="28"/>
    <x v="5"/>
    <x v="5"/>
    <s v="overdraft"/>
    <n v="3437848505"/>
  </r>
  <r>
    <x v="538"/>
    <x v="1"/>
    <x v="5"/>
    <n v="26"/>
    <n v="28"/>
    <x v="7"/>
    <x v="7"/>
    <s v="paylater"/>
    <n v="287592593"/>
  </r>
  <r>
    <x v="538"/>
    <x v="1"/>
    <x v="5"/>
    <n v="26"/>
    <n v="28"/>
    <x v="12"/>
    <x v="11"/>
    <s v="cashloan"/>
    <n v="9848090000"/>
  </r>
  <r>
    <x v="538"/>
    <x v="1"/>
    <x v="5"/>
    <n v="26"/>
    <n v="28"/>
    <x v="0"/>
    <x v="0"/>
    <s v="payday"/>
    <n v="4721004000"/>
  </r>
  <r>
    <x v="538"/>
    <x v="1"/>
    <x v="5"/>
    <n v="26"/>
    <n v="28"/>
    <x v="2"/>
    <x v="2"/>
    <s v="cashloan"/>
    <n v="7045830000"/>
  </r>
  <r>
    <x v="539"/>
    <x v="1"/>
    <x v="5"/>
    <n v="26"/>
    <n v="29"/>
    <x v="23"/>
    <x v="17"/>
    <s v="paylater"/>
    <n v="326705000"/>
  </r>
  <r>
    <x v="539"/>
    <x v="1"/>
    <x v="5"/>
    <n v="26"/>
    <n v="29"/>
    <x v="5"/>
    <x v="5"/>
    <s v="overdraft"/>
    <n v="3301114872"/>
  </r>
  <r>
    <x v="539"/>
    <x v="1"/>
    <x v="5"/>
    <n v="26"/>
    <n v="29"/>
    <x v="15"/>
    <x v="14"/>
    <s v="paylater"/>
    <n v="19523097"/>
  </r>
  <r>
    <x v="539"/>
    <x v="1"/>
    <x v="5"/>
    <n v="26"/>
    <n v="29"/>
    <x v="7"/>
    <x v="7"/>
    <s v="paylater"/>
    <n v="300341139"/>
  </r>
  <r>
    <x v="539"/>
    <x v="1"/>
    <x v="5"/>
    <n v="26"/>
    <n v="29"/>
    <x v="22"/>
    <x v="16"/>
    <s v="cashloan"/>
    <n v="0"/>
  </r>
  <r>
    <x v="539"/>
    <x v="1"/>
    <x v="5"/>
    <n v="26"/>
    <n v="29"/>
    <x v="12"/>
    <x v="11"/>
    <s v="cashloan"/>
    <n v="9573120000"/>
  </r>
  <r>
    <x v="539"/>
    <x v="1"/>
    <x v="5"/>
    <n v="26"/>
    <n v="29"/>
    <x v="20"/>
    <x v="9"/>
    <s v="cashloan"/>
    <n v="0"/>
  </r>
  <r>
    <x v="539"/>
    <x v="1"/>
    <x v="5"/>
    <n v="26"/>
    <n v="29"/>
    <x v="17"/>
    <x v="9"/>
    <s v="cashloan"/>
    <n v="0"/>
  </r>
  <r>
    <x v="539"/>
    <x v="1"/>
    <x v="5"/>
    <n v="26"/>
    <n v="29"/>
    <x v="1"/>
    <x v="1"/>
    <s v="cashloan"/>
    <n v="50500000"/>
  </r>
  <r>
    <x v="539"/>
    <x v="1"/>
    <x v="5"/>
    <n v="26"/>
    <n v="29"/>
    <x v="6"/>
    <x v="6"/>
    <s v="payday"/>
    <n v="10000000"/>
  </r>
  <r>
    <x v="539"/>
    <x v="1"/>
    <x v="5"/>
    <n v="26"/>
    <n v="29"/>
    <x v="25"/>
    <x v="2"/>
    <s v="cashloan"/>
    <n v="0"/>
  </r>
  <r>
    <x v="539"/>
    <x v="1"/>
    <x v="5"/>
    <n v="26"/>
    <n v="29"/>
    <x v="3"/>
    <x v="3"/>
    <s v="cashloan"/>
    <n v="0"/>
  </r>
  <r>
    <x v="539"/>
    <x v="1"/>
    <x v="5"/>
    <n v="26"/>
    <n v="29"/>
    <x v="18"/>
    <x v="15"/>
    <s v="cashloan"/>
    <n v="389790000"/>
  </r>
  <r>
    <x v="539"/>
    <x v="1"/>
    <x v="5"/>
    <n v="26"/>
    <n v="29"/>
    <x v="24"/>
    <x v="18"/>
    <s v="cashloan"/>
    <n v="1451760000"/>
  </r>
  <r>
    <x v="539"/>
    <x v="1"/>
    <x v="5"/>
    <n v="26"/>
    <n v="29"/>
    <x v="0"/>
    <x v="0"/>
    <s v="payday"/>
    <n v="4356180000"/>
  </r>
  <r>
    <x v="539"/>
    <x v="1"/>
    <x v="5"/>
    <n v="26"/>
    <n v="29"/>
    <x v="14"/>
    <x v="13"/>
    <s v="cashloan"/>
    <n v="2005510000"/>
  </r>
  <r>
    <x v="539"/>
    <x v="1"/>
    <x v="5"/>
    <n v="26"/>
    <n v="29"/>
    <x v="11"/>
    <x v="10"/>
    <s v="paylater"/>
    <n v="202402738"/>
  </r>
  <r>
    <x v="539"/>
    <x v="1"/>
    <x v="5"/>
    <n v="26"/>
    <n v="29"/>
    <x v="19"/>
    <x v="12"/>
    <s v="paylater"/>
    <n v="471479527"/>
  </r>
  <r>
    <x v="539"/>
    <x v="1"/>
    <x v="5"/>
    <n v="26"/>
    <n v="29"/>
    <x v="2"/>
    <x v="2"/>
    <s v="cashloan"/>
    <n v="7051150000"/>
  </r>
  <r>
    <x v="540"/>
    <x v="1"/>
    <x v="5"/>
    <n v="27"/>
    <n v="30"/>
    <x v="1"/>
    <x v="1"/>
    <s v="cashloan"/>
    <n v="31500000"/>
  </r>
  <r>
    <x v="540"/>
    <x v="1"/>
    <x v="5"/>
    <n v="27"/>
    <n v="30"/>
    <x v="2"/>
    <x v="2"/>
    <s v="cashloan"/>
    <n v="8643170000"/>
  </r>
  <r>
    <x v="540"/>
    <x v="1"/>
    <x v="5"/>
    <n v="27"/>
    <n v="30"/>
    <x v="12"/>
    <x v="11"/>
    <s v="cashloan"/>
    <n v="12105490000"/>
  </r>
  <r>
    <x v="540"/>
    <x v="1"/>
    <x v="5"/>
    <n v="27"/>
    <n v="30"/>
    <x v="19"/>
    <x v="12"/>
    <s v="paylater"/>
    <n v="559221742"/>
  </r>
  <r>
    <x v="540"/>
    <x v="1"/>
    <x v="5"/>
    <n v="27"/>
    <n v="30"/>
    <x v="5"/>
    <x v="5"/>
    <s v="overdraft"/>
    <n v="5473164136"/>
  </r>
  <r>
    <x v="540"/>
    <x v="1"/>
    <x v="5"/>
    <n v="27"/>
    <n v="30"/>
    <x v="22"/>
    <x v="16"/>
    <s v="cashloan"/>
    <n v="53700000"/>
  </r>
  <r>
    <x v="540"/>
    <x v="1"/>
    <x v="5"/>
    <n v="27"/>
    <n v="30"/>
    <x v="15"/>
    <x v="14"/>
    <s v="paylater"/>
    <n v="35724408"/>
  </r>
  <r>
    <x v="540"/>
    <x v="1"/>
    <x v="5"/>
    <n v="27"/>
    <n v="30"/>
    <x v="20"/>
    <x v="9"/>
    <s v="cashloan"/>
    <n v="0"/>
  </r>
  <r>
    <x v="540"/>
    <x v="1"/>
    <x v="5"/>
    <n v="27"/>
    <n v="30"/>
    <x v="17"/>
    <x v="9"/>
    <s v="cashloan"/>
    <n v="0"/>
  </r>
  <r>
    <x v="540"/>
    <x v="1"/>
    <x v="5"/>
    <n v="27"/>
    <n v="30"/>
    <x v="0"/>
    <x v="0"/>
    <s v="payday"/>
    <n v="5826708000"/>
  </r>
  <r>
    <x v="540"/>
    <x v="1"/>
    <x v="5"/>
    <n v="27"/>
    <n v="30"/>
    <x v="6"/>
    <x v="6"/>
    <s v="payday"/>
    <n v="19000000"/>
  </r>
  <r>
    <x v="540"/>
    <x v="1"/>
    <x v="5"/>
    <n v="27"/>
    <n v="30"/>
    <x v="25"/>
    <x v="2"/>
    <s v="cashloan"/>
    <n v="0"/>
  </r>
  <r>
    <x v="540"/>
    <x v="1"/>
    <x v="5"/>
    <n v="27"/>
    <n v="30"/>
    <x v="3"/>
    <x v="3"/>
    <s v="cashloan"/>
    <n v="0"/>
  </r>
  <r>
    <x v="540"/>
    <x v="1"/>
    <x v="5"/>
    <n v="27"/>
    <n v="30"/>
    <x v="18"/>
    <x v="15"/>
    <s v="cashloan"/>
    <n v="738870000"/>
  </r>
  <r>
    <x v="540"/>
    <x v="1"/>
    <x v="5"/>
    <n v="27"/>
    <n v="30"/>
    <x v="24"/>
    <x v="18"/>
    <s v="cashloan"/>
    <n v="1641010000"/>
  </r>
  <r>
    <x v="540"/>
    <x v="1"/>
    <x v="5"/>
    <n v="27"/>
    <n v="30"/>
    <x v="23"/>
    <x v="17"/>
    <s v="paylater"/>
    <n v="332093000"/>
  </r>
  <r>
    <x v="540"/>
    <x v="1"/>
    <x v="5"/>
    <n v="27"/>
    <n v="30"/>
    <x v="14"/>
    <x v="13"/>
    <s v="cashloan"/>
    <n v="1773840000"/>
  </r>
  <r>
    <x v="540"/>
    <x v="1"/>
    <x v="5"/>
    <n v="27"/>
    <n v="30"/>
    <x v="11"/>
    <x v="10"/>
    <s v="paylater"/>
    <n v="259399536"/>
  </r>
  <r>
    <x v="540"/>
    <x v="1"/>
    <x v="5"/>
    <n v="27"/>
    <n v="30"/>
    <x v="7"/>
    <x v="7"/>
    <s v="paylater"/>
    <n v="357450135"/>
  </r>
  <r>
    <x v="541"/>
    <x v="1"/>
    <x v="6"/>
    <n v="27"/>
    <n v="1"/>
    <x v="18"/>
    <x v="15"/>
    <s v="cashloan"/>
    <n v="458920000"/>
  </r>
  <r>
    <x v="541"/>
    <x v="1"/>
    <x v="6"/>
    <n v="27"/>
    <n v="1"/>
    <x v="24"/>
    <x v="18"/>
    <s v="cashloan"/>
    <n v="1648580000"/>
  </r>
  <r>
    <x v="541"/>
    <x v="1"/>
    <x v="6"/>
    <n v="27"/>
    <n v="1"/>
    <x v="19"/>
    <x v="12"/>
    <s v="paylater"/>
    <n v="1017803479"/>
  </r>
  <r>
    <x v="541"/>
    <x v="1"/>
    <x v="6"/>
    <n v="27"/>
    <n v="1"/>
    <x v="14"/>
    <x v="13"/>
    <s v="cashloan"/>
    <n v="1110790000"/>
  </r>
  <r>
    <x v="541"/>
    <x v="1"/>
    <x v="6"/>
    <n v="27"/>
    <n v="1"/>
    <x v="6"/>
    <x v="6"/>
    <s v="payday"/>
    <n v="0"/>
  </r>
  <r>
    <x v="541"/>
    <x v="1"/>
    <x v="6"/>
    <n v="27"/>
    <n v="1"/>
    <x v="23"/>
    <x v="17"/>
    <s v="paylater"/>
    <n v="357850000"/>
  </r>
  <r>
    <x v="541"/>
    <x v="1"/>
    <x v="6"/>
    <n v="27"/>
    <n v="1"/>
    <x v="3"/>
    <x v="3"/>
    <s v="cashloan"/>
    <n v="0"/>
  </r>
  <r>
    <x v="541"/>
    <x v="1"/>
    <x v="6"/>
    <n v="27"/>
    <n v="1"/>
    <x v="5"/>
    <x v="5"/>
    <s v="overdraft"/>
    <n v="7088032604"/>
  </r>
  <r>
    <x v="541"/>
    <x v="1"/>
    <x v="6"/>
    <n v="27"/>
    <n v="1"/>
    <x v="7"/>
    <x v="7"/>
    <s v="paylater"/>
    <n v="476748441"/>
  </r>
  <r>
    <x v="541"/>
    <x v="1"/>
    <x v="6"/>
    <n v="27"/>
    <n v="1"/>
    <x v="12"/>
    <x v="11"/>
    <s v="cashloan"/>
    <n v="12739180000"/>
  </r>
  <r>
    <x v="541"/>
    <x v="1"/>
    <x v="6"/>
    <n v="27"/>
    <n v="1"/>
    <x v="0"/>
    <x v="0"/>
    <s v="payday"/>
    <n v="5861592000"/>
  </r>
  <r>
    <x v="541"/>
    <x v="1"/>
    <x v="6"/>
    <n v="27"/>
    <n v="1"/>
    <x v="2"/>
    <x v="2"/>
    <s v="cashloan"/>
    <n v="5351470000"/>
  </r>
  <r>
    <x v="541"/>
    <x v="1"/>
    <x v="6"/>
    <n v="27"/>
    <n v="1"/>
    <x v="25"/>
    <x v="2"/>
    <s v="cashloan"/>
    <n v="0"/>
  </r>
  <r>
    <x v="541"/>
    <x v="1"/>
    <x v="6"/>
    <n v="27"/>
    <n v="1"/>
    <x v="26"/>
    <x v="16"/>
    <s v="cashloan"/>
    <n v="12000000"/>
  </r>
  <r>
    <x v="541"/>
    <x v="1"/>
    <x v="6"/>
    <n v="27"/>
    <n v="1"/>
    <x v="11"/>
    <x v="10"/>
    <s v="paylater"/>
    <n v="244795714"/>
  </r>
  <r>
    <x v="541"/>
    <x v="1"/>
    <x v="6"/>
    <n v="27"/>
    <n v="1"/>
    <x v="15"/>
    <x v="14"/>
    <s v="paylater"/>
    <n v="63437463"/>
  </r>
  <r>
    <x v="541"/>
    <x v="1"/>
    <x v="6"/>
    <n v="27"/>
    <n v="1"/>
    <x v="20"/>
    <x v="9"/>
    <s v="cashloan"/>
    <n v="0"/>
  </r>
  <r>
    <x v="541"/>
    <x v="1"/>
    <x v="6"/>
    <n v="27"/>
    <n v="1"/>
    <x v="17"/>
    <x v="9"/>
    <s v="cashloan"/>
    <n v="0"/>
  </r>
  <r>
    <x v="541"/>
    <x v="1"/>
    <x v="6"/>
    <n v="27"/>
    <n v="1"/>
    <x v="1"/>
    <x v="1"/>
    <s v="cashloan"/>
    <n v="0"/>
  </r>
  <r>
    <x v="542"/>
    <x v="1"/>
    <x v="6"/>
    <n v="27"/>
    <n v="2"/>
    <x v="12"/>
    <x v="11"/>
    <s v="cashloan"/>
    <n v="13389180000"/>
  </r>
  <r>
    <x v="542"/>
    <x v="1"/>
    <x v="6"/>
    <n v="27"/>
    <n v="2"/>
    <x v="19"/>
    <x v="12"/>
    <s v="paylater"/>
    <n v="884202279"/>
  </r>
  <r>
    <x v="542"/>
    <x v="1"/>
    <x v="6"/>
    <n v="27"/>
    <n v="2"/>
    <x v="1"/>
    <x v="1"/>
    <s v="cashloan"/>
    <n v="0"/>
  </r>
  <r>
    <x v="542"/>
    <x v="1"/>
    <x v="6"/>
    <n v="27"/>
    <n v="2"/>
    <x v="18"/>
    <x v="15"/>
    <s v="cashloan"/>
    <n v="487840000"/>
  </r>
  <r>
    <x v="542"/>
    <x v="1"/>
    <x v="6"/>
    <n v="27"/>
    <n v="2"/>
    <x v="26"/>
    <x v="16"/>
    <s v="cashloan"/>
    <n v="22500000"/>
  </r>
  <r>
    <x v="542"/>
    <x v="1"/>
    <x v="6"/>
    <n v="27"/>
    <n v="2"/>
    <x v="14"/>
    <x v="13"/>
    <s v="cashloan"/>
    <n v="815150000"/>
  </r>
  <r>
    <x v="542"/>
    <x v="1"/>
    <x v="6"/>
    <n v="27"/>
    <n v="2"/>
    <x v="6"/>
    <x v="6"/>
    <s v="payday"/>
    <n v="0"/>
  </r>
  <r>
    <x v="542"/>
    <x v="1"/>
    <x v="6"/>
    <n v="27"/>
    <n v="2"/>
    <x v="5"/>
    <x v="5"/>
    <s v="overdraft"/>
    <n v="5647684016"/>
  </r>
  <r>
    <x v="542"/>
    <x v="1"/>
    <x v="6"/>
    <n v="27"/>
    <n v="2"/>
    <x v="7"/>
    <x v="7"/>
    <s v="paylater"/>
    <n v="526491633"/>
  </r>
  <r>
    <x v="542"/>
    <x v="1"/>
    <x v="6"/>
    <n v="27"/>
    <n v="2"/>
    <x v="3"/>
    <x v="3"/>
    <s v="cashloan"/>
    <n v="0"/>
  </r>
  <r>
    <x v="542"/>
    <x v="1"/>
    <x v="6"/>
    <n v="27"/>
    <n v="2"/>
    <x v="11"/>
    <x v="10"/>
    <s v="paylater"/>
    <n v="270950520"/>
  </r>
  <r>
    <x v="542"/>
    <x v="1"/>
    <x v="6"/>
    <n v="27"/>
    <n v="2"/>
    <x v="0"/>
    <x v="0"/>
    <s v="payday"/>
    <n v="6096276000"/>
  </r>
  <r>
    <x v="542"/>
    <x v="1"/>
    <x v="6"/>
    <n v="27"/>
    <n v="2"/>
    <x v="15"/>
    <x v="14"/>
    <s v="paylater"/>
    <n v="43514718"/>
  </r>
  <r>
    <x v="542"/>
    <x v="1"/>
    <x v="6"/>
    <n v="27"/>
    <n v="2"/>
    <x v="2"/>
    <x v="2"/>
    <s v="cashloan"/>
    <n v="24147090000"/>
  </r>
  <r>
    <x v="542"/>
    <x v="1"/>
    <x v="6"/>
    <n v="27"/>
    <n v="2"/>
    <x v="24"/>
    <x v="18"/>
    <s v="cashloan"/>
    <n v="3927000000"/>
  </r>
  <r>
    <x v="542"/>
    <x v="1"/>
    <x v="6"/>
    <n v="27"/>
    <n v="2"/>
    <x v="20"/>
    <x v="9"/>
    <s v="cashloan"/>
    <n v="0"/>
  </r>
  <r>
    <x v="542"/>
    <x v="1"/>
    <x v="6"/>
    <n v="27"/>
    <n v="2"/>
    <x v="25"/>
    <x v="2"/>
    <s v="cashloan"/>
    <n v="0"/>
  </r>
  <r>
    <x v="542"/>
    <x v="1"/>
    <x v="6"/>
    <n v="27"/>
    <n v="2"/>
    <x v="17"/>
    <x v="9"/>
    <s v="cashloan"/>
    <n v="0"/>
  </r>
  <r>
    <x v="542"/>
    <x v="1"/>
    <x v="6"/>
    <n v="27"/>
    <n v="2"/>
    <x v="23"/>
    <x v="17"/>
    <s v="paylater"/>
    <n v="361323000"/>
  </r>
  <r>
    <x v="543"/>
    <x v="1"/>
    <x v="6"/>
    <n v="27"/>
    <n v="3"/>
    <x v="18"/>
    <x v="15"/>
    <s v="cashloan"/>
    <n v="562060000"/>
  </r>
  <r>
    <x v="543"/>
    <x v="1"/>
    <x v="6"/>
    <n v="27"/>
    <n v="3"/>
    <x v="14"/>
    <x v="13"/>
    <s v="cashloan"/>
    <n v="630890000"/>
  </r>
  <r>
    <x v="543"/>
    <x v="1"/>
    <x v="6"/>
    <n v="27"/>
    <n v="3"/>
    <x v="1"/>
    <x v="1"/>
    <s v="cashloan"/>
    <n v="21000000"/>
  </r>
  <r>
    <x v="543"/>
    <x v="1"/>
    <x v="6"/>
    <n v="27"/>
    <n v="3"/>
    <x v="11"/>
    <x v="10"/>
    <s v="paylater"/>
    <n v="322360513"/>
  </r>
  <r>
    <x v="543"/>
    <x v="1"/>
    <x v="6"/>
    <n v="27"/>
    <n v="3"/>
    <x v="20"/>
    <x v="9"/>
    <s v="cashloan"/>
    <n v="0"/>
  </r>
  <r>
    <x v="543"/>
    <x v="1"/>
    <x v="6"/>
    <n v="27"/>
    <n v="3"/>
    <x v="17"/>
    <x v="9"/>
    <s v="cashloan"/>
    <n v="0"/>
  </r>
  <r>
    <x v="543"/>
    <x v="1"/>
    <x v="6"/>
    <n v="27"/>
    <n v="3"/>
    <x v="19"/>
    <x v="12"/>
    <s v="paylater"/>
    <n v="1080342036"/>
  </r>
  <r>
    <x v="543"/>
    <x v="1"/>
    <x v="6"/>
    <n v="27"/>
    <n v="3"/>
    <x v="23"/>
    <x v="17"/>
    <s v="paylater"/>
    <n v="309352000"/>
  </r>
  <r>
    <x v="543"/>
    <x v="1"/>
    <x v="6"/>
    <n v="27"/>
    <n v="3"/>
    <x v="3"/>
    <x v="3"/>
    <s v="cashloan"/>
    <n v="21000000"/>
  </r>
  <r>
    <x v="543"/>
    <x v="1"/>
    <x v="6"/>
    <n v="27"/>
    <n v="3"/>
    <x v="5"/>
    <x v="5"/>
    <s v="overdraft"/>
    <n v="4690567383"/>
  </r>
  <r>
    <x v="543"/>
    <x v="1"/>
    <x v="6"/>
    <n v="27"/>
    <n v="3"/>
    <x v="24"/>
    <x v="18"/>
    <s v="cashloan"/>
    <n v="3669720000"/>
  </r>
  <r>
    <x v="543"/>
    <x v="1"/>
    <x v="6"/>
    <n v="27"/>
    <n v="3"/>
    <x v="6"/>
    <x v="6"/>
    <s v="payday"/>
    <n v="96000000"/>
  </r>
  <r>
    <x v="543"/>
    <x v="1"/>
    <x v="6"/>
    <n v="27"/>
    <n v="3"/>
    <x v="25"/>
    <x v="2"/>
    <s v="cashloan"/>
    <n v="0"/>
  </r>
  <r>
    <x v="543"/>
    <x v="1"/>
    <x v="6"/>
    <n v="27"/>
    <n v="3"/>
    <x v="26"/>
    <x v="16"/>
    <s v="cashloan"/>
    <n v="0"/>
  </r>
  <r>
    <x v="543"/>
    <x v="1"/>
    <x v="6"/>
    <n v="27"/>
    <n v="3"/>
    <x v="7"/>
    <x v="7"/>
    <s v="paylater"/>
    <n v="581660677"/>
  </r>
  <r>
    <x v="543"/>
    <x v="1"/>
    <x v="6"/>
    <n v="27"/>
    <n v="3"/>
    <x v="12"/>
    <x v="11"/>
    <s v="cashloan"/>
    <n v="13364480000"/>
  </r>
  <r>
    <x v="543"/>
    <x v="1"/>
    <x v="6"/>
    <n v="27"/>
    <n v="3"/>
    <x v="0"/>
    <x v="0"/>
    <s v="payday"/>
    <n v="5555736000"/>
  </r>
  <r>
    <x v="543"/>
    <x v="1"/>
    <x v="6"/>
    <n v="27"/>
    <n v="3"/>
    <x v="15"/>
    <x v="14"/>
    <s v="paylater"/>
    <n v="72833972"/>
  </r>
  <r>
    <x v="543"/>
    <x v="1"/>
    <x v="6"/>
    <n v="27"/>
    <n v="3"/>
    <x v="2"/>
    <x v="2"/>
    <s v="cashloan"/>
    <n v="12233980000"/>
  </r>
  <r>
    <x v="544"/>
    <x v="1"/>
    <x v="6"/>
    <n v="27"/>
    <n v="4"/>
    <x v="0"/>
    <x v="0"/>
    <s v="payday"/>
    <n v="6492528000"/>
  </r>
  <r>
    <x v="544"/>
    <x v="1"/>
    <x v="6"/>
    <n v="27"/>
    <n v="4"/>
    <x v="2"/>
    <x v="2"/>
    <s v="cashloan"/>
    <n v="13581010000"/>
  </r>
  <r>
    <x v="544"/>
    <x v="1"/>
    <x v="6"/>
    <n v="27"/>
    <n v="4"/>
    <x v="12"/>
    <x v="11"/>
    <s v="cashloan"/>
    <n v="12350860000"/>
  </r>
  <r>
    <x v="544"/>
    <x v="1"/>
    <x v="6"/>
    <n v="27"/>
    <n v="4"/>
    <x v="7"/>
    <x v="7"/>
    <s v="paylater"/>
    <n v="678722031"/>
  </r>
  <r>
    <x v="544"/>
    <x v="1"/>
    <x v="6"/>
    <n v="27"/>
    <n v="4"/>
    <x v="25"/>
    <x v="2"/>
    <s v="cashloan"/>
    <n v="0"/>
  </r>
  <r>
    <x v="544"/>
    <x v="1"/>
    <x v="6"/>
    <n v="27"/>
    <n v="4"/>
    <x v="26"/>
    <x v="16"/>
    <s v="cashloan"/>
    <n v="12000000"/>
  </r>
  <r>
    <x v="544"/>
    <x v="1"/>
    <x v="6"/>
    <n v="27"/>
    <n v="4"/>
    <x v="15"/>
    <x v="14"/>
    <s v="paylater"/>
    <n v="81407736"/>
  </r>
  <r>
    <x v="544"/>
    <x v="1"/>
    <x v="6"/>
    <n v="27"/>
    <n v="4"/>
    <x v="17"/>
    <x v="9"/>
    <s v="cashloan"/>
    <n v="0"/>
  </r>
  <r>
    <x v="544"/>
    <x v="1"/>
    <x v="6"/>
    <n v="27"/>
    <n v="4"/>
    <x v="20"/>
    <x v="9"/>
    <s v="cashloan"/>
    <n v="0"/>
  </r>
  <r>
    <x v="544"/>
    <x v="1"/>
    <x v="6"/>
    <n v="27"/>
    <n v="4"/>
    <x v="1"/>
    <x v="1"/>
    <s v="cashloan"/>
    <n v="0"/>
  </r>
  <r>
    <x v="544"/>
    <x v="1"/>
    <x v="6"/>
    <n v="27"/>
    <n v="4"/>
    <x v="6"/>
    <x v="6"/>
    <s v="payday"/>
    <n v="49000000"/>
  </r>
  <r>
    <x v="544"/>
    <x v="1"/>
    <x v="6"/>
    <n v="27"/>
    <n v="4"/>
    <x v="3"/>
    <x v="3"/>
    <s v="cashloan"/>
    <n v="21000000"/>
  </r>
  <r>
    <x v="544"/>
    <x v="1"/>
    <x v="6"/>
    <n v="27"/>
    <n v="4"/>
    <x v="18"/>
    <x v="15"/>
    <s v="cashloan"/>
    <n v="578350000"/>
  </r>
  <r>
    <x v="544"/>
    <x v="1"/>
    <x v="6"/>
    <n v="27"/>
    <n v="4"/>
    <x v="24"/>
    <x v="18"/>
    <s v="cashloan"/>
    <n v="5787520000"/>
  </r>
  <r>
    <x v="544"/>
    <x v="1"/>
    <x v="6"/>
    <n v="27"/>
    <n v="4"/>
    <x v="23"/>
    <x v="17"/>
    <s v="paylater"/>
    <n v="332605000"/>
  </r>
  <r>
    <x v="544"/>
    <x v="1"/>
    <x v="6"/>
    <n v="27"/>
    <n v="4"/>
    <x v="14"/>
    <x v="13"/>
    <s v="cashloan"/>
    <n v="1677280000"/>
  </r>
  <r>
    <x v="544"/>
    <x v="1"/>
    <x v="6"/>
    <n v="27"/>
    <n v="4"/>
    <x v="11"/>
    <x v="10"/>
    <s v="paylater"/>
    <n v="361463064"/>
  </r>
  <r>
    <x v="544"/>
    <x v="1"/>
    <x v="6"/>
    <n v="27"/>
    <n v="4"/>
    <x v="19"/>
    <x v="12"/>
    <s v="paylater"/>
    <n v="1413258778"/>
  </r>
  <r>
    <x v="544"/>
    <x v="1"/>
    <x v="6"/>
    <n v="27"/>
    <n v="4"/>
    <x v="5"/>
    <x v="5"/>
    <s v="overdraft"/>
    <n v="4584839714"/>
  </r>
  <r>
    <x v="545"/>
    <x v="1"/>
    <x v="6"/>
    <n v="27"/>
    <n v="5"/>
    <x v="15"/>
    <x v="14"/>
    <s v="paylater"/>
    <n v="93165139"/>
  </r>
  <r>
    <x v="545"/>
    <x v="1"/>
    <x v="6"/>
    <n v="27"/>
    <n v="5"/>
    <x v="0"/>
    <x v="0"/>
    <s v="payday"/>
    <n v="6517692000"/>
  </r>
  <r>
    <x v="545"/>
    <x v="1"/>
    <x v="6"/>
    <n v="27"/>
    <n v="5"/>
    <x v="2"/>
    <x v="2"/>
    <s v="cashloan"/>
    <n v="14009900000"/>
  </r>
  <r>
    <x v="545"/>
    <x v="1"/>
    <x v="6"/>
    <n v="27"/>
    <n v="5"/>
    <x v="5"/>
    <x v="5"/>
    <s v="overdraft"/>
    <n v="4370919217"/>
  </r>
  <r>
    <x v="545"/>
    <x v="1"/>
    <x v="6"/>
    <n v="27"/>
    <n v="5"/>
    <x v="26"/>
    <x v="16"/>
    <s v="cashloan"/>
    <n v="43600000"/>
  </r>
  <r>
    <x v="545"/>
    <x v="1"/>
    <x v="6"/>
    <n v="27"/>
    <n v="5"/>
    <x v="7"/>
    <x v="7"/>
    <s v="paylater"/>
    <n v="883984437"/>
  </r>
  <r>
    <x v="545"/>
    <x v="1"/>
    <x v="6"/>
    <n v="27"/>
    <n v="5"/>
    <x v="25"/>
    <x v="2"/>
    <s v="cashloan"/>
    <n v="0"/>
  </r>
  <r>
    <x v="545"/>
    <x v="1"/>
    <x v="6"/>
    <n v="27"/>
    <n v="5"/>
    <x v="12"/>
    <x v="11"/>
    <s v="cashloan"/>
    <n v="12780670000"/>
  </r>
  <r>
    <x v="545"/>
    <x v="1"/>
    <x v="6"/>
    <n v="27"/>
    <n v="5"/>
    <x v="20"/>
    <x v="9"/>
    <s v="cashloan"/>
    <n v="0"/>
  </r>
  <r>
    <x v="545"/>
    <x v="1"/>
    <x v="6"/>
    <n v="27"/>
    <n v="5"/>
    <x v="17"/>
    <x v="9"/>
    <s v="cashloan"/>
    <n v="0"/>
  </r>
  <r>
    <x v="545"/>
    <x v="1"/>
    <x v="6"/>
    <n v="27"/>
    <n v="5"/>
    <x v="1"/>
    <x v="1"/>
    <s v="cashloan"/>
    <n v="0"/>
  </r>
  <r>
    <x v="545"/>
    <x v="1"/>
    <x v="6"/>
    <n v="27"/>
    <n v="5"/>
    <x v="6"/>
    <x v="6"/>
    <s v="payday"/>
    <n v="0"/>
  </r>
  <r>
    <x v="545"/>
    <x v="1"/>
    <x v="6"/>
    <n v="27"/>
    <n v="5"/>
    <x v="3"/>
    <x v="3"/>
    <s v="cashloan"/>
    <n v="20000000"/>
  </r>
  <r>
    <x v="545"/>
    <x v="1"/>
    <x v="6"/>
    <n v="27"/>
    <n v="5"/>
    <x v="18"/>
    <x v="15"/>
    <s v="cashloan"/>
    <n v="499090000"/>
  </r>
  <r>
    <x v="545"/>
    <x v="1"/>
    <x v="6"/>
    <n v="27"/>
    <n v="5"/>
    <x v="24"/>
    <x v="18"/>
    <s v="cashloan"/>
    <n v="4517580000"/>
  </r>
  <r>
    <x v="545"/>
    <x v="1"/>
    <x v="6"/>
    <n v="27"/>
    <n v="5"/>
    <x v="23"/>
    <x v="17"/>
    <s v="paylater"/>
    <n v="275139000"/>
  </r>
  <r>
    <x v="545"/>
    <x v="1"/>
    <x v="6"/>
    <n v="27"/>
    <n v="5"/>
    <x v="14"/>
    <x v="13"/>
    <s v="cashloan"/>
    <n v="1630470000"/>
  </r>
  <r>
    <x v="545"/>
    <x v="1"/>
    <x v="6"/>
    <n v="27"/>
    <n v="5"/>
    <x v="11"/>
    <x v="10"/>
    <s v="paylater"/>
    <n v="491948326"/>
  </r>
  <r>
    <x v="545"/>
    <x v="1"/>
    <x v="6"/>
    <n v="27"/>
    <n v="5"/>
    <x v="19"/>
    <x v="12"/>
    <s v="paylater"/>
    <n v="1920496340"/>
  </r>
  <r>
    <x v="546"/>
    <x v="1"/>
    <x v="6"/>
    <n v="27"/>
    <n v="6"/>
    <x v="25"/>
    <x v="2"/>
    <s v="cashloan"/>
    <n v="0"/>
  </r>
  <r>
    <x v="546"/>
    <x v="1"/>
    <x v="6"/>
    <n v="27"/>
    <n v="6"/>
    <x v="12"/>
    <x v="11"/>
    <s v="cashloan"/>
    <n v="10122190000"/>
  </r>
  <r>
    <x v="546"/>
    <x v="1"/>
    <x v="6"/>
    <n v="27"/>
    <n v="6"/>
    <x v="3"/>
    <x v="3"/>
    <s v="cashloan"/>
    <n v="0"/>
  </r>
  <r>
    <x v="546"/>
    <x v="1"/>
    <x v="6"/>
    <n v="27"/>
    <n v="6"/>
    <x v="18"/>
    <x v="15"/>
    <s v="cashloan"/>
    <n v="392240000"/>
  </r>
  <r>
    <x v="546"/>
    <x v="1"/>
    <x v="6"/>
    <n v="27"/>
    <n v="6"/>
    <x v="24"/>
    <x v="18"/>
    <s v="cashloan"/>
    <n v="2902860000"/>
  </r>
  <r>
    <x v="546"/>
    <x v="1"/>
    <x v="6"/>
    <n v="27"/>
    <n v="6"/>
    <x v="15"/>
    <x v="14"/>
    <s v="paylater"/>
    <n v="22410701"/>
  </r>
  <r>
    <x v="546"/>
    <x v="1"/>
    <x v="6"/>
    <n v="27"/>
    <n v="6"/>
    <x v="20"/>
    <x v="9"/>
    <s v="cashloan"/>
    <n v="0"/>
  </r>
  <r>
    <x v="546"/>
    <x v="1"/>
    <x v="6"/>
    <n v="27"/>
    <n v="6"/>
    <x v="17"/>
    <x v="9"/>
    <s v="cashloan"/>
    <n v="0"/>
  </r>
  <r>
    <x v="546"/>
    <x v="1"/>
    <x v="6"/>
    <n v="27"/>
    <n v="6"/>
    <x v="1"/>
    <x v="1"/>
    <s v="cashloan"/>
    <n v="0"/>
  </r>
  <r>
    <x v="546"/>
    <x v="1"/>
    <x v="6"/>
    <n v="27"/>
    <n v="6"/>
    <x v="6"/>
    <x v="6"/>
    <s v="payday"/>
    <n v="0"/>
  </r>
  <r>
    <x v="546"/>
    <x v="1"/>
    <x v="6"/>
    <n v="27"/>
    <n v="6"/>
    <x v="23"/>
    <x v="17"/>
    <s v="paylater"/>
    <n v="255752000"/>
  </r>
  <r>
    <x v="546"/>
    <x v="1"/>
    <x v="6"/>
    <n v="27"/>
    <n v="6"/>
    <x v="14"/>
    <x v="13"/>
    <s v="cashloan"/>
    <n v="1729730000"/>
  </r>
  <r>
    <x v="546"/>
    <x v="1"/>
    <x v="6"/>
    <n v="27"/>
    <n v="6"/>
    <x v="11"/>
    <x v="10"/>
    <s v="paylater"/>
    <n v="378018012"/>
  </r>
  <r>
    <x v="546"/>
    <x v="1"/>
    <x v="6"/>
    <n v="27"/>
    <n v="6"/>
    <x v="19"/>
    <x v="12"/>
    <s v="paylater"/>
    <n v="900661621"/>
  </r>
  <r>
    <x v="546"/>
    <x v="1"/>
    <x v="6"/>
    <n v="27"/>
    <n v="6"/>
    <x v="26"/>
    <x v="16"/>
    <s v="cashloan"/>
    <n v="12600000"/>
  </r>
  <r>
    <x v="546"/>
    <x v="1"/>
    <x v="6"/>
    <n v="27"/>
    <n v="6"/>
    <x v="0"/>
    <x v="0"/>
    <s v="payday"/>
    <n v="5506920000"/>
  </r>
  <r>
    <x v="546"/>
    <x v="1"/>
    <x v="6"/>
    <n v="27"/>
    <n v="6"/>
    <x v="5"/>
    <x v="5"/>
    <s v="overdraft"/>
    <n v="3508019763"/>
  </r>
  <r>
    <x v="546"/>
    <x v="1"/>
    <x v="6"/>
    <n v="27"/>
    <n v="6"/>
    <x v="2"/>
    <x v="2"/>
    <s v="cashloan"/>
    <n v="12198310000"/>
  </r>
  <r>
    <x v="546"/>
    <x v="1"/>
    <x v="6"/>
    <n v="27"/>
    <n v="6"/>
    <x v="7"/>
    <x v="7"/>
    <s v="paylater"/>
    <n v="680708864"/>
  </r>
  <r>
    <x v="547"/>
    <x v="1"/>
    <x v="6"/>
    <n v="28"/>
    <n v="7"/>
    <x v="0"/>
    <x v="0"/>
    <s v="payday"/>
    <n v="5953284000"/>
  </r>
  <r>
    <x v="547"/>
    <x v="1"/>
    <x v="6"/>
    <n v="28"/>
    <n v="7"/>
    <x v="2"/>
    <x v="2"/>
    <s v="cashloan"/>
    <n v="12185770000"/>
  </r>
  <r>
    <x v="547"/>
    <x v="1"/>
    <x v="6"/>
    <n v="28"/>
    <n v="7"/>
    <x v="12"/>
    <x v="11"/>
    <s v="cashloan"/>
    <n v="12865570000"/>
  </r>
  <r>
    <x v="547"/>
    <x v="1"/>
    <x v="6"/>
    <n v="28"/>
    <n v="7"/>
    <x v="25"/>
    <x v="2"/>
    <s v="cashloan"/>
    <n v="0"/>
  </r>
  <r>
    <x v="547"/>
    <x v="1"/>
    <x v="6"/>
    <n v="28"/>
    <n v="7"/>
    <x v="26"/>
    <x v="16"/>
    <s v="cashloan"/>
    <n v="12600000"/>
  </r>
  <r>
    <x v="547"/>
    <x v="1"/>
    <x v="6"/>
    <n v="28"/>
    <n v="7"/>
    <x v="15"/>
    <x v="14"/>
    <s v="paylater"/>
    <n v="48157638"/>
  </r>
  <r>
    <x v="547"/>
    <x v="1"/>
    <x v="6"/>
    <n v="28"/>
    <n v="7"/>
    <x v="20"/>
    <x v="9"/>
    <s v="cashloan"/>
    <n v="0"/>
  </r>
  <r>
    <x v="547"/>
    <x v="1"/>
    <x v="6"/>
    <n v="28"/>
    <n v="7"/>
    <x v="17"/>
    <x v="9"/>
    <s v="cashloan"/>
    <n v="0"/>
  </r>
  <r>
    <x v="547"/>
    <x v="1"/>
    <x v="6"/>
    <n v="28"/>
    <n v="7"/>
    <x v="1"/>
    <x v="1"/>
    <s v="cashloan"/>
    <n v="31500000"/>
  </r>
  <r>
    <x v="547"/>
    <x v="1"/>
    <x v="6"/>
    <n v="28"/>
    <n v="7"/>
    <x v="6"/>
    <x v="6"/>
    <s v="payday"/>
    <n v="47000000"/>
  </r>
  <r>
    <x v="547"/>
    <x v="1"/>
    <x v="6"/>
    <n v="28"/>
    <n v="7"/>
    <x v="3"/>
    <x v="3"/>
    <s v="cashloan"/>
    <n v="0"/>
  </r>
  <r>
    <x v="547"/>
    <x v="1"/>
    <x v="6"/>
    <n v="28"/>
    <n v="7"/>
    <x v="18"/>
    <x v="15"/>
    <s v="cashloan"/>
    <n v="527630000"/>
  </r>
  <r>
    <x v="547"/>
    <x v="1"/>
    <x v="6"/>
    <n v="28"/>
    <n v="7"/>
    <x v="24"/>
    <x v="18"/>
    <s v="cashloan"/>
    <n v="3749090000"/>
  </r>
  <r>
    <x v="547"/>
    <x v="1"/>
    <x v="6"/>
    <n v="28"/>
    <n v="7"/>
    <x v="23"/>
    <x v="17"/>
    <s v="paylater"/>
    <n v="268002000"/>
  </r>
  <r>
    <x v="547"/>
    <x v="1"/>
    <x v="6"/>
    <n v="28"/>
    <n v="7"/>
    <x v="14"/>
    <x v="13"/>
    <s v="cashloan"/>
    <n v="2127090000"/>
  </r>
  <r>
    <x v="547"/>
    <x v="1"/>
    <x v="6"/>
    <n v="28"/>
    <n v="7"/>
    <x v="11"/>
    <x v="10"/>
    <s v="paylater"/>
    <n v="333439179"/>
  </r>
  <r>
    <x v="547"/>
    <x v="1"/>
    <x v="6"/>
    <n v="28"/>
    <n v="7"/>
    <x v="19"/>
    <x v="12"/>
    <s v="paylater"/>
    <n v="925736442"/>
  </r>
  <r>
    <x v="547"/>
    <x v="1"/>
    <x v="6"/>
    <n v="28"/>
    <n v="7"/>
    <x v="5"/>
    <x v="5"/>
    <s v="overdraft"/>
    <n v="4462542748"/>
  </r>
  <r>
    <x v="547"/>
    <x v="1"/>
    <x v="6"/>
    <n v="28"/>
    <n v="7"/>
    <x v="7"/>
    <x v="7"/>
    <s v="paylater"/>
    <n v="672515831"/>
  </r>
  <r>
    <x v="548"/>
    <x v="1"/>
    <x v="6"/>
    <n v="28"/>
    <n v="8"/>
    <x v="12"/>
    <x v="11"/>
    <s v="cashloan"/>
    <n v="13080430000"/>
  </r>
  <r>
    <x v="548"/>
    <x v="1"/>
    <x v="6"/>
    <n v="28"/>
    <n v="8"/>
    <x v="2"/>
    <x v="2"/>
    <s v="cashloan"/>
    <n v="11593100000"/>
  </r>
  <r>
    <x v="548"/>
    <x v="1"/>
    <x v="6"/>
    <n v="28"/>
    <n v="8"/>
    <x v="19"/>
    <x v="12"/>
    <s v="paylater"/>
    <n v="658736982"/>
  </r>
  <r>
    <x v="548"/>
    <x v="1"/>
    <x v="6"/>
    <n v="28"/>
    <n v="8"/>
    <x v="18"/>
    <x v="15"/>
    <s v="cashloan"/>
    <n v="571290000"/>
  </r>
  <r>
    <x v="548"/>
    <x v="1"/>
    <x v="6"/>
    <n v="28"/>
    <n v="8"/>
    <x v="20"/>
    <x v="9"/>
    <s v="cashloan"/>
    <n v="0"/>
  </r>
  <r>
    <x v="548"/>
    <x v="1"/>
    <x v="6"/>
    <n v="28"/>
    <n v="8"/>
    <x v="6"/>
    <x v="6"/>
    <s v="payday"/>
    <n v="0"/>
  </r>
  <r>
    <x v="548"/>
    <x v="1"/>
    <x v="6"/>
    <n v="28"/>
    <n v="8"/>
    <x v="14"/>
    <x v="13"/>
    <s v="cashloan"/>
    <n v="1783870000"/>
  </r>
  <r>
    <x v="548"/>
    <x v="1"/>
    <x v="6"/>
    <n v="28"/>
    <n v="8"/>
    <x v="23"/>
    <x v="17"/>
    <s v="paylater"/>
    <n v="320419110"/>
  </r>
  <r>
    <x v="548"/>
    <x v="1"/>
    <x v="6"/>
    <n v="28"/>
    <n v="8"/>
    <x v="7"/>
    <x v="7"/>
    <s v="paylater"/>
    <n v="457099430"/>
  </r>
  <r>
    <x v="548"/>
    <x v="1"/>
    <x v="6"/>
    <n v="28"/>
    <n v="8"/>
    <x v="11"/>
    <x v="10"/>
    <s v="paylater"/>
    <n v="348390969"/>
  </r>
  <r>
    <x v="548"/>
    <x v="1"/>
    <x v="6"/>
    <n v="28"/>
    <n v="8"/>
    <x v="0"/>
    <x v="0"/>
    <s v="payday"/>
    <n v="5448060000"/>
  </r>
  <r>
    <x v="548"/>
    <x v="1"/>
    <x v="6"/>
    <n v="28"/>
    <n v="8"/>
    <x v="5"/>
    <x v="5"/>
    <s v="overdraft"/>
    <n v="3699335581"/>
  </r>
  <r>
    <x v="548"/>
    <x v="1"/>
    <x v="6"/>
    <n v="28"/>
    <n v="8"/>
    <x v="26"/>
    <x v="16"/>
    <s v="cashloan"/>
    <n v="47250000"/>
  </r>
  <r>
    <x v="548"/>
    <x v="1"/>
    <x v="6"/>
    <n v="28"/>
    <n v="8"/>
    <x v="17"/>
    <x v="9"/>
    <s v="cashloan"/>
    <n v="0"/>
  </r>
  <r>
    <x v="548"/>
    <x v="1"/>
    <x v="6"/>
    <n v="28"/>
    <n v="8"/>
    <x v="1"/>
    <x v="1"/>
    <s v="cashloan"/>
    <n v="0"/>
  </r>
  <r>
    <x v="548"/>
    <x v="1"/>
    <x v="6"/>
    <n v="28"/>
    <n v="8"/>
    <x v="15"/>
    <x v="14"/>
    <s v="paylater"/>
    <n v="38594533"/>
  </r>
  <r>
    <x v="548"/>
    <x v="1"/>
    <x v="6"/>
    <n v="28"/>
    <n v="8"/>
    <x v="3"/>
    <x v="3"/>
    <s v="cashloan"/>
    <n v="0"/>
  </r>
  <r>
    <x v="548"/>
    <x v="1"/>
    <x v="6"/>
    <n v="28"/>
    <n v="8"/>
    <x v="25"/>
    <x v="2"/>
    <s v="cashloan"/>
    <n v="0"/>
  </r>
  <r>
    <x v="548"/>
    <x v="1"/>
    <x v="6"/>
    <n v="28"/>
    <n v="8"/>
    <x v="24"/>
    <x v="18"/>
    <s v="cashloan"/>
    <n v="3596580000"/>
  </r>
  <r>
    <x v="549"/>
    <x v="1"/>
    <x v="6"/>
    <n v="28"/>
    <n v="9"/>
    <x v="25"/>
    <x v="2"/>
    <s v="cashloan"/>
    <n v="0"/>
  </r>
  <r>
    <x v="549"/>
    <x v="1"/>
    <x v="6"/>
    <n v="28"/>
    <n v="9"/>
    <x v="26"/>
    <x v="16"/>
    <s v="cashloan"/>
    <n v="0"/>
  </r>
  <r>
    <x v="549"/>
    <x v="1"/>
    <x v="6"/>
    <n v="28"/>
    <n v="9"/>
    <x v="20"/>
    <x v="9"/>
    <s v="cashloan"/>
    <n v="0"/>
  </r>
  <r>
    <x v="549"/>
    <x v="1"/>
    <x v="6"/>
    <n v="28"/>
    <n v="9"/>
    <x v="2"/>
    <x v="2"/>
    <s v="cashloan"/>
    <n v="11338750000"/>
  </r>
  <r>
    <x v="549"/>
    <x v="1"/>
    <x v="6"/>
    <n v="28"/>
    <n v="9"/>
    <x v="15"/>
    <x v="14"/>
    <s v="paylater"/>
    <n v="23289970"/>
  </r>
  <r>
    <x v="549"/>
    <x v="1"/>
    <x v="6"/>
    <n v="28"/>
    <n v="9"/>
    <x v="17"/>
    <x v="9"/>
    <s v="cashloan"/>
    <n v="0"/>
  </r>
  <r>
    <x v="549"/>
    <x v="1"/>
    <x v="6"/>
    <n v="28"/>
    <n v="9"/>
    <x v="1"/>
    <x v="1"/>
    <s v="cashloan"/>
    <n v="0"/>
  </r>
  <r>
    <x v="549"/>
    <x v="1"/>
    <x v="6"/>
    <n v="28"/>
    <n v="9"/>
    <x v="6"/>
    <x v="6"/>
    <s v="payday"/>
    <n v="0"/>
  </r>
  <r>
    <x v="549"/>
    <x v="1"/>
    <x v="6"/>
    <n v="28"/>
    <n v="9"/>
    <x v="3"/>
    <x v="3"/>
    <s v="cashloan"/>
    <n v="0"/>
  </r>
  <r>
    <x v="549"/>
    <x v="1"/>
    <x v="6"/>
    <n v="28"/>
    <n v="9"/>
    <x v="18"/>
    <x v="15"/>
    <s v="cashloan"/>
    <n v="468450000"/>
  </r>
  <r>
    <x v="549"/>
    <x v="1"/>
    <x v="6"/>
    <n v="28"/>
    <n v="9"/>
    <x v="0"/>
    <x v="0"/>
    <s v="payday"/>
    <n v="5402268000"/>
  </r>
  <r>
    <x v="549"/>
    <x v="1"/>
    <x v="6"/>
    <n v="28"/>
    <n v="9"/>
    <x v="12"/>
    <x v="11"/>
    <s v="cashloan"/>
    <n v="12436980000"/>
  </r>
  <r>
    <x v="549"/>
    <x v="1"/>
    <x v="6"/>
    <n v="28"/>
    <n v="9"/>
    <x v="24"/>
    <x v="18"/>
    <s v="cashloan"/>
    <n v="4526630000"/>
  </r>
  <r>
    <x v="549"/>
    <x v="1"/>
    <x v="6"/>
    <n v="28"/>
    <n v="9"/>
    <x v="14"/>
    <x v="13"/>
    <s v="cashloan"/>
    <n v="2028600000"/>
  </r>
  <r>
    <x v="549"/>
    <x v="1"/>
    <x v="6"/>
    <n v="28"/>
    <n v="9"/>
    <x v="5"/>
    <x v="5"/>
    <s v="overdraft"/>
    <n v="3938924088"/>
  </r>
  <r>
    <x v="549"/>
    <x v="1"/>
    <x v="6"/>
    <n v="28"/>
    <n v="9"/>
    <x v="7"/>
    <x v="7"/>
    <s v="paylater"/>
    <n v="442851978"/>
  </r>
  <r>
    <x v="549"/>
    <x v="1"/>
    <x v="6"/>
    <n v="28"/>
    <n v="9"/>
    <x v="23"/>
    <x v="17"/>
    <s v="paylater"/>
    <n v="238390000"/>
  </r>
  <r>
    <x v="549"/>
    <x v="1"/>
    <x v="6"/>
    <n v="28"/>
    <n v="9"/>
    <x v="11"/>
    <x v="10"/>
    <s v="paylater"/>
    <n v="326986319"/>
  </r>
  <r>
    <x v="549"/>
    <x v="1"/>
    <x v="6"/>
    <n v="28"/>
    <n v="9"/>
    <x v="19"/>
    <x v="12"/>
    <s v="paylater"/>
    <n v="649685776"/>
  </r>
  <r>
    <x v="550"/>
    <x v="1"/>
    <x v="6"/>
    <n v="28"/>
    <n v="10"/>
    <x v="2"/>
    <x v="2"/>
    <s v="cashloan"/>
    <n v="15525090000"/>
  </r>
  <r>
    <x v="550"/>
    <x v="1"/>
    <x v="6"/>
    <n v="28"/>
    <n v="10"/>
    <x v="14"/>
    <x v="13"/>
    <s v="cashloan"/>
    <n v="2063570000"/>
  </r>
  <r>
    <x v="550"/>
    <x v="1"/>
    <x v="6"/>
    <n v="28"/>
    <n v="10"/>
    <x v="25"/>
    <x v="2"/>
    <s v="cashloan"/>
    <n v="0"/>
  </r>
  <r>
    <x v="550"/>
    <x v="1"/>
    <x v="6"/>
    <n v="28"/>
    <n v="10"/>
    <x v="5"/>
    <x v="5"/>
    <s v="overdraft"/>
    <n v="4898467042"/>
  </r>
  <r>
    <x v="550"/>
    <x v="1"/>
    <x v="6"/>
    <n v="28"/>
    <n v="10"/>
    <x v="26"/>
    <x v="16"/>
    <s v="cashloan"/>
    <n v="10500000"/>
  </r>
  <r>
    <x v="550"/>
    <x v="1"/>
    <x v="6"/>
    <n v="28"/>
    <n v="10"/>
    <x v="15"/>
    <x v="14"/>
    <s v="paylater"/>
    <n v="31962154"/>
  </r>
  <r>
    <x v="550"/>
    <x v="1"/>
    <x v="6"/>
    <n v="28"/>
    <n v="10"/>
    <x v="7"/>
    <x v="7"/>
    <s v="paylater"/>
    <n v="482235632"/>
  </r>
  <r>
    <x v="550"/>
    <x v="1"/>
    <x v="6"/>
    <n v="28"/>
    <n v="10"/>
    <x v="17"/>
    <x v="9"/>
    <s v="cashloan"/>
    <n v="0"/>
  </r>
  <r>
    <x v="550"/>
    <x v="1"/>
    <x v="6"/>
    <n v="28"/>
    <n v="10"/>
    <x v="1"/>
    <x v="1"/>
    <s v="cashloan"/>
    <n v="42000000"/>
  </r>
  <r>
    <x v="550"/>
    <x v="1"/>
    <x v="6"/>
    <n v="28"/>
    <n v="10"/>
    <x v="6"/>
    <x v="6"/>
    <s v="payday"/>
    <n v="57000000"/>
  </r>
  <r>
    <x v="550"/>
    <x v="1"/>
    <x v="6"/>
    <n v="28"/>
    <n v="10"/>
    <x v="3"/>
    <x v="3"/>
    <s v="cashloan"/>
    <n v="0"/>
  </r>
  <r>
    <x v="550"/>
    <x v="1"/>
    <x v="6"/>
    <n v="28"/>
    <n v="10"/>
    <x v="18"/>
    <x v="15"/>
    <s v="cashloan"/>
    <n v="219040000"/>
  </r>
  <r>
    <x v="550"/>
    <x v="1"/>
    <x v="6"/>
    <n v="28"/>
    <n v="10"/>
    <x v="24"/>
    <x v="18"/>
    <s v="cashloan"/>
    <n v="4796530000"/>
  </r>
  <r>
    <x v="550"/>
    <x v="1"/>
    <x v="6"/>
    <n v="28"/>
    <n v="10"/>
    <x v="23"/>
    <x v="17"/>
    <s v="paylater"/>
    <n v="234676000"/>
  </r>
  <r>
    <x v="550"/>
    <x v="1"/>
    <x v="6"/>
    <n v="28"/>
    <n v="10"/>
    <x v="12"/>
    <x v="11"/>
    <s v="cashloan"/>
    <n v="14791080000"/>
  </r>
  <r>
    <x v="550"/>
    <x v="1"/>
    <x v="6"/>
    <n v="28"/>
    <n v="10"/>
    <x v="20"/>
    <x v="9"/>
    <s v="cashloan"/>
    <n v="0"/>
  </r>
  <r>
    <x v="550"/>
    <x v="1"/>
    <x v="6"/>
    <n v="28"/>
    <n v="10"/>
    <x v="11"/>
    <x v="10"/>
    <s v="paylater"/>
    <n v="320298603"/>
  </r>
  <r>
    <x v="550"/>
    <x v="1"/>
    <x v="6"/>
    <n v="28"/>
    <n v="10"/>
    <x v="19"/>
    <x v="12"/>
    <s v="paylater"/>
    <n v="515272320"/>
  </r>
  <r>
    <x v="550"/>
    <x v="1"/>
    <x v="6"/>
    <n v="28"/>
    <n v="10"/>
    <x v="0"/>
    <x v="0"/>
    <s v="payday"/>
    <n v="8205300000"/>
  </r>
  <r>
    <x v="551"/>
    <x v="1"/>
    <x v="6"/>
    <n v="28"/>
    <n v="11"/>
    <x v="12"/>
    <x v="11"/>
    <s v="cashloan"/>
    <n v="13298120000"/>
  </r>
  <r>
    <x v="551"/>
    <x v="1"/>
    <x v="6"/>
    <n v="28"/>
    <n v="11"/>
    <x v="0"/>
    <x v="0"/>
    <s v="payday"/>
    <n v="7437312000"/>
  </r>
  <r>
    <x v="551"/>
    <x v="1"/>
    <x v="6"/>
    <n v="28"/>
    <n v="11"/>
    <x v="7"/>
    <x v="7"/>
    <s v="paylater"/>
    <n v="348027184"/>
  </r>
  <r>
    <x v="551"/>
    <x v="1"/>
    <x v="6"/>
    <n v="28"/>
    <n v="11"/>
    <x v="2"/>
    <x v="2"/>
    <s v="cashloan"/>
    <n v="13300500000"/>
  </r>
  <r>
    <x v="551"/>
    <x v="1"/>
    <x v="6"/>
    <n v="28"/>
    <n v="11"/>
    <x v="5"/>
    <x v="5"/>
    <s v="overdraft"/>
    <n v="4302728522"/>
  </r>
  <r>
    <x v="551"/>
    <x v="1"/>
    <x v="6"/>
    <n v="28"/>
    <n v="11"/>
    <x v="26"/>
    <x v="16"/>
    <s v="cashloan"/>
    <n v="10500000"/>
  </r>
  <r>
    <x v="551"/>
    <x v="1"/>
    <x v="6"/>
    <n v="28"/>
    <n v="11"/>
    <x v="15"/>
    <x v="14"/>
    <s v="paylater"/>
    <n v="11816744"/>
  </r>
  <r>
    <x v="551"/>
    <x v="1"/>
    <x v="6"/>
    <n v="28"/>
    <n v="11"/>
    <x v="20"/>
    <x v="9"/>
    <s v="cashloan"/>
    <n v="0"/>
  </r>
  <r>
    <x v="551"/>
    <x v="1"/>
    <x v="6"/>
    <n v="28"/>
    <n v="11"/>
    <x v="25"/>
    <x v="2"/>
    <s v="cashloan"/>
    <n v="0"/>
  </r>
  <r>
    <x v="551"/>
    <x v="1"/>
    <x v="6"/>
    <n v="28"/>
    <n v="11"/>
    <x v="17"/>
    <x v="9"/>
    <s v="cashloan"/>
    <n v="0"/>
  </r>
  <r>
    <x v="551"/>
    <x v="1"/>
    <x v="6"/>
    <n v="28"/>
    <n v="11"/>
    <x v="1"/>
    <x v="1"/>
    <s v="cashloan"/>
    <n v="0"/>
  </r>
  <r>
    <x v="551"/>
    <x v="1"/>
    <x v="6"/>
    <n v="28"/>
    <n v="11"/>
    <x v="6"/>
    <x v="6"/>
    <s v="payday"/>
    <n v="0"/>
  </r>
  <r>
    <x v="551"/>
    <x v="1"/>
    <x v="6"/>
    <n v="28"/>
    <n v="11"/>
    <x v="3"/>
    <x v="3"/>
    <s v="cashloan"/>
    <n v="0"/>
  </r>
  <r>
    <x v="551"/>
    <x v="1"/>
    <x v="6"/>
    <n v="28"/>
    <n v="11"/>
    <x v="18"/>
    <x v="15"/>
    <s v="cashloan"/>
    <n v="277370000"/>
  </r>
  <r>
    <x v="551"/>
    <x v="1"/>
    <x v="6"/>
    <n v="28"/>
    <n v="11"/>
    <x v="24"/>
    <x v="18"/>
    <s v="cashloan"/>
    <n v="4289370000"/>
  </r>
  <r>
    <x v="551"/>
    <x v="1"/>
    <x v="6"/>
    <n v="28"/>
    <n v="11"/>
    <x v="23"/>
    <x v="17"/>
    <s v="paylater"/>
    <n v="198459000"/>
  </r>
  <r>
    <x v="551"/>
    <x v="1"/>
    <x v="6"/>
    <n v="28"/>
    <n v="11"/>
    <x v="14"/>
    <x v="13"/>
    <s v="cashloan"/>
    <n v="1983460000"/>
  </r>
  <r>
    <x v="551"/>
    <x v="1"/>
    <x v="6"/>
    <n v="28"/>
    <n v="11"/>
    <x v="11"/>
    <x v="10"/>
    <s v="paylater"/>
    <n v="264800449"/>
  </r>
  <r>
    <x v="551"/>
    <x v="1"/>
    <x v="6"/>
    <n v="28"/>
    <n v="11"/>
    <x v="19"/>
    <x v="12"/>
    <s v="paylater"/>
    <n v="455785655"/>
  </r>
  <r>
    <x v="552"/>
    <x v="1"/>
    <x v="6"/>
    <n v="28"/>
    <n v="12"/>
    <x v="25"/>
    <x v="2"/>
    <s v="cashloan"/>
    <n v="0"/>
  </r>
  <r>
    <x v="552"/>
    <x v="1"/>
    <x v="6"/>
    <n v="28"/>
    <n v="12"/>
    <x v="26"/>
    <x v="16"/>
    <s v="cashloan"/>
    <n v="0"/>
  </r>
  <r>
    <x v="552"/>
    <x v="1"/>
    <x v="6"/>
    <n v="28"/>
    <n v="12"/>
    <x v="20"/>
    <x v="9"/>
    <s v="cashloan"/>
    <n v="0"/>
  </r>
  <r>
    <x v="552"/>
    <x v="1"/>
    <x v="6"/>
    <n v="28"/>
    <n v="12"/>
    <x v="17"/>
    <x v="9"/>
    <s v="cashloan"/>
    <n v="0"/>
  </r>
  <r>
    <x v="552"/>
    <x v="1"/>
    <x v="6"/>
    <n v="28"/>
    <n v="12"/>
    <x v="15"/>
    <x v="14"/>
    <s v="paylater"/>
    <n v="13091085"/>
  </r>
  <r>
    <x v="552"/>
    <x v="1"/>
    <x v="6"/>
    <n v="28"/>
    <n v="12"/>
    <x v="1"/>
    <x v="1"/>
    <s v="cashloan"/>
    <n v="0"/>
  </r>
  <r>
    <x v="552"/>
    <x v="1"/>
    <x v="6"/>
    <n v="28"/>
    <n v="12"/>
    <x v="6"/>
    <x v="6"/>
    <s v="payday"/>
    <n v="0"/>
  </r>
  <r>
    <x v="552"/>
    <x v="1"/>
    <x v="6"/>
    <n v="28"/>
    <n v="12"/>
    <x v="3"/>
    <x v="3"/>
    <s v="cashloan"/>
    <n v="0"/>
  </r>
  <r>
    <x v="552"/>
    <x v="1"/>
    <x v="6"/>
    <n v="28"/>
    <n v="12"/>
    <x v="18"/>
    <x v="15"/>
    <s v="cashloan"/>
    <n v="215760000"/>
  </r>
  <r>
    <x v="552"/>
    <x v="1"/>
    <x v="6"/>
    <n v="28"/>
    <n v="12"/>
    <x v="24"/>
    <x v="18"/>
    <s v="cashloan"/>
    <n v="3351880000"/>
  </r>
  <r>
    <x v="552"/>
    <x v="1"/>
    <x v="6"/>
    <n v="28"/>
    <n v="12"/>
    <x v="23"/>
    <x v="17"/>
    <s v="paylater"/>
    <n v="281168550"/>
  </r>
  <r>
    <x v="552"/>
    <x v="1"/>
    <x v="6"/>
    <n v="28"/>
    <n v="12"/>
    <x v="14"/>
    <x v="13"/>
    <s v="cashloan"/>
    <n v="1989280000"/>
  </r>
  <r>
    <x v="552"/>
    <x v="1"/>
    <x v="6"/>
    <n v="28"/>
    <n v="12"/>
    <x v="11"/>
    <x v="10"/>
    <s v="paylater"/>
    <n v="264727749"/>
  </r>
  <r>
    <x v="552"/>
    <x v="1"/>
    <x v="6"/>
    <n v="28"/>
    <n v="12"/>
    <x v="19"/>
    <x v="12"/>
    <s v="paylater"/>
    <n v="368807762"/>
  </r>
  <r>
    <x v="552"/>
    <x v="1"/>
    <x v="6"/>
    <n v="28"/>
    <n v="12"/>
    <x v="5"/>
    <x v="5"/>
    <s v="overdraft"/>
    <n v="3615742715"/>
  </r>
  <r>
    <x v="552"/>
    <x v="1"/>
    <x v="6"/>
    <n v="28"/>
    <n v="12"/>
    <x v="7"/>
    <x v="7"/>
    <s v="paylater"/>
    <n v="339184826"/>
  </r>
  <r>
    <x v="552"/>
    <x v="1"/>
    <x v="6"/>
    <n v="28"/>
    <n v="12"/>
    <x v="12"/>
    <x v="11"/>
    <s v="cashloan"/>
    <n v="10779820000"/>
  </r>
  <r>
    <x v="552"/>
    <x v="1"/>
    <x v="6"/>
    <n v="28"/>
    <n v="12"/>
    <x v="0"/>
    <x v="0"/>
    <s v="payday"/>
    <n v="6733584000"/>
  </r>
  <r>
    <x v="552"/>
    <x v="1"/>
    <x v="6"/>
    <n v="28"/>
    <n v="12"/>
    <x v="2"/>
    <x v="2"/>
    <s v="cashloan"/>
    <n v="12728790000"/>
  </r>
  <r>
    <x v="553"/>
    <x v="1"/>
    <x v="6"/>
    <n v="28"/>
    <n v="13"/>
    <x v="26"/>
    <x v="16"/>
    <s v="cashloan"/>
    <n v="0"/>
  </r>
  <r>
    <x v="553"/>
    <x v="1"/>
    <x v="6"/>
    <n v="28"/>
    <n v="13"/>
    <x v="25"/>
    <x v="2"/>
    <s v="cashloan"/>
    <n v="0"/>
  </r>
  <r>
    <x v="553"/>
    <x v="1"/>
    <x v="6"/>
    <n v="28"/>
    <n v="13"/>
    <x v="20"/>
    <x v="9"/>
    <s v="cashloan"/>
    <n v="0"/>
  </r>
  <r>
    <x v="553"/>
    <x v="1"/>
    <x v="6"/>
    <n v="28"/>
    <n v="13"/>
    <x v="17"/>
    <x v="9"/>
    <s v="cashloan"/>
    <n v="0"/>
  </r>
  <r>
    <x v="553"/>
    <x v="1"/>
    <x v="6"/>
    <n v="28"/>
    <n v="13"/>
    <x v="15"/>
    <x v="14"/>
    <s v="paylater"/>
    <n v="9478505"/>
  </r>
  <r>
    <x v="553"/>
    <x v="1"/>
    <x v="6"/>
    <n v="28"/>
    <n v="13"/>
    <x v="1"/>
    <x v="1"/>
    <s v="cashloan"/>
    <n v="0"/>
  </r>
  <r>
    <x v="553"/>
    <x v="1"/>
    <x v="6"/>
    <n v="28"/>
    <n v="13"/>
    <x v="6"/>
    <x v="6"/>
    <s v="payday"/>
    <n v="0"/>
  </r>
  <r>
    <x v="553"/>
    <x v="1"/>
    <x v="6"/>
    <n v="28"/>
    <n v="13"/>
    <x v="3"/>
    <x v="3"/>
    <s v="cashloan"/>
    <n v="0"/>
  </r>
  <r>
    <x v="553"/>
    <x v="1"/>
    <x v="6"/>
    <n v="28"/>
    <n v="13"/>
    <x v="18"/>
    <x v="15"/>
    <s v="cashloan"/>
    <n v="174360000"/>
  </r>
  <r>
    <x v="553"/>
    <x v="1"/>
    <x v="6"/>
    <n v="28"/>
    <n v="13"/>
    <x v="24"/>
    <x v="18"/>
    <s v="cashloan"/>
    <n v="3415040000"/>
  </r>
  <r>
    <x v="553"/>
    <x v="1"/>
    <x v="6"/>
    <n v="28"/>
    <n v="13"/>
    <x v="11"/>
    <x v="10"/>
    <s v="paylater"/>
    <n v="245233514"/>
  </r>
  <r>
    <x v="553"/>
    <x v="1"/>
    <x v="6"/>
    <n v="28"/>
    <n v="13"/>
    <x v="19"/>
    <x v="12"/>
    <s v="paylater"/>
    <n v="324555815"/>
  </r>
  <r>
    <x v="553"/>
    <x v="1"/>
    <x v="6"/>
    <n v="28"/>
    <n v="13"/>
    <x v="5"/>
    <x v="5"/>
    <s v="overdraft"/>
    <n v="3163132367"/>
  </r>
  <r>
    <x v="553"/>
    <x v="1"/>
    <x v="6"/>
    <n v="28"/>
    <n v="13"/>
    <x v="7"/>
    <x v="7"/>
    <s v="paylater"/>
    <n v="299479528"/>
  </r>
  <r>
    <x v="553"/>
    <x v="1"/>
    <x v="6"/>
    <n v="28"/>
    <n v="13"/>
    <x v="12"/>
    <x v="11"/>
    <s v="cashloan"/>
    <n v="9952030000"/>
  </r>
  <r>
    <x v="553"/>
    <x v="1"/>
    <x v="6"/>
    <n v="28"/>
    <n v="13"/>
    <x v="0"/>
    <x v="0"/>
    <s v="payday"/>
    <n v="6410988000"/>
  </r>
  <r>
    <x v="553"/>
    <x v="1"/>
    <x v="6"/>
    <n v="28"/>
    <n v="13"/>
    <x v="23"/>
    <x v="17"/>
    <s v="paylater"/>
    <n v="218508000"/>
  </r>
  <r>
    <x v="553"/>
    <x v="1"/>
    <x v="6"/>
    <n v="28"/>
    <n v="13"/>
    <x v="14"/>
    <x v="13"/>
    <s v="cashloan"/>
    <n v="2476460000"/>
  </r>
  <r>
    <x v="553"/>
    <x v="1"/>
    <x v="6"/>
    <n v="28"/>
    <n v="13"/>
    <x v="2"/>
    <x v="2"/>
    <s v="cashloan"/>
    <n v="11798300000"/>
  </r>
  <r>
    <x v="554"/>
    <x v="1"/>
    <x v="6"/>
    <n v="29"/>
    <n v="14"/>
    <x v="17"/>
    <x v="9"/>
    <s v="cashloan"/>
    <n v="0"/>
  </r>
  <r>
    <x v="554"/>
    <x v="1"/>
    <x v="6"/>
    <n v="29"/>
    <n v="14"/>
    <x v="2"/>
    <x v="2"/>
    <s v="cashloan"/>
    <n v="13798500000"/>
  </r>
  <r>
    <x v="554"/>
    <x v="1"/>
    <x v="6"/>
    <n v="29"/>
    <n v="14"/>
    <x v="12"/>
    <x v="11"/>
    <s v="cashloan"/>
    <n v="12850480000"/>
  </r>
  <r>
    <x v="554"/>
    <x v="1"/>
    <x v="6"/>
    <n v="29"/>
    <n v="14"/>
    <x v="1"/>
    <x v="1"/>
    <s v="cashloan"/>
    <n v="52500000"/>
  </r>
  <r>
    <x v="554"/>
    <x v="1"/>
    <x v="6"/>
    <n v="29"/>
    <n v="14"/>
    <x v="6"/>
    <x v="6"/>
    <s v="payday"/>
    <n v="58000000"/>
  </r>
  <r>
    <x v="554"/>
    <x v="1"/>
    <x v="6"/>
    <n v="29"/>
    <n v="14"/>
    <x v="7"/>
    <x v="7"/>
    <s v="paylater"/>
    <n v="345279700"/>
  </r>
  <r>
    <x v="554"/>
    <x v="1"/>
    <x v="6"/>
    <n v="29"/>
    <n v="14"/>
    <x v="25"/>
    <x v="2"/>
    <s v="cashloan"/>
    <n v="0"/>
  </r>
  <r>
    <x v="554"/>
    <x v="1"/>
    <x v="6"/>
    <n v="29"/>
    <n v="14"/>
    <x v="26"/>
    <x v="16"/>
    <s v="cashloan"/>
    <n v="12600000"/>
  </r>
  <r>
    <x v="554"/>
    <x v="1"/>
    <x v="6"/>
    <n v="29"/>
    <n v="14"/>
    <x v="15"/>
    <x v="14"/>
    <s v="paylater"/>
    <n v="18483719"/>
  </r>
  <r>
    <x v="554"/>
    <x v="1"/>
    <x v="6"/>
    <n v="29"/>
    <n v="14"/>
    <x v="20"/>
    <x v="9"/>
    <s v="cashloan"/>
    <n v="0"/>
  </r>
  <r>
    <x v="554"/>
    <x v="1"/>
    <x v="6"/>
    <n v="29"/>
    <n v="14"/>
    <x v="0"/>
    <x v="0"/>
    <s v="payday"/>
    <n v="6483996000"/>
  </r>
  <r>
    <x v="554"/>
    <x v="1"/>
    <x v="6"/>
    <n v="29"/>
    <n v="14"/>
    <x v="3"/>
    <x v="3"/>
    <s v="cashloan"/>
    <n v="0"/>
  </r>
  <r>
    <x v="554"/>
    <x v="1"/>
    <x v="6"/>
    <n v="29"/>
    <n v="14"/>
    <x v="18"/>
    <x v="15"/>
    <s v="cashloan"/>
    <n v="152000000"/>
  </r>
  <r>
    <x v="554"/>
    <x v="1"/>
    <x v="6"/>
    <n v="29"/>
    <n v="14"/>
    <x v="24"/>
    <x v="18"/>
    <s v="cashloan"/>
    <n v="4244850000"/>
  </r>
  <r>
    <x v="554"/>
    <x v="1"/>
    <x v="6"/>
    <n v="29"/>
    <n v="14"/>
    <x v="23"/>
    <x v="17"/>
    <s v="paylater"/>
    <n v="179629699"/>
  </r>
  <r>
    <x v="554"/>
    <x v="1"/>
    <x v="6"/>
    <n v="29"/>
    <n v="14"/>
    <x v="14"/>
    <x v="13"/>
    <s v="cashloan"/>
    <n v="2084700000"/>
  </r>
  <r>
    <x v="554"/>
    <x v="1"/>
    <x v="6"/>
    <n v="29"/>
    <n v="14"/>
    <x v="11"/>
    <x v="10"/>
    <s v="paylater"/>
    <n v="252302159"/>
  </r>
  <r>
    <x v="554"/>
    <x v="1"/>
    <x v="6"/>
    <n v="29"/>
    <n v="14"/>
    <x v="19"/>
    <x v="12"/>
    <s v="paylater"/>
    <n v="395416116"/>
  </r>
  <r>
    <x v="554"/>
    <x v="1"/>
    <x v="6"/>
    <n v="29"/>
    <n v="14"/>
    <x v="5"/>
    <x v="5"/>
    <s v="overdraft"/>
    <n v="4001324306"/>
  </r>
  <r>
    <x v="555"/>
    <x v="1"/>
    <x v="6"/>
    <n v="29"/>
    <n v="15"/>
    <x v="6"/>
    <x v="6"/>
    <s v="payday"/>
    <n v="97000000"/>
  </r>
  <r>
    <x v="555"/>
    <x v="1"/>
    <x v="6"/>
    <n v="29"/>
    <n v="15"/>
    <x v="5"/>
    <x v="5"/>
    <s v="overdraft"/>
    <n v="4065693037"/>
  </r>
  <r>
    <x v="555"/>
    <x v="1"/>
    <x v="6"/>
    <n v="29"/>
    <n v="15"/>
    <x v="15"/>
    <x v="14"/>
    <s v="paylater"/>
    <n v="14271099"/>
  </r>
  <r>
    <x v="555"/>
    <x v="1"/>
    <x v="6"/>
    <n v="29"/>
    <n v="15"/>
    <x v="7"/>
    <x v="7"/>
    <s v="paylater"/>
    <n v="317746284"/>
  </r>
  <r>
    <x v="555"/>
    <x v="1"/>
    <x v="6"/>
    <n v="29"/>
    <n v="15"/>
    <x v="25"/>
    <x v="2"/>
    <s v="cashloan"/>
    <n v="0"/>
  </r>
  <r>
    <x v="555"/>
    <x v="1"/>
    <x v="6"/>
    <n v="29"/>
    <n v="15"/>
    <x v="26"/>
    <x v="16"/>
    <s v="cashloan"/>
    <n v="45150000"/>
  </r>
  <r>
    <x v="555"/>
    <x v="1"/>
    <x v="6"/>
    <n v="29"/>
    <n v="15"/>
    <x v="12"/>
    <x v="11"/>
    <s v="cashloan"/>
    <n v="14845900000"/>
  </r>
  <r>
    <x v="555"/>
    <x v="1"/>
    <x v="6"/>
    <n v="29"/>
    <n v="15"/>
    <x v="20"/>
    <x v="9"/>
    <s v="cashloan"/>
    <n v="0"/>
  </r>
  <r>
    <x v="555"/>
    <x v="1"/>
    <x v="6"/>
    <n v="29"/>
    <n v="15"/>
    <x v="17"/>
    <x v="9"/>
    <s v="cashloan"/>
    <n v="0"/>
  </r>
  <r>
    <x v="555"/>
    <x v="1"/>
    <x v="6"/>
    <n v="29"/>
    <n v="15"/>
    <x v="1"/>
    <x v="1"/>
    <s v="cashloan"/>
    <n v="141750000"/>
  </r>
  <r>
    <x v="555"/>
    <x v="1"/>
    <x v="6"/>
    <n v="29"/>
    <n v="15"/>
    <x v="23"/>
    <x v="17"/>
    <s v="paylater"/>
    <n v="190409900"/>
  </r>
  <r>
    <x v="555"/>
    <x v="1"/>
    <x v="6"/>
    <n v="29"/>
    <n v="15"/>
    <x v="3"/>
    <x v="3"/>
    <s v="cashloan"/>
    <n v="21000000"/>
  </r>
  <r>
    <x v="555"/>
    <x v="1"/>
    <x v="6"/>
    <n v="29"/>
    <n v="15"/>
    <x v="18"/>
    <x v="15"/>
    <s v="cashloan"/>
    <n v="486120000"/>
  </r>
  <r>
    <x v="555"/>
    <x v="1"/>
    <x v="6"/>
    <n v="29"/>
    <n v="15"/>
    <x v="24"/>
    <x v="18"/>
    <s v="cashloan"/>
    <n v="2790000000"/>
  </r>
  <r>
    <x v="555"/>
    <x v="1"/>
    <x v="6"/>
    <n v="29"/>
    <n v="15"/>
    <x v="0"/>
    <x v="0"/>
    <s v="payday"/>
    <n v="7408368000"/>
  </r>
  <r>
    <x v="555"/>
    <x v="1"/>
    <x v="6"/>
    <n v="29"/>
    <n v="15"/>
    <x v="14"/>
    <x v="13"/>
    <s v="cashloan"/>
    <n v="1892630000"/>
  </r>
  <r>
    <x v="555"/>
    <x v="1"/>
    <x v="6"/>
    <n v="29"/>
    <n v="15"/>
    <x v="11"/>
    <x v="10"/>
    <s v="paylater"/>
    <n v="226219301"/>
  </r>
  <r>
    <x v="555"/>
    <x v="1"/>
    <x v="6"/>
    <n v="29"/>
    <n v="15"/>
    <x v="19"/>
    <x v="12"/>
    <s v="paylater"/>
    <n v="422564786"/>
  </r>
  <r>
    <x v="555"/>
    <x v="1"/>
    <x v="6"/>
    <n v="29"/>
    <n v="15"/>
    <x v="2"/>
    <x v="2"/>
    <s v="cashloan"/>
    <n v="14402530000"/>
  </r>
  <r>
    <x v="556"/>
    <x v="1"/>
    <x v="6"/>
    <n v="29"/>
    <n v="16"/>
    <x v="26"/>
    <x v="16"/>
    <s v="cashloan"/>
    <n v="58800000"/>
  </r>
  <r>
    <x v="556"/>
    <x v="1"/>
    <x v="6"/>
    <n v="29"/>
    <n v="16"/>
    <x v="0"/>
    <x v="0"/>
    <s v="payday"/>
    <n v="6656256000"/>
  </r>
  <r>
    <x v="556"/>
    <x v="1"/>
    <x v="6"/>
    <n v="29"/>
    <n v="16"/>
    <x v="7"/>
    <x v="7"/>
    <s v="paylater"/>
    <n v="314304262"/>
  </r>
  <r>
    <x v="556"/>
    <x v="1"/>
    <x v="6"/>
    <n v="29"/>
    <n v="16"/>
    <x v="12"/>
    <x v="11"/>
    <s v="cashloan"/>
    <n v="12369430000"/>
  </r>
  <r>
    <x v="556"/>
    <x v="1"/>
    <x v="6"/>
    <n v="29"/>
    <n v="16"/>
    <x v="20"/>
    <x v="9"/>
    <s v="cashloan"/>
    <n v="0"/>
  </r>
  <r>
    <x v="556"/>
    <x v="1"/>
    <x v="6"/>
    <n v="29"/>
    <n v="16"/>
    <x v="17"/>
    <x v="9"/>
    <s v="cashloan"/>
    <n v="0"/>
  </r>
  <r>
    <x v="556"/>
    <x v="1"/>
    <x v="6"/>
    <n v="29"/>
    <n v="16"/>
    <x v="1"/>
    <x v="1"/>
    <s v="cashloan"/>
    <n v="52000000"/>
  </r>
  <r>
    <x v="556"/>
    <x v="1"/>
    <x v="6"/>
    <n v="29"/>
    <n v="16"/>
    <x v="6"/>
    <x v="6"/>
    <s v="payday"/>
    <n v="40000000"/>
  </r>
  <r>
    <x v="556"/>
    <x v="1"/>
    <x v="6"/>
    <n v="29"/>
    <n v="16"/>
    <x v="3"/>
    <x v="3"/>
    <s v="cashloan"/>
    <n v="0"/>
  </r>
  <r>
    <x v="556"/>
    <x v="1"/>
    <x v="6"/>
    <n v="29"/>
    <n v="16"/>
    <x v="18"/>
    <x v="15"/>
    <s v="cashloan"/>
    <n v="494680000"/>
  </r>
  <r>
    <x v="556"/>
    <x v="1"/>
    <x v="6"/>
    <n v="29"/>
    <n v="16"/>
    <x v="24"/>
    <x v="18"/>
    <s v="cashloan"/>
    <n v="2896250000"/>
  </r>
  <r>
    <x v="556"/>
    <x v="1"/>
    <x v="6"/>
    <n v="29"/>
    <n v="16"/>
    <x v="15"/>
    <x v="14"/>
    <s v="paylater"/>
    <n v="7818253"/>
  </r>
  <r>
    <x v="556"/>
    <x v="1"/>
    <x v="6"/>
    <n v="29"/>
    <n v="16"/>
    <x v="23"/>
    <x v="17"/>
    <s v="paylater"/>
    <n v="174837000"/>
  </r>
  <r>
    <x v="556"/>
    <x v="1"/>
    <x v="6"/>
    <n v="29"/>
    <n v="16"/>
    <x v="14"/>
    <x v="13"/>
    <s v="cashloan"/>
    <n v="1914220000"/>
  </r>
  <r>
    <x v="556"/>
    <x v="1"/>
    <x v="6"/>
    <n v="29"/>
    <n v="16"/>
    <x v="11"/>
    <x v="10"/>
    <s v="paylater"/>
    <n v="201310089"/>
  </r>
  <r>
    <x v="556"/>
    <x v="1"/>
    <x v="6"/>
    <n v="29"/>
    <n v="16"/>
    <x v="19"/>
    <x v="12"/>
    <s v="paylater"/>
    <n v="377881671"/>
  </r>
  <r>
    <x v="556"/>
    <x v="1"/>
    <x v="6"/>
    <n v="29"/>
    <n v="16"/>
    <x v="5"/>
    <x v="5"/>
    <s v="overdraft"/>
    <n v="3587457734"/>
  </r>
  <r>
    <x v="556"/>
    <x v="1"/>
    <x v="6"/>
    <n v="29"/>
    <n v="16"/>
    <x v="2"/>
    <x v="2"/>
    <s v="cashloan"/>
    <n v="13921780000"/>
  </r>
  <r>
    <x v="556"/>
    <x v="1"/>
    <x v="6"/>
    <n v="29"/>
    <n v="16"/>
    <x v="25"/>
    <x v="2"/>
    <s v="cashloan"/>
    <n v="0"/>
  </r>
  <r>
    <x v="557"/>
    <x v="1"/>
    <x v="6"/>
    <n v="29"/>
    <n v="17"/>
    <x v="1"/>
    <x v="1"/>
    <s v="cashloan"/>
    <n v="10500000"/>
  </r>
  <r>
    <x v="557"/>
    <x v="1"/>
    <x v="6"/>
    <n v="29"/>
    <n v="17"/>
    <x v="0"/>
    <x v="0"/>
    <s v="payday"/>
    <n v="6197040000"/>
  </r>
  <r>
    <x v="557"/>
    <x v="1"/>
    <x v="6"/>
    <n v="29"/>
    <n v="17"/>
    <x v="2"/>
    <x v="2"/>
    <s v="cashloan"/>
    <n v="12450250000"/>
  </r>
  <r>
    <x v="557"/>
    <x v="1"/>
    <x v="6"/>
    <n v="29"/>
    <n v="17"/>
    <x v="15"/>
    <x v="14"/>
    <s v="paylater"/>
    <n v="14620103"/>
  </r>
  <r>
    <x v="557"/>
    <x v="1"/>
    <x v="6"/>
    <n v="29"/>
    <n v="17"/>
    <x v="7"/>
    <x v="7"/>
    <s v="paylater"/>
    <n v="279097273"/>
  </r>
  <r>
    <x v="557"/>
    <x v="1"/>
    <x v="6"/>
    <n v="29"/>
    <n v="17"/>
    <x v="25"/>
    <x v="2"/>
    <s v="cashloan"/>
    <n v="0"/>
  </r>
  <r>
    <x v="557"/>
    <x v="1"/>
    <x v="6"/>
    <n v="29"/>
    <n v="17"/>
    <x v="12"/>
    <x v="11"/>
    <s v="cashloan"/>
    <n v="11799950000"/>
  </r>
  <r>
    <x v="557"/>
    <x v="1"/>
    <x v="6"/>
    <n v="29"/>
    <n v="17"/>
    <x v="20"/>
    <x v="9"/>
    <s v="cashloan"/>
    <n v="0"/>
  </r>
  <r>
    <x v="557"/>
    <x v="1"/>
    <x v="6"/>
    <n v="29"/>
    <n v="17"/>
    <x v="17"/>
    <x v="9"/>
    <s v="cashloan"/>
    <n v="0"/>
  </r>
  <r>
    <x v="557"/>
    <x v="1"/>
    <x v="6"/>
    <n v="29"/>
    <n v="17"/>
    <x v="26"/>
    <x v="16"/>
    <s v="cashloan"/>
    <n v="0"/>
  </r>
  <r>
    <x v="557"/>
    <x v="1"/>
    <x v="6"/>
    <n v="29"/>
    <n v="17"/>
    <x v="6"/>
    <x v="6"/>
    <s v="payday"/>
    <n v="35000000"/>
  </r>
  <r>
    <x v="557"/>
    <x v="1"/>
    <x v="6"/>
    <n v="29"/>
    <n v="17"/>
    <x v="3"/>
    <x v="3"/>
    <s v="cashloan"/>
    <n v="0"/>
  </r>
  <r>
    <x v="557"/>
    <x v="1"/>
    <x v="6"/>
    <n v="29"/>
    <n v="17"/>
    <x v="18"/>
    <x v="15"/>
    <s v="cashloan"/>
    <n v="371860000"/>
  </r>
  <r>
    <x v="557"/>
    <x v="1"/>
    <x v="6"/>
    <n v="29"/>
    <n v="17"/>
    <x v="24"/>
    <x v="18"/>
    <s v="cashloan"/>
    <n v="2560660000"/>
  </r>
  <r>
    <x v="557"/>
    <x v="1"/>
    <x v="6"/>
    <n v="29"/>
    <n v="17"/>
    <x v="23"/>
    <x v="17"/>
    <s v="paylater"/>
    <n v="201963000"/>
  </r>
  <r>
    <x v="557"/>
    <x v="1"/>
    <x v="6"/>
    <n v="29"/>
    <n v="17"/>
    <x v="14"/>
    <x v="13"/>
    <s v="cashloan"/>
    <n v="1648900000"/>
  </r>
  <r>
    <x v="557"/>
    <x v="1"/>
    <x v="6"/>
    <n v="29"/>
    <n v="17"/>
    <x v="11"/>
    <x v="10"/>
    <s v="paylater"/>
    <n v="215171511"/>
  </r>
  <r>
    <x v="557"/>
    <x v="1"/>
    <x v="6"/>
    <n v="29"/>
    <n v="17"/>
    <x v="19"/>
    <x v="12"/>
    <s v="paylater"/>
    <n v="298633018"/>
  </r>
  <r>
    <x v="557"/>
    <x v="1"/>
    <x v="6"/>
    <n v="29"/>
    <n v="17"/>
    <x v="5"/>
    <x v="5"/>
    <s v="overdraft"/>
    <n v="3233837883"/>
  </r>
  <r>
    <x v="558"/>
    <x v="1"/>
    <x v="6"/>
    <n v="29"/>
    <n v="18"/>
    <x v="18"/>
    <x v="15"/>
    <s v="cashloan"/>
    <n v="462830000"/>
  </r>
  <r>
    <x v="558"/>
    <x v="1"/>
    <x v="6"/>
    <n v="29"/>
    <n v="18"/>
    <x v="24"/>
    <x v="18"/>
    <s v="cashloan"/>
    <n v="2556130000"/>
  </r>
  <r>
    <x v="558"/>
    <x v="1"/>
    <x v="6"/>
    <n v="29"/>
    <n v="18"/>
    <x v="3"/>
    <x v="3"/>
    <s v="cashloan"/>
    <n v="0"/>
  </r>
  <r>
    <x v="558"/>
    <x v="1"/>
    <x v="6"/>
    <n v="29"/>
    <n v="18"/>
    <x v="7"/>
    <x v="7"/>
    <s v="paylater"/>
    <n v="275416293"/>
  </r>
  <r>
    <x v="558"/>
    <x v="1"/>
    <x v="6"/>
    <n v="29"/>
    <n v="18"/>
    <x v="1"/>
    <x v="1"/>
    <s v="cashloan"/>
    <n v="83500000"/>
  </r>
  <r>
    <x v="558"/>
    <x v="1"/>
    <x v="6"/>
    <n v="29"/>
    <n v="18"/>
    <x v="6"/>
    <x v="6"/>
    <s v="payday"/>
    <n v="29000000"/>
  </r>
  <r>
    <x v="558"/>
    <x v="1"/>
    <x v="6"/>
    <n v="29"/>
    <n v="18"/>
    <x v="19"/>
    <x v="12"/>
    <s v="paylater"/>
    <n v="269916864"/>
  </r>
  <r>
    <x v="558"/>
    <x v="1"/>
    <x v="6"/>
    <n v="29"/>
    <n v="18"/>
    <x v="25"/>
    <x v="2"/>
    <s v="cashloan"/>
    <n v="0"/>
  </r>
  <r>
    <x v="558"/>
    <x v="1"/>
    <x v="6"/>
    <n v="29"/>
    <n v="18"/>
    <x v="14"/>
    <x v="13"/>
    <s v="cashloan"/>
    <n v="2077120000"/>
  </r>
  <r>
    <x v="558"/>
    <x v="1"/>
    <x v="6"/>
    <n v="29"/>
    <n v="18"/>
    <x v="23"/>
    <x v="17"/>
    <s v="paylater"/>
    <n v="210605000"/>
  </r>
  <r>
    <x v="558"/>
    <x v="1"/>
    <x v="6"/>
    <n v="29"/>
    <n v="18"/>
    <x v="5"/>
    <x v="5"/>
    <s v="overdraft"/>
    <n v="3398337065"/>
  </r>
  <r>
    <x v="558"/>
    <x v="1"/>
    <x v="6"/>
    <n v="29"/>
    <n v="18"/>
    <x v="11"/>
    <x v="10"/>
    <s v="paylater"/>
    <n v="228610191"/>
  </r>
  <r>
    <x v="558"/>
    <x v="1"/>
    <x v="6"/>
    <n v="29"/>
    <n v="18"/>
    <x v="12"/>
    <x v="11"/>
    <s v="cashloan"/>
    <n v="11651060000"/>
  </r>
  <r>
    <x v="558"/>
    <x v="1"/>
    <x v="6"/>
    <n v="29"/>
    <n v="18"/>
    <x v="0"/>
    <x v="0"/>
    <s v="payday"/>
    <n v="5614164000"/>
  </r>
  <r>
    <x v="558"/>
    <x v="1"/>
    <x v="6"/>
    <n v="29"/>
    <n v="18"/>
    <x v="26"/>
    <x v="16"/>
    <s v="cashloan"/>
    <n v="20500000"/>
  </r>
  <r>
    <x v="558"/>
    <x v="1"/>
    <x v="6"/>
    <n v="29"/>
    <n v="18"/>
    <x v="2"/>
    <x v="2"/>
    <s v="cashloan"/>
    <n v="11388760000"/>
  </r>
  <r>
    <x v="558"/>
    <x v="1"/>
    <x v="6"/>
    <n v="29"/>
    <n v="18"/>
    <x v="15"/>
    <x v="14"/>
    <s v="paylater"/>
    <n v="24013523"/>
  </r>
  <r>
    <x v="558"/>
    <x v="1"/>
    <x v="6"/>
    <n v="29"/>
    <n v="18"/>
    <x v="20"/>
    <x v="9"/>
    <s v="cashloan"/>
    <n v="0"/>
  </r>
  <r>
    <x v="558"/>
    <x v="1"/>
    <x v="6"/>
    <n v="29"/>
    <n v="18"/>
    <x v="17"/>
    <x v="9"/>
    <s v="cashloan"/>
    <n v="0"/>
  </r>
  <r>
    <x v="559"/>
    <x v="1"/>
    <x v="6"/>
    <n v="29"/>
    <n v="19"/>
    <x v="26"/>
    <x v="16"/>
    <s v="cashloan"/>
    <n v="0"/>
  </r>
  <r>
    <x v="559"/>
    <x v="1"/>
    <x v="6"/>
    <n v="29"/>
    <n v="19"/>
    <x v="11"/>
    <x v="10"/>
    <s v="paylater"/>
    <n v="210759047"/>
  </r>
  <r>
    <x v="559"/>
    <x v="1"/>
    <x v="6"/>
    <n v="29"/>
    <n v="19"/>
    <x v="1"/>
    <x v="1"/>
    <s v="cashloan"/>
    <n v="41000000"/>
  </r>
  <r>
    <x v="559"/>
    <x v="1"/>
    <x v="6"/>
    <n v="29"/>
    <n v="19"/>
    <x v="19"/>
    <x v="12"/>
    <s v="paylater"/>
    <n v="325335466"/>
  </r>
  <r>
    <x v="559"/>
    <x v="1"/>
    <x v="6"/>
    <n v="29"/>
    <n v="19"/>
    <x v="20"/>
    <x v="9"/>
    <s v="cashloan"/>
    <n v="0"/>
  </r>
  <r>
    <x v="559"/>
    <x v="1"/>
    <x v="6"/>
    <n v="29"/>
    <n v="19"/>
    <x v="17"/>
    <x v="9"/>
    <s v="cashloan"/>
    <n v="0"/>
  </r>
  <r>
    <x v="559"/>
    <x v="1"/>
    <x v="6"/>
    <n v="29"/>
    <n v="19"/>
    <x v="25"/>
    <x v="2"/>
    <s v="cashloan"/>
    <n v="0"/>
  </r>
  <r>
    <x v="559"/>
    <x v="1"/>
    <x v="6"/>
    <n v="29"/>
    <n v="19"/>
    <x v="14"/>
    <x v="13"/>
    <s v="cashloan"/>
    <n v="1660720000"/>
  </r>
  <r>
    <x v="559"/>
    <x v="1"/>
    <x v="6"/>
    <n v="29"/>
    <n v="19"/>
    <x v="6"/>
    <x v="6"/>
    <s v="payday"/>
    <n v="29000000"/>
  </r>
  <r>
    <x v="559"/>
    <x v="1"/>
    <x v="6"/>
    <n v="29"/>
    <n v="19"/>
    <x v="3"/>
    <x v="3"/>
    <s v="cashloan"/>
    <n v="0"/>
  </r>
  <r>
    <x v="559"/>
    <x v="1"/>
    <x v="6"/>
    <n v="29"/>
    <n v="19"/>
    <x v="18"/>
    <x v="15"/>
    <s v="cashloan"/>
    <n v="443000000"/>
  </r>
  <r>
    <x v="559"/>
    <x v="1"/>
    <x v="6"/>
    <n v="29"/>
    <n v="19"/>
    <x v="24"/>
    <x v="18"/>
    <s v="cashloan"/>
    <n v="1699370000"/>
  </r>
  <r>
    <x v="559"/>
    <x v="1"/>
    <x v="6"/>
    <n v="29"/>
    <n v="19"/>
    <x v="23"/>
    <x v="17"/>
    <s v="paylater"/>
    <n v="178478000"/>
  </r>
  <r>
    <x v="559"/>
    <x v="1"/>
    <x v="6"/>
    <n v="29"/>
    <n v="19"/>
    <x v="15"/>
    <x v="14"/>
    <s v="paylater"/>
    <n v="8499428"/>
  </r>
  <r>
    <x v="559"/>
    <x v="1"/>
    <x v="6"/>
    <n v="29"/>
    <n v="19"/>
    <x v="5"/>
    <x v="5"/>
    <s v="overdraft"/>
    <n v="3391048053"/>
  </r>
  <r>
    <x v="559"/>
    <x v="1"/>
    <x v="6"/>
    <n v="29"/>
    <n v="19"/>
    <x v="7"/>
    <x v="7"/>
    <s v="paylater"/>
    <n v="237155085"/>
  </r>
  <r>
    <x v="559"/>
    <x v="1"/>
    <x v="6"/>
    <n v="29"/>
    <n v="19"/>
    <x v="2"/>
    <x v="2"/>
    <s v="cashloan"/>
    <n v="10927200000"/>
  </r>
  <r>
    <x v="559"/>
    <x v="1"/>
    <x v="6"/>
    <n v="29"/>
    <n v="19"/>
    <x v="12"/>
    <x v="11"/>
    <s v="cashloan"/>
    <n v="10805770000"/>
  </r>
  <r>
    <x v="559"/>
    <x v="1"/>
    <x v="6"/>
    <n v="29"/>
    <n v="19"/>
    <x v="0"/>
    <x v="0"/>
    <s v="payday"/>
    <n v="5683284000"/>
  </r>
  <r>
    <x v="560"/>
    <x v="1"/>
    <x v="6"/>
    <n v="29"/>
    <n v="20"/>
    <x v="25"/>
    <x v="2"/>
    <s v="cashloan"/>
    <n v="0"/>
  </r>
  <r>
    <x v="560"/>
    <x v="1"/>
    <x v="6"/>
    <n v="29"/>
    <n v="20"/>
    <x v="26"/>
    <x v="16"/>
    <s v="cashloan"/>
    <n v="0"/>
  </r>
  <r>
    <x v="560"/>
    <x v="1"/>
    <x v="6"/>
    <n v="29"/>
    <n v="20"/>
    <x v="0"/>
    <x v="0"/>
    <s v="payday"/>
    <n v="5211432000"/>
  </r>
  <r>
    <x v="560"/>
    <x v="1"/>
    <x v="6"/>
    <n v="29"/>
    <n v="20"/>
    <x v="20"/>
    <x v="9"/>
    <s v="cashloan"/>
    <n v="0"/>
  </r>
  <r>
    <x v="560"/>
    <x v="1"/>
    <x v="6"/>
    <n v="29"/>
    <n v="20"/>
    <x v="17"/>
    <x v="9"/>
    <s v="cashloan"/>
    <n v="0"/>
  </r>
  <r>
    <x v="560"/>
    <x v="1"/>
    <x v="6"/>
    <n v="29"/>
    <n v="20"/>
    <x v="1"/>
    <x v="1"/>
    <s v="cashloan"/>
    <n v="0"/>
  </r>
  <r>
    <x v="560"/>
    <x v="1"/>
    <x v="6"/>
    <n v="29"/>
    <n v="20"/>
    <x v="6"/>
    <x v="6"/>
    <s v="payday"/>
    <n v="40000000"/>
  </r>
  <r>
    <x v="560"/>
    <x v="1"/>
    <x v="6"/>
    <n v="29"/>
    <n v="20"/>
    <x v="3"/>
    <x v="3"/>
    <s v="cashloan"/>
    <n v="0"/>
  </r>
  <r>
    <x v="560"/>
    <x v="1"/>
    <x v="6"/>
    <n v="29"/>
    <n v="20"/>
    <x v="18"/>
    <x v="15"/>
    <s v="cashloan"/>
    <n v="518840000"/>
  </r>
  <r>
    <x v="560"/>
    <x v="1"/>
    <x v="6"/>
    <n v="29"/>
    <n v="20"/>
    <x v="24"/>
    <x v="18"/>
    <s v="cashloan"/>
    <n v="1435900000"/>
  </r>
  <r>
    <x v="560"/>
    <x v="1"/>
    <x v="6"/>
    <n v="29"/>
    <n v="20"/>
    <x v="15"/>
    <x v="14"/>
    <s v="paylater"/>
    <n v="23032937"/>
  </r>
  <r>
    <x v="560"/>
    <x v="1"/>
    <x v="6"/>
    <n v="29"/>
    <n v="20"/>
    <x v="23"/>
    <x v="17"/>
    <s v="paylater"/>
    <n v="218611699"/>
  </r>
  <r>
    <x v="560"/>
    <x v="1"/>
    <x v="6"/>
    <n v="29"/>
    <n v="20"/>
    <x v="14"/>
    <x v="13"/>
    <s v="cashloan"/>
    <n v="1826950000"/>
  </r>
  <r>
    <x v="560"/>
    <x v="1"/>
    <x v="6"/>
    <n v="29"/>
    <n v="20"/>
    <x v="11"/>
    <x v="10"/>
    <s v="paylater"/>
    <n v="261575597"/>
  </r>
  <r>
    <x v="560"/>
    <x v="1"/>
    <x v="6"/>
    <n v="29"/>
    <n v="20"/>
    <x v="19"/>
    <x v="12"/>
    <s v="paylater"/>
    <n v="265068127"/>
  </r>
  <r>
    <x v="560"/>
    <x v="1"/>
    <x v="6"/>
    <n v="29"/>
    <n v="20"/>
    <x v="5"/>
    <x v="5"/>
    <s v="overdraft"/>
    <n v="3240751987"/>
  </r>
  <r>
    <x v="560"/>
    <x v="1"/>
    <x v="6"/>
    <n v="29"/>
    <n v="20"/>
    <x v="7"/>
    <x v="7"/>
    <s v="paylater"/>
    <n v="263308286"/>
  </r>
  <r>
    <x v="560"/>
    <x v="1"/>
    <x v="6"/>
    <n v="29"/>
    <n v="20"/>
    <x v="2"/>
    <x v="2"/>
    <s v="cashloan"/>
    <n v="10704760000"/>
  </r>
  <r>
    <x v="560"/>
    <x v="1"/>
    <x v="6"/>
    <n v="29"/>
    <n v="20"/>
    <x v="12"/>
    <x v="11"/>
    <s v="cashloan"/>
    <n v="9998040000"/>
  </r>
  <r>
    <x v="561"/>
    <x v="1"/>
    <x v="6"/>
    <n v="30"/>
    <n v="21"/>
    <x v="0"/>
    <x v="0"/>
    <s v="payday"/>
    <n v="5769036000"/>
  </r>
  <r>
    <x v="561"/>
    <x v="1"/>
    <x v="6"/>
    <n v="30"/>
    <n v="21"/>
    <x v="25"/>
    <x v="2"/>
    <s v="cashloan"/>
    <n v="0"/>
  </r>
  <r>
    <x v="561"/>
    <x v="1"/>
    <x v="6"/>
    <n v="30"/>
    <n v="21"/>
    <x v="27"/>
    <x v="19"/>
    <s v="payday"/>
    <n v="22680000"/>
  </r>
  <r>
    <x v="561"/>
    <x v="1"/>
    <x v="6"/>
    <n v="30"/>
    <n v="21"/>
    <x v="2"/>
    <x v="2"/>
    <s v="cashloan"/>
    <n v="12003070000"/>
  </r>
  <r>
    <x v="561"/>
    <x v="1"/>
    <x v="6"/>
    <n v="30"/>
    <n v="21"/>
    <x v="20"/>
    <x v="9"/>
    <s v="cashloan"/>
    <n v="0"/>
  </r>
  <r>
    <x v="561"/>
    <x v="1"/>
    <x v="6"/>
    <n v="30"/>
    <n v="21"/>
    <x v="26"/>
    <x v="16"/>
    <s v="cashloan"/>
    <n v="10500000"/>
  </r>
  <r>
    <x v="561"/>
    <x v="1"/>
    <x v="6"/>
    <n v="30"/>
    <n v="21"/>
    <x v="1"/>
    <x v="1"/>
    <s v="cashloan"/>
    <n v="20500000"/>
  </r>
  <r>
    <x v="561"/>
    <x v="1"/>
    <x v="6"/>
    <n v="30"/>
    <n v="21"/>
    <x v="15"/>
    <x v="14"/>
    <s v="paylater"/>
    <n v="35072214"/>
  </r>
  <r>
    <x v="561"/>
    <x v="1"/>
    <x v="6"/>
    <n v="30"/>
    <n v="21"/>
    <x v="6"/>
    <x v="6"/>
    <s v="payday"/>
    <n v="37000000"/>
  </r>
  <r>
    <x v="561"/>
    <x v="1"/>
    <x v="6"/>
    <n v="30"/>
    <n v="21"/>
    <x v="3"/>
    <x v="3"/>
    <s v="cashloan"/>
    <n v="0"/>
  </r>
  <r>
    <x v="561"/>
    <x v="1"/>
    <x v="6"/>
    <n v="30"/>
    <n v="21"/>
    <x v="18"/>
    <x v="15"/>
    <s v="cashloan"/>
    <n v="615480000"/>
  </r>
  <r>
    <x v="561"/>
    <x v="1"/>
    <x v="6"/>
    <n v="30"/>
    <n v="21"/>
    <x v="24"/>
    <x v="18"/>
    <s v="cashloan"/>
    <n v="2429990000"/>
  </r>
  <r>
    <x v="561"/>
    <x v="1"/>
    <x v="6"/>
    <n v="30"/>
    <n v="21"/>
    <x v="14"/>
    <x v="13"/>
    <s v="cashloan"/>
    <n v="1785400000"/>
  </r>
  <r>
    <x v="561"/>
    <x v="1"/>
    <x v="6"/>
    <n v="30"/>
    <n v="21"/>
    <x v="11"/>
    <x v="10"/>
    <s v="paylater"/>
    <n v="243586676"/>
  </r>
  <r>
    <x v="561"/>
    <x v="1"/>
    <x v="6"/>
    <n v="30"/>
    <n v="21"/>
    <x v="19"/>
    <x v="12"/>
    <s v="paylater"/>
    <n v="402075056"/>
  </r>
  <r>
    <x v="561"/>
    <x v="1"/>
    <x v="6"/>
    <n v="30"/>
    <n v="21"/>
    <x v="23"/>
    <x v="17"/>
    <s v="paylater"/>
    <n v="227986000"/>
  </r>
  <r>
    <x v="561"/>
    <x v="1"/>
    <x v="6"/>
    <n v="30"/>
    <n v="21"/>
    <x v="5"/>
    <x v="5"/>
    <s v="overdraft"/>
    <n v="3546645448"/>
  </r>
  <r>
    <x v="561"/>
    <x v="1"/>
    <x v="6"/>
    <n v="30"/>
    <n v="21"/>
    <x v="7"/>
    <x v="7"/>
    <s v="paylater"/>
    <n v="306959319"/>
  </r>
  <r>
    <x v="561"/>
    <x v="1"/>
    <x v="6"/>
    <n v="30"/>
    <n v="21"/>
    <x v="12"/>
    <x v="11"/>
    <s v="cashloan"/>
    <n v="12575310000"/>
  </r>
  <r>
    <x v="562"/>
    <x v="1"/>
    <x v="6"/>
    <n v="30"/>
    <n v="22"/>
    <x v="3"/>
    <x v="3"/>
    <s v="cashloan"/>
    <n v="0"/>
  </r>
  <r>
    <x v="562"/>
    <x v="1"/>
    <x v="6"/>
    <n v="30"/>
    <n v="22"/>
    <x v="23"/>
    <x v="17"/>
    <s v="paylater"/>
    <n v="160234000"/>
  </r>
  <r>
    <x v="562"/>
    <x v="1"/>
    <x v="6"/>
    <n v="30"/>
    <n v="22"/>
    <x v="18"/>
    <x v="15"/>
    <s v="cashloan"/>
    <n v="381180000"/>
  </r>
  <r>
    <x v="562"/>
    <x v="1"/>
    <x v="6"/>
    <n v="30"/>
    <n v="22"/>
    <x v="24"/>
    <x v="18"/>
    <s v="cashloan"/>
    <n v="1676930000"/>
  </r>
  <r>
    <x v="562"/>
    <x v="1"/>
    <x v="6"/>
    <n v="30"/>
    <n v="22"/>
    <x v="2"/>
    <x v="2"/>
    <s v="cashloan"/>
    <n v="12204680000"/>
  </r>
  <r>
    <x v="562"/>
    <x v="1"/>
    <x v="6"/>
    <n v="30"/>
    <n v="22"/>
    <x v="5"/>
    <x v="5"/>
    <s v="overdraft"/>
    <n v="2928107322"/>
  </r>
  <r>
    <x v="562"/>
    <x v="1"/>
    <x v="6"/>
    <n v="30"/>
    <n v="22"/>
    <x v="14"/>
    <x v="13"/>
    <s v="cashloan"/>
    <n v="1226460000"/>
  </r>
  <r>
    <x v="562"/>
    <x v="1"/>
    <x v="6"/>
    <n v="30"/>
    <n v="22"/>
    <x v="12"/>
    <x v="11"/>
    <s v="cashloan"/>
    <n v="13274490000"/>
  </r>
  <r>
    <x v="562"/>
    <x v="1"/>
    <x v="6"/>
    <n v="30"/>
    <n v="22"/>
    <x v="0"/>
    <x v="0"/>
    <s v="payday"/>
    <n v="5577336000"/>
  </r>
  <r>
    <x v="562"/>
    <x v="1"/>
    <x v="6"/>
    <n v="30"/>
    <n v="22"/>
    <x v="27"/>
    <x v="19"/>
    <s v="payday"/>
    <n v="5771520000"/>
  </r>
  <r>
    <x v="562"/>
    <x v="1"/>
    <x v="6"/>
    <n v="30"/>
    <n v="22"/>
    <x v="11"/>
    <x v="10"/>
    <s v="paylater"/>
    <n v="225226483"/>
  </r>
  <r>
    <x v="562"/>
    <x v="1"/>
    <x v="6"/>
    <n v="30"/>
    <n v="22"/>
    <x v="19"/>
    <x v="12"/>
    <s v="paylater"/>
    <n v="361990371"/>
  </r>
  <r>
    <x v="562"/>
    <x v="1"/>
    <x v="6"/>
    <n v="30"/>
    <n v="22"/>
    <x v="7"/>
    <x v="7"/>
    <s v="paylater"/>
    <n v="267185950"/>
  </r>
  <r>
    <x v="562"/>
    <x v="1"/>
    <x v="6"/>
    <n v="30"/>
    <n v="22"/>
    <x v="25"/>
    <x v="2"/>
    <s v="cashloan"/>
    <n v="0"/>
  </r>
  <r>
    <x v="562"/>
    <x v="1"/>
    <x v="6"/>
    <n v="30"/>
    <n v="22"/>
    <x v="26"/>
    <x v="16"/>
    <s v="cashloan"/>
    <n v="44100000"/>
  </r>
  <r>
    <x v="562"/>
    <x v="1"/>
    <x v="6"/>
    <n v="30"/>
    <n v="22"/>
    <x v="15"/>
    <x v="14"/>
    <s v="paylater"/>
    <n v="21034164"/>
  </r>
  <r>
    <x v="562"/>
    <x v="1"/>
    <x v="6"/>
    <n v="30"/>
    <n v="22"/>
    <x v="20"/>
    <x v="9"/>
    <s v="cashloan"/>
    <n v="0"/>
  </r>
  <r>
    <x v="562"/>
    <x v="1"/>
    <x v="6"/>
    <n v="30"/>
    <n v="22"/>
    <x v="1"/>
    <x v="1"/>
    <s v="cashloan"/>
    <n v="26250000"/>
  </r>
  <r>
    <x v="562"/>
    <x v="1"/>
    <x v="6"/>
    <n v="30"/>
    <n v="22"/>
    <x v="6"/>
    <x v="6"/>
    <s v="payday"/>
    <n v="20000000"/>
  </r>
  <r>
    <x v="563"/>
    <x v="1"/>
    <x v="6"/>
    <n v="30"/>
    <n v="23"/>
    <x v="7"/>
    <x v="7"/>
    <s v="paylater"/>
    <n v="290867470"/>
  </r>
  <r>
    <x v="563"/>
    <x v="1"/>
    <x v="6"/>
    <n v="30"/>
    <n v="23"/>
    <x v="12"/>
    <x v="11"/>
    <s v="cashloan"/>
    <n v="12894440000"/>
  </r>
  <r>
    <x v="563"/>
    <x v="1"/>
    <x v="6"/>
    <n v="30"/>
    <n v="23"/>
    <x v="18"/>
    <x v="15"/>
    <s v="cashloan"/>
    <n v="330710000"/>
  </r>
  <r>
    <x v="563"/>
    <x v="1"/>
    <x v="6"/>
    <n v="30"/>
    <n v="23"/>
    <x v="0"/>
    <x v="0"/>
    <s v="payday"/>
    <n v="5456808000"/>
  </r>
  <r>
    <x v="563"/>
    <x v="1"/>
    <x v="6"/>
    <n v="30"/>
    <n v="23"/>
    <x v="3"/>
    <x v="3"/>
    <s v="cashloan"/>
    <n v="0"/>
  </r>
  <r>
    <x v="563"/>
    <x v="1"/>
    <x v="6"/>
    <n v="30"/>
    <n v="23"/>
    <x v="2"/>
    <x v="2"/>
    <s v="cashloan"/>
    <n v="12774840000"/>
  </r>
  <r>
    <x v="563"/>
    <x v="1"/>
    <x v="6"/>
    <n v="30"/>
    <n v="23"/>
    <x v="15"/>
    <x v="14"/>
    <s v="paylater"/>
    <n v="26940378"/>
  </r>
  <r>
    <x v="563"/>
    <x v="1"/>
    <x v="6"/>
    <n v="30"/>
    <n v="23"/>
    <x v="20"/>
    <x v="9"/>
    <s v="cashloan"/>
    <n v="0"/>
  </r>
  <r>
    <x v="563"/>
    <x v="1"/>
    <x v="6"/>
    <n v="30"/>
    <n v="23"/>
    <x v="1"/>
    <x v="1"/>
    <s v="cashloan"/>
    <n v="20500000"/>
  </r>
  <r>
    <x v="563"/>
    <x v="1"/>
    <x v="6"/>
    <n v="30"/>
    <n v="23"/>
    <x v="6"/>
    <x v="6"/>
    <s v="payday"/>
    <n v="34000000"/>
  </r>
  <r>
    <x v="563"/>
    <x v="1"/>
    <x v="6"/>
    <n v="30"/>
    <n v="23"/>
    <x v="27"/>
    <x v="19"/>
    <s v="payday"/>
    <n v="9132480000"/>
  </r>
  <r>
    <x v="563"/>
    <x v="1"/>
    <x v="6"/>
    <n v="30"/>
    <n v="23"/>
    <x v="26"/>
    <x v="16"/>
    <s v="cashloan"/>
    <n v="10500000"/>
  </r>
  <r>
    <x v="563"/>
    <x v="1"/>
    <x v="6"/>
    <n v="30"/>
    <n v="23"/>
    <x v="25"/>
    <x v="2"/>
    <s v="cashloan"/>
    <n v="0"/>
  </r>
  <r>
    <x v="563"/>
    <x v="1"/>
    <x v="6"/>
    <n v="30"/>
    <n v="23"/>
    <x v="23"/>
    <x v="17"/>
    <s v="paylater"/>
    <n v="263302000"/>
  </r>
  <r>
    <x v="563"/>
    <x v="1"/>
    <x v="6"/>
    <n v="30"/>
    <n v="23"/>
    <x v="24"/>
    <x v="18"/>
    <s v="cashloan"/>
    <n v="1668380000"/>
  </r>
  <r>
    <x v="563"/>
    <x v="1"/>
    <x v="6"/>
    <n v="30"/>
    <n v="23"/>
    <x v="14"/>
    <x v="13"/>
    <s v="cashloan"/>
    <n v="1710880000"/>
  </r>
  <r>
    <x v="563"/>
    <x v="1"/>
    <x v="6"/>
    <n v="30"/>
    <n v="23"/>
    <x v="11"/>
    <x v="10"/>
    <s v="paylater"/>
    <n v="219583016"/>
  </r>
  <r>
    <x v="563"/>
    <x v="1"/>
    <x v="6"/>
    <n v="30"/>
    <n v="23"/>
    <x v="19"/>
    <x v="12"/>
    <s v="paylater"/>
    <n v="348766331"/>
  </r>
  <r>
    <x v="563"/>
    <x v="1"/>
    <x v="6"/>
    <n v="30"/>
    <n v="23"/>
    <x v="5"/>
    <x v="5"/>
    <s v="overdraft"/>
    <n v="2965676863"/>
  </r>
  <r>
    <x v="564"/>
    <x v="1"/>
    <x v="6"/>
    <n v="30"/>
    <n v="24"/>
    <x v="1"/>
    <x v="1"/>
    <s v="cashloan"/>
    <n v="0"/>
  </r>
  <r>
    <x v="564"/>
    <x v="1"/>
    <x v="6"/>
    <n v="30"/>
    <n v="24"/>
    <x v="11"/>
    <x v="10"/>
    <s v="paylater"/>
    <n v="219791581"/>
  </r>
  <r>
    <x v="564"/>
    <x v="1"/>
    <x v="6"/>
    <n v="30"/>
    <n v="24"/>
    <x v="15"/>
    <x v="14"/>
    <s v="paylater"/>
    <n v="30513420"/>
  </r>
  <r>
    <x v="564"/>
    <x v="1"/>
    <x v="6"/>
    <n v="30"/>
    <n v="24"/>
    <x v="20"/>
    <x v="9"/>
    <s v="cashloan"/>
    <n v="0"/>
  </r>
  <r>
    <x v="564"/>
    <x v="1"/>
    <x v="6"/>
    <n v="30"/>
    <n v="24"/>
    <x v="5"/>
    <x v="5"/>
    <s v="overdraft"/>
    <n v="3049274664"/>
  </r>
  <r>
    <x v="564"/>
    <x v="1"/>
    <x v="6"/>
    <n v="30"/>
    <n v="24"/>
    <x v="6"/>
    <x v="6"/>
    <s v="payday"/>
    <n v="24000000"/>
  </r>
  <r>
    <x v="564"/>
    <x v="1"/>
    <x v="6"/>
    <n v="30"/>
    <n v="24"/>
    <x v="27"/>
    <x v="19"/>
    <s v="payday"/>
    <n v="7348320000"/>
  </r>
  <r>
    <x v="564"/>
    <x v="1"/>
    <x v="6"/>
    <n v="30"/>
    <n v="24"/>
    <x v="26"/>
    <x v="16"/>
    <s v="cashloan"/>
    <n v="42000000"/>
  </r>
  <r>
    <x v="564"/>
    <x v="1"/>
    <x v="6"/>
    <n v="30"/>
    <n v="24"/>
    <x v="3"/>
    <x v="3"/>
    <s v="cashloan"/>
    <n v="15750000"/>
  </r>
  <r>
    <x v="564"/>
    <x v="1"/>
    <x v="6"/>
    <n v="30"/>
    <n v="24"/>
    <x v="18"/>
    <x v="15"/>
    <s v="cashloan"/>
    <n v="504940000"/>
  </r>
  <r>
    <x v="564"/>
    <x v="1"/>
    <x v="6"/>
    <n v="30"/>
    <n v="24"/>
    <x v="23"/>
    <x v="17"/>
    <s v="paylater"/>
    <n v="380776000"/>
  </r>
  <r>
    <x v="564"/>
    <x v="1"/>
    <x v="6"/>
    <n v="30"/>
    <n v="24"/>
    <x v="24"/>
    <x v="18"/>
    <s v="cashloan"/>
    <n v="1954410000"/>
  </r>
  <r>
    <x v="564"/>
    <x v="1"/>
    <x v="6"/>
    <n v="30"/>
    <n v="24"/>
    <x v="14"/>
    <x v="13"/>
    <s v="cashloan"/>
    <n v="1448600000"/>
  </r>
  <r>
    <x v="564"/>
    <x v="1"/>
    <x v="6"/>
    <n v="30"/>
    <n v="24"/>
    <x v="7"/>
    <x v="7"/>
    <s v="paylater"/>
    <n v="251543641"/>
  </r>
  <r>
    <x v="564"/>
    <x v="1"/>
    <x v="6"/>
    <n v="30"/>
    <n v="24"/>
    <x v="25"/>
    <x v="2"/>
    <s v="cashloan"/>
    <n v="0"/>
  </r>
  <r>
    <x v="564"/>
    <x v="1"/>
    <x v="6"/>
    <n v="30"/>
    <n v="24"/>
    <x v="19"/>
    <x v="12"/>
    <s v="paylater"/>
    <n v="359805824"/>
  </r>
  <r>
    <x v="564"/>
    <x v="1"/>
    <x v="6"/>
    <n v="30"/>
    <n v="24"/>
    <x v="12"/>
    <x v="11"/>
    <s v="cashloan"/>
    <n v="12134340000"/>
  </r>
  <r>
    <x v="564"/>
    <x v="1"/>
    <x v="6"/>
    <n v="30"/>
    <n v="24"/>
    <x v="0"/>
    <x v="0"/>
    <s v="payday"/>
    <n v="5293080000"/>
  </r>
  <r>
    <x v="564"/>
    <x v="1"/>
    <x v="6"/>
    <n v="30"/>
    <n v="24"/>
    <x v="2"/>
    <x v="2"/>
    <s v="cashloan"/>
    <n v="11256620000"/>
  </r>
  <r>
    <x v="565"/>
    <x v="1"/>
    <x v="6"/>
    <n v="30"/>
    <n v="25"/>
    <x v="0"/>
    <x v="0"/>
    <s v="payday"/>
    <n v="5129568000"/>
  </r>
  <r>
    <x v="565"/>
    <x v="1"/>
    <x v="6"/>
    <n v="30"/>
    <n v="25"/>
    <x v="19"/>
    <x v="12"/>
    <s v="paylater"/>
    <n v="367605512"/>
  </r>
  <r>
    <x v="565"/>
    <x v="1"/>
    <x v="6"/>
    <n v="30"/>
    <n v="25"/>
    <x v="2"/>
    <x v="2"/>
    <s v="cashloan"/>
    <n v="11972720000"/>
  </r>
  <r>
    <x v="565"/>
    <x v="1"/>
    <x v="6"/>
    <n v="30"/>
    <n v="25"/>
    <x v="5"/>
    <x v="5"/>
    <s v="overdraft"/>
    <n v="3407163743"/>
  </r>
  <r>
    <x v="565"/>
    <x v="1"/>
    <x v="6"/>
    <n v="30"/>
    <n v="25"/>
    <x v="11"/>
    <x v="10"/>
    <s v="paylater"/>
    <n v="221218234"/>
  </r>
  <r>
    <x v="565"/>
    <x v="1"/>
    <x v="6"/>
    <n v="30"/>
    <n v="25"/>
    <x v="7"/>
    <x v="7"/>
    <s v="paylater"/>
    <n v="284215191"/>
  </r>
  <r>
    <x v="565"/>
    <x v="1"/>
    <x v="6"/>
    <n v="30"/>
    <n v="25"/>
    <x v="25"/>
    <x v="2"/>
    <s v="cashloan"/>
    <n v="0"/>
  </r>
  <r>
    <x v="565"/>
    <x v="1"/>
    <x v="6"/>
    <n v="30"/>
    <n v="25"/>
    <x v="12"/>
    <x v="11"/>
    <s v="cashloan"/>
    <n v="12088410000"/>
  </r>
  <r>
    <x v="565"/>
    <x v="1"/>
    <x v="6"/>
    <n v="30"/>
    <n v="25"/>
    <x v="26"/>
    <x v="16"/>
    <s v="cashloan"/>
    <n v="31500000"/>
  </r>
  <r>
    <x v="565"/>
    <x v="1"/>
    <x v="6"/>
    <n v="30"/>
    <n v="25"/>
    <x v="15"/>
    <x v="14"/>
    <s v="paylater"/>
    <n v="13826754"/>
  </r>
  <r>
    <x v="565"/>
    <x v="1"/>
    <x v="6"/>
    <n v="30"/>
    <n v="25"/>
    <x v="20"/>
    <x v="9"/>
    <s v="cashloan"/>
    <n v="0"/>
  </r>
  <r>
    <x v="565"/>
    <x v="1"/>
    <x v="6"/>
    <n v="30"/>
    <n v="25"/>
    <x v="1"/>
    <x v="1"/>
    <s v="cashloan"/>
    <n v="48300000"/>
  </r>
  <r>
    <x v="565"/>
    <x v="1"/>
    <x v="6"/>
    <n v="30"/>
    <n v="25"/>
    <x v="6"/>
    <x v="6"/>
    <s v="payday"/>
    <n v="44000000"/>
  </r>
  <r>
    <x v="565"/>
    <x v="1"/>
    <x v="6"/>
    <n v="30"/>
    <n v="25"/>
    <x v="27"/>
    <x v="19"/>
    <s v="payday"/>
    <n v="6099840000"/>
  </r>
  <r>
    <x v="565"/>
    <x v="1"/>
    <x v="6"/>
    <n v="30"/>
    <n v="25"/>
    <x v="3"/>
    <x v="3"/>
    <s v="cashloan"/>
    <n v="0"/>
  </r>
  <r>
    <x v="565"/>
    <x v="1"/>
    <x v="6"/>
    <n v="30"/>
    <n v="25"/>
    <x v="18"/>
    <x v="15"/>
    <s v="cashloan"/>
    <n v="619340000"/>
  </r>
  <r>
    <x v="565"/>
    <x v="1"/>
    <x v="6"/>
    <n v="30"/>
    <n v="25"/>
    <x v="23"/>
    <x v="17"/>
    <s v="paylater"/>
    <n v="314500600"/>
  </r>
  <r>
    <x v="565"/>
    <x v="1"/>
    <x v="6"/>
    <n v="30"/>
    <n v="25"/>
    <x v="24"/>
    <x v="18"/>
    <s v="cashloan"/>
    <n v="1722870000"/>
  </r>
  <r>
    <x v="565"/>
    <x v="1"/>
    <x v="6"/>
    <n v="30"/>
    <n v="25"/>
    <x v="14"/>
    <x v="13"/>
    <s v="cashloan"/>
    <n v="1425430000"/>
  </r>
  <r>
    <x v="566"/>
    <x v="1"/>
    <x v="6"/>
    <n v="30"/>
    <n v="26"/>
    <x v="25"/>
    <x v="2"/>
    <s v="cashloan"/>
    <n v="0"/>
  </r>
  <r>
    <x v="566"/>
    <x v="1"/>
    <x v="6"/>
    <n v="30"/>
    <n v="26"/>
    <x v="0"/>
    <x v="0"/>
    <s v="payday"/>
    <n v="5036256000"/>
  </r>
  <r>
    <x v="566"/>
    <x v="1"/>
    <x v="6"/>
    <n v="30"/>
    <n v="26"/>
    <x v="12"/>
    <x v="11"/>
    <s v="cashloan"/>
    <n v="10366510000"/>
  </r>
  <r>
    <x v="566"/>
    <x v="1"/>
    <x v="6"/>
    <n v="30"/>
    <n v="26"/>
    <x v="2"/>
    <x v="2"/>
    <s v="cashloan"/>
    <n v="10020860000"/>
  </r>
  <r>
    <x v="566"/>
    <x v="1"/>
    <x v="6"/>
    <n v="30"/>
    <n v="26"/>
    <x v="6"/>
    <x v="6"/>
    <s v="payday"/>
    <n v="31000000"/>
  </r>
  <r>
    <x v="566"/>
    <x v="1"/>
    <x v="6"/>
    <n v="30"/>
    <n v="26"/>
    <x v="26"/>
    <x v="16"/>
    <s v="cashloan"/>
    <n v="22600000"/>
  </r>
  <r>
    <x v="566"/>
    <x v="1"/>
    <x v="6"/>
    <n v="30"/>
    <n v="26"/>
    <x v="27"/>
    <x v="19"/>
    <s v="payday"/>
    <n v="4499280000"/>
  </r>
  <r>
    <x v="566"/>
    <x v="1"/>
    <x v="6"/>
    <n v="30"/>
    <n v="26"/>
    <x v="20"/>
    <x v="9"/>
    <s v="cashloan"/>
    <n v="0"/>
  </r>
  <r>
    <x v="566"/>
    <x v="1"/>
    <x v="6"/>
    <n v="30"/>
    <n v="26"/>
    <x v="3"/>
    <x v="3"/>
    <s v="cashloan"/>
    <n v="0"/>
  </r>
  <r>
    <x v="566"/>
    <x v="1"/>
    <x v="6"/>
    <n v="30"/>
    <n v="26"/>
    <x v="15"/>
    <x v="14"/>
    <s v="paylater"/>
    <n v="10285203"/>
  </r>
  <r>
    <x v="566"/>
    <x v="1"/>
    <x v="6"/>
    <n v="30"/>
    <n v="26"/>
    <x v="18"/>
    <x v="15"/>
    <s v="cashloan"/>
    <n v="394450000"/>
  </r>
  <r>
    <x v="566"/>
    <x v="1"/>
    <x v="6"/>
    <n v="30"/>
    <n v="26"/>
    <x v="23"/>
    <x v="17"/>
    <s v="paylater"/>
    <n v="467109150"/>
  </r>
  <r>
    <x v="566"/>
    <x v="1"/>
    <x v="6"/>
    <n v="30"/>
    <n v="26"/>
    <x v="24"/>
    <x v="18"/>
    <s v="cashloan"/>
    <n v="2208160000"/>
  </r>
  <r>
    <x v="566"/>
    <x v="1"/>
    <x v="6"/>
    <n v="30"/>
    <n v="26"/>
    <x v="14"/>
    <x v="13"/>
    <s v="cashloan"/>
    <n v="1215990000"/>
  </r>
  <r>
    <x v="566"/>
    <x v="1"/>
    <x v="6"/>
    <n v="30"/>
    <n v="26"/>
    <x v="1"/>
    <x v="1"/>
    <s v="cashloan"/>
    <n v="0"/>
  </r>
  <r>
    <x v="566"/>
    <x v="1"/>
    <x v="6"/>
    <n v="30"/>
    <n v="26"/>
    <x v="19"/>
    <x v="12"/>
    <s v="paylater"/>
    <n v="354953458"/>
  </r>
  <r>
    <x v="566"/>
    <x v="1"/>
    <x v="6"/>
    <n v="30"/>
    <n v="26"/>
    <x v="5"/>
    <x v="5"/>
    <s v="overdraft"/>
    <n v="2701413427"/>
  </r>
  <r>
    <x v="566"/>
    <x v="1"/>
    <x v="6"/>
    <n v="30"/>
    <n v="26"/>
    <x v="7"/>
    <x v="7"/>
    <s v="paylater"/>
    <n v="249570751"/>
  </r>
  <r>
    <x v="566"/>
    <x v="1"/>
    <x v="6"/>
    <n v="30"/>
    <n v="26"/>
    <x v="11"/>
    <x v="10"/>
    <s v="paylater"/>
    <n v="225003767"/>
  </r>
  <r>
    <x v="567"/>
    <x v="1"/>
    <x v="6"/>
    <n v="30"/>
    <n v="27"/>
    <x v="2"/>
    <x v="2"/>
    <s v="cashloan"/>
    <n v="9966580000"/>
  </r>
  <r>
    <x v="567"/>
    <x v="1"/>
    <x v="6"/>
    <n v="30"/>
    <n v="27"/>
    <x v="0"/>
    <x v="0"/>
    <s v="payday"/>
    <n v="4944240000"/>
  </r>
  <r>
    <x v="567"/>
    <x v="1"/>
    <x v="6"/>
    <n v="30"/>
    <n v="27"/>
    <x v="12"/>
    <x v="11"/>
    <s v="cashloan"/>
    <n v="9965040000"/>
  </r>
  <r>
    <x v="567"/>
    <x v="1"/>
    <x v="6"/>
    <n v="30"/>
    <n v="27"/>
    <x v="25"/>
    <x v="2"/>
    <s v="cashloan"/>
    <n v="0"/>
  </r>
  <r>
    <x v="567"/>
    <x v="1"/>
    <x v="6"/>
    <n v="30"/>
    <n v="27"/>
    <x v="15"/>
    <x v="14"/>
    <s v="paylater"/>
    <n v="17473818"/>
  </r>
  <r>
    <x v="567"/>
    <x v="1"/>
    <x v="6"/>
    <n v="30"/>
    <n v="27"/>
    <x v="26"/>
    <x v="16"/>
    <s v="cashloan"/>
    <n v="0"/>
  </r>
  <r>
    <x v="567"/>
    <x v="1"/>
    <x v="6"/>
    <n v="30"/>
    <n v="27"/>
    <x v="27"/>
    <x v="19"/>
    <s v="payday"/>
    <n v="4148280000"/>
  </r>
  <r>
    <x v="567"/>
    <x v="1"/>
    <x v="6"/>
    <n v="30"/>
    <n v="27"/>
    <x v="20"/>
    <x v="9"/>
    <s v="cashloan"/>
    <n v="0"/>
  </r>
  <r>
    <x v="567"/>
    <x v="1"/>
    <x v="6"/>
    <n v="30"/>
    <n v="27"/>
    <x v="1"/>
    <x v="1"/>
    <s v="cashloan"/>
    <n v="57750000"/>
  </r>
  <r>
    <x v="567"/>
    <x v="1"/>
    <x v="6"/>
    <n v="30"/>
    <n v="27"/>
    <x v="6"/>
    <x v="6"/>
    <s v="payday"/>
    <n v="11000000"/>
  </r>
  <r>
    <x v="567"/>
    <x v="1"/>
    <x v="6"/>
    <n v="30"/>
    <n v="27"/>
    <x v="19"/>
    <x v="12"/>
    <s v="paylater"/>
    <n v="408147875"/>
  </r>
  <r>
    <x v="567"/>
    <x v="1"/>
    <x v="6"/>
    <n v="30"/>
    <n v="27"/>
    <x v="3"/>
    <x v="3"/>
    <s v="cashloan"/>
    <n v="0"/>
  </r>
  <r>
    <x v="567"/>
    <x v="1"/>
    <x v="6"/>
    <n v="30"/>
    <n v="27"/>
    <x v="18"/>
    <x v="15"/>
    <s v="cashloan"/>
    <n v="443070000"/>
  </r>
  <r>
    <x v="567"/>
    <x v="1"/>
    <x v="6"/>
    <n v="30"/>
    <n v="27"/>
    <x v="23"/>
    <x v="17"/>
    <s v="paylater"/>
    <n v="479004000"/>
  </r>
  <r>
    <x v="567"/>
    <x v="1"/>
    <x v="6"/>
    <n v="30"/>
    <n v="27"/>
    <x v="24"/>
    <x v="18"/>
    <s v="cashloan"/>
    <n v="1680320000"/>
  </r>
  <r>
    <x v="567"/>
    <x v="1"/>
    <x v="6"/>
    <n v="30"/>
    <n v="27"/>
    <x v="14"/>
    <x v="13"/>
    <s v="cashloan"/>
    <n v="1745220000"/>
  </r>
  <r>
    <x v="567"/>
    <x v="1"/>
    <x v="6"/>
    <n v="30"/>
    <n v="27"/>
    <x v="11"/>
    <x v="10"/>
    <s v="paylater"/>
    <n v="220975391"/>
  </r>
  <r>
    <x v="567"/>
    <x v="1"/>
    <x v="6"/>
    <n v="30"/>
    <n v="27"/>
    <x v="5"/>
    <x v="5"/>
    <s v="overdraft"/>
    <n v="2589838848"/>
  </r>
  <r>
    <x v="567"/>
    <x v="1"/>
    <x v="6"/>
    <n v="30"/>
    <n v="27"/>
    <x v="7"/>
    <x v="7"/>
    <s v="paylater"/>
    <n v="232925600"/>
  </r>
  <r>
    <x v="568"/>
    <x v="1"/>
    <x v="6"/>
    <n v="31"/>
    <n v="28"/>
    <x v="19"/>
    <x v="12"/>
    <s v="paylater"/>
    <n v="437153680"/>
  </r>
  <r>
    <x v="568"/>
    <x v="1"/>
    <x v="6"/>
    <n v="31"/>
    <n v="28"/>
    <x v="6"/>
    <x v="6"/>
    <s v="payday"/>
    <n v="64000000"/>
  </r>
  <r>
    <x v="568"/>
    <x v="1"/>
    <x v="6"/>
    <n v="31"/>
    <n v="28"/>
    <x v="1"/>
    <x v="1"/>
    <s v="cashloan"/>
    <n v="51500000"/>
  </r>
  <r>
    <x v="568"/>
    <x v="1"/>
    <x v="6"/>
    <n v="31"/>
    <n v="28"/>
    <x v="11"/>
    <x v="10"/>
    <s v="paylater"/>
    <n v="197709088"/>
  </r>
  <r>
    <x v="568"/>
    <x v="1"/>
    <x v="6"/>
    <n v="31"/>
    <n v="28"/>
    <x v="12"/>
    <x v="11"/>
    <s v="cashloan"/>
    <n v="12547670000"/>
  </r>
  <r>
    <x v="568"/>
    <x v="1"/>
    <x v="6"/>
    <n v="31"/>
    <n v="28"/>
    <x v="15"/>
    <x v="14"/>
    <s v="paylater"/>
    <n v="13108199"/>
  </r>
  <r>
    <x v="568"/>
    <x v="1"/>
    <x v="6"/>
    <n v="31"/>
    <n v="28"/>
    <x v="25"/>
    <x v="2"/>
    <s v="cashloan"/>
    <n v="0"/>
  </r>
  <r>
    <x v="568"/>
    <x v="1"/>
    <x v="6"/>
    <n v="31"/>
    <n v="28"/>
    <x v="5"/>
    <x v="5"/>
    <s v="overdraft"/>
    <n v="3477561110"/>
  </r>
  <r>
    <x v="568"/>
    <x v="1"/>
    <x v="6"/>
    <n v="31"/>
    <n v="28"/>
    <x v="7"/>
    <x v="7"/>
    <s v="paylater"/>
    <n v="252707363"/>
  </r>
  <r>
    <x v="568"/>
    <x v="1"/>
    <x v="6"/>
    <n v="31"/>
    <n v="28"/>
    <x v="3"/>
    <x v="3"/>
    <s v="cashloan"/>
    <n v="0"/>
  </r>
  <r>
    <x v="568"/>
    <x v="1"/>
    <x v="6"/>
    <n v="31"/>
    <n v="28"/>
    <x v="27"/>
    <x v="19"/>
    <s v="payday"/>
    <n v="5379480000"/>
  </r>
  <r>
    <x v="568"/>
    <x v="1"/>
    <x v="6"/>
    <n v="31"/>
    <n v="28"/>
    <x v="0"/>
    <x v="0"/>
    <s v="payday"/>
    <n v="5312304000"/>
  </r>
  <r>
    <x v="568"/>
    <x v="1"/>
    <x v="6"/>
    <n v="31"/>
    <n v="28"/>
    <x v="18"/>
    <x v="15"/>
    <s v="cashloan"/>
    <n v="369600000"/>
  </r>
  <r>
    <x v="568"/>
    <x v="1"/>
    <x v="6"/>
    <n v="31"/>
    <n v="28"/>
    <x v="2"/>
    <x v="2"/>
    <s v="cashloan"/>
    <n v="11569700000"/>
  </r>
  <r>
    <x v="568"/>
    <x v="1"/>
    <x v="6"/>
    <n v="31"/>
    <n v="28"/>
    <x v="20"/>
    <x v="9"/>
    <s v="cashloan"/>
    <n v="0"/>
  </r>
  <r>
    <x v="568"/>
    <x v="1"/>
    <x v="6"/>
    <n v="31"/>
    <n v="28"/>
    <x v="23"/>
    <x v="17"/>
    <s v="paylater"/>
    <n v="324309000"/>
  </r>
  <r>
    <x v="568"/>
    <x v="1"/>
    <x v="6"/>
    <n v="31"/>
    <n v="28"/>
    <x v="24"/>
    <x v="18"/>
    <s v="cashloan"/>
    <n v="1435020000"/>
  </r>
  <r>
    <x v="568"/>
    <x v="1"/>
    <x v="6"/>
    <n v="31"/>
    <n v="28"/>
    <x v="14"/>
    <x v="13"/>
    <s v="cashloan"/>
    <n v="1716230000"/>
  </r>
  <r>
    <x v="568"/>
    <x v="1"/>
    <x v="6"/>
    <n v="31"/>
    <n v="28"/>
    <x v="26"/>
    <x v="16"/>
    <s v="cashloan"/>
    <n v="38900000"/>
  </r>
  <r>
    <x v="569"/>
    <x v="1"/>
    <x v="6"/>
    <n v="31"/>
    <n v="29"/>
    <x v="25"/>
    <x v="2"/>
    <s v="cashloan"/>
    <n v="0"/>
  </r>
  <r>
    <x v="569"/>
    <x v="1"/>
    <x v="6"/>
    <n v="31"/>
    <n v="29"/>
    <x v="12"/>
    <x v="11"/>
    <s v="cashloan"/>
    <n v="12255140000"/>
  </r>
  <r>
    <x v="569"/>
    <x v="1"/>
    <x v="6"/>
    <n v="31"/>
    <n v="29"/>
    <x v="7"/>
    <x v="7"/>
    <s v="paylater"/>
    <n v="267557062"/>
  </r>
  <r>
    <x v="569"/>
    <x v="1"/>
    <x v="6"/>
    <n v="31"/>
    <n v="29"/>
    <x v="26"/>
    <x v="16"/>
    <s v="cashloan"/>
    <n v="0"/>
  </r>
  <r>
    <x v="569"/>
    <x v="1"/>
    <x v="6"/>
    <n v="31"/>
    <n v="29"/>
    <x v="0"/>
    <x v="0"/>
    <s v="payday"/>
    <n v="4815936000"/>
  </r>
  <r>
    <x v="569"/>
    <x v="1"/>
    <x v="6"/>
    <n v="31"/>
    <n v="29"/>
    <x v="2"/>
    <x v="2"/>
    <s v="cashloan"/>
    <n v="11378960000"/>
  </r>
  <r>
    <x v="569"/>
    <x v="1"/>
    <x v="6"/>
    <n v="31"/>
    <n v="29"/>
    <x v="15"/>
    <x v="14"/>
    <s v="paylater"/>
    <n v="13883258"/>
  </r>
  <r>
    <x v="569"/>
    <x v="1"/>
    <x v="6"/>
    <n v="31"/>
    <n v="29"/>
    <x v="20"/>
    <x v="9"/>
    <s v="cashloan"/>
    <n v="0"/>
  </r>
  <r>
    <x v="569"/>
    <x v="1"/>
    <x v="6"/>
    <n v="31"/>
    <n v="29"/>
    <x v="1"/>
    <x v="1"/>
    <s v="cashloan"/>
    <n v="62000000"/>
  </r>
  <r>
    <x v="569"/>
    <x v="1"/>
    <x v="6"/>
    <n v="31"/>
    <n v="29"/>
    <x v="6"/>
    <x v="6"/>
    <s v="payday"/>
    <n v="22000000"/>
  </r>
  <r>
    <x v="569"/>
    <x v="1"/>
    <x v="6"/>
    <n v="31"/>
    <n v="29"/>
    <x v="27"/>
    <x v="19"/>
    <s v="payday"/>
    <n v="4553280000"/>
  </r>
  <r>
    <x v="569"/>
    <x v="1"/>
    <x v="6"/>
    <n v="31"/>
    <n v="29"/>
    <x v="3"/>
    <x v="3"/>
    <s v="cashloan"/>
    <n v="0"/>
  </r>
  <r>
    <x v="569"/>
    <x v="1"/>
    <x v="6"/>
    <n v="31"/>
    <n v="29"/>
    <x v="18"/>
    <x v="15"/>
    <s v="cashloan"/>
    <n v="410970000"/>
  </r>
  <r>
    <x v="569"/>
    <x v="1"/>
    <x v="6"/>
    <n v="31"/>
    <n v="29"/>
    <x v="23"/>
    <x v="17"/>
    <s v="paylater"/>
    <n v="401087000"/>
  </r>
  <r>
    <x v="569"/>
    <x v="1"/>
    <x v="6"/>
    <n v="31"/>
    <n v="29"/>
    <x v="24"/>
    <x v="18"/>
    <s v="cashloan"/>
    <n v="2031860000"/>
  </r>
  <r>
    <x v="569"/>
    <x v="1"/>
    <x v="6"/>
    <n v="31"/>
    <n v="29"/>
    <x v="14"/>
    <x v="13"/>
    <s v="cashloan"/>
    <n v="1638690000"/>
  </r>
  <r>
    <x v="569"/>
    <x v="1"/>
    <x v="6"/>
    <n v="31"/>
    <n v="29"/>
    <x v="11"/>
    <x v="10"/>
    <s v="paylater"/>
    <n v="196274965"/>
  </r>
  <r>
    <x v="569"/>
    <x v="1"/>
    <x v="6"/>
    <n v="31"/>
    <n v="29"/>
    <x v="19"/>
    <x v="12"/>
    <s v="paylater"/>
    <n v="463003573"/>
  </r>
  <r>
    <x v="569"/>
    <x v="1"/>
    <x v="6"/>
    <n v="31"/>
    <n v="29"/>
    <x v="5"/>
    <x v="5"/>
    <s v="overdraft"/>
    <n v="2979513107"/>
  </r>
  <r>
    <x v="570"/>
    <x v="1"/>
    <x v="6"/>
    <n v="31"/>
    <n v="30"/>
    <x v="15"/>
    <x v="14"/>
    <s v="paylater"/>
    <n v="38712877"/>
  </r>
  <r>
    <x v="570"/>
    <x v="1"/>
    <x v="6"/>
    <n v="31"/>
    <n v="30"/>
    <x v="26"/>
    <x v="16"/>
    <s v="cashloan"/>
    <n v="56700000"/>
  </r>
  <r>
    <x v="570"/>
    <x v="1"/>
    <x v="6"/>
    <n v="31"/>
    <n v="30"/>
    <x v="2"/>
    <x v="2"/>
    <s v="cashloan"/>
    <n v="11350020000"/>
  </r>
  <r>
    <x v="570"/>
    <x v="1"/>
    <x v="6"/>
    <n v="31"/>
    <n v="30"/>
    <x v="25"/>
    <x v="2"/>
    <s v="cashloan"/>
    <n v="0"/>
  </r>
  <r>
    <x v="570"/>
    <x v="1"/>
    <x v="6"/>
    <n v="31"/>
    <n v="30"/>
    <x v="0"/>
    <x v="0"/>
    <s v="payday"/>
    <n v="4693248000"/>
  </r>
  <r>
    <x v="570"/>
    <x v="1"/>
    <x v="6"/>
    <n v="31"/>
    <n v="30"/>
    <x v="3"/>
    <x v="3"/>
    <s v="cashloan"/>
    <n v="0"/>
  </r>
  <r>
    <x v="570"/>
    <x v="1"/>
    <x v="6"/>
    <n v="31"/>
    <n v="30"/>
    <x v="20"/>
    <x v="9"/>
    <s v="cashloan"/>
    <n v="0"/>
  </r>
  <r>
    <x v="570"/>
    <x v="1"/>
    <x v="6"/>
    <n v="31"/>
    <n v="30"/>
    <x v="18"/>
    <x v="15"/>
    <s v="cashloan"/>
    <n v="375850000"/>
  </r>
  <r>
    <x v="570"/>
    <x v="1"/>
    <x v="6"/>
    <n v="31"/>
    <n v="30"/>
    <x v="6"/>
    <x v="6"/>
    <s v="payday"/>
    <n v="7000000"/>
  </r>
  <r>
    <x v="570"/>
    <x v="1"/>
    <x v="6"/>
    <n v="31"/>
    <n v="30"/>
    <x v="27"/>
    <x v="19"/>
    <s v="payday"/>
    <n v="3837240000"/>
  </r>
  <r>
    <x v="570"/>
    <x v="1"/>
    <x v="6"/>
    <n v="31"/>
    <n v="30"/>
    <x v="1"/>
    <x v="1"/>
    <s v="cashloan"/>
    <n v="14700000"/>
  </r>
  <r>
    <x v="570"/>
    <x v="1"/>
    <x v="6"/>
    <n v="31"/>
    <n v="30"/>
    <x v="23"/>
    <x v="17"/>
    <s v="paylater"/>
    <n v="494872000"/>
  </r>
  <r>
    <x v="570"/>
    <x v="1"/>
    <x v="6"/>
    <n v="31"/>
    <n v="30"/>
    <x v="24"/>
    <x v="18"/>
    <s v="cashloan"/>
    <n v="1125190000"/>
  </r>
  <r>
    <x v="570"/>
    <x v="1"/>
    <x v="6"/>
    <n v="31"/>
    <n v="30"/>
    <x v="14"/>
    <x v="13"/>
    <s v="cashloan"/>
    <n v="1498430000"/>
  </r>
  <r>
    <x v="570"/>
    <x v="1"/>
    <x v="6"/>
    <n v="31"/>
    <n v="30"/>
    <x v="11"/>
    <x v="10"/>
    <s v="paylater"/>
    <n v="190863787"/>
  </r>
  <r>
    <x v="570"/>
    <x v="1"/>
    <x v="6"/>
    <n v="31"/>
    <n v="30"/>
    <x v="19"/>
    <x v="12"/>
    <s v="paylater"/>
    <n v="418310834"/>
  </r>
  <r>
    <x v="570"/>
    <x v="1"/>
    <x v="6"/>
    <n v="31"/>
    <n v="30"/>
    <x v="5"/>
    <x v="5"/>
    <s v="overdraft"/>
    <n v="3508995386"/>
  </r>
  <r>
    <x v="570"/>
    <x v="1"/>
    <x v="6"/>
    <n v="31"/>
    <n v="30"/>
    <x v="7"/>
    <x v="7"/>
    <s v="paylater"/>
    <n v="250646826"/>
  </r>
  <r>
    <x v="570"/>
    <x v="1"/>
    <x v="6"/>
    <n v="31"/>
    <n v="30"/>
    <x v="12"/>
    <x v="11"/>
    <s v="cashloan"/>
    <n v="11287750000"/>
  </r>
  <r>
    <x v="571"/>
    <x v="1"/>
    <x v="6"/>
    <n v="31"/>
    <n v="31"/>
    <x v="20"/>
    <x v="9"/>
    <s v="cashloan"/>
    <n v="0"/>
  </r>
  <r>
    <x v="571"/>
    <x v="1"/>
    <x v="6"/>
    <n v="31"/>
    <n v="31"/>
    <x v="14"/>
    <x v="13"/>
    <s v="cashloan"/>
    <n v="1776480000"/>
  </r>
  <r>
    <x v="571"/>
    <x v="1"/>
    <x v="6"/>
    <n v="31"/>
    <n v="31"/>
    <x v="26"/>
    <x v="16"/>
    <s v="cashloan"/>
    <n v="29400000"/>
  </r>
  <r>
    <x v="571"/>
    <x v="1"/>
    <x v="6"/>
    <n v="31"/>
    <n v="31"/>
    <x v="6"/>
    <x v="6"/>
    <s v="payday"/>
    <n v="23000000"/>
  </r>
  <r>
    <x v="571"/>
    <x v="1"/>
    <x v="6"/>
    <n v="31"/>
    <n v="31"/>
    <x v="24"/>
    <x v="18"/>
    <s v="cashloan"/>
    <n v="1702480000"/>
  </r>
  <r>
    <x v="571"/>
    <x v="1"/>
    <x v="6"/>
    <n v="31"/>
    <n v="31"/>
    <x v="15"/>
    <x v="14"/>
    <s v="paylater"/>
    <n v="32602726"/>
  </r>
  <r>
    <x v="571"/>
    <x v="1"/>
    <x v="6"/>
    <n v="31"/>
    <n v="31"/>
    <x v="11"/>
    <x v="10"/>
    <s v="paylater"/>
    <n v="212622699"/>
  </r>
  <r>
    <x v="571"/>
    <x v="1"/>
    <x v="6"/>
    <n v="31"/>
    <n v="31"/>
    <x v="27"/>
    <x v="19"/>
    <s v="payday"/>
    <n v="3873960000"/>
  </r>
  <r>
    <x v="571"/>
    <x v="1"/>
    <x v="6"/>
    <n v="31"/>
    <n v="31"/>
    <x v="3"/>
    <x v="3"/>
    <s v="cashloan"/>
    <n v="0"/>
  </r>
  <r>
    <x v="571"/>
    <x v="1"/>
    <x v="6"/>
    <n v="31"/>
    <n v="31"/>
    <x v="18"/>
    <x v="15"/>
    <s v="cashloan"/>
    <n v="481210000"/>
  </r>
  <r>
    <x v="571"/>
    <x v="1"/>
    <x v="6"/>
    <n v="31"/>
    <n v="31"/>
    <x v="23"/>
    <x v="17"/>
    <s v="paylater"/>
    <n v="413202000"/>
  </r>
  <r>
    <x v="571"/>
    <x v="1"/>
    <x v="6"/>
    <n v="31"/>
    <n v="31"/>
    <x v="1"/>
    <x v="1"/>
    <s v="cashloan"/>
    <n v="32550000"/>
  </r>
  <r>
    <x v="571"/>
    <x v="1"/>
    <x v="6"/>
    <n v="31"/>
    <n v="31"/>
    <x v="7"/>
    <x v="7"/>
    <s v="paylater"/>
    <n v="268264489"/>
  </r>
  <r>
    <x v="571"/>
    <x v="1"/>
    <x v="6"/>
    <n v="31"/>
    <n v="31"/>
    <x v="12"/>
    <x v="11"/>
    <s v="cashloan"/>
    <n v="12034830000"/>
  </r>
  <r>
    <x v="571"/>
    <x v="1"/>
    <x v="6"/>
    <n v="31"/>
    <n v="31"/>
    <x v="19"/>
    <x v="12"/>
    <s v="paylater"/>
    <n v="489329625"/>
  </r>
  <r>
    <x v="571"/>
    <x v="1"/>
    <x v="6"/>
    <n v="31"/>
    <n v="31"/>
    <x v="2"/>
    <x v="2"/>
    <s v="cashloan"/>
    <n v="8881780000"/>
  </r>
  <r>
    <x v="571"/>
    <x v="1"/>
    <x v="6"/>
    <n v="31"/>
    <n v="31"/>
    <x v="5"/>
    <x v="5"/>
    <s v="overdraft"/>
    <n v="4037137514"/>
  </r>
  <r>
    <x v="571"/>
    <x v="1"/>
    <x v="6"/>
    <n v="31"/>
    <n v="31"/>
    <x v="0"/>
    <x v="0"/>
    <s v="payday"/>
    <n v="4199688000"/>
  </r>
  <r>
    <x v="571"/>
    <x v="1"/>
    <x v="6"/>
    <n v="31"/>
    <n v="31"/>
    <x v="25"/>
    <x v="2"/>
    <s v="cashloan"/>
    <n v="0"/>
  </r>
  <r>
    <x v="572"/>
    <x v="1"/>
    <x v="7"/>
    <n v="31"/>
    <n v="1"/>
    <x v="23"/>
    <x v="17"/>
    <s v="paylater"/>
    <n v="536478000"/>
  </r>
  <r>
    <x v="572"/>
    <x v="1"/>
    <x v="7"/>
    <n v="31"/>
    <n v="1"/>
    <x v="2"/>
    <x v="2"/>
    <s v="cashloan"/>
    <n v="10623570000"/>
  </r>
  <r>
    <x v="572"/>
    <x v="1"/>
    <x v="7"/>
    <n v="31"/>
    <n v="1"/>
    <x v="19"/>
    <x v="12"/>
    <s v="paylater"/>
    <n v="840017961"/>
  </r>
  <r>
    <x v="572"/>
    <x v="1"/>
    <x v="7"/>
    <n v="31"/>
    <n v="1"/>
    <x v="26"/>
    <x v="16"/>
    <s v="cashloan"/>
    <n v="0"/>
  </r>
  <r>
    <x v="572"/>
    <x v="1"/>
    <x v="7"/>
    <n v="31"/>
    <n v="1"/>
    <x v="11"/>
    <x v="10"/>
    <s v="paylater"/>
    <n v="244090911"/>
  </r>
  <r>
    <x v="572"/>
    <x v="1"/>
    <x v="7"/>
    <n v="31"/>
    <n v="1"/>
    <x v="27"/>
    <x v="19"/>
    <s v="payday"/>
    <n v="4689360000"/>
  </r>
  <r>
    <x v="572"/>
    <x v="1"/>
    <x v="7"/>
    <n v="31"/>
    <n v="1"/>
    <x v="18"/>
    <x v="15"/>
    <s v="cashloan"/>
    <n v="387150000"/>
  </r>
  <r>
    <x v="572"/>
    <x v="1"/>
    <x v="7"/>
    <n v="31"/>
    <n v="1"/>
    <x v="25"/>
    <x v="2"/>
    <s v="cashloan"/>
    <n v="0"/>
  </r>
  <r>
    <x v="572"/>
    <x v="1"/>
    <x v="7"/>
    <n v="31"/>
    <n v="1"/>
    <x v="14"/>
    <x v="13"/>
    <s v="cashloan"/>
    <n v="1997090000"/>
  </r>
  <r>
    <x v="572"/>
    <x v="1"/>
    <x v="7"/>
    <n v="31"/>
    <n v="1"/>
    <x v="6"/>
    <x v="6"/>
    <s v="payday"/>
    <n v="48000000"/>
  </r>
  <r>
    <x v="572"/>
    <x v="1"/>
    <x v="7"/>
    <n v="31"/>
    <n v="1"/>
    <x v="12"/>
    <x v="11"/>
    <s v="cashloan"/>
    <n v="13306750000"/>
  </r>
  <r>
    <x v="572"/>
    <x v="1"/>
    <x v="7"/>
    <n v="31"/>
    <n v="1"/>
    <x v="24"/>
    <x v="18"/>
    <s v="cashloan"/>
    <n v="4385190000"/>
  </r>
  <r>
    <x v="572"/>
    <x v="1"/>
    <x v="7"/>
    <n v="31"/>
    <n v="1"/>
    <x v="15"/>
    <x v="14"/>
    <s v="paylater"/>
    <n v="34706573"/>
  </r>
  <r>
    <x v="572"/>
    <x v="1"/>
    <x v="7"/>
    <n v="31"/>
    <n v="1"/>
    <x v="0"/>
    <x v="0"/>
    <s v="payday"/>
    <n v="6042924000"/>
  </r>
  <r>
    <x v="572"/>
    <x v="1"/>
    <x v="7"/>
    <n v="31"/>
    <n v="1"/>
    <x v="5"/>
    <x v="5"/>
    <s v="overdraft"/>
    <n v="5948554474"/>
  </r>
  <r>
    <x v="572"/>
    <x v="1"/>
    <x v="7"/>
    <n v="31"/>
    <n v="1"/>
    <x v="1"/>
    <x v="1"/>
    <s v="cashloan"/>
    <n v="0"/>
  </r>
  <r>
    <x v="572"/>
    <x v="1"/>
    <x v="7"/>
    <n v="31"/>
    <n v="1"/>
    <x v="3"/>
    <x v="3"/>
    <s v="cashloan"/>
    <n v="18900000"/>
  </r>
  <r>
    <x v="572"/>
    <x v="1"/>
    <x v="7"/>
    <n v="31"/>
    <n v="1"/>
    <x v="7"/>
    <x v="7"/>
    <s v="paylater"/>
    <n v="386816984"/>
  </r>
  <r>
    <x v="573"/>
    <x v="1"/>
    <x v="7"/>
    <n v="31"/>
    <n v="2"/>
    <x v="19"/>
    <x v="12"/>
    <s v="paylater"/>
    <n v="924912215"/>
  </r>
  <r>
    <x v="573"/>
    <x v="1"/>
    <x v="7"/>
    <n v="31"/>
    <n v="2"/>
    <x v="26"/>
    <x v="16"/>
    <s v="cashloan"/>
    <n v="15750000"/>
  </r>
  <r>
    <x v="573"/>
    <x v="1"/>
    <x v="7"/>
    <n v="31"/>
    <n v="2"/>
    <x v="1"/>
    <x v="1"/>
    <s v="cashloan"/>
    <n v="10500000"/>
  </r>
  <r>
    <x v="573"/>
    <x v="1"/>
    <x v="7"/>
    <n v="31"/>
    <n v="2"/>
    <x v="6"/>
    <x v="6"/>
    <s v="payday"/>
    <n v="44000000"/>
  </r>
  <r>
    <x v="573"/>
    <x v="1"/>
    <x v="7"/>
    <n v="31"/>
    <n v="2"/>
    <x v="5"/>
    <x v="5"/>
    <s v="overdraft"/>
    <n v="3993587393"/>
  </r>
  <r>
    <x v="573"/>
    <x v="1"/>
    <x v="7"/>
    <n v="31"/>
    <n v="2"/>
    <x v="0"/>
    <x v="0"/>
    <s v="payday"/>
    <n v="5742360000"/>
  </r>
  <r>
    <x v="573"/>
    <x v="1"/>
    <x v="7"/>
    <n v="31"/>
    <n v="2"/>
    <x v="7"/>
    <x v="7"/>
    <s v="paylater"/>
    <n v="376344027"/>
  </r>
  <r>
    <x v="573"/>
    <x v="1"/>
    <x v="7"/>
    <n v="31"/>
    <n v="2"/>
    <x v="24"/>
    <x v="18"/>
    <s v="cashloan"/>
    <n v="5511100000"/>
  </r>
  <r>
    <x v="573"/>
    <x v="1"/>
    <x v="7"/>
    <n v="31"/>
    <n v="2"/>
    <x v="18"/>
    <x v="15"/>
    <s v="cashloan"/>
    <n v="469870000"/>
  </r>
  <r>
    <x v="573"/>
    <x v="1"/>
    <x v="7"/>
    <n v="31"/>
    <n v="2"/>
    <x v="25"/>
    <x v="2"/>
    <s v="cashloan"/>
    <n v="0"/>
  </r>
  <r>
    <x v="573"/>
    <x v="1"/>
    <x v="7"/>
    <n v="31"/>
    <n v="2"/>
    <x v="12"/>
    <x v="11"/>
    <s v="cashloan"/>
    <n v="10662680000"/>
  </r>
  <r>
    <x v="573"/>
    <x v="1"/>
    <x v="7"/>
    <n v="31"/>
    <n v="2"/>
    <x v="2"/>
    <x v="2"/>
    <s v="cashloan"/>
    <n v="10801080000"/>
  </r>
  <r>
    <x v="573"/>
    <x v="1"/>
    <x v="7"/>
    <n v="31"/>
    <n v="2"/>
    <x v="3"/>
    <x v="3"/>
    <s v="cashloan"/>
    <n v="0"/>
  </r>
  <r>
    <x v="573"/>
    <x v="1"/>
    <x v="7"/>
    <n v="31"/>
    <n v="2"/>
    <x v="11"/>
    <x v="10"/>
    <s v="paylater"/>
    <n v="228533030"/>
  </r>
  <r>
    <x v="573"/>
    <x v="1"/>
    <x v="7"/>
    <n v="31"/>
    <n v="2"/>
    <x v="23"/>
    <x v="17"/>
    <s v="paylater"/>
    <n v="434009000"/>
  </r>
  <r>
    <x v="573"/>
    <x v="1"/>
    <x v="7"/>
    <n v="31"/>
    <n v="2"/>
    <x v="15"/>
    <x v="14"/>
    <s v="paylater"/>
    <n v="47811452"/>
  </r>
  <r>
    <x v="573"/>
    <x v="1"/>
    <x v="7"/>
    <n v="31"/>
    <n v="2"/>
    <x v="14"/>
    <x v="13"/>
    <s v="cashloan"/>
    <n v="2080040000"/>
  </r>
  <r>
    <x v="573"/>
    <x v="1"/>
    <x v="7"/>
    <n v="31"/>
    <n v="2"/>
    <x v="27"/>
    <x v="19"/>
    <s v="payday"/>
    <n v="3180492000"/>
  </r>
  <r>
    <x v="574"/>
    <x v="1"/>
    <x v="7"/>
    <n v="31"/>
    <n v="3"/>
    <x v="7"/>
    <x v="7"/>
    <s v="paylater"/>
    <n v="458599130"/>
  </r>
  <r>
    <x v="574"/>
    <x v="1"/>
    <x v="7"/>
    <n v="31"/>
    <n v="3"/>
    <x v="2"/>
    <x v="2"/>
    <s v="cashloan"/>
    <n v="10306180000"/>
  </r>
  <r>
    <x v="574"/>
    <x v="1"/>
    <x v="7"/>
    <n v="31"/>
    <n v="3"/>
    <x v="0"/>
    <x v="0"/>
    <s v="payday"/>
    <n v="5013036000"/>
  </r>
  <r>
    <x v="574"/>
    <x v="1"/>
    <x v="7"/>
    <n v="31"/>
    <n v="3"/>
    <x v="25"/>
    <x v="2"/>
    <s v="cashloan"/>
    <n v="0"/>
  </r>
  <r>
    <x v="574"/>
    <x v="1"/>
    <x v="7"/>
    <n v="31"/>
    <n v="3"/>
    <x v="11"/>
    <x v="10"/>
    <s v="paylater"/>
    <n v="294313357"/>
  </r>
  <r>
    <x v="574"/>
    <x v="1"/>
    <x v="7"/>
    <n v="31"/>
    <n v="3"/>
    <x v="26"/>
    <x v="16"/>
    <s v="cashloan"/>
    <n v="31500000"/>
  </r>
  <r>
    <x v="574"/>
    <x v="1"/>
    <x v="7"/>
    <n v="31"/>
    <n v="3"/>
    <x v="15"/>
    <x v="14"/>
    <s v="paylater"/>
    <n v="87377679"/>
  </r>
  <r>
    <x v="574"/>
    <x v="1"/>
    <x v="7"/>
    <n v="31"/>
    <n v="3"/>
    <x v="27"/>
    <x v="19"/>
    <s v="payday"/>
    <n v="3408372000"/>
  </r>
  <r>
    <x v="574"/>
    <x v="1"/>
    <x v="7"/>
    <n v="31"/>
    <n v="3"/>
    <x v="12"/>
    <x v="11"/>
    <s v="cashloan"/>
    <n v="9687990000"/>
  </r>
  <r>
    <x v="574"/>
    <x v="1"/>
    <x v="7"/>
    <n v="31"/>
    <n v="3"/>
    <x v="23"/>
    <x v="17"/>
    <s v="paylater"/>
    <n v="512150700"/>
  </r>
  <r>
    <x v="574"/>
    <x v="1"/>
    <x v="7"/>
    <n v="31"/>
    <n v="3"/>
    <x v="1"/>
    <x v="1"/>
    <s v="cashloan"/>
    <n v="30500000"/>
  </r>
  <r>
    <x v="574"/>
    <x v="1"/>
    <x v="7"/>
    <n v="31"/>
    <n v="3"/>
    <x v="14"/>
    <x v="13"/>
    <s v="cashloan"/>
    <n v="1953420000"/>
  </r>
  <r>
    <x v="574"/>
    <x v="1"/>
    <x v="7"/>
    <n v="31"/>
    <n v="3"/>
    <x v="19"/>
    <x v="12"/>
    <s v="paylater"/>
    <n v="1015676958"/>
  </r>
  <r>
    <x v="574"/>
    <x v="1"/>
    <x v="7"/>
    <n v="31"/>
    <n v="3"/>
    <x v="6"/>
    <x v="6"/>
    <s v="payday"/>
    <n v="51000000"/>
  </r>
  <r>
    <x v="574"/>
    <x v="1"/>
    <x v="7"/>
    <n v="31"/>
    <n v="3"/>
    <x v="24"/>
    <x v="18"/>
    <s v="cashloan"/>
    <n v="5359710000"/>
  </r>
  <r>
    <x v="574"/>
    <x v="1"/>
    <x v="7"/>
    <n v="31"/>
    <n v="3"/>
    <x v="18"/>
    <x v="15"/>
    <s v="cashloan"/>
    <n v="399480000"/>
  </r>
  <r>
    <x v="574"/>
    <x v="1"/>
    <x v="7"/>
    <n v="31"/>
    <n v="3"/>
    <x v="3"/>
    <x v="3"/>
    <s v="cashloan"/>
    <n v="0"/>
  </r>
  <r>
    <x v="574"/>
    <x v="1"/>
    <x v="7"/>
    <n v="31"/>
    <n v="3"/>
    <x v="5"/>
    <x v="5"/>
    <s v="overdraft"/>
    <n v="3606519416"/>
  </r>
  <r>
    <x v="575"/>
    <x v="1"/>
    <x v="7"/>
    <n v="32"/>
    <n v="4"/>
    <x v="18"/>
    <x v="15"/>
    <s v="cashloan"/>
    <n v="329540000"/>
  </r>
  <r>
    <x v="575"/>
    <x v="1"/>
    <x v="7"/>
    <n v="32"/>
    <n v="4"/>
    <x v="5"/>
    <x v="5"/>
    <s v="overdraft"/>
    <n v="4918843321"/>
  </r>
  <r>
    <x v="575"/>
    <x v="1"/>
    <x v="7"/>
    <n v="32"/>
    <n v="4"/>
    <x v="19"/>
    <x v="12"/>
    <s v="paylater"/>
    <n v="1854305938"/>
  </r>
  <r>
    <x v="575"/>
    <x v="1"/>
    <x v="7"/>
    <n v="32"/>
    <n v="4"/>
    <x v="7"/>
    <x v="7"/>
    <s v="paylater"/>
    <n v="690621988"/>
  </r>
  <r>
    <x v="575"/>
    <x v="1"/>
    <x v="7"/>
    <n v="32"/>
    <n v="4"/>
    <x v="11"/>
    <x v="10"/>
    <s v="paylater"/>
    <n v="388040691"/>
  </r>
  <r>
    <x v="575"/>
    <x v="1"/>
    <x v="7"/>
    <n v="32"/>
    <n v="4"/>
    <x v="26"/>
    <x v="16"/>
    <s v="cashloan"/>
    <n v="20000000"/>
  </r>
  <r>
    <x v="575"/>
    <x v="1"/>
    <x v="7"/>
    <n v="32"/>
    <n v="4"/>
    <x v="27"/>
    <x v="19"/>
    <s v="payday"/>
    <n v="3914784000"/>
  </r>
  <r>
    <x v="575"/>
    <x v="1"/>
    <x v="7"/>
    <n v="32"/>
    <n v="4"/>
    <x v="14"/>
    <x v="13"/>
    <s v="cashloan"/>
    <n v="1916050000"/>
  </r>
  <r>
    <x v="575"/>
    <x v="1"/>
    <x v="7"/>
    <n v="32"/>
    <n v="4"/>
    <x v="12"/>
    <x v="11"/>
    <s v="cashloan"/>
    <n v="11237680000"/>
  </r>
  <r>
    <x v="575"/>
    <x v="1"/>
    <x v="7"/>
    <n v="32"/>
    <n v="4"/>
    <x v="2"/>
    <x v="2"/>
    <s v="cashloan"/>
    <n v="11630880000"/>
  </r>
  <r>
    <x v="575"/>
    <x v="1"/>
    <x v="7"/>
    <n v="32"/>
    <n v="4"/>
    <x v="24"/>
    <x v="18"/>
    <s v="cashloan"/>
    <n v="6443210000"/>
  </r>
  <r>
    <x v="575"/>
    <x v="1"/>
    <x v="7"/>
    <n v="32"/>
    <n v="4"/>
    <x v="0"/>
    <x v="0"/>
    <s v="payday"/>
    <n v="5637708000"/>
  </r>
  <r>
    <x v="575"/>
    <x v="1"/>
    <x v="7"/>
    <n v="32"/>
    <n v="4"/>
    <x v="15"/>
    <x v="14"/>
    <s v="paylater"/>
    <n v="130728438"/>
  </r>
  <r>
    <x v="575"/>
    <x v="1"/>
    <x v="7"/>
    <n v="32"/>
    <n v="4"/>
    <x v="1"/>
    <x v="1"/>
    <s v="cashloan"/>
    <n v="15750000"/>
  </r>
  <r>
    <x v="575"/>
    <x v="1"/>
    <x v="7"/>
    <n v="32"/>
    <n v="4"/>
    <x v="6"/>
    <x v="6"/>
    <s v="payday"/>
    <n v="49000000"/>
  </r>
  <r>
    <x v="575"/>
    <x v="1"/>
    <x v="7"/>
    <n v="32"/>
    <n v="4"/>
    <x v="3"/>
    <x v="3"/>
    <s v="cashloan"/>
    <n v="0"/>
  </r>
  <r>
    <x v="575"/>
    <x v="1"/>
    <x v="7"/>
    <n v="32"/>
    <n v="4"/>
    <x v="25"/>
    <x v="2"/>
    <s v="cashloan"/>
    <n v="0"/>
  </r>
  <r>
    <x v="575"/>
    <x v="1"/>
    <x v="7"/>
    <n v="32"/>
    <n v="4"/>
    <x v="23"/>
    <x v="17"/>
    <s v="paylater"/>
    <n v="487873000"/>
  </r>
  <r>
    <x v="576"/>
    <x v="1"/>
    <x v="7"/>
    <n v="32"/>
    <n v="5"/>
    <x v="23"/>
    <x v="17"/>
    <s v="paylater"/>
    <n v="522929000"/>
  </r>
  <r>
    <x v="576"/>
    <x v="1"/>
    <x v="7"/>
    <n v="32"/>
    <n v="5"/>
    <x v="11"/>
    <x v="10"/>
    <s v="paylater"/>
    <n v="356656671"/>
  </r>
  <r>
    <x v="576"/>
    <x v="1"/>
    <x v="7"/>
    <n v="32"/>
    <n v="5"/>
    <x v="19"/>
    <x v="12"/>
    <s v="paylater"/>
    <n v="1238761997"/>
  </r>
  <r>
    <x v="576"/>
    <x v="1"/>
    <x v="7"/>
    <n v="32"/>
    <n v="5"/>
    <x v="12"/>
    <x v="11"/>
    <s v="cashloan"/>
    <n v="11844870000"/>
  </r>
  <r>
    <x v="576"/>
    <x v="1"/>
    <x v="7"/>
    <n v="32"/>
    <n v="5"/>
    <x v="3"/>
    <x v="3"/>
    <s v="cashloan"/>
    <n v="0"/>
  </r>
  <r>
    <x v="576"/>
    <x v="1"/>
    <x v="7"/>
    <n v="32"/>
    <n v="5"/>
    <x v="1"/>
    <x v="1"/>
    <s v="cashloan"/>
    <n v="10500000"/>
  </r>
  <r>
    <x v="576"/>
    <x v="1"/>
    <x v="7"/>
    <n v="32"/>
    <n v="5"/>
    <x v="7"/>
    <x v="7"/>
    <s v="paylater"/>
    <n v="642536295"/>
  </r>
  <r>
    <x v="576"/>
    <x v="1"/>
    <x v="7"/>
    <n v="32"/>
    <n v="5"/>
    <x v="6"/>
    <x v="6"/>
    <s v="payday"/>
    <n v="36000000"/>
  </r>
  <r>
    <x v="576"/>
    <x v="1"/>
    <x v="7"/>
    <n v="32"/>
    <n v="5"/>
    <x v="0"/>
    <x v="0"/>
    <s v="payday"/>
    <n v="6576552000"/>
  </r>
  <r>
    <x v="576"/>
    <x v="1"/>
    <x v="7"/>
    <n v="32"/>
    <n v="5"/>
    <x v="5"/>
    <x v="5"/>
    <s v="overdraft"/>
    <n v="3991722491"/>
  </r>
  <r>
    <x v="576"/>
    <x v="1"/>
    <x v="7"/>
    <n v="32"/>
    <n v="5"/>
    <x v="27"/>
    <x v="19"/>
    <s v="payday"/>
    <n v="3945024000"/>
  </r>
  <r>
    <x v="576"/>
    <x v="1"/>
    <x v="7"/>
    <n v="32"/>
    <n v="5"/>
    <x v="14"/>
    <x v="13"/>
    <s v="cashloan"/>
    <n v="1786840000"/>
  </r>
  <r>
    <x v="576"/>
    <x v="1"/>
    <x v="7"/>
    <n v="32"/>
    <n v="5"/>
    <x v="24"/>
    <x v="18"/>
    <s v="cashloan"/>
    <n v="6400020000"/>
  </r>
  <r>
    <x v="576"/>
    <x v="1"/>
    <x v="7"/>
    <n v="32"/>
    <n v="5"/>
    <x v="15"/>
    <x v="14"/>
    <s v="paylater"/>
    <n v="57923586"/>
  </r>
  <r>
    <x v="576"/>
    <x v="1"/>
    <x v="7"/>
    <n v="32"/>
    <n v="5"/>
    <x v="2"/>
    <x v="2"/>
    <s v="cashloan"/>
    <n v="11461790000"/>
  </r>
  <r>
    <x v="576"/>
    <x v="1"/>
    <x v="7"/>
    <n v="32"/>
    <n v="5"/>
    <x v="26"/>
    <x v="16"/>
    <s v="cashloan"/>
    <n v="27300000"/>
  </r>
  <r>
    <x v="576"/>
    <x v="1"/>
    <x v="7"/>
    <n v="32"/>
    <n v="5"/>
    <x v="18"/>
    <x v="15"/>
    <s v="cashloan"/>
    <n v="717230000"/>
  </r>
  <r>
    <x v="576"/>
    <x v="1"/>
    <x v="7"/>
    <n v="32"/>
    <n v="5"/>
    <x v="25"/>
    <x v="2"/>
    <s v="cashloan"/>
    <n v="0"/>
  </r>
  <r>
    <x v="577"/>
    <x v="1"/>
    <x v="7"/>
    <n v="32"/>
    <n v="6"/>
    <x v="3"/>
    <x v="3"/>
    <s v="cashloan"/>
    <n v="0"/>
  </r>
  <r>
    <x v="577"/>
    <x v="1"/>
    <x v="7"/>
    <n v="32"/>
    <n v="6"/>
    <x v="18"/>
    <x v="15"/>
    <s v="cashloan"/>
    <n v="570730000"/>
  </r>
  <r>
    <x v="577"/>
    <x v="1"/>
    <x v="7"/>
    <n v="32"/>
    <n v="6"/>
    <x v="12"/>
    <x v="11"/>
    <s v="cashloan"/>
    <n v="11522020000"/>
  </r>
  <r>
    <x v="577"/>
    <x v="1"/>
    <x v="7"/>
    <n v="32"/>
    <n v="6"/>
    <x v="19"/>
    <x v="12"/>
    <s v="paylater"/>
    <n v="683033527"/>
  </r>
  <r>
    <x v="577"/>
    <x v="1"/>
    <x v="7"/>
    <n v="32"/>
    <n v="6"/>
    <x v="15"/>
    <x v="14"/>
    <s v="paylater"/>
    <n v="44272354"/>
  </r>
  <r>
    <x v="577"/>
    <x v="1"/>
    <x v="7"/>
    <n v="32"/>
    <n v="6"/>
    <x v="24"/>
    <x v="18"/>
    <s v="cashloan"/>
    <n v="5221390000"/>
  </r>
  <r>
    <x v="577"/>
    <x v="1"/>
    <x v="7"/>
    <n v="32"/>
    <n v="6"/>
    <x v="26"/>
    <x v="16"/>
    <s v="cashloan"/>
    <n v="0"/>
  </r>
  <r>
    <x v="577"/>
    <x v="1"/>
    <x v="7"/>
    <n v="32"/>
    <n v="6"/>
    <x v="6"/>
    <x v="6"/>
    <s v="payday"/>
    <n v="44000000"/>
  </r>
  <r>
    <x v="577"/>
    <x v="1"/>
    <x v="7"/>
    <n v="32"/>
    <n v="6"/>
    <x v="1"/>
    <x v="1"/>
    <s v="cashloan"/>
    <n v="42000000"/>
  </r>
  <r>
    <x v="577"/>
    <x v="1"/>
    <x v="7"/>
    <n v="32"/>
    <n v="6"/>
    <x v="7"/>
    <x v="7"/>
    <s v="paylater"/>
    <n v="460736837"/>
  </r>
  <r>
    <x v="577"/>
    <x v="1"/>
    <x v="7"/>
    <n v="32"/>
    <n v="6"/>
    <x v="14"/>
    <x v="13"/>
    <s v="cashloan"/>
    <n v="2371360000"/>
  </r>
  <r>
    <x v="577"/>
    <x v="1"/>
    <x v="7"/>
    <n v="32"/>
    <n v="6"/>
    <x v="27"/>
    <x v="19"/>
    <s v="payday"/>
    <n v="3540348000"/>
  </r>
  <r>
    <x v="577"/>
    <x v="1"/>
    <x v="7"/>
    <n v="32"/>
    <n v="6"/>
    <x v="11"/>
    <x v="10"/>
    <s v="paylater"/>
    <n v="274532987"/>
  </r>
  <r>
    <x v="577"/>
    <x v="1"/>
    <x v="7"/>
    <n v="32"/>
    <n v="6"/>
    <x v="0"/>
    <x v="0"/>
    <s v="payday"/>
    <n v="5989464000"/>
  </r>
  <r>
    <x v="577"/>
    <x v="1"/>
    <x v="7"/>
    <n v="32"/>
    <n v="6"/>
    <x v="5"/>
    <x v="5"/>
    <s v="overdraft"/>
    <n v="3376398287"/>
  </r>
  <r>
    <x v="577"/>
    <x v="1"/>
    <x v="7"/>
    <n v="32"/>
    <n v="6"/>
    <x v="23"/>
    <x v="17"/>
    <s v="paylater"/>
    <n v="547780000"/>
  </r>
  <r>
    <x v="577"/>
    <x v="1"/>
    <x v="7"/>
    <n v="32"/>
    <n v="6"/>
    <x v="2"/>
    <x v="2"/>
    <s v="cashloan"/>
    <n v="10134200000"/>
  </r>
  <r>
    <x v="577"/>
    <x v="1"/>
    <x v="7"/>
    <n v="32"/>
    <n v="6"/>
    <x v="25"/>
    <x v="2"/>
    <s v="cashloan"/>
    <n v="0"/>
  </r>
  <r>
    <x v="578"/>
    <x v="1"/>
    <x v="7"/>
    <n v="32"/>
    <n v="7"/>
    <x v="7"/>
    <x v="7"/>
    <s v="paylater"/>
    <n v="362038363"/>
  </r>
  <r>
    <x v="578"/>
    <x v="1"/>
    <x v="7"/>
    <n v="32"/>
    <n v="7"/>
    <x v="6"/>
    <x v="6"/>
    <s v="payday"/>
    <n v="51000000"/>
  </r>
  <r>
    <x v="578"/>
    <x v="1"/>
    <x v="7"/>
    <n v="32"/>
    <n v="7"/>
    <x v="5"/>
    <x v="5"/>
    <s v="overdraft"/>
    <n v="3142283152"/>
  </r>
  <r>
    <x v="578"/>
    <x v="1"/>
    <x v="7"/>
    <n v="32"/>
    <n v="7"/>
    <x v="11"/>
    <x v="10"/>
    <s v="paylater"/>
    <n v="243216942"/>
  </r>
  <r>
    <x v="578"/>
    <x v="1"/>
    <x v="7"/>
    <n v="32"/>
    <n v="7"/>
    <x v="1"/>
    <x v="1"/>
    <s v="cashloan"/>
    <n v="10500000"/>
  </r>
  <r>
    <x v="578"/>
    <x v="1"/>
    <x v="7"/>
    <n v="32"/>
    <n v="7"/>
    <x v="23"/>
    <x v="17"/>
    <s v="paylater"/>
    <n v="431205650"/>
  </r>
  <r>
    <x v="578"/>
    <x v="1"/>
    <x v="7"/>
    <n v="32"/>
    <n v="7"/>
    <x v="14"/>
    <x v="13"/>
    <s v="cashloan"/>
    <n v="2184590000"/>
  </r>
  <r>
    <x v="578"/>
    <x v="1"/>
    <x v="7"/>
    <n v="32"/>
    <n v="7"/>
    <x v="2"/>
    <x v="2"/>
    <s v="cashloan"/>
    <n v="9758780000"/>
  </r>
  <r>
    <x v="578"/>
    <x v="1"/>
    <x v="7"/>
    <n v="32"/>
    <n v="7"/>
    <x v="12"/>
    <x v="11"/>
    <s v="cashloan"/>
    <n v="9703680000"/>
  </r>
  <r>
    <x v="578"/>
    <x v="1"/>
    <x v="7"/>
    <n v="32"/>
    <n v="7"/>
    <x v="15"/>
    <x v="14"/>
    <s v="paylater"/>
    <n v="39876286"/>
  </r>
  <r>
    <x v="578"/>
    <x v="1"/>
    <x v="7"/>
    <n v="32"/>
    <n v="7"/>
    <x v="27"/>
    <x v="19"/>
    <s v="payday"/>
    <n v="3279852000"/>
  </r>
  <r>
    <x v="578"/>
    <x v="1"/>
    <x v="7"/>
    <n v="32"/>
    <n v="7"/>
    <x v="24"/>
    <x v="18"/>
    <s v="cashloan"/>
    <n v="5467870000"/>
  </r>
  <r>
    <x v="578"/>
    <x v="1"/>
    <x v="7"/>
    <n v="32"/>
    <n v="7"/>
    <x v="25"/>
    <x v="2"/>
    <s v="cashloan"/>
    <n v="0"/>
  </r>
  <r>
    <x v="578"/>
    <x v="1"/>
    <x v="7"/>
    <n v="32"/>
    <n v="7"/>
    <x v="26"/>
    <x v="16"/>
    <s v="cashloan"/>
    <n v="0"/>
  </r>
  <r>
    <x v="578"/>
    <x v="1"/>
    <x v="7"/>
    <n v="32"/>
    <n v="7"/>
    <x v="0"/>
    <x v="0"/>
    <s v="payday"/>
    <n v="5600124000"/>
  </r>
  <r>
    <x v="578"/>
    <x v="1"/>
    <x v="7"/>
    <n v="32"/>
    <n v="7"/>
    <x v="19"/>
    <x v="12"/>
    <s v="paylater"/>
    <n v="558043177"/>
  </r>
  <r>
    <x v="578"/>
    <x v="1"/>
    <x v="7"/>
    <n v="32"/>
    <n v="7"/>
    <x v="18"/>
    <x v="15"/>
    <s v="cashloan"/>
    <n v="493940000"/>
  </r>
  <r>
    <x v="578"/>
    <x v="1"/>
    <x v="7"/>
    <n v="32"/>
    <n v="7"/>
    <x v="3"/>
    <x v="3"/>
    <s v="cashloan"/>
    <n v="0"/>
  </r>
  <r>
    <x v="579"/>
    <x v="1"/>
    <x v="7"/>
    <n v="32"/>
    <n v="8"/>
    <x v="14"/>
    <x v="13"/>
    <s v="cashloan"/>
    <n v="2134130000"/>
  </r>
  <r>
    <x v="579"/>
    <x v="1"/>
    <x v="7"/>
    <n v="32"/>
    <n v="8"/>
    <x v="12"/>
    <x v="11"/>
    <s v="cashloan"/>
    <n v="10875830000"/>
  </r>
  <r>
    <x v="579"/>
    <x v="1"/>
    <x v="7"/>
    <n v="32"/>
    <n v="8"/>
    <x v="7"/>
    <x v="7"/>
    <s v="paylater"/>
    <n v="337405845"/>
  </r>
  <r>
    <x v="579"/>
    <x v="1"/>
    <x v="7"/>
    <n v="32"/>
    <n v="8"/>
    <x v="0"/>
    <x v="0"/>
    <s v="payday"/>
    <n v="6536700000"/>
  </r>
  <r>
    <x v="579"/>
    <x v="1"/>
    <x v="7"/>
    <n v="32"/>
    <n v="8"/>
    <x v="2"/>
    <x v="2"/>
    <s v="cashloan"/>
    <n v="11937810000"/>
  </r>
  <r>
    <x v="579"/>
    <x v="1"/>
    <x v="7"/>
    <n v="32"/>
    <n v="8"/>
    <x v="5"/>
    <x v="5"/>
    <s v="overdraft"/>
    <n v="3215431781"/>
  </r>
  <r>
    <x v="579"/>
    <x v="1"/>
    <x v="7"/>
    <n v="32"/>
    <n v="8"/>
    <x v="26"/>
    <x v="16"/>
    <s v="cashloan"/>
    <n v="27300000"/>
  </r>
  <r>
    <x v="579"/>
    <x v="1"/>
    <x v="7"/>
    <n v="32"/>
    <n v="8"/>
    <x v="25"/>
    <x v="2"/>
    <s v="cashloan"/>
    <n v="0"/>
  </r>
  <r>
    <x v="579"/>
    <x v="1"/>
    <x v="7"/>
    <n v="32"/>
    <n v="8"/>
    <x v="6"/>
    <x v="6"/>
    <s v="payday"/>
    <n v="13000000"/>
  </r>
  <r>
    <x v="579"/>
    <x v="1"/>
    <x v="7"/>
    <n v="32"/>
    <n v="8"/>
    <x v="1"/>
    <x v="1"/>
    <s v="cashloan"/>
    <n v="31500000"/>
  </r>
  <r>
    <x v="579"/>
    <x v="1"/>
    <x v="7"/>
    <n v="32"/>
    <n v="8"/>
    <x v="15"/>
    <x v="14"/>
    <s v="paylater"/>
    <n v="43263278"/>
  </r>
  <r>
    <x v="579"/>
    <x v="1"/>
    <x v="7"/>
    <n v="32"/>
    <n v="8"/>
    <x v="23"/>
    <x v="17"/>
    <s v="paylater"/>
    <n v="492821000"/>
  </r>
  <r>
    <x v="579"/>
    <x v="1"/>
    <x v="7"/>
    <n v="32"/>
    <n v="8"/>
    <x v="18"/>
    <x v="15"/>
    <s v="cashloan"/>
    <n v="411440000"/>
  </r>
  <r>
    <x v="579"/>
    <x v="1"/>
    <x v="7"/>
    <n v="32"/>
    <n v="8"/>
    <x v="11"/>
    <x v="10"/>
    <s v="paylater"/>
    <n v="226544513"/>
  </r>
  <r>
    <x v="579"/>
    <x v="1"/>
    <x v="7"/>
    <n v="32"/>
    <n v="8"/>
    <x v="19"/>
    <x v="12"/>
    <s v="paylater"/>
    <n v="493235347"/>
  </r>
  <r>
    <x v="579"/>
    <x v="1"/>
    <x v="7"/>
    <n v="32"/>
    <n v="8"/>
    <x v="24"/>
    <x v="18"/>
    <s v="cashloan"/>
    <n v="3465590000"/>
  </r>
  <r>
    <x v="579"/>
    <x v="1"/>
    <x v="7"/>
    <n v="32"/>
    <n v="8"/>
    <x v="3"/>
    <x v="3"/>
    <s v="cashloan"/>
    <n v="0"/>
  </r>
  <r>
    <x v="579"/>
    <x v="1"/>
    <x v="7"/>
    <n v="32"/>
    <n v="8"/>
    <x v="27"/>
    <x v="19"/>
    <s v="payday"/>
    <n v="3562812000"/>
  </r>
  <r>
    <x v="580"/>
    <x v="1"/>
    <x v="7"/>
    <n v="32"/>
    <n v="9"/>
    <x v="1"/>
    <x v="1"/>
    <s v="cashloan"/>
    <n v="15750000"/>
  </r>
  <r>
    <x v="580"/>
    <x v="1"/>
    <x v="7"/>
    <n v="32"/>
    <n v="9"/>
    <x v="19"/>
    <x v="12"/>
    <s v="paylater"/>
    <n v="416117696"/>
  </r>
  <r>
    <x v="580"/>
    <x v="1"/>
    <x v="7"/>
    <n v="32"/>
    <n v="9"/>
    <x v="18"/>
    <x v="15"/>
    <s v="cashloan"/>
    <n v="395700000"/>
  </r>
  <r>
    <x v="580"/>
    <x v="1"/>
    <x v="7"/>
    <n v="32"/>
    <n v="9"/>
    <x v="15"/>
    <x v="14"/>
    <s v="paylater"/>
    <n v="19032032"/>
  </r>
  <r>
    <x v="580"/>
    <x v="1"/>
    <x v="7"/>
    <n v="32"/>
    <n v="9"/>
    <x v="24"/>
    <x v="18"/>
    <s v="cashloan"/>
    <n v="352170000"/>
  </r>
  <r>
    <x v="580"/>
    <x v="1"/>
    <x v="7"/>
    <n v="32"/>
    <n v="9"/>
    <x v="0"/>
    <x v="0"/>
    <s v="payday"/>
    <n v="6368976000"/>
  </r>
  <r>
    <x v="580"/>
    <x v="1"/>
    <x v="7"/>
    <n v="32"/>
    <n v="9"/>
    <x v="7"/>
    <x v="7"/>
    <s v="paylater"/>
    <n v="300034807"/>
  </r>
  <r>
    <x v="580"/>
    <x v="1"/>
    <x v="7"/>
    <n v="32"/>
    <n v="9"/>
    <x v="26"/>
    <x v="16"/>
    <s v="cashloan"/>
    <n v="12600000"/>
  </r>
  <r>
    <x v="580"/>
    <x v="1"/>
    <x v="7"/>
    <n v="32"/>
    <n v="9"/>
    <x v="23"/>
    <x v="17"/>
    <s v="paylater"/>
    <n v="435664000"/>
  </r>
  <r>
    <x v="580"/>
    <x v="1"/>
    <x v="7"/>
    <n v="32"/>
    <n v="9"/>
    <x v="5"/>
    <x v="5"/>
    <s v="overdraft"/>
    <n v="2866701754"/>
  </r>
  <r>
    <x v="580"/>
    <x v="1"/>
    <x v="7"/>
    <n v="32"/>
    <n v="9"/>
    <x v="14"/>
    <x v="13"/>
    <s v="cashloan"/>
    <n v="2008640000"/>
  </r>
  <r>
    <x v="580"/>
    <x v="1"/>
    <x v="7"/>
    <n v="32"/>
    <n v="9"/>
    <x v="2"/>
    <x v="2"/>
    <s v="cashloan"/>
    <n v="10518470000"/>
  </r>
  <r>
    <x v="580"/>
    <x v="1"/>
    <x v="7"/>
    <n v="32"/>
    <n v="9"/>
    <x v="6"/>
    <x v="6"/>
    <s v="payday"/>
    <n v="28000000"/>
  </r>
  <r>
    <x v="580"/>
    <x v="1"/>
    <x v="7"/>
    <n v="32"/>
    <n v="9"/>
    <x v="12"/>
    <x v="11"/>
    <s v="cashloan"/>
    <n v="10496200000"/>
  </r>
  <r>
    <x v="580"/>
    <x v="1"/>
    <x v="7"/>
    <n v="32"/>
    <n v="9"/>
    <x v="27"/>
    <x v="19"/>
    <s v="payday"/>
    <n v="3352212000"/>
  </r>
  <r>
    <x v="580"/>
    <x v="1"/>
    <x v="7"/>
    <n v="32"/>
    <n v="9"/>
    <x v="11"/>
    <x v="10"/>
    <s v="paylater"/>
    <n v="248871345"/>
  </r>
  <r>
    <x v="580"/>
    <x v="1"/>
    <x v="7"/>
    <n v="32"/>
    <n v="9"/>
    <x v="25"/>
    <x v="2"/>
    <s v="cashloan"/>
    <n v="0"/>
  </r>
  <r>
    <x v="580"/>
    <x v="1"/>
    <x v="7"/>
    <n v="32"/>
    <n v="9"/>
    <x v="3"/>
    <x v="3"/>
    <s v="cashloan"/>
    <n v="0"/>
  </r>
  <r>
    <x v="581"/>
    <x v="1"/>
    <x v="7"/>
    <n v="32"/>
    <n v="10"/>
    <x v="12"/>
    <x v="11"/>
    <s v="cashloan"/>
    <n v="10387270000"/>
  </r>
  <r>
    <x v="581"/>
    <x v="1"/>
    <x v="7"/>
    <n v="32"/>
    <n v="10"/>
    <x v="11"/>
    <x v="10"/>
    <s v="paylater"/>
    <n v="259803553"/>
  </r>
  <r>
    <x v="581"/>
    <x v="1"/>
    <x v="7"/>
    <n v="32"/>
    <n v="10"/>
    <x v="23"/>
    <x v="17"/>
    <s v="paylater"/>
    <n v="446971150"/>
  </r>
  <r>
    <x v="581"/>
    <x v="1"/>
    <x v="7"/>
    <n v="32"/>
    <n v="10"/>
    <x v="19"/>
    <x v="12"/>
    <s v="paylater"/>
    <n v="408048395"/>
  </r>
  <r>
    <x v="581"/>
    <x v="1"/>
    <x v="7"/>
    <n v="32"/>
    <n v="10"/>
    <x v="14"/>
    <x v="13"/>
    <s v="cashloan"/>
    <n v="2903260000"/>
  </r>
  <r>
    <x v="581"/>
    <x v="1"/>
    <x v="7"/>
    <n v="32"/>
    <n v="10"/>
    <x v="24"/>
    <x v="18"/>
    <s v="cashloan"/>
    <n v="293040000"/>
  </r>
  <r>
    <x v="581"/>
    <x v="1"/>
    <x v="7"/>
    <n v="32"/>
    <n v="10"/>
    <x v="25"/>
    <x v="2"/>
    <s v="cashloan"/>
    <n v="0"/>
  </r>
  <r>
    <x v="581"/>
    <x v="1"/>
    <x v="7"/>
    <n v="32"/>
    <n v="10"/>
    <x v="0"/>
    <x v="0"/>
    <s v="payday"/>
    <n v="6402456000"/>
  </r>
  <r>
    <x v="581"/>
    <x v="1"/>
    <x v="7"/>
    <n v="32"/>
    <n v="10"/>
    <x v="27"/>
    <x v="19"/>
    <s v="payday"/>
    <n v="3403296000"/>
  </r>
  <r>
    <x v="581"/>
    <x v="1"/>
    <x v="7"/>
    <n v="32"/>
    <n v="10"/>
    <x v="6"/>
    <x v="6"/>
    <s v="payday"/>
    <n v="19000000"/>
  </r>
  <r>
    <x v="581"/>
    <x v="1"/>
    <x v="7"/>
    <n v="32"/>
    <n v="10"/>
    <x v="7"/>
    <x v="7"/>
    <s v="paylater"/>
    <n v="324859691"/>
  </r>
  <r>
    <x v="581"/>
    <x v="1"/>
    <x v="7"/>
    <n v="32"/>
    <n v="10"/>
    <x v="3"/>
    <x v="3"/>
    <s v="cashloan"/>
    <n v="0"/>
  </r>
  <r>
    <x v="581"/>
    <x v="1"/>
    <x v="7"/>
    <n v="32"/>
    <n v="10"/>
    <x v="1"/>
    <x v="1"/>
    <s v="cashloan"/>
    <n v="52500000"/>
  </r>
  <r>
    <x v="581"/>
    <x v="1"/>
    <x v="7"/>
    <n v="32"/>
    <n v="10"/>
    <x v="26"/>
    <x v="16"/>
    <s v="cashloan"/>
    <n v="0"/>
  </r>
  <r>
    <x v="581"/>
    <x v="1"/>
    <x v="7"/>
    <n v="32"/>
    <n v="10"/>
    <x v="18"/>
    <x v="15"/>
    <s v="cashloan"/>
    <n v="667620000"/>
  </r>
  <r>
    <x v="581"/>
    <x v="1"/>
    <x v="7"/>
    <n v="32"/>
    <n v="10"/>
    <x v="5"/>
    <x v="5"/>
    <s v="overdraft"/>
    <n v="3045419128"/>
  </r>
  <r>
    <x v="581"/>
    <x v="1"/>
    <x v="7"/>
    <n v="32"/>
    <n v="10"/>
    <x v="15"/>
    <x v="14"/>
    <s v="paylater"/>
    <n v="20373564"/>
  </r>
  <r>
    <x v="581"/>
    <x v="1"/>
    <x v="7"/>
    <n v="32"/>
    <n v="10"/>
    <x v="2"/>
    <x v="2"/>
    <s v="cashloan"/>
    <n v="11676000000"/>
  </r>
  <r>
    <x v="582"/>
    <x v="1"/>
    <x v="7"/>
    <n v="33"/>
    <n v="11"/>
    <x v="18"/>
    <x v="15"/>
    <s v="cashloan"/>
    <n v="474040000"/>
  </r>
  <r>
    <x v="582"/>
    <x v="1"/>
    <x v="7"/>
    <n v="33"/>
    <n v="11"/>
    <x v="15"/>
    <x v="14"/>
    <s v="paylater"/>
    <n v="39467928"/>
  </r>
  <r>
    <x v="582"/>
    <x v="1"/>
    <x v="7"/>
    <n v="33"/>
    <n v="11"/>
    <x v="2"/>
    <x v="2"/>
    <s v="cashloan"/>
    <n v="11878930000"/>
  </r>
  <r>
    <x v="582"/>
    <x v="1"/>
    <x v="7"/>
    <n v="33"/>
    <n v="11"/>
    <x v="19"/>
    <x v="12"/>
    <s v="paylater"/>
    <n v="492370735"/>
  </r>
  <r>
    <x v="582"/>
    <x v="1"/>
    <x v="7"/>
    <n v="33"/>
    <n v="11"/>
    <x v="25"/>
    <x v="2"/>
    <s v="cashloan"/>
    <n v="20700000"/>
  </r>
  <r>
    <x v="582"/>
    <x v="1"/>
    <x v="7"/>
    <n v="33"/>
    <n v="11"/>
    <x v="1"/>
    <x v="1"/>
    <s v="cashloan"/>
    <n v="10000000"/>
  </r>
  <r>
    <x v="582"/>
    <x v="1"/>
    <x v="7"/>
    <n v="33"/>
    <n v="11"/>
    <x v="3"/>
    <x v="3"/>
    <s v="cashloan"/>
    <n v="0"/>
  </r>
  <r>
    <x v="582"/>
    <x v="1"/>
    <x v="7"/>
    <n v="33"/>
    <n v="11"/>
    <x v="23"/>
    <x v="17"/>
    <s v="paylater"/>
    <n v="460492000"/>
  </r>
  <r>
    <x v="582"/>
    <x v="1"/>
    <x v="7"/>
    <n v="33"/>
    <n v="11"/>
    <x v="26"/>
    <x v="16"/>
    <s v="cashloan"/>
    <n v="0"/>
  </r>
  <r>
    <x v="582"/>
    <x v="1"/>
    <x v="7"/>
    <n v="33"/>
    <n v="11"/>
    <x v="5"/>
    <x v="5"/>
    <s v="overdraft"/>
    <n v="3704531016"/>
  </r>
  <r>
    <x v="582"/>
    <x v="1"/>
    <x v="7"/>
    <n v="33"/>
    <n v="11"/>
    <x v="14"/>
    <x v="13"/>
    <s v="cashloan"/>
    <n v="2070390000"/>
  </r>
  <r>
    <x v="582"/>
    <x v="1"/>
    <x v="7"/>
    <n v="33"/>
    <n v="11"/>
    <x v="12"/>
    <x v="11"/>
    <s v="cashloan"/>
    <n v="11606290000"/>
  </r>
  <r>
    <x v="582"/>
    <x v="1"/>
    <x v="7"/>
    <n v="33"/>
    <n v="11"/>
    <x v="7"/>
    <x v="7"/>
    <s v="paylater"/>
    <n v="325203607"/>
  </r>
  <r>
    <x v="582"/>
    <x v="1"/>
    <x v="7"/>
    <n v="33"/>
    <n v="11"/>
    <x v="24"/>
    <x v="18"/>
    <s v="cashloan"/>
    <n v="315510000"/>
  </r>
  <r>
    <x v="582"/>
    <x v="1"/>
    <x v="7"/>
    <n v="33"/>
    <n v="11"/>
    <x v="0"/>
    <x v="0"/>
    <s v="payday"/>
    <n v="6837048000"/>
  </r>
  <r>
    <x v="582"/>
    <x v="1"/>
    <x v="7"/>
    <n v="33"/>
    <n v="11"/>
    <x v="6"/>
    <x v="6"/>
    <s v="payday"/>
    <n v="19000000"/>
  </r>
  <r>
    <x v="582"/>
    <x v="1"/>
    <x v="7"/>
    <n v="33"/>
    <n v="11"/>
    <x v="11"/>
    <x v="10"/>
    <s v="paylater"/>
    <n v="244667714"/>
  </r>
  <r>
    <x v="582"/>
    <x v="1"/>
    <x v="7"/>
    <n v="33"/>
    <n v="11"/>
    <x v="27"/>
    <x v="19"/>
    <s v="payday"/>
    <n v="3374028000"/>
  </r>
  <r>
    <x v="583"/>
    <x v="1"/>
    <x v="7"/>
    <n v="33"/>
    <n v="12"/>
    <x v="24"/>
    <x v="18"/>
    <s v="cashloan"/>
    <n v="374360000"/>
  </r>
  <r>
    <x v="583"/>
    <x v="1"/>
    <x v="7"/>
    <n v="33"/>
    <n v="12"/>
    <x v="14"/>
    <x v="13"/>
    <s v="cashloan"/>
    <n v="2678560000"/>
  </r>
  <r>
    <x v="583"/>
    <x v="1"/>
    <x v="7"/>
    <n v="33"/>
    <n v="12"/>
    <x v="0"/>
    <x v="0"/>
    <s v="payday"/>
    <n v="6663492000"/>
  </r>
  <r>
    <x v="583"/>
    <x v="1"/>
    <x v="7"/>
    <n v="33"/>
    <n v="12"/>
    <x v="18"/>
    <x v="15"/>
    <s v="cashloan"/>
    <n v="439860000"/>
  </r>
  <r>
    <x v="583"/>
    <x v="1"/>
    <x v="7"/>
    <n v="33"/>
    <n v="12"/>
    <x v="5"/>
    <x v="5"/>
    <s v="overdraft"/>
    <n v="3013519631"/>
  </r>
  <r>
    <x v="583"/>
    <x v="1"/>
    <x v="7"/>
    <n v="33"/>
    <n v="12"/>
    <x v="2"/>
    <x v="2"/>
    <s v="cashloan"/>
    <n v="12177550000"/>
  </r>
  <r>
    <x v="583"/>
    <x v="1"/>
    <x v="7"/>
    <n v="33"/>
    <n v="12"/>
    <x v="3"/>
    <x v="3"/>
    <s v="cashloan"/>
    <n v="0"/>
  </r>
  <r>
    <x v="583"/>
    <x v="1"/>
    <x v="7"/>
    <n v="33"/>
    <n v="12"/>
    <x v="7"/>
    <x v="7"/>
    <s v="paylater"/>
    <n v="301456704"/>
  </r>
  <r>
    <x v="583"/>
    <x v="1"/>
    <x v="7"/>
    <n v="33"/>
    <n v="12"/>
    <x v="11"/>
    <x v="10"/>
    <s v="paylater"/>
    <n v="238027044"/>
  </r>
  <r>
    <x v="583"/>
    <x v="1"/>
    <x v="7"/>
    <n v="33"/>
    <n v="12"/>
    <x v="6"/>
    <x v="6"/>
    <s v="payday"/>
    <n v="47000000"/>
  </r>
  <r>
    <x v="583"/>
    <x v="1"/>
    <x v="7"/>
    <n v="33"/>
    <n v="12"/>
    <x v="12"/>
    <x v="11"/>
    <s v="cashloan"/>
    <n v="10995330000"/>
  </r>
  <r>
    <x v="583"/>
    <x v="1"/>
    <x v="7"/>
    <n v="33"/>
    <n v="12"/>
    <x v="27"/>
    <x v="19"/>
    <s v="payday"/>
    <n v="3114612000"/>
  </r>
  <r>
    <x v="583"/>
    <x v="1"/>
    <x v="7"/>
    <n v="33"/>
    <n v="12"/>
    <x v="1"/>
    <x v="1"/>
    <s v="cashloan"/>
    <n v="36750000"/>
  </r>
  <r>
    <x v="583"/>
    <x v="1"/>
    <x v="7"/>
    <n v="33"/>
    <n v="12"/>
    <x v="15"/>
    <x v="14"/>
    <s v="paylater"/>
    <n v="24619598"/>
  </r>
  <r>
    <x v="583"/>
    <x v="1"/>
    <x v="7"/>
    <n v="33"/>
    <n v="12"/>
    <x v="19"/>
    <x v="12"/>
    <s v="paylater"/>
    <n v="389346937"/>
  </r>
  <r>
    <x v="583"/>
    <x v="1"/>
    <x v="7"/>
    <n v="33"/>
    <n v="12"/>
    <x v="25"/>
    <x v="2"/>
    <s v="cashloan"/>
    <n v="10700000"/>
  </r>
  <r>
    <x v="583"/>
    <x v="1"/>
    <x v="7"/>
    <n v="33"/>
    <n v="12"/>
    <x v="23"/>
    <x v="17"/>
    <s v="paylater"/>
    <n v="452252000"/>
  </r>
  <r>
    <x v="583"/>
    <x v="1"/>
    <x v="7"/>
    <n v="33"/>
    <n v="12"/>
    <x v="26"/>
    <x v="16"/>
    <s v="cashloan"/>
    <n v="42000000"/>
  </r>
  <r>
    <x v="584"/>
    <x v="1"/>
    <x v="7"/>
    <n v="33"/>
    <n v="13"/>
    <x v="12"/>
    <x v="11"/>
    <s v="cashloan"/>
    <n v="11273730000"/>
  </r>
  <r>
    <x v="584"/>
    <x v="1"/>
    <x v="7"/>
    <n v="33"/>
    <n v="13"/>
    <x v="5"/>
    <x v="5"/>
    <s v="overdraft"/>
    <n v="2881549375"/>
  </r>
  <r>
    <x v="584"/>
    <x v="1"/>
    <x v="7"/>
    <n v="33"/>
    <n v="13"/>
    <x v="25"/>
    <x v="2"/>
    <s v="cashloan"/>
    <n v="7000000"/>
  </r>
  <r>
    <x v="584"/>
    <x v="1"/>
    <x v="7"/>
    <n v="33"/>
    <n v="13"/>
    <x v="24"/>
    <x v="18"/>
    <s v="cashloan"/>
    <n v="221260000"/>
  </r>
  <r>
    <x v="584"/>
    <x v="1"/>
    <x v="7"/>
    <n v="33"/>
    <n v="13"/>
    <x v="0"/>
    <x v="0"/>
    <s v="payday"/>
    <n v="5967000000"/>
  </r>
  <r>
    <x v="584"/>
    <x v="1"/>
    <x v="7"/>
    <n v="33"/>
    <n v="13"/>
    <x v="15"/>
    <x v="14"/>
    <s v="paylater"/>
    <n v="14138280"/>
  </r>
  <r>
    <x v="584"/>
    <x v="1"/>
    <x v="7"/>
    <n v="33"/>
    <n v="13"/>
    <x v="11"/>
    <x v="10"/>
    <s v="paylater"/>
    <n v="213579925"/>
  </r>
  <r>
    <x v="584"/>
    <x v="1"/>
    <x v="7"/>
    <n v="33"/>
    <n v="13"/>
    <x v="18"/>
    <x v="15"/>
    <s v="cashloan"/>
    <n v="552730000"/>
  </r>
  <r>
    <x v="584"/>
    <x v="1"/>
    <x v="7"/>
    <n v="33"/>
    <n v="13"/>
    <x v="1"/>
    <x v="1"/>
    <s v="cashloan"/>
    <n v="35700000"/>
  </r>
  <r>
    <x v="584"/>
    <x v="1"/>
    <x v="7"/>
    <n v="33"/>
    <n v="13"/>
    <x v="27"/>
    <x v="19"/>
    <s v="payday"/>
    <n v="3111048000"/>
  </r>
  <r>
    <x v="584"/>
    <x v="1"/>
    <x v="7"/>
    <n v="33"/>
    <n v="13"/>
    <x v="23"/>
    <x v="17"/>
    <s v="paylater"/>
    <n v="377653000"/>
  </r>
  <r>
    <x v="584"/>
    <x v="1"/>
    <x v="7"/>
    <n v="33"/>
    <n v="13"/>
    <x v="7"/>
    <x v="7"/>
    <s v="paylater"/>
    <n v="256558706"/>
  </r>
  <r>
    <x v="584"/>
    <x v="1"/>
    <x v="7"/>
    <n v="33"/>
    <n v="13"/>
    <x v="26"/>
    <x v="16"/>
    <s v="cashloan"/>
    <n v="62500000"/>
  </r>
  <r>
    <x v="584"/>
    <x v="1"/>
    <x v="7"/>
    <n v="33"/>
    <n v="13"/>
    <x v="6"/>
    <x v="6"/>
    <s v="payday"/>
    <n v="11000000"/>
  </r>
  <r>
    <x v="584"/>
    <x v="1"/>
    <x v="7"/>
    <n v="33"/>
    <n v="13"/>
    <x v="19"/>
    <x v="12"/>
    <s v="paylater"/>
    <n v="343175049"/>
  </r>
  <r>
    <x v="584"/>
    <x v="1"/>
    <x v="7"/>
    <n v="33"/>
    <n v="13"/>
    <x v="14"/>
    <x v="13"/>
    <s v="cashloan"/>
    <n v="2194710000"/>
  </r>
  <r>
    <x v="584"/>
    <x v="1"/>
    <x v="7"/>
    <n v="33"/>
    <n v="13"/>
    <x v="2"/>
    <x v="2"/>
    <s v="cashloan"/>
    <n v="12591970000"/>
  </r>
  <r>
    <x v="584"/>
    <x v="1"/>
    <x v="7"/>
    <n v="33"/>
    <n v="13"/>
    <x v="3"/>
    <x v="3"/>
    <s v="cashloan"/>
    <n v="0"/>
  </r>
  <r>
    <x v="585"/>
    <x v="1"/>
    <x v="7"/>
    <n v="33"/>
    <n v="14"/>
    <x v="14"/>
    <x v="13"/>
    <s v="cashloan"/>
    <n v="2300740000"/>
  </r>
  <r>
    <x v="585"/>
    <x v="1"/>
    <x v="7"/>
    <n v="33"/>
    <n v="14"/>
    <x v="23"/>
    <x v="17"/>
    <s v="paylater"/>
    <n v="374827000"/>
  </r>
  <r>
    <x v="585"/>
    <x v="1"/>
    <x v="7"/>
    <n v="33"/>
    <n v="14"/>
    <x v="24"/>
    <x v="18"/>
    <s v="cashloan"/>
    <n v="130640000"/>
  </r>
  <r>
    <x v="585"/>
    <x v="1"/>
    <x v="7"/>
    <n v="33"/>
    <n v="14"/>
    <x v="19"/>
    <x v="12"/>
    <s v="paylater"/>
    <n v="344721380"/>
  </r>
  <r>
    <x v="585"/>
    <x v="1"/>
    <x v="7"/>
    <n v="33"/>
    <n v="14"/>
    <x v="5"/>
    <x v="5"/>
    <s v="overdraft"/>
    <n v="2591623735"/>
  </r>
  <r>
    <x v="585"/>
    <x v="1"/>
    <x v="7"/>
    <n v="33"/>
    <n v="14"/>
    <x v="7"/>
    <x v="7"/>
    <s v="paylater"/>
    <n v="242520076"/>
  </r>
  <r>
    <x v="585"/>
    <x v="1"/>
    <x v="7"/>
    <n v="33"/>
    <n v="14"/>
    <x v="12"/>
    <x v="11"/>
    <s v="cashloan"/>
    <n v="10609820000"/>
  </r>
  <r>
    <x v="585"/>
    <x v="1"/>
    <x v="7"/>
    <n v="33"/>
    <n v="14"/>
    <x v="3"/>
    <x v="3"/>
    <s v="cashloan"/>
    <n v="0"/>
  </r>
  <r>
    <x v="585"/>
    <x v="1"/>
    <x v="7"/>
    <n v="33"/>
    <n v="14"/>
    <x v="1"/>
    <x v="1"/>
    <s v="cashloan"/>
    <n v="71500000"/>
  </r>
  <r>
    <x v="585"/>
    <x v="1"/>
    <x v="7"/>
    <n v="33"/>
    <n v="14"/>
    <x v="18"/>
    <x v="15"/>
    <s v="cashloan"/>
    <n v="440760000"/>
  </r>
  <r>
    <x v="585"/>
    <x v="1"/>
    <x v="7"/>
    <n v="33"/>
    <n v="14"/>
    <x v="11"/>
    <x v="10"/>
    <s v="paylater"/>
    <n v="258642766"/>
  </r>
  <r>
    <x v="585"/>
    <x v="1"/>
    <x v="7"/>
    <n v="33"/>
    <n v="14"/>
    <x v="6"/>
    <x v="6"/>
    <s v="payday"/>
    <n v="20000000"/>
  </r>
  <r>
    <x v="585"/>
    <x v="1"/>
    <x v="7"/>
    <n v="33"/>
    <n v="14"/>
    <x v="15"/>
    <x v="14"/>
    <s v="paylater"/>
    <n v="24849852"/>
  </r>
  <r>
    <x v="585"/>
    <x v="1"/>
    <x v="7"/>
    <n v="33"/>
    <n v="14"/>
    <x v="2"/>
    <x v="2"/>
    <s v="cashloan"/>
    <n v="11048900000"/>
  </r>
  <r>
    <x v="585"/>
    <x v="1"/>
    <x v="7"/>
    <n v="33"/>
    <n v="14"/>
    <x v="0"/>
    <x v="0"/>
    <s v="payday"/>
    <n v="5889996000"/>
  </r>
  <r>
    <x v="585"/>
    <x v="1"/>
    <x v="7"/>
    <n v="33"/>
    <n v="14"/>
    <x v="27"/>
    <x v="19"/>
    <s v="payday"/>
    <n v="3065580000"/>
  </r>
  <r>
    <x v="585"/>
    <x v="1"/>
    <x v="7"/>
    <n v="33"/>
    <n v="14"/>
    <x v="25"/>
    <x v="2"/>
    <s v="cashloan"/>
    <n v="0"/>
  </r>
  <r>
    <x v="585"/>
    <x v="1"/>
    <x v="7"/>
    <n v="33"/>
    <n v="14"/>
    <x v="26"/>
    <x v="16"/>
    <s v="cashloan"/>
    <n v="31500000"/>
  </r>
  <r>
    <x v="586"/>
    <x v="1"/>
    <x v="7"/>
    <n v="33"/>
    <n v="15"/>
    <x v="25"/>
    <x v="2"/>
    <s v="cashloan"/>
    <n v="0"/>
  </r>
  <r>
    <x v="586"/>
    <x v="1"/>
    <x v="7"/>
    <n v="33"/>
    <n v="15"/>
    <x v="14"/>
    <x v="13"/>
    <s v="cashloan"/>
    <n v="1720650000"/>
  </r>
  <r>
    <x v="586"/>
    <x v="1"/>
    <x v="7"/>
    <n v="33"/>
    <n v="15"/>
    <x v="26"/>
    <x v="16"/>
    <s v="cashloan"/>
    <n v="12600000"/>
  </r>
  <r>
    <x v="586"/>
    <x v="1"/>
    <x v="7"/>
    <n v="33"/>
    <n v="15"/>
    <x v="3"/>
    <x v="3"/>
    <s v="cashloan"/>
    <n v="0"/>
  </r>
  <r>
    <x v="586"/>
    <x v="1"/>
    <x v="7"/>
    <n v="33"/>
    <n v="15"/>
    <x v="1"/>
    <x v="1"/>
    <s v="cashloan"/>
    <n v="52500000"/>
  </r>
  <r>
    <x v="586"/>
    <x v="1"/>
    <x v="7"/>
    <n v="33"/>
    <n v="15"/>
    <x v="18"/>
    <x v="15"/>
    <s v="cashloan"/>
    <n v="522350000"/>
  </r>
  <r>
    <x v="586"/>
    <x v="1"/>
    <x v="7"/>
    <n v="33"/>
    <n v="15"/>
    <x v="19"/>
    <x v="12"/>
    <s v="paylater"/>
    <n v="339344414"/>
  </r>
  <r>
    <x v="586"/>
    <x v="1"/>
    <x v="7"/>
    <n v="33"/>
    <n v="15"/>
    <x v="6"/>
    <x v="6"/>
    <s v="payday"/>
    <n v="46000000"/>
  </r>
  <r>
    <x v="586"/>
    <x v="1"/>
    <x v="7"/>
    <n v="33"/>
    <n v="15"/>
    <x v="11"/>
    <x v="10"/>
    <s v="paylater"/>
    <n v="252120295"/>
  </r>
  <r>
    <x v="586"/>
    <x v="1"/>
    <x v="7"/>
    <n v="33"/>
    <n v="15"/>
    <x v="5"/>
    <x v="5"/>
    <s v="overdraft"/>
    <n v="3664654213"/>
  </r>
  <r>
    <x v="586"/>
    <x v="1"/>
    <x v="7"/>
    <n v="33"/>
    <n v="15"/>
    <x v="7"/>
    <x v="7"/>
    <s v="paylater"/>
    <n v="266697191"/>
  </r>
  <r>
    <x v="586"/>
    <x v="1"/>
    <x v="7"/>
    <n v="33"/>
    <n v="15"/>
    <x v="15"/>
    <x v="14"/>
    <s v="paylater"/>
    <n v="24144611"/>
  </r>
  <r>
    <x v="586"/>
    <x v="1"/>
    <x v="7"/>
    <n v="33"/>
    <n v="15"/>
    <x v="12"/>
    <x v="11"/>
    <s v="cashloan"/>
    <n v="11576850000"/>
  </r>
  <r>
    <x v="586"/>
    <x v="1"/>
    <x v="7"/>
    <n v="33"/>
    <n v="15"/>
    <x v="0"/>
    <x v="0"/>
    <s v="payday"/>
    <n v="7552980000"/>
  </r>
  <r>
    <x v="586"/>
    <x v="1"/>
    <x v="7"/>
    <n v="33"/>
    <n v="15"/>
    <x v="24"/>
    <x v="18"/>
    <s v="cashloan"/>
    <n v="2373340000"/>
  </r>
  <r>
    <x v="586"/>
    <x v="1"/>
    <x v="7"/>
    <n v="33"/>
    <n v="15"/>
    <x v="27"/>
    <x v="19"/>
    <s v="payday"/>
    <n v="3501036000"/>
  </r>
  <r>
    <x v="586"/>
    <x v="1"/>
    <x v="7"/>
    <n v="33"/>
    <n v="15"/>
    <x v="23"/>
    <x v="17"/>
    <s v="paylater"/>
    <n v="341594000"/>
  </r>
  <r>
    <x v="586"/>
    <x v="1"/>
    <x v="7"/>
    <n v="33"/>
    <n v="15"/>
    <x v="2"/>
    <x v="2"/>
    <s v="cashloan"/>
    <n v="12896660000"/>
  </r>
  <r>
    <x v="587"/>
    <x v="1"/>
    <x v="7"/>
    <n v="33"/>
    <n v="16"/>
    <x v="5"/>
    <x v="5"/>
    <s v="overdraft"/>
    <n v="2632109261"/>
  </r>
  <r>
    <x v="587"/>
    <x v="1"/>
    <x v="7"/>
    <n v="33"/>
    <n v="16"/>
    <x v="2"/>
    <x v="2"/>
    <s v="cashloan"/>
    <n v="10866140000"/>
  </r>
  <r>
    <x v="587"/>
    <x v="1"/>
    <x v="7"/>
    <n v="33"/>
    <n v="16"/>
    <x v="18"/>
    <x v="15"/>
    <s v="cashloan"/>
    <n v="425420000"/>
  </r>
  <r>
    <x v="587"/>
    <x v="1"/>
    <x v="7"/>
    <n v="33"/>
    <n v="16"/>
    <x v="27"/>
    <x v="19"/>
    <s v="payday"/>
    <n v="3125736000"/>
  </r>
  <r>
    <x v="587"/>
    <x v="1"/>
    <x v="7"/>
    <n v="33"/>
    <n v="16"/>
    <x v="25"/>
    <x v="2"/>
    <s v="cashloan"/>
    <n v="0"/>
  </r>
  <r>
    <x v="587"/>
    <x v="1"/>
    <x v="7"/>
    <n v="33"/>
    <n v="16"/>
    <x v="7"/>
    <x v="7"/>
    <s v="paylater"/>
    <n v="238037014"/>
  </r>
  <r>
    <x v="587"/>
    <x v="1"/>
    <x v="7"/>
    <n v="33"/>
    <n v="16"/>
    <x v="1"/>
    <x v="1"/>
    <s v="cashloan"/>
    <n v="15750000"/>
  </r>
  <r>
    <x v="587"/>
    <x v="1"/>
    <x v="7"/>
    <n v="33"/>
    <n v="16"/>
    <x v="26"/>
    <x v="16"/>
    <s v="cashloan"/>
    <n v="10000000"/>
  </r>
  <r>
    <x v="587"/>
    <x v="1"/>
    <x v="7"/>
    <n v="33"/>
    <n v="16"/>
    <x v="14"/>
    <x v="13"/>
    <s v="cashloan"/>
    <n v="2080030000"/>
  </r>
  <r>
    <x v="587"/>
    <x v="1"/>
    <x v="7"/>
    <n v="33"/>
    <n v="16"/>
    <x v="15"/>
    <x v="14"/>
    <s v="paylater"/>
    <n v="21245998"/>
  </r>
  <r>
    <x v="587"/>
    <x v="1"/>
    <x v="7"/>
    <n v="33"/>
    <n v="16"/>
    <x v="6"/>
    <x v="6"/>
    <s v="payday"/>
    <n v="29000000"/>
  </r>
  <r>
    <x v="587"/>
    <x v="1"/>
    <x v="7"/>
    <n v="33"/>
    <n v="16"/>
    <x v="3"/>
    <x v="3"/>
    <s v="cashloan"/>
    <n v="0"/>
  </r>
  <r>
    <x v="587"/>
    <x v="1"/>
    <x v="7"/>
    <n v="33"/>
    <n v="16"/>
    <x v="0"/>
    <x v="0"/>
    <s v="payday"/>
    <n v="6818796000"/>
  </r>
  <r>
    <x v="587"/>
    <x v="1"/>
    <x v="7"/>
    <n v="33"/>
    <n v="16"/>
    <x v="23"/>
    <x v="17"/>
    <s v="paylater"/>
    <n v="296011000"/>
  </r>
  <r>
    <x v="587"/>
    <x v="1"/>
    <x v="7"/>
    <n v="33"/>
    <n v="16"/>
    <x v="11"/>
    <x v="10"/>
    <s v="paylater"/>
    <n v="224377487"/>
  </r>
  <r>
    <x v="587"/>
    <x v="1"/>
    <x v="7"/>
    <n v="33"/>
    <n v="16"/>
    <x v="12"/>
    <x v="11"/>
    <s v="cashloan"/>
    <n v="9889100000"/>
  </r>
  <r>
    <x v="587"/>
    <x v="1"/>
    <x v="7"/>
    <n v="33"/>
    <n v="16"/>
    <x v="19"/>
    <x v="12"/>
    <s v="paylater"/>
    <n v="254057408"/>
  </r>
  <r>
    <x v="587"/>
    <x v="1"/>
    <x v="7"/>
    <n v="33"/>
    <n v="16"/>
    <x v="24"/>
    <x v="18"/>
    <s v="cashloan"/>
    <n v="4059270000"/>
  </r>
  <r>
    <x v="588"/>
    <x v="1"/>
    <x v="7"/>
    <n v="33"/>
    <n v="17"/>
    <x v="6"/>
    <x v="6"/>
    <s v="payday"/>
    <n v="13000000"/>
  </r>
  <r>
    <x v="588"/>
    <x v="1"/>
    <x v="7"/>
    <n v="33"/>
    <n v="17"/>
    <x v="23"/>
    <x v="17"/>
    <s v="paylater"/>
    <n v="350338000"/>
  </r>
  <r>
    <x v="588"/>
    <x v="1"/>
    <x v="7"/>
    <n v="33"/>
    <n v="17"/>
    <x v="11"/>
    <x v="10"/>
    <s v="paylater"/>
    <n v="226872076"/>
  </r>
  <r>
    <x v="588"/>
    <x v="1"/>
    <x v="7"/>
    <n v="33"/>
    <n v="17"/>
    <x v="18"/>
    <x v="15"/>
    <s v="cashloan"/>
    <n v="360230000"/>
  </r>
  <r>
    <x v="588"/>
    <x v="1"/>
    <x v="7"/>
    <n v="33"/>
    <n v="17"/>
    <x v="24"/>
    <x v="18"/>
    <s v="cashloan"/>
    <n v="4216280000"/>
  </r>
  <r>
    <x v="588"/>
    <x v="1"/>
    <x v="7"/>
    <n v="33"/>
    <n v="17"/>
    <x v="1"/>
    <x v="1"/>
    <s v="cashloan"/>
    <n v="15750000"/>
  </r>
  <r>
    <x v="588"/>
    <x v="1"/>
    <x v="7"/>
    <n v="33"/>
    <n v="17"/>
    <x v="12"/>
    <x v="11"/>
    <s v="cashloan"/>
    <n v="8714390000"/>
  </r>
  <r>
    <x v="588"/>
    <x v="1"/>
    <x v="7"/>
    <n v="33"/>
    <n v="17"/>
    <x v="0"/>
    <x v="0"/>
    <s v="payday"/>
    <n v="6000480000"/>
  </r>
  <r>
    <x v="588"/>
    <x v="1"/>
    <x v="7"/>
    <n v="33"/>
    <n v="17"/>
    <x v="7"/>
    <x v="7"/>
    <s v="paylater"/>
    <n v="183992084"/>
  </r>
  <r>
    <x v="588"/>
    <x v="1"/>
    <x v="7"/>
    <n v="33"/>
    <n v="17"/>
    <x v="14"/>
    <x v="13"/>
    <s v="cashloan"/>
    <n v="2318680000"/>
  </r>
  <r>
    <x v="588"/>
    <x v="1"/>
    <x v="7"/>
    <n v="33"/>
    <n v="17"/>
    <x v="27"/>
    <x v="19"/>
    <s v="payday"/>
    <n v="3093660000"/>
  </r>
  <r>
    <x v="588"/>
    <x v="1"/>
    <x v="7"/>
    <n v="33"/>
    <n v="17"/>
    <x v="2"/>
    <x v="2"/>
    <s v="cashloan"/>
    <n v="10609290000"/>
  </r>
  <r>
    <x v="588"/>
    <x v="1"/>
    <x v="7"/>
    <n v="33"/>
    <n v="17"/>
    <x v="3"/>
    <x v="3"/>
    <s v="cashloan"/>
    <n v="0"/>
  </r>
  <r>
    <x v="588"/>
    <x v="1"/>
    <x v="7"/>
    <n v="33"/>
    <n v="17"/>
    <x v="5"/>
    <x v="5"/>
    <s v="overdraft"/>
    <n v="2060072760"/>
  </r>
  <r>
    <x v="588"/>
    <x v="1"/>
    <x v="7"/>
    <n v="33"/>
    <n v="17"/>
    <x v="19"/>
    <x v="12"/>
    <s v="paylater"/>
    <n v="277808910"/>
  </r>
  <r>
    <x v="588"/>
    <x v="1"/>
    <x v="7"/>
    <n v="33"/>
    <n v="17"/>
    <x v="25"/>
    <x v="2"/>
    <s v="cashloan"/>
    <n v="0"/>
  </r>
  <r>
    <x v="588"/>
    <x v="1"/>
    <x v="7"/>
    <n v="33"/>
    <n v="17"/>
    <x v="26"/>
    <x v="16"/>
    <s v="cashloan"/>
    <n v="0"/>
  </r>
  <r>
    <x v="588"/>
    <x v="1"/>
    <x v="7"/>
    <n v="33"/>
    <n v="17"/>
    <x v="15"/>
    <x v="14"/>
    <s v="paylater"/>
    <n v="3770752"/>
  </r>
  <r>
    <x v="589"/>
    <x v="1"/>
    <x v="7"/>
    <n v="34"/>
    <n v="18"/>
    <x v="18"/>
    <x v="15"/>
    <s v="cashloan"/>
    <n v="469340000"/>
  </r>
  <r>
    <x v="589"/>
    <x v="1"/>
    <x v="7"/>
    <n v="34"/>
    <n v="18"/>
    <x v="15"/>
    <x v="14"/>
    <s v="paylater"/>
    <n v="19263518"/>
  </r>
  <r>
    <x v="589"/>
    <x v="1"/>
    <x v="7"/>
    <n v="34"/>
    <n v="18"/>
    <x v="0"/>
    <x v="0"/>
    <s v="payday"/>
    <n v="6274152000"/>
  </r>
  <r>
    <x v="589"/>
    <x v="1"/>
    <x v="7"/>
    <n v="34"/>
    <n v="18"/>
    <x v="24"/>
    <x v="18"/>
    <s v="cashloan"/>
    <n v="3630550000"/>
  </r>
  <r>
    <x v="589"/>
    <x v="1"/>
    <x v="7"/>
    <n v="34"/>
    <n v="18"/>
    <x v="26"/>
    <x v="16"/>
    <s v="cashloan"/>
    <n v="0"/>
  </r>
  <r>
    <x v="589"/>
    <x v="1"/>
    <x v="7"/>
    <n v="34"/>
    <n v="18"/>
    <x v="3"/>
    <x v="3"/>
    <s v="cashloan"/>
    <n v="0"/>
  </r>
  <r>
    <x v="589"/>
    <x v="1"/>
    <x v="7"/>
    <n v="34"/>
    <n v="18"/>
    <x v="1"/>
    <x v="1"/>
    <s v="cashloan"/>
    <n v="56000000"/>
  </r>
  <r>
    <x v="589"/>
    <x v="1"/>
    <x v="7"/>
    <n v="34"/>
    <n v="18"/>
    <x v="5"/>
    <x v="5"/>
    <s v="overdraft"/>
    <n v="2983235210"/>
  </r>
  <r>
    <x v="589"/>
    <x v="1"/>
    <x v="7"/>
    <n v="34"/>
    <n v="18"/>
    <x v="23"/>
    <x v="17"/>
    <s v="paylater"/>
    <n v="337066000"/>
  </r>
  <r>
    <x v="589"/>
    <x v="1"/>
    <x v="7"/>
    <n v="34"/>
    <n v="18"/>
    <x v="6"/>
    <x v="6"/>
    <s v="payday"/>
    <n v="48000000"/>
  </r>
  <r>
    <x v="589"/>
    <x v="1"/>
    <x v="7"/>
    <n v="34"/>
    <n v="18"/>
    <x v="11"/>
    <x v="10"/>
    <s v="paylater"/>
    <n v="211283968"/>
  </r>
  <r>
    <x v="589"/>
    <x v="1"/>
    <x v="7"/>
    <n v="34"/>
    <n v="18"/>
    <x v="14"/>
    <x v="13"/>
    <s v="cashloan"/>
    <n v="1861780000"/>
  </r>
  <r>
    <x v="589"/>
    <x v="1"/>
    <x v="7"/>
    <n v="34"/>
    <n v="18"/>
    <x v="19"/>
    <x v="12"/>
    <s v="paylater"/>
    <n v="323736439"/>
  </r>
  <r>
    <x v="589"/>
    <x v="1"/>
    <x v="7"/>
    <n v="34"/>
    <n v="18"/>
    <x v="27"/>
    <x v="19"/>
    <s v="payday"/>
    <n v="3456864000"/>
  </r>
  <r>
    <x v="589"/>
    <x v="1"/>
    <x v="7"/>
    <n v="34"/>
    <n v="18"/>
    <x v="2"/>
    <x v="2"/>
    <s v="cashloan"/>
    <n v="13105650000"/>
  </r>
  <r>
    <x v="589"/>
    <x v="1"/>
    <x v="7"/>
    <n v="34"/>
    <n v="18"/>
    <x v="12"/>
    <x v="11"/>
    <s v="cashloan"/>
    <n v="10608240000"/>
  </r>
  <r>
    <x v="589"/>
    <x v="1"/>
    <x v="7"/>
    <n v="34"/>
    <n v="18"/>
    <x v="25"/>
    <x v="2"/>
    <s v="cashloan"/>
    <n v="0"/>
  </r>
  <r>
    <x v="589"/>
    <x v="1"/>
    <x v="7"/>
    <n v="34"/>
    <n v="18"/>
    <x v="7"/>
    <x v="7"/>
    <s v="paylater"/>
    <n v="214516847"/>
  </r>
  <r>
    <x v="590"/>
    <x v="1"/>
    <x v="7"/>
    <n v="34"/>
    <n v="19"/>
    <x v="1"/>
    <x v="1"/>
    <s v="cashloan"/>
    <n v="31000000"/>
  </r>
  <r>
    <x v="590"/>
    <x v="1"/>
    <x v="7"/>
    <n v="34"/>
    <n v="19"/>
    <x v="14"/>
    <x v="13"/>
    <s v="cashloan"/>
    <n v="1960930000"/>
  </r>
  <r>
    <x v="590"/>
    <x v="1"/>
    <x v="7"/>
    <n v="34"/>
    <n v="19"/>
    <x v="11"/>
    <x v="10"/>
    <s v="paylater"/>
    <n v="219586167"/>
  </r>
  <r>
    <x v="590"/>
    <x v="1"/>
    <x v="7"/>
    <n v="34"/>
    <n v="19"/>
    <x v="3"/>
    <x v="3"/>
    <s v="cashloan"/>
    <n v="0"/>
  </r>
  <r>
    <x v="590"/>
    <x v="1"/>
    <x v="7"/>
    <n v="34"/>
    <n v="19"/>
    <x v="25"/>
    <x v="2"/>
    <s v="cashloan"/>
    <n v="10000000"/>
  </r>
  <r>
    <x v="590"/>
    <x v="1"/>
    <x v="7"/>
    <n v="34"/>
    <n v="19"/>
    <x v="23"/>
    <x v="17"/>
    <s v="paylater"/>
    <n v="381621000"/>
  </r>
  <r>
    <x v="590"/>
    <x v="1"/>
    <x v="7"/>
    <n v="34"/>
    <n v="19"/>
    <x v="15"/>
    <x v="14"/>
    <s v="paylater"/>
    <n v="11317770"/>
  </r>
  <r>
    <x v="590"/>
    <x v="1"/>
    <x v="7"/>
    <n v="34"/>
    <n v="19"/>
    <x v="26"/>
    <x v="16"/>
    <s v="cashloan"/>
    <n v="20500000"/>
  </r>
  <r>
    <x v="590"/>
    <x v="1"/>
    <x v="7"/>
    <n v="34"/>
    <n v="19"/>
    <x v="24"/>
    <x v="18"/>
    <s v="cashloan"/>
    <n v="2665510000"/>
  </r>
  <r>
    <x v="590"/>
    <x v="1"/>
    <x v="7"/>
    <n v="34"/>
    <n v="19"/>
    <x v="5"/>
    <x v="5"/>
    <s v="overdraft"/>
    <n v="2866961307"/>
  </r>
  <r>
    <x v="590"/>
    <x v="1"/>
    <x v="7"/>
    <n v="34"/>
    <n v="19"/>
    <x v="18"/>
    <x v="15"/>
    <s v="cashloan"/>
    <n v="452580000"/>
  </r>
  <r>
    <x v="590"/>
    <x v="1"/>
    <x v="7"/>
    <n v="34"/>
    <n v="19"/>
    <x v="19"/>
    <x v="12"/>
    <s v="paylater"/>
    <n v="242386153"/>
  </r>
  <r>
    <x v="590"/>
    <x v="1"/>
    <x v="7"/>
    <n v="34"/>
    <n v="19"/>
    <x v="6"/>
    <x v="6"/>
    <s v="payday"/>
    <n v="24000000"/>
  </r>
  <r>
    <x v="590"/>
    <x v="1"/>
    <x v="7"/>
    <n v="34"/>
    <n v="19"/>
    <x v="27"/>
    <x v="19"/>
    <s v="payday"/>
    <n v="3861972000"/>
  </r>
  <r>
    <x v="590"/>
    <x v="1"/>
    <x v="7"/>
    <n v="34"/>
    <n v="19"/>
    <x v="12"/>
    <x v="11"/>
    <s v="cashloan"/>
    <n v="11592700000"/>
  </r>
  <r>
    <x v="590"/>
    <x v="1"/>
    <x v="7"/>
    <n v="34"/>
    <n v="19"/>
    <x v="7"/>
    <x v="7"/>
    <s v="paylater"/>
    <n v="190716265"/>
  </r>
  <r>
    <x v="590"/>
    <x v="1"/>
    <x v="7"/>
    <n v="34"/>
    <n v="19"/>
    <x v="0"/>
    <x v="0"/>
    <s v="payday"/>
    <n v="5406156000"/>
  </r>
  <r>
    <x v="590"/>
    <x v="1"/>
    <x v="7"/>
    <n v="34"/>
    <n v="19"/>
    <x v="2"/>
    <x v="2"/>
    <s v="cashloan"/>
    <n v="9502530000"/>
  </r>
  <r>
    <x v="591"/>
    <x v="1"/>
    <x v="7"/>
    <n v="34"/>
    <n v="20"/>
    <x v="15"/>
    <x v="14"/>
    <s v="paylater"/>
    <n v="19558614"/>
  </r>
  <r>
    <x v="591"/>
    <x v="1"/>
    <x v="7"/>
    <n v="34"/>
    <n v="20"/>
    <x v="24"/>
    <x v="18"/>
    <s v="cashloan"/>
    <n v="2638730000"/>
  </r>
  <r>
    <x v="591"/>
    <x v="1"/>
    <x v="7"/>
    <n v="34"/>
    <n v="20"/>
    <x v="7"/>
    <x v="7"/>
    <s v="paylater"/>
    <n v="193102464"/>
  </r>
  <r>
    <x v="591"/>
    <x v="1"/>
    <x v="7"/>
    <n v="34"/>
    <n v="20"/>
    <x v="26"/>
    <x v="16"/>
    <s v="cashloan"/>
    <n v="10500000"/>
  </r>
  <r>
    <x v="591"/>
    <x v="1"/>
    <x v="7"/>
    <n v="34"/>
    <n v="20"/>
    <x v="1"/>
    <x v="1"/>
    <s v="cashloan"/>
    <n v="31500000"/>
  </r>
  <r>
    <x v="591"/>
    <x v="1"/>
    <x v="7"/>
    <n v="34"/>
    <n v="20"/>
    <x v="12"/>
    <x v="11"/>
    <s v="cashloan"/>
    <n v="12013560000"/>
  </r>
  <r>
    <x v="591"/>
    <x v="1"/>
    <x v="7"/>
    <n v="34"/>
    <n v="20"/>
    <x v="6"/>
    <x v="6"/>
    <s v="payday"/>
    <n v="24000000"/>
  </r>
  <r>
    <x v="591"/>
    <x v="1"/>
    <x v="7"/>
    <n v="34"/>
    <n v="20"/>
    <x v="3"/>
    <x v="3"/>
    <s v="cashloan"/>
    <n v="0"/>
  </r>
  <r>
    <x v="591"/>
    <x v="1"/>
    <x v="7"/>
    <n v="34"/>
    <n v="20"/>
    <x v="25"/>
    <x v="2"/>
    <s v="cashloan"/>
    <n v="10000000"/>
  </r>
  <r>
    <x v="591"/>
    <x v="1"/>
    <x v="7"/>
    <n v="34"/>
    <n v="20"/>
    <x v="18"/>
    <x v="15"/>
    <s v="cashloan"/>
    <n v="353690000"/>
  </r>
  <r>
    <x v="591"/>
    <x v="1"/>
    <x v="7"/>
    <n v="34"/>
    <n v="20"/>
    <x v="23"/>
    <x v="17"/>
    <s v="paylater"/>
    <n v="365790000"/>
  </r>
  <r>
    <x v="591"/>
    <x v="1"/>
    <x v="7"/>
    <n v="34"/>
    <n v="20"/>
    <x v="11"/>
    <x v="10"/>
    <s v="paylater"/>
    <n v="225755201"/>
  </r>
  <r>
    <x v="591"/>
    <x v="1"/>
    <x v="7"/>
    <n v="34"/>
    <n v="20"/>
    <x v="14"/>
    <x v="13"/>
    <s v="cashloan"/>
    <n v="1928170000"/>
  </r>
  <r>
    <x v="591"/>
    <x v="1"/>
    <x v="7"/>
    <n v="34"/>
    <n v="20"/>
    <x v="19"/>
    <x v="12"/>
    <s v="paylater"/>
    <n v="267393452"/>
  </r>
  <r>
    <x v="591"/>
    <x v="1"/>
    <x v="7"/>
    <n v="34"/>
    <n v="20"/>
    <x v="0"/>
    <x v="0"/>
    <s v="payday"/>
    <n v="6554520000"/>
  </r>
  <r>
    <x v="591"/>
    <x v="1"/>
    <x v="7"/>
    <n v="34"/>
    <n v="20"/>
    <x v="27"/>
    <x v="19"/>
    <s v="payday"/>
    <n v="4925448000"/>
  </r>
  <r>
    <x v="591"/>
    <x v="1"/>
    <x v="7"/>
    <n v="34"/>
    <n v="20"/>
    <x v="5"/>
    <x v="5"/>
    <s v="overdraft"/>
    <n v="2936956018"/>
  </r>
  <r>
    <x v="591"/>
    <x v="1"/>
    <x v="7"/>
    <n v="34"/>
    <n v="20"/>
    <x v="2"/>
    <x v="2"/>
    <s v="cashloan"/>
    <n v="11625880000"/>
  </r>
  <r>
    <x v="592"/>
    <x v="1"/>
    <x v="7"/>
    <n v="34"/>
    <n v="21"/>
    <x v="27"/>
    <x v="19"/>
    <s v="payday"/>
    <n v="5028480000"/>
  </r>
  <r>
    <x v="592"/>
    <x v="1"/>
    <x v="7"/>
    <n v="34"/>
    <n v="21"/>
    <x v="12"/>
    <x v="11"/>
    <s v="cashloan"/>
    <n v="11363960000"/>
  </r>
  <r>
    <x v="592"/>
    <x v="1"/>
    <x v="7"/>
    <n v="34"/>
    <n v="21"/>
    <x v="14"/>
    <x v="13"/>
    <s v="cashloan"/>
    <n v="2032870000"/>
  </r>
  <r>
    <x v="592"/>
    <x v="1"/>
    <x v="7"/>
    <n v="34"/>
    <n v="21"/>
    <x v="5"/>
    <x v="5"/>
    <s v="overdraft"/>
    <n v="2664330072"/>
  </r>
  <r>
    <x v="592"/>
    <x v="1"/>
    <x v="7"/>
    <n v="34"/>
    <n v="21"/>
    <x v="0"/>
    <x v="0"/>
    <s v="payday"/>
    <n v="6130296000"/>
  </r>
  <r>
    <x v="592"/>
    <x v="1"/>
    <x v="7"/>
    <n v="34"/>
    <n v="21"/>
    <x v="6"/>
    <x v="6"/>
    <s v="payday"/>
    <n v="30000000"/>
  </r>
  <r>
    <x v="592"/>
    <x v="1"/>
    <x v="7"/>
    <n v="34"/>
    <n v="21"/>
    <x v="19"/>
    <x v="12"/>
    <s v="paylater"/>
    <n v="346184515"/>
  </r>
  <r>
    <x v="592"/>
    <x v="1"/>
    <x v="7"/>
    <n v="34"/>
    <n v="21"/>
    <x v="24"/>
    <x v="18"/>
    <s v="cashloan"/>
    <n v="2287020000"/>
  </r>
  <r>
    <x v="592"/>
    <x v="1"/>
    <x v="7"/>
    <n v="34"/>
    <n v="21"/>
    <x v="11"/>
    <x v="10"/>
    <s v="paylater"/>
    <n v="254748232"/>
  </r>
  <r>
    <x v="592"/>
    <x v="1"/>
    <x v="7"/>
    <n v="34"/>
    <n v="21"/>
    <x v="25"/>
    <x v="2"/>
    <s v="cashloan"/>
    <n v="0"/>
  </r>
  <r>
    <x v="592"/>
    <x v="1"/>
    <x v="7"/>
    <n v="34"/>
    <n v="21"/>
    <x v="7"/>
    <x v="7"/>
    <s v="paylater"/>
    <n v="258632190"/>
  </r>
  <r>
    <x v="592"/>
    <x v="1"/>
    <x v="7"/>
    <n v="34"/>
    <n v="21"/>
    <x v="26"/>
    <x v="16"/>
    <s v="cashloan"/>
    <n v="20500000"/>
  </r>
  <r>
    <x v="592"/>
    <x v="1"/>
    <x v="7"/>
    <n v="34"/>
    <n v="21"/>
    <x v="3"/>
    <x v="3"/>
    <s v="cashloan"/>
    <n v="0"/>
  </r>
  <r>
    <x v="592"/>
    <x v="1"/>
    <x v="7"/>
    <n v="34"/>
    <n v="21"/>
    <x v="18"/>
    <x v="15"/>
    <s v="cashloan"/>
    <n v="407360000"/>
  </r>
  <r>
    <x v="592"/>
    <x v="1"/>
    <x v="7"/>
    <n v="34"/>
    <n v="21"/>
    <x v="23"/>
    <x v="17"/>
    <s v="paylater"/>
    <n v="349886000"/>
  </r>
  <r>
    <x v="592"/>
    <x v="1"/>
    <x v="7"/>
    <n v="34"/>
    <n v="21"/>
    <x v="15"/>
    <x v="14"/>
    <s v="paylater"/>
    <n v="22332058"/>
  </r>
  <r>
    <x v="592"/>
    <x v="1"/>
    <x v="7"/>
    <n v="34"/>
    <n v="21"/>
    <x v="2"/>
    <x v="2"/>
    <s v="cashloan"/>
    <n v="11789010000"/>
  </r>
  <r>
    <x v="592"/>
    <x v="1"/>
    <x v="7"/>
    <n v="34"/>
    <n v="21"/>
    <x v="1"/>
    <x v="1"/>
    <s v="cashloan"/>
    <n v="73000000"/>
  </r>
  <r>
    <x v="593"/>
    <x v="1"/>
    <x v="7"/>
    <n v="34"/>
    <n v="22"/>
    <x v="23"/>
    <x v="17"/>
    <s v="paylater"/>
    <n v="330247150"/>
  </r>
  <r>
    <x v="593"/>
    <x v="1"/>
    <x v="7"/>
    <n v="34"/>
    <n v="22"/>
    <x v="0"/>
    <x v="0"/>
    <s v="payday"/>
    <n v="5456808000"/>
  </r>
  <r>
    <x v="593"/>
    <x v="1"/>
    <x v="7"/>
    <n v="34"/>
    <n v="22"/>
    <x v="19"/>
    <x v="12"/>
    <s v="paylater"/>
    <n v="388702524"/>
  </r>
  <r>
    <x v="593"/>
    <x v="1"/>
    <x v="7"/>
    <n v="34"/>
    <n v="22"/>
    <x v="2"/>
    <x v="2"/>
    <s v="cashloan"/>
    <n v="11467560000"/>
  </r>
  <r>
    <x v="593"/>
    <x v="1"/>
    <x v="7"/>
    <n v="34"/>
    <n v="22"/>
    <x v="5"/>
    <x v="5"/>
    <s v="overdraft"/>
    <n v="2650792281"/>
  </r>
  <r>
    <x v="593"/>
    <x v="1"/>
    <x v="7"/>
    <n v="34"/>
    <n v="22"/>
    <x v="26"/>
    <x v="16"/>
    <s v="cashloan"/>
    <n v="49500000"/>
  </r>
  <r>
    <x v="593"/>
    <x v="1"/>
    <x v="7"/>
    <n v="34"/>
    <n v="22"/>
    <x v="3"/>
    <x v="3"/>
    <s v="cashloan"/>
    <n v="0"/>
  </r>
  <r>
    <x v="593"/>
    <x v="1"/>
    <x v="7"/>
    <n v="34"/>
    <n v="22"/>
    <x v="14"/>
    <x v="13"/>
    <s v="cashloan"/>
    <n v="1664050000"/>
  </r>
  <r>
    <x v="593"/>
    <x v="1"/>
    <x v="7"/>
    <n v="34"/>
    <n v="22"/>
    <x v="1"/>
    <x v="1"/>
    <s v="cashloan"/>
    <n v="104000000"/>
  </r>
  <r>
    <x v="593"/>
    <x v="1"/>
    <x v="7"/>
    <n v="34"/>
    <n v="22"/>
    <x v="25"/>
    <x v="2"/>
    <s v="cashloan"/>
    <n v="10000000"/>
  </r>
  <r>
    <x v="593"/>
    <x v="1"/>
    <x v="7"/>
    <n v="34"/>
    <n v="22"/>
    <x v="15"/>
    <x v="14"/>
    <s v="paylater"/>
    <n v="31684805"/>
  </r>
  <r>
    <x v="593"/>
    <x v="1"/>
    <x v="7"/>
    <n v="34"/>
    <n v="22"/>
    <x v="6"/>
    <x v="6"/>
    <s v="payday"/>
    <n v="40000000"/>
  </r>
  <r>
    <x v="593"/>
    <x v="1"/>
    <x v="7"/>
    <n v="34"/>
    <n v="22"/>
    <x v="18"/>
    <x v="15"/>
    <s v="cashloan"/>
    <n v="304380000"/>
  </r>
  <r>
    <x v="593"/>
    <x v="1"/>
    <x v="7"/>
    <n v="34"/>
    <n v="22"/>
    <x v="11"/>
    <x v="10"/>
    <s v="paylater"/>
    <n v="207750195"/>
  </r>
  <r>
    <x v="593"/>
    <x v="1"/>
    <x v="7"/>
    <n v="34"/>
    <n v="22"/>
    <x v="24"/>
    <x v="18"/>
    <s v="cashloan"/>
    <n v="1886040000"/>
  </r>
  <r>
    <x v="593"/>
    <x v="1"/>
    <x v="7"/>
    <n v="34"/>
    <n v="22"/>
    <x v="27"/>
    <x v="19"/>
    <s v="payday"/>
    <n v="4607064000"/>
  </r>
  <r>
    <x v="593"/>
    <x v="1"/>
    <x v="7"/>
    <n v="34"/>
    <n v="22"/>
    <x v="7"/>
    <x v="7"/>
    <s v="paylater"/>
    <n v="173755902"/>
  </r>
  <r>
    <x v="593"/>
    <x v="1"/>
    <x v="7"/>
    <n v="34"/>
    <n v="22"/>
    <x v="12"/>
    <x v="11"/>
    <s v="cashloan"/>
    <n v="9735540000"/>
  </r>
  <r>
    <x v="594"/>
    <x v="1"/>
    <x v="7"/>
    <n v="34"/>
    <n v="23"/>
    <x v="27"/>
    <x v="19"/>
    <s v="payday"/>
    <n v="4891104000"/>
  </r>
  <r>
    <x v="594"/>
    <x v="1"/>
    <x v="7"/>
    <n v="34"/>
    <n v="23"/>
    <x v="18"/>
    <x v="15"/>
    <s v="cashloan"/>
    <n v="325910000"/>
  </r>
  <r>
    <x v="594"/>
    <x v="1"/>
    <x v="7"/>
    <n v="34"/>
    <n v="23"/>
    <x v="1"/>
    <x v="1"/>
    <s v="cashloan"/>
    <n v="21000000"/>
  </r>
  <r>
    <x v="594"/>
    <x v="1"/>
    <x v="7"/>
    <n v="34"/>
    <n v="23"/>
    <x v="6"/>
    <x v="6"/>
    <s v="payday"/>
    <n v="14000000"/>
  </r>
  <r>
    <x v="594"/>
    <x v="1"/>
    <x v="7"/>
    <n v="34"/>
    <n v="23"/>
    <x v="11"/>
    <x v="10"/>
    <s v="paylater"/>
    <n v="206934174"/>
  </r>
  <r>
    <x v="594"/>
    <x v="1"/>
    <x v="7"/>
    <n v="34"/>
    <n v="23"/>
    <x v="26"/>
    <x v="16"/>
    <s v="cashloan"/>
    <n v="21000000"/>
  </r>
  <r>
    <x v="594"/>
    <x v="1"/>
    <x v="7"/>
    <n v="34"/>
    <n v="23"/>
    <x v="15"/>
    <x v="14"/>
    <s v="paylater"/>
    <n v="15647661"/>
  </r>
  <r>
    <x v="594"/>
    <x v="1"/>
    <x v="7"/>
    <n v="34"/>
    <n v="23"/>
    <x v="19"/>
    <x v="12"/>
    <s v="paylater"/>
    <n v="337952397"/>
  </r>
  <r>
    <x v="594"/>
    <x v="1"/>
    <x v="7"/>
    <n v="34"/>
    <n v="23"/>
    <x v="14"/>
    <x v="13"/>
    <s v="cashloan"/>
    <n v="1934730000"/>
  </r>
  <r>
    <x v="594"/>
    <x v="1"/>
    <x v="7"/>
    <n v="34"/>
    <n v="23"/>
    <x v="24"/>
    <x v="18"/>
    <s v="cashloan"/>
    <n v="1688290000"/>
  </r>
  <r>
    <x v="594"/>
    <x v="1"/>
    <x v="7"/>
    <n v="34"/>
    <n v="23"/>
    <x v="3"/>
    <x v="3"/>
    <s v="cashloan"/>
    <n v="0"/>
  </r>
  <r>
    <x v="594"/>
    <x v="1"/>
    <x v="7"/>
    <n v="34"/>
    <n v="23"/>
    <x v="5"/>
    <x v="5"/>
    <s v="overdraft"/>
    <n v="2185920911"/>
  </r>
  <r>
    <x v="594"/>
    <x v="1"/>
    <x v="7"/>
    <n v="34"/>
    <n v="23"/>
    <x v="25"/>
    <x v="2"/>
    <s v="cashloan"/>
    <n v="0"/>
  </r>
  <r>
    <x v="594"/>
    <x v="1"/>
    <x v="7"/>
    <n v="34"/>
    <n v="23"/>
    <x v="7"/>
    <x v="7"/>
    <s v="paylater"/>
    <n v="198839788"/>
  </r>
  <r>
    <x v="594"/>
    <x v="1"/>
    <x v="7"/>
    <n v="34"/>
    <n v="23"/>
    <x v="0"/>
    <x v="0"/>
    <s v="payday"/>
    <n v="5718924000"/>
  </r>
  <r>
    <x v="594"/>
    <x v="1"/>
    <x v="7"/>
    <n v="34"/>
    <n v="23"/>
    <x v="12"/>
    <x v="11"/>
    <s v="cashloan"/>
    <n v="10496620000"/>
  </r>
  <r>
    <x v="594"/>
    <x v="1"/>
    <x v="7"/>
    <n v="34"/>
    <n v="23"/>
    <x v="2"/>
    <x v="2"/>
    <s v="cashloan"/>
    <n v="10370420000"/>
  </r>
  <r>
    <x v="594"/>
    <x v="1"/>
    <x v="7"/>
    <n v="34"/>
    <n v="23"/>
    <x v="23"/>
    <x v="17"/>
    <s v="paylater"/>
    <n v="301114000"/>
  </r>
  <r>
    <x v="595"/>
    <x v="1"/>
    <x v="7"/>
    <n v="34"/>
    <n v="24"/>
    <x v="0"/>
    <x v="0"/>
    <s v="payday"/>
    <n v="5551092000"/>
  </r>
  <r>
    <x v="595"/>
    <x v="1"/>
    <x v="7"/>
    <n v="34"/>
    <n v="24"/>
    <x v="2"/>
    <x v="2"/>
    <s v="cashloan"/>
    <n v="10239910000"/>
  </r>
  <r>
    <x v="595"/>
    <x v="1"/>
    <x v="7"/>
    <n v="34"/>
    <n v="24"/>
    <x v="6"/>
    <x v="6"/>
    <s v="payday"/>
    <n v="46000000"/>
  </r>
  <r>
    <x v="595"/>
    <x v="1"/>
    <x v="7"/>
    <n v="34"/>
    <n v="24"/>
    <x v="23"/>
    <x v="17"/>
    <s v="paylater"/>
    <n v="432923000"/>
  </r>
  <r>
    <x v="595"/>
    <x v="1"/>
    <x v="7"/>
    <n v="34"/>
    <n v="24"/>
    <x v="15"/>
    <x v="14"/>
    <s v="paylater"/>
    <n v="16727006"/>
  </r>
  <r>
    <x v="595"/>
    <x v="1"/>
    <x v="7"/>
    <n v="34"/>
    <n v="24"/>
    <x v="1"/>
    <x v="1"/>
    <s v="cashloan"/>
    <n v="21000000"/>
  </r>
  <r>
    <x v="595"/>
    <x v="1"/>
    <x v="7"/>
    <n v="34"/>
    <n v="24"/>
    <x v="25"/>
    <x v="2"/>
    <s v="cashloan"/>
    <n v="0"/>
  </r>
  <r>
    <x v="595"/>
    <x v="1"/>
    <x v="7"/>
    <n v="34"/>
    <n v="24"/>
    <x v="3"/>
    <x v="3"/>
    <s v="cashloan"/>
    <n v="0"/>
  </r>
  <r>
    <x v="595"/>
    <x v="1"/>
    <x v="7"/>
    <n v="34"/>
    <n v="24"/>
    <x v="18"/>
    <x v="15"/>
    <s v="cashloan"/>
    <n v="350300000"/>
  </r>
  <r>
    <x v="595"/>
    <x v="1"/>
    <x v="7"/>
    <n v="34"/>
    <n v="24"/>
    <x v="26"/>
    <x v="16"/>
    <s v="cashloan"/>
    <n v="10500000"/>
  </r>
  <r>
    <x v="595"/>
    <x v="1"/>
    <x v="7"/>
    <n v="34"/>
    <n v="24"/>
    <x v="11"/>
    <x v="10"/>
    <s v="paylater"/>
    <n v="228295626"/>
  </r>
  <r>
    <x v="595"/>
    <x v="1"/>
    <x v="7"/>
    <n v="34"/>
    <n v="24"/>
    <x v="14"/>
    <x v="13"/>
    <s v="cashloan"/>
    <n v="2527330000"/>
  </r>
  <r>
    <x v="595"/>
    <x v="1"/>
    <x v="7"/>
    <n v="34"/>
    <n v="24"/>
    <x v="24"/>
    <x v="18"/>
    <s v="cashloan"/>
    <n v="1360440000"/>
  </r>
  <r>
    <x v="595"/>
    <x v="1"/>
    <x v="7"/>
    <n v="34"/>
    <n v="24"/>
    <x v="19"/>
    <x v="12"/>
    <s v="paylater"/>
    <n v="297181711"/>
  </r>
  <r>
    <x v="595"/>
    <x v="1"/>
    <x v="7"/>
    <n v="34"/>
    <n v="24"/>
    <x v="27"/>
    <x v="19"/>
    <s v="payday"/>
    <n v="4393872000"/>
  </r>
  <r>
    <x v="595"/>
    <x v="1"/>
    <x v="7"/>
    <n v="34"/>
    <n v="24"/>
    <x v="5"/>
    <x v="5"/>
    <s v="overdraft"/>
    <n v="2190294956"/>
  </r>
  <r>
    <x v="595"/>
    <x v="1"/>
    <x v="7"/>
    <n v="34"/>
    <n v="24"/>
    <x v="7"/>
    <x v="7"/>
    <s v="paylater"/>
    <n v="190179404"/>
  </r>
  <r>
    <x v="595"/>
    <x v="1"/>
    <x v="7"/>
    <n v="34"/>
    <n v="24"/>
    <x v="12"/>
    <x v="11"/>
    <s v="cashloan"/>
    <n v="8946570000"/>
  </r>
  <r>
    <x v="596"/>
    <x v="1"/>
    <x v="7"/>
    <n v="35"/>
    <n v="25"/>
    <x v="11"/>
    <x v="10"/>
    <s v="paylater"/>
    <n v="223281760"/>
  </r>
  <r>
    <x v="596"/>
    <x v="1"/>
    <x v="7"/>
    <n v="35"/>
    <n v="25"/>
    <x v="12"/>
    <x v="11"/>
    <s v="cashloan"/>
    <n v="12517810000"/>
  </r>
  <r>
    <x v="596"/>
    <x v="1"/>
    <x v="7"/>
    <n v="35"/>
    <n v="25"/>
    <x v="26"/>
    <x v="16"/>
    <s v="cashloan"/>
    <n v="35700000"/>
  </r>
  <r>
    <x v="596"/>
    <x v="1"/>
    <x v="7"/>
    <n v="35"/>
    <n v="25"/>
    <x v="15"/>
    <x v="14"/>
    <s v="paylater"/>
    <n v="14191695"/>
  </r>
  <r>
    <x v="596"/>
    <x v="1"/>
    <x v="7"/>
    <n v="35"/>
    <n v="25"/>
    <x v="0"/>
    <x v="0"/>
    <s v="payday"/>
    <n v="6032016000"/>
  </r>
  <r>
    <x v="596"/>
    <x v="1"/>
    <x v="7"/>
    <n v="35"/>
    <n v="25"/>
    <x v="6"/>
    <x v="6"/>
    <s v="payday"/>
    <n v="27000000"/>
  </r>
  <r>
    <x v="596"/>
    <x v="1"/>
    <x v="7"/>
    <n v="35"/>
    <n v="25"/>
    <x v="3"/>
    <x v="3"/>
    <s v="cashloan"/>
    <n v="0"/>
  </r>
  <r>
    <x v="596"/>
    <x v="1"/>
    <x v="7"/>
    <n v="35"/>
    <n v="25"/>
    <x v="18"/>
    <x v="15"/>
    <s v="cashloan"/>
    <n v="469320000"/>
  </r>
  <r>
    <x v="596"/>
    <x v="1"/>
    <x v="7"/>
    <n v="35"/>
    <n v="25"/>
    <x v="23"/>
    <x v="17"/>
    <s v="paylater"/>
    <n v="54914000"/>
  </r>
  <r>
    <x v="596"/>
    <x v="1"/>
    <x v="7"/>
    <n v="35"/>
    <n v="25"/>
    <x v="25"/>
    <x v="2"/>
    <s v="cashloan"/>
    <n v="0"/>
  </r>
  <r>
    <x v="596"/>
    <x v="1"/>
    <x v="7"/>
    <n v="35"/>
    <n v="25"/>
    <x v="19"/>
    <x v="12"/>
    <s v="paylater"/>
    <n v="403171739"/>
  </r>
  <r>
    <x v="596"/>
    <x v="1"/>
    <x v="7"/>
    <n v="35"/>
    <n v="25"/>
    <x v="14"/>
    <x v="13"/>
    <s v="cashloan"/>
    <n v="2091990000"/>
  </r>
  <r>
    <x v="596"/>
    <x v="1"/>
    <x v="7"/>
    <n v="35"/>
    <n v="25"/>
    <x v="24"/>
    <x v="18"/>
    <s v="cashloan"/>
    <n v="2065930000"/>
  </r>
  <r>
    <x v="596"/>
    <x v="1"/>
    <x v="7"/>
    <n v="35"/>
    <n v="25"/>
    <x v="2"/>
    <x v="2"/>
    <s v="cashloan"/>
    <n v="11699920000"/>
  </r>
  <r>
    <x v="596"/>
    <x v="1"/>
    <x v="7"/>
    <n v="35"/>
    <n v="25"/>
    <x v="1"/>
    <x v="1"/>
    <s v="cashloan"/>
    <n v="51500000"/>
  </r>
  <r>
    <x v="596"/>
    <x v="1"/>
    <x v="7"/>
    <n v="35"/>
    <n v="25"/>
    <x v="27"/>
    <x v="19"/>
    <s v="payday"/>
    <n v="5454540000"/>
  </r>
  <r>
    <x v="596"/>
    <x v="1"/>
    <x v="7"/>
    <n v="35"/>
    <n v="25"/>
    <x v="5"/>
    <x v="5"/>
    <s v="overdraft"/>
    <n v="3263562545"/>
  </r>
  <r>
    <x v="596"/>
    <x v="1"/>
    <x v="7"/>
    <n v="35"/>
    <n v="25"/>
    <x v="7"/>
    <x v="7"/>
    <s v="paylater"/>
    <n v="185616359"/>
  </r>
  <r>
    <x v="596"/>
    <x v="1"/>
    <x v="7"/>
    <n v="35"/>
    <n v="25"/>
    <x v="28"/>
    <x v="17"/>
    <s v="paylater"/>
    <n v="306839000"/>
  </r>
  <r>
    <x v="597"/>
    <x v="1"/>
    <x v="7"/>
    <n v="35"/>
    <n v="26"/>
    <x v="18"/>
    <x v="15"/>
    <s v="cashloan"/>
    <n v="222740000"/>
  </r>
  <r>
    <x v="597"/>
    <x v="1"/>
    <x v="7"/>
    <n v="35"/>
    <n v="26"/>
    <x v="7"/>
    <x v="7"/>
    <s v="paylater"/>
    <n v="192833050"/>
  </r>
  <r>
    <x v="597"/>
    <x v="1"/>
    <x v="7"/>
    <n v="35"/>
    <n v="26"/>
    <x v="24"/>
    <x v="18"/>
    <s v="cashloan"/>
    <n v="2066030000"/>
  </r>
  <r>
    <x v="597"/>
    <x v="1"/>
    <x v="7"/>
    <n v="35"/>
    <n v="26"/>
    <x v="2"/>
    <x v="2"/>
    <s v="cashloan"/>
    <n v="10448800000"/>
  </r>
  <r>
    <x v="597"/>
    <x v="1"/>
    <x v="7"/>
    <n v="35"/>
    <n v="26"/>
    <x v="26"/>
    <x v="16"/>
    <s v="cashloan"/>
    <n v="31500000"/>
  </r>
  <r>
    <x v="597"/>
    <x v="1"/>
    <x v="7"/>
    <n v="35"/>
    <n v="26"/>
    <x v="15"/>
    <x v="14"/>
    <s v="paylater"/>
    <n v="27921421"/>
  </r>
  <r>
    <x v="597"/>
    <x v="1"/>
    <x v="7"/>
    <n v="35"/>
    <n v="26"/>
    <x v="1"/>
    <x v="1"/>
    <s v="cashloan"/>
    <n v="52500000"/>
  </r>
  <r>
    <x v="597"/>
    <x v="1"/>
    <x v="7"/>
    <n v="35"/>
    <n v="26"/>
    <x v="6"/>
    <x v="6"/>
    <s v="payday"/>
    <n v="39000000"/>
  </r>
  <r>
    <x v="597"/>
    <x v="1"/>
    <x v="7"/>
    <n v="35"/>
    <n v="26"/>
    <x v="3"/>
    <x v="3"/>
    <s v="cashloan"/>
    <n v="0"/>
  </r>
  <r>
    <x v="597"/>
    <x v="1"/>
    <x v="7"/>
    <n v="35"/>
    <n v="26"/>
    <x v="28"/>
    <x v="17"/>
    <s v="paylater"/>
    <n v="322739000"/>
  </r>
  <r>
    <x v="597"/>
    <x v="1"/>
    <x v="7"/>
    <n v="35"/>
    <n v="26"/>
    <x v="23"/>
    <x v="17"/>
    <s v="paylater"/>
    <n v="48508000"/>
  </r>
  <r>
    <x v="597"/>
    <x v="1"/>
    <x v="7"/>
    <n v="35"/>
    <n v="26"/>
    <x v="25"/>
    <x v="2"/>
    <s v="cashloan"/>
    <n v="0"/>
  </r>
  <r>
    <x v="597"/>
    <x v="1"/>
    <x v="7"/>
    <n v="35"/>
    <n v="26"/>
    <x v="11"/>
    <x v="10"/>
    <s v="paylater"/>
    <n v="255218126"/>
  </r>
  <r>
    <x v="597"/>
    <x v="1"/>
    <x v="7"/>
    <n v="35"/>
    <n v="26"/>
    <x v="14"/>
    <x v="13"/>
    <s v="cashloan"/>
    <n v="2104610000"/>
  </r>
  <r>
    <x v="597"/>
    <x v="1"/>
    <x v="7"/>
    <n v="35"/>
    <n v="26"/>
    <x v="19"/>
    <x v="12"/>
    <s v="paylater"/>
    <n v="472163638"/>
  </r>
  <r>
    <x v="597"/>
    <x v="1"/>
    <x v="7"/>
    <n v="35"/>
    <n v="26"/>
    <x v="27"/>
    <x v="19"/>
    <s v="payday"/>
    <n v="4941540000"/>
  </r>
  <r>
    <x v="597"/>
    <x v="1"/>
    <x v="7"/>
    <n v="35"/>
    <n v="26"/>
    <x v="5"/>
    <x v="5"/>
    <s v="overdraft"/>
    <n v="2565995316"/>
  </r>
  <r>
    <x v="597"/>
    <x v="1"/>
    <x v="7"/>
    <n v="35"/>
    <n v="26"/>
    <x v="12"/>
    <x v="11"/>
    <s v="cashloan"/>
    <n v="12900850000"/>
  </r>
  <r>
    <x v="597"/>
    <x v="1"/>
    <x v="7"/>
    <n v="35"/>
    <n v="26"/>
    <x v="0"/>
    <x v="0"/>
    <s v="payday"/>
    <n v="5830056000"/>
  </r>
  <r>
    <x v="598"/>
    <x v="1"/>
    <x v="7"/>
    <n v="35"/>
    <n v="27"/>
    <x v="18"/>
    <x v="15"/>
    <s v="cashloan"/>
    <n v="351360000"/>
  </r>
  <r>
    <x v="598"/>
    <x v="1"/>
    <x v="7"/>
    <n v="35"/>
    <n v="27"/>
    <x v="6"/>
    <x v="6"/>
    <s v="payday"/>
    <n v="50000000"/>
  </r>
  <r>
    <x v="598"/>
    <x v="1"/>
    <x v="7"/>
    <n v="35"/>
    <n v="27"/>
    <x v="25"/>
    <x v="2"/>
    <s v="cashloan"/>
    <n v="20000000"/>
  </r>
  <r>
    <x v="598"/>
    <x v="1"/>
    <x v="7"/>
    <n v="35"/>
    <n v="27"/>
    <x v="26"/>
    <x v="16"/>
    <s v="cashloan"/>
    <n v="51000000"/>
  </r>
  <r>
    <x v="598"/>
    <x v="1"/>
    <x v="7"/>
    <n v="35"/>
    <n v="27"/>
    <x v="15"/>
    <x v="14"/>
    <s v="paylater"/>
    <n v="10289206"/>
  </r>
  <r>
    <x v="598"/>
    <x v="1"/>
    <x v="7"/>
    <n v="35"/>
    <n v="27"/>
    <x v="1"/>
    <x v="1"/>
    <s v="cashloan"/>
    <n v="31000000"/>
  </r>
  <r>
    <x v="598"/>
    <x v="1"/>
    <x v="7"/>
    <n v="35"/>
    <n v="27"/>
    <x v="23"/>
    <x v="17"/>
    <s v="paylater"/>
    <n v="30769000"/>
  </r>
  <r>
    <x v="598"/>
    <x v="1"/>
    <x v="7"/>
    <n v="35"/>
    <n v="27"/>
    <x v="3"/>
    <x v="3"/>
    <s v="cashloan"/>
    <n v="0"/>
  </r>
  <r>
    <x v="598"/>
    <x v="1"/>
    <x v="7"/>
    <n v="35"/>
    <n v="27"/>
    <x v="28"/>
    <x v="17"/>
    <s v="paylater"/>
    <n v="340711000"/>
  </r>
  <r>
    <x v="598"/>
    <x v="1"/>
    <x v="7"/>
    <n v="35"/>
    <n v="27"/>
    <x v="11"/>
    <x v="10"/>
    <s v="paylater"/>
    <n v="254160960"/>
  </r>
  <r>
    <x v="598"/>
    <x v="1"/>
    <x v="7"/>
    <n v="35"/>
    <n v="27"/>
    <x v="27"/>
    <x v="19"/>
    <s v="payday"/>
    <n v="5054184000"/>
  </r>
  <r>
    <x v="598"/>
    <x v="1"/>
    <x v="7"/>
    <n v="35"/>
    <n v="27"/>
    <x v="5"/>
    <x v="5"/>
    <s v="overdraft"/>
    <n v="2644917355"/>
  </r>
  <r>
    <x v="598"/>
    <x v="1"/>
    <x v="7"/>
    <n v="35"/>
    <n v="27"/>
    <x v="7"/>
    <x v="7"/>
    <s v="paylater"/>
    <n v="184632309"/>
  </r>
  <r>
    <x v="598"/>
    <x v="1"/>
    <x v="7"/>
    <n v="35"/>
    <n v="27"/>
    <x v="19"/>
    <x v="12"/>
    <s v="paylater"/>
    <n v="429580502"/>
  </r>
  <r>
    <x v="598"/>
    <x v="1"/>
    <x v="7"/>
    <n v="35"/>
    <n v="27"/>
    <x v="12"/>
    <x v="11"/>
    <s v="cashloan"/>
    <n v="12732220000"/>
  </r>
  <r>
    <x v="598"/>
    <x v="1"/>
    <x v="7"/>
    <n v="35"/>
    <n v="27"/>
    <x v="0"/>
    <x v="0"/>
    <s v="payday"/>
    <n v="5454756000"/>
  </r>
  <r>
    <x v="598"/>
    <x v="1"/>
    <x v="7"/>
    <n v="35"/>
    <n v="27"/>
    <x v="14"/>
    <x v="13"/>
    <s v="cashloan"/>
    <n v="1814790000"/>
  </r>
  <r>
    <x v="598"/>
    <x v="1"/>
    <x v="7"/>
    <n v="35"/>
    <n v="27"/>
    <x v="24"/>
    <x v="18"/>
    <s v="cashloan"/>
    <n v="1841330000"/>
  </r>
  <r>
    <x v="598"/>
    <x v="1"/>
    <x v="7"/>
    <n v="35"/>
    <n v="27"/>
    <x v="2"/>
    <x v="2"/>
    <s v="cashloan"/>
    <n v="11192340000"/>
  </r>
  <r>
    <x v="599"/>
    <x v="1"/>
    <x v="7"/>
    <n v="35"/>
    <n v="28"/>
    <x v="28"/>
    <x v="17"/>
    <s v="paylater"/>
    <n v="333534000"/>
  </r>
  <r>
    <x v="599"/>
    <x v="1"/>
    <x v="7"/>
    <n v="35"/>
    <n v="28"/>
    <x v="2"/>
    <x v="2"/>
    <s v="cashloan"/>
    <n v="11913630000"/>
  </r>
  <r>
    <x v="599"/>
    <x v="1"/>
    <x v="7"/>
    <n v="35"/>
    <n v="28"/>
    <x v="12"/>
    <x v="11"/>
    <s v="cashloan"/>
    <n v="11893740000"/>
  </r>
  <r>
    <x v="599"/>
    <x v="1"/>
    <x v="7"/>
    <n v="35"/>
    <n v="28"/>
    <x v="25"/>
    <x v="2"/>
    <s v="cashloan"/>
    <n v="7000000"/>
  </r>
  <r>
    <x v="599"/>
    <x v="1"/>
    <x v="7"/>
    <n v="35"/>
    <n v="28"/>
    <x v="23"/>
    <x v="17"/>
    <s v="paylater"/>
    <n v="58412000"/>
  </r>
  <r>
    <x v="599"/>
    <x v="1"/>
    <x v="7"/>
    <n v="35"/>
    <n v="28"/>
    <x v="7"/>
    <x v="7"/>
    <s v="paylater"/>
    <n v="197451640"/>
  </r>
  <r>
    <x v="599"/>
    <x v="1"/>
    <x v="7"/>
    <n v="35"/>
    <n v="28"/>
    <x v="15"/>
    <x v="14"/>
    <s v="paylater"/>
    <n v="19811977"/>
  </r>
  <r>
    <x v="599"/>
    <x v="1"/>
    <x v="7"/>
    <n v="35"/>
    <n v="28"/>
    <x v="1"/>
    <x v="1"/>
    <s v="cashloan"/>
    <n v="26250000"/>
  </r>
  <r>
    <x v="599"/>
    <x v="1"/>
    <x v="7"/>
    <n v="35"/>
    <n v="28"/>
    <x v="6"/>
    <x v="6"/>
    <s v="payday"/>
    <n v="26000000"/>
  </r>
  <r>
    <x v="599"/>
    <x v="1"/>
    <x v="7"/>
    <n v="35"/>
    <n v="28"/>
    <x v="26"/>
    <x v="16"/>
    <s v="cashloan"/>
    <n v="21500000"/>
  </r>
  <r>
    <x v="599"/>
    <x v="1"/>
    <x v="7"/>
    <n v="35"/>
    <n v="28"/>
    <x v="3"/>
    <x v="3"/>
    <s v="cashloan"/>
    <n v="0"/>
  </r>
  <r>
    <x v="599"/>
    <x v="1"/>
    <x v="7"/>
    <n v="35"/>
    <n v="28"/>
    <x v="18"/>
    <x v="15"/>
    <s v="cashloan"/>
    <n v="628260000"/>
  </r>
  <r>
    <x v="599"/>
    <x v="1"/>
    <x v="7"/>
    <n v="35"/>
    <n v="28"/>
    <x v="0"/>
    <x v="0"/>
    <s v="payday"/>
    <n v="5738364000"/>
  </r>
  <r>
    <x v="599"/>
    <x v="1"/>
    <x v="7"/>
    <n v="35"/>
    <n v="28"/>
    <x v="11"/>
    <x v="10"/>
    <s v="paylater"/>
    <n v="242316913"/>
  </r>
  <r>
    <x v="599"/>
    <x v="1"/>
    <x v="7"/>
    <n v="35"/>
    <n v="28"/>
    <x v="14"/>
    <x v="13"/>
    <s v="cashloan"/>
    <n v="1763460000"/>
  </r>
  <r>
    <x v="599"/>
    <x v="1"/>
    <x v="7"/>
    <n v="35"/>
    <n v="28"/>
    <x v="24"/>
    <x v="18"/>
    <s v="cashloan"/>
    <n v="2012160000"/>
  </r>
  <r>
    <x v="599"/>
    <x v="1"/>
    <x v="7"/>
    <n v="35"/>
    <n v="28"/>
    <x v="19"/>
    <x v="12"/>
    <s v="paylater"/>
    <n v="488304408"/>
  </r>
  <r>
    <x v="599"/>
    <x v="1"/>
    <x v="7"/>
    <n v="35"/>
    <n v="28"/>
    <x v="27"/>
    <x v="19"/>
    <s v="payday"/>
    <n v="5445144000"/>
  </r>
  <r>
    <x v="599"/>
    <x v="1"/>
    <x v="7"/>
    <n v="35"/>
    <n v="28"/>
    <x v="5"/>
    <x v="5"/>
    <s v="overdraft"/>
    <n v="2926586023"/>
  </r>
  <r>
    <x v="600"/>
    <x v="1"/>
    <x v="7"/>
    <n v="35"/>
    <n v="29"/>
    <x v="23"/>
    <x v="17"/>
    <s v="paylater"/>
    <n v="45578000"/>
  </r>
  <r>
    <x v="600"/>
    <x v="1"/>
    <x v="7"/>
    <n v="35"/>
    <n v="29"/>
    <x v="28"/>
    <x v="17"/>
    <s v="paylater"/>
    <n v="247694000"/>
  </r>
  <r>
    <x v="600"/>
    <x v="1"/>
    <x v="7"/>
    <n v="35"/>
    <n v="29"/>
    <x v="27"/>
    <x v="19"/>
    <s v="payday"/>
    <n v="5159808000"/>
  </r>
  <r>
    <x v="600"/>
    <x v="1"/>
    <x v="7"/>
    <n v="35"/>
    <n v="29"/>
    <x v="12"/>
    <x v="11"/>
    <s v="cashloan"/>
    <n v="8324310000"/>
  </r>
  <r>
    <x v="600"/>
    <x v="1"/>
    <x v="7"/>
    <n v="35"/>
    <n v="29"/>
    <x v="26"/>
    <x v="16"/>
    <s v="cashloan"/>
    <n v="35700000"/>
  </r>
  <r>
    <x v="600"/>
    <x v="1"/>
    <x v="7"/>
    <n v="35"/>
    <n v="29"/>
    <x v="25"/>
    <x v="2"/>
    <s v="cashloan"/>
    <n v="10700000"/>
  </r>
  <r>
    <x v="600"/>
    <x v="1"/>
    <x v="7"/>
    <n v="35"/>
    <n v="29"/>
    <x v="19"/>
    <x v="12"/>
    <s v="paylater"/>
    <n v="501987119"/>
  </r>
  <r>
    <x v="600"/>
    <x v="1"/>
    <x v="7"/>
    <n v="35"/>
    <n v="29"/>
    <x v="6"/>
    <x v="6"/>
    <s v="payday"/>
    <n v="55000000"/>
  </r>
  <r>
    <x v="600"/>
    <x v="1"/>
    <x v="7"/>
    <n v="35"/>
    <n v="29"/>
    <x v="3"/>
    <x v="3"/>
    <s v="cashloan"/>
    <n v="0"/>
  </r>
  <r>
    <x v="600"/>
    <x v="1"/>
    <x v="7"/>
    <n v="35"/>
    <n v="29"/>
    <x v="18"/>
    <x v="15"/>
    <s v="cashloan"/>
    <n v="271200000"/>
  </r>
  <r>
    <x v="600"/>
    <x v="1"/>
    <x v="7"/>
    <n v="35"/>
    <n v="29"/>
    <x v="5"/>
    <x v="5"/>
    <s v="overdraft"/>
    <n v="3202918636"/>
  </r>
  <r>
    <x v="600"/>
    <x v="1"/>
    <x v="7"/>
    <n v="35"/>
    <n v="29"/>
    <x v="14"/>
    <x v="13"/>
    <s v="cashloan"/>
    <n v="1714850000"/>
  </r>
  <r>
    <x v="600"/>
    <x v="1"/>
    <x v="7"/>
    <n v="35"/>
    <n v="29"/>
    <x v="24"/>
    <x v="18"/>
    <s v="cashloan"/>
    <n v="1302060000"/>
  </r>
  <r>
    <x v="600"/>
    <x v="1"/>
    <x v="7"/>
    <n v="35"/>
    <n v="29"/>
    <x v="0"/>
    <x v="0"/>
    <s v="payday"/>
    <n v="6408612000"/>
  </r>
  <r>
    <x v="600"/>
    <x v="1"/>
    <x v="7"/>
    <n v="35"/>
    <n v="29"/>
    <x v="7"/>
    <x v="7"/>
    <s v="paylater"/>
    <n v="193658500"/>
  </r>
  <r>
    <x v="600"/>
    <x v="1"/>
    <x v="7"/>
    <n v="35"/>
    <n v="29"/>
    <x v="1"/>
    <x v="1"/>
    <s v="cashloan"/>
    <n v="10500000"/>
  </r>
  <r>
    <x v="600"/>
    <x v="1"/>
    <x v="7"/>
    <n v="35"/>
    <n v="29"/>
    <x v="2"/>
    <x v="2"/>
    <s v="cashloan"/>
    <n v="11142540000"/>
  </r>
  <r>
    <x v="600"/>
    <x v="1"/>
    <x v="7"/>
    <n v="35"/>
    <n v="29"/>
    <x v="11"/>
    <x v="10"/>
    <s v="paylater"/>
    <n v="290062937"/>
  </r>
  <r>
    <x v="600"/>
    <x v="1"/>
    <x v="7"/>
    <n v="35"/>
    <n v="29"/>
    <x v="15"/>
    <x v="14"/>
    <s v="paylater"/>
    <n v="19759643"/>
  </r>
  <r>
    <x v="601"/>
    <x v="1"/>
    <x v="7"/>
    <n v="35"/>
    <n v="30"/>
    <x v="25"/>
    <x v="2"/>
    <s v="cashloan"/>
    <n v="0"/>
  </r>
  <r>
    <x v="601"/>
    <x v="1"/>
    <x v="7"/>
    <n v="35"/>
    <n v="30"/>
    <x v="6"/>
    <x v="6"/>
    <s v="payday"/>
    <n v="43000000"/>
  </r>
  <r>
    <x v="601"/>
    <x v="1"/>
    <x v="7"/>
    <n v="35"/>
    <n v="30"/>
    <x v="18"/>
    <x v="15"/>
    <s v="cashloan"/>
    <n v="581410000"/>
  </r>
  <r>
    <x v="601"/>
    <x v="1"/>
    <x v="7"/>
    <n v="35"/>
    <n v="30"/>
    <x v="23"/>
    <x v="17"/>
    <s v="paylater"/>
    <n v="58479000"/>
  </r>
  <r>
    <x v="601"/>
    <x v="1"/>
    <x v="7"/>
    <n v="35"/>
    <n v="30"/>
    <x v="3"/>
    <x v="3"/>
    <s v="cashloan"/>
    <n v="0"/>
  </r>
  <r>
    <x v="601"/>
    <x v="1"/>
    <x v="7"/>
    <n v="35"/>
    <n v="30"/>
    <x v="14"/>
    <x v="13"/>
    <s v="cashloan"/>
    <n v="1894890000"/>
  </r>
  <r>
    <x v="601"/>
    <x v="1"/>
    <x v="7"/>
    <n v="35"/>
    <n v="30"/>
    <x v="11"/>
    <x v="10"/>
    <s v="paylater"/>
    <n v="301702445"/>
  </r>
  <r>
    <x v="601"/>
    <x v="1"/>
    <x v="7"/>
    <n v="35"/>
    <n v="30"/>
    <x v="24"/>
    <x v="18"/>
    <s v="cashloan"/>
    <n v="2153450000"/>
  </r>
  <r>
    <x v="601"/>
    <x v="1"/>
    <x v="7"/>
    <n v="35"/>
    <n v="30"/>
    <x v="19"/>
    <x v="12"/>
    <s v="paylater"/>
    <n v="514047889"/>
  </r>
  <r>
    <x v="601"/>
    <x v="1"/>
    <x v="7"/>
    <n v="35"/>
    <n v="30"/>
    <x v="27"/>
    <x v="19"/>
    <s v="payday"/>
    <n v="4542372000"/>
  </r>
  <r>
    <x v="601"/>
    <x v="1"/>
    <x v="7"/>
    <n v="35"/>
    <n v="30"/>
    <x v="28"/>
    <x v="17"/>
    <s v="paylater"/>
    <n v="313397000"/>
  </r>
  <r>
    <x v="601"/>
    <x v="1"/>
    <x v="7"/>
    <n v="35"/>
    <n v="30"/>
    <x v="5"/>
    <x v="5"/>
    <s v="overdraft"/>
    <n v="2761661984"/>
  </r>
  <r>
    <x v="601"/>
    <x v="1"/>
    <x v="7"/>
    <n v="35"/>
    <n v="30"/>
    <x v="7"/>
    <x v="7"/>
    <s v="paylater"/>
    <n v="202520023"/>
  </r>
  <r>
    <x v="601"/>
    <x v="1"/>
    <x v="7"/>
    <n v="35"/>
    <n v="30"/>
    <x v="12"/>
    <x v="11"/>
    <s v="cashloan"/>
    <n v="11802930000"/>
  </r>
  <r>
    <x v="601"/>
    <x v="1"/>
    <x v="7"/>
    <n v="35"/>
    <n v="30"/>
    <x v="2"/>
    <x v="2"/>
    <s v="cashloan"/>
    <n v="10810820000"/>
  </r>
  <r>
    <x v="601"/>
    <x v="1"/>
    <x v="7"/>
    <n v="35"/>
    <n v="30"/>
    <x v="0"/>
    <x v="0"/>
    <s v="payday"/>
    <n v="6189912000"/>
  </r>
  <r>
    <x v="601"/>
    <x v="1"/>
    <x v="7"/>
    <n v="35"/>
    <n v="30"/>
    <x v="26"/>
    <x v="16"/>
    <s v="cashloan"/>
    <n v="0"/>
  </r>
  <r>
    <x v="601"/>
    <x v="1"/>
    <x v="7"/>
    <n v="35"/>
    <n v="30"/>
    <x v="15"/>
    <x v="14"/>
    <s v="paylater"/>
    <n v="21350134"/>
  </r>
  <r>
    <x v="601"/>
    <x v="1"/>
    <x v="7"/>
    <n v="35"/>
    <n v="30"/>
    <x v="1"/>
    <x v="1"/>
    <s v="cashloan"/>
    <n v="42000000"/>
  </r>
  <r>
    <x v="602"/>
    <x v="1"/>
    <x v="7"/>
    <n v="35"/>
    <n v="31"/>
    <x v="27"/>
    <x v="19"/>
    <s v="payday"/>
    <n v="4320972000"/>
  </r>
  <r>
    <x v="602"/>
    <x v="1"/>
    <x v="7"/>
    <n v="35"/>
    <n v="31"/>
    <x v="0"/>
    <x v="0"/>
    <s v="payday"/>
    <n v="5764824000"/>
  </r>
  <r>
    <x v="602"/>
    <x v="1"/>
    <x v="7"/>
    <n v="35"/>
    <n v="31"/>
    <x v="2"/>
    <x v="2"/>
    <s v="cashloan"/>
    <n v="9955890000"/>
  </r>
  <r>
    <x v="602"/>
    <x v="1"/>
    <x v="7"/>
    <n v="35"/>
    <n v="31"/>
    <x v="23"/>
    <x v="17"/>
    <s v="paylater"/>
    <n v="58275000"/>
  </r>
  <r>
    <x v="602"/>
    <x v="1"/>
    <x v="7"/>
    <n v="35"/>
    <n v="31"/>
    <x v="12"/>
    <x v="11"/>
    <s v="cashloan"/>
    <n v="9310180000"/>
  </r>
  <r>
    <x v="602"/>
    <x v="1"/>
    <x v="7"/>
    <n v="35"/>
    <n v="31"/>
    <x v="14"/>
    <x v="13"/>
    <s v="cashloan"/>
    <n v="1568370000"/>
  </r>
  <r>
    <x v="602"/>
    <x v="1"/>
    <x v="7"/>
    <n v="35"/>
    <n v="31"/>
    <x v="28"/>
    <x v="17"/>
    <s v="paylater"/>
    <n v="367338000"/>
  </r>
  <r>
    <x v="602"/>
    <x v="1"/>
    <x v="7"/>
    <n v="35"/>
    <n v="31"/>
    <x v="7"/>
    <x v="7"/>
    <s v="paylater"/>
    <n v="153758097"/>
  </r>
  <r>
    <x v="602"/>
    <x v="1"/>
    <x v="7"/>
    <n v="35"/>
    <n v="31"/>
    <x v="24"/>
    <x v="18"/>
    <s v="cashloan"/>
    <n v="1630820000"/>
  </r>
  <r>
    <x v="602"/>
    <x v="1"/>
    <x v="7"/>
    <n v="35"/>
    <n v="31"/>
    <x v="19"/>
    <x v="12"/>
    <s v="paylater"/>
    <n v="358554311"/>
  </r>
  <r>
    <x v="602"/>
    <x v="1"/>
    <x v="7"/>
    <n v="35"/>
    <n v="31"/>
    <x v="18"/>
    <x v="15"/>
    <s v="cashloan"/>
    <n v="238610000"/>
  </r>
  <r>
    <x v="602"/>
    <x v="1"/>
    <x v="7"/>
    <n v="35"/>
    <n v="31"/>
    <x v="25"/>
    <x v="2"/>
    <s v="cashloan"/>
    <n v="0"/>
  </r>
  <r>
    <x v="602"/>
    <x v="1"/>
    <x v="7"/>
    <n v="35"/>
    <n v="31"/>
    <x v="6"/>
    <x v="6"/>
    <s v="payday"/>
    <n v="70000000"/>
  </r>
  <r>
    <x v="602"/>
    <x v="1"/>
    <x v="7"/>
    <n v="35"/>
    <n v="31"/>
    <x v="5"/>
    <x v="5"/>
    <s v="overdraft"/>
    <n v="2806615346"/>
  </r>
  <r>
    <x v="602"/>
    <x v="1"/>
    <x v="7"/>
    <n v="35"/>
    <n v="31"/>
    <x v="15"/>
    <x v="14"/>
    <s v="paylater"/>
    <n v="13918240"/>
  </r>
  <r>
    <x v="602"/>
    <x v="1"/>
    <x v="7"/>
    <n v="35"/>
    <n v="31"/>
    <x v="26"/>
    <x v="16"/>
    <s v="cashloan"/>
    <n v="10500000"/>
  </r>
  <r>
    <x v="602"/>
    <x v="1"/>
    <x v="7"/>
    <n v="35"/>
    <n v="31"/>
    <x v="1"/>
    <x v="1"/>
    <s v="cashloan"/>
    <n v="31500000"/>
  </r>
  <r>
    <x v="602"/>
    <x v="1"/>
    <x v="7"/>
    <n v="35"/>
    <n v="31"/>
    <x v="3"/>
    <x v="3"/>
    <s v="cashloan"/>
    <n v="0"/>
  </r>
  <r>
    <x v="602"/>
    <x v="1"/>
    <x v="7"/>
    <n v="35"/>
    <n v="31"/>
    <x v="11"/>
    <x v="10"/>
    <s v="paylater"/>
    <n v="257267158"/>
  </r>
  <r>
    <x v="603"/>
    <x v="1"/>
    <x v="8"/>
    <n v="36"/>
    <n v="1"/>
    <x v="3"/>
    <x v="3"/>
    <s v="cashloan"/>
    <n v="0"/>
  </r>
  <r>
    <x v="603"/>
    <x v="1"/>
    <x v="8"/>
    <n v="36"/>
    <n v="1"/>
    <x v="11"/>
    <x v="10"/>
    <s v="paylater"/>
    <n v="264745797"/>
  </r>
  <r>
    <x v="603"/>
    <x v="1"/>
    <x v="8"/>
    <n v="36"/>
    <n v="1"/>
    <x v="12"/>
    <x v="11"/>
    <s v="cashloan"/>
    <n v="8975040000"/>
  </r>
  <r>
    <x v="603"/>
    <x v="1"/>
    <x v="8"/>
    <n v="36"/>
    <n v="1"/>
    <x v="5"/>
    <x v="5"/>
    <s v="overdraft"/>
    <n v="4216937048"/>
  </r>
  <r>
    <x v="603"/>
    <x v="1"/>
    <x v="8"/>
    <n v="36"/>
    <n v="1"/>
    <x v="27"/>
    <x v="19"/>
    <s v="payday"/>
    <n v="4276908000"/>
  </r>
  <r>
    <x v="603"/>
    <x v="1"/>
    <x v="8"/>
    <n v="36"/>
    <n v="1"/>
    <x v="15"/>
    <x v="14"/>
    <s v="paylater"/>
    <n v="40705729"/>
  </r>
  <r>
    <x v="603"/>
    <x v="1"/>
    <x v="8"/>
    <n v="36"/>
    <n v="1"/>
    <x v="14"/>
    <x v="13"/>
    <s v="cashloan"/>
    <n v="1700710000"/>
  </r>
  <r>
    <x v="603"/>
    <x v="1"/>
    <x v="8"/>
    <n v="36"/>
    <n v="1"/>
    <x v="23"/>
    <x v="17"/>
    <s v="paylater"/>
    <n v="10633000"/>
  </r>
  <r>
    <x v="603"/>
    <x v="1"/>
    <x v="8"/>
    <n v="36"/>
    <n v="1"/>
    <x v="28"/>
    <x v="17"/>
    <s v="paylater"/>
    <n v="295327149"/>
  </r>
  <r>
    <x v="603"/>
    <x v="1"/>
    <x v="8"/>
    <n v="36"/>
    <n v="1"/>
    <x v="8"/>
    <x v="8"/>
    <s v="cashloan"/>
    <n v="0"/>
  </r>
  <r>
    <x v="603"/>
    <x v="1"/>
    <x v="8"/>
    <n v="36"/>
    <n v="1"/>
    <x v="26"/>
    <x v="16"/>
    <s v="cashloan"/>
    <n v="0"/>
  </r>
  <r>
    <x v="603"/>
    <x v="1"/>
    <x v="8"/>
    <n v="36"/>
    <n v="1"/>
    <x v="2"/>
    <x v="2"/>
    <s v="cashloan"/>
    <n v="9636770000"/>
  </r>
  <r>
    <x v="603"/>
    <x v="1"/>
    <x v="8"/>
    <n v="36"/>
    <n v="1"/>
    <x v="17"/>
    <x v="9"/>
    <s v="cashloan"/>
    <n v="0"/>
  </r>
  <r>
    <x v="603"/>
    <x v="1"/>
    <x v="8"/>
    <n v="36"/>
    <n v="1"/>
    <x v="20"/>
    <x v="9"/>
    <s v="cashloan"/>
    <n v="0"/>
  </r>
  <r>
    <x v="603"/>
    <x v="1"/>
    <x v="8"/>
    <n v="36"/>
    <n v="1"/>
    <x v="21"/>
    <x v="9"/>
    <s v="cashloan"/>
    <n v="0"/>
  </r>
  <r>
    <x v="603"/>
    <x v="1"/>
    <x v="8"/>
    <n v="36"/>
    <n v="1"/>
    <x v="25"/>
    <x v="2"/>
    <s v="cashloan"/>
    <n v="0"/>
  </r>
  <r>
    <x v="603"/>
    <x v="1"/>
    <x v="8"/>
    <n v="36"/>
    <n v="1"/>
    <x v="0"/>
    <x v="0"/>
    <s v="payday"/>
    <n v="6054372000"/>
  </r>
  <r>
    <x v="603"/>
    <x v="1"/>
    <x v="8"/>
    <n v="36"/>
    <n v="1"/>
    <x v="7"/>
    <x v="7"/>
    <s v="paylater"/>
    <n v="486330232"/>
  </r>
  <r>
    <x v="603"/>
    <x v="1"/>
    <x v="8"/>
    <n v="36"/>
    <n v="1"/>
    <x v="1"/>
    <x v="1"/>
    <s v="cashloan"/>
    <n v="31500000"/>
  </r>
  <r>
    <x v="603"/>
    <x v="1"/>
    <x v="8"/>
    <n v="36"/>
    <n v="1"/>
    <x v="6"/>
    <x v="6"/>
    <s v="payday"/>
    <n v="28000000"/>
  </r>
  <r>
    <x v="603"/>
    <x v="1"/>
    <x v="8"/>
    <n v="36"/>
    <n v="1"/>
    <x v="18"/>
    <x v="15"/>
    <s v="cashloan"/>
    <n v="482200000"/>
  </r>
  <r>
    <x v="603"/>
    <x v="1"/>
    <x v="8"/>
    <n v="36"/>
    <n v="1"/>
    <x v="19"/>
    <x v="12"/>
    <s v="paylater"/>
    <n v="598762599"/>
  </r>
  <r>
    <x v="603"/>
    <x v="1"/>
    <x v="8"/>
    <n v="36"/>
    <n v="1"/>
    <x v="24"/>
    <x v="18"/>
    <s v="cashloan"/>
    <n v="3592260000"/>
  </r>
  <r>
    <x v="604"/>
    <x v="1"/>
    <x v="8"/>
    <n v="36"/>
    <n v="2"/>
    <x v="3"/>
    <x v="3"/>
    <s v="cashloan"/>
    <n v="0"/>
  </r>
  <r>
    <x v="604"/>
    <x v="1"/>
    <x v="8"/>
    <n v="36"/>
    <n v="2"/>
    <x v="11"/>
    <x v="10"/>
    <s v="paylater"/>
    <n v="351421543"/>
  </r>
  <r>
    <x v="604"/>
    <x v="1"/>
    <x v="8"/>
    <n v="36"/>
    <n v="2"/>
    <x v="12"/>
    <x v="11"/>
    <s v="cashloan"/>
    <n v="8113040000"/>
  </r>
  <r>
    <x v="604"/>
    <x v="1"/>
    <x v="8"/>
    <n v="36"/>
    <n v="2"/>
    <x v="5"/>
    <x v="5"/>
    <s v="overdraft"/>
    <n v="3300880486"/>
  </r>
  <r>
    <x v="604"/>
    <x v="1"/>
    <x v="8"/>
    <n v="36"/>
    <n v="2"/>
    <x v="27"/>
    <x v="19"/>
    <s v="payday"/>
    <n v="4030560000"/>
  </r>
  <r>
    <x v="604"/>
    <x v="1"/>
    <x v="8"/>
    <n v="36"/>
    <n v="2"/>
    <x v="15"/>
    <x v="14"/>
    <s v="paylater"/>
    <n v="39834256"/>
  </r>
  <r>
    <x v="604"/>
    <x v="1"/>
    <x v="8"/>
    <n v="36"/>
    <n v="2"/>
    <x v="14"/>
    <x v="13"/>
    <s v="cashloan"/>
    <n v="1224120000"/>
  </r>
  <r>
    <x v="604"/>
    <x v="1"/>
    <x v="8"/>
    <n v="36"/>
    <n v="2"/>
    <x v="23"/>
    <x v="17"/>
    <s v="paylater"/>
    <n v="43452000"/>
  </r>
  <r>
    <x v="604"/>
    <x v="1"/>
    <x v="8"/>
    <n v="36"/>
    <n v="2"/>
    <x v="28"/>
    <x v="17"/>
    <s v="paylater"/>
    <n v="303340650"/>
  </r>
  <r>
    <x v="604"/>
    <x v="1"/>
    <x v="8"/>
    <n v="36"/>
    <n v="2"/>
    <x v="8"/>
    <x v="8"/>
    <s v="cashloan"/>
    <n v="0"/>
  </r>
  <r>
    <x v="604"/>
    <x v="1"/>
    <x v="8"/>
    <n v="36"/>
    <n v="2"/>
    <x v="26"/>
    <x v="16"/>
    <s v="cashloan"/>
    <n v="30900000"/>
  </r>
  <r>
    <x v="604"/>
    <x v="1"/>
    <x v="8"/>
    <n v="36"/>
    <n v="2"/>
    <x v="2"/>
    <x v="2"/>
    <s v="cashloan"/>
    <n v="9244160000"/>
  </r>
  <r>
    <x v="604"/>
    <x v="1"/>
    <x v="8"/>
    <n v="36"/>
    <n v="2"/>
    <x v="17"/>
    <x v="9"/>
    <s v="cashloan"/>
    <n v="0"/>
  </r>
  <r>
    <x v="604"/>
    <x v="1"/>
    <x v="8"/>
    <n v="36"/>
    <n v="2"/>
    <x v="20"/>
    <x v="9"/>
    <s v="cashloan"/>
    <n v="0"/>
  </r>
  <r>
    <x v="604"/>
    <x v="1"/>
    <x v="8"/>
    <n v="36"/>
    <n v="2"/>
    <x v="21"/>
    <x v="9"/>
    <s v="cashloan"/>
    <n v="0"/>
  </r>
  <r>
    <x v="604"/>
    <x v="1"/>
    <x v="8"/>
    <n v="36"/>
    <n v="2"/>
    <x v="25"/>
    <x v="2"/>
    <s v="cashloan"/>
    <n v="0"/>
  </r>
  <r>
    <x v="604"/>
    <x v="1"/>
    <x v="8"/>
    <n v="36"/>
    <n v="2"/>
    <x v="0"/>
    <x v="0"/>
    <s v="payday"/>
    <n v="5256360000"/>
  </r>
  <r>
    <x v="604"/>
    <x v="1"/>
    <x v="8"/>
    <n v="36"/>
    <n v="2"/>
    <x v="7"/>
    <x v="7"/>
    <s v="paylater"/>
    <n v="338126075"/>
  </r>
  <r>
    <x v="604"/>
    <x v="1"/>
    <x v="8"/>
    <n v="36"/>
    <n v="2"/>
    <x v="1"/>
    <x v="1"/>
    <s v="cashloan"/>
    <n v="10500000"/>
  </r>
  <r>
    <x v="604"/>
    <x v="1"/>
    <x v="8"/>
    <n v="36"/>
    <n v="2"/>
    <x v="6"/>
    <x v="6"/>
    <s v="payday"/>
    <n v="19000000"/>
  </r>
  <r>
    <x v="604"/>
    <x v="1"/>
    <x v="8"/>
    <n v="36"/>
    <n v="2"/>
    <x v="18"/>
    <x v="15"/>
    <s v="cashloan"/>
    <n v="346970000"/>
  </r>
  <r>
    <x v="604"/>
    <x v="1"/>
    <x v="8"/>
    <n v="36"/>
    <n v="2"/>
    <x v="19"/>
    <x v="12"/>
    <s v="paylater"/>
    <n v="646015302"/>
  </r>
  <r>
    <x v="604"/>
    <x v="1"/>
    <x v="8"/>
    <n v="36"/>
    <n v="2"/>
    <x v="24"/>
    <x v="18"/>
    <s v="cashloan"/>
    <n v="4072340000"/>
  </r>
  <r>
    <x v="605"/>
    <x v="1"/>
    <x v="8"/>
    <n v="36"/>
    <n v="3"/>
    <x v="3"/>
    <x v="3"/>
    <s v="cashloan"/>
    <n v="0"/>
  </r>
  <r>
    <x v="605"/>
    <x v="1"/>
    <x v="8"/>
    <n v="36"/>
    <n v="3"/>
    <x v="11"/>
    <x v="10"/>
    <s v="paylater"/>
    <n v="335505657"/>
  </r>
  <r>
    <x v="605"/>
    <x v="1"/>
    <x v="8"/>
    <n v="36"/>
    <n v="3"/>
    <x v="12"/>
    <x v="11"/>
    <s v="cashloan"/>
    <n v="13823860000"/>
  </r>
  <r>
    <x v="605"/>
    <x v="1"/>
    <x v="8"/>
    <n v="36"/>
    <n v="3"/>
    <x v="5"/>
    <x v="5"/>
    <s v="overdraft"/>
    <n v="4335473747"/>
  </r>
  <r>
    <x v="605"/>
    <x v="1"/>
    <x v="8"/>
    <n v="36"/>
    <n v="3"/>
    <x v="27"/>
    <x v="19"/>
    <s v="payday"/>
    <n v="5313276000"/>
  </r>
  <r>
    <x v="605"/>
    <x v="1"/>
    <x v="8"/>
    <n v="36"/>
    <n v="3"/>
    <x v="15"/>
    <x v="14"/>
    <s v="paylater"/>
    <n v="117398600"/>
  </r>
  <r>
    <x v="605"/>
    <x v="1"/>
    <x v="8"/>
    <n v="36"/>
    <n v="3"/>
    <x v="14"/>
    <x v="13"/>
    <s v="cashloan"/>
    <n v="2517700000"/>
  </r>
  <r>
    <x v="605"/>
    <x v="1"/>
    <x v="8"/>
    <n v="36"/>
    <n v="3"/>
    <x v="23"/>
    <x v="17"/>
    <s v="paylater"/>
    <n v="43438000"/>
  </r>
  <r>
    <x v="605"/>
    <x v="1"/>
    <x v="8"/>
    <n v="36"/>
    <n v="3"/>
    <x v="28"/>
    <x v="17"/>
    <s v="paylater"/>
    <n v="391108000"/>
  </r>
  <r>
    <x v="605"/>
    <x v="1"/>
    <x v="8"/>
    <n v="36"/>
    <n v="3"/>
    <x v="8"/>
    <x v="8"/>
    <s v="cashloan"/>
    <n v="0"/>
  </r>
  <r>
    <x v="605"/>
    <x v="1"/>
    <x v="8"/>
    <n v="36"/>
    <n v="3"/>
    <x v="26"/>
    <x v="16"/>
    <s v="cashloan"/>
    <n v="10500000"/>
  </r>
  <r>
    <x v="605"/>
    <x v="1"/>
    <x v="8"/>
    <n v="36"/>
    <n v="3"/>
    <x v="2"/>
    <x v="2"/>
    <s v="cashloan"/>
    <n v="12469570000"/>
  </r>
  <r>
    <x v="605"/>
    <x v="1"/>
    <x v="8"/>
    <n v="36"/>
    <n v="3"/>
    <x v="17"/>
    <x v="9"/>
    <s v="cashloan"/>
    <n v="0"/>
  </r>
  <r>
    <x v="605"/>
    <x v="1"/>
    <x v="8"/>
    <n v="36"/>
    <n v="3"/>
    <x v="20"/>
    <x v="9"/>
    <s v="cashloan"/>
    <n v="0"/>
  </r>
  <r>
    <x v="605"/>
    <x v="1"/>
    <x v="8"/>
    <n v="36"/>
    <n v="3"/>
    <x v="21"/>
    <x v="9"/>
    <s v="cashloan"/>
    <n v="0"/>
  </r>
  <r>
    <x v="605"/>
    <x v="1"/>
    <x v="8"/>
    <n v="36"/>
    <n v="3"/>
    <x v="25"/>
    <x v="2"/>
    <s v="cashloan"/>
    <n v="0"/>
  </r>
  <r>
    <x v="605"/>
    <x v="1"/>
    <x v="8"/>
    <n v="36"/>
    <n v="3"/>
    <x v="0"/>
    <x v="0"/>
    <s v="payday"/>
    <n v="6503760000"/>
  </r>
  <r>
    <x v="605"/>
    <x v="1"/>
    <x v="8"/>
    <n v="36"/>
    <n v="3"/>
    <x v="7"/>
    <x v="7"/>
    <s v="paylater"/>
    <n v="571500648"/>
  </r>
  <r>
    <x v="605"/>
    <x v="1"/>
    <x v="8"/>
    <n v="36"/>
    <n v="3"/>
    <x v="1"/>
    <x v="1"/>
    <s v="cashloan"/>
    <n v="26250000"/>
  </r>
  <r>
    <x v="605"/>
    <x v="1"/>
    <x v="8"/>
    <n v="36"/>
    <n v="3"/>
    <x v="6"/>
    <x v="6"/>
    <s v="payday"/>
    <n v="45000000"/>
  </r>
  <r>
    <x v="605"/>
    <x v="1"/>
    <x v="8"/>
    <n v="36"/>
    <n v="3"/>
    <x v="18"/>
    <x v="15"/>
    <s v="cashloan"/>
    <n v="445180000"/>
  </r>
  <r>
    <x v="605"/>
    <x v="1"/>
    <x v="8"/>
    <n v="36"/>
    <n v="3"/>
    <x v="19"/>
    <x v="12"/>
    <s v="paylater"/>
    <n v="1181851452"/>
  </r>
  <r>
    <x v="605"/>
    <x v="1"/>
    <x v="8"/>
    <n v="36"/>
    <n v="3"/>
    <x v="24"/>
    <x v="18"/>
    <s v="cashloan"/>
    <n v="3897470000"/>
  </r>
  <r>
    <x v="606"/>
    <x v="1"/>
    <x v="8"/>
    <n v="36"/>
    <n v="4"/>
    <x v="3"/>
    <x v="3"/>
    <s v="cashloan"/>
    <n v="0"/>
  </r>
  <r>
    <x v="606"/>
    <x v="1"/>
    <x v="8"/>
    <n v="36"/>
    <n v="4"/>
    <x v="11"/>
    <x v="10"/>
    <s v="paylater"/>
    <n v="390438365"/>
  </r>
  <r>
    <x v="606"/>
    <x v="1"/>
    <x v="8"/>
    <n v="36"/>
    <n v="4"/>
    <x v="12"/>
    <x v="11"/>
    <s v="cashloan"/>
    <n v="20535450000"/>
  </r>
  <r>
    <x v="606"/>
    <x v="1"/>
    <x v="8"/>
    <n v="36"/>
    <n v="4"/>
    <x v="5"/>
    <x v="5"/>
    <s v="overdraft"/>
    <n v="3914917889"/>
  </r>
  <r>
    <x v="606"/>
    <x v="1"/>
    <x v="8"/>
    <n v="36"/>
    <n v="4"/>
    <x v="27"/>
    <x v="19"/>
    <s v="payday"/>
    <n v="5437476000"/>
  </r>
  <r>
    <x v="606"/>
    <x v="1"/>
    <x v="8"/>
    <n v="36"/>
    <n v="4"/>
    <x v="15"/>
    <x v="14"/>
    <s v="paylater"/>
    <n v="120336278"/>
  </r>
  <r>
    <x v="606"/>
    <x v="1"/>
    <x v="8"/>
    <n v="36"/>
    <n v="4"/>
    <x v="14"/>
    <x v="13"/>
    <s v="cashloan"/>
    <n v="2742940000"/>
  </r>
  <r>
    <x v="606"/>
    <x v="1"/>
    <x v="8"/>
    <n v="36"/>
    <n v="4"/>
    <x v="23"/>
    <x v="17"/>
    <s v="paylater"/>
    <n v="98672000"/>
  </r>
  <r>
    <x v="606"/>
    <x v="1"/>
    <x v="8"/>
    <n v="36"/>
    <n v="4"/>
    <x v="28"/>
    <x v="17"/>
    <s v="paylater"/>
    <n v="416159150"/>
  </r>
  <r>
    <x v="606"/>
    <x v="1"/>
    <x v="8"/>
    <n v="36"/>
    <n v="4"/>
    <x v="8"/>
    <x v="8"/>
    <s v="cashloan"/>
    <n v="0"/>
  </r>
  <r>
    <x v="606"/>
    <x v="1"/>
    <x v="8"/>
    <n v="36"/>
    <n v="4"/>
    <x v="26"/>
    <x v="16"/>
    <s v="cashloan"/>
    <n v="35700000"/>
  </r>
  <r>
    <x v="606"/>
    <x v="1"/>
    <x v="8"/>
    <n v="36"/>
    <n v="4"/>
    <x v="2"/>
    <x v="2"/>
    <s v="cashloan"/>
    <n v="14832730000"/>
  </r>
  <r>
    <x v="606"/>
    <x v="1"/>
    <x v="8"/>
    <n v="36"/>
    <n v="4"/>
    <x v="17"/>
    <x v="9"/>
    <s v="cashloan"/>
    <n v="0"/>
  </r>
  <r>
    <x v="606"/>
    <x v="1"/>
    <x v="8"/>
    <n v="36"/>
    <n v="4"/>
    <x v="20"/>
    <x v="9"/>
    <s v="cashloan"/>
    <n v="0"/>
  </r>
  <r>
    <x v="606"/>
    <x v="1"/>
    <x v="8"/>
    <n v="36"/>
    <n v="4"/>
    <x v="21"/>
    <x v="9"/>
    <s v="cashloan"/>
    <n v="0"/>
  </r>
  <r>
    <x v="606"/>
    <x v="1"/>
    <x v="8"/>
    <n v="36"/>
    <n v="4"/>
    <x v="25"/>
    <x v="2"/>
    <s v="cashloan"/>
    <n v="0"/>
  </r>
  <r>
    <x v="606"/>
    <x v="1"/>
    <x v="8"/>
    <n v="36"/>
    <n v="4"/>
    <x v="0"/>
    <x v="0"/>
    <s v="payday"/>
    <n v="7606332000"/>
  </r>
  <r>
    <x v="606"/>
    <x v="1"/>
    <x v="8"/>
    <n v="36"/>
    <n v="4"/>
    <x v="7"/>
    <x v="7"/>
    <s v="paylater"/>
    <n v="759961334"/>
  </r>
  <r>
    <x v="606"/>
    <x v="1"/>
    <x v="8"/>
    <n v="36"/>
    <n v="4"/>
    <x v="1"/>
    <x v="1"/>
    <s v="cashloan"/>
    <n v="31500000"/>
  </r>
  <r>
    <x v="606"/>
    <x v="1"/>
    <x v="8"/>
    <n v="36"/>
    <n v="4"/>
    <x v="6"/>
    <x v="6"/>
    <s v="payday"/>
    <n v="39000000"/>
  </r>
  <r>
    <x v="606"/>
    <x v="1"/>
    <x v="8"/>
    <n v="36"/>
    <n v="4"/>
    <x v="18"/>
    <x v="15"/>
    <s v="cashloan"/>
    <n v="506100000"/>
  </r>
  <r>
    <x v="606"/>
    <x v="1"/>
    <x v="8"/>
    <n v="36"/>
    <n v="4"/>
    <x v="19"/>
    <x v="12"/>
    <s v="paylater"/>
    <n v="1999410565"/>
  </r>
  <r>
    <x v="606"/>
    <x v="1"/>
    <x v="8"/>
    <n v="36"/>
    <n v="4"/>
    <x v="24"/>
    <x v="18"/>
    <s v="cashloan"/>
    <n v="3401020000"/>
  </r>
  <r>
    <x v="607"/>
    <x v="1"/>
    <x v="8"/>
    <n v="36"/>
    <n v="5"/>
    <x v="3"/>
    <x v="3"/>
    <s v="cashloan"/>
    <n v="0"/>
  </r>
  <r>
    <x v="607"/>
    <x v="1"/>
    <x v="8"/>
    <n v="36"/>
    <n v="5"/>
    <x v="11"/>
    <x v="10"/>
    <s v="paylater"/>
    <n v="387385588"/>
  </r>
  <r>
    <x v="607"/>
    <x v="1"/>
    <x v="8"/>
    <n v="36"/>
    <n v="5"/>
    <x v="12"/>
    <x v="11"/>
    <s v="cashloan"/>
    <n v="21233180000"/>
  </r>
  <r>
    <x v="607"/>
    <x v="1"/>
    <x v="8"/>
    <n v="36"/>
    <n v="5"/>
    <x v="5"/>
    <x v="5"/>
    <s v="overdraft"/>
    <n v="3702187350"/>
  </r>
  <r>
    <x v="607"/>
    <x v="1"/>
    <x v="8"/>
    <n v="36"/>
    <n v="5"/>
    <x v="27"/>
    <x v="19"/>
    <s v="payday"/>
    <n v="5375916000"/>
  </r>
  <r>
    <x v="607"/>
    <x v="1"/>
    <x v="8"/>
    <n v="36"/>
    <n v="5"/>
    <x v="15"/>
    <x v="14"/>
    <s v="paylater"/>
    <n v="75263128"/>
  </r>
  <r>
    <x v="607"/>
    <x v="1"/>
    <x v="8"/>
    <n v="36"/>
    <n v="5"/>
    <x v="14"/>
    <x v="13"/>
    <s v="cashloan"/>
    <n v="3046390000"/>
  </r>
  <r>
    <x v="607"/>
    <x v="1"/>
    <x v="8"/>
    <n v="36"/>
    <n v="5"/>
    <x v="23"/>
    <x v="17"/>
    <s v="paylater"/>
    <n v="80634000"/>
  </r>
  <r>
    <x v="607"/>
    <x v="1"/>
    <x v="8"/>
    <n v="36"/>
    <n v="5"/>
    <x v="28"/>
    <x v="17"/>
    <s v="paylater"/>
    <n v="352679000"/>
  </r>
  <r>
    <x v="607"/>
    <x v="1"/>
    <x v="8"/>
    <n v="36"/>
    <n v="5"/>
    <x v="8"/>
    <x v="8"/>
    <s v="cashloan"/>
    <n v="0"/>
  </r>
  <r>
    <x v="607"/>
    <x v="1"/>
    <x v="8"/>
    <n v="36"/>
    <n v="5"/>
    <x v="26"/>
    <x v="16"/>
    <s v="cashloan"/>
    <n v="27750000"/>
  </r>
  <r>
    <x v="607"/>
    <x v="1"/>
    <x v="8"/>
    <n v="36"/>
    <n v="5"/>
    <x v="2"/>
    <x v="2"/>
    <s v="cashloan"/>
    <n v="15939580000"/>
  </r>
  <r>
    <x v="607"/>
    <x v="1"/>
    <x v="8"/>
    <n v="36"/>
    <n v="5"/>
    <x v="17"/>
    <x v="9"/>
    <s v="cashloan"/>
    <n v="0"/>
  </r>
  <r>
    <x v="607"/>
    <x v="1"/>
    <x v="8"/>
    <n v="36"/>
    <n v="5"/>
    <x v="20"/>
    <x v="9"/>
    <s v="cashloan"/>
    <n v="0"/>
  </r>
  <r>
    <x v="607"/>
    <x v="1"/>
    <x v="8"/>
    <n v="36"/>
    <n v="5"/>
    <x v="21"/>
    <x v="9"/>
    <s v="cashloan"/>
    <n v="0"/>
  </r>
  <r>
    <x v="607"/>
    <x v="1"/>
    <x v="8"/>
    <n v="36"/>
    <n v="5"/>
    <x v="25"/>
    <x v="2"/>
    <s v="cashloan"/>
    <n v="0"/>
  </r>
  <r>
    <x v="607"/>
    <x v="1"/>
    <x v="8"/>
    <n v="36"/>
    <n v="5"/>
    <x v="0"/>
    <x v="0"/>
    <s v="payday"/>
    <n v="9873360000"/>
  </r>
  <r>
    <x v="607"/>
    <x v="1"/>
    <x v="8"/>
    <n v="36"/>
    <n v="5"/>
    <x v="7"/>
    <x v="7"/>
    <s v="paylater"/>
    <n v="658644323"/>
  </r>
  <r>
    <x v="607"/>
    <x v="1"/>
    <x v="8"/>
    <n v="36"/>
    <n v="5"/>
    <x v="1"/>
    <x v="1"/>
    <s v="cashloan"/>
    <n v="35000000"/>
  </r>
  <r>
    <x v="607"/>
    <x v="1"/>
    <x v="8"/>
    <n v="36"/>
    <n v="5"/>
    <x v="6"/>
    <x v="6"/>
    <s v="payday"/>
    <n v="49000000"/>
  </r>
  <r>
    <x v="607"/>
    <x v="1"/>
    <x v="8"/>
    <n v="36"/>
    <n v="5"/>
    <x v="18"/>
    <x v="15"/>
    <s v="cashloan"/>
    <n v="423370000"/>
  </r>
  <r>
    <x v="607"/>
    <x v="1"/>
    <x v="8"/>
    <n v="36"/>
    <n v="5"/>
    <x v="19"/>
    <x v="12"/>
    <s v="paylater"/>
    <n v="1204056755"/>
  </r>
  <r>
    <x v="607"/>
    <x v="1"/>
    <x v="8"/>
    <n v="36"/>
    <n v="5"/>
    <x v="24"/>
    <x v="18"/>
    <s v="cashloan"/>
    <n v="3823550000"/>
  </r>
  <r>
    <x v="608"/>
    <x v="1"/>
    <x v="8"/>
    <n v="36"/>
    <n v="6"/>
    <x v="3"/>
    <x v="3"/>
    <s v="cashloan"/>
    <n v="0"/>
  </r>
  <r>
    <x v="608"/>
    <x v="1"/>
    <x v="8"/>
    <n v="36"/>
    <n v="6"/>
    <x v="11"/>
    <x v="10"/>
    <s v="paylater"/>
    <n v="316842882"/>
  </r>
  <r>
    <x v="608"/>
    <x v="1"/>
    <x v="8"/>
    <n v="36"/>
    <n v="6"/>
    <x v="12"/>
    <x v="11"/>
    <s v="cashloan"/>
    <n v="17101920000"/>
  </r>
  <r>
    <x v="608"/>
    <x v="1"/>
    <x v="8"/>
    <n v="36"/>
    <n v="6"/>
    <x v="5"/>
    <x v="5"/>
    <s v="overdraft"/>
    <n v="2685258053"/>
  </r>
  <r>
    <x v="608"/>
    <x v="1"/>
    <x v="8"/>
    <n v="36"/>
    <n v="6"/>
    <x v="27"/>
    <x v="19"/>
    <s v="payday"/>
    <n v="4417632000"/>
  </r>
  <r>
    <x v="608"/>
    <x v="1"/>
    <x v="8"/>
    <n v="36"/>
    <n v="6"/>
    <x v="15"/>
    <x v="14"/>
    <s v="paylater"/>
    <n v="35855988"/>
  </r>
  <r>
    <x v="608"/>
    <x v="1"/>
    <x v="8"/>
    <n v="36"/>
    <n v="6"/>
    <x v="14"/>
    <x v="13"/>
    <s v="cashloan"/>
    <n v="3120380000"/>
  </r>
  <r>
    <x v="608"/>
    <x v="1"/>
    <x v="8"/>
    <n v="36"/>
    <n v="6"/>
    <x v="23"/>
    <x v="17"/>
    <s v="paylater"/>
    <n v="68558000"/>
  </r>
  <r>
    <x v="608"/>
    <x v="1"/>
    <x v="8"/>
    <n v="36"/>
    <n v="6"/>
    <x v="28"/>
    <x v="17"/>
    <s v="paylater"/>
    <n v="570047000"/>
  </r>
  <r>
    <x v="608"/>
    <x v="1"/>
    <x v="8"/>
    <n v="36"/>
    <n v="6"/>
    <x v="8"/>
    <x v="8"/>
    <s v="cashloan"/>
    <n v="0"/>
  </r>
  <r>
    <x v="608"/>
    <x v="1"/>
    <x v="8"/>
    <n v="36"/>
    <n v="6"/>
    <x v="26"/>
    <x v="16"/>
    <s v="cashloan"/>
    <n v="42000000"/>
  </r>
  <r>
    <x v="608"/>
    <x v="1"/>
    <x v="8"/>
    <n v="36"/>
    <n v="6"/>
    <x v="2"/>
    <x v="2"/>
    <s v="cashloan"/>
    <n v="15060960000"/>
  </r>
  <r>
    <x v="608"/>
    <x v="1"/>
    <x v="8"/>
    <n v="36"/>
    <n v="6"/>
    <x v="17"/>
    <x v="9"/>
    <s v="cashloan"/>
    <n v="0"/>
  </r>
  <r>
    <x v="608"/>
    <x v="1"/>
    <x v="8"/>
    <n v="36"/>
    <n v="6"/>
    <x v="20"/>
    <x v="9"/>
    <s v="cashloan"/>
    <n v="0"/>
  </r>
  <r>
    <x v="608"/>
    <x v="1"/>
    <x v="8"/>
    <n v="36"/>
    <n v="6"/>
    <x v="21"/>
    <x v="9"/>
    <s v="cashloan"/>
    <n v="0"/>
  </r>
  <r>
    <x v="608"/>
    <x v="1"/>
    <x v="8"/>
    <n v="36"/>
    <n v="6"/>
    <x v="25"/>
    <x v="2"/>
    <s v="cashloan"/>
    <n v="0"/>
  </r>
  <r>
    <x v="608"/>
    <x v="1"/>
    <x v="8"/>
    <n v="36"/>
    <n v="6"/>
    <x v="0"/>
    <x v="0"/>
    <s v="payday"/>
    <n v="8235324000"/>
  </r>
  <r>
    <x v="608"/>
    <x v="1"/>
    <x v="8"/>
    <n v="36"/>
    <n v="6"/>
    <x v="7"/>
    <x v="7"/>
    <s v="paylater"/>
    <n v="466600028"/>
  </r>
  <r>
    <x v="608"/>
    <x v="1"/>
    <x v="8"/>
    <n v="36"/>
    <n v="6"/>
    <x v="1"/>
    <x v="1"/>
    <s v="cashloan"/>
    <n v="10500000"/>
  </r>
  <r>
    <x v="608"/>
    <x v="1"/>
    <x v="8"/>
    <n v="36"/>
    <n v="6"/>
    <x v="6"/>
    <x v="6"/>
    <s v="payday"/>
    <n v="49000000"/>
  </r>
  <r>
    <x v="608"/>
    <x v="1"/>
    <x v="8"/>
    <n v="36"/>
    <n v="6"/>
    <x v="18"/>
    <x v="15"/>
    <s v="cashloan"/>
    <n v="327890000"/>
  </r>
  <r>
    <x v="608"/>
    <x v="1"/>
    <x v="8"/>
    <n v="36"/>
    <n v="6"/>
    <x v="19"/>
    <x v="12"/>
    <s v="paylater"/>
    <n v="542700430"/>
  </r>
  <r>
    <x v="608"/>
    <x v="1"/>
    <x v="8"/>
    <n v="36"/>
    <n v="6"/>
    <x v="24"/>
    <x v="18"/>
    <s v="cashloan"/>
    <n v="2636100000"/>
  </r>
  <r>
    <x v="609"/>
    <x v="1"/>
    <x v="8"/>
    <n v="36"/>
    <n v="7"/>
    <x v="3"/>
    <x v="3"/>
    <s v="cashloan"/>
    <n v="0"/>
  </r>
  <r>
    <x v="609"/>
    <x v="1"/>
    <x v="8"/>
    <n v="36"/>
    <n v="7"/>
    <x v="11"/>
    <x v="10"/>
    <s v="paylater"/>
    <n v="343546244"/>
  </r>
  <r>
    <x v="609"/>
    <x v="1"/>
    <x v="8"/>
    <n v="36"/>
    <n v="7"/>
    <x v="12"/>
    <x v="11"/>
    <s v="cashloan"/>
    <n v="15749720000"/>
  </r>
  <r>
    <x v="609"/>
    <x v="1"/>
    <x v="8"/>
    <n v="36"/>
    <n v="7"/>
    <x v="5"/>
    <x v="5"/>
    <s v="overdraft"/>
    <n v="2488382624"/>
  </r>
  <r>
    <x v="609"/>
    <x v="1"/>
    <x v="8"/>
    <n v="36"/>
    <n v="7"/>
    <x v="27"/>
    <x v="19"/>
    <s v="payday"/>
    <n v="4054644000"/>
  </r>
  <r>
    <x v="609"/>
    <x v="1"/>
    <x v="8"/>
    <n v="36"/>
    <n v="7"/>
    <x v="15"/>
    <x v="14"/>
    <s v="paylater"/>
    <n v="40314204"/>
  </r>
  <r>
    <x v="609"/>
    <x v="1"/>
    <x v="8"/>
    <n v="36"/>
    <n v="7"/>
    <x v="14"/>
    <x v="13"/>
    <s v="cashloan"/>
    <n v="2971390000"/>
  </r>
  <r>
    <x v="609"/>
    <x v="1"/>
    <x v="8"/>
    <n v="36"/>
    <n v="7"/>
    <x v="23"/>
    <x v="17"/>
    <s v="paylater"/>
    <n v="26271000"/>
  </r>
  <r>
    <x v="609"/>
    <x v="1"/>
    <x v="8"/>
    <n v="36"/>
    <n v="7"/>
    <x v="28"/>
    <x v="17"/>
    <s v="paylater"/>
    <n v="467462000"/>
  </r>
  <r>
    <x v="609"/>
    <x v="1"/>
    <x v="8"/>
    <n v="36"/>
    <n v="7"/>
    <x v="8"/>
    <x v="8"/>
    <s v="cashloan"/>
    <n v="0"/>
  </r>
  <r>
    <x v="609"/>
    <x v="1"/>
    <x v="8"/>
    <n v="36"/>
    <n v="7"/>
    <x v="26"/>
    <x v="16"/>
    <s v="cashloan"/>
    <n v="0"/>
  </r>
  <r>
    <x v="609"/>
    <x v="1"/>
    <x v="8"/>
    <n v="36"/>
    <n v="7"/>
    <x v="2"/>
    <x v="2"/>
    <s v="cashloan"/>
    <n v="14106160000"/>
  </r>
  <r>
    <x v="609"/>
    <x v="1"/>
    <x v="8"/>
    <n v="36"/>
    <n v="7"/>
    <x v="17"/>
    <x v="9"/>
    <s v="cashloan"/>
    <n v="0"/>
  </r>
  <r>
    <x v="609"/>
    <x v="1"/>
    <x v="8"/>
    <n v="36"/>
    <n v="7"/>
    <x v="20"/>
    <x v="9"/>
    <s v="cashloan"/>
    <n v="0"/>
  </r>
  <r>
    <x v="609"/>
    <x v="1"/>
    <x v="8"/>
    <n v="36"/>
    <n v="7"/>
    <x v="21"/>
    <x v="9"/>
    <s v="cashloan"/>
    <n v="0"/>
  </r>
  <r>
    <x v="609"/>
    <x v="1"/>
    <x v="8"/>
    <n v="36"/>
    <n v="7"/>
    <x v="25"/>
    <x v="2"/>
    <s v="cashloan"/>
    <n v="0"/>
  </r>
  <r>
    <x v="609"/>
    <x v="1"/>
    <x v="8"/>
    <n v="36"/>
    <n v="7"/>
    <x v="0"/>
    <x v="0"/>
    <s v="payday"/>
    <n v="7793280000"/>
  </r>
  <r>
    <x v="609"/>
    <x v="1"/>
    <x v="8"/>
    <n v="36"/>
    <n v="7"/>
    <x v="7"/>
    <x v="7"/>
    <s v="paylater"/>
    <n v="319561562"/>
  </r>
  <r>
    <x v="609"/>
    <x v="1"/>
    <x v="8"/>
    <n v="36"/>
    <n v="7"/>
    <x v="1"/>
    <x v="1"/>
    <s v="cashloan"/>
    <n v="31000000"/>
  </r>
  <r>
    <x v="609"/>
    <x v="1"/>
    <x v="8"/>
    <n v="36"/>
    <n v="7"/>
    <x v="6"/>
    <x v="6"/>
    <s v="payday"/>
    <n v="41000000"/>
  </r>
  <r>
    <x v="609"/>
    <x v="1"/>
    <x v="8"/>
    <n v="36"/>
    <n v="7"/>
    <x v="18"/>
    <x v="15"/>
    <s v="cashloan"/>
    <n v="482140000"/>
  </r>
  <r>
    <x v="609"/>
    <x v="1"/>
    <x v="8"/>
    <n v="36"/>
    <n v="7"/>
    <x v="19"/>
    <x v="12"/>
    <s v="paylater"/>
    <n v="426615143"/>
  </r>
  <r>
    <x v="609"/>
    <x v="1"/>
    <x v="8"/>
    <n v="36"/>
    <n v="7"/>
    <x v="24"/>
    <x v="18"/>
    <s v="cashloan"/>
    <n v="2716360000"/>
  </r>
  <r>
    <x v="610"/>
    <x v="1"/>
    <x v="8"/>
    <n v="37"/>
    <n v="8"/>
    <x v="3"/>
    <x v="3"/>
    <s v="cashloan"/>
    <n v="0"/>
  </r>
  <r>
    <x v="610"/>
    <x v="1"/>
    <x v="8"/>
    <n v="37"/>
    <n v="8"/>
    <x v="11"/>
    <x v="10"/>
    <s v="paylater"/>
    <n v="318899449"/>
  </r>
  <r>
    <x v="610"/>
    <x v="1"/>
    <x v="8"/>
    <n v="37"/>
    <n v="8"/>
    <x v="12"/>
    <x v="11"/>
    <s v="cashloan"/>
    <n v="19450990000"/>
  </r>
  <r>
    <x v="610"/>
    <x v="1"/>
    <x v="8"/>
    <n v="37"/>
    <n v="8"/>
    <x v="5"/>
    <x v="5"/>
    <s v="overdraft"/>
    <n v="3235316502"/>
  </r>
  <r>
    <x v="610"/>
    <x v="1"/>
    <x v="8"/>
    <n v="37"/>
    <n v="8"/>
    <x v="27"/>
    <x v="19"/>
    <s v="payday"/>
    <n v="4550040000"/>
  </r>
  <r>
    <x v="610"/>
    <x v="1"/>
    <x v="8"/>
    <n v="37"/>
    <n v="8"/>
    <x v="15"/>
    <x v="14"/>
    <s v="paylater"/>
    <n v="26872587"/>
  </r>
  <r>
    <x v="610"/>
    <x v="1"/>
    <x v="8"/>
    <n v="37"/>
    <n v="8"/>
    <x v="14"/>
    <x v="13"/>
    <s v="cashloan"/>
    <n v="3599640000"/>
  </r>
  <r>
    <x v="610"/>
    <x v="1"/>
    <x v="8"/>
    <n v="37"/>
    <n v="8"/>
    <x v="23"/>
    <x v="17"/>
    <s v="paylater"/>
    <n v="24967000"/>
  </r>
  <r>
    <x v="610"/>
    <x v="1"/>
    <x v="8"/>
    <n v="37"/>
    <n v="8"/>
    <x v="28"/>
    <x v="17"/>
    <s v="paylater"/>
    <n v="396339000"/>
  </r>
  <r>
    <x v="610"/>
    <x v="1"/>
    <x v="8"/>
    <n v="37"/>
    <n v="8"/>
    <x v="8"/>
    <x v="8"/>
    <s v="cashloan"/>
    <n v="0"/>
  </r>
  <r>
    <x v="610"/>
    <x v="1"/>
    <x v="8"/>
    <n v="37"/>
    <n v="8"/>
    <x v="26"/>
    <x v="16"/>
    <s v="cashloan"/>
    <n v="33100000"/>
  </r>
  <r>
    <x v="610"/>
    <x v="1"/>
    <x v="8"/>
    <n v="37"/>
    <n v="8"/>
    <x v="2"/>
    <x v="2"/>
    <s v="cashloan"/>
    <n v="17449860000"/>
  </r>
  <r>
    <x v="610"/>
    <x v="1"/>
    <x v="8"/>
    <n v="37"/>
    <n v="8"/>
    <x v="17"/>
    <x v="9"/>
    <s v="cashloan"/>
    <n v="0"/>
  </r>
  <r>
    <x v="610"/>
    <x v="1"/>
    <x v="8"/>
    <n v="37"/>
    <n v="8"/>
    <x v="20"/>
    <x v="9"/>
    <s v="cashloan"/>
    <n v="0"/>
  </r>
  <r>
    <x v="610"/>
    <x v="1"/>
    <x v="8"/>
    <n v="37"/>
    <n v="8"/>
    <x v="21"/>
    <x v="9"/>
    <s v="cashloan"/>
    <n v="0"/>
  </r>
  <r>
    <x v="610"/>
    <x v="1"/>
    <x v="8"/>
    <n v="37"/>
    <n v="8"/>
    <x v="25"/>
    <x v="2"/>
    <s v="cashloan"/>
    <n v="0"/>
  </r>
  <r>
    <x v="610"/>
    <x v="1"/>
    <x v="8"/>
    <n v="37"/>
    <n v="8"/>
    <x v="0"/>
    <x v="0"/>
    <s v="payday"/>
    <n v="8825220000"/>
  </r>
  <r>
    <x v="610"/>
    <x v="1"/>
    <x v="8"/>
    <n v="37"/>
    <n v="8"/>
    <x v="7"/>
    <x v="7"/>
    <s v="paylater"/>
    <n v="326659216"/>
  </r>
  <r>
    <x v="610"/>
    <x v="1"/>
    <x v="8"/>
    <n v="37"/>
    <n v="8"/>
    <x v="1"/>
    <x v="1"/>
    <s v="cashloan"/>
    <n v="81000000"/>
  </r>
  <r>
    <x v="610"/>
    <x v="1"/>
    <x v="8"/>
    <n v="37"/>
    <n v="8"/>
    <x v="6"/>
    <x v="6"/>
    <s v="payday"/>
    <n v="20000000"/>
  </r>
  <r>
    <x v="610"/>
    <x v="1"/>
    <x v="8"/>
    <n v="37"/>
    <n v="8"/>
    <x v="18"/>
    <x v="15"/>
    <s v="cashloan"/>
    <n v="440580000"/>
  </r>
  <r>
    <x v="610"/>
    <x v="1"/>
    <x v="8"/>
    <n v="37"/>
    <n v="8"/>
    <x v="19"/>
    <x v="12"/>
    <s v="paylater"/>
    <n v="482281754"/>
  </r>
  <r>
    <x v="610"/>
    <x v="1"/>
    <x v="8"/>
    <n v="37"/>
    <n v="8"/>
    <x v="24"/>
    <x v="18"/>
    <s v="cashloan"/>
    <n v="3281080000"/>
  </r>
  <r>
    <x v="611"/>
    <x v="1"/>
    <x v="8"/>
    <n v="37"/>
    <n v="9"/>
    <x v="3"/>
    <x v="3"/>
    <s v="cashloan"/>
    <n v="0"/>
  </r>
  <r>
    <x v="611"/>
    <x v="1"/>
    <x v="8"/>
    <n v="37"/>
    <n v="9"/>
    <x v="11"/>
    <x v="10"/>
    <s v="paylater"/>
    <n v="274063589"/>
  </r>
  <r>
    <x v="611"/>
    <x v="1"/>
    <x v="8"/>
    <n v="37"/>
    <n v="9"/>
    <x v="12"/>
    <x v="11"/>
    <s v="cashloan"/>
    <n v="21719520000"/>
  </r>
  <r>
    <x v="611"/>
    <x v="1"/>
    <x v="8"/>
    <n v="37"/>
    <n v="9"/>
    <x v="5"/>
    <x v="5"/>
    <s v="overdraft"/>
    <n v="3305460848"/>
  </r>
  <r>
    <x v="611"/>
    <x v="1"/>
    <x v="8"/>
    <n v="37"/>
    <n v="9"/>
    <x v="27"/>
    <x v="19"/>
    <s v="payday"/>
    <n v="6350724000"/>
  </r>
  <r>
    <x v="611"/>
    <x v="1"/>
    <x v="8"/>
    <n v="37"/>
    <n v="9"/>
    <x v="15"/>
    <x v="14"/>
    <s v="paylater"/>
    <n v="28362047"/>
  </r>
  <r>
    <x v="611"/>
    <x v="1"/>
    <x v="8"/>
    <n v="37"/>
    <n v="9"/>
    <x v="14"/>
    <x v="13"/>
    <s v="cashloan"/>
    <n v="3915760000"/>
  </r>
  <r>
    <x v="611"/>
    <x v="1"/>
    <x v="8"/>
    <n v="37"/>
    <n v="9"/>
    <x v="23"/>
    <x v="17"/>
    <s v="paylater"/>
    <n v="35650000"/>
  </r>
  <r>
    <x v="611"/>
    <x v="1"/>
    <x v="8"/>
    <n v="37"/>
    <n v="9"/>
    <x v="28"/>
    <x v="17"/>
    <s v="paylater"/>
    <n v="504246000"/>
  </r>
  <r>
    <x v="611"/>
    <x v="1"/>
    <x v="8"/>
    <n v="37"/>
    <n v="9"/>
    <x v="8"/>
    <x v="8"/>
    <s v="cashloan"/>
    <n v="0"/>
  </r>
  <r>
    <x v="611"/>
    <x v="1"/>
    <x v="8"/>
    <n v="37"/>
    <n v="9"/>
    <x v="26"/>
    <x v="16"/>
    <s v="cashloan"/>
    <n v="52500000"/>
  </r>
  <r>
    <x v="611"/>
    <x v="1"/>
    <x v="8"/>
    <n v="37"/>
    <n v="9"/>
    <x v="2"/>
    <x v="2"/>
    <s v="cashloan"/>
    <n v="17984220000"/>
  </r>
  <r>
    <x v="611"/>
    <x v="1"/>
    <x v="8"/>
    <n v="37"/>
    <n v="9"/>
    <x v="17"/>
    <x v="9"/>
    <s v="cashloan"/>
    <n v="0"/>
  </r>
  <r>
    <x v="611"/>
    <x v="1"/>
    <x v="8"/>
    <n v="37"/>
    <n v="9"/>
    <x v="20"/>
    <x v="9"/>
    <s v="cashloan"/>
    <n v="0"/>
  </r>
  <r>
    <x v="611"/>
    <x v="1"/>
    <x v="8"/>
    <n v="37"/>
    <n v="9"/>
    <x v="21"/>
    <x v="9"/>
    <s v="cashloan"/>
    <n v="0"/>
  </r>
  <r>
    <x v="611"/>
    <x v="1"/>
    <x v="8"/>
    <n v="37"/>
    <n v="9"/>
    <x v="25"/>
    <x v="2"/>
    <s v="cashloan"/>
    <n v="0"/>
  </r>
  <r>
    <x v="611"/>
    <x v="1"/>
    <x v="8"/>
    <n v="37"/>
    <n v="9"/>
    <x v="0"/>
    <x v="0"/>
    <s v="payday"/>
    <n v="8932032000"/>
  </r>
  <r>
    <x v="611"/>
    <x v="1"/>
    <x v="8"/>
    <n v="37"/>
    <n v="9"/>
    <x v="7"/>
    <x v="7"/>
    <s v="paylater"/>
    <n v="361592108"/>
  </r>
  <r>
    <x v="611"/>
    <x v="1"/>
    <x v="8"/>
    <n v="37"/>
    <n v="9"/>
    <x v="1"/>
    <x v="1"/>
    <s v="cashloan"/>
    <n v="67250000"/>
  </r>
  <r>
    <x v="611"/>
    <x v="1"/>
    <x v="8"/>
    <n v="37"/>
    <n v="9"/>
    <x v="6"/>
    <x v="6"/>
    <s v="payday"/>
    <n v="34000000"/>
  </r>
  <r>
    <x v="611"/>
    <x v="1"/>
    <x v="8"/>
    <n v="37"/>
    <n v="9"/>
    <x v="18"/>
    <x v="15"/>
    <s v="cashloan"/>
    <n v="677340000"/>
  </r>
  <r>
    <x v="611"/>
    <x v="1"/>
    <x v="8"/>
    <n v="37"/>
    <n v="9"/>
    <x v="19"/>
    <x v="12"/>
    <s v="paylater"/>
    <n v="411585102"/>
  </r>
  <r>
    <x v="611"/>
    <x v="1"/>
    <x v="8"/>
    <n v="37"/>
    <n v="9"/>
    <x v="24"/>
    <x v="18"/>
    <s v="cashloan"/>
    <n v="3185040000"/>
  </r>
  <r>
    <x v="612"/>
    <x v="1"/>
    <x v="8"/>
    <n v="37"/>
    <n v="10"/>
    <x v="3"/>
    <x v="3"/>
    <s v="cashloan"/>
    <n v="10500000"/>
  </r>
  <r>
    <x v="612"/>
    <x v="1"/>
    <x v="8"/>
    <n v="37"/>
    <n v="10"/>
    <x v="11"/>
    <x v="10"/>
    <s v="paylater"/>
    <n v="281975886"/>
  </r>
  <r>
    <x v="612"/>
    <x v="1"/>
    <x v="8"/>
    <n v="37"/>
    <n v="10"/>
    <x v="12"/>
    <x v="11"/>
    <s v="cashloan"/>
    <n v="21183110000"/>
  </r>
  <r>
    <x v="612"/>
    <x v="1"/>
    <x v="8"/>
    <n v="37"/>
    <n v="10"/>
    <x v="5"/>
    <x v="5"/>
    <s v="overdraft"/>
    <n v="3251404982"/>
  </r>
  <r>
    <x v="612"/>
    <x v="1"/>
    <x v="8"/>
    <n v="37"/>
    <n v="10"/>
    <x v="27"/>
    <x v="19"/>
    <s v="payday"/>
    <n v="8059176000"/>
  </r>
  <r>
    <x v="612"/>
    <x v="1"/>
    <x v="8"/>
    <n v="37"/>
    <n v="10"/>
    <x v="15"/>
    <x v="14"/>
    <s v="paylater"/>
    <n v="16324310"/>
  </r>
  <r>
    <x v="612"/>
    <x v="1"/>
    <x v="8"/>
    <n v="37"/>
    <n v="10"/>
    <x v="14"/>
    <x v="13"/>
    <s v="cashloan"/>
    <n v="4427200000"/>
  </r>
  <r>
    <x v="612"/>
    <x v="1"/>
    <x v="8"/>
    <n v="37"/>
    <n v="10"/>
    <x v="23"/>
    <x v="17"/>
    <s v="paylater"/>
    <n v="24836000"/>
  </r>
  <r>
    <x v="612"/>
    <x v="1"/>
    <x v="8"/>
    <n v="37"/>
    <n v="10"/>
    <x v="28"/>
    <x v="17"/>
    <s v="paylater"/>
    <n v="350737000"/>
  </r>
  <r>
    <x v="612"/>
    <x v="1"/>
    <x v="8"/>
    <n v="37"/>
    <n v="10"/>
    <x v="8"/>
    <x v="8"/>
    <s v="cashloan"/>
    <n v="0"/>
  </r>
  <r>
    <x v="612"/>
    <x v="1"/>
    <x v="8"/>
    <n v="37"/>
    <n v="10"/>
    <x v="26"/>
    <x v="16"/>
    <s v="cashloan"/>
    <n v="28900000"/>
  </r>
  <r>
    <x v="612"/>
    <x v="1"/>
    <x v="8"/>
    <n v="37"/>
    <n v="10"/>
    <x v="2"/>
    <x v="2"/>
    <s v="cashloan"/>
    <n v="20043400000"/>
  </r>
  <r>
    <x v="612"/>
    <x v="1"/>
    <x v="8"/>
    <n v="37"/>
    <n v="10"/>
    <x v="17"/>
    <x v="9"/>
    <s v="cashloan"/>
    <n v="0"/>
  </r>
  <r>
    <x v="612"/>
    <x v="1"/>
    <x v="8"/>
    <n v="37"/>
    <n v="10"/>
    <x v="20"/>
    <x v="9"/>
    <s v="cashloan"/>
    <n v="0"/>
  </r>
  <r>
    <x v="612"/>
    <x v="1"/>
    <x v="8"/>
    <n v="37"/>
    <n v="10"/>
    <x v="21"/>
    <x v="9"/>
    <s v="cashloan"/>
    <n v="0"/>
  </r>
  <r>
    <x v="612"/>
    <x v="1"/>
    <x v="8"/>
    <n v="37"/>
    <n v="10"/>
    <x v="25"/>
    <x v="2"/>
    <s v="cashloan"/>
    <n v="0"/>
  </r>
  <r>
    <x v="612"/>
    <x v="1"/>
    <x v="8"/>
    <n v="37"/>
    <n v="10"/>
    <x v="0"/>
    <x v="0"/>
    <s v="payday"/>
    <n v="11740464000"/>
  </r>
  <r>
    <x v="612"/>
    <x v="1"/>
    <x v="8"/>
    <n v="37"/>
    <n v="10"/>
    <x v="7"/>
    <x v="7"/>
    <s v="paylater"/>
    <n v="352481094"/>
  </r>
  <r>
    <x v="612"/>
    <x v="1"/>
    <x v="8"/>
    <n v="37"/>
    <n v="10"/>
    <x v="1"/>
    <x v="1"/>
    <s v="cashloan"/>
    <n v="0"/>
  </r>
  <r>
    <x v="612"/>
    <x v="1"/>
    <x v="8"/>
    <n v="37"/>
    <n v="10"/>
    <x v="6"/>
    <x v="6"/>
    <s v="payday"/>
    <n v="42000000"/>
  </r>
  <r>
    <x v="612"/>
    <x v="1"/>
    <x v="8"/>
    <n v="37"/>
    <n v="10"/>
    <x v="18"/>
    <x v="15"/>
    <s v="cashloan"/>
    <n v="879280000"/>
  </r>
  <r>
    <x v="612"/>
    <x v="1"/>
    <x v="8"/>
    <n v="37"/>
    <n v="10"/>
    <x v="19"/>
    <x v="12"/>
    <s v="paylater"/>
    <n v="530106380"/>
  </r>
  <r>
    <x v="612"/>
    <x v="1"/>
    <x v="8"/>
    <n v="37"/>
    <n v="10"/>
    <x v="24"/>
    <x v="18"/>
    <s v="cashloan"/>
    <n v="3177730000"/>
  </r>
  <r>
    <x v="613"/>
    <x v="1"/>
    <x v="8"/>
    <n v="37"/>
    <n v="11"/>
    <x v="3"/>
    <x v="3"/>
    <s v="cashloan"/>
    <n v="0"/>
  </r>
  <r>
    <x v="613"/>
    <x v="1"/>
    <x v="8"/>
    <n v="37"/>
    <n v="11"/>
    <x v="11"/>
    <x v="10"/>
    <s v="paylater"/>
    <n v="273632884"/>
  </r>
  <r>
    <x v="613"/>
    <x v="1"/>
    <x v="8"/>
    <n v="37"/>
    <n v="11"/>
    <x v="12"/>
    <x v="11"/>
    <s v="cashloan"/>
    <n v="18649630000"/>
  </r>
  <r>
    <x v="613"/>
    <x v="1"/>
    <x v="8"/>
    <n v="37"/>
    <n v="11"/>
    <x v="5"/>
    <x v="5"/>
    <s v="overdraft"/>
    <n v="2739869093"/>
  </r>
  <r>
    <x v="613"/>
    <x v="1"/>
    <x v="8"/>
    <n v="37"/>
    <n v="11"/>
    <x v="27"/>
    <x v="19"/>
    <s v="payday"/>
    <n v="7020432000"/>
  </r>
  <r>
    <x v="613"/>
    <x v="1"/>
    <x v="8"/>
    <n v="37"/>
    <n v="11"/>
    <x v="15"/>
    <x v="14"/>
    <s v="paylater"/>
    <n v="18966131"/>
  </r>
  <r>
    <x v="613"/>
    <x v="1"/>
    <x v="8"/>
    <n v="37"/>
    <n v="11"/>
    <x v="14"/>
    <x v="13"/>
    <s v="cashloan"/>
    <n v="3593420000"/>
  </r>
  <r>
    <x v="613"/>
    <x v="1"/>
    <x v="8"/>
    <n v="37"/>
    <n v="11"/>
    <x v="23"/>
    <x v="17"/>
    <s v="paylater"/>
    <n v="15168000"/>
  </r>
  <r>
    <x v="613"/>
    <x v="1"/>
    <x v="8"/>
    <n v="37"/>
    <n v="11"/>
    <x v="28"/>
    <x v="17"/>
    <s v="paylater"/>
    <n v="298096150"/>
  </r>
  <r>
    <x v="613"/>
    <x v="1"/>
    <x v="8"/>
    <n v="37"/>
    <n v="11"/>
    <x v="8"/>
    <x v="8"/>
    <s v="cashloan"/>
    <n v="0"/>
  </r>
  <r>
    <x v="613"/>
    <x v="1"/>
    <x v="8"/>
    <n v="37"/>
    <n v="11"/>
    <x v="26"/>
    <x v="16"/>
    <s v="cashloan"/>
    <n v="81450000"/>
  </r>
  <r>
    <x v="613"/>
    <x v="1"/>
    <x v="8"/>
    <n v="37"/>
    <n v="11"/>
    <x v="2"/>
    <x v="2"/>
    <s v="cashloan"/>
    <n v="19586100000"/>
  </r>
  <r>
    <x v="613"/>
    <x v="1"/>
    <x v="8"/>
    <n v="37"/>
    <n v="11"/>
    <x v="17"/>
    <x v="9"/>
    <s v="cashloan"/>
    <n v="0"/>
  </r>
  <r>
    <x v="613"/>
    <x v="1"/>
    <x v="8"/>
    <n v="37"/>
    <n v="11"/>
    <x v="20"/>
    <x v="9"/>
    <s v="cashloan"/>
    <n v="0"/>
  </r>
  <r>
    <x v="613"/>
    <x v="1"/>
    <x v="8"/>
    <n v="37"/>
    <n v="11"/>
    <x v="21"/>
    <x v="9"/>
    <s v="cashloan"/>
    <n v="0"/>
  </r>
  <r>
    <x v="613"/>
    <x v="1"/>
    <x v="8"/>
    <n v="37"/>
    <n v="11"/>
    <x v="25"/>
    <x v="2"/>
    <s v="cashloan"/>
    <n v="16700000"/>
  </r>
  <r>
    <x v="613"/>
    <x v="1"/>
    <x v="8"/>
    <n v="37"/>
    <n v="11"/>
    <x v="0"/>
    <x v="0"/>
    <s v="payday"/>
    <n v="10569960000"/>
  </r>
  <r>
    <x v="613"/>
    <x v="1"/>
    <x v="8"/>
    <n v="37"/>
    <n v="11"/>
    <x v="7"/>
    <x v="7"/>
    <s v="paylater"/>
    <n v="254261036"/>
  </r>
  <r>
    <x v="613"/>
    <x v="1"/>
    <x v="8"/>
    <n v="37"/>
    <n v="11"/>
    <x v="1"/>
    <x v="1"/>
    <s v="cashloan"/>
    <n v="83000000"/>
  </r>
  <r>
    <x v="613"/>
    <x v="1"/>
    <x v="8"/>
    <n v="37"/>
    <n v="11"/>
    <x v="6"/>
    <x v="6"/>
    <s v="payday"/>
    <n v="57000000"/>
  </r>
  <r>
    <x v="613"/>
    <x v="1"/>
    <x v="8"/>
    <n v="37"/>
    <n v="11"/>
    <x v="18"/>
    <x v="15"/>
    <s v="cashloan"/>
    <n v="836670000"/>
  </r>
  <r>
    <x v="613"/>
    <x v="1"/>
    <x v="8"/>
    <n v="37"/>
    <n v="11"/>
    <x v="29"/>
    <x v="20"/>
    <s v="payday"/>
    <n v="6480000"/>
  </r>
  <r>
    <x v="613"/>
    <x v="1"/>
    <x v="8"/>
    <n v="37"/>
    <n v="11"/>
    <x v="19"/>
    <x v="12"/>
    <s v="paylater"/>
    <n v="408682853"/>
  </r>
  <r>
    <x v="613"/>
    <x v="1"/>
    <x v="8"/>
    <n v="37"/>
    <n v="11"/>
    <x v="24"/>
    <x v="18"/>
    <s v="cashloan"/>
    <n v="2705690000"/>
  </r>
  <r>
    <x v="614"/>
    <x v="1"/>
    <x v="8"/>
    <n v="37"/>
    <n v="12"/>
    <x v="3"/>
    <x v="3"/>
    <s v="cashloan"/>
    <n v="0"/>
  </r>
  <r>
    <x v="614"/>
    <x v="1"/>
    <x v="8"/>
    <n v="37"/>
    <n v="12"/>
    <x v="11"/>
    <x v="10"/>
    <s v="paylater"/>
    <n v="220400583"/>
  </r>
  <r>
    <x v="614"/>
    <x v="1"/>
    <x v="8"/>
    <n v="37"/>
    <n v="12"/>
    <x v="12"/>
    <x v="11"/>
    <s v="cashloan"/>
    <n v="15207610000"/>
  </r>
  <r>
    <x v="614"/>
    <x v="1"/>
    <x v="8"/>
    <n v="37"/>
    <n v="12"/>
    <x v="5"/>
    <x v="5"/>
    <s v="overdraft"/>
    <n v="2698386806"/>
  </r>
  <r>
    <x v="614"/>
    <x v="1"/>
    <x v="8"/>
    <n v="37"/>
    <n v="12"/>
    <x v="27"/>
    <x v="19"/>
    <s v="payday"/>
    <n v="6878844000"/>
  </r>
  <r>
    <x v="614"/>
    <x v="1"/>
    <x v="8"/>
    <n v="37"/>
    <n v="12"/>
    <x v="15"/>
    <x v="14"/>
    <s v="paylater"/>
    <n v="28448876"/>
  </r>
  <r>
    <x v="614"/>
    <x v="1"/>
    <x v="8"/>
    <n v="37"/>
    <n v="12"/>
    <x v="14"/>
    <x v="13"/>
    <s v="cashloan"/>
    <n v="4220860000"/>
  </r>
  <r>
    <x v="614"/>
    <x v="1"/>
    <x v="8"/>
    <n v="37"/>
    <n v="12"/>
    <x v="23"/>
    <x v="17"/>
    <s v="paylater"/>
    <n v="18038000"/>
  </r>
  <r>
    <x v="614"/>
    <x v="1"/>
    <x v="8"/>
    <n v="37"/>
    <n v="12"/>
    <x v="28"/>
    <x v="17"/>
    <s v="paylater"/>
    <n v="383484000"/>
  </r>
  <r>
    <x v="614"/>
    <x v="1"/>
    <x v="8"/>
    <n v="37"/>
    <n v="12"/>
    <x v="8"/>
    <x v="8"/>
    <s v="cashloan"/>
    <n v="0"/>
  </r>
  <r>
    <x v="614"/>
    <x v="1"/>
    <x v="8"/>
    <n v="37"/>
    <n v="12"/>
    <x v="26"/>
    <x v="16"/>
    <s v="cashloan"/>
    <n v="178500000"/>
  </r>
  <r>
    <x v="614"/>
    <x v="1"/>
    <x v="8"/>
    <n v="37"/>
    <n v="12"/>
    <x v="2"/>
    <x v="2"/>
    <s v="cashloan"/>
    <n v="15965090000"/>
  </r>
  <r>
    <x v="614"/>
    <x v="1"/>
    <x v="8"/>
    <n v="37"/>
    <n v="12"/>
    <x v="17"/>
    <x v="9"/>
    <s v="cashloan"/>
    <n v="0"/>
  </r>
  <r>
    <x v="614"/>
    <x v="1"/>
    <x v="8"/>
    <n v="37"/>
    <n v="12"/>
    <x v="20"/>
    <x v="9"/>
    <s v="cashloan"/>
    <n v="0"/>
  </r>
  <r>
    <x v="614"/>
    <x v="1"/>
    <x v="8"/>
    <n v="37"/>
    <n v="12"/>
    <x v="21"/>
    <x v="9"/>
    <s v="cashloan"/>
    <n v="0"/>
  </r>
  <r>
    <x v="614"/>
    <x v="1"/>
    <x v="8"/>
    <n v="37"/>
    <n v="12"/>
    <x v="25"/>
    <x v="2"/>
    <s v="cashloan"/>
    <n v="0"/>
  </r>
  <r>
    <x v="614"/>
    <x v="1"/>
    <x v="8"/>
    <n v="37"/>
    <n v="12"/>
    <x v="0"/>
    <x v="0"/>
    <s v="payday"/>
    <n v="9867096000"/>
  </r>
  <r>
    <x v="614"/>
    <x v="1"/>
    <x v="8"/>
    <n v="37"/>
    <n v="12"/>
    <x v="7"/>
    <x v="7"/>
    <s v="paylater"/>
    <n v="259778314"/>
  </r>
  <r>
    <x v="614"/>
    <x v="1"/>
    <x v="8"/>
    <n v="37"/>
    <n v="12"/>
    <x v="1"/>
    <x v="1"/>
    <s v="cashloan"/>
    <n v="63000000"/>
  </r>
  <r>
    <x v="614"/>
    <x v="1"/>
    <x v="8"/>
    <n v="37"/>
    <n v="12"/>
    <x v="6"/>
    <x v="6"/>
    <s v="payday"/>
    <n v="49000000"/>
  </r>
  <r>
    <x v="614"/>
    <x v="1"/>
    <x v="8"/>
    <n v="37"/>
    <n v="12"/>
    <x v="18"/>
    <x v="15"/>
    <s v="cashloan"/>
    <n v="952030000"/>
  </r>
  <r>
    <x v="614"/>
    <x v="1"/>
    <x v="8"/>
    <n v="37"/>
    <n v="12"/>
    <x v="29"/>
    <x v="20"/>
    <s v="payday"/>
    <n v="9720000"/>
  </r>
  <r>
    <x v="614"/>
    <x v="1"/>
    <x v="8"/>
    <n v="37"/>
    <n v="12"/>
    <x v="19"/>
    <x v="12"/>
    <s v="paylater"/>
    <n v="371886559"/>
  </r>
  <r>
    <x v="614"/>
    <x v="1"/>
    <x v="8"/>
    <n v="37"/>
    <n v="12"/>
    <x v="24"/>
    <x v="18"/>
    <s v="cashloan"/>
    <n v="2754130000"/>
  </r>
  <r>
    <x v="615"/>
    <x v="1"/>
    <x v="8"/>
    <n v="37"/>
    <n v="13"/>
    <x v="3"/>
    <x v="3"/>
    <s v="cashloan"/>
    <n v="0"/>
  </r>
  <r>
    <x v="615"/>
    <x v="1"/>
    <x v="8"/>
    <n v="37"/>
    <n v="13"/>
    <x v="11"/>
    <x v="10"/>
    <s v="paylater"/>
    <n v="239686446"/>
  </r>
  <r>
    <x v="615"/>
    <x v="1"/>
    <x v="8"/>
    <n v="37"/>
    <n v="13"/>
    <x v="12"/>
    <x v="11"/>
    <s v="cashloan"/>
    <n v="15540590000"/>
  </r>
  <r>
    <x v="615"/>
    <x v="1"/>
    <x v="8"/>
    <n v="37"/>
    <n v="13"/>
    <x v="5"/>
    <x v="5"/>
    <s v="overdraft"/>
    <n v="2236905594"/>
  </r>
  <r>
    <x v="615"/>
    <x v="1"/>
    <x v="8"/>
    <n v="37"/>
    <n v="13"/>
    <x v="27"/>
    <x v="19"/>
    <s v="payday"/>
    <n v="6368328000"/>
  </r>
  <r>
    <x v="615"/>
    <x v="1"/>
    <x v="8"/>
    <n v="37"/>
    <n v="13"/>
    <x v="15"/>
    <x v="14"/>
    <s v="paylater"/>
    <n v="12340165"/>
  </r>
  <r>
    <x v="615"/>
    <x v="1"/>
    <x v="8"/>
    <n v="37"/>
    <n v="13"/>
    <x v="14"/>
    <x v="13"/>
    <s v="cashloan"/>
    <n v="3722890000"/>
  </r>
  <r>
    <x v="615"/>
    <x v="1"/>
    <x v="8"/>
    <n v="37"/>
    <n v="13"/>
    <x v="23"/>
    <x v="17"/>
    <s v="paylater"/>
    <n v="9790000"/>
  </r>
  <r>
    <x v="615"/>
    <x v="1"/>
    <x v="8"/>
    <n v="37"/>
    <n v="13"/>
    <x v="28"/>
    <x v="17"/>
    <s v="paylater"/>
    <n v="368198500"/>
  </r>
  <r>
    <x v="615"/>
    <x v="1"/>
    <x v="8"/>
    <n v="37"/>
    <n v="13"/>
    <x v="8"/>
    <x v="8"/>
    <s v="cashloan"/>
    <n v="0"/>
  </r>
  <r>
    <x v="615"/>
    <x v="1"/>
    <x v="8"/>
    <n v="37"/>
    <n v="13"/>
    <x v="26"/>
    <x v="16"/>
    <s v="cashloan"/>
    <n v="110250000"/>
  </r>
  <r>
    <x v="615"/>
    <x v="1"/>
    <x v="8"/>
    <n v="37"/>
    <n v="13"/>
    <x v="2"/>
    <x v="2"/>
    <s v="cashloan"/>
    <n v="15612350000"/>
  </r>
  <r>
    <x v="615"/>
    <x v="1"/>
    <x v="8"/>
    <n v="37"/>
    <n v="13"/>
    <x v="17"/>
    <x v="9"/>
    <s v="cashloan"/>
    <n v="0"/>
  </r>
  <r>
    <x v="615"/>
    <x v="1"/>
    <x v="8"/>
    <n v="37"/>
    <n v="13"/>
    <x v="20"/>
    <x v="9"/>
    <s v="cashloan"/>
    <n v="0"/>
  </r>
  <r>
    <x v="615"/>
    <x v="1"/>
    <x v="8"/>
    <n v="37"/>
    <n v="13"/>
    <x v="21"/>
    <x v="9"/>
    <s v="cashloan"/>
    <n v="0"/>
  </r>
  <r>
    <x v="615"/>
    <x v="1"/>
    <x v="8"/>
    <n v="37"/>
    <n v="13"/>
    <x v="25"/>
    <x v="2"/>
    <s v="cashloan"/>
    <n v="0"/>
  </r>
  <r>
    <x v="615"/>
    <x v="1"/>
    <x v="8"/>
    <n v="37"/>
    <n v="13"/>
    <x v="0"/>
    <x v="0"/>
    <s v="payday"/>
    <n v="8947476000"/>
  </r>
  <r>
    <x v="615"/>
    <x v="1"/>
    <x v="8"/>
    <n v="37"/>
    <n v="13"/>
    <x v="7"/>
    <x v="7"/>
    <s v="paylater"/>
    <n v="260955610"/>
  </r>
  <r>
    <x v="615"/>
    <x v="1"/>
    <x v="8"/>
    <n v="37"/>
    <n v="13"/>
    <x v="1"/>
    <x v="1"/>
    <s v="cashloan"/>
    <n v="10500000"/>
  </r>
  <r>
    <x v="615"/>
    <x v="1"/>
    <x v="8"/>
    <n v="37"/>
    <n v="13"/>
    <x v="6"/>
    <x v="6"/>
    <s v="payday"/>
    <n v="0"/>
  </r>
  <r>
    <x v="615"/>
    <x v="1"/>
    <x v="8"/>
    <n v="37"/>
    <n v="13"/>
    <x v="18"/>
    <x v="15"/>
    <s v="cashloan"/>
    <n v="635550000"/>
  </r>
  <r>
    <x v="615"/>
    <x v="1"/>
    <x v="8"/>
    <n v="37"/>
    <n v="13"/>
    <x v="29"/>
    <x v="20"/>
    <s v="payday"/>
    <n v="0"/>
  </r>
  <r>
    <x v="615"/>
    <x v="1"/>
    <x v="8"/>
    <n v="37"/>
    <n v="13"/>
    <x v="19"/>
    <x v="12"/>
    <s v="paylater"/>
    <n v="313419094"/>
  </r>
  <r>
    <x v="615"/>
    <x v="1"/>
    <x v="8"/>
    <n v="37"/>
    <n v="13"/>
    <x v="24"/>
    <x v="18"/>
    <s v="cashloan"/>
    <n v="2016080000"/>
  </r>
  <r>
    <x v="616"/>
    <x v="1"/>
    <x v="8"/>
    <n v="37"/>
    <n v="14"/>
    <x v="3"/>
    <x v="3"/>
    <s v="cashloan"/>
    <n v="0"/>
  </r>
  <r>
    <x v="616"/>
    <x v="1"/>
    <x v="8"/>
    <n v="37"/>
    <n v="14"/>
    <x v="11"/>
    <x v="10"/>
    <s v="paylater"/>
    <n v="219805621"/>
  </r>
  <r>
    <x v="616"/>
    <x v="1"/>
    <x v="8"/>
    <n v="37"/>
    <n v="14"/>
    <x v="12"/>
    <x v="11"/>
    <s v="cashloan"/>
    <n v="13353090000"/>
  </r>
  <r>
    <x v="616"/>
    <x v="1"/>
    <x v="8"/>
    <n v="37"/>
    <n v="14"/>
    <x v="5"/>
    <x v="5"/>
    <s v="overdraft"/>
    <n v="2342623577"/>
  </r>
  <r>
    <x v="616"/>
    <x v="1"/>
    <x v="8"/>
    <n v="37"/>
    <n v="14"/>
    <x v="27"/>
    <x v="19"/>
    <s v="payday"/>
    <n v="6439500000"/>
  </r>
  <r>
    <x v="616"/>
    <x v="1"/>
    <x v="8"/>
    <n v="37"/>
    <n v="14"/>
    <x v="15"/>
    <x v="14"/>
    <s v="paylater"/>
    <n v="17030536"/>
  </r>
  <r>
    <x v="616"/>
    <x v="1"/>
    <x v="8"/>
    <n v="37"/>
    <n v="14"/>
    <x v="14"/>
    <x v="13"/>
    <s v="cashloan"/>
    <n v="4398280000"/>
  </r>
  <r>
    <x v="616"/>
    <x v="1"/>
    <x v="8"/>
    <n v="37"/>
    <n v="14"/>
    <x v="23"/>
    <x v="17"/>
    <s v="paylater"/>
    <n v="25788000"/>
  </r>
  <r>
    <x v="616"/>
    <x v="1"/>
    <x v="8"/>
    <n v="37"/>
    <n v="14"/>
    <x v="28"/>
    <x v="17"/>
    <s v="paylater"/>
    <n v="440610000"/>
  </r>
  <r>
    <x v="616"/>
    <x v="1"/>
    <x v="8"/>
    <n v="37"/>
    <n v="14"/>
    <x v="8"/>
    <x v="8"/>
    <s v="cashloan"/>
    <n v="0"/>
  </r>
  <r>
    <x v="616"/>
    <x v="1"/>
    <x v="8"/>
    <n v="37"/>
    <n v="14"/>
    <x v="26"/>
    <x v="16"/>
    <s v="cashloan"/>
    <n v="78750000"/>
  </r>
  <r>
    <x v="616"/>
    <x v="1"/>
    <x v="8"/>
    <n v="37"/>
    <n v="14"/>
    <x v="2"/>
    <x v="2"/>
    <s v="cashloan"/>
    <n v="16173830000"/>
  </r>
  <r>
    <x v="616"/>
    <x v="1"/>
    <x v="8"/>
    <n v="37"/>
    <n v="14"/>
    <x v="17"/>
    <x v="9"/>
    <s v="cashloan"/>
    <n v="0"/>
  </r>
  <r>
    <x v="616"/>
    <x v="1"/>
    <x v="8"/>
    <n v="37"/>
    <n v="14"/>
    <x v="20"/>
    <x v="9"/>
    <s v="cashloan"/>
    <n v="0"/>
  </r>
  <r>
    <x v="616"/>
    <x v="1"/>
    <x v="8"/>
    <n v="37"/>
    <n v="14"/>
    <x v="21"/>
    <x v="9"/>
    <s v="cashloan"/>
    <n v="0"/>
  </r>
  <r>
    <x v="616"/>
    <x v="1"/>
    <x v="8"/>
    <n v="37"/>
    <n v="14"/>
    <x v="25"/>
    <x v="2"/>
    <s v="cashloan"/>
    <n v="0"/>
  </r>
  <r>
    <x v="616"/>
    <x v="1"/>
    <x v="8"/>
    <n v="37"/>
    <n v="14"/>
    <x v="0"/>
    <x v="0"/>
    <s v="payday"/>
    <n v="9027180000"/>
  </r>
  <r>
    <x v="616"/>
    <x v="1"/>
    <x v="8"/>
    <n v="37"/>
    <n v="14"/>
    <x v="7"/>
    <x v="7"/>
    <s v="paylater"/>
    <n v="274513091"/>
  </r>
  <r>
    <x v="616"/>
    <x v="1"/>
    <x v="8"/>
    <n v="37"/>
    <n v="14"/>
    <x v="1"/>
    <x v="1"/>
    <s v="cashloan"/>
    <n v="10000000"/>
  </r>
  <r>
    <x v="616"/>
    <x v="1"/>
    <x v="8"/>
    <n v="37"/>
    <n v="14"/>
    <x v="6"/>
    <x v="6"/>
    <s v="payday"/>
    <n v="34000000"/>
  </r>
  <r>
    <x v="616"/>
    <x v="1"/>
    <x v="8"/>
    <n v="37"/>
    <n v="14"/>
    <x v="18"/>
    <x v="15"/>
    <s v="cashloan"/>
    <n v="561790000"/>
  </r>
  <r>
    <x v="616"/>
    <x v="1"/>
    <x v="8"/>
    <n v="37"/>
    <n v="14"/>
    <x v="29"/>
    <x v="20"/>
    <s v="payday"/>
    <n v="0"/>
  </r>
  <r>
    <x v="616"/>
    <x v="1"/>
    <x v="8"/>
    <n v="37"/>
    <n v="14"/>
    <x v="19"/>
    <x v="12"/>
    <s v="paylater"/>
    <n v="330817276"/>
  </r>
  <r>
    <x v="616"/>
    <x v="1"/>
    <x v="8"/>
    <n v="37"/>
    <n v="14"/>
    <x v="24"/>
    <x v="18"/>
    <s v="cashloan"/>
    <n v="2064840000"/>
  </r>
  <r>
    <x v="617"/>
    <x v="1"/>
    <x v="8"/>
    <n v="38"/>
    <n v="15"/>
    <x v="3"/>
    <x v="3"/>
    <s v="cashloan"/>
    <n v="0"/>
  </r>
  <r>
    <x v="617"/>
    <x v="1"/>
    <x v="8"/>
    <n v="38"/>
    <n v="15"/>
    <x v="11"/>
    <x v="10"/>
    <s v="paylater"/>
    <n v="249614833"/>
  </r>
  <r>
    <x v="617"/>
    <x v="1"/>
    <x v="8"/>
    <n v="38"/>
    <n v="15"/>
    <x v="12"/>
    <x v="11"/>
    <s v="cashloan"/>
    <n v="17202190000"/>
  </r>
  <r>
    <x v="617"/>
    <x v="1"/>
    <x v="8"/>
    <n v="38"/>
    <n v="15"/>
    <x v="5"/>
    <x v="5"/>
    <s v="overdraft"/>
    <n v="3081162507"/>
  </r>
  <r>
    <x v="617"/>
    <x v="1"/>
    <x v="8"/>
    <n v="38"/>
    <n v="15"/>
    <x v="27"/>
    <x v="19"/>
    <s v="payday"/>
    <n v="8291052000"/>
  </r>
  <r>
    <x v="617"/>
    <x v="1"/>
    <x v="8"/>
    <n v="38"/>
    <n v="15"/>
    <x v="15"/>
    <x v="14"/>
    <s v="paylater"/>
    <n v="30926552"/>
  </r>
  <r>
    <x v="617"/>
    <x v="1"/>
    <x v="8"/>
    <n v="38"/>
    <n v="15"/>
    <x v="14"/>
    <x v="13"/>
    <s v="cashloan"/>
    <n v="4798880000"/>
  </r>
  <r>
    <x v="617"/>
    <x v="1"/>
    <x v="8"/>
    <n v="38"/>
    <n v="15"/>
    <x v="23"/>
    <x v="17"/>
    <s v="paylater"/>
    <n v="15542000"/>
  </r>
  <r>
    <x v="617"/>
    <x v="1"/>
    <x v="8"/>
    <n v="38"/>
    <n v="15"/>
    <x v="28"/>
    <x v="17"/>
    <s v="paylater"/>
    <n v="288632000"/>
  </r>
  <r>
    <x v="617"/>
    <x v="1"/>
    <x v="8"/>
    <n v="38"/>
    <n v="15"/>
    <x v="8"/>
    <x v="8"/>
    <s v="cashloan"/>
    <n v="0"/>
  </r>
  <r>
    <x v="617"/>
    <x v="1"/>
    <x v="8"/>
    <n v="38"/>
    <n v="15"/>
    <x v="26"/>
    <x v="16"/>
    <s v="cashloan"/>
    <n v="84000000"/>
  </r>
  <r>
    <x v="617"/>
    <x v="1"/>
    <x v="8"/>
    <n v="38"/>
    <n v="15"/>
    <x v="2"/>
    <x v="2"/>
    <s v="cashloan"/>
    <n v="19777860000"/>
  </r>
  <r>
    <x v="617"/>
    <x v="1"/>
    <x v="8"/>
    <n v="38"/>
    <n v="15"/>
    <x v="17"/>
    <x v="9"/>
    <s v="cashloan"/>
    <n v="0"/>
  </r>
  <r>
    <x v="617"/>
    <x v="1"/>
    <x v="8"/>
    <n v="38"/>
    <n v="15"/>
    <x v="20"/>
    <x v="9"/>
    <s v="cashloan"/>
    <n v="0"/>
  </r>
  <r>
    <x v="617"/>
    <x v="1"/>
    <x v="8"/>
    <n v="38"/>
    <n v="15"/>
    <x v="21"/>
    <x v="9"/>
    <s v="cashloan"/>
    <n v="0"/>
  </r>
  <r>
    <x v="617"/>
    <x v="1"/>
    <x v="8"/>
    <n v="38"/>
    <n v="15"/>
    <x v="25"/>
    <x v="2"/>
    <s v="cashloan"/>
    <n v="0"/>
  </r>
  <r>
    <x v="617"/>
    <x v="1"/>
    <x v="8"/>
    <n v="38"/>
    <n v="15"/>
    <x v="0"/>
    <x v="0"/>
    <s v="payday"/>
    <n v="11043756000"/>
  </r>
  <r>
    <x v="617"/>
    <x v="1"/>
    <x v="8"/>
    <n v="38"/>
    <n v="15"/>
    <x v="7"/>
    <x v="7"/>
    <s v="paylater"/>
    <n v="247534593"/>
  </r>
  <r>
    <x v="617"/>
    <x v="1"/>
    <x v="8"/>
    <n v="38"/>
    <n v="15"/>
    <x v="1"/>
    <x v="1"/>
    <s v="cashloan"/>
    <n v="31500000"/>
  </r>
  <r>
    <x v="617"/>
    <x v="1"/>
    <x v="8"/>
    <n v="38"/>
    <n v="15"/>
    <x v="6"/>
    <x v="6"/>
    <s v="payday"/>
    <n v="32000000"/>
  </r>
  <r>
    <x v="617"/>
    <x v="1"/>
    <x v="8"/>
    <n v="38"/>
    <n v="15"/>
    <x v="18"/>
    <x v="15"/>
    <s v="cashloan"/>
    <n v="851430000"/>
  </r>
  <r>
    <x v="617"/>
    <x v="1"/>
    <x v="8"/>
    <n v="38"/>
    <n v="15"/>
    <x v="29"/>
    <x v="20"/>
    <s v="payday"/>
    <n v="0"/>
  </r>
  <r>
    <x v="617"/>
    <x v="1"/>
    <x v="8"/>
    <n v="38"/>
    <n v="15"/>
    <x v="19"/>
    <x v="12"/>
    <s v="paylater"/>
    <n v="328188946"/>
  </r>
  <r>
    <x v="617"/>
    <x v="1"/>
    <x v="8"/>
    <n v="38"/>
    <n v="15"/>
    <x v="24"/>
    <x v="18"/>
    <s v="cashloan"/>
    <n v="2741230000"/>
  </r>
  <r>
    <x v="618"/>
    <x v="1"/>
    <x v="8"/>
    <n v="38"/>
    <n v="16"/>
    <x v="3"/>
    <x v="3"/>
    <s v="cashloan"/>
    <n v="21000000"/>
  </r>
  <r>
    <x v="618"/>
    <x v="1"/>
    <x v="8"/>
    <n v="38"/>
    <n v="16"/>
    <x v="11"/>
    <x v="10"/>
    <s v="paylater"/>
    <n v="191545830"/>
  </r>
  <r>
    <x v="618"/>
    <x v="1"/>
    <x v="8"/>
    <n v="38"/>
    <n v="16"/>
    <x v="12"/>
    <x v="11"/>
    <s v="cashloan"/>
    <n v="16348740000"/>
  </r>
  <r>
    <x v="618"/>
    <x v="1"/>
    <x v="8"/>
    <n v="38"/>
    <n v="16"/>
    <x v="5"/>
    <x v="5"/>
    <s v="overdraft"/>
    <n v="2838285293"/>
  </r>
  <r>
    <x v="618"/>
    <x v="1"/>
    <x v="8"/>
    <n v="38"/>
    <n v="16"/>
    <x v="27"/>
    <x v="19"/>
    <s v="payday"/>
    <n v="7494120000"/>
  </r>
  <r>
    <x v="618"/>
    <x v="1"/>
    <x v="8"/>
    <n v="38"/>
    <n v="16"/>
    <x v="15"/>
    <x v="14"/>
    <s v="paylater"/>
    <n v="21212451"/>
  </r>
  <r>
    <x v="618"/>
    <x v="1"/>
    <x v="8"/>
    <n v="38"/>
    <n v="16"/>
    <x v="14"/>
    <x v="13"/>
    <s v="cashloan"/>
    <n v="3972180000"/>
  </r>
  <r>
    <x v="618"/>
    <x v="1"/>
    <x v="8"/>
    <n v="38"/>
    <n v="16"/>
    <x v="23"/>
    <x v="17"/>
    <s v="paylater"/>
    <n v="11908000"/>
  </r>
  <r>
    <x v="618"/>
    <x v="1"/>
    <x v="8"/>
    <n v="38"/>
    <n v="16"/>
    <x v="28"/>
    <x v="17"/>
    <s v="paylater"/>
    <n v="353240000"/>
  </r>
  <r>
    <x v="618"/>
    <x v="1"/>
    <x v="8"/>
    <n v="38"/>
    <n v="16"/>
    <x v="8"/>
    <x v="8"/>
    <s v="cashloan"/>
    <n v="0"/>
  </r>
  <r>
    <x v="618"/>
    <x v="1"/>
    <x v="8"/>
    <n v="38"/>
    <n v="16"/>
    <x v="26"/>
    <x v="16"/>
    <s v="cashloan"/>
    <n v="144500000"/>
  </r>
  <r>
    <x v="618"/>
    <x v="1"/>
    <x v="8"/>
    <n v="38"/>
    <n v="16"/>
    <x v="2"/>
    <x v="2"/>
    <s v="cashloan"/>
    <n v="17955450000"/>
  </r>
  <r>
    <x v="618"/>
    <x v="1"/>
    <x v="8"/>
    <n v="38"/>
    <n v="16"/>
    <x v="17"/>
    <x v="9"/>
    <s v="cashloan"/>
    <n v="0"/>
  </r>
  <r>
    <x v="618"/>
    <x v="1"/>
    <x v="8"/>
    <n v="38"/>
    <n v="16"/>
    <x v="20"/>
    <x v="9"/>
    <s v="cashloan"/>
    <n v="0"/>
  </r>
  <r>
    <x v="618"/>
    <x v="1"/>
    <x v="8"/>
    <n v="38"/>
    <n v="16"/>
    <x v="21"/>
    <x v="9"/>
    <s v="cashloan"/>
    <n v="0"/>
  </r>
  <r>
    <x v="618"/>
    <x v="1"/>
    <x v="8"/>
    <n v="38"/>
    <n v="16"/>
    <x v="25"/>
    <x v="2"/>
    <s v="cashloan"/>
    <n v="0"/>
  </r>
  <r>
    <x v="618"/>
    <x v="1"/>
    <x v="8"/>
    <n v="38"/>
    <n v="16"/>
    <x v="0"/>
    <x v="0"/>
    <s v="payday"/>
    <n v="9841824000"/>
  </r>
  <r>
    <x v="618"/>
    <x v="1"/>
    <x v="8"/>
    <n v="38"/>
    <n v="16"/>
    <x v="7"/>
    <x v="7"/>
    <s v="paylater"/>
    <n v="219595886"/>
  </r>
  <r>
    <x v="618"/>
    <x v="1"/>
    <x v="8"/>
    <n v="38"/>
    <n v="16"/>
    <x v="1"/>
    <x v="1"/>
    <s v="cashloan"/>
    <n v="21000000"/>
  </r>
  <r>
    <x v="618"/>
    <x v="1"/>
    <x v="8"/>
    <n v="38"/>
    <n v="16"/>
    <x v="6"/>
    <x v="6"/>
    <s v="payday"/>
    <n v="19000000"/>
  </r>
  <r>
    <x v="618"/>
    <x v="1"/>
    <x v="8"/>
    <n v="38"/>
    <n v="16"/>
    <x v="18"/>
    <x v="15"/>
    <s v="cashloan"/>
    <n v="1238160000"/>
  </r>
  <r>
    <x v="618"/>
    <x v="1"/>
    <x v="8"/>
    <n v="38"/>
    <n v="16"/>
    <x v="29"/>
    <x v="20"/>
    <s v="payday"/>
    <n v="0"/>
  </r>
  <r>
    <x v="618"/>
    <x v="1"/>
    <x v="8"/>
    <n v="38"/>
    <n v="16"/>
    <x v="19"/>
    <x v="12"/>
    <s v="paylater"/>
    <n v="306118713"/>
  </r>
  <r>
    <x v="618"/>
    <x v="1"/>
    <x v="8"/>
    <n v="38"/>
    <n v="16"/>
    <x v="24"/>
    <x v="18"/>
    <s v="cashloan"/>
    <n v="2613340000"/>
  </r>
  <r>
    <x v="619"/>
    <x v="1"/>
    <x v="8"/>
    <n v="38"/>
    <n v="17"/>
    <x v="3"/>
    <x v="3"/>
    <s v="cashloan"/>
    <n v="0"/>
  </r>
  <r>
    <x v="619"/>
    <x v="1"/>
    <x v="8"/>
    <n v="38"/>
    <n v="17"/>
    <x v="11"/>
    <x v="10"/>
    <s v="paylater"/>
    <n v="197345881"/>
  </r>
  <r>
    <x v="619"/>
    <x v="1"/>
    <x v="8"/>
    <n v="38"/>
    <n v="17"/>
    <x v="12"/>
    <x v="11"/>
    <s v="cashloan"/>
    <n v="16401320000"/>
  </r>
  <r>
    <x v="619"/>
    <x v="1"/>
    <x v="8"/>
    <n v="38"/>
    <n v="17"/>
    <x v="5"/>
    <x v="5"/>
    <s v="overdraft"/>
    <n v="2603693473"/>
  </r>
  <r>
    <x v="619"/>
    <x v="1"/>
    <x v="8"/>
    <n v="38"/>
    <n v="17"/>
    <x v="27"/>
    <x v="19"/>
    <s v="payday"/>
    <n v="7918344000"/>
  </r>
  <r>
    <x v="619"/>
    <x v="1"/>
    <x v="8"/>
    <n v="38"/>
    <n v="17"/>
    <x v="15"/>
    <x v="14"/>
    <s v="paylater"/>
    <n v="3740250"/>
  </r>
  <r>
    <x v="619"/>
    <x v="1"/>
    <x v="8"/>
    <n v="38"/>
    <n v="17"/>
    <x v="14"/>
    <x v="13"/>
    <s v="cashloan"/>
    <n v="3223620000"/>
  </r>
  <r>
    <x v="619"/>
    <x v="1"/>
    <x v="8"/>
    <n v="38"/>
    <n v="17"/>
    <x v="23"/>
    <x v="17"/>
    <s v="paylater"/>
    <n v="17647000"/>
  </r>
  <r>
    <x v="619"/>
    <x v="1"/>
    <x v="8"/>
    <n v="38"/>
    <n v="17"/>
    <x v="28"/>
    <x v="17"/>
    <s v="paylater"/>
    <n v="413718575"/>
  </r>
  <r>
    <x v="619"/>
    <x v="1"/>
    <x v="8"/>
    <n v="38"/>
    <n v="17"/>
    <x v="8"/>
    <x v="8"/>
    <s v="cashloan"/>
    <n v="0"/>
  </r>
  <r>
    <x v="619"/>
    <x v="1"/>
    <x v="8"/>
    <n v="38"/>
    <n v="17"/>
    <x v="26"/>
    <x v="16"/>
    <s v="cashloan"/>
    <n v="167250000"/>
  </r>
  <r>
    <x v="619"/>
    <x v="1"/>
    <x v="8"/>
    <n v="38"/>
    <n v="17"/>
    <x v="2"/>
    <x v="2"/>
    <s v="cashloan"/>
    <n v="17549340000"/>
  </r>
  <r>
    <x v="619"/>
    <x v="1"/>
    <x v="8"/>
    <n v="38"/>
    <n v="17"/>
    <x v="17"/>
    <x v="9"/>
    <s v="cashloan"/>
    <n v="0"/>
  </r>
  <r>
    <x v="619"/>
    <x v="1"/>
    <x v="8"/>
    <n v="38"/>
    <n v="17"/>
    <x v="20"/>
    <x v="9"/>
    <s v="cashloan"/>
    <n v="0"/>
  </r>
  <r>
    <x v="619"/>
    <x v="1"/>
    <x v="8"/>
    <n v="38"/>
    <n v="17"/>
    <x v="21"/>
    <x v="9"/>
    <s v="cashloan"/>
    <n v="0"/>
  </r>
  <r>
    <x v="619"/>
    <x v="1"/>
    <x v="8"/>
    <n v="38"/>
    <n v="17"/>
    <x v="25"/>
    <x v="2"/>
    <s v="cashloan"/>
    <n v="0"/>
  </r>
  <r>
    <x v="619"/>
    <x v="1"/>
    <x v="8"/>
    <n v="38"/>
    <n v="17"/>
    <x v="0"/>
    <x v="0"/>
    <s v="payday"/>
    <n v="9293400000"/>
  </r>
  <r>
    <x v="619"/>
    <x v="1"/>
    <x v="8"/>
    <n v="38"/>
    <n v="17"/>
    <x v="7"/>
    <x v="7"/>
    <s v="paylater"/>
    <n v="167702866"/>
  </r>
  <r>
    <x v="619"/>
    <x v="1"/>
    <x v="8"/>
    <n v="38"/>
    <n v="17"/>
    <x v="1"/>
    <x v="1"/>
    <s v="cashloan"/>
    <n v="21000000"/>
  </r>
  <r>
    <x v="619"/>
    <x v="1"/>
    <x v="8"/>
    <n v="38"/>
    <n v="17"/>
    <x v="6"/>
    <x v="6"/>
    <s v="payday"/>
    <n v="32000000"/>
  </r>
  <r>
    <x v="619"/>
    <x v="1"/>
    <x v="8"/>
    <n v="38"/>
    <n v="17"/>
    <x v="18"/>
    <x v="15"/>
    <s v="cashloan"/>
    <n v="1046770000"/>
  </r>
  <r>
    <x v="619"/>
    <x v="1"/>
    <x v="8"/>
    <n v="38"/>
    <n v="17"/>
    <x v="29"/>
    <x v="20"/>
    <s v="payday"/>
    <n v="3240000"/>
  </r>
  <r>
    <x v="619"/>
    <x v="1"/>
    <x v="8"/>
    <n v="38"/>
    <n v="17"/>
    <x v="19"/>
    <x v="12"/>
    <s v="paylater"/>
    <n v="269874348"/>
  </r>
  <r>
    <x v="619"/>
    <x v="1"/>
    <x v="8"/>
    <n v="38"/>
    <n v="17"/>
    <x v="24"/>
    <x v="18"/>
    <s v="cashloan"/>
    <n v="2069200000"/>
  </r>
  <r>
    <x v="620"/>
    <x v="1"/>
    <x v="8"/>
    <n v="38"/>
    <n v="18"/>
    <x v="3"/>
    <x v="3"/>
    <s v="cashloan"/>
    <n v="0"/>
  </r>
  <r>
    <x v="620"/>
    <x v="1"/>
    <x v="8"/>
    <n v="38"/>
    <n v="18"/>
    <x v="11"/>
    <x v="10"/>
    <s v="paylater"/>
    <n v="237179920"/>
  </r>
  <r>
    <x v="620"/>
    <x v="1"/>
    <x v="8"/>
    <n v="38"/>
    <n v="18"/>
    <x v="12"/>
    <x v="11"/>
    <s v="cashloan"/>
    <n v="16592680000"/>
  </r>
  <r>
    <x v="620"/>
    <x v="1"/>
    <x v="8"/>
    <n v="38"/>
    <n v="18"/>
    <x v="5"/>
    <x v="5"/>
    <s v="overdraft"/>
    <n v="2561413310"/>
  </r>
  <r>
    <x v="620"/>
    <x v="1"/>
    <x v="8"/>
    <n v="38"/>
    <n v="18"/>
    <x v="27"/>
    <x v="19"/>
    <s v="payday"/>
    <n v="7552872000"/>
  </r>
  <r>
    <x v="620"/>
    <x v="1"/>
    <x v="8"/>
    <n v="38"/>
    <n v="18"/>
    <x v="15"/>
    <x v="14"/>
    <s v="paylater"/>
    <n v="9782771"/>
  </r>
  <r>
    <x v="620"/>
    <x v="1"/>
    <x v="8"/>
    <n v="38"/>
    <n v="18"/>
    <x v="14"/>
    <x v="13"/>
    <s v="cashloan"/>
    <n v="3004720000"/>
  </r>
  <r>
    <x v="620"/>
    <x v="1"/>
    <x v="8"/>
    <n v="38"/>
    <n v="18"/>
    <x v="23"/>
    <x v="17"/>
    <s v="paylater"/>
    <n v="19539000"/>
  </r>
  <r>
    <x v="620"/>
    <x v="1"/>
    <x v="8"/>
    <n v="38"/>
    <n v="18"/>
    <x v="28"/>
    <x v="17"/>
    <s v="paylater"/>
    <n v="317193000"/>
  </r>
  <r>
    <x v="620"/>
    <x v="1"/>
    <x v="8"/>
    <n v="38"/>
    <n v="18"/>
    <x v="8"/>
    <x v="8"/>
    <s v="cashloan"/>
    <n v="0"/>
  </r>
  <r>
    <x v="620"/>
    <x v="1"/>
    <x v="8"/>
    <n v="38"/>
    <n v="18"/>
    <x v="26"/>
    <x v="16"/>
    <s v="cashloan"/>
    <n v="78000000"/>
  </r>
  <r>
    <x v="620"/>
    <x v="1"/>
    <x v="8"/>
    <n v="38"/>
    <n v="18"/>
    <x v="2"/>
    <x v="2"/>
    <s v="cashloan"/>
    <n v="16535470000"/>
  </r>
  <r>
    <x v="620"/>
    <x v="1"/>
    <x v="8"/>
    <n v="38"/>
    <n v="18"/>
    <x v="17"/>
    <x v="9"/>
    <s v="cashloan"/>
    <n v="0"/>
  </r>
  <r>
    <x v="620"/>
    <x v="1"/>
    <x v="8"/>
    <n v="38"/>
    <n v="18"/>
    <x v="20"/>
    <x v="9"/>
    <s v="cashloan"/>
    <n v="0"/>
  </r>
  <r>
    <x v="620"/>
    <x v="1"/>
    <x v="8"/>
    <n v="38"/>
    <n v="18"/>
    <x v="21"/>
    <x v="9"/>
    <s v="cashloan"/>
    <n v="0"/>
  </r>
  <r>
    <x v="620"/>
    <x v="1"/>
    <x v="8"/>
    <n v="38"/>
    <n v="18"/>
    <x v="25"/>
    <x v="2"/>
    <s v="cashloan"/>
    <n v="0"/>
  </r>
  <r>
    <x v="620"/>
    <x v="1"/>
    <x v="8"/>
    <n v="38"/>
    <n v="18"/>
    <x v="0"/>
    <x v="0"/>
    <s v="payday"/>
    <n v="9430128000"/>
  </r>
  <r>
    <x v="620"/>
    <x v="1"/>
    <x v="8"/>
    <n v="38"/>
    <n v="18"/>
    <x v="7"/>
    <x v="7"/>
    <s v="paylater"/>
    <n v="170136405"/>
  </r>
  <r>
    <x v="620"/>
    <x v="1"/>
    <x v="8"/>
    <n v="38"/>
    <n v="18"/>
    <x v="1"/>
    <x v="1"/>
    <s v="cashloan"/>
    <n v="0"/>
  </r>
  <r>
    <x v="620"/>
    <x v="1"/>
    <x v="8"/>
    <n v="38"/>
    <n v="18"/>
    <x v="6"/>
    <x v="6"/>
    <s v="payday"/>
    <n v="18000000"/>
  </r>
  <r>
    <x v="620"/>
    <x v="1"/>
    <x v="8"/>
    <n v="38"/>
    <n v="18"/>
    <x v="18"/>
    <x v="15"/>
    <s v="cashloan"/>
    <n v="841710000"/>
  </r>
  <r>
    <x v="620"/>
    <x v="1"/>
    <x v="8"/>
    <n v="38"/>
    <n v="18"/>
    <x v="29"/>
    <x v="20"/>
    <s v="payday"/>
    <n v="0"/>
  </r>
  <r>
    <x v="620"/>
    <x v="1"/>
    <x v="8"/>
    <n v="38"/>
    <n v="18"/>
    <x v="19"/>
    <x v="12"/>
    <s v="paylater"/>
    <n v="281357184"/>
  </r>
  <r>
    <x v="620"/>
    <x v="1"/>
    <x v="8"/>
    <n v="38"/>
    <n v="18"/>
    <x v="24"/>
    <x v="18"/>
    <s v="cashloan"/>
    <n v="2152310000"/>
  </r>
  <r>
    <x v="621"/>
    <x v="1"/>
    <x v="8"/>
    <n v="38"/>
    <n v="19"/>
    <x v="3"/>
    <x v="3"/>
    <s v="cashloan"/>
    <n v="0"/>
  </r>
  <r>
    <x v="621"/>
    <x v="1"/>
    <x v="8"/>
    <n v="38"/>
    <n v="19"/>
    <x v="11"/>
    <x v="10"/>
    <s v="paylater"/>
    <n v="208849457"/>
  </r>
  <r>
    <x v="621"/>
    <x v="1"/>
    <x v="8"/>
    <n v="38"/>
    <n v="19"/>
    <x v="12"/>
    <x v="11"/>
    <s v="cashloan"/>
    <n v="15707010000"/>
  </r>
  <r>
    <x v="621"/>
    <x v="1"/>
    <x v="8"/>
    <n v="38"/>
    <n v="19"/>
    <x v="5"/>
    <x v="5"/>
    <s v="overdraft"/>
    <n v="2744565142"/>
  </r>
  <r>
    <x v="621"/>
    <x v="1"/>
    <x v="8"/>
    <n v="38"/>
    <n v="19"/>
    <x v="27"/>
    <x v="19"/>
    <s v="payday"/>
    <n v="7456968000"/>
  </r>
  <r>
    <x v="621"/>
    <x v="1"/>
    <x v="8"/>
    <n v="38"/>
    <n v="19"/>
    <x v="15"/>
    <x v="14"/>
    <s v="paylater"/>
    <n v="8087886"/>
  </r>
  <r>
    <x v="621"/>
    <x v="1"/>
    <x v="8"/>
    <n v="38"/>
    <n v="19"/>
    <x v="14"/>
    <x v="13"/>
    <s v="cashloan"/>
    <n v="3975570000"/>
  </r>
  <r>
    <x v="621"/>
    <x v="1"/>
    <x v="8"/>
    <n v="38"/>
    <n v="19"/>
    <x v="23"/>
    <x v="17"/>
    <s v="paylater"/>
    <n v="32461000"/>
  </r>
  <r>
    <x v="621"/>
    <x v="1"/>
    <x v="8"/>
    <n v="38"/>
    <n v="19"/>
    <x v="28"/>
    <x v="17"/>
    <s v="paylater"/>
    <n v="515400000"/>
  </r>
  <r>
    <x v="621"/>
    <x v="1"/>
    <x v="8"/>
    <n v="38"/>
    <n v="19"/>
    <x v="8"/>
    <x v="8"/>
    <s v="cashloan"/>
    <n v="0"/>
  </r>
  <r>
    <x v="621"/>
    <x v="1"/>
    <x v="8"/>
    <n v="38"/>
    <n v="19"/>
    <x v="26"/>
    <x v="16"/>
    <s v="cashloan"/>
    <n v="121250000"/>
  </r>
  <r>
    <x v="621"/>
    <x v="1"/>
    <x v="8"/>
    <n v="38"/>
    <n v="19"/>
    <x v="2"/>
    <x v="2"/>
    <s v="cashloan"/>
    <n v="15013820000"/>
  </r>
  <r>
    <x v="621"/>
    <x v="1"/>
    <x v="8"/>
    <n v="38"/>
    <n v="19"/>
    <x v="17"/>
    <x v="9"/>
    <s v="cashloan"/>
    <n v="0"/>
  </r>
  <r>
    <x v="621"/>
    <x v="1"/>
    <x v="8"/>
    <n v="38"/>
    <n v="19"/>
    <x v="20"/>
    <x v="9"/>
    <s v="cashloan"/>
    <n v="0"/>
  </r>
  <r>
    <x v="621"/>
    <x v="1"/>
    <x v="8"/>
    <n v="38"/>
    <n v="19"/>
    <x v="21"/>
    <x v="9"/>
    <s v="cashloan"/>
    <n v="0"/>
  </r>
  <r>
    <x v="621"/>
    <x v="1"/>
    <x v="8"/>
    <n v="38"/>
    <n v="19"/>
    <x v="25"/>
    <x v="2"/>
    <s v="cashloan"/>
    <n v="0"/>
  </r>
  <r>
    <x v="621"/>
    <x v="1"/>
    <x v="8"/>
    <n v="38"/>
    <n v="19"/>
    <x v="0"/>
    <x v="0"/>
    <s v="payday"/>
    <n v="9548388000"/>
  </r>
  <r>
    <x v="621"/>
    <x v="1"/>
    <x v="8"/>
    <n v="38"/>
    <n v="19"/>
    <x v="7"/>
    <x v="7"/>
    <s v="paylater"/>
    <n v="166864876"/>
  </r>
  <r>
    <x v="621"/>
    <x v="1"/>
    <x v="8"/>
    <n v="38"/>
    <n v="19"/>
    <x v="1"/>
    <x v="1"/>
    <s v="cashloan"/>
    <n v="0"/>
  </r>
  <r>
    <x v="621"/>
    <x v="1"/>
    <x v="8"/>
    <n v="38"/>
    <n v="19"/>
    <x v="6"/>
    <x v="6"/>
    <s v="payday"/>
    <n v="38000000"/>
  </r>
  <r>
    <x v="621"/>
    <x v="1"/>
    <x v="8"/>
    <n v="38"/>
    <n v="19"/>
    <x v="18"/>
    <x v="15"/>
    <s v="cashloan"/>
    <n v="955480000"/>
  </r>
  <r>
    <x v="621"/>
    <x v="1"/>
    <x v="8"/>
    <n v="38"/>
    <n v="19"/>
    <x v="29"/>
    <x v="20"/>
    <s v="payday"/>
    <n v="0"/>
  </r>
  <r>
    <x v="621"/>
    <x v="1"/>
    <x v="8"/>
    <n v="38"/>
    <n v="19"/>
    <x v="19"/>
    <x v="12"/>
    <s v="paylater"/>
    <n v="340570542"/>
  </r>
  <r>
    <x v="621"/>
    <x v="1"/>
    <x v="8"/>
    <n v="38"/>
    <n v="19"/>
    <x v="24"/>
    <x v="18"/>
    <s v="cashloan"/>
    <n v="3018290000"/>
  </r>
  <r>
    <x v="622"/>
    <x v="1"/>
    <x v="8"/>
    <n v="38"/>
    <n v="20"/>
    <x v="3"/>
    <x v="3"/>
    <s v="cashloan"/>
    <n v="0"/>
  </r>
  <r>
    <x v="622"/>
    <x v="1"/>
    <x v="8"/>
    <n v="38"/>
    <n v="20"/>
    <x v="11"/>
    <x v="10"/>
    <s v="paylater"/>
    <n v="225179220"/>
  </r>
  <r>
    <x v="622"/>
    <x v="1"/>
    <x v="8"/>
    <n v="38"/>
    <n v="20"/>
    <x v="12"/>
    <x v="11"/>
    <s v="cashloan"/>
    <n v="15053370000"/>
  </r>
  <r>
    <x v="622"/>
    <x v="1"/>
    <x v="8"/>
    <n v="38"/>
    <n v="20"/>
    <x v="5"/>
    <x v="5"/>
    <s v="overdraft"/>
    <n v="2499449576"/>
  </r>
  <r>
    <x v="622"/>
    <x v="1"/>
    <x v="8"/>
    <n v="38"/>
    <n v="20"/>
    <x v="27"/>
    <x v="19"/>
    <s v="payday"/>
    <n v="6960168000"/>
  </r>
  <r>
    <x v="622"/>
    <x v="1"/>
    <x v="8"/>
    <n v="38"/>
    <n v="20"/>
    <x v="15"/>
    <x v="14"/>
    <s v="paylater"/>
    <n v="13550238"/>
  </r>
  <r>
    <x v="622"/>
    <x v="1"/>
    <x v="8"/>
    <n v="38"/>
    <n v="20"/>
    <x v="14"/>
    <x v="13"/>
    <s v="cashloan"/>
    <n v="3515300000"/>
  </r>
  <r>
    <x v="622"/>
    <x v="1"/>
    <x v="8"/>
    <n v="38"/>
    <n v="20"/>
    <x v="23"/>
    <x v="17"/>
    <s v="paylater"/>
    <n v="62992850"/>
  </r>
  <r>
    <x v="622"/>
    <x v="1"/>
    <x v="8"/>
    <n v="38"/>
    <n v="20"/>
    <x v="28"/>
    <x v="17"/>
    <s v="paylater"/>
    <n v="389591000"/>
  </r>
  <r>
    <x v="622"/>
    <x v="1"/>
    <x v="8"/>
    <n v="38"/>
    <n v="20"/>
    <x v="8"/>
    <x v="8"/>
    <s v="cashloan"/>
    <n v="0"/>
  </r>
  <r>
    <x v="622"/>
    <x v="1"/>
    <x v="8"/>
    <n v="38"/>
    <n v="20"/>
    <x v="26"/>
    <x v="16"/>
    <s v="cashloan"/>
    <n v="0"/>
  </r>
  <r>
    <x v="622"/>
    <x v="1"/>
    <x v="8"/>
    <n v="38"/>
    <n v="20"/>
    <x v="2"/>
    <x v="2"/>
    <s v="cashloan"/>
    <n v="15148980000"/>
  </r>
  <r>
    <x v="622"/>
    <x v="1"/>
    <x v="8"/>
    <n v="38"/>
    <n v="20"/>
    <x v="17"/>
    <x v="9"/>
    <s v="cashloan"/>
    <n v="0"/>
  </r>
  <r>
    <x v="622"/>
    <x v="1"/>
    <x v="8"/>
    <n v="38"/>
    <n v="20"/>
    <x v="20"/>
    <x v="9"/>
    <s v="cashloan"/>
    <n v="0"/>
  </r>
  <r>
    <x v="622"/>
    <x v="1"/>
    <x v="8"/>
    <n v="38"/>
    <n v="20"/>
    <x v="21"/>
    <x v="9"/>
    <s v="cashloan"/>
    <n v="0"/>
  </r>
  <r>
    <x v="622"/>
    <x v="1"/>
    <x v="8"/>
    <n v="38"/>
    <n v="20"/>
    <x v="25"/>
    <x v="2"/>
    <s v="cashloan"/>
    <n v="7000000"/>
  </r>
  <r>
    <x v="622"/>
    <x v="1"/>
    <x v="8"/>
    <n v="38"/>
    <n v="20"/>
    <x v="0"/>
    <x v="0"/>
    <s v="payday"/>
    <n v="9736848000"/>
  </r>
  <r>
    <x v="622"/>
    <x v="1"/>
    <x v="8"/>
    <n v="38"/>
    <n v="20"/>
    <x v="7"/>
    <x v="7"/>
    <s v="paylater"/>
    <n v="171937601"/>
  </r>
  <r>
    <x v="622"/>
    <x v="1"/>
    <x v="8"/>
    <n v="38"/>
    <n v="20"/>
    <x v="1"/>
    <x v="1"/>
    <s v="cashloan"/>
    <n v="21000000"/>
  </r>
  <r>
    <x v="622"/>
    <x v="1"/>
    <x v="8"/>
    <n v="38"/>
    <n v="20"/>
    <x v="6"/>
    <x v="6"/>
    <s v="payday"/>
    <n v="38000000"/>
  </r>
  <r>
    <x v="622"/>
    <x v="1"/>
    <x v="8"/>
    <n v="38"/>
    <n v="20"/>
    <x v="18"/>
    <x v="15"/>
    <s v="cashloan"/>
    <n v="883800000"/>
  </r>
  <r>
    <x v="622"/>
    <x v="1"/>
    <x v="8"/>
    <n v="38"/>
    <n v="20"/>
    <x v="29"/>
    <x v="20"/>
    <s v="payday"/>
    <n v="0"/>
  </r>
  <r>
    <x v="622"/>
    <x v="1"/>
    <x v="8"/>
    <n v="38"/>
    <n v="20"/>
    <x v="19"/>
    <x v="12"/>
    <s v="paylater"/>
    <n v="258382219"/>
  </r>
  <r>
    <x v="622"/>
    <x v="1"/>
    <x v="8"/>
    <n v="38"/>
    <n v="20"/>
    <x v="24"/>
    <x v="18"/>
    <s v="cashloan"/>
    <n v="2038840000"/>
  </r>
  <r>
    <x v="623"/>
    <x v="1"/>
    <x v="8"/>
    <n v="38"/>
    <n v="21"/>
    <x v="3"/>
    <x v="3"/>
    <s v="cashloan"/>
    <n v="0"/>
  </r>
  <r>
    <x v="623"/>
    <x v="1"/>
    <x v="8"/>
    <n v="38"/>
    <n v="21"/>
    <x v="11"/>
    <x v="10"/>
    <s v="paylater"/>
    <n v="189470911"/>
  </r>
  <r>
    <x v="623"/>
    <x v="1"/>
    <x v="8"/>
    <n v="38"/>
    <n v="21"/>
    <x v="12"/>
    <x v="11"/>
    <s v="cashloan"/>
    <n v="12908210000"/>
  </r>
  <r>
    <x v="623"/>
    <x v="1"/>
    <x v="8"/>
    <n v="38"/>
    <n v="21"/>
    <x v="5"/>
    <x v="5"/>
    <s v="overdraft"/>
    <n v="2147317200"/>
  </r>
  <r>
    <x v="623"/>
    <x v="1"/>
    <x v="8"/>
    <n v="38"/>
    <n v="21"/>
    <x v="27"/>
    <x v="19"/>
    <s v="payday"/>
    <n v="6600636000"/>
  </r>
  <r>
    <x v="623"/>
    <x v="1"/>
    <x v="8"/>
    <n v="38"/>
    <n v="21"/>
    <x v="15"/>
    <x v="14"/>
    <s v="paylater"/>
    <n v="15726277"/>
  </r>
  <r>
    <x v="623"/>
    <x v="1"/>
    <x v="8"/>
    <n v="38"/>
    <n v="21"/>
    <x v="14"/>
    <x v="13"/>
    <s v="cashloan"/>
    <n v="3845160000"/>
  </r>
  <r>
    <x v="623"/>
    <x v="1"/>
    <x v="8"/>
    <n v="38"/>
    <n v="21"/>
    <x v="23"/>
    <x v="17"/>
    <s v="paylater"/>
    <n v="133195000"/>
  </r>
  <r>
    <x v="623"/>
    <x v="1"/>
    <x v="8"/>
    <n v="38"/>
    <n v="21"/>
    <x v="28"/>
    <x v="17"/>
    <s v="paylater"/>
    <n v="406720800"/>
  </r>
  <r>
    <x v="623"/>
    <x v="1"/>
    <x v="8"/>
    <n v="38"/>
    <n v="21"/>
    <x v="8"/>
    <x v="8"/>
    <s v="cashloan"/>
    <n v="0"/>
  </r>
  <r>
    <x v="623"/>
    <x v="1"/>
    <x v="8"/>
    <n v="38"/>
    <n v="21"/>
    <x v="26"/>
    <x v="16"/>
    <s v="cashloan"/>
    <n v="21000000"/>
  </r>
  <r>
    <x v="623"/>
    <x v="1"/>
    <x v="8"/>
    <n v="38"/>
    <n v="21"/>
    <x v="2"/>
    <x v="2"/>
    <s v="cashloan"/>
    <n v="14362830000"/>
  </r>
  <r>
    <x v="623"/>
    <x v="1"/>
    <x v="8"/>
    <n v="38"/>
    <n v="21"/>
    <x v="17"/>
    <x v="9"/>
    <s v="cashloan"/>
    <n v="0"/>
  </r>
  <r>
    <x v="623"/>
    <x v="1"/>
    <x v="8"/>
    <n v="38"/>
    <n v="21"/>
    <x v="20"/>
    <x v="9"/>
    <s v="cashloan"/>
    <n v="0"/>
  </r>
  <r>
    <x v="623"/>
    <x v="1"/>
    <x v="8"/>
    <n v="38"/>
    <n v="21"/>
    <x v="21"/>
    <x v="9"/>
    <s v="cashloan"/>
    <n v="0"/>
  </r>
  <r>
    <x v="623"/>
    <x v="1"/>
    <x v="8"/>
    <n v="38"/>
    <n v="21"/>
    <x v="25"/>
    <x v="2"/>
    <s v="cashloan"/>
    <n v="0"/>
  </r>
  <r>
    <x v="623"/>
    <x v="1"/>
    <x v="8"/>
    <n v="38"/>
    <n v="21"/>
    <x v="0"/>
    <x v="0"/>
    <s v="payday"/>
    <n v="9102888000"/>
  </r>
  <r>
    <x v="623"/>
    <x v="1"/>
    <x v="8"/>
    <n v="38"/>
    <n v="21"/>
    <x v="7"/>
    <x v="7"/>
    <s v="paylater"/>
    <n v="214207393"/>
  </r>
  <r>
    <x v="623"/>
    <x v="1"/>
    <x v="8"/>
    <n v="38"/>
    <n v="21"/>
    <x v="1"/>
    <x v="1"/>
    <s v="cashloan"/>
    <n v="31500000"/>
  </r>
  <r>
    <x v="623"/>
    <x v="1"/>
    <x v="8"/>
    <n v="38"/>
    <n v="21"/>
    <x v="6"/>
    <x v="6"/>
    <s v="payday"/>
    <n v="53000000"/>
  </r>
  <r>
    <x v="623"/>
    <x v="1"/>
    <x v="8"/>
    <n v="38"/>
    <n v="21"/>
    <x v="18"/>
    <x v="15"/>
    <s v="cashloan"/>
    <n v="569990000"/>
  </r>
  <r>
    <x v="623"/>
    <x v="1"/>
    <x v="8"/>
    <n v="38"/>
    <n v="21"/>
    <x v="29"/>
    <x v="20"/>
    <s v="payday"/>
    <n v="0"/>
  </r>
  <r>
    <x v="623"/>
    <x v="1"/>
    <x v="8"/>
    <n v="38"/>
    <n v="21"/>
    <x v="19"/>
    <x v="12"/>
    <s v="paylater"/>
    <n v="389806551"/>
  </r>
  <r>
    <x v="623"/>
    <x v="1"/>
    <x v="8"/>
    <n v="38"/>
    <n v="21"/>
    <x v="24"/>
    <x v="18"/>
    <s v="cashloan"/>
    <n v="2135730000"/>
  </r>
  <r>
    <x v="624"/>
    <x v="1"/>
    <x v="8"/>
    <n v="39"/>
    <n v="22"/>
    <x v="3"/>
    <x v="3"/>
    <s v="cashloan"/>
    <n v="0"/>
  </r>
  <r>
    <x v="624"/>
    <x v="1"/>
    <x v="8"/>
    <n v="39"/>
    <n v="22"/>
    <x v="11"/>
    <x v="10"/>
    <s v="paylater"/>
    <n v="213842168"/>
  </r>
  <r>
    <x v="624"/>
    <x v="1"/>
    <x v="8"/>
    <n v="39"/>
    <n v="22"/>
    <x v="12"/>
    <x v="11"/>
    <s v="cashloan"/>
    <n v="16989730000"/>
  </r>
  <r>
    <x v="624"/>
    <x v="1"/>
    <x v="8"/>
    <n v="39"/>
    <n v="22"/>
    <x v="5"/>
    <x v="5"/>
    <s v="overdraft"/>
    <n v="2719257827"/>
  </r>
  <r>
    <x v="624"/>
    <x v="1"/>
    <x v="8"/>
    <n v="39"/>
    <n v="22"/>
    <x v="27"/>
    <x v="19"/>
    <s v="payday"/>
    <n v="7318620000"/>
  </r>
  <r>
    <x v="624"/>
    <x v="1"/>
    <x v="8"/>
    <n v="39"/>
    <n v="22"/>
    <x v="15"/>
    <x v="14"/>
    <s v="paylater"/>
    <n v="18862756"/>
  </r>
  <r>
    <x v="624"/>
    <x v="1"/>
    <x v="8"/>
    <n v="39"/>
    <n v="22"/>
    <x v="14"/>
    <x v="13"/>
    <s v="cashloan"/>
    <n v="2896440000"/>
  </r>
  <r>
    <x v="624"/>
    <x v="1"/>
    <x v="8"/>
    <n v="39"/>
    <n v="22"/>
    <x v="23"/>
    <x v="17"/>
    <s v="paylater"/>
    <n v="52726000"/>
  </r>
  <r>
    <x v="624"/>
    <x v="1"/>
    <x v="8"/>
    <n v="39"/>
    <n v="22"/>
    <x v="28"/>
    <x v="17"/>
    <s v="paylater"/>
    <n v="255663000"/>
  </r>
  <r>
    <x v="624"/>
    <x v="1"/>
    <x v="8"/>
    <n v="39"/>
    <n v="22"/>
    <x v="8"/>
    <x v="8"/>
    <s v="cashloan"/>
    <n v="0"/>
  </r>
  <r>
    <x v="624"/>
    <x v="1"/>
    <x v="8"/>
    <n v="39"/>
    <n v="22"/>
    <x v="26"/>
    <x v="16"/>
    <s v="cashloan"/>
    <n v="179000000"/>
  </r>
  <r>
    <x v="624"/>
    <x v="1"/>
    <x v="8"/>
    <n v="39"/>
    <n v="22"/>
    <x v="2"/>
    <x v="2"/>
    <s v="cashloan"/>
    <n v="15302390000"/>
  </r>
  <r>
    <x v="624"/>
    <x v="1"/>
    <x v="8"/>
    <n v="39"/>
    <n v="22"/>
    <x v="17"/>
    <x v="9"/>
    <s v="cashloan"/>
    <n v="0"/>
  </r>
  <r>
    <x v="624"/>
    <x v="1"/>
    <x v="8"/>
    <n v="39"/>
    <n v="22"/>
    <x v="20"/>
    <x v="9"/>
    <s v="cashloan"/>
    <n v="0"/>
  </r>
  <r>
    <x v="624"/>
    <x v="1"/>
    <x v="8"/>
    <n v="39"/>
    <n v="22"/>
    <x v="21"/>
    <x v="9"/>
    <s v="cashloan"/>
    <n v="0"/>
  </r>
  <r>
    <x v="624"/>
    <x v="1"/>
    <x v="8"/>
    <n v="39"/>
    <n v="22"/>
    <x v="25"/>
    <x v="2"/>
    <s v="cashloan"/>
    <n v="0"/>
  </r>
  <r>
    <x v="624"/>
    <x v="1"/>
    <x v="8"/>
    <n v="39"/>
    <n v="22"/>
    <x v="0"/>
    <x v="0"/>
    <s v="payday"/>
    <n v="9357984000"/>
  </r>
  <r>
    <x v="624"/>
    <x v="1"/>
    <x v="8"/>
    <n v="39"/>
    <n v="22"/>
    <x v="7"/>
    <x v="7"/>
    <s v="paylater"/>
    <n v="191266315"/>
  </r>
  <r>
    <x v="624"/>
    <x v="1"/>
    <x v="8"/>
    <n v="39"/>
    <n v="22"/>
    <x v="1"/>
    <x v="1"/>
    <s v="cashloan"/>
    <n v="10500000"/>
  </r>
  <r>
    <x v="624"/>
    <x v="1"/>
    <x v="8"/>
    <n v="39"/>
    <n v="22"/>
    <x v="6"/>
    <x v="6"/>
    <s v="payday"/>
    <n v="47000000"/>
  </r>
  <r>
    <x v="624"/>
    <x v="1"/>
    <x v="8"/>
    <n v="39"/>
    <n v="22"/>
    <x v="18"/>
    <x v="15"/>
    <s v="cashloan"/>
    <n v="712300000"/>
  </r>
  <r>
    <x v="624"/>
    <x v="1"/>
    <x v="8"/>
    <n v="39"/>
    <n v="22"/>
    <x v="29"/>
    <x v="20"/>
    <s v="payday"/>
    <n v="0"/>
  </r>
  <r>
    <x v="624"/>
    <x v="1"/>
    <x v="8"/>
    <n v="39"/>
    <n v="22"/>
    <x v="19"/>
    <x v="12"/>
    <s v="paylater"/>
    <n v="393669018"/>
  </r>
  <r>
    <x v="624"/>
    <x v="1"/>
    <x v="8"/>
    <n v="39"/>
    <n v="22"/>
    <x v="24"/>
    <x v="18"/>
    <s v="cashloan"/>
    <n v="2941960000"/>
  </r>
  <r>
    <x v="625"/>
    <x v="1"/>
    <x v="8"/>
    <n v="39"/>
    <n v="23"/>
    <x v="3"/>
    <x v="3"/>
    <s v="cashloan"/>
    <n v="10500000"/>
  </r>
  <r>
    <x v="625"/>
    <x v="1"/>
    <x v="8"/>
    <n v="39"/>
    <n v="23"/>
    <x v="11"/>
    <x v="10"/>
    <s v="paylater"/>
    <n v="213618555"/>
  </r>
  <r>
    <x v="625"/>
    <x v="1"/>
    <x v="8"/>
    <n v="39"/>
    <n v="23"/>
    <x v="12"/>
    <x v="11"/>
    <s v="cashloan"/>
    <n v="16967530000"/>
  </r>
  <r>
    <x v="625"/>
    <x v="1"/>
    <x v="8"/>
    <n v="39"/>
    <n v="23"/>
    <x v="5"/>
    <x v="5"/>
    <s v="overdraft"/>
    <n v="2615531913"/>
  </r>
  <r>
    <x v="625"/>
    <x v="1"/>
    <x v="8"/>
    <n v="39"/>
    <n v="23"/>
    <x v="27"/>
    <x v="19"/>
    <s v="payday"/>
    <n v="7445304000"/>
  </r>
  <r>
    <x v="625"/>
    <x v="1"/>
    <x v="8"/>
    <n v="39"/>
    <n v="23"/>
    <x v="15"/>
    <x v="14"/>
    <s v="paylater"/>
    <n v="14172417"/>
  </r>
  <r>
    <x v="625"/>
    <x v="1"/>
    <x v="8"/>
    <n v="39"/>
    <n v="23"/>
    <x v="14"/>
    <x v="13"/>
    <s v="cashloan"/>
    <n v="3103000000"/>
  </r>
  <r>
    <x v="625"/>
    <x v="1"/>
    <x v="8"/>
    <n v="39"/>
    <n v="23"/>
    <x v="23"/>
    <x v="17"/>
    <s v="paylater"/>
    <n v="370000"/>
  </r>
  <r>
    <x v="625"/>
    <x v="1"/>
    <x v="8"/>
    <n v="39"/>
    <n v="23"/>
    <x v="28"/>
    <x v="17"/>
    <s v="paylater"/>
    <n v="390700000"/>
  </r>
  <r>
    <x v="625"/>
    <x v="1"/>
    <x v="8"/>
    <n v="39"/>
    <n v="23"/>
    <x v="8"/>
    <x v="8"/>
    <s v="cashloan"/>
    <n v="0"/>
  </r>
  <r>
    <x v="625"/>
    <x v="1"/>
    <x v="8"/>
    <n v="39"/>
    <n v="23"/>
    <x v="26"/>
    <x v="16"/>
    <s v="cashloan"/>
    <n v="124950000"/>
  </r>
  <r>
    <x v="625"/>
    <x v="1"/>
    <x v="8"/>
    <n v="39"/>
    <n v="23"/>
    <x v="2"/>
    <x v="2"/>
    <s v="cashloan"/>
    <n v="15773520000"/>
  </r>
  <r>
    <x v="625"/>
    <x v="1"/>
    <x v="8"/>
    <n v="39"/>
    <n v="23"/>
    <x v="17"/>
    <x v="9"/>
    <s v="cashloan"/>
    <n v="0"/>
  </r>
  <r>
    <x v="625"/>
    <x v="1"/>
    <x v="8"/>
    <n v="39"/>
    <n v="23"/>
    <x v="20"/>
    <x v="9"/>
    <s v="cashloan"/>
    <n v="0"/>
  </r>
  <r>
    <x v="625"/>
    <x v="1"/>
    <x v="8"/>
    <n v="39"/>
    <n v="23"/>
    <x v="21"/>
    <x v="9"/>
    <s v="cashloan"/>
    <n v="0"/>
  </r>
  <r>
    <x v="625"/>
    <x v="1"/>
    <x v="8"/>
    <n v="39"/>
    <n v="23"/>
    <x v="25"/>
    <x v="2"/>
    <s v="cashloan"/>
    <n v="0"/>
  </r>
  <r>
    <x v="625"/>
    <x v="1"/>
    <x v="8"/>
    <n v="39"/>
    <n v="23"/>
    <x v="0"/>
    <x v="0"/>
    <s v="payday"/>
    <n v="9145656000"/>
  </r>
  <r>
    <x v="625"/>
    <x v="1"/>
    <x v="8"/>
    <n v="39"/>
    <n v="23"/>
    <x v="7"/>
    <x v="7"/>
    <s v="paylater"/>
    <n v="170271467"/>
  </r>
  <r>
    <x v="625"/>
    <x v="1"/>
    <x v="8"/>
    <n v="39"/>
    <n v="23"/>
    <x v="1"/>
    <x v="1"/>
    <s v="cashloan"/>
    <n v="71500000"/>
  </r>
  <r>
    <x v="625"/>
    <x v="1"/>
    <x v="8"/>
    <n v="39"/>
    <n v="23"/>
    <x v="6"/>
    <x v="6"/>
    <s v="payday"/>
    <n v="35000000"/>
  </r>
  <r>
    <x v="625"/>
    <x v="1"/>
    <x v="8"/>
    <n v="39"/>
    <n v="23"/>
    <x v="18"/>
    <x v="15"/>
    <s v="cashloan"/>
    <n v="882190000"/>
  </r>
  <r>
    <x v="625"/>
    <x v="1"/>
    <x v="8"/>
    <n v="39"/>
    <n v="23"/>
    <x v="29"/>
    <x v="20"/>
    <s v="payday"/>
    <n v="3240000"/>
  </r>
  <r>
    <x v="625"/>
    <x v="1"/>
    <x v="8"/>
    <n v="39"/>
    <n v="23"/>
    <x v="19"/>
    <x v="12"/>
    <s v="paylater"/>
    <n v="384294493"/>
  </r>
  <r>
    <x v="625"/>
    <x v="1"/>
    <x v="8"/>
    <n v="39"/>
    <n v="23"/>
    <x v="24"/>
    <x v="18"/>
    <s v="cashloan"/>
    <n v="2689980000"/>
  </r>
  <r>
    <x v="626"/>
    <x v="1"/>
    <x v="8"/>
    <n v="39"/>
    <n v="24"/>
    <x v="3"/>
    <x v="3"/>
    <s v="cashloan"/>
    <n v="0"/>
  </r>
  <r>
    <x v="626"/>
    <x v="1"/>
    <x v="8"/>
    <n v="39"/>
    <n v="24"/>
    <x v="11"/>
    <x v="10"/>
    <s v="paylater"/>
    <n v="195117847"/>
  </r>
  <r>
    <x v="626"/>
    <x v="1"/>
    <x v="8"/>
    <n v="39"/>
    <n v="24"/>
    <x v="12"/>
    <x v="11"/>
    <s v="cashloan"/>
    <n v="17138260000"/>
  </r>
  <r>
    <x v="626"/>
    <x v="1"/>
    <x v="8"/>
    <n v="39"/>
    <n v="24"/>
    <x v="5"/>
    <x v="5"/>
    <s v="overdraft"/>
    <n v="2412603186"/>
  </r>
  <r>
    <x v="626"/>
    <x v="1"/>
    <x v="8"/>
    <n v="39"/>
    <n v="24"/>
    <x v="27"/>
    <x v="19"/>
    <s v="payday"/>
    <n v="7060500000"/>
  </r>
  <r>
    <x v="626"/>
    <x v="1"/>
    <x v="8"/>
    <n v="39"/>
    <n v="24"/>
    <x v="15"/>
    <x v="14"/>
    <s v="paylater"/>
    <n v="21129863"/>
  </r>
  <r>
    <x v="626"/>
    <x v="1"/>
    <x v="8"/>
    <n v="39"/>
    <n v="24"/>
    <x v="14"/>
    <x v="13"/>
    <s v="cashloan"/>
    <n v="3515000000"/>
  </r>
  <r>
    <x v="626"/>
    <x v="1"/>
    <x v="8"/>
    <n v="39"/>
    <n v="24"/>
    <x v="23"/>
    <x v="17"/>
    <s v="paylater"/>
    <n v="39326000"/>
  </r>
  <r>
    <x v="626"/>
    <x v="1"/>
    <x v="8"/>
    <n v="39"/>
    <n v="24"/>
    <x v="28"/>
    <x v="17"/>
    <s v="paylater"/>
    <n v="573388000"/>
  </r>
  <r>
    <x v="626"/>
    <x v="1"/>
    <x v="8"/>
    <n v="39"/>
    <n v="24"/>
    <x v="8"/>
    <x v="8"/>
    <s v="cashloan"/>
    <n v="0"/>
  </r>
  <r>
    <x v="626"/>
    <x v="1"/>
    <x v="8"/>
    <n v="39"/>
    <n v="24"/>
    <x v="26"/>
    <x v="16"/>
    <s v="cashloan"/>
    <n v="103000000"/>
  </r>
  <r>
    <x v="626"/>
    <x v="1"/>
    <x v="8"/>
    <n v="39"/>
    <n v="24"/>
    <x v="2"/>
    <x v="2"/>
    <s v="cashloan"/>
    <n v="15299920000"/>
  </r>
  <r>
    <x v="626"/>
    <x v="1"/>
    <x v="8"/>
    <n v="39"/>
    <n v="24"/>
    <x v="17"/>
    <x v="9"/>
    <s v="cashloan"/>
    <n v="0"/>
  </r>
  <r>
    <x v="626"/>
    <x v="1"/>
    <x v="8"/>
    <n v="39"/>
    <n v="24"/>
    <x v="20"/>
    <x v="9"/>
    <s v="cashloan"/>
    <n v="0"/>
  </r>
  <r>
    <x v="626"/>
    <x v="1"/>
    <x v="8"/>
    <n v="39"/>
    <n v="24"/>
    <x v="21"/>
    <x v="9"/>
    <s v="cashloan"/>
    <n v="0"/>
  </r>
  <r>
    <x v="626"/>
    <x v="1"/>
    <x v="8"/>
    <n v="39"/>
    <n v="24"/>
    <x v="25"/>
    <x v="2"/>
    <s v="cashloan"/>
    <n v="0"/>
  </r>
  <r>
    <x v="626"/>
    <x v="1"/>
    <x v="8"/>
    <n v="39"/>
    <n v="24"/>
    <x v="0"/>
    <x v="0"/>
    <s v="payday"/>
    <n v="8967456000"/>
  </r>
  <r>
    <x v="626"/>
    <x v="1"/>
    <x v="8"/>
    <n v="39"/>
    <n v="24"/>
    <x v="7"/>
    <x v="7"/>
    <s v="paylater"/>
    <n v="155867002"/>
  </r>
  <r>
    <x v="626"/>
    <x v="1"/>
    <x v="8"/>
    <n v="39"/>
    <n v="24"/>
    <x v="1"/>
    <x v="1"/>
    <s v="cashloan"/>
    <n v="61000000"/>
  </r>
  <r>
    <x v="626"/>
    <x v="1"/>
    <x v="8"/>
    <n v="39"/>
    <n v="24"/>
    <x v="6"/>
    <x v="6"/>
    <s v="payday"/>
    <n v="55000000"/>
  </r>
  <r>
    <x v="626"/>
    <x v="1"/>
    <x v="8"/>
    <n v="39"/>
    <n v="24"/>
    <x v="18"/>
    <x v="15"/>
    <s v="cashloan"/>
    <n v="776760000"/>
  </r>
  <r>
    <x v="626"/>
    <x v="1"/>
    <x v="8"/>
    <n v="39"/>
    <n v="24"/>
    <x v="29"/>
    <x v="20"/>
    <s v="payday"/>
    <n v="0"/>
  </r>
  <r>
    <x v="626"/>
    <x v="1"/>
    <x v="8"/>
    <n v="39"/>
    <n v="24"/>
    <x v="19"/>
    <x v="12"/>
    <s v="paylater"/>
    <n v="386987044"/>
  </r>
  <r>
    <x v="626"/>
    <x v="1"/>
    <x v="8"/>
    <n v="39"/>
    <n v="24"/>
    <x v="24"/>
    <x v="18"/>
    <s v="cashloan"/>
    <n v="2535800000"/>
  </r>
  <r>
    <x v="627"/>
    <x v="1"/>
    <x v="8"/>
    <n v="39"/>
    <n v="25"/>
    <x v="3"/>
    <x v="3"/>
    <s v="cashloan"/>
    <n v="0"/>
  </r>
  <r>
    <x v="627"/>
    <x v="1"/>
    <x v="8"/>
    <n v="39"/>
    <n v="25"/>
    <x v="11"/>
    <x v="10"/>
    <s v="paylater"/>
    <n v="242011253"/>
  </r>
  <r>
    <x v="627"/>
    <x v="1"/>
    <x v="8"/>
    <n v="39"/>
    <n v="25"/>
    <x v="12"/>
    <x v="11"/>
    <s v="cashloan"/>
    <n v="16711690000"/>
  </r>
  <r>
    <x v="627"/>
    <x v="1"/>
    <x v="8"/>
    <n v="39"/>
    <n v="25"/>
    <x v="5"/>
    <x v="5"/>
    <s v="overdraft"/>
    <n v="2439328289"/>
  </r>
  <r>
    <x v="627"/>
    <x v="1"/>
    <x v="8"/>
    <n v="39"/>
    <n v="25"/>
    <x v="27"/>
    <x v="19"/>
    <s v="payday"/>
    <n v="7386768000"/>
  </r>
  <r>
    <x v="627"/>
    <x v="1"/>
    <x v="8"/>
    <n v="39"/>
    <n v="25"/>
    <x v="15"/>
    <x v="14"/>
    <s v="paylater"/>
    <n v="24253111"/>
  </r>
  <r>
    <x v="627"/>
    <x v="1"/>
    <x v="8"/>
    <n v="39"/>
    <n v="25"/>
    <x v="14"/>
    <x v="13"/>
    <s v="cashloan"/>
    <n v="3293400000"/>
  </r>
  <r>
    <x v="627"/>
    <x v="1"/>
    <x v="8"/>
    <n v="39"/>
    <n v="25"/>
    <x v="23"/>
    <x v="17"/>
    <s v="paylater"/>
    <n v="18628000"/>
  </r>
  <r>
    <x v="627"/>
    <x v="1"/>
    <x v="8"/>
    <n v="39"/>
    <n v="25"/>
    <x v="28"/>
    <x v="17"/>
    <s v="paylater"/>
    <n v="549953000"/>
  </r>
  <r>
    <x v="627"/>
    <x v="1"/>
    <x v="8"/>
    <n v="39"/>
    <n v="25"/>
    <x v="8"/>
    <x v="8"/>
    <s v="cashloan"/>
    <n v="0"/>
  </r>
  <r>
    <x v="627"/>
    <x v="1"/>
    <x v="8"/>
    <n v="39"/>
    <n v="25"/>
    <x v="26"/>
    <x v="16"/>
    <s v="cashloan"/>
    <n v="166500000"/>
  </r>
  <r>
    <x v="627"/>
    <x v="1"/>
    <x v="8"/>
    <n v="39"/>
    <n v="25"/>
    <x v="2"/>
    <x v="2"/>
    <s v="cashloan"/>
    <n v="15193770000"/>
  </r>
  <r>
    <x v="627"/>
    <x v="1"/>
    <x v="8"/>
    <n v="39"/>
    <n v="25"/>
    <x v="17"/>
    <x v="9"/>
    <s v="cashloan"/>
    <n v="0"/>
  </r>
  <r>
    <x v="627"/>
    <x v="1"/>
    <x v="8"/>
    <n v="39"/>
    <n v="25"/>
    <x v="20"/>
    <x v="9"/>
    <s v="cashloan"/>
    <n v="0"/>
  </r>
  <r>
    <x v="627"/>
    <x v="1"/>
    <x v="8"/>
    <n v="39"/>
    <n v="25"/>
    <x v="21"/>
    <x v="9"/>
    <s v="cashloan"/>
    <n v="0"/>
  </r>
  <r>
    <x v="627"/>
    <x v="1"/>
    <x v="8"/>
    <n v="39"/>
    <n v="25"/>
    <x v="25"/>
    <x v="2"/>
    <s v="cashloan"/>
    <n v="0"/>
  </r>
  <r>
    <x v="627"/>
    <x v="1"/>
    <x v="8"/>
    <n v="39"/>
    <n v="25"/>
    <x v="0"/>
    <x v="0"/>
    <s v="payday"/>
    <n v="9673128000"/>
  </r>
  <r>
    <x v="627"/>
    <x v="1"/>
    <x v="8"/>
    <n v="39"/>
    <n v="25"/>
    <x v="7"/>
    <x v="7"/>
    <s v="paylater"/>
    <n v="162814452"/>
  </r>
  <r>
    <x v="627"/>
    <x v="1"/>
    <x v="8"/>
    <n v="39"/>
    <n v="25"/>
    <x v="1"/>
    <x v="1"/>
    <s v="cashloan"/>
    <n v="73500000"/>
  </r>
  <r>
    <x v="627"/>
    <x v="1"/>
    <x v="8"/>
    <n v="39"/>
    <n v="25"/>
    <x v="6"/>
    <x v="6"/>
    <s v="payday"/>
    <n v="102000000"/>
  </r>
  <r>
    <x v="627"/>
    <x v="1"/>
    <x v="8"/>
    <n v="39"/>
    <n v="25"/>
    <x v="18"/>
    <x v="15"/>
    <s v="cashloan"/>
    <n v="681000000"/>
  </r>
  <r>
    <x v="627"/>
    <x v="1"/>
    <x v="8"/>
    <n v="39"/>
    <n v="25"/>
    <x v="29"/>
    <x v="20"/>
    <s v="payday"/>
    <n v="6480000"/>
  </r>
  <r>
    <x v="627"/>
    <x v="1"/>
    <x v="8"/>
    <n v="39"/>
    <n v="25"/>
    <x v="19"/>
    <x v="12"/>
    <s v="paylater"/>
    <n v="373148299"/>
  </r>
  <r>
    <x v="627"/>
    <x v="1"/>
    <x v="8"/>
    <n v="39"/>
    <n v="25"/>
    <x v="24"/>
    <x v="18"/>
    <s v="cashloan"/>
    <n v="2743130000"/>
  </r>
  <r>
    <x v="628"/>
    <x v="1"/>
    <x v="8"/>
    <n v="39"/>
    <n v="26"/>
    <x v="3"/>
    <x v="3"/>
    <s v="cashloan"/>
    <n v="0"/>
  </r>
  <r>
    <x v="628"/>
    <x v="1"/>
    <x v="8"/>
    <n v="39"/>
    <n v="26"/>
    <x v="11"/>
    <x v="10"/>
    <s v="paylater"/>
    <n v="257068279"/>
  </r>
  <r>
    <x v="628"/>
    <x v="1"/>
    <x v="8"/>
    <n v="39"/>
    <n v="26"/>
    <x v="12"/>
    <x v="11"/>
    <s v="cashloan"/>
    <n v="16349130000"/>
  </r>
  <r>
    <x v="628"/>
    <x v="1"/>
    <x v="8"/>
    <n v="39"/>
    <n v="26"/>
    <x v="5"/>
    <x v="5"/>
    <s v="overdraft"/>
    <n v="2354376754"/>
  </r>
  <r>
    <x v="628"/>
    <x v="1"/>
    <x v="8"/>
    <n v="39"/>
    <n v="26"/>
    <x v="27"/>
    <x v="19"/>
    <s v="payday"/>
    <n v="7191396000"/>
  </r>
  <r>
    <x v="628"/>
    <x v="1"/>
    <x v="8"/>
    <n v="39"/>
    <n v="26"/>
    <x v="15"/>
    <x v="14"/>
    <s v="paylater"/>
    <n v="9586341"/>
  </r>
  <r>
    <x v="628"/>
    <x v="1"/>
    <x v="8"/>
    <n v="39"/>
    <n v="26"/>
    <x v="14"/>
    <x v="13"/>
    <s v="cashloan"/>
    <n v="2680620000"/>
  </r>
  <r>
    <x v="628"/>
    <x v="1"/>
    <x v="8"/>
    <n v="39"/>
    <n v="26"/>
    <x v="23"/>
    <x v="17"/>
    <s v="paylater"/>
    <n v="15490000"/>
  </r>
  <r>
    <x v="628"/>
    <x v="1"/>
    <x v="8"/>
    <n v="39"/>
    <n v="26"/>
    <x v="28"/>
    <x v="17"/>
    <s v="paylater"/>
    <n v="400183000"/>
  </r>
  <r>
    <x v="628"/>
    <x v="1"/>
    <x v="8"/>
    <n v="39"/>
    <n v="26"/>
    <x v="8"/>
    <x v="8"/>
    <s v="cashloan"/>
    <n v="0"/>
  </r>
  <r>
    <x v="628"/>
    <x v="1"/>
    <x v="8"/>
    <n v="39"/>
    <n v="26"/>
    <x v="26"/>
    <x v="16"/>
    <s v="cashloan"/>
    <n v="147000000"/>
  </r>
  <r>
    <x v="628"/>
    <x v="1"/>
    <x v="8"/>
    <n v="39"/>
    <n v="26"/>
    <x v="2"/>
    <x v="2"/>
    <s v="cashloan"/>
    <n v="15759770000"/>
  </r>
  <r>
    <x v="628"/>
    <x v="1"/>
    <x v="8"/>
    <n v="39"/>
    <n v="26"/>
    <x v="17"/>
    <x v="9"/>
    <s v="cashloan"/>
    <n v="0"/>
  </r>
  <r>
    <x v="628"/>
    <x v="1"/>
    <x v="8"/>
    <n v="39"/>
    <n v="26"/>
    <x v="20"/>
    <x v="9"/>
    <s v="cashloan"/>
    <n v="0"/>
  </r>
  <r>
    <x v="628"/>
    <x v="1"/>
    <x v="8"/>
    <n v="39"/>
    <n v="26"/>
    <x v="21"/>
    <x v="9"/>
    <s v="cashloan"/>
    <n v="0"/>
  </r>
  <r>
    <x v="628"/>
    <x v="1"/>
    <x v="8"/>
    <n v="39"/>
    <n v="26"/>
    <x v="25"/>
    <x v="2"/>
    <s v="cashloan"/>
    <n v="0"/>
  </r>
  <r>
    <x v="628"/>
    <x v="1"/>
    <x v="8"/>
    <n v="39"/>
    <n v="26"/>
    <x v="0"/>
    <x v="0"/>
    <s v="payday"/>
    <n v="9709416000"/>
  </r>
  <r>
    <x v="628"/>
    <x v="1"/>
    <x v="8"/>
    <n v="39"/>
    <n v="26"/>
    <x v="7"/>
    <x v="7"/>
    <s v="paylater"/>
    <n v="183526992"/>
  </r>
  <r>
    <x v="628"/>
    <x v="1"/>
    <x v="8"/>
    <n v="39"/>
    <n v="26"/>
    <x v="1"/>
    <x v="1"/>
    <s v="cashloan"/>
    <n v="31500000"/>
  </r>
  <r>
    <x v="628"/>
    <x v="1"/>
    <x v="8"/>
    <n v="39"/>
    <n v="26"/>
    <x v="6"/>
    <x v="6"/>
    <s v="payday"/>
    <n v="52000000"/>
  </r>
  <r>
    <x v="628"/>
    <x v="1"/>
    <x v="8"/>
    <n v="39"/>
    <n v="26"/>
    <x v="18"/>
    <x v="15"/>
    <s v="cashloan"/>
    <n v="1016090000"/>
  </r>
  <r>
    <x v="628"/>
    <x v="1"/>
    <x v="8"/>
    <n v="39"/>
    <n v="26"/>
    <x v="29"/>
    <x v="20"/>
    <s v="payday"/>
    <n v="85320000"/>
  </r>
  <r>
    <x v="628"/>
    <x v="1"/>
    <x v="8"/>
    <n v="39"/>
    <n v="26"/>
    <x v="19"/>
    <x v="12"/>
    <s v="paylater"/>
    <n v="416250774"/>
  </r>
  <r>
    <x v="628"/>
    <x v="1"/>
    <x v="8"/>
    <n v="39"/>
    <n v="26"/>
    <x v="24"/>
    <x v="18"/>
    <s v="cashloan"/>
    <n v="2788640000"/>
  </r>
  <r>
    <x v="629"/>
    <x v="1"/>
    <x v="8"/>
    <n v="39"/>
    <n v="27"/>
    <x v="3"/>
    <x v="3"/>
    <s v="cashloan"/>
    <n v="0"/>
  </r>
  <r>
    <x v="629"/>
    <x v="1"/>
    <x v="8"/>
    <n v="39"/>
    <n v="27"/>
    <x v="11"/>
    <x v="10"/>
    <s v="paylater"/>
    <n v="286713673"/>
  </r>
  <r>
    <x v="629"/>
    <x v="1"/>
    <x v="8"/>
    <n v="39"/>
    <n v="27"/>
    <x v="12"/>
    <x v="11"/>
    <s v="cashloan"/>
    <n v="14949560000"/>
  </r>
  <r>
    <x v="629"/>
    <x v="1"/>
    <x v="8"/>
    <n v="39"/>
    <n v="27"/>
    <x v="5"/>
    <x v="5"/>
    <s v="overdraft"/>
    <n v="2287385369"/>
  </r>
  <r>
    <x v="629"/>
    <x v="1"/>
    <x v="8"/>
    <n v="39"/>
    <n v="27"/>
    <x v="27"/>
    <x v="19"/>
    <s v="payday"/>
    <n v="6984792000"/>
  </r>
  <r>
    <x v="629"/>
    <x v="1"/>
    <x v="8"/>
    <n v="39"/>
    <n v="27"/>
    <x v="15"/>
    <x v="14"/>
    <s v="paylater"/>
    <n v="40643091"/>
  </r>
  <r>
    <x v="629"/>
    <x v="1"/>
    <x v="8"/>
    <n v="39"/>
    <n v="27"/>
    <x v="14"/>
    <x v="13"/>
    <s v="cashloan"/>
    <n v="3158470000"/>
  </r>
  <r>
    <x v="629"/>
    <x v="1"/>
    <x v="8"/>
    <n v="39"/>
    <n v="27"/>
    <x v="23"/>
    <x v="17"/>
    <s v="paylater"/>
    <n v="12793000"/>
  </r>
  <r>
    <x v="629"/>
    <x v="1"/>
    <x v="8"/>
    <n v="39"/>
    <n v="27"/>
    <x v="28"/>
    <x v="17"/>
    <s v="paylater"/>
    <n v="424941000"/>
  </r>
  <r>
    <x v="629"/>
    <x v="1"/>
    <x v="8"/>
    <n v="39"/>
    <n v="27"/>
    <x v="8"/>
    <x v="8"/>
    <s v="cashloan"/>
    <n v="0"/>
  </r>
  <r>
    <x v="629"/>
    <x v="1"/>
    <x v="8"/>
    <n v="39"/>
    <n v="27"/>
    <x v="26"/>
    <x v="16"/>
    <s v="cashloan"/>
    <n v="62000000"/>
  </r>
  <r>
    <x v="629"/>
    <x v="1"/>
    <x v="8"/>
    <n v="39"/>
    <n v="27"/>
    <x v="2"/>
    <x v="2"/>
    <s v="cashloan"/>
    <n v="13869930000"/>
  </r>
  <r>
    <x v="629"/>
    <x v="1"/>
    <x v="8"/>
    <n v="39"/>
    <n v="27"/>
    <x v="17"/>
    <x v="9"/>
    <s v="cashloan"/>
    <n v="0"/>
  </r>
  <r>
    <x v="629"/>
    <x v="1"/>
    <x v="8"/>
    <n v="39"/>
    <n v="27"/>
    <x v="20"/>
    <x v="9"/>
    <s v="cashloan"/>
    <n v="0"/>
  </r>
  <r>
    <x v="629"/>
    <x v="1"/>
    <x v="8"/>
    <n v="39"/>
    <n v="27"/>
    <x v="21"/>
    <x v="9"/>
    <s v="cashloan"/>
    <n v="0"/>
  </r>
  <r>
    <x v="629"/>
    <x v="1"/>
    <x v="8"/>
    <n v="39"/>
    <n v="27"/>
    <x v="25"/>
    <x v="2"/>
    <s v="cashloan"/>
    <n v="0"/>
  </r>
  <r>
    <x v="629"/>
    <x v="1"/>
    <x v="8"/>
    <n v="39"/>
    <n v="27"/>
    <x v="0"/>
    <x v="0"/>
    <s v="payday"/>
    <n v="8715708000"/>
  </r>
  <r>
    <x v="629"/>
    <x v="1"/>
    <x v="8"/>
    <n v="39"/>
    <n v="27"/>
    <x v="7"/>
    <x v="7"/>
    <s v="paylater"/>
    <n v="165694313"/>
  </r>
  <r>
    <x v="629"/>
    <x v="1"/>
    <x v="8"/>
    <n v="39"/>
    <n v="27"/>
    <x v="1"/>
    <x v="1"/>
    <s v="cashloan"/>
    <n v="21000000"/>
  </r>
  <r>
    <x v="629"/>
    <x v="1"/>
    <x v="8"/>
    <n v="39"/>
    <n v="27"/>
    <x v="6"/>
    <x v="6"/>
    <s v="payday"/>
    <n v="41000000"/>
  </r>
  <r>
    <x v="629"/>
    <x v="1"/>
    <x v="8"/>
    <n v="39"/>
    <n v="27"/>
    <x v="18"/>
    <x v="15"/>
    <s v="cashloan"/>
    <n v="443960000"/>
  </r>
  <r>
    <x v="629"/>
    <x v="1"/>
    <x v="8"/>
    <n v="39"/>
    <n v="27"/>
    <x v="29"/>
    <x v="20"/>
    <s v="payday"/>
    <n v="154440000"/>
  </r>
  <r>
    <x v="629"/>
    <x v="1"/>
    <x v="8"/>
    <n v="39"/>
    <n v="27"/>
    <x v="19"/>
    <x v="12"/>
    <s v="paylater"/>
    <n v="453298720"/>
  </r>
  <r>
    <x v="629"/>
    <x v="1"/>
    <x v="8"/>
    <n v="39"/>
    <n v="27"/>
    <x v="24"/>
    <x v="18"/>
    <s v="cashloan"/>
    <n v="2019170000"/>
  </r>
  <r>
    <x v="630"/>
    <x v="1"/>
    <x v="8"/>
    <n v="39"/>
    <n v="28"/>
    <x v="3"/>
    <x v="3"/>
    <s v="cashloan"/>
    <n v="0"/>
  </r>
  <r>
    <x v="630"/>
    <x v="1"/>
    <x v="8"/>
    <n v="39"/>
    <n v="28"/>
    <x v="11"/>
    <x v="10"/>
    <s v="paylater"/>
    <n v="266079883"/>
  </r>
  <r>
    <x v="630"/>
    <x v="1"/>
    <x v="8"/>
    <n v="39"/>
    <n v="28"/>
    <x v="12"/>
    <x v="11"/>
    <s v="cashloan"/>
    <n v="12362760000"/>
  </r>
  <r>
    <x v="630"/>
    <x v="1"/>
    <x v="8"/>
    <n v="39"/>
    <n v="28"/>
    <x v="5"/>
    <x v="5"/>
    <s v="overdraft"/>
    <n v="2256599120"/>
  </r>
  <r>
    <x v="630"/>
    <x v="1"/>
    <x v="8"/>
    <n v="39"/>
    <n v="28"/>
    <x v="27"/>
    <x v="19"/>
    <s v="payday"/>
    <n v="6587244000"/>
  </r>
  <r>
    <x v="630"/>
    <x v="1"/>
    <x v="8"/>
    <n v="39"/>
    <n v="28"/>
    <x v="15"/>
    <x v="14"/>
    <s v="paylater"/>
    <n v="11342323"/>
  </r>
  <r>
    <x v="630"/>
    <x v="1"/>
    <x v="8"/>
    <n v="39"/>
    <n v="28"/>
    <x v="14"/>
    <x v="13"/>
    <s v="cashloan"/>
    <n v="3146200000"/>
  </r>
  <r>
    <x v="630"/>
    <x v="1"/>
    <x v="8"/>
    <n v="39"/>
    <n v="28"/>
    <x v="23"/>
    <x v="17"/>
    <s v="paylater"/>
    <n v="13751000"/>
  </r>
  <r>
    <x v="630"/>
    <x v="1"/>
    <x v="8"/>
    <n v="39"/>
    <n v="28"/>
    <x v="28"/>
    <x v="17"/>
    <s v="paylater"/>
    <n v="484967000"/>
  </r>
  <r>
    <x v="630"/>
    <x v="1"/>
    <x v="8"/>
    <n v="39"/>
    <n v="28"/>
    <x v="8"/>
    <x v="8"/>
    <s v="cashloan"/>
    <n v="0"/>
  </r>
  <r>
    <x v="630"/>
    <x v="1"/>
    <x v="8"/>
    <n v="39"/>
    <n v="28"/>
    <x v="26"/>
    <x v="16"/>
    <s v="cashloan"/>
    <n v="108250000"/>
  </r>
  <r>
    <x v="630"/>
    <x v="1"/>
    <x v="8"/>
    <n v="39"/>
    <n v="28"/>
    <x v="2"/>
    <x v="2"/>
    <s v="cashloan"/>
    <n v="13088800000"/>
  </r>
  <r>
    <x v="630"/>
    <x v="1"/>
    <x v="8"/>
    <n v="39"/>
    <n v="28"/>
    <x v="17"/>
    <x v="9"/>
    <s v="cashloan"/>
    <n v="0"/>
  </r>
  <r>
    <x v="630"/>
    <x v="1"/>
    <x v="8"/>
    <n v="39"/>
    <n v="28"/>
    <x v="20"/>
    <x v="9"/>
    <s v="cashloan"/>
    <n v="0"/>
  </r>
  <r>
    <x v="630"/>
    <x v="1"/>
    <x v="8"/>
    <n v="39"/>
    <n v="28"/>
    <x v="21"/>
    <x v="9"/>
    <s v="cashloan"/>
    <n v="0"/>
  </r>
  <r>
    <x v="630"/>
    <x v="1"/>
    <x v="8"/>
    <n v="39"/>
    <n v="28"/>
    <x v="25"/>
    <x v="2"/>
    <s v="cashloan"/>
    <n v="0"/>
  </r>
  <r>
    <x v="630"/>
    <x v="1"/>
    <x v="8"/>
    <n v="39"/>
    <n v="28"/>
    <x v="0"/>
    <x v="0"/>
    <s v="payday"/>
    <n v="8819064000"/>
  </r>
  <r>
    <x v="630"/>
    <x v="1"/>
    <x v="8"/>
    <n v="39"/>
    <n v="28"/>
    <x v="7"/>
    <x v="7"/>
    <s v="paylater"/>
    <n v="196143768"/>
  </r>
  <r>
    <x v="630"/>
    <x v="1"/>
    <x v="8"/>
    <n v="39"/>
    <n v="28"/>
    <x v="1"/>
    <x v="1"/>
    <s v="cashloan"/>
    <n v="0"/>
  </r>
  <r>
    <x v="630"/>
    <x v="1"/>
    <x v="8"/>
    <n v="39"/>
    <n v="28"/>
    <x v="6"/>
    <x v="6"/>
    <s v="payday"/>
    <n v="18000000"/>
  </r>
  <r>
    <x v="630"/>
    <x v="1"/>
    <x v="8"/>
    <n v="39"/>
    <n v="28"/>
    <x v="18"/>
    <x v="15"/>
    <s v="cashloan"/>
    <n v="702500000"/>
  </r>
  <r>
    <x v="630"/>
    <x v="1"/>
    <x v="8"/>
    <n v="39"/>
    <n v="28"/>
    <x v="29"/>
    <x v="20"/>
    <s v="payday"/>
    <n v="122040000"/>
  </r>
  <r>
    <x v="630"/>
    <x v="1"/>
    <x v="8"/>
    <n v="39"/>
    <n v="28"/>
    <x v="19"/>
    <x v="12"/>
    <s v="paylater"/>
    <n v="410018600"/>
  </r>
  <r>
    <x v="630"/>
    <x v="1"/>
    <x v="8"/>
    <n v="39"/>
    <n v="28"/>
    <x v="24"/>
    <x v="18"/>
    <s v="cashloan"/>
    <n v="1967440000"/>
  </r>
  <r>
    <x v="631"/>
    <x v="1"/>
    <x v="8"/>
    <n v="40"/>
    <n v="29"/>
    <x v="12"/>
    <x v="11"/>
    <s v="cashloan"/>
    <n v="16728180000"/>
  </r>
  <r>
    <x v="631"/>
    <x v="1"/>
    <x v="8"/>
    <n v="40"/>
    <n v="29"/>
    <x v="6"/>
    <x v="6"/>
    <s v="payday"/>
    <n v="37000000"/>
  </r>
  <r>
    <x v="631"/>
    <x v="1"/>
    <x v="8"/>
    <n v="40"/>
    <n v="29"/>
    <x v="29"/>
    <x v="20"/>
    <s v="payday"/>
    <n v="177120000"/>
  </r>
  <r>
    <x v="631"/>
    <x v="1"/>
    <x v="8"/>
    <n v="40"/>
    <n v="29"/>
    <x v="23"/>
    <x v="17"/>
    <s v="paylater"/>
    <n v="20150000"/>
  </r>
  <r>
    <x v="631"/>
    <x v="1"/>
    <x v="8"/>
    <n v="40"/>
    <n v="29"/>
    <x v="27"/>
    <x v="19"/>
    <s v="payday"/>
    <n v="7323696000"/>
  </r>
  <r>
    <x v="631"/>
    <x v="1"/>
    <x v="8"/>
    <n v="40"/>
    <n v="29"/>
    <x v="28"/>
    <x v="17"/>
    <s v="paylater"/>
    <n v="154309000"/>
  </r>
  <r>
    <x v="631"/>
    <x v="1"/>
    <x v="8"/>
    <n v="40"/>
    <n v="29"/>
    <x v="15"/>
    <x v="14"/>
    <s v="paylater"/>
    <n v="35356357"/>
  </r>
  <r>
    <x v="631"/>
    <x v="1"/>
    <x v="8"/>
    <n v="40"/>
    <n v="29"/>
    <x v="7"/>
    <x v="7"/>
    <s v="paylater"/>
    <n v="171111826"/>
  </r>
  <r>
    <x v="631"/>
    <x v="1"/>
    <x v="8"/>
    <n v="40"/>
    <n v="29"/>
    <x v="18"/>
    <x v="15"/>
    <s v="cashloan"/>
    <n v="504570000"/>
  </r>
  <r>
    <x v="631"/>
    <x v="1"/>
    <x v="8"/>
    <n v="40"/>
    <n v="29"/>
    <x v="5"/>
    <x v="5"/>
    <s v="overdraft"/>
    <n v="2950224433"/>
  </r>
  <r>
    <x v="631"/>
    <x v="1"/>
    <x v="8"/>
    <n v="40"/>
    <n v="29"/>
    <x v="11"/>
    <x v="10"/>
    <s v="paylater"/>
    <n v="260666921"/>
  </r>
  <r>
    <x v="631"/>
    <x v="1"/>
    <x v="8"/>
    <n v="40"/>
    <n v="29"/>
    <x v="2"/>
    <x v="2"/>
    <s v="cashloan"/>
    <n v="15225250000"/>
  </r>
  <r>
    <x v="631"/>
    <x v="1"/>
    <x v="8"/>
    <n v="40"/>
    <n v="29"/>
    <x v="26"/>
    <x v="16"/>
    <s v="cashloan"/>
    <n v="89250000"/>
  </r>
  <r>
    <x v="631"/>
    <x v="1"/>
    <x v="8"/>
    <n v="40"/>
    <n v="29"/>
    <x v="25"/>
    <x v="2"/>
    <s v="cashloan"/>
    <n v="12420000"/>
  </r>
  <r>
    <x v="631"/>
    <x v="1"/>
    <x v="8"/>
    <n v="40"/>
    <n v="29"/>
    <x v="19"/>
    <x v="12"/>
    <s v="paylater"/>
    <n v="391603814"/>
  </r>
  <r>
    <x v="631"/>
    <x v="1"/>
    <x v="8"/>
    <n v="40"/>
    <n v="29"/>
    <x v="24"/>
    <x v="18"/>
    <s v="cashloan"/>
    <n v="2719850000"/>
  </r>
  <r>
    <x v="631"/>
    <x v="1"/>
    <x v="8"/>
    <n v="40"/>
    <n v="29"/>
    <x v="1"/>
    <x v="1"/>
    <s v="cashloan"/>
    <n v="57000000"/>
  </r>
  <r>
    <x v="631"/>
    <x v="1"/>
    <x v="8"/>
    <n v="40"/>
    <n v="29"/>
    <x v="0"/>
    <x v="0"/>
    <s v="payday"/>
    <n v="8875224000"/>
  </r>
  <r>
    <x v="631"/>
    <x v="1"/>
    <x v="8"/>
    <n v="40"/>
    <n v="29"/>
    <x v="14"/>
    <x v="13"/>
    <s v="cashloan"/>
    <n v="3767780000"/>
  </r>
  <r>
    <x v="632"/>
    <x v="1"/>
    <x v="8"/>
    <n v="40"/>
    <n v="30"/>
    <x v="28"/>
    <x v="17"/>
    <s v="paylater"/>
    <n v="344721090"/>
  </r>
  <r>
    <x v="632"/>
    <x v="1"/>
    <x v="8"/>
    <n v="40"/>
    <n v="30"/>
    <x v="24"/>
    <x v="18"/>
    <s v="cashloan"/>
    <n v="2535630000"/>
  </r>
  <r>
    <x v="632"/>
    <x v="1"/>
    <x v="8"/>
    <n v="40"/>
    <n v="30"/>
    <x v="29"/>
    <x v="20"/>
    <s v="payday"/>
    <n v="187920000"/>
  </r>
  <r>
    <x v="632"/>
    <x v="1"/>
    <x v="8"/>
    <n v="40"/>
    <n v="30"/>
    <x v="5"/>
    <x v="5"/>
    <s v="overdraft"/>
    <n v="3293965145"/>
  </r>
  <r>
    <x v="632"/>
    <x v="1"/>
    <x v="8"/>
    <n v="40"/>
    <n v="30"/>
    <x v="12"/>
    <x v="11"/>
    <s v="cashloan"/>
    <n v="17147950000"/>
  </r>
  <r>
    <x v="632"/>
    <x v="1"/>
    <x v="8"/>
    <n v="40"/>
    <n v="30"/>
    <x v="26"/>
    <x v="16"/>
    <s v="cashloan"/>
    <n v="197500000"/>
  </r>
  <r>
    <x v="632"/>
    <x v="1"/>
    <x v="8"/>
    <n v="40"/>
    <n v="30"/>
    <x v="25"/>
    <x v="2"/>
    <s v="cashloan"/>
    <n v="0"/>
  </r>
  <r>
    <x v="632"/>
    <x v="1"/>
    <x v="8"/>
    <n v="40"/>
    <n v="30"/>
    <x v="14"/>
    <x v="13"/>
    <s v="cashloan"/>
    <n v="3671380000"/>
  </r>
  <r>
    <x v="632"/>
    <x v="1"/>
    <x v="8"/>
    <n v="40"/>
    <n v="30"/>
    <x v="1"/>
    <x v="1"/>
    <s v="cashloan"/>
    <n v="10500000"/>
  </r>
  <r>
    <x v="632"/>
    <x v="1"/>
    <x v="8"/>
    <n v="40"/>
    <n v="30"/>
    <x v="18"/>
    <x v="15"/>
    <s v="cashloan"/>
    <n v="946600000"/>
  </r>
  <r>
    <x v="632"/>
    <x v="1"/>
    <x v="8"/>
    <n v="40"/>
    <n v="30"/>
    <x v="2"/>
    <x v="2"/>
    <s v="cashloan"/>
    <n v="15280440000"/>
  </r>
  <r>
    <x v="632"/>
    <x v="1"/>
    <x v="8"/>
    <n v="40"/>
    <n v="30"/>
    <x v="7"/>
    <x v="7"/>
    <s v="paylater"/>
    <n v="203646139"/>
  </r>
  <r>
    <x v="632"/>
    <x v="1"/>
    <x v="8"/>
    <n v="40"/>
    <n v="30"/>
    <x v="19"/>
    <x v="12"/>
    <s v="paylater"/>
    <n v="444166741"/>
  </r>
  <r>
    <x v="632"/>
    <x v="1"/>
    <x v="8"/>
    <n v="40"/>
    <n v="30"/>
    <x v="11"/>
    <x v="10"/>
    <s v="paylater"/>
    <n v="273546083"/>
  </r>
  <r>
    <x v="632"/>
    <x v="1"/>
    <x v="8"/>
    <n v="40"/>
    <n v="30"/>
    <x v="27"/>
    <x v="19"/>
    <s v="payday"/>
    <n v="8743032000"/>
  </r>
  <r>
    <x v="632"/>
    <x v="1"/>
    <x v="8"/>
    <n v="40"/>
    <n v="30"/>
    <x v="23"/>
    <x v="17"/>
    <s v="paylater"/>
    <n v="30647000"/>
  </r>
  <r>
    <x v="632"/>
    <x v="1"/>
    <x v="8"/>
    <n v="40"/>
    <n v="30"/>
    <x v="15"/>
    <x v="14"/>
    <s v="paylater"/>
    <n v="36339367"/>
  </r>
  <r>
    <x v="632"/>
    <x v="1"/>
    <x v="8"/>
    <n v="40"/>
    <n v="30"/>
    <x v="6"/>
    <x v="6"/>
    <s v="payday"/>
    <n v="66000000"/>
  </r>
  <r>
    <x v="632"/>
    <x v="1"/>
    <x v="8"/>
    <n v="40"/>
    <n v="30"/>
    <x v="0"/>
    <x v="0"/>
    <s v="payday"/>
    <n v="9046944000"/>
  </r>
  <r>
    <x v="633"/>
    <x v="1"/>
    <x v="9"/>
    <n v="40"/>
    <n v="1"/>
    <x v="3"/>
    <x v="3"/>
    <s v="cashloan"/>
    <n v="0"/>
  </r>
  <r>
    <x v="633"/>
    <x v="1"/>
    <x v="9"/>
    <n v="40"/>
    <n v="1"/>
    <x v="11"/>
    <x v="10"/>
    <s v="paylater"/>
    <n v="387837957"/>
  </r>
  <r>
    <x v="633"/>
    <x v="1"/>
    <x v="9"/>
    <n v="40"/>
    <n v="1"/>
    <x v="12"/>
    <x v="11"/>
    <s v="cashloan"/>
    <n v="18283740000"/>
  </r>
  <r>
    <x v="633"/>
    <x v="1"/>
    <x v="9"/>
    <n v="40"/>
    <n v="1"/>
    <x v="5"/>
    <x v="5"/>
    <s v="overdraft"/>
    <n v="5202779389"/>
  </r>
  <r>
    <x v="633"/>
    <x v="1"/>
    <x v="9"/>
    <n v="40"/>
    <n v="1"/>
    <x v="27"/>
    <x v="19"/>
    <s v="payday"/>
    <n v="8973504000"/>
  </r>
  <r>
    <x v="633"/>
    <x v="1"/>
    <x v="9"/>
    <n v="40"/>
    <n v="1"/>
    <x v="15"/>
    <x v="14"/>
    <s v="paylater"/>
    <n v="43742841"/>
  </r>
  <r>
    <x v="633"/>
    <x v="1"/>
    <x v="9"/>
    <n v="40"/>
    <n v="1"/>
    <x v="14"/>
    <x v="13"/>
    <s v="cashloan"/>
    <n v="3311600000"/>
  </r>
  <r>
    <x v="633"/>
    <x v="1"/>
    <x v="9"/>
    <n v="40"/>
    <n v="1"/>
    <x v="23"/>
    <x v="17"/>
    <s v="paylater"/>
    <n v="5738000"/>
  </r>
  <r>
    <x v="633"/>
    <x v="1"/>
    <x v="9"/>
    <n v="40"/>
    <n v="1"/>
    <x v="28"/>
    <x v="17"/>
    <s v="paylater"/>
    <n v="446785000"/>
  </r>
  <r>
    <x v="633"/>
    <x v="1"/>
    <x v="9"/>
    <n v="40"/>
    <n v="1"/>
    <x v="8"/>
    <x v="8"/>
    <s v="cashloan"/>
    <n v="0"/>
  </r>
  <r>
    <x v="633"/>
    <x v="1"/>
    <x v="9"/>
    <n v="40"/>
    <n v="1"/>
    <x v="26"/>
    <x v="16"/>
    <s v="cashloan"/>
    <n v="177000000"/>
  </r>
  <r>
    <x v="633"/>
    <x v="1"/>
    <x v="9"/>
    <n v="40"/>
    <n v="1"/>
    <x v="2"/>
    <x v="2"/>
    <s v="cashloan"/>
    <n v="16725630000"/>
  </r>
  <r>
    <x v="633"/>
    <x v="1"/>
    <x v="9"/>
    <n v="40"/>
    <n v="1"/>
    <x v="17"/>
    <x v="9"/>
    <s v="cashloan"/>
    <n v="0"/>
  </r>
  <r>
    <x v="633"/>
    <x v="1"/>
    <x v="9"/>
    <n v="40"/>
    <n v="1"/>
    <x v="20"/>
    <x v="9"/>
    <s v="cashloan"/>
    <n v="0"/>
  </r>
  <r>
    <x v="633"/>
    <x v="1"/>
    <x v="9"/>
    <n v="40"/>
    <n v="1"/>
    <x v="21"/>
    <x v="9"/>
    <s v="cashloan"/>
    <n v="0"/>
  </r>
  <r>
    <x v="633"/>
    <x v="1"/>
    <x v="9"/>
    <n v="40"/>
    <n v="1"/>
    <x v="25"/>
    <x v="2"/>
    <s v="cashloan"/>
    <n v="0"/>
  </r>
  <r>
    <x v="633"/>
    <x v="1"/>
    <x v="9"/>
    <n v="40"/>
    <n v="1"/>
    <x v="0"/>
    <x v="0"/>
    <s v="payday"/>
    <n v="11017296000"/>
  </r>
  <r>
    <x v="633"/>
    <x v="1"/>
    <x v="9"/>
    <n v="40"/>
    <n v="1"/>
    <x v="7"/>
    <x v="7"/>
    <s v="paylater"/>
    <n v="589346031"/>
  </r>
  <r>
    <x v="633"/>
    <x v="1"/>
    <x v="9"/>
    <n v="40"/>
    <n v="1"/>
    <x v="1"/>
    <x v="1"/>
    <s v="cashloan"/>
    <n v="21000000"/>
  </r>
  <r>
    <x v="633"/>
    <x v="1"/>
    <x v="9"/>
    <n v="40"/>
    <n v="1"/>
    <x v="6"/>
    <x v="6"/>
    <s v="payday"/>
    <n v="42000000"/>
  </r>
  <r>
    <x v="633"/>
    <x v="1"/>
    <x v="9"/>
    <n v="40"/>
    <n v="1"/>
    <x v="18"/>
    <x v="15"/>
    <s v="cashloan"/>
    <n v="663040000"/>
  </r>
  <r>
    <x v="633"/>
    <x v="1"/>
    <x v="9"/>
    <n v="40"/>
    <n v="1"/>
    <x v="29"/>
    <x v="20"/>
    <s v="payday"/>
    <n v="181440000"/>
  </r>
  <r>
    <x v="633"/>
    <x v="1"/>
    <x v="9"/>
    <n v="40"/>
    <n v="1"/>
    <x v="19"/>
    <x v="12"/>
    <s v="paylater"/>
    <n v="786642530"/>
  </r>
  <r>
    <x v="633"/>
    <x v="1"/>
    <x v="9"/>
    <n v="40"/>
    <n v="1"/>
    <x v="24"/>
    <x v="18"/>
    <s v="cashloan"/>
    <n v="4655920000"/>
  </r>
  <r>
    <x v="634"/>
    <x v="1"/>
    <x v="9"/>
    <n v="40"/>
    <n v="2"/>
    <x v="3"/>
    <x v="3"/>
    <s v="cashloan"/>
    <n v="0"/>
  </r>
  <r>
    <x v="634"/>
    <x v="1"/>
    <x v="9"/>
    <n v="40"/>
    <n v="2"/>
    <x v="11"/>
    <x v="10"/>
    <s v="paylater"/>
    <n v="417007761"/>
  </r>
  <r>
    <x v="634"/>
    <x v="1"/>
    <x v="9"/>
    <n v="40"/>
    <n v="2"/>
    <x v="12"/>
    <x v="11"/>
    <s v="cashloan"/>
    <n v="17907240000"/>
  </r>
  <r>
    <x v="634"/>
    <x v="1"/>
    <x v="9"/>
    <n v="40"/>
    <n v="2"/>
    <x v="5"/>
    <x v="5"/>
    <s v="overdraft"/>
    <n v="4060398979"/>
  </r>
  <r>
    <x v="634"/>
    <x v="1"/>
    <x v="9"/>
    <n v="40"/>
    <n v="2"/>
    <x v="27"/>
    <x v="19"/>
    <s v="payday"/>
    <n v="8175924000"/>
  </r>
  <r>
    <x v="634"/>
    <x v="1"/>
    <x v="9"/>
    <n v="40"/>
    <n v="2"/>
    <x v="15"/>
    <x v="14"/>
    <s v="paylater"/>
    <n v="46110944"/>
  </r>
  <r>
    <x v="634"/>
    <x v="1"/>
    <x v="9"/>
    <n v="40"/>
    <n v="2"/>
    <x v="14"/>
    <x v="13"/>
    <s v="cashloan"/>
    <n v="3982450000"/>
  </r>
  <r>
    <x v="634"/>
    <x v="1"/>
    <x v="9"/>
    <n v="40"/>
    <n v="2"/>
    <x v="23"/>
    <x v="17"/>
    <s v="paylater"/>
    <n v="17101000"/>
  </r>
  <r>
    <x v="634"/>
    <x v="1"/>
    <x v="9"/>
    <n v="40"/>
    <n v="2"/>
    <x v="28"/>
    <x v="17"/>
    <s v="paylater"/>
    <n v="445272000"/>
  </r>
  <r>
    <x v="634"/>
    <x v="1"/>
    <x v="9"/>
    <n v="40"/>
    <n v="2"/>
    <x v="8"/>
    <x v="8"/>
    <s v="cashloan"/>
    <n v="0"/>
  </r>
  <r>
    <x v="634"/>
    <x v="1"/>
    <x v="9"/>
    <n v="40"/>
    <n v="2"/>
    <x v="26"/>
    <x v="16"/>
    <s v="cashloan"/>
    <n v="177000000"/>
  </r>
  <r>
    <x v="634"/>
    <x v="1"/>
    <x v="9"/>
    <n v="40"/>
    <n v="2"/>
    <x v="2"/>
    <x v="2"/>
    <s v="cashloan"/>
    <n v="16369720000"/>
  </r>
  <r>
    <x v="634"/>
    <x v="1"/>
    <x v="9"/>
    <n v="40"/>
    <n v="2"/>
    <x v="17"/>
    <x v="9"/>
    <s v="cashloan"/>
    <n v="0"/>
  </r>
  <r>
    <x v="634"/>
    <x v="1"/>
    <x v="9"/>
    <n v="40"/>
    <n v="2"/>
    <x v="20"/>
    <x v="9"/>
    <s v="cashloan"/>
    <n v="0"/>
  </r>
  <r>
    <x v="634"/>
    <x v="1"/>
    <x v="9"/>
    <n v="40"/>
    <n v="2"/>
    <x v="21"/>
    <x v="9"/>
    <s v="cashloan"/>
    <n v="0"/>
  </r>
  <r>
    <x v="634"/>
    <x v="1"/>
    <x v="9"/>
    <n v="40"/>
    <n v="2"/>
    <x v="25"/>
    <x v="2"/>
    <s v="cashloan"/>
    <n v="0"/>
  </r>
  <r>
    <x v="634"/>
    <x v="1"/>
    <x v="9"/>
    <n v="40"/>
    <n v="2"/>
    <x v="0"/>
    <x v="0"/>
    <s v="payday"/>
    <n v="9980820000"/>
  </r>
  <r>
    <x v="634"/>
    <x v="1"/>
    <x v="9"/>
    <n v="40"/>
    <n v="2"/>
    <x v="7"/>
    <x v="7"/>
    <s v="paylater"/>
    <n v="424049334"/>
  </r>
  <r>
    <x v="634"/>
    <x v="1"/>
    <x v="9"/>
    <n v="40"/>
    <n v="2"/>
    <x v="1"/>
    <x v="1"/>
    <s v="cashloan"/>
    <n v="105000000"/>
  </r>
  <r>
    <x v="634"/>
    <x v="1"/>
    <x v="9"/>
    <n v="40"/>
    <n v="2"/>
    <x v="6"/>
    <x v="6"/>
    <s v="payday"/>
    <n v="44000000"/>
  </r>
  <r>
    <x v="634"/>
    <x v="1"/>
    <x v="9"/>
    <n v="40"/>
    <n v="2"/>
    <x v="18"/>
    <x v="15"/>
    <s v="cashloan"/>
    <n v="885270000"/>
  </r>
  <r>
    <x v="634"/>
    <x v="1"/>
    <x v="9"/>
    <n v="40"/>
    <n v="2"/>
    <x v="29"/>
    <x v="20"/>
    <s v="payday"/>
    <n v="214920000"/>
  </r>
  <r>
    <x v="634"/>
    <x v="1"/>
    <x v="9"/>
    <n v="40"/>
    <n v="2"/>
    <x v="19"/>
    <x v="12"/>
    <s v="paylater"/>
    <n v="779570363"/>
  </r>
  <r>
    <x v="634"/>
    <x v="1"/>
    <x v="9"/>
    <n v="40"/>
    <n v="2"/>
    <x v="24"/>
    <x v="18"/>
    <s v="cashloan"/>
    <n v="4671980000"/>
  </r>
  <r>
    <x v="635"/>
    <x v="1"/>
    <x v="9"/>
    <n v="40"/>
    <n v="3"/>
    <x v="3"/>
    <x v="3"/>
    <s v="cashloan"/>
    <n v="0"/>
  </r>
  <r>
    <x v="635"/>
    <x v="1"/>
    <x v="9"/>
    <n v="40"/>
    <n v="3"/>
    <x v="11"/>
    <x v="10"/>
    <s v="paylater"/>
    <n v="412923349"/>
  </r>
  <r>
    <x v="635"/>
    <x v="1"/>
    <x v="9"/>
    <n v="40"/>
    <n v="3"/>
    <x v="12"/>
    <x v="11"/>
    <s v="cashloan"/>
    <n v="17301990000"/>
  </r>
  <r>
    <x v="635"/>
    <x v="1"/>
    <x v="9"/>
    <n v="40"/>
    <n v="3"/>
    <x v="5"/>
    <x v="5"/>
    <s v="overdraft"/>
    <n v="3389350031"/>
  </r>
  <r>
    <x v="635"/>
    <x v="1"/>
    <x v="9"/>
    <n v="40"/>
    <n v="3"/>
    <x v="27"/>
    <x v="19"/>
    <s v="payday"/>
    <n v="8448408000"/>
  </r>
  <r>
    <x v="635"/>
    <x v="1"/>
    <x v="9"/>
    <n v="40"/>
    <n v="3"/>
    <x v="15"/>
    <x v="14"/>
    <s v="paylater"/>
    <n v="61926106"/>
  </r>
  <r>
    <x v="635"/>
    <x v="1"/>
    <x v="9"/>
    <n v="40"/>
    <n v="3"/>
    <x v="14"/>
    <x v="13"/>
    <s v="cashloan"/>
    <n v="2490510000"/>
  </r>
  <r>
    <x v="635"/>
    <x v="1"/>
    <x v="9"/>
    <n v="40"/>
    <n v="3"/>
    <x v="23"/>
    <x v="17"/>
    <s v="paylater"/>
    <n v="47447000"/>
  </r>
  <r>
    <x v="635"/>
    <x v="1"/>
    <x v="9"/>
    <n v="40"/>
    <n v="3"/>
    <x v="28"/>
    <x v="17"/>
    <s v="paylater"/>
    <n v="329621000"/>
  </r>
  <r>
    <x v="635"/>
    <x v="1"/>
    <x v="9"/>
    <n v="40"/>
    <n v="3"/>
    <x v="8"/>
    <x v="8"/>
    <s v="cashloan"/>
    <n v="0"/>
  </r>
  <r>
    <x v="635"/>
    <x v="1"/>
    <x v="9"/>
    <n v="40"/>
    <n v="3"/>
    <x v="26"/>
    <x v="16"/>
    <s v="cashloan"/>
    <n v="194850000"/>
  </r>
  <r>
    <x v="635"/>
    <x v="1"/>
    <x v="9"/>
    <n v="40"/>
    <n v="3"/>
    <x v="2"/>
    <x v="2"/>
    <s v="cashloan"/>
    <n v="16404800000"/>
  </r>
  <r>
    <x v="635"/>
    <x v="1"/>
    <x v="9"/>
    <n v="40"/>
    <n v="3"/>
    <x v="17"/>
    <x v="9"/>
    <s v="cashloan"/>
    <n v="0"/>
  </r>
  <r>
    <x v="635"/>
    <x v="1"/>
    <x v="9"/>
    <n v="40"/>
    <n v="3"/>
    <x v="20"/>
    <x v="9"/>
    <s v="cashloan"/>
    <n v="0"/>
  </r>
  <r>
    <x v="635"/>
    <x v="1"/>
    <x v="9"/>
    <n v="40"/>
    <n v="3"/>
    <x v="21"/>
    <x v="9"/>
    <s v="cashloan"/>
    <n v="0"/>
  </r>
  <r>
    <x v="635"/>
    <x v="1"/>
    <x v="9"/>
    <n v="40"/>
    <n v="3"/>
    <x v="25"/>
    <x v="2"/>
    <s v="cashloan"/>
    <n v="0"/>
  </r>
  <r>
    <x v="635"/>
    <x v="1"/>
    <x v="9"/>
    <n v="40"/>
    <n v="3"/>
    <x v="0"/>
    <x v="0"/>
    <s v="payday"/>
    <n v="10260108000"/>
  </r>
  <r>
    <x v="635"/>
    <x v="1"/>
    <x v="9"/>
    <n v="40"/>
    <n v="3"/>
    <x v="7"/>
    <x v="7"/>
    <s v="paylater"/>
    <n v="441094730"/>
  </r>
  <r>
    <x v="635"/>
    <x v="1"/>
    <x v="9"/>
    <n v="40"/>
    <n v="3"/>
    <x v="1"/>
    <x v="1"/>
    <s v="cashloan"/>
    <n v="21000000"/>
  </r>
  <r>
    <x v="635"/>
    <x v="1"/>
    <x v="9"/>
    <n v="40"/>
    <n v="3"/>
    <x v="6"/>
    <x v="6"/>
    <s v="payday"/>
    <n v="31000000"/>
  </r>
  <r>
    <x v="635"/>
    <x v="1"/>
    <x v="9"/>
    <n v="40"/>
    <n v="3"/>
    <x v="18"/>
    <x v="15"/>
    <s v="cashloan"/>
    <n v="734030000"/>
  </r>
  <r>
    <x v="635"/>
    <x v="1"/>
    <x v="9"/>
    <n v="40"/>
    <n v="3"/>
    <x v="29"/>
    <x v="20"/>
    <s v="payday"/>
    <n v="212760000"/>
  </r>
  <r>
    <x v="635"/>
    <x v="1"/>
    <x v="9"/>
    <n v="40"/>
    <n v="3"/>
    <x v="19"/>
    <x v="12"/>
    <s v="paylater"/>
    <n v="975670968"/>
  </r>
  <r>
    <x v="635"/>
    <x v="1"/>
    <x v="9"/>
    <n v="40"/>
    <n v="3"/>
    <x v="24"/>
    <x v="18"/>
    <s v="cashloan"/>
    <n v="5663080000"/>
  </r>
  <r>
    <x v="636"/>
    <x v="1"/>
    <x v="9"/>
    <n v="40"/>
    <n v="4"/>
    <x v="3"/>
    <x v="3"/>
    <s v="cashloan"/>
    <n v="0"/>
  </r>
  <r>
    <x v="636"/>
    <x v="1"/>
    <x v="9"/>
    <n v="40"/>
    <n v="4"/>
    <x v="11"/>
    <x v="10"/>
    <s v="paylater"/>
    <n v="445619544"/>
  </r>
  <r>
    <x v="636"/>
    <x v="1"/>
    <x v="9"/>
    <n v="40"/>
    <n v="4"/>
    <x v="12"/>
    <x v="11"/>
    <s v="cashloan"/>
    <n v="15352420000"/>
  </r>
  <r>
    <x v="636"/>
    <x v="1"/>
    <x v="9"/>
    <n v="40"/>
    <n v="4"/>
    <x v="5"/>
    <x v="5"/>
    <s v="overdraft"/>
    <n v="3146313137"/>
  </r>
  <r>
    <x v="636"/>
    <x v="1"/>
    <x v="9"/>
    <n v="40"/>
    <n v="4"/>
    <x v="27"/>
    <x v="19"/>
    <s v="payday"/>
    <n v="8249472000"/>
  </r>
  <r>
    <x v="636"/>
    <x v="1"/>
    <x v="9"/>
    <n v="40"/>
    <n v="4"/>
    <x v="15"/>
    <x v="14"/>
    <s v="paylater"/>
    <n v="83436836"/>
  </r>
  <r>
    <x v="636"/>
    <x v="1"/>
    <x v="9"/>
    <n v="40"/>
    <n v="4"/>
    <x v="14"/>
    <x v="13"/>
    <s v="cashloan"/>
    <n v="3477140000"/>
  </r>
  <r>
    <x v="636"/>
    <x v="1"/>
    <x v="9"/>
    <n v="40"/>
    <n v="4"/>
    <x v="23"/>
    <x v="17"/>
    <s v="paylater"/>
    <n v="47503000"/>
  </r>
  <r>
    <x v="636"/>
    <x v="1"/>
    <x v="9"/>
    <n v="40"/>
    <n v="4"/>
    <x v="28"/>
    <x v="17"/>
    <s v="paylater"/>
    <n v="844663000"/>
  </r>
  <r>
    <x v="636"/>
    <x v="1"/>
    <x v="9"/>
    <n v="40"/>
    <n v="4"/>
    <x v="8"/>
    <x v="8"/>
    <s v="cashloan"/>
    <n v="0"/>
  </r>
  <r>
    <x v="636"/>
    <x v="1"/>
    <x v="9"/>
    <n v="40"/>
    <n v="4"/>
    <x v="26"/>
    <x v="16"/>
    <s v="cashloan"/>
    <n v="210000000"/>
  </r>
  <r>
    <x v="636"/>
    <x v="1"/>
    <x v="9"/>
    <n v="40"/>
    <n v="4"/>
    <x v="2"/>
    <x v="2"/>
    <s v="cashloan"/>
    <n v="15912470000"/>
  </r>
  <r>
    <x v="636"/>
    <x v="1"/>
    <x v="9"/>
    <n v="40"/>
    <n v="4"/>
    <x v="17"/>
    <x v="9"/>
    <s v="cashloan"/>
    <n v="0"/>
  </r>
  <r>
    <x v="636"/>
    <x v="1"/>
    <x v="9"/>
    <n v="40"/>
    <n v="4"/>
    <x v="20"/>
    <x v="9"/>
    <s v="cashloan"/>
    <n v="0"/>
  </r>
  <r>
    <x v="636"/>
    <x v="1"/>
    <x v="9"/>
    <n v="40"/>
    <n v="4"/>
    <x v="21"/>
    <x v="9"/>
    <s v="cashloan"/>
    <n v="0"/>
  </r>
  <r>
    <x v="636"/>
    <x v="1"/>
    <x v="9"/>
    <n v="40"/>
    <n v="4"/>
    <x v="25"/>
    <x v="2"/>
    <s v="cashloan"/>
    <n v="0"/>
  </r>
  <r>
    <x v="636"/>
    <x v="1"/>
    <x v="9"/>
    <n v="40"/>
    <n v="4"/>
    <x v="0"/>
    <x v="0"/>
    <s v="payday"/>
    <n v="9941832000"/>
  </r>
  <r>
    <x v="636"/>
    <x v="1"/>
    <x v="9"/>
    <n v="40"/>
    <n v="4"/>
    <x v="7"/>
    <x v="7"/>
    <s v="paylater"/>
    <n v="498992532"/>
  </r>
  <r>
    <x v="636"/>
    <x v="1"/>
    <x v="9"/>
    <n v="40"/>
    <n v="4"/>
    <x v="1"/>
    <x v="1"/>
    <s v="cashloan"/>
    <n v="0"/>
  </r>
  <r>
    <x v="636"/>
    <x v="1"/>
    <x v="9"/>
    <n v="40"/>
    <n v="4"/>
    <x v="6"/>
    <x v="6"/>
    <s v="payday"/>
    <n v="48000000"/>
  </r>
  <r>
    <x v="636"/>
    <x v="1"/>
    <x v="9"/>
    <n v="40"/>
    <n v="4"/>
    <x v="18"/>
    <x v="15"/>
    <s v="cashloan"/>
    <n v="422780000"/>
  </r>
  <r>
    <x v="636"/>
    <x v="1"/>
    <x v="9"/>
    <n v="40"/>
    <n v="4"/>
    <x v="29"/>
    <x v="20"/>
    <s v="payday"/>
    <n v="198720000"/>
  </r>
  <r>
    <x v="636"/>
    <x v="1"/>
    <x v="9"/>
    <n v="40"/>
    <n v="4"/>
    <x v="19"/>
    <x v="12"/>
    <s v="paylater"/>
    <n v="1114121332"/>
  </r>
  <r>
    <x v="636"/>
    <x v="1"/>
    <x v="9"/>
    <n v="40"/>
    <n v="4"/>
    <x v="24"/>
    <x v="18"/>
    <s v="cashloan"/>
    <n v="4744330000"/>
  </r>
  <r>
    <x v="637"/>
    <x v="1"/>
    <x v="9"/>
    <n v="40"/>
    <n v="5"/>
    <x v="3"/>
    <x v="3"/>
    <s v="cashloan"/>
    <n v="0"/>
  </r>
  <r>
    <x v="637"/>
    <x v="1"/>
    <x v="9"/>
    <n v="40"/>
    <n v="5"/>
    <x v="11"/>
    <x v="10"/>
    <s v="paylater"/>
    <n v="457613524"/>
  </r>
  <r>
    <x v="637"/>
    <x v="1"/>
    <x v="9"/>
    <n v="40"/>
    <n v="5"/>
    <x v="12"/>
    <x v="11"/>
    <s v="cashloan"/>
    <n v="14344150000"/>
  </r>
  <r>
    <x v="637"/>
    <x v="1"/>
    <x v="9"/>
    <n v="40"/>
    <n v="5"/>
    <x v="5"/>
    <x v="5"/>
    <s v="overdraft"/>
    <n v="2972278700"/>
  </r>
  <r>
    <x v="637"/>
    <x v="1"/>
    <x v="9"/>
    <n v="40"/>
    <n v="5"/>
    <x v="27"/>
    <x v="19"/>
    <s v="payday"/>
    <n v="8378964000"/>
  </r>
  <r>
    <x v="637"/>
    <x v="1"/>
    <x v="9"/>
    <n v="40"/>
    <n v="5"/>
    <x v="15"/>
    <x v="14"/>
    <s v="paylater"/>
    <n v="82154344"/>
  </r>
  <r>
    <x v="637"/>
    <x v="1"/>
    <x v="9"/>
    <n v="40"/>
    <n v="5"/>
    <x v="14"/>
    <x v="13"/>
    <s v="cashloan"/>
    <n v="3427220000"/>
  </r>
  <r>
    <x v="637"/>
    <x v="1"/>
    <x v="9"/>
    <n v="40"/>
    <n v="5"/>
    <x v="23"/>
    <x v="17"/>
    <s v="paylater"/>
    <n v="44289000"/>
  </r>
  <r>
    <x v="637"/>
    <x v="1"/>
    <x v="9"/>
    <n v="40"/>
    <n v="5"/>
    <x v="28"/>
    <x v="17"/>
    <s v="paylater"/>
    <n v="869855000"/>
  </r>
  <r>
    <x v="637"/>
    <x v="1"/>
    <x v="9"/>
    <n v="40"/>
    <n v="5"/>
    <x v="8"/>
    <x v="8"/>
    <s v="cashloan"/>
    <n v="0"/>
  </r>
  <r>
    <x v="637"/>
    <x v="1"/>
    <x v="9"/>
    <n v="40"/>
    <n v="5"/>
    <x v="26"/>
    <x v="16"/>
    <s v="cashloan"/>
    <n v="220500000"/>
  </r>
  <r>
    <x v="637"/>
    <x v="1"/>
    <x v="9"/>
    <n v="40"/>
    <n v="5"/>
    <x v="2"/>
    <x v="2"/>
    <s v="cashloan"/>
    <n v="15158110000"/>
  </r>
  <r>
    <x v="637"/>
    <x v="1"/>
    <x v="9"/>
    <n v="40"/>
    <n v="5"/>
    <x v="17"/>
    <x v="9"/>
    <s v="cashloan"/>
    <n v="0"/>
  </r>
  <r>
    <x v="637"/>
    <x v="1"/>
    <x v="9"/>
    <n v="40"/>
    <n v="5"/>
    <x v="20"/>
    <x v="9"/>
    <s v="cashloan"/>
    <n v="0"/>
  </r>
  <r>
    <x v="637"/>
    <x v="1"/>
    <x v="9"/>
    <n v="40"/>
    <n v="5"/>
    <x v="21"/>
    <x v="9"/>
    <s v="cashloan"/>
    <n v="0"/>
  </r>
  <r>
    <x v="637"/>
    <x v="1"/>
    <x v="9"/>
    <n v="40"/>
    <n v="5"/>
    <x v="25"/>
    <x v="2"/>
    <s v="cashloan"/>
    <n v="5000000"/>
  </r>
  <r>
    <x v="637"/>
    <x v="1"/>
    <x v="9"/>
    <n v="40"/>
    <n v="5"/>
    <x v="0"/>
    <x v="0"/>
    <s v="payday"/>
    <n v="10601928000"/>
  </r>
  <r>
    <x v="637"/>
    <x v="1"/>
    <x v="9"/>
    <n v="40"/>
    <n v="5"/>
    <x v="7"/>
    <x v="7"/>
    <s v="paylater"/>
    <n v="634902889"/>
  </r>
  <r>
    <x v="637"/>
    <x v="1"/>
    <x v="9"/>
    <n v="40"/>
    <n v="5"/>
    <x v="1"/>
    <x v="1"/>
    <s v="cashloan"/>
    <n v="52500000"/>
  </r>
  <r>
    <x v="637"/>
    <x v="1"/>
    <x v="9"/>
    <n v="40"/>
    <n v="5"/>
    <x v="6"/>
    <x v="6"/>
    <s v="payday"/>
    <n v="50000000"/>
  </r>
  <r>
    <x v="637"/>
    <x v="1"/>
    <x v="9"/>
    <n v="40"/>
    <n v="5"/>
    <x v="18"/>
    <x v="15"/>
    <s v="cashloan"/>
    <n v="537110000"/>
  </r>
  <r>
    <x v="637"/>
    <x v="1"/>
    <x v="9"/>
    <n v="40"/>
    <n v="5"/>
    <x v="29"/>
    <x v="20"/>
    <s v="payday"/>
    <n v="223560000"/>
  </r>
  <r>
    <x v="637"/>
    <x v="1"/>
    <x v="9"/>
    <n v="40"/>
    <n v="5"/>
    <x v="19"/>
    <x v="12"/>
    <s v="paylater"/>
    <n v="1372434879"/>
  </r>
  <r>
    <x v="637"/>
    <x v="1"/>
    <x v="9"/>
    <n v="40"/>
    <n v="5"/>
    <x v="24"/>
    <x v="18"/>
    <s v="cashloan"/>
    <n v="4576410000"/>
  </r>
  <r>
    <x v="638"/>
    <x v="1"/>
    <x v="9"/>
    <n v="41"/>
    <n v="6"/>
    <x v="3"/>
    <x v="3"/>
    <s v="cashloan"/>
    <n v="0"/>
  </r>
  <r>
    <x v="638"/>
    <x v="1"/>
    <x v="9"/>
    <n v="41"/>
    <n v="6"/>
    <x v="11"/>
    <x v="10"/>
    <s v="paylater"/>
    <n v="427333920"/>
  </r>
  <r>
    <x v="638"/>
    <x v="1"/>
    <x v="9"/>
    <n v="41"/>
    <n v="6"/>
    <x v="12"/>
    <x v="11"/>
    <s v="cashloan"/>
    <n v="18221070000"/>
  </r>
  <r>
    <x v="638"/>
    <x v="1"/>
    <x v="9"/>
    <n v="41"/>
    <n v="6"/>
    <x v="5"/>
    <x v="5"/>
    <s v="overdraft"/>
    <n v="3097890504"/>
  </r>
  <r>
    <x v="638"/>
    <x v="1"/>
    <x v="9"/>
    <n v="41"/>
    <n v="6"/>
    <x v="27"/>
    <x v="19"/>
    <s v="payday"/>
    <n v="8674344000"/>
  </r>
  <r>
    <x v="638"/>
    <x v="1"/>
    <x v="9"/>
    <n v="41"/>
    <n v="6"/>
    <x v="15"/>
    <x v="14"/>
    <s v="paylater"/>
    <n v="58503911"/>
  </r>
  <r>
    <x v="638"/>
    <x v="1"/>
    <x v="9"/>
    <n v="41"/>
    <n v="6"/>
    <x v="14"/>
    <x v="13"/>
    <s v="cashloan"/>
    <n v="3918050000"/>
  </r>
  <r>
    <x v="638"/>
    <x v="1"/>
    <x v="9"/>
    <n v="41"/>
    <n v="6"/>
    <x v="23"/>
    <x v="17"/>
    <s v="paylater"/>
    <n v="26777000"/>
  </r>
  <r>
    <x v="638"/>
    <x v="1"/>
    <x v="9"/>
    <n v="41"/>
    <n v="6"/>
    <x v="28"/>
    <x v="17"/>
    <s v="paylater"/>
    <n v="651295000"/>
  </r>
  <r>
    <x v="638"/>
    <x v="1"/>
    <x v="9"/>
    <n v="41"/>
    <n v="6"/>
    <x v="8"/>
    <x v="8"/>
    <s v="cashloan"/>
    <n v="0"/>
  </r>
  <r>
    <x v="638"/>
    <x v="1"/>
    <x v="9"/>
    <n v="41"/>
    <n v="6"/>
    <x v="26"/>
    <x v="16"/>
    <s v="cashloan"/>
    <n v="237850000"/>
  </r>
  <r>
    <x v="638"/>
    <x v="1"/>
    <x v="9"/>
    <n v="41"/>
    <n v="6"/>
    <x v="2"/>
    <x v="2"/>
    <s v="cashloan"/>
    <n v="16442240000"/>
  </r>
  <r>
    <x v="638"/>
    <x v="1"/>
    <x v="9"/>
    <n v="41"/>
    <n v="6"/>
    <x v="17"/>
    <x v="9"/>
    <s v="cashloan"/>
    <n v="0"/>
  </r>
  <r>
    <x v="638"/>
    <x v="1"/>
    <x v="9"/>
    <n v="41"/>
    <n v="6"/>
    <x v="20"/>
    <x v="9"/>
    <s v="cashloan"/>
    <n v="0"/>
  </r>
  <r>
    <x v="638"/>
    <x v="1"/>
    <x v="9"/>
    <n v="41"/>
    <n v="6"/>
    <x v="21"/>
    <x v="9"/>
    <s v="cashloan"/>
    <n v="0"/>
  </r>
  <r>
    <x v="638"/>
    <x v="1"/>
    <x v="9"/>
    <n v="41"/>
    <n v="6"/>
    <x v="25"/>
    <x v="2"/>
    <s v="cashloan"/>
    <n v="0"/>
  </r>
  <r>
    <x v="638"/>
    <x v="1"/>
    <x v="9"/>
    <n v="41"/>
    <n v="6"/>
    <x v="0"/>
    <x v="0"/>
    <s v="payday"/>
    <n v="11158020000"/>
  </r>
  <r>
    <x v="638"/>
    <x v="1"/>
    <x v="9"/>
    <n v="41"/>
    <n v="6"/>
    <x v="7"/>
    <x v="7"/>
    <s v="paylater"/>
    <n v="449403829"/>
  </r>
  <r>
    <x v="638"/>
    <x v="1"/>
    <x v="9"/>
    <n v="41"/>
    <n v="6"/>
    <x v="1"/>
    <x v="1"/>
    <s v="cashloan"/>
    <n v="37800000"/>
  </r>
  <r>
    <x v="638"/>
    <x v="1"/>
    <x v="9"/>
    <n v="41"/>
    <n v="6"/>
    <x v="6"/>
    <x v="6"/>
    <s v="payday"/>
    <n v="54000000"/>
  </r>
  <r>
    <x v="638"/>
    <x v="1"/>
    <x v="9"/>
    <n v="41"/>
    <n v="6"/>
    <x v="18"/>
    <x v="15"/>
    <s v="cashloan"/>
    <n v="698720000"/>
  </r>
  <r>
    <x v="638"/>
    <x v="1"/>
    <x v="9"/>
    <n v="41"/>
    <n v="6"/>
    <x v="29"/>
    <x v="20"/>
    <s v="payday"/>
    <n v="250560000"/>
  </r>
  <r>
    <x v="638"/>
    <x v="1"/>
    <x v="9"/>
    <n v="41"/>
    <n v="6"/>
    <x v="19"/>
    <x v="12"/>
    <s v="paylater"/>
    <n v="823132949"/>
  </r>
  <r>
    <x v="638"/>
    <x v="1"/>
    <x v="9"/>
    <n v="41"/>
    <n v="6"/>
    <x v="24"/>
    <x v="18"/>
    <s v="cashloan"/>
    <n v="5601680000"/>
  </r>
  <r>
    <x v="639"/>
    <x v="1"/>
    <x v="9"/>
    <n v="41"/>
    <n v="7"/>
    <x v="3"/>
    <x v="3"/>
    <s v="cashloan"/>
    <n v="0"/>
  </r>
  <r>
    <x v="639"/>
    <x v="1"/>
    <x v="9"/>
    <n v="41"/>
    <n v="7"/>
    <x v="11"/>
    <x v="10"/>
    <s v="paylater"/>
    <n v="361899704"/>
  </r>
  <r>
    <x v="639"/>
    <x v="1"/>
    <x v="9"/>
    <n v="41"/>
    <n v="7"/>
    <x v="12"/>
    <x v="11"/>
    <s v="cashloan"/>
    <n v="16477900000"/>
  </r>
  <r>
    <x v="639"/>
    <x v="1"/>
    <x v="9"/>
    <n v="41"/>
    <n v="7"/>
    <x v="5"/>
    <x v="5"/>
    <s v="overdraft"/>
    <n v="2558351192"/>
  </r>
  <r>
    <x v="639"/>
    <x v="1"/>
    <x v="9"/>
    <n v="41"/>
    <n v="7"/>
    <x v="27"/>
    <x v="19"/>
    <s v="payday"/>
    <n v="8253576000"/>
  </r>
  <r>
    <x v="639"/>
    <x v="1"/>
    <x v="9"/>
    <n v="41"/>
    <n v="7"/>
    <x v="15"/>
    <x v="14"/>
    <s v="paylater"/>
    <n v="49361549"/>
  </r>
  <r>
    <x v="639"/>
    <x v="1"/>
    <x v="9"/>
    <n v="41"/>
    <n v="7"/>
    <x v="14"/>
    <x v="13"/>
    <s v="cashloan"/>
    <n v="3446210000"/>
  </r>
  <r>
    <x v="639"/>
    <x v="1"/>
    <x v="9"/>
    <n v="41"/>
    <n v="7"/>
    <x v="23"/>
    <x v="17"/>
    <s v="paylater"/>
    <n v="7930000"/>
  </r>
  <r>
    <x v="639"/>
    <x v="1"/>
    <x v="9"/>
    <n v="41"/>
    <n v="7"/>
    <x v="28"/>
    <x v="17"/>
    <s v="paylater"/>
    <n v="686173000"/>
  </r>
  <r>
    <x v="639"/>
    <x v="1"/>
    <x v="9"/>
    <n v="41"/>
    <n v="7"/>
    <x v="8"/>
    <x v="8"/>
    <s v="cashloan"/>
    <n v="0"/>
  </r>
  <r>
    <x v="639"/>
    <x v="1"/>
    <x v="9"/>
    <n v="41"/>
    <n v="7"/>
    <x v="26"/>
    <x v="16"/>
    <s v="cashloan"/>
    <n v="167500000"/>
  </r>
  <r>
    <x v="639"/>
    <x v="1"/>
    <x v="9"/>
    <n v="41"/>
    <n v="7"/>
    <x v="2"/>
    <x v="2"/>
    <s v="cashloan"/>
    <n v="15264610000"/>
  </r>
  <r>
    <x v="639"/>
    <x v="1"/>
    <x v="9"/>
    <n v="41"/>
    <n v="7"/>
    <x v="17"/>
    <x v="9"/>
    <s v="cashloan"/>
    <n v="0"/>
  </r>
  <r>
    <x v="639"/>
    <x v="1"/>
    <x v="9"/>
    <n v="41"/>
    <n v="7"/>
    <x v="20"/>
    <x v="9"/>
    <s v="cashloan"/>
    <n v="0"/>
  </r>
  <r>
    <x v="639"/>
    <x v="1"/>
    <x v="9"/>
    <n v="41"/>
    <n v="7"/>
    <x v="21"/>
    <x v="9"/>
    <s v="cashloan"/>
    <n v="0"/>
  </r>
  <r>
    <x v="639"/>
    <x v="1"/>
    <x v="9"/>
    <n v="41"/>
    <n v="7"/>
    <x v="25"/>
    <x v="2"/>
    <s v="cashloan"/>
    <n v="18000000"/>
  </r>
  <r>
    <x v="639"/>
    <x v="1"/>
    <x v="9"/>
    <n v="41"/>
    <n v="7"/>
    <x v="0"/>
    <x v="0"/>
    <s v="payday"/>
    <n v="10362384000"/>
  </r>
  <r>
    <x v="639"/>
    <x v="1"/>
    <x v="9"/>
    <n v="41"/>
    <n v="7"/>
    <x v="7"/>
    <x v="7"/>
    <s v="paylater"/>
    <n v="391843592"/>
  </r>
  <r>
    <x v="639"/>
    <x v="1"/>
    <x v="9"/>
    <n v="41"/>
    <n v="7"/>
    <x v="1"/>
    <x v="1"/>
    <s v="cashloan"/>
    <n v="52500000"/>
  </r>
  <r>
    <x v="639"/>
    <x v="1"/>
    <x v="9"/>
    <n v="41"/>
    <n v="7"/>
    <x v="6"/>
    <x v="6"/>
    <s v="payday"/>
    <n v="52000000"/>
  </r>
  <r>
    <x v="639"/>
    <x v="1"/>
    <x v="9"/>
    <n v="41"/>
    <n v="7"/>
    <x v="18"/>
    <x v="15"/>
    <s v="cashloan"/>
    <n v="497260000"/>
  </r>
  <r>
    <x v="639"/>
    <x v="1"/>
    <x v="9"/>
    <n v="41"/>
    <n v="7"/>
    <x v="29"/>
    <x v="20"/>
    <s v="payday"/>
    <n v="205200000"/>
  </r>
  <r>
    <x v="639"/>
    <x v="1"/>
    <x v="9"/>
    <n v="41"/>
    <n v="7"/>
    <x v="19"/>
    <x v="12"/>
    <s v="paylater"/>
    <n v="515645297"/>
  </r>
  <r>
    <x v="639"/>
    <x v="1"/>
    <x v="9"/>
    <n v="41"/>
    <n v="7"/>
    <x v="24"/>
    <x v="18"/>
    <s v="cashloan"/>
    <n v="4730820000"/>
  </r>
  <r>
    <x v="640"/>
    <x v="1"/>
    <x v="9"/>
    <n v="41"/>
    <n v="8"/>
    <x v="3"/>
    <x v="3"/>
    <s v="cashloan"/>
    <n v="0"/>
  </r>
  <r>
    <x v="640"/>
    <x v="1"/>
    <x v="9"/>
    <n v="41"/>
    <n v="8"/>
    <x v="11"/>
    <x v="10"/>
    <s v="paylater"/>
    <n v="393819032"/>
  </r>
  <r>
    <x v="640"/>
    <x v="1"/>
    <x v="9"/>
    <n v="41"/>
    <n v="8"/>
    <x v="12"/>
    <x v="11"/>
    <s v="cashloan"/>
    <n v="18102810000"/>
  </r>
  <r>
    <x v="640"/>
    <x v="1"/>
    <x v="9"/>
    <n v="41"/>
    <n v="8"/>
    <x v="5"/>
    <x v="5"/>
    <s v="overdraft"/>
    <n v="2897845636"/>
  </r>
  <r>
    <x v="640"/>
    <x v="1"/>
    <x v="9"/>
    <n v="41"/>
    <n v="8"/>
    <x v="27"/>
    <x v="19"/>
    <s v="payday"/>
    <n v="8362764000"/>
  </r>
  <r>
    <x v="640"/>
    <x v="1"/>
    <x v="9"/>
    <n v="41"/>
    <n v="8"/>
    <x v="15"/>
    <x v="14"/>
    <s v="paylater"/>
    <n v="31939457"/>
  </r>
  <r>
    <x v="640"/>
    <x v="1"/>
    <x v="9"/>
    <n v="41"/>
    <n v="8"/>
    <x v="14"/>
    <x v="13"/>
    <s v="cashloan"/>
    <n v="2628360000"/>
  </r>
  <r>
    <x v="640"/>
    <x v="1"/>
    <x v="9"/>
    <n v="41"/>
    <n v="8"/>
    <x v="23"/>
    <x v="17"/>
    <s v="paylater"/>
    <n v="17738000"/>
  </r>
  <r>
    <x v="640"/>
    <x v="1"/>
    <x v="9"/>
    <n v="41"/>
    <n v="8"/>
    <x v="28"/>
    <x v="17"/>
    <s v="paylater"/>
    <n v="587017000"/>
  </r>
  <r>
    <x v="640"/>
    <x v="1"/>
    <x v="9"/>
    <n v="41"/>
    <n v="8"/>
    <x v="8"/>
    <x v="8"/>
    <s v="cashloan"/>
    <n v="0"/>
  </r>
  <r>
    <x v="640"/>
    <x v="1"/>
    <x v="9"/>
    <n v="41"/>
    <n v="8"/>
    <x v="26"/>
    <x v="16"/>
    <s v="cashloan"/>
    <n v="265500000"/>
  </r>
  <r>
    <x v="640"/>
    <x v="1"/>
    <x v="9"/>
    <n v="41"/>
    <n v="8"/>
    <x v="2"/>
    <x v="2"/>
    <s v="cashloan"/>
    <n v="15882360000"/>
  </r>
  <r>
    <x v="640"/>
    <x v="1"/>
    <x v="9"/>
    <n v="41"/>
    <n v="8"/>
    <x v="17"/>
    <x v="9"/>
    <s v="cashloan"/>
    <n v="0"/>
  </r>
  <r>
    <x v="640"/>
    <x v="1"/>
    <x v="9"/>
    <n v="41"/>
    <n v="8"/>
    <x v="20"/>
    <x v="9"/>
    <s v="cashloan"/>
    <n v="0"/>
  </r>
  <r>
    <x v="640"/>
    <x v="1"/>
    <x v="9"/>
    <n v="41"/>
    <n v="8"/>
    <x v="21"/>
    <x v="9"/>
    <s v="cashloan"/>
    <n v="0"/>
  </r>
  <r>
    <x v="640"/>
    <x v="1"/>
    <x v="9"/>
    <n v="41"/>
    <n v="8"/>
    <x v="25"/>
    <x v="2"/>
    <s v="cashloan"/>
    <n v="57000000"/>
  </r>
  <r>
    <x v="640"/>
    <x v="1"/>
    <x v="9"/>
    <n v="41"/>
    <n v="8"/>
    <x v="0"/>
    <x v="0"/>
    <s v="payday"/>
    <n v="10276308000"/>
  </r>
  <r>
    <x v="640"/>
    <x v="1"/>
    <x v="9"/>
    <n v="41"/>
    <n v="8"/>
    <x v="7"/>
    <x v="7"/>
    <s v="paylater"/>
    <n v="363932231"/>
  </r>
  <r>
    <x v="640"/>
    <x v="1"/>
    <x v="9"/>
    <n v="41"/>
    <n v="8"/>
    <x v="1"/>
    <x v="1"/>
    <s v="cashloan"/>
    <n v="52500000"/>
  </r>
  <r>
    <x v="640"/>
    <x v="1"/>
    <x v="9"/>
    <n v="41"/>
    <n v="8"/>
    <x v="6"/>
    <x v="6"/>
    <s v="payday"/>
    <n v="21000000"/>
  </r>
  <r>
    <x v="640"/>
    <x v="1"/>
    <x v="9"/>
    <n v="41"/>
    <n v="8"/>
    <x v="18"/>
    <x v="15"/>
    <s v="cashloan"/>
    <n v="753380000"/>
  </r>
  <r>
    <x v="640"/>
    <x v="1"/>
    <x v="9"/>
    <n v="41"/>
    <n v="8"/>
    <x v="29"/>
    <x v="20"/>
    <s v="payday"/>
    <n v="198720000"/>
  </r>
  <r>
    <x v="640"/>
    <x v="1"/>
    <x v="9"/>
    <n v="41"/>
    <n v="8"/>
    <x v="19"/>
    <x v="12"/>
    <s v="paylater"/>
    <n v="436032451"/>
  </r>
  <r>
    <x v="640"/>
    <x v="1"/>
    <x v="9"/>
    <n v="41"/>
    <n v="8"/>
    <x v="24"/>
    <x v="18"/>
    <s v="cashloan"/>
    <n v="4437630000"/>
  </r>
  <r>
    <x v="641"/>
    <x v="1"/>
    <x v="9"/>
    <n v="41"/>
    <n v="9"/>
    <x v="3"/>
    <x v="3"/>
    <s v="cashloan"/>
    <n v="0"/>
  </r>
  <r>
    <x v="641"/>
    <x v="1"/>
    <x v="9"/>
    <n v="41"/>
    <n v="9"/>
    <x v="11"/>
    <x v="10"/>
    <s v="paylater"/>
    <n v="319276311"/>
  </r>
  <r>
    <x v="641"/>
    <x v="1"/>
    <x v="9"/>
    <n v="41"/>
    <n v="9"/>
    <x v="12"/>
    <x v="11"/>
    <s v="cashloan"/>
    <n v="17245320000"/>
  </r>
  <r>
    <x v="641"/>
    <x v="1"/>
    <x v="9"/>
    <n v="41"/>
    <n v="9"/>
    <x v="5"/>
    <x v="5"/>
    <s v="overdraft"/>
    <n v="2955455172"/>
  </r>
  <r>
    <x v="641"/>
    <x v="1"/>
    <x v="9"/>
    <n v="41"/>
    <n v="9"/>
    <x v="27"/>
    <x v="19"/>
    <s v="payday"/>
    <n v="8826300000"/>
  </r>
  <r>
    <x v="641"/>
    <x v="1"/>
    <x v="9"/>
    <n v="41"/>
    <n v="9"/>
    <x v="15"/>
    <x v="14"/>
    <s v="paylater"/>
    <n v="29691868"/>
  </r>
  <r>
    <x v="641"/>
    <x v="1"/>
    <x v="9"/>
    <n v="41"/>
    <n v="9"/>
    <x v="14"/>
    <x v="13"/>
    <s v="cashloan"/>
    <n v="2933710000"/>
  </r>
  <r>
    <x v="641"/>
    <x v="1"/>
    <x v="9"/>
    <n v="41"/>
    <n v="9"/>
    <x v="23"/>
    <x v="17"/>
    <s v="paylater"/>
    <n v="26820000"/>
  </r>
  <r>
    <x v="641"/>
    <x v="1"/>
    <x v="9"/>
    <n v="41"/>
    <n v="9"/>
    <x v="28"/>
    <x v="17"/>
    <s v="paylater"/>
    <n v="645346650"/>
  </r>
  <r>
    <x v="641"/>
    <x v="1"/>
    <x v="9"/>
    <n v="41"/>
    <n v="9"/>
    <x v="8"/>
    <x v="8"/>
    <s v="cashloan"/>
    <n v="0"/>
  </r>
  <r>
    <x v="641"/>
    <x v="1"/>
    <x v="9"/>
    <n v="41"/>
    <n v="9"/>
    <x v="26"/>
    <x v="16"/>
    <s v="cashloan"/>
    <n v="361350000"/>
  </r>
  <r>
    <x v="641"/>
    <x v="1"/>
    <x v="9"/>
    <n v="41"/>
    <n v="9"/>
    <x v="2"/>
    <x v="2"/>
    <s v="cashloan"/>
    <n v="16271270000"/>
  </r>
  <r>
    <x v="641"/>
    <x v="1"/>
    <x v="9"/>
    <n v="41"/>
    <n v="9"/>
    <x v="17"/>
    <x v="9"/>
    <s v="cashloan"/>
    <n v="0"/>
  </r>
  <r>
    <x v="641"/>
    <x v="1"/>
    <x v="9"/>
    <n v="41"/>
    <n v="9"/>
    <x v="20"/>
    <x v="9"/>
    <s v="cashloan"/>
    <n v="0"/>
  </r>
  <r>
    <x v="641"/>
    <x v="1"/>
    <x v="9"/>
    <n v="41"/>
    <n v="9"/>
    <x v="21"/>
    <x v="9"/>
    <s v="cashloan"/>
    <n v="0"/>
  </r>
  <r>
    <x v="641"/>
    <x v="1"/>
    <x v="9"/>
    <n v="41"/>
    <n v="9"/>
    <x v="25"/>
    <x v="2"/>
    <s v="cashloan"/>
    <n v="0"/>
  </r>
  <r>
    <x v="641"/>
    <x v="1"/>
    <x v="9"/>
    <n v="41"/>
    <n v="9"/>
    <x v="0"/>
    <x v="0"/>
    <s v="payday"/>
    <n v="8928684000"/>
  </r>
  <r>
    <x v="641"/>
    <x v="1"/>
    <x v="9"/>
    <n v="41"/>
    <n v="9"/>
    <x v="7"/>
    <x v="7"/>
    <s v="paylater"/>
    <n v="368923861"/>
  </r>
  <r>
    <x v="641"/>
    <x v="1"/>
    <x v="9"/>
    <n v="41"/>
    <n v="9"/>
    <x v="1"/>
    <x v="1"/>
    <s v="cashloan"/>
    <n v="10000000"/>
  </r>
  <r>
    <x v="641"/>
    <x v="1"/>
    <x v="9"/>
    <n v="41"/>
    <n v="9"/>
    <x v="6"/>
    <x v="6"/>
    <s v="payday"/>
    <n v="87000000"/>
  </r>
  <r>
    <x v="641"/>
    <x v="1"/>
    <x v="9"/>
    <n v="41"/>
    <n v="9"/>
    <x v="18"/>
    <x v="15"/>
    <s v="cashloan"/>
    <n v="728650000"/>
  </r>
  <r>
    <x v="641"/>
    <x v="1"/>
    <x v="9"/>
    <n v="41"/>
    <n v="9"/>
    <x v="29"/>
    <x v="20"/>
    <s v="payday"/>
    <n v="205200000"/>
  </r>
  <r>
    <x v="641"/>
    <x v="1"/>
    <x v="9"/>
    <n v="41"/>
    <n v="9"/>
    <x v="19"/>
    <x v="12"/>
    <s v="paylater"/>
    <n v="429871416"/>
  </r>
  <r>
    <x v="641"/>
    <x v="1"/>
    <x v="9"/>
    <n v="41"/>
    <n v="9"/>
    <x v="24"/>
    <x v="18"/>
    <s v="cashloan"/>
    <n v="4615460000"/>
  </r>
  <r>
    <x v="642"/>
    <x v="1"/>
    <x v="9"/>
    <n v="41"/>
    <n v="10"/>
    <x v="3"/>
    <x v="3"/>
    <s v="cashloan"/>
    <n v="0"/>
  </r>
  <r>
    <x v="642"/>
    <x v="1"/>
    <x v="9"/>
    <n v="41"/>
    <n v="10"/>
    <x v="11"/>
    <x v="10"/>
    <s v="paylater"/>
    <n v="307060316"/>
  </r>
  <r>
    <x v="642"/>
    <x v="1"/>
    <x v="9"/>
    <n v="41"/>
    <n v="10"/>
    <x v="12"/>
    <x v="11"/>
    <s v="cashloan"/>
    <n v="20878080000"/>
  </r>
  <r>
    <x v="642"/>
    <x v="1"/>
    <x v="9"/>
    <n v="41"/>
    <n v="10"/>
    <x v="5"/>
    <x v="5"/>
    <s v="overdraft"/>
    <n v="3327098076"/>
  </r>
  <r>
    <x v="642"/>
    <x v="1"/>
    <x v="9"/>
    <n v="41"/>
    <n v="10"/>
    <x v="27"/>
    <x v="19"/>
    <s v="payday"/>
    <n v="11263752000"/>
  </r>
  <r>
    <x v="642"/>
    <x v="1"/>
    <x v="9"/>
    <n v="41"/>
    <n v="10"/>
    <x v="15"/>
    <x v="14"/>
    <s v="paylater"/>
    <n v="23682126"/>
  </r>
  <r>
    <x v="642"/>
    <x v="1"/>
    <x v="9"/>
    <n v="41"/>
    <n v="10"/>
    <x v="14"/>
    <x v="13"/>
    <s v="cashloan"/>
    <n v="3643860000"/>
  </r>
  <r>
    <x v="642"/>
    <x v="1"/>
    <x v="9"/>
    <n v="41"/>
    <n v="10"/>
    <x v="23"/>
    <x v="17"/>
    <s v="paylater"/>
    <n v="25834000"/>
  </r>
  <r>
    <x v="642"/>
    <x v="1"/>
    <x v="9"/>
    <n v="41"/>
    <n v="10"/>
    <x v="28"/>
    <x v="17"/>
    <s v="paylater"/>
    <n v="790936000"/>
  </r>
  <r>
    <x v="642"/>
    <x v="1"/>
    <x v="9"/>
    <n v="41"/>
    <n v="10"/>
    <x v="8"/>
    <x v="8"/>
    <s v="cashloan"/>
    <n v="0"/>
  </r>
  <r>
    <x v="642"/>
    <x v="1"/>
    <x v="9"/>
    <n v="41"/>
    <n v="10"/>
    <x v="26"/>
    <x v="16"/>
    <s v="cashloan"/>
    <n v="120250000"/>
  </r>
  <r>
    <x v="642"/>
    <x v="1"/>
    <x v="9"/>
    <n v="41"/>
    <n v="10"/>
    <x v="2"/>
    <x v="2"/>
    <s v="cashloan"/>
    <n v="16446010000"/>
  </r>
  <r>
    <x v="642"/>
    <x v="1"/>
    <x v="9"/>
    <n v="41"/>
    <n v="10"/>
    <x v="17"/>
    <x v="9"/>
    <s v="cashloan"/>
    <n v="0"/>
  </r>
  <r>
    <x v="642"/>
    <x v="1"/>
    <x v="9"/>
    <n v="41"/>
    <n v="10"/>
    <x v="20"/>
    <x v="9"/>
    <s v="cashloan"/>
    <n v="0"/>
  </r>
  <r>
    <x v="642"/>
    <x v="1"/>
    <x v="9"/>
    <n v="41"/>
    <n v="10"/>
    <x v="21"/>
    <x v="9"/>
    <s v="cashloan"/>
    <n v="0"/>
  </r>
  <r>
    <x v="642"/>
    <x v="1"/>
    <x v="9"/>
    <n v="41"/>
    <n v="10"/>
    <x v="25"/>
    <x v="2"/>
    <s v="cashloan"/>
    <n v="0"/>
  </r>
  <r>
    <x v="642"/>
    <x v="1"/>
    <x v="9"/>
    <n v="41"/>
    <n v="10"/>
    <x v="0"/>
    <x v="0"/>
    <s v="payday"/>
    <n v="14310648000"/>
  </r>
  <r>
    <x v="642"/>
    <x v="1"/>
    <x v="9"/>
    <n v="41"/>
    <n v="10"/>
    <x v="7"/>
    <x v="7"/>
    <s v="paylater"/>
    <n v="317698396"/>
  </r>
  <r>
    <x v="642"/>
    <x v="1"/>
    <x v="9"/>
    <n v="41"/>
    <n v="10"/>
    <x v="1"/>
    <x v="1"/>
    <s v="cashloan"/>
    <n v="0"/>
  </r>
  <r>
    <x v="642"/>
    <x v="1"/>
    <x v="9"/>
    <n v="41"/>
    <n v="10"/>
    <x v="6"/>
    <x v="6"/>
    <s v="payday"/>
    <n v="41000000"/>
  </r>
  <r>
    <x v="642"/>
    <x v="1"/>
    <x v="9"/>
    <n v="41"/>
    <n v="10"/>
    <x v="18"/>
    <x v="15"/>
    <s v="cashloan"/>
    <n v="807170000"/>
  </r>
  <r>
    <x v="642"/>
    <x v="1"/>
    <x v="9"/>
    <n v="41"/>
    <n v="10"/>
    <x v="29"/>
    <x v="20"/>
    <s v="payday"/>
    <n v="222480000"/>
  </r>
  <r>
    <x v="642"/>
    <x v="1"/>
    <x v="9"/>
    <n v="41"/>
    <n v="10"/>
    <x v="19"/>
    <x v="12"/>
    <s v="paylater"/>
    <n v="453848347"/>
  </r>
  <r>
    <x v="642"/>
    <x v="1"/>
    <x v="9"/>
    <n v="41"/>
    <n v="10"/>
    <x v="24"/>
    <x v="18"/>
    <s v="cashloan"/>
    <n v="4927710000"/>
  </r>
  <r>
    <x v="643"/>
    <x v="1"/>
    <x v="9"/>
    <n v="41"/>
    <n v="11"/>
    <x v="3"/>
    <x v="3"/>
    <s v="cashloan"/>
    <n v="0"/>
  </r>
  <r>
    <x v="643"/>
    <x v="1"/>
    <x v="9"/>
    <n v="41"/>
    <n v="11"/>
    <x v="11"/>
    <x v="10"/>
    <s v="paylater"/>
    <n v="340720783"/>
  </r>
  <r>
    <x v="643"/>
    <x v="1"/>
    <x v="9"/>
    <n v="41"/>
    <n v="11"/>
    <x v="12"/>
    <x v="11"/>
    <s v="cashloan"/>
    <n v="18667780000"/>
  </r>
  <r>
    <x v="643"/>
    <x v="1"/>
    <x v="9"/>
    <n v="41"/>
    <n v="11"/>
    <x v="5"/>
    <x v="5"/>
    <s v="overdraft"/>
    <n v="2309568985"/>
  </r>
  <r>
    <x v="643"/>
    <x v="1"/>
    <x v="9"/>
    <n v="41"/>
    <n v="11"/>
    <x v="27"/>
    <x v="19"/>
    <s v="payday"/>
    <n v="9232272000"/>
  </r>
  <r>
    <x v="643"/>
    <x v="1"/>
    <x v="9"/>
    <n v="41"/>
    <n v="11"/>
    <x v="15"/>
    <x v="14"/>
    <s v="paylater"/>
    <n v="39648800"/>
  </r>
  <r>
    <x v="643"/>
    <x v="1"/>
    <x v="9"/>
    <n v="41"/>
    <n v="11"/>
    <x v="14"/>
    <x v="13"/>
    <s v="cashloan"/>
    <n v="3381520000"/>
  </r>
  <r>
    <x v="643"/>
    <x v="1"/>
    <x v="9"/>
    <n v="41"/>
    <n v="11"/>
    <x v="23"/>
    <x v="17"/>
    <s v="paylater"/>
    <n v="16830000"/>
  </r>
  <r>
    <x v="643"/>
    <x v="1"/>
    <x v="9"/>
    <n v="41"/>
    <n v="11"/>
    <x v="28"/>
    <x v="17"/>
    <s v="paylater"/>
    <n v="1069123000"/>
  </r>
  <r>
    <x v="643"/>
    <x v="1"/>
    <x v="9"/>
    <n v="41"/>
    <n v="11"/>
    <x v="8"/>
    <x v="8"/>
    <s v="cashloan"/>
    <n v="0"/>
  </r>
  <r>
    <x v="643"/>
    <x v="1"/>
    <x v="9"/>
    <n v="41"/>
    <n v="11"/>
    <x v="26"/>
    <x v="16"/>
    <s v="cashloan"/>
    <n v="241500000"/>
  </r>
  <r>
    <x v="643"/>
    <x v="1"/>
    <x v="9"/>
    <n v="41"/>
    <n v="11"/>
    <x v="2"/>
    <x v="2"/>
    <s v="cashloan"/>
    <n v="15313400000"/>
  </r>
  <r>
    <x v="643"/>
    <x v="1"/>
    <x v="9"/>
    <n v="41"/>
    <n v="11"/>
    <x v="17"/>
    <x v="9"/>
    <s v="cashloan"/>
    <n v="0"/>
  </r>
  <r>
    <x v="643"/>
    <x v="1"/>
    <x v="9"/>
    <n v="41"/>
    <n v="11"/>
    <x v="20"/>
    <x v="9"/>
    <s v="cashloan"/>
    <n v="0"/>
  </r>
  <r>
    <x v="643"/>
    <x v="1"/>
    <x v="9"/>
    <n v="41"/>
    <n v="11"/>
    <x v="21"/>
    <x v="9"/>
    <s v="cashloan"/>
    <n v="0"/>
  </r>
  <r>
    <x v="643"/>
    <x v="1"/>
    <x v="9"/>
    <n v="41"/>
    <n v="11"/>
    <x v="25"/>
    <x v="2"/>
    <s v="cashloan"/>
    <n v="12000000"/>
  </r>
  <r>
    <x v="643"/>
    <x v="1"/>
    <x v="9"/>
    <n v="41"/>
    <n v="11"/>
    <x v="0"/>
    <x v="0"/>
    <s v="payday"/>
    <n v="13391676000"/>
  </r>
  <r>
    <x v="643"/>
    <x v="1"/>
    <x v="9"/>
    <n v="41"/>
    <n v="11"/>
    <x v="7"/>
    <x v="7"/>
    <s v="paylater"/>
    <n v="292225378"/>
  </r>
  <r>
    <x v="643"/>
    <x v="1"/>
    <x v="9"/>
    <n v="41"/>
    <n v="11"/>
    <x v="1"/>
    <x v="1"/>
    <s v="cashloan"/>
    <n v="10500000"/>
  </r>
  <r>
    <x v="643"/>
    <x v="1"/>
    <x v="9"/>
    <n v="41"/>
    <n v="11"/>
    <x v="6"/>
    <x v="6"/>
    <s v="payday"/>
    <n v="46000000"/>
  </r>
  <r>
    <x v="643"/>
    <x v="1"/>
    <x v="9"/>
    <n v="41"/>
    <n v="11"/>
    <x v="18"/>
    <x v="15"/>
    <s v="cashloan"/>
    <n v="683440000"/>
  </r>
  <r>
    <x v="643"/>
    <x v="1"/>
    <x v="9"/>
    <n v="41"/>
    <n v="11"/>
    <x v="29"/>
    <x v="20"/>
    <s v="payday"/>
    <n v="173880000"/>
  </r>
  <r>
    <x v="643"/>
    <x v="1"/>
    <x v="9"/>
    <n v="41"/>
    <n v="11"/>
    <x v="19"/>
    <x v="12"/>
    <s v="paylater"/>
    <n v="306121997"/>
  </r>
  <r>
    <x v="643"/>
    <x v="1"/>
    <x v="9"/>
    <n v="41"/>
    <n v="11"/>
    <x v="24"/>
    <x v="18"/>
    <s v="cashloan"/>
    <n v="3620980000"/>
  </r>
  <r>
    <x v="644"/>
    <x v="1"/>
    <x v="9"/>
    <n v="41"/>
    <n v="12"/>
    <x v="3"/>
    <x v="3"/>
    <s v="cashloan"/>
    <n v="0"/>
  </r>
  <r>
    <x v="644"/>
    <x v="1"/>
    <x v="9"/>
    <n v="41"/>
    <n v="12"/>
    <x v="11"/>
    <x v="10"/>
    <s v="paylater"/>
    <n v="330616115"/>
  </r>
  <r>
    <x v="644"/>
    <x v="1"/>
    <x v="9"/>
    <n v="41"/>
    <n v="12"/>
    <x v="12"/>
    <x v="11"/>
    <s v="cashloan"/>
    <n v="14904150000"/>
  </r>
  <r>
    <x v="644"/>
    <x v="1"/>
    <x v="9"/>
    <n v="41"/>
    <n v="12"/>
    <x v="5"/>
    <x v="5"/>
    <s v="overdraft"/>
    <n v="2078176771"/>
  </r>
  <r>
    <x v="644"/>
    <x v="1"/>
    <x v="9"/>
    <n v="41"/>
    <n v="12"/>
    <x v="27"/>
    <x v="19"/>
    <s v="payday"/>
    <n v="8355312000"/>
  </r>
  <r>
    <x v="644"/>
    <x v="1"/>
    <x v="9"/>
    <n v="41"/>
    <n v="12"/>
    <x v="15"/>
    <x v="14"/>
    <s v="paylater"/>
    <n v="13876619"/>
  </r>
  <r>
    <x v="644"/>
    <x v="1"/>
    <x v="9"/>
    <n v="41"/>
    <n v="12"/>
    <x v="14"/>
    <x v="13"/>
    <s v="cashloan"/>
    <n v="3615340000"/>
  </r>
  <r>
    <x v="644"/>
    <x v="1"/>
    <x v="9"/>
    <n v="41"/>
    <n v="12"/>
    <x v="23"/>
    <x v="17"/>
    <s v="paylater"/>
    <n v="6926000"/>
  </r>
  <r>
    <x v="644"/>
    <x v="1"/>
    <x v="9"/>
    <n v="41"/>
    <n v="12"/>
    <x v="28"/>
    <x v="17"/>
    <s v="paylater"/>
    <n v="902088000"/>
  </r>
  <r>
    <x v="644"/>
    <x v="1"/>
    <x v="9"/>
    <n v="41"/>
    <n v="12"/>
    <x v="8"/>
    <x v="8"/>
    <s v="cashloan"/>
    <n v="0"/>
  </r>
  <r>
    <x v="644"/>
    <x v="1"/>
    <x v="9"/>
    <n v="41"/>
    <n v="12"/>
    <x v="26"/>
    <x v="16"/>
    <s v="cashloan"/>
    <n v="105000000"/>
  </r>
  <r>
    <x v="644"/>
    <x v="1"/>
    <x v="9"/>
    <n v="41"/>
    <n v="12"/>
    <x v="2"/>
    <x v="2"/>
    <s v="cashloan"/>
    <n v="14712640000"/>
  </r>
  <r>
    <x v="644"/>
    <x v="1"/>
    <x v="9"/>
    <n v="41"/>
    <n v="12"/>
    <x v="17"/>
    <x v="9"/>
    <s v="cashloan"/>
    <n v="0"/>
  </r>
  <r>
    <x v="644"/>
    <x v="1"/>
    <x v="9"/>
    <n v="41"/>
    <n v="12"/>
    <x v="20"/>
    <x v="9"/>
    <s v="cashloan"/>
    <n v="0"/>
  </r>
  <r>
    <x v="644"/>
    <x v="1"/>
    <x v="9"/>
    <n v="41"/>
    <n v="12"/>
    <x v="21"/>
    <x v="9"/>
    <s v="cashloan"/>
    <n v="0"/>
  </r>
  <r>
    <x v="644"/>
    <x v="1"/>
    <x v="9"/>
    <n v="41"/>
    <n v="12"/>
    <x v="25"/>
    <x v="2"/>
    <s v="cashloan"/>
    <n v="5000000"/>
  </r>
  <r>
    <x v="644"/>
    <x v="1"/>
    <x v="9"/>
    <n v="41"/>
    <n v="12"/>
    <x v="0"/>
    <x v="0"/>
    <s v="payday"/>
    <n v="11218176000"/>
  </r>
  <r>
    <x v="644"/>
    <x v="1"/>
    <x v="9"/>
    <n v="41"/>
    <n v="12"/>
    <x v="7"/>
    <x v="7"/>
    <s v="paylater"/>
    <n v="223020371"/>
  </r>
  <r>
    <x v="644"/>
    <x v="1"/>
    <x v="9"/>
    <n v="41"/>
    <n v="12"/>
    <x v="1"/>
    <x v="1"/>
    <s v="cashloan"/>
    <n v="105000000"/>
  </r>
  <r>
    <x v="644"/>
    <x v="1"/>
    <x v="9"/>
    <n v="41"/>
    <n v="12"/>
    <x v="6"/>
    <x v="6"/>
    <s v="payday"/>
    <n v="14000000"/>
  </r>
  <r>
    <x v="644"/>
    <x v="1"/>
    <x v="9"/>
    <n v="41"/>
    <n v="12"/>
    <x v="18"/>
    <x v="15"/>
    <s v="cashloan"/>
    <n v="516250000"/>
  </r>
  <r>
    <x v="644"/>
    <x v="1"/>
    <x v="9"/>
    <n v="41"/>
    <n v="12"/>
    <x v="29"/>
    <x v="20"/>
    <s v="payday"/>
    <n v="178200000"/>
  </r>
  <r>
    <x v="644"/>
    <x v="1"/>
    <x v="9"/>
    <n v="41"/>
    <n v="12"/>
    <x v="19"/>
    <x v="12"/>
    <s v="paylater"/>
    <n v="264768521"/>
  </r>
  <r>
    <x v="644"/>
    <x v="1"/>
    <x v="9"/>
    <n v="41"/>
    <n v="12"/>
    <x v="24"/>
    <x v="18"/>
    <s v="cashloan"/>
    <n v="4203870000"/>
  </r>
  <r>
    <x v="645"/>
    <x v="1"/>
    <x v="9"/>
    <n v="42"/>
    <n v="13"/>
    <x v="3"/>
    <x v="3"/>
    <s v="cashloan"/>
    <n v="0"/>
  </r>
  <r>
    <x v="645"/>
    <x v="1"/>
    <x v="9"/>
    <n v="42"/>
    <n v="13"/>
    <x v="11"/>
    <x v="10"/>
    <s v="paylater"/>
    <n v="294533566"/>
  </r>
  <r>
    <x v="645"/>
    <x v="1"/>
    <x v="9"/>
    <n v="42"/>
    <n v="13"/>
    <x v="12"/>
    <x v="11"/>
    <s v="cashloan"/>
    <n v="17791240000"/>
  </r>
  <r>
    <x v="645"/>
    <x v="1"/>
    <x v="9"/>
    <n v="42"/>
    <n v="13"/>
    <x v="5"/>
    <x v="5"/>
    <s v="overdraft"/>
    <n v="2889618786"/>
  </r>
  <r>
    <x v="645"/>
    <x v="1"/>
    <x v="9"/>
    <n v="42"/>
    <n v="13"/>
    <x v="27"/>
    <x v="19"/>
    <s v="payday"/>
    <n v="9071892000"/>
  </r>
  <r>
    <x v="645"/>
    <x v="1"/>
    <x v="9"/>
    <n v="42"/>
    <n v="13"/>
    <x v="15"/>
    <x v="14"/>
    <s v="paylater"/>
    <n v="16749211"/>
  </r>
  <r>
    <x v="645"/>
    <x v="1"/>
    <x v="9"/>
    <n v="42"/>
    <n v="13"/>
    <x v="14"/>
    <x v="13"/>
    <s v="cashloan"/>
    <n v="3698450000"/>
  </r>
  <r>
    <x v="645"/>
    <x v="1"/>
    <x v="9"/>
    <n v="42"/>
    <n v="13"/>
    <x v="23"/>
    <x v="17"/>
    <s v="paylater"/>
    <n v="26733000"/>
  </r>
  <r>
    <x v="645"/>
    <x v="1"/>
    <x v="9"/>
    <n v="42"/>
    <n v="13"/>
    <x v="28"/>
    <x v="17"/>
    <s v="paylater"/>
    <n v="675400000"/>
  </r>
  <r>
    <x v="645"/>
    <x v="1"/>
    <x v="9"/>
    <n v="42"/>
    <n v="13"/>
    <x v="8"/>
    <x v="8"/>
    <s v="cashloan"/>
    <n v="0"/>
  </r>
  <r>
    <x v="645"/>
    <x v="1"/>
    <x v="9"/>
    <n v="42"/>
    <n v="13"/>
    <x v="26"/>
    <x v="16"/>
    <s v="cashloan"/>
    <n v="214250000"/>
  </r>
  <r>
    <x v="645"/>
    <x v="1"/>
    <x v="9"/>
    <n v="42"/>
    <n v="13"/>
    <x v="2"/>
    <x v="2"/>
    <s v="cashloan"/>
    <n v="15957370000"/>
  </r>
  <r>
    <x v="645"/>
    <x v="1"/>
    <x v="9"/>
    <n v="42"/>
    <n v="13"/>
    <x v="17"/>
    <x v="9"/>
    <s v="cashloan"/>
    <n v="0"/>
  </r>
  <r>
    <x v="645"/>
    <x v="1"/>
    <x v="9"/>
    <n v="42"/>
    <n v="13"/>
    <x v="20"/>
    <x v="9"/>
    <s v="cashloan"/>
    <n v="0"/>
  </r>
  <r>
    <x v="645"/>
    <x v="1"/>
    <x v="9"/>
    <n v="42"/>
    <n v="13"/>
    <x v="21"/>
    <x v="9"/>
    <s v="cashloan"/>
    <n v="0"/>
  </r>
  <r>
    <x v="645"/>
    <x v="1"/>
    <x v="9"/>
    <n v="42"/>
    <n v="13"/>
    <x v="25"/>
    <x v="2"/>
    <s v="cashloan"/>
    <n v="0"/>
  </r>
  <r>
    <x v="645"/>
    <x v="1"/>
    <x v="9"/>
    <n v="42"/>
    <n v="13"/>
    <x v="0"/>
    <x v="0"/>
    <s v="payday"/>
    <n v="11594448000"/>
  </r>
  <r>
    <x v="645"/>
    <x v="1"/>
    <x v="9"/>
    <n v="42"/>
    <n v="13"/>
    <x v="7"/>
    <x v="7"/>
    <s v="paylater"/>
    <n v="232575429"/>
  </r>
  <r>
    <x v="645"/>
    <x v="1"/>
    <x v="9"/>
    <n v="42"/>
    <n v="13"/>
    <x v="1"/>
    <x v="1"/>
    <s v="cashloan"/>
    <n v="41000000"/>
  </r>
  <r>
    <x v="645"/>
    <x v="1"/>
    <x v="9"/>
    <n v="42"/>
    <n v="13"/>
    <x v="6"/>
    <x v="6"/>
    <s v="payday"/>
    <n v="31000000"/>
  </r>
  <r>
    <x v="645"/>
    <x v="1"/>
    <x v="9"/>
    <n v="42"/>
    <n v="13"/>
    <x v="18"/>
    <x v="15"/>
    <s v="cashloan"/>
    <n v="432080000"/>
  </r>
  <r>
    <x v="645"/>
    <x v="1"/>
    <x v="9"/>
    <n v="42"/>
    <n v="13"/>
    <x v="29"/>
    <x v="20"/>
    <s v="payday"/>
    <n v="154440000"/>
  </r>
  <r>
    <x v="645"/>
    <x v="1"/>
    <x v="9"/>
    <n v="42"/>
    <n v="13"/>
    <x v="19"/>
    <x v="12"/>
    <s v="paylater"/>
    <n v="326435642"/>
  </r>
  <r>
    <x v="645"/>
    <x v="1"/>
    <x v="9"/>
    <n v="42"/>
    <n v="13"/>
    <x v="24"/>
    <x v="18"/>
    <s v="cashloan"/>
    <n v="3955990000"/>
  </r>
  <r>
    <x v="646"/>
    <x v="1"/>
    <x v="9"/>
    <n v="42"/>
    <n v="14"/>
    <x v="3"/>
    <x v="3"/>
    <s v="cashloan"/>
    <n v="0"/>
  </r>
  <r>
    <x v="646"/>
    <x v="1"/>
    <x v="9"/>
    <n v="42"/>
    <n v="14"/>
    <x v="11"/>
    <x v="10"/>
    <s v="paylater"/>
    <n v="298061286"/>
  </r>
  <r>
    <x v="646"/>
    <x v="1"/>
    <x v="9"/>
    <n v="42"/>
    <n v="14"/>
    <x v="12"/>
    <x v="11"/>
    <s v="cashloan"/>
    <n v="18147530000"/>
  </r>
  <r>
    <x v="646"/>
    <x v="1"/>
    <x v="9"/>
    <n v="42"/>
    <n v="14"/>
    <x v="5"/>
    <x v="5"/>
    <s v="overdraft"/>
    <n v="2395117142"/>
  </r>
  <r>
    <x v="646"/>
    <x v="1"/>
    <x v="9"/>
    <n v="42"/>
    <n v="14"/>
    <x v="27"/>
    <x v="19"/>
    <s v="payday"/>
    <n v="9351180000"/>
  </r>
  <r>
    <x v="646"/>
    <x v="1"/>
    <x v="9"/>
    <n v="42"/>
    <n v="14"/>
    <x v="15"/>
    <x v="14"/>
    <s v="paylater"/>
    <n v="15565466"/>
  </r>
  <r>
    <x v="646"/>
    <x v="1"/>
    <x v="9"/>
    <n v="42"/>
    <n v="14"/>
    <x v="14"/>
    <x v="13"/>
    <s v="cashloan"/>
    <n v="4111950000"/>
  </r>
  <r>
    <x v="646"/>
    <x v="1"/>
    <x v="9"/>
    <n v="42"/>
    <n v="14"/>
    <x v="23"/>
    <x v="17"/>
    <s v="paylater"/>
    <n v="20510000"/>
  </r>
  <r>
    <x v="646"/>
    <x v="1"/>
    <x v="9"/>
    <n v="42"/>
    <n v="14"/>
    <x v="28"/>
    <x v="17"/>
    <s v="paylater"/>
    <n v="663588000"/>
  </r>
  <r>
    <x v="646"/>
    <x v="1"/>
    <x v="9"/>
    <n v="42"/>
    <n v="14"/>
    <x v="8"/>
    <x v="8"/>
    <s v="cashloan"/>
    <n v="0"/>
  </r>
  <r>
    <x v="646"/>
    <x v="1"/>
    <x v="9"/>
    <n v="42"/>
    <n v="14"/>
    <x v="26"/>
    <x v="16"/>
    <s v="cashloan"/>
    <n v="157500000"/>
  </r>
  <r>
    <x v="646"/>
    <x v="1"/>
    <x v="9"/>
    <n v="42"/>
    <n v="14"/>
    <x v="2"/>
    <x v="2"/>
    <s v="cashloan"/>
    <n v="14858680000"/>
  </r>
  <r>
    <x v="646"/>
    <x v="1"/>
    <x v="9"/>
    <n v="42"/>
    <n v="14"/>
    <x v="17"/>
    <x v="9"/>
    <s v="cashloan"/>
    <n v="0"/>
  </r>
  <r>
    <x v="646"/>
    <x v="1"/>
    <x v="9"/>
    <n v="42"/>
    <n v="14"/>
    <x v="20"/>
    <x v="9"/>
    <s v="cashloan"/>
    <n v="0"/>
  </r>
  <r>
    <x v="646"/>
    <x v="1"/>
    <x v="9"/>
    <n v="42"/>
    <n v="14"/>
    <x v="21"/>
    <x v="9"/>
    <s v="cashloan"/>
    <n v="0"/>
  </r>
  <r>
    <x v="646"/>
    <x v="1"/>
    <x v="9"/>
    <n v="42"/>
    <n v="14"/>
    <x v="25"/>
    <x v="2"/>
    <s v="cashloan"/>
    <n v="17120000"/>
  </r>
  <r>
    <x v="646"/>
    <x v="1"/>
    <x v="9"/>
    <n v="42"/>
    <n v="14"/>
    <x v="0"/>
    <x v="0"/>
    <s v="payday"/>
    <n v="11063304000"/>
  </r>
  <r>
    <x v="646"/>
    <x v="1"/>
    <x v="9"/>
    <n v="42"/>
    <n v="14"/>
    <x v="7"/>
    <x v="7"/>
    <s v="paylater"/>
    <n v="294058306"/>
  </r>
  <r>
    <x v="646"/>
    <x v="1"/>
    <x v="9"/>
    <n v="42"/>
    <n v="14"/>
    <x v="1"/>
    <x v="1"/>
    <s v="cashloan"/>
    <n v="41000000"/>
  </r>
  <r>
    <x v="646"/>
    <x v="1"/>
    <x v="9"/>
    <n v="42"/>
    <n v="14"/>
    <x v="6"/>
    <x v="6"/>
    <s v="payday"/>
    <n v="37000000"/>
  </r>
  <r>
    <x v="646"/>
    <x v="1"/>
    <x v="9"/>
    <n v="42"/>
    <n v="14"/>
    <x v="18"/>
    <x v="15"/>
    <s v="cashloan"/>
    <n v="219730000"/>
  </r>
  <r>
    <x v="646"/>
    <x v="1"/>
    <x v="9"/>
    <n v="42"/>
    <n v="14"/>
    <x v="29"/>
    <x v="20"/>
    <s v="payday"/>
    <n v="219240000"/>
  </r>
  <r>
    <x v="646"/>
    <x v="1"/>
    <x v="9"/>
    <n v="42"/>
    <n v="14"/>
    <x v="19"/>
    <x v="12"/>
    <s v="paylater"/>
    <n v="380170391"/>
  </r>
  <r>
    <x v="646"/>
    <x v="1"/>
    <x v="9"/>
    <n v="42"/>
    <n v="14"/>
    <x v="24"/>
    <x v="18"/>
    <s v="cashloan"/>
    <n v="4794470000"/>
  </r>
  <r>
    <x v="647"/>
    <x v="1"/>
    <x v="9"/>
    <n v="42"/>
    <n v="15"/>
    <x v="3"/>
    <x v="3"/>
    <s v="cashloan"/>
    <n v="0"/>
  </r>
  <r>
    <x v="647"/>
    <x v="1"/>
    <x v="9"/>
    <n v="42"/>
    <n v="15"/>
    <x v="11"/>
    <x v="10"/>
    <s v="paylater"/>
    <n v="279783114"/>
  </r>
  <r>
    <x v="647"/>
    <x v="1"/>
    <x v="9"/>
    <n v="42"/>
    <n v="15"/>
    <x v="12"/>
    <x v="11"/>
    <s v="cashloan"/>
    <n v="19090840000"/>
  </r>
  <r>
    <x v="647"/>
    <x v="1"/>
    <x v="9"/>
    <n v="42"/>
    <n v="15"/>
    <x v="5"/>
    <x v="5"/>
    <s v="overdraft"/>
    <n v="2854395418"/>
  </r>
  <r>
    <x v="647"/>
    <x v="1"/>
    <x v="9"/>
    <n v="42"/>
    <n v="15"/>
    <x v="27"/>
    <x v="19"/>
    <s v="payday"/>
    <n v="9970668000"/>
  </r>
  <r>
    <x v="647"/>
    <x v="1"/>
    <x v="9"/>
    <n v="42"/>
    <n v="15"/>
    <x v="15"/>
    <x v="14"/>
    <s v="paylater"/>
    <n v="19020080"/>
  </r>
  <r>
    <x v="647"/>
    <x v="1"/>
    <x v="9"/>
    <n v="42"/>
    <n v="15"/>
    <x v="14"/>
    <x v="13"/>
    <s v="cashloan"/>
    <n v="3776730000"/>
  </r>
  <r>
    <x v="647"/>
    <x v="1"/>
    <x v="9"/>
    <n v="42"/>
    <n v="15"/>
    <x v="23"/>
    <x v="17"/>
    <s v="paylater"/>
    <n v="9557000"/>
  </r>
  <r>
    <x v="647"/>
    <x v="1"/>
    <x v="9"/>
    <n v="42"/>
    <n v="15"/>
    <x v="28"/>
    <x v="17"/>
    <s v="paylater"/>
    <n v="717796000"/>
  </r>
  <r>
    <x v="647"/>
    <x v="1"/>
    <x v="9"/>
    <n v="42"/>
    <n v="15"/>
    <x v="8"/>
    <x v="8"/>
    <s v="cashloan"/>
    <n v="0"/>
  </r>
  <r>
    <x v="647"/>
    <x v="1"/>
    <x v="9"/>
    <n v="42"/>
    <n v="15"/>
    <x v="26"/>
    <x v="16"/>
    <s v="cashloan"/>
    <n v="190250000"/>
  </r>
  <r>
    <x v="647"/>
    <x v="1"/>
    <x v="9"/>
    <n v="42"/>
    <n v="15"/>
    <x v="2"/>
    <x v="2"/>
    <s v="cashloan"/>
    <n v="14610860000"/>
  </r>
  <r>
    <x v="647"/>
    <x v="1"/>
    <x v="9"/>
    <n v="42"/>
    <n v="15"/>
    <x v="17"/>
    <x v="9"/>
    <s v="cashloan"/>
    <n v="0"/>
  </r>
  <r>
    <x v="647"/>
    <x v="1"/>
    <x v="9"/>
    <n v="42"/>
    <n v="15"/>
    <x v="20"/>
    <x v="9"/>
    <s v="cashloan"/>
    <n v="0"/>
  </r>
  <r>
    <x v="647"/>
    <x v="1"/>
    <x v="9"/>
    <n v="42"/>
    <n v="15"/>
    <x v="21"/>
    <x v="9"/>
    <s v="cashloan"/>
    <n v="0"/>
  </r>
  <r>
    <x v="647"/>
    <x v="1"/>
    <x v="9"/>
    <n v="42"/>
    <n v="15"/>
    <x v="25"/>
    <x v="2"/>
    <s v="cashloan"/>
    <n v="26750000"/>
  </r>
  <r>
    <x v="647"/>
    <x v="1"/>
    <x v="9"/>
    <n v="42"/>
    <n v="15"/>
    <x v="0"/>
    <x v="0"/>
    <s v="payday"/>
    <n v="12451752000"/>
  </r>
  <r>
    <x v="647"/>
    <x v="1"/>
    <x v="9"/>
    <n v="42"/>
    <n v="15"/>
    <x v="7"/>
    <x v="7"/>
    <s v="paylater"/>
    <n v="227598451"/>
  </r>
  <r>
    <x v="647"/>
    <x v="1"/>
    <x v="9"/>
    <n v="42"/>
    <n v="15"/>
    <x v="1"/>
    <x v="1"/>
    <s v="cashloan"/>
    <n v="14700000"/>
  </r>
  <r>
    <x v="647"/>
    <x v="1"/>
    <x v="9"/>
    <n v="42"/>
    <n v="15"/>
    <x v="6"/>
    <x v="6"/>
    <s v="payday"/>
    <n v="41000000"/>
  </r>
  <r>
    <x v="647"/>
    <x v="1"/>
    <x v="9"/>
    <n v="42"/>
    <n v="15"/>
    <x v="18"/>
    <x v="15"/>
    <s v="cashloan"/>
    <n v="425220000"/>
  </r>
  <r>
    <x v="647"/>
    <x v="1"/>
    <x v="9"/>
    <n v="42"/>
    <n v="15"/>
    <x v="29"/>
    <x v="20"/>
    <s v="payday"/>
    <n v="209520000"/>
  </r>
  <r>
    <x v="647"/>
    <x v="1"/>
    <x v="9"/>
    <n v="42"/>
    <n v="15"/>
    <x v="19"/>
    <x v="12"/>
    <s v="paylater"/>
    <n v="378759729"/>
  </r>
  <r>
    <x v="647"/>
    <x v="1"/>
    <x v="9"/>
    <n v="42"/>
    <n v="15"/>
    <x v="24"/>
    <x v="18"/>
    <s v="cashloan"/>
    <n v="3542560000"/>
  </r>
  <r>
    <x v="648"/>
    <x v="1"/>
    <x v="9"/>
    <n v="42"/>
    <n v="16"/>
    <x v="3"/>
    <x v="3"/>
    <s v="cashloan"/>
    <n v="0"/>
  </r>
  <r>
    <x v="648"/>
    <x v="1"/>
    <x v="9"/>
    <n v="42"/>
    <n v="16"/>
    <x v="11"/>
    <x v="10"/>
    <s v="paylater"/>
    <n v="282195806"/>
  </r>
  <r>
    <x v="648"/>
    <x v="1"/>
    <x v="9"/>
    <n v="42"/>
    <n v="16"/>
    <x v="12"/>
    <x v="11"/>
    <s v="cashloan"/>
    <n v="15427000000"/>
  </r>
  <r>
    <x v="648"/>
    <x v="1"/>
    <x v="9"/>
    <n v="42"/>
    <n v="16"/>
    <x v="5"/>
    <x v="5"/>
    <s v="overdraft"/>
    <n v="2595423261"/>
  </r>
  <r>
    <x v="648"/>
    <x v="1"/>
    <x v="9"/>
    <n v="42"/>
    <n v="16"/>
    <x v="27"/>
    <x v="19"/>
    <s v="payday"/>
    <n v="9405828000"/>
  </r>
  <r>
    <x v="648"/>
    <x v="1"/>
    <x v="9"/>
    <n v="42"/>
    <n v="16"/>
    <x v="15"/>
    <x v="14"/>
    <s v="paylater"/>
    <n v="19702924"/>
  </r>
  <r>
    <x v="648"/>
    <x v="1"/>
    <x v="9"/>
    <n v="42"/>
    <n v="16"/>
    <x v="14"/>
    <x v="13"/>
    <s v="cashloan"/>
    <n v="3308500000"/>
  </r>
  <r>
    <x v="648"/>
    <x v="1"/>
    <x v="9"/>
    <n v="42"/>
    <n v="16"/>
    <x v="23"/>
    <x v="17"/>
    <s v="paylater"/>
    <n v="6938000"/>
  </r>
  <r>
    <x v="648"/>
    <x v="1"/>
    <x v="9"/>
    <n v="42"/>
    <n v="16"/>
    <x v="28"/>
    <x v="17"/>
    <s v="paylater"/>
    <n v="520766000"/>
  </r>
  <r>
    <x v="648"/>
    <x v="1"/>
    <x v="9"/>
    <n v="42"/>
    <n v="16"/>
    <x v="8"/>
    <x v="8"/>
    <s v="cashloan"/>
    <n v="0"/>
  </r>
  <r>
    <x v="648"/>
    <x v="1"/>
    <x v="9"/>
    <n v="42"/>
    <n v="16"/>
    <x v="26"/>
    <x v="16"/>
    <s v="cashloan"/>
    <n v="103500000"/>
  </r>
  <r>
    <x v="648"/>
    <x v="1"/>
    <x v="9"/>
    <n v="42"/>
    <n v="16"/>
    <x v="2"/>
    <x v="2"/>
    <s v="cashloan"/>
    <n v="15543450000"/>
  </r>
  <r>
    <x v="648"/>
    <x v="1"/>
    <x v="9"/>
    <n v="42"/>
    <n v="16"/>
    <x v="17"/>
    <x v="9"/>
    <s v="cashloan"/>
    <n v="0"/>
  </r>
  <r>
    <x v="648"/>
    <x v="1"/>
    <x v="9"/>
    <n v="42"/>
    <n v="16"/>
    <x v="20"/>
    <x v="9"/>
    <s v="cashloan"/>
    <n v="0"/>
  </r>
  <r>
    <x v="648"/>
    <x v="1"/>
    <x v="9"/>
    <n v="42"/>
    <n v="16"/>
    <x v="21"/>
    <x v="9"/>
    <s v="cashloan"/>
    <n v="0"/>
  </r>
  <r>
    <x v="648"/>
    <x v="1"/>
    <x v="9"/>
    <n v="42"/>
    <n v="16"/>
    <x v="25"/>
    <x v="2"/>
    <s v="cashloan"/>
    <n v="0"/>
  </r>
  <r>
    <x v="648"/>
    <x v="1"/>
    <x v="9"/>
    <n v="42"/>
    <n v="16"/>
    <x v="0"/>
    <x v="0"/>
    <s v="payday"/>
    <n v="10993860000"/>
  </r>
  <r>
    <x v="648"/>
    <x v="1"/>
    <x v="9"/>
    <n v="42"/>
    <n v="16"/>
    <x v="7"/>
    <x v="7"/>
    <s v="paylater"/>
    <n v="260863298"/>
  </r>
  <r>
    <x v="648"/>
    <x v="1"/>
    <x v="9"/>
    <n v="42"/>
    <n v="16"/>
    <x v="1"/>
    <x v="1"/>
    <s v="cashloan"/>
    <n v="35200000"/>
  </r>
  <r>
    <x v="648"/>
    <x v="1"/>
    <x v="9"/>
    <n v="42"/>
    <n v="16"/>
    <x v="6"/>
    <x v="6"/>
    <s v="payday"/>
    <n v="7000000"/>
  </r>
  <r>
    <x v="648"/>
    <x v="1"/>
    <x v="9"/>
    <n v="42"/>
    <n v="16"/>
    <x v="18"/>
    <x v="15"/>
    <s v="cashloan"/>
    <n v="1135990000"/>
  </r>
  <r>
    <x v="648"/>
    <x v="1"/>
    <x v="9"/>
    <n v="42"/>
    <n v="16"/>
    <x v="29"/>
    <x v="20"/>
    <s v="payday"/>
    <n v="206280000"/>
  </r>
  <r>
    <x v="648"/>
    <x v="1"/>
    <x v="9"/>
    <n v="42"/>
    <n v="16"/>
    <x v="19"/>
    <x v="12"/>
    <s v="paylater"/>
    <n v="358107648"/>
  </r>
  <r>
    <x v="648"/>
    <x v="1"/>
    <x v="9"/>
    <n v="42"/>
    <n v="16"/>
    <x v="24"/>
    <x v="18"/>
    <s v="cashloan"/>
    <n v="3873740000"/>
  </r>
  <r>
    <x v="649"/>
    <x v="1"/>
    <x v="9"/>
    <n v="42"/>
    <n v="17"/>
    <x v="3"/>
    <x v="3"/>
    <s v="cashloan"/>
    <n v="0"/>
  </r>
  <r>
    <x v="649"/>
    <x v="1"/>
    <x v="9"/>
    <n v="42"/>
    <n v="17"/>
    <x v="11"/>
    <x v="10"/>
    <s v="paylater"/>
    <n v="293151315"/>
  </r>
  <r>
    <x v="649"/>
    <x v="1"/>
    <x v="9"/>
    <n v="42"/>
    <n v="17"/>
    <x v="12"/>
    <x v="11"/>
    <s v="cashloan"/>
    <n v="16509740000"/>
  </r>
  <r>
    <x v="649"/>
    <x v="1"/>
    <x v="9"/>
    <n v="42"/>
    <n v="17"/>
    <x v="5"/>
    <x v="5"/>
    <s v="overdraft"/>
    <n v="2811762063"/>
  </r>
  <r>
    <x v="649"/>
    <x v="1"/>
    <x v="9"/>
    <n v="42"/>
    <n v="17"/>
    <x v="27"/>
    <x v="19"/>
    <s v="payday"/>
    <n v="8962272000"/>
  </r>
  <r>
    <x v="649"/>
    <x v="1"/>
    <x v="9"/>
    <n v="42"/>
    <n v="17"/>
    <x v="15"/>
    <x v="14"/>
    <s v="paylater"/>
    <n v="8812163"/>
  </r>
  <r>
    <x v="649"/>
    <x v="1"/>
    <x v="9"/>
    <n v="42"/>
    <n v="17"/>
    <x v="14"/>
    <x v="13"/>
    <s v="cashloan"/>
    <n v="2650230000"/>
  </r>
  <r>
    <x v="649"/>
    <x v="1"/>
    <x v="9"/>
    <n v="42"/>
    <n v="17"/>
    <x v="23"/>
    <x v="17"/>
    <s v="paylater"/>
    <n v="12508000"/>
  </r>
  <r>
    <x v="649"/>
    <x v="1"/>
    <x v="9"/>
    <n v="42"/>
    <n v="17"/>
    <x v="28"/>
    <x v="17"/>
    <s v="paylater"/>
    <n v="678209485"/>
  </r>
  <r>
    <x v="649"/>
    <x v="1"/>
    <x v="9"/>
    <n v="42"/>
    <n v="17"/>
    <x v="8"/>
    <x v="8"/>
    <s v="cashloan"/>
    <n v="0"/>
  </r>
  <r>
    <x v="649"/>
    <x v="1"/>
    <x v="9"/>
    <n v="42"/>
    <n v="17"/>
    <x v="26"/>
    <x v="16"/>
    <s v="cashloan"/>
    <n v="232950000"/>
  </r>
  <r>
    <x v="649"/>
    <x v="1"/>
    <x v="9"/>
    <n v="42"/>
    <n v="17"/>
    <x v="2"/>
    <x v="2"/>
    <s v="cashloan"/>
    <n v="18644480000"/>
  </r>
  <r>
    <x v="649"/>
    <x v="1"/>
    <x v="9"/>
    <n v="42"/>
    <n v="17"/>
    <x v="17"/>
    <x v="9"/>
    <s v="cashloan"/>
    <n v="0"/>
  </r>
  <r>
    <x v="649"/>
    <x v="1"/>
    <x v="9"/>
    <n v="42"/>
    <n v="17"/>
    <x v="20"/>
    <x v="9"/>
    <s v="cashloan"/>
    <n v="0"/>
  </r>
  <r>
    <x v="649"/>
    <x v="1"/>
    <x v="9"/>
    <n v="42"/>
    <n v="17"/>
    <x v="21"/>
    <x v="9"/>
    <s v="cashloan"/>
    <n v="0"/>
  </r>
  <r>
    <x v="649"/>
    <x v="1"/>
    <x v="9"/>
    <n v="42"/>
    <n v="17"/>
    <x v="25"/>
    <x v="2"/>
    <s v="cashloan"/>
    <n v="0"/>
  </r>
  <r>
    <x v="649"/>
    <x v="1"/>
    <x v="9"/>
    <n v="42"/>
    <n v="17"/>
    <x v="0"/>
    <x v="0"/>
    <s v="payday"/>
    <n v="10908216000"/>
  </r>
  <r>
    <x v="649"/>
    <x v="1"/>
    <x v="9"/>
    <n v="42"/>
    <n v="17"/>
    <x v="7"/>
    <x v="7"/>
    <s v="paylater"/>
    <n v="199015121"/>
  </r>
  <r>
    <x v="649"/>
    <x v="1"/>
    <x v="9"/>
    <n v="42"/>
    <n v="17"/>
    <x v="1"/>
    <x v="1"/>
    <s v="cashloan"/>
    <n v="30500000"/>
  </r>
  <r>
    <x v="649"/>
    <x v="1"/>
    <x v="9"/>
    <n v="42"/>
    <n v="17"/>
    <x v="6"/>
    <x v="6"/>
    <s v="payday"/>
    <n v="14000000"/>
  </r>
  <r>
    <x v="649"/>
    <x v="1"/>
    <x v="9"/>
    <n v="42"/>
    <n v="17"/>
    <x v="18"/>
    <x v="15"/>
    <s v="cashloan"/>
    <n v="858470000"/>
  </r>
  <r>
    <x v="649"/>
    <x v="1"/>
    <x v="9"/>
    <n v="42"/>
    <n v="17"/>
    <x v="29"/>
    <x v="20"/>
    <s v="payday"/>
    <n v="225720000"/>
  </r>
  <r>
    <x v="649"/>
    <x v="1"/>
    <x v="9"/>
    <n v="42"/>
    <n v="17"/>
    <x v="19"/>
    <x v="12"/>
    <s v="paylater"/>
    <n v="306713719"/>
  </r>
  <r>
    <x v="649"/>
    <x v="1"/>
    <x v="9"/>
    <n v="42"/>
    <n v="17"/>
    <x v="24"/>
    <x v="18"/>
    <s v="cashloan"/>
    <n v="4513360000"/>
  </r>
  <r>
    <x v="650"/>
    <x v="1"/>
    <x v="9"/>
    <n v="42"/>
    <n v="18"/>
    <x v="3"/>
    <x v="3"/>
    <s v="cashloan"/>
    <n v="0"/>
  </r>
  <r>
    <x v="650"/>
    <x v="1"/>
    <x v="9"/>
    <n v="42"/>
    <n v="18"/>
    <x v="11"/>
    <x v="10"/>
    <s v="paylater"/>
    <n v="276629428"/>
  </r>
  <r>
    <x v="650"/>
    <x v="1"/>
    <x v="9"/>
    <n v="42"/>
    <n v="18"/>
    <x v="12"/>
    <x v="11"/>
    <s v="cashloan"/>
    <n v="14670990000"/>
  </r>
  <r>
    <x v="650"/>
    <x v="1"/>
    <x v="9"/>
    <n v="42"/>
    <n v="18"/>
    <x v="5"/>
    <x v="5"/>
    <s v="overdraft"/>
    <n v="2164433071"/>
  </r>
  <r>
    <x v="650"/>
    <x v="1"/>
    <x v="9"/>
    <n v="42"/>
    <n v="18"/>
    <x v="27"/>
    <x v="19"/>
    <s v="payday"/>
    <n v="8384472000"/>
  </r>
  <r>
    <x v="650"/>
    <x v="1"/>
    <x v="9"/>
    <n v="42"/>
    <n v="18"/>
    <x v="15"/>
    <x v="14"/>
    <s v="paylater"/>
    <n v="8639604"/>
  </r>
  <r>
    <x v="650"/>
    <x v="1"/>
    <x v="9"/>
    <n v="42"/>
    <n v="18"/>
    <x v="14"/>
    <x v="13"/>
    <s v="cashloan"/>
    <n v="2828980000"/>
  </r>
  <r>
    <x v="650"/>
    <x v="1"/>
    <x v="9"/>
    <n v="42"/>
    <n v="18"/>
    <x v="23"/>
    <x v="17"/>
    <s v="paylater"/>
    <n v="9537000"/>
  </r>
  <r>
    <x v="650"/>
    <x v="1"/>
    <x v="9"/>
    <n v="42"/>
    <n v="18"/>
    <x v="28"/>
    <x v="17"/>
    <s v="paylater"/>
    <n v="677012000"/>
  </r>
  <r>
    <x v="650"/>
    <x v="1"/>
    <x v="9"/>
    <n v="42"/>
    <n v="18"/>
    <x v="8"/>
    <x v="8"/>
    <s v="cashloan"/>
    <n v="0"/>
  </r>
  <r>
    <x v="650"/>
    <x v="1"/>
    <x v="9"/>
    <n v="42"/>
    <n v="18"/>
    <x v="26"/>
    <x v="16"/>
    <s v="cashloan"/>
    <n v="181750000"/>
  </r>
  <r>
    <x v="650"/>
    <x v="1"/>
    <x v="9"/>
    <n v="42"/>
    <n v="18"/>
    <x v="2"/>
    <x v="2"/>
    <s v="cashloan"/>
    <n v="15969700000"/>
  </r>
  <r>
    <x v="650"/>
    <x v="1"/>
    <x v="9"/>
    <n v="42"/>
    <n v="18"/>
    <x v="17"/>
    <x v="9"/>
    <s v="cashloan"/>
    <n v="0"/>
  </r>
  <r>
    <x v="650"/>
    <x v="1"/>
    <x v="9"/>
    <n v="42"/>
    <n v="18"/>
    <x v="20"/>
    <x v="9"/>
    <s v="cashloan"/>
    <n v="0"/>
  </r>
  <r>
    <x v="650"/>
    <x v="1"/>
    <x v="9"/>
    <n v="42"/>
    <n v="18"/>
    <x v="21"/>
    <x v="9"/>
    <s v="cashloan"/>
    <n v="0"/>
  </r>
  <r>
    <x v="650"/>
    <x v="1"/>
    <x v="9"/>
    <n v="42"/>
    <n v="18"/>
    <x v="25"/>
    <x v="2"/>
    <s v="cashloan"/>
    <n v="0"/>
  </r>
  <r>
    <x v="650"/>
    <x v="1"/>
    <x v="9"/>
    <n v="42"/>
    <n v="18"/>
    <x v="0"/>
    <x v="0"/>
    <s v="payday"/>
    <n v="10441980000"/>
  </r>
  <r>
    <x v="650"/>
    <x v="1"/>
    <x v="9"/>
    <n v="42"/>
    <n v="18"/>
    <x v="7"/>
    <x v="7"/>
    <s v="paylater"/>
    <n v="192993523"/>
  </r>
  <r>
    <x v="650"/>
    <x v="1"/>
    <x v="9"/>
    <n v="42"/>
    <n v="18"/>
    <x v="1"/>
    <x v="1"/>
    <s v="cashloan"/>
    <n v="35750000"/>
  </r>
  <r>
    <x v="650"/>
    <x v="1"/>
    <x v="9"/>
    <n v="42"/>
    <n v="18"/>
    <x v="6"/>
    <x v="6"/>
    <s v="payday"/>
    <n v="24000000"/>
  </r>
  <r>
    <x v="650"/>
    <x v="1"/>
    <x v="9"/>
    <n v="42"/>
    <n v="18"/>
    <x v="18"/>
    <x v="15"/>
    <s v="cashloan"/>
    <n v="676200000"/>
  </r>
  <r>
    <x v="650"/>
    <x v="1"/>
    <x v="9"/>
    <n v="42"/>
    <n v="18"/>
    <x v="29"/>
    <x v="20"/>
    <s v="payday"/>
    <n v="177120000"/>
  </r>
  <r>
    <x v="650"/>
    <x v="1"/>
    <x v="9"/>
    <n v="42"/>
    <n v="18"/>
    <x v="19"/>
    <x v="12"/>
    <s v="paylater"/>
    <n v="342901343"/>
  </r>
  <r>
    <x v="650"/>
    <x v="1"/>
    <x v="9"/>
    <n v="42"/>
    <n v="18"/>
    <x v="24"/>
    <x v="18"/>
    <s v="cashloan"/>
    <n v="2814060000"/>
  </r>
  <r>
    <x v="651"/>
    <x v="1"/>
    <x v="9"/>
    <n v="42"/>
    <n v="19"/>
    <x v="3"/>
    <x v="3"/>
    <s v="cashloan"/>
    <n v="0"/>
  </r>
  <r>
    <x v="651"/>
    <x v="1"/>
    <x v="9"/>
    <n v="42"/>
    <n v="19"/>
    <x v="11"/>
    <x v="10"/>
    <s v="paylater"/>
    <n v="318213927"/>
  </r>
  <r>
    <x v="651"/>
    <x v="1"/>
    <x v="9"/>
    <n v="42"/>
    <n v="19"/>
    <x v="12"/>
    <x v="11"/>
    <s v="cashloan"/>
    <n v="12227500000"/>
  </r>
  <r>
    <x v="651"/>
    <x v="1"/>
    <x v="9"/>
    <n v="42"/>
    <n v="19"/>
    <x v="5"/>
    <x v="5"/>
    <s v="overdraft"/>
    <n v="1980271865"/>
  </r>
  <r>
    <x v="651"/>
    <x v="1"/>
    <x v="9"/>
    <n v="42"/>
    <n v="19"/>
    <x v="27"/>
    <x v="19"/>
    <s v="payday"/>
    <n v="7935840000"/>
  </r>
  <r>
    <x v="651"/>
    <x v="1"/>
    <x v="9"/>
    <n v="42"/>
    <n v="19"/>
    <x v="15"/>
    <x v="14"/>
    <s v="paylater"/>
    <n v="21207875"/>
  </r>
  <r>
    <x v="651"/>
    <x v="1"/>
    <x v="9"/>
    <n v="42"/>
    <n v="19"/>
    <x v="14"/>
    <x v="13"/>
    <s v="cashloan"/>
    <n v="2912420000"/>
  </r>
  <r>
    <x v="651"/>
    <x v="1"/>
    <x v="9"/>
    <n v="42"/>
    <n v="19"/>
    <x v="23"/>
    <x v="17"/>
    <s v="paylater"/>
    <n v="10066000"/>
  </r>
  <r>
    <x v="651"/>
    <x v="1"/>
    <x v="9"/>
    <n v="42"/>
    <n v="19"/>
    <x v="28"/>
    <x v="17"/>
    <s v="paylater"/>
    <n v="557524500"/>
  </r>
  <r>
    <x v="651"/>
    <x v="1"/>
    <x v="9"/>
    <n v="42"/>
    <n v="19"/>
    <x v="8"/>
    <x v="8"/>
    <s v="cashloan"/>
    <n v="0"/>
  </r>
  <r>
    <x v="651"/>
    <x v="1"/>
    <x v="9"/>
    <n v="42"/>
    <n v="19"/>
    <x v="26"/>
    <x v="16"/>
    <s v="cashloan"/>
    <n v="209000000"/>
  </r>
  <r>
    <x v="651"/>
    <x v="1"/>
    <x v="9"/>
    <n v="42"/>
    <n v="19"/>
    <x v="2"/>
    <x v="2"/>
    <s v="cashloan"/>
    <n v="14772680000"/>
  </r>
  <r>
    <x v="651"/>
    <x v="1"/>
    <x v="9"/>
    <n v="42"/>
    <n v="19"/>
    <x v="17"/>
    <x v="9"/>
    <s v="cashloan"/>
    <n v="0"/>
  </r>
  <r>
    <x v="651"/>
    <x v="1"/>
    <x v="9"/>
    <n v="42"/>
    <n v="19"/>
    <x v="20"/>
    <x v="9"/>
    <s v="cashloan"/>
    <n v="0"/>
  </r>
  <r>
    <x v="651"/>
    <x v="1"/>
    <x v="9"/>
    <n v="42"/>
    <n v="19"/>
    <x v="21"/>
    <x v="9"/>
    <s v="cashloan"/>
    <n v="0"/>
  </r>
  <r>
    <x v="651"/>
    <x v="1"/>
    <x v="9"/>
    <n v="42"/>
    <n v="19"/>
    <x v="25"/>
    <x v="2"/>
    <s v="cashloan"/>
    <n v="0"/>
  </r>
  <r>
    <x v="651"/>
    <x v="1"/>
    <x v="9"/>
    <n v="42"/>
    <n v="19"/>
    <x v="0"/>
    <x v="0"/>
    <s v="payday"/>
    <n v="9940212000"/>
  </r>
  <r>
    <x v="651"/>
    <x v="1"/>
    <x v="9"/>
    <n v="42"/>
    <n v="19"/>
    <x v="7"/>
    <x v="7"/>
    <s v="paylater"/>
    <n v="182395273"/>
  </r>
  <r>
    <x v="651"/>
    <x v="1"/>
    <x v="9"/>
    <n v="42"/>
    <n v="19"/>
    <x v="1"/>
    <x v="1"/>
    <s v="cashloan"/>
    <n v="0"/>
  </r>
  <r>
    <x v="651"/>
    <x v="1"/>
    <x v="9"/>
    <n v="42"/>
    <n v="19"/>
    <x v="6"/>
    <x v="6"/>
    <s v="payday"/>
    <n v="12000000"/>
  </r>
  <r>
    <x v="651"/>
    <x v="1"/>
    <x v="9"/>
    <n v="42"/>
    <n v="19"/>
    <x v="18"/>
    <x v="15"/>
    <s v="cashloan"/>
    <n v="710120000"/>
  </r>
  <r>
    <x v="651"/>
    <x v="1"/>
    <x v="9"/>
    <n v="42"/>
    <n v="19"/>
    <x v="29"/>
    <x v="20"/>
    <s v="payday"/>
    <n v="135000000"/>
  </r>
  <r>
    <x v="651"/>
    <x v="1"/>
    <x v="9"/>
    <n v="42"/>
    <n v="19"/>
    <x v="19"/>
    <x v="12"/>
    <s v="paylater"/>
    <n v="219984157"/>
  </r>
  <r>
    <x v="651"/>
    <x v="1"/>
    <x v="9"/>
    <n v="42"/>
    <n v="19"/>
    <x v="24"/>
    <x v="18"/>
    <s v="cashloan"/>
    <n v="2962560000"/>
  </r>
  <r>
    <x v="652"/>
    <x v="1"/>
    <x v="9"/>
    <n v="43"/>
    <n v="20"/>
    <x v="3"/>
    <x v="3"/>
    <s v="cashloan"/>
    <n v="0"/>
  </r>
  <r>
    <x v="652"/>
    <x v="1"/>
    <x v="9"/>
    <n v="43"/>
    <n v="20"/>
    <x v="11"/>
    <x v="10"/>
    <s v="paylater"/>
    <n v="408036264"/>
  </r>
  <r>
    <x v="652"/>
    <x v="1"/>
    <x v="9"/>
    <n v="43"/>
    <n v="20"/>
    <x v="12"/>
    <x v="11"/>
    <s v="cashloan"/>
    <n v="18121110000"/>
  </r>
  <r>
    <x v="652"/>
    <x v="1"/>
    <x v="9"/>
    <n v="43"/>
    <n v="20"/>
    <x v="5"/>
    <x v="5"/>
    <s v="overdraft"/>
    <n v="2973772253"/>
  </r>
  <r>
    <x v="652"/>
    <x v="1"/>
    <x v="9"/>
    <n v="43"/>
    <n v="20"/>
    <x v="27"/>
    <x v="19"/>
    <s v="payday"/>
    <n v="8439876000"/>
  </r>
  <r>
    <x v="652"/>
    <x v="1"/>
    <x v="9"/>
    <n v="43"/>
    <n v="20"/>
    <x v="15"/>
    <x v="14"/>
    <s v="paylater"/>
    <n v="10431273"/>
  </r>
  <r>
    <x v="652"/>
    <x v="1"/>
    <x v="9"/>
    <n v="43"/>
    <n v="20"/>
    <x v="14"/>
    <x v="13"/>
    <s v="cashloan"/>
    <n v="3059120000"/>
  </r>
  <r>
    <x v="652"/>
    <x v="1"/>
    <x v="9"/>
    <n v="43"/>
    <n v="20"/>
    <x v="23"/>
    <x v="17"/>
    <s v="paylater"/>
    <n v="9635000"/>
  </r>
  <r>
    <x v="652"/>
    <x v="1"/>
    <x v="9"/>
    <n v="43"/>
    <n v="20"/>
    <x v="28"/>
    <x v="17"/>
    <s v="paylater"/>
    <n v="488080000"/>
  </r>
  <r>
    <x v="652"/>
    <x v="1"/>
    <x v="9"/>
    <n v="43"/>
    <n v="20"/>
    <x v="8"/>
    <x v="8"/>
    <s v="cashloan"/>
    <n v="0"/>
  </r>
  <r>
    <x v="652"/>
    <x v="1"/>
    <x v="9"/>
    <n v="43"/>
    <n v="20"/>
    <x v="26"/>
    <x v="16"/>
    <s v="cashloan"/>
    <n v="164750000"/>
  </r>
  <r>
    <x v="652"/>
    <x v="1"/>
    <x v="9"/>
    <n v="43"/>
    <n v="20"/>
    <x v="2"/>
    <x v="2"/>
    <s v="cashloan"/>
    <n v="18127140000"/>
  </r>
  <r>
    <x v="652"/>
    <x v="1"/>
    <x v="9"/>
    <n v="43"/>
    <n v="20"/>
    <x v="17"/>
    <x v="9"/>
    <s v="cashloan"/>
    <n v="0"/>
  </r>
  <r>
    <x v="652"/>
    <x v="1"/>
    <x v="9"/>
    <n v="43"/>
    <n v="20"/>
    <x v="20"/>
    <x v="9"/>
    <s v="cashloan"/>
    <n v="0"/>
  </r>
  <r>
    <x v="652"/>
    <x v="1"/>
    <x v="9"/>
    <n v="43"/>
    <n v="20"/>
    <x v="21"/>
    <x v="9"/>
    <s v="cashloan"/>
    <n v="0"/>
  </r>
  <r>
    <x v="652"/>
    <x v="1"/>
    <x v="9"/>
    <n v="43"/>
    <n v="20"/>
    <x v="25"/>
    <x v="2"/>
    <s v="cashloan"/>
    <n v="15000000"/>
  </r>
  <r>
    <x v="652"/>
    <x v="1"/>
    <x v="9"/>
    <n v="43"/>
    <n v="20"/>
    <x v="0"/>
    <x v="0"/>
    <s v="payday"/>
    <n v="11223900000"/>
  </r>
  <r>
    <x v="652"/>
    <x v="1"/>
    <x v="9"/>
    <n v="43"/>
    <n v="20"/>
    <x v="7"/>
    <x v="7"/>
    <s v="paylater"/>
    <n v="240287975"/>
  </r>
  <r>
    <x v="652"/>
    <x v="1"/>
    <x v="9"/>
    <n v="43"/>
    <n v="20"/>
    <x v="1"/>
    <x v="1"/>
    <s v="cashloan"/>
    <n v="50400000"/>
  </r>
  <r>
    <x v="652"/>
    <x v="1"/>
    <x v="9"/>
    <n v="43"/>
    <n v="20"/>
    <x v="6"/>
    <x v="6"/>
    <s v="payday"/>
    <n v="5000000"/>
  </r>
  <r>
    <x v="652"/>
    <x v="1"/>
    <x v="9"/>
    <n v="43"/>
    <n v="20"/>
    <x v="18"/>
    <x v="15"/>
    <s v="cashloan"/>
    <n v="598190000"/>
  </r>
  <r>
    <x v="652"/>
    <x v="1"/>
    <x v="9"/>
    <n v="43"/>
    <n v="20"/>
    <x v="29"/>
    <x v="20"/>
    <s v="payday"/>
    <n v="233280000"/>
  </r>
  <r>
    <x v="652"/>
    <x v="1"/>
    <x v="9"/>
    <n v="43"/>
    <n v="20"/>
    <x v="19"/>
    <x v="12"/>
    <s v="paylater"/>
    <n v="388312147"/>
  </r>
  <r>
    <x v="652"/>
    <x v="1"/>
    <x v="9"/>
    <n v="43"/>
    <n v="20"/>
    <x v="24"/>
    <x v="18"/>
    <s v="cashloan"/>
    <n v="3704780000"/>
  </r>
  <r>
    <x v="653"/>
    <x v="1"/>
    <x v="9"/>
    <n v="43"/>
    <n v="21"/>
    <x v="3"/>
    <x v="3"/>
    <s v="cashloan"/>
    <n v="16800000"/>
  </r>
  <r>
    <x v="653"/>
    <x v="1"/>
    <x v="9"/>
    <n v="43"/>
    <n v="21"/>
    <x v="11"/>
    <x v="10"/>
    <s v="paylater"/>
    <n v="260749044"/>
  </r>
  <r>
    <x v="653"/>
    <x v="1"/>
    <x v="9"/>
    <n v="43"/>
    <n v="21"/>
    <x v="12"/>
    <x v="11"/>
    <s v="cashloan"/>
    <n v="16291690000"/>
  </r>
  <r>
    <x v="653"/>
    <x v="1"/>
    <x v="9"/>
    <n v="43"/>
    <n v="21"/>
    <x v="5"/>
    <x v="5"/>
    <s v="overdraft"/>
    <n v="2463272773"/>
  </r>
  <r>
    <x v="653"/>
    <x v="1"/>
    <x v="9"/>
    <n v="43"/>
    <n v="21"/>
    <x v="27"/>
    <x v="19"/>
    <s v="payday"/>
    <n v="7035336000"/>
  </r>
  <r>
    <x v="653"/>
    <x v="1"/>
    <x v="9"/>
    <n v="43"/>
    <n v="21"/>
    <x v="15"/>
    <x v="14"/>
    <s v="paylater"/>
    <n v="28757491"/>
  </r>
  <r>
    <x v="653"/>
    <x v="1"/>
    <x v="9"/>
    <n v="43"/>
    <n v="21"/>
    <x v="14"/>
    <x v="13"/>
    <s v="cashloan"/>
    <n v="2751910000"/>
  </r>
  <r>
    <x v="653"/>
    <x v="1"/>
    <x v="9"/>
    <n v="43"/>
    <n v="21"/>
    <x v="23"/>
    <x v="17"/>
    <s v="paylater"/>
    <n v="16450000"/>
  </r>
  <r>
    <x v="653"/>
    <x v="1"/>
    <x v="9"/>
    <n v="43"/>
    <n v="21"/>
    <x v="28"/>
    <x v="17"/>
    <s v="paylater"/>
    <n v="492962000"/>
  </r>
  <r>
    <x v="653"/>
    <x v="1"/>
    <x v="9"/>
    <n v="43"/>
    <n v="21"/>
    <x v="8"/>
    <x v="8"/>
    <s v="cashloan"/>
    <n v="0"/>
  </r>
  <r>
    <x v="653"/>
    <x v="1"/>
    <x v="9"/>
    <n v="43"/>
    <n v="21"/>
    <x v="26"/>
    <x v="16"/>
    <s v="cashloan"/>
    <n v="309750000"/>
  </r>
  <r>
    <x v="653"/>
    <x v="1"/>
    <x v="9"/>
    <n v="43"/>
    <n v="21"/>
    <x v="2"/>
    <x v="2"/>
    <s v="cashloan"/>
    <n v="16841240000"/>
  </r>
  <r>
    <x v="653"/>
    <x v="1"/>
    <x v="9"/>
    <n v="43"/>
    <n v="21"/>
    <x v="17"/>
    <x v="9"/>
    <s v="cashloan"/>
    <n v="0"/>
  </r>
  <r>
    <x v="653"/>
    <x v="1"/>
    <x v="9"/>
    <n v="43"/>
    <n v="21"/>
    <x v="20"/>
    <x v="9"/>
    <s v="cashloan"/>
    <n v="0"/>
  </r>
  <r>
    <x v="653"/>
    <x v="1"/>
    <x v="9"/>
    <n v="43"/>
    <n v="21"/>
    <x v="21"/>
    <x v="9"/>
    <s v="cashloan"/>
    <n v="0"/>
  </r>
  <r>
    <x v="653"/>
    <x v="1"/>
    <x v="9"/>
    <n v="43"/>
    <n v="21"/>
    <x v="25"/>
    <x v="2"/>
    <s v="cashloan"/>
    <n v="0"/>
  </r>
  <r>
    <x v="653"/>
    <x v="1"/>
    <x v="9"/>
    <n v="43"/>
    <n v="21"/>
    <x v="0"/>
    <x v="0"/>
    <s v="payday"/>
    <n v="9148140000"/>
  </r>
  <r>
    <x v="653"/>
    <x v="1"/>
    <x v="9"/>
    <n v="43"/>
    <n v="21"/>
    <x v="7"/>
    <x v="7"/>
    <s v="paylater"/>
    <n v="262760668"/>
  </r>
  <r>
    <x v="653"/>
    <x v="1"/>
    <x v="9"/>
    <n v="43"/>
    <n v="21"/>
    <x v="1"/>
    <x v="1"/>
    <s v="cashloan"/>
    <n v="66750000"/>
  </r>
  <r>
    <x v="653"/>
    <x v="1"/>
    <x v="9"/>
    <n v="43"/>
    <n v="21"/>
    <x v="6"/>
    <x v="6"/>
    <s v="payday"/>
    <n v="20000000"/>
  </r>
  <r>
    <x v="653"/>
    <x v="1"/>
    <x v="9"/>
    <n v="43"/>
    <n v="21"/>
    <x v="18"/>
    <x v="15"/>
    <s v="cashloan"/>
    <n v="847950000"/>
  </r>
  <r>
    <x v="653"/>
    <x v="1"/>
    <x v="9"/>
    <n v="43"/>
    <n v="21"/>
    <x v="29"/>
    <x v="20"/>
    <s v="payday"/>
    <n v="205200000"/>
  </r>
  <r>
    <x v="653"/>
    <x v="1"/>
    <x v="9"/>
    <n v="43"/>
    <n v="21"/>
    <x v="19"/>
    <x v="12"/>
    <s v="paylater"/>
    <n v="428209664"/>
  </r>
  <r>
    <x v="653"/>
    <x v="1"/>
    <x v="9"/>
    <n v="43"/>
    <n v="21"/>
    <x v="24"/>
    <x v="18"/>
    <s v="cashloan"/>
    <n v="3899790000"/>
  </r>
  <r>
    <x v="654"/>
    <x v="1"/>
    <x v="9"/>
    <n v="43"/>
    <n v="22"/>
    <x v="3"/>
    <x v="3"/>
    <s v="cashloan"/>
    <n v="105000000"/>
  </r>
  <r>
    <x v="654"/>
    <x v="1"/>
    <x v="9"/>
    <n v="43"/>
    <n v="22"/>
    <x v="11"/>
    <x v="10"/>
    <s v="paylater"/>
    <n v="243978540"/>
  </r>
  <r>
    <x v="654"/>
    <x v="1"/>
    <x v="9"/>
    <n v="43"/>
    <n v="22"/>
    <x v="12"/>
    <x v="11"/>
    <s v="cashloan"/>
    <n v="16849730000"/>
  </r>
  <r>
    <x v="654"/>
    <x v="1"/>
    <x v="9"/>
    <n v="43"/>
    <n v="22"/>
    <x v="5"/>
    <x v="5"/>
    <s v="overdraft"/>
    <n v="2155599139"/>
  </r>
  <r>
    <x v="654"/>
    <x v="1"/>
    <x v="9"/>
    <n v="43"/>
    <n v="22"/>
    <x v="27"/>
    <x v="19"/>
    <s v="payday"/>
    <n v="7421328000"/>
  </r>
  <r>
    <x v="654"/>
    <x v="1"/>
    <x v="9"/>
    <n v="43"/>
    <n v="22"/>
    <x v="15"/>
    <x v="14"/>
    <s v="paylater"/>
    <n v="36861525"/>
  </r>
  <r>
    <x v="654"/>
    <x v="1"/>
    <x v="9"/>
    <n v="43"/>
    <n v="22"/>
    <x v="14"/>
    <x v="13"/>
    <s v="cashloan"/>
    <n v="2576860000"/>
  </r>
  <r>
    <x v="654"/>
    <x v="1"/>
    <x v="9"/>
    <n v="43"/>
    <n v="22"/>
    <x v="23"/>
    <x v="17"/>
    <s v="paylater"/>
    <n v="14094000"/>
  </r>
  <r>
    <x v="654"/>
    <x v="1"/>
    <x v="9"/>
    <n v="43"/>
    <n v="22"/>
    <x v="28"/>
    <x v="17"/>
    <s v="paylater"/>
    <n v="425235000"/>
  </r>
  <r>
    <x v="654"/>
    <x v="1"/>
    <x v="9"/>
    <n v="43"/>
    <n v="22"/>
    <x v="8"/>
    <x v="8"/>
    <s v="cashloan"/>
    <n v="0"/>
  </r>
  <r>
    <x v="654"/>
    <x v="1"/>
    <x v="9"/>
    <n v="43"/>
    <n v="22"/>
    <x v="26"/>
    <x v="16"/>
    <s v="cashloan"/>
    <n v="146000000"/>
  </r>
  <r>
    <x v="654"/>
    <x v="1"/>
    <x v="9"/>
    <n v="43"/>
    <n v="22"/>
    <x v="2"/>
    <x v="2"/>
    <s v="cashloan"/>
    <n v="16968470000"/>
  </r>
  <r>
    <x v="654"/>
    <x v="1"/>
    <x v="9"/>
    <n v="43"/>
    <n v="22"/>
    <x v="17"/>
    <x v="9"/>
    <s v="cashloan"/>
    <n v="0"/>
  </r>
  <r>
    <x v="654"/>
    <x v="1"/>
    <x v="9"/>
    <n v="43"/>
    <n v="22"/>
    <x v="20"/>
    <x v="9"/>
    <s v="cashloan"/>
    <n v="0"/>
  </r>
  <r>
    <x v="654"/>
    <x v="1"/>
    <x v="9"/>
    <n v="43"/>
    <n v="22"/>
    <x v="21"/>
    <x v="9"/>
    <s v="cashloan"/>
    <n v="0"/>
  </r>
  <r>
    <x v="654"/>
    <x v="1"/>
    <x v="9"/>
    <n v="43"/>
    <n v="22"/>
    <x v="25"/>
    <x v="2"/>
    <s v="cashloan"/>
    <n v="10000000"/>
  </r>
  <r>
    <x v="654"/>
    <x v="1"/>
    <x v="9"/>
    <n v="43"/>
    <n v="22"/>
    <x v="0"/>
    <x v="0"/>
    <s v="payday"/>
    <n v="9479268000"/>
  </r>
  <r>
    <x v="654"/>
    <x v="1"/>
    <x v="9"/>
    <n v="43"/>
    <n v="22"/>
    <x v="7"/>
    <x v="7"/>
    <s v="paylater"/>
    <n v="203588058"/>
  </r>
  <r>
    <x v="654"/>
    <x v="1"/>
    <x v="9"/>
    <n v="43"/>
    <n v="22"/>
    <x v="1"/>
    <x v="1"/>
    <s v="cashloan"/>
    <n v="72500000"/>
  </r>
  <r>
    <x v="654"/>
    <x v="1"/>
    <x v="9"/>
    <n v="43"/>
    <n v="22"/>
    <x v="6"/>
    <x v="6"/>
    <s v="payday"/>
    <n v="52000000"/>
  </r>
  <r>
    <x v="654"/>
    <x v="1"/>
    <x v="9"/>
    <n v="43"/>
    <n v="22"/>
    <x v="18"/>
    <x v="15"/>
    <s v="cashloan"/>
    <n v="961940000"/>
  </r>
  <r>
    <x v="654"/>
    <x v="1"/>
    <x v="9"/>
    <n v="43"/>
    <n v="22"/>
    <x v="29"/>
    <x v="20"/>
    <s v="payday"/>
    <n v="240840000"/>
  </r>
  <r>
    <x v="654"/>
    <x v="1"/>
    <x v="9"/>
    <n v="43"/>
    <n v="22"/>
    <x v="19"/>
    <x v="12"/>
    <s v="paylater"/>
    <n v="401293207"/>
  </r>
  <r>
    <x v="654"/>
    <x v="1"/>
    <x v="9"/>
    <n v="43"/>
    <n v="22"/>
    <x v="24"/>
    <x v="18"/>
    <s v="cashloan"/>
    <n v="4021930000"/>
  </r>
  <r>
    <x v="655"/>
    <x v="1"/>
    <x v="9"/>
    <n v="43"/>
    <n v="23"/>
    <x v="3"/>
    <x v="3"/>
    <s v="cashloan"/>
    <n v="47250000"/>
  </r>
  <r>
    <x v="655"/>
    <x v="1"/>
    <x v="9"/>
    <n v="43"/>
    <n v="23"/>
    <x v="11"/>
    <x v="10"/>
    <s v="paylater"/>
    <n v="259359278"/>
  </r>
  <r>
    <x v="655"/>
    <x v="1"/>
    <x v="9"/>
    <n v="43"/>
    <n v="23"/>
    <x v="12"/>
    <x v="11"/>
    <s v="cashloan"/>
    <n v="16040710000"/>
  </r>
  <r>
    <x v="655"/>
    <x v="1"/>
    <x v="9"/>
    <n v="43"/>
    <n v="23"/>
    <x v="5"/>
    <x v="5"/>
    <s v="overdraft"/>
    <n v="2205738261"/>
  </r>
  <r>
    <x v="655"/>
    <x v="1"/>
    <x v="9"/>
    <n v="43"/>
    <n v="23"/>
    <x v="27"/>
    <x v="19"/>
    <s v="payday"/>
    <n v="7394760000"/>
  </r>
  <r>
    <x v="655"/>
    <x v="1"/>
    <x v="9"/>
    <n v="43"/>
    <n v="23"/>
    <x v="15"/>
    <x v="14"/>
    <s v="paylater"/>
    <n v="13922406"/>
  </r>
  <r>
    <x v="655"/>
    <x v="1"/>
    <x v="9"/>
    <n v="43"/>
    <n v="23"/>
    <x v="14"/>
    <x v="13"/>
    <s v="cashloan"/>
    <n v="2537110000"/>
  </r>
  <r>
    <x v="655"/>
    <x v="1"/>
    <x v="9"/>
    <n v="43"/>
    <n v="23"/>
    <x v="23"/>
    <x v="17"/>
    <s v="paylater"/>
    <n v="13690000"/>
  </r>
  <r>
    <x v="655"/>
    <x v="1"/>
    <x v="9"/>
    <n v="43"/>
    <n v="23"/>
    <x v="28"/>
    <x v="17"/>
    <s v="paylater"/>
    <n v="502006102"/>
  </r>
  <r>
    <x v="655"/>
    <x v="1"/>
    <x v="9"/>
    <n v="43"/>
    <n v="23"/>
    <x v="8"/>
    <x v="8"/>
    <s v="cashloan"/>
    <n v="0"/>
  </r>
  <r>
    <x v="655"/>
    <x v="1"/>
    <x v="9"/>
    <n v="43"/>
    <n v="23"/>
    <x v="26"/>
    <x v="16"/>
    <s v="cashloan"/>
    <n v="230500000"/>
  </r>
  <r>
    <x v="655"/>
    <x v="1"/>
    <x v="9"/>
    <n v="43"/>
    <n v="23"/>
    <x v="2"/>
    <x v="2"/>
    <s v="cashloan"/>
    <n v="13954470000"/>
  </r>
  <r>
    <x v="655"/>
    <x v="1"/>
    <x v="9"/>
    <n v="43"/>
    <n v="23"/>
    <x v="17"/>
    <x v="9"/>
    <s v="cashloan"/>
    <n v="0"/>
  </r>
  <r>
    <x v="655"/>
    <x v="1"/>
    <x v="9"/>
    <n v="43"/>
    <n v="23"/>
    <x v="20"/>
    <x v="9"/>
    <s v="cashloan"/>
    <n v="0"/>
  </r>
  <r>
    <x v="655"/>
    <x v="1"/>
    <x v="9"/>
    <n v="43"/>
    <n v="23"/>
    <x v="21"/>
    <x v="9"/>
    <s v="cashloan"/>
    <n v="0"/>
  </r>
  <r>
    <x v="655"/>
    <x v="1"/>
    <x v="9"/>
    <n v="43"/>
    <n v="23"/>
    <x v="25"/>
    <x v="2"/>
    <s v="cashloan"/>
    <n v="0"/>
  </r>
  <r>
    <x v="655"/>
    <x v="1"/>
    <x v="9"/>
    <n v="43"/>
    <n v="23"/>
    <x v="0"/>
    <x v="0"/>
    <s v="payday"/>
    <n v="9589968000"/>
  </r>
  <r>
    <x v="655"/>
    <x v="1"/>
    <x v="9"/>
    <n v="43"/>
    <n v="23"/>
    <x v="7"/>
    <x v="7"/>
    <s v="paylater"/>
    <n v="187991749"/>
  </r>
  <r>
    <x v="655"/>
    <x v="1"/>
    <x v="9"/>
    <n v="43"/>
    <n v="23"/>
    <x v="1"/>
    <x v="1"/>
    <s v="cashloan"/>
    <n v="18900000"/>
  </r>
  <r>
    <x v="655"/>
    <x v="1"/>
    <x v="9"/>
    <n v="43"/>
    <n v="23"/>
    <x v="6"/>
    <x v="6"/>
    <s v="payday"/>
    <n v="41000000"/>
  </r>
  <r>
    <x v="655"/>
    <x v="1"/>
    <x v="9"/>
    <n v="43"/>
    <n v="23"/>
    <x v="18"/>
    <x v="15"/>
    <s v="cashloan"/>
    <n v="814290000"/>
  </r>
  <r>
    <x v="655"/>
    <x v="1"/>
    <x v="9"/>
    <n v="43"/>
    <n v="23"/>
    <x v="29"/>
    <x v="20"/>
    <s v="payday"/>
    <n v="244080000"/>
  </r>
  <r>
    <x v="655"/>
    <x v="1"/>
    <x v="9"/>
    <n v="43"/>
    <n v="23"/>
    <x v="19"/>
    <x v="12"/>
    <s v="paylater"/>
    <n v="389906246"/>
  </r>
  <r>
    <x v="655"/>
    <x v="1"/>
    <x v="9"/>
    <n v="43"/>
    <n v="23"/>
    <x v="24"/>
    <x v="18"/>
    <s v="cashloan"/>
    <n v="3702420000"/>
  </r>
  <r>
    <x v="656"/>
    <x v="1"/>
    <x v="9"/>
    <n v="43"/>
    <n v="24"/>
    <x v="3"/>
    <x v="3"/>
    <s v="cashloan"/>
    <n v="60900000"/>
  </r>
  <r>
    <x v="656"/>
    <x v="1"/>
    <x v="9"/>
    <n v="43"/>
    <n v="24"/>
    <x v="11"/>
    <x v="10"/>
    <s v="paylater"/>
    <n v="285903946"/>
  </r>
  <r>
    <x v="656"/>
    <x v="1"/>
    <x v="9"/>
    <n v="43"/>
    <n v="24"/>
    <x v="12"/>
    <x v="11"/>
    <s v="cashloan"/>
    <n v="16931330000"/>
  </r>
  <r>
    <x v="656"/>
    <x v="1"/>
    <x v="9"/>
    <n v="43"/>
    <n v="24"/>
    <x v="5"/>
    <x v="5"/>
    <s v="overdraft"/>
    <n v="2280611648"/>
  </r>
  <r>
    <x v="656"/>
    <x v="1"/>
    <x v="9"/>
    <n v="43"/>
    <n v="24"/>
    <x v="27"/>
    <x v="19"/>
    <s v="payday"/>
    <n v="7775244000"/>
  </r>
  <r>
    <x v="656"/>
    <x v="1"/>
    <x v="9"/>
    <n v="43"/>
    <n v="24"/>
    <x v="15"/>
    <x v="14"/>
    <s v="paylater"/>
    <n v="32407904"/>
  </r>
  <r>
    <x v="656"/>
    <x v="1"/>
    <x v="9"/>
    <n v="43"/>
    <n v="24"/>
    <x v="14"/>
    <x v="13"/>
    <s v="cashloan"/>
    <n v="2380800000"/>
  </r>
  <r>
    <x v="656"/>
    <x v="1"/>
    <x v="9"/>
    <n v="43"/>
    <n v="24"/>
    <x v="23"/>
    <x v="17"/>
    <s v="paylater"/>
    <n v="10630000"/>
  </r>
  <r>
    <x v="656"/>
    <x v="1"/>
    <x v="9"/>
    <n v="43"/>
    <n v="24"/>
    <x v="28"/>
    <x v="17"/>
    <s v="paylater"/>
    <n v="464715000"/>
  </r>
  <r>
    <x v="656"/>
    <x v="1"/>
    <x v="9"/>
    <n v="43"/>
    <n v="24"/>
    <x v="8"/>
    <x v="8"/>
    <s v="cashloan"/>
    <n v="0"/>
  </r>
  <r>
    <x v="656"/>
    <x v="1"/>
    <x v="9"/>
    <n v="43"/>
    <n v="24"/>
    <x v="26"/>
    <x v="16"/>
    <s v="cashloan"/>
    <n v="160250000"/>
  </r>
  <r>
    <x v="656"/>
    <x v="1"/>
    <x v="9"/>
    <n v="43"/>
    <n v="24"/>
    <x v="2"/>
    <x v="2"/>
    <s v="cashloan"/>
    <n v="16570480000"/>
  </r>
  <r>
    <x v="656"/>
    <x v="1"/>
    <x v="9"/>
    <n v="43"/>
    <n v="24"/>
    <x v="17"/>
    <x v="9"/>
    <s v="cashloan"/>
    <n v="0"/>
  </r>
  <r>
    <x v="656"/>
    <x v="1"/>
    <x v="9"/>
    <n v="43"/>
    <n v="24"/>
    <x v="20"/>
    <x v="9"/>
    <s v="cashloan"/>
    <n v="0"/>
  </r>
  <r>
    <x v="656"/>
    <x v="1"/>
    <x v="9"/>
    <n v="43"/>
    <n v="24"/>
    <x v="21"/>
    <x v="9"/>
    <s v="cashloan"/>
    <n v="0"/>
  </r>
  <r>
    <x v="656"/>
    <x v="1"/>
    <x v="9"/>
    <n v="43"/>
    <n v="24"/>
    <x v="25"/>
    <x v="2"/>
    <s v="cashloan"/>
    <n v="17000000"/>
  </r>
  <r>
    <x v="656"/>
    <x v="1"/>
    <x v="9"/>
    <n v="43"/>
    <n v="24"/>
    <x v="0"/>
    <x v="0"/>
    <s v="payday"/>
    <n v="9715032000"/>
  </r>
  <r>
    <x v="656"/>
    <x v="1"/>
    <x v="9"/>
    <n v="43"/>
    <n v="24"/>
    <x v="7"/>
    <x v="7"/>
    <s v="paylater"/>
    <n v="173670084"/>
  </r>
  <r>
    <x v="656"/>
    <x v="1"/>
    <x v="9"/>
    <n v="43"/>
    <n v="24"/>
    <x v="1"/>
    <x v="1"/>
    <s v="cashloan"/>
    <n v="0"/>
  </r>
  <r>
    <x v="656"/>
    <x v="1"/>
    <x v="9"/>
    <n v="43"/>
    <n v="24"/>
    <x v="6"/>
    <x v="6"/>
    <s v="payday"/>
    <n v="70000000"/>
  </r>
  <r>
    <x v="656"/>
    <x v="1"/>
    <x v="9"/>
    <n v="43"/>
    <n v="24"/>
    <x v="18"/>
    <x v="15"/>
    <s v="cashloan"/>
    <n v="819140000"/>
  </r>
  <r>
    <x v="656"/>
    <x v="1"/>
    <x v="9"/>
    <n v="43"/>
    <n v="24"/>
    <x v="29"/>
    <x v="20"/>
    <s v="payday"/>
    <n v="246240000"/>
  </r>
  <r>
    <x v="656"/>
    <x v="1"/>
    <x v="9"/>
    <n v="43"/>
    <n v="24"/>
    <x v="19"/>
    <x v="12"/>
    <s v="paylater"/>
    <n v="404228919"/>
  </r>
  <r>
    <x v="656"/>
    <x v="1"/>
    <x v="9"/>
    <n v="43"/>
    <n v="24"/>
    <x v="24"/>
    <x v="18"/>
    <s v="cashloan"/>
    <n v="3570150000"/>
  </r>
  <r>
    <x v="657"/>
    <x v="1"/>
    <x v="9"/>
    <n v="43"/>
    <n v="25"/>
    <x v="3"/>
    <x v="3"/>
    <s v="cashloan"/>
    <n v="63500000"/>
  </r>
  <r>
    <x v="657"/>
    <x v="1"/>
    <x v="9"/>
    <n v="43"/>
    <n v="25"/>
    <x v="11"/>
    <x v="10"/>
    <s v="paylater"/>
    <n v="305419448"/>
  </r>
  <r>
    <x v="657"/>
    <x v="1"/>
    <x v="9"/>
    <n v="43"/>
    <n v="25"/>
    <x v="12"/>
    <x v="11"/>
    <s v="cashloan"/>
    <n v="14050200000"/>
  </r>
  <r>
    <x v="657"/>
    <x v="1"/>
    <x v="9"/>
    <n v="43"/>
    <n v="25"/>
    <x v="5"/>
    <x v="5"/>
    <s v="overdraft"/>
    <n v="2172843496"/>
  </r>
  <r>
    <x v="657"/>
    <x v="1"/>
    <x v="9"/>
    <n v="43"/>
    <n v="25"/>
    <x v="27"/>
    <x v="19"/>
    <s v="payday"/>
    <n v="7487100000"/>
  </r>
  <r>
    <x v="657"/>
    <x v="1"/>
    <x v="9"/>
    <n v="43"/>
    <n v="25"/>
    <x v="15"/>
    <x v="14"/>
    <s v="paylater"/>
    <n v="37120983"/>
  </r>
  <r>
    <x v="657"/>
    <x v="1"/>
    <x v="9"/>
    <n v="43"/>
    <n v="25"/>
    <x v="14"/>
    <x v="13"/>
    <s v="cashloan"/>
    <n v="2437670000"/>
  </r>
  <r>
    <x v="657"/>
    <x v="1"/>
    <x v="9"/>
    <n v="43"/>
    <n v="25"/>
    <x v="23"/>
    <x v="17"/>
    <s v="paylater"/>
    <n v="10807000"/>
  </r>
  <r>
    <x v="657"/>
    <x v="1"/>
    <x v="9"/>
    <n v="43"/>
    <n v="25"/>
    <x v="28"/>
    <x v="17"/>
    <s v="paylater"/>
    <n v="673834600"/>
  </r>
  <r>
    <x v="657"/>
    <x v="1"/>
    <x v="9"/>
    <n v="43"/>
    <n v="25"/>
    <x v="8"/>
    <x v="8"/>
    <s v="cashloan"/>
    <n v="0"/>
  </r>
  <r>
    <x v="657"/>
    <x v="1"/>
    <x v="9"/>
    <n v="43"/>
    <n v="25"/>
    <x v="26"/>
    <x v="16"/>
    <s v="cashloan"/>
    <n v="105000000"/>
  </r>
  <r>
    <x v="657"/>
    <x v="1"/>
    <x v="9"/>
    <n v="43"/>
    <n v="25"/>
    <x v="2"/>
    <x v="2"/>
    <s v="cashloan"/>
    <n v="16692810000"/>
  </r>
  <r>
    <x v="657"/>
    <x v="1"/>
    <x v="9"/>
    <n v="43"/>
    <n v="25"/>
    <x v="17"/>
    <x v="9"/>
    <s v="cashloan"/>
    <n v="0"/>
  </r>
  <r>
    <x v="657"/>
    <x v="1"/>
    <x v="9"/>
    <n v="43"/>
    <n v="25"/>
    <x v="20"/>
    <x v="9"/>
    <s v="cashloan"/>
    <n v="0"/>
  </r>
  <r>
    <x v="657"/>
    <x v="1"/>
    <x v="9"/>
    <n v="43"/>
    <n v="25"/>
    <x v="21"/>
    <x v="9"/>
    <s v="cashloan"/>
    <n v="0"/>
  </r>
  <r>
    <x v="657"/>
    <x v="1"/>
    <x v="9"/>
    <n v="43"/>
    <n v="25"/>
    <x v="25"/>
    <x v="2"/>
    <s v="cashloan"/>
    <n v="0"/>
  </r>
  <r>
    <x v="657"/>
    <x v="1"/>
    <x v="9"/>
    <n v="43"/>
    <n v="25"/>
    <x v="0"/>
    <x v="0"/>
    <s v="payday"/>
    <n v="9284868000"/>
  </r>
  <r>
    <x v="657"/>
    <x v="1"/>
    <x v="9"/>
    <n v="43"/>
    <n v="25"/>
    <x v="7"/>
    <x v="7"/>
    <s v="paylater"/>
    <n v="179111520"/>
  </r>
  <r>
    <x v="657"/>
    <x v="1"/>
    <x v="9"/>
    <n v="43"/>
    <n v="25"/>
    <x v="1"/>
    <x v="1"/>
    <s v="cashloan"/>
    <n v="35750000"/>
  </r>
  <r>
    <x v="657"/>
    <x v="1"/>
    <x v="9"/>
    <n v="43"/>
    <n v="25"/>
    <x v="6"/>
    <x v="6"/>
    <s v="payday"/>
    <n v="80000000"/>
  </r>
  <r>
    <x v="657"/>
    <x v="1"/>
    <x v="9"/>
    <n v="43"/>
    <n v="25"/>
    <x v="18"/>
    <x v="15"/>
    <s v="cashloan"/>
    <n v="828890000"/>
  </r>
  <r>
    <x v="657"/>
    <x v="1"/>
    <x v="9"/>
    <n v="43"/>
    <n v="25"/>
    <x v="29"/>
    <x v="20"/>
    <s v="payday"/>
    <n v="168480000"/>
  </r>
  <r>
    <x v="657"/>
    <x v="1"/>
    <x v="9"/>
    <n v="43"/>
    <n v="25"/>
    <x v="19"/>
    <x v="12"/>
    <s v="paylater"/>
    <n v="394362630"/>
  </r>
  <r>
    <x v="657"/>
    <x v="1"/>
    <x v="9"/>
    <n v="43"/>
    <n v="25"/>
    <x v="24"/>
    <x v="18"/>
    <s v="cashloan"/>
    <n v="3668790000"/>
  </r>
  <r>
    <x v="658"/>
    <x v="1"/>
    <x v="9"/>
    <n v="43"/>
    <n v="26"/>
    <x v="3"/>
    <x v="3"/>
    <s v="cashloan"/>
    <n v="99000000"/>
  </r>
  <r>
    <x v="658"/>
    <x v="1"/>
    <x v="9"/>
    <n v="43"/>
    <n v="26"/>
    <x v="11"/>
    <x v="10"/>
    <s v="paylater"/>
    <n v="321812698"/>
  </r>
  <r>
    <x v="658"/>
    <x v="1"/>
    <x v="9"/>
    <n v="43"/>
    <n v="26"/>
    <x v="12"/>
    <x v="11"/>
    <s v="cashloan"/>
    <n v="11808080000"/>
  </r>
  <r>
    <x v="658"/>
    <x v="1"/>
    <x v="9"/>
    <n v="43"/>
    <n v="26"/>
    <x v="5"/>
    <x v="5"/>
    <s v="overdraft"/>
    <n v="1850280416"/>
  </r>
  <r>
    <x v="658"/>
    <x v="1"/>
    <x v="9"/>
    <n v="43"/>
    <n v="26"/>
    <x v="27"/>
    <x v="19"/>
    <s v="payday"/>
    <n v="7194204000"/>
  </r>
  <r>
    <x v="658"/>
    <x v="1"/>
    <x v="9"/>
    <n v="43"/>
    <n v="26"/>
    <x v="15"/>
    <x v="14"/>
    <s v="paylater"/>
    <n v="25327701"/>
  </r>
  <r>
    <x v="658"/>
    <x v="1"/>
    <x v="9"/>
    <n v="43"/>
    <n v="26"/>
    <x v="14"/>
    <x v="13"/>
    <s v="cashloan"/>
    <n v="3037510000"/>
  </r>
  <r>
    <x v="658"/>
    <x v="1"/>
    <x v="9"/>
    <n v="43"/>
    <n v="26"/>
    <x v="23"/>
    <x v="17"/>
    <s v="paylater"/>
    <n v="15720000"/>
  </r>
  <r>
    <x v="658"/>
    <x v="1"/>
    <x v="9"/>
    <n v="43"/>
    <n v="26"/>
    <x v="28"/>
    <x v="17"/>
    <s v="paylater"/>
    <n v="686648587"/>
  </r>
  <r>
    <x v="658"/>
    <x v="1"/>
    <x v="9"/>
    <n v="43"/>
    <n v="26"/>
    <x v="8"/>
    <x v="8"/>
    <s v="cashloan"/>
    <n v="0"/>
  </r>
  <r>
    <x v="658"/>
    <x v="1"/>
    <x v="9"/>
    <n v="43"/>
    <n v="26"/>
    <x v="26"/>
    <x v="16"/>
    <s v="cashloan"/>
    <n v="112500000"/>
  </r>
  <r>
    <x v="658"/>
    <x v="1"/>
    <x v="9"/>
    <n v="43"/>
    <n v="26"/>
    <x v="2"/>
    <x v="2"/>
    <s v="cashloan"/>
    <n v="15535400000"/>
  </r>
  <r>
    <x v="658"/>
    <x v="1"/>
    <x v="9"/>
    <n v="43"/>
    <n v="26"/>
    <x v="17"/>
    <x v="9"/>
    <s v="cashloan"/>
    <n v="0"/>
  </r>
  <r>
    <x v="658"/>
    <x v="1"/>
    <x v="9"/>
    <n v="43"/>
    <n v="26"/>
    <x v="20"/>
    <x v="9"/>
    <s v="cashloan"/>
    <n v="0"/>
  </r>
  <r>
    <x v="658"/>
    <x v="1"/>
    <x v="9"/>
    <n v="43"/>
    <n v="26"/>
    <x v="21"/>
    <x v="9"/>
    <s v="cashloan"/>
    <n v="0"/>
  </r>
  <r>
    <x v="658"/>
    <x v="1"/>
    <x v="9"/>
    <n v="43"/>
    <n v="26"/>
    <x v="25"/>
    <x v="2"/>
    <s v="cashloan"/>
    <n v="0"/>
  </r>
  <r>
    <x v="658"/>
    <x v="1"/>
    <x v="9"/>
    <n v="43"/>
    <n v="26"/>
    <x v="0"/>
    <x v="0"/>
    <s v="payday"/>
    <n v="9237780000"/>
  </r>
  <r>
    <x v="658"/>
    <x v="1"/>
    <x v="9"/>
    <n v="43"/>
    <n v="26"/>
    <x v="7"/>
    <x v="7"/>
    <s v="paylater"/>
    <n v="215056653"/>
  </r>
  <r>
    <x v="658"/>
    <x v="1"/>
    <x v="9"/>
    <n v="43"/>
    <n v="26"/>
    <x v="1"/>
    <x v="1"/>
    <s v="cashloan"/>
    <n v="36000000"/>
  </r>
  <r>
    <x v="658"/>
    <x v="1"/>
    <x v="9"/>
    <n v="43"/>
    <n v="26"/>
    <x v="6"/>
    <x v="6"/>
    <s v="payday"/>
    <n v="34000000"/>
  </r>
  <r>
    <x v="658"/>
    <x v="1"/>
    <x v="9"/>
    <n v="43"/>
    <n v="26"/>
    <x v="18"/>
    <x v="15"/>
    <s v="cashloan"/>
    <n v="659980000"/>
  </r>
  <r>
    <x v="658"/>
    <x v="1"/>
    <x v="9"/>
    <n v="43"/>
    <n v="26"/>
    <x v="29"/>
    <x v="20"/>
    <s v="payday"/>
    <n v="218160000"/>
  </r>
  <r>
    <x v="658"/>
    <x v="1"/>
    <x v="9"/>
    <n v="43"/>
    <n v="26"/>
    <x v="19"/>
    <x v="12"/>
    <s v="paylater"/>
    <n v="307114694"/>
  </r>
  <r>
    <x v="658"/>
    <x v="1"/>
    <x v="9"/>
    <n v="43"/>
    <n v="26"/>
    <x v="24"/>
    <x v="18"/>
    <s v="cashloan"/>
    <n v="3338450000"/>
  </r>
  <r>
    <x v="659"/>
    <x v="1"/>
    <x v="9"/>
    <n v="44"/>
    <n v="27"/>
    <x v="3"/>
    <x v="3"/>
    <s v="cashloan"/>
    <n v="90400000"/>
  </r>
  <r>
    <x v="659"/>
    <x v="1"/>
    <x v="9"/>
    <n v="44"/>
    <n v="27"/>
    <x v="11"/>
    <x v="10"/>
    <s v="paylater"/>
    <n v="239528435"/>
  </r>
  <r>
    <x v="659"/>
    <x v="1"/>
    <x v="9"/>
    <n v="44"/>
    <n v="27"/>
    <x v="12"/>
    <x v="11"/>
    <s v="cashloan"/>
    <n v="14375700000"/>
  </r>
  <r>
    <x v="659"/>
    <x v="1"/>
    <x v="9"/>
    <n v="44"/>
    <n v="27"/>
    <x v="5"/>
    <x v="5"/>
    <s v="overdraft"/>
    <n v="2543391865"/>
  </r>
  <r>
    <x v="659"/>
    <x v="1"/>
    <x v="9"/>
    <n v="44"/>
    <n v="27"/>
    <x v="27"/>
    <x v="19"/>
    <s v="payday"/>
    <n v="8267508000"/>
  </r>
  <r>
    <x v="659"/>
    <x v="1"/>
    <x v="9"/>
    <n v="44"/>
    <n v="27"/>
    <x v="15"/>
    <x v="14"/>
    <s v="paylater"/>
    <n v="30321680"/>
  </r>
  <r>
    <x v="659"/>
    <x v="1"/>
    <x v="9"/>
    <n v="44"/>
    <n v="27"/>
    <x v="14"/>
    <x v="13"/>
    <s v="cashloan"/>
    <n v="2610070000"/>
  </r>
  <r>
    <x v="659"/>
    <x v="1"/>
    <x v="9"/>
    <n v="44"/>
    <n v="27"/>
    <x v="23"/>
    <x v="17"/>
    <s v="paylater"/>
    <n v="20696000"/>
  </r>
  <r>
    <x v="659"/>
    <x v="1"/>
    <x v="9"/>
    <n v="44"/>
    <n v="27"/>
    <x v="28"/>
    <x v="17"/>
    <s v="paylater"/>
    <n v="534532363"/>
  </r>
  <r>
    <x v="659"/>
    <x v="1"/>
    <x v="9"/>
    <n v="44"/>
    <n v="27"/>
    <x v="8"/>
    <x v="8"/>
    <s v="cashloan"/>
    <n v="0"/>
  </r>
  <r>
    <x v="659"/>
    <x v="1"/>
    <x v="9"/>
    <n v="44"/>
    <n v="27"/>
    <x v="26"/>
    <x v="16"/>
    <s v="cashloan"/>
    <n v="115500000"/>
  </r>
  <r>
    <x v="659"/>
    <x v="1"/>
    <x v="9"/>
    <n v="44"/>
    <n v="27"/>
    <x v="2"/>
    <x v="2"/>
    <s v="cashloan"/>
    <n v="15494880000"/>
  </r>
  <r>
    <x v="659"/>
    <x v="1"/>
    <x v="9"/>
    <n v="44"/>
    <n v="27"/>
    <x v="17"/>
    <x v="9"/>
    <s v="cashloan"/>
    <n v="0"/>
  </r>
  <r>
    <x v="659"/>
    <x v="1"/>
    <x v="9"/>
    <n v="44"/>
    <n v="27"/>
    <x v="20"/>
    <x v="9"/>
    <s v="cashloan"/>
    <n v="0"/>
  </r>
  <r>
    <x v="659"/>
    <x v="1"/>
    <x v="9"/>
    <n v="44"/>
    <n v="27"/>
    <x v="21"/>
    <x v="9"/>
    <s v="cashloan"/>
    <n v="0"/>
  </r>
  <r>
    <x v="659"/>
    <x v="1"/>
    <x v="9"/>
    <n v="44"/>
    <n v="27"/>
    <x v="25"/>
    <x v="2"/>
    <s v="cashloan"/>
    <n v="10000000"/>
  </r>
  <r>
    <x v="659"/>
    <x v="1"/>
    <x v="9"/>
    <n v="44"/>
    <n v="27"/>
    <x v="0"/>
    <x v="0"/>
    <s v="payday"/>
    <n v="9534348000"/>
  </r>
  <r>
    <x v="659"/>
    <x v="1"/>
    <x v="9"/>
    <n v="44"/>
    <n v="27"/>
    <x v="7"/>
    <x v="7"/>
    <s v="paylater"/>
    <n v="187228925"/>
  </r>
  <r>
    <x v="659"/>
    <x v="1"/>
    <x v="9"/>
    <n v="44"/>
    <n v="27"/>
    <x v="1"/>
    <x v="1"/>
    <s v="cashloan"/>
    <n v="36750000"/>
  </r>
  <r>
    <x v="659"/>
    <x v="1"/>
    <x v="9"/>
    <n v="44"/>
    <n v="27"/>
    <x v="6"/>
    <x v="6"/>
    <s v="payday"/>
    <n v="62000000"/>
  </r>
  <r>
    <x v="659"/>
    <x v="1"/>
    <x v="9"/>
    <n v="44"/>
    <n v="27"/>
    <x v="18"/>
    <x v="15"/>
    <s v="cashloan"/>
    <n v="946300000"/>
  </r>
  <r>
    <x v="659"/>
    <x v="1"/>
    <x v="9"/>
    <n v="44"/>
    <n v="27"/>
    <x v="29"/>
    <x v="20"/>
    <s v="payday"/>
    <n v="232200000"/>
  </r>
  <r>
    <x v="659"/>
    <x v="1"/>
    <x v="9"/>
    <n v="44"/>
    <n v="27"/>
    <x v="19"/>
    <x v="12"/>
    <s v="paylater"/>
    <n v="480339205"/>
  </r>
  <r>
    <x v="659"/>
    <x v="1"/>
    <x v="9"/>
    <n v="44"/>
    <n v="27"/>
    <x v="24"/>
    <x v="18"/>
    <s v="cashloan"/>
    <n v="3172960000"/>
  </r>
  <r>
    <x v="660"/>
    <x v="1"/>
    <x v="9"/>
    <n v="44"/>
    <n v="28"/>
    <x v="3"/>
    <x v="3"/>
    <s v="cashloan"/>
    <n v="52500000"/>
  </r>
  <r>
    <x v="660"/>
    <x v="1"/>
    <x v="9"/>
    <n v="44"/>
    <n v="28"/>
    <x v="11"/>
    <x v="10"/>
    <s v="paylater"/>
    <n v="260927601"/>
  </r>
  <r>
    <x v="660"/>
    <x v="1"/>
    <x v="9"/>
    <n v="44"/>
    <n v="28"/>
    <x v="12"/>
    <x v="11"/>
    <s v="cashloan"/>
    <n v="14732250000"/>
  </r>
  <r>
    <x v="660"/>
    <x v="1"/>
    <x v="9"/>
    <n v="44"/>
    <n v="28"/>
    <x v="5"/>
    <x v="5"/>
    <s v="overdraft"/>
    <n v="2386582298"/>
  </r>
  <r>
    <x v="660"/>
    <x v="1"/>
    <x v="9"/>
    <n v="44"/>
    <n v="28"/>
    <x v="27"/>
    <x v="19"/>
    <s v="payday"/>
    <n v="8437284000"/>
  </r>
  <r>
    <x v="660"/>
    <x v="1"/>
    <x v="9"/>
    <n v="44"/>
    <n v="28"/>
    <x v="15"/>
    <x v="14"/>
    <s v="paylater"/>
    <n v="23402906"/>
  </r>
  <r>
    <x v="660"/>
    <x v="1"/>
    <x v="9"/>
    <n v="44"/>
    <n v="28"/>
    <x v="14"/>
    <x v="13"/>
    <s v="cashloan"/>
    <n v="2575150000"/>
  </r>
  <r>
    <x v="660"/>
    <x v="1"/>
    <x v="9"/>
    <n v="44"/>
    <n v="28"/>
    <x v="23"/>
    <x v="17"/>
    <s v="paylater"/>
    <n v="20855000"/>
  </r>
  <r>
    <x v="660"/>
    <x v="1"/>
    <x v="9"/>
    <n v="44"/>
    <n v="28"/>
    <x v="28"/>
    <x v="17"/>
    <s v="paylater"/>
    <n v="535907540"/>
  </r>
  <r>
    <x v="660"/>
    <x v="1"/>
    <x v="9"/>
    <n v="44"/>
    <n v="28"/>
    <x v="8"/>
    <x v="8"/>
    <s v="cashloan"/>
    <n v="0"/>
  </r>
  <r>
    <x v="660"/>
    <x v="1"/>
    <x v="9"/>
    <n v="44"/>
    <n v="28"/>
    <x v="26"/>
    <x v="16"/>
    <s v="cashloan"/>
    <n v="135500000"/>
  </r>
  <r>
    <x v="660"/>
    <x v="1"/>
    <x v="9"/>
    <n v="44"/>
    <n v="28"/>
    <x v="2"/>
    <x v="2"/>
    <s v="cashloan"/>
    <n v="13923450000"/>
  </r>
  <r>
    <x v="660"/>
    <x v="1"/>
    <x v="9"/>
    <n v="44"/>
    <n v="28"/>
    <x v="17"/>
    <x v="9"/>
    <s v="cashloan"/>
    <n v="0"/>
  </r>
  <r>
    <x v="660"/>
    <x v="1"/>
    <x v="9"/>
    <n v="44"/>
    <n v="28"/>
    <x v="20"/>
    <x v="9"/>
    <s v="cashloan"/>
    <n v="0"/>
  </r>
  <r>
    <x v="660"/>
    <x v="1"/>
    <x v="9"/>
    <n v="44"/>
    <n v="28"/>
    <x v="21"/>
    <x v="9"/>
    <s v="cashloan"/>
    <n v="0"/>
  </r>
  <r>
    <x v="660"/>
    <x v="1"/>
    <x v="9"/>
    <n v="44"/>
    <n v="28"/>
    <x v="25"/>
    <x v="2"/>
    <s v="cashloan"/>
    <n v="0"/>
  </r>
  <r>
    <x v="660"/>
    <x v="1"/>
    <x v="9"/>
    <n v="44"/>
    <n v="28"/>
    <x v="0"/>
    <x v="0"/>
    <s v="payday"/>
    <n v="9148680000"/>
  </r>
  <r>
    <x v="660"/>
    <x v="1"/>
    <x v="9"/>
    <n v="44"/>
    <n v="28"/>
    <x v="7"/>
    <x v="7"/>
    <s v="paylater"/>
    <n v="185338181"/>
  </r>
  <r>
    <x v="660"/>
    <x v="1"/>
    <x v="9"/>
    <n v="44"/>
    <n v="28"/>
    <x v="1"/>
    <x v="1"/>
    <s v="cashloan"/>
    <n v="52500000"/>
  </r>
  <r>
    <x v="660"/>
    <x v="1"/>
    <x v="9"/>
    <n v="44"/>
    <n v="28"/>
    <x v="6"/>
    <x v="6"/>
    <s v="payday"/>
    <n v="45000000"/>
  </r>
  <r>
    <x v="660"/>
    <x v="1"/>
    <x v="9"/>
    <n v="44"/>
    <n v="28"/>
    <x v="18"/>
    <x v="15"/>
    <s v="cashloan"/>
    <n v="829660000"/>
  </r>
  <r>
    <x v="660"/>
    <x v="1"/>
    <x v="9"/>
    <n v="44"/>
    <n v="28"/>
    <x v="29"/>
    <x v="20"/>
    <s v="payday"/>
    <n v="223560000"/>
  </r>
  <r>
    <x v="660"/>
    <x v="1"/>
    <x v="9"/>
    <n v="44"/>
    <n v="28"/>
    <x v="19"/>
    <x v="12"/>
    <s v="paylater"/>
    <n v="485591923"/>
  </r>
  <r>
    <x v="660"/>
    <x v="1"/>
    <x v="9"/>
    <n v="44"/>
    <n v="28"/>
    <x v="24"/>
    <x v="18"/>
    <s v="cashloan"/>
    <n v="4111000000"/>
  </r>
  <r>
    <x v="661"/>
    <x v="1"/>
    <x v="9"/>
    <n v="44"/>
    <n v="29"/>
    <x v="3"/>
    <x v="3"/>
    <s v="cashloan"/>
    <n v="97650000"/>
  </r>
  <r>
    <x v="661"/>
    <x v="1"/>
    <x v="9"/>
    <n v="44"/>
    <n v="29"/>
    <x v="11"/>
    <x v="10"/>
    <s v="paylater"/>
    <n v="222504757"/>
  </r>
  <r>
    <x v="661"/>
    <x v="1"/>
    <x v="9"/>
    <n v="44"/>
    <n v="29"/>
    <x v="12"/>
    <x v="11"/>
    <s v="cashloan"/>
    <n v="12871110000"/>
  </r>
  <r>
    <x v="661"/>
    <x v="1"/>
    <x v="9"/>
    <n v="44"/>
    <n v="29"/>
    <x v="5"/>
    <x v="5"/>
    <s v="overdraft"/>
    <n v="2349288068"/>
  </r>
  <r>
    <x v="661"/>
    <x v="1"/>
    <x v="9"/>
    <n v="44"/>
    <n v="29"/>
    <x v="27"/>
    <x v="19"/>
    <s v="payday"/>
    <n v="7620804000"/>
  </r>
  <r>
    <x v="661"/>
    <x v="1"/>
    <x v="9"/>
    <n v="44"/>
    <n v="29"/>
    <x v="15"/>
    <x v="14"/>
    <s v="paylater"/>
    <n v="17959332"/>
  </r>
  <r>
    <x v="661"/>
    <x v="1"/>
    <x v="9"/>
    <n v="44"/>
    <n v="29"/>
    <x v="14"/>
    <x v="13"/>
    <s v="cashloan"/>
    <n v="2019300000"/>
  </r>
  <r>
    <x v="661"/>
    <x v="1"/>
    <x v="9"/>
    <n v="44"/>
    <n v="29"/>
    <x v="23"/>
    <x v="17"/>
    <s v="paylater"/>
    <n v="25339000"/>
  </r>
  <r>
    <x v="661"/>
    <x v="1"/>
    <x v="9"/>
    <n v="44"/>
    <n v="29"/>
    <x v="28"/>
    <x v="17"/>
    <s v="paylater"/>
    <n v="534989800"/>
  </r>
  <r>
    <x v="661"/>
    <x v="1"/>
    <x v="9"/>
    <n v="44"/>
    <n v="29"/>
    <x v="8"/>
    <x v="8"/>
    <s v="cashloan"/>
    <n v="0"/>
  </r>
  <r>
    <x v="661"/>
    <x v="1"/>
    <x v="9"/>
    <n v="44"/>
    <n v="29"/>
    <x v="26"/>
    <x v="16"/>
    <s v="cashloan"/>
    <n v="154500000"/>
  </r>
  <r>
    <x v="661"/>
    <x v="1"/>
    <x v="9"/>
    <n v="44"/>
    <n v="29"/>
    <x v="2"/>
    <x v="2"/>
    <s v="cashloan"/>
    <n v="14843270000"/>
  </r>
  <r>
    <x v="661"/>
    <x v="1"/>
    <x v="9"/>
    <n v="44"/>
    <n v="29"/>
    <x v="17"/>
    <x v="9"/>
    <s v="cashloan"/>
    <n v="0"/>
  </r>
  <r>
    <x v="661"/>
    <x v="1"/>
    <x v="9"/>
    <n v="44"/>
    <n v="29"/>
    <x v="20"/>
    <x v="9"/>
    <s v="cashloan"/>
    <n v="0"/>
  </r>
  <r>
    <x v="661"/>
    <x v="1"/>
    <x v="9"/>
    <n v="44"/>
    <n v="29"/>
    <x v="21"/>
    <x v="9"/>
    <s v="cashloan"/>
    <n v="0"/>
  </r>
  <r>
    <x v="661"/>
    <x v="1"/>
    <x v="9"/>
    <n v="44"/>
    <n v="29"/>
    <x v="25"/>
    <x v="2"/>
    <s v="cashloan"/>
    <n v="0"/>
  </r>
  <r>
    <x v="661"/>
    <x v="1"/>
    <x v="9"/>
    <n v="44"/>
    <n v="29"/>
    <x v="0"/>
    <x v="0"/>
    <s v="payday"/>
    <n v="8617752000"/>
  </r>
  <r>
    <x v="661"/>
    <x v="1"/>
    <x v="9"/>
    <n v="44"/>
    <n v="29"/>
    <x v="7"/>
    <x v="7"/>
    <s v="paylater"/>
    <n v="188504647"/>
  </r>
  <r>
    <x v="661"/>
    <x v="1"/>
    <x v="9"/>
    <n v="44"/>
    <n v="29"/>
    <x v="1"/>
    <x v="1"/>
    <s v="cashloan"/>
    <n v="0"/>
  </r>
  <r>
    <x v="661"/>
    <x v="1"/>
    <x v="9"/>
    <n v="44"/>
    <n v="29"/>
    <x v="6"/>
    <x v="6"/>
    <s v="payday"/>
    <n v="20000000"/>
  </r>
  <r>
    <x v="661"/>
    <x v="1"/>
    <x v="9"/>
    <n v="44"/>
    <n v="29"/>
    <x v="18"/>
    <x v="15"/>
    <s v="cashloan"/>
    <n v="729410000"/>
  </r>
  <r>
    <x v="661"/>
    <x v="1"/>
    <x v="9"/>
    <n v="44"/>
    <n v="29"/>
    <x v="29"/>
    <x v="20"/>
    <s v="payday"/>
    <n v="190080000"/>
  </r>
  <r>
    <x v="661"/>
    <x v="1"/>
    <x v="9"/>
    <n v="44"/>
    <n v="29"/>
    <x v="19"/>
    <x v="12"/>
    <s v="paylater"/>
    <n v="504866315"/>
  </r>
  <r>
    <x v="661"/>
    <x v="1"/>
    <x v="9"/>
    <n v="44"/>
    <n v="29"/>
    <x v="24"/>
    <x v="18"/>
    <s v="cashloan"/>
    <n v="3664690000"/>
  </r>
  <r>
    <x v="662"/>
    <x v="1"/>
    <x v="9"/>
    <n v="44"/>
    <n v="30"/>
    <x v="3"/>
    <x v="3"/>
    <s v="cashloan"/>
    <n v="110800000"/>
  </r>
  <r>
    <x v="662"/>
    <x v="1"/>
    <x v="9"/>
    <n v="44"/>
    <n v="30"/>
    <x v="11"/>
    <x v="10"/>
    <s v="paylater"/>
    <n v="260473982"/>
  </r>
  <r>
    <x v="662"/>
    <x v="1"/>
    <x v="9"/>
    <n v="44"/>
    <n v="30"/>
    <x v="12"/>
    <x v="11"/>
    <s v="cashloan"/>
    <n v="13975240000"/>
  </r>
  <r>
    <x v="662"/>
    <x v="1"/>
    <x v="9"/>
    <n v="44"/>
    <n v="30"/>
    <x v="5"/>
    <x v="5"/>
    <s v="overdraft"/>
    <n v="2466995930"/>
  </r>
  <r>
    <x v="662"/>
    <x v="1"/>
    <x v="9"/>
    <n v="44"/>
    <n v="30"/>
    <x v="27"/>
    <x v="19"/>
    <s v="payday"/>
    <n v="7936920000"/>
  </r>
  <r>
    <x v="662"/>
    <x v="1"/>
    <x v="9"/>
    <n v="44"/>
    <n v="30"/>
    <x v="15"/>
    <x v="14"/>
    <s v="paylater"/>
    <n v="27173372"/>
  </r>
  <r>
    <x v="662"/>
    <x v="1"/>
    <x v="9"/>
    <n v="44"/>
    <n v="30"/>
    <x v="14"/>
    <x v="13"/>
    <s v="cashloan"/>
    <n v="1819880000"/>
  </r>
  <r>
    <x v="662"/>
    <x v="1"/>
    <x v="9"/>
    <n v="44"/>
    <n v="30"/>
    <x v="23"/>
    <x v="17"/>
    <s v="paylater"/>
    <n v="35392000"/>
  </r>
  <r>
    <x v="662"/>
    <x v="1"/>
    <x v="9"/>
    <n v="44"/>
    <n v="30"/>
    <x v="28"/>
    <x v="17"/>
    <s v="paylater"/>
    <n v="461105704"/>
  </r>
  <r>
    <x v="662"/>
    <x v="1"/>
    <x v="9"/>
    <n v="44"/>
    <n v="30"/>
    <x v="8"/>
    <x v="8"/>
    <s v="cashloan"/>
    <n v="0"/>
  </r>
  <r>
    <x v="662"/>
    <x v="1"/>
    <x v="9"/>
    <n v="44"/>
    <n v="30"/>
    <x v="26"/>
    <x v="16"/>
    <s v="cashloan"/>
    <n v="291500000"/>
  </r>
  <r>
    <x v="662"/>
    <x v="1"/>
    <x v="9"/>
    <n v="44"/>
    <n v="30"/>
    <x v="2"/>
    <x v="2"/>
    <s v="cashloan"/>
    <n v="14692740000"/>
  </r>
  <r>
    <x v="662"/>
    <x v="1"/>
    <x v="9"/>
    <n v="44"/>
    <n v="30"/>
    <x v="17"/>
    <x v="9"/>
    <s v="cashloan"/>
    <n v="0"/>
  </r>
  <r>
    <x v="662"/>
    <x v="1"/>
    <x v="9"/>
    <n v="44"/>
    <n v="30"/>
    <x v="20"/>
    <x v="9"/>
    <s v="cashloan"/>
    <n v="0"/>
  </r>
  <r>
    <x v="662"/>
    <x v="1"/>
    <x v="9"/>
    <n v="44"/>
    <n v="30"/>
    <x v="21"/>
    <x v="9"/>
    <s v="cashloan"/>
    <n v="0"/>
  </r>
  <r>
    <x v="662"/>
    <x v="1"/>
    <x v="9"/>
    <n v="44"/>
    <n v="30"/>
    <x v="25"/>
    <x v="2"/>
    <s v="cashloan"/>
    <n v="32100000"/>
  </r>
  <r>
    <x v="662"/>
    <x v="1"/>
    <x v="9"/>
    <n v="44"/>
    <n v="30"/>
    <x v="0"/>
    <x v="0"/>
    <s v="payday"/>
    <n v="9041112000"/>
  </r>
  <r>
    <x v="662"/>
    <x v="1"/>
    <x v="9"/>
    <n v="44"/>
    <n v="30"/>
    <x v="7"/>
    <x v="7"/>
    <s v="paylater"/>
    <n v="216989315"/>
  </r>
  <r>
    <x v="662"/>
    <x v="1"/>
    <x v="9"/>
    <n v="44"/>
    <n v="30"/>
    <x v="1"/>
    <x v="1"/>
    <s v="cashloan"/>
    <n v="0"/>
  </r>
  <r>
    <x v="662"/>
    <x v="1"/>
    <x v="9"/>
    <n v="44"/>
    <n v="30"/>
    <x v="6"/>
    <x v="6"/>
    <s v="payday"/>
    <n v="47000000"/>
  </r>
  <r>
    <x v="662"/>
    <x v="1"/>
    <x v="9"/>
    <n v="44"/>
    <n v="30"/>
    <x v="18"/>
    <x v="15"/>
    <s v="cashloan"/>
    <n v="908180000"/>
  </r>
  <r>
    <x v="662"/>
    <x v="1"/>
    <x v="9"/>
    <n v="44"/>
    <n v="30"/>
    <x v="29"/>
    <x v="20"/>
    <s v="payday"/>
    <n v="224640000"/>
  </r>
  <r>
    <x v="662"/>
    <x v="1"/>
    <x v="9"/>
    <n v="44"/>
    <n v="30"/>
    <x v="19"/>
    <x v="12"/>
    <s v="paylater"/>
    <n v="467574733"/>
  </r>
  <r>
    <x v="662"/>
    <x v="1"/>
    <x v="9"/>
    <n v="44"/>
    <n v="30"/>
    <x v="24"/>
    <x v="18"/>
    <s v="cashloan"/>
    <n v="3701380000"/>
  </r>
  <r>
    <x v="663"/>
    <x v="1"/>
    <x v="9"/>
    <n v="44"/>
    <n v="31"/>
    <x v="3"/>
    <x v="3"/>
    <s v="cashloan"/>
    <n v="112650000"/>
  </r>
  <r>
    <x v="663"/>
    <x v="1"/>
    <x v="9"/>
    <n v="44"/>
    <n v="31"/>
    <x v="11"/>
    <x v="10"/>
    <s v="paylater"/>
    <n v="327648695"/>
  </r>
  <r>
    <x v="663"/>
    <x v="1"/>
    <x v="9"/>
    <n v="44"/>
    <n v="31"/>
    <x v="12"/>
    <x v="11"/>
    <s v="cashloan"/>
    <n v="13447930000"/>
  </r>
  <r>
    <x v="663"/>
    <x v="1"/>
    <x v="9"/>
    <n v="44"/>
    <n v="31"/>
    <x v="5"/>
    <x v="5"/>
    <s v="overdraft"/>
    <n v="2704510422"/>
  </r>
  <r>
    <x v="663"/>
    <x v="1"/>
    <x v="9"/>
    <n v="44"/>
    <n v="31"/>
    <x v="27"/>
    <x v="19"/>
    <s v="payday"/>
    <n v="8254656000"/>
  </r>
  <r>
    <x v="663"/>
    <x v="1"/>
    <x v="9"/>
    <n v="44"/>
    <n v="31"/>
    <x v="15"/>
    <x v="14"/>
    <s v="paylater"/>
    <n v="11200736"/>
  </r>
  <r>
    <x v="663"/>
    <x v="1"/>
    <x v="9"/>
    <n v="44"/>
    <n v="31"/>
    <x v="14"/>
    <x v="13"/>
    <s v="cashloan"/>
    <n v="1886930000"/>
  </r>
  <r>
    <x v="663"/>
    <x v="1"/>
    <x v="9"/>
    <n v="44"/>
    <n v="31"/>
    <x v="23"/>
    <x v="17"/>
    <s v="paylater"/>
    <n v="6977397"/>
  </r>
  <r>
    <x v="663"/>
    <x v="1"/>
    <x v="9"/>
    <n v="44"/>
    <n v="31"/>
    <x v="28"/>
    <x v="17"/>
    <s v="paylater"/>
    <n v="518460858"/>
  </r>
  <r>
    <x v="663"/>
    <x v="1"/>
    <x v="9"/>
    <n v="44"/>
    <n v="31"/>
    <x v="8"/>
    <x v="8"/>
    <s v="cashloan"/>
    <n v="0"/>
  </r>
  <r>
    <x v="663"/>
    <x v="1"/>
    <x v="9"/>
    <n v="44"/>
    <n v="31"/>
    <x v="26"/>
    <x v="16"/>
    <s v="cashloan"/>
    <n v="268500000"/>
  </r>
  <r>
    <x v="663"/>
    <x v="1"/>
    <x v="9"/>
    <n v="44"/>
    <n v="31"/>
    <x v="2"/>
    <x v="2"/>
    <s v="cashloan"/>
    <n v="14795160000"/>
  </r>
  <r>
    <x v="663"/>
    <x v="1"/>
    <x v="9"/>
    <n v="44"/>
    <n v="31"/>
    <x v="17"/>
    <x v="9"/>
    <s v="cashloan"/>
    <n v="0"/>
  </r>
  <r>
    <x v="663"/>
    <x v="1"/>
    <x v="9"/>
    <n v="44"/>
    <n v="31"/>
    <x v="20"/>
    <x v="9"/>
    <s v="cashloan"/>
    <n v="0"/>
  </r>
  <r>
    <x v="663"/>
    <x v="1"/>
    <x v="9"/>
    <n v="44"/>
    <n v="31"/>
    <x v="21"/>
    <x v="9"/>
    <s v="cashloan"/>
    <n v="0"/>
  </r>
  <r>
    <x v="663"/>
    <x v="1"/>
    <x v="9"/>
    <n v="44"/>
    <n v="31"/>
    <x v="25"/>
    <x v="2"/>
    <s v="cashloan"/>
    <n v="0"/>
  </r>
  <r>
    <x v="663"/>
    <x v="1"/>
    <x v="9"/>
    <n v="44"/>
    <n v="31"/>
    <x v="0"/>
    <x v="0"/>
    <s v="payday"/>
    <n v="9219636000"/>
  </r>
  <r>
    <x v="663"/>
    <x v="1"/>
    <x v="9"/>
    <n v="44"/>
    <n v="31"/>
    <x v="7"/>
    <x v="7"/>
    <s v="paylater"/>
    <n v="154121920"/>
  </r>
  <r>
    <x v="663"/>
    <x v="1"/>
    <x v="9"/>
    <n v="44"/>
    <n v="31"/>
    <x v="1"/>
    <x v="1"/>
    <s v="cashloan"/>
    <n v="21000000"/>
  </r>
  <r>
    <x v="663"/>
    <x v="1"/>
    <x v="9"/>
    <n v="44"/>
    <n v="31"/>
    <x v="6"/>
    <x v="6"/>
    <s v="payday"/>
    <n v="39000000"/>
  </r>
  <r>
    <x v="663"/>
    <x v="1"/>
    <x v="9"/>
    <n v="44"/>
    <n v="31"/>
    <x v="18"/>
    <x v="15"/>
    <s v="cashloan"/>
    <n v="917340000"/>
  </r>
  <r>
    <x v="663"/>
    <x v="1"/>
    <x v="9"/>
    <n v="44"/>
    <n v="31"/>
    <x v="29"/>
    <x v="20"/>
    <s v="payday"/>
    <n v="225720000"/>
  </r>
  <r>
    <x v="663"/>
    <x v="1"/>
    <x v="9"/>
    <n v="44"/>
    <n v="31"/>
    <x v="19"/>
    <x v="12"/>
    <s v="paylater"/>
    <n v="642065556"/>
  </r>
  <r>
    <x v="663"/>
    <x v="1"/>
    <x v="9"/>
    <n v="44"/>
    <n v="31"/>
    <x v="24"/>
    <x v="18"/>
    <s v="cashloan"/>
    <n v="2961910000"/>
  </r>
  <r>
    <x v="664"/>
    <x v="1"/>
    <x v="10"/>
    <n v="44"/>
    <n v="1"/>
    <x v="3"/>
    <x v="3"/>
    <s v="cashloan"/>
    <n v="29500000"/>
  </r>
  <r>
    <x v="664"/>
    <x v="1"/>
    <x v="10"/>
    <n v="44"/>
    <n v="1"/>
    <x v="11"/>
    <x v="10"/>
    <s v="paylater"/>
    <n v="478467350"/>
  </r>
  <r>
    <x v="664"/>
    <x v="1"/>
    <x v="10"/>
    <n v="44"/>
    <n v="1"/>
    <x v="12"/>
    <x v="11"/>
    <s v="cashloan"/>
    <n v="15834510000"/>
  </r>
  <r>
    <x v="664"/>
    <x v="1"/>
    <x v="10"/>
    <n v="44"/>
    <n v="1"/>
    <x v="5"/>
    <x v="5"/>
    <s v="overdraft"/>
    <n v="4041840788"/>
  </r>
  <r>
    <x v="664"/>
    <x v="1"/>
    <x v="10"/>
    <n v="44"/>
    <n v="1"/>
    <x v="27"/>
    <x v="19"/>
    <s v="payday"/>
    <n v="8408340000"/>
  </r>
  <r>
    <x v="664"/>
    <x v="1"/>
    <x v="10"/>
    <n v="44"/>
    <n v="1"/>
    <x v="15"/>
    <x v="14"/>
    <s v="paylater"/>
    <n v="28952433"/>
  </r>
  <r>
    <x v="664"/>
    <x v="1"/>
    <x v="10"/>
    <n v="44"/>
    <n v="1"/>
    <x v="14"/>
    <x v="13"/>
    <s v="cashloan"/>
    <n v="2201550000"/>
  </r>
  <r>
    <x v="664"/>
    <x v="1"/>
    <x v="10"/>
    <n v="44"/>
    <n v="1"/>
    <x v="23"/>
    <x v="17"/>
    <s v="paylater"/>
    <n v="14746333"/>
  </r>
  <r>
    <x v="664"/>
    <x v="1"/>
    <x v="10"/>
    <n v="44"/>
    <n v="1"/>
    <x v="28"/>
    <x v="17"/>
    <s v="paylater"/>
    <n v="890756233"/>
  </r>
  <r>
    <x v="664"/>
    <x v="1"/>
    <x v="10"/>
    <n v="44"/>
    <n v="1"/>
    <x v="8"/>
    <x v="8"/>
    <s v="cashloan"/>
    <n v="0"/>
  </r>
  <r>
    <x v="664"/>
    <x v="1"/>
    <x v="10"/>
    <n v="44"/>
    <n v="1"/>
    <x v="26"/>
    <x v="16"/>
    <s v="cashloan"/>
    <n v="143500000"/>
  </r>
  <r>
    <x v="664"/>
    <x v="1"/>
    <x v="10"/>
    <n v="44"/>
    <n v="1"/>
    <x v="2"/>
    <x v="2"/>
    <s v="cashloan"/>
    <n v="15671840000"/>
  </r>
  <r>
    <x v="664"/>
    <x v="1"/>
    <x v="10"/>
    <n v="44"/>
    <n v="1"/>
    <x v="17"/>
    <x v="9"/>
    <s v="cashloan"/>
    <n v="0"/>
  </r>
  <r>
    <x v="664"/>
    <x v="1"/>
    <x v="10"/>
    <n v="44"/>
    <n v="1"/>
    <x v="20"/>
    <x v="9"/>
    <s v="cashloan"/>
    <n v="0"/>
  </r>
  <r>
    <x v="664"/>
    <x v="1"/>
    <x v="10"/>
    <n v="44"/>
    <n v="1"/>
    <x v="21"/>
    <x v="9"/>
    <s v="cashloan"/>
    <n v="0"/>
  </r>
  <r>
    <x v="664"/>
    <x v="1"/>
    <x v="10"/>
    <n v="44"/>
    <n v="1"/>
    <x v="25"/>
    <x v="2"/>
    <s v="cashloan"/>
    <n v="0"/>
  </r>
  <r>
    <x v="664"/>
    <x v="1"/>
    <x v="10"/>
    <n v="44"/>
    <n v="1"/>
    <x v="0"/>
    <x v="0"/>
    <s v="payday"/>
    <n v="10397592000"/>
  </r>
  <r>
    <x v="664"/>
    <x v="1"/>
    <x v="10"/>
    <n v="44"/>
    <n v="1"/>
    <x v="7"/>
    <x v="7"/>
    <s v="paylater"/>
    <n v="538675796"/>
  </r>
  <r>
    <x v="664"/>
    <x v="1"/>
    <x v="10"/>
    <n v="44"/>
    <n v="1"/>
    <x v="1"/>
    <x v="1"/>
    <s v="cashloan"/>
    <n v="10000000"/>
  </r>
  <r>
    <x v="664"/>
    <x v="1"/>
    <x v="10"/>
    <n v="44"/>
    <n v="1"/>
    <x v="6"/>
    <x v="6"/>
    <s v="payday"/>
    <n v="37000000"/>
  </r>
  <r>
    <x v="664"/>
    <x v="1"/>
    <x v="10"/>
    <n v="44"/>
    <n v="1"/>
    <x v="18"/>
    <x v="15"/>
    <s v="cashloan"/>
    <n v="1004390000"/>
  </r>
  <r>
    <x v="664"/>
    <x v="1"/>
    <x v="10"/>
    <n v="44"/>
    <n v="1"/>
    <x v="29"/>
    <x v="20"/>
    <s v="payday"/>
    <n v="206280000"/>
  </r>
  <r>
    <x v="664"/>
    <x v="1"/>
    <x v="10"/>
    <n v="44"/>
    <n v="1"/>
    <x v="19"/>
    <x v="12"/>
    <s v="paylater"/>
    <n v="959847696"/>
  </r>
  <r>
    <x v="664"/>
    <x v="1"/>
    <x v="10"/>
    <n v="44"/>
    <n v="1"/>
    <x v="24"/>
    <x v="18"/>
    <s v="cashloan"/>
    <n v="3697060000"/>
  </r>
  <r>
    <x v="665"/>
    <x v="1"/>
    <x v="10"/>
    <n v="44"/>
    <n v="2"/>
    <x v="3"/>
    <x v="3"/>
    <s v="cashloan"/>
    <n v="21000000"/>
  </r>
  <r>
    <x v="665"/>
    <x v="1"/>
    <x v="10"/>
    <n v="44"/>
    <n v="2"/>
    <x v="11"/>
    <x v="10"/>
    <s v="paylater"/>
    <n v="358750083"/>
  </r>
  <r>
    <x v="665"/>
    <x v="1"/>
    <x v="10"/>
    <n v="44"/>
    <n v="2"/>
    <x v="12"/>
    <x v="11"/>
    <s v="cashloan"/>
    <n v="13819920000"/>
  </r>
  <r>
    <x v="665"/>
    <x v="1"/>
    <x v="10"/>
    <n v="44"/>
    <n v="2"/>
    <x v="5"/>
    <x v="5"/>
    <s v="overdraft"/>
    <n v="2984324308"/>
  </r>
  <r>
    <x v="665"/>
    <x v="1"/>
    <x v="10"/>
    <n v="44"/>
    <n v="2"/>
    <x v="27"/>
    <x v="19"/>
    <s v="payday"/>
    <n v="7905276000"/>
  </r>
  <r>
    <x v="665"/>
    <x v="1"/>
    <x v="10"/>
    <n v="44"/>
    <n v="2"/>
    <x v="15"/>
    <x v="14"/>
    <s v="paylater"/>
    <n v="28475282"/>
  </r>
  <r>
    <x v="665"/>
    <x v="1"/>
    <x v="10"/>
    <n v="44"/>
    <n v="2"/>
    <x v="14"/>
    <x v="13"/>
    <s v="cashloan"/>
    <n v="2470500000"/>
  </r>
  <r>
    <x v="665"/>
    <x v="1"/>
    <x v="10"/>
    <n v="44"/>
    <n v="2"/>
    <x v="23"/>
    <x v="17"/>
    <s v="paylater"/>
    <n v="40218108"/>
  </r>
  <r>
    <x v="665"/>
    <x v="1"/>
    <x v="10"/>
    <n v="44"/>
    <n v="2"/>
    <x v="28"/>
    <x v="17"/>
    <s v="paylater"/>
    <n v="978559742"/>
  </r>
  <r>
    <x v="665"/>
    <x v="1"/>
    <x v="10"/>
    <n v="44"/>
    <n v="2"/>
    <x v="8"/>
    <x v="8"/>
    <s v="cashloan"/>
    <n v="0"/>
  </r>
  <r>
    <x v="665"/>
    <x v="1"/>
    <x v="10"/>
    <n v="44"/>
    <n v="2"/>
    <x v="26"/>
    <x v="16"/>
    <s v="cashloan"/>
    <n v="114500000"/>
  </r>
  <r>
    <x v="665"/>
    <x v="1"/>
    <x v="10"/>
    <n v="44"/>
    <n v="2"/>
    <x v="2"/>
    <x v="2"/>
    <s v="cashloan"/>
    <n v="13392750000"/>
  </r>
  <r>
    <x v="665"/>
    <x v="1"/>
    <x v="10"/>
    <n v="44"/>
    <n v="2"/>
    <x v="17"/>
    <x v="9"/>
    <s v="cashloan"/>
    <n v="0"/>
  </r>
  <r>
    <x v="665"/>
    <x v="1"/>
    <x v="10"/>
    <n v="44"/>
    <n v="2"/>
    <x v="20"/>
    <x v="9"/>
    <s v="cashloan"/>
    <n v="0"/>
  </r>
  <r>
    <x v="665"/>
    <x v="1"/>
    <x v="10"/>
    <n v="44"/>
    <n v="2"/>
    <x v="21"/>
    <x v="9"/>
    <s v="cashloan"/>
    <n v="0"/>
  </r>
  <r>
    <x v="665"/>
    <x v="1"/>
    <x v="10"/>
    <n v="44"/>
    <n v="2"/>
    <x v="25"/>
    <x v="2"/>
    <s v="cashloan"/>
    <n v="15000000"/>
  </r>
  <r>
    <x v="665"/>
    <x v="1"/>
    <x v="10"/>
    <n v="44"/>
    <n v="2"/>
    <x v="0"/>
    <x v="0"/>
    <s v="payday"/>
    <n v="9450432000"/>
  </r>
  <r>
    <x v="665"/>
    <x v="1"/>
    <x v="10"/>
    <n v="44"/>
    <n v="2"/>
    <x v="7"/>
    <x v="7"/>
    <s v="paylater"/>
    <n v="451806061"/>
  </r>
  <r>
    <x v="665"/>
    <x v="1"/>
    <x v="10"/>
    <n v="44"/>
    <n v="2"/>
    <x v="1"/>
    <x v="1"/>
    <s v="cashloan"/>
    <n v="44500000"/>
  </r>
  <r>
    <x v="665"/>
    <x v="1"/>
    <x v="10"/>
    <n v="44"/>
    <n v="2"/>
    <x v="6"/>
    <x v="6"/>
    <s v="payday"/>
    <n v="34000000"/>
  </r>
  <r>
    <x v="665"/>
    <x v="1"/>
    <x v="10"/>
    <n v="44"/>
    <n v="2"/>
    <x v="18"/>
    <x v="15"/>
    <s v="cashloan"/>
    <n v="460820000"/>
  </r>
  <r>
    <x v="665"/>
    <x v="1"/>
    <x v="10"/>
    <n v="44"/>
    <n v="2"/>
    <x v="29"/>
    <x v="20"/>
    <s v="payday"/>
    <n v="225720000"/>
  </r>
  <r>
    <x v="665"/>
    <x v="1"/>
    <x v="10"/>
    <n v="44"/>
    <n v="2"/>
    <x v="19"/>
    <x v="12"/>
    <s v="paylater"/>
    <n v="1022537492"/>
  </r>
  <r>
    <x v="665"/>
    <x v="1"/>
    <x v="10"/>
    <n v="44"/>
    <n v="2"/>
    <x v="24"/>
    <x v="18"/>
    <s v="cashloan"/>
    <n v="3727150000"/>
  </r>
  <r>
    <x v="666"/>
    <x v="1"/>
    <x v="10"/>
    <n v="45"/>
    <n v="3"/>
    <x v="3"/>
    <x v="3"/>
    <s v="cashloan"/>
    <n v="15750000"/>
  </r>
  <r>
    <x v="666"/>
    <x v="1"/>
    <x v="10"/>
    <n v="45"/>
    <n v="3"/>
    <x v="11"/>
    <x v="10"/>
    <s v="paylater"/>
    <n v="409473918"/>
  </r>
  <r>
    <x v="666"/>
    <x v="1"/>
    <x v="10"/>
    <n v="45"/>
    <n v="3"/>
    <x v="12"/>
    <x v="11"/>
    <s v="cashloan"/>
    <n v="17236600000"/>
  </r>
  <r>
    <x v="666"/>
    <x v="1"/>
    <x v="10"/>
    <n v="45"/>
    <n v="3"/>
    <x v="5"/>
    <x v="5"/>
    <s v="overdraft"/>
    <n v="3376644741"/>
  </r>
  <r>
    <x v="666"/>
    <x v="1"/>
    <x v="10"/>
    <n v="45"/>
    <n v="3"/>
    <x v="27"/>
    <x v="19"/>
    <s v="payday"/>
    <n v="8696700000"/>
  </r>
  <r>
    <x v="666"/>
    <x v="1"/>
    <x v="10"/>
    <n v="45"/>
    <n v="3"/>
    <x v="15"/>
    <x v="14"/>
    <s v="paylater"/>
    <n v="124748818"/>
  </r>
  <r>
    <x v="666"/>
    <x v="1"/>
    <x v="10"/>
    <n v="45"/>
    <n v="3"/>
    <x v="14"/>
    <x v="13"/>
    <s v="cashloan"/>
    <n v="2847450000"/>
  </r>
  <r>
    <x v="666"/>
    <x v="1"/>
    <x v="10"/>
    <n v="45"/>
    <n v="3"/>
    <x v="23"/>
    <x v="17"/>
    <s v="paylater"/>
    <n v="84371800"/>
  </r>
  <r>
    <x v="666"/>
    <x v="1"/>
    <x v="10"/>
    <n v="45"/>
    <n v="3"/>
    <x v="28"/>
    <x v="17"/>
    <s v="paylater"/>
    <n v="1393000999"/>
  </r>
  <r>
    <x v="666"/>
    <x v="1"/>
    <x v="10"/>
    <n v="45"/>
    <n v="3"/>
    <x v="8"/>
    <x v="8"/>
    <s v="cashloan"/>
    <n v="0"/>
  </r>
  <r>
    <x v="666"/>
    <x v="1"/>
    <x v="10"/>
    <n v="45"/>
    <n v="3"/>
    <x v="26"/>
    <x v="16"/>
    <s v="cashloan"/>
    <n v="239500000"/>
  </r>
  <r>
    <x v="666"/>
    <x v="1"/>
    <x v="10"/>
    <n v="45"/>
    <n v="3"/>
    <x v="2"/>
    <x v="2"/>
    <s v="cashloan"/>
    <n v="16333610000"/>
  </r>
  <r>
    <x v="666"/>
    <x v="1"/>
    <x v="10"/>
    <n v="45"/>
    <n v="3"/>
    <x v="17"/>
    <x v="9"/>
    <s v="cashloan"/>
    <n v="0"/>
  </r>
  <r>
    <x v="666"/>
    <x v="1"/>
    <x v="10"/>
    <n v="45"/>
    <n v="3"/>
    <x v="20"/>
    <x v="9"/>
    <s v="cashloan"/>
    <n v="0"/>
  </r>
  <r>
    <x v="666"/>
    <x v="1"/>
    <x v="10"/>
    <n v="45"/>
    <n v="3"/>
    <x v="21"/>
    <x v="9"/>
    <s v="cashloan"/>
    <n v="0"/>
  </r>
  <r>
    <x v="666"/>
    <x v="1"/>
    <x v="10"/>
    <n v="45"/>
    <n v="3"/>
    <x v="25"/>
    <x v="2"/>
    <s v="cashloan"/>
    <n v="0"/>
  </r>
  <r>
    <x v="666"/>
    <x v="1"/>
    <x v="10"/>
    <n v="45"/>
    <n v="3"/>
    <x v="0"/>
    <x v="0"/>
    <s v="payday"/>
    <n v="10389060000"/>
  </r>
  <r>
    <x v="666"/>
    <x v="1"/>
    <x v="10"/>
    <n v="45"/>
    <n v="3"/>
    <x v="7"/>
    <x v="7"/>
    <s v="paylater"/>
    <n v="541514010"/>
  </r>
  <r>
    <x v="666"/>
    <x v="1"/>
    <x v="10"/>
    <n v="45"/>
    <n v="3"/>
    <x v="1"/>
    <x v="1"/>
    <s v="cashloan"/>
    <n v="20000000"/>
  </r>
  <r>
    <x v="666"/>
    <x v="1"/>
    <x v="10"/>
    <n v="45"/>
    <n v="3"/>
    <x v="6"/>
    <x v="6"/>
    <s v="payday"/>
    <n v="61000000"/>
  </r>
  <r>
    <x v="666"/>
    <x v="1"/>
    <x v="10"/>
    <n v="45"/>
    <n v="3"/>
    <x v="18"/>
    <x v="15"/>
    <s v="cashloan"/>
    <n v="917060000"/>
  </r>
  <r>
    <x v="666"/>
    <x v="1"/>
    <x v="10"/>
    <n v="45"/>
    <n v="3"/>
    <x v="29"/>
    <x v="20"/>
    <s v="payday"/>
    <n v="268920000"/>
  </r>
  <r>
    <x v="666"/>
    <x v="1"/>
    <x v="10"/>
    <n v="45"/>
    <n v="3"/>
    <x v="19"/>
    <x v="12"/>
    <s v="paylater"/>
    <n v="1498160272"/>
  </r>
  <r>
    <x v="666"/>
    <x v="1"/>
    <x v="10"/>
    <n v="45"/>
    <n v="3"/>
    <x v="24"/>
    <x v="18"/>
    <s v="cashloan"/>
    <n v="4600250000"/>
  </r>
  <r>
    <x v="667"/>
    <x v="1"/>
    <x v="10"/>
    <n v="45"/>
    <n v="4"/>
    <x v="3"/>
    <x v="3"/>
    <s v="cashloan"/>
    <n v="20000000"/>
  </r>
  <r>
    <x v="667"/>
    <x v="1"/>
    <x v="10"/>
    <n v="45"/>
    <n v="4"/>
    <x v="11"/>
    <x v="10"/>
    <s v="paylater"/>
    <n v="432841836"/>
  </r>
  <r>
    <x v="667"/>
    <x v="1"/>
    <x v="10"/>
    <n v="45"/>
    <n v="4"/>
    <x v="12"/>
    <x v="11"/>
    <s v="cashloan"/>
    <n v="18692370000"/>
  </r>
  <r>
    <x v="667"/>
    <x v="1"/>
    <x v="10"/>
    <n v="45"/>
    <n v="4"/>
    <x v="5"/>
    <x v="5"/>
    <s v="overdraft"/>
    <n v="3371441736"/>
  </r>
  <r>
    <x v="667"/>
    <x v="1"/>
    <x v="10"/>
    <n v="45"/>
    <n v="4"/>
    <x v="27"/>
    <x v="19"/>
    <s v="payday"/>
    <n v="8990568000"/>
  </r>
  <r>
    <x v="667"/>
    <x v="1"/>
    <x v="10"/>
    <n v="45"/>
    <n v="4"/>
    <x v="15"/>
    <x v="14"/>
    <s v="paylater"/>
    <n v="77206672"/>
  </r>
  <r>
    <x v="667"/>
    <x v="1"/>
    <x v="10"/>
    <n v="45"/>
    <n v="4"/>
    <x v="14"/>
    <x v="13"/>
    <s v="cashloan"/>
    <n v="3494510000"/>
  </r>
  <r>
    <x v="667"/>
    <x v="1"/>
    <x v="10"/>
    <n v="45"/>
    <n v="4"/>
    <x v="23"/>
    <x v="17"/>
    <s v="paylater"/>
    <n v="100320779"/>
  </r>
  <r>
    <x v="667"/>
    <x v="1"/>
    <x v="10"/>
    <n v="45"/>
    <n v="4"/>
    <x v="28"/>
    <x v="17"/>
    <s v="paylater"/>
    <n v="1805144988"/>
  </r>
  <r>
    <x v="667"/>
    <x v="1"/>
    <x v="10"/>
    <n v="45"/>
    <n v="4"/>
    <x v="8"/>
    <x v="8"/>
    <s v="cashloan"/>
    <n v="0"/>
  </r>
  <r>
    <x v="667"/>
    <x v="1"/>
    <x v="10"/>
    <n v="45"/>
    <n v="4"/>
    <x v="26"/>
    <x v="16"/>
    <s v="cashloan"/>
    <n v="491100000"/>
  </r>
  <r>
    <x v="667"/>
    <x v="1"/>
    <x v="10"/>
    <n v="45"/>
    <n v="4"/>
    <x v="2"/>
    <x v="2"/>
    <s v="cashloan"/>
    <n v="16520790000"/>
  </r>
  <r>
    <x v="667"/>
    <x v="1"/>
    <x v="10"/>
    <n v="45"/>
    <n v="4"/>
    <x v="17"/>
    <x v="9"/>
    <s v="cashloan"/>
    <n v="0"/>
  </r>
  <r>
    <x v="667"/>
    <x v="1"/>
    <x v="10"/>
    <n v="45"/>
    <n v="4"/>
    <x v="20"/>
    <x v="9"/>
    <s v="cashloan"/>
    <n v="0"/>
  </r>
  <r>
    <x v="667"/>
    <x v="1"/>
    <x v="10"/>
    <n v="45"/>
    <n v="4"/>
    <x v="21"/>
    <x v="9"/>
    <s v="cashloan"/>
    <n v="0"/>
  </r>
  <r>
    <x v="667"/>
    <x v="1"/>
    <x v="10"/>
    <n v="45"/>
    <n v="4"/>
    <x v="25"/>
    <x v="2"/>
    <s v="cashloan"/>
    <n v="0"/>
  </r>
  <r>
    <x v="667"/>
    <x v="1"/>
    <x v="10"/>
    <n v="45"/>
    <n v="4"/>
    <x v="0"/>
    <x v="0"/>
    <s v="payday"/>
    <n v="9921420000"/>
  </r>
  <r>
    <x v="667"/>
    <x v="1"/>
    <x v="10"/>
    <n v="45"/>
    <n v="4"/>
    <x v="7"/>
    <x v="7"/>
    <s v="paylater"/>
    <n v="710492168"/>
  </r>
  <r>
    <x v="667"/>
    <x v="1"/>
    <x v="10"/>
    <n v="45"/>
    <n v="4"/>
    <x v="1"/>
    <x v="1"/>
    <s v="cashloan"/>
    <n v="10500000"/>
  </r>
  <r>
    <x v="667"/>
    <x v="1"/>
    <x v="10"/>
    <n v="45"/>
    <n v="4"/>
    <x v="6"/>
    <x v="6"/>
    <s v="payday"/>
    <n v="32000000"/>
  </r>
  <r>
    <x v="667"/>
    <x v="1"/>
    <x v="10"/>
    <n v="45"/>
    <n v="4"/>
    <x v="18"/>
    <x v="15"/>
    <s v="cashloan"/>
    <n v="1131740000"/>
  </r>
  <r>
    <x v="667"/>
    <x v="1"/>
    <x v="10"/>
    <n v="45"/>
    <n v="4"/>
    <x v="29"/>
    <x v="20"/>
    <s v="payday"/>
    <n v="270000000"/>
  </r>
  <r>
    <x v="667"/>
    <x v="1"/>
    <x v="10"/>
    <n v="45"/>
    <n v="4"/>
    <x v="19"/>
    <x v="12"/>
    <s v="paylater"/>
    <n v="1973581765"/>
  </r>
  <r>
    <x v="667"/>
    <x v="1"/>
    <x v="10"/>
    <n v="45"/>
    <n v="4"/>
    <x v="24"/>
    <x v="18"/>
    <s v="cashloan"/>
    <n v="4924020000"/>
  </r>
  <r>
    <x v="668"/>
    <x v="1"/>
    <x v="10"/>
    <n v="45"/>
    <n v="5"/>
    <x v="3"/>
    <x v="3"/>
    <s v="cashloan"/>
    <n v="71400000"/>
  </r>
  <r>
    <x v="668"/>
    <x v="1"/>
    <x v="10"/>
    <n v="45"/>
    <n v="5"/>
    <x v="11"/>
    <x v="10"/>
    <s v="paylater"/>
    <n v="376206274"/>
  </r>
  <r>
    <x v="668"/>
    <x v="1"/>
    <x v="10"/>
    <n v="45"/>
    <n v="5"/>
    <x v="12"/>
    <x v="11"/>
    <s v="cashloan"/>
    <n v="18818900000"/>
  </r>
  <r>
    <x v="668"/>
    <x v="1"/>
    <x v="10"/>
    <n v="45"/>
    <n v="5"/>
    <x v="5"/>
    <x v="5"/>
    <s v="overdraft"/>
    <n v="3103700863"/>
  </r>
  <r>
    <x v="668"/>
    <x v="1"/>
    <x v="10"/>
    <n v="45"/>
    <n v="5"/>
    <x v="27"/>
    <x v="19"/>
    <s v="payday"/>
    <n v="10057716000"/>
  </r>
  <r>
    <x v="668"/>
    <x v="1"/>
    <x v="10"/>
    <n v="45"/>
    <n v="5"/>
    <x v="15"/>
    <x v="14"/>
    <s v="paylater"/>
    <n v="54792579"/>
  </r>
  <r>
    <x v="668"/>
    <x v="1"/>
    <x v="10"/>
    <n v="45"/>
    <n v="5"/>
    <x v="14"/>
    <x v="13"/>
    <s v="cashloan"/>
    <n v="3167340000"/>
  </r>
  <r>
    <x v="668"/>
    <x v="1"/>
    <x v="10"/>
    <n v="45"/>
    <n v="5"/>
    <x v="23"/>
    <x v="17"/>
    <s v="paylater"/>
    <n v="51251773"/>
  </r>
  <r>
    <x v="668"/>
    <x v="1"/>
    <x v="10"/>
    <n v="45"/>
    <n v="5"/>
    <x v="28"/>
    <x v="17"/>
    <s v="paylater"/>
    <n v="1781285929"/>
  </r>
  <r>
    <x v="668"/>
    <x v="1"/>
    <x v="10"/>
    <n v="45"/>
    <n v="5"/>
    <x v="8"/>
    <x v="8"/>
    <s v="cashloan"/>
    <n v="0"/>
  </r>
  <r>
    <x v="668"/>
    <x v="1"/>
    <x v="10"/>
    <n v="45"/>
    <n v="5"/>
    <x v="26"/>
    <x v="16"/>
    <s v="cashloan"/>
    <n v="210000000"/>
  </r>
  <r>
    <x v="668"/>
    <x v="1"/>
    <x v="10"/>
    <n v="45"/>
    <n v="5"/>
    <x v="2"/>
    <x v="2"/>
    <s v="cashloan"/>
    <n v="17376540000"/>
  </r>
  <r>
    <x v="668"/>
    <x v="1"/>
    <x v="10"/>
    <n v="45"/>
    <n v="5"/>
    <x v="17"/>
    <x v="9"/>
    <s v="cashloan"/>
    <n v="0"/>
  </r>
  <r>
    <x v="668"/>
    <x v="1"/>
    <x v="10"/>
    <n v="45"/>
    <n v="5"/>
    <x v="20"/>
    <x v="9"/>
    <s v="cashloan"/>
    <n v="0"/>
  </r>
  <r>
    <x v="668"/>
    <x v="1"/>
    <x v="10"/>
    <n v="45"/>
    <n v="5"/>
    <x v="21"/>
    <x v="9"/>
    <s v="cashloan"/>
    <n v="0"/>
  </r>
  <r>
    <x v="668"/>
    <x v="1"/>
    <x v="10"/>
    <n v="45"/>
    <n v="5"/>
    <x v="25"/>
    <x v="2"/>
    <s v="cashloan"/>
    <n v="0"/>
  </r>
  <r>
    <x v="668"/>
    <x v="1"/>
    <x v="10"/>
    <n v="45"/>
    <n v="5"/>
    <x v="0"/>
    <x v="0"/>
    <s v="payday"/>
    <n v="11409228000"/>
  </r>
  <r>
    <x v="668"/>
    <x v="1"/>
    <x v="10"/>
    <n v="45"/>
    <n v="5"/>
    <x v="7"/>
    <x v="7"/>
    <s v="paylater"/>
    <n v="639775519"/>
  </r>
  <r>
    <x v="668"/>
    <x v="1"/>
    <x v="10"/>
    <n v="45"/>
    <n v="5"/>
    <x v="1"/>
    <x v="1"/>
    <s v="cashloan"/>
    <n v="31000000"/>
  </r>
  <r>
    <x v="668"/>
    <x v="1"/>
    <x v="10"/>
    <n v="45"/>
    <n v="5"/>
    <x v="6"/>
    <x v="6"/>
    <s v="payday"/>
    <n v="35000000"/>
  </r>
  <r>
    <x v="668"/>
    <x v="1"/>
    <x v="10"/>
    <n v="45"/>
    <n v="5"/>
    <x v="18"/>
    <x v="15"/>
    <s v="cashloan"/>
    <n v="763600000"/>
  </r>
  <r>
    <x v="668"/>
    <x v="1"/>
    <x v="10"/>
    <n v="45"/>
    <n v="5"/>
    <x v="29"/>
    <x v="20"/>
    <s v="payday"/>
    <n v="249156000"/>
  </r>
  <r>
    <x v="668"/>
    <x v="1"/>
    <x v="10"/>
    <n v="45"/>
    <n v="5"/>
    <x v="19"/>
    <x v="12"/>
    <s v="paylater"/>
    <n v="1264684371"/>
  </r>
  <r>
    <x v="668"/>
    <x v="1"/>
    <x v="10"/>
    <n v="45"/>
    <n v="5"/>
    <x v="24"/>
    <x v="18"/>
    <s v="cashloan"/>
    <n v="3471100000"/>
  </r>
  <r>
    <x v="669"/>
    <x v="1"/>
    <x v="10"/>
    <n v="45"/>
    <n v="6"/>
    <x v="3"/>
    <x v="3"/>
    <s v="cashloan"/>
    <n v="61500000"/>
  </r>
  <r>
    <x v="669"/>
    <x v="1"/>
    <x v="10"/>
    <n v="45"/>
    <n v="6"/>
    <x v="11"/>
    <x v="10"/>
    <s v="paylater"/>
    <n v="339372324"/>
  </r>
  <r>
    <x v="669"/>
    <x v="1"/>
    <x v="10"/>
    <n v="45"/>
    <n v="6"/>
    <x v="12"/>
    <x v="11"/>
    <s v="cashloan"/>
    <n v="18389170000"/>
  </r>
  <r>
    <x v="669"/>
    <x v="1"/>
    <x v="10"/>
    <n v="45"/>
    <n v="6"/>
    <x v="5"/>
    <x v="5"/>
    <s v="overdraft"/>
    <n v="2365490217"/>
  </r>
  <r>
    <x v="669"/>
    <x v="1"/>
    <x v="10"/>
    <n v="45"/>
    <n v="6"/>
    <x v="27"/>
    <x v="19"/>
    <s v="payday"/>
    <n v="8525844000"/>
  </r>
  <r>
    <x v="669"/>
    <x v="1"/>
    <x v="10"/>
    <n v="45"/>
    <n v="6"/>
    <x v="15"/>
    <x v="14"/>
    <s v="paylater"/>
    <n v="24681157"/>
  </r>
  <r>
    <x v="669"/>
    <x v="1"/>
    <x v="10"/>
    <n v="45"/>
    <n v="6"/>
    <x v="14"/>
    <x v="13"/>
    <s v="cashloan"/>
    <n v="2584470000"/>
  </r>
  <r>
    <x v="669"/>
    <x v="1"/>
    <x v="10"/>
    <n v="45"/>
    <n v="6"/>
    <x v="23"/>
    <x v="17"/>
    <s v="paylater"/>
    <n v="30687689"/>
  </r>
  <r>
    <x v="669"/>
    <x v="1"/>
    <x v="10"/>
    <n v="45"/>
    <n v="6"/>
    <x v="28"/>
    <x v="17"/>
    <s v="paylater"/>
    <n v="1664467122"/>
  </r>
  <r>
    <x v="669"/>
    <x v="1"/>
    <x v="10"/>
    <n v="45"/>
    <n v="6"/>
    <x v="8"/>
    <x v="8"/>
    <s v="cashloan"/>
    <n v="0"/>
  </r>
  <r>
    <x v="669"/>
    <x v="1"/>
    <x v="10"/>
    <n v="45"/>
    <n v="6"/>
    <x v="26"/>
    <x v="16"/>
    <s v="cashloan"/>
    <n v="338150000"/>
  </r>
  <r>
    <x v="669"/>
    <x v="1"/>
    <x v="10"/>
    <n v="45"/>
    <n v="6"/>
    <x v="2"/>
    <x v="2"/>
    <s v="cashloan"/>
    <n v="16997680000"/>
  </r>
  <r>
    <x v="669"/>
    <x v="1"/>
    <x v="10"/>
    <n v="45"/>
    <n v="6"/>
    <x v="17"/>
    <x v="9"/>
    <s v="cashloan"/>
    <n v="0"/>
  </r>
  <r>
    <x v="669"/>
    <x v="1"/>
    <x v="10"/>
    <n v="45"/>
    <n v="6"/>
    <x v="20"/>
    <x v="9"/>
    <s v="cashloan"/>
    <n v="0"/>
  </r>
  <r>
    <x v="669"/>
    <x v="1"/>
    <x v="10"/>
    <n v="45"/>
    <n v="6"/>
    <x v="21"/>
    <x v="9"/>
    <s v="cashloan"/>
    <n v="0"/>
  </r>
  <r>
    <x v="669"/>
    <x v="1"/>
    <x v="10"/>
    <n v="45"/>
    <n v="6"/>
    <x v="25"/>
    <x v="2"/>
    <s v="cashloan"/>
    <n v="0"/>
  </r>
  <r>
    <x v="669"/>
    <x v="1"/>
    <x v="10"/>
    <n v="45"/>
    <n v="6"/>
    <x v="0"/>
    <x v="0"/>
    <s v="payday"/>
    <n v="10614672000"/>
  </r>
  <r>
    <x v="669"/>
    <x v="1"/>
    <x v="10"/>
    <n v="45"/>
    <n v="6"/>
    <x v="7"/>
    <x v="7"/>
    <s v="paylater"/>
    <n v="399615455"/>
  </r>
  <r>
    <x v="669"/>
    <x v="1"/>
    <x v="10"/>
    <n v="45"/>
    <n v="6"/>
    <x v="1"/>
    <x v="1"/>
    <s v="cashloan"/>
    <n v="33600000"/>
  </r>
  <r>
    <x v="669"/>
    <x v="1"/>
    <x v="10"/>
    <n v="45"/>
    <n v="6"/>
    <x v="6"/>
    <x v="6"/>
    <s v="payday"/>
    <n v="26000000"/>
  </r>
  <r>
    <x v="669"/>
    <x v="1"/>
    <x v="10"/>
    <n v="45"/>
    <n v="6"/>
    <x v="18"/>
    <x v="15"/>
    <s v="cashloan"/>
    <n v="635550000"/>
  </r>
  <r>
    <x v="669"/>
    <x v="1"/>
    <x v="10"/>
    <n v="45"/>
    <n v="6"/>
    <x v="29"/>
    <x v="20"/>
    <s v="payday"/>
    <n v="194400000"/>
  </r>
  <r>
    <x v="669"/>
    <x v="1"/>
    <x v="10"/>
    <n v="45"/>
    <n v="6"/>
    <x v="19"/>
    <x v="12"/>
    <s v="paylater"/>
    <n v="767072421"/>
  </r>
  <r>
    <x v="669"/>
    <x v="1"/>
    <x v="10"/>
    <n v="45"/>
    <n v="6"/>
    <x v="24"/>
    <x v="18"/>
    <s v="cashloan"/>
    <n v="3756710000"/>
  </r>
  <r>
    <x v="670"/>
    <x v="1"/>
    <x v="10"/>
    <n v="45"/>
    <n v="7"/>
    <x v="3"/>
    <x v="3"/>
    <s v="cashloan"/>
    <n v="52500000"/>
  </r>
  <r>
    <x v="670"/>
    <x v="1"/>
    <x v="10"/>
    <n v="45"/>
    <n v="7"/>
    <x v="11"/>
    <x v="10"/>
    <s v="paylater"/>
    <n v="388542464"/>
  </r>
  <r>
    <x v="670"/>
    <x v="1"/>
    <x v="10"/>
    <n v="45"/>
    <n v="7"/>
    <x v="12"/>
    <x v="11"/>
    <s v="cashloan"/>
    <n v="16971850000"/>
  </r>
  <r>
    <x v="670"/>
    <x v="1"/>
    <x v="10"/>
    <n v="45"/>
    <n v="7"/>
    <x v="5"/>
    <x v="5"/>
    <s v="overdraft"/>
    <n v="2475565254"/>
  </r>
  <r>
    <x v="670"/>
    <x v="1"/>
    <x v="10"/>
    <n v="45"/>
    <n v="7"/>
    <x v="27"/>
    <x v="19"/>
    <s v="payday"/>
    <n v="8620452000"/>
  </r>
  <r>
    <x v="670"/>
    <x v="1"/>
    <x v="10"/>
    <n v="45"/>
    <n v="7"/>
    <x v="15"/>
    <x v="14"/>
    <s v="paylater"/>
    <n v="15975445"/>
  </r>
  <r>
    <x v="670"/>
    <x v="1"/>
    <x v="10"/>
    <n v="45"/>
    <n v="7"/>
    <x v="14"/>
    <x v="13"/>
    <s v="cashloan"/>
    <n v="2774010000"/>
  </r>
  <r>
    <x v="670"/>
    <x v="1"/>
    <x v="10"/>
    <n v="45"/>
    <n v="7"/>
    <x v="23"/>
    <x v="17"/>
    <s v="paylater"/>
    <n v="18842773"/>
  </r>
  <r>
    <x v="670"/>
    <x v="1"/>
    <x v="10"/>
    <n v="45"/>
    <n v="7"/>
    <x v="28"/>
    <x v="17"/>
    <s v="paylater"/>
    <n v="1361152396"/>
  </r>
  <r>
    <x v="670"/>
    <x v="1"/>
    <x v="10"/>
    <n v="45"/>
    <n v="7"/>
    <x v="8"/>
    <x v="8"/>
    <s v="cashloan"/>
    <n v="0"/>
  </r>
  <r>
    <x v="670"/>
    <x v="1"/>
    <x v="10"/>
    <n v="45"/>
    <n v="7"/>
    <x v="26"/>
    <x v="16"/>
    <s v="cashloan"/>
    <n v="208250000"/>
  </r>
  <r>
    <x v="670"/>
    <x v="1"/>
    <x v="10"/>
    <n v="45"/>
    <n v="7"/>
    <x v="2"/>
    <x v="2"/>
    <s v="cashloan"/>
    <n v="16733600000"/>
  </r>
  <r>
    <x v="670"/>
    <x v="1"/>
    <x v="10"/>
    <n v="45"/>
    <n v="7"/>
    <x v="17"/>
    <x v="9"/>
    <s v="cashloan"/>
    <n v="0"/>
  </r>
  <r>
    <x v="670"/>
    <x v="1"/>
    <x v="10"/>
    <n v="45"/>
    <n v="7"/>
    <x v="20"/>
    <x v="9"/>
    <s v="cashloan"/>
    <n v="0"/>
  </r>
  <r>
    <x v="670"/>
    <x v="1"/>
    <x v="10"/>
    <n v="45"/>
    <n v="7"/>
    <x v="21"/>
    <x v="9"/>
    <s v="cashloan"/>
    <n v="0"/>
  </r>
  <r>
    <x v="670"/>
    <x v="1"/>
    <x v="10"/>
    <n v="45"/>
    <n v="7"/>
    <x v="25"/>
    <x v="2"/>
    <s v="cashloan"/>
    <n v="0"/>
  </r>
  <r>
    <x v="670"/>
    <x v="1"/>
    <x v="10"/>
    <n v="45"/>
    <n v="7"/>
    <x v="0"/>
    <x v="0"/>
    <s v="payday"/>
    <n v="9870984000"/>
  </r>
  <r>
    <x v="670"/>
    <x v="1"/>
    <x v="10"/>
    <n v="45"/>
    <n v="7"/>
    <x v="7"/>
    <x v="7"/>
    <s v="paylater"/>
    <n v="330597953"/>
  </r>
  <r>
    <x v="670"/>
    <x v="1"/>
    <x v="10"/>
    <n v="45"/>
    <n v="7"/>
    <x v="1"/>
    <x v="1"/>
    <s v="cashloan"/>
    <n v="20000000"/>
  </r>
  <r>
    <x v="670"/>
    <x v="1"/>
    <x v="10"/>
    <n v="45"/>
    <n v="7"/>
    <x v="6"/>
    <x v="6"/>
    <s v="payday"/>
    <n v="61000000"/>
  </r>
  <r>
    <x v="670"/>
    <x v="1"/>
    <x v="10"/>
    <n v="45"/>
    <n v="7"/>
    <x v="18"/>
    <x v="15"/>
    <s v="cashloan"/>
    <n v="656050000"/>
  </r>
  <r>
    <x v="670"/>
    <x v="1"/>
    <x v="10"/>
    <n v="45"/>
    <n v="7"/>
    <x v="29"/>
    <x v="20"/>
    <s v="payday"/>
    <n v="209952000"/>
  </r>
  <r>
    <x v="670"/>
    <x v="1"/>
    <x v="10"/>
    <n v="45"/>
    <n v="7"/>
    <x v="19"/>
    <x v="12"/>
    <s v="paylater"/>
    <n v="579849023"/>
  </r>
  <r>
    <x v="670"/>
    <x v="1"/>
    <x v="10"/>
    <n v="45"/>
    <n v="7"/>
    <x v="24"/>
    <x v="18"/>
    <s v="cashloan"/>
    <n v="2896420000"/>
  </r>
  <r>
    <x v="671"/>
    <x v="1"/>
    <x v="10"/>
    <n v="45"/>
    <n v="8"/>
    <x v="3"/>
    <x v="3"/>
    <s v="cashloan"/>
    <n v="10500000"/>
  </r>
  <r>
    <x v="671"/>
    <x v="1"/>
    <x v="10"/>
    <n v="45"/>
    <n v="8"/>
    <x v="11"/>
    <x v="10"/>
    <s v="paylater"/>
    <n v="390099263"/>
  </r>
  <r>
    <x v="671"/>
    <x v="1"/>
    <x v="10"/>
    <n v="45"/>
    <n v="8"/>
    <x v="12"/>
    <x v="11"/>
    <s v="cashloan"/>
    <n v="15768640000"/>
  </r>
  <r>
    <x v="671"/>
    <x v="1"/>
    <x v="10"/>
    <n v="45"/>
    <n v="8"/>
    <x v="5"/>
    <x v="5"/>
    <s v="overdraft"/>
    <n v="1996180810"/>
  </r>
  <r>
    <x v="671"/>
    <x v="1"/>
    <x v="10"/>
    <n v="45"/>
    <n v="8"/>
    <x v="27"/>
    <x v="19"/>
    <s v="payday"/>
    <n v="8109612000"/>
  </r>
  <r>
    <x v="671"/>
    <x v="1"/>
    <x v="10"/>
    <n v="45"/>
    <n v="8"/>
    <x v="15"/>
    <x v="14"/>
    <s v="paylater"/>
    <n v="13978847"/>
  </r>
  <r>
    <x v="671"/>
    <x v="1"/>
    <x v="10"/>
    <n v="45"/>
    <n v="8"/>
    <x v="14"/>
    <x v="13"/>
    <s v="cashloan"/>
    <n v="3006800000"/>
  </r>
  <r>
    <x v="671"/>
    <x v="1"/>
    <x v="10"/>
    <n v="45"/>
    <n v="8"/>
    <x v="23"/>
    <x v="17"/>
    <s v="paylater"/>
    <n v="12811575"/>
  </r>
  <r>
    <x v="671"/>
    <x v="1"/>
    <x v="10"/>
    <n v="45"/>
    <n v="8"/>
    <x v="28"/>
    <x v="17"/>
    <s v="paylater"/>
    <n v="1410111018"/>
  </r>
  <r>
    <x v="671"/>
    <x v="1"/>
    <x v="10"/>
    <n v="45"/>
    <n v="8"/>
    <x v="8"/>
    <x v="8"/>
    <s v="cashloan"/>
    <n v="0"/>
  </r>
  <r>
    <x v="671"/>
    <x v="1"/>
    <x v="10"/>
    <n v="45"/>
    <n v="8"/>
    <x v="26"/>
    <x v="16"/>
    <s v="cashloan"/>
    <n v="258500000"/>
  </r>
  <r>
    <x v="671"/>
    <x v="1"/>
    <x v="10"/>
    <n v="45"/>
    <n v="8"/>
    <x v="2"/>
    <x v="2"/>
    <s v="cashloan"/>
    <n v="15949680000"/>
  </r>
  <r>
    <x v="671"/>
    <x v="1"/>
    <x v="10"/>
    <n v="45"/>
    <n v="8"/>
    <x v="17"/>
    <x v="9"/>
    <s v="cashloan"/>
    <n v="0"/>
  </r>
  <r>
    <x v="671"/>
    <x v="1"/>
    <x v="10"/>
    <n v="45"/>
    <n v="8"/>
    <x v="20"/>
    <x v="9"/>
    <s v="cashloan"/>
    <n v="0"/>
  </r>
  <r>
    <x v="671"/>
    <x v="1"/>
    <x v="10"/>
    <n v="45"/>
    <n v="8"/>
    <x v="21"/>
    <x v="9"/>
    <s v="cashloan"/>
    <n v="0"/>
  </r>
  <r>
    <x v="671"/>
    <x v="1"/>
    <x v="10"/>
    <n v="45"/>
    <n v="8"/>
    <x v="25"/>
    <x v="2"/>
    <s v="cashloan"/>
    <n v="0"/>
  </r>
  <r>
    <x v="671"/>
    <x v="1"/>
    <x v="10"/>
    <n v="45"/>
    <n v="8"/>
    <x v="0"/>
    <x v="0"/>
    <s v="payday"/>
    <n v="9198468000"/>
  </r>
  <r>
    <x v="671"/>
    <x v="1"/>
    <x v="10"/>
    <n v="45"/>
    <n v="8"/>
    <x v="7"/>
    <x v="7"/>
    <s v="paylater"/>
    <n v="316740622"/>
  </r>
  <r>
    <x v="671"/>
    <x v="1"/>
    <x v="10"/>
    <n v="45"/>
    <n v="8"/>
    <x v="1"/>
    <x v="1"/>
    <s v="cashloan"/>
    <n v="10500000"/>
  </r>
  <r>
    <x v="671"/>
    <x v="1"/>
    <x v="10"/>
    <n v="45"/>
    <n v="8"/>
    <x v="6"/>
    <x v="6"/>
    <s v="payday"/>
    <n v="28000000"/>
  </r>
  <r>
    <x v="671"/>
    <x v="1"/>
    <x v="10"/>
    <n v="45"/>
    <n v="8"/>
    <x v="18"/>
    <x v="15"/>
    <s v="cashloan"/>
    <n v="679850000"/>
  </r>
  <r>
    <x v="671"/>
    <x v="1"/>
    <x v="10"/>
    <n v="45"/>
    <n v="8"/>
    <x v="29"/>
    <x v="20"/>
    <s v="payday"/>
    <n v="190188000"/>
  </r>
  <r>
    <x v="671"/>
    <x v="1"/>
    <x v="10"/>
    <n v="45"/>
    <n v="8"/>
    <x v="19"/>
    <x v="12"/>
    <s v="paylater"/>
    <n v="475396644"/>
  </r>
  <r>
    <x v="671"/>
    <x v="1"/>
    <x v="10"/>
    <n v="45"/>
    <n v="8"/>
    <x v="24"/>
    <x v="18"/>
    <s v="cashloan"/>
    <n v="3020750000"/>
  </r>
  <r>
    <x v="672"/>
    <x v="1"/>
    <x v="10"/>
    <n v="45"/>
    <n v="9"/>
    <x v="3"/>
    <x v="3"/>
    <s v="cashloan"/>
    <n v="0"/>
  </r>
  <r>
    <x v="672"/>
    <x v="1"/>
    <x v="10"/>
    <n v="45"/>
    <n v="9"/>
    <x v="11"/>
    <x v="10"/>
    <s v="paylater"/>
    <n v="390951385"/>
  </r>
  <r>
    <x v="672"/>
    <x v="1"/>
    <x v="10"/>
    <n v="45"/>
    <n v="9"/>
    <x v="12"/>
    <x v="11"/>
    <s v="cashloan"/>
    <n v="16177150000"/>
  </r>
  <r>
    <x v="672"/>
    <x v="1"/>
    <x v="10"/>
    <n v="45"/>
    <n v="9"/>
    <x v="5"/>
    <x v="5"/>
    <s v="overdraft"/>
    <n v="2128432586"/>
  </r>
  <r>
    <x v="672"/>
    <x v="1"/>
    <x v="10"/>
    <n v="45"/>
    <n v="9"/>
    <x v="27"/>
    <x v="19"/>
    <s v="payday"/>
    <n v="8030664000"/>
  </r>
  <r>
    <x v="672"/>
    <x v="1"/>
    <x v="10"/>
    <n v="45"/>
    <n v="9"/>
    <x v="15"/>
    <x v="14"/>
    <s v="paylater"/>
    <n v="15794195"/>
  </r>
  <r>
    <x v="672"/>
    <x v="1"/>
    <x v="10"/>
    <n v="45"/>
    <n v="9"/>
    <x v="14"/>
    <x v="13"/>
    <s v="cashloan"/>
    <n v="3395590000"/>
  </r>
  <r>
    <x v="672"/>
    <x v="1"/>
    <x v="10"/>
    <n v="45"/>
    <n v="9"/>
    <x v="23"/>
    <x v="17"/>
    <s v="paylater"/>
    <n v="30468330"/>
  </r>
  <r>
    <x v="672"/>
    <x v="1"/>
    <x v="10"/>
    <n v="45"/>
    <n v="9"/>
    <x v="28"/>
    <x v="17"/>
    <s v="paylater"/>
    <n v="1209016086"/>
  </r>
  <r>
    <x v="672"/>
    <x v="1"/>
    <x v="10"/>
    <n v="45"/>
    <n v="9"/>
    <x v="8"/>
    <x v="8"/>
    <s v="cashloan"/>
    <n v="0"/>
  </r>
  <r>
    <x v="672"/>
    <x v="1"/>
    <x v="10"/>
    <n v="45"/>
    <n v="9"/>
    <x v="26"/>
    <x v="16"/>
    <s v="cashloan"/>
    <n v="182500000"/>
  </r>
  <r>
    <x v="672"/>
    <x v="1"/>
    <x v="10"/>
    <n v="45"/>
    <n v="9"/>
    <x v="2"/>
    <x v="2"/>
    <s v="cashloan"/>
    <n v="15321690000"/>
  </r>
  <r>
    <x v="672"/>
    <x v="1"/>
    <x v="10"/>
    <n v="45"/>
    <n v="9"/>
    <x v="17"/>
    <x v="9"/>
    <s v="cashloan"/>
    <n v="0"/>
  </r>
  <r>
    <x v="672"/>
    <x v="1"/>
    <x v="10"/>
    <n v="45"/>
    <n v="9"/>
    <x v="20"/>
    <x v="9"/>
    <s v="cashloan"/>
    <n v="0"/>
  </r>
  <r>
    <x v="672"/>
    <x v="1"/>
    <x v="10"/>
    <n v="45"/>
    <n v="9"/>
    <x v="21"/>
    <x v="9"/>
    <s v="cashloan"/>
    <n v="0"/>
  </r>
  <r>
    <x v="672"/>
    <x v="1"/>
    <x v="10"/>
    <n v="45"/>
    <n v="9"/>
    <x v="25"/>
    <x v="2"/>
    <s v="cashloan"/>
    <n v="0"/>
  </r>
  <r>
    <x v="672"/>
    <x v="1"/>
    <x v="10"/>
    <n v="45"/>
    <n v="9"/>
    <x v="0"/>
    <x v="0"/>
    <s v="payday"/>
    <n v="9124380000"/>
  </r>
  <r>
    <x v="672"/>
    <x v="1"/>
    <x v="10"/>
    <n v="45"/>
    <n v="9"/>
    <x v="7"/>
    <x v="7"/>
    <s v="paylater"/>
    <n v="276306050"/>
  </r>
  <r>
    <x v="672"/>
    <x v="1"/>
    <x v="10"/>
    <n v="45"/>
    <n v="9"/>
    <x v="1"/>
    <x v="1"/>
    <s v="cashloan"/>
    <n v="10500000"/>
  </r>
  <r>
    <x v="672"/>
    <x v="1"/>
    <x v="10"/>
    <n v="45"/>
    <n v="9"/>
    <x v="6"/>
    <x v="6"/>
    <s v="payday"/>
    <n v="30000000"/>
  </r>
  <r>
    <x v="672"/>
    <x v="1"/>
    <x v="10"/>
    <n v="45"/>
    <n v="9"/>
    <x v="18"/>
    <x v="15"/>
    <s v="cashloan"/>
    <n v="474880000"/>
  </r>
  <r>
    <x v="672"/>
    <x v="1"/>
    <x v="10"/>
    <n v="45"/>
    <n v="9"/>
    <x v="29"/>
    <x v="20"/>
    <s v="payday"/>
    <n v="157356000"/>
  </r>
  <r>
    <x v="672"/>
    <x v="1"/>
    <x v="10"/>
    <n v="45"/>
    <n v="9"/>
    <x v="19"/>
    <x v="12"/>
    <s v="paylater"/>
    <n v="429095327"/>
  </r>
  <r>
    <x v="672"/>
    <x v="1"/>
    <x v="10"/>
    <n v="45"/>
    <n v="9"/>
    <x v="24"/>
    <x v="18"/>
    <s v="cashloan"/>
    <n v="2867150000"/>
  </r>
  <r>
    <x v="673"/>
    <x v="1"/>
    <x v="10"/>
    <n v="46"/>
    <n v="10"/>
    <x v="3"/>
    <x v="3"/>
    <s v="cashloan"/>
    <n v="56700000"/>
  </r>
  <r>
    <x v="673"/>
    <x v="1"/>
    <x v="10"/>
    <n v="46"/>
    <n v="10"/>
    <x v="11"/>
    <x v="10"/>
    <s v="paylater"/>
    <n v="310462043"/>
  </r>
  <r>
    <x v="673"/>
    <x v="1"/>
    <x v="10"/>
    <n v="46"/>
    <n v="10"/>
    <x v="12"/>
    <x v="11"/>
    <s v="cashloan"/>
    <n v="20030520000"/>
  </r>
  <r>
    <x v="673"/>
    <x v="1"/>
    <x v="10"/>
    <n v="46"/>
    <n v="10"/>
    <x v="5"/>
    <x v="5"/>
    <s v="overdraft"/>
    <n v="3601019160"/>
  </r>
  <r>
    <x v="673"/>
    <x v="1"/>
    <x v="10"/>
    <n v="46"/>
    <n v="10"/>
    <x v="27"/>
    <x v="19"/>
    <s v="payday"/>
    <n v="11226708000"/>
  </r>
  <r>
    <x v="673"/>
    <x v="1"/>
    <x v="10"/>
    <n v="46"/>
    <n v="10"/>
    <x v="15"/>
    <x v="14"/>
    <s v="paylater"/>
    <n v="15210002"/>
  </r>
  <r>
    <x v="673"/>
    <x v="1"/>
    <x v="10"/>
    <n v="46"/>
    <n v="10"/>
    <x v="14"/>
    <x v="13"/>
    <s v="cashloan"/>
    <n v="3255410000"/>
  </r>
  <r>
    <x v="673"/>
    <x v="1"/>
    <x v="10"/>
    <n v="46"/>
    <n v="10"/>
    <x v="23"/>
    <x v="17"/>
    <s v="paylater"/>
    <n v="17824995"/>
  </r>
  <r>
    <x v="673"/>
    <x v="1"/>
    <x v="10"/>
    <n v="46"/>
    <n v="10"/>
    <x v="28"/>
    <x v="17"/>
    <s v="paylater"/>
    <n v="988744010"/>
  </r>
  <r>
    <x v="673"/>
    <x v="1"/>
    <x v="10"/>
    <n v="46"/>
    <n v="10"/>
    <x v="8"/>
    <x v="8"/>
    <s v="cashloan"/>
    <n v="0"/>
  </r>
  <r>
    <x v="673"/>
    <x v="1"/>
    <x v="10"/>
    <n v="46"/>
    <n v="10"/>
    <x v="26"/>
    <x v="16"/>
    <s v="cashloan"/>
    <n v="386500000"/>
  </r>
  <r>
    <x v="673"/>
    <x v="1"/>
    <x v="10"/>
    <n v="46"/>
    <n v="10"/>
    <x v="2"/>
    <x v="2"/>
    <s v="cashloan"/>
    <n v="22811310000"/>
  </r>
  <r>
    <x v="673"/>
    <x v="1"/>
    <x v="10"/>
    <n v="46"/>
    <n v="10"/>
    <x v="17"/>
    <x v="9"/>
    <s v="cashloan"/>
    <n v="0"/>
  </r>
  <r>
    <x v="673"/>
    <x v="1"/>
    <x v="10"/>
    <n v="46"/>
    <n v="10"/>
    <x v="20"/>
    <x v="9"/>
    <s v="cashloan"/>
    <n v="0"/>
  </r>
  <r>
    <x v="673"/>
    <x v="1"/>
    <x v="10"/>
    <n v="46"/>
    <n v="10"/>
    <x v="21"/>
    <x v="9"/>
    <s v="cashloan"/>
    <n v="0"/>
  </r>
  <r>
    <x v="673"/>
    <x v="1"/>
    <x v="10"/>
    <n v="46"/>
    <n v="10"/>
    <x v="25"/>
    <x v="2"/>
    <s v="cashloan"/>
    <n v="0"/>
  </r>
  <r>
    <x v="673"/>
    <x v="1"/>
    <x v="10"/>
    <n v="46"/>
    <n v="10"/>
    <x v="0"/>
    <x v="0"/>
    <s v="payday"/>
    <n v="14166252000"/>
  </r>
  <r>
    <x v="673"/>
    <x v="1"/>
    <x v="10"/>
    <n v="46"/>
    <n v="10"/>
    <x v="7"/>
    <x v="7"/>
    <s v="paylater"/>
    <n v="326210971"/>
  </r>
  <r>
    <x v="673"/>
    <x v="1"/>
    <x v="10"/>
    <n v="46"/>
    <n v="10"/>
    <x v="1"/>
    <x v="1"/>
    <s v="cashloan"/>
    <n v="20500000"/>
  </r>
  <r>
    <x v="673"/>
    <x v="1"/>
    <x v="10"/>
    <n v="46"/>
    <n v="10"/>
    <x v="6"/>
    <x v="6"/>
    <s v="payday"/>
    <n v="48000000"/>
  </r>
  <r>
    <x v="673"/>
    <x v="1"/>
    <x v="10"/>
    <n v="46"/>
    <n v="10"/>
    <x v="18"/>
    <x v="15"/>
    <s v="cashloan"/>
    <n v="721220000"/>
  </r>
  <r>
    <x v="673"/>
    <x v="1"/>
    <x v="10"/>
    <n v="46"/>
    <n v="10"/>
    <x v="29"/>
    <x v="20"/>
    <s v="payday"/>
    <n v="205956000"/>
  </r>
  <r>
    <x v="673"/>
    <x v="1"/>
    <x v="10"/>
    <n v="46"/>
    <n v="10"/>
    <x v="19"/>
    <x v="12"/>
    <s v="paylater"/>
    <n v="518372254"/>
  </r>
  <r>
    <x v="673"/>
    <x v="1"/>
    <x v="10"/>
    <n v="46"/>
    <n v="10"/>
    <x v="24"/>
    <x v="18"/>
    <s v="cashloan"/>
    <n v="3855160000"/>
  </r>
  <r>
    <x v="674"/>
    <x v="1"/>
    <x v="10"/>
    <n v="46"/>
    <n v="11"/>
    <x v="3"/>
    <x v="3"/>
    <s v="cashloan"/>
    <n v="31000000"/>
  </r>
  <r>
    <x v="674"/>
    <x v="1"/>
    <x v="10"/>
    <n v="46"/>
    <n v="11"/>
    <x v="11"/>
    <x v="10"/>
    <s v="paylater"/>
    <n v="274778188"/>
  </r>
  <r>
    <x v="674"/>
    <x v="1"/>
    <x v="10"/>
    <n v="46"/>
    <n v="11"/>
    <x v="12"/>
    <x v="11"/>
    <s v="cashloan"/>
    <n v="16847210000"/>
  </r>
  <r>
    <x v="674"/>
    <x v="1"/>
    <x v="10"/>
    <n v="46"/>
    <n v="11"/>
    <x v="5"/>
    <x v="5"/>
    <s v="overdraft"/>
    <n v="2992696989"/>
  </r>
  <r>
    <x v="674"/>
    <x v="1"/>
    <x v="10"/>
    <n v="46"/>
    <n v="11"/>
    <x v="27"/>
    <x v="19"/>
    <s v="payday"/>
    <n v="8993916000"/>
  </r>
  <r>
    <x v="674"/>
    <x v="1"/>
    <x v="10"/>
    <n v="46"/>
    <n v="11"/>
    <x v="15"/>
    <x v="14"/>
    <s v="paylater"/>
    <n v="17258104"/>
  </r>
  <r>
    <x v="674"/>
    <x v="1"/>
    <x v="10"/>
    <n v="46"/>
    <n v="11"/>
    <x v="14"/>
    <x v="13"/>
    <s v="cashloan"/>
    <n v="4318830000"/>
  </r>
  <r>
    <x v="674"/>
    <x v="1"/>
    <x v="10"/>
    <n v="46"/>
    <n v="11"/>
    <x v="23"/>
    <x v="17"/>
    <s v="paylater"/>
    <n v="18978206"/>
  </r>
  <r>
    <x v="674"/>
    <x v="1"/>
    <x v="10"/>
    <n v="46"/>
    <n v="11"/>
    <x v="28"/>
    <x v="17"/>
    <s v="paylater"/>
    <n v="960549644"/>
  </r>
  <r>
    <x v="674"/>
    <x v="1"/>
    <x v="10"/>
    <n v="46"/>
    <n v="11"/>
    <x v="8"/>
    <x v="8"/>
    <s v="cashloan"/>
    <n v="0"/>
  </r>
  <r>
    <x v="674"/>
    <x v="1"/>
    <x v="10"/>
    <n v="46"/>
    <n v="11"/>
    <x v="26"/>
    <x v="16"/>
    <s v="cashloan"/>
    <n v="405950000"/>
  </r>
  <r>
    <x v="674"/>
    <x v="1"/>
    <x v="10"/>
    <n v="46"/>
    <n v="11"/>
    <x v="2"/>
    <x v="2"/>
    <s v="cashloan"/>
    <n v="18958810000"/>
  </r>
  <r>
    <x v="674"/>
    <x v="1"/>
    <x v="10"/>
    <n v="46"/>
    <n v="11"/>
    <x v="17"/>
    <x v="9"/>
    <s v="cashloan"/>
    <n v="0"/>
  </r>
  <r>
    <x v="674"/>
    <x v="1"/>
    <x v="10"/>
    <n v="46"/>
    <n v="11"/>
    <x v="20"/>
    <x v="9"/>
    <s v="cashloan"/>
    <n v="0"/>
  </r>
  <r>
    <x v="674"/>
    <x v="1"/>
    <x v="10"/>
    <n v="46"/>
    <n v="11"/>
    <x v="21"/>
    <x v="9"/>
    <s v="cashloan"/>
    <n v="0"/>
  </r>
  <r>
    <x v="674"/>
    <x v="1"/>
    <x v="10"/>
    <n v="46"/>
    <n v="11"/>
    <x v="25"/>
    <x v="2"/>
    <s v="cashloan"/>
    <n v="0"/>
  </r>
  <r>
    <x v="674"/>
    <x v="1"/>
    <x v="10"/>
    <n v="46"/>
    <n v="11"/>
    <x v="0"/>
    <x v="0"/>
    <s v="payday"/>
    <n v="10999260000"/>
  </r>
  <r>
    <x v="674"/>
    <x v="1"/>
    <x v="10"/>
    <n v="46"/>
    <n v="11"/>
    <x v="7"/>
    <x v="7"/>
    <s v="paylater"/>
    <n v="265259096"/>
  </r>
  <r>
    <x v="674"/>
    <x v="1"/>
    <x v="10"/>
    <n v="46"/>
    <n v="11"/>
    <x v="1"/>
    <x v="1"/>
    <s v="cashloan"/>
    <n v="31500000"/>
  </r>
  <r>
    <x v="674"/>
    <x v="1"/>
    <x v="10"/>
    <n v="46"/>
    <n v="11"/>
    <x v="6"/>
    <x v="6"/>
    <s v="payday"/>
    <n v="48000000"/>
  </r>
  <r>
    <x v="674"/>
    <x v="1"/>
    <x v="10"/>
    <n v="46"/>
    <n v="11"/>
    <x v="18"/>
    <x v="15"/>
    <s v="cashloan"/>
    <n v="695600000"/>
  </r>
  <r>
    <x v="674"/>
    <x v="1"/>
    <x v="10"/>
    <n v="46"/>
    <n v="11"/>
    <x v="29"/>
    <x v="20"/>
    <s v="payday"/>
    <n v="180576000"/>
  </r>
  <r>
    <x v="674"/>
    <x v="1"/>
    <x v="10"/>
    <n v="46"/>
    <n v="11"/>
    <x v="19"/>
    <x v="12"/>
    <s v="paylater"/>
    <n v="352434837"/>
  </r>
  <r>
    <x v="674"/>
    <x v="1"/>
    <x v="10"/>
    <n v="46"/>
    <n v="11"/>
    <x v="24"/>
    <x v="18"/>
    <s v="cashloan"/>
    <n v="2949790000"/>
  </r>
  <r>
    <x v="675"/>
    <x v="1"/>
    <x v="10"/>
    <n v="46"/>
    <n v="12"/>
    <x v="3"/>
    <x v="3"/>
    <s v="cashloan"/>
    <n v="113450000"/>
  </r>
  <r>
    <x v="675"/>
    <x v="1"/>
    <x v="10"/>
    <n v="46"/>
    <n v="12"/>
    <x v="11"/>
    <x v="10"/>
    <s v="paylater"/>
    <n v="281966645"/>
  </r>
  <r>
    <x v="675"/>
    <x v="1"/>
    <x v="10"/>
    <n v="46"/>
    <n v="12"/>
    <x v="12"/>
    <x v="11"/>
    <s v="cashloan"/>
    <n v="17002780000"/>
  </r>
  <r>
    <x v="675"/>
    <x v="1"/>
    <x v="10"/>
    <n v="46"/>
    <n v="12"/>
    <x v="5"/>
    <x v="5"/>
    <s v="overdraft"/>
    <n v="2423618367"/>
  </r>
  <r>
    <x v="675"/>
    <x v="1"/>
    <x v="10"/>
    <n v="46"/>
    <n v="12"/>
    <x v="27"/>
    <x v="19"/>
    <s v="payday"/>
    <n v="8769060000"/>
  </r>
  <r>
    <x v="675"/>
    <x v="1"/>
    <x v="10"/>
    <n v="46"/>
    <n v="12"/>
    <x v="15"/>
    <x v="14"/>
    <s v="paylater"/>
    <n v="7209186"/>
  </r>
  <r>
    <x v="675"/>
    <x v="1"/>
    <x v="10"/>
    <n v="46"/>
    <n v="12"/>
    <x v="14"/>
    <x v="13"/>
    <s v="cashloan"/>
    <n v="4506410000"/>
  </r>
  <r>
    <x v="675"/>
    <x v="1"/>
    <x v="10"/>
    <n v="46"/>
    <n v="12"/>
    <x v="23"/>
    <x v="17"/>
    <s v="paylater"/>
    <n v="3830570"/>
  </r>
  <r>
    <x v="675"/>
    <x v="1"/>
    <x v="10"/>
    <n v="46"/>
    <n v="12"/>
    <x v="28"/>
    <x v="17"/>
    <s v="paylater"/>
    <n v="877926778"/>
  </r>
  <r>
    <x v="675"/>
    <x v="1"/>
    <x v="10"/>
    <n v="46"/>
    <n v="12"/>
    <x v="8"/>
    <x v="8"/>
    <s v="cashloan"/>
    <n v="0"/>
  </r>
  <r>
    <x v="675"/>
    <x v="1"/>
    <x v="10"/>
    <n v="46"/>
    <n v="12"/>
    <x v="26"/>
    <x v="16"/>
    <s v="cashloan"/>
    <n v="446500000"/>
  </r>
  <r>
    <x v="675"/>
    <x v="1"/>
    <x v="10"/>
    <n v="46"/>
    <n v="12"/>
    <x v="2"/>
    <x v="2"/>
    <s v="cashloan"/>
    <n v="19372970000"/>
  </r>
  <r>
    <x v="675"/>
    <x v="1"/>
    <x v="10"/>
    <n v="46"/>
    <n v="12"/>
    <x v="17"/>
    <x v="9"/>
    <s v="cashloan"/>
    <n v="0"/>
  </r>
  <r>
    <x v="675"/>
    <x v="1"/>
    <x v="10"/>
    <n v="46"/>
    <n v="12"/>
    <x v="20"/>
    <x v="9"/>
    <s v="cashloan"/>
    <n v="0"/>
  </r>
  <r>
    <x v="675"/>
    <x v="1"/>
    <x v="10"/>
    <n v="46"/>
    <n v="12"/>
    <x v="21"/>
    <x v="9"/>
    <s v="cashloan"/>
    <n v="0"/>
  </r>
  <r>
    <x v="675"/>
    <x v="1"/>
    <x v="10"/>
    <n v="46"/>
    <n v="12"/>
    <x v="25"/>
    <x v="2"/>
    <s v="cashloan"/>
    <n v="12840000"/>
  </r>
  <r>
    <x v="675"/>
    <x v="1"/>
    <x v="10"/>
    <n v="46"/>
    <n v="12"/>
    <x v="0"/>
    <x v="0"/>
    <s v="payday"/>
    <n v="9981036000"/>
  </r>
  <r>
    <x v="675"/>
    <x v="1"/>
    <x v="10"/>
    <n v="46"/>
    <n v="12"/>
    <x v="7"/>
    <x v="7"/>
    <s v="paylater"/>
    <n v="198461617"/>
  </r>
  <r>
    <x v="675"/>
    <x v="1"/>
    <x v="10"/>
    <n v="46"/>
    <n v="12"/>
    <x v="1"/>
    <x v="1"/>
    <s v="cashloan"/>
    <n v="44100000"/>
  </r>
  <r>
    <x v="675"/>
    <x v="1"/>
    <x v="10"/>
    <n v="46"/>
    <n v="12"/>
    <x v="6"/>
    <x v="6"/>
    <s v="payday"/>
    <n v="28000000"/>
  </r>
  <r>
    <x v="675"/>
    <x v="1"/>
    <x v="10"/>
    <n v="46"/>
    <n v="12"/>
    <x v="18"/>
    <x v="15"/>
    <s v="cashloan"/>
    <n v="645260000"/>
  </r>
  <r>
    <x v="675"/>
    <x v="1"/>
    <x v="10"/>
    <n v="46"/>
    <n v="12"/>
    <x v="29"/>
    <x v="20"/>
    <s v="payday"/>
    <n v="143424000"/>
  </r>
  <r>
    <x v="675"/>
    <x v="1"/>
    <x v="10"/>
    <n v="46"/>
    <n v="12"/>
    <x v="19"/>
    <x v="12"/>
    <s v="paylater"/>
    <n v="386367857"/>
  </r>
  <r>
    <x v="675"/>
    <x v="1"/>
    <x v="10"/>
    <n v="46"/>
    <n v="12"/>
    <x v="24"/>
    <x v="18"/>
    <s v="cashloan"/>
    <n v="3825560000"/>
  </r>
  <r>
    <x v="676"/>
    <x v="1"/>
    <x v="10"/>
    <n v="46"/>
    <n v="13"/>
    <x v="3"/>
    <x v="3"/>
    <s v="cashloan"/>
    <n v="41000000"/>
  </r>
  <r>
    <x v="676"/>
    <x v="1"/>
    <x v="10"/>
    <n v="46"/>
    <n v="13"/>
    <x v="11"/>
    <x v="10"/>
    <s v="paylater"/>
    <n v="276494165"/>
  </r>
  <r>
    <x v="676"/>
    <x v="1"/>
    <x v="10"/>
    <n v="46"/>
    <n v="13"/>
    <x v="12"/>
    <x v="11"/>
    <s v="cashloan"/>
    <n v="16420520000"/>
  </r>
  <r>
    <x v="676"/>
    <x v="1"/>
    <x v="10"/>
    <n v="46"/>
    <n v="13"/>
    <x v="5"/>
    <x v="5"/>
    <s v="overdraft"/>
    <n v="1906449237"/>
  </r>
  <r>
    <x v="676"/>
    <x v="1"/>
    <x v="10"/>
    <n v="46"/>
    <n v="13"/>
    <x v="27"/>
    <x v="19"/>
    <s v="payday"/>
    <n v="8404236000"/>
  </r>
  <r>
    <x v="676"/>
    <x v="1"/>
    <x v="10"/>
    <n v="46"/>
    <n v="13"/>
    <x v="15"/>
    <x v="14"/>
    <s v="paylater"/>
    <n v="5739407"/>
  </r>
  <r>
    <x v="676"/>
    <x v="1"/>
    <x v="10"/>
    <n v="46"/>
    <n v="13"/>
    <x v="14"/>
    <x v="13"/>
    <s v="cashloan"/>
    <n v="3348370000"/>
  </r>
  <r>
    <x v="676"/>
    <x v="1"/>
    <x v="10"/>
    <n v="46"/>
    <n v="13"/>
    <x v="23"/>
    <x v="17"/>
    <s v="paylater"/>
    <n v="18929262"/>
  </r>
  <r>
    <x v="676"/>
    <x v="1"/>
    <x v="10"/>
    <n v="46"/>
    <n v="13"/>
    <x v="28"/>
    <x v="17"/>
    <s v="paylater"/>
    <n v="927406540"/>
  </r>
  <r>
    <x v="676"/>
    <x v="1"/>
    <x v="10"/>
    <n v="46"/>
    <n v="13"/>
    <x v="8"/>
    <x v="8"/>
    <s v="cashloan"/>
    <n v="0"/>
  </r>
  <r>
    <x v="676"/>
    <x v="1"/>
    <x v="10"/>
    <n v="46"/>
    <n v="13"/>
    <x v="26"/>
    <x v="16"/>
    <s v="cashloan"/>
    <n v="367000000"/>
  </r>
  <r>
    <x v="676"/>
    <x v="1"/>
    <x v="10"/>
    <n v="46"/>
    <n v="13"/>
    <x v="2"/>
    <x v="2"/>
    <s v="cashloan"/>
    <n v="19849190000"/>
  </r>
  <r>
    <x v="676"/>
    <x v="1"/>
    <x v="10"/>
    <n v="46"/>
    <n v="13"/>
    <x v="17"/>
    <x v="9"/>
    <s v="cashloan"/>
    <n v="0"/>
  </r>
  <r>
    <x v="676"/>
    <x v="1"/>
    <x v="10"/>
    <n v="46"/>
    <n v="13"/>
    <x v="20"/>
    <x v="9"/>
    <s v="cashloan"/>
    <n v="0"/>
  </r>
  <r>
    <x v="676"/>
    <x v="1"/>
    <x v="10"/>
    <n v="46"/>
    <n v="13"/>
    <x v="21"/>
    <x v="9"/>
    <s v="cashloan"/>
    <n v="0"/>
  </r>
  <r>
    <x v="676"/>
    <x v="1"/>
    <x v="10"/>
    <n v="46"/>
    <n v="13"/>
    <x v="25"/>
    <x v="2"/>
    <s v="cashloan"/>
    <n v="0"/>
  </r>
  <r>
    <x v="676"/>
    <x v="1"/>
    <x v="10"/>
    <n v="46"/>
    <n v="13"/>
    <x v="0"/>
    <x v="0"/>
    <s v="payday"/>
    <n v="10305036000"/>
  </r>
  <r>
    <x v="676"/>
    <x v="1"/>
    <x v="10"/>
    <n v="46"/>
    <n v="13"/>
    <x v="7"/>
    <x v="7"/>
    <s v="paylater"/>
    <n v="215885113"/>
  </r>
  <r>
    <x v="676"/>
    <x v="1"/>
    <x v="10"/>
    <n v="46"/>
    <n v="13"/>
    <x v="1"/>
    <x v="1"/>
    <s v="cashloan"/>
    <n v="10500000"/>
  </r>
  <r>
    <x v="676"/>
    <x v="1"/>
    <x v="10"/>
    <n v="46"/>
    <n v="13"/>
    <x v="6"/>
    <x v="6"/>
    <s v="payday"/>
    <n v="37000000"/>
  </r>
  <r>
    <x v="676"/>
    <x v="1"/>
    <x v="10"/>
    <n v="46"/>
    <n v="13"/>
    <x v="18"/>
    <x v="15"/>
    <s v="cashloan"/>
    <n v="794800000"/>
  </r>
  <r>
    <x v="676"/>
    <x v="1"/>
    <x v="10"/>
    <n v="46"/>
    <n v="13"/>
    <x v="29"/>
    <x v="20"/>
    <s v="payday"/>
    <n v="158760000"/>
  </r>
  <r>
    <x v="676"/>
    <x v="1"/>
    <x v="10"/>
    <n v="46"/>
    <n v="13"/>
    <x v="19"/>
    <x v="12"/>
    <s v="paylater"/>
    <n v="366044042"/>
  </r>
  <r>
    <x v="676"/>
    <x v="1"/>
    <x v="10"/>
    <n v="46"/>
    <n v="13"/>
    <x v="24"/>
    <x v="18"/>
    <s v="cashloan"/>
    <n v="4530770000"/>
  </r>
  <r>
    <x v="677"/>
    <x v="1"/>
    <x v="10"/>
    <n v="46"/>
    <n v="14"/>
    <x v="3"/>
    <x v="3"/>
    <s v="cashloan"/>
    <n v="31500000"/>
  </r>
  <r>
    <x v="677"/>
    <x v="1"/>
    <x v="10"/>
    <n v="46"/>
    <n v="14"/>
    <x v="11"/>
    <x v="10"/>
    <s v="paylater"/>
    <n v="310357763"/>
  </r>
  <r>
    <x v="677"/>
    <x v="1"/>
    <x v="10"/>
    <n v="46"/>
    <n v="14"/>
    <x v="12"/>
    <x v="11"/>
    <s v="cashloan"/>
    <n v="17060090000"/>
  </r>
  <r>
    <x v="677"/>
    <x v="1"/>
    <x v="10"/>
    <n v="46"/>
    <n v="14"/>
    <x v="5"/>
    <x v="5"/>
    <s v="overdraft"/>
    <n v="2071253429"/>
  </r>
  <r>
    <x v="677"/>
    <x v="1"/>
    <x v="10"/>
    <n v="46"/>
    <n v="14"/>
    <x v="27"/>
    <x v="19"/>
    <s v="payday"/>
    <n v="9314892000"/>
  </r>
  <r>
    <x v="677"/>
    <x v="1"/>
    <x v="10"/>
    <n v="46"/>
    <n v="14"/>
    <x v="15"/>
    <x v="14"/>
    <s v="paylater"/>
    <n v="4460275"/>
  </r>
  <r>
    <x v="677"/>
    <x v="1"/>
    <x v="10"/>
    <n v="46"/>
    <n v="14"/>
    <x v="14"/>
    <x v="13"/>
    <s v="cashloan"/>
    <n v="3686710000"/>
  </r>
  <r>
    <x v="677"/>
    <x v="1"/>
    <x v="10"/>
    <n v="46"/>
    <n v="14"/>
    <x v="23"/>
    <x v="17"/>
    <s v="paylater"/>
    <n v="36579164"/>
  </r>
  <r>
    <x v="677"/>
    <x v="1"/>
    <x v="10"/>
    <n v="46"/>
    <n v="14"/>
    <x v="28"/>
    <x v="17"/>
    <s v="paylater"/>
    <n v="853157112"/>
  </r>
  <r>
    <x v="677"/>
    <x v="1"/>
    <x v="10"/>
    <n v="46"/>
    <n v="14"/>
    <x v="8"/>
    <x v="8"/>
    <s v="cashloan"/>
    <n v="0"/>
  </r>
  <r>
    <x v="677"/>
    <x v="1"/>
    <x v="10"/>
    <n v="46"/>
    <n v="14"/>
    <x v="26"/>
    <x v="16"/>
    <s v="cashloan"/>
    <n v="348250000"/>
  </r>
  <r>
    <x v="677"/>
    <x v="1"/>
    <x v="10"/>
    <n v="46"/>
    <n v="14"/>
    <x v="2"/>
    <x v="2"/>
    <s v="cashloan"/>
    <n v="20179210000"/>
  </r>
  <r>
    <x v="677"/>
    <x v="1"/>
    <x v="10"/>
    <n v="46"/>
    <n v="14"/>
    <x v="17"/>
    <x v="9"/>
    <s v="cashloan"/>
    <n v="0"/>
  </r>
  <r>
    <x v="677"/>
    <x v="1"/>
    <x v="10"/>
    <n v="46"/>
    <n v="14"/>
    <x v="20"/>
    <x v="9"/>
    <s v="cashloan"/>
    <n v="0"/>
  </r>
  <r>
    <x v="677"/>
    <x v="1"/>
    <x v="10"/>
    <n v="46"/>
    <n v="14"/>
    <x v="21"/>
    <x v="9"/>
    <s v="cashloan"/>
    <n v="0"/>
  </r>
  <r>
    <x v="677"/>
    <x v="1"/>
    <x v="10"/>
    <n v="46"/>
    <n v="14"/>
    <x v="25"/>
    <x v="2"/>
    <s v="cashloan"/>
    <n v="30000000"/>
  </r>
  <r>
    <x v="677"/>
    <x v="1"/>
    <x v="10"/>
    <n v="46"/>
    <n v="14"/>
    <x v="0"/>
    <x v="0"/>
    <s v="payday"/>
    <n v="11082744000"/>
  </r>
  <r>
    <x v="677"/>
    <x v="1"/>
    <x v="10"/>
    <n v="46"/>
    <n v="14"/>
    <x v="7"/>
    <x v="7"/>
    <s v="paylater"/>
    <n v="209199954"/>
  </r>
  <r>
    <x v="677"/>
    <x v="1"/>
    <x v="10"/>
    <n v="46"/>
    <n v="14"/>
    <x v="1"/>
    <x v="1"/>
    <s v="cashloan"/>
    <n v="36250000"/>
  </r>
  <r>
    <x v="677"/>
    <x v="1"/>
    <x v="10"/>
    <n v="46"/>
    <n v="14"/>
    <x v="6"/>
    <x v="6"/>
    <s v="payday"/>
    <n v="38000000"/>
  </r>
  <r>
    <x v="677"/>
    <x v="1"/>
    <x v="10"/>
    <n v="46"/>
    <n v="14"/>
    <x v="18"/>
    <x v="15"/>
    <s v="cashloan"/>
    <n v="740490000"/>
  </r>
  <r>
    <x v="677"/>
    <x v="1"/>
    <x v="10"/>
    <n v="46"/>
    <n v="14"/>
    <x v="29"/>
    <x v="20"/>
    <s v="payday"/>
    <n v="205200000"/>
  </r>
  <r>
    <x v="677"/>
    <x v="1"/>
    <x v="10"/>
    <n v="46"/>
    <n v="14"/>
    <x v="19"/>
    <x v="12"/>
    <s v="paylater"/>
    <n v="317852357"/>
  </r>
  <r>
    <x v="677"/>
    <x v="1"/>
    <x v="10"/>
    <n v="46"/>
    <n v="14"/>
    <x v="24"/>
    <x v="18"/>
    <s v="cashloan"/>
    <n v="3380780000"/>
  </r>
  <r>
    <x v="678"/>
    <x v="1"/>
    <x v="10"/>
    <n v="46"/>
    <n v="15"/>
    <x v="3"/>
    <x v="3"/>
    <s v="cashloan"/>
    <n v="45000000"/>
  </r>
  <r>
    <x v="678"/>
    <x v="1"/>
    <x v="10"/>
    <n v="46"/>
    <n v="15"/>
    <x v="11"/>
    <x v="10"/>
    <s v="paylater"/>
    <n v="309066007"/>
  </r>
  <r>
    <x v="678"/>
    <x v="1"/>
    <x v="10"/>
    <n v="46"/>
    <n v="15"/>
    <x v="12"/>
    <x v="11"/>
    <s v="cashloan"/>
    <n v="14715520000"/>
  </r>
  <r>
    <x v="678"/>
    <x v="1"/>
    <x v="10"/>
    <n v="46"/>
    <n v="15"/>
    <x v="5"/>
    <x v="5"/>
    <s v="overdraft"/>
    <n v="2520859756"/>
  </r>
  <r>
    <x v="678"/>
    <x v="1"/>
    <x v="10"/>
    <n v="46"/>
    <n v="15"/>
    <x v="27"/>
    <x v="19"/>
    <s v="payday"/>
    <n v="8939484000"/>
  </r>
  <r>
    <x v="678"/>
    <x v="1"/>
    <x v="10"/>
    <n v="46"/>
    <n v="15"/>
    <x v="15"/>
    <x v="14"/>
    <s v="paylater"/>
    <n v="8766396"/>
  </r>
  <r>
    <x v="678"/>
    <x v="1"/>
    <x v="10"/>
    <n v="46"/>
    <n v="15"/>
    <x v="14"/>
    <x v="13"/>
    <s v="cashloan"/>
    <n v="3914270000"/>
  </r>
  <r>
    <x v="678"/>
    <x v="1"/>
    <x v="10"/>
    <n v="46"/>
    <n v="15"/>
    <x v="23"/>
    <x v="17"/>
    <s v="paylater"/>
    <n v="14038775"/>
  </r>
  <r>
    <x v="678"/>
    <x v="1"/>
    <x v="10"/>
    <n v="46"/>
    <n v="15"/>
    <x v="28"/>
    <x v="17"/>
    <s v="paylater"/>
    <n v="935482091"/>
  </r>
  <r>
    <x v="678"/>
    <x v="1"/>
    <x v="10"/>
    <n v="46"/>
    <n v="15"/>
    <x v="8"/>
    <x v="8"/>
    <s v="cashloan"/>
    <n v="0"/>
  </r>
  <r>
    <x v="678"/>
    <x v="1"/>
    <x v="10"/>
    <n v="46"/>
    <n v="15"/>
    <x v="26"/>
    <x v="16"/>
    <s v="cashloan"/>
    <n v="266000000"/>
  </r>
  <r>
    <x v="678"/>
    <x v="1"/>
    <x v="10"/>
    <n v="46"/>
    <n v="15"/>
    <x v="2"/>
    <x v="2"/>
    <s v="cashloan"/>
    <n v="17176690000"/>
  </r>
  <r>
    <x v="678"/>
    <x v="1"/>
    <x v="10"/>
    <n v="46"/>
    <n v="15"/>
    <x v="17"/>
    <x v="9"/>
    <s v="cashloan"/>
    <n v="0"/>
  </r>
  <r>
    <x v="678"/>
    <x v="1"/>
    <x v="10"/>
    <n v="46"/>
    <n v="15"/>
    <x v="20"/>
    <x v="9"/>
    <s v="cashloan"/>
    <n v="0"/>
  </r>
  <r>
    <x v="678"/>
    <x v="1"/>
    <x v="10"/>
    <n v="46"/>
    <n v="15"/>
    <x v="21"/>
    <x v="9"/>
    <s v="cashloan"/>
    <n v="0"/>
  </r>
  <r>
    <x v="678"/>
    <x v="1"/>
    <x v="10"/>
    <n v="46"/>
    <n v="15"/>
    <x v="25"/>
    <x v="2"/>
    <s v="cashloan"/>
    <n v="0"/>
  </r>
  <r>
    <x v="678"/>
    <x v="1"/>
    <x v="10"/>
    <n v="46"/>
    <n v="15"/>
    <x v="0"/>
    <x v="0"/>
    <s v="payday"/>
    <n v="10692324000"/>
  </r>
  <r>
    <x v="678"/>
    <x v="1"/>
    <x v="10"/>
    <n v="46"/>
    <n v="15"/>
    <x v="7"/>
    <x v="7"/>
    <s v="paylater"/>
    <n v="175360153"/>
  </r>
  <r>
    <x v="678"/>
    <x v="1"/>
    <x v="10"/>
    <n v="46"/>
    <n v="15"/>
    <x v="1"/>
    <x v="1"/>
    <s v="cashloan"/>
    <n v="21000000"/>
  </r>
  <r>
    <x v="678"/>
    <x v="1"/>
    <x v="10"/>
    <n v="46"/>
    <n v="15"/>
    <x v="6"/>
    <x v="6"/>
    <s v="payday"/>
    <n v="36000000"/>
  </r>
  <r>
    <x v="678"/>
    <x v="1"/>
    <x v="10"/>
    <n v="46"/>
    <n v="15"/>
    <x v="18"/>
    <x v="15"/>
    <s v="cashloan"/>
    <n v="574840000"/>
  </r>
  <r>
    <x v="678"/>
    <x v="1"/>
    <x v="10"/>
    <n v="46"/>
    <n v="15"/>
    <x v="29"/>
    <x v="20"/>
    <s v="payday"/>
    <n v="221940000"/>
  </r>
  <r>
    <x v="678"/>
    <x v="1"/>
    <x v="10"/>
    <n v="46"/>
    <n v="15"/>
    <x v="19"/>
    <x v="12"/>
    <s v="paylater"/>
    <n v="314715921"/>
  </r>
  <r>
    <x v="678"/>
    <x v="1"/>
    <x v="10"/>
    <n v="46"/>
    <n v="15"/>
    <x v="24"/>
    <x v="18"/>
    <s v="cashloan"/>
    <n v="2424260000"/>
  </r>
  <r>
    <x v="679"/>
    <x v="1"/>
    <x v="10"/>
    <n v="46"/>
    <n v="16"/>
    <x v="3"/>
    <x v="3"/>
    <s v="cashloan"/>
    <n v="0"/>
  </r>
  <r>
    <x v="679"/>
    <x v="1"/>
    <x v="10"/>
    <n v="46"/>
    <n v="16"/>
    <x v="11"/>
    <x v="10"/>
    <s v="paylater"/>
    <n v="327340599"/>
  </r>
  <r>
    <x v="679"/>
    <x v="1"/>
    <x v="10"/>
    <n v="46"/>
    <n v="16"/>
    <x v="12"/>
    <x v="11"/>
    <s v="cashloan"/>
    <n v="13492760000"/>
  </r>
  <r>
    <x v="679"/>
    <x v="1"/>
    <x v="10"/>
    <n v="46"/>
    <n v="16"/>
    <x v="5"/>
    <x v="5"/>
    <s v="overdraft"/>
    <n v="1725145323"/>
  </r>
  <r>
    <x v="679"/>
    <x v="1"/>
    <x v="10"/>
    <n v="46"/>
    <n v="16"/>
    <x v="27"/>
    <x v="19"/>
    <s v="payday"/>
    <n v="8178624000"/>
  </r>
  <r>
    <x v="679"/>
    <x v="1"/>
    <x v="10"/>
    <n v="46"/>
    <n v="16"/>
    <x v="15"/>
    <x v="14"/>
    <s v="paylater"/>
    <n v="4614291"/>
  </r>
  <r>
    <x v="679"/>
    <x v="1"/>
    <x v="10"/>
    <n v="46"/>
    <n v="16"/>
    <x v="14"/>
    <x v="13"/>
    <s v="cashloan"/>
    <n v="4433790000"/>
  </r>
  <r>
    <x v="679"/>
    <x v="1"/>
    <x v="10"/>
    <n v="46"/>
    <n v="16"/>
    <x v="23"/>
    <x v="17"/>
    <s v="paylater"/>
    <n v="13882952"/>
  </r>
  <r>
    <x v="679"/>
    <x v="1"/>
    <x v="10"/>
    <n v="46"/>
    <n v="16"/>
    <x v="28"/>
    <x v="17"/>
    <s v="paylater"/>
    <n v="1120089858"/>
  </r>
  <r>
    <x v="679"/>
    <x v="1"/>
    <x v="10"/>
    <n v="46"/>
    <n v="16"/>
    <x v="8"/>
    <x v="8"/>
    <s v="cashloan"/>
    <n v="0"/>
  </r>
  <r>
    <x v="679"/>
    <x v="1"/>
    <x v="10"/>
    <n v="46"/>
    <n v="16"/>
    <x v="26"/>
    <x v="16"/>
    <s v="cashloan"/>
    <n v="420000000"/>
  </r>
  <r>
    <x v="679"/>
    <x v="1"/>
    <x v="10"/>
    <n v="46"/>
    <n v="16"/>
    <x v="2"/>
    <x v="2"/>
    <s v="cashloan"/>
    <n v="17255670000"/>
  </r>
  <r>
    <x v="679"/>
    <x v="1"/>
    <x v="10"/>
    <n v="46"/>
    <n v="16"/>
    <x v="17"/>
    <x v="9"/>
    <s v="cashloan"/>
    <n v="0"/>
  </r>
  <r>
    <x v="679"/>
    <x v="1"/>
    <x v="10"/>
    <n v="46"/>
    <n v="16"/>
    <x v="20"/>
    <x v="9"/>
    <s v="cashloan"/>
    <n v="0"/>
  </r>
  <r>
    <x v="679"/>
    <x v="1"/>
    <x v="10"/>
    <n v="46"/>
    <n v="16"/>
    <x v="21"/>
    <x v="9"/>
    <s v="cashloan"/>
    <n v="0"/>
  </r>
  <r>
    <x v="679"/>
    <x v="1"/>
    <x v="10"/>
    <n v="46"/>
    <n v="16"/>
    <x v="25"/>
    <x v="2"/>
    <s v="cashloan"/>
    <n v="0"/>
  </r>
  <r>
    <x v="679"/>
    <x v="1"/>
    <x v="10"/>
    <n v="46"/>
    <n v="16"/>
    <x v="0"/>
    <x v="0"/>
    <s v="payday"/>
    <n v="9536076000"/>
  </r>
  <r>
    <x v="679"/>
    <x v="1"/>
    <x v="10"/>
    <n v="46"/>
    <n v="16"/>
    <x v="7"/>
    <x v="7"/>
    <s v="paylater"/>
    <n v="205001115"/>
  </r>
  <r>
    <x v="679"/>
    <x v="1"/>
    <x v="10"/>
    <n v="46"/>
    <n v="16"/>
    <x v="1"/>
    <x v="1"/>
    <s v="cashloan"/>
    <n v="42000000"/>
  </r>
  <r>
    <x v="679"/>
    <x v="1"/>
    <x v="10"/>
    <n v="46"/>
    <n v="16"/>
    <x v="6"/>
    <x v="6"/>
    <s v="payday"/>
    <n v="13000000"/>
  </r>
  <r>
    <x v="679"/>
    <x v="1"/>
    <x v="10"/>
    <n v="46"/>
    <n v="16"/>
    <x v="18"/>
    <x v="15"/>
    <s v="cashloan"/>
    <n v="354490000"/>
  </r>
  <r>
    <x v="679"/>
    <x v="1"/>
    <x v="10"/>
    <n v="46"/>
    <n v="16"/>
    <x v="29"/>
    <x v="20"/>
    <s v="payday"/>
    <n v="204444000"/>
  </r>
  <r>
    <x v="679"/>
    <x v="1"/>
    <x v="10"/>
    <n v="46"/>
    <n v="16"/>
    <x v="19"/>
    <x v="12"/>
    <s v="paylater"/>
    <n v="329464104"/>
  </r>
  <r>
    <x v="679"/>
    <x v="1"/>
    <x v="10"/>
    <n v="46"/>
    <n v="16"/>
    <x v="24"/>
    <x v="18"/>
    <s v="cashloan"/>
    <n v="2403740000"/>
  </r>
  <r>
    <x v="680"/>
    <x v="1"/>
    <x v="10"/>
    <n v="47"/>
    <n v="17"/>
    <x v="3"/>
    <x v="3"/>
    <s v="cashloan"/>
    <n v="28350000"/>
  </r>
  <r>
    <x v="680"/>
    <x v="1"/>
    <x v="10"/>
    <n v="47"/>
    <n v="17"/>
    <x v="11"/>
    <x v="10"/>
    <s v="paylater"/>
    <n v="277941010"/>
  </r>
  <r>
    <x v="680"/>
    <x v="1"/>
    <x v="10"/>
    <n v="47"/>
    <n v="17"/>
    <x v="12"/>
    <x v="11"/>
    <s v="cashloan"/>
    <n v="17541450000"/>
  </r>
  <r>
    <x v="680"/>
    <x v="1"/>
    <x v="10"/>
    <n v="47"/>
    <n v="17"/>
    <x v="5"/>
    <x v="5"/>
    <s v="overdraft"/>
    <n v="2468889117"/>
  </r>
  <r>
    <x v="680"/>
    <x v="1"/>
    <x v="10"/>
    <n v="47"/>
    <n v="17"/>
    <x v="27"/>
    <x v="19"/>
    <s v="payday"/>
    <n v="9186696000"/>
  </r>
  <r>
    <x v="680"/>
    <x v="1"/>
    <x v="10"/>
    <n v="47"/>
    <n v="17"/>
    <x v="15"/>
    <x v="14"/>
    <s v="paylater"/>
    <n v="3403751"/>
  </r>
  <r>
    <x v="680"/>
    <x v="1"/>
    <x v="10"/>
    <n v="47"/>
    <n v="17"/>
    <x v="14"/>
    <x v="13"/>
    <s v="cashloan"/>
    <n v="4084760000"/>
  </r>
  <r>
    <x v="680"/>
    <x v="1"/>
    <x v="10"/>
    <n v="47"/>
    <n v="17"/>
    <x v="23"/>
    <x v="17"/>
    <s v="paylater"/>
    <n v="15891871"/>
  </r>
  <r>
    <x v="680"/>
    <x v="1"/>
    <x v="10"/>
    <n v="47"/>
    <n v="17"/>
    <x v="28"/>
    <x v="17"/>
    <s v="paylater"/>
    <n v="618818065"/>
  </r>
  <r>
    <x v="680"/>
    <x v="1"/>
    <x v="10"/>
    <n v="47"/>
    <n v="17"/>
    <x v="8"/>
    <x v="8"/>
    <s v="cashloan"/>
    <n v="0"/>
  </r>
  <r>
    <x v="680"/>
    <x v="1"/>
    <x v="10"/>
    <n v="47"/>
    <n v="17"/>
    <x v="26"/>
    <x v="16"/>
    <s v="cashloan"/>
    <n v="460800000"/>
  </r>
  <r>
    <x v="680"/>
    <x v="1"/>
    <x v="10"/>
    <n v="47"/>
    <n v="17"/>
    <x v="2"/>
    <x v="2"/>
    <s v="cashloan"/>
    <n v="18117650000"/>
  </r>
  <r>
    <x v="680"/>
    <x v="1"/>
    <x v="10"/>
    <n v="47"/>
    <n v="17"/>
    <x v="17"/>
    <x v="9"/>
    <s v="cashloan"/>
    <n v="0"/>
  </r>
  <r>
    <x v="680"/>
    <x v="1"/>
    <x v="10"/>
    <n v="47"/>
    <n v="17"/>
    <x v="20"/>
    <x v="9"/>
    <s v="cashloan"/>
    <n v="0"/>
  </r>
  <r>
    <x v="680"/>
    <x v="1"/>
    <x v="10"/>
    <n v="47"/>
    <n v="17"/>
    <x v="21"/>
    <x v="9"/>
    <s v="cashloan"/>
    <n v="0"/>
  </r>
  <r>
    <x v="680"/>
    <x v="1"/>
    <x v="10"/>
    <n v="47"/>
    <n v="17"/>
    <x v="25"/>
    <x v="2"/>
    <s v="cashloan"/>
    <n v="12000000"/>
  </r>
  <r>
    <x v="680"/>
    <x v="1"/>
    <x v="10"/>
    <n v="47"/>
    <n v="17"/>
    <x v="0"/>
    <x v="0"/>
    <s v="payday"/>
    <n v="9945396000"/>
  </r>
  <r>
    <x v="680"/>
    <x v="1"/>
    <x v="10"/>
    <n v="47"/>
    <n v="17"/>
    <x v="7"/>
    <x v="7"/>
    <s v="paylater"/>
    <n v="155574793"/>
  </r>
  <r>
    <x v="680"/>
    <x v="1"/>
    <x v="10"/>
    <n v="47"/>
    <n v="17"/>
    <x v="1"/>
    <x v="1"/>
    <s v="cashloan"/>
    <n v="41000000"/>
  </r>
  <r>
    <x v="680"/>
    <x v="1"/>
    <x v="10"/>
    <n v="47"/>
    <n v="17"/>
    <x v="6"/>
    <x v="6"/>
    <s v="payday"/>
    <n v="43000000"/>
  </r>
  <r>
    <x v="680"/>
    <x v="1"/>
    <x v="10"/>
    <n v="47"/>
    <n v="17"/>
    <x v="18"/>
    <x v="15"/>
    <s v="cashloan"/>
    <n v="492910000"/>
  </r>
  <r>
    <x v="680"/>
    <x v="1"/>
    <x v="10"/>
    <n v="47"/>
    <n v="17"/>
    <x v="29"/>
    <x v="20"/>
    <s v="payday"/>
    <n v="250884000"/>
  </r>
  <r>
    <x v="680"/>
    <x v="1"/>
    <x v="10"/>
    <n v="47"/>
    <n v="17"/>
    <x v="19"/>
    <x v="12"/>
    <s v="paylater"/>
    <n v="298756038"/>
  </r>
  <r>
    <x v="680"/>
    <x v="1"/>
    <x v="10"/>
    <n v="47"/>
    <n v="17"/>
    <x v="24"/>
    <x v="18"/>
    <s v="cashloan"/>
    <n v="3172430000"/>
  </r>
  <r>
    <x v="681"/>
    <x v="1"/>
    <x v="10"/>
    <n v="47"/>
    <n v="18"/>
    <x v="3"/>
    <x v="3"/>
    <s v="cashloan"/>
    <n v="46500000"/>
  </r>
  <r>
    <x v="681"/>
    <x v="1"/>
    <x v="10"/>
    <n v="47"/>
    <n v="18"/>
    <x v="11"/>
    <x v="10"/>
    <s v="paylater"/>
    <n v="313567712"/>
  </r>
  <r>
    <x v="681"/>
    <x v="1"/>
    <x v="10"/>
    <n v="47"/>
    <n v="18"/>
    <x v="12"/>
    <x v="11"/>
    <s v="cashloan"/>
    <n v="22696610000"/>
  </r>
  <r>
    <x v="681"/>
    <x v="1"/>
    <x v="10"/>
    <n v="47"/>
    <n v="18"/>
    <x v="5"/>
    <x v="5"/>
    <s v="overdraft"/>
    <n v="1738841871"/>
  </r>
  <r>
    <x v="681"/>
    <x v="1"/>
    <x v="10"/>
    <n v="47"/>
    <n v="18"/>
    <x v="27"/>
    <x v="19"/>
    <s v="payday"/>
    <n v="8534052000"/>
  </r>
  <r>
    <x v="681"/>
    <x v="1"/>
    <x v="10"/>
    <n v="47"/>
    <n v="18"/>
    <x v="15"/>
    <x v="14"/>
    <s v="paylater"/>
    <n v="12283987"/>
  </r>
  <r>
    <x v="681"/>
    <x v="1"/>
    <x v="10"/>
    <n v="47"/>
    <n v="18"/>
    <x v="14"/>
    <x v="13"/>
    <s v="cashloan"/>
    <n v="3076100000"/>
  </r>
  <r>
    <x v="681"/>
    <x v="1"/>
    <x v="10"/>
    <n v="47"/>
    <n v="18"/>
    <x v="23"/>
    <x v="17"/>
    <s v="paylater"/>
    <n v="30274668"/>
  </r>
  <r>
    <x v="681"/>
    <x v="1"/>
    <x v="10"/>
    <n v="47"/>
    <n v="18"/>
    <x v="28"/>
    <x v="17"/>
    <s v="paylater"/>
    <n v="753414800"/>
  </r>
  <r>
    <x v="681"/>
    <x v="1"/>
    <x v="10"/>
    <n v="47"/>
    <n v="18"/>
    <x v="8"/>
    <x v="8"/>
    <s v="cashloan"/>
    <n v="0"/>
  </r>
  <r>
    <x v="681"/>
    <x v="1"/>
    <x v="10"/>
    <n v="47"/>
    <n v="18"/>
    <x v="26"/>
    <x v="16"/>
    <s v="cashloan"/>
    <n v="408250000"/>
  </r>
  <r>
    <x v="681"/>
    <x v="1"/>
    <x v="10"/>
    <n v="47"/>
    <n v="18"/>
    <x v="2"/>
    <x v="2"/>
    <s v="cashloan"/>
    <n v="17151150000"/>
  </r>
  <r>
    <x v="681"/>
    <x v="1"/>
    <x v="10"/>
    <n v="47"/>
    <n v="18"/>
    <x v="17"/>
    <x v="9"/>
    <s v="cashloan"/>
    <n v="0"/>
  </r>
  <r>
    <x v="681"/>
    <x v="1"/>
    <x v="10"/>
    <n v="47"/>
    <n v="18"/>
    <x v="20"/>
    <x v="9"/>
    <s v="cashloan"/>
    <n v="0"/>
  </r>
  <r>
    <x v="681"/>
    <x v="1"/>
    <x v="10"/>
    <n v="47"/>
    <n v="18"/>
    <x v="21"/>
    <x v="9"/>
    <s v="cashloan"/>
    <n v="0"/>
  </r>
  <r>
    <x v="681"/>
    <x v="1"/>
    <x v="10"/>
    <n v="47"/>
    <n v="18"/>
    <x v="25"/>
    <x v="2"/>
    <s v="cashloan"/>
    <n v="0"/>
  </r>
  <r>
    <x v="681"/>
    <x v="1"/>
    <x v="10"/>
    <n v="47"/>
    <n v="18"/>
    <x v="0"/>
    <x v="0"/>
    <s v="payday"/>
    <n v="8984628000"/>
  </r>
  <r>
    <x v="681"/>
    <x v="1"/>
    <x v="10"/>
    <n v="47"/>
    <n v="18"/>
    <x v="7"/>
    <x v="7"/>
    <s v="paylater"/>
    <n v="159994639"/>
  </r>
  <r>
    <x v="681"/>
    <x v="1"/>
    <x v="10"/>
    <n v="47"/>
    <n v="18"/>
    <x v="1"/>
    <x v="1"/>
    <s v="cashloan"/>
    <n v="10500000"/>
  </r>
  <r>
    <x v="681"/>
    <x v="1"/>
    <x v="10"/>
    <n v="47"/>
    <n v="18"/>
    <x v="6"/>
    <x v="6"/>
    <s v="payday"/>
    <n v="15000000"/>
  </r>
  <r>
    <x v="681"/>
    <x v="1"/>
    <x v="10"/>
    <n v="47"/>
    <n v="18"/>
    <x v="18"/>
    <x v="15"/>
    <s v="cashloan"/>
    <n v="550130000"/>
  </r>
  <r>
    <x v="681"/>
    <x v="1"/>
    <x v="10"/>
    <n v="47"/>
    <n v="18"/>
    <x v="29"/>
    <x v="20"/>
    <s v="payday"/>
    <n v="212760000"/>
  </r>
  <r>
    <x v="681"/>
    <x v="1"/>
    <x v="10"/>
    <n v="47"/>
    <n v="18"/>
    <x v="19"/>
    <x v="12"/>
    <s v="paylater"/>
    <n v="334926411"/>
  </r>
  <r>
    <x v="681"/>
    <x v="1"/>
    <x v="10"/>
    <n v="47"/>
    <n v="18"/>
    <x v="24"/>
    <x v="18"/>
    <s v="cashloan"/>
    <n v="3495690000"/>
  </r>
  <r>
    <x v="682"/>
    <x v="1"/>
    <x v="10"/>
    <n v="47"/>
    <n v="19"/>
    <x v="3"/>
    <x v="3"/>
    <s v="cashloan"/>
    <n v="104000000"/>
  </r>
  <r>
    <x v="682"/>
    <x v="1"/>
    <x v="10"/>
    <n v="47"/>
    <n v="19"/>
    <x v="11"/>
    <x v="10"/>
    <s v="paylater"/>
    <n v="274998842"/>
  </r>
  <r>
    <x v="682"/>
    <x v="1"/>
    <x v="10"/>
    <n v="47"/>
    <n v="19"/>
    <x v="12"/>
    <x v="11"/>
    <s v="cashloan"/>
    <n v="21324660000"/>
  </r>
  <r>
    <x v="682"/>
    <x v="1"/>
    <x v="10"/>
    <n v="47"/>
    <n v="19"/>
    <x v="5"/>
    <x v="5"/>
    <s v="overdraft"/>
    <n v="2324864830"/>
  </r>
  <r>
    <x v="682"/>
    <x v="1"/>
    <x v="10"/>
    <n v="47"/>
    <n v="19"/>
    <x v="27"/>
    <x v="19"/>
    <s v="payday"/>
    <n v="8992620000"/>
  </r>
  <r>
    <x v="682"/>
    <x v="1"/>
    <x v="10"/>
    <n v="47"/>
    <n v="19"/>
    <x v="15"/>
    <x v="14"/>
    <s v="paylater"/>
    <n v="1901523"/>
  </r>
  <r>
    <x v="682"/>
    <x v="1"/>
    <x v="10"/>
    <n v="47"/>
    <n v="19"/>
    <x v="14"/>
    <x v="13"/>
    <s v="cashloan"/>
    <n v="3181360000"/>
  </r>
  <r>
    <x v="682"/>
    <x v="1"/>
    <x v="10"/>
    <n v="47"/>
    <n v="19"/>
    <x v="23"/>
    <x v="17"/>
    <s v="paylater"/>
    <n v="2801462"/>
  </r>
  <r>
    <x v="682"/>
    <x v="1"/>
    <x v="10"/>
    <n v="47"/>
    <n v="19"/>
    <x v="28"/>
    <x v="17"/>
    <s v="paylater"/>
    <n v="533830509"/>
  </r>
  <r>
    <x v="682"/>
    <x v="1"/>
    <x v="10"/>
    <n v="47"/>
    <n v="19"/>
    <x v="8"/>
    <x v="8"/>
    <s v="cashloan"/>
    <n v="0"/>
  </r>
  <r>
    <x v="682"/>
    <x v="1"/>
    <x v="10"/>
    <n v="47"/>
    <n v="19"/>
    <x v="26"/>
    <x v="16"/>
    <s v="cashloan"/>
    <n v="394250000"/>
  </r>
  <r>
    <x v="682"/>
    <x v="1"/>
    <x v="10"/>
    <n v="47"/>
    <n v="19"/>
    <x v="2"/>
    <x v="2"/>
    <s v="cashloan"/>
    <n v="17930910000"/>
  </r>
  <r>
    <x v="682"/>
    <x v="1"/>
    <x v="10"/>
    <n v="47"/>
    <n v="19"/>
    <x v="17"/>
    <x v="9"/>
    <s v="cashloan"/>
    <n v="0"/>
  </r>
  <r>
    <x v="682"/>
    <x v="1"/>
    <x v="10"/>
    <n v="47"/>
    <n v="19"/>
    <x v="20"/>
    <x v="9"/>
    <s v="cashloan"/>
    <n v="0"/>
  </r>
  <r>
    <x v="682"/>
    <x v="1"/>
    <x v="10"/>
    <n v="47"/>
    <n v="19"/>
    <x v="21"/>
    <x v="9"/>
    <s v="cashloan"/>
    <n v="0"/>
  </r>
  <r>
    <x v="682"/>
    <x v="1"/>
    <x v="10"/>
    <n v="47"/>
    <n v="19"/>
    <x v="25"/>
    <x v="2"/>
    <s v="cashloan"/>
    <n v="0"/>
  </r>
  <r>
    <x v="682"/>
    <x v="1"/>
    <x v="10"/>
    <n v="47"/>
    <n v="19"/>
    <x v="0"/>
    <x v="0"/>
    <s v="payday"/>
    <n v="8757720000"/>
  </r>
  <r>
    <x v="682"/>
    <x v="1"/>
    <x v="10"/>
    <n v="47"/>
    <n v="19"/>
    <x v="7"/>
    <x v="7"/>
    <s v="paylater"/>
    <n v="159842500"/>
  </r>
  <r>
    <x v="682"/>
    <x v="1"/>
    <x v="10"/>
    <n v="47"/>
    <n v="19"/>
    <x v="1"/>
    <x v="1"/>
    <s v="cashloan"/>
    <n v="37800000"/>
  </r>
  <r>
    <x v="682"/>
    <x v="1"/>
    <x v="10"/>
    <n v="47"/>
    <n v="19"/>
    <x v="6"/>
    <x v="6"/>
    <s v="payday"/>
    <n v="27000000"/>
  </r>
  <r>
    <x v="682"/>
    <x v="1"/>
    <x v="10"/>
    <n v="47"/>
    <n v="19"/>
    <x v="18"/>
    <x v="15"/>
    <s v="cashloan"/>
    <n v="922480000"/>
  </r>
  <r>
    <x v="682"/>
    <x v="1"/>
    <x v="10"/>
    <n v="47"/>
    <n v="19"/>
    <x v="29"/>
    <x v="20"/>
    <s v="payday"/>
    <n v="183600000"/>
  </r>
  <r>
    <x v="682"/>
    <x v="1"/>
    <x v="10"/>
    <n v="47"/>
    <n v="19"/>
    <x v="19"/>
    <x v="12"/>
    <s v="paylater"/>
    <n v="315504493"/>
  </r>
  <r>
    <x v="682"/>
    <x v="1"/>
    <x v="10"/>
    <n v="47"/>
    <n v="19"/>
    <x v="24"/>
    <x v="18"/>
    <s v="cashloan"/>
    <n v="3100690000"/>
  </r>
  <r>
    <x v="683"/>
    <x v="1"/>
    <x v="10"/>
    <n v="47"/>
    <n v="20"/>
    <x v="3"/>
    <x v="3"/>
    <s v="cashloan"/>
    <n v="122850000"/>
  </r>
  <r>
    <x v="683"/>
    <x v="1"/>
    <x v="10"/>
    <n v="47"/>
    <n v="20"/>
    <x v="11"/>
    <x v="10"/>
    <s v="paylater"/>
    <n v="282427776"/>
  </r>
  <r>
    <x v="683"/>
    <x v="1"/>
    <x v="10"/>
    <n v="47"/>
    <n v="20"/>
    <x v="12"/>
    <x v="11"/>
    <s v="cashloan"/>
    <n v="19759970000"/>
  </r>
  <r>
    <x v="683"/>
    <x v="1"/>
    <x v="10"/>
    <n v="47"/>
    <n v="20"/>
    <x v="5"/>
    <x v="5"/>
    <s v="overdraft"/>
    <n v="1973959530"/>
  </r>
  <r>
    <x v="683"/>
    <x v="1"/>
    <x v="10"/>
    <n v="47"/>
    <n v="20"/>
    <x v="27"/>
    <x v="19"/>
    <s v="payday"/>
    <n v="9203328000"/>
  </r>
  <r>
    <x v="683"/>
    <x v="1"/>
    <x v="10"/>
    <n v="47"/>
    <n v="20"/>
    <x v="15"/>
    <x v="14"/>
    <s v="paylater"/>
    <n v="14337641"/>
  </r>
  <r>
    <x v="683"/>
    <x v="1"/>
    <x v="10"/>
    <n v="47"/>
    <n v="20"/>
    <x v="14"/>
    <x v="13"/>
    <s v="cashloan"/>
    <n v="3171550000"/>
  </r>
  <r>
    <x v="683"/>
    <x v="1"/>
    <x v="10"/>
    <n v="47"/>
    <n v="20"/>
    <x v="23"/>
    <x v="17"/>
    <s v="paylater"/>
    <n v="13912503"/>
  </r>
  <r>
    <x v="683"/>
    <x v="1"/>
    <x v="10"/>
    <n v="47"/>
    <n v="20"/>
    <x v="28"/>
    <x v="17"/>
    <s v="paylater"/>
    <n v="630119968"/>
  </r>
  <r>
    <x v="683"/>
    <x v="1"/>
    <x v="10"/>
    <n v="47"/>
    <n v="20"/>
    <x v="8"/>
    <x v="8"/>
    <s v="cashloan"/>
    <n v="0"/>
  </r>
  <r>
    <x v="683"/>
    <x v="1"/>
    <x v="10"/>
    <n v="47"/>
    <n v="20"/>
    <x v="26"/>
    <x v="16"/>
    <s v="cashloan"/>
    <n v="166000000"/>
  </r>
  <r>
    <x v="683"/>
    <x v="1"/>
    <x v="10"/>
    <n v="47"/>
    <n v="20"/>
    <x v="2"/>
    <x v="2"/>
    <s v="cashloan"/>
    <n v="17540700000"/>
  </r>
  <r>
    <x v="683"/>
    <x v="1"/>
    <x v="10"/>
    <n v="47"/>
    <n v="20"/>
    <x v="17"/>
    <x v="9"/>
    <s v="cashloan"/>
    <n v="0"/>
  </r>
  <r>
    <x v="683"/>
    <x v="1"/>
    <x v="10"/>
    <n v="47"/>
    <n v="20"/>
    <x v="20"/>
    <x v="9"/>
    <s v="cashloan"/>
    <n v="0"/>
  </r>
  <r>
    <x v="683"/>
    <x v="1"/>
    <x v="10"/>
    <n v="47"/>
    <n v="20"/>
    <x v="21"/>
    <x v="9"/>
    <s v="cashloan"/>
    <n v="0"/>
  </r>
  <r>
    <x v="683"/>
    <x v="1"/>
    <x v="10"/>
    <n v="47"/>
    <n v="20"/>
    <x v="25"/>
    <x v="2"/>
    <s v="cashloan"/>
    <n v="0"/>
  </r>
  <r>
    <x v="683"/>
    <x v="1"/>
    <x v="10"/>
    <n v="47"/>
    <n v="20"/>
    <x v="0"/>
    <x v="0"/>
    <s v="payday"/>
    <n v="8890452000"/>
  </r>
  <r>
    <x v="683"/>
    <x v="1"/>
    <x v="10"/>
    <n v="47"/>
    <n v="20"/>
    <x v="7"/>
    <x v="7"/>
    <s v="paylater"/>
    <n v="163473911"/>
  </r>
  <r>
    <x v="683"/>
    <x v="1"/>
    <x v="10"/>
    <n v="47"/>
    <n v="20"/>
    <x v="1"/>
    <x v="1"/>
    <s v="cashloan"/>
    <n v="10500000"/>
  </r>
  <r>
    <x v="683"/>
    <x v="1"/>
    <x v="10"/>
    <n v="47"/>
    <n v="20"/>
    <x v="6"/>
    <x v="6"/>
    <s v="payday"/>
    <n v="33000000"/>
  </r>
  <r>
    <x v="683"/>
    <x v="1"/>
    <x v="10"/>
    <n v="47"/>
    <n v="20"/>
    <x v="18"/>
    <x v="15"/>
    <s v="cashloan"/>
    <n v="715660000"/>
  </r>
  <r>
    <x v="683"/>
    <x v="1"/>
    <x v="10"/>
    <n v="47"/>
    <n v="20"/>
    <x v="29"/>
    <x v="20"/>
    <s v="payday"/>
    <n v="225504000"/>
  </r>
  <r>
    <x v="683"/>
    <x v="1"/>
    <x v="10"/>
    <n v="47"/>
    <n v="20"/>
    <x v="19"/>
    <x v="12"/>
    <s v="paylater"/>
    <n v="268836224"/>
  </r>
  <r>
    <x v="683"/>
    <x v="1"/>
    <x v="10"/>
    <n v="47"/>
    <n v="20"/>
    <x v="24"/>
    <x v="18"/>
    <s v="cashloan"/>
    <n v="3428590000"/>
  </r>
  <r>
    <x v="684"/>
    <x v="1"/>
    <x v="10"/>
    <n v="47"/>
    <n v="21"/>
    <x v="3"/>
    <x v="3"/>
    <s v="cashloan"/>
    <n v="163350000"/>
  </r>
  <r>
    <x v="684"/>
    <x v="1"/>
    <x v="10"/>
    <n v="47"/>
    <n v="21"/>
    <x v="11"/>
    <x v="10"/>
    <s v="paylater"/>
    <n v="295943875"/>
  </r>
  <r>
    <x v="684"/>
    <x v="1"/>
    <x v="10"/>
    <n v="47"/>
    <n v="21"/>
    <x v="12"/>
    <x v="11"/>
    <s v="cashloan"/>
    <n v="27828910000"/>
  </r>
  <r>
    <x v="684"/>
    <x v="1"/>
    <x v="10"/>
    <n v="47"/>
    <n v="21"/>
    <x v="5"/>
    <x v="5"/>
    <s v="overdraft"/>
    <n v="2205328870"/>
  </r>
  <r>
    <x v="684"/>
    <x v="1"/>
    <x v="10"/>
    <n v="47"/>
    <n v="21"/>
    <x v="27"/>
    <x v="19"/>
    <s v="payday"/>
    <n v="9694188000"/>
  </r>
  <r>
    <x v="684"/>
    <x v="1"/>
    <x v="10"/>
    <n v="47"/>
    <n v="21"/>
    <x v="15"/>
    <x v="14"/>
    <s v="paylater"/>
    <n v="14723455"/>
  </r>
  <r>
    <x v="684"/>
    <x v="1"/>
    <x v="10"/>
    <n v="47"/>
    <n v="21"/>
    <x v="14"/>
    <x v="13"/>
    <s v="cashloan"/>
    <n v="3042220000"/>
  </r>
  <r>
    <x v="684"/>
    <x v="1"/>
    <x v="10"/>
    <n v="47"/>
    <n v="21"/>
    <x v="23"/>
    <x v="17"/>
    <s v="paylater"/>
    <n v="27861288"/>
  </r>
  <r>
    <x v="684"/>
    <x v="1"/>
    <x v="10"/>
    <n v="47"/>
    <n v="21"/>
    <x v="28"/>
    <x v="17"/>
    <s v="paylater"/>
    <n v="722946178"/>
  </r>
  <r>
    <x v="684"/>
    <x v="1"/>
    <x v="10"/>
    <n v="47"/>
    <n v="21"/>
    <x v="8"/>
    <x v="8"/>
    <s v="cashloan"/>
    <n v="0"/>
  </r>
  <r>
    <x v="684"/>
    <x v="1"/>
    <x v="10"/>
    <n v="47"/>
    <n v="21"/>
    <x v="26"/>
    <x v="16"/>
    <s v="cashloan"/>
    <n v="374000000"/>
  </r>
  <r>
    <x v="684"/>
    <x v="1"/>
    <x v="10"/>
    <n v="47"/>
    <n v="21"/>
    <x v="2"/>
    <x v="2"/>
    <s v="cashloan"/>
    <n v="16778490000"/>
  </r>
  <r>
    <x v="684"/>
    <x v="1"/>
    <x v="10"/>
    <n v="47"/>
    <n v="21"/>
    <x v="17"/>
    <x v="9"/>
    <s v="cashloan"/>
    <n v="0"/>
  </r>
  <r>
    <x v="684"/>
    <x v="1"/>
    <x v="10"/>
    <n v="47"/>
    <n v="21"/>
    <x v="20"/>
    <x v="9"/>
    <s v="cashloan"/>
    <n v="0"/>
  </r>
  <r>
    <x v="684"/>
    <x v="1"/>
    <x v="10"/>
    <n v="47"/>
    <n v="21"/>
    <x v="21"/>
    <x v="9"/>
    <s v="cashloan"/>
    <n v="0"/>
  </r>
  <r>
    <x v="684"/>
    <x v="1"/>
    <x v="10"/>
    <n v="47"/>
    <n v="21"/>
    <x v="25"/>
    <x v="2"/>
    <s v="cashloan"/>
    <n v="0"/>
  </r>
  <r>
    <x v="684"/>
    <x v="1"/>
    <x v="10"/>
    <n v="47"/>
    <n v="21"/>
    <x v="0"/>
    <x v="0"/>
    <s v="payday"/>
    <n v="9303984000"/>
  </r>
  <r>
    <x v="684"/>
    <x v="1"/>
    <x v="10"/>
    <n v="47"/>
    <n v="21"/>
    <x v="7"/>
    <x v="7"/>
    <s v="paylater"/>
    <n v="207680715"/>
  </r>
  <r>
    <x v="684"/>
    <x v="1"/>
    <x v="10"/>
    <n v="47"/>
    <n v="21"/>
    <x v="1"/>
    <x v="1"/>
    <s v="cashloan"/>
    <n v="10000000"/>
  </r>
  <r>
    <x v="684"/>
    <x v="1"/>
    <x v="10"/>
    <n v="47"/>
    <n v="21"/>
    <x v="6"/>
    <x v="6"/>
    <s v="payday"/>
    <n v="54000000"/>
  </r>
  <r>
    <x v="684"/>
    <x v="1"/>
    <x v="10"/>
    <n v="47"/>
    <n v="21"/>
    <x v="18"/>
    <x v="15"/>
    <s v="cashloan"/>
    <n v="794960000"/>
  </r>
  <r>
    <x v="684"/>
    <x v="1"/>
    <x v="10"/>
    <n v="47"/>
    <n v="21"/>
    <x v="29"/>
    <x v="20"/>
    <s v="payday"/>
    <n v="309636000"/>
  </r>
  <r>
    <x v="684"/>
    <x v="1"/>
    <x v="10"/>
    <n v="47"/>
    <n v="21"/>
    <x v="19"/>
    <x v="12"/>
    <s v="paylater"/>
    <n v="456280733"/>
  </r>
  <r>
    <x v="684"/>
    <x v="1"/>
    <x v="10"/>
    <n v="47"/>
    <n v="21"/>
    <x v="24"/>
    <x v="18"/>
    <s v="cashloan"/>
    <n v="3491200000"/>
  </r>
  <r>
    <x v="685"/>
    <x v="1"/>
    <x v="10"/>
    <n v="47"/>
    <n v="22"/>
    <x v="3"/>
    <x v="3"/>
    <s v="cashloan"/>
    <n v="141750000"/>
  </r>
  <r>
    <x v="685"/>
    <x v="1"/>
    <x v="10"/>
    <n v="47"/>
    <n v="22"/>
    <x v="11"/>
    <x v="10"/>
    <s v="paylater"/>
    <n v="272434905"/>
  </r>
  <r>
    <x v="685"/>
    <x v="1"/>
    <x v="10"/>
    <n v="47"/>
    <n v="22"/>
    <x v="12"/>
    <x v="11"/>
    <s v="cashloan"/>
    <n v="20249690000"/>
  </r>
  <r>
    <x v="685"/>
    <x v="1"/>
    <x v="10"/>
    <n v="47"/>
    <n v="22"/>
    <x v="5"/>
    <x v="5"/>
    <s v="overdraft"/>
    <n v="1716837173"/>
  </r>
  <r>
    <x v="685"/>
    <x v="1"/>
    <x v="10"/>
    <n v="47"/>
    <n v="22"/>
    <x v="27"/>
    <x v="19"/>
    <s v="payday"/>
    <n v="8472060000"/>
  </r>
  <r>
    <x v="685"/>
    <x v="1"/>
    <x v="10"/>
    <n v="47"/>
    <n v="22"/>
    <x v="15"/>
    <x v="14"/>
    <s v="paylater"/>
    <n v="7783539"/>
  </r>
  <r>
    <x v="685"/>
    <x v="1"/>
    <x v="10"/>
    <n v="47"/>
    <n v="22"/>
    <x v="14"/>
    <x v="13"/>
    <s v="cashloan"/>
    <n v="3307910000"/>
  </r>
  <r>
    <x v="685"/>
    <x v="1"/>
    <x v="10"/>
    <n v="47"/>
    <n v="22"/>
    <x v="23"/>
    <x v="17"/>
    <s v="paylater"/>
    <n v="11382038"/>
  </r>
  <r>
    <x v="685"/>
    <x v="1"/>
    <x v="10"/>
    <n v="47"/>
    <n v="22"/>
    <x v="28"/>
    <x v="17"/>
    <s v="paylater"/>
    <n v="811539954"/>
  </r>
  <r>
    <x v="685"/>
    <x v="1"/>
    <x v="10"/>
    <n v="47"/>
    <n v="22"/>
    <x v="8"/>
    <x v="8"/>
    <s v="cashloan"/>
    <n v="0"/>
  </r>
  <r>
    <x v="685"/>
    <x v="1"/>
    <x v="10"/>
    <n v="47"/>
    <n v="22"/>
    <x v="26"/>
    <x v="16"/>
    <s v="cashloan"/>
    <n v="226000000"/>
  </r>
  <r>
    <x v="685"/>
    <x v="1"/>
    <x v="10"/>
    <n v="47"/>
    <n v="22"/>
    <x v="2"/>
    <x v="2"/>
    <s v="cashloan"/>
    <n v="15057140000"/>
  </r>
  <r>
    <x v="685"/>
    <x v="1"/>
    <x v="10"/>
    <n v="47"/>
    <n v="22"/>
    <x v="17"/>
    <x v="9"/>
    <s v="cashloan"/>
    <n v="0"/>
  </r>
  <r>
    <x v="685"/>
    <x v="1"/>
    <x v="10"/>
    <n v="47"/>
    <n v="22"/>
    <x v="20"/>
    <x v="9"/>
    <s v="cashloan"/>
    <n v="0"/>
  </r>
  <r>
    <x v="685"/>
    <x v="1"/>
    <x v="10"/>
    <n v="47"/>
    <n v="22"/>
    <x v="21"/>
    <x v="9"/>
    <s v="cashloan"/>
    <n v="0"/>
  </r>
  <r>
    <x v="685"/>
    <x v="1"/>
    <x v="10"/>
    <n v="47"/>
    <n v="22"/>
    <x v="25"/>
    <x v="2"/>
    <s v="cashloan"/>
    <n v="0"/>
  </r>
  <r>
    <x v="685"/>
    <x v="1"/>
    <x v="10"/>
    <n v="47"/>
    <n v="22"/>
    <x v="0"/>
    <x v="0"/>
    <s v="payday"/>
    <n v="8592480000"/>
  </r>
  <r>
    <x v="685"/>
    <x v="1"/>
    <x v="10"/>
    <n v="47"/>
    <n v="22"/>
    <x v="7"/>
    <x v="7"/>
    <s v="paylater"/>
    <n v="154586301"/>
  </r>
  <r>
    <x v="685"/>
    <x v="1"/>
    <x v="10"/>
    <n v="47"/>
    <n v="22"/>
    <x v="1"/>
    <x v="1"/>
    <s v="cashloan"/>
    <n v="0"/>
  </r>
  <r>
    <x v="685"/>
    <x v="1"/>
    <x v="10"/>
    <n v="47"/>
    <n v="22"/>
    <x v="6"/>
    <x v="6"/>
    <s v="payday"/>
    <n v="36000000"/>
  </r>
  <r>
    <x v="685"/>
    <x v="1"/>
    <x v="10"/>
    <n v="47"/>
    <n v="22"/>
    <x v="18"/>
    <x v="15"/>
    <s v="cashloan"/>
    <n v="457190000"/>
  </r>
  <r>
    <x v="685"/>
    <x v="1"/>
    <x v="10"/>
    <n v="47"/>
    <n v="22"/>
    <x v="29"/>
    <x v="20"/>
    <s v="payday"/>
    <n v="220860000"/>
  </r>
  <r>
    <x v="685"/>
    <x v="1"/>
    <x v="10"/>
    <n v="47"/>
    <n v="22"/>
    <x v="19"/>
    <x v="12"/>
    <s v="paylater"/>
    <n v="405926798"/>
  </r>
  <r>
    <x v="685"/>
    <x v="1"/>
    <x v="10"/>
    <n v="47"/>
    <n v="22"/>
    <x v="24"/>
    <x v="18"/>
    <s v="cashloan"/>
    <n v="2176320000"/>
  </r>
  <r>
    <x v="686"/>
    <x v="1"/>
    <x v="10"/>
    <n v="47"/>
    <n v="23"/>
    <x v="3"/>
    <x v="3"/>
    <s v="cashloan"/>
    <n v="173600000"/>
  </r>
  <r>
    <x v="686"/>
    <x v="1"/>
    <x v="10"/>
    <n v="47"/>
    <n v="23"/>
    <x v="11"/>
    <x v="10"/>
    <s v="paylater"/>
    <n v="255731252"/>
  </r>
  <r>
    <x v="686"/>
    <x v="1"/>
    <x v="10"/>
    <n v="47"/>
    <n v="23"/>
    <x v="12"/>
    <x v="11"/>
    <s v="cashloan"/>
    <n v="17484070000"/>
  </r>
  <r>
    <x v="686"/>
    <x v="1"/>
    <x v="10"/>
    <n v="47"/>
    <n v="23"/>
    <x v="5"/>
    <x v="5"/>
    <s v="overdraft"/>
    <n v="1674844734"/>
  </r>
  <r>
    <x v="686"/>
    <x v="1"/>
    <x v="10"/>
    <n v="47"/>
    <n v="23"/>
    <x v="27"/>
    <x v="19"/>
    <s v="payday"/>
    <n v="7967808000"/>
  </r>
  <r>
    <x v="686"/>
    <x v="1"/>
    <x v="10"/>
    <n v="47"/>
    <n v="23"/>
    <x v="15"/>
    <x v="14"/>
    <s v="paylater"/>
    <n v="9340676"/>
  </r>
  <r>
    <x v="686"/>
    <x v="1"/>
    <x v="10"/>
    <n v="47"/>
    <n v="23"/>
    <x v="14"/>
    <x v="13"/>
    <s v="cashloan"/>
    <n v="3932610000"/>
  </r>
  <r>
    <x v="686"/>
    <x v="1"/>
    <x v="10"/>
    <n v="47"/>
    <n v="23"/>
    <x v="23"/>
    <x v="17"/>
    <s v="paylater"/>
    <n v="21493848"/>
  </r>
  <r>
    <x v="686"/>
    <x v="1"/>
    <x v="10"/>
    <n v="47"/>
    <n v="23"/>
    <x v="28"/>
    <x v="17"/>
    <s v="paylater"/>
    <n v="648222564"/>
  </r>
  <r>
    <x v="686"/>
    <x v="1"/>
    <x v="10"/>
    <n v="47"/>
    <n v="23"/>
    <x v="8"/>
    <x v="8"/>
    <s v="cashloan"/>
    <n v="0"/>
  </r>
  <r>
    <x v="686"/>
    <x v="1"/>
    <x v="10"/>
    <n v="47"/>
    <n v="23"/>
    <x v="26"/>
    <x v="16"/>
    <s v="cashloan"/>
    <n v="362050000"/>
  </r>
  <r>
    <x v="686"/>
    <x v="1"/>
    <x v="10"/>
    <n v="47"/>
    <n v="23"/>
    <x v="2"/>
    <x v="2"/>
    <s v="cashloan"/>
    <n v="14433130000"/>
  </r>
  <r>
    <x v="686"/>
    <x v="1"/>
    <x v="10"/>
    <n v="47"/>
    <n v="23"/>
    <x v="17"/>
    <x v="9"/>
    <s v="cashloan"/>
    <n v="0"/>
  </r>
  <r>
    <x v="686"/>
    <x v="1"/>
    <x v="10"/>
    <n v="47"/>
    <n v="23"/>
    <x v="20"/>
    <x v="9"/>
    <s v="cashloan"/>
    <n v="0"/>
  </r>
  <r>
    <x v="686"/>
    <x v="1"/>
    <x v="10"/>
    <n v="47"/>
    <n v="23"/>
    <x v="21"/>
    <x v="9"/>
    <s v="cashloan"/>
    <n v="0"/>
  </r>
  <r>
    <x v="686"/>
    <x v="1"/>
    <x v="10"/>
    <n v="47"/>
    <n v="23"/>
    <x v="25"/>
    <x v="2"/>
    <s v="cashloan"/>
    <n v="0"/>
  </r>
  <r>
    <x v="686"/>
    <x v="1"/>
    <x v="10"/>
    <n v="47"/>
    <n v="23"/>
    <x v="0"/>
    <x v="0"/>
    <s v="payday"/>
    <n v="8137152000"/>
  </r>
  <r>
    <x v="686"/>
    <x v="1"/>
    <x v="10"/>
    <n v="47"/>
    <n v="23"/>
    <x v="7"/>
    <x v="7"/>
    <s v="paylater"/>
    <n v="127618857"/>
  </r>
  <r>
    <x v="686"/>
    <x v="1"/>
    <x v="10"/>
    <n v="47"/>
    <n v="23"/>
    <x v="1"/>
    <x v="1"/>
    <s v="cashloan"/>
    <n v="41000000"/>
  </r>
  <r>
    <x v="686"/>
    <x v="1"/>
    <x v="10"/>
    <n v="47"/>
    <n v="23"/>
    <x v="6"/>
    <x v="6"/>
    <s v="payday"/>
    <n v="31000000"/>
  </r>
  <r>
    <x v="686"/>
    <x v="1"/>
    <x v="10"/>
    <n v="47"/>
    <n v="23"/>
    <x v="18"/>
    <x v="15"/>
    <s v="cashloan"/>
    <n v="532520000"/>
  </r>
  <r>
    <x v="686"/>
    <x v="1"/>
    <x v="10"/>
    <n v="47"/>
    <n v="23"/>
    <x v="29"/>
    <x v="20"/>
    <s v="payday"/>
    <n v="231876000"/>
  </r>
  <r>
    <x v="686"/>
    <x v="1"/>
    <x v="10"/>
    <n v="47"/>
    <n v="23"/>
    <x v="19"/>
    <x v="12"/>
    <s v="paylater"/>
    <n v="354693671"/>
  </r>
  <r>
    <x v="686"/>
    <x v="1"/>
    <x v="10"/>
    <n v="47"/>
    <n v="23"/>
    <x v="24"/>
    <x v="18"/>
    <s v="cashloan"/>
    <n v="2220790000"/>
  </r>
  <r>
    <x v="687"/>
    <x v="1"/>
    <x v="10"/>
    <n v="48"/>
    <n v="24"/>
    <x v="3"/>
    <x v="3"/>
    <s v="cashloan"/>
    <n v="105050000"/>
  </r>
  <r>
    <x v="687"/>
    <x v="1"/>
    <x v="10"/>
    <n v="48"/>
    <n v="24"/>
    <x v="11"/>
    <x v="10"/>
    <s v="paylater"/>
    <n v="251176291"/>
  </r>
  <r>
    <x v="687"/>
    <x v="1"/>
    <x v="10"/>
    <n v="48"/>
    <n v="24"/>
    <x v="12"/>
    <x v="11"/>
    <s v="cashloan"/>
    <n v="26088360000"/>
  </r>
  <r>
    <x v="687"/>
    <x v="1"/>
    <x v="10"/>
    <n v="48"/>
    <n v="24"/>
    <x v="5"/>
    <x v="5"/>
    <s v="overdraft"/>
    <n v="2416303165"/>
  </r>
  <r>
    <x v="687"/>
    <x v="1"/>
    <x v="10"/>
    <n v="48"/>
    <n v="24"/>
    <x v="27"/>
    <x v="19"/>
    <s v="payday"/>
    <n v="9322668000"/>
  </r>
  <r>
    <x v="687"/>
    <x v="1"/>
    <x v="10"/>
    <n v="48"/>
    <n v="24"/>
    <x v="15"/>
    <x v="14"/>
    <s v="paylater"/>
    <n v="1855323"/>
  </r>
  <r>
    <x v="687"/>
    <x v="1"/>
    <x v="10"/>
    <n v="48"/>
    <n v="24"/>
    <x v="14"/>
    <x v="13"/>
    <s v="cashloan"/>
    <n v="3424320000"/>
  </r>
  <r>
    <x v="687"/>
    <x v="1"/>
    <x v="10"/>
    <n v="48"/>
    <n v="24"/>
    <x v="23"/>
    <x v="17"/>
    <s v="paylater"/>
    <n v="36435411"/>
  </r>
  <r>
    <x v="687"/>
    <x v="1"/>
    <x v="10"/>
    <n v="48"/>
    <n v="24"/>
    <x v="28"/>
    <x v="17"/>
    <s v="paylater"/>
    <n v="645299092"/>
  </r>
  <r>
    <x v="687"/>
    <x v="1"/>
    <x v="10"/>
    <n v="48"/>
    <n v="24"/>
    <x v="8"/>
    <x v="8"/>
    <s v="cashloan"/>
    <n v="0"/>
  </r>
  <r>
    <x v="687"/>
    <x v="1"/>
    <x v="10"/>
    <n v="48"/>
    <n v="24"/>
    <x v="26"/>
    <x v="16"/>
    <s v="cashloan"/>
    <n v="503850000"/>
  </r>
  <r>
    <x v="687"/>
    <x v="1"/>
    <x v="10"/>
    <n v="48"/>
    <n v="24"/>
    <x v="2"/>
    <x v="2"/>
    <s v="cashloan"/>
    <n v="15526090000"/>
  </r>
  <r>
    <x v="687"/>
    <x v="1"/>
    <x v="10"/>
    <n v="48"/>
    <n v="24"/>
    <x v="17"/>
    <x v="9"/>
    <s v="cashloan"/>
    <n v="0"/>
  </r>
  <r>
    <x v="687"/>
    <x v="1"/>
    <x v="10"/>
    <n v="48"/>
    <n v="24"/>
    <x v="20"/>
    <x v="9"/>
    <s v="cashloan"/>
    <n v="0"/>
  </r>
  <r>
    <x v="687"/>
    <x v="1"/>
    <x v="10"/>
    <n v="48"/>
    <n v="24"/>
    <x v="21"/>
    <x v="9"/>
    <s v="cashloan"/>
    <n v="0"/>
  </r>
  <r>
    <x v="687"/>
    <x v="1"/>
    <x v="10"/>
    <n v="48"/>
    <n v="24"/>
    <x v="25"/>
    <x v="2"/>
    <s v="cashloan"/>
    <n v="5000000"/>
  </r>
  <r>
    <x v="687"/>
    <x v="1"/>
    <x v="10"/>
    <n v="48"/>
    <n v="24"/>
    <x v="0"/>
    <x v="0"/>
    <s v="payday"/>
    <n v="7719732000"/>
  </r>
  <r>
    <x v="687"/>
    <x v="1"/>
    <x v="10"/>
    <n v="48"/>
    <n v="24"/>
    <x v="7"/>
    <x v="7"/>
    <s v="paylater"/>
    <n v="164885762"/>
  </r>
  <r>
    <x v="687"/>
    <x v="1"/>
    <x v="10"/>
    <n v="48"/>
    <n v="24"/>
    <x v="1"/>
    <x v="1"/>
    <s v="cashloan"/>
    <n v="21000000"/>
  </r>
  <r>
    <x v="687"/>
    <x v="1"/>
    <x v="10"/>
    <n v="48"/>
    <n v="24"/>
    <x v="6"/>
    <x v="6"/>
    <s v="payday"/>
    <n v="78000000"/>
  </r>
  <r>
    <x v="687"/>
    <x v="1"/>
    <x v="10"/>
    <n v="48"/>
    <n v="24"/>
    <x v="18"/>
    <x v="15"/>
    <s v="cashloan"/>
    <n v="874980000"/>
  </r>
  <r>
    <x v="687"/>
    <x v="1"/>
    <x v="10"/>
    <n v="48"/>
    <n v="24"/>
    <x v="29"/>
    <x v="20"/>
    <s v="payday"/>
    <n v="258228000"/>
  </r>
  <r>
    <x v="687"/>
    <x v="1"/>
    <x v="10"/>
    <n v="48"/>
    <n v="24"/>
    <x v="19"/>
    <x v="12"/>
    <s v="paylater"/>
    <n v="435386414"/>
  </r>
  <r>
    <x v="687"/>
    <x v="1"/>
    <x v="10"/>
    <n v="48"/>
    <n v="24"/>
    <x v="24"/>
    <x v="18"/>
    <s v="cashloan"/>
    <n v="2636250000"/>
  </r>
  <r>
    <x v="688"/>
    <x v="1"/>
    <x v="10"/>
    <n v="48"/>
    <n v="25"/>
    <x v="3"/>
    <x v="3"/>
    <s v="cashloan"/>
    <n v="113950000"/>
  </r>
  <r>
    <x v="688"/>
    <x v="1"/>
    <x v="10"/>
    <n v="48"/>
    <n v="25"/>
    <x v="11"/>
    <x v="10"/>
    <s v="paylater"/>
    <n v="250152094"/>
  </r>
  <r>
    <x v="688"/>
    <x v="1"/>
    <x v="10"/>
    <n v="48"/>
    <n v="25"/>
    <x v="12"/>
    <x v="11"/>
    <s v="cashloan"/>
    <n v="22685150000"/>
  </r>
  <r>
    <x v="688"/>
    <x v="1"/>
    <x v="10"/>
    <n v="48"/>
    <n v="25"/>
    <x v="5"/>
    <x v="5"/>
    <s v="overdraft"/>
    <n v="2642649086"/>
  </r>
  <r>
    <x v="688"/>
    <x v="1"/>
    <x v="10"/>
    <n v="48"/>
    <n v="25"/>
    <x v="27"/>
    <x v="19"/>
    <s v="payday"/>
    <n v="9554220000"/>
  </r>
  <r>
    <x v="688"/>
    <x v="1"/>
    <x v="10"/>
    <n v="48"/>
    <n v="25"/>
    <x v="15"/>
    <x v="14"/>
    <s v="paylater"/>
    <n v="1989848"/>
  </r>
  <r>
    <x v="688"/>
    <x v="1"/>
    <x v="10"/>
    <n v="48"/>
    <n v="25"/>
    <x v="14"/>
    <x v="13"/>
    <s v="cashloan"/>
    <n v="3922640000"/>
  </r>
  <r>
    <x v="688"/>
    <x v="1"/>
    <x v="10"/>
    <n v="48"/>
    <n v="25"/>
    <x v="23"/>
    <x v="17"/>
    <s v="paylater"/>
    <n v="15747099"/>
  </r>
  <r>
    <x v="688"/>
    <x v="1"/>
    <x v="10"/>
    <n v="48"/>
    <n v="25"/>
    <x v="28"/>
    <x v="17"/>
    <s v="paylater"/>
    <n v="553239276"/>
  </r>
  <r>
    <x v="688"/>
    <x v="1"/>
    <x v="10"/>
    <n v="48"/>
    <n v="25"/>
    <x v="8"/>
    <x v="8"/>
    <s v="cashloan"/>
    <n v="0"/>
  </r>
  <r>
    <x v="688"/>
    <x v="1"/>
    <x v="10"/>
    <n v="48"/>
    <n v="25"/>
    <x v="26"/>
    <x v="16"/>
    <s v="cashloan"/>
    <n v="563500000"/>
  </r>
  <r>
    <x v="688"/>
    <x v="1"/>
    <x v="10"/>
    <n v="48"/>
    <n v="25"/>
    <x v="2"/>
    <x v="2"/>
    <s v="cashloan"/>
    <n v="16705690000"/>
  </r>
  <r>
    <x v="688"/>
    <x v="1"/>
    <x v="10"/>
    <n v="48"/>
    <n v="25"/>
    <x v="17"/>
    <x v="9"/>
    <s v="cashloan"/>
    <n v="0"/>
  </r>
  <r>
    <x v="688"/>
    <x v="1"/>
    <x v="10"/>
    <n v="48"/>
    <n v="25"/>
    <x v="20"/>
    <x v="9"/>
    <s v="cashloan"/>
    <n v="0"/>
  </r>
  <r>
    <x v="688"/>
    <x v="1"/>
    <x v="10"/>
    <n v="48"/>
    <n v="25"/>
    <x v="21"/>
    <x v="9"/>
    <s v="cashloan"/>
    <n v="0"/>
  </r>
  <r>
    <x v="688"/>
    <x v="1"/>
    <x v="10"/>
    <n v="48"/>
    <n v="25"/>
    <x v="25"/>
    <x v="2"/>
    <s v="cashloan"/>
    <n v="0"/>
  </r>
  <r>
    <x v="688"/>
    <x v="1"/>
    <x v="10"/>
    <n v="48"/>
    <n v="25"/>
    <x v="0"/>
    <x v="0"/>
    <s v="payday"/>
    <n v="8619264000"/>
  </r>
  <r>
    <x v="688"/>
    <x v="1"/>
    <x v="10"/>
    <n v="48"/>
    <n v="25"/>
    <x v="7"/>
    <x v="7"/>
    <s v="paylater"/>
    <n v="158587089"/>
  </r>
  <r>
    <x v="688"/>
    <x v="1"/>
    <x v="10"/>
    <n v="48"/>
    <n v="25"/>
    <x v="1"/>
    <x v="1"/>
    <s v="cashloan"/>
    <n v="31000000"/>
  </r>
  <r>
    <x v="688"/>
    <x v="1"/>
    <x v="10"/>
    <n v="48"/>
    <n v="25"/>
    <x v="6"/>
    <x v="6"/>
    <s v="payday"/>
    <n v="59000000"/>
  </r>
  <r>
    <x v="688"/>
    <x v="1"/>
    <x v="10"/>
    <n v="48"/>
    <n v="25"/>
    <x v="18"/>
    <x v="15"/>
    <s v="cashloan"/>
    <n v="300310000"/>
  </r>
  <r>
    <x v="688"/>
    <x v="1"/>
    <x v="10"/>
    <n v="48"/>
    <n v="25"/>
    <x v="29"/>
    <x v="20"/>
    <s v="payday"/>
    <n v="218052000"/>
  </r>
  <r>
    <x v="688"/>
    <x v="1"/>
    <x v="10"/>
    <n v="48"/>
    <n v="25"/>
    <x v="19"/>
    <x v="12"/>
    <s v="paylater"/>
    <n v="389357491"/>
  </r>
  <r>
    <x v="688"/>
    <x v="1"/>
    <x v="10"/>
    <n v="48"/>
    <n v="25"/>
    <x v="24"/>
    <x v="18"/>
    <s v="cashloan"/>
    <n v="2821690000"/>
  </r>
  <r>
    <x v="689"/>
    <x v="1"/>
    <x v="10"/>
    <n v="48"/>
    <n v="26"/>
    <x v="3"/>
    <x v="3"/>
    <s v="cashloan"/>
    <n v="120750000"/>
  </r>
  <r>
    <x v="689"/>
    <x v="1"/>
    <x v="10"/>
    <n v="48"/>
    <n v="26"/>
    <x v="11"/>
    <x v="10"/>
    <s v="paylater"/>
    <n v="271582458"/>
  </r>
  <r>
    <x v="689"/>
    <x v="1"/>
    <x v="10"/>
    <n v="48"/>
    <n v="26"/>
    <x v="12"/>
    <x v="11"/>
    <s v="cashloan"/>
    <n v="19191540000"/>
  </r>
  <r>
    <x v="689"/>
    <x v="1"/>
    <x v="10"/>
    <n v="48"/>
    <n v="26"/>
    <x v="5"/>
    <x v="5"/>
    <s v="overdraft"/>
    <n v="2059787696"/>
  </r>
  <r>
    <x v="689"/>
    <x v="1"/>
    <x v="10"/>
    <n v="48"/>
    <n v="26"/>
    <x v="27"/>
    <x v="19"/>
    <s v="payday"/>
    <n v="9885996000"/>
  </r>
  <r>
    <x v="689"/>
    <x v="1"/>
    <x v="10"/>
    <n v="48"/>
    <n v="26"/>
    <x v="15"/>
    <x v="14"/>
    <s v="paylater"/>
    <n v="4710090"/>
  </r>
  <r>
    <x v="689"/>
    <x v="1"/>
    <x v="10"/>
    <n v="48"/>
    <n v="26"/>
    <x v="14"/>
    <x v="13"/>
    <s v="cashloan"/>
    <n v="2965480000"/>
  </r>
  <r>
    <x v="689"/>
    <x v="1"/>
    <x v="10"/>
    <n v="48"/>
    <n v="26"/>
    <x v="23"/>
    <x v="17"/>
    <s v="paylater"/>
    <n v="16024386"/>
  </r>
  <r>
    <x v="689"/>
    <x v="1"/>
    <x v="10"/>
    <n v="48"/>
    <n v="26"/>
    <x v="28"/>
    <x v="17"/>
    <s v="paylater"/>
    <n v="506890257"/>
  </r>
  <r>
    <x v="689"/>
    <x v="1"/>
    <x v="10"/>
    <n v="48"/>
    <n v="26"/>
    <x v="8"/>
    <x v="8"/>
    <s v="cashloan"/>
    <n v="0"/>
  </r>
  <r>
    <x v="689"/>
    <x v="1"/>
    <x v="10"/>
    <n v="48"/>
    <n v="26"/>
    <x v="26"/>
    <x v="16"/>
    <s v="cashloan"/>
    <n v="333350000"/>
  </r>
  <r>
    <x v="689"/>
    <x v="1"/>
    <x v="10"/>
    <n v="48"/>
    <n v="26"/>
    <x v="2"/>
    <x v="2"/>
    <s v="cashloan"/>
    <n v="15580090000"/>
  </r>
  <r>
    <x v="689"/>
    <x v="1"/>
    <x v="10"/>
    <n v="48"/>
    <n v="26"/>
    <x v="17"/>
    <x v="9"/>
    <s v="cashloan"/>
    <n v="0"/>
  </r>
  <r>
    <x v="689"/>
    <x v="1"/>
    <x v="10"/>
    <n v="48"/>
    <n v="26"/>
    <x v="20"/>
    <x v="9"/>
    <s v="cashloan"/>
    <n v="0"/>
  </r>
  <r>
    <x v="689"/>
    <x v="1"/>
    <x v="10"/>
    <n v="48"/>
    <n v="26"/>
    <x v="21"/>
    <x v="9"/>
    <s v="cashloan"/>
    <n v="0"/>
  </r>
  <r>
    <x v="689"/>
    <x v="1"/>
    <x v="10"/>
    <n v="48"/>
    <n v="26"/>
    <x v="25"/>
    <x v="2"/>
    <s v="cashloan"/>
    <n v="0"/>
  </r>
  <r>
    <x v="689"/>
    <x v="1"/>
    <x v="10"/>
    <n v="48"/>
    <n v="26"/>
    <x v="0"/>
    <x v="0"/>
    <s v="payday"/>
    <n v="7547364000"/>
  </r>
  <r>
    <x v="689"/>
    <x v="1"/>
    <x v="10"/>
    <n v="48"/>
    <n v="26"/>
    <x v="7"/>
    <x v="7"/>
    <s v="paylater"/>
    <n v="170128229"/>
  </r>
  <r>
    <x v="689"/>
    <x v="1"/>
    <x v="10"/>
    <n v="48"/>
    <n v="26"/>
    <x v="1"/>
    <x v="1"/>
    <s v="cashloan"/>
    <n v="63000000"/>
  </r>
  <r>
    <x v="689"/>
    <x v="1"/>
    <x v="10"/>
    <n v="48"/>
    <n v="26"/>
    <x v="6"/>
    <x v="6"/>
    <s v="payday"/>
    <n v="72000000"/>
  </r>
  <r>
    <x v="689"/>
    <x v="1"/>
    <x v="10"/>
    <n v="48"/>
    <n v="26"/>
    <x v="18"/>
    <x v="15"/>
    <s v="cashloan"/>
    <n v="466010000"/>
  </r>
  <r>
    <x v="689"/>
    <x v="1"/>
    <x v="10"/>
    <n v="48"/>
    <n v="26"/>
    <x v="29"/>
    <x v="20"/>
    <s v="payday"/>
    <n v="204660000"/>
  </r>
  <r>
    <x v="689"/>
    <x v="1"/>
    <x v="10"/>
    <n v="48"/>
    <n v="26"/>
    <x v="19"/>
    <x v="12"/>
    <s v="paylater"/>
    <n v="408720198"/>
  </r>
  <r>
    <x v="689"/>
    <x v="1"/>
    <x v="10"/>
    <n v="48"/>
    <n v="26"/>
    <x v="24"/>
    <x v="18"/>
    <s v="cashloan"/>
    <n v="2332830000"/>
  </r>
  <r>
    <x v="690"/>
    <x v="1"/>
    <x v="10"/>
    <n v="48"/>
    <n v="27"/>
    <x v="3"/>
    <x v="3"/>
    <s v="cashloan"/>
    <n v="149800000"/>
  </r>
  <r>
    <x v="690"/>
    <x v="1"/>
    <x v="10"/>
    <n v="48"/>
    <n v="27"/>
    <x v="11"/>
    <x v="10"/>
    <s v="paylater"/>
    <n v="251618132"/>
  </r>
  <r>
    <x v="690"/>
    <x v="1"/>
    <x v="10"/>
    <n v="48"/>
    <n v="27"/>
    <x v="12"/>
    <x v="11"/>
    <s v="cashloan"/>
    <n v="22081380000"/>
  </r>
  <r>
    <x v="690"/>
    <x v="1"/>
    <x v="10"/>
    <n v="48"/>
    <n v="27"/>
    <x v="5"/>
    <x v="5"/>
    <s v="overdraft"/>
    <n v="2064200613"/>
  </r>
  <r>
    <x v="690"/>
    <x v="1"/>
    <x v="10"/>
    <n v="48"/>
    <n v="27"/>
    <x v="27"/>
    <x v="19"/>
    <s v="payday"/>
    <n v="10853460000"/>
  </r>
  <r>
    <x v="690"/>
    <x v="1"/>
    <x v="10"/>
    <n v="48"/>
    <n v="27"/>
    <x v="15"/>
    <x v="14"/>
    <s v="paylater"/>
    <n v="7705545"/>
  </r>
  <r>
    <x v="690"/>
    <x v="1"/>
    <x v="10"/>
    <n v="48"/>
    <n v="27"/>
    <x v="14"/>
    <x v="13"/>
    <s v="cashloan"/>
    <n v="2651370000"/>
  </r>
  <r>
    <x v="690"/>
    <x v="1"/>
    <x v="10"/>
    <n v="48"/>
    <n v="27"/>
    <x v="23"/>
    <x v="17"/>
    <s v="paylater"/>
    <n v="6682130"/>
  </r>
  <r>
    <x v="690"/>
    <x v="1"/>
    <x v="10"/>
    <n v="48"/>
    <n v="27"/>
    <x v="28"/>
    <x v="17"/>
    <s v="paylater"/>
    <n v="731610067"/>
  </r>
  <r>
    <x v="690"/>
    <x v="1"/>
    <x v="10"/>
    <n v="48"/>
    <n v="27"/>
    <x v="8"/>
    <x v="8"/>
    <s v="cashloan"/>
    <n v="0"/>
  </r>
  <r>
    <x v="690"/>
    <x v="1"/>
    <x v="10"/>
    <n v="48"/>
    <n v="27"/>
    <x v="26"/>
    <x v="16"/>
    <s v="cashloan"/>
    <n v="430000000"/>
  </r>
  <r>
    <x v="690"/>
    <x v="1"/>
    <x v="10"/>
    <n v="48"/>
    <n v="27"/>
    <x v="2"/>
    <x v="2"/>
    <s v="cashloan"/>
    <n v="15097970000"/>
  </r>
  <r>
    <x v="690"/>
    <x v="1"/>
    <x v="10"/>
    <n v="48"/>
    <n v="27"/>
    <x v="17"/>
    <x v="9"/>
    <s v="cashloan"/>
    <n v="0"/>
  </r>
  <r>
    <x v="690"/>
    <x v="1"/>
    <x v="10"/>
    <n v="48"/>
    <n v="27"/>
    <x v="20"/>
    <x v="9"/>
    <s v="cashloan"/>
    <n v="0"/>
  </r>
  <r>
    <x v="690"/>
    <x v="1"/>
    <x v="10"/>
    <n v="48"/>
    <n v="27"/>
    <x v="21"/>
    <x v="9"/>
    <s v="cashloan"/>
    <n v="0"/>
  </r>
  <r>
    <x v="690"/>
    <x v="1"/>
    <x v="10"/>
    <n v="48"/>
    <n v="27"/>
    <x v="25"/>
    <x v="2"/>
    <s v="cashloan"/>
    <n v="0"/>
  </r>
  <r>
    <x v="690"/>
    <x v="1"/>
    <x v="10"/>
    <n v="48"/>
    <n v="27"/>
    <x v="0"/>
    <x v="0"/>
    <s v="payday"/>
    <n v="7792740000"/>
  </r>
  <r>
    <x v="690"/>
    <x v="1"/>
    <x v="10"/>
    <n v="48"/>
    <n v="27"/>
    <x v="7"/>
    <x v="7"/>
    <s v="paylater"/>
    <n v="171714933"/>
  </r>
  <r>
    <x v="690"/>
    <x v="1"/>
    <x v="10"/>
    <n v="48"/>
    <n v="27"/>
    <x v="1"/>
    <x v="1"/>
    <s v="cashloan"/>
    <n v="10500000"/>
  </r>
  <r>
    <x v="690"/>
    <x v="1"/>
    <x v="10"/>
    <n v="48"/>
    <n v="27"/>
    <x v="6"/>
    <x v="6"/>
    <s v="payday"/>
    <n v="75000000"/>
  </r>
  <r>
    <x v="690"/>
    <x v="1"/>
    <x v="10"/>
    <n v="48"/>
    <n v="27"/>
    <x v="18"/>
    <x v="15"/>
    <s v="cashloan"/>
    <n v="635400000"/>
  </r>
  <r>
    <x v="690"/>
    <x v="1"/>
    <x v="10"/>
    <n v="48"/>
    <n v="27"/>
    <x v="29"/>
    <x v="20"/>
    <s v="payday"/>
    <n v="211248000"/>
  </r>
  <r>
    <x v="690"/>
    <x v="1"/>
    <x v="10"/>
    <n v="48"/>
    <n v="27"/>
    <x v="19"/>
    <x v="12"/>
    <s v="paylater"/>
    <n v="457045061"/>
  </r>
  <r>
    <x v="690"/>
    <x v="1"/>
    <x v="10"/>
    <n v="48"/>
    <n v="27"/>
    <x v="24"/>
    <x v="18"/>
    <s v="cashloan"/>
    <n v="2436480000"/>
  </r>
  <r>
    <x v="691"/>
    <x v="1"/>
    <x v="10"/>
    <n v="48"/>
    <n v="28"/>
    <x v="3"/>
    <x v="3"/>
    <s v="cashloan"/>
    <n v="82950000"/>
  </r>
  <r>
    <x v="691"/>
    <x v="1"/>
    <x v="10"/>
    <n v="48"/>
    <n v="28"/>
    <x v="11"/>
    <x v="10"/>
    <s v="paylater"/>
    <n v="267552775"/>
  </r>
  <r>
    <x v="691"/>
    <x v="1"/>
    <x v="10"/>
    <n v="48"/>
    <n v="28"/>
    <x v="12"/>
    <x v="11"/>
    <s v="cashloan"/>
    <n v="29205690000"/>
  </r>
  <r>
    <x v="691"/>
    <x v="1"/>
    <x v="10"/>
    <n v="48"/>
    <n v="28"/>
    <x v="5"/>
    <x v="5"/>
    <s v="overdraft"/>
    <n v="2551531217"/>
  </r>
  <r>
    <x v="691"/>
    <x v="1"/>
    <x v="10"/>
    <n v="48"/>
    <n v="28"/>
    <x v="27"/>
    <x v="19"/>
    <s v="payday"/>
    <n v="11124216000"/>
  </r>
  <r>
    <x v="691"/>
    <x v="1"/>
    <x v="10"/>
    <n v="48"/>
    <n v="28"/>
    <x v="15"/>
    <x v="14"/>
    <s v="paylater"/>
    <n v="11927223"/>
  </r>
  <r>
    <x v="691"/>
    <x v="1"/>
    <x v="10"/>
    <n v="48"/>
    <n v="28"/>
    <x v="14"/>
    <x v="13"/>
    <s v="cashloan"/>
    <n v="3001780000"/>
  </r>
  <r>
    <x v="691"/>
    <x v="1"/>
    <x v="10"/>
    <n v="48"/>
    <n v="28"/>
    <x v="23"/>
    <x v="17"/>
    <s v="paylater"/>
    <n v="6929725"/>
  </r>
  <r>
    <x v="691"/>
    <x v="1"/>
    <x v="10"/>
    <n v="48"/>
    <n v="28"/>
    <x v="28"/>
    <x v="17"/>
    <s v="paylater"/>
    <n v="735210558"/>
  </r>
  <r>
    <x v="691"/>
    <x v="1"/>
    <x v="10"/>
    <n v="48"/>
    <n v="28"/>
    <x v="8"/>
    <x v="8"/>
    <s v="cashloan"/>
    <n v="0"/>
  </r>
  <r>
    <x v="691"/>
    <x v="1"/>
    <x v="10"/>
    <n v="48"/>
    <n v="28"/>
    <x v="26"/>
    <x v="16"/>
    <s v="cashloan"/>
    <n v="352350000"/>
  </r>
  <r>
    <x v="691"/>
    <x v="1"/>
    <x v="10"/>
    <n v="48"/>
    <n v="28"/>
    <x v="2"/>
    <x v="2"/>
    <s v="cashloan"/>
    <n v="17536440000"/>
  </r>
  <r>
    <x v="691"/>
    <x v="1"/>
    <x v="10"/>
    <n v="48"/>
    <n v="28"/>
    <x v="17"/>
    <x v="9"/>
    <s v="cashloan"/>
    <n v="0"/>
  </r>
  <r>
    <x v="691"/>
    <x v="1"/>
    <x v="10"/>
    <n v="48"/>
    <n v="28"/>
    <x v="20"/>
    <x v="9"/>
    <s v="cashloan"/>
    <n v="0"/>
  </r>
  <r>
    <x v="691"/>
    <x v="1"/>
    <x v="10"/>
    <n v="48"/>
    <n v="28"/>
    <x v="21"/>
    <x v="9"/>
    <s v="cashloan"/>
    <n v="0"/>
  </r>
  <r>
    <x v="691"/>
    <x v="1"/>
    <x v="10"/>
    <n v="48"/>
    <n v="28"/>
    <x v="25"/>
    <x v="2"/>
    <s v="cashloan"/>
    <n v="0"/>
  </r>
  <r>
    <x v="691"/>
    <x v="1"/>
    <x v="10"/>
    <n v="48"/>
    <n v="28"/>
    <x v="0"/>
    <x v="0"/>
    <s v="payday"/>
    <n v="9465336000"/>
  </r>
  <r>
    <x v="691"/>
    <x v="1"/>
    <x v="10"/>
    <n v="48"/>
    <n v="28"/>
    <x v="7"/>
    <x v="7"/>
    <s v="paylater"/>
    <n v="154267734"/>
  </r>
  <r>
    <x v="691"/>
    <x v="1"/>
    <x v="10"/>
    <n v="48"/>
    <n v="28"/>
    <x v="1"/>
    <x v="1"/>
    <s v="cashloan"/>
    <n v="31500000"/>
  </r>
  <r>
    <x v="691"/>
    <x v="1"/>
    <x v="10"/>
    <n v="48"/>
    <n v="28"/>
    <x v="6"/>
    <x v="6"/>
    <s v="payday"/>
    <n v="68000000"/>
  </r>
  <r>
    <x v="691"/>
    <x v="1"/>
    <x v="10"/>
    <n v="48"/>
    <n v="28"/>
    <x v="18"/>
    <x v="15"/>
    <s v="cashloan"/>
    <n v="558690000"/>
  </r>
  <r>
    <x v="691"/>
    <x v="1"/>
    <x v="10"/>
    <n v="48"/>
    <n v="28"/>
    <x v="29"/>
    <x v="20"/>
    <s v="payday"/>
    <n v="207900000"/>
  </r>
  <r>
    <x v="691"/>
    <x v="1"/>
    <x v="10"/>
    <n v="48"/>
    <n v="28"/>
    <x v="19"/>
    <x v="12"/>
    <s v="paylater"/>
    <n v="492526031"/>
  </r>
  <r>
    <x v="691"/>
    <x v="1"/>
    <x v="10"/>
    <n v="48"/>
    <n v="28"/>
    <x v="24"/>
    <x v="18"/>
    <s v="cashloan"/>
    <n v="3593710000"/>
  </r>
  <r>
    <x v="692"/>
    <x v="1"/>
    <x v="10"/>
    <n v="48"/>
    <n v="29"/>
    <x v="3"/>
    <x v="3"/>
    <s v="cashloan"/>
    <n v="69600000"/>
  </r>
  <r>
    <x v="692"/>
    <x v="1"/>
    <x v="10"/>
    <n v="48"/>
    <n v="29"/>
    <x v="11"/>
    <x v="10"/>
    <s v="paylater"/>
    <n v="290675701"/>
  </r>
  <r>
    <x v="692"/>
    <x v="1"/>
    <x v="10"/>
    <n v="48"/>
    <n v="29"/>
    <x v="12"/>
    <x v="11"/>
    <s v="cashloan"/>
    <n v="29072380000"/>
  </r>
  <r>
    <x v="692"/>
    <x v="1"/>
    <x v="10"/>
    <n v="48"/>
    <n v="29"/>
    <x v="5"/>
    <x v="5"/>
    <s v="overdraft"/>
    <n v="1871997650"/>
  </r>
  <r>
    <x v="692"/>
    <x v="1"/>
    <x v="10"/>
    <n v="48"/>
    <n v="29"/>
    <x v="27"/>
    <x v="19"/>
    <s v="payday"/>
    <n v="10473624000"/>
  </r>
  <r>
    <x v="692"/>
    <x v="1"/>
    <x v="10"/>
    <n v="48"/>
    <n v="29"/>
    <x v="15"/>
    <x v="14"/>
    <s v="paylater"/>
    <n v="13603189"/>
  </r>
  <r>
    <x v="692"/>
    <x v="1"/>
    <x v="10"/>
    <n v="48"/>
    <n v="29"/>
    <x v="14"/>
    <x v="13"/>
    <s v="cashloan"/>
    <n v="3107900000"/>
  </r>
  <r>
    <x v="692"/>
    <x v="1"/>
    <x v="10"/>
    <n v="48"/>
    <n v="29"/>
    <x v="23"/>
    <x v="17"/>
    <s v="paylater"/>
    <n v="7110691"/>
  </r>
  <r>
    <x v="692"/>
    <x v="1"/>
    <x v="10"/>
    <n v="48"/>
    <n v="29"/>
    <x v="28"/>
    <x v="17"/>
    <s v="paylater"/>
    <n v="814463864"/>
  </r>
  <r>
    <x v="692"/>
    <x v="1"/>
    <x v="10"/>
    <n v="48"/>
    <n v="29"/>
    <x v="8"/>
    <x v="8"/>
    <s v="cashloan"/>
    <n v="0"/>
  </r>
  <r>
    <x v="692"/>
    <x v="1"/>
    <x v="10"/>
    <n v="48"/>
    <n v="29"/>
    <x v="26"/>
    <x v="16"/>
    <s v="cashloan"/>
    <n v="271050000"/>
  </r>
  <r>
    <x v="692"/>
    <x v="1"/>
    <x v="10"/>
    <n v="48"/>
    <n v="29"/>
    <x v="2"/>
    <x v="2"/>
    <s v="cashloan"/>
    <n v="17634680000"/>
  </r>
  <r>
    <x v="692"/>
    <x v="1"/>
    <x v="10"/>
    <n v="48"/>
    <n v="29"/>
    <x v="17"/>
    <x v="9"/>
    <s v="cashloan"/>
    <n v="0"/>
  </r>
  <r>
    <x v="692"/>
    <x v="1"/>
    <x v="10"/>
    <n v="48"/>
    <n v="29"/>
    <x v="20"/>
    <x v="9"/>
    <s v="cashloan"/>
    <n v="0"/>
  </r>
  <r>
    <x v="692"/>
    <x v="1"/>
    <x v="10"/>
    <n v="48"/>
    <n v="29"/>
    <x v="21"/>
    <x v="9"/>
    <s v="cashloan"/>
    <n v="0"/>
  </r>
  <r>
    <x v="692"/>
    <x v="1"/>
    <x v="10"/>
    <n v="48"/>
    <n v="29"/>
    <x v="25"/>
    <x v="2"/>
    <s v="cashloan"/>
    <n v="0"/>
  </r>
  <r>
    <x v="692"/>
    <x v="1"/>
    <x v="10"/>
    <n v="48"/>
    <n v="29"/>
    <x v="0"/>
    <x v="0"/>
    <s v="payday"/>
    <n v="8817984000"/>
  </r>
  <r>
    <x v="692"/>
    <x v="1"/>
    <x v="10"/>
    <n v="48"/>
    <n v="29"/>
    <x v="7"/>
    <x v="7"/>
    <s v="paylater"/>
    <n v="148990733"/>
  </r>
  <r>
    <x v="692"/>
    <x v="1"/>
    <x v="10"/>
    <n v="48"/>
    <n v="29"/>
    <x v="1"/>
    <x v="1"/>
    <s v="cashloan"/>
    <n v="0"/>
  </r>
  <r>
    <x v="692"/>
    <x v="1"/>
    <x v="10"/>
    <n v="48"/>
    <n v="29"/>
    <x v="6"/>
    <x v="6"/>
    <s v="payday"/>
    <n v="26000000"/>
  </r>
  <r>
    <x v="692"/>
    <x v="1"/>
    <x v="10"/>
    <n v="48"/>
    <n v="29"/>
    <x v="18"/>
    <x v="15"/>
    <s v="cashloan"/>
    <n v="681200000"/>
  </r>
  <r>
    <x v="692"/>
    <x v="1"/>
    <x v="10"/>
    <n v="48"/>
    <n v="29"/>
    <x v="29"/>
    <x v="20"/>
    <s v="payday"/>
    <n v="190728000"/>
  </r>
  <r>
    <x v="692"/>
    <x v="1"/>
    <x v="10"/>
    <n v="48"/>
    <n v="29"/>
    <x v="19"/>
    <x v="12"/>
    <s v="paylater"/>
    <n v="461297627"/>
  </r>
  <r>
    <x v="692"/>
    <x v="1"/>
    <x v="10"/>
    <n v="48"/>
    <n v="29"/>
    <x v="24"/>
    <x v="18"/>
    <s v="cashloan"/>
    <n v="3540940000"/>
  </r>
  <r>
    <x v="693"/>
    <x v="1"/>
    <x v="10"/>
    <n v="48"/>
    <n v="30"/>
    <x v="3"/>
    <x v="3"/>
    <s v="cashloan"/>
    <n v="102400000"/>
  </r>
  <r>
    <x v="693"/>
    <x v="1"/>
    <x v="10"/>
    <n v="48"/>
    <n v="30"/>
    <x v="11"/>
    <x v="10"/>
    <s v="paylater"/>
    <n v="280735588"/>
  </r>
  <r>
    <x v="693"/>
    <x v="1"/>
    <x v="10"/>
    <n v="48"/>
    <n v="30"/>
    <x v="12"/>
    <x v="11"/>
    <s v="cashloan"/>
    <n v="25391150000"/>
  </r>
  <r>
    <x v="693"/>
    <x v="1"/>
    <x v="10"/>
    <n v="48"/>
    <n v="30"/>
    <x v="5"/>
    <x v="5"/>
    <s v="overdraft"/>
    <n v="2280149651"/>
  </r>
  <r>
    <x v="693"/>
    <x v="1"/>
    <x v="10"/>
    <n v="48"/>
    <n v="30"/>
    <x v="27"/>
    <x v="19"/>
    <s v="payday"/>
    <n v="10853784000"/>
  </r>
  <r>
    <x v="693"/>
    <x v="1"/>
    <x v="10"/>
    <n v="48"/>
    <n v="30"/>
    <x v="15"/>
    <x v="14"/>
    <s v="paylater"/>
    <n v="14499059"/>
  </r>
  <r>
    <x v="693"/>
    <x v="1"/>
    <x v="10"/>
    <n v="48"/>
    <n v="30"/>
    <x v="14"/>
    <x v="13"/>
    <s v="cashloan"/>
    <n v="3941480000"/>
  </r>
  <r>
    <x v="693"/>
    <x v="1"/>
    <x v="10"/>
    <n v="48"/>
    <n v="30"/>
    <x v="23"/>
    <x v="17"/>
    <s v="paylater"/>
    <n v="19394599"/>
  </r>
  <r>
    <x v="693"/>
    <x v="1"/>
    <x v="10"/>
    <n v="48"/>
    <n v="30"/>
    <x v="28"/>
    <x v="17"/>
    <s v="paylater"/>
    <n v="1053943953"/>
  </r>
  <r>
    <x v="693"/>
    <x v="1"/>
    <x v="10"/>
    <n v="48"/>
    <n v="30"/>
    <x v="8"/>
    <x v="8"/>
    <s v="cashloan"/>
    <n v="0"/>
  </r>
  <r>
    <x v="693"/>
    <x v="1"/>
    <x v="10"/>
    <n v="48"/>
    <n v="30"/>
    <x v="26"/>
    <x v="16"/>
    <s v="cashloan"/>
    <n v="350600000"/>
  </r>
  <r>
    <x v="693"/>
    <x v="1"/>
    <x v="10"/>
    <n v="48"/>
    <n v="30"/>
    <x v="2"/>
    <x v="2"/>
    <s v="cashloan"/>
    <n v="18185480000"/>
  </r>
  <r>
    <x v="693"/>
    <x v="1"/>
    <x v="10"/>
    <n v="48"/>
    <n v="30"/>
    <x v="17"/>
    <x v="9"/>
    <s v="cashloan"/>
    <n v="0"/>
  </r>
  <r>
    <x v="693"/>
    <x v="1"/>
    <x v="10"/>
    <n v="48"/>
    <n v="30"/>
    <x v="20"/>
    <x v="9"/>
    <s v="cashloan"/>
    <n v="0"/>
  </r>
  <r>
    <x v="693"/>
    <x v="1"/>
    <x v="10"/>
    <n v="48"/>
    <n v="30"/>
    <x v="21"/>
    <x v="9"/>
    <s v="cashloan"/>
    <n v="0"/>
  </r>
  <r>
    <x v="693"/>
    <x v="1"/>
    <x v="10"/>
    <n v="48"/>
    <n v="30"/>
    <x v="25"/>
    <x v="2"/>
    <s v="cashloan"/>
    <n v="0"/>
  </r>
  <r>
    <x v="693"/>
    <x v="1"/>
    <x v="10"/>
    <n v="48"/>
    <n v="30"/>
    <x v="0"/>
    <x v="0"/>
    <s v="payday"/>
    <n v="8920044000"/>
  </r>
  <r>
    <x v="693"/>
    <x v="1"/>
    <x v="10"/>
    <n v="48"/>
    <n v="30"/>
    <x v="7"/>
    <x v="7"/>
    <s v="paylater"/>
    <n v="158401163"/>
  </r>
  <r>
    <x v="693"/>
    <x v="1"/>
    <x v="10"/>
    <n v="48"/>
    <n v="30"/>
    <x v="1"/>
    <x v="1"/>
    <s v="cashloan"/>
    <n v="42000000"/>
  </r>
  <r>
    <x v="693"/>
    <x v="1"/>
    <x v="10"/>
    <n v="48"/>
    <n v="30"/>
    <x v="6"/>
    <x v="6"/>
    <s v="payday"/>
    <n v="50000000"/>
  </r>
  <r>
    <x v="693"/>
    <x v="1"/>
    <x v="10"/>
    <n v="48"/>
    <n v="30"/>
    <x v="18"/>
    <x v="15"/>
    <s v="cashloan"/>
    <n v="387270000"/>
  </r>
  <r>
    <x v="693"/>
    <x v="1"/>
    <x v="10"/>
    <n v="48"/>
    <n v="30"/>
    <x v="29"/>
    <x v="20"/>
    <s v="payday"/>
    <n v="228960000"/>
  </r>
  <r>
    <x v="693"/>
    <x v="1"/>
    <x v="10"/>
    <n v="48"/>
    <n v="30"/>
    <x v="19"/>
    <x v="12"/>
    <s v="paylater"/>
    <n v="481360513"/>
  </r>
  <r>
    <x v="693"/>
    <x v="1"/>
    <x v="10"/>
    <n v="48"/>
    <n v="30"/>
    <x v="24"/>
    <x v="18"/>
    <s v="cashloan"/>
    <n v="3753120000"/>
  </r>
  <r>
    <x v="694"/>
    <x v="1"/>
    <x v="11"/>
    <n v="49"/>
    <n v="1"/>
    <x v="3"/>
    <x v="3"/>
    <s v="cashloan"/>
    <n v="111350000"/>
  </r>
  <r>
    <x v="694"/>
    <x v="1"/>
    <x v="11"/>
    <n v="49"/>
    <n v="1"/>
    <x v="11"/>
    <x v="10"/>
    <s v="paylater"/>
    <n v="286643947"/>
  </r>
  <r>
    <x v="694"/>
    <x v="1"/>
    <x v="11"/>
    <n v="49"/>
    <n v="1"/>
    <x v="12"/>
    <x v="11"/>
    <s v="cashloan"/>
    <n v="27492860000"/>
  </r>
  <r>
    <x v="694"/>
    <x v="1"/>
    <x v="11"/>
    <n v="49"/>
    <n v="1"/>
    <x v="5"/>
    <x v="5"/>
    <s v="overdraft"/>
    <n v="4289501378"/>
  </r>
  <r>
    <x v="694"/>
    <x v="1"/>
    <x v="11"/>
    <n v="49"/>
    <n v="1"/>
    <x v="27"/>
    <x v="19"/>
    <s v="payday"/>
    <n v="13343076000"/>
  </r>
  <r>
    <x v="694"/>
    <x v="1"/>
    <x v="11"/>
    <n v="49"/>
    <n v="1"/>
    <x v="15"/>
    <x v="14"/>
    <s v="paylater"/>
    <n v="14391223"/>
  </r>
  <r>
    <x v="694"/>
    <x v="1"/>
    <x v="11"/>
    <n v="49"/>
    <n v="1"/>
    <x v="14"/>
    <x v="13"/>
    <s v="cashloan"/>
    <n v="4029220000"/>
  </r>
  <r>
    <x v="694"/>
    <x v="1"/>
    <x v="11"/>
    <n v="49"/>
    <n v="1"/>
    <x v="23"/>
    <x v="17"/>
    <s v="paylater"/>
    <n v="9610125"/>
  </r>
  <r>
    <x v="694"/>
    <x v="1"/>
    <x v="11"/>
    <n v="49"/>
    <n v="1"/>
    <x v="28"/>
    <x v="17"/>
    <s v="paylater"/>
    <n v="1010942697"/>
  </r>
  <r>
    <x v="694"/>
    <x v="1"/>
    <x v="11"/>
    <n v="49"/>
    <n v="1"/>
    <x v="8"/>
    <x v="8"/>
    <s v="cashloan"/>
    <n v="0"/>
  </r>
  <r>
    <x v="694"/>
    <x v="1"/>
    <x v="11"/>
    <n v="49"/>
    <n v="1"/>
    <x v="26"/>
    <x v="16"/>
    <s v="cashloan"/>
    <n v="453500000"/>
  </r>
  <r>
    <x v="694"/>
    <x v="1"/>
    <x v="11"/>
    <n v="49"/>
    <n v="1"/>
    <x v="2"/>
    <x v="2"/>
    <s v="cashloan"/>
    <n v="20481820000"/>
  </r>
  <r>
    <x v="694"/>
    <x v="1"/>
    <x v="11"/>
    <n v="49"/>
    <n v="1"/>
    <x v="17"/>
    <x v="9"/>
    <s v="cashloan"/>
    <n v="0"/>
  </r>
  <r>
    <x v="694"/>
    <x v="1"/>
    <x v="11"/>
    <n v="49"/>
    <n v="1"/>
    <x v="20"/>
    <x v="9"/>
    <s v="cashloan"/>
    <n v="0"/>
  </r>
  <r>
    <x v="694"/>
    <x v="1"/>
    <x v="11"/>
    <n v="49"/>
    <n v="1"/>
    <x v="21"/>
    <x v="9"/>
    <s v="cashloan"/>
    <n v="0"/>
  </r>
  <r>
    <x v="694"/>
    <x v="1"/>
    <x v="11"/>
    <n v="49"/>
    <n v="1"/>
    <x v="25"/>
    <x v="2"/>
    <s v="cashloan"/>
    <n v="0"/>
  </r>
  <r>
    <x v="694"/>
    <x v="1"/>
    <x v="11"/>
    <n v="49"/>
    <n v="1"/>
    <x v="0"/>
    <x v="0"/>
    <s v="payday"/>
    <n v="10297584000"/>
  </r>
  <r>
    <x v="694"/>
    <x v="1"/>
    <x v="11"/>
    <n v="49"/>
    <n v="1"/>
    <x v="7"/>
    <x v="7"/>
    <s v="paylater"/>
    <n v="489658298"/>
  </r>
  <r>
    <x v="694"/>
    <x v="1"/>
    <x v="11"/>
    <n v="49"/>
    <n v="1"/>
    <x v="1"/>
    <x v="1"/>
    <s v="cashloan"/>
    <n v="47250000"/>
  </r>
  <r>
    <x v="694"/>
    <x v="1"/>
    <x v="11"/>
    <n v="49"/>
    <n v="1"/>
    <x v="6"/>
    <x v="6"/>
    <s v="payday"/>
    <n v="31000000"/>
  </r>
  <r>
    <x v="694"/>
    <x v="1"/>
    <x v="11"/>
    <n v="49"/>
    <n v="1"/>
    <x v="18"/>
    <x v="15"/>
    <s v="cashloan"/>
    <n v="633490000"/>
  </r>
  <r>
    <x v="694"/>
    <x v="1"/>
    <x v="11"/>
    <n v="49"/>
    <n v="1"/>
    <x v="29"/>
    <x v="20"/>
    <s v="payday"/>
    <n v="235872000"/>
  </r>
  <r>
    <x v="694"/>
    <x v="1"/>
    <x v="11"/>
    <n v="49"/>
    <n v="1"/>
    <x v="19"/>
    <x v="12"/>
    <s v="paylater"/>
    <n v="859783740"/>
  </r>
  <r>
    <x v="694"/>
    <x v="1"/>
    <x v="11"/>
    <n v="49"/>
    <n v="1"/>
    <x v="24"/>
    <x v="18"/>
    <s v="cashloan"/>
    <n v="5301190000"/>
  </r>
  <r>
    <x v="695"/>
    <x v="1"/>
    <x v="11"/>
    <n v="49"/>
    <n v="2"/>
    <x v="3"/>
    <x v="3"/>
    <s v="cashloan"/>
    <n v="134950000"/>
  </r>
  <r>
    <x v="695"/>
    <x v="1"/>
    <x v="11"/>
    <n v="49"/>
    <n v="2"/>
    <x v="11"/>
    <x v="10"/>
    <s v="paylater"/>
    <n v="348237991"/>
  </r>
  <r>
    <x v="695"/>
    <x v="1"/>
    <x v="11"/>
    <n v="49"/>
    <n v="2"/>
    <x v="12"/>
    <x v="11"/>
    <s v="cashloan"/>
    <n v="21350990000"/>
  </r>
  <r>
    <x v="695"/>
    <x v="1"/>
    <x v="11"/>
    <n v="49"/>
    <n v="2"/>
    <x v="5"/>
    <x v="5"/>
    <s v="overdraft"/>
    <n v="3467973723"/>
  </r>
  <r>
    <x v="695"/>
    <x v="1"/>
    <x v="11"/>
    <n v="49"/>
    <n v="2"/>
    <x v="27"/>
    <x v="19"/>
    <s v="payday"/>
    <n v="12062196000"/>
  </r>
  <r>
    <x v="695"/>
    <x v="1"/>
    <x v="11"/>
    <n v="49"/>
    <n v="2"/>
    <x v="15"/>
    <x v="14"/>
    <s v="paylater"/>
    <n v="48383020"/>
  </r>
  <r>
    <x v="695"/>
    <x v="1"/>
    <x v="11"/>
    <n v="49"/>
    <n v="2"/>
    <x v="14"/>
    <x v="13"/>
    <s v="cashloan"/>
    <n v="3659230000"/>
  </r>
  <r>
    <x v="695"/>
    <x v="1"/>
    <x v="11"/>
    <n v="49"/>
    <n v="2"/>
    <x v="23"/>
    <x v="17"/>
    <s v="paylater"/>
    <n v="7390911"/>
  </r>
  <r>
    <x v="695"/>
    <x v="1"/>
    <x v="11"/>
    <n v="49"/>
    <n v="2"/>
    <x v="28"/>
    <x v="17"/>
    <s v="paylater"/>
    <n v="1166252386"/>
  </r>
  <r>
    <x v="695"/>
    <x v="1"/>
    <x v="11"/>
    <n v="49"/>
    <n v="2"/>
    <x v="8"/>
    <x v="8"/>
    <s v="cashloan"/>
    <n v="0"/>
  </r>
  <r>
    <x v="695"/>
    <x v="1"/>
    <x v="11"/>
    <n v="49"/>
    <n v="2"/>
    <x v="26"/>
    <x v="16"/>
    <s v="cashloan"/>
    <n v="477550000"/>
  </r>
  <r>
    <x v="695"/>
    <x v="1"/>
    <x v="11"/>
    <n v="49"/>
    <n v="2"/>
    <x v="2"/>
    <x v="2"/>
    <s v="cashloan"/>
    <n v="21346710000"/>
  </r>
  <r>
    <x v="695"/>
    <x v="1"/>
    <x v="11"/>
    <n v="49"/>
    <n v="2"/>
    <x v="17"/>
    <x v="9"/>
    <s v="cashloan"/>
    <n v="0"/>
  </r>
  <r>
    <x v="695"/>
    <x v="1"/>
    <x v="11"/>
    <n v="49"/>
    <n v="2"/>
    <x v="20"/>
    <x v="9"/>
    <s v="cashloan"/>
    <n v="0"/>
  </r>
  <r>
    <x v="695"/>
    <x v="1"/>
    <x v="11"/>
    <n v="49"/>
    <n v="2"/>
    <x v="21"/>
    <x v="9"/>
    <s v="cashloan"/>
    <n v="0"/>
  </r>
  <r>
    <x v="695"/>
    <x v="1"/>
    <x v="11"/>
    <n v="49"/>
    <n v="2"/>
    <x v="25"/>
    <x v="2"/>
    <s v="cashloan"/>
    <n v="5000000"/>
  </r>
  <r>
    <x v="695"/>
    <x v="1"/>
    <x v="11"/>
    <n v="49"/>
    <n v="2"/>
    <x v="0"/>
    <x v="0"/>
    <s v="payday"/>
    <n v="10290456000"/>
  </r>
  <r>
    <x v="695"/>
    <x v="1"/>
    <x v="11"/>
    <n v="49"/>
    <n v="2"/>
    <x v="7"/>
    <x v="7"/>
    <s v="paylater"/>
    <n v="432396825"/>
  </r>
  <r>
    <x v="695"/>
    <x v="1"/>
    <x v="11"/>
    <n v="49"/>
    <n v="2"/>
    <x v="1"/>
    <x v="1"/>
    <s v="cashloan"/>
    <n v="35500000"/>
  </r>
  <r>
    <x v="695"/>
    <x v="1"/>
    <x v="11"/>
    <n v="49"/>
    <n v="2"/>
    <x v="6"/>
    <x v="6"/>
    <s v="payday"/>
    <n v="16000000"/>
  </r>
  <r>
    <x v="695"/>
    <x v="1"/>
    <x v="11"/>
    <n v="49"/>
    <n v="2"/>
    <x v="18"/>
    <x v="15"/>
    <s v="cashloan"/>
    <n v="491200000"/>
  </r>
  <r>
    <x v="695"/>
    <x v="1"/>
    <x v="11"/>
    <n v="49"/>
    <n v="2"/>
    <x v="29"/>
    <x v="20"/>
    <s v="payday"/>
    <n v="207468000"/>
  </r>
  <r>
    <x v="695"/>
    <x v="1"/>
    <x v="11"/>
    <n v="49"/>
    <n v="2"/>
    <x v="19"/>
    <x v="12"/>
    <s v="paylater"/>
    <n v="1028719283"/>
  </r>
  <r>
    <x v="695"/>
    <x v="1"/>
    <x v="11"/>
    <n v="49"/>
    <n v="2"/>
    <x v="24"/>
    <x v="18"/>
    <s v="cashloan"/>
    <n v="4295010000"/>
  </r>
  <r>
    <x v="696"/>
    <x v="1"/>
    <x v="11"/>
    <n v="49"/>
    <n v="3"/>
    <x v="3"/>
    <x v="3"/>
    <s v="cashloan"/>
    <n v="180050000"/>
  </r>
  <r>
    <x v="696"/>
    <x v="1"/>
    <x v="11"/>
    <n v="49"/>
    <n v="3"/>
    <x v="11"/>
    <x v="10"/>
    <s v="paylater"/>
    <n v="359435570"/>
  </r>
  <r>
    <x v="696"/>
    <x v="1"/>
    <x v="11"/>
    <n v="49"/>
    <n v="3"/>
    <x v="12"/>
    <x v="11"/>
    <s v="cashloan"/>
    <n v="21744080000"/>
  </r>
  <r>
    <x v="696"/>
    <x v="1"/>
    <x v="11"/>
    <n v="49"/>
    <n v="3"/>
    <x v="5"/>
    <x v="5"/>
    <s v="overdraft"/>
    <n v="2565519802"/>
  </r>
  <r>
    <x v="696"/>
    <x v="1"/>
    <x v="11"/>
    <n v="49"/>
    <n v="3"/>
    <x v="27"/>
    <x v="19"/>
    <s v="payday"/>
    <n v="12354336000"/>
  </r>
  <r>
    <x v="696"/>
    <x v="1"/>
    <x v="11"/>
    <n v="49"/>
    <n v="3"/>
    <x v="15"/>
    <x v="14"/>
    <s v="paylater"/>
    <n v="67095461"/>
  </r>
  <r>
    <x v="696"/>
    <x v="1"/>
    <x v="11"/>
    <n v="49"/>
    <n v="3"/>
    <x v="14"/>
    <x v="13"/>
    <s v="cashloan"/>
    <n v="3170300000"/>
  </r>
  <r>
    <x v="696"/>
    <x v="1"/>
    <x v="11"/>
    <n v="49"/>
    <n v="3"/>
    <x v="23"/>
    <x v="17"/>
    <s v="paylater"/>
    <n v="26734131"/>
  </r>
  <r>
    <x v="696"/>
    <x v="1"/>
    <x v="11"/>
    <n v="49"/>
    <n v="3"/>
    <x v="28"/>
    <x v="17"/>
    <s v="paylater"/>
    <n v="1504725606"/>
  </r>
  <r>
    <x v="696"/>
    <x v="1"/>
    <x v="11"/>
    <n v="49"/>
    <n v="3"/>
    <x v="8"/>
    <x v="8"/>
    <s v="cashloan"/>
    <n v="0"/>
  </r>
  <r>
    <x v="696"/>
    <x v="1"/>
    <x v="11"/>
    <n v="49"/>
    <n v="3"/>
    <x v="26"/>
    <x v="16"/>
    <s v="cashloan"/>
    <n v="213750000"/>
  </r>
  <r>
    <x v="696"/>
    <x v="1"/>
    <x v="11"/>
    <n v="49"/>
    <n v="3"/>
    <x v="2"/>
    <x v="2"/>
    <s v="cashloan"/>
    <n v="18564570000"/>
  </r>
  <r>
    <x v="696"/>
    <x v="1"/>
    <x v="11"/>
    <n v="49"/>
    <n v="3"/>
    <x v="17"/>
    <x v="9"/>
    <s v="cashloan"/>
    <n v="0"/>
  </r>
  <r>
    <x v="696"/>
    <x v="1"/>
    <x v="11"/>
    <n v="49"/>
    <n v="3"/>
    <x v="20"/>
    <x v="9"/>
    <s v="cashloan"/>
    <n v="0"/>
  </r>
  <r>
    <x v="696"/>
    <x v="1"/>
    <x v="11"/>
    <n v="49"/>
    <n v="3"/>
    <x v="21"/>
    <x v="9"/>
    <s v="cashloan"/>
    <n v="0"/>
  </r>
  <r>
    <x v="696"/>
    <x v="1"/>
    <x v="11"/>
    <n v="49"/>
    <n v="3"/>
    <x v="25"/>
    <x v="2"/>
    <s v="cashloan"/>
    <n v="25000000"/>
  </r>
  <r>
    <x v="696"/>
    <x v="1"/>
    <x v="11"/>
    <n v="49"/>
    <n v="3"/>
    <x v="0"/>
    <x v="0"/>
    <s v="payday"/>
    <n v="9799704000"/>
  </r>
  <r>
    <x v="696"/>
    <x v="1"/>
    <x v="11"/>
    <n v="49"/>
    <n v="3"/>
    <x v="7"/>
    <x v="7"/>
    <s v="paylater"/>
    <n v="473222040"/>
  </r>
  <r>
    <x v="696"/>
    <x v="1"/>
    <x v="11"/>
    <n v="49"/>
    <n v="3"/>
    <x v="1"/>
    <x v="1"/>
    <s v="cashloan"/>
    <n v="10500000"/>
  </r>
  <r>
    <x v="696"/>
    <x v="1"/>
    <x v="11"/>
    <n v="49"/>
    <n v="3"/>
    <x v="6"/>
    <x v="6"/>
    <s v="payday"/>
    <n v="26000000"/>
  </r>
  <r>
    <x v="696"/>
    <x v="1"/>
    <x v="11"/>
    <n v="49"/>
    <n v="3"/>
    <x v="18"/>
    <x v="15"/>
    <s v="cashloan"/>
    <n v="966380000"/>
  </r>
  <r>
    <x v="696"/>
    <x v="1"/>
    <x v="11"/>
    <n v="49"/>
    <n v="3"/>
    <x v="29"/>
    <x v="20"/>
    <s v="payday"/>
    <n v="257364000"/>
  </r>
  <r>
    <x v="696"/>
    <x v="1"/>
    <x v="11"/>
    <n v="49"/>
    <n v="3"/>
    <x v="19"/>
    <x v="12"/>
    <s v="paylater"/>
    <n v="1246818614"/>
  </r>
  <r>
    <x v="696"/>
    <x v="1"/>
    <x v="11"/>
    <n v="49"/>
    <n v="3"/>
    <x v="24"/>
    <x v="18"/>
    <s v="cashloan"/>
    <n v="4625350000"/>
  </r>
  <r>
    <x v="697"/>
    <x v="1"/>
    <x v="11"/>
    <n v="49"/>
    <n v="4"/>
    <x v="3"/>
    <x v="3"/>
    <s v="cashloan"/>
    <n v="191150000"/>
  </r>
  <r>
    <x v="697"/>
    <x v="1"/>
    <x v="11"/>
    <n v="49"/>
    <n v="4"/>
    <x v="11"/>
    <x v="10"/>
    <s v="paylater"/>
    <n v="388595377"/>
  </r>
  <r>
    <x v="697"/>
    <x v="1"/>
    <x v="11"/>
    <n v="49"/>
    <n v="4"/>
    <x v="12"/>
    <x v="11"/>
    <s v="cashloan"/>
    <n v="20641120000"/>
  </r>
  <r>
    <x v="697"/>
    <x v="1"/>
    <x v="11"/>
    <n v="49"/>
    <n v="4"/>
    <x v="5"/>
    <x v="5"/>
    <s v="overdraft"/>
    <n v="2886195122"/>
  </r>
  <r>
    <x v="697"/>
    <x v="1"/>
    <x v="11"/>
    <n v="49"/>
    <n v="4"/>
    <x v="27"/>
    <x v="19"/>
    <s v="payday"/>
    <n v="12942072000"/>
  </r>
  <r>
    <x v="697"/>
    <x v="1"/>
    <x v="11"/>
    <n v="49"/>
    <n v="4"/>
    <x v="15"/>
    <x v="14"/>
    <s v="paylater"/>
    <n v="80483260"/>
  </r>
  <r>
    <x v="697"/>
    <x v="1"/>
    <x v="11"/>
    <n v="49"/>
    <n v="4"/>
    <x v="14"/>
    <x v="13"/>
    <s v="cashloan"/>
    <n v="3608040000"/>
  </r>
  <r>
    <x v="697"/>
    <x v="1"/>
    <x v="11"/>
    <n v="49"/>
    <n v="4"/>
    <x v="23"/>
    <x v="17"/>
    <s v="paylater"/>
    <n v="47495686"/>
  </r>
  <r>
    <x v="697"/>
    <x v="1"/>
    <x v="11"/>
    <n v="49"/>
    <n v="4"/>
    <x v="28"/>
    <x v="17"/>
    <s v="paylater"/>
    <n v="1277032517"/>
  </r>
  <r>
    <x v="697"/>
    <x v="1"/>
    <x v="11"/>
    <n v="49"/>
    <n v="4"/>
    <x v="8"/>
    <x v="8"/>
    <s v="cashloan"/>
    <n v="0"/>
  </r>
  <r>
    <x v="697"/>
    <x v="1"/>
    <x v="11"/>
    <n v="49"/>
    <n v="4"/>
    <x v="26"/>
    <x v="16"/>
    <s v="cashloan"/>
    <n v="325250000"/>
  </r>
  <r>
    <x v="697"/>
    <x v="1"/>
    <x v="11"/>
    <n v="49"/>
    <n v="4"/>
    <x v="2"/>
    <x v="2"/>
    <s v="cashloan"/>
    <n v="20323110000"/>
  </r>
  <r>
    <x v="697"/>
    <x v="1"/>
    <x v="11"/>
    <n v="49"/>
    <n v="4"/>
    <x v="17"/>
    <x v="9"/>
    <s v="cashloan"/>
    <n v="0"/>
  </r>
  <r>
    <x v="697"/>
    <x v="1"/>
    <x v="11"/>
    <n v="49"/>
    <n v="4"/>
    <x v="20"/>
    <x v="9"/>
    <s v="cashloan"/>
    <n v="0"/>
  </r>
  <r>
    <x v="697"/>
    <x v="1"/>
    <x v="11"/>
    <n v="49"/>
    <n v="4"/>
    <x v="21"/>
    <x v="9"/>
    <s v="cashloan"/>
    <n v="0"/>
  </r>
  <r>
    <x v="697"/>
    <x v="1"/>
    <x v="11"/>
    <n v="49"/>
    <n v="4"/>
    <x v="25"/>
    <x v="2"/>
    <s v="cashloan"/>
    <n v="0"/>
  </r>
  <r>
    <x v="697"/>
    <x v="1"/>
    <x v="11"/>
    <n v="49"/>
    <n v="4"/>
    <x v="0"/>
    <x v="0"/>
    <s v="payday"/>
    <n v="10619856000"/>
  </r>
  <r>
    <x v="697"/>
    <x v="1"/>
    <x v="11"/>
    <n v="49"/>
    <n v="4"/>
    <x v="7"/>
    <x v="7"/>
    <s v="paylater"/>
    <n v="503051669"/>
  </r>
  <r>
    <x v="697"/>
    <x v="1"/>
    <x v="11"/>
    <n v="49"/>
    <n v="4"/>
    <x v="1"/>
    <x v="1"/>
    <s v="cashloan"/>
    <n v="21000000"/>
  </r>
  <r>
    <x v="697"/>
    <x v="1"/>
    <x v="11"/>
    <n v="49"/>
    <n v="4"/>
    <x v="6"/>
    <x v="6"/>
    <s v="payday"/>
    <n v="50000000"/>
  </r>
  <r>
    <x v="697"/>
    <x v="1"/>
    <x v="11"/>
    <n v="49"/>
    <n v="4"/>
    <x v="18"/>
    <x v="15"/>
    <s v="cashloan"/>
    <n v="688840000"/>
  </r>
  <r>
    <x v="697"/>
    <x v="1"/>
    <x v="11"/>
    <n v="49"/>
    <n v="4"/>
    <x v="29"/>
    <x v="20"/>
    <s v="payday"/>
    <n v="178308000"/>
  </r>
  <r>
    <x v="697"/>
    <x v="1"/>
    <x v="11"/>
    <n v="49"/>
    <n v="4"/>
    <x v="19"/>
    <x v="12"/>
    <s v="paylater"/>
    <n v="1383088354"/>
  </r>
  <r>
    <x v="697"/>
    <x v="1"/>
    <x v="11"/>
    <n v="49"/>
    <n v="4"/>
    <x v="24"/>
    <x v="18"/>
    <s v="cashloan"/>
    <n v="4186970000"/>
  </r>
  <r>
    <x v="698"/>
    <x v="1"/>
    <x v="11"/>
    <n v="49"/>
    <n v="5"/>
    <x v="3"/>
    <x v="3"/>
    <s v="cashloan"/>
    <n v="304700000"/>
  </r>
  <r>
    <x v="698"/>
    <x v="1"/>
    <x v="11"/>
    <n v="49"/>
    <n v="5"/>
    <x v="11"/>
    <x v="10"/>
    <s v="paylater"/>
    <n v="462850306"/>
  </r>
  <r>
    <x v="698"/>
    <x v="1"/>
    <x v="11"/>
    <n v="49"/>
    <n v="5"/>
    <x v="12"/>
    <x v="11"/>
    <s v="cashloan"/>
    <n v="22241380000"/>
  </r>
  <r>
    <x v="698"/>
    <x v="1"/>
    <x v="11"/>
    <n v="49"/>
    <n v="5"/>
    <x v="5"/>
    <x v="5"/>
    <s v="overdraft"/>
    <n v="3186304974"/>
  </r>
  <r>
    <x v="698"/>
    <x v="1"/>
    <x v="11"/>
    <n v="49"/>
    <n v="5"/>
    <x v="27"/>
    <x v="19"/>
    <s v="payday"/>
    <n v="14076828000"/>
  </r>
  <r>
    <x v="698"/>
    <x v="1"/>
    <x v="11"/>
    <n v="49"/>
    <n v="5"/>
    <x v="15"/>
    <x v="14"/>
    <s v="paylater"/>
    <n v="58538356"/>
  </r>
  <r>
    <x v="698"/>
    <x v="1"/>
    <x v="11"/>
    <n v="49"/>
    <n v="5"/>
    <x v="14"/>
    <x v="13"/>
    <s v="cashloan"/>
    <n v="3785090000"/>
  </r>
  <r>
    <x v="698"/>
    <x v="1"/>
    <x v="11"/>
    <n v="49"/>
    <n v="5"/>
    <x v="23"/>
    <x v="17"/>
    <s v="paylater"/>
    <n v="51653976"/>
  </r>
  <r>
    <x v="698"/>
    <x v="1"/>
    <x v="11"/>
    <n v="49"/>
    <n v="5"/>
    <x v="28"/>
    <x v="17"/>
    <s v="paylater"/>
    <n v="1765087162"/>
  </r>
  <r>
    <x v="698"/>
    <x v="1"/>
    <x v="11"/>
    <n v="49"/>
    <n v="5"/>
    <x v="8"/>
    <x v="8"/>
    <s v="cashloan"/>
    <n v="0"/>
  </r>
  <r>
    <x v="698"/>
    <x v="1"/>
    <x v="11"/>
    <n v="49"/>
    <n v="5"/>
    <x v="26"/>
    <x v="16"/>
    <s v="cashloan"/>
    <n v="493750000"/>
  </r>
  <r>
    <x v="698"/>
    <x v="1"/>
    <x v="11"/>
    <n v="49"/>
    <n v="5"/>
    <x v="2"/>
    <x v="2"/>
    <s v="cashloan"/>
    <n v="19222110000"/>
  </r>
  <r>
    <x v="698"/>
    <x v="1"/>
    <x v="11"/>
    <n v="49"/>
    <n v="5"/>
    <x v="17"/>
    <x v="9"/>
    <s v="cashloan"/>
    <n v="0"/>
  </r>
  <r>
    <x v="698"/>
    <x v="1"/>
    <x v="11"/>
    <n v="49"/>
    <n v="5"/>
    <x v="20"/>
    <x v="9"/>
    <s v="cashloan"/>
    <n v="0"/>
  </r>
  <r>
    <x v="698"/>
    <x v="1"/>
    <x v="11"/>
    <n v="49"/>
    <n v="5"/>
    <x v="21"/>
    <x v="9"/>
    <s v="cashloan"/>
    <n v="0"/>
  </r>
  <r>
    <x v="698"/>
    <x v="1"/>
    <x v="11"/>
    <n v="49"/>
    <n v="5"/>
    <x v="25"/>
    <x v="2"/>
    <s v="cashloan"/>
    <n v="5000000"/>
  </r>
  <r>
    <x v="698"/>
    <x v="1"/>
    <x v="11"/>
    <n v="49"/>
    <n v="5"/>
    <x v="0"/>
    <x v="0"/>
    <s v="payday"/>
    <n v="11009736000"/>
  </r>
  <r>
    <x v="698"/>
    <x v="1"/>
    <x v="11"/>
    <n v="49"/>
    <n v="5"/>
    <x v="7"/>
    <x v="7"/>
    <s v="paylater"/>
    <n v="632262431"/>
  </r>
  <r>
    <x v="698"/>
    <x v="1"/>
    <x v="11"/>
    <n v="49"/>
    <n v="5"/>
    <x v="1"/>
    <x v="1"/>
    <s v="cashloan"/>
    <n v="42000000"/>
  </r>
  <r>
    <x v="698"/>
    <x v="1"/>
    <x v="11"/>
    <n v="49"/>
    <n v="5"/>
    <x v="6"/>
    <x v="6"/>
    <s v="payday"/>
    <n v="45000000"/>
  </r>
  <r>
    <x v="698"/>
    <x v="1"/>
    <x v="11"/>
    <n v="49"/>
    <n v="5"/>
    <x v="18"/>
    <x v="15"/>
    <s v="cashloan"/>
    <n v="695950000"/>
  </r>
  <r>
    <x v="698"/>
    <x v="1"/>
    <x v="11"/>
    <n v="49"/>
    <n v="5"/>
    <x v="29"/>
    <x v="20"/>
    <s v="payday"/>
    <n v="275616000"/>
  </r>
  <r>
    <x v="698"/>
    <x v="1"/>
    <x v="11"/>
    <n v="49"/>
    <n v="5"/>
    <x v="19"/>
    <x v="12"/>
    <s v="paylater"/>
    <n v="1567319018"/>
  </r>
  <r>
    <x v="698"/>
    <x v="1"/>
    <x v="11"/>
    <n v="49"/>
    <n v="5"/>
    <x v="24"/>
    <x v="18"/>
    <s v="cashloan"/>
    <n v="5354840000"/>
  </r>
  <r>
    <x v="699"/>
    <x v="1"/>
    <x v="11"/>
    <n v="49"/>
    <n v="6"/>
    <x v="3"/>
    <x v="3"/>
    <s v="cashloan"/>
    <n v="77250000"/>
  </r>
  <r>
    <x v="699"/>
    <x v="1"/>
    <x v="11"/>
    <n v="49"/>
    <n v="6"/>
    <x v="11"/>
    <x v="10"/>
    <s v="paylater"/>
    <n v="411856007"/>
  </r>
  <r>
    <x v="699"/>
    <x v="1"/>
    <x v="11"/>
    <n v="49"/>
    <n v="6"/>
    <x v="12"/>
    <x v="11"/>
    <s v="cashloan"/>
    <n v="17411310000"/>
  </r>
  <r>
    <x v="699"/>
    <x v="1"/>
    <x v="11"/>
    <n v="49"/>
    <n v="6"/>
    <x v="5"/>
    <x v="5"/>
    <s v="overdraft"/>
    <n v="2214332306"/>
  </r>
  <r>
    <x v="699"/>
    <x v="1"/>
    <x v="11"/>
    <n v="49"/>
    <n v="6"/>
    <x v="27"/>
    <x v="19"/>
    <s v="payday"/>
    <n v="11458908000"/>
  </r>
  <r>
    <x v="699"/>
    <x v="1"/>
    <x v="11"/>
    <n v="49"/>
    <n v="6"/>
    <x v="15"/>
    <x v="14"/>
    <s v="paylater"/>
    <n v="31652351"/>
  </r>
  <r>
    <x v="699"/>
    <x v="1"/>
    <x v="11"/>
    <n v="49"/>
    <n v="6"/>
    <x v="14"/>
    <x v="13"/>
    <s v="cashloan"/>
    <n v="3371150000"/>
  </r>
  <r>
    <x v="699"/>
    <x v="1"/>
    <x v="11"/>
    <n v="49"/>
    <n v="6"/>
    <x v="23"/>
    <x v="17"/>
    <s v="paylater"/>
    <n v="42936630"/>
  </r>
  <r>
    <x v="699"/>
    <x v="1"/>
    <x v="11"/>
    <n v="49"/>
    <n v="6"/>
    <x v="28"/>
    <x v="17"/>
    <s v="paylater"/>
    <n v="1762062376"/>
  </r>
  <r>
    <x v="699"/>
    <x v="1"/>
    <x v="11"/>
    <n v="49"/>
    <n v="6"/>
    <x v="8"/>
    <x v="8"/>
    <s v="cashloan"/>
    <n v="0"/>
  </r>
  <r>
    <x v="699"/>
    <x v="1"/>
    <x v="11"/>
    <n v="49"/>
    <n v="6"/>
    <x v="26"/>
    <x v="16"/>
    <s v="cashloan"/>
    <n v="532800000"/>
  </r>
  <r>
    <x v="699"/>
    <x v="1"/>
    <x v="11"/>
    <n v="49"/>
    <n v="6"/>
    <x v="2"/>
    <x v="2"/>
    <s v="cashloan"/>
    <n v="17313410000"/>
  </r>
  <r>
    <x v="699"/>
    <x v="1"/>
    <x v="11"/>
    <n v="49"/>
    <n v="6"/>
    <x v="17"/>
    <x v="9"/>
    <s v="cashloan"/>
    <n v="0"/>
  </r>
  <r>
    <x v="699"/>
    <x v="1"/>
    <x v="11"/>
    <n v="49"/>
    <n v="6"/>
    <x v="20"/>
    <x v="9"/>
    <s v="cashloan"/>
    <n v="0"/>
  </r>
  <r>
    <x v="699"/>
    <x v="1"/>
    <x v="11"/>
    <n v="49"/>
    <n v="6"/>
    <x v="21"/>
    <x v="9"/>
    <s v="cashloan"/>
    <n v="0"/>
  </r>
  <r>
    <x v="699"/>
    <x v="1"/>
    <x v="11"/>
    <n v="49"/>
    <n v="6"/>
    <x v="25"/>
    <x v="2"/>
    <s v="cashloan"/>
    <n v="45000000"/>
  </r>
  <r>
    <x v="699"/>
    <x v="1"/>
    <x v="11"/>
    <n v="49"/>
    <n v="6"/>
    <x v="0"/>
    <x v="0"/>
    <s v="payday"/>
    <n v="10108044000"/>
  </r>
  <r>
    <x v="699"/>
    <x v="1"/>
    <x v="11"/>
    <n v="49"/>
    <n v="6"/>
    <x v="7"/>
    <x v="7"/>
    <s v="paylater"/>
    <n v="405178112"/>
  </r>
  <r>
    <x v="699"/>
    <x v="1"/>
    <x v="11"/>
    <n v="49"/>
    <n v="6"/>
    <x v="1"/>
    <x v="1"/>
    <s v="cashloan"/>
    <n v="31500000"/>
  </r>
  <r>
    <x v="699"/>
    <x v="1"/>
    <x v="11"/>
    <n v="49"/>
    <n v="6"/>
    <x v="6"/>
    <x v="6"/>
    <s v="payday"/>
    <n v="58000000"/>
  </r>
  <r>
    <x v="699"/>
    <x v="1"/>
    <x v="11"/>
    <n v="49"/>
    <n v="6"/>
    <x v="18"/>
    <x v="15"/>
    <s v="cashloan"/>
    <n v="213850000"/>
  </r>
  <r>
    <x v="699"/>
    <x v="1"/>
    <x v="11"/>
    <n v="49"/>
    <n v="6"/>
    <x v="29"/>
    <x v="20"/>
    <s v="payday"/>
    <n v="178632000"/>
  </r>
  <r>
    <x v="699"/>
    <x v="1"/>
    <x v="11"/>
    <n v="49"/>
    <n v="6"/>
    <x v="19"/>
    <x v="12"/>
    <s v="paylater"/>
    <n v="869550061"/>
  </r>
  <r>
    <x v="699"/>
    <x v="1"/>
    <x v="11"/>
    <n v="49"/>
    <n v="6"/>
    <x v="24"/>
    <x v="18"/>
    <s v="cashloan"/>
    <n v="3826450000"/>
  </r>
  <r>
    <x v="700"/>
    <x v="1"/>
    <x v="11"/>
    <n v="49"/>
    <n v="7"/>
    <x v="3"/>
    <x v="3"/>
    <s v="cashloan"/>
    <n v="194800000"/>
  </r>
  <r>
    <x v="700"/>
    <x v="1"/>
    <x v="11"/>
    <n v="49"/>
    <n v="7"/>
    <x v="11"/>
    <x v="10"/>
    <s v="paylater"/>
    <n v="366407294"/>
  </r>
  <r>
    <x v="700"/>
    <x v="1"/>
    <x v="11"/>
    <n v="49"/>
    <n v="7"/>
    <x v="12"/>
    <x v="11"/>
    <s v="cashloan"/>
    <n v="16946450000"/>
  </r>
  <r>
    <x v="700"/>
    <x v="1"/>
    <x v="11"/>
    <n v="49"/>
    <n v="7"/>
    <x v="5"/>
    <x v="5"/>
    <s v="overdraft"/>
    <n v="1875357071"/>
  </r>
  <r>
    <x v="700"/>
    <x v="1"/>
    <x v="11"/>
    <n v="49"/>
    <n v="7"/>
    <x v="27"/>
    <x v="19"/>
    <s v="payday"/>
    <n v="10982304000"/>
  </r>
  <r>
    <x v="700"/>
    <x v="1"/>
    <x v="11"/>
    <n v="49"/>
    <n v="7"/>
    <x v="15"/>
    <x v="14"/>
    <s v="paylater"/>
    <n v="17772528"/>
  </r>
  <r>
    <x v="700"/>
    <x v="1"/>
    <x v="11"/>
    <n v="49"/>
    <n v="7"/>
    <x v="14"/>
    <x v="13"/>
    <s v="cashloan"/>
    <n v="4705150000"/>
  </r>
  <r>
    <x v="700"/>
    <x v="1"/>
    <x v="11"/>
    <n v="49"/>
    <n v="7"/>
    <x v="23"/>
    <x v="17"/>
    <s v="paylater"/>
    <n v="21678108"/>
  </r>
  <r>
    <x v="700"/>
    <x v="1"/>
    <x v="11"/>
    <n v="49"/>
    <n v="7"/>
    <x v="28"/>
    <x v="17"/>
    <s v="paylater"/>
    <n v="1184359979"/>
  </r>
  <r>
    <x v="700"/>
    <x v="1"/>
    <x v="11"/>
    <n v="49"/>
    <n v="7"/>
    <x v="8"/>
    <x v="8"/>
    <s v="cashloan"/>
    <n v="0"/>
  </r>
  <r>
    <x v="700"/>
    <x v="1"/>
    <x v="11"/>
    <n v="49"/>
    <n v="7"/>
    <x v="26"/>
    <x v="16"/>
    <s v="cashloan"/>
    <n v="431000000"/>
  </r>
  <r>
    <x v="700"/>
    <x v="1"/>
    <x v="11"/>
    <n v="49"/>
    <n v="7"/>
    <x v="2"/>
    <x v="2"/>
    <s v="cashloan"/>
    <n v="17067060000"/>
  </r>
  <r>
    <x v="700"/>
    <x v="1"/>
    <x v="11"/>
    <n v="49"/>
    <n v="7"/>
    <x v="17"/>
    <x v="9"/>
    <s v="cashloan"/>
    <n v="0"/>
  </r>
  <r>
    <x v="700"/>
    <x v="1"/>
    <x v="11"/>
    <n v="49"/>
    <n v="7"/>
    <x v="20"/>
    <x v="9"/>
    <s v="cashloan"/>
    <n v="0"/>
  </r>
  <r>
    <x v="700"/>
    <x v="1"/>
    <x v="11"/>
    <n v="49"/>
    <n v="7"/>
    <x v="21"/>
    <x v="9"/>
    <s v="cashloan"/>
    <n v="0"/>
  </r>
  <r>
    <x v="700"/>
    <x v="1"/>
    <x v="11"/>
    <n v="49"/>
    <n v="7"/>
    <x v="25"/>
    <x v="2"/>
    <s v="cashloan"/>
    <n v="0"/>
  </r>
  <r>
    <x v="700"/>
    <x v="1"/>
    <x v="11"/>
    <n v="49"/>
    <n v="7"/>
    <x v="0"/>
    <x v="0"/>
    <s v="payday"/>
    <n v="8787960000"/>
  </r>
  <r>
    <x v="700"/>
    <x v="1"/>
    <x v="11"/>
    <n v="49"/>
    <n v="7"/>
    <x v="7"/>
    <x v="7"/>
    <s v="paylater"/>
    <n v="365569034"/>
  </r>
  <r>
    <x v="700"/>
    <x v="1"/>
    <x v="11"/>
    <n v="49"/>
    <n v="7"/>
    <x v="1"/>
    <x v="1"/>
    <s v="cashloan"/>
    <n v="0"/>
  </r>
  <r>
    <x v="700"/>
    <x v="1"/>
    <x v="11"/>
    <n v="49"/>
    <n v="7"/>
    <x v="6"/>
    <x v="6"/>
    <s v="payday"/>
    <n v="72000000"/>
  </r>
  <r>
    <x v="700"/>
    <x v="1"/>
    <x v="11"/>
    <n v="49"/>
    <n v="7"/>
    <x v="18"/>
    <x v="15"/>
    <s v="cashloan"/>
    <n v="399940000"/>
  </r>
  <r>
    <x v="700"/>
    <x v="1"/>
    <x v="11"/>
    <n v="49"/>
    <n v="7"/>
    <x v="29"/>
    <x v="20"/>
    <s v="payday"/>
    <n v="211248000"/>
  </r>
  <r>
    <x v="700"/>
    <x v="1"/>
    <x v="11"/>
    <n v="49"/>
    <n v="7"/>
    <x v="19"/>
    <x v="12"/>
    <s v="paylater"/>
    <n v="603148653"/>
  </r>
  <r>
    <x v="700"/>
    <x v="1"/>
    <x v="11"/>
    <n v="49"/>
    <n v="7"/>
    <x v="24"/>
    <x v="18"/>
    <s v="cashloan"/>
    <n v="3094670000"/>
  </r>
  <r>
    <x v="701"/>
    <x v="1"/>
    <x v="11"/>
    <n v="50"/>
    <n v="8"/>
    <x v="3"/>
    <x v="3"/>
    <s v="cashloan"/>
    <n v="117600000"/>
  </r>
  <r>
    <x v="701"/>
    <x v="1"/>
    <x v="11"/>
    <n v="50"/>
    <n v="8"/>
    <x v="11"/>
    <x v="10"/>
    <s v="paylater"/>
    <n v="318051473"/>
  </r>
  <r>
    <x v="701"/>
    <x v="1"/>
    <x v="11"/>
    <n v="50"/>
    <n v="8"/>
    <x v="12"/>
    <x v="11"/>
    <s v="cashloan"/>
    <n v="18584820000"/>
  </r>
  <r>
    <x v="701"/>
    <x v="1"/>
    <x v="11"/>
    <n v="50"/>
    <n v="8"/>
    <x v="5"/>
    <x v="5"/>
    <s v="overdraft"/>
    <n v="2268828157"/>
  </r>
  <r>
    <x v="701"/>
    <x v="1"/>
    <x v="11"/>
    <n v="50"/>
    <n v="8"/>
    <x v="27"/>
    <x v="19"/>
    <s v="payday"/>
    <n v="11617776000"/>
  </r>
  <r>
    <x v="701"/>
    <x v="1"/>
    <x v="11"/>
    <n v="50"/>
    <n v="8"/>
    <x v="15"/>
    <x v="14"/>
    <s v="paylater"/>
    <n v="22890593"/>
  </r>
  <r>
    <x v="701"/>
    <x v="1"/>
    <x v="11"/>
    <n v="50"/>
    <n v="8"/>
    <x v="14"/>
    <x v="13"/>
    <s v="cashloan"/>
    <n v="4163060000"/>
  </r>
  <r>
    <x v="701"/>
    <x v="1"/>
    <x v="11"/>
    <n v="50"/>
    <n v="8"/>
    <x v="23"/>
    <x v="17"/>
    <s v="paylater"/>
    <n v="15636252"/>
  </r>
  <r>
    <x v="701"/>
    <x v="1"/>
    <x v="11"/>
    <n v="50"/>
    <n v="8"/>
    <x v="28"/>
    <x v="17"/>
    <s v="paylater"/>
    <n v="796954555"/>
  </r>
  <r>
    <x v="701"/>
    <x v="1"/>
    <x v="11"/>
    <n v="50"/>
    <n v="8"/>
    <x v="8"/>
    <x v="8"/>
    <s v="cashloan"/>
    <n v="0"/>
  </r>
  <r>
    <x v="701"/>
    <x v="1"/>
    <x v="11"/>
    <n v="50"/>
    <n v="8"/>
    <x v="26"/>
    <x v="16"/>
    <s v="cashloan"/>
    <n v="483150000"/>
  </r>
  <r>
    <x v="701"/>
    <x v="1"/>
    <x v="11"/>
    <n v="50"/>
    <n v="8"/>
    <x v="2"/>
    <x v="2"/>
    <s v="cashloan"/>
    <n v="18950910000"/>
  </r>
  <r>
    <x v="701"/>
    <x v="1"/>
    <x v="11"/>
    <n v="50"/>
    <n v="8"/>
    <x v="17"/>
    <x v="9"/>
    <s v="cashloan"/>
    <n v="0"/>
  </r>
  <r>
    <x v="701"/>
    <x v="1"/>
    <x v="11"/>
    <n v="50"/>
    <n v="8"/>
    <x v="20"/>
    <x v="9"/>
    <s v="cashloan"/>
    <n v="0"/>
  </r>
  <r>
    <x v="701"/>
    <x v="1"/>
    <x v="11"/>
    <n v="50"/>
    <n v="8"/>
    <x v="21"/>
    <x v="9"/>
    <s v="cashloan"/>
    <n v="0"/>
  </r>
  <r>
    <x v="701"/>
    <x v="1"/>
    <x v="11"/>
    <n v="50"/>
    <n v="8"/>
    <x v="25"/>
    <x v="2"/>
    <s v="cashloan"/>
    <n v="16050000"/>
  </r>
  <r>
    <x v="701"/>
    <x v="1"/>
    <x v="11"/>
    <n v="50"/>
    <n v="8"/>
    <x v="0"/>
    <x v="0"/>
    <s v="payday"/>
    <n v="9321912000"/>
  </r>
  <r>
    <x v="701"/>
    <x v="1"/>
    <x v="11"/>
    <n v="50"/>
    <n v="8"/>
    <x v="7"/>
    <x v="7"/>
    <s v="paylater"/>
    <n v="298442180"/>
  </r>
  <r>
    <x v="701"/>
    <x v="1"/>
    <x v="11"/>
    <n v="50"/>
    <n v="8"/>
    <x v="1"/>
    <x v="1"/>
    <s v="cashloan"/>
    <n v="0"/>
  </r>
  <r>
    <x v="701"/>
    <x v="1"/>
    <x v="11"/>
    <n v="50"/>
    <n v="8"/>
    <x v="6"/>
    <x v="6"/>
    <s v="payday"/>
    <n v="20000000"/>
  </r>
  <r>
    <x v="701"/>
    <x v="1"/>
    <x v="11"/>
    <n v="50"/>
    <n v="8"/>
    <x v="18"/>
    <x v="15"/>
    <s v="cashloan"/>
    <n v="781470000"/>
  </r>
  <r>
    <x v="701"/>
    <x v="1"/>
    <x v="11"/>
    <n v="50"/>
    <n v="8"/>
    <x v="29"/>
    <x v="20"/>
    <s v="payday"/>
    <n v="237384000"/>
  </r>
  <r>
    <x v="701"/>
    <x v="1"/>
    <x v="11"/>
    <n v="50"/>
    <n v="8"/>
    <x v="19"/>
    <x v="12"/>
    <s v="paylater"/>
    <n v="576232325"/>
  </r>
  <r>
    <x v="701"/>
    <x v="1"/>
    <x v="11"/>
    <n v="50"/>
    <n v="8"/>
    <x v="24"/>
    <x v="18"/>
    <s v="cashloan"/>
    <n v="4390740000"/>
  </r>
  <r>
    <x v="702"/>
    <x v="1"/>
    <x v="11"/>
    <n v="50"/>
    <n v="9"/>
    <x v="3"/>
    <x v="3"/>
    <s v="cashloan"/>
    <n v="109750000"/>
  </r>
  <r>
    <x v="702"/>
    <x v="1"/>
    <x v="11"/>
    <n v="50"/>
    <n v="9"/>
    <x v="11"/>
    <x v="10"/>
    <s v="paylater"/>
    <n v="358859754"/>
  </r>
  <r>
    <x v="702"/>
    <x v="1"/>
    <x v="11"/>
    <n v="50"/>
    <n v="9"/>
    <x v="12"/>
    <x v="11"/>
    <s v="cashloan"/>
    <n v="20174000000"/>
  </r>
  <r>
    <x v="702"/>
    <x v="1"/>
    <x v="11"/>
    <n v="50"/>
    <n v="9"/>
    <x v="5"/>
    <x v="5"/>
    <s v="overdraft"/>
    <n v="2175770527"/>
  </r>
  <r>
    <x v="702"/>
    <x v="1"/>
    <x v="11"/>
    <n v="50"/>
    <n v="9"/>
    <x v="27"/>
    <x v="19"/>
    <s v="payday"/>
    <n v="11485260000"/>
  </r>
  <r>
    <x v="702"/>
    <x v="1"/>
    <x v="11"/>
    <n v="50"/>
    <n v="9"/>
    <x v="15"/>
    <x v="14"/>
    <s v="paylater"/>
    <n v="25876644"/>
  </r>
  <r>
    <x v="702"/>
    <x v="1"/>
    <x v="11"/>
    <n v="50"/>
    <n v="9"/>
    <x v="14"/>
    <x v="13"/>
    <s v="cashloan"/>
    <n v="3541150000"/>
  </r>
  <r>
    <x v="702"/>
    <x v="1"/>
    <x v="11"/>
    <n v="50"/>
    <n v="9"/>
    <x v="23"/>
    <x v="17"/>
    <s v="paylater"/>
    <n v="31166578"/>
  </r>
  <r>
    <x v="702"/>
    <x v="1"/>
    <x v="11"/>
    <n v="50"/>
    <n v="9"/>
    <x v="28"/>
    <x v="17"/>
    <s v="paylater"/>
    <n v="921903683"/>
  </r>
  <r>
    <x v="702"/>
    <x v="1"/>
    <x v="11"/>
    <n v="50"/>
    <n v="9"/>
    <x v="8"/>
    <x v="8"/>
    <s v="cashloan"/>
    <n v="0"/>
  </r>
  <r>
    <x v="702"/>
    <x v="1"/>
    <x v="11"/>
    <n v="50"/>
    <n v="9"/>
    <x v="26"/>
    <x v="16"/>
    <s v="cashloan"/>
    <n v="427200000"/>
  </r>
  <r>
    <x v="702"/>
    <x v="1"/>
    <x v="11"/>
    <n v="50"/>
    <n v="9"/>
    <x v="2"/>
    <x v="2"/>
    <s v="cashloan"/>
    <n v="19009430000"/>
  </r>
  <r>
    <x v="702"/>
    <x v="1"/>
    <x v="11"/>
    <n v="50"/>
    <n v="9"/>
    <x v="17"/>
    <x v="9"/>
    <s v="cashloan"/>
    <n v="0"/>
  </r>
  <r>
    <x v="702"/>
    <x v="1"/>
    <x v="11"/>
    <n v="50"/>
    <n v="9"/>
    <x v="20"/>
    <x v="9"/>
    <s v="cashloan"/>
    <n v="0"/>
  </r>
  <r>
    <x v="702"/>
    <x v="1"/>
    <x v="11"/>
    <n v="50"/>
    <n v="9"/>
    <x v="21"/>
    <x v="9"/>
    <s v="cashloan"/>
    <n v="0"/>
  </r>
  <r>
    <x v="702"/>
    <x v="1"/>
    <x v="11"/>
    <n v="50"/>
    <n v="9"/>
    <x v="25"/>
    <x v="2"/>
    <s v="cashloan"/>
    <n v="0"/>
  </r>
  <r>
    <x v="702"/>
    <x v="1"/>
    <x v="11"/>
    <n v="50"/>
    <n v="9"/>
    <x v="0"/>
    <x v="0"/>
    <s v="payday"/>
    <n v="8877816000"/>
  </r>
  <r>
    <x v="702"/>
    <x v="1"/>
    <x v="11"/>
    <n v="50"/>
    <n v="9"/>
    <x v="7"/>
    <x v="7"/>
    <s v="paylater"/>
    <n v="319497699"/>
  </r>
  <r>
    <x v="702"/>
    <x v="1"/>
    <x v="11"/>
    <n v="50"/>
    <n v="9"/>
    <x v="1"/>
    <x v="1"/>
    <s v="cashloan"/>
    <n v="0"/>
  </r>
  <r>
    <x v="702"/>
    <x v="1"/>
    <x v="11"/>
    <n v="50"/>
    <n v="9"/>
    <x v="6"/>
    <x v="6"/>
    <s v="payday"/>
    <n v="18000000"/>
  </r>
  <r>
    <x v="702"/>
    <x v="1"/>
    <x v="11"/>
    <n v="50"/>
    <n v="9"/>
    <x v="18"/>
    <x v="15"/>
    <s v="cashloan"/>
    <n v="310930000"/>
  </r>
  <r>
    <x v="702"/>
    <x v="1"/>
    <x v="11"/>
    <n v="50"/>
    <n v="9"/>
    <x v="29"/>
    <x v="20"/>
    <s v="payday"/>
    <n v="178308000"/>
  </r>
  <r>
    <x v="702"/>
    <x v="1"/>
    <x v="11"/>
    <n v="50"/>
    <n v="9"/>
    <x v="19"/>
    <x v="12"/>
    <s v="paylater"/>
    <n v="539868367"/>
  </r>
  <r>
    <x v="702"/>
    <x v="1"/>
    <x v="11"/>
    <n v="50"/>
    <n v="9"/>
    <x v="24"/>
    <x v="18"/>
    <s v="cashloan"/>
    <n v="4013940000"/>
  </r>
  <r>
    <x v="703"/>
    <x v="1"/>
    <x v="11"/>
    <n v="50"/>
    <n v="10"/>
    <x v="3"/>
    <x v="3"/>
    <s v="cashloan"/>
    <n v="175000000"/>
  </r>
  <r>
    <x v="703"/>
    <x v="1"/>
    <x v="11"/>
    <n v="50"/>
    <n v="10"/>
    <x v="11"/>
    <x v="10"/>
    <s v="paylater"/>
    <n v="367505331"/>
  </r>
  <r>
    <x v="703"/>
    <x v="1"/>
    <x v="11"/>
    <n v="50"/>
    <n v="10"/>
    <x v="12"/>
    <x v="11"/>
    <s v="cashloan"/>
    <n v="20631690000"/>
  </r>
  <r>
    <x v="703"/>
    <x v="1"/>
    <x v="11"/>
    <n v="50"/>
    <n v="10"/>
    <x v="5"/>
    <x v="5"/>
    <s v="overdraft"/>
    <n v="2879127784"/>
  </r>
  <r>
    <x v="703"/>
    <x v="1"/>
    <x v="11"/>
    <n v="50"/>
    <n v="10"/>
    <x v="27"/>
    <x v="19"/>
    <s v="payday"/>
    <n v="15310728000"/>
  </r>
  <r>
    <x v="703"/>
    <x v="1"/>
    <x v="11"/>
    <n v="50"/>
    <n v="10"/>
    <x v="15"/>
    <x v="14"/>
    <s v="paylater"/>
    <n v="16624794"/>
  </r>
  <r>
    <x v="703"/>
    <x v="1"/>
    <x v="11"/>
    <n v="50"/>
    <n v="10"/>
    <x v="14"/>
    <x v="13"/>
    <s v="cashloan"/>
    <n v="4755030000"/>
  </r>
  <r>
    <x v="703"/>
    <x v="1"/>
    <x v="11"/>
    <n v="50"/>
    <n v="10"/>
    <x v="23"/>
    <x v="17"/>
    <s v="paylater"/>
    <n v="19221396"/>
  </r>
  <r>
    <x v="703"/>
    <x v="1"/>
    <x v="11"/>
    <n v="50"/>
    <n v="10"/>
    <x v="28"/>
    <x v="17"/>
    <s v="paylater"/>
    <n v="778858486"/>
  </r>
  <r>
    <x v="703"/>
    <x v="1"/>
    <x v="11"/>
    <n v="50"/>
    <n v="10"/>
    <x v="8"/>
    <x v="8"/>
    <s v="cashloan"/>
    <n v="0"/>
  </r>
  <r>
    <x v="703"/>
    <x v="1"/>
    <x v="11"/>
    <n v="50"/>
    <n v="10"/>
    <x v="26"/>
    <x v="16"/>
    <s v="cashloan"/>
    <n v="748250000"/>
  </r>
  <r>
    <x v="703"/>
    <x v="1"/>
    <x v="11"/>
    <n v="50"/>
    <n v="10"/>
    <x v="2"/>
    <x v="2"/>
    <s v="cashloan"/>
    <n v="20124000000"/>
  </r>
  <r>
    <x v="703"/>
    <x v="1"/>
    <x v="11"/>
    <n v="50"/>
    <n v="10"/>
    <x v="17"/>
    <x v="9"/>
    <s v="cashloan"/>
    <n v="0"/>
  </r>
  <r>
    <x v="703"/>
    <x v="1"/>
    <x v="11"/>
    <n v="50"/>
    <n v="10"/>
    <x v="20"/>
    <x v="9"/>
    <s v="cashloan"/>
    <n v="0"/>
  </r>
  <r>
    <x v="703"/>
    <x v="1"/>
    <x v="11"/>
    <n v="50"/>
    <n v="10"/>
    <x v="21"/>
    <x v="9"/>
    <s v="cashloan"/>
    <n v="0"/>
  </r>
  <r>
    <x v="703"/>
    <x v="1"/>
    <x v="11"/>
    <n v="50"/>
    <n v="10"/>
    <x v="25"/>
    <x v="2"/>
    <s v="cashloan"/>
    <n v="21400000"/>
  </r>
  <r>
    <x v="703"/>
    <x v="1"/>
    <x v="11"/>
    <n v="50"/>
    <n v="10"/>
    <x v="0"/>
    <x v="0"/>
    <s v="payday"/>
    <n v="13402692000"/>
  </r>
  <r>
    <x v="703"/>
    <x v="1"/>
    <x v="11"/>
    <n v="50"/>
    <n v="10"/>
    <x v="7"/>
    <x v="7"/>
    <s v="paylater"/>
    <n v="277558348"/>
  </r>
  <r>
    <x v="703"/>
    <x v="1"/>
    <x v="11"/>
    <n v="50"/>
    <n v="10"/>
    <x v="1"/>
    <x v="1"/>
    <s v="cashloan"/>
    <n v="41000000"/>
  </r>
  <r>
    <x v="703"/>
    <x v="1"/>
    <x v="11"/>
    <n v="50"/>
    <n v="10"/>
    <x v="6"/>
    <x v="6"/>
    <s v="payday"/>
    <n v="35000000"/>
  </r>
  <r>
    <x v="703"/>
    <x v="1"/>
    <x v="11"/>
    <n v="50"/>
    <n v="10"/>
    <x v="18"/>
    <x v="15"/>
    <s v="cashloan"/>
    <n v="561220000"/>
  </r>
  <r>
    <x v="703"/>
    <x v="1"/>
    <x v="11"/>
    <n v="50"/>
    <n v="10"/>
    <x v="29"/>
    <x v="20"/>
    <s v="payday"/>
    <n v="359964000"/>
  </r>
  <r>
    <x v="703"/>
    <x v="1"/>
    <x v="11"/>
    <n v="50"/>
    <n v="10"/>
    <x v="19"/>
    <x v="12"/>
    <s v="paylater"/>
    <n v="540066165"/>
  </r>
  <r>
    <x v="703"/>
    <x v="1"/>
    <x v="11"/>
    <n v="50"/>
    <n v="10"/>
    <x v="24"/>
    <x v="18"/>
    <s v="cashloan"/>
    <n v="5018730000"/>
  </r>
  <r>
    <x v="704"/>
    <x v="1"/>
    <x v="11"/>
    <n v="50"/>
    <n v="11"/>
    <x v="3"/>
    <x v="3"/>
    <s v="cashloan"/>
    <n v="204750000"/>
  </r>
  <r>
    <x v="704"/>
    <x v="1"/>
    <x v="11"/>
    <n v="50"/>
    <n v="11"/>
    <x v="11"/>
    <x v="10"/>
    <s v="paylater"/>
    <n v="319912222"/>
  </r>
  <r>
    <x v="704"/>
    <x v="1"/>
    <x v="11"/>
    <n v="50"/>
    <n v="11"/>
    <x v="12"/>
    <x v="11"/>
    <s v="cashloan"/>
    <n v="18141540000"/>
  </r>
  <r>
    <x v="704"/>
    <x v="1"/>
    <x v="11"/>
    <n v="50"/>
    <n v="11"/>
    <x v="5"/>
    <x v="5"/>
    <s v="overdraft"/>
    <n v="2198664517"/>
  </r>
  <r>
    <x v="704"/>
    <x v="1"/>
    <x v="11"/>
    <n v="50"/>
    <n v="11"/>
    <x v="27"/>
    <x v="19"/>
    <s v="payday"/>
    <n v="13471920000"/>
  </r>
  <r>
    <x v="704"/>
    <x v="1"/>
    <x v="11"/>
    <n v="50"/>
    <n v="11"/>
    <x v="15"/>
    <x v="14"/>
    <s v="paylater"/>
    <n v="9680094"/>
  </r>
  <r>
    <x v="704"/>
    <x v="1"/>
    <x v="11"/>
    <n v="50"/>
    <n v="11"/>
    <x v="14"/>
    <x v="13"/>
    <s v="cashloan"/>
    <n v="5294940000"/>
  </r>
  <r>
    <x v="704"/>
    <x v="1"/>
    <x v="11"/>
    <n v="50"/>
    <n v="11"/>
    <x v="23"/>
    <x v="17"/>
    <s v="paylater"/>
    <n v="11462776"/>
  </r>
  <r>
    <x v="704"/>
    <x v="1"/>
    <x v="11"/>
    <n v="50"/>
    <n v="11"/>
    <x v="28"/>
    <x v="17"/>
    <s v="paylater"/>
    <n v="919856712"/>
  </r>
  <r>
    <x v="704"/>
    <x v="1"/>
    <x v="11"/>
    <n v="50"/>
    <n v="11"/>
    <x v="8"/>
    <x v="8"/>
    <s v="cashloan"/>
    <n v="0"/>
  </r>
  <r>
    <x v="704"/>
    <x v="1"/>
    <x v="11"/>
    <n v="50"/>
    <n v="11"/>
    <x v="26"/>
    <x v="16"/>
    <s v="cashloan"/>
    <n v="585750000"/>
  </r>
  <r>
    <x v="704"/>
    <x v="1"/>
    <x v="11"/>
    <n v="50"/>
    <n v="11"/>
    <x v="2"/>
    <x v="2"/>
    <s v="cashloan"/>
    <n v="18066810000"/>
  </r>
  <r>
    <x v="704"/>
    <x v="1"/>
    <x v="11"/>
    <n v="50"/>
    <n v="11"/>
    <x v="17"/>
    <x v="9"/>
    <s v="cashloan"/>
    <n v="0"/>
  </r>
  <r>
    <x v="704"/>
    <x v="1"/>
    <x v="11"/>
    <n v="50"/>
    <n v="11"/>
    <x v="20"/>
    <x v="9"/>
    <s v="cashloan"/>
    <n v="0"/>
  </r>
  <r>
    <x v="704"/>
    <x v="1"/>
    <x v="11"/>
    <n v="50"/>
    <n v="11"/>
    <x v="21"/>
    <x v="9"/>
    <s v="cashloan"/>
    <n v="0"/>
  </r>
  <r>
    <x v="704"/>
    <x v="1"/>
    <x v="11"/>
    <n v="50"/>
    <n v="11"/>
    <x v="25"/>
    <x v="2"/>
    <s v="cashloan"/>
    <n v="37100000"/>
  </r>
  <r>
    <x v="704"/>
    <x v="1"/>
    <x v="11"/>
    <n v="50"/>
    <n v="11"/>
    <x v="0"/>
    <x v="0"/>
    <s v="payday"/>
    <n v="11344428000"/>
  </r>
  <r>
    <x v="704"/>
    <x v="1"/>
    <x v="11"/>
    <n v="50"/>
    <n v="11"/>
    <x v="7"/>
    <x v="7"/>
    <s v="paylater"/>
    <n v="255389707"/>
  </r>
  <r>
    <x v="704"/>
    <x v="1"/>
    <x v="11"/>
    <n v="50"/>
    <n v="11"/>
    <x v="1"/>
    <x v="1"/>
    <s v="cashloan"/>
    <n v="26250000"/>
  </r>
  <r>
    <x v="704"/>
    <x v="1"/>
    <x v="11"/>
    <n v="50"/>
    <n v="11"/>
    <x v="6"/>
    <x v="6"/>
    <s v="payday"/>
    <n v="42000000"/>
  </r>
  <r>
    <x v="704"/>
    <x v="1"/>
    <x v="11"/>
    <n v="50"/>
    <n v="11"/>
    <x v="18"/>
    <x v="15"/>
    <s v="cashloan"/>
    <n v="717540000"/>
  </r>
  <r>
    <x v="704"/>
    <x v="1"/>
    <x v="11"/>
    <n v="50"/>
    <n v="11"/>
    <x v="29"/>
    <x v="20"/>
    <s v="payday"/>
    <n v="226152000"/>
  </r>
  <r>
    <x v="704"/>
    <x v="1"/>
    <x v="11"/>
    <n v="50"/>
    <n v="11"/>
    <x v="19"/>
    <x v="12"/>
    <s v="paylater"/>
    <n v="326369296"/>
  </r>
  <r>
    <x v="704"/>
    <x v="1"/>
    <x v="11"/>
    <n v="50"/>
    <n v="11"/>
    <x v="24"/>
    <x v="18"/>
    <s v="cashloan"/>
    <n v="3226170000"/>
  </r>
  <r>
    <x v="704"/>
    <x v="1"/>
    <x v="11"/>
    <n v="50"/>
    <n v="11"/>
    <x v="30"/>
    <x v="21"/>
    <s v="payday"/>
    <n v="6480000"/>
  </r>
  <r>
    <x v="705"/>
    <x v="1"/>
    <x v="11"/>
    <n v="50"/>
    <n v="12"/>
    <x v="3"/>
    <x v="3"/>
    <s v="cashloan"/>
    <n v="109750000"/>
  </r>
  <r>
    <x v="705"/>
    <x v="1"/>
    <x v="11"/>
    <n v="50"/>
    <n v="12"/>
    <x v="11"/>
    <x v="10"/>
    <s v="paylater"/>
    <n v="352373150"/>
  </r>
  <r>
    <x v="705"/>
    <x v="1"/>
    <x v="11"/>
    <n v="50"/>
    <n v="12"/>
    <x v="12"/>
    <x v="11"/>
    <s v="cashloan"/>
    <n v="17050760000"/>
  </r>
  <r>
    <x v="705"/>
    <x v="1"/>
    <x v="11"/>
    <n v="50"/>
    <n v="12"/>
    <x v="5"/>
    <x v="5"/>
    <s v="overdraft"/>
    <n v="1978657890"/>
  </r>
  <r>
    <x v="705"/>
    <x v="1"/>
    <x v="11"/>
    <n v="50"/>
    <n v="12"/>
    <x v="27"/>
    <x v="19"/>
    <s v="payday"/>
    <n v="12585996000"/>
  </r>
  <r>
    <x v="705"/>
    <x v="1"/>
    <x v="11"/>
    <n v="50"/>
    <n v="12"/>
    <x v="15"/>
    <x v="14"/>
    <s v="paylater"/>
    <n v="10239058"/>
  </r>
  <r>
    <x v="705"/>
    <x v="1"/>
    <x v="11"/>
    <n v="50"/>
    <n v="12"/>
    <x v="14"/>
    <x v="13"/>
    <s v="cashloan"/>
    <n v="4464730000"/>
  </r>
  <r>
    <x v="705"/>
    <x v="1"/>
    <x v="11"/>
    <n v="50"/>
    <n v="12"/>
    <x v="23"/>
    <x v="17"/>
    <s v="paylater"/>
    <n v="10051318"/>
  </r>
  <r>
    <x v="705"/>
    <x v="1"/>
    <x v="11"/>
    <n v="50"/>
    <n v="12"/>
    <x v="28"/>
    <x v="17"/>
    <s v="paylater"/>
    <n v="967824355"/>
  </r>
  <r>
    <x v="705"/>
    <x v="1"/>
    <x v="11"/>
    <n v="50"/>
    <n v="12"/>
    <x v="8"/>
    <x v="8"/>
    <s v="cashloan"/>
    <n v="0"/>
  </r>
  <r>
    <x v="705"/>
    <x v="1"/>
    <x v="11"/>
    <n v="50"/>
    <n v="12"/>
    <x v="26"/>
    <x v="16"/>
    <s v="cashloan"/>
    <n v="529500000"/>
  </r>
  <r>
    <x v="705"/>
    <x v="1"/>
    <x v="11"/>
    <n v="50"/>
    <n v="12"/>
    <x v="2"/>
    <x v="2"/>
    <s v="cashloan"/>
    <n v="18716580000"/>
  </r>
  <r>
    <x v="705"/>
    <x v="1"/>
    <x v="11"/>
    <n v="50"/>
    <n v="12"/>
    <x v="17"/>
    <x v="9"/>
    <s v="cashloan"/>
    <n v="0"/>
  </r>
  <r>
    <x v="705"/>
    <x v="1"/>
    <x v="11"/>
    <n v="50"/>
    <n v="12"/>
    <x v="20"/>
    <x v="9"/>
    <s v="cashloan"/>
    <n v="0"/>
  </r>
  <r>
    <x v="705"/>
    <x v="1"/>
    <x v="11"/>
    <n v="50"/>
    <n v="12"/>
    <x v="21"/>
    <x v="9"/>
    <s v="cashloan"/>
    <n v="0"/>
  </r>
  <r>
    <x v="705"/>
    <x v="1"/>
    <x v="11"/>
    <n v="50"/>
    <n v="12"/>
    <x v="25"/>
    <x v="2"/>
    <s v="cashloan"/>
    <n v="0"/>
  </r>
  <r>
    <x v="705"/>
    <x v="1"/>
    <x v="11"/>
    <n v="50"/>
    <n v="12"/>
    <x v="0"/>
    <x v="0"/>
    <s v="payday"/>
    <n v="10791360000"/>
  </r>
  <r>
    <x v="705"/>
    <x v="1"/>
    <x v="11"/>
    <n v="50"/>
    <n v="12"/>
    <x v="7"/>
    <x v="7"/>
    <s v="paylater"/>
    <n v="221272322"/>
  </r>
  <r>
    <x v="705"/>
    <x v="1"/>
    <x v="11"/>
    <n v="50"/>
    <n v="12"/>
    <x v="1"/>
    <x v="1"/>
    <s v="cashloan"/>
    <n v="42000000"/>
  </r>
  <r>
    <x v="705"/>
    <x v="1"/>
    <x v="11"/>
    <n v="50"/>
    <n v="12"/>
    <x v="6"/>
    <x v="6"/>
    <s v="payday"/>
    <n v="27000000"/>
  </r>
  <r>
    <x v="705"/>
    <x v="1"/>
    <x v="11"/>
    <n v="50"/>
    <n v="12"/>
    <x v="18"/>
    <x v="15"/>
    <s v="cashloan"/>
    <n v="629520000"/>
  </r>
  <r>
    <x v="705"/>
    <x v="1"/>
    <x v="11"/>
    <n v="50"/>
    <n v="12"/>
    <x v="29"/>
    <x v="20"/>
    <s v="payday"/>
    <n v="279612000"/>
  </r>
  <r>
    <x v="705"/>
    <x v="1"/>
    <x v="11"/>
    <n v="50"/>
    <n v="12"/>
    <x v="19"/>
    <x v="12"/>
    <s v="paylater"/>
    <n v="379124560"/>
  </r>
  <r>
    <x v="705"/>
    <x v="1"/>
    <x v="11"/>
    <n v="50"/>
    <n v="12"/>
    <x v="24"/>
    <x v="18"/>
    <s v="cashloan"/>
    <n v="3374000000"/>
  </r>
  <r>
    <x v="705"/>
    <x v="1"/>
    <x v="11"/>
    <n v="50"/>
    <n v="12"/>
    <x v="30"/>
    <x v="21"/>
    <s v="payday"/>
    <n v="0"/>
  </r>
  <r>
    <x v="706"/>
    <x v="1"/>
    <x v="11"/>
    <n v="50"/>
    <n v="13"/>
    <x v="3"/>
    <x v="3"/>
    <s v="cashloan"/>
    <n v="236200000"/>
  </r>
  <r>
    <x v="706"/>
    <x v="1"/>
    <x v="11"/>
    <n v="50"/>
    <n v="13"/>
    <x v="11"/>
    <x v="10"/>
    <s v="paylater"/>
    <n v="406994723"/>
  </r>
  <r>
    <x v="706"/>
    <x v="1"/>
    <x v="11"/>
    <n v="50"/>
    <n v="13"/>
    <x v="12"/>
    <x v="11"/>
    <s v="cashloan"/>
    <n v="14148710000"/>
  </r>
  <r>
    <x v="706"/>
    <x v="1"/>
    <x v="11"/>
    <n v="50"/>
    <n v="13"/>
    <x v="5"/>
    <x v="5"/>
    <s v="overdraft"/>
    <n v="1680215045"/>
  </r>
  <r>
    <x v="706"/>
    <x v="1"/>
    <x v="11"/>
    <n v="50"/>
    <n v="13"/>
    <x v="27"/>
    <x v="19"/>
    <s v="payday"/>
    <n v="10704420000"/>
  </r>
  <r>
    <x v="706"/>
    <x v="1"/>
    <x v="11"/>
    <n v="50"/>
    <n v="13"/>
    <x v="15"/>
    <x v="14"/>
    <s v="paylater"/>
    <n v="10710184"/>
  </r>
  <r>
    <x v="706"/>
    <x v="1"/>
    <x v="11"/>
    <n v="50"/>
    <n v="13"/>
    <x v="14"/>
    <x v="13"/>
    <s v="cashloan"/>
    <n v="5237790000"/>
  </r>
  <r>
    <x v="706"/>
    <x v="1"/>
    <x v="11"/>
    <n v="50"/>
    <n v="13"/>
    <x v="23"/>
    <x v="17"/>
    <s v="paylater"/>
    <n v="11248153"/>
  </r>
  <r>
    <x v="706"/>
    <x v="1"/>
    <x v="11"/>
    <n v="50"/>
    <n v="13"/>
    <x v="28"/>
    <x v="17"/>
    <s v="paylater"/>
    <n v="1336192353"/>
  </r>
  <r>
    <x v="706"/>
    <x v="1"/>
    <x v="11"/>
    <n v="50"/>
    <n v="13"/>
    <x v="8"/>
    <x v="8"/>
    <s v="cashloan"/>
    <n v="0"/>
  </r>
  <r>
    <x v="706"/>
    <x v="1"/>
    <x v="11"/>
    <n v="50"/>
    <n v="13"/>
    <x v="26"/>
    <x v="16"/>
    <s v="cashloan"/>
    <n v="701300000"/>
  </r>
  <r>
    <x v="706"/>
    <x v="1"/>
    <x v="11"/>
    <n v="50"/>
    <n v="13"/>
    <x v="2"/>
    <x v="2"/>
    <s v="cashloan"/>
    <n v="14682880000"/>
  </r>
  <r>
    <x v="706"/>
    <x v="1"/>
    <x v="11"/>
    <n v="50"/>
    <n v="13"/>
    <x v="17"/>
    <x v="9"/>
    <s v="cashloan"/>
    <n v="0"/>
  </r>
  <r>
    <x v="706"/>
    <x v="1"/>
    <x v="11"/>
    <n v="50"/>
    <n v="13"/>
    <x v="20"/>
    <x v="9"/>
    <s v="cashloan"/>
    <n v="0"/>
  </r>
  <r>
    <x v="706"/>
    <x v="1"/>
    <x v="11"/>
    <n v="50"/>
    <n v="13"/>
    <x v="21"/>
    <x v="9"/>
    <s v="cashloan"/>
    <n v="0"/>
  </r>
  <r>
    <x v="706"/>
    <x v="1"/>
    <x v="11"/>
    <n v="50"/>
    <n v="13"/>
    <x v="25"/>
    <x v="2"/>
    <s v="cashloan"/>
    <n v="0"/>
  </r>
  <r>
    <x v="706"/>
    <x v="1"/>
    <x v="11"/>
    <n v="50"/>
    <n v="13"/>
    <x v="0"/>
    <x v="0"/>
    <s v="payday"/>
    <n v="9786420000"/>
  </r>
  <r>
    <x v="706"/>
    <x v="1"/>
    <x v="11"/>
    <n v="50"/>
    <n v="13"/>
    <x v="7"/>
    <x v="7"/>
    <s v="paylater"/>
    <n v="207424392"/>
  </r>
  <r>
    <x v="706"/>
    <x v="1"/>
    <x v="11"/>
    <n v="50"/>
    <n v="13"/>
    <x v="1"/>
    <x v="1"/>
    <s v="cashloan"/>
    <n v="0"/>
  </r>
  <r>
    <x v="706"/>
    <x v="1"/>
    <x v="11"/>
    <n v="50"/>
    <n v="13"/>
    <x v="6"/>
    <x v="6"/>
    <s v="payday"/>
    <n v="33000000"/>
  </r>
  <r>
    <x v="706"/>
    <x v="1"/>
    <x v="11"/>
    <n v="50"/>
    <n v="13"/>
    <x v="18"/>
    <x v="15"/>
    <s v="cashloan"/>
    <n v="687270000"/>
  </r>
  <r>
    <x v="706"/>
    <x v="1"/>
    <x v="11"/>
    <n v="50"/>
    <n v="13"/>
    <x v="29"/>
    <x v="20"/>
    <s v="payday"/>
    <n v="236520000"/>
  </r>
  <r>
    <x v="706"/>
    <x v="1"/>
    <x v="11"/>
    <n v="50"/>
    <n v="13"/>
    <x v="19"/>
    <x v="12"/>
    <s v="paylater"/>
    <n v="289114759"/>
  </r>
  <r>
    <x v="706"/>
    <x v="1"/>
    <x v="11"/>
    <n v="50"/>
    <n v="13"/>
    <x v="24"/>
    <x v="18"/>
    <s v="cashloan"/>
    <n v="2571910000"/>
  </r>
  <r>
    <x v="706"/>
    <x v="1"/>
    <x v="11"/>
    <n v="50"/>
    <n v="13"/>
    <x v="30"/>
    <x v="21"/>
    <s v="payday"/>
    <n v="0"/>
  </r>
  <r>
    <x v="707"/>
    <x v="1"/>
    <x v="11"/>
    <n v="50"/>
    <n v="14"/>
    <x v="3"/>
    <x v="3"/>
    <s v="cashloan"/>
    <n v="170750000"/>
  </r>
  <r>
    <x v="707"/>
    <x v="1"/>
    <x v="11"/>
    <n v="50"/>
    <n v="14"/>
    <x v="11"/>
    <x v="10"/>
    <s v="paylater"/>
    <n v="319235207"/>
  </r>
  <r>
    <x v="707"/>
    <x v="1"/>
    <x v="11"/>
    <n v="50"/>
    <n v="14"/>
    <x v="12"/>
    <x v="11"/>
    <s v="cashloan"/>
    <n v="12966470000"/>
  </r>
  <r>
    <x v="707"/>
    <x v="1"/>
    <x v="11"/>
    <n v="50"/>
    <n v="14"/>
    <x v="5"/>
    <x v="5"/>
    <s v="overdraft"/>
    <n v="1686921483"/>
  </r>
  <r>
    <x v="707"/>
    <x v="1"/>
    <x v="11"/>
    <n v="50"/>
    <n v="14"/>
    <x v="27"/>
    <x v="19"/>
    <s v="payday"/>
    <n v="10856160000"/>
  </r>
  <r>
    <x v="707"/>
    <x v="1"/>
    <x v="11"/>
    <n v="50"/>
    <n v="14"/>
    <x v="15"/>
    <x v="14"/>
    <s v="paylater"/>
    <n v="24150949"/>
  </r>
  <r>
    <x v="707"/>
    <x v="1"/>
    <x v="11"/>
    <n v="50"/>
    <n v="14"/>
    <x v="14"/>
    <x v="13"/>
    <s v="cashloan"/>
    <n v="5494500000"/>
  </r>
  <r>
    <x v="707"/>
    <x v="1"/>
    <x v="11"/>
    <n v="50"/>
    <n v="14"/>
    <x v="23"/>
    <x v="17"/>
    <s v="paylater"/>
    <n v="8194437"/>
  </r>
  <r>
    <x v="707"/>
    <x v="1"/>
    <x v="11"/>
    <n v="50"/>
    <n v="14"/>
    <x v="28"/>
    <x v="17"/>
    <s v="paylater"/>
    <n v="807559271"/>
  </r>
  <r>
    <x v="707"/>
    <x v="1"/>
    <x v="11"/>
    <n v="50"/>
    <n v="14"/>
    <x v="8"/>
    <x v="8"/>
    <s v="cashloan"/>
    <n v="0"/>
  </r>
  <r>
    <x v="707"/>
    <x v="1"/>
    <x v="11"/>
    <n v="50"/>
    <n v="14"/>
    <x v="26"/>
    <x v="16"/>
    <s v="cashloan"/>
    <n v="337700000"/>
  </r>
  <r>
    <x v="707"/>
    <x v="1"/>
    <x v="11"/>
    <n v="50"/>
    <n v="14"/>
    <x v="2"/>
    <x v="2"/>
    <s v="cashloan"/>
    <n v="15019520000"/>
  </r>
  <r>
    <x v="707"/>
    <x v="1"/>
    <x v="11"/>
    <n v="50"/>
    <n v="14"/>
    <x v="17"/>
    <x v="9"/>
    <s v="cashloan"/>
    <n v="0"/>
  </r>
  <r>
    <x v="707"/>
    <x v="1"/>
    <x v="11"/>
    <n v="50"/>
    <n v="14"/>
    <x v="20"/>
    <x v="9"/>
    <s v="cashloan"/>
    <n v="0"/>
  </r>
  <r>
    <x v="707"/>
    <x v="1"/>
    <x v="11"/>
    <n v="50"/>
    <n v="14"/>
    <x v="21"/>
    <x v="9"/>
    <s v="cashloan"/>
    <n v="0"/>
  </r>
  <r>
    <x v="707"/>
    <x v="1"/>
    <x v="11"/>
    <n v="50"/>
    <n v="14"/>
    <x v="25"/>
    <x v="2"/>
    <s v="cashloan"/>
    <n v="0"/>
  </r>
  <r>
    <x v="707"/>
    <x v="1"/>
    <x v="11"/>
    <n v="50"/>
    <n v="14"/>
    <x v="0"/>
    <x v="0"/>
    <s v="payday"/>
    <n v="9550656000"/>
  </r>
  <r>
    <x v="707"/>
    <x v="1"/>
    <x v="11"/>
    <n v="50"/>
    <n v="14"/>
    <x v="7"/>
    <x v="7"/>
    <s v="paylater"/>
    <n v="183948261"/>
  </r>
  <r>
    <x v="707"/>
    <x v="1"/>
    <x v="11"/>
    <n v="50"/>
    <n v="14"/>
    <x v="1"/>
    <x v="1"/>
    <s v="cashloan"/>
    <n v="20000000"/>
  </r>
  <r>
    <x v="707"/>
    <x v="1"/>
    <x v="11"/>
    <n v="50"/>
    <n v="14"/>
    <x v="6"/>
    <x v="6"/>
    <s v="payday"/>
    <n v="52000000"/>
  </r>
  <r>
    <x v="707"/>
    <x v="1"/>
    <x v="11"/>
    <n v="50"/>
    <n v="14"/>
    <x v="18"/>
    <x v="15"/>
    <s v="cashloan"/>
    <n v="594150000"/>
  </r>
  <r>
    <x v="707"/>
    <x v="1"/>
    <x v="11"/>
    <n v="50"/>
    <n v="14"/>
    <x v="29"/>
    <x v="20"/>
    <s v="payday"/>
    <n v="201312000"/>
  </r>
  <r>
    <x v="707"/>
    <x v="1"/>
    <x v="11"/>
    <n v="50"/>
    <n v="14"/>
    <x v="19"/>
    <x v="12"/>
    <s v="paylater"/>
    <n v="256464468"/>
  </r>
  <r>
    <x v="707"/>
    <x v="1"/>
    <x v="11"/>
    <n v="50"/>
    <n v="14"/>
    <x v="24"/>
    <x v="18"/>
    <s v="cashloan"/>
    <n v="2589060000"/>
  </r>
  <r>
    <x v="707"/>
    <x v="1"/>
    <x v="11"/>
    <n v="50"/>
    <n v="14"/>
    <x v="30"/>
    <x v="21"/>
    <s v="payday"/>
    <n v="0"/>
  </r>
  <r>
    <x v="708"/>
    <x v="1"/>
    <x v="11"/>
    <n v="51"/>
    <n v="15"/>
    <x v="3"/>
    <x v="3"/>
    <s v="cashloan"/>
    <n v="327150000"/>
  </r>
  <r>
    <x v="708"/>
    <x v="1"/>
    <x v="11"/>
    <n v="51"/>
    <n v="15"/>
    <x v="11"/>
    <x v="10"/>
    <s v="paylater"/>
    <n v="293854888"/>
  </r>
  <r>
    <x v="708"/>
    <x v="1"/>
    <x v="11"/>
    <n v="51"/>
    <n v="15"/>
    <x v="12"/>
    <x v="11"/>
    <s v="cashloan"/>
    <n v="16188930000"/>
  </r>
  <r>
    <x v="708"/>
    <x v="1"/>
    <x v="11"/>
    <n v="51"/>
    <n v="15"/>
    <x v="5"/>
    <x v="5"/>
    <s v="overdraft"/>
    <n v="2655873951"/>
  </r>
  <r>
    <x v="708"/>
    <x v="1"/>
    <x v="11"/>
    <n v="51"/>
    <n v="15"/>
    <x v="27"/>
    <x v="19"/>
    <s v="payday"/>
    <n v="13522356000"/>
  </r>
  <r>
    <x v="708"/>
    <x v="1"/>
    <x v="11"/>
    <n v="51"/>
    <n v="15"/>
    <x v="15"/>
    <x v="14"/>
    <s v="paylater"/>
    <n v="18340201"/>
  </r>
  <r>
    <x v="708"/>
    <x v="1"/>
    <x v="11"/>
    <n v="51"/>
    <n v="15"/>
    <x v="14"/>
    <x v="13"/>
    <s v="cashloan"/>
    <n v="4934880000"/>
  </r>
  <r>
    <x v="708"/>
    <x v="1"/>
    <x v="11"/>
    <n v="51"/>
    <n v="15"/>
    <x v="23"/>
    <x v="17"/>
    <s v="paylater"/>
    <n v="21745618"/>
  </r>
  <r>
    <x v="708"/>
    <x v="1"/>
    <x v="11"/>
    <n v="51"/>
    <n v="15"/>
    <x v="28"/>
    <x v="17"/>
    <s v="paylater"/>
    <n v="960027021"/>
  </r>
  <r>
    <x v="708"/>
    <x v="1"/>
    <x v="11"/>
    <n v="51"/>
    <n v="15"/>
    <x v="8"/>
    <x v="8"/>
    <s v="cashloan"/>
    <n v="0"/>
  </r>
  <r>
    <x v="708"/>
    <x v="1"/>
    <x v="11"/>
    <n v="51"/>
    <n v="15"/>
    <x v="26"/>
    <x v="16"/>
    <s v="cashloan"/>
    <n v="738000000"/>
  </r>
  <r>
    <x v="708"/>
    <x v="1"/>
    <x v="11"/>
    <n v="51"/>
    <n v="15"/>
    <x v="2"/>
    <x v="2"/>
    <s v="cashloan"/>
    <n v="19549130000"/>
  </r>
  <r>
    <x v="708"/>
    <x v="1"/>
    <x v="11"/>
    <n v="51"/>
    <n v="15"/>
    <x v="17"/>
    <x v="9"/>
    <s v="cashloan"/>
    <n v="0"/>
  </r>
  <r>
    <x v="708"/>
    <x v="1"/>
    <x v="11"/>
    <n v="51"/>
    <n v="15"/>
    <x v="20"/>
    <x v="9"/>
    <s v="cashloan"/>
    <n v="0"/>
  </r>
  <r>
    <x v="708"/>
    <x v="1"/>
    <x v="11"/>
    <n v="51"/>
    <n v="15"/>
    <x v="21"/>
    <x v="9"/>
    <s v="cashloan"/>
    <n v="0"/>
  </r>
  <r>
    <x v="708"/>
    <x v="1"/>
    <x v="11"/>
    <n v="51"/>
    <n v="15"/>
    <x v="25"/>
    <x v="2"/>
    <s v="cashloan"/>
    <n v="0"/>
  </r>
  <r>
    <x v="708"/>
    <x v="1"/>
    <x v="11"/>
    <n v="51"/>
    <n v="15"/>
    <x v="0"/>
    <x v="0"/>
    <s v="payday"/>
    <n v="12444408000"/>
  </r>
  <r>
    <x v="708"/>
    <x v="1"/>
    <x v="11"/>
    <n v="51"/>
    <n v="15"/>
    <x v="7"/>
    <x v="7"/>
    <s v="paylater"/>
    <n v="204913785"/>
  </r>
  <r>
    <x v="708"/>
    <x v="1"/>
    <x v="11"/>
    <n v="51"/>
    <n v="15"/>
    <x v="1"/>
    <x v="1"/>
    <s v="cashloan"/>
    <n v="21000000"/>
  </r>
  <r>
    <x v="708"/>
    <x v="1"/>
    <x v="11"/>
    <n v="51"/>
    <n v="15"/>
    <x v="6"/>
    <x v="6"/>
    <s v="payday"/>
    <n v="47000000"/>
  </r>
  <r>
    <x v="708"/>
    <x v="1"/>
    <x v="11"/>
    <n v="51"/>
    <n v="15"/>
    <x v="18"/>
    <x v="15"/>
    <s v="cashloan"/>
    <n v="698470000"/>
  </r>
  <r>
    <x v="708"/>
    <x v="1"/>
    <x v="11"/>
    <n v="51"/>
    <n v="15"/>
    <x v="29"/>
    <x v="20"/>
    <s v="payday"/>
    <n v="268164000"/>
  </r>
  <r>
    <x v="708"/>
    <x v="1"/>
    <x v="11"/>
    <n v="51"/>
    <n v="15"/>
    <x v="19"/>
    <x v="12"/>
    <s v="paylater"/>
    <n v="296761976"/>
  </r>
  <r>
    <x v="708"/>
    <x v="1"/>
    <x v="11"/>
    <n v="51"/>
    <n v="15"/>
    <x v="24"/>
    <x v="18"/>
    <s v="cashloan"/>
    <n v="3743710000"/>
  </r>
  <r>
    <x v="708"/>
    <x v="1"/>
    <x v="11"/>
    <n v="51"/>
    <n v="15"/>
    <x v="30"/>
    <x v="21"/>
    <s v="payday"/>
    <n v="0"/>
  </r>
  <r>
    <x v="709"/>
    <x v="1"/>
    <x v="11"/>
    <n v="51"/>
    <n v="16"/>
    <x v="3"/>
    <x v="3"/>
    <s v="cashloan"/>
    <n v="196900000"/>
  </r>
  <r>
    <x v="709"/>
    <x v="1"/>
    <x v="11"/>
    <n v="51"/>
    <n v="16"/>
    <x v="11"/>
    <x v="10"/>
    <s v="paylater"/>
    <n v="302096335"/>
  </r>
  <r>
    <x v="709"/>
    <x v="1"/>
    <x v="11"/>
    <n v="51"/>
    <n v="16"/>
    <x v="12"/>
    <x v="11"/>
    <s v="cashloan"/>
    <n v="16159400000"/>
  </r>
  <r>
    <x v="709"/>
    <x v="1"/>
    <x v="11"/>
    <n v="51"/>
    <n v="16"/>
    <x v="5"/>
    <x v="5"/>
    <s v="overdraft"/>
    <n v="2246477388"/>
  </r>
  <r>
    <x v="709"/>
    <x v="1"/>
    <x v="11"/>
    <n v="51"/>
    <n v="16"/>
    <x v="27"/>
    <x v="19"/>
    <s v="payday"/>
    <n v="12256056000"/>
  </r>
  <r>
    <x v="709"/>
    <x v="1"/>
    <x v="11"/>
    <n v="51"/>
    <n v="16"/>
    <x v="15"/>
    <x v="14"/>
    <s v="paylater"/>
    <n v="3196006"/>
  </r>
  <r>
    <x v="709"/>
    <x v="1"/>
    <x v="11"/>
    <n v="51"/>
    <n v="16"/>
    <x v="14"/>
    <x v="13"/>
    <s v="cashloan"/>
    <n v="4388790000"/>
  </r>
  <r>
    <x v="709"/>
    <x v="1"/>
    <x v="11"/>
    <n v="51"/>
    <n v="16"/>
    <x v="23"/>
    <x v="17"/>
    <s v="paylater"/>
    <n v="7395561"/>
  </r>
  <r>
    <x v="709"/>
    <x v="1"/>
    <x v="11"/>
    <n v="51"/>
    <n v="16"/>
    <x v="28"/>
    <x v="17"/>
    <s v="paylater"/>
    <n v="800100852"/>
  </r>
  <r>
    <x v="709"/>
    <x v="1"/>
    <x v="11"/>
    <n v="51"/>
    <n v="16"/>
    <x v="8"/>
    <x v="8"/>
    <s v="cashloan"/>
    <n v="0"/>
  </r>
  <r>
    <x v="709"/>
    <x v="1"/>
    <x v="11"/>
    <n v="51"/>
    <n v="16"/>
    <x v="26"/>
    <x v="16"/>
    <s v="cashloan"/>
    <n v="715250000"/>
  </r>
  <r>
    <x v="709"/>
    <x v="1"/>
    <x v="11"/>
    <n v="51"/>
    <n v="16"/>
    <x v="2"/>
    <x v="2"/>
    <s v="cashloan"/>
    <n v="18976500000"/>
  </r>
  <r>
    <x v="709"/>
    <x v="1"/>
    <x v="11"/>
    <n v="51"/>
    <n v="16"/>
    <x v="17"/>
    <x v="9"/>
    <s v="cashloan"/>
    <n v="0"/>
  </r>
  <r>
    <x v="709"/>
    <x v="1"/>
    <x v="11"/>
    <n v="51"/>
    <n v="16"/>
    <x v="20"/>
    <x v="9"/>
    <s v="cashloan"/>
    <n v="0"/>
  </r>
  <r>
    <x v="709"/>
    <x v="1"/>
    <x v="11"/>
    <n v="51"/>
    <n v="16"/>
    <x v="21"/>
    <x v="9"/>
    <s v="cashloan"/>
    <n v="0"/>
  </r>
  <r>
    <x v="709"/>
    <x v="1"/>
    <x v="11"/>
    <n v="51"/>
    <n v="16"/>
    <x v="25"/>
    <x v="2"/>
    <s v="cashloan"/>
    <n v="30000000"/>
  </r>
  <r>
    <x v="709"/>
    <x v="1"/>
    <x v="11"/>
    <n v="51"/>
    <n v="16"/>
    <x v="0"/>
    <x v="0"/>
    <s v="payday"/>
    <n v="10527516000"/>
  </r>
  <r>
    <x v="709"/>
    <x v="1"/>
    <x v="11"/>
    <n v="51"/>
    <n v="16"/>
    <x v="7"/>
    <x v="7"/>
    <s v="paylater"/>
    <n v="197024453"/>
  </r>
  <r>
    <x v="709"/>
    <x v="1"/>
    <x v="11"/>
    <n v="51"/>
    <n v="16"/>
    <x v="1"/>
    <x v="1"/>
    <s v="cashloan"/>
    <n v="21000000"/>
  </r>
  <r>
    <x v="709"/>
    <x v="1"/>
    <x v="11"/>
    <n v="51"/>
    <n v="16"/>
    <x v="6"/>
    <x v="6"/>
    <s v="payday"/>
    <n v="41000000"/>
  </r>
  <r>
    <x v="709"/>
    <x v="1"/>
    <x v="11"/>
    <n v="51"/>
    <n v="16"/>
    <x v="18"/>
    <x v="15"/>
    <s v="cashloan"/>
    <n v="614540000"/>
  </r>
  <r>
    <x v="709"/>
    <x v="1"/>
    <x v="11"/>
    <n v="51"/>
    <n v="16"/>
    <x v="29"/>
    <x v="20"/>
    <s v="payday"/>
    <n v="279936000"/>
  </r>
  <r>
    <x v="709"/>
    <x v="1"/>
    <x v="11"/>
    <n v="51"/>
    <n v="16"/>
    <x v="19"/>
    <x v="12"/>
    <s v="paylater"/>
    <n v="324649279"/>
  </r>
  <r>
    <x v="709"/>
    <x v="1"/>
    <x v="11"/>
    <n v="51"/>
    <n v="16"/>
    <x v="24"/>
    <x v="18"/>
    <s v="cashloan"/>
    <n v="3912910000"/>
  </r>
  <r>
    <x v="709"/>
    <x v="1"/>
    <x v="11"/>
    <n v="51"/>
    <n v="16"/>
    <x v="30"/>
    <x v="21"/>
    <s v="payday"/>
    <n v="0"/>
  </r>
  <r>
    <x v="710"/>
    <x v="1"/>
    <x v="11"/>
    <n v="51"/>
    <n v="17"/>
    <x v="3"/>
    <x v="3"/>
    <s v="cashloan"/>
    <n v="239950000"/>
  </r>
  <r>
    <x v="710"/>
    <x v="1"/>
    <x v="11"/>
    <n v="51"/>
    <n v="17"/>
    <x v="11"/>
    <x v="10"/>
    <s v="paylater"/>
    <n v="327595800"/>
  </r>
  <r>
    <x v="710"/>
    <x v="1"/>
    <x v="11"/>
    <n v="51"/>
    <n v="17"/>
    <x v="12"/>
    <x v="11"/>
    <s v="cashloan"/>
    <n v="16532070000"/>
  </r>
  <r>
    <x v="710"/>
    <x v="1"/>
    <x v="11"/>
    <n v="51"/>
    <n v="17"/>
    <x v="5"/>
    <x v="5"/>
    <s v="overdraft"/>
    <n v="1754969127"/>
  </r>
  <r>
    <x v="710"/>
    <x v="1"/>
    <x v="11"/>
    <n v="51"/>
    <n v="17"/>
    <x v="27"/>
    <x v="19"/>
    <s v="payday"/>
    <n v="11943612000"/>
  </r>
  <r>
    <x v="710"/>
    <x v="1"/>
    <x v="11"/>
    <n v="51"/>
    <n v="17"/>
    <x v="15"/>
    <x v="14"/>
    <s v="paylater"/>
    <n v="8595888"/>
  </r>
  <r>
    <x v="710"/>
    <x v="1"/>
    <x v="11"/>
    <n v="51"/>
    <n v="17"/>
    <x v="14"/>
    <x v="13"/>
    <s v="cashloan"/>
    <n v="3399220000"/>
  </r>
  <r>
    <x v="710"/>
    <x v="1"/>
    <x v="11"/>
    <n v="51"/>
    <n v="17"/>
    <x v="23"/>
    <x v="17"/>
    <s v="paylater"/>
    <n v="8747927"/>
  </r>
  <r>
    <x v="710"/>
    <x v="1"/>
    <x v="11"/>
    <n v="51"/>
    <n v="17"/>
    <x v="28"/>
    <x v="17"/>
    <s v="paylater"/>
    <n v="651321015"/>
  </r>
  <r>
    <x v="710"/>
    <x v="1"/>
    <x v="11"/>
    <n v="51"/>
    <n v="17"/>
    <x v="8"/>
    <x v="8"/>
    <s v="cashloan"/>
    <n v="0"/>
  </r>
  <r>
    <x v="710"/>
    <x v="1"/>
    <x v="11"/>
    <n v="51"/>
    <n v="17"/>
    <x v="26"/>
    <x v="16"/>
    <s v="cashloan"/>
    <n v="783900000"/>
  </r>
  <r>
    <x v="710"/>
    <x v="1"/>
    <x v="11"/>
    <n v="51"/>
    <n v="17"/>
    <x v="2"/>
    <x v="2"/>
    <s v="cashloan"/>
    <n v="17941910000"/>
  </r>
  <r>
    <x v="710"/>
    <x v="1"/>
    <x v="11"/>
    <n v="51"/>
    <n v="17"/>
    <x v="17"/>
    <x v="9"/>
    <s v="cashloan"/>
    <n v="0"/>
  </r>
  <r>
    <x v="710"/>
    <x v="1"/>
    <x v="11"/>
    <n v="51"/>
    <n v="17"/>
    <x v="20"/>
    <x v="9"/>
    <s v="cashloan"/>
    <n v="0"/>
  </r>
  <r>
    <x v="710"/>
    <x v="1"/>
    <x v="11"/>
    <n v="51"/>
    <n v="17"/>
    <x v="21"/>
    <x v="9"/>
    <s v="cashloan"/>
    <n v="0"/>
  </r>
  <r>
    <x v="710"/>
    <x v="1"/>
    <x v="11"/>
    <n v="51"/>
    <n v="17"/>
    <x v="25"/>
    <x v="2"/>
    <s v="cashloan"/>
    <n v="0"/>
  </r>
  <r>
    <x v="710"/>
    <x v="1"/>
    <x v="11"/>
    <n v="51"/>
    <n v="17"/>
    <x v="0"/>
    <x v="0"/>
    <s v="payday"/>
    <n v="9917856000"/>
  </r>
  <r>
    <x v="710"/>
    <x v="1"/>
    <x v="11"/>
    <n v="51"/>
    <n v="17"/>
    <x v="7"/>
    <x v="7"/>
    <s v="paylater"/>
    <n v="159315563"/>
  </r>
  <r>
    <x v="710"/>
    <x v="1"/>
    <x v="11"/>
    <n v="51"/>
    <n v="17"/>
    <x v="1"/>
    <x v="1"/>
    <s v="cashloan"/>
    <n v="0"/>
  </r>
  <r>
    <x v="710"/>
    <x v="1"/>
    <x v="11"/>
    <n v="51"/>
    <n v="17"/>
    <x v="6"/>
    <x v="6"/>
    <s v="payday"/>
    <n v="44000000"/>
  </r>
  <r>
    <x v="710"/>
    <x v="1"/>
    <x v="11"/>
    <n v="51"/>
    <n v="17"/>
    <x v="18"/>
    <x v="15"/>
    <s v="cashloan"/>
    <n v="404350000"/>
  </r>
  <r>
    <x v="710"/>
    <x v="1"/>
    <x v="11"/>
    <n v="51"/>
    <n v="17"/>
    <x v="29"/>
    <x v="20"/>
    <s v="payday"/>
    <n v="322488000"/>
  </r>
  <r>
    <x v="710"/>
    <x v="1"/>
    <x v="11"/>
    <n v="51"/>
    <n v="17"/>
    <x v="19"/>
    <x v="12"/>
    <s v="paylater"/>
    <n v="307138085"/>
  </r>
  <r>
    <x v="710"/>
    <x v="1"/>
    <x v="11"/>
    <n v="51"/>
    <n v="17"/>
    <x v="24"/>
    <x v="18"/>
    <s v="cashloan"/>
    <n v="3763130000"/>
  </r>
  <r>
    <x v="710"/>
    <x v="1"/>
    <x v="11"/>
    <n v="51"/>
    <n v="17"/>
    <x v="30"/>
    <x v="21"/>
    <s v="payday"/>
    <n v="0"/>
  </r>
  <r>
    <x v="711"/>
    <x v="1"/>
    <x v="11"/>
    <n v="51"/>
    <n v="18"/>
    <x v="3"/>
    <x v="3"/>
    <s v="cashloan"/>
    <n v="207950000"/>
  </r>
  <r>
    <x v="711"/>
    <x v="1"/>
    <x v="11"/>
    <n v="51"/>
    <n v="18"/>
    <x v="11"/>
    <x v="10"/>
    <s v="paylater"/>
    <n v="331133841"/>
  </r>
  <r>
    <x v="711"/>
    <x v="1"/>
    <x v="11"/>
    <n v="51"/>
    <n v="18"/>
    <x v="12"/>
    <x v="11"/>
    <s v="cashloan"/>
    <n v="17149870000"/>
  </r>
  <r>
    <x v="711"/>
    <x v="1"/>
    <x v="11"/>
    <n v="51"/>
    <n v="18"/>
    <x v="5"/>
    <x v="5"/>
    <s v="overdraft"/>
    <n v="1913837763"/>
  </r>
  <r>
    <x v="711"/>
    <x v="1"/>
    <x v="11"/>
    <n v="51"/>
    <n v="18"/>
    <x v="27"/>
    <x v="19"/>
    <s v="payday"/>
    <n v="11934000000"/>
  </r>
  <r>
    <x v="711"/>
    <x v="1"/>
    <x v="11"/>
    <n v="51"/>
    <n v="18"/>
    <x v="15"/>
    <x v="14"/>
    <s v="paylater"/>
    <n v="5987341"/>
  </r>
  <r>
    <x v="711"/>
    <x v="1"/>
    <x v="11"/>
    <n v="51"/>
    <n v="18"/>
    <x v="31"/>
    <x v="22"/>
    <s v="cashloan"/>
    <n v="100000000"/>
  </r>
  <r>
    <x v="711"/>
    <x v="1"/>
    <x v="11"/>
    <n v="51"/>
    <n v="18"/>
    <x v="14"/>
    <x v="13"/>
    <s v="cashloan"/>
    <n v="3978750000"/>
  </r>
  <r>
    <x v="711"/>
    <x v="1"/>
    <x v="11"/>
    <n v="51"/>
    <n v="18"/>
    <x v="23"/>
    <x v="17"/>
    <s v="paylater"/>
    <n v="14646069"/>
  </r>
  <r>
    <x v="711"/>
    <x v="1"/>
    <x v="11"/>
    <n v="51"/>
    <n v="18"/>
    <x v="28"/>
    <x v="17"/>
    <s v="paylater"/>
    <n v="814902855"/>
  </r>
  <r>
    <x v="711"/>
    <x v="1"/>
    <x v="11"/>
    <n v="51"/>
    <n v="18"/>
    <x v="8"/>
    <x v="8"/>
    <s v="cashloan"/>
    <n v="0"/>
  </r>
  <r>
    <x v="711"/>
    <x v="1"/>
    <x v="11"/>
    <n v="51"/>
    <n v="18"/>
    <x v="26"/>
    <x v="16"/>
    <s v="cashloan"/>
    <n v="1226050000"/>
  </r>
  <r>
    <x v="711"/>
    <x v="1"/>
    <x v="11"/>
    <n v="51"/>
    <n v="18"/>
    <x v="2"/>
    <x v="2"/>
    <s v="cashloan"/>
    <n v="19521960000"/>
  </r>
  <r>
    <x v="711"/>
    <x v="1"/>
    <x v="11"/>
    <n v="51"/>
    <n v="18"/>
    <x v="17"/>
    <x v="9"/>
    <s v="cashloan"/>
    <n v="0"/>
  </r>
  <r>
    <x v="711"/>
    <x v="1"/>
    <x v="11"/>
    <n v="51"/>
    <n v="18"/>
    <x v="20"/>
    <x v="9"/>
    <s v="cashloan"/>
    <n v="0"/>
  </r>
  <r>
    <x v="711"/>
    <x v="1"/>
    <x v="11"/>
    <n v="51"/>
    <n v="18"/>
    <x v="21"/>
    <x v="9"/>
    <s v="cashloan"/>
    <n v="0"/>
  </r>
  <r>
    <x v="711"/>
    <x v="1"/>
    <x v="11"/>
    <n v="51"/>
    <n v="18"/>
    <x v="25"/>
    <x v="2"/>
    <s v="cashloan"/>
    <n v="0"/>
  </r>
  <r>
    <x v="711"/>
    <x v="1"/>
    <x v="11"/>
    <n v="51"/>
    <n v="18"/>
    <x v="0"/>
    <x v="0"/>
    <s v="payday"/>
    <n v="9723996000"/>
  </r>
  <r>
    <x v="711"/>
    <x v="1"/>
    <x v="11"/>
    <n v="51"/>
    <n v="18"/>
    <x v="7"/>
    <x v="7"/>
    <s v="paylater"/>
    <n v="180947368"/>
  </r>
  <r>
    <x v="711"/>
    <x v="1"/>
    <x v="11"/>
    <n v="51"/>
    <n v="18"/>
    <x v="1"/>
    <x v="1"/>
    <s v="cashloan"/>
    <n v="0"/>
  </r>
  <r>
    <x v="711"/>
    <x v="1"/>
    <x v="11"/>
    <n v="51"/>
    <n v="18"/>
    <x v="6"/>
    <x v="6"/>
    <s v="payday"/>
    <n v="36000000"/>
  </r>
  <r>
    <x v="711"/>
    <x v="1"/>
    <x v="11"/>
    <n v="51"/>
    <n v="18"/>
    <x v="18"/>
    <x v="15"/>
    <s v="cashloan"/>
    <n v="792060000"/>
  </r>
  <r>
    <x v="711"/>
    <x v="1"/>
    <x v="11"/>
    <n v="51"/>
    <n v="18"/>
    <x v="29"/>
    <x v="20"/>
    <s v="payday"/>
    <n v="308556000"/>
  </r>
  <r>
    <x v="711"/>
    <x v="1"/>
    <x v="11"/>
    <n v="51"/>
    <n v="18"/>
    <x v="19"/>
    <x v="12"/>
    <s v="paylater"/>
    <n v="291196709"/>
  </r>
  <r>
    <x v="711"/>
    <x v="1"/>
    <x v="11"/>
    <n v="51"/>
    <n v="18"/>
    <x v="24"/>
    <x v="18"/>
    <s v="cashloan"/>
    <n v="3581780000"/>
  </r>
  <r>
    <x v="711"/>
    <x v="1"/>
    <x v="11"/>
    <n v="51"/>
    <n v="18"/>
    <x v="30"/>
    <x v="21"/>
    <s v="payday"/>
    <n v="0"/>
  </r>
  <r>
    <x v="712"/>
    <x v="1"/>
    <x v="11"/>
    <n v="51"/>
    <n v="19"/>
    <x v="3"/>
    <x v="3"/>
    <s v="cashloan"/>
    <n v="189600000"/>
  </r>
  <r>
    <x v="712"/>
    <x v="1"/>
    <x v="11"/>
    <n v="51"/>
    <n v="19"/>
    <x v="11"/>
    <x v="10"/>
    <s v="paylater"/>
    <n v="347547390"/>
  </r>
  <r>
    <x v="712"/>
    <x v="1"/>
    <x v="11"/>
    <n v="51"/>
    <n v="19"/>
    <x v="12"/>
    <x v="11"/>
    <s v="cashloan"/>
    <n v="12642980000"/>
  </r>
  <r>
    <x v="712"/>
    <x v="1"/>
    <x v="11"/>
    <n v="51"/>
    <n v="19"/>
    <x v="5"/>
    <x v="5"/>
    <s v="overdraft"/>
    <n v="2187683311"/>
  </r>
  <r>
    <x v="712"/>
    <x v="1"/>
    <x v="11"/>
    <n v="51"/>
    <n v="19"/>
    <x v="27"/>
    <x v="19"/>
    <s v="payday"/>
    <n v="12382096000"/>
  </r>
  <r>
    <x v="712"/>
    <x v="1"/>
    <x v="11"/>
    <n v="51"/>
    <n v="19"/>
    <x v="15"/>
    <x v="14"/>
    <s v="paylater"/>
    <n v="707254"/>
  </r>
  <r>
    <x v="712"/>
    <x v="1"/>
    <x v="11"/>
    <n v="51"/>
    <n v="19"/>
    <x v="31"/>
    <x v="22"/>
    <s v="cashloan"/>
    <n v="50000000"/>
  </r>
  <r>
    <x v="712"/>
    <x v="1"/>
    <x v="11"/>
    <n v="51"/>
    <n v="19"/>
    <x v="14"/>
    <x v="13"/>
    <s v="cashloan"/>
    <n v="4275100000"/>
  </r>
  <r>
    <x v="712"/>
    <x v="1"/>
    <x v="11"/>
    <n v="51"/>
    <n v="19"/>
    <x v="23"/>
    <x v="17"/>
    <s v="paylater"/>
    <n v="0"/>
  </r>
  <r>
    <x v="712"/>
    <x v="1"/>
    <x v="11"/>
    <n v="51"/>
    <n v="19"/>
    <x v="28"/>
    <x v="17"/>
    <s v="paylater"/>
    <n v="719509858"/>
  </r>
  <r>
    <x v="712"/>
    <x v="1"/>
    <x v="11"/>
    <n v="51"/>
    <n v="19"/>
    <x v="8"/>
    <x v="8"/>
    <s v="cashloan"/>
    <n v="0"/>
  </r>
  <r>
    <x v="712"/>
    <x v="1"/>
    <x v="11"/>
    <n v="51"/>
    <n v="19"/>
    <x v="26"/>
    <x v="16"/>
    <s v="cashloan"/>
    <n v="528700000"/>
  </r>
  <r>
    <x v="712"/>
    <x v="1"/>
    <x v="11"/>
    <n v="51"/>
    <n v="19"/>
    <x v="2"/>
    <x v="2"/>
    <s v="cashloan"/>
    <n v="18357020000"/>
  </r>
  <r>
    <x v="712"/>
    <x v="1"/>
    <x v="11"/>
    <n v="51"/>
    <n v="19"/>
    <x v="17"/>
    <x v="9"/>
    <s v="cashloan"/>
    <n v="0"/>
  </r>
  <r>
    <x v="712"/>
    <x v="1"/>
    <x v="11"/>
    <n v="51"/>
    <n v="19"/>
    <x v="20"/>
    <x v="9"/>
    <s v="cashloan"/>
    <n v="0"/>
  </r>
  <r>
    <x v="712"/>
    <x v="1"/>
    <x v="11"/>
    <n v="51"/>
    <n v="19"/>
    <x v="21"/>
    <x v="9"/>
    <s v="cashloan"/>
    <n v="0"/>
  </r>
  <r>
    <x v="712"/>
    <x v="1"/>
    <x v="11"/>
    <n v="51"/>
    <n v="19"/>
    <x v="25"/>
    <x v="2"/>
    <s v="cashloan"/>
    <n v="6000000"/>
  </r>
  <r>
    <x v="712"/>
    <x v="1"/>
    <x v="11"/>
    <n v="51"/>
    <n v="19"/>
    <x v="0"/>
    <x v="0"/>
    <s v="payday"/>
    <n v="9999720000"/>
  </r>
  <r>
    <x v="712"/>
    <x v="1"/>
    <x v="11"/>
    <n v="51"/>
    <n v="19"/>
    <x v="7"/>
    <x v="7"/>
    <s v="paylater"/>
    <n v="162802294"/>
  </r>
  <r>
    <x v="712"/>
    <x v="1"/>
    <x v="11"/>
    <n v="51"/>
    <n v="19"/>
    <x v="1"/>
    <x v="1"/>
    <s v="cashloan"/>
    <n v="20500000"/>
  </r>
  <r>
    <x v="712"/>
    <x v="1"/>
    <x v="11"/>
    <n v="51"/>
    <n v="19"/>
    <x v="6"/>
    <x v="6"/>
    <s v="payday"/>
    <n v="43000000"/>
  </r>
  <r>
    <x v="712"/>
    <x v="1"/>
    <x v="11"/>
    <n v="51"/>
    <n v="19"/>
    <x v="18"/>
    <x v="15"/>
    <s v="cashloan"/>
    <n v="868390000"/>
  </r>
  <r>
    <x v="712"/>
    <x v="1"/>
    <x v="11"/>
    <n v="51"/>
    <n v="19"/>
    <x v="29"/>
    <x v="20"/>
    <s v="payday"/>
    <n v="331236000"/>
  </r>
  <r>
    <x v="712"/>
    <x v="1"/>
    <x v="11"/>
    <n v="51"/>
    <n v="19"/>
    <x v="19"/>
    <x v="12"/>
    <s v="paylater"/>
    <n v="294493693"/>
  </r>
  <r>
    <x v="712"/>
    <x v="1"/>
    <x v="11"/>
    <n v="51"/>
    <n v="19"/>
    <x v="24"/>
    <x v="18"/>
    <s v="cashloan"/>
    <n v="4158890000"/>
  </r>
  <r>
    <x v="712"/>
    <x v="1"/>
    <x v="11"/>
    <n v="51"/>
    <n v="19"/>
    <x v="30"/>
    <x v="21"/>
    <s v="payday"/>
    <n v="0"/>
  </r>
  <r>
    <x v="713"/>
    <x v="1"/>
    <x v="11"/>
    <n v="51"/>
    <n v="20"/>
    <x v="3"/>
    <x v="3"/>
    <s v="cashloan"/>
    <n v="190500000"/>
  </r>
  <r>
    <x v="713"/>
    <x v="1"/>
    <x v="11"/>
    <n v="51"/>
    <n v="20"/>
    <x v="11"/>
    <x v="10"/>
    <s v="paylater"/>
    <n v="356365754"/>
  </r>
  <r>
    <x v="713"/>
    <x v="1"/>
    <x v="11"/>
    <n v="51"/>
    <n v="20"/>
    <x v="12"/>
    <x v="11"/>
    <s v="cashloan"/>
    <n v="13224840000"/>
  </r>
  <r>
    <x v="713"/>
    <x v="1"/>
    <x v="11"/>
    <n v="51"/>
    <n v="20"/>
    <x v="5"/>
    <x v="5"/>
    <s v="overdraft"/>
    <n v="1961256622"/>
  </r>
  <r>
    <x v="713"/>
    <x v="1"/>
    <x v="11"/>
    <n v="51"/>
    <n v="20"/>
    <x v="27"/>
    <x v="19"/>
    <s v="payday"/>
    <n v="11793492000"/>
  </r>
  <r>
    <x v="713"/>
    <x v="1"/>
    <x v="11"/>
    <n v="51"/>
    <n v="20"/>
    <x v="15"/>
    <x v="14"/>
    <s v="paylater"/>
    <n v="13497874"/>
  </r>
  <r>
    <x v="713"/>
    <x v="1"/>
    <x v="11"/>
    <n v="51"/>
    <n v="20"/>
    <x v="31"/>
    <x v="22"/>
    <s v="cashloan"/>
    <n v="0"/>
  </r>
  <r>
    <x v="713"/>
    <x v="1"/>
    <x v="11"/>
    <n v="51"/>
    <n v="20"/>
    <x v="14"/>
    <x v="13"/>
    <s v="cashloan"/>
    <n v="4483650000"/>
  </r>
  <r>
    <x v="713"/>
    <x v="1"/>
    <x v="11"/>
    <n v="51"/>
    <n v="20"/>
    <x v="23"/>
    <x v="17"/>
    <s v="paylater"/>
    <n v="9771562"/>
  </r>
  <r>
    <x v="713"/>
    <x v="1"/>
    <x v="11"/>
    <n v="51"/>
    <n v="20"/>
    <x v="28"/>
    <x v="17"/>
    <s v="paylater"/>
    <n v="1091916962"/>
  </r>
  <r>
    <x v="713"/>
    <x v="1"/>
    <x v="11"/>
    <n v="51"/>
    <n v="20"/>
    <x v="8"/>
    <x v="8"/>
    <s v="cashloan"/>
    <n v="0"/>
  </r>
  <r>
    <x v="713"/>
    <x v="1"/>
    <x v="11"/>
    <n v="51"/>
    <n v="20"/>
    <x v="26"/>
    <x v="16"/>
    <s v="cashloan"/>
    <n v="776800000"/>
  </r>
  <r>
    <x v="713"/>
    <x v="1"/>
    <x v="11"/>
    <n v="51"/>
    <n v="20"/>
    <x v="2"/>
    <x v="2"/>
    <s v="cashloan"/>
    <n v="14486840000"/>
  </r>
  <r>
    <x v="713"/>
    <x v="1"/>
    <x v="11"/>
    <n v="51"/>
    <n v="20"/>
    <x v="17"/>
    <x v="9"/>
    <s v="cashloan"/>
    <n v="0"/>
  </r>
  <r>
    <x v="713"/>
    <x v="1"/>
    <x v="11"/>
    <n v="51"/>
    <n v="20"/>
    <x v="20"/>
    <x v="9"/>
    <s v="cashloan"/>
    <n v="0"/>
  </r>
  <r>
    <x v="713"/>
    <x v="1"/>
    <x v="11"/>
    <n v="51"/>
    <n v="20"/>
    <x v="21"/>
    <x v="9"/>
    <s v="cashloan"/>
    <n v="0"/>
  </r>
  <r>
    <x v="713"/>
    <x v="1"/>
    <x v="11"/>
    <n v="51"/>
    <n v="20"/>
    <x v="25"/>
    <x v="2"/>
    <s v="cashloan"/>
    <n v="0"/>
  </r>
  <r>
    <x v="713"/>
    <x v="1"/>
    <x v="11"/>
    <n v="51"/>
    <n v="20"/>
    <x v="0"/>
    <x v="0"/>
    <s v="payday"/>
    <n v="9275040000"/>
  </r>
  <r>
    <x v="713"/>
    <x v="1"/>
    <x v="11"/>
    <n v="51"/>
    <n v="20"/>
    <x v="7"/>
    <x v="7"/>
    <s v="paylater"/>
    <n v="148058993"/>
  </r>
  <r>
    <x v="713"/>
    <x v="1"/>
    <x v="11"/>
    <n v="51"/>
    <n v="20"/>
    <x v="1"/>
    <x v="1"/>
    <s v="cashloan"/>
    <n v="0"/>
  </r>
  <r>
    <x v="713"/>
    <x v="1"/>
    <x v="11"/>
    <n v="51"/>
    <n v="20"/>
    <x v="6"/>
    <x v="6"/>
    <s v="payday"/>
    <n v="37000000"/>
  </r>
  <r>
    <x v="713"/>
    <x v="1"/>
    <x v="11"/>
    <n v="51"/>
    <n v="20"/>
    <x v="18"/>
    <x v="15"/>
    <s v="cashloan"/>
    <n v="554960000"/>
  </r>
  <r>
    <x v="713"/>
    <x v="1"/>
    <x v="11"/>
    <n v="51"/>
    <n v="20"/>
    <x v="29"/>
    <x v="20"/>
    <s v="payday"/>
    <n v="395280000"/>
  </r>
  <r>
    <x v="713"/>
    <x v="1"/>
    <x v="11"/>
    <n v="51"/>
    <n v="20"/>
    <x v="19"/>
    <x v="12"/>
    <s v="paylater"/>
    <n v="248953198"/>
  </r>
  <r>
    <x v="713"/>
    <x v="1"/>
    <x v="11"/>
    <n v="51"/>
    <n v="20"/>
    <x v="24"/>
    <x v="18"/>
    <s v="cashloan"/>
    <n v="3564550000"/>
  </r>
  <r>
    <x v="713"/>
    <x v="1"/>
    <x v="11"/>
    <n v="51"/>
    <n v="20"/>
    <x v="30"/>
    <x v="21"/>
    <s v="payday"/>
    <n v="0"/>
  </r>
  <r>
    <x v="714"/>
    <x v="1"/>
    <x v="11"/>
    <n v="51"/>
    <n v="21"/>
    <x v="3"/>
    <x v="3"/>
    <s v="cashloan"/>
    <n v="230950000"/>
  </r>
  <r>
    <x v="714"/>
    <x v="1"/>
    <x v="11"/>
    <n v="51"/>
    <n v="21"/>
    <x v="11"/>
    <x v="10"/>
    <s v="paylater"/>
    <n v="366490479"/>
  </r>
  <r>
    <x v="714"/>
    <x v="1"/>
    <x v="11"/>
    <n v="51"/>
    <n v="21"/>
    <x v="12"/>
    <x v="11"/>
    <s v="cashloan"/>
    <n v="12821870000"/>
  </r>
  <r>
    <x v="714"/>
    <x v="1"/>
    <x v="11"/>
    <n v="51"/>
    <n v="21"/>
    <x v="5"/>
    <x v="5"/>
    <s v="overdraft"/>
    <n v="1882934263"/>
  </r>
  <r>
    <x v="714"/>
    <x v="1"/>
    <x v="11"/>
    <n v="51"/>
    <n v="21"/>
    <x v="27"/>
    <x v="19"/>
    <s v="payday"/>
    <n v="11693916000"/>
  </r>
  <r>
    <x v="714"/>
    <x v="1"/>
    <x v="11"/>
    <n v="51"/>
    <n v="21"/>
    <x v="15"/>
    <x v="14"/>
    <s v="paylater"/>
    <n v="17045713"/>
  </r>
  <r>
    <x v="714"/>
    <x v="1"/>
    <x v="11"/>
    <n v="51"/>
    <n v="21"/>
    <x v="31"/>
    <x v="22"/>
    <s v="cashloan"/>
    <n v="0"/>
  </r>
  <r>
    <x v="714"/>
    <x v="1"/>
    <x v="11"/>
    <n v="51"/>
    <n v="21"/>
    <x v="14"/>
    <x v="13"/>
    <s v="cashloan"/>
    <n v="4935300000"/>
  </r>
  <r>
    <x v="714"/>
    <x v="1"/>
    <x v="11"/>
    <n v="51"/>
    <n v="21"/>
    <x v="23"/>
    <x v="17"/>
    <s v="paylater"/>
    <n v="8110010"/>
  </r>
  <r>
    <x v="714"/>
    <x v="1"/>
    <x v="11"/>
    <n v="51"/>
    <n v="21"/>
    <x v="28"/>
    <x v="17"/>
    <s v="paylater"/>
    <n v="973988815"/>
  </r>
  <r>
    <x v="714"/>
    <x v="1"/>
    <x v="11"/>
    <n v="51"/>
    <n v="21"/>
    <x v="8"/>
    <x v="8"/>
    <s v="cashloan"/>
    <n v="0"/>
  </r>
  <r>
    <x v="714"/>
    <x v="1"/>
    <x v="11"/>
    <n v="51"/>
    <n v="21"/>
    <x v="26"/>
    <x v="16"/>
    <s v="cashloan"/>
    <n v="661850000"/>
  </r>
  <r>
    <x v="714"/>
    <x v="1"/>
    <x v="11"/>
    <n v="51"/>
    <n v="21"/>
    <x v="2"/>
    <x v="2"/>
    <s v="cashloan"/>
    <n v="16309300000"/>
  </r>
  <r>
    <x v="714"/>
    <x v="1"/>
    <x v="11"/>
    <n v="51"/>
    <n v="21"/>
    <x v="17"/>
    <x v="9"/>
    <s v="cashloan"/>
    <n v="0"/>
  </r>
  <r>
    <x v="714"/>
    <x v="1"/>
    <x v="11"/>
    <n v="51"/>
    <n v="21"/>
    <x v="20"/>
    <x v="9"/>
    <s v="cashloan"/>
    <n v="0"/>
  </r>
  <r>
    <x v="714"/>
    <x v="1"/>
    <x v="11"/>
    <n v="51"/>
    <n v="21"/>
    <x v="21"/>
    <x v="9"/>
    <s v="cashloan"/>
    <n v="0"/>
  </r>
  <r>
    <x v="714"/>
    <x v="1"/>
    <x v="11"/>
    <n v="51"/>
    <n v="21"/>
    <x v="25"/>
    <x v="2"/>
    <s v="cashloan"/>
    <n v="0"/>
  </r>
  <r>
    <x v="714"/>
    <x v="1"/>
    <x v="11"/>
    <n v="51"/>
    <n v="21"/>
    <x v="0"/>
    <x v="0"/>
    <s v="payday"/>
    <n v="9148896000"/>
  </r>
  <r>
    <x v="714"/>
    <x v="1"/>
    <x v="11"/>
    <n v="51"/>
    <n v="21"/>
    <x v="7"/>
    <x v="7"/>
    <s v="paylater"/>
    <n v="194710939"/>
  </r>
  <r>
    <x v="714"/>
    <x v="1"/>
    <x v="11"/>
    <n v="51"/>
    <n v="21"/>
    <x v="1"/>
    <x v="1"/>
    <s v="cashloan"/>
    <n v="21000000"/>
  </r>
  <r>
    <x v="714"/>
    <x v="1"/>
    <x v="11"/>
    <n v="51"/>
    <n v="21"/>
    <x v="6"/>
    <x v="6"/>
    <s v="payday"/>
    <n v="33000000"/>
  </r>
  <r>
    <x v="714"/>
    <x v="1"/>
    <x v="11"/>
    <n v="51"/>
    <n v="21"/>
    <x v="18"/>
    <x v="15"/>
    <s v="cashloan"/>
    <n v="661590000"/>
  </r>
  <r>
    <x v="714"/>
    <x v="1"/>
    <x v="11"/>
    <n v="51"/>
    <n v="21"/>
    <x v="29"/>
    <x v="20"/>
    <s v="payday"/>
    <n v="339984000"/>
  </r>
  <r>
    <x v="714"/>
    <x v="1"/>
    <x v="11"/>
    <n v="51"/>
    <n v="21"/>
    <x v="19"/>
    <x v="12"/>
    <s v="paylater"/>
    <n v="334742208"/>
  </r>
  <r>
    <x v="714"/>
    <x v="1"/>
    <x v="11"/>
    <n v="51"/>
    <n v="21"/>
    <x v="24"/>
    <x v="18"/>
    <s v="cashloan"/>
    <n v="3218160000"/>
  </r>
  <r>
    <x v="714"/>
    <x v="1"/>
    <x v="11"/>
    <n v="51"/>
    <n v="21"/>
    <x v="30"/>
    <x v="21"/>
    <s v="payday"/>
    <n v="0"/>
  </r>
  <r>
    <x v="715"/>
    <x v="1"/>
    <x v="11"/>
    <n v="52"/>
    <n v="22"/>
    <x v="3"/>
    <x v="3"/>
    <s v="cashloan"/>
    <n v="127100000"/>
  </r>
  <r>
    <x v="715"/>
    <x v="1"/>
    <x v="11"/>
    <n v="52"/>
    <n v="22"/>
    <x v="11"/>
    <x v="10"/>
    <s v="paylater"/>
    <n v="362846233"/>
  </r>
  <r>
    <x v="715"/>
    <x v="1"/>
    <x v="11"/>
    <n v="52"/>
    <n v="22"/>
    <x v="12"/>
    <x v="11"/>
    <s v="cashloan"/>
    <n v="15422180000"/>
  </r>
  <r>
    <x v="715"/>
    <x v="1"/>
    <x v="11"/>
    <n v="52"/>
    <n v="22"/>
    <x v="5"/>
    <x v="5"/>
    <s v="overdraft"/>
    <n v="2213515124"/>
  </r>
  <r>
    <x v="715"/>
    <x v="1"/>
    <x v="11"/>
    <n v="52"/>
    <n v="22"/>
    <x v="27"/>
    <x v="19"/>
    <s v="payday"/>
    <n v="13025016000"/>
  </r>
  <r>
    <x v="715"/>
    <x v="1"/>
    <x v="11"/>
    <n v="52"/>
    <n v="22"/>
    <x v="15"/>
    <x v="14"/>
    <s v="paylater"/>
    <n v="2505145"/>
  </r>
  <r>
    <x v="715"/>
    <x v="1"/>
    <x v="11"/>
    <n v="52"/>
    <n v="22"/>
    <x v="31"/>
    <x v="22"/>
    <s v="cashloan"/>
    <n v="50000000"/>
  </r>
  <r>
    <x v="715"/>
    <x v="1"/>
    <x v="11"/>
    <n v="52"/>
    <n v="22"/>
    <x v="14"/>
    <x v="13"/>
    <s v="cashloan"/>
    <n v="3674300000"/>
  </r>
  <r>
    <x v="715"/>
    <x v="1"/>
    <x v="11"/>
    <n v="52"/>
    <n v="22"/>
    <x v="23"/>
    <x v="17"/>
    <s v="paylater"/>
    <n v="8650905"/>
  </r>
  <r>
    <x v="715"/>
    <x v="1"/>
    <x v="11"/>
    <n v="52"/>
    <n v="22"/>
    <x v="28"/>
    <x v="17"/>
    <s v="paylater"/>
    <n v="978848848"/>
  </r>
  <r>
    <x v="715"/>
    <x v="1"/>
    <x v="11"/>
    <n v="52"/>
    <n v="22"/>
    <x v="8"/>
    <x v="8"/>
    <s v="cashloan"/>
    <n v="0"/>
  </r>
  <r>
    <x v="715"/>
    <x v="1"/>
    <x v="11"/>
    <n v="52"/>
    <n v="22"/>
    <x v="26"/>
    <x v="16"/>
    <s v="cashloan"/>
    <n v="586950000"/>
  </r>
  <r>
    <x v="715"/>
    <x v="1"/>
    <x v="11"/>
    <n v="52"/>
    <n v="22"/>
    <x v="2"/>
    <x v="2"/>
    <s v="cashloan"/>
    <n v="19449990000"/>
  </r>
  <r>
    <x v="715"/>
    <x v="1"/>
    <x v="11"/>
    <n v="52"/>
    <n v="22"/>
    <x v="17"/>
    <x v="9"/>
    <s v="cashloan"/>
    <n v="0"/>
  </r>
  <r>
    <x v="715"/>
    <x v="1"/>
    <x v="11"/>
    <n v="52"/>
    <n v="22"/>
    <x v="20"/>
    <x v="9"/>
    <s v="cashloan"/>
    <n v="0"/>
  </r>
  <r>
    <x v="715"/>
    <x v="1"/>
    <x v="11"/>
    <n v="52"/>
    <n v="22"/>
    <x v="21"/>
    <x v="9"/>
    <s v="cashloan"/>
    <n v="0"/>
  </r>
  <r>
    <x v="715"/>
    <x v="1"/>
    <x v="11"/>
    <n v="52"/>
    <n v="22"/>
    <x v="25"/>
    <x v="2"/>
    <s v="cashloan"/>
    <n v="30000000"/>
  </r>
  <r>
    <x v="715"/>
    <x v="1"/>
    <x v="11"/>
    <n v="52"/>
    <n v="22"/>
    <x v="0"/>
    <x v="0"/>
    <s v="payday"/>
    <n v="9268128000"/>
  </r>
  <r>
    <x v="715"/>
    <x v="1"/>
    <x v="11"/>
    <n v="52"/>
    <n v="22"/>
    <x v="7"/>
    <x v="7"/>
    <s v="paylater"/>
    <n v="175675611"/>
  </r>
  <r>
    <x v="715"/>
    <x v="1"/>
    <x v="11"/>
    <n v="52"/>
    <n v="22"/>
    <x v="1"/>
    <x v="1"/>
    <s v="cashloan"/>
    <n v="0"/>
  </r>
  <r>
    <x v="715"/>
    <x v="1"/>
    <x v="11"/>
    <n v="52"/>
    <n v="22"/>
    <x v="6"/>
    <x v="6"/>
    <s v="payday"/>
    <n v="26000000"/>
  </r>
  <r>
    <x v="715"/>
    <x v="1"/>
    <x v="11"/>
    <n v="52"/>
    <n v="22"/>
    <x v="18"/>
    <x v="15"/>
    <s v="cashloan"/>
    <n v="915570000"/>
  </r>
  <r>
    <x v="715"/>
    <x v="1"/>
    <x v="11"/>
    <n v="52"/>
    <n v="22"/>
    <x v="29"/>
    <x v="20"/>
    <s v="payday"/>
    <n v="378432000"/>
  </r>
  <r>
    <x v="715"/>
    <x v="1"/>
    <x v="11"/>
    <n v="52"/>
    <n v="22"/>
    <x v="19"/>
    <x v="12"/>
    <s v="paylater"/>
    <n v="406056537"/>
  </r>
  <r>
    <x v="715"/>
    <x v="1"/>
    <x v="11"/>
    <n v="52"/>
    <n v="22"/>
    <x v="24"/>
    <x v="18"/>
    <s v="cashloan"/>
    <n v="3711280000"/>
  </r>
  <r>
    <x v="715"/>
    <x v="1"/>
    <x v="11"/>
    <n v="52"/>
    <n v="22"/>
    <x v="30"/>
    <x v="21"/>
    <s v="payday"/>
    <n v="4320000"/>
  </r>
  <r>
    <x v="716"/>
    <x v="1"/>
    <x v="11"/>
    <n v="52"/>
    <n v="23"/>
    <x v="3"/>
    <x v="3"/>
    <s v="cashloan"/>
    <n v="175300000"/>
  </r>
  <r>
    <x v="716"/>
    <x v="1"/>
    <x v="11"/>
    <n v="52"/>
    <n v="23"/>
    <x v="11"/>
    <x v="10"/>
    <s v="paylater"/>
    <n v="366480434"/>
  </r>
  <r>
    <x v="716"/>
    <x v="1"/>
    <x v="11"/>
    <n v="52"/>
    <n v="23"/>
    <x v="12"/>
    <x v="11"/>
    <s v="cashloan"/>
    <n v="16064700000"/>
  </r>
  <r>
    <x v="716"/>
    <x v="1"/>
    <x v="11"/>
    <n v="52"/>
    <n v="23"/>
    <x v="5"/>
    <x v="5"/>
    <s v="overdraft"/>
    <n v="1965745576"/>
  </r>
  <r>
    <x v="716"/>
    <x v="1"/>
    <x v="11"/>
    <n v="52"/>
    <n v="23"/>
    <x v="27"/>
    <x v="19"/>
    <s v="payday"/>
    <n v="12635460000"/>
  </r>
  <r>
    <x v="716"/>
    <x v="1"/>
    <x v="11"/>
    <n v="52"/>
    <n v="23"/>
    <x v="15"/>
    <x v="14"/>
    <s v="paylater"/>
    <n v="14574360"/>
  </r>
  <r>
    <x v="716"/>
    <x v="1"/>
    <x v="11"/>
    <n v="52"/>
    <n v="23"/>
    <x v="31"/>
    <x v="22"/>
    <s v="cashloan"/>
    <n v="90000000"/>
  </r>
  <r>
    <x v="716"/>
    <x v="1"/>
    <x v="11"/>
    <n v="52"/>
    <n v="23"/>
    <x v="14"/>
    <x v="13"/>
    <s v="cashloan"/>
    <n v="3157270000"/>
  </r>
  <r>
    <x v="716"/>
    <x v="1"/>
    <x v="11"/>
    <n v="52"/>
    <n v="23"/>
    <x v="23"/>
    <x v="17"/>
    <s v="paylater"/>
    <n v="49721340"/>
  </r>
  <r>
    <x v="716"/>
    <x v="1"/>
    <x v="11"/>
    <n v="52"/>
    <n v="23"/>
    <x v="28"/>
    <x v="17"/>
    <s v="paylater"/>
    <n v="701554834"/>
  </r>
  <r>
    <x v="716"/>
    <x v="1"/>
    <x v="11"/>
    <n v="52"/>
    <n v="23"/>
    <x v="8"/>
    <x v="8"/>
    <s v="cashloan"/>
    <n v="0"/>
  </r>
  <r>
    <x v="716"/>
    <x v="1"/>
    <x v="11"/>
    <n v="52"/>
    <n v="23"/>
    <x v="26"/>
    <x v="16"/>
    <s v="cashloan"/>
    <n v="616300000"/>
  </r>
  <r>
    <x v="716"/>
    <x v="1"/>
    <x v="11"/>
    <n v="52"/>
    <n v="23"/>
    <x v="2"/>
    <x v="2"/>
    <s v="cashloan"/>
    <n v="18060490000"/>
  </r>
  <r>
    <x v="716"/>
    <x v="1"/>
    <x v="11"/>
    <n v="52"/>
    <n v="23"/>
    <x v="17"/>
    <x v="9"/>
    <s v="cashloan"/>
    <n v="0"/>
  </r>
  <r>
    <x v="716"/>
    <x v="1"/>
    <x v="11"/>
    <n v="52"/>
    <n v="23"/>
    <x v="20"/>
    <x v="9"/>
    <s v="cashloan"/>
    <n v="0"/>
  </r>
  <r>
    <x v="716"/>
    <x v="1"/>
    <x v="11"/>
    <n v="52"/>
    <n v="23"/>
    <x v="21"/>
    <x v="9"/>
    <s v="cashloan"/>
    <n v="0"/>
  </r>
  <r>
    <x v="716"/>
    <x v="1"/>
    <x v="11"/>
    <n v="52"/>
    <n v="23"/>
    <x v="25"/>
    <x v="2"/>
    <s v="cashloan"/>
    <n v="0"/>
  </r>
  <r>
    <x v="716"/>
    <x v="1"/>
    <x v="11"/>
    <n v="52"/>
    <n v="23"/>
    <x v="0"/>
    <x v="0"/>
    <s v="payday"/>
    <n v="8891640000"/>
  </r>
  <r>
    <x v="716"/>
    <x v="1"/>
    <x v="11"/>
    <n v="52"/>
    <n v="23"/>
    <x v="7"/>
    <x v="7"/>
    <s v="paylater"/>
    <n v="157986170"/>
  </r>
  <r>
    <x v="716"/>
    <x v="1"/>
    <x v="11"/>
    <n v="52"/>
    <n v="23"/>
    <x v="1"/>
    <x v="1"/>
    <s v="cashloan"/>
    <n v="21000000"/>
  </r>
  <r>
    <x v="716"/>
    <x v="1"/>
    <x v="11"/>
    <n v="52"/>
    <n v="23"/>
    <x v="6"/>
    <x v="6"/>
    <s v="payday"/>
    <n v="45000000"/>
  </r>
  <r>
    <x v="716"/>
    <x v="1"/>
    <x v="11"/>
    <n v="52"/>
    <n v="23"/>
    <x v="18"/>
    <x v="15"/>
    <s v="cashloan"/>
    <n v="832150000"/>
  </r>
  <r>
    <x v="716"/>
    <x v="1"/>
    <x v="11"/>
    <n v="52"/>
    <n v="23"/>
    <x v="29"/>
    <x v="20"/>
    <s v="payday"/>
    <n v="364176000"/>
  </r>
  <r>
    <x v="716"/>
    <x v="1"/>
    <x v="11"/>
    <n v="52"/>
    <n v="23"/>
    <x v="19"/>
    <x v="12"/>
    <s v="paylater"/>
    <n v="414689996"/>
  </r>
  <r>
    <x v="716"/>
    <x v="1"/>
    <x v="11"/>
    <n v="52"/>
    <n v="23"/>
    <x v="24"/>
    <x v="18"/>
    <s v="cashloan"/>
    <n v="3785410000"/>
  </r>
  <r>
    <x v="716"/>
    <x v="1"/>
    <x v="11"/>
    <n v="52"/>
    <n v="23"/>
    <x v="30"/>
    <x v="21"/>
    <s v="payday"/>
    <n v="0"/>
  </r>
  <r>
    <x v="717"/>
    <x v="1"/>
    <x v="11"/>
    <n v="52"/>
    <n v="24"/>
    <x v="3"/>
    <x v="3"/>
    <s v="cashloan"/>
    <n v="938250000"/>
  </r>
  <r>
    <x v="717"/>
    <x v="1"/>
    <x v="11"/>
    <n v="52"/>
    <n v="24"/>
    <x v="11"/>
    <x v="10"/>
    <s v="paylater"/>
    <n v="409990424"/>
  </r>
  <r>
    <x v="717"/>
    <x v="1"/>
    <x v="11"/>
    <n v="52"/>
    <n v="24"/>
    <x v="12"/>
    <x v="11"/>
    <s v="cashloan"/>
    <n v="15470010000"/>
  </r>
  <r>
    <x v="717"/>
    <x v="1"/>
    <x v="11"/>
    <n v="52"/>
    <n v="24"/>
    <x v="5"/>
    <x v="5"/>
    <s v="overdraft"/>
    <n v="1996525977"/>
  </r>
  <r>
    <x v="717"/>
    <x v="1"/>
    <x v="11"/>
    <n v="52"/>
    <n v="24"/>
    <x v="27"/>
    <x v="19"/>
    <s v="payday"/>
    <n v="12849840000"/>
  </r>
  <r>
    <x v="717"/>
    <x v="1"/>
    <x v="11"/>
    <n v="52"/>
    <n v="24"/>
    <x v="15"/>
    <x v="14"/>
    <s v="paylater"/>
    <n v="2129106"/>
  </r>
  <r>
    <x v="717"/>
    <x v="1"/>
    <x v="11"/>
    <n v="52"/>
    <n v="24"/>
    <x v="31"/>
    <x v="22"/>
    <s v="cashloan"/>
    <n v="90000000"/>
  </r>
  <r>
    <x v="717"/>
    <x v="1"/>
    <x v="11"/>
    <n v="52"/>
    <n v="24"/>
    <x v="14"/>
    <x v="13"/>
    <s v="cashloan"/>
    <n v="3596720000"/>
  </r>
  <r>
    <x v="717"/>
    <x v="1"/>
    <x v="11"/>
    <n v="52"/>
    <n v="24"/>
    <x v="23"/>
    <x v="17"/>
    <s v="paylater"/>
    <n v="3294257"/>
  </r>
  <r>
    <x v="717"/>
    <x v="1"/>
    <x v="11"/>
    <n v="52"/>
    <n v="24"/>
    <x v="28"/>
    <x v="17"/>
    <s v="paylater"/>
    <n v="840337251"/>
  </r>
  <r>
    <x v="717"/>
    <x v="1"/>
    <x v="11"/>
    <n v="52"/>
    <n v="24"/>
    <x v="8"/>
    <x v="8"/>
    <s v="cashloan"/>
    <n v="0"/>
  </r>
  <r>
    <x v="717"/>
    <x v="1"/>
    <x v="11"/>
    <n v="52"/>
    <n v="24"/>
    <x v="26"/>
    <x v="16"/>
    <s v="cashloan"/>
    <n v="394500000"/>
  </r>
  <r>
    <x v="717"/>
    <x v="1"/>
    <x v="11"/>
    <n v="52"/>
    <n v="24"/>
    <x v="32"/>
    <x v="16"/>
    <s v="cashloan"/>
    <n v="72100000"/>
  </r>
  <r>
    <x v="717"/>
    <x v="1"/>
    <x v="11"/>
    <n v="52"/>
    <n v="24"/>
    <x v="2"/>
    <x v="2"/>
    <s v="cashloan"/>
    <n v="17551620000"/>
  </r>
  <r>
    <x v="717"/>
    <x v="1"/>
    <x v="11"/>
    <n v="52"/>
    <n v="24"/>
    <x v="17"/>
    <x v="9"/>
    <s v="cashloan"/>
    <n v="0"/>
  </r>
  <r>
    <x v="717"/>
    <x v="1"/>
    <x v="11"/>
    <n v="52"/>
    <n v="24"/>
    <x v="20"/>
    <x v="9"/>
    <s v="cashloan"/>
    <n v="0"/>
  </r>
  <r>
    <x v="717"/>
    <x v="1"/>
    <x v="11"/>
    <n v="52"/>
    <n v="24"/>
    <x v="21"/>
    <x v="9"/>
    <s v="cashloan"/>
    <n v="0"/>
  </r>
  <r>
    <x v="717"/>
    <x v="1"/>
    <x v="11"/>
    <n v="52"/>
    <n v="24"/>
    <x v="25"/>
    <x v="2"/>
    <s v="cashloan"/>
    <n v="0"/>
  </r>
  <r>
    <x v="717"/>
    <x v="1"/>
    <x v="11"/>
    <n v="52"/>
    <n v="24"/>
    <x v="0"/>
    <x v="0"/>
    <s v="payday"/>
    <n v="9255384000"/>
  </r>
  <r>
    <x v="717"/>
    <x v="1"/>
    <x v="11"/>
    <n v="52"/>
    <n v="24"/>
    <x v="7"/>
    <x v="7"/>
    <s v="paylater"/>
    <n v="144248951"/>
  </r>
  <r>
    <x v="717"/>
    <x v="1"/>
    <x v="11"/>
    <n v="52"/>
    <n v="24"/>
    <x v="1"/>
    <x v="1"/>
    <s v="cashloan"/>
    <n v="60900000"/>
  </r>
  <r>
    <x v="717"/>
    <x v="1"/>
    <x v="11"/>
    <n v="52"/>
    <n v="24"/>
    <x v="6"/>
    <x v="6"/>
    <s v="payday"/>
    <n v="28000000"/>
  </r>
  <r>
    <x v="717"/>
    <x v="1"/>
    <x v="11"/>
    <n v="52"/>
    <n v="24"/>
    <x v="18"/>
    <x v="15"/>
    <s v="cashloan"/>
    <n v="751720000"/>
  </r>
  <r>
    <x v="717"/>
    <x v="1"/>
    <x v="11"/>
    <n v="52"/>
    <n v="24"/>
    <x v="29"/>
    <x v="20"/>
    <s v="payday"/>
    <n v="384912000"/>
  </r>
  <r>
    <x v="717"/>
    <x v="1"/>
    <x v="11"/>
    <n v="52"/>
    <n v="24"/>
    <x v="19"/>
    <x v="12"/>
    <s v="paylater"/>
    <n v="416783465"/>
  </r>
  <r>
    <x v="717"/>
    <x v="1"/>
    <x v="11"/>
    <n v="52"/>
    <n v="24"/>
    <x v="24"/>
    <x v="18"/>
    <s v="cashloan"/>
    <n v="3995560000"/>
  </r>
  <r>
    <x v="717"/>
    <x v="1"/>
    <x v="11"/>
    <n v="52"/>
    <n v="24"/>
    <x v="30"/>
    <x v="21"/>
    <s v="payday"/>
    <n v="0"/>
  </r>
  <r>
    <x v="718"/>
    <x v="1"/>
    <x v="11"/>
    <n v="52"/>
    <n v="25"/>
    <x v="3"/>
    <x v="3"/>
    <s v="cashloan"/>
    <n v="833550000"/>
  </r>
  <r>
    <x v="718"/>
    <x v="1"/>
    <x v="11"/>
    <n v="52"/>
    <n v="25"/>
    <x v="11"/>
    <x v="10"/>
    <s v="paylater"/>
    <n v="425652823"/>
  </r>
  <r>
    <x v="718"/>
    <x v="1"/>
    <x v="11"/>
    <n v="52"/>
    <n v="25"/>
    <x v="12"/>
    <x v="11"/>
    <s v="cashloan"/>
    <n v="14551340000"/>
  </r>
  <r>
    <x v="718"/>
    <x v="1"/>
    <x v="11"/>
    <n v="52"/>
    <n v="25"/>
    <x v="5"/>
    <x v="5"/>
    <s v="overdraft"/>
    <n v="1884950196"/>
  </r>
  <r>
    <x v="718"/>
    <x v="1"/>
    <x v="11"/>
    <n v="52"/>
    <n v="25"/>
    <x v="27"/>
    <x v="19"/>
    <s v="payday"/>
    <n v="12122028000"/>
  </r>
  <r>
    <x v="718"/>
    <x v="1"/>
    <x v="11"/>
    <n v="52"/>
    <n v="25"/>
    <x v="15"/>
    <x v="14"/>
    <s v="paylater"/>
    <n v="2675863"/>
  </r>
  <r>
    <x v="718"/>
    <x v="1"/>
    <x v="11"/>
    <n v="52"/>
    <n v="25"/>
    <x v="31"/>
    <x v="22"/>
    <s v="cashloan"/>
    <n v="0"/>
  </r>
  <r>
    <x v="718"/>
    <x v="1"/>
    <x v="11"/>
    <n v="52"/>
    <n v="25"/>
    <x v="14"/>
    <x v="13"/>
    <s v="cashloan"/>
    <n v="2987740000"/>
  </r>
  <r>
    <x v="718"/>
    <x v="1"/>
    <x v="11"/>
    <n v="52"/>
    <n v="25"/>
    <x v="23"/>
    <x v="17"/>
    <s v="paylater"/>
    <n v="15965148"/>
  </r>
  <r>
    <x v="718"/>
    <x v="1"/>
    <x v="11"/>
    <n v="52"/>
    <n v="25"/>
    <x v="28"/>
    <x v="17"/>
    <s v="paylater"/>
    <n v="650979873"/>
  </r>
  <r>
    <x v="718"/>
    <x v="1"/>
    <x v="11"/>
    <n v="52"/>
    <n v="25"/>
    <x v="8"/>
    <x v="8"/>
    <s v="cashloan"/>
    <n v="0"/>
  </r>
  <r>
    <x v="718"/>
    <x v="1"/>
    <x v="11"/>
    <n v="52"/>
    <n v="25"/>
    <x v="26"/>
    <x v="16"/>
    <s v="cashloan"/>
    <n v="530000000"/>
  </r>
  <r>
    <x v="718"/>
    <x v="1"/>
    <x v="11"/>
    <n v="52"/>
    <n v="25"/>
    <x v="32"/>
    <x v="16"/>
    <s v="cashloan"/>
    <n v="0"/>
  </r>
  <r>
    <x v="718"/>
    <x v="1"/>
    <x v="11"/>
    <n v="52"/>
    <n v="25"/>
    <x v="2"/>
    <x v="2"/>
    <s v="cashloan"/>
    <n v="15624030000"/>
  </r>
  <r>
    <x v="718"/>
    <x v="1"/>
    <x v="11"/>
    <n v="52"/>
    <n v="25"/>
    <x v="17"/>
    <x v="9"/>
    <s v="cashloan"/>
    <n v="0"/>
  </r>
  <r>
    <x v="718"/>
    <x v="1"/>
    <x v="11"/>
    <n v="52"/>
    <n v="25"/>
    <x v="20"/>
    <x v="9"/>
    <s v="cashloan"/>
    <n v="0"/>
  </r>
  <r>
    <x v="718"/>
    <x v="1"/>
    <x v="11"/>
    <n v="52"/>
    <n v="25"/>
    <x v="21"/>
    <x v="9"/>
    <s v="cashloan"/>
    <n v="0"/>
  </r>
  <r>
    <x v="718"/>
    <x v="1"/>
    <x v="11"/>
    <n v="52"/>
    <n v="25"/>
    <x v="25"/>
    <x v="2"/>
    <s v="cashloan"/>
    <n v="0"/>
  </r>
  <r>
    <x v="718"/>
    <x v="1"/>
    <x v="11"/>
    <n v="52"/>
    <n v="25"/>
    <x v="0"/>
    <x v="0"/>
    <s v="payday"/>
    <n v="9423540000"/>
  </r>
  <r>
    <x v="718"/>
    <x v="1"/>
    <x v="11"/>
    <n v="52"/>
    <n v="25"/>
    <x v="7"/>
    <x v="7"/>
    <s v="paylater"/>
    <n v="143725279"/>
  </r>
  <r>
    <x v="718"/>
    <x v="1"/>
    <x v="11"/>
    <n v="52"/>
    <n v="25"/>
    <x v="1"/>
    <x v="1"/>
    <s v="cashloan"/>
    <n v="0"/>
  </r>
  <r>
    <x v="718"/>
    <x v="1"/>
    <x v="11"/>
    <n v="52"/>
    <n v="25"/>
    <x v="6"/>
    <x v="6"/>
    <s v="payday"/>
    <n v="65000000"/>
  </r>
  <r>
    <x v="718"/>
    <x v="1"/>
    <x v="11"/>
    <n v="52"/>
    <n v="25"/>
    <x v="18"/>
    <x v="15"/>
    <s v="cashloan"/>
    <n v="809650000"/>
  </r>
  <r>
    <x v="718"/>
    <x v="1"/>
    <x v="11"/>
    <n v="52"/>
    <n v="25"/>
    <x v="29"/>
    <x v="20"/>
    <s v="payday"/>
    <n v="308232000"/>
  </r>
  <r>
    <x v="718"/>
    <x v="1"/>
    <x v="11"/>
    <n v="52"/>
    <n v="25"/>
    <x v="19"/>
    <x v="12"/>
    <s v="paylater"/>
    <n v="400209343"/>
  </r>
  <r>
    <x v="718"/>
    <x v="1"/>
    <x v="11"/>
    <n v="52"/>
    <n v="25"/>
    <x v="24"/>
    <x v="18"/>
    <s v="cashloan"/>
    <n v="3546710000"/>
  </r>
  <r>
    <x v="718"/>
    <x v="1"/>
    <x v="11"/>
    <n v="52"/>
    <n v="25"/>
    <x v="30"/>
    <x v="21"/>
    <s v="payday"/>
    <n v="0"/>
  </r>
  <r>
    <x v="719"/>
    <x v="1"/>
    <x v="11"/>
    <n v="52"/>
    <n v="26"/>
    <x v="3"/>
    <x v="3"/>
    <s v="cashloan"/>
    <n v="675600000"/>
  </r>
  <r>
    <x v="719"/>
    <x v="1"/>
    <x v="11"/>
    <n v="52"/>
    <n v="26"/>
    <x v="11"/>
    <x v="10"/>
    <s v="paylater"/>
    <n v="357206954"/>
  </r>
  <r>
    <x v="719"/>
    <x v="1"/>
    <x v="11"/>
    <n v="52"/>
    <n v="26"/>
    <x v="12"/>
    <x v="11"/>
    <s v="cashloan"/>
    <n v="15030920000"/>
  </r>
  <r>
    <x v="719"/>
    <x v="1"/>
    <x v="11"/>
    <n v="52"/>
    <n v="26"/>
    <x v="5"/>
    <x v="5"/>
    <s v="overdraft"/>
    <n v="2056575924"/>
  </r>
  <r>
    <x v="719"/>
    <x v="1"/>
    <x v="11"/>
    <n v="52"/>
    <n v="26"/>
    <x v="27"/>
    <x v="19"/>
    <s v="payday"/>
    <n v="12355524000"/>
  </r>
  <r>
    <x v="719"/>
    <x v="1"/>
    <x v="11"/>
    <n v="52"/>
    <n v="26"/>
    <x v="15"/>
    <x v="14"/>
    <s v="paylater"/>
    <n v="12295858"/>
  </r>
  <r>
    <x v="719"/>
    <x v="1"/>
    <x v="11"/>
    <n v="52"/>
    <n v="26"/>
    <x v="31"/>
    <x v="22"/>
    <s v="cashloan"/>
    <n v="0"/>
  </r>
  <r>
    <x v="719"/>
    <x v="1"/>
    <x v="11"/>
    <n v="52"/>
    <n v="26"/>
    <x v="14"/>
    <x v="13"/>
    <s v="cashloan"/>
    <n v="4124640000"/>
  </r>
  <r>
    <x v="719"/>
    <x v="1"/>
    <x v="11"/>
    <n v="52"/>
    <n v="26"/>
    <x v="23"/>
    <x v="17"/>
    <s v="paylater"/>
    <n v="2490000"/>
  </r>
  <r>
    <x v="719"/>
    <x v="1"/>
    <x v="11"/>
    <n v="52"/>
    <n v="26"/>
    <x v="28"/>
    <x v="17"/>
    <s v="paylater"/>
    <n v="799962120"/>
  </r>
  <r>
    <x v="719"/>
    <x v="1"/>
    <x v="11"/>
    <n v="52"/>
    <n v="26"/>
    <x v="8"/>
    <x v="8"/>
    <s v="cashloan"/>
    <n v="0"/>
  </r>
  <r>
    <x v="719"/>
    <x v="1"/>
    <x v="11"/>
    <n v="52"/>
    <n v="26"/>
    <x v="26"/>
    <x v="16"/>
    <s v="cashloan"/>
    <n v="547500000"/>
  </r>
  <r>
    <x v="719"/>
    <x v="1"/>
    <x v="11"/>
    <n v="52"/>
    <n v="26"/>
    <x v="32"/>
    <x v="16"/>
    <s v="cashloan"/>
    <n v="0"/>
  </r>
  <r>
    <x v="719"/>
    <x v="1"/>
    <x v="11"/>
    <n v="52"/>
    <n v="26"/>
    <x v="2"/>
    <x v="2"/>
    <s v="cashloan"/>
    <n v="15575630000"/>
  </r>
  <r>
    <x v="719"/>
    <x v="1"/>
    <x v="11"/>
    <n v="52"/>
    <n v="26"/>
    <x v="17"/>
    <x v="9"/>
    <s v="cashloan"/>
    <n v="0"/>
  </r>
  <r>
    <x v="719"/>
    <x v="1"/>
    <x v="11"/>
    <n v="52"/>
    <n v="26"/>
    <x v="20"/>
    <x v="9"/>
    <s v="cashloan"/>
    <n v="0"/>
  </r>
  <r>
    <x v="719"/>
    <x v="1"/>
    <x v="11"/>
    <n v="52"/>
    <n v="26"/>
    <x v="21"/>
    <x v="9"/>
    <s v="cashloan"/>
    <n v="0"/>
  </r>
  <r>
    <x v="719"/>
    <x v="1"/>
    <x v="11"/>
    <n v="52"/>
    <n v="26"/>
    <x v="25"/>
    <x v="2"/>
    <s v="cashloan"/>
    <n v="0"/>
  </r>
  <r>
    <x v="719"/>
    <x v="1"/>
    <x v="11"/>
    <n v="52"/>
    <n v="26"/>
    <x v="0"/>
    <x v="0"/>
    <s v="payday"/>
    <n v="8508564000"/>
  </r>
  <r>
    <x v="719"/>
    <x v="1"/>
    <x v="11"/>
    <n v="52"/>
    <n v="26"/>
    <x v="7"/>
    <x v="7"/>
    <s v="paylater"/>
    <n v="148119423"/>
  </r>
  <r>
    <x v="719"/>
    <x v="1"/>
    <x v="11"/>
    <n v="52"/>
    <n v="26"/>
    <x v="1"/>
    <x v="1"/>
    <s v="cashloan"/>
    <n v="21000000"/>
  </r>
  <r>
    <x v="719"/>
    <x v="1"/>
    <x v="11"/>
    <n v="52"/>
    <n v="26"/>
    <x v="6"/>
    <x v="6"/>
    <s v="payday"/>
    <n v="91000000"/>
  </r>
  <r>
    <x v="719"/>
    <x v="1"/>
    <x v="11"/>
    <n v="52"/>
    <n v="26"/>
    <x v="18"/>
    <x v="15"/>
    <s v="cashloan"/>
    <n v="855120000"/>
  </r>
  <r>
    <x v="719"/>
    <x v="1"/>
    <x v="11"/>
    <n v="52"/>
    <n v="26"/>
    <x v="29"/>
    <x v="20"/>
    <s v="payday"/>
    <n v="395280000"/>
  </r>
  <r>
    <x v="719"/>
    <x v="1"/>
    <x v="11"/>
    <n v="52"/>
    <n v="26"/>
    <x v="19"/>
    <x v="12"/>
    <s v="paylater"/>
    <n v="317074075"/>
  </r>
  <r>
    <x v="719"/>
    <x v="1"/>
    <x v="11"/>
    <n v="52"/>
    <n v="26"/>
    <x v="24"/>
    <x v="18"/>
    <s v="cashloan"/>
    <n v="3715400000"/>
  </r>
  <r>
    <x v="719"/>
    <x v="1"/>
    <x v="11"/>
    <n v="52"/>
    <n v="26"/>
    <x v="30"/>
    <x v="21"/>
    <s v="payday"/>
    <n v="0"/>
  </r>
  <r>
    <x v="720"/>
    <x v="1"/>
    <x v="11"/>
    <n v="52"/>
    <n v="27"/>
    <x v="3"/>
    <x v="3"/>
    <s v="cashloan"/>
    <n v="446700000"/>
  </r>
  <r>
    <x v="720"/>
    <x v="1"/>
    <x v="11"/>
    <n v="52"/>
    <n v="27"/>
    <x v="11"/>
    <x v="10"/>
    <s v="paylater"/>
    <n v="368797724"/>
  </r>
  <r>
    <x v="720"/>
    <x v="1"/>
    <x v="11"/>
    <n v="52"/>
    <n v="27"/>
    <x v="12"/>
    <x v="11"/>
    <s v="cashloan"/>
    <n v="13261580000"/>
  </r>
  <r>
    <x v="720"/>
    <x v="1"/>
    <x v="11"/>
    <n v="52"/>
    <n v="27"/>
    <x v="5"/>
    <x v="5"/>
    <s v="overdraft"/>
    <n v="1777974573"/>
  </r>
  <r>
    <x v="720"/>
    <x v="1"/>
    <x v="11"/>
    <n v="52"/>
    <n v="27"/>
    <x v="27"/>
    <x v="19"/>
    <s v="payday"/>
    <n v="11338056000"/>
  </r>
  <r>
    <x v="720"/>
    <x v="1"/>
    <x v="11"/>
    <n v="52"/>
    <n v="27"/>
    <x v="15"/>
    <x v="14"/>
    <s v="paylater"/>
    <n v="11752456"/>
  </r>
  <r>
    <x v="720"/>
    <x v="1"/>
    <x v="11"/>
    <n v="52"/>
    <n v="27"/>
    <x v="31"/>
    <x v="22"/>
    <s v="cashloan"/>
    <n v="0"/>
  </r>
  <r>
    <x v="720"/>
    <x v="1"/>
    <x v="11"/>
    <n v="52"/>
    <n v="27"/>
    <x v="14"/>
    <x v="13"/>
    <s v="cashloan"/>
    <n v="3192550000"/>
  </r>
  <r>
    <x v="720"/>
    <x v="1"/>
    <x v="11"/>
    <n v="52"/>
    <n v="27"/>
    <x v="23"/>
    <x v="17"/>
    <s v="paylater"/>
    <n v="5060866"/>
  </r>
  <r>
    <x v="720"/>
    <x v="1"/>
    <x v="11"/>
    <n v="52"/>
    <n v="27"/>
    <x v="28"/>
    <x v="17"/>
    <s v="paylater"/>
    <n v="963659334"/>
  </r>
  <r>
    <x v="720"/>
    <x v="1"/>
    <x v="11"/>
    <n v="52"/>
    <n v="27"/>
    <x v="8"/>
    <x v="8"/>
    <s v="cashloan"/>
    <n v="0"/>
  </r>
  <r>
    <x v="720"/>
    <x v="1"/>
    <x v="11"/>
    <n v="52"/>
    <n v="27"/>
    <x v="26"/>
    <x v="16"/>
    <s v="cashloan"/>
    <n v="517500000"/>
  </r>
  <r>
    <x v="720"/>
    <x v="1"/>
    <x v="11"/>
    <n v="52"/>
    <n v="27"/>
    <x v="32"/>
    <x v="16"/>
    <s v="cashloan"/>
    <n v="0"/>
  </r>
  <r>
    <x v="720"/>
    <x v="1"/>
    <x v="11"/>
    <n v="52"/>
    <n v="27"/>
    <x v="2"/>
    <x v="2"/>
    <s v="cashloan"/>
    <n v="14276880000"/>
  </r>
  <r>
    <x v="720"/>
    <x v="1"/>
    <x v="11"/>
    <n v="52"/>
    <n v="27"/>
    <x v="17"/>
    <x v="9"/>
    <s v="cashloan"/>
    <n v="0"/>
  </r>
  <r>
    <x v="720"/>
    <x v="1"/>
    <x v="11"/>
    <n v="52"/>
    <n v="27"/>
    <x v="20"/>
    <x v="9"/>
    <s v="cashloan"/>
    <n v="0"/>
  </r>
  <r>
    <x v="720"/>
    <x v="1"/>
    <x v="11"/>
    <n v="52"/>
    <n v="27"/>
    <x v="21"/>
    <x v="9"/>
    <s v="cashloan"/>
    <n v="0"/>
  </r>
  <r>
    <x v="720"/>
    <x v="1"/>
    <x v="11"/>
    <n v="52"/>
    <n v="27"/>
    <x v="25"/>
    <x v="2"/>
    <s v="cashloan"/>
    <n v="27000000"/>
  </r>
  <r>
    <x v="720"/>
    <x v="1"/>
    <x v="11"/>
    <n v="52"/>
    <n v="27"/>
    <x v="0"/>
    <x v="0"/>
    <s v="payday"/>
    <n v="8435016000"/>
  </r>
  <r>
    <x v="720"/>
    <x v="1"/>
    <x v="11"/>
    <n v="52"/>
    <n v="27"/>
    <x v="7"/>
    <x v="7"/>
    <s v="paylater"/>
    <n v="149301515"/>
  </r>
  <r>
    <x v="720"/>
    <x v="1"/>
    <x v="11"/>
    <n v="52"/>
    <n v="27"/>
    <x v="1"/>
    <x v="1"/>
    <s v="cashloan"/>
    <n v="0"/>
  </r>
  <r>
    <x v="720"/>
    <x v="1"/>
    <x v="11"/>
    <n v="52"/>
    <n v="27"/>
    <x v="6"/>
    <x v="6"/>
    <s v="payday"/>
    <n v="53000000"/>
  </r>
  <r>
    <x v="720"/>
    <x v="1"/>
    <x v="11"/>
    <n v="52"/>
    <n v="27"/>
    <x v="18"/>
    <x v="15"/>
    <s v="cashloan"/>
    <n v="890320000"/>
  </r>
  <r>
    <x v="720"/>
    <x v="1"/>
    <x v="11"/>
    <n v="52"/>
    <n v="27"/>
    <x v="29"/>
    <x v="20"/>
    <s v="payday"/>
    <n v="331560000"/>
  </r>
  <r>
    <x v="720"/>
    <x v="1"/>
    <x v="11"/>
    <n v="52"/>
    <n v="27"/>
    <x v="19"/>
    <x v="12"/>
    <s v="paylater"/>
    <n v="418775168"/>
  </r>
  <r>
    <x v="720"/>
    <x v="1"/>
    <x v="11"/>
    <n v="52"/>
    <n v="27"/>
    <x v="24"/>
    <x v="18"/>
    <s v="cashloan"/>
    <n v="3210750000"/>
  </r>
  <r>
    <x v="720"/>
    <x v="1"/>
    <x v="11"/>
    <n v="52"/>
    <n v="27"/>
    <x v="30"/>
    <x v="21"/>
    <s v="payday"/>
    <n v="0"/>
  </r>
  <r>
    <x v="721"/>
    <x v="1"/>
    <x v="11"/>
    <n v="52"/>
    <n v="28"/>
    <x v="3"/>
    <x v="3"/>
    <s v="cashloan"/>
    <n v="840450000"/>
  </r>
  <r>
    <x v="721"/>
    <x v="1"/>
    <x v="11"/>
    <n v="52"/>
    <n v="28"/>
    <x v="11"/>
    <x v="10"/>
    <s v="paylater"/>
    <n v="367817272"/>
  </r>
  <r>
    <x v="721"/>
    <x v="1"/>
    <x v="11"/>
    <n v="52"/>
    <n v="28"/>
    <x v="12"/>
    <x v="11"/>
    <s v="cashloan"/>
    <n v="11455070000"/>
  </r>
  <r>
    <x v="721"/>
    <x v="1"/>
    <x v="11"/>
    <n v="52"/>
    <n v="28"/>
    <x v="5"/>
    <x v="5"/>
    <s v="overdraft"/>
    <n v="1736794980"/>
  </r>
  <r>
    <x v="721"/>
    <x v="1"/>
    <x v="11"/>
    <n v="52"/>
    <n v="28"/>
    <x v="27"/>
    <x v="19"/>
    <s v="payday"/>
    <n v="11204244000"/>
  </r>
  <r>
    <x v="721"/>
    <x v="1"/>
    <x v="11"/>
    <n v="52"/>
    <n v="28"/>
    <x v="15"/>
    <x v="14"/>
    <s v="paylater"/>
    <n v="6414709"/>
  </r>
  <r>
    <x v="721"/>
    <x v="1"/>
    <x v="11"/>
    <n v="52"/>
    <n v="28"/>
    <x v="31"/>
    <x v="22"/>
    <s v="cashloan"/>
    <n v="0"/>
  </r>
  <r>
    <x v="721"/>
    <x v="1"/>
    <x v="11"/>
    <n v="52"/>
    <n v="28"/>
    <x v="14"/>
    <x v="13"/>
    <s v="cashloan"/>
    <n v="4517320000"/>
  </r>
  <r>
    <x v="721"/>
    <x v="1"/>
    <x v="11"/>
    <n v="52"/>
    <n v="28"/>
    <x v="23"/>
    <x v="17"/>
    <s v="paylater"/>
    <n v="7977810"/>
  </r>
  <r>
    <x v="721"/>
    <x v="1"/>
    <x v="11"/>
    <n v="52"/>
    <n v="28"/>
    <x v="28"/>
    <x v="17"/>
    <s v="paylater"/>
    <n v="887293440"/>
  </r>
  <r>
    <x v="721"/>
    <x v="1"/>
    <x v="11"/>
    <n v="52"/>
    <n v="28"/>
    <x v="8"/>
    <x v="8"/>
    <s v="cashloan"/>
    <n v="0"/>
  </r>
  <r>
    <x v="721"/>
    <x v="1"/>
    <x v="11"/>
    <n v="52"/>
    <n v="28"/>
    <x v="26"/>
    <x v="16"/>
    <s v="cashloan"/>
    <n v="10500000"/>
  </r>
  <r>
    <x v="721"/>
    <x v="1"/>
    <x v="11"/>
    <n v="52"/>
    <n v="28"/>
    <x v="32"/>
    <x v="16"/>
    <s v="cashloan"/>
    <n v="0"/>
  </r>
  <r>
    <x v="721"/>
    <x v="1"/>
    <x v="11"/>
    <n v="52"/>
    <n v="28"/>
    <x v="2"/>
    <x v="2"/>
    <s v="cashloan"/>
    <n v="12950550000"/>
  </r>
  <r>
    <x v="721"/>
    <x v="1"/>
    <x v="11"/>
    <n v="52"/>
    <n v="28"/>
    <x v="17"/>
    <x v="9"/>
    <s v="cashloan"/>
    <n v="0"/>
  </r>
  <r>
    <x v="721"/>
    <x v="1"/>
    <x v="11"/>
    <n v="52"/>
    <n v="28"/>
    <x v="20"/>
    <x v="9"/>
    <s v="cashloan"/>
    <n v="0"/>
  </r>
  <r>
    <x v="721"/>
    <x v="1"/>
    <x v="11"/>
    <n v="52"/>
    <n v="28"/>
    <x v="21"/>
    <x v="9"/>
    <s v="cashloan"/>
    <n v="0"/>
  </r>
  <r>
    <x v="721"/>
    <x v="1"/>
    <x v="11"/>
    <n v="52"/>
    <n v="28"/>
    <x v="25"/>
    <x v="2"/>
    <s v="cashloan"/>
    <n v="0"/>
  </r>
  <r>
    <x v="721"/>
    <x v="1"/>
    <x v="11"/>
    <n v="52"/>
    <n v="28"/>
    <x v="0"/>
    <x v="0"/>
    <s v="payday"/>
    <n v="8372160000"/>
  </r>
  <r>
    <x v="721"/>
    <x v="1"/>
    <x v="11"/>
    <n v="52"/>
    <n v="28"/>
    <x v="7"/>
    <x v="7"/>
    <s v="paylater"/>
    <n v="143602939"/>
  </r>
  <r>
    <x v="721"/>
    <x v="1"/>
    <x v="11"/>
    <n v="52"/>
    <n v="28"/>
    <x v="1"/>
    <x v="1"/>
    <s v="cashloan"/>
    <n v="10000000"/>
  </r>
  <r>
    <x v="721"/>
    <x v="1"/>
    <x v="11"/>
    <n v="52"/>
    <n v="28"/>
    <x v="6"/>
    <x v="6"/>
    <s v="payday"/>
    <n v="38000000"/>
  </r>
  <r>
    <x v="721"/>
    <x v="1"/>
    <x v="11"/>
    <n v="52"/>
    <n v="28"/>
    <x v="18"/>
    <x v="15"/>
    <s v="cashloan"/>
    <n v="511580000"/>
  </r>
  <r>
    <x v="721"/>
    <x v="1"/>
    <x v="11"/>
    <n v="52"/>
    <n v="28"/>
    <x v="29"/>
    <x v="20"/>
    <s v="payday"/>
    <n v="229716000"/>
  </r>
  <r>
    <x v="721"/>
    <x v="1"/>
    <x v="11"/>
    <n v="52"/>
    <n v="28"/>
    <x v="19"/>
    <x v="12"/>
    <s v="paylater"/>
    <n v="377226510"/>
  </r>
  <r>
    <x v="721"/>
    <x v="1"/>
    <x v="11"/>
    <n v="52"/>
    <n v="28"/>
    <x v="24"/>
    <x v="18"/>
    <s v="cashloan"/>
    <n v="2986900000"/>
  </r>
  <r>
    <x v="721"/>
    <x v="1"/>
    <x v="11"/>
    <n v="52"/>
    <n v="28"/>
    <x v="30"/>
    <x v="21"/>
    <s v="payday"/>
    <n v="0"/>
  </r>
  <r>
    <x v="722"/>
    <x v="1"/>
    <x v="11"/>
    <n v="53"/>
    <n v="29"/>
    <x v="3"/>
    <x v="3"/>
    <s v="cashloan"/>
    <n v="488600000"/>
  </r>
  <r>
    <x v="722"/>
    <x v="1"/>
    <x v="11"/>
    <n v="53"/>
    <n v="29"/>
    <x v="11"/>
    <x v="10"/>
    <s v="paylater"/>
    <n v="354756192"/>
  </r>
  <r>
    <x v="722"/>
    <x v="1"/>
    <x v="11"/>
    <n v="53"/>
    <n v="29"/>
    <x v="12"/>
    <x v="11"/>
    <s v="cashloan"/>
    <n v="15523670000"/>
  </r>
  <r>
    <x v="722"/>
    <x v="1"/>
    <x v="11"/>
    <n v="53"/>
    <n v="29"/>
    <x v="5"/>
    <x v="5"/>
    <s v="overdraft"/>
    <n v="2384311293"/>
  </r>
  <r>
    <x v="722"/>
    <x v="1"/>
    <x v="11"/>
    <n v="53"/>
    <n v="29"/>
    <x v="27"/>
    <x v="19"/>
    <s v="payday"/>
    <n v="12827808000"/>
  </r>
  <r>
    <x v="722"/>
    <x v="1"/>
    <x v="11"/>
    <n v="53"/>
    <n v="29"/>
    <x v="15"/>
    <x v="14"/>
    <s v="paylater"/>
    <n v="18040025"/>
  </r>
  <r>
    <x v="722"/>
    <x v="1"/>
    <x v="11"/>
    <n v="53"/>
    <n v="29"/>
    <x v="31"/>
    <x v="22"/>
    <s v="cashloan"/>
    <n v="0"/>
  </r>
  <r>
    <x v="722"/>
    <x v="1"/>
    <x v="11"/>
    <n v="53"/>
    <n v="29"/>
    <x v="14"/>
    <x v="13"/>
    <s v="cashloan"/>
    <n v="4220760000"/>
  </r>
  <r>
    <x v="722"/>
    <x v="1"/>
    <x v="11"/>
    <n v="53"/>
    <n v="29"/>
    <x v="33"/>
    <x v="13"/>
    <s v="cashloan"/>
    <n v="128400000"/>
  </r>
  <r>
    <x v="722"/>
    <x v="1"/>
    <x v="11"/>
    <n v="53"/>
    <n v="29"/>
    <x v="23"/>
    <x v="17"/>
    <s v="paylater"/>
    <n v="10467170"/>
  </r>
  <r>
    <x v="722"/>
    <x v="1"/>
    <x v="11"/>
    <n v="53"/>
    <n v="29"/>
    <x v="28"/>
    <x v="17"/>
    <s v="paylater"/>
    <n v="669612211"/>
  </r>
  <r>
    <x v="722"/>
    <x v="1"/>
    <x v="11"/>
    <n v="53"/>
    <n v="29"/>
    <x v="8"/>
    <x v="8"/>
    <s v="cashloan"/>
    <n v="0"/>
  </r>
  <r>
    <x v="722"/>
    <x v="1"/>
    <x v="11"/>
    <n v="53"/>
    <n v="29"/>
    <x v="26"/>
    <x v="16"/>
    <s v="cashloan"/>
    <n v="574100000"/>
  </r>
  <r>
    <x v="722"/>
    <x v="1"/>
    <x v="11"/>
    <n v="53"/>
    <n v="29"/>
    <x v="32"/>
    <x v="16"/>
    <s v="cashloan"/>
    <n v="0"/>
  </r>
  <r>
    <x v="722"/>
    <x v="1"/>
    <x v="11"/>
    <n v="53"/>
    <n v="29"/>
    <x v="2"/>
    <x v="2"/>
    <s v="cashloan"/>
    <n v="15388110000"/>
  </r>
  <r>
    <x v="722"/>
    <x v="1"/>
    <x v="11"/>
    <n v="53"/>
    <n v="29"/>
    <x v="17"/>
    <x v="9"/>
    <s v="cashloan"/>
    <n v="0"/>
  </r>
  <r>
    <x v="722"/>
    <x v="1"/>
    <x v="11"/>
    <n v="53"/>
    <n v="29"/>
    <x v="20"/>
    <x v="9"/>
    <s v="cashloan"/>
    <n v="0"/>
  </r>
  <r>
    <x v="722"/>
    <x v="1"/>
    <x v="11"/>
    <n v="53"/>
    <n v="29"/>
    <x v="21"/>
    <x v="9"/>
    <s v="cashloan"/>
    <n v="0"/>
  </r>
  <r>
    <x v="722"/>
    <x v="1"/>
    <x v="11"/>
    <n v="53"/>
    <n v="29"/>
    <x v="25"/>
    <x v="2"/>
    <s v="cashloan"/>
    <n v="7490000"/>
  </r>
  <r>
    <x v="722"/>
    <x v="1"/>
    <x v="11"/>
    <n v="53"/>
    <n v="29"/>
    <x v="0"/>
    <x v="0"/>
    <s v="payday"/>
    <n v="8714412000"/>
  </r>
  <r>
    <x v="722"/>
    <x v="1"/>
    <x v="11"/>
    <n v="53"/>
    <n v="29"/>
    <x v="7"/>
    <x v="7"/>
    <s v="paylater"/>
    <n v="145257282"/>
  </r>
  <r>
    <x v="722"/>
    <x v="1"/>
    <x v="11"/>
    <n v="53"/>
    <n v="29"/>
    <x v="1"/>
    <x v="1"/>
    <s v="cashloan"/>
    <n v="10000000"/>
  </r>
  <r>
    <x v="722"/>
    <x v="1"/>
    <x v="11"/>
    <n v="53"/>
    <n v="29"/>
    <x v="6"/>
    <x v="6"/>
    <s v="payday"/>
    <n v="41000000"/>
  </r>
  <r>
    <x v="722"/>
    <x v="1"/>
    <x v="11"/>
    <n v="53"/>
    <n v="29"/>
    <x v="18"/>
    <x v="15"/>
    <s v="cashloan"/>
    <n v="929060000"/>
  </r>
  <r>
    <x v="722"/>
    <x v="1"/>
    <x v="11"/>
    <n v="53"/>
    <n v="29"/>
    <x v="29"/>
    <x v="20"/>
    <s v="payday"/>
    <n v="330264000"/>
  </r>
  <r>
    <x v="722"/>
    <x v="1"/>
    <x v="11"/>
    <n v="53"/>
    <n v="29"/>
    <x v="19"/>
    <x v="12"/>
    <s v="paylater"/>
    <n v="468572233"/>
  </r>
  <r>
    <x v="722"/>
    <x v="1"/>
    <x v="11"/>
    <n v="53"/>
    <n v="29"/>
    <x v="24"/>
    <x v="18"/>
    <s v="cashloan"/>
    <n v="4035890000"/>
  </r>
  <r>
    <x v="722"/>
    <x v="1"/>
    <x v="11"/>
    <n v="53"/>
    <n v="29"/>
    <x v="30"/>
    <x v="21"/>
    <s v="payday"/>
    <n v="0"/>
  </r>
  <r>
    <x v="723"/>
    <x v="1"/>
    <x v="11"/>
    <n v="53"/>
    <n v="30"/>
    <x v="3"/>
    <x v="3"/>
    <s v="cashloan"/>
    <n v="535950000"/>
  </r>
  <r>
    <x v="723"/>
    <x v="1"/>
    <x v="11"/>
    <n v="53"/>
    <n v="30"/>
    <x v="11"/>
    <x v="10"/>
    <s v="paylater"/>
    <n v="344927366"/>
  </r>
  <r>
    <x v="723"/>
    <x v="1"/>
    <x v="11"/>
    <n v="53"/>
    <n v="30"/>
    <x v="12"/>
    <x v="11"/>
    <s v="cashloan"/>
    <n v="16123360000"/>
  </r>
  <r>
    <x v="723"/>
    <x v="1"/>
    <x v="11"/>
    <n v="53"/>
    <n v="30"/>
    <x v="5"/>
    <x v="5"/>
    <s v="overdraft"/>
    <n v="2417843259"/>
  </r>
  <r>
    <x v="723"/>
    <x v="1"/>
    <x v="11"/>
    <n v="53"/>
    <n v="30"/>
    <x v="27"/>
    <x v="19"/>
    <s v="payday"/>
    <n v="13397616000"/>
  </r>
  <r>
    <x v="723"/>
    <x v="1"/>
    <x v="11"/>
    <n v="53"/>
    <n v="30"/>
    <x v="15"/>
    <x v="14"/>
    <s v="paylater"/>
    <n v="4065162"/>
  </r>
  <r>
    <x v="723"/>
    <x v="1"/>
    <x v="11"/>
    <n v="53"/>
    <n v="30"/>
    <x v="31"/>
    <x v="22"/>
    <s v="cashloan"/>
    <n v="0"/>
  </r>
  <r>
    <x v="723"/>
    <x v="1"/>
    <x v="11"/>
    <n v="53"/>
    <n v="30"/>
    <x v="14"/>
    <x v="13"/>
    <s v="cashloan"/>
    <n v="3894890000"/>
  </r>
  <r>
    <x v="723"/>
    <x v="1"/>
    <x v="11"/>
    <n v="53"/>
    <n v="30"/>
    <x v="33"/>
    <x v="13"/>
    <s v="cashloan"/>
    <n v="316100000"/>
  </r>
  <r>
    <x v="723"/>
    <x v="1"/>
    <x v="11"/>
    <n v="53"/>
    <n v="30"/>
    <x v="23"/>
    <x v="17"/>
    <s v="paylater"/>
    <n v="2849453"/>
  </r>
  <r>
    <x v="723"/>
    <x v="1"/>
    <x v="11"/>
    <n v="53"/>
    <n v="30"/>
    <x v="28"/>
    <x v="17"/>
    <s v="paylater"/>
    <n v="780566657"/>
  </r>
  <r>
    <x v="723"/>
    <x v="1"/>
    <x v="11"/>
    <n v="53"/>
    <n v="30"/>
    <x v="8"/>
    <x v="8"/>
    <s v="cashloan"/>
    <n v="0"/>
  </r>
  <r>
    <x v="723"/>
    <x v="1"/>
    <x v="11"/>
    <n v="53"/>
    <n v="30"/>
    <x v="26"/>
    <x v="16"/>
    <s v="cashloan"/>
    <n v="623500000"/>
  </r>
  <r>
    <x v="723"/>
    <x v="1"/>
    <x v="11"/>
    <n v="53"/>
    <n v="30"/>
    <x v="32"/>
    <x v="16"/>
    <s v="cashloan"/>
    <n v="0"/>
  </r>
  <r>
    <x v="723"/>
    <x v="1"/>
    <x v="11"/>
    <n v="53"/>
    <n v="30"/>
    <x v="2"/>
    <x v="2"/>
    <s v="cashloan"/>
    <n v="17613510000"/>
  </r>
  <r>
    <x v="723"/>
    <x v="1"/>
    <x v="11"/>
    <n v="53"/>
    <n v="30"/>
    <x v="17"/>
    <x v="9"/>
    <s v="cashloan"/>
    <n v="0"/>
  </r>
  <r>
    <x v="723"/>
    <x v="1"/>
    <x v="11"/>
    <n v="53"/>
    <n v="30"/>
    <x v="20"/>
    <x v="9"/>
    <s v="cashloan"/>
    <n v="0"/>
  </r>
  <r>
    <x v="723"/>
    <x v="1"/>
    <x v="11"/>
    <n v="53"/>
    <n v="30"/>
    <x v="21"/>
    <x v="9"/>
    <s v="cashloan"/>
    <n v="0"/>
  </r>
  <r>
    <x v="723"/>
    <x v="1"/>
    <x v="11"/>
    <n v="53"/>
    <n v="30"/>
    <x v="25"/>
    <x v="2"/>
    <s v="cashloan"/>
    <n v="0"/>
  </r>
  <r>
    <x v="723"/>
    <x v="1"/>
    <x v="11"/>
    <n v="53"/>
    <n v="30"/>
    <x v="0"/>
    <x v="0"/>
    <s v="payday"/>
    <n v="8879976000"/>
  </r>
  <r>
    <x v="723"/>
    <x v="1"/>
    <x v="11"/>
    <n v="53"/>
    <n v="30"/>
    <x v="7"/>
    <x v="7"/>
    <s v="paylater"/>
    <n v="194822853"/>
  </r>
  <r>
    <x v="723"/>
    <x v="1"/>
    <x v="11"/>
    <n v="53"/>
    <n v="30"/>
    <x v="1"/>
    <x v="1"/>
    <s v="cashloan"/>
    <n v="54600000"/>
  </r>
  <r>
    <x v="723"/>
    <x v="1"/>
    <x v="11"/>
    <n v="53"/>
    <n v="30"/>
    <x v="6"/>
    <x v="6"/>
    <s v="payday"/>
    <n v="23000000"/>
  </r>
  <r>
    <x v="723"/>
    <x v="1"/>
    <x v="11"/>
    <n v="53"/>
    <n v="30"/>
    <x v="18"/>
    <x v="15"/>
    <s v="cashloan"/>
    <n v="1035650000"/>
  </r>
  <r>
    <x v="723"/>
    <x v="1"/>
    <x v="11"/>
    <n v="53"/>
    <n v="30"/>
    <x v="29"/>
    <x v="20"/>
    <s v="payday"/>
    <n v="430380000"/>
  </r>
  <r>
    <x v="723"/>
    <x v="1"/>
    <x v="11"/>
    <n v="53"/>
    <n v="30"/>
    <x v="19"/>
    <x v="12"/>
    <s v="paylater"/>
    <n v="566867291"/>
  </r>
  <r>
    <x v="723"/>
    <x v="1"/>
    <x v="11"/>
    <n v="53"/>
    <n v="30"/>
    <x v="24"/>
    <x v="18"/>
    <s v="cashloan"/>
    <n v="3250640000"/>
  </r>
  <r>
    <x v="723"/>
    <x v="1"/>
    <x v="11"/>
    <n v="53"/>
    <n v="30"/>
    <x v="30"/>
    <x v="21"/>
    <s v="payday"/>
    <n v="0"/>
  </r>
  <r>
    <x v="724"/>
    <x v="1"/>
    <x v="11"/>
    <n v="53"/>
    <n v="31"/>
    <x v="3"/>
    <x v="3"/>
    <s v="cashloan"/>
    <n v="594450000"/>
  </r>
  <r>
    <x v="724"/>
    <x v="1"/>
    <x v="11"/>
    <n v="53"/>
    <n v="31"/>
    <x v="11"/>
    <x v="10"/>
    <s v="paylater"/>
    <n v="460675011"/>
  </r>
  <r>
    <x v="724"/>
    <x v="1"/>
    <x v="11"/>
    <n v="53"/>
    <n v="31"/>
    <x v="12"/>
    <x v="11"/>
    <s v="cashloan"/>
    <n v="14942620000"/>
  </r>
  <r>
    <x v="724"/>
    <x v="1"/>
    <x v="11"/>
    <n v="53"/>
    <n v="31"/>
    <x v="5"/>
    <x v="5"/>
    <s v="overdraft"/>
    <n v="2613658295"/>
  </r>
  <r>
    <x v="724"/>
    <x v="1"/>
    <x v="11"/>
    <n v="53"/>
    <n v="31"/>
    <x v="27"/>
    <x v="19"/>
    <s v="payday"/>
    <n v="14053824000"/>
  </r>
  <r>
    <x v="724"/>
    <x v="1"/>
    <x v="11"/>
    <n v="53"/>
    <n v="31"/>
    <x v="15"/>
    <x v="14"/>
    <s v="paylater"/>
    <n v="9231010"/>
  </r>
  <r>
    <x v="724"/>
    <x v="1"/>
    <x v="11"/>
    <n v="53"/>
    <n v="31"/>
    <x v="31"/>
    <x v="22"/>
    <s v="cashloan"/>
    <n v="260000000"/>
  </r>
  <r>
    <x v="724"/>
    <x v="1"/>
    <x v="11"/>
    <n v="53"/>
    <n v="31"/>
    <x v="14"/>
    <x v="13"/>
    <s v="cashloan"/>
    <n v="3311160000"/>
  </r>
  <r>
    <x v="724"/>
    <x v="1"/>
    <x v="11"/>
    <n v="53"/>
    <n v="31"/>
    <x v="33"/>
    <x v="13"/>
    <s v="cashloan"/>
    <n v="156750000"/>
  </r>
  <r>
    <x v="724"/>
    <x v="1"/>
    <x v="11"/>
    <n v="53"/>
    <n v="31"/>
    <x v="23"/>
    <x v="17"/>
    <s v="paylater"/>
    <n v="9047513"/>
  </r>
  <r>
    <x v="724"/>
    <x v="1"/>
    <x v="11"/>
    <n v="53"/>
    <n v="31"/>
    <x v="28"/>
    <x v="17"/>
    <s v="paylater"/>
    <n v="811960328"/>
  </r>
  <r>
    <x v="724"/>
    <x v="1"/>
    <x v="11"/>
    <n v="53"/>
    <n v="31"/>
    <x v="8"/>
    <x v="8"/>
    <s v="cashloan"/>
    <n v="0"/>
  </r>
  <r>
    <x v="724"/>
    <x v="1"/>
    <x v="11"/>
    <n v="53"/>
    <n v="31"/>
    <x v="26"/>
    <x v="16"/>
    <s v="cashloan"/>
    <n v="894500000"/>
  </r>
  <r>
    <x v="724"/>
    <x v="1"/>
    <x v="11"/>
    <n v="53"/>
    <n v="31"/>
    <x v="32"/>
    <x v="16"/>
    <s v="cashloan"/>
    <n v="0"/>
  </r>
  <r>
    <x v="724"/>
    <x v="1"/>
    <x v="11"/>
    <n v="53"/>
    <n v="31"/>
    <x v="2"/>
    <x v="2"/>
    <s v="cashloan"/>
    <n v="17297150000"/>
  </r>
  <r>
    <x v="724"/>
    <x v="1"/>
    <x v="11"/>
    <n v="53"/>
    <n v="31"/>
    <x v="17"/>
    <x v="9"/>
    <s v="cashloan"/>
    <n v="0"/>
  </r>
  <r>
    <x v="724"/>
    <x v="1"/>
    <x v="11"/>
    <n v="53"/>
    <n v="31"/>
    <x v="20"/>
    <x v="9"/>
    <s v="cashloan"/>
    <n v="0"/>
  </r>
  <r>
    <x v="724"/>
    <x v="1"/>
    <x v="11"/>
    <n v="53"/>
    <n v="31"/>
    <x v="21"/>
    <x v="9"/>
    <s v="cashloan"/>
    <n v="0"/>
  </r>
  <r>
    <x v="724"/>
    <x v="1"/>
    <x v="11"/>
    <n v="53"/>
    <n v="31"/>
    <x v="25"/>
    <x v="2"/>
    <s v="cashloan"/>
    <n v="7000000"/>
  </r>
  <r>
    <x v="724"/>
    <x v="1"/>
    <x v="11"/>
    <n v="53"/>
    <n v="31"/>
    <x v="0"/>
    <x v="0"/>
    <s v="payday"/>
    <n v="9485856000"/>
  </r>
  <r>
    <x v="724"/>
    <x v="1"/>
    <x v="11"/>
    <n v="53"/>
    <n v="31"/>
    <x v="7"/>
    <x v="7"/>
    <s v="paylater"/>
    <n v="180484743"/>
  </r>
  <r>
    <x v="724"/>
    <x v="1"/>
    <x v="11"/>
    <n v="53"/>
    <n v="31"/>
    <x v="1"/>
    <x v="1"/>
    <s v="cashloan"/>
    <n v="15750000"/>
  </r>
  <r>
    <x v="724"/>
    <x v="1"/>
    <x v="11"/>
    <n v="53"/>
    <n v="31"/>
    <x v="6"/>
    <x v="6"/>
    <s v="payday"/>
    <n v="54000000"/>
  </r>
  <r>
    <x v="724"/>
    <x v="1"/>
    <x v="11"/>
    <n v="53"/>
    <n v="31"/>
    <x v="18"/>
    <x v="15"/>
    <s v="cashloan"/>
    <n v="1200620000"/>
  </r>
  <r>
    <x v="724"/>
    <x v="1"/>
    <x v="11"/>
    <n v="53"/>
    <n v="31"/>
    <x v="29"/>
    <x v="20"/>
    <s v="payday"/>
    <n v="419904000"/>
  </r>
  <r>
    <x v="724"/>
    <x v="1"/>
    <x v="11"/>
    <n v="53"/>
    <n v="31"/>
    <x v="19"/>
    <x v="12"/>
    <s v="paylater"/>
    <n v="449954618"/>
  </r>
  <r>
    <x v="724"/>
    <x v="1"/>
    <x v="11"/>
    <n v="53"/>
    <n v="31"/>
    <x v="24"/>
    <x v="18"/>
    <s v="cashloan"/>
    <n v="3530190000"/>
  </r>
  <r>
    <x v="724"/>
    <x v="1"/>
    <x v="11"/>
    <n v="53"/>
    <n v="31"/>
    <x v="30"/>
    <x v="21"/>
    <s v="payday"/>
    <n v="0"/>
  </r>
  <r>
    <x v="725"/>
    <x v="2"/>
    <x v="0"/>
    <n v="1"/>
    <n v="1"/>
    <x v="3"/>
    <x v="3"/>
    <s v="cashloan"/>
    <n v="403000000"/>
  </r>
  <r>
    <x v="725"/>
    <x v="2"/>
    <x v="0"/>
    <n v="1"/>
    <n v="1"/>
    <x v="11"/>
    <x v="10"/>
    <s v="paylater"/>
    <n v="356607499"/>
  </r>
  <r>
    <x v="725"/>
    <x v="2"/>
    <x v="0"/>
    <n v="1"/>
    <n v="1"/>
    <x v="12"/>
    <x v="11"/>
    <s v="cashloan"/>
    <n v="11652570000"/>
  </r>
  <r>
    <x v="725"/>
    <x v="2"/>
    <x v="0"/>
    <n v="1"/>
    <n v="1"/>
    <x v="5"/>
    <x v="5"/>
    <s v="overdraft"/>
    <n v="2766246451"/>
  </r>
  <r>
    <x v="725"/>
    <x v="2"/>
    <x v="0"/>
    <n v="1"/>
    <n v="1"/>
    <x v="27"/>
    <x v="19"/>
    <s v="payday"/>
    <n v="11668428000"/>
  </r>
  <r>
    <x v="725"/>
    <x v="2"/>
    <x v="0"/>
    <n v="1"/>
    <n v="1"/>
    <x v="15"/>
    <x v="14"/>
    <s v="paylater"/>
    <n v="7045956"/>
  </r>
  <r>
    <x v="725"/>
    <x v="2"/>
    <x v="0"/>
    <n v="1"/>
    <n v="1"/>
    <x v="31"/>
    <x v="22"/>
    <s v="cashloan"/>
    <n v="0"/>
  </r>
  <r>
    <x v="725"/>
    <x v="2"/>
    <x v="0"/>
    <n v="1"/>
    <n v="1"/>
    <x v="14"/>
    <x v="13"/>
    <s v="cashloan"/>
    <n v="3759660000"/>
  </r>
  <r>
    <x v="725"/>
    <x v="2"/>
    <x v="0"/>
    <n v="1"/>
    <n v="1"/>
    <x v="33"/>
    <x v="13"/>
    <s v="cashloan"/>
    <n v="142350000"/>
  </r>
  <r>
    <x v="725"/>
    <x v="2"/>
    <x v="0"/>
    <n v="1"/>
    <n v="1"/>
    <x v="23"/>
    <x v="17"/>
    <s v="paylater"/>
    <n v="16372922"/>
  </r>
  <r>
    <x v="725"/>
    <x v="2"/>
    <x v="0"/>
    <n v="1"/>
    <n v="1"/>
    <x v="28"/>
    <x v="17"/>
    <s v="paylater"/>
    <n v="1588887066"/>
  </r>
  <r>
    <x v="725"/>
    <x v="2"/>
    <x v="0"/>
    <n v="1"/>
    <n v="1"/>
    <x v="8"/>
    <x v="8"/>
    <s v="cashloan"/>
    <n v="0"/>
  </r>
  <r>
    <x v="725"/>
    <x v="2"/>
    <x v="0"/>
    <n v="1"/>
    <n v="1"/>
    <x v="26"/>
    <x v="16"/>
    <s v="cashloan"/>
    <n v="319750000"/>
  </r>
  <r>
    <x v="725"/>
    <x v="2"/>
    <x v="0"/>
    <n v="1"/>
    <n v="1"/>
    <x v="32"/>
    <x v="16"/>
    <s v="cashloan"/>
    <n v="0"/>
  </r>
  <r>
    <x v="725"/>
    <x v="2"/>
    <x v="0"/>
    <n v="1"/>
    <n v="1"/>
    <x v="2"/>
    <x v="2"/>
    <s v="cashloan"/>
    <n v="13409520000"/>
  </r>
  <r>
    <x v="725"/>
    <x v="2"/>
    <x v="0"/>
    <n v="1"/>
    <n v="1"/>
    <x v="17"/>
    <x v="9"/>
    <s v="cashloan"/>
    <n v="0"/>
  </r>
  <r>
    <x v="725"/>
    <x v="2"/>
    <x v="0"/>
    <n v="1"/>
    <n v="1"/>
    <x v="20"/>
    <x v="9"/>
    <s v="cashloan"/>
    <n v="0"/>
  </r>
  <r>
    <x v="725"/>
    <x v="2"/>
    <x v="0"/>
    <n v="1"/>
    <n v="1"/>
    <x v="21"/>
    <x v="9"/>
    <s v="cashloan"/>
    <n v="0"/>
  </r>
  <r>
    <x v="725"/>
    <x v="2"/>
    <x v="0"/>
    <n v="1"/>
    <n v="1"/>
    <x v="25"/>
    <x v="2"/>
    <s v="cashloan"/>
    <n v="0"/>
  </r>
  <r>
    <x v="725"/>
    <x v="2"/>
    <x v="0"/>
    <n v="1"/>
    <n v="1"/>
    <x v="0"/>
    <x v="0"/>
    <s v="payday"/>
    <n v="9003096000"/>
  </r>
  <r>
    <x v="725"/>
    <x v="2"/>
    <x v="0"/>
    <n v="1"/>
    <n v="1"/>
    <x v="7"/>
    <x v="7"/>
    <s v="paylater"/>
    <n v="398190418"/>
  </r>
  <r>
    <x v="725"/>
    <x v="2"/>
    <x v="0"/>
    <n v="1"/>
    <n v="1"/>
    <x v="1"/>
    <x v="1"/>
    <s v="cashloan"/>
    <n v="0"/>
  </r>
  <r>
    <x v="725"/>
    <x v="2"/>
    <x v="0"/>
    <n v="1"/>
    <n v="1"/>
    <x v="6"/>
    <x v="6"/>
    <s v="payday"/>
    <n v="26000000"/>
  </r>
  <r>
    <x v="725"/>
    <x v="2"/>
    <x v="0"/>
    <n v="1"/>
    <n v="1"/>
    <x v="18"/>
    <x v="15"/>
    <s v="cashloan"/>
    <n v="505810000"/>
  </r>
  <r>
    <x v="725"/>
    <x v="2"/>
    <x v="0"/>
    <n v="1"/>
    <n v="1"/>
    <x v="29"/>
    <x v="20"/>
    <s v="payday"/>
    <n v="311688000"/>
  </r>
  <r>
    <x v="725"/>
    <x v="2"/>
    <x v="0"/>
    <n v="1"/>
    <n v="1"/>
    <x v="19"/>
    <x v="12"/>
    <s v="paylater"/>
    <n v="527539310"/>
  </r>
  <r>
    <x v="725"/>
    <x v="2"/>
    <x v="0"/>
    <n v="1"/>
    <n v="1"/>
    <x v="24"/>
    <x v="18"/>
    <s v="cashloan"/>
    <n v="2544540000"/>
  </r>
  <r>
    <x v="725"/>
    <x v="2"/>
    <x v="0"/>
    <n v="1"/>
    <n v="1"/>
    <x v="30"/>
    <x v="21"/>
    <s v="payday"/>
    <n v="0"/>
  </r>
  <r>
    <x v="726"/>
    <x v="2"/>
    <x v="0"/>
    <n v="1"/>
    <n v="2"/>
    <x v="3"/>
    <x v="3"/>
    <s v="cashloan"/>
    <n v="550050000"/>
  </r>
  <r>
    <x v="726"/>
    <x v="2"/>
    <x v="0"/>
    <n v="1"/>
    <n v="2"/>
    <x v="11"/>
    <x v="10"/>
    <s v="paylater"/>
    <n v="337710506"/>
  </r>
  <r>
    <x v="726"/>
    <x v="2"/>
    <x v="0"/>
    <n v="1"/>
    <n v="2"/>
    <x v="12"/>
    <x v="11"/>
    <s v="cashloan"/>
    <n v="14212680000"/>
  </r>
  <r>
    <x v="726"/>
    <x v="2"/>
    <x v="0"/>
    <n v="1"/>
    <n v="2"/>
    <x v="5"/>
    <x v="5"/>
    <s v="overdraft"/>
    <n v="2790710138"/>
  </r>
  <r>
    <x v="726"/>
    <x v="2"/>
    <x v="0"/>
    <n v="1"/>
    <n v="2"/>
    <x v="27"/>
    <x v="19"/>
    <s v="payday"/>
    <n v="13163796000"/>
  </r>
  <r>
    <x v="726"/>
    <x v="2"/>
    <x v="0"/>
    <n v="1"/>
    <n v="2"/>
    <x v="15"/>
    <x v="14"/>
    <s v="paylater"/>
    <n v="24139175"/>
  </r>
  <r>
    <x v="726"/>
    <x v="2"/>
    <x v="0"/>
    <n v="1"/>
    <n v="2"/>
    <x v="31"/>
    <x v="22"/>
    <s v="cashloan"/>
    <n v="0"/>
  </r>
  <r>
    <x v="726"/>
    <x v="2"/>
    <x v="0"/>
    <n v="1"/>
    <n v="2"/>
    <x v="14"/>
    <x v="13"/>
    <s v="cashloan"/>
    <n v="3995340000"/>
  </r>
  <r>
    <x v="726"/>
    <x v="2"/>
    <x v="0"/>
    <n v="1"/>
    <n v="2"/>
    <x v="33"/>
    <x v="13"/>
    <s v="cashloan"/>
    <n v="311000000"/>
  </r>
  <r>
    <x v="726"/>
    <x v="2"/>
    <x v="0"/>
    <n v="1"/>
    <n v="2"/>
    <x v="23"/>
    <x v="17"/>
    <s v="paylater"/>
    <n v="32294086"/>
  </r>
  <r>
    <x v="726"/>
    <x v="2"/>
    <x v="0"/>
    <n v="1"/>
    <n v="2"/>
    <x v="28"/>
    <x v="17"/>
    <s v="paylater"/>
    <n v="1843429754"/>
  </r>
  <r>
    <x v="726"/>
    <x v="2"/>
    <x v="0"/>
    <n v="1"/>
    <n v="2"/>
    <x v="8"/>
    <x v="8"/>
    <s v="cashloan"/>
    <n v="0"/>
  </r>
  <r>
    <x v="726"/>
    <x v="2"/>
    <x v="0"/>
    <n v="1"/>
    <n v="2"/>
    <x v="26"/>
    <x v="16"/>
    <s v="cashloan"/>
    <n v="496450000"/>
  </r>
  <r>
    <x v="726"/>
    <x v="2"/>
    <x v="0"/>
    <n v="1"/>
    <n v="2"/>
    <x v="32"/>
    <x v="16"/>
    <s v="cashloan"/>
    <n v="0"/>
  </r>
  <r>
    <x v="726"/>
    <x v="2"/>
    <x v="0"/>
    <n v="1"/>
    <n v="2"/>
    <x v="2"/>
    <x v="2"/>
    <s v="cashloan"/>
    <n v="16626100000"/>
  </r>
  <r>
    <x v="726"/>
    <x v="2"/>
    <x v="0"/>
    <n v="1"/>
    <n v="2"/>
    <x v="17"/>
    <x v="9"/>
    <s v="cashloan"/>
    <n v="0"/>
  </r>
  <r>
    <x v="726"/>
    <x v="2"/>
    <x v="0"/>
    <n v="1"/>
    <n v="2"/>
    <x v="20"/>
    <x v="9"/>
    <s v="cashloan"/>
    <n v="0"/>
  </r>
  <r>
    <x v="726"/>
    <x v="2"/>
    <x v="0"/>
    <n v="1"/>
    <n v="2"/>
    <x v="21"/>
    <x v="9"/>
    <s v="cashloan"/>
    <n v="0"/>
  </r>
  <r>
    <x v="726"/>
    <x v="2"/>
    <x v="0"/>
    <n v="1"/>
    <n v="2"/>
    <x v="25"/>
    <x v="2"/>
    <s v="cashloan"/>
    <n v="0"/>
  </r>
  <r>
    <x v="726"/>
    <x v="2"/>
    <x v="0"/>
    <n v="1"/>
    <n v="2"/>
    <x v="0"/>
    <x v="0"/>
    <s v="payday"/>
    <n v="9966780000"/>
  </r>
  <r>
    <x v="726"/>
    <x v="2"/>
    <x v="0"/>
    <n v="1"/>
    <n v="2"/>
    <x v="7"/>
    <x v="7"/>
    <s v="paylater"/>
    <n v="449771094"/>
  </r>
  <r>
    <x v="726"/>
    <x v="2"/>
    <x v="0"/>
    <n v="1"/>
    <n v="2"/>
    <x v="1"/>
    <x v="1"/>
    <s v="cashloan"/>
    <n v="21000000"/>
  </r>
  <r>
    <x v="726"/>
    <x v="2"/>
    <x v="0"/>
    <n v="1"/>
    <n v="2"/>
    <x v="6"/>
    <x v="6"/>
    <s v="payday"/>
    <n v="53000000"/>
  </r>
  <r>
    <x v="726"/>
    <x v="2"/>
    <x v="0"/>
    <n v="1"/>
    <n v="2"/>
    <x v="18"/>
    <x v="15"/>
    <s v="cashloan"/>
    <n v="783230000"/>
  </r>
  <r>
    <x v="726"/>
    <x v="2"/>
    <x v="0"/>
    <n v="1"/>
    <n v="2"/>
    <x v="29"/>
    <x v="20"/>
    <s v="payday"/>
    <n v="423468000"/>
  </r>
  <r>
    <x v="726"/>
    <x v="2"/>
    <x v="0"/>
    <n v="1"/>
    <n v="2"/>
    <x v="19"/>
    <x v="12"/>
    <s v="paylater"/>
    <n v="916912945"/>
  </r>
  <r>
    <x v="726"/>
    <x v="2"/>
    <x v="0"/>
    <n v="1"/>
    <n v="2"/>
    <x v="24"/>
    <x v="18"/>
    <s v="cashloan"/>
    <n v="3083130000"/>
  </r>
  <r>
    <x v="726"/>
    <x v="2"/>
    <x v="0"/>
    <n v="1"/>
    <n v="2"/>
    <x v="30"/>
    <x v="21"/>
    <s v="payday"/>
    <n v="0"/>
  </r>
  <r>
    <x v="727"/>
    <x v="2"/>
    <x v="0"/>
    <n v="1"/>
    <n v="3"/>
    <x v="3"/>
    <x v="3"/>
    <s v="cashloan"/>
    <n v="583250000"/>
  </r>
  <r>
    <x v="727"/>
    <x v="2"/>
    <x v="0"/>
    <n v="1"/>
    <n v="3"/>
    <x v="11"/>
    <x v="10"/>
    <s v="paylater"/>
    <n v="359899091"/>
  </r>
  <r>
    <x v="727"/>
    <x v="2"/>
    <x v="0"/>
    <n v="1"/>
    <n v="3"/>
    <x v="12"/>
    <x v="11"/>
    <s v="cashloan"/>
    <n v="14456160000"/>
  </r>
  <r>
    <x v="727"/>
    <x v="2"/>
    <x v="0"/>
    <n v="1"/>
    <n v="3"/>
    <x v="5"/>
    <x v="5"/>
    <s v="overdraft"/>
    <n v="2349436887"/>
  </r>
  <r>
    <x v="727"/>
    <x v="2"/>
    <x v="0"/>
    <n v="1"/>
    <n v="3"/>
    <x v="27"/>
    <x v="19"/>
    <s v="payday"/>
    <n v="12671856000"/>
  </r>
  <r>
    <x v="727"/>
    <x v="2"/>
    <x v="0"/>
    <n v="1"/>
    <n v="3"/>
    <x v="15"/>
    <x v="14"/>
    <s v="paylater"/>
    <n v="76636650"/>
  </r>
  <r>
    <x v="727"/>
    <x v="2"/>
    <x v="0"/>
    <n v="1"/>
    <n v="3"/>
    <x v="31"/>
    <x v="22"/>
    <s v="cashloan"/>
    <n v="169000000"/>
  </r>
  <r>
    <x v="727"/>
    <x v="2"/>
    <x v="0"/>
    <n v="1"/>
    <n v="3"/>
    <x v="14"/>
    <x v="13"/>
    <s v="cashloan"/>
    <n v="3154650000"/>
  </r>
  <r>
    <x v="727"/>
    <x v="2"/>
    <x v="0"/>
    <n v="1"/>
    <n v="3"/>
    <x v="33"/>
    <x v="13"/>
    <s v="cashloan"/>
    <n v="297150000"/>
  </r>
  <r>
    <x v="727"/>
    <x v="2"/>
    <x v="0"/>
    <n v="1"/>
    <n v="3"/>
    <x v="23"/>
    <x v="17"/>
    <s v="paylater"/>
    <n v="52658904"/>
  </r>
  <r>
    <x v="727"/>
    <x v="2"/>
    <x v="0"/>
    <n v="1"/>
    <n v="3"/>
    <x v="28"/>
    <x v="17"/>
    <s v="paylater"/>
    <n v="2503625665"/>
  </r>
  <r>
    <x v="727"/>
    <x v="2"/>
    <x v="0"/>
    <n v="1"/>
    <n v="3"/>
    <x v="8"/>
    <x v="8"/>
    <s v="cashloan"/>
    <n v="0"/>
  </r>
  <r>
    <x v="727"/>
    <x v="2"/>
    <x v="0"/>
    <n v="1"/>
    <n v="3"/>
    <x v="26"/>
    <x v="16"/>
    <s v="cashloan"/>
    <n v="676500000"/>
  </r>
  <r>
    <x v="727"/>
    <x v="2"/>
    <x v="0"/>
    <n v="1"/>
    <n v="3"/>
    <x v="32"/>
    <x v="16"/>
    <s v="cashloan"/>
    <n v="0"/>
  </r>
  <r>
    <x v="727"/>
    <x v="2"/>
    <x v="0"/>
    <n v="1"/>
    <n v="3"/>
    <x v="2"/>
    <x v="2"/>
    <s v="cashloan"/>
    <n v="15849000000"/>
  </r>
  <r>
    <x v="727"/>
    <x v="2"/>
    <x v="0"/>
    <n v="1"/>
    <n v="3"/>
    <x v="17"/>
    <x v="9"/>
    <s v="cashloan"/>
    <n v="0"/>
  </r>
  <r>
    <x v="727"/>
    <x v="2"/>
    <x v="0"/>
    <n v="1"/>
    <n v="3"/>
    <x v="20"/>
    <x v="9"/>
    <s v="cashloan"/>
    <n v="0"/>
  </r>
  <r>
    <x v="727"/>
    <x v="2"/>
    <x v="0"/>
    <n v="1"/>
    <n v="3"/>
    <x v="21"/>
    <x v="9"/>
    <s v="cashloan"/>
    <n v="0"/>
  </r>
  <r>
    <x v="727"/>
    <x v="2"/>
    <x v="0"/>
    <n v="1"/>
    <n v="3"/>
    <x v="25"/>
    <x v="2"/>
    <s v="cashloan"/>
    <n v="0"/>
  </r>
  <r>
    <x v="727"/>
    <x v="2"/>
    <x v="0"/>
    <n v="1"/>
    <n v="3"/>
    <x v="0"/>
    <x v="0"/>
    <s v="payday"/>
    <n v="9353772000"/>
  </r>
  <r>
    <x v="727"/>
    <x v="2"/>
    <x v="0"/>
    <n v="1"/>
    <n v="3"/>
    <x v="7"/>
    <x v="7"/>
    <s v="paylater"/>
    <n v="494063226"/>
  </r>
  <r>
    <x v="727"/>
    <x v="2"/>
    <x v="0"/>
    <n v="1"/>
    <n v="3"/>
    <x v="1"/>
    <x v="1"/>
    <s v="cashloan"/>
    <n v="0"/>
  </r>
  <r>
    <x v="727"/>
    <x v="2"/>
    <x v="0"/>
    <n v="1"/>
    <n v="3"/>
    <x v="6"/>
    <x v="6"/>
    <s v="payday"/>
    <n v="58000000"/>
  </r>
  <r>
    <x v="727"/>
    <x v="2"/>
    <x v="0"/>
    <n v="1"/>
    <n v="3"/>
    <x v="18"/>
    <x v="15"/>
    <s v="cashloan"/>
    <n v="963500000"/>
  </r>
  <r>
    <x v="727"/>
    <x v="2"/>
    <x v="0"/>
    <n v="1"/>
    <n v="3"/>
    <x v="29"/>
    <x v="20"/>
    <s v="payday"/>
    <n v="333504000"/>
  </r>
  <r>
    <x v="727"/>
    <x v="2"/>
    <x v="0"/>
    <n v="1"/>
    <n v="3"/>
    <x v="19"/>
    <x v="12"/>
    <s v="paylater"/>
    <n v="1276435037"/>
  </r>
  <r>
    <x v="727"/>
    <x v="2"/>
    <x v="0"/>
    <n v="1"/>
    <n v="3"/>
    <x v="24"/>
    <x v="18"/>
    <s v="cashloan"/>
    <n v="3123240000"/>
  </r>
  <r>
    <x v="727"/>
    <x v="2"/>
    <x v="0"/>
    <n v="1"/>
    <n v="3"/>
    <x v="30"/>
    <x v="21"/>
    <s v="payday"/>
    <n v="0"/>
  </r>
  <r>
    <x v="728"/>
    <x v="2"/>
    <x v="0"/>
    <n v="1"/>
    <n v="4"/>
    <x v="3"/>
    <x v="3"/>
    <s v="cashloan"/>
    <n v="596850000"/>
  </r>
  <r>
    <x v="728"/>
    <x v="2"/>
    <x v="0"/>
    <n v="1"/>
    <n v="4"/>
    <x v="11"/>
    <x v="10"/>
    <s v="paylater"/>
    <n v="441460119"/>
  </r>
  <r>
    <x v="728"/>
    <x v="2"/>
    <x v="0"/>
    <n v="1"/>
    <n v="4"/>
    <x v="12"/>
    <x v="11"/>
    <s v="cashloan"/>
    <n v="13472970000"/>
  </r>
  <r>
    <x v="728"/>
    <x v="2"/>
    <x v="0"/>
    <n v="1"/>
    <n v="4"/>
    <x v="5"/>
    <x v="5"/>
    <s v="overdraft"/>
    <n v="2438419059"/>
  </r>
  <r>
    <x v="728"/>
    <x v="2"/>
    <x v="0"/>
    <n v="1"/>
    <n v="4"/>
    <x v="27"/>
    <x v="19"/>
    <s v="payday"/>
    <n v="12509640000"/>
  </r>
  <r>
    <x v="728"/>
    <x v="2"/>
    <x v="0"/>
    <n v="1"/>
    <n v="4"/>
    <x v="15"/>
    <x v="14"/>
    <s v="paylater"/>
    <n v="70640202"/>
  </r>
  <r>
    <x v="728"/>
    <x v="2"/>
    <x v="0"/>
    <n v="1"/>
    <n v="4"/>
    <x v="31"/>
    <x v="22"/>
    <s v="cashloan"/>
    <n v="0"/>
  </r>
  <r>
    <x v="728"/>
    <x v="2"/>
    <x v="0"/>
    <n v="1"/>
    <n v="4"/>
    <x v="14"/>
    <x v="13"/>
    <s v="cashloan"/>
    <n v="4516770000"/>
  </r>
  <r>
    <x v="728"/>
    <x v="2"/>
    <x v="0"/>
    <n v="1"/>
    <n v="4"/>
    <x v="33"/>
    <x v="13"/>
    <s v="cashloan"/>
    <n v="369950000"/>
  </r>
  <r>
    <x v="728"/>
    <x v="2"/>
    <x v="0"/>
    <n v="1"/>
    <n v="4"/>
    <x v="23"/>
    <x v="17"/>
    <s v="paylater"/>
    <n v="70201029"/>
  </r>
  <r>
    <x v="728"/>
    <x v="2"/>
    <x v="0"/>
    <n v="1"/>
    <n v="4"/>
    <x v="28"/>
    <x v="17"/>
    <s v="paylater"/>
    <n v="2874242217"/>
  </r>
  <r>
    <x v="728"/>
    <x v="2"/>
    <x v="0"/>
    <n v="1"/>
    <n v="4"/>
    <x v="8"/>
    <x v="8"/>
    <s v="cashloan"/>
    <n v="0"/>
  </r>
  <r>
    <x v="728"/>
    <x v="2"/>
    <x v="0"/>
    <n v="1"/>
    <n v="4"/>
    <x v="26"/>
    <x v="16"/>
    <s v="cashloan"/>
    <n v="366000000"/>
  </r>
  <r>
    <x v="728"/>
    <x v="2"/>
    <x v="0"/>
    <n v="1"/>
    <n v="4"/>
    <x v="32"/>
    <x v="16"/>
    <s v="cashloan"/>
    <n v="0"/>
  </r>
  <r>
    <x v="728"/>
    <x v="2"/>
    <x v="0"/>
    <n v="1"/>
    <n v="4"/>
    <x v="2"/>
    <x v="2"/>
    <s v="cashloan"/>
    <n v="14323530000"/>
  </r>
  <r>
    <x v="728"/>
    <x v="2"/>
    <x v="0"/>
    <n v="1"/>
    <n v="4"/>
    <x v="17"/>
    <x v="9"/>
    <s v="cashloan"/>
    <n v="0"/>
  </r>
  <r>
    <x v="728"/>
    <x v="2"/>
    <x v="0"/>
    <n v="1"/>
    <n v="4"/>
    <x v="20"/>
    <x v="9"/>
    <s v="cashloan"/>
    <n v="0"/>
  </r>
  <r>
    <x v="728"/>
    <x v="2"/>
    <x v="0"/>
    <n v="1"/>
    <n v="4"/>
    <x v="21"/>
    <x v="9"/>
    <s v="cashloan"/>
    <n v="0"/>
  </r>
  <r>
    <x v="728"/>
    <x v="2"/>
    <x v="0"/>
    <n v="1"/>
    <n v="4"/>
    <x v="25"/>
    <x v="2"/>
    <s v="cashloan"/>
    <n v="0"/>
  </r>
  <r>
    <x v="728"/>
    <x v="2"/>
    <x v="0"/>
    <n v="1"/>
    <n v="4"/>
    <x v="0"/>
    <x v="0"/>
    <s v="payday"/>
    <n v="9263484000"/>
  </r>
  <r>
    <x v="728"/>
    <x v="2"/>
    <x v="0"/>
    <n v="1"/>
    <n v="4"/>
    <x v="7"/>
    <x v="7"/>
    <s v="paylater"/>
    <n v="637812477"/>
  </r>
  <r>
    <x v="728"/>
    <x v="2"/>
    <x v="0"/>
    <n v="1"/>
    <n v="4"/>
    <x v="1"/>
    <x v="1"/>
    <s v="cashloan"/>
    <n v="21000000"/>
  </r>
  <r>
    <x v="728"/>
    <x v="2"/>
    <x v="0"/>
    <n v="1"/>
    <n v="4"/>
    <x v="6"/>
    <x v="6"/>
    <s v="payday"/>
    <n v="32000000"/>
  </r>
  <r>
    <x v="728"/>
    <x v="2"/>
    <x v="0"/>
    <n v="1"/>
    <n v="4"/>
    <x v="18"/>
    <x v="15"/>
    <s v="cashloan"/>
    <n v="745310000"/>
  </r>
  <r>
    <x v="728"/>
    <x v="2"/>
    <x v="0"/>
    <n v="1"/>
    <n v="4"/>
    <x v="29"/>
    <x v="20"/>
    <s v="payday"/>
    <n v="302616000"/>
  </r>
  <r>
    <x v="728"/>
    <x v="2"/>
    <x v="0"/>
    <n v="1"/>
    <n v="4"/>
    <x v="19"/>
    <x v="12"/>
    <s v="paylater"/>
    <n v="1757446176"/>
  </r>
  <r>
    <x v="728"/>
    <x v="2"/>
    <x v="0"/>
    <n v="1"/>
    <n v="4"/>
    <x v="24"/>
    <x v="18"/>
    <s v="cashloan"/>
    <n v="3292270000"/>
  </r>
  <r>
    <x v="728"/>
    <x v="2"/>
    <x v="0"/>
    <n v="1"/>
    <n v="4"/>
    <x v="30"/>
    <x v="21"/>
    <s v="payday"/>
    <n v="0"/>
  </r>
  <r>
    <x v="729"/>
    <x v="2"/>
    <x v="0"/>
    <n v="2"/>
    <n v="5"/>
    <x v="3"/>
    <x v="3"/>
    <s v="cashloan"/>
    <n v="687250000"/>
  </r>
  <r>
    <x v="729"/>
    <x v="2"/>
    <x v="0"/>
    <n v="2"/>
    <n v="5"/>
    <x v="11"/>
    <x v="10"/>
    <s v="paylater"/>
    <n v="449006164"/>
  </r>
  <r>
    <x v="729"/>
    <x v="2"/>
    <x v="0"/>
    <n v="2"/>
    <n v="5"/>
    <x v="12"/>
    <x v="11"/>
    <s v="cashloan"/>
    <n v="18178310000"/>
  </r>
  <r>
    <x v="729"/>
    <x v="2"/>
    <x v="0"/>
    <n v="2"/>
    <n v="5"/>
    <x v="5"/>
    <x v="5"/>
    <s v="overdraft"/>
    <n v="3013009921"/>
  </r>
  <r>
    <x v="729"/>
    <x v="2"/>
    <x v="0"/>
    <n v="2"/>
    <n v="5"/>
    <x v="27"/>
    <x v="19"/>
    <s v="payday"/>
    <n v="16151940000"/>
  </r>
  <r>
    <x v="729"/>
    <x v="2"/>
    <x v="0"/>
    <n v="2"/>
    <n v="5"/>
    <x v="15"/>
    <x v="14"/>
    <s v="paylater"/>
    <n v="65833326"/>
  </r>
  <r>
    <x v="729"/>
    <x v="2"/>
    <x v="0"/>
    <n v="2"/>
    <n v="5"/>
    <x v="31"/>
    <x v="22"/>
    <s v="cashloan"/>
    <n v="90000000"/>
  </r>
  <r>
    <x v="729"/>
    <x v="2"/>
    <x v="0"/>
    <n v="2"/>
    <n v="5"/>
    <x v="14"/>
    <x v="13"/>
    <s v="cashloan"/>
    <n v="4914460000"/>
  </r>
  <r>
    <x v="729"/>
    <x v="2"/>
    <x v="0"/>
    <n v="2"/>
    <n v="5"/>
    <x v="33"/>
    <x v="13"/>
    <s v="cashloan"/>
    <n v="288300000"/>
  </r>
  <r>
    <x v="729"/>
    <x v="2"/>
    <x v="0"/>
    <n v="2"/>
    <n v="5"/>
    <x v="23"/>
    <x v="17"/>
    <s v="paylater"/>
    <n v="58697374"/>
  </r>
  <r>
    <x v="729"/>
    <x v="2"/>
    <x v="0"/>
    <n v="2"/>
    <n v="5"/>
    <x v="28"/>
    <x v="17"/>
    <s v="paylater"/>
    <n v="2103866423"/>
  </r>
  <r>
    <x v="729"/>
    <x v="2"/>
    <x v="0"/>
    <n v="2"/>
    <n v="5"/>
    <x v="8"/>
    <x v="8"/>
    <s v="cashloan"/>
    <n v="0"/>
  </r>
  <r>
    <x v="729"/>
    <x v="2"/>
    <x v="0"/>
    <n v="2"/>
    <n v="5"/>
    <x v="26"/>
    <x v="16"/>
    <s v="cashloan"/>
    <n v="753750000"/>
  </r>
  <r>
    <x v="729"/>
    <x v="2"/>
    <x v="0"/>
    <n v="2"/>
    <n v="5"/>
    <x v="32"/>
    <x v="16"/>
    <s v="cashloan"/>
    <n v="0"/>
  </r>
  <r>
    <x v="729"/>
    <x v="2"/>
    <x v="0"/>
    <n v="2"/>
    <n v="5"/>
    <x v="2"/>
    <x v="2"/>
    <s v="cashloan"/>
    <n v="18812710000"/>
  </r>
  <r>
    <x v="729"/>
    <x v="2"/>
    <x v="0"/>
    <n v="2"/>
    <n v="5"/>
    <x v="17"/>
    <x v="9"/>
    <s v="cashloan"/>
    <n v="0"/>
  </r>
  <r>
    <x v="729"/>
    <x v="2"/>
    <x v="0"/>
    <n v="2"/>
    <n v="5"/>
    <x v="20"/>
    <x v="9"/>
    <s v="cashloan"/>
    <n v="0"/>
  </r>
  <r>
    <x v="729"/>
    <x v="2"/>
    <x v="0"/>
    <n v="2"/>
    <n v="5"/>
    <x v="21"/>
    <x v="9"/>
    <s v="cashloan"/>
    <n v="0"/>
  </r>
  <r>
    <x v="729"/>
    <x v="2"/>
    <x v="0"/>
    <n v="2"/>
    <n v="5"/>
    <x v="25"/>
    <x v="2"/>
    <s v="cashloan"/>
    <n v="0"/>
  </r>
  <r>
    <x v="729"/>
    <x v="2"/>
    <x v="0"/>
    <n v="2"/>
    <n v="5"/>
    <x v="0"/>
    <x v="0"/>
    <s v="payday"/>
    <n v="10797300000"/>
  </r>
  <r>
    <x v="729"/>
    <x v="2"/>
    <x v="0"/>
    <n v="2"/>
    <n v="5"/>
    <x v="7"/>
    <x v="7"/>
    <s v="paylater"/>
    <n v="637389668"/>
  </r>
  <r>
    <x v="729"/>
    <x v="2"/>
    <x v="0"/>
    <n v="2"/>
    <n v="5"/>
    <x v="1"/>
    <x v="1"/>
    <s v="cashloan"/>
    <n v="21000000"/>
  </r>
  <r>
    <x v="729"/>
    <x v="2"/>
    <x v="0"/>
    <n v="2"/>
    <n v="5"/>
    <x v="6"/>
    <x v="6"/>
    <s v="payday"/>
    <n v="86000000"/>
  </r>
  <r>
    <x v="729"/>
    <x v="2"/>
    <x v="0"/>
    <n v="2"/>
    <n v="5"/>
    <x v="18"/>
    <x v="15"/>
    <s v="cashloan"/>
    <n v="1035290000"/>
  </r>
  <r>
    <x v="729"/>
    <x v="2"/>
    <x v="0"/>
    <n v="2"/>
    <n v="5"/>
    <x v="29"/>
    <x v="20"/>
    <s v="payday"/>
    <n v="454680000"/>
  </r>
  <r>
    <x v="729"/>
    <x v="2"/>
    <x v="0"/>
    <n v="2"/>
    <n v="5"/>
    <x v="19"/>
    <x v="12"/>
    <s v="paylater"/>
    <n v="1426686840"/>
  </r>
  <r>
    <x v="729"/>
    <x v="2"/>
    <x v="0"/>
    <n v="2"/>
    <n v="5"/>
    <x v="24"/>
    <x v="18"/>
    <s v="cashloan"/>
    <n v="4379930000"/>
  </r>
  <r>
    <x v="729"/>
    <x v="2"/>
    <x v="0"/>
    <n v="2"/>
    <n v="5"/>
    <x v="30"/>
    <x v="21"/>
    <s v="payday"/>
    <n v="0"/>
  </r>
  <r>
    <x v="730"/>
    <x v="2"/>
    <x v="0"/>
    <n v="2"/>
    <n v="6"/>
    <x v="3"/>
    <x v="3"/>
    <s v="cashloan"/>
    <n v="826700000"/>
  </r>
  <r>
    <x v="730"/>
    <x v="2"/>
    <x v="0"/>
    <n v="2"/>
    <n v="6"/>
    <x v="11"/>
    <x v="10"/>
    <s v="paylater"/>
    <n v="435192867"/>
  </r>
  <r>
    <x v="730"/>
    <x v="2"/>
    <x v="0"/>
    <n v="2"/>
    <n v="6"/>
    <x v="12"/>
    <x v="11"/>
    <s v="cashloan"/>
    <n v="15569330000"/>
  </r>
  <r>
    <x v="730"/>
    <x v="2"/>
    <x v="0"/>
    <n v="2"/>
    <n v="6"/>
    <x v="5"/>
    <x v="5"/>
    <s v="overdraft"/>
    <n v="2231074599"/>
  </r>
  <r>
    <x v="730"/>
    <x v="2"/>
    <x v="0"/>
    <n v="2"/>
    <n v="6"/>
    <x v="27"/>
    <x v="19"/>
    <s v="payday"/>
    <n v="13687920000"/>
  </r>
  <r>
    <x v="730"/>
    <x v="2"/>
    <x v="0"/>
    <n v="2"/>
    <n v="6"/>
    <x v="15"/>
    <x v="14"/>
    <s v="paylater"/>
    <n v="27400994"/>
  </r>
  <r>
    <x v="730"/>
    <x v="2"/>
    <x v="0"/>
    <n v="2"/>
    <n v="6"/>
    <x v="31"/>
    <x v="22"/>
    <s v="cashloan"/>
    <n v="0"/>
  </r>
  <r>
    <x v="730"/>
    <x v="2"/>
    <x v="0"/>
    <n v="2"/>
    <n v="6"/>
    <x v="14"/>
    <x v="13"/>
    <s v="cashloan"/>
    <n v="4482220000"/>
  </r>
  <r>
    <x v="730"/>
    <x v="2"/>
    <x v="0"/>
    <n v="2"/>
    <n v="6"/>
    <x v="33"/>
    <x v="13"/>
    <s v="cashloan"/>
    <n v="318900000"/>
  </r>
  <r>
    <x v="730"/>
    <x v="2"/>
    <x v="0"/>
    <n v="2"/>
    <n v="6"/>
    <x v="23"/>
    <x v="17"/>
    <s v="paylater"/>
    <n v="19957405"/>
  </r>
  <r>
    <x v="730"/>
    <x v="2"/>
    <x v="0"/>
    <n v="2"/>
    <n v="6"/>
    <x v="28"/>
    <x v="17"/>
    <s v="paylater"/>
    <n v="1543296050"/>
  </r>
  <r>
    <x v="730"/>
    <x v="2"/>
    <x v="0"/>
    <n v="2"/>
    <n v="6"/>
    <x v="8"/>
    <x v="8"/>
    <s v="cashloan"/>
    <n v="0"/>
  </r>
  <r>
    <x v="730"/>
    <x v="2"/>
    <x v="0"/>
    <n v="2"/>
    <n v="6"/>
    <x v="26"/>
    <x v="16"/>
    <s v="cashloan"/>
    <n v="331500000"/>
  </r>
  <r>
    <x v="730"/>
    <x v="2"/>
    <x v="0"/>
    <n v="2"/>
    <n v="6"/>
    <x v="32"/>
    <x v="16"/>
    <s v="cashloan"/>
    <n v="0"/>
  </r>
  <r>
    <x v="730"/>
    <x v="2"/>
    <x v="0"/>
    <n v="2"/>
    <n v="6"/>
    <x v="2"/>
    <x v="2"/>
    <s v="cashloan"/>
    <n v="16112910000"/>
  </r>
  <r>
    <x v="730"/>
    <x v="2"/>
    <x v="0"/>
    <n v="2"/>
    <n v="6"/>
    <x v="17"/>
    <x v="9"/>
    <s v="cashloan"/>
    <n v="0"/>
  </r>
  <r>
    <x v="730"/>
    <x v="2"/>
    <x v="0"/>
    <n v="2"/>
    <n v="6"/>
    <x v="20"/>
    <x v="9"/>
    <s v="cashloan"/>
    <n v="0"/>
  </r>
  <r>
    <x v="730"/>
    <x v="2"/>
    <x v="0"/>
    <n v="2"/>
    <n v="6"/>
    <x v="21"/>
    <x v="9"/>
    <s v="cashloan"/>
    <n v="0"/>
  </r>
  <r>
    <x v="730"/>
    <x v="2"/>
    <x v="0"/>
    <n v="2"/>
    <n v="6"/>
    <x v="25"/>
    <x v="2"/>
    <s v="cashloan"/>
    <n v="0"/>
  </r>
  <r>
    <x v="730"/>
    <x v="2"/>
    <x v="0"/>
    <n v="2"/>
    <n v="6"/>
    <x v="0"/>
    <x v="0"/>
    <s v="payday"/>
    <n v="9791604000"/>
  </r>
  <r>
    <x v="730"/>
    <x v="2"/>
    <x v="0"/>
    <n v="2"/>
    <n v="6"/>
    <x v="7"/>
    <x v="7"/>
    <s v="paylater"/>
    <n v="350790852"/>
  </r>
  <r>
    <x v="730"/>
    <x v="2"/>
    <x v="0"/>
    <n v="2"/>
    <n v="6"/>
    <x v="1"/>
    <x v="1"/>
    <s v="cashloan"/>
    <n v="21000000"/>
  </r>
  <r>
    <x v="730"/>
    <x v="2"/>
    <x v="0"/>
    <n v="2"/>
    <n v="6"/>
    <x v="6"/>
    <x v="6"/>
    <s v="payday"/>
    <n v="73000000"/>
  </r>
  <r>
    <x v="730"/>
    <x v="2"/>
    <x v="0"/>
    <n v="2"/>
    <n v="6"/>
    <x v="18"/>
    <x v="15"/>
    <s v="cashloan"/>
    <n v="524560000"/>
  </r>
  <r>
    <x v="730"/>
    <x v="2"/>
    <x v="0"/>
    <n v="2"/>
    <n v="6"/>
    <x v="29"/>
    <x v="20"/>
    <s v="payday"/>
    <n v="297756000"/>
  </r>
  <r>
    <x v="730"/>
    <x v="2"/>
    <x v="0"/>
    <n v="2"/>
    <n v="6"/>
    <x v="19"/>
    <x v="12"/>
    <s v="paylater"/>
    <n v="843024671"/>
  </r>
  <r>
    <x v="730"/>
    <x v="2"/>
    <x v="0"/>
    <n v="2"/>
    <n v="6"/>
    <x v="24"/>
    <x v="18"/>
    <s v="cashloan"/>
    <n v="4133690000"/>
  </r>
  <r>
    <x v="730"/>
    <x v="2"/>
    <x v="0"/>
    <n v="2"/>
    <n v="6"/>
    <x v="30"/>
    <x v="21"/>
    <s v="payday"/>
    <n v="0"/>
  </r>
  <r>
    <x v="731"/>
    <x v="2"/>
    <x v="0"/>
    <n v="2"/>
    <n v="7"/>
    <x v="3"/>
    <x v="3"/>
    <s v="cashloan"/>
    <n v="907400000"/>
  </r>
  <r>
    <x v="731"/>
    <x v="2"/>
    <x v="0"/>
    <n v="2"/>
    <n v="7"/>
    <x v="11"/>
    <x v="10"/>
    <s v="paylater"/>
    <n v="400817994"/>
  </r>
  <r>
    <x v="731"/>
    <x v="2"/>
    <x v="0"/>
    <n v="2"/>
    <n v="7"/>
    <x v="12"/>
    <x v="11"/>
    <s v="cashloan"/>
    <n v="15492080000"/>
  </r>
  <r>
    <x v="731"/>
    <x v="2"/>
    <x v="0"/>
    <n v="2"/>
    <n v="7"/>
    <x v="5"/>
    <x v="5"/>
    <s v="overdraft"/>
    <n v="1892761441"/>
  </r>
  <r>
    <x v="731"/>
    <x v="2"/>
    <x v="0"/>
    <n v="2"/>
    <n v="7"/>
    <x v="27"/>
    <x v="19"/>
    <s v="payday"/>
    <n v="13269096000"/>
  </r>
  <r>
    <x v="731"/>
    <x v="2"/>
    <x v="0"/>
    <n v="2"/>
    <n v="7"/>
    <x v="15"/>
    <x v="14"/>
    <s v="paylater"/>
    <n v="24325145"/>
  </r>
  <r>
    <x v="731"/>
    <x v="2"/>
    <x v="0"/>
    <n v="2"/>
    <n v="7"/>
    <x v="31"/>
    <x v="22"/>
    <s v="cashloan"/>
    <n v="0"/>
  </r>
  <r>
    <x v="731"/>
    <x v="2"/>
    <x v="0"/>
    <n v="2"/>
    <n v="7"/>
    <x v="14"/>
    <x v="13"/>
    <s v="cashloan"/>
    <n v="4550680000"/>
  </r>
  <r>
    <x v="731"/>
    <x v="2"/>
    <x v="0"/>
    <n v="2"/>
    <n v="7"/>
    <x v="33"/>
    <x v="13"/>
    <s v="cashloan"/>
    <n v="452650000"/>
  </r>
  <r>
    <x v="731"/>
    <x v="2"/>
    <x v="0"/>
    <n v="2"/>
    <n v="7"/>
    <x v="23"/>
    <x v="17"/>
    <s v="paylater"/>
    <n v="25534191"/>
  </r>
  <r>
    <x v="731"/>
    <x v="2"/>
    <x v="0"/>
    <n v="2"/>
    <n v="7"/>
    <x v="28"/>
    <x v="17"/>
    <s v="paylater"/>
    <n v="1449111267"/>
  </r>
  <r>
    <x v="731"/>
    <x v="2"/>
    <x v="0"/>
    <n v="2"/>
    <n v="7"/>
    <x v="8"/>
    <x v="8"/>
    <s v="cashloan"/>
    <n v="0"/>
  </r>
  <r>
    <x v="731"/>
    <x v="2"/>
    <x v="0"/>
    <n v="2"/>
    <n v="7"/>
    <x v="26"/>
    <x v="16"/>
    <s v="cashloan"/>
    <n v="78750000"/>
  </r>
  <r>
    <x v="731"/>
    <x v="2"/>
    <x v="0"/>
    <n v="2"/>
    <n v="7"/>
    <x v="32"/>
    <x v="16"/>
    <s v="cashloan"/>
    <n v="0"/>
  </r>
  <r>
    <x v="731"/>
    <x v="2"/>
    <x v="0"/>
    <n v="2"/>
    <n v="7"/>
    <x v="2"/>
    <x v="2"/>
    <s v="cashloan"/>
    <n v="16542590000"/>
  </r>
  <r>
    <x v="731"/>
    <x v="2"/>
    <x v="0"/>
    <n v="2"/>
    <n v="7"/>
    <x v="17"/>
    <x v="9"/>
    <s v="cashloan"/>
    <n v="0"/>
  </r>
  <r>
    <x v="731"/>
    <x v="2"/>
    <x v="0"/>
    <n v="2"/>
    <n v="7"/>
    <x v="20"/>
    <x v="9"/>
    <s v="cashloan"/>
    <n v="0"/>
  </r>
  <r>
    <x v="731"/>
    <x v="2"/>
    <x v="0"/>
    <n v="2"/>
    <n v="7"/>
    <x v="21"/>
    <x v="9"/>
    <s v="cashloan"/>
    <n v="0"/>
  </r>
  <r>
    <x v="731"/>
    <x v="2"/>
    <x v="0"/>
    <n v="2"/>
    <n v="7"/>
    <x v="25"/>
    <x v="2"/>
    <s v="cashloan"/>
    <n v="0"/>
  </r>
  <r>
    <x v="731"/>
    <x v="2"/>
    <x v="0"/>
    <n v="2"/>
    <n v="7"/>
    <x v="0"/>
    <x v="0"/>
    <s v="payday"/>
    <n v="8963568000"/>
  </r>
  <r>
    <x v="731"/>
    <x v="2"/>
    <x v="0"/>
    <n v="2"/>
    <n v="7"/>
    <x v="7"/>
    <x v="7"/>
    <s v="paylater"/>
    <n v="353176049"/>
  </r>
  <r>
    <x v="731"/>
    <x v="2"/>
    <x v="0"/>
    <n v="2"/>
    <n v="7"/>
    <x v="1"/>
    <x v="1"/>
    <s v="cashloan"/>
    <n v="21000000"/>
  </r>
  <r>
    <x v="731"/>
    <x v="2"/>
    <x v="0"/>
    <n v="2"/>
    <n v="7"/>
    <x v="6"/>
    <x v="6"/>
    <s v="payday"/>
    <n v="58000000"/>
  </r>
  <r>
    <x v="731"/>
    <x v="2"/>
    <x v="0"/>
    <n v="2"/>
    <n v="7"/>
    <x v="18"/>
    <x v="15"/>
    <s v="cashloan"/>
    <n v="834840000"/>
  </r>
  <r>
    <x v="731"/>
    <x v="2"/>
    <x v="0"/>
    <n v="2"/>
    <n v="7"/>
    <x v="29"/>
    <x v="20"/>
    <s v="payday"/>
    <n v="342360000"/>
  </r>
  <r>
    <x v="731"/>
    <x v="2"/>
    <x v="0"/>
    <n v="2"/>
    <n v="7"/>
    <x v="19"/>
    <x v="12"/>
    <s v="paylater"/>
    <n v="549040339"/>
  </r>
  <r>
    <x v="731"/>
    <x v="2"/>
    <x v="0"/>
    <n v="2"/>
    <n v="7"/>
    <x v="24"/>
    <x v="18"/>
    <s v="cashloan"/>
    <n v="3067300000"/>
  </r>
  <r>
    <x v="731"/>
    <x v="2"/>
    <x v="0"/>
    <n v="2"/>
    <n v="7"/>
    <x v="30"/>
    <x v="21"/>
    <s v="payday"/>
    <n v="0"/>
  </r>
  <r>
    <x v="732"/>
    <x v="2"/>
    <x v="0"/>
    <n v="2"/>
    <n v="8"/>
    <x v="3"/>
    <x v="3"/>
    <s v="cashloan"/>
    <n v="629100000"/>
  </r>
  <r>
    <x v="732"/>
    <x v="2"/>
    <x v="0"/>
    <n v="2"/>
    <n v="8"/>
    <x v="11"/>
    <x v="10"/>
    <s v="paylater"/>
    <n v="362697536"/>
  </r>
  <r>
    <x v="732"/>
    <x v="2"/>
    <x v="0"/>
    <n v="2"/>
    <n v="8"/>
    <x v="12"/>
    <x v="11"/>
    <s v="cashloan"/>
    <n v="16104980000"/>
  </r>
  <r>
    <x v="732"/>
    <x v="2"/>
    <x v="0"/>
    <n v="2"/>
    <n v="8"/>
    <x v="5"/>
    <x v="5"/>
    <s v="overdraft"/>
    <n v="1916907273"/>
  </r>
  <r>
    <x v="732"/>
    <x v="2"/>
    <x v="0"/>
    <n v="2"/>
    <n v="8"/>
    <x v="27"/>
    <x v="19"/>
    <s v="payday"/>
    <n v="12846708000"/>
  </r>
  <r>
    <x v="732"/>
    <x v="2"/>
    <x v="0"/>
    <n v="2"/>
    <n v="8"/>
    <x v="15"/>
    <x v="14"/>
    <s v="paylater"/>
    <n v="9450519"/>
  </r>
  <r>
    <x v="732"/>
    <x v="2"/>
    <x v="0"/>
    <n v="2"/>
    <n v="8"/>
    <x v="31"/>
    <x v="22"/>
    <s v="cashloan"/>
    <n v="0"/>
  </r>
  <r>
    <x v="732"/>
    <x v="2"/>
    <x v="0"/>
    <n v="2"/>
    <n v="8"/>
    <x v="14"/>
    <x v="13"/>
    <s v="cashloan"/>
    <n v="4705700000"/>
  </r>
  <r>
    <x v="732"/>
    <x v="2"/>
    <x v="0"/>
    <n v="2"/>
    <n v="8"/>
    <x v="33"/>
    <x v="13"/>
    <s v="cashloan"/>
    <n v="273540000"/>
  </r>
  <r>
    <x v="732"/>
    <x v="2"/>
    <x v="0"/>
    <n v="2"/>
    <n v="8"/>
    <x v="23"/>
    <x v="17"/>
    <s v="paylater"/>
    <n v="23569375"/>
  </r>
  <r>
    <x v="732"/>
    <x v="2"/>
    <x v="0"/>
    <n v="2"/>
    <n v="8"/>
    <x v="28"/>
    <x v="17"/>
    <s v="paylater"/>
    <n v="1473516434"/>
  </r>
  <r>
    <x v="732"/>
    <x v="2"/>
    <x v="0"/>
    <n v="2"/>
    <n v="8"/>
    <x v="8"/>
    <x v="8"/>
    <s v="cashloan"/>
    <n v="0"/>
  </r>
  <r>
    <x v="732"/>
    <x v="2"/>
    <x v="0"/>
    <n v="2"/>
    <n v="8"/>
    <x v="26"/>
    <x v="16"/>
    <s v="cashloan"/>
    <n v="169250000"/>
  </r>
  <r>
    <x v="732"/>
    <x v="2"/>
    <x v="0"/>
    <n v="2"/>
    <n v="8"/>
    <x v="32"/>
    <x v="16"/>
    <s v="cashloan"/>
    <n v="0"/>
  </r>
  <r>
    <x v="732"/>
    <x v="2"/>
    <x v="0"/>
    <n v="2"/>
    <n v="8"/>
    <x v="2"/>
    <x v="2"/>
    <s v="cashloan"/>
    <n v="16591150000"/>
  </r>
  <r>
    <x v="732"/>
    <x v="2"/>
    <x v="0"/>
    <n v="2"/>
    <n v="8"/>
    <x v="17"/>
    <x v="9"/>
    <s v="cashloan"/>
    <n v="0"/>
  </r>
  <r>
    <x v="732"/>
    <x v="2"/>
    <x v="0"/>
    <n v="2"/>
    <n v="8"/>
    <x v="20"/>
    <x v="9"/>
    <s v="cashloan"/>
    <n v="0"/>
  </r>
  <r>
    <x v="732"/>
    <x v="2"/>
    <x v="0"/>
    <n v="2"/>
    <n v="8"/>
    <x v="21"/>
    <x v="9"/>
    <s v="cashloan"/>
    <n v="0"/>
  </r>
  <r>
    <x v="732"/>
    <x v="2"/>
    <x v="0"/>
    <n v="2"/>
    <n v="8"/>
    <x v="25"/>
    <x v="2"/>
    <s v="cashloan"/>
    <n v="30000000"/>
  </r>
  <r>
    <x v="732"/>
    <x v="2"/>
    <x v="0"/>
    <n v="2"/>
    <n v="8"/>
    <x v="0"/>
    <x v="0"/>
    <s v="payday"/>
    <n v="9084420000"/>
  </r>
  <r>
    <x v="732"/>
    <x v="2"/>
    <x v="0"/>
    <n v="2"/>
    <n v="8"/>
    <x v="7"/>
    <x v="7"/>
    <s v="paylater"/>
    <n v="255609922"/>
  </r>
  <r>
    <x v="732"/>
    <x v="2"/>
    <x v="0"/>
    <n v="2"/>
    <n v="8"/>
    <x v="1"/>
    <x v="1"/>
    <s v="cashloan"/>
    <n v="13650000"/>
  </r>
  <r>
    <x v="732"/>
    <x v="2"/>
    <x v="0"/>
    <n v="2"/>
    <n v="8"/>
    <x v="6"/>
    <x v="6"/>
    <s v="payday"/>
    <n v="55000000"/>
  </r>
  <r>
    <x v="732"/>
    <x v="2"/>
    <x v="0"/>
    <n v="2"/>
    <n v="8"/>
    <x v="18"/>
    <x v="15"/>
    <s v="cashloan"/>
    <n v="1366680000"/>
  </r>
  <r>
    <x v="732"/>
    <x v="2"/>
    <x v="0"/>
    <n v="2"/>
    <n v="8"/>
    <x v="29"/>
    <x v="20"/>
    <s v="payday"/>
    <n v="256608000"/>
  </r>
  <r>
    <x v="732"/>
    <x v="2"/>
    <x v="0"/>
    <n v="2"/>
    <n v="8"/>
    <x v="19"/>
    <x v="12"/>
    <s v="paylater"/>
    <n v="453725331"/>
  </r>
  <r>
    <x v="732"/>
    <x v="2"/>
    <x v="0"/>
    <n v="2"/>
    <n v="8"/>
    <x v="24"/>
    <x v="18"/>
    <s v="cashloan"/>
    <n v="3093570000"/>
  </r>
  <r>
    <x v="732"/>
    <x v="2"/>
    <x v="0"/>
    <n v="2"/>
    <n v="8"/>
    <x v="30"/>
    <x v="21"/>
    <s v="payday"/>
    <n v="0"/>
  </r>
  <r>
    <x v="733"/>
    <x v="2"/>
    <x v="0"/>
    <n v="2"/>
    <n v="9"/>
    <x v="3"/>
    <x v="3"/>
    <s v="cashloan"/>
    <n v="624200000"/>
  </r>
  <r>
    <x v="733"/>
    <x v="2"/>
    <x v="0"/>
    <n v="2"/>
    <n v="9"/>
    <x v="11"/>
    <x v="10"/>
    <s v="paylater"/>
    <n v="411172583"/>
  </r>
  <r>
    <x v="733"/>
    <x v="2"/>
    <x v="0"/>
    <n v="2"/>
    <n v="9"/>
    <x v="12"/>
    <x v="11"/>
    <s v="cashloan"/>
    <n v="15186380000"/>
  </r>
  <r>
    <x v="733"/>
    <x v="2"/>
    <x v="0"/>
    <n v="2"/>
    <n v="9"/>
    <x v="5"/>
    <x v="5"/>
    <s v="overdraft"/>
    <n v="2266891336"/>
  </r>
  <r>
    <x v="733"/>
    <x v="2"/>
    <x v="0"/>
    <n v="2"/>
    <n v="9"/>
    <x v="27"/>
    <x v="19"/>
    <s v="payday"/>
    <n v="14657868000"/>
  </r>
  <r>
    <x v="733"/>
    <x v="2"/>
    <x v="0"/>
    <n v="2"/>
    <n v="9"/>
    <x v="15"/>
    <x v="14"/>
    <s v="paylater"/>
    <n v="9349726"/>
  </r>
  <r>
    <x v="733"/>
    <x v="2"/>
    <x v="0"/>
    <n v="2"/>
    <n v="9"/>
    <x v="31"/>
    <x v="22"/>
    <s v="cashloan"/>
    <n v="90000000"/>
  </r>
  <r>
    <x v="733"/>
    <x v="2"/>
    <x v="0"/>
    <n v="2"/>
    <n v="9"/>
    <x v="14"/>
    <x v="13"/>
    <s v="cashloan"/>
    <n v="4831450000"/>
  </r>
  <r>
    <x v="733"/>
    <x v="2"/>
    <x v="0"/>
    <n v="2"/>
    <n v="9"/>
    <x v="33"/>
    <x v="13"/>
    <s v="cashloan"/>
    <n v="436840000"/>
  </r>
  <r>
    <x v="733"/>
    <x v="2"/>
    <x v="0"/>
    <n v="2"/>
    <n v="9"/>
    <x v="23"/>
    <x v="17"/>
    <s v="paylater"/>
    <n v="23417180"/>
  </r>
  <r>
    <x v="733"/>
    <x v="2"/>
    <x v="0"/>
    <n v="2"/>
    <n v="9"/>
    <x v="28"/>
    <x v="17"/>
    <s v="paylater"/>
    <n v="1828275122"/>
  </r>
  <r>
    <x v="733"/>
    <x v="2"/>
    <x v="0"/>
    <n v="2"/>
    <n v="9"/>
    <x v="8"/>
    <x v="8"/>
    <s v="cashloan"/>
    <n v="0"/>
  </r>
  <r>
    <x v="733"/>
    <x v="2"/>
    <x v="0"/>
    <n v="2"/>
    <n v="9"/>
    <x v="26"/>
    <x v="16"/>
    <s v="cashloan"/>
    <n v="123750000"/>
  </r>
  <r>
    <x v="733"/>
    <x v="2"/>
    <x v="0"/>
    <n v="2"/>
    <n v="9"/>
    <x v="32"/>
    <x v="16"/>
    <s v="cashloan"/>
    <n v="0"/>
  </r>
  <r>
    <x v="733"/>
    <x v="2"/>
    <x v="0"/>
    <n v="2"/>
    <n v="9"/>
    <x v="2"/>
    <x v="2"/>
    <s v="cashloan"/>
    <n v="17271450000"/>
  </r>
  <r>
    <x v="733"/>
    <x v="2"/>
    <x v="0"/>
    <n v="2"/>
    <n v="9"/>
    <x v="17"/>
    <x v="9"/>
    <s v="cashloan"/>
    <n v="0"/>
  </r>
  <r>
    <x v="733"/>
    <x v="2"/>
    <x v="0"/>
    <n v="2"/>
    <n v="9"/>
    <x v="20"/>
    <x v="9"/>
    <s v="cashloan"/>
    <n v="0"/>
  </r>
  <r>
    <x v="733"/>
    <x v="2"/>
    <x v="0"/>
    <n v="2"/>
    <n v="9"/>
    <x v="21"/>
    <x v="9"/>
    <s v="cashloan"/>
    <n v="0"/>
  </r>
  <r>
    <x v="733"/>
    <x v="2"/>
    <x v="0"/>
    <n v="2"/>
    <n v="9"/>
    <x v="25"/>
    <x v="2"/>
    <s v="cashloan"/>
    <n v="0"/>
  </r>
  <r>
    <x v="733"/>
    <x v="2"/>
    <x v="0"/>
    <n v="2"/>
    <n v="9"/>
    <x v="0"/>
    <x v="0"/>
    <s v="payday"/>
    <n v="11633004000"/>
  </r>
  <r>
    <x v="733"/>
    <x v="2"/>
    <x v="0"/>
    <n v="2"/>
    <n v="9"/>
    <x v="7"/>
    <x v="7"/>
    <s v="paylater"/>
    <n v="242206144"/>
  </r>
  <r>
    <x v="733"/>
    <x v="2"/>
    <x v="0"/>
    <n v="2"/>
    <n v="9"/>
    <x v="1"/>
    <x v="1"/>
    <s v="cashloan"/>
    <n v="20000000"/>
  </r>
  <r>
    <x v="733"/>
    <x v="2"/>
    <x v="0"/>
    <n v="2"/>
    <n v="9"/>
    <x v="6"/>
    <x v="6"/>
    <s v="payday"/>
    <n v="62000000"/>
  </r>
  <r>
    <x v="733"/>
    <x v="2"/>
    <x v="0"/>
    <n v="2"/>
    <n v="9"/>
    <x v="18"/>
    <x v="15"/>
    <s v="cashloan"/>
    <n v="1187210000"/>
  </r>
  <r>
    <x v="733"/>
    <x v="2"/>
    <x v="0"/>
    <n v="2"/>
    <n v="9"/>
    <x v="29"/>
    <x v="20"/>
    <s v="payday"/>
    <n v="366012000"/>
  </r>
  <r>
    <x v="733"/>
    <x v="2"/>
    <x v="0"/>
    <n v="2"/>
    <n v="9"/>
    <x v="19"/>
    <x v="12"/>
    <s v="paylater"/>
    <n v="495946678"/>
  </r>
  <r>
    <x v="733"/>
    <x v="2"/>
    <x v="0"/>
    <n v="2"/>
    <n v="9"/>
    <x v="24"/>
    <x v="18"/>
    <s v="cashloan"/>
    <n v="3845520000"/>
  </r>
  <r>
    <x v="733"/>
    <x v="2"/>
    <x v="0"/>
    <n v="2"/>
    <n v="9"/>
    <x v="30"/>
    <x v="21"/>
    <s v="payday"/>
    <n v="0"/>
  </r>
  <r>
    <x v="734"/>
    <x v="2"/>
    <x v="0"/>
    <n v="2"/>
    <n v="10"/>
    <x v="3"/>
    <x v="3"/>
    <s v="cashloan"/>
    <n v="874400000"/>
  </r>
  <r>
    <x v="734"/>
    <x v="2"/>
    <x v="0"/>
    <n v="2"/>
    <n v="10"/>
    <x v="11"/>
    <x v="10"/>
    <s v="paylater"/>
    <n v="419055212"/>
  </r>
  <r>
    <x v="734"/>
    <x v="2"/>
    <x v="0"/>
    <n v="2"/>
    <n v="10"/>
    <x v="12"/>
    <x v="11"/>
    <s v="cashloan"/>
    <n v="17945200000"/>
  </r>
  <r>
    <x v="734"/>
    <x v="2"/>
    <x v="0"/>
    <n v="2"/>
    <n v="10"/>
    <x v="5"/>
    <x v="5"/>
    <s v="overdraft"/>
    <n v="2345771913"/>
  </r>
  <r>
    <x v="734"/>
    <x v="2"/>
    <x v="0"/>
    <n v="2"/>
    <n v="10"/>
    <x v="27"/>
    <x v="19"/>
    <s v="payday"/>
    <n v="15563340000"/>
  </r>
  <r>
    <x v="734"/>
    <x v="2"/>
    <x v="0"/>
    <n v="2"/>
    <n v="10"/>
    <x v="15"/>
    <x v="14"/>
    <s v="paylater"/>
    <n v="13061172"/>
  </r>
  <r>
    <x v="734"/>
    <x v="2"/>
    <x v="0"/>
    <n v="2"/>
    <n v="10"/>
    <x v="31"/>
    <x v="22"/>
    <s v="cashloan"/>
    <n v="90000000"/>
  </r>
  <r>
    <x v="734"/>
    <x v="2"/>
    <x v="0"/>
    <n v="2"/>
    <n v="10"/>
    <x v="14"/>
    <x v="13"/>
    <s v="cashloan"/>
    <n v="5429640000"/>
  </r>
  <r>
    <x v="734"/>
    <x v="2"/>
    <x v="0"/>
    <n v="2"/>
    <n v="10"/>
    <x v="33"/>
    <x v="13"/>
    <s v="cashloan"/>
    <n v="1155630000"/>
  </r>
  <r>
    <x v="734"/>
    <x v="2"/>
    <x v="0"/>
    <n v="2"/>
    <n v="10"/>
    <x v="23"/>
    <x v="17"/>
    <s v="paylater"/>
    <n v="16535474"/>
  </r>
  <r>
    <x v="734"/>
    <x v="2"/>
    <x v="0"/>
    <n v="2"/>
    <n v="10"/>
    <x v="28"/>
    <x v="17"/>
    <s v="paylater"/>
    <n v="1830713937"/>
  </r>
  <r>
    <x v="734"/>
    <x v="2"/>
    <x v="0"/>
    <n v="2"/>
    <n v="10"/>
    <x v="8"/>
    <x v="8"/>
    <s v="cashloan"/>
    <n v="0"/>
  </r>
  <r>
    <x v="734"/>
    <x v="2"/>
    <x v="0"/>
    <n v="2"/>
    <n v="10"/>
    <x v="26"/>
    <x v="16"/>
    <s v="cashloan"/>
    <n v="167000000"/>
  </r>
  <r>
    <x v="734"/>
    <x v="2"/>
    <x v="0"/>
    <n v="2"/>
    <n v="10"/>
    <x v="32"/>
    <x v="16"/>
    <s v="cashloan"/>
    <n v="0"/>
  </r>
  <r>
    <x v="734"/>
    <x v="2"/>
    <x v="0"/>
    <n v="2"/>
    <n v="10"/>
    <x v="2"/>
    <x v="2"/>
    <s v="cashloan"/>
    <n v="17764830000"/>
  </r>
  <r>
    <x v="734"/>
    <x v="2"/>
    <x v="0"/>
    <n v="2"/>
    <n v="10"/>
    <x v="17"/>
    <x v="9"/>
    <s v="cashloan"/>
    <n v="0"/>
  </r>
  <r>
    <x v="734"/>
    <x v="2"/>
    <x v="0"/>
    <n v="2"/>
    <n v="10"/>
    <x v="20"/>
    <x v="9"/>
    <s v="cashloan"/>
    <n v="0"/>
  </r>
  <r>
    <x v="734"/>
    <x v="2"/>
    <x v="0"/>
    <n v="2"/>
    <n v="10"/>
    <x v="21"/>
    <x v="9"/>
    <s v="cashloan"/>
    <n v="0"/>
  </r>
  <r>
    <x v="734"/>
    <x v="2"/>
    <x v="0"/>
    <n v="2"/>
    <n v="10"/>
    <x v="25"/>
    <x v="2"/>
    <s v="cashloan"/>
    <n v="0"/>
  </r>
  <r>
    <x v="734"/>
    <x v="2"/>
    <x v="0"/>
    <n v="2"/>
    <n v="10"/>
    <x v="0"/>
    <x v="0"/>
    <s v="payday"/>
    <n v="12705660000"/>
  </r>
  <r>
    <x v="734"/>
    <x v="2"/>
    <x v="0"/>
    <n v="2"/>
    <n v="10"/>
    <x v="7"/>
    <x v="7"/>
    <s v="paylater"/>
    <n v="283128611"/>
  </r>
  <r>
    <x v="734"/>
    <x v="2"/>
    <x v="0"/>
    <n v="2"/>
    <n v="10"/>
    <x v="1"/>
    <x v="1"/>
    <s v="cashloan"/>
    <n v="0"/>
  </r>
  <r>
    <x v="734"/>
    <x v="2"/>
    <x v="0"/>
    <n v="2"/>
    <n v="10"/>
    <x v="6"/>
    <x v="6"/>
    <s v="payday"/>
    <n v="33000000"/>
  </r>
  <r>
    <x v="734"/>
    <x v="2"/>
    <x v="0"/>
    <n v="2"/>
    <n v="10"/>
    <x v="18"/>
    <x v="15"/>
    <s v="cashloan"/>
    <n v="1187970000"/>
  </r>
  <r>
    <x v="734"/>
    <x v="2"/>
    <x v="0"/>
    <n v="2"/>
    <n v="10"/>
    <x v="29"/>
    <x v="20"/>
    <s v="payday"/>
    <n v="330588000"/>
  </r>
  <r>
    <x v="734"/>
    <x v="2"/>
    <x v="0"/>
    <n v="2"/>
    <n v="10"/>
    <x v="19"/>
    <x v="12"/>
    <s v="paylater"/>
    <n v="450017217"/>
  </r>
  <r>
    <x v="734"/>
    <x v="2"/>
    <x v="0"/>
    <n v="2"/>
    <n v="10"/>
    <x v="24"/>
    <x v="18"/>
    <s v="cashloan"/>
    <n v="4185160000"/>
  </r>
  <r>
    <x v="734"/>
    <x v="2"/>
    <x v="0"/>
    <n v="2"/>
    <n v="10"/>
    <x v="30"/>
    <x v="21"/>
    <s v="payday"/>
    <n v="0"/>
  </r>
  <r>
    <x v="735"/>
    <x v="2"/>
    <x v="0"/>
    <n v="2"/>
    <n v="11"/>
    <x v="3"/>
    <x v="3"/>
    <s v="cashloan"/>
    <n v="766700000"/>
  </r>
  <r>
    <x v="735"/>
    <x v="2"/>
    <x v="0"/>
    <n v="2"/>
    <n v="11"/>
    <x v="11"/>
    <x v="10"/>
    <s v="paylater"/>
    <n v="353164484"/>
  </r>
  <r>
    <x v="735"/>
    <x v="2"/>
    <x v="0"/>
    <n v="2"/>
    <n v="11"/>
    <x v="12"/>
    <x v="11"/>
    <s v="cashloan"/>
    <n v="13005000000"/>
  </r>
  <r>
    <x v="735"/>
    <x v="2"/>
    <x v="0"/>
    <n v="2"/>
    <n v="11"/>
    <x v="5"/>
    <x v="5"/>
    <s v="overdraft"/>
    <n v="1429945439"/>
  </r>
  <r>
    <x v="735"/>
    <x v="2"/>
    <x v="0"/>
    <n v="2"/>
    <n v="11"/>
    <x v="27"/>
    <x v="19"/>
    <s v="payday"/>
    <n v="12770892000"/>
  </r>
  <r>
    <x v="735"/>
    <x v="2"/>
    <x v="0"/>
    <n v="2"/>
    <n v="11"/>
    <x v="15"/>
    <x v="14"/>
    <s v="paylater"/>
    <n v="2940172"/>
  </r>
  <r>
    <x v="735"/>
    <x v="2"/>
    <x v="0"/>
    <n v="2"/>
    <n v="11"/>
    <x v="31"/>
    <x v="22"/>
    <s v="cashloan"/>
    <n v="0"/>
  </r>
  <r>
    <x v="735"/>
    <x v="2"/>
    <x v="0"/>
    <n v="2"/>
    <n v="11"/>
    <x v="14"/>
    <x v="13"/>
    <s v="cashloan"/>
    <n v="6696780000"/>
  </r>
  <r>
    <x v="735"/>
    <x v="2"/>
    <x v="0"/>
    <n v="2"/>
    <n v="11"/>
    <x v="33"/>
    <x v="13"/>
    <s v="cashloan"/>
    <n v="903520000"/>
  </r>
  <r>
    <x v="735"/>
    <x v="2"/>
    <x v="0"/>
    <n v="2"/>
    <n v="11"/>
    <x v="23"/>
    <x v="17"/>
    <s v="paylater"/>
    <n v="9990512"/>
  </r>
  <r>
    <x v="735"/>
    <x v="2"/>
    <x v="0"/>
    <n v="2"/>
    <n v="11"/>
    <x v="28"/>
    <x v="17"/>
    <s v="paylater"/>
    <n v="1769960093"/>
  </r>
  <r>
    <x v="735"/>
    <x v="2"/>
    <x v="0"/>
    <n v="2"/>
    <n v="11"/>
    <x v="8"/>
    <x v="8"/>
    <s v="cashloan"/>
    <n v="0"/>
  </r>
  <r>
    <x v="735"/>
    <x v="2"/>
    <x v="0"/>
    <n v="2"/>
    <n v="11"/>
    <x v="26"/>
    <x v="16"/>
    <s v="cashloan"/>
    <n v="35500000"/>
  </r>
  <r>
    <x v="735"/>
    <x v="2"/>
    <x v="0"/>
    <n v="2"/>
    <n v="11"/>
    <x v="32"/>
    <x v="16"/>
    <s v="cashloan"/>
    <n v="0"/>
  </r>
  <r>
    <x v="735"/>
    <x v="2"/>
    <x v="0"/>
    <n v="2"/>
    <n v="11"/>
    <x v="2"/>
    <x v="2"/>
    <s v="cashloan"/>
    <n v="16862060000"/>
  </r>
  <r>
    <x v="735"/>
    <x v="2"/>
    <x v="0"/>
    <n v="2"/>
    <n v="11"/>
    <x v="17"/>
    <x v="9"/>
    <s v="cashloan"/>
    <n v="0"/>
  </r>
  <r>
    <x v="735"/>
    <x v="2"/>
    <x v="0"/>
    <n v="2"/>
    <n v="11"/>
    <x v="20"/>
    <x v="9"/>
    <s v="cashloan"/>
    <n v="0"/>
  </r>
  <r>
    <x v="735"/>
    <x v="2"/>
    <x v="0"/>
    <n v="2"/>
    <n v="11"/>
    <x v="21"/>
    <x v="9"/>
    <s v="cashloan"/>
    <n v="0"/>
  </r>
  <r>
    <x v="735"/>
    <x v="2"/>
    <x v="0"/>
    <n v="2"/>
    <n v="11"/>
    <x v="25"/>
    <x v="2"/>
    <s v="cashloan"/>
    <n v="52000000"/>
  </r>
  <r>
    <x v="735"/>
    <x v="2"/>
    <x v="0"/>
    <n v="2"/>
    <n v="11"/>
    <x v="0"/>
    <x v="0"/>
    <s v="payday"/>
    <n v="10430424000"/>
  </r>
  <r>
    <x v="735"/>
    <x v="2"/>
    <x v="0"/>
    <n v="2"/>
    <n v="11"/>
    <x v="7"/>
    <x v="7"/>
    <s v="paylater"/>
    <n v="235834390"/>
  </r>
  <r>
    <x v="735"/>
    <x v="2"/>
    <x v="0"/>
    <n v="2"/>
    <n v="11"/>
    <x v="1"/>
    <x v="1"/>
    <s v="cashloan"/>
    <n v="0"/>
  </r>
  <r>
    <x v="735"/>
    <x v="2"/>
    <x v="0"/>
    <n v="2"/>
    <n v="11"/>
    <x v="6"/>
    <x v="6"/>
    <s v="payday"/>
    <n v="61000000"/>
  </r>
  <r>
    <x v="735"/>
    <x v="2"/>
    <x v="0"/>
    <n v="2"/>
    <n v="11"/>
    <x v="18"/>
    <x v="15"/>
    <s v="cashloan"/>
    <n v="866630000"/>
  </r>
  <r>
    <x v="735"/>
    <x v="2"/>
    <x v="0"/>
    <n v="2"/>
    <n v="11"/>
    <x v="29"/>
    <x v="20"/>
    <s v="payday"/>
    <n v="349272000"/>
  </r>
  <r>
    <x v="735"/>
    <x v="2"/>
    <x v="0"/>
    <n v="2"/>
    <n v="11"/>
    <x v="19"/>
    <x v="12"/>
    <s v="paylater"/>
    <n v="327498267"/>
  </r>
  <r>
    <x v="735"/>
    <x v="2"/>
    <x v="0"/>
    <n v="2"/>
    <n v="11"/>
    <x v="24"/>
    <x v="18"/>
    <s v="cashloan"/>
    <n v="2842020000"/>
  </r>
  <r>
    <x v="735"/>
    <x v="2"/>
    <x v="0"/>
    <n v="2"/>
    <n v="11"/>
    <x v="30"/>
    <x v="21"/>
    <s v="payday"/>
    <n v="0"/>
  </r>
  <r>
    <x v="736"/>
    <x v="2"/>
    <x v="0"/>
    <n v="3"/>
    <n v="12"/>
    <x v="3"/>
    <x v="3"/>
    <s v="cashloan"/>
    <n v="637250000"/>
  </r>
  <r>
    <x v="736"/>
    <x v="2"/>
    <x v="0"/>
    <n v="3"/>
    <n v="12"/>
    <x v="11"/>
    <x v="10"/>
    <s v="paylater"/>
    <n v="309805537"/>
  </r>
  <r>
    <x v="736"/>
    <x v="2"/>
    <x v="0"/>
    <n v="3"/>
    <n v="12"/>
    <x v="12"/>
    <x v="11"/>
    <s v="cashloan"/>
    <n v="16260670000"/>
  </r>
  <r>
    <x v="736"/>
    <x v="2"/>
    <x v="0"/>
    <n v="3"/>
    <n v="12"/>
    <x v="5"/>
    <x v="5"/>
    <s v="overdraft"/>
    <n v="1839205761"/>
  </r>
  <r>
    <x v="736"/>
    <x v="2"/>
    <x v="0"/>
    <n v="3"/>
    <n v="12"/>
    <x v="27"/>
    <x v="19"/>
    <s v="payday"/>
    <n v="14468652000"/>
  </r>
  <r>
    <x v="736"/>
    <x v="2"/>
    <x v="0"/>
    <n v="3"/>
    <n v="12"/>
    <x v="15"/>
    <x v="14"/>
    <s v="paylater"/>
    <n v="13738226"/>
  </r>
  <r>
    <x v="736"/>
    <x v="2"/>
    <x v="0"/>
    <n v="3"/>
    <n v="12"/>
    <x v="31"/>
    <x v="22"/>
    <s v="cashloan"/>
    <n v="0"/>
  </r>
  <r>
    <x v="736"/>
    <x v="2"/>
    <x v="0"/>
    <n v="3"/>
    <n v="12"/>
    <x v="14"/>
    <x v="13"/>
    <s v="cashloan"/>
    <n v="5302640000"/>
  </r>
  <r>
    <x v="736"/>
    <x v="2"/>
    <x v="0"/>
    <n v="3"/>
    <n v="12"/>
    <x v="33"/>
    <x v="13"/>
    <s v="cashloan"/>
    <n v="1020810000"/>
  </r>
  <r>
    <x v="736"/>
    <x v="2"/>
    <x v="0"/>
    <n v="3"/>
    <n v="12"/>
    <x v="23"/>
    <x v="17"/>
    <s v="paylater"/>
    <n v="7776033"/>
  </r>
  <r>
    <x v="736"/>
    <x v="2"/>
    <x v="0"/>
    <n v="3"/>
    <n v="12"/>
    <x v="28"/>
    <x v="17"/>
    <s v="paylater"/>
    <n v="1234948962"/>
  </r>
  <r>
    <x v="736"/>
    <x v="2"/>
    <x v="0"/>
    <n v="3"/>
    <n v="12"/>
    <x v="8"/>
    <x v="8"/>
    <s v="cashloan"/>
    <n v="0"/>
  </r>
  <r>
    <x v="736"/>
    <x v="2"/>
    <x v="0"/>
    <n v="3"/>
    <n v="12"/>
    <x v="26"/>
    <x v="16"/>
    <s v="cashloan"/>
    <n v="206350000"/>
  </r>
  <r>
    <x v="736"/>
    <x v="2"/>
    <x v="0"/>
    <n v="3"/>
    <n v="12"/>
    <x v="32"/>
    <x v="16"/>
    <s v="cashloan"/>
    <n v="92700000"/>
  </r>
  <r>
    <x v="736"/>
    <x v="2"/>
    <x v="0"/>
    <n v="3"/>
    <n v="12"/>
    <x v="2"/>
    <x v="2"/>
    <s v="cashloan"/>
    <n v="17873570000"/>
  </r>
  <r>
    <x v="736"/>
    <x v="2"/>
    <x v="0"/>
    <n v="3"/>
    <n v="12"/>
    <x v="17"/>
    <x v="9"/>
    <s v="cashloan"/>
    <n v="0"/>
  </r>
  <r>
    <x v="736"/>
    <x v="2"/>
    <x v="0"/>
    <n v="3"/>
    <n v="12"/>
    <x v="20"/>
    <x v="9"/>
    <s v="cashloan"/>
    <n v="0"/>
  </r>
  <r>
    <x v="736"/>
    <x v="2"/>
    <x v="0"/>
    <n v="3"/>
    <n v="12"/>
    <x v="21"/>
    <x v="9"/>
    <s v="cashloan"/>
    <n v="0"/>
  </r>
  <r>
    <x v="736"/>
    <x v="2"/>
    <x v="0"/>
    <n v="3"/>
    <n v="12"/>
    <x v="25"/>
    <x v="2"/>
    <s v="cashloan"/>
    <n v="15000000"/>
  </r>
  <r>
    <x v="736"/>
    <x v="2"/>
    <x v="0"/>
    <n v="3"/>
    <n v="12"/>
    <x v="0"/>
    <x v="0"/>
    <s v="payday"/>
    <n v="12377988000"/>
  </r>
  <r>
    <x v="736"/>
    <x v="2"/>
    <x v="0"/>
    <n v="3"/>
    <n v="12"/>
    <x v="7"/>
    <x v="7"/>
    <s v="paylater"/>
    <n v="176669832"/>
  </r>
  <r>
    <x v="736"/>
    <x v="2"/>
    <x v="0"/>
    <n v="3"/>
    <n v="12"/>
    <x v="1"/>
    <x v="1"/>
    <s v="cashloan"/>
    <n v="10500000"/>
  </r>
  <r>
    <x v="736"/>
    <x v="2"/>
    <x v="0"/>
    <n v="3"/>
    <n v="12"/>
    <x v="6"/>
    <x v="6"/>
    <s v="payday"/>
    <n v="61000000"/>
  </r>
  <r>
    <x v="736"/>
    <x v="2"/>
    <x v="0"/>
    <n v="3"/>
    <n v="12"/>
    <x v="18"/>
    <x v="15"/>
    <s v="cashloan"/>
    <n v="784820000"/>
  </r>
  <r>
    <x v="736"/>
    <x v="2"/>
    <x v="0"/>
    <n v="3"/>
    <n v="12"/>
    <x v="29"/>
    <x v="20"/>
    <s v="payday"/>
    <n v="260172000"/>
  </r>
  <r>
    <x v="736"/>
    <x v="2"/>
    <x v="0"/>
    <n v="3"/>
    <n v="12"/>
    <x v="19"/>
    <x v="12"/>
    <s v="paylater"/>
    <n v="435769568"/>
  </r>
  <r>
    <x v="736"/>
    <x v="2"/>
    <x v="0"/>
    <n v="3"/>
    <n v="12"/>
    <x v="24"/>
    <x v="18"/>
    <s v="cashloan"/>
    <n v="3446350000"/>
  </r>
  <r>
    <x v="736"/>
    <x v="2"/>
    <x v="0"/>
    <n v="3"/>
    <n v="12"/>
    <x v="30"/>
    <x v="21"/>
    <s v="payday"/>
    <n v="0"/>
  </r>
  <r>
    <x v="737"/>
    <x v="2"/>
    <x v="0"/>
    <n v="3"/>
    <n v="13"/>
    <x v="3"/>
    <x v="3"/>
    <s v="cashloan"/>
    <n v="524700000"/>
  </r>
  <r>
    <x v="737"/>
    <x v="2"/>
    <x v="0"/>
    <n v="3"/>
    <n v="13"/>
    <x v="11"/>
    <x v="10"/>
    <s v="paylater"/>
    <n v="336997174"/>
  </r>
  <r>
    <x v="737"/>
    <x v="2"/>
    <x v="0"/>
    <n v="3"/>
    <n v="13"/>
    <x v="12"/>
    <x v="11"/>
    <s v="cashloan"/>
    <n v="15261150000"/>
  </r>
  <r>
    <x v="737"/>
    <x v="2"/>
    <x v="0"/>
    <n v="3"/>
    <n v="13"/>
    <x v="5"/>
    <x v="5"/>
    <s v="overdraft"/>
    <n v="1824584635"/>
  </r>
  <r>
    <x v="737"/>
    <x v="2"/>
    <x v="0"/>
    <n v="3"/>
    <n v="13"/>
    <x v="27"/>
    <x v="19"/>
    <s v="payday"/>
    <n v="14995152000"/>
  </r>
  <r>
    <x v="737"/>
    <x v="2"/>
    <x v="0"/>
    <n v="3"/>
    <n v="13"/>
    <x v="15"/>
    <x v="14"/>
    <s v="paylater"/>
    <n v="7889637"/>
  </r>
  <r>
    <x v="737"/>
    <x v="2"/>
    <x v="0"/>
    <n v="3"/>
    <n v="13"/>
    <x v="31"/>
    <x v="22"/>
    <s v="cashloan"/>
    <n v="90000000"/>
  </r>
  <r>
    <x v="737"/>
    <x v="2"/>
    <x v="0"/>
    <n v="3"/>
    <n v="13"/>
    <x v="14"/>
    <x v="13"/>
    <s v="cashloan"/>
    <n v="5207490000"/>
  </r>
  <r>
    <x v="737"/>
    <x v="2"/>
    <x v="0"/>
    <n v="3"/>
    <n v="13"/>
    <x v="33"/>
    <x v="13"/>
    <s v="cashloan"/>
    <n v="1151770000"/>
  </r>
  <r>
    <x v="737"/>
    <x v="2"/>
    <x v="0"/>
    <n v="3"/>
    <n v="13"/>
    <x v="23"/>
    <x v="17"/>
    <s v="paylater"/>
    <n v="614469"/>
  </r>
  <r>
    <x v="737"/>
    <x v="2"/>
    <x v="0"/>
    <n v="3"/>
    <n v="13"/>
    <x v="28"/>
    <x v="17"/>
    <s v="paylater"/>
    <n v="1192411999"/>
  </r>
  <r>
    <x v="737"/>
    <x v="2"/>
    <x v="0"/>
    <n v="3"/>
    <n v="13"/>
    <x v="8"/>
    <x v="8"/>
    <s v="cashloan"/>
    <n v="0"/>
  </r>
  <r>
    <x v="737"/>
    <x v="2"/>
    <x v="0"/>
    <n v="3"/>
    <n v="13"/>
    <x v="26"/>
    <x v="16"/>
    <s v="cashloan"/>
    <n v="118250000"/>
  </r>
  <r>
    <x v="737"/>
    <x v="2"/>
    <x v="0"/>
    <n v="3"/>
    <n v="13"/>
    <x v="32"/>
    <x v="16"/>
    <s v="cashloan"/>
    <n v="0"/>
  </r>
  <r>
    <x v="737"/>
    <x v="2"/>
    <x v="0"/>
    <n v="3"/>
    <n v="13"/>
    <x v="2"/>
    <x v="2"/>
    <s v="cashloan"/>
    <n v="17560120000"/>
  </r>
  <r>
    <x v="737"/>
    <x v="2"/>
    <x v="0"/>
    <n v="3"/>
    <n v="13"/>
    <x v="17"/>
    <x v="9"/>
    <s v="cashloan"/>
    <n v="0"/>
  </r>
  <r>
    <x v="737"/>
    <x v="2"/>
    <x v="0"/>
    <n v="3"/>
    <n v="13"/>
    <x v="20"/>
    <x v="9"/>
    <s v="cashloan"/>
    <n v="0"/>
  </r>
  <r>
    <x v="737"/>
    <x v="2"/>
    <x v="0"/>
    <n v="3"/>
    <n v="13"/>
    <x v="21"/>
    <x v="9"/>
    <s v="cashloan"/>
    <n v="0"/>
  </r>
  <r>
    <x v="737"/>
    <x v="2"/>
    <x v="0"/>
    <n v="3"/>
    <n v="13"/>
    <x v="25"/>
    <x v="2"/>
    <s v="cashloan"/>
    <n v="0"/>
  </r>
  <r>
    <x v="737"/>
    <x v="2"/>
    <x v="0"/>
    <n v="3"/>
    <n v="13"/>
    <x v="0"/>
    <x v="0"/>
    <s v="payday"/>
    <n v="12590424000"/>
  </r>
  <r>
    <x v="737"/>
    <x v="2"/>
    <x v="0"/>
    <n v="3"/>
    <n v="13"/>
    <x v="7"/>
    <x v="7"/>
    <s v="paylater"/>
    <n v="205436148"/>
  </r>
  <r>
    <x v="737"/>
    <x v="2"/>
    <x v="0"/>
    <n v="3"/>
    <n v="13"/>
    <x v="1"/>
    <x v="1"/>
    <s v="cashloan"/>
    <n v="0"/>
  </r>
  <r>
    <x v="737"/>
    <x v="2"/>
    <x v="0"/>
    <n v="3"/>
    <n v="13"/>
    <x v="6"/>
    <x v="6"/>
    <s v="payday"/>
    <n v="46000000"/>
  </r>
  <r>
    <x v="737"/>
    <x v="2"/>
    <x v="0"/>
    <n v="3"/>
    <n v="13"/>
    <x v="18"/>
    <x v="15"/>
    <s v="cashloan"/>
    <n v="819030000"/>
  </r>
  <r>
    <x v="737"/>
    <x v="2"/>
    <x v="0"/>
    <n v="3"/>
    <n v="13"/>
    <x v="29"/>
    <x v="20"/>
    <s v="payday"/>
    <n v="350136000"/>
  </r>
  <r>
    <x v="737"/>
    <x v="2"/>
    <x v="0"/>
    <n v="3"/>
    <n v="13"/>
    <x v="19"/>
    <x v="12"/>
    <s v="paylater"/>
    <n v="316939614"/>
  </r>
  <r>
    <x v="737"/>
    <x v="2"/>
    <x v="0"/>
    <n v="3"/>
    <n v="13"/>
    <x v="24"/>
    <x v="18"/>
    <s v="cashloan"/>
    <n v="3638570000"/>
  </r>
  <r>
    <x v="737"/>
    <x v="2"/>
    <x v="0"/>
    <n v="3"/>
    <n v="13"/>
    <x v="30"/>
    <x v="21"/>
    <s v="payday"/>
    <n v="0"/>
  </r>
  <r>
    <x v="738"/>
    <x v="2"/>
    <x v="0"/>
    <n v="3"/>
    <n v="14"/>
    <x v="3"/>
    <x v="3"/>
    <s v="cashloan"/>
    <n v="859150000"/>
  </r>
  <r>
    <x v="738"/>
    <x v="2"/>
    <x v="0"/>
    <n v="3"/>
    <n v="14"/>
    <x v="11"/>
    <x v="10"/>
    <s v="paylater"/>
    <n v="297146838"/>
  </r>
  <r>
    <x v="738"/>
    <x v="2"/>
    <x v="0"/>
    <n v="3"/>
    <n v="14"/>
    <x v="12"/>
    <x v="11"/>
    <s v="cashloan"/>
    <n v="16768100000"/>
  </r>
  <r>
    <x v="738"/>
    <x v="2"/>
    <x v="0"/>
    <n v="3"/>
    <n v="14"/>
    <x v="5"/>
    <x v="5"/>
    <s v="overdraft"/>
    <n v="1884180636"/>
  </r>
  <r>
    <x v="738"/>
    <x v="2"/>
    <x v="0"/>
    <n v="3"/>
    <n v="14"/>
    <x v="27"/>
    <x v="19"/>
    <s v="payday"/>
    <n v="15209532000"/>
  </r>
  <r>
    <x v="738"/>
    <x v="2"/>
    <x v="0"/>
    <n v="3"/>
    <n v="14"/>
    <x v="15"/>
    <x v="14"/>
    <s v="paylater"/>
    <n v="18555585"/>
  </r>
  <r>
    <x v="738"/>
    <x v="2"/>
    <x v="0"/>
    <n v="3"/>
    <n v="14"/>
    <x v="31"/>
    <x v="22"/>
    <s v="cashloan"/>
    <n v="90000000"/>
  </r>
  <r>
    <x v="738"/>
    <x v="2"/>
    <x v="0"/>
    <n v="3"/>
    <n v="14"/>
    <x v="14"/>
    <x v="13"/>
    <s v="cashloan"/>
    <n v="4926400000"/>
  </r>
  <r>
    <x v="738"/>
    <x v="2"/>
    <x v="0"/>
    <n v="3"/>
    <n v="14"/>
    <x v="33"/>
    <x v="13"/>
    <s v="cashloan"/>
    <n v="806950000"/>
  </r>
  <r>
    <x v="738"/>
    <x v="2"/>
    <x v="0"/>
    <n v="3"/>
    <n v="14"/>
    <x v="23"/>
    <x v="17"/>
    <s v="paylater"/>
    <n v="6735480"/>
  </r>
  <r>
    <x v="738"/>
    <x v="2"/>
    <x v="0"/>
    <n v="3"/>
    <n v="14"/>
    <x v="28"/>
    <x v="17"/>
    <s v="paylater"/>
    <n v="1263613834"/>
  </r>
  <r>
    <x v="738"/>
    <x v="2"/>
    <x v="0"/>
    <n v="3"/>
    <n v="14"/>
    <x v="8"/>
    <x v="8"/>
    <s v="cashloan"/>
    <n v="0"/>
  </r>
  <r>
    <x v="738"/>
    <x v="2"/>
    <x v="0"/>
    <n v="3"/>
    <n v="14"/>
    <x v="26"/>
    <x v="16"/>
    <s v="cashloan"/>
    <n v="52500000"/>
  </r>
  <r>
    <x v="738"/>
    <x v="2"/>
    <x v="0"/>
    <n v="3"/>
    <n v="14"/>
    <x v="32"/>
    <x v="16"/>
    <s v="cashloan"/>
    <n v="0"/>
  </r>
  <r>
    <x v="738"/>
    <x v="2"/>
    <x v="0"/>
    <n v="3"/>
    <n v="14"/>
    <x v="2"/>
    <x v="2"/>
    <s v="cashloan"/>
    <n v="18837120000"/>
  </r>
  <r>
    <x v="738"/>
    <x v="2"/>
    <x v="0"/>
    <n v="3"/>
    <n v="14"/>
    <x v="17"/>
    <x v="9"/>
    <s v="cashloan"/>
    <n v="0"/>
  </r>
  <r>
    <x v="738"/>
    <x v="2"/>
    <x v="0"/>
    <n v="3"/>
    <n v="14"/>
    <x v="20"/>
    <x v="9"/>
    <s v="cashloan"/>
    <n v="0"/>
  </r>
  <r>
    <x v="738"/>
    <x v="2"/>
    <x v="0"/>
    <n v="3"/>
    <n v="14"/>
    <x v="21"/>
    <x v="9"/>
    <s v="cashloan"/>
    <n v="0"/>
  </r>
  <r>
    <x v="738"/>
    <x v="2"/>
    <x v="0"/>
    <n v="3"/>
    <n v="14"/>
    <x v="25"/>
    <x v="2"/>
    <s v="cashloan"/>
    <n v="0"/>
  </r>
  <r>
    <x v="738"/>
    <x v="2"/>
    <x v="0"/>
    <n v="3"/>
    <n v="14"/>
    <x v="0"/>
    <x v="0"/>
    <s v="payday"/>
    <n v="12286512000"/>
  </r>
  <r>
    <x v="738"/>
    <x v="2"/>
    <x v="0"/>
    <n v="3"/>
    <n v="14"/>
    <x v="7"/>
    <x v="7"/>
    <s v="paylater"/>
    <n v="200499332"/>
  </r>
  <r>
    <x v="738"/>
    <x v="2"/>
    <x v="0"/>
    <n v="3"/>
    <n v="14"/>
    <x v="1"/>
    <x v="1"/>
    <s v="cashloan"/>
    <n v="0"/>
  </r>
  <r>
    <x v="738"/>
    <x v="2"/>
    <x v="0"/>
    <n v="3"/>
    <n v="14"/>
    <x v="6"/>
    <x v="6"/>
    <s v="payday"/>
    <n v="42000000"/>
  </r>
  <r>
    <x v="738"/>
    <x v="2"/>
    <x v="0"/>
    <n v="3"/>
    <n v="14"/>
    <x v="18"/>
    <x v="15"/>
    <s v="cashloan"/>
    <n v="950810000"/>
  </r>
  <r>
    <x v="738"/>
    <x v="2"/>
    <x v="0"/>
    <n v="3"/>
    <n v="14"/>
    <x v="29"/>
    <x v="20"/>
    <s v="payday"/>
    <n v="318168000"/>
  </r>
  <r>
    <x v="738"/>
    <x v="2"/>
    <x v="0"/>
    <n v="3"/>
    <n v="14"/>
    <x v="19"/>
    <x v="12"/>
    <s v="paylater"/>
    <n v="289060098"/>
  </r>
  <r>
    <x v="738"/>
    <x v="2"/>
    <x v="0"/>
    <n v="3"/>
    <n v="14"/>
    <x v="24"/>
    <x v="18"/>
    <s v="cashloan"/>
    <n v="4926380000"/>
  </r>
  <r>
    <x v="738"/>
    <x v="2"/>
    <x v="0"/>
    <n v="3"/>
    <n v="14"/>
    <x v="30"/>
    <x v="21"/>
    <s v="payday"/>
    <n v="30680000"/>
  </r>
  <r>
    <x v="739"/>
    <x v="2"/>
    <x v="0"/>
    <n v="3"/>
    <n v="15"/>
    <x v="3"/>
    <x v="3"/>
    <s v="cashloan"/>
    <n v="610700000"/>
  </r>
  <r>
    <x v="739"/>
    <x v="2"/>
    <x v="0"/>
    <n v="3"/>
    <n v="15"/>
    <x v="11"/>
    <x v="10"/>
    <s v="paylater"/>
    <n v="327953693"/>
  </r>
  <r>
    <x v="739"/>
    <x v="2"/>
    <x v="0"/>
    <n v="3"/>
    <n v="15"/>
    <x v="12"/>
    <x v="11"/>
    <s v="cashloan"/>
    <n v="15094390000"/>
  </r>
  <r>
    <x v="739"/>
    <x v="2"/>
    <x v="0"/>
    <n v="3"/>
    <n v="15"/>
    <x v="5"/>
    <x v="5"/>
    <s v="overdraft"/>
    <n v="2143775393"/>
  </r>
  <r>
    <x v="739"/>
    <x v="2"/>
    <x v="0"/>
    <n v="3"/>
    <n v="15"/>
    <x v="27"/>
    <x v="19"/>
    <s v="payday"/>
    <n v="16901244000"/>
  </r>
  <r>
    <x v="739"/>
    <x v="2"/>
    <x v="0"/>
    <n v="3"/>
    <n v="15"/>
    <x v="15"/>
    <x v="14"/>
    <s v="paylater"/>
    <n v="6420589"/>
  </r>
  <r>
    <x v="739"/>
    <x v="2"/>
    <x v="0"/>
    <n v="3"/>
    <n v="15"/>
    <x v="31"/>
    <x v="22"/>
    <s v="cashloan"/>
    <n v="90000000"/>
  </r>
  <r>
    <x v="739"/>
    <x v="2"/>
    <x v="0"/>
    <n v="3"/>
    <n v="15"/>
    <x v="14"/>
    <x v="13"/>
    <s v="cashloan"/>
    <n v="5129120000"/>
  </r>
  <r>
    <x v="739"/>
    <x v="2"/>
    <x v="0"/>
    <n v="3"/>
    <n v="15"/>
    <x v="33"/>
    <x v="13"/>
    <s v="cashloan"/>
    <n v="1194930000"/>
  </r>
  <r>
    <x v="739"/>
    <x v="2"/>
    <x v="0"/>
    <n v="3"/>
    <n v="15"/>
    <x v="23"/>
    <x v="17"/>
    <s v="paylater"/>
    <n v="0"/>
  </r>
  <r>
    <x v="739"/>
    <x v="2"/>
    <x v="0"/>
    <n v="3"/>
    <n v="15"/>
    <x v="28"/>
    <x v="17"/>
    <s v="paylater"/>
    <n v="1131964176"/>
  </r>
  <r>
    <x v="739"/>
    <x v="2"/>
    <x v="0"/>
    <n v="3"/>
    <n v="15"/>
    <x v="8"/>
    <x v="8"/>
    <s v="cashloan"/>
    <n v="0"/>
  </r>
  <r>
    <x v="739"/>
    <x v="2"/>
    <x v="0"/>
    <n v="3"/>
    <n v="15"/>
    <x v="26"/>
    <x v="16"/>
    <s v="cashloan"/>
    <n v="119250000"/>
  </r>
  <r>
    <x v="739"/>
    <x v="2"/>
    <x v="0"/>
    <n v="3"/>
    <n v="15"/>
    <x v="32"/>
    <x v="16"/>
    <s v="cashloan"/>
    <n v="0"/>
  </r>
  <r>
    <x v="739"/>
    <x v="2"/>
    <x v="0"/>
    <n v="3"/>
    <n v="15"/>
    <x v="2"/>
    <x v="2"/>
    <s v="cashloan"/>
    <n v="21379720000"/>
  </r>
  <r>
    <x v="739"/>
    <x v="2"/>
    <x v="0"/>
    <n v="3"/>
    <n v="15"/>
    <x v="17"/>
    <x v="9"/>
    <s v="cashloan"/>
    <n v="0"/>
  </r>
  <r>
    <x v="739"/>
    <x v="2"/>
    <x v="0"/>
    <n v="3"/>
    <n v="15"/>
    <x v="20"/>
    <x v="9"/>
    <s v="cashloan"/>
    <n v="0"/>
  </r>
  <r>
    <x v="739"/>
    <x v="2"/>
    <x v="0"/>
    <n v="3"/>
    <n v="15"/>
    <x v="21"/>
    <x v="9"/>
    <s v="cashloan"/>
    <n v="0"/>
  </r>
  <r>
    <x v="739"/>
    <x v="2"/>
    <x v="0"/>
    <n v="3"/>
    <n v="15"/>
    <x v="25"/>
    <x v="2"/>
    <s v="cashloan"/>
    <n v="5000000"/>
  </r>
  <r>
    <x v="739"/>
    <x v="2"/>
    <x v="0"/>
    <n v="3"/>
    <n v="15"/>
    <x v="0"/>
    <x v="0"/>
    <s v="payday"/>
    <n v="14965236000"/>
  </r>
  <r>
    <x v="739"/>
    <x v="2"/>
    <x v="0"/>
    <n v="3"/>
    <n v="15"/>
    <x v="7"/>
    <x v="7"/>
    <s v="paylater"/>
    <n v="179063593"/>
  </r>
  <r>
    <x v="739"/>
    <x v="2"/>
    <x v="0"/>
    <n v="3"/>
    <n v="15"/>
    <x v="1"/>
    <x v="1"/>
    <s v="cashloan"/>
    <n v="0"/>
  </r>
  <r>
    <x v="739"/>
    <x v="2"/>
    <x v="0"/>
    <n v="3"/>
    <n v="15"/>
    <x v="6"/>
    <x v="6"/>
    <s v="payday"/>
    <n v="47000000"/>
  </r>
  <r>
    <x v="739"/>
    <x v="2"/>
    <x v="0"/>
    <n v="3"/>
    <n v="15"/>
    <x v="18"/>
    <x v="15"/>
    <s v="cashloan"/>
    <n v="779120000"/>
  </r>
  <r>
    <x v="739"/>
    <x v="2"/>
    <x v="0"/>
    <n v="3"/>
    <n v="15"/>
    <x v="29"/>
    <x v="20"/>
    <s v="payday"/>
    <n v="371628000"/>
  </r>
  <r>
    <x v="739"/>
    <x v="2"/>
    <x v="0"/>
    <n v="3"/>
    <n v="15"/>
    <x v="19"/>
    <x v="12"/>
    <s v="paylater"/>
    <n v="331278991"/>
  </r>
  <r>
    <x v="739"/>
    <x v="2"/>
    <x v="0"/>
    <n v="3"/>
    <n v="15"/>
    <x v="24"/>
    <x v="18"/>
    <s v="cashloan"/>
    <n v="4472290000"/>
  </r>
  <r>
    <x v="739"/>
    <x v="2"/>
    <x v="0"/>
    <n v="3"/>
    <n v="15"/>
    <x v="30"/>
    <x v="21"/>
    <s v="payday"/>
    <n v="65400000"/>
  </r>
  <r>
    <x v="740"/>
    <x v="2"/>
    <x v="0"/>
    <n v="3"/>
    <n v="16"/>
    <x v="3"/>
    <x v="3"/>
    <s v="cashloan"/>
    <n v="556550000"/>
  </r>
  <r>
    <x v="740"/>
    <x v="2"/>
    <x v="0"/>
    <n v="3"/>
    <n v="16"/>
    <x v="11"/>
    <x v="10"/>
    <s v="paylater"/>
    <n v="314366274"/>
  </r>
  <r>
    <x v="740"/>
    <x v="2"/>
    <x v="0"/>
    <n v="3"/>
    <n v="16"/>
    <x v="12"/>
    <x v="11"/>
    <s v="cashloan"/>
    <n v="14388060000"/>
  </r>
  <r>
    <x v="740"/>
    <x v="2"/>
    <x v="0"/>
    <n v="3"/>
    <n v="16"/>
    <x v="5"/>
    <x v="5"/>
    <s v="overdraft"/>
    <n v="1920746675"/>
  </r>
  <r>
    <x v="740"/>
    <x v="2"/>
    <x v="0"/>
    <n v="3"/>
    <n v="16"/>
    <x v="27"/>
    <x v="19"/>
    <s v="payday"/>
    <n v="15992100000"/>
  </r>
  <r>
    <x v="740"/>
    <x v="2"/>
    <x v="0"/>
    <n v="3"/>
    <n v="16"/>
    <x v="15"/>
    <x v="14"/>
    <s v="paylater"/>
    <n v="3099595"/>
  </r>
  <r>
    <x v="740"/>
    <x v="2"/>
    <x v="0"/>
    <n v="3"/>
    <n v="16"/>
    <x v="31"/>
    <x v="22"/>
    <s v="cashloan"/>
    <n v="0"/>
  </r>
  <r>
    <x v="740"/>
    <x v="2"/>
    <x v="0"/>
    <n v="3"/>
    <n v="16"/>
    <x v="14"/>
    <x v="13"/>
    <s v="cashloan"/>
    <n v="5001780000"/>
  </r>
  <r>
    <x v="740"/>
    <x v="2"/>
    <x v="0"/>
    <n v="3"/>
    <n v="16"/>
    <x v="33"/>
    <x v="13"/>
    <s v="cashloan"/>
    <n v="1050880000"/>
  </r>
  <r>
    <x v="740"/>
    <x v="2"/>
    <x v="0"/>
    <n v="3"/>
    <n v="16"/>
    <x v="23"/>
    <x v="17"/>
    <s v="paylater"/>
    <n v="27792265"/>
  </r>
  <r>
    <x v="740"/>
    <x v="2"/>
    <x v="0"/>
    <n v="3"/>
    <n v="16"/>
    <x v="28"/>
    <x v="17"/>
    <s v="paylater"/>
    <n v="1266531980"/>
  </r>
  <r>
    <x v="740"/>
    <x v="2"/>
    <x v="0"/>
    <n v="3"/>
    <n v="16"/>
    <x v="8"/>
    <x v="8"/>
    <s v="cashloan"/>
    <n v="0"/>
  </r>
  <r>
    <x v="740"/>
    <x v="2"/>
    <x v="0"/>
    <n v="3"/>
    <n v="16"/>
    <x v="26"/>
    <x v="16"/>
    <s v="cashloan"/>
    <n v="171000000"/>
  </r>
  <r>
    <x v="740"/>
    <x v="2"/>
    <x v="0"/>
    <n v="3"/>
    <n v="16"/>
    <x v="32"/>
    <x v="16"/>
    <s v="cashloan"/>
    <n v="92700000"/>
  </r>
  <r>
    <x v="740"/>
    <x v="2"/>
    <x v="0"/>
    <n v="3"/>
    <n v="16"/>
    <x v="2"/>
    <x v="2"/>
    <s v="cashloan"/>
    <n v="17466520000"/>
  </r>
  <r>
    <x v="740"/>
    <x v="2"/>
    <x v="0"/>
    <n v="3"/>
    <n v="16"/>
    <x v="17"/>
    <x v="9"/>
    <s v="cashloan"/>
    <n v="0"/>
  </r>
  <r>
    <x v="740"/>
    <x v="2"/>
    <x v="0"/>
    <n v="3"/>
    <n v="16"/>
    <x v="20"/>
    <x v="9"/>
    <s v="cashloan"/>
    <n v="0"/>
  </r>
  <r>
    <x v="740"/>
    <x v="2"/>
    <x v="0"/>
    <n v="3"/>
    <n v="16"/>
    <x v="21"/>
    <x v="9"/>
    <s v="cashloan"/>
    <n v="0"/>
  </r>
  <r>
    <x v="740"/>
    <x v="2"/>
    <x v="0"/>
    <n v="3"/>
    <n v="16"/>
    <x v="25"/>
    <x v="2"/>
    <s v="cashloan"/>
    <n v="0"/>
  </r>
  <r>
    <x v="740"/>
    <x v="2"/>
    <x v="0"/>
    <n v="3"/>
    <n v="16"/>
    <x v="0"/>
    <x v="0"/>
    <s v="payday"/>
    <n v="13843440000"/>
  </r>
  <r>
    <x v="740"/>
    <x v="2"/>
    <x v="0"/>
    <n v="3"/>
    <n v="16"/>
    <x v="7"/>
    <x v="7"/>
    <s v="paylater"/>
    <n v="181486423"/>
  </r>
  <r>
    <x v="740"/>
    <x v="2"/>
    <x v="0"/>
    <n v="3"/>
    <n v="16"/>
    <x v="1"/>
    <x v="1"/>
    <s v="cashloan"/>
    <n v="0"/>
  </r>
  <r>
    <x v="740"/>
    <x v="2"/>
    <x v="0"/>
    <n v="3"/>
    <n v="16"/>
    <x v="6"/>
    <x v="6"/>
    <s v="payday"/>
    <n v="34000000"/>
  </r>
  <r>
    <x v="740"/>
    <x v="2"/>
    <x v="0"/>
    <n v="3"/>
    <n v="16"/>
    <x v="18"/>
    <x v="15"/>
    <s v="cashloan"/>
    <n v="839430000"/>
  </r>
  <r>
    <x v="740"/>
    <x v="2"/>
    <x v="0"/>
    <n v="3"/>
    <n v="16"/>
    <x v="29"/>
    <x v="20"/>
    <s v="payday"/>
    <n v="458244000"/>
  </r>
  <r>
    <x v="740"/>
    <x v="2"/>
    <x v="0"/>
    <n v="3"/>
    <n v="16"/>
    <x v="19"/>
    <x v="12"/>
    <s v="paylater"/>
    <n v="225373610"/>
  </r>
  <r>
    <x v="740"/>
    <x v="2"/>
    <x v="0"/>
    <n v="3"/>
    <n v="16"/>
    <x v="24"/>
    <x v="18"/>
    <s v="cashloan"/>
    <n v="3781010000"/>
  </r>
  <r>
    <x v="740"/>
    <x v="2"/>
    <x v="0"/>
    <n v="3"/>
    <n v="16"/>
    <x v="30"/>
    <x v="21"/>
    <s v="payday"/>
    <n v="143680000"/>
  </r>
  <r>
    <x v="741"/>
    <x v="2"/>
    <x v="0"/>
    <n v="3"/>
    <n v="17"/>
    <x v="3"/>
    <x v="3"/>
    <s v="cashloan"/>
    <n v="763750000"/>
  </r>
  <r>
    <x v="741"/>
    <x v="2"/>
    <x v="0"/>
    <n v="3"/>
    <n v="17"/>
    <x v="11"/>
    <x v="10"/>
    <s v="paylater"/>
    <n v="315997649"/>
  </r>
  <r>
    <x v="741"/>
    <x v="2"/>
    <x v="0"/>
    <n v="3"/>
    <n v="17"/>
    <x v="12"/>
    <x v="11"/>
    <s v="cashloan"/>
    <n v="12375720000"/>
  </r>
  <r>
    <x v="741"/>
    <x v="2"/>
    <x v="0"/>
    <n v="3"/>
    <n v="17"/>
    <x v="5"/>
    <x v="5"/>
    <s v="overdraft"/>
    <n v="1705600752"/>
  </r>
  <r>
    <x v="741"/>
    <x v="2"/>
    <x v="0"/>
    <n v="3"/>
    <n v="17"/>
    <x v="27"/>
    <x v="19"/>
    <s v="payday"/>
    <n v="14618448000"/>
  </r>
  <r>
    <x v="741"/>
    <x v="2"/>
    <x v="0"/>
    <n v="3"/>
    <n v="17"/>
    <x v="15"/>
    <x v="14"/>
    <s v="paylater"/>
    <n v="5236551"/>
  </r>
  <r>
    <x v="741"/>
    <x v="2"/>
    <x v="0"/>
    <n v="3"/>
    <n v="17"/>
    <x v="31"/>
    <x v="22"/>
    <s v="cashloan"/>
    <n v="0"/>
  </r>
  <r>
    <x v="741"/>
    <x v="2"/>
    <x v="0"/>
    <n v="3"/>
    <n v="17"/>
    <x v="14"/>
    <x v="13"/>
    <s v="cashloan"/>
    <n v="3993880000"/>
  </r>
  <r>
    <x v="741"/>
    <x v="2"/>
    <x v="0"/>
    <n v="3"/>
    <n v="17"/>
    <x v="33"/>
    <x v="13"/>
    <s v="cashloan"/>
    <n v="954800000"/>
  </r>
  <r>
    <x v="741"/>
    <x v="2"/>
    <x v="0"/>
    <n v="3"/>
    <n v="17"/>
    <x v="23"/>
    <x v="17"/>
    <s v="paylater"/>
    <n v="1673387"/>
  </r>
  <r>
    <x v="741"/>
    <x v="2"/>
    <x v="0"/>
    <n v="3"/>
    <n v="17"/>
    <x v="28"/>
    <x v="17"/>
    <s v="paylater"/>
    <n v="1558276088"/>
  </r>
  <r>
    <x v="741"/>
    <x v="2"/>
    <x v="0"/>
    <n v="3"/>
    <n v="17"/>
    <x v="8"/>
    <x v="8"/>
    <s v="cashloan"/>
    <n v="0"/>
  </r>
  <r>
    <x v="741"/>
    <x v="2"/>
    <x v="0"/>
    <n v="3"/>
    <n v="17"/>
    <x v="26"/>
    <x v="16"/>
    <s v="cashloan"/>
    <n v="99450000"/>
  </r>
  <r>
    <x v="741"/>
    <x v="2"/>
    <x v="0"/>
    <n v="3"/>
    <n v="17"/>
    <x v="32"/>
    <x v="16"/>
    <s v="cashloan"/>
    <n v="0"/>
  </r>
  <r>
    <x v="741"/>
    <x v="2"/>
    <x v="0"/>
    <n v="3"/>
    <n v="17"/>
    <x v="2"/>
    <x v="2"/>
    <s v="cashloan"/>
    <n v="15122490000"/>
  </r>
  <r>
    <x v="741"/>
    <x v="2"/>
    <x v="0"/>
    <n v="3"/>
    <n v="17"/>
    <x v="17"/>
    <x v="9"/>
    <s v="cashloan"/>
    <n v="0"/>
  </r>
  <r>
    <x v="741"/>
    <x v="2"/>
    <x v="0"/>
    <n v="3"/>
    <n v="17"/>
    <x v="20"/>
    <x v="9"/>
    <s v="cashloan"/>
    <n v="0"/>
  </r>
  <r>
    <x v="741"/>
    <x v="2"/>
    <x v="0"/>
    <n v="3"/>
    <n v="17"/>
    <x v="21"/>
    <x v="9"/>
    <s v="cashloan"/>
    <n v="0"/>
  </r>
  <r>
    <x v="741"/>
    <x v="2"/>
    <x v="0"/>
    <n v="3"/>
    <n v="17"/>
    <x v="25"/>
    <x v="2"/>
    <s v="cashloan"/>
    <n v="0"/>
  </r>
  <r>
    <x v="741"/>
    <x v="2"/>
    <x v="0"/>
    <n v="3"/>
    <n v="17"/>
    <x v="0"/>
    <x v="0"/>
    <s v="payday"/>
    <n v="11909484000"/>
  </r>
  <r>
    <x v="741"/>
    <x v="2"/>
    <x v="0"/>
    <n v="3"/>
    <n v="17"/>
    <x v="7"/>
    <x v="7"/>
    <s v="paylater"/>
    <n v="183131625"/>
  </r>
  <r>
    <x v="741"/>
    <x v="2"/>
    <x v="0"/>
    <n v="3"/>
    <n v="17"/>
    <x v="1"/>
    <x v="1"/>
    <s v="cashloan"/>
    <n v="0"/>
  </r>
  <r>
    <x v="741"/>
    <x v="2"/>
    <x v="0"/>
    <n v="3"/>
    <n v="17"/>
    <x v="6"/>
    <x v="6"/>
    <s v="payday"/>
    <n v="30000000"/>
  </r>
  <r>
    <x v="741"/>
    <x v="2"/>
    <x v="0"/>
    <n v="3"/>
    <n v="17"/>
    <x v="18"/>
    <x v="15"/>
    <s v="cashloan"/>
    <n v="847010000"/>
  </r>
  <r>
    <x v="741"/>
    <x v="2"/>
    <x v="0"/>
    <n v="3"/>
    <n v="17"/>
    <x v="29"/>
    <x v="20"/>
    <s v="payday"/>
    <n v="453708000"/>
  </r>
  <r>
    <x v="741"/>
    <x v="2"/>
    <x v="0"/>
    <n v="3"/>
    <n v="17"/>
    <x v="19"/>
    <x v="12"/>
    <s v="paylater"/>
    <n v="275714787"/>
  </r>
  <r>
    <x v="741"/>
    <x v="2"/>
    <x v="0"/>
    <n v="3"/>
    <n v="17"/>
    <x v="24"/>
    <x v="18"/>
    <s v="cashloan"/>
    <n v="3251140000"/>
  </r>
  <r>
    <x v="741"/>
    <x v="2"/>
    <x v="0"/>
    <n v="3"/>
    <n v="17"/>
    <x v="30"/>
    <x v="21"/>
    <s v="payday"/>
    <n v="300520000"/>
  </r>
  <r>
    <x v="742"/>
    <x v="2"/>
    <x v="0"/>
    <n v="3"/>
    <n v="18"/>
    <x v="3"/>
    <x v="3"/>
    <s v="cashloan"/>
    <n v="819800000"/>
  </r>
  <r>
    <x v="742"/>
    <x v="2"/>
    <x v="0"/>
    <n v="3"/>
    <n v="18"/>
    <x v="11"/>
    <x v="10"/>
    <s v="paylater"/>
    <n v="300144473"/>
  </r>
  <r>
    <x v="742"/>
    <x v="2"/>
    <x v="0"/>
    <n v="3"/>
    <n v="18"/>
    <x v="12"/>
    <x v="11"/>
    <s v="cashloan"/>
    <n v="12551320000"/>
  </r>
  <r>
    <x v="742"/>
    <x v="2"/>
    <x v="0"/>
    <n v="3"/>
    <n v="18"/>
    <x v="5"/>
    <x v="5"/>
    <s v="overdraft"/>
    <n v="1468190659"/>
  </r>
  <r>
    <x v="742"/>
    <x v="2"/>
    <x v="0"/>
    <n v="3"/>
    <n v="18"/>
    <x v="27"/>
    <x v="19"/>
    <s v="payday"/>
    <n v="14384520000"/>
  </r>
  <r>
    <x v="742"/>
    <x v="2"/>
    <x v="0"/>
    <n v="3"/>
    <n v="18"/>
    <x v="15"/>
    <x v="14"/>
    <s v="paylater"/>
    <n v="6697906"/>
  </r>
  <r>
    <x v="742"/>
    <x v="2"/>
    <x v="0"/>
    <n v="3"/>
    <n v="18"/>
    <x v="31"/>
    <x v="22"/>
    <s v="cashloan"/>
    <n v="0"/>
  </r>
  <r>
    <x v="742"/>
    <x v="2"/>
    <x v="0"/>
    <n v="3"/>
    <n v="18"/>
    <x v="14"/>
    <x v="13"/>
    <s v="cashloan"/>
    <n v="5934900000"/>
  </r>
  <r>
    <x v="742"/>
    <x v="2"/>
    <x v="0"/>
    <n v="3"/>
    <n v="18"/>
    <x v="33"/>
    <x v="13"/>
    <s v="cashloan"/>
    <n v="1204830000"/>
  </r>
  <r>
    <x v="742"/>
    <x v="2"/>
    <x v="0"/>
    <n v="3"/>
    <n v="18"/>
    <x v="23"/>
    <x v="17"/>
    <s v="paylater"/>
    <n v="7300100"/>
  </r>
  <r>
    <x v="742"/>
    <x v="2"/>
    <x v="0"/>
    <n v="3"/>
    <n v="18"/>
    <x v="28"/>
    <x v="17"/>
    <s v="paylater"/>
    <n v="1740651335"/>
  </r>
  <r>
    <x v="742"/>
    <x v="2"/>
    <x v="0"/>
    <n v="3"/>
    <n v="18"/>
    <x v="8"/>
    <x v="8"/>
    <s v="cashloan"/>
    <n v="0"/>
  </r>
  <r>
    <x v="742"/>
    <x v="2"/>
    <x v="0"/>
    <n v="3"/>
    <n v="18"/>
    <x v="26"/>
    <x v="16"/>
    <s v="cashloan"/>
    <n v="195550000"/>
  </r>
  <r>
    <x v="742"/>
    <x v="2"/>
    <x v="0"/>
    <n v="3"/>
    <n v="18"/>
    <x v="32"/>
    <x v="16"/>
    <s v="cashloan"/>
    <n v="0"/>
  </r>
  <r>
    <x v="742"/>
    <x v="2"/>
    <x v="0"/>
    <n v="3"/>
    <n v="18"/>
    <x v="2"/>
    <x v="2"/>
    <s v="cashloan"/>
    <n v="16180000000"/>
  </r>
  <r>
    <x v="742"/>
    <x v="2"/>
    <x v="0"/>
    <n v="3"/>
    <n v="18"/>
    <x v="17"/>
    <x v="9"/>
    <s v="cashloan"/>
    <n v="0"/>
  </r>
  <r>
    <x v="742"/>
    <x v="2"/>
    <x v="0"/>
    <n v="3"/>
    <n v="18"/>
    <x v="20"/>
    <x v="9"/>
    <s v="cashloan"/>
    <n v="0"/>
  </r>
  <r>
    <x v="742"/>
    <x v="2"/>
    <x v="0"/>
    <n v="3"/>
    <n v="18"/>
    <x v="21"/>
    <x v="9"/>
    <s v="cashloan"/>
    <n v="0"/>
  </r>
  <r>
    <x v="742"/>
    <x v="2"/>
    <x v="0"/>
    <n v="3"/>
    <n v="18"/>
    <x v="25"/>
    <x v="2"/>
    <s v="cashloan"/>
    <n v="0"/>
  </r>
  <r>
    <x v="742"/>
    <x v="2"/>
    <x v="0"/>
    <n v="3"/>
    <n v="18"/>
    <x v="0"/>
    <x v="0"/>
    <s v="payday"/>
    <n v="11843928000"/>
  </r>
  <r>
    <x v="742"/>
    <x v="2"/>
    <x v="0"/>
    <n v="3"/>
    <n v="18"/>
    <x v="7"/>
    <x v="7"/>
    <s v="paylater"/>
    <n v="161783251"/>
  </r>
  <r>
    <x v="742"/>
    <x v="2"/>
    <x v="0"/>
    <n v="3"/>
    <n v="18"/>
    <x v="1"/>
    <x v="1"/>
    <s v="cashloan"/>
    <n v="10500000"/>
  </r>
  <r>
    <x v="742"/>
    <x v="2"/>
    <x v="0"/>
    <n v="3"/>
    <n v="18"/>
    <x v="6"/>
    <x v="6"/>
    <s v="payday"/>
    <n v="34000000"/>
  </r>
  <r>
    <x v="742"/>
    <x v="2"/>
    <x v="0"/>
    <n v="3"/>
    <n v="18"/>
    <x v="18"/>
    <x v="15"/>
    <s v="cashloan"/>
    <n v="909750000"/>
  </r>
  <r>
    <x v="742"/>
    <x v="2"/>
    <x v="0"/>
    <n v="3"/>
    <n v="18"/>
    <x v="29"/>
    <x v="20"/>
    <s v="payday"/>
    <n v="380916000"/>
  </r>
  <r>
    <x v="742"/>
    <x v="2"/>
    <x v="0"/>
    <n v="3"/>
    <n v="18"/>
    <x v="19"/>
    <x v="12"/>
    <s v="paylater"/>
    <n v="206865269"/>
  </r>
  <r>
    <x v="742"/>
    <x v="2"/>
    <x v="0"/>
    <n v="3"/>
    <n v="18"/>
    <x v="24"/>
    <x v="18"/>
    <s v="cashloan"/>
    <n v="3016280000"/>
  </r>
  <r>
    <x v="742"/>
    <x v="2"/>
    <x v="0"/>
    <n v="3"/>
    <n v="18"/>
    <x v="30"/>
    <x v="21"/>
    <s v="payday"/>
    <n v="349800000"/>
  </r>
  <r>
    <x v="743"/>
    <x v="2"/>
    <x v="0"/>
    <n v="4"/>
    <n v="19"/>
    <x v="3"/>
    <x v="3"/>
    <s v="cashloan"/>
    <n v="560600000"/>
  </r>
  <r>
    <x v="743"/>
    <x v="2"/>
    <x v="0"/>
    <n v="4"/>
    <n v="19"/>
    <x v="11"/>
    <x v="10"/>
    <s v="paylater"/>
    <n v="274471160"/>
  </r>
  <r>
    <x v="743"/>
    <x v="2"/>
    <x v="0"/>
    <n v="4"/>
    <n v="19"/>
    <x v="12"/>
    <x v="11"/>
    <s v="cashloan"/>
    <n v="14654300000"/>
  </r>
  <r>
    <x v="743"/>
    <x v="2"/>
    <x v="0"/>
    <n v="4"/>
    <n v="19"/>
    <x v="5"/>
    <x v="5"/>
    <s v="overdraft"/>
    <n v="1683779190"/>
  </r>
  <r>
    <x v="743"/>
    <x v="2"/>
    <x v="0"/>
    <n v="4"/>
    <n v="19"/>
    <x v="27"/>
    <x v="19"/>
    <s v="payday"/>
    <n v="14651064000"/>
  </r>
  <r>
    <x v="743"/>
    <x v="2"/>
    <x v="0"/>
    <n v="4"/>
    <n v="19"/>
    <x v="15"/>
    <x v="14"/>
    <s v="paylater"/>
    <n v="7712628"/>
  </r>
  <r>
    <x v="743"/>
    <x v="2"/>
    <x v="0"/>
    <n v="4"/>
    <n v="19"/>
    <x v="31"/>
    <x v="22"/>
    <s v="cashloan"/>
    <n v="47000000"/>
  </r>
  <r>
    <x v="743"/>
    <x v="2"/>
    <x v="0"/>
    <n v="4"/>
    <n v="19"/>
    <x v="14"/>
    <x v="13"/>
    <s v="cashloan"/>
    <n v="5486190000"/>
  </r>
  <r>
    <x v="743"/>
    <x v="2"/>
    <x v="0"/>
    <n v="4"/>
    <n v="19"/>
    <x v="33"/>
    <x v="13"/>
    <s v="cashloan"/>
    <n v="1140980000"/>
  </r>
  <r>
    <x v="743"/>
    <x v="2"/>
    <x v="0"/>
    <n v="4"/>
    <n v="19"/>
    <x v="23"/>
    <x v="17"/>
    <s v="paylater"/>
    <n v="8855382"/>
  </r>
  <r>
    <x v="743"/>
    <x v="2"/>
    <x v="0"/>
    <n v="4"/>
    <n v="19"/>
    <x v="28"/>
    <x v="17"/>
    <s v="paylater"/>
    <n v="833682606"/>
  </r>
  <r>
    <x v="743"/>
    <x v="2"/>
    <x v="0"/>
    <n v="4"/>
    <n v="19"/>
    <x v="8"/>
    <x v="8"/>
    <s v="cashloan"/>
    <n v="0"/>
  </r>
  <r>
    <x v="743"/>
    <x v="2"/>
    <x v="0"/>
    <n v="4"/>
    <n v="19"/>
    <x v="26"/>
    <x v="16"/>
    <s v="cashloan"/>
    <n v="213100000"/>
  </r>
  <r>
    <x v="743"/>
    <x v="2"/>
    <x v="0"/>
    <n v="4"/>
    <n v="19"/>
    <x v="32"/>
    <x v="16"/>
    <s v="cashloan"/>
    <n v="185400000"/>
  </r>
  <r>
    <x v="743"/>
    <x v="2"/>
    <x v="0"/>
    <n v="4"/>
    <n v="19"/>
    <x v="2"/>
    <x v="2"/>
    <s v="cashloan"/>
    <n v="16502710000"/>
  </r>
  <r>
    <x v="743"/>
    <x v="2"/>
    <x v="0"/>
    <n v="4"/>
    <n v="19"/>
    <x v="17"/>
    <x v="9"/>
    <s v="cashloan"/>
    <n v="0"/>
  </r>
  <r>
    <x v="743"/>
    <x v="2"/>
    <x v="0"/>
    <n v="4"/>
    <n v="19"/>
    <x v="20"/>
    <x v="9"/>
    <s v="cashloan"/>
    <n v="0"/>
  </r>
  <r>
    <x v="743"/>
    <x v="2"/>
    <x v="0"/>
    <n v="4"/>
    <n v="19"/>
    <x v="21"/>
    <x v="9"/>
    <s v="cashloan"/>
    <n v="0"/>
  </r>
  <r>
    <x v="743"/>
    <x v="2"/>
    <x v="0"/>
    <n v="4"/>
    <n v="19"/>
    <x v="25"/>
    <x v="2"/>
    <s v="cashloan"/>
    <n v="8000000"/>
  </r>
  <r>
    <x v="743"/>
    <x v="2"/>
    <x v="0"/>
    <n v="4"/>
    <n v="19"/>
    <x v="0"/>
    <x v="0"/>
    <s v="payday"/>
    <n v="11507400000"/>
  </r>
  <r>
    <x v="743"/>
    <x v="2"/>
    <x v="0"/>
    <n v="4"/>
    <n v="19"/>
    <x v="7"/>
    <x v="7"/>
    <s v="paylater"/>
    <n v="162043873"/>
  </r>
  <r>
    <x v="743"/>
    <x v="2"/>
    <x v="0"/>
    <n v="4"/>
    <n v="19"/>
    <x v="1"/>
    <x v="1"/>
    <s v="cashloan"/>
    <n v="52500000"/>
  </r>
  <r>
    <x v="743"/>
    <x v="2"/>
    <x v="0"/>
    <n v="4"/>
    <n v="19"/>
    <x v="6"/>
    <x v="6"/>
    <s v="payday"/>
    <n v="41000000"/>
  </r>
  <r>
    <x v="743"/>
    <x v="2"/>
    <x v="0"/>
    <n v="4"/>
    <n v="19"/>
    <x v="18"/>
    <x v="15"/>
    <s v="cashloan"/>
    <n v="772590000"/>
  </r>
  <r>
    <x v="743"/>
    <x v="2"/>
    <x v="0"/>
    <n v="4"/>
    <n v="19"/>
    <x v="29"/>
    <x v="20"/>
    <s v="payday"/>
    <n v="327780000"/>
  </r>
  <r>
    <x v="743"/>
    <x v="2"/>
    <x v="0"/>
    <n v="4"/>
    <n v="19"/>
    <x v="19"/>
    <x v="12"/>
    <s v="paylater"/>
    <n v="254458678"/>
  </r>
  <r>
    <x v="743"/>
    <x v="2"/>
    <x v="0"/>
    <n v="4"/>
    <n v="19"/>
    <x v="24"/>
    <x v="18"/>
    <s v="cashloan"/>
    <n v="3811440000"/>
  </r>
  <r>
    <x v="743"/>
    <x v="2"/>
    <x v="0"/>
    <n v="4"/>
    <n v="19"/>
    <x v="30"/>
    <x v="21"/>
    <s v="payday"/>
    <n v="271000000"/>
  </r>
  <r>
    <x v="744"/>
    <x v="2"/>
    <x v="0"/>
    <n v="4"/>
    <n v="20"/>
    <x v="3"/>
    <x v="3"/>
    <s v="cashloan"/>
    <n v="560550000"/>
  </r>
  <r>
    <x v="744"/>
    <x v="2"/>
    <x v="0"/>
    <n v="4"/>
    <n v="20"/>
    <x v="11"/>
    <x v="10"/>
    <s v="paylater"/>
    <n v="304858329"/>
  </r>
  <r>
    <x v="744"/>
    <x v="2"/>
    <x v="0"/>
    <n v="4"/>
    <n v="20"/>
    <x v="12"/>
    <x v="11"/>
    <s v="cashloan"/>
    <n v="15070520000"/>
  </r>
  <r>
    <x v="744"/>
    <x v="2"/>
    <x v="0"/>
    <n v="4"/>
    <n v="20"/>
    <x v="5"/>
    <x v="5"/>
    <s v="overdraft"/>
    <n v="2226554897"/>
  </r>
  <r>
    <x v="744"/>
    <x v="2"/>
    <x v="0"/>
    <n v="4"/>
    <n v="20"/>
    <x v="27"/>
    <x v="19"/>
    <s v="payday"/>
    <n v="15809148000"/>
  </r>
  <r>
    <x v="744"/>
    <x v="2"/>
    <x v="0"/>
    <n v="4"/>
    <n v="20"/>
    <x v="15"/>
    <x v="14"/>
    <s v="paylater"/>
    <n v="6626025"/>
  </r>
  <r>
    <x v="744"/>
    <x v="2"/>
    <x v="0"/>
    <n v="4"/>
    <n v="20"/>
    <x v="31"/>
    <x v="22"/>
    <s v="cashloan"/>
    <n v="0"/>
  </r>
  <r>
    <x v="744"/>
    <x v="2"/>
    <x v="0"/>
    <n v="4"/>
    <n v="20"/>
    <x v="14"/>
    <x v="13"/>
    <s v="cashloan"/>
    <n v="4105020000"/>
  </r>
  <r>
    <x v="744"/>
    <x v="2"/>
    <x v="0"/>
    <n v="4"/>
    <n v="20"/>
    <x v="33"/>
    <x v="13"/>
    <s v="cashloan"/>
    <n v="1359600000"/>
  </r>
  <r>
    <x v="744"/>
    <x v="2"/>
    <x v="0"/>
    <n v="4"/>
    <n v="20"/>
    <x v="23"/>
    <x v="17"/>
    <s v="paylater"/>
    <n v="7293164"/>
  </r>
  <r>
    <x v="744"/>
    <x v="2"/>
    <x v="0"/>
    <n v="4"/>
    <n v="20"/>
    <x v="28"/>
    <x v="17"/>
    <s v="paylater"/>
    <n v="874981610"/>
  </r>
  <r>
    <x v="744"/>
    <x v="2"/>
    <x v="0"/>
    <n v="4"/>
    <n v="20"/>
    <x v="8"/>
    <x v="8"/>
    <s v="cashloan"/>
    <n v="0"/>
  </r>
  <r>
    <x v="744"/>
    <x v="2"/>
    <x v="0"/>
    <n v="4"/>
    <n v="20"/>
    <x v="26"/>
    <x v="16"/>
    <s v="cashloan"/>
    <n v="226500000"/>
  </r>
  <r>
    <x v="744"/>
    <x v="2"/>
    <x v="0"/>
    <n v="4"/>
    <n v="20"/>
    <x v="32"/>
    <x v="16"/>
    <s v="cashloan"/>
    <n v="185400000"/>
  </r>
  <r>
    <x v="744"/>
    <x v="2"/>
    <x v="0"/>
    <n v="4"/>
    <n v="20"/>
    <x v="2"/>
    <x v="2"/>
    <s v="cashloan"/>
    <n v="18066080000"/>
  </r>
  <r>
    <x v="744"/>
    <x v="2"/>
    <x v="0"/>
    <n v="4"/>
    <n v="20"/>
    <x v="17"/>
    <x v="9"/>
    <s v="cashloan"/>
    <n v="0"/>
  </r>
  <r>
    <x v="744"/>
    <x v="2"/>
    <x v="0"/>
    <n v="4"/>
    <n v="20"/>
    <x v="20"/>
    <x v="9"/>
    <s v="cashloan"/>
    <n v="0"/>
  </r>
  <r>
    <x v="744"/>
    <x v="2"/>
    <x v="0"/>
    <n v="4"/>
    <n v="20"/>
    <x v="21"/>
    <x v="9"/>
    <s v="cashloan"/>
    <n v="0"/>
  </r>
  <r>
    <x v="744"/>
    <x v="2"/>
    <x v="0"/>
    <n v="4"/>
    <n v="20"/>
    <x v="25"/>
    <x v="2"/>
    <s v="cashloan"/>
    <n v="11000000"/>
  </r>
  <r>
    <x v="744"/>
    <x v="2"/>
    <x v="0"/>
    <n v="4"/>
    <n v="20"/>
    <x v="0"/>
    <x v="0"/>
    <s v="payday"/>
    <n v="12079800000"/>
  </r>
  <r>
    <x v="744"/>
    <x v="2"/>
    <x v="0"/>
    <n v="4"/>
    <n v="20"/>
    <x v="7"/>
    <x v="7"/>
    <s v="paylater"/>
    <n v="170439192"/>
  </r>
  <r>
    <x v="744"/>
    <x v="2"/>
    <x v="0"/>
    <n v="4"/>
    <n v="20"/>
    <x v="1"/>
    <x v="1"/>
    <s v="cashloan"/>
    <n v="0"/>
  </r>
  <r>
    <x v="744"/>
    <x v="2"/>
    <x v="0"/>
    <n v="4"/>
    <n v="20"/>
    <x v="6"/>
    <x v="6"/>
    <s v="payday"/>
    <n v="64000000"/>
  </r>
  <r>
    <x v="744"/>
    <x v="2"/>
    <x v="0"/>
    <n v="4"/>
    <n v="20"/>
    <x v="18"/>
    <x v="15"/>
    <s v="cashloan"/>
    <n v="1294110000"/>
  </r>
  <r>
    <x v="744"/>
    <x v="2"/>
    <x v="0"/>
    <n v="4"/>
    <n v="20"/>
    <x v="29"/>
    <x v="20"/>
    <s v="payday"/>
    <n v="386640000"/>
  </r>
  <r>
    <x v="744"/>
    <x v="2"/>
    <x v="0"/>
    <n v="4"/>
    <n v="20"/>
    <x v="19"/>
    <x v="12"/>
    <s v="paylater"/>
    <n v="256250511"/>
  </r>
  <r>
    <x v="744"/>
    <x v="2"/>
    <x v="0"/>
    <n v="4"/>
    <n v="20"/>
    <x v="24"/>
    <x v="18"/>
    <s v="cashloan"/>
    <n v="3868860000"/>
  </r>
  <r>
    <x v="744"/>
    <x v="2"/>
    <x v="0"/>
    <n v="4"/>
    <n v="20"/>
    <x v="30"/>
    <x v="21"/>
    <s v="payday"/>
    <n v="563400000"/>
  </r>
  <r>
    <x v="745"/>
    <x v="2"/>
    <x v="0"/>
    <n v="4"/>
    <n v="21"/>
    <x v="3"/>
    <x v="3"/>
    <s v="cashloan"/>
    <n v="765250000"/>
  </r>
  <r>
    <x v="745"/>
    <x v="2"/>
    <x v="0"/>
    <n v="4"/>
    <n v="21"/>
    <x v="11"/>
    <x v="10"/>
    <s v="paylater"/>
    <n v="335695331"/>
  </r>
  <r>
    <x v="745"/>
    <x v="2"/>
    <x v="0"/>
    <n v="4"/>
    <n v="21"/>
    <x v="12"/>
    <x v="11"/>
    <s v="cashloan"/>
    <n v="15247760000"/>
  </r>
  <r>
    <x v="745"/>
    <x v="2"/>
    <x v="0"/>
    <n v="4"/>
    <n v="21"/>
    <x v="5"/>
    <x v="5"/>
    <s v="overdraft"/>
    <n v="1904199995"/>
  </r>
  <r>
    <x v="745"/>
    <x v="2"/>
    <x v="0"/>
    <n v="4"/>
    <n v="21"/>
    <x v="27"/>
    <x v="19"/>
    <s v="payday"/>
    <n v="14580864000"/>
  </r>
  <r>
    <x v="745"/>
    <x v="2"/>
    <x v="0"/>
    <n v="4"/>
    <n v="21"/>
    <x v="15"/>
    <x v="14"/>
    <s v="paylater"/>
    <n v="13028836"/>
  </r>
  <r>
    <x v="745"/>
    <x v="2"/>
    <x v="0"/>
    <n v="4"/>
    <n v="21"/>
    <x v="31"/>
    <x v="22"/>
    <s v="cashloan"/>
    <n v="0"/>
  </r>
  <r>
    <x v="745"/>
    <x v="2"/>
    <x v="0"/>
    <n v="4"/>
    <n v="21"/>
    <x v="14"/>
    <x v="13"/>
    <s v="cashloan"/>
    <n v="4137250000"/>
  </r>
  <r>
    <x v="745"/>
    <x v="2"/>
    <x v="0"/>
    <n v="4"/>
    <n v="21"/>
    <x v="33"/>
    <x v="13"/>
    <s v="cashloan"/>
    <n v="1170710000"/>
  </r>
  <r>
    <x v="745"/>
    <x v="2"/>
    <x v="0"/>
    <n v="4"/>
    <n v="21"/>
    <x v="23"/>
    <x v="17"/>
    <s v="paylater"/>
    <n v="18270497"/>
  </r>
  <r>
    <x v="745"/>
    <x v="2"/>
    <x v="0"/>
    <n v="4"/>
    <n v="21"/>
    <x v="28"/>
    <x v="17"/>
    <s v="paylater"/>
    <n v="1117910298"/>
  </r>
  <r>
    <x v="745"/>
    <x v="2"/>
    <x v="0"/>
    <n v="4"/>
    <n v="21"/>
    <x v="8"/>
    <x v="8"/>
    <s v="cashloan"/>
    <n v="0"/>
  </r>
  <r>
    <x v="745"/>
    <x v="2"/>
    <x v="0"/>
    <n v="4"/>
    <n v="21"/>
    <x v="26"/>
    <x v="16"/>
    <s v="cashloan"/>
    <n v="94000000"/>
  </r>
  <r>
    <x v="745"/>
    <x v="2"/>
    <x v="0"/>
    <n v="4"/>
    <n v="21"/>
    <x v="32"/>
    <x v="16"/>
    <s v="cashloan"/>
    <n v="0"/>
  </r>
  <r>
    <x v="745"/>
    <x v="2"/>
    <x v="0"/>
    <n v="4"/>
    <n v="21"/>
    <x v="2"/>
    <x v="2"/>
    <s v="cashloan"/>
    <n v="18318490000"/>
  </r>
  <r>
    <x v="745"/>
    <x v="2"/>
    <x v="0"/>
    <n v="4"/>
    <n v="21"/>
    <x v="17"/>
    <x v="9"/>
    <s v="cashloan"/>
    <n v="0"/>
  </r>
  <r>
    <x v="745"/>
    <x v="2"/>
    <x v="0"/>
    <n v="4"/>
    <n v="21"/>
    <x v="20"/>
    <x v="9"/>
    <s v="cashloan"/>
    <n v="0"/>
  </r>
  <r>
    <x v="745"/>
    <x v="2"/>
    <x v="0"/>
    <n v="4"/>
    <n v="21"/>
    <x v="21"/>
    <x v="9"/>
    <s v="cashloan"/>
    <n v="0"/>
  </r>
  <r>
    <x v="745"/>
    <x v="2"/>
    <x v="0"/>
    <n v="4"/>
    <n v="21"/>
    <x v="25"/>
    <x v="2"/>
    <s v="cashloan"/>
    <n v="15000000"/>
  </r>
  <r>
    <x v="745"/>
    <x v="2"/>
    <x v="0"/>
    <n v="4"/>
    <n v="21"/>
    <x v="0"/>
    <x v="0"/>
    <s v="payday"/>
    <n v="11299500000"/>
  </r>
  <r>
    <x v="745"/>
    <x v="2"/>
    <x v="0"/>
    <n v="4"/>
    <n v="21"/>
    <x v="7"/>
    <x v="7"/>
    <s v="paylater"/>
    <n v="200834005"/>
  </r>
  <r>
    <x v="745"/>
    <x v="2"/>
    <x v="0"/>
    <n v="4"/>
    <n v="21"/>
    <x v="1"/>
    <x v="1"/>
    <s v="cashloan"/>
    <n v="42000000"/>
  </r>
  <r>
    <x v="745"/>
    <x v="2"/>
    <x v="0"/>
    <n v="4"/>
    <n v="21"/>
    <x v="6"/>
    <x v="6"/>
    <s v="payday"/>
    <n v="44000000"/>
  </r>
  <r>
    <x v="745"/>
    <x v="2"/>
    <x v="0"/>
    <n v="4"/>
    <n v="21"/>
    <x v="18"/>
    <x v="15"/>
    <s v="cashloan"/>
    <n v="770810000"/>
  </r>
  <r>
    <x v="745"/>
    <x v="2"/>
    <x v="0"/>
    <n v="4"/>
    <n v="21"/>
    <x v="29"/>
    <x v="20"/>
    <s v="payday"/>
    <n v="307476000"/>
  </r>
  <r>
    <x v="745"/>
    <x v="2"/>
    <x v="0"/>
    <n v="4"/>
    <n v="21"/>
    <x v="19"/>
    <x v="12"/>
    <s v="paylater"/>
    <n v="445798590"/>
  </r>
  <r>
    <x v="745"/>
    <x v="2"/>
    <x v="0"/>
    <n v="4"/>
    <n v="21"/>
    <x v="24"/>
    <x v="18"/>
    <s v="cashloan"/>
    <n v="3300290000"/>
  </r>
  <r>
    <x v="745"/>
    <x v="2"/>
    <x v="0"/>
    <n v="4"/>
    <n v="21"/>
    <x v="30"/>
    <x v="21"/>
    <s v="payday"/>
    <n v="1009960000"/>
  </r>
  <r>
    <x v="746"/>
    <x v="2"/>
    <x v="0"/>
    <n v="4"/>
    <n v="22"/>
    <x v="3"/>
    <x v="3"/>
    <s v="cashloan"/>
    <n v="617250000"/>
  </r>
  <r>
    <x v="746"/>
    <x v="2"/>
    <x v="0"/>
    <n v="4"/>
    <n v="22"/>
    <x v="11"/>
    <x v="10"/>
    <s v="paylater"/>
    <n v="335056696"/>
  </r>
  <r>
    <x v="746"/>
    <x v="2"/>
    <x v="0"/>
    <n v="4"/>
    <n v="22"/>
    <x v="12"/>
    <x v="11"/>
    <s v="cashloan"/>
    <n v="14602150000"/>
  </r>
  <r>
    <x v="746"/>
    <x v="2"/>
    <x v="0"/>
    <n v="4"/>
    <n v="22"/>
    <x v="5"/>
    <x v="5"/>
    <s v="overdraft"/>
    <n v="1857940564"/>
  </r>
  <r>
    <x v="746"/>
    <x v="2"/>
    <x v="0"/>
    <n v="4"/>
    <n v="22"/>
    <x v="27"/>
    <x v="19"/>
    <s v="payday"/>
    <n v="13052556000"/>
  </r>
  <r>
    <x v="746"/>
    <x v="2"/>
    <x v="0"/>
    <n v="4"/>
    <n v="22"/>
    <x v="15"/>
    <x v="14"/>
    <s v="paylater"/>
    <n v="8542252"/>
  </r>
  <r>
    <x v="746"/>
    <x v="2"/>
    <x v="0"/>
    <n v="4"/>
    <n v="22"/>
    <x v="31"/>
    <x v="22"/>
    <s v="cashloan"/>
    <n v="0"/>
  </r>
  <r>
    <x v="746"/>
    <x v="2"/>
    <x v="0"/>
    <n v="4"/>
    <n v="22"/>
    <x v="14"/>
    <x v="13"/>
    <s v="cashloan"/>
    <n v="4446940000"/>
  </r>
  <r>
    <x v="746"/>
    <x v="2"/>
    <x v="0"/>
    <n v="4"/>
    <n v="22"/>
    <x v="33"/>
    <x v="13"/>
    <s v="cashloan"/>
    <n v="1488850000"/>
  </r>
  <r>
    <x v="746"/>
    <x v="2"/>
    <x v="0"/>
    <n v="4"/>
    <n v="22"/>
    <x v="23"/>
    <x v="17"/>
    <s v="paylater"/>
    <n v="3952618"/>
  </r>
  <r>
    <x v="746"/>
    <x v="2"/>
    <x v="0"/>
    <n v="4"/>
    <n v="22"/>
    <x v="28"/>
    <x v="17"/>
    <s v="paylater"/>
    <n v="1055462327"/>
  </r>
  <r>
    <x v="746"/>
    <x v="2"/>
    <x v="0"/>
    <n v="4"/>
    <n v="22"/>
    <x v="8"/>
    <x v="8"/>
    <s v="cashloan"/>
    <n v="0"/>
  </r>
  <r>
    <x v="746"/>
    <x v="2"/>
    <x v="0"/>
    <n v="4"/>
    <n v="22"/>
    <x v="26"/>
    <x v="16"/>
    <s v="cashloan"/>
    <n v="117650000"/>
  </r>
  <r>
    <x v="746"/>
    <x v="2"/>
    <x v="0"/>
    <n v="4"/>
    <n v="22"/>
    <x v="32"/>
    <x v="16"/>
    <s v="cashloan"/>
    <n v="55620000"/>
  </r>
  <r>
    <x v="746"/>
    <x v="2"/>
    <x v="0"/>
    <n v="4"/>
    <n v="22"/>
    <x v="2"/>
    <x v="2"/>
    <s v="cashloan"/>
    <n v="15830660000"/>
  </r>
  <r>
    <x v="746"/>
    <x v="2"/>
    <x v="0"/>
    <n v="4"/>
    <n v="22"/>
    <x v="17"/>
    <x v="9"/>
    <s v="cashloan"/>
    <n v="0"/>
  </r>
  <r>
    <x v="746"/>
    <x v="2"/>
    <x v="0"/>
    <n v="4"/>
    <n v="22"/>
    <x v="20"/>
    <x v="9"/>
    <s v="cashloan"/>
    <n v="0"/>
  </r>
  <r>
    <x v="746"/>
    <x v="2"/>
    <x v="0"/>
    <n v="4"/>
    <n v="22"/>
    <x v="21"/>
    <x v="9"/>
    <s v="cashloan"/>
    <n v="0"/>
  </r>
  <r>
    <x v="746"/>
    <x v="2"/>
    <x v="0"/>
    <n v="4"/>
    <n v="22"/>
    <x v="25"/>
    <x v="2"/>
    <s v="cashloan"/>
    <n v="0"/>
  </r>
  <r>
    <x v="746"/>
    <x v="2"/>
    <x v="0"/>
    <n v="4"/>
    <n v="22"/>
    <x v="0"/>
    <x v="0"/>
    <s v="payday"/>
    <n v="8856540000"/>
  </r>
  <r>
    <x v="746"/>
    <x v="2"/>
    <x v="0"/>
    <n v="4"/>
    <n v="22"/>
    <x v="7"/>
    <x v="7"/>
    <s v="paylater"/>
    <n v="181212665"/>
  </r>
  <r>
    <x v="746"/>
    <x v="2"/>
    <x v="0"/>
    <n v="4"/>
    <n v="22"/>
    <x v="1"/>
    <x v="1"/>
    <s v="cashloan"/>
    <n v="18900000"/>
  </r>
  <r>
    <x v="746"/>
    <x v="2"/>
    <x v="0"/>
    <n v="4"/>
    <n v="22"/>
    <x v="6"/>
    <x v="6"/>
    <s v="payday"/>
    <n v="42000000"/>
  </r>
  <r>
    <x v="746"/>
    <x v="2"/>
    <x v="0"/>
    <n v="4"/>
    <n v="22"/>
    <x v="18"/>
    <x v="15"/>
    <s v="cashloan"/>
    <n v="938160000"/>
  </r>
  <r>
    <x v="746"/>
    <x v="2"/>
    <x v="0"/>
    <n v="4"/>
    <n v="22"/>
    <x v="29"/>
    <x v="20"/>
    <s v="payday"/>
    <n v="291168000"/>
  </r>
  <r>
    <x v="746"/>
    <x v="2"/>
    <x v="0"/>
    <n v="4"/>
    <n v="22"/>
    <x v="19"/>
    <x v="12"/>
    <s v="paylater"/>
    <n v="346377364"/>
  </r>
  <r>
    <x v="746"/>
    <x v="2"/>
    <x v="0"/>
    <n v="4"/>
    <n v="22"/>
    <x v="24"/>
    <x v="18"/>
    <s v="cashloan"/>
    <n v="3879930000"/>
  </r>
  <r>
    <x v="746"/>
    <x v="2"/>
    <x v="0"/>
    <n v="4"/>
    <n v="22"/>
    <x v="30"/>
    <x v="21"/>
    <s v="payday"/>
    <n v="1201360000"/>
  </r>
  <r>
    <x v="747"/>
    <x v="2"/>
    <x v="0"/>
    <n v="4"/>
    <n v="23"/>
    <x v="3"/>
    <x v="3"/>
    <s v="cashloan"/>
    <n v="651200000"/>
  </r>
  <r>
    <x v="747"/>
    <x v="2"/>
    <x v="0"/>
    <n v="4"/>
    <n v="23"/>
    <x v="11"/>
    <x v="10"/>
    <s v="paylater"/>
    <n v="372295446"/>
  </r>
  <r>
    <x v="747"/>
    <x v="2"/>
    <x v="0"/>
    <n v="4"/>
    <n v="23"/>
    <x v="12"/>
    <x v="11"/>
    <s v="cashloan"/>
    <n v="15131180000"/>
  </r>
  <r>
    <x v="747"/>
    <x v="2"/>
    <x v="0"/>
    <n v="4"/>
    <n v="23"/>
    <x v="5"/>
    <x v="5"/>
    <s v="overdraft"/>
    <n v="1739089635"/>
  </r>
  <r>
    <x v="747"/>
    <x v="2"/>
    <x v="0"/>
    <n v="4"/>
    <n v="23"/>
    <x v="27"/>
    <x v="19"/>
    <s v="payday"/>
    <n v="13554540000"/>
  </r>
  <r>
    <x v="747"/>
    <x v="2"/>
    <x v="0"/>
    <n v="4"/>
    <n v="23"/>
    <x v="15"/>
    <x v="14"/>
    <s v="paylater"/>
    <n v="5106534"/>
  </r>
  <r>
    <x v="747"/>
    <x v="2"/>
    <x v="0"/>
    <n v="4"/>
    <n v="23"/>
    <x v="31"/>
    <x v="22"/>
    <s v="cashloan"/>
    <n v="0"/>
  </r>
  <r>
    <x v="747"/>
    <x v="2"/>
    <x v="0"/>
    <n v="4"/>
    <n v="23"/>
    <x v="14"/>
    <x v="13"/>
    <s v="cashloan"/>
    <n v="4255310000"/>
  </r>
  <r>
    <x v="747"/>
    <x v="2"/>
    <x v="0"/>
    <n v="4"/>
    <n v="23"/>
    <x v="33"/>
    <x v="13"/>
    <s v="cashloan"/>
    <n v="1336320000"/>
  </r>
  <r>
    <x v="747"/>
    <x v="2"/>
    <x v="0"/>
    <n v="4"/>
    <n v="23"/>
    <x v="23"/>
    <x v="17"/>
    <s v="paylater"/>
    <n v="14051882"/>
  </r>
  <r>
    <x v="747"/>
    <x v="2"/>
    <x v="0"/>
    <n v="4"/>
    <n v="23"/>
    <x v="28"/>
    <x v="17"/>
    <s v="paylater"/>
    <n v="1428542224"/>
  </r>
  <r>
    <x v="747"/>
    <x v="2"/>
    <x v="0"/>
    <n v="4"/>
    <n v="23"/>
    <x v="8"/>
    <x v="8"/>
    <s v="cashloan"/>
    <n v="0"/>
  </r>
  <r>
    <x v="747"/>
    <x v="2"/>
    <x v="0"/>
    <n v="4"/>
    <n v="23"/>
    <x v="26"/>
    <x v="16"/>
    <s v="cashloan"/>
    <n v="190400000"/>
  </r>
  <r>
    <x v="747"/>
    <x v="2"/>
    <x v="0"/>
    <n v="4"/>
    <n v="23"/>
    <x v="32"/>
    <x v="16"/>
    <s v="cashloan"/>
    <n v="83430000"/>
  </r>
  <r>
    <x v="747"/>
    <x v="2"/>
    <x v="0"/>
    <n v="4"/>
    <n v="23"/>
    <x v="2"/>
    <x v="2"/>
    <s v="cashloan"/>
    <n v="16048040000"/>
  </r>
  <r>
    <x v="747"/>
    <x v="2"/>
    <x v="0"/>
    <n v="4"/>
    <n v="23"/>
    <x v="17"/>
    <x v="9"/>
    <s v="cashloan"/>
    <n v="0"/>
  </r>
  <r>
    <x v="747"/>
    <x v="2"/>
    <x v="0"/>
    <n v="4"/>
    <n v="23"/>
    <x v="20"/>
    <x v="9"/>
    <s v="cashloan"/>
    <n v="0"/>
  </r>
  <r>
    <x v="747"/>
    <x v="2"/>
    <x v="0"/>
    <n v="4"/>
    <n v="23"/>
    <x v="21"/>
    <x v="9"/>
    <s v="cashloan"/>
    <n v="0"/>
  </r>
  <r>
    <x v="747"/>
    <x v="2"/>
    <x v="0"/>
    <n v="4"/>
    <n v="23"/>
    <x v="25"/>
    <x v="2"/>
    <s v="cashloan"/>
    <n v="0"/>
  </r>
  <r>
    <x v="747"/>
    <x v="2"/>
    <x v="0"/>
    <n v="4"/>
    <n v="23"/>
    <x v="0"/>
    <x v="0"/>
    <s v="payday"/>
    <n v="10630332000"/>
  </r>
  <r>
    <x v="747"/>
    <x v="2"/>
    <x v="0"/>
    <n v="4"/>
    <n v="23"/>
    <x v="7"/>
    <x v="7"/>
    <s v="paylater"/>
    <n v="152190172"/>
  </r>
  <r>
    <x v="747"/>
    <x v="2"/>
    <x v="0"/>
    <n v="4"/>
    <n v="23"/>
    <x v="1"/>
    <x v="1"/>
    <s v="cashloan"/>
    <n v="105000000"/>
  </r>
  <r>
    <x v="747"/>
    <x v="2"/>
    <x v="0"/>
    <n v="4"/>
    <n v="23"/>
    <x v="6"/>
    <x v="6"/>
    <s v="payday"/>
    <n v="30000000"/>
  </r>
  <r>
    <x v="747"/>
    <x v="2"/>
    <x v="0"/>
    <n v="4"/>
    <n v="23"/>
    <x v="18"/>
    <x v="15"/>
    <s v="cashloan"/>
    <n v="978700000"/>
  </r>
  <r>
    <x v="747"/>
    <x v="2"/>
    <x v="0"/>
    <n v="4"/>
    <n v="23"/>
    <x v="29"/>
    <x v="20"/>
    <s v="payday"/>
    <n v="345924000"/>
  </r>
  <r>
    <x v="747"/>
    <x v="2"/>
    <x v="0"/>
    <n v="4"/>
    <n v="23"/>
    <x v="19"/>
    <x v="12"/>
    <s v="paylater"/>
    <n v="320003512"/>
  </r>
  <r>
    <x v="747"/>
    <x v="2"/>
    <x v="0"/>
    <n v="4"/>
    <n v="23"/>
    <x v="24"/>
    <x v="18"/>
    <s v="cashloan"/>
    <n v="4293830000"/>
  </r>
  <r>
    <x v="747"/>
    <x v="2"/>
    <x v="0"/>
    <n v="4"/>
    <n v="23"/>
    <x v="30"/>
    <x v="21"/>
    <s v="payday"/>
    <n v="1116960000"/>
  </r>
  <r>
    <x v="748"/>
    <x v="2"/>
    <x v="0"/>
    <n v="4"/>
    <n v="24"/>
    <x v="3"/>
    <x v="3"/>
    <s v="cashloan"/>
    <n v="715050000"/>
  </r>
  <r>
    <x v="748"/>
    <x v="2"/>
    <x v="0"/>
    <n v="4"/>
    <n v="24"/>
    <x v="11"/>
    <x v="10"/>
    <s v="paylater"/>
    <n v="366037698"/>
  </r>
  <r>
    <x v="748"/>
    <x v="2"/>
    <x v="0"/>
    <n v="4"/>
    <n v="24"/>
    <x v="12"/>
    <x v="11"/>
    <s v="cashloan"/>
    <n v="12679140000"/>
  </r>
  <r>
    <x v="748"/>
    <x v="2"/>
    <x v="0"/>
    <n v="4"/>
    <n v="24"/>
    <x v="5"/>
    <x v="5"/>
    <s v="overdraft"/>
    <n v="1803418143"/>
  </r>
  <r>
    <x v="748"/>
    <x v="2"/>
    <x v="0"/>
    <n v="4"/>
    <n v="24"/>
    <x v="27"/>
    <x v="19"/>
    <s v="payday"/>
    <n v="13823028000"/>
  </r>
  <r>
    <x v="748"/>
    <x v="2"/>
    <x v="0"/>
    <n v="4"/>
    <n v="24"/>
    <x v="15"/>
    <x v="14"/>
    <s v="paylater"/>
    <n v="1114882"/>
  </r>
  <r>
    <x v="748"/>
    <x v="2"/>
    <x v="0"/>
    <n v="4"/>
    <n v="24"/>
    <x v="31"/>
    <x v="22"/>
    <s v="cashloan"/>
    <n v="0"/>
  </r>
  <r>
    <x v="748"/>
    <x v="2"/>
    <x v="0"/>
    <n v="4"/>
    <n v="24"/>
    <x v="14"/>
    <x v="13"/>
    <s v="cashloan"/>
    <n v="4192230000"/>
  </r>
  <r>
    <x v="748"/>
    <x v="2"/>
    <x v="0"/>
    <n v="4"/>
    <n v="24"/>
    <x v="33"/>
    <x v="13"/>
    <s v="cashloan"/>
    <n v="1276800000"/>
  </r>
  <r>
    <x v="748"/>
    <x v="2"/>
    <x v="0"/>
    <n v="4"/>
    <n v="24"/>
    <x v="23"/>
    <x v="17"/>
    <s v="paylater"/>
    <n v="770000"/>
  </r>
  <r>
    <x v="748"/>
    <x v="2"/>
    <x v="0"/>
    <n v="4"/>
    <n v="24"/>
    <x v="28"/>
    <x v="17"/>
    <s v="paylater"/>
    <n v="1472880198"/>
  </r>
  <r>
    <x v="748"/>
    <x v="2"/>
    <x v="0"/>
    <n v="4"/>
    <n v="24"/>
    <x v="8"/>
    <x v="8"/>
    <s v="cashloan"/>
    <n v="0"/>
  </r>
  <r>
    <x v="748"/>
    <x v="2"/>
    <x v="0"/>
    <n v="4"/>
    <n v="24"/>
    <x v="26"/>
    <x v="16"/>
    <s v="cashloan"/>
    <n v="164750000"/>
  </r>
  <r>
    <x v="748"/>
    <x v="2"/>
    <x v="0"/>
    <n v="4"/>
    <n v="24"/>
    <x v="32"/>
    <x v="16"/>
    <s v="cashloan"/>
    <n v="0"/>
  </r>
  <r>
    <x v="748"/>
    <x v="2"/>
    <x v="0"/>
    <n v="4"/>
    <n v="24"/>
    <x v="2"/>
    <x v="2"/>
    <s v="cashloan"/>
    <n v="13038550000"/>
  </r>
  <r>
    <x v="748"/>
    <x v="2"/>
    <x v="0"/>
    <n v="4"/>
    <n v="24"/>
    <x v="17"/>
    <x v="9"/>
    <s v="cashloan"/>
    <n v="0"/>
  </r>
  <r>
    <x v="748"/>
    <x v="2"/>
    <x v="0"/>
    <n v="4"/>
    <n v="24"/>
    <x v="20"/>
    <x v="9"/>
    <s v="cashloan"/>
    <n v="0"/>
  </r>
  <r>
    <x v="748"/>
    <x v="2"/>
    <x v="0"/>
    <n v="4"/>
    <n v="24"/>
    <x v="21"/>
    <x v="9"/>
    <s v="cashloan"/>
    <n v="0"/>
  </r>
  <r>
    <x v="748"/>
    <x v="2"/>
    <x v="0"/>
    <n v="4"/>
    <n v="24"/>
    <x v="25"/>
    <x v="2"/>
    <s v="cashloan"/>
    <n v="0"/>
  </r>
  <r>
    <x v="748"/>
    <x v="2"/>
    <x v="0"/>
    <n v="4"/>
    <n v="24"/>
    <x v="0"/>
    <x v="0"/>
    <s v="payday"/>
    <n v="9946044000"/>
  </r>
  <r>
    <x v="748"/>
    <x v="2"/>
    <x v="0"/>
    <n v="4"/>
    <n v="24"/>
    <x v="7"/>
    <x v="7"/>
    <s v="paylater"/>
    <n v="155691942"/>
  </r>
  <r>
    <x v="748"/>
    <x v="2"/>
    <x v="0"/>
    <n v="4"/>
    <n v="24"/>
    <x v="1"/>
    <x v="1"/>
    <s v="cashloan"/>
    <n v="10500000"/>
  </r>
  <r>
    <x v="748"/>
    <x v="2"/>
    <x v="0"/>
    <n v="4"/>
    <n v="24"/>
    <x v="6"/>
    <x v="6"/>
    <s v="payday"/>
    <n v="32000000"/>
  </r>
  <r>
    <x v="748"/>
    <x v="2"/>
    <x v="0"/>
    <n v="4"/>
    <n v="24"/>
    <x v="18"/>
    <x v="15"/>
    <s v="cashloan"/>
    <n v="763170000"/>
  </r>
  <r>
    <x v="748"/>
    <x v="2"/>
    <x v="0"/>
    <n v="4"/>
    <n v="24"/>
    <x v="29"/>
    <x v="20"/>
    <s v="payday"/>
    <n v="337716000"/>
  </r>
  <r>
    <x v="748"/>
    <x v="2"/>
    <x v="0"/>
    <n v="4"/>
    <n v="24"/>
    <x v="19"/>
    <x v="12"/>
    <s v="paylater"/>
    <n v="355477921"/>
  </r>
  <r>
    <x v="748"/>
    <x v="2"/>
    <x v="0"/>
    <n v="4"/>
    <n v="24"/>
    <x v="24"/>
    <x v="18"/>
    <s v="cashloan"/>
    <n v="2971960000"/>
  </r>
  <r>
    <x v="748"/>
    <x v="2"/>
    <x v="0"/>
    <n v="4"/>
    <n v="24"/>
    <x v="30"/>
    <x v="21"/>
    <s v="payday"/>
    <n v="1006760000"/>
  </r>
  <r>
    <x v="749"/>
    <x v="2"/>
    <x v="0"/>
    <n v="4"/>
    <n v="25"/>
    <x v="3"/>
    <x v="3"/>
    <s v="cashloan"/>
    <n v="658150000"/>
  </r>
  <r>
    <x v="749"/>
    <x v="2"/>
    <x v="0"/>
    <n v="4"/>
    <n v="25"/>
    <x v="11"/>
    <x v="10"/>
    <s v="paylater"/>
    <n v="356598797"/>
  </r>
  <r>
    <x v="749"/>
    <x v="2"/>
    <x v="0"/>
    <n v="4"/>
    <n v="25"/>
    <x v="12"/>
    <x v="11"/>
    <s v="cashloan"/>
    <n v="12805630000"/>
  </r>
  <r>
    <x v="749"/>
    <x v="2"/>
    <x v="0"/>
    <n v="4"/>
    <n v="25"/>
    <x v="5"/>
    <x v="5"/>
    <s v="overdraft"/>
    <n v="1641302147"/>
  </r>
  <r>
    <x v="749"/>
    <x v="2"/>
    <x v="0"/>
    <n v="4"/>
    <n v="25"/>
    <x v="27"/>
    <x v="19"/>
    <s v="payday"/>
    <n v="13490928000"/>
  </r>
  <r>
    <x v="749"/>
    <x v="2"/>
    <x v="0"/>
    <n v="4"/>
    <n v="25"/>
    <x v="15"/>
    <x v="14"/>
    <s v="paylater"/>
    <n v="15991345"/>
  </r>
  <r>
    <x v="749"/>
    <x v="2"/>
    <x v="0"/>
    <n v="4"/>
    <n v="25"/>
    <x v="31"/>
    <x v="22"/>
    <s v="cashloan"/>
    <n v="0"/>
  </r>
  <r>
    <x v="749"/>
    <x v="2"/>
    <x v="0"/>
    <n v="4"/>
    <n v="25"/>
    <x v="14"/>
    <x v="13"/>
    <s v="cashloan"/>
    <n v="5800610000"/>
  </r>
  <r>
    <x v="749"/>
    <x v="2"/>
    <x v="0"/>
    <n v="4"/>
    <n v="25"/>
    <x v="33"/>
    <x v="13"/>
    <s v="cashloan"/>
    <n v="1009450000"/>
  </r>
  <r>
    <x v="749"/>
    <x v="2"/>
    <x v="0"/>
    <n v="4"/>
    <n v="25"/>
    <x v="23"/>
    <x v="17"/>
    <s v="paylater"/>
    <n v="7189640"/>
  </r>
  <r>
    <x v="749"/>
    <x v="2"/>
    <x v="0"/>
    <n v="4"/>
    <n v="25"/>
    <x v="28"/>
    <x v="17"/>
    <s v="paylater"/>
    <n v="1575733898"/>
  </r>
  <r>
    <x v="749"/>
    <x v="2"/>
    <x v="0"/>
    <n v="4"/>
    <n v="25"/>
    <x v="8"/>
    <x v="8"/>
    <s v="cashloan"/>
    <n v="0"/>
  </r>
  <r>
    <x v="749"/>
    <x v="2"/>
    <x v="0"/>
    <n v="4"/>
    <n v="25"/>
    <x v="26"/>
    <x v="16"/>
    <s v="cashloan"/>
    <n v="196250000"/>
  </r>
  <r>
    <x v="749"/>
    <x v="2"/>
    <x v="0"/>
    <n v="4"/>
    <n v="25"/>
    <x v="32"/>
    <x v="16"/>
    <s v="cashloan"/>
    <n v="0"/>
  </r>
  <r>
    <x v="749"/>
    <x v="2"/>
    <x v="0"/>
    <n v="4"/>
    <n v="25"/>
    <x v="2"/>
    <x v="2"/>
    <s v="cashloan"/>
    <n v="15535180000"/>
  </r>
  <r>
    <x v="749"/>
    <x v="2"/>
    <x v="0"/>
    <n v="4"/>
    <n v="25"/>
    <x v="17"/>
    <x v="9"/>
    <s v="cashloan"/>
    <n v="0"/>
  </r>
  <r>
    <x v="749"/>
    <x v="2"/>
    <x v="0"/>
    <n v="4"/>
    <n v="25"/>
    <x v="20"/>
    <x v="9"/>
    <s v="cashloan"/>
    <n v="0"/>
  </r>
  <r>
    <x v="749"/>
    <x v="2"/>
    <x v="0"/>
    <n v="4"/>
    <n v="25"/>
    <x v="21"/>
    <x v="9"/>
    <s v="cashloan"/>
    <n v="0"/>
  </r>
  <r>
    <x v="749"/>
    <x v="2"/>
    <x v="0"/>
    <n v="4"/>
    <n v="25"/>
    <x v="25"/>
    <x v="2"/>
    <s v="cashloan"/>
    <n v="0"/>
  </r>
  <r>
    <x v="749"/>
    <x v="2"/>
    <x v="0"/>
    <n v="4"/>
    <n v="25"/>
    <x v="0"/>
    <x v="0"/>
    <s v="payday"/>
    <n v="10800864000"/>
  </r>
  <r>
    <x v="749"/>
    <x v="2"/>
    <x v="0"/>
    <n v="4"/>
    <n v="25"/>
    <x v="7"/>
    <x v="7"/>
    <s v="paylater"/>
    <n v="148339596"/>
  </r>
  <r>
    <x v="749"/>
    <x v="2"/>
    <x v="0"/>
    <n v="4"/>
    <n v="25"/>
    <x v="1"/>
    <x v="1"/>
    <s v="cashloan"/>
    <n v="88750000"/>
  </r>
  <r>
    <x v="749"/>
    <x v="2"/>
    <x v="0"/>
    <n v="4"/>
    <n v="25"/>
    <x v="6"/>
    <x v="6"/>
    <s v="payday"/>
    <n v="57000000"/>
  </r>
  <r>
    <x v="749"/>
    <x v="2"/>
    <x v="0"/>
    <n v="4"/>
    <n v="25"/>
    <x v="18"/>
    <x v="15"/>
    <s v="cashloan"/>
    <n v="996540000"/>
  </r>
  <r>
    <x v="749"/>
    <x v="2"/>
    <x v="0"/>
    <n v="4"/>
    <n v="25"/>
    <x v="29"/>
    <x v="20"/>
    <s v="payday"/>
    <n v="296136000"/>
  </r>
  <r>
    <x v="749"/>
    <x v="2"/>
    <x v="0"/>
    <n v="4"/>
    <n v="25"/>
    <x v="19"/>
    <x v="12"/>
    <s v="paylater"/>
    <n v="326258892"/>
  </r>
  <r>
    <x v="749"/>
    <x v="2"/>
    <x v="0"/>
    <n v="4"/>
    <n v="25"/>
    <x v="24"/>
    <x v="18"/>
    <s v="cashloan"/>
    <n v="3117690000"/>
  </r>
  <r>
    <x v="749"/>
    <x v="2"/>
    <x v="0"/>
    <n v="4"/>
    <n v="25"/>
    <x v="30"/>
    <x v="21"/>
    <s v="payday"/>
    <n v="1059840000"/>
  </r>
  <r>
    <x v="750"/>
    <x v="2"/>
    <x v="0"/>
    <n v="5"/>
    <n v="26"/>
    <x v="3"/>
    <x v="3"/>
    <s v="cashloan"/>
    <n v="666750000"/>
  </r>
  <r>
    <x v="750"/>
    <x v="2"/>
    <x v="0"/>
    <n v="5"/>
    <n v="26"/>
    <x v="11"/>
    <x v="10"/>
    <s v="paylater"/>
    <n v="324787575"/>
  </r>
  <r>
    <x v="750"/>
    <x v="2"/>
    <x v="0"/>
    <n v="5"/>
    <n v="26"/>
    <x v="12"/>
    <x v="11"/>
    <s v="cashloan"/>
    <n v="17445010000"/>
  </r>
  <r>
    <x v="750"/>
    <x v="2"/>
    <x v="0"/>
    <n v="5"/>
    <n v="26"/>
    <x v="5"/>
    <x v="5"/>
    <s v="overdraft"/>
    <n v="2175792087"/>
  </r>
  <r>
    <x v="750"/>
    <x v="2"/>
    <x v="0"/>
    <n v="5"/>
    <n v="26"/>
    <x v="27"/>
    <x v="19"/>
    <s v="payday"/>
    <n v="14287320000"/>
  </r>
  <r>
    <x v="750"/>
    <x v="2"/>
    <x v="0"/>
    <n v="5"/>
    <n v="26"/>
    <x v="15"/>
    <x v="14"/>
    <s v="paylater"/>
    <n v="9531104"/>
  </r>
  <r>
    <x v="750"/>
    <x v="2"/>
    <x v="0"/>
    <n v="5"/>
    <n v="26"/>
    <x v="31"/>
    <x v="22"/>
    <s v="cashloan"/>
    <n v="0"/>
  </r>
  <r>
    <x v="750"/>
    <x v="2"/>
    <x v="0"/>
    <n v="5"/>
    <n v="26"/>
    <x v="14"/>
    <x v="13"/>
    <s v="cashloan"/>
    <n v="5627660000"/>
  </r>
  <r>
    <x v="750"/>
    <x v="2"/>
    <x v="0"/>
    <n v="5"/>
    <n v="26"/>
    <x v="33"/>
    <x v="13"/>
    <s v="cashloan"/>
    <n v="1307270000"/>
  </r>
  <r>
    <x v="750"/>
    <x v="2"/>
    <x v="0"/>
    <n v="5"/>
    <n v="26"/>
    <x v="23"/>
    <x v="17"/>
    <s v="paylater"/>
    <n v="6409383"/>
  </r>
  <r>
    <x v="750"/>
    <x v="2"/>
    <x v="0"/>
    <n v="5"/>
    <n v="26"/>
    <x v="28"/>
    <x v="17"/>
    <s v="paylater"/>
    <n v="1073074928"/>
  </r>
  <r>
    <x v="750"/>
    <x v="2"/>
    <x v="0"/>
    <n v="5"/>
    <n v="26"/>
    <x v="8"/>
    <x v="8"/>
    <s v="cashloan"/>
    <n v="0"/>
  </r>
  <r>
    <x v="750"/>
    <x v="2"/>
    <x v="0"/>
    <n v="5"/>
    <n v="26"/>
    <x v="26"/>
    <x v="16"/>
    <s v="cashloan"/>
    <n v="355850000"/>
  </r>
  <r>
    <x v="750"/>
    <x v="2"/>
    <x v="0"/>
    <n v="5"/>
    <n v="26"/>
    <x v="32"/>
    <x v="16"/>
    <s v="cashloan"/>
    <n v="75000000"/>
  </r>
  <r>
    <x v="750"/>
    <x v="2"/>
    <x v="0"/>
    <n v="5"/>
    <n v="26"/>
    <x v="2"/>
    <x v="2"/>
    <s v="cashloan"/>
    <n v="16128990000"/>
  </r>
  <r>
    <x v="750"/>
    <x v="2"/>
    <x v="0"/>
    <n v="5"/>
    <n v="26"/>
    <x v="17"/>
    <x v="9"/>
    <s v="cashloan"/>
    <n v="0"/>
  </r>
  <r>
    <x v="750"/>
    <x v="2"/>
    <x v="0"/>
    <n v="5"/>
    <n v="26"/>
    <x v="20"/>
    <x v="9"/>
    <s v="cashloan"/>
    <n v="0"/>
  </r>
  <r>
    <x v="750"/>
    <x v="2"/>
    <x v="0"/>
    <n v="5"/>
    <n v="26"/>
    <x v="21"/>
    <x v="9"/>
    <s v="cashloan"/>
    <n v="0"/>
  </r>
  <r>
    <x v="750"/>
    <x v="2"/>
    <x v="0"/>
    <n v="5"/>
    <n v="26"/>
    <x v="25"/>
    <x v="2"/>
    <s v="cashloan"/>
    <n v="0"/>
  </r>
  <r>
    <x v="750"/>
    <x v="2"/>
    <x v="0"/>
    <n v="5"/>
    <n v="26"/>
    <x v="0"/>
    <x v="0"/>
    <s v="payday"/>
    <n v="10711872000"/>
  </r>
  <r>
    <x v="750"/>
    <x v="2"/>
    <x v="0"/>
    <n v="5"/>
    <n v="26"/>
    <x v="7"/>
    <x v="7"/>
    <s v="paylater"/>
    <n v="204077149"/>
  </r>
  <r>
    <x v="750"/>
    <x v="2"/>
    <x v="0"/>
    <n v="5"/>
    <n v="26"/>
    <x v="1"/>
    <x v="1"/>
    <s v="cashloan"/>
    <n v="16000000"/>
  </r>
  <r>
    <x v="750"/>
    <x v="2"/>
    <x v="0"/>
    <n v="5"/>
    <n v="26"/>
    <x v="6"/>
    <x v="6"/>
    <s v="payday"/>
    <n v="65000000"/>
  </r>
  <r>
    <x v="750"/>
    <x v="2"/>
    <x v="0"/>
    <n v="5"/>
    <n v="26"/>
    <x v="18"/>
    <x v="15"/>
    <s v="cashloan"/>
    <n v="794300000"/>
  </r>
  <r>
    <x v="750"/>
    <x v="2"/>
    <x v="0"/>
    <n v="5"/>
    <n v="26"/>
    <x v="29"/>
    <x v="20"/>
    <s v="payday"/>
    <n v="357480000"/>
  </r>
  <r>
    <x v="750"/>
    <x v="2"/>
    <x v="0"/>
    <n v="5"/>
    <n v="26"/>
    <x v="19"/>
    <x v="12"/>
    <s v="paylater"/>
    <n v="393358233"/>
  </r>
  <r>
    <x v="750"/>
    <x v="2"/>
    <x v="0"/>
    <n v="5"/>
    <n v="26"/>
    <x v="24"/>
    <x v="18"/>
    <s v="cashloan"/>
    <n v="3576450000"/>
  </r>
  <r>
    <x v="750"/>
    <x v="2"/>
    <x v="0"/>
    <n v="5"/>
    <n v="26"/>
    <x v="30"/>
    <x v="21"/>
    <s v="payday"/>
    <n v="1035520000"/>
  </r>
  <r>
    <x v="751"/>
    <x v="2"/>
    <x v="0"/>
    <n v="5"/>
    <n v="27"/>
    <x v="3"/>
    <x v="3"/>
    <s v="cashloan"/>
    <n v="860950000"/>
  </r>
  <r>
    <x v="751"/>
    <x v="2"/>
    <x v="0"/>
    <n v="5"/>
    <n v="27"/>
    <x v="11"/>
    <x v="10"/>
    <s v="paylater"/>
    <n v="307292331"/>
  </r>
  <r>
    <x v="751"/>
    <x v="2"/>
    <x v="0"/>
    <n v="5"/>
    <n v="27"/>
    <x v="12"/>
    <x v="11"/>
    <s v="cashloan"/>
    <n v="15198910000"/>
  </r>
  <r>
    <x v="751"/>
    <x v="2"/>
    <x v="0"/>
    <n v="5"/>
    <n v="27"/>
    <x v="5"/>
    <x v="5"/>
    <s v="overdraft"/>
    <n v="1750348854"/>
  </r>
  <r>
    <x v="751"/>
    <x v="2"/>
    <x v="0"/>
    <n v="5"/>
    <n v="27"/>
    <x v="27"/>
    <x v="19"/>
    <s v="payday"/>
    <n v="13099644000"/>
  </r>
  <r>
    <x v="751"/>
    <x v="2"/>
    <x v="0"/>
    <n v="5"/>
    <n v="27"/>
    <x v="15"/>
    <x v="14"/>
    <s v="paylater"/>
    <n v="12824565"/>
  </r>
  <r>
    <x v="751"/>
    <x v="2"/>
    <x v="0"/>
    <n v="5"/>
    <n v="27"/>
    <x v="31"/>
    <x v="22"/>
    <s v="cashloan"/>
    <n v="90000000"/>
  </r>
  <r>
    <x v="751"/>
    <x v="2"/>
    <x v="0"/>
    <n v="5"/>
    <n v="27"/>
    <x v="14"/>
    <x v="13"/>
    <s v="cashloan"/>
    <n v="4565830000"/>
  </r>
  <r>
    <x v="751"/>
    <x v="2"/>
    <x v="0"/>
    <n v="5"/>
    <n v="27"/>
    <x v="33"/>
    <x v="13"/>
    <s v="cashloan"/>
    <n v="1184310000"/>
  </r>
  <r>
    <x v="751"/>
    <x v="2"/>
    <x v="0"/>
    <n v="5"/>
    <n v="27"/>
    <x v="23"/>
    <x v="17"/>
    <s v="paylater"/>
    <n v="6093112"/>
  </r>
  <r>
    <x v="751"/>
    <x v="2"/>
    <x v="0"/>
    <n v="5"/>
    <n v="27"/>
    <x v="28"/>
    <x v="17"/>
    <s v="paylater"/>
    <n v="1097345636"/>
  </r>
  <r>
    <x v="751"/>
    <x v="2"/>
    <x v="0"/>
    <n v="5"/>
    <n v="27"/>
    <x v="8"/>
    <x v="8"/>
    <s v="cashloan"/>
    <n v="0"/>
  </r>
  <r>
    <x v="751"/>
    <x v="2"/>
    <x v="0"/>
    <n v="5"/>
    <n v="27"/>
    <x v="26"/>
    <x v="16"/>
    <s v="cashloan"/>
    <n v="269100000"/>
  </r>
  <r>
    <x v="751"/>
    <x v="2"/>
    <x v="0"/>
    <n v="5"/>
    <n v="27"/>
    <x v="32"/>
    <x v="16"/>
    <s v="cashloan"/>
    <n v="50000000"/>
  </r>
  <r>
    <x v="751"/>
    <x v="2"/>
    <x v="0"/>
    <n v="5"/>
    <n v="27"/>
    <x v="2"/>
    <x v="2"/>
    <s v="cashloan"/>
    <n v="16055550000"/>
  </r>
  <r>
    <x v="751"/>
    <x v="2"/>
    <x v="0"/>
    <n v="5"/>
    <n v="27"/>
    <x v="17"/>
    <x v="9"/>
    <s v="cashloan"/>
    <n v="0"/>
  </r>
  <r>
    <x v="751"/>
    <x v="2"/>
    <x v="0"/>
    <n v="5"/>
    <n v="27"/>
    <x v="20"/>
    <x v="9"/>
    <s v="cashloan"/>
    <n v="0"/>
  </r>
  <r>
    <x v="751"/>
    <x v="2"/>
    <x v="0"/>
    <n v="5"/>
    <n v="27"/>
    <x v="21"/>
    <x v="9"/>
    <s v="cashloan"/>
    <n v="0"/>
  </r>
  <r>
    <x v="751"/>
    <x v="2"/>
    <x v="0"/>
    <n v="5"/>
    <n v="27"/>
    <x v="25"/>
    <x v="2"/>
    <s v="cashloan"/>
    <n v="0"/>
  </r>
  <r>
    <x v="751"/>
    <x v="2"/>
    <x v="0"/>
    <n v="5"/>
    <n v="27"/>
    <x v="0"/>
    <x v="0"/>
    <s v="payday"/>
    <n v="10637892000"/>
  </r>
  <r>
    <x v="751"/>
    <x v="2"/>
    <x v="0"/>
    <n v="5"/>
    <n v="27"/>
    <x v="7"/>
    <x v="7"/>
    <s v="paylater"/>
    <n v="143015462"/>
  </r>
  <r>
    <x v="751"/>
    <x v="2"/>
    <x v="0"/>
    <n v="5"/>
    <n v="27"/>
    <x v="1"/>
    <x v="1"/>
    <s v="cashloan"/>
    <n v="42000000"/>
  </r>
  <r>
    <x v="751"/>
    <x v="2"/>
    <x v="0"/>
    <n v="5"/>
    <n v="27"/>
    <x v="6"/>
    <x v="6"/>
    <s v="payday"/>
    <n v="29000000"/>
  </r>
  <r>
    <x v="751"/>
    <x v="2"/>
    <x v="0"/>
    <n v="5"/>
    <n v="27"/>
    <x v="18"/>
    <x v="15"/>
    <s v="cashloan"/>
    <n v="802390000"/>
  </r>
  <r>
    <x v="751"/>
    <x v="2"/>
    <x v="0"/>
    <n v="5"/>
    <n v="27"/>
    <x v="29"/>
    <x v="20"/>
    <s v="payday"/>
    <n v="308448000"/>
  </r>
  <r>
    <x v="751"/>
    <x v="2"/>
    <x v="0"/>
    <n v="5"/>
    <n v="27"/>
    <x v="19"/>
    <x v="12"/>
    <s v="paylater"/>
    <n v="407241449"/>
  </r>
  <r>
    <x v="751"/>
    <x v="2"/>
    <x v="0"/>
    <n v="5"/>
    <n v="27"/>
    <x v="24"/>
    <x v="18"/>
    <s v="cashloan"/>
    <n v="3536010000"/>
  </r>
  <r>
    <x v="751"/>
    <x v="2"/>
    <x v="0"/>
    <n v="5"/>
    <n v="27"/>
    <x v="30"/>
    <x v="21"/>
    <s v="payday"/>
    <n v="1021120000"/>
  </r>
  <r>
    <x v="752"/>
    <x v="2"/>
    <x v="0"/>
    <n v="5"/>
    <n v="28"/>
    <x v="3"/>
    <x v="3"/>
    <s v="cashloan"/>
    <n v="899600000"/>
  </r>
  <r>
    <x v="752"/>
    <x v="2"/>
    <x v="0"/>
    <n v="5"/>
    <n v="28"/>
    <x v="11"/>
    <x v="10"/>
    <s v="paylater"/>
    <n v="313527514"/>
  </r>
  <r>
    <x v="752"/>
    <x v="2"/>
    <x v="0"/>
    <n v="5"/>
    <n v="28"/>
    <x v="12"/>
    <x v="11"/>
    <s v="cashloan"/>
    <n v="16788790000"/>
  </r>
  <r>
    <x v="752"/>
    <x v="2"/>
    <x v="0"/>
    <n v="5"/>
    <n v="28"/>
    <x v="5"/>
    <x v="5"/>
    <s v="overdraft"/>
    <n v="2143002804"/>
  </r>
  <r>
    <x v="752"/>
    <x v="2"/>
    <x v="0"/>
    <n v="5"/>
    <n v="28"/>
    <x v="27"/>
    <x v="19"/>
    <s v="payday"/>
    <n v="12049560000"/>
  </r>
  <r>
    <x v="752"/>
    <x v="2"/>
    <x v="0"/>
    <n v="5"/>
    <n v="28"/>
    <x v="15"/>
    <x v="14"/>
    <s v="paylater"/>
    <n v="6050161"/>
  </r>
  <r>
    <x v="752"/>
    <x v="2"/>
    <x v="0"/>
    <n v="5"/>
    <n v="28"/>
    <x v="31"/>
    <x v="22"/>
    <s v="cashloan"/>
    <n v="0"/>
  </r>
  <r>
    <x v="752"/>
    <x v="2"/>
    <x v="0"/>
    <n v="5"/>
    <n v="28"/>
    <x v="14"/>
    <x v="13"/>
    <s v="cashloan"/>
    <n v="4504150000"/>
  </r>
  <r>
    <x v="752"/>
    <x v="2"/>
    <x v="0"/>
    <n v="5"/>
    <n v="28"/>
    <x v="33"/>
    <x v="13"/>
    <s v="cashloan"/>
    <n v="1271400000"/>
  </r>
  <r>
    <x v="752"/>
    <x v="2"/>
    <x v="0"/>
    <n v="5"/>
    <n v="28"/>
    <x v="23"/>
    <x v="17"/>
    <s v="paylater"/>
    <n v="9141345"/>
  </r>
  <r>
    <x v="752"/>
    <x v="2"/>
    <x v="0"/>
    <n v="5"/>
    <n v="28"/>
    <x v="28"/>
    <x v="17"/>
    <s v="paylater"/>
    <n v="783786124"/>
  </r>
  <r>
    <x v="752"/>
    <x v="2"/>
    <x v="0"/>
    <n v="5"/>
    <n v="28"/>
    <x v="8"/>
    <x v="8"/>
    <s v="cashloan"/>
    <n v="0"/>
  </r>
  <r>
    <x v="752"/>
    <x v="2"/>
    <x v="0"/>
    <n v="5"/>
    <n v="28"/>
    <x v="26"/>
    <x v="16"/>
    <s v="cashloan"/>
    <n v="10500000"/>
  </r>
  <r>
    <x v="752"/>
    <x v="2"/>
    <x v="0"/>
    <n v="5"/>
    <n v="28"/>
    <x v="32"/>
    <x v="16"/>
    <s v="cashloan"/>
    <n v="0"/>
  </r>
  <r>
    <x v="752"/>
    <x v="2"/>
    <x v="0"/>
    <n v="5"/>
    <n v="28"/>
    <x v="2"/>
    <x v="2"/>
    <s v="cashloan"/>
    <n v="17562710000"/>
  </r>
  <r>
    <x v="752"/>
    <x v="2"/>
    <x v="0"/>
    <n v="5"/>
    <n v="28"/>
    <x v="17"/>
    <x v="9"/>
    <s v="cashloan"/>
    <n v="0"/>
  </r>
  <r>
    <x v="752"/>
    <x v="2"/>
    <x v="0"/>
    <n v="5"/>
    <n v="28"/>
    <x v="20"/>
    <x v="9"/>
    <s v="cashloan"/>
    <n v="0"/>
  </r>
  <r>
    <x v="752"/>
    <x v="2"/>
    <x v="0"/>
    <n v="5"/>
    <n v="28"/>
    <x v="21"/>
    <x v="9"/>
    <s v="cashloan"/>
    <n v="0"/>
  </r>
  <r>
    <x v="752"/>
    <x v="2"/>
    <x v="0"/>
    <n v="5"/>
    <n v="28"/>
    <x v="25"/>
    <x v="2"/>
    <s v="cashloan"/>
    <n v="0"/>
  </r>
  <r>
    <x v="752"/>
    <x v="2"/>
    <x v="0"/>
    <n v="5"/>
    <n v="28"/>
    <x v="0"/>
    <x v="0"/>
    <s v="payday"/>
    <n v="9428184000"/>
  </r>
  <r>
    <x v="752"/>
    <x v="2"/>
    <x v="0"/>
    <n v="5"/>
    <n v="28"/>
    <x v="7"/>
    <x v="7"/>
    <s v="paylater"/>
    <n v="137552159"/>
  </r>
  <r>
    <x v="752"/>
    <x v="2"/>
    <x v="0"/>
    <n v="5"/>
    <n v="28"/>
    <x v="1"/>
    <x v="1"/>
    <s v="cashloan"/>
    <n v="52500000"/>
  </r>
  <r>
    <x v="752"/>
    <x v="2"/>
    <x v="0"/>
    <n v="5"/>
    <n v="28"/>
    <x v="6"/>
    <x v="6"/>
    <s v="payday"/>
    <n v="44000000"/>
  </r>
  <r>
    <x v="752"/>
    <x v="2"/>
    <x v="0"/>
    <n v="5"/>
    <n v="28"/>
    <x v="18"/>
    <x v="15"/>
    <s v="cashloan"/>
    <n v="1038630000"/>
  </r>
  <r>
    <x v="752"/>
    <x v="2"/>
    <x v="0"/>
    <n v="5"/>
    <n v="28"/>
    <x v="29"/>
    <x v="20"/>
    <s v="payday"/>
    <n v="227772000"/>
  </r>
  <r>
    <x v="752"/>
    <x v="2"/>
    <x v="0"/>
    <n v="5"/>
    <n v="28"/>
    <x v="19"/>
    <x v="12"/>
    <s v="paylater"/>
    <n v="437135256"/>
  </r>
  <r>
    <x v="752"/>
    <x v="2"/>
    <x v="0"/>
    <n v="5"/>
    <n v="28"/>
    <x v="24"/>
    <x v="18"/>
    <s v="cashloan"/>
    <n v="3824400000"/>
  </r>
  <r>
    <x v="752"/>
    <x v="2"/>
    <x v="0"/>
    <n v="5"/>
    <n v="28"/>
    <x v="30"/>
    <x v="21"/>
    <s v="payday"/>
    <n v="1150200000"/>
  </r>
  <r>
    <x v="753"/>
    <x v="2"/>
    <x v="0"/>
    <n v="5"/>
    <n v="29"/>
    <x v="3"/>
    <x v="3"/>
    <s v="cashloan"/>
    <n v="686550000"/>
  </r>
  <r>
    <x v="753"/>
    <x v="2"/>
    <x v="0"/>
    <n v="5"/>
    <n v="29"/>
    <x v="11"/>
    <x v="10"/>
    <s v="paylater"/>
    <n v="312566304"/>
  </r>
  <r>
    <x v="753"/>
    <x v="2"/>
    <x v="0"/>
    <n v="5"/>
    <n v="29"/>
    <x v="12"/>
    <x v="11"/>
    <s v="cashloan"/>
    <n v="17662440000"/>
  </r>
  <r>
    <x v="753"/>
    <x v="2"/>
    <x v="0"/>
    <n v="5"/>
    <n v="29"/>
    <x v="5"/>
    <x v="5"/>
    <s v="overdraft"/>
    <n v="1930713305"/>
  </r>
  <r>
    <x v="753"/>
    <x v="2"/>
    <x v="0"/>
    <n v="5"/>
    <n v="29"/>
    <x v="27"/>
    <x v="19"/>
    <s v="payday"/>
    <n v="12649068000"/>
  </r>
  <r>
    <x v="753"/>
    <x v="2"/>
    <x v="0"/>
    <n v="5"/>
    <n v="29"/>
    <x v="15"/>
    <x v="14"/>
    <s v="paylater"/>
    <n v="18451945"/>
  </r>
  <r>
    <x v="753"/>
    <x v="2"/>
    <x v="0"/>
    <n v="5"/>
    <n v="29"/>
    <x v="31"/>
    <x v="22"/>
    <s v="cashloan"/>
    <n v="0"/>
  </r>
  <r>
    <x v="753"/>
    <x v="2"/>
    <x v="0"/>
    <n v="5"/>
    <n v="29"/>
    <x v="14"/>
    <x v="13"/>
    <s v="cashloan"/>
    <n v="4552060000"/>
  </r>
  <r>
    <x v="753"/>
    <x v="2"/>
    <x v="0"/>
    <n v="5"/>
    <n v="29"/>
    <x v="33"/>
    <x v="13"/>
    <s v="cashloan"/>
    <n v="1235550000"/>
  </r>
  <r>
    <x v="753"/>
    <x v="2"/>
    <x v="0"/>
    <n v="5"/>
    <n v="29"/>
    <x v="23"/>
    <x v="17"/>
    <s v="paylater"/>
    <n v="31476240"/>
  </r>
  <r>
    <x v="753"/>
    <x v="2"/>
    <x v="0"/>
    <n v="5"/>
    <n v="29"/>
    <x v="28"/>
    <x v="17"/>
    <s v="paylater"/>
    <n v="1004030468"/>
  </r>
  <r>
    <x v="753"/>
    <x v="2"/>
    <x v="0"/>
    <n v="5"/>
    <n v="29"/>
    <x v="8"/>
    <x v="8"/>
    <s v="cashloan"/>
    <n v="0"/>
  </r>
  <r>
    <x v="753"/>
    <x v="2"/>
    <x v="0"/>
    <n v="5"/>
    <n v="29"/>
    <x v="26"/>
    <x v="16"/>
    <s v="cashloan"/>
    <n v="82000000"/>
  </r>
  <r>
    <x v="753"/>
    <x v="2"/>
    <x v="0"/>
    <n v="5"/>
    <n v="29"/>
    <x v="32"/>
    <x v="16"/>
    <s v="cashloan"/>
    <n v="0"/>
  </r>
  <r>
    <x v="753"/>
    <x v="2"/>
    <x v="0"/>
    <n v="5"/>
    <n v="29"/>
    <x v="2"/>
    <x v="2"/>
    <s v="cashloan"/>
    <n v="15671860000"/>
  </r>
  <r>
    <x v="753"/>
    <x v="2"/>
    <x v="0"/>
    <n v="5"/>
    <n v="29"/>
    <x v="17"/>
    <x v="9"/>
    <s v="cashloan"/>
    <n v="0"/>
  </r>
  <r>
    <x v="753"/>
    <x v="2"/>
    <x v="0"/>
    <n v="5"/>
    <n v="29"/>
    <x v="20"/>
    <x v="9"/>
    <s v="cashloan"/>
    <n v="0"/>
  </r>
  <r>
    <x v="753"/>
    <x v="2"/>
    <x v="0"/>
    <n v="5"/>
    <n v="29"/>
    <x v="21"/>
    <x v="9"/>
    <s v="cashloan"/>
    <n v="0"/>
  </r>
  <r>
    <x v="753"/>
    <x v="2"/>
    <x v="0"/>
    <n v="5"/>
    <n v="29"/>
    <x v="25"/>
    <x v="2"/>
    <s v="cashloan"/>
    <n v="0"/>
  </r>
  <r>
    <x v="753"/>
    <x v="2"/>
    <x v="0"/>
    <n v="5"/>
    <n v="29"/>
    <x v="0"/>
    <x v="0"/>
    <s v="payday"/>
    <n v="9746352000"/>
  </r>
  <r>
    <x v="753"/>
    <x v="2"/>
    <x v="0"/>
    <n v="5"/>
    <n v="29"/>
    <x v="7"/>
    <x v="7"/>
    <s v="paylater"/>
    <n v="154146315"/>
  </r>
  <r>
    <x v="753"/>
    <x v="2"/>
    <x v="0"/>
    <n v="5"/>
    <n v="29"/>
    <x v="1"/>
    <x v="1"/>
    <s v="cashloan"/>
    <n v="56700000"/>
  </r>
  <r>
    <x v="753"/>
    <x v="2"/>
    <x v="0"/>
    <n v="5"/>
    <n v="29"/>
    <x v="6"/>
    <x v="6"/>
    <s v="payday"/>
    <n v="18000000"/>
  </r>
  <r>
    <x v="753"/>
    <x v="2"/>
    <x v="0"/>
    <n v="5"/>
    <n v="29"/>
    <x v="18"/>
    <x v="15"/>
    <s v="cashloan"/>
    <n v="925150000"/>
  </r>
  <r>
    <x v="753"/>
    <x v="2"/>
    <x v="0"/>
    <n v="5"/>
    <n v="29"/>
    <x v="29"/>
    <x v="20"/>
    <s v="payday"/>
    <n v="329400000"/>
  </r>
  <r>
    <x v="753"/>
    <x v="2"/>
    <x v="0"/>
    <n v="5"/>
    <n v="29"/>
    <x v="19"/>
    <x v="12"/>
    <s v="paylater"/>
    <n v="484685422"/>
  </r>
  <r>
    <x v="753"/>
    <x v="2"/>
    <x v="0"/>
    <n v="5"/>
    <n v="29"/>
    <x v="24"/>
    <x v="18"/>
    <s v="cashloan"/>
    <n v="2946050000"/>
  </r>
  <r>
    <x v="753"/>
    <x v="2"/>
    <x v="0"/>
    <n v="5"/>
    <n v="29"/>
    <x v="30"/>
    <x v="21"/>
    <s v="payday"/>
    <n v="1033280000"/>
  </r>
  <r>
    <x v="754"/>
    <x v="2"/>
    <x v="0"/>
    <n v="5"/>
    <n v="30"/>
    <x v="3"/>
    <x v="3"/>
    <s v="cashloan"/>
    <n v="596850000"/>
  </r>
  <r>
    <x v="754"/>
    <x v="2"/>
    <x v="0"/>
    <n v="5"/>
    <n v="30"/>
    <x v="11"/>
    <x v="10"/>
    <s v="paylater"/>
    <n v="361337313"/>
  </r>
  <r>
    <x v="754"/>
    <x v="2"/>
    <x v="0"/>
    <n v="5"/>
    <n v="30"/>
    <x v="12"/>
    <x v="11"/>
    <s v="cashloan"/>
    <n v="17772880000"/>
  </r>
  <r>
    <x v="754"/>
    <x v="2"/>
    <x v="0"/>
    <n v="5"/>
    <n v="30"/>
    <x v="5"/>
    <x v="5"/>
    <s v="overdraft"/>
    <n v="2277389791"/>
  </r>
  <r>
    <x v="754"/>
    <x v="2"/>
    <x v="0"/>
    <n v="5"/>
    <n v="30"/>
    <x v="27"/>
    <x v="19"/>
    <s v="payday"/>
    <n v="13122432000"/>
  </r>
  <r>
    <x v="754"/>
    <x v="2"/>
    <x v="0"/>
    <n v="5"/>
    <n v="30"/>
    <x v="15"/>
    <x v="14"/>
    <s v="paylater"/>
    <n v="17800435"/>
  </r>
  <r>
    <x v="754"/>
    <x v="2"/>
    <x v="0"/>
    <n v="5"/>
    <n v="30"/>
    <x v="31"/>
    <x v="22"/>
    <s v="cashloan"/>
    <n v="90000000"/>
  </r>
  <r>
    <x v="754"/>
    <x v="2"/>
    <x v="0"/>
    <n v="5"/>
    <n v="30"/>
    <x v="14"/>
    <x v="13"/>
    <s v="cashloan"/>
    <n v="4045960000"/>
  </r>
  <r>
    <x v="754"/>
    <x v="2"/>
    <x v="0"/>
    <n v="5"/>
    <n v="30"/>
    <x v="33"/>
    <x v="13"/>
    <s v="cashloan"/>
    <n v="1251400000"/>
  </r>
  <r>
    <x v="754"/>
    <x v="2"/>
    <x v="0"/>
    <n v="5"/>
    <n v="30"/>
    <x v="23"/>
    <x v="17"/>
    <s v="paylater"/>
    <n v="33450483"/>
  </r>
  <r>
    <x v="754"/>
    <x v="2"/>
    <x v="0"/>
    <n v="5"/>
    <n v="30"/>
    <x v="28"/>
    <x v="17"/>
    <s v="paylater"/>
    <n v="1191721323"/>
  </r>
  <r>
    <x v="754"/>
    <x v="2"/>
    <x v="0"/>
    <n v="5"/>
    <n v="30"/>
    <x v="8"/>
    <x v="8"/>
    <s v="cashloan"/>
    <n v="0"/>
  </r>
  <r>
    <x v="754"/>
    <x v="2"/>
    <x v="0"/>
    <n v="5"/>
    <n v="30"/>
    <x v="26"/>
    <x v="16"/>
    <s v="cashloan"/>
    <n v="196500000"/>
  </r>
  <r>
    <x v="754"/>
    <x v="2"/>
    <x v="0"/>
    <n v="5"/>
    <n v="30"/>
    <x v="32"/>
    <x v="16"/>
    <s v="cashloan"/>
    <n v="0"/>
  </r>
  <r>
    <x v="754"/>
    <x v="2"/>
    <x v="0"/>
    <n v="5"/>
    <n v="30"/>
    <x v="2"/>
    <x v="2"/>
    <s v="cashloan"/>
    <n v="19896470000"/>
  </r>
  <r>
    <x v="754"/>
    <x v="2"/>
    <x v="0"/>
    <n v="5"/>
    <n v="30"/>
    <x v="17"/>
    <x v="9"/>
    <s v="cashloan"/>
    <n v="0"/>
  </r>
  <r>
    <x v="754"/>
    <x v="2"/>
    <x v="0"/>
    <n v="5"/>
    <n v="30"/>
    <x v="20"/>
    <x v="9"/>
    <s v="cashloan"/>
    <n v="0"/>
  </r>
  <r>
    <x v="754"/>
    <x v="2"/>
    <x v="0"/>
    <n v="5"/>
    <n v="30"/>
    <x v="21"/>
    <x v="9"/>
    <s v="cashloan"/>
    <n v="0"/>
  </r>
  <r>
    <x v="754"/>
    <x v="2"/>
    <x v="0"/>
    <n v="5"/>
    <n v="30"/>
    <x v="25"/>
    <x v="2"/>
    <s v="cashloan"/>
    <n v="20000000"/>
  </r>
  <r>
    <x v="754"/>
    <x v="2"/>
    <x v="0"/>
    <n v="5"/>
    <n v="30"/>
    <x v="0"/>
    <x v="0"/>
    <s v="payday"/>
    <n v="10135908000"/>
  </r>
  <r>
    <x v="754"/>
    <x v="2"/>
    <x v="0"/>
    <n v="5"/>
    <n v="30"/>
    <x v="7"/>
    <x v="7"/>
    <s v="paylater"/>
    <n v="163204446"/>
  </r>
  <r>
    <x v="754"/>
    <x v="2"/>
    <x v="0"/>
    <n v="5"/>
    <n v="30"/>
    <x v="1"/>
    <x v="1"/>
    <s v="cashloan"/>
    <n v="157500000"/>
  </r>
  <r>
    <x v="754"/>
    <x v="2"/>
    <x v="0"/>
    <n v="5"/>
    <n v="30"/>
    <x v="6"/>
    <x v="6"/>
    <s v="payday"/>
    <n v="28000000"/>
  </r>
  <r>
    <x v="754"/>
    <x v="2"/>
    <x v="0"/>
    <n v="5"/>
    <n v="30"/>
    <x v="18"/>
    <x v="15"/>
    <s v="cashloan"/>
    <n v="719640000"/>
  </r>
  <r>
    <x v="754"/>
    <x v="2"/>
    <x v="0"/>
    <n v="5"/>
    <n v="30"/>
    <x v="29"/>
    <x v="20"/>
    <s v="payday"/>
    <n v="365148000"/>
  </r>
  <r>
    <x v="754"/>
    <x v="2"/>
    <x v="0"/>
    <n v="5"/>
    <n v="30"/>
    <x v="19"/>
    <x v="12"/>
    <s v="paylater"/>
    <n v="525417465"/>
  </r>
  <r>
    <x v="754"/>
    <x v="2"/>
    <x v="0"/>
    <n v="5"/>
    <n v="30"/>
    <x v="24"/>
    <x v="18"/>
    <s v="cashloan"/>
    <n v="3193540000"/>
  </r>
  <r>
    <x v="754"/>
    <x v="2"/>
    <x v="0"/>
    <n v="5"/>
    <n v="30"/>
    <x v="30"/>
    <x v="21"/>
    <s v="payday"/>
    <n v="959960000"/>
  </r>
  <r>
    <x v="755"/>
    <x v="2"/>
    <x v="0"/>
    <n v="5"/>
    <n v="31"/>
    <x v="3"/>
    <x v="3"/>
    <s v="cashloan"/>
    <n v="677050000"/>
  </r>
  <r>
    <x v="755"/>
    <x v="2"/>
    <x v="0"/>
    <n v="5"/>
    <n v="31"/>
    <x v="11"/>
    <x v="10"/>
    <s v="paylater"/>
    <n v="373883034"/>
  </r>
  <r>
    <x v="755"/>
    <x v="2"/>
    <x v="0"/>
    <n v="5"/>
    <n v="31"/>
    <x v="12"/>
    <x v="11"/>
    <s v="cashloan"/>
    <n v="14895630000"/>
  </r>
  <r>
    <x v="755"/>
    <x v="2"/>
    <x v="0"/>
    <n v="5"/>
    <n v="31"/>
    <x v="5"/>
    <x v="5"/>
    <s v="overdraft"/>
    <n v="2048752719"/>
  </r>
  <r>
    <x v="755"/>
    <x v="2"/>
    <x v="0"/>
    <n v="5"/>
    <n v="31"/>
    <x v="27"/>
    <x v="19"/>
    <s v="payday"/>
    <n v="12375072000"/>
  </r>
  <r>
    <x v="755"/>
    <x v="2"/>
    <x v="0"/>
    <n v="5"/>
    <n v="31"/>
    <x v="15"/>
    <x v="14"/>
    <s v="paylater"/>
    <n v="11374944"/>
  </r>
  <r>
    <x v="755"/>
    <x v="2"/>
    <x v="0"/>
    <n v="5"/>
    <n v="31"/>
    <x v="31"/>
    <x v="22"/>
    <s v="cashloan"/>
    <n v="0"/>
  </r>
  <r>
    <x v="755"/>
    <x v="2"/>
    <x v="0"/>
    <n v="5"/>
    <n v="31"/>
    <x v="14"/>
    <x v="13"/>
    <s v="cashloan"/>
    <n v="4307450000"/>
  </r>
  <r>
    <x v="755"/>
    <x v="2"/>
    <x v="0"/>
    <n v="5"/>
    <n v="31"/>
    <x v="33"/>
    <x v="13"/>
    <s v="cashloan"/>
    <n v="1593100000"/>
  </r>
  <r>
    <x v="755"/>
    <x v="2"/>
    <x v="0"/>
    <n v="5"/>
    <n v="31"/>
    <x v="23"/>
    <x v="17"/>
    <s v="paylater"/>
    <n v="5832456"/>
  </r>
  <r>
    <x v="755"/>
    <x v="2"/>
    <x v="0"/>
    <n v="5"/>
    <n v="31"/>
    <x v="28"/>
    <x v="17"/>
    <s v="paylater"/>
    <n v="1174527093"/>
  </r>
  <r>
    <x v="755"/>
    <x v="2"/>
    <x v="0"/>
    <n v="5"/>
    <n v="31"/>
    <x v="8"/>
    <x v="8"/>
    <s v="cashloan"/>
    <n v="0"/>
  </r>
  <r>
    <x v="755"/>
    <x v="2"/>
    <x v="0"/>
    <n v="5"/>
    <n v="31"/>
    <x v="26"/>
    <x v="16"/>
    <s v="cashloan"/>
    <n v="206750000"/>
  </r>
  <r>
    <x v="755"/>
    <x v="2"/>
    <x v="0"/>
    <n v="5"/>
    <n v="31"/>
    <x v="32"/>
    <x v="16"/>
    <s v="cashloan"/>
    <n v="0"/>
  </r>
  <r>
    <x v="755"/>
    <x v="2"/>
    <x v="0"/>
    <n v="5"/>
    <n v="31"/>
    <x v="2"/>
    <x v="2"/>
    <s v="cashloan"/>
    <n v="18154570000"/>
  </r>
  <r>
    <x v="755"/>
    <x v="2"/>
    <x v="0"/>
    <n v="5"/>
    <n v="31"/>
    <x v="17"/>
    <x v="9"/>
    <s v="cashloan"/>
    <n v="0"/>
  </r>
  <r>
    <x v="755"/>
    <x v="2"/>
    <x v="0"/>
    <n v="5"/>
    <n v="31"/>
    <x v="20"/>
    <x v="9"/>
    <s v="cashloan"/>
    <n v="0"/>
  </r>
  <r>
    <x v="755"/>
    <x v="2"/>
    <x v="0"/>
    <n v="5"/>
    <n v="31"/>
    <x v="21"/>
    <x v="9"/>
    <s v="cashloan"/>
    <n v="0"/>
  </r>
  <r>
    <x v="755"/>
    <x v="2"/>
    <x v="0"/>
    <n v="5"/>
    <n v="31"/>
    <x v="25"/>
    <x v="2"/>
    <s v="cashloan"/>
    <n v="20700000"/>
  </r>
  <r>
    <x v="755"/>
    <x v="2"/>
    <x v="0"/>
    <n v="5"/>
    <n v="31"/>
    <x v="0"/>
    <x v="0"/>
    <s v="payday"/>
    <n v="9434988000"/>
  </r>
  <r>
    <x v="755"/>
    <x v="2"/>
    <x v="0"/>
    <n v="5"/>
    <n v="31"/>
    <x v="7"/>
    <x v="7"/>
    <s v="paylater"/>
    <n v="175108185"/>
  </r>
  <r>
    <x v="755"/>
    <x v="2"/>
    <x v="0"/>
    <n v="5"/>
    <n v="31"/>
    <x v="1"/>
    <x v="1"/>
    <s v="cashloan"/>
    <n v="26250000"/>
  </r>
  <r>
    <x v="755"/>
    <x v="2"/>
    <x v="0"/>
    <n v="5"/>
    <n v="31"/>
    <x v="6"/>
    <x v="6"/>
    <s v="payday"/>
    <n v="54000000"/>
  </r>
  <r>
    <x v="755"/>
    <x v="2"/>
    <x v="0"/>
    <n v="5"/>
    <n v="31"/>
    <x v="18"/>
    <x v="15"/>
    <s v="cashloan"/>
    <n v="835070000"/>
  </r>
  <r>
    <x v="755"/>
    <x v="2"/>
    <x v="0"/>
    <n v="5"/>
    <n v="31"/>
    <x v="29"/>
    <x v="20"/>
    <s v="payday"/>
    <n v="250776000"/>
  </r>
  <r>
    <x v="755"/>
    <x v="2"/>
    <x v="0"/>
    <n v="5"/>
    <n v="31"/>
    <x v="19"/>
    <x v="12"/>
    <s v="paylater"/>
    <n v="414307783"/>
  </r>
  <r>
    <x v="755"/>
    <x v="2"/>
    <x v="0"/>
    <n v="5"/>
    <n v="31"/>
    <x v="24"/>
    <x v="18"/>
    <s v="cashloan"/>
    <n v="2784890000"/>
  </r>
  <r>
    <x v="755"/>
    <x v="2"/>
    <x v="0"/>
    <n v="5"/>
    <n v="31"/>
    <x v="30"/>
    <x v="21"/>
    <s v="payday"/>
    <n v="821560000"/>
  </r>
  <r>
    <x v="756"/>
    <x v="2"/>
    <x v="1"/>
    <n v="5"/>
    <n v="1"/>
    <x v="3"/>
    <x v="3"/>
    <s v="cashloan"/>
    <n v="831100000"/>
  </r>
  <r>
    <x v="756"/>
    <x v="2"/>
    <x v="1"/>
    <n v="5"/>
    <n v="1"/>
    <x v="11"/>
    <x v="10"/>
    <s v="paylater"/>
    <n v="417907862"/>
  </r>
  <r>
    <x v="756"/>
    <x v="2"/>
    <x v="1"/>
    <n v="5"/>
    <n v="1"/>
    <x v="12"/>
    <x v="11"/>
    <s v="cashloan"/>
    <n v="15700030000"/>
  </r>
  <r>
    <x v="756"/>
    <x v="2"/>
    <x v="1"/>
    <n v="5"/>
    <n v="1"/>
    <x v="5"/>
    <x v="5"/>
    <s v="overdraft"/>
    <n v="3282208120"/>
  </r>
  <r>
    <x v="756"/>
    <x v="2"/>
    <x v="1"/>
    <n v="5"/>
    <n v="1"/>
    <x v="27"/>
    <x v="19"/>
    <s v="payday"/>
    <n v="13618476000"/>
  </r>
  <r>
    <x v="756"/>
    <x v="2"/>
    <x v="1"/>
    <n v="5"/>
    <n v="1"/>
    <x v="15"/>
    <x v="14"/>
    <s v="paylater"/>
    <n v="26208373"/>
  </r>
  <r>
    <x v="756"/>
    <x v="2"/>
    <x v="1"/>
    <n v="5"/>
    <n v="1"/>
    <x v="31"/>
    <x v="22"/>
    <s v="cashloan"/>
    <n v="0"/>
  </r>
  <r>
    <x v="756"/>
    <x v="2"/>
    <x v="1"/>
    <n v="5"/>
    <n v="1"/>
    <x v="14"/>
    <x v="13"/>
    <s v="cashloan"/>
    <n v="5951750000"/>
  </r>
  <r>
    <x v="756"/>
    <x v="2"/>
    <x v="1"/>
    <n v="5"/>
    <n v="1"/>
    <x v="33"/>
    <x v="13"/>
    <s v="cashloan"/>
    <n v="1592470000"/>
  </r>
  <r>
    <x v="756"/>
    <x v="2"/>
    <x v="1"/>
    <n v="5"/>
    <n v="1"/>
    <x v="23"/>
    <x v="17"/>
    <s v="paylater"/>
    <n v="5495403"/>
  </r>
  <r>
    <x v="756"/>
    <x v="2"/>
    <x v="1"/>
    <n v="5"/>
    <n v="1"/>
    <x v="28"/>
    <x v="17"/>
    <s v="paylater"/>
    <n v="2279428587"/>
  </r>
  <r>
    <x v="756"/>
    <x v="2"/>
    <x v="1"/>
    <n v="5"/>
    <n v="1"/>
    <x v="8"/>
    <x v="8"/>
    <s v="cashloan"/>
    <n v="0"/>
  </r>
  <r>
    <x v="756"/>
    <x v="2"/>
    <x v="1"/>
    <n v="5"/>
    <n v="1"/>
    <x v="26"/>
    <x v="16"/>
    <s v="cashloan"/>
    <n v="147500000"/>
  </r>
  <r>
    <x v="756"/>
    <x v="2"/>
    <x v="1"/>
    <n v="5"/>
    <n v="1"/>
    <x v="32"/>
    <x v="16"/>
    <s v="cashloan"/>
    <n v="0"/>
  </r>
  <r>
    <x v="756"/>
    <x v="2"/>
    <x v="1"/>
    <n v="5"/>
    <n v="1"/>
    <x v="2"/>
    <x v="2"/>
    <s v="cashloan"/>
    <n v="20007180000"/>
  </r>
  <r>
    <x v="756"/>
    <x v="2"/>
    <x v="1"/>
    <n v="5"/>
    <n v="1"/>
    <x v="17"/>
    <x v="9"/>
    <s v="cashloan"/>
    <n v="0"/>
  </r>
  <r>
    <x v="756"/>
    <x v="2"/>
    <x v="1"/>
    <n v="5"/>
    <n v="1"/>
    <x v="20"/>
    <x v="9"/>
    <s v="cashloan"/>
    <n v="0"/>
  </r>
  <r>
    <x v="756"/>
    <x v="2"/>
    <x v="1"/>
    <n v="5"/>
    <n v="1"/>
    <x v="21"/>
    <x v="9"/>
    <s v="cashloan"/>
    <n v="0"/>
  </r>
  <r>
    <x v="756"/>
    <x v="2"/>
    <x v="1"/>
    <n v="5"/>
    <n v="1"/>
    <x v="25"/>
    <x v="2"/>
    <s v="cashloan"/>
    <n v="5000000"/>
  </r>
  <r>
    <x v="756"/>
    <x v="2"/>
    <x v="1"/>
    <n v="5"/>
    <n v="1"/>
    <x v="0"/>
    <x v="0"/>
    <s v="payday"/>
    <n v="11076048000"/>
  </r>
  <r>
    <x v="756"/>
    <x v="2"/>
    <x v="1"/>
    <n v="5"/>
    <n v="1"/>
    <x v="7"/>
    <x v="7"/>
    <s v="paylater"/>
    <n v="411746350"/>
  </r>
  <r>
    <x v="756"/>
    <x v="2"/>
    <x v="1"/>
    <n v="5"/>
    <n v="1"/>
    <x v="1"/>
    <x v="1"/>
    <s v="cashloan"/>
    <n v="52500000"/>
  </r>
  <r>
    <x v="756"/>
    <x v="2"/>
    <x v="1"/>
    <n v="5"/>
    <n v="1"/>
    <x v="6"/>
    <x v="6"/>
    <s v="payday"/>
    <n v="63000000"/>
  </r>
  <r>
    <x v="756"/>
    <x v="2"/>
    <x v="1"/>
    <n v="5"/>
    <n v="1"/>
    <x v="18"/>
    <x v="15"/>
    <s v="cashloan"/>
    <n v="634180000"/>
  </r>
  <r>
    <x v="756"/>
    <x v="2"/>
    <x v="1"/>
    <n v="5"/>
    <n v="1"/>
    <x v="29"/>
    <x v="20"/>
    <s v="payday"/>
    <n v="316332000"/>
  </r>
  <r>
    <x v="756"/>
    <x v="2"/>
    <x v="1"/>
    <n v="5"/>
    <n v="1"/>
    <x v="19"/>
    <x v="12"/>
    <s v="paylater"/>
    <n v="702035450"/>
  </r>
  <r>
    <x v="756"/>
    <x v="2"/>
    <x v="1"/>
    <n v="5"/>
    <n v="1"/>
    <x v="24"/>
    <x v="18"/>
    <s v="cashloan"/>
    <n v="3272080000"/>
  </r>
  <r>
    <x v="756"/>
    <x v="2"/>
    <x v="1"/>
    <n v="5"/>
    <n v="1"/>
    <x v="30"/>
    <x v="21"/>
    <s v="payday"/>
    <n v="902000000"/>
  </r>
  <r>
    <x v="757"/>
    <x v="2"/>
    <x v="1"/>
    <n v="6"/>
    <n v="2"/>
    <x v="3"/>
    <x v="3"/>
    <s v="cashloan"/>
    <n v="1003950000"/>
  </r>
  <r>
    <x v="757"/>
    <x v="2"/>
    <x v="1"/>
    <n v="6"/>
    <n v="2"/>
    <x v="11"/>
    <x v="10"/>
    <s v="paylater"/>
    <n v="415051108"/>
  </r>
  <r>
    <x v="757"/>
    <x v="2"/>
    <x v="1"/>
    <n v="6"/>
    <n v="2"/>
    <x v="12"/>
    <x v="11"/>
    <s v="cashloan"/>
    <n v="19412460000"/>
  </r>
  <r>
    <x v="757"/>
    <x v="2"/>
    <x v="1"/>
    <n v="6"/>
    <n v="2"/>
    <x v="5"/>
    <x v="5"/>
    <s v="overdraft"/>
    <n v="3878796475"/>
  </r>
  <r>
    <x v="757"/>
    <x v="2"/>
    <x v="1"/>
    <n v="6"/>
    <n v="2"/>
    <x v="27"/>
    <x v="19"/>
    <s v="payday"/>
    <n v="15100992000"/>
  </r>
  <r>
    <x v="757"/>
    <x v="2"/>
    <x v="1"/>
    <n v="6"/>
    <n v="2"/>
    <x v="15"/>
    <x v="14"/>
    <s v="paylater"/>
    <n v="44901749"/>
  </r>
  <r>
    <x v="757"/>
    <x v="2"/>
    <x v="1"/>
    <n v="6"/>
    <n v="2"/>
    <x v="31"/>
    <x v="22"/>
    <s v="cashloan"/>
    <n v="0"/>
  </r>
  <r>
    <x v="757"/>
    <x v="2"/>
    <x v="1"/>
    <n v="6"/>
    <n v="2"/>
    <x v="14"/>
    <x v="13"/>
    <s v="cashloan"/>
    <n v="5490500000"/>
  </r>
  <r>
    <x v="757"/>
    <x v="2"/>
    <x v="1"/>
    <n v="6"/>
    <n v="2"/>
    <x v="33"/>
    <x v="13"/>
    <s v="cashloan"/>
    <n v="1823140000"/>
  </r>
  <r>
    <x v="757"/>
    <x v="2"/>
    <x v="1"/>
    <n v="6"/>
    <n v="2"/>
    <x v="23"/>
    <x v="17"/>
    <s v="paylater"/>
    <n v="34523861"/>
  </r>
  <r>
    <x v="757"/>
    <x v="2"/>
    <x v="1"/>
    <n v="6"/>
    <n v="2"/>
    <x v="28"/>
    <x v="17"/>
    <s v="paylater"/>
    <n v="2130199811"/>
  </r>
  <r>
    <x v="757"/>
    <x v="2"/>
    <x v="1"/>
    <n v="6"/>
    <n v="2"/>
    <x v="8"/>
    <x v="8"/>
    <s v="cashloan"/>
    <n v="0"/>
  </r>
  <r>
    <x v="757"/>
    <x v="2"/>
    <x v="1"/>
    <n v="6"/>
    <n v="2"/>
    <x v="26"/>
    <x v="16"/>
    <s v="cashloan"/>
    <n v="169000000"/>
  </r>
  <r>
    <x v="757"/>
    <x v="2"/>
    <x v="1"/>
    <n v="6"/>
    <n v="2"/>
    <x v="32"/>
    <x v="16"/>
    <s v="cashloan"/>
    <n v="0"/>
  </r>
  <r>
    <x v="757"/>
    <x v="2"/>
    <x v="1"/>
    <n v="6"/>
    <n v="2"/>
    <x v="2"/>
    <x v="2"/>
    <s v="cashloan"/>
    <n v="21816350000"/>
  </r>
  <r>
    <x v="757"/>
    <x v="2"/>
    <x v="1"/>
    <n v="6"/>
    <n v="2"/>
    <x v="17"/>
    <x v="9"/>
    <s v="cashloan"/>
    <n v="0"/>
  </r>
  <r>
    <x v="757"/>
    <x v="2"/>
    <x v="1"/>
    <n v="6"/>
    <n v="2"/>
    <x v="20"/>
    <x v="9"/>
    <s v="cashloan"/>
    <n v="0"/>
  </r>
  <r>
    <x v="757"/>
    <x v="2"/>
    <x v="1"/>
    <n v="6"/>
    <n v="2"/>
    <x v="21"/>
    <x v="9"/>
    <s v="cashloan"/>
    <n v="0"/>
  </r>
  <r>
    <x v="757"/>
    <x v="2"/>
    <x v="1"/>
    <n v="6"/>
    <n v="2"/>
    <x v="25"/>
    <x v="2"/>
    <s v="cashloan"/>
    <n v="37100000"/>
  </r>
  <r>
    <x v="757"/>
    <x v="2"/>
    <x v="1"/>
    <n v="6"/>
    <n v="2"/>
    <x v="0"/>
    <x v="0"/>
    <s v="payday"/>
    <n v="11912292000"/>
  </r>
  <r>
    <x v="757"/>
    <x v="2"/>
    <x v="1"/>
    <n v="6"/>
    <n v="2"/>
    <x v="7"/>
    <x v="7"/>
    <s v="paylater"/>
    <n v="447859640"/>
  </r>
  <r>
    <x v="757"/>
    <x v="2"/>
    <x v="1"/>
    <n v="6"/>
    <n v="2"/>
    <x v="1"/>
    <x v="1"/>
    <s v="cashloan"/>
    <n v="52000000"/>
  </r>
  <r>
    <x v="757"/>
    <x v="2"/>
    <x v="1"/>
    <n v="6"/>
    <n v="2"/>
    <x v="6"/>
    <x v="6"/>
    <s v="payday"/>
    <n v="49000000"/>
  </r>
  <r>
    <x v="757"/>
    <x v="2"/>
    <x v="1"/>
    <n v="6"/>
    <n v="2"/>
    <x v="18"/>
    <x v="15"/>
    <s v="cashloan"/>
    <n v="1013200000"/>
  </r>
  <r>
    <x v="757"/>
    <x v="2"/>
    <x v="1"/>
    <n v="6"/>
    <n v="2"/>
    <x v="29"/>
    <x v="20"/>
    <s v="payday"/>
    <n v="458028000"/>
  </r>
  <r>
    <x v="757"/>
    <x v="2"/>
    <x v="1"/>
    <n v="6"/>
    <n v="2"/>
    <x v="19"/>
    <x v="12"/>
    <s v="paylater"/>
    <n v="992318820"/>
  </r>
  <r>
    <x v="757"/>
    <x v="2"/>
    <x v="1"/>
    <n v="6"/>
    <n v="2"/>
    <x v="24"/>
    <x v="18"/>
    <s v="cashloan"/>
    <n v="4600240000"/>
  </r>
  <r>
    <x v="757"/>
    <x v="2"/>
    <x v="1"/>
    <n v="6"/>
    <n v="2"/>
    <x v="30"/>
    <x v="21"/>
    <s v="payday"/>
    <n v="915800000"/>
  </r>
  <r>
    <x v="758"/>
    <x v="2"/>
    <x v="1"/>
    <n v="6"/>
    <n v="3"/>
    <x v="3"/>
    <x v="3"/>
    <s v="cashloan"/>
    <n v="757350000"/>
  </r>
  <r>
    <x v="758"/>
    <x v="2"/>
    <x v="1"/>
    <n v="6"/>
    <n v="3"/>
    <x v="11"/>
    <x v="10"/>
    <s v="paylater"/>
    <n v="450793395"/>
  </r>
  <r>
    <x v="758"/>
    <x v="2"/>
    <x v="1"/>
    <n v="6"/>
    <n v="3"/>
    <x v="12"/>
    <x v="11"/>
    <s v="cashloan"/>
    <n v="19764290000"/>
  </r>
  <r>
    <x v="758"/>
    <x v="2"/>
    <x v="1"/>
    <n v="6"/>
    <n v="3"/>
    <x v="5"/>
    <x v="5"/>
    <s v="overdraft"/>
    <n v="2759130350"/>
  </r>
  <r>
    <x v="758"/>
    <x v="2"/>
    <x v="1"/>
    <n v="6"/>
    <n v="3"/>
    <x v="27"/>
    <x v="19"/>
    <s v="payday"/>
    <n v="14963508000"/>
  </r>
  <r>
    <x v="758"/>
    <x v="2"/>
    <x v="1"/>
    <n v="6"/>
    <n v="3"/>
    <x v="15"/>
    <x v="14"/>
    <s v="paylater"/>
    <n v="63202779"/>
  </r>
  <r>
    <x v="758"/>
    <x v="2"/>
    <x v="1"/>
    <n v="6"/>
    <n v="3"/>
    <x v="31"/>
    <x v="22"/>
    <s v="cashloan"/>
    <n v="170000000"/>
  </r>
  <r>
    <x v="758"/>
    <x v="2"/>
    <x v="1"/>
    <n v="6"/>
    <n v="3"/>
    <x v="14"/>
    <x v="13"/>
    <s v="cashloan"/>
    <n v="4933810000"/>
  </r>
  <r>
    <x v="758"/>
    <x v="2"/>
    <x v="1"/>
    <n v="6"/>
    <n v="3"/>
    <x v="33"/>
    <x v="13"/>
    <s v="cashloan"/>
    <n v="1587740000"/>
  </r>
  <r>
    <x v="758"/>
    <x v="2"/>
    <x v="1"/>
    <n v="6"/>
    <n v="3"/>
    <x v="23"/>
    <x v="17"/>
    <s v="paylater"/>
    <n v="56334108"/>
  </r>
  <r>
    <x v="758"/>
    <x v="2"/>
    <x v="1"/>
    <n v="6"/>
    <n v="3"/>
    <x v="28"/>
    <x v="17"/>
    <s v="paylater"/>
    <n v="2337638612"/>
  </r>
  <r>
    <x v="758"/>
    <x v="2"/>
    <x v="1"/>
    <n v="6"/>
    <n v="3"/>
    <x v="8"/>
    <x v="8"/>
    <s v="cashloan"/>
    <n v="0"/>
  </r>
  <r>
    <x v="758"/>
    <x v="2"/>
    <x v="1"/>
    <n v="6"/>
    <n v="3"/>
    <x v="26"/>
    <x v="16"/>
    <s v="cashloan"/>
    <n v="136500000"/>
  </r>
  <r>
    <x v="758"/>
    <x v="2"/>
    <x v="1"/>
    <n v="6"/>
    <n v="3"/>
    <x v="32"/>
    <x v="16"/>
    <s v="cashloan"/>
    <n v="134930000"/>
  </r>
  <r>
    <x v="758"/>
    <x v="2"/>
    <x v="1"/>
    <n v="6"/>
    <n v="3"/>
    <x v="2"/>
    <x v="2"/>
    <s v="cashloan"/>
    <n v="19479820000"/>
  </r>
  <r>
    <x v="758"/>
    <x v="2"/>
    <x v="1"/>
    <n v="6"/>
    <n v="3"/>
    <x v="17"/>
    <x v="9"/>
    <s v="cashloan"/>
    <n v="0"/>
  </r>
  <r>
    <x v="758"/>
    <x v="2"/>
    <x v="1"/>
    <n v="6"/>
    <n v="3"/>
    <x v="20"/>
    <x v="9"/>
    <s v="cashloan"/>
    <n v="0"/>
  </r>
  <r>
    <x v="758"/>
    <x v="2"/>
    <x v="1"/>
    <n v="6"/>
    <n v="3"/>
    <x v="21"/>
    <x v="9"/>
    <s v="cashloan"/>
    <n v="0"/>
  </r>
  <r>
    <x v="758"/>
    <x v="2"/>
    <x v="1"/>
    <n v="6"/>
    <n v="3"/>
    <x v="25"/>
    <x v="2"/>
    <s v="cashloan"/>
    <n v="0"/>
  </r>
  <r>
    <x v="758"/>
    <x v="2"/>
    <x v="1"/>
    <n v="6"/>
    <n v="3"/>
    <x v="0"/>
    <x v="0"/>
    <s v="payday"/>
    <n v="11214612000"/>
  </r>
  <r>
    <x v="758"/>
    <x v="2"/>
    <x v="1"/>
    <n v="6"/>
    <n v="3"/>
    <x v="7"/>
    <x v="7"/>
    <s v="paylater"/>
    <n v="490566204"/>
  </r>
  <r>
    <x v="758"/>
    <x v="2"/>
    <x v="1"/>
    <n v="6"/>
    <n v="3"/>
    <x v="1"/>
    <x v="1"/>
    <s v="cashloan"/>
    <n v="42000000"/>
  </r>
  <r>
    <x v="758"/>
    <x v="2"/>
    <x v="1"/>
    <n v="6"/>
    <n v="3"/>
    <x v="6"/>
    <x v="6"/>
    <s v="payday"/>
    <n v="39000000"/>
  </r>
  <r>
    <x v="758"/>
    <x v="2"/>
    <x v="1"/>
    <n v="6"/>
    <n v="3"/>
    <x v="18"/>
    <x v="15"/>
    <s v="cashloan"/>
    <n v="1153780000"/>
  </r>
  <r>
    <x v="758"/>
    <x v="2"/>
    <x v="1"/>
    <n v="6"/>
    <n v="3"/>
    <x v="29"/>
    <x v="20"/>
    <s v="payday"/>
    <n v="377028000"/>
  </r>
  <r>
    <x v="758"/>
    <x v="2"/>
    <x v="1"/>
    <n v="6"/>
    <n v="3"/>
    <x v="19"/>
    <x v="12"/>
    <s v="paylater"/>
    <n v="1394629328"/>
  </r>
  <r>
    <x v="758"/>
    <x v="2"/>
    <x v="1"/>
    <n v="6"/>
    <n v="3"/>
    <x v="24"/>
    <x v="18"/>
    <s v="cashloan"/>
    <n v="5633660000"/>
  </r>
  <r>
    <x v="758"/>
    <x v="2"/>
    <x v="1"/>
    <n v="6"/>
    <n v="3"/>
    <x v="30"/>
    <x v="21"/>
    <s v="payday"/>
    <n v="861880000"/>
  </r>
  <r>
    <x v="759"/>
    <x v="2"/>
    <x v="1"/>
    <n v="6"/>
    <n v="4"/>
    <x v="3"/>
    <x v="3"/>
    <s v="cashloan"/>
    <n v="856450000"/>
  </r>
  <r>
    <x v="759"/>
    <x v="2"/>
    <x v="1"/>
    <n v="6"/>
    <n v="4"/>
    <x v="11"/>
    <x v="10"/>
    <s v="paylater"/>
    <n v="538683337"/>
  </r>
  <r>
    <x v="759"/>
    <x v="2"/>
    <x v="1"/>
    <n v="6"/>
    <n v="4"/>
    <x v="12"/>
    <x v="11"/>
    <s v="cashloan"/>
    <n v="18848620000"/>
  </r>
  <r>
    <x v="759"/>
    <x v="2"/>
    <x v="1"/>
    <n v="6"/>
    <n v="4"/>
    <x v="5"/>
    <x v="5"/>
    <s v="overdraft"/>
    <n v="2607900868"/>
  </r>
  <r>
    <x v="759"/>
    <x v="2"/>
    <x v="1"/>
    <n v="6"/>
    <n v="4"/>
    <x v="27"/>
    <x v="19"/>
    <s v="payday"/>
    <n v="14700636000"/>
  </r>
  <r>
    <x v="759"/>
    <x v="2"/>
    <x v="1"/>
    <n v="6"/>
    <n v="4"/>
    <x v="15"/>
    <x v="14"/>
    <s v="paylater"/>
    <n v="53910975"/>
  </r>
  <r>
    <x v="759"/>
    <x v="2"/>
    <x v="1"/>
    <n v="6"/>
    <n v="4"/>
    <x v="31"/>
    <x v="22"/>
    <s v="cashloan"/>
    <n v="0"/>
  </r>
  <r>
    <x v="759"/>
    <x v="2"/>
    <x v="1"/>
    <n v="6"/>
    <n v="4"/>
    <x v="14"/>
    <x v="13"/>
    <s v="cashloan"/>
    <n v="5183620000"/>
  </r>
  <r>
    <x v="759"/>
    <x v="2"/>
    <x v="1"/>
    <n v="6"/>
    <n v="4"/>
    <x v="33"/>
    <x v="13"/>
    <s v="cashloan"/>
    <n v="1219780000"/>
  </r>
  <r>
    <x v="759"/>
    <x v="2"/>
    <x v="1"/>
    <n v="6"/>
    <n v="4"/>
    <x v="23"/>
    <x v="17"/>
    <s v="paylater"/>
    <n v="53548572"/>
  </r>
  <r>
    <x v="759"/>
    <x v="2"/>
    <x v="1"/>
    <n v="6"/>
    <n v="4"/>
    <x v="28"/>
    <x v="17"/>
    <s v="paylater"/>
    <n v="2116817182"/>
  </r>
  <r>
    <x v="759"/>
    <x v="2"/>
    <x v="1"/>
    <n v="6"/>
    <n v="4"/>
    <x v="8"/>
    <x v="8"/>
    <s v="cashloan"/>
    <n v="0"/>
  </r>
  <r>
    <x v="759"/>
    <x v="2"/>
    <x v="1"/>
    <n v="6"/>
    <n v="4"/>
    <x v="26"/>
    <x v="16"/>
    <s v="cashloan"/>
    <n v="99750000"/>
  </r>
  <r>
    <x v="759"/>
    <x v="2"/>
    <x v="1"/>
    <n v="6"/>
    <n v="4"/>
    <x v="32"/>
    <x v="16"/>
    <s v="cashloan"/>
    <n v="0"/>
  </r>
  <r>
    <x v="759"/>
    <x v="2"/>
    <x v="1"/>
    <n v="6"/>
    <n v="4"/>
    <x v="2"/>
    <x v="2"/>
    <s v="cashloan"/>
    <n v="20838660000"/>
  </r>
  <r>
    <x v="759"/>
    <x v="2"/>
    <x v="1"/>
    <n v="6"/>
    <n v="4"/>
    <x v="17"/>
    <x v="9"/>
    <s v="cashloan"/>
    <n v="0"/>
  </r>
  <r>
    <x v="759"/>
    <x v="2"/>
    <x v="1"/>
    <n v="6"/>
    <n v="4"/>
    <x v="20"/>
    <x v="9"/>
    <s v="cashloan"/>
    <n v="0"/>
  </r>
  <r>
    <x v="759"/>
    <x v="2"/>
    <x v="1"/>
    <n v="6"/>
    <n v="4"/>
    <x v="21"/>
    <x v="9"/>
    <s v="cashloan"/>
    <n v="0"/>
  </r>
  <r>
    <x v="759"/>
    <x v="2"/>
    <x v="1"/>
    <n v="6"/>
    <n v="4"/>
    <x v="25"/>
    <x v="2"/>
    <s v="cashloan"/>
    <n v="5000000"/>
  </r>
  <r>
    <x v="759"/>
    <x v="2"/>
    <x v="1"/>
    <n v="6"/>
    <n v="4"/>
    <x v="0"/>
    <x v="0"/>
    <s v="payday"/>
    <n v="11835288000"/>
  </r>
  <r>
    <x v="759"/>
    <x v="2"/>
    <x v="1"/>
    <n v="6"/>
    <n v="4"/>
    <x v="7"/>
    <x v="7"/>
    <s v="paylater"/>
    <n v="629395712"/>
  </r>
  <r>
    <x v="759"/>
    <x v="2"/>
    <x v="1"/>
    <n v="6"/>
    <n v="4"/>
    <x v="1"/>
    <x v="1"/>
    <s v="cashloan"/>
    <n v="61000000"/>
  </r>
  <r>
    <x v="759"/>
    <x v="2"/>
    <x v="1"/>
    <n v="6"/>
    <n v="4"/>
    <x v="6"/>
    <x v="6"/>
    <s v="payday"/>
    <n v="59000000"/>
  </r>
  <r>
    <x v="759"/>
    <x v="2"/>
    <x v="1"/>
    <n v="6"/>
    <n v="4"/>
    <x v="18"/>
    <x v="15"/>
    <s v="cashloan"/>
    <n v="971280000"/>
  </r>
  <r>
    <x v="759"/>
    <x v="2"/>
    <x v="1"/>
    <n v="6"/>
    <n v="4"/>
    <x v="29"/>
    <x v="20"/>
    <s v="payday"/>
    <n v="340200000"/>
  </r>
  <r>
    <x v="759"/>
    <x v="2"/>
    <x v="1"/>
    <n v="6"/>
    <n v="4"/>
    <x v="19"/>
    <x v="12"/>
    <s v="paylater"/>
    <n v="1806252793"/>
  </r>
  <r>
    <x v="759"/>
    <x v="2"/>
    <x v="1"/>
    <n v="6"/>
    <n v="4"/>
    <x v="24"/>
    <x v="18"/>
    <s v="cashloan"/>
    <n v="5149330000"/>
  </r>
  <r>
    <x v="759"/>
    <x v="2"/>
    <x v="1"/>
    <n v="6"/>
    <n v="4"/>
    <x v="30"/>
    <x v="21"/>
    <s v="payday"/>
    <n v="892640000"/>
  </r>
  <r>
    <x v="760"/>
    <x v="2"/>
    <x v="1"/>
    <n v="6"/>
    <n v="5"/>
    <x v="3"/>
    <x v="3"/>
    <s v="cashloan"/>
    <n v="704350000"/>
  </r>
  <r>
    <x v="760"/>
    <x v="2"/>
    <x v="1"/>
    <n v="6"/>
    <n v="5"/>
    <x v="11"/>
    <x v="10"/>
    <s v="paylater"/>
    <n v="540107490"/>
  </r>
  <r>
    <x v="760"/>
    <x v="2"/>
    <x v="1"/>
    <n v="6"/>
    <n v="5"/>
    <x v="12"/>
    <x v="11"/>
    <s v="cashloan"/>
    <n v="17486150000"/>
  </r>
  <r>
    <x v="760"/>
    <x v="2"/>
    <x v="1"/>
    <n v="6"/>
    <n v="5"/>
    <x v="5"/>
    <x v="5"/>
    <s v="overdraft"/>
    <n v="2698539865"/>
  </r>
  <r>
    <x v="760"/>
    <x v="2"/>
    <x v="1"/>
    <n v="6"/>
    <n v="5"/>
    <x v="27"/>
    <x v="19"/>
    <s v="payday"/>
    <n v="15818976000"/>
  </r>
  <r>
    <x v="760"/>
    <x v="2"/>
    <x v="1"/>
    <n v="6"/>
    <n v="5"/>
    <x v="15"/>
    <x v="14"/>
    <s v="paylater"/>
    <n v="32709955"/>
  </r>
  <r>
    <x v="760"/>
    <x v="2"/>
    <x v="1"/>
    <n v="6"/>
    <n v="5"/>
    <x v="31"/>
    <x v="22"/>
    <s v="cashloan"/>
    <n v="0"/>
  </r>
  <r>
    <x v="760"/>
    <x v="2"/>
    <x v="1"/>
    <n v="6"/>
    <n v="5"/>
    <x v="14"/>
    <x v="13"/>
    <s v="cashloan"/>
    <n v="5183150000"/>
  </r>
  <r>
    <x v="760"/>
    <x v="2"/>
    <x v="1"/>
    <n v="6"/>
    <n v="5"/>
    <x v="33"/>
    <x v="13"/>
    <s v="cashloan"/>
    <n v="1484100000"/>
  </r>
  <r>
    <x v="760"/>
    <x v="2"/>
    <x v="1"/>
    <n v="6"/>
    <n v="5"/>
    <x v="23"/>
    <x v="17"/>
    <s v="paylater"/>
    <n v="36740495"/>
  </r>
  <r>
    <x v="760"/>
    <x v="2"/>
    <x v="1"/>
    <n v="6"/>
    <n v="5"/>
    <x v="28"/>
    <x v="17"/>
    <s v="paylater"/>
    <n v="3063895909"/>
  </r>
  <r>
    <x v="760"/>
    <x v="2"/>
    <x v="1"/>
    <n v="6"/>
    <n v="5"/>
    <x v="8"/>
    <x v="8"/>
    <s v="cashloan"/>
    <n v="0"/>
  </r>
  <r>
    <x v="760"/>
    <x v="2"/>
    <x v="1"/>
    <n v="6"/>
    <n v="5"/>
    <x v="26"/>
    <x v="16"/>
    <s v="cashloan"/>
    <n v="224600000"/>
  </r>
  <r>
    <x v="760"/>
    <x v="2"/>
    <x v="1"/>
    <n v="6"/>
    <n v="5"/>
    <x v="32"/>
    <x v="16"/>
    <s v="cashloan"/>
    <n v="83430000"/>
  </r>
  <r>
    <x v="760"/>
    <x v="2"/>
    <x v="1"/>
    <n v="6"/>
    <n v="5"/>
    <x v="2"/>
    <x v="2"/>
    <s v="cashloan"/>
    <n v="21361330000"/>
  </r>
  <r>
    <x v="760"/>
    <x v="2"/>
    <x v="1"/>
    <n v="6"/>
    <n v="5"/>
    <x v="17"/>
    <x v="9"/>
    <s v="cashloan"/>
    <n v="0"/>
  </r>
  <r>
    <x v="760"/>
    <x v="2"/>
    <x v="1"/>
    <n v="6"/>
    <n v="5"/>
    <x v="20"/>
    <x v="9"/>
    <s v="cashloan"/>
    <n v="0"/>
  </r>
  <r>
    <x v="760"/>
    <x v="2"/>
    <x v="1"/>
    <n v="6"/>
    <n v="5"/>
    <x v="21"/>
    <x v="9"/>
    <s v="cashloan"/>
    <n v="0"/>
  </r>
  <r>
    <x v="760"/>
    <x v="2"/>
    <x v="1"/>
    <n v="6"/>
    <n v="5"/>
    <x v="25"/>
    <x v="2"/>
    <s v="cashloan"/>
    <n v="12000000"/>
  </r>
  <r>
    <x v="760"/>
    <x v="2"/>
    <x v="1"/>
    <n v="6"/>
    <n v="5"/>
    <x v="0"/>
    <x v="0"/>
    <s v="payday"/>
    <n v="11701584000"/>
  </r>
  <r>
    <x v="760"/>
    <x v="2"/>
    <x v="1"/>
    <n v="6"/>
    <n v="5"/>
    <x v="7"/>
    <x v="7"/>
    <s v="paylater"/>
    <n v="493844603"/>
  </r>
  <r>
    <x v="760"/>
    <x v="2"/>
    <x v="1"/>
    <n v="6"/>
    <n v="5"/>
    <x v="1"/>
    <x v="1"/>
    <s v="cashloan"/>
    <n v="89250000"/>
  </r>
  <r>
    <x v="760"/>
    <x v="2"/>
    <x v="1"/>
    <n v="6"/>
    <n v="5"/>
    <x v="6"/>
    <x v="6"/>
    <s v="payday"/>
    <n v="36000000"/>
  </r>
  <r>
    <x v="760"/>
    <x v="2"/>
    <x v="1"/>
    <n v="6"/>
    <n v="5"/>
    <x v="18"/>
    <x v="15"/>
    <s v="cashloan"/>
    <n v="1285590000"/>
  </r>
  <r>
    <x v="760"/>
    <x v="2"/>
    <x v="1"/>
    <n v="6"/>
    <n v="5"/>
    <x v="29"/>
    <x v="20"/>
    <s v="payday"/>
    <n v="389124000"/>
  </r>
  <r>
    <x v="760"/>
    <x v="2"/>
    <x v="1"/>
    <n v="6"/>
    <n v="5"/>
    <x v="19"/>
    <x v="12"/>
    <s v="paylater"/>
    <n v="1245454476"/>
  </r>
  <r>
    <x v="760"/>
    <x v="2"/>
    <x v="1"/>
    <n v="6"/>
    <n v="5"/>
    <x v="24"/>
    <x v="18"/>
    <s v="cashloan"/>
    <n v="4212850000"/>
  </r>
  <r>
    <x v="760"/>
    <x v="2"/>
    <x v="1"/>
    <n v="6"/>
    <n v="5"/>
    <x v="30"/>
    <x v="21"/>
    <s v="payday"/>
    <n v="664920000"/>
  </r>
  <r>
    <x v="761"/>
    <x v="2"/>
    <x v="1"/>
    <n v="6"/>
    <n v="6"/>
    <x v="3"/>
    <x v="3"/>
    <s v="cashloan"/>
    <n v="727650000"/>
  </r>
  <r>
    <x v="761"/>
    <x v="2"/>
    <x v="1"/>
    <n v="6"/>
    <n v="6"/>
    <x v="11"/>
    <x v="10"/>
    <s v="paylater"/>
    <n v="492312958"/>
  </r>
  <r>
    <x v="761"/>
    <x v="2"/>
    <x v="1"/>
    <n v="6"/>
    <n v="6"/>
    <x v="12"/>
    <x v="11"/>
    <s v="cashloan"/>
    <n v="15259600000"/>
  </r>
  <r>
    <x v="761"/>
    <x v="2"/>
    <x v="1"/>
    <n v="6"/>
    <n v="6"/>
    <x v="5"/>
    <x v="5"/>
    <s v="overdraft"/>
    <n v="2270716822"/>
  </r>
  <r>
    <x v="761"/>
    <x v="2"/>
    <x v="1"/>
    <n v="6"/>
    <n v="6"/>
    <x v="27"/>
    <x v="19"/>
    <s v="payday"/>
    <n v="12956112000"/>
  </r>
  <r>
    <x v="761"/>
    <x v="2"/>
    <x v="1"/>
    <n v="6"/>
    <n v="6"/>
    <x v="15"/>
    <x v="14"/>
    <s v="paylater"/>
    <n v="18243965"/>
  </r>
  <r>
    <x v="761"/>
    <x v="2"/>
    <x v="1"/>
    <n v="6"/>
    <n v="6"/>
    <x v="31"/>
    <x v="22"/>
    <s v="cashloan"/>
    <n v="180000000"/>
  </r>
  <r>
    <x v="761"/>
    <x v="2"/>
    <x v="1"/>
    <n v="6"/>
    <n v="6"/>
    <x v="14"/>
    <x v="13"/>
    <s v="cashloan"/>
    <n v="5397880000"/>
  </r>
  <r>
    <x v="761"/>
    <x v="2"/>
    <x v="1"/>
    <n v="6"/>
    <n v="6"/>
    <x v="33"/>
    <x v="13"/>
    <s v="cashloan"/>
    <n v="1229070000"/>
  </r>
  <r>
    <x v="761"/>
    <x v="2"/>
    <x v="1"/>
    <n v="6"/>
    <n v="6"/>
    <x v="23"/>
    <x v="17"/>
    <s v="paylater"/>
    <n v="15583492"/>
  </r>
  <r>
    <x v="761"/>
    <x v="2"/>
    <x v="1"/>
    <n v="6"/>
    <n v="6"/>
    <x v="28"/>
    <x v="17"/>
    <s v="paylater"/>
    <n v="2896477859"/>
  </r>
  <r>
    <x v="761"/>
    <x v="2"/>
    <x v="1"/>
    <n v="6"/>
    <n v="6"/>
    <x v="8"/>
    <x v="8"/>
    <s v="cashloan"/>
    <n v="0"/>
  </r>
  <r>
    <x v="761"/>
    <x v="2"/>
    <x v="1"/>
    <n v="6"/>
    <n v="6"/>
    <x v="26"/>
    <x v="16"/>
    <s v="cashloan"/>
    <n v="77250000"/>
  </r>
  <r>
    <x v="761"/>
    <x v="2"/>
    <x v="1"/>
    <n v="6"/>
    <n v="6"/>
    <x v="32"/>
    <x v="16"/>
    <s v="cashloan"/>
    <n v="30900000"/>
  </r>
  <r>
    <x v="761"/>
    <x v="2"/>
    <x v="1"/>
    <n v="6"/>
    <n v="6"/>
    <x v="2"/>
    <x v="2"/>
    <s v="cashloan"/>
    <n v="17838890000"/>
  </r>
  <r>
    <x v="761"/>
    <x v="2"/>
    <x v="1"/>
    <n v="6"/>
    <n v="6"/>
    <x v="17"/>
    <x v="9"/>
    <s v="cashloan"/>
    <n v="0"/>
  </r>
  <r>
    <x v="761"/>
    <x v="2"/>
    <x v="1"/>
    <n v="6"/>
    <n v="6"/>
    <x v="20"/>
    <x v="9"/>
    <s v="cashloan"/>
    <n v="0"/>
  </r>
  <r>
    <x v="761"/>
    <x v="2"/>
    <x v="1"/>
    <n v="6"/>
    <n v="6"/>
    <x v="21"/>
    <x v="9"/>
    <s v="cashloan"/>
    <n v="0"/>
  </r>
  <r>
    <x v="761"/>
    <x v="2"/>
    <x v="1"/>
    <n v="6"/>
    <n v="6"/>
    <x v="25"/>
    <x v="2"/>
    <s v="cashloan"/>
    <n v="0"/>
  </r>
  <r>
    <x v="761"/>
    <x v="2"/>
    <x v="1"/>
    <n v="6"/>
    <n v="6"/>
    <x v="0"/>
    <x v="0"/>
    <s v="payday"/>
    <n v="11124540000"/>
  </r>
  <r>
    <x v="761"/>
    <x v="2"/>
    <x v="1"/>
    <n v="6"/>
    <n v="6"/>
    <x v="7"/>
    <x v="7"/>
    <s v="paylater"/>
    <n v="345731246"/>
  </r>
  <r>
    <x v="761"/>
    <x v="2"/>
    <x v="1"/>
    <n v="6"/>
    <n v="6"/>
    <x v="1"/>
    <x v="1"/>
    <s v="cashloan"/>
    <n v="42000000"/>
  </r>
  <r>
    <x v="761"/>
    <x v="2"/>
    <x v="1"/>
    <n v="6"/>
    <n v="6"/>
    <x v="6"/>
    <x v="6"/>
    <s v="payday"/>
    <n v="34000000"/>
  </r>
  <r>
    <x v="761"/>
    <x v="2"/>
    <x v="1"/>
    <n v="6"/>
    <n v="6"/>
    <x v="18"/>
    <x v="15"/>
    <s v="cashloan"/>
    <n v="909210000"/>
  </r>
  <r>
    <x v="761"/>
    <x v="2"/>
    <x v="1"/>
    <n v="6"/>
    <n v="6"/>
    <x v="29"/>
    <x v="20"/>
    <s v="payday"/>
    <n v="338796000"/>
  </r>
  <r>
    <x v="761"/>
    <x v="2"/>
    <x v="1"/>
    <n v="6"/>
    <n v="6"/>
    <x v="19"/>
    <x v="12"/>
    <s v="paylater"/>
    <n v="675299337"/>
  </r>
  <r>
    <x v="761"/>
    <x v="2"/>
    <x v="1"/>
    <n v="6"/>
    <n v="6"/>
    <x v="24"/>
    <x v="18"/>
    <s v="cashloan"/>
    <n v="4966990000"/>
  </r>
  <r>
    <x v="761"/>
    <x v="2"/>
    <x v="1"/>
    <n v="6"/>
    <n v="6"/>
    <x v="30"/>
    <x v="21"/>
    <s v="payday"/>
    <n v="396560000"/>
  </r>
  <r>
    <x v="762"/>
    <x v="2"/>
    <x v="1"/>
    <n v="6"/>
    <n v="7"/>
    <x v="3"/>
    <x v="3"/>
    <s v="cashloan"/>
    <n v="668900000"/>
  </r>
  <r>
    <x v="762"/>
    <x v="2"/>
    <x v="1"/>
    <n v="6"/>
    <n v="7"/>
    <x v="11"/>
    <x v="10"/>
    <s v="paylater"/>
    <n v="459868095"/>
  </r>
  <r>
    <x v="762"/>
    <x v="2"/>
    <x v="1"/>
    <n v="6"/>
    <n v="7"/>
    <x v="12"/>
    <x v="11"/>
    <s v="cashloan"/>
    <n v="12618190000"/>
  </r>
  <r>
    <x v="762"/>
    <x v="2"/>
    <x v="1"/>
    <n v="6"/>
    <n v="7"/>
    <x v="5"/>
    <x v="5"/>
    <s v="overdraft"/>
    <n v="1749838140"/>
  </r>
  <r>
    <x v="762"/>
    <x v="2"/>
    <x v="1"/>
    <n v="6"/>
    <n v="7"/>
    <x v="27"/>
    <x v="19"/>
    <s v="payday"/>
    <n v="12065004000"/>
  </r>
  <r>
    <x v="762"/>
    <x v="2"/>
    <x v="1"/>
    <n v="6"/>
    <n v="7"/>
    <x v="15"/>
    <x v="14"/>
    <s v="paylater"/>
    <n v="29974937"/>
  </r>
  <r>
    <x v="762"/>
    <x v="2"/>
    <x v="1"/>
    <n v="6"/>
    <n v="7"/>
    <x v="31"/>
    <x v="22"/>
    <s v="cashloan"/>
    <n v="0"/>
  </r>
  <r>
    <x v="762"/>
    <x v="2"/>
    <x v="1"/>
    <n v="6"/>
    <n v="7"/>
    <x v="14"/>
    <x v="13"/>
    <s v="cashloan"/>
    <n v="4912210000"/>
  </r>
  <r>
    <x v="762"/>
    <x v="2"/>
    <x v="1"/>
    <n v="6"/>
    <n v="7"/>
    <x v="33"/>
    <x v="13"/>
    <s v="cashloan"/>
    <n v="1137190000"/>
  </r>
  <r>
    <x v="762"/>
    <x v="2"/>
    <x v="1"/>
    <n v="6"/>
    <n v="7"/>
    <x v="23"/>
    <x v="17"/>
    <s v="paylater"/>
    <n v="18099098"/>
  </r>
  <r>
    <x v="762"/>
    <x v="2"/>
    <x v="1"/>
    <n v="6"/>
    <n v="7"/>
    <x v="28"/>
    <x v="17"/>
    <s v="paylater"/>
    <n v="2986593757"/>
  </r>
  <r>
    <x v="762"/>
    <x v="2"/>
    <x v="1"/>
    <n v="6"/>
    <n v="7"/>
    <x v="8"/>
    <x v="8"/>
    <s v="cashloan"/>
    <n v="0"/>
  </r>
  <r>
    <x v="762"/>
    <x v="2"/>
    <x v="1"/>
    <n v="6"/>
    <n v="7"/>
    <x v="26"/>
    <x v="16"/>
    <s v="cashloan"/>
    <n v="31500000"/>
  </r>
  <r>
    <x v="762"/>
    <x v="2"/>
    <x v="1"/>
    <n v="6"/>
    <n v="7"/>
    <x v="32"/>
    <x v="16"/>
    <s v="cashloan"/>
    <n v="83430000"/>
  </r>
  <r>
    <x v="762"/>
    <x v="2"/>
    <x v="1"/>
    <n v="6"/>
    <n v="7"/>
    <x v="2"/>
    <x v="2"/>
    <s v="cashloan"/>
    <n v="16453260000"/>
  </r>
  <r>
    <x v="762"/>
    <x v="2"/>
    <x v="1"/>
    <n v="6"/>
    <n v="7"/>
    <x v="17"/>
    <x v="9"/>
    <s v="cashloan"/>
    <n v="0"/>
  </r>
  <r>
    <x v="762"/>
    <x v="2"/>
    <x v="1"/>
    <n v="6"/>
    <n v="7"/>
    <x v="20"/>
    <x v="9"/>
    <s v="cashloan"/>
    <n v="0"/>
  </r>
  <r>
    <x v="762"/>
    <x v="2"/>
    <x v="1"/>
    <n v="6"/>
    <n v="7"/>
    <x v="21"/>
    <x v="9"/>
    <s v="cashloan"/>
    <n v="0"/>
  </r>
  <r>
    <x v="762"/>
    <x v="2"/>
    <x v="1"/>
    <n v="6"/>
    <n v="7"/>
    <x v="25"/>
    <x v="2"/>
    <s v="cashloan"/>
    <n v="0"/>
  </r>
  <r>
    <x v="762"/>
    <x v="2"/>
    <x v="1"/>
    <n v="6"/>
    <n v="7"/>
    <x v="0"/>
    <x v="0"/>
    <s v="payday"/>
    <n v="10034172000"/>
  </r>
  <r>
    <x v="762"/>
    <x v="2"/>
    <x v="1"/>
    <n v="6"/>
    <n v="7"/>
    <x v="7"/>
    <x v="7"/>
    <s v="paylater"/>
    <n v="249314006"/>
  </r>
  <r>
    <x v="762"/>
    <x v="2"/>
    <x v="1"/>
    <n v="6"/>
    <n v="7"/>
    <x v="1"/>
    <x v="1"/>
    <s v="cashloan"/>
    <n v="63000000"/>
  </r>
  <r>
    <x v="762"/>
    <x v="2"/>
    <x v="1"/>
    <n v="6"/>
    <n v="7"/>
    <x v="6"/>
    <x v="6"/>
    <s v="payday"/>
    <n v="56000000"/>
  </r>
  <r>
    <x v="762"/>
    <x v="2"/>
    <x v="1"/>
    <n v="6"/>
    <n v="7"/>
    <x v="18"/>
    <x v="15"/>
    <s v="cashloan"/>
    <n v="1392850000"/>
  </r>
  <r>
    <x v="762"/>
    <x v="2"/>
    <x v="1"/>
    <n v="6"/>
    <n v="7"/>
    <x v="29"/>
    <x v="20"/>
    <s v="payday"/>
    <n v="294732000"/>
  </r>
  <r>
    <x v="762"/>
    <x v="2"/>
    <x v="1"/>
    <n v="6"/>
    <n v="7"/>
    <x v="19"/>
    <x v="12"/>
    <s v="paylater"/>
    <n v="506709554"/>
  </r>
  <r>
    <x v="762"/>
    <x v="2"/>
    <x v="1"/>
    <n v="6"/>
    <n v="7"/>
    <x v="24"/>
    <x v="18"/>
    <s v="cashloan"/>
    <n v="3146690000"/>
  </r>
  <r>
    <x v="762"/>
    <x v="2"/>
    <x v="1"/>
    <n v="6"/>
    <n v="7"/>
    <x v="30"/>
    <x v="21"/>
    <s v="payday"/>
    <n v="385080000"/>
  </r>
  <r>
    <x v="763"/>
    <x v="2"/>
    <x v="1"/>
    <n v="6"/>
    <n v="8"/>
    <x v="3"/>
    <x v="3"/>
    <s v="cashloan"/>
    <n v="524250000"/>
  </r>
  <r>
    <x v="763"/>
    <x v="2"/>
    <x v="1"/>
    <n v="6"/>
    <n v="8"/>
    <x v="11"/>
    <x v="10"/>
    <s v="paylater"/>
    <n v="476770827"/>
  </r>
  <r>
    <x v="763"/>
    <x v="2"/>
    <x v="1"/>
    <n v="6"/>
    <n v="8"/>
    <x v="12"/>
    <x v="11"/>
    <s v="cashloan"/>
    <n v="12137090000"/>
  </r>
  <r>
    <x v="763"/>
    <x v="2"/>
    <x v="1"/>
    <n v="6"/>
    <n v="8"/>
    <x v="5"/>
    <x v="5"/>
    <s v="overdraft"/>
    <n v="1670104358"/>
  </r>
  <r>
    <x v="763"/>
    <x v="2"/>
    <x v="1"/>
    <n v="6"/>
    <n v="8"/>
    <x v="27"/>
    <x v="19"/>
    <s v="payday"/>
    <n v="10942128000"/>
  </r>
  <r>
    <x v="763"/>
    <x v="2"/>
    <x v="1"/>
    <n v="6"/>
    <n v="8"/>
    <x v="15"/>
    <x v="14"/>
    <s v="paylater"/>
    <n v="26052499"/>
  </r>
  <r>
    <x v="763"/>
    <x v="2"/>
    <x v="1"/>
    <n v="6"/>
    <n v="8"/>
    <x v="31"/>
    <x v="22"/>
    <s v="cashloan"/>
    <n v="0"/>
  </r>
  <r>
    <x v="763"/>
    <x v="2"/>
    <x v="1"/>
    <n v="6"/>
    <n v="8"/>
    <x v="14"/>
    <x v="13"/>
    <s v="cashloan"/>
    <n v="5382910000"/>
  </r>
  <r>
    <x v="763"/>
    <x v="2"/>
    <x v="1"/>
    <n v="6"/>
    <n v="8"/>
    <x v="33"/>
    <x v="13"/>
    <s v="cashloan"/>
    <n v="1057020000"/>
  </r>
  <r>
    <x v="763"/>
    <x v="2"/>
    <x v="1"/>
    <n v="6"/>
    <n v="8"/>
    <x v="23"/>
    <x v="17"/>
    <s v="paylater"/>
    <n v="6988588"/>
  </r>
  <r>
    <x v="763"/>
    <x v="2"/>
    <x v="1"/>
    <n v="6"/>
    <n v="8"/>
    <x v="28"/>
    <x v="17"/>
    <s v="paylater"/>
    <n v="2817674097"/>
  </r>
  <r>
    <x v="763"/>
    <x v="2"/>
    <x v="1"/>
    <n v="6"/>
    <n v="8"/>
    <x v="8"/>
    <x v="8"/>
    <s v="cashloan"/>
    <n v="0"/>
  </r>
  <r>
    <x v="763"/>
    <x v="2"/>
    <x v="1"/>
    <n v="6"/>
    <n v="8"/>
    <x v="26"/>
    <x v="16"/>
    <s v="cashloan"/>
    <n v="46500000"/>
  </r>
  <r>
    <x v="763"/>
    <x v="2"/>
    <x v="1"/>
    <n v="6"/>
    <n v="8"/>
    <x v="32"/>
    <x v="16"/>
    <s v="cashloan"/>
    <n v="0"/>
  </r>
  <r>
    <x v="763"/>
    <x v="2"/>
    <x v="1"/>
    <n v="6"/>
    <n v="8"/>
    <x v="2"/>
    <x v="2"/>
    <s v="cashloan"/>
    <n v="15212350000"/>
  </r>
  <r>
    <x v="763"/>
    <x v="2"/>
    <x v="1"/>
    <n v="6"/>
    <n v="8"/>
    <x v="17"/>
    <x v="9"/>
    <s v="cashloan"/>
    <n v="0"/>
  </r>
  <r>
    <x v="763"/>
    <x v="2"/>
    <x v="1"/>
    <n v="6"/>
    <n v="8"/>
    <x v="20"/>
    <x v="9"/>
    <s v="cashloan"/>
    <n v="0"/>
  </r>
  <r>
    <x v="763"/>
    <x v="2"/>
    <x v="1"/>
    <n v="6"/>
    <n v="8"/>
    <x v="21"/>
    <x v="9"/>
    <s v="cashloan"/>
    <n v="0"/>
  </r>
  <r>
    <x v="763"/>
    <x v="2"/>
    <x v="1"/>
    <n v="6"/>
    <n v="8"/>
    <x v="25"/>
    <x v="2"/>
    <s v="cashloan"/>
    <n v="32100000"/>
  </r>
  <r>
    <x v="763"/>
    <x v="2"/>
    <x v="1"/>
    <n v="6"/>
    <n v="8"/>
    <x v="0"/>
    <x v="0"/>
    <s v="payday"/>
    <n v="9469764000"/>
  </r>
  <r>
    <x v="763"/>
    <x v="2"/>
    <x v="1"/>
    <n v="6"/>
    <n v="8"/>
    <x v="7"/>
    <x v="7"/>
    <s v="paylater"/>
    <n v="245910684"/>
  </r>
  <r>
    <x v="763"/>
    <x v="2"/>
    <x v="1"/>
    <n v="6"/>
    <n v="8"/>
    <x v="1"/>
    <x v="1"/>
    <s v="cashloan"/>
    <n v="21000000"/>
  </r>
  <r>
    <x v="763"/>
    <x v="2"/>
    <x v="1"/>
    <n v="6"/>
    <n v="8"/>
    <x v="6"/>
    <x v="6"/>
    <s v="payday"/>
    <n v="35000000"/>
  </r>
  <r>
    <x v="763"/>
    <x v="2"/>
    <x v="1"/>
    <n v="6"/>
    <n v="8"/>
    <x v="18"/>
    <x v="15"/>
    <s v="cashloan"/>
    <n v="744770000"/>
  </r>
  <r>
    <x v="763"/>
    <x v="2"/>
    <x v="1"/>
    <n v="6"/>
    <n v="8"/>
    <x v="29"/>
    <x v="20"/>
    <s v="payday"/>
    <n v="252396000"/>
  </r>
  <r>
    <x v="763"/>
    <x v="2"/>
    <x v="1"/>
    <n v="6"/>
    <n v="8"/>
    <x v="19"/>
    <x v="12"/>
    <s v="paylater"/>
    <n v="432783363"/>
  </r>
  <r>
    <x v="763"/>
    <x v="2"/>
    <x v="1"/>
    <n v="6"/>
    <n v="8"/>
    <x v="24"/>
    <x v="18"/>
    <s v="cashloan"/>
    <n v="3280360000"/>
  </r>
  <r>
    <x v="763"/>
    <x v="2"/>
    <x v="1"/>
    <n v="6"/>
    <n v="8"/>
    <x v="30"/>
    <x v="21"/>
    <s v="payday"/>
    <n v="370440000"/>
  </r>
  <r>
    <x v="764"/>
    <x v="2"/>
    <x v="1"/>
    <n v="7"/>
    <n v="9"/>
    <x v="3"/>
    <x v="3"/>
    <s v="cashloan"/>
    <n v="777350000"/>
  </r>
  <r>
    <x v="764"/>
    <x v="2"/>
    <x v="1"/>
    <n v="7"/>
    <n v="9"/>
    <x v="11"/>
    <x v="10"/>
    <s v="paylater"/>
    <n v="430705140"/>
  </r>
  <r>
    <x v="764"/>
    <x v="2"/>
    <x v="1"/>
    <n v="7"/>
    <n v="9"/>
    <x v="12"/>
    <x v="11"/>
    <s v="cashloan"/>
    <n v="16102800000"/>
  </r>
  <r>
    <x v="764"/>
    <x v="2"/>
    <x v="1"/>
    <n v="7"/>
    <n v="9"/>
    <x v="5"/>
    <x v="5"/>
    <s v="overdraft"/>
    <n v="2307332000"/>
  </r>
  <r>
    <x v="764"/>
    <x v="2"/>
    <x v="1"/>
    <n v="7"/>
    <n v="9"/>
    <x v="27"/>
    <x v="19"/>
    <s v="payday"/>
    <n v="13561560000"/>
  </r>
  <r>
    <x v="764"/>
    <x v="2"/>
    <x v="1"/>
    <n v="7"/>
    <n v="9"/>
    <x v="15"/>
    <x v="14"/>
    <s v="paylater"/>
    <n v="13958264"/>
  </r>
  <r>
    <x v="764"/>
    <x v="2"/>
    <x v="1"/>
    <n v="7"/>
    <n v="9"/>
    <x v="31"/>
    <x v="22"/>
    <s v="cashloan"/>
    <n v="0"/>
  </r>
  <r>
    <x v="764"/>
    <x v="2"/>
    <x v="1"/>
    <n v="7"/>
    <n v="9"/>
    <x v="14"/>
    <x v="13"/>
    <s v="cashloan"/>
    <n v="5687630000"/>
  </r>
  <r>
    <x v="764"/>
    <x v="2"/>
    <x v="1"/>
    <n v="7"/>
    <n v="9"/>
    <x v="33"/>
    <x v="13"/>
    <s v="cashloan"/>
    <n v="1323600000"/>
  </r>
  <r>
    <x v="764"/>
    <x v="2"/>
    <x v="1"/>
    <n v="7"/>
    <n v="9"/>
    <x v="23"/>
    <x v="17"/>
    <s v="paylater"/>
    <n v="23825640"/>
  </r>
  <r>
    <x v="764"/>
    <x v="2"/>
    <x v="1"/>
    <n v="7"/>
    <n v="9"/>
    <x v="28"/>
    <x v="17"/>
    <s v="paylater"/>
    <n v="2219111867"/>
  </r>
  <r>
    <x v="764"/>
    <x v="2"/>
    <x v="1"/>
    <n v="7"/>
    <n v="9"/>
    <x v="8"/>
    <x v="8"/>
    <s v="cashloan"/>
    <n v="0"/>
  </r>
  <r>
    <x v="764"/>
    <x v="2"/>
    <x v="1"/>
    <n v="7"/>
    <n v="9"/>
    <x v="26"/>
    <x v="16"/>
    <s v="cashloan"/>
    <n v="150500000"/>
  </r>
  <r>
    <x v="764"/>
    <x v="2"/>
    <x v="1"/>
    <n v="7"/>
    <n v="9"/>
    <x v="32"/>
    <x v="16"/>
    <s v="cashloan"/>
    <n v="0"/>
  </r>
  <r>
    <x v="764"/>
    <x v="2"/>
    <x v="1"/>
    <n v="7"/>
    <n v="9"/>
    <x v="2"/>
    <x v="2"/>
    <s v="cashloan"/>
    <n v="20585370000"/>
  </r>
  <r>
    <x v="764"/>
    <x v="2"/>
    <x v="1"/>
    <n v="7"/>
    <n v="9"/>
    <x v="17"/>
    <x v="9"/>
    <s v="cashloan"/>
    <n v="0"/>
  </r>
  <r>
    <x v="764"/>
    <x v="2"/>
    <x v="1"/>
    <n v="7"/>
    <n v="9"/>
    <x v="20"/>
    <x v="9"/>
    <s v="cashloan"/>
    <n v="0"/>
  </r>
  <r>
    <x v="764"/>
    <x v="2"/>
    <x v="1"/>
    <n v="7"/>
    <n v="9"/>
    <x v="21"/>
    <x v="9"/>
    <s v="cashloan"/>
    <n v="0"/>
  </r>
  <r>
    <x v="764"/>
    <x v="2"/>
    <x v="1"/>
    <n v="7"/>
    <n v="9"/>
    <x v="25"/>
    <x v="2"/>
    <s v="cashloan"/>
    <n v="10000000"/>
  </r>
  <r>
    <x v="764"/>
    <x v="2"/>
    <x v="1"/>
    <n v="7"/>
    <n v="9"/>
    <x v="0"/>
    <x v="0"/>
    <s v="payday"/>
    <n v="11518200000"/>
  </r>
  <r>
    <x v="764"/>
    <x v="2"/>
    <x v="1"/>
    <n v="7"/>
    <n v="9"/>
    <x v="7"/>
    <x v="7"/>
    <s v="paylater"/>
    <n v="252108513"/>
  </r>
  <r>
    <x v="764"/>
    <x v="2"/>
    <x v="1"/>
    <n v="7"/>
    <n v="9"/>
    <x v="1"/>
    <x v="1"/>
    <s v="cashloan"/>
    <n v="94000000"/>
  </r>
  <r>
    <x v="764"/>
    <x v="2"/>
    <x v="1"/>
    <n v="7"/>
    <n v="9"/>
    <x v="6"/>
    <x v="6"/>
    <s v="payday"/>
    <n v="44000000"/>
  </r>
  <r>
    <x v="764"/>
    <x v="2"/>
    <x v="1"/>
    <n v="7"/>
    <n v="9"/>
    <x v="18"/>
    <x v="15"/>
    <s v="cashloan"/>
    <n v="1218560000"/>
  </r>
  <r>
    <x v="764"/>
    <x v="2"/>
    <x v="1"/>
    <n v="7"/>
    <n v="9"/>
    <x v="29"/>
    <x v="20"/>
    <s v="payday"/>
    <n v="376488000"/>
  </r>
  <r>
    <x v="764"/>
    <x v="2"/>
    <x v="1"/>
    <n v="7"/>
    <n v="9"/>
    <x v="19"/>
    <x v="12"/>
    <s v="paylater"/>
    <n v="461406552"/>
  </r>
  <r>
    <x v="764"/>
    <x v="2"/>
    <x v="1"/>
    <n v="7"/>
    <n v="9"/>
    <x v="24"/>
    <x v="18"/>
    <s v="cashloan"/>
    <n v="4252950000"/>
  </r>
  <r>
    <x v="764"/>
    <x v="2"/>
    <x v="1"/>
    <n v="7"/>
    <n v="9"/>
    <x v="30"/>
    <x v="21"/>
    <s v="payday"/>
    <n v="421640000"/>
  </r>
  <r>
    <x v="765"/>
    <x v="2"/>
    <x v="1"/>
    <n v="7"/>
    <n v="10"/>
    <x v="3"/>
    <x v="3"/>
    <s v="cashloan"/>
    <n v="944550000"/>
  </r>
  <r>
    <x v="765"/>
    <x v="2"/>
    <x v="1"/>
    <n v="7"/>
    <n v="10"/>
    <x v="11"/>
    <x v="10"/>
    <s v="paylater"/>
    <n v="437028144"/>
  </r>
  <r>
    <x v="765"/>
    <x v="2"/>
    <x v="1"/>
    <n v="7"/>
    <n v="10"/>
    <x v="12"/>
    <x v="11"/>
    <s v="cashloan"/>
    <n v="16196530000"/>
  </r>
  <r>
    <x v="765"/>
    <x v="2"/>
    <x v="1"/>
    <n v="7"/>
    <n v="10"/>
    <x v="5"/>
    <x v="5"/>
    <s v="overdraft"/>
    <n v="2427407614"/>
  </r>
  <r>
    <x v="765"/>
    <x v="2"/>
    <x v="1"/>
    <n v="7"/>
    <n v="10"/>
    <x v="27"/>
    <x v="19"/>
    <s v="payday"/>
    <n v="17914284000"/>
  </r>
  <r>
    <x v="765"/>
    <x v="2"/>
    <x v="1"/>
    <n v="7"/>
    <n v="10"/>
    <x v="15"/>
    <x v="14"/>
    <s v="paylater"/>
    <n v="4878535"/>
  </r>
  <r>
    <x v="765"/>
    <x v="2"/>
    <x v="1"/>
    <n v="7"/>
    <n v="10"/>
    <x v="31"/>
    <x v="22"/>
    <s v="cashloan"/>
    <n v="90000000"/>
  </r>
  <r>
    <x v="765"/>
    <x v="2"/>
    <x v="1"/>
    <n v="7"/>
    <n v="10"/>
    <x v="14"/>
    <x v="13"/>
    <s v="cashloan"/>
    <n v="5553250000"/>
  </r>
  <r>
    <x v="765"/>
    <x v="2"/>
    <x v="1"/>
    <n v="7"/>
    <n v="10"/>
    <x v="33"/>
    <x v="13"/>
    <s v="cashloan"/>
    <n v="1816740000"/>
  </r>
  <r>
    <x v="765"/>
    <x v="2"/>
    <x v="1"/>
    <n v="7"/>
    <n v="10"/>
    <x v="23"/>
    <x v="17"/>
    <s v="paylater"/>
    <n v="16585545"/>
  </r>
  <r>
    <x v="765"/>
    <x v="2"/>
    <x v="1"/>
    <n v="7"/>
    <n v="10"/>
    <x v="28"/>
    <x v="17"/>
    <s v="paylater"/>
    <n v="2363385233"/>
  </r>
  <r>
    <x v="765"/>
    <x v="2"/>
    <x v="1"/>
    <n v="7"/>
    <n v="10"/>
    <x v="8"/>
    <x v="8"/>
    <s v="cashloan"/>
    <n v="0"/>
  </r>
  <r>
    <x v="765"/>
    <x v="2"/>
    <x v="1"/>
    <n v="7"/>
    <n v="10"/>
    <x v="26"/>
    <x v="16"/>
    <s v="cashloan"/>
    <n v="128250000"/>
  </r>
  <r>
    <x v="765"/>
    <x v="2"/>
    <x v="1"/>
    <n v="7"/>
    <n v="10"/>
    <x v="32"/>
    <x v="16"/>
    <s v="cashloan"/>
    <n v="0"/>
  </r>
  <r>
    <x v="765"/>
    <x v="2"/>
    <x v="1"/>
    <n v="7"/>
    <n v="10"/>
    <x v="2"/>
    <x v="2"/>
    <s v="cashloan"/>
    <n v="22447140000"/>
  </r>
  <r>
    <x v="765"/>
    <x v="2"/>
    <x v="1"/>
    <n v="7"/>
    <n v="10"/>
    <x v="17"/>
    <x v="9"/>
    <s v="cashloan"/>
    <n v="0"/>
  </r>
  <r>
    <x v="765"/>
    <x v="2"/>
    <x v="1"/>
    <n v="7"/>
    <n v="10"/>
    <x v="20"/>
    <x v="9"/>
    <s v="cashloan"/>
    <n v="0"/>
  </r>
  <r>
    <x v="765"/>
    <x v="2"/>
    <x v="1"/>
    <n v="7"/>
    <n v="10"/>
    <x v="21"/>
    <x v="9"/>
    <s v="cashloan"/>
    <n v="0"/>
  </r>
  <r>
    <x v="765"/>
    <x v="2"/>
    <x v="1"/>
    <n v="7"/>
    <n v="10"/>
    <x v="25"/>
    <x v="2"/>
    <s v="cashloan"/>
    <n v="5000000"/>
  </r>
  <r>
    <x v="765"/>
    <x v="2"/>
    <x v="1"/>
    <n v="7"/>
    <n v="10"/>
    <x v="0"/>
    <x v="0"/>
    <s v="payday"/>
    <n v="16601760000"/>
  </r>
  <r>
    <x v="765"/>
    <x v="2"/>
    <x v="1"/>
    <n v="7"/>
    <n v="10"/>
    <x v="7"/>
    <x v="7"/>
    <s v="paylater"/>
    <n v="263184392"/>
  </r>
  <r>
    <x v="765"/>
    <x v="2"/>
    <x v="1"/>
    <n v="7"/>
    <n v="10"/>
    <x v="1"/>
    <x v="1"/>
    <s v="cashloan"/>
    <n v="52500000"/>
  </r>
  <r>
    <x v="765"/>
    <x v="2"/>
    <x v="1"/>
    <n v="7"/>
    <n v="10"/>
    <x v="6"/>
    <x v="6"/>
    <s v="payday"/>
    <n v="77000000"/>
  </r>
  <r>
    <x v="765"/>
    <x v="2"/>
    <x v="1"/>
    <n v="7"/>
    <n v="10"/>
    <x v="18"/>
    <x v="15"/>
    <s v="cashloan"/>
    <n v="1239540000"/>
  </r>
  <r>
    <x v="765"/>
    <x v="2"/>
    <x v="1"/>
    <n v="7"/>
    <n v="10"/>
    <x v="29"/>
    <x v="20"/>
    <s v="payday"/>
    <n v="437400000"/>
  </r>
  <r>
    <x v="765"/>
    <x v="2"/>
    <x v="1"/>
    <n v="7"/>
    <n v="10"/>
    <x v="19"/>
    <x v="12"/>
    <s v="paylater"/>
    <n v="531809759"/>
  </r>
  <r>
    <x v="765"/>
    <x v="2"/>
    <x v="1"/>
    <n v="7"/>
    <n v="10"/>
    <x v="24"/>
    <x v="18"/>
    <s v="cashloan"/>
    <n v="4441820000"/>
  </r>
  <r>
    <x v="765"/>
    <x v="2"/>
    <x v="1"/>
    <n v="7"/>
    <n v="10"/>
    <x v="30"/>
    <x v="21"/>
    <s v="payday"/>
    <n v="450640000"/>
  </r>
  <r>
    <x v="766"/>
    <x v="2"/>
    <x v="1"/>
    <n v="7"/>
    <n v="11"/>
    <x v="3"/>
    <x v="3"/>
    <s v="cashloan"/>
    <n v="884450000"/>
  </r>
  <r>
    <x v="766"/>
    <x v="2"/>
    <x v="1"/>
    <n v="7"/>
    <n v="11"/>
    <x v="11"/>
    <x v="10"/>
    <s v="paylater"/>
    <n v="410495563"/>
  </r>
  <r>
    <x v="766"/>
    <x v="2"/>
    <x v="1"/>
    <n v="7"/>
    <n v="11"/>
    <x v="12"/>
    <x v="11"/>
    <s v="cashloan"/>
    <n v="15446610000"/>
  </r>
  <r>
    <x v="766"/>
    <x v="2"/>
    <x v="1"/>
    <n v="7"/>
    <n v="11"/>
    <x v="5"/>
    <x v="5"/>
    <s v="overdraft"/>
    <n v="2518304147"/>
  </r>
  <r>
    <x v="766"/>
    <x v="2"/>
    <x v="1"/>
    <n v="7"/>
    <n v="11"/>
    <x v="27"/>
    <x v="19"/>
    <s v="payday"/>
    <n v="14549760000"/>
  </r>
  <r>
    <x v="766"/>
    <x v="2"/>
    <x v="1"/>
    <n v="7"/>
    <n v="11"/>
    <x v="15"/>
    <x v="14"/>
    <s v="paylater"/>
    <n v="8878861"/>
  </r>
  <r>
    <x v="766"/>
    <x v="2"/>
    <x v="1"/>
    <n v="7"/>
    <n v="11"/>
    <x v="31"/>
    <x v="22"/>
    <s v="cashloan"/>
    <n v="0"/>
  </r>
  <r>
    <x v="766"/>
    <x v="2"/>
    <x v="1"/>
    <n v="7"/>
    <n v="11"/>
    <x v="14"/>
    <x v="13"/>
    <s v="cashloan"/>
    <n v="5167060000"/>
  </r>
  <r>
    <x v="766"/>
    <x v="2"/>
    <x v="1"/>
    <n v="7"/>
    <n v="11"/>
    <x v="33"/>
    <x v="13"/>
    <s v="cashloan"/>
    <n v="1733810000"/>
  </r>
  <r>
    <x v="766"/>
    <x v="2"/>
    <x v="1"/>
    <n v="7"/>
    <n v="11"/>
    <x v="23"/>
    <x v="17"/>
    <s v="paylater"/>
    <n v="11337900"/>
  </r>
  <r>
    <x v="766"/>
    <x v="2"/>
    <x v="1"/>
    <n v="7"/>
    <n v="11"/>
    <x v="28"/>
    <x v="17"/>
    <s v="paylater"/>
    <n v="2163121408"/>
  </r>
  <r>
    <x v="766"/>
    <x v="2"/>
    <x v="1"/>
    <n v="7"/>
    <n v="11"/>
    <x v="8"/>
    <x v="8"/>
    <s v="cashloan"/>
    <n v="0"/>
  </r>
  <r>
    <x v="766"/>
    <x v="2"/>
    <x v="1"/>
    <n v="7"/>
    <n v="11"/>
    <x v="26"/>
    <x v="16"/>
    <s v="cashloan"/>
    <n v="117000000"/>
  </r>
  <r>
    <x v="766"/>
    <x v="2"/>
    <x v="1"/>
    <n v="7"/>
    <n v="11"/>
    <x v="32"/>
    <x v="16"/>
    <s v="cashloan"/>
    <n v="0"/>
  </r>
  <r>
    <x v="766"/>
    <x v="2"/>
    <x v="1"/>
    <n v="7"/>
    <n v="11"/>
    <x v="2"/>
    <x v="2"/>
    <s v="cashloan"/>
    <n v="20131040000"/>
  </r>
  <r>
    <x v="766"/>
    <x v="2"/>
    <x v="1"/>
    <n v="7"/>
    <n v="11"/>
    <x v="17"/>
    <x v="9"/>
    <s v="cashloan"/>
    <n v="0"/>
  </r>
  <r>
    <x v="766"/>
    <x v="2"/>
    <x v="1"/>
    <n v="7"/>
    <n v="11"/>
    <x v="20"/>
    <x v="9"/>
    <s v="cashloan"/>
    <n v="0"/>
  </r>
  <r>
    <x v="766"/>
    <x v="2"/>
    <x v="1"/>
    <n v="7"/>
    <n v="11"/>
    <x v="21"/>
    <x v="9"/>
    <s v="cashloan"/>
    <n v="0"/>
  </r>
  <r>
    <x v="766"/>
    <x v="2"/>
    <x v="1"/>
    <n v="7"/>
    <n v="11"/>
    <x v="25"/>
    <x v="2"/>
    <s v="cashloan"/>
    <n v="30000000"/>
  </r>
  <r>
    <x v="766"/>
    <x v="2"/>
    <x v="1"/>
    <n v="7"/>
    <n v="11"/>
    <x v="0"/>
    <x v="0"/>
    <s v="payday"/>
    <n v="14314212000"/>
  </r>
  <r>
    <x v="766"/>
    <x v="2"/>
    <x v="1"/>
    <n v="7"/>
    <n v="11"/>
    <x v="7"/>
    <x v="7"/>
    <s v="paylater"/>
    <n v="217746686"/>
  </r>
  <r>
    <x v="766"/>
    <x v="2"/>
    <x v="1"/>
    <n v="7"/>
    <n v="11"/>
    <x v="1"/>
    <x v="1"/>
    <s v="cashloan"/>
    <n v="26250000"/>
  </r>
  <r>
    <x v="766"/>
    <x v="2"/>
    <x v="1"/>
    <n v="7"/>
    <n v="11"/>
    <x v="6"/>
    <x v="6"/>
    <s v="payday"/>
    <n v="41000000"/>
  </r>
  <r>
    <x v="766"/>
    <x v="2"/>
    <x v="1"/>
    <n v="7"/>
    <n v="11"/>
    <x v="18"/>
    <x v="15"/>
    <s v="cashloan"/>
    <n v="1090080000"/>
  </r>
  <r>
    <x v="766"/>
    <x v="2"/>
    <x v="1"/>
    <n v="7"/>
    <n v="11"/>
    <x v="29"/>
    <x v="20"/>
    <s v="payday"/>
    <n v="388692000"/>
  </r>
  <r>
    <x v="766"/>
    <x v="2"/>
    <x v="1"/>
    <n v="7"/>
    <n v="11"/>
    <x v="19"/>
    <x v="12"/>
    <s v="paylater"/>
    <n v="380520888"/>
  </r>
  <r>
    <x v="766"/>
    <x v="2"/>
    <x v="1"/>
    <n v="7"/>
    <n v="11"/>
    <x v="24"/>
    <x v="18"/>
    <s v="cashloan"/>
    <n v="4042080000"/>
  </r>
  <r>
    <x v="766"/>
    <x v="2"/>
    <x v="1"/>
    <n v="7"/>
    <n v="11"/>
    <x v="30"/>
    <x v="21"/>
    <s v="payday"/>
    <n v="414560000"/>
  </r>
  <r>
    <x v="767"/>
    <x v="2"/>
    <x v="1"/>
    <n v="7"/>
    <n v="12"/>
    <x v="3"/>
    <x v="3"/>
    <s v="cashloan"/>
    <n v="679300000"/>
  </r>
  <r>
    <x v="767"/>
    <x v="2"/>
    <x v="1"/>
    <n v="7"/>
    <n v="12"/>
    <x v="11"/>
    <x v="10"/>
    <s v="paylater"/>
    <n v="339242997"/>
  </r>
  <r>
    <x v="767"/>
    <x v="2"/>
    <x v="1"/>
    <n v="7"/>
    <n v="12"/>
    <x v="12"/>
    <x v="11"/>
    <s v="cashloan"/>
    <n v="15537640000"/>
  </r>
  <r>
    <x v="767"/>
    <x v="2"/>
    <x v="1"/>
    <n v="7"/>
    <n v="12"/>
    <x v="5"/>
    <x v="5"/>
    <s v="overdraft"/>
    <n v="2012131802"/>
  </r>
  <r>
    <x v="767"/>
    <x v="2"/>
    <x v="1"/>
    <n v="7"/>
    <n v="12"/>
    <x v="27"/>
    <x v="19"/>
    <s v="payday"/>
    <n v="14688324000"/>
  </r>
  <r>
    <x v="767"/>
    <x v="2"/>
    <x v="1"/>
    <n v="7"/>
    <n v="12"/>
    <x v="15"/>
    <x v="14"/>
    <s v="paylater"/>
    <n v="10206317"/>
  </r>
  <r>
    <x v="767"/>
    <x v="2"/>
    <x v="1"/>
    <n v="7"/>
    <n v="12"/>
    <x v="31"/>
    <x v="22"/>
    <s v="cashloan"/>
    <n v="60000000"/>
  </r>
  <r>
    <x v="767"/>
    <x v="2"/>
    <x v="1"/>
    <n v="7"/>
    <n v="12"/>
    <x v="14"/>
    <x v="13"/>
    <s v="cashloan"/>
    <n v="5803230000"/>
  </r>
  <r>
    <x v="767"/>
    <x v="2"/>
    <x v="1"/>
    <n v="7"/>
    <n v="12"/>
    <x v="33"/>
    <x v="13"/>
    <s v="cashloan"/>
    <n v="1310970000"/>
  </r>
  <r>
    <x v="767"/>
    <x v="2"/>
    <x v="1"/>
    <n v="7"/>
    <n v="12"/>
    <x v="23"/>
    <x v="17"/>
    <s v="paylater"/>
    <n v="11743716"/>
  </r>
  <r>
    <x v="767"/>
    <x v="2"/>
    <x v="1"/>
    <n v="7"/>
    <n v="12"/>
    <x v="28"/>
    <x v="17"/>
    <s v="paylater"/>
    <n v="1861858527"/>
  </r>
  <r>
    <x v="767"/>
    <x v="2"/>
    <x v="1"/>
    <n v="7"/>
    <n v="12"/>
    <x v="8"/>
    <x v="8"/>
    <s v="cashloan"/>
    <n v="0"/>
  </r>
  <r>
    <x v="767"/>
    <x v="2"/>
    <x v="1"/>
    <n v="7"/>
    <n v="12"/>
    <x v="26"/>
    <x v="16"/>
    <s v="cashloan"/>
    <n v="95050000"/>
  </r>
  <r>
    <x v="767"/>
    <x v="2"/>
    <x v="1"/>
    <n v="7"/>
    <n v="12"/>
    <x v="32"/>
    <x v="16"/>
    <s v="cashloan"/>
    <n v="51500000"/>
  </r>
  <r>
    <x v="767"/>
    <x v="2"/>
    <x v="1"/>
    <n v="7"/>
    <n v="12"/>
    <x v="2"/>
    <x v="2"/>
    <s v="cashloan"/>
    <n v="17810790000"/>
  </r>
  <r>
    <x v="767"/>
    <x v="2"/>
    <x v="1"/>
    <n v="7"/>
    <n v="12"/>
    <x v="17"/>
    <x v="9"/>
    <s v="cashloan"/>
    <n v="0"/>
  </r>
  <r>
    <x v="767"/>
    <x v="2"/>
    <x v="1"/>
    <n v="7"/>
    <n v="12"/>
    <x v="20"/>
    <x v="9"/>
    <s v="cashloan"/>
    <n v="0"/>
  </r>
  <r>
    <x v="767"/>
    <x v="2"/>
    <x v="1"/>
    <n v="7"/>
    <n v="12"/>
    <x v="21"/>
    <x v="9"/>
    <s v="cashloan"/>
    <n v="0"/>
  </r>
  <r>
    <x v="767"/>
    <x v="2"/>
    <x v="1"/>
    <n v="7"/>
    <n v="12"/>
    <x v="25"/>
    <x v="2"/>
    <s v="cashloan"/>
    <n v="0"/>
  </r>
  <r>
    <x v="767"/>
    <x v="2"/>
    <x v="1"/>
    <n v="7"/>
    <n v="12"/>
    <x v="0"/>
    <x v="0"/>
    <s v="payday"/>
    <n v="14012568000"/>
  </r>
  <r>
    <x v="767"/>
    <x v="2"/>
    <x v="1"/>
    <n v="7"/>
    <n v="12"/>
    <x v="7"/>
    <x v="7"/>
    <s v="paylater"/>
    <n v="187290414"/>
  </r>
  <r>
    <x v="767"/>
    <x v="2"/>
    <x v="1"/>
    <n v="7"/>
    <n v="12"/>
    <x v="1"/>
    <x v="1"/>
    <s v="cashloan"/>
    <n v="31500000"/>
  </r>
  <r>
    <x v="767"/>
    <x v="2"/>
    <x v="1"/>
    <n v="7"/>
    <n v="12"/>
    <x v="6"/>
    <x v="6"/>
    <s v="payday"/>
    <n v="59000000"/>
  </r>
  <r>
    <x v="767"/>
    <x v="2"/>
    <x v="1"/>
    <n v="7"/>
    <n v="12"/>
    <x v="18"/>
    <x v="15"/>
    <s v="cashloan"/>
    <n v="825110000"/>
  </r>
  <r>
    <x v="767"/>
    <x v="2"/>
    <x v="1"/>
    <n v="7"/>
    <n v="12"/>
    <x v="29"/>
    <x v="20"/>
    <s v="payday"/>
    <n v="367092000"/>
  </r>
  <r>
    <x v="767"/>
    <x v="2"/>
    <x v="1"/>
    <n v="7"/>
    <n v="12"/>
    <x v="19"/>
    <x v="12"/>
    <s v="paylater"/>
    <n v="299647278"/>
  </r>
  <r>
    <x v="767"/>
    <x v="2"/>
    <x v="1"/>
    <n v="7"/>
    <n v="12"/>
    <x v="24"/>
    <x v="18"/>
    <s v="cashloan"/>
    <n v="3647310000"/>
  </r>
  <r>
    <x v="767"/>
    <x v="2"/>
    <x v="1"/>
    <n v="7"/>
    <n v="12"/>
    <x v="30"/>
    <x v="21"/>
    <s v="payday"/>
    <n v="510520000"/>
  </r>
  <r>
    <x v="768"/>
    <x v="2"/>
    <x v="1"/>
    <n v="7"/>
    <n v="13"/>
    <x v="3"/>
    <x v="3"/>
    <s v="cashloan"/>
    <n v="780600000"/>
  </r>
  <r>
    <x v="768"/>
    <x v="2"/>
    <x v="1"/>
    <n v="7"/>
    <n v="13"/>
    <x v="11"/>
    <x v="10"/>
    <s v="paylater"/>
    <n v="313771001"/>
  </r>
  <r>
    <x v="768"/>
    <x v="2"/>
    <x v="1"/>
    <n v="7"/>
    <n v="13"/>
    <x v="12"/>
    <x v="11"/>
    <s v="cashloan"/>
    <n v="14101730000"/>
  </r>
  <r>
    <x v="768"/>
    <x v="2"/>
    <x v="1"/>
    <n v="7"/>
    <n v="13"/>
    <x v="5"/>
    <x v="5"/>
    <s v="overdraft"/>
    <n v="2129790209"/>
  </r>
  <r>
    <x v="768"/>
    <x v="2"/>
    <x v="1"/>
    <n v="7"/>
    <n v="13"/>
    <x v="27"/>
    <x v="19"/>
    <s v="payday"/>
    <n v="14502564000"/>
  </r>
  <r>
    <x v="768"/>
    <x v="2"/>
    <x v="1"/>
    <n v="7"/>
    <n v="13"/>
    <x v="15"/>
    <x v="14"/>
    <s v="paylater"/>
    <n v="2973908"/>
  </r>
  <r>
    <x v="768"/>
    <x v="2"/>
    <x v="1"/>
    <n v="7"/>
    <n v="13"/>
    <x v="31"/>
    <x v="22"/>
    <s v="cashloan"/>
    <n v="0"/>
  </r>
  <r>
    <x v="768"/>
    <x v="2"/>
    <x v="1"/>
    <n v="7"/>
    <n v="13"/>
    <x v="14"/>
    <x v="13"/>
    <s v="cashloan"/>
    <n v="5407130000"/>
  </r>
  <r>
    <x v="768"/>
    <x v="2"/>
    <x v="1"/>
    <n v="7"/>
    <n v="13"/>
    <x v="33"/>
    <x v="13"/>
    <s v="cashloan"/>
    <n v="1812790000"/>
  </r>
  <r>
    <x v="768"/>
    <x v="2"/>
    <x v="1"/>
    <n v="7"/>
    <n v="13"/>
    <x v="23"/>
    <x v="17"/>
    <s v="paylater"/>
    <n v="23918164"/>
  </r>
  <r>
    <x v="768"/>
    <x v="2"/>
    <x v="1"/>
    <n v="7"/>
    <n v="13"/>
    <x v="28"/>
    <x v="17"/>
    <s v="paylater"/>
    <n v="1673245815"/>
  </r>
  <r>
    <x v="768"/>
    <x v="2"/>
    <x v="1"/>
    <n v="7"/>
    <n v="13"/>
    <x v="8"/>
    <x v="8"/>
    <s v="cashloan"/>
    <n v="0"/>
  </r>
  <r>
    <x v="768"/>
    <x v="2"/>
    <x v="1"/>
    <n v="7"/>
    <n v="13"/>
    <x v="26"/>
    <x v="16"/>
    <s v="cashloan"/>
    <n v="171750000"/>
  </r>
  <r>
    <x v="768"/>
    <x v="2"/>
    <x v="1"/>
    <n v="7"/>
    <n v="13"/>
    <x v="32"/>
    <x v="16"/>
    <s v="cashloan"/>
    <n v="0"/>
  </r>
  <r>
    <x v="768"/>
    <x v="2"/>
    <x v="1"/>
    <n v="7"/>
    <n v="13"/>
    <x v="2"/>
    <x v="2"/>
    <s v="cashloan"/>
    <n v="18195930000"/>
  </r>
  <r>
    <x v="768"/>
    <x v="2"/>
    <x v="1"/>
    <n v="7"/>
    <n v="13"/>
    <x v="17"/>
    <x v="9"/>
    <s v="cashloan"/>
    <n v="0"/>
  </r>
  <r>
    <x v="768"/>
    <x v="2"/>
    <x v="1"/>
    <n v="7"/>
    <n v="13"/>
    <x v="20"/>
    <x v="9"/>
    <s v="cashloan"/>
    <n v="0"/>
  </r>
  <r>
    <x v="768"/>
    <x v="2"/>
    <x v="1"/>
    <n v="7"/>
    <n v="13"/>
    <x v="21"/>
    <x v="9"/>
    <s v="cashloan"/>
    <n v="0"/>
  </r>
  <r>
    <x v="768"/>
    <x v="2"/>
    <x v="1"/>
    <n v="7"/>
    <n v="13"/>
    <x v="25"/>
    <x v="2"/>
    <s v="cashloan"/>
    <n v="0"/>
  </r>
  <r>
    <x v="768"/>
    <x v="2"/>
    <x v="1"/>
    <n v="7"/>
    <n v="13"/>
    <x v="0"/>
    <x v="0"/>
    <s v="payday"/>
    <n v="14592420000"/>
  </r>
  <r>
    <x v="768"/>
    <x v="2"/>
    <x v="1"/>
    <n v="7"/>
    <n v="13"/>
    <x v="7"/>
    <x v="7"/>
    <s v="paylater"/>
    <n v="218166026"/>
  </r>
  <r>
    <x v="768"/>
    <x v="2"/>
    <x v="1"/>
    <n v="7"/>
    <n v="13"/>
    <x v="1"/>
    <x v="1"/>
    <s v="cashloan"/>
    <n v="93500000"/>
  </r>
  <r>
    <x v="768"/>
    <x v="2"/>
    <x v="1"/>
    <n v="7"/>
    <n v="13"/>
    <x v="6"/>
    <x v="6"/>
    <s v="payday"/>
    <n v="84000000"/>
  </r>
  <r>
    <x v="768"/>
    <x v="2"/>
    <x v="1"/>
    <n v="7"/>
    <n v="13"/>
    <x v="18"/>
    <x v="15"/>
    <s v="cashloan"/>
    <n v="1116740000"/>
  </r>
  <r>
    <x v="768"/>
    <x v="2"/>
    <x v="1"/>
    <n v="7"/>
    <n v="13"/>
    <x v="29"/>
    <x v="20"/>
    <s v="payday"/>
    <n v="430812000"/>
  </r>
  <r>
    <x v="768"/>
    <x v="2"/>
    <x v="1"/>
    <n v="7"/>
    <n v="13"/>
    <x v="19"/>
    <x v="12"/>
    <s v="paylater"/>
    <n v="332005724"/>
  </r>
  <r>
    <x v="768"/>
    <x v="2"/>
    <x v="1"/>
    <n v="7"/>
    <n v="13"/>
    <x v="24"/>
    <x v="18"/>
    <s v="cashloan"/>
    <n v="3427090000"/>
  </r>
  <r>
    <x v="768"/>
    <x v="2"/>
    <x v="1"/>
    <n v="7"/>
    <n v="13"/>
    <x v="30"/>
    <x v="21"/>
    <s v="payday"/>
    <n v="414560000"/>
  </r>
  <r>
    <x v="769"/>
    <x v="2"/>
    <x v="1"/>
    <n v="7"/>
    <n v="14"/>
    <x v="3"/>
    <x v="3"/>
    <s v="cashloan"/>
    <n v="355550000"/>
  </r>
  <r>
    <x v="769"/>
    <x v="2"/>
    <x v="1"/>
    <n v="7"/>
    <n v="14"/>
    <x v="11"/>
    <x v="10"/>
    <s v="paylater"/>
    <n v="258786164"/>
  </r>
  <r>
    <x v="769"/>
    <x v="2"/>
    <x v="1"/>
    <n v="7"/>
    <n v="14"/>
    <x v="12"/>
    <x v="11"/>
    <s v="cashloan"/>
    <n v="9592520000"/>
  </r>
  <r>
    <x v="769"/>
    <x v="2"/>
    <x v="1"/>
    <n v="7"/>
    <n v="14"/>
    <x v="5"/>
    <x v="5"/>
    <s v="overdraft"/>
    <n v="1672196713"/>
  </r>
  <r>
    <x v="769"/>
    <x v="2"/>
    <x v="1"/>
    <n v="7"/>
    <n v="14"/>
    <x v="27"/>
    <x v="19"/>
    <s v="payday"/>
    <n v="11142144000"/>
  </r>
  <r>
    <x v="769"/>
    <x v="2"/>
    <x v="1"/>
    <n v="7"/>
    <n v="14"/>
    <x v="15"/>
    <x v="14"/>
    <s v="paylater"/>
    <n v="1402475"/>
  </r>
  <r>
    <x v="769"/>
    <x v="2"/>
    <x v="1"/>
    <n v="7"/>
    <n v="14"/>
    <x v="31"/>
    <x v="22"/>
    <s v="cashloan"/>
    <n v="0"/>
  </r>
  <r>
    <x v="769"/>
    <x v="2"/>
    <x v="1"/>
    <n v="7"/>
    <n v="14"/>
    <x v="14"/>
    <x v="13"/>
    <s v="cashloan"/>
    <n v="3394570000"/>
  </r>
  <r>
    <x v="769"/>
    <x v="2"/>
    <x v="1"/>
    <n v="7"/>
    <n v="14"/>
    <x v="33"/>
    <x v="13"/>
    <s v="cashloan"/>
    <n v="861650000"/>
  </r>
  <r>
    <x v="769"/>
    <x v="2"/>
    <x v="1"/>
    <n v="7"/>
    <n v="14"/>
    <x v="23"/>
    <x v="17"/>
    <s v="paylater"/>
    <n v="22600147"/>
  </r>
  <r>
    <x v="769"/>
    <x v="2"/>
    <x v="1"/>
    <n v="7"/>
    <n v="14"/>
    <x v="28"/>
    <x v="17"/>
    <s v="paylater"/>
    <n v="1558512862"/>
  </r>
  <r>
    <x v="769"/>
    <x v="2"/>
    <x v="1"/>
    <n v="7"/>
    <n v="14"/>
    <x v="8"/>
    <x v="8"/>
    <s v="cashloan"/>
    <n v="0"/>
  </r>
  <r>
    <x v="769"/>
    <x v="2"/>
    <x v="1"/>
    <n v="7"/>
    <n v="14"/>
    <x v="26"/>
    <x v="16"/>
    <s v="cashloan"/>
    <n v="63000000"/>
  </r>
  <r>
    <x v="769"/>
    <x v="2"/>
    <x v="1"/>
    <n v="7"/>
    <n v="14"/>
    <x v="32"/>
    <x v="16"/>
    <s v="cashloan"/>
    <n v="83430000"/>
  </r>
  <r>
    <x v="769"/>
    <x v="2"/>
    <x v="1"/>
    <n v="7"/>
    <n v="14"/>
    <x v="2"/>
    <x v="2"/>
    <s v="cashloan"/>
    <n v="12781040000"/>
  </r>
  <r>
    <x v="769"/>
    <x v="2"/>
    <x v="1"/>
    <n v="7"/>
    <n v="14"/>
    <x v="17"/>
    <x v="9"/>
    <s v="cashloan"/>
    <n v="0"/>
  </r>
  <r>
    <x v="769"/>
    <x v="2"/>
    <x v="1"/>
    <n v="7"/>
    <n v="14"/>
    <x v="20"/>
    <x v="9"/>
    <s v="cashloan"/>
    <n v="0"/>
  </r>
  <r>
    <x v="769"/>
    <x v="2"/>
    <x v="1"/>
    <n v="7"/>
    <n v="14"/>
    <x v="21"/>
    <x v="9"/>
    <s v="cashloan"/>
    <n v="0"/>
  </r>
  <r>
    <x v="769"/>
    <x v="2"/>
    <x v="1"/>
    <n v="7"/>
    <n v="14"/>
    <x v="25"/>
    <x v="2"/>
    <s v="cashloan"/>
    <n v="0"/>
  </r>
  <r>
    <x v="769"/>
    <x v="2"/>
    <x v="1"/>
    <n v="7"/>
    <n v="14"/>
    <x v="0"/>
    <x v="0"/>
    <s v="payday"/>
    <n v="12411684000"/>
  </r>
  <r>
    <x v="769"/>
    <x v="2"/>
    <x v="1"/>
    <n v="7"/>
    <n v="14"/>
    <x v="7"/>
    <x v="7"/>
    <s v="paylater"/>
    <n v="148151559"/>
  </r>
  <r>
    <x v="769"/>
    <x v="2"/>
    <x v="1"/>
    <n v="7"/>
    <n v="14"/>
    <x v="1"/>
    <x v="1"/>
    <s v="cashloan"/>
    <n v="41000000"/>
  </r>
  <r>
    <x v="769"/>
    <x v="2"/>
    <x v="1"/>
    <n v="7"/>
    <n v="14"/>
    <x v="6"/>
    <x v="6"/>
    <s v="payday"/>
    <n v="41000000"/>
  </r>
  <r>
    <x v="769"/>
    <x v="2"/>
    <x v="1"/>
    <n v="7"/>
    <n v="14"/>
    <x v="18"/>
    <x v="15"/>
    <s v="cashloan"/>
    <n v="768680000"/>
  </r>
  <r>
    <x v="769"/>
    <x v="2"/>
    <x v="1"/>
    <n v="7"/>
    <n v="14"/>
    <x v="29"/>
    <x v="20"/>
    <s v="payday"/>
    <n v="248076000"/>
  </r>
  <r>
    <x v="769"/>
    <x v="2"/>
    <x v="1"/>
    <n v="7"/>
    <n v="14"/>
    <x v="19"/>
    <x v="12"/>
    <s v="paylater"/>
    <n v="293908630"/>
  </r>
  <r>
    <x v="769"/>
    <x v="2"/>
    <x v="1"/>
    <n v="7"/>
    <n v="14"/>
    <x v="24"/>
    <x v="18"/>
    <s v="cashloan"/>
    <n v="2288510000"/>
  </r>
  <r>
    <x v="769"/>
    <x v="2"/>
    <x v="1"/>
    <n v="7"/>
    <n v="14"/>
    <x v="30"/>
    <x v="21"/>
    <s v="payday"/>
    <n v="517320000"/>
  </r>
  <r>
    <x v="770"/>
    <x v="2"/>
    <x v="1"/>
    <n v="7"/>
    <n v="15"/>
    <x v="3"/>
    <x v="3"/>
    <s v="cashloan"/>
    <n v="377750000"/>
  </r>
  <r>
    <x v="770"/>
    <x v="2"/>
    <x v="1"/>
    <n v="7"/>
    <n v="15"/>
    <x v="11"/>
    <x v="10"/>
    <s v="paylater"/>
    <n v="200480969"/>
  </r>
  <r>
    <x v="770"/>
    <x v="2"/>
    <x v="1"/>
    <n v="7"/>
    <n v="15"/>
    <x v="12"/>
    <x v="11"/>
    <s v="cashloan"/>
    <n v="7767740000"/>
  </r>
  <r>
    <x v="770"/>
    <x v="2"/>
    <x v="1"/>
    <n v="7"/>
    <n v="15"/>
    <x v="5"/>
    <x v="5"/>
    <s v="overdraft"/>
    <n v="1507132265"/>
  </r>
  <r>
    <x v="770"/>
    <x v="2"/>
    <x v="1"/>
    <n v="7"/>
    <n v="15"/>
    <x v="27"/>
    <x v="19"/>
    <s v="payday"/>
    <n v="10136556000"/>
  </r>
  <r>
    <x v="770"/>
    <x v="2"/>
    <x v="1"/>
    <n v="7"/>
    <n v="15"/>
    <x v="15"/>
    <x v="14"/>
    <s v="paylater"/>
    <n v="714476"/>
  </r>
  <r>
    <x v="770"/>
    <x v="2"/>
    <x v="1"/>
    <n v="7"/>
    <n v="15"/>
    <x v="31"/>
    <x v="22"/>
    <s v="cashloan"/>
    <n v="0"/>
  </r>
  <r>
    <x v="770"/>
    <x v="2"/>
    <x v="1"/>
    <n v="7"/>
    <n v="15"/>
    <x v="14"/>
    <x v="13"/>
    <s v="cashloan"/>
    <n v="2025270000"/>
  </r>
  <r>
    <x v="770"/>
    <x v="2"/>
    <x v="1"/>
    <n v="7"/>
    <n v="15"/>
    <x v="33"/>
    <x v="13"/>
    <s v="cashloan"/>
    <n v="448410000"/>
  </r>
  <r>
    <x v="770"/>
    <x v="2"/>
    <x v="1"/>
    <n v="7"/>
    <n v="15"/>
    <x v="23"/>
    <x v="17"/>
    <s v="paylater"/>
    <n v="9994370"/>
  </r>
  <r>
    <x v="770"/>
    <x v="2"/>
    <x v="1"/>
    <n v="7"/>
    <n v="15"/>
    <x v="28"/>
    <x v="17"/>
    <s v="paylater"/>
    <n v="1094880452"/>
  </r>
  <r>
    <x v="770"/>
    <x v="2"/>
    <x v="1"/>
    <n v="7"/>
    <n v="15"/>
    <x v="8"/>
    <x v="8"/>
    <s v="cashloan"/>
    <n v="0"/>
  </r>
  <r>
    <x v="770"/>
    <x v="2"/>
    <x v="1"/>
    <n v="7"/>
    <n v="15"/>
    <x v="26"/>
    <x v="16"/>
    <s v="cashloan"/>
    <n v="110250000"/>
  </r>
  <r>
    <x v="770"/>
    <x v="2"/>
    <x v="1"/>
    <n v="7"/>
    <n v="15"/>
    <x v="32"/>
    <x v="16"/>
    <s v="cashloan"/>
    <n v="0"/>
  </r>
  <r>
    <x v="770"/>
    <x v="2"/>
    <x v="1"/>
    <n v="7"/>
    <n v="15"/>
    <x v="2"/>
    <x v="2"/>
    <s v="cashloan"/>
    <n v="10542680000"/>
  </r>
  <r>
    <x v="770"/>
    <x v="2"/>
    <x v="1"/>
    <n v="7"/>
    <n v="15"/>
    <x v="17"/>
    <x v="9"/>
    <s v="cashloan"/>
    <n v="0"/>
  </r>
  <r>
    <x v="770"/>
    <x v="2"/>
    <x v="1"/>
    <n v="7"/>
    <n v="15"/>
    <x v="20"/>
    <x v="9"/>
    <s v="cashloan"/>
    <n v="0"/>
  </r>
  <r>
    <x v="770"/>
    <x v="2"/>
    <x v="1"/>
    <n v="7"/>
    <n v="15"/>
    <x v="21"/>
    <x v="9"/>
    <s v="cashloan"/>
    <n v="0"/>
  </r>
  <r>
    <x v="770"/>
    <x v="2"/>
    <x v="1"/>
    <n v="7"/>
    <n v="15"/>
    <x v="25"/>
    <x v="2"/>
    <s v="cashloan"/>
    <n v="15000000"/>
  </r>
  <r>
    <x v="770"/>
    <x v="2"/>
    <x v="1"/>
    <n v="7"/>
    <n v="15"/>
    <x v="0"/>
    <x v="0"/>
    <s v="payday"/>
    <n v="10047780000"/>
  </r>
  <r>
    <x v="770"/>
    <x v="2"/>
    <x v="1"/>
    <n v="7"/>
    <n v="15"/>
    <x v="7"/>
    <x v="7"/>
    <s v="paylater"/>
    <n v="141149891"/>
  </r>
  <r>
    <x v="770"/>
    <x v="2"/>
    <x v="1"/>
    <n v="7"/>
    <n v="15"/>
    <x v="1"/>
    <x v="1"/>
    <s v="cashloan"/>
    <n v="63000000"/>
  </r>
  <r>
    <x v="770"/>
    <x v="2"/>
    <x v="1"/>
    <n v="7"/>
    <n v="15"/>
    <x v="6"/>
    <x v="6"/>
    <s v="payday"/>
    <n v="38000000"/>
  </r>
  <r>
    <x v="770"/>
    <x v="2"/>
    <x v="1"/>
    <n v="7"/>
    <n v="15"/>
    <x v="18"/>
    <x v="15"/>
    <s v="cashloan"/>
    <n v="647650000"/>
  </r>
  <r>
    <x v="770"/>
    <x v="2"/>
    <x v="1"/>
    <n v="7"/>
    <n v="15"/>
    <x v="29"/>
    <x v="20"/>
    <s v="payday"/>
    <n v="288360000"/>
  </r>
  <r>
    <x v="770"/>
    <x v="2"/>
    <x v="1"/>
    <n v="7"/>
    <n v="15"/>
    <x v="19"/>
    <x v="12"/>
    <s v="paylater"/>
    <n v="262063435"/>
  </r>
  <r>
    <x v="770"/>
    <x v="2"/>
    <x v="1"/>
    <n v="7"/>
    <n v="15"/>
    <x v="24"/>
    <x v="18"/>
    <s v="cashloan"/>
    <n v="2219280000"/>
  </r>
  <r>
    <x v="770"/>
    <x v="2"/>
    <x v="1"/>
    <n v="7"/>
    <n v="15"/>
    <x v="30"/>
    <x v="21"/>
    <s v="payday"/>
    <n v="379080000"/>
  </r>
  <r>
    <x v="771"/>
    <x v="2"/>
    <x v="1"/>
    <n v="8"/>
    <n v="16"/>
    <x v="3"/>
    <x v="3"/>
    <s v="cashloan"/>
    <n v="199100000"/>
  </r>
  <r>
    <x v="771"/>
    <x v="2"/>
    <x v="1"/>
    <n v="8"/>
    <n v="16"/>
    <x v="11"/>
    <x v="10"/>
    <s v="paylater"/>
    <n v="171218066"/>
  </r>
  <r>
    <x v="771"/>
    <x v="2"/>
    <x v="1"/>
    <n v="8"/>
    <n v="16"/>
    <x v="12"/>
    <x v="11"/>
    <s v="cashloan"/>
    <n v="7015060000"/>
  </r>
  <r>
    <x v="771"/>
    <x v="2"/>
    <x v="1"/>
    <n v="8"/>
    <n v="16"/>
    <x v="5"/>
    <x v="5"/>
    <s v="overdraft"/>
    <n v="1577459125"/>
  </r>
  <r>
    <x v="771"/>
    <x v="2"/>
    <x v="1"/>
    <n v="8"/>
    <n v="16"/>
    <x v="27"/>
    <x v="19"/>
    <s v="payday"/>
    <n v="9127728000"/>
  </r>
  <r>
    <x v="771"/>
    <x v="2"/>
    <x v="1"/>
    <n v="8"/>
    <n v="16"/>
    <x v="15"/>
    <x v="14"/>
    <s v="paylater"/>
    <n v="376000"/>
  </r>
  <r>
    <x v="771"/>
    <x v="2"/>
    <x v="1"/>
    <n v="8"/>
    <n v="16"/>
    <x v="31"/>
    <x v="22"/>
    <s v="cashloan"/>
    <n v="0"/>
  </r>
  <r>
    <x v="771"/>
    <x v="2"/>
    <x v="1"/>
    <n v="8"/>
    <n v="16"/>
    <x v="14"/>
    <x v="13"/>
    <s v="cashloan"/>
    <n v="40000000"/>
  </r>
  <r>
    <x v="771"/>
    <x v="2"/>
    <x v="1"/>
    <n v="8"/>
    <n v="16"/>
    <x v="33"/>
    <x v="13"/>
    <s v="cashloan"/>
    <n v="295690000"/>
  </r>
  <r>
    <x v="771"/>
    <x v="2"/>
    <x v="1"/>
    <n v="8"/>
    <n v="16"/>
    <x v="23"/>
    <x v="17"/>
    <s v="paylater"/>
    <n v="35836"/>
  </r>
  <r>
    <x v="771"/>
    <x v="2"/>
    <x v="1"/>
    <n v="8"/>
    <n v="16"/>
    <x v="28"/>
    <x v="17"/>
    <s v="paylater"/>
    <n v="108417293"/>
  </r>
  <r>
    <x v="771"/>
    <x v="2"/>
    <x v="1"/>
    <n v="8"/>
    <n v="16"/>
    <x v="8"/>
    <x v="8"/>
    <s v="cashloan"/>
    <n v="0"/>
  </r>
  <r>
    <x v="771"/>
    <x v="2"/>
    <x v="1"/>
    <n v="8"/>
    <n v="16"/>
    <x v="26"/>
    <x v="16"/>
    <s v="cashloan"/>
    <n v="0"/>
  </r>
  <r>
    <x v="771"/>
    <x v="2"/>
    <x v="1"/>
    <n v="8"/>
    <n v="16"/>
    <x v="32"/>
    <x v="16"/>
    <s v="cashloan"/>
    <n v="0"/>
  </r>
  <r>
    <x v="771"/>
    <x v="2"/>
    <x v="1"/>
    <n v="8"/>
    <n v="16"/>
    <x v="2"/>
    <x v="2"/>
    <s v="cashloan"/>
    <n v="8938420000"/>
  </r>
  <r>
    <x v="771"/>
    <x v="2"/>
    <x v="1"/>
    <n v="8"/>
    <n v="16"/>
    <x v="17"/>
    <x v="9"/>
    <s v="cashloan"/>
    <n v="0"/>
  </r>
  <r>
    <x v="771"/>
    <x v="2"/>
    <x v="1"/>
    <n v="8"/>
    <n v="16"/>
    <x v="20"/>
    <x v="9"/>
    <s v="cashloan"/>
    <n v="0"/>
  </r>
  <r>
    <x v="771"/>
    <x v="2"/>
    <x v="1"/>
    <n v="8"/>
    <n v="16"/>
    <x v="21"/>
    <x v="9"/>
    <s v="cashloan"/>
    <n v="0"/>
  </r>
  <r>
    <x v="771"/>
    <x v="2"/>
    <x v="1"/>
    <n v="8"/>
    <n v="16"/>
    <x v="25"/>
    <x v="2"/>
    <s v="cashloan"/>
    <n v="0"/>
  </r>
  <r>
    <x v="771"/>
    <x v="2"/>
    <x v="1"/>
    <n v="8"/>
    <n v="16"/>
    <x v="0"/>
    <x v="0"/>
    <s v="payday"/>
    <n v="9461016000"/>
  </r>
  <r>
    <x v="771"/>
    <x v="2"/>
    <x v="1"/>
    <n v="8"/>
    <n v="16"/>
    <x v="7"/>
    <x v="7"/>
    <s v="paylater"/>
    <n v="104087944"/>
  </r>
  <r>
    <x v="771"/>
    <x v="2"/>
    <x v="1"/>
    <n v="8"/>
    <n v="16"/>
    <x v="1"/>
    <x v="1"/>
    <s v="cashloan"/>
    <n v="35700000"/>
  </r>
  <r>
    <x v="771"/>
    <x v="2"/>
    <x v="1"/>
    <n v="8"/>
    <n v="16"/>
    <x v="6"/>
    <x v="6"/>
    <s v="payday"/>
    <n v="57000000"/>
  </r>
  <r>
    <x v="771"/>
    <x v="2"/>
    <x v="1"/>
    <n v="8"/>
    <n v="16"/>
    <x v="18"/>
    <x v="15"/>
    <s v="cashloan"/>
    <n v="324530000"/>
  </r>
  <r>
    <x v="771"/>
    <x v="2"/>
    <x v="1"/>
    <n v="8"/>
    <n v="16"/>
    <x v="29"/>
    <x v="20"/>
    <s v="payday"/>
    <n v="150660000"/>
  </r>
  <r>
    <x v="771"/>
    <x v="2"/>
    <x v="1"/>
    <n v="8"/>
    <n v="16"/>
    <x v="19"/>
    <x v="12"/>
    <s v="paylater"/>
    <n v="156031324"/>
  </r>
  <r>
    <x v="771"/>
    <x v="2"/>
    <x v="1"/>
    <n v="8"/>
    <n v="16"/>
    <x v="24"/>
    <x v="18"/>
    <s v="cashloan"/>
    <n v="1508030000"/>
  </r>
  <r>
    <x v="771"/>
    <x v="2"/>
    <x v="1"/>
    <n v="8"/>
    <n v="16"/>
    <x v="30"/>
    <x v="21"/>
    <s v="payday"/>
    <n v="332640000"/>
  </r>
  <r>
    <x v="772"/>
    <x v="2"/>
    <x v="1"/>
    <n v="8"/>
    <n v="17"/>
    <x v="3"/>
    <x v="3"/>
    <s v="cashloan"/>
    <n v="105000000"/>
  </r>
  <r>
    <x v="772"/>
    <x v="2"/>
    <x v="1"/>
    <n v="8"/>
    <n v="17"/>
    <x v="11"/>
    <x v="10"/>
    <s v="paylater"/>
    <n v="133844469"/>
  </r>
  <r>
    <x v="772"/>
    <x v="2"/>
    <x v="1"/>
    <n v="8"/>
    <n v="17"/>
    <x v="12"/>
    <x v="11"/>
    <s v="cashloan"/>
    <n v="2916520000"/>
  </r>
  <r>
    <x v="772"/>
    <x v="2"/>
    <x v="1"/>
    <n v="8"/>
    <n v="17"/>
    <x v="5"/>
    <x v="5"/>
    <s v="overdraft"/>
    <n v="596244194"/>
  </r>
  <r>
    <x v="772"/>
    <x v="2"/>
    <x v="1"/>
    <n v="8"/>
    <n v="17"/>
    <x v="27"/>
    <x v="19"/>
    <s v="payday"/>
    <n v="4526820000"/>
  </r>
  <r>
    <x v="772"/>
    <x v="2"/>
    <x v="1"/>
    <n v="8"/>
    <n v="17"/>
    <x v="15"/>
    <x v="14"/>
    <s v="paylater"/>
    <n v="0"/>
  </r>
  <r>
    <x v="772"/>
    <x v="2"/>
    <x v="1"/>
    <n v="8"/>
    <n v="17"/>
    <x v="31"/>
    <x v="22"/>
    <s v="cashloan"/>
    <n v="0"/>
  </r>
  <r>
    <x v="772"/>
    <x v="2"/>
    <x v="1"/>
    <n v="8"/>
    <n v="17"/>
    <x v="14"/>
    <x v="13"/>
    <s v="cashloan"/>
    <n v="0"/>
  </r>
  <r>
    <x v="772"/>
    <x v="2"/>
    <x v="1"/>
    <n v="8"/>
    <n v="17"/>
    <x v="33"/>
    <x v="13"/>
    <s v="cashloan"/>
    <n v="94200000"/>
  </r>
  <r>
    <x v="772"/>
    <x v="2"/>
    <x v="1"/>
    <n v="8"/>
    <n v="17"/>
    <x v="23"/>
    <x v="17"/>
    <s v="paylater"/>
    <n v="0"/>
  </r>
  <r>
    <x v="772"/>
    <x v="2"/>
    <x v="1"/>
    <n v="8"/>
    <n v="17"/>
    <x v="28"/>
    <x v="17"/>
    <s v="paylater"/>
    <n v="26145274"/>
  </r>
  <r>
    <x v="772"/>
    <x v="2"/>
    <x v="1"/>
    <n v="8"/>
    <n v="17"/>
    <x v="8"/>
    <x v="8"/>
    <s v="cashloan"/>
    <n v="0"/>
  </r>
  <r>
    <x v="772"/>
    <x v="2"/>
    <x v="1"/>
    <n v="8"/>
    <n v="17"/>
    <x v="26"/>
    <x v="16"/>
    <s v="cashloan"/>
    <n v="0"/>
  </r>
  <r>
    <x v="772"/>
    <x v="2"/>
    <x v="1"/>
    <n v="8"/>
    <n v="17"/>
    <x v="32"/>
    <x v="16"/>
    <s v="cashloan"/>
    <n v="0"/>
  </r>
  <r>
    <x v="772"/>
    <x v="2"/>
    <x v="1"/>
    <n v="8"/>
    <n v="17"/>
    <x v="2"/>
    <x v="2"/>
    <s v="cashloan"/>
    <n v="4239480000"/>
  </r>
  <r>
    <x v="772"/>
    <x v="2"/>
    <x v="1"/>
    <n v="8"/>
    <n v="17"/>
    <x v="17"/>
    <x v="9"/>
    <s v="cashloan"/>
    <n v="0"/>
  </r>
  <r>
    <x v="772"/>
    <x v="2"/>
    <x v="1"/>
    <n v="8"/>
    <n v="17"/>
    <x v="20"/>
    <x v="9"/>
    <s v="cashloan"/>
    <n v="0"/>
  </r>
  <r>
    <x v="772"/>
    <x v="2"/>
    <x v="1"/>
    <n v="8"/>
    <n v="17"/>
    <x v="21"/>
    <x v="9"/>
    <s v="cashloan"/>
    <n v="0"/>
  </r>
  <r>
    <x v="772"/>
    <x v="2"/>
    <x v="1"/>
    <n v="8"/>
    <n v="17"/>
    <x v="25"/>
    <x v="2"/>
    <s v="cashloan"/>
    <n v="0"/>
  </r>
  <r>
    <x v="772"/>
    <x v="2"/>
    <x v="1"/>
    <n v="8"/>
    <n v="17"/>
    <x v="0"/>
    <x v="0"/>
    <s v="payday"/>
    <n v="4456296000"/>
  </r>
  <r>
    <x v="772"/>
    <x v="2"/>
    <x v="1"/>
    <n v="8"/>
    <n v="17"/>
    <x v="7"/>
    <x v="7"/>
    <s v="paylater"/>
    <n v="93103833"/>
  </r>
  <r>
    <x v="772"/>
    <x v="2"/>
    <x v="1"/>
    <n v="8"/>
    <n v="17"/>
    <x v="1"/>
    <x v="1"/>
    <s v="cashloan"/>
    <n v="0"/>
  </r>
  <r>
    <x v="772"/>
    <x v="2"/>
    <x v="1"/>
    <n v="8"/>
    <n v="17"/>
    <x v="6"/>
    <x v="6"/>
    <s v="payday"/>
    <n v="49000000"/>
  </r>
  <r>
    <x v="772"/>
    <x v="2"/>
    <x v="1"/>
    <n v="8"/>
    <n v="17"/>
    <x v="18"/>
    <x v="15"/>
    <s v="cashloan"/>
    <n v="220270000"/>
  </r>
  <r>
    <x v="772"/>
    <x v="2"/>
    <x v="1"/>
    <n v="8"/>
    <n v="17"/>
    <x v="29"/>
    <x v="20"/>
    <s v="payday"/>
    <n v="81648000"/>
  </r>
  <r>
    <x v="772"/>
    <x v="2"/>
    <x v="1"/>
    <n v="8"/>
    <n v="17"/>
    <x v="19"/>
    <x v="12"/>
    <s v="paylater"/>
    <n v="107356656"/>
  </r>
  <r>
    <x v="772"/>
    <x v="2"/>
    <x v="1"/>
    <n v="8"/>
    <n v="17"/>
    <x v="24"/>
    <x v="18"/>
    <s v="cashloan"/>
    <n v="595680000"/>
  </r>
  <r>
    <x v="772"/>
    <x v="2"/>
    <x v="1"/>
    <n v="8"/>
    <n v="17"/>
    <x v="30"/>
    <x v="21"/>
    <s v="payday"/>
    <n v="156600000"/>
  </r>
  <r>
    <x v="773"/>
    <x v="2"/>
    <x v="1"/>
    <n v="8"/>
    <n v="18"/>
    <x v="3"/>
    <x v="3"/>
    <s v="cashloan"/>
    <n v="124400000"/>
  </r>
  <r>
    <x v="773"/>
    <x v="2"/>
    <x v="1"/>
    <n v="8"/>
    <n v="18"/>
    <x v="11"/>
    <x v="10"/>
    <s v="paylater"/>
    <n v="164703306"/>
  </r>
  <r>
    <x v="773"/>
    <x v="2"/>
    <x v="1"/>
    <n v="8"/>
    <n v="18"/>
    <x v="12"/>
    <x v="11"/>
    <s v="cashloan"/>
    <n v="3893200000"/>
  </r>
  <r>
    <x v="773"/>
    <x v="2"/>
    <x v="1"/>
    <n v="8"/>
    <n v="18"/>
    <x v="5"/>
    <x v="5"/>
    <s v="overdraft"/>
    <n v="554331648"/>
  </r>
  <r>
    <x v="773"/>
    <x v="2"/>
    <x v="1"/>
    <n v="8"/>
    <n v="18"/>
    <x v="27"/>
    <x v="19"/>
    <s v="payday"/>
    <n v="4757616000"/>
  </r>
  <r>
    <x v="773"/>
    <x v="2"/>
    <x v="1"/>
    <n v="8"/>
    <n v="18"/>
    <x v="15"/>
    <x v="14"/>
    <s v="paylater"/>
    <n v="0"/>
  </r>
  <r>
    <x v="773"/>
    <x v="2"/>
    <x v="1"/>
    <n v="8"/>
    <n v="18"/>
    <x v="31"/>
    <x v="22"/>
    <s v="cashloan"/>
    <n v="0"/>
  </r>
  <r>
    <x v="773"/>
    <x v="2"/>
    <x v="1"/>
    <n v="8"/>
    <n v="18"/>
    <x v="14"/>
    <x v="13"/>
    <s v="cashloan"/>
    <n v="0"/>
  </r>
  <r>
    <x v="773"/>
    <x v="2"/>
    <x v="1"/>
    <n v="8"/>
    <n v="18"/>
    <x v="33"/>
    <x v="13"/>
    <s v="cashloan"/>
    <n v="64200000"/>
  </r>
  <r>
    <x v="773"/>
    <x v="2"/>
    <x v="1"/>
    <n v="8"/>
    <n v="18"/>
    <x v="23"/>
    <x v="17"/>
    <s v="paylater"/>
    <n v="0"/>
  </r>
  <r>
    <x v="773"/>
    <x v="2"/>
    <x v="1"/>
    <n v="8"/>
    <n v="18"/>
    <x v="28"/>
    <x v="17"/>
    <s v="paylater"/>
    <n v="85033036"/>
  </r>
  <r>
    <x v="773"/>
    <x v="2"/>
    <x v="1"/>
    <n v="8"/>
    <n v="18"/>
    <x v="8"/>
    <x v="8"/>
    <s v="cashloan"/>
    <n v="0"/>
  </r>
  <r>
    <x v="773"/>
    <x v="2"/>
    <x v="1"/>
    <n v="8"/>
    <n v="18"/>
    <x v="26"/>
    <x v="16"/>
    <s v="cashloan"/>
    <n v="0"/>
  </r>
  <r>
    <x v="773"/>
    <x v="2"/>
    <x v="1"/>
    <n v="8"/>
    <n v="18"/>
    <x v="32"/>
    <x v="16"/>
    <s v="cashloan"/>
    <n v="0"/>
  </r>
  <r>
    <x v="773"/>
    <x v="2"/>
    <x v="1"/>
    <n v="8"/>
    <n v="18"/>
    <x v="2"/>
    <x v="2"/>
    <s v="cashloan"/>
    <n v="4522890000"/>
  </r>
  <r>
    <x v="773"/>
    <x v="2"/>
    <x v="1"/>
    <n v="8"/>
    <n v="18"/>
    <x v="17"/>
    <x v="9"/>
    <s v="cashloan"/>
    <n v="0"/>
  </r>
  <r>
    <x v="773"/>
    <x v="2"/>
    <x v="1"/>
    <n v="8"/>
    <n v="18"/>
    <x v="20"/>
    <x v="9"/>
    <s v="cashloan"/>
    <n v="0"/>
  </r>
  <r>
    <x v="773"/>
    <x v="2"/>
    <x v="1"/>
    <n v="8"/>
    <n v="18"/>
    <x v="21"/>
    <x v="9"/>
    <s v="cashloan"/>
    <n v="0"/>
  </r>
  <r>
    <x v="773"/>
    <x v="2"/>
    <x v="1"/>
    <n v="8"/>
    <n v="18"/>
    <x v="25"/>
    <x v="2"/>
    <s v="cashloan"/>
    <n v="0"/>
  </r>
  <r>
    <x v="773"/>
    <x v="2"/>
    <x v="1"/>
    <n v="8"/>
    <n v="18"/>
    <x v="0"/>
    <x v="0"/>
    <s v="payday"/>
    <n v="4945860000"/>
  </r>
  <r>
    <x v="773"/>
    <x v="2"/>
    <x v="1"/>
    <n v="8"/>
    <n v="18"/>
    <x v="7"/>
    <x v="7"/>
    <s v="paylater"/>
    <n v="91904715"/>
  </r>
  <r>
    <x v="773"/>
    <x v="2"/>
    <x v="1"/>
    <n v="8"/>
    <n v="18"/>
    <x v="1"/>
    <x v="1"/>
    <s v="cashloan"/>
    <n v="0"/>
  </r>
  <r>
    <x v="773"/>
    <x v="2"/>
    <x v="1"/>
    <n v="8"/>
    <n v="18"/>
    <x v="6"/>
    <x v="6"/>
    <s v="payday"/>
    <n v="19000000"/>
  </r>
  <r>
    <x v="773"/>
    <x v="2"/>
    <x v="1"/>
    <n v="8"/>
    <n v="18"/>
    <x v="18"/>
    <x v="15"/>
    <s v="cashloan"/>
    <n v="232350000"/>
  </r>
  <r>
    <x v="773"/>
    <x v="2"/>
    <x v="1"/>
    <n v="8"/>
    <n v="18"/>
    <x v="29"/>
    <x v="20"/>
    <s v="payday"/>
    <n v="131868000"/>
  </r>
  <r>
    <x v="773"/>
    <x v="2"/>
    <x v="1"/>
    <n v="8"/>
    <n v="18"/>
    <x v="19"/>
    <x v="12"/>
    <s v="paylater"/>
    <n v="103238725"/>
  </r>
  <r>
    <x v="773"/>
    <x v="2"/>
    <x v="1"/>
    <n v="8"/>
    <n v="18"/>
    <x v="24"/>
    <x v="18"/>
    <s v="cashloan"/>
    <n v="973840000"/>
  </r>
  <r>
    <x v="773"/>
    <x v="2"/>
    <x v="1"/>
    <n v="8"/>
    <n v="18"/>
    <x v="30"/>
    <x v="21"/>
    <s v="payday"/>
    <n v="220320000"/>
  </r>
  <r>
    <x v="774"/>
    <x v="2"/>
    <x v="1"/>
    <n v="8"/>
    <n v="19"/>
    <x v="3"/>
    <x v="3"/>
    <s v="cashloan"/>
    <n v="200900000"/>
  </r>
  <r>
    <x v="774"/>
    <x v="2"/>
    <x v="1"/>
    <n v="8"/>
    <n v="19"/>
    <x v="11"/>
    <x v="10"/>
    <s v="paylater"/>
    <n v="145976336"/>
  </r>
  <r>
    <x v="774"/>
    <x v="2"/>
    <x v="1"/>
    <n v="8"/>
    <n v="19"/>
    <x v="12"/>
    <x v="11"/>
    <s v="cashloan"/>
    <n v="3873140000"/>
  </r>
  <r>
    <x v="774"/>
    <x v="2"/>
    <x v="1"/>
    <n v="8"/>
    <n v="19"/>
    <x v="5"/>
    <x v="5"/>
    <s v="overdraft"/>
    <n v="633877795"/>
  </r>
  <r>
    <x v="774"/>
    <x v="2"/>
    <x v="1"/>
    <n v="8"/>
    <n v="19"/>
    <x v="27"/>
    <x v="19"/>
    <s v="payday"/>
    <n v="5544396000"/>
  </r>
  <r>
    <x v="774"/>
    <x v="2"/>
    <x v="1"/>
    <n v="8"/>
    <n v="19"/>
    <x v="15"/>
    <x v="14"/>
    <s v="paylater"/>
    <n v="0"/>
  </r>
  <r>
    <x v="774"/>
    <x v="2"/>
    <x v="1"/>
    <n v="8"/>
    <n v="19"/>
    <x v="31"/>
    <x v="22"/>
    <s v="cashloan"/>
    <n v="0"/>
  </r>
  <r>
    <x v="774"/>
    <x v="2"/>
    <x v="1"/>
    <n v="8"/>
    <n v="19"/>
    <x v="14"/>
    <x v="13"/>
    <s v="cashloan"/>
    <n v="0"/>
  </r>
  <r>
    <x v="774"/>
    <x v="2"/>
    <x v="1"/>
    <n v="8"/>
    <n v="19"/>
    <x v="33"/>
    <x v="13"/>
    <s v="cashloan"/>
    <n v="194450000"/>
  </r>
  <r>
    <x v="774"/>
    <x v="2"/>
    <x v="1"/>
    <n v="8"/>
    <n v="19"/>
    <x v="23"/>
    <x v="17"/>
    <s v="paylater"/>
    <n v="0"/>
  </r>
  <r>
    <x v="774"/>
    <x v="2"/>
    <x v="1"/>
    <n v="8"/>
    <n v="19"/>
    <x v="28"/>
    <x v="17"/>
    <s v="paylater"/>
    <n v="89601074"/>
  </r>
  <r>
    <x v="774"/>
    <x v="2"/>
    <x v="1"/>
    <n v="8"/>
    <n v="19"/>
    <x v="8"/>
    <x v="8"/>
    <s v="cashloan"/>
    <n v="0"/>
  </r>
  <r>
    <x v="774"/>
    <x v="2"/>
    <x v="1"/>
    <n v="8"/>
    <n v="19"/>
    <x v="26"/>
    <x v="16"/>
    <s v="cashloan"/>
    <n v="0"/>
  </r>
  <r>
    <x v="774"/>
    <x v="2"/>
    <x v="1"/>
    <n v="8"/>
    <n v="19"/>
    <x v="32"/>
    <x v="16"/>
    <s v="cashloan"/>
    <n v="0"/>
  </r>
  <r>
    <x v="774"/>
    <x v="2"/>
    <x v="1"/>
    <n v="8"/>
    <n v="19"/>
    <x v="2"/>
    <x v="2"/>
    <s v="cashloan"/>
    <n v="4887520000"/>
  </r>
  <r>
    <x v="774"/>
    <x v="2"/>
    <x v="1"/>
    <n v="8"/>
    <n v="19"/>
    <x v="17"/>
    <x v="9"/>
    <s v="cashloan"/>
    <n v="0"/>
  </r>
  <r>
    <x v="774"/>
    <x v="2"/>
    <x v="1"/>
    <n v="8"/>
    <n v="19"/>
    <x v="20"/>
    <x v="9"/>
    <s v="cashloan"/>
    <n v="0"/>
  </r>
  <r>
    <x v="774"/>
    <x v="2"/>
    <x v="1"/>
    <n v="8"/>
    <n v="19"/>
    <x v="21"/>
    <x v="9"/>
    <s v="cashloan"/>
    <n v="0"/>
  </r>
  <r>
    <x v="774"/>
    <x v="2"/>
    <x v="1"/>
    <n v="8"/>
    <n v="19"/>
    <x v="25"/>
    <x v="2"/>
    <s v="cashloan"/>
    <n v="0"/>
  </r>
  <r>
    <x v="774"/>
    <x v="2"/>
    <x v="1"/>
    <n v="8"/>
    <n v="19"/>
    <x v="0"/>
    <x v="0"/>
    <s v="payday"/>
    <n v="5241240000"/>
  </r>
  <r>
    <x v="774"/>
    <x v="2"/>
    <x v="1"/>
    <n v="8"/>
    <n v="19"/>
    <x v="7"/>
    <x v="7"/>
    <s v="paylater"/>
    <n v="79258073"/>
  </r>
  <r>
    <x v="774"/>
    <x v="2"/>
    <x v="1"/>
    <n v="8"/>
    <n v="19"/>
    <x v="1"/>
    <x v="1"/>
    <s v="cashloan"/>
    <n v="21000000"/>
  </r>
  <r>
    <x v="774"/>
    <x v="2"/>
    <x v="1"/>
    <n v="8"/>
    <n v="19"/>
    <x v="6"/>
    <x v="6"/>
    <s v="payday"/>
    <n v="19000000"/>
  </r>
  <r>
    <x v="774"/>
    <x v="2"/>
    <x v="1"/>
    <n v="8"/>
    <n v="19"/>
    <x v="18"/>
    <x v="15"/>
    <s v="cashloan"/>
    <n v="179800000"/>
  </r>
  <r>
    <x v="774"/>
    <x v="2"/>
    <x v="1"/>
    <n v="8"/>
    <n v="19"/>
    <x v="29"/>
    <x v="20"/>
    <s v="payday"/>
    <n v="112644000"/>
  </r>
  <r>
    <x v="774"/>
    <x v="2"/>
    <x v="1"/>
    <n v="8"/>
    <n v="19"/>
    <x v="19"/>
    <x v="12"/>
    <s v="paylater"/>
    <n v="96671855"/>
  </r>
  <r>
    <x v="774"/>
    <x v="2"/>
    <x v="1"/>
    <n v="8"/>
    <n v="19"/>
    <x v="24"/>
    <x v="18"/>
    <s v="cashloan"/>
    <n v="1016350000"/>
  </r>
  <r>
    <x v="774"/>
    <x v="2"/>
    <x v="1"/>
    <n v="8"/>
    <n v="19"/>
    <x v="30"/>
    <x v="21"/>
    <s v="payday"/>
    <n v="247320000"/>
  </r>
  <r>
    <x v="775"/>
    <x v="2"/>
    <x v="1"/>
    <n v="8"/>
    <n v="20"/>
    <x v="3"/>
    <x v="3"/>
    <s v="cashloan"/>
    <n v="264000000"/>
  </r>
  <r>
    <x v="775"/>
    <x v="2"/>
    <x v="1"/>
    <n v="8"/>
    <n v="20"/>
    <x v="11"/>
    <x v="10"/>
    <s v="paylater"/>
    <n v="194476613"/>
  </r>
  <r>
    <x v="775"/>
    <x v="2"/>
    <x v="1"/>
    <n v="8"/>
    <n v="20"/>
    <x v="12"/>
    <x v="11"/>
    <s v="cashloan"/>
    <n v="4534250000"/>
  </r>
  <r>
    <x v="775"/>
    <x v="2"/>
    <x v="1"/>
    <n v="8"/>
    <n v="20"/>
    <x v="5"/>
    <x v="5"/>
    <s v="overdraft"/>
    <n v="878059568"/>
  </r>
  <r>
    <x v="775"/>
    <x v="2"/>
    <x v="1"/>
    <n v="8"/>
    <n v="20"/>
    <x v="27"/>
    <x v="19"/>
    <s v="payday"/>
    <n v="7240752000"/>
  </r>
  <r>
    <x v="775"/>
    <x v="2"/>
    <x v="1"/>
    <n v="8"/>
    <n v="20"/>
    <x v="15"/>
    <x v="14"/>
    <s v="paylater"/>
    <n v="248600"/>
  </r>
  <r>
    <x v="775"/>
    <x v="2"/>
    <x v="1"/>
    <n v="8"/>
    <n v="20"/>
    <x v="31"/>
    <x v="22"/>
    <s v="cashloan"/>
    <n v="0"/>
  </r>
  <r>
    <x v="775"/>
    <x v="2"/>
    <x v="1"/>
    <n v="8"/>
    <n v="20"/>
    <x v="14"/>
    <x v="13"/>
    <s v="cashloan"/>
    <n v="510300000"/>
  </r>
  <r>
    <x v="775"/>
    <x v="2"/>
    <x v="1"/>
    <n v="8"/>
    <n v="20"/>
    <x v="33"/>
    <x v="13"/>
    <s v="cashloan"/>
    <n v="154800000"/>
  </r>
  <r>
    <x v="775"/>
    <x v="2"/>
    <x v="1"/>
    <n v="8"/>
    <n v="20"/>
    <x v="23"/>
    <x v="17"/>
    <s v="paylater"/>
    <n v="3961000"/>
  </r>
  <r>
    <x v="775"/>
    <x v="2"/>
    <x v="1"/>
    <n v="8"/>
    <n v="20"/>
    <x v="28"/>
    <x v="17"/>
    <s v="paylater"/>
    <n v="770659205"/>
  </r>
  <r>
    <x v="775"/>
    <x v="2"/>
    <x v="1"/>
    <n v="8"/>
    <n v="20"/>
    <x v="8"/>
    <x v="8"/>
    <s v="cashloan"/>
    <n v="0"/>
  </r>
  <r>
    <x v="775"/>
    <x v="2"/>
    <x v="1"/>
    <n v="8"/>
    <n v="20"/>
    <x v="26"/>
    <x v="16"/>
    <s v="cashloan"/>
    <n v="0"/>
  </r>
  <r>
    <x v="775"/>
    <x v="2"/>
    <x v="1"/>
    <n v="8"/>
    <n v="20"/>
    <x v="32"/>
    <x v="16"/>
    <s v="cashloan"/>
    <n v="0"/>
  </r>
  <r>
    <x v="775"/>
    <x v="2"/>
    <x v="1"/>
    <n v="8"/>
    <n v="20"/>
    <x v="2"/>
    <x v="2"/>
    <s v="cashloan"/>
    <n v="5836680000"/>
  </r>
  <r>
    <x v="775"/>
    <x v="2"/>
    <x v="1"/>
    <n v="8"/>
    <n v="20"/>
    <x v="17"/>
    <x v="9"/>
    <s v="cashloan"/>
    <n v="0"/>
  </r>
  <r>
    <x v="775"/>
    <x v="2"/>
    <x v="1"/>
    <n v="8"/>
    <n v="20"/>
    <x v="20"/>
    <x v="9"/>
    <s v="cashloan"/>
    <n v="0"/>
  </r>
  <r>
    <x v="775"/>
    <x v="2"/>
    <x v="1"/>
    <n v="8"/>
    <n v="20"/>
    <x v="21"/>
    <x v="9"/>
    <s v="cashloan"/>
    <n v="0"/>
  </r>
  <r>
    <x v="775"/>
    <x v="2"/>
    <x v="1"/>
    <n v="8"/>
    <n v="20"/>
    <x v="25"/>
    <x v="2"/>
    <s v="cashloan"/>
    <n v="0"/>
  </r>
  <r>
    <x v="775"/>
    <x v="2"/>
    <x v="1"/>
    <n v="8"/>
    <n v="20"/>
    <x v="0"/>
    <x v="0"/>
    <s v="payday"/>
    <n v="6076404000"/>
  </r>
  <r>
    <x v="775"/>
    <x v="2"/>
    <x v="1"/>
    <n v="8"/>
    <n v="20"/>
    <x v="7"/>
    <x v="7"/>
    <s v="paylater"/>
    <n v="106842556"/>
  </r>
  <r>
    <x v="775"/>
    <x v="2"/>
    <x v="1"/>
    <n v="8"/>
    <n v="20"/>
    <x v="1"/>
    <x v="1"/>
    <s v="cashloan"/>
    <n v="31500000"/>
  </r>
  <r>
    <x v="775"/>
    <x v="2"/>
    <x v="1"/>
    <n v="8"/>
    <n v="20"/>
    <x v="6"/>
    <x v="6"/>
    <s v="payday"/>
    <n v="22000000"/>
  </r>
  <r>
    <x v="775"/>
    <x v="2"/>
    <x v="1"/>
    <n v="8"/>
    <n v="20"/>
    <x v="18"/>
    <x v="15"/>
    <s v="cashloan"/>
    <n v="409870000"/>
  </r>
  <r>
    <x v="775"/>
    <x v="2"/>
    <x v="1"/>
    <n v="8"/>
    <n v="20"/>
    <x v="29"/>
    <x v="20"/>
    <s v="payday"/>
    <n v="173664000"/>
  </r>
  <r>
    <x v="775"/>
    <x v="2"/>
    <x v="1"/>
    <n v="8"/>
    <n v="20"/>
    <x v="19"/>
    <x v="12"/>
    <s v="paylater"/>
    <n v="139793113"/>
  </r>
  <r>
    <x v="775"/>
    <x v="2"/>
    <x v="1"/>
    <n v="8"/>
    <n v="20"/>
    <x v="24"/>
    <x v="18"/>
    <s v="cashloan"/>
    <n v="885530000"/>
  </r>
  <r>
    <x v="775"/>
    <x v="2"/>
    <x v="1"/>
    <n v="8"/>
    <n v="20"/>
    <x v="30"/>
    <x v="21"/>
    <s v="payday"/>
    <n v="284880000"/>
  </r>
  <r>
    <x v="776"/>
    <x v="2"/>
    <x v="1"/>
    <n v="8"/>
    <n v="21"/>
    <x v="3"/>
    <x v="3"/>
    <s v="cashloan"/>
    <n v="300800000"/>
  </r>
  <r>
    <x v="776"/>
    <x v="2"/>
    <x v="1"/>
    <n v="8"/>
    <n v="21"/>
    <x v="11"/>
    <x v="10"/>
    <s v="paylater"/>
    <n v="214986926"/>
  </r>
  <r>
    <x v="776"/>
    <x v="2"/>
    <x v="1"/>
    <n v="8"/>
    <n v="21"/>
    <x v="12"/>
    <x v="11"/>
    <s v="cashloan"/>
    <n v="5288040000"/>
  </r>
  <r>
    <x v="776"/>
    <x v="2"/>
    <x v="1"/>
    <n v="8"/>
    <n v="21"/>
    <x v="5"/>
    <x v="5"/>
    <s v="overdraft"/>
    <n v="899004779"/>
  </r>
  <r>
    <x v="776"/>
    <x v="2"/>
    <x v="1"/>
    <n v="8"/>
    <n v="21"/>
    <x v="27"/>
    <x v="19"/>
    <s v="payday"/>
    <n v="8806104000"/>
  </r>
  <r>
    <x v="776"/>
    <x v="2"/>
    <x v="1"/>
    <n v="8"/>
    <n v="21"/>
    <x v="15"/>
    <x v="14"/>
    <s v="paylater"/>
    <n v="4615697"/>
  </r>
  <r>
    <x v="776"/>
    <x v="2"/>
    <x v="1"/>
    <n v="8"/>
    <n v="21"/>
    <x v="31"/>
    <x v="22"/>
    <s v="cashloan"/>
    <n v="0"/>
  </r>
  <r>
    <x v="776"/>
    <x v="2"/>
    <x v="1"/>
    <n v="8"/>
    <n v="21"/>
    <x v="14"/>
    <x v="13"/>
    <s v="cashloan"/>
    <n v="875250000"/>
  </r>
  <r>
    <x v="776"/>
    <x v="2"/>
    <x v="1"/>
    <n v="8"/>
    <n v="21"/>
    <x v="33"/>
    <x v="13"/>
    <s v="cashloan"/>
    <n v="413700000"/>
  </r>
  <r>
    <x v="776"/>
    <x v="2"/>
    <x v="1"/>
    <n v="8"/>
    <n v="21"/>
    <x v="23"/>
    <x v="17"/>
    <s v="paylater"/>
    <n v="8939426"/>
  </r>
  <r>
    <x v="776"/>
    <x v="2"/>
    <x v="1"/>
    <n v="8"/>
    <n v="21"/>
    <x v="28"/>
    <x v="17"/>
    <s v="paylater"/>
    <n v="959095652"/>
  </r>
  <r>
    <x v="776"/>
    <x v="2"/>
    <x v="1"/>
    <n v="8"/>
    <n v="21"/>
    <x v="8"/>
    <x v="8"/>
    <s v="cashloan"/>
    <n v="0"/>
  </r>
  <r>
    <x v="776"/>
    <x v="2"/>
    <x v="1"/>
    <n v="8"/>
    <n v="21"/>
    <x v="26"/>
    <x v="16"/>
    <s v="cashloan"/>
    <n v="0"/>
  </r>
  <r>
    <x v="776"/>
    <x v="2"/>
    <x v="1"/>
    <n v="8"/>
    <n v="21"/>
    <x v="32"/>
    <x v="16"/>
    <s v="cashloan"/>
    <n v="0"/>
  </r>
  <r>
    <x v="776"/>
    <x v="2"/>
    <x v="1"/>
    <n v="8"/>
    <n v="21"/>
    <x v="2"/>
    <x v="2"/>
    <s v="cashloan"/>
    <n v="6245630000"/>
  </r>
  <r>
    <x v="776"/>
    <x v="2"/>
    <x v="1"/>
    <n v="8"/>
    <n v="21"/>
    <x v="17"/>
    <x v="9"/>
    <s v="cashloan"/>
    <n v="0"/>
  </r>
  <r>
    <x v="776"/>
    <x v="2"/>
    <x v="1"/>
    <n v="8"/>
    <n v="21"/>
    <x v="20"/>
    <x v="9"/>
    <s v="cashloan"/>
    <n v="0"/>
  </r>
  <r>
    <x v="776"/>
    <x v="2"/>
    <x v="1"/>
    <n v="8"/>
    <n v="21"/>
    <x v="21"/>
    <x v="9"/>
    <s v="cashloan"/>
    <n v="0"/>
  </r>
  <r>
    <x v="776"/>
    <x v="2"/>
    <x v="1"/>
    <n v="8"/>
    <n v="21"/>
    <x v="25"/>
    <x v="2"/>
    <s v="cashloan"/>
    <n v="0"/>
  </r>
  <r>
    <x v="776"/>
    <x v="2"/>
    <x v="1"/>
    <n v="8"/>
    <n v="21"/>
    <x v="0"/>
    <x v="0"/>
    <s v="payday"/>
    <n v="7378020000"/>
  </r>
  <r>
    <x v="776"/>
    <x v="2"/>
    <x v="1"/>
    <n v="8"/>
    <n v="21"/>
    <x v="7"/>
    <x v="7"/>
    <s v="paylater"/>
    <n v="104014462"/>
  </r>
  <r>
    <x v="776"/>
    <x v="2"/>
    <x v="1"/>
    <n v="8"/>
    <n v="21"/>
    <x v="1"/>
    <x v="1"/>
    <s v="cashloan"/>
    <n v="10500000"/>
  </r>
  <r>
    <x v="776"/>
    <x v="2"/>
    <x v="1"/>
    <n v="8"/>
    <n v="21"/>
    <x v="6"/>
    <x v="6"/>
    <s v="payday"/>
    <n v="40000000"/>
  </r>
  <r>
    <x v="776"/>
    <x v="2"/>
    <x v="1"/>
    <n v="8"/>
    <n v="21"/>
    <x v="18"/>
    <x v="15"/>
    <s v="cashloan"/>
    <n v="343140000"/>
  </r>
  <r>
    <x v="776"/>
    <x v="2"/>
    <x v="1"/>
    <n v="8"/>
    <n v="21"/>
    <x v="29"/>
    <x v="20"/>
    <s v="payday"/>
    <n v="156276000"/>
  </r>
  <r>
    <x v="776"/>
    <x v="2"/>
    <x v="1"/>
    <n v="8"/>
    <n v="21"/>
    <x v="19"/>
    <x v="12"/>
    <s v="paylater"/>
    <n v="198687649"/>
  </r>
  <r>
    <x v="776"/>
    <x v="2"/>
    <x v="1"/>
    <n v="8"/>
    <n v="21"/>
    <x v="24"/>
    <x v="18"/>
    <s v="cashloan"/>
    <n v="1252750000"/>
  </r>
  <r>
    <x v="776"/>
    <x v="2"/>
    <x v="1"/>
    <n v="8"/>
    <n v="21"/>
    <x v="30"/>
    <x v="21"/>
    <s v="payday"/>
    <n v="304400000"/>
  </r>
  <r>
    <x v="777"/>
    <x v="2"/>
    <x v="1"/>
    <n v="8"/>
    <n v="22"/>
    <x v="3"/>
    <x v="3"/>
    <s v="cashloan"/>
    <n v="580200000"/>
  </r>
  <r>
    <x v="777"/>
    <x v="2"/>
    <x v="1"/>
    <n v="8"/>
    <n v="22"/>
    <x v="11"/>
    <x v="10"/>
    <s v="paylater"/>
    <n v="284287591"/>
  </r>
  <r>
    <x v="777"/>
    <x v="2"/>
    <x v="1"/>
    <n v="8"/>
    <n v="22"/>
    <x v="12"/>
    <x v="11"/>
    <s v="cashloan"/>
    <n v="5969330000"/>
  </r>
  <r>
    <x v="777"/>
    <x v="2"/>
    <x v="1"/>
    <n v="8"/>
    <n v="22"/>
    <x v="5"/>
    <x v="5"/>
    <s v="overdraft"/>
    <n v="1145161870"/>
  </r>
  <r>
    <x v="777"/>
    <x v="2"/>
    <x v="1"/>
    <n v="8"/>
    <n v="22"/>
    <x v="27"/>
    <x v="19"/>
    <s v="payday"/>
    <n v="12687840000"/>
  </r>
  <r>
    <x v="777"/>
    <x v="2"/>
    <x v="1"/>
    <n v="8"/>
    <n v="22"/>
    <x v="15"/>
    <x v="14"/>
    <s v="paylater"/>
    <n v="4576096"/>
  </r>
  <r>
    <x v="777"/>
    <x v="2"/>
    <x v="1"/>
    <n v="8"/>
    <n v="22"/>
    <x v="31"/>
    <x v="22"/>
    <s v="cashloan"/>
    <n v="0"/>
  </r>
  <r>
    <x v="777"/>
    <x v="2"/>
    <x v="1"/>
    <n v="8"/>
    <n v="22"/>
    <x v="14"/>
    <x v="13"/>
    <s v="cashloan"/>
    <n v="1526840000"/>
  </r>
  <r>
    <x v="777"/>
    <x v="2"/>
    <x v="1"/>
    <n v="8"/>
    <n v="22"/>
    <x v="33"/>
    <x v="13"/>
    <s v="cashloan"/>
    <n v="450400000"/>
  </r>
  <r>
    <x v="777"/>
    <x v="2"/>
    <x v="1"/>
    <n v="8"/>
    <n v="22"/>
    <x v="23"/>
    <x v="17"/>
    <s v="paylater"/>
    <n v="7949324"/>
  </r>
  <r>
    <x v="777"/>
    <x v="2"/>
    <x v="1"/>
    <n v="8"/>
    <n v="22"/>
    <x v="28"/>
    <x v="17"/>
    <s v="paylater"/>
    <n v="1054032746"/>
  </r>
  <r>
    <x v="777"/>
    <x v="2"/>
    <x v="1"/>
    <n v="8"/>
    <n v="22"/>
    <x v="8"/>
    <x v="8"/>
    <s v="cashloan"/>
    <n v="0"/>
  </r>
  <r>
    <x v="777"/>
    <x v="2"/>
    <x v="1"/>
    <n v="8"/>
    <n v="22"/>
    <x v="26"/>
    <x v="16"/>
    <s v="cashloan"/>
    <n v="15750000"/>
  </r>
  <r>
    <x v="777"/>
    <x v="2"/>
    <x v="1"/>
    <n v="8"/>
    <n v="22"/>
    <x v="32"/>
    <x v="16"/>
    <s v="cashloan"/>
    <n v="0"/>
  </r>
  <r>
    <x v="777"/>
    <x v="2"/>
    <x v="1"/>
    <n v="8"/>
    <n v="22"/>
    <x v="2"/>
    <x v="2"/>
    <s v="cashloan"/>
    <n v="7908400000"/>
  </r>
  <r>
    <x v="777"/>
    <x v="2"/>
    <x v="1"/>
    <n v="8"/>
    <n v="22"/>
    <x v="17"/>
    <x v="9"/>
    <s v="cashloan"/>
    <n v="0"/>
  </r>
  <r>
    <x v="777"/>
    <x v="2"/>
    <x v="1"/>
    <n v="8"/>
    <n v="22"/>
    <x v="20"/>
    <x v="9"/>
    <s v="cashloan"/>
    <n v="0"/>
  </r>
  <r>
    <x v="777"/>
    <x v="2"/>
    <x v="1"/>
    <n v="8"/>
    <n v="22"/>
    <x v="21"/>
    <x v="9"/>
    <s v="cashloan"/>
    <n v="0"/>
  </r>
  <r>
    <x v="777"/>
    <x v="2"/>
    <x v="1"/>
    <n v="8"/>
    <n v="22"/>
    <x v="25"/>
    <x v="2"/>
    <s v="cashloan"/>
    <n v="0"/>
  </r>
  <r>
    <x v="777"/>
    <x v="2"/>
    <x v="1"/>
    <n v="8"/>
    <n v="22"/>
    <x v="0"/>
    <x v="0"/>
    <s v="payday"/>
    <n v="8930412000"/>
  </r>
  <r>
    <x v="777"/>
    <x v="2"/>
    <x v="1"/>
    <n v="8"/>
    <n v="22"/>
    <x v="7"/>
    <x v="7"/>
    <s v="paylater"/>
    <n v="129829872"/>
  </r>
  <r>
    <x v="777"/>
    <x v="2"/>
    <x v="1"/>
    <n v="8"/>
    <n v="22"/>
    <x v="1"/>
    <x v="1"/>
    <s v="cashloan"/>
    <n v="109250000"/>
  </r>
  <r>
    <x v="777"/>
    <x v="2"/>
    <x v="1"/>
    <n v="8"/>
    <n v="22"/>
    <x v="6"/>
    <x v="6"/>
    <s v="payday"/>
    <n v="52000000"/>
  </r>
  <r>
    <x v="777"/>
    <x v="2"/>
    <x v="1"/>
    <n v="8"/>
    <n v="22"/>
    <x v="18"/>
    <x v="15"/>
    <s v="cashloan"/>
    <n v="500160000"/>
  </r>
  <r>
    <x v="777"/>
    <x v="2"/>
    <x v="1"/>
    <n v="8"/>
    <n v="22"/>
    <x v="29"/>
    <x v="20"/>
    <s v="payday"/>
    <n v="269352000"/>
  </r>
  <r>
    <x v="777"/>
    <x v="2"/>
    <x v="1"/>
    <n v="8"/>
    <n v="22"/>
    <x v="19"/>
    <x v="12"/>
    <s v="paylater"/>
    <n v="244266863"/>
  </r>
  <r>
    <x v="777"/>
    <x v="2"/>
    <x v="1"/>
    <n v="8"/>
    <n v="22"/>
    <x v="24"/>
    <x v="18"/>
    <s v="cashloan"/>
    <n v="1462680000"/>
  </r>
  <r>
    <x v="777"/>
    <x v="2"/>
    <x v="1"/>
    <n v="8"/>
    <n v="22"/>
    <x v="30"/>
    <x v="21"/>
    <s v="payday"/>
    <n v="354240000"/>
  </r>
  <r>
    <x v="778"/>
    <x v="2"/>
    <x v="1"/>
    <n v="9"/>
    <n v="23"/>
    <x v="3"/>
    <x v="3"/>
    <s v="cashloan"/>
    <n v="456650000"/>
  </r>
  <r>
    <x v="778"/>
    <x v="2"/>
    <x v="1"/>
    <n v="9"/>
    <n v="23"/>
    <x v="11"/>
    <x v="10"/>
    <s v="paylater"/>
    <n v="283424694"/>
  </r>
  <r>
    <x v="778"/>
    <x v="2"/>
    <x v="1"/>
    <n v="9"/>
    <n v="23"/>
    <x v="12"/>
    <x v="11"/>
    <s v="cashloan"/>
    <n v="10136260000"/>
  </r>
  <r>
    <x v="778"/>
    <x v="2"/>
    <x v="1"/>
    <n v="9"/>
    <n v="23"/>
    <x v="5"/>
    <x v="5"/>
    <s v="overdraft"/>
    <n v="2180900609"/>
  </r>
  <r>
    <x v="778"/>
    <x v="2"/>
    <x v="1"/>
    <n v="9"/>
    <n v="23"/>
    <x v="27"/>
    <x v="19"/>
    <s v="payday"/>
    <n v="18643608000"/>
  </r>
  <r>
    <x v="778"/>
    <x v="2"/>
    <x v="1"/>
    <n v="9"/>
    <n v="23"/>
    <x v="15"/>
    <x v="14"/>
    <s v="paylater"/>
    <n v="8811023"/>
  </r>
  <r>
    <x v="778"/>
    <x v="2"/>
    <x v="1"/>
    <n v="9"/>
    <n v="23"/>
    <x v="31"/>
    <x v="22"/>
    <s v="cashloan"/>
    <n v="0"/>
  </r>
  <r>
    <x v="778"/>
    <x v="2"/>
    <x v="1"/>
    <n v="9"/>
    <n v="23"/>
    <x v="14"/>
    <x v="13"/>
    <s v="cashloan"/>
    <n v="2430000000"/>
  </r>
  <r>
    <x v="778"/>
    <x v="2"/>
    <x v="1"/>
    <n v="9"/>
    <n v="23"/>
    <x v="33"/>
    <x v="13"/>
    <s v="cashloan"/>
    <n v="669890000"/>
  </r>
  <r>
    <x v="778"/>
    <x v="2"/>
    <x v="1"/>
    <n v="9"/>
    <n v="23"/>
    <x v="23"/>
    <x v="17"/>
    <s v="paylater"/>
    <n v="7807533"/>
  </r>
  <r>
    <x v="778"/>
    <x v="2"/>
    <x v="1"/>
    <n v="9"/>
    <n v="23"/>
    <x v="28"/>
    <x v="17"/>
    <s v="paylater"/>
    <n v="1025473591"/>
  </r>
  <r>
    <x v="778"/>
    <x v="2"/>
    <x v="1"/>
    <n v="9"/>
    <n v="23"/>
    <x v="8"/>
    <x v="8"/>
    <s v="cashloan"/>
    <n v="0"/>
  </r>
  <r>
    <x v="778"/>
    <x v="2"/>
    <x v="1"/>
    <n v="9"/>
    <n v="23"/>
    <x v="26"/>
    <x v="16"/>
    <s v="cashloan"/>
    <n v="83000000"/>
  </r>
  <r>
    <x v="778"/>
    <x v="2"/>
    <x v="1"/>
    <n v="9"/>
    <n v="23"/>
    <x v="32"/>
    <x v="16"/>
    <s v="cashloan"/>
    <n v="0"/>
  </r>
  <r>
    <x v="778"/>
    <x v="2"/>
    <x v="1"/>
    <n v="9"/>
    <n v="23"/>
    <x v="2"/>
    <x v="2"/>
    <s v="cashloan"/>
    <n v="10714010000"/>
  </r>
  <r>
    <x v="778"/>
    <x v="2"/>
    <x v="1"/>
    <n v="9"/>
    <n v="23"/>
    <x v="17"/>
    <x v="9"/>
    <s v="cashloan"/>
    <n v="0"/>
  </r>
  <r>
    <x v="778"/>
    <x v="2"/>
    <x v="1"/>
    <n v="9"/>
    <n v="23"/>
    <x v="20"/>
    <x v="9"/>
    <s v="cashloan"/>
    <n v="0"/>
  </r>
  <r>
    <x v="778"/>
    <x v="2"/>
    <x v="1"/>
    <n v="9"/>
    <n v="23"/>
    <x v="21"/>
    <x v="9"/>
    <s v="cashloan"/>
    <n v="0"/>
  </r>
  <r>
    <x v="778"/>
    <x v="2"/>
    <x v="1"/>
    <n v="9"/>
    <n v="23"/>
    <x v="25"/>
    <x v="2"/>
    <s v="cashloan"/>
    <n v="0"/>
  </r>
  <r>
    <x v="778"/>
    <x v="2"/>
    <x v="1"/>
    <n v="9"/>
    <n v="23"/>
    <x v="0"/>
    <x v="0"/>
    <s v="payday"/>
    <n v="11487204000"/>
  </r>
  <r>
    <x v="778"/>
    <x v="2"/>
    <x v="1"/>
    <n v="9"/>
    <n v="23"/>
    <x v="7"/>
    <x v="7"/>
    <s v="paylater"/>
    <n v="138188824"/>
  </r>
  <r>
    <x v="778"/>
    <x v="2"/>
    <x v="1"/>
    <n v="9"/>
    <n v="23"/>
    <x v="1"/>
    <x v="1"/>
    <s v="cashloan"/>
    <n v="52500000"/>
  </r>
  <r>
    <x v="778"/>
    <x v="2"/>
    <x v="1"/>
    <n v="9"/>
    <n v="23"/>
    <x v="6"/>
    <x v="6"/>
    <s v="payday"/>
    <n v="43000000"/>
  </r>
  <r>
    <x v="778"/>
    <x v="2"/>
    <x v="1"/>
    <n v="9"/>
    <n v="23"/>
    <x v="18"/>
    <x v="15"/>
    <s v="cashloan"/>
    <n v="756400000"/>
  </r>
  <r>
    <x v="778"/>
    <x v="2"/>
    <x v="1"/>
    <n v="9"/>
    <n v="23"/>
    <x v="29"/>
    <x v="20"/>
    <s v="payday"/>
    <n v="392580000"/>
  </r>
  <r>
    <x v="778"/>
    <x v="2"/>
    <x v="1"/>
    <n v="9"/>
    <n v="23"/>
    <x v="19"/>
    <x v="12"/>
    <s v="paylater"/>
    <n v="320598241"/>
  </r>
  <r>
    <x v="778"/>
    <x v="2"/>
    <x v="1"/>
    <n v="9"/>
    <n v="23"/>
    <x v="24"/>
    <x v="18"/>
    <s v="cashloan"/>
    <n v="2024080000"/>
  </r>
  <r>
    <x v="778"/>
    <x v="2"/>
    <x v="1"/>
    <n v="9"/>
    <n v="23"/>
    <x v="30"/>
    <x v="21"/>
    <s v="payday"/>
    <n v="357480000"/>
  </r>
  <r>
    <x v="779"/>
    <x v="2"/>
    <x v="1"/>
    <n v="9"/>
    <n v="24"/>
    <x v="3"/>
    <x v="3"/>
    <s v="cashloan"/>
    <n v="454700000"/>
  </r>
  <r>
    <x v="779"/>
    <x v="2"/>
    <x v="1"/>
    <n v="9"/>
    <n v="24"/>
    <x v="11"/>
    <x v="10"/>
    <s v="paylater"/>
    <n v="283287013"/>
  </r>
  <r>
    <x v="779"/>
    <x v="2"/>
    <x v="1"/>
    <n v="9"/>
    <n v="24"/>
    <x v="12"/>
    <x v="11"/>
    <s v="cashloan"/>
    <n v="9067840000"/>
  </r>
  <r>
    <x v="779"/>
    <x v="2"/>
    <x v="1"/>
    <n v="9"/>
    <n v="24"/>
    <x v="5"/>
    <x v="5"/>
    <s v="overdraft"/>
    <n v="1935620045"/>
  </r>
  <r>
    <x v="779"/>
    <x v="2"/>
    <x v="1"/>
    <n v="9"/>
    <n v="24"/>
    <x v="27"/>
    <x v="19"/>
    <s v="payday"/>
    <n v="13664808000"/>
  </r>
  <r>
    <x v="779"/>
    <x v="2"/>
    <x v="1"/>
    <n v="9"/>
    <n v="24"/>
    <x v="15"/>
    <x v="14"/>
    <s v="paylater"/>
    <n v="3443210"/>
  </r>
  <r>
    <x v="779"/>
    <x v="2"/>
    <x v="1"/>
    <n v="9"/>
    <n v="24"/>
    <x v="31"/>
    <x v="22"/>
    <s v="cashloan"/>
    <n v="0"/>
  </r>
  <r>
    <x v="779"/>
    <x v="2"/>
    <x v="1"/>
    <n v="9"/>
    <n v="24"/>
    <x v="14"/>
    <x v="13"/>
    <s v="cashloan"/>
    <n v="2456100000"/>
  </r>
  <r>
    <x v="779"/>
    <x v="2"/>
    <x v="1"/>
    <n v="9"/>
    <n v="24"/>
    <x v="33"/>
    <x v="13"/>
    <s v="cashloan"/>
    <n v="871680000"/>
  </r>
  <r>
    <x v="779"/>
    <x v="2"/>
    <x v="1"/>
    <n v="9"/>
    <n v="24"/>
    <x v="23"/>
    <x v="17"/>
    <s v="paylater"/>
    <n v="7922883"/>
  </r>
  <r>
    <x v="779"/>
    <x v="2"/>
    <x v="1"/>
    <n v="9"/>
    <n v="24"/>
    <x v="28"/>
    <x v="17"/>
    <s v="paylater"/>
    <n v="761753633"/>
  </r>
  <r>
    <x v="779"/>
    <x v="2"/>
    <x v="1"/>
    <n v="9"/>
    <n v="24"/>
    <x v="8"/>
    <x v="8"/>
    <s v="cashloan"/>
    <n v="0"/>
  </r>
  <r>
    <x v="779"/>
    <x v="2"/>
    <x v="1"/>
    <n v="9"/>
    <n v="24"/>
    <x v="26"/>
    <x v="16"/>
    <s v="cashloan"/>
    <n v="30500000"/>
  </r>
  <r>
    <x v="779"/>
    <x v="2"/>
    <x v="1"/>
    <n v="9"/>
    <n v="24"/>
    <x v="32"/>
    <x v="16"/>
    <s v="cashloan"/>
    <n v="0"/>
  </r>
  <r>
    <x v="779"/>
    <x v="2"/>
    <x v="1"/>
    <n v="9"/>
    <n v="24"/>
    <x v="2"/>
    <x v="2"/>
    <s v="cashloan"/>
    <n v="10193390000"/>
  </r>
  <r>
    <x v="779"/>
    <x v="2"/>
    <x v="1"/>
    <n v="9"/>
    <n v="24"/>
    <x v="17"/>
    <x v="9"/>
    <s v="cashloan"/>
    <n v="0"/>
  </r>
  <r>
    <x v="779"/>
    <x v="2"/>
    <x v="1"/>
    <n v="9"/>
    <n v="24"/>
    <x v="20"/>
    <x v="9"/>
    <s v="cashloan"/>
    <n v="0"/>
  </r>
  <r>
    <x v="779"/>
    <x v="2"/>
    <x v="1"/>
    <n v="9"/>
    <n v="24"/>
    <x v="21"/>
    <x v="9"/>
    <s v="cashloan"/>
    <n v="0"/>
  </r>
  <r>
    <x v="779"/>
    <x v="2"/>
    <x v="1"/>
    <n v="9"/>
    <n v="24"/>
    <x v="25"/>
    <x v="2"/>
    <s v="cashloan"/>
    <n v="0"/>
  </r>
  <r>
    <x v="779"/>
    <x v="2"/>
    <x v="1"/>
    <n v="9"/>
    <n v="24"/>
    <x v="0"/>
    <x v="0"/>
    <s v="payday"/>
    <n v="9525708000"/>
  </r>
  <r>
    <x v="779"/>
    <x v="2"/>
    <x v="1"/>
    <n v="9"/>
    <n v="24"/>
    <x v="7"/>
    <x v="7"/>
    <s v="paylater"/>
    <n v="162284261"/>
  </r>
  <r>
    <x v="779"/>
    <x v="2"/>
    <x v="1"/>
    <n v="9"/>
    <n v="24"/>
    <x v="1"/>
    <x v="1"/>
    <s v="cashloan"/>
    <n v="42000000"/>
  </r>
  <r>
    <x v="779"/>
    <x v="2"/>
    <x v="1"/>
    <n v="9"/>
    <n v="24"/>
    <x v="6"/>
    <x v="6"/>
    <s v="payday"/>
    <n v="55000000"/>
  </r>
  <r>
    <x v="779"/>
    <x v="2"/>
    <x v="1"/>
    <n v="9"/>
    <n v="24"/>
    <x v="18"/>
    <x v="15"/>
    <s v="cashloan"/>
    <n v="831980000"/>
  </r>
  <r>
    <x v="779"/>
    <x v="2"/>
    <x v="1"/>
    <n v="9"/>
    <n v="24"/>
    <x v="29"/>
    <x v="20"/>
    <s v="payday"/>
    <n v="341280000"/>
  </r>
  <r>
    <x v="779"/>
    <x v="2"/>
    <x v="1"/>
    <n v="9"/>
    <n v="24"/>
    <x v="19"/>
    <x v="12"/>
    <s v="paylater"/>
    <n v="339130789"/>
  </r>
  <r>
    <x v="779"/>
    <x v="2"/>
    <x v="1"/>
    <n v="9"/>
    <n v="24"/>
    <x v="24"/>
    <x v="18"/>
    <s v="cashloan"/>
    <n v="2192730000"/>
  </r>
  <r>
    <x v="779"/>
    <x v="2"/>
    <x v="1"/>
    <n v="9"/>
    <n v="24"/>
    <x v="30"/>
    <x v="21"/>
    <s v="payday"/>
    <n v="366120000"/>
  </r>
  <r>
    <x v="780"/>
    <x v="2"/>
    <x v="1"/>
    <n v="9"/>
    <n v="25"/>
    <x v="3"/>
    <x v="3"/>
    <s v="cashloan"/>
    <n v="269850000"/>
  </r>
  <r>
    <x v="780"/>
    <x v="2"/>
    <x v="1"/>
    <n v="9"/>
    <n v="25"/>
    <x v="11"/>
    <x v="10"/>
    <s v="paylater"/>
    <n v="295929344"/>
  </r>
  <r>
    <x v="780"/>
    <x v="2"/>
    <x v="1"/>
    <n v="9"/>
    <n v="25"/>
    <x v="12"/>
    <x v="11"/>
    <s v="cashloan"/>
    <n v="9953570000"/>
  </r>
  <r>
    <x v="780"/>
    <x v="2"/>
    <x v="1"/>
    <n v="9"/>
    <n v="25"/>
    <x v="5"/>
    <x v="5"/>
    <s v="overdraft"/>
    <n v="2079070507"/>
  </r>
  <r>
    <x v="780"/>
    <x v="2"/>
    <x v="1"/>
    <n v="9"/>
    <n v="25"/>
    <x v="27"/>
    <x v="19"/>
    <s v="payday"/>
    <n v="13688676000"/>
  </r>
  <r>
    <x v="780"/>
    <x v="2"/>
    <x v="1"/>
    <n v="9"/>
    <n v="25"/>
    <x v="15"/>
    <x v="14"/>
    <s v="paylater"/>
    <n v="12319883"/>
  </r>
  <r>
    <x v="780"/>
    <x v="2"/>
    <x v="1"/>
    <n v="9"/>
    <n v="25"/>
    <x v="31"/>
    <x v="22"/>
    <s v="cashloan"/>
    <n v="0"/>
  </r>
  <r>
    <x v="780"/>
    <x v="2"/>
    <x v="1"/>
    <n v="9"/>
    <n v="25"/>
    <x v="14"/>
    <x v="13"/>
    <s v="cashloan"/>
    <n v="2727830000"/>
  </r>
  <r>
    <x v="780"/>
    <x v="2"/>
    <x v="1"/>
    <n v="9"/>
    <n v="25"/>
    <x v="33"/>
    <x v="13"/>
    <s v="cashloan"/>
    <n v="949020000"/>
  </r>
  <r>
    <x v="780"/>
    <x v="2"/>
    <x v="1"/>
    <n v="9"/>
    <n v="25"/>
    <x v="23"/>
    <x v="17"/>
    <s v="paylater"/>
    <n v="33547368"/>
  </r>
  <r>
    <x v="780"/>
    <x v="2"/>
    <x v="1"/>
    <n v="9"/>
    <n v="25"/>
    <x v="28"/>
    <x v="17"/>
    <s v="paylater"/>
    <n v="938990697"/>
  </r>
  <r>
    <x v="780"/>
    <x v="2"/>
    <x v="1"/>
    <n v="9"/>
    <n v="25"/>
    <x v="8"/>
    <x v="8"/>
    <s v="cashloan"/>
    <n v="0"/>
  </r>
  <r>
    <x v="780"/>
    <x v="2"/>
    <x v="1"/>
    <n v="9"/>
    <n v="25"/>
    <x v="26"/>
    <x v="16"/>
    <s v="cashloan"/>
    <n v="72500000"/>
  </r>
  <r>
    <x v="780"/>
    <x v="2"/>
    <x v="1"/>
    <n v="9"/>
    <n v="25"/>
    <x v="32"/>
    <x v="16"/>
    <s v="cashloan"/>
    <n v="0"/>
  </r>
  <r>
    <x v="780"/>
    <x v="2"/>
    <x v="1"/>
    <n v="9"/>
    <n v="25"/>
    <x v="2"/>
    <x v="2"/>
    <s v="cashloan"/>
    <n v="10302190000"/>
  </r>
  <r>
    <x v="780"/>
    <x v="2"/>
    <x v="1"/>
    <n v="9"/>
    <n v="25"/>
    <x v="17"/>
    <x v="9"/>
    <s v="cashloan"/>
    <n v="0"/>
  </r>
  <r>
    <x v="780"/>
    <x v="2"/>
    <x v="1"/>
    <n v="9"/>
    <n v="25"/>
    <x v="20"/>
    <x v="9"/>
    <s v="cashloan"/>
    <n v="0"/>
  </r>
  <r>
    <x v="780"/>
    <x v="2"/>
    <x v="1"/>
    <n v="9"/>
    <n v="25"/>
    <x v="21"/>
    <x v="9"/>
    <s v="cashloan"/>
    <n v="0"/>
  </r>
  <r>
    <x v="780"/>
    <x v="2"/>
    <x v="1"/>
    <n v="9"/>
    <n v="25"/>
    <x v="25"/>
    <x v="2"/>
    <s v="cashloan"/>
    <n v="0"/>
  </r>
  <r>
    <x v="780"/>
    <x v="2"/>
    <x v="1"/>
    <n v="9"/>
    <n v="25"/>
    <x v="0"/>
    <x v="0"/>
    <s v="payday"/>
    <n v="10211292000"/>
  </r>
  <r>
    <x v="780"/>
    <x v="2"/>
    <x v="1"/>
    <n v="9"/>
    <n v="25"/>
    <x v="7"/>
    <x v="7"/>
    <s v="paylater"/>
    <n v="175329420"/>
  </r>
  <r>
    <x v="780"/>
    <x v="2"/>
    <x v="1"/>
    <n v="9"/>
    <n v="25"/>
    <x v="1"/>
    <x v="1"/>
    <s v="cashloan"/>
    <n v="42000000"/>
  </r>
  <r>
    <x v="780"/>
    <x v="2"/>
    <x v="1"/>
    <n v="9"/>
    <n v="25"/>
    <x v="6"/>
    <x v="6"/>
    <s v="payday"/>
    <n v="51000000"/>
  </r>
  <r>
    <x v="780"/>
    <x v="2"/>
    <x v="1"/>
    <n v="9"/>
    <n v="25"/>
    <x v="18"/>
    <x v="15"/>
    <s v="cashloan"/>
    <n v="504460000"/>
  </r>
  <r>
    <x v="780"/>
    <x v="2"/>
    <x v="1"/>
    <n v="9"/>
    <n v="25"/>
    <x v="29"/>
    <x v="20"/>
    <s v="payday"/>
    <n v="285336000"/>
  </r>
  <r>
    <x v="780"/>
    <x v="2"/>
    <x v="1"/>
    <n v="9"/>
    <n v="25"/>
    <x v="19"/>
    <x v="12"/>
    <s v="paylater"/>
    <n v="352897049"/>
  </r>
  <r>
    <x v="780"/>
    <x v="2"/>
    <x v="1"/>
    <n v="9"/>
    <n v="25"/>
    <x v="24"/>
    <x v="18"/>
    <s v="cashloan"/>
    <n v="2264870000"/>
  </r>
  <r>
    <x v="780"/>
    <x v="2"/>
    <x v="1"/>
    <n v="9"/>
    <n v="25"/>
    <x v="30"/>
    <x v="21"/>
    <s v="payday"/>
    <n v="401760000"/>
  </r>
  <r>
    <x v="781"/>
    <x v="2"/>
    <x v="1"/>
    <n v="9"/>
    <n v="26"/>
    <x v="3"/>
    <x v="3"/>
    <s v="cashloan"/>
    <n v="438300000"/>
  </r>
  <r>
    <x v="781"/>
    <x v="2"/>
    <x v="1"/>
    <n v="9"/>
    <n v="26"/>
    <x v="11"/>
    <x v="10"/>
    <s v="paylater"/>
    <n v="320224994"/>
  </r>
  <r>
    <x v="781"/>
    <x v="2"/>
    <x v="1"/>
    <n v="9"/>
    <n v="26"/>
    <x v="12"/>
    <x v="11"/>
    <s v="cashloan"/>
    <n v="8898300000"/>
  </r>
  <r>
    <x v="781"/>
    <x v="2"/>
    <x v="1"/>
    <n v="9"/>
    <n v="26"/>
    <x v="5"/>
    <x v="5"/>
    <s v="overdraft"/>
    <n v="1709680434"/>
  </r>
  <r>
    <x v="781"/>
    <x v="2"/>
    <x v="1"/>
    <n v="9"/>
    <n v="26"/>
    <x v="27"/>
    <x v="19"/>
    <s v="payday"/>
    <n v="12725100000"/>
  </r>
  <r>
    <x v="781"/>
    <x v="2"/>
    <x v="1"/>
    <n v="9"/>
    <n v="26"/>
    <x v="15"/>
    <x v="14"/>
    <s v="paylater"/>
    <n v="12107317"/>
  </r>
  <r>
    <x v="781"/>
    <x v="2"/>
    <x v="1"/>
    <n v="9"/>
    <n v="26"/>
    <x v="31"/>
    <x v="22"/>
    <s v="cashloan"/>
    <n v="29000000"/>
  </r>
  <r>
    <x v="781"/>
    <x v="2"/>
    <x v="1"/>
    <n v="9"/>
    <n v="26"/>
    <x v="14"/>
    <x v="13"/>
    <s v="cashloan"/>
    <n v="1860980000"/>
  </r>
  <r>
    <x v="781"/>
    <x v="2"/>
    <x v="1"/>
    <n v="9"/>
    <n v="26"/>
    <x v="33"/>
    <x v="13"/>
    <s v="cashloan"/>
    <n v="900790000"/>
  </r>
  <r>
    <x v="781"/>
    <x v="2"/>
    <x v="1"/>
    <n v="9"/>
    <n v="26"/>
    <x v="23"/>
    <x v="17"/>
    <s v="paylater"/>
    <n v="16838744"/>
  </r>
  <r>
    <x v="781"/>
    <x v="2"/>
    <x v="1"/>
    <n v="9"/>
    <n v="26"/>
    <x v="28"/>
    <x v="17"/>
    <s v="paylater"/>
    <n v="841888111"/>
  </r>
  <r>
    <x v="781"/>
    <x v="2"/>
    <x v="1"/>
    <n v="9"/>
    <n v="26"/>
    <x v="8"/>
    <x v="8"/>
    <s v="cashloan"/>
    <n v="0"/>
  </r>
  <r>
    <x v="781"/>
    <x v="2"/>
    <x v="1"/>
    <n v="9"/>
    <n v="26"/>
    <x v="26"/>
    <x v="16"/>
    <s v="cashloan"/>
    <n v="41250000"/>
  </r>
  <r>
    <x v="781"/>
    <x v="2"/>
    <x v="1"/>
    <n v="9"/>
    <n v="26"/>
    <x v="32"/>
    <x v="16"/>
    <s v="cashloan"/>
    <n v="0"/>
  </r>
  <r>
    <x v="781"/>
    <x v="2"/>
    <x v="1"/>
    <n v="9"/>
    <n v="26"/>
    <x v="2"/>
    <x v="2"/>
    <s v="cashloan"/>
    <n v="10847910000"/>
  </r>
  <r>
    <x v="781"/>
    <x v="2"/>
    <x v="1"/>
    <n v="9"/>
    <n v="26"/>
    <x v="17"/>
    <x v="9"/>
    <s v="cashloan"/>
    <n v="0"/>
  </r>
  <r>
    <x v="781"/>
    <x v="2"/>
    <x v="1"/>
    <n v="9"/>
    <n v="26"/>
    <x v="20"/>
    <x v="9"/>
    <s v="cashloan"/>
    <n v="0"/>
  </r>
  <r>
    <x v="781"/>
    <x v="2"/>
    <x v="1"/>
    <n v="9"/>
    <n v="26"/>
    <x v="21"/>
    <x v="9"/>
    <s v="cashloan"/>
    <n v="0"/>
  </r>
  <r>
    <x v="781"/>
    <x v="2"/>
    <x v="1"/>
    <n v="9"/>
    <n v="26"/>
    <x v="25"/>
    <x v="2"/>
    <s v="cashloan"/>
    <n v="0"/>
  </r>
  <r>
    <x v="781"/>
    <x v="2"/>
    <x v="1"/>
    <n v="9"/>
    <n v="26"/>
    <x v="0"/>
    <x v="0"/>
    <s v="payday"/>
    <n v="9692460000"/>
  </r>
  <r>
    <x v="781"/>
    <x v="2"/>
    <x v="1"/>
    <n v="9"/>
    <n v="26"/>
    <x v="7"/>
    <x v="7"/>
    <s v="paylater"/>
    <n v="157400360"/>
  </r>
  <r>
    <x v="781"/>
    <x v="2"/>
    <x v="1"/>
    <n v="9"/>
    <n v="26"/>
    <x v="1"/>
    <x v="1"/>
    <s v="cashloan"/>
    <n v="52500000"/>
  </r>
  <r>
    <x v="781"/>
    <x v="2"/>
    <x v="1"/>
    <n v="9"/>
    <n v="26"/>
    <x v="6"/>
    <x v="6"/>
    <s v="payday"/>
    <n v="21000000"/>
  </r>
  <r>
    <x v="781"/>
    <x v="2"/>
    <x v="1"/>
    <n v="9"/>
    <n v="26"/>
    <x v="18"/>
    <x v="15"/>
    <s v="cashloan"/>
    <n v="633600000"/>
  </r>
  <r>
    <x v="781"/>
    <x v="2"/>
    <x v="1"/>
    <n v="9"/>
    <n v="26"/>
    <x v="29"/>
    <x v="20"/>
    <s v="payday"/>
    <n v="240624000"/>
  </r>
  <r>
    <x v="781"/>
    <x v="2"/>
    <x v="1"/>
    <n v="9"/>
    <n v="26"/>
    <x v="19"/>
    <x v="12"/>
    <s v="paylater"/>
    <n v="381068555"/>
  </r>
  <r>
    <x v="781"/>
    <x v="2"/>
    <x v="1"/>
    <n v="9"/>
    <n v="26"/>
    <x v="24"/>
    <x v="18"/>
    <s v="cashloan"/>
    <n v="2354610000"/>
  </r>
  <r>
    <x v="781"/>
    <x v="2"/>
    <x v="1"/>
    <n v="9"/>
    <n v="26"/>
    <x v="30"/>
    <x v="21"/>
    <s v="payday"/>
    <n v="414720000"/>
  </r>
  <r>
    <x v="782"/>
    <x v="2"/>
    <x v="1"/>
    <n v="9"/>
    <n v="27"/>
    <x v="3"/>
    <x v="3"/>
    <s v="cashloan"/>
    <n v="403050000"/>
  </r>
  <r>
    <x v="782"/>
    <x v="2"/>
    <x v="1"/>
    <n v="9"/>
    <n v="27"/>
    <x v="11"/>
    <x v="10"/>
    <s v="paylater"/>
    <n v="273787154"/>
  </r>
  <r>
    <x v="782"/>
    <x v="2"/>
    <x v="1"/>
    <n v="9"/>
    <n v="27"/>
    <x v="12"/>
    <x v="11"/>
    <s v="cashloan"/>
    <n v="9579890000"/>
  </r>
  <r>
    <x v="782"/>
    <x v="2"/>
    <x v="1"/>
    <n v="9"/>
    <n v="27"/>
    <x v="5"/>
    <x v="5"/>
    <s v="overdraft"/>
    <n v="2035848864"/>
  </r>
  <r>
    <x v="782"/>
    <x v="2"/>
    <x v="1"/>
    <n v="9"/>
    <n v="27"/>
    <x v="27"/>
    <x v="19"/>
    <s v="payday"/>
    <n v="13109364000"/>
  </r>
  <r>
    <x v="782"/>
    <x v="2"/>
    <x v="1"/>
    <n v="9"/>
    <n v="27"/>
    <x v="15"/>
    <x v="14"/>
    <s v="paylater"/>
    <n v="7089201"/>
  </r>
  <r>
    <x v="782"/>
    <x v="2"/>
    <x v="1"/>
    <n v="9"/>
    <n v="27"/>
    <x v="31"/>
    <x v="22"/>
    <s v="cashloan"/>
    <n v="0"/>
  </r>
  <r>
    <x v="782"/>
    <x v="2"/>
    <x v="1"/>
    <n v="9"/>
    <n v="27"/>
    <x v="14"/>
    <x v="13"/>
    <s v="cashloan"/>
    <n v="2015920000"/>
  </r>
  <r>
    <x v="782"/>
    <x v="2"/>
    <x v="1"/>
    <n v="9"/>
    <n v="27"/>
    <x v="33"/>
    <x v="13"/>
    <s v="cashloan"/>
    <n v="988260000"/>
  </r>
  <r>
    <x v="782"/>
    <x v="2"/>
    <x v="1"/>
    <n v="9"/>
    <n v="27"/>
    <x v="23"/>
    <x v="17"/>
    <s v="paylater"/>
    <n v="9437228"/>
  </r>
  <r>
    <x v="782"/>
    <x v="2"/>
    <x v="1"/>
    <n v="9"/>
    <n v="27"/>
    <x v="28"/>
    <x v="17"/>
    <s v="paylater"/>
    <n v="960373872"/>
  </r>
  <r>
    <x v="782"/>
    <x v="2"/>
    <x v="1"/>
    <n v="9"/>
    <n v="27"/>
    <x v="8"/>
    <x v="8"/>
    <s v="cashloan"/>
    <n v="0"/>
  </r>
  <r>
    <x v="782"/>
    <x v="2"/>
    <x v="1"/>
    <n v="9"/>
    <n v="27"/>
    <x v="26"/>
    <x v="16"/>
    <s v="cashloan"/>
    <n v="21000000"/>
  </r>
  <r>
    <x v="782"/>
    <x v="2"/>
    <x v="1"/>
    <n v="9"/>
    <n v="27"/>
    <x v="32"/>
    <x v="16"/>
    <s v="cashloan"/>
    <n v="0"/>
  </r>
  <r>
    <x v="782"/>
    <x v="2"/>
    <x v="1"/>
    <n v="9"/>
    <n v="27"/>
    <x v="2"/>
    <x v="2"/>
    <s v="cashloan"/>
    <n v="11525560000"/>
  </r>
  <r>
    <x v="782"/>
    <x v="2"/>
    <x v="1"/>
    <n v="9"/>
    <n v="27"/>
    <x v="17"/>
    <x v="9"/>
    <s v="cashloan"/>
    <n v="0"/>
  </r>
  <r>
    <x v="782"/>
    <x v="2"/>
    <x v="1"/>
    <n v="9"/>
    <n v="27"/>
    <x v="20"/>
    <x v="9"/>
    <s v="cashloan"/>
    <n v="0"/>
  </r>
  <r>
    <x v="782"/>
    <x v="2"/>
    <x v="1"/>
    <n v="9"/>
    <n v="27"/>
    <x v="21"/>
    <x v="9"/>
    <s v="cashloan"/>
    <n v="0"/>
  </r>
  <r>
    <x v="782"/>
    <x v="2"/>
    <x v="1"/>
    <n v="9"/>
    <n v="27"/>
    <x v="25"/>
    <x v="2"/>
    <s v="cashloan"/>
    <n v="0"/>
  </r>
  <r>
    <x v="782"/>
    <x v="2"/>
    <x v="1"/>
    <n v="9"/>
    <n v="27"/>
    <x v="0"/>
    <x v="0"/>
    <s v="payday"/>
    <n v="10505916000"/>
  </r>
  <r>
    <x v="782"/>
    <x v="2"/>
    <x v="1"/>
    <n v="9"/>
    <n v="27"/>
    <x v="7"/>
    <x v="7"/>
    <s v="paylater"/>
    <n v="150728976"/>
  </r>
  <r>
    <x v="782"/>
    <x v="2"/>
    <x v="1"/>
    <n v="9"/>
    <n v="27"/>
    <x v="1"/>
    <x v="1"/>
    <s v="cashloan"/>
    <n v="0"/>
  </r>
  <r>
    <x v="782"/>
    <x v="2"/>
    <x v="1"/>
    <n v="9"/>
    <n v="27"/>
    <x v="6"/>
    <x v="6"/>
    <s v="payday"/>
    <n v="50000000"/>
  </r>
  <r>
    <x v="782"/>
    <x v="2"/>
    <x v="1"/>
    <n v="9"/>
    <n v="27"/>
    <x v="18"/>
    <x v="15"/>
    <s v="cashloan"/>
    <n v="943050000"/>
  </r>
  <r>
    <x v="782"/>
    <x v="2"/>
    <x v="1"/>
    <n v="9"/>
    <n v="27"/>
    <x v="29"/>
    <x v="20"/>
    <s v="payday"/>
    <n v="224748000"/>
  </r>
  <r>
    <x v="782"/>
    <x v="2"/>
    <x v="1"/>
    <n v="9"/>
    <n v="27"/>
    <x v="19"/>
    <x v="12"/>
    <s v="paylater"/>
    <n v="472738951"/>
  </r>
  <r>
    <x v="782"/>
    <x v="2"/>
    <x v="1"/>
    <n v="9"/>
    <n v="27"/>
    <x v="24"/>
    <x v="18"/>
    <s v="cashloan"/>
    <n v="2136490000"/>
  </r>
  <r>
    <x v="782"/>
    <x v="2"/>
    <x v="1"/>
    <n v="9"/>
    <n v="27"/>
    <x v="30"/>
    <x v="21"/>
    <s v="payday"/>
    <n v="384480000"/>
  </r>
  <r>
    <x v="783"/>
    <x v="2"/>
    <x v="1"/>
    <n v="9"/>
    <n v="28"/>
    <x v="3"/>
    <x v="3"/>
    <s v="cashloan"/>
    <n v="454250000"/>
  </r>
  <r>
    <x v="783"/>
    <x v="2"/>
    <x v="1"/>
    <n v="9"/>
    <n v="28"/>
    <x v="11"/>
    <x v="10"/>
    <s v="paylater"/>
    <n v="285496773"/>
  </r>
  <r>
    <x v="783"/>
    <x v="2"/>
    <x v="1"/>
    <n v="9"/>
    <n v="28"/>
    <x v="12"/>
    <x v="11"/>
    <s v="cashloan"/>
    <n v="9419310000"/>
  </r>
  <r>
    <x v="783"/>
    <x v="2"/>
    <x v="1"/>
    <n v="9"/>
    <n v="28"/>
    <x v="5"/>
    <x v="5"/>
    <s v="overdraft"/>
    <n v="2038506007"/>
  </r>
  <r>
    <x v="783"/>
    <x v="2"/>
    <x v="1"/>
    <n v="9"/>
    <n v="28"/>
    <x v="27"/>
    <x v="19"/>
    <s v="payday"/>
    <n v="12960324000"/>
  </r>
  <r>
    <x v="783"/>
    <x v="2"/>
    <x v="1"/>
    <n v="9"/>
    <n v="28"/>
    <x v="15"/>
    <x v="14"/>
    <s v="paylater"/>
    <n v="14951163"/>
  </r>
  <r>
    <x v="783"/>
    <x v="2"/>
    <x v="1"/>
    <n v="9"/>
    <n v="28"/>
    <x v="31"/>
    <x v="22"/>
    <s v="cashloan"/>
    <n v="90000000"/>
  </r>
  <r>
    <x v="783"/>
    <x v="2"/>
    <x v="1"/>
    <n v="9"/>
    <n v="28"/>
    <x v="14"/>
    <x v="13"/>
    <s v="cashloan"/>
    <n v="2253560000"/>
  </r>
  <r>
    <x v="783"/>
    <x v="2"/>
    <x v="1"/>
    <n v="9"/>
    <n v="28"/>
    <x v="33"/>
    <x v="13"/>
    <s v="cashloan"/>
    <n v="1114190000"/>
  </r>
  <r>
    <x v="783"/>
    <x v="2"/>
    <x v="1"/>
    <n v="9"/>
    <n v="28"/>
    <x v="23"/>
    <x v="17"/>
    <s v="paylater"/>
    <n v="11819380"/>
  </r>
  <r>
    <x v="783"/>
    <x v="2"/>
    <x v="1"/>
    <n v="9"/>
    <n v="28"/>
    <x v="28"/>
    <x v="17"/>
    <s v="paylater"/>
    <n v="1156345072"/>
  </r>
  <r>
    <x v="783"/>
    <x v="2"/>
    <x v="1"/>
    <n v="9"/>
    <n v="28"/>
    <x v="8"/>
    <x v="8"/>
    <s v="cashloan"/>
    <n v="0"/>
  </r>
  <r>
    <x v="783"/>
    <x v="2"/>
    <x v="1"/>
    <n v="9"/>
    <n v="28"/>
    <x v="26"/>
    <x v="16"/>
    <s v="cashloan"/>
    <n v="0"/>
  </r>
  <r>
    <x v="783"/>
    <x v="2"/>
    <x v="1"/>
    <n v="9"/>
    <n v="28"/>
    <x v="32"/>
    <x v="16"/>
    <s v="cashloan"/>
    <n v="0"/>
  </r>
  <r>
    <x v="783"/>
    <x v="2"/>
    <x v="1"/>
    <n v="9"/>
    <n v="28"/>
    <x v="2"/>
    <x v="2"/>
    <s v="cashloan"/>
    <n v="10730150000"/>
  </r>
  <r>
    <x v="783"/>
    <x v="2"/>
    <x v="1"/>
    <n v="9"/>
    <n v="28"/>
    <x v="17"/>
    <x v="9"/>
    <s v="cashloan"/>
    <n v="0"/>
  </r>
  <r>
    <x v="783"/>
    <x v="2"/>
    <x v="1"/>
    <n v="9"/>
    <n v="28"/>
    <x v="20"/>
    <x v="9"/>
    <s v="cashloan"/>
    <n v="0"/>
  </r>
  <r>
    <x v="783"/>
    <x v="2"/>
    <x v="1"/>
    <n v="9"/>
    <n v="28"/>
    <x v="21"/>
    <x v="9"/>
    <s v="cashloan"/>
    <n v="0"/>
  </r>
  <r>
    <x v="783"/>
    <x v="2"/>
    <x v="1"/>
    <n v="9"/>
    <n v="28"/>
    <x v="25"/>
    <x v="2"/>
    <s v="cashloan"/>
    <n v="0"/>
  </r>
  <r>
    <x v="783"/>
    <x v="2"/>
    <x v="1"/>
    <n v="9"/>
    <n v="28"/>
    <x v="0"/>
    <x v="0"/>
    <s v="payday"/>
    <n v="10585296000"/>
  </r>
  <r>
    <x v="783"/>
    <x v="2"/>
    <x v="1"/>
    <n v="9"/>
    <n v="28"/>
    <x v="7"/>
    <x v="7"/>
    <s v="paylater"/>
    <n v="146266557"/>
  </r>
  <r>
    <x v="783"/>
    <x v="2"/>
    <x v="1"/>
    <n v="9"/>
    <n v="28"/>
    <x v="1"/>
    <x v="1"/>
    <s v="cashloan"/>
    <n v="20500000"/>
  </r>
  <r>
    <x v="783"/>
    <x v="2"/>
    <x v="1"/>
    <n v="9"/>
    <n v="28"/>
    <x v="6"/>
    <x v="6"/>
    <s v="payday"/>
    <n v="34000000"/>
  </r>
  <r>
    <x v="783"/>
    <x v="2"/>
    <x v="1"/>
    <n v="9"/>
    <n v="28"/>
    <x v="18"/>
    <x v="15"/>
    <s v="cashloan"/>
    <n v="667490000"/>
  </r>
  <r>
    <x v="783"/>
    <x v="2"/>
    <x v="1"/>
    <n v="9"/>
    <n v="28"/>
    <x v="29"/>
    <x v="20"/>
    <s v="payday"/>
    <n v="323892000"/>
  </r>
  <r>
    <x v="783"/>
    <x v="2"/>
    <x v="1"/>
    <n v="9"/>
    <n v="28"/>
    <x v="19"/>
    <x v="12"/>
    <s v="paylater"/>
    <n v="455690480"/>
  </r>
  <r>
    <x v="783"/>
    <x v="2"/>
    <x v="1"/>
    <n v="9"/>
    <n v="28"/>
    <x v="24"/>
    <x v="18"/>
    <s v="cashloan"/>
    <n v="2177870000"/>
  </r>
  <r>
    <x v="783"/>
    <x v="2"/>
    <x v="1"/>
    <n v="9"/>
    <n v="28"/>
    <x v="30"/>
    <x v="21"/>
    <s v="payday"/>
    <n v="463320000"/>
  </r>
  <r>
    <x v="784"/>
    <x v="2"/>
    <x v="2"/>
    <n v="9"/>
    <n v="1"/>
    <x v="3"/>
    <x v="3"/>
    <s v="cashloan"/>
    <n v="583800000"/>
  </r>
  <r>
    <x v="784"/>
    <x v="2"/>
    <x v="2"/>
    <n v="9"/>
    <n v="1"/>
    <x v="11"/>
    <x v="10"/>
    <s v="paylater"/>
    <n v="300405796"/>
  </r>
  <r>
    <x v="784"/>
    <x v="2"/>
    <x v="2"/>
    <n v="9"/>
    <n v="1"/>
    <x v="12"/>
    <x v="11"/>
    <s v="cashloan"/>
    <n v="9480850000"/>
  </r>
  <r>
    <x v="784"/>
    <x v="2"/>
    <x v="2"/>
    <n v="9"/>
    <n v="1"/>
    <x v="5"/>
    <x v="5"/>
    <s v="overdraft"/>
    <n v="2923609940"/>
  </r>
  <r>
    <x v="784"/>
    <x v="2"/>
    <x v="2"/>
    <n v="9"/>
    <n v="1"/>
    <x v="27"/>
    <x v="19"/>
    <s v="payday"/>
    <n v="14175540000"/>
  </r>
  <r>
    <x v="784"/>
    <x v="2"/>
    <x v="2"/>
    <n v="9"/>
    <n v="1"/>
    <x v="15"/>
    <x v="14"/>
    <s v="paylater"/>
    <n v="3332217"/>
  </r>
  <r>
    <x v="784"/>
    <x v="2"/>
    <x v="2"/>
    <n v="9"/>
    <n v="1"/>
    <x v="31"/>
    <x v="22"/>
    <s v="cashloan"/>
    <n v="0"/>
  </r>
  <r>
    <x v="784"/>
    <x v="2"/>
    <x v="2"/>
    <n v="9"/>
    <n v="1"/>
    <x v="14"/>
    <x v="13"/>
    <s v="cashloan"/>
    <n v="2746690000"/>
  </r>
  <r>
    <x v="784"/>
    <x v="2"/>
    <x v="2"/>
    <n v="9"/>
    <n v="1"/>
    <x v="33"/>
    <x v="13"/>
    <s v="cashloan"/>
    <n v="994000000"/>
  </r>
  <r>
    <x v="784"/>
    <x v="2"/>
    <x v="2"/>
    <n v="9"/>
    <n v="1"/>
    <x v="23"/>
    <x v="17"/>
    <s v="paylater"/>
    <n v="10875742"/>
  </r>
  <r>
    <x v="784"/>
    <x v="2"/>
    <x v="2"/>
    <n v="9"/>
    <n v="1"/>
    <x v="28"/>
    <x v="17"/>
    <s v="paylater"/>
    <n v="1327248931"/>
  </r>
  <r>
    <x v="784"/>
    <x v="2"/>
    <x v="2"/>
    <n v="9"/>
    <n v="1"/>
    <x v="8"/>
    <x v="8"/>
    <s v="cashloan"/>
    <n v="0"/>
  </r>
  <r>
    <x v="784"/>
    <x v="2"/>
    <x v="2"/>
    <n v="9"/>
    <n v="1"/>
    <x v="26"/>
    <x v="16"/>
    <s v="cashloan"/>
    <n v="10500000"/>
  </r>
  <r>
    <x v="784"/>
    <x v="2"/>
    <x v="2"/>
    <n v="9"/>
    <n v="1"/>
    <x v="32"/>
    <x v="16"/>
    <s v="cashloan"/>
    <n v="0"/>
  </r>
  <r>
    <x v="784"/>
    <x v="2"/>
    <x v="2"/>
    <n v="9"/>
    <n v="1"/>
    <x v="2"/>
    <x v="2"/>
    <s v="cashloan"/>
    <n v="12236800000"/>
  </r>
  <r>
    <x v="784"/>
    <x v="2"/>
    <x v="2"/>
    <n v="9"/>
    <n v="1"/>
    <x v="17"/>
    <x v="9"/>
    <s v="cashloan"/>
    <n v="0"/>
  </r>
  <r>
    <x v="784"/>
    <x v="2"/>
    <x v="2"/>
    <n v="9"/>
    <n v="1"/>
    <x v="20"/>
    <x v="9"/>
    <s v="cashloan"/>
    <n v="0"/>
  </r>
  <r>
    <x v="784"/>
    <x v="2"/>
    <x v="2"/>
    <n v="9"/>
    <n v="1"/>
    <x v="21"/>
    <x v="9"/>
    <s v="cashloan"/>
    <n v="0"/>
  </r>
  <r>
    <x v="784"/>
    <x v="2"/>
    <x v="2"/>
    <n v="9"/>
    <n v="1"/>
    <x v="25"/>
    <x v="2"/>
    <s v="cashloan"/>
    <n v="0"/>
  </r>
  <r>
    <x v="784"/>
    <x v="2"/>
    <x v="2"/>
    <n v="9"/>
    <n v="1"/>
    <x v="0"/>
    <x v="0"/>
    <s v="payday"/>
    <n v="11641212000"/>
  </r>
  <r>
    <x v="784"/>
    <x v="2"/>
    <x v="2"/>
    <n v="9"/>
    <n v="1"/>
    <x v="7"/>
    <x v="7"/>
    <s v="paylater"/>
    <n v="355551409"/>
  </r>
  <r>
    <x v="784"/>
    <x v="2"/>
    <x v="2"/>
    <n v="9"/>
    <n v="1"/>
    <x v="1"/>
    <x v="1"/>
    <s v="cashloan"/>
    <n v="21000000"/>
  </r>
  <r>
    <x v="784"/>
    <x v="2"/>
    <x v="2"/>
    <n v="9"/>
    <n v="1"/>
    <x v="6"/>
    <x v="6"/>
    <s v="payday"/>
    <n v="62000000"/>
  </r>
  <r>
    <x v="784"/>
    <x v="2"/>
    <x v="2"/>
    <n v="9"/>
    <n v="1"/>
    <x v="18"/>
    <x v="15"/>
    <s v="cashloan"/>
    <n v="812230000"/>
  </r>
  <r>
    <x v="784"/>
    <x v="2"/>
    <x v="2"/>
    <n v="9"/>
    <n v="1"/>
    <x v="29"/>
    <x v="20"/>
    <s v="payday"/>
    <n v="272592000"/>
  </r>
  <r>
    <x v="784"/>
    <x v="2"/>
    <x v="2"/>
    <n v="9"/>
    <n v="1"/>
    <x v="19"/>
    <x v="12"/>
    <s v="paylater"/>
    <n v="599289418"/>
  </r>
  <r>
    <x v="784"/>
    <x v="2"/>
    <x v="2"/>
    <n v="9"/>
    <n v="1"/>
    <x v="24"/>
    <x v="18"/>
    <s v="cashloan"/>
    <n v="2724510000"/>
  </r>
  <r>
    <x v="784"/>
    <x v="2"/>
    <x v="2"/>
    <n v="9"/>
    <n v="1"/>
    <x v="30"/>
    <x v="21"/>
    <s v="payday"/>
    <n v="298080000"/>
  </r>
  <r>
    <x v="785"/>
    <x v="2"/>
    <x v="2"/>
    <n v="10"/>
    <n v="2"/>
    <x v="3"/>
    <x v="3"/>
    <s v="cashloan"/>
    <n v="503600000"/>
  </r>
  <r>
    <x v="785"/>
    <x v="2"/>
    <x v="2"/>
    <n v="10"/>
    <n v="2"/>
    <x v="11"/>
    <x v="10"/>
    <s v="paylater"/>
    <n v="346848287"/>
  </r>
  <r>
    <x v="785"/>
    <x v="2"/>
    <x v="2"/>
    <n v="10"/>
    <n v="2"/>
    <x v="12"/>
    <x v="11"/>
    <s v="cashloan"/>
    <n v="11842400000"/>
  </r>
  <r>
    <x v="785"/>
    <x v="2"/>
    <x v="2"/>
    <n v="10"/>
    <n v="2"/>
    <x v="5"/>
    <x v="5"/>
    <s v="overdraft"/>
    <n v="3209812806"/>
  </r>
  <r>
    <x v="785"/>
    <x v="2"/>
    <x v="2"/>
    <n v="10"/>
    <n v="2"/>
    <x v="27"/>
    <x v="19"/>
    <s v="payday"/>
    <n v="15727068000"/>
  </r>
  <r>
    <x v="785"/>
    <x v="2"/>
    <x v="2"/>
    <n v="10"/>
    <n v="2"/>
    <x v="15"/>
    <x v="14"/>
    <s v="paylater"/>
    <n v="42606676"/>
  </r>
  <r>
    <x v="785"/>
    <x v="2"/>
    <x v="2"/>
    <n v="10"/>
    <n v="2"/>
    <x v="31"/>
    <x v="22"/>
    <s v="cashloan"/>
    <n v="137000000"/>
  </r>
  <r>
    <x v="785"/>
    <x v="2"/>
    <x v="2"/>
    <n v="10"/>
    <n v="2"/>
    <x v="14"/>
    <x v="13"/>
    <s v="cashloan"/>
    <n v="2425040000"/>
  </r>
  <r>
    <x v="785"/>
    <x v="2"/>
    <x v="2"/>
    <n v="10"/>
    <n v="2"/>
    <x v="33"/>
    <x v="13"/>
    <s v="cashloan"/>
    <n v="1602830000"/>
  </r>
  <r>
    <x v="785"/>
    <x v="2"/>
    <x v="2"/>
    <n v="10"/>
    <n v="2"/>
    <x v="23"/>
    <x v="17"/>
    <s v="paylater"/>
    <n v="17596216"/>
  </r>
  <r>
    <x v="785"/>
    <x v="2"/>
    <x v="2"/>
    <n v="10"/>
    <n v="2"/>
    <x v="28"/>
    <x v="17"/>
    <s v="paylater"/>
    <n v="1378449521"/>
  </r>
  <r>
    <x v="785"/>
    <x v="2"/>
    <x v="2"/>
    <n v="10"/>
    <n v="2"/>
    <x v="8"/>
    <x v="8"/>
    <s v="cashloan"/>
    <n v="0"/>
  </r>
  <r>
    <x v="785"/>
    <x v="2"/>
    <x v="2"/>
    <n v="10"/>
    <n v="2"/>
    <x v="26"/>
    <x v="16"/>
    <s v="cashloan"/>
    <n v="141000000"/>
  </r>
  <r>
    <x v="785"/>
    <x v="2"/>
    <x v="2"/>
    <n v="10"/>
    <n v="2"/>
    <x v="32"/>
    <x v="16"/>
    <s v="cashloan"/>
    <n v="0"/>
  </r>
  <r>
    <x v="785"/>
    <x v="2"/>
    <x v="2"/>
    <n v="10"/>
    <n v="2"/>
    <x v="2"/>
    <x v="2"/>
    <s v="cashloan"/>
    <n v="14738820000"/>
  </r>
  <r>
    <x v="785"/>
    <x v="2"/>
    <x v="2"/>
    <n v="10"/>
    <n v="2"/>
    <x v="17"/>
    <x v="9"/>
    <s v="cashloan"/>
    <n v="0"/>
  </r>
  <r>
    <x v="785"/>
    <x v="2"/>
    <x v="2"/>
    <n v="10"/>
    <n v="2"/>
    <x v="20"/>
    <x v="9"/>
    <s v="cashloan"/>
    <n v="0"/>
  </r>
  <r>
    <x v="785"/>
    <x v="2"/>
    <x v="2"/>
    <n v="10"/>
    <n v="2"/>
    <x v="21"/>
    <x v="9"/>
    <s v="cashloan"/>
    <n v="0"/>
  </r>
  <r>
    <x v="785"/>
    <x v="2"/>
    <x v="2"/>
    <n v="10"/>
    <n v="2"/>
    <x v="25"/>
    <x v="2"/>
    <s v="cashloan"/>
    <n v="0"/>
  </r>
  <r>
    <x v="785"/>
    <x v="2"/>
    <x v="2"/>
    <n v="10"/>
    <n v="2"/>
    <x v="0"/>
    <x v="0"/>
    <s v="payday"/>
    <n v="12564828000"/>
  </r>
  <r>
    <x v="785"/>
    <x v="2"/>
    <x v="2"/>
    <n v="10"/>
    <n v="2"/>
    <x v="7"/>
    <x v="7"/>
    <s v="paylater"/>
    <n v="400719017"/>
  </r>
  <r>
    <x v="785"/>
    <x v="2"/>
    <x v="2"/>
    <n v="10"/>
    <n v="2"/>
    <x v="1"/>
    <x v="1"/>
    <s v="cashloan"/>
    <n v="21000000"/>
  </r>
  <r>
    <x v="785"/>
    <x v="2"/>
    <x v="2"/>
    <n v="10"/>
    <n v="2"/>
    <x v="6"/>
    <x v="6"/>
    <s v="payday"/>
    <n v="86000000"/>
  </r>
  <r>
    <x v="785"/>
    <x v="2"/>
    <x v="2"/>
    <n v="10"/>
    <n v="2"/>
    <x v="18"/>
    <x v="15"/>
    <s v="cashloan"/>
    <n v="674200000"/>
  </r>
  <r>
    <x v="785"/>
    <x v="2"/>
    <x v="2"/>
    <n v="10"/>
    <n v="2"/>
    <x v="29"/>
    <x v="20"/>
    <s v="payday"/>
    <n v="258120000"/>
  </r>
  <r>
    <x v="785"/>
    <x v="2"/>
    <x v="2"/>
    <n v="10"/>
    <n v="2"/>
    <x v="19"/>
    <x v="12"/>
    <s v="paylater"/>
    <n v="879010061"/>
  </r>
  <r>
    <x v="785"/>
    <x v="2"/>
    <x v="2"/>
    <n v="10"/>
    <n v="2"/>
    <x v="24"/>
    <x v="18"/>
    <s v="cashloan"/>
    <n v="2953550000"/>
  </r>
  <r>
    <x v="785"/>
    <x v="2"/>
    <x v="2"/>
    <n v="10"/>
    <n v="2"/>
    <x v="30"/>
    <x v="21"/>
    <s v="payday"/>
    <n v="275400000"/>
  </r>
  <r>
    <x v="786"/>
    <x v="2"/>
    <x v="2"/>
    <n v="10"/>
    <n v="3"/>
    <x v="3"/>
    <x v="3"/>
    <s v="cashloan"/>
    <n v="611750000"/>
  </r>
  <r>
    <x v="786"/>
    <x v="2"/>
    <x v="2"/>
    <n v="10"/>
    <n v="3"/>
    <x v="11"/>
    <x v="10"/>
    <s v="paylater"/>
    <n v="372685557"/>
  </r>
  <r>
    <x v="786"/>
    <x v="2"/>
    <x v="2"/>
    <n v="10"/>
    <n v="3"/>
    <x v="12"/>
    <x v="11"/>
    <s v="cashloan"/>
    <n v="11512230000"/>
  </r>
  <r>
    <x v="786"/>
    <x v="2"/>
    <x v="2"/>
    <n v="10"/>
    <n v="3"/>
    <x v="5"/>
    <x v="5"/>
    <s v="overdraft"/>
    <n v="2529067397"/>
  </r>
  <r>
    <x v="786"/>
    <x v="2"/>
    <x v="2"/>
    <n v="10"/>
    <n v="3"/>
    <x v="27"/>
    <x v="19"/>
    <s v="payday"/>
    <n v="14775372000"/>
  </r>
  <r>
    <x v="786"/>
    <x v="2"/>
    <x v="2"/>
    <n v="10"/>
    <n v="3"/>
    <x v="15"/>
    <x v="14"/>
    <s v="paylater"/>
    <n v="37758534"/>
  </r>
  <r>
    <x v="786"/>
    <x v="2"/>
    <x v="2"/>
    <n v="10"/>
    <n v="3"/>
    <x v="31"/>
    <x v="22"/>
    <s v="cashloan"/>
    <n v="0"/>
  </r>
  <r>
    <x v="786"/>
    <x v="2"/>
    <x v="2"/>
    <n v="10"/>
    <n v="3"/>
    <x v="14"/>
    <x v="13"/>
    <s v="cashloan"/>
    <n v="2675990000"/>
  </r>
  <r>
    <x v="786"/>
    <x v="2"/>
    <x v="2"/>
    <n v="10"/>
    <n v="3"/>
    <x v="33"/>
    <x v="13"/>
    <s v="cashloan"/>
    <n v="894900000"/>
  </r>
  <r>
    <x v="786"/>
    <x v="2"/>
    <x v="2"/>
    <n v="10"/>
    <n v="3"/>
    <x v="23"/>
    <x v="17"/>
    <s v="paylater"/>
    <n v="45301170"/>
  </r>
  <r>
    <x v="786"/>
    <x v="2"/>
    <x v="2"/>
    <n v="10"/>
    <n v="3"/>
    <x v="28"/>
    <x v="17"/>
    <s v="paylater"/>
    <n v="1690329959"/>
  </r>
  <r>
    <x v="786"/>
    <x v="2"/>
    <x v="2"/>
    <n v="10"/>
    <n v="3"/>
    <x v="8"/>
    <x v="8"/>
    <s v="cashloan"/>
    <n v="0"/>
  </r>
  <r>
    <x v="786"/>
    <x v="2"/>
    <x v="2"/>
    <n v="10"/>
    <n v="3"/>
    <x v="26"/>
    <x v="16"/>
    <s v="cashloan"/>
    <n v="57750000"/>
  </r>
  <r>
    <x v="786"/>
    <x v="2"/>
    <x v="2"/>
    <n v="10"/>
    <n v="3"/>
    <x v="32"/>
    <x v="16"/>
    <s v="cashloan"/>
    <n v="180000000"/>
  </r>
  <r>
    <x v="786"/>
    <x v="2"/>
    <x v="2"/>
    <n v="10"/>
    <n v="3"/>
    <x v="2"/>
    <x v="2"/>
    <s v="cashloan"/>
    <n v="15084270000"/>
  </r>
  <r>
    <x v="786"/>
    <x v="2"/>
    <x v="2"/>
    <n v="10"/>
    <n v="3"/>
    <x v="17"/>
    <x v="9"/>
    <s v="cashloan"/>
    <n v="0"/>
  </r>
  <r>
    <x v="786"/>
    <x v="2"/>
    <x v="2"/>
    <n v="10"/>
    <n v="3"/>
    <x v="20"/>
    <x v="9"/>
    <s v="cashloan"/>
    <n v="0"/>
  </r>
  <r>
    <x v="786"/>
    <x v="2"/>
    <x v="2"/>
    <n v="10"/>
    <n v="3"/>
    <x v="21"/>
    <x v="9"/>
    <s v="cashloan"/>
    <n v="0"/>
  </r>
  <r>
    <x v="786"/>
    <x v="2"/>
    <x v="2"/>
    <n v="10"/>
    <n v="3"/>
    <x v="25"/>
    <x v="2"/>
    <s v="cashloan"/>
    <n v="0"/>
  </r>
  <r>
    <x v="786"/>
    <x v="2"/>
    <x v="2"/>
    <n v="10"/>
    <n v="3"/>
    <x v="0"/>
    <x v="0"/>
    <s v="payday"/>
    <n v="11459340000"/>
  </r>
  <r>
    <x v="786"/>
    <x v="2"/>
    <x v="2"/>
    <n v="10"/>
    <n v="3"/>
    <x v="7"/>
    <x v="7"/>
    <s v="paylater"/>
    <n v="422286618"/>
  </r>
  <r>
    <x v="786"/>
    <x v="2"/>
    <x v="2"/>
    <n v="10"/>
    <n v="3"/>
    <x v="1"/>
    <x v="1"/>
    <s v="cashloan"/>
    <n v="42000000"/>
  </r>
  <r>
    <x v="786"/>
    <x v="2"/>
    <x v="2"/>
    <n v="10"/>
    <n v="3"/>
    <x v="6"/>
    <x v="6"/>
    <s v="payday"/>
    <n v="44000000"/>
  </r>
  <r>
    <x v="786"/>
    <x v="2"/>
    <x v="2"/>
    <n v="10"/>
    <n v="3"/>
    <x v="18"/>
    <x v="15"/>
    <s v="cashloan"/>
    <n v="680480000"/>
  </r>
  <r>
    <x v="786"/>
    <x v="2"/>
    <x v="2"/>
    <n v="10"/>
    <n v="3"/>
    <x v="29"/>
    <x v="20"/>
    <s v="payday"/>
    <n v="370872000"/>
  </r>
  <r>
    <x v="786"/>
    <x v="2"/>
    <x v="2"/>
    <n v="10"/>
    <n v="3"/>
    <x v="19"/>
    <x v="12"/>
    <s v="paylater"/>
    <n v="938862337"/>
  </r>
  <r>
    <x v="786"/>
    <x v="2"/>
    <x v="2"/>
    <n v="10"/>
    <n v="3"/>
    <x v="24"/>
    <x v="18"/>
    <s v="cashloan"/>
    <n v="3363900000"/>
  </r>
  <r>
    <x v="786"/>
    <x v="2"/>
    <x v="2"/>
    <n v="10"/>
    <n v="3"/>
    <x v="30"/>
    <x v="21"/>
    <s v="payday"/>
    <n v="241920000"/>
  </r>
  <r>
    <x v="787"/>
    <x v="2"/>
    <x v="2"/>
    <n v="10"/>
    <n v="4"/>
    <x v="3"/>
    <x v="3"/>
    <s v="cashloan"/>
    <n v="931600000"/>
  </r>
  <r>
    <x v="787"/>
    <x v="2"/>
    <x v="2"/>
    <n v="10"/>
    <n v="4"/>
    <x v="11"/>
    <x v="10"/>
    <s v="paylater"/>
    <n v="382729387"/>
  </r>
  <r>
    <x v="787"/>
    <x v="2"/>
    <x v="2"/>
    <n v="10"/>
    <n v="4"/>
    <x v="12"/>
    <x v="11"/>
    <s v="cashloan"/>
    <n v="10237060000"/>
  </r>
  <r>
    <x v="787"/>
    <x v="2"/>
    <x v="2"/>
    <n v="10"/>
    <n v="4"/>
    <x v="5"/>
    <x v="5"/>
    <s v="overdraft"/>
    <n v="2109105849"/>
  </r>
  <r>
    <x v="787"/>
    <x v="2"/>
    <x v="2"/>
    <n v="10"/>
    <n v="4"/>
    <x v="27"/>
    <x v="19"/>
    <s v="payday"/>
    <n v="14409900000"/>
  </r>
  <r>
    <x v="787"/>
    <x v="2"/>
    <x v="2"/>
    <n v="10"/>
    <n v="4"/>
    <x v="15"/>
    <x v="14"/>
    <s v="paylater"/>
    <n v="29007207"/>
  </r>
  <r>
    <x v="787"/>
    <x v="2"/>
    <x v="2"/>
    <n v="10"/>
    <n v="4"/>
    <x v="31"/>
    <x v="22"/>
    <s v="cashloan"/>
    <n v="0"/>
  </r>
  <r>
    <x v="787"/>
    <x v="2"/>
    <x v="2"/>
    <n v="10"/>
    <n v="4"/>
    <x v="14"/>
    <x v="13"/>
    <s v="cashloan"/>
    <n v="2544310000"/>
  </r>
  <r>
    <x v="787"/>
    <x v="2"/>
    <x v="2"/>
    <n v="10"/>
    <n v="4"/>
    <x v="33"/>
    <x v="13"/>
    <s v="cashloan"/>
    <n v="530770000"/>
  </r>
  <r>
    <x v="787"/>
    <x v="2"/>
    <x v="2"/>
    <n v="10"/>
    <n v="4"/>
    <x v="23"/>
    <x v="17"/>
    <s v="paylater"/>
    <n v="19140845"/>
  </r>
  <r>
    <x v="787"/>
    <x v="2"/>
    <x v="2"/>
    <n v="10"/>
    <n v="4"/>
    <x v="28"/>
    <x v="17"/>
    <s v="paylater"/>
    <n v="1851851331"/>
  </r>
  <r>
    <x v="787"/>
    <x v="2"/>
    <x v="2"/>
    <n v="10"/>
    <n v="4"/>
    <x v="8"/>
    <x v="8"/>
    <s v="cashloan"/>
    <n v="0"/>
  </r>
  <r>
    <x v="787"/>
    <x v="2"/>
    <x v="2"/>
    <n v="10"/>
    <n v="4"/>
    <x v="26"/>
    <x v="16"/>
    <s v="cashloan"/>
    <n v="50500000"/>
  </r>
  <r>
    <x v="787"/>
    <x v="2"/>
    <x v="2"/>
    <n v="10"/>
    <n v="4"/>
    <x v="32"/>
    <x v="16"/>
    <s v="cashloan"/>
    <n v="0"/>
  </r>
  <r>
    <x v="787"/>
    <x v="2"/>
    <x v="2"/>
    <n v="10"/>
    <n v="4"/>
    <x v="2"/>
    <x v="2"/>
    <s v="cashloan"/>
    <n v="13872060000"/>
  </r>
  <r>
    <x v="787"/>
    <x v="2"/>
    <x v="2"/>
    <n v="10"/>
    <n v="4"/>
    <x v="17"/>
    <x v="9"/>
    <s v="cashloan"/>
    <n v="0"/>
  </r>
  <r>
    <x v="787"/>
    <x v="2"/>
    <x v="2"/>
    <n v="10"/>
    <n v="4"/>
    <x v="20"/>
    <x v="9"/>
    <s v="cashloan"/>
    <n v="0"/>
  </r>
  <r>
    <x v="787"/>
    <x v="2"/>
    <x v="2"/>
    <n v="10"/>
    <n v="4"/>
    <x v="21"/>
    <x v="9"/>
    <s v="cashloan"/>
    <n v="0"/>
  </r>
  <r>
    <x v="787"/>
    <x v="2"/>
    <x v="2"/>
    <n v="10"/>
    <n v="4"/>
    <x v="25"/>
    <x v="2"/>
    <s v="cashloan"/>
    <n v="0"/>
  </r>
  <r>
    <x v="787"/>
    <x v="2"/>
    <x v="2"/>
    <n v="10"/>
    <n v="4"/>
    <x v="0"/>
    <x v="0"/>
    <s v="payday"/>
    <n v="11243124000"/>
  </r>
  <r>
    <x v="787"/>
    <x v="2"/>
    <x v="2"/>
    <n v="10"/>
    <n v="4"/>
    <x v="7"/>
    <x v="7"/>
    <s v="paylater"/>
    <n v="415009282"/>
  </r>
  <r>
    <x v="787"/>
    <x v="2"/>
    <x v="2"/>
    <n v="10"/>
    <n v="4"/>
    <x v="1"/>
    <x v="1"/>
    <s v="cashloan"/>
    <n v="21000000"/>
  </r>
  <r>
    <x v="787"/>
    <x v="2"/>
    <x v="2"/>
    <n v="10"/>
    <n v="4"/>
    <x v="6"/>
    <x v="6"/>
    <s v="payday"/>
    <n v="79000000"/>
  </r>
  <r>
    <x v="787"/>
    <x v="2"/>
    <x v="2"/>
    <n v="10"/>
    <n v="4"/>
    <x v="18"/>
    <x v="15"/>
    <s v="cashloan"/>
    <n v="823050000"/>
  </r>
  <r>
    <x v="787"/>
    <x v="2"/>
    <x v="2"/>
    <n v="10"/>
    <n v="4"/>
    <x v="29"/>
    <x v="20"/>
    <s v="payday"/>
    <n v="338364000"/>
  </r>
  <r>
    <x v="787"/>
    <x v="2"/>
    <x v="2"/>
    <n v="10"/>
    <n v="4"/>
    <x v="19"/>
    <x v="12"/>
    <s v="paylater"/>
    <n v="1036822973"/>
  </r>
  <r>
    <x v="787"/>
    <x v="2"/>
    <x v="2"/>
    <n v="10"/>
    <n v="4"/>
    <x v="24"/>
    <x v="18"/>
    <s v="cashloan"/>
    <n v="3466000000"/>
  </r>
  <r>
    <x v="787"/>
    <x v="2"/>
    <x v="2"/>
    <n v="10"/>
    <n v="4"/>
    <x v="30"/>
    <x v="21"/>
    <s v="payday"/>
    <n v="246240000"/>
  </r>
  <r>
    <x v="788"/>
    <x v="2"/>
    <x v="2"/>
    <n v="10"/>
    <n v="5"/>
    <x v="3"/>
    <x v="3"/>
    <s v="cashloan"/>
    <n v="920400000"/>
  </r>
  <r>
    <x v="788"/>
    <x v="2"/>
    <x v="2"/>
    <n v="10"/>
    <n v="5"/>
    <x v="11"/>
    <x v="10"/>
    <s v="paylater"/>
    <n v="381541237"/>
  </r>
  <r>
    <x v="788"/>
    <x v="2"/>
    <x v="2"/>
    <n v="10"/>
    <n v="5"/>
    <x v="12"/>
    <x v="11"/>
    <s v="cashloan"/>
    <n v="10802360000"/>
  </r>
  <r>
    <x v="788"/>
    <x v="2"/>
    <x v="2"/>
    <n v="10"/>
    <n v="5"/>
    <x v="5"/>
    <x v="5"/>
    <s v="overdraft"/>
    <n v="2570374691"/>
  </r>
  <r>
    <x v="788"/>
    <x v="2"/>
    <x v="2"/>
    <n v="10"/>
    <n v="5"/>
    <x v="27"/>
    <x v="19"/>
    <s v="payday"/>
    <n v="16653816000"/>
  </r>
  <r>
    <x v="788"/>
    <x v="2"/>
    <x v="2"/>
    <n v="10"/>
    <n v="5"/>
    <x v="15"/>
    <x v="14"/>
    <s v="paylater"/>
    <n v="38027617"/>
  </r>
  <r>
    <x v="788"/>
    <x v="2"/>
    <x v="2"/>
    <n v="10"/>
    <n v="5"/>
    <x v="31"/>
    <x v="22"/>
    <s v="cashloan"/>
    <n v="0"/>
  </r>
  <r>
    <x v="788"/>
    <x v="2"/>
    <x v="2"/>
    <n v="10"/>
    <n v="5"/>
    <x v="14"/>
    <x v="13"/>
    <s v="cashloan"/>
    <n v="2562210000"/>
  </r>
  <r>
    <x v="788"/>
    <x v="2"/>
    <x v="2"/>
    <n v="10"/>
    <n v="5"/>
    <x v="33"/>
    <x v="13"/>
    <s v="cashloan"/>
    <n v="864230000"/>
  </r>
  <r>
    <x v="788"/>
    <x v="2"/>
    <x v="2"/>
    <n v="10"/>
    <n v="5"/>
    <x v="23"/>
    <x v="17"/>
    <s v="paylater"/>
    <n v="27119171"/>
  </r>
  <r>
    <x v="788"/>
    <x v="2"/>
    <x v="2"/>
    <n v="10"/>
    <n v="5"/>
    <x v="28"/>
    <x v="17"/>
    <s v="paylater"/>
    <n v="1740984689"/>
  </r>
  <r>
    <x v="788"/>
    <x v="2"/>
    <x v="2"/>
    <n v="10"/>
    <n v="5"/>
    <x v="8"/>
    <x v="8"/>
    <s v="cashloan"/>
    <n v="0"/>
  </r>
  <r>
    <x v="788"/>
    <x v="2"/>
    <x v="2"/>
    <n v="10"/>
    <n v="5"/>
    <x v="26"/>
    <x v="16"/>
    <s v="cashloan"/>
    <n v="10500000"/>
  </r>
  <r>
    <x v="788"/>
    <x v="2"/>
    <x v="2"/>
    <n v="10"/>
    <n v="5"/>
    <x v="32"/>
    <x v="16"/>
    <s v="cashloan"/>
    <n v="0"/>
  </r>
  <r>
    <x v="788"/>
    <x v="2"/>
    <x v="2"/>
    <n v="10"/>
    <n v="5"/>
    <x v="2"/>
    <x v="2"/>
    <s v="cashloan"/>
    <n v="15499430000"/>
  </r>
  <r>
    <x v="788"/>
    <x v="2"/>
    <x v="2"/>
    <n v="10"/>
    <n v="5"/>
    <x v="17"/>
    <x v="9"/>
    <s v="cashloan"/>
    <n v="0"/>
  </r>
  <r>
    <x v="788"/>
    <x v="2"/>
    <x v="2"/>
    <n v="10"/>
    <n v="5"/>
    <x v="20"/>
    <x v="9"/>
    <s v="cashloan"/>
    <n v="0"/>
  </r>
  <r>
    <x v="788"/>
    <x v="2"/>
    <x v="2"/>
    <n v="10"/>
    <n v="5"/>
    <x v="21"/>
    <x v="9"/>
    <s v="cashloan"/>
    <n v="0"/>
  </r>
  <r>
    <x v="788"/>
    <x v="2"/>
    <x v="2"/>
    <n v="10"/>
    <n v="5"/>
    <x v="25"/>
    <x v="2"/>
    <s v="cashloan"/>
    <n v="0"/>
  </r>
  <r>
    <x v="788"/>
    <x v="2"/>
    <x v="2"/>
    <n v="10"/>
    <n v="5"/>
    <x v="0"/>
    <x v="0"/>
    <s v="payday"/>
    <n v="12778560000"/>
  </r>
  <r>
    <x v="788"/>
    <x v="2"/>
    <x v="2"/>
    <n v="10"/>
    <n v="5"/>
    <x v="7"/>
    <x v="7"/>
    <s v="paylater"/>
    <n v="433122512"/>
  </r>
  <r>
    <x v="788"/>
    <x v="2"/>
    <x v="2"/>
    <n v="10"/>
    <n v="5"/>
    <x v="1"/>
    <x v="1"/>
    <s v="cashloan"/>
    <n v="68250000"/>
  </r>
  <r>
    <x v="788"/>
    <x v="2"/>
    <x v="2"/>
    <n v="10"/>
    <n v="5"/>
    <x v="6"/>
    <x v="6"/>
    <s v="payday"/>
    <n v="74000000"/>
  </r>
  <r>
    <x v="788"/>
    <x v="2"/>
    <x v="2"/>
    <n v="10"/>
    <n v="5"/>
    <x v="18"/>
    <x v="15"/>
    <s v="cashloan"/>
    <n v="883360000"/>
  </r>
  <r>
    <x v="788"/>
    <x v="2"/>
    <x v="2"/>
    <n v="10"/>
    <n v="5"/>
    <x v="29"/>
    <x v="20"/>
    <s v="payday"/>
    <n v="348408000"/>
  </r>
  <r>
    <x v="788"/>
    <x v="2"/>
    <x v="2"/>
    <n v="10"/>
    <n v="5"/>
    <x v="19"/>
    <x v="12"/>
    <s v="paylater"/>
    <n v="993225841"/>
  </r>
  <r>
    <x v="788"/>
    <x v="2"/>
    <x v="2"/>
    <n v="10"/>
    <n v="5"/>
    <x v="24"/>
    <x v="18"/>
    <s v="cashloan"/>
    <n v="2743100000"/>
  </r>
  <r>
    <x v="788"/>
    <x v="2"/>
    <x v="2"/>
    <n v="10"/>
    <n v="5"/>
    <x v="30"/>
    <x v="21"/>
    <s v="payday"/>
    <n v="261360000"/>
  </r>
  <r>
    <x v="789"/>
    <x v="2"/>
    <x v="2"/>
    <n v="10"/>
    <n v="6"/>
    <x v="3"/>
    <x v="3"/>
    <s v="cashloan"/>
    <n v="1000050000"/>
  </r>
  <r>
    <x v="789"/>
    <x v="2"/>
    <x v="2"/>
    <n v="10"/>
    <n v="6"/>
    <x v="11"/>
    <x v="10"/>
    <s v="paylater"/>
    <n v="484191458"/>
  </r>
  <r>
    <x v="789"/>
    <x v="2"/>
    <x v="2"/>
    <n v="10"/>
    <n v="6"/>
    <x v="12"/>
    <x v="11"/>
    <s v="cashloan"/>
    <n v="11391310000"/>
  </r>
  <r>
    <x v="789"/>
    <x v="2"/>
    <x v="2"/>
    <n v="10"/>
    <n v="6"/>
    <x v="5"/>
    <x v="5"/>
    <s v="overdraft"/>
    <n v="1857916210"/>
  </r>
  <r>
    <x v="789"/>
    <x v="2"/>
    <x v="2"/>
    <n v="10"/>
    <n v="6"/>
    <x v="27"/>
    <x v="19"/>
    <s v="payday"/>
    <n v="14831856000"/>
  </r>
  <r>
    <x v="789"/>
    <x v="2"/>
    <x v="2"/>
    <n v="10"/>
    <n v="6"/>
    <x v="15"/>
    <x v="14"/>
    <s v="paylater"/>
    <n v="29411088"/>
  </r>
  <r>
    <x v="789"/>
    <x v="2"/>
    <x v="2"/>
    <n v="10"/>
    <n v="6"/>
    <x v="31"/>
    <x v="22"/>
    <s v="cashloan"/>
    <n v="0"/>
  </r>
  <r>
    <x v="789"/>
    <x v="2"/>
    <x v="2"/>
    <n v="10"/>
    <n v="6"/>
    <x v="14"/>
    <x v="13"/>
    <s v="cashloan"/>
    <n v="2278440000"/>
  </r>
  <r>
    <x v="789"/>
    <x v="2"/>
    <x v="2"/>
    <n v="10"/>
    <n v="6"/>
    <x v="33"/>
    <x v="13"/>
    <s v="cashloan"/>
    <n v="1169890000"/>
  </r>
  <r>
    <x v="789"/>
    <x v="2"/>
    <x v="2"/>
    <n v="10"/>
    <n v="6"/>
    <x v="23"/>
    <x v="17"/>
    <s v="paylater"/>
    <n v="33571315"/>
  </r>
  <r>
    <x v="789"/>
    <x v="2"/>
    <x v="2"/>
    <n v="10"/>
    <n v="6"/>
    <x v="28"/>
    <x v="17"/>
    <s v="paylater"/>
    <n v="1561772550"/>
  </r>
  <r>
    <x v="789"/>
    <x v="2"/>
    <x v="2"/>
    <n v="10"/>
    <n v="6"/>
    <x v="8"/>
    <x v="8"/>
    <s v="cashloan"/>
    <n v="0"/>
  </r>
  <r>
    <x v="789"/>
    <x v="2"/>
    <x v="2"/>
    <n v="10"/>
    <n v="6"/>
    <x v="26"/>
    <x v="16"/>
    <s v="cashloan"/>
    <n v="81900000"/>
  </r>
  <r>
    <x v="789"/>
    <x v="2"/>
    <x v="2"/>
    <n v="10"/>
    <n v="6"/>
    <x v="32"/>
    <x v="16"/>
    <s v="cashloan"/>
    <n v="101000000"/>
  </r>
  <r>
    <x v="789"/>
    <x v="2"/>
    <x v="2"/>
    <n v="10"/>
    <n v="6"/>
    <x v="2"/>
    <x v="2"/>
    <s v="cashloan"/>
    <n v="15035160000"/>
  </r>
  <r>
    <x v="789"/>
    <x v="2"/>
    <x v="2"/>
    <n v="10"/>
    <n v="6"/>
    <x v="17"/>
    <x v="9"/>
    <s v="cashloan"/>
    <n v="0"/>
  </r>
  <r>
    <x v="789"/>
    <x v="2"/>
    <x v="2"/>
    <n v="10"/>
    <n v="6"/>
    <x v="20"/>
    <x v="9"/>
    <s v="cashloan"/>
    <n v="0"/>
  </r>
  <r>
    <x v="789"/>
    <x v="2"/>
    <x v="2"/>
    <n v="10"/>
    <n v="6"/>
    <x v="21"/>
    <x v="9"/>
    <s v="cashloan"/>
    <n v="0"/>
  </r>
  <r>
    <x v="789"/>
    <x v="2"/>
    <x v="2"/>
    <n v="10"/>
    <n v="6"/>
    <x v="25"/>
    <x v="2"/>
    <s v="cashloan"/>
    <n v="12000000"/>
  </r>
  <r>
    <x v="789"/>
    <x v="2"/>
    <x v="2"/>
    <n v="10"/>
    <n v="6"/>
    <x v="0"/>
    <x v="0"/>
    <s v="payday"/>
    <n v="12088980000"/>
  </r>
  <r>
    <x v="789"/>
    <x v="2"/>
    <x v="2"/>
    <n v="10"/>
    <n v="6"/>
    <x v="7"/>
    <x v="7"/>
    <s v="paylater"/>
    <n v="378004341"/>
  </r>
  <r>
    <x v="789"/>
    <x v="2"/>
    <x v="2"/>
    <n v="10"/>
    <n v="6"/>
    <x v="1"/>
    <x v="1"/>
    <s v="cashloan"/>
    <n v="57750000"/>
  </r>
  <r>
    <x v="789"/>
    <x v="2"/>
    <x v="2"/>
    <n v="10"/>
    <n v="6"/>
    <x v="6"/>
    <x v="6"/>
    <s v="payday"/>
    <n v="59000000"/>
  </r>
  <r>
    <x v="789"/>
    <x v="2"/>
    <x v="2"/>
    <n v="10"/>
    <n v="6"/>
    <x v="18"/>
    <x v="15"/>
    <s v="cashloan"/>
    <n v="624590000"/>
  </r>
  <r>
    <x v="789"/>
    <x v="2"/>
    <x v="2"/>
    <n v="10"/>
    <n v="6"/>
    <x v="29"/>
    <x v="20"/>
    <s v="payday"/>
    <n v="353268000"/>
  </r>
  <r>
    <x v="789"/>
    <x v="2"/>
    <x v="2"/>
    <n v="10"/>
    <n v="6"/>
    <x v="19"/>
    <x v="12"/>
    <s v="paylater"/>
    <n v="961434278"/>
  </r>
  <r>
    <x v="789"/>
    <x v="2"/>
    <x v="2"/>
    <n v="10"/>
    <n v="6"/>
    <x v="24"/>
    <x v="18"/>
    <s v="cashloan"/>
    <n v="2978810000"/>
  </r>
  <r>
    <x v="789"/>
    <x v="2"/>
    <x v="2"/>
    <n v="10"/>
    <n v="6"/>
    <x v="30"/>
    <x v="21"/>
    <s v="payday"/>
    <n v="306720000"/>
  </r>
  <r>
    <x v="790"/>
    <x v="2"/>
    <x v="2"/>
    <n v="10"/>
    <n v="7"/>
    <x v="3"/>
    <x v="3"/>
    <s v="cashloan"/>
    <n v="799000000"/>
  </r>
  <r>
    <x v="790"/>
    <x v="2"/>
    <x v="2"/>
    <n v="10"/>
    <n v="7"/>
    <x v="11"/>
    <x v="10"/>
    <s v="paylater"/>
    <n v="553260146"/>
  </r>
  <r>
    <x v="790"/>
    <x v="2"/>
    <x v="2"/>
    <n v="10"/>
    <n v="7"/>
    <x v="12"/>
    <x v="11"/>
    <s v="cashloan"/>
    <n v="9829120000"/>
  </r>
  <r>
    <x v="790"/>
    <x v="2"/>
    <x v="2"/>
    <n v="10"/>
    <n v="7"/>
    <x v="5"/>
    <x v="5"/>
    <s v="overdraft"/>
    <n v="1599889408"/>
  </r>
  <r>
    <x v="790"/>
    <x v="2"/>
    <x v="2"/>
    <n v="10"/>
    <n v="7"/>
    <x v="27"/>
    <x v="19"/>
    <s v="payday"/>
    <n v="13104612000"/>
  </r>
  <r>
    <x v="790"/>
    <x v="2"/>
    <x v="2"/>
    <n v="10"/>
    <n v="7"/>
    <x v="15"/>
    <x v="14"/>
    <s v="paylater"/>
    <n v="32345164"/>
  </r>
  <r>
    <x v="790"/>
    <x v="2"/>
    <x v="2"/>
    <n v="10"/>
    <n v="7"/>
    <x v="31"/>
    <x v="22"/>
    <s v="cashloan"/>
    <n v="0"/>
  </r>
  <r>
    <x v="790"/>
    <x v="2"/>
    <x v="2"/>
    <n v="10"/>
    <n v="7"/>
    <x v="14"/>
    <x v="13"/>
    <s v="cashloan"/>
    <n v="2326180000"/>
  </r>
  <r>
    <x v="790"/>
    <x v="2"/>
    <x v="2"/>
    <n v="10"/>
    <n v="7"/>
    <x v="33"/>
    <x v="13"/>
    <s v="cashloan"/>
    <n v="810700000"/>
  </r>
  <r>
    <x v="790"/>
    <x v="2"/>
    <x v="2"/>
    <n v="10"/>
    <n v="7"/>
    <x v="23"/>
    <x v="17"/>
    <s v="paylater"/>
    <n v="43010269"/>
  </r>
  <r>
    <x v="790"/>
    <x v="2"/>
    <x v="2"/>
    <n v="10"/>
    <n v="7"/>
    <x v="28"/>
    <x v="17"/>
    <s v="paylater"/>
    <n v="2303460345"/>
  </r>
  <r>
    <x v="790"/>
    <x v="2"/>
    <x v="2"/>
    <n v="10"/>
    <n v="7"/>
    <x v="8"/>
    <x v="8"/>
    <s v="cashloan"/>
    <n v="0"/>
  </r>
  <r>
    <x v="790"/>
    <x v="2"/>
    <x v="2"/>
    <n v="10"/>
    <n v="7"/>
    <x v="26"/>
    <x v="16"/>
    <s v="cashloan"/>
    <n v="47250000"/>
  </r>
  <r>
    <x v="790"/>
    <x v="2"/>
    <x v="2"/>
    <n v="10"/>
    <n v="7"/>
    <x v="32"/>
    <x v="16"/>
    <s v="cashloan"/>
    <n v="0"/>
  </r>
  <r>
    <x v="790"/>
    <x v="2"/>
    <x v="2"/>
    <n v="10"/>
    <n v="7"/>
    <x v="2"/>
    <x v="2"/>
    <s v="cashloan"/>
    <n v="13506010000"/>
  </r>
  <r>
    <x v="790"/>
    <x v="2"/>
    <x v="2"/>
    <n v="10"/>
    <n v="7"/>
    <x v="17"/>
    <x v="9"/>
    <s v="cashloan"/>
    <n v="0"/>
  </r>
  <r>
    <x v="790"/>
    <x v="2"/>
    <x v="2"/>
    <n v="10"/>
    <n v="7"/>
    <x v="20"/>
    <x v="9"/>
    <s v="cashloan"/>
    <n v="0"/>
  </r>
  <r>
    <x v="790"/>
    <x v="2"/>
    <x v="2"/>
    <n v="10"/>
    <n v="7"/>
    <x v="21"/>
    <x v="9"/>
    <s v="cashloan"/>
    <n v="0"/>
  </r>
  <r>
    <x v="790"/>
    <x v="2"/>
    <x v="2"/>
    <n v="10"/>
    <n v="7"/>
    <x v="25"/>
    <x v="2"/>
    <s v="cashloan"/>
    <n v="0"/>
  </r>
  <r>
    <x v="790"/>
    <x v="2"/>
    <x v="2"/>
    <n v="10"/>
    <n v="7"/>
    <x v="0"/>
    <x v="0"/>
    <s v="payday"/>
    <n v="11672532000"/>
  </r>
  <r>
    <x v="790"/>
    <x v="2"/>
    <x v="2"/>
    <n v="10"/>
    <n v="7"/>
    <x v="7"/>
    <x v="7"/>
    <s v="paylater"/>
    <n v="492328380"/>
  </r>
  <r>
    <x v="790"/>
    <x v="2"/>
    <x v="2"/>
    <n v="10"/>
    <n v="7"/>
    <x v="1"/>
    <x v="1"/>
    <s v="cashloan"/>
    <n v="24500000"/>
  </r>
  <r>
    <x v="790"/>
    <x v="2"/>
    <x v="2"/>
    <n v="10"/>
    <n v="7"/>
    <x v="6"/>
    <x v="6"/>
    <s v="payday"/>
    <n v="48000000"/>
  </r>
  <r>
    <x v="790"/>
    <x v="2"/>
    <x v="2"/>
    <n v="10"/>
    <n v="7"/>
    <x v="18"/>
    <x v="15"/>
    <s v="cashloan"/>
    <n v="785170000"/>
  </r>
  <r>
    <x v="790"/>
    <x v="2"/>
    <x v="2"/>
    <n v="10"/>
    <n v="7"/>
    <x v="29"/>
    <x v="20"/>
    <s v="payday"/>
    <n v="340956000"/>
  </r>
  <r>
    <x v="790"/>
    <x v="2"/>
    <x v="2"/>
    <n v="10"/>
    <n v="7"/>
    <x v="19"/>
    <x v="12"/>
    <s v="paylater"/>
    <n v="1307798867"/>
  </r>
  <r>
    <x v="790"/>
    <x v="2"/>
    <x v="2"/>
    <n v="10"/>
    <n v="7"/>
    <x v="24"/>
    <x v="18"/>
    <s v="cashloan"/>
    <n v="2778100000"/>
  </r>
  <r>
    <x v="790"/>
    <x v="2"/>
    <x v="2"/>
    <n v="10"/>
    <n v="7"/>
    <x v="30"/>
    <x v="21"/>
    <s v="payday"/>
    <n v="210600000"/>
  </r>
  <r>
    <x v="791"/>
    <x v="2"/>
    <x v="2"/>
    <n v="10"/>
    <n v="8"/>
    <x v="3"/>
    <x v="3"/>
    <s v="cashloan"/>
    <n v="686850000"/>
  </r>
  <r>
    <x v="791"/>
    <x v="2"/>
    <x v="2"/>
    <n v="10"/>
    <n v="8"/>
    <x v="11"/>
    <x v="10"/>
    <s v="paylater"/>
    <n v="550123381"/>
  </r>
  <r>
    <x v="791"/>
    <x v="2"/>
    <x v="2"/>
    <n v="10"/>
    <n v="8"/>
    <x v="12"/>
    <x v="11"/>
    <s v="cashloan"/>
    <n v="7785860000"/>
  </r>
  <r>
    <x v="791"/>
    <x v="2"/>
    <x v="2"/>
    <n v="10"/>
    <n v="8"/>
    <x v="5"/>
    <x v="5"/>
    <s v="overdraft"/>
    <n v="1514346309"/>
  </r>
  <r>
    <x v="791"/>
    <x v="2"/>
    <x v="2"/>
    <n v="10"/>
    <n v="8"/>
    <x v="27"/>
    <x v="19"/>
    <s v="payday"/>
    <n v="12004956000"/>
  </r>
  <r>
    <x v="791"/>
    <x v="2"/>
    <x v="2"/>
    <n v="10"/>
    <n v="8"/>
    <x v="15"/>
    <x v="14"/>
    <s v="paylater"/>
    <n v="10952075"/>
  </r>
  <r>
    <x v="791"/>
    <x v="2"/>
    <x v="2"/>
    <n v="10"/>
    <n v="8"/>
    <x v="31"/>
    <x v="22"/>
    <s v="cashloan"/>
    <n v="90000000"/>
  </r>
  <r>
    <x v="791"/>
    <x v="2"/>
    <x v="2"/>
    <n v="10"/>
    <n v="8"/>
    <x v="14"/>
    <x v="13"/>
    <s v="cashloan"/>
    <n v="2365410000"/>
  </r>
  <r>
    <x v="791"/>
    <x v="2"/>
    <x v="2"/>
    <n v="10"/>
    <n v="8"/>
    <x v="33"/>
    <x v="13"/>
    <s v="cashloan"/>
    <n v="893500000"/>
  </r>
  <r>
    <x v="791"/>
    <x v="2"/>
    <x v="2"/>
    <n v="10"/>
    <n v="8"/>
    <x v="23"/>
    <x v="17"/>
    <s v="paylater"/>
    <n v="15463949"/>
  </r>
  <r>
    <x v="791"/>
    <x v="2"/>
    <x v="2"/>
    <n v="10"/>
    <n v="8"/>
    <x v="28"/>
    <x v="17"/>
    <s v="paylater"/>
    <n v="1880067689"/>
  </r>
  <r>
    <x v="791"/>
    <x v="2"/>
    <x v="2"/>
    <n v="10"/>
    <n v="8"/>
    <x v="8"/>
    <x v="8"/>
    <s v="cashloan"/>
    <n v="0"/>
  </r>
  <r>
    <x v="791"/>
    <x v="2"/>
    <x v="2"/>
    <n v="10"/>
    <n v="8"/>
    <x v="26"/>
    <x v="16"/>
    <s v="cashloan"/>
    <n v="0"/>
  </r>
  <r>
    <x v="791"/>
    <x v="2"/>
    <x v="2"/>
    <n v="10"/>
    <n v="8"/>
    <x v="32"/>
    <x v="16"/>
    <s v="cashloan"/>
    <n v="0"/>
  </r>
  <r>
    <x v="791"/>
    <x v="2"/>
    <x v="2"/>
    <n v="10"/>
    <n v="8"/>
    <x v="2"/>
    <x v="2"/>
    <s v="cashloan"/>
    <n v="13167390000"/>
  </r>
  <r>
    <x v="791"/>
    <x v="2"/>
    <x v="2"/>
    <n v="10"/>
    <n v="8"/>
    <x v="17"/>
    <x v="9"/>
    <s v="cashloan"/>
    <n v="0"/>
  </r>
  <r>
    <x v="791"/>
    <x v="2"/>
    <x v="2"/>
    <n v="10"/>
    <n v="8"/>
    <x v="20"/>
    <x v="9"/>
    <s v="cashloan"/>
    <n v="0"/>
  </r>
  <r>
    <x v="791"/>
    <x v="2"/>
    <x v="2"/>
    <n v="10"/>
    <n v="8"/>
    <x v="21"/>
    <x v="9"/>
    <s v="cashloan"/>
    <n v="0"/>
  </r>
  <r>
    <x v="791"/>
    <x v="2"/>
    <x v="2"/>
    <n v="10"/>
    <n v="8"/>
    <x v="25"/>
    <x v="2"/>
    <s v="cashloan"/>
    <n v="0"/>
  </r>
  <r>
    <x v="791"/>
    <x v="2"/>
    <x v="2"/>
    <n v="10"/>
    <n v="8"/>
    <x v="0"/>
    <x v="0"/>
    <s v="payday"/>
    <n v="10349424000"/>
  </r>
  <r>
    <x v="791"/>
    <x v="2"/>
    <x v="2"/>
    <n v="10"/>
    <n v="8"/>
    <x v="7"/>
    <x v="7"/>
    <s v="paylater"/>
    <n v="322444910"/>
  </r>
  <r>
    <x v="791"/>
    <x v="2"/>
    <x v="2"/>
    <n v="10"/>
    <n v="8"/>
    <x v="1"/>
    <x v="1"/>
    <s v="cashloan"/>
    <n v="10000000"/>
  </r>
  <r>
    <x v="791"/>
    <x v="2"/>
    <x v="2"/>
    <n v="10"/>
    <n v="8"/>
    <x v="6"/>
    <x v="6"/>
    <s v="payday"/>
    <n v="55000000"/>
  </r>
  <r>
    <x v="791"/>
    <x v="2"/>
    <x v="2"/>
    <n v="10"/>
    <n v="8"/>
    <x v="18"/>
    <x v="15"/>
    <s v="cashloan"/>
    <n v="874430000"/>
  </r>
  <r>
    <x v="791"/>
    <x v="2"/>
    <x v="2"/>
    <n v="10"/>
    <n v="8"/>
    <x v="29"/>
    <x v="20"/>
    <s v="payday"/>
    <n v="328212000"/>
  </r>
  <r>
    <x v="791"/>
    <x v="2"/>
    <x v="2"/>
    <n v="10"/>
    <n v="8"/>
    <x v="19"/>
    <x v="12"/>
    <s v="paylater"/>
    <n v="624902725"/>
  </r>
  <r>
    <x v="791"/>
    <x v="2"/>
    <x v="2"/>
    <n v="10"/>
    <n v="8"/>
    <x v="24"/>
    <x v="18"/>
    <s v="cashloan"/>
    <n v="2246390000"/>
  </r>
  <r>
    <x v="791"/>
    <x v="2"/>
    <x v="2"/>
    <n v="10"/>
    <n v="8"/>
    <x v="30"/>
    <x v="21"/>
    <s v="payday"/>
    <n v="264600000"/>
  </r>
  <r>
    <x v="792"/>
    <x v="2"/>
    <x v="2"/>
    <n v="11"/>
    <n v="9"/>
    <x v="3"/>
    <x v="3"/>
    <s v="cashloan"/>
    <n v="1005700000"/>
  </r>
  <r>
    <x v="792"/>
    <x v="2"/>
    <x v="2"/>
    <n v="11"/>
    <n v="9"/>
    <x v="11"/>
    <x v="10"/>
    <s v="paylater"/>
    <n v="444974431"/>
  </r>
  <r>
    <x v="792"/>
    <x v="2"/>
    <x v="2"/>
    <n v="11"/>
    <n v="9"/>
    <x v="12"/>
    <x v="11"/>
    <s v="cashloan"/>
    <n v="11435820000"/>
  </r>
  <r>
    <x v="792"/>
    <x v="2"/>
    <x v="2"/>
    <n v="11"/>
    <n v="9"/>
    <x v="5"/>
    <x v="5"/>
    <s v="overdraft"/>
    <n v="2060454033"/>
  </r>
  <r>
    <x v="792"/>
    <x v="2"/>
    <x v="2"/>
    <n v="11"/>
    <n v="9"/>
    <x v="27"/>
    <x v="19"/>
    <s v="payday"/>
    <n v="13272768000"/>
  </r>
  <r>
    <x v="792"/>
    <x v="2"/>
    <x v="2"/>
    <n v="11"/>
    <n v="9"/>
    <x v="15"/>
    <x v="14"/>
    <s v="paylater"/>
    <n v="19002826"/>
  </r>
  <r>
    <x v="792"/>
    <x v="2"/>
    <x v="2"/>
    <n v="11"/>
    <n v="9"/>
    <x v="31"/>
    <x v="22"/>
    <s v="cashloan"/>
    <n v="0"/>
  </r>
  <r>
    <x v="792"/>
    <x v="2"/>
    <x v="2"/>
    <n v="11"/>
    <n v="9"/>
    <x v="14"/>
    <x v="13"/>
    <s v="cashloan"/>
    <n v="2979040000"/>
  </r>
  <r>
    <x v="792"/>
    <x v="2"/>
    <x v="2"/>
    <n v="11"/>
    <n v="9"/>
    <x v="33"/>
    <x v="13"/>
    <s v="cashloan"/>
    <n v="994660000"/>
  </r>
  <r>
    <x v="792"/>
    <x v="2"/>
    <x v="2"/>
    <n v="11"/>
    <n v="9"/>
    <x v="23"/>
    <x v="17"/>
    <s v="paylater"/>
    <n v="27289580"/>
  </r>
  <r>
    <x v="792"/>
    <x v="2"/>
    <x v="2"/>
    <n v="11"/>
    <n v="9"/>
    <x v="28"/>
    <x v="17"/>
    <s v="paylater"/>
    <n v="1144625438"/>
  </r>
  <r>
    <x v="792"/>
    <x v="2"/>
    <x v="2"/>
    <n v="11"/>
    <n v="9"/>
    <x v="8"/>
    <x v="8"/>
    <s v="cashloan"/>
    <n v="0"/>
  </r>
  <r>
    <x v="792"/>
    <x v="2"/>
    <x v="2"/>
    <n v="11"/>
    <n v="9"/>
    <x v="26"/>
    <x v="16"/>
    <s v="cashloan"/>
    <n v="156000000"/>
  </r>
  <r>
    <x v="792"/>
    <x v="2"/>
    <x v="2"/>
    <n v="11"/>
    <n v="9"/>
    <x v="32"/>
    <x v="16"/>
    <s v="cashloan"/>
    <n v="81000000"/>
  </r>
  <r>
    <x v="792"/>
    <x v="2"/>
    <x v="2"/>
    <n v="11"/>
    <n v="9"/>
    <x v="2"/>
    <x v="2"/>
    <s v="cashloan"/>
    <n v="16470360000"/>
  </r>
  <r>
    <x v="792"/>
    <x v="2"/>
    <x v="2"/>
    <n v="11"/>
    <n v="9"/>
    <x v="17"/>
    <x v="9"/>
    <s v="cashloan"/>
    <n v="0"/>
  </r>
  <r>
    <x v="792"/>
    <x v="2"/>
    <x v="2"/>
    <n v="11"/>
    <n v="9"/>
    <x v="20"/>
    <x v="9"/>
    <s v="cashloan"/>
    <n v="0"/>
  </r>
  <r>
    <x v="792"/>
    <x v="2"/>
    <x v="2"/>
    <n v="11"/>
    <n v="9"/>
    <x v="21"/>
    <x v="9"/>
    <s v="cashloan"/>
    <n v="0"/>
  </r>
  <r>
    <x v="792"/>
    <x v="2"/>
    <x v="2"/>
    <n v="11"/>
    <n v="9"/>
    <x v="25"/>
    <x v="2"/>
    <s v="cashloan"/>
    <n v="0"/>
  </r>
  <r>
    <x v="792"/>
    <x v="2"/>
    <x v="2"/>
    <n v="11"/>
    <n v="9"/>
    <x v="0"/>
    <x v="0"/>
    <s v="payday"/>
    <n v="10891260000"/>
  </r>
  <r>
    <x v="792"/>
    <x v="2"/>
    <x v="2"/>
    <n v="11"/>
    <n v="9"/>
    <x v="7"/>
    <x v="7"/>
    <s v="paylater"/>
    <n v="341293506"/>
  </r>
  <r>
    <x v="792"/>
    <x v="2"/>
    <x v="2"/>
    <n v="11"/>
    <n v="9"/>
    <x v="1"/>
    <x v="1"/>
    <s v="cashloan"/>
    <n v="21000000"/>
  </r>
  <r>
    <x v="792"/>
    <x v="2"/>
    <x v="2"/>
    <n v="11"/>
    <n v="9"/>
    <x v="6"/>
    <x v="6"/>
    <s v="payday"/>
    <n v="81000000"/>
  </r>
  <r>
    <x v="792"/>
    <x v="2"/>
    <x v="2"/>
    <n v="11"/>
    <n v="9"/>
    <x v="18"/>
    <x v="15"/>
    <s v="cashloan"/>
    <n v="944290000"/>
  </r>
  <r>
    <x v="792"/>
    <x v="2"/>
    <x v="2"/>
    <n v="11"/>
    <n v="9"/>
    <x v="29"/>
    <x v="20"/>
    <s v="payday"/>
    <n v="268920000"/>
  </r>
  <r>
    <x v="792"/>
    <x v="2"/>
    <x v="2"/>
    <n v="11"/>
    <n v="9"/>
    <x v="19"/>
    <x v="12"/>
    <s v="paylater"/>
    <n v="580390160"/>
  </r>
  <r>
    <x v="792"/>
    <x v="2"/>
    <x v="2"/>
    <n v="11"/>
    <n v="9"/>
    <x v="24"/>
    <x v="18"/>
    <s v="cashloan"/>
    <n v="2689610000"/>
  </r>
  <r>
    <x v="792"/>
    <x v="2"/>
    <x v="2"/>
    <n v="11"/>
    <n v="9"/>
    <x v="30"/>
    <x v="21"/>
    <s v="payday"/>
    <n v="279720000"/>
  </r>
  <r>
    <x v="793"/>
    <x v="2"/>
    <x v="2"/>
    <n v="11"/>
    <n v="10"/>
    <x v="3"/>
    <x v="3"/>
    <s v="cashloan"/>
    <n v="1279400000"/>
  </r>
  <r>
    <x v="793"/>
    <x v="2"/>
    <x v="2"/>
    <n v="11"/>
    <n v="10"/>
    <x v="11"/>
    <x v="10"/>
    <s v="paylater"/>
    <n v="377427314"/>
  </r>
  <r>
    <x v="793"/>
    <x v="2"/>
    <x v="2"/>
    <n v="11"/>
    <n v="10"/>
    <x v="12"/>
    <x v="11"/>
    <s v="cashloan"/>
    <n v="7659850000"/>
  </r>
  <r>
    <x v="793"/>
    <x v="2"/>
    <x v="2"/>
    <n v="11"/>
    <n v="10"/>
    <x v="5"/>
    <x v="5"/>
    <s v="overdraft"/>
    <n v="2025375445"/>
  </r>
  <r>
    <x v="793"/>
    <x v="2"/>
    <x v="2"/>
    <n v="11"/>
    <n v="10"/>
    <x v="27"/>
    <x v="19"/>
    <s v="payday"/>
    <n v="18105552000"/>
  </r>
  <r>
    <x v="793"/>
    <x v="2"/>
    <x v="2"/>
    <n v="11"/>
    <n v="10"/>
    <x v="15"/>
    <x v="14"/>
    <s v="paylater"/>
    <n v="23264856"/>
  </r>
  <r>
    <x v="793"/>
    <x v="2"/>
    <x v="2"/>
    <n v="11"/>
    <n v="10"/>
    <x v="31"/>
    <x v="22"/>
    <s v="cashloan"/>
    <n v="90000000"/>
  </r>
  <r>
    <x v="793"/>
    <x v="2"/>
    <x v="2"/>
    <n v="11"/>
    <n v="10"/>
    <x v="14"/>
    <x v="13"/>
    <s v="cashloan"/>
    <n v="2601090000"/>
  </r>
  <r>
    <x v="793"/>
    <x v="2"/>
    <x v="2"/>
    <n v="11"/>
    <n v="10"/>
    <x v="33"/>
    <x v="13"/>
    <s v="cashloan"/>
    <n v="909560000"/>
  </r>
  <r>
    <x v="793"/>
    <x v="2"/>
    <x v="2"/>
    <n v="11"/>
    <n v="10"/>
    <x v="23"/>
    <x v="17"/>
    <s v="paylater"/>
    <n v="28209071"/>
  </r>
  <r>
    <x v="793"/>
    <x v="2"/>
    <x v="2"/>
    <n v="11"/>
    <n v="10"/>
    <x v="28"/>
    <x v="17"/>
    <s v="paylater"/>
    <n v="1378495798"/>
  </r>
  <r>
    <x v="793"/>
    <x v="2"/>
    <x v="2"/>
    <n v="11"/>
    <n v="10"/>
    <x v="8"/>
    <x v="8"/>
    <s v="cashloan"/>
    <n v="0"/>
  </r>
  <r>
    <x v="793"/>
    <x v="2"/>
    <x v="2"/>
    <n v="11"/>
    <n v="10"/>
    <x v="26"/>
    <x v="16"/>
    <s v="cashloan"/>
    <n v="124750000"/>
  </r>
  <r>
    <x v="793"/>
    <x v="2"/>
    <x v="2"/>
    <n v="11"/>
    <n v="10"/>
    <x v="32"/>
    <x v="16"/>
    <s v="cashloan"/>
    <n v="0"/>
  </r>
  <r>
    <x v="793"/>
    <x v="2"/>
    <x v="2"/>
    <n v="11"/>
    <n v="10"/>
    <x v="2"/>
    <x v="2"/>
    <s v="cashloan"/>
    <n v="17593010000"/>
  </r>
  <r>
    <x v="793"/>
    <x v="2"/>
    <x v="2"/>
    <n v="11"/>
    <n v="10"/>
    <x v="17"/>
    <x v="9"/>
    <s v="cashloan"/>
    <n v="0"/>
  </r>
  <r>
    <x v="793"/>
    <x v="2"/>
    <x v="2"/>
    <n v="11"/>
    <n v="10"/>
    <x v="20"/>
    <x v="9"/>
    <s v="cashloan"/>
    <n v="0"/>
  </r>
  <r>
    <x v="793"/>
    <x v="2"/>
    <x v="2"/>
    <n v="11"/>
    <n v="10"/>
    <x v="21"/>
    <x v="9"/>
    <s v="cashloan"/>
    <n v="0"/>
  </r>
  <r>
    <x v="793"/>
    <x v="2"/>
    <x v="2"/>
    <n v="11"/>
    <n v="10"/>
    <x v="25"/>
    <x v="2"/>
    <s v="cashloan"/>
    <n v="0"/>
  </r>
  <r>
    <x v="793"/>
    <x v="2"/>
    <x v="2"/>
    <n v="11"/>
    <n v="10"/>
    <x v="0"/>
    <x v="0"/>
    <s v="payday"/>
    <n v="17252460000"/>
  </r>
  <r>
    <x v="793"/>
    <x v="2"/>
    <x v="2"/>
    <n v="11"/>
    <n v="10"/>
    <x v="7"/>
    <x v="7"/>
    <s v="paylater"/>
    <n v="287490745"/>
  </r>
  <r>
    <x v="793"/>
    <x v="2"/>
    <x v="2"/>
    <n v="11"/>
    <n v="10"/>
    <x v="1"/>
    <x v="1"/>
    <s v="cashloan"/>
    <n v="36750000"/>
  </r>
  <r>
    <x v="793"/>
    <x v="2"/>
    <x v="2"/>
    <n v="11"/>
    <n v="10"/>
    <x v="6"/>
    <x v="6"/>
    <s v="payday"/>
    <n v="55000000"/>
  </r>
  <r>
    <x v="793"/>
    <x v="2"/>
    <x v="2"/>
    <n v="11"/>
    <n v="10"/>
    <x v="18"/>
    <x v="15"/>
    <s v="cashloan"/>
    <n v="1053210000"/>
  </r>
  <r>
    <x v="793"/>
    <x v="2"/>
    <x v="2"/>
    <n v="11"/>
    <n v="10"/>
    <x v="29"/>
    <x v="20"/>
    <s v="payday"/>
    <n v="430596000"/>
  </r>
  <r>
    <x v="793"/>
    <x v="2"/>
    <x v="2"/>
    <n v="11"/>
    <n v="10"/>
    <x v="19"/>
    <x v="12"/>
    <s v="paylater"/>
    <n v="529054519"/>
  </r>
  <r>
    <x v="793"/>
    <x v="2"/>
    <x v="2"/>
    <n v="11"/>
    <n v="10"/>
    <x v="24"/>
    <x v="18"/>
    <s v="cashloan"/>
    <n v="3004280000"/>
  </r>
  <r>
    <x v="793"/>
    <x v="2"/>
    <x v="2"/>
    <n v="11"/>
    <n v="10"/>
    <x v="30"/>
    <x v="21"/>
    <s v="payday"/>
    <n v="297000000"/>
  </r>
  <r>
    <x v="794"/>
    <x v="2"/>
    <x v="2"/>
    <n v="11"/>
    <n v="11"/>
    <x v="3"/>
    <x v="3"/>
    <s v="cashloan"/>
    <n v="849100000"/>
  </r>
  <r>
    <x v="794"/>
    <x v="2"/>
    <x v="2"/>
    <n v="11"/>
    <n v="11"/>
    <x v="11"/>
    <x v="10"/>
    <s v="paylater"/>
    <n v="315493673"/>
  </r>
  <r>
    <x v="794"/>
    <x v="2"/>
    <x v="2"/>
    <n v="11"/>
    <n v="11"/>
    <x v="12"/>
    <x v="11"/>
    <s v="cashloan"/>
    <n v="6733330000"/>
  </r>
  <r>
    <x v="794"/>
    <x v="2"/>
    <x v="2"/>
    <n v="11"/>
    <n v="11"/>
    <x v="5"/>
    <x v="5"/>
    <s v="overdraft"/>
    <n v="1633382328"/>
  </r>
  <r>
    <x v="794"/>
    <x v="2"/>
    <x v="2"/>
    <n v="11"/>
    <n v="11"/>
    <x v="27"/>
    <x v="19"/>
    <s v="payday"/>
    <n v="14773644000"/>
  </r>
  <r>
    <x v="794"/>
    <x v="2"/>
    <x v="2"/>
    <n v="11"/>
    <n v="11"/>
    <x v="15"/>
    <x v="14"/>
    <s v="paylater"/>
    <n v="15972375"/>
  </r>
  <r>
    <x v="794"/>
    <x v="2"/>
    <x v="2"/>
    <n v="11"/>
    <n v="11"/>
    <x v="31"/>
    <x v="22"/>
    <s v="cashloan"/>
    <n v="90000000"/>
  </r>
  <r>
    <x v="794"/>
    <x v="2"/>
    <x v="2"/>
    <n v="11"/>
    <n v="11"/>
    <x v="14"/>
    <x v="13"/>
    <s v="cashloan"/>
    <n v="2780660000"/>
  </r>
  <r>
    <x v="794"/>
    <x v="2"/>
    <x v="2"/>
    <n v="11"/>
    <n v="11"/>
    <x v="33"/>
    <x v="13"/>
    <s v="cashloan"/>
    <n v="1063850000"/>
  </r>
  <r>
    <x v="794"/>
    <x v="2"/>
    <x v="2"/>
    <n v="11"/>
    <n v="11"/>
    <x v="23"/>
    <x v="17"/>
    <s v="paylater"/>
    <n v="8023750"/>
  </r>
  <r>
    <x v="794"/>
    <x v="2"/>
    <x v="2"/>
    <n v="11"/>
    <n v="11"/>
    <x v="28"/>
    <x v="17"/>
    <s v="paylater"/>
    <n v="1002477433"/>
  </r>
  <r>
    <x v="794"/>
    <x v="2"/>
    <x v="2"/>
    <n v="11"/>
    <n v="11"/>
    <x v="8"/>
    <x v="8"/>
    <s v="cashloan"/>
    <n v="0"/>
  </r>
  <r>
    <x v="794"/>
    <x v="2"/>
    <x v="2"/>
    <n v="11"/>
    <n v="11"/>
    <x v="26"/>
    <x v="16"/>
    <s v="cashloan"/>
    <n v="57000000"/>
  </r>
  <r>
    <x v="794"/>
    <x v="2"/>
    <x v="2"/>
    <n v="11"/>
    <n v="11"/>
    <x v="32"/>
    <x v="16"/>
    <s v="cashloan"/>
    <n v="0"/>
  </r>
  <r>
    <x v="794"/>
    <x v="2"/>
    <x v="2"/>
    <n v="11"/>
    <n v="11"/>
    <x v="2"/>
    <x v="2"/>
    <s v="cashloan"/>
    <n v="17138770000"/>
  </r>
  <r>
    <x v="794"/>
    <x v="2"/>
    <x v="2"/>
    <n v="11"/>
    <n v="11"/>
    <x v="17"/>
    <x v="9"/>
    <s v="cashloan"/>
    <n v="0"/>
  </r>
  <r>
    <x v="794"/>
    <x v="2"/>
    <x v="2"/>
    <n v="11"/>
    <n v="11"/>
    <x v="20"/>
    <x v="9"/>
    <s v="cashloan"/>
    <n v="0"/>
  </r>
  <r>
    <x v="794"/>
    <x v="2"/>
    <x v="2"/>
    <n v="11"/>
    <n v="11"/>
    <x v="21"/>
    <x v="9"/>
    <s v="cashloan"/>
    <n v="0"/>
  </r>
  <r>
    <x v="794"/>
    <x v="2"/>
    <x v="2"/>
    <n v="11"/>
    <n v="11"/>
    <x v="25"/>
    <x v="2"/>
    <s v="cashloan"/>
    <n v="0"/>
  </r>
  <r>
    <x v="794"/>
    <x v="2"/>
    <x v="2"/>
    <n v="11"/>
    <n v="11"/>
    <x v="0"/>
    <x v="0"/>
    <s v="payday"/>
    <n v="13339728000"/>
  </r>
  <r>
    <x v="794"/>
    <x v="2"/>
    <x v="2"/>
    <n v="11"/>
    <n v="11"/>
    <x v="7"/>
    <x v="7"/>
    <s v="paylater"/>
    <n v="242495696"/>
  </r>
  <r>
    <x v="794"/>
    <x v="2"/>
    <x v="2"/>
    <n v="11"/>
    <n v="11"/>
    <x v="1"/>
    <x v="1"/>
    <s v="cashloan"/>
    <n v="20000000"/>
  </r>
  <r>
    <x v="794"/>
    <x v="2"/>
    <x v="2"/>
    <n v="11"/>
    <n v="11"/>
    <x v="6"/>
    <x v="6"/>
    <s v="payday"/>
    <n v="44000000"/>
  </r>
  <r>
    <x v="794"/>
    <x v="2"/>
    <x v="2"/>
    <n v="11"/>
    <n v="11"/>
    <x v="18"/>
    <x v="15"/>
    <s v="cashloan"/>
    <n v="621770000"/>
  </r>
  <r>
    <x v="794"/>
    <x v="2"/>
    <x v="2"/>
    <n v="11"/>
    <n v="11"/>
    <x v="29"/>
    <x v="20"/>
    <s v="payday"/>
    <n v="347004000"/>
  </r>
  <r>
    <x v="794"/>
    <x v="2"/>
    <x v="2"/>
    <n v="11"/>
    <n v="11"/>
    <x v="19"/>
    <x v="12"/>
    <s v="paylater"/>
    <n v="399203922"/>
  </r>
  <r>
    <x v="794"/>
    <x v="2"/>
    <x v="2"/>
    <n v="11"/>
    <n v="11"/>
    <x v="24"/>
    <x v="18"/>
    <s v="cashloan"/>
    <n v="2524010000"/>
  </r>
  <r>
    <x v="794"/>
    <x v="2"/>
    <x v="2"/>
    <n v="11"/>
    <n v="11"/>
    <x v="30"/>
    <x v="21"/>
    <s v="payday"/>
    <n v="287280000"/>
  </r>
  <r>
    <x v="795"/>
    <x v="2"/>
    <x v="2"/>
    <n v="11"/>
    <n v="12"/>
    <x v="3"/>
    <x v="3"/>
    <s v="cashloan"/>
    <n v="799790000"/>
  </r>
  <r>
    <x v="795"/>
    <x v="2"/>
    <x v="2"/>
    <n v="11"/>
    <n v="12"/>
    <x v="11"/>
    <x v="10"/>
    <s v="paylater"/>
    <n v="331407688"/>
  </r>
  <r>
    <x v="795"/>
    <x v="2"/>
    <x v="2"/>
    <n v="11"/>
    <n v="12"/>
    <x v="12"/>
    <x v="11"/>
    <s v="cashloan"/>
    <n v="8530410000"/>
  </r>
  <r>
    <x v="795"/>
    <x v="2"/>
    <x v="2"/>
    <n v="11"/>
    <n v="12"/>
    <x v="5"/>
    <x v="5"/>
    <s v="overdraft"/>
    <n v="1530565656"/>
  </r>
  <r>
    <x v="795"/>
    <x v="2"/>
    <x v="2"/>
    <n v="11"/>
    <n v="12"/>
    <x v="27"/>
    <x v="19"/>
    <s v="payday"/>
    <n v="13646988000"/>
  </r>
  <r>
    <x v="795"/>
    <x v="2"/>
    <x v="2"/>
    <n v="11"/>
    <n v="12"/>
    <x v="15"/>
    <x v="14"/>
    <s v="paylater"/>
    <n v="9304549"/>
  </r>
  <r>
    <x v="795"/>
    <x v="2"/>
    <x v="2"/>
    <n v="11"/>
    <n v="12"/>
    <x v="31"/>
    <x v="22"/>
    <s v="cashloan"/>
    <n v="0"/>
  </r>
  <r>
    <x v="795"/>
    <x v="2"/>
    <x v="2"/>
    <n v="11"/>
    <n v="12"/>
    <x v="14"/>
    <x v="13"/>
    <s v="cashloan"/>
    <n v="2922300000"/>
  </r>
  <r>
    <x v="795"/>
    <x v="2"/>
    <x v="2"/>
    <n v="11"/>
    <n v="12"/>
    <x v="33"/>
    <x v="13"/>
    <s v="cashloan"/>
    <n v="1472490000"/>
  </r>
  <r>
    <x v="795"/>
    <x v="2"/>
    <x v="2"/>
    <n v="11"/>
    <n v="12"/>
    <x v="23"/>
    <x v="17"/>
    <s v="paylater"/>
    <n v="0"/>
  </r>
  <r>
    <x v="795"/>
    <x v="2"/>
    <x v="2"/>
    <n v="11"/>
    <n v="12"/>
    <x v="28"/>
    <x v="17"/>
    <s v="paylater"/>
    <n v="1072016424"/>
  </r>
  <r>
    <x v="795"/>
    <x v="2"/>
    <x v="2"/>
    <n v="11"/>
    <n v="12"/>
    <x v="8"/>
    <x v="8"/>
    <s v="cashloan"/>
    <n v="0"/>
  </r>
  <r>
    <x v="795"/>
    <x v="2"/>
    <x v="2"/>
    <n v="11"/>
    <n v="12"/>
    <x v="26"/>
    <x v="16"/>
    <s v="cashloan"/>
    <n v="84850000"/>
  </r>
  <r>
    <x v="795"/>
    <x v="2"/>
    <x v="2"/>
    <n v="11"/>
    <n v="12"/>
    <x v="32"/>
    <x v="16"/>
    <s v="cashloan"/>
    <n v="56000000"/>
  </r>
  <r>
    <x v="795"/>
    <x v="2"/>
    <x v="2"/>
    <n v="11"/>
    <n v="12"/>
    <x v="2"/>
    <x v="2"/>
    <s v="cashloan"/>
    <n v="15967630000"/>
  </r>
  <r>
    <x v="795"/>
    <x v="2"/>
    <x v="2"/>
    <n v="11"/>
    <n v="12"/>
    <x v="17"/>
    <x v="9"/>
    <s v="cashloan"/>
    <n v="0"/>
  </r>
  <r>
    <x v="795"/>
    <x v="2"/>
    <x v="2"/>
    <n v="11"/>
    <n v="12"/>
    <x v="20"/>
    <x v="9"/>
    <s v="cashloan"/>
    <n v="0"/>
  </r>
  <r>
    <x v="795"/>
    <x v="2"/>
    <x v="2"/>
    <n v="11"/>
    <n v="12"/>
    <x v="21"/>
    <x v="9"/>
    <s v="cashloan"/>
    <n v="0"/>
  </r>
  <r>
    <x v="795"/>
    <x v="2"/>
    <x v="2"/>
    <n v="11"/>
    <n v="12"/>
    <x v="25"/>
    <x v="2"/>
    <s v="cashloan"/>
    <n v="0"/>
  </r>
  <r>
    <x v="795"/>
    <x v="2"/>
    <x v="2"/>
    <n v="11"/>
    <n v="12"/>
    <x v="0"/>
    <x v="0"/>
    <s v="payday"/>
    <n v="12603276000"/>
  </r>
  <r>
    <x v="795"/>
    <x v="2"/>
    <x v="2"/>
    <n v="11"/>
    <n v="12"/>
    <x v="7"/>
    <x v="7"/>
    <s v="paylater"/>
    <n v="245991061"/>
  </r>
  <r>
    <x v="795"/>
    <x v="2"/>
    <x v="2"/>
    <n v="11"/>
    <n v="12"/>
    <x v="1"/>
    <x v="1"/>
    <s v="cashloan"/>
    <n v="0"/>
  </r>
  <r>
    <x v="795"/>
    <x v="2"/>
    <x v="2"/>
    <n v="11"/>
    <n v="12"/>
    <x v="6"/>
    <x v="6"/>
    <s v="payday"/>
    <n v="44000000"/>
  </r>
  <r>
    <x v="795"/>
    <x v="2"/>
    <x v="2"/>
    <n v="11"/>
    <n v="12"/>
    <x v="18"/>
    <x v="15"/>
    <s v="cashloan"/>
    <n v="959840000"/>
  </r>
  <r>
    <x v="795"/>
    <x v="2"/>
    <x v="2"/>
    <n v="11"/>
    <n v="12"/>
    <x v="29"/>
    <x v="20"/>
    <s v="payday"/>
    <n v="373140000"/>
  </r>
  <r>
    <x v="795"/>
    <x v="2"/>
    <x v="2"/>
    <n v="11"/>
    <n v="12"/>
    <x v="19"/>
    <x v="12"/>
    <s v="paylater"/>
    <n v="390819785"/>
  </r>
  <r>
    <x v="795"/>
    <x v="2"/>
    <x v="2"/>
    <n v="11"/>
    <n v="12"/>
    <x v="24"/>
    <x v="18"/>
    <s v="cashloan"/>
    <n v="2351920000"/>
  </r>
  <r>
    <x v="795"/>
    <x v="2"/>
    <x v="2"/>
    <n v="11"/>
    <n v="12"/>
    <x v="30"/>
    <x v="21"/>
    <s v="payday"/>
    <n v="261360000"/>
  </r>
  <r>
    <x v="796"/>
    <x v="2"/>
    <x v="2"/>
    <n v="11"/>
    <n v="13"/>
    <x v="3"/>
    <x v="3"/>
    <s v="cashloan"/>
    <n v="793730000"/>
  </r>
  <r>
    <x v="796"/>
    <x v="2"/>
    <x v="2"/>
    <n v="11"/>
    <n v="13"/>
    <x v="11"/>
    <x v="10"/>
    <s v="paylater"/>
    <n v="356146497"/>
  </r>
  <r>
    <x v="796"/>
    <x v="2"/>
    <x v="2"/>
    <n v="11"/>
    <n v="13"/>
    <x v="12"/>
    <x v="11"/>
    <s v="cashloan"/>
    <n v="8666460000"/>
  </r>
  <r>
    <x v="796"/>
    <x v="2"/>
    <x v="2"/>
    <n v="11"/>
    <n v="13"/>
    <x v="5"/>
    <x v="5"/>
    <s v="overdraft"/>
    <n v="1514794635"/>
  </r>
  <r>
    <x v="796"/>
    <x v="2"/>
    <x v="2"/>
    <n v="11"/>
    <n v="13"/>
    <x v="27"/>
    <x v="19"/>
    <s v="payday"/>
    <n v="13784580000"/>
  </r>
  <r>
    <x v="796"/>
    <x v="2"/>
    <x v="2"/>
    <n v="11"/>
    <n v="13"/>
    <x v="15"/>
    <x v="14"/>
    <s v="paylater"/>
    <n v="5687443"/>
  </r>
  <r>
    <x v="796"/>
    <x v="2"/>
    <x v="2"/>
    <n v="11"/>
    <n v="13"/>
    <x v="31"/>
    <x v="22"/>
    <s v="cashloan"/>
    <n v="0"/>
  </r>
  <r>
    <x v="796"/>
    <x v="2"/>
    <x v="2"/>
    <n v="11"/>
    <n v="13"/>
    <x v="14"/>
    <x v="13"/>
    <s v="cashloan"/>
    <n v="2284260000"/>
  </r>
  <r>
    <x v="796"/>
    <x v="2"/>
    <x v="2"/>
    <n v="11"/>
    <n v="13"/>
    <x v="33"/>
    <x v="13"/>
    <s v="cashloan"/>
    <n v="1217500000"/>
  </r>
  <r>
    <x v="796"/>
    <x v="2"/>
    <x v="2"/>
    <n v="11"/>
    <n v="13"/>
    <x v="23"/>
    <x v="17"/>
    <s v="paylater"/>
    <n v="10468258"/>
  </r>
  <r>
    <x v="796"/>
    <x v="2"/>
    <x v="2"/>
    <n v="11"/>
    <n v="13"/>
    <x v="28"/>
    <x v="17"/>
    <s v="paylater"/>
    <n v="1261795830"/>
  </r>
  <r>
    <x v="796"/>
    <x v="2"/>
    <x v="2"/>
    <n v="11"/>
    <n v="13"/>
    <x v="8"/>
    <x v="8"/>
    <s v="cashloan"/>
    <n v="0"/>
  </r>
  <r>
    <x v="796"/>
    <x v="2"/>
    <x v="2"/>
    <n v="11"/>
    <n v="13"/>
    <x v="26"/>
    <x v="16"/>
    <s v="cashloan"/>
    <n v="67750000"/>
  </r>
  <r>
    <x v="796"/>
    <x v="2"/>
    <x v="2"/>
    <n v="11"/>
    <n v="13"/>
    <x v="32"/>
    <x v="16"/>
    <s v="cashloan"/>
    <n v="32000000"/>
  </r>
  <r>
    <x v="796"/>
    <x v="2"/>
    <x v="2"/>
    <n v="11"/>
    <n v="13"/>
    <x v="2"/>
    <x v="2"/>
    <s v="cashloan"/>
    <n v="17298350000"/>
  </r>
  <r>
    <x v="796"/>
    <x v="2"/>
    <x v="2"/>
    <n v="11"/>
    <n v="13"/>
    <x v="17"/>
    <x v="9"/>
    <s v="cashloan"/>
    <n v="0"/>
  </r>
  <r>
    <x v="796"/>
    <x v="2"/>
    <x v="2"/>
    <n v="11"/>
    <n v="13"/>
    <x v="20"/>
    <x v="9"/>
    <s v="cashloan"/>
    <n v="0"/>
  </r>
  <r>
    <x v="796"/>
    <x v="2"/>
    <x v="2"/>
    <n v="11"/>
    <n v="13"/>
    <x v="21"/>
    <x v="9"/>
    <s v="cashloan"/>
    <n v="0"/>
  </r>
  <r>
    <x v="796"/>
    <x v="2"/>
    <x v="2"/>
    <n v="11"/>
    <n v="13"/>
    <x v="25"/>
    <x v="2"/>
    <s v="cashloan"/>
    <n v="0"/>
  </r>
  <r>
    <x v="796"/>
    <x v="2"/>
    <x v="2"/>
    <n v="11"/>
    <n v="13"/>
    <x v="0"/>
    <x v="0"/>
    <s v="payday"/>
    <n v="13376124000"/>
  </r>
  <r>
    <x v="796"/>
    <x v="2"/>
    <x v="2"/>
    <n v="11"/>
    <n v="13"/>
    <x v="7"/>
    <x v="7"/>
    <s v="paylater"/>
    <n v="178610788"/>
  </r>
  <r>
    <x v="796"/>
    <x v="2"/>
    <x v="2"/>
    <n v="11"/>
    <n v="13"/>
    <x v="1"/>
    <x v="1"/>
    <s v="cashloan"/>
    <n v="21000000"/>
  </r>
  <r>
    <x v="796"/>
    <x v="2"/>
    <x v="2"/>
    <n v="11"/>
    <n v="13"/>
    <x v="6"/>
    <x v="6"/>
    <s v="payday"/>
    <n v="15000000"/>
  </r>
  <r>
    <x v="796"/>
    <x v="2"/>
    <x v="2"/>
    <n v="11"/>
    <n v="13"/>
    <x v="18"/>
    <x v="15"/>
    <s v="cashloan"/>
    <n v="685640000"/>
  </r>
  <r>
    <x v="796"/>
    <x v="2"/>
    <x v="2"/>
    <n v="11"/>
    <n v="13"/>
    <x v="29"/>
    <x v="20"/>
    <s v="payday"/>
    <n v="327564000"/>
  </r>
  <r>
    <x v="796"/>
    <x v="2"/>
    <x v="2"/>
    <n v="11"/>
    <n v="13"/>
    <x v="19"/>
    <x v="12"/>
    <s v="paylater"/>
    <n v="301348104"/>
  </r>
  <r>
    <x v="796"/>
    <x v="2"/>
    <x v="2"/>
    <n v="11"/>
    <n v="13"/>
    <x v="24"/>
    <x v="18"/>
    <s v="cashloan"/>
    <n v="3044990000"/>
  </r>
  <r>
    <x v="796"/>
    <x v="2"/>
    <x v="2"/>
    <n v="11"/>
    <n v="13"/>
    <x v="30"/>
    <x v="21"/>
    <s v="payday"/>
    <n v="251640000"/>
  </r>
  <r>
    <x v="797"/>
    <x v="2"/>
    <x v="2"/>
    <n v="11"/>
    <n v="14"/>
    <x v="3"/>
    <x v="3"/>
    <s v="cashloan"/>
    <n v="803580000"/>
  </r>
  <r>
    <x v="797"/>
    <x v="2"/>
    <x v="2"/>
    <n v="11"/>
    <n v="14"/>
    <x v="11"/>
    <x v="10"/>
    <s v="paylater"/>
    <n v="327651632"/>
  </r>
  <r>
    <x v="797"/>
    <x v="2"/>
    <x v="2"/>
    <n v="11"/>
    <n v="14"/>
    <x v="12"/>
    <x v="11"/>
    <s v="cashloan"/>
    <n v="8204550000"/>
  </r>
  <r>
    <x v="797"/>
    <x v="2"/>
    <x v="2"/>
    <n v="11"/>
    <n v="14"/>
    <x v="5"/>
    <x v="5"/>
    <s v="overdraft"/>
    <n v="1385447749"/>
  </r>
  <r>
    <x v="797"/>
    <x v="2"/>
    <x v="2"/>
    <n v="11"/>
    <n v="14"/>
    <x v="27"/>
    <x v="19"/>
    <s v="payday"/>
    <n v="12531564000"/>
  </r>
  <r>
    <x v="797"/>
    <x v="2"/>
    <x v="2"/>
    <n v="11"/>
    <n v="14"/>
    <x v="15"/>
    <x v="14"/>
    <s v="paylater"/>
    <n v="4988697"/>
  </r>
  <r>
    <x v="797"/>
    <x v="2"/>
    <x v="2"/>
    <n v="11"/>
    <n v="14"/>
    <x v="31"/>
    <x v="22"/>
    <s v="cashloan"/>
    <n v="90000000"/>
  </r>
  <r>
    <x v="797"/>
    <x v="2"/>
    <x v="2"/>
    <n v="11"/>
    <n v="14"/>
    <x v="14"/>
    <x v="13"/>
    <s v="cashloan"/>
    <n v="2378780000"/>
  </r>
  <r>
    <x v="797"/>
    <x v="2"/>
    <x v="2"/>
    <n v="11"/>
    <n v="14"/>
    <x v="33"/>
    <x v="13"/>
    <s v="cashloan"/>
    <n v="1039980000"/>
  </r>
  <r>
    <x v="797"/>
    <x v="2"/>
    <x v="2"/>
    <n v="11"/>
    <n v="14"/>
    <x v="23"/>
    <x v="17"/>
    <s v="paylater"/>
    <n v="2443938"/>
  </r>
  <r>
    <x v="797"/>
    <x v="2"/>
    <x v="2"/>
    <n v="11"/>
    <n v="14"/>
    <x v="28"/>
    <x v="17"/>
    <s v="paylater"/>
    <n v="1473294906"/>
  </r>
  <r>
    <x v="797"/>
    <x v="2"/>
    <x v="2"/>
    <n v="11"/>
    <n v="14"/>
    <x v="8"/>
    <x v="8"/>
    <s v="cashloan"/>
    <n v="0"/>
  </r>
  <r>
    <x v="797"/>
    <x v="2"/>
    <x v="2"/>
    <n v="11"/>
    <n v="14"/>
    <x v="26"/>
    <x v="16"/>
    <s v="cashloan"/>
    <n v="15750000"/>
  </r>
  <r>
    <x v="797"/>
    <x v="2"/>
    <x v="2"/>
    <n v="11"/>
    <n v="14"/>
    <x v="32"/>
    <x v="16"/>
    <s v="cashloan"/>
    <n v="0"/>
  </r>
  <r>
    <x v="797"/>
    <x v="2"/>
    <x v="2"/>
    <n v="11"/>
    <n v="14"/>
    <x v="2"/>
    <x v="2"/>
    <s v="cashloan"/>
    <n v="16076280000"/>
  </r>
  <r>
    <x v="797"/>
    <x v="2"/>
    <x v="2"/>
    <n v="11"/>
    <n v="14"/>
    <x v="17"/>
    <x v="9"/>
    <s v="cashloan"/>
    <n v="0"/>
  </r>
  <r>
    <x v="797"/>
    <x v="2"/>
    <x v="2"/>
    <n v="11"/>
    <n v="14"/>
    <x v="20"/>
    <x v="9"/>
    <s v="cashloan"/>
    <n v="0"/>
  </r>
  <r>
    <x v="797"/>
    <x v="2"/>
    <x v="2"/>
    <n v="11"/>
    <n v="14"/>
    <x v="21"/>
    <x v="9"/>
    <s v="cashloan"/>
    <n v="0"/>
  </r>
  <r>
    <x v="797"/>
    <x v="2"/>
    <x v="2"/>
    <n v="11"/>
    <n v="14"/>
    <x v="25"/>
    <x v="2"/>
    <s v="cashloan"/>
    <n v="0"/>
  </r>
  <r>
    <x v="797"/>
    <x v="2"/>
    <x v="2"/>
    <n v="11"/>
    <n v="14"/>
    <x v="0"/>
    <x v="0"/>
    <s v="payday"/>
    <n v="12209184000"/>
  </r>
  <r>
    <x v="797"/>
    <x v="2"/>
    <x v="2"/>
    <n v="11"/>
    <n v="14"/>
    <x v="7"/>
    <x v="7"/>
    <s v="paylater"/>
    <n v="155508526"/>
  </r>
  <r>
    <x v="797"/>
    <x v="2"/>
    <x v="2"/>
    <n v="11"/>
    <n v="14"/>
    <x v="1"/>
    <x v="1"/>
    <s v="cashloan"/>
    <n v="25750000"/>
  </r>
  <r>
    <x v="797"/>
    <x v="2"/>
    <x v="2"/>
    <n v="11"/>
    <n v="14"/>
    <x v="6"/>
    <x v="6"/>
    <s v="payday"/>
    <n v="31000000"/>
  </r>
  <r>
    <x v="797"/>
    <x v="2"/>
    <x v="2"/>
    <n v="11"/>
    <n v="14"/>
    <x v="18"/>
    <x v="15"/>
    <s v="cashloan"/>
    <n v="827810000"/>
  </r>
  <r>
    <x v="797"/>
    <x v="2"/>
    <x v="2"/>
    <n v="11"/>
    <n v="14"/>
    <x v="29"/>
    <x v="20"/>
    <s v="payday"/>
    <n v="232848000"/>
  </r>
  <r>
    <x v="797"/>
    <x v="2"/>
    <x v="2"/>
    <n v="11"/>
    <n v="14"/>
    <x v="19"/>
    <x v="12"/>
    <s v="paylater"/>
    <n v="260285273"/>
  </r>
  <r>
    <x v="797"/>
    <x v="2"/>
    <x v="2"/>
    <n v="11"/>
    <n v="14"/>
    <x v="24"/>
    <x v="18"/>
    <s v="cashloan"/>
    <n v="2484080000"/>
  </r>
  <r>
    <x v="797"/>
    <x v="2"/>
    <x v="2"/>
    <n v="11"/>
    <n v="14"/>
    <x v="30"/>
    <x v="21"/>
    <s v="payday"/>
    <n v="287280000"/>
  </r>
  <r>
    <x v="798"/>
    <x v="2"/>
    <x v="2"/>
    <n v="11"/>
    <n v="15"/>
    <x v="3"/>
    <x v="3"/>
    <s v="cashloan"/>
    <n v="780470000"/>
  </r>
  <r>
    <x v="798"/>
    <x v="2"/>
    <x v="2"/>
    <n v="11"/>
    <n v="15"/>
    <x v="11"/>
    <x v="10"/>
    <s v="paylater"/>
    <n v="313866408"/>
  </r>
  <r>
    <x v="798"/>
    <x v="2"/>
    <x v="2"/>
    <n v="11"/>
    <n v="15"/>
    <x v="12"/>
    <x v="11"/>
    <s v="cashloan"/>
    <n v="8212700000"/>
  </r>
  <r>
    <x v="798"/>
    <x v="2"/>
    <x v="2"/>
    <n v="11"/>
    <n v="15"/>
    <x v="5"/>
    <x v="5"/>
    <s v="overdraft"/>
    <n v="1420287975"/>
  </r>
  <r>
    <x v="798"/>
    <x v="2"/>
    <x v="2"/>
    <n v="11"/>
    <n v="15"/>
    <x v="27"/>
    <x v="19"/>
    <s v="payday"/>
    <n v="13145976000"/>
  </r>
  <r>
    <x v="798"/>
    <x v="2"/>
    <x v="2"/>
    <n v="11"/>
    <n v="15"/>
    <x v="15"/>
    <x v="14"/>
    <s v="paylater"/>
    <n v="6520350"/>
  </r>
  <r>
    <x v="798"/>
    <x v="2"/>
    <x v="2"/>
    <n v="11"/>
    <n v="15"/>
    <x v="31"/>
    <x v="22"/>
    <s v="cashloan"/>
    <n v="0"/>
  </r>
  <r>
    <x v="798"/>
    <x v="2"/>
    <x v="2"/>
    <n v="11"/>
    <n v="15"/>
    <x v="14"/>
    <x v="13"/>
    <s v="cashloan"/>
    <n v="2604000000"/>
  </r>
  <r>
    <x v="798"/>
    <x v="2"/>
    <x v="2"/>
    <n v="11"/>
    <n v="15"/>
    <x v="33"/>
    <x v="13"/>
    <s v="cashloan"/>
    <n v="943170000"/>
  </r>
  <r>
    <x v="798"/>
    <x v="2"/>
    <x v="2"/>
    <n v="11"/>
    <n v="15"/>
    <x v="23"/>
    <x v="17"/>
    <s v="paylater"/>
    <n v="3165025"/>
  </r>
  <r>
    <x v="798"/>
    <x v="2"/>
    <x v="2"/>
    <n v="11"/>
    <n v="15"/>
    <x v="28"/>
    <x v="17"/>
    <s v="paylater"/>
    <n v="1593617519"/>
  </r>
  <r>
    <x v="798"/>
    <x v="2"/>
    <x v="2"/>
    <n v="11"/>
    <n v="15"/>
    <x v="8"/>
    <x v="8"/>
    <s v="cashloan"/>
    <n v="0"/>
  </r>
  <r>
    <x v="798"/>
    <x v="2"/>
    <x v="2"/>
    <n v="11"/>
    <n v="15"/>
    <x v="26"/>
    <x v="16"/>
    <s v="cashloan"/>
    <n v="0"/>
  </r>
  <r>
    <x v="798"/>
    <x v="2"/>
    <x v="2"/>
    <n v="11"/>
    <n v="15"/>
    <x v="32"/>
    <x v="16"/>
    <s v="cashloan"/>
    <n v="0"/>
  </r>
  <r>
    <x v="798"/>
    <x v="2"/>
    <x v="2"/>
    <n v="11"/>
    <n v="15"/>
    <x v="2"/>
    <x v="2"/>
    <s v="cashloan"/>
    <n v="16139750000"/>
  </r>
  <r>
    <x v="798"/>
    <x v="2"/>
    <x v="2"/>
    <n v="11"/>
    <n v="15"/>
    <x v="17"/>
    <x v="9"/>
    <s v="cashloan"/>
    <n v="0"/>
  </r>
  <r>
    <x v="798"/>
    <x v="2"/>
    <x v="2"/>
    <n v="11"/>
    <n v="15"/>
    <x v="20"/>
    <x v="9"/>
    <s v="cashloan"/>
    <n v="0"/>
  </r>
  <r>
    <x v="798"/>
    <x v="2"/>
    <x v="2"/>
    <n v="11"/>
    <n v="15"/>
    <x v="21"/>
    <x v="9"/>
    <s v="cashloan"/>
    <n v="0"/>
  </r>
  <r>
    <x v="798"/>
    <x v="2"/>
    <x v="2"/>
    <n v="11"/>
    <n v="15"/>
    <x v="25"/>
    <x v="2"/>
    <s v="cashloan"/>
    <n v="0"/>
  </r>
  <r>
    <x v="798"/>
    <x v="2"/>
    <x v="2"/>
    <n v="11"/>
    <n v="15"/>
    <x v="0"/>
    <x v="0"/>
    <s v="payday"/>
    <n v="11918448000"/>
  </r>
  <r>
    <x v="798"/>
    <x v="2"/>
    <x v="2"/>
    <n v="11"/>
    <n v="15"/>
    <x v="7"/>
    <x v="7"/>
    <s v="paylater"/>
    <n v="200447996"/>
  </r>
  <r>
    <x v="798"/>
    <x v="2"/>
    <x v="2"/>
    <n v="11"/>
    <n v="15"/>
    <x v="1"/>
    <x v="1"/>
    <s v="cashloan"/>
    <n v="63000000"/>
  </r>
  <r>
    <x v="798"/>
    <x v="2"/>
    <x v="2"/>
    <n v="11"/>
    <n v="15"/>
    <x v="6"/>
    <x v="6"/>
    <s v="payday"/>
    <n v="46000000"/>
  </r>
  <r>
    <x v="798"/>
    <x v="2"/>
    <x v="2"/>
    <n v="11"/>
    <n v="15"/>
    <x v="18"/>
    <x v="15"/>
    <s v="cashloan"/>
    <n v="664980000"/>
  </r>
  <r>
    <x v="798"/>
    <x v="2"/>
    <x v="2"/>
    <n v="11"/>
    <n v="15"/>
    <x v="29"/>
    <x v="20"/>
    <s v="payday"/>
    <n v="349272000"/>
  </r>
  <r>
    <x v="798"/>
    <x v="2"/>
    <x v="2"/>
    <n v="11"/>
    <n v="15"/>
    <x v="19"/>
    <x v="12"/>
    <s v="paylater"/>
    <n v="272319266"/>
  </r>
  <r>
    <x v="798"/>
    <x v="2"/>
    <x v="2"/>
    <n v="11"/>
    <n v="15"/>
    <x v="24"/>
    <x v="18"/>
    <s v="cashloan"/>
    <n v="2889930000"/>
  </r>
  <r>
    <x v="798"/>
    <x v="2"/>
    <x v="2"/>
    <n v="11"/>
    <n v="15"/>
    <x v="30"/>
    <x v="21"/>
    <s v="payday"/>
    <n v="283176000"/>
  </r>
  <r>
    <x v="799"/>
    <x v="2"/>
    <x v="2"/>
    <n v="12"/>
    <n v="16"/>
    <x v="3"/>
    <x v="3"/>
    <s v="cashloan"/>
    <n v="740080000"/>
  </r>
  <r>
    <x v="799"/>
    <x v="2"/>
    <x v="2"/>
    <n v="12"/>
    <n v="16"/>
    <x v="11"/>
    <x v="10"/>
    <s v="paylater"/>
    <n v="299822776"/>
  </r>
  <r>
    <x v="799"/>
    <x v="2"/>
    <x v="2"/>
    <n v="12"/>
    <n v="16"/>
    <x v="12"/>
    <x v="11"/>
    <s v="cashloan"/>
    <n v="10591300000"/>
  </r>
  <r>
    <x v="799"/>
    <x v="2"/>
    <x v="2"/>
    <n v="12"/>
    <n v="16"/>
    <x v="5"/>
    <x v="5"/>
    <s v="overdraft"/>
    <n v="1944313410"/>
  </r>
  <r>
    <x v="799"/>
    <x v="2"/>
    <x v="2"/>
    <n v="12"/>
    <n v="16"/>
    <x v="27"/>
    <x v="19"/>
    <s v="payday"/>
    <n v="13928544000"/>
  </r>
  <r>
    <x v="799"/>
    <x v="2"/>
    <x v="2"/>
    <n v="12"/>
    <n v="16"/>
    <x v="15"/>
    <x v="14"/>
    <s v="paylater"/>
    <n v="2764780"/>
  </r>
  <r>
    <x v="799"/>
    <x v="2"/>
    <x v="2"/>
    <n v="12"/>
    <n v="16"/>
    <x v="31"/>
    <x v="22"/>
    <s v="cashloan"/>
    <n v="90000000"/>
  </r>
  <r>
    <x v="799"/>
    <x v="2"/>
    <x v="2"/>
    <n v="12"/>
    <n v="16"/>
    <x v="14"/>
    <x v="13"/>
    <s v="cashloan"/>
    <n v="2441860000"/>
  </r>
  <r>
    <x v="799"/>
    <x v="2"/>
    <x v="2"/>
    <n v="12"/>
    <n v="16"/>
    <x v="33"/>
    <x v="13"/>
    <s v="cashloan"/>
    <n v="781550000"/>
  </r>
  <r>
    <x v="799"/>
    <x v="2"/>
    <x v="2"/>
    <n v="12"/>
    <n v="16"/>
    <x v="23"/>
    <x v="17"/>
    <s v="paylater"/>
    <n v="15958499"/>
  </r>
  <r>
    <x v="799"/>
    <x v="2"/>
    <x v="2"/>
    <n v="12"/>
    <n v="16"/>
    <x v="28"/>
    <x v="17"/>
    <s v="paylater"/>
    <n v="791668366"/>
  </r>
  <r>
    <x v="799"/>
    <x v="2"/>
    <x v="2"/>
    <n v="12"/>
    <n v="16"/>
    <x v="8"/>
    <x v="8"/>
    <s v="cashloan"/>
    <n v="0"/>
  </r>
  <r>
    <x v="799"/>
    <x v="2"/>
    <x v="2"/>
    <n v="12"/>
    <n v="16"/>
    <x v="26"/>
    <x v="16"/>
    <s v="cashloan"/>
    <n v="129250000"/>
  </r>
  <r>
    <x v="799"/>
    <x v="2"/>
    <x v="2"/>
    <n v="12"/>
    <n v="16"/>
    <x v="32"/>
    <x v="16"/>
    <s v="cashloan"/>
    <n v="0"/>
  </r>
  <r>
    <x v="799"/>
    <x v="2"/>
    <x v="2"/>
    <n v="12"/>
    <n v="16"/>
    <x v="2"/>
    <x v="2"/>
    <s v="cashloan"/>
    <n v="18652390000"/>
  </r>
  <r>
    <x v="799"/>
    <x v="2"/>
    <x v="2"/>
    <n v="12"/>
    <n v="16"/>
    <x v="17"/>
    <x v="9"/>
    <s v="cashloan"/>
    <n v="0"/>
  </r>
  <r>
    <x v="799"/>
    <x v="2"/>
    <x v="2"/>
    <n v="12"/>
    <n v="16"/>
    <x v="20"/>
    <x v="9"/>
    <s v="cashloan"/>
    <n v="0"/>
  </r>
  <r>
    <x v="799"/>
    <x v="2"/>
    <x v="2"/>
    <n v="12"/>
    <n v="16"/>
    <x v="21"/>
    <x v="9"/>
    <s v="cashloan"/>
    <n v="0"/>
  </r>
  <r>
    <x v="799"/>
    <x v="2"/>
    <x v="2"/>
    <n v="12"/>
    <n v="16"/>
    <x v="25"/>
    <x v="2"/>
    <s v="cashloan"/>
    <n v="0"/>
  </r>
  <r>
    <x v="799"/>
    <x v="2"/>
    <x v="2"/>
    <n v="12"/>
    <n v="16"/>
    <x v="0"/>
    <x v="0"/>
    <s v="payday"/>
    <n v="12140280000"/>
  </r>
  <r>
    <x v="799"/>
    <x v="2"/>
    <x v="2"/>
    <n v="12"/>
    <n v="16"/>
    <x v="7"/>
    <x v="7"/>
    <s v="paylater"/>
    <n v="199800737"/>
  </r>
  <r>
    <x v="799"/>
    <x v="2"/>
    <x v="2"/>
    <n v="12"/>
    <n v="16"/>
    <x v="1"/>
    <x v="1"/>
    <s v="cashloan"/>
    <n v="51500000"/>
  </r>
  <r>
    <x v="799"/>
    <x v="2"/>
    <x v="2"/>
    <n v="12"/>
    <n v="16"/>
    <x v="6"/>
    <x v="6"/>
    <s v="payday"/>
    <n v="25000000"/>
  </r>
  <r>
    <x v="799"/>
    <x v="2"/>
    <x v="2"/>
    <n v="12"/>
    <n v="16"/>
    <x v="18"/>
    <x v="15"/>
    <s v="cashloan"/>
    <n v="695310000"/>
  </r>
  <r>
    <x v="799"/>
    <x v="2"/>
    <x v="2"/>
    <n v="12"/>
    <n v="16"/>
    <x v="29"/>
    <x v="20"/>
    <s v="payday"/>
    <n v="311472000"/>
  </r>
  <r>
    <x v="799"/>
    <x v="2"/>
    <x v="2"/>
    <n v="12"/>
    <n v="16"/>
    <x v="19"/>
    <x v="12"/>
    <s v="paylater"/>
    <n v="262504491"/>
  </r>
  <r>
    <x v="799"/>
    <x v="2"/>
    <x v="2"/>
    <n v="12"/>
    <n v="16"/>
    <x v="24"/>
    <x v="18"/>
    <s v="cashloan"/>
    <n v="3685390000"/>
  </r>
  <r>
    <x v="799"/>
    <x v="2"/>
    <x v="2"/>
    <n v="12"/>
    <n v="16"/>
    <x v="30"/>
    <x v="21"/>
    <s v="payday"/>
    <n v="303264000"/>
  </r>
  <r>
    <x v="800"/>
    <x v="2"/>
    <x v="2"/>
    <n v="12"/>
    <n v="17"/>
    <x v="3"/>
    <x v="3"/>
    <s v="cashloan"/>
    <n v="689880000"/>
  </r>
  <r>
    <x v="800"/>
    <x v="2"/>
    <x v="2"/>
    <n v="12"/>
    <n v="17"/>
    <x v="11"/>
    <x v="10"/>
    <s v="paylater"/>
    <n v="287745140"/>
  </r>
  <r>
    <x v="800"/>
    <x v="2"/>
    <x v="2"/>
    <n v="12"/>
    <n v="17"/>
    <x v="12"/>
    <x v="11"/>
    <s v="cashloan"/>
    <n v="10769930000"/>
  </r>
  <r>
    <x v="800"/>
    <x v="2"/>
    <x v="2"/>
    <n v="12"/>
    <n v="17"/>
    <x v="5"/>
    <x v="5"/>
    <s v="overdraft"/>
    <n v="1636874628"/>
  </r>
  <r>
    <x v="800"/>
    <x v="2"/>
    <x v="2"/>
    <n v="12"/>
    <n v="17"/>
    <x v="27"/>
    <x v="19"/>
    <s v="payday"/>
    <n v="12807828000"/>
  </r>
  <r>
    <x v="800"/>
    <x v="2"/>
    <x v="2"/>
    <n v="12"/>
    <n v="17"/>
    <x v="15"/>
    <x v="14"/>
    <s v="paylater"/>
    <n v="2576000"/>
  </r>
  <r>
    <x v="800"/>
    <x v="2"/>
    <x v="2"/>
    <n v="12"/>
    <n v="17"/>
    <x v="31"/>
    <x v="22"/>
    <s v="cashloan"/>
    <n v="140000000"/>
  </r>
  <r>
    <x v="800"/>
    <x v="2"/>
    <x v="2"/>
    <n v="12"/>
    <n v="17"/>
    <x v="14"/>
    <x v="13"/>
    <s v="cashloan"/>
    <n v="2809160000"/>
  </r>
  <r>
    <x v="800"/>
    <x v="2"/>
    <x v="2"/>
    <n v="12"/>
    <n v="17"/>
    <x v="33"/>
    <x v="13"/>
    <s v="cashloan"/>
    <n v="833370000"/>
  </r>
  <r>
    <x v="800"/>
    <x v="2"/>
    <x v="2"/>
    <n v="12"/>
    <n v="17"/>
    <x v="23"/>
    <x v="17"/>
    <s v="paylater"/>
    <n v="8492997"/>
  </r>
  <r>
    <x v="800"/>
    <x v="2"/>
    <x v="2"/>
    <n v="12"/>
    <n v="17"/>
    <x v="28"/>
    <x v="17"/>
    <s v="paylater"/>
    <n v="974785500"/>
  </r>
  <r>
    <x v="800"/>
    <x v="2"/>
    <x v="2"/>
    <n v="12"/>
    <n v="17"/>
    <x v="8"/>
    <x v="8"/>
    <s v="cashloan"/>
    <n v="0"/>
  </r>
  <r>
    <x v="800"/>
    <x v="2"/>
    <x v="2"/>
    <n v="12"/>
    <n v="17"/>
    <x v="26"/>
    <x v="16"/>
    <s v="cashloan"/>
    <n v="41500000"/>
  </r>
  <r>
    <x v="800"/>
    <x v="2"/>
    <x v="2"/>
    <n v="12"/>
    <n v="17"/>
    <x v="32"/>
    <x v="16"/>
    <s v="cashloan"/>
    <n v="0"/>
  </r>
  <r>
    <x v="800"/>
    <x v="2"/>
    <x v="2"/>
    <n v="12"/>
    <n v="17"/>
    <x v="2"/>
    <x v="2"/>
    <s v="cashloan"/>
    <n v="17827750000"/>
  </r>
  <r>
    <x v="800"/>
    <x v="2"/>
    <x v="2"/>
    <n v="12"/>
    <n v="17"/>
    <x v="17"/>
    <x v="9"/>
    <s v="cashloan"/>
    <n v="0"/>
  </r>
  <r>
    <x v="800"/>
    <x v="2"/>
    <x v="2"/>
    <n v="12"/>
    <n v="17"/>
    <x v="20"/>
    <x v="9"/>
    <s v="cashloan"/>
    <n v="0"/>
  </r>
  <r>
    <x v="800"/>
    <x v="2"/>
    <x v="2"/>
    <n v="12"/>
    <n v="17"/>
    <x v="21"/>
    <x v="9"/>
    <s v="cashloan"/>
    <n v="0"/>
  </r>
  <r>
    <x v="800"/>
    <x v="2"/>
    <x v="2"/>
    <n v="12"/>
    <n v="17"/>
    <x v="25"/>
    <x v="2"/>
    <s v="cashloan"/>
    <n v="0"/>
  </r>
  <r>
    <x v="800"/>
    <x v="2"/>
    <x v="2"/>
    <n v="12"/>
    <n v="17"/>
    <x v="0"/>
    <x v="0"/>
    <s v="payday"/>
    <n v="11693592000"/>
  </r>
  <r>
    <x v="800"/>
    <x v="2"/>
    <x v="2"/>
    <n v="12"/>
    <n v="17"/>
    <x v="7"/>
    <x v="7"/>
    <s v="paylater"/>
    <n v="155065377"/>
  </r>
  <r>
    <x v="800"/>
    <x v="2"/>
    <x v="2"/>
    <n v="12"/>
    <n v="17"/>
    <x v="1"/>
    <x v="1"/>
    <s v="cashloan"/>
    <n v="36750000"/>
  </r>
  <r>
    <x v="800"/>
    <x v="2"/>
    <x v="2"/>
    <n v="12"/>
    <n v="17"/>
    <x v="6"/>
    <x v="6"/>
    <s v="payday"/>
    <n v="45000000"/>
  </r>
  <r>
    <x v="800"/>
    <x v="2"/>
    <x v="2"/>
    <n v="12"/>
    <n v="17"/>
    <x v="18"/>
    <x v="15"/>
    <s v="cashloan"/>
    <n v="822140000"/>
  </r>
  <r>
    <x v="800"/>
    <x v="2"/>
    <x v="2"/>
    <n v="12"/>
    <n v="17"/>
    <x v="29"/>
    <x v="20"/>
    <s v="payday"/>
    <n v="332532000"/>
  </r>
  <r>
    <x v="800"/>
    <x v="2"/>
    <x v="2"/>
    <n v="12"/>
    <n v="17"/>
    <x v="19"/>
    <x v="12"/>
    <s v="paylater"/>
    <n v="253690101"/>
  </r>
  <r>
    <x v="800"/>
    <x v="2"/>
    <x v="2"/>
    <n v="12"/>
    <n v="17"/>
    <x v="24"/>
    <x v="18"/>
    <s v="cashloan"/>
    <n v="3012840000"/>
  </r>
  <r>
    <x v="800"/>
    <x v="2"/>
    <x v="2"/>
    <n v="12"/>
    <n v="17"/>
    <x v="30"/>
    <x v="21"/>
    <s v="payday"/>
    <n v="308016000"/>
  </r>
  <r>
    <x v="801"/>
    <x v="2"/>
    <x v="2"/>
    <n v="12"/>
    <n v="18"/>
    <x v="3"/>
    <x v="3"/>
    <s v="cashloan"/>
    <n v="790190000"/>
  </r>
  <r>
    <x v="801"/>
    <x v="2"/>
    <x v="2"/>
    <n v="12"/>
    <n v="18"/>
    <x v="11"/>
    <x v="10"/>
    <s v="paylater"/>
    <n v="296570474"/>
  </r>
  <r>
    <x v="801"/>
    <x v="2"/>
    <x v="2"/>
    <n v="12"/>
    <n v="18"/>
    <x v="12"/>
    <x v="11"/>
    <s v="cashloan"/>
    <n v="15602770000"/>
  </r>
  <r>
    <x v="801"/>
    <x v="2"/>
    <x v="2"/>
    <n v="12"/>
    <n v="18"/>
    <x v="5"/>
    <x v="5"/>
    <s v="overdraft"/>
    <n v="1479101155"/>
  </r>
  <r>
    <x v="801"/>
    <x v="2"/>
    <x v="2"/>
    <n v="12"/>
    <n v="18"/>
    <x v="27"/>
    <x v="19"/>
    <s v="payday"/>
    <n v="12733848000"/>
  </r>
  <r>
    <x v="801"/>
    <x v="2"/>
    <x v="2"/>
    <n v="12"/>
    <n v="18"/>
    <x v="15"/>
    <x v="14"/>
    <s v="paylater"/>
    <n v="2074804"/>
  </r>
  <r>
    <x v="801"/>
    <x v="2"/>
    <x v="2"/>
    <n v="12"/>
    <n v="18"/>
    <x v="31"/>
    <x v="22"/>
    <s v="cashloan"/>
    <n v="0"/>
  </r>
  <r>
    <x v="801"/>
    <x v="2"/>
    <x v="2"/>
    <n v="12"/>
    <n v="18"/>
    <x v="14"/>
    <x v="13"/>
    <s v="cashloan"/>
    <n v="2304920000"/>
  </r>
  <r>
    <x v="801"/>
    <x v="2"/>
    <x v="2"/>
    <n v="12"/>
    <n v="18"/>
    <x v="33"/>
    <x v="13"/>
    <s v="cashloan"/>
    <n v="1060050000"/>
  </r>
  <r>
    <x v="801"/>
    <x v="2"/>
    <x v="2"/>
    <n v="12"/>
    <n v="18"/>
    <x v="23"/>
    <x v="17"/>
    <s v="paylater"/>
    <n v="2390000"/>
  </r>
  <r>
    <x v="801"/>
    <x v="2"/>
    <x v="2"/>
    <n v="12"/>
    <n v="18"/>
    <x v="28"/>
    <x v="17"/>
    <s v="paylater"/>
    <n v="861633067"/>
  </r>
  <r>
    <x v="801"/>
    <x v="2"/>
    <x v="2"/>
    <n v="12"/>
    <n v="18"/>
    <x v="8"/>
    <x v="8"/>
    <s v="cashloan"/>
    <n v="0"/>
  </r>
  <r>
    <x v="801"/>
    <x v="2"/>
    <x v="2"/>
    <n v="12"/>
    <n v="18"/>
    <x v="26"/>
    <x v="16"/>
    <s v="cashloan"/>
    <n v="57250000"/>
  </r>
  <r>
    <x v="801"/>
    <x v="2"/>
    <x v="2"/>
    <n v="12"/>
    <n v="18"/>
    <x v="32"/>
    <x v="16"/>
    <s v="cashloan"/>
    <n v="0"/>
  </r>
  <r>
    <x v="801"/>
    <x v="2"/>
    <x v="2"/>
    <n v="12"/>
    <n v="18"/>
    <x v="2"/>
    <x v="2"/>
    <s v="cashloan"/>
    <n v="18102430000"/>
  </r>
  <r>
    <x v="801"/>
    <x v="2"/>
    <x v="2"/>
    <n v="12"/>
    <n v="18"/>
    <x v="17"/>
    <x v="9"/>
    <s v="cashloan"/>
    <n v="0"/>
  </r>
  <r>
    <x v="801"/>
    <x v="2"/>
    <x v="2"/>
    <n v="12"/>
    <n v="18"/>
    <x v="20"/>
    <x v="9"/>
    <s v="cashloan"/>
    <n v="0"/>
  </r>
  <r>
    <x v="801"/>
    <x v="2"/>
    <x v="2"/>
    <n v="12"/>
    <n v="18"/>
    <x v="21"/>
    <x v="9"/>
    <s v="cashloan"/>
    <n v="0"/>
  </r>
  <r>
    <x v="801"/>
    <x v="2"/>
    <x v="2"/>
    <n v="12"/>
    <n v="18"/>
    <x v="25"/>
    <x v="2"/>
    <s v="cashloan"/>
    <n v="0"/>
  </r>
  <r>
    <x v="801"/>
    <x v="2"/>
    <x v="2"/>
    <n v="12"/>
    <n v="18"/>
    <x v="0"/>
    <x v="0"/>
    <s v="payday"/>
    <n v="11252088000"/>
  </r>
  <r>
    <x v="801"/>
    <x v="2"/>
    <x v="2"/>
    <n v="12"/>
    <n v="18"/>
    <x v="7"/>
    <x v="7"/>
    <s v="paylater"/>
    <n v="133540913"/>
  </r>
  <r>
    <x v="801"/>
    <x v="2"/>
    <x v="2"/>
    <n v="12"/>
    <n v="18"/>
    <x v="1"/>
    <x v="1"/>
    <s v="cashloan"/>
    <n v="68250000"/>
  </r>
  <r>
    <x v="801"/>
    <x v="2"/>
    <x v="2"/>
    <n v="12"/>
    <n v="18"/>
    <x v="6"/>
    <x v="6"/>
    <s v="payday"/>
    <n v="41000000"/>
  </r>
  <r>
    <x v="801"/>
    <x v="2"/>
    <x v="2"/>
    <n v="12"/>
    <n v="18"/>
    <x v="18"/>
    <x v="15"/>
    <s v="cashloan"/>
    <n v="843090000"/>
  </r>
  <r>
    <x v="801"/>
    <x v="2"/>
    <x v="2"/>
    <n v="12"/>
    <n v="18"/>
    <x v="29"/>
    <x v="20"/>
    <s v="payday"/>
    <n v="337176000"/>
  </r>
  <r>
    <x v="801"/>
    <x v="2"/>
    <x v="2"/>
    <n v="12"/>
    <n v="18"/>
    <x v="19"/>
    <x v="12"/>
    <s v="paylater"/>
    <n v="206571311"/>
  </r>
  <r>
    <x v="801"/>
    <x v="2"/>
    <x v="2"/>
    <n v="12"/>
    <n v="18"/>
    <x v="24"/>
    <x v="18"/>
    <s v="cashloan"/>
    <n v="2777110000"/>
  </r>
  <r>
    <x v="801"/>
    <x v="2"/>
    <x v="2"/>
    <n v="12"/>
    <n v="18"/>
    <x v="30"/>
    <x v="21"/>
    <s v="payday"/>
    <n v="326268000"/>
  </r>
  <r>
    <x v="802"/>
    <x v="2"/>
    <x v="2"/>
    <n v="12"/>
    <n v="19"/>
    <x v="3"/>
    <x v="3"/>
    <s v="cashloan"/>
    <n v="753550000"/>
  </r>
  <r>
    <x v="802"/>
    <x v="2"/>
    <x v="2"/>
    <n v="12"/>
    <n v="19"/>
    <x v="11"/>
    <x v="10"/>
    <s v="paylater"/>
    <n v="306159731"/>
  </r>
  <r>
    <x v="802"/>
    <x v="2"/>
    <x v="2"/>
    <n v="12"/>
    <n v="19"/>
    <x v="12"/>
    <x v="11"/>
    <s v="cashloan"/>
    <n v="16671240000"/>
  </r>
  <r>
    <x v="802"/>
    <x v="2"/>
    <x v="2"/>
    <n v="12"/>
    <n v="19"/>
    <x v="5"/>
    <x v="5"/>
    <s v="overdraft"/>
    <n v="1463978226"/>
  </r>
  <r>
    <x v="802"/>
    <x v="2"/>
    <x v="2"/>
    <n v="12"/>
    <n v="19"/>
    <x v="27"/>
    <x v="19"/>
    <s v="payday"/>
    <n v="12993696000"/>
  </r>
  <r>
    <x v="802"/>
    <x v="2"/>
    <x v="2"/>
    <n v="12"/>
    <n v="19"/>
    <x v="15"/>
    <x v="14"/>
    <s v="paylater"/>
    <n v="0"/>
  </r>
  <r>
    <x v="802"/>
    <x v="2"/>
    <x v="2"/>
    <n v="12"/>
    <n v="19"/>
    <x v="31"/>
    <x v="22"/>
    <s v="cashloan"/>
    <n v="0"/>
  </r>
  <r>
    <x v="802"/>
    <x v="2"/>
    <x v="2"/>
    <n v="12"/>
    <n v="19"/>
    <x v="14"/>
    <x v="13"/>
    <s v="cashloan"/>
    <n v="2331900000"/>
  </r>
  <r>
    <x v="802"/>
    <x v="2"/>
    <x v="2"/>
    <n v="12"/>
    <n v="19"/>
    <x v="33"/>
    <x v="13"/>
    <s v="cashloan"/>
    <n v="646270000"/>
  </r>
  <r>
    <x v="802"/>
    <x v="2"/>
    <x v="2"/>
    <n v="12"/>
    <n v="19"/>
    <x v="23"/>
    <x v="17"/>
    <s v="paylater"/>
    <n v="0"/>
  </r>
  <r>
    <x v="802"/>
    <x v="2"/>
    <x v="2"/>
    <n v="12"/>
    <n v="19"/>
    <x v="28"/>
    <x v="17"/>
    <s v="paylater"/>
    <n v="714632375"/>
  </r>
  <r>
    <x v="802"/>
    <x v="2"/>
    <x v="2"/>
    <n v="12"/>
    <n v="19"/>
    <x v="8"/>
    <x v="8"/>
    <s v="cashloan"/>
    <n v="0"/>
  </r>
  <r>
    <x v="802"/>
    <x v="2"/>
    <x v="2"/>
    <n v="12"/>
    <n v="19"/>
    <x v="26"/>
    <x v="16"/>
    <s v="cashloan"/>
    <n v="30750000"/>
  </r>
  <r>
    <x v="802"/>
    <x v="2"/>
    <x v="2"/>
    <n v="12"/>
    <n v="19"/>
    <x v="32"/>
    <x v="16"/>
    <s v="cashloan"/>
    <n v="90000000"/>
  </r>
  <r>
    <x v="802"/>
    <x v="2"/>
    <x v="2"/>
    <n v="12"/>
    <n v="19"/>
    <x v="2"/>
    <x v="2"/>
    <s v="cashloan"/>
    <n v="17639360000"/>
  </r>
  <r>
    <x v="802"/>
    <x v="2"/>
    <x v="2"/>
    <n v="12"/>
    <n v="19"/>
    <x v="17"/>
    <x v="9"/>
    <s v="cashloan"/>
    <n v="0"/>
  </r>
  <r>
    <x v="802"/>
    <x v="2"/>
    <x v="2"/>
    <n v="12"/>
    <n v="19"/>
    <x v="20"/>
    <x v="9"/>
    <s v="cashloan"/>
    <n v="0"/>
  </r>
  <r>
    <x v="802"/>
    <x v="2"/>
    <x v="2"/>
    <n v="12"/>
    <n v="19"/>
    <x v="21"/>
    <x v="9"/>
    <s v="cashloan"/>
    <n v="0"/>
  </r>
  <r>
    <x v="802"/>
    <x v="2"/>
    <x v="2"/>
    <n v="12"/>
    <n v="19"/>
    <x v="25"/>
    <x v="2"/>
    <s v="cashloan"/>
    <n v="0"/>
  </r>
  <r>
    <x v="802"/>
    <x v="2"/>
    <x v="2"/>
    <n v="12"/>
    <n v="19"/>
    <x v="0"/>
    <x v="0"/>
    <s v="payday"/>
    <n v="10874196000"/>
  </r>
  <r>
    <x v="802"/>
    <x v="2"/>
    <x v="2"/>
    <n v="12"/>
    <n v="19"/>
    <x v="7"/>
    <x v="7"/>
    <s v="paylater"/>
    <n v="129135792"/>
  </r>
  <r>
    <x v="802"/>
    <x v="2"/>
    <x v="2"/>
    <n v="12"/>
    <n v="19"/>
    <x v="1"/>
    <x v="1"/>
    <s v="cashloan"/>
    <n v="42000000"/>
  </r>
  <r>
    <x v="802"/>
    <x v="2"/>
    <x v="2"/>
    <n v="12"/>
    <n v="19"/>
    <x v="6"/>
    <x v="6"/>
    <s v="payday"/>
    <n v="58000000"/>
  </r>
  <r>
    <x v="802"/>
    <x v="2"/>
    <x v="2"/>
    <n v="12"/>
    <n v="19"/>
    <x v="18"/>
    <x v="15"/>
    <s v="cashloan"/>
    <n v="810750000"/>
  </r>
  <r>
    <x v="802"/>
    <x v="2"/>
    <x v="2"/>
    <n v="12"/>
    <n v="19"/>
    <x v="29"/>
    <x v="20"/>
    <s v="payday"/>
    <n v="306396000"/>
  </r>
  <r>
    <x v="802"/>
    <x v="2"/>
    <x v="2"/>
    <n v="12"/>
    <n v="19"/>
    <x v="19"/>
    <x v="12"/>
    <s v="paylater"/>
    <n v="237133397"/>
  </r>
  <r>
    <x v="802"/>
    <x v="2"/>
    <x v="2"/>
    <n v="12"/>
    <n v="19"/>
    <x v="24"/>
    <x v="18"/>
    <s v="cashloan"/>
    <n v="3403850000"/>
  </r>
  <r>
    <x v="802"/>
    <x v="2"/>
    <x v="2"/>
    <n v="12"/>
    <n v="19"/>
    <x v="30"/>
    <x v="21"/>
    <s v="payday"/>
    <n v="370116000"/>
  </r>
  <r>
    <x v="803"/>
    <x v="2"/>
    <x v="2"/>
    <n v="12"/>
    <n v="20"/>
    <x v="3"/>
    <x v="3"/>
    <s v="cashloan"/>
    <n v="655130000"/>
  </r>
  <r>
    <x v="803"/>
    <x v="2"/>
    <x v="2"/>
    <n v="12"/>
    <n v="20"/>
    <x v="11"/>
    <x v="10"/>
    <s v="paylater"/>
    <n v="333714600"/>
  </r>
  <r>
    <x v="803"/>
    <x v="2"/>
    <x v="2"/>
    <n v="12"/>
    <n v="20"/>
    <x v="12"/>
    <x v="11"/>
    <s v="cashloan"/>
    <n v="23880010000"/>
  </r>
  <r>
    <x v="803"/>
    <x v="2"/>
    <x v="2"/>
    <n v="12"/>
    <n v="20"/>
    <x v="5"/>
    <x v="5"/>
    <s v="overdraft"/>
    <n v="1567932673"/>
  </r>
  <r>
    <x v="803"/>
    <x v="2"/>
    <x v="2"/>
    <n v="12"/>
    <n v="20"/>
    <x v="27"/>
    <x v="19"/>
    <s v="payday"/>
    <n v="13876920000"/>
  </r>
  <r>
    <x v="803"/>
    <x v="2"/>
    <x v="2"/>
    <n v="12"/>
    <n v="20"/>
    <x v="15"/>
    <x v="14"/>
    <s v="paylater"/>
    <n v="6170882"/>
  </r>
  <r>
    <x v="803"/>
    <x v="2"/>
    <x v="2"/>
    <n v="12"/>
    <n v="20"/>
    <x v="31"/>
    <x v="22"/>
    <s v="cashloan"/>
    <n v="90000000"/>
  </r>
  <r>
    <x v="803"/>
    <x v="2"/>
    <x v="2"/>
    <n v="12"/>
    <n v="20"/>
    <x v="14"/>
    <x v="13"/>
    <s v="cashloan"/>
    <n v="2169670000"/>
  </r>
  <r>
    <x v="803"/>
    <x v="2"/>
    <x v="2"/>
    <n v="12"/>
    <n v="20"/>
    <x v="33"/>
    <x v="13"/>
    <s v="cashloan"/>
    <n v="943600000"/>
  </r>
  <r>
    <x v="803"/>
    <x v="2"/>
    <x v="2"/>
    <n v="12"/>
    <n v="20"/>
    <x v="23"/>
    <x v="17"/>
    <s v="paylater"/>
    <n v="3074683"/>
  </r>
  <r>
    <x v="803"/>
    <x v="2"/>
    <x v="2"/>
    <n v="12"/>
    <n v="20"/>
    <x v="28"/>
    <x v="17"/>
    <s v="paylater"/>
    <n v="777976238"/>
  </r>
  <r>
    <x v="803"/>
    <x v="2"/>
    <x v="2"/>
    <n v="12"/>
    <n v="20"/>
    <x v="8"/>
    <x v="8"/>
    <s v="cashloan"/>
    <n v="0"/>
  </r>
  <r>
    <x v="803"/>
    <x v="2"/>
    <x v="2"/>
    <n v="12"/>
    <n v="20"/>
    <x v="26"/>
    <x v="16"/>
    <s v="cashloan"/>
    <n v="112650000"/>
  </r>
  <r>
    <x v="803"/>
    <x v="2"/>
    <x v="2"/>
    <n v="12"/>
    <n v="20"/>
    <x v="32"/>
    <x v="16"/>
    <s v="cashloan"/>
    <n v="0"/>
  </r>
  <r>
    <x v="803"/>
    <x v="2"/>
    <x v="2"/>
    <n v="12"/>
    <n v="20"/>
    <x v="2"/>
    <x v="2"/>
    <s v="cashloan"/>
    <n v="18118340000"/>
  </r>
  <r>
    <x v="803"/>
    <x v="2"/>
    <x v="2"/>
    <n v="12"/>
    <n v="20"/>
    <x v="17"/>
    <x v="9"/>
    <s v="cashloan"/>
    <n v="0"/>
  </r>
  <r>
    <x v="803"/>
    <x v="2"/>
    <x v="2"/>
    <n v="12"/>
    <n v="20"/>
    <x v="20"/>
    <x v="9"/>
    <s v="cashloan"/>
    <n v="0"/>
  </r>
  <r>
    <x v="803"/>
    <x v="2"/>
    <x v="2"/>
    <n v="12"/>
    <n v="20"/>
    <x v="21"/>
    <x v="9"/>
    <s v="cashloan"/>
    <n v="0"/>
  </r>
  <r>
    <x v="803"/>
    <x v="2"/>
    <x v="2"/>
    <n v="12"/>
    <n v="20"/>
    <x v="25"/>
    <x v="2"/>
    <s v="cashloan"/>
    <n v="0"/>
  </r>
  <r>
    <x v="803"/>
    <x v="2"/>
    <x v="2"/>
    <n v="12"/>
    <n v="20"/>
    <x v="0"/>
    <x v="0"/>
    <s v="payday"/>
    <n v="11708820000"/>
  </r>
  <r>
    <x v="803"/>
    <x v="2"/>
    <x v="2"/>
    <n v="12"/>
    <n v="20"/>
    <x v="7"/>
    <x v="7"/>
    <s v="paylater"/>
    <n v="137125168"/>
  </r>
  <r>
    <x v="803"/>
    <x v="2"/>
    <x v="2"/>
    <n v="12"/>
    <n v="20"/>
    <x v="1"/>
    <x v="1"/>
    <s v="cashloan"/>
    <n v="35700000"/>
  </r>
  <r>
    <x v="803"/>
    <x v="2"/>
    <x v="2"/>
    <n v="12"/>
    <n v="20"/>
    <x v="6"/>
    <x v="6"/>
    <s v="payday"/>
    <n v="60000000"/>
  </r>
  <r>
    <x v="803"/>
    <x v="2"/>
    <x v="2"/>
    <n v="12"/>
    <n v="20"/>
    <x v="18"/>
    <x v="15"/>
    <s v="cashloan"/>
    <n v="571890000"/>
  </r>
  <r>
    <x v="803"/>
    <x v="2"/>
    <x v="2"/>
    <n v="12"/>
    <n v="20"/>
    <x v="29"/>
    <x v="20"/>
    <s v="payday"/>
    <n v="335232000"/>
  </r>
  <r>
    <x v="803"/>
    <x v="2"/>
    <x v="2"/>
    <n v="12"/>
    <n v="20"/>
    <x v="19"/>
    <x v="12"/>
    <s v="paylater"/>
    <n v="231388445"/>
  </r>
  <r>
    <x v="803"/>
    <x v="2"/>
    <x v="2"/>
    <n v="12"/>
    <n v="20"/>
    <x v="24"/>
    <x v="18"/>
    <s v="cashloan"/>
    <n v="3367960000"/>
  </r>
  <r>
    <x v="803"/>
    <x v="2"/>
    <x v="2"/>
    <n v="12"/>
    <n v="20"/>
    <x v="30"/>
    <x v="21"/>
    <s v="payday"/>
    <n v="196020000"/>
  </r>
  <r>
    <x v="804"/>
    <x v="2"/>
    <x v="2"/>
    <n v="12"/>
    <n v="21"/>
    <x v="3"/>
    <x v="3"/>
    <s v="cashloan"/>
    <n v="734770000"/>
  </r>
  <r>
    <x v="804"/>
    <x v="2"/>
    <x v="2"/>
    <n v="12"/>
    <n v="21"/>
    <x v="11"/>
    <x v="10"/>
    <s v="paylater"/>
    <n v="319891352"/>
  </r>
  <r>
    <x v="804"/>
    <x v="2"/>
    <x v="2"/>
    <n v="12"/>
    <n v="21"/>
    <x v="12"/>
    <x v="11"/>
    <s v="cashloan"/>
    <n v="18475940000"/>
  </r>
  <r>
    <x v="804"/>
    <x v="2"/>
    <x v="2"/>
    <n v="12"/>
    <n v="21"/>
    <x v="5"/>
    <x v="5"/>
    <s v="overdraft"/>
    <n v="1471621421"/>
  </r>
  <r>
    <x v="804"/>
    <x v="2"/>
    <x v="2"/>
    <n v="12"/>
    <n v="21"/>
    <x v="27"/>
    <x v="19"/>
    <s v="payday"/>
    <n v="12961836000"/>
  </r>
  <r>
    <x v="804"/>
    <x v="2"/>
    <x v="2"/>
    <n v="12"/>
    <n v="21"/>
    <x v="15"/>
    <x v="14"/>
    <s v="paylater"/>
    <n v="6995860"/>
  </r>
  <r>
    <x v="804"/>
    <x v="2"/>
    <x v="2"/>
    <n v="12"/>
    <n v="21"/>
    <x v="31"/>
    <x v="22"/>
    <s v="cashloan"/>
    <n v="90000000"/>
  </r>
  <r>
    <x v="804"/>
    <x v="2"/>
    <x v="2"/>
    <n v="12"/>
    <n v="21"/>
    <x v="14"/>
    <x v="13"/>
    <s v="cashloan"/>
    <n v="2342230000"/>
  </r>
  <r>
    <x v="804"/>
    <x v="2"/>
    <x v="2"/>
    <n v="12"/>
    <n v="21"/>
    <x v="33"/>
    <x v="13"/>
    <s v="cashloan"/>
    <n v="683760000"/>
  </r>
  <r>
    <x v="804"/>
    <x v="2"/>
    <x v="2"/>
    <n v="12"/>
    <n v="21"/>
    <x v="23"/>
    <x v="17"/>
    <s v="paylater"/>
    <n v="16060990"/>
  </r>
  <r>
    <x v="804"/>
    <x v="2"/>
    <x v="2"/>
    <n v="12"/>
    <n v="21"/>
    <x v="28"/>
    <x v="17"/>
    <s v="paylater"/>
    <n v="1271252878"/>
  </r>
  <r>
    <x v="804"/>
    <x v="2"/>
    <x v="2"/>
    <n v="12"/>
    <n v="21"/>
    <x v="8"/>
    <x v="8"/>
    <s v="cashloan"/>
    <n v="0"/>
  </r>
  <r>
    <x v="804"/>
    <x v="2"/>
    <x v="2"/>
    <n v="12"/>
    <n v="21"/>
    <x v="26"/>
    <x v="16"/>
    <s v="cashloan"/>
    <n v="26250000"/>
  </r>
  <r>
    <x v="804"/>
    <x v="2"/>
    <x v="2"/>
    <n v="12"/>
    <n v="21"/>
    <x v="32"/>
    <x v="16"/>
    <s v="cashloan"/>
    <n v="0"/>
  </r>
  <r>
    <x v="804"/>
    <x v="2"/>
    <x v="2"/>
    <n v="12"/>
    <n v="21"/>
    <x v="2"/>
    <x v="2"/>
    <s v="cashloan"/>
    <n v="16057500000"/>
  </r>
  <r>
    <x v="804"/>
    <x v="2"/>
    <x v="2"/>
    <n v="12"/>
    <n v="21"/>
    <x v="17"/>
    <x v="9"/>
    <s v="cashloan"/>
    <n v="0"/>
  </r>
  <r>
    <x v="804"/>
    <x v="2"/>
    <x v="2"/>
    <n v="12"/>
    <n v="21"/>
    <x v="20"/>
    <x v="9"/>
    <s v="cashloan"/>
    <n v="0"/>
  </r>
  <r>
    <x v="804"/>
    <x v="2"/>
    <x v="2"/>
    <n v="12"/>
    <n v="21"/>
    <x v="21"/>
    <x v="9"/>
    <s v="cashloan"/>
    <n v="0"/>
  </r>
  <r>
    <x v="804"/>
    <x v="2"/>
    <x v="2"/>
    <n v="12"/>
    <n v="21"/>
    <x v="25"/>
    <x v="2"/>
    <s v="cashloan"/>
    <n v="0"/>
  </r>
  <r>
    <x v="804"/>
    <x v="2"/>
    <x v="2"/>
    <n v="12"/>
    <n v="21"/>
    <x v="0"/>
    <x v="0"/>
    <s v="payday"/>
    <n v="10785096000"/>
  </r>
  <r>
    <x v="804"/>
    <x v="2"/>
    <x v="2"/>
    <n v="12"/>
    <n v="21"/>
    <x v="7"/>
    <x v="7"/>
    <s v="paylater"/>
    <n v="173243458"/>
  </r>
  <r>
    <x v="804"/>
    <x v="2"/>
    <x v="2"/>
    <n v="12"/>
    <n v="21"/>
    <x v="1"/>
    <x v="1"/>
    <s v="cashloan"/>
    <n v="72500000"/>
  </r>
  <r>
    <x v="804"/>
    <x v="2"/>
    <x v="2"/>
    <n v="12"/>
    <n v="21"/>
    <x v="6"/>
    <x v="6"/>
    <s v="payday"/>
    <n v="55000000"/>
  </r>
  <r>
    <x v="804"/>
    <x v="2"/>
    <x v="2"/>
    <n v="12"/>
    <n v="21"/>
    <x v="18"/>
    <x v="15"/>
    <s v="cashloan"/>
    <n v="800800000"/>
  </r>
  <r>
    <x v="804"/>
    <x v="2"/>
    <x v="2"/>
    <n v="12"/>
    <n v="21"/>
    <x v="29"/>
    <x v="20"/>
    <s v="payday"/>
    <n v="314928000"/>
  </r>
  <r>
    <x v="804"/>
    <x v="2"/>
    <x v="2"/>
    <n v="12"/>
    <n v="21"/>
    <x v="19"/>
    <x v="12"/>
    <s v="paylater"/>
    <n v="252798773"/>
  </r>
  <r>
    <x v="804"/>
    <x v="2"/>
    <x v="2"/>
    <n v="12"/>
    <n v="21"/>
    <x v="24"/>
    <x v="18"/>
    <s v="cashloan"/>
    <n v="3304280000"/>
  </r>
  <r>
    <x v="804"/>
    <x v="2"/>
    <x v="2"/>
    <n v="12"/>
    <n v="21"/>
    <x v="30"/>
    <x v="21"/>
    <s v="payday"/>
    <n v="29160000"/>
  </r>
  <r>
    <x v="805"/>
    <x v="2"/>
    <x v="2"/>
    <n v="12"/>
    <n v="22"/>
    <x v="3"/>
    <x v="3"/>
    <s v="cashloan"/>
    <n v="607520000"/>
  </r>
  <r>
    <x v="805"/>
    <x v="2"/>
    <x v="2"/>
    <n v="12"/>
    <n v="22"/>
    <x v="11"/>
    <x v="10"/>
    <s v="paylater"/>
    <n v="342822230"/>
  </r>
  <r>
    <x v="805"/>
    <x v="2"/>
    <x v="2"/>
    <n v="12"/>
    <n v="22"/>
    <x v="12"/>
    <x v="11"/>
    <s v="cashloan"/>
    <n v="14779100000"/>
  </r>
  <r>
    <x v="805"/>
    <x v="2"/>
    <x v="2"/>
    <n v="12"/>
    <n v="22"/>
    <x v="5"/>
    <x v="5"/>
    <s v="overdraft"/>
    <n v="1530795139"/>
  </r>
  <r>
    <x v="805"/>
    <x v="2"/>
    <x v="2"/>
    <n v="12"/>
    <n v="22"/>
    <x v="27"/>
    <x v="19"/>
    <s v="payday"/>
    <n v="12373560000"/>
  </r>
  <r>
    <x v="805"/>
    <x v="2"/>
    <x v="2"/>
    <n v="12"/>
    <n v="22"/>
    <x v="15"/>
    <x v="14"/>
    <s v="paylater"/>
    <n v="1440172"/>
  </r>
  <r>
    <x v="805"/>
    <x v="2"/>
    <x v="2"/>
    <n v="12"/>
    <n v="22"/>
    <x v="31"/>
    <x v="22"/>
    <s v="cashloan"/>
    <n v="0"/>
  </r>
  <r>
    <x v="805"/>
    <x v="2"/>
    <x v="2"/>
    <n v="12"/>
    <n v="22"/>
    <x v="14"/>
    <x v="13"/>
    <s v="cashloan"/>
    <n v="2681070000"/>
  </r>
  <r>
    <x v="805"/>
    <x v="2"/>
    <x v="2"/>
    <n v="12"/>
    <n v="22"/>
    <x v="33"/>
    <x v="13"/>
    <s v="cashloan"/>
    <n v="861180000"/>
  </r>
  <r>
    <x v="805"/>
    <x v="2"/>
    <x v="2"/>
    <n v="12"/>
    <n v="22"/>
    <x v="23"/>
    <x v="17"/>
    <s v="paylater"/>
    <n v="3268232"/>
  </r>
  <r>
    <x v="805"/>
    <x v="2"/>
    <x v="2"/>
    <n v="12"/>
    <n v="22"/>
    <x v="28"/>
    <x v="17"/>
    <s v="paylater"/>
    <n v="974267581"/>
  </r>
  <r>
    <x v="805"/>
    <x v="2"/>
    <x v="2"/>
    <n v="12"/>
    <n v="22"/>
    <x v="8"/>
    <x v="8"/>
    <s v="cashloan"/>
    <n v="0"/>
  </r>
  <r>
    <x v="805"/>
    <x v="2"/>
    <x v="2"/>
    <n v="12"/>
    <n v="22"/>
    <x v="26"/>
    <x v="16"/>
    <s v="cashloan"/>
    <n v="0"/>
  </r>
  <r>
    <x v="805"/>
    <x v="2"/>
    <x v="2"/>
    <n v="12"/>
    <n v="22"/>
    <x v="32"/>
    <x v="16"/>
    <s v="cashloan"/>
    <n v="0"/>
  </r>
  <r>
    <x v="805"/>
    <x v="2"/>
    <x v="2"/>
    <n v="12"/>
    <n v="22"/>
    <x v="2"/>
    <x v="2"/>
    <s v="cashloan"/>
    <n v="15876090000"/>
  </r>
  <r>
    <x v="805"/>
    <x v="2"/>
    <x v="2"/>
    <n v="12"/>
    <n v="22"/>
    <x v="17"/>
    <x v="9"/>
    <s v="cashloan"/>
    <n v="0"/>
  </r>
  <r>
    <x v="805"/>
    <x v="2"/>
    <x v="2"/>
    <n v="12"/>
    <n v="22"/>
    <x v="20"/>
    <x v="9"/>
    <s v="cashloan"/>
    <n v="0"/>
  </r>
  <r>
    <x v="805"/>
    <x v="2"/>
    <x v="2"/>
    <n v="12"/>
    <n v="22"/>
    <x v="21"/>
    <x v="9"/>
    <s v="cashloan"/>
    <n v="0"/>
  </r>
  <r>
    <x v="805"/>
    <x v="2"/>
    <x v="2"/>
    <n v="12"/>
    <n v="22"/>
    <x v="25"/>
    <x v="2"/>
    <s v="cashloan"/>
    <n v="0"/>
  </r>
  <r>
    <x v="805"/>
    <x v="2"/>
    <x v="2"/>
    <n v="12"/>
    <n v="22"/>
    <x v="0"/>
    <x v="0"/>
    <s v="payday"/>
    <n v="11044404000"/>
  </r>
  <r>
    <x v="805"/>
    <x v="2"/>
    <x v="2"/>
    <n v="12"/>
    <n v="22"/>
    <x v="7"/>
    <x v="7"/>
    <s v="paylater"/>
    <n v="139985406"/>
  </r>
  <r>
    <x v="805"/>
    <x v="2"/>
    <x v="2"/>
    <n v="12"/>
    <n v="22"/>
    <x v="1"/>
    <x v="1"/>
    <s v="cashloan"/>
    <n v="42000000"/>
  </r>
  <r>
    <x v="805"/>
    <x v="2"/>
    <x v="2"/>
    <n v="12"/>
    <n v="22"/>
    <x v="6"/>
    <x v="6"/>
    <s v="payday"/>
    <n v="49000000"/>
  </r>
  <r>
    <x v="805"/>
    <x v="2"/>
    <x v="2"/>
    <n v="12"/>
    <n v="22"/>
    <x v="18"/>
    <x v="15"/>
    <s v="cashloan"/>
    <n v="572920000"/>
  </r>
  <r>
    <x v="805"/>
    <x v="2"/>
    <x v="2"/>
    <n v="12"/>
    <n v="22"/>
    <x v="29"/>
    <x v="20"/>
    <s v="payday"/>
    <n v="266868000"/>
  </r>
  <r>
    <x v="805"/>
    <x v="2"/>
    <x v="2"/>
    <n v="12"/>
    <n v="22"/>
    <x v="19"/>
    <x v="12"/>
    <s v="paylater"/>
    <n v="319332411"/>
  </r>
  <r>
    <x v="805"/>
    <x v="2"/>
    <x v="2"/>
    <n v="12"/>
    <n v="22"/>
    <x v="24"/>
    <x v="18"/>
    <s v="cashloan"/>
    <n v="2796330000"/>
  </r>
  <r>
    <x v="805"/>
    <x v="2"/>
    <x v="2"/>
    <n v="12"/>
    <n v="22"/>
    <x v="30"/>
    <x v="21"/>
    <s v="payday"/>
    <n v="30240000"/>
  </r>
  <r>
    <x v="806"/>
    <x v="2"/>
    <x v="2"/>
    <n v="13"/>
    <n v="23"/>
    <x v="3"/>
    <x v="3"/>
    <s v="cashloan"/>
    <n v="695790000"/>
  </r>
  <r>
    <x v="806"/>
    <x v="2"/>
    <x v="2"/>
    <n v="13"/>
    <n v="23"/>
    <x v="11"/>
    <x v="10"/>
    <s v="paylater"/>
    <n v="278930554"/>
  </r>
  <r>
    <x v="806"/>
    <x v="2"/>
    <x v="2"/>
    <n v="13"/>
    <n v="23"/>
    <x v="12"/>
    <x v="11"/>
    <s v="cashloan"/>
    <n v="18739380000"/>
  </r>
  <r>
    <x v="806"/>
    <x v="2"/>
    <x v="2"/>
    <n v="13"/>
    <n v="23"/>
    <x v="5"/>
    <x v="5"/>
    <s v="overdraft"/>
    <n v="1527725458"/>
  </r>
  <r>
    <x v="806"/>
    <x v="2"/>
    <x v="2"/>
    <n v="13"/>
    <n v="23"/>
    <x v="27"/>
    <x v="19"/>
    <s v="payday"/>
    <n v="13494276000"/>
  </r>
  <r>
    <x v="806"/>
    <x v="2"/>
    <x v="2"/>
    <n v="13"/>
    <n v="23"/>
    <x v="15"/>
    <x v="14"/>
    <s v="paylater"/>
    <n v="13556549"/>
  </r>
  <r>
    <x v="806"/>
    <x v="2"/>
    <x v="2"/>
    <n v="13"/>
    <n v="23"/>
    <x v="31"/>
    <x v="22"/>
    <s v="cashloan"/>
    <n v="50000000"/>
  </r>
  <r>
    <x v="806"/>
    <x v="2"/>
    <x v="2"/>
    <n v="13"/>
    <n v="23"/>
    <x v="14"/>
    <x v="13"/>
    <s v="cashloan"/>
    <n v="1886090000"/>
  </r>
  <r>
    <x v="806"/>
    <x v="2"/>
    <x v="2"/>
    <n v="13"/>
    <n v="23"/>
    <x v="33"/>
    <x v="13"/>
    <s v="cashloan"/>
    <n v="638650000"/>
  </r>
  <r>
    <x v="806"/>
    <x v="2"/>
    <x v="2"/>
    <n v="13"/>
    <n v="23"/>
    <x v="23"/>
    <x v="17"/>
    <s v="paylater"/>
    <n v="1103000"/>
  </r>
  <r>
    <x v="806"/>
    <x v="2"/>
    <x v="2"/>
    <n v="13"/>
    <n v="23"/>
    <x v="28"/>
    <x v="17"/>
    <s v="paylater"/>
    <n v="761779372"/>
  </r>
  <r>
    <x v="806"/>
    <x v="2"/>
    <x v="2"/>
    <n v="13"/>
    <n v="23"/>
    <x v="8"/>
    <x v="8"/>
    <s v="cashloan"/>
    <n v="0"/>
  </r>
  <r>
    <x v="806"/>
    <x v="2"/>
    <x v="2"/>
    <n v="13"/>
    <n v="23"/>
    <x v="26"/>
    <x v="16"/>
    <s v="cashloan"/>
    <n v="73500000"/>
  </r>
  <r>
    <x v="806"/>
    <x v="2"/>
    <x v="2"/>
    <n v="13"/>
    <n v="23"/>
    <x v="32"/>
    <x v="16"/>
    <s v="cashloan"/>
    <n v="0"/>
  </r>
  <r>
    <x v="806"/>
    <x v="2"/>
    <x v="2"/>
    <n v="13"/>
    <n v="23"/>
    <x v="2"/>
    <x v="2"/>
    <s v="cashloan"/>
    <n v="17549970000"/>
  </r>
  <r>
    <x v="806"/>
    <x v="2"/>
    <x v="2"/>
    <n v="13"/>
    <n v="23"/>
    <x v="17"/>
    <x v="9"/>
    <s v="cashloan"/>
    <n v="0"/>
  </r>
  <r>
    <x v="806"/>
    <x v="2"/>
    <x v="2"/>
    <n v="13"/>
    <n v="23"/>
    <x v="20"/>
    <x v="9"/>
    <s v="cashloan"/>
    <n v="0"/>
  </r>
  <r>
    <x v="806"/>
    <x v="2"/>
    <x v="2"/>
    <n v="13"/>
    <n v="23"/>
    <x v="21"/>
    <x v="9"/>
    <s v="cashloan"/>
    <n v="0"/>
  </r>
  <r>
    <x v="806"/>
    <x v="2"/>
    <x v="2"/>
    <n v="13"/>
    <n v="23"/>
    <x v="25"/>
    <x v="2"/>
    <s v="cashloan"/>
    <n v="0"/>
  </r>
  <r>
    <x v="806"/>
    <x v="2"/>
    <x v="2"/>
    <n v="13"/>
    <n v="23"/>
    <x v="0"/>
    <x v="0"/>
    <s v="payday"/>
    <n v="11250468000"/>
  </r>
  <r>
    <x v="806"/>
    <x v="2"/>
    <x v="2"/>
    <n v="13"/>
    <n v="23"/>
    <x v="7"/>
    <x v="7"/>
    <s v="paylater"/>
    <n v="120630730"/>
  </r>
  <r>
    <x v="806"/>
    <x v="2"/>
    <x v="2"/>
    <n v="13"/>
    <n v="23"/>
    <x v="1"/>
    <x v="1"/>
    <s v="cashloan"/>
    <n v="119700000"/>
  </r>
  <r>
    <x v="806"/>
    <x v="2"/>
    <x v="2"/>
    <n v="13"/>
    <n v="23"/>
    <x v="6"/>
    <x v="6"/>
    <s v="payday"/>
    <n v="61000000"/>
  </r>
  <r>
    <x v="806"/>
    <x v="2"/>
    <x v="2"/>
    <n v="13"/>
    <n v="23"/>
    <x v="18"/>
    <x v="15"/>
    <s v="cashloan"/>
    <n v="914960000"/>
  </r>
  <r>
    <x v="806"/>
    <x v="2"/>
    <x v="2"/>
    <n v="13"/>
    <n v="23"/>
    <x v="29"/>
    <x v="20"/>
    <s v="payday"/>
    <n v="269136000"/>
  </r>
  <r>
    <x v="806"/>
    <x v="2"/>
    <x v="2"/>
    <n v="13"/>
    <n v="23"/>
    <x v="19"/>
    <x v="12"/>
    <s v="paylater"/>
    <n v="317714985"/>
  </r>
  <r>
    <x v="806"/>
    <x v="2"/>
    <x v="2"/>
    <n v="13"/>
    <n v="23"/>
    <x v="24"/>
    <x v="18"/>
    <s v="cashloan"/>
    <n v="3001550000"/>
  </r>
  <r>
    <x v="806"/>
    <x v="2"/>
    <x v="2"/>
    <n v="13"/>
    <n v="23"/>
    <x v="30"/>
    <x v="21"/>
    <s v="payday"/>
    <n v="11880000"/>
  </r>
  <r>
    <x v="807"/>
    <x v="2"/>
    <x v="2"/>
    <n v="13"/>
    <n v="24"/>
    <x v="3"/>
    <x v="3"/>
    <s v="cashloan"/>
    <n v="730660000"/>
  </r>
  <r>
    <x v="807"/>
    <x v="2"/>
    <x v="2"/>
    <n v="13"/>
    <n v="24"/>
    <x v="11"/>
    <x v="10"/>
    <s v="paylater"/>
    <n v="307487767"/>
  </r>
  <r>
    <x v="807"/>
    <x v="2"/>
    <x v="2"/>
    <n v="13"/>
    <n v="24"/>
    <x v="12"/>
    <x v="11"/>
    <s v="cashloan"/>
    <n v="16395660000"/>
  </r>
  <r>
    <x v="807"/>
    <x v="2"/>
    <x v="2"/>
    <n v="13"/>
    <n v="24"/>
    <x v="5"/>
    <x v="5"/>
    <s v="overdraft"/>
    <n v="1685209063"/>
  </r>
  <r>
    <x v="807"/>
    <x v="2"/>
    <x v="2"/>
    <n v="13"/>
    <n v="24"/>
    <x v="27"/>
    <x v="19"/>
    <s v="payday"/>
    <n v="12734604000"/>
  </r>
  <r>
    <x v="807"/>
    <x v="2"/>
    <x v="2"/>
    <n v="13"/>
    <n v="24"/>
    <x v="15"/>
    <x v="14"/>
    <s v="paylater"/>
    <n v="8102318"/>
  </r>
  <r>
    <x v="807"/>
    <x v="2"/>
    <x v="2"/>
    <n v="13"/>
    <n v="24"/>
    <x v="31"/>
    <x v="22"/>
    <s v="cashloan"/>
    <n v="80000000"/>
  </r>
  <r>
    <x v="807"/>
    <x v="2"/>
    <x v="2"/>
    <n v="13"/>
    <n v="24"/>
    <x v="14"/>
    <x v="13"/>
    <s v="cashloan"/>
    <n v="2197800000"/>
  </r>
  <r>
    <x v="807"/>
    <x v="2"/>
    <x v="2"/>
    <n v="13"/>
    <n v="24"/>
    <x v="33"/>
    <x v="13"/>
    <s v="cashloan"/>
    <n v="799920000"/>
  </r>
  <r>
    <x v="807"/>
    <x v="2"/>
    <x v="2"/>
    <n v="13"/>
    <n v="24"/>
    <x v="23"/>
    <x v="17"/>
    <s v="paylater"/>
    <n v="461000"/>
  </r>
  <r>
    <x v="807"/>
    <x v="2"/>
    <x v="2"/>
    <n v="13"/>
    <n v="24"/>
    <x v="28"/>
    <x v="17"/>
    <s v="paylater"/>
    <n v="657687289"/>
  </r>
  <r>
    <x v="807"/>
    <x v="2"/>
    <x v="2"/>
    <n v="13"/>
    <n v="24"/>
    <x v="8"/>
    <x v="8"/>
    <s v="cashloan"/>
    <n v="0"/>
  </r>
  <r>
    <x v="807"/>
    <x v="2"/>
    <x v="2"/>
    <n v="13"/>
    <n v="24"/>
    <x v="26"/>
    <x v="16"/>
    <s v="cashloan"/>
    <n v="78000000"/>
  </r>
  <r>
    <x v="807"/>
    <x v="2"/>
    <x v="2"/>
    <n v="13"/>
    <n v="24"/>
    <x v="32"/>
    <x v="16"/>
    <s v="cashloan"/>
    <n v="0"/>
  </r>
  <r>
    <x v="807"/>
    <x v="2"/>
    <x v="2"/>
    <n v="13"/>
    <n v="24"/>
    <x v="2"/>
    <x v="2"/>
    <s v="cashloan"/>
    <n v="17340180000"/>
  </r>
  <r>
    <x v="807"/>
    <x v="2"/>
    <x v="2"/>
    <n v="13"/>
    <n v="24"/>
    <x v="17"/>
    <x v="9"/>
    <s v="cashloan"/>
    <n v="0"/>
  </r>
  <r>
    <x v="807"/>
    <x v="2"/>
    <x v="2"/>
    <n v="13"/>
    <n v="24"/>
    <x v="20"/>
    <x v="9"/>
    <s v="cashloan"/>
    <n v="0"/>
  </r>
  <r>
    <x v="807"/>
    <x v="2"/>
    <x v="2"/>
    <n v="13"/>
    <n v="24"/>
    <x v="21"/>
    <x v="9"/>
    <s v="cashloan"/>
    <n v="0"/>
  </r>
  <r>
    <x v="807"/>
    <x v="2"/>
    <x v="2"/>
    <n v="13"/>
    <n v="24"/>
    <x v="25"/>
    <x v="2"/>
    <s v="cashloan"/>
    <n v="0"/>
  </r>
  <r>
    <x v="807"/>
    <x v="2"/>
    <x v="2"/>
    <n v="13"/>
    <n v="24"/>
    <x v="0"/>
    <x v="0"/>
    <s v="payday"/>
    <n v="11052720000"/>
  </r>
  <r>
    <x v="807"/>
    <x v="2"/>
    <x v="2"/>
    <n v="13"/>
    <n v="24"/>
    <x v="7"/>
    <x v="7"/>
    <s v="paylater"/>
    <n v="131582412"/>
  </r>
  <r>
    <x v="807"/>
    <x v="2"/>
    <x v="2"/>
    <n v="13"/>
    <n v="24"/>
    <x v="1"/>
    <x v="1"/>
    <s v="cashloan"/>
    <n v="77250000"/>
  </r>
  <r>
    <x v="807"/>
    <x v="2"/>
    <x v="2"/>
    <n v="13"/>
    <n v="24"/>
    <x v="6"/>
    <x v="6"/>
    <s v="payday"/>
    <n v="61000000"/>
  </r>
  <r>
    <x v="807"/>
    <x v="2"/>
    <x v="2"/>
    <n v="13"/>
    <n v="24"/>
    <x v="18"/>
    <x v="15"/>
    <s v="cashloan"/>
    <n v="643770000"/>
  </r>
  <r>
    <x v="807"/>
    <x v="2"/>
    <x v="2"/>
    <n v="13"/>
    <n v="24"/>
    <x v="29"/>
    <x v="20"/>
    <s v="payday"/>
    <n v="330156000"/>
  </r>
  <r>
    <x v="807"/>
    <x v="2"/>
    <x v="2"/>
    <n v="13"/>
    <n v="24"/>
    <x v="19"/>
    <x v="12"/>
    <s v="paylater"/>
    <n v="344505081"/>
  </r>
  <r>
    <x v="807"/>
    <x v="2"/>
    <x v="2"/>
    <n v="13"/>
    <n v="24"/>
    <x v="24"/>
    <x v="18"/>
    <s v="cashloan"/>
    <n v="3313580000"/>
  </r>
  <r>
    <x v="807"/>
    <x v="2"/>
    <x v="2"/>
    <n v="13"/>
    <n v="24"/>
    <x v="30"/>
    <x v="21"/>
    <s v="payday"/>
    <n v="9936000"/>
  </r>
  <r>
    <x v="808"/>
    <x v="2"/>
    <x v="2"/>
    <n v="13"/>
    <n v="25"/>
    <x v="3"/>
    <x v="3"/>
    <s v="cashloan"/>
    <n v="488420000"/>
  </r>
  <r>
    <x v="808"/>
    <x v="2"/>
    <x v="2"/>
    <n v="13"/>
    <n v="25"/>
    <x v="11"/>
    <x v="10"/>
    <s v="paylater"/>
    <n v="321551950"/>
  </r>
  <r>
    <x v="808"/>
    <x v="2"/>
    <x v="2"/>
    <n v="13"/>
    <n v="25"/>
    <x v="12"/>
    <x v="11"/>
    <s v="cashloan"/>
    <n v="16534200000"/>
  </r>
  <r>
    <x v="808"/>
    <x v="2"/>
    <x v="2"/>
    <n v="13"/>
    <n v="25"/>
    <x v="5"/>
    <x v="5"/>
    <s v="overdraft"/>
    <n v="1549129864"/>
  </r>
  <r>
    <x v="808"/>
    <x v="2"/>
    <x v="2"/>
    <n v="13"/>
    <n v="25"/>
    <x v="27"/>
    <x v="19"/>
    <s v="payday"/>
    <n v="13166604000"/>
  </r>
  <r>
    <x v="808"/>
    <x v="2"/>
    <x v="2"/>
    <n v="13"/>
    <n v="25"/>
    <x v="15"/>
    <x v="14"/>
    <s v="paylater"/>
    <n v="6570346"/>
  </r>
  <r>
    <x v="808"/>
    <x v="2"/>
    <x v="2"/>
    <n v="13"/>
    <n v="25"/>
    <x v="31"/>
    <x v="22"/>
    <s v="cashloan"/>
    <n v="0"/>
  </r>
  <r>
    <x v="808"/>
    <x v="2"/>
    <x v="2"/>
    <n v="13"/>
    <n v="25"/>
    <x v="14"/>
    <x v="13"/>
    <s v="cashloan"/>
    <n v="2007250000"/>
  </r>
  <r>
    <x v="808"/>
    <x v="2"/>
    <x v="2"/>
    <n v="13"/>
    <n v="25"/>
    <x v="33"/>
    <x v="13"/>
    <s v="cashloan"/>
    <n v="590790000"/>
  </r>
  <r>
    <x v="808"/>
    <x v="2"/>
    <x v="2"/>
    <n v="13"/>
    <n v="25"/>
    <x v="23"/>
    <x v="17"/>
    <s v="paylater"/>
    <n v="918134"/>
  </r>
  <r>
    <x v="808"/>
    <x v="2"/>
    <x v="2"/>
    <n v="13"/>
    <n v="25"/>
    <x v="28"/>
    <x v="17"/>
    <s v="paylater"/>
    <n v="733219421"/>
  </r>
  <r>
    <x v="808"/>
    <x v="2"/>
    <x v="2"/>
    <n v="13"/>
    <n v="25"/>
    <x v="8"/>
    <x v="8"/>
    <s v="cashloan"/>
    <n v="0"/>
  </r>
  <r>
    <x v="808"/>
    <x v="2"/>
    <x v="2"/>
    <n v="13"/>
    <n v="25"/>
    <x v="26"/>
    <x v="16"/>
    <s v="cashloan"/>
    <n v="88200000"/>
  </r>
  <r>
    <x v="808"/>
    <x v="2"/>
    <x v="2"/>
    <n v="13"/>
    <n v="25"/>
    <x v="32"/>
    <x v="16"/>
    <s v="cashloan"/>
    <n v="33000000"/>
  </r>
  <r>
    <x v="808"/>
    <x v="2"/>
    <x v="2"/>
    <n v="13"/>
    <n v="25"/>
    <x v="2"/>
    <x v="2"/>
    <s v="cashloan"/>
    <n v="15584130000"/>
  </r>
  <r>
    <x v="808"/>
    <x v="2"/>
    <x v="2"/>
    <n v="13"/>
    <n v="25"/>
    <x v="17"/>
    <x v="9"/>
    <s v="cashloan"/>
    <n v="0"/>
  </r>
  <r>
    <x v="808"/>
    <x v="2"/>
    <x v="2"/>
    <n v="13"/>
    <n v="25"/>
    <x v="20"/>
    <x v="9"/>
    <s v="cashloan"/>
    <n v="0"/>
  </r>
  <r>
    <x v="808"/>
    <x v="2"/>
    <x v="2"/>
    <n v="13"/>
    <n v="25"/>
    <x v="21"/>
    <x v="9"/>
    <s v="cashloan"/>
    <n v="0"/>
  </r>
  <r>
    <x v="808"/>
    <x v="2"/>
    <x v="2"/>
    <n v="13"/>
    <n v="25"/>
    <x v="25"/>
    <x v="2"/>
    <s v="cashloan"/>
    <n v="0"/>
  </r>
  <r>
    <x v="808"/>
    <x v="2"/>
    <x v="2"/>
    <n v="13"/>
    <n v="25"/>
    <x v="0"/>
    <x v="0"/>
    <s v="payday"/>
    <n v="10550196000"/>
  </r>
  <r>
    <x v="808"/>
    <x v="2"/>
    <x v="2"/>
    <n v="13"/>
    <n v="25"/>
    <x v="7"/>
    <x v="7"/>
    <s v="paylater"/>
    <n v="129784512"/>
  </r>
  <r>
    <x v="808"/>
    <x v="2"/>
    <x v="2"/>
    <n v="13"/>
    <n v="25"/>
    <x v="1"/>
    <x v="1"/>
    <s v="cashloan"/>
    <n v="42000000"/>
  </r>
  <r>
    <x v="808"/>
    <x v="2"/>
    <x v="2"/>
    <n v="13"/>
    <n v="25"/>
    <x v="6"/>
    <x v="6"/>
    <s v="payday"/>
    <n v="62000000"/>
  </r>
  <r>
    <x v="808"/>
    <x v="2"/>
    <x v="2"/>
    <n v="13"/>
    <n v="25"/>
    <x v="18"/>
    <x v="15"/>
    <s v="cashloan"/>
    <n v="814810000"/>
  </r>
  <r>
    <x v="808"/>
    <x v="2"/>
    <x v="2"/>
    <n v="13"/>
    <n v="25"/>
    <x v="29"/>
    <x v="20"/>
    <s v="payday"/>
    <n v="200124000"/>
  </r>
  <r>
    <x v="808"/>
    <x v="2"/>
    <x v="2"/>
    <n v="13"/>
    <n v="25"/>
    <x v="19"/>
    <x v="12"/>
    <s v="paylater"/>
    <n v="334914405"/>
  </r>
  <r>
    <x v="808"/>
    <x v="2"/>
    <x v="2"/>
    <n v="13"/>
    <n v="25"/>
    <x v="24"/>
    <x v="18"/>
    <s v="cashloan"/>
    <n v="3132060000"/>
  </r>
  <r>
    <x v="808"/>
    <x v="2"/>
    <x v="2"/>
    <n v="13"/>
    <n v="25"/>
    <x v="30"/>
    <x v="21"/>
    <s v="payday"/>
    <n v="11880000"/>
  </r>
  <r>
    <x v="809"/>
    <x v="2"/>
    <x v="2"/>
    <n v="13"/>
    <n v="26"/>
    <x v="3"/>
    <x v="3"/>
    <s v="cashloan"/>
    <n v="652160000"/>
  </r>
  <r>
    <x v="809"/>
    <x v="2"/>
    <x v="2"/>
    <n v="13"/>
    <n v="26"/>
    <x v="11"/>
    <x v="10"/>
    <s v="paylater"/>
    <n v="269557885"/>
  </r>
  <r>
    <x v="809"/>
    <x v="2"/>
    <x v="2"/>
    <n v="13"/>
    <n v="26"/>
    <x v="12"/>
    <x v="11"/>
    <s v="cashloan"/>
    <n v="13958880000"/>
  </r>
  <r>
    <x v="809"/>
    <x v="2"/>
    <x v="2"/>
    <n v="13"/>
    <n v="26"/>
    <x v="5"/>
    <x v="5"/>
    <s v="overdraft"/>
    <n v="1669586175"/>
  </r>
  <r>
    <x v="809"/>
    <x v="2"/>
    <x v="2"/>
    <n v="13"/>
    <n v="26"/>
    <x v="27"/>
    <x v="19"/>
    <s v="payday"/>
    <n v="12550248000"/>
  </r>
  <r>
    <x v="809"/>
    <x v="2"/>
    <x v="2"/>
    <n v="13"/>
    <n v="26"/>
    <x v="15"/>
    <x v="14"/>
    <s v="paylater"/>
    <n v="2133905"/>
  </r>
  <r>
    <x v="809"/>
    <x v="2"/>
    <x v="2"/>
    <n v="13"/>
    <n v="26"/>
    <x v="31"/>
    <x v="22"/>
    <s v="cashloan"/>
    <n v="180000000"/>
  </r>
  <r>
    <x v="809"/>
    <x v="2"/>
    <x v="2"/>
    <n v="13"/>
    <n v="26"/>
    <x v="14"/>
    <x v="13"/>
    <s v="cashloan"/>
    <n v="2195470000"/>
  </r>
  <r>
    <x v="809"/>
    <x v="2"/>
    <x v="2"/>
    <n v="13"/>
    <n v="26"/>
    <x v="33"/>
    <x v="13"/>
    <s v="cashloan"/>
    <n v="814550000"/>
  </r>
  <r>
    <x v="809"/>
    <x v="2"/>
    <x v="2"/>
    <n v="13"/>
    <n v="26"/>
    <x v="23"/>
    <x v="17"/>
    <s v="paylater"/>
    <n v="4126898"/>
  </r>
  <r>
    <x v="809"/>
    <x v="2"/>
    <x v="2"/>
    <n v="13"/>
    <n v="26"/>
    <x v="28"/>
    <x v="17"/>
    <s v="paylater"/>
    <n v="622647077"/>
  </r>
  <r>
    <x v="809"/>
    <x v="2"/>
    <x v="2"/>
    <n v="13"/>
    <n v="26"/>
    <x v="8"/>
    <x v="8"/>
    <s v="cashloan"/>
    <n v="0"/>
  </r>
  <r>
    <x v="809"/>
    <x v="2"/>
    <x v="2"/>
    <n v="13"/>
    <n v="26"/>
    <x v="26"/>
    <x v="16"/>
    <s v="cashloan"/>
    <n v="80900000"/>
  </r>
  <r>
    <x v="809"/>
    <x v="2"/>
    <x v="2"/>
    <n v="13"/>
    <n v="26"/>
    <x v="32"/>
    <x v="16"/>
    <s v="cashloan"/>
    <n v="90000000"/>
  </r>
  <r>
    <x v="809"/>
    <x v="2"/>
    <x v="2"/>
    <n v="13"/>
    <n v="26"/>
    <x v="2"/>
    <x v="2"/>
    <s v="cashloan"/>
    <n v="14117640000"/>
  </r>
  <r>
    <x v="809"/>
    <x v="2"/>
    <x v="2"/>
    <n v="13"/>
    <n v="26"/>
    <x v="17"/>
    <x v="9"/>
    <s v="cashloan"/>
    <n v="0"/>
  </r>
  <r>
    <x v="809"/>
    <x v="2"/>
    <x v="2"/>
    <n v="13"/>
    <n v="26"/>
    <x v="20"/>
    <x v="9"/>
    <s v="cashloan"/>
    <n v="0"/>
  </r>
  <r>
    <x v="809"/>
    <x v="2"/>
    <x v="2"/>
    <n v="13"/>
    <n v="26"/>
    <x v="21"/>
    <x v="9"/>
    <s v="cashloan"/>
    <n v="0"/>
  </r>
  <r>
    <x v="809"/>
    <x v="2"/>
    <x v="2"/>
    <n v="13"/>
    <n v="26"/>
    <x v="25"/>
    <x v="2"/>
    <s v="cashloan"/>
    <n v="0"/>
  </r>
  <r>
    <x v="809"/>
    <x v="2"/>
    <x v="2"/>
    <n v="13"/>
    <n v="26"/>
    <x v="0"/>
    <x v="0"/>
    <s v="payday"/>
    <n v="9997884000"/>
  </r>
  <r>
    <x v="809"/>
    <x v="2"/>
    <x v="2"/>
    <n v="13"/>
    <n v="26"/>
    <x v="7"/>
    <x v="7"/>
    <s v="paylater"/>
    <n v="134580841"/>
  </r>
  <r>
    <x v="809"/>
    <x v="2"/>
    <x v="2"/>
    <n v="13"/>
    <n v="26"/>
    <x v="1"/>
    <x v="1"/>
    <s v="cashloan"/>
    <n v="10500000"/>
  </r>
  <r>
    <x v="809"/>
    <x v="2"/>
    <x v="2"/>
    <n v="13"/>
    <n v="26"/>
    <x v="6"/>
    <x v="6"/>
    <s v="payday"/>
    <n v="41000000"/>
  </r>
  <r>
    <x v="809"/>
    <x v="2"/>
    <x v="2"/>
    <n v="13"/>
    <n v="26"/>
    <x v="18"/>
    <x v="15"/>
    <s v="cashloan"/>
    <n v="619260000"/>
  </r>
  <r>
    <x v="809"/>
    <x v="2"/>
    <x v="2"/>
    <n v="13"/>
    <n v="26"/>
    <x v="29"/>
    <x v="20"/>
    <s v="payday"/>
    <n v="231660000"/>
  </r>
  <r>
    <x v="809"/>
    <x v="2"/>
    <x v="2"/>
    <n v="13"/>
    <n v="26"/>
    <x v="19"/>
    <x v="12"/>
    <s v="paylater"/>
    <n v="338359237"/>
  </r>
  <r>
    <x v="809"/>
    <x v="2"/>
    <x v="2"/>
    <n v="13"/>
    <n v="26"/>
    <x v="24"/>
    <x v="18"/>
    <s v="cashloan"/>
    <n v="3438610000"/>
  </r>
  <r>
    <x v="809"/>
    <x v="2"/>
    <x v="2"/>
    <n v="13"/>
    <n v="26"/>
    <x v="30"/>
    <x v="21"/>
    <s v="payday"/>
    <n v="30996000"/>
  </r>
  <r>
    <x v="810"/>
    <x v="2"/>
    <x v="2"/>
    <n v="13"/>
    <n v="27"/>
    <x v="3"/>
    <x v="3"/>
    <s v="cashloan"/>
    <n v="757300000"/>
  </r>
  <r>
    <x v="810"/>
    <x v="2"/>
    <x v="2"/>
    <n v="13"/>
    <n v="27"/>
    <x v="11"/>
    <x v="10"/>
    <s v="paylater"/>
    <n v="277734584"/>
  </r>
  <r>
    <x v="810"/>
    <x v="2"/>
    <x v="2"/>
    <n v="13"/>
    <n v="27"/>
    <x v="12"/>
    <x v="11"/>
    <s v="cashloan"/>
    <n v="14454090000"/>
  </r>
  <r>
    <x v="810"/>
    <x v="2"/>
    <x v="2"/>
    <n v="13"/>
    <n v="27"/>
    <x v="5"/>
    <x v="5"/>
    <s v="overdraft"/>
    <n v="1415176565"/>
  </r>
  <r>
    <x v="810"/>
    <x v="2"/>
    <x v="2"/>
    <n v="13"/>
    <n v="27"/>
    <x v="27"/>
    <x v="19"/>
    <s v="payday"/>
    <n v="13318020000"/>
  </r>
  <r>
    <x v="810"/>
    <x v="2"/>
    <x v="2"/>
    <n v="13"/>
    <n v="27"/>
    <x v="15"/>
    <x v="14"/>
    <s v="paylater"/>
    <n v="2047496"/>
  </r>
  <r>
    <x v="810"/>
    <x v="2"/>
    <x v="2"/>
    <n v="13"/>
    <n v="27"/>
    <x v="31"/>
    <x v="22"/>
    <s v="cashloan"/>
    <n v="90000000"/>
  </r>
  <r>
    <x v="810"/>
    <x v="2"/>
    <x v="2"/>
    <n v="13"/>
    <n v="27"/>
    <x v="14"/>
    <x v="13"/>
    <s v="cashloan"/>
    <n v="1723540000"/>
  </r>
  <r>
    <x v="810"/>
    <x v="2"/>
    <x v="2"/>
    <n v="13"/>
    <n v="27"/>
    <x v="33"/>
    <x v="13"/>
    <s v="cashloan"/>
    <n v="709360000"/>
  </r>
  <r>
    <x v="810"/>
    <x v="2"/>
    <x v="2"/>
    <n v="13"/>
    <n v="27"/>
    <x v="23"/>
    <x v="17"/>
    <s v="paylater"/>
    <n v="4536962"/>
  </r>
  <r>
    <x v="810"/>
    <x v="2"/>
    <x v="2"/>
    <n v="13"/>
    <n v="27"/>
    <x v="28"/>
    <x v="17"/>
    <s v="paylater"/>
    <n v="715815253"/>
  </r>
  <r>
    <x v="810"/>
    <x v="2"/>
    <x v="2"/>
    <n v="13"/>
    <n v="27"/>
    <x v="8"/>
    <x v="8"/>
    <s v="cashloan"/>
    <n v="0"/>
  </r>
  <r>
    <x v="810"/>
    <x v="2"/>
    <x v="2"/>
    <n v="13"/>
    <n v="27"/>
    <x v="26"/>
    <x v="16"/>
    <s v="cashloan"/>
    <n v="52500000"/>
  </r>
  <r>
    <x v="810"/>
    <x v="2"/>
    <x v="2"/>
    <n v="13"/>
    <n v="27"/>
    <x v="32"/>
    <x v="16"/>
    <s v="cashloan"/>
    <n v="0"/>
  </r>
  <r>
    <x v="810"/>
    <x v="2"/>
    <x v="2"/>
    <n v="13"/>
    <n v="27"/>
    <x v="2"/>
    <x v="2"/>
    <s v="cashloan"/>
    <n v="15557300000"/>
  </r>
  <r>
    <x v="810"/>
    <x v="2"/>
    <x v="2"/>
    <n v="13"/>
    <n v="27"/>
    <x v="17"/>
    <x v="9"/>
    <s v="cashloan"/>
    <n v="0"/>
  </r>
  <r>
    <x v="810"/>
    <x v="2"/>
    <x v="2"/>
    <n v="13"/>
    <n v="27"/>
    <x v="20"/>
    <x v="9"/>
    <s v="cashloan"/>
    <n v="0"/>
  </r>
  <r>
    <x v="810"/>
    <x v="2"/>
    <x v="2"/>
    <n v="13"/>
    <n v="27"/>
    <x v="21"/>
    <x v="9"/>
    <s v="cashloan"/>
    <n v="0"/>
  </r>
  <r>
    <x v="810"/>
    <x v="2"/>
    <x v="2"/>
    <n v="13"/>
    <n v="27"/>
    <x v="25"/>
    <x v="2"/>
    <s v="cashloan"/>
    <n v="0"/>
  </r>
  <r>
    <x v="810"/>
    <x v="2"/>
    <x v="2"/>
    <n v="13"/>
    <n v="27"/>
    <x v="0"/>
    <x v="0"/>
    <s v="payday"/>
    <n v="10031904000"/>
  </r>
  <r>
    <x v="810"/>
    <x v="2"/>
    <x v="2"/>
    <n v="13"/>
    <n v="27"/>
    <x v="7"/>
    <x v="7"/>
    <s v="paylater"/>
    <n v="147440122"/>
  </r>
  <r>
    <x v="810"/>
    <x v="2"/>
    <x v="2"/>
    <n v="13"/>
    <n v="27"/>
    <x v="1"/>
    <x v="1"/>
    <s v="cashloan"/>
    <n v="109250000"/>
  </r>
  <r>
    <x v="810"/>
    <x v="2"/>
    <x v="2"/>
    <n v="13"/>
    <n v="27"/>
    <x v="6"/>
    <x v="6"/>
    <s v="payday"/>
    <n v="52000000"/>
  </r>
  <r>
    <x v="810"/>
    <x v="2"/>
    <x v="2"/>
    <n v="13"/>
    <n v="27"/>
    <x v="18"/>
    <x v="15"/>
    <s v="cashloan"/>
    <n v="938840000"/>
  </r>
  <r>
    <x v="810"/>
    <x v="2"/>
    <x v="2"/>
    <n v="13"/>
    <n v="27"/>
    <x v="29"/>
    <x v="20"/>
    <s v="payday"/>
    <n v="328104000"/>
  </r>
  <r>
    <x v="810"/>
    <x v="2"/>
    <x v="2"/>
    <n v="13"/>
    <n v="27"/>
    <x v="19"/>
    <x v="12"/>
    <s v="paylater"/>
    <n v="360744201"/>
  </r>
  <r>
    <x v="810"/>
    <x v="2"/>
    <x v="2"/>
    <n v="13"/>
    <n v="27"/>
    <x v="24"/>
    <x v="18"/>
    <s v="cashloan"/>
    <n v="3028230000"/>
  </r>
  <r>
    <x v="810"/>
    <x v="2"/>
    <x v="2"/>
    <n v="13"/>
    <n v="27"/>
    <x v="30"/>
    <x v="21"/>
    <s v="payday"/>
    <n v="4320000"/>
  </r>
  <r>
    <x v="811"/>
    <x v="2"/>
    <x v="2"/>
    <n v="13"/>
    <n v="28"/>
    <x v="3"/>
    <x v="3"/>
    <s v="cashloan"/>
    <n v="677070000"/>
  </r>
  <r>
    <x v="811"/>
    <x v="2"/>
    <x v="2"/>
    <n v="13"/>
    <n v="28"/>
    <x v="11"/>
    <x v="10"/>
    <s v="paylater"/>
    <n v="273794305"/>
  </r>
  <r>
    <x v="811"/>
    <x v="2"/>
    <x v="2"/>
    <n v="13"/>
    <n v="28"/>
    <x v="12"/>
    <x v="11"/>
    <s v="cashloan"/>
    <n v="12398330000"/>
  </r>
  <r>
    <x v="811"/>
    <x v="2"/>
    <x v="2"/>
    <n v="13"/>
    <n v="28"/>
    <x v="5"/>
    <x v="5"/>
    <s v="overdraft"/>
    <n v="1305929004"/>
  </r>
  <r>
    <x v="811"/>
    <x v="2"/>
    <x v="2"/>
    <n v="13"/>
    <n v="28"/>
    <x v="27"/>
    <x v="19"/>
    <s v="payday"/>
    <n v="11948796000"/>
  </r>
  <r>
    <x v="811"/>
    <x v="2"/>
    <x v="2"/>
    <n v="13"/>
    <n v="28"/>
    <x v="15"/>
    <x v="14"/>
    <s v="paylater"/>
    <n v="2802019"/>
  </r>
  <r>
    <x v="811"/>
    <x v="2"/>
    <x v="2"/>
    <n v="13"/>
    <n v="28"/>
    <x v="31"/>
    <x v="22"/>
    <s v="cashloan"/>
    <n v="35000000"/>
  </r>
  <r>
    <x v="811"/>
    <x v="2"/>
    <x v="2"/>
    <n v="13"/>
    <n v="28"/>
    <x v="14"/>
    <x v="13"/>
    <s v="cashloan"/>
    <n v="2368860000"/>
  </r>
  <r>
    <x v="811"/>
    <x v="2"/>
    <x v="2"/>
    <n v="13"/>
    <n v="28"/>
    <x v="33"/>
    <x v="13"/>
    <s v="cashloan"/>
    <n v="1046200000"/>
  </r>
  <r>
    <x v="811"/>
    <x v="2"/>
    <x v="2"/>
    <n v="13"/>
    <n v="28"/>
    <x v="23"/>
    <x v="17"/>
    <s v="paylater"/>
    <n v="3964267"/>
  </r>
  <r>
    <x v="811"/>
    <x v="2"/>
    <x v="2"/>
    <n v="13"/>
    <n v="28"/>
    <x v="28"/>
    <x v="17"/>
    <s v="paylater"/>
    <n v="868090181"/>
  </r>
  <r>
    <x v="811"/>
    <x v="2"/>
    <x v="2"/>
    <n v="13"/>
    <n v="28"/>
    <x v="8"/>
    <x v="8"/>
    <s v="cashloan"/>
    <n v="0"/>
  </r>
  <r>
    <x v="811"/>
    <x v="2"/>
    <x v="2"/>
    <n v="13"/>
    <n v="28"/>
    <x v="26"/>
    <x v="16"/>
    <s v="cashloan"/>
    <n v="17000000"/>
  </r>
  <r>
    <x v="811"/>
    <x v="2"/>
    <x v="2"/>
    <n v="13"/>
    <n v="28"/>
    <x v="32"/>
    <x v="16"/>
    <s v="cashloan"/>
    <n v="0"/>
  </r>
  <r>
    <x v="811"/>
    <x v="2"/>
    <x v="2"/>
    <n v="13"/>
    <n v="28"/>
    <x v="2"/>
    <x v="2"/>
    <s v="cashloan"/>
    <n v="15321170000"/>
  </r>
  <r>
    <x v="811"/>
    <x v="2"/>
    <x v="2"/>
    <n v="13"/>
    <n v="28"/>
    <x v="17"/>
    <x v="9"/>
    <s v="cashloan"/>
    <n v="0"/>
  </r>
  <r>
    <x v="811"/>
    <x v="2"/>
    <x v="2"/>
    <n v="13"/>
    <n v="28"/>
    <x v="20"/>
    <x v="9"/>
    <s v="cashloan"/>
    <n v="0"/>
  </r>
  <r>
    <x v="811"/>
    <x v="2"/>
    <x v="2"/>
    <n v="13"/>
    <n v="28"/>
    <x v="21"/>
    <x v="9"/>
    <s v="cashloan"/>
    <n v="0"/>
  </r>
  <r>
    <x v="811"/>
    <x v="2"/>
    <x v="2"/>
    <n v="13"/>
    <n v="28"/>
    <x v="25"/>
    <x v="2"/>
    <s v="cashloan"/>
    <n v="0"/>
  </r>
  <r>
    <x v="811"/>
    <x v="2"/>
    <x v="2"/>
    <n v="13"/>
    <n v="28"/>
    <x v="0"/>
    <x v="0"/>
    <s v="payday"/>
    <n v="9915048000"/>
  </r>
  <r>
    <x v="811"/>
    <x v="2"/>
    <x v="2"/>
    <n v="13"/>
    <n v="28"/>
    <x v="7"/>
    <x v="7"/>
    <s v="paylater"/>
    <n v="130096861"/>
  </r>
  <r>
    <x v="811"/>
    <x v="2"/>
    <x v="2"/>
    <n v="13"/>
    <n v="28"/>
    <x v="1"/>
    <x v="1"/>
    <s v="cashloan"/>
    <n v="68250000"/>
  </r>
  <r>
    <x v="811"/>
    <x v="2"/>
    <x v="2"/>
    <n v="13"/>
    <n v="28"/>
    <x v="6"/>
    <x v="6"/>
    <s v="payday"/>
    <n v="65000000"/>
  </r>
  <r>
    <x v="811"/>
    <x v="2"/>
    <x v="2"/>
    <n v="13"/>
    <n v="28"/>
    <x v="18"/>
    <x v="15"/>
    <s v="cashloan"/>
    <n v="935980000"/>
  </r>
  <r>
    <x v="811"/>
    <x v="2"/>
    <x v="2"/>
    <n v="13"/>
    <n v="28"/>
    <x v="29"/>
    <x v="20"/>
    <s v="payday"/>
    <n v="326700000"/>
  </r>
  <r>
    <x v="811"/>
    <x v="2"/>
    <x v="2"/>
    <n v="13"/>
    <n v="28"/>
    <x v="19"/>
    <x v="12"/>
    <s v="paylater"/>
    <n v="351764250"/>
  </r>
  <r>
    <x v="811"/>
    <x v="2"/>
    <x v="2"/>
    <n v="13"/>
    <n v="28"/>
    <x v="24"/>
    <x v="18"/>
    <s v="cashloan"/>
    <n v="2806780000"/>
  </r>
  <r>
    <x v="811"/>
    <x v="2"/>
    <x v="2"/>
    <n v="13"/>
    <n v="28"/>
    <x v="30"/>
    <x v="21"/>
    <s v="payday"/>
    <n v="3240000"/>
  </r>
  <r>
    <x v="812"/>
    <x v="2"/>
    <x v="2"/>
    <n v="13"/>
    <n v="29"/>
    <x v="3"/>
    <x v="3"/>
    <s v="cashloan"/>
    <n v="662610000"/>
  </r>
  <r>
    <x v="812"/>
    <x v="2"/>
    <x v="2"/>
    <n v="13"/>
    <n v="29"/>
    <x v="11"/>
    <x v="10"/>
    <s v="paylater"/>
    <n v="316649498"/>
  </r>
  <r>
    <x v="812"/>
    <x v="2"/>
    <x v="2"/>
    <n v="13"/>
    <n v="29"/>
    <x v="12"/>
    <x v="11"/>
    <s v="cashloan"/>
    <n v="10164860000"/>
  </r>
  <r>
    <x v="812"/>
    <x v="2"/>
    <x v="2"/>
    <n v="13"/>
    <n v="29"/>
    <x v="5"/>
    <x v="5"/>
    <s v="overdraft"/>
    <n v="1296102256"/>
  </r>
  <r>
    <x v="812"/>
    <x v="2"/>
    <x v="2"/>
    <n v="13"/>
    <n v="29"/>
    <x v="27"/>
    <x v="19"/>
    <s v="payday"/>
    <n v="11300580000"/>
  </r>
  <r>
    <x v="812"/>
    <x v="2"/>
    <x v="2"/>
    <n v="13"/>
    <n v="29"/>
    <x v="15"/>
    <x v="14"/>
    <s v="paylater"/>
    <n v="3356656"/>
  </r>
  <r>
    <x v="812"/>
    <x v="2"/>
    <x v="2"/>
    <n v="13"/>
    <n v="29"/>
    <x v="31"/>
    <x v="22"/>
    <s v="cashloan"/>
    <n v="0"/>
  </r>
  <r>
    <x v="812"/>
    <x v="2"/>
    <x v="2"/>
    <n v="13"/>
    <n v="29"/>
    <x v="14"/>
    <x v="13"/>
    <s v="cashloan"/>
    <n v="2775080000"/>
  </r>
  <r>
    <x v="812"/>
    <x v="2"/>
    <x v="2"/>
    <n v="13"/>
    <n v="29"/>
    <x v="33"/>
    <x v="13"/>
    <s v="cashloan"/>
    <n v="896920000"/>
  </r>
  <r>
    <x v="812"/>
    <x v="2"/>
    <x v="2"/>
    <n v="13"/>
    <n v="29"/>
    <x v="23"/>
    <x v="17"/>
    <s v="paylater"/>
    <n v="6972182"/>
  </r>
  <r>
    <x v="812"/>
    <x v="2"/>
    <x v="2"/>
    <n v="13"/>
    <n v="29"/>
    <x v="28"/>
    <x v="17"/>
    <s v="paylater"/>
    <n v="1049981885"/>
  </r>
  <r>
    <x v="812"/>
    <x v="2"/>
    <x v="2"/>
    <n v="13"/>
    <n v="29"/>
    <x v="8"/>
    <x v="8"/>
    <s v="cashloan"/>
    <n v="0"/>
  </r>
  <r>
    <x v="812"/>
    <x v="2"/>
    <x v="2"/>
    <n v="13"/>
    <n v="29"/>
    <x v="26"/>
    <x v="16"/>
    <s v="cashloan"/>
    <n v="10500000"/>
  </r>
  <r>
    <x v="812"/>
    <x v="2"/>
    <x v="2"/>
    <n v="13"/>
    <n v="29"/>
    <x v="32"/>
    <x v="16"/>
    <s v="cashloan"/>
    <n v="0"/>
  </r>
  <r>
    <x v="812"/>
    <x v="2"/>
    <x v="2"/>
    <n v="13"/>
    <n v="29"/>
    <x v="2"/>
    <x v="2"/>
    <s v="cashloan"/>
    <n v="14703700000"/>
  </r>
  <r>
    <x v="812"/>
    <x v="2"/>
    <x v="2"/>
    <n v="13"/>
    <n v="29"/>
    <x v="17"/>
    <x v="9"/>
    <s v="cashloan"/>
    <n v="0"/>
  </r>
  <r>
    <x v="812"/>
    <x v="2"/>
    <x v="2"/>
    <n v="13"/>
    <n v="29"/>
    <x v="20"/>
    <x v="9"/>
    <s v="cashloan"/>
    <n v="0"/>
  </r>
  <r>
    <x v="812"/>
    <x v="2"/>
    <x v="2"/>
    <n v="13"/>
    <n v="29"/>
    <x v="21"/>
    <x v="9"/>
    <s v="cashloan"/>
    <n v="0"/>
  </r>
  <r>
    <x v="812"/>
    <x v="2"/>
    <x v="2"/>
    <n v="13"/>
    <n v="29"/>
    <x v="25"/>
    <x v="2"/>
    <s v="cashloan"/>
    <n v="0"/>
  </r>
  <r>
    <x v="812"/>
    <x v="2"/>
    <x v="2"/>
    <n v="13"/>
    <n v="29"/>
    <x v="0"/>
    <x v="0"/>
    <s v="payday"/>
    <n v="10008360000"/>
  </r>
  <r>
    <x v="812"/>
    <x v="2"/>
    <x v="2"/>
    <n v="13"/>
    <n v="29"/>
    <x v="7"/>
    <x v="7"/>
    <s v="paylater"/>
    <n v="137201286"/>
  </r>
  <r>
    <x v="812"/>
    <x v="2"/>
    <x v="2"/>
    <n v="13"/>
    <n v="29"/>
    <x v="1"/>
    <x v="1"/>
    <s v="cashloan"/>
    <n v="63000000"/>
  </r>
  <r>
    <x v="812"/>
    <x v="2"/>
    <x v="2"/>
    <n v="13"/>
    <n v="29"/>
    <x v="6"/>
    <x v="6"/>
    <s v="payday"/>
    <n v="43000000"/>
  </r>
  <r>
    <x v="812"/>
    <x v="2"/>
    <x v="2"/>
    <n v="13"/>
    <n v="29"/>
    <x v="18"/>
    <x v="15"/>
    <s v="cashloan"/>
    <n v="575390000"/>
  </r>
  <r>
    <x v="812"/>
    <x v="2"/>
    <x v="2"/>
    <n v="13"/>
    <n v="29"/>
    <x v="29"/>
    <x v="20"/>
    <s v="payday"/>
    <n v="199260000"/>
  </r>
  <r>
    <x v="812"/>
    <x v="2"/>
    <x v="2"/>
    <n v="13"/>
    <n v="29"/>
    <x v="19"/>
    <x v="12"/>
    <s v="paylater"/>
    <n v="302359652"/>
  </r>
  <r>
    <x v="812"/>
    <x v="2"/>
    <x v="2"/>
    <n v="13"/>
    <n v="29"/>
    <x v="24"/>
    <x v="18"/>
    <s v="cashloan"/>
    <n v="2793520000"/>
  </r>
  <r>
    <x v="812"/>
    <x v="2"/>
    <x v="2"/>
    <n v="13"/>
    <n v="29"/>
    <x v="30"/>
    <x v="21"/>
    <s v="payday"/>
    <n v="19440000"/>
  </r>
  <r>
    <x v="813"/>
    <x v="2"/>
    <x v="2"/>
    <n v="14"/>
    <n v="30"/>
    <x v="3"/>
    <x v="3"/>
    <s v="cashloan"/>
    <n v="993310000"/>
  </r>
  <r>
    <x v="813"/>
    <x v="2"/>
    <x v="2"/>
    <n v="14"/>
    <n v="30"/>
    <x v="11"/>
    <x v="10"/>
    <s v="paylater"/>
    <n v="281625178"/>
  </r>
  <r>
    <x v="813"/>
    <x v="2"/>
    <x v="2"/>
    <n v="14"/>
    <n v="30"/>
    <x v="12"/>
    <x v="11"/>
    <s v="cashloan"/>
    <n v="23109140000"/>
  </r>
  <r>
    <x v="813"/>
    <x v="2"/>
    <x v="2"/>
    <n v="14"/>
    <n v="30"/>
    <x v="5"/>
    <x v="5"/>
    <s v="overdraft"/>
    <n v="2111846731"/>
  </r>
  <r>
    <x v="813"/>
    <x v="2"/>
    <x v="2"/>
    <n v="14"/>
    <n v="30"/>
    <x v="27"/>
    <x v="19"/>
    <s v="payday"/>
    <n v="13423212000"/>
  </r>
  <r>
    <x v="813"/>
    <x v="2"/>
    <x v="2"/>
    <n v="14"/>
    <n v="30"/>
    <x v="15"/>
    <x v="14"/>
    <s v="paylater"/>
    <n v="727428"/>
  </r>
  <r>
    <x v="813"/>
    <x v="2"/>
    <x v="2"/>
    <n v="14"/>
    <n v="30"/>
    <x v="31"/>
    <x v="22"/>
    <s v="cashloan"/>
    <n v="0"/>
  </r>
  <r>
    <x v="813"/>
    <x v="2"/>
    <x v="2"/>
    <n v="14"/>
    <n v="30"/>
    <x v="14"/>
    <x v="13"/>
    <s v="cashloan"/>
    <n v="2801700000"/>
  </r>
  <r>
    <x v="813"/>
    <x v="2"/>
    <x v="2"/>
    <n v="14"/>
    <n v="30"/>
    <x v="33"/>
    <x v="13"/>
    <s v="cashloan"/>
    <n v="723830000"/>
  </r>
  <r>
    <x v="813"/>
    <x v="2"/>
    <x v="2"/>
    <n v="14"/>
    <n v="30"/>
    <x v="23"/>
    <x v="17"/>
    <s v="paylater"/>
    <n v="4213371"/>
  </r>
  <r>
    <x v="813"/>
    <x v="2"/>
    <x v="2"/>
    <n v="14"/>
    <n v="30"/>
    <x v="28"/>
    <x v="17"/>
    <s v="paylater"/>
    <n v="699971960"/>
  </r>
  <r>
    <x v="813"/>
    <x v="2"/>
    <x v="2"/>
    <n v="14"/>
    <n v="30"/>
    <x v="8"/>
    <x v="8"/>
    <s v="cashloan"/>
    <n v="0"/>
  </r>
  <r>
    <x v="813"/>
    <x v="2"/>
    <x v="2"/>
    <n v="14"/>
    <n v="30"/>
    <x v="26"/>
    <x v="16"/>
    <s v="cashloan"/>
    <n v="56500000"/>
  </r>
  <r>
    <x v="813"/>
    <x v="2"/>
    <x v="2"/>
    <n v="14"/>
    <n v="30"/>
    <x v="32"/>
    <x v="16"/>
    <s v="cashloan"/>
    <n v="0"/>
  </r>
  <r>
    <x v="813"/>
    <x v="2"/>
    <x v="2"/>
    <n v="14"/>
    <n v="30"/>
    <x v="2"/>
    <x v="2"/>
    <s v="cashloan"/>
    <n v="17333700000"/>
  </r>
  <r>
    <x v="813"/>
    <x v="2"/>
    <x v="2"/>
    <n v="14"/>
    <n v="30"/>
    <x v="17"/>
    <x v="9"/>
    <s v="cashloan"/>
    <n v="0"/>
  </r>
  <r>
    <x v="813"/>
    <x v="2"/>
    <x v="2"/>
    <n v="14"/>
    <n v="30"/>
    <x v="20"/>
    <x v="9"/>
    <s v="cashloan"/>
    <n v="0"/>
  </r>
  <r>
    <x v="813"/>
    <x v="2"/>
    <x v="2"/>
    <n v="14"/>
    <n v="30"/>
    <x v="21"/>
    <x v="9"/>
    <s v="cashloan"/>
    <n v="0"/>
  </r>
  <r>
    <x v="813"/>
    <x v="2"/>
    <x v="2"/>
    <n v="14"/>
    <n v="30"/>
    <x v="25"/>
    <x v="2"/>
    <s v="cashloan"/>
    <n v="0"/>
  </r>
  <r>
    <x v="813"/>
    <x v="2"/>
    <x v="2"/>
    <n v="14"/>
    <n v="30"/>
    <x v="0"/>
    <x v="0"/>
    <s v="payday"/>
    <n v="10073808000"/>
  </r>
  <r>
    <x v="813"/>
    <x v="2"/>
    <x v="2"/>
    <n v="14"/>
    <n v="30"/>
    <x v="7"/>
    <x v="7"/>
    <s v="paylater"/>
    <n v="152400733"/>
  </r>
  <r>
    <x v="813"/>
    <x v="2"/>
    <x v="2"/>
    <n v="14"/>
    <n v="30"/>
    <x v="1"/>
    <x v="1"/>
    <s v="cashloan"/>
    <n v="42000000"/>
  </r>
  <r>
    <x v="813"/>
    <x v="2"/>
    <x v="2"/>
    <n v="14"/>
    <n v="30"/>
    <x v="6"/>
    <x v="6"/>
    <s v="payday"/>
    <n v="69000000"/>
  </r>
  <r>
    <x v="813"/>
    <x v="2"/>
    <x v="2"/>
    <n v="14"/>
    <n v="30"/>
    <x v="18"/>
    <x v="15"/>
    <s v="cashloan"/>
    <n v="815880000"/>
  </r>
  <r>
    <x v="813"/>
    <x v="2"/>
    <x v="2"/>
    <n v="14"/>
    <n v="30"/>
    <x v="29"/>
    <x v="20"/>
    <s v="payday"/>
    <n v="290844000"/>
  </r>
  <r>
    <x v="813"/>
    <x v="2"/>
    <x v="2"/>
    <n v="14"/>
    <n v="30"/>
    <x v="19"/>
    <x v="12"/>
    <s v="paylater"/>
    <n v="406227567"/>
  </r>
  <r>
    <x v="813"/>
    <x v="2"/>
    <x v="2"/>
    <n v="14"/>
    <n v="30"/>
    <x v="24"/>
    <x v="18"/>
    <s v="cashloan"/>
    <n v="3728950000"/>
  </r>
  <r>
    <x v="813"/>
    <x v="2"/>
    <x v="2"/>
    <n v="14"/>
    <n v="30"/>
    <x v="30"/>
    <x v="21"/>
    <s v="payday"/>
    <n v="2160000"/>
  </r>
  <r>
    <x v="814"/>
    <x v="2"/>
    <x v="2"/>
    <n v="14"/>
    <n v="31"/>
    <x v="3"/>
    <x v="3"/>
    <s v="cashloan"/>
    <n v="494560000"/>
  </r>
  <r>
    <x v="814"/>
    <x v="2"/>
    <x v="2"/>
    <n v="14"/>
    <n v="31"/>
    <x v="11"/>
    <x v="10"/>
    <s v="paylater"/>
    <n v="278192946"/>
  </r>
  <r>
    <x v="814"/>
    <x v="2"/>
    <x v="2"/>
    <n v="14"/>
    <n v="31"/>
    <x v="12"/>
    <x v="11"/>
    <s v="cashloan"/>
    <n v="21130850000"/>
  </r>
  <r>
    <x v="814"/>
    <x v="2"/>
    <x v="2"/>
    <n v="14"/>
    <n v="31"/>
    <x v="5"/>
    <x v="5"/>
    <s v="overdraft"/>
    <n v="1650036262"/>
  </r>
  <r>
    <x v="814"/>
    <x v="2"/>
    <x v="2"/>
    <n v="14"/>
    <n v="31"/>
    <x v="27"/>
    <x v="19"/>
    <s v="payday"/>
    <n v="14102100000"/>
  </r>
  <r>
    <x v="814"/>
    <x v="2"/>
    <x v="2"/>
    <n v="14"/>
    <n v="31"/>
    <x v="15"/>
    <x v="14"/>
    <s v="paylater"/>
    <n v="3835390"/>
  </r>
  <r>
    <x v="814"/>
    <x v="2"/>
    <x v="2"/>
    <n v="14"/>
    <n v="31"/>
    <x v="31"/>
    <x v="22"/>
    <s v="cashloan"/>
    <n v="0"/>
  </r>
  <r>
    <x v="814"/>
    <x v="2"/>
    <x v="2"/>
    <n v="14"/>
    <n v="31"/>
    <x v="14"/>
    <x v="13"/>
    <s v="cashloan"/>
    <n v="2271050000"/>
  </r>
  <r>
    <x v="814"/>
    <x v="2"/>
    <x v="2"/>
    <n v="14"/>
    <n v="31"/>
    <x v="33"/>
    <x v="13"/>
    <s v="cashloan"/>
    <n v="765370000"/>
  </r>
  <r>
    <x v="814"/>
    <x v="2"/>
    <x v="2"/>
    <n v="14"/>
    <n v="31"/>
    <x v="23"/>
    <x v="17"/>
    <s v="paylater"/>
    <n v="9824710"/>
  </r>
  <r>
    <x v="814"/>
    <x v="2"/>
    <x v="2"/>
    <n v="14"/>
    <n v="31"/>
    <x v="28"/>
    <x v="17"/>
    <s v="paylater"/>
    <n v="736425134"/>
  </r>
  <r>
    <x v="814"/>
    <x v="2"/>
    <x v="2"/>
    <n v="14"/>
    <n v="31"/>
    <x v="8"/>
    <x v="8"/>
    <s v="cashloan"/>
    <n v="0"/>
  </r>
  <r>
    <x v="814"/>
    <x v="2"/>
    <x v="2"/>
    <n v="14"/>
    <n v="31"/>
    <x v="26"/>
    <x v="16"/>
    <s v="cashloan"/>
    <n v="61000000"/>
  </r>
  <r>
    <x v="814"/>
    <x v="2"/>
    <x v="2"/>
    <n v="14"/>
    <n v="31"/>
    <x v="32"/>
    <x v="16"/>
    <s v="cashloan"/>
    <n v="0"/>
  </r>
  <r>
    <x v="814"/>
    <x v="2"/>
    <x v="2"/>
    <n v="14"/>
    <n v="31"/>
    <x v="2"/>
    <x v="2"/>
    <s v="cashloan"/>
    <n v="16357500000"/>
  </r>
  <r>
    <x v="814"/>
    <x v="2"/>
    <x v="2"/>
    <n v="14"/>
    <n v="31"/>
    <x v="17"/>
    <x v="9"/>
    <s v="cashloan"/>
    <n v="0"/>
  </r>
  <r>
    <x v="814"/>
    <x v="2"/>
    <x v="2"/>
    <n v="14"/>
    <n v="31"/>
    <x v="20"/>
    <x v="9"/>
    <s v="cashloan"/>
    <n v="0"/>
  </r>
  <r>
    <x v="814"/>
    <x v="2"/>
    <x v="2"/>
    <n v="14"/>
    <n v="31"/>
    <x v="21"/>
    <x v="9"/>
    <s v="cashloan"/>
    <n v="0"/>
  </r>
  <r>
    <x v="814"/>
    <x v="2"/>
    <x v="2"/>
    <n v="14"/>
    <n v="31"/>
    <x v="25"/>
    <x v="2"/>
    <s v="cashloan"/>
    <n v="0"/>
  </r>
  <r>
    <x v="814"/>
    <x v="2"/>
    <x v="2"/>
    <n v="14"/>
    <n v="31"/>
    <x v="0"/>
    <x v="0"/>
    <s v="payday"/>
    <n v="10811772000"/>
  </r>
  <r>
    <x v="814"/>
    <x v="2"/>
    <x v="2"/>
    <n v="14"/>
    <n v="31"/>
    <x v="7"/>
    <x v="7"/>
    <s v="paylater"/>
    <n v="148977859"/>
  </r>
  <r>
    <x v="814"/>
    <x v="2"/>
    <x v="2"/>
    <n v="14"/>
    <n v="31"/>
    <x v="1"/>
    <x v="1"/>
    <s v="cashloan"/>
    <n v="63000000"/>
  </r>
  <r>
    <x v="814"/>
    <x v="2"/>
    <x v="2"/>
    <n v="14"/>
    <n v="31"/>
    <x v="6"/>
    <x v="6"/>
    <s v="payday"/>
    <n v="56000000"/>
  </r>
  <r>
    <x v="814"/>
    <x v="2"/>
    <x v="2"/>
    <n v="14"/>
    <n v="31"/>
    <x v="18"/>
    <x v="15"/>
    <s v="cashloan"/>
    <n v="1195750000"/>
  </r>
  <r>
    <x v="814"/>
    <x v="2"/>
    <x v="2"/>
    <n v="14"/>
    <n v="31"/>
    <x v="29"/>
    <x v="20"/>
    <s v="payday"/>
    <n v="357372000"/>
  </r>
  <r>
    <x v="814"/>
    <x v="2"/>
    <x v="2"/>
    <n v="14"/>
    <n v="31"/>
    <x v="19"/>
    <x v="12"/>
    <s v="paylater"/>
    <n v="430328774"/>
  </r>
  <r>
    <x v="814"/>
    <x v="2"/>
    <x v="2"/>
    <n v="14"/>
    <n v="31"/>
    <x v="24"/>
    <x v="18"/>
    <s v="cashloan"/>
    <n v="3696090000"/>
  </r>
  <r>
    <x v="814"/>
    <x v="2"/>
    <x v="2"/>
    <n v="14"/>
    <n v="31"/>
    <x v="30"/>
    <x v="21"/>
    <s v="payday"/>
    <n v="8640000"/>
  </r>
  <r>
    <x v="815"/>
    <x v="2"/>
    <x v="3"/>
    <n v="14"/>
    <n v="1"/>
    <x v="3"/>
    <x v="3"/>
    <s v="cashloan"/>
    <n v="629980000"/>
  </r>
  <r>
    <x v="815"/>
    <x v="2"/>
    <x v="3"/>
    <n v="14"/>
    <n v="1"/>
    <x v="11"/>
    <x v="10"/>
    <s v="paylater"/>
    <n v="308993836"/>
  </r>
  <r>
    <x v="815"/>
    <x v="2"/>
    <x v="3"/>
    <n v="14"/>
    <n v="1"/>
    <x v="12"/>
    <x v="11"/>
    <s v="cashloan"/>
    <n v="22731350000"/>
  </r>
  <r>
    <x v="815"/>
    <x v="2"/>
    <x v="3"/>
    <n v="14"/>
    <n v="1"/>
    <x v="5"/>
    <x v="5"/>
    <s v="overdraft"/>
    <n v="2812778254"/>
  </r>
  <r>
    <x v="815"/>
    <x v="2"/>
    <x v="3"/>
    <n v="14"/>
    <n v="1"/>
    <x v="27"/>
    <x v="19"/>
    <s v="payday"/>
    <n v="14857452000"/>
  </r>
  <r>
    <x v="815"/>
    <x v="2"/>
    <x v="3"/>
    <n v="14"/>
    <n v="1"/>
    <x v="15"/>
    <x v="14"/>
    <s v="paylater"/>
    <n v="6410587"/>
  </r>
  <r>
    <x v="815"/>
    <x v="2"/>
    <x v="3"/>
    <n v="14"/>
    <n v="1"/>
    <x v="31"/>
    <x v="22"/>
    <s v="cashloan"/>
    <n v="0"/>
  </r>
  <r>
    <x v="815"/>
    <x v="2"/>
    <x v="3"/>
    <n v="14"/>
    <n v="1"/>
    <x v="14"/>
    <x v="13"/>
    <s v="cashloan"/>
    <n v="2649000000"/>
  </r>
  <r>
    <x v="815"/>
    <x v="2"/>
    <x v="3"/>
    <n v="14"/>
    <n v="1"/>
    <x v="33"/>
    <x v="13"/>
    <s v="cashloan"/>
    <n v="719020000"/>
  </r>
  <r>
    <x v="815"/>
    <x v="2"/>
    <x v="3"/>
    <n v="14"/>
    <n v="1"/>
    <x v="23"/>
    <x v="17"/>
    <s v="paylater"/>
    <n v="9890000"/>
  </r>
  <r>
    <x v="815"/>
    <x v="2"/>
    <x v="3"/>
    <n v="14"/>
    <n v="1"/>
    <x v="28"/>
    <x v="17"/>
    <s v="paylater"/>
    <n v="1143977797"/>
  </r>
  <r>
    <x v="815"/>
    <x v="2"/>
    <x v="3"/>
    <n v="14"/>
    <n v="1"/>
    <x v="8"/>
    <x v="8"/>
    <s v="cashloan"/>
    <n v="0"/>
  </r>
  <r>
    <x v="815"/>
    <x v="2"/>
    <x v="3"/>
    <n v="14"/>
    <n v="1"/>
    <x v="26"/>
    <x v="16"/>
    <s v="cashloan"/>
    <n v="102500000"/>
  </r>
  <r>
    <x v="815"/>
    <x v="2"/>
    <x v="3"/>
    <n v="14"/>
    <n v="1"/>
    <x v="32"/>
    <x v="16"/>
    <s v="cashloan"/>
    <n v="0"/>
  </r>
  <r>
    <x v="815"/>
    <x v="2"/>
    <x v="3"/>
    <n v="14"/>
    <n v="1"/>
    <x v="2"/>
    <x v="2"/>
    <s v="cashloan"/>
    <n v="17700590000"/>
  </r>
  <r>
    <x v="815"/>
    <x v="2"/>
    <x v="3"/>
    <n v="14"/>
    <n v="1"/>
    <x v="17"/>
    <x v="9"/>
    <s v="cashloan"/>
    <n v="0"/>
  </r>
  <r>
    <x v="815"/>
    <x v="2"/>
    <x v="3"/>
    <n v="14"/>
    <n v="1"/>
    <x v="20"/>
    <x v="9"/>
    <s v="cashloan"/>
    <n v="0"/>
  </r>
  <r>
    <x v="815"/>
    <x v="2"/>
    <x v="3"/>
    <n v="14"/>
    <n v="1"/>
    <x v="21"/>
    <x v="9"/>
    <s v="cashloan"/>
    <n v="0"/>
  </r>
  <r>
    <x v="815"/>
    <x v="2"/>
    <x v="3"/>
    <n v="14"/>
    <n v="1"/>
    <x v="25"/>
    <x v="2"/>
    <s v="cashloan"/>
    <n v="0"/>
  </r>
  <r>
    <x v="815"/>
    <x v="2"/>
    <x v="3"/>
    <n v="14"/>
    <n v="1"/>
    <x v="0"/>
    <x v="0"/>
    <s v="payday"/>
    <n v="11718324000"/>
  </r>
  <r>
    <x v="815"/>
    <x v="2"/>
    <x v="3"/>
    <n v="14"/>
    <n v="1"/>
    <x v="7"/>
    <x v="7"/>
    <s v="paylater"/>
    <n v="435088361"/>
  </r>
  <r>
    <x v="815"/>
    <x v="2"/>
    <x v="3"/>
    <n v="14"/>
    <n v="1"/>
    <x v="1"/>
    <x v="1"/>
    <s v="cashloan"/>
    <n v="41500000"/>
  </r>
  <r>
    <x v="815"/>
    <x v="2"/>
    <x v="3"/>
    <n v="14"/>
    <n v="1"/>
    <x v="6"/>
    <x v="6"/>
    <s v="payday"/>
    <n v="74000000"/>
  </r>
  <r>
    <x v="815"/>
    <x v="2"/>
    <x v="3"/>
    <n v="14"/>
    <n v="1"/>
    <x v="18"/>
    <x v="15"/>
    <s v="cashloan"/>
    <n v="660620000"/>
  </r>
  <r>
    <x v="815"/>
    <x v="2"/>
    <x v="3"/>
    <n v="14"/>
    <n v="1"/>
    <x v="29"/>
    <x v="20"/>
    <s v="payday"/>
    <n v="299484000"/>
  </r>
  <r>
    <x v="815"/>
    <x v="2"/>
    <x v="3"/>
    <n v="14"/>
    <n v="1"/>
    <x v="19"/>
    <x v="12"/>
    <s v="paylater"/>
    <n v="609579152"/>
  </r>
  <r>
    <x v="815"/>
    <x v="2"/>
    <x v="3"/>
    <n v="14"/>
    <n v="1"/>
    <x v="24"/>
    <x v="18"/>
    <s v="cashloan"/>
    <n v="9613660000"/>
  </r>
  <r>
    <x v="815"/>
    <x v="2"/>
    <x v="3"/>
    <n v="14"/>
    <n v="1"/>
    <x v="30"/>
    <x v="21"/>
    <s v="payday"/>
    <n v="12528000"/>
  </r>
  <r>
    <x v="816"/>
    <x v="2"/>
    <x v="3"/>
    <n v="14"/>
    <n v="2"/>
    <x v="3"/>
    <x v="3"/>
    <s v="cashloan"/>
    <n v="722370000"/>
  </r>
  <r>
    <x v="816"/>
    <x v="2"/>
    <x v="3"/>
    <n v="14"/>
    <n v="2"/>
    <x v="11"/>
    <x v="10"/>
    <s v="paylater"/>
    <n v="328591353"/>
  </r>
  <r>
    <x v="816"/>
    <x v="2"/>
    <x v="3"/>
    <n v="14"/>
    <n v="2"/>
    <x v="12"/>
    <x v="11"/>
    <s v="cashloan"/>
    <n v="19712400000"/>
  </r>
  <r>
    <x v="816"/>
    <x v="2"/>
    <x v="3"/>
    <n v="14"/>
    <n v="2"/>
    <x v="5"/>
    <x v="5"/>
    <s v="overdraft"/>
    <n v="2342325450"/>
  </r>
  <r>
    <x v="816"/>
    <x v="2"/>
    <x v="3"/>
    <n v="14"/>
    <n v="2"/>
    <x v="27"/>
    <x v="19"/>
    <s v="payday"/>
    <n v="13335408000"/>
  </r>
  <r>
    <x v="816"/>
    <x v="2"/>
    <x v="3"/>
    <n v="14"/>
    <n v="2"/>
    <x v="15"/>
    <x v="14"/>
    <s v="paylater"/>
    <n v="22490346"/>
  </r>
  <r>
    <x v="816"/>
    <x v="2"/>
    <x v="3"/>
    <n v="14"/>
    <n v="2"/>
    <x v="31"/>
    <x v="22"/>
    <s v="cashloan"/>
    <n v="180000000"/>
  </r>
  <r>
    <x v="816"/>
    <x v="2"/>
    <x v="3"/>
    <n v="14"/>
    <n v="2"/>
    <x v="14"/>
    <x v="13"/>
    <s v="cashloan"/>
    <n v="2298380000"/>
  </r>
  <r>
    <x v="816"/>
    <x v="2"/>
    <x v="3"/>
    <n v="14"/>
    <n v="2"/>
    <x v="33"/>
    <x v="13"/>
    <s v="cashloan"/>
    <n v="1198420000"/>
  </r>
  <r>
    <x v="816"/>
    <x v="2"/>
    <x v="3"/>
    <n v="14"/>
    <n v="2"/>
    <x v="23"/>
    <x v="17"/>
    <s v="paylater"/>
    <n v="19042578"/>
  </r>
  <r>
    <x v="816"/>
    <x v="2"/>
    <x v="3"/>
    <n v="14"/>
    <n v="2"/>
    <x v="28"/>
    <x v="17"/>
    <s v="paylater"/>
    <n v="1258751775"/>
  </r>
  <r>
    <x v="816"/>
    <x v="2"/>
    <x v="3"/>
    <n v="14"/>
    <n v="2"/>
    <x v="8"/>
    <x v="8"/>
    <s v="cashloan"/>
    <n v="0"/>
  </r>
  <r>
    <x v="816"/>
    <x v="2"/>
    <x v="3"/>
    <n v="14"/>
    <n v="2"/>
    <x v="26"/>
    <x v="16"/>
    <s v="cashloan"/>
    <n v="10500000"/>
  </r>
  <r>
    <x v="816"/>
    <x v="2"/>
    <x v="3"/>
    <n v="14"/>
    <n v="2"/>
    <x v="32"/>
    <x v="16"/>
    <s v="cashloan"/>
    <n v="56000000"/>
  </r>
  <r>
    <x v="816"/>
    <x v="2"/>
    <x v="3"/>
    <n v="14"/>
    <n v="2"/>
    <x v="2"/>
    <x v="2"/>
    <s v="cashloan"/>
    <n v="16327360000"/>
  </r>
  <r>
    <x v="816"/>
    <x v="2"/>
    <x v="3"/>
    <n v="14"/>
    <n v="2"/>
    <x v="17"/>
    <x v="9"/>
    <s v="cashloan"/>
    <n v="0"/>
  </r>
  <r>
    <x v="816"/>
    <x v="2"/>
    <x v="3"/>
    <n v="14"/>
    <n v="2"/>
    <x v="20"/>
    <x v="9"/>
    <s v="cashloan"/>
    <n v="0"/>
  </r>
  <r>
    <x v="816"/>
    <x v="2"/>
    <x v="3"/>
    <n v="14"/>
    <n v="2"/>
    <x v="21"/>
    <x v="9"/>
    <s v="cashloan"/>
    <n v="0"/>
  </r>
  <r>
    <x v="816"/>
    <x v="2"/>
    <x v="3"/>
    <n v="14"/>
    <n v="2"/>
    <x v="25"/>
    <x v="2"/>
    <s v="cashloan"/>
    <n v="21400000"/>
  </r>
  <r>
    <x v="816"/>
    <x v="2"/>
    <x v="3"/>
    <n v="14"/>
    <n v="2"/>
    <x v="0"/>
    <x v="0"/>
    <s v="payday"/>
    <n v="11229300000"/>
  </r>
  <r>
    <x v="816"/>
    <x v="2"/>
    <x v="3"/>
    <n v="14"/>
    <n v="2"/>
    <x v="7"/>
    <x v="7"/>
    <s v="paylater"/>
    <n v="420440924"/>
  </r>
  <r>
    <x v="816"/>
    <x v="2"/>
    <x v="3"/>
    <n v="14"/>
    <n v="2"/>
    <x v="1"/>
    <x v="1"/>
    <s v="cashloan"/>
    <n v="29500000"/>
  </r>
  <r>
    <x v="816"/>
    <x v="2"/>
    <x v="3"/>
    <n v="14"/>
    <n v="2"/>
    <x v="6"/>
    <x v="6"/>
    <s v="payday"/>
    <n v="58000000"/>
  </r>
  <r>
    <x v="816"/>
    <x v="2"/>
    <x v="3"/>
    <n v="14"/>
    <n v="2"/>
    <x v="18"/>
    <x v="15"/>
    <s v="cashloan"/>
    <n v="576530000"/>
  </r>
  <r>
    <x v="816"/>
    <x v="2"/>
    <x v="3"/>
    <n v="14"/>
    <n v="2"/>
    <x v="29"/>
    <x v="20"/>
    <s v="payday"/>
    <n v="314820000"/>
  </r>
  <r>
    <x v="816"/>
    <x v="2"/>
    <x v="3"/>
    <n v="14"/>
    <n v="2"/>
    <x v="19"/>
    <x v="12"/>
    <s v="paylater"/>
    <n v="912032990"/>
  </r>
  <r>
    <x v="816"/>
    <x v="2"/>
    <x v="3"/>
    <n v="14"/>
    <n v="2"/>
    <x v="24"/>
    <x v="18"/>
    <s v="cashloan"/>
    <n v="8155820000"/>
  </r>
  <r>
    <x v="816"/>
    <x v="2"/>
    <x v="3"/>
    <n v="14"/>
    <n v="2"/>
    <x v="30"/>
    <x v="21"/>
    <s v="payday"/>
    <n v="2160000"/>
  </r>
  <r>
    <x v="817"/>
    <x v="2"/>
    <x v="3"/>
    <n v="14"/>
    <n v="3"/>
    <x v="3"/>
    <x v="3"/>
    <s v="cashloan"/>
    <n v="495880000"/>
  </r>
  <r>
    <x v="817"/>
    <x v="2"/>
    <x v="3"/>
    <n v="14"/>
    <n v="3"/>
    <x v="11"/>
    <x v="10"/>
    <s v="paylater"/>
    <n v="398855712"/>
  </r>
  <r>
    <x v="817"/>
    <x v="2"/>
    <x v="3"/>
    <n v="14"/>
    <n v="3"/>
    <x v="12"/>
    <x v="11"/>
    <s v="cashloan"/>
    <n v="20172160000"/>
  </r>
  <r>
    <x v="817"/>
    <x v="2"/>
    <x v="3"/>
    <n v="14"/>
    <n v="3"/>
    <x v="5"/>
    <x v="5"/>
    <s v="overdraft"/>
    <n v="2047843328"/>
  </r>
  <r>
    <x v="817"/>
    <x v="2"/>
    <x v="3"/>
    <n v="14"/>
    <n v="3"/>
    <x v="27"/>
    <x v="19"/>
    <s v="payday"/>
    <n v="14106960000"/>
  </r>
  <r>
    <x v="817"/>
    <x v="2"/>
    <x v="3"/>
    <n v="14"/>
    <n v="3"/>
    <x v="15"/>
    <x v="14"/>
    <s v="paylater"/>
    <n v="0"/>
  </r>
  <r>
    <x v="817"/>
    <x v="2"/>
    <x v="3"/>
    <n v="14"/>
    <n v="3"/>
    <x v="31"/>
    <x v="22"/>
    <s v="cashloan"/>
    <n v="0"/>
  </r>
  <r>
    <x v="817"/>
    <x v="2"/>
    <x v="3"/>
    <n v="14"/>
    <n v="3"/>
    <x v="14"/>
    <x v="13"/>
    <s v="cashloan"/>
    <n v="1956850000"/>
  </r>
  <r>
    <x v="817"/>
    <x v="2"/>
    <x v="3"/>
    <n v="14"/>
    <n v="3"/>
    <x v="33"/>
    <x v="13"/>
    <s v="cashloan"/>
    <n v="717470000"/>
  </r>
  <r>
    <x v="817"/>
    <x v="2"/>
    <x v="3"/>
    <n v="14"/>
    <n v="3"/>
    <x v="23"/>
    <x v="17"/>
    <s v="paylater"/>
    <n v="32629158"/>
  </r>
  <r>
    <x v="817"/>
    <x v="2"/>
    <x v="3"/>
    <n v="14"/>
    <n v="3"/>
    <x v="28"/>
    <x v="17"/>
    <s v="paylater"/>
    <n v="1599343908"/>
  </r>
  <r>
    <x v="817"/>
    <x v="2"/>
    <x v="3"/>
    <n v="14"/>
    <n v="3"/>
    <x v="8"/>
    <x v="8"/>
    <s v="cashloan"/>
    <n v="0"/>
  </r>
  <r>
    <x v="817"/>
    <x v="2"/>
    <x v="3"/>
    <n v="14"/>
    <n v="3"/>
    <x v="26"/>
    <x v="16"/>
    <s v="cashloan"/>
    <n v="25500000"/>
  </r>
  <r>
    <x v="817"/>
    <x v="2"/>
    <x v="3"/>
    <n v="14"/>
    <n v="3"/>
    <x v="32"/>
    <x v="16"/>
    <s v="cashloan"/>
    <n v="82400000"/>
  </r>
  <r>
    <x v="817"/>
    <x v="2"/>
    <x v="3"/>
    <n v="14"/>
    <n v="3"/>
    <x v="2"/>
    <x v="2"/>
    <s v="cashloan"/>
    <n v="17836470000"/>
  </r>
  <r>
    <x v="817"/>
    <x v="2"/>
    <x v="3"/>
    <n v="14"/>
    <n v="3"/>
    <x v="17"/>
    <x v="9"/>
    <s v="cashloan"/>
    <n v="0"/>
  </r>
  <r>
    <x v="817"/>
    <x v="2"/>
    <x v="3"/>
    <n v="14"/>
    <n v="3"/>
    <x v="20"/>
    <x v="9"/>
    <s v="cashloan"/>
    <n v="0"/>
  </r>
  <r>
    <x v="817"/>
    <x v="2"/>
    <x v="3"/>
    <n v="14"/>
    <n v="3"/>
    <x v="21"/>
    <x v="9"/>
    <s v="cashloan"/>
    <n v="0"/>
  </r>
  <r>
    <x v="817"/>
    <x v="2"/>
    <x v="3"/>
    <n v="14"/>
    <n v="3"/>
    <x v="25"/>
    <x v="2"/>
    <s v="cashloan"/>
    <n v="0"/>
  </r>
  <r>
    <x v="817"/>
    <x v="2"/>
    <x v="3"/>
    <n v="14"/>
    <n v="3"/>
    <x v="0"/>
    <x v="0"/>
    <s v="payday"/>
    <n v="10819224000"/>
  </r>
  <r>
    <x v="817"/>
    <x v="2"/>
    <x v="3"/>
    <n v="14"/>
    <n v="3"/>
    <x v="7"/>
    <x v="7"/>
    <s v="paylater"/>
    <n v="508044615"/>
  </r>
  <r>
    <x v="817"/>
    <x v="2"/>
    <x v="3"/>
    <n v="14"/>
    <n v="3"/>
    <x v="1"/>
    <x v="1"/>
    <s v="cashloan"/>
    <n v="21000000"/>
  </r>
  <r>
    <x v="817"/>
    <x v="2"/>
    <x v="3"/>
    <n v="14"/>
    <n v="3"/>
    <x v="6"/>
    <x v="6"/>
    <s v="payday"/>
    <n v="38000000"/>
  </r>
  <r>
    <x v="817"/>
    <x v="2"/>
    <x v="3"/>
    <n v="14"/>
    <n v="3"/>
    <x v="18"/>
    <x v="15"/>
    <s v="cashloan"/>
    <n v="796090000"/>
  </r>
  <r>
    <x v="817"/>
    <x v="2"/>
    <x v="3"/>
    <n v="14"/>
    <n v="3"/>
    <x v="29"/>
    <x v="20"/>
    <s v="payday"/>
    <n v="313200000"/>
  </r>
  <r>
    <x v="817"/>
    <x v="2"/>
    <x v="3"/>
    <n v="14"/>
    <n v="3"/>
    <x v="19"/>
    <x v="12"/>
    <s v="paylater"/>
    <n v="1299011380"/>
  </r>
  <r>
    <x v="817"/>
    <x v="2"/>
    <x v="3"/>
    <n v="14"/>
    <n v="3"/>
    <x v="24"/>
    <x v="18"/>
    <s v="cashloan"/>
    <n v="7863820000"/>
  </r>
  <r>
    <x v="817"/>
    <x v="2"/>
    <x v="3"/>
    <n v="14"/>
    <n v="3"/>
    <x v="30"/>
    <x v="21"/>
    <s v="payday"/>
    <n v="2160000"/>
  </r>
  <r>
    <x v="818"/>
    <x v="2"/>
    <x v="3"/>
    <n v="14"/>
    <n v="4"/>
    <x v="3"/>
    <x v="3"/>
    <s v="cashloan"/>
    <n v="576150000"/>
  </r>
  <r>
    <x v="818"/>
    <x v="2"/>
    <x v="3"/>
    <n v="14"/>
    <n v="4"/>
    <x v="11"/>
    <x v="10"/>
    <s v="paylater"/>
    <n v="513712363"/>
  </r>
  <r>
    <x v="818"/>
    <x v="2"/>
    <x v="3"/>
    <n v="14"/>
    <n v="4"/>
    <x v="12"/>
    <x v="11"/>
    <s v="cashloan"/>
    <n v="18382180000"/>
  </r>
  <r>
    <x v="818"/>
    <x v="2"/>
    <x v="3"/>
    <n v="14"/>
    <n v="4"/>
    <x v="5"/>
    <x v="5"/>
    <s v="overdraft"/>
    <n v="1855556717"/>
  </r>
  <r>
    <x v="818"/>
    <x v="2"/>
    <x v="3"/>
    <n v="14"/>
    <n v="4"/>
    <x v="27"/>
    <x v="19"/>
    <s v="payday"/>
    <n v="13801320000"/>
  </r>
  <r>
    <x v="818"/>
    <x v="2"/>
    <x v="3"/>
    <n v="14"/>
    <n v="4"/>
    <x v="15"/>
    <x v="14"/>
    <s v="paylater"/>
    <n v="0"/>
  </r>
  <r>
    <x v="818"/>
    <x v="2"/>
    <x v="3"/>
    <n v="14"/>
    <n v="4"/>
    <x v="31"/>
    <x v="22"/>
    <s v="cashloan"/>
    <n v="0"/>
  </r>
  <r>
    <x v="818"/>
    <x v="2"/>
    <x v="3"/>
    <n v="14"/>
    <n v="4"/>
    <x v="14"/>
    <x v="13"/>
    <s v="cashloan"/>
    <n v="2658650000"/>
  </r>
  <r>
    <x v="818"/>
    <x v="2"/>
    <x v="3"/>
    <n v="14"/>
    <n v="4"/>
    <x v="33"/>
    <x v="13"/>
    <s v="cashloan"/>
    <n v="650900000"/>
  </r>
  <r>
    <x v="818"/>
    <x v="2"/>
    <x v="3"/>
    <n v="14"/>
    <n v="4"/>
    <x v="23"/>
    <x v="17"/>
    <s v="paylater"/>
    <n v="34486187"/>
  </r>
  <r>
    <x v="818"/>
    <x v="2"/>
    <x v="3"/>
    <n v="14"/>
    <n v="4"/>
    <x v="28"/>
    <x v="17"/>
    <s v="paylater"/>
    <n v="1763209762"/>
  </r>
  <r>
    <x v="818"/>
    <x v="2"/>
    <x v="3"/>
    <n v="14"/>
    <n v="4"/>
    <x v="8"/>
    <x v="8"/>
    <s v="cashloan"/>
    <n v="0"/>
  </r>
  <r>
    <x v="818"/>
    <x v="2"/>
    <x v="3"/>
    <n v="14"/>
    <n v="4"/>
    <x v="26"/>
    <x v="16"/>
    <s v="cashloan"/>
    <n v="40000000"/>
  </r>
  <r>
    <x v="818"/>
    <x v="2"/>
    <x v="3"/>
    <n v="14"/>
    <n v="4"/>
    <x v="32"/>
    <x v="16"/>
    <s v="cashloan"/>
    <n v="0"/>
  </r>
  <r>
    <x v="818"/>
    <x v="2"/>
    <x v="3"/>
    <n v="14"/>
    <n v="4"/>
    <x v="2"/>
    <x v="2"/>
    <s v="cashloan"/>
    <n v="16223600000"/>
  </r>
  <r>
    <x v="818"/>
    <x v="2"/>
    <x v="3"/>
    <n v="14"/>
    <n v="4"/>
    <x v="17"/>
    <x v="9"/>
    <s v="cashloan"/>
    <n v="0"/>
  </r>
  <r>
    <x v="818"/>
    <x v="2"/>
    <x v="3"/>
    <n v="14"/>
    <n v="4"/>
    <x v="20"/>
    <x v="9"/>
    <s v="cashloan"/>
    <n v="0"/>
  </r>
  <r>
    <x v="818"/>
    <x v="2"/>
    <x v="3"/>
    <n v="14"/>
    <n v="4"/>
    <x v="21"/>
    <x v="9"/>
    <s v="cashloan"/>
    <n v="0"/>
  </r>
  <r>
    <x v="818"/>
    <x v="2"/>
    <x v="3"/>
    <n v="14"/>
    <n v="4"/>
    <x v="25"/>
    <x v="2"/>
    <s v="cashloan"/>
    <n v="0"/>
  </r>
  <r>
    <x v="818"/>
    <x v="2"/>
    <x v="3"/>
    <n v="14"/>
    <n v="4"/>
    <x v="0"/>
    <x v="0"/>
    <s v="payday"/>
    <n v="11136204000"/>
  </r>
  <r>
    <x v="818"/>
    <x v="2"/>
    <x v="3"/>
    <n v="14"/>
    <n v="4"/>
    <x v="7"/>
    <x v="7"/>
    <s v="paylater"/>
    <n v="630565541"/>
  </r>
  <r>
    <x v="818"/>
    <x v="2"/>
    <x v="3"/>
    <n v="14"/>
    <n v="4"/>
    <x v="1"/>
    <x v="1"/>
    <s v="cashloan"/>
    <n v="63000000"/>
  </r>
  <r>
    <x v="818"/>
    <x v="2"/>
    <x v="3"/>
    <n v="14"/>
    <n v="4"/>
    <x v="6"/>
    <x v="6"/>
    <s v="payday"/>
    <n v="49000000"/>
  </r>
  <r>
    <x v="818"/>
    <x v="2"/>
    <x v="3"/>
    <n v="14"/>
    <n v="4"/>
    <x v="18"/>
    <x v="15"/>
    <s v="cashloan"/>
    <n v="603970000"/>
  </r>
  <r>
    <x v="818"/>
    <x v="2"/>
    <x v="3"/>
    <n v="14"/>
    <n v="4"/>
    <x v="29"/>
    <x v="20"/>
    <s v="payday"/>
    <n v="315792000"/>
  </r>
  <r>
    <x v="818"/>
    <x v="2"/>
    <x v="3"/>
    <n v="14"/>
    <n v="4"/>
    <x v="19"/>
    <x v="12"/>
    <s v="paylater"/>
    <n v="1642965022"/>
  </r>
  <r>
    <x v="818"/>
    <x v="2"/>
    <x v="3"/>
    <n v="14"/>
    <n v="4"/>
    <x v="24"/>
    <x v="18"/>
    <s v="cashloan"/>
    <n v="6077010000"/>
  </r>
  <r>
    <x v="818"/>
    <x v="2"/>
    <x v="3"/>
    <n v="14"/>
    <n v="4"/>
    <x v="30"/>
    <x v="21"/>
    <s v="payday"/>
    <n v="4320000"/>
  </r>
  <r>
    <x v="819"/>
    <x v="2"/>
    <x v="3"/>
    <n v="14"/>
    <n v="5"/>
    <x v="3"/>
    <x v="3"/>
    <s v="cashloan"/>
    <n v="658150000"/>
  </r>
  <r>
    <x v="819"/>
    <x v="2"/>
    <x v="3"/>
    <n v="14"/>
    <n v="5"/>
    <x v="11"/>
    <x v="10"/>
    <s v="paylater"/>
    <n v="473511847"/>
  </r>
  <r>
    <x v="819"/>
    <x v="2"/>
    <x v="3"/>
    <n v="14"/>
    <n v="5"/>
    <x v="12"/>
    <x v="11"/>
    <s v="cashloan"/>
    <n v="15050540000"/>
  </r>
  <r>
    <x v="819"/>
    <x v="2"/>
    <x v="3"/>
    <n v="14"/>
    <n v="5"/>
    <x v="5"/>
    <x v="5"/>
    <s v="overdraft"/>
    <n v="1581600309"/>
  </r>
  <r>
    <x v="819"/>
    <x v="2"/>
    <x v="3"/>
    <n v="14"/>
    <n v="5"/>
    <x v="27"/>
    <x v="19"/>
    <s v="payday"/>
    <n v="13768704000"/>
  </r>
  <r>
    <x v="819"/>
    <x v="2"/>
    <x v="3"/>
    <n v="14"/>
    <n v="5"/>
    <x v="15"/>
    <x v="14"/>
    <s v="paylater"/>
    <n v="0"/>
  </r>
  <r>
    <x v="819"/>
    <x v="2"/>
    <x v="3"/>
    <n v="14"/>
    <n v="5"/>
    <x v="31"/>
    <x v="22"/>
    <s v="cashloan"/>
    <n v="0"/>
  </r>
  <r>
    <x v="819"/>
    <x v="2"/>
    <x v="3"/>
    <n v="14"/>
    <n v="5"/>
    <x v="14"/>
    <x v="13"/>
    <s v="cashloan"/>
    <n v="2859120000"/>
  </r>
  <r>
    <x v="819"/>
    <x v="2"/>
    <x v="3"/>
    <n v="14"/>
    <n v="5"/>
    <x v="33"/>
    <x v="13"/>
    <s v="cashloan"/>
    <n v="936350000"/>
  </r>
  <r>
    <x v="819"/>
    <x v="2"/>
    <x v="3"/>
    <n v="14"/>
    <n v="5"/>
    <x v="23"/>
    <x v="17"/>
    <s v="paylater"/>
    <n v="38596801"/>
  </r>
  <r>
    <x v="819"/>
    <x v="2"/>
    <x v="3"/>
    <n v="14"/>
    <n v="5"/>
    <x v="28"/>
    <x v="17"/>
    <s v="paylater"/>
    <n v="1719202172"/>
  </r>
  <r>
    <x v="819"/>
    <x v="2"/>
    <x v="3"/>
    <n v="14"/>
    <n v="5"/>
    <x v="8"/>
    <x v="8"/>
    <s v="cashloan"/>
    <n v="0"/>
  </r>
  <r>
    <x v="819"/>
    <x v="2"/>
    <x v="3"/>
    <n v="14"/>
    <n v="5"/>
    <x v="26"/>
    <x v="16"/>
    <s v="cashloan"/>
    <n v="42000000"/>
  </r>
  <r>
    <x v="819"/>
    <x v="2"/>
    <x v="3"/>
    <n v="14"/>
    <n v="5"/>
    <x v="32"/>
    <x v="16"/>
    <s v="cashloan"/>
    <n v="0"/>
  </r>
  <r>
    <x v="819"/>
    <x v="2"/>
    <x v="3"/>
    <n v="14"/>
    <n v="5"/>
    <x v="2"/>
    <x v="2"/>
    <s v="cashloan"/>
    <n v="14475880000"/>
  </r>
  <r>
    <x v="819"/>
    <x v="2"/>
    <x v="3"/>
    <n v="14"/>
    <n v="5"/>
    <x v="17"/>
    <x v="9"/>
    <s v="cashloan"/>
    <n v="0"/>
  </r>
  <r>
    <x v="819"/>
    <x v="2"/>
    <x v="3"/>
    <n v="14"/>
    <n v="5"/>
    <x v="20"/>
    <x v="9"/>
    <s v="cashloan"/>
    <n v="0"/>
  </r>
  <r>
    <x v="819"/>
    <x v="2"/>
    <x v="3"/>
    <n v="14"/>
    <n v="5"/>
    <x v="21"/>
    <x v="9"/>
    <s v="cashloan"/>
    <n v="0"/>
  </r>
  <r>
    <x v="819"/>
    <x v="2"/>
    <x v="3"/>
    <n v="14"/>
    <n v="5"/>
    <x v="25"/>
    <x v="2"/>
    <s v="cashloan"/>
    <n v="0"/>
  </r>
  <r>
    <x v="819"/>
    <x v="2"/>
    <x v="3"/>
    <n v="14"/>
    <n v="5"/>
    <x v="0"/>
    <x v="0"/>
    <s v="payday"/>
    <n v="11467656000"/>
  </r>
  <r>
    <x v="819"/>
    <x v="2"/>
    <x v="3"/>
    <n v="14"/>
    <n v="5"/>
    <x v="7"/>
    <x v="7"/>
    <s v="paylater"/>
    <n v="468020802"/>
  </r>
  <r>
    <x v="819"/>
    <x v="2"/>
    <x v="3"/>
    <n v="14"/>
    <n v="5"/>
    <x v="1"/>
    <x v="1"/>
    <s v="cashloan"/>
    <n v="21000000"/>
  </r>
  <r>
    <x v="819"/>
    <x v="2"/>
    <x v="3"/>
    <n v="14"/>
    <n v="5"/>
    <x v="6"/>
    <x v="6"/>
    <s v="payday"/>
    <n v="97000000"/>
  </r>
  <r>
    <x v="819"/>
    <x v="2"/>
    <x v="3"/>
    <n v="14"/>
    <n v="5"/>
    <x v="18"/>
    <x v="15"/>
    <s v="cashloan"/>
    <n v="871700000"/>
  </r>
  <r>
    <x v="819"/>
    <x v="2"/>
    <x v="3"/>
    <n v="14"/>
    <n v="5"/>
    <x v="29"/>
    <x v="20"/>
    <s v="payday"/>
    <n v="417204000"/>
  </r>
  <r>
    <x v="819"/>
    <x v="2"/>
    <x v="3"/>
    <n v="14"/>
    <n v="5"/>
    <x v="19"/>
    <x v="12"/>
    <s v="paylater"/>
    <n v="967608584"/>
  </r>
  <r>
    <x v="819"/>
    <x v="2"/>
    <x v="3"/>
    <n v="14"/>
    <n v="5"/>
    <x v="24"/>
    <x v="18"/>
    <s v="cashloan"/>
    <n v="6031250000"/>
  </r>
  <r>
    <x v="819"/>
    <x v="2"/>
    <x v="3"/>
    <n v="14"/>
    <n v="5"/>
    <x v="30"/>
    <x v="21"/>
    <s v="payday"/>
    <n v="0"/>
  </r>
  <r>
    <x v="820"/>
    <x v="2"/>
    <x v="3"/>
    <n v="15"/>
    <n v="6"/>
    <x v="3"/>
    <x v="3"/>
    <s v="cashloan"/>
    <n v="789650000"/>
  </r>
  <r>
    <x v="820"/>
    <x v="2"/>
    <x v="3"/>
    <n v="15"/>
    <n v="6"/>
    <x v="11"/>
    <x v="10"/>
    <s v="paylater"/>
    <n v="362846492"/>
  </r>
  <r>
    <x v="820"/>
    <x v="2"/>
    <x v="3"/>
    <n v="15"/>
    <n v="6"/>
    <x v="12"/>
    <x v="11"/>
    <s v="cashloan"/>
    <n v="18506700000"/>
  </r>
  <r>
    <x v="820"/>
    <x v="2"/>
    <x v="3"/>
    <n v="15"/>
    <n v="6"/>
    <x v="5"/>
    <x v="5"/>
    <s v="overdraft"/>
    <n v="2081988827"/>
  </r>
  <r>
    <x v="820"/>
    <x v="2"/>
    <x v="3"/>
    <n v="15"/>
    <n v="6"/>
    <x v="27"/>
    <x v="19"/>
    <s v="payday"/>
    <n v="14511960000"/>
  </r>
  <r>
    <x v="820"/>
    <x v="2"/>
    <x v="3"/>
    <n v="15"/>
    <n v="6"/>
    <x v="15"/>
    <x v="14"/>
    <s v="paylater"/>
    <n v="0"/>
  </r>
  <r>
    <x v="820"/>
    <x v="2"/>
    <x v="3"/>
    <n v="15"/>
    <n v="6"/>
    <x v="31"/>
    <x v="22"/>
    <s v="cashloan"/>
    <n v="0"/>
  </r>
  <r>
    <x v="820"/>
    <x v="2"/>
    <x v="3"/>
    <n v="15"/>
    <n v="6"/>
    <x v="14"/>
    <x v="13"/>
    <s v="cashloan"/>
    <n v="2560610000"/>
  </r>
  <r>
    <x v="820"/>
    <x v="2"/>
    <x v="3"/>
    <n v="15"/>
    <n v="6"/>
    <x v="33"/>
    <x v="13"/>
    <s v="cashloan"/>
    <n v="1214350000"/>
  </r>
  <r>
    <x v="820"/>
    <x v="2"/>
    <x v="3"/>
    <n v="15"/>
    <n v="6"/>
    <x v="23"/>
    <x v="17"/>
    <s v="paylater"/>
    <n v="13639216"/>
  </r>
  <r>
    <x v="820"/>
    <x v="2"/>
    <x v="3"/>
    <n v="15"/>
    <n v="6"/>
    <x v="28"/>
    <x v="17"/>
    <s v="paylater"/>
    <n v="1231822499"/>
  </r>
  <r>
    <x v="820"/>
    <x v="2"/>
    <x v="3"/>
    <n v="15"/>
    <n v="6"/>
    <x v="8"/>
    <x v="8"/>
    <s v="cashloan"/>
    <n v="0"/>
  </r>
  <r>
    <x v="820"/>
    <x v="2"/>
    <x v="3"/>
    <n v="15"/>
    <n v="6"/>
    <x v="26"/>
    <x v="16"/>
    <s v="cashloan"/>
    <n v="41250000"/>
  </r>
  <r>
    <x v="820"/>
    <x v="2"/>
    <x v="3"/>
    <n v="15"/>
    <n v="6"/>
    <x v="32"/>
    <x v="16"/>
    <s v="cashloan"/>
    <n v="81000000"/>
  </r>
  <r>
    <x v="820"/>
    <x v="2"/>
    <x v="3"/>
    <n v="15"/>
    <n v="6"/>
    <x v="2"/>
    <x v="2"/>
    <s v="cashloan"/>
    <n v="16524910000"/>
  </r>
  <r>
    <x v="820"/>
    <x v="2"/>
    <x v="3"/>
    <n v="15"/>
    <n v="6"/>
    <x v="17"/>
    <x v="9"/>
    <s v="cashloan"/>
    <n v="0"/>
  </r>
  <r>
    <x v="820"/>
    <x v="2"/>
    <x v="3"/>
    <n v="15"/>
    <n v="6"/>
    <x v="20"/>
    <x v="9"/>
    <s v="cashloan"/>
    <n v="0"/>
  </r>
  <r>
    <x v="820"/>
    <x v="2"/>
    <x v="3"/>
    <n v="15"/>
    <n v="6"/>
    <x v="21"/>
    <x v="9"/>
    <s v="cashloan"/>
    <n v="0"/>
  </r>
  <r>
    <x v="820"/>
    <x v="2"/>
    <x v="3"/>
    <n v="15"/>
    <n v="6"/>
    <x v="25"/>
    <x v="2"/>
    <s v="cashloan"/>
    <n v="0"/>
  </r>
  <r>
    <x v="820"/>
    <x v="2"/>
    <x v="3"/>
    <n v="15"/>
    <n v="6"/>
    <x v="0"/>
    <x v="0"/>
    <s v="payday"/>
    <n v="10685088000"/>
  </r>
  <r>
    <x v="820"/>
    <x v="2"/>
    <x v="3"/>
    <n v="15"/>
    <n v="6"/>
    <x v="7"/>
    <x v="7"/>
    <s v="paylater"/>
    <n v="413044188"/>
  </r>
  <r>
    <x v="820"/>
    <x v="2"/>
    <x v="3"/>
    <n v="15"/>
    <n v="6"/>
    <x v="1"/>
    <x v="1"/>
    <s v="cashloan"/>
    <n v="31500000"/>
  </r>
  <r>
    <x v="820"/>
    <x v="2"/>
    <x v="3"/>
    <n v="15"/>
    <n v="6"/>
    <x v="6"/>
    <x v="6"/>
    <s v="payday"/>
    <n v="60000000"/>
  </r>
  <r>
    <x v="820"/>
    <x v="2"/>
    <x v="3"/>
    <n v="15"/>
    <n v="6"/>
    <x v="18"/>
    <x v="15"/>
    <s v="cashloan"/>
    <n v="884770000"/>
  </r>
  <r>
    <x v="820"/>
    <x v="2"/>
    <x v="3"/>
    <n v="15"/>
    <n v="6"/>
    <x v="29"/>
    <x v="20"/>
    <s v="payday"/>
    <n v="345492000"/>
  </r>
  <r>
    <x v="820"/>
    <x v="2"/>
    <x v="3"/>
    <n v="15"/>
    <n v="6"/>
    <x v="19"/>
    <x v="12"/>
    <s v="paylater"/>
    <n v="639747115"/>
  </r>
  <r>
    <x v="820"/>
    <x v="2"/>
    <x v="3"/>
    <n v="15"/>
    <n v="6"/>
    <x v="24"/>
    <x v="18"/>
    <s v="cashloan"/>
    <n v="7145550000"/>
  </r>
  <r>
    <x v="820"/>
    <x v="2"/>
    <x v="3"/>
    <n v="15"/>
    <n v="6"/>
    <x v="30"/>
    <x v="21"/>
    <s v="payday"/>
    <n v="3240000"/>
  </r>
  <r>
    <x v="821"/>
    <x v="2"/>
    <x v="3"/>
    <n v="15"/>
    <n v="7"/>
    <x v="3"/>
    <x v="3"/>
    <s v="cashloan"/>
    <n v="803500000"/>
  </r>
  <r>
    <x v="821"/>
    <x v="2"/>
    <x v="3"/>
    <n v="15"/>
    <n v="7"/>
    <x v="11"/>
    <x v="10"/>
    <s v="paylater"/>
    <n v="323742554"/>
  </r>
  <r>
    <x v="821"/>
    <x v="2"/>
    <x v="3"/>
    <n v="15"/>
    <n v="7"/>
    <x v="12"/>
    <x v="11"/>
    <s v="cashloan"/>
    <n v="16980340000"/>
  </r>
  <r>
    <x v="821"/>
    <x v="2"/>
    <x v="3"/>
    <n v="15"/>
    <n v="7"/>
    <x v="5"/>
    <x v="5"/>
    <s v="overdraft"/>
    <n v="1734498184"/>
  </r>
  <r>
    <x v="821"/>
    <x v="2"/>
    <x v="3"/>
    <n v="15"/>
    <n v="7"/>
    <x v="27"/>
    <x v="19"/>
    <s v="payday"/>
    <n v="14266584000"/>
  </r>
  <r>
    <x v="821"/>
    <x v="2"/>
    <x v="3"/>
    <n v="15"/>
    <n v="7"/>
    <x v="15"/>
    <x v="14"/>
    <s v="paylater"/>
    <n v="0"/>
  </r>
  <r>
    <x v="821"/>
    <x v="2"/>
    <x v="3"/>
    <n v="15"/>
    <n v="7"/>
    <x v="31"/>
    <x v="22"/>
    <s v="cashloan"/>
    <n v="170000000"/>
  </r>
  <r>
    <x v="821"/>
    <x v="2"/>
    <x v="3"/>
    <n v="15"/>
    <n v="7"/>
    <x v="14"/>
    <x v="13"/>
    <s v="cashloan"/>
    <n v="2352120000"/>
  </r>
  <r>
    <x v="821"/>
    <x v="2"/>
    <x v="3"/>
    <n v="15"/>
    <n v="7"/>
    <x v="33"/>
    <x v="13"/>
    <s v="cashloan"/>
    <n v="1111890000"/>
  </r>
  <r>
    <x v="821"/>
    <x v="2"/>
    <x v="3"/>
    <n v="15"/>
    <n v="7"/>
    <x v="23"/>
    <x v="17"/>
    <s v="paylater"/>
    <n v="8941124"/>
  </r>
  <r>
    <x v="821"/>
    <x v="2"/>
    <x v="3"/>
    <n v="15"/>
    <n v="7"/>
    <x v="28"/>
    <x v="17"/>
    <s v="paylater"/>
    <n v="1133115086"/>
  </r>
  <r>
    <x v="821"/>
    <x v="2"/>
    <x v="3"/>
    <n v="15"/>
    <n v="7"/>
    <x v="8"/>
    <x v="8"/>
    <s v="cashloan"/>
    <n v="0"/>
  </r>
  <r>
    <x v="821"/>
    <x v="2"/>
    <x v="3"/>
    <n v="15"/>
    <n v="7"/>
    <x v="26"/>
    <x v="16"/>
    <s v="cashloan"/>
    <n v="35750000"/>
  </r>
  <r>
    <x v="821"/>
    <x v="2"/>
    <x v="3"/>
    <n v="15"/>
    <n v="7"/>
    <x v="32"/>
    <x v="16"/>
    <s v="cashloan"/>
    <n v="49000000"/>
  </r>
  <r>
    <x v="821"/>
    <x v="2"/>
    <x v="3"/>
    <n v="15"/>
    <n v="7"/>
    <x v="2"/>
    <x v="2"/>
    <s v="cashloan"/>
    <n v="15016120000"/>
  </r>
  <r>
    <x v="821"/>
    <x v="2"/>
    <x v="3"/>
    <n v="15"/>
    <n v="7"/>
    <x v="17"/>
    <x v="9"/>
    <s v="cashloan"/>
    <n v="0"/>
  </r>
  <r>
    <x v="821"/>
    <x v="2"/>
    <x v="3"/>
    <n v="15"/>
    <n v="7"/>
    <x v="20"/>
    <x v="9"/>
    <s v="cashloan"/>
    <n v="0"/>
  </r>
  <r>
    <x v="821"/>
    <x v="2"/>
    <x v="3"/>
    <n v="15"/>
    <n v="7"/>
    <x v="21"/>
    <x v="9"/>
    <s v="cashloan"/>
    <n v="0"/>
  </r>
  <r>
    <x v="821"/>
    <x v="2"/>
    <x v="3"/>
    <n v="15"/>
    <n v="7"/>
    <x v="25"/>
    <x v="2"/>
    <s v="cashloan"/>
    <n v="0"/>
  </r>
  <r>
    <x v="821"/>
    <x v="2"/>
    <x v="3"/>
    <n v="15"/>
    <n v="7"/>
    <x v="0"/>
    <x v="0"/>
    <s v="payday"/>
    <n v="10865772000"/>
  </r>
  <r>
    <x v="821"/>
    <x v="2"/>
    <x v="3"/>
    <n v="15"/>
    <n v="7"/>
    <x v="7"/>
    <x v="7"/>
    <s v="paylater"/>
    <n v="326694706"/>
  </r>
  <r>
    <x v="821"/>
    <x v="2"/>
    <x v="3"/>
    <n v="15"/>
    <n v="7"/>
    <x v="1"/>
    <x v="1"/>
    <s v="cashloan"/>
    <n v="42000000"/>
  </r>
  <r>
    <x v="821"/>
    <x v="2"/>
    <x v="3"/>
    <n v="15"/>
    <n v="7"/>
    <x v="6"/>
    <x v="6"/>
    <s v="payday"/>
    <n v="47000000"/>
  </r>
  <r>
    <x v="821"/>
    <x v="2"/>
    <x v="3"/>
    <n v="15"/>
    <n v="7"/>
    <x v="18"/>
    <x v="15"/>
    <s v="cashloan"/>
    <n v="710300000"/>
  </r>
  <r>
    <x v="821"/>
    <x v="2"/>
    <x v="3"/>
    <n v="15"/>
    <n v="7"/>
    <x v="29"/>
    <x v="20"/>
    <s v="payday"/>
    <n v="403272000"/>
  </r>
  <r>
    <x v="821"/>
    <x v="2"/>
    <x v="3"/>
    <n v="15"/>
    <n v="7"/>
    <x v="19"/>
    <x v="12"/>
    <s v="paylater"/>
    <n v="546232895"/>
  </r>
  <r>
    <x v="821"/>
    <x v="2"/>
    <x v="3"/>
    <n v="15"/>
    <n v="7"/>
    <x v="24"/>
    <x v="18"/>
    <s v="cashloan"/>
    <n v="6696150000"/>
  </r>
  <r>
    <x v="821"/>
    <x v="2"/>
    <x v="3"/>
    <n v="15"/>
    <n v="7"/>
    <x v="30"/>
    <x v="21"/>
    <s v="payday"/>
    <n v="4320000"/>
  </r>
  <r>
    <x v="822"/>
    <x v="2"/>
    <x v="3"/>
    <n v="15"/>
    <n v="8"/>
    <x v="3"/>
    <x v="3"/>
    <s v="cashloan"/>
    <n v="689210000"/>
  </r>
  <r>
    <x v="822"/>
    <x v="2"/>
    <x v="3"/>
    <n v="15"/>
    <n v="8"/>
    <x v="11"/>
    <x v="10"/>
    <s v="paylater"/>
    <n v="331308932"/>
  </r>
  <r>
    <x v="822"/>
    <x v="2"/>
    <x v="3"/>
    <n v="15"/>
    <n v="8"/>
    <x v="12"/>
    <x v="11"/>
    <s v="cashloan"/>
    <n v="16108350000"/>
  </r>
  <r>
    <x v="822"/>
    <x v="2"/>
    <x v="3"/>
    <n v="15"/>
    <n v="8"/>
    <x v="5"/>
    <x v="5"/>
    <s v="overdraft"/>
    <n v="1698948013"/>
  </r>
  <r>
    <x v="822"/>
    <x v="2"/>
    <x v="3"/>
    <n v="15"/>
    <n v="8"/>
    <x v="27"/>
    <x v="19"/>
    <s v="payday"/>
    <n v="14246388000"/>
  </r>
  <r>
    <x v="822"/>
    <x v="2"/>
    <x v="3"/>
    <n v="15"/>
    <n v="8"/>
    <x v="15"/>
    <x v="14"/>
    <s v="paylater"/>
    <n v="0"/>
  </r>
  <r>
    <x v="822"/>
    <x v="2"/>
    <x v="3"/>
    <n v="15"/>
    <n v="8"/>
    <x v="31"/>
    <x v="22"/>
    <s v="cashloan"/>
    <n v="0"/>
  </r>
  <r>
    <x v="822"/>
    <x v="2"/>
    <x v="3"/>
    <n v="15"/>
    <n v="8"/>
    <x v="14"/>
    <x v="13"/>
    <s v="cashloan"/>
    <n v="2533400000"/>
  </r>
  <r>
    <x v="822"/>
    <x v="2"/>
    <x v="3"/>
    <n v="15"/>
    <n v="8"/>
    <x v="33"/>
    <x v="13"/>
    <s v="cashloan"/>
    <n v="726830000"/>
  </r>
  <r>
    <x v="822"/>
    <x v="2"/>
    <x v="3"/>
    <n v="15"/>
    <n v="8"/>
    <x v="23"/>
    <x v="17"/>
    <s v="paylater"/>
    <n v="35135499"/>
  </r>
  <r>
    <x v="822"/>
    <x v="2"/>
    <x v="3"/>
    <n v="15"/>
    <n v="8"/>
    <x v="28"/>
    <x v="17"/>
    <s v="paylater"/>
    <n v="1263557686"/>
  </r>
  <r>
    <x v="822"/>
    <x v="2"/>
    <x v="3"/>
    <n v="15"/>
    <n v="8"/>
    <x v="8"/>
    <x v="8"/>
    <s v="cashloan"/>
    <n v="0"/>
  </r>
  <r>
    <x v="822"/>
    <x v="2"/>
    <x v="3"/>
    <n v="15"/>
    <n v="8"/>
    <x v="26"/>
    <x v="16"/>
    <s v="cashloan"/>
    <n v="77700000"/>
  </r>
  <r>
    <x v="822"/>
    <x v="2"/>
    <x v="3"/>
    <n v="15"/>
    <n v="8"/>
    <x v="32"/>
    <x v="16"/>
    <s v="cashloan"/>
    <n v="0"/>
  </r>
  <r>
    <x v="822"/>
    <x v="2"/>
    <x v="3"/>
    <n v="15"/>
    <n v="8"/>
    <x v="2"/>
    <x v="2"/>
    <s v="cashloan"/>
    <n v="16870560000"/>
  </r>
  <r>
    <x v="822"/>
    <x v="2"/>
    <x v="3"/>
    <n v="15"/>
    <n v="8"/>
    <x v="17"/>
    <x v="9"/>
    <s v="cashloan"/>
    <n v="0"/>
  </r>
  <r>
    <x v="822"/>
    <x v="2"/>
    <x v="3"/>
    <n v="15"/>
    <n v="8"/>
    <x v="20"/>
    <x v="9"/>
    <s v="cashloan"/>
    <n v="0"/>
  </r>
  <r>
    <x v="822"/>
    <x v="2"/>
    <x v="3"/>
    <n v="15"/>
    <n v="8"/>
    <x v="21"/>
    <x v="9"/>
    <s v="cashloan"/>
    <n v="0"/>
  </r>
  <r>
    <x v="822"/>
    <x v="2"/>
    <x v="3"/>
    <n v="15"/>
    <n v="8"/>
    <x v="25"/>
    <x v="2"/>
    <s v="cashloan"/>
    <n v="5000000"/>
  </r>
  <r>
    <x v="822"/>
    <x v="2"/>
    <x v="3"/>
    <n v="15"/>
    <n v="8"/>
    <x v="0"/>
    <x v="0"/>
    <s v="payday"/>
    <n v="10242288000"/>
  </r>
  <r>
    <x v="822"/>
    <x v="2"/>
    <x v="3"/>
    <n v="15"/>
    <n v="8"/>
    <x v="7"/>
    <x v="7"/>
    <s v="paylater"/>
    <n v="267798669"/>
  </r>
  <r>
    <x v="822"/>
    <x v="2"/>
    <x v="3"/>
    <n v="15"/>
    <n v="8"/>
    <x v="1"/>
    <x v="1"/>
    <s v="cashloan"/>
    <n v="52000000"/>
  </r>
  <r>
    <x v="822"/>
    <x v="2"/>
    <x v="3"/>
    <n v="15"/>
    <n v="8"/>
    <x v="6"/>
    <x v="6"/>
    <s v="payday"/>
    <n v="72000000"/>
  </r>
  <r>
    <x v="822"/>
    <x v="2"/>
    <x v="3"/>
    <n v="15"/>
    <n v="8"/>
    <x v="18"/>
    <x v="15"/>
    <s v="cashloan"/>
    <n v="779900000"/>
  </r>
  <r>
    <x v="822"/>
    <x v="2"/>
    <x v="3"/>
    <n v="15"/>
    <n v="8"/>
    <x v="29"/>
    <x v="20"/>
    <s v="payday"/>
    <n v="356292000"/>
  </r>
  <r>
    <x v="822"/>
    <x v="2"/>
    <x v="3"/>
    <n v="15"/>
    <n v="8"/>
    <x v="19"/>
    <x v="12"/>
    <s v="paylater"/>
    <n v="413342105"/>
  </r>
  <r>
    <x v="822"/>
    <x v="2"/>
    <x v="3"/>
    <n v="15"/>
    <n v="8"/>
    <x v="24"/>
    <x v="18"/>
    <s v="cashloan"/>
    <n v="5908770000"/>
  </r>
  <r>
    <x v="822"/>
    <x v="2"/>
    <x v="3"/>
    <n v="15"/>
    <n v="8"/>
    <x v="30"/>
    <x v="21"/>
    <s v="payday"/>
    <n v="10800000"/>
  </r>
  <r>
    <x v="823"/>
    <x v="2"/>
    <x v="3"/>
    <n v="15"/>
    <n v="9"/>
    <x v="3"/>
    <x v="3"/>
    <s v="cashloan"/>
    <n v="627800000"/>
  </r>
  <r>
    <x v="823"/>
    <x v="2"/>
    <x v="3"/>
    <n v="15"/>
    <n v="9"/>
    <x v="11"/>
    <x v="10"/>
    <s v="paylater"/>
    <n v="330557519"/>
  </r>
  <r>
    <x v="823"/>
    <x v="2"/>
    <x v="3"/>
    <n v="15"/>
    <n v="9"/>
    <x v="12"/>
    <x v="11"/>
    <s v="cashloan"/>
    <n v="17443040000"/>
  </r>
  <r>
    <x v="823"/>
    <x v="2"/>
    <x v="3"/>
    <n v="15"/>
    <n v="9"/>
    <x v="5"/>
    <x v="5"/>
    <s v="overdraft"/>
    <n v="2092921255"/>
  </r>
  <r>
    <x v="823"/>
    <x v="2"/>
    <x v="3"/>
    <n v="15"/>
    <n v="9"/>
    <x v="27"/>
    <x v="19"/>
    <s v="payday"/>
    <n v="15453072000"/>
  </r>
  <r>
    <x v="823"/>
    <x v="2"/>
    <x v="3"/>
    <n v="15"/>
    <n v="9"/>
    <x v="15"/>
    <x v="14"/>
    <s v="paylater"/>
    <n v="0"/>
  </r>
  <r>
    <x v="823"/>
    <x v="2"/>
    <x v="3"/>
    <n v="15"/>
    <n v="9"/>
    <x v="31"/>
    <x v="22"/>
    <s v="cashloan"/>
    <n v="160000000"/>
  </r>
  <r>
    <x v="823"/>
    <x v="2"/>
    <x v="3"/>
    <n v="15"/>
    <n v="9"/>
    <x v="14"/>
    <x v="13"/>
    <s v="cashloan"/>
    <n v="2707270000"/>
  </r>
  <r>
    <x v="823"/>
    <x v="2"/>
    <x v="3"/>
    <n v="15"/>
    <n v="9"/>
    <x v="33"/>
    <x v="13"/>
    <s v="cashloan"/>
    <n v="774550000"/>
  </r>
  <r>
    <x v="823"/>
    <x v="2"/>
    <x v="3"/>
    <n v="15"/>
    <n v="9"/>
    <x v="23"/>
    <x v="17"/>
    <s v="paylater"/>
    <n v="15950594"/>
  </r>
  <r>
    <x v="823"/>
    <x v="2"/>
    <x v="3"/>
    <n v="15"/>
    <n v="9"/>
    <x v="28"/>
    <x v="17"/>
    <s v="paylater"/>
    <n v="1169180632"/>
  </r>
  <r>
    <x v="823"/>
    <x v="2"/>
    <x v="3"/>
    <n v="15"/>
    <n v="9"/>
    <x v="8"/>
    <x v="8"/>
    <s v="cashloan"/>
    <n v="0"/>
  </r>
  <r>
    <x v="823"/>
    <x v="2"/>
    <x v="3"/>
    <n v="15"/>
    <n v="9"/>
    <x v="26"/>
    <x v="16"/>
    <s v="cashloan"/>
    <n v="40750000"/>
  </r>
  <r>
    <x v="823"/>
    <x v="2"/>
    <x v="3"/>
    <n v="15"/>
    <n v="9"/>
    <x v="32"/>
    <x v="16"/>
    <s v="cashloan"/>
    <n v="0"/>
  </r>
  <r>
    <x v="823"/>
    <x v="2"/>
    <x v="3"/>
    <n v="15"/>
    <n v="9"/>
    <x v="2"/>
    <x v="2"/>
    <s v="cashloan"/>
    <n v="15938400000"/>
  </r>
  <r>
    <x v="823"/>
    <x v="2"/>
    <x v="3"/>
    <n v="15"/>
    <n v="9"/>
    <x v="17"/>
    <x v="9"/>
    <s v="cashloan"/>
    <n v="0"/>
  </r>
  <r>
    <x v="823"/>
    <x v="2"/>
    <x v="3"/>
    <n v="15"/>
    <n v="9"/>
    <x v="20"/>
    <x v="9"/>
    <s v="cashloan"/>
    <n v="0"/>
  </r>
  <r>
    <x v="823"/>
    <x v="2"/>
    <x v="3"/>
    <n v="15"/>
    <n v="9"/>
    <x v="21"/>
    <x v="9"/>
    <s v="cashloan"/>
    <n v="0"/>
  </r>
  <r>
    <x v="823"/>
    <x v="2"/>
    <x v="3"/>
    <n v="15"/>
    <n v="9"/>
    <x v="25"/>
    <x v="2"/>
    <s v="cashloan"/>
    <n v="0"/>
  </r>
  <r>
    <x v="823"/>
    <x v="2"/>
    <x v="3"/>
    <n v="15"/>
    <n v="9"/>
    <x v="0"/>
    <x v="0"/>
    <s v="payday"/>
    <n v="10114092000"/>
  </r>
  <r>
    <x v="823"/>
    <x v="2"/>
    <x v="3"/>
    <n v="15"/>
    <n v="9"/>
    <x v="7"/>
    <x v="7"/>
    <s v="paylater"/>
    <n v="249829358"/>
  </r>
  <r>
    <x v="823"/>
    <x v="2"/>
    <x v="3"/>
    <n v="15"/>
    <n v="9"/>
    <x v="1"/>
    <x v="1"/>
    <s v="cashloan"/>
    <n v="42000000"/>
  </r>
  <r>
    <x v="823"/>
    <x v="2"/>
    <x v="3"/>
    <n v="15"/>
    <n v="9"/>
    <x v="6"/>
    <x v="6"/>
    <s v="payday"/>
    <n v="45000000"/>
  </r>
  <r>
    <x v="823"/>
    <x v="2"/>
    <x v="3"/>
    <n v="15"/>
    <n v="9"/>
    <x v="18"/>
    <x v="15"/>
    <s v="cashloan"/>
    <n v="867440000"/>
  </r>
  <r>
    <x v="823"/>
    <x v="2"/>
    <x v="3"/>
    <n v="15"/>
    <n v="9"/>
    <x v="29"/>
    <x v="20"/>
    <s v="payday"/>
    <n v="373788000"/>
  </r>
  <r>
    <x v="823"/>
    <x v="2"/>
    <x v="3"/>
    <n v="15"/>
    <n v="9"/>
    <x v="19"/>
    <x v="12"/>
    <s v="paylater"/>
    <n v="448450851"/>
  </r>
  <r>
    <x v="823"/>
    <x v="2"/>
    <x v="3"/>
    <n v="15"/>
    <n v="9"/>
    <x v="24"/>
    <x v="18"/>
    <s v="cashloan"/>
    <n v="6647070000"/>
  </r>
  <r>
    <x v="823"/>
    <x v="2"/>
    <x v="3"/>
    <n v="15"/>
    <n v="9"/>
    <x v="30"/>
    <x v="21"/>
    <s v="payday"/>
    <n v="0"/>
  </r>
  <r>
    <x v="824"/>
    <x v="2"/>
    <x v="3"/>
    <n v="15"/>
    <n v="10"/>
    <x v="3"/>
    <x v="3"/>
    <s v="cashloan"/>
    <n v="662610000"/>
  </r>
  <r>
    <x v="824"/>
    <x v="2"/>
    <x v="3"/>
    <n v="15"/>
    <n v="10"/>
    <x v="11"/>
    <x v="10"/>
    <s v="paylater"/>
    <n v="303036975"/>
  </r>
  <r>
    <x v="824"/>
    <x v="2"/>
    <x v="3"/>
    <n v="15"/>
    <n v="10"/>
    <x v="12"/>
    <x v="11"/>
    <s v="cashloan"/>
    <n v="16824250000"/>
  </r>
  <r>
    <x v="824"/>
    <x v="2"/>
    <x v="3"/>
    <n v="15"/>
    <n v="10"/>
    <x v="5"/>
    <x v="5"/>
    <s v="overdraft"/>
    <n v="2520438537"/>
  </r>
  <r>
    <x v="824"/>
    <x v="2"/>
    <x v="3"/>
    <n v="15"/>
    <n v="10"/>
    <x v="27"/>
    <x v="19"/>
    <s v="payday"/>
    <n v="20986668000"/>
  </r>
  <r>
    <x v="824"/>
    <x v="2"/>
    <x v="3"/>
    <n v="15"/>
    <n v="10"/>
    <x v="15"/>
    <x v="14"/>
    <s v="paylater"/>
    <n v="0"/>
  </r>
  <r>
    <x v="824"/>
    <x v="2"/>
    <x v="3"/>
    <n v="15"/>
    <n v="10"/>
    <x v="31"/>
    <x v="22"/>
    <s v="cashloan"/>
    <n v="0"/>
  </r>
  <r>
    <x v="824"/>
    <x v="2"/>
    <x v="3"/>
    <n v="15"/>
    <n v="10"/>
    <x v="14"/>
    <x v="13"/>
    <s v="cashloan"/>
    <n v="2979680000"/>
  </r>
  <r>
    <x v="824"/>
    <x v="2"/>
    <x v="3"/>
    <n v="15"/>
    <n v="10"/>
    <x v="33"/>
    <x v="13"/>
    <s v="cashloan"/>
    <n v="1144350000"/>
  </r>
  <r>
    <x v="824"/>
    <x v="2"/>
    <x v="3"/>
    <n v="15"/>
    <n v="10"/>
    <x v="23"/>
    <x v="17"/>
    <s v="paylater"/>
    <n v="3038883"/>
  </r>
  <r>
    <x v="824"/>
    <x v="2"/>
    <x v="3"/>
    <n v="15"/>
    <n v="10"/>
    <x v="28"/>
    <x v="17"/>
    <s v="paylater"/>
    <n v="1389954668"/>
  </r>
  <r>
    <x v="824"/>
    <x v="2"/>
    <x v="3"/>
    <n v="15"/>
    <n v="10"/>
    <x v="8"/>
    <x v="8"/>
    <s v="cashloan"/>
    <n v="0"/>
  </r>
  <r>
    <x v="824"/>
    <x v="2"/>
    <x v="3"/>
    <n v="15"/>
    <n v="10"/>
    <x v="26"/>
    <x v="16"/>
    <s v="cashloan"/>
    <n v="99750000"/>
  </r>
  <r>
    <x v="824"/>
    <x v="2"/>
    <x v="3"/>
    <n v="15"/>
    <n v="10"/>
    <x v="32"/>
    <x v="16"/>
    <s v="cashloan"/>
    <n v="0"/>
  </r>
  <r>
    <x v="824"/>
    <x v="2"/>
    <x v="3"/>
    <n v="15"/>
    <n v="10"/>
    <x v="2"/>
    <x v="2"/>
    <s v="cashloan"/>
    <n v="19497540000"/>
  </r>
  <r>
    <x v="824"/>
    <x v="2"/>
    <x v="3"/>
    <n v="15"/>
    <n v="10"/>
    <x v="17"/>
    <x v="9"/>
    <s v="cashloan"/>
    <n v="0"/>
  </r>
  <r>
    <x v="824"/>
    <x v="2"/>
    <x v="3"/>
    <n v="15"/>
    <n v="10"/>
    <x v="20"/>
    <x v="9"/>
    <s v="cashloan"/>
    <n v="0"/>
  </r>
  <r>
    <x v="824"/>
    <x v="2"/>
    <x v="3"/>
    <n v="15"/>
    <n v="10"/>
    <x v="21"/>
    <x v="9"/>
    <s v="cashloan"/>
    <n v="0"/>
  </r>
  <r>
    <x v="824"/>
    <x v="2"/>
    <x v="3"/>
    <n v="15"/>
    <n v="10"/>
    <x v="25"/>
    <x v="2"/>
    <s v="cashloan"/>
    <n v="0"/>
  </r>
  <r>
    <x v="824"/>
    <x v="2"/>
    <x v="3"/>
    <n v="15"/>
    <n v="10"/>
    <x v="0"/>
    <x v="0"/>
    <s v="payday"/>
    <n v="15692292000"/>
  </r>
  <r>
    <x v="824"/>
    <x v="2"/>
    <x v="3"/>
    <n v="15"/>
    <n v="10"/>
    <x v="7"/>
    <x v="7"/>
    <s v="paylater"/>
    <n v="248584146"/>
  </r>
  <r>
    <x v="824"/>
    <x v="2"/>
    <x v="3"/>
    <n v="15"/>
    <n v="10"/>
    <x v="1"/>
    <x v="1"/>
    <s v="cashloan"/>
    <n v="31000000"/>
  </r>
  <r>
    <x v="824"/>
    <x v="2"/>
    <x v="3"/>
    <n v="15"/>
    <n v="10"/>
    <x v="6"/>
    <x v="6"/>
    <s v="payday"/>
    <n v="31000000"/>
  </r>
  <r>
    <x v="824"/>
    <x v="2"/>
    <x v="3"/>
    <n v="15"/>
    <n v="10"/>
    <x v="18"/>
    <x v="15"/>
    <s v="cashloan"/>
    <n v="1104220000"/>
  </r>
  <r>
    <x v="824"/>
    <x v="2"/>
    <x v="3"/>
    <n v="15"/>
    <n v="10"/>
    <x v="29"/>
    <x v="20"/>
    <s v="payday"/>
    <n v="393660000"/>
  </r>
  <r>
    <x v="824"/>
    <x v="2"/>
    <x v="3"/>
    <n v="15"/>
    <n v="10"/>
    <x v="19"/>
    <x v="12"/>
    <s v="paylater"/>
    <n v="379675871"/>
  </r>
  <r>
    <x v="824"/>
    <x v="2"/>
    <x v="3"/>
    <n v="15"/>
    <n v="10"/>
    <x v="24"/>
    <x v="18"/>
    <s v="cashloan"/>
    <n v="7207520000"/>
  </r>
  <r>
    <x v="824"/>
    <x v="2"/>
    <x v="3"/>
    <n v="15"/>
    <n v="10"/>
    <x v="30"/>
    <x v="21"/>
    <s v="payday"/>
    <n v="3240000"/>
  </r>
  <r>
    <x v="825"/>
    <x v="2"/>
    <x v="3"/>
    <n v="15"/>
    <n v="11"/>
    <x v="3"/>
    <x v="3"/>
    <s v="cashloan"/>
    <n v="563600000"/>
  </r>
  <r>
    <x v="825"/>
    <x v="2"/>
    <x v="3"/>
    <n v="15"/>
    <n v="11"/>
    <x v="11"/>
    <x v="10"/>
    <s v="paylater"/>
    <n v="265177744"/>
  </r>
  <r>
    <x v="825"/>
    <x v="2"/>
    <x v="3"/>
    <n v="15"/>
    <n v="11"/>
    <x v="12"/>
    <x v="11"/>
    <s v="cashloan"/>
    <n v="13512620000"/>
  </r>
  <r>
    <x v="825"/>
    <x v="2"/>
    <x v="3"/>
    <n v="15"/>
    <n v="11"/>
    <x v="5"/>
    <x v="5"/>
    <s v="overdraft"/>
    <n v="1393909416"/>
  </r>
  <r>
    <x v="825"/>
    <x v="2"/>
    <x v="3"/>
    <n v="15"/>
    <n v="11"/>
    <x v="27"/>
    <x v="19"/>
    <s v="payday"/>
    <n v="15474348000"/>
  </r>
  <r>
    <x v="825"/>
    <x v="2"/>
    <x v="3"/>
    <n v="15"/>
    <n v="11"/>
    <x v="15"/>
    <x v="14"/>
    <s v="paylater"/>
    <n v="0"/>
  </r>
  <r>
    <x v="825"/>
    <x v="2"/>
    <x v="3"/>
    <n v="15"/>
    <n v="11"/>
    <x v="31"/>
    <x v="22"/>
    <s v="cashloan"/>
    <n v="90000000"/>
  </r>
  <r>
    <x v="825"/>
    <x v="2"/>
    <x v="3"/>
    <n v="15"/>
    <n v="11"/>
    <x v="14"/>
    <x v="13"/>
    <s v="cashloan"/>
    <n v="3246320000"/>
  </r>
  <r>
    <x v="825"/>
    <x v="2"/>
    <x v="3"/>
    <n v="15"/>
    <n v="11"/>
    <x v="33"/>
    <x v="13"/>
    <s v="cashloan"/>
    <n v="726040000"/>
  </r>
  <r>
    <x v="825"/>
    <x v="2"/>
    <x v="3"/>
    <n v="15"/>
    <n v="11"/>
    <x v="23"/>
    <x v="17"/>
    <s v="paylater"/>
    <n v="2678744"/>
  </r>
  <r>
    <x v="825"/>
    <x v="2"/>
    <x v="3"/>
    <n v="15"/>
    <n v="11"/>
    <x v="28"/>
    <x v="17"/>
    <s v="paylater"/>
    <n v="1437630222"/>
  </r>
  <r>
    <x v="825"/>
    <x v="2"/>
    <x v="3"/>
    <n v="15"/>
    <n v="11"/>
    <x v="8"/>
    <x v="8"/>
    <s v="cashloan"/>
    <n v="0"/>
  </r>
  <r>
    <x v="825"/>
    <x v="2"/>
    <x v="3"/>
    <n v="15"/>
    <n v="11"/>
    <x v="26"/>
    <x v="16"/>
    <s v="cashloan"/>
    <n v="10000000"/>
  </r>
  <r>
    <x v="825"/>
    <x v="2"/>
    <x v="3"/>
    <n v="15"/>
    <n v="11"/>
    <x v="32"/>
    <x v="16"/>
    <s v="cashloan"/>
    <n v="0"/>
  </r>
  <r>
    <x v="825"/>
    <x v="2"/>
    <x v="3"/>
    <n v="15"/>
    <n v="11"/>
    <x v="2"/>
    <x v="2"/>
    <s v="cashloan"/>
    <n v="16632280000"/>
  </r>
  <r>
    <x v="825"/>
    <x v="2"/>
    <x v="3"/>
    <n v="15"/>
    <n v="11"/>
    <x v="17"/>
    <x v="9"/>
    <s v="cashloan"/>
    <n v="0"/>
  </r>
  <r>
    <x v="825"/>
    <x v="2"/>
    <x v="3"/>
    <n v="15"/>
    <n v="11"/>
    <x v="20"/>
    <x v="9"/>
    <s v="cashloan"/>
    <n v="0"/>
  </r>
  <r>
    <x v="825"/>
    <x v="2"/>
    <x v="3"/>
    <n v="15"/>
    <n v="11"/>
    <x v="21"/>
    <x v="9"/>
    <s v="cashloan"/>
    <n v="0"/>
  </r>
  <r>
    <x v="825"/>
    <x v="2"/>
    <x v="3"/>
    <n v="15"/>
    <n v="11"/>
    <x v="25"/>
    <x v="2"/>
    <s v="cashloan"/>
    <n v="0"/>
  </r>
  <r>
    <x v="825"/>
    <x v="2"/>
    <x v="3"/>
    <n v="15"/>
    <n v="11"/>
    <x v="0"/>
    <x v="0"/>
    <s v="payday"/>
    <n v="12623040000"/>
  </r>
  <r>
    <x v="825"/>
    <x v="2"/>
    <x v="3"/>
    <n v="15"/>
    <n v="11"/>
    <x v="7"/>
    <x v="7"/>
    <s v="paylater"/>
    <n v="187797328"/>
  </r>
  <r>
    <x v="825"/>
    <x v="2"/>
    <x v="3"/>
    <n v="15"/>
    <n v="11"/>
    <x v="1"/>
    <x v="1"/>
    <s v="cashloan"/>
    <n v="57750000"/>
  </r>
  <r>
    <x v="825"/>
    <x v="2"/>
    <x v="3"/>
    <n v="15"/>
    <n v="11"/>
    <x v="6"/>
    <x v="6"/>
    <s v="payday"/>
    <n v="30000000"/>
  </r>
  <r>
    <x v="825"/>
    <x v="2"/>
    <x v="3"/>
    <n v="15"/>
    <n v="11"/>
    <x v="18"/>
    <x v="15"/>
    <s v="cashloan"/>
    <n v="626120000"/>
  </r>
  <r>
    <x v="825"/>
    <x v="2"/>
    <x v="3"/>
    <n v="15"/>
    <n v="11"/>
    <x v="29"/>
    <x v="20"/>
    <s v="payday"/>
    <n v="302292000"/>
  </r>
  <r>
    <x v="825"/>
    <x v="2"/>
    <x v="3"/>
    <n v="15"/>
    <n v="11"/>
    <x v="19"/>
    <x v="12"/>
    <s v="paylater"/>
    <n v="323468087"/>
  </r>
  <r>
    <x v="825"/>
    <x v="2"/>
    <x v="3"/>
    <n v="15"/>
    <n v="11"/>
    <x v="24"/>
    <x v="18"/>
    <s v="cashloan"/>
    <n v="5508250000"/>
  </r>
  <r>
    <x v="825"/>
    <x v="2"/>
    <x v="3"/>
    <n v="15"/>
    <n v="11"/>
    <x v="30"/>
    <x v="21"/>
    <s v="payday"/>
    <n v="0"/>
  </r>
  <r>
    <x v="826"/>
    <x v="2"/>
    <x v="3"/>
    <n v="15"/>
    <n v="12"/>
    <x v="3"/>
    <x v="3"/>
    <s v="cashloan"/>
    <n v="671250000"/>
  </r>
  <r>
    <x v="826"/>
    <x v="2"/>
    <x v="3"/>
    <n v="15"/>
    <n v="12"/>
    <x v="11"/>
    <x v="10"/>
    <s v="paylater"/>
    <n v="316296496"/>
  </r>
  <r>
    <x v="826"/>
    <x v="2"/>
    <x v="3"/>
    <n v="15"/>
    <n v="12"/>
    <x v="12"/>
    <x v="11"/>
    <s v="cashloan"/>
    <n v="10894830000"/>
  </r>
  <r>
    <x v="826"/>
    <x v="2"/>
    <x v="3"/>
    <n v="15"/>
    <n v="12"/>
    <x v="5"/>
    <x v="5"/>
    <s v="overdraft"/>
    <n v="1236101463"/>
  </r>
  <r>
    <x v="826"/>
    <x v="2"/>
    <x v="3"/>
    <n v="15"/>
    <n v="12"/>
    <x v="27"/>
    <x v="19"/>
    <s v="payday"/>
    <n v="13592988000"/>
  </r>
  <r>
    <x v="826"/>
    <x v="2"/>
    <x v="3"/>
    <n v="15"/>
    <n v="12"/>
    <x v="15"/>
    <x v="14"/>
    <s v="paylater"/>
    <n v="0"/>
  </r>
  <r>
    <x v="826"/>
    <x v="2"/>
    <x v="3"/>
    <n v="15"/>
    <n v="12"/>
    <x v="31"/>
    <x v="22"/>
    <s v="cashloan"/>
    <n v="0"/>
  </r>
  <r>
    <x v="826"/>
    <x v="2"/>
    <x v="3"/>
    <n v="15"/>
    <n v="12"/>
    <x v="14"/>
    <x v="13"/>
    <s v="cashloan"/>
    <n v="3536440000"/>
  </r>
  <r>
    <x v="826"/>
    <x v="2"/>
    <x v="3"/>
    <n v="15"/>
    <n v="12"/>
    <x v="33"/>
    <x v="13"/>
    <s v="cashloan"/>
    <n v="564090000"/>
  </r>
  <r>
    <x v="826"/>
    <x v="2"/>
    <x v="3"/>
    <n v="15"/>
    <n v="12"/>
    <x v="23"/>
    <x v="17"/>
    <s v="paylater"/>
    <n v="6340708"/>
  </r>
  <r>
    <x v="826"/>
    <x v="2"/>
    <x v="3"/>
    <n v="15"/>
    <n v="12"/>
    <x v="28"/>
    <x v="17"/>
    <s v="paylater"/>
    <n v="1413464582"/>
  </r>
  <r>
    <x v="826"/>
    <x v="2"/>
    <x v="3"/>
    <n v="15"/>
    <n v="12"/>
    <x v="8"/>
    <x v="8"/>
    <s v="cashloan"/>
    <n v="0"/>
  </r>
  <r>
    <x v="826"/>
    <x v="2"/>
    <x v="3"/>
    <n v="15"/>
    <n v="12"/>
    <x v="26"/>
    <x v="16"/>
    <s v="cashloan"/>
    <n v="0"/>
  </r>
  <r>
    <x v="826"/>
    <x v="2"/>
    <x v="3"/>
    <n v="15"/>
    <n v="12"/>
    <x v="32"/>
    <x v="16"/>
    <s v="cashloan"/>
    <n v="0"/>
  </r>
  <r>
    <x v="826"/>
    <x v="2"/>
    <x v="3"/>
    <n v="15"/>
    <n v="12"/>
    <x v="2"/>
    <x v="2"/>
    <s v="cashloan"/>
    <n v="16581150000"/>
  </r>
  <r>
    <x v="826"/>
    <x v="2"/>
    <x v="3"/>
    <n v="15"/>
    <n v="12"/>
    <x v="17"/>
    <x v="9"/>
    <s v="cashloan"/>
    <n v="0"/>
  </r>
  <r>
    <x v="826"/>
    <x v="2"/>
    <x v="3"/>
    <n v="15"/>
    <n v="12"/>
    <x v="20"/>
    <x v="9"/>
    <s v="cashloan"/>
    <n v="0"/>
  </r>
  <r>
    <x v="826"/>
    <x v="2"/>
    <x v="3"/>
    <n v="15"/>
    <n v="12"/>
    <x v="21"/>
    <x v="9"/>
    <s v="cashloan"/>
    <n v="0"/>
  </r>
  <r>
    <x v="826"/>
    <x v="2"/>
    <x v="3"/>
    <n v="15"/>
    <n v="12"/>
    <x v="25"/>
    <x v="2"/>
    <s v="cashloan"/>
    <n v="0"/>
  </r>
  <r>
    <x v="826"/>
    <x v="2"/>
    <x v="3"/>
    <n v="15"/>
    <n v="12"/>
    <x v="0"/>
    <x v="0"/>
    <s v="payday"/>
    <n v="10937592000"/>
  </r>
  <r>
    <x v="826"/>
    <x v="2"/>
    <x v="3"/>
    <n v="15"/>
    <n v="12"/>
    <x v="7"/>
    <x v="7"/>
    <s v="paylater"/>
    <n v="197904553"/>
  </r>
  <r>
    <x v="826"/>
    <x v="2"/>
    <x v="3"/>
    <n v="15"/>
    <n v="12"/>
    <x v="1"/>
    <x v="1"/>
    <s v="cashloan"/>
    <n v="21000000"/>
  </r>
  <r>
    <x v="826"/>
    <x v="2"/>
    <x v="3"/>
    <n v="15"/>
    <n v="12"/>
    <x v="6"/>
    <x v="6"/>
    <s v="payday"/>
    <n v="45000000"/>
  </r>
  <r>
    <x v="826"/>
    <x v="2"/>
    <x v="3"/>
    <n v="15"/>
    <n v="12"/>
    <x v="18"/>
    <x v="15"/>
    <s v="cashloan"/>
    <n v="553580000"/>
  </r>
  <r>
    <x v="826"/>
    <x v="2"/>
    <x v="3"/>
    <n v="15"/>
    <n v="12"/>
    <x v="29"/>
    <x v="20"/>
    <s v="payday"/>
    <n v="275400000"/>
  </r>
  <r>
    <x v="826"/>
    <x v="2"/>
    <x v="3"/>
    <n v="15"/>
    <n v="12"/>
    <x v="19"/>
    <x v="12"/>
    <s v="paylater"/>
    <n v="249197333"/>
  </r>
  <r>
    <x v="826"/>
    <x v="2"/>
    <x v="3"/>
    <n v="15"/>
    <n v="12"/>
    <x v="24"/>
    <x v="18"/>
    <s v="cashloan"/>
    <n v="4706910000"/>
  </r>
  <r>
    <x v="826"/>
    <x v="2"/>
    <x v="3"/>
    <n v="15"/>
    <n v="12"/>
    <x v="30"/>
    <x v="21"/>
    <s v="payday"/>
    <n v="6480000"/>
  </r>
  <r>
    <x v="827"/>
    <x v="2"/>
    <x v="3"/>
    <n v="16"/>
    <n v="13"/>
    <x v="3"/>
    <x v="3"/>
    <s v="cashloan"/>
    <n v="438810000"/>
  </r>
  <r>
    <x v="827"/>
    <x v="2"/>
    <x v="3"/>
    <n v="16"/>
    <n v="13"/>
    <x v="11"/>
    <x v="10"/>
    <s v="paylater"/>
    <n v="273934417"/>
  </r>
  <r>
    <x v="827"/>
    <x v="2"/>
    <x v="3"/>
    <n v="16"/>
    <n v="13"/>
    <x v="12"/>
    <x v="11"/>
    <s v="cashloan"/>
    <n v="16424450000"/>
  </r>
  <r>
    <x v="827"/>
    <x v="2"/>
    <x v="3"/>
    <n v="16"/>
    <n v="13"/>
    <x v="5"/>
    <x v="5"/>
    <s v="overdraft"/>
    <n v="1602643991"/>
  </r>
  <r>
    <x v="827"/>
    <x v="2"/>
    <x v="3"/>
    <n v="16"/>
    <n v="13"/>
    <x v="27"/>
    <x v="19"/>
    <s v="payday"/>
    <n v="13723668000"/>
  </r>
  <r>
    <x v="827"/>
    <x v="2"/>
    <x v="3"/>
    <n v="16"/>
    <n v="13"/>
    <x v="15"/>
    <x v="14"/>
    <s v="paylater"/>
    <n v="0"/>
  </r>
  <r>
    <x v="827"/>
    <x v="2"/>
    <x v="3"/>
    <n v="16"/>
    <n v="13"/>
    <x v="31"/>
    <x v="22"/>
    <s v="cashloan"/>
    <n v="0"/>
  </r>
  <r>
    <x v="827"/>
    <x v="2"/>
    <x v="3"/>
    <n v="16"/>
    <n v="13"/>
    <x v="14"/>
    <x v="13"/>
    <s v="cashloan"/>
    <n v="3167440000"/>
  </r>
  <r>
    <x v="827"/>
    <x v="2"/>
    <x v="3"/>
    <n v="16"/>
    <n v="13"/>
    <x v="33"/>
    <x v="13"/>
    <s v="cashloan"/>
    <n v="848380000"/>
  </r>
  <r>
    <x v="827"/>
    <x v="2"/>
    <x v="3"/>
    <n v="16"/>
    <n v="13"/>
    <x v="23"/>
    <x v="17"/>
    <s v="paylater"/>
    <n v="5954006"/>
  </r>
  <r>
    <x v="827"/>
    <x v="2"/>
    <x v="3"/>
    <n v="16"/>
    <n v="13"/>
    <x v="28"/>
    <x v="17"/>
    <s v="paylater"/>
    <n v="879939666"/>
  </r>
  <r>
    <x v="827"/>
    <x v="2"/>
    <x v="3"/>
    <n v="16"/>
    <n v="13"/>
    <x v="8"/>
    <x v="8"/>
    <s v="cashloan"/>
    <n v="0"/>
  </r>
  <r>
    <x v="827"/>
    <x v="2"/>
    <x v="3"/>
    <n v="16"/>
    <n v="13"/>
    <x v="26"/>
    <x v="16"/>
    <s v="cashloan"/>
    <n v="52500000"/>
  </r>
  <r>
    <x v="827"/>
    <x v="2"/>
    <x v="3"/>
    <n v="16"/>
    <n v="13"/>
    <x v="32"/>
    <x v="16"/>
    <s v="cashloan"/>
    <n v="0"/>
  </r>
  <r>
    <x v="827"/>
    <x v="2"/>
    <x v="3"/>
    <n v="16"/>
    <n v="13"/>
    <x v="2"/>
    <x v="2"/>
    <s v="cashloan"/>
    <n v="17959910000"/>
  </r>
  <r>
    <x v="827"/>
    <x v="2"/>
    <x v="3"/>
    <n v="16"/>
    <n v="13"/>
    <x v="17"/>
    <x v="9"/>
    <s v="cashloan"/>
    <n v="0"/>
  </r>
  <r>
    <x v="827"/>
    <x v="2"/>
    <x v="3"/>
    <n v="16"/>
    <n v="13"/>
    <x v="20"/>
    <x v="9"/>
    <s v="cashloan"/>
    <n v="0"/>
  </r>
  <r>
    <x v="827"/>
    <x v="2"/>
    <x v="3"/>
    <n v="16"/>
    <n v="13"/>
    <x v="21"/>
    <x v="9"/>
    <s v="cashloan"/>
    <n v="0"/>
  </r>
  <r>
    <x v="827"/>
    <x v="2"/>
    <x v="3"/>
    <n v="16"/>
    <n v="13"/>
    <x v="25"/>
    <x v="2"/>
    <s v="cashloan"/>
    <n v="0"/>
  </r>
  <r>
    <x v="827"/>
    <x v="2"/>
    <x v="3"/>
    <n v="16"/>
    <n v="13"/>
    <x v="0"/>
    <x v="0"/>
    <s v="payday"/>
    <n v="10580652000"/>
  </r>
  <r>
    <x v="827"/>
    <x v="2"/>
    <x v="3"/>
    <n v="16"/>
    <n v="13"/>
    <x v="7"/>
    <x v="7"/>
    <s v="paylater"/>
    <n v="178900462"/>
  </r>
  <r>
    <x v="827"/>
    <x v="2"/>
    <x v="3"/>
    <n v="16"/>
    <n v="13"/>
    <x v="1"/>
    <x v="1"/>
    <s v="cashloan"/>
    <n v="31500000"/>
  </r>
  <r>
    <x v="827"/>
    <x v="2"/>
    <x v="3"/>
    <n v="16"/>
    <n v="13"/>
    <x v="6"/>
    <x v="6"/>
    <s v="payday"/>
    <n v="53000000"/>
  </r>
  <r>
    <x v="827"/>
    <x v="2"/>
    <x v="3"/>
    <n v="16"/>
    <n v="13"/>
    <x v="18"/>
    <x v="15"/>
    <s v="cashloan"/>
    <n v="537320000"/>
  </r>
  <r>
    <x v="827"/>
    <x v="2"/>
    <x v="3"/>
    <n v="16"/>
    <n v="13"/>
    <x v="29"/>
    <x v="20"/>
    <s v="payday"/>
    <n v="369684000"/>
  </r>
  <r>
    <x v="827"/>
    <x v="2"/>
    <x v="3"/>
    <n v="16"/>
    <n v="13"/>
    <x v="19"/>
    <x v="12"/>
    <s v="paylater"/>
    <n v="301895258"/>
  </r>
  <r>
    <x v="827"/>
    <x v="2"/>
    <x v="3"/>
    <n v="16"/>
    <n v="13"/>
    <x v="24"/>
    <x v="18"/>
    <s v="cashloan"/>
    <n v="5343780000"/>
  </r>
  <r>
    <x v="827"/>
    <x v="2"/>
    <x v="3"/>
    <n v="16"/>
    <n v="13"/>
    <x v="30"/>
    <x v="21"/>
    <s v="payday"/>
    <n v="2160000"/>
  </r>
  <r>
    <x v="828"/>
    <x v="2"/>
    <x v="3"/>
    <n v="16"/>
    <n v="14"/>
    <x v="3"/>
    <x v="3"/>
    <s v="cashloan"/>
    <n v="386090000"/>
  </r>
  <r>
    <x v="828"/>
    <x v="2"/>
    <x v="3"/>
    <n v="16"/>
    <n v="14"/>
    <x v="11"/>
    <x v="10"/>
    <s v="paylater"/>
    <n v="255411827"/>
  </r>
  <r>
    <x v="828"/>
    <x v="2"/>
    <x v="3"/>
    <n v="16"/>
    <n v="14"/>
    <x v="12"/>
    <x v="11"/>
    <s v="cashloan"/>
    <n v="14958530000"/>
  </r>
  <r>
    <x v="828"/>
    <x v="2"/>
    <x v="3"/>
    <n v="16"/>
    <n v="14"/>
    <x v="5"/>
    <x v="5"/>
    <s v="overdraft"/>
    <n v="1362590416"/>
  </r>
  <r>
    <x v="828"/>
    <x v="2"/>
    <x v="3"/>
    <n v="16"/>
    <n v="14"/>
    <x v="27"/>
    <x v="19"/>
    <s v="payday"/>
    <n v="13722588000"/>
  </r>
  <r>
    <x v="828"/>
    <x v="2"/>
    <x v="3"/>
    <n v="16"/>
    <n v="14"/>
    <x v="15"/>
    <x v="14"/>
    <s v="paylater"/>
    <n v="0"/>
  </r>
  <r>
    <x v="828"/>
    <x v="2"/>
    <x v="3"/>
    <n v="16"/>
    <n v="14"/>
    <x v="31"/>
    <x v="22"/>
    <s v="cashloan"/>
    <n v="90000000"/>
  </r>
  <r>
    <x v="828"/>
    <x v="2"/>
    <x v="3"/>
    <n v="16"/>
    <n v="14"/>
    <x v="14"/>
    <x v="13"/>
    <s v="cashloan"/>
    <n v="2837450000"/>
  </r>
  <r>
    <x v="828"/>
    <x v="2"/>
    <x v="3"/>
    <n v="16"/>
    <n v="14"/>
    <x v="33"/>
    <x v="13"/>
    <s v="cashloan"/>
    <n v="567530000"/>
  </r>
  <r>
    <x v="828"/>
    <x v="2"/>
    <x v="3"/>
    <n v="16"/>
    <n v="14"/>
    <x v="23"/>
    <x v="17"/>
    <s v="paylater"/>
    <n v="1828000"/>
  </r>
  <r>
    <x v="828"/>
    <x v="2"/>
    <x v="3"/>
    <n v="16"/>
    <n v="14"/>
    <x v="28"/>
    <x v="17"/>
    <s v="paylater"/>
    <n v="932321018"/>
  </r>
  <r>
    <x v="828"/>
    <x v="2"/>
    <x v="3"/>
    <n v="16"/>
    <n v="14"/>
    <x v="8"/>
    <x v="8"/>
    <s v="cashloan"/>
    <n v="0"/>
  </r>
  <r>
    <x v="828"/>
    <x v="2"/>
    <x v="3"/>
    <n v="16"/>
    <n v="14"/>
    <x v="26"/>
    <x v="16"/>
    <s v="cashloan"/>
    <n v="93250000"/>
  </r>
  <r>
    <x v="828"/>
    <x v="2"/>
    <x v="3"/>
    <n v="16"/>
    <n v="14"/>
    <x v="32"/>
    <x v="16"/>
    <s v="cashloan"/>
    <n v="0"/>
  </r>
  <r>
    <x v="828"/>
    <x v="2"/>
    <x v="3"/>
    <n v="16"/>
    <n v="14"/>
    <x v="2"/>
    <x v="2"/>
    <s v="cashloan"/>
    <n v="18714060000"/>
  </r>
  <r>
    <x v="828"/>
    <x v="2"/>
    <x v="3"/>
    <n v="16"/>
    <n v="14"/>
    <x v="17"/>
    <x v="9"/>
    <s v="cashloan"/>
    <n v="0"/>
  </r>
  <r>
    <x v="828"/>
    <x v="2"/>
    <x v="3"/>
    <n v="16"/>
    <n v="14"/>
    <x v="20"/>
    <x v="9"/>
    <s v="cashloan"/>
    <n v="0"/>
  </r>
  <r>
    <x v="828"/>
    <x v="2"/>
    <x v="3"/>
    <n v="16"/>
    <n v="14"/>
    <x v="21"/>
    <x v="9"/>
    <s v="cashloan"/>
    <n v="0"/>
  </r>
  <r>
    <x v="828"/>
    <x v="2"/>
    <x v="3"/>
    <n v="16"/>
    <n v="14"/>
    <x v="25"/>
    <x v="2"/>
    <s v="cashloan"/>
    <n v="0"/>
  </r>
  <r>
    <x v="828"/>
    <x v="2"/>
    <x v="3"/>
    <n v="16"/>
    <n v="14"/>
    <x v="0"/>
    <x v="0"/>
    <s v="payday"/>
    <n v="10200060000"/>
  </r>
  <r>
    <x v="828"/>
    <x v="2"/>
    <x v="3"/>
    <n v="16"/>
    <n v="14"/>
    <x v="7"/>
    <x v="7"/>
    <s v="paylater"/>
    <n v="157377981"/>
  </r>
  <r>
    <x v="828"/>
    <x v="2"/>
    <x v="3"/>
    <n v="16"/>
    <n v="14"/>
    <x v="1"/>
    <x v="1"/>
    <s v="cashloan"/>
    <n v="57750000"/>
  </r>
  <r>
    <x v="828"/>
    <x v="2"/>
    <x v="3"/>
    <n v="16"/>
    <n v="14"/>
    <x v="6"/>
    <x v="6"/>
    <s v="payday"/>
    <n v="52000000"/>
  </r>
  <r>
    <x v="828"/>
    <x v="2"/>
    <x v="3"/>
    <n v="16"/>
    <n v="14"/>
    <x v="18"/>
    <x v="15"/>
    <s v="cashloan"/>
    <n v="658790000"/>
  </r>
  <r>
    <x v="828"/>
    <x v="2"/>
    <x v="3"/>
    <n v="16"/>
    <n v="14"/>
    <x v="29"/>
    <x v="20"/>
    <s v="payday"/>
    <n v="349920000"/>
  </r>
  <r>
    <x v="828"/>
    <x v="2"/>
    <x v="3"/>
    <n v="16"/>
    <n v="14"/>
    <x v="19"/>
    <x v="12"/>
    <s v="paylater"/>
    <n v="252671303"/>
  </r>
  <r>
    <x v="828"/>
    <x v="2"/>
    <x v="3"/>
    <n v="16"/>
    <n v="14"/>
    <x v="24"/>
    <x v="18"/>
    <s v="cashloan"/>
    <n v="5869520000"/>
  </r>
  <r>
    <x v="828"/>
    <x v="2"/>
    <x v="3"/>
    <n v="16"/>
    <n v="14"/>
    <x v="30"/>
    <x v="21"/>
    <s v="payday"/>
    <n v="6480000"/>
  </r>
  <r>
    <x v="829"/>
    <x v="2"/>
    <x v="3"/>
    <n v="16"/>
    <n v="15"/>
    <x v="3"/>
    <x v="3"/>
    <s v="cashloan"/>
    <n v="485090000"/>
  </r>
  <r>
    <x v="829"/>
    <x v="2"/>
    <x v="3"/>
    <n v="16"/>
    <n v="15"/>
    <x v="11"/>
    <x v="10"/>
    <s v="paylater"/>
    <n v="255129496"/>
  </r>
  <r>
    <x v="829"/>
    <x v="2"/>
    <x v="3"/>
    <n v="16"/>
    <n v="15"/>
    <x v="12"/>
    <x v="11"/>
    <s v="cashloan"/>
    <n v="17456220000"/>
  </r>
  <r>
    <x v="829"/>
    <x v="2"/>
    <x v="3"/>
    <n v="16"/>
    <n v="15"/>
    <x v="5"/>
    <x v="5"/>
    <s v="overdraft"/>
    <n v="1675318227"/>
  </r>
  <r>
    <x v="829"/>
    <x v="2"/>
    <x v="3"/>
    <n v="16"/>
    <n v="15"/>
    <x v="27"/>
    <x v="19"/>
    <s v="payday"/>
    <n v="15747264000"/>
  </r>
  <r>
    <x v="829"/>
    <x v="2"/>
    <x v="3"/>
    <n v="16"/>
    <n v="15"/>
    <x v="15"/>
    <x v="14"/>
    <s v="paylater"/>
    <n v="0"/>
  </r>
  <r>
    <x v="829"/>
    <x v="2"/>
    <x v="3"/>
    <n v="16"/>
    <n v="15"/>
    <x v="31"/>
    <x v="22"/>
    <s v="cashloan"/>
    <n v="0"/>
  </r>
  <r>
    <x v="829"/>
    <x v="2"/>
    <x v="3"/>
    <n v="16"/>
    <n v="15"/>
    <x v="14"/>
    <x v="13"/>
    <s v="cashloan"/>
    <n v="2574730000"/>
  </r>
  <r>
    <x v="829"/>
    <x v="2"/>
    <x v="3"/>
    <n v="16"/>
    <n v="15"/>
    <x v="33"/>
    <x v="13"/>
    <s v="cashloan"/>
    <n v="901760000"/>
  </r>
  <r>
    <x v="829"/>
    <x v="2"/>
    <x v="3"/>
    <n v="16"/>
    <n v="15"/>
    <x v="23"/>
    <x v="17"/>
    <s v="paylater"/>
    <n v="5093685"/>
  </r>
  <r>
    <x v="829"/>
    <x v="2"/>
    <x v="3"/>
    <n v="16"/>
    <n v="15"/>
    <x v="28"/>
    <x v="17"/>
    <s v="paylater"/>
    <n v="995142647"/>
  </r>
  <r>
    <x v="829"/>
    <x v="2"/>
    <x v="3"/>
    <n v="16"/>
    <n v="15"/>
    <x v="8"/>
    <x v="8"/>
    <s v="cashloan"/>
    <n v="0"/>
  </r>
  <r>
    <x v="829"/>
    <x v="2"/>
    <x v="3"/>
    <n v="16"/>
    <n v="15"/>
    <x v="26"/>
    <x v="16"/>
    <s v="cashloan"/>
    <n v="67500000"/>
  </r>
  <r>
    <x v="829"/>
    <x v="2"/>
    <x v="3"/>
    <n v="16"/>
    <n v="15"/>
    <x v="32"/>
    <x v="16"/>
    <s v="cashloan"/>
    <n v="0"/>
  </r>
  <r>
    <x v="829"/>
    <x v="2"/>
    <x v="3"/>
    <n v="16"/>
    <n v="15"/>
    <x v="2"/>
    <x v="2"/>
    <s v="cashloan"/>
    <n v="19516940000"/>
  </r>
  <r>
    <x v="829"/>
    <x v="2"/>
    <x v="3"/>
    <n v="16"/>
    <n v="15"/>
    <x v="17"/>
    <x v="9"/>
    <s v="cashloan"/>
    <n v="0"/>
  </r>
  <r>
    <x v="829"/>
    <x v="2"/>
    <x v="3"/>
    <n v="16"/>
    <n v="15"/>
    <x v="20"/>
    <x v="9"/>
    <s v="cashloan"/>
    <n v="0"/>
  </r>
  <r>
    <x v="829"/>
    <x v="2"/>
    <x v="3"/>
    <n v="16"/>
    <n v="15"/>
    <x v="21"/>
    <x v="9"/>
    <s v="cashloan"/>
    <n v="0"/>
  </r>
  <r>
    <x v="829"/>
    <x v="2"/>
    <x v="3"/>
    <n v="16"/>
    <n v="15"/>
    <x v="25"/>
    <x v="2"/>
    <s v="cashloan"/>
    <n v="0"/>
  </r>
  <r>
    <x v="829"/>
    <x v="2"/>
    <x v="3"/>
    <n v="16"/>
    <n v="15"/>
    <x v="0"/>
    <x v="0"/>
    <s v="payday"/>
    <n v="12952548000"/>
  </r>
  <r>
    <x v="829"/>
    <x v="2"/>
    <x v="3"/>
    <n v="16"/>
    <n v="15"/>
    <x v="7"/>
    <x v="7"/>
    <s v="paylater"/>
    <n v="173992190"/>
  </r>
  <r>
    <x v="829"/>
    <x v="2"/>
    <x v="3"/>
    <n v="16"/>
    <n v="15"/>
    <x v="1"/>
    <x v="1"/>
    <s v="cashloan"/>
    <n v="0"/>
  </r>
  <r>
    <x v="829"/>
    <x v="2"/>
    <x v="3"/>
    <n v="16"/>
    <n v="15"/>
    <x v="6"/>
    <x v="6"/>
    <s v="payday"/>
    <n v="33000000"/>
  </r>
  <r>
    <x v="829"/>
    <x v="2"/>
    <x v="3"/>
    <n v="16"/>
    <n v="15"/>
    <x v="18"/>
    <x v="15"/>
    <s v="cashloan"/>
    <n v="743090000"/>
  </r>
  <r>
    <x v="829"/>
    <x v="2"/>
    <x v="3"/>
    <n v="16"/>
    <n v="15"/>
    <x v="29"/>
    <x v="20"/>
    <s v="payday"/>
    <n v="327996000"/>
  </r>
  <r>
    <x v="829"/>
    <x v="2"/>
    <x v="3"/>
    <n v="16"/>
    <n v="15"/>
    <x v="19"/>
    <x v="12"/>
    <s v="paylater"/>
    <n v="270805620"/>
  </r>
  <r>
    <x v="829"/>
    <x v="2"/>
    <x v="3"/>
    <n v="16"/>
    <n v="15"/>
    <x v="24"/>
    <x v="18"/>
    <s v="cashloan"/>
    <n v="6386390000"/>
  </r>
  <r>
    <x v="829"/>
    <x v="2"/>
    <x v="3"/>
    <n v="16"/>
    <n v="15"/>
    <x v="30"/>
    <x v="21"/>
    <s v="payday"/>
    <n v="8640000"/>
  </r>
  <r>
    <x v="830"/>
    <x v="2"/>
    <x v="3"/>
    <n v="16"/>
    <n v="16"/>
    <x v="3"/>
    <x v="3"/>
    <s v="cashloan"/>
    <n v="394650000"/>
  </r>
  <r>
    <x v="830"/>
    <x v="2"/>
    <x v="3"/>
    <n v="16"/>
    <n v="16"/>
    <x v="11"/>
    <x v="10"/>
    <s v="paylater"/>
    <n v="252673938"/>
  </r>
  <r>
    <x v="830"/>
    <x v="2"/>
    <x v="3"/>
    <n v="16"/>
    <n v="16"/>
    <x v="12"/>
    <x v="11"/>
    <s v="cashloan"/>
    <n v="15575360000"/>
  </r>
  <r>
    <x v="830"/>
    <x v="2"/>
    <x v="3"/>
    <n v="16"/>
    <n v="16"/>
    <x v="5"/>
    <x v="5"/>
    <s v="overdraft"/>
    <n v="1378132749"/>
  </r>
  <r>
    <x v="830"/>
    <x v="2"/>
    <x v="3"/>
    <n v="16"/>
    <n v="16"/>
    <x v="27"/>
    <x v="19"/>
    <s v="payday"/>
    <n v="14120028000"/>
  </r>
  <r>
    <x v="830"/>
    <x v="2"/>
    <x v="3"/>
    <n v="16"/>
    <n v="16"/>
    <x v="15"/>
    <x v="14"/>
    <s v="paylater"/>
    <n v="0"/>
  </r>
  <r>
    <x v="830"/>
    <x v="2"/>
    <x v="3"/>
    <n v="16"/>
    <n v="16"/>
    <x v="31"/>
    <x v="22"/>
    <s v="cashloan"/>
    <n v="0"/>
  </r>
  <r>
    <x v="830"/>
    <x v="2"/>
    <x v="3"/>
    <n v="16"/>
    <n v="16"/>
    <x v="14"/>
    <x v="13"/>
    <s v="cashloan"/>
    <n v="2827170000"/>
  </r>
  <r>
    <x v="830"/>
    <x v="2"/>
    <x v="3"/>
    <n v="16"/>
    <n v="16"/>
    <x v="33"/>
    <x v="13"/>
    <s v="cashloan"/>
    <n v="850760000"/>
  </r>
  <r>
    <x v="830"/>
    <x v="2"/>
    <x v="3"/>
    <n v="16"/>
    <n v="16"/>
    <x v="23"/>
    <x v="17"/>
    <s v="paylater"/>
    <n v="11266593"/>
  </r>
  <r>
    <x v="830"/>
    <x v="2"/>
    <x v="3"/>
    <n v="16"/>
    <n v="16"/>
    <x v="28"/>
    <x v="17"/>
    <s v="paylater"/>
    <n v="864715463"/>
  </r>
  <r>
    <x v="830"/>
    <x v="2"/>
    <x v="3"/>
    <n v="16"/>
    <n v="16"/>
    <x v="8"/>
    <x v="8"/>
    <s v="cashloan"/>
    <n v="0"/>
  </r>
  <r>
    <x v="830"/>
    <x v="2"/>
    <x v="3"/>
    <n v="16"/>
    <n v="16"/>
    <x v="26"/>
    <x v="16"/>
    <s v="cashloan"/>
    <n v="40000000"/>
  </r>
  <r>
    <x v="830"/>
    <x v="2"/>
    <x v="3"/>
    <n v="16"/>
    <n v="16"/>
    <x v="32"/>
    <x v="16"/>
    <s v="cashloan"/>
    <n v="0"/>
  </r>
  <r>
    <x v="830"/>
    <x v="2"/>
    <x v="3"/>
    <n v="16"/>
    <n v="16"/>
    <x v="2"/>
    <x v="2"/>
    <s v="cashloan"/>
    <n v="18022650000"/>
  </r>
  <r>
    <x v="830"/>
    <x v="2"/>
    <x v="3"/>
    <n v="16"/>
    <n v="16"/>
    <x v="17"/>
    <x v="9"/>
    <s v="cashloan"/>
    <n v="0"/>
  </r>
  <r>
    <x v="830"/>
    <x v="2"/>
    <x v="3"/>
    <n v="16"/>
    <n v="16"/>
    <x v="20"/>
    <x v="9"/>
    <s v="cashloan"/>
    <n v="0"/>
  </r>
  <r>
    <x v="830"/>
    <x v="2"/>
    <x v="3"/>
    <n v="16"/>
    <n v="16"/>
    <x v="21"/>
    <x v="9"/>
    <s v="cashloan"/>
    <n v="0"/>
  </r>
  <r>
    <x v="830"/>
    <x v="2"/>
    <x v="3"/>
    <n v="16"/>
    <n v="16"/>
    <x v="25"/>
    <x v="2"/>
    <s v="cashloan"/>
    <n v="0"/>
  </r>
  <r>
    <x v="830"/>
    <x v="2"/>
    <x v="3"/>
    <n v="16"/>
    <n v="16"/>
    <x v="0"/>
    <x v="0"/>
    <s v="payday"/>
    <n v="11571228000"/>
  </r>
  <r>
    <x v="830"/>
    <x v="2"/>
    <x v="3"/>
    <n v="16"/>
    <n v="16"/>
    <x v="7"/>
    <x v="7"/>
    <s v="paylater"/>
    <n v="180321316"/>
  </r>
  <r>
    <x v="830"/>
    <x v="2"/>
    <x v="3"/>
    <n v="16"/>
    <n v="16"/>
    <x v="1"/>
    <x v="1"/>
    <s v="cashloan"/>
    <n v="42000000"/>
  </r>
  <r>
    <x v="830"/>
    <x v="2"/>
    <x v="3"/>
    <n v="16"/>
    <n v="16"/>
    <x v="6"/>
    <x v="6"/>
    <s v="payday"/>
    <n v="38000000"/>
  </r>
  <r>
    <x v="830"/>
    <x v="2"/>
    <x v="3"/>
    <n v="16"/>
    <n v="16"/>
    <x v="18"/>
    <x v="15"/>
    <s v="cashloan"/>
    <n v="654280000"/>
  </r>
  <r>
    <x v="830"/>
    <x v="2"/>
    <x v="3"/>
    <n v="16"/>
    <n v="16"/>
    <x v="29"/>
    <x v="20"/>
    <s v="payday"/>
    <n v="282312000"/>
  </r>
  <r>
    <x v="830"/>
    <x v="2"/>
    <x v="3"/>
    <n v="16"/>
    <n v="16"/>
    <x v="19"/>
    <x v="12"/>
    <s v="paylater"/>
    <n v="248742818"/>
  </r>
  <r>
    <x v="830"/>
    <x v="2"/>
    <x v="3"/>
    <n v="16"/>
    <n v="16"/>
    <x v="24"/>
    <x v="18"/>
    <s v="cashloan"/>
    <n v="5763210000"/>
  </r>
  <r>
    <x v="830"/>
    <x v="2"/>
    <x v="3"/>
    <n v="16"/>
    <n v="16"/>
    <x v="30"/>
    <x v="21"/>
    <s v="payday"/>
    <n v="6480000"/>
  </r>
  <r>
    <x v="831"/>
    <x v="2"/>
    <x v="3"/>
    <n v="16"/>
    <n v="17"/>
    <x v="3"/>
    <x v="3"/>
    <s v="cashloan"/>
    <n v="431120000"/>
  </r>
  <r>
    <x v="831"/>
    <x v="2"/>
    <x v="3"/>
    <n v="16"/>
    <n v="17"/>
    <x v="11"/>
    <x v="10"/>
    <s v="paylater"/>
    <n v="257394445"/>
  </r>
  <r>
    <x v="831"/>
    <x v="2"/>
    <x v="3"/>
    <n v="16"/>
    <n v="17"/>
    <x v="12"/>
    <x v="11"/>
    <s v="cashloan"/>
    <n v="13467110000"/>
  </r>
  <r>
    <x v="831"/>
    <x v="2"/>
    <x v="3"/>
    <n v="16"/>
    <n v="17"/>
    <x v="5"/>
    <x v="5"/>
    <s v="overdraft"/>
    <n v="1237946176"/>
  </r>
  <r>
    <x v="831"/>
    <x v="2"/>
    <x v="3"/>
    <n v="16"/>
    <n v="17"/>
    <x v="27"/>
    <x v="19"/>
    <s v="payday"/>
    <n v="13727232000"/>
  </r>
  <r>
    <x v="831"/>
    <x v="2"/>
    <x v="3"/>
    <n v="16"/>
    <n v="17"/>
    <x v="15"/>
    <x v="14"/>
    <s v="paylater"/>
    <n v="0"/>
  </r>
  <r>
    <x v="831"/>
    <x v="2"/>
    <x v="3"/>
    <n v="16"/>
    <n v="17"/>
    <x v="31"/>
    <x v="22"/>
    <s v="cashloan"/>
    <n v="90000000"/>
  </r>
  <r>
    <x v="831"/>
    <x v="2"/>
    <x v="3"/>
    <n v="16"/>
    <n v="17"/>
    <x v="14"/>
    <x v="13"/>
    <s v="cashloan"/>
    <n v="2383890000"/>
  </r>
  <r>
    <x v="831"/>
    <x v="2"/>
    <x v="3"/>
    <n v="16"/>
    <n v="17"/>
    <x v="33"/>
    <x v="13"/>
    <s v="cashloan"/>
    <n v="1076550000"/>
  </r>
  <r>
    <x v="831"/>
    <x v="2"/>
    <x v="3"/>
    <n v="16"/>
    <n v="17"/>
    <x v="23"/>
    <x v="17"/>
    <s v="paylater"/>
    <n v="2077000"/>
  </r>
  <r>
    <x v="831"/>
    <x v="2"/>
    <x v="3"/>
    <n v="16"/>
    <n v="17"/>
    <x v="28"/>
    <x v="17"/>
    <s v="paylater"/>
    <n v="1001350918"/>
  </r>
  <r>
    <x v="831"/>
    <x v="2"/>
    <x v="3"/>
    <n v="16"/>
    <n v="17"/>
    <x v="8"/>
    <x v="8"/>
    <s v="cashloan"/>
    <n v="0"/>
  </r>
  <r>
    <x v="831"/>
    <x v="2"/>
    <x v="3"/>
    <n v="16"/>
    <n v="17"/>
    <x v="26"/>
    <x v="16"/>
    <s v="cashloan"/>
    <n v="63000000"/>
  </r>
  <r>
    <x v="831"/>
    <x v="2"/>
    <x v="3"/>
    <n v="16"/>
    <n v="17"/>
    <x v="32"/>
    <x v="16"/>
    <s v="cashloan"/>
    <n v="0"/>
  </r>
  <r>
    <x v="831"/>
    <x v="2"/>
    <x v="3"/>
    <n v="16"/>
    <n v="17"/>
    <x v="2"/>
    <x v="2"/>
    <s v="cashloan"/>
    <n v="17459440000"/>
  </r>
  <r>
    <x v="831"/>
    <x v="2"/>
    <x v="3"/>
    <n v="16"/>
    <n v="17"/>
    <x v="17"/>
    <x v="9"/>
    <s v="cashloan"/>
    <n v="0"/>
  </r>
  <r>
    <x v="831"/>
    <x v="2"/>
    <x v="3"/>
    <n v="16"/>
    <n v="17"/>
    <x v="20"/>
    <x v="9"/>
    <s v="cashloan"/>
    <n v="0"/>
  </r>
  <r>
    <x v="831"/>
    <x v="2"/>
    <x v="3"/>
    <n v="16"/>
    <n v="17"/>
    <x v="21"/>
    <x v="9"/>
    <s v="cashloan"/>
    <n v="0"/>
  </r>
  <r>
    <x v="831"/>
    <x v="2"/>
    <x v="3"/>
    <n v="16"/>
    <n v="17"/>
    <x v="25"/>
    <x v="2"/>
    <s v="cashloan"/>
    <n v="0"/>
  </r>
  <r>
    <x v="831"/>
    <x v="2"/>
    <x v="3"/>
    <n v="16"/>
    <n v="17"/>
    <x v="0"/>
    <x v="0"/>
    <s v="payday"/>
    <n v="10529244000"/>
  </r>
  <r>
    <x v="831"/>
    <x v="2"/>
    <x v="3"/>
    <n v="16"/>
    <n v="17"/>
    <x v="7"/>
    <x v="7"/>
    <s v="paylater"/>
    <n v="154684658"/>
  </r>
  <r>
    <x v="831"/>
    <x v="2"/>
    <x v="3"/>
    <n v="16"/>
    <n v="17"/>
    <x v="1"/>
    <x v="1"/>
    <s v="cashloan"/>
    <n v="30500000"/>
  </r>
  <r>
    <x v="831"/>
    <x v="2"/>
    <x v="3"/>
    <n v="16"/>
    <n v="17"/>
    <x v="6"/>
    <x v="6"/>
    <s v="payday"/>
    <n v="14000000"/>
  </r>
  <r>
    <x v="831"/>
    <x v="2"/>
    <x v="3"/>
    <n v="16"/>
    <n v="17"/>
    <x v="18"/>
    <x v="15"/>
    <s v="cashloan"/>
    <n v="1043820000"/>
  </r>
  <r>
    <x v="831"/>
    <x v="2"/>
    <x v="3"/>
    <n v="16"/>
    <n v="17"/>
    <x v="29"/>
    <x v="20"/>
    <s v="payday"/>
    <n v="363852000"/>
  </r>
  <r>
    <x v="831"/>
    <x v="2"/>
    <x v="3"/>
    <n v="16"/>
    <n v="17"/>
    <x v="19"/>
    <x v="12"/>
    <s v="paylater"/>
    <n v="227579849"/>
  </r>
  <r>
    <x v="831"/>
    <x v="2"/>
    <x v="3"/>
    <n v="16"/>
    <n v="17"/>
    <x v="24"/>
    <x v="18"/>
    <s v="cashloan"/>
    <n v="5666300000"/>
  </r>
  <r>
    <x v="831"/>
    <x v="2"/>
    <x v="3"/>
    <n v="16"/>
    <n v="17"/>
    <x v="30"/>
    <x v="21"/>
    <s v="payday"/>
    <n v="0"/>
  </r>
  <r>
    <x v="832"/>
    <x v="2"/>
    <x v="3"/>
    <n v="16"/>
    <n v="18"/>
    <x v="3"/>
    <x v="3"/>
    <s v="cashloan"/>
    <n v="490320000"/>
  </r>
  <r>
    <x v="832"/>
    <x v="2"/>
    <x v="3"/>
    <n v="16"/>
    <n v="18"/>
    <x v="11"/>
    <x v="10"/>
    <s v="paylater"/>
    <n v="249342174"/>
  </r>
  <r>
    <x v="832"/>
    <x v="2"/>
    <x v="3"/>
    <n v="16"/>
    <n v="18"/>
    <x v="12"/>
    <x v="11"/>
    <s v="cashloan"/>
    <n v="12698440000"/>
  </r>
  <r>
    <x v="832"/>
    <x v="2"/>
    <x v="3"/>
    <n v="16"/>
    <n v="18"/>
    <x v="5"/>
    <x v="5"/>
    <s v="overdraft"/>
    <n v="1188494503"/>
  </r>
  <r>
    <x v="832"/>
    <x v="2"/>
    <x v="3"/>
    <n v="16"/>
    <n v="18"/>
    <x v="27"/>
    <x v="19"/>
    <s v="payday"/>
    <n v="12928356000"/>
  </r>
  <r>
    <x v="832"/>
    <x v="2"/>
    <x v="3"/>
    <n v="16"/>
    <n v="18"/>
    <x v="15"/>
    <x v="14"/>
    <s v="paylater"/>
    <n v="0"/>
  </r>
  <r>
    <x v="832"/>
    <x v="2"/>
    <x v="3"/>
    <n v="16"/>
    <n v="18"/>
    <x v="31"/>
    <x v="22"/>
    <s v="cashloan"/>
    <n v="0"/>
  </r>
  <r>
    <x v="832"/>
    <x v="2"/>
    <x v="3"/>
    <n v="16"/>
    <n v="18"/>
    <x v="14"/>
    <x v="13"/>
    <s v="cashloan"/>
    <n v="2279150000"/>
  </r>
  <r>
    <x v="832"/>
    <x v="2"/>
    <x v="3"/>
    <n v="16"/>
    <n v="18"/>
    <x v="33"/>
    <x v="13"/>
    <s v="cashloan"/>
    <n v="939210000"/>
  </r>
  <r>
    <x v="832"/>
    <x v="2"/>
    <x v="3"/>
    <n v="16"/>
    <n v="18"/>
    <x v="23"/>
    <x v="17"/>
    <s v="paylater"/>
    <n v="19197095"/>
  </r>
  <r>
    <x v="832"/>
    <x v="2"/>
    <x v="3"/>
    <n v="16"/>
    <n v="18"/>
    <x v="28"/>
    <x v="17"/>
    <s v="paylater"/>
    <n v="1276263506"/>
  </r>
  <r>
    <x v="832"/>
    <x v="2"/>
    <x v="3"/>
    <n v="16"/>
    <n v="18"/>
    <x v="8"/>
    <x v="8"/>
    <s v="cashloan"/>
    <n v="0"/>
  </r>
  <r>
    <x v="832"/>
    <x v="2"/>
    <x v="3"/>
    <n v="16"/>
    <n v="18"/>
    <x v="26"/>
    <x v="16"/>
    <s v="cashloan"/>
    <n v="77700000"/>
  </r>
  <r>
    <x v="832"/>
    <x v="2"/>
    <x v="3"/>
    <n v="16"/>
    <n v="18"/>
    <x v="32"/>
    <x v="16"/>
    <s v="cashloan"/>
    <n v="0"/>
  </r>
  <r>
    <x v="832"/>
    <x v="2"/>
    <x v="3"/>
    <n v="16"/>
    <n v="18"/>
    <x v="2"/>
    <x v="2"/>
    <s v="cashloan"/>
    <n v="14181630000"/>
  </r>
  <r>
    <x v="832"/>
    <x v="2"/>
    <x v="3"/>
    <n v="16"/>
    <n v="18"/>
    <x v="17"/>
    <x v="9"/>
    <s v="cashloan"/>
    <n v="0"/>
  </r>
  <r>
    <x v="832"/>
    <x v="2"/>
    <x v="3"/>
    <n v="16"/>
    <n v="18"/>
    <x v="20"/>
    <x v="9"/>
    <s v="cashloan"/>
    <n v="0"/>
  </r>
  <r>
    <x v="832"/>
    <x v="2"/>
    <x v="3"/>
    <n v="16"/>
    <n v="18"/>
    <x v="21"/>
    <x v="9"/>
    <s v="cashloan"/>
    <n v="0"/>
  </r>
  <r>
    <x v="832"/>
    <x v="2"/>
    <x v="3"/>
    <n v="16"/>
    <n v="18"/>
    <x v="25"/>
    <x v="2"/>
    <s v="cashloan"/>
    <n v="0"/>
  </r>
  <r>
    <x v="832"/>
    <x v="2"/>
    <x v="3"/>
    <n v="16"/>
    <n v="18"/>
    <x v="0"/>
    <x v="0"/>
    <s v="payday"/>
    <n v="10708632000"/>
  </r>
  <r>
    <x v="832"/>
    <x v="2"/>
    <x v="3"/>
    <n v="16"/>
    <n v="18"/>
    <x v="7"/>
    <x v="7"/>
    <s v="paylater"/>
    <n v="122729974"/>
  </r>
  <r>
    <x v="832"/>
    <x v="2"/>
    <x v="3"/>
    <n v="16"/>
    <n v="18"/>
    <x v="1"/>
    <x v="1"/>
    <s v="cashloan"/>
    <n v="53550000"/>
  </r>
  <r>
    <x v="832"/>
    <x v="2"/>
    <x v="3"/>
    <n v="16"/>
    <n v="18"/>
    <x v="6"/>
    <x v="6"/>
    <s v="payday"/>
    <n v="35000000"/>
  </r>
  <r>
    <x v="832"/>
    <x v="2"/>
    <x v="3"/>
    <n v="16"/>
    <n v="18"/>
    <x v="18"/>
    <x v="15"/>
    <s v="cashloan"/>
    <n v="655810000"/>
  </r>
  <r>
    <x v="832"/>
    <x v="2"/>
    <x v="3"/>
    <n v="16"/>
    <n v="18"/>
    <x v="29"/>
    <x v="20"/>
    <s v="payday"/>
    <n v="240948000"/>
  </r>
  <r>
    <x v="832"/>
    <x v="2"/>
    <x v="3"/>
    <n v="16"/>
    <n v="18"/>
    <x v="19"/>
    <x v="12"/>
    <s v="paylater"/>
    <n v="162104649"/>
  </r>
  <r>
    <x v="832"/>
    <x v="2"/>
    <x v="3"/>
    <n v="16"/>
    <n v="18"/>
    <x v="24"/>
    <x v="18"/>
    <s v="cashloan"/>
    <n v="4977120000"/>
  </r>
  <r>
    <x v="832"/>
    <x v="2"/>
    <x v="3"/>
    <n v="16"/>
    <n v="18"/>
    <x v="30"/>
    <x v="21"/>
    <s v="payday"/>
    <n v="0"/>
  </r>
  <r>
    <x v="833"/>
    <x v="2"/>
    <x v="3"/>
    <n v="16"/>
    <n v="19"/>
    <x v="3"/>
    <x v="3"/>
    <s v="cashloan"/>
    <n v="569780000"/>
  </r>
  <r>
    <x v="833"/>
    <x v="2"/>
    <x v="3"/>
    <n v="16"/>
    <n v="19"/>
    <x v="11"/>
    <x v="10"/>
    <s v="paylater"/>
    <n v="273767079"/>
  </r>
  <r>
    <x v="833"/>
    <x v="2"/>
    <x v="3"/>
    <n v="16"/>
    <n v="19"/>
    <x v="12"/>
    <x v="11"/>
    <s v="cashloan"/>
    <n v="11894970000"/>
  </r>
  <r>
    <x v="833"/>
    <x v="2"/>
    <x v="3"/>
    <n v="16"/>
    <n v="19"/>
    <x v="5"/>
    <x v="5"/>
    <s v="overdraft"/>
    <n v="1072639158"/>
  </r>
  <r>
    <x v="833"/>
    <x v="2"/>
    <x v="3"/>
    <n v="16"/>
    <n v="19"/>
    <x v="27"/>
    <x v="19"/>
    <s v="payday"/>
    <n v="13170600000"/>
  </r>
  <r>
    <x v="833"/>
    <x v="2"/>
    <x v="3"/>
    <n v="16"/>
    <n v="19"/>
    <x v="15"/>
    <x v="14"/>
    <s v="paylater"/>
    <n v="0"/>
  </r>
  <r>
    <x v="833"/>
    <x v="2"/>
    <x v="3"/>
    <n v="16"/>
    <n v="19"/>
    <x v="31"/>
    <x v="22"/>
    <s v="cashloan"/>
    <n v="0"/>
  </r>
  <r>
    <x v="833"/>
    <x v="2"/>
    <x v="3"/>
    <n v="16"/>
    <n v="19"/>
    <x v="14"/>
    <x v="13"/>
    <s v="cashloan"/>
    <n v="3196900000"/>
  </r>
  <r>
    <x v="833"/>
    <x v="2"/>
    <x v="3"/>
    <n v="16"/>
    <n v="19"/>
    <x v="33"/>
    <x v="13"/>
    <s v="cashloan"/>
    <n v="580250000"/>
  </r>
  <r>
    <x v="833"/>
    <x v="2"/>
    <x v="3"/>
    <n v="16"/>
    <n v="19"/>
    <x v="23"/>
    <x v="17"/>
    <s v="paylater"/>
    <n v="6009443"/>
  </r>
  <r>
    <x v="833"/>
    <x v="2"/>
    <x v="3"/>
    <n v="16"/>
    <n v="19"/>
    <x v="28"/>
    <x v="17"/>
    <s v="paylater"/>
    <n v="1162515757"/>
  </r>
  <r>
    <x v="833"/>
    <x v="2"/>
    <x v="3"/>
    <n v="16"/>
    <n v="19"/>
    <x v="8"/>
    <x v="8"/>
    <s v="cashloan"/>
    <n v="0"/>
  </r>
  <r>
    <x v="833"/>
    <x v="2"/>
    <x v="3"/>
    <n v="16"/>
    <n v="19"/>
    <x v="26"/>
    <x v="16"/>
    <s v="cashloan"/>
    <n v="15750000"/>
  </r>
  <r>
    <x v="833"/>
    <x v="2"/>
    <x v="3"/>
    <n v="16"/>
    <n v="19"/>
    <x v="32"/>
    <x v="16"/>
    <s v="cashloan"/>
    <n v="0"/>
  </r>
  <r>
    <x v="833"/>
    <x v="2"/>
    <x v="3"/>
    <n v="16"/>
    <n v="19"/>
    <x v="2"/>
    <x v="2"/>
    <s v="cashloan"/>
    <n v="15575200000"/>
  </r>
  <r>
    <x v="833"/>
    <x v="2"/>
    <x v="3"/>
    <n v="16"/>
    <n v="19"/>
    <x v="17"/>
    <x v="9"/>
    <s v="cashloan"/>
    <n v="0"/>
  </r>
  <r>
    <x v="833"/>
    <x v="2"/>
    <x v="3"/>
    <n v="16"/>
    <n v="19"/>
    <x v="20"/>
    <x v="9"/>
    <s v="cashloan"/>
    <n v="0"/>
  </r>
  <r>
    <x v="833"/>
    <x v="2"/>
    <x v="3"/>
    <n v="16"/>
    <n v="19"/>
    <x v="21"/>
    <x v="9"/>
    <s v="cashloan"/>
    <n v="0"/>
  </r>
  <r>
    <x v="833"/>
    <x v="2"/>
    <x v="3"/>
    <n v="16"/>
    <n v="19"/>
    <x v="25"/>
    <x v="2"/>
    <s v="cashloan"/>
    <n v="0"/>
  </r>
  <r>
    <x v="833"/>
    <x v="2"/>
    <x v="3"/>
    <n v="16"/>
    <n v="19"/>
    <x v="0"/>
    <x v="0"/>
    <s v="payday"/>
    <n v="10571796000"/>
  </r>
  <r>
    <x v="833"/>
    <x v="2"/>
    <x v="3"/>
    <n v="16"/>
    <n v="19"/>
    <x v="7"/>
    <x v="7"/>
    <s v="paylater"/>
    <n v="131540008"/>
  </r>
  <r>
    <x v="833"/>
    <x v="2"/>
    <x v="3"/>
    <n v="16"/>
    <n v="19"/>
    <x v="1"/>
    <x v="1"/>
    <s v="cashloan"/>
    <n v="42000000"/>
  </r>
  <r>
    <x v="833"/>
    <x v="2"/>
    <x v="3"/>
    <n v="16"/>
    <n v="19"/>
    <x v="6"/>
    <x v="6"/>
    <s v="payday"/>
    <n v="43000000"/>
  </r>
  <r>
    <x v="833"/>
    <x v="2"/>
    <x v="3"/>
    <n v="16"/>
    <n v="19"/>
    <x v="18"/>
    <x v="15"/>
    <s v="cashloan"/>
    <n v="902290000"/>
  </r>
  <r>
    <x v="833"/>
    <x v="2"/>
    <x v="3"/>
    <n v="16"/>
    <n v="19"/>
    <x v="29"/>
    <x v="20"/>
    <s v="payday"/>
    <n v="210600000"/>
  </r>
  <r>
    <x v="833"/>
    <x v="2"/>
    <x v="3"/>
    <n v="16"/>
    <n v="19"/>
    <x v="19"/>
    <x v="12"/>
    <s v="paylater"/>
    <n v="201304062"/>
  </r>
  <r>
    <x v="833"/>
    <x v="2"/>
    <x v="3"/>
    <n v="16"/>
    <n v="19"/>
    <x v="24"/>
    <x v="18"/>
    <s v="cashloan"/>
    <n v="4101160000"/>
  </r>
  <r>
    <x v="833"/>
    <x v="2"/>
    <x v="3"/>
    <n v="16"/>
    <n v="19"/>
    <x v="30"/>
    <x v="21"/>
    <s v="payday"/>
    <n v="0"/>
  </r>
  <r>
    <x v="834"/>
    <x v="2"/>
    <x v="3"/>
    <n v="17"/>
    <n v="20"/>
    <x v="3"/>
    <x v="3"/>
    <s v="cashloan"/>
    <n v="443250000"/>
  </r>
  <r>
    <x v="834"/>
    <x v="2"/>
    <x v="3"/>
    <n v="17"/>
    <n v="20"/>
    <x v="11"/>
    <x v="10"/>
    <s v="paylater"/>
    <n v="251999633"/>
  </r>
  <r>
    <x v="834"/>
    <x v="2"/>
    <x v="3"/>
    <n v="17"/>
    <n v="20"/>
    <x v="12"/>
    <x v="11"/>
    <s v="cashloan"/>
    <n v="14875820000"/>
  </r>
  <r>
    <x v="834"/>
    <x v="2"/>
    <x v="3"/>
    <n v="17"/>
    <n v="20"/>
    <x v="5"/>
    <x v="5"/>
    <s v="overdraft"/>
    <n v="2794444072"/>
  </r>
  <r>
    <x v="834"/>
    <x v="2"/>
    <x v="3"/>
    <n v="17"/>
    <n v="20"/>
    <x v="27"/>
    <x v="19"/>
    <s v="payday"/>
    <n v="14755608000"/>
  </r>
  <r>
    <x v="834"/>
    <x v="2"/>
    <x v="3"/>
    <n v="17"/>
    <n v="20"/>
    <x v="15"/>
    <x v="14"/>
    <s v="paylater"/>
    <n v="0"/>
  </r>
  <r>
    <x v="834"/>
    <x v="2"/>
    <x v="3"/>
    <n v="17"/>
    <n v="20"/>
    <x v="31"/>
    <x v="22"/>
    <s v="cashloan"/>
    <n v="0"/>
  </r>
  <r>
    <x v="834"/>
    <x v="2"/>
    <x v="3"/>
    <n v="17"/>
    <n v="20"/>
    <x v="14"/>
    <x v="13"/>
    <s v="cashloan"/>
    <n v="2936790000"/>
  </r>
  <r>
    <x v="834"/>
    <x v="2"/>
    <x v="3"/>
    <n v="17"/>
    <n v="20"/>
    <x v="33"/>
    <x v="13"/>
    <s v="cashloan"/>
    <n v="998770000"/>
  </r>
  <r>
    <x v="834"/>
    <x v="2"/>
    <x v="3"/>
    <n v="17"/>
    <n v="20"/>
    <x v="23"/>
    <x v="17"/>
    <s v="paylater"/>
    <n v="13525090"/>
  </r>
  <r>
    <x v="834"/>
    <x v="2"/>
    <x v="3"/>
    <n v="17"/>
    <n v="20"/>
    <x v="28"/>
    <x v="17"/>
    <s v="paylater"/>
    <n v="804617153"/>
  </r>
  <r>
    <x v="834"/>
    <x v="2"/>
    <x v="3"/>
    <n v="17"/>
    <n v="20"/>
    <x v="8"/>
    <x v="8"/>
    <s v="cashloan"/>
    <n v="0"/>
  </r>
  <r>
    <x v="834"/>
    <x v="2"/>
    <x v="3"/>
    <n v="17"/>
    <n v="20"/>
    <x v="26"/>
    <x v="16"/>
    <s v="cashloan"/>
    <n v="73500000"/>
  </r>
  <r>
    <x v="834"/>
    <x v="2"/>
    <x v="3"/>
    <n v="17"/>
    <n v="20"/>
    <x v="32"/>
    <x v="16"/>
    <s v="cashloan"/>
    <n v="0"/>
  </r>
  <r>
    <x v="834"/>
    <x v="2"/>
    <x v="3"/>
    <n v="17"/>
    <n v="20"/>
    <x v="2"/>
    <x v="2"/>
    <s v="cashloan"/>
    <n v="16555900000"/>
  </r>
  <r>
    <x v="834"/>
    <x v="2"/>
    <x v="3"/>
    <n v="17"/>
    <n v="20"/>
    <x v="17"/>
    <x v="9"/>
    <s v="cashloan"/>
    <n v="0"/>
  </r>
  <r>
    <x v="834"/>
    <x v="2"/>
    <x v="3"/>
    <n v="17"/>
    <n v="20"/>
    <x v="20"/>
    <x v="9"/>
    <s v="cashloan"/>
    <n v="0"/>
  </r>
  <r>
    <x v="834"/>
    <x v="2"/>
    <x v="3"/>
    <n v="17"/>
    <n v="20"/>
    <x v="21"/>
    <x v="9"/>
    <s v="cashloan"/>
    <n v="0"/>
  </r>
  <r>
    <x v="834"/>
    <x v="2"/>
    <x v="3"/>
    <n v="17"/>
    <n v="20"/>
    <x v="25"/>
    <x v="2"/>
    <s v="cashloan"/>
    <n v="0"/>
  </r>
  <r>
    <x v="834"/>
    <x v="2"/>
    <x v="3"/>
    <n v="17"/>
    <n v="20"/>
    <x v="0"/>
    <x v="0"/>
    <s v="payday"/>
    <n v="11234592000"/>
  </r>
  <r>
    <x v="834"/>
    <x v="2"/>
    <x v="3"/>
    <n v="17"/>
    <n v="20"/>
    <x v="7"/>
    <x v="7"/>
    <s v="paylater"/>
    <n v="168559692"/>
  </r>
  <r>
    <x v="834"/>
    <x v="2"/>
    <x v="3"/>
    <n v="17"/>
    <n v="20"/>
    <x v="1"/>
    <x v="1"/>
    <s v="cashloan"/>
    <n v="72500000"/>
  </r>
  <r>
    <x v="834"/>
    <x v="2"/>
    <x v="3"/>
    <n v="17"/>
    <n v="20"/>
    <x v="6"/>
    <x v="6"/>
    <s v="payday"/>
    <n v="46000000"/>
  </r>
  <r>
    <x v="834"/>
    <x v="2"/>
    <x v="3"/>
    <n v="17"/>
    <n v="20"/>
    <x v="18"/>
    <x v="15"/>
    <s v="cashloan"/>
    <n v="840560000"/>
  </r>
  <r>
    <x v="834"/>
    <x v="2"/>
    <x v="3"/>
    <n v="17"/>
    <n v="20"/>
    <x v="29"/>
    <x v="20"/>
    <s v="payday"/>
    <n v="337608000"/>
  </r>
  <r>
    <x v="834"/>
    <x v="2"/>
    <x v="3"/>
    <n v="17"/>
    <n v="20"/>
    <x v="19"/>
    <x v="12"/>
    <s v="paylater"/>
    <n v="226619379"/>
  </r>
  <r>
    <x v="834"/>
    <x v="2"/>
    <x v="3"/>
    <n v="17"/>
    <n v="20"/>
    <x v="24"/>
    <x v="18"/>
    <s v="cashloan"/>
    <n v="5538620000"/>
  </r>
  <r>
    <x v="834"/>
    <x v="2"/>
    <x v="3"/>
    <n v="17"/>
    <n v="20"/>
    <x v="30"/>
    <x v="21"/>
    <s v="payday"/>
    <n v="0"/>
  </r>
  <r>
    <x v="835"/>
    <x v="2"/>
    <x v="3"/>
    <n v="17"/>
    <n v="21"/>
    <x v="3"/>
    <x v="3"/>
    <s v="cashloan"/>
    <n v="332570000"/>
  </r>
  <r>
    <x v="835"/>
    <x v="2"/>
    <x v="3"/>
    <n v="17"/>
    <n v="21"/>
    <x v="11"/>
    <x v="10"/>
    <s v="paylater"/>
    <n v="288336238"/>
  </r>
  <r>
    <x v="835"/>
    <x v="2"/>
    <x v="3"/>
    <n v="17"/>
    <n v="21"/>
    <x v="12"/>
    <x v="11"/>
    <s v="cashloan"/>
    <n v="13878130000"/>
  </r>
  <r>
    <x v="835"/>
    <x v="2"/>
    <x v="3"/>
    <n v="17"/>
    <n v="21"/>
    <x v="5"/>
    <x v="5"/>
    <s v="overdraft"/>
    <n v="1509161012"/>
  </r>
  <r>
    <x v="835"/>
    <x v="2"/>
    <x v="3"/>
    <n v="17"/>
    <n v="21"/>
    <x v="27"/>
    <x v="19"/>
    <s v="payday"/>
    <n v="13785984000"/>
  </r>
  <r>
    <x v="835"/>
    <x v="2"/>
    <x v="3"/>
    <n v="17"/>
    <n v="21"/>
    <x v="15"/>
    <x v="14"/>
    <s v="paylater"/>
    <n v="0"/>
  </r>
  <r>
    <x v="835"/>
    <x v="2"/>
    <x v="3"/>
    <n v="17"/>
    <n v="21"/>
    <x v="31"/>
    <x v="22"/>
    <s v="cashloan"/>
    <n v="0"/>
  </r>
  <r>
    <x v="835"/>
    <x v="2"/>
    <x v="3"/>
    <n v="17"/>
    <n v="21"/>
    <x v="14"/>
    <x v="13"/>
    <s v="cashloan"/>
    <n v="2285230000"/>
  </r>
  <r>
    <x v="835"/>
    <x v="2"/>
    <x v="3"/>
    <n v="17"/>
    <n v="21"/>
    <x v="33"/>
    <x v="13"/>
    <s v="cashloan"/>
    <n v="956550000"/>
  </r>
  <r>
    <x v="835"/>
    <x v="2"/>
    <x v="3"/>
    <n v="17"/>
    <n v="21"/>
    <x v="23"/>
    <x v="17"/>
    <s v="paylater"/>
    <n v="16625330"/>
  </r>
  <r>
    <x v="835"/>
    <x v="2"/>
    <x v="3"/>
    <n v="17"/>
    <n v="21"/>
    <x v="28"/>
    <x v="17"/>
    <s v="paylater"/>
    <n v="944037049"/>
  </r>
  <r>
    <x v="835"/>
    <x v="2"/>
    <x v="3"/>
    <n v="17"/>
    <n v="21"/>
    <x v="8"/>
    <x v="8"/>
    <s v="cashloan"/>
    <n v="0"/>
  </r>
  <r>
    <x v="835"/>
    <x v="2"/>
    <x v="3"/>
    <n v="17"/>
    <n v="21"/>
    <x v="26"/>
    <x v="16"/>
    <s v="cashloan"/>
    <n v="51750000"/>
  </r>
  <r>
    <x v="835"/>
    <x v="2"/>
    <x v="3"/>
    <n v="17"/>
    <n v="21"/>
    <x v="32"/>
    <x v="16"/>
    <s v="cashloan"/>
    <n v="0"/>
  </r>
  <r>
    <x v="835"/>
    <x v="2"/>
    <x v="3"/>
    <n v="17"/>
    <n v="21"/>
    <x v="2"/>
    <x v="2"/>
    <s v="cashloan"/>
    <n v="17244300000"/>
  </r>
  <r>
    <x v="835"/>
    <x v="2"/>
    <x v="3"/>
    <n v="17"/>
    <n v="21"/>
    <x v="17"/>
    <x v="9"/>
    <s v="cashloan"/>
    <n v="0"/>
  </r>
  <r>
    <x v="835"/>
    <x v="2"/>
    <x v="3"/>
    <n v="17"/>
    <n v="21"/>
    <x v="20"/>
    <x v="9"/>
    <s v="cashloan"/>
    <n v="0"/>
  </r>
  <r>
    <x v="835"/>
    <x v="2"/>
    <x v="3"/>
    <n v="17"/>
    <n v="21"/>
    <x v="21"/>
    <x v="9"/>
    <s v="cashloan"/>
    <n v="0"/>
  </r>
  <r>
    <x v="835"/>
    <x v="2"/>
    <x v="3"/>
    <n v="17"/>
    <n v="21"/>
    <x v="25"/>
    <x v="2"/>
    <s v="cashloan"/>
    <n v="0"/>
  </r>
  <r>
    <x v="835"/>
    <x v="2"/>
    <x v="3"/>
    <n v="17"/>
    <n v="21"/>
    <x v="0"/>
    <x v="0"/>
    <s v="payday"/>
    <n v="10527732000"/>
  </r>
  <r>
    <x v="835"/>
    <x v="2"/>
    <x v="3"/>
    <n v="17"/>
    <n v="21"/>
    <x v="7"/>
    <x v="7"/>
    <s v="paylater"/>
    <n v="179683952"/>
  </r>
  <r>
    <x v="835"/>
    <x v="2"/>
    <x v="3"/>
    <n v="17"/>
    <n v="21"/>
    <x v="1"/>
    <x v="1"/>
    <s v="cashloan"/>
    <n v="10500000"/>
  </r>
  <r>
    <x v="835"/>
    <x v="2"/>
    <x v="3"/>
    <n v="17"/>
    <n v="21"/>
    <x v="6"/>
    <x v="6"/>
    <s v="payday"/>
    <n v="65000000"/>
  </r>
  <r>
    <x v="835"/>
    <x v="2"/>
    <x v="3"/>
    <n v="17"/>
    <n v="21"/>
    <x v="18"/>
    <x v="15"/>
    <s v="cashloan"/>
    <n v="869660000"/>
  </r>
  <r>
    <x v="835"/>
    <x v="2"/>
    <x v="3"/>
    <n v="17"/>
    <n v="21"/>
    <x v="29"/>
    <x v="20"/>
    <s v="payday"/>
    <n v="332316000"/>
  </r>
  <r>
    <x v="835"/>
    <x v="2"/>
    <x v="3"/>
    <n v="17"/>
    <n v="21"/>
    <x v="19"/>
    <x v="12"/>
    <s v="paylater"/>
    <n v="303930939"/>
  </r>
  <r>
    <x v="835"/>
    <x v="2"/>
    <x v="3"/>
    <n v="17"/>
    <n v="21"/>
    <x v="24"/>
    <x v="18"/>
    <s v="cashloan"/>
    <n v="4818270000"/>
  </r>
  <r>
    <x v="835"/>
    <x v="2"/>
    <x v="3"/>
    <n v="17"/>
    <n v="21"/>
    <x v="30"/>
    <x v="21"/>
    <s v="payday"/>
    <n v="0"/>
  </r>
  <r>
    <x v="836"/>
    <x v="2"/>
    <x v="3"/>
    <n v="17"/>
    <n v="22"/>
    <x v="3"/>
    <x v="3"/>
    <s v="cashloan"/>
    <n v="243180000"/>
  </r>
  <r>
    <x v="836"/>
    <x v="2"/>
    <x v="3"/>
    <n v="17"/>
    <n v="22"/>
    <x v="11"/>
    <x v="10"/>
    <s v="paylater"/>
    <n v="282811198"/>
  </r>
  <r>
    <x v="836"/>
    <x v="2"/>
    <x v="3"/>
    <n v="17"/>
    <n v="22"/>
    <x v="12"/>
    <x v="11"/>
    <s v="cashloan"/>
    <n v="13039630000"/>
  </r>
  <r>
    <x v="836"/>
    <x v="2"/>
    <x v="3"/>
    <n v="17"/>
    <n v="22"/>
    <x v="5"/>
    <x v="5"/>
    <s v="overdraft"/>
    <n v="1483311980"/>
  </r>
  <r>
    <x v="836"/>
    <x v="2"/>
    <x v="3"/>
    <n v="17"/>
    <n v="22"/>
    <x v="27"/>
    <x v="19"/>
    <s v="payday"/>
    <n v="13454964000"/>
  </r>
  <r>
    <x v="836"/>
    <x v="2"/>
    <x v="3"/>
    <n v="17"/>
    <n v="22"/>
    <x v="15"/>
    <x v="14"/>
    <s v="paylater"/>
    <n v="0"/>
  </r>
  <r>
    <x v="836"/>
    <x v="2"/>
    <x v="3"/>
    <n v="17"/>
    <n v="22"/>
    <x v="31"/>
    <x v="22"/>
    <s v="cashloan"/>
    <n v="0"/>
  </r>
  <r>
    <x v="836"/>
    <x v="2"/>
    <x v="3"/>
    <n v="17"/>
    <n v="22"/>
    <x v="14"/>
    <x v="13"/>
    <s v="cashloan"/>
    <n v="2311780000"/>
  </r>
  <r>
    <x v="836"/>
    <x v="2"/>
    <x v="3"/>
    <n v="17"/>
    <n v="22"/>
    <x v="33"/>
    <x v="13"/>
    <s v="cashloan"/>
    <n v="994270000"/>
  </r>
  <r>
    <x v="836"/>
    <x v="2"/>
    <x v="3"/>
    <n v="17"/>
    <n v="22"/>
    <x v="23"/>
    <x v="17"/>
    <s v="paylater"/>
    <n v="5289000"/>
  </r>
  <r>
    <x v="836"/>
    <x v="2"/>
    <x v="3"/>
    <n v="17"/>
    <n v="22"/>
    <x v="28"/>
    <x v="17"/>
    <s v="paylater"/>
    <n v="873223574"/>
  </r>
  <r>
    <x v="836"/>
    <x v="2"/>
    <x v="3"/>
    <n v="17"/>
    <n v="22"/>
    <x v="8"/>
    <x v="8"/>
    <s v="cashloan"/>
    <n v="0"/>
  </r>
  <r>
    <x v="836"/>
    <x v="2"/>
    <x v="3"/>
    <n v="17"/>
    <n v="22"/>
    <x v="26"/>
    <x v="16"/>
    <s v="cashloan"/>
    <n v="15000000"/>
  </r>
  <r>
    <x v="836"/>
    <x v="2"/>
    <x v="3"/>
    <n v="17"/>
    <n v="22"/>
    <x v="32"/>
    <x v="16"/>
    <s v="cashloan"/>
    <n v="0"/>
  </r>
  <r>
    <x v="836"/>
    <x v="2"/>
    <x v="3"/>
    <n v="17"/>
    <n v="22"/>
    <x v="2"/>
    <x v="2"/>
    <s v="cashloan"/>
    <n v="13777860000"/>
  </r>
  <r>
    <x v="836"/>
    <x v="2"/>
    <x v="3"/>
    <n v="17"/>
    <n v="22"/>
    <x v="17"/>
    <x v="9"/>
    <s v="cashloan"/>
    <n v="0"/>
  </r>
  <r>
    <x v="836"/>
    <x v="2"/>
    <x v="3"/>
    <n v="17"/>
    <n v="22"/>
    <x v="20"/>
    <x v="9"/>
    <s v="cashloan"/>
    <n v="0"/>
  </r>
  <r>
    <x v="836"/>
    <x v="2"/>
    <x v="3"/>
    <n v="17"/>
    <n v="22"/>
    <x v="21"/>
    <x v="9"/>
    <s v="cashloan"/>
    <n v="0"/>
  </r>
  <r>
    <x v="836"/>
    <x v="2"/>
    <x v="3"/>
    <n v="17"/>
    <n v="22"/>
    <x v="25"/>
    <x v="2"/>
    <s v="cashloan"/>
    <n v="0"/>
  </r>
  <r>
    <x v="836"/>
    <x v="2"/>
    <x v="3"/>
    <n v="17"/>
    <n v="22"/>
    <x v="0"/>
    <x v="0"/>
    <s v="payday"/>
    <n v="10224036000"/>
  </r>
  <r>
    <x v="836"/>
    <x v="2"/>
    <x v="3"/>
    <n v="17"/>
    <n v="22"/>
    <x v="7"/>
    <x v="7"/>
    <s v="paylater"/>
    <n v="116695203"/>
  </r>
  <r>
    <x v="836"/>
    <x v="2"/>
    <x v="3"/>
    <n v="17"/>
    <n v="22"/>
    <x v="1"/>
    <x v="1"/>
    <s v="cashloan"/>
    <n v="41500000"/>
  </r>
  <r>
    <x v="836"/>
    <x v="2"/>
    <x v="3"/>
    <n v="17"/>
    <n v="22"/>
    <x v="6"/>
    <x v="6"/>
    <s v="payday"/>
    <n v="69000000"/>
  </r>
  <r>
    <x v="836"/>
    <x v="2"/>
    <x v="3"/>
    <n v="17"/>
    <n v="22"/>
    <x v="18"/>
    <x v="15"/>
    <s v="cashloan"/>
    <n v="637280000"/>
  </r>
  <r>
    <x v="836"/>
    <x v="2"/>
    <x v="3"/>
    <n v="17"/>
    <n v="22"/>
    <x v="29"/>
    <x v="20"/>
    <s v="payday"/>
    <n v="309852000"/>
  </r>
  <r>
    <x v="836"/>
    <x v="2"/>
    <x v="3"/>
    <n v="17"/>
    <n v="22"/>
    <x v="19"/>
    <x v="12"/>
    <s v="paylater"/>
    <n v="316000074"/>
  </r>
  <r>
    <x v="836"/>
    <x v="2"/>
    <x v="3"/>
    <n v="17"/>
    <n v="22"/>
    <x v="24"/>
    <x v="18"/>
    <s v="cashloan"/>
    <n v="5213060000"/>
  </r>
  <r>
    <x v="836"/>
    <x v="2"/>
    <x v="3"/>
    <n v="17"/>
    <n v="22"/>
    <x v="30"/>
    <x v="21"/>
    <s v="payday"/>
    <n v="0"/>
  </r>
  <r>
    <x v="837"/>
    <x v="2"/>
    <x v="3"/>
    <n v="17"/>
    <n v="23"/>
    <x v="3"/>
    <x v="3"/>
    <s v="cashloan"/>
    <n v="433220000"/>
  </r>
  <r>
    <x v="837"/>
    <x v="2"/>
    <x v="3"/>
    <n v="17"/>
    <n v="23"/>
    <x v="11"/>
    <x v="10"/>
    <s v="paylater"/>
    <n v="281076094"/>
  </r>
  <r>
    <x v="837"/>
    <x v="2"/>
    <x v="3"/>
    <n v="17"/>
    <n v="23"/>
    <x v="12"/>
    <x v="11"/>
    <s v="cashloan"/>
    <n v="12871680000"/>
  </r>
  <r>
    <x v="837"/>
    <x v="2"/>
    <x v="3"/>
    <n v="17"/>
    <n v="23"/>
    <x v="5"/>
    <x v="5"/>
    <s v="overdraft"/>
    <n v="1181657913"/>
  </r>
  <r>
    <x v="837"/>
    <x v="2"/>
    <x v="3"/>
    <n v="17"/>
    <n v="23"/>
    <x v="27"/>
    <x v="19"/>
    <s v="payday"/>
    <n v="13141656000"/>
  </r>
  <r>
    <x v="837"/>
    <x v="2"/>
    <x v="3"/>
    <n v="17"/>
    <n v="23"/>
    <x v="15"/>
    <x v="14"/>
    <s v="paylater"/>
    <n v="0"/>
  </r>
  <r>
    <x v="837"/>
    <x v="2"/>
    <x v="3"/>
    <n v="17"/>
    <n v="23"/>
    <x v="31"/>
    <x v="22"/>
    <s v="cashloan"/>
    <n v="0"/>
  </r>
  <r>
    <x v="837"/>
    <x v="2"/>
    <x v="3"/>
    <n v="17"/>
    <n v="23"/>
    <x v="14"/>
    <x v="13"/>
    <s v="cashloan"/>
    <n v="2658420000"/>
  </r>
  <r>
    <x v="837"/>
    <x v="2"/>
    <x v="3"/>
    <n v="17"/>
    <n v="23"/>
    <x v="33"/>
    <x v="13"/>
    <s v="cashloan"/>
    <n v="362910000"/>
  </r>
  <r>
    <x v="837"/>
    <x v="2"/>
    <x v="3"/>
    <n v="17"/>
    <n v="23"/>
    <x v="23"/>
    <x v="17"/>
    <s v="paylater"/>
    <n v="1737297"/>
  </r>
  <r>
    <x v="837"/>
    <x v="2"/>
    <x v="3"/>
    <n v="17"/>
    <n v="23"/>
    <x v="28"/>
    <x v="17"/>
    <s v="paylater"/>
    <n v="834597567"/>
  </r>
  <r>
    <x v="837"/>
    <x v="2"/>
    <x v="3"/>
    <n v="17"/>
    <n v="23"/>
    <x v="8"/>
    <x v="8"/>
    <s v="cashloan"/>
    <n v="0"/>
  </r>
  <r>
    <x v="837"/>
    <x v="2"/>
    <x v="3"/>
    <n v="17"/>
    <n v="23"/>
    <x v="26"/>
    <x v="16"/>
    <s v="cashloan"/>
    <n v="70750000"/>
  </r>
  <r>
    <x v="837"/>
    <x v="2"/>
    <x v="3"/>
    <n v="17"/>
    <n v="23"/>
    <x v="32"/>
    <x v="16"/>
    <s v="cashloan"/>
    <n v="0"/>
  </r>
  <r>
    <x v="837"/>
    <x v="2"/>
    <x v="3"/>
    <n v="17"/>
    <n v="23"/>
    <x v="2"/>
    <x v="2"/>
    <s v="cashloan"/>
    <n v="15241400000"/>
  </r>
  <r>
    <x v="837"/>
    <x v="2"/>
    <x v="3"/>
    <n v="17"/>
    <n v="23"/>
    <x v="17"/>
    <x v="9"/>
    <s v="cashloan"/>
    <n v="0"/>
  </r>
  <r>
    <x v="837"/>
    <x v="2"/>
    <x v="3"/>
    <n v="17"/>
    <n v="23"/>
    <x v="20"/>
    <x v="9"/>
    <s v="cashloan"/>
    <n v="0"/>
  </r>
  <r>
    <x v="837"/>
    <x v="2"/>
    <x v="3"/>
    <n v="17"/>
    <n v="23"/>
    <x v="21"/>
    <x v="9"/>
    <s v="cashloan"/>
    <n v="0"/>
  </r>
  <r>
    <x v="837"/>
    <x v="2"/>
    <x v="3"/>
    <n v="17"/>
    <n v="23"/>
    <x v="25"/>
    <x v="2"/>
    <s v="cashloan"/>
    <n v="0"/>
  </r>
  <r>
    <x v="837"/>
    <x v="2"/>
    <x v="3"/>
    <n v="17"/>
    <n v="23"/>
    <x v="0"/>
    <x v="0"/>
    <s v="payday"/>
    <n v="11162664000"/>
  </r>
  <r>
    <x v="837"/>
    <x v="2"/>
    <x v="3"/>
    <n v="17"/>
    <n v="23"/>
    <x v="7"/>
    <x v="7"/>
    <s v="paylater"/>
    <n v="136768567"/>
  </r>
  <r>
    <x v="837"/>
    <x v="2"/>
    <x v="3"/>
    <n v="17"/>
    <n v="23"/>
    <x v="1"/>
    <x v="1"/>
    <s v="cashloan"/>
    <n v="0"/>
  </r>
  <r>
    <x v="837"/>
    <x v="2"/>
    <x v="3"/>
    <n v="17"/>
    <n v="23"/>
    <x v="6"/>
    <x v="6"/>
    <s v="payday"/>
    <n v="68000000"/>
  </r>
  <r>
    <x v="837"/>
    <x v="2"/>
    <x v="3"/>
    <n v="17"/>
    <n v="23"/>
    <x v="18"/>
    <x v="15"/>
    <s v="cashloan"/>
    <n v="919280000"/>
  </r>
  <r>
    <x v="837"/>
    <x v="2"/>
    <x v="3"/>
    <n v="17"/>
    <n v="23"/>
    <x v="29"/>
    <x v="20"/>
    <s v="payday"/>
    <n v="276588000"/>
  </r>
  <r>
    <x v="837"/>
    <x v="2"/>
    <x v="3"/>
    <n v="17"/>
    <n v="23"/>
    <x v="19"/>
    <x v="12"/>
    <s v="paylater"/>
    <n v="286743556"/>
  </r>
  <r>
    <x v="837"/>
    <x v="2"/>
    <x v="3"/>
    <n v="17"/>
    <n v="23"/>
    <x v="24"/>
    <x v="18"/>
    <s v="cashloan"/>
    <n v="4642340000"/>
  </r>
  <r>
    <x v="837"/>
    <x v="2"/>
    <x v="3"/>
    <n v="17"/>
    <n v="23"/>
    <x v="30"/>
    <x v="21"/>
    <s v="payday"/>
    <n v="0"/>
  </r>
  <r>
    <x v="838"/>
    <x v="2"/>
    <x v="3"/>
    <n v="17"/>
    <n v="24"/>
    <x v="3"/>
    <x v="3"/>
    <s v="cashloan"/>
    <n v="808150000"/>
  </r>
  <r>
    <x v="838"/>
    <x v="2"/>
    <x v="3"/>
    <n v="17"/>
    <n v="24"/>
    <x v="11"/>
    <x v="10"/>
    <s v="paylater"/>
    <n v="333584406"/>
  </r>
  <r>
    <x v="838"/>
    <x v="2"/>
    <x v="3"/>
    <n v="17"/>
    <n v="24"/>
    <x v="12"/>
    <x v="11"/>
    <s v="cashloan"/>
    <n v="13354840000"/>
  </r>
  <r>
    <x v="838"/>
    <x v="2"/>
    <x v="3"/>
    <n v="17"/>
    <n v="24"/>
    <x v="5"/>
    <x v="5"/>
    <s v="overdraft"/>
    <n v="1354050620"/>
  </r>
  <r>
    <x v="838"/>
    <x v="2"/>
    <x v="3"/>
    <n v="17"/>
    <n v="24"/>
    <x v="27"/>
    <x v="19"/>
    <s v="payday"/>
    <n v="14447700000"/>
  </r>
  <r>
    <x v="838"/>
    <x v="2"/>
    <x v="3"/>
    <n v="17"/>
    <n v="24"/>
    <x v="15"/>
    <x v="14"/>
    <s v="paylater"/>
    <n v="0"/>
  </r>
  <r>
    <x v="838"/>
    <x v="2"/>
    <x v="3"/>
    <n v="17"/>
    <n v="24"/>
    <x v="31"/>
    <x v="22"/>
    <s v="cashloan"/>
    <n v="80000000"/>
  </r>
  <r>
    <x v="838"/>
    <x v="2"/>
    <x v="3"/>
    <n v="17"/>
    <n v="24"/>
    <x v="14"/>
    <x v="13"/>
    <s v="cashloan"/>
    <n v="2558540000"/>
  </r>
  <r>
    <x v="838"/>
    <x v="2"/>
    <x v="3"/>
    <n v="17"/>
    <n v="24"/>
    <x v="33"/>
    <x v="13"/>
    <s v="cashloan"/>
    <n v="751340000"/>
  </r>
  <r>
    <x v="838"/>
    <x v="2"/>
    <x v="3"/>
    <n v="17"/>
    <n v="24"/>
    <x v="23"/>
    <x v="17"/>
    <s v="paylater"/>
    <n v="10477887"/>
  </r>
  <r>
    <x v="838"/>
    <x v="2"/>
    <x v="3"/>
    <n v="17"/>
    <n v="24"/>
    <x v="28"/>
    <x v="17"/>
    <s v="paylater"/>
    <n v="1176833106"/>
  </r>
  <r>
    <x v="838"/>
    <x v="2"/>
    <x v="3"/>
    <n v="17"/>
    <n v="24"/>
    <x v="8"/>
    <x v="8"/>
    <s v="cashloan"/>
    <n v="0"/>
  </r>
  <r>
    <x v="838"/>
    <x v="2"/>
    <x v="3"/>
    <n v="17"/>
    <n v="24"/>
    <x v="26"/>
    <x v="16"/>
    <s v="cashloan"/>
    <n v="48900000"/>
  </r>
  <r>
    <x v="838"/>
    <x v="2"/>
    <x v="3"/>
    <n v="17"/>
    <n v="24"/>
    <x v="32"/>
    <x v="16"/>
    <s v="cashloan"/>
    <n v="0"/>
  </r>
  <r>
    <x v="838"/>
    <x v="2"/>
    <x v="3"/>
    <n v="17"/>
    <n v="24"/>
    <x v="2"/>
    <x v="2"/>
    <s v="cashloan"/>
    <n v="17715760000"/>
  </r>
  <r>
    <x v="838"/>
    <x v="2"/>
    <x v="3"/>
    <n v="17"/>
    <n v="24"/>
    <x v="17"/>
    <x v="9"/>
    <s v="cashloan"/>
    <n v="0"/>
  </r>
  <r>
    <x v="838"/>
    <x v="2"/>
    <x v="3"/>
    <n v="17"/>
    <n v="24"/>
    <x v="20"/>
    <x v="9"/>
    <s v="cashloan"/>
    <n v="0"/>
  </r>
  <r>
    <x v="838"/>
    <x v="2"/>
    <x v="3"/>
    <n v="17"/>
    <n v="24"/>
    <x v="21"/>
    <x v="9"/>
    <s v="cashloan"/>
    <n v="0"/>
  </r>
  <r>
    <x v="838"/>
    <x v="2"/>
    <x v="3"/>
    <n v="17"/>
    <n v="24"/>
    <x v="25"/>
    <x v="2"/>
    <s v="cashloan"/>
    <n v="0"/>
  </r>
  <r>
    <x v="838"/>
    <x v="2"/>
    <x v="3"/>
    <n v="17"/>
    <n v="24"/>
    <x v="0"/>
    <x v="0"/>
    <s v="payday"/>
    <n v="11401236000"/>
  </r>
  <r>
    <x v="838"/>
    <x v="2"/>
    <x v="3"/>
    <n v="17"/>
    <n v="24"/>
    <x v="7"/>
    <x v="7"/>
    <s v="paylater"/>
    <n v="143695252"/>
  </r>
  <r>
    <x v="838"/>
    <x v="2"/>
    <x v="3"/>
    <n v="17"/>
    <n v="24"/>
    <x v="1"/>
    <x v="1"/>
    <s v="cashloan"/>
    <n v="21000000"/>
  </r>
  <r>
    <x v="838"/>
    <x v="2"/>
    <x v="3"/>
    <n v="17"/>
    <n v="24"/>
    <x v="6"/>
    <x v="6"/>
    <s v="payday"/>
    <n v="69000000"/>
  </r>
  <r>
    <x v="838"/>
    <x v="2"/>
    <x v="3"/>
    <n v="17"/>
    <n v="24"/>
    <x v="18"/>
    <x v="15"/>
    <s v="cashloan"/>
    <n v="560070000"/>
  </r>
  <r>
    <x v="838"/>
    <x v="2"/>
    <x v="3"/>
    <n v="17"/>
    <n v="24"/>
    <x v="29"/>
    <x v="20"/>
    <s v="payday"/>
    <n v="325620000"/>
  </r>
  <r>
    <x v="838"/>
    <x v="2"/>
    <x v="3"/>
    <n v="17"/>
    <n v="24"/>
    <x v="19"/>
    <x v="12"/>
    <s v="paylater"/>
    <n v="304187198"/>
  </r>
  <r>
    <x v="838"/>
    <x v="2"/>
    <x v="3"/>
    <n v="17"/>
    <n v="24"/>
    <x v="24"/>
    <x v="18"/>
    <s v="cashloan"/>
    <n v="5596010000"/>
  </r>
  <r>
    <x v="838"/>
    <x v="2"/>
    <x v="3"/>
    <n v="17"/>
    <n v="24"/>
    <x v="30"/>
    <x v="21"/>
    <s v="payday"/>
    <n v="0"/>
  </r>
  <r>
    <x v="839"/>
    <x v="2"/>
    <x v="3"/>
    <n v="17"/>
    <n v="25"/>
    <x v="3"/>
    <x v="3"/>
    <s v="cashloan"/>
    <n v="773830000"/>
  </r>
  <r>
    <x v="839"/>
    <x v="2"/>
    <x v="3"/>
    <n v="17"/>
    <n v="25"/>
    <x v="11"/>
    <x v="10"/>
    <s v="paylater"/>
    <n v="330827954"/>
  </r>
  <r>
    <x v="839"/>
    <x v="2"/>
    <x v="3"/>
    <n v="17"/>
    <n v="25"/>
    <x v="12"/>
    <x v="11"/>
    <s v="cashloan"/>
    <n v="11232430000"/>
  </r>
  <r>
    <x v="839"/>
    <x v="2"/>
    <x v="3"/>
    <n v="17"/>
    <n v="25"/>
    <x v="5"/>
    <x v="5"/>
    <s v="overdraft"/>
    <n v="1397531250"/>
  </r>
  <r>
    <x v="839"/>
    <x v="2"/>
    <x v="3"/>
    <n v="17"/>
    <n v="25"/>
    <x v="27"/>
    <x v="19"/>
    <s v="payday"/>
    <n v="14073264000"/>
  </r>
  <r>
    <x v="839"/>
    <x v="2"/>
    <x v="3"/>
    <n v="17"/>
    <n v="25"/>
    <x v="15"/>
    <x v="14"/>
    <s v="paylater"/>
    <n v="0"/>
  </r>
  <r>
    <x v="839"/>
    <x v="2"/>
    <x v="3"/>
    <n v="17"/>
    <n v="25"/>
    <x v="31"/>
    <x v="22"/>
    <s v="cashloan"/>
    <n v="0"/>
  </r>
  <r>
    <x v="839"/>
    <x v="2"/>
    <x v="3"/>
    <n v="17"/>
    <n v="25"/>
    <x v="14"/>
    <x v="13"/>
    <s v="cashloan"/>
    <n v="2308850000"/>
  </r>
  <r>
    <x v="839"/>
    <x v="2"/>
    <x v="3"/>
    <n v="17"/>
    <n v="25"/>
    <x v="33"/>
    <x v="13"/>
    <s v="cashloan"/>
    <n v="662140000"/>
  </r>
  <r>
    <x v="839"/>
    <x v="2"/>
    <x v="3"/>
    <n v="17"/>
    <n v="25"/>
    <x v="23"/>
    <x v="17"/>
    <s v="paylater"/>
    <n v="3684746"/>
  </r>
  <r>
    <x v="839"/>
    <x v="2"/>
    <x v="3"/>
    <n v="17"/>
    <n v="25"/>
    <x v="28"/>
    <x v="17"/>
    <s v="paylater"/>
    <n v="1074214674"/>
  </r>
  <r>
    <x v="839"/>
    <x v="2"/>
    <x v="3"/>
    <n v="17"/>
    <n v="25"/>
    <x v="8"/>
    <x v="8"/>
    <s v="cashloan"/>
    <n v="0"/>
  </r>
  <r>
    <x v="839"/>
    <x v="2"/>
    <x v="3"/>
    <n v="17"/>
    <n v="25"/>
    <x v="26"/>
    <x v="16"/>
    <s v="cashloan"/>
    <n v="29400000"/>
  </r>
  <r>
    <x v="839"/>
    <x v="2"/>
    <x v="3"/>
    <n v="17"/>
    <n v="25"/>
    <x v="32"/>
    <x v="16"/>
    <s v="cashloan"/>
    <n v="0"/>
  </r>
  <r>
    <x v="839"/>
    <x v="2"/>
    <x v="3"/>
    <n v="17"/>
    <n v="25"/>
    <x v="2"/>
    <x v="2"/>
    <s v="cashloan"/>
    <n v="16521930000"/>
  </r>
  <r>
    <x v="839"/>
    <x v="2"/>
    <x v="3"/>
    <n v="17"/>
    <n v="25"/>
    <x v="17"/>
    <x v="9"/>
    <s v="cashloan"/>
    <n v="0"/>
  </r>
  <r>
    <x v="839"/>
    <x v="2"/>
    <x v="3"/>
    <n v="17"/>
    <n v="25"/>
    <x v="20"/>
    <x v="9"/>
    <s v="cashloan"/>
    <n v="0"/>
  </r>
  <r>
    <x v="839"/>
    <x v="2"/>
    <x v="3"/>
    <n v="17"/>
    <n v="25"/>
    <x v="21"/>
    <x v="9"/>
    <s v="cashloan"/>
    <n v="0"/>
  </r>
  <r>
    <x v="839"/>
    <x v="2"/>
    <x v="3"/>
    <n v="17"/>
    <n v="25"/>
    <x v="25"/>
    <x v="2"/>
    <s v="cashloan"/>
    <n v="0"/>
  </r>
  <r>
    <x v="839"/>
    <x v="2"/>
    <x v="3"/>
    <n v="17"/>
    <n v="25"/>
    <x v="0"/>
    <x v="0"/>
    <s v="payday"/>
    <n v="11211264000"/>
  </r>
  <r>
    <x v="839"/>
    <x v="2"/>
    <x v="3"/>
    <n v="17"/>
    <n v="25"/>
    <x v="7"/>
    <x v="7"/>
    <s v="paylater"/>
    <n v="145933673"/>
  </r>
  <r>
    <x v="839"/>
    <x v="2"/>
    <x v="3"/>
    <n v="17"/>
    <n v="25"/>
    <x v="1"/>
    <x v="1"/>
    <s v="cashloan"/>
    <n v="38850000"/>
  </r>
  <r>
    <x v="839"/>
    <x v="2"/>
    <x v="3"/>
    <n v="17"/>
    <n v="25"/>
    <x v="6"/>
    <x v="6"/>
    <s v="payday"/>
    <n v="77000000"/>
  </r>
  <r>
    <x v="839"/>
    <x v="2"/>
    <x v="3"/>
    <n v="17"/>
    <n v="25"/>
    <x v="18"/>
    <x v="15"/>
    <s v="cashloan"/>
    <n v="726700000"/>
  </r>
  <r>
    <x v="839"/>
    <x v="2"/>
    <x v="3"/>
    <n v="17"/>
    <n v="25"/>
    <x v="29"/>
    <x v="20"/>
    <s v="payday"/>
    <n v="313200000"/>
  </r>
  <r>
    <x v="839"/>
    <x v="2"/>
    <x v="3"/>
    <n v="17"/>
    <n v="25"/>
    <x v="19"/>
    <x v="12"/>
    <s v="paylater"/>
    <n v="321648718"/>
  </r>
  <r>
    <x v="839"/>
    <x v="2"/>
    <x v="3"/>
    <n v="17"/>
    <n v="25"/>
    <x v="24"/>
    <x v="18"/>
    <s v="cashloan"/>
    <n v="4928250000"/>
  </r>
  <r>
    <x v="839"/>
    <x v="2"/>
    <x v="3"/>
    <n v="17"/>
    <n v="25"/>
    <x v="30"/>
    <x v="21"/>
    <s v="payday"/>
    <n v="0"/>
  </r>
  <r>
    <x v="840"/>
    <x v="2"/>
    <x v="3"/>
    <n v="17"/>
    <n v="26"/>
    <x v="3"/>
    <x v="3"/>
    <s v="cashloan"/>
    <n v="584940000"/>
  </r>
  <r>
    <x v="840"/>
    <x v="2"/>
    <x v="3"/>
    <n v="17"/>
    <n v="26"/>
    <x v="11"/>
    <x v="10"/>
    <s v="paylater"/>
    <n v="295871702"/>
  </r>
  <r>
    <x v="840"/>
    <x v="2"/>
    <x v="3"/>
    <n v="17"/>
    <n v="26"/>
    <x v="12"/>
    <x v="11"/>
    <s v="cashloan"/>
    <n v="9100610000"/>
  </r>
  <r>
    <x v="840"/>
    <x v="2"/>
    <x v="3"/>
    <n v="17"/>
    <n v="26"/>
    <x v="5"/>
    <x v="5"/>
    <s v="overdraft"/>
    <n v="921064049"/>
  </r>
  <r>
    <x v="840"/>
    <x v="2"/>
    <x v="3"/>
    <n v="17"/>
    <n v="26"/>
    <x v="27"/>
    <x v="19"/>
    <s v="payday"/>
    <n v="11943828000"/>
  </r>
  <r>
    <x v="840"/>
    <x v="2"/>
    <x v="3"/>
    <n v="17"/>
    <n v="26"/>
    <x v="15"/>
    <x v="14"/>
    <s v="paylater"/>
    <n v="0"/>
  </r>
  <r>
    <x v="840"/>
    <x v="2"/>
    <x v="3"/>
    <n v="17"/>
    <n v="26"/>
    <x v="31"/>
    <x v="22"/>
    <s v="cashloan"/>
    <n v="0"/>
  </r>
  <r>
    <x v="840"/>
    <x v="2"/>
    <x v="3"/>
    <n v="17"/>
    <n v="26"/>
    <x v="14"/>
    <x v="13"/>
    <s v="cashloan"/>
    <n v="2989110000"/>
  </r>
  <r>
    <x v="840"/>
    <x v="2"/>
    <x v="3"/>
    <n v="17"/>
    <n v="26"/>
    <x v="33"/>
    <x v="13"/>
    <s v="cashloan"/>
    <n v="753520000"/>
  </r>
  <r>
    <x v="840"/>
    <x v="2"/>
    <x v="3"/>
    <n v="17"/>
    <n v="26"/>
    <x v="23"/>
    <x v="17"/>
    <s v="paylater"/>
    <n v="10285000"/>
  </r>
  <r>
    <x v="840"/>
    <x v="2"/>
    <x v="3"/>
    <n v="17"/>
    <n v="26"/>
    <x v="28"/>
    <x v="17"/>
    <s v="paylater"/>
    <n v="1126565631"/>
  </r>
  <r>
    <x v="840"/>
    <x v="2"/>
    <x v="3"/>
    <n v="17"/>
    <n v="26"/>
    <x v="8"/>
    <x v="8"/>
    <s v="cashloan"/>
    <n v="0"/>
  </r>
  <r>
    <x v="840"/>
    <x v="2"/>
    <x v="3"/>
    <n v="17"/>
    <n v="26"/>
    <x v="26"/>
    <x v="16"/>
    <s v="cashloan"/>
    <n v="57750000"/>
  </r>
  <r>
    <x v="840"/>
    <x v="2"/>
    <x v="3"/>
    <n v="17"/>
    <n v="26"/>
    <x v="32"/>
    <x v="16"/>
    <s v="cashloan"/>
    <n v="0"/>
  </r>
  <r>
    <x v="840"/>
    <x v="2"/>
    <x v="3"/>
    <n v="17"/>
    <n v="26"/>
    <x v="2"/>
    <x v="2"/>
    <s v="cashloan"/>
    <n v="13923340000"/>
  </r>
  <r>
    <x v="840"/>
    <x v="2"/>
    <x v="3"/>
    <n v="17"/>
    <n v="26"/>
    <x v="17"/>
    <x v="9"/>
    <s v="cashloan"/>
    <n v="0"/>
  </r>
  <r>
    <x v="840"/>
    <x v="2"/>
    <x v="3"/>
    <n v="17"/>
    <n v="26"/>
    <x v="20"/>
    <x v="9"/>
    <s v="cashloan"/>
    <n v="0"/>
  </r>
  <r>
    <x v="840"/>
    <x v="2"/>
    <x v="3"/>
    <n v="17"/>
    <n v="26"/>
    <x v="21"/>
    <x v="9"/>
    <s v="cashloan"/>
    <n v="0"/>
  </r>
  <r>
    <x v="840"/>
    <x v="2"/>
    <x v="3"/>
    <n v="17"/>
    <n v="26"/>
    <x v="25"/>
    <x v="2"/>
    <s v="cashloan"/>
    <n v="0"/>
  </r>
  <r>
    <x v="840"/>
    <x v="2"/>
    <x v="3"/>
    <n v="17"/>
    <n v="26"/>
    <x v="0"/>
    <x v="0"/>
    <s v="payday"/>
    <n v="9789444000"/>
  </r>
  <r>
    <x v="840"/>
    <x v="2"/>
    <x v="3"/>
    <n v="17"/>
    <n v="26"/>
    <x v="7"/>
    <x v="7"/>
    <s v="paylater"/>
    <n v="144784889"/>
  </r>
  <r>
    <x v="840"/>
    <x v="2"/>
    <x v="3"/>
    <n v="17"/>
    <n v="26"/>
    <x v="1"/>
    <x v="1"/>
    <s v="cashloan"/>
    <n v="15750000"/>
  </r>
  <r>
    <x v="840"/>
    <x v="2"/>
    <x v="3"/>
    <n v="17"/>
    <n v="26"/>
    <x v="6"/>
    <x v="6"/>
    <s v="payday"/>
    <n v="45000000"/>
  </r>
  <r>
    <x v="840"/>
    <x v="2"/>
    <x v="3"/>
    <n v="17"/>
    <n v="26"/>
    <x v="18"/>
    <x v="15"/>
    <s v="cashloan"/>
    <n v="929450000"/>
  </r>
  <r>
    <x v="840"/>
    <x v="2"/>
    <x v="3"/>
    <n v="17"/>
    <n v="26"/>
    <x v="29"/>
    <x v="20"/>
    <s v="payday"/>
    <n v="252612000"/>
  </r>
  <r>
    <x v="840"/>
    <x v="2"/>
    <x v="3"/>
    <n v="17"/>
    <n v="26"/>
    <x v="19"/>
    <x v="12"/>
    <s v="paylater"/>
    <n v="213719719"/>
  </r>
  <r>
    <x v="840"/>
    <x v="2"/>
    <x v="3"/>
    <n v="17"/>
    <n v="26"/>
    <x v="24"/>
    <x v="18"/>
    <s v="cashloan"/>
    <n v="4862720000"/>
  </r>
  <r>
    <x v="840"/>
    <x v="2"/>
    <x v="3"/>
    <n v="17"/>
    <n v="26"/>
    <x v="30"/>
    <x v="21"/>
    <s v="payday"/>
    <n v="0"/>
  </r>
  <r>
    <x v="841"/>
    <x v="2"/>
    <x v="3"/>
    <n v="18"/>
    <n v="27"/>
    <x v="3"/>
    <x v="3"/>
    <s v="cashloan"/>
    <n v="556450000"/>
  </r>
  <r>
    <x v="841"/>
    <x v="2"/>
    <x v="3"/>
    <n v="18"/>
    <n v="27"/>
    <x v="11"/>
    <x v="10"/>
    <s v="paylater"/>
    <n v="325656867"/>
  </r>
  <r>
    <x v="841"/>
    <x v="2"/>
    <x v="3"/>
    <n v="18"/>
    <n v="27"/>
    <x v="12"/>
    <x v="11"/>
    <s v="cashloan"/>
    <n v="10570340000"/>
  </r>
  <r>
    <x v="841"/>
    <x v="2"/>
    <x v="3"/>
    <n v="18"/>
    <n v="27"/>
    <x v="5"/>
    <x v="5"/>
    <s v="overdraft"/>
    <n v="1307737180"/>
  </r>
  <r>
    <x v="841"/>
    <x v="2"/>
    <x v="3"/>
    <n v="18"/>
    <n v="27"/>
    <x v="27"/>
    <x v="19"/>
    <s v="payday"/>
    <n v="12461796000"/>
  </r>
  <r>
    <x v="841"/>
    <x v="2"/>
    <x v="3"/>
    <n v="18"/>
    <n v="27"/>
    <x v="15"/>
    <x v="14"/>
    <s v="paylater"/>
    <n v="0"/>
  </r>
  <r>
    <x v="841"/>
    <x v="2"/>
    <x v="3"/>
    <n v="18"/>
    <n v="27"/>
    <x v="31"/>
    <x v="22"/>
    <s v="cashloan"/>
    <n v="0"/>
  </r>
  <r>
    <x v="841"/>
    <x v="2"/>
    <x v="3"/>
    <n v="18"/>
    <n v="27"/>
    <x v="14"/>
    <x v="13"/>
    <s v="cashloan"/>
    <n v="2617380000"/>
  </r>
  <r>
    <x v="841"/>
    <x v="2"/>
    <x v="3"/>
    <n v="18"/>
    <n v="27"/>
    <x v="33"/>
    <x v="13"/>
    <s v="cashloan"/>
    <n v="897440000"/>
  </r>
  <r>
    <x v="841"/>
    <x v="2"/>
    <x v="3"/>
    <n v="18"/>
    <n v="27"/>
    <x v="23"/>
    <x v="17"/>
    <s v="paylater"/>
    <n v="13666610"/>
  </r>
  <r>
    <x v="841"/>
    <x v="2"/>
    <x v="3"/>
    <n v="18"/>
    <n v="27"/>
    <x v="28"/>
    <x v="17"/>
    <s v="paylater"/>
    <n v="969675024"/>
  </r>
  <r>
    <x v="841"/>
    <x v="2"/>
    <x v="3"/>
    <n v="18"/>
    <n v="27"/>
    <x v="8"/>
    <x v="8"/>
    <s v="cashloan"/>
    <n v="0"/>
  </r>
  <r>
    <x v="841"/>
    <x v="2"/>
    <x v="3"/>
    <n v="18"/>
    <n v="27"/>
    <x v="26"/>
    <x v="16"/>
    <s v="cashloan"/>
    <n v="15750000"/>
  </r>
  <r>
    <x v="841"/>
    <x v="2"/>
    <x v="3"/>
    <n v="18"/>
    <n v="27"/>
    <x v="32"/>
    <x v="16"/>
    <s v="cashloan"/>
    <n v="0"/>
  </r>
  <r>
    <x v="841"/>
    <x v="2"/>
    <x v="3"/>
    <n v="18"/>
    <n v="27"/>
    <x v="2"/>
    <x v="2"/>
    <s v="cashloan"/>
    <n v="14907670000"/>
  </r>
  <r>
    <x v="841"/>
    <x v="2"/>
    <x v="3"/>
    <n v="18"/>
    <n v="27"/>
    <x v="17"/>
    <x v="9"/>
    <s v="cashloan"/>
    <n v="0"/>
  </r>
  <r>
    <x v="841"/>
    <x v="2"/>
    <x v="3"/>
    <n v="18"/>
    <n v="27"/>
    <x v="20"/>
    <x v="9"/>
    <s v="cashloan"/>
    <n v="0"/>
  </r>
  <r>
    <x v="841"/>
    <x v="2"/>
    <x v="3"/>
    <n v="18"/>
    <n v="27"/>
    <x v="21"/>
    <x v="9"/>
    <s v="cashloan"/>
    <n v="0"/>
  </r>
  <r>
    <x v="841"/>
    <x v="2"/>
    <x v="3"/>
    <n v="18"/>
    <n v="27"/>
    <x v="25"/>
    <x v="2"/>
    <s v="cashloan"/>
    <n v="0"/>
  </r>
  <r>
    <x v="841"/>
    <x v="2"/>
    <x v="3"/>
    <n v="18"/>
    <n v="27"/>
    <x v="0"/>
    <x v="0"/>
    <s v="payday"/>
    <n v="9999072000"/>
  </r>
  <r>
    <x v="841"/>
    <x v="2"/>
    <x v="3"/>
    <n v="18"/>
    <n v="27"/>
    <x v="7"/>
    <x v="7"/>
    <s v="paylater"/>
    <n v="137238973"/>
  </r>
  <r>
    <x v="841"/>
    <x v="2"/>
    <x v="3"/>
    <n v="18"/>
    <n v="27"/>
    <x v="1"/>
    <x v="1"/>
    <s v="cashloan"/>
    <n v="21000000"/>
  </r>
  <r>
    <x v="841"/>
    <x v="2"/>
    <x v="3"/>
    <n v="18"/>
    <n v="27"/>
    <x v="6"/>
    <x v="6"/>
    <s v="payday"/>
    <n v="72000000"/>
  </r>
  <r>
    <x v="841"/>
    <x v="2"/>
    <x v="3"/>
    <n v="18"/>
    <n v="27"/>
    <x v="18"/>
    <x v="15"/>
    <s v="cashloan"/>
    <n v="542590000"/>
  </r>
  <r>
    <x v="841"/>
    <x v="2"/>
    <x v="3"/>
    <n v="18"/>
    <n v="27"/>
    <x v="29"/>
    <x v="20"/>
    <s v="payday"/>
    <n v="285984000"/>
  </r>
  <r>
    <x v="841"/>
    <x v="2"/>
    <x v="3"/>
    <n v="18"/>
    <n v="27"/>
    <x v="19"/>
    <x v="12"/>
    <s v="paylater"/>
    <n v="305971303"/>
  </r>
  <r>
    <x v="841"/>
    <x v="2"/>
    <x v="3"/>
    <n v="18"/>
    <n v="27"/>
    <x v="24"/>
    <x v="18"/>
    <s v="cashloan"/>
    <n v="4888940000"/>
  </r>
  <r>
    <x v="841"/>
    <x v="2"/>
    <x v="3"/>
    <n v="18"/>
    <n v="27"/>
    <x v="30"/>
    <x v="21"/>
    <s v="payday"/>
    <n v="0"/>
  </r>
  <r>
    <x v="842"/>
    <x v="2"/>
    <x v="3"/>
    <n v="18"/>
    <n v="28"/>
    <x v="3"/>
    <x v="3"/>
    <s v="cashloan"/>
    <n v="526000000"/>
  </r>
  <r>
    <x v="842"/>
    <x v="2"/>
    <x v="3"/>
    <n v="18"/>
    <n v="28"/>
    <x v="11"/>
    <x v="10"/>
    <s v="paylater"/>
    <n v="311187199"/>
  </r>
  <r>
    <x v="842"/>
    <x v="2"/>
    <x v="3"/>
    <n v="18"/>
    <n v="28"/>
    <x v="12"/>
    <x v="11"/>
    <s v="cashloan"/>
    <n v="12885850000"/>
  </r>
  <r>
    <x v="842"/>
    <x v="2"/>
    <x v="3"/>
    <n v="18"/>
    <n v="28"/>
    <x v="5"/>
    <x v="5"/>
    <s v="overdraft"/>
    <n v="1730597535"/>
  </r>
  <r>
    <x v="842"/>
    <x v="2"/>
    <x v="3"/>
    <n v="18"/>
    <n v="28"/>
    <x v="27"/>
    <x v="19"/>
    <s v="payday"/>
    <n v="14327280000"/>
  </r>
  <r>
    <x v="842"/>
    <x v="2"/>
    <x v="3"/>
    <n v="18"/>
    <n v="28"/>
    <x v="15"/>
    <x v="14"/>
    <s v="paylater"/>
    <n v="0"/>
  </r>
  <r>
    <x v="842"/>
    <x v="2"/>
    <x v="3"/>
    <n v="18"/>
    <n v="28"/>
    <x v="31"/>
    <x v="22"/>
    <s v="cashloan"/>
    <n v="0"/>
  </r>
  <r>
    <x v="842"/>
    <x v="2"/>
    <x v="3"/>
    <n v="18"/>
    <n v="28"/>
    <x v="14"/>
    <x v="13"/>
    <s v="cashloan"/>
    <n v="2523180000"/>
  </r>
  <r>
    <x v="842"/>
    <x v="2"/>
    <x v="3"/>
    <n v="18"/>
    <n v="28"/>
    <x v="33"/>
    <x v="13"/>
    <s v="cashloan"/>
    <n v="1172500000"/>
  </r>
  <r>
    <x v="842"/>
    <x v="2"/>
    <x v="3"/>
    <n v="18"/>
    <n v="28"/>
    <x v="23"/>
    <x v="17"/>
    <s v="paylater"/>
    <n v="10989000"/>
  </r>
  <r>
    <x v="842"/>
    <x v="2"/>
    <x v="3"/>
    <n v="18"/>
    <n v="28"/>
    <x v="28"/>
    <x v="17"/>
    <s v="paylater"/>
    <n v="1068221147"/>
  </r>
  <r>
    <x v="842"/>
    <x v="2"/>
    <x v="3"/>
    <n v="18"/>
    <n v="28"/>
    <x v="8"/>
    <x v="8"/>
    <s v="cashloan"/>
    <n v="0"/>
  </r>
  <r>
    <x v="842"/>
    <x v="2"/>
    <x v="3"/>
    <n v="18"/>
    <n v="28"/>
    <x v="26"/>
    <x v="16"/>
    <s v="cashloan"/>
    <n v="96750000"/>
  </r>
  <r>
    <x v="842"/>
    <x v="2"/>
    <x v="3"/>
    <n v="18"/>
    <n v="28"/>
    <x v="32"/>
    <x v="16"/>
    <s v="cashloan"/>
    <n v="0"/>
  </r>
  <r>
    <x v="842"/>
    <x v="2"/>
    <x v="3"/>
    <n v="18"/>
    <n v="28"/>
    <x v="2"/>
    <x v="2"/>
    <s v="cashloan"/>
    <n v="15526020000"/>
  </r>
  <r>
    <x v="842"/>
    <x v="2"/>
    <x v="3"/>
    <n v="18"/>
    <n v="28"/>
    <x v="17"/>
    <x v="9"/>
    <s v="cashloan"/>
    <n v="0"/>
  </r>
  <r>
    <x v="842"/>
    <x v="2"/>
    <x v="3"/>
    <n v="18"/>
    <n v="28"/>
    <x v="20"/>
    <x v="9"/>
    <s v="cashloan"/>
    <n v="0"/>
  </r>
  <r>
    <x v="842"/>
    <x v="2"/>
    <x v="3"/>
    <n v="18"/>
    <n v="28"/>
    <x v="21"/>
    <x v="9"/>
    <s v="cashloan"/>
    <n v="0"/>
  </r>
  <r>
    <x v="842"/>
    <x v="2"/>
    <x v="3"/>
    <n v="18"/>
    <n v="28"/>
    <x v="25"/>
    <x v="2"/>
    <s v="cashloan"/>
    <n v="0"/>
  </r>
  <r>
    <x v="842"/>
    <x v="2"/>
    <x v="3"/>
    <n v="18"/>
    <n v="28"/>
    <x v="0"/>
    <x v="0"/>
    <s v="payday"/>
    <n v="11045268000"/>
  </r>
  <r>
    <x v="842"/>
    <x v="2"/>
    <x v="3"/>
    <n v="18"/>
    <n v="28"/>
    <x v="7"/>
    <x v="7"/>
    <s v="paylater"/>
    <n v="129271786"/>
  </r>
  <r>
    <x v="842"/>
    <x v="2"/>
    <x v="3"/>
    <n v="18"/>
    <n v="28"/>
    <x v="1"/>
    <x v="1"/>
    <s v="cashloan"/>
    <n v="43600000"/>
  </r>
  <r>
    <x v="842"/>
    <x v="2"/>
    <x v="3"/>
    <n v="18"/>
    <n v="28"/>
    <x v="6"/>
    <x v="6"/>
    <s v="payday"/>
    <n v="76000000"/>
  </r>
  <r>
    <x v="842"/>
    <x v="2"/>
    <x v="3"/>
    <n v="18"/>
    <n v="28"/>
    <x v="18"/>
    <x v="15"/>
    <s v="cashloan"/>
    <n v="769540000"/>
  </r>
  <r>
    <x v="842"/>
    <x v="2"/>
    <x v="3"/>
    <n v="18"/>
    <n v="28"/>
    <x v="29"/>
    <x v="20"/>
    <s v="payday"/>
    <n v="321840000"/>
  </r>
  <r>
    <x v="842"/>
    <x v="2"/>
    <x v="3"/>
    <n v="18"/>
    <n v="28"/>
    <x v="19"/>
    <x v="12"/>
    <s v="paylater"/>
    <n v="361246014"/>
  </r>
  <r>
    <x v="842"/>
    <x v="2"/>
    <x v="3"/>
    <n v="18"/>
    <n v="28"/>
    <x v="24"/>
    <x v="18"/>
    <s v="cashloan"/>
    <n v="6032760000"/>
  </r>
  <r>
    <x v="842"/>
    <x v="2"/>
    <x v="3"/>
    <n v="18"/>
    <n v="28"/>
    <x v="30"/>
    <x v="21"/>
    <s v="payday"/>
    <n v="0"/>
  </r>
  <r>
    <x v="843"/>
    <x v="2"/>
    <x v="3"/>
    <n v="18"/>
    <n v="29"/>
    <x v="3"/>
    <x v="3"/>
    <s v="cashloan"/>
    <n v="687460000"/>
  </r>
  <r>
    <x v="843"/>
    <x v="2"/>
    <x v="3"/>
    <n v="18"/>
    <n v="29"/>
    <x v="11"/>
    <x v="10"/>
    <s v="paylater"/>
    <n v="315783903"/>
  </r>
  <r>
    <x v="843"/>
    <x v="2"/>
    <x v="3"/>
    <n v="18"/>
    <n v="29"/>
    <x v="12"/>
    <x v="11"/>
    <s v="cashloan"/>
    <n v="12860960000"/>
  </r>
  <r>
    <x v="843"/>
    <x v="2"/>
    <x v="3"/>
    <n v="18"/>
    <n v="29"/>
    <x v="5"/>
    <x v="5"/>
    <s v="overdraft"/>
    <n v="1698883297"/>
  </r>
  <r>
    <x v="843"/>
    <x v="2"/>
    <x v="3"/>
    <n v="18"/>
    <n v="29"/>
    <x v="27"/>
    <x v="19"/>
    <s v="payday"/>
    <n v="15115788000"/>
  </r>
  <r>
    <x v="843"/>
    <x v="2"/>
    <x v="3"/>
    <n v="18"/>
    <n v="29"/>
    <x v="15"/>
    <x v="14"/>
    <s v="paylater"/>
    <n v="0"/>
  </r>
  <r>
    <x v="843"/>
    <x v="2"/>
    <x v="3"/>
    <n v="18"/>
    <n v="29"/>
    <x v="31"/>
    <x v="22"/>
    <s v="cashloan"/>
    <n v="90000000"/>
  </r>
  <r>
    <x v="843"/>
    <x v="2"/>
    <x v="3"/>
    <n v="18"/>
    <n v="29"/>
    <x v="14"/>
    <x v="13"/>
    <s v="cashloan"/>
    <n v="2529180000"/>
  </r>
  <r>
    <x v="843"/>
    <x v="2"/>
    <x v="3"/>
    <n v="18"/>
    <n v="29"/>
    <x v="33"/>
    <x v="13"/>
    <s v="cashloan"/>
    <n v="863690000"/>
  </r>
  <r>
    <x v="843"/>
    <x v="2"/>
    <x v="3"/>
    <n v="18"/>
    <n v="29"/>
    <x v="23"/>
    <x v="17"/>
    <s v="paylater"/>
    <n v="16494134"/>
  </r>
  <r>
    <x v="843"/>
    <x v="2"/>
    <x v="3"/>
    <n v="18"/>
    <n v="29"/>
    <x v="28"/>
    <x v="17"/>
    <s v="paylater"/>
    <n v="934501465"/>
  </r>
  <r>
    <x v="843"/>
    <x v="2"/>
    <x v="3"/>
    <n v="18"/>
    <n v="29"/>
    <x v="8"/>
    <x v="8"/>
    <s v="cashloan"/>
    <n v="0"/>
  </r>
  <r>
    <x v="843"/>
    <x v="2"/>
    <x v="3"/>
    <n v="18"/>
    <n v="29"/>
    <x v="26"/>
    <x v="16"/>
    <s v="cashloan"/>
    <n v="15750000"/>
  </r>
  <r>
    <x v="843"/>
    <x v="2"/>
    <x v="3"/>
    <n v="18"/>
    <n v="29"/>
    <x v="32"/>
    <x v="16"/>
    <s v="cashloan"/>
    <n v="83430000"/>
  </r>
  <r>
    <x v="843"/>
    <x v="2"/>
    <x v="3"/>
    <n v="18"/>
    <n v="29"/>
    <x v="2"/>
    <x v="2"/>
    <s v="cashloan"/>
    <n v="16124590000"/>
  </r>
  <r>
    <x v="843"/>
    <x v="2"/>
    <x v="3"/>
    <n v="18"/>
    <n v="29"/>
    <x v="17"/>
    <x v="9"/>
    <s v="cashloan"/>
    <n v="0"/>
  </r>
  <r>
    <x v="843"/>
    <x v="2"/>
    <x v="3"/>
    <n v="18"/>
    <n v="29"/>
    <x v="20"/>
    <x v="9"/>
    <s v="cashloan"/>
    <n v="0"/>
  </r>
  <r>
    <x v="843"/>
    <x v="2"/>
    <x v="3"/>
    <n v="18"/>
    <n v="29"/>
    <x v="21"/>
    <x v="9"/>
    <s v="cashloan"/>
    <n v="0"/>
  </r>
  <r>
    <x v="843"/>
    <x v="2"/>
    <x v="3"/>
    <n v="18"/>
    <n v="29"/>
    <x v="25"/>
    <x v="2"/>
    <s v="cashloan"/>
    <n v="0"/>
  </r>
  <r>
    <x v="843"/>
    <x v="2"/>
    <x v="3"/>
    <n v="18"/>
    <n v="29"/>
    <x v="0"/>
    <x v="0"/>
    <s v="payday"/>
    <n v="11571012000"/>
  </r>
  <r>
    <x v="843"/>
    <x v="2"/>
    <x v="3"/>
    <n v="18"/>
    <n v="29"/>
    <x v="7"/>
    <x v="7"/>
    <s v="paylater"/>
    <n v="135326808"/>
  </r>
  <r>
    <x v="843"/>
    <x v="2"/>
    <x v="3"/>
    <n v="18"/>
    <n v="29"/>
    <x v="1"/>
    <x v="1"/>
    <s v="cashloan"/>
    <n v="99750000"/>
  </r>
  <r>
    <x v="843"/>
    <x v="2"/>
    <x v="3"/>
    <n v="18"/>
    <n v="29"/>
    <x v="6"/>
    <x v="6"/>
    <s v="payday"/>
    <n v="42000000"/>
  </r>
  <r>
    <x v="843"/>
    <x v="2"/>
    <x v="3"/>
    <n v="18"/>
    <n v="29"/>
    <x v="18"/>
    <x v="15"/>
    <s v="cashloan"/>
    <n v="872880000"/>
  </r>
  <r>
    <x v="843"/>
    <x v="2"/>
    <x v="3"/>
    <n v="18"/>
    <n v="29"/>
    <x v="29"/>
    <x v="20"/>
    <s v="payday"/>
    <n v="305964000"/>
  </r>
  <r>
    <x v="843"/>
    <x v="2"/>
    <x v="3"/>
    <n v="18"/>
    <n v="29"/>
    <x v="19"/>
    <x v="12"/>
    <s v="paylater"/>
    <n v="288721906"/>
  </r>
  <r>
    <x v="843"/>
    <x v="2"/>
    <x v="3"/>
    <n v="18"/>
    <n v="29"/>
    <x v="24"/>
    <x v="18"/>
    <s v="cashloan"/>
    <n v="5969040000"/>
  </r>
  <r>
    <x v="843"/>
    <x v="2"/>
    <x v="3"/>
    <n v="18"/>
    <n v="29"/>
    <x v="30"/>
    <x v="21"/>
    <s v="payday"/>
    <n v="0"/>
  </r>
  <r>
    <x v="844"/>
    <x v="2"/>
    <x v="3"/>
    <n v="18"/>
    <n v="30"/>
    <x v="3"/>
    <x v="3"/>
    <s v="cashloan"/>
    <n v="518170000"/>
  </r>
  <r>
    <x v="844"/>
    <x v="2"/>
    <x v="3"/>
    <n v="18"/>
    <n v="30"/>
    <x v="11"/>
    <x v="10"/>
    <s v="paylater"/>
    <n v="267128277"/>
  </r>
  <r>
    <x v="844"/>
    <x v="2"/>
    <x v="3"/>
    <n v="18"/>
    <n v="30"/>
    <x v="12"/>
    <x v="11"/>
    <s v="cashloan"/>
    <n v="10386840000"/>
  </r>
  <r>
    <x v="844"/>
    <x v="2"/>
    <x v="3"/>
    <n v="18"/>
    <n v="30"/>
    <x v="5"/>
    <x v="5"/>
    <s v="overdraft"/>
    <n v="1603726826"/>
  </r>
  <r>
    <x v="844"/>
    <x v="2"/>
    <x v="3"/>
    <n v="18"/>
    <n v="30"/>
    <x v="27"/>
    <x v="19"/>
    <s v="payday"/>
    <n v="12702960000"/>
  </r>
  <r>
    <x v="844"/>
    <x v="2"/>
    <x v="3"/>
    <n v="18"/>
    <n v="30"/>
    <x v="15"/>
    <x v="14"/>
    <s v="paylater"/>
    <n v="0"/>
  </r>
  <r>
    <x v="844"/>
    <x v="2"/>
    <x v="3"/>
    <n v="18"/>
    <n v="30"/>
    <x v="31"/>
    <x v="22"/>
    <s v="cashloan"/>
    <n v="0"/>
  </r>
  <r>
    <x v="844"/>
    <x v="2"/>
    <x v="3"/>
    <n v="18"/>
    <n v="30"/>
    <x v="14"/>
    <x v="13"/>
    <s v="cashloan"/>
    <n v="1377790000"/>
  </r>
  <r>
    <x v="844"/>
    <x v="2"/>
    <x v="3"/>
    <n v="18"/>
    <n v="30"/>
    <x v="33"/>
    <x v="13"/>
    <s v="cashloan"/>
    <n v="557180000"/>
  </r>
  <r>
    <x v="844"/>
    <x v="2"/>
    <x v="3"/>
    <n v="18"/>
    <n v="30"/>
    <x v="23"/>
    <x v="17"/>
    <s v="paylater"/>
    <n v="15600832"/>
  </r>
  <r>
    <x v="844"/>
    <x v="2"/>
    <x v="3"/>
    <n v="18"/>
    <n v="30"/>
    <x v="28"/>
    <x v="17"/>
    <s v="paylater"/>
    <n v="1130919971"/>
  </r>
  <r>
    <x v="844"/>
    <x v="2"/>
    <x v="3"/>
    <n v="18"/>
    <n v="30"/>
    <x v="8"/>
    <x v="8"/>
    <s v="cashloan"/>
    <n v="0"/>
  </r>
  <r>
    <x v="844"/>
    <x v="2"/>
    <x v="3"/>
    <n v="18"/>
    <n v="30"/>
    <x v="26"/>
    <x v="16"/>
    <s v="cashloan"/>
    <n v="15000000"/>
  </r>
  <r>
    <x v="844"/>
    <x v="2"/>
    <x v="3"/>
    <n v="18"/>
    <n v="30"/>
    <x v="32"/>
    <x v="16"/>
    <s v="cashloan"/>
    <n v="0"/>
  </r>
  <r>
    <x v="844"/>
    <x v="2"/>
    <x v="3"/>
    <n v="18"/>
    <n v="30"/>
    <x v="2"/>
    <x v="2"/>
    <s v="cashloan"/>
    <n v="13482030000"/>
  </r>
  <r>
    <x v="844"/>
    <x v="2"/>
    <x v="3"/>
    <n v="18"/>
    <n v="30"/>
    <x v="17"/>
    <x v="9"/>
    <s v="cashloan"/>
    <n v="0"/>
  </r>
  <r>
    <x v="844"/>
    <x v="2"/>
    <x v="3"/>
    <n v="18"/>
    <n v="30"/>
    <x v="20"/>
    <x v="9"/>
    <s v="cashloan"/>
    <n v="0"/>
  </r>
  <r>
    <x v="844"/>
    <x v="2"/>
    <x v="3"/>
    <n v="18"/>
    <n v="30"/>
    <x v="21"/>
    <x v="9"/>
    <s v="cashloan"/>
    <n v="0"/>
  </r>
  <r>
    <x v="844"/>
    <x v="2"/>
    <x v="3"/>
    <n v="18"/>
    <n v="30"/>
    <x v="25"/>
    <x v="2"/>
    <s v="cashloan"/>
    <n v="0"/>
  </r>
  <r>
    <x v="844"/>
    <x v="2"/>
    <x v="3"/>
    <n v="18"/>
    <n v="30"/>
    <x v="0"/>
    <x v="0"/>
    <s v="payday"/>
    <n v="10214856000"/>
  </r>
  <r>
    <x v="844"/>
    <x v="2"/>
    <x v="3"/>
    <n v="18"/>
    <n v="30"/>
    <x v="7"/>
    <x v="7"/>
    <s v="paylater"/>
    <n v="138944687"/>
  </r>
  <r>
    <x v="844"/>
    <x v="2"/>
    <x v="3"/>
    <n v="18"/>
    <n v="30"/>
    <x v="1"/>
    <x v="1"/>
    <s v="cashloan"/>
    <n v="42000000"/>
  </r>
  <r>
    <x v="844"/>
    <x v="2"/>
    <x v="3"/>
    <n v="18"/>
    <n v="30"/>
    <x v="6"/>
    <x v="6"/>
    <s v="payday"/>
    <n v="59000000"/>
  </r>
  <r>
    <x v="844"/>
    <x v="2"/>
    <x v="3"/>
    <n v="18"/>
    <n v="30"/>
    <x v="18"/>
    <x v="15"/>
    <s v="cashloan"/>
    <n v="728720000"/>
  </r>
  <r>
    <x v="844"/>
    <x v="2"/>
    <x v="3"/>
    <n v="18"/>
    <n v="30"/>
    <x v="29"/>
    <x v="20"/>
    <s v="payday"/>
    <n v="268272000"/>
  </r>
  <r>
    <x v="844"/>
    <x v="2"/>
    <x v="3"/>
    <n v="18"/>
    <n v="30"/>
    <x v="19"/>
    <x v="12"/>
    <s v="paylater"/>
    <n v="237276638"/>
  </r>
  <r>
    <x v="844"/>
    <x v="2"/>
    <x v="3"/>
    <n v="18"/>
    <n v="30"/>
    <x v="24"/>
    <x v="18"/>
    <s v="cashloan"/>
    <n v="3823010000"/>
  </r>
  <r>
    <x v="844"/>
    <x v="2"/>
    <x v="3"/>
    <n v="18"/>
    <n v="30"/>
    <x v="30"/>
    <x v="21"/>
    <s v="payday"/>
    <n v="0"/>
  </r>
  <r>
    <x v="845"/>
    <x v="2"/>
    <x v="4"/>
    <n v="18"/>
    <n v="1"/>
    <x v="3"/>
    <x v="3"/>
    <s v="cashloan"/>
    <n v="587800000"/>
  </r>
  <r>
    <x v="845"/>
    <x v="2"/>
    <x v="4"/>
    <n v="18"/>
    <n v="1"/>
    <x v="11"/>
    <x v="10"/>
    <s v="paylater"/>
    <n v="283417997"/>
  </r>
  <r>
    <x v="845"/>
    <x v="2"/>
    <x v="4"/>
    <n v="18"/>
    <n v="1"/>
    <x v="12"/>
    <x v="11"/>
    <s v="cashloan"/>
    <n v="12149760000"/>
  </r>
  <r>
    <x v="845"/>
    <x v="2"/>
    <x v="4"/>
    <n v="18"/>
    <n v="1"/>
    <x v="5"/>
    <x v="5"/>
    <s v="overdraft"/>
    <n v="2254419075"/>
  </r>
  <r>
    <x v="845"/>
    <x v="2"/>
    <x v="4"/>
    <n v="18"/>
    <n v="1"/>
    <x v="27"/>
    <x v="19"/>
    <s v="payday"/>
    <n v="13544280000"/>
  </r>
  <r>
    <x v="845"/>
    <x v="2"/>
    <x v="4"/>
    <n v="18"/>
    <n v="1"/>
    <x v="15"/>
    <x v="14"/>
    <s v="paylater"/>
    <n v="0"/>
  </r>
  <r>
    <x v="845"/>
    <x v="2"/>
    <x v="4"/>
    <n v="18"/>
    <n v="1"/>
    <x v="31"/>
    <x v="22"/>
    <s v="cashloan"/>
    <n v="0"/>
  </r>
  <r>
    <x v="845"/>
    <x v="2"/>
    <x v="4"/>
    <n v="18"/>
    <n v="1"/>
    <x v="14"/>
    <x v="13"/>
    <s v="cashloan"/>
    <n v="2167950000"/>
  </r>
  <r>
    <x v="845"/>
    <x v="2"/>
    <x v="4"/>
    <n v="18"/>
    <n v="1"/>
    <x v="33"/>
    <x v="13"/>
    <s v="cashloan"/>
    <n v="674210000"/>
  </r>
  <r>
    <x v="845"/>
    <x v="2"/>
    <x v="4"/>
    <n v="18"/>
    <n v="1"/>
    <x v="23"/>
    <x v="17"/>
    <s v="paylater"/>
    <n v="6105133"/>
  </r>
  <r>
    <x v="845"/>
    <x v="2"/>
    <x v="4"/>
    <n v="18"/>
    <n v="1"/>
    <x v="28"/>
    <x v="17"/>
    <s v="paylater"/>
    <n v="1606557199"/>
  </r>
  <r>
    <x v="845"/>
    <x v="2"/>
    <x v="4"/>
    <n v="18"/>
    <n v="1"/>
    <x v="8"/>
    <x v="8"/>
    <s v="cashloan"/>
    <n v="0"/>
  </r>
  <r>
    <x v="845"/>
    <x v="2"/>
    <x v="4"/>
    <n v="18"/>
    <n v="1"/>
    <x v="26"/>
    <x v="16"/>
    <s v="cashloan"/>
    <n v="0"/>
  </r>
  <r>
    <x v="845"/>
    <x v="2"/>
    <x v="4"/>
    <n v="18"/>
    <n v="1"/>
    <x v="32"/>
    <x v="16"/>
    <s v="cashloan"/>
    <n v="0"/>
  </r>
  <r>
    <x v="845"/>
    <x v="2"/>
    <x v="4"/>
    <n v="18"/>
    <n v="1"/>
    <x v="2"/>
    <x v="2"/>
    <s v="cashloan"/>
    <n v="13618440000"/>
  </r>
  <r>
    <x v="845"/>
    <x v="2"/>
    <x v="4"/>
    <n v="18"/>
    <n v="1"/>
    <x v="17"/>
    <x v="9"/>
    <s v="cashloan"/>
    <n v="0"/>
  </r>
  <r>
    <x v="845"/>
    <x v="2"/>
    <x v="4"/>
    <n v="18"/>
    <n v="1"/>
    <x v="20"/>
    <x v="9"/>
    <s v="cashloan"/>
    <n v="0"/>
  </r>
  <r>
    <x v="845"/>
    <x v="2"/>
    <x v="4"/>
    <n v="18"/>
    <n v="1"/>
    <x v="21"/>
    <x v="9"/>
    <s v="cashloan"/>
    <n v="0"/>
  </r>
  <r>
    <x v="845"/>
    <x v="2"/>
    <x v="4"/>
    <n v="18"/>
    <n v="1"/>
    <x v="25"/>
    <x v="2"/>
    <s v="cashloan"/>
    <n v="0"/>
  </r>
  <r>
    <x v="845"/>
    <x v="2"/>
    <x v="4"/>
    <n v="18"/>
    <n v="1"/>
    <x v="0"/>
    <x v="0"/>
    <s v="payday"/>
    <n v="10536372000"/>
  </r>
  <r>
    <x v="845"/>
    <x v="2"/>
    <x v="4"/>
    <n v="18"/>
    <n v="1"/>
    <x v="7"/>
    <x v="7"/>
    <s v="paylater"/>
    <n v="390515453"/>
  </r>
  <r>
    <x v="845"/>
    <x v="2"/>
    <x v="4"/>
    <n v="18"/>
    <n v="1"/>
    <x v="1"/>
    <x v="1"/>
    <s v="cashloan"/>
    <n v="42000000"/>
  </r>
  <r>
    <x v="845"/>
    <x v="2"/>
    <x v="4"/>
    <n v="18"/>
    <n v="1"/>
    <x v="6"/>
    <x v="6"/>
    <s v="payday"/>
    <n v="40000000"/>
  </r>
  <r>
    <x v="845"/>
    <x v="2"/>
    <x v="4"/>
    <n v="18"/>
    <n v="1"/>
    <x v="18"/>
    <x v="15"/>
    <s v="cashloan"/>
    <n v="708530000"/>
  </r>
  <r>
    <x v="845"/>
    <x v="2"/>
    <x v="4"/>
    <n v="18"/>
    <n v="1"/>
    <x v="29"/>
    <x v="20"/>
    <s v="payday"/>
    <n v="256500000"/>
  </r>
  <r>
    <x v="845"/>
    <x v="2"/>
    <x v="4"/>
    <n v="18"/>
    <n v="1"/>
    <x v="19"/>
    <x v="12"/>
    <s v="paylater"/>
    <n v="501716510"/>
  </r>
  <r>
    <x v="845"/>
    <x v="2"/>
    <x v="4"/>
    <n v="18"/>
    <n v="1"/>
    <x v="24"/>
    <x v="18"/>
    <s v="cashloan"/>
    <n v="5488300000"/>
  </r>
  <r>
    <x v="845"/>
    <x v="2"/>
    <x v="4"/>
    <n v="18"/>
    <n v="1"/>
    <x v="30"/>
    <x v="21"/>
    <s v="payday"/>
    <n v="0"/>
  </r>
  <r>
    <x v="846"/>
    <x v="2"/>
    <x v="4"/>
    <n v="18"/>
    <n v="2"/>
    <x v="3"/>
    <x v="3"/>
    <s v="cashloan"/>
    <n v="905180000"/>
  </r>
  <r>
    <x v="846"/>
    <x v="2"/>
    <x v="4"/>
    <n v="18"/>
    <n v="2"/>
    <x v="11"/>
    <x v="10"/>
    <s v="paylater"/>
    <n v="335770349"/>
  </r>
  <r>
    <x v="846"/>
    <x v="2"/>
    <x v="4"/>
    <n v="18"/>
    <n v="2"/>
    <x v="12"/>
    <x v="11"/>
    <s v="cashloan"/>
    <n v="12813960000"/>
  </r>
  <r>
    <x v="846"/>
    <x v="2"/>
    <x v="4"/>
    <n v="18"/>
    <n v="2"/>
    <x v="5"/>
    <x v="5"/>
    <s v="overdraft"/>
    <n v="2061329631"/>
  </r>
  <r>
    <x v="846"/>
    <x v="2"/>
    <x v="4"/>
    <n v="18"/>
    <n v="2"/>
    <x v="27"/>
    <x v="19"/>
    <s v="payday"/>
    <n v="15123888000"/>
  </r>
  <r>
    <x v="846"/>
    <x v="2"/>
    <x v="4"/>
    <n v="18"/>
    <n v="2"/>
    <x v="15"/>
    <x v="14"/>
    <s v="paylater"/>
    <n v="0"/>
  </r>
  <r>
    <x v="846"/>
    <x v="2"/>
    <x v="4"/>
    <n v="18"/>
    <n v="2"/>
    <x v="31"/>
    <x v="22"/>
    <s v="cashloan"/>
    <n v="0"/>
  </r>
  <r>
    <x v="846"/>
    <x v="2"/>
    <x v="4"/>
    <n v="18"/>
    <n v="2"/>
    <x v="14"/>
    <x v="13"/>
    <s v="cashloan"/>
    <n v="2596130000"/>
  </r>
  <r>
    <x v="846"/>
    <x v="2"/>
    <x v="4"/>
    <n v="18"/>
    <n v="2"/>
    <x v="33"/>
    <x v="13"/>
    <s v="cashloan"/>
    <n v="696480000"/>
  </r>
  <r>
    <x v="846"/>
    <x v="2"/>
    <x v="4"/>
    <n v="18"/>
    <n v="2"/>
    <x v="23"/>
    <x v="17"/>
    <s v="paylater"/>
    <n v="12425811"/>
  </r>
  <r>
    <x v="846"/>
    <x v="2"/>
    <x v="4"/>
    <n v="18"/>
    <n v="2"/>
    <x v="28"/>
    <x v="17"/>
    <s v="paylater"/>
    <n v="1338237382"/>
  </r>
  <r>
    <x v="846"/>
    <x v="2"/>
    <x v="4"/>
    <n v="18"/>
    <n v="2"/>
    <x v="8"/>
    <x v="8"/>
    <s v="cashloan"/>
    <n v="0"/>
  </r>
  <r>
    <x v="846"/>
    <x v="2"/>
    <x v="4"/>
    <n v="18"/>
    <n v="2"/>
    <x v="26"/>
    <x v="16"/>
    <s v="cashloan"/>
    <n v="15750000"/>
  </r>
  <r>
    <x v="846"/>
    <x v="2"/>
    <x v="4"/>
    <n v="18"/>
    <n v="2"/>
    <x v="32"/>
    <x v="16"/>
    <s v="cashloan"/>
    <n v="0"/>
  </r>
  <r>
    <x v="846"/>
    <x v="2"/>
    <x v="4"/>
    <n v="18"/>
    <n v="2"/>
    <x v="2"/>
    <x v="2"/>
    <s v="cashloan"/>
    <n v="15666950000"/>
  </r>
  <r>
    <x v="846"/>
    <x v="2"/>
    <x v="4"/>
    <n v="18"/>
    <n v="2"/>
    <x v="17"/>
    <x v="9"/>
    <s v="cashloan"/>
    <n v="0"/>
  </r>
  <r>
    <x v="846"/>
    <x v="2"/>
    <x v="4"/>
    <n v="18"/>
    <n v="2"/>
    <x v="20"/>
    <x v="9"/>
    <s v="cashloan"/>
    <n v="0"/>
  </r>
  <r>
    <x v="846"/>
    <x v="2"/>
    <x v="4"/>
    <n v="18"/>
    <n v="2"/>
    <x v="21"/>
    <x v="9"/>
    <s v="cashloan"/>
    <n v="0"/>
  </r>
  <r>
    <x v="846"/>
    <x v="2"/>
    <x v="4"/>
    <n v="18"/>
    <n v="2"/>
    <x v="25"/>
    <x v="2"/>
    <s v="cashloan"/>
    <n v="0"/>
  </r>
  <r>
    <x v="846"/>
    <x v="2"/>
    <x v="4"/>
    <n v="18"/>
    <n v="2"/>
    <x v="0"/>
    <x v="0"/>
    <s v="payday"/>
    <n v="11171628000"/>
  </r>
  <r>
    <x v="846"/>
    <x v="2"/>
    <x v="4"/>
    <n v="18"/>
    <n v="2"/>
    <x v="7"/>
    <x v="7"/>
    <s v="paylater"/>
    <n v="372570154"/>
  </r>
  <r>
    <x v="846"/>
    <x v="2"/>
    <x v="4"/>
    <n v="18"/>
    <n v="2"/>
    <x v="1"/>
    <x v="1"/>
    <s v="cashloan"/>
    <n v="67750000"/>
  </r>
  <r>
    <x v="846"/>
    <x v="2"/>
    <x v="4"/>
    <n v="18"/>
    <n v="2"/>
    <x v="6"/>
    <x v="6"/>
    <s v="payday"/>
    <n v="85000000"/>
  </r>
  <r>
    <x v="846"/>
    <x v="2"/>
    <x v="4"/>
    <n v="18"/>
    <n v="2"/>
    <x v="18"/>
    <x v="15"/>
    <s v="cashloan"/>
    <n v="802440000"/>
  </r>
  <r>
    <x v="846"/>
    <x v="2"/>
    <x v="4"/>
    <n v="18"/>
    <n v="2"/>
    <x v="29"/>
    <x v="20"/>
    <s v="payday"/>
    <n v="270108000"/>
  </r>
  <r>
    <x v="846"/>
    <x v="2"/>
    <x v="4"/>
    <n v="18"/>
    <n v="2"/>
    <x v="19"/>
    <x v="12"/>
    <s v="paylater"/>
    <n v="563239295"/>
  </r>
  <r>
    <x v="846"/>
    <x v="2"/>
    <x v="4"/>
    <n v="18"/>
    <n v="2"/>
    <x v="24"/>
    <x v="18"/>
    <s v="cashloan"/>
    <n v="5671780000"/>
  </r>
  <r>
    <x v="846"/>
    <x v="2"/>
    <x v="4"/>
    <n v="18"/>
    <n v="2"/>
    <x v="30"/>
    <x v="21"/>
    <s v="payday"/>
    <n v="0"/>
  </r>
  <r>
    <x v="847"/>
    <x v="2"/>
    <x v="4"/>
    <n v="18"/>
    <n v="3"/>
    <x v="3"/>
    <x v="3"/>
    <s v="cashloan"/>
    <n v="631420000"/>
  </r>
  <r>
    <x v="847"/>
    <x v="2"/>
    <x v="4"/>
    <n v="18"/>
    <n v="3"/>
    <x v="11"/>
    <x v="10"/>
    <s v="paylater"/>
    <n v="406585218"/>
  </r>
  <r>
    <x v="847"/>
    <x v="2"/>
    <x v="4"/>
    <n v="18"/>
    <n v="3"/>
    <x v="12"/>
    <x v="11"/>
    <s v="cashloan"/>
    <n v="12572790000"/>
  </r>
  <r>
    <x v="847"/>
    <x v="2"/>
    <x v="4"/>
    <n v="18"/>
    <n v="3"/>
    <x v="5"/>
    <x v="5"/>
    <s v="overdraft"/>
    <n v="1765358512"/>
  </r>
  <r>
    <x v="847"/>
    <x v="2"/>
    <x v="4"/>
    <n v="18"/>
    <n v="3"/>
    <x v="27"/>
    <x v="19"/>
    <s v="payday"/>
    <n v="14574600000"/>
  </r>
  <r>
    <x v="847"/>
    <x v="2"/>
    <x v="4"/>
    <n v="18"/>
    <n v="3"/>
    <x v="15"/>
    <x v="14"/>
    <s v="paylater"/>
    <n v="0"/>
  </r>
  <r>
    <x v="847"/>
    <x v="2"/>
    <x v="4"/>
    <n v="18"/>
    <n v="3"/>
    <x v="31"/>
    <x v="22"/>
    <s v="cashloan"/>
    <n v="0"/>
  </r>
  <r>
    <x v="847"/>
    <x v="2"/>
    <x v="4"/>
    <n v="18"/>
    <n v="3"/>
    <x v="14"/>
    <x v="13"/>
    <s v="cashloan"/>
    <n v="2351960000"/>
  </r>
  <r>
    <x v="847"/>
    <x v="2"/>
    <x v="4"/>
    <n v="18"/>
    <n v="3"/>
    <x v="33"/>
    <x v="13"/>
    <s v="cashloan"/>
    <n v="845730000"/>
  </r>
  <r>
    <x v="847"/>
    <x v="2"/>
    <x v="4"/>
    <n v="18"/>
    <n v="3"/>
    <x v="23"/>
    <x v="17"/>
    <s v="paylater"/>
    <n v="23214537"/>
  </r>
  <r>
    <x v="847"/>
    <x v="2"/>
    <x v="4"/>
    <n v="18"/>
    <n v="3"/>
    <x v="28"/>
    <x v="17"/>
    <s v="paylater"/>
    <n v="1521950737"/>
  </r>
  <r>
    <x v="847"/>
    <x v="2"/>
    <x v="4"/>
    <n v="18"/>
    <n v="3"/>
    <x v="8"/>
    <x v="8"/>
    <s v="cashloan"/>
    <n v="0"/>
  </r>
  <r>
    <x v="847"/>
    <x v="2"/>
    <x v="4"/>
    <n v="18"/>
    <n v="3"/>
    <x v="26"/>
    <x v="16"/>
    <s v="cashloan"/>
    <n v="20000000"/>
  </r>
  <r>
    <x v="847"/>
    <x v="2"/>
    <x v="4"/>
    <n v="18"/>
    <n v="3"/>
    <x v="32"/>
    <x v="16"/>
    <s v="cashloan"/>
    <n v="0"/>
  </r>
  <r>
    <x v="847"/>
    <x v="2"/>
    <x v="4"/>
    <n v="18"/>
    <n v="3"/>
    <x v="2"/>
    <x v="2"/>
    <s v="cashloan"/>
    <n v="13515580000"/>
  </r>
  <r>
    <x v="847"/>
    <x v="2"/>
    <x v="4"/>
    <n v="18"/>
    <n v="3"/>
    <x v="17"/>
    <x v="9"/>
    <s v="cashloan"/>
    <n v="0"/>
  </r>
  <r>
    <x v="847"/>
    <x v="2"/>
    <x v="4"/>
    <n v="18"/>
    <n v="3"/>
    <x v="20"/>
    <x v="9"/>
    <s v="cashloan"/>
    <n v="0"/>
  </r>
  <r>
    <x v="847"/>
    <x v="2"/>
    <x v="4"/>
    <n v="18"/>
    <n v="3"/>
    <x v="21"/>
    <x v="9"/>
    <s v="cashloan"/>
    <n v="0"/>
  </r>
  <r>
    <x v="847"/>
    <x v="2"/>
    <x v="4"/>
    <n v="18"/>
    <n v="3"/>
    <x v="25"/>
    <x v="2"/>
    <s v="cashloan"/>
    <n v="0"/>
  </r>
  <r>
    <x v="847"/>
    <x v="2"/>
    <x v="4"/>
    <n v="18"/>
    <n v="3"/>
    <x v="0"/>
    <x v="0"/>
    <s v="payday"/>
    <n v="11118276000"/>
  </r>
  <r>
    <x v="847"/>
    <x v="2"/>
    <x v="4"/>
    <n v="18"/>
    <n v="3"/>
    <x v="7"/>
    <x v="7"/>
    <s v="paylater"/>
    <n v="417087324"/>
  </r>
  <r>
    <x v="847"/>
    <x v="2"/>
    <x v="4"/>
    <n v="18"/>
    <n v="3"/>
    <x v="1"/>
    <x v="1"/>
    <s v="cashloan"/>
    <n v="10500000"/>
  </r>
  <r>
    <x v="847"/>
    <x v="2"/>
    <x v="4"/>
    <n v="18"/>
    <n v="3"/>
    <x v="6"/>
    <x v="6"/>
    <s v="payday"/>
    <n v="43000000"/>
  </r>
  <r>
    <x v="847"/>
    <x v="2"/>
    <x v="4"/>
    <n v="18"/>
    <n v="3"/>
    <x v="18"/>
    <x v="15"/>
    <s v="cashloan"/>
    <n v="817730000"/>
  </r>
  <r>
    <x v="847"/>
    <x v="2"/>
    <x v="4"/>
    <n v="18"/>
    <n v="3"/>
    <x v="29"/>
    <x v="20"/>
    <s v="payday"/>
    <n v="298620000"/>
  </r>
  <r>
    <x v="847"/>
    <x v="2"/>
    <x v="4"/>
    <n v="18"/>
    <n v="3"/>
    <x v="19"/>
    <x v="12"/>
    <s v="paylater"/>
    <n v="852749804"/>
  </r>
  <r>
    <x v="847"/>
    <x v="2"/>
    <x v="4"/>
    <n v="18"/>
    <n v="3"/>
    <x v="24"/>
    <x v="18"/>
    <s v="cashloan"/>
    <n v="6642240000"/>
  </r>
  <r>
    <x v="847"/>
    <x v="2"/>
    <x v="4"/>
    <n v="18"/>
    <n v="3"/>
    <x v="30"/>
    <x v="21"/>
    <s v="payday"/>
    <n v="0"/>
  </r>
  <r>
    <x v="848"/>
    <x v="2"/>
    <x v="4"/>
    <n v="19"/>
    <n v="4"/>
    <x v="3"/>
    <x v="3"/>
    <s v="cashloan"/>
    <n v="873460000"/>
  </r>
  <r>
    <x v="848"/>
    <x v="2"/>
    <x v="4"/>
    <n v="19"/>
    <n v="4"/>
    <x v="11"/>
    <x v="10"/>
    <s v="paylater"/>
    <n v="405269917"/>
  </r>
  <r>
    <x v="848"/>
    <x v="2"/>
    <x v="4"/>
    <n v="19"/>
    <n v="4"/>
    <x v="12"/>
    <x v="11"/>
    <s v="cashloan"/>
    <n v="18897230000"/>
  </r>
  <r>
    <x v="848"/>
    <x v="2"/>
    <x v="4"/>
    <n v="19"/>
    <n v="4"/>
    <x v="5"/>
    <x v="5"/>
    <s v="overdraft"/>
    <n v="2980771990"/>
  </r>
  <r>
    <x v="848"/>
    <x v="2"/>
    <x v="4"/>
    <n v="19"/>
    <n v="4"/>
    <x v="27"/>
    <x v="19"/>
    <s v="payday"/>
    <n v="16421400000"/>
  </r>
  <r>
    <x v="848"/>
    <x v="2"/>
    <x v="4"/>
    <n v="19"/>
    <n v="4"/>
    <x v="15"/>
    <x v="14"/>
    <s v="paylater"/>
    <n v="0"/>
  </r>
  <r>
    <x v="848"/>
    <x v="2"/>
    <x v="4"/>
    <n v="19"/>
    <n v="4"/>
    <x v="31"/>
    <x v="22"/>
    <s v="cashloan"/>
    <n v="0"/>
  </r>
  <r>
    <x v="848"/>
    <x v="2"/>
    <x v="4"/>
    <n v="19"/>
    <n v="4"/>
    <x v="14"/>
    <x v="13"/>
    <s v="cashloan"/>
    <n v="3375590000"/>
  </r>
  <r>
    <x v="848"/>
    <x v="2"/>
    <x v="4"/>
    <n v="19"/>
    <n v="4"/>
    <x v="33"/>
    <x v="13"/>
    <s v="cashloan"/>
    <n v="934740000"/>
  </r>
  <r>
    <x v="848"/>
    <x v="2"/>
    <x v="4"/>
    <n v="19"/>
    <n v="4"/>
    <x v="23"/>
    <x v="17"/>
    <s v="paylater"/>
    <n v="10761482"/>
  </r>
  <r>
    <x v="848"/>
    <x v="2"/>
    <x v="4"/>
    <n v="19"/>
    <n v="4"/>
    <x v="28"/>
    <x v="17"/>
    <s v="paylater"/>
    <n v="1104046954"/>
  </r>
  <r>
    <x v="848"/>
    <x v="2"/>
    <x v="4"/>
    <n v="19"/>
    <n v="4"/>
    <x v="8"/>
    <x v="8"/>
    <s v="cashloan"/>
    <n v="0"/>
  </r>
  <r>
    <x v="848"/>
    <x v="2"/>
    <x v="4"/>
    <n v="19"/>
    <n v="4"/>
    <x v="26"/>
    <x v="16"/>
    <s v="cashloan"/>
    <n v="182250000"/>
  </r>
  <r>
    <x v="848"/>
    <x v="2"/>
    <x v="4"/>
    <n v="19"/>
    <n v="4"/>
    <x v="32"/>
    <x v="16"/>
    <s v="cashloan"/>
    <n v="83430000"/>
  </r>
  <r>
    <x v="848"/>
    <x v="2"/>
    <x v="4"/>
    <n v="19"/>
    <n v="4"/>
    <x v="2"/>
    <x v="2"/>
    <s v="cashloan"/>
    <n v="17324950000"/>
  </r>
  <r>
    <x v="848"/>
    <x v="2"/>
    <x v="4"/>
    <n v="19"/>
    <n v="4"/>
    <x v="17"/>
    <x v="9"/>
    <s v="cashloan"/>
    <n v="0"/>
  </r>
  <r>
    <x v="848"/>
    <x v="2"/>
    <x v="4"/>
    <n v="19"/>
    <n v="4"/>
    <x v="20"/>
    <x v="9"/>
    <s v="cashloan"/>
    <n v="0"/>
  </r>
  <r>
    <x v="848"/>
    <x v="2"/>
    <x v="4"/>
    <n v="19"/>
    <n v="4"/>
    <x v="21"/>
    <x v="9"/>
    <s v="cashloan"/>
    <n v="0"/>
  </r>
  <r>
    <x v="848"/>
    <x v="2"/>
    <x v="4"/>
    <n v="19"/>
    <n v="4"/>
    <x v="25"/>
    <x v="2"/>
    <s v="cashloan"/>
    <n v="0"/>
  </r>
  <r>
    <x v="848"/>
    <x v="2"/>
    <x v="4"/>
    <n v="19"/>
    <n v="4"/>
    <x v="0"/>
    <x v="0"/>
    <s v="payday"/>
    <n v="12049776000"/>
  </r>
  <r>
    <x v="848"/>
    <x v="2"/>
    <x v="4"/>
    <n v="19"/>
    <n v="4"/>
    <x v="7"/>
    <x v="7"/>
    <s v="paylater"/>
    <n v="504483379"/>
  </r>
  <r>
    <x v="848"/>
    <x v="2"/>
    <x v="4"/>
    <n v="19"/>
    <n v="4"/>
    <x v="1"/>
    <x v="1"/>
    <s v="cashloan"/>
    <n v="75900000"/>
  </r>
  <r>
    <x v="848"/>
    <x v="2"/>
    <x v="4"/>
    <n v="19"/>
    <n v="4"/>
    <x v="6"/>
    <x v="6"/>
    <s v="payday"/>
    <n v="54000000"/>
  </r>
  <r>
    <x v="848"/>
    <x v="2"/>
    <x v="4"/>
    <n v="19"/>
    <n v="4"/>
    <x v="18"/>
    <x v="15"/>
    <s v="cashloan"/>
    <n v="1160140000"/>
  </r>
  <r>
    <x v="848"/>
    <x v="2"/>
    <x v="4"/>
    <n v="19"/>
    <n v="4"/>
    <x v="29"/>
    <x v="20"/>
    <s v="payday"/>
    <n v="367416000"/>
  </r>
  <r>
    <x v="848"/>
    <x v="2"/>
    <x v="4"/>
    <n v="19"/>
    <n v="4"/>
    <x v="19"/>
    <x v="12"/>
    <s v="paylater"/>
    <n v="1576976769"/>
  </r>
  <r>
    <x v="848"/>
    <x v="2"/>
    <x v="4"/>
    <n v="19"/>
    <n v="4"/>
    <x v="24"/>
    <x v="18"/>
    <s v="cashloan"/>
    <n v="6598760000"/>
  </r>
  <r>
    <x v="848"/>
    <x v="2"/>
    <x v="4"/>
    <n v="19"/>
    <n v="4"/>
    <x v="30"/>
    <x v="21"/>
    <s v="payday"/>
    <n v="0"/>
  </r>
  <r>
    <x v="849"/>
    <x v="2"/>
    <x v="4"/>
    <n v="19"/>
    <n v="5"/>
    <x v="3"/>
    <x v="3"/>
    <s v="cashloan"/>
    <n v="902800000"/>
  </r>
  <r>
    <x v="849"/>
    <x v="2"/>
    <x v="4"/>
    <n v="19"/>
    <n v="5"/>
    <x v="11"/>
    <x v="10"/>
    <s v="paylater"/>
    <n v="592917994"/>
  </r>
  <r>
    <x v="849"/>
    <x v="2"/>
    <x v="4"/>
    <n v="19"/>
    <n v="5"/>
    <x v="12"/>
    <x v="11"/>
    <s v="cashloan"/>
    <n v="15874820000"/>
  </r>
  <r>
    <x v="849"/>
    <x v="2"/>
    <x v="4"/>
    <n v="19"/>
    <n v="5"/>
    <x v="34"/>
    <x v="11"/>
    <e v="#N/A"/>
    <n v="5000000"/>
  </r>
  <r>
    <x v="849"/>
    <x v="2"/>
    <x v="4"/>
    <n v="19"/>
    <n v="5"/>
    <x v="5"/>
    <x v="5"/>
    <s v="overdraft"/>
    <n v="2474404317"/>
  </r>
  <r>
    <x v="849"/>
    <x v="2"/>
    <x v="4"/>
    <n v="19"/>
    <n v="5"/>
    <x v="27"/>
    <x v="19"/>
    <s v="payday"/>
    <n v="17451720000"/>
  </r>
  <r>
    <x v="849"/>
    <x v="2"/>
    <x v="4"/>
    <n v="19"/>
    <n v="5"/>
    <x v="15"/>
    <x v="14"/>
    <s v="paylater"/>
    <n v="0"/>
  </r>
  <r>
    <x v="849"/>
    <x v="2"/>
    <x v="4"/>
    <n v="19"/>
    <n v="5"/>
    <x v="31"/>
    <x v="22"/>
    <s v="cashloan"/>
    <n v="0"/>
  </r>
  <r>
    <x v="849"/>
    <x v="2"/>
    <x v="4"/>
    <n v="19"/>
    <n v="5"/>
    <x v="14"/>
    <x v="13"/>
    <s v="cashloan"/>
    <n v="3168430000"/>
  </r>
  <r>
    <x v="849"/>
    <x v="2"/>
    <x v="4"/>
    <n v="19"/>
    <n v="5"/>
    <x v="33"/>
    <x v="13"/>
    <s v="cashloan"/>
    <n v="1416600000"/>
  </r>
  <r>
    <x v="849"/>
    <x v="2"/>
    <x v="4"/>
    <n v="19"/>
    <n v="5"/>
    <x v="23"/>
    <x v="17"/>
    <s v="paylater"/>
    <n v="37019821"/>
  </r>
  <r>
    <x v="849"/>
    <x v="2"/>
    <x v="4"/>
    <n v="19"/>
    <n v="5"/>
    <x v="28"/>
    <x v="17"/>
    <s v="paylater"/>
    <n v="1366531317"/>
  </r>
  <r>
    <x v="849"/>
    <x v="2"/>
    <x v="4"/>
    <n v="19"/>
    <n v="5"/>
    <x v="8"/>
    <x v="8"/>
    <s v="cashloan"/>
    <n v="0"/>
  </r>
  <r>
    <x v="849"/>
    <x v="2"/>
    <x v="4"/>
    <n v="19"/>
    <n v="5"/>
    <x v="26"/>
    <x v="16"/>
    <s v="cashloan"/>
    <n v="36250000"/>
  </r>
  <r>
    <x v="849"/>
    <x v="2"/>
    <x v="4"/>
    <n v="19"/>
    <n v="5"/>
    <x v="32"/>
    <x v="16"/>
    <s v="cashloan"/>
    <n v="0"/>
  </r>
  <r>
    <x v="849"/>
    <x v="2"/>
    <x v="4"/>
    <n v="19"/>
    <n v="5"/>
    <x v="2"/>
    <x v="2"/>
    <s v="cashloan"/>
    <n v="18829010000"/>
  </r>
  <r>
    <x v="849"/>
    <x v="2"/>
    <x v="4"/>
    <n v="19"/>
    <n v="5"/>
    <x v="17"/>
    <x v="9"/>
    <s v="cashloan"/>
    <n v="0"/>
  </r>
  <r>
    <x v="849"/>
    <x v="2"/>
    <x v="4"/>
    <n v="19"/>
    <n v="5"/>
    <x v="20"/>
    <x v="9"/>
    <s v="cashloan"/>
    <n v="0"/>
  </r>
  <r>
    <x v="849"/>
    <x v="2"/>
    <x v="4"/>
    <n v="19"/>
    <n v="5"/>
    <x v="21"/>
    <x v="9"/>
    <s v="cashloan"/>
    <n v="0"/>
  </r>
  <r>
    <x v="849"/>
    <x v="2"/>
    <x v="4"/>
    <n v="19"/>
    <n v="5"/>
    <x v="25"/>
    <x v="2"/>
    <s v="cashloan"/>
    <n v="0"/>
  </r>
  <r>
    <x v="849"/>
    <x v="2"/>
    <x v="4"/>
    <n v="19"/>
    <n v="5"/>
    <x v="0"/>
    <x v="0"/>
    <s v="payday"/>
    <n v="13086036000"/>
  </r>
  <r>
    <x v="849"/>
    <x v="2"/>
    <x v="4"/>
    <n v="19"/>
    <n v="5"/>
    <x v="7"/>
    <x v="7"/>
    <s v="paylater"/>
    <n v="691623470"/>
  </r>
  <r>
    <x v="849"/>
    <x v="2"/>
    <x v="4"/>
    <n v="19"/>
    <n v="5"/>
    <x v="1"/>
    <x v="1"/>
    <s v="cashloan"/>
    <n v="72500000"/>
  </r>
  <r>
    <x v="849"/>
    <x v="2"/>
    <x v="4"/>
    <n v="19"/>
    <n v="5"/>
    <x v="6"/>
    <x v="6"/>
    <s v="payday"/>
    <n v="35000000"/>
  </r>
  <r>
    <x v="849"/>
    <x v="2"/>
    <x v="4"/>
    <n v="19"/>
    <n v="5"/>
    <x v="18"/>
    <x v="15"/>
    <s v="cashloan"/>
    <n v="924230000"/>
  </r>
  <r>
    <x v="849"/>
    <x v="2"/>
    <x v="4"/>
    <n v="19"/>
    <n v="5"/>
    <x v="29"/>
    <x v="20"/>
    <s v="payday"/>
    <n v="331668000"/>
  </r>
  <r>
    <x v="849"/>
    <x v="2"/>
    <x v="4"/>
    <n v="19"/>
    <n v="5"/>
    <x v="19"/>
    <x v="12"/>
    <s v="paylater"/>
    <n v="1622337429"/>
  </r>
  <r>
    <x v="849"/>
    <x v="2"/>
    <x v="4"/>
    <n v="19"/>
    <n v="5"/>
    <x v="24"/>
    <x v="18"/>
    <s v="cashloan"/>
    <n v="7273430000"/>
  </r>
  <r>
    <x v="849"/>
    <x v="2"/>
    <x v="4"/>
    <n v="19"/>
    <n v="5"/>
    <x v="30"/>
    <x v="21"/>
    <s v="payday"/>
    <n v="0"/>
  </r>
  <r>
    <x v="850"/>
    <x v="2"/>
    <x v="4"/>
    <n v="19"/>
    <n v="6"/>
    <x v="3"/>
    <x v="3"/>
    <s v="cashloan"/>
    <n v="1256400000"/>
  </r>
  <r>
    <x v="850"/>
    <x v="2"/>
    <x v="4"/>
    <n v="19"/>
    <n v="6"/>
    <x v="11"/>
    <x v="10"/>
    <s v="paylater"/>
    <n v="418307121"/>
  </r>
  <r>
    <x v="850"/>
    <x v="2"/>
    <x v="4"/>
    <n v="19"/>
    <n v="6"/>
    <x v="12"/>
    <x v="11"/>
    <s v="cashloan"/>
    <n v="17954940000"/>
  </r>
  <r>
    <x v="850"/>
    <x v="2"/>
    <x v="4"/>
    <n v="19"/>
    <n v="6"/>
    <x v="34"/>
    <x v="11"/>
    <e v="#N/A"/>
    <n v="10700000"/>
  </r>
  <r>
    <x v="850"/>
    <x v="2"/>
    <x v="4"/>
    <n v="19"/>
    <n v="6"/>
    <x v="5"/>
    <x v="5"/>
    <s v="overdraft"/>
    <n v="2155984721"/>
  </r>
  <r>
    <x v="850"/>
    <x v="2"/>
    <x v="4"/>
    <n v="19"/>
    <n v="6"/>
    <x v="27"/>
    <x v="19"/>
    <s v="payday"/>
    <n v="15454800000"/>
  </r>
  <r>
    <x v="850"/>
    <x v="2"/>
    <x v="4"/>
    <n v="19"/>
    <n v="6"/>
    <x v="15"/>
    <x v="14"/>
    <s v="paylater"/>
    <n v="0"/>
  </r>
  <r>
    <x v="850"/>
    <x v="2"/>
    <x v="4"/>
    <n v="19"/>
    <n v="6"/>
    <x v="31"/>
    <x v="22"/>
    <s v="cashloan"/>
    <n v="0"/>
  </r>
  <r>
    <x v="850"/>
    <x v="2"/>
    <x v="4"/>
    <n v="19"/>
    <n v="6"/>
    <x v="14"/>
    <x v="13"/>
    <s v="cashloan"/>
    <n v="2894400000"/>
  </r>
  <r>
    <x v="850"/>
    <x v="2"/>
    <x v="4"/>
    <n v="19"/>
    <n v="6"/>
    <x v="33"/>
    <x v="13"/>
    <s v="cashloan"/>
    <n v="874300000"/>
  </r>
  <r>
    <x v="850"/>
    <x v="2"/>
    <x v="4"/>
    <n v="19"/>
    <n v="6"/>
    <x v="23"/>
    <x v="17"/>
    <s v="paylater"/>
    <n v="14823240"/>
  </r>
  <r>
    <x v="850"/>
    <x v="2"/>
    <x v="4"/>
    <n v="19"/>
    <n v="6"/>
    <x v="28"/>
    <x v="17"/>
    <s v="paylater"/>
    <n v="1126034652"/>
  </r>
  <r>
    <x v="850"/>
    <x v="2"/>
    <x v="4"/>
    <n v="19"/>
    <n v="6"/>
    <x v="8"/>
    <x v="8"/>
    <s v="cashloan"/>
    <n v="0"/>
  </r>
  <r>
    <x v="850"/>
    <x v="2"/>
    <x v="4"/>
    <n v="19"/>
    <n v="6"/>
    <x v="26"/>
    <x v="16"/>
    <s v="cashloan"/>
    <n v="77800000"/>
  </r>
  <r>
    <x v="850"/>
    <x v="2"/>
    <x v="4"/>
    <n v="19"/>
    <n v="6"/>
    <x v="32"/>
    <x v="16"/>
    <s v="cashloan"/>
    <n v="0"/>
  </r>
  <r>
    <x v="850"/>
    <x v="2"/>
    <x v="4"/>
    <n v="19"/>
    <n v="6"/>
    <x v="2"/>
    <x v="2"/>
    <s v="cashloan"/>
    <n v="17389700000"/>
  </r>
  <r>
    <x v="850"/>
    <x v="2"/>
    <x v="4"/>
    <n v="19"/>
    <n v="6"/>
    <x v="17"/>
    <x v="9"/>
    <s v="cashloan"/>
    <n v="0"/>
  </r>
  <r>
    <x v="850"/>
    <x v="2"/>
    <x v="4"/>
    <n v="19"/>
    <n v="6"/>
    <x v="20"/>
    <x v="9"/>
    <s v="cashloan"/>
    <n v="0"/>
  </r>
  <r>
    <x v="850"/>
    <x v="2"/>
    <x v="4"/>
    <n v="19"/>
    <n v="6"/>
    <x v="21"/>
    <x v="9"/>
    <s v="cashloan"/>
    <n v="0"/>
  </r>
  <r>
    <x v="850"/>
    <x v="2"/>
    <x v="4"/>
    <n v="19"/>
    <n v="6"/>
    <x v="25"/>
    <x v="2"/>
    <s v="cashloan"/>
    <n v="0"/>
  </r>
  <r>
    <x v="850"/>
    <x v="2"/>
    <x v="4"/>
    <n v="19"/>
    <n v="6"/>
    <x v="0"/>
    <x v="0"/>
    <s v="payday"/>
    <n v="11790576000"/>
  </r>
  <r>
    <x v="850"/>
    <x v="2"/>
    <x v="4"/>
    <n v="19"/>
    <n v="6"/>
    <x v="7"/>
    <x v="7"/>
    <s v="paylater"/>
    <n v="443764392"/>
  </r>
  <r>
    <x v="850"/>
    <x v="2"/>
    <x v="4"/>
    <n v="19"/>
    <n v="6"/>
    <x v="1"/>
    <x v="1"/>
    <s v="cashloan"/>
    <n v="10500000"/>
  </r>
  <r>
    <x v="850"/>
    <x v="2"/>
    <x v="4"/>
    <n v="19"/>
    <n v="6"/>
    <x v="6"/>
    <x v="6"/>
    <s v="payday"/>
    <n v="47000000"/>
  </r>
  <r>
    <x v="850"/>
    <x v="2"/>
    <x v="4"/>
    <n v="19"/>
    <n v="6"/>
    <x v="18"/>
    <x v="15"/>
    <s v="cashloan"/>
    <n v="620860000"/>
  </r>
  <r>
    <x v="850"/>
    <x v="2"/>
    <x v="4"/>
    <n v="19"/>
    <n v="6"/>
    <x v="29"/>
    <x v="20"/>
    <s v="payday"/>
    <n v="279288000"/>
  </r>
  <r>
    <x v="850"/>
    <x v="2"/>
    <x v="4"/>
    <n v="19"/>
    <n v="6"/>
    <x v="19"/>
    <x v="12"/>
    <s v="paylater"/>
    <n v="811342650"/>
  </r>
  <r>
    <x v="850"/>
    <x v="2"/>
    <x v="4"/>
    <n v="19"/>
    <n v="6"/>
    <x v="24"/>
    <x v="18"/>
    <s v="cashloan"/>
    <n v="6644350000"/>
  </r>
  <r>
    <x v="850"/>
    <x v="2"/>
    <x v="4"/>
    <n v="19"/>
    <n v="6"/>
    <x v="30"/>
    <x v="21"/>
    <s v="payday"/>
    <n v="0"/>
  </r>
  <r>
    <x v="851"/>
    <x v="2"/>
    <x v="4"/>
    <n v="19"/>
    <n v="7"/>
    <x v="3"/>
    <x v="3"/>
    <s v="cashloan"/>
    <n v="901880000"/>
  </r>
  <r>
    <x v="851"/>
    <x v="2"/>
    <x v="4"/>
    <n v="19"/>
    <n v="7"/>
    <x v="11"/>
    <x v="10"/>
    <s v="paylater"/>
    <n v="394213659"/>
  </r>
  <r>
    <x v="851"/>
    <x v="2"/>
    <x v="4"/>
    <n v="19"/>
    <n v="7"/>
    <x v="12"/>
    <x v="11"/>
    <s v="cashloan"/>
    <n v="14502750000"/>
  </r>
  <r>
    <x v="851"/>
    <x v="2"/>
    <x v="4"/>
    <n v="19"/>
    <n v="7"/>
    <x v="34"/>
    <x v="11"/>
    <e v="#N/A"/>
    <n v="34260000"/>
  </r>
  <r>
    <x v="851"/>
    <x v="2"/>
    <x v="4"/>
    <n v="19"/>
    <n v="7"/>
    <x v="5"/>
    <x v="5"/>
    <s v="overdraft"/>
    <n v="1766610728"/>
  </r>
  <r>
    <x v="851"/>
    <x v="2"/>
    <x v="4"/>
    <n v="19"/>
    <n v="7"/>
    <x v="27"/>
    <x v="19"/>
    <s v="payday"/>
    <n v="14492520000"/>
  </r>
  <r>
    <x v="851"/>
    <x v="2"/>
    <x v="4"/>
    <n v="19"/>
    <n v="7"/>
    <x v="15"/>
    <x v="14"/>
    <s v="paylater"/>
    <n v="0"/>
  </r>
  <r>
    <x v="851"/>
    <x v="2"/>
    <x v="4"/>
    <n v="19"/>
    <n v="7"/>
    <x v="31"/>
    <x v="22"/>
    <s v="cashloan"/>
    <n v="0"/>
  </r>
  <r>
    <x v="851"/>
    <x v="2"/>
    <x v="4"/>
    <n v="19"/>
    <n v="7"/>
    <x v="14"/>
    <x v="13"/>
    <s v="cashloan"/>
    <n v="2527200000"/>
  </r>
  <r>
    <x v="851"/>
    <x v="2"/>
    <x v="4"/>
    <n v="19"/>
    <n v="7"/>
    <x v="33"/>
    <x v="13"/>
    <s v="cashloan"/>
    <n v="1282440000"/>
  </r>
  <r>
    <x v="851"/>
    <x v="2"/>
    <x v="4"/>
    <n v="19"/>
    <n v="7"/>
    <x v="23"/>
    <x v="17"/>
    <s v="paylater"/>
    <n v="9178767"/>
  </r>
  <r>
    <x v="851"/>
    <x v="2"/>
    <x v="4"/>
    <n v="19"/>
    <n v="7"/>
    <x v="28"/>
    <x v="17"/>
    <s v="paylater"/>
    <n v="1047467812"/>
  </r>
  <r>
    <x v="851"/>
    <x v="2"/>
    <x v="4"/>
    <n v="19"/>
    <n v="7"/>
    <x v="8"/>
    <x v="8"/>
    <s v="cashloan"/>
    <n v="0"/>
  </r>
  <r>
    <x v="851"/>
    <x v="2"/>
    <x v="4"/>
    <n v="19"/>
    <n v="7"/>
    <x v="26"/>
    <x v="16"/>
    <s v="cashloan"/>
    <n v="98000000"/>
  </r>
  <r>
    <x v="851"/>
    <x v="2"/>
    <x v="4"/>
    <n v="19"/>
    <n v="7"/>
    <x v="32"/>
    <x v="16"/>
    <s v="cashloan"/>
    <n v="30900000"/>
  </r>
  <r>
    <x v="851"/>
    <x v="2"/>
    <x v="4"/>
    <n v="19"/>
    <n v="7"/>
    <x v="2"/>
    <x v="2"/>
    <s v="cashloan"/>
    <n v="16998850000"/>
  </r>
  <r>
    <x v="851"/>
    <x v="2"/>
    <x v="4"/>
    <n v="19"/>
    <n v="7"/>
    <x v="17"/>
    <x v="9"/>
    <s v="cashloan"/>
    <n v="0"/>
  </r>
  <r>
    <x v="851"/>
    <x v="2"/>
    <x v="4"/>
    <n v="19"/>
    <n v="7"/>
    <x v="20"/>
    <x v="9"/>
    <s v="cashloan"/>
    <n v="0"/>
  </r>
  <r>
    <x v="851"/>
    <x v="2"/>
    <x v="4"/>
    <n v="19"/>
    <n v="7"/>
    <x v="21"/>
    <x v="9"/>
    <s v="cashloan"/>
    <n v="0"/>
  </r>
  <r>
    <x v="851"/>
    <x v="2"/>
    <x v="4"/>
    <n v="19"/>
    <n v="7"/>
    <x v="25"/>
    <x v="2"/>
    <s v="cashloan"/>
    <n v="0"/>
  </r>
  <r>
    <x v="851"/>
    <x v="2"/>
    <x v="4"/>
    <n v="19"/>
    <n v="7"/>
    <x v="0"/>
    <x v="0"/>
    <s v="payday"/>
    <n v="11190852000"/>
  </r>
  <r>
    <x v="851"/>
    <x v="2"/>
    <x v="4"/>
    <n v="19"/>
    <n v="7"/>
    <x v="7"/>
    <x v="7"/>
    <s v="paylater"/>
    <n v="350618380"/>
  </r>
  <r>
    <x v="851"/>
    <x v="2"/>
    <x v="4"/>
    <n v="19"/>
    <n v="7"/>
    <x v="1"/>
    <x v="1"/>
    <s v="cashloan"/>
    <n v="41000000"/>
  </r>
  <r>
    <x v="851"/>
    <x v="2"/>
    <x v="4"/>
    <n v="19"/>
    <n v="7"/>
    <x v="6"/>
    <x v="6"/>
    <s v="payday"/>
    <n v="16000000"/>
  </r>
  <r>
    <x v="851"/>
    <x v="2"/>
    <x v="4"/>
    <n v="19"/>
    <n v="7"/>
    <x v="18"/>
    <x v="15"/>
    <s v="cashloan"/>
    <n v="630170000"/>
  </r>
  <r>
    <x v="851"/>
    <x v="2"/>
    <x v="4"/>
    <n v="19"/>
    <n v="7"/>
    <x v="29"/>
    <x v="20"/>
    <s v="payday"/>
    <n v="180468000"/>
  </r>
  <r>
    <x v="851"/>
    <x v="2"/>
    <x v="4"/>
    <n v="19"/>
    <n v="7"/>
    <x v="19"/>
    <x v="12"/>
    <s v="paylater"/>
    <n v="512764298"/>
  </r>
  <r>
    <x v="851"/>
    <x v="2"/>
    <x v="4"/>
    <n v="19"/>
    <n v="7"/>
    <x v="24"/>
    <x v="18"/>
    <s v="cashloan"/>
    <n v="5263400000"/>
  </r>
  <r>
    <x v="851"/>
    <x v="2"/>
    <x v="4"/>
    <n v="19"/>
    <n v="7"/>
    <x v="30"/>
    <x v="21"/>
    <s v="payday"/>
    <n v="0"/>
  </r>
  <r>
    <x v="852"/>
    <x v="2"/>
    <x v="4"/>
    <n v="19"/>
    <n v="8"/>
    <x v="3"/>
    <x v="3"/>
    <s v="cashloan"/>
    <n v="560800000"/>
  </r>
  <r>
    <x v="852"/>
    <x v="2"/>
    <x v="4"/>
    <n v="19"/>
    <n v="8"/>
    <x v="11"/>
    <x v="10"/>
    <s v="paylater"/>
    <n v="327512857"/>
  </r>
  <r>
    <x v="852"/>
    <x v="2"/>
    <x v="4"/>
    <n v="19"/>
    <n v="8"/>
    <x v="12"/>
    <x v="11"/>
    <s v="cashloan"/>
    <n v="15097560000"/>
  </r>
  <r>
    <x v="852"/>
    <x v="2"/>
    <x v="4"/>
    <n v="19"/>
    <n v="8"/>
    <x v="34"/>
    <x v="11"/>
    <e v="#N/A"/>
    <n v="55640000"/>
  </r>
  <r>
    <x v="852"/>
    <x v="2"/>
    <x v="4"/>
    <n v="19"/>
    <n v="8"/>
    <x v="5"/>
    <x v="5"/>
    <s v="overdraft"/>
    <n v="1985770077"/>
  </r>
  <r>
    <x v="852"/>
    <x v="2"/>
    <x v="4"/>
    <n v="19"/>
    <n v="8"/>
    <x v="27"/>
    <x v="19"/>
    <s v="payday"/>
    <n v="17177400000"/>
  </r>
  <r>
    <x v="852"/>
    <x v="2"/>
    <x v="4"/>
    <n v="19"/>
    <n v="8"/>
    <x v="15"/>
    <x v="14"/>
    <s v="paylater"/>
    <n v="0"/>
  </r>
  <r>
    <x v="852"/>
    <x v="2"/>
    <x v="4"/>
    <n v="19"/>
    <n v="8"/>
    <x v="31"/>
    <x v="22"/>
    <s v="cashloan"/>
    <n v="80000000"/>
  </r>
  <r>
    <x v="852"/>
    <x v="2"/>
    <x v="4"/>
    <n v="19"/>
    <n v="8"/>
    <x v="14"/>
    <x v="13"/>
    <s v="cashloan"/>
    <n v="2833890000"/>
  </r>
  <r>
    <x v="852"/>
    <x v="2"/>
    <x v="4"/>
    <n v="19"/>
    <n v="8"/>
    <x v="33"/>
    <x v="13"/>
    <s v="cashloan"/>
    <n v="986740000"/>
  </r>
  <r>
    <x v="852"/>
    <x v="2"/>
    <x v="4"/>
    <n v="19"/>
    <n v="8"/>
    <x v="23"/>
    <x v="17"/>
    <s v="paylater"/>
    <n v="4507254"/>
  </r>
  <r>
    <x v="852"/>
    <x v="2"/>
    <x v="4"/>
    <n v="19"/>
    <n v="8"/>
    <x v="28"/>
    <x v="17"/>
    <s v="paylater"/>
    <n v="1114943227"/>
  </r>
  <r>
    <x v="852"/>
    <x v="2"/>
    <x v="4"/>
    <n v="19"/>
    <n v="8"/>
    <x v="8"/>
    <x v="8"/>
    <s v="cashloan"/>
    <n v="0"/>
  </r>
  <r>
    <x v="852"/>
    <x v="2"/>
    <x v="4"/>
    <n v="19"/>
    <n v="8"/>
    <x v="26"/>
    <x v="16"/>
    <s v="cashloan"/>
    <n v="114500000"/>
  </r>
  <r>
    <x v="852"/>
    <x v="2"/>
    <x v="4"/>
    <n v="19"/>
    <n v="8"/>
    <x v="32"/>
    <x v="16"/>
    <s v="cashloan"/>
    <n v="51500000"/>
  </r>
  <r>
    <x v="852"/>
    <x v="2"/>
    <x v="4"/>
    <n v="19"/>
    <n v="8"/>
    <x v="2"/>
    <x v="2"/>
    <s v="cashloan"/>
    <n v="17780860000"/>
  </r>
  <r>
    <x v="852"/>
    <x v="2"/>
    <x v="4"/>
    <n v="19"/>
    <n v="8"/>
    <x v="17"/>
    <x v="9"/>
    <s v="cashloan"/>
    <n v="0"/>
  </r>
  <r>
    <x v="852"/>
    <x v="2"/>
    <x v="4"/>
    <n v="19"/>
    <n v="8"/>
    <x v="20"/>
    <x v="9"/>
    <s v="cashloan"/>
    <n v="0"/>
  </r>
  <r>
    <x v="852"/>
    <x v="2"/>
    <x v="4"/>
    <n v="19"/>
    <n v="8"/>
    <x v="21"/>
    <x v="9"/>
    <s v="cashloan"/>
    <n v="0"/>
  </r>
  <r>
    <x v="852"/>
    <x v="2"/>
    <x v="4"/>
    <n v="19"/>
    <n v="8"/>
    <x v="25"/>
    <x v="2"/>
    <s v="cashloan"/>
    <n v="0"/>
  </r>
  <r>
    <x v="852"/>
    <x v="2"/>
    <x v="4"/>
    <n v="19"/>
    <n v="8"/>
    <x v="0"/>
    <x v="0"/>
    <s v="payday"/>
    <n v="13637376000"/>
  </r>
  <r>
    <x v="852"/>
    <x v="2"/>
    <x v="4"/>
    <n v="19"/>
    <n v="8"/>
    <x v="7"/>
    <x v="7"/>
    <s v="paylater"/>
    <n v="272737888"/>
  </r>
  <r>
    <x v="852"/>
    <x v="2"/>
    <x v="4"/>
    <n v="19"/>
    <n v="8"/>
    <x v="1"/>
    <x v="1"/>
    <s v="cashloan"/>
    <n v="10500000"/>
  </r>
  <r>
    <x v="852"/>
    <x v="2"/>
    <x v="4"/>
    <n v="19"/>
    <n v="8"/>
    <x v="6"/>
    <x v="6"/>
    <s v="payday"/>
    <n v="36000000"/>
  </r>
  <r>
    <x v="852"/>
    <x v="2"/>
    <x v="4"/>
    <n v="19"/>
    <n v="8"/>
    <x v="18"/>
    <x v="15"/>
    <s v="cashloan"/>
    <n v="753660000"/>
  </r>
  <r>
    <x v="852"/>
    <x v="2"/>
    <x v="4"/>
    <n v="19"/>
    <n v="8"/>
    <x v="29"/>
    <x v="20"/>
    <s v="payday"/>
    <n v="291600000"/>
  </r>
  <r>
    <x v="852"/>
    <x v="2"/>
    <x v="4"/>
    <n v="19"/>
    <n v="8"/>
    <x v="19"/>
    <x v="12"/>
    <s v="paylater"/>
    <n v="400792781"/>
  </r>
  <r>
    <x v="852"/>
    <x v="2"/>
    <x v="4"/>
    <n v="19"/>
    <n v="8"/>
    <x v="24"/>
    <x v="18"/>
    <s v="cashloan"/>
    <n v="5722310000"/>
  </r>
  <r>
    <x v="852"/>
    <x v="2"/>
    <x v="4"/>
    <n v="19"/>
    <n v="8"/>
    <x v="30"/>
    <x v="21"/>
    <s v="payday"/>
    <n v="0"/>
  </r>
  <r>
    <x v="853"/>
    <x v="2"/>
    <x v="4"/>
    <n v="19"/>
    <n v="9"/>
    <x v="3"/>
    <x v="3"/>
    <s v="cashloan"/>
    <n v="965240000"/>
  </r>
  <r>
    <x v="853"/>
    <x v="2"/>
    <x v="4"/>
    <n v="19"/>
    <n v="9"/>
    <x v="11"/>
    <x v="10"/>
    <s v="paylater"/>
    <n v="349092703"/>
  </r>
  <r>
    <x v="853"/>
    <x v="2"/>
    <x v="4"/>
    <n v="19"/>
    <n v="9"/>
    <x v="12"/>
    <x v="11"/>
    <s v="cashloan"/>
    <n v="14375340000"/>
  </r>
  <r>
    <x v="853"/>
    <x v="2"/>
    <x v="4"/>
    <n v="19"/>
    <n v="9"/>
    <x v="34"/>
    <x v="11"/>
    <e v="#N/A"/>
    <n v="99510000"/>
  </r>
  <r>
    <x v="853"/>
    <x v="2"/>
    <x v="4"/>
    <n v="19"/>
    <n v="9"/>
    <x v="5"/>
    <x v="5"/>
    <s v="overdraft"/>
    <n v="1570711589"/>
  </r>
  <r>
    <x v="853"/>
    <x v="2"/>
    <x v="4"/>
    <n v="19"/>
    <n v="9"/>
    <x v="27"/>
    <x v="19"/>
    <s v="payday"/>
    <n v="16232400000"/>
  </r>
  <r>
    <x v="853"/>
    <x v="2"/>
    <x v="4"/>
    <n v="19"/>
    <n v="9"/>
    <x v="15"/>
    <x v="14"/>
    <s v="paylater"/>
    <n v="0"/>
  </r>
  <r>
    <x v="853"/>
    <x v="2"/>
    <x v="4"/>
    <n v="19"/>
    <n v="9"/>
    <x v="31"/>
    <x v="22"/>
    <s v="cashloan"/>
    <n v="0"/>
  </r>
  <r>
    <x v="853"/>
    <x v="2"/>
    <x v="4"/>
    <n v="19"/>
    <n v="9"/>
    <x v="14"/>
    <x v="13"/>
    <s v="cashloan"/>
    <n v="2616250000"/>
  </r>
  <r>
    <x v="853"/>
    <x v="2"/>
    <x v="4"/>
    <n v="19"/>
    <n v="9"/>
    <x v="33"/>
    <x v="13"/>
    <s v="cashloan"/>
    <n v="974880000"/>
  </r>
  <r>
    <x v="853"/>
    <x v="2"/>
    <x v="4"/>
    <n v="19"/>
    <n v="9"/>
    <x v="23"/>
    <x v="17"/>
    <s v="paylater"/>
    <n v="21331487"/>
  </r>
  <r>
    <x v="853"/>
    <x v="2"/>
    <x v="4"/>
    <n v="19"/>
    <n v="9"/>
    <x v="28"/>
    <x v="17"/>
    <s v="paylater"/>
    <n v="1503059628"/>
  </r>
  <r>
    <x v="853"/>
    <x v="2"/>
    <x v="4"/>
    <n v="19"/>
    <n v="9"/>
    <x v="8"/>
    <x v="8"/>
    <s v="cashloan"/>
    <n v="0"/>
  </r>
  <r>
    <x v="853"/>
    <x v="2"/>
    <x v="4"/>
    <n v="19"/>
    <n v="9"/>
    <x v="26"/>
    <x v="16"/>
    <s v="cashloan"/>
    <n v="57750000"/>
  </r>
  <r>
    <x v="853"/>
    <x v="2"/>
    <x v="4"/>
    <n v="19"/>
    <n v="9"/>
    <x v="32"/>
    <x v="16"/>
    <s v="cashloan"/>
    <n v="20600000"/>
  </r>
  <r>
    <x v="853"/>
    <x v="2"/>
    <x v="4"/>
    <n v="19"/>
    <n v="9"/>
    <x v="2"/>
    <x v="2"/>
    <s v="cashloan"/>
    <n v="18784580000"/>
  </r>
  <r>
    <x v="853"/>
    <x v="2"/>
    <x v="4"/>
    <n v="19"/>
    <n v="9"/>
    <x v="17"/>
    <x v="9"/>
    <s v="cashloan"/>
    <n v="0"/>
  </r>
  <r>
    <x v="853"/>
    <x v="2"/>
    <x v="4"/>
    <n v="19"/>
    <n v="9"/>
    <x v="20"/>
    <x v="9"/>
    <s v="cashloan"/>
    <n v="0"/>
  </r>
  <r>
    <x v="853"/>
    <x v="2"/>
    <x v="4"/>
    <n v="19"/>
    <n v="9"/>
    <x v="21"/>
    <x v="9"/>
    <s v="cashloan"/>
    <n v="0"/>
  </r>
  <r>
    <x v="853"/>
    <x v="2"/>
    <x v="4"/>
    <n v="19"/>
    <n v="9"/>
    <x v="25"/>
    <x v="2"/>
    <s v="cashloan"/>
    <n v="0"/>
  </r>
  <r>
    <x v="853"/>
    <x v="2"/>
    <x v="4"/>
    <n v="19"/>
    <n v="9"/>
    <x v="0"/>
    <x v="0"/>
    <s v="payday"/>
    <n v="12728880000"/>
  </r>
  <r>
    <x v="853"/>
    <x v="2"/>
    <x v="4"/>
    <n v="19"/>
    <n v="9"/>
    <x v="7"/>
    <x v="7"/>
    <s v="paylater"/>
    <n v="259711703"/>
  </r>
  <r>
    <x v="853"/>
    <x v="2"/>
    <x v="4"/>
    <n v="19"/>
    <n v="9"/>
    <x v="1"/>
    <x v="1"/>
    <s v="cashloan"/>
    <n v="21000000"/>
  </r>
  <r>
    <x v="853"/>
    <x v="2"/>
    <x v="4"/>
    <n v="19"/>
    <n v="9"/>
    <x v="6"/>
    <x v="6"/>
    <s v="payday"/>
    <n v="7000000"/>
  </r>
  <r>
    <x v="853"/>
    <x v="2"/>
    <x v="4"/>
    <n v="19"/>
    <n v="9"/>
    <x v="18"/>
    <x v="15"/>
    <s v="cashloan"/>
    <n v="576060000"/>
  </r>
  <r>
    <x v="853"/>
    <x v="2"/>
    <x v="4"/>
    <n v="19"/>
    <n v="9"/>
    <x v="29"/>
    <x v="20"/>
    <s v="payday"/>
    <n v="260172000"/>
  </r>
  <r>
    <x v="853"/>
    <x v="2"/>
    <x v="4"/>
    <n v="19"/>
    <n v="9"/>
    <x v="19"/>
    <x v="12"/>
    <s v="paylater"/>
    <n v="352294573"/>
  </r>
  <r>
    <x v="853"/>
    <x v="2"/>
    <x v="4"/>
    <n v="19"/>
    <n v="9"/>
    <x v="24"/>
    <x v="18"/>
    <s v="cashloan"/>
    <n v="5272650000"/>
  </r>
  <r>
    <x v="853"/>
    <x v="2"/>
    <x v="4"/>
    <n v="19"/>
    <n v="9"/>
    <x v="30"/>
    <x v="21"/>
    <s v="payday"/>
    <n v="0"/>
  </r>
  <r>
    <x v="854"/>
    <x v="2"/>
    <x v="4"/>
    <n v="19"/>
    <n v="10"/>
    <x v="3"/>
    <x v="3"/>
    <s v="cashloan"/>
    <n v="1021580000"/>
  </r>
  <r>
    <x v="854"/>
    <x v="2"/>
    <x v="4"/>
    <n v="19"/>
    <n v="10"/>
    <x v="11"/>
    <x v="10"/>
    <s v="paylater"/>
    <n v="348948829"/>
  </r>
  <r>
    <x v="854"/>
    <x v="2"/>
    <x v="4"/>
    <n v="19"/>
    <n v="10"/>
    <x v="12"/>
    <x v="11"/>
    <s v="cashloan"/>
    <n v="13360990000"/>
  </r>
  <r>
    <x v="854"/>
    <x v="2"/>
    <x v="4"/>
    <n v="19"/>
    <n v="10"/>
    <x v="34"/>
    <x v="11"/>
    <e v="#N/A"/>
    <n v="0"/>
  </r>
  <r>
    <x v="854"/>
    <x v="2"/>
    <x v="4"/>
    <n v="19"/>
    <n v="10"/>
    <x v="5"/>
    <x v="5"/>
    <s v="overdraft"/>
    <n v="2083004399"/>
  </r>
  <r>
    <x v="854"/>
    <x v="2"/>
    <x v="4"/>
    <n v="19"/>
    <n v="10"/>
    <x v="27"/>
    <x v="19"/>
    <s v="payday"/>
    <n v="17148240000"/>
  </r>
  <r>
    <x v="854"/>
    <x v="2"/>
    <x v="4"/>
    <n v="19"/>
    <n v="10"/>
    <x v="15"/>
    <x v="14"/>
    <s v="paylater"/>
    <n v="0"/>
  </r>
  <r>
    <x v="854"/>
    <x v="2"/>
    <x v="4"/>
    <n v="19"/>
    <n v="10"/>
    <x v="31"/>
    <x v="22"/>
    <s v="cashloan"/>
    <n v="0"/>
  </r>
  <r>
    <x v="854"/>
    <x v="2"/>
    <x v="4"/>
    <n v="19"/>
    <n v="10"/>
    <x v="14"/>
    <x v="13"/>
    <s v="cashloan"/>
    <n v="3656640000"/>
  </r>
  <r>
    <x v="854"/>
    <x v="2"/>
    <x v="4"/>
    <n v="19"/>
    <n v="10"/>
    <x v="33"/>
    <x v="13"/>
    <s v="cashloan"/>
    <n v="1063500000"/>
  </r>
  <r>
    <x v="854"/>
    <x v="2"/>
    <x v="4"/>
    <n v="19"/>
    <n v="10"/>
    <x v="23"/>
    <x v="17"/>
    <s v="paylater"/>
    <n v="6953690"/>
  </r>
  <r>
    <x v="854"/>
    <x v="2"/>
    <x v="4"/>
    <n v="19"/>
    <n v="10"/>
    <x v="28"/>
    <x v="17"/>
    <s v="paylater"/>
    <n v="1488623137"/>
  </r>
  <r>
    <x v="854"/>
    <x v="2"/>
    <x v="4"/>
    <n v="19"/>
    <n v="10"/>
    <x v="8"/>
    <x v="8"/>
    <s v="cashloan"/>
    <n v="0"/>
  </r>
  <r>
    <x v="854"/>
    <x v="2"/>
    <x v="4"/>
    <n v="19"/>
    <n v="10"/>
    <x v="26"/>
    <x v="16"/>
    <s v="cashloan"/>
    <n v="0"/>
  </r>
  <r>
    <x v="854"/>
    <x v="2"/>
    <x v="4"/>
    <n v="19"/>
    <n v="10"/>
    <x v="32"/>
    <x v="16"/>
    <s v="cashloan"/>
    <n v="0"/>
  </r>
  <r>
    <x v="854"/>
    <x v="2"/>
    <x v="4"/>
    <n v="19"/>
    <n v="10"/>
    <x v="2"/>
    <x v="2"/>
    <s v="cashloan"/>
    <n v="18208860000"/>
  </r>
  <r>
    <x v="854"/>
    <x v="2"/>
    <x v="4"/>
    <n v="19"/>
    <n v="10"/>
    <x v="17"/>
    <x v="9"/>
    <s v="cashloan"/>
    <n v="0"/>
  </r>
  <r>
    <x v="854"/>
    <x v="2"/>
    <x v="4"/>
    <n v="19"/>
    <n v="10"/>
    <x v="20"/>
    <x v="9"/>
    <s v="cashloan"/>
    <n v="0"/>
  </r>
  <r>
    <x v="854"/>
    <x v="2"/>
    <x v="4"/>
    <n v="19"/>
    <n v="10"/>
    <x v="21"/>
    <x v="9"/>
    <s v="cashloan"/>
    <n v="0"/>
  </r>
  <r>
    <x v="854"/>
    <x v="2"/>
    <x v="4"/>
    <n v="19"/>
    <n v="10"/>
    <x v="25"/>
    <x v="2"/>
    <s v="cashloan"/>
    <n v="0"/>
  </r>
  <r>
    <x v="854"/>
    <x v="2"/>
    <x v="4"/>
    <n v="19"/>
    <n v="10"/>
    <x v="0"/>
    <x v="0"/>
    <s v="payday"/>
    <n v="12683520000"/>
  </r>
  <r>
    <x v="854"/>
    <x v="2"/>
    <x v="4"/>
    <n v="19"/>
    <n v="10"/>
    <x v="7"/>
    <x v="7"/>
    <s v="paylater"/>
    <n v="223887306"/>
  </r>
  <r>
    <x v="854"/>
    <x v="2"/>
    <x v="4"/>
    <n v="19"/>
    <n v="10"/>
    <x v="1"/>
    <x v="1"/>
    <s v="cashloan"/>
    <n v="94000000"/>
  </r>
  <r>
    <x v="854"/>
    <x v="2"/>
    <x v="4"/>
    <n v="19"/>
    <n v="10"/>
    <x v="6"/>
    <x v="6"/>
    <s v="payday"/>
    <n v="43000000"/>
  </r>
  <r>
    <x v="854"/>
    <x v="2"/>
    <x v="4"/>
    <n v="19"/>
    <n v="10"/>
    <x v="18"/>
    <x v="15"/>
    <s v="cashloan"/>
    <n v="615200000"/>
  </r>
  <r>
    <x v="854"/>
    <x v="2"/>
    <x v="4"/>
    <n v="19"/>
    <n v="10"/>
    <x v="29"/>
    <x v="20"/>
    <s v="payday"/>
    <n v="326700000"/>
  </r>
  <r>
    <x v="854"/>
    <x v="2"/>
    <x v="4"/>
    <n v="19"/>
    <n v="10"/>
    <x v="19"/>
    <x v="12"/>
    <s v="paylater"/>
    <n v="386014265"/>
  </r>
  <r>
    <x v="854"/>
    <x v="2"/>
    <x v="4"/>
    <n v="19"/>
    <n v="10"/>
    <x v="24"/>
    <x v="18"/>
    <s v="cashloan"/>
    <n v="5693260000"/>
  </r>
  <r>
    <x v="854"/>
    <x v="2"/>
    <x v="4"/>
    <n v="19"/>
    <n v="10"/>
    <x v="30"/>
    <x v="21"/>
    <s v="payday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d v="2026-04-01T00:00:00"/>
    <x v="0"/>
    <n v="629980000"/>
  </r>
  <r>
    <d v="2026-04-01T00:00:00"/>
    <x v="1"/>
    <n v="308993836"/>
  </r>
  <r>
    <d v="2026-04-01T00:00:00"/>
    <x v="2"/>
    <n v="22731350000"/>
  </r>
  <r>
    <d v="2026-04-01T00:00:00"/>
    <x v="3"/>
    <n v="2812778254"/>
  </r>
  <r>
    <d v="2026-04-01T00:00:00"/>
    <x v="4"/>
    <n v="14857452000"/>
  </r>
  <r>
    <d v="2026-04-01T00:00:00"/>
    <x v="5"/>
    <n v="6410587"/>
  </r>
  <r>
    <d v="2026-04-01T00:00:00"/>
    <x v="6"/>
    <n v="0"/>
  </r>
  <r>
    <d v="2026-04-01T00:00:00"/>
    <x v="7"/>
    <n v="2649000000"/>
  </r>
  <r>
    <d v="2026-04-01T00:00:00"/>
    <x v="8"/>
    <n v="719020000"/>
  </r>
  <r>
    <d v="2026-04-01T00:00:00"/>
    <x v="9"/>
    <n v="9890000"/>
  </r>
  <r>
    <d v="2026-04-01T00:00:00"/>
    <x v="10"/>
    <n v="1143977797"/>
  </r>
  <r>
    <d v="2026-04-01T00:00:00"/>
    <x v="11"/>
    <n v="0"/>
  </r>
  <r>
    <d v="2026-04-01T00:00:00"/>
    <x v="12"/>
    <n v="102500000"/>
  </r>
  <r>
    <d v="2026-04-01T00:00:00"/>
    <x v="13"/>
    <n v="0"/>
  </r>
  <r>
    <d v="2026-04-01T00:00:00"/>
    <x v="14"/>
    <n v="17700590000"/>
  </r>
  <r>
    <d v="2026-04-01T00:00:00"/>
    <x v="15"/>
    <n v="0"/>
  </r>
  <r>
    <d v="2026-04-01T00:00:00"/>
    <x v="16"/>
    <n v="0"/>
  </r>
  <r>
    <d v="2026-04-01T00:00:00"/>
    <x v="17"/>
    <n v="0"/>
  </r>
  <r>
    <d v="2026-04-01T00:00:00"/>
    <x v="18"/>
    <n v="0"/>
  </r>
  <r>
    <d v="2026-04-01T00:00:00"/>
    <x v="19"/>
    <n v="11718324000"/>
  </r>
  <r>
    <d v="2026-04-01T00:00:00"/>
    <x v="20"/>
    <n v="435088361"/>
  </r>
  <r>
    <d v="2026-04-01T00:00:00"/>
    <x v="21"/>
    <n v="41500000"/>
  </r>
  <r>
    <d v="2026-04-01T00:00:00"/>
    <x v="22"/>
    <n v="74000000"/>
  </r>
  <r>
    <d v="2026-04-01T00:00:00"/>
    <x v="23"/>
    <n v="660620000"/>
  </r>
  <r>
    <d v="2026-04-01T00:00:00"/>
    <x v="24"/>
    <n v="299484000"/>
  </r>
  <r>
    <d v="2026-04-01T00:00:00"/>
    <x v="25"/>
    <n v="609579152"/>
  </r>
  <r>
    <d v="2026-04-01T00:00:00"/>
    <x v="26"/>
    <n v="9613660000"/>
  </r>
  <r>
    <d v="2026-04-01T00:00:00"/>
    <x v="27"/>
    <n v="12528000"/>
  </r>
  <r>
    <d v="2026-04-02T00:00:00"/>
    <x v="0"/>
    <n v="722370000"/>
  </r>
  <r>
    <d v="2026-04-02T00:00:00"/>
    <x v="1"/>
    <n v="328591353"/>
  </r>
  <r>
    <d v="2026-04-02T00:00:00"/>
    <x v="2"/>
    <n v="19712400000"/>
  </r>
  <r>
    <d v="2026-04-02T00:00:00"/>
    <x v="3"/>
    <n v="2342325450"/>
  </r>
  <r>
    <d v="2026-04-02T00:00:00"/>
    <x v="4"/>
    <n v="13335408000"/>
  </r>
  <r>
    <d v="2026-04-02T00:00:00"/>
    <x v="5"/>
    <n v="22490346"/>
  </r>
  <r>
    <d v="2026-04-02T00:00:00"/>
    <x v="6"/>
    <n v="180000000"/>
  </r>
  <r>
    <d v="2026-04-02T00:00:00"/>
    <x v="7"/>
    <n v="2298380000"/>
  </r>
  <r>
    <d v="2026-04-02T00:00:00"/>
    <x v="8"/>
    <n v="1198420000"/>
  </r>
  <r>
    <d v="2026-04-02T00:00:00"/>
    <x v="9"/>
    <n v="19042578"/>
  </r>
  <r>
    <d v="2026-04-02T00:00:00"/>
    <x v="10"/>
    <n v="1258751775"/>
  </r>
  <r>
    <d v="2026-04-02T00:00:00"/>
    <x v="11"/>
    <n v="0"/>
  </r>
  <r>
    <d v="2026-04-02T00:00:00"/>
    <x v="12"/>
    <n v="10500000"/>
  </r>
  <r>
    <d v="2026-04-02T00:00:00"/>
    <x v="13"/>
    <n v="56000000"/>
  </r>
  <r>
    <d v="2026-04-02T00:00:00"/>
    <x v="14"/>
    <n v="16327360000"/>
  </r>
  <r>
    <d v="2026-04-02T00:00:00"/>
    <x v="15"/>
    <n v="0"/>
  </r>
  <r>
    <d v="2026-04-02T00:00:00"/>
    <x v="16"/>
    <n v="0"/>
  </r>
  <r>
    <d v="2026-04-02T00:00:00"/>
    <x v="17"/>
    <n v="0"/>
  </r>
  <r>
    <d v="2026-04-02T00:00:00"/>
    <x v="18"/>
    <n v="21400000"/>
  </r>
  <r>
    <d v="2026-04-02T00:00:00"/>
    <x v="19"/>
    <n v="11229300000"/>
  </r>
  <r>
    <d v="2026-04-02T00:00:00"/>
    <x v="20"/>
    <n v="420440924"/>
  </r>
  <r>
    <d v="2026-04-02T00:00:00"/>
    <x v="21"/>
    <n v="29500000"/>
  </r>
  <r>
    <d v="2026-04-02T00:00:00"/>
    <x v="22"/>
    <n v="58000000"/>
  </r>
  <r>
    <d v="2026-04-02T00:00:00"/>
    <x v="23"/>
    <n v="576530000"/>
  </r>
  <r>
    <d v="2026-04-02T00:00:00"/>
    <x v="24"/>
    <n v="314820000"/>
  </r>
  <r>
    <d v="2026-04-02T00:00:00"/>
    <x v="25"/>
    <n v="912032990"/>
  </r>
  <r>
    <d v="2026-04-02T00:00:00"/>
    <x v="26"/>
    <n v="8155820000"/>
  </r>
  <r>
    <d v="2026-04-02T00:00:00"/>
    <x v="27"/>
    <n v="2160000"/>
  </r>
  <r>
    <d v="2026-04-03T00:00:00"/>
    <x v="0"/>
    <n v="495880000"/>
  </r>
  <r>
    <d v="2026-04-03T00:00:00"/>
    <x v="1"/>
    <n v="398855712"/>
  </r>
  <r>
    <d v="2026-04-03T00:00:00"/>
    <x v="2"/>
    <n v="20172160000"/>
  </r>
  <r>
    <d v="2026-04-03T00:00:00"/>
    <x v="3"/>
    <n v="2047843328"/>
  </r>
  <r>
    <d v="2026-04-03T00:00:00"/>
    <x v="4"/>
    <n v="14106960000"/>
  </r>
  <r>
    <d v="2026-04-03T00:00:00"/>
    <x v="5"/>
    <n v="0"/>
  </r>
  <r>
    <d v="2026-04-03T00:00:00"/>
    <x v="6"/>
    <n v="0"/>
  </r>
  <r>
    <d v="2026-04-03T00:00:00"/>
    <x v="7"/>
    <n v="1956850000"/>
  </r>
  <r>
    <d v="2026-04-03T00:00:00"/>
    <x v="8"/>
    <n v="717470000"/>
  </r>
  <r>
    <d v="2026-04-03T00:00:00"/>
    <x v="9"/>
    <n v="32629158"/>
  </r>
  <r>
    <d v="2026-04-03T00:00:00"/>
    <x v="10"/>
    <n v="1599343908"/>
  </r>
  <r>
    <d v="2026-04-03T00:00:00"/>
    <x v="11"/>
    <n v="0"/>
  </r>
  <r>
    <d v="2026-04-03T00:00:00"/>
    <x v="12"/>
    <n v="25500000"/>
  </r>
  <r>
    <d v="2026-04-03T00:00:00"/>
    <x v="13"/>
    <n v="82400000"/>
  </r>
  <r>
    <d v="2026-04-03T00:00:00"/>
    <x v="14"/>
    <n v="17836470000"/>
  </r>
  <r>
    <d v="2026-04-03T00:00:00"/>
    <x v="15"/>
    <n v="0"/>
  </r>
  <r>
    <d v="2026-04-03T00:00:00"/>
    <x v="16"/>
    <n v="0"/>
  </r>
  <r>
    <d v="2026-04-03T00:00:00"/>
    <x v="17"/>
    <n v="0"/>
  </r>
  <r>
    <d v="2026-04-03T00:00:00"/>
    <x v="18"/>
    <n v="0"/>
  </r>
  <r>
    <d v="2026-04-03T00:00:00"/>
    <x v="19"/>
    <n v="10819224000"/>
  </r>
  <r>
    <d v="2026-04-03T00:00:00"/>
    <x v="20"/>
    <n v="508044615"/>
  </r>
  <r>
    <d v="2026-04-03T00:00:00"/>
    <x v="21"/>
    <n v="21000000"/>
  </r>
  <r>
    <d v="2026-04-03T00:00:00"/>
    <x v="22"/>
    <n v="38000000"/>
  </r>
  <r>
    <d v="2026-04-03T00:00:00"/>
    <x v="23"/>
    <n v="796090000"/>
  </r>
  <r>
    <d v="2026-04-03T00:00:00"/>
    <x v="24"/>
    <n v="313200000"/>
  </r>
  <r>
    <d v="2026-04-03T00:00:00"/>
    <x v="25"/>
    <n v="1299011380"/>
  </r>
  <r>
    <d v="2026-04-03T00:00:00"/>
    <x v="26"/>
    <n v="7863820000"/>
  </r>
  <r>
    <d v="2026-04-03T00:00:00"/>
    <x v="27"/>
    <n v="2160000"/>
  </r>
  <r>
    <d v="2026-04-04T00:00:00"/>
    <x v="0"/>
    <n v="576150000"/>
  </r>
  <r>
    <d v="2026-04-04T00:00:00"/>
    <x v="1"/>
    <n v="513712363"/>
  </r>
  <r>
    <d v="2026-04-04T00:00:00"/>
    <x v="2"/>
    <n v="18382180000"/>
  </r>
  <r>
    <d v="2026-04-04T00:00:00"/>
    <x v="3"/>
    <n v="1855556717"/>
  </r>
  <r>
    <d v="2026-04-04T00:00:00"/>
    <x v="4"/>
    <n v="13801320000"/>
  </r>
  <r>
    <d v="2026-04-04T00:00:00"/>
    <x v="5"/>
    <n v="0"/>
  </r>
  <r>
    <d v="2026-04-04T00:00:00"/>
    <x v="6"/>
    <n v="0"/>
  </r>
  <r>
    <d v="2026-04-04T00:00:00"/>
    <x v="7"/>
    <n v="2658650000"/>
  </r>
  <r>
    <d v="2026-04-04T00:00:00"/>
    <x v="8"/>
    <n v="650900000"/>
  </r>
  <r>
    <d v="2026-04-04T00:00:00"/>
    <x v="9"/>
    <n v="34486187"/>
  </r>
  <r>
    <d v="2026-04-04T00:00:00"/>
    <x v="10"/>
    <n v="1763209762"/>
  </r>
  <r>
    <d v="2026-04-04T00:00:00"/>
    <x v="11"/>
    <n v="0"/>
  </r>
  <r>
    <d v="2026-04-04T00:00:00"/>
    <x v="12"/>
    <n v="40000000"/>
  </r>
  <r>
    <d v="2026-04-04T00:00:00"/>
    <x v="13"/>
    <n v="0"/>
  </r>
  <r>
    <d v="2026-04-04T00:00:00"/>
    <x v="14"/>
    <n v="16223600000"/>
  </r>
  <r>
    <d v="2026-04-04T00:00:00"/>
    <x v="15"/>
    <n v="0"/>
  </r>
  <r>
    <d v="2026-04-04T00:00:00"/>
    <x v="16"/>
    <n v="0"/>
  </r>
  <r>
    <d v="2026-04-04T00:00:00"/>
    <x v="17"/>
    <n v="0"/>
  </r>
  <r>
    <d v="2026-04-04T00:00:00"/>
    <x v="18"/>
    <n v="0"/>
  </r>
  <r>
    <d v="2026-04-04T00:00:00"/>
    <x v="19"/>
    <n v="11136204000"/>
  </r>
  <r>
    <d v="2026-04-04T00:00:00"/>
    <x v="20"/>
    <n v="630565541"/>
  </r>
  <r>
    <d v="2026-04-04T00:00:00"/>
    <x v="21"/>
    <n v="63000000"/>
  </r>
  <r>
    <d v="2026-04-04T00:00:00"/>
    <x v="22"/>
    <n v="49000000"/>
  </r>
  <r>
    <d v="2026-04-04T00:00:00"/>
    <x v="23"/>
    <n v="603970000"/>
  </r>
  <r>
    <d v="2026-04-04T00:00:00"/>
    <x v="24"/>
    <n v="315792000"/>
  </r>
  <r>
    <d v="2026-04-04T00:00:00"/>
    <x v="25"/>
    <n v="1642965022"/>
  </r>
  <r>
    <d v="2026-04-04T00:00:00"/>
    <x v="26"/>
    <n v="6077010000"/>
  </r>
  <r>
    <d v="2026-04-04T00:00:00"/>
    <x v="27"/>
    <n v="4320000"/>
  </r>
  <r>
    <d v="2026-04-05T00:00:00"/>
    <x v="0"/>
    <n v="658150000"/>
  </r>
  <r>
    <d v="2026-04-05T00:00:00"/>
    <x v="1"/>
    <n v="473511847"/>
  </r>
  <r>
    <d v="2026-04-05T00:00:00"/>
    <x v="2"/>
    <n v="15050540000"/>
  </r>
  <r>
    <d v="2026-04-05T00:00:00"/>
    <x v="3"/>
    <n v="1581600309"/>
  </r>
  <r>
    <d v="2026-04-05T00:00:00"/>
    <x v="4"/>
    <n v="13768704000"/>
  </r>
  <r>
    <d v="2026-04-05T00:00:00"/>
    <x v="5"/>
    <n v="0"/>
  </r>
  <r>
    <d v="2026-04-05T00:00:00"/>
    <x v="6"/>
    <n v="0"/>
  </r>
  <r>
    <d v="2026-04-05T00:00:00"/>
    <x v="7"/>
    <n v="2859120000"/>
  </r>
  <r>
    <d v="2026-04-05T00:00:00"/>
    <x v="8"/>
    <n v="936350000"/>
  </r>
  <r>
    <d v="2026-04-05T00:00:00"/>
    <x v="9"/>
    <n v="38596801"/>
  </r>
  <r>
    <d v="2026-04-05T00:00:00"/>
    <x v="10"/>
    <n v="1719202172"/>
  </r>
  <r>
    <d v="2026-04-05T00:00:00"/>
    <x v="11"/>
    <n v="0"/>
  </r>
  <r>
    <d v="2026-04-05T00:00:00"/>
    <x v="12"/>
    <n v="42000000"/>
  </r>
  <r>
    <d v="2026-04-05T00:00:00"/>
    <x v="13"/>
    <n v="0"/>
  </r>
  <r>
    <d v="2026-04-05T00:00:00"/>
    <x v="14"/>
    <n v="14475880000"/>
  </r>
  <r>
    <d v="2026-04-05T00:00:00"/>
    <x v="15"/>
    <n v="0"/>
  </r>
  <r>
    <d v="2026-04-05T00:00:00"/>
    <x v="16"/>
    <n v="0"/>
  </r>
  <r>
    <d v="2026-04-05T00:00:00"/>
    <x v="17"/>
    <n v="0"/>
  </r>
  <r>
    <d v="2026-04-05T00:00:00"/>
    <x v="18"/>
    <n v="0"/>
  </r>
  <r>
    <d v="2026-04-05T00:00:00"/>
    <x v="19"/>
    <n v="11467656000"/>
  </r>
  <r>
    <d v="2026-04-05T00:00:00"/>
    <x v="20"/>
    <n v="468020802"/>
  </r>
  <r>
    <d v="2026-04-05T00:00:00"/>
    <x v="21"/>
    <n v="21000000"/>
  </r>
  <r>
    <d v="2026-04-05T00:00:00"/>
    <x v="22"/>
    <n v="97000000"/>
  </r>
  <r>
    <d v="2026-04-05T00:00:00"/>
    <x v="23"/>
    <n v="871700000"/>
  </r>
  <r>
    <d v="2026-04-05T00:00:00"/>
    <x v="24"/>
    <n v="417204000"/>
  </r>
  <r>
    <d v="2026-04-05T00:00:00"/>
    <x v="25"/>
    <n v="967608584"/>
  </r>
  <r>
    <d v="2026-04-05T00:00:00"/>
    <x v="26"/>
    <n v="6031250000"/>
  </r>
  <r>
    <d v="2026-04-05T00:00:00"/>
    <x v="27"/>
    <n v="0"/>
  </r>
  <r>
    <d v="2026-04-06T00:00:00"/>
    <x v="0"/>
    <n v="789650000"/>
  </r>
  <r>
    <d v="2026-04-06T00:00:00"/>
    <x v="1"/>
    <n v="362846492"/>
  </r>
  <r>
    <d v="2026-04-06T00:00:00"/>
    <x v="2"/>
    <n v="18506700000"/>
  </r>
  <r>
    <d v="2026-04-06T00:00:00"/>
    <x v="3"/>
    <n v="2081988827"/>
  </r>
  <r>
    <d v="2026-04-06T00:00:00"/>
    <x v="4"/>
    <n v="14511960000"/>
  </r>
  <r>
    <d v="2026-04-06T00:00:00"/>
    <x v="5"/>
    <n v="0"/>
  </r>
  <r>
    <d v="2026-04-06T00:00:00"/>
    <x v="6"/>
    <n v="0"/>
  </r>
  <r>
    <d v="2026-04-06T00:00:00"/>
    <x v="7"/>
    <n v="2560610000"/>
  </r>
  <r>
    <d v="2026-04-06T00:00:00"/>
    <x v="8"/>
    <n v="1214350000"/>
  </r>
  <r>
    <d v="2026-04-06T00:00:00"/>
    <x v="9"/>
    <n v="13639216"/>
  </r>
  <r>
    <d v="2026-04-06T00:00:00"/>
    <x v="10"/>
    <n v="1231822499"/>
  </r>
  <r>
    <d v="2026-04-06T00:00:00"/>
    <x v="11"/>
    <n v="0"/>
  </r>
  <r>
    <d v="2026-04-06T00:00:00"/>
    <x v="12"/>
    <n v="41250000"/>
  </r>
  <r>
    <d v="2026-04-06T00:00:00"/>
    <x v="13"/>
    <n v="81000000"/>
  </r>
  <r>
    <d v="2026-04-06T00:00:00"/>
    <x v="14"/>
    <n v="16524910000"/>
  </r>
  <r>
    <d v="2026-04-06T00:00:00"/>
    <x v="15"/>
    <n v="0"/>
  </r>
  <r>
    <d v="2026-04-06T00:00:00"/>
    <x v="16"/>
    <n v="0"/>
  </r>
  <r>
    <d v="2026-04-06T00:00:00"/>
    <x v="17"/>
    <n v="0"/>
  </r>
  <r>
    <d v="2026-04-06T00:00:00"/>
    <x v="18"/>
    <n v="0"/>
  </r>
  <r>
    <d v="2026-04-06T00:00:00"/>
    <x v="19"/>
    <n v="10685088000"/>
  </r>
  <r>
    <d v="2026-04-06T00:00:00"/>
    <x v="20"/>
    <n v="413044188"/>
  </r>
  <r>
    <d v="2026-04-06T00:00:00"/>
    <x v="21"/>
    <n v="31500000"/>
  </r>
  <r>
    <d v="2026-04-06T00:00:00"/>
    <x v="22"/>
    <n v="60000000"/>
  </r>
  <r>
    <d v="2026-04-06T00:00:00"/>
    <x v="23"/>
    <n v="884770000"/>
  </r>
  <r>
    <d v="2026-04-06T00:00:00"/>
    <x v="24"/>
    <n v="345492000"/>
  </r>
  <r>
    <d v="2026-04-06T00:00:00"/>
    <x v="25"/>
    <n v="639747115"/>
  </r>
  <r>
    <d v="2026-04-06T00:00:00"/>
    <x v="26"/>
    <n v="7145550000"/>
  </r>
  <r>
    <d v="2026-04-06T00:00:00"/>
    <x v="27"/>
    <n v="3240000"/>
  </r>
  <r>
    <d v="2026-04-07T00:00:00"/>
    <x v="0"/>
    <n v="803500000"/>
  </r>
  <r>
    <d v="2026-04-07T00:00:00"/>
    <x v="1"/>
    <n v="323742554"/>
  </r>
  <r>
    <d v="2026-04-07T00:00:00"/>
    <x v="2"/>
    <n v="16980340000"/>
  </r>
  <r>
    <d v="2026-04-07T00:00:00"/>
    <x v="3"/>
    <n v="1734498184"/>
  </r>
  <r>
    <d v="2026-04-07T00:00:00"/>
    <x v="4"/>
    <n v="14266584000"/>
  </r>
  <r>
    <d v="2026-04-07T00:00:00"/>
    <x v="5"/>
    <n v="0"/>
  </r>
  <r>
    <d v="2026-04-07T00:00:00"/>
    <x v="6"/>
    <n v="170000000"/>
  </r>
  <r>
    <d v="2026-04-07T00:00:00"/>
    <x v="7"/>
    <n v="2352120000"/>
  </r>
  <r>
    <d v="2026-04-07T00:00:00"/>
    <x v="8"/>
    <n v="1111890000"/>
  </r>
  <r>
    <d v="2026-04-07T00:00:00"/>
    <x v="9"/>
    <n v="8941124"/>
  </r>
  <r>
    <d v="2026-04-07T00:00:00"/>
    <x v="10"/>
    <n v="1133115086"/>
  </r>
  <r>
    <d v="2026-04-07T00:00:00"/>
    <x v="11"/>
    <n v="0"/>
  </r>
  <r>
    <d v="2026-04-07T00:00:00"/>
    <x v="12"/>
    <n v="35750000"/>
  </r>
  <r>
    <d v="2026-04-07T00:00:00"/>
    <x v="13"/>
    <n v="49000000"/>
  </r>
  <r>
    <d v="2026-04-07T00:00:00"/>
    <x v="14"/>
    <n v="15016120000"/>
  </r>
  <r>
    <d v="2026-04-07T00:00:00"/>
    <x v="15"/>
    <n v="0"/>
  </r>
  <r>
    <d v="2026-04-07T00:00:00"/>
    <x v="16"/>
    <n v="0"/>
  </r>
  <r>
    <d v="2026-04-07T00:00:00"/>
    <x v="17"/>
    <n v="0"/>
  </r>
  <r>
    <d v="2026-04-07T00:00:00"/>
    <x v="18"/>
    <n v="0"/>
  </r>
  <r>
    <d v="2026-04-07T00:00:00"/>
    <x v="19"/>
    <n v="10865772000"/>
  </r>
  <r>
    <d v="2026-04-07T00:00:00"/>
    <x v="20"/>
    <n v="326694706"/>
  </r>
  <r>
    <d v="2026-04-07T00:00:00"/>
    <x v="21"/>
    <n v="42000000"/>
  </r>
  <r>
    <d v="2026-04-07T00:00:00"/>
    <x v="22"/>
    <n v="47000000"/>
  </r>
  <r>
    <d v="2026-04-07T00:00:00"/>
    <x v="23"/>
    <n v="710300000"/>
  </r>
  <r>
    <d v="2026-04-07T00:00:00"/>
    <x v="24"/>
    <n v="403272000"/>
  </r>
  <r>
    <d v="2026-04-07T00:00:00"/>
    <x v="25"/>
    <n v="546232895"/>
  </r>
  <r>
    <d v="2026-04-07T00:00:00"/>
    <x v="26"/>
    <n v="6696150000"/>
  </r>
  <r>
    <d v="2026-04-07T00:00:00"/>
    <x v="27"/>
    <n v="4320000"/>
  </r>
  <r>
    <d v="2026-04-08T00:00:00"/>
    <x v="0"/>
    <n v="689210000"/>
  </r>
  <r>
    <d v="2026-04-08T00:00:00"/>
    <x v="1"/>
    <n v="331308932"/>
  </r>
  <r>
    <d v="2026-04-08T00:00:00"/>
    <x v="2"/>
    <n v="16108350000"/>
  </r>
  <r>
    <d v="2026-04-08T00:00:00"/>
    <x v="3"/>
    <n v="1698948013"/>
  </r>
  <r>
    <d v="2026-04-08T00:00:00"/>
    <x v="4"/>
    <n v="14246388000"/>
  </r>
  <r>
    <d v="2026-04-08T00:00:00"/>
    <x v="5"/>
    <n v="0"/>
  </r>
  <r>
    <d v="2026-04-08T00:00:00"/>
    <x v="6"/>
    <n v="0"/>
  </r>
  <r>
    <d v="2026-04-08T00:00:00"/>
    <x v="7"/>
    <n v="2533400000"/>
  </r>
  <r>
    <d v="2026-04-08T00:00:00"/>
    <x v="8"/>
    <n v="726830000"/>
  </r>
  <r>
    <d v="2026-04-08T00:00:00"/>
    <x v="9"/>
    <n v="35135499"/>
  </r>
  <r>
    <d v="2026-04-08T00:00:00"/>
    <x v="10"/>
    <n v="1263557686"/>
  </r>
  <r>
    <d v="2026-04-08T00:00:00"/>
    <x v="11"/>
    <n v="0"/>
  </r>
  <r>
    <d v="2026-04-08T00:00:00"/>
    <x v="12"/>
    <n v="77700000"/>
  </r>
  <r>
    <d v="2026-04-08T00:00:00"/>
    <x v="13"/>
    <n v="0"/>
  </r>
  <r>
    <d v="2026-04-08T00:00:00"/>
    <x v="14"/>
    <n v="16870560000"/>
  </r>
  <r>
    <d v="2026-04-08T00:00:00"/>
    <x v="15"/>
    <n v="0"/>
  </r>
  <r>
    <d v="2026-04-08T00:00:00"/>
    <x v="16"/>
    <n v="0"/>
  </r>
  <r>
    <d v="2026-04-08T00:00:00"/>
    <x v="17"/>
    <n v="0"/>
  </r>
  <r>
    <d v="2026-04-08T00:00:00"/>
    <x v="18"/>
    <n v="5000000"/>
  </r>
  <r>
    <d v="2026-04-08T00:00:00"/>
    <x v="19"/>
    <n v="10242288000"/>
  </r>
  <r>
    <d v="2026-04-08T00:00:00"/>
    <x v="20"/>
    <n v="267798669"/>
  </r>
  <r>
    <d v="2026-04-08T00:00:00"/>
    <x v="21"/>
    <n v="52000000"/>
  </r>
  <r>
    <d v="2026-04-08T00:00:00"/>
    <x v="22"/>
    <n v="72000000"/>
  </r>
  <r>
    <d v="2026-04-08T00:00:00"/>
    <x v="23"/>
    <n v="779900000"/>
  </r>
  <r>
    <d v="2026-04-08T00:00:00"/>
    <x v="24"/>
    <n v="356292000"/>
  </r>
  <r>
    <d v="2026-04-08T00:00:00"/>
    <x v="25"/>
    <n v="413342105"/>
  </r>
  <r>
    <d v="2026-04-08T00:00:00"/>
    <x v="26"/>
    <n v="5908770000"/>
  </r>
  <r>
    <d v="2026-04-08T00:00:00"/>
    <x v="27"/>
    <n v="10800000"/>
  </r>
  <r>
    <d v="2026-04-09T00:00:00"/>
    <x v="0"/>
    <n v="627800000"/>
  </r>
  <r>
    <d v="2026-04-09T00:00:00"/>
    <x v="1"/>
    <n v="330557519"/>
  </r>
  <r>
    <d v="2026-04-09T00:00:00"/>
    <x v="2"/>
    <n v="17443040000"/>
  </r>
  <r>
    <d v="2026-04-09T00:00:00"/>
    <x v="3"/>
    <n v="2092921255"/>
  </r>
  <r>
    <d v="2026-04-09T00:00:00"/>
    <x v="4"/>
    <n v="15453072000"/>
  </r>
  <r>
    <d v="2026-04-09T00:00:00"/>
    <x v="5"/>
    <n v="0"/>
  </r>
  <r>
    <d v="2026-04-09T00:00:00"/>
    <x v="6"/>
    <n v="160000000"/>
  </r>
  <r>
    <d v="2026-04-09T00:00:00"/>
    <x v="7"/>
    <n v="2707270000"/>
  </r>
  <r>
    <d v="2026-04-09T00:00:00"/>
    <x v="8"/>
    <n v="774550000"/>
  </r>
  <r>
    <d v="2026-04-09T00:00:00"/>
    <x v="9"/>
    <n v="15950594"/>
  </r>
  <r>
    <d v="2026-04-09T00:00:00"/>
    <x v="10"/>
    <n v="1169180632"/>
  </r>
  <r>
    <d v="2026-04-09T00:00:00"/>
    <x v="11"/>
    <n v="0"/>
  </r>
  <r>
    <d v="2026-04-09T00:00:00"/>
    <x v="12"/>
    <n v="40750000"/>
  </r>
  <r>
    <d v="2026-04-09T00:00:00"/>
    <x v="13"/>
    <n v="0"/>
  </r>
  <r>
    <d v="2026-04-09T00:00:00"/>
    <x v="14"/>
    <n v="15938400000"/>
  </r>
  <r>
    <d v="2026-04-09T00:00:00"/>
    <x v="15"/>
    <n v="0"/>
  </r>
  <r>
    <d v="2026-04-09T00:00:00"/>
    <x v="16"/>
    <n v="0"/>
  </r>
  <r>
    <d v="2026-04-09T00:00:00"/>
    <x v="17"/>
    <n v="0"/>
  </r>
  <r>
    <d v="2026-04-09T00:00:00"/>
    <x v="18"/>
    <n v="0"/>
  </r>
  <r>
    <d v="2026-04-09T00:00:00"/>
    <x v="19"/>
    <n v="10114092000"/>
  </r>
  <r>
    <d v="2026-04-09T00:00:00"/>
    <x v="20"/>
    <n v="249829358"/>
  </r>
  <r>
    <d v="2026-04-09T00:00:00"/>
    <x v="21"/>
    <n v="42000000"/>
  </r>
  <r>
    <d v="2026-04-09T00:00:00"/>
    <x v="22"/>
    <n v="45000000"/>
  </r>
  <r>
    <d v="2026-04-09T00:00:00"/>
    <x v="23"/>
    <n v="867440000"/>
  </r>
  <r>
    <d v="2026-04-09T00:00:00"/>
    <x v="24"/>
    <n v="373788000"/>
  </r>
  <r>
    <d v="2026-04-09T00:00:00"/>
    <x v="25"/>
    <n v="448450851"/>
  </r>
  <r>
    <d v="2026-04-09T00:00:00"/>
    <x v="26"/>
    <n v="6647070000"/>
  </r>
  <r>
    <d v="2026-04-09T00:00:00"/>
    <x v="27"/>
    <n v="0"/>
  </r>
  <r>
    <d v="2026-04-10T00:00:00"/>
    <x v="0"/>
    <n v="662610000"/>
  </r>
  <r>
    <d v="2026-04-10T00:00:00"/>
    <x v="1"/>
    <n v="303036975"/>
  </r>
  <r>
    <d v="2026-04-10T00:00:00"/>
    <x v="2"/>
    <n v="16824250000"/>
  </r>
  <r>
    <d v="2026-04-10T00:00:00"/>
    <x v="3"/>
    <n v="2520438537"/>
  </r>
  <r>
    <d v="2026-04-10T00:00:00"/>
    <x v="4"/>
    <n v="20986668000"/>
  </r>
  <r>
    <d v="2026-04-10T00:00:00"/>
    <x v="5"/>
    <n v="0"/>
  </r>
  <r>
    <d v="2026-04-10T00:00:00"/>
    <x v="6"/>
    <n v="0"/>
  </r>
  <r>
    <d v="2026-04-10T00:00:00"/>
    <x v="7"/>
    <n v="2979680000"/>
  </r>
  <r>
    <d v="2026-04-10T00:00:00"/>
    <x v="8"/>
    <n v="1144350000"/>
  </r>
  <r>
    <d v="2026-04-10T00:00:00"/>
    <x v="9"/>
    <n v="3038883"/>
  </r>
  <r>
    <d v="2026-04-10T00:00:00"/>
    <x v="10"/>
    <n v="1389954668"/>
  </r>
  <r>
    <d v="2026-04-10T00:00:00"/>
    <x v="11"/>
    <n v="0"/>
  </r>
  <r>
    <d v="2026-04-10T00:00:00"/>
    <x v="12"/>
    <n v="99750000"/>
  </r>
  <r>
    <d v="2026-04-10T00:00:00"/>
    <x v="13"/>
    <n v="0"/>
  </r>
  <r>
    <d v="2026-04-10T00:00:00"/>
    <x v="14"/>
    <n v="19497540000"/>
  </r>
  <r>
    <d v="2026-04-10T00:00:00"/>
    <x v="15"/>
    <n v="0"/>
  </r>
  <r>
    <d v="2026-04-10T00:00:00"/>
    <x v="16"/>
    <n v="0"/>
  </r>
  <r>
    <d v="2026-04-10T00:00:00"/>
    <x v="17"/>
    <n v="0"/>
  </r>
  <r>
    <d v="2026-04-10T00:00:00"/>
    <x v="18"/>
    <n v="0"/>
  </r>
  <r>
    <d v="2026-04-10T00:00:00"/>
    <x v="19"/>
    <n v="15692292000"/>
  </r>
  <r>
    <d v="2026-04-10T00:00:00"/>
    <x v="20"/>
    <n v="248584146"/>
  </r>
  <r>
    <d v="2026-04-10T00:00:00"/>
    <x v="21"/>
    <n v="31000000"/>
  </r>
  <r>
    <d v="2026-04-10T00:00:00"/>
    <x v="22"/>
    <n v="31000000"/>
  </r>
  <r>
    <d v="2026-04-10T00:00:00"/>
    <x v="23"/>
    <n v="1104220000"/>
  </r>
  <r>
    <d v="2026-04-10T00:00:00"/>
    <x v="24"/>
    <n v="393660000"/>
  </r>
  <r>
    <d v="2026-04-10T00:00:00"/>
    <x v="25"/>
    <n v="379675871"/>
  </r>
  <r>
    <d v="2026-04-10T00:00:00"/>
    <x v="26"/>
    <n v="7207520000"/>
  </r>
  <r>
    <d v="2026-04-10T00:00:00"/>
    <x v="27"/>
    <n v="3240000"/>
  </r>
  <r>
    <d v="2026-04-11T00:00:00"/>
    <x v="0"/>
    <n v="563600000"/>
  </r>
  <r>
    <d v="2026-04-11T00:00:00"/>
    <x v="1"/>
    <n v="265177744"/>
  </r>
  <r>
    <d v="2026-04-11T00:00:00"/>
    <x v="2"/>
    <n v="13512620000"/>
  </r>
  <r>
    <d v="2026-04-11T00:00:00"/>
    <x v="3"/>
    <n v="1393909416"/>
  </r>
  <r>
    <d v="2026-04-11T00:00:00"/>
    <x v="4"/>
    <n v="15474348000"/>
  </r>
  <r>
    <d v="2026-04-11T00:00:00"/>
    <x v="5"/>
    <n v="0"/>
  </r>
  <r>
    <d v="2026-04-11T00:00:00"/>
    <x v="6"/>
    <n v="90000000"/>
  </r>
  <r>
    <d v="2026-04-11T00:00:00"/>
    <x v="7"/>
    <n v="3246320000"/>
  </r>
  <r>
    <d v="2026-04-11T00:00:00"/>
    <x v="8"/>
    <n v="726040000"/>
  </r>
  <r>
    <d v="2026-04-11T00:00:00"/>
    <x v="9"/>
    <n v="2678744"/>
  </r>
  <r>
    <d v="2026-04-11T00:00:00"/>
    <x v="10"/>
    <n v="1437630222"/>
  </r>
  <r>
    <d v="2026-04-11T00:00:00"/>
    <x v="11"/>
    <n v="0"/>
  </r>
  <r>
    <d v="2026-04-11T00:00:00"/>
    <x v="12"/>
    <n v="10000000"/>
  </r>
  <r>
    <d v="2026-04-11T00:00:00"/>
    <x v="13"/>
    <n v="0"/>
  </r>
  <r>
    <d v="2026-04-11T00:00:00"/>
    <x v="14"/>
    <n v="16632280000"/>
  </r>
  <r>
    <d v="2026-04-11T00:00:00"/>
    <x v="15"/>
    <n v="0"/>
  </r>
  <r>
    <d v="2026-04-11T00:00:00"/>
    <x v="16"/>
    <n v="0"/>
  </r>
  <r>
    <d v="2026-04-11T00:00:00"/>
    <x v="17"/>
    <n v="0"/>
  </r>
  <r>
    <d v="2026-04-11T00:00:00"/>
    <x v="18"/>
    <n v="0"/>
  </r>
  <r>
    <d v="2026-04-11T00:00:00"/>
    <x v="19"/>
    <n v="12623040000"/>
  </r>
  <r>
    <d v="2026-04-11T00:00:00"/>
    <x v="20"/>
    <n v="187797328"/>
  </r>
  <r>
    <d v="2026-04-11T00:00:00"/>
    <x v="21"/>
    <n v="57750000"/>
  </r>
  <r>
    <d v="2026-04-11T00:00:00"/>
    <x v="22"/>
    <n v="30000000"/>
  </r>
  <r>
    <d v="2026-04-11T00:00:00"/>
    <x v="23"/>
    <n v="626120000"/>
  </r>
  <r>
    <d v="2026-04-11T00:00:00"/>
    <x v="24"/>
    <n v="302292000"/>
  </r>
  <r>
    <d v="2026-04-11T00:00:00"/>
    <x v="25"/>
    <n v="323468087"/>
  </r>
  <r>
    <d v="2026-04-11T00:00:00"/>
    <x v="26"/>
    <n v="5508250000"/>
  </r>
  <r>
    <d v="2026-04-11T00:00:00"/>
    <x v="27"/>
    <n v="0"/>
  </r>
  <r>
    <d v="2026-04-12T00:00:00"/>
    <x v="0"/>
    <n v="671250000"/>
  </r>
  <r>
    <d v="2026-04-12T00:00:00"/>
    <x v="1"/>
    <n v="316296496"/>
  </r>
  <r>
    <d v="2026-04-12T00:00:00"/>
    <x v="2"/>
    <n v="10894830000"/>
  </r>
  <r>
    <d v="2026-04-12T00:00:00"/>
    <x v="3"/>
    <n v="1236101463"/>
  </r>
  <r>
    <d v="2026-04-12T00:00:00"/>
    <x v="4"/>
    <n v="13592988000"/>
  </r>
  <r>
    <d v="2026-04-12T00:00:00"/>
    <x v="5"/>
    <n v="0"/>
  </r>
  <r>
    <d v="2026-04-12T00:00:00"/>
    <x v="6"/>
    <n v="0"/>
  </r>
  <r>
    <d v="2026-04-12T00:00:00"/>
    <x v="7"/>
    <n v="3536440000"/>
  </r>
  <r>
    <d v="2026-04-12T00:00:00"/>
    <x v="8"/>
    <n v="564090000"/>
  </r>
  <r>
    <d v="2026-04-12T00:00:00"/>
    <x v="9"/>
    <n v="6340708"/>
  </r>
  <r>
    <d v="2026-04-12T00:00:00"/>
    <x v="10"/>
    <n v="1413464582"/>
  </r>
  <r>
    <d v="2026-04-12T00:00:00"/>
    <x v="11"/>
    <n v="0"/>
  </r>
  <r>
    <d v="2026-04-12T00:00:00"/>
    <x v="12"/>
    <n v="0"/>
  </r>
  <r>
    <d v="2026-04-12T00:00:00"/>
    <x v="13"/>
    <n v="0"/>
  </r>
  <r>
    <d v="2026-04-12T00:00:00"/>
    <x v="14"/>
    <n v="16581150000"/>
  </r>
  <r>
    <d v="2026-04-12T00:00:00"/>
    <x v="15"/>
    <n v="0"/>
  </r>
  <r>
    <d v="2026-04-12T00:00:00"/>
    <x v="16"/>
    <n v="0"/>
  </r>
  <r>
    <d v="2026-04-12T00:00:00"/>
    <x v="17"/>
    <n v="0"/>
  </r>
  <r>
    <d v="2026-04-12T00:00:00"/>
    <x v="18"/>
    <n v="0"/>
  </r>
  <r>
    <d v="2026-04-12T00:00:00"/>
    <x v="19"/>
    <n v="10937592000"/>
  </r>
  <r>
    <d v="2026-04-12T00:00:00"/>
    <x v="20"/>
    <n v="197904553"/>
  </r>
  <r>
    <d v="2026-04-12T00:00:00"/>
    <x v="21"/>
    <n v="21000000"/>
  </r>
  <r>
    <d v="2026-04-12T00:00:00"/>
    <x v="22"/>
    <n v="45000000"/>
  </r>
  <r>
    <d v="2026-04-12T00:00:00"/>
    <x v="23"/>
    <n v="553580000"/>
  </r>
  <r>
    <d v="2026-04-12T00:00:00"/>
    <x v="24"/>
    <n v="275400000"/>
  </r>
  <r>
    <d v="2026-04-12T00:00:00"/>
    <x v="25"/>
    <n v="249197333"/>
  </r>
  <r>
    <d v="2026-04-12T00:00:00"/>
    <x v="26"/>
    <n v="4706910000"/>
  </r>
  <r>
    <d v="2026-04-12T00:00:00"/>
    <x v="27"/>
    <n v="6480000"/>
  </r>
  <r>
    <d v="2026-04-13T00:00:00"/>
    <x v="0"/>
    <n v="438810000"/>
  </r>
  <r>
    <d v="2026-04-13T00:00:00"/>
    <x v="1"/>
    <n v="273934417"/>
  </r>
  <r>
    <d v="2026-04-13T00:00:00"/>
    <x v="2"/>
    <n v="16424450000"/>
  </r>
  <r>
    <d v="2026-04-13T00:00:00"/>
    <x v="3"/>
    <n v="1602643991"/>
  </r>
  <r>
    <d v="2026-04-13T00:00:00"/>
    <x v="4"/>
    <n v="13723668000"/>
  </r>
  <r>
    <d v="2026-04-13T00:00:00"/>
    <x v="5"/>
    <n v="0"/>
  </r>
  <r>
    <d v="2026-04-13T00:00:00"/>
    <x v="6"/>
    <n v="0"/>
  </r>
  <r>
    <d v="2026-04-13T00:00:00"/>
    <x v="7"/>
    <n v="3167440000"/>
  </r>
  <r>
    <d v="2026-04-13T00:00:00"/>
    <x v="8"/>
    <n v="848380000"/>
  </r>
  <r>
    <d v="2026-04-13T00:00:00"/>
    <x v="9"/>
    <n v="5954006"/>
  </r>
  <r>
    <d v="2026-04-13T00:00:00"/>
    <x v="10"/>
    <n v="879939666"/>
  </r>
  <r>
    <d v="2026-04-13T00:00:00"/>
    <x v="11"/>
    <n v="0"/>
  </r>
  <r>
    <d v="2026-04-13T00:00:00"/>
    <x v="12"/>
    <n v="52500000"/>
  </r>
  <r>
    <d v="2026-04-13T00:00:00"/>
    <x v="13"/>
    <n v="0"/>
  </r>
  <r>
    <d v="2026-04-13T00:00:00"/>
    <x v="14"/>
    <n v="17959910000"/>
  </r>
  <r>
    <d v="2026-04-13T00:00:00"/>
    <x v="15"/>
    <n v="0"/>
  </r>
  <r>
    <d v="2026-04-13T00:00:00"/>
    <x v="16"/>
    <n v="0"/>
  </r>
  <r>
    <d v="2026-04-13T00:00:00"/>
    <x v="17"/>
    <n v="0"/>
  </r>
  <r>
    <d v="2026-04-13T00:00:00"/>
    <x v="18"/>
    <n v="0"/>
  </r>
  <r>
    <d v="2026-04-13T00:00:00"/>
    <x v="19"/>
    <n v="10580652000"/>
  </r>
  <r>
    <d v="2026-04-13T00:00:00"/>
    <x v="20"/>
    <n v="178900462"/>
  </r>
  <r>
    <d v="2026-04-13T00:00:00"/>
    <x v="21"/>
    <n v="31500000"/>
  </r>
  <r>
    <d v="2026-04-13T00:00:00"/>
    <x v="22"/>
    <n v="53000000"/>
  </r>
  <r>
    <d v="2026-04-13T00:00:00"/>
    <x v="23"/>
    <n v="537320000"/>
  </r>
  <r>
    <d v="2026-04-13T00:00:00"/>
    <x v="24"/>
    <n v="369684000"/>
  </r>
  <r>
    <d v="2026-04-13T00:00:00"/>
    <x v="25"/>
    <n v="301895258"/>
  </r>
  <r>
    <d v="2026-04-13T00:00:00"/>
    <x v="26"/>
    <n v="5343780000"/>
  </r>
  <r>
    <d v="2026-04-13T00:00:00"/>
    <x v="27"/>
    <n v="2160000"/>
  </r>
  <r>
    <d v="2026-04-14T00:00:00"/>
    <x v="0"/>
    <n v="386090000"/>
  </r>
  <r>
    <d v="2026-04-14T00:00:00"/>
    <x v="1"/>
    <n v="255411827"/>
  </r>
  <r>
    <d v="2026-04-14T00:00:00"/>
    <x v="2"/>
    <n v="14958530000"/>
  </r>
  <r>
    <d v="2026-04-14T00:00:00"/>
    <x v="3"/>
    <n v="1362590416"/>
  </r>
  <r>
    <d v="2026-04-14T00:00:00"/>
    <x v="4"/>
    <n v="13722588000"/>
  </r>
  <r>
    <d v="2026-04-14T00:00:00"/>
    <x v="5"/>
    <n v="0"/>
  </r>
  <r>
    <d v="2026-04-14T00:00:00"/>
    <x v="6"/>
    <n v="90000000"/>
  </r>
  <r>
    <d v="2026-04-14T00:00:00"/>
    <x v="7"/>
    <n v="2837450000"/>
  </r>
  <r>
    <d v="2026-04-14T00:00:00"/>
    <x v="8"/>
    <n v="567530000"/>
  </r>
  <r>
    <d v="2026-04-14T00:00:00"/>
    <x v="9"/>
    <n v="1828000"/>
  </r>
  <r>
    <d v="2026-04-14T00:00:00"/>
    <x v="10"/>
    <n v="932321018"/>
  </r>
  <r>
    <d v="2026-04-14T00:00:00"/>
    <x v="11"/>
    <n v="0"/>
  </r>
  <r>
    <d v="2026-04-14T00:00:00"/>
    <x v="12"/>
    <n v="93250000"/>
  </r>
  <r>
    <d v="2026-04-14T00:00:00"/>
    <x v="13"/>
    <n v="0"/>
  </r>
  <r>
    <d v="2026-04-14T00:00:00"/>
    <x v="14"/>
    <n v="18714060000"/>
  </r>
  <r>
    <d v="2026-04-14T00:00:00"/>
    <x v="15"/>
    <n v="0"/>
  </r>
  <r>
    <d v="2026-04-14T00:00:00"/>
    <x v="16"/>
    <n v="0"/>
  </r>
  <r>
    <d v="2026-04-14T00:00:00"/>
    <x v="17"/>
    <n v="0"/>
  </r>
  <r>
    <d v="2026-04-14T00:00:00"/>
    <x v="18"/>
    <n v="0"/>
  </r>
  <r>
    <d v="2026-04-14T00:00:00"/>
    <x v="19"/>
    <n v="10200060000"/>
  </r>
  <r>
    <d v="2026-04-14T00:00:00"/>
    <x v="20"/>
    <n v="157377981"/>
  </r>
  <r>
    <d v="2026-04-14T00:00:00"/>
    <x v="21"/>
    <n v="57750000"/>
  </r>
  <r>
    <d v="2026-04-14T00:00:00"/>
    <x v="22"/>
    <n v="52000000"/>
  </r>
  <r>
    <d v="2026-04-14T00:00:00"/>
    <x v="23"/>
    <n v="658790000"/>
  </r>
  <r>
    <d v="2026-04-14T00:00:00"/>
    <x v="24"/>
    <n v="349920000"/>
  </r>
  <r>
    <d v="2026-04-14T00:00:00"/>
    <x v="25"/>
    <n v="252671303"/>
  </r>
  <r>
    <d v="2026-04-14T00:00:00"/>
    <x v="26"/>
    <n v="5869520000"/>
  </r>
  <r>
    <d v="2026-04-14T00:00:00"/>
    <x v="27"/>
    <n v="6480000"/>
  </r>
  <r>
    <d v="2026-04-15T00:00:00"/>
    <x v="0"/>
    <n v="485090000"/>
  </r>
  <r>
    <d v="2026-04-15T00:00:00"/>
    <x v="1"/>
    <n v="255129496"/>
  </r>
  <r>
    <d v="2026-04-15T00:00:00"/>
    <x v="2"/>
    <n v="17456220000"/>
  </r>
  <r>
    <d v="2026-04-15T00:00:00"/>
    <x v="3"/>
    <n v="1675318227"/>
  </r>
  <r>
    <d v="2026-04-15T00:00:00"/>
    <x v="4"/>
    <n v="15747264000"/>
  </r>
  <r>
    <d v="2026-04-15T00:00:00"/>
    <x v="5"/>
    <n v="0"/>
  </r>
  <r>
    <d v="2026-04-15T00:00:00"/>
    <x v="6"/>
    <n v="0"/>
  </r>
  <r>
    <d v="2026-04-15T00:00:00"/>
    <x v="7"/>
    <n v="2574730000"/>
  </r>
  <r>
    <d v="2026-04-15T00:00:00"/>
    <x v="8"/>
    <n v="901760000"/>
  </r>
  <r>
    <d v="2026-04-15T00:00:00"/>
    <x v="9"/>
    <n v="5093685"/>
  </r>
  <r>
    <d v="2026-04-15T00:00:00"/>
    <x v="10"/>
    <n v="995142647"/>
  </r>
  <r>
    <d v="2026-04-15T00:00:00"/>
    <x v="11"/>
    <n v="0"/>
  </r>
  <r>
    <d v="2026-04-15T00:00:00"/>
    <x v="12"/>
    <n v="67500000"/>
  </r>
  <r>
    <d v="2026-04-15T00:00:00"/>
    <x v="13"/>
    <n v="0"/>
  </r>
  <r>
    <d v="2026-04-15T00:00:00"/>
    <x v="14"/>
    <n v="19516940000"/>
  </r>
  <r>
    <d v="2026-04-15T00:00:00"/>
    <x v="15"/>
    <n v="0"/>
  </r>
  <r>
    <d v="2026-04-15T00:00:00"/>
    <x v="16"/>
    <n v="0"/>
  </r>
  <r>
    <d v="2026-04-15T00:00:00"/>
    <x v="17"/>
    <n v="0"/>
  </r>
  <r>
    <d v="2026-04-15T00:00:00"/>
    <x v="18"/>
    <n v="0"/>
  </r>
  <r>
    <d v="2026-04-15T00:00:00"/>
    <x v="19"/>
    <n v="12952548000"/>
  </r>
  <r>
    <d v="2026-04-15T00:00:00"/>
    <x v="20"/>
    <n v="173992190"/>
  </r>
  <r>
    <d v="2026-04-15T00:00:00"/>
    <x v="21"/>
    <n v="0"/>
  </r>
  <r>
    <d v="2026-04-15T00:00:00"/>
    <x v="22"/>
    <n v="33000000"/>
  </r>
  <r>
    <d v="2026-04-15T00:00:00"/>
    <x v="23"/>
    <n v="743090000"/>
  </r>
  <r>
    <d v="2026-04-15T00:00:00"/>
    <x v="24"/>
    <n v="327996000"/>
  </r>
  <r>
    <d v="2026-04-15T00:00:00"/>
    <x v="25"/>
    <n v="270805620"/>
  </r>
  <r>
    <d v="2026-04-15T00:00:00"/>
    <x v="26"/>
    <n v="6386390000"/>
  </r>
  <r>
    <d v="2026-04-15T00:00:00"/>
    <x v="27"/>
    <n v="8640000"/>
  </r>
  <r>
    <d v="2026-04-16T00:00:00"/>
    <x v="0"/>
    <n v="394650000"/>
  </r>
  <r>
    <d v="2026-04-16T00:00:00"/>
    <x v="1"/>
    <n v="252673938"/>
  </r>
  <r>
    <d v="2026-04-16T00:00:00"/>
    <x v="2"/>
    <n v="15575360000"/>
  </r>
  <r>
    <d v="2026-04-16T00:00:00"/>
    <x v="3"/>
    <n v="1378132749"/>
  </r>
  <r>
    <d v="2026-04-16T00:00:00"/>
    <x v="4"/>
    <n v="14120028000"/>
  </r>
  <r>
    <d v="2026-04-16T00:00:00"/>
    <x v="5"/>
    <n v="0"/>
  </r>
  <r>
    <d v="2026-04-16T00:00:00"/>
    <x v="6"/>
    <n v="0"/>
  </r>
  <r>
    <d v="2026-04-16T00:00:00"/>
    <x v="7"/>
    <n v="2827170000"/>
  </r>
  <r>
    <d v="2026-04-16T00:00:00"/>
    <x v="8"/>
    <n v="850760000"/>
  </r>
  <r>
    <d v="2026-04-16T00:00:00"/>
    <x v="9"/>
    <n v="11266593"/>
  </r>
  <r>
    <d v="2026-04-16T00:00:00"/>
    <x v="10"/>
    <n v="864715463"/>
  </r>
  <r>
    <d v="2026-04-16T00:00:00"/>
    <x v="11"/>
    <n v="0"/>
  </r>
  <r>
    <d v="2026-04-16T00:00:00"/>
    <x v="12"/>
    <n v="40000000"/>
  </r>
  <r>
    <d v="2026-04-16T00:00:00"/>
    <x v="13"/>
    <n v="0"/>
  </r>
  <r>
    <d v="2026-04-16T00:00:00"/>
    <x v="14"/>
    <n v="18022650000"/>
  </r>
  <r>
    <d v="2026-04-16T00:00:00"/>
    <x v="15"/>
    <n v="0"/>
  </r>
  <r>
    <d v="2026-04-16T00:00:00"/>
    <x v="16"/>
    <n v="0"/>
  </r>
  <r>
    <d v="2026-04-16T00:00:00"/>
    <x v="17"/>
    <n v="0"/>
  </r>
  <r>
    <d v="2026-04-16T00:00:00"/>
    <x v="18"/>
    <n v="0"/>
  </r>
  <r>
    <d v="2026-04-16T00:00:00"/>
    <x v="19"/>
    <n v="11571228000"/>
  </r>
  <r>
    <d v="2026-04-16T00:00:00"/>
    <x v="20"/>
    <n v="180321316"/>
  </r>
  <r>
    <d v="2026-04-16T00:00:00"/>
    <x v="21"/>
    <n v="42000000"/>
  </r>
  <r>
    <d v="2026-04-16T00:00:00"/>
    <x v="22"/>
    <n v="38000000"/>
  </r>
  <r>
    <d v="2026-04-16T00:00:00"/>
    <x v="23"/>
    <n v="654280000"/>
  </r>
  <r>
    <d v="2026-04-16T00:00:00"/>
    <x v="24"/>
    <n v="282312000"/>
  </r>
  <r>
    <d v="2026-04-16T00:00:00"/>
    <x v="25"/>
    <n v="248742818"/>
  </r>
  <r>
    <d v="2026-04-16T00:00:00"/>
    <x v="26"/>
    <n v="5763210000"/>
  </r>
  <r>
    <d v="2026-04-16T00:00:00"/>
    <x v="27"/>
    <n v="6480000"/>
  </r>
  <r>
    <d v="2026-04-17T00:00:00"/>
    <x v="0"/>
    <n v="431120000"/>
  </r>
  <r>
    <d v="2026-04-17T00:00:00"/>
    <x v="1"/>
    <n v="257394445"/>
  </r>
  <r>
    <d v="2026-04-17T00:00:00"/>
    <x v="2"/>
    <n v="13467110000"/>
  </r>
  <r>
    <d v="2026-04-17T00:00:00"/>
    <x v="3"/>
    <n v="1237946176"/>
  </r>
  <r>
    <d v="2026-04-17T00:00:00"/>
    <x v="4"/>
    <n v="13727232000"/>
  </r>
  <r>
    <d v="2026-04-17T00:00:00"/>
    <x v="5"/>
    <n v="0"/>
  </r>
  <r>
    <d v="2026-04-17T00:00:00"/>
    <x v="6"/>
    <n v="90000000"/>
  </r>
  <r>
    <d v="2026-04-17T00:00:00"/>
    <x v="7"/>
    <n v="2383890000"/>
  </r>
  <r>
    <d v="2026-04-17T00:00:00"/>
    <x v="8"/>
    <n v="1076550000"/>
  </r>
  <r>
    <d v="2026-04-17T00:00:00"/>
    <x v="9"/>
    <n v="2077000"/>
  </r>
  <r>
    <d v="2026-04-17T00:00:00"/>
    <x v="10"/>
    <n v="1001350918"/>
  </r>
  <r>
    <d v="2026-04-17T00:00:00"/>
    <x v="11"/>
    <n v="0"/>
  </r>
  <r>
    <d v="2026-04-17T00:00:00"/>
    <x v="12"/>
    <n v="63000000"/>
  </r>
  <r>
    <d v="2026-04-17T00:00:00"/>
    <x v="13"/>
    <n v="0"/>
  </r>
  <r>
    <d v="2026-04-17T00:00:00"/>
    <x v="14"/>
    <n v="17459440000"/>
  </r>
  <r>
    <d v="2026-04-17T00:00:00"/>
    <x v="15"/>
    <n v="0"/>
  </r>
  <r>
    <d v="2026-04-17T00:00:00"/>
    <x v="16"/>
    <n v="0"/>
  </r>
  <r>
    <d v="2026-04-17T00:00:00"/>
    <x v="17"/>
    <n v="0"/>
  </r>
  <r>
    <d v="2026-04-17T00:00:00"/>
    <x v="18"/>
    <n v="0"/>
  </r>
  <r>
    <d v="2026-04-17T00:00:00"/>
    <x v="19"/>
    <n v="10529244000"/>
  </r>
  <r>
    <d v="2026-04-17T00:00:00"/>
    <x v="20"/>
    <n v="154684658"/>
  </r>
  <r>
    <d v="2026-04-17T00:00:00"/>
    <x v="21"/>
    <n v="30500000"/>
  </r>
  <r>
    <d v="2026-04-17T00:00:00"/>
    <x v="22"/>
    <n v="14000000"/>
  </r>
  <r>
    <d v="2026-04-17T00:00:00"/>
    <x v="23"/>
    <n v="1043820000"/>
  </r>
  <r>
    <d v="2026-04-17T00:00:00"/>
    <x v="24"/>
    <n v="363852000"/>
  </r>
  <r>
    <d v="2026-04-17T00:00:00"/>
    <x v="25"/>
    <n v="227579849"/>
  </r>
  <r>
    <d v="2026-04-17T00:00:00"/>
    <x v="26"/>
    <n v="5666300000"/>
  </r>
  <r>
    <d v="2026-04-17T00:00:00"/>
    <x v="27"/>
    <n v="0"/>
  </r>
  <r>
    <d v="2026-04-18T00:00:00"/>
    <x v="0"/>
    <n v="490320000"/>
  </r>
  <r>
    <d v="2026-04-18T00:00:00"/>
    <x v="1"/>
    <n v="249342174"/>
  </r>
  <r>
    <d v="2026-04-18T00:00:00"/>
    <x v="2"/>
    <n v="12698440000"/>
  </r>
  <r>
    <d v="2026-04-18T00:00:00"/>
    <x v="3"/>
    <n v="1188494503"/>
  </r>
  <r>
    <d v="2026-04-18T00:00:00"/>
    <x v="4"/>
    <n v="12928356000"/>
  </r>
  <r>
    <d v="2026-04-18T00:00:00"/>
    <x v="5"/>
    <n v="0"/>
  </r>
  <r>
    <d v="2026-04-18T00:00:00"/>
    <x v="6"/>
    <n v="0"/>
  </r>
  <r>
    <d v="2026-04-18T00:00:00"/>
    <x v="7"/>
    <n v="2279150000"/>
  </r>
  <r>
    <d v="2026-04-18T00:00:00"/>
    <x v="8"/>
    <n v="939210000"/>
  </r>
  <r>
    <d v="2026-04-18T00:00:00"/>
    <x v="9"/>
    <n v="19197095"/>
  </r>
  <r>
    <d v="2026-04-18T00:00:00"/>
    <x v="10"/>
    <n v="1276263506"/>
  </r>
  <r>
    <d v="2026-04-18T00:00:00"/>
    <x v="11"/>
    <n v="0"/>
  </r>
  <r>
    <d v="2026-04-18T00:00:00"/>
    <x v="12"/>
    <n v="77700000"/>
  </r>
  <r>
    <d v="2026-04-18T00:00:00"/>
    <x v="13"/>
    <n v="0"/>
  </r>
  <r>
    <d v="2026-04-18T00:00:00"/>
    <x v="14"/>
    <n v="14181630000"/>
  </r>
  <r>
    <d v="2026-04-18T00:00:00"/>
    <x v="15"/>
    <n v="0"/>
  </r>
  <r>
    <d v="2026-04-18T00:00:00"/>
    <x v="16"/>
    <n v="0"/>
  </r>
  <r>
    <d v="2026-04-18T00:00:00"/>
    <x v="17"/>
    <n v="0"/>
  </r>
  <r>
    <d v="2026-04-18T00:00:00"/>
    <x v="18"/>
    <n v="0"/>
  </r>
  <r>
    <d v="2026-04-18T00:00:00"/>
    <x v="19"/>
    <n v="10708632000"/>
  </r>
  <r>
    <d v="2026-04-18T00:00:00"/>
    <x v="20"/>
    <n v="122729974"/>
  </r>
  <r>
    <d v="2026-04-18T00:00:00"/>
    <x v="21"/>
    <n v="53550000"/>
  </r>
  <r>
    <d v="2026-04-18T00:00:00"/>
    <x v="22"/>
    <n v="35000000"/>
  </r>
  <r>
    <d v="2026-04-18T00:00:00"/>
    <x v="23"/>
    <n v="655810000"/>
  </r>
  <r>
    <d v="2026-04-18T00:00:00"/>
    <x v="24"/>
    <n v="240948000"/>
  </r>
  <r>
    <d v="2026-04-18T00:00:00"/>
    <x v="25"/>
    <n v="162104649"/>
  </r>
  <r>
    <d v="2026-04-18T00:00:00"/>
    <x v="26"/>
    <n v="4977120000"/>
  </r>
  <r>
    <d v="2026-04-18T00:00:00"/>
    <x v="27"/>
    <n v="0"/>
  </r>
  <r>
    <d v="2026-04-19T00:00:00"/>
    <x v="0"/>
    <n v="569780000"/>
  </r>
  <r>
    <d v="2026-04-19T00:00:00"/>
    <x v="1"/>
    <n v="273767079"/>
  </r>
  <r>
    <d v="2026-04-19T00:00:00"/>
    <x v="2"/>
    <n v="11894970000"/>
  </r>
  <r>
    <d v="2026-04-19T00:00:00"/>
    <x v="3"/>
    <n v="1072639158"/>
  </r>
  <r>
    <d v="2026-04-19T00:00:00"/>
    <x v="4"/>
    <n v="13170600000"/>
  </r>
  <r>
    <d v="2026-04-19T00:00:00"/>
    <x v="5"/>
    <n v="0"/>
  </r>
  <r>
    <d v="2026-04-19T00:00:00"/>
    <x v="6"/>
    <n v="0"/>
  </r>
  <r>
    <d v="2026-04-19T00:00:00"/>
    <x v="7"/>
    <n v="3196900000"/>
  </r>
  <r>
    <d v="2026-04-19T00:00:00"/>
    <x v="8"/>
    <n v="580250000"/>
  </r>
  <r>
    <d v="2026-04-19T00:00:00"/>
    <x v="9"/>
    <n v="6009443"/>
  </r>
  <r>
    <d v="2026-04-19T00:00:00"/>
    <x v="10"/>
    <n v="1162515757"/>
  </r>
  <r>
    <d v="2026-04-19T00:00:00"/>
    <x v="11"/>
    <n v="0"/>
  </r>
  <r>
    <d v="2026-04-19T00:00:00"/>
    <x v="12"/>
    <n v="15750000"/>
  </r>
  <r>
    <d v="2026-04-19T00:00:00"/>
    <x v="13"/>
    <n v="0"/>
  </r>
  <r>
    <d v="2026-04-19T00:00:00"/>
    <x v="14"/>
    <n v="15575200000"/>
  </r>
  <r>
    <d v="2026-04-19T00:00:00"/>
    <x v="15"/>
    <n v="0"/>
  </r>
  <r>
    <d v="2026-04-19T00:00:00"/>
    <x v="16"/>
    <n v="0"/>
  </r>
  <r>
    <d v="2026-04-19T00:00:00"/>
    <x v="17"/>
    <n v="0"/>
  </r>
  <r>
    <d v="2026-04-19T00:00:00"/>
    <x v="18"/>
    <n v="0"/>
  </r>
  <r>
    <d v="2026-04-19T00:00:00"/>
    <x v="19"/>
    <n v="10571796000"/>
  </r>
  <r>
    <d v="2026-04-19T00:00:00"/>
    <x v="20"/>
    <n v="131540008"/>
  </r>
  <r>
    <d v="2026-04-19T00:00:00"/>
    <x v="21"/>
    <n v="42000000"/>
  </r>
  <r>
    <d v="2026-04-19T00:00:00"/>
    <x v="22"/>
    <n v="43000000"/>
  </r>
  <r>
    <d v="2026-04-19T00:00:00"/>
    <x v="23"/>
    <n v="902290000"/>
  </r>
  <r>
    <d v="2026-04-19T00:00:00"/>
    <x v="24"/>
    <n v="210600000"/>
  </r>
  <r>
    <d v="2026-04-19T00:00:00"/>
    <x v="25"/>
    <n v="201304062"/>
  </r>
  <r>
    <d v="2026-04-19T00:00:00"/>
    <x v="26"/>
    <n v="4101160000"/>
  </r>
  <r>
    <d v="2026-04-19T00:00:00"/>
    <x v="27"/>
    <n v="0"/>
  </r>
  <r>
    <d v="2026-04-20T00:00:00"/>
    <x v="0"/>
    <n v="443250000"/>
  </r>
  <r>
    <d v="2026-04-20T00:00:00"/>
    <x v="1"/>
    <n v="251999633"/>
  </r>
  <r>
    <d v="2026-04-20T00:00:00"/>
    <x v="2"/>
    <n v="14875820000"/>
  </r>
  <r>
    <d v="2026-04-20T00:00:00"/>
    <x v="3"/>
    <n v="2794444072"/>
  </r>
  <r>
    <d v="2026-04-20T00:00:00"/>
    <x v="4"/>
    <n v="14755608000"/>
  </r>
  <r>
    <d v="2026-04-20T00:00:00"/>
    <x v="5"/>
    <n v="0"/>
  </r>
  <r>
    <d v="2026-04-20T00:00:00"/>
    <x v="6"/>
    <n v="0"/>
  </r>
  <r>
    <d v="2026-04-20T00:00:00"/>
    <x v="7"/>
    <n v="2936790000"/>
  </r>
  <r>
    <d v="2026-04-20T00:00:00"/>
    <x v="8"/>
    <n v="998770000"/>
  </r>
  <r>
    <d v="2026-04-20T00:00:00"/>
    <x v="9"/>
    <n v="13525090"/>
  </r>
  <r>
    <d v="2026-04-20T00:00:00"/>
    <x v="10"/>
    <n v="804617153"/>
  </r>
  <r>
    <d v="2026-04-20T00:00:00"/>
    <x v="11"/>
    <n v="0"/>
  </r>
  <r>
    <d v="2026-04-20T00:00:00"/>
    <x v="12"/>
    <n v="73500000"/>
  </r>
  <r>
    <d v="2026-04-20T00:00:00"/>
    <x v="13"/>
    <n v="0"/>
  </r>
  <r>
    <d v="2026-04-20T00:00:00"/>
    <x v="14"/>
    <n v="16555900000"/>
  </r>
  <r>
    <d v="2026-04-20T00:00:00"/>
    <x v="15"/>
    <n v="0"/>
  </r>
  <r>
    <d v="2026-04-20T00:00:00"/>
    <x v="16"/>
    <n v="0"/>
  </r>
  <r>
    <d v="2026-04-20T00:00:00"/>
    <x v="17"/>
    <n v="0"/>
  </r>
  <r>
    <d v="2026-04-20T00:00:00"/>
    <x v="18"/>
    <n v="0"/>
  </r>
  <r>
    <d v="2026-04-20T00:00:00"/>
    <x v="19"/>
    <n v="11234592000"/>
  </r>
  <r>
    <d v="2026-04-20T00:00:00"/>
    <x v="20"/>
    <n v="168559692"/>
  </r>
  <r>
    <d v="2026-04-20T00:00:00"/>
    <x v="21"/>
    <n v="72500000"/>
  </r>
  <r>
    <d v="2026-04-20T00:00:00"/>
    <x v="22"/>
    <n v="46000000"/>
  </r>
  <r>
    <d v="2026-04-20T00:00:00"/>
    <x v="23"/>
    <n v="840560000"/>
  </r>
  <r>
    <d v="2026-04-20T00:00:00"/>
    <x v="24"/>
    <n v="337608000"/>
  </r>
  <r>
    <d v="2026-04-20T00:00:00"/>
    <x v="25"/>
    <n v="226619379"/>
  </r>
  <r>
    <d v="2026-04-20T00:00:00"/>
    <x v="26"/>
    <n v="5538620000"/>
  </r>
  <r>
    <d v="2026-04-20T00:00:00"/>
    <x v="27"/>
    <n v="0"/>
  </r>
  <r>
    <d v="2026-04-21T00:00:00"/>
    <x v="0"/>
    <n v="332570000"/>
  </r>
  <r>
    <d v="2026-04-21T00:00:00"/>
    <x v="1"/>
    <n v="288336238"/>
  </r>
  <r>
    <d v="2026-04-21T00:00:00"/>
    <x v="2"/>
    <n v="13878130000"/>
  </r>
  <r>
    <d v="2026-04-21T00:00:00"/>
    <x v="3"/>
    <n v="1509161012"/>
  </r>
  <r>
    <d v="2026-04-21T00:00:00"/>
    <x v="4"/>
    <n v="13785984000"/>
  </r>
  <r>
    <d v="2026-04-21T00:00:00"/>
    <x v="5"/>
    <n v="0"/>
  </r>
  <r>
    <d v="2026-04-21T00:00:00"/>
    <x v="6"/>
    <n v="0"/>
  </r>
  <r>
    <d v="2026-04-21T00:00:00"/>
    <x v="7"/>
    <n v="2285230000"/>
  </r>
  <r>
    <d v="2026-04-21T00:00:00"/>
    <x v="8"/>
    <n v="956550000"/>
  </r>
  <r>
    <d v="2026-04-21T00:00:00"/>
    <x v="9"/>
    <n v="16625330"/>
  </r>
  <r>
    <d v="2026-04-21T00:00:00"/>
    <x v="10"/>
    <n v="944037049"/>
  </r>
  <r>
    <d v="2026-04-21T00:00:00"/>
    <x v="11"/>
    <n v="0"/>
  </r>
  <r>
    <d v="2026-04-21T00:00:00"/>
    <x v="12"/>
    <n v="51750000"/>
  </r>
  <r>
    <d v="2026-04-21T00:00:00"/>
    <x v="13"/>
    <n v="0"/>
  </r>
  <r>
    <d v="2026-04-21T00:00:00"/>
    <x v="14"/>
    <n v="17244300000"/>
  </r>
  <r>
    <d v="2026-04-21T00:00:00"/>
    <x v="15"/>
    <n v="0"/>
  </r>
  <r>
    <d v="2026-04-21T00:00:00"/>
    <x v="16"/>
    <n v="0"/>
  </r>
  <r>
    <d v="2026-04-21T00:00:00"/>
    <x v="17"/>
    <n v="0"/>
  </r>
  <r>
    <d v="2026-04-21T00:00:00"/>
    <x v="18"/>
    <n v="0"/>
  </r>
  <r>
    <d v="2026-04-21T00:00:00"/>
    <x v="19"/>
    <n v="10527732000"/>
  </r>
  <r>
    <d v="2026-04-21T00:00:00"/>
    <x v="20"/>
    <n v="179683952"/>
  </r>
  <r>
    <d v="2026-04-21T00:00:00"/>
    <x v="21"/>
    <n v="10500000"/>
  </r>
  <r>
    <d v="2026-04-21T00:00:00"/>
    <x v="22"/>
    <n v="65000000"/>
  </r>
  <r>
    <d v="2026-04-21T00:00:00"/>
    <x v="23"/>
    <n v="869660000"/>
  </r>
  <r>
    <d v="2026-04-21T00:00:00"/>
    <x v="24"/>
    <n v="332316000"/>
  </r>
  <r>
    <d v="2026-04-21T00:00:00"/>
    <x v="25"/>
    <n v="303930939"/>
  </r>
  <r>
    <d v="2026-04-21T00:00:00"/>
    <x v="26"/>
    <n v="4818270000"/>
  </r>
  <r>
    <d v="2026-04-21T00:00:00"/>
    <x v="27"/>
    <n v="0"/>
  </r>
  <r>
    <d v="2026-04-22T00:00:00"/>
    <x v="0"/>
    <n v="243180000"/>
  </r>
  <r>
    <d v="2026-04-22T00:00:00"/>
    <x v="1"/>
    <n v="282811198"/>
  </r>
  <r>
    <d v="2026-04-22T00:00:00"/>
    <x v="2"/>
    <n v="13039630000"/>
  </r>
  <r>
    <d v="2026-04-22T00:00:00"/>
    <x v="3"/>
    <n v="1483311980"/>
  </r>
  <r>
    <d v="2026-04-22T00:00:00"/>
    <x v="4"/>
    <n v="13454964000"/>
  </r>
  <r>
    <d v="2026-04-22T00:00:00"/>
    <x v="5"/>
    <n v="0"/>
  </r>
  <r>
    <d v="2026-04-22T00:00:00"/>
    <x v="6"/>
    <n v="0"/>
  </r>
  <r>
    <d v="2026-04-22T00:00:00"/>
    <x v="7"/>
    <n v="2311780000"/>
  </r>
  <r>
    <d v="2026-04-22T00:00:00"/>
    <x v="8"/>
    <n v="994270000"/>
  </r>
  <r>
    <d v="2026-04-22T00:00:00"/>
    <x v="9"/>
    <n v="5289000"/>
  </r>
  <r>
    <d v="2026-04-22T00:00:00"/>
    <x v="10"/>
    <n v="873223574"/>
  </r>
  <r>
    <d v="2026-04-22T00:00:00"/>
    <x v="11"/>
    <n v="0"/>
  </r>
  <r>
    <d v="2026-04-22T00:00:00"/>
    <x v="12"/>
    <n v="15000000"/>
  </r>
  <r>
    <d v="2026-04-22T00:00:00"/>
    <x v="13"/>
    <n v="0"/>
  </r>
  <r>
    <d v="2026-04-22T00:00:00"/>
    <x v="14"/>
    <n v="13777860000"/>
  </r>
  <r>
    <d v="2026-04-22T00:00:00"/>
    <x v="15"/>
    <n v="0"/>
  </r>
  <r>
    <d v="2026-04-22T00:00:00"/>
    <x v="16"/>
    <n v="0"/>
  </r>
  <r>
    <d v="2026-04-22T00:00:00"/>
    <x v="17"/>
    <n v="0"/>
  </r>
  <r>
    <d v="2026-04-22T00:00:00"/>
    <x v="18"/>
    <n v="0"/>
  </r>
  <r>
    <d v="2026-04-22T00:00:00"/>
    <x v="19"/>
    <n v="10224036000"/>
  </r>
  <r>
    <d v="2026-04-22T00:00:00"/>
    <x v="20"/>
    <n v="116695203"/>
  </r>
  <r>
    <d v="2026-04-22T00:00:00"/>
    <x v="21"/>
    <n v="41500000"/>
  </r>
  <r>
    <d v="2026-04-22T00:00:00"/>
    <x v="22"/>
    <n v="69000000"/>
  </r>
  <r>
    <d v="2026-04-22T00:00:00"/>
    <x v="23"/>
    <n v="637280000"/>
  </r>
  <r>
    <d v="2026-04-22T00:00:00"/>
    <x v="24"/>
    <n v="309852000"/>
  </r>
  <r>
    <d v="2026-04-22T00:00:00"/>
    <x v="25"/>
    <n v="316000074"/>
  </r>
  <r>
    <d v="2026-04-22T00:00:00"/>
    <x v="26"/>
    <n v="5213060000"/>
  </r>
  <r>
    <d v="2026-04-22T00:00:00"/>
    <x v="27"/>
    <n v="0"/>
  </r>
  <r>
    <d v="2026-04-23T00:00:00"/>
    <x v="0"/>
    <n v="433220000"/>
  </r>
  <r>
    <d v="2026-04-23T00:00:00"/>
    <x v="1"/>
    <n v="281076094"/>
  </r>
  <r>
    <d v="2026-04-23T00:00:00"/>
    <x v="2"/>
    <n v="12871680000"/>
  </r>
  <r>
    <d v="2026-04-23T00:00:00"/>
    <x v="3"/>
    <n v="1181657913"/>
  </r>
  <r>
    <d v="2026-04-23T00:00:00"/>
    <x v="4"/>
    <n v="13141656000"/>
  </r>
  <r>
    <d v="2026-04-23T00:00:00"/>
    <x v="5"/>
    <n v="0"/>
  </r>
  <r>
    <d v="2026-04-23T00:00:00"/>
    <x v="6"/>
    <n v="0"/>
  </r>
  <r>
    <d v="2026-04-23T00:00:00"/>
    <x v="7"/>
    <n v="2658420000"/>
  </r>
  <r>
    <d v="2026-04-23T00:00:00"/>
    <x v="8"/>
    <n v="362910000"/>
  </r>
  <r>
    <d v="2026-04-23T00:00:00"/>
    <x v="9"/>
    <n v="1737297"/>
  </r>
  <r>
    <d v="2026-04-23T00:00:00"/>
    <x v="10"/>
    <n v="834597567"/>
  </r>
  <r>
    <d v="2026-04-23T00:00:00"/>
    <x v="11"/>
    <n v="0"/>
  </r>
  <r>
    <d v="2026-04-23T00:00:00"/>
    <x v="12"/>
    <n v="70750000"/>
  </r>
  <r>
    <d v="2026-04-23T00:00:00"/>
    <x v="13"/>
    <n v="0"/>
  </r>
  <r>
    <d v="2026-04-23T00:00:00"/>
    <x v="14"/>
    <n v="15241400000"/>
  </r>
  <r>
    <d v="2026-04-23T00:00:00"/>
    <x v="15"/>
    <n v="0"/>
  </r>
  <r>
    <d v="2026-04-23T00:00:00"/>
    <x v="16"/>
    <n v="0"/>
  </r>
  <r>
    <d v="2026-04-23T00:00:00"/>
    <x v="17"/>
    <n v="0"/>
  </r>
  <r>
    <d v="2026-04-23T00:00:00"/>
    <x v="18"/>
    <n v="0"/>
  </r>
  <r>
    <d v="2026-04-23T00:00:00"/>
    <x v="19"/>
    <n v="11162664000"/>
  </r>
  <r>
    <d v="2026-04-23T00:00:00"/>
    <x v="20"/>
    <n v="136768567"/>
  </r>
  <r>
    <d v="2026-04-23T00:00:00"/>
    <x v="21"/>
    <n v="0"/>
  </r>
  <r>
    <d v="2026-04-23T00:00:00"/>
    <x v="22"/>
    <n v="68000000"/>
  </r>
  <r>
    <d v="2026-04-23T00:00:00"/>
    <x v="23"/>
    <n v="919280000"/>
  </r>
  <r>
    <d v="2026-04-23T00:00:00"/>
    <x v="24"/>
    <n v="276588000"/>
  </r>
  <r>
    <d v="2026-04-23T00:00:00"/>
    <x v="25"/>
    <n v="286743556"/>
  </r>
  <r>
    <d v="2026-04-23T00:00:00"/>
    <x v="26"/>
    <n v="4642340000"/>
  </r>
  <r>
    <d v="2026-04-23T00:00:00"/>
    <x v="27"/>
    <n v="0"/>
  </r>
  <r>
    <d v="2026-04-24T00:00:00"/>
    <x v="0"/>
    <n v="808150000"/>
  </r>
  <r>
    <d v="2026-04-24T00:00:00"/>
    <x v="1"/>
    <n v="333584406"/>
  </r>
  <r>
    <d v="2026-04-24T00:00:00"/>
    <x v="2"/>
    <n v="13354840000"/>
  </r>
  <r>
    <d v="2026-04-24T00:00:00"/>
    <x v="3"/>
    <n v="1354050620"/>
  </r>
  <r>
    <d v="2026-04-24T00:00:00"/>
    <x v="4"/>
    <n v="14447700000"/>
  </r>
  <r>
    <d v="2026-04-24T00:00:00"/>
    <x v="5"/>
    <n v="0"/>
  </r>
  <r>
    <d v="2026-04-24T00:00:00"/>
    <x v="6"/>
    <n v="80000000"/>
  </r>
  <r>
    <d v="2026-04-24T00:00:00"/>
    <x v="7"/>
    <n v="2558540000"/>
  </r>
  <r>
    <d v="2026-04-24T00:00:00"/>
    <x v="8"/>
    <n v="751340000"/>
  </r>
  <r>
    <d v="2026-04-24T00:00:00"/>
    <x v="9"/>
    <n v="10477887"/>
  </r>
  <r>
    <d v="2026-04-24T00:00:00"/>
    <x v="10"/>
    <n v="1176833106"/>
  </r>
  <r>
    <d v="2026-04-24T00:00:00"/>
    <x v="11"/>
    <n v="0"/>
  </r>
  <r>
    <d v="2026-04-24T00:00:00"/>
    <x v="12"/>
    <n v="48900000"/>
  </r>
  <r>
    <d v="2026-04-24T00:00:00"/>
    <x v="13"/>
    <n v="0"/>
  </r>
  <r>
    <d v="2026-04-24T00:00:00"/>
    <x v="14"/>
    <n v="17715760000"/>
  </r>
  <r>
    <d v="2026-04-24T00:00:00"/>
    <x v="15"/>
    <n v="0"/>
  </r>
  <r>
    <d v="2026-04-24T00:00:00"/>
    <x v="16"/>
    <n v="0"/>
  </r>
  <r>
    <d v="2026-04-24T00:00:00"/>
    <x v="17"/>
    <n v="0"/>
  </r>
  <r>
    <d v="2026-04-24T00:00:00"/>
    <x v="18"/>
    <n v="0"/>
  </r>
  <r>
    <d v="2026-04-24T00:00:00"/>
    <x v="19"/>
    <n v="11401236000"/>
  </r>
  <r>
    <d v="2026-04-24T00:00:00"/>
    <x v="20"/>
    <n v="143695252"/>
  </r>
  <r>
    <d v="2026-04-24T00:00:00"/>
    <x v="21"/>
    <n v="21000000"/>
  </r>
  <r>
    <d v="2026-04-24T00:00:00"/>
    <x v="22"/>
    <n v="69000000"/>
  </r>
  <r>
    <d v="2026-04-24T00:00:00"/>
    <x v="23"/>
    <n v="560070000"/>
  </r>
  <r>
    <d v="2026-04-24T00:00:00"/>
    <x v="24"/>
    <n v="325620000"/>
  </r>
  <r>
    <d v="2026-04-24T00:00:00"/>
    <x v="25"/>
    <n v="304187198"/>
  </r>
  <r>
    <d v="2026-04-24T00:00:00"/>
    <x v="26"/>
    <n v="5596010000"/>
  </r>
  <r>
    <d v="2026-04-24T00:00:00"/>
    <x v="27"/>
    <n v="0"/>
  </r>
  <r>
    <d v="2026-04-25T00:00:00"/>
    <x v="0"/>
    <n v="773830000"/>
  </r>
  <r>
    <d v="2026-04-25T00:00:00"/>
    <x v="1"/>
    <n v="330827954"/>
  </r>
  <r>
    <d v="2026-04-25T00:00:00"/>
    <x v="2"/>
    <n v="11232430000"/>
  </r>
  <r>
    <d v="2026-04-25T00:00:00"/>
    <x v="3"/>
    <n v="1397531250"/>
  </r>
  <r>
    <d v="2026-04-25T00:00:00"/>
    <x v="4"/>
    <n v="14073264000"/>
  </r>
  <r>
    <d v="2026-04-25T00:00:00"/>
    <x v="5"/>
    <n v="0"/>
  </r>
  <r>
    <d v="2026-04-25T00:00:00"/>
    <x v="6"/>
    <n v="0"/>
  </r>
  <r>
    <d v="2026-04-25T00:00:00"/>
    <x v="7"/>
    <n v="2308850000"/>
  </r>
  <r>
    <d v="2026-04-25T00:00:00"/>
    <x v="8"/>
    <n v="662140000"/>
  </r>
  <r>
    <d v="2026-04-25T00:00:00"/>
    <x v="9"/>
    <n v="3684746"/>
  </r>
  <r>
    <d v="2026-04-25T00:00:00"/>
    <x v="10"/>
    <n v="1074214674"/>
  </r>
  <r>
    <d v="2026-04-25T00:00:00"/>
    <x v="11"/>
    <n v="0"/>
  </r>
  <r>
    <d v="2026-04-25T00:00:00"/>
    <x v="12"/>
    <n v="29400000"/>
  </r>
  <r>
    <d v="2026-04-25T00:00:00"/>
    <x v="13"/>
    <n v="0"/>
  </r>
  <r>
    <d v="2026-04-25T00:00:00"/>
    <x v="14"/>
    <n v="16521930000"/>
  </r>
  <r>
    <d v="2026-04-25T00:00:00"/>
    <x v="15"/>
    <n v="0"/>
  </r>
  <r>
    <d v="2026-04-25T00:00:00"/>
    <x v="16"/>
    <n v="0"/>
  </r>
  <r>
    <d v="2026-04-25T00:00:00"/>
    <x v="17"/>
    <n v="0"/>
  </r>
  <r>
    <d v="2026-04-25T00:00:00"/>
    <x v="18"/>
    <n v="0"/>
  </r>
  <r>
    <d v="2026-04-25T00:00:00"/>
    <x v="19"/>
    <n v="11211264000"/>
  </r>
  <r>
    <d v="2026-04-25T00:00:00"/>
    <x v="20"/>
    <n v="145933673"/>
  </r>
  <r>
    <d v="2026-04-25T00:00:00"/>
    <x v="21"/>
    <n v="38850000"/>
  </r>
  <r>
    <d v="2026-04-25T00:00:00"/>
    <x v="22"/>
    <n v="77000000"/>
  </r>
  <r>
    <d v="2026-04-25T00:00:00"/>
    <x v="23"/>
    <n v="726700000"/>
  </r>
  <r>
    <d v="2026-04-25T00:00:00"/>
    <x v="24"/>
    <n v="313200000"/>
  </r>
  <r>
    <d v="2026-04-25T00:00:00"/>
    <x v="25"/>
    <n v="321648718"/>
  </r>
  <r>
    <d v="2026-04-25T00:00:00"/>
    <x v="26"/>
    <n v="4928250000"/>
  </r>
  <r>
    <d v="2026-04-25T00:00:00"/>
    <x v="27"/>
    <n v="0"/>
  </r>
  <r>
    <d v="2026-04-26T00:00:00"/>
    <x v="0"/>
    <n v="584940000"/>
  </r>
  <r>
    <d v="2026-04-26T00:00:00"/>
    <x v="1"/>
    <n v="295871702"/>
  </r>
  <r>
    <d v="2026-04-26T00:00:00"/>
    <x v="2"/>
    <n v="9100610000"/>
  </r>
  <r>
    <d v="2026-04-26T00:00:00"/>
    <x v="3"/>
    <n v="921064049"/>
  </r>
  <r>
    <d v="2026-04-26T00:00:00"/>
    <x v="4"/>
    <n v="11943828000"/>
  </r>
  <r>
    <d v="2026-04-26T00:00:00"/>
    <x v="5"/>
    <n v="0"/>
  </r>
  <r>
    <d v="2026-04-26T00:00:00"/>
    <x v="6"/>
    <n v="0"/>
  </r>
  <r>
    <d v="2026-04-26T00:00:00"/>
    <x v="7"/>
    <n v="2989110000"/>
  </r>
  <r>
    <d v="2026-04-26T00:00:00"/>
    <x v="8"/>
    <n v="753520000"/>
  </r>
  <r>
    <d v="2026-04-26T00:00:00"/>
    <x v="9"/>
    <n v="10285000"/>
  </r>
  <r>
    <d v="2026-04-26T00:00:00"/>
    <x v="10"/>
    <n v="1126565631"/>
  </r>
  <r>
    <d v="2026-04-26T00:00:00"/>
    <x v="11"/>
    <n v="0"/>
  </r>
  <r>
    <d v="2026-04-26T00:00:00"/>
    <x v="12"/>
    <n v="57750000"/>
  </r>
  <r>
    <d v="2026-04-26T00:00:00"/>
    <x v="13"/>
    <n v="0"/>
  </r>
  <r>
    <d v="2026-04-26T00:00:00"/>
    <x v="14"/>
    <n v="13923340000"/>
  </r>
  <r>
    <d v="2026-04-26T00:00:00"/>
    <x v="15"/>
    <n v="0"/>
  </r>
  <r>
    <d v="2026-04-26T00:00:00"/>
    <x v="16"/>
    <n v="0"/>
  </r>
  <r>
    <d v="2026-04-26T00:00:00"/>
    <x v="17"/>
    <n v="0"/>
  </r>
  <r>
    <d v="2026-04-26T00:00:00"/>
    <x v="18"/>
    <n v="0"/>
  </r>
  <r>
    <d v="2026-04-26T00:00:00"/>
    <x v="19"/>
    <n v="9789444000"/>
  </r>
  <r>
    <d v="2026-04-26T00:00:00"/>
    <x v="20"/>
    <n v="144784889"/>
  </r>
  <r>
    <d v="2026-04-26T00:00:00"/>
    <x v="21"/>
    <n v="15750000"/>
  </r>
  <r>
    <d v="2026-04-26T00:00:00"/>
    <x v="22"/>
    <n v="45000000"/>
  </r>
  <r>
    <d v="2026-04-26T00:00:00"/>
    <x v="23"/>
    <n v="929450000"/>
  </r>
  <r>
    <d v="2026-04-26T00:00:00"/>
    <x v="24"/>
    <n v="252612000"/>
  </r>
  <r>
    <d v="2026-04-26T00:00:00"/>
    <x v="25"/>
    <n v="213719719"/>
  </r>
  <r>
    <d v="2026-04-26T00:00:00"/>
    <x v="26"/>
    <n v="4862720000"/>
  </r>
  <r>
    <d v="2026-04-26T00:00:00"/>
    <x v="27"/>
    <n v="0"/>
  </r>
  <r>
    <d v="2026-04-27T00:00:00"/>
    <x v="0"/>
    <n v="556450000"/>
  </r>
  <r>
    <d v="2026-04-27T00:00:00"/>
    <x v="1"/>
    <n v="325656867"/>
  </r>
  <r>
    <d v="2026-04-27T00:00:00"/>
    <x v="2"/>
    <n v="10570340000"/>
  </r>
  <r>
    <d v="2026-04-27T00:00:00"/>
    <x v="3"/>
    <n v="1307737180"/>
  </r>
  <r>
    <d v="2026-04-27T00:00:00"/>
    <x v="4"/>
    <n v="12461796000"/>
  </r>
  <r>
    <d v="2026-04-27T00:00:00"/>
    <x v="5"/>
    <n v="0"/>
  </r>
  <r>
    <d v="2026-04-27T00:00:00"/>
    <x v="6"/>
    <n v="0"/>
  </r>
  <r>
    <d v="2026-04-27T00:00:00"/>
    <x v="7"/>
    <n v="2617380000"/>
  </r>
  <r>
    <d v="2026-04-27T00:00:00"/>
    <x v="8"/>
    <n v="897440000"/>
  </r>
  <r>
    <d v="2026-04-27T00:00:00"/>
    <x v="9"/>
    <n v="13666610"/>
  </r>
  <r>
    <d v="2026-04-27T00:00:00"/>
    <x v="10"/>
    <n v="969675024"/>
  </r>
  <r>
    <d v="2026-04-27T00:00:00"/>
    <x v="11"/>
    <n v="0"/>
  </r>
  <r>
    <d v="2026-04-27T00:00:00"/>
    <x v="12"/>
    <n v="15750000"/>
  </r>
  <r>
    <d v="2026-04-27T00:00:00"/>
    <x v="13"/>
    <n v="0"/>
  </r>
  <r>
    <d v="2026-04-27T00:00:00"/>
    <x v="14"/>
    <n v="14907670000"/>
  </r>
  <r>
    <d v="2026-04-27T00:00:00"/>
    <x v="15"/>
    <n v="0"/>
  </r>
  <r>
    <d v="2026-04-27T00:00:00"/>
    <x v="16"/>
    <n v="0"/>
  </r>
  <r>
    <d v="2026-04-27T00:00:00"/>
    <x v="17"/>
    <n v="0"/>
  </r>
  <r>
    <d v="2026-04-27T00:00:00"/>
    <x v="18"/>
    <n v="0"/>
  </r>
  <r>
    <d v="2026-04-27T00:00:00"/>
    <x v="19"/>
    <n v="9999072000"/>
  </r>
  <r>
    <d v="2026-04-27T00:00:00"/>
    <x v="20"/>
    <n v="137238973"/>
  </r>
  <r>
    <d v="2026-04-27T00:00:00"/>
    <x v="21"/>
    <n v="21000000"/>
  </r>
  <r>
    <d v="2026-04-27T00:00:00"/>
    <x v="22"/>
    <n v="72000000"/>
  </r>
  <r>
    <d v="2026-04-27T00:00:00"/>
    <x v="23"/>
    <n v="542590000"/>
  </r>
  <r>
    <d v="2026-04-27T00:00:00"/>
    <x v="24"/>
    <n v="285984000"/>
  </r>
  <r>
    <d v="2026-04-27T00:00:00"/>
    <x v="25"/>
    <n v="305971303"/>
  </r>
  <r>
    <d v="2026-04-27T00:00:00"/>
    <x v="26"/>
    <n v="4888940000"/>
  </r>
  <r>
    <d v="2026-04-27T00:00:00"/>
    <x v="27"/>
    <n v="0"/>
  </r>
  <r>
    <d v="2026-04-28T00:00:00"/>
    <x v="0"/>
    <n v="526000000"/>
  </r>
  <r>
    <d v="2026-04-28T00:00:00"/>
    <x v="1"/>
    <n v="311187199"/>
  </r>
  <r>
    <d v="2026-04-28T00:00:00"/>
    <x v="2"/>
    <n v="12885850000"/>
  </r>
  <r>
    <d v="2026-04-28T00:00:00"/>
    <x v="3"/>
    <n v="1730597535"/>
  </r>
  <r>
    <d v="2026-04-28T00:00:00"/>
    <x v="4"/>
    <n v="14327280000"/>
  </r>
  <r>
    <d v="2026-04-28T00:00:00"/>
    <x v="5"/>
    <n v="0"/>
  </r>
  <r>
    <d v="2026-04-28T00:00:00"/>
    <x v="6"/>
    <n v="0"/>
  </r>
  <r>
    <d v="2026-04-28T00:00:00"/>
    <x v="7"/>
    <n v="2523180000"/>
  </r>
  <r>
    <d v="2026-04-28T00:00:00"/>
    <x v="8"/>
    <n v="1172500000"/>
  </r>
  <r>
    <d v="2026-04-28T00:00:00"/>
    <x v="9"/>
    <n v="10989000"/>
  </r>
  <r>
    <d v="2026-04-28T00:00:00"/>
    <x v="10"/>
    <n v="1068221147"/>
  </r>
  <r>
    <d v="2026-04-28T00:00:00"/>
    <x v="11"/>
    <n v="0"/>
  </r>
  <r>
    <d v="2026-04-28T00:00:00"/>
    <x v="12"/>
    <n v="96750000"/>
  </r>
  <r>
    <d v="2026-04-28T00:00:00"/>
    <x v="13"/>
    <n v="0"/>
  </r>
  <r>
    <d v="2026-04-28T00:00:00"/>
    <x v="14"/>
    <n v="15526020000"/>
  </r>
  <r>
    <d v="2026-04-28T00:00:00"/>
    <x v="15"/>
    <n v="0"/>
  </r>
  <r>
    <d v="2026-04-28T00:00:00"/>
    <x v="16"/>
    <n v="0"/>
  </r>
  <r>
    <d v="2026-04-28T00:00:00"/>
    <x v="17"/>
    <n v="0"/>
  </r>
  <r>
    <d v="2026-04-28T00:00:00"/>
    <x v="18"/>
    <n v="0"/>
  </r>
  <r>
    <d v="2026-04-28T00:00:00"/>
    <x v="19"/>
    <n v="11045268000"/>
  </r>
  <r>
    <d v="2026-04-28T00:00:00"/>
    <x v="20"/>
    <n v="129271786"/>
  </r>
  <r>
    <d v="2026-04-28T00:00:00"/>
    <x v="21"/>
    <n v="43600000"/>
  </r>
  <r>
    <d v="2026-04-28T00:00:00"/>
    <x v="22"/>
    <n v="76000000"/>
  </r>
  <r>
    <d v="2026-04-28T00:00:00"/>
    <x v="23"/>
    <n v="769540000"/>
  </r>
  <r>
    <d v="2026-04-28T00:00:00"/>
    <x v="24"/>
    <n v="321840000"/>
  </r>
  <r>
    <d v="2026-04-28T00:00:00"/>
    <x v="25"/>
    <n v="361246014"/>
  </r>
  <r>
    <d v="2026-04-28T00:00:00"/>
    <x v="26"/>
    <n v="6032760000"/>
  </r>
  <r>
    <d v="2026-04-28T00:00:00"/>
    <x v="27"/>
    <n v="0"/>
  </r>
  <r>
    <d v="2026-04-29T00:00:00"/>
    <x v="0"/>
    <n v="687460000"/>
  </r>
  <r>
    <d v="2026-04-29T00:00:00"/>
    <x v="1"/>
    <n v="315783903"/>
  </r>
  <r>
    <d v="2026-04-29T00:00:00"/>
    <x v="2"/>
    <n v="12860960000"/>
  </r>
  <r>
    <d v="2026-04-29T00:00:00"/>
    <x v="3"/>
    <n v="1698883297"/>
  </r>
  <r>
    <d v="2026-04-29T00:00:00"/>
    <x v="4"/>
    <n v="15115788000"/>
  </r>
  <r>
    <d v="2026-04-29T00:00:00"/>
    <x v="5"/>
    <n v="0"/>
  </r>
  <r>
    <d v="2026-04-29T00:00:00"/>
    <x v="6"/>
    <n v="90000000"/>
  </r>
  <r>
    <d v="2026-04-29T00:00:00"/>
    <x v="7"/>
    <n v="2529180000"/>
  </r>
  <r>
    <d v="2026-04-29T00:00:00"/>
    <x v="8"/>
    <n v="863690000"/>
  </r>
  <r>
    <d v="2026-04-29T00:00:00"/>
    <x v="9"/>
    <n v="16494134"/>
  </r>
  <r>
    <d v="2026-04-29T00:00:00"/>
    <x v="10"/>
    <n v="934501465"/>
  </r>
  <r>
    <d v="2026-04-29T00:00:00"/>
    <x v="11"/>
    <n v="0"/>
  </r>
  <r>
    <d v="2026-04-29T00:00:00"/>
    <x v="12"/>
    <n v="15750000"/>
  </r>
  <r>
    <d v="2026-04-29T00:00:00"/>
    <x v="13"/>
    <n v="83430000"/>
  </r>
  <r>
    <d v="2026-04-29T00:00:00"/>
    <x v="14"/>
    <n v="16124590000"/>
  </r>
  <r>
    <d v="2026-04-29T00:00:00"/>
    <x v="15"/>
    <n v="0"/>
  </r>
  <r>
    <d v="2026-04-29T00:00:00"/>
    <x v="16"/>
    <n v="0"/>
  </r>
  <r>
    <d v="2026-04-29T00:00:00"/>
    <x v="17"/>
    <n v="0"/>
  </r>
  <r>
    <d v="2026-04-29T00:00:00"/>
    <x v="18"/>
    <n v="0"/>
  </r>
  <r>
    <d v="2026-04-29T00:00:00"/>
    <x v="19"/>
    <n v="11571012000"/>
  </r>
  <r>
    <d v="2026-04-29T00:00:00"/>
    <x v="20"/>
    <n v="135326808"/>
  </r>
  <r>
    <d v="2026-04-29T00:00:00"/>
    <x v="21"/>
    <n v="99750000"/>
  </r>
  <r>
    <d v="2026-04-29T00:00:00"/>
    <x v="22"/>
    <n v="42000000"/>
  </r>
  <r>
    <d v="2026-04-29T00:00:00"/>
    <x v="23"/>
    <n v="872880000"/>
  </r>
  <r>
    <d v="2026-04-29T00:00:00"/>
    <x v="24"/>
    <n v="305964000"/>
  </r>
  <r>
    <d v="2026-04-29T00:00:00"/>
    <x v="25"/>
    <n v="288721906"/>
  </r>
  <r>
    <d v="2026-04-29T00:00:00"/>
    <x v="26"/>
    <n v="5969040000"/>
  </r>
  <r>
    <d v="2026-04-29T00:00:00"/>
    <x v="27"/>
    <n v="0"/>
  </r>
  <r>
    <d v="2026-04-30T00:00:00"/>
    <x v="0"/>
    <n v="518170000"/>
  </r>
  <r>
    <d v="2026-04-30T00:00:00"/>
    <x v="1"/>
    <n v="267128277"/>
  </r>
  <r>
    <d v="2026-04-30T00:00:00"/>
    <x v="2"/>
    <n v="10386840000"/>
  </r>
  <r>
    <d v="2026-04-30T00:00:00"/>
    <x v="3"/>
    <n v="1603726826"/>
  </r>
  <r>
    <d v="2026-04-30T00:00:00"/>
    <x v="4"/>
    <n v="12702960000"/>
  </r>
  <r>
    <d v="2026-04-30T00:00:00"/>
    <x v="5"/>
    <n v="0"/>
  </r>
  <r>
    <d v="2026-04-30T00:00:00"/>
    <x v="6"/>
    <n v="0"/>
  </r>
  <r>
    <d v="2026-04-30T00:00:00"/>
    <x v="7"/>
    <n v="1377790000"/>
  </r>
  <r>
    <d v="2026-04-30T00:00:00"/>
    <x v="8"/>
    <n v="557180000"/>
  </r>
  <r>
    <d v="2026-04-30T00:00:00"/>
    <x v="9"/>
    <n v="15600832"/>
  </r>
  <r>
    <d v="2026-04-30T00:00:00"/>
    <x v="10"/>
    <n v="1130919971"/>
  </r>
  <r>
    <d v="2026-04-30T00:00:00"/>
    <x v="11"/>
    <n v="0"/>
  </r>
  <r>
    <d v="2026-04-30T00:00:00"/>
    <x v="12"/>
    <n v="15000000"/>
  </r>
  <r>
    <d v="2026-04-30T00:00:00"/>
    <x v="13"/>
    <n v="0"/>
  </r>
  <r>
    <d v="2026-04-30T00:00:00"/>
    <x v="14"/>
    <n v="13482030000"/>
  </r>
  <r>
    <d v="2026-04-30T00:00:00"/>
    <x v="15"/>
    <n v="0"/>
  </r>
  <r>
    <d v="2026-04-30T00:00:00"/>
    <x v="16"/>
    <n v="0"/>
  </r>
  <r>
    <d v="2026-04-30T00:00:00"/>
    <x v="17"/>
    <n v="0"/>
  </r>
  <r>
    <d v="2026-04-30T00:00:00"/>
    <x v="18"/>
    <n v="0"/>
  </r>
  <r>
    <d v="2026-04-30T00:00:00"/>
    <x v="19"/>
    <n v="10214856000"/>
  </r>
  <r>
    <d v="2026-04-30T00:00:00"/>
    <x v="20"/>
    <n v="138944687"/>
  </r>
  <r>
    <d v="2026-04-30T00:00:00"/>
    <x v="21"/>
    <n v="42000000"/>
  </r>
  <r>
    <d v="2026-04-30T00:00:00"/>
    <x v="22"/>
    <n v="59000000"/>
  </r>
  <r>
    <d v="2026-04-30T00:00:00"/>
    <x v="23"/>
    <n v="728720000"/>
  </r>
  <r>
    <d v="2026-04-30T00:00:00"/>
    <x v="24"/>
    <n v="268272000"/>
  </r>
  <r>
    <d v="2026-04-30T00:00:00"/>
    <x v="25"/>
    <n v="237276638"/>
  </r>
  <r>
    <d v="2026-04-30T00:00:00"/>
    <x v="26"/>
    <n v="3823010000"/>
  </r>
  <r>
    <d v="2026-04-30T00:00:00"/>
    <x v="2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F7D92-8066-4328-887B-767258E53BC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1" firstHeaderRow="1" firstDataRow="1" firstDataCol="1"/>
  <pivotFields count="3">
    <pivotField compact="0" numFmtId="164" outline="0" showAll="0"/>
    <pivotField axis="axisRow" compact="0" outline="0" showAll="0">
      <items count="31">
        <item x="0"/>
        <item x="1"/>
        <item x="2"/>
        <item x="3"/>
        <item x="4"/>
        <item x="6"/>
        <item x="7"/>
        <item x="8"/>
        <item x="10"/>
        <item x="12"/>
        <item x="14"/>
        <item x="19"/>
        <item x="20"/>
        <item x="21"/>
        <item x="22"/>
        <item x="23"/>
        <item x="24"/>
        <item x="25"/>
        <item x="26"/>
        <item x="5"/>
        <item x="9"/>
        <item x="11"/>
        <item x="13"/>
        <item x="15"/>
        <item x="16"/>
        <item x="17"/>
        <item x="18"/>
        <item x="27"/>
        <item m="1" x="28"/>
        <item m="1" x="29"/>
        <item t="default"/>
      </items>
    </pivotField>
    <pivotField dataField="1" compact="0" outline="0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" fld="2" baseField="0" baseItem="0" numFmtId="167"/>
  </dataFields>
  <formats count="1">
    <format dxfId="7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BA321-8917-432D-9A38-662150E07CD4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11:AQ422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numFmtId="169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 sortType="ascending">
      <items count="37">
        <item h="1" x="3"/>
        <item h="1" x="11"/>
        <item h="1" x="12"/>
        <item h="1" x="5"/>
        <item h="1" m="1" x="34"/>
        <item h="1" x="27"/>
        <item h="1" x="15"/>
        <item h="1" x="31"/>
        <item h="1" x="14"/>
        <item h="1" x="33"/>
        <item h="1" x="23"/>
        <item h="1" x="28"/>
        <item h="1" x="8"/>
        <item h="1" x="26"/>
        <item h="1" x="32"/>
        <item x="2"/>
        <item x="9"/>
        <item x="16"/>
        <item x="10"/>
        <item x="17"/>
        <item x="20"/>
        <item x="21"/>
        <item x="25"/>
        <item x="0"/>
        <item x="7"/>
        <item x="1"/>
        <item x="6"/>
        <item h="1" x="13"/>
        <item h="1" x="18"/>
        <item h="1" x="29"/>
        <item h="1" x="19"/>
        <item h="1" x="22"/>
        <item h="1" x="24"/>
        <item h="1" x="30"/>
        <item h="1" x="4"/>
        <item h="1"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10"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40"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2" type="button" dataOnly="0" labelOnly="1" outline="0" axis="axisPage" fieldPosition="1"/>
    </format>
    <format dxfId="47">
      <pivotArea type="topRight" dataOnly="0" labelOnly="1" outline="0" fieldPosition="0"/>
    </format>
    <format dxfId="46">
      <pivotArea field="5" type="button" dataOnly="0" labelOnly="1" outline="0" axis="axisRow" fieldPosition="0"/>
    </format>
    <format dxfId="45">
      <pivotArea dataOnly="0" labelOnly="1" grandCol="1" outline="0" fieldPosition="0"/>
    </format>
    <format dxfId="44">
      <pivotArea type="origin" dataOnly="0" labelOnly="1" outline="0" fieldPosition="0"/>
    </format>
    <format dxfId="43">
      <pivotArea field="2" type="button" dataOnly="0" labelOnly="1" outline="0" axis="axisPage" fieldPosition="1"/>
    </format>
    <format dxfId="42">
      <pivotArea type="topRight" dataOnly="0" labelOnly="1" outline="0" fieldPosition="0"/>
    </format>
    <format dxfId="41">
      <pivotArea field="5" type="button" dataOnly="0" labelOnly="1" outline="0" axis="axisRow" fieldPosition="0"/>
    </format>
    <format dxfId="40">
      <pivotArea dataOnly="0" labelOnly="1" grandCol="1" outline="0" fieldPosition="0"/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" type="button" dataOnly="0" labelOnly="1" outline="0" axis="axisPage" fieldPosition="1"/>
    </format>
    <format dxfId="31">
      <pivotArea type="topRight" dataOnly="0" labelOnly="1" outline="0" fieldPosition="0"/>
    </format>
    <format dxfId="30">
      <pivotArea field="5" type="button" dataOnly="0" labelOnly="1" outline="0" axis="axisRow" fieldPosition="0"/>
    </format>
    <format dxfId="29">
      <pivotArea dataOnly="0" labelOnly="1" grandRow="1" outline="0" fieldPosition="0"/>
    </format>
    <format dxfId="28">
      <pivotArea dataOnly="0" labelOnly="1" grandCol="1" outline="0" fieldPosition="0"/>
    </format>
    <format dxfId="27">
      <pivotArea field="3" type="button" dataOnly="0" labelOnly="1" outline="0"/>
    </format>
    <format dxfId="26">
      <pivotArea type="topRight" dataOnly="0" labelOnly="1" outline="0" offset="A1:G1" fieldPosition="0"/>
    </format>
    <format dxfId="25">
      <pivotArea field="3" type="button" dataOnly="0" labelOnly="1" outline="0"/>
    </format>
    <format dxfId="24">
      <pivotArea type="topRight" dataOnly="0" labelOnly="1" outline="0" fieldPosition="0"/>
    </format>
    <format dxfId="23">
      <pivotArea field="6" type="button" dataOnly="0" labelOnly="1" outline="0"/>
    </format>
    <format dxfId="22">
      <pivotArea field="6" type="button" dataOnly="0" labelOnly="1" outline="0"/>
    </format>
    <format dxfId="21">
      <pivotArea grandRow="1" grandCol="1" outline="0" collapsedLevelsAreSubtotals="1" fieldPosition="0"/>
    </format>
    <format dxfId="20">
      <pivotArea field="1" type="button" dataOnly="0" labelOnly="1" outline="0" axis="axisPage" fieldPosition="0"/>
    </format>
    <format dxfId="19">
      <pivotArea field="3" type="button" dataOnly="0" labelOnly="1" outline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1" count="1" defaultSubtotal="1">
            <x v="0"/>
          </reference>
        </references>
      </pivotArea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fieldPosition="0">
        <references count="1">
          <reference field="4" count="2">
            <x v="5"/>
            <x v="6"/>
          </reference>
        </references>
      </pivotArea>
    </format>
    <format dxfId="12">
      <pivotArea dataOnly="0" labelOnly="1" fieldPosition="0">
        <references count="1">
          <reference field="4" count="2">
            <x v="12"/>
            <x v="13"/>
          </reference>
        </references>
      </pivotArea>
    </format>
    <format dxfId="11">
      <pivotArea dataOnly="0" labelOnly="1" fieldPosition="0">
        <references count="1">
          <reference field="4" count="2"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86901-E651-4B55-BF51-4701E34C794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82:CE107" firstHeaderRow="1" firstDataRow="3" firstDataCol="1"/>
  <pivotFields count="9">
    <pivotField numFmtId="15" showAll="0"/>
    <pivotField axis="axisCol" numFmtId="169" showAll="0">
      <items count="4">
        <item h="1" x="0"/>
        <item x="1"/>
        <item x="2"/>
        <item t="default"/>
      </items>
    </pivotField>
    <pivotField numFmtId="16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umFmtId="169" showAll="0"/>
    <pivotField showAll="0">
      <items count="37">
        <item x="3"/>
        <item x="11"/>
        <item x="12"/>
        <item x="5"/>
        <item x="8"/>
        <item x="2"/>
        <item x="9"/>
        <item x="10"/>
        <item x="0"/>
        <item x="7"/>
        <item x="1"/>
        <item x="6"/>
        <item h="1" x="4"/>
        <item h="1" x="13"/>
        <item h="1" m="1" x="35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m="1" x="3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axis="axisRow"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h="1" x="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dataField="1" numFmtId="169" showAll="0"/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2">
    <field x="1"/>
    <field x="3"/>
  </colFields>
  <colItems count="72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"/>
    </i>
    <i t="grand">
      <x/>
    </i>
  </colItems>
  <dataFields count="1">
    <dataField name="Sum of Total" fld="8" baseField="0" baseItem="0" numFmtId="169"/>
  </dataFields>
  <formats count="44"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2" type="button" dataOnly="0" labelOnly="1" outline="0"/>
    </format>
    <format dxfId="91">
      <pivotArea type="topRight" dataOnly="0" labelOnly="1" outline="0" fieldPosition="0"/>
    </format>
    <format dxfId="90">
      <pivotArea field="5" type="button" dataOnly="0" labelOnly="1" outline="0"/>
    </format>
    <format dxfId="89">
      <pivotArea dataOnly="0" labelOnly="1" grandCol="1" outline="0" fieldPosition="0"/>
    </format>
    <format dxfId="88">
      <pivotArea type="origin" dataOnly="0" labelOnly="1" outline="0" fieldPosition="0"/>
    </format>
    <format dxfId="87">
      <pivotArea field="2" type="button" dataOnly="0" labelOnly="1" outline="0"/>
    </format>
    <format dxfId="86">
      <pivotArea type="topRight" dataOnly="0" labelOnly="1" outline="0" fieldPosition="0"/>
    </format>
    <format dxfId="85">
      <pivotArea field="5" type="button" dataOnly="0" labelOnly="1" outline="0"/>
    </format>
    <format dxfId="84">
      <pivotArea dataOnly="0" labelOnly="1" grandCol="1" outline="0" fieldPosition="0"/>
    </format>
    <format dxfId="83">
      <pivotArea grandRow="1" outline="0" collapsedLevelsAreSubtotals="1" fieldPosition="0"/>
    </format>
    <format dxfId="82">
      <pivotArea dataOnly="0" labelOnly="1" grandRow="1" outline="0" fieldPosition="0"/>
    </format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2" type="button" dataOnly="0" labelOnly="1" outline="0"/>
    </format>
    <format dxfId="75">
      <pivotArea type="topRight" dataOnly="0" labelOnly="1" outline="0" fieldPosition="0"/>
    </format>
    <format dxfId="74">
      <pivotArea field="5" type="button" dataOnly="0" labelOnly="1" outline="0"/>
    </format>
    <format dxfId="73">
      <pivotArea dataOnly="0" labelOnly="1" grandRow="1" outline="0" fieldPosition="0"/>
    </format>
    <format dxfId="72">
      <pivotArea dataOnly="0" labelOnly="1" grandCol="1" outline="0" fieldPosition="0"/>
    </format>
    <format dxfId="71">
      <pivotArea field="3" type="button" dataOnly="0" labelOnly="1" outline="0" axis="axisCol" fieldPosition="1"/>
    </format>
    <format dxfId="70">
      <pivotArea type="topRight" dataOnly="0" labelOnly="1" outline="0" offset="A1:G1" fieldPosition="0"/>
    </format>
    <format dxfId="69">
      <pivotArea dataOnly="0" labelOnly="1" fieldPosition="0">
        <references count="1">
          <reference field="3" count="0"/>
        </references>
      </pivotArea>
    </format>
    <format dxfId="68">
      <pivotArea field="3" type="button" dataOnly="0" labelOnly="1" outline="0" axis="axisCol" fieldPosition="1"/>
    </format>
    <format dxfId="67">
      <pivotArea type="topRight" dataOnly="0" labelOnly="1" outline="0" fieldPosition="0"/>
    </format>
    <format dxfId="66">
      <pivotArea dataOnly="0" labelOnly="1" fieldPosition="0">
        <references count="1">
          <reference field="3" count="0"/>
        </references>
      </pivotArea>
    </format>
    <format dxfId="65">
      <pivotArea field="6" type="button" dataOnly="0" labelOnly="1" outline="0" axis="axisRow" fieldPosition="0"/>
    </format>
    <format dxfId="64">
      <pivotArea field="6" type="button" dataOnly="0" labelOnly="1" outline="0" axis="axisRow" fieldPosition="0"/>
    </format>
    <format dxfId="63">
      <pivotArea collapsedLevelsAreSubtotals="1" fieldPosition="0">
        <references count="2">
          <reference field="3" count="1" selected="0">
            <x v="34"/>
          </reference>
          <reference field="6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2">
      <pivotArea field="6" grandCol="1" collapsedLevelsAreSubtotals="1" axis="axisRow" fieldPosition="0">
        <references count="1">
          <reference field="6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1">
      <pivotArea collapsedLevelsAreSubtotals="1" fieldPosition="0">
        <references count="2">
          <reference field="3" count="15" selected="0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  <reference field="6" count="2">
            <x v="9"/>
            <x v="10"/>
          </reference>
        </references>
      </pivotArea>
    </format>
    <format dxfId="60">
      <pivotArea field="6" grandCol="1" collapsedLevelsAreSubtotals="1" axis="axisRow" fieldPosition="0">
        <references count="1">
          <reference field="6" count="2">
            <x v="9"/>
            <x v="10"/>
          </reference>
        </references>
      </pivotArea>
    </format>
    <format dxfId="59">
      <pivotArea field="3" grandRow="1" outline="0" collapsedLevelsAreSubtotals="1" axis="axisCol" fieldPosition="1">
        <references count="1">
          <reference field="3" count="20" selected="0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58">
      <pivotArea grandRow="1" grandCol="1" outline="0" collapsedLevelsAreSubtotals="1" fieldPosition="0"/>
    </format>
    <format dxfId="57">
      <pivotArea field="1" type="button" dataOnly="0" labelOnly="1" outline="0" axis="axisCol" fieldPosition="0"/>
    </format>
    <format dxfId="56">
      <pivotArea field="3" type="button" dataOnly="0" labelOnly="1" outline="0" axis="axisCol" fieldPosition="1"/>
    </format>
    <format dxfId="55">
      <pivotArea type="topRight" dataOnly="0" labelOnly="1" outline="0" fieldPosition="0"/>
    </format>
    <format dxfId="54">
      <pivotArea dataOnly="0" labelOnly="1" fieldPosition="0">
        <references count="1">
          <reference field="1" count="1">
            <x v="0"/>
          </reference>
        </references>
      </pivotArea>
    </format>
    <format dxfId="53">
      <pivotArea dataOnly="0" labelOnly="1" fieldPosition="0">
        <references count="1">
          <reference field="1" count="1" defaultSubtotal="1">
            <x v="0"/>
          </reference>
        </references>
      </pivotArea>
    </format>
    <format dxfId="52">
      <pivotArea dataOnly="0" labelOnly="1" grandCol="1" outline="0" fieldPosition="0"/>
    </format>
    <format dxfId="51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9B53A-C5E2-43FD-83CC-844CF965570C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56:AQ386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numFmtId="169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 sortType="ascending">
      <items count="37">
        <item x="3"/>
        <item x="11"/>
        <item x="12"/>
        <item x="5"/>
        <item m="1" x="34"/>
        <item x="27"/>
        <item x="15"/>
        <item x="31"/>
        <item x="14"/>
        <item x="33"/>
        <item x="23"/>
        <item x="28"/>
        <item x="8"/>
        <item x="26"/>
        <item x="32"/>
        <item x="2"/>
        <item x="9"/>
        <item x="16"/>
        <item x="10"/>
        <item x="17"/>
        <item x="20"/>
        <item x="21"/>
        <item x="25"/>
        <item x="0"/>
        <item x="7"/>
        <item x="1"/>
        <item x="6"/>
        <item x="13"/>
        <item x="18"/>
        <item x="29"/>
        <item x="19"/>
        <item x="22"/>
        <item x="24"/>
        <item x="30"/>
        <item x="4"/>
        <item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2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2"/>
    </i>
    <i>
      <x v="33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40"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2" type="button" dataOnly="0" labelOnly="1" outline="0" axis="axisPage" fieldPosition="1"/>
    </format>
    <format dxfId="131">
      <pivotArea type="topRight" dataOnly="0" labelOnly="1" outline="0" fieldPosition="0"/>
    </format>
    <format dxfId="130">
      <pivotArea field="5" type="button" dataOnly="0" labelOnly="1" outline="0" axis="axisRow" fieldPosition="0"/>
    </format>
    <format dxfId="129">
      <pivotArea dataOnly="0" labelOnly="1" grandCol="1" outline="0" fieldPosition="0"/>
    </format>
    <format dxfId="128">
      <pivotArea type="origin" dataOnly="0" labelOnly="1" outline="0" fieldPosition="0"/>
    </format>
    <format dxfId="127">
      <pivotArea field="2" type="button" dataOnly="0" labelOnly="1" outline="0" axis="axisPage" fieldPosition="1"/>
    </format>
    <format dxfId="126">
      <pivotArea type="topRight" dataOnly="0" labelOnly="1" outline="0" fieldPosition="0"/>
    </format>
    <format dxfId="125">
      <pivotArea field="5" type="button" dataOnly="0" labelOnly="1" outline="0" axis="axisRow" fieldPosition="0"/>
    </format>
    <format dxfId="124">
      <pivotArea dataOnly="0" labelOnly="1" grandCol="1" outline="0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grandRow="1" outline="0" collapsedLevelsAreSubtotals="1" fieldPosition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2" type="button" dataOnly="0" labelOnly="1" outline="0" axis="axisPage" fieldPosition="1"/>
    </format>
    <format dxfId="115">
      <pivotArea type="topRight" dataOnly="0" labelOnly="1" outline="0" fieldPosition="0"/>
    </format>
    <format dxfId="114">
      <pivotArea field="5" type="button" dataOnly="0" labelOnly="1" outline="0" axis="axisRow" fieldPosition="0"/>
    </format>
    <format dxfId="113">
      <pivotArea dataOnly="0" labelOnly="1" grandRow="1" outline="0" fieldPosition="0"/>
    </format>
    <format dxfId="112">
      <pivotArea dataOnly="0" labelOnly="1" grandCol="1" outline="0" fieldPosition="0"/>
    </format>
    <format dxfId="111">
      <pivotArea field="3" type="button" dataOnly="0" labelOnly="1" outline="0"/>
    </format>
    <format dxfId="110">
      <pivotArea type="topRight" dataOnly="0" labelOnly="1" outline="0" offset="A1:G1" fieldPosition="0"/>
    </format>
    <format dxfId="109">
      <pivotArea field="3" type="button" dataOnly="0" labelOnly="1" outline="0"/>
    </format>
    <format dxfId="108">
      <pivotArea type="topRight" dataOnly="0" labelOnly="1" outline="0" fieldPosition="0"/>
    </format>
    <format dxfId="107">
      <pivotArea field="6" type="button" dataOnly="0" labelOnly="1" outline="0"/>
    </format>
    <format dxfId="106">
      <pivotArea field="6" type="button" dataOnly="0" labelOnly="1" outline="0"/>
    </format>
    <format dxfId="105">
      <pivotArea grandRow="1" grandCol="1" outline="0" collapsedLevelsAreSubtotals="1" fieldPosition="0"/>
    </format>
    <format dxfId="104">
      <pivotArea field="1" type="button" dataOnly="0" labelOnly="1" outline="0" axis="axisPage" fieldPosition="0"/>
    </format>
    <format dxfId="103">
      <pivotArea field="3" type="button" dataOnly="0" labelOnly="1" outline="0"/>
    </format>
    <format dxfId="102">
      <pivotArea type="topRight" dataOnly="0" labelOnly="1" outline="0" fieldPosition="0"/>
    </format>
    <format dxfId="101">
      <pivotArea dataOnly="0" labelOnly="1" fieldPosition="0">
        <references count="1">
          <reference field="1" count="1" defaultSubtotal="1">
            <x v="0"/>
          </reference>
        </references>
      </pivotArea>
    </format>
    <format dxfId="100">
      <pivotArea dataOnly="0" labelOnly="1" grandCol="1" outline="0" fieldPosition="0"/>
    </format>
    <format dxfId="99">
      <pivotArea outline="0" collapsedLevelsAreSubtotals="1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fieldPosition="0">
        <references count="1">
          <reference field="4" count="2">
            <x v="5"/>
            <x v="6"/>
          </reference>
        </references>
      </pivotArea>
    </format>
    <format dxfId="96">
      <pivotArea dataOnly="0" labelOnly="1" fieldPosition="0">
        <references count="1">
          <reference field="4" count="2">
            <x v="12"/>
            <x v="13"/>
          </reference>
        </references>
      </pivotArea>
    </format>
    <format dxfId="95">
      <pivotArea dataOnly="0" labelOnly="1" fieldPosition="0">
        <references count="1">
          <reference field="4" count="2"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1175D-6907-4750-952D-B7ED9C7BD03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85:AH192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Row" numFmtId="169" multipleItemSelectionAllowed="1" showAll="0">
      <items count="13"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h="1" x="11"/>
        <item t="default"/>
      </items>
    </pivotField>
    <pivotField axis="axisCol"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umFmtId="169" showAll="0"/>
    <pivotField axis="axisPage" multipleItemSelectionAllowed="1" showAll="0" sortType="ascending">
      <items count="37">
        <item h="1" x="3"/>
        <item h="1" x="11"/>
        <item h="1" x="12"/>
        <item h="1" x="5"/>
        <item h="1" m="1" x="34"/>
        <item h="1" x="27"/>
        <item h="1" x="15"/>
        <item h="1" x="31"/>
        <item x="14"/>
        <item h="1" x="33"/>
        <item x="23"/>
        <item x="28"/>
        <item h="1" x="8"/>
        <item h="1" x="26"/>
        <item h="1" x="32"/>
        <item h="1" x="2"/>
        <item h="1" x="9"/>
        <item h="1" x="16"/>
        <item h="1" x="10"/>
        <item h="1" x="17"/>
        <item h="1" x="20"/>
        <item h="1" x="21"/>
        <item h="1" x="25"/>
        <item h="1" x="0"/>
        <item h="1" x="7"/>
        <item h="1" x="1"/>
        <item h="1" x="6"/>
        <item h="1" x="13"/>
        <item h="1" x="18"/>
        <item h="1" x="29"/>
        <item h="1" x="19"/>
        <item h="1" x="22"/>
        <item h="1" x="24"/>
        <item h="1" x="30"/>
        <item h="1" x="4"/>
        <item h="1"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2"/>
  </rowFields>
  <rowItems count="6"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23"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colItems>
  <pageFields count="3">
    <pageField fld="5" hier="-1"/>
    <pageField fld="1" hier="-1"/>
    <pageField fld="7" hier="-1"/>
  </pageFields>
  <dataFields count="1">
    <dataField name="Sum of Total" fld="8" baseField="0" baseItem="0" numFmtId="169"/>
  </dataFields>
  <formats count="39">
    <format dxfId="173">
      <pivotArea outline="0" collapsedLevelsAreSubtotals="1" fieldPosition="0"/>
    </format>
    <format dxfId="172">
      <pivotArea type="origin" dataOnly="0" labelOnly="1" outline="0" fieldPosition="0"/>
    </format>
    <format dxfId="171">
      <pivotArea field="2" type="button" dataOnly="0" labelOnly="1" outline="0" axis="axisRow" fieldPosition="0"/>
    </format>
    <format dxfId="170">
      <pivotArea type="topRight" dataOnly="0" labelOnly="1" outline="0" fieldPosition="0"/>
    </format>
    <format dxfId="169">
      <pivotArea field="5" type="button" dataOnly="0" labelOnly="1" outline="0" axis="axisPage" fieldPosition="0"/>
    </format>
    <format dxfId="168">
      <pivotArea dataOnly="0" labelOnly="1" grandCol="1" outline="0" fieldPosition="0"/>
    </format>
    <format dxfId="167">
      <pivotArea type="origin" dataOnly="0" labelOnly="1" outline="0" fieldPosition="0"/>
    </format>
    <format dxfId="166">
      <pivotArea field="2" type="button" dataOnly="0" labelOnly="1" outline="0" axis="axisRow" fieldPosition="0"/>
    </format>
    <format dxfId="165">
      <pivotArea type="topRight" dataOnly="0" labelOnly="1" outline="0" fieldPosition="0"/>
    </format>
    <format dxfId="164">
      <pivotArea field="5" type="button" dataOnly="0" labelOnly="1" outline="0" axis="axisPage" fieldPosition="0"/>
    </format>
    <format dxfId="163">
      <pivotArea dataOnly="0" labelOnly="1" grandCol="1" outline="0" fieldPosition="0"/>
    </format>
    <format dxfId="162">
      <pivotArea grandRow="1" outline="0" collapsedLevelsAreSubtotals="1" fieldPosition="0"/>
    </format>
    <format dxfId="161">
      <pivotArea dataOnly="0" labelOnly="1" grandRow="1" outline="0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type="origin" dataOnly="0" labelOnly="1" outline="0" fieldPosition="0"/>
    </format>
    <format dxfId="155">
      <pivotArea field="2" type="button" dataOnly="0" labelOnly="1" outline="0" axis="axisRow" fieldPosition="0"/>
    </format>
    <format dxfId="154">
      <pivotArea type="topRight" dataOnly="0" labelOnly="1" outline="0" fieldPosition="0"/>
    </format>
    <format dxfId="153">
      <pivotArea field="5" type="button" dataOnly="0" labelOnly="1" outline="0" axis="axisPage" fieldPosition="0"/>
    </format>
    <format dxfId="152">
      <pivotArea dataOnly="0" labelOnly="1" grandRow="1" outline="0" fieldPosition="0"/>
    </format>
    <format dxfId="151">
      <pivotArea dataOnly="0" labelOnly="1" grandCol="1" outline="0" fieldPosition="0"/>
    </format>
    <format dxfId="150">
      <pivotArea field="3" type="button" dataOnly="0" labelOnly="1" outline="0" axis="axisCol" fieldPosition="0"/>
    </format>
    <format dxfId="149">
      <pivotArea type="topRight" dataOnly="0" labelOnly="1" outline="0" offset="A1:G1" fieldPosition="0"/>
    </format>
    <format dxfId="148">
      <pivotArea field="3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6" type="button" dataOnly="0" labelOnly="1" outline="0"/>
    </format>
    <format dxfId="145">
      <pivotArea field="6" type="button" dataOnly="0" labelOnly="1" outline="0"/>
    </format>
    <format dxfId="144">
      <pivotArea grandRow="1" grandCol="1" outline="0" collapsedLevelsAreSubtotals="1" fieldPosition="0"/>
    </format>
    <format dxfId="143">
      <pivotArea field="1" type="button" dataOnly="0" labelOnly="1" outline="0" axis="axisPage" fieldPosition="1"/>
    </format>
    <format dxfId="142">
      <pivotArea field="3" type="button" dataOnly="0" labelOnly="1" outline="0" axis="axisCol" fieldPosition="0"/>
    </format>
    <format dxfId="141">
      <pivotArea type="topRight" dataOnly="0" labelOnly="1" outline="0" fieldPosition="0"/>
    </format>
    <format dxfId="140">
      <pivotArea dataOnly="0" labelOnly="1" fieldPosition="0">
        <references count="1">
          <reference field="1" count="1" defaultSubtotal="1">
            <x v="0"/>
          </reference>
        </references>
      </pivotArea>
    </format>
    <format dxfId="139">
      <pivotArea dataOnly="0" labelOnly="1" grandCol="1" outline="0" fieldPosition="0"/>
    </format>
    <format dxfId="138">
      <pivotArea outline="0" collapsedLevelsAreSubtotals="1" fieldPosition="0"/>
    </format>
    <format dxfId="137">
      <pivotArea dataOnly="0" labelOnly="1" fieldPosition="0">
        <references count="1">
          <reference field="1" count="0"/>
        </references>
      </pivotArea>
    </format>
    <format dxfId="136">
      <pivotArea dataOnly="0" labelOnly="1" fieldPosition="0">
        <references count="1">
          <reference field="3" count="4">
            <x v="36"/>
            <x v="37"/>
            <x v="38"/>
            <x v="39"/>
          </reference>
        </references>
      </pivotArea>
    </format>
    <format dxfId="135">
      <pivotArea dataOnly="0" labelOnly="1" fieldPosition="0">
        <references count="1">
          <reference field="3" count="1">
            <x v="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75E9B-C19C-4339-8C2B-E3E822ADA6CF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332" firstHeaderRow="0" firstDataRow="2" firstDataCol="0"/>
  <pivotFields count="9">
    <pivotField numFmtId="15" showAll="0"/>
    <pivotField axis="axisCol" numFmtId="169" showAll="0">
      <items count="4">
        <item h="1" x="0"/>
        <item x="1"/>
        <item x="2"/>
        <item t="default"/>
      </items>
    </pivotField>
    <pivotField axis="axisCol" numFmtId="16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9" showAll="0"/>
    <pivotField numFmtId="169" showAll="0"/>
    <pivotField axis="axisRow" showAll="0">
      <items count="37">
        <item x="3"/>
        <item x="11"/>
        <item x="12"/>
        <item x="5"/>
        <item x="8"/>
        <item x="2"/>
        <item x="9"/>
        <item x="10"/>
        <item x="0"/>
        <item x="7"/>
        <item x="1"/>
        <item x="6"/>
        <item x="4"/>
        <item x="13"/>
        <item m="1" x="35"/>
        <item x="14"/>
        <item x="15"/>
        <item x="16"/>
        <item x="17"/>
        <item x="18"/>
        <item x="19"/>
        <item x="20"/>
        <item x="21"/>
        <item x="22"/>
        <item x="23"/>
        <item x="24"/>
        <item m="1" x="3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4"/>
        <item h="1" x="4"/>
        <item x="16"/>
        <item x="17"/>
        <item x="18"/>
        <item x="12"/>
        <item x="15"/>
        <item x="19"/>
        <item x="20"/>
        <item h="1" x="21"/>
        <item h="1" x="22"/>
        <item t="default"/>
      </items>
    </pivotField>
    <pivotField axis="axisPage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7">
    <i>
      <x v="1"/>
    </i>
    <i>
      <x v="9"/>
    </i>
    <i>
      <x v="16"/>
    </i>
    <i>
      <x v="20"/>
    </i>
    <i>
      <x v="24"/>
    </i>
    <i>
      <x v="30"/>
    </i>
    <i t="grand">
      <x/>
    </i>
  </rowItems>
  <colFields count="2">
    <field x="1"/>
    <field x="2"/>
  </colFields>
  <colItems count="19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pageFields count="1">
    <pageField fld="7" item="4" hier="-1"/>
  </pageFields>
  <dataFields count="1">
    <dataField name="Sum of Total" fld="8" baseField="0" baseItem="0" numFmtId="169"/>
  </dataFields>
  <formats count="41">
    <format dxfId="214">
      <pivotArea outline="0" collapsedLevelsAreSubtotals="1" fieldPosition="0"/>
    </format>
    <format dxfId="213">
      <pivotArea type="origin" dataOnly="0" labelOnly="1" outline="0" fieldPosition="0"/>
    </format>
    <format dxfId="212">
      <pivotArea field="2" type="button" dataOnly="0" labelOnly="1" outline="0" axis="axisCol" fieldPosition="1"/>
    </format>
    <format dxfId="211">
      <pivotArea type="topRight" dataOnly="0" labelOnly="1" outline="0" fieldPosition="0"/>
    </format>
    <format dxfId="210">
      <pivotArea field="5" type="button" dataOnly="0" labelOnly="1" outline="0" axis="axisRow" fieldPosition="0"/>
    </format>
    <format dxfId="209">
      <pivotArea dataOnly="0" labelOnly="1" fieldPosition="0">
        <references count="1">
          <reference field="2" count="0"/>
        </references>
      </pivotArea>
    </format>
    <format dxfId="208">
      <pivotArea dataOnly="0" labelOnly="1" grandCol="1" outline="0" fieldPosition="0"/>
    </format>
    <format dxfId="207">
      <pivotArea type="origin" dataOnly="0" labelOnly="1" outline="0" fieldPosition="0"/>
    </format>
    <format dxfId="206">
      <pivotArea field="2" type="button" dataOnly="0" labelOnly="1" outline="0" axis="axisCol" fieldPosition="1"/>
    </format>
    <format dxfId="205">
      <pivotArea type="topRight" dataOnly="0" labelOnly="1" outline="0" fieldPosition="0"/>
    </format>
    <format dxfId="204">
      <pivotArea field="5" type="button" dataOnly="0" labelOnly="1" outline="0" axis="axisRow" fieldPosition="0"/>
    </format>
    <format dxfId="203">
      <pivotArea dataOnly="0" labelOnly="1" fieldPosition="0">
        <references count="1">
          <reference field="2" count="0"/>
        </references>
      </pivotArea>
    </format>
    <format dxfId="202">
      <pivotArea dataOnly="0" labelOnly="1" grandCol="1" outline="0" fieldPosition="0"/>
    </format>
    <format dxfId="201">
      <pivotArea grandRow="1" outline="0" collapsedLevelsAreSubtotals="1" fieldPosition="0"/>
    </format>
    <format dxfId="200">
      <pivotArea dataOnly="0" labelOnly="1" grandRow="1" outline="0" fieldPosition="0"/>
    </format>
    <format dxfId="199">
      <pivotArea grandRow="1" outline="0" collapsedLevelsAreSubtotals="1" fieldPosition="0"/>
    </format>
    <format dxfId="198">
      <pivotArea dataOnly="0" labelOnly="1" grandRow="1" outline="0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type="origin" dataOnly="0" labelOnly="1" outline="0" fieldPosition="0"/>
    </format>
    <format dxfId="194">
      <pivotArea field="2" type="button" dataOnly="0" labelOnly="1" outline="0" axis="axisCol" fieldPosition="1"/>
    </format>
    <format dxfId="193">
      <pivotArea type="topRight" dataOnly="0" labelOnly="1" outline="0" fieldPosition="0"/>
    </format>
    <format dxfId="192">
      <pivotArea field="5" type="button" dataOnly="0" labelOnly="1" outline="0" axis="axisRow" fieldPosition="0"/>
    </format>
    <format dxfId="191">
      <pivotArea dataOnly="0" labelOnly="1" grandRow="1" outline="0" fieldPosition="0"/>
    </format>
    <format dxfId="190">
      <pivotArea dataOnly="0" labelOnly="1" fieldPosition="0">
        <references count="1">
          <reference field="2" count="0"/>
        </references>
      </pivotArea>
    </format>
    <format dxfId="189">
      <pivotArea dataOnly="0" labelOnly="1" grandCol="1" outline="0" fieldPosition="0"/>
    </format>
    <format dxfId="188">
      <pivotArea field="6" type="button" dataOnly="0" labelOnly="1" outline="0"/>
    </format>
    <format dxfId="187">
      <pivotArea field="6" type="button" dataOnly="0" labelOnly="1" outline="0"/>
    </format>
    <format dxfId="186">
      <pivotArea grandRow="1" outline="0" collapsedLevelsAreSubtotals="1" fieldPosition="0"/>
    </format>
    <format dxfId="185">
      <pivotArea outline="0" collapsedLevelsAreSubtotals="1" fieldPosition="0">
        <references count="1">
          <reference field="2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4">
      <pivotArea grandCol="1" outline="0" collapsedLevelsAreSubtotals="1" fieldPosition="0"/>
    </format>
    <format dxfId="183">
      <pivotArea field="2" grandRow="1" outline="0" collapsedLevelsAreSubtotals="1" axis="axisCol" fieldPosition="1">
        <references count="1">
          <reference field="2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82">
      <pivotArea dataOnly="0" labelOnly="1" fieldPosition="0">
        <references count="1">
          <reference field="1" count="0"/>
        </references>
      </pivotArea>
    </format>
    <format dxfId="181">
      <pivotArea dataOnly="0" labelOnly="1" fieldPosition="0">
        <references count="1">
          <reference field="1" count="0" defaultSubtotal="1"/>
        </references>
      </pivotArea>
    </format>
    <format dxfId="180">
      <pivotArea dataOnly="0" labelOnly="1" grandCol="1" outline="0" fieldPosition="0"/>
    </format>
    <format dxfId="179">
      <pivotArea dataOnly="0" labelOnly="1" fieldPosition="0">
        <references count="2">
          <reference field="1" count="0" selected="0"/>
          <reference field="2" count="0"/>
        </references>
      </pivotArea>
    </format>
    <format dxfId="178">
      <pivotArea field="1" type="button" dataOnly="0" labelOnly="1" outline="0" axis="axisCol" fieldPosition="0"/>
    </format>
    <format dxfId="177">
      <pivotArea field="2" grandRow="1" outline="0" collapsedLevelsAreSubtotals="1" axis="axisCol" fieldPosition="1">
        <references count="2">
          <reference field="1" count="1" selected="0">
            <x v="0"/>
          </reference>
          <reference field="2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76">
      <pivotArea field="1" grandRow="1" outline="0" collapsedLevelsAreSubtotals="1" axis="axisCol" fieldPosition="0">
        <references count="1">
          <reference field="1" count="1" selected="0" defaultSubtotal="1">
            <x v="0"/>
          </reference>
        </references>
      </pivotArea>
    </format>
    <format dxfId="175">
      <pivotArea field="1" grandRow="1" outline="0" collapsedLevelsAreSubtotals="1" axis="axisCol" fieldPosition="0">
        <references count="1">
          <reference field="1" count="1" selected="0" defaultSubtotal="1">
            <x v="1"/>
          </reference>
        </references>
      </pivotArea>
    </format>
    <format dxfId="17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413EF-9911-4127-915D-CE05546FD4AB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92:S320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numFmtId="169"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x="15"/>
        <item x="16"/>
        <item x="17"/>
        <item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showAll="0" sortType="ascending">
      <items count="37">
        <item x="3"/>
        <item x="11"/>
        <item x="12"/>
        <item x="5"/>
        <item m="1" x="34"/>
        <item x="27"/>
        <item x="15"/>
        <item x="31"/>
        <item x="14"/>
        <item x="33"/>
        <item x="23"/>
        <item x="28"/>
        <item x="8"/>
        <item x="26"/>
        <item x="32"/>
        <item x="2"/>
        <item x="9"/>
        <item x="16"/>
        <item x="10"/>
        <item x="17"/>
        <item x="20"/>
        <item x="21"/>
        <item x="25"/>
        <item x="0"/>
        <item x="7"/>
        <item x="1"/>
        <item x="6"/>
        <item x="13"/>
        <item x="18"/>
        <item x="29"/>
        <item x="19"/>
        <item x="22"/>
        <item x="24"/>
        <item x="30"/>
        <item x="4"/>
        <item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27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2"/>
    </i>
    <i>
      <x v="33"/>
    </i>
    <i t="grand">
      <x/>
    </i>
  </rowItems>
  <colFields count="1">
    <field x="4"/>
  </colFields>
  <col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37">
    <format dxfId="251">
      <pivotArea outline="0" collapsedLevelsAreSubtotals="1" fieldPosition="0"/>
    </format>
    <format dxfId="250">
      <pivotArea type="origin" dataOnly="0" labelOnly="1" outline="0" fieldPosition="0"/>
    </format>
    <format dxfId="249">
      <pivotArea field="2" type="button" dataOnly="0" labelOnly="1" outline="0" axis="axisPage" fieldPosition="1"/>
    </format>
    <format dxfId="248">
      <pivotArea type="topRight" dataOnly="0" labelOnly="1" outline="0" fieldPosition="0"/>
    </format>
    <format dxfId="247">
      <pivotArea field="5" type="button" dataOnly="0" labelOnly="1" outline="0" axis="axisRow" fieldPosition="0"/>
    </format>
    <format dxfId="246">
      <pivotArea dataOnly="0" labelOnly="1" grandCol="1" outline="0" fieldPosition="0"/>
    </format>
    <format dxfId="245">
      <pivotArea type="origin" dataOnly="0" labelOnly="1" outline="0" fieldPosition="0"/>
    </format>
    <format dxfId="244">
      <pivotArea field="2" type="button" dataOnly="0" labelOnly="1" outline="0" axis="axisPage" fieldPosition="1"/>
    </format>
    <format dxfId="243">
      <pivotArea type="topRight" dataOnly="0" labelOnly="1" outline="0" fieldPosition="0"/>
    </format>
    <format dxfId="242">
      <pivotArea field="5" type="button" dataOnly="0" labelOnly="1" outline="0" axis="axisRow" fieldPosition="0"/>
    </format>
    <format dxfId="241">
      <pivotArea dataOnly="0" labelOnly="1" grandCol="1" outline="0" fieldPosition="0"/>
    </format>
    <format dxfId="240">
      <pivotArea grandRow="1" outline="0" collapsedLevelsAreSubtotals="1" fieldPosition="0"/>
    </format>
    <format dxfId="239">
      <pivotArea dataOnly="0" labelOnly="1" grandRow="1" outline="0" fieldPosition="0"/>
    </format>
    <format dxfId="238">
      <pivotArea grandRow="1" outline="0" collapsedLevelsAreSubtotals="1" fieldPosition="0"/>
    </format>
    <format dxfId="237">
      <pivotArea dataOnly="0" labelOnly="1" grandRow="1" outline="0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type="origin" dataOnly="0" labelOnly="1" outline="0" fieldPosition="0"/>
    </format>
    <format dxfId="233">
      <pivotArea field="2" type="button" dataOnly="0" labelOnly="1" outline="0" axis="axisPage" fieldPosition="1"/>
    </format>
    <format dxfId="232">
      <pivotArea type="topRight" dataOnly="0" labelOnly="1" outline="0" fieldPosition="0"/>
    </format>
    <format dxfId="231">
      <pivotArea field="5" type="button" dataOnly="0" labelOnly="1" outline="0" axis="axisRow" fieldPosition="0"/>
    </format>
    <format dxfId="230">
      <pivotArea dataOnly="0" labelOnly="1" grandRow="1" outline="0" fieldPosition="0"/>
    </format>
    <format dxfId="229">
      <pivotArea dataOnly="0" labelOnly="1" grandCol="1" outline="0" fieldPosition="0"/>
    </format>
    <format dxfId="228">
      <pivotArea field="3" type="button" dataOnly="0" labelOnly="1" outline="0"/>
    </format>
    <format dxfId="227">
      <pivotArea type="topRight" dataOnly="0" labelOnly="1" outline="0" offset="A1:G1" fieldPosition="0"/>
    </format>
    <format dxfId="226">
      <pivotArea field="3" type="button" dataOnly="0" labelOnly="1" outline="0"/>
    </format>
    <format dxfId="225">
      <pivotArea type="topRight" dataOnly="0" labelOnly="1" outline="0" fieldPosition="0"/>
    </format>
    <format dxfId="224">
      <pivotArea field="6" type="button" dataOnly="0" labelOnly="1" outline="0"/>
    </format>
    <format dxfId="223">
      <pivotArea field="6" type="button" dataOnly="0" labelOnly="1" outline="0"/>
    </format>
    <format dxfId="222">
      <pivotArea grandRow="1" grandCol="1" outline="0" collapsedLevelsAreSubtotals="1" fieldPosition="0"/>
    </format>
    <format dxfId="221">
      <pivotArea field="1" type="button" dataOnly="0" labelOnly="1" outline="0" axis="axisPage" fieldPosition="0"/>
    </format>
    <format dxfId="220">
      <pivotArea field="3" type="button" dataOnly="0" labelOnly="1" outline="0"/>
    </format>
    <format dxfId="219">
      <pivotArea type="topRight" dataOnly="0" labelOnly="1" outline="0" fieldPosition="0"/>
    </format>
    <format dxfId="218">
      <pivotArea dataOnly="0" labelOnly="1" fieldPosition="0">
        <references count="1">
          <reference field="1" count="1" defaultSubtotal="1">
            <x v="0"/>
          </reference>
        </references>
      </pivotArea>
    </format>
    <format dxfId="217">
      <pivotArea dataOnly="0" labelOnly="1" grandCol="1" outline="0" fieldPosition="0"/>
    </format>
    <format dxfId="216">
      <pivotArea outline="0" collapsedLevelsAreSubtotals="1" fieldPosition="0"/>
    </format>
    <format dxfId="215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EE379-E685-4BB7-8D8C-3C97996BB04A}" name="PivotTable3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1:Y75" firstHeaderRow="1" firstDataRow="3" firstDataCol="1"/>
  <pivotFields count="9">
    <pivotField numFmtId="15" showAll="0"/>
    <pivotField axis="axisCol" numFmtId="169" showAll="0">
      <items count="4">
        <item h="1" x="0"/>
        <item x="1"/>
        <item h="1" x="2"/>
        <item t="default"/>
      </items>
    </pivotField>
    <pivotField axis="axisCol" numFmtId="16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9" showAll="0"/>
    <pivotField numFmtId="169" showAll="0"/>
    <pivotField showAll="0">
      <items count="37">
        <item x="3"/>
        <item x="11"/>
        <item x="12"/>
        <item x="5"/>
        <item x="8"/>
        <item x="2"/>
        <item x="9"/>
        <item x="10"/>
        <item x="0"/>
        <item x="7"/>
        <item x="1"/>
        <item x="6"/>
        <item h="1" x="4"/>
        <item h="1" x="13"/>
        <item h="1" m="1" x="35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m="1" x="3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4"/>
        <item h="1" x="4"/>
        <item x="16"/>
        <item x="17"/>
        <item x="18"/>
        <item x="12"/>
        <item x="15"/>
        <item h="1" x="19"/>
        <item h="1" x="20"/>
        <item h="1" x="21"/>
        <item h="1" x="22"/>
        <item t="default"/>
      </items>
    </pivotField>
    <pivotField axis="axisRow" showAll="0">
      <items count="6">
        <item h="1" x="2"/>
        <item h="1" x="1"/>
        <item h="1" x="3"/>
        <item h="1" x="0"/>
        <item x="4"/>
        <item t="default"/>
      </items>
    </pivotField>
    <pivotField dataField="1" numFmtId="169" showAll="0"/>
  </pivotFields>
  <rowFields count="1">
    <field x="7"/>
  </rowFields>
  <rowItems count="2">
    <i>
      <x v="4"/>
    </i>
    <i t="grand">
      <x/>
    </i>
  </rowItems>
  <colFields count="2">
    <field x="1"/>
    <field x="2"/>
  </colFields>
  <colItems count="14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colItems>
  <dataFields count="1">
    <dataField name="Sum of Total" fld="8" baseField="0" baseItem="0" numFmtId="169"/>
  </dataFields>
  <formats count="41">
    <format dxfId="292">
      <pivotArea outline="0" collapsedLevelsAreSubtotals="1" fieldPosition="0"/>
    </format>
    <format dxfId="291">
      <pivotArea type="origin" dataOnly="0" labelOnly="1" outline="0" fieldPosition="0"/>
    </format>
    <format dxfId="290">
      <pivotArea field="2" type="button" dataOnly="0" labelOnly="1" outline="0" axis="axisCol" fieldPosition="1"/>
    </format>
    <format dxfId="289">
      <pivotArea type="topRight" dataOnly="0" labelOnly="1" outline="0" fieldPosition="0"/>
    </format>
    <format dxfId="288">
      <pivotArea field="5" type="button" dataOnly="0" labelOnly="1" outline="0"/>
    </format>
    <format dxfId="287">
      <pivotArea dataOnly="0" labelOnly="1" fieldPosition="0">
        <references count="1">
          <reference field="2" count="0"/>
        </references>
      </pivotArea>
    </format>
    <format dxfId="286">
      <pivotArea dataOnly="0" labelOnly="1" grandCol="1" outline="0" fieldPosition="0"/>
    </format>
    <format dxfId="285">
      <pivotArea type="origin" dataOnly="0" labelOnly="1" outline="0" fieldPosition="0"/>
    </format>
    <format dxfId="284">
      <pivotArea field="2" type="button" dataOnly="0" labelOnly="1" outline="0" axis="axisCol" fieldPosition="1"/>
    </format>
    <format dxfId="283">
      <pivotArea type="topRight" dataOnly="0" labelOnly="1" outline="0" fieldPosition="0"/>
    </format>
    <format dxfId="282">
      <pivotArea field="5" type="button" dataOnly="0" labelOnly="1" outline="0"/>
    </format>
    <format dxfId="281">
      <pivotArea dataOnly="0" labelOnly="1" fieldPosition="0">
        <references count="1">
          <reference field="2" count="0"/>
        </references>
      </pivotArea>
    </format>
    <format dxfId="280">
      <pivotArea dataOnly="0" labelOnly="1" grandCol="1" outline="0" fieldPosition="0"/>
    </format>
    <format dxfId="279">
      <pivotArea grandRow="1" outline="0" collapsedLevelsAreSubtotals="1" fieldPosition="0"/>
    </format>
    <format dxfId="278">
      <pivotArea dataOnly="0" labelOnly="1" grandRow="1" outline="0" fieldPosition="0"/>
    </format>
    <format dxfId="277">
      <pivotArea grandRow="1" outline="0" collapsedLevelsAreSubtotals="1" fieldPosition="0"/>
    </format>
    <format dxfId="276">
      <pivotArea dataOnly="0" labelOnly="1" grandRow="1" outline="0" fieldPosition="0"/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type="origin" dataOnly="0" labelOnly="1" outline="0" fieldPosition="0"/>
    </format>
    <format dxfId="272">
      <pivotArea field="2" type="button" dataOnly="0" labelOnly="1" outline="0" axis="axisCol" fieldPosition="1"/>
    </format>
    <format dxfId="271">
      <pivotArea type="topRight" dataOnly="0" labelOnly="1" outline="0" fieldPosition="0"/>
    </format>
    <format dxfId="270">
      <pivotArea field="5" type="button" dataOnly="0" labelOnly="1" outline="0"/>
    </format>
    <format dxfId="269">
      <pivotArea dataOnly="0" labelOnly="1" grandRow="1" outline="0" fieldPosition="0"/>
    </format>
    <format dxfId="268">
      <pivotArea dataOnly="0" labelOnly="1" fieldPosition="0">
        <references count="1">
          <reference field="2" count="0"/>
        </references>
      </pivotArea>
    </format>
    <format dxfId="267">
      <pivotArea dataOnly="0" labelOnly="1" grandCol="1" outline="0" fieldPosition="0"/>
    </format>
    <format dxfId="266">
      <pivotArea field="6" type="button" dataOnly="0" labelOnly="1" outline="0"/>
    </format>
    <format dxfId="265">
      <pivotArea field="6" type="button" dataOnly="0" labelOnly="1" outline="0"/>
    </format>
    <format dxfId="264">
      <pivotArea grandRow="1" outline="0" collapsedLevelsAreSubtotals="1" fieldPosition="0"/>
    </format>
    <format dxfId="263">
      <pivotArea outline="0" collapsedLevelsAreSubtotals="1" fieldPosition="0">
        <references count="1">
          <reference field="2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62">
      <pivotArea grandCol="1" outline="0" collapsedLevelsAreSubtotals="1" fieldPosition="0"/>
    </format>
    <format dxfId="261">
      <pivotArea field="2" grandRow="1" outline="0" collapsedLevelsAreSubtotals="1" axis="axisCol" fieldPosition="1">
        <references count="1">
          <reference field="2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60">
      <pivotArea dataOnly="0" labelOnly="1" fieldPosition="0">
        <references count="1">
          <reference field="1" count="0"/>
        </references>
      </pivotArea>
    </format>
    <format dxfId="259">
      <pivotArea dataOnly="0" labelOnly="1" fieldPosition="0">
        <references count="1">
          <reference field="1" count="0" defaultSubtotal="1"/>
        </references>
      </pivotArea>
    </format>
    <format dxfId="258">
      <pivotArea dataOnly="0" labelOnly="1" grandCol="1" outline="0" fieldPosition="0"/>
    </format>
    <format dxfId="257">
      <pivotArea dataOnly="0" labelOnly="1" fieldPosition="0">
        <references count="2">
          <reference field="1" count="0" selected="0"/>
          <reference field="2" count="0"/>
        </references>
      </pivotArea>
    </format>
    <format dxfId="256">
      <pivotArea field="1" type="button" dataOnly="0" labelOnly="1" outline="0" axis="axisCol" fieldPosition="0"/>
    </format>
    <format dxfId="255">
      <pivotArea field="2" grandRow="1" outline="0" collapsedLevelsAreSubtotals="1" axis="axisCol" fieldPosition="1">
        <references count="2">
          <reference field="1" count="1" selected="0">
            <x v="0"/>
          </reference>
          <reference field="2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54">
      <pivotArea field="1" grandRow="1" outline="0" collapsedLevelsAreSubtotals="1" axis="axisCol" fieldPosition="0">
        <references count="1">
          <reference field="1" count="1" selected="0" defaultSubtotal="1">
            <x v="0"/>
          </reference>
        </references>
      </pivotArea>
    </format>
    <format dxfId="253">
      <pivotArea field="1" grandRow="1" outline="0" collapsedLevelsAreSubtotals="1" axis="axisCol" fieldPosition="0">
        <references count="1">
          <reference field="1" count="1" selected="0" defaultSubtotal="1">
            <x v="1"/>
          </reference>
        </references>
      </pivotArea>
    </format>
    <format dxfId="252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0576D-9BE3-4063-98E5-F51741D4A35F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47:AQ452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numFmtId="169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 sortType="ascending">
      <items count="37">
        <item h="1" x="3"/>
        <item h="1" x="11"/>
        <item x="12"/>
        <item x="5"/>
        <item m="1" x="34"/>
        <item x="27"/>
        <item h="1" x="15"/>
        <item h="1" x="31"/>
        <item h="1" x="14"/>
        <item h="1" x="33"/>
        <item h="1" x="23"/>
        <item h="1" x="28"/>
        <item h="1" x="8"/>
        <item h="1" x="26"/>
        <item h="1" x="32"/>
        <item h="1" x="2"/>
        <item h="1" x="9"/>
        <item h="1" x="16"/>
        <item h="1" x="10"/>
        <item h="1" x="17"/>
        <item h="1" x="20"/>
        <item h="1" x="21"/>
        <item h="1" x="25"/>
        <item h="1" x="0"/>
        <item h="1" x="7"/>
        <item h="1" x="1"/>
        <item h="1" x="6"/>
        <item h="1" x="13"/>
        <item h="1" x="18"/>
        <item h="1" x="29"/>
        <item h="1" x="19"/>
        <item h="1" x="22"/>
        <item h="1" x="24"/>
        <item h="1" x="30"/>
        <item h="1" x="4"/>
        <item h="1"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4">
    <i>
      <x v="2"/>
    </i>
    <i>
      <x v="3"/>
    </i>
    <i>
      <x v="5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40">
    <format dxfId="332">
      <pivotArea outline="0" collapsedLevelsAreSubtotals="1" fieldPosition="0"/>
    </format>
    <format dxfId="331">
      <pivotArea type="origin" dataOnly="0" labelOnly="1" outline="0" fieldPosition="0"/>
    </format>
    <format dxfId="330">
      <pivotArea field="2" type="button" dataOnly="0" labelOnly="1" outline="0" axis="axisPage" fieldPosition="1"/>
    </format>
    <format dxfId="329">
      <pivotArea type="topRight" dataOnly="0" labelOnly="1" outline="0" fieldPosition="0"/>
    </format>
    <format dxfId="328">
      <pivotArea field="5" type="button" dataOnly="0" labelOnly="1" outline="0" axis="axisRow" fieldPosition="0"/>
    </format>
    <format dxfId="327">
      <pivotArea dataOnly="0" labelOnly="1" grandCol="1" outline="0" fieldPosition="0"/>
    </format>
    <format dxfId="326">
      <pivotArea type="origin" dataOnly="0" labelOnly="1" outline="0" fieldPosition="0"/>
    </format>
    <format dxfId="325">
      <pivotArea field="2" type="button" dataOnly="0" labelOnly="1" outline="0" axis="axisPage" fieldPosition="1"/>
    </format>
    <format dxfId="324">
      <pivotArea type="topRight" dataOnly="0" labelOnly="1" outline="0" fieldPosition="0"/>
    </format>
    <format dxfId="323">
      <pivotArea field="5" type="button" dataOnly="0" labelOnly="1" outline="0" axis="axisRow" fieldPosition="0"/>
    </format>
    <format dxfId="322">
      <pivotArea dataOnly="0" labelOnly="1" grandCol="1" outline="0" fieldPosition="0"/>
    </format>
    <format dxfId="321">
      <pivotArea grandRow="1" outline="0" collapsedLevelsAreSubtotals="1" fieldPosition="0"/>
    </format>
    <format dxfId="320">
      <pivotArea dataOnly="0" labelOnly="1" grandRow="1" outline="0" fieldPosition="0"/>
    </format>
    <format dxfId="319">
      <pivotArea grandRow="1" outline="0" collapsedLevelsAreSubtotals="1" fieldPosition="0"/>
    </format>
    <format dxfId="318">
      <pivotArea dataOnly="0" labelOnly="1" grandRow="1" outline="0" fieldPosition="0"/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type="origin" dataOnly="0" labelOnly="1" outline="0" fieldPosition="0"/>
    </format>
    <format dxfId="314">
      <pivotArea field="2" type="button" dataOnly="0" labelOnly="1" outline="0" axis="axisPage" fieldPosition="1"/>
    </format>
    <format dxfId="313">
      <pivotArea type="topRight" dataOnly="0" labelOnly="1" outline="0" fieldPosition="0"/>
    </format>
    <format dxfId="312">
      <pivotArea field="5" type="button" dataOnly="0" labelOnly="1" outline="0" axis="axisRow" fieldPosition="0"/>
    </format>
    <format dxfId="311">
      <pivotArea dataOnly="0" labelOnly="1" grandRow="1" outline="0" fieldPosition="0"/>
    </format>
    <format dxfId="310">
      <pivotArea dataOnly="0" labelOnly="1" grandCol="1" outline="0" fieldPosition="0"/>
    </format>
    <format dxfId="309">
      <pivotArea field="3" type="button" dataOnly="0" labelOnly="1" outline="0"/>
    </format>
    <format dxfId="308">
      <pivotArea type="topRight" dataOnly="0" labelOnly="1" outline="0" offset="A1:G1" fieldPosition="0"/>
    </format>
    <format dxfId="307">
      <pivotArea field="3" type="button" dataOnly="0" labelOnly="1" outline="0"/>
    </format>
    <format dxfId="306">
      <pivotArea type="topRight" dataOnly="0" labelOnly="1" outline="0" fieldPosition="0"/>
    </format>
    <format dxfId="305">
      <pivotArea field="6" type="button" dataOnly="0" labelOnly="1" outline="0"/>
    </format>
    <format dxfId="304">
      <pivotArea field="6" type="button" dataOnly="0" labelOnly="1" outline="0"/>
    </format>
    <format dxfId="303">
      <pivotArea grandRow="1" grandCol="1" outline="0" collapsedLevelsAreSubtotals="1" fieldPosition="0"/>
    </format>
    <format dxfId="302">
      <pivotArea field="1" type="button" dataOnly="0" labelOnly="1" outline="0" axis="axisPage" fieldPosition="0"/>
    </format>
    <format dxfId="301">
      <pivotArea field="3" type="button" dataOnly="0" labelOnly="1" outline="0"/>
    </format>
    <format dxfId="300">
      <pivotArea type="topRight" dataOnly="0" labelOnly="1" outline="0" fieldPosition="0"/>
    </format>
    <format dxfId="299">
      <pivotArea dataOnly="0" labelOnly="1" fieldPosition="0">
        <references count="1">
          <reference field="1" count="1" defaultSubtotal="1">
            <x v="0"/>
          </reference>
        </references>
      </pivotArea>
    </format>
    <format dxfId="298">
      <pivotArea dataOnly="0" labelOnly="1" grandCol="1" outline="0" fieldPosition="0"/>
    </format>
    <format dxfId="297">
      <pivotArea outline="0" collapsedLevelsAreSubtotals="1" fieldPosition="0"/>
    </format>
    <format dxfId="296">
      <pivotArea dataOnly="0" labelOnly="1" fieldPosition="0">
        <references count="1">
          <reference field="1" count="0"/>
        </references>
      </pivotArea>
    </format>
    <format dxfId="295">
      <pivotArea dataOnly="0" labelOnly="1" fieldPosition="0">
        <references count="1">
          <reference field="4" count="2">
            <x v="5"/>
            <x v="6"/>
          </reference>
        </references>
      </pivotArea>
    </format>
    <format dxfId="294">
      <pivotArea dataOnly="0" labelOnly="1" fieldPosition="0">
        <references count="1">
          <reference field="4" count="2">
            <x v="12"/>
            <x v="13"/>
          </reference>
        </references>
      </pivotArea>
    </format>
    <format dxfId="293">
      <pivotArea dataOnly="0" labelOnly="1" fieldPosition="0">
        <references count="1">
          <reference field="4" count="2"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48490-6010-4AB9-A100-6399A279FD80}" name="PivotTable3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39:BN145" firstHeaderRow="1" firstDataRow="3" firstDataCol="1"/>
  <pivotFields count="9">
    <pivotField numFmtId="15" showAll="0"/>
    <pivotField axis="axisCol" numFmtId="169" showAll="0">
      <items count="4">
        <item h="1" x="0"/>
        <item x="1"/>
        <item h="1" x="2"/>
        <item t="default"/>
      </items>
    </pivotField>
    <pivotField numFmtId="16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umFmtId="169" showAll="0"/>
    <pivotField showAll="0">
      <items count="37">
        <item x="3"/>
        <item x="11"/>
        <item x="12"/>
        <item x="5"/>
        <item x="8"/>
        <item x="2"/>
        <item x="9"/>
        <item x="10"/>
        <item x="0"/>
        <item x="7"/>
        <item x="1"/>
        <item x="6"/>
        <item h="1" x="4"/>
        <item h="1" x="13"/>
        <item h="1" m="1" x="35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m="1" x="3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6">
        <item h="1" x="2"/>
        <item x="1"/>
        <item x="3"/>
        <item x="0"/>
        <item h="1" x="4"/>
        <item t="default"/>
      </items>
    </pivotField>
    <pivotField dataField="1" numFmtId="169" showAll="0"/>
  </pivotFields>
  <rowFields count="1">
    <field x="7"/>
  </rowFields>
  <rowItems count="4">
    <i>
      <x v="1"/>
    </i>
    <i>
      <x v="2"/>
    </i>
    <i>
      <x v="3"/>
    </i>
    <i t="grand">
      <x/>
    </i>
  </rowItems>
  <colFields count="2">
    <field x="1"/>
    <field x="3"/>
  </colFields>
  <colItems count="55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1"/>
    </i>
    <i t="grand">
      <x/>
    </i>
  </colItems>
  <dataFields count="1">
    <dataField name="Sum of Total" fld="8" baseField="0" baseItem="0" numFmtId="169"/>
  </dataFields>
  <formats count="42">
    <format dxfId="374">
      <pivotArea outline="0" collapsedLevelsAreSubtotals="1" fieldPosition="0"/>
    </format>
    <format dxfId="373">
      <pivotArea type="origin" dataOnly="0" labelOnly="1" outline="0" fieldPosition="0"/>
    </format>
    <format dxfId="372">
      <pivotArea field="2" type="button" dataOnly="0" labelOnly="1" outline="0"/>
    </format>
    <format dxfId="371">
      <pivotArea type="topRight" dataOnly="0" labelOnly="1" outline="0" fieldPosition="0"/>
    </format>
    <format dxfId="370">
      <pivotArea field="5" type="button" dataOnly="0" labelOnly="1" outline="0"/>
    </format>
    <format dxfId="369">
      <pivotArea dataOnly="0" labelOnly="1" grandCol="1" outline="0" fieldPosition="0"/>
    </format>
    <format dxfId="368">
      <pivotArea type="origin" dataOnly="0" labelOnly="1" outline="0" fieldPosition="0"/>
    </format>
    <format dxfId="367">
      <pivotArea field="2" type="button" dataOnly="0" labelOnly="1" outline="0"/>
    </format>
    <format dxfId="366">
      <pivotArea type="topRight" dataOnly="0" labelOnly="1" outline="0" fieldPosition="0"/>
    </format>
    <format dxfId="365">
      <pivotArea field="5" type="button" dataOnly="0" labelOnly="1" outline="0"/>
    </format>
    <format dxfId="364">
      <pivotArea dataOnly="0" labelOnly="1" grandCol="1" outline="0" fieldPosition="0"/>
    </format>
    <format dxfId="363">
      <pivotArea grandRow="1" outline="0" collapsedLevelsAreSubtotals="1" fieldPosition="0"/>
    </format>
    <format dxfId="362">
      <pivotArea dataOnly="0" labelOnly="1" grandRow="1" outline="0" fieldPosition="0"/>
    </format>
    <format dxfId="361">
      <pivotArea grandRow="1" outline="0" collapsedLevelsAreSubtotals="1" fieldPosition="0"/>
    </format>
    <format dxfId="360">
      <pivotArea dataOnly="0" labelOnly="1" grandRow="1" outline="0" fieldPosition="0"/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type="origin" dataOnly="0" labelOnly="1" outline="0" fieldPosition="0"/>
    </format>
    <format dxfId="356">
      <pivotArea field="2" type="button" dataOnly="0" labelOnly="1" outline="0"/>
    </format>
    <format dxfId="355">
      <pivotArea type="topRight" dataOnly="0" labelOnly="1" outline="0" fieldPosition="0"/>
    </format>
    <format dxfId="354">
      <pivotArea field="5" type="button" dataOnly="0" labelOnly="1" outline="0"/>
    </format>
    <format dxfId="353">
      <pivotArea dataOnly="0" labelOnly="1" grandRow="1" outline="0" fieldPosition="0"/>
    </format>
    <format dxfId="352">
      <pivotArea dataOnly="0" labelOnly="1" grandCol="1" outline="0" fieldPosition="0"/>
    </format>
    <format dxfId="351">
      <pivotArea field="3" type="button" dataOnly="0" labelOnly="1" outline="0" axis="axisCol" fieldPosition="1"/>
    </format>
    <format dxfId="350">
      <pivotArea type="topRight" dataOnly="0" labelOnly="1" outline="0" offset="A1:G1" fieldPosition="0"/>
    </format>
    <format dxfId="349">
      <pivotArea dataOnly="0" labelOnly="1" fieldPosition="0">
        <references count="1">
          <reference field="3" count="0"/>
        </references>
      </pivotArea>
    </format>
    <format dxfId="348">
      <pivotArea field="3" type="button" dataOnly="0" labelOnly="1" outline="0" axis="axisCol" fieldPosition="1"/>
    </format>
    <format dxfId="347">
      <pivotArea type="topRight" dataOnly="0" labelOnly="1" outline="0" fieldPosition="0"/>
    </format>
    <format dxfId="346">
      <pivotArea dataOnly="0" labelOnly="1" fieldPosition="0">
        <references count="1">
          <reference field="3" count="0"/>
        </references>
      </pivotArea>
    </format>
    <format dxfId="345">
      <pivotArea field="6" type="button" dataOnly="0" labelOnly="1" outline="0"/>
    </format>
    <format dxfId="344">
      <pivotArea field="6" type="button" dataOnly="0" labelOnly="1" outline="0"/>
    </format>
    <format dxfId="343">
      <pivotArea field="3" grandRow="1" outline="0" collapsedLevelsAreSubtotals="1" axis="axisCol" fieldPosition="1">
        <references count="1">
          <reference field="3" count="20" selected="0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342">
      <pivotArea grandRow="1" grandCol="1" outline="0" collapsedLevelsAreSubtotals="1" fieldPosition="0"/>
    </format>
    <format dxfId="341">
      <pivotArea field="1" type="button" dataOnly="0" labelOnly="1" outline="0" axis="axisCol" fieldPosition="0"/>
    </format>
    <format dxfId="340">
      <pivotArea field="3" type="button" dataOnly="0" labelOnly="1" outline="0" axis="axisCol" fieldPosition="1"/>
    </format>
    <format dxfId="339">
      <pivotArea type="topRight" dataOnly="0" labelOnly="1" outline="0" fieldPosition="0"/>
    </format>
    <format dxfId="338">
      <pivotArea dataOnly="0" labelOnly="1" fieldPosition="0">
        <references count="1">
          <reference field="1" count="1" defaultSubtotal="1">
            <x v="0"/>
          </reference>
        </references>
      </pivotArea>
    </format>
    <format dxfId="337">
      <pivotArea dataOnly="0" labelOnly="1" grandCol="1" outline="0" fieldPosition="0"/>
    </format>
    <format dxfId="336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335">
      <pivotArea outline="0" collapsedLevelsAreSubtotals="1" fieldPosition="0"/>
    </format>
    <format dxfId="334">
      <pivotArea dataOnly="0" labelOnly="1" fieldPosition="0">
        <references count="1">
          <reference field="1" count="0"/>
        </references>
      </pivotArea>
    </format>
    <format dxfId="333">
      <pivotArea dataOnly="0" labelOnly="1" fieldPosition="0">
        <references count="2">
          <reference field="1" count="0" selected="0"/>
          <reference field="3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BC3CB-A446-4348-8F77-8E5A2812995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62:L282" firstHeaderRow="1" firstDataRow="1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umFmtId="169" showAll="0"/>
    <pivotField axis="axisRow" showAll="0" sortType="ascending">
      <items count="37">
        <item x="3"/>
        <item x="11"/>
        <item x="12"/>
        <item x="5"/>
        <item m="1" x="34"/>
        <item x="27"/>
        <item x="15"/>
        <item x="31"/>
        <item x="14"/>
        <item x="33"/>
        <item x="23"/>
        <item x="28"/>
        <item x="8"/>
        <item x="26"/>
        <item x="32"/>
        <item x="2"/>
        <item x="9"/>
        <item x="16"/>
        <item x="10"/>
        <item x="17"/>
        <item x="20"/>
        <item x="21"/>
        <item x="25"/>
        <item x="0"/>
        <item x="7"/>
        <item x="1"/>
        <item x="6"/>
        <item x="13"/>
        <item x="18"/>
        <item x="29"/>
        <item x="19"/>
        <item x="22"/>
        <item x="24"/>
        <item x="30"/>
        <item x="4"/>
        <item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h="1" x="2"/>
        <item x="1"/>
        <item x="3"/>
        <item x="0"/>
        <item h="1" x="4"/>
        <item t="default"/>
      </items>
    </pivotField>
    <pivotField dataField="1" numFmtId="169" showAll="0"/>
  </pivotFields>
  <rowFields count="1">
    <field x="5"/>
  </rowFields>
  <rowItems count="20">
    <i>
      <x/>
    </i>
    <i>
      <x v="2"/>
    </i>
    <i>
      <x v="3"/>
    </i>
    <i>
      <x v="5"/>
    </i>
    <i>
      <x v="8"/>
    </i>
    <i>
      <x v="12"/>
    </i>
    <i>
      <x v="13"/>
    </i>
    <i>
      <x v="15"/>
    </i>
    <i>
      <x v="19"/>
    </i>
    <i>
      <x v="20"/>
    </i>
    <i>
      <x v="21"/>
    </i>
    <i>
      <x v="22"/>
    </i>
    <i>
      <x v="23"/>
    </i>
    <i>
      <x v="25"/>
    </i>
    <i>
      <x v="26"/>
    </i>
    <i>
      <x v="28"/>
    </i>
    <i>
      <x v="29"/>
    </i>
    <i>
      <x v="31"/>
    </i>
    <i>
      <x v="32"/>
    </i>
    <i t="grand">
      <x/>
    </i>
  </rowItems>
  <colItems count="1">
    <i/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37">
    <format dxfId="411">
      <pivotArea outline="0" collapsedLevelsAreSubtotals="1" fieldPosition="0"/>
    </format>
    <format dxfId="410">
      <pivotArea type="origin" dataOnly="0" labelOnly="1" outline="0" fieldPosition="0"/>
    </format>
    <format dxfId="409">
      <pivotArea field="2" type="button" dataOnly="0" labelOnly="1" outline="0" axis="axisPage" fieldPosition="1"/>
    </format>
    <format dxfId="408">
      <pivotArea type="topRight" dataOnly="0" labelOnly="1" outline="0" fieldPosition="0"/>
    </format>
    <format dxfId="407">
      <pivotArea field="5" type="button" dataOnly="0" labelOnly="1" outline="0" axis="axisRow" fieldPosition="0"/>
    </format>
    <format dxfId="406">
      <pivotArea dataOnly="0" labelOnly="1" grandCol="1" outline="0" fieldPosition="0"/>
    </format>
    <format dxfId="405">
      <pivotArea type="origin" dataOnly="0" labelOnly="1" outline="0" fieldPosition="0"/>
    </format>
    <format dxfId="404">
      <pivotArea field="2" type="button" dataOnly="0" labelOnly="1" outline="0" axis="axisPage" fieldPosition="1"/>
    </format>
    <format dxfId="403">
      <pivotArea type="topRight" dataOnly="0" labelOnly="1" outline="0" fieldPosition="0"/>
    </format>
    <format dxfId="402">
      <pivotArea field="5" type="button" dataOnly="0" labelOnly="1" outline="0" axis="axisRow" fieldPosition="0"/>
    </format>
    <format dxfId="401">
      <pivotArea dataOnly="0" labelOnly="1" grandCol="1" outline="0" fieldPosition="0"/>
    </format>
    <format dxfId="400">
      <pivotArea grandRow="1" outline="0" collapsedLevelsAreSubtotals="1" fieldPosition="0"/>
    </format>
    <format dxfId="399">
      <pivotArea dataOnly="0" labelOnly="1" grandRow="1" outline="0" fieldPosition="0"/>
    </format>
    <format dxfId="398">
      <pivotArea grandRow="1" outline="0" collapsedLevelsAreSubtotals="1" fieldPosition="0"/>
    </format>
    <format dxfId="397">
      <pivotArea dataOnly="0" labelOnly="1" grandRow="1" outline="0" fieldPosition="0"/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type="origin" dataOnly="0" labelOnly="1" outline="0" fieldPosition="0"/>
    </format>
    <format dxfId="393">
      <pivotArea field="2" type="button" dataOnly="0" labelOnly="1" outline="0" axis="axisPage" fieldPosition="1"/>
    </format>
    <format dxfId="392">
      <pivotArea type="topRight" dataOnly="0" labelOnly="1" outline="0" fieldPosition="0"/>
    </format>
    <format dxfId="391">
      <pivotArea field="5" type="button" dataOnly="0" labelOnly="1" outline="0" axis="axisRow" fieldPosition="0"/>
    </format>
    <format dxfId="390">
      <pivotArea dataOnly="0" labelOnly="1" grandRow="1" outline="0" fieldPosition="0"/>
    </format>
    <format dxfId="389">
      <pivotArea dataOnly="0" labelOnly="1" grandCol="1" outline="0" fieldPosition="0"/>
    </format>
    <format dxfId="388">
      <pivotArea field="3" type="button" dataOnly="0" labelOnly="1" outline="0"/>
    </format>
    <format dxfId="387">
      <pivotArea type="topRight" dataOnly="0" labelOnly="1" outline="0" offset="A1:G1" fieldPosition="0"/>
    </format>
    <format dxfId="386">
      <pivotArea field="3" type="button" dataOnly="0" labelOnly="1" outline="0"/>
    </format>
    <format dxfId="385">
      <pivotArea type="topRight" dataOnly="0" labelOnly="1" outline="0" fieldPosition="0"/>
    </format>
    <format dxfId="384">
      <pivotArea field="6" type="button" dataOnly="0" labelOnly="1" outline="0"/>
    </format>
    <format dxfId="383">
      <pivotArea field="6" type="button" dataOnly="0" labelOnly="1" outline="0"/>
    </format>
    <format dxfId="382">
      <pivotArea grandRow="1" grandCol="1" outline="0" collapsedLevelsAreSubtotals="1" fieldPosition="0"/>
    </format>
    <format dxfId="381">
      <pivotArea field="1" type="button" dataOnly="0" labelOnly="1" outline="0" axis="axisPage" fieldPosition="0"/>
    </format>
    <format dxfId="380">
      <pivotArea field="3" type="button" dataOnly="0" labelOnly="1" outline="0"/>
    </format>
    <format dxfId="379">
      <pivotArea type="topRight" dataOnly="0" labelOnly="1" outline="0" fieldPosition="0"/>
    </format>
    <format dxfId="378">
      <pivotArea dataOnly="0" labelOnly="1" fieldPosition="0">
        <references count="1">
          <reference field="1" count="1" defaultSubtotal="1">
            <x v="0"/>
          </reference>
        </references>
      </pivotArea>
    </format>
    <format dxfId="377">
      <pivotArea dataOnly="0" labelOnly="1" grandCol="1" outline="0" fieldPosition="0"/>
    </format>
    <format dxfId="376">
      <pivotArea outline="0" collapsedLevelsAreSubtotals="1" fieldPosition="0"/>
    </format>
    <format dxfId="375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A1780-612B-49F1-8548-B0581F4E3A4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24:U250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h="1" x="11"/>
        <item t="default"/>
      </items>
    </pivotField>
    <pivotField axis="axisCol"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umFmtId="169" showAll="0"/>
    <pivotField axis="axisRow" showAll="0" sortType="ascending">
      <items count="37">
        <item x="3"/>
        <item x="11"/>
        <item x="12"/>
        <item x="5"/>
        <item m="1" x="34"/>
        <item x="27"/>
        <item x="15"/>
        <item x="31"/>
        <item x="14"/>
        <item x="33"/>
        <item x="23"/>
        <item x="28"/>
        <item x="8"/>
        <item x="26"/>
        <item x="32"/>
        <item x="2"/>
        <item x="9"/>
        <item x="16"/>
        <item x="10"/>
        <item x="17"/>
        <item x="20"/>
        <item x="21"/>
        <item x="25"/>
        <item x="0"/>
        <item x="7"/>
        <item x="1"/>
        <item x="6"/>
        <item x="13"/>
        <item x="18"/>
        <item x="29"/>
        <item x="19"/>
        <item x="22"/>
        <item x="24"/>
        <item x="30"/>
        <item x="4"/>
        <item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25">
    <i>
      <x/>
    </i>
    <i>
      <x v="1"/>
    </i>
    <i>
      <x v="2"/>
    </i>
    <i>
      <x v="3"/>
    </i>
    <i>
      <x v="5"/>
    </i>
    <i>
      <x v="6"/>
    </i>
    <i>
      <x v="8"/>
    </i>
    <i>
      <x v="10"/>
    </i>
    <i>
      <x v="11"/>
    </i>
    <i>
      <x v="12"/>
    </i>
    <i>
      <x v="13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2"/>
    </i>
    <i t="grand">
      <x/>
    </i>
  </rowItems>
  <colFields count="1">
    <field x="3"/>
  </colFields>
  <colItems count="10"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39">
    <format dxfId="450">
      <pivotArea outline="0" collapsedLevelsAreSubtotals="1" fieldPosition="0"/>
    </format>
    <format dxfId="449">
      <pivotArea type="origin" dataOnly="0" labelOnly="1" outline="0" fieldPosition="0"/>
    </format>
    <format dxfId="448">
      <pivotArea field="2" type="button" dataOnly="0" labelOnly="1" outline="0" axis="axisPage" fieldPosition="1"/>
    </format>
    <format dxfId="447">
      <pivotArea type="topRight" dataOnly="0" labelOnly="1" outline="0" fieldPosition="0"/>
    </format>
    <format dxfId="446">
      <pivotArea field="5" type="button" dataOnly="0" labelOnly="1" outline="0" axis="axisRow" fieldPosition="0"/>
    </format>
    <format dxfId="445">
      <pivotArea dataOnly="0" labelOnly="1" grandCol="1" outline="0" fieldPosition="0"/>
    </format>
    <format dxfId="444">
      <pivotArea type="origin" dataOnly="0" labelOnly="1" outline="0" fieldPosition="0"/>
    </format>
    <format dxfId="443">
      <pivotArea field="2" type="button" dataOnly="0" labelOnly="1" outline="0" axis="axisPage" fieldPosition="1"/>
    </format>
    <format dxfId="442">
      <pivotArea type="topRight" dataOnly="0" labelOnly="1" outline="0" fieldPosition="0"/>
    </format>
    <format dxfId="441">
      <pivotArea field="5" type="button" dataOnly="0" labelOnly="1" outline="0" axis="axisRow" fieldPosition="0"/>
    </format>
    <format dxfId="440">
      <pivotArea dataOnly="0" labelOnly="1" grandCol="1" outline="0" fieldPosition="0"/>
    </format>
    <format dxfId="439">
      <pivotArea grandRow="1" outline="0" collapsedLevelsAreSubtotals="1" fieldPosition="0"/>
    </format>
    <format dxfId="438">
      <pivotArea dataOnly="0" labelOnly="1" grandRow="1" outline="0" fieldPosition="0"/>
    </format>
    <format dxfId="437">
      <pivotArea grandRow="1" outline="0" collapsedLevelsAreSubtotals="1" fieldPosition="0"/>
    </format>
    <format dxfId="436">
      <pivotArea dataOnly="0" labelOnly="1" grandRow="1" outline="0" fieldPosition="0"/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type="origin" dataOnly="0" labelOnly="1" outline="0" fieldPosition="0"/>
    </format>
    <format dxfId="432">
      <pivotArea field="2" type="button" dataOnly="0" labelOnly="1" outline="0" axis="axisPage" fieldPosition="1"/>
    </format>
    <format dxfId="431">
      <pivotArea type="topRight" dataOnly="0" labelOnly="1" outline="0" fieldPosition="0"/>
    </format>
    <format dxfId="430">
      <pivotArea field="5" type="button" dataOnly="0" labelOnly="1" outline="0" axis="axisRow" fieldPosition="0"/>
    </format>
    <format dxfId="429">
      <pivotArea dataOnly="0" labelOnly="1" grandRow="1" outline="0" fieldPosition="0"/>
    </format>
    <format dxfId="428">
      <pivotArea dataOnly="0" labelOnly="1" grandCol="1" outline="0" fieldPosition="0"/>
    </format>
    <format dxfId="427">
      <pivotArea field="3" type="button" dataOnly="0" labelOnly="1" outline="0" axis="axisCol" fieldPosition="0"/>
    </format>
    <format dxfId="426">
      <pivotArea type="topRight" dataOnly="0" labelOnly="1" outline="0" offset="A1:G1" fieldPosition="0"/>
    </format>
    <format dxfId="425">
      <pivotArea field="3" type="button" dataOnly="0" labelOnly="1" outline="0" axis="axisCol" fieldPosition="0"/>
    </format>
    <format dxfId="424">
      <pivotArea type="topRight" dataOnly="0" labelOnly="1" outline="0" fieldPosition="0"/>
    </format>
    <format dxfId="423">
      <pivotArea field="6" type="button" dataOnly="0" labelOnly="1" outline="0"/>
    </format>
    <format dxfId="422">
      <pivotArea field="6" type="button" dataOnly="0" labelOnly="1" outline="0"/>
    </format>
    <format dxfId="421">
      <pivotArea grandRow="1" grandCol="1" outline="0" collapsedLevelsAreSubtotals="1" fieldPosition="0"/>
    </format>
    <format dxfId="420">
      <pivotArea field="1" type="button" dataOnly="0" labelOnly="1" outline="0" axis="axisPage" fieldPosition="0"/>
    </format>
    <format dxfId="419">
      <pivotArea field="3" type="button" dataOnly="0" labelOnly="1" outline="0" axis="axisCol" fieldPosition="0"/>
    </format>
    <format dxfId="418">
      <pivotArea type="topRight" dataOnly="0" labelOnly="1" outline="0" fieldPosition="0"/>
    </format>
    <format dxfId="417">
      <pivotArea dataOnly="0" labelOnly="1" fieldPosition="0">
        <references count="1">
          <reference field="1" count="1" defaultSubtotal="1">
            <x v="0"/>
          </reference>
        </references>
      </pivotArea>
    </format>
    <format dxfId="416">
      <pivotArea dataOnly="0" labelOnly="1" grandCol="1" outline="0" fieldPosition="0"/>
    </format>
    <format dxfId="415">
      <pivotArea outline="0" collapsedLevelsAreSubtotals="1" fieldPosition="0"/>
    </format>
    <format dxfId="414">
      <pivotArea dataOnly="0" labelOnly="1" fieldPosition="0">
        <references count="1">
          <reference field="1" count="0"/>
        </references>
      </pivotArea>
    </format>
    <format dxfId="413">
      <pivotArea dataOnly="0" labelOnly="1" fieldPosition="0">
        <references count="1">
          <reference field="3" count="4">
            <x v="36"/>
            <x v="37"/>
            <x v="38"/>
            <x v="39"/>
          </reference>
        </references>
      </pivotArea>
    </format>
    <format dxfId="412">
      <pivotArea dataOnly="0" labelOnly="1" fieldPosition="0">
        <references count="1">
          <reference field="3" count="1">
            <x v="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BB661-F341-4FE8-9B40-8FF6D2EAEF6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AE29" firstHeaderRow="1" firstDataRow="3" firstDataCol="1"/>
  <pivotFields count="9">
    <pivotField numFmtId="15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axis="axisCol" numFmtId="169" showAll="0">
      <items count="4">
        <item h="1" x="0"/>
        <item x="1"/>
        <item x="2"/>
        <item t="default"/>
      </items>
    </pivotField>
    <pivotField axis="axisCol" numFmtId="16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9" showAll="0"/>
    <pivotField numFmtId="169" showAll="0"/>
    <pivotField showAll="0">
      <items count="36">
        <item x="3"/>
        <item x="11"/>
        <item x="12"/>
        <item x="5"/>
        <item x="8"/>
        <item x="2"/>
        <item x="9"/>
        <item x="10"/>
        <item x="0"/>
        <item x="7"/>
        <item x="1"/>
        <item x="6"/>
        <item h="1" x="4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axis="axisRow"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4"/>
        <item h="1" x="4"/>
        <item x="16"/>
        <item x="17"/>
        <item x="18"/>
        <item x="12"/>
        <item x="15"/>
        <item x="19"/>
        <item x="20"/>
        <item x="21"/>
        <item x="22"/>
        <item t="default"/>
      </items>
    </pivotField>
    <pivotField showAll="0"/>
    <pivotField dataField="1" numFmtId="169" showAll="0"/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2">
    <field x="1"/>
    <field x="2"/>
  </colFields>
  <colItems count="20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colItems>
  <dataFields count="1">
    <dataField name="Sum of Total" fld="8" baseField="0" baseItem="0" numFmtId="169"/>
  </dataFields>
  <formats count="48">
    <format dxfId="498">
      <pivotArea outline="0" collapsedLevelsAreSubtotals="1" fieldPosition="0"/>
    </format>
    <format dxfId="497">
      <pivotArea type="origin" dataOnly="0" labelOnly="1" outline="0" fieldPosition="0"/>
    </format>
    <format dxfId="496">
      <pivotArea field="2" type="button" dataOnly="0" labelOnly="1" outline="0" axis="axisCol" fieldPosition="1"/>
    </format>
    <format dxfId="495">
      <pivotArea type="topRight" dataOnly="0" labelOnly="1" outline="0" fieldPosition="0"/>
    </format>
    <format dxfId="494">
      <pivotArea field="5" type="button" dataOnly="0" labelOnly="1" outline="0"/>
    </format>
    <format dxfId="493">
      <pivotArea dataOnly="0" labelOnly="1" fieldPosition="0">
        <references count="1">
          <reference field="2" count="0"/>
        </references>
      </pivotArea>
    </format>
    <format dxfId="492">
      <pivotArea dataOnly="0" labelOnly="1" grandCol="1" outline="0" fieldPosition="0"/>
    </format>
    <format dxfId="491">
      <pivotArea type="origin" dataOnly="0" labelOnly="1" outline="0" fieldPosition="0"/>
    </format>
    <format dxfId="490">
      <pivotArea field="2" type="button" dataOnly="0" labelOnly="1" outline="0" axis="axisCol" fieldPosition="1"/>
    </format>
    <format dxfId="489">
      <pivotArea type="topRight" dataOnly="0" labelOnly="1" outline="0" fieldPosition="0"/>
    </format>
    <format dxfId="488">
      <pivotArea field="5" type="button" dataOnly="0" labelOnly="1" outline="0"/>
    </format>
    <format dxfId="487">
      <pivotArea dataOnly="0" labelOnly="1" fieldPosition="0">
        <references count="1">
          <reference field="2" count="0"/>
        </references>
      </pivotArea>
    </format>
    <format dxfId="486">
      <pivotArea dataOnly="0" labelOnly="1" grandCol="1" outline="0" fieldPosition="0"/>
    </format>
    <format dxfId="485">
      <pivotArea grandRow="1" outline="0" collapsedLevelsAreSubtotals="1" fieldPosition="0"/>
    </format>
    <format dxfId="484">
      <pivotArea dataOnly="0" labelOnly="1" grandRow="1" outline="0" fieldPosition="0"/>
    </format>
    <format dxfId="483">
      <pivotArea grandRow="1" outline="0" collapsedLevelsAreSubtotals="1" fieldPosition="0"/>
    </format>
    <format dxfId="482">
      <pivotArea dataOnly="0" labelOnly="1" grandRow="1" outline="0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type="origin" dataOnly="0" labelOnly="1" outline="0" fieldPosition="0"/>
    </format>
    <format dxfId="478">
      <pivotArea field="2" type="button" dataOnly="0" labelOnly="1" outline="0" axis="axisCol" fieldPosition="1"/>
    </format>
    <format dxfId="477">
      <pivotArea type="topRight" dataOnly="0" labelOnly="1" outline="0" fieldPosition="0"/>
    </format>
    <format dxfId="476">
      <pivotArea field="5" type="button" dataOnly="0" labelOnly="1" outline="0"/>
    </format>
    <format dxfId="475">
      <pivotArea dataOnly="0" labelOnly="1" grandRow="1" outline="0" fieldPosition="0"/>
    </format>
    <format dxfId="474">
      <pivotArea dataOnly="0" labelOnly="1" fieldPosition="0">
        <references count="1">
          <reference field="2" count="0"/>
        </references>
      </pivotArea>
    </format>
    <format dxfId="473">
      <pivotArea dataOnly="0" labelOnly="1" grandCol="1" outline="0" fieldPosition="0"/>
    </format>
    <format dxfId="472">
      <pivotArea field="6" type="button" dataOnly="0" labelOnly="1" outline="0" axis="axisRow" fieldPosition="0"/>
    </format>
    <format dxfId="471">
      <pivotArea field="6" type="button" dataOnly="0" labelOnly="1" outline="0" axis="axisRow" fieldPosition="0"/>
    </format>
    <format dxfId="470">
      <pivotArea collapsedLevelsAreSubtotals="1" fieldPosition="0">
        <references count="2">
          <reference field="2" count="6" selected="0">
            <x v="1"/>
            <x v="2"/>
            <x v="3"/>
            <x v="4"/>
            <x v="5"/>
            <x v="6"/>
          </reference>
          <reference field="6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9">
      <pivotArea collapsedLevelsAreSubtotals="1" fieldPosition="0">
        <references count="1">
          <reference field="6" count="7">
            <x v="4"/>
            <x v="5"/>
            <x v="6"/>
            <x v="7"/>
            <x v="8"/>
            <x v="9"/>
            <x v="10"/>
          </reference>
        </references>
      </pivotArea>
    </format>
    <format dxfId="468">
      <pivotArea collapsedLevelsAreSubtotals="1" fieldPosition="0">
        <references count="2">
          <reference field="2" count="5" selected="0">
            <x v="4"/>
            <x v="5"/>
            <x v="6"/>
            <x v="7"/>
            <x v="8"/>
          </reference>
          <reference field="6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7">
      <pivotArea field="6" grandCol="1" collapsedLevelsAreSubtotals="1" axis="axisRow" fieldPosition="0">
        <references count="1">
          <reference field="6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6">
      <pivotArea outline="0" collapsedLevelsAreSubtotals="1" fieldPosition="0">
        <references count="1">
          <reference field="2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65">
      <pivotArea grandCol="1" outline="0" collapsedLevelsAreSubtotals="1" fieldPosition="0"/>
    </format>
    <format dxfId="464">
      <pivotArea field="6" grandCol="1" collapsedLevelsAreSubtotals="1" axis="axisRow" fieldPosition="0">
        <references count="1">
          <reference field="6" count="6">
            <x v="5"/>
            <x v="6"/>
            <x v="7"/>
            <x v="8"/>
            <x v="9"/>
            <x v="10"/>
          </reference>
        </references>
      </pivotArea>
    </format>
    <format dxfId="463">
      <pivotArea collapsedLevelsAreSubtotals="1" fieldPosition="0">
        <references count="2">
          <reference field="2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6" count="1">
            <x v="11"/>
          </reference>
        </references>
      </pivotArea>
    </format>
    <format dxfId="462">
      <pivotArea field="6" grandCol="1" collapsedLevelsAreSubtotals="1" axis="axisRow" fieldPosition="0">
        <references count="1">
          <reference field="6" count="1">
            <x v="11"/>
          </reference>
        </references>
      </pivotArea>
    </format>
    <format dxfId="461">
      <pivotArea field="2" grandRow="1" outline="0" collapsedLevelsAreSubtotals="1" axis="axisCol" fieldPosition="1">
        <references count="1">
          <reference field="2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0">
      <pivotArea dataOnly="0" labelOnly="1" fieldPosition="0">
        <references count="1">
          <reference field="1" count="0"/>
        </references>
      </pivotArea>
    </format>
    <format dxfId="459">
      <pivotArea dataOnly="0" labelOnly="1" fieldPosition="0">
        <references count="1">
          <reference field="1" count="0" defaultSubtotal="1"/>
        </references>
      </pivotArea>
    </format>
    <format dxfId="458">
      <pivotArea dataOnly="0" labelOnly="1" grandCol="1" outline="0" fieldPosition="0"/>
    </format>
    <format dxfId="457">
      <pivotArea dataOnly="0" labelOnly="1" fieldPosition="0">
        <references count="2">
          <reference field="1" count="0" selected="0"/>
          <reference field="2" count="0"/>
        </references>
      </pivotArea>
    </format>
    <format dxfId="456">
      <pivotArea field="1" type="button" dataOnly="0" labelOnly="1" outline="0" axis="axisCol" fieldPosition="0"/>
    </format>
    <format dxfId="455">
      <pivotArea field="2" grandRow="1" outline="0" collapsedLevelsAreSubtotals="1" axis="axisCol" fieldPosition="1">
        <references count="2">
          <reference field="1" count="1" selected="0">
            <x v="0"/>
          </reference>
          <reference field="2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54">
      <pivotArea field="1" grandRow="1" outline="0" collapsedLevelsAreSubtotals="1" axis="axisCol" fieldPosition="0">
        <references count="1">
          <reference field="1" count="1" selected="0" defaultSubtotal="1">
            <x v="0"/>
          </reference>
        </references>
      </pivotArea>
    </format>
    <format dxfId="453">
      <pivotArea field="1" grandRow="1" outline="0" collapsedLevelsAreSubtotals="1" axis="axisCol" fieldPosition="0">
        <references count="1">
          <reference field="1" count="1" selected="0" defaultSubtotal="1">
            <x v="1"/>
          </reference>
        </references>
      </pivotArea>
    </format>
    <format dxfId="452">
      <pivotArea grandRow="1" grandCol="1" outline="0" collapsedLevelsAreSubtotals="1" fieldPosition="0"/>
    </format>
    <format dxfId="45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ED90D-210D-48A5-A153-7240959D005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76:Q501" firstHeaderRow="1" firstDataRow="3" firstDataCol="1"/>
  <pivotFields count="9">
    <pivotField numFmtId="15" showAll="0"/>
    <pivotField axis="axisCol" numFmtId="169" showAll="0">
      <items count="4">
        <item h="1" x="0"/>
        <item h="1" x="1"/>
        <item x="2"/>
        <item t="default"/>
      </items>
    </pivotField>
    <pivotField axis="axisCol" numFmtId="16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9" showAll="0"/>
    <pivotField numFmtId="169" showAll="0"/>
    <pivotField showAll="0">
      <items count="37">
        <item x="3"/>
        <item x="11"/>
        <item x="12"/>
        <item x="5"/>
        <item x="8"/>
        <item x="2"/>
        <item x="9"/>
        <item x="10"/>
        <item x="0"/>
        <item x="7"/>
        <item x="1"/>
        <item x="6"/>
        <item h="1" x="4"/>
        <item h="1" x="13"/>
        <item h="1" m="1" x="35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m="1" x="3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axis="axisRow"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4"/>
        <item h="1" x="4"/>
        <item x="16"/>
        <item x="17"/>
        <item x="18"/>
        <item x="12"/>
        <item x="15"/>
        <item x="19"/>
        <item x="20"/>
        <item x="21"/>
        <item x="22"/>
        <item t="default"/>
      </items>
    </pivotField>
    <pivotField showAll="0"/>
    <pivotField dataField="1" numFmtId="169" showAll="0"/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2">
    <field x="1"/>
    <field x="2"/>
  </colFields>
  <colItems count="6"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Sum of Total" fld="8" baseField="0" baseItem="0" numFmtId="169"/>
  </dataFields>
  <formats count="48">
    <format dxfId="546">
      <pivotArea outline="0" collapsedLevelsAreSubtotals="1" fieldPosition="0"/>
    </format>
    <format dxfId="545">
      <pivotArea type="origin" dataOnly="0" labelOnly="1" outline="0" fieldPosition="0"/>
    </format>
    <format dxfId="544">
      <pivotArea field="2" type="button" dataOnly="0" labelOnly="1" outline="0" axis="axisCol" fieldPosition="1"/>
    </format>
    <format dxfId="543">
      <pivotArea type="topRight" dataOnly="0" labelOnly="1" outline="0" fieldPosition="0"/>
    </format>
    <format dxfId="542">
      <pivotArea field="5" type="button" dataOnly="0" labelOnly="1" outline="0"/>
    </format>
    <format dxfId="541">
      <pivotArea dataOnly="0" labelOnly="1" fieldPosition="0">
        <references count="1">
          <reference field="2" count="0"/>
        </references>
      </pivotArea>
    </format>
    <format dxfId="540">
      <pivotArea dataOnly="0" labelOnly="1" grandCol="1" outline="0" fieldPosition="0"/>
    </format>
    <format dxfId="539">
      <pivotArea type="origin" dataOnly="0" labelOnly="1" outline="0" fieldPosition="0"/>
    </format>
    <format dxfId="538">
      <pivotArea field="2" type="button" dataOnly="0" labelOnly="1" outline="0" axis="axisCol" fieldPosition="1"/>
    </format>
    <format dxfId="537">
      <pivotArea type="topRight" dataOnly="0" labelOnly="1" outline="0" fieldPosition="0"/>
    </format>
    <format dxfId="536">
      <pivotArea field="5" type="button" dataOnly="0" labelOnly="1" outline="0"/>
    </format>
    <format dxfId="535">
      <pivotArea dataOnly="0" labelOnly="1" fieldPosition="0">
        <references count="1">
          <reference field="2" count="0"/>
        </references>
      </pivotArea>
    </format>
    <format dxfId="534">
      <pivotArea dataOnly="0" labelOnly="1" grandCol="1" outline="0" fieldPosition="0"/>
    </format>
    <format dxfId="533">
      <pivotArea grandRow="1" outline="0" collapsedLevelsAreSubtotals="1" fieldPosition="0"/>
    </format>
    <format dxfId="532">
      <pivotArea dataOnly="0" labelOnly="1" grandRow="1" outline="0" fieldPosition="0"/>
    </format>
    <format dxfId="531">
      <pivotArea grandRow="1" outline="0" collapsedLevelsAreSubtotals="1" fieldPosition="0"/>
    </format>
    <format dxfId="530">
      <pivotArea dataOnly="0" labelOnly="1" grandRow="1" outline="0" fieldPosition="0"/>
    </format>
    <format dxfId="529">
      <pivotArea type="all" dataOnly="0" outline="0" fieldPosition="0"/>
    </format>
    <format dxfId="528">
      <pivotArea outline="0" collapsedLevelsAreSubtotals="1" fieldPosition="0"/>
    </format>
    <format dxfId="527">
      <pivotArea type="origin" dataOnly="0" labelOnly="1" outline="0" fieldPosition="0"/>
    </format>
    <format dxfId="526">
      <pivotArea field="2" type="button" dataOnly="0" labelOnly="1" outline="0" axis="axisCol" fieldPosition="1"/>
    </format>
    <format dxfId="525">
      <pivotArea type="topRight" dataOnly="0" labelOnly="1" outline="0" fieldPosition="0"/>
    </format>
    <format dxfId="524">
      <pivotArea field="5" type="button" dataOnly="0" labelOnly="1" outline="0"/>
    </format>
    <format dxfId="523">
      <pivotArea dataOnly="0" labelOnly="1" grandRow="1" outline="0" fieldPosition="0"/>
    </format>
    <format dxfId="522">
      <pivotArea dataOnly="0" labelOnly="1" fieldPosition="0">
        <references count="1">
          <reference field="2" count="0"/>
        </references>
      </pivotArea>
    </format>
    <format dxfId="521">
      <pivotArea dataOnly="0" labelOnly="1" grandCol="1" outline="0" fieldPosition="0"/>
    </format>
    <format dxfId="520">
      <pivotArea field="6" type="button" dataOnly="0" labelOnly="1" outline="0" axis="axisRow" fieldPosition="0"/>
    </format>
    <format dxfId="519">
      <pivotArea field="6" type="button" dataOnly="0" labelOnly="1" outline="0" axis="axisRow" fieldPosition="0"/>
    </format>
    <format dxfId="518">
      <pivotArea collapsedLevelsAreSubtotals="1" fieldPosition="0">
        <references count="2">
          <reference field="2" count="6" selected="0">
            <x v="1"/>
            <x v="2"/>
            <x v="3"/>
            <x v="4"/>
            <x v="5"/>
            <x v="6"/>
          </reference>
          <reference field="6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17">
      <pivotArea collapsedLevelsAreSubtotals="1" fieldPosition="0">
        <references count="1">
          <reference field="6" count="7">
            <x v="4"/>
            <x v="5"/>
            <x v="6"/>
            <x v="7"/>
            <x v="8"/>
            <x v="9"/>
            <x v="10"/>
          </reference>
        </references>
      </pivotArea>
    </format>
    <format dxfId="516">
      <pivotArea collapsedLevelsAreSubtotals="1" fieldPosition="0">
        <references count="2">
          <reference field="2" count="5" selected="0">
            <x v="4"/>
            <x v="5"/>
            <x v="6"/>
            <x v="7"/>
            <x v="8"/>
          </reference>
          <reference field="6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15">
      <pivotArea field="6" grandCol="1" collapsedLevelsAreSubtotals="1" axis="axisRow" fieldPosition="0">
        <references count="1">
          <reference field="6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14">
      <pivotArea outline="0" collapsedLevelsAreSubtotals="1" fieldPosition="0">
        <references count="1">
          <reference field="2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13">
      <pivotArea grandCol="1" outline="0" collapsedLevelsAreSubtotals="1" fieldPosition="0"/>
    </format>
    <format dxfId="512">
      <pivotArea field="6" grandCol="1" collapsedLevelsAreSubtotals="1" axis="axisRow" fieldPosition="0">
        <references count="1">
          <reference field="6" count="6">
            <x v="5"/>
            <x v="6"/>
            <x v="7"/>
            <x v="8"/>
            <x v="9"/>
            <x v="10"/>
          </reference>
        </references>
      </pivotArea>
    </format>
    <format dxfId="511">
      <pivotArea collapsedLevelsAreSubtotals="1" fieldPosition="0">
        <references count="2">
          <reference field="2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6" count="1">
            <x v="11"/>
          </reference>
        </references>
      </pivotArea>
    </format>
    <format dxfId="510">
      <pivotArea field="6" grandCol="1" collapsedLevelsAreSubtotals="1" axis="axisRow" fieldPosition="0">
        <references count="1">
          <reference field="6" count="1">
            <x v="11"/>
          </reference>
        </references>
      </pivotArea>
    </format>
    <format dxfId="509">
      <pivotArea field="2" grandRow="1" outline="0" collapsedLevelsAreSubtotals="1" axis="axisCol" fieldPosition="1">
        <references count="1">
          <reference field="2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08">
      <pivotArea dataOnly="0" labelOnly="1" fieldPosition="0">
        <references count="1">
          <reference field="1" count="0"/>
        </references>
      </pivotArea>
    </format>
    <format dxfId="507">
      <pivotArea dataOnly="0" labelOnly="1" fieldPosition="0">
        <references count="1">
          <reference field="1" count="0" defaultSubtotal="1"/>
        </references>
      </pivotArea>
    </format>
    <format dxfId="506">
      <pivotArea dataOnly="0" labelOnly="1" grandCol="1" outline="0" fieldPosition="0"/>
    </format>
    <format dxfId="505">
      <pivotArea dataOnly="0" labelOnly="1" fieldPosition="0">
        <references count="2">
          <reference field="1" count="0" selected="0"/>
          <reference field="2" count="0"/>
        </references>
      </pivotArea>
    </format>
    <format dxfId="504">
      <pivotArea field="1" type="button" dataOnly="0" labelOnly="1" outline="0" axis="axisCol" fieldPosition="0"/>
    </format>
    <format dxfId="503">
      <pivotArea field="2" grandRow="1" outline="0" collapsedLevelsAreSubtotals="1" axis="axisCol" fieldPosition="1">
        <references count="2">
          <reference field="1" count="1" selected="0">
            <x v="0"/>
          </reference>
          <reference field="2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2">
      <pivotArea field="1" grandRow="1" outline="0" collapsedLevelsAreSubtotals="1" axis="axisCol" fieldPosition="0">
        <references count="1">
          <reference field="1" count="1" selected="0" defaultSubtotal="1">
            <x v="0"/>
          </reference>
        </references>
      </pivotArea>
    </format>
    <format dxfId="501">
      <pivotArea field="1" grandRow="1" outline="0" collapsedLevelsAreSubtotals="1" axis="axisCol" fieldPosition="0">
        <references count="1">
          <reference field="1" count="1" selected="0" defaultSubtotal="1">
            <x v="1"/>
          </reference>
        </references>
      </pivotArea>
    </format>
    <format dxfId="500">
      <pivotArea grandRow="1" grandCol="1" outline="0" collapsedLevelsAreSubtotals="1" fieldPosition="0"/>
    </format>
    <format dxfId="49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E4572-E753-4A30-880B-E430EC3CB572}" name="PivotTable3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0:Y66" firstHeaderRow="1" firstDataRow="3" firstDataCol="1"/>
  <pivotFields count="9">
    <pivotField numFmtId="15" showAll="0"/>
    <pivotField axis="axisCol" numFmtId="169" showAll="0">
      <items count="4">
        <item h="1" x="0"/>
        <item x="1"/>
        <item h="1" x="2"/>
        <item t="default"/>
      </items>
    </pivotField>
    <pivotField axis="axisCol" numFmtId="16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9" showAll="0"/>
    <pivotField numFmtId="169" showAll="0"/>
    <pivotField showAll="0">
      <items count="37">
        <item x="3"/>
        <item x="11"/>
        <item x="12"/>
        <item x="5"/>
        <item x="8"/>
        <item x="2"/>
        <item x="9"/>
        <item x="10"/>
        <item x="0"/>
        <item x="7"/>
        <item x="1"/>
        <item x="6"/>
        <item h="1" x="4"/>
        <item h="1" x="13"/>
        <item h="1" m="1" x="35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m="1" x="3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4"/>
        <item h="1" x="4"/>
        <item x="16"/>
        <item x="17"/>
        <item x="18"/>
        <item x="12"/>
        <item x="15"/>
        <item h="1" x="19"/>
        <item h="1" x="20"/>
        <item h="1" x="21"/>
        <item h="1" x="22"/>
        <item t="default"/>
      </items>
    </pivotField>
    <pivotField axis="axisRow" showAll="0">
      <items count="6">
        <item h="1" x="2"/>
        <item x="1"/>
        <item x="3"/>
        <item x="0"/>
        <item h="1" x="4"/>
        <item t="default"/>
      </items>
    </pivotField>
    <pivotField dataField="1" numFmtId="169" showAll="0"/>
  </pivotFields>
  <rowFields count="1">
    <field x="7"/>
  </rowFields>
  <rowItems count="4">
    <i>
      <x v="1"/>
    </i>
    <i>
      <x v="2"/>
    </i>
    <i>
      <x v="3"/>
    </i>
    <i t="grand">
      <x/>
    </i>
  </rowItems>
  <colFields count="2">
    <field x="1"/>
    <field x="2"/>
  </colFields>
  <colItems count="14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colItems>
  <dataFields count="1">
    <dataField name="Sum of Total" fld="8" baseField="0" baseItem="0" numFmtId="169"/>
  </dataFields>
  <formats count="41">
    <format dxfId="587">
      <pivotArea outline="0" collapsedLevelsAreSubtotals="1" fieldPosition="0"/>
    </format>
    <format dxfId="586">
      <pivotArea type="origin" dataOnly="0" labelOnly="1" outline="0" fieldPosition="0"/>
    </format>
    <format dxfId="585">
      <pivotArea field="2" type="button" dataOnly="0" labelOnly="1" outline="0" axis="axisCol" fieldPosition="1"/>
    </format>
    <format dxfId="584">
      <pivotArea type="topRight" dataOnly="0" labelOnly="1" outline="0" fieldPosition="0"/>
    </format>
    <format dxfId="583">
      <pivotArea field="5" type="button" dataOnly="0" labelOnly="1" outline="0"/>
    </format>
    <format dxfId="582">
      <pivotArea dataOnly="0" labelOnly="1" fieldPosition="0">
        <references count="1">
          <reference field="2" count="0"/>
        </references>
      </pivotArea>
    </format>
    <format dxfId="581">
      <pivotArea dataOnly="0" labelOnly="1" grandCol="1" outline="0" fieldPosition="0"/>
    </format>
    <format dxfId="580">
      <pivotArea type="origin" dataOnly="0" labelOnly="1" outline="0" fieldPosition="0"/>
    </format>
    <format dxfId="579">
      <pivotArea field="2" type="button" dataOnly="0" labelOnly="1" outline="0" axis="axisCol" fieldPosition="1"/>
    </format>
    <format dxfId="578">
      <pivotArea type="topRight" dataOnly="0" labelOnly="1" outline="0" fieldPosition="0"/>
    </format>
    <format dxfId="577">
      <pivotArea field="5" type="button" dataOnly="0" labelOnly="1" outline="0"/>
    </format>
    <format dxfId="576">
      <pivotArea dataOnly="0" labelOnly="1" fieldPosition="0">
        <references count="1">
          <reference field="2" count="0"/>
        </references>
      </pivotArea>
    </format>
    <format dxfId="575">
      <pivotArea dataOnly="0" labelOnly="1" grandCol="1" outline="0" fieldPosition="0"/>
    </format>
    <format dxfId="574">
      <pivotArea grandRow="1" outline="0" collapsedLevelsAreSubtotals="1" fieldPosition="0"/>
    </format>
    <format dxfId="573">
      <pivotArea dataOnly="0" labelOnly="1" grandRow="1" outline="0" fieldPosition="0"/>
    </format>
    <format dxfId="572">
      <pivotArea grandRow="1" outline="0" collapsedLevelsAreSubtotals="1" fieldPosition="0"/>
    </format>
    <format dxfId="571">
      <pivotArea dataOnly="0" labelOnly="1" grandRow="1" outline="0" fieldPosition="0"/>
    </format>
    <format dxfId="570">
      <pivotArea type="all" dataOnly="0" outline="0" fieldPosition="0"/>
    </format>
    <format dxfId="569">
      <pivotArea outline="0" collapsedLevelsAreSubtotals="1" fieldPosition="0"/>
    </format>
    <format dxfId="568">
      <pivotArea type="origin" dataOnly="0" labelOnly="1" outline="0" fieldPosition="0"/>
    </format>
    <format dxfId="567">
      <pivotArea field="2" type="button" dataOnly="0" labelOnly="1" outline="0" axis="axisCol" fieldPosition="1"/>
    </format>
    <format dxfId="566">
      <pivotArea type="topRight" dataOnly="0" labelOnly="1" outline="0" fieldPosition="0"/>
    </format>
    <format dxfId="565">
      <pivotArea field="5" type="button" dataOnly="0" labelOnly="1" outline="0"/>
    </format>
    <format dxfId="564">
      <pivotArea dataOnly="0" labelOnly="1" grandRow="1" outline="0" fieldPosition="0"/>
    </format>
    <format dxfId="563">
      <pivotArea dataOnly="0" labelOnly="1" fieldPosition="0">
        <references count="1">
          <reference field="2" count="0"/>
        </references>
      </pivotArea>
    </format>
    <format dxfId="562">
      <pivotArea dataOnly="0" labelOnly="1" grandCol="1" outline="0" fieldPosition="0"/>
    </format>
    <format dxfId="561">
      <pivotArea field="6" type="button" dataOnly="0" labelOnly="1" outline="0"/>
    </format>
    <format dxfId="560">
      <pivotArea field="6" type="button" dataOnly="0" labelOnly="1" outline="0"/>
    </format>
    <format dxfId="559">
      <pivotArea grandRow="1" outline="0" collapsedLevelsAreSubtotals="1" fieldPosition="0"/>
    </format>
    <format dxfId="558">
      <pivotArea outline="0" collapsedLevelsAreSubtotals="1" fieldPosition="0">
        <references count="1">
          <reference field="2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57">
      <pivotArea grandCol="1" outline="0" collapsedLevelsAreSubtotals="1" fieldPosition="0"/>
    </format>
    <format dxfId="556">
      <pivotArea field="2" grandRow="1" outline="0" collapsedLevelsAreSubtotals="1" axis="axisCol" fieldPosition="1">
        <references count="1">
          <reference field="2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55">
      <pivotArea dataOnly="0" labelOnly="1" fieldPosition="0">
        <references count="1">
          <reference field="1" count="0"/>
        </references>
      </pivotArea>
    </format>
    <format dxfId="554">
      <pivotArea dataOnly="0" labelOnly="1" fieldPosition="0">
        <references count="1">
          <reference field="1" count="0" defaultSubtotal="1"/>
        </references>
      </pivotArea>
    </format>
    <format dxfId="553">
      <pivotArea dataOnly="0" labelOnly="1" grandCol="1" outline="0" fieldPosition="0"/>
    </format>
    <format dxfId="552">
      <pivotArea dataOnly="0" labelOnly="1" fieldPosition="0">
        <references count="2">
          <reference field="1" count="0" selected="0"/>
          <reference field="2" count="0"/>
        </references>
      </pivotArea>
    </format>
    <format dxfId="551">
      <pivotArea field="1" type="button" dataOnly="0" labelOnly="1" outline="0" axis="axisCol" fieldPosition="0"/>
    </format>
    <format dxfId="550">
      <pivotArea field="2" grandRow="1" outline="0" collapsedLevelsAreSubtotals="1" axis="axisCol" fieldPosition="1">
        <references count="2">
          <reference field="1" count="1" selected="0">
            <x v="0"/>
          </reference>
          <reference field="2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49">
      <pivotArea field="1" grandRow="1" outline="0" collapsedLevelsAreSubtotals="1" axis="axisCol" fieldPosition="0">
        <references count="1">
          <reference field="1" count="1" selected="0" defaultSubtotal="1">
            <x v="0"/>
          </reference>
        </references>
      </pivotArea>
    </format>
    <format dxfId="548">
      <pivotArea field="1" grandRow="1" outline="0" collapsedLevelsAreSubtotals="1" axis="axisCol" fieldPosition="0">
        <references count="1">
          <reference field="1" count="1" selected="0" defaultSubtotal="1">
            <x v="1"/>
          </reference>
        </references>
      </pivotArea>
    </format>
    <format dxfId="547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FD94B-DD1A-4908-A8CA-91ED0A206307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50:N177" firstHeaderRow="1" firstDataRow="3" firstDataCol="1" rowPageCount="1" colPageCount="1"/>
  <pivotFields count="9">
    <pivotField numFmtId="15" showAll="0"/>
    <pivotField axis="axisCol" numFmtId="169" showAll="0">
      <items count="4">
        <item h="1" x="0"/>
        <item x="1"/>
        <item h="1" x="2"/>
        <item t="default"/>
      </items>
    </pivotField>
    <pivotField axis="axisCol" numFmtId="169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t="default"/>
      </items>
    </pivotField>
    <pivotField numFmtId="169" showAll="0">
      <items count="54">
        <item h="1" x="0"/>
        <item h="1" x="1"/>
        <item h="1" x="2"/>
        <item h="1" x="3"/>
        <item h="1" x="4"/>
        <item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t="default"/>
      </items>
    </pivotField>
    <pivotField numFmtId="169" showAll="0"/>
    <pivotField axis="axisRow" showAll="0" sortType="ascending">
      <items count="37">
        <item x="3"/>
        <item x="11"/>
        <item x="12"/>
        <item x="5"/>
        <item m="1" x="34"/>
        <item x="27"/>
        <item x="15"/>
        <item x="31"/>
        <item x="14"/>
        <item x="33"/>
        <item x="23"/>
        <item x="28"/>
        <item x="8"/>
        <item x="26"/>
        <item x="32"/>
        <item x="2"/>
        <item x="9"/>
        <item x="16"/>
        <item x="10"/>
        <item x="17"/>
        <item x="20"/>
        <item x="21"/>
        <item x="25"/>
        <item x="0"/>
        <item x="7"/>
        <item x="1"/>
        <item x="6"/>
        <item x="13"/>
        <item x="18"/>
        <item x="29"/>
        <item x="19"/>
        <item x="22"/>
        <item x="24"/>
        <item x="30"/>
        <item x="4"/>
        <item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25">
    <i>
      <x/>
    </i>
    <i>
      <x v="1"/>
    </i>
    <i>
      <x v="2"/>
    </i>
    <i>
      <x v="3"/>
    </i>
    <i>
      <x v="5"/>
    </i>
    <i>
      <x v="6"/>
    </i>
    <i>
      <x v="8"/>
    </i>
    <i>
      <x v="10"/>
    </i>
    <i>
      <x v="11"/>
    </i>
    <i>
      <x v="12"/>
    </i>
    <i>
      <x v="13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2"/>
    </i>
    <i t="grand">
      <x/>
    </i>
  </rowItems>
  <colFields count="2">
    <field x="1"/>
    <field x="2"/>
  </colFields>
  <colItems count="3">
    <i>
      <x v="1"/>
      <x v="9"/>
    </i>
    <i t="default">
      <x v="1"/>
    </i>
    <i t="grand">
      <x/>
    </i>
  </colItems>
  <pageFields count="1">
    <pageField fld="7" hier="-1"/>
  </pageFields>
  <dataFields count="1">
    <dataField name="Sum of Total" fld="8" baseField="0" baseItem="0" numFmtId="169"/>
  </dataFields>
  <formats count="37">
    <format dxfId="624">
      <pivotArea outline="0" collapsedLevelsAreSubtotals="1" fieldPosition="0"/>
    </format>
    <format dxfId="623">
      <pivotArea type="origin" dataOnly="0" labelOnly="1" outline="0" fieldPosition="0"/>
    </format>
    <format dxfId="622">
      <pivotArea field="2" type="button" dataOnly="0" labelOnly="1" outline="0" axis="axisCol" fieldPosition="1"/>
    </format>
    <format dxfId="621">
      <pivotArea type="topRight" dataOnly="0" labelOnly="1" outline="0" fieldPosition="0"/>
    </format>
    <format dxfId="620">
      <pivotArea field="5" type="button" dataOnly="0" labelOnly="1" outline="0" axis="axisRow" fieldPosition="0"/>
    </format>
    <format dxfId="619">
      <pivotArea dataOnly="0" labelOnly="1" grandCol="1" outline="0" fieldPosition="0"/>
    </format>
    <format dxfId="618">
      <pivotArea type="origin" dataOnly="0" labelOnly="1" outline="0" fieldPosition="0"/>
    </format>
    <format dxfId="617">
      <pivotArea field="2" type="button" dataOnly="0" labelOnly="1" outline="0" axis="axisCol" fieldPosition="1"/>
    </format>
    <format dxfId="616">
      <pivotArea type="topRight" dataOnly="0" labelOnly="1" outline="0" fieldPosition="0"/>
    </format>
    <format dxfId="615">
      <pivotArea field="5" type="button" dataOnly="0" labelOnly="1" outline="0" axis="axisRow" fieldPosition="0"/>
    </format>
    <format dxfId="614">
      <pivotArea dataOnly="0" labelOnly="1" grandCol="1" outline="0" fieldPosition="0"/>
    </format>
    <format dxfId="613">
      <pivotArea grandRow="1" outline="0" collapsedLevelsAreSubtotals="1" fieldPosition="0"/>
    </format>
    <format dxfId="612">
      <pivotArea dataOnly="0" labelOnly="1" grandRow="1" outline="0" fieldPosition="0"/>
    </format>
    <format dxfId="611">
      <pivotArea grandRow="1" outline="0" collapsedLevelsAreSubtotals="1" fieldPosition="0"/>
    </format>
    <format dxfId="610">
      <pivotArea dataOnly="0" labelOnly="1" grandRow="1" outline="0" fieldPosition="0"/>
    </format>
    <format dxfId="609">
      <pivotArea type="all" dataOnly="0" outline="0" fieldPosition="0"/>
    </format>
    <format dxfId="608">
      <pivotArea outline="0" collapsedLevelsAreSubtotals="1" fieldPosition="0"/>
    </format>
    <format dxfId="607">
      <pivotArea type="origin" dataOnly="0" labelOnly="1" outline="0" fieldPosition="0"/>
    </format>
    <format dxfId="606">
      <pivotArea field="2" type="button" dataOnly="0" labelOnly="1" outline="0" axis="axisCol" fieldPosition="1"/>
    </format>
    <format dxfId="605">
      <pivotArea type="topRight" dataOnly="0" labelOnly="1" outline="0" fieldPosition="0"/>
    </format>
    <format dxfId="604">
      <pivotArea field="5" type="button" dataOnly="0" labelOnly="1" outline="0" axis="axisRow" fieldPosition="0"/>
    </format>
    <format dxfId="603">
      <pivotArea dataOnly="0" labelOnly="1" grandRow="1" outline="0" fieldPosition="0"/>
    </format>
    <format dxfId="602">
      <pivotArea dataOnly="0" labelOnly="1" grandCol="1" outline="0" fieldPosition="0"/>
    </format>
    <format dxfId="601">
      <pivotArea field="3" type="button" dataOnly="0" labelOnly="1" outline="0"/>
    </format>
    <format dxfId="600">
      <pivotArea type="topRight" dataOnly="0" labelOnly="1" outline="0" offset="A1:G1" fieldPosition="0"/>
    </format>
    <format dxfId="599">
      <pivotArea field="3" type="button" dataOnly="0" labelOnly="1" outline="0"/>
    </format>
    <format dxfId="598">
      <pivotArea type="topRight" dataOnly="0" labelOnly="1" outline="0" fieldPosition="0"/>
    </format>
    <format dxfId="597">
      <pivotArea field="6" type="button" dataOnly="0" labelOnly="1" outline="0"/>
    </format>
    <format dxfId="596">
      <pivotArea field="6" type="button" dataOnly="0" labelOnly="1" outline="0"/>
    </format>
    <format dxfId="595">
      <pivotArea grandRow="1" grandCol="1" outline="0" collapsedLevelsAreSubtotals="1" fieldPosition="0"/>
    </format>
    <format dxfId="594">
      <pivotArea field="1" type="button" dataOnly="0" labelOnly="1" outline="0" axis="axisCol" fieldPosition="0"/>
    </format>
    <format dxfId="593">
      <pivotArea field="3" type="button" dataOnly="0" labelOnly="1" outline="0"/>
    </format>
    <format dxfId="592">
      <pivotArea type="topRight" dataOnly="0" labelOnly="1" outline="0" fieldPosition="0"/>
    </format>
    <format dxfId="591">
      <pivotArea dataOnly="0" labelOnly="1" fieldPosition="0">
        <references count="1">
          <reference field="1" count="1" defaultSubtotal="1">
            <x v="0"/>
          </reference>
        </references>
      </pivotArea>
    </format>
    <format dxfId="590">
      <pivotArea dataOnly="0" labelOnly="1" grandCol="1" outline="0" fieldPosition="0"/>
    </format>
    <format dxfId="589">
      <pivotArea outline="0" collapsedLevelsAreSubtotals="1" fieldPosition="0"/>
    </format>
    <format dxfId="588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EAB48-B65C-476A-9B32-39412D03B16A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62:AQ467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numFmtId="169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 sortType="ascending">
      <items count="37">
        <item h="1" x="3"/>
        <item h="1" x="11"/>
        <item h="1" x="12"/>
        <item h="1" x="5"/>
        <item h="1" m="1" x="34"/>
        <item h="1" x="27"/>
        <item h="1" x="15"/>
        <item h="1" x="31"/>
        <item x="14"/>
        <item h="1" x="33"/>
        <item x="23"/>
        <item x="28"/>
        <item h="1" x="8"/>
        <item h="1" x="26"/>
        <item h="1" x="32"/>
        <item h="1" x="2"/>
        <item h="1" x="9"/>
        <item h="1" x="16"/>
        <item h="1" x="10"/>
        <item h="1" x="17"/>
        <item h="1" x="20"/>
        <item h="1" x="21"/>
        <item h="1" x="25"/>
        <item h="1" x="0"/>
        <item h="1" x="7"/>
        <item h="1" x="1"/>
        <item h="1" x="6"/>
        <item h="1" x="13"/>
        <item h="1" x="18"/>
        <item h="1" x="29"/>
        <item h="1" x="19"/>
        <item h="1" x="22"/>
        <item h="1" x="24"/>
        <item h="1" x="30"/>
        <item h="1" x="4"/>
        <item h="1"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4">
    <i>
      <x v="8"/>
    </i>
    <i>
      <x v="10"/>
    </i>
    <i>
      <x v="11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40">
    <format dxfId="664">
      <pivotArea outline="0" collapsedLevelsAreSubtotals="1" fieldPosition="0"/>
    </format>
    <format dxfId="663">
      <pivotArea type="origin" dataOnly="0" labelOnly="1" outline="0" fieldPosition="0"/>
    </format>
    <format dxfId="662">
      <pivotArea field="2" type="button" dataOnly="0" labelOnly="1" outline="0" axis="axisPage" fieldPosition="1"/>
    </format>
    <format dxfId="661">
      <pivotArea type="topRight" dataOnly="0" labelOnly="1" outline="0" fieldPosition="0"/>
    </format>
    <format dxfId="660">
      <pivotArea field="5" type="button" dataOnly="0" labelOnly="1" outline="0" axis="axisRow" fieldPosition="0"/>
    </format>
    <format dxfId="659">
      <pivotArea dataOnly="0" labelOnly="1" grandCol="1" outline="0" fieldPosition="0"/>
    </format>
    <format dxfId="658">
      <pivotArea type="origin" dataOnly="0" labelOnly="1" outline="0" fieldPosition="0"/>
    </format>
    <format dxfId="657">
      <pivotArea field="2" type="button" dataOnly="0" labelOnly="1" outline="0" axis="axisPage" fieldPosition="1"/>
    </format>
    <format dxfId="656">
      <pivotArea type="topRight" dataOnly="0" labelOnly="1" outline="0" fieldPosition="0"/>
    </format>
    <format dxfId="655">
      <pivotArea field="5" type="button" dataOnly="0" labelOnly="1" outline="0" axis="axisRow" fieldPosition="0"/>
    </format>
    <format dxfId="654">
      <pivotArea dataOnly="0" labelOnly="1" grandCol="1" outline="0" fieldPosition="0"/>
    </format>
    <format dxfId="653">
      <pivotArea grandRow="1" outline="0" collapsedLevelsAreSubtotals="1" fieldPosition="0"/>
    </format>
    <format dxfId="652">
      <pivotArea dataOnly="0" labelOnly="1" grandRow="1" outline="0" fieldPosition="0"/>
    </format>
    <format dxfId="651">
      <pivotArea grandRow="1" outline="0" collapsedLevelsAreSubtotals="1" fieldPosition="0"/>
    </format>
    <format dxfId="650">
      <pivotArea dataOnly="0" labelOnly="1" grandRow="1" outline="0" fieldPosition="0"/>
    </format>
    <format dxfId="649">
      <pivotArea type="all" dataOnly="0" outline="0" fieldPosition="0"/>
    </format>
    <format dxfId="648">
      <pivotArea outline="0" collapsedLevelsAreSubtotals="1" fieldPosition="0"/>
    </format>
    <format dxfId="647">
      <pivotArea type="origin" dataOnly="0" labelOnly="1" outline="0" fieldPosition="0"/>
    </format>
    <format dxfId="646">
      <pivotArea field="2" type="button" dataOnly="0" labelOnly="1" outline="0" axis="axisPage" fieldPosition="1"/>
    </format>
    <format dxfId="645">
      <pivotArea type="topRight" dataOnly="0" labelOnly="1" outline="0" fieldPosition="0"/>
    </format>
    <format dxfId="644">
      <pivotArea field="5" type="button" dataOnly="0" labelOnly="1" outline="0" axis="axisRow" fieldPosition="0"/>
    </format>
    <format dxfId="643">
      <pivotArea dataOnly="0" labelOnly="1" grandRow="1" outline="0" fieldPosition="0"/>
    </format>
    <format dxfId="642">
      <pivotArea dataOnly="0" labelOnly="1" grandCol="1" outline="0" fieldPosition="0"/>
    </format>
    <format dxfId="641">
      <pivotArea field="3" type="button" dataOnly="0" labelOnly="1" outline="0"/>
    </format>
    <format dxfId="640">
      <pivotArea type="topRight" dataOnly="0" labelOnly="1" outline="0" offset="A1:G1" fieldPosition="0"/>
    </format>
    <format dxfId="639">
      <pivotArea field="3" type="button" dataOnly="0" labelOnly="1" outline="0"/>
    </format>
    <format dxfId="638">
      <pivotArea type="topRight" dataOnly="0" labelOnly="1" outline="0" fieldPosition="0"/>
    </format>
    <format dxfId="637">
      <pivotArea field="6" type="button" dataOnly="0" labelOnly="1" outline="0"/>
    </format>
    <format dxfId="636">
      <pivotArea field="6" type="button" dataOnly="0" labelOnly="1" outline="0"/>
    </format>
    <format dxfId="635">
      <pivotArea grandRow="1" grandCol="1" outline="0" collapsedLevelsAreSubtotals="1" fieldPosition="0"/>
    </format>
    <format dxfId="634">
      <pivotArea field="1" type="button" dataOnly="0" labelOnly="1" outline="0" axis="axisPage" fieldPosition="0"/>
    </format>
    <format dxfId="633">
      <pivotArea field="3" type="button" dataOnly="0" labelOnly="1" outline="0"/>
    </format>
    <format dxfId="632">
      <pivotArea type="topRight" dataOnly="0" labelOnly="1" outline="0" fieldPosition="0"/>
    </format>
    <format dxfId="631">
      <pivotArea dataOnly="0" labelOnly="1" fieldPosition="0">
        <references count="1">
          <reference field="1" count="1" defaultSubtotal="1">
            <x v="0"/>
          </reference>
        </references>
      </pivotArea>
    </format>
    <format dxfId="630">
      <pivotArea dataOnly="0" labelOnly="1" grandCol="1" outline="0" fieldPosition="0"/>
    </format>
    <format dxfId="629">
      <pivotArea outline="0" collapsedLevelsAreSubtotals="1" fieldPosition="0"/>
    </format>
    <format dxfId="628">
      <pivotArea dataOnly="0" labelOnly="1" fieldPosition="0">
        <references count="1">
          <reference field="1" count="0"/>
        </references>
      </pivotArea>
    </format>
    <format dxfId="627">
      <pivotArea dataOnly="0" labelOnly="1" fieldPosition="0">
        <references count="1">
          <reference field="4" count="2">
            <x v="5"/>
            <x v="6"/>
          </reference>
        </references>
      </pivotArea>
    </format>
    <format dxfId="626">
      <pivotArea dataOnly="0" labelOnly="1" fieldPosition="0">
        <references count="1">
          <reference field="4" count="2">
            <x v="12"/>
            <x v="13"/>
          </reference>
        </references>
      </pivotArea>
    </format>
    <format dxfId="625">
      <pivotArea dataOnly="0" labelOnly="1" fieldPosition="0">
        <references count="1">
          <reference field="4" count="2"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01568-61F2-46E7-BB42-0E0E98F6EAA5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32:AQ436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numFmtId="169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 sortType="ascending">
      <items count="37">
        <item h="1" x="3"/>
        <item h="1" x="11"/>
        <item h="1" x="12"/>
        <item h="1" x="5"/>
        <item h="1" m="1" x="34"/>
        <item h="1" x="27"/>
        <item h="1" x="15"/>
        <item h="1" x="31"/>
        <item h="1" x="14"/>
        <item h="1" x="33"/>
        <item h="1" x="23"/>
        <item h="1" x="28"/>
        <item h="1" x="8"/>
        <item h="1" x="26"/>
        <item h="1" x="32"/>
        <item h="1" x="2"/>
        <item h="1" x="9"/>
        <item h="1" x="16"/>
        <item h="1" x="10"/>
        <item h="1" x="17"/>
        <item h="1" x="20"/>
        <item h="1" x="21"/>
        <item h="1" x="25"/>
        <item h="1" x="0"/>
        <item h="1" x="7"/>
        <item h="1" x="1"/>
        <item h="1" x="6"/>
        <item h="1" x="13"/>
        <item h="1" x="18"/>
        <item h="1" x="29"/>
        <item h="1" x="19"/>
        <item h="1" x="22"/>
        <item x="24"/>
        <item x="30"/>
        <item h="1" x="4"/>
        <item h="1"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3">
    <i>
      <x v="32"/>
    </i>
    <i>
      <x v="33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40">
    <format dxfId="704">
      <pivotArea outline="0" collapsedLevelsAreSubtotals="1" fieldPosition="0"/>
    </format>
    <format dxfId="703">
      <pivotArea type="origin" dataOnly="0" labelOnly="1" outline="0" fieldPosition="0"/>
    </format>
    <format dxfId="702">
      <pivotArea field="2" type="button" dataOnly="0" labelOnly="1" outline="0" axis="axisPage" fieldPosition="1"/>
    </format>
    <format dxfId="701">
      <pivotArea type="topRight" dataOnly="0" labelOnly="1" outline="0" fieldPosition="0"/>
    </format>
    <format dxfId="700">
      <pivotArea field="5" type="button" dataOnly="0" labelOnly="1" outline="0" axis="axisRow" fieldPosition="0"/>
    </format>
    <format dxfId="699">
      <pivotArea dataOnly="0" labelOnly="1" grandCol="1" outline="0" fieldPosition="0"/>
    </format>
    <format dxfId="698">
      <pivotArea type="origin" dataOnly="0" labelOnly="1" outline="0" fieldPosition="0"/>
    </format>
    <format dxfId="697">
      <pivotArea field="2" type="button" dataOnly="0" labelOnly="1" outline="0" axis="axisPage" fieldPosition="1"/>
    </format>
    <format dxfId="696">
      <pivotArea type="topRight" dataOnly="0" labelOnly="1" outline="0" fieldPosition="0"/>
    </format>
    <format dxfId="695">
      <pivotArea field="5" type="button" dataOnly="0" labelOnly="1" outline="0" axis="axisRow" fieldPosition="0"/>
    </format>
    <format dxfId="694">
      <pivotArea dataOnly="0" labelOnly="1" grandCol="1" outline="0" fieldPosition="0"/>
    </format>
    <format dxfId="693">
      <pivotArea grandRow="1" outline="0" collapsedLevelsAreSubtotals="1" fieldPosition="0"/>
    </format>
    <format dxfId="692">
      <pivotArea dataOnly="0" labelOnly="1" grandRow="1" outline="0" fieldPosition="0"/>
    </format>
    <format dxfId="691">
      <pivotArea grandRow="1" outline="0" collapsedLevelsAreSubtotals="1" fieldPosition="0"/>
    </format>
    <format dxfId="690">
      <pivotArea dataOnly="0" labelOnly="1" grandRow="1" outline="0" fieldPosition="0"/>
    </format>
    <format dxfId="689">
      <pivotArea type="all" dataOnly="0" outline="0" fieldPosition="0"/>
    </format>
    <format dxfId="688">
      <pivotArea outline="0" collapsedLevelsAreSubtotals="1" fieldPosition="0"/>
    </format>
    <format dxfId="687">
      <pivotArea type="origin" dataOnly="0" labelOnly="1" outline="0" fieldPosition="0"/>
    </format>
    <format dxfId="686">
      <pivotArea field="2" type="button" dataOnly="0" labelOnly="1" outline="0" axis="axisPage" fieldPosition="1"/>
    </format>
    <format dxfId="685">
      <pivotArea type="topRight" dataOnly="0" labelOnly="1" outline="0" fieldPosition="0"/>
    </format>
    <format dxfId="684">
      <pivotArea field="5" type="button" dataOnly="0" labelOnly="1" outline="0" axis="axisRow" fieldPosition="0"/>
    </format>
    <format dxfId="683">
      <pivotArea dataOnly="0" labelOnly="1" grandRow="1" outline="0" fieldPosition="0"/>
    </format>
    <format dxfId="682">
      <pivotArea dataOnly="0" labelOnly="1" grandCol="1" outline="0" fieldPosition="0"/>
    </format>
    <format dxfId="681">
      <pivotArea field="3" type="button" dataOnly="0" labelOnly="1" outline="0"/>
    </format>
    <format dxfId="680">
      <pivotArea type="topRight" dataOnly="0" labelOnly="1" outline="0" offset="A1:G1" fieldPosition="0"/>
    </format>
    <format dxfId="679">
      <pivotArea field="3" type="button" dataOnly="0" labelOnly="1" outline="0"/>
    </format>
    <format dxfId="678">
      <pivotArea type="topRight" dataOnly="0" labelOnly="1" outline="0" fieldPosition="0"/>
    </format>
    <format dxfId="677">
      <pivotArea field="6" type="button" dataOnly="0" labelOnly="1" outline="0"/>
    </format>
    <format dxfId="676">
      <pivotArea field="6" type="button" dataOnly="0" labelOnly="1" outline="0"/>
    </format>
    <format dxfId="675">
      <pivotArea grandRow="1" grandCol="1" outline="0" collapsedLevelsAreSubtotals="1" fieldPosition="0"/>
    </format>
    <format dxfId="674">
      <pivotArea field="1" type="button" dataOnly="0" labelOnly="1" outline="0" axis="axisPage" fieldPosition="0"/>
    </format>
    <format dxfId="673">
      <pivotArea field="3" type="button" dataOnly="0" labelOnly="1" outline="0"/>
    </format>
    <format dxfId="672">
      <pivotArea type="topRight" dataOnly="0" labelOnly="1" outline="0" fieldPosition="0"/>
    </format>
    <format dxfId="671">
      <pivotArea dataOnly="0" labelOnly="1" fieldPosition="0">
        <references count="1">
          <reference field="1" count="1" defaultSubtotal="1">
            <x v="0"/>
          </reference>
        </references>
      </pivotArea>
    </format>
    <format dxfId="670">
      <pivotArea dataOnly="0" labelOnly="1" grandCol="1" outline="0" fieldPosition="0"/>
    </format>
    <format dxfId="669">
      <pivotArea outline="0" collapsedLevelsAreSubtotals="1" fieldPosition="0"/>
    </format>
    <format dxfId="668">
      <pivotArea dataOnly="0" labelOnly="1" fieldPosition="0">
        <references count="1">
          <reference field="1" count="0"/>
        </references>
      </pivotArea>
    </format>
    <format dxfId="667">
      <pivotArea dataOnly="0" labelOnly="1" fieldPosition="0">
        <references count="1">
          <reference field="4" count="2">
            <x v="5"/>
            <x v="6"/>
          </reference>
        </references>
      </pivotArea>
    </format>
    <format dxfId="666">
      <pivotArea dataOnly="0" labelOnly="1" fieldPosition="0">
        <references count="1">
          <reference field="4" count="2">
            <x v="12"/>
            <x v="13"/>
          </reference>
        </references>
      </pivotArea>
    </format>
    <format dxfId="665">
      <pivotArea dataOnly="0" labelOnly="1" fieldPosition="0">
        <references count="1">
          <reference field="4" count="2"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53BC1-AE46-4B41-B86C-6BC6240FFCA2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07:R539" firstHeaderRow="1" firstDataRow="3" firstDataCol="1"/>
  <pivotFields count="9">
    <pivotField numFmtId="15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axis="axisCol" numFmtId="169" showAll="0">
      <items count="4">
        <item h="1" x="0"/>
        <item h="1" x="1"/>
        <item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9" showAll="0"/>
    <pivotField numFmtId="169" showAll="0"/>
    <pivotField axis="axisRow" showAll="0">
      <items count="36">
        <item x="3"/>
        <item x="11"/>
        <item x="12"/>
        <item x="34"/>
        <item x="5"/>
        <item x="27"/>
        <item x="15"/>
        <item x="31"/>
        <item x="14"/>
        <item x="33"/>
        <item x="23"/>
        <item x="28"/>
        <item x="8"/>
        <item x="26"/>
        <item x="32"/>
        <item x="2"/>
        <item x="9"/>
        <item x="16"/>
        <item x="10"/>
        <item x="17"/>
        <item x="20"/>
        <item x="21"/>
        <item x="25"/>
        <item x="0"/>
        <item x="7"/>
        <item x="1"/>
        <item x="6"/>
        <item x="13"/>
        <item x="18"/>
        <item x="29"/>
        <item x="19"/>
        <item x="22"/>
        <item x="24"/>
        <item x="30"/>
        <item h="1" x="4"/>
        <item t="default"/>
      </items>
    </pivotField>
    <pivotField showAll="0"/>
    <pivotField showAll="0"/>
    <pivotField dataField="1" showAll="0"/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2"/>
    </i>
    <i>
      <x v="33"/>
    </i>
    <i t="grand">
      <x/>
    </i>
  </rowItems>
  <colFields count="2">
    <field x="1"/>
    <field x="2"/>
  </colFields>
  <colItems count="7"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colItems>
  <dataFields count="1">
    <dataField name="Sum of Total" fld="8" baseField="0" baseItem="0" numFmtId="169"/>
  </dataFields>
  <formats count="1">
    <format dxfId="70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0655E-59FD-466B-A1EF-2B0D763392F9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97:AQ402" firstHeaderRow="1" firstDataRow="2" firstDataCol="1" rowPageCount="3" colPageCount="1"/>
  <pivotFields count="9">
    <pivotField numFmtId="15" showAll="0"/>
    <pivotField axis="axisPage" numFmtId="169" multipleItemSelectionAllowed="1" showAll="0">
      <items count="4">
        <item h="1" x="0"/>
        <item x="1"/>
        <item h="1" x="2"/>
        <item t="default"/>
      </items>
    </pivotField>
    <pivotField axis="axisPage" numFmtId="169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numFmtId="169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Col" numFmtId="169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 sortType="ascending">
      <items count="37">
        <item h="1" x="3"/>
        <item h="1" x="11"/>
        <item x="12"/>
        <item x="5"/>
        <item m="1" x="34"/>
        <item x="27"/>
        <item h="1" x="15"/>
        <item h="1" x="31"/>
        <item h="1" x="14"/>
        <item h="1" x="33"/>
        <item h="1" x="23"/>
        <item h="1" x="28"/>
        <item h="1" x="8"/>
        <item h="1" x="26"/>
        <item h="1" x="32"/>
        <item h="1" x="2"/>
        <item h="1" x="9"/>
        <item h="1" x="16"/>
        <item h="1" x="10"/>
        <item h="1" x="17"/>
        <item h="1" x="20"/>
        <item h="1" x="21"/>
        <item h="1" x="25"/>
        <item h="1" x="0"/>
        <item h="1" x="7"/>
        <item h="1" x="1"/>
        <item h="1" x="6"/>
        <item h="1" x="13"/>
        <item h="1" x="18"/>
        <item h="1" x="29"/>
        <item h="1" x="19"/>
        <item h="1" x="22"/>
        <item h="1" x="24"/>
        <item h="1" x="30"/>
        <item h="1" x="4"/>
        <item h="1" m="1" x="35"/>
        <item t="default"/>
      </items>
    </pivotField>
    <pivotField showAll="0">
      <items count="24">
        <item x="3"/>
        <item x="10"/>
        <item x="11"/>
        <item x="5"/>
        <item x="8"/>
        <item x="2"/>
        <item x="9"/>
        <item x="0"/>
        <item x="7"/>
        <item x="1"/>
        <item x="6"/>
        <item x="13"/>
        <item x="12"/>
        <item x="14"/>
        <item x="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6">
        <item x="2"/>
        <item x="1"/>
        <item x="3"/>
        <item x="0"/>
        <item x="4"/>
        <item t="default"/>
      </items>
    </pivotField>
    <pivotField dataField="1" numFmtId="169" showAll="0"/>
  </pivotFields>
  <rowFields count="1">
    <field x="5"/>
  </rowFields>
  <rowItems count="4">
    <i>
      <x v="2"/>
    </i>
    <i>
      <x v="3"/>
    </i>
    <i>
      <x v="5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3">
    <pageField fld="1" hier="-1"/>
    <pageField fld="2" hier="-1"/>
    <pageField fld="7" hier="-1"/>
  </pageFields>
  <dataFields count="1">
    <dataField name="Sum of Total" fld="8" baseField="0" baseItem="0" numFmtId="169"/>
  </dataFields>
  <formats count="40">
    <format dxfId="745">
      <pivotArea outline="0" collapsedLevelsAreSubtotals="1" fieldPosition="0"/>
    </format>
    <format dxfId="744">
      <pivotArea type="origin" dataOnly="0" labelOnly="1" outline="0" fieldPosition="0"/>
    </format>
    <format dxfId="743">
      <pivotArea field="2" type="button" dataOnly="0" labelOnly="1" outline="0" axis="axisPage" fieldPosition="1"/>
    </format>
    <format dxfId="742">
      <pivotArea type="topRight" dataOnly="0" labelOnly="1" outline="0" fieldPosition="0"/>
    </format>
    <format dxfId="741">
      <pivotArea field="5" type="button" dataOnly="0" labelOnly="1" outline="0" axis="axisRow" fieldPosition="0"/>
    </format>
    <format dxfId="740">
      <pivotArea dataOnly="0" labelOnly="1" grandCol="1" outline="0" fieldPosition="0"/>
    </format>
    <format dxfId="739">
      <pivotArea type="origin" dataOnly="0" labelOnly="1" outline="0" fieldPosition="0"/>
    </format>
    <format dxfId="738">
      <pivotArea field="2" type="button" dataOnly="0" labelOnly="1" outline="0" axis="axisPage" fieldPosition="1"/>
    </format>
    <format dxfId="737">
      <pivotArea type="topRight" dataOnly="0" labelOnly="1" outline="0" fieldPosition="0"/>
    </format>
    <format dxfId="736">
      <pivotArea field="5" type="button" dataOnly="0" labelOnly="1" outline="0" axis="axisRow" fieldPosition="0"/>
    </format>
    <format dxfId="735">
      <pivotArea dataOnly="0" labelOnly="1" grandCol="1" outline="0" fieldPosition="0"/>
    </format>
    <format dxfId="734">
      <pivotArea grandRow="1" outline="0" collapsedLevelsAreSubtotals="1" fieldPosition="0"/>
    </format>
    <format dxfId="733">
      <pivotArea dataOnly="0" labelOnly="1" grandRow="1" outline="0" fieldPosition="0"/>
    </format>
    <format dxfId="732">
      <pivotArea grandRow="1" outline="0" collapsedLevelsAreSubtotals="1" fieldPosition="0"/>
    </format>
    <format dxfId="731">
      <pivotArea dataOnly="0" labelOnly="1" grandRow="1" outline="0" fieldPosition="0"/>
    </format>
    <format dxfId="730">
      <pivotArea type="all" dataOnly="0" outline="0" fieldPosition="0"/>
    </format>
    <format dxfId="729">
      <pivotArea outline="0" collapsedLevelsAreSubtotals="1" fieldPosition="0"/>
    </format>
    <format dxfId="728">
      <pivotArea type="origin" dataOnly="0" labelOnly="1" outline="0" fieldPosition="0"/>
    </format>
    <format dxfId="727">
      <pivotArea field="2" type="button" dataOnly="0" labelOnly="1" outline="0" axis="axisPage" fieldPosition="1"/>
    </format>
    <format dxfId="726">
      <pivotArea type="topRight" dataOnly="0" labelOnly="1" outline="0" fieldPosition="0"/>
    </format>
    <format dxfId="725">
      <pivotArea field="5" type="button" dataOnly="0" labelOnly="1" outline="0" axis="axisRow" fieldPosition="0"/>
    </format>
    <format dxfId="724">
      <pivotArea dataOnly="0" labelOnly="1" grandRow="1" outline="0" fieldPosition="0"/>
    </format>
    <format dxfId="723">
      <pivotArea dataOnly="0" labelOnly="1" grandCol="1" outline="0" fieldPosition="0"/>
    </format>
    <format dxfId="722">
      <pivotArea field="3" type="button" dataOnly="0" labelOnly="1" outline="0"/>
    </format>
    <format dxfId="721">
      <pivotArea type="topRight" dataOnly="0" labelOnly="1" outline="0" offset="A1:G1" fieldPosition="0"/>
    </format>
    <format dxfId="720">
      <pivotArea field="3" type="button" dataOnly="0" labelOnly="1" outline="0"/>
    </format>
    <format dxfId="719">
      <pivotArea type="topRight" dataOnly="0" labelOnly="1" outline="0" fieldPosition="0"/>
    </format>
    <format dxfId="718">
      <pivotArea field="6" type="button" dataOnly="0" labelOnly="1" outline="0"/>
    </format>
    <format dxfId="717">
      <pivotArea field="6" type="button" dataOnly="0" labelOnly="1" outline="0"/>
    </format>
    <format dxfId="716">
      <pivotArea grandRow="1" grandCol="1" outline="0" collapsedLevelsAreSubtotals="1" fieldPosition="0"/>
    </format>
    <format dxfId="715">
      <pivotArea field="1" type="button" dataOnly="0" labelOnly="1" outline="0" axis="axisPage" fieldPosition="0"/>
    </format>
    <format dxfId="714">
      <pivotArea field="3" type="button" dataOnly="0" labelOnly="1" outline="0"/>
    </format>
    <format dxfId="713">
      <pivotArea type="topRight" dataOnly="0" labelOnly="1" outline="0" fieldPosition="0"/>
    </format>
    <format dxfId="712">
      <pivotArea dataOnly="0" labelOnly="1" fieldPosition="0">
        <references count="1">
          <reference field="1" count="1" defaultSubtotal="1">
            <x v="0"/>
          </reference>
        </references>
      </pivotArea>
    </format>
    <format dxfId="711">
      <pivotArea dataOnly="0" labelOnly="1" grandCol="1" outline="0" fieldPosition="0"/>
    </format>
    <format dxfId="710">
      <pivotArea outline="0" collapsedLevelsAreSubtotals="1" fieldPosition="0"/>
    </format>
    <format dxfId="709">
      <pivotArea dataOnly="0" labelOnly="1" fieldPosition="0">
        <references count="1">
          <reference field="1" count="0"/>
        </references>
      </pivotArea>
    </format>
    <format dxfId="708">
      <pivotArea dataOnly="0" labelOnly="1" fieldPosition="0">
        <references count="1">
          <reference field="4" count="2">
            <x v="5"/>
            <x v="6"/>
          </reference>
        </references>
      </pivotArea>
    </format>
    <format dxfId="707">
      <pivotArea dataOnly="0" labelOnly="1" fieldPosition="0">
        <references count="1">
          <reference field="4" count="2">
            <x v="12"/>
            <x v="13"/>
          </reference>
        </references>
      </pivotArea>
    </format>
    <format dxfId="706">
      <pivotArea dataOnly="0" labelOnly="1" fieldPosition="0">
        <references count="1">
          <reference field="4" count="2"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1B1E6-233F-4F65-BFFE-C021A97DB6C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P33" firstHeaderRow="1" firstDataRow="2" firstDataCol="1" rowPageCount="1" colPageCount="1"/>
  <pivotFields count="11">
    <pivotField numFmtId="15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axis="axisPage" numFmtId="169" showAll="0">
      <items count="2"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9" showAll="0"/>
    <pivotField numFmtId="169"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1" item="0" hier="-1"/>
  </pageFields>
  <dataFields count="1">
    <dataField name="Sum of Total" fld="8" baseField="0" baseItem="0" numFmtId="16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19</v>
    <v>8</v>
    <v>9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12623-E575-4DE9-9A0F-1B1BF9524FA8}" name="source" displayName="source" ref="A2:I15374" totalsRowShown="0" headerRowDxfId="10">
  <autoFilter ref="A2:I15374" xr:uid="{18FEB192-8455-4FFE-99CC-CD0E19225244}"/>
  <tableColumns count="9">
    <tableColumn id="1" xr3:uid="{49286133-7D09-4A0D-B323-766FEDE95A18}" name="report_date" dataDxfId="9"/>
    <tableColumn id="8" xr3:uid="{8E81A252-6F9F-4EB5-8746-53C11DBB22D0}" name="Year" dataDxfId="8" dataCellStyle="Comma">
      <calculatedColumnFormula>YEAR(source[[#This Row],[report_date]])</calculatedColumnFormula>
    </tableColumn>
    <tableColumn id="2" xr3:uid="{0BD037CB-88A2-4FD2-9101-E20A0F45D23F}" name="Month" dataDxfId="7">
      <calculatedColumnFormula>MONTH(A3)</calculatedColumnFormula>
    </tableColumn>
    <tableColumn id="3" xr3:uid="{64681CD6-FB02-41F5-97D0-CF2F01732436}" name="Weeknum" dataDxfId="6">
      <calculatedColumnFormula>WEEKNUM(A3,2)</calculatedColumnFormula>
    </tableColumn>
    <tableColumn id="4" xr3:uid="{9D66F202-7253-4929-8560-639F2CCBCEFD}" name="Day" dataDxfId="5">
      <calculatedColumnFormula>DAY(A3)</calculatedColumnFormula>
    </tableColumn>
    <tableColumn id="5" xr3:uid="{3E1AFF35-43C1-4EE2-ABDD-A2B5EB756733}" name="lending_product_transform" dataDxfId="4"/>
    <tableColumn id="6" xr3:uid="{9C5C00DB-C683-4617-ACB7-FBAC0BAF39B8}" name="Product_use" dataDxfId="3">
      <calculatedColumnFormula>VLOOKUP(source[[#This Row],[lending_product_transform]],[3]Mapping!$B$4:$C$37,2,0)</calculatedColumnFormula>
    </tableColumn>
    <tableColumn id="9" xr3:uid="{1D5CC2ED-6C2E-4926-B7F6-62CE932EDB8B}" name="Product Group" dataDxfId="2">
      <calculatedColumnFormula>VLOOKUP(source[[#This Row],[lending_product_transform]],[3]Mapping!$B$3:$D$37,3,0)</calculatedColumnFormula>
    </tableColumn>
    <tableColumn id="7" xr3:uid="{A5910E14-42A1-420D-B241-1498A78BBB39}" name="Total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7A27C1-3ED8-41F3-B54B-BBD488D5FB6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ff825389-b0f1-4eab-92e9-d5c4b2778ac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3" Type="http://schemas.openxmlformats.org/officeDocument/2006/relationships/pivotTable" Target="../pivotTables/pivotTable4.xml"/><Relationship Id="rId21" Type="http://schemas.openxmlformats.org/officeDocument/2006/relationships/vmlDrawing" Target="../drawings/vmlDrawing1.v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Relationship Id="rId22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35"/>
  <sheetViews>
    <sheetView topLeftCell="A7" zoomScale="55" zoomScaleNormal="55" workbookViewId="0">
      <selection activeCell="E15" sqref="E15"/>
    </sheetView>
  </sheetViews>
  <sheetFormatPr baseColWidth="10" defaultColWidth="8.83203125" defaultRowHeight="15" x14ac:dyDescent="0.2"/>
  <cols>
    <col min="1" max="2" width="2" customWidth="1"/>
    <col min="3" max="3" width="22" customWidth="1"/>
    <col min="4" max="4" width="19.6640625" customWidth="1"/>
    <col min="5" max="5" width="48" customWidth="1"/>
    <col min="6" max="6" width="27.5" bestFit="1" customWidth="1"/>
    <col min="7" max="7" width="17.6640625" bestFit="1" customWidth="1"/>
    <col min="8" max="8" width="20.5" bestFit="1" customWidth="1"/>
    <col min="9" max="9" width="17.5" customWidth="1"/>
    <col min="10" max="10" width="20.5" bestFit="1" customWidth="1"/>
    <col min="11" max="11" width="17" customWidth="1"/>
    <col min="12" max="12" width="20.5" bestFit="1" customWidth="1"/>
    <col min="14" max="14" width="10.1640625" bestFit="1" customWidth="1"/>
  </cols>
  <sheetData>
    <row r="1" spans="3:14" ht="36" customHeight="1" x14ac:dyDescent="0.2">
      <c r="C1" s="615" t="s">
        <v>0</v>
      </c>
      <c r="D1" s="614"/>
      <c r="E1" s="614"/>
      <c r="F1" s="614"/>
      <c r="G1" s="614"/>
      <c r="H1" s="614"/>
      <c r="I1" s="614"/>
      <c r="J1" s="614"/>
      <c r="K1" s="614"/>
      <c r="L1" s="614"/>
    </row>
    <row r="2" spans="3:14" x14ac:dyDescent="0.2">
      <c r="C2" s="614"/>
      <c r="D2" s="614"/>
      <c r="E2" s="614"/>
      <c r="F2" s="614"/>
      <c r="G2" s="614"/>
      <c r="H2" s="614"/>
      <c r="I2" s="614"/>
      <c r="J2" s="614"/>
      <c r="K2" s="614"/>
      <c r="L2" s="614"/>
    </row>
    <row r="3" spans="3:14" x14ac:dyDescent="0.2">
      <c r="C3" s="614"/>
      <c r="D3" s="614"/>
      <c r="E3" s="614"/>
      <c r="F3" s="614"/>
      <c r="G3" s="614"/>
      <c r="H3" s="614"/>
      <c r="I3" s="614"/>
      <c r="J3" s="614"/>
      <c r="K3" s="614"/>
      <c r="L3" s="614"/>
    </row>
    <row r="4" spans="3:14" ht="18" customHeight="1" x14ac:dyDescent="0.2">
      <c r="C4" s="613" t="s">
        <v>1</v>
      </c>
      <c r="D4" s="614"/>
      <c r="E4" s="614"/>
      <c r="F4" s="614"/>
      <c r="G4" s="614"/>
      <c r="H4" s="614"/>
      <c r="I4" s="614"/>
      <c r="J4" s="614"/>
      <c r="K4" s="614"/>
      <c r="L4" s="614"/>
    </row>
    <row r="5" spans="3:14" ht="20.25" customHeight="1" x14ac:dyDescent="0.2">
      <c r="C5" s="1"/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5</v>
      </c>
      <c r="J5" s="2" t="s">
        <v>7</v>
      </c>
      <c r="K5" s="2" t="s">
        <v>5</v>
      </c>
      <c r="L5" s="3" t="s">
        <v>8</v>
      </c>
      <c r="M5" s="12" t="s">
        <v>9</v>
      </c>
      <c r="N5" s="12" t="s">
        <v>10</v>
      </c>
    </row>
    <row r="6" spans="3:14" ht="16" x14ac:dyDescent="0.2">
      <c r="C6" s="4" t="s">
        <v>11</v>
      </c>
      <c r="D6" s="5">
        <v>15986858000</v>
      </c>
      <c r="E6" s="6" t="s">
        <v>12</v>
      </c>
      <c r="F6" s="18" t="s">
        <v>13</v>
      </c>
      <c r="G6" s="15">
        <v>2000000000</v>
      </c>
      <c r="H6" s="15">
        <v>17986858000</v>
      </c>
      <c r="I6" s="15"/>
      <c r="J6" s="15">
        <v>20986858000</v>
      </c>
      <c r="K6" s="15"/>
      <c r="L6" s="15"/>
      <c r="M6" t="s">
        <v>14</v>
      </c>
      <c r="N6" t="s">
        <v>15</v>
      </c>
    </row>
    <row r="7" spans="3:14" ht="16" x14ac:dyDescent="0.2">
      <c r="C7" s="1"/>
      <c r="D7" s="1"/>
      <c r="E7" s="6" t="s">
        <v>16</v>
      </c>
      <c r="F7" s="18" t="s">
        <v>13</v>
      </c>
      <c r="G7" s="15"/>
      <c r="H7" s="15"/>
      <c r="I7" s="15">
        <v>3000000000</v>
      </c>
      <c r="J7" s="15"/>
      <c r="K7" s="15"/>
      <c r="L7" s="15"/>
      <c r="M7" t="s">
        <v>14</v>
      </c>
      <c r="N7" t="s">
        <v>17</v>
      </c>
    </row>
    <row r="8" spans="3:14" ht="16" x14ac:dyDescent="0.2">
      <c r="C8" s="1"/>
      <c r="D8" s="1"/>
      <c r="E8" s="6" t="s">
        <v>18</v>
      </c>
      <c r="F8" s="18" t="s">
        <v>13</v>
      </c>
      <c r="G8" s="15"/>
      <c r="H8" s="15"/>
      <c r="I8" s="15"/>
      <c r="J8" s="15"/>
      <c r="K8" s="15">
        <v>1000000000</v>
      </c>
      <c r="L8" s="15">
        <v>21986858000</v>
      </c>
      <c r="M8" t="s">
        <v>14</v>
      </c>
      <c r="N8" t="s">
        <v>17</v>
      </c>
    </row>
    <row r="9" spans="3:14" ht="16" x14ac:dyDescent="0.2">
      <c r="C9" s="4" t="s">
        <v>19</v>
      </c>
      <c r="D9" s="5">
        <v>11592244800</v>
      </c>
      <c r="E9" s="6" t="s">
        <v>20</v>
      </c>
      <c r="F9" s="18" t="s">
        <v>21</v>
      </c>
      <c r="G9" s="16"/>
      <c r="H9" s="15">
        <v>11592244800</v>
      </c>
      <c r="I9" s="15">
        <v>1738836720</v>
      </c>
      <c r="J9" s="15">
        <v>13331081520</v>
      </c>
      <c r="K9" s="15"/>
      <c r="L9" s="15">
        <v>13331081520</v>
      </c>
      <c r="M9" t="s">
        <v>22</v>
      </c>
      <c r="N9" t="s">
        <v>23</v>
      </c>
    </row>
    <row r="10" spans="3:14" ht="16" x14ac:dyDescent="0.2">
      <c r="C10" s="1"/>
      <c r="D10" s="1"/>
      <c r="E10" s="1"/>
      <c r="G10" s="15"/>
      <c r="H10" s="15"/>
      <c r="I10" s="15"/>
      <c r="J10" s="15"/>
      <c r="K10" s="15"/>
      <c r="L10" s="15"/>
    </row>
    <row r="11" spans="3:14" ht="16" x14ac:dyDescent="0.2">
      <c r="C11" s="4" t="s">
        <v>24</v>
      </c>
      <c r="D11" s="5">
        <v>12628304667</v>
      </c>
      <c r="E11" s="6" t="s">
        <v>25</v>
      </c>
      <c r="F11" s="18" t="s">
        <v>21</v>
      </c>
      <c r="G11" s="15">
        <v>2525660933</v>
      </c>
      <c r="H11" s="15">
        <v>18153965600</v>
      </c>
      <c r="I11" s="15"/>
      <c r="J11" s="15">
        <v>18153965600</v>
      </c>
      <c r="K11" s="15"/>
      <c r="L11" s="15">
        <v>19969362160</v>
      </c>
      <c r="M11" t="s">
        <v>22</v>
      </c>
      <c r="N11" t="s">
        <v>23</v>
      </c>
    </row>
    <row r="12" spans="3:14" ht="16" x14ac:dyDescent="0.2">
      <c r="C12" s="1"/>
      <c r="D12" s="1"/>
      <c r="E12" s="6" t="s">
        <v>26</v>
      </c>
      <c r="F12" s="18" t="s">
        <v>13</v>
      </c>
      <c r="G12" s="15">
        <v>3000000000</v>
      </c>
      <c r="H12" s="15"/>
      <c r="I12" s="15"/>
      <c r="J12" s="15"/>
      <c r="K12" s="15"/>
      <c r="L12" s="15"/>
      <c r="M12" t="s">
        <v>14</v>
      </c>
      <c r="N12" t="s">
        <v>15</v>
      </c>
    </row>
    <row r="13" spans="3:14" ht="16" x14ac:dyDescent="0.2">
      <c r="C13" s="1"/>
      <c r="D13" s="1"/>
      <c r="E13" s="6" t="s">
        <v>27</v>
      </c>
      <c r="F13" s="18" t="s">
        <v>21</v>
      </c>
      <c r="G13" s="15"/>
      <c r="H13" s="15"/>
      <c r="I13" s="15"/>
      <c r="J13" s="15"/>
      <c r="K13" s="15">
        <v>1815396560</v>
      </c>
      <c r="L13" s="15"/>
      <c r="M13" t="s">
        <v>22</v>
      </c>
      <c r="N13" t="s">
        <v>23</v>
      </c>
    </row>
    <row r="14" spans="3:14" ht="16" x14ac:dyDescent="0.2">
      <c r="C14" s="4" t="s">
        <v>28</v>
      </c>
      <c r="D14" s="5">
        <v>13618558800</v>
      </c>
      <c r="E14" s="6" t="s">
        <v>29</v>
      </c>
      <c r="F14" s="18" t="s">
        <v>21</v>
      </c>
      <c r="G14" s="15">
        <v>1361855880</v>
      </c>
      <c r="H14" s="15">
        <v>17250174480</v>
      </c>
      <c r="I14" s="15"/>
      <c r="J14" s="15">
        <v>17250174480</v>
      </c>
      <c r="K14" s="15"/>
      <c r="L14" s="15">
        <v>17250174480</v>
      </c>
      <c r="M14" t="s">
        <v>22</v>
      </c>
      <c r="N14" t="s">
        <v>23</v>
      </c>
    </row>
    <row r="15" spans="3:14" ht="16" x14ac:dyDescent="0.2">
      <c r="C15" s="1"/>
      <c r="D15" s="1"/>
      <c r="E15" s="6" t="s">
        <v>30</v>
      </c>
      <c r="F15" s="18" t="s">
        <v>13</v>
      </c>
      <c r="G15" s="15">
        <v>2269759800</v>
      </c>
      <c r="H15" s="15"/>
      <c r="I15" s="15"/>
      <c r="J15" s="15"/>
      <c r="K15" s="15"/>
      <c r="L15" s="15"/>
      <c r="M15" t="s">
        <v>14</v>
      </c>
      <c r="N15" t="s">
        <v>17</v>
      </c>
    </row>
    <row r="16" spans="3:14" ht="16" x14ac:dyDescent="0.2">
      <c r="C16" s="4" t="s">
        <v>31</v>
      </c>
      <c r="D16" s="5">
        <v>2994474000</v>
      </c>
      <c r="E16" s="6" t="s">
        <v>12</v>
      </c>
      <c r="F16" s="18" t="s">
        <v>13</v>
      </c>
      <c r="G16" s="15">
        <v>1000000000</v>
      </c>
      <c r="H16" s="15">
        <v>5994474000</v>
      </c>
      <c r="I16" s="15"/>
      <c r="J16" s="15">
        <v>5994474000</v>
      </c>
      <c r="K16" s="15"/>
      <c r="L16" s="15">
        <v>6994474000</v>
      </c>
      <c r="M16" t="s">
        <v>14</v>
      </c>
      <c r="N16" t="s">
        <v>15</v>
      </c>
    </row>
    <row r="17" spans="3:14" ht="16" x14ac:dyDescent="0.2">
      <c r="C17" s="1"/>
      <c r="D17" s="1"/>
      <c r="E17" s="6" t="s">
        <v>32</v>
      </c>
      <c r="F17" s="18" t="s">
        <v>21</v>
      </c>
      <c r="G17" s="15">
        <v>1000000000</v>
      </c>
      <c r="H17" s="15"/>
      <c r="I17" s="15"/>
      <c r="J17" s="15"/>
      <c r="K17" s="15"/>
      <c r="L17" s="15"/>
      <c r="M17" t="s">
        <v>33</v>
      </c>
      <c r="N17" t="s">
        <v>17</v>
      </c>
    </row>
    <row r="18" spans="3:14" ht="16" x14ac:dyDescent="0.2">
      <c r="C18" s="1"/>
      <c r="D18" s="1"/>
      <c r="E18" s="6" t="s">
        <v>34</v>
      </c>
      <c r="F18" s="18" t="s">
        <v>21</v>
      </c>
      <c r="G18" s="15">
        <v>1000000000</v>
      </c>
      <c r="H18" s="15"/>
      <c r="I18" s="15"/>
      <c r="J18" s="15"/>
      <c r="K18" s="15">
        <v>1000000000</v>
      </c>
      <c r="L18" s="15"/>
      <c r="M18" t="s">
        <v>35</v>
      </c>
      <c r="N18" t="s">
        <v>17</v>
      </c>
    </row>
    <row r="19" spans="3:14" ht="16" x14ac:dyDescent="0.2">
      <c r="C19" s="4" t="s">
        <v>36</v>
      </c>
      <c r="D19" s="5">
        <v>3364767667</v>
      </c>
      <c r="E19" s="6" t="s">
        <v>37</v>
      </c>
      <c r="F19" s="18" t="s">
        <v>21</v>
      </c>
      <c r="G19" s="15">
        <v>480681095</v>
      </c>
      <c r="H19" s="15">
        <v>3845448762</v>
      </c>
      <c r="I19" s="15"/>
      <c r="J19" s="15"/>
      <c r="K19" s="15"/>
      <c r="L19" s="15"/>
      <c r="M19" t="s">
        <v>33</v>
      </c>
      <c r="N19" t="s">
        <v>17</v>
      </c>
    </row>
    <row r="20" spans="3:14" ht="16" x14ac:dyDescent="0.2">
      <c r="C20" s="1"/>
      <c r="D20" s="1"/>
      <c r="E20" s="6" t="s">
        <v>38</v>
      </c>
      <c r="F20" s="18" t="s">
        <v>21</v>
      </c>
      <c r="G20" s="15"/>
      <c r="H20" s="15"/>
      <c r="I20" s="15">
        <v>1442043286</v>
      </c>
      <c r="J20" s="15">
        <v>5287492048</v>
      </c>
      <c r="K20" s="15"/>
      <c r="L20" s="15">
        <v>5287492048</v>
      </c>
      <c r="M20" t="s">
        <v>33</v>
      </c>
      <c r="N20" t="s">
        <v>17</v>
      </c>
    </row>
    <row r="21" spans="3:14" ht="16" x14ac:dyDescent="0.2">
      <c r="C21" s="4" t="s">
        <v>39</v>
      </c>
      <c r="D21" s="5">
        <v>1171196560</v>
      </c>
      <c r="E21" s="6" t="s">
        <v>40</v>
      </c>
      <c r="F21" s="18" t="s">
        <v>21</v>
      </c>
      <c r="G21" s="15">
        <v>400000000</v>
      </c>
      <c r="H21" s="15">
        <v>1571196560</v>
      </c>
      <c r="I21" s="16"/>
      <c r="J21" s="15">
        <v>3571196560</v>
      </c>
      <c r="K21" s="15"/>
      <c r="L21" s="15">
        <v>5571196560</v>
      </c>
      <c r="M21" t="s">
        <v>33</v>
      </c>
      <c r="N21" t="s">
        <v>17</v>
      </c>
    </row>
    <row r="22" spans="3:14" ht="16" x14ac:dyDescent="0.2">
      <c r="C22" s="1"/>
      <c r="D22" s="1"/>
      <c r="E22" s="6" t="s">
        <v>41</v>
      </c>
      <c r="F22" s="18" t="s">
        <v>42</v>
      </c>
      <c r="G22" s="15"/>
      <c r="H22" s="15"/>
      <c r="I22" s="15">
        <v>2000000000</v>
      </c>
      <c r="J22" s="15"/>
      <c r="K22" s="15">
        <v>2000000000</v>
      </c>
      <c r="L22" s="15"/>
      <c r="M22" t="s">
        <v>35</v>
      </c>
      <c r="N22" t="s">
        <v>17</v>
      </c>
    </row>
    <row r="23" spans="3:14" ht="16" x14ac:dyDescent="0.2">
      <c r="C23" s="4" t="s">
        <v>43</v>
      </c>
      <c r="D23" s="5">
        <v>1573544661</v>
      </c>
      <c r="E23" s="6" t="s">
        <v>44</v>
      </c>
      <c r="F23" s="18" t="s">
        <v>21</v>
      </c>
      <c r="G23" s="15">
        <v>786772331</v>
      </c>
      <c r="H23" s="15">
        <v>2360316992</v>
      </c>
      <c r="I23" s="15"/>
      <c r="J23" s="15">
        <v>2360316992</v>
      </c>
      <c r="K23" s="15"/>
      <c r="L23" s="15">
        <v>2360316992</v>
      </c>
      <c r="M23" s="13" t="s">
        <v>35</v>
      </c>
      <c r="N23" s="13" t="s">
        <v>17</v>
      </c>
    </row>
    <row r="24" spans="3:14" ht="16" x14ac:dyDescent="0.2">
      <c r="C24" s="4" t="s">
        <v>45</v>
      </c>
      <c r="D24" s="1"/>
      <c r="E24" s="1"/>
      <c r="F24" s="18" t="s">
        <v>42</v>
      </c>
      <c r="G24" s="15"/>
      <c r="H24" s="15"/>
      <c r="I24" s="15"/>
      <c r="J24" s="15"/>
      <c r="K24" s="15">
        <v>1000000000</v>
      </c>
      <c r="L24" s="15">
        <v>1000000000</v>
      </c>
      <c r="M24" s="13" t="s">
        <v>35</v>
      </c>
      <c r="N24" s="13" t="s">
        <v>17</v>
      </c>
    </row>
    <row r="25" spans="3:14" ht="16" x14ac:dyDescent="0.2">
      <c r="C25" s="7" t="s">
        <v>46</v>
      </c>
      <c r="D25" s="5">
        <v>3568655822</v>
      </c>
      <c r="E25" s="1"/>
      <c r="G25" s="15"/>
      <c r="H25" s="15">
        <v>3568655822</v>
      </c>
      <c r="I25" s="15"/>
      <c r="J25" s="15">
        <v>3568655822</v>
      </c>
      <c r="K25" s="15"/>
      <c r="L25" s="15">
        <v>3568655822</v>
      </c>
    </row>
    <row r="26" spans="3:14" ht="16" x14ac:dyDescent="0.2">
      <c r="C26" s="8" t="s">
        <v>47</v>
      </c>
      <c r="D26" s="9">
        <v>66498604977</v>
      </c>
      <c r="E26" s="1"/>
      <c r="G26" s="17">
        <v>15824730039</v>
      </c>
      <c r="H26" s="17">
        <v>82323335016</v>
      </c>
      <c r="I26" s="17">
        <v>8180880006</v>
      </c>
      <c r="J26" s="17">
        <v>90504215021</v>
      </c>
      <c r="K26" s="17">
        <v>6815396560</v>
      </c>
      <c r="L26" s="17">
        <v>97319611581</v>
      </c>
    </row>
    <row r="27" spans="3:14" ht="16" x14ac:dyDescent="0.2">
      <c r="C27" s="10" t="s">
        <v>48</v>
      </c>
      <c r="D27" s="1"/>
      <c r="E27" s="1"/>
      <c r="G27" s="16"/>
      <c r="H27" s="15">
        <v>2552023385486</v>
      </c>
      <c r="I27" s="16"/>
      <c r="J27" s="15">
        <v>2805630665663</v>
      </c>
      <c r="K27" s="16"/>
      <c r="L27" s="15">
        <v>3016907959023</v>
      </c>
    </row>
    <row r="28" spans="3:14" ht="16" x14ac:dyDescent="0.2">
      <c r="C28" s="11" t="s">
        <v>49</v>
      </c>
      <c r="D28" s="1"/>
      <c r="E28" s="11"/>
      <c r="F28" s="11"/>
      <c r="G28" s="1"/>
      <c r="H28" s="1"/>
      <c r="I28" s="1"/>
      <c r="J28" s="1"/>
      <c r="K28" s="1"/>
      <c r="L28" s="1"/>
    </row>
    <row r="29" spans="3:14" ht="16" x14ac:dyDescent="0.2">
      <c r="F29" s="18" t="s">
        <v>13</v>
      </c>
      <c r="G29" s="14">
        <f t="shared" ref="G29:L29" si="0">SUMIFS(G$6:G$24,$F$6:$F$24,$F29)</f>
        <v>8269759800</v>
      </c>
      <c r="H29" s="14">
        <f t="shared" si="0"/>
        <v>23981332000</v>
      </c>
      <c r="I29" s="14">
        <f t="shared" si="0"/>
        <v>3000000000</v>
      </c>
      <c r="J29" s="14">
        <f t="shared" si="0"/>
        <v>26981332000</v>
      </c>
      <c r="K29" s="14">
        <f t="shared" si="0"/>
        <v>1000000000</v>
      </c>
      <c r="L29" s="14">
        <f t="shared" si="0"/>
        <v>28981332000</v>
      </c>
    </row>
    <row r="30" spans="3:14" ht="16" x14ac:dyDescent="0.2">
      <c r="F30" s="18" t="s">
        <v>21</v>
      </c>
      <c r="G30" s="14">
        <f t="shared" ref="G30:L31" si="1">SUMIFS(G$6:G$24,$F$6:$F$24,$F30)</f>
        <v>7554970239</v>
      </c>
      <c r="H30" s="14">
        <f t="shared" si="1"/>
        <v>54773347194</v>
      </c>
      <c r="I30" s="14">
        <f t="shared" si="1"/>
        <v>3180880006</v>
      </c>
      <c r="J30" s="14">
        <f t="shared" si="1"/>
        <v>59954227200</v>
      </c>
      <c r="K30" s="14">
        <f t="shared" si="1"/>
        <v>2815396560</v>
      </c>
      <c r="L30" s="14">
        <f t="shared" si="1"/>
        <v>63769623760</v>
      </c>
    </row>
    <row r="31" spans="3:14" ht="16" x14ac:dyDescent="0.2">
      <c r="F31" s="18" t="s">
        <v>42</v>
      </c>
      <c r="G31" s="14">
        <f t="shared" si="1"/>
        <v>0</v>
      </c>
      <c r="H31" s="14">
        <f t="shared" si="1"/>
        <v>0</v>
      </c>
      <c r="I31" s="14">
        <f t="shared" si="1"/>
        <v>2000000000</v>
      </c>
      <c r="J31" s="14">
        <f t="shared" si="1"/>
        <v>0</v>
      </c>
      <c r="K31" s="14">
        <f t="shared" si="1"/>
        <v>3000000000</v>
      </c>
      <c r="L31" s="14">
        <f t="shared" si="1"/>
        <v>1000000000</v>
      </c>
    </row>
    <row r="32" spans="3:14" ht="16" x14ac:dyDescent="0.2">
      <c r="C32" s="4" t="s">
        <v>24</v>
      </c>
      <c r="D32" s="5"/>
      <c r="E32" s="6" t="s">
        <v>16</v>
      </c>
      <c r="F32" s="18" t="s">
        <v>13</v>
      </c>
      <c r="G32" s="15"/>
      <c r="H32" s="15"/>
      <c r="I32" s="15"/>
      <c r="J32" s="15"/>
      <c r="K32" s="15"/>
      <c r="L32" s="15"/>
    </row>
    <row r="33" spans="3:14" ht="16" x14ac:dyDescent="0.2">
      <c r="E33" s="6" t="s">
        <v>18</v>
      </c>
      <c r="F33" s="18" t="s">
        <v>13</v>
      </c>
    </row>
    <row r="34" spans="3:14" ht="16" x14ac:dyDescent="0.2">
      <c r="C34" s="4" t="s">
        <v>31</v>
      </c>
      <c r="D34" s="5"/>
      <c r="E34" s="6" t="s">
        <v>50</v>
      </c>
      <c r="F34" s="18" t="s">
        <v>13</v>
      </c>
      <c r="G34" s="15"/>
      <c r="H34" s="15"/>
      <c r="I34" s="15"/>
      <c r="J34" s="15"/>
      <c r="K34" s="15"/>
      <c r="L34" s="15"/>
    </row>
    <row r="35" spans="3:14" ht="16" x14ac:dyDescent="0.2">
      <c r="C35" s="4" t="s">
        <v>51</v>
      </c>
      <c r="D35" s="5"/>
      <c r="E35" s="6" t="s">
        <v>52</v>
      </c>
      <c r="F35" s="18" t="s">
        <v>21</v>
      </c>
      <c r="G35" s="15"/>
      <c r="H35" s="15"/>
      <c r="I35" s="15"/>
      <c r="J35" s="15"/>
      <c r="K35" s="15"/>
      <c r="L35" s="15"/>
      <c r="M35" t="s">
        <v>33</v>
      </c>
      <c r="N35" t="s">
        <v>17</v>
      </c>
    </row>
  </sheetData>
  <mergeCells count="2">
    <mergeCell ref="C4:L4"/>
    <mergeCell ref="C1:L3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A079-F30C-4A09-96A4-F32797A7B6F3}">
  <dimension ref="B1:P63"/>
  <sheetViews>
    <sheetView topLeftCell="A2" zoomScale="48" zoomScaleNormal="55" workbookViewId="0">
      <selection activeCell="I11" sqref="I11"/>
    </sheetView>
  </sheetViews>
  <sheetFormatPr baseColWidth="10" defaultColWidth="8.83203125" defaultRowHeight="15" x14ac:dyDescent="0.2"/>
  <cols>
    <col min="1" max="1" width="2" customWidth="1"/>
    <col min="2" max="2" width="5.1640625" bestFit="1" customWidth="1"/>
    <col min="3" max="3" width="22" customWidth="1"/>
    <col min="4" max="4" width="19.6640625" customWidth="1"/>
    <col min="5" max="5" width="53.5" bestFit="1" customWidth="1"/>
    <col min="6" max="6" width="27.5" bestFit="1" customWidth="1"/>
    <col min="7" max="7" width="17.6640625" bestFit="1" customWidth="1"/>
    <col min="8" max="8" width="30" bestFit="1" customWidth="1"/>
    <col min="9" max="9" width="17.5" customWidth="1"/>
    <col min="10" max="10" width="20.5" bestFit="1" customWidth="1"/>
    <col min="11" max="11" width="17" customWidth="1"/>
    <col min="12" max="12" width="20.5" bestFit="1" customWidth="1"/>
    <col min="13" max="13" width="21.83203125" bestFit="1" customWidth="1"/>
    <col min="14" max="16" width="9.1640625" bestFit="1" customWidth="1"/>
  </cols>
  <sheetData>
    <row r="1" spans="2:14" ht="36" customHeight="1" x14ac:dyDescent="0.2">
      <c r="C1" s="615" t="s">
        <v>0</v>
      </c>
      <c r="D1" s="615"/>
      <c r="E1" s="615"/>
      <c r="F1" s="615"/>
      <c r="G1" s="615"/>
      <c r="H1" s="615"/>
      <c r="I1" s="615"/>
      <c r="J1" s="615"/>
      <c r="K1" s="615"/>
      <c r="L1" s="615"/>
    </row>
    <row r="2" spans="2:14" x14ac:dyDescent="0.2">
      <c r="C2" s="615"/>
      <c r="D2" s="615"/>
      <c r="E2" s="615"/>
      <c r="F2" s="615"/>
      <c r="G2" s="615"/>
      <c r="H2" s="615"/>
      <c r="I2" s="615"/>
      <c r="J2" s="615"/>
      <c r="K2" s="615"/>
      <c r="L2" s="615"/>
    </row>
    <row r="3" spans="2:14" x14ac:dyDescent="0.2"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2:14" ht="18" customHeight="1" x14ac:dyDescent="0.2">
      <c r="C4" s="613" t="s">
        <v>70</v>
      </c>
      <c r="D4" s="613"/>
      <c r="E4" s="613"/>
      <c r="F4" s="613"/>
      <c r="G4" s="613"/>
      <c r="H4" s="613"/>
      <c r="I4" s="613"/>
      <c r="J4" s="613"/>
      <c r="K4" s="613"/>
      <c r="L4" s="613"/>
    </row>
    <row r="5" spans="2:14" ht="20.25" customHeight="1" x14ac:dyDescent="0.2">
      <c r="C5" s="1"/>
      <c r="D5" s="2" t="s">
        <v>71</v>
      </c>
      <c r="E5" s="2" t="s">
        <v>3</v>
      </c>
      <c r="F5" s="2" t="s">
        <v>4</v>
      </c>
      <c r="G5" s="2" t="s">
        <v>5</v>
      </c>
      <c r="H5" s="2" t="s">
        <v>72</v>
      </c>
      <c r="I5" s="2" t="s">
        <v>5</v>
      </c>
      <c r="J5" s="33" t="s">
        <v>7</v>
      </c>
      <c r="K5" s="2" t="s">
        <v>5</v>
      </c>
      <c r="L5" s="33" t="s">
        <v>8</v>
      </c>
      <c r="M5" s="12" t="s">
        <v>9</v>
      </c>
      <c r="N5" s="12" t="s">
        <v>10</v>
      </c>
    </row>
    <row r="6" spans="2:14" ht="16" x14ac:dyDescent="0.2">
      <c r="B6" t="s">
        <v>139</v>
      </c>
      <c r="C6" s="47" t="s">
        <v>11</v>
      </c>
      <c r="D6" s="50">
        <f>Pivot!C13</f>
        <v>168117780000</v>
      </c>
      <c r="E6" s="43"/>
      <c r="F6" s="44"/>
      <c r="G6" s="45"/>
      <c r="H6" s="49">
        <f>D6</f>
        <v>168117780000</v>
      </c>
      <c r="I6" s="45"/>
      <c r="J6" s="49">
        <f>H6+I7</f>
        <v>170117780000</v>
      </c>
      <c r="K6" s="45"/>
      <c r="L6" s="49">
        <f>J6+K8</f>
        <v>173117780000</v>
      </c>
      <c r="M6" s="46"/>
      <c r="N6" s="46"/>
    </row>
    <row r="7" spans="2:14" ht="16" x14ac:dyDescent="0.2">
      <c r="C7" s="118" t="str">
        <f t="shared" ref="C7:C8" si="0">C6</f>
        <v>[VDS] - Cashloan</v>
      </c>
      <c r="D7" s="5"/>
      <c r="E7" s="6" t="s">
        <v>16</v>
      </c>
      <c r="F7" s="18" t="s">
        <v>13</v>
      </c>
      <c r="G7" s="19"/>
      <c r="H7" s="19"/>
      <c r="I7" s="123">
        <v>2000000000</v>
      </c>
      <c r="J7" s="19"/>
      <c r="K7" s="19"/>
      <c r="L7" s="19"/>
      <c r="M7" t="s">
        <v>14</v>
      </c>
      <c r="N7" t="s">
        <v>17</v>
      </c>
    </row>
    <row r="8" spans="2:14" ht="16" x14ac:dyDescent="0.2">
      <c r="C8" s="119" t="str">
        <f t="shared" si="0"/>
        <v>[VDS] - Cashloan</v>
      </c>
      <c r="D8" s="1"/>
      <c r="E8" s="6" t="s">
        <v>18</v>
      </c>
      <c r="F8" s="18" t="s">
        <v>13</v>
      </c>
      <c r="G8" s="19"/>
      <c r="H8" s="19"/>
      <c r="I8" s="19"/>
      <c r="J8" s="19"/>
      <c r="K8" s="19">
        <v>3000000000</v>
      </c>
      <c r="L8" s="19"/>
      <c r="M8" t="s">
        <v>14</v>
      </c>
      <c r="N8" t="s">
        <v>17</v>
      </c>
    </row>
    <row r="9" spans="2:14" ht="16" x14ac:dyDescent="0.2">
      <c r="B9" t="s">
        <v>139</v>
      </c>
      <c r="C9" s="47" t="s">
        <v>19</v>
      </c>
      <c r="D9" s="50">
        <f>Pivot!C14</f>
        <v>119993292000</v>
      </c>
      <c r="E9" s="54"/>
      <c r="F9" s="52"/>
      <c r="G9" s="55"/>
      <c r="H9" s="49">
        <f>D9</f>
        <v>119993292000</v>
      </c>
      <c r="I9" s="49"/>
      <c r="J9" s="49">
        <f>H9+I11+I10</f>
        <v>140707923461.05261</v>
      </c>
      <c r="K9" s="49"/>
      <c r="L9" s="49">
        <f>J9</f>
        <v>140707923461.05261</v>
      </c>
      <c r="M9" s="53"/>
      <c r="N9" s="53"/>
    </row>
    <row r="10" spans="2:14" ht="16" x14ac:dyDescent="0.2">
      <c r="C10" s="120" t="str">
        <f t="shared" ref="C10:C11" si="1">C9</f>
        <v>[VDS] - Payday</v>
      </c>
      <c r="D10" s="5"/>
      <c r="E10" s="6" t="s">
        <v>93</v>
      </c>
      <c r="F10" s="18" t="s">
        <v>21</v>
      </c>
      <c r="G10" s="20"/>
      <c r="H10" s="19"/>
      <c r="I10" s="48">
        <f>(6/5.7-1)*H9</f>
        <v>6315436421.0526247</v>
      </c>
      <c r="J10" s="19"/>
      <c r="K10" s="19"/>
      <c r="L10" s="19"/>
      <c r="M10" t="s">
        <v>22</v>
      </c>
      <c r="N10" t="s">
        <v>17</v>
      </c>
    </row>
    <row r="11" spans="2:14" ht="16" x14ac:dyDescent="0.2">
      <c r="C11" s="119" t="str">
        <f t="shared" si="1"/>
        <v>[VDS] - Payday</v>
      </c>
      <c r="D11" s="1"/>
      <c r="E11" s="34" t="s">
        <v>73</v>
      </c>
      <c r="F11" s="18" t="s">
        <v>13</v>
      </c>
      <c r="G11" s="19"/>
      <c r="H11" s="19"/>
      <c r="I11" s="19">
        <f>D9*15%*80%</f>
        <v>14399195040</v>
      </c>
      <c r="J11" s="19"/>
      <c r="K11" s="19"/>
      <c r="L11" s="19"/>
      <c r="M11" t="s">
        <v>14</v>
      </c>
      <c r="N11" t="s">
        <v>17</v>
      </c>
    </row>
    <row r="12" spans="2:14" ht="16" x14ac:dyDescent="0.2">
      <c r="B12" t="s">
        <v>152</v>
      </c>
      <c r="C12" s="47" t="s">
        <v>24</v>
      </c>
      <c r="D12" s="50">
        <f>Pivot!C5</f>
        <v>147805250000</v>
      </c>
      <c r="E12" s="51"/>
      <c r="F12" s="52"/>
      <c r="G12" s="49"/>
      <c r="H12" s="49">
        <f>D12+G13</f>
        <v>149805250000</v>
      </c>
      <c r="I12" s="49"/>
      <c r="J12" s="49">
        <f>H12+I14</f>
        <v>151805250000</v>
      </c>
      <c r="K12" s="49"/>
      <c r="L12" s="49">
        <f>J12+K14</f>
        <v>154805250000</v>
      </c>
      <c r="M12" s="53"/>
      <c r="N12" s="53"/>
    </row>
    <row r="13" spans="2:14" ht="16" x14ac:dyDescent="0.2">
      <c r="C13" s="120" t="str">
        <f t="shared" ref="C13:C14" si="2">C12</f>
        <v>[Cake] - Cashloan</v>
      </c>
      <c r="D13" s="5"/>
      <c r="E13" s="34" t="s">
        <v>89</v>
      </c>
      <c r="F13" s="18" t="s">
        <v>21</v>
      </c>
      <c r="G13" s="123">
        <v>2000000000</v>
      </c>
      <c r="H13" s="19"/>
      <c r="I13" s="19"/>
      <c r="J13" s="19">
        <f>H13+I15</f>
        <v>0</v>
      </c>
      <c r="K13" s="19"/>
      <c r="L13" s="19"/>
      <c r="M13" t="s">
        <v>22</v>
      </c>
      <c r="N13" t="s">
        <v>17</v>
      </c>
    </row>
    <row r="14" spans="2:14" ht="16" x14ac:dyDescent="0.2">
      <c r="C14" s="119" t="str">
        <f t="shared" si="2"/>
        <v>[Cake] - Cashloan</v>
      </c>
      <c r="D14" s="1"/>
      <c r="E14" s="6" t="s">
        <v>94</v>
      </c>
      <c r="F14" s="18" t="s">
        <v>13</v>
      </c>
      <c r="G14" s="19"/>
      <c r="H14" s="19"/>
      <c r="I14" s="19">
        <v>2000000000</v>
      </c>
      <c r="J14" s="19"/>
      <c r="K14" s="19">
        <v>3000000000</v>
      </c>
      <c r="L14" s="19"/>
      <c r="M14" t="s">
        <v>14</v>
      </c>
      <c r="N14" t="s">
        <v>17</v>
      </c>
    </row>
    <row r="15" spans="2:14" ht="16" x14ac:dyDescent="0.2">
      <c r="B15" t="s">
        <v>152</v>
      </c>
      <c r="C15" s="47" t="s">
        <v>28</v>
      </c>
      <c r="D15" s="50">
        <f>Pivot!C7</f>
        <v>157621248000</v>
      </c>
      <c r="E15" s="54"/>
      <c r="F15" s="52"/>
      <c r="G15" s="49"/>
      <c r="H15" s="49">
        <f>D15</f>
        <v>157621248000</v>
      </c>
      <c r="I15" s="49"/>
      <c r="J15" s="49">
        <f>H15+I17+I18</f>
        <v>159621248000</v>
      </c>
      <c r="K15" s="49"/>
      <c r="L15" s="49">
        <f>J15</f>
        <v>159621248000</v>
      </c>
      <c r="M15" s="53"/>
      <c r="N15" s="53"/>
    </row>
    <row r="16" spans="2:14" ht="16" x14ac:dyDescent="0.2">
      <c r="C16" s="121" t="str">
        <f t="shared" ref="C16" si="3">C15</f>
        <v>[Cake] - Payday</v>
      </c>
      <c r="D16" s="5"/>
      <c r="E16" s="6" t="s">
        <v>29</v>
      </c>
      <c r="F16" s="18" t="s">
        <v>21</v>
      </c>
      <c r="G16" s="19"/>
      <c r="H16" s="19"/>
      <c r="I16" s="19"/>
      <c r="J16" s="19"/>
      <c r="K16" s="19"/>
      <c r="L16" s="19"/>
      <c r="M16" t="s">
        <v>22</v>
      </c>
      <c r="N16" t="s">
        <v>17</v>
      </c>
    </row>
    <row r="17" spans="2:14" ht="16" hidden="1" x14ac:dyDescent="0.2">
      <c r="C17" s="119"/>
      <c r="D17" s="1"/>
      <c r="E17" s="34"/>
      <c r="F17" s="18"/>
      <c r="G17" s="19"/>
      <c r="H17" s="19"/>
      <c r="I17" s="19"/>
      <c r="J17" s="19"/>
      <c r="K17" s="19"/>
      <c r="L17" s="19"/>
    </row>
    <row r="18" spans="2:14" ht="16" x14ac:dyDescent="0.2">
      <c r="C18" s="121" t="str">
        <f>C15</f>
        <v>[Cake] - Payday</v>
      </c>
      <c r="D18" s="1"/>
      <c r="E18" s="468" t="s">
        <v>298</v>
      </c>
      <c r="F18" s="18" t="s">
        <v>13</v>
      </c>
      <c r="G18" s="19"/>
      <c r="H18" s="19"/>
      <c r="I18" s="123">
        <v>2000000000</v>
      </c>
      <c r="J18" s="19"/>
      <c r="K18" s="19"/>
      <c r="L18" s="19"/>
    </row>
    <row r="19" spans="2:14" ht="16" x14ac:dyDescent="0.2">
      <c r="B19" t="s">
        <v>145</v>
      </c>
      <c r="C19" s="47" t="s">
        <v>31</v>
      </c>
      <c r="D19" s="50">
        <f>Pivot!C21</f>
        <v>60270480000</v>
      </c>
      <c r="E19" s="54"/>
      <c r="F19" s="52"/>
      <c r="G19" s="49"/>
      <c r="H19" s="49">
        <f>D19</f>
        <v>60270480000</v>
      </c>
      <c r="I19" s="49"/>
      <c r="J19" s="49">
        <f>H19+I20+I21</f>
        <v>69880548571.428574</v>
      </c>
      <c r="K19" s="49"/>
      <c r="L19" s="49">
        <f>J19+K21</f>
        <v>70880548571.428574</v>
      </c>
      <c r="M19" s="53"/>
      <c r="N19" s="53"/>
    </row>
    <row r="20" spans="2:14" ht="16" x14ac:dyDescent="0.2">
      <c r="C20" s="119" t="str">
        <f t="shared" ref="C20:C21" si="4">C19</f>
        <v>[ZALOPAY] - Cashloan</v>
      </c>
      <c r="D20" s="1"/>
      <c r="E20" s="34" t="s">
        <v>136</v>
      </c>
      <c r="F20" s="18" t="s">
        <v>21</v>
      </c>
      <c r="G20" s="19"/>
      <c r="H20" s="19"/>
      <c r="I20" s="19">
        <f>(16/14-1)*D19</f>
        <v>8610068571.4285679</v>
      </c>
      <c r="J20" s="19"/>
      <c r="K20" s="19"/>
      <c r="L20" s="19"/>
      <c r="M20" t="s">
        <v>14</v>
      </c>
      <c r="N20" t="s">
        <v>17</v>
      </c>
    </row>
    <row r="21" spans="2:14" ht="16" x14ac:dyDescent="0.2">
      <c r="C21" s="119" t="str">
        <f t="shared" si="4"/>
        <v>[ZALOPAY] - Cashloan</v>
      </c>
      <c r="D21" s="1"/>
      <c r="E21" s="6" t="s">
        <v>34</v>
      </c>
      <c r="F21" s="18" t="s">
        <v>21</v>
      </c>
      <c r="G21" s="19"/>
      <c r="H21" s="19"/>
      <c r="I21" s="19">
        <v>1000000000</v>
      </c>
      <c r="J21" s="19"/>
      <c r="K21" s="19">
        <v>1000000000</v>
      </c>
      <c r="L21" s="19"/>
      <c r="M21" t="s">
        <v>35</v>
      </c>
      <c r="N21" t="s">
        <v>17</v>
      </c>
    </row>
    <row r="22" spans="2:14" ht="16" x14ac:dyDescent="0.2">
      <c r="B22" t="s">
        <v>146</v>
      </c>
      <c r="C22" s="47" t="s">
        <v>36</v>
      </c>
      <c r="D22" s="50">
        <f>Pivot!C9+Pivot!C10</f>
        <v>37938060000</v>
      </c>
      <c r="E22" s="43"/>
      <c r="F22" s="44"/>
      <c r="G22" s="45"/>
      <c r="H22" s="49">
        <f>D22</f>
        <v>37938060000</v>
      </c>
      <c r="I22" s="45"/>
      <c r="J22" s="49">
        <f>H22+I23+I24</f>
        <v>42231866000</v>
      </c>
      <c r="K22" s="45"/>
      <c r="L22" s="49">
        <f>J22</f>
        <v>42231866000</v>
      </c>
      <c r="M22" s="46"/>
      <c r="N22" s="46"/>
    </row>
    <row r="23" spans="2:14" ht="16" x14ac:dyDescent="0.2">
      <c r="C23" s="122" t="str">
        <f t="shared" ref="C23:C24" si="5">C22</f>
        <v>[MWG] - Cashloan</v>
      </c>
      <c r="D23" s="56"/>
      <c r="E23" s="6" t="s">
        <v>38</v>
      </c>
      <c r="F23" s="18" t="s">
        <v>21</v>
      </c>
      <c r="G23" s="19"/>
      <c r="H23" s="19"/>
      <c r="I23" s="19">
        <v>500000000</v>
      </c>
      <c r="J23" s="19"/>
      <c r="K23" s="19"/>
      <c r="L23" s="19"/>
      <c r="M23" t="s">
        <v>33</v>
      </c>
      <c r="N23" t="s">
        <v>17</v>
      </c>
    </row>
    <row r="24" spans="2:14" ht="16" x14ac:dyDescent="0.2">
      <c r="C24" s="119" t="str">
        <f t="shared" si="5"/>
        <v>[MWG] - Cashloan</v>
      </c>
      <c r="D24" s="1"/>
      <c r="E24" s="34" t="s">
        <v>137</v>
      </c>
      <c r="F24" s="18" t="s">
        <v>13</v>
      </c>
      <c r="G24" s="19"/>
      <c r="H24" s="19"/>
      <c r="I24" s="19">
        <f>(55/50-1)*H22</f>
        <v>3793806000.0000033</v>
      </c>
      <c r="J24" s="19"/>
      <c r="K24" s="19"/>
      <c r="L24" s="19"/>
      <c r="M24" t="s">
        <v>33</v>
      </c>
      <c r="N24" t="s">
        <v>17</v>
      </c>
    </row>
    <row r="25" spans="2:14" ht="16" x14ac:dyDescent="0.2">
      <c r="B25" t="s">
        <v>146</v>
      </c>
      <c r="C25" s="47" t="s">
        <v>39</v>
      </c>
      <c r="D25" s="50">
        <f>Pivot!C11</f>
        <v>13217452045</v>
      </c>
      <c r="E25" s="43"/>
      <c r="F25" s="44"/>
      <c r="G25" s="45"/>
      <c r="H25" s="49">
        <f>D25+G26</f>
        <v>13517452045</v>
      </c>
      <c r="I25" s="49"/>
      <c r="J25" s="49">
        <f>H25+I27</f>
        <v>15517452045</v>
      </c>
      <c r="K25" s="45"/>
      <c r="L25" s="49">
        <f>J25+K27</f>
        <v>17517452045</v>
      </c>
      <c r="M25" s="46"/>
      <c r="N25" s="46"/>
    </row>
    <row r="26" spans="2:14" ht="16" x14ac:dyDescent="0.2">
      <c r="C26" s="120" t="str">
        <f t="shared" ref="C26:C27" si="6">C25</f>
        <v>[MWG] - Paylater (QTV)</v>
      </c>
      <c r="D26" s="56"/>
      <c r="E26" s="6" t="s">
        <v>40</v>
      </c>
      <c r="F26" s="18" t="s">
        <v>21</v>
      </c>
      <c r="G26" s="19">
        <v>300000000</v>
      </c>
      <c r="H26" s="19"/>
      <c r="I26" s="20"/>
      <c r="J26" s="19"/>
      <c r="K26" s="19"/>
      <c r="L26" s="19">
        <f>J26+K28</f>
        <v>0</v>
      </c>
      <c r="M26" t="s">
        <v>33</v>
      </c>
      <c r="N26" t="s">
        <v>17</v>
      </c>
    </row>
    <row r="27" spans="2:14" ht="16" x14ac:dyDescent="0.2">
      <c r="C27" s="119" t="str">
        <f t="shared" si="6"/>
        <v>[MWG] - Paylater (QTV)</v>
      </c>
      <c r="D27" s="1"/>
      <c r="E27" s="6" t="s">
        <v>41</v>
      </c>
      <c r="F27" s="18" t="s">
        <v>42</v>
      </c>
      <c r="G27" s="19"/>
      <c r="H27" s="19"/>
      <c r="I27" s="19">
        <v>2000000000</v>
      </c>
      <c r="J27" s="19"/>
      <c r="K27" s="19">
        <v>2000000000</v>
      </c>
      <c r="L27" s="19"/>
      <c r="M27" t="s">
        <v>35</v>
      </c>
      <c r="N27" t="s">
        <v>17</v>
      </c>
    </row>
    <row r="28" spans="2:14" ht="16" x14ac:dyDescent="0.2">
      <c r="B28" t="s">
        <v>147</v>
      </c>
      <c r="C28" s="47" t="s">
        <v>43</v>
      </c>
      <c r="D28" s="50">
        <f>SUM(Pivot!C18:C20)</f>
        <v>18051788374</v>
      </c>
      <c r="E28" s="54" t="s">
        <v>44</v>
      </c>
      <c r="F28" s="52" t="s">
        <v>21</v>
      </c>
      <c r="G28" s="49"/>
      <c r="H28" s="49">
        <f>D28</f>
        <v>18051788374</v>
      </c>
      <c r="I28" s="49">
        <v>700000000</v>
      </c>
      <c r="J28" s="49">
        <f>H28+I28</f>
        <v>18751788374</v>
      </c>
      <c r="K28" s="49"/>
      <c r="L28" s="49">
        <f>J28</f>
        <v>18751788374</v>
      </c>
      <c r="M28" s="57" t="s">
        <v>35</v>
      </c>
      <c r="N28" s="57" t="s">
        <v>17</v>
      </c>
    </row>
    <row r="29" spans="2:14" ht="16" x14ac:dyDescent="0.2">
      <c r="B29" t="s">
        <v>147</v>
      </c>
      <c r="C29" s="47" t="s">
        <v>45</v>
      </c>
      <c r="D29" s="58"/>
      <c r="E29" s="58"/>
      <c r="F29" s="52" t="s">
        <v>42</v>
      </c>
      <c r="G29" s="49"/>
      <c r="H29" s="49"/>
      <c r="I29" s="49">
        <v>700000000</v>
      </c>
      <c r="J29" s="49">
        <f>H29+I29</f>
        <v>700000000</v>
      </c>
      <c r="K29" s="49">
        <v>300000000</v>
      </c>
      <c r="L29" s="49">
        <f>J29+K29</f>
        <v>1000000000</v>
      </c>
      <c r="M29" s="57" t="s">
        <v>35</v>
      </c>
      <c r="N29" s="57" t="s">
        <v>17</v>
      </c>
    </row>
    <row r="30" spans="2:14" ht="16" x14ac:dyDescent="0.2">
      <c r="B30" t="s">
        <v>148</v>
      </c>
      <c r="C30" s="59" t="s">
        <v>46</v>
      </c>
      <c r="D30" s="56">
        <f>Pivot!C22-SUM('Road to 3k v2'!D6:D28)</f>
        <v>-723015350419</v>
      </c>
      <c r="E30" s="1"/>
      <c r="G30" s="19"/>
      <c r="H30" s="19">
        <f>D30</f>
        <v>-723015350419</v>
      </c>
      <c r="I30" s="19"/>
      <c r="J30" s="19">
        <f>H30</f>
        <v>-723015350419</v>
      </c>
      <c r="K30" s="19"/>
      <c r="L30" s="19">
        <f>J30</f>
        <v>-723015350419</v>
      </c>
    </row>
    <row r="31" spans="2:14" ht="16" x14ac:dyDescent="0.2">
      <c r="C31" s="8" t="s">
        <v>47</v>
      </c>
      <c r="D31" s="9">
        <f>Pivot!C22</f>
        <v>0</v>
      </c>
      <c r="E31" s="1"/>
      <c r="G31" s="17">
        <f t="shared" ref="G31:L31" si="7">SUM(G6:G30)</f>
        <v>2300000000</v>
      </c>
      <c r="H31" s="17">
        <f t="shared" si="7"/>
        <v>2300000000</v>
      </c>
      <c r="I31" s="17">
        <f t="shared" si="7"/>
        <v>44018506032.481194</v>
      </c>
      <c r="J31" s="17">
        <f t="shared" si="7"/>
        <v>46318506032.481201</v>
      </c>
      <c r="K31" s="17">
        <f t="shared" si="7"/>
        <v>9300000000</v>
      </c>
      <c r="L31" s="17">
        <f t="shared" si="7"/>
        <v>55618506032.481201</v>
      </c>
    </row>
    <row r="32" spans="2:14" ht="16" x14ac:dyDescent="0.2">
      <c r="C32" s="10" t="s">
        <v>48</v>
      </c>
      <c r="D32" s="1"/>
      <c r="E32" s="1"/>
      <c r="G32" s="20"/>
      <c r="H32" s="17">
        <f>H31*30</f>
        <v>69000000000</v>
      </c>
      <c r="I32" s="60"/>
      <c r="J32" s="17">
        <f>J31*31</f>
        <v>1435873687006.9172</v>
      </c>
      <c r="K32" s="20"/>
      <c r="L32" s="17">
        <f>L31*30</f>
        <v>1668555180974.436</v>
      </c>
    </row>
    <row r="33" spans="3:16" ht="16" x14ac:dyDescent="0.2">
      <c r="C33" s="11" t="s">
        <v>49</v>
      </c>
      <c r="D33" s="1"/>
      <c r="E33" s="11"/>
      <c r="F33" s="11"/>
      <c r="G33" s="212">
        <f>H32-D34</f>
        <v>69000000000</v>
      </c>
      <c r="H33" s="212">
        <f>G33/11</f>
        <v>6272727272.727273</v>
      </c>
      <c r="I33" s="1"/>
      <c r="J33" s="1"/>
      <c r="K33" s="1"/>
      <c r="L33" s="1"/>
    </row>
    <row r="34" spans="3:16" x14ac:dyDescent="0.2">
      <c r="D34" s="65">
        <f>D31*30</f>
        <v>0</v>
      </c>
      <c r="E34" s="65">
        <f>(D31*19)+(D31+G31)*11</f>
        <v>25300000000</v>
      </c>
      <c r="G34" s="14">
        <f>(D31*19)+(G31+D31)*11</f>
        <v>25300000000</v>
      </c>
    </row>
    <row r="35" spans="3:16" ht="21" customHeight="1" x14ac:dyDescent="0.2">
      <c r="G35" s="63" t="s">
        <v>138</v>
      </c>
      <c r="H35" s="63" t="s">
        <v>140</v>
      </c>
      <c r="I35" s="63" t="s">
        <v>142</v>
      </c>
      <c r="J35" s="63" t="s">
        <v>141</v>
      </c>
      <c r="K35" s="63" t="s">
        <v>143</v>
      </c>
      <c r="M35" s="224" t="s">
        <v>140</v>
      </c>
      <c r="N35" s="225" t="s">
        <v>142</v>
      </c>
      <c r="O35" s="225" t="s">
        <v>141</v>
      </c>
      <c r="P35" s="226" t="s">
        <v>143</v>
      </c>
    </row>
    <row r="36" spans="3:16" x14ac:dyDescent="0.2">
      <c r="G36" s="61"/>
      <c r="H36" s="61" t="s">
        <v>139</v>
      </c>
      <c r="I36" s="62">
        <v>27</v>
      </c>
      <c r="J36" s="62">
        <v>35</v>
      </c>
      <c r="K36" s="62">
        <v>40</v>
      </c>
      <c r="M36" s="217" t="s">
        <v>139</v>
      </c>
      <c r="N36" s="218">
        <f>SUM('waterfall 3k'!E5:E6)/1000000000</f>
        <v>0</v>
      </c>
      <c r="O36" s="219">
        <f>SUM('waterfall 3k'!G5:G6)/1000000000</f>
        <v>30.087646438596494</v>
      </c>
      <c r="P36" s="220">
        <f>SUM('waterfall 3k'!I5:I6)/1000000000</f>
        <v>30.087646438596494</v>
      </c>
    </row>
    <row r="37" spans="3:16" x14ac:dyDescent="0.2">
      <c r="G37" s="61"/>
      <c r="H37" s="61" t="s">
        <v>144</v>
      </c>
      <c r="I37" s="62">
        <v>35</v>
      </c>
      <c r="J37" s="62">
        <v>37</v>
      </c>
      <c r="K37" s="62">
        <v>40</v>
      </c>
      <c r="M37" s="215" t="s">
        <v>144</v>
      </c>
      <c r="N37" s="214">
        <f>SUM('waterfall 3k'!E7:E8)/1000000000</f>
        <v>0</v>
      </c>
      <c r="O37" s="214">
        <f>SUM('waterfall 3k'!G7:G8)/1000000000</f>
        <v>40.554051313333339</v>
      </c>
      <c r="P37" s="216">
        <f>SUM('waterfall 3k'!I7:I8)/1000000000</f>
        <v>40.554051313333339</v>
      </c>
    </row>
    <row r="38" spans="3:16" x14ac:dyDescent="0.2">
      <c r="G38" s="61"/>
      <c r="H38" s="61" t="s">
        <v>145</v>
      </c>
      <c r="I38" s="62">
        <v>6</v>
      </c>
      <c r="J38" s="62">
        <v>8</v>
      </c>
      <c r="K38" s="62">
        <v>10</v>
      </c>
      <c r="M38" s="215" t="s">
        <v>145</v>
      </c>
      <c r="N38" s="214">
        <f>'waterfall 3k'!E9/1000000000</f>
        <v>0</v>
      </c>
      <c r="O38" s="214">
        <f>'waterfall 3k'!G9/1000000000</f>
        <v>7.7270828571428565</v>
      </c>
      <c r="P38" s="216">
        <f>'waterfall 3k'!I9/1000000000</f>
        <v>9.7270828571428574</v>
      </c>
    </row>
    <row r="39" spans="3:16" x14ac:dyDescent="0.2">
      <c r="G39" s="61"/>
      <c r="H39" s="61" t="s">
        <v>146</v>
      </c>
      <c r="I39" s="62">
        <v>5</v>
      </c>
      <c r="J39" s="62">
        <v>8</v>
      </c>
      <c r="K39" s="62">
        <v>10</v>
      </c>
      <c r="M39" s="215" t="s">
        <v>146</v>
      </c>
      <c r="N39" s="214">
        <f>SUM('waterfall 3k'!E10:E11)/1000000000</f>
        <v>0</v>
      </c>
      <c r="O39" s="214">
        <f>SUM('waterfall 3k'!G10:G11)/1000000000</f>
        <v>8.3381256041666667</v>
      </c>
      <c r="P39" s="216">
        <f>SUM('waterfall 3k'!I10:I11)/1000000000</f>
        <v>10.338125604166668</v>
      </c>
    </row>
    <row r="40" spans="3:16" x14ac:dyDescent="0.2">
      <c r="G40" s="61"/>
      <c r="H40" s="61" t="s">
        <v>147</v>
      </c>
      <c r="I40" s="62"/>
      <c r="J40" s="62">
        <v>1</v>
      </c>
      <c r="K40" s="62">
        <v>1</v>
      </c>
      <c r="M40" s="215" t="s">
        <v>43</v>
      </c>
      <c r="N40" s="214">
        <f>'waterfall 3k'!E12/1000000000</f>
        <v>0</v>
      </c>
      <c r="O40" s="214">
        <f>'waterfall 3k'!G12/1000000000</f>
        <v>2.2158571462666665</v>
      </c>
      <c r="P40" s="216">
        <f>'waterfall 3k'!I12/1000000000</f>
        <v>2.2158571462666665</v>
      </c>
    </row>
    <row r="41" spans="3:16" x14ac:dyDescent="0.2">
      <c r="G41" s="61"/>
      <c r="H41" s="61" t="s">
        <v>148</v>
      </c>
      <c r="I41" s="62">
        <v>5</v>
      </c>
      <c r="J41" s="62">
        <v>5</v>
      </c>
      <c r="K41" s="62">
        <v>5</v>
      </c>
      <c r="M41" s="215" t="s">
        <v>147</v>
      </c>
      <c r="N41" s="214">
        <f>'waterfall 3k'!E13/1000000000</f>
        <v>0</v>
      </c>
      <c r="O41" s="214">
        <f>'waterfall 3k'!G13/1000000000</f>
        <v>0.7</v>
      </c>
      <c r="P41" s="216">
        <f>'waterfall 3k'!I13/1000000000</f>
        <v>1</v>
      </c>
    </row>
    <row r="42" spans="3:16" x14ac:dyDescent="0.2">
      <c r="G42" s="61"/>
      <c r="H42" s="63" t="s">
        <v>149</v>
      </c>
      <c r="I42" s="64">
        <f>SUM(I36:I41)</f>
        <v>78</v>
      </c>
      <c r="J42" s="64">
        <f>SUM(J36:J41)</f>
        <v>94</v>
      </c>
      <c r="K42" s="64">
        <f>SUM(K36:K41)</f>
        <v>106</v>
      </c>
      <c r="M42" s="215" t="s">
        <v>148</v>
      </c>
      <c r="N42" s="214">
        <f>'waterfall 3k'!E14/1000000000</f>
        <v>0</v>
      </c>
      <c r="O42" s="214">
        <f>'waterfall 3k'!G14/1000000000</f>
        <v>3.815496727066658</v>
      </c>
      <c r="P42" s="216">
        <f>'waterfall 3k'!I14/1000000000</f>
        <v>3.815496727066658</v>
      </c>
    </row>
    <row r="43" spans="3:16" x14ac:dyDescent="0.2">
      <c r="G43" s="61"/>
      <c r="H43" s="63" t="s">
        <v>150</v>
      </c>
      <c r="I43" s="64">
        <f>I42*30</f>
        <v>2340</v>
      </c>
      <c r="J43" s="64">
        <f>J42*31</f>
        <v>2914</v>
      </c>
      <c r="K43" s="64">
        <f>K42*30</f>
        <v>3180</v>
      </c>
      <c r="M43" s="227" t="s">
        <v>149</v>
      </c>
      <c r="N43" s="228">
        <f>SUM(N36:N42)</f>
        <v>0</v>
      </c>
      <c r="O43" s="228">
        <f t="shared" ref="O43:P43" si="8">SUM(O36:O42)</f>
        <v>93.438260086572683</v>
      </c>
      <c r="P43" s="229">
        <f t="shared" si="8"/>
        <v>97.73826008657268</v>
      </c>
    </row>
    <row r="44" spans="3:16" x14ac:dyDescent="0.2">
      <c r="G44" s="61"/>
      <c r="H44" s="63"/>
      <c r="I44" s="64"/>
      <c r="J44" s="64"/>
      <c r="K44" s="64"/>
      <c r="M44" s="230" t="s">
        <v>249</v>
      </c>
      <c r="N44" s="231">
        <f>N43*30</f>
        <v>0</v>
      </c>
      <c r="O44" s="231">
        <f>O43*31</f>
        <v>2896.586062683753</v>
      </c>
      <c r="P44" s="232">
        <f t="shared" ref="P44" si="9">P43*30</f>
        <v>2932.1478025971805</v>
      </c>
    </row>
    <row r="45" spans="3:16" ht="22.5" customHeight="1" x14ac:dyDescent="0.2">
      <c r="G45" s="63" t="s">
        <v>151</v>
      </c>
      <c r="H45" s="224" t="s">
        <v>247</v>
      </c>
      <c r="I45" s="225" t="s">
        <v>142</v>
      </c>
      <c r="J45" s="225" t="s">
        <v>141</v>
      </c>
      <c r="K45" s="226" t="s">
        <v>143</v>
      </c>
    </row>
    <row r="46" spans="3:16" x14ac:dyDescent="0.2">
      <c r="G46" s="61"/>
      <c r="H46" s="217" t="s">
        <v>13</v>
      </c>
      <c r="I46" s="218">
        <f>SUMIFS($G$6:$G$29,$F$6:$F$29,$H46)/10^9</f>
        <v>0</v>
      </c>
      <c r="J46" s="219">
        <f>SUMIFS($I$6:$I$29,$F$6:$F$29,$H46)/10^9</f>
        <v>24.193001040000002</v>
      </c>
      <c r="K46" s="220">
        <f>SUMIFS($K$6:$K$29,$F$6:$F$29,$H46)/10^9</f>
        <v>6</v>
      </c>
    </row>
    <row r="47" spans="3:16" x14ac:dyDescent="0.2">
      <c r="G47" s="61"/>
      <c r="H47" s="215" t="s">
        <v>21</v>
      </c>
      <c r="I47" s="214">
        <f>SUMIFS($G$6:$G$29,$F$6:$F$29,$H47)/10^9</f>
        <v>2.2999999999999998</v>
      </c>
      <c r="J47" s="214">
        <f>SUMIFS($I$6:$I$29,$F$6:$F$29,$H47)/10^9</f>
        <v>17.125504992481194</v>
      </c>
      <c r="K47" s="216">
        <f>SUMIFS($K$6:$K$29,$F$6:$F$29,$H47)/10^9</f>
        <v>1</v>
      </c>
    </row>
    <row r="48" spans="3:16" x14ac:dyDescent="0.2">
      <c r="G48" s="61"/>
      <c r="H48" s="215" t="s">
        <v>42</v>
      </c>
      <c r="I48" s="213">
        <f>SUMIFS($G$6:$G$29,$F$6:$F$29,$H48)/10^9</f>
        <v>0</v>
      </c>
      <c r="J48" s="214">
        <f>SUMIFS($I$6:$I$29,$F$6:$F$29,$H48)/10^9</f>
        <v>2.7</v>
      </c>
      <c r="K48" s="216">
        <f>SUMIFS($K$6:$K$29,$F$6:$F$29,$H48)/10^9</f>
        <v>2.2999999999999998</v>
      </c>
    </row>
    <row r="49" spans="7:11" ht="19" customHeight="1" x14ac:dyDescent="0.2">
      <c r="H49" s="223" t="s">
        <v>248</v>
      </c>
      <c r="I49" s="221">
        <f>SUM(I46:I48)</f>
        <v>2.2999999999999998</v>
      </c>
      <c r="J49" s="221">
        <f t="shared" ref="J49:K49" si="10">SUM(J46:J48)</f>
        <v>44.018506032481199</v>
      </c>
      <c r="K49" s="222">
        <f t="shared" si="10"/>
        <v>9.3000000000000007</v>
      </c>
    </row>
    <row r="50" spans="7:11" x14ac:dyDescent="0.2">
      <c r="I50" s="126"/>
    </row>
    <row r="52" spans="7:11" x14ac:dyDescent="0.2">
      <c r="G52" s="63" t="s">
        <v>138</v>
      </c>
      <c r="H52" s="63" t="s">
        <v>140</v>
      </c>
      <c r="I52" s="63" t="s">
        <v>142</v>
      </c>
      <c r="J52" s="63" t="s">
        <v>141</v>
      </c>
      <c r="K52" s="63" t="s">
        <v>143</v>
      </c>
    </row>
    <row r="53" spans="7:11" x14ac:dyDescent="0.2">
      <c r="G53" s="61"/>
      <c r="H53" s="61" t="s">
        <v>139</v>
      </c>
      <c r="I53" s="62">
        <f t="shared" ref="I53:I58" si="11">SUMIFS($H$6:$H$30,$B$6:$B$30,$H53)/10^9</f>
        <v>288.11107199999998</v>
      </c>
      <c r="J53" s="62">
        <f t="shared" ref="J53:J58" si="12">SUMIFS($J$6:$J$30,$B$6:$B$30,$H53)/10^9</f>
        <v>310.82570346105263</v>
      </c>
      <c r="K53" s="62">
        <f t="shared" ref="K53:K58" si="13">SUMIFS($L$6:$L$30,$B$6:$B$30,$H53)/10^9</f>
        <v>313.82570346105263</v>
      </c>
    </row>
    <row r="54" spans="7:11" x14ac:dyDescent="0.2">
      <c r="G54" s="61"/>
      <c r="H54" s="61" t="s">
        <v>144</v>
      </c>
      <c r="I54" s="62">
        <f t="shared" si="11"/>
        <v>307.42649799999998</v>
      </c>
      <c r="J54" s="62">
        <f t="shared" si="12"/>
        <v>311.42649799999998</v>
      </c>
      <c r="K54" s="62">
        <f t="shared" si="13"/>
        <v>314.42649799999998</v>
      </c>
    </row>
    <row r="55" spans="7:11" x14ac:dyDescent="0.2">
      <c r="G55" s="61"/>
      <c r="H55" s="61" t="s">
        <v>145</v>
      </c>
      <c r="I55" s="62">
        <f t="shared" si="11"/>
        <v>60.270479999999999</v>
      </c>
      <c r="J55" s="62">
        <f t="shared" si="12"/>
        <v>69.880548571428577</v>
      </c>
      <c r="K55" s="62">
        <f t="shared" si="13"/>
        <v>70.880548571428577</v>
      </c>
    </row>
    <row r="56" spans="7:11" x14ac:dyDescent="0.2">
      <c r="G56" s="61"/>
      <c r="H56" s="61" t="s">
        <v>146</v>
      </c>
      <c r="I56" s="62">
        <f t="shared" si="11"/>
        <v>51.455512044999999</v>
      </c>
      <c r="J56" s="62">
        <f t="shared" si="12"/>
        <v>57.749318045000003</v>
      </c>
      <c r="K56" s="62">
        <f t="shared" si="13"/>
        <v>59.749318045000003</v>
      </c>
    </row>
    <row r="57" spans="7:11" x14ac:dyDescent="0.2">
      <c r="G57" s="61"/>
      <c r="H57" s="61" t="s">
        <v>147</v>
      </c>
      <c r="I57" s="62">
        <f t="shared" si="11"/>
        <v>18.051788374000001</v>
      </c>
      <c r="J57" s="62">
        <f t="shared" si="12"/>
        <v>19.451788373999999</v>
      </c>
      <c r="K57" s="62">
        <f t="shared" si="13"/>
        <v>19.751788374</v>
      </c>
    </row>
    <row r="58" spans="7:11" x14ac:dyDescent="0.2">
      <c r="G58" s="61"/>
      <c r="H58" s="61" t="s">
        <v>148</v>
      </c>
      <c r="I58" s="62">
        <f t="shared" si="11"/>
        <v>-723.01535041900001</v>
      </c>
      <c r="J58" s="62">
        <f t="shared" si="12"/>
        <v>-723.01535041900001</v>
      </c>
      <c r="K58" s="62">
        <f t="shared" si="13"/>
        <v>-723.01535041900001</v>
      </c>
    </row>
    <row r="59" spans="7:11" x14ac:dyDescent="0.2">
      <c r="G59" s="61"/>
      <c r="H59" s="63" t="s">
        <v>149</v>
      </c>
      <c r="I59" s="66">
        <f>SUM(I53:I58)</f>
        <v>2.2999999999999545</v>
      </c>
      <c r="J59" s="67">
        <f>SUM(J53:J58)</f>
        <v>46.318506032481196</v>
      </c>
      <c r="K59" s="64">
        <f>SUM(K53:K58)</f>
        <v>55.618506032481264</v>
      </c>
    </row>
    <row r="60" spans="7:11" x14ac:dyDescent="0.2">
      <c r="G60" s="61"/>
      <c r="H60" s="63" t="s">
        <v>150</v>
      </c>
      <c r="I60" s="64">
        <f>I59*30</f>
        <v>68.999999999998636</v>
      </c>
      <c r="J60" s="64">
        <f>J59*31</f>
        <v>1435.873687006917</v>
      </c>
      <c r="K60" s="64">
        <f>K59*30</f>
        <v>1668.5551809744379</v>
      </c>
    </row>
    <row r="61" spans="7:11" x14ac:dyDescent="0.2">
      <c r="I61" s="32">
        <f>I60-H32/1000000000</f>
        <v>-1.3642420526593924E-12</v>
      </c>
      <c r="J61" s="32">
        <f>J60-J32/1000000000</f>
        <v>0</v>
      </c>
      <c r="K61" s="32">
        <f>K60-L32/1000000000</f>
        <v>1.8189894035458565E-12</v>
      </c>
    </row>
    <row r="63" spans="7:11" x14ac:dyDescent="0.2">
      <c r="J63" s="68"/>
    </row>
  </sheetData>
  <mergeCells count="2">
    <mergeCell ref="C1:L3"/>
    <mergeCell ref="C4:L4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1710-598F-4B7A-A03D-D1012AC970AD}">
  <sheetPr>
    <tabColor rgb="FFFF3399"/>
  </sheetPr>
  <dimension ref="B1:Q65"/>
  <sheetViews>
    <sheetView showGridLines="0" tabSelected="1" zoomScale="48" zoomScaleNormal="55" workbookViewId="0">
      <selection activeCell="F38" sqref="F38"/>
    </sheetView>
  </sheetViews>
  <sheetFormatPr baseColWidth="10" defaultColWidth="8.83203125" defaultRowHeight="15" x14ac:dyDescent="0.2"/>
  <cols>
    <col min="1" max="1" width="2" customWidth="1"/>
    <col min="2" max="2" width="5.1640625" bestFit="1" customWidth="1"/>
    <col min="3" max="3" width="23.33203125" customWidth="1"/>
    <col min="4" max="4" width="23.33203125" bestFit="1" customWidth="1"/>
    <col min="5" max="5" width="53.1640625" customWidth="1"/>
    <col min="6" max="6" width="28.83203125" customWidth="1"/>
    <col min="7" max="7" width="17.6640625" hidden="1" customWidth="1"/>
    <col min="8" max="8" width="23.5" customWidth="1"/>
    <col min="9" max="9" width="32.6640625" customWidth="1"/>
    <col min="10" max="10" width="20.1640625" bestFit="1" customWidth="1"/>
    <col min="11" max="11" width="16" bestFit="1" customWidth="1"/>
    <col min="12" max="12" width="25.6640625" customWidth="1"/>
    <col min="13" max="13" width="16" customWidth="1"/>
    <col min="14" max="14" width="44.83203125" customWidth="1"/>
    <col min="15" max="15" width="7.1640625" bestFit="1" customWidth="1"/>
    <col min="16" max="16" width="16.6640625" bestFit="1" customWidth="1"/>
    <col min="17" max="17" width="11.6640625" bestFit="1" customWidth="1"/>
  </cols>
  <sheetData>
    <row r="1" spans="2:16" ht="36" customHeight="1" x14ac:dyDescent="0.2">
      <c r="C1" s="615" t="s">
        <v>0</v>
      </c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</row>
    <row r="2" spans="2:16" x14ac:dyDescent="0.2"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</row>
    <row r="3" spans="2:16" x14ac:dyDescent="0.2"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</row>
    <row r="4" spans="2:16" ht="18" customHeight="1" x14ac:dyDescent="0.2">
      <c r="C4" s="613" t="s">
        <v>70</v>
      </c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</row>
    <row r="5" spans="2:16" ht="20.25" customHeight="1" x14ac:dyDescent="0.2">
      <c r="D5" s="478" t="s">
        <v>326</v>
      </c>
      <c r="E5" s="504" t="s">
        <v>3</v>
      </c>
      <c r="F5" s="499" t="s">
        <v>4</v>
      </c>
      <c r="G5" s="491" t="s">
        <v>5</v>
      </c>
      <c r="H5" s="582" t="s">
        <v>6</v>
      </c>
      <c r="I5" s="491" t="s">
        <v>5</v>
      </c>
      <c r="J5" s="499" t="s">
        <v>7</v>
      </c>
      <c r="K5" s="491" t="s">
        <v>5</v>
      </c>
      <c r="L5" s="499" t="s">
        <v>8</v>
      </c>
      <c r="M5" s="499" t="s">
        <v>9</v>
      </c>
      <c r="N5" s="492" t="s">
        <v>10</v>
      </c>
    </row>
    <row r="6" spans="2:16" ht="16" x14ac:dyDescent="0.2">
      <c r="B6" t="s">
        <v>139</v>
      </c>
      <c r="C6" s="598" t="s">
        <v>11</v>
      </c>
      <c r="D6" s="485">
        <f>168117780000/10</f>
        <v>16811778000</v>
      </c>
      <c r="E6" s="517"/>
      <c r="F6" s="523"/>
      <c r="G6" s="486"/>
      <c r="H6" s="500">
        <f>GETPIVOTDATA("Total",Pivot!$A$2,"lending_product_transform",'Road to 3k v2 (2)'!$C6)/30</f>
        <v>16402516333.333334</v>
      </c>
      <c r="I6" s="486"/>
      <c r="J6" s="500">
        <f>H6+I7</f>
        <v>18402516333.333336</v>
      </c>
      <c r="K6" s="486"/>
      <c r="L6" s="500">
        <f>J6+K7</f>
        <v>18402516333.333336</v>
      </c>
      <c r="M6" s="531"/>
      <c r="N6" s="532"/>
      <c r="P6" s="14"/>
    </row>
    <row r="7" spans="2:16" ht="16" x14ac:dyDescent="0.2">
      <c r="C7" s="599" t="str">
        <f t="shared" ref="C7" si="0">C6</f>
        <v>[VDS] - Cashloan</v>
      </c>
      <c r="D7" s="479"/>
      <c r="E7" s="527" t="s">
        <v>316</v>
      </c>
      <c r="F7" s="541" t="s">
        <v>13</v>
      </c>
      <c r="G7" s="19"/>
      <c r="H7" s="501"/>
      <c r="I7" s="480">
        <v>2000000000</v>
      </c>
      <c r="J7" s="501"/>
      <c r="K7" s="19"/>
      <c r="L7" s="501"/>
      <c r="M7" s="533" t="s">
        <v>14</v>
      </c>
      <c r="N7" s="534" t="s">
        <v>317</v>
      </c>
    </row>
    <row r="8" spans="2:16" ht="16" x14ac:dyDescent="0.2">
      <c r="B8" t="s">
        <v>139</v>
      </c>
      <c r="C8" s="598" t="s">
        <v>19</v>
      </c>
      <c r="D8" s="485">
        <f>Pivot!C14/10</f>
        <v>11999329200</v>
      </c>
      <c r="E8" s="520"/>
      <c r="F8" s="543"/>
      <c r="G8" s="484"/>
      <c r="H8" s="500">
        <f>GETPIVOTDATA("Total",Pivot!$A$2,"lending_product_transform",'Road to 3k v2 (2)'!$C8)/30</f>
        <v>11100873600</v>
      </c>
      <c r="I8" s="487"/>
      <c r="J8" s="500">
        <f>H8+I10+I9</f>
        <v>11685130105.263157</v>
      </c>
      <c r="K8" s="487"/>
      <c r="L8" s="500">
        <f>J8</f>
        <v>11685130105.263157</v>
      </c>
      <c r="M8" s="537"/>
      <c r="N8" s="538"/>
    </row>
    <row r="9" spans="2:16" ht="16" x14ac:dyDescent="0.2">
      <c r="C9" s="600" t="str">
        <f t="shared" ref="C9:C10" si="1">C8</f>
        <v>[VDS] - Payday</v>
      </c>
      <c r="D9" s="479"/>
      <c r="E9" s="518" t="s">
        <v>93</v>
      </c>
      <c r="F9" s="541" t="s">
        <v>21</v>
      </c>
      <c r="G9" s="20"/>
      <c r="H9" s="501"/>
      <c r="I9" s="48">
        <f>(6/5.7-1)*H8</f>
        <v>584256505.26315725</v>
      </c>
      <c r="J9" s="501"/>
      <c r="K9" s="19"/>
      <c r="L9" s="501"/>
      <c r="M9" s="533" t="s">
        <v>22</v>
      </c>
      <c r="N9" s="534" t="s">
        <v>329</v>
      </c>
    </row>
    <row r="10" spans="2:16" ht="16" x14ac:dyDescent="0.2">
      <c r="C10" s="601" t="str">
        <f t="shared" si="1"/>
        <v>[VDS] - Payday</v>
      </c>
      <c r="D10" s="488"/>
      <c r="E10" s="525" t="s">
        <v>73</v>
      </c>
      <c r="F10" s="542" t="s">
        <v>13</v>
      </c>
      <c r="G10" s="489"/>
      <c r="H10" s="502"/>
      <c r="I10" s="489"/>
      <c r="J10" s="502"/>
      <c r="K10" s="489"/>
      <c r="L10" s="502"/>
      <c r="M10" s="535" t="s">
        <v>14</v>
      </c>
      <c r="N10" s="536" t="s">
        <v>315</v>
      </c>
    </row>
    <row r="11" spans="2:16" ht="16" x14ac:dyDescent="0.2">
      <c r="B11" t="s">
        <v>152</v>
      </c>
      <c r="C11" s="598" t="s">
        <v>24</v>
      </c>
      <c r="D11" s="485">
        <f>Pivot!C5/10</f>
        <v>14780525000</v>
      </c>
      <c r="E11" s="526"/>
      <c r="F11" s="543"/>
      <c r="G11" s="487"/>
      <c r="H11" s="500">
        <f>GETPIVOTDATA("Total",Pivot!$A$2,"lending_product_transform",'Road to 3k v2 (2)'!$C11)/30</f>
        <v>14795032333.333334</v>
      </c>
      <c r="I11" s="487"/>
      <c r="J11" s="500">
        <f>H11+I13+I12</f>
        <v>22233542033.333336</v>
      </c>
      <c r="K11" s="487"/>
      <c r="L11" s="500">
        <f>J11+K13</f>
        <v>22233542033.333336</v>
      </c>
      <c r="M11" s="537"/>
      <c r="N11" s="538"/>
    </row>
    <row r="12" spans="2:16" ht="16" x14ac:dyDescent="0.2">
      <c r="C12" s="600" t="str">
        <f t="shared" ref="C12:C13" si="2">C11</f>
        <v>[Cake] - Cashloan</v>
      </c>
      <c r="D12" s="479"/>
      <c r="E12" s="527" t="s">
        <v>323</v>
      </c>
      <c r="F12" s="541" t="s">
        <v>21</v>
      </c>
      <c r="H12" s="501"/>
      <c r="I12" s="530">
        <f>H11*30%</f>
        <v>4438509700</v>
      </c>
      <c r="J12" s="501">
        <f>H12+I14</f>
        <v>0</v>
      </c>
      <c r="K12" s="19"/>
      <c r="L12" s="501"/>
      <c r="M12" s="533" t="s">
        <v>22</v>
      </c>
      <c r="N12" s="534" t="s">
        <v>17</v>
      </c>
    </row>
    <row r="13" spans="2:16" ht="16" x14ac:dyDescent="0.2">
      <c r="C13" s="601" t="str">
        <f t="shared" si="2"/>
        <v>[Cake] - Cashloan</v>
      </c>
      <c r="D13" s="488"/>
      <c r="E13" s="525" t="s">
        <v>316</v>
      </c>
      <c r="F13" s="542" t="s">
        <v>13</v>
      </c>
      <c r="G13" s="489"/>
      <c r="H13" s="502"/>
      <c r="I13" s="490">
        <v>3000000000</v>
      </c>
      <c r="J13" s="502"/>
      <c r="K13" s="489"/>
      <c r="L13" s="502"/>
      <c r="M13" s="535" t="s">
        <v>14</v>
      </c>
      <c r="N13" s="536" t="s">
        <v>317</v>
      </c>
      <c r="P13" s="68">
        <f>SUM(I12:I13)</f>
        <v>7438509700</v>
      </c>
    </row>
    <row r="14" spans="2:16" ht="16" x14ac:dyDescent="0.2">
      <c r="B14" t="s">
        <v>152</v>
      </c>
      <c r="C14" s="598" t="s">
        <v>28</v>
      </c>
      <c r="D14" s="485">
        <f>Pivot!C7/10</f>
        <v>15762124800</v>
      </c>
      <c r="E14" s="520"/>
      <c r="F14" s="543"/>
      <c r="G14" s="487"/>
      <c r="H14" s="500">
        <f>GETPIVOTDATA("Total",Pivot!$A$2,"lending_product_transform",'Road to 3k v2 (2)'!$C14)/30</f>
        <v>14191747200</v>
      </c>
      <c r="I14" s="487"/>
      <c r="J14" s="500">
        <f>H14+I17+I15</f>
        <v>18320509280</v>
      </c>
      <c r="K14" s="487"/>
      <c r="L14" s="500">
        <f>J14</f>
        <v>18320509280</v>
      </c>
      <c r="M14" s="537"/>
      <c r="N14" s="538"/>
    </row>
    <row r="15" spans="2:16" ht="16" x14ac:dyDescent="0.2">
      <c r="C15" s="602" t="str">
        <f t="shared" ref="C15" si="3">C14</f>
        <v>[Cake] - Payday</v>
      </c>
      <c r="D15" s="479"/>
      <c r="E15" s="527" t="s">
        <v>322</v>
      </c>
      <c r="F15" s="541" t="s">
        <v>21</v>
      </c>
      <c r="G15" s="19"/>
      <c r="H15" s="501"/>
      <c r="I15" s="19">
        <f>H14*15%</f>
        <v>2128762080</v>
      </c>
      <c r="J15" s="501"/>
      <c r="K15" s="19"/>
      <c r="L15" s="501"/>
      <c r="M15" s="533" t="s">
        <v>22</v>
      </c>
      <c r="N15" s="534" t="s">
        <v>317</v>
      </c>
      <c r="P15" s="14">
        <f>SUM(I15:I17)</f>
        <v>4128762080</v>
      </c>
    </row>
    <row r="16" spans="2:16" ht="16" hidden="1" x14ac:dyDescent="0.2">
      <c r="C16" s="603"/>
      <c r="E16" s="527"/>
      <c r="F16" s="541"/>
      <c r="G16" s="19"/>
      <c r="H16" s="501"/>
      <c r="I16" s="19"/>
      <c r="J16" s="501"/>
      <c r="K16" s="19"/>
      <c r="L16" s="501"/>
      <c r="M16" s="533"/>
      <c r="N16" s="534"/>
    </row>
    <row r="17" spans="2:16" ht="16" x14ac:dyDescent="0.2">
      <c r="C17" s="604" t="str">
        <f>C14</f>
        <v>[Cake] - Payday</v>
      </c>
      <c r="D17" s="488"/>
      <c r="E17" s="528" t="s">
        <v>319</v>
      </c>
      <c r="F17" s="542" t="s">
        <v>13</v>
      </c>
      <c r="G17" s="489"/>
      <c r="H17" s="502"/>
      <c r="I17" s="490">
        <v>2000000000</v>
      </c>
      <c r="J17" s="502"/>
      <c r="K17" s="489"/>
      <c r="L17" s="502"/>
      <c r="M17" s="535" t="s">
        <v>14</v>
      </c>
      <c r="N17" s="536" t="s">
        <v>317</v>
      </c>
    </row>
    <row r="18" spans="2:16" ht="16" x14ac:dyDescent="0.2">
      <c r="B18" t="s">
        <v>145</v>
      </c>
      <c r="C18" s="598" t="s">
        <v>31</v>
      </c>
      <c r="D18" s="485">
        <f>Pivot!C21/10</f>
        <v>6027048000</v>
      </c>
      <c r="E18" s="520"/>
      <c r="F18" s="543"/>
      <c r="G18" s="487"/>
      <c r="H18" s="500">
        <f>GETPIVOTDATA("Total",Pivot!$A$2,"lending_product_transform",'Road to 3k v2 (2)'!$C18)/30</f>
        <v>5866076000</v>
      </c>
      <c r="I18" s="487"/>
      <c r="J18" s="500">
        <f>H18+I19+I20</f>
        <v>7727082857.1428566</v>
      </c>
      <c r="K18" s="487"/>
      <c r="L18" s="500">
        <f>J18+K20+K21</f>
        <v>9727082857.1428566</v>
      </c>
      <c r="M18" s="537"/>
      <c r="N18" s="538"/>
    </row>
    <row r="19" spans="2:16" ht="16" x14ac:dyDescent="0.2">
      <c r="C19" s="603" t="str">
        <f t="shared" ref="C19:C20" si="4">C18</f>
        <v>[ZALOPAY] - Cashloan</v>
      </c>
      <c r="E19" s="527" t="s">
        <v>318</v>
      </c>
      <c r="F19" s="541" t="s">
        <v>13</v>
      </c>
      <c r="G19" s="19"/>
      <c r="H19" s="501"/>
      <c r="I19" s="19">
        <f>(16/14-1)*D18</f>
        <v>861006857.14285672</v>
      </c>
      <c r="J19" s="501"/>
      <c r="K19" s="19"/>
      <c r="L19" s="501"/>
      <c r="M19" s="533" t="s">
        <v>14</v>
      </c>
      <c r="N19" s="534" t="s">
        <v>320</v>
      </c>
    </row>
    <row r="20" spans="2:16" ht="16" x14ac:dyDescent="0.2">
      <c r="C20" s="601" t="str">
        <f t="shared" si="4"/>
        <v>[ZALOPAY] - Cashloan</v>
      </c>
      <c r="D20" s="488"/>
      <c r="E20" s="519" t="s">
        <v>34</v>
      </c>
      <c r="F20" s="542" t="s">
        <v>21</v>
      </c>
      <c r="G20" s="489"/>
      <c r="H20" s="502"/>
      <c r="I20" s="489">
        <v>1000000000</v>
      </c>
      <c r="J20" s="502"/>
      <c r="K20" s="489">
        <v>1000000000</v>
      </c>
      <c r="L20" s="502"/>
      <c r="M20" s="535" t="s">
        <v>35</v>
      </c>
      <c r="N20" s="536" t="s">
        <v>314</v>
      </c>
      <c r="P20" s="14">
        <f>SUM(I19:I20)</f>
        <v>1861006857.1428566</v>
      </c>
    </row>
    <row r="21" spans="2:16" s="89" customFormat="1" ht="20" customHeight="1" x14ac:dyDescent="0.2">
      <c r="C21" s="605"/>
      <c r="E21" s="592" t="s">
        <v>321</v>
      </c>
      <c r="F21" s="593" t="s">
        <v>21</v>
      </c>
      <c r="G21" s="594"/>
      <c r="H21" s="595"/>
      <c r="I21" s="594"/>
      <c r="J21" s="595"/>
      <c r="K21" s="594">
        <f>1000000*0.2%*15000000/30</f>
        <v>1000000000</v>
      </c>
      <c r="L21" s="595"/>
      <c r="M21" s="596" t="s">
        <v>35</v>
      </c>
      <c r="N21" s="597" t="s">
        <v>17</v>
      </c>
    </row>
    <row r="22" spans="2:16" ht="16" x14ac:dyDescent="0.2">
      <c r="B22" t="s">
        <v>146</v>
      </c>
      <c r="C22" s="598" t="s">
        <v>36</v>
      </c>
      <c r="D22" s="485">
        <f>(Pivot!C9+Pivot!C10)/10</f>
        <v>3793806000</v>
      </c>
      <c r="E22" s="517"/>
      <c r="F22" s="544"/>
      <c r="G22" s="486"/>
      <c r="H22" s="500">
        <f>GETPIVOTDATA("Total",Pivot!$A$2,"lending_product_transform",'Road to 3k v2 (2)'!$C22)/30</f>
        <v>2623360666.6666665</v>
      </c>
      <c r="I22" s="486"/>
      <c r="J22" s="500">
        <f>H22+I23+I24</f>
        <v>4885696733.333333</v>
      </c>
      <c r="K22" s="486"/>
      <c r="L22" s="500">
        <f>J22</f>
        <v>4885696733.333333</v>
      </c>
      <c r="M22" s="531"/>
      <c r="N22" s="532"/>
    </row>
    <row r="23" spans="2:16" ht="16" x14ac:dyDescent="0.2">
      <c r="C23" s="606" t="str">
        <f t="shared" ref="C23:C24" si="5">C22</f>
        <v>[MWG] - Cashloan</v>
      </c>
      <c r="D23" s="481"/>
      <c r="E23" s="518" t="s">
        <v>38</v>
      </c>
      <c r="F23" s="541" t="s">
        <v>21</v>
      </c>
      <c r="G23" s="19"/>
      <c r="H23" s="501"/>
      <c r="I23" s="19">
        <v>2000000000</v>
      </c>
      <c r="J23" s="501"/>
      <c r="K23" s="19"/>
      <c r="L23" s="501"/>
      <c r="M23" s="533" t="s">
        <v>33</v>
      </c>
      <c r="N23" s="534" t="s">
        <v>17</v>
      </c>
      <c r="P23" s="14">
        <f>SUM(I23:I24)</f>
        <v>2262336066.666667</v>
      </c>
    </row>
    <row r="24" spans="2:16" ht="16" x14ac:dyDescent="0.2">
      <c r="C24" s="601" t="str">
        <f t="shared" si="5"/>
        <v>[MWG] - Cashloan</v>
      </c>
      <c r="D24" s="488"/>
      <c r="E24" s="525" t="s">
        <v>137</v>
      </c>
      <c r="F24" s="542" t="s">
        <v>13</v>
      </c>
      <c r="G24" s="489"/>
      <c r="H24" s="502"/>
      <c r="I24" s="489">
        <f>(55/50-1)*H22</f>
        <v>262336066.6666669</v>
      </c>
      <c r="J24" s="502"/>
      <c r="K24" s="489"/>
      <c r="L24" s="502"/>
      <c r="M24" s="535" t="s">
        <v>33</v>
      </c>
      <c r="N24" s="536" t="s">
        <v>17</v>
      </c>
    </row>
    <row r="25" spans="2:16" ht="16" x14ac:dyDescent="0.2">
      <c r="B25" t="s">
        <v>146</v>
      </c>
      <c r="C25" s="598" t="s">
        <v>39</v>
      </c>
      <c r="D25" s="485">
        <f>Pivot!C11/10</f>
        <v>1321745204.5</v>
      </c>
      <c r="E25" s="517"/>
      <c r="F25" s="544"/>
      <c r="G25" s="486"/>
      <c r="H25" s="500">
        <f>GETPIVOTDATA("Total",Pivot!$A$2,"lending_product_transform",'Road to 3k v2 (2)'!$C25)/30</f>
        <v>1152428870.8333333</v>
      </c>
      <c r="I25" s="487"/>
      <c r="J25" s="500">
        <f>H25+I27+I26</f>
        <v>3452428870.833333</v>
      </c>
      <c r="K25" s="486"/>
      <c r="L25" s="500">
        <f>J25+K27</f>
        <v>5452428870.833333</v>
      </c>
      <c r="M25" s="531"/>
      <c r="N25" s="532"/>
    </row>
    <row r="26" spans="2:16" ht="16" x14ac:dyDescent="0.2">
      <c r="C26" s="607" t="str">
        <f t="shared" ref="C26:C27" si="6">C25</f>
        <v>[MWG] - Paylater (QTV)</v>
      </c>
      <c r="D26" s="481"/>
      <c r="E26" s="518" t="s">
        <v>40</v>
      </c>
      <c r="F26" s="541" t="s">
        <v>21</v>
      </c>
      <c r="H26" s="501"/>
      <c r="I26" s="19">
        <v>300000000</v>
      </c>
      <c r="J26" s="501"/>
      <c r="K26" s="19"/>
      <c r="L26" s="501">
        <f>J26+K28</f>
        <v>0</v>
      </c>
      <c r="M26" s="533" t="s">
        <v>33</v>
      </c>
      <c r="N26" s="534" t="s">
        <v>17</v>
      </c>
    </row>
    <row r="27" spans="2:16" ht="16" x14ac:dyDescent="0.2">
      <c r="C27" s="601" t="str">
        <f t="shared" si="6"/>
        <v>[MWG] - Paylater (QTV)</v>
      </c>
      <c r="D27" s="488"/>
      <c r="E27" s="519" t="s">
        <v>41</v>
      </c>
      <c r="F27" s="542" t="s">
        <v>42</v>
      </c>
      <c r="G27" s="489"/>
      <c r="H27" s="502"/>
      <c r="I27" s="489">
        <v>2000000000</v>
      </c>
      <c r="J27" s="502"/>
      <c r="K27" s="489">
        <v>2000000000</v>
      </c>
      <c r="L27" s="502"/>
      <c r="M27" s="535" t="s">
        <v>35</v>
      </c>
      <c r="N27" s="536" t="s">
        <v>17</v>
      </c>
    </row>
    <row r="28" spans="2:16" ht="16" x14ac:dyDescent="0.2">
      <c r="B28" t="s">
        <v>147</v>
      </c>
      <c r="C28" s="608" t="s">
        <v>43</v>
      </c>
      <c r="D28" s="493">
        <f>SUM(Pivot!C18:C20)/10</f>
        <v>1805178837.4000001</v>
      </c>
      <c r="E28" s="521" t="s">
        <v>44</v>
      </c>
      <c r="F28" s="545" t="s">
        <v>21</v>
      </c>
      <c r="G28" s="494"/>
      <c r="H28" s="513">
        <f>(GETPIVOTDATA("Total",Pivot!$A$2,"lending_product_transform","[VNPAY] - Cashloan")+GETPIVOTDATA("Total",Pivot!$A$2,"lending_product_transform","[VNPAY] - Payday")+GETPIVOTDATA("Total",Pivot!$A$2,"lending_product_transform","[VNPAY] - Paylater"))/30</f>
        <v>1515857146.2666667</v>
      </c>
      <c r="I28" s="494">
        <v>700000000</v>
      </c>
      <c r="J28" s="513">
        <f>H28+I28</f>
        <v>2215857146.2666664</v>
      </c>
      <c r="K28" s="494"/>
      <c r="L28" s="513">
        <f>J28</f>
        <v>2215857146.2666664</v>
      </c>
      <c r="M28" s="539" t="s">
        <v>35</v>
      </c>
      <c r="N28" s="540" t="s">
        <v>17</v>
      </c>
    </row>
    <row r="29" spans="2:16" ht="16" x14ac:dyDescent="0.2">
      <c r="B29" t="s">
        <v>147</v>
      </c>
      <c r="C29" s="609" t="s">
        <v>45</v>
      </c>
      <c r="D29" s="495"/>
      <c r="E29" s="529"/>
      <c r="F29" s="545" t="s">
        <v>42</v>
      </c>
      <c r="G29" s="494"/>
      <c r="H29" s="513"/>
      <c r="I29" s="494">
        <v>700000000</v>
      </c>
      <c r="J29" s="513">
        <f>H29+I29</f>
        <v>700000000</v>
      </c>
      <c r="K29" s="494">
        <v>300000000</v>
      </c>
      <c r="L29" s="513">
        <f>J29+K29</f>
        <v>1000000000</v>
      </c>
      <c r="M29" s="539" t="s">
        <v>35</v>
      </c>
      <c r="N29" s="540" t="s">
        <v>17</v>
      </c>
    </row>
    <row r="30" spans="2:16" ht="16" x14ac:dyDescent="0.2">
      <c r="B30" t="s">
        <v>148</v>
      </c>
      <c r="C30" s="610" t="s">
        <v>46</v>
      </c>
      <c r="D30" s="496">
        <f>(Pivot!C31-SUM('Road to 3k v2 (2)'!D6:D28))/10</f>
        <v>69007447773.110001</v>
      </c>
      <c r="E30" s="522"/>
      <c r="F30" s="524"/>
      <c r="G30" s="497"/>
      <c r="H30" s="514">
        <f>H31-SUM(H6:H29)</f>
        <v>3815496727.066658</v>
      </c>
      <c r="I30" s="497"/>
      <c r="J30" s="514">
        <f>H30</f>
        <v>3815496727.066658</v>
      </c>
      <c r="K30" s="497"/>
      <c r="L30" s="514">
        <f>J30</f>
        <v>3815496727.066658</v>
      </c>
      <c r="M30" s="522"/>
      <c r="N30" s="498"/>
    </row>
    <row r="31" spans="2:16" ht="16" x14ac:dyDescent="0.2">
      <c r="C31" s="505" t="s">
        <v>47</v>
      </c>
      <c r="D31" s="506">
        <f>Pivot!C31/10</f>
        <v>76237601277.300003</v>
      </c>
      <c r="E31" s="507"/>
      <c r="F31" s="507"/>
      <c r="G31" s="506">
        <f>SUM(G6:G30)</f>
        <v>0</v>
      </c>
      <c r="H31" s="515">
        <f>GETPIVOTDATA("Total",Pivot!$A$2)/30</f>
        <v>71463388877.5</v>
      </c>
      <c r="I31" s="506">
        <f>SUM(I6:I30)</f>
        <v>21974871209.072681</v>
      </c>
      <c r="J31" s="515">
        <f>SUM(J6:J30)</f>
        <v>93438260086.572662</v>
      </c>
      <c r="K31" s="506">
        <f>SUM(K6:K30)</f>
        <v>4300000000</v>
      </c>
      <c r="L31" s="515">
        <f>SUM(L6:L30)</f>
        <v>97738260086.572662</v>
      </c>
      <c r="M31" s="507"/>
      <c r="N31" s="508"/>
    </row>
    <row r="32" spans="2:16" ht="16" x14ac:dyDescent="0.2">
      <c r="C32" s="509" t="s">
        <v>48</v>
      </c>
      <c r="D32" s="516">
        <f>D31*10</f>
        <v>762376012773</v>
      </c>
      <c r="E32" s="510"/>
      <c r="F32" s="510"/>
      <c r="G32" s="511"/>
      <c r="H32" s="516">
        <f>H31*30</f>
        <v>2143901666325</v>
      </c>
      <c r="I32" s="511"/>
      <c r="J32" s="516">
        <f>J31*31</f>
        <v>2896586062683.7524</v>
      </c>
      <c r="K32" s="511"/>
      <c r="L32" s="516">
        <f>L31*30</f>
        <v>2932147802597.1797</v>
      </c>
      <c r="M32" s="510"/>
      <c r="N32" s="512"/>
    </row>
    <row r="33" spans="3:17" ht="16" x14ac:dyDescent="0.2">
      <c r="C33" s="503"/>
      <c r="G33" s="20"/>
      <c r="H33" s="482"/>
      <c r="I33" s="60"/>
      <c r="J33" s="612">
        <f>J31-D31</f>
        <v>17200658809.272659</v>
      </c>
      <c r="K33" s="20"/>
      <c r="L33" s="17"/>
    </row>
    <row r="34" spans="3:17" ht="16" x14ac:dyDescent="0.2">
      <c r="C34" s="483" t="s">
        <v>49</v>
      </c>
      <c r="E34" s="483"/>
      <c r="F34" s="483"/>
      <c r="I34" s="445"/>
    </row>
    <row r="35" spans="3:17" x14ac:dyDescent="0.2">
      <c r="D35" s="65">
        <f>D31*30</f>
        <v>2287128038319</v>
      </c>
      <c r="E35" s="65">
        <f>(D31*19)+(D31+G31)*11</f>
        <v>2287128038319</v>
      </c>
      <c r="H35" s="445">
        <f>H32-D35</f>
        <v>-143226371994</v>
      </c>
      <c r="I35" s="445"/>
    </row>
    <row r="36" spans="3:17" ht="21" customHeight="1" x14ac:dyDescent="0.2">
      <c r="H36" s="14">
        <f>(D31*19)+(G31+D31)*11</f>
        <v>2287128038319</v>
      </c>
    </row>
    <row r="37" spans="3:17" x14ac:dyDescent="0.2">
      <c r="H37" s="63" t="s">
        <v>138</v>
      </c>
      <c r="I37" s="63" t="s">
        <v>140</v>
      </c>
      <c r="J37" s="63" t="s">
        <v>142</v>
      </c>
      <c r="K37" s="63" t="s">
        <v>141</v>
      </c>
      <c r="L37" s="63" t="s">
        <v>143</v>
      </c>
      <c r="N37" s="224" t="s">
        <v>140</v>
      </c>
      <c r="O37" s="225" t="s">
        <v>142</v>
      </c>
      <c r="P37" s="225" t="s">
        <v>141</v>
      </c>
      <c r="Q37" s="226" t="s">
        <v>143</v>
      </c>
    </row>
    <row r="38" spans="3:17" x14ac:dyDescent="0.2">
      <c r="H38" s="61"/>
      <c r="I38" s="61" t="s">
        <v>139</v>
      </c>
      <c r="J38" s="62">
        <v>27</v>
      </c>
      <c r="K38" s="62">
        <v>35</v>
      </c>
      <c r="L38" s="62">
        <v>40</v>
      </c>
      <c r="N38" s="217" t="s">
        <v>139</v>
      </c>
      <c r="O38" s="218">
        <f>SUM('waterfall 3k'!E5:E6)/1000000000</f>
        <v>0</v>
      </c>
      <c r="P38" s="219">
        <f>SUM('waterfall 3k'!G5:G6)/1000000000</f>
        <v>30.087646438596494</v>
      </c>
      <c r="Q38" s="220">
        <f>SUM('waterfall 3k'!I5:I6)/1000000000</f>
        <v>30.087646438596494</v>
      </c>
    </row>
    <row r="39" spans="3:17" x14ac:dyDescent="0.2">
      <c r="H39" s="61"/>
      <c r="I39" s="61" t="s">
        <v>144</v>
      </c>
      <c r="J39" s="62">
        <v>35</v>
      </c>
      <c r="K39" s="62">
        <v>37</v>
      </c>
      <c r="L39" s="62">
        <v>40</v>
      </c>
      <c r="N39" s="215" t="s">
        <v>144</v>
      </c>
      <c r="O39" s="214">
        <f>SUM('waterfall 3k'!E7:E8)/1000000000</f>
        <v>0</v>
      </c>
      <c r="P39" s="214">
        <f>SUM('waterfall 3k'!G7:G8)/1000000000</f>
        <v>40.554051313333339</v>
      </c>
      <c r="Q39" s="216">
        <f>SUM('waterfall 3k'!I7:I8)/1000000000</f>
        <v>40.554051313333339</v>
      </c>
    </row>
    <row r="40" spans="3:17" x14ac:dyDescent="0.2">
      <c r="H40" s="61"/>
      <c r="I40" s="61" t="s">
        <v>145</v>
      </c>
      <c r="J40" s="62">
        <v>6</v>
      </c>
      <c r="K40" s="62">
        <v>8</v>
      </c>
      <c r="L40" s="62">
        <v>10</v>
      </c>
      <c r="N40" s="215" t="s">
        <v>145</v>
      </c>
      <c r="O40" s="214">
        <f>'waterfall 3k'!E9/1000000000</f>
        <v>0</v>
      </c>
      <c r="P40" s="214">
        <f>'waterfall 3k'!G9/1000000000</f>
        <v>7.7270828571428565</v>
      </c>
      <c r="Q40" s="216">
        <f>'waterfall 3k'!I9/1000000000</f>
        <v>9.7270828571428574</v>
      </c>
    </row>
    <row r="41" spans="3:17" x14ac:dyDescent="0.2">
      <c r="H41" s="61"/>
      <c r="I41" s="61" t="s">
        <v>146</v>
      </c>
      <c r="J41" s="62">
        <v>5</v>
      </c>
      <c r="K41" s="62">
        <v>8</v>
      </c>
      <c r="L41" s="62">
        <v>10</v>
      </c>
      <c r="N41" s="215" t="s">
        <v>146</v>
      </c>
      <c r="O41" s="214">
        <f>SUM('waterfall 3k'!E10:E11)/1000000000</f>
        <v>0</v>
      </c>
      <c r="P41" s="214">
        <f>SUM('waterfall 3k'!G10:G11)/1000000000</f>
        <v>8.3381256041666667</v>
      </c>
      <c r="Q41" s="216">
        <f>SUM('waterfall 3k'!I10:I11)/1000000000</f>
        <v>10.338125604166668</v>
      </c>
    </row>
    <row r="42" spans="3:17" x14ac:dyDescent="0.2">
      <c r="H42" s="61"/>
      <c r="I42" s="61" t="s">
        <v>147</v>
      </c>
      <c r="J42" s="62"/>
      <c r="K42" s="62">
        <v>1</v>
      </c>
      <c r="L42" s="62">
        <v>1</v>
      </c>
      <c r="N42" s="215" t="s">
        <v>43</v>
      </c>
      <c r="O42" s="214">
        <f>'waterfall 3k'!E12/1000000000</f>
        <v>0</v>
      </c>
      <c r="P42" s="214">
        <f>'waterfall 3k'!G12/1000000000</f>
        <v>2.2158571462666665</v>
      </c>
      <c r="Q42" s="216">
        <f>'waterfall 3k'!I12/1000000000</f>
        <v>2.2158571462666665</v>
      </c>
    </row>
    <row r="43" spans="3:17" x14ac:dyDescent="0.2">
      <c r="H43" s="61"/>
      <c r="I43" s="61" t="s">
        <v>148</v>
      </c>
      <c r="J43" s="62">
        <v>5</v>
      </c>
      <c r="K43" s="62">
        <v>5</v>
      </c>
      <c r="L43" s="62">
        <v>5</v>
      </c>
      <c r="N43" s="215" t="s">
        <v>147</v>
      </c>
      <c r="O43" s="214">
        <f>'waterfall 3k'!E13/1000000000</f>
        <v>0</v>
      </c>
      <c r="P43" s="214">
        <f>'waterfall 3k'!G13/1000000000</f>
        <v>0.7</v>
      </c>
      <c r="Q43" s="216">
        <f>'waterfall 3k'!I13/1000000000</f>
        <v>1</v>
      </c>
    </row>
    <row r="44" spans="3:17" x14ac:dyDescent="0.2">
      <c r="H44" s="61"/>
      <c r="I44" s="63" t="s">
        <v>149</v>
      </c>
      <c r="J44" s="64">
        <f>SUM(J38:J43)</f>
        <v>78</v>
      </c>
      <c r="K44" s="64">
        <f>SUM(K38:K43)</f>
        <v>94</v>
      </c>
      <c r="L44" s="64">
        <f>SUM(L38:L43)</f>
        <v>106</v>
      </c>
      <c r="N44" s="215" t="s">
        <v>148</v>
      </c>
      <c r="O44" s="214">
        <f>'waterfall 3k'!E14/1000000000</f>
        <v>0</v>
      </c>
      <c r="P44" s="214">
        <f>'waterfall 3k'!G14/1000000000</f>
        <v>3.815496727066658</v>
      </c>
      <c r="Q44" s="216">
        <f>'waterfall 3k'!I14/1000000000</f>
        <v>3.815496727066658</v>
      </c>
    </row>
    <row r="45" spans="3:17" x14ac:dyDescent="0.2">
      <c r="H45" s="61"/>
      <c r="I45" s="63" t="s">
        <v>150</v>
      </c>
      <c r="J45" s="64">
        <f>J44*30</f>
        <v>2340</v>
      </c>
      <c r="K45" s="64">
        <f>K44*31</f>
        <v>2914</v>
      </c>
      <c r="L45" s="64">
        <f>L44*30</f>
        <v>3180</v>
      </c>
      <c r="N45" s="227" t="s">
        <v>149</v>
      </c>
      <c r="O45" s="228">
        <f>SUM(O38:O44)</f>
        <v>0</v>
      </c>
      <c r="P45" s="228">
        <f t="shared" ref="P45:Q45" si="7">SUM(P38:P44)</f>
        <v>93.438260086572683</v>
      </c>
      <c r="Q45" s="229">
        <f t="shared" si="7"/>
        <v>97.73826008657268</v>
      </c>
    </row>
    <row r="46" spans="3:17" ht="22.5" customHeight="1" x14ac:dyDescent="0.2">
      <c r="H46" s="61"/>
      <c r="I46" s="63"/>
      <c r="J46" s="64"/>
      <c r="K46" s="64"/>
      <c r="L46" s="64"/>
      <c r="N46" s="230" t="s">
        <v>249</v>
      </c>
      <c r="O46" s="231">
        <f>O45*30</f>
        <v>0</v>
      </c>
      <c r="P46" s="231">
        <f>P45*31</f>
        <v>2896.586062683753</v>
      </c>
      <c r="Q46" s="232">
        <f t="shared" ref="Q46" si="8">Q45*30</f>
        <v>2932.1478025971805</v>
      </c>
    </row>
    <row r="47" spans="3:17" ht="17.5" customHeight="1" x14ac:dyDescent="0.2">
      <c r="H47" s="63" t="s">
        <v>151</v>
      </c>
      <c r="I47" s="546" t="s">
        <v>247</v>
      </c>
      <c r="J47" s="547" t="s">
        <v>142</v>
      </c>
      <c r="K47" s="547" t="s">
        <v>141</v>
      </c>
      <c r="L47" s="548" t="s">
        <v>143</v>
      </c>
    </row>
    <row r="48" spans="3:17" x14ac:dyDescent="0.2">
      <c r="H48" s="61"/>
      <c r="I48" s="217" t="s">
        <v>13</v>
      </c>
      <c r="J48" s="218">
        <f>SUMIFS($G$6:$G$29,$F$6:$F$29,$I48)/10^9</f>
        <v>0</v>
      </c>
      <c r="K48" s="219">
        <f>SUMIFS($I$6:$I$29,$F$6:$F$29,$I48)/10^9</f>
        <v>8.1233429238095241</v>
      </c>
      <c r="L48" s="220">
        <f>SUMIFS($K$6:$K$29,$F$6:$F$29,$I48)/10^9</f>
        <v>0</v>
      </c>
    </row>
    <row r="49" spans="8:12" x14ac:dyDescent="0.2">
      <c r="H49" s="61"/>
      <c r="I49" s="215" t="s">
        <v>21</v>
      </c>
      <c r="J49" s="214">
        <f>SUMIFS($G$6:$G$29,$F$6:$F$29,$I49)/10^9</f>
        <v>0</v>
      </c>
      <c r="K49" s="214">
        <f>SUMIFS($I$6:$I$29,$F$6:$F$29,$I49)/10^9</f>
        <v>11.151528285263156</v>
      </c>
      <c r="L49" s="216">
        <f>SUMIFS($K$6:$K$29,$F$6:$F$29,$I49)/10^9</f>
        <v>2</v>
      </c>
    </row>
    <row r="50" spans="8:12" ht="19" customHeight="1" x14ac:dyDescent="0.2">
      <c r="H50" s="61"/>
      <c r="I50" s="215" t="s">
        <v>42</v>
      </c>
      <c r="J50" s="213">
        <f>SUMIFS($G$6:$G$29,$F$6:$F$29,$I50)/10^9</f>
        <v>0</v>
      </c>
      <c r="K50" s="214">
        <f>SUMIFS($I$6:$I$29,$F$6:$F$29,$I50)/10^9</f>
        <v>2.7</v>
      </c>
      <c r="L50" s="216">
        <f>SUMIFS($K$6:$K$29,$F$6:$F$29,$I50)/10^9</f>
        <v>2.2999999999999998</v>
      </c>
    </row>
    <row r="51" spans="8:12" x14ac:dyDescent="0.2">
      <c r="I51" s="223" t="s">
        <v>248</v>
      </c>
      <c r="J51" s="221">
        <f>SUM(J48:J50)</f>
        <v>0</v>
      </c>
      <c r="K51" s="221">
        <f t="shared" ref="K51:L51" si="9">SUM(K48:K50)</f>
        <v>21.974871209072678</v>
      </c>
      <c r="L51" s="222">
        <f t="shared" si="9"/>
        <v>4.3</v>
      </c>
    </row>
    <row r="52" spans="8:12" x14ac:dyDescent="0.2">
      <c r="J52" s="126"/>
    </row>
    <row r="54" spans="8:12" x14ac:dyDescent="0.2">
      <c r="H54" s="63" t="s">
        <v>138</v>
      </c>
      <c r="I54" s="63" t="s">
        <v>140</v>
      </c>
      <c r="J54" s="63" t="s">
        <v>142</v>
      </c>
      <c r="K54" s="63" t="s">
        <v>141</v>
      </c>
      <c r="L54" s="63" t="s">
        <v>143</v>
      </c>
    </row>
    <row r="55" spans="8:12" x14ac:dyDescent="0.2">
      <c r="H55" s="61"/>
      <c r="I55" s="61" t="s">
        <v>139</v>
      </c>
      <c r="J55" s="62">
        <f t="shared" ref="J55:J60" si="10">SUMIFS($H$6:$H$30,$B$6:$B$30,$I55)/10^9</f>
        <v>27.503389933333334</v>
      </c>
      <c r="K55" s="62">
        <f t="shared" ref="K55:K60" si="11">SUMIFS($J$6:$J$30,$B$6:$B$30,$I55)/10^9</f>
        <v>30.087646438596494</v>
      </c>
      <c r="L55" s="62">
        <f t="shared" ref="L55:L60" si="12">SUMIFS($L$6:$L$30,$B$6:$B$30,$I55)/10^9</f>
        <v>30.087646438596494</v>
      </c>
    </row>
    <row r="56" spans="8:12" x14ac:dyDescent="0.2">
      <c r="H56" s="61"/>
      <c r="I56" s="61" t="s">
        <v>144</v>
      </c>
      <c r="J56" s="62">
        <f t="shared" si="10"/>
        <v>28.986779533333337</v>
      </c>
      <c r="K56" s="62">
        <f t="shared" si="11"/>
        <v>40.554051313333339</v>
      </c>
      <c r="L56" s="62">
        <f t="shared" si="12"/>
        <v>40.554051313333339</v>
      </c>
    </row>
    <row r="57" spans="8:12" x14ac:dyDescent="0.2">
      <c r="H57" s="61"/>
      <c r="I57" s="61" t="s">
        <v>145</v>
      </c>
      <c r="J57" s="62">
        <f t="shared" si="10"/>
        <v>5.8660759999999996</v>
      </c>
      <c r="K57" s="62">
        <f t="shared" si="11"/>
        <v>7.7270828571428565</v>
      </c>
      <c r="L57" s="62">
        <f t="shared" si="12"/>
        <v>9.7270828571428574</v>
      </c>
    </row>
    <row r="58" spans="8:12" x14ac:dyDescent="0.2">
      <c r="H58" s="61"/>
      <c r="I58" s="61" t="s">
        <v>146</v>
      </c>
      <c r="J58" s="62">
        <f t="shared" si="10"/>
        <v>3.7757895375000001</v>
      </c>
      <c r="K58" s="62">
        <f t="shared" si="11"/>
        <v>8.3381256041666667</v>
      </c>
      <c r="L58" s="62">
        <f t="shared" si="12"/>
        <v>10.338125604166667</v>
      </c>
    </row>
    <row r="59" spans="8:12" x14ac:dyDescent="0.2">
      <c r="H59" s="61"/>
      <c r="I59" s="61" t="s">
        <v>147</v>
      </c>
      <c r="J59" s="62">
        <f t="shared" si="10"/>
        <v>1.5158571462666666</v>
      </c>
      <c r="K59" s="62">
        <f t="shared" si="11"/>
        <v>2.9158571462666663</v>
      </c>
      <c r="L59" s="62">
        <f t="shared" si="12"/>
        <v>3.2158571462666665</v>
      </c>
    </row>
    <row r="60" spans="8:12" x14ac:dyDescent="0.2">
      <c r="H60" s="61"/>
      <c r="I60" s="61" t="s">
        <v>148</v>
      </c>
      <c r="J60" s="62">
        <f t="shared" si="10"/>
        <v>3.815496727066658</v>
      </c>
      <c r="K60" s="62">
        <f t="shared" si="11"/>
        <v>3.815496727066658</v>
      </c>
      <c r="L60" s="62">
        <f t="shared" si="12"/>
        <v>3.815496727066658</v>
      </c>
    </row>
    <row r="61" spans="8:12" x14ac:dyDescent="0.2">
      <c r="H61" s="61"/>
      <c r="I61" s="63" t="s">
        <v>149</v>
      </c>
      <c r="J61" s="66">
        <f>SUM(J55:J60)</f>
        <v>71.463388877499995</v>
      </c>
      <c r="K61" s="67">
        <f>SUM(K55:K60)</f>
        <v>93.438260086572669</v>
      </c>
      <c r="L61" s="64">
        <f>SUM(L55:L60)</f>
        <v>97.73826008657268</v>
      </c>
    </row>
    <row r="62" spans="8:12" x14ac:dyDescent="0.2">
      <c r="H62" s="61"/>
      <c r="I62" s="63" t="s">
        <v>150</v>
      </c>
      <c r="J62" s="64">
        <f>J61*30</f>
        <v>2143.901666325</v>
      </c>
      <c r="K62" s="64">
        <f>K61*31</f>
        <v>2896.5860626837525</v>
      </c>
      <c r="L62" s="64">
        <f>L61*30</f>
        <v>2932.1478025971805</v>
      </c>
    </row>
    <row r="63" spans="8:12" x14ac:dyDescent="0.2">
      <c r="J63" s="32">
        <f>J62-H32/1000000000</f>
        <v>0</v>
      </c>
      <c r="K63" s="32">
        <f>K62-J32/1000000000</f>
        <v>0</v>
      </c>
      <c r="L63" s="32">
        <f>L62-L32/1000000000</f>
        <v>0</v>
      </c>
    </row>
    <row r="65" spans="11:11" x14ac:dyDescent="0.2">
      <c r="K65" s="68"/>
    </row>
  </sheetData>
  <mergeCells count="2">
    <mergeCell ref="C1:N3"/>
    <mergeCell ref="C4:N4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FE7E-1732-49B0-8B42-6D49C99D21DD}">
  <dimension ref="A1:BF284"/>
  <sheetViews>
    <sheetView showGridLines="0" zoomScale="46" zoomScaleNormal="55" workbookViewId="0">
      <pane xSplit="7" ySplit="5" topLeftCell="AH115" activePane="bottomRight" state="frozen"/>
      <selection pane="topRight" activeCell="H1" sqref="H1"/>
      <selection pane="bottomLeft" activeCell="A6" sqref="A6"/>
      <selection pane="bottomRight" activeCell="AL203" sqref="AL203"/>
    </sheetView>
  </sheetViews>
  <sheetFormatPr baseColWidth="10" defaultColWidth="8.6640625" defaultRowHeight="15" x14ac:dyDescent="0.2"/>
  <cols>
    <col min="1" max="1" width="8.6640625" style="89"/>
    <col min="2" max="2" width="25.5" style="89" customWidth="1"/>
    <col min="3" max="3" width="23" style="89" customWidth="1"/>
    <col min="4" max="4" width="25.83203125" style="89" customWidth="1"/>
    <col min="5" max="5" width="22.1640625" style="89" customWidth="1"/>
    <col min="6" max="6" width="12.83203125" style="89" bestFit="1" customWidth="1"/>
    <col min="7" max="7" width="21.1640625" style="89" customWidth="1"/>
    <col min="8" max="8" width="15.1640625" style="89" customWidth="1"/>
    <col min="9" max="9" width="30.5" style="89" customWidth="1"/>
    <col min="10" max="10" width="25.33203125" style="89" customWidth="1"/>
    <col min="11" max="11" width="25.1640625" style="89" customWidth="1"/>
    <col min="12" max="12" width="14.6640625" style="89" customWidth="1"/>
    <col min="13" max="13" width="17.33203125" style="89" bestFit="1" customWidth="1"/>
    <col min="14" max="14" width="29" style="89" bestFit="1" customWidth="1"/>
    <col min="15" max="15" width="17.33203125" style="89" customWidth="1"/>
    <col min="16" max="16" width="17.83203125" style="89" bestFit="1" customWidth="1"/>
    <col min="17" max="17" width="20.83203125" style="89" bestFit="1" customWidth="1"/>
    <col min="18" max="18" width="13.33203125" style="89" customWidth="1"/>
    <col min="19" max="19" width="11" style="89" bestFit="1" customWidth="1"/>
    <col min="20" max="20" width="17.33203125" style="89" bestFit="1" customWidth="1"/>
    <col min="21" max="21" width="29" style="89" bestFit="1" customWidth="1"/>
    <col min="22" max="23" width="29" style="89" customWidth="1"/>
    <col min="24" max="24" width="18.6640625" style="89" bestFit="1" customWidth="1"/>
    <col min="25" max="26" width="18.6640625" style="89" customWidth="1"/>
    <col min="27" max="27" width="24.1640625" style="89" customWidth="1"/>
    <col min="28" max="30" width="18.6640625" style="89" customWidth="1"/>
    <col min="31" max="31" width="29" style="89" customWidth="1"/>
    <col min="32" max="32" width="14" style="89" customWidth="1"/>
    <col min="33" max="33" width="17.83203125" style="89" bestFit="1" customWidth="1"/>
    <col min="34" max="34" width="20.83203125" style="89" bestFit="1" customWidth="1"/>
    <col min="35" max="36" width="13.5" style="89" customWidth="1"/>
    <col min="37" max="37" width="17.33203125" style="89" bestFit="1" customWidth="1"/>
    <col min="38" max="38" width="29" style="89" bestFit="1" customWidth="1"/>
    <col min="39" max="40" width="29" style="89" customWidth="1"/>
    <col min="41" max="41" width="24.5" style="89" bestFit="1" customWidth="1"/>
    <col min="42" max="47" width="21.5" style="89" customWidth="1"/>
    <col min="48" max="48" width="29.5" style="89" customWidth="1"/>
    <col min="49" max="54" width="20.6640625" style="89" customWidth="1"/>
    <col min="55" max="57" width="27.83203125" style="89" customWidth="1"/>
    <col min="58" max="58" width="20.6640625" style="89" customWidth="1"/>
    <col min="59" max="16384" width="8.6640625" style="89"/>
  </cols>
  <sheetData>
    <row r="1" spans="1:58" x14ac:dyDescent="0.2">
      <c r="O1" s="238"/>
    </row>
    <row r="2" spans="1:58" x14ac:dyDescent="0.2">
      <c r="U2" s="238"/>
      <c r="V2" s="238"/>
      <c r="W2" s="238"/>
    </row>
    <row r="3" spans="1:58" ht="42" customHeight="1" x14ac:dyDescent="0.2">
      <c r="E3" s="233"/>
      <c r="H3" s="616" t="s">
        <v>262</v>
      </c>
      <c r="I3" s="617"/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7"/>
      <c r="X3" s="618"/>
      <c r="Y3" s="616" t="s">
        <v>141</v>
      </c>
      <c r="Z3" s="617"/>
      <c r="AA3" s="617"/>
      <c r="AB3" s="617"/>
      <c r="AC3" s="617"/>
      <c r="AD3" s="617"/>
      <c r="AE3" s="617"/>
      <c r="AF3" s="617"/>
      <c r="AG3" s="617"/>
      <c r="AH3" s="617"/>
      <c r="AI3" s="617"/>
      <c r="AJ3" s="617"/>
      <c r="AK3" s="617"/>
      <c r="AL3" s="617"/>
      <c r="AM3" s="617"/>
      <c r="AN3" s="617"/>
      <c r="AO3" s="618"/>
      <c r="AP3" s="619" t="s">
        <v>245</v>
      </c>
      <c r="AQ3" s="620"/>
      <c r="AR3" s="620"/>
      <c r="AS3" s="620"/>
      <c r="AT3" s="620"/>
      <c r="AU3" s="620"/>
      <c r="AV3" s="620"/>
      <c r="AW3" s="620"/>
      <c r="AX3" s="620"/>
      <c r="AY3" s="620"/>
      <c r="AZ3" s="620"/>
      <c r="BA3" s="620"/>
      <c r="BB3" s="620"/>
      <c r="BC3" s="620"/>
      <c r="BD3" s="620"/>
      <c r="BE3" s="620"/>
      <c r="BF3" s="620"/>
    </row>
    <row r="4" spans="1:58" s="305" customFormat="1" ht="42" customHeight="1" x14ac:dyDescent="0.2">
      <c r="A4" s="304"/>
      <c r="B4" s="304"/>
      <c r="C4" s="304"/>
      <c r="D4" s="304"/>
      <c r="E4" s="348"/>
      <c r="F4" s="304"/>
      <c r="G4" s="304"/>
      <c r="H4" s="624" t="s">
        <v>263</v>
      </c>
      <c r="I4" s="625"/>
      <c r="J4" s="625"/>
      <c r="K4" s="625"/>
      <c r="L4" s="625"/>
      <c r="M4" s="625"/>
      <c r="N4" s="626"/>
      <c r="O4" s="621" t="s">
        <v>264</v>
      </c>
      <c r="P4" s="622"/>
      <c r="Q4" s="622"/>
      <c r="R4" s="622"/>
      <c r="S4" s="622"/>
      <c r="T4" s="622"/>
      <c r="U4" s="622"/>
      <c r="V4" s="622"/>
      <c r="W4" s="622"/>
      <c r="X4" s="623"/>
      <c r="Y4" s="624" t="s">
        <v>263</v>
      </c>
      <c r="Z4" s="625"/>
      <c r="AA4" s="625"/>
      <c r="AB4" s="625"/>
      <c r="AC4" s="625"/>
      <c r="AD4" s="625"/>
      <c r="AE4" s="626"/>
      <c r="AF4" s="621" t="s">
        <v>264</v>
      </c>
      <c r="AG4" s="622"/>
      <c r="AH4" s="622"/>
      <c r="AI4" s="622"/>
      <c r="AJ4" s="622"/>
      <c r="AK4" s="622"/>
      <c r="AL4" s="622"/>
      <c r="AM4" s="622"/>
      <c r="AN4" s="622"/>
      <c r="AO4" s="623"/>
      <c r="AP4" s="624" t="s">
        <v>263</v>
      </c>
      <c r="AQ4" s="625"/>
      <c r="AR4" s="625"/>
      <c r="AS4" s="625"/>
      <c r="AT4" s="625"/>
      <c r="AU4" s="625"/>
      <c r="AV4" s="626"/>
      <c r="AW4" s="621" t="s">
        <v>264</v>
      </c>
      <c r="AX4" s="622"/>
      <c r="AY4" s="622"/>
      <c r="AZ4" s="622"/>
      <c r="BA4" s="622"/>
      <c r="BB4" s="622"/>
      <c r="BC4" s="622"/>
      <c r="BD4" s="622"/>
      <c r="BE4" s="622"/>
      <c r="BF4" s="623"/>
    </row>
    <row r="5" spans="1:58" ht="39" customHeight="1" x14ac:dyDescent="0.2">
      <c r="B5" s="196" t="s">
        <v>155</v>
      </c>
      <c r="C5" s="196" t="s">
        <v>3</v>
      </c>
      <c r="D5" s="196" t="s">
        <v>4</v>
      </c>
      <c r="E5" s="196" t="s">
        <v>9</v>
      </c>
      <c r="F5" s="196" t="s">
        <v>243</v>
      </c>
      <c r="G5" s="234" t="s">
        <v>10</v>
      </c>
      <c r="H5" s="319" t="s">
        <v>254</v>
      </c>
      <c r="I5" s="320" t="s">
        <v>259</v>
      </c>
      <c r="J5" s="320" t="s">
        <v>260</v>
      </c>
      <c r="K5" s="320" t="s">
        <v>257</v>
      </c>
      <c r="L5" s="320" t="s">
        <v>258</v>
      </c>
      <c r="M5" s="320" t="s">
        <v>256</v>
      </c>
      <c r="N5" s="321" t="s">
        <v>261</v>
      </c>
      <c r="O5" s="322" t="s">
        <v>254</v>
      </c>
      <c r="P5" s="323" t="s">
        <v>259</v>
      </c>
      <c r="Q5" s="323" t="s">
        <v>260</v>
      </c>
      <c r="R5" s="323" t="s">
        <v>257</v>
      </c>
      <c r="S5" s="323" t="s">
        <v>258</v>
      </c>
      <c r="T5" s="323" t="s">
        <v>256</v>
      </c>
      <c r="U5" s="323" t="s">
        <v>261</v>
      </c>
      <c r="V5" s="340" t="s">
        <v>266</v>
      </c>
      <c r="W5" s="340"/>
      <c r="X5" s="324" t="s">
        <v>250</v>
      </c>
      <c r="Y5" s="319" t="s">
        <v>254</v>
      </c>
      <c r="Z5" s="320" t="s">
        <v>259</v>
      </c>
      <c r="AA5" s="320" t="s">
        <v>260</v>
      </c>
      <c r="AB5" s="320" t="s">
        <v>257</v>
      </c>
      <c r="AC5" s="320" t="s">
        <v>258</v>
      </c>
      <c r="AD5" s="320" t="s">
        <v>256</v>
      </c>
      <c r="AE5" s="321" t="s">
        <v>261</v>
      </c>
      <c r="AF5" s="322" t="s">
        <v>254</v>
      </c>
      <c r="AG5" s="323" t="s">
        <v>259</v>
      </c>
      <c r="AH5" s="323" t="s">
        <v>260</v>
      </c>
      <c r="AI5" s="323" t="s">
        <v>257</v>
      </c>
      <c r="AJ5" s="323" t="s">
        <v>258</v>
      </c>
      <c r="AK5" s="323" t="s">
        <v>256</v>
      </c>
      <c r="AL5" s="323" t="s">
        <v>261</v>
      </c>
      <c r="AM5" s="340" t="s">
        <v>266</v>
      </c>
      <c r="AN5" s="340"/>
      <c r="AO5" s="324" t="s">
        <v>251</v>
      </c>
      <c r="AP5" s="319" t="s">
        <v>254</v>
      </c>
      <c r="AQ5" s="320" t="s">
        <v>259</v>
      </c>
      <c r="AR5" s="320" t="s">
        <v>260</v>
      </c>
      <c r="AS5" s="320" t="s">
        <v>257</v>
      </c>
      <c r="AT5" s="320" t="s">
        <v>258</v>
      </c>
      <c r="AU5" s="320" t="s">
        <v>256</v>
      </c>
      <c r="AV5" s="321" t="s">
        <v>261</v>
      </c>
      <c r="AW5" s="322" t="s">
        <v>254</v>
      </c>
      <c r="AX5" s="323" t="s">
        <v>259</v>
      </c>
      <c r="AY5" s="323" t="s">
        <v>260</v>
      </c>
      <c r="AZ5" s="323" t="s">
        <v>257</v>
      </c>
      <c r="BA5" s="323" t="s">
        <v>258</v>
      </c>
      <c r="BB5" s="323" t="s">
        <v>256</v>
      </c>
      <c r="BC5" s="323" t="s">
        <v>261</v>
      </c>
      <c r="BD5" s="340" t="s">
        <v>266</v>
      </c>
      <c r="BE5" s="340"/>
      <c r="BF5" s="324" t="s">
        <v>252</v>
      </c>
    </row>
    <row r="6" spans="1:58" ht="28" customHeight="1" x14ac:dyDescent="0.2">
      <c r="B6" s="199" t="s">
        <v>11</v>
      </c>
      <c r="C6" s="199" t="s">
        <v>16</v>
      </c>
      <c r="D6" s="199" t="s">
        <v>13</v>
      </c>
      <c r="E6" s="197" t="s">
        <v>14</v>
      </c>
      <c r="F6" s="206" t="s">
        <v>242</v>
      </c>
      <c r="G6" s="235" t="s">
        <v>17</v>
      </c>
      <c r="H6" s="325"/>
      <c r="I6" s="327"/>
      <c r="J6" s="326"/>
      <c r="K6" s="327"/>
      <c r="L6" s="327"/>
      <c r="M6" s="328"/>
      <c r="N6" s="308"/>
      <c r="O6" s="309"/>
      <c r="P6" s="310"/>
      <c r="Q6" s="310"/>
      <c r="R6" s="310"/>
      <c r="S6" s="310"/>
      <c r="T6" s="310"/>
      <c r="U6" s="311">
        <f>O6*P6*Q6*R6*S6*T6</f>
        <v>0</v>
      </c>
      <c r="V6" s="341"/>
      <c r="W6" s="341"/>
      <c r="X6" s="312"/>
      <c r="Y6" s="325">
        <v>5787.6</v>
      </c>
      <c r="Z6" s="327">
        <v>0.91315916787614904</v>
      </c>
      <c r="AA6" s="326">
        <v>0.9987890255439924</v>
      </c>
      <c r="AB6" s="327">
        <v>0.24163603985905355</v>
      </c>
      <c r="AC6" s="327">
        <v>0.84312034496275967</v>
      </c>
      <c r="AD6" s="328">
        <v>15.662757369724108</v>
      </c>
      <c r="AE6" s="315">
        <f t="shared" ref="AE6:AE18" si="0">Y6*Z6*AA6*AB6*AC6*AD6</f>
        <v>16843.729275401307</v>
      </c>
      <c r="AF6" s="351">
        <v>4339.2666666666664</v>
      </c>
      <c r="AG6" s="349">
        <v>0.89147167724193033</v>
      </c>
      <c r="AH6" s="349">
        <v>0.99914691943127965</v>
      </c>
      <c r="AI6" s="349">
        <v>0.31496925425395211</v>
      </c>
      <c r="AJ6" s="349">
        <v>0.84381588675008901</v>
      </c>
      <c r="AK6" s="350">
        <v>17.944987956300182</v>
      </c>
      <c r="AL6" s="311">
        <v>18433.689794976755</v>
      </c>
      <c r="AM6" s="341" t="s">
        <v>256</v>
      </c>
      <c r="AN6" s="341">
        <f>AL6-AE6</f>
        <v>1589.9605195754484</v>
      </c>
      <c r="AO6" s="312">
        <v>2000000000</v>
      </c>
      <c r="AP6" s="325"/>
      <c r="AQ6" s="327"/>
      <c r="AR6" s="326"/>
      <c r="AS6" s="327"/>
      <c r="AT6" s="327"/>
      <c r="AU6" s="328"/>
      <c r="AV6" s="318"/>
      <c r="AW6" s="309"/>
      <c r="AX6" s="310"/>
      <c r="AY6" s="310"/>
      <c r="AZ6" s="310"/>
      <c r="BA6" s="310"/>
      <c r="BB6" s="310"/>
      <c r="BC6" s="311">
        <f>AW6*AX6*AY6*AZ6*BA6*BB6</f>
        <v>0</v>
      </c>
      <c r="BD6" s="341"/>
      <c r="BE6" s="341"/>
      <c r="BF6" s="312"/>
    </row>
    <row r="7" spans="1:58" ht="28" customHeight="1" x14ac:dyDescent="0.2">
      <c r="B7" s="200" t="s">
        <v>11</v>
      </c>
      <c r="C7" s="201" t="s">
        <v>18</v>
      </c>
      <c r="D7" s="202" t="s">
        <v>13</v>
      </c>
      <c r="E7" s="198" t="s">
        <v>14</v>
      </c>
      <c r="F7" s="211" t="s">
        <v>245</v>
      </c>
      <c r="G7" s="210" t="s">
        <v>17</v>
      </c>
      <c r="H7" s="242"/>
      <c r="I7" s="243"/>
      <c r="J7" s="243"/>
      <c r="K7" s="243"/>
      <c r="L7" s="243"/>
      <c r="M7" s="243"/>
      <c r="N7" s="244"/>
      <c r="O7" s="250"/>
      <c r="P7" s="251"/>
      <c r="Q7" s="251"/>
      <c r="R7" s="251"/>
      <c r="S7" s="251"/>
      <c r="T7" s="251"/>
      <c r="U7" s="277">
        <f t="shared" ref="U7:U25" si="1">O7*P7*Q7*R7*S7*T7</f>
        <v>0</v>
      </c>
      <c r="V7" s="342"/>
      <c r="W7" s="342"/>
      <c r="X7" s="299"/>
      <c r="Y7" s="325"/>
      <c r="Z7" s="327"/>
      <c r="AA7" s="326"/>
      <c r="AB7" s="327"/>
      <c r="AC7" s="327"/>
      <c r="AD7" s="328"/>
      <c r="AE7" s="315"/>
      <c r="AF7" s="250"/>
      <c r="AG7" s="251"/>
      <c r="AH7" s="251"/>
      <c r="AI7" s="251"/>
      <c r="AJ7" s="251"/>
      <c r="AK7" s="251"/>
      <c r="AL7" s="277">
        <v>0</v>
      </c>
      <c r="AM7" s="342"/>
      <c r="AN7" s="342"/>
      <c r="AO7" s="278"/>
      <c r="AP7" s="325">
        <f>AF6</f>
        <v>4339.2666666666664</v>
      </c>
      <c r="AQ7" s="327">
        <f t="shared" ref="AQ7:AU7" si="2">AG6</f>
        <v>0.89147167724193033</v>
      </c>
      <c r="AR7" s="326">
        <f t="shared" si="2"/>
        <v>0.99914691943127965</v>
      </c>
      <c r="AS7" s="327">
        <f t="shared" si="2"/>
        <v>0.31496925425395211</v>
      </c>
      <c r="AT7" s="327">
        <f t="shared" si="2"/>
        <v>0.84381588675008901</v>
      </c>
      <c r="AU7" s="328">
        <f t="shared" si="2"/>
        <v>17.944987956300182</v>
      </c>
      <c r="AV7" s="286">
        <f>AP7*AQ7*AR7*AS7*AT7*AU7</f>
        <v>18433.689794976755</v>
      </c>
      <c r="AW7" s="353">
        <v>4339.2666666666664</v>
      </c>
      <c r="AX7" s="354">
        <v>0.89147167724193033</v>
      </c>
      <c r="AY7" s="354">
        <v>0.99914691943127965</v>
      </c>
      <c r="AZ7" s="354">
        <v>0.31496925425395211</v>
      </c>
      <c r="BA7" s="354">
        <v>0.84381588675008901</v>
      </c>
      <c r="BB7" s="355">
        <v>20.865453932871553</v>
      </c>
      <c r="BC7" s="277">
        <v>21433.689794976755</v>
      </c>
      <c r="BD7" s="342" t="s">
        <v>256</v>
      </c>
      <c r="BE7" s="342">
        <f>BC7-AV7</f>
        <v>3000</v>
      </c>
      <c r="BF7" s="278">
        <f>'Road to 3k v2'!K8</f>
        <v>3000000000</v>
      </c>
    </row>
    <row r="8" spans="1:58" ht="28" customHeight="1" x14ac:dyDescent="0.2">
      <c r="B8" s="199" t="s">
        <v>19</v>
      </c>
      <c r="C8" s="199" t="s">
        <v>93</v>
      </c>
      <c r="D8" s="199" t="s">
        <v>21</v>
      </c>
      <c r="E8" s="197" t="s">
        <v>22</v>
      </c>
      <c r="F8" s="206" t="s">
        <v>242</v>
      </c>
      <c r="G8" s="235" t="s">
        <v>17</v>
      </c>
      <c r="H8" s="329"/>
      <c r="I8" s="331"/>
      <c r="J8" s="331"/>
      <c r="K8" s="331"/>
      <c r="L8" s="331"/>
      <c r="M8" s="332"/>
      <c r="N8" s="241"/>
      <c r="O8" s="248"/>
      <c r="P8" s="249"/>
      <c r="Q8" s="249"/>
      <c r="R8" s="249"/>
      <c r="S8" s="249"/>
      <c r="T8" s="249"/>
      <c r="U8" s="275">
        <f t="shared" si="1"/>
        <v>0</v>
      </c>
      <c r="V8" s="343"/>
      <c r="W8" s="343"/>
      <c r="X8" s="276"/>
      <c r="Y8" s="329">
        <v>6499.7</v>
      </c>
      <c r="Z8" s="331">
        <v>0.75938889487207106</v>
      </c>
      <c r="AA8" s="331">
        <v>0.9987033510271891</v>
      </c>
      <c r="AB8" s="331">
        <v>0.58092262750030432</v>
      </c>
      <c r="AC8" s="331">
        <v>0.9117195138985893</v>
      </c>
      <c r="AD8" s="332">
        <v>4.5960353914508962</v>
      </c>
      <c r="AE8" s="315">
        <f t="shared" si="0"/>
        <v>11999.329200000002</v>
      </c>
      <c r="AF8" s="345">
        <v>6102.7193709482353</v>
      </c>
      <c r="AG8" s="352">
        <v>0.7592845973416732</v>
      </c>
      <c r="AH8" s="352">
        <v>0.99887183603007423</v>
      </c>
      <c r="AI8" s="352">
        <v>0.60826688093144543</v>
      </c>
      <c r="AJ8" s="352">
        <v>0.91426257087669016</v>
      </c>
      <c r="AK8" s="347">
        <v>4.5479334020412878</v>
      </c>
      <c r="AL8" s="275">
        <v>11706.227639955127</v>
      </c>
      <c r="AM8" s="343" t="s">
        <v>253</v>
      </c>
      <c r="AN8" s="343">
        <f>AL8-AE8</f>
        <v>-293.10156004487544</v>
      </c>
      <c r="AO8" s="276">
        <f>'Road to 3k v2'!I10</f>
        <v>6315436421.0526247</v>
      </c>
      <c r="AP8" s="329"/>
      <c r="AQ8" s="331"/>
      <c r="AR8" s="331"/>
      <c r="AS8" s="331"/>
      <c r="AT8" s="331"/>
      <c r="AU8" s="332"/>
      <c r="AV8" s="283"/>
      <c r="AW8" s="248"/>
      <c r="AX8" s="249"/>
      <c r="AY8" s="249"/>
      <c r="AZ8" s="249"/>
      <c r="BA8" s="249"/>
      <c r="BB8" s="249"/>
      <c r="BC8" s="275">
        <v>0</v>
      </c>
      <c r="BD8" s="343"/>
      <c r="BE8" s="343"/>
      <c r="BF8" s="276"/>
    </row>
    <row r="9" spans="1:58" ht="28" customHeight="1" x14ac:dyDescent="0.2">
      <c r="B9" s="200" t="s">
        <v>19</v>
      </c>
      <c r="C9" s="203" t="s">
        <v>73</v>
      </c>
      <c r="D9" s="202" t="s">
        <v>13</v>
      </c>
      <c r="E9" s="198" t="s">
        <v>14</v>
      </c>
      <c r="F9" s="207" t="s">
        <v>242</v>
      </c>
      <c r="G9" s="210" t="s">
        <v>17</v>
      </c>
      <c r="H9" s="242"/>
      <c r="I9" s="243"/>
      <c r="J9" s="243"/>
      <c r="K9" s="243"/>
      <c r="L9" s="243"/>
      <c r="M9" s="243"/>
      <c r="N9" s="244"/>
      <c r="O9" s="250"/>
      <c r="P9" s="251"/>
      <c r="Q9" s="251"/>
      <c r="R9" s="251"/>
      <c r="S9" s="251"/>
      <c r="T9" s="251"/>
      <c r="U9" s="277">
        <f t="shared" si="1"/>
        <v>0</v>
      </c>
      <c r="V9" s="342"/>
      <c r="W9" s="342"/>
      <c r="X9" s="278"/>
      <c r="Y9" s="329">
        <v>6499.7</v>
      </c>
      <c r="Z9" s="331">
        <v>0.75938889487207106</v>
      </c>
      <c r="AA9" s="331">
        <v>0.9987033510271891</v>
      </c>
      <c r="AB9" s="331">
        <v>0.58092262750030432</v>
      </c>
      <c r="AC9" s="331">
        <v>0.9117195138985893</v>
      </c>
      <c r="AD9" s="332">
        <v>4.5960353914508962</v>
      </c>
      <c r="AE9" s="315">
        <f t="shared" si="0"/>
        <v>11999.329200000002</v>
      </c>
      <c r="AF9" s="353">
        <v>5798.1333333333332</v>
      </c>
      <c r="AG9" s="354">
        <v>0.7592845973416732</v>
      </c>
      <c r="AH9" s="354">
        <v>0.99887183603007423</v>
      </c>
      <c r="AI9" s="354">
        <v>0.60826688093144543</v>
      </c>
      <c r="AJ9" s="354">
        <v>0.91426257087669016</v>
      </c>
      <c r="AK9" s="355">
        <v>5.0926501601684606</v>
      </c>
      <c r="AL9" s="277">
        <v>12454.075966691969</v>
      </c>
      <c r="AM9" s="342" t="s">
        <v>256</v>
      </c>
      <c r="AN9" s="343">
        <f>AL9-AE9</f>
        <v>454.74676669196742</v>
      </c>
      <c r="AO9" s="278">
        <f>'Road to 3k v2'!I11</f>
        <v>14399195040</v>
      </c>
      <c r="AP9" s="242"/>
      <c r="AQ9" s="243"/>
      <c r="AR9" s="243"/>
      <c r="AS9" s="243"/>
      <c r="AT9" s="243"/>
      <c r="AU9" s="243"/>
      <c r="AV9" s="289"/>
      <c r="AW9" s="250"/>
      <c r="AX9" s="251"/>
      <c r="AY9" s="251"/>
      <c r="AZ9" s="251"/>
      <c r="BA9" s="251"/>
      <c r="BB9" s="251"/>
      <c r="BC9" s="277">
        <v>0</v>
      </c>
      <c r="BD9" s="342"/>
      <c r="BE9" s="342"/>
      <c r="BF9" s="278"/>
    </row>
    <row r="10" spans="1:58" ht="45" customHeight="1" x14ac:dyDescent="0.2">
      <c r="B10" s="199" t="s">
        <v>24</v>
      </c>
      <c r="C10" s="199" t="s">
        <v>89</v>
      </c>
      <c r="D10" s="199" t="s">
        <v>21</v>
      </c>
      <c r="E10" s="197" t="s">
        <v>22</v>
      </c>
      <c r="F10" s="208" t="s">
        <v>244</v>
      </c>
      <c r="G10" s="235" t="s">
        <v>17</v>
      </c>
      <c r="H10" s="329">
        <v>8904.9333333333325</v>
      </c>
      <c r="I10" s="330">
        <v>1</v>
      </c>
      <c r="J10" s="330">
        <v>1</v>
      </c>
      <c r="K10" s="331">
        <v>0.16870764608705099</v>
      </c>
      <c r="L10" s="331">
        <v>0.73936406430411228</v>
      </c>
      <c r="M10" s="332">
        <v>13.354991943651729</v>
      </c>
      <c r="N10" s="241">
        <f t="shared" ref="N10" si="3">H10*I10*J10*K10*L10*M10</f>
        <v>14834.311941286904</v>
      </c>
      <c r="O10" s="338">
        <v>10105.519294930797</v>
      </c>
      <c r="P10" s="339">
        <v>1</v>
      </c>
      <c r="Q10" s="339">
        <v>1</v>
      </c>
      <c r="R10" s="339">
        <v>0.16870764608705099</v>
      </c>
      <c r="S10" s="339">
        <v>0.73936406430411228</v>
      </c>
      <c r="T10" s="346">
        <v>13.354991943651729</v>
      </c>
      <c r="U10" s="275">
        <v>16834.311941286905</v>
      </c>
      <c r="V10" s="343" t="s">
        <v>253</v>
      </c>
      <c r="W10" s="343">
        <f>U10-N10</f>
        <v>2000.0000000000018</v>
      </c>
      <c r="X10" s="276">
        <f>'Road to 3k v2'!I14</f>
        <v>2000000000</v>
      </c>
      <c r="Y10" s="329"/>
      <c r="Z10" s="330"/>
      <c r="AA10" s="330"/>
      <c r="AB10" s="331"/>
      <c r="AC10" s="331"/>
      <c r="AD10" s="332"/>
      <c r="AE10" s="256"/>
      <c r="AF10" s="248"/>
      <c r="AG10" s="249"/>
      <c r="AH10" s="249"/>
      <c r="AI10" s="249"/>
      <c r="AJ10" s="249"/>
      <c r="AK10" s="249"/>
      <c r="AL10" s="275">
        <v>0</v>
      </c>
      <c r="AM10" s="343"/>
      <c r="AN10" s="343"/>
      <c r="AO10" s="276"/>
      <c r="AP10" s="329"/>
      <c r="AQ10" s="330"/>
      <c r="AR10" s="330"/>
      <c r="AS10" s="331"/>
      <c r="AT10" s="331"/>
      <c r="AU10" s="332"/>
      <c r="AV10" s="283"/>
      <c r="AW10" s="248"/>
      <c r="AX10" s="249"/>
      <c r="AY10" s="249"/>
      <c r="AZ10" s="249"/>
      <c r="BA10" s="249"/>
      <c r="BB10" s="249"/>
      <c r="BC10" s="275">
        <v>0</v>
      </c>
      <c r="BD10" s="343"/>
      <c r="BE10" s="343"/>
      <c r="BF10" s="276"/>
    </row>
    <row r="11" spans="1:58" ht="28" customHeight="1" x14ac:dyDescent="0.2">
      <c r="B11" s="200" t="s">
        <v>24</v>
      </c>
      <c r="C11" s="201" t="s">
        <v>94</v>
      </c>
      <c r="D11" s="202" t="s">
        <v>13</v>
      </c>
      <c r="E11" s="198" t="s">
        <v>14</v>
      </c>
      <c r="F11" s="207" t="s">
        <v>246</v>
      </c>
      <c r="G11" s="210" t="s">
        <v>17</v>
      </c>
      <c r="H11" s="242"/>
      <c r="I11" s="243"/>
      <c r="J11" s="243"/>
      <c r="K11" s="243"/>
      <c r="L11" s="243"/>
      <c r="M11" s="243"/>
      <c r="N11" s="244"/>
      <c r="O11" s="250"/>
      <c r="P11" s="251"/>
      <c r="Q11" s="251"/>
      <c r="R11" s="251"/>
      <c r="S11" s="251"/>
      <c r="T11" s="251"/>
      <c r="U11" s="277">
        <v>0</v>
      </c>
      <c r="V11" s="342"/>
      <c r="W11" s="342"/>
      <c r="X11" s="278"/>
      <c r="Y11" s="329">
        <v>10197.4</v>
      </c>
      <c r="Z11" s="330">
        <v>1</v>
      </c>
      <c r="AA11" s="330">
        <v>1</v>
      </c>
      <c r="AB11" s="331">
        <v>0.12324718174319495</v>
      </c>
      <c r="AC11" s="331">
        <v>0.75364512787825666</v>
      </c>
      <c r="AD11" s="332">
        <v>15.64739042981156</v>
      </c>
      <c r="AE11" s="315">
        <f t="shared" si="0"/>
        <v>14820.923557869482</v>
      </c>
      <c r="AF11" s="353">
        <v>8904.9333333333325</v>
      </c>
      <c r="AG11" s="354">
        <v>1</v>
      </c>
      <c r="AH11" s="354">
        <v>1</v>
      </c>
      <c r="AI11" s="354">
        <v>0.16870764608705099</v>
      </c>
      <c r="AJ11" s="354">
        <v>0.73936406430411228</v>
      </c>
      <c r="AK11" s="355">
        <v>16.055823366742292</v>
      </c>
      <c r="AL11" s="277">
        <v>17834.311941286905</v>
      </c>
      <c r="AM11" s="342" t="s">
        <v>256</v>
      </c>
      <c r="AN11" s="342">
        <f>AL11-AE11</f>
        <v>3013.388383417423</v>
      </c>
      <c r="AO11" s="278">
        <v>3000000000</v>
      </c>
      <c r="AP11" s="329">
        <f>AF11</f>
        <v>8904.9333333333325</v>
      </c>
      <c r="AQ11" s="330">
        <f t="shared" ref="AQ11:AU11" si="4">AG11</f>
        <v>1</v>
      </c>
      <c r="AR11" s="330">
        <f t="shared" si="4"/>
        <v>1</v>
      </c>
      <c r="AS11" s="331">
        <f t="shared" si="4"/>
        <v>0.16870764608705099</v>
      </c>
      <c r="AT11" s="331">
        <f t="shared" si="4"/>
        <v>0.73936406430411228</v>
      </c>
      <c r="AU11" s="332">
        <f t="shared" si="4"/>
        <v>16.055823366742292</v>
      </c>
      <c r="AV11" s="286">
        <f>AP11*AQ11*AR11*AS11*AT11*AU11</f>
        <v>17834.311941286905</v>
      </c>
      <c r="AW11" s="353">
        <v>8904.9333333333325</v>
      </c>
      <c r="AX11" s="356">
        <v>1</v>
      </c>
      <c r="AY11" s="356">
        <v>1</v>
      </c>
      <c r="AZ11" s="356">
        <v>0.16870764608705099</v>
      </c>
      <c r="BA11" s="356">
        <v>0.73936406430411228</v>
      </c>
      <c r="BB11" s="355">
        <v>18.756654789832851</v>
      </c>
      <c r="BC11" s="277">
        <v>20834.311941286905</v>
      </c>
      <c r="BD11" s="342" t="s">
        <v>256</v>
      </c>
      <c r="BE11" s="342">
        <f>BC11-AV11</f>
        <v>3000</v>
      </c>
      <c r="BF11" s="278">
        <f>'Road to 3k v2'!K14</f>
        <v>3000000000</v>
      </c>
    </row>
    <row r="12" spans="1:58" ht="33" customHeight="1" x14ac:dyDescent="0.2">
      <c r="B12" s="199" t="s">
        <v>28</v>
      </c>
      <c r="C12" s="199" t="s">
        <v>29</v>
      </c>
      <c r="D12" s="199" t="s">
        <v>21</v>
      </c>
      <c r="E12" s="197" t="s">
        <v>22</v>
      </c>
      <c r="F12" s="206" t="s">
        <v>242</v>
      </c>
      <c r="G12" s="235" t="s">
        <v>17</v>
      </c>
      <c r="H12" s="329"/>
      <c r="I12" s="330"/>
      <c r="J12" s="330"/>
      <c r="K12" s="331"/>
      <c r="L12" s="331"/>
      <c r="M12" s="332"/>
      <c r="N12" s="241"/>
      <c r="O12" s="248"/>
      <c r="P12" s="249"/>
      <c r="Q12" s="249"/>
      <c r="R12" s="249"/>
      <c r="S12" s="249"/>
      <c r="T12" s="249"/>
      <c r="U12" s="275">
        <v>0</v>
      </c>
      <c r="V12" s="343"/>
      <c r="W12" s="343"/>
      <c r="X12" s="300"/>
      <c r="Y12" s="329"/>
      <c r="Z12" s="330"/>
      <c r="AA12" s="330"/>
      <c r="AB12" s="331"/>
      <c r="AC12" s="331"/>
      <c r="AD12" s="332"/>
      <c r="AE12" s="315"/>
      <c r="AF12" s="248"/>
      <c r="AG12" s="249"/>
      <c r="AH12" s="249"/>
      <c r="AI12" s="249"/>
      <c r="AJ12" s="249"/>
      <c r="AK12" s="249"/>
      <c r="AL12" s="275">
        <v>0</v>
      </c>
      <c r="AM12" s="343"/>
      <c r="AN12" s="343"/>
      <c r="AO12" s="276"/>
      <c r="AP12" s="329"/>
      <c r="AQ12" s="330"/>
      <c r="AR12" s="330"/>
      <c r="AS12" s="331"/>
      <c r="AT12" s="331"/>
      <c r="AU12" s="332"/>
      <c r="AV12" s="292"/>
      <c r="AW12" s="248"/>
      <c r="AX12" s="249"/>
      <c r="AY12" s="249"/>
      <c r="AZ12" s="249"/>
      <c r="BA12" s="249"/>
      <c r="BB12" s="249"/>
      <c r="BC12" s="275">
        <v>0</v>
      </c>
      <c r="BD12" s="343"/>
      <c r="BE12" s="343"/>
      <c r="BF12" s="276"/>
    </row>
    <row r="13" spans="1:58" ht="28" customHeight="1" x14ac:dyDescent="0.2">
      <c r="B13" s="200" t="s">
        <v>28</v>
      </c>
      <c r="C13" s="201" t="s">
        <v>92</v>
      </c>
      <c r="D13" s="202" t="s">
        <v>13</v>
      </c>
      <c r="E13" s="198" t="s">
        <v>14</v>
      </c>
      <c r="F13" s="207" t="s">
        <v>242</v>
      </c>
      <c r="G13" s="210" t="s">
        <v>17</v>
      </c>
      <c r="H13" s="242"/>
      <c r="I13" s="243"/>
      <c r="J13" s="243"/>
      <c r="K13" s="243"/>
      <c r="L13" s="243"/>
      <c r="M13" s="243"/>
      <c r="N13" s="244"/>
      <c r="O13" s="250"/>
      <c r="P13" s="251"/>
      <c r="Q13" s="251"/>
      <c r="R13" s="251"/>
      <c r="S13" s="251"/>
      <c r="T13" s="251"/>
      <c r="U13" s="277">
        <v>0</v>
      </c>
      <c r="V13" s="342"/>
      <c r="W13" s="342"/>
      <c r="X13" s="301"/>
      <c r="Y13" s="329">
        <v>10429</v>
      </c>
      <c r="Z13" s="330">
        <v>1</v>
      </c>
      <c r="AA13" s="330">
        <v>1</v>
      </c>
      <c r="AB13" s="331">
        <v>0.46300388118203128</v>
      </c>
      <c r="AC13" s="331">
        <v>0.91716983089532111</v>
      </c>
      <c r="AD13" s="332">
        <v>3.5674636851277639</v>
      </c>
      <c r="AE13" s="315">
        <f t="shared" si="0"/>
        <v>15799.255437184836</v>
      </c>
      <c r="AF13" s="353">
        <v>8682.2333333333336</v>
      </c>
      <c r="AG13" s="356">
        <v>1</v>
      </c>
      <c r="AH13" s="356">
        <v>1</v>
      </c>
      <c r="AI13" s="356">
        <v>0.50165248603072854</v>
      </c>
      <c r="AJ13" s="356">
        <v>0.93189670361659915</v>
      </c>
      <c r="AK13" s="355">
        <v>3.5065523268878054</v>
      </c>
      <c r="AL13" s="277">
        <v>14232.543559010903</v>
      </c>
      <c r="AM13" s="342" t="s">
        <v>256</v>
      </c>
      <c r="AN13" s="342">
        <f t="shared" ref="AN13:AN18" si="5">AL13-AE13</f>
        <v>-1566.7118781739337</v>
      </c>
      <c r="AO13" s="278">
        <f>'Road to 3k v2'!I17</f>
        <v>0</v>
      </c>
      <c r="AP13" s="242"/>
      <c r="AQ13" s="243"/>
      <c r="AR13" s="243"/>
      <c r="AS13" s="243"/>
      <c r="AT13" s="243"/>
      <c r="AU13" s="243"/>
      <c r="AV13" s="286"/>
      <c r="AW13" s="250"/>
      <c r="AX13" s="251"/>
      <c r="AY13" s="251"/>
      <c r="AZ13" s="251"/>
      <c r="BA13" s="251"/>
      <c r="BB13" s="251"/>
      <c r="BC13" s="277">
        <v>0</v>
      </c>
      <c r="BD13" s="342"/>
      <c r="BE13" s="342"/>
      <c r="BF13" s="278"/>
    </row>
    <row r="14" spans="1:58" ht="28" customHeight="1" x14ac:dyDescent="0.2">
      <c r="B14" s="200" t="s">
        <v>28</v>
      </c>
      <c r="C14" s="467" t="s">
        <v>297</v>
      </c>
      <c r="D14" s="202" t="s">
        <v>13</v>
      </c>
      <c r="E14" s="198" t="s">
        <v>14</v>
      </c>
      <c r="F14" s="207" t="s">
        <v>242</v>
      </c>
      <c r="G14" s="210" t="s">
        <v>17</v>
      </c>
      <c r="H14" s="242"/>
      <c r="I14" s="243"/>
      <c r="J14" s="243"/>
      <c r="K14" s="243"/>
      <c r="L14" s="243"/>
      <c r="M14" s="243"/>
      <c r="N14" s="244"/>
      <c r="O14" s="250"/>
      <c r="P14" s="251"/>
      <c r="Q14" s="251"/>
      <c r="R14" s="251"/>
      <c r="S14" s="251"/>
      <c r="T14" s="251"/>
      <c r="U14" s="277"/>
      <c r="V14" s="342"/>
      <c r="W14" s="342"/>
      <c r="X14" s="301"/>
      <c r="Y14" s="329">
        <v>10429</v>
      </c>
      <c r="Z14" s="330">
        <v>1</v>
      </c>
      <c r="AA14" s="330">
        <v>1</v>
      </c>
      <c r="AB14" s="331">
        <v>0.46300388118203128</v>
      </c>
      <c r="AC14" s="331">
        <v>0.91716983089532111</v>
      </c>
      <c r="AD14" s="332">
        <v>3.5674636851277639</v>
      </c>
      <c r="AE14" s="315">
        <f t="shared" si="0"/>
        <v>15799.255437184836</v>
      </c>
      <c r="AF14" s="353">
        <v>8682.2333333333336</v>
      </c>
      <c r="AG14" s="356">
        <v>1</v>
      </c>
      <c r="AH14" s="356">
        <v>1</v>
      </c>
      <c r="AI14" s="356">
        <v>0.50165248603072854</v>
      </c>
      <c r="AJ14" s="356">
        <v>0.93189670361659915</v>
      </c>
      <c r="AK14" s="355">
        <v>3.9993036488632421</v>
      </c>
      <c r="AL14" s="277">
        <v>16232.543559010903</v>
      </c>
      <c r="AM14" s="342" t="s">
        <v>256</v>
      </c>
      <c r="AN14" s="342">
        <f t="shared" si="5"/>
        <v>433.28812182606634</v>
      </c>
      <c r="AO14" s="278">
        <v>2000000000</v>
      </c>
      <c r="AP14" s="242"/>
      <c r="AQ14" s="243"/>
      <c r="AR14" s="243"/>
      <c r="AS14" s="243"/>
      <c r="AT14" s="243"/>
      <c r="AU14" s="243"/>
      <c r="AV14" s="286"/>
      <c r="AW14" s="250"/>
      <c r="AX14" s="251"/>
      <c r="AY14" s="251"/>
      <c r="AZ14" s="251"/>
      <c r="BA14" s="251"/>
      <c r="BB14" s="251"/>
      <c r="BC14" s="277"/>
      <c r="BD14" s="342"/>
      <c r="BE14" s="342"/>
      <c r="BF14" s="278"/>
    </row>
    <row r="15" spans="1:58" ht="28" customHeight="1" x14ac:dyDescent="0.2">
      <c r="B15" s="199" t="s">
        <v>31</v>
      </c>
      <c r="C15" s="199" t="s">
        <v>136</v>
      </c>
      <c r="D15" s="199" t="s">
        <v>21</v>
      </c>
      <c r="E15" s="197" t="s">
        <v>14</v>
      </c>
      <c r="F15" s="206" t="s">
        <v>242</v>
      </c>
      <c r="G15" s="235" t="s">
        <v>17</v>
      </c>
      <c r="H15" s="329"/>
      <c r="I15" s="330"/>
      <c r="J15" s="330"/>
      <c r="K15" s="331"/>
      <c r="L15" s="331"/>
      <c r="M15" s="332"/>
      <c r="N15" s="241"/>
      <c r="O15" s="248"/>
      <c r="P15" s="249"/>
      <c r="Q15" s="249"/>
      <c r="R15" s="249"/>
      <c r="S15" s="249"/>
      <c r="T15" s="249"/>
      <c r="U15" s="275">
        <v>0</v>
      </c>
      <c r="V15" s="343"/>
      <c r="W15" s="343"/>
      <c r="X15" s="300"/>
      <c r="Y15" s="329">
        <v>1436.3</v>
      </c>
      <c r="Z15" s="330">
        <v>0.82454918888811535</v>
      </c>
      <c r="AA15" s="330">
        <v>0.99881786709448617</v>
      </c>
      <c r="AB15" s="331">
        <v>0.3785611632428777</v>
      </c>
      <c r="AC15" s="331">
        <v>0.93948191156766414</v>
      </c>
      <c r="AD15" s="332">
        <v>14.37407107083234</v>
      </c>
      <c r="AE15" s="315">
        <f t="shared" si="0"/>
        <v>6047.1716994991648</v>
      </c>
      <c r="AF15" s="338">
        <v>1233.1333333333334</v>
      </c>
      <c r="AG15" s="339">
        <v>0.80215710655782013</v>
      </c>
      <c r="AH15" s="339">
        <v>0.99841617523167647</v>
      </c>
      <c r="AI15" s="339">
        <v>0.44147428108545972</v>
      </c>
      <c r="AJ15" s="339">
        <v>0.95214067278287462</v>
      </c>
      <c r="AK15" s="347">
        <v>16.177660257995345</v>
      </c>
      <c r="AL15" s="275">
        <v>6715.8860284358016</v>
      </c>
      <c r="AM15" s="342" t="s">
        <v>256</v>
      </c>
      <c r="AN15" s="357">
        <f t="shared" si="5"/>
        <v>668.71432893663678</v>
      </c>
      <c r="AO15" s="276">
        <f>'Road to 3k v2'!I20</f>
        <v>8610068571.4285679</v>
      </c>
      <c r="AP15" s="329"/>
      <c r="AQ15" s="330"/>
      <c r="AR15" s="330"/>
      <c r="AS15" s="331"/>
      <c r="AT15" s="331"/>
      <c r="AU15" s="332"/>
      <c r="AV15" s="292"/>
      <c r="AW15" s="248"/>
      <c r="AX15" s="249"/>
      <c r="AY15" s="249"/>
      <c r="AZ15" s="249"/>
      <c r="BA15" s="249"/>
      <c r="BB15" s="249"/>
      <c r="BC15" s="275">
        <v>0</v>
      </c>
      <c r="BD15" s="343"/>
      <c r="BE15" s="343"/>
      <c r="BF15" s="276"/>
    </row>
    <row r="16" spans="1:58" ht="28" customHeight="1" x14ac:dyDescent="0.2">
      <c r="B16" s="200" t="s">
        <v>31</v>
      </c>
      <c r="C16" s="201" t="s">
        <v>34</v>
      </c>
      <c r="D16" s="202" t="s">
        <v>21</v>
      </c>
      <c r="E16" s="198" t="s">
        <v>35</v>
      </c>
      <c r="F16" s="207" t="s">
        <v>246</v>
      </c>
      <c r="G16" s="210" t="s">
        <v>17</v>
      </c>
      <c r="H16" s="242"/>
      <c r="I16" s="243"/>
      <c r="J16" s="243"/>
      <c r="K16" s="243"/>
      <c r="L16" s="243"/>
      <c r="M16" s="243"/>
      <c r="N16" s="244"/>
      <c r="O16" s="250"/>
      <c r="P16" s="251"/>
      <c r="Q16" s="251"/>
      <c r="R16" s="251"/>
      <c r="S16" s="251"/>
      <c r="T16" s="251"/>
      <c r="U16" s="277">
        <v>0</v>
      </c>
      <c r="V16" s="342"/>
      <c r="W16" s="342"/>
      <c r="X16" s="301"/>
      <c r="Y16" s="329">
        <v>1436.3</v>
      </c>
      <c r="Z16" s="330">
        <v>0.82454918888811535</v>
      </c>
      <c r="AA16" s="330">
        <v>0.99881786709448617</v>
      </c>
      <c r="AB16" s="331">
        <v>0.3785611632428777</v>
      </c>
      <c r="AC16" s="331">
        <v>0.93948191156766414</v>
      </c>
      <c r="AD16" s="332">
        <v>14.37407107083234</v>
      </c>
      <c r="AE16" s="315">
        <f t="shared" si="0"/>
        <v>6047.1716994991648</v>
      </c>
      <c r="AF16" s="353">
        <v>1442.9256983287412</v>
      </c>
      <c r="AG16" s="354">
        <v>0.80215710655782013</v>
      </c>
      <c r="AH16" s="354">
        <v>0.99841617523167647</v>
      </c>
      <c r="AI16" s="354">
        <v>0.44147428108545972</v>
      </c>
      <c r="AJ16" s="354">
        <v>0.95214067278287462</v>
      </c>
      <c r="AK16" s="355">
        <v>14.159005551532708</v>
      </c>
      <c r="AL16" s="277">
        <v>6877.8751712929452</v>
      </c>
      <c r="AM16" s="342" t="s">
        <v>253</v>
      </c>
      <c r="AN16" s="342">
        <f t="shared" si="5"/>
        <v>830.70347179378041</v>
      </c>
      <c r="AO16" s="278">
        <f>'Road to 3k v2'!I21</f>
        <v>1000000000</v>
      </c>
      <c r="AP16" s="329">
        <f>AF16</f>
        <v>1442.9256983287412</v>
      </c>
      <c r="AQ16" s="330">
        <f t="shared" ref="AQ16:AU16" si="6">AG16</f>
        <v>0.80215710655782013</v>
      </c>
      <c r="AR16" s="330">
        <f t="shared" si="6"/>
        <v>0.99841617523167647</v>
      </c>
      <c r="AS16" s="331">
        <f t="shared" si="6"/>
        <v>0.44147428108545972</v>
      </c>
      <c r="AT16" s="331">
        <f t="shared" si="6"/>
        <v>0.95214067278287462</v>
      </c>
      <c r="AU16" s="332">
        <f t="shared" si="6"/>
        <v>14.159005551532708</v>
      </c>
      <c r="AV16" s="286">
        <f>AP16*AQ16*AR16*AS16*AT16*AU16</f>
        <v>6877.8751712929461</v>
      </c>
      <c r="AW16" s="353">
        <v>1652.7180633241489</v>
      </c>
      <c r="AX16" s="354">
        <v>0.80215710655782013</v>
      </c>
      <c r="AY16" s="354">
        <v>0.99841617523167647</v>
      </c>
      <c r="AZ16" s="356">
        <v>0.44147428108545972</v>
      </c>
      <c r="BA16" s="356">
        <v>0.95214067278287462</v>
      </c>
      <c r="BB16" s="355">
        <v>14.159005551532708</v>
      </c>
      <c r="BC16" s="277">
        <v>7877.8751712929461</v>
      </c>
      <c r="BD16" s="342" t="s">
        <v>256</v>
      </c>
      <c r="BE16" s="342">
        <f>BC16-AV16</f>
        <v>1000</v>
      </c>
      <c r="BF16" s="278">
        <f>'Road to 3k v2'!K21</f>
        <v>1000000000</v>
      </c>
    </row>
    <row r="17" spans="2:58" ht="28" customHeight="1" x14ac:dyDescent="0.2">
      <c r="B17" s="199" t="s">
        <v>36</v>
      </c>
      <c r="C17" s="199" t="s">
        <v>38</v>
      </c>
      <c r="D17" s="199" t="s">
        <v>21</v>
      </c>
      <c r="E17" s="197" t="s">
        <v>33</v>
      </c>
      <c r="F17" s="206" t="s">
        <v>242</v>
      </c>
      <c r="G17" s="235" t="s">
        <v>17</v>
      </c>
      <c r="H17" s="329"/>
      <c r="I17" s="330"/>
      <c r="J17" s="330"/>
      <c r="K17" s="331"/>
      <c r="L17" s="331"/>
      <c r="M17" s="332"/>
      <c r="N17" s="241"/>
      <c r="O17" s="248"/>
      <c r="P17" s="249"/>
      <c r="Q17" s="249"/>
      <c r="R17" s="249"/>
      <c r="S17" s="249"/>
      <c r="T17" s="249"/>
      <c r="U17" s="275">
        <v>0</v>
      </c>
      <c r="V17" s="343"/>
      <c r="W17" s="343"/>
      <c r="X17" s="300"/>
      <c r="Y17" s="329">
        <v>440.8</v>
      </c>
      <c r="Z17" s="330">
        <v>1</v>
      </c>
      <c r="AA17" s="330">
        <v>1</v>
      </c>
      <c r="AB17" s="331">
        <v>0.41488878801634133</v>
      </c>
      <c r="AC17" s="331">
        <v>0.90754923413566735</v>
      </c>
      <c r="AD17" s="332">
        <v>22.868028933092226</v>
      </c>
      <c r="AE17" s="315">
        <f t="shared" si="0"/>
        <v>3795.5281089423515</v>
      </c>
      <c r="AF17" s="338">
        <v>442.66182448910712</v>
      </c>
      <c r="AG17" s="339">
        <v>1</v>
      </c>
      <c r="AH17" s="339">
        <v>1</v>
      </c>
      <c r="AI17" s="339">
        <v>0.44149956408020924</v>
      </c>
      <c r="AJ17" s="339">
        <v>0.9091627172195893</v>
      </c>
      <c r="AK17" s="347">
        <v>22.650284146259352</v>
      </c>
      <c r="AL17" s="275">
        <v>4024.5527244262335</v>
      </c>
      <c r="AM17" s="343" t="s">
        <v>253</v>
      </c>
      <c r="AN17" s="342">
        <f t="shared" si="5"/>
        <v>229.02461548388192</v>
      </c>
      <c r="AO17" s="276">
        <f>'Road to 3k v2'!I23</f>
        <v>500000000</v>
      </c>
      <c r="AP17" s="329"/>
      <c r="AQ17" s="330"/>
      <c r="AR17" s="330"/>
      <c r="AS17" s="331"/>
      <c r="AT17" s="331"/>
      <c r="AU17" s="332"/>
      <c r="AV17" s="292"/>
      <c r="AW17" s="248"/>
      <c r="AX17" s="249"/>
      <c r="AY17" s="249"/>
      <c r="AZ17" s="249"/>
      <c r="BA17" s="249"/>
      <c r="BB17" s="249"/>
      <c r="BC17" s="275">
        <v>0</v>
      </c>
      <c r="BD17" s="343"/>
      <c r="BE17" s="343"/>
      <c r="BF17" s="276"/>
    </row>
    <row r="18" spans="2:58" ht="28" customHeight="1" x14ac:dyDescent="0.2">
      <c r="B18" s="200" t="s">
        <v>36</v>
      </c>
      <c r="C18" s="203" t="s">
        <v>137</v>
      </c>
      <c r="D18" s="202" t="s">
        <v>13</v>
      </c>
      <c r="E18" s="198" t="s">
        <v>33</v>
      </c>
      <c r="F18" s="207" t="s">
        <v>242</v>
      </c>
      <c r="G18" s="210" t="s">
        <v>17</v>
      </c>
      <c r="H18" s="242"/>
      <c r="I18" s="243"/>
      <c r="J18" s="243"/>
      <c r="K18" s="243"/>
      <c r="L18" s="243"/>
      <c r="M18" s="243"/>
      <c r="N18" s="244"/>
      <c r="O18" s="250"/>
      <c r="P18" s="251"/>
      <c r="Q18" s="251"/>
      <c r="R18" s="251"/>
      <c r="S18" s="251"/>
      <c r="T18" s="251"/>
      <c r="U18" s="277">
        <v>0</v>
      </c>
      <c r="V18" s="342"/>
      <c r="W18" s="342"/>
      <c r="X18" s="301"/>
      <c r="Y18" s="329">
        <v>440.8</v>
      </c>
      <c r="Z18" s="330">
        <v>1</v>
      </c>
      <c r="AA18" s="330">
        <v>1</v>
      </c>
      <c r="AB18" s="331">
        <v>0.41488878801634133</v>
      </c>
      <c r="AC18" s="331">
        <v>0.90754923413566735</v>
      </c>
      <c r="AD18" s="332">
        <v>22.868028933092226</v>
      </c>
      <c r="AE18" s="315">
        <f t="shared" si="0"/>
        <v>3795.5281089423515</v>
      </c>
      <c r="AF18" s="353">
        <v>387.66666666666669</v>
      </c>
      <c r="AG18" s="354">
        <v>1</v>
      </c>
      <c r="AH18" s="354">
        <v>1</v>
      </c>
      <c r="AI18" s="354">
        <v>0.48489094187246368</v>
      </c>
      <c r="AJ18" s="354">
        <v>0.9091627172195893</v>
      </c>
      <c r="AK18" s="355">
        <v>22.650284146259352</v>
      </c>
      <c r="AL18" s="275">
        <v>3870.9521577595669</v>
      </c>
      <c r="AM18" s="342" t="s">
        <v>255</v>
      </c>
      <c r="AN18" s="357">
        <f t="shared" si="5"/>
        <v>75.424048817215407</v>
      </c>
      <c r="AO18" s="278">
        <f>'Road to 3k v2'!I24</f>
        <v>3793806000.0000033</v>
      </c>
      <c r="AP18" s="242"/>
      <c r="AQ18" s="243"/>
      <c r="AR18" s="243"/>
      <c r="AS18" s="243"/>
      <c r="AT18" s="243"/>
      <c r="AU18" s="243"/>
      <c r="AV18" s="286"/>
      <c r="AW18" s="250"/>
      <c r="AX18" s="251"/>
      <c r="AY18" s="251"/>
      <c r="AZ18" s="251"/>
      <c r="BA18" s="251"/>
      <c r="BB18" s="251"/>
      <c r="BC18" s="277">
        <v>0</v>
      </c>
      <c r="BD18" s="342"/>
      <c r="BE18" s="342"/>
      <c r="BF18" s="278"/>
    </row>
    <row r="19" spans="2:58" ht="28" customHeight="1" x14ac:dyDescent="0.2">
      <c r="B19" s="199" t="s">
        <v>39</v>
      </c>
      <c r="C19" s="199" t="s">
        <v>40</v>
      </c>
      <c r="D19" s="199" t="s">
        <v>21</v>
      </c>
      <c r="E19" s="197" t="s">
        <v>33</v>
      </c>
      <c r="F19" s="208" t="s">
        <v>244</v>
      </c>
      <c r="G19" s="235" t="s">
        <v>17</v>
      </c>
      <c r="H19" s="364">
        <v>285.52380952380952</v>
      </c>
      <c r="I19" s="365">
        <v>1</v>
      </c>
      <c r="J19" s="365">
        <v>1</v>
      </c>
      <c r="K19" s="366">
        <v>0.60440660991487227</v>
      </c>
      <c r="L19" s="366">
        <v>0.81248273957470307</v>
      </c>
      <c r="M19" s="367">
        <v>4.2</v>
      </c>
      <c r="N19" s="396">
        <v>1208.7673317142855</v>
      </c>
      <c r="O19" s="364">
        <v>397.33333333333331</v>
      </c>
      <c r="P19" s="365">
        <v>1</v>
      </c>
      <c r="Q19" s="365">
        <v>1</v>
      </c>
      <c r="R19" s="365">
        <v>0.60440660991487227</v>
      </c>
      <c r="S19" s="365">
        <v>0.81248273957470307</v>
      </c>
      <c r="T19" s="369">
        <v>4.2</v>
      </c>
      <c r="U19" s="397">
        <v>1508.7673317142855</v>
      </c>
      <c r="V19" s="398" t="s">
        <v>253</v>
      </c>
      <c r="W19" s="398">
        <f>U19-N19</f>
        <v>300</v>
      </c>
      <c r="X19" s="302">
        <f>'Road to 3k v2'!G26</f>
        <v>300000000</v>
      </c>
      <c r="Y19" s="329"/>
      <c r="Z19" s="330"/>
      <c r="AA19" s="330"/>
      <c r="AB19" s="331"/>
      <c r="AC19" s="331"/>
      <c r="AD19" s="240"/>
      <c r="AE19" s="271"/>
      <c r="AF19" s="248"/>
      <c r="AG19" s="249"/>
      <c r="AH19" s="249"/>
      <c r="AI19" s="249"/>
      <c r="AJ19" s="249"/>
      <c r="AK19" s="249"/>
      <c r="AL19" s="275">
        <v>0</v>
      </c>
      <c r="AM19" s="343"/>
      <c r="AN19" s="343"/>
      <c r="AO19" s="276"/>
      <c r="AP19" s="329"/>
      <c r="AQ19" s="330"/>
      <c r="AR19" s="330"/>
      <c r="AS19" s="331"/>
      <c r="AT19" s="331"/>
      <c r="AU19" s="240"/>
      <c r="AV19" s="295"/>
      <c r="AW19" s="248"/>
      <c r="AX19" s="249"/>
      <c r="AY19" s="249"/>
      <c r="AZ19" s="249"/>
      <c r="BA19" s="249"/>
      <c r="BB19" s="249"/>
      <c r="BC19" s="275">
        <v>0</v>
      </c>
      <c r="BD19" s="343"/>
      <c r="BE19" s="343"/>
      <c r="BF19" s="276"/>
    </row>
    <row r="20" spans="2:58" ht="28" customHeight="1" x14ac:dyDescent="0.2">
      <c r="B20" s="200" t="s">
        <v>39</v>
      </c>
      <c r="C20" s="201" t="s">
        <v>41</v>
      </c>
      <c r="D20" s="202" t="s">
        <v>42</v>
      </c>
      <c r="E20" s="198" t="s">
        <v>35</v>
      </c>
      <c r="F20" s="207" t="s">
        <v>246</v>
      </c>
      <c r="G20" s="210" t="s">
        <v>17</v>
      </c>
      <c r="H20" s="242"/>
      <c r="I20" s="243"/>
      <c r="J20" s="243"/>
      <c r="K20" s="243"/>
      <c r="L20" s="243"/>
      <c r="M20" s="243"/>
      <c r="N20" s="244"/>
      <c r="O20" s="250"/>
      <c r="P20" s="251"/>
      <c r="Q20" s="251"/>
      <c r="R20" s="251"/>
      <c r="S20" s="251"/>
      <c r="T20" s="251"/>
      <c r="U20" s="277">
        <v>0</v>
      </c>
      <c r="V20" s="342"/>
      <c r="W20" s="342"/>
      <c r="X20" s="301"/>
      <c r="Y20" s="364">
        <v>285.52380952380952</v>
      </c>
      <c r="Z20" s="365">
        <v>1</v>
      </c>
      <c r="AA20" s="365">
        <v>1</v>
      </c>
      <c r="AB20" s="366">
        <v>0.60440660991487227</v>
      </c>
      <c r="AC20" s="366">
        <v>0.81248273957470307</v>
      </c>
      <c r="AD20" s="367">
        <v>4.2</v>
      </c>
      <c r="AE20" s="368">
        <v>1208.7673317142858</v>
      </c>
      <c r="AF20" s="360"/>
      <c r="AG20" s="361"/>
      <c r="AH20" s="361"/>
      <c r="AI20" s="361"/>
      <c r="AJ20" s="361"/>
      <c r="AK20" s="362"/>
      <c r="AL20" s="363"/>
      <c r="AM20" s="358" t="s">
        <v>253</v>
      </c>
      <c r="AN20" s="358"/>
      <c r="AO20" s="278">
        <f>'Road to 3k v2'!I27</f>
        <v>2000000000</v>
      </c>
      <c r="AP20" s="329">
        <v>285.52380952380952</v>
      </c>
      <c r="AQ20" s="330">
        <v>1</v>
      </c>
      <c r="AR20" s="330">
        <v>1</v>
      </c>
      <c r="AS20" s="331">
        <v>0.60440660991487227</v>
      </c>
      <c r="AT20" s="331">
        <v>0.81248273957470307</v>
      </c>
      <c r="AU20" s="333">
        <v>4.2</v>
      </c>
      <c r="AV20" s="334">
        <v>1208.7673317142858</v>
      </c>
      <c r="AW20" s="373"/>
      <c r="AX20" s="374"/>
      <c r="AY20" s="374"/>
      <c r="AZ20" s="374"/>
      <c r="BA20" s="374"/>
      <c r="BB20" s="374"/>
      <c r="BC20" s="363">
        <v>0</v>
      </c>
      <c r="BD20" s="358"/>
      <c r="BE20" s="358"/>
      <c r="BF20" s="278">
        <f>'Road to 3k v2'!K27</f>
        <v>2000000000</v>
      </c>
    </row>
    <row r="21" spans="2:58" ht="28" customHeight="1" x14ac:dyDescent="0.2">
      <c r="B21" s="199" t="s">
        <v>43</v>
      </c>
      <c r="C21" s="199" t="s">
        <v>44</v>
      </c>
      <c r="D21" s="199" t="s">
        <v>21</v>
      </c>
      <c r="E21" s="197" t="s">
        <v>35</v>
      </c>
      <c r="F21" s="207" t="s">
        <v>242</v>
      </c>
      <c r="G21" s="235" t="s">
        <v>17</v>
      </c>
      <c r="H21" s="239"/>
      <c r="I21" s="240"/>
      <c r="J21" s="240"/>
      <c r="K21" s="240"/>
      <c r="L21" s="240"/>
      <c r="M21" s="240"/>
      <c r="N21" s="241"/>
      <c r="O21" s="248"/>
      <c r="P21" s="249"/>
      <c r="Q21" s="249"/>
      <c r="R21" s="249"/>
      <c r="S21" s="249"/>
      <c r="T21" s="249"/>
      <c r="U21" s="275">
        <v>0</v>
      </c>
      <c r="V21" s="343"/>
      <c r="W21" s="343"/>
      <c r="X21" s="300"/>
      <c r="Y21" s="239"/>
      <c r="Z21" s="240"/>
      <c r="AA21" s="240"/>
      <c r="AB21" s="240"/>
      <c r="AC21" s="240"/>
      <c r="AD21" s="240"/>
      <c r="AE21" s="265"/>
      <c r="AF21" s="248"/>
      <c r="AG21" s="249"/>
      <c r="AH21" s="249"/>
      <c r="AI21" s="249"/>
      <c r="AJ21" s="249"/>
      <c r="AK21" s="249"/>
      <c r="AL21" s="275">
        <v>0</v>
      </c>
      <c r="AM21" s="343"/>
      <c r="AN21" s="343"/>
      <c r="AO21" s="276">
        <f>'Road to 3k v2'!I28</f>
        <v>700000000</v>
      </c>
      <c r="AP21" s="239"/>
      <c r="AQ21" s="240"/>
      <c r="AR21" s="240"/>
      <c r="AS21" s="240"/>
      <c r="AT21" s="240"/>
      <c r="AU21" s="240"/>
      <c r="AV21" s="292"/>
      <c r="AW21" s="248"/>
      <c r="AX21" s="249"/>
      <c r="AY21" s="249"/>
      <c r="AZ21" s="249"/>
      <c r="BA21" s="249"/>
      <c r="BB21" s="249"/>
      <c r="BC21" s="275"/>
      <c r="BD21" s="343"/>
      <c r="BE21" s="343"/>
      <c r="BF21" s="276"/>
    </row>
    <row r="22" spans="2:58" ht="28" customHeight="1" x14ac:dyDescent="0.2">
      <c r="B22" s="199" t="s">
        <v>57</v>
      </c>
      <c r="C22" s="199"/>
      <c r="D22" s="199"/>
      <c r="E22" s="197"/>
      <c r="F22" s="207"/>
      <c r="G22" s="235"/>
      <c r="H22" s="329"/>
      <c r="I22" s="330"/>
      <c r="J22" s="330"/>
      <c r="K22" s="331"/>
      <c r="L22" s="331"/>
      <c r="M22" s="332"/>
      <c r="N22" s="241"/>
      <c r="O22" s="248"/>
      <c r="P22" s="249"/>
      <c r="Q22" s="249"/>
      <c r="R22" s="249"/>
      <c r="S22" s="249"/>
      <c r="T22" s="249"/>
      <c r="U22" s="275">
        <v>0</v>
      </c>
      <c r="V22" s="343"/>
      <c r="W22" s="343"/>
      <c r="X22" s="300"/>
      <c r="Y22" s="329">
        <v>144.30000000000001</v>
      </c>
      <c r="Z22" s="330">
        <v>1</v>
      </c>
      <c r="AA22" s="330">
        <v>1</v>
      </c>
      <c r="AB22" s="331">
        <v>0.32453092425295343</v>
      </c>
      <c r="AC22" s="331">
        <v>0.8179871520342612</v>
      </c>
      <c r="AD22" s="332">
        <v>19.918900523560211</v>
      </c>
      <c r="AE22" s="315">
        <f t="shared" ref="AE22:AE23" si="7">Y22*Z22*AA22*AB22*AC22*AD22</f>
        <v>763.01708547602516</v>
      </c>
      <c r="AF22" s="345">
        <v>214.6</v>
      </c>
      <c r="AG22" s="339">
        <v>1</v>
      </c>
      <c r="AH22" s="339">
        <v>1</v>
      </c>
      <c r="AI22" s="352">
        <v>0.32104526364909008</v>
      </c>
      <c r="AJ22" s="352">
        <v>0.85029069767441856</v>
      </c>
      <c r="AK22" s="347">
        <v>19.456036113499568</v>
      </c>
      <c r="AL22" s="275">
        <v>1139.7714557745446</v>
      </c>
      <c r="AM22" s="343" t="s">
        <v>253</v>
      </c>
      <c r="AN22" s="342">
        <f t="shared" ref="AN22:AN23" si="8">AL22-AE22</f>
        <v>376.75437029851946</v>
      </c>
      <c r="AO22" s="276"/>
      <c r="AP22" s="329">
        <v>143.85714285714286</v>
      </c>
      <c r="AQ22" s="330">
        <v>1</v>
      </c>
      <c r="AR22" s="330">
        <v>1</v>
      </c>
      <c r="AS22" s="331">
        <v>0.3156498673740053</v>
      </c>
      <c r="AT22" s="331">
        <v>0.85399159663865543</v>
      </c>
      <c r="AU22" s="332">
        <v>19.802310559006212</v>
      </c>
      <c r="AV22" s="286">
        <f t="shared" ref="AV22:AV23" si="9">AP22*AQ22*AR22*AS22*AT22*AU22</f>
        <v>767.90325094085608</v>
      </c>
      <c r="AW22" s="248"/>
      <c r="AX22" s="249"/>
      <c r="AY22" s="249"/>
      <c r="AZ22" s="249"/>
      <c r="BA22" s="249"/>
      <c r="BB22" s="249"/>
      <c r="BC22" s="275"/>
      <c r="BD22" s="343"/>
      <c r="BE22" s="343"/>
      <c r="BF22" s="276"/>
    </row>
    <row r="23" spans="2:58" ht="28" customHeight="1" x14ac:dyDescent="0.2">
      <c r="B23" s="199" t="s">
        <v>63</v>
      </c>
      <c r="C23" s="199"/>
      <c r="D23" s="199"/>
      <c r="E23" s="197"/>
      <c r="F23" s="207"/>
      <c r="G23" s="235"/>
      <c r="H23" s="329"/>
      <c r="I23" s="330"/>
      <c r="J23" s="330"/>
      <c r="K23" s="331"/>
      <c r="L23" s="331"/>
      <c r="M23" s="332"/>
      <c r="N23" s="241"/>
      <c r="O23" s="248"/>
      <c r="P23" s="249"/>
      <c r="Q23" s="249"/>
      <c r="R23" s="249"/>
      <c r="S23" s="249"/>
      <c r="T23" s="249"/>
      <c r="U23" s="275">
        <v>0</v>
      </c>
      <c r="V23" s="343"/>
      <c r="W23" s="343"/>
      <c r="X23" s="300"/>
      <c r="Y23" s="329">
        <v>251.9</v>
      </c>
      <c r="Z23" s="330">
        <v>1</v>
      </c>
      <c r="AA23" s="330">
        <v>1</v>
      </c>
      <c r="AB23" s="331">
        <v>0.27969805323798175</v>
      </c>
      <c r="AC23" s="331">
        <v>0.93039772727272729</v>
      </c>
      <c r="AD23" s="332">
        <v>4.3769724770642195</v>
      </c>
      <c r="AE23" s="315">
        <f t="shared" si="7"/>
        <v>286.9195015363419</v>
      </c>
      <c r="AF23" s="345">
        <v>283.15000000000003</v>
      </c>
      <c r="AG23" s="339">
        <v>1</v>
      </c>
      <c r="AH23" s="339">
        <v>1</v>
      </c>
      <c r="AI23" s="352">
        <v>0.42400141392718277</v>
      </c>
      <c r="AJ23" s="352">
        <v>0.92746977907461448</v>
      </c>
      <c r="AK23" s="347">
        <v>4.389089833450492</v>
      </c>
      <c r="AL23" s="275">
        <v>488.71774471718862</v>
      </c>
      <c r="AM23" s="343" t="s">
        <v>253</v>
      </c>
      <c r="AN23" s="342">
        <f t="shared" si="8"/>
        <v>201.79824318084673</v>
      </c>
      <c r="AO23" s="276"/>
      <c r="AP23" s="329">
        <v>159.47619047619048</v>
      </c>
      <c r="AQ23" s="330">
        <v>1</v>
      </c>
      <c r="AR23" s="330">
        <v>1</v>
      </c>
      <c r="AS23" s="331">
        <v>0.51001494768310907</v>
      </c>
      <c r="AT23" s="331">
        <v>0.92790152403282533</v>
      </c>
      <c r="AU23" s="332">
        <v>4.389089833450492</v>
      </c>
      <c r="AV23" s="286">
        <f t="shared" si="9"/>
        <v>331.24941151787709</v>
      </c>
      <c r="AW23" s="248"/>
      <c r="AX23" s="249"/>
      <c r="AY23" s="249"/>
      <c r="AZ23" s="249"/>
      <c r="BA23" s="249"/>
      <c r="BB23" s="249"/>
      <c r="BC23" s="275"/>
      <c r="BD23" s="343"/>
      <c r="BE23" s="343"/>
      <c r="BF23" s="276"/>
    </row>
    <row r="24" spans="2:58" ht="28" customHeight="1" x14ac:dyDescent="0.2">
      <c r="B24" s="199" t="s">
        <v>59</v>
      </c>
      <c r="C24" s="199"/>
      <c r="D24" s="199"/>
      <c r="E24" s="197"/>
      <c r="F24" s="207"/>
      <c r="G24" s="235"/>
      <c r="H24" s="329"/>
      <c r="I24" s="330"/>
      <c r="J24" s="330"/>
      <c r="K24" s="331"/>
      <c r="L24" s="331"/>
      <c r="M24" s="240"/>
      <c r="N24" s="241"/>
      <c r="O24" s="248"/>
      <c r="P24" s="249"/>
      <c r="Q24" s="249"/>
      <c r="R24" s="249"/>
      <c r="S24" s="249"/>
      <c r="T24" s="249"/>
      <c r="U24" s="275">
        <v>0</v>
      </c>
      <c r="V24" s="343"/>
      <c r="W24" s="343"/>
      <c r="X24" s="300"/>
      <c r="Y24" s="329">
        <v>400.1904761904762</v>
      </c>
      <c r="Z24" s="330">
        <v>1</v>
      </c>
      <c r="AA24" s="330">
        <v>1</v>
      </c>
      <c r="AB24" s="331">
        <v>8.8555858310626706E-2</v>
      </c>
      <c r="AC24" s="331">
        <v>0.83846153846153848</v>
      </c>
      <c r="AD24" s="336">
        <v>1.7</v>
      </c>
      <c r="AE24" s="337">
        <v>506.04596485714285</v>
      </c>
      <c r="AF24" s="364">
        <v>600.28571428571433</v>
      </c>
      <c r="AG24" s="365">
        <v>1</v>
      </c>
      <c r="AH24" s="365">
        <v>1</v>
      </c>
      <c r="AI24" s="366">
        <v>8.8555858310626706E-2</v>
      </c>
      <c r="AJ24" s="366">
        <v>0.83846153846153848</v>
      </c>
      <c r="AK24" s="371">
        <v>1.7</v>
      </c>
      <c r="AL24" s="372">
        <v>663.21623135989853</v>
      </c>
      <c r="AM24" s="370" t="s">
        <v>253</v>
      </c>
      <c r="AN24" s="370">
        <f>AO21/1000000-AN22-AN23</f>
        <v>121.44738652063381</v>
      </c>
      <c r="AO24" s="276"/>
      <c r="AP24" s="329">
        <v>400.1904761904762</v>
      </c>
      <c r="AQ24" s="330">
        <v>1</v>
      </c>
      <c r="AR24" s="330">
        <v>1</v>
      </c>
      <c r="AS24" s="331">
        <v>9.3377798951881849E-2</v>
      </c>
      <c r="AT24" s="331">
        <v>0.8392857142857143</v>
      </c>
      <c r="AU24" s="336">
        <v>1.7</v>
      </c>
      <c r="AV24" s="337">
        <v>506.04596485714285</v>
      </c>
      <c r="AW24" s="248"/>
      <c r="AX24" s="249"/>
      <c r="AY24" s="249"/>
      <c r="AZ24" s="249"/>
      <c r="BA24" s="249"/>
      <c r="BB24" s="249"/>
      <c r="BC24" s="275"/>
      <c r="BD24" s="343"/>
      <c r="BE24" s="343"/>
      <c r="BF24" s="276"/>
    </row>
    <row r="25" spans="2:58" ht="28" customHeight="1" x14ac:dyDescent="0.2">
      <c r="B25" s="204" t="s">
        <v>45</v>
      </c>
      <c r="C25" s="237"/>
      <c r="D25" s="199" t="s">
        <v>42</v>
      </c>
      <c r="E25" s="197" t="s">
        <v>35</v>
      </c>
      <c r="F25" s="211" t="s">
        <v>245</v>
      </c>
      <c r="G25" s="210" t="s">
        <v>17</v>
      </c>
      <c r="H25" s="245"/>
      <c r="I25" s="246"/>
      <c r="J25" s="246"/>
      <c r="K25" s="246"/>
      <c r="L25" s="246"/>
      <c r="M25" s="246"/>
      <c r="N25" s="247"/>
      <c r="O25" s="252"/>
      <c r="P25" s="253"/>
      <c r="Q25" s="253"/>
      <c r="R25" s="253"/>
      <c r="S25" s="253"/>
      <c r="T25" s="253"/>
      <c r="U25" s="279">
        <f t="shared" si="1"/>
        <v>0</v>
      </c>
      <c r="V25" s="344"/>
      <c r="W25" s="344"/>
      <c r="X25" s="303"/>
      <c r="Y25" s="272"/>
      <c r="Z25" s="273"/>
      <c r="AA25" s="273"/>
      <c r="AB25" s="273"/>
      <c r="AC25" s="273"/>
      <c r="AD25" s="273"/>
      <c r="AE25" s="274"/>
      <c r="AF25" s="252"/>
      <c r="AG25" s="253"/>
      <c r="AH25" s="253"/>
      <c r="AI25" s="253"/>
      <c r="AJ25" s="253"/>
      <c r="AK25" s="253"/>
      <c r="AL25" s="279">
        <v>0</v>
      </c>
      <c r="AM25" s="344"/>
      <c r="AN25" s="344"/>
      <c r="AO25" s="280">
        <f>'Road to 3k v2'!I29</f>
        <v>700000000</v>
      </c>
      <c r="AP25" s="272"/>
      <c r="AQ25" s="273"/>
      <c r="AR25" s="273"/>
      <c r="AS25" s="273"/>
      <c r="AT25" s="273"/>
      <c r="AU25" s="273"/>
      <c r="AV25" s="298"/>
      <c r="AW25" s="252"/>
      <c r="AX25" s="253"/>
      <c r="AY25" s="253"/>
      <c r="AZ25" s="253"/>
      <c r="BA25" s="253"/>
      <c r="BB25" s="253"/>
      <c r="BC25" s="279">
        <f t="shared" ref="BC25" si="10">AW25*AX25*AY25*AZ25*BA25*BB25</f>
        <v>0</v>
      </c>
      <c r="BD25" s="344"/>
      <c r="BE25" s="344"/>
      <c r="BF25" s="280">
        <f>'Road to 3k v2'!K29</f>
        <v>300000000</v>
      </c>
    </row>
    <row r="26" spans="2:58" x14ac:dyDescent="0.2">
      <c r="X26" s="238">
        <f>SUM(X6:X25)</f>
        <v>2300000000</v>
      </c>
      <c r="AE26" s="236">
        <f>AE24/AD24</f>
        <v>297.6740969747899</v>
      </c>
      <c r="AL26" s="236">
        <f>AL24/AK24</f>
        <v>390.12719491758736</v>
      </c>
    </row>
    <row r="27" spans="2:58" hidden="1" x14ac:dyDescent="0.2">
      <c r="M27" s="236"/>
      <c r="N27" s="335"/>
      <c r="AE27" s="236">
        <f>16449+10855+7155</f>
        <v>34459</v>
      </c>
      <c r="AF27" s="359"/>
      <c r="AL27" s="359">
        <f>AL26/AE26-1</f>
        <v>0.31058496148096926</v>
      </c>
    </row>
    <row r="28" spans="2:58" hidden="1" x14ac:dyDescent="0.2">
      <c r="N28" s="236"/>
      <c r="AE28" s="335">
        <f>AE27/22</f>
        <v>1566.3181818181818</v>
      </c>
      <c r="AL28" s="236"/>
    </row>
    <row r="29" spans="2:58" hidden="1" x14ac:dyDescent="0.2"/>
    <row r="30" spans="2:58" hidden="1" x14ac:dyDescent="0.2"/>
    <row r="31" spans="2:58" hidden="1" x14ac:dyDescent="0.2"/>
    <row r="32" spans="2:58" hidden="1" x14ac:dyDescent="0.2"/>
    <row r="33" spans="1:58" ht="42" hidden="1" customHeight="1" x14ac:dyDescent="0.2">
      <c r="H33" s="616" t="s">
        <v>262</v>
      </c>
      <c r="I33" s="617"/>
      <c r="J33" s="617"/>
      <c r="K33" s="617"/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7"/>
      <c r="W33" s="617"/>
      <c r="X33" s="618"/>
      <c r="Y33" s="616" t="s">
        <v>141</v>
      </c>
      <c r="Z33" s="61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7"/>
      <c r="AK33" s="617"/>
      <c r="AL33" s="617"/>
      <c r="AM33" s="617"/>
      <c r="AN33" s="617"/>
      <c r="AO33" s="618"/>
      <c r="AP33" s="619" t="s">
        <v>245</v>
      </c>
      <c r="AQ33" s="620"/>
      <c r="AR33" s="620"/>
      <c r="AS33" s="620"/>
      <c r="AT33" s="620"/>
      <c r="AU33" s="620"/>
      <c r="AV33" s="620"/>
      <c r="AW33" s="620"/>
      <c r="AX33" s="620"/>
      <c r="AY33" s="620"/>
      <c r="AZ33" s="620"/>
      <c r="BA33" s="620"/>
      <c r="BB33" s="620"/>
      <c r="BC33" s="620"/>
      <c r="BD33" s="620"/>
      <c r="BE33" s="620"/>
      <c r="BF33" s="620"/>
    </row>
    <row r="34" spans="1:58" s="305" customFormat="1" ht="42" hidden="1" customHeight="1" x14ac:dyDescent="0.2">
      <c r="A34" s="304"/>
      <c r="B34" s="304"/>
      <c r="C34" s="304"/>
      <c r="D34" s="304"/>
      <c r="E34" s="304"/>
      <c r="F34" s="304"/>
      <c r="G34" s="304"/>
      <c r="H34" s="624" t="s">
        <v>265</v>
      </c>
      <c r="I34" s="625"/>
      <c r="J34" s="625"/>
      <c r="K34" s="625"/>
      <c r="L34" s="625"/>
      <c r="M34" s="625"/>
      <c r="N34" s="626"/>
      <c r="O34" s="621" t="s">
        <v>264</v>
      </c>
      <c r="P34" s="622"/>
      <c r="Q34" s="622"/>
      <c r="R34" s="622"/>
      <c r="S34" s="622"/>
      <c r="T34" s="622"/>
      <c r="U34" s="622"/>
      <c r="V34" s="622"/>
      <c r="W34" s="622"/>
      <c r="X34" s="623"/>
      <c r="Y34" s="624" t="s">
        <v>265</v>
      </c>
      <c r="Z34" s="625"/>
      <c r="AA34" s="625"/>
      <c r="AB34" s="625"/>
      <c r="AC34" s="625"/>
      <c r="AD34" s="625"/>
      <c r="AE34" s="626"/>
      <c r="AF34" s="621" t="s">
        <v>264</v>
      </c>
      <c r="AG34" s="622"/>
      <c r="AH34" s="622"/>
      <c r="AI34" s="622"/>
      <c r="AJ34" s="622"/>
      <c r="AK34" s="622"/>
      <c r="AL34" s="622"/>
      <c r="AM34" s="622"/>
      <c r="AN34" s="622"/>
      <c r="AO34" s="623"/>
      <c r="AP34" s="624" t="s">
        <v>265</v>
      </c>
      <c r="AQ34" s="625"/>
      <c r="AR34" s="625"/>
      <c r="AS34" s="625"/>
      <c r="AT34" s="625"/>
      <c r="AU34" s="625"/>
      <c r="AV34" s="626"/>
      <c r="AW34" s="621" t="s">
        <v>264</v>
      </c>
      <c r="AX34" s="622"/>
      <c r="AY34" s="622"/>
      <c r="AZ34" s="622"/>
      <c r="BA34" s="622"/>
      <c r="BB34" s="622"/>
      <c r="BC34" s="622"/>
      <c r="BD34" s="622"/>
      <c r="BE34" s="622"/>
      <c r="BF34" s="623"/>
    </row>
    <row r="35" spans="1:58" ht="39" hidden="1" customHeight="1" x14ac:dyDescent="0.2">
      <c r="B35" s="196" t="s">
        <v>155</v>
      </c>
      <c r="C35" s="196" t="s">
        <v>3</v>
      </c>
      <c r="D35" s="196" t="s">
        <v>4</v>
      </c>
      <c r="E35" s="196" t="s">
        <v>9</v>
      </c>
      <c r="F35" s="196" t="s">
        <v>243</v>
      </c>
      <c r="G35" s="234" t="s">
        <v>10</v>
      </c>
      <c r="H35" s="319" t="s">
        <v>254</v>
      </c>
      <c r="I35" s="320" t="s">
        <v>259</v>
      </c>
      <c r="J35" s="320" t="s">
        <v>260</v>
      </c>
      <c r="K35" s="320" t="s">
        <v>257</v>
      </c>
      <c r="L35" s="320" t="s">
        <v>258</v>
      </c>
      <c r="M35" s="320" t="s">
        <v>256</v>
      </c>
      <c r="N35" s="321" t="s">
        <v>261</v>
      </c>
      <c r="O35" s="322" t="s">
        <v>254</v>
      </c>
      <c r="P35" s="323" t="s">
        <v>259</v>
      </c>
      <c r="Q35" s="323" t="s">
        <v>260</v>
      </c>
      <c r="R35" s="323" t="s">
        <v>257</v>
      </c>
      <c r="S35" s="323" t="s">
        <v>258</v>
      </c>
      <c r="T35" s="323" t="s">
        <v>256</v>
      </c>
      <c r="U35" s="323" t="s">
        <v>261</v>
      </c>
      <c r="V35" s="340"/>
      <c r="W35" s="340"/>
      <c r="X35" s="324" t="s">
        <v>250</v>
      </c>
      <c r="Y35" s="319" t="s">
        <v>254</v>
      </c>
      <c r="Z35" s="320" t="s">
        <v>259</v>
      </c>
      <c r="AA35" s="320" t="s">
        <v>260</v>
      </c>
      <c r="AB35" s="320" t="s">
        <v>257</v>
      </c>
      <c r="AC35" s="320" t="s">
        <v>258</v>
      </c>
      <c r="AD35" s="320" t="s">
        <v>256</v>
      </c>
      <c r="AE35" s="321" t="s">
        <v>261</v>
      </c>
      <c r="AF35" s="322" t="s">
        <v>254</v>
      </c>
      <c r="AG35" s="323" t="s">
        <v>259</v>
      </c>
      <c r="AH35" s="323" t="s">
        <v>260</v>
      </c>
      <c r="AI35" s="323" t="s">
        <v>257</v>
      </c>
      <c r="AJ35" s="323" t="s">
        <v>258</v>
      </c>
      <c r="AK35" s="323" t="s">
        <v>256</v>
      </c>
      <c r="AL35" s="323" t="s">
        <v>261</v>
      </c>
      <c r="AM35" s="340"/>
      <c r="AN35" s="340"/>
      <c r="AO35" s="324" t="s">
        <v>251</v>
      </c>
      <c r="AP35" s="319" t="s">
        <v>254</v>
      </c>
      <c r="AQ35" s="320" t="s">
        <v>259</v>
      </c>
      <c r="AR35" s="320" t="s">
        <v>260</v>
      </c>
      <c r="AS35" s="320" t="s">
        <v>257</v>
      </c>
      <c r="AT35" s="320" t="s">
        <v>258</v>
      </c>
      <c r="AU35" s="320" t="s">
        <v>256</v>
      </c>
      <c r="AV35" s="321" t="s">
        <v>261</v>
      </c>
      <c r="AW35" s="322" t="s">
        <v>254</v>
      </c>
      <c r="AX35" s="323" t="s">
        <v>259</v>
      </c>
      <c r="AY35" s="323" t="s">
        <v>260</v>
      </c>
      <c r="AZ35" s="323" t="s">
        <v>257</v>
      </c>
      <c r="BA35" s="323" t="s">
        <v>258</v>
      </c>
      <c r="BB35" s="323" t="s">
        <v>256</v>
      </c>
      <c r="BC35" s="323" t="s">
        <v>261</v>
      </c>
      <c r="BD35" s="340"/>
      <c r="BE35" s="340"/>
      <c r="BF35" s="324" t="s">
        <v>252</v>
      </c>
    </row>
    <row r="36" spans="1:58" ht="28" hidden="1" customHeight="1" x14ac:dyDescent="0.2">
      <c r="B36" s="199" t="s">
        <v>11</v>
      </c>
      <c r="C36" s="199" t="s">
        <v>16</v>
      </c>
      <c r="D36" s="199" t="s">
        <v>13</v>
      </c>
      <c r="E36" s="197" t="s">
        <v>14</v>
      </c>
      <c r="F36" s="206" t="s">
        <v>242</v>
      </c>
      <c r="G36" s="235" t="s">
        <v>17</v>
      </c>
      <c r="H36" s="306"/>
      <c r="I36" s="307"/>
      <c r="J36" s="307"/>
      <c r="K36" s="307"/>
      <c r="L36" s="307"/>
      <c r="M36" s="307"/>
      <c r="N36" s="308">
        <f>H36*I36*J36*K36*L36*M36</f>
        <v>0</v>
      </c>
      <c r="O36" s="309"/>
      <c r="P36" s="310"/>
      <c r="Q36" s="310"/>
      <c r="R36" s="310"/>
      <c r="S36" s="310"/>
      <c r="T36" s="310"/>
      <c r="U36" s="311">
        <f>O36*P36*Q36*R36*S36*T36</f>
        <v>0</v>
      </c>
      <c r="V36" s="341"/>
      <c r="W36" s="341"/>
      <c r="X36" s="312"/>
      <c r="Y36" s="313"/>
      <c r="Z36" s="314"/>
      <c r="AA36" s="314"/>
      <c r="AB36" s="314"/>
      <c r="AC36" s="314"/>
      <c r="AD36" s="314"/>
      <c r="AE36" s="315"/>
      <c r="AF36" s="309"/>
      <c r="AG36" s="310"/>
      <c r="AH36" s="310"/>
      <c r="AI36" s="310"/>
      <c r="AJ36" s="310"/>
      <c r="AK36" s="310"/>
      <c r="AL36" s="311">
        <f>AF36*AG36*AH36*AI36*AJ36*AK36</f>
        <v>0</v>
      </c>
      <c r="AM36" s="341"/>
      <c r="AN36" s="341"/>
      <c r="AO36" s="312">
        <f>'Road to 3k v2'!I34</f>
        <v>0</v>
      </c>
      <c r="AP36" s="316"/>
      <c r="AQ36" s="317"/>
      <c r="AR36" s="317"/>
      <c r="AS36" s="317"/>
      <c r="AT36" s="317"/>
      <c r="AU36" s="317"/>
      <c r="AV36" s="318"/>
      <c r="AW36" s="309"/>
      <c r="AX36" s="310"/>
      <c r="AY36" s="310"/>
      <c r="AZ36" s="310"/>
      <c r="BA36" s="310"/>
      <c r="BB36" s="310"/>
      <c r="BC36" s="311">
        <f>AW36*AX36*AY36*AZ36*BA36*BB36</f>
        <v>0</v>
      </c>
      <c r="BD36" s="341"/>
      <c r="BE36" s="341"/>
      <c r="BF36" s="312"/>
    </row>
    <row r="37" spans="1:58" ht="28" hidden="1" customHeight="1" x14ac:dyDescent="0.2">
      <c r="B37" s="200" t="s">
        <v>11</v>
      </c>
      <c r="C37" s="201" t="s">
        <v>18</v>
      </c>
      <c r="D37" s="202" t="s">
        <v>13</v>
      </c>
      <c r="E37" s="198" t="s">
        <v>14</v>
      </c>
      <c r="F37" s="211" t="s">
        <v>245</v>
      </c>
      <c r="G37" s="210" t="s">
        <v>17</v>
      </c>
      <c r="H37" s="242"/>
      <c r="I37" s="243"/>
      <c r="J37" s="243"/>
      <c r="K37" s="243"/>
      <c r="L37" s="243"/>
      <c r="M37" s="243"/>
      <c r="N37" s="244">
        <f t="shared" ref="N37:N51" si="11">H37*I37*J37*K37*L37*M37</f>
        <v>0</v>
      </c>
      <c r="O37" s="250"/>
      <c r="P37" s="251"/>
      <c r="Q37" s="251"/>
      <c r="R37" s="251"/>
      <c r="S37" s="251"/>
      <c r="T37" s="251"/>
      <c r="U37" s="277">
        <f t="shared" ref="U37:U51" si="12">O37*P37*Q37*R37*S37*T37</f>
        <v>0</v>
      </c>
      <c r="V37" s="342"/>
      <c r="W37" s="342"/>
      <c r="X37" s="299"/>
      <c r="Y37" s="257"/>
      <c r="Z37" s="258"/>
      <c r="AA37" s="258"/>
      <c r="AB37" s="258"/>
      <c r="AC37" s="258"/>
      <c r="AD37" s="258"/>
      <c r="AE37" s="259"/>
      <c r="AF37" s="250"/>
      <c r="AG37" s="251"/>
      <c r="AH37" s="251"/>
      <c r="AI37" s="251"/>
      <c r="AJ37" s="251"/>
      <c r="AK37" s="251"/>
      <c r="AL37" s="277">
        <f t="shared" ref="AL37:AL51" si="13">AF37*AG37*AH37*AI37*AJ37*AK37</f>
        <v>0</v>
      </c>
      <c r="AM37" s="342"/>
      <c r="AN37" s="342"/>
      <c r="AO37" s="278"/>
      <c r="AP37" s="284"/>
      <c r="AQ37" s="285"/>
      <c r="AR37" s="285"/>
      <c r="AS37" s="285"/>
      <c r="AT37" s="285"/>
      <c r="AU37" s="285"/>
      <c r="AV37" s="286"/>
      <c r="AW37" s="250"/>
      <c r="AX37" s="251"/>
      <c r="AY37" s="251"/>
      <c r="AZ37" s="251"/>
      <c r="BA37" s="251"/>
      <c r="BB37" s="251"/>
      <c r="BC37" s="277">
        <f t="shared" ref="BC37:BC51" si="14">AW37*AX37*AY37*AZ37*BA37*BB37</f>
        <v>0</v>
      </c>
      <c r="BD37" s="342"/>
      <c r="BE37" s="342"/>
      <c r="BF37" s="278" t="str">
        <f>'Road to 3k v2'!K35</f>
        <v>JUN</v>
      </c>
    </row>
    <row r="38" spans="1:58" ht="28" hidden="1" customHeight="1" x14ac:dyDescent="0.2">
      <c r="B38" s="199" t="s">
        <v>19</v>
      </c>
      <c r="C38" s="199" t="s">
        <v>93</v>
      </c>
      <c r="D38" s="199" t="s">
        <v>21</v>
      </c>
      <c r="E38" s="197" t="s">
        <v>22</v>
      </c>
      <c r="F38" s="206" t="s">
        <v>242</v>
      </c>
      <c r="G38" s="235" t="s">
        <v>17</v>
      </c>
      <c r="H38" s="239"/>
      <c r="I38" s="240"/>
      <c r="J38" s="240"/>
      <c r="K38" s="240"/>
      <c r="L38" s="240"/>
      <c r="M38" s="240"/>
      <c r="N38" s="241">
        <f t="shared" si="11"/>
        <v>0</v>
      </c>
      <c r="O38" s="248"/>
      <c r="P38" s="249"/>
      <c r="Q38" s="249"/>
      <c r="R38" s="249"/>
      <c r="S38" s="249"/>
      <c r="T38" s="249"/>
      <c r="U38" s="275">
        <f t="shared" si="12"/>
        <v>0</v>
      </c>
      <c r="V38" s="343"/>
      <c r="W38" s="343"/>
      <c r="X38" s="276"/>
      <c r="Y38" s="254"/>
      <c r="Z38" s="255"/>
      <c r="AA38" s="255"/>
      <c r="AB38" s="255"/>
      <c r="AC38" s="255"/>
      <c r="AD38" s="255"/>
      <c r="AE38" s="256"/>
      <c r="AF38" s="248"/>
      <c r="AG38" s="249"/>
      <c r="AH38" s="249"/>
      <c r="AI38" s="249"/>
      <c r="AJ38" s="249"/>
      <c r="AK38" s="249"/>
      <c r="AL38" s="275">
        <f t="shared" si="13"/>
        <v>0</v>
      </c>
      <c r="AM38" s="343"/>
      <c r="AN38" s="343"/>
      <c r="AO38" s="276">
        <f>'Road to 3k v2'!I37</f>
        <v>35</v>
      </c>
      <c r="AP38" s="281"/>
      <c r="AQ38" s="282"/>
      <c r="AR38" s="282"/>
      <c r="AS38" s="282"/>
      <c r="AT38" s="282"/>
      <c r="AU38" s="282"/>
      <c r="AV38" s="283"/>
      <c r="AW38" s="248"/>
      <c r="AX38" s="249"/>
      <c r="AY38" s="249"/>
      <c r="AZ38" s="249"/>
      <c r="BA38" s="249"/>
      <c r="BB38" s="249"/>
      <c r="BC38" s="275">
        <f t="shared" si="14"/>
        <v>0</v>
      </c>
      <c r="BD38" s="343"/>
      <c r="BE38" s="343"/>
      <c r="BF38" s="276"/>
    </row>
    <row r="39" spans="1:58" ht="28" hidden="1" customHeight="1" x14ac:dyDescent="0.2">
      <c r="B39" s="200" t="s">
        <v>19</v>
      </c>
      <c r="C39" s="203" t="s">
        <v>73</v>
      </c>
      <c r="D39" s="202" t="s">
        <v>13</v>
      </c>
      <c r="E39" s="198" t="s">
        <v>14</v>
      </c>
      <c r="F39" s="207" t="s">
        <v>242</v>
      </c>
      <c r="G39" s="210" t="s">
        <v>17</v>
      </c>
      <c r="H39" s="242"/>
      <c r="I39" s="243"/>
      <c r="J39" s="243"/>
      <c r="K39" s="243"/>
      <c r="L39" s="243"/>
      <c r="M39" s="243"/>
      <c r="N39" s="244">
        <f t="shared" si="11"/>
        <v>0</v>
      </c>
      <c r="O39" s="250"/>
      <c r="P39" s="251"/>
      <c r="Q39" s="251"/>
      <c r="R39" s="251"/>
      <c r="S39" s="251"/>
      <c r="T39" s="251"/>
      <c r="U39" s="277">
        <f t="shared" si="12"/>
        <v>0</v>
      </c>
      <c r="V39" s="342"/>
      <c r="W39" s="342"/>
      <c r="X39" s="278"/>
      <c r="Y39" s="260"/>
      <c r="Z39" s="261"/>
      <c r="AA39" s="261"/>
      <c r="AB39" s="261"/>
      <c r="AC39" s="261"/>
      <c r="AD39" s="261"/>
      <c r="AE39" s="262"/>
      <c r="AF39" s="250"/>
      <c r="AG39" s="251"/>
      <c r="AH39" s="251"/>
      <c r="AI39" s="251"/>
      <c r="AJ39" s="251"/>
      <c r="AK39" s="251"/>
      <c r="AL39" s="277">
        <f t="shared" si="13"/>
        <v>0</v>
      </c>
      <c r="AM39" s="342"/>
      <c r="AN39" s="342"/>
      <c r="AO39" s="278">
        <f>'Road to 3k v2'!I38</f>
        <v>6</v>
      </c>
      <c r="AP39" s="287"/>
      <c r="AQ39" s="288"/>
      <c r="AR39" s="288"/>
      <c r="AS39" s="288"/>
      <c r="AT39" s="288"/>
      <c r="AU39" s="288"/>
      <c r="AV39" s="289"/>
      <c r="AW39" s="250"/>
      <c r="AX39" s="251"/>
      <c r="AY39" s="251"/>
      <c r="AZ39" s="251"/>
      <c r="BA39" s="251"/>
      <c r="BB39" s="251"/>
      <c r="BC39" s="277">
        <f t="shared" si="14"/>
        <v>0</v>
      </c>
      <c r="BD39" s="342"/>
      <c r="BE39" s="342"/>
      <c r="BF39" s="278"/>
    </row>
    <row r="40" spans="1:58" ht="28" hidden="1" customHeight="1" x14ac:dyDescent="0.2">
      <c r="B40" s="199" t="s">
        <v>24</v>
      </c>
      <c r="C40" s="199" t="s">
        <v>89</v>
      </c>
      <c r="D40" s="199" t="s">
        <v>21</v>
      </c>
      <c r="E40" s="197" t="s">
        <v>22</v>
      </c>
      <c r="F40" s="208" t="s">
        <v>244</v>
      </c>
      <c r="G40" s="235" t="s">
        <v>17</v>
      </c>
      <c r="H40" s="239"/>
      <c r="I40" s="240"/>
      <c r="J40" s="240"/>
      <c r="K40" s="240"/>
      <c r="L40" s="240"/>
      <c r="M40" s="240"/>
      <c r="N40" s="241">
        <f t="shared" si="11"/>
        <v>0</v>
      </c>
      <c r="O40" s="248"/>
      <c r="P40" s="249"/>
      <c r="Q40" s="249"/>
      <c r="R40" s="249"/>
      <c r="S40" s="249"/>
      <c r="T40" s="249"/>
      <c r="U40" s="275">
        <f t="shared" si="12"/>
        <v>0</v>
      </c>
      <c r="V40" s="343"/>
      <c r="W40" s="343"/>
      <c r="X40" s="276">
        <f>'Road to 3k v2'!I41</f>
        <v>5</v>
      </c>
      <c r="Y40" s="254"/>
      <c r="Z40" s="255"/>
      <c r="AA40" s="255"/>
      <c r="AB40" s="255"/>
      <c r="AC40" s="255"/>
      <c r="AD40" s="255"/>
      <c r="AE40" s="256"/>
      <c r="AF40" s="248"/>
      <c r="AG40" s="249"/>
      <c r="AH40" s="249"/>
      <c r="AI40" s="249"/>
      <c r="AJ40" s="249"/>
      <c r="AK40" s="249"/>
      <c r="AL40" s="275">
        <f t="shared" si="13"/>
        <v>0</v>
      </c>
      <c r="AM40" s="343"/>
      <c r="AN40" s="343"/>
      <c r="AO40" s="276"/>
      <c r="AP40" s="281"/>
      <c r="AQ40" s="282"/>
      <c r="AR40" s="282"/>
      <c r="AS40" s="282"/>
      <c r="AT40" s="282"/>
      <c r="AU40" s="282"/>
      <c r="AV40" s="283"/>
      <c r="AW40" s="248"/>
      <c r="AX40" s="249"/>
      <c r="AY40" s="249"/>
      <c r="AZ40" s="249"/>
      <c r="BA40" s="249"/>
      <c r="BB40" s="249"/>
      <c r="BC40" s="275">
        <f t="shared" si="14"/>
        <v>0</v>
      </c>
      <c r="BD40" s="343"/>
      <c r="BE40" s="343"/>
      <c r="BF40" s="276"/>
    </row>
    <row r="41" spans="1:58" ht="28" hidden="1" customHeight="1" x14ac:dyDescent="0.2">
      <c r="B41" s="200" t="s">
        <v>24</v>
      </c>
      <c r="C41" s="201" t="s">
        <v>94</v>
      </c>
      <c r="D41" s="202" t="s">
        <v>13</v>
      </c>
      <c r="E41" s="198" t="s">
        <v>14</v>
      </c>
      <c r="F41" s="207" t="s">
        <v>246</v>
      </c>
      <c r="G41" s="210" t="s">
        <v>17</v>
      </c>
      <c r="H41" s="242"/>
      <c r="I41" s="243"/>
      <c r="J41" s="243"/>
      <c r="K41" s="243"/>
      <c r="L41" s="243"/>
      <c r="M41" s="243"/>
      <c r="N41" s="244">
        <f t="shared" si="11"/>
        <v>0</v>
      </c>
      <c r="O41" s="250"/>
      <c r="P41" s="251"/>
      <c r="Q41" s="251"/>
      <c r="R41" s="251"/>
      <c r="S41" s="251"/>
      <c r="T41" s="251"/>
      <c r="U41" s="277">
        <f t="shared" si="12"/>
        <v>0</v>
      </c>
      <c r="V41" s="342"/>
      <c r="W41" s="342"/>
      <c r="X41" s="278"/>
      <c r="Y41" s="260"/>
      <c r="Z41" s="261"/>
      <c r="AA41" s="261"/>
      <c r="AB41" s="261"/>
      <c r="AC41" s="261"/>
      <c r="AD41" s="261"/>
      <c r="AE41" s="262"/>
      <c r="AF41" s="250"/>
      <c r="AG41" s="251"/>
      <c r="AH41" s="251"/>
      <c r="AI41" s="251"/>
      <c r="AJ41" s="251"/>
      <c r="AK41" s="251"/>
      <c r="AL41" s="277">
        <f t="shared" si="13"/>
        <v>0</v>
      </c>
      <c r="AM41" s="342"/>
      <c r="AN41" s="342"/>
      <c r="AO41" s="278">
        <f>'Road to 3k v2'!G40</f>
        <v>0</v>
      </c>
      <c r="AP41" s="287"/>
      <c r="AQ41" s="288"/>
      <c r="AR41" s="288"/>
      <c r="AS41" s="288"/>
      <c r="AT41" s="288"/>
      <c r="AU41" s="288"/>
      <c r="AV41" s="289"/>
      <c r="AW41" s="250"/>
      <c r="AX41" s="251"/>
      <c r="AY41" s="251"/>
      <c r="AZ41" s="251"/>
      <c r="BA41" s="251"/>
      <c r="BB41" s="251"/>
      <c r="BC41" s="277">
        <f t="shared" si="14"/>
        <v>0</v>
      </c>
      <c r="BD41" s="342"/>
      <c r="BE41" s="342"/>
      <c r="BF41" s="278">
        <f>'Road to 3k v2'!K41</f>
        <v>5</v>
      </c>
    </row>
    <row r="42" spans="1:58" ht="28" hidden="1" customHeight="1" x14ac:dyDescent="0.2">
      <c r="B42" s="199" t="s">
        <v>28</v>
      </c>
      <c r="C42" s="199" t="s">
        <v>29</v>
      </c>
      <c r="D42" s="199" t="s">
        <v>21</v>
      </c>
      <c r="E42" s="197" t="s">
        <v>22</v>
      </c>
      <c r="F42" s="206" t="s">
        <v>242</v>
      </c>
      <c r="G42" s="235" t="s">
        <v>17</v>
      </c>
      <c r="H42" s="239"/>
      <c r="I42" s="240"/>
      <c r="J42" s="240"/>
      <c r="K42" s="240"/>
      <c r="L42" s="240"/>
      <c r="M42" s="240"/>
      <c r="N42" s="241">
        <f t="shared" si="11"/>
        <v>0</v>
      </c>
      <c r="O42" s="248"/>
      <c r="P42" s="249"/>
      <c r="Q42" s="249"/>
      <c r="R42" s="249"/>
      <c r="S42" s="249"/>
      <c r="T42" s="249"/>
      <c r="U42" s="275">
        <f t="shared" si="12"/>
        <v>0</v>
      </c>
      <c r="V42" s="343"/>
      <c r="W42" s="343"/>
      <c r="X42" s="300"/>
      <c r="Y42" s="263"/>
      <c r="Z42" s="264"/>
      <c r="AA42" s="264"/>
      <c r="AB42" s="264"/>
      <c r="AC42" s="264"/>
      <c r="AD42" s="264"/>
      <c r="AE42" s="265"/>
      <c r="AF42" s="248"/>
      <c r="AG42" s="249"/>
      <c r="AH42" s="249"/>
      <c r="AI42" s="249"/>
      <c r="AJ42" s="249"/>
      <c r="AK42" s="249"/>
      <c r="AL42" s="275">
        <f t="shared" si="13"/>
        <v>0</v>
      </c>
      <c r="AM42" s="343"/>
      <c r="AN42" s="343"/>
      <c r="AO42" s="276"/>
      <c r="AP42" s="290"/>
      <c r="AQ42" s="291"/>
      <c r="AR42" s="291"/>
      <c r="AS42" s="291"/>
      <c r="AT42" s="291"/>
      <c r="AU42" s="291"/>
      <c r="AV42" s="292"/>
      <c r="AW42" s="248"/>
      <c r="AX42" s="249"/>
      <c r="AY42" s="249"/>
      <c r="AZ42" s="249"/>
      <c r="BA42" s="249"/>
      <c r="BB42" s="249"/>
      <c r="BC42" s="275">
        <f t="shared" si="14"/>
        <v>0</v>
      </c>
      <c r="BD42" s="343"/>
      <c r="BE42" s="343"/>
      <c r="BF42" s="276"/>
    </row>
    <row r="43" spans="1:58" ht="28" hidden="1" customHeight="1" x14ac:dyDescent="0.2">
      <c r="B43" s="200" t="s">
        <v>28</v>
      </c>
      <c r="C43" s="203" t="s">
        <v>92</v>
      </c>
      <c r="D43" s="202" t="s">
        <v>13</v>
      </c>
      <c r="E43" s="198" t="s">
        <v>14</v>
      </c>
      <c r="F43" s="207" t="s">
        <v>242</v>
      </c>
      <c r="G43" s="210" t="s">
        <v>17</v>
      </c>
      <c r="H43" s="242"/>
      <c r="I43" s="243"/>
      <c r="J43" s="243"/>
      <c r="K43" s="243"/>
      <c r="L43" s="243"/>
      <c r="M43" s="243"/>
      <c r="N43" s="244">
        <f t="shared" si="11"/>
        <v>0</v>
      </c>
      <c r="O43" s="250"/>
      <c r="P43" s="251"/>
      <c r="Q43" s="251"/>
      <c r="R43" s="251"/>
      <c r="S43" s="251"/>
      <c r="T43" s="251"/>
      <c r="U43" s="277">
        <f t="shared" si="12"/>
        <v>0</v>
      </c>
      <c r="V43" s="342"/>
      <c r="W43" s="342"/>
      <c r="X43" s="301"/>
      <c r="Y43" s="266"/>
      <c r="Z43" s="267"/>
      <c r="AA43" s="267"/>
      <c r="AB43" s="267"/>
      <c r="AC43" s="267"/>
      <c r="AD43" s="267"/>
      <c r="AE43" s="268"/>
      <c r="AF43" s="250"/>
      <c r="AG43" s="251"/>
      <c r="AH43" s="251"/>
      <c r="AI43" s="251"/>
      <c r="AJ43" s="251"/>
      <c r="AK43" s="251"/>
      <c r="AL43" s="277">
        <f t="shared" si="13"/>
        <v>0</v>
      </c>
      <c r="AM43" s="342"/>
      <c r="AN43" s="342"/>
      <c r="AO43" s="278">
        <f>'Road to 3k v2'!I44</f>
        <v>0</v>
      </c>
      <c r="AP43" s="284"/>
      <c r="AQ43" s="285"/>
      <c r="AR43" s="285"/>
      <c r="AS43" s="285"/>
      <c r="AT43" s="285"/>
      <c r="AU43" s="285"/>
      <c r="AV43" s="286"/>
      <c r="AW43" s="250"/>
      <c r="AX43" s="251"/>
      <c r="AY43" s="251"/>
      <c r="AZ43" s="251"/>
      <c r="BA43" s="251"/>
      <c r="BB43" s="251"/>
      <c r="BC43" s="277">
        <f t="shared" si="14"/>
        <v>0</v>
      </c>
      <c r="BD43" s="342"/>
      <c r="BE43" s="342"/>
      <c r="BF43" s="278"/>
    </row>
    <row r="44" spans="1:58" ht="28" hidden="1" customHeight="1" x14ac:dyDescent="0.2">
      <c r="B44" s="199" t="s">
        <v>31</v>
      </c>
      <c r="C44" s="199" t="s">
        <v>136</v>
      </c>
      <c r="D44" s="199" t="s">
        <v>21</v>
      </c>
      <c r="E44" s="197" t="s">
        <v>14</v>
      </c>
      <c r="F44" s="206" t="s">
        <v>242</v>
      </c>
      <c r="G44" s="235" t="s">
        <v>17</v>
      </c>
      <c r="H44" s="239"/>
      <c r="I44" s="240"/>
      <c r="J44" s="240"/>
      <c r="K44" s="240"/>
      <c r="L44" s="240"/>
      <c r="M44" s="240"/>
      <c r="N44" s="241">
        <f t="shared" si="11"/>
        <v>0</v>
      </c>
      <c r="O44" s="248"/>
      <c r="P44" s="249"/>
      <c r="Q44" s="249"/>
      <c r="R44" s="249"/>
      <c r="S44" s="249"/>
      <c r="T44" s="249"/>
      <c r="U44" s="275">
        <f t="shared" si="12"/>
        <v>0</v>
      </c>
      <c r="V44" s="343"/>
      <c r="W44" s="343"/>
      <c r="X44" s="300"/>
      <c r="Y44" s="263"/>
      <c r="Z44" s="264"/>
      <c r="AA44" s="264"/>
      <c r="AB44" s="264"/>
      <c r="AC44" s="264"/>
      <c r="AD44" s="264"/>
      <c r="AE44" s="265"/>
      <c r="AF44" s="248"/>
      <c r="AG44" s="249"/>
      <c r="AH44" s="249"/>
      <c r="AI44" s="249"/>
      <c r="AJ44" s="249"/>
      <c r="AK44" s="249"/>
      <c r="AL44" s="275">
        <f t="shared" si="13"/>
        <v>0</v>
      </c>
      <c r="AM44" s="343"/>
      <c r="AN44" s="343"/>
      <c r="AO44" s="276">
        <f>'Road to 3k v2'!I46</f>
        <v>0</v>
      </c>
      <c r="AP44" s="290"/>
      <c r="AQ44" s="291"/>
      <c r="AR44" s="291"/>
      <c r="AS44" s="291"/>
      <c r="AT44" s="291"/>
      <c r="AU44" s="291"/>
      <c r="AV44" s="292"/>
      <c r="AW44" s="248"/>
      <c r="AX44" s="249"/>
      <c r="AY44" s="249"/>
      <c r="AZ44" s="249"/>
      <c r="BA44" s="249"/>
      <c r="BB44" s="249"/>
      <c r="BC44" s="275">
        <f t="shared" si="14"/>
        <v>0</v>
      </c>
      <c r="BD44" s="343"/>
      <c r="BE44" s="343"/>
      <c r="BF44" s="276"/>
    </row>
    <row r="45" spans="1:58" ht="28" hidden="1" customHeight="1" x14ac:dyDescent="0.2">
      <c r="B45" s="200" t="s">
        <v>31</v>
      </c>
      <c r="C45" s="201" t="s">
        <v>34</v>
      </c>
      <c r="D45" s="202" t="s">
        <v>21</v>
      </c>
      <c r="E45" s="198" t="s">
        <v>35</v>
      </c>
      <c r="F45" s="207" t="s">
        <v>246</v>
      </c>
      <c r="G45" s="210" t="s">
        <v>17</v>
      </c>
      <c r="H45" s="242"/>
      <c r="I45" s="243"/>
      <c r="J45" s="243"/>
      <c r="K45" s="243"/>
      <c r="L45" s="243"/>
      <c r="M45" s="243"/>
      <c r="N45" s="244">
        <f t="shared" si="11"/>
        <v>0</v>
      </c>
      <c r="O45" s="250"/>
      <c r="P45" s="251"/>
      <c r="Q45" s="251"/>
      <c r="R45" s="251"/>
      <c r="S45" s="251"/>
      <c r="T45" s="251"/>
      <c r="U45" s="277">
        <f t="shared" si="12"/>
        <v>0</v>
      </c>
      <c r="V45" s="342"/>
      <c r="W45" s="342"/>
      <c r="X45" s="301"/>
      <c r="Y45" s="266"/>
      <c r="Z45" s="267"/>
      <c r="AA45" s="267"/>
      <c r="AB45" s="267"/>
      <c r="AC45" s="267"/>
      <c r="AD45" s="267"/>
      <c r="AE45" s="268"/>
      <c r="AF45" s="250"/>
      <c r="AG45" s="251"/>
      <c r="AH45" s="251"/>
      <c r="AI45" s="251"/>
      <c r="AJ45" s="251"/>
      <c r="AK45" s="251"/>
      <c r="AL45" s="277">
        <f t="shared" si="13"/>
        <v>0</v>
      </c>
      <c r="AM45" s="342"/>
      <c r="AN45" s="342"/>
      <c r="AO45" s="278">
        <f>'Road to 3k v2'!I47</f>
        <v>2.2999999999999998</v>
      </c>
      <c r="AP45" s="287"/>
      <c r="AQ45" s="288"/>
      <c r="AR45" s="288"/>
      <c r="AS45" s="288"/>
      <c r="AT45" s="288"/>
      <c r="AU45" s="288"/>
      <c r="AV45" s="289"/>
      <c r="AW45" s="250"/>
      <c r="AX45" s="251"/>
      <c r="AY45" s="251"/>
      <c r="AZ45" s="251"/>
      <c r="BA45" s="251"/>
      <c r="BB45" s="251"/>
      <c r="BC45" s="277">
        <f t="shared" si="14"/>
        <v>0</v>
      </c>
      <c r="BD45" s="342"/>
      <c r="BE45" s="342"/>
      <c r="BF45" s="278">
        <f>'Road to 3k v2'!K47</f>
        <v>1</v>
      </c>
    </row>
    <row r="46" spans="1:58" ht="28" hidden="1" customHeight="1" x14ac:dyDescent="0.2">
      <c r="B46" s="199" t="s">
        <v>36</v>
      </c>
      <c r="C46" s="199" t="s">
        <v>38</v>
      </c>
      <c r="D46" s="199" t="s">
        <v>21</v>
      </c>
      <c r="E46" s="197" t="s">
        <v>33</v>
      </c>
      <c r="F46" s="206" t="s">
        <v>242</v>
      </c>
      <c r="G46" s="235" t="s">
        <v>17</v>
      </c>
      <c r="H46" s="239"/>
      <c r="I46" s="240"/>
      <c r="J46" s="240"/>
      <c r="K46" s="240"/>
      <c r="L46" s="240"/>
      <c r="M46" s="240"/>
      <c r="N46" s="241">
        <f t="shared" si="11"/>
        <v>0</v>
      </c>
      <c r="O46" s="248"/>
      <c r="P46" s="249"/>
      <c r="Q46" s="249"/>
      <c r="R46" s="249"/>
      <c r="S46" s="249"/>
      <c r="T46" s="249"/>
      <c r="U46" s="275">
        <f t="shared" si="12"/>
        <v>0</v>
      </c>
      <c r="V46" s="343"/>
      <c r="W46" s="343"/>
      <c r="X46" s="300"/>
      <c r="Y46" s="263"/>
      <c r="Z46" s="264"/>
      <c r="AA46" s="264"/>
      <c r="AB46" s="264"/>
      <c r="AC46" s="264"/>
      <c r="AD46" s="264"/>
      <c r="AE46" s="265"/>
      <c r="AF46" s="248"/>
      <c r="AG46" s="249"/>
      <c r="AH46" s="249"/>
      <c r="AI46" s="249"/>
      <c r="AJ46" s="249"/>
      <c r="AK46" s="249"/>
      <c r="AL46" s="275">
        <f t="shared" si="13"/>
        <v>0</v>
      </c>
      <c r="AM46" s="343"/>
      <c r="AN46" s="343"/>
      <c r="AO46" s="276">
        <f>'Road to 3k v2'!I49</f>
        <v>2.2999999999999998</v>
      </c>
      <c r="AP46" s="290"/>
      <c r="AQ46" s="291"/>
      <c r="AR46" s="291"/>
      <c r="AS46" s="291"/>
      <c r="AT46" s="291"/>
      <c r="AU46" s="291"/>
      <c r="AV46" s="292"/>
      <c r="AW46" s="248"/>
      <c r="AX46" s="249"/>
      <c r="AY46" s="249"/>
      <c r="AZ46" s="249"/>
      <c r="BA46" s="249"/>
      <c r="BB46" s="249"/>
      <c r="BC46" s="275">
        <f t="shared" si="14"/>
        <v>0</v>
      </c>
      <c r="BD46" s="343"/>
      <c r="BE46" s="343"/>
      <c r="BF46" s="276"/>
    </row>
    <row r="47" spans="1:58" ht="28" hidden="1" customHeight="1" x14ac:dyDescent="0.2">
      <c r="B47" s="200" t="s">
        <v>36</v>
      </c>
      <c r="C47" s="203" t="s">
        <v>137</v>
      </c>
      <c r="D47" s="202" t="s">
        <v>13</v>
      </c>
      <c r="E47" s="198" t="s">
        <v>33</v>
      </c>
      <c r="F47" s="207" t="s">
        <v>242</v>
      </c>
      <c r="G47" s="210" t="s">
        <v>17</v>
      </c>
      <c r="H47" s="242"/>
      <c r="I47" s="243"/>
      <c r="J47" s="243"/>
      <c r="K47" s="243"/>
      <c r="L47" s="243"/>
      <c r="M47" s="243"/>
      <c r="N47" s="244">
        <f t="shared" si="11"/>
        <v>0</v>
      </c>
      <c r="O47" s="250"/>
      <c r="P47" s="251"/>
      <c r="Q47" s="251"/>
      <c r="R47" s="251"/>
      <c r="S47" s="251"/>
      <c r="T47" s="251"/>
      <c r="U47" s="277">
        <f t="shared" si="12"/>
        <v>0</v>
      </c>
      <c r="V47" s="342"/>
      <c r="W47" s="342"/>
      <c r="X47" s="301"/>
      <c r="Y47" s="266"/>
      <c r="Z47" s="267"/>
      <c r="AA47" s="267"/>
      <c r="AB47" s="267"/>
      <c r="AC47" s="267"/>
      <c r="AD47" s="267"/>
      <c r="AE47" s="268"/>
      <c r="AF47" s="250"/>
      <c r="AG47" s="251"/>
      <c r="AH47" s="251"/>
      <c r="AI47" s="251"/>
      <c r="AJ47" s="251"/>
      <c r="AK47" s="251"/>
      <c r="AL47" s="277">
        <f t="shared" si="13"/>
        <v>0</v>
      </c>
      <c r="AM47" s="342"/>
      <c r="AN47" s="342"/>
      <c r="AO47" s="278">
        <f>'Road to 3k v2'!I50</f>
        <v>0</v>
      </c>
      <c r="AP47" s="284"/>
      <c r="AQ47" s="285"/>
      <c r="AR47" s="285"/>
      <c r="AS47" s="285"/>
      <c r="AT47" s="285"/>
      <c r="AU47" s="285"/>
      <c r="AV47" s="286"/>
      <c r="AW47" s="250"/>
      <c r="AX47" s="251"/>
      <c r="AY47" s="251"/>
      <c r="AZ47" s="251"/>
      <c r="BA47" s="251"/>
      <c r="BB47" s="251"/>
      <c r="BC47" s="277">
        <f t="shared" si="14"/>
        <v>0</v>
      </c>
      <c r="BD47" s="342"/>
      <c r="BE47" s="342"/>
      <c r="BF47" s="278"/>
    </row>
    <row r="48" spans="1:58" ht="28" hidden="1" customHeight="1" x14ac:dyDescent="0.2">
      <c r="B48" s="199" t="s">
        <v>39</v>
      </c>
      <c r="C48" s="199" t="s">
        <v>40</v>
      </c>
      <c r="D48" s="199" t="s">
        <v>21</v>
      </c>
      <c r="E48" s="197" t="s">
        <v>33</v>
      </c>
      <c r="F48" s="208" t="s">
        <v>244</v>
      </c>
      <c r="G48" s="235" t="s">
        <v>17</v>
      </c>
      <c r="H48" s="239"/>
      <c r="I48" s="240"/>
      <c r="J48" s="240"/>
      <c r="K48" s="240"/>
      <c r="L48" s="240"/>
      <c r="M48" s="240"/>
      <c r="N48" s="241">
        <f t="shared" si="11"/>
        <v>0</v>
      </c>
      <c r="O48" s="248"/>
      <c r="P48" s="249"/>
      <c r="Q48" s="249"/>
      <c r="R48" s="249"/>
      <c r="S48" s="249"/>
      <c r="T48" s="249"/>
      <c r="U48" s="275">
        <f t="shared" si="12"/>
        <v>0</v>
      </c>
      <c r="V48" s="343"/>
      <c r="W48" s="343"/>
      <c r="X48" s="302" t="str">
        <f>'Road to 3k v2'!G52</f>
        <v>TARGET DAILY</v>
      </c>
      <c r="Y48" s="269"/>
      <c r="Z48" s="270"/>
      <c r="AA48" s="270"/>
      <c r="AB48" s="270"/>
      <c r="AC48" s="270"/>
      <c r="AD48" s="270"/>
      <c r="AE48" s="271"/>
      <c r="AF48" s="248"/>
      <c r="AG48" s="249"/>
      <c r="AH48" s="249"/>
      <c r="AI48" s="249"/>
      <c r="AJ48" s="249"/>
      <c r="AK48" s="249"/>
      <c r="AL48" s="275">
        <f t="shared" si="13"/>
        <v>0</v>
      </c>
      <c r="AM48" s="343"/>
      <c r="AN48" s="343"/>
      <c r="AO48" s="276"/>
      <c r="AP48" s="293"/>
      <c r="AQ48" s="294"/>
      <c r="AR48" s="294"/>
      <c r="AS48" s="294"/>
      <c r="AT48" s="294"/>
      <c r="AU48" s="294"/>
      <c r="AV48" s="295"/>
      <c r="AW48" s="248"/>
      <c r="AX48" s="249"/>
      <c r="AY48" s="249"/>
      <c r="AZ48" s="249"/>
      <c r="BA48" s="249"/>
      <c r="BB48" s="249"/>
      <c r="BC48" s="275">
        <f t="shared" si="14"/>
        <v>0</v>
      </c>
      <c r="BD48" s="343"/>
      <c r="BE48" s="343"/>
      <c r="BF48" s="276"/>
    </row>
    <row r="49" spans="2:58" ht="28" hidden="1" customHeight="1" x14ac:dyDescent="0.2">
      <c r="B49" s="200" t="s">
        <v>39</v>
      </c>
      <c r="C49" s="201" t="s">
        <v>41</v>
      </c>
      <c r="D49" s="202" t="s">
        <v>42</v>
      </c>
      <c r="E49" s="198" t="s">
        <v>35</v>
      </c>
      <c r="F49" s="207" t="s">
        <v>246</v>
      </c>
      <c r="G49" s="210" t="s">
        <v>17</v>
      </c>
      <c r="H49" s="242"/>
      <c r="I49" s="243"/>
      <c r="J49" s="243"/>
      <c r="K49" s="243"/>
      <c r="L49" s="243"/>
      <c r="M49" s="243"/>
      <c r="N49" s="244">
        <f t="shared" si="11"/>
        <v>0</v>
      </c>
      <c r="O49" s="250"/>
      <c r="P49" s="251"/>
      <c r="Q49" s="251"/>
      <c r="R49" s="251"/>
      <c r="S49" s="251"/>
      <c r="T49" s="251"/>
      <c r="U49" s="277">
        <f t="shared" si="12"/>
        <v>0</v>
      </c>
      <c r="V49" s="342"/>
      <c r="W49" s="342"/>
      <c r="X49" s="301"/>
      <c r="Y49" s="266"/>
      <c r="Z49" s="267"/>
      <c r="AA49" s="267"/>
      <c r="AB49" s="267"/>
      <c r="AC49" s="267"/>
      <c r="AD49" s="267"/>
      <c r="AE49" s="268"/>
      <c r="AF49" s="250"/>
      <c r="AG49" s="251"/>
      <c r="AH49" s="251"/>
      <c r="AI49" s="251"/>
      <c r="AJ49" s="251"/>
      <c r="AK49" s="251"/>
      <c r="AL49" s="277">
        <f t="shared" si="13"/>
        <v>0</v>
      </c>
      <c r="AM49" s="342"/>
      <c r="AN49" s="342"/>
      <c r="AO49" s="278">
        <f>'Road to 3k v2'!I53</f>
        <v>288.11107199999998</v>
      </c>
      <c r="AP49" s="284"/>
      <c r="AQ49" s="285"/>
      <c r="AR49" s="285"/>
      <c r="AS49" s="285"/>
      <c r="AT49" s="285"/>
      <c r="AU49" s="285"/>
      <c r="AV49" s="286"/>
      <c r="AW49" s="250"/>
      <c r="AX49" s="251"/>
      <c r="AY49" s="251"/>
      <c r="AZ49" s="251"/>
      <c r="BA49" s="251"/>
      <c r="BB49" s="251"/>
      <c r="BC49" s="277">
        <f t="shared" si="14"/>
        <v>0</v>
      </c>
      <c r="BD49" s="342"/>
      <c r="BE49" s="342"/>
      <c r="BF49" s="278">
        <f>'Road to 3k v2'!K53</f>
        <v>313.82570346105263</v>
      </c>
    </row>
    <row r="50" spans="2:58" ht="28" hidden="1" customHeight="1" x14ac:dyDescent="0.2">
      <c r="B50" s="199" t="s">
        <v>43</v>
      </c>
      <c r="C50" s="199" t="s">
        <v>44</v>
      </c>
      <c r="D50" s="199" t="s">
        <v>21</v>
      </c>
      <c r="E50" s="197" t="s">
        <v>35</v>
      </c>
      <c r="F50" s="207" t="s">
        <v>242</v>
      </c>
      <c r="G50" s="235" t="s">
        <v>17</v>
      </c>
      <c r="H50" s="239"/>
      <c r="I50" s="240"/>
      <c r="J50" s="240"/>
      <c r="K50" s="240"/>
      <c r="L50" s="240"/>
      <c r="M50" s="240"/>
      <c r="N50" s="241">
        <f t="shared" si="11"/>
        <v>0</v>
      </c>
      <c r="O50" s="248"/>
      <c r="P50" s="249"/>
      <c r="Q50" s="249"/>
      <c r="R50" s="249"/>
      <c r="S50" s="249"/>
      <c r="T50" s="249"/>
      <c r="U50" s="275">
        <f t="shared" si="12"/>
        <v>0</v>
      </c>
      <c r="V50" s="343"/>
      <c r="W50" s="343"/>
      <c r="X50" s="300"/>
      <c r="Y50" s="263"/>
      <c r="Z50" s="264"/>
      <c r="AA50" s="264"/>
      <c r="AB50" s="264"/>
      <c r="AC50" s="264"/>
      <c r="AD50" s="264"/>
      <c r="AE50" s="265"/>
      <c r="AF50" s="248"/>
      <c r="AG50" s="249"/>
      <c r="AH50" s="249"/>
      <c r="AI50" s="249"/>
      <c r="AJ50" s="249"/>
      <c r="AK50" s="249"/>
      <c r="AL50" s="275">
        <f t="shared" si="13"/>
        <v>0</v>
      </c>
      <c r="AM50" s="343"/>
      <c r="AN50" s="343"/>
      <c r="AO50" s="276">
        <f>'Road to 3k v2'!I54</f>
        <v>307.42649799999998</v>
      </c>
      <c r="AP50" s="290"/>
      <c r="AQ50" s="291"/>
      <c r="AR50" s="291"/>
      <c r="AS50" s="291"/>
      <c r="AT50" s="291"/>
      <c r="AU50" s="291"/>
      <c r="AV50" s="292"/>
      <c r="AW50" s="248"/>
      <c r="AX50" s="249"/>
      <c r="AY50" s="249"/>
      <c r="AZ50" s="249"/>
      <c r="BA50" s="249"/>
      <c r="BB50" s="249"/>
      <c r="BC50" s="275">
        <f t="shared" si="14"/>
        <v>0</v>
      </c>
      <c r="BD50" s="343"/>
      <c r="BE50" s="343"/>
      <c r="BF50" s="276"/>
    </row>
    <row r="51" spans="2:58" ht="28" hidden="1" customHeight="1" x14ac:dyDescent="0.2">
      <c r="B51" s="204" t="s">
        <v>45</v>
      </c>
      <c r="C51" s="237"/>
      <c r="D51" s="209" t="s">
        <v>42</v>
      </c>
      <c r="E51" s="205" t="s">
        <v>35</v>
      </c>
      <c r="F51" s="211" t="s">
        <v>245</v>
      </c>
      <c r="G51" s="210" t="s">
        <v>17</v>
      </c>
      <c r="H51" s="245"/>
      <c r="I51" s="246"/>
      <c r="J51" s="246"/>
      <c r="K51" s="246"/>
      <c r="L51" s="246"/>
      <c r="M51" s="246"/>
      <c r="N51" s="247">
        <f t="shared" si="11"/>
        <v>0</v>
      </c>
      <c r="O51" s="252"/>
      <c r="P51" s="253"/>
      <c r="Q51" s="253"/>
      <c r="R51" s="253"/>
      <c r="S51" s="253"/>
      <c r="T51" s="253"/>
      <c r="U51" s="279">
        <f t="shared" si="12"/>
        <v>0</v>
      </c>
      <c r="V51" s="344"/>
      <c r="W51" s="344"/>
      <c r="X51" s="303"/>
      <c r="Y51" s="272"/>
      <c r="Z51" s="273"/>
      <c r="AA51" s="273"/>
      <c r="AB51" s="273"/>
      <c r="AC51" s="273"/>
      <c r="AD51" s="273"/>
      <c r="AE51" s="274"/>
      <c r="AF51" s="252"/>
      <c r="AG51" s="253"/>
      <c r="AH51" s="253"/>
      <c r="AI51" s="253"/>
      <c r="AJ51" s="253"/>
      <c r="AK51" s="253"/>
      <c r="AL51" s="279">
        <f t="shared" si="13"/>
        <v>0</v>
      </c>
      <c r="AM51" s="344"/>
      <c r="AN51" s="344"/>
      <c r="AO51" s="280">
        <f>'Road to 3k v2'!I55</f>
        <v>60.270479999999999</v>
      </c>
      <c r="AP51" s="296"/>
      <c r="AQ51" s="297"/>
      <c r="AR51" s="297"/>
      <c r="AS51" s="297"/>
      <c r="AT51" s="297"/>
      <c r="AU51" s="297"/>
      <c r="AV51" s="298"/>
      <c r="AW51" s="252"/>
      <c r="AX51" s="253"/>
      <c r="AY51" s="253"/>
      <c r="AZ51" s="253"/>
      <c r="BA51" s="253"/>
      <c r="BB51" s="253"/>
      <c r="BC51" s="279">
        <f t="shared" si="14"/>
        <v>0</v>
      </c>
      <c r="BD51" s="344"/>
      <c r="BE51" s="344"/>
      <c r="BF51" s="280">
        <f>'Road to 3k v2'!K55</f>
        <v>70.880548571428577</v>
      </c>
    </row>
    <row r="52" spans="2:58" hidden="1" x14ac:dyDescent="0.2"/>
    <row r="55" spans="2:58" x14ac:dyDescent="0.2">
      <c r="H55" s="335"/>
    </row>
    <row r="57" spans="2:58" x14ac:dyDescent="0.2">
      <c r="B57" s="375" t="s">
        <v>262</v>
      </c>
      <c r="D57" s="89">
        <f>5400-3800</f>
        <v>1600</v>
      </c>
    </row>
    <row r="58" spans="2:58" x14ac:dyDescent="0.2">
      <c r="B58" s="375"/>
    </row>
    <row r="59" spans="2:58" x14ac:dyDescent="0.2">
      <c r="B59" s="440" t="str">
        <f>C10</f>
        <v>- Cake CL tăng app new (loại universal pool) từ 3k8 lên 5k4</v>
      </c>
      <c r="D59" s="238">
        <f>C62+1600</f>
        <v>10504.933333333332</v>
      </c>
    </row>
    <row r="60" spans="2:58" x14ac:dyDescent="0.2">
      <c r="B60" s="89" t="s">
        <v>89</v>
      </c>
      <c r="D60" s="238"/>
    </row>
    <row r="61" spans="2:58" ht="17" customHeight="1" x14ac:dyDescent="0.2">
      <c r="B61" s="376" t="s">
        <v>306</v>
      </c>
      <c r="C61" s="420" t="s">
        <v>303</v>
      </c>
      <c r="D61" s="421" t="s">
        <v>286</v>
      </c>
      <c r="E61" s="377" t="s">
        <v>267</v>
      </c>
    </row>
    <row r="62" spans="2:58" x14ac:dyDescent="0.2">
      <c r="B62" s="378" t="s">
        <v>268</v>
      </c>
      <c r="C62" s="379">
        <f>H10</f>
        <v>8904.9333333333325</v>
      </c>
      <c r="D62" s="379">
        <f>O10</f>
        <v>10105.519294930797</v>
      </c>
      <c r="E62" s="380">
        <f t="shared" ref="E62:E68" si="15">$E$71*G62</f>
        <v>-0.11880497444596549</v>
      </c>
      <c r="F62" s="395">
        <f>(D62-C62)/AVERAGE(C62:D62)</f>
        <v>0.12630798277916555</v>
      </c>
      <c r="G62" s="395">
        <f>F62/$F$71</f>
        <v>1</v>
      </c>
      <c r="H62" s="238">
        <f>D62+500</f>
        <v>10605.519294930797</v>
      </c>
    </row>
    <row r="63" spans="2:58" x14ac:dyDescent="0.2">
      <c r="B63" s="378" t="s">
        <v>259</v>
      </c>
      <c r="C63" s="584">
        <v>1</v>
      </c>
      <c r="D63" s="584">
        <v>1</v>
      </c>
      <c r="E63" s="380">
        <f t="shared" si="15"/>
        <v>0</v>
      </c>
      <c r="F63" s="395">
        <f t="shared" ref="F63:F70" si="16">(D63-C63)/AVERAGE(C63:D63)</f>
        <v>0</v>
      </c>
      <c r="G63" s="395">
        <f>F63/$F$71</f>
        <v>0</v>
      </c>
      <c r="H63" s="238"/>
    </row>
    <row r="64" spans="2:58" x14ac:dyDescent="0.2">
      <c r="B64" s="378" t="s">
        <v>260</v>
      </c>
      <c r="C64" s="584">
        <v>1</v>
      </c>
      <c r="D64" s="584">
        <v>1</v>
      </c>
      <c r="E64" s="380">
        <f t="shared" si="15"/>
        <v>0</v>
      </c>
      <c r="F64" s="395">
        <f t="shared" si="16"/>
        <v>0</v>
      </c>
      <c r="G64" s="395">
        <f>F64/$F$71</f>
        <v>0</v>
      </c>
      <c r="H64" s="238"/>
    </row>
    <row r="65" spans="2:9" x14ac:dyDescent="0.2">
      <c r="B65" s="388" t="s">
        <v>305</v>
      </c>
      <c r="C65" s="585">
        <f>C62*C63*C64</f>
        <v>8904.9333333333325</v>
      </c>
      <c r="D65" s="585">
        <f t="shared" ref="D65" si="17">D62*D63*D64</f>
        <v>10105.519294930797</v>
      </c>
      <c r="E65" s="586">
        <f t="shared" si="15"/>
        <v>0</v>
      </c>
      <c r="F65" s="395"/>
      <c r="G65" s="395"/>
      <c r="H65" s="238"/>
    </row>
    <row r="66" spans="2:9" x14ac:dyDescent="0.2">
      <c r="B66" s="381" t="s">
        <v>257</v>
      </c>
      <c r="C66" s="382">
        <f>K10</f>
        <v>0.16870764608705099</v>
      </c>
      <c r="D66" s="382">
        <f>R10</f>
        <v>0.16870764608705099</v>
      </c>
      <c r="E66" s="383">
        <f t="shared" si="15"/>
        <v>0</v>
      </c>
      <c r="F66" s="395">
        <f t="shared" si="16"/>
        <v>0</v>
      </c>
      <c r="G66" s="395">
        <f>F66/$F$71</f>
        <v>0</v>
      </c>
    </row>
    <row r="67" spans="2:9" x14ac:dyDescent="0.2">
      <c r="B67" s="381" t="s">
        <v>258</v>
      </c>
      <c r="C67" s="384">
        <f>L10</f>
        <v>0.73936406430411228</v>
      </c>
      <c r="D67" s="384">
        <f>S10</f>
        <v>0.73936406430411228</v>
      </c>
      <c r="E67" s="383">
        <f t="shared" si="15"/>
        <v>0</v>
      </c>
      <c r="F67" s="395">
        <f t="shared" si="16"/>
        <v>0</v>
      </c>
      <c r="G67" s="395">
        <f>F67/$F$71</f>
        <v>0</v>
      </c>
    </row>
    <row r="68" spans="2:9" x14ac:dyDescent="0.2">
      <c r="B68" s="385" t="s">
        <v>269</v>
      </c>
      <c r="C68" s="386">
        <v>1</v>
      </c>
      <c r="D68" s="386">
        <v>1</v>
      </c>
      <c r="E68" s="387">
        <f t="shared" si="15"/>
        <v>0</v>
      </c>
      <c r="F68" s="395">
        <f t="shared" si="16"/>
        <v>0</v>
      </c>
      <c r="G68" s="395">
        <f>F68/$F$71</f>
        <v>0</v>
      </c>
    </row>
    <row r="69" spans="2:9" x14ac:dyDescent="0.2">
      <c r="B69" s="388" t="s">
        <v>270</v>
      </c>
      <c r="C69" s="389">
        <f>C62*C66*C67*C68</f>
        <v>1110.7690670182969</v>
      </c>
      <c r="D69" s="389">
        <f t="shared" ref="D69" si="18">D62*D66*D67*D68</f>
        <v>1260.5258028095677</v>
      </c>
      <c r="E69" s="390">
        <f>SUM(E62:E68)</f>
        <v>-0.11880497444596549</v>
      </c>
    </row>
    <row r="70" spans="2:9" x14ac:dyDescent="0.2">
      <c r="B70" s="381" t="s">
        <v>290</v>
      </c>
      <c r="C70" s="391">
        <f>M10</f>
        <v>13.354991943651729</v>
      </c>
      <c r="D70" s="391">
        <f>T10</f>
        <v>13.354991943651729</v>
      </c>
      <c r="E70" s="383">
        <f>$E$71*G70</f>
        <v>0</v>
      </c>
      <c r="F70" s="359">
        <f t="shared" si="16"/>
        <v>0</v>
      </c>
      <c r="G70" s="395">
        <f>F70/$F$71</f>
        <v>0</v>
      </c>
    </row>
    <row r="71" spans="2:9" x14ac:dyDescent="0.2">
      <c r="B71" s="392" t="s">
        <v>291</v>
      </c>
      <c r="C71" s="393">
        <f>C69*C70</f>
        <v>14834.311941286904</v>
      </c>
      <c r="D71" s="393">
        <f t="shared" ref="D71" si="19">D69*D70</f>
        <v>16834.311941286905</v>
      </c>
      <c r="E71" s="394">
        <f>C71/D71-1</f>
        <v>-0.11880497444596549</v>
      </c>
      <c r="F71" s="395">
        <f>SUM(F62:F70)</f>
        <v>0.12630798277916555</v>
      </c>
      <c r="G71" s="395">
        <f>SUM(G62:G70)</f>
        <v>1</v>
      </c>
    </row>
    <row r="72" spans="2:9" x14ac:dyDescent="0.2">
      <c r="D72" s="441">
        <f>D71-C71</f>
        <v>2000.0000000000018</v>
      </c>
    </row>
    <row r="74" spans="2:9" x14ac:dyDescent="0.2">
      <c r="B74" s="89" t="str">
        <f>C19</f>
        <v>- Benchmark với Jan</v>
      </c>
    </row>
    <row r="75" spans="2:9" x14ac:dyDescent="0.2">
      <c r="B75" s="89" t="s">
        <v>40</v>
      </c>
    </row>
    <row r="76" spans="2:9" ht="34" customHeight="1" x14ac:dyDescent="0.2">
      <c r="B76" s="418" t="s">
        <v>272</v>
      </c>
      <c r="C76" s="420" t="s">
        <v>308</v>
      </c>
      <c r="D76" s="421" t="s">
        <v>296</v>
      </c>
      <c r="E76" s="417" t="s">
        <v>267</v>
      </c>
    </row>
    <row r="77" spans="2:9" x14ac:dyDescent="0.2">
      <c r="B77" s="412" t="s">
        <v>277</v>
      </c>
      <c r="C77" s="588">
        <f>8559/30</f>
        <v>285.3</v>
      </c>
      <c r="D77" s="402">
        <v>385</v>
      </c>
      <c r="E77" s="416">
        <f>$E$80*G77</f>
        <v>-0.25026734656368949</v>
      </c>
      <c r="F77" s="433">
        <f>(C77-D77)/AVERAGE(C77:D77)</f>
        <v>-0.29747874086230047</v>
      </c>
      <c r="G77" s="433">
        <f>F77/$F$80</f>
        <v>0.62481437086075764</v>
      </c>
      <c r="H77" s="233">
        <f>8559/30</f>
        <v>285.3</v>
      </c>
      <c r="I77" s="233">
        <f>11920/31</f>
        <v>384.51612903225805</v>
      </c>
    </row>
    <row r="78" spans="2:9" x14ac:dyDescent="0.2">
      <c r="B78" s="408" t="s">
        <v>257</v>
      </c>
      <c r="C78" s="587">
        <v>0.59489999999999998</v>
      </c>
      <c r="D78" s="404">
        <v>0.72309999999999997</v>
      </c>
      <c r="E78" s="409">
        <f t="shared" ref="E78:E79" si="20">$E$80*G78</f>
        <v>-0.1636631346839485</v>
      </c>
      <c r="F78" s="433">
        <f t="shared" ref="F78:F79" si="21">(C78-D78)/AVERAGE(C78:D78)</f>
        <v>-0.19453717754172986</v>
      </c>
      <c r="G78" s="433">
        <f t="shared" ref="G78:G79" si="22">F78/$F$80</f>
        <v>0.40859936357948817</v>
      </c>
    </row>
    <row r="79" spans="2:9" x14ac:dyDescent="0.2">
      <c r="B79" s="408" t="s">
        <v>258</v>
      </c>
      <c r="C79" s="587">
        <v>0.81100000000000005</v>
      </c>
      <c r="D79" s="404">
        <v>0.79820000000000002</v>
      </c>
      <c r="E79" s="409">
        <f t="shared" si="20"/>
        <v>1.3383761717298371E-2</v>
      </c>
      <c r="F79" s="433">
        <f t="shared" si="21"/>
        <v>1.590852597564011E-2</v>
      </c>
      <c r="G79" s="433">
        <f t="shared" si="22"/>
        <v>-3.3413734440245771E-2</v>
      </c>
    </row>
    <row r="80" spans="2:9" x14ac:dyDescent="0.2">
      <c r="B80" s="460" t="s">
        <v>295</v>
      </c>
      <c r="C80" s="461">
        <f>C77*C78*C79*30</f>
        <v>4129.4085201000007</v>
      </c>
      <c r="D80" s="461">
        <f>D77*D78*D79*31</f>
        <v>6888.6244426999992</v>
      </c>
      <c r="E80" s="462">
        <f>C80/D80-1</f>
        <v>-0.4005467195303396</v>
      </c>
      <c r="F80" s="434">
        <f>SUM(F77:F79)</f>
        <v>-0.47610739242839023</v>
      </c>
      <c r="G80" s="434">
        <f>SUM(G77:G79)</f>
        <v>1</v>
      </c>
    </row>
    <row r="81" spans="2:14" x14ac:dyDescent="0.2">
      <c r="C81" s="413"/>
      <c r="D81" s="413"/>
      <c r="E81" s="414"/>
      <c r="F81" s="469"/>
      <c r="G81" s="469"/>
      <c r="H81" s="470"/>
      <c r="I81" s="470"/>
    </row>
    <row r="82" spans="2:14" x14ac:dyDescent="0.2">
      <c r="B82" s="407" t="s">
        <v>279</v>
      </c>
      <c r="C82" s="424">
        <f>37211+C80</f>
        <v>41340.408520099998</v>
      </c>
      <c r="D82" s="424">
        <f>37211+D80</f>
        <v>44099.624442699998</v>
      </c>
      <c r="E82" s="426">
        <f>$E$86*G82</f>
        <v>-5.6315857093560767E-2</v>
      </c>
      <c r="F82" s="469">
        <f>(C82-D82)/AVERAGE(C82:D82)</f>
        <v>-6.4588362783084219E-2</v>
      </c>
      <c r="G82" s="469">
        <f>F82/$F$86</f>
        <v>0.22874050790726499</v>
      </c>
      <c r="H82" s="470"/>
      <c r="I82" s="470"/>
    </row>
    <row r="83" spans="2:14" x14ac:dyDescent="0.2">
      <c r="B83" s="408" t="s">
        <v>280</v>
      </c>
      <c r="C83" s="406">
        <v>0.1832</v>
      </c>
      <c r="D83" s="422">
        <v>0.2</v>
      </c>
      <c r="E83" s="415">
        <f t="shared" ref="E83:E85" si="23">$E$86*G83</f>
        <v>-7.6452237312239379E-2</v>
      </c>
      <c r="F83" s="469">
        <f t="shared" ref="F83:F85" si="24">(C83-D83)/AVERAGE(C83:D83)</f>
        <v>-8.7682672233820508E-2</v>
      </c>
      <c r="G83" s="469">
        <f>F83/$F$86</f>
        <v>0.31052929842468757</v>
      </c>
      <c r="H83" s="470"/>
      <c r="I83" s="470"/>
    </row>
    <row r="84" spans="2:14" x14ac:dyDescent="0.2">
      <c r="B84" s="472" t="s">
        <v>273</v>
      </c>
      <c r="C84" s="473">
        <f>C82*C83</f>
        <v>7573.5628408823195</v>
      </c>
      <c r="D84" s="473">
        <f>D82*D83</f>
        <v>8819.9248885399993</v>
      </c>
      <c r="E84" s="474"/>
      <c r="F84" s="469"/>
      <c r="G84" s="469"/>
      <c r="H84" s="470"/>
      <c r="I84" s="470"/>
    </row>
    <row r="85" spans="2:14" x14ac:dyDescent="0.2">
      <c r="B85" s="408" t="s">
        <v>293</v>
      </c>
      <c r="C85" s="423">
        <v>4.5648264530637164</v>
      </c>
      <c r="D85" s="423">
        <v>5.2</v>
      </c>
      <c r="E85" s="409">
        <f t="shared" si="23"/>
        <v>-0.11343166097986206</v>
      </c>
      <c r="F85" s="469">
        <f t="shared" si="24"/>
        <v>-0.13009418037060924</v>
      </c>
      <c r="G85" s="469">
        <f>F85/$F$86</f>
        <v>0.46073019366804746</v>
      </c>
      <c r="H85" s="470"/>
      <c r="I85" s="470"/>
    </row>
    <row r="86" spans="2:14" x14ac:dyDescent="0.2">
      <c r="B86" s="463" t="s">
        <v>292</v>
      </c>
      <c r="C86" s="464">
        <f>C84*C85</f>
        <v>34572</v>
      </c>
      <c r="D86" s="464">
        <f>D84*D85</f>
        <v>45863.609420408</v>
      </c>
      <c r="E86" s="465">
        <f>C86/D86-1</f>
        <v>-0.24619975538566219</v>
      </c>
      <c r="F86" s="471">
        <f>SUM(F82:F85)</f>
        <v>-0.28236521538751397</v>
      </c>
      <c r="G86" s="471">
        <f>SUM(G82:G85)</f>
        <v>1</v>
      </c>
      <c r="H86" s="470"/>
      <c r="I86" s="470"/>
    </row>
    <row r="87" spans="2:14" x14ac:dyDescent="0.2">
      <c r="B87" s="410" t="s">
        <v>294</v>
      </c>
      <c r="C87" s="411">
        <f>C86/30</f>
        <v>1152.4000000000001</v>
      </c>
      <c r="D87" s="411">
        <f>D86/31</f>
        <v>1479.4712716260644</v>
      </c>
      <c r="E87" s="466"/>
      <c r="F87" s="470"/>
      <c r="G87" s="470"/>
      <c r="H87" s="470"/>
      <c r="I87" s="470"/>
    </row>
    <row r="88" spans="2:14" x14ac:dyDescent="0.2">
      <c r="D88" s="401">
        <f>D87-C87</f>
        <v>327.07127162606434</v>
      </c>
      <c r="F88" s="470"/>
      <c r="G88" s="470"/>
      <c r="H88" s="470"/>
      <c r="I88" s="470"/>
    </row>
    <row r="89" spans="2:14" x14ac:dyDescent="0.2">
      <c r="C89" s="233"/>
    </row>
    <row r="90" spans="2:14" x14ac:dyDescent="0.2">
      <c r="C90" s="400"/>
    </row>
    <row r="91" spans="2:14" x14ac:dyDescent="0.2">
      <c r="B91" s="375" t="s">
        <v>141</v>
      </c>
      <c r="I91" s="375" t="s">
        <v>143</v>
      </c>
    </row>
    <row r="92" spans="2:14" x14ac:dyDescent="0.2">
      <c r="B92" s="375"/>
      <c r="C92" s="440"/>
    </row>
    <row r="93" spans="2:14" x14ac:dyDescent="0.2">
      <c r="B93" s="440" t="s">
        <v>16</v>
      </c>
      <c r="C93" s="440"/>
    </row>
    <row r="95" spans="2:14" ht="17.5" customHeight="1" x14ac:dyDescent="0.2">
      <c r="B95" s="376" t="s">
        <v>163</v>
      </c>
      <c r="C95" s="419" t="s">
        <v>303</v>
      </c>
      <c r="D95" s="419" t="s">
        <v>286</v>
      </c>
      <c r="E95" s="583" t="s">
        <v>304</v>
      </c>
      <c r="I95" s="376" t="s">
        <v>285</v>
      </c>
      <c r="J95" s="419" t="s">
        <v>263</v>
      </c>
      <c r="K95" s="419" t="s">
        <v>287</v>
      </c>
      <c r="L95" s="377" t="s">
        <v>267</v>
      </c>
    </row>
    <row r="96" spans="2:14" x14ac:dyDescent="0.2">
      <c r="B96" s="381" t="s">
        <v>281</v>
      </c>
      <c r="C96" s="435">
        <f>Y6</f>
        <v>5787.6</v>
      </c>
      <c r="D96" s="435">
        <f>AF6</f>
        <v>4339.2666666666664</v>
      </c>
      <c r="E96" s="383">
        <f>$E$105*G96</f>
        <v>0.27293868937485211</v>
      </c>
      <c r="F96" s="359">
        <f>(D96-C96)/AVERAGE(C96:D96)</f>
        <v>-0.28603780043843779</v>
      </c>
      <c r="G96" s="359">
        <f>F96/$F$105</f>
        <v>-3.1922965352430142</v>
      </c>
      <c r="I96" s="381" t="s">
        <v>281</v>
      </c>
      <c r="J96" s="435">
        <f>AP7</f>
        <v>4339.2666666666664</v>
      </c>
      <c r="K96" s="435">
        <f>AW7</f>
        <v>4339.2666666666664</v>
      </c>
      <c r="L96" s="383">
        <f>$L$105*N96</f>
        <v>0</v>
      </c>
      <c r="M96" s="359">
        <f>(K96-J96)/AVERAGE(J96:K96)</f>
        <v>0</v>
      </c>
      <c r="N96" s="359">
        <f>M96/$M$105</f>
        <v>0</v>
      </c>
    </row>
    <row r="97" spans="2:14" x14ac:dyDescent="0.2">
      <c r="B97" s="381" t="s">
        <v>259</v>
      </c>
      <c r="C97" s="382">
        <f>Z6</f>
        <v>0.91315916787614904</v>
      </c>
      <c r="D97" s="382">
        <f>AG6</f>
        <v>0.89147167724193033</v>
      </c>
      <c r="E97" s="383">
        <f t="shared" ref="E97:E104" si="25">$E$105*G97</f>
        <v>2.2934675309326261E-2</v>
      </c>
      <c r="F97" s="359">
        <f t="shared" ref="F97:F104" si="26">(D97-C97)/AVERAGE(C97:D97)</f>
        <v>-2.4035376202161354E-2</v>
      </c>
      <c r="G97" s="359">
        <f t="shared" ref="G97:G104" si="27">F97/$F$105</f>
        <v>-0.26824443502157264</v>
      </c>
      <c r="I97" s="381" t="s">
        <v>259</v>
      </c>
      <c r="J97" s="382">
        <f>AQ7</f>
        <v>0.89147167724193033</v>
      </c>
      <c r="K97" s="382">
        <f>AX7</f>
        <v>0.89147167724193033</v>
      </c>
      <c r="L97" s="383">
        <f t="shared" ref="L97:L104" si="28">$L$105*N97</f>
        <v>0</v>
      </c>
      <c r="M97" s="359">
        <f t="shared" ref="M97:M98" si="29">(K97-J97)/AVERAGE(J97:K97)</f>
        <v>0</v>
      </c>
      <c r="N97" s="359">
        <f t="shared" ref="N97:N104" si="30">M97/$M$105</f>
        <v>0</v>
      </c>
    </row>
    <row r="98" spans="2:14" x14ac:dyDescent="0.2">
      <c r="B98" s="381" t="s">
        <v>260</v>
      </c>
      <c r="C98" s="382">
        <f>AA6</f>
        <v>0.9987890255439924</v>
      </c>
      <c r="D98" s="382">
        <f>AH6</f>
        <v>0.99914691943127965</v>
      </c>
      <c r="E98" s="383">
        <f t="shared" si="25"/>
        <v>-3.4185692997320335E-4</v>
      </c>
      <c r="F98" s="359">
        <f t="shared" si="26"/>
        <v>3.5826362520513267E-4</v>
      </c>
      <c r="G98" s="359">
        <f t="shared" si="27"/>
        <v>3.9983656974459745E-3</v>
      </c>
      <c r="I98" s="381" t="s">
        <v>260</v>
      </c>
      <c r="J98" s="382">
        <f>AR7</f>
        <v>0.99914691943127965</v>
      </c>
      <c r="K98" s="382">
        <f>AY7</f>
        <v>0.99914691943127965</v>
      </c>
      <c r="L98" s="383">
        <f t="shared" si="28"/>
        <v>0</v>
      </c>
      <c r="M98" s="359">
        <f t="shared" si="29"/>
        <v>0</v>
      </c>
      <c r="N98" s="359">
        <f t="shared" si="30"/>
        <v>0</v>
      </c>
    </row>
    <row r="99" spans="2:14" x14ac:dyDescent="0.2">
      <c r="B99" s="436" t="s">
        <v>282</v>
      </c>
      <c r="C99" s="437">
        <f>C96*C97*C98</f>
        <v>5278.6</v>
      </c>
      <c r="D99" s="437">
        <f t="shared" ref="D99" si="31">D96*D97*D98</f>
        <v>3865.0333333333338</v>
      </c>
      <c r="E99" s="438">
        <f>SUM(E96:E98)</f>
        <v>0.29553150775420517</v>
      </c>
      <c r="I99" s="436" t="s">
        <v>282</v>
      </c>
      <c r="J99" s="437">
        <f>J96*J97*J98</f>
        <v>3865.0333333333338</v>
      </c>
      <c r="K99" s="437">
        <f t="shared" ref="K99" si="32">K96*K97*K98</f>
        <v>3865.0333333333338</v>
      </c>
      <c r="L99" s="438">
        <f>SUM(L96:L98)</f>
        <v>0</v>
      </c>
    </row>
    <row r="100" spans="2:14" x14ac:dyDescent="0.2">
      <c r="B100" s="381" t="s">
        <v>257</v>
      </c>
      <c r="C100" s="439">
        <f>AB6</f>
        <v>0.24163603985905355</v>
      </c>
      <c r="D100" s="382">
        <f>AI6</f>
        <v>0.31496925425395211</v>
      </c>
      <c r="E100" s="383">
        <f t="shared" si="25"/>
        <v>-0.25143460912047594</v>
      </c>
      <c r="F100" s="359">
        <f t="shared" si="26"/>
        <v>0.26350167765385996</v>
      </c>
      <c r="G100" s="359">
        <f t="shared" si="27"/>
        <v>2.9407843694637132</v>
      </c>
      <c r="I100" s="381" t="s">
        <v>257</v>
      </c>
      <c r="J100" s="439">
        <f>AS7</f>
        <v>0.31496925425395211</v>
      </c>
      <c r="K100" s="382">
        <f>AZ7</f>
        <v>0.31496925425395211</v>
      </c>
      <c r="L100" s="383">
        <f t="shared" si="28"/>
        <v>0</v>
      </c>
      <c r="M100" s="359">
        <f t="shared" ref="M100:M102" si="33">(K100-J100)/AVERAGE(J100:K100)</f>
        <v>0</v>
      </c>
      <c r="N100" s="359">
        <f t="shared" si="30"/>
        <v>0</v>
      </c>
    </row>
    <row r="101" spans="2:14" x14ac:dyDescent="0.2">
      <c r="B101" s="381" t="s">
        <v>258</v>
      </c>
      <c r="C101" s="382">
        <f>AC6</f>
        <v>0.84312034496275967</v>
      </c>
      <c r="D101" s="382">
        <f>AC6</f>
        <v>0.84312034496275967</v>
      </c>
      <c r="E101" s="383">
        <f t="shared" si="25"/>
        <v>0</v>
      </c>
      <c r="F101" s="359">
        <f t="shared" si="26"/>
        <v>0</v>
      </c>
      <c r="G101" s="359">
        <f t="shared" si="27"/>
        <v>0</v>
      </c>
      <c r="I101" s="381" t="s">
        <v>258</v>
      </c>
      <c r="J101" s="382">
        <f>AT7</f>
        <v>0.84381588675008901</v>
      </c>
      <c r="K101" s="382">
        <f>AT7</f>
        <v>0.84381588675008901</v>
      </c>
      <c r="L101" s="383">
        <f t="shared" si="28"/>
        <v>0</v>
      </c>
      <c r="M101" s="359">
        <f t="shared" si="33"/>
        <v>0</v>
      </c>
      <c r="N101" s="359">
        <f t="shared" si="30"/>
        <v>0</v>
      </c>
    </row>
    <row r="102" spans="2:14" x14ac:dyDescent="0.2">
      <c r="B102" s="385" t="s">
        <v>269</v>
      </c>
      <c r="C102" s="386">
        <v>1</v>
      </c>
      <c r="D102" s="386">
        <v>1</v>
      </c>
      <c r="E102" s="387">
        <f t="shared" si="25"/>
        <v>0</v>
      </c>
      <c r="F102" s="359">
        <f t="shared" si="26"/>
        <v>0</v>
      </c>
      <c r="G102" s="359">
        <f t="shared" si="27"/>
        <v>0</v>
      </c>
      <c r="I102" s="385" t="s">
        <v>269</v>
      </c>
      <c r="J102" s="386">
        <v>1</v>
      </c>
      <c r="K102" s="386">
        <v>1</v>
      </c>
      <c r="L102" s="387">
        <f t="shared" si="28"/>
        <v>0</v>
      </c>
      <c r="M102" s="359">
        <f t="shared" si="33"/>
        <v>0</v>
      </c>
      <c r="N102" s="359">
        <f t="shared" si="30"/>
        <v>0</v>
      </c>
    </row>
    <row r="103" spans="2:14" x14ac:dyDescent="0.2">
      <c r="B103" s="388" t="s">
        <v>270</v>
      </c>
      <c r="C103" s="389">
        <f>C99*C100*C101*C102</f>
        <v>1075.4000000000001</v>
      </c>
      <c r="D103" s="389">
        <f t="shared" ref="D103" si="34">D99*D100*D101*D102</f>
        <v>1026.386603946165</v>
      </c>
      <c r="E103" s="390">
        <f>SUM(E100:E102)</f>
        <v>-0.25143460912047594</v>
      </c>
      <c r="I103" s="388" t="s">
        <v>270</v>
      </c>
      <c r="J103" s="389">
        <f>J99*J100*J101*J102</f>
        <v>1027.2333333333333</v>
      </c>
      <c r="K103" s="389">
        <f t="shared" ref="K103" si="35">K99*K100*K101*K102</f>
        <v>1027.2333333333333</v>
      </c>
      <c r="L103" s="390">
        <f>SUM(L100:L102)</f>
        <v>0</v>
      </c>
    </row>
    <row r="104" spans="2:14" x14ac:dyDescent="0.2">
      <c r="B104" s="381" t="s">
        <v>256</v>
      </c>
      <c r="C104" s="391">
        <f>AD6</f>
        <v>15.662757369724108</v>
      </c>
      <c r="D104" s="391">
        <f>AK6</f>
        <v>17.944987956300182</v>
      </c>
      <c r="E104" s="383">
        <f t="shared" si="25"/>
        <v>-0.12959606400311269</v>
      </c>
      <c r="F104" s="359">
        <f t="shared" si="26"/>
        <v>0.13581575106788371</v>
      </c>
      <c r="G104" s="359">
        <f t="shared" si="27"/>
        <v>1.5157582351034276</v>
      </c>
      <c r="I104" s="381" t="s">
        <v>256</v>
      </c>
      <c r="J104" s="391">
        <f>AU7</f>
        <v>17.944987956300182</v>
      </c>
      <c r="K104" s="391">
        <f>BB7</f>
        <v>20.865453932871553</v>
      </c>
      <c r="L104" s="383">
        <f t="shared" si="28"/>
        <v>-0.13996656799162444</v>
      </c>
      <c r="M104" s="359">
        <f t="shared" ref="M104" si="36">(K104-J104)/AVERAGE(J104:K104)</f>
        <v>0.15049898091400979</v>
      </c>
      <c r="N104" s="359">
        <f t="shared" si="30"/>
        <v>1</v>
      </c>
    </row>
    <row r="105" spans="2:14" x14ac:dyDescent="0.2">
      <c r="B105" s="392" t="s">
        <v>271</v>
      </c>
      <c r="C105" s="393">
        <f>C103*C104</f>
        <v>16843.729275401307</v>
      </c>
      <c r="D105" s="393">
        <f t="shared" ref="D105" si="37">D103*D104</f>
        <v>18418.495246321774</v>
      </c>
      <c r="E105" s="394">
        <f>C105/D105-1</f>
        <v>-8.5499165369383401E-2</v>
      </c>
      <c r="F105" s="359">
        <f>SUM(F96:F104)</f>
        <v>8.9602515706349667E-2</v>
      </c>
      <c r="G105" s="359">
        <f>SUM(G96:G104)</f>
        <v>0.99999999999999978</v>
      </c>
      <c r="I105" s="392" t="s">
        <v>271</v>
      </c>
      <c r="J105" s="393">
        <f>J103*J104</f>
        <v>18433.689794976755</v>
      </c>
      <c r="K105" s="393">
        <f t="shared" ref="K105" si="38">K103*K104</f>
        <v>21433.689794976755</v>
      </c>
      <c r="L105" s="394">
        <f>J105/K105-1</f>
        <v>-0.13996656799162444</v>
      </c>
      <c r="M105" s="359">
        <f>SUM(M96:M104)</f>
        <v>0.15049898091400979</v>
      </c>
      <c r="N105" s="359">
        <f>SUM(N96:N104)</f>
        <v>1</v>
      </c>
    </row>
    <row r="106" spans="2:14" x14ac:dyDescent="0.2">
      <c r="C106" s="233">
        <v>3000</v>
      </c>
      <c r="D106" s="401">
        <f>D105-C105</f>
        <v>1574.7659709204672</v>
      </c>
      <c r="K106" s="441">
        <f>K105-J105</f>
        <v>3000</v>
      </c>
    </row>
    <row r="107" spans="2:14" x14ac:dyDescent="0.2">
      <c r="B107" s="89" t="str">
        <f>C8</f>
        <v>- VDS PD tăng app từ 5k7 lên 6k (Jan benchmark)</v>
      </c>
      <c r="C107" s="399"/>
      <c r="D107" s="400">
        <f>D104/C104</f>
        <v>1.1457106518796998</v>
      </c>
      <c r="E107" s="400">
        <f>C104*1.1</f>
        <v>17.229033106696519</v>
      </c>
      <c r="F107" s="233">
        <f>D96*D97*D98*D100*D101*D102*E107</f>
        <v>17683.648779658284</v>
      </c>
      <c r="G107" s="233">
        <f>F107-C105</f>
        <v>839.91950425697723</v>
      </c>
    </row>
    <row r="108" spans="2:14" x14ac:dyDescent="0.2">
      <c r="B108" s="89" t="s">
        <v>93</v>
      </c>
      <c r="D108" s="400"/>
      <c r="E108" s="335">
        <f>C104*1.3</f>
        <v>20.361584580641342</v>
      </c>
      <c r="F108" s="233">
        <f>D96*D97*D98*D100*D101*D102*E108</f>
        <v>20898.857648687066</v>
      </c>
      <c r="G108" s="233">
        <f>F108-C105</f>
        <v>4055.1283732857592</v>
      </c>
      <c r="I108" s="89" t="str">
        <f>C11</f>
        <v>- Risk: request = approve (50%-70%)</v>
      </c>
    </row>
    <row r="109" spans="2:14" x14ac:dyDescent="0.2">
      <c r="B109" s="376" t="s">
        <v>328</v>
      </c>
      <c r="C109" s="419" t="s">
        <v>303</v>
      </c>
      <c r="D109" s="419" t="s">
        <v>286</v>
      </c>
      <c r="E109" s="377" t="s">
        <v>267</v>
      </c>
      <c r="I109" s="376" t="s">
        <v>288</v>
      </c>
      <c r="J109" s="419" t="s">
        <v>263</v>
      </c>
      <c r="K109" s="419" t="s">
        <v>287</v>
      </c>
      <c r="L109" s="377" t="s">
        <v>267</v>
      </c>
    </row>
    <row r="110" spans="2:14" x14ac:dyDescent="0.2">
      <c r="B110" s="381" t="s">
        <v>281</v>
      </c>
      <c r="C110" s="435">
        <f>Y8</f>
        <v>6499.7</v>
      </c>
      <c r="D110" s="435">
        <f>AF8</f>
        <v>6102.7193709482353</v>
      </c>
      <c r="E110" s="383">
        <f>$E$119*G110</f>
        <v>6.3874812177476162E-2</v>
      </c>
      <c r="F110" s="359">
        <f>(D110-C110)/AVERAGE(C110:D110)</f>
        <v>-6.3000701272789769E-2</v>
      </c>
      <c r="G110" s="359">
        <f>F110/$F$119</f>
        <v>2.3755176359377601</v>
      </c>
      <c r="I110" s="381" t="s">
        <v>281</v>
      </c>
      <c r="J110" s="435">
        <f>AP11</f>
        <v>8904.9333333333325</v>
      </c>
      <c r="K110" s="435">
        <f>AW11</f>
        <v>8904.9333333333325</v>
      </c>
      <c r="L110" s="383">
        <f>$L$119*N110</f>
        <v>0</v>
      </c>
      <c r="M110" s="359">
        <f>(K110-J110)/AVERAGE(J110:K110)</f>
        <v>0</v>
      </c>
      <c r="N110" s="359">
        <f>M110/$M$119</f>
        <v>0</v>
      </c>
    </row>
    <row r="111" spans="2:14" x14ac:dyDescent="0.2">
      <c r="B111" s="381" t="s">
        <v>259</v>
      </c>
      <c r="C111" s="382">
        <f>Z8</f>
        <v>0.75938889487207106</v>
      </c>
      <c r="D111" s="382">
        <f>AG8</f>
        <v>0.7592845973416732</v>
      </c>
      <c r="E111" s="383">
        <f t="shared" ref="E111:E118" si="39">$E$119*G111</f>
        <v>1.3925918866862408E-4</v>
      </c>
      <c r="F111" s="359">
        <f t="shared" ref="F111:F112" si="40">(D111-C111)/AVERAGE(C111:D111)</f>
        <v>-1.3735346133662344E-4</v>
      </c>
      <c r="G111" s="359">
        <f t="shared" ref="G111:G118" si="41">F111/$F$119</f>
        <v>5.1790783780238355E-3</v>
      </c>
      <c r="I111" s="381" t="s">
        <v>259</v>
      </c>
      <c r="J111" s="382">
        <f>AQ11</f>
        <v>1</v>
      </c>
      <c r="K111" s="382">
        <f>AX11</f>
        <v>1</v>
      </c>
      <c r="L111" s="383">
        <f t="shared" ref="L111:L118" si="42">$L$119*N111</f>
        <v>0</v>
      </c>
      <c r="M111" s="359">
        <f t="shared" ref="M111:M112" si="43">(K111-J111)/AVERAGE(J111:K111)</f>
        <v>0</v>
      </c>
      <c r="N111" s="359">
        <f t="shared" ref="N111:N118" si="44">M111/$M$119</f>
        <v>0</v>
      </c>
    </row>
    <row r="112" spans="2:14" x14ac:dyDescent="0.2">
      <c r="B112" s="381" t="s">
        <v>260</v>
      </c>
      <c r="C112" s="382">
        <f>AA8</f>
        <v>0.9987033510271891</v>
      </c>
      <c r="D112" s="382">
        <f>AH8</f>
        <v>0.99887183603007423</v>
      </c>
      <c r="E112" s="383">
        <f t="shared" si="39"/>
        <v>-1.7103002649377681E-4</v>
      </c>
      <c r="F112" s="359">
        <f t="shared" si="40"/>
        <v>1.6868952315465731E-4</v>
      </c>
      <c r="G112" s="359">
        <f t="shared" si="41"/>
        <v>-6.3606424874018686E-3</v>
      </c>
      <c r="I112" s="381" t="s">
        <v>260</v>
      </c>
      <c r="J112" s="382">
        <f>AR11</f>
        <v>1</v>
      </c>
      <c r="K112" s="382">
        <f>AY11</f>
        <v>1</v>
      </c>
      <c r="L112" s="383">
        <f t="shared" si="42"/>
        <v>0</v>
      </c>
      <c r="M112" s="359">
        <f t="shared" si="43"/>
        <v>0</v>
      </c>
      <c r="N112" s="359">
        <f t="shared" si="44"/>
        <v>0</v>
      </c>
    </row>
    <row r="113" spans="2:14" x14ac:dyDescent="0.2">
      <c r="B113" s="436" t="s">
        <v>282</v>
      </c>
      <c r="C113" s="437">
        <f>C110*C111*C112</f>
        <v>4929.4000000000005</v>
      </c>
      <c r="D113" s="437">
        <f t="shared" ref="D113" si="45">D110*D111*D112</f>
        <v>4628.4732459468278</v>
      </c>
      <c r="E113" s="438">
        <f>SUM(E110:E112)</f>
        <v>6.3843041339651005E-2</v>
      </c>
      <c r="I113" s="436" t="s">
        <v>282</v>
      </c>
      <c r="J113" s="437">
        <f>J110*J111*J112</f>
        <v>8904.9333333333325</v>
      </c>
      <c r="K113" s="437">
        <f t="shared" ref="K113" si="46">K110*K111*K112</f>
        <v>8904.9333333333325</v>
      </c>
      <c r="L113" s="438">
        <f>SUM(L110:L112)</f>
        <v>0</v>
      </c>
    </row>
    <row r="114" spans="2:14" x14ac:dyDescent="0.2">
      <c r="B114" s="381" t="s">
        <v>257</v>
      </c>
      <c r="C114" s="439">
        <f>AB8</f>
        <v>0.58092262750030432</v>
      </c>
      <c r="D114" s="382">
        <f>AI8</f>
        <v>0.60826688093144543</v>
      </c>
      <c r="E114" s="383">
        <f t="shared" si="39"/>
        <v>-4.6626117048520328E-2</v>
      </c>
      <c r="F114" s="359">
        <f t="shared" ref="F114:F116" si="47">(D114-C114)/AVERAGE(C114:D114)</f>
        <v>4.5988050243062586E-2</v>
      </c>
      <c r="G114" s="359">
        <f t="shared" si="41"/>
        <v>-1.7340350533839288</v>
      </c>
      <c r="I114" s="381" t="s">
        <v>257</v>
      </c>
      <c r="J114" s="439">
        <f>AS11</f>
        <v>0.16870764608705099</v>
      </c>
      <c r="K114" s="382">
        <f>AZ11</f>
        <v>0.16870764608705099</v>
      </c>
      <c r="L114" s="383">
        <f t="shared" si="42"/>
        <v>0</v>
      </c>
      <c r="M114" s="359">
        <f t="shared" ref="M114:M116" si="48">(K114-J114)/AVERAGE(J114:K114)</f>
        <v>0</v>
      </c>
      <c r="N114" s="359">
        <f t="shared" si="44"/>
        <v>0</v>
      </c>
    </row>
    <row r="115" spans="2:14" x14ac:dyDescent="0.2">
      <c r="B115" s="381" t="s">
        <v>258</v>
      </c>
      <c r="C115" s="382">
        <f>AC8</f>
        <v>0.9117195138985893</v>
      </c>
      <c r="D115" s="382">
        <f>AC8</f>
        <v>0.9117195138985893</v>
      </c>
      <c r="E115" s="383">
        <f t="shared" si="39"/>
        <v>0</v>
      </c>
      <c r="F115" s="359">
        <f t="shared" si="47"/>
        <v>0</v>
      </c>
      <c r="G115" s="359">
        <f t="shared" si="41"/>
        <v>0</v>
      </c>
      <c r="I115" s="381" t="s">
        <v>258</v>
      </c>
      <c r="J115" s="382">
        <f>AT11</f>
        <v>0.73936406430411228</v>
      </c>
      <c r="K115" s="382">
        <f>AT11</f>
        <v>0.73936406430411228</v>
      </c>
      <c r="L115" s="383">
        <f t="shared" si="42"/>
        <v>0</v>
      </c>
      <c r="M115" s="359">
        <f t="shared" si="48"/>
        <v>0</v>
      </c>
      <c r="N115" s="359">
        <f t="shared" si="44"/>
        <v>0</v>
      </c>
    </row>
    <row r="116" spans="2:14" x14ac:dyDescent="0.2">
      <c r="B116" s="385" t="s">
        <v>269</v>
      </c>
      <c r="C116" s="386">
        <v>1</v>
      </c>
      <c r="D116" s="386">
        <v>1</v>
      </c>
      <c r="E116" s="387">
        <f t="shared" si="39"/>
        <v>0</v>
      </c>
      <c r="F116" s="359">
        <f t="shared" si="47"/>
        <v>0</v>
      </c>
      <c r="G116" s="359">
        <f t="shared" si="41"/>
        <v>0</v>
      </c>
      <c r="I116" s="385" t="s">
        <v>269</v>
      </c>
      <c r="J116" s="386">
        <v>1</v>
      </c>
      <c r="K116" s="386">
        <v>1</v>
      </c>
      <c r="L116" s="387">
        <f t="shared" si="42"/>
        <v>0</v>
      </c>
      <c r="M116" s="359">
        <f t="shared" si="48"/>
        <v>0</v>
      </c>
      <c r="N116" s="359">
        <f t="shared" si="44"/>
        <v>0</v>
      </c>
    </row>
    <row r="117" spans="2:14" x14ac:dyDescent="0.2">
      <c r="B117" s="388" t="s">
        <v>270</v>
      </c>
      <c r="C117" s="389">
        <f>C113*C114*C115*C116</f>
        <v>2610.8000000000006</v>
      </c>
      <c r="D117" s="389">
        <f t="shared" ref="D117" si="49">D113*D114*D115*D116</f>
        <v>2566.8067844256075</v>
      </c>
      <c r="E117" s="390">
        <f>SUM(E114:E116)</f>
        <v>-4.6626117048520328E-2</v>
      </c>
      <c r="I117" s="388" t="s">
        <v>270</v>
      </c>
      <c r="J117" s="389">
        <f>J113*J114*J115*J116</f>
        <v>1110.7690670182969</v>
      </c>
      <c r="K117" s="389">
        <f t="shared" ref="K117" si="50">K113*K114*K115*K116</f>
        <v>1110.7690670182969</v>
      </c>
      <c r="L117" s="390">
        <f>SUM(L114:L116)</f>
        <v>0</v>
      </c>
    </row>
    <row r="118" spans="2:14" x14ac:dyDescent="0.2">
      <c r="B118" s="381" t="s">
        <v>256</v>
      </c>
      <c r="C118" s="391">
        <f>AD8</f>
        <v>4.5960353914508962</v>
      </c>
      <c r="D118" s="391">
        <v>4.5523995713911987</v>
      </c>
      <c r="E118" s="383">
        <f t="shared" si="39"/>
        <v>9.6718730013638145E-3</v>
      </c>
      <c r="F118" s="359">
        <f t="shared" ref="F118" si="51">(D118-C118)/AVERAGE(C118:D118)</f>
        <v>-9.5395158268997433E-3</v>
      </c>
      <c r="G118" s="359">
        <f t="shared" si="41"/>
        <v>0.35969898155554686</v>
      </c>
      <c r="I118" s="381" t="s">
        <v>256</v>
      </c>
      <c r="J118" s="391">
        <f>AU11</f>
        <v>16.055823366742292</v>
      </c>
      <c r="K118" s="391">
        <f>BB11</f>
        <v>18.756654789832851</v>
      </c>
      <c r="L118" s="383">
        <f t="shared" si="42"/>
        <v>-0.14399323617954307</v>
      </c>
      <c r="M118" s="359">
        <f t="shared" ref="M118" si="52">(K118-J118)/AVERAGE(J118:K118)</f>
        <v>0.15516455972729679</v>
      </c>
      <c r="N118" s="359">
        <f t="shared" si="44"/>
        <v>1</v>
      </c>
    </row>
    <row r="119" spans="2:14" x14ac:dyDescent="0.2">
      <c r="B119" s="392" t="s">
        <v>271</v>
      </c>
      <c r="C119" s="393">
        <f>C117*C118</f>
        <v>11999.329200000002</v>
      </c>
      <c r="D119" s="393">
        <f>D117*D118</f>
        <v>11685.130105263157</v>
      </c>
      <c r="E119" s="394">
        <f>C119/D119-1</f>
        <v>2.6888797292494493E-2</v>
      </c>
      <c r="F119" s="359">
        <f>SUM(F110:F118)</f>
        <v>-2.6520830794808894E-2</v>
      </c>
      <c r="G119" s="359">
        <f>SUM(G110:G118)</f>
        <v>1</v>
      </c>
      <c r="I119" s="392" t="s">
        <v>271</v>
      </c>
      <c r="J119" s="393">
        <f>J117*J118</f>
        <v>17834.311941286905</v>
      </c>
      <c r="K119" s="393">
        <f t="shared" ref="K119" si="53">K117*K118</f>
        <v>20834.311941286905</v>
      </c>
      <c r="L119" s="394">
        <f>J119/K119-1</f>
        <v>-0.14399323617954307</v>
      </c>
      <c r="M119" s="359">
        <f>SUM(M110:M118)</f>
        <v>0.15516455972729679</v>
      </c>
      <c r="N119" s="359">
        <f>SUM(N110:N118)</f>
        <v>1</v>
      </c>
    </row>
    <row r="120" spans="2:14" x14ac:dyDescent="0.2">
      <c r="D120" s="441">
        <f>D119-C119</f>
        <v>-314.19909473684493</v>
      </c>
      <c r="K120" s="441">
        <f>K119-J119</f>
        <v>3000</v>
      </c>
      <c r="M120" s="400"/>
    </row>
    <row r="121" spans="2:14" x14ac:dyDescent="0.2">
      <c r="B121" s="89" t="str">
        <f>C9</f>
        <v>- Tăng ticket nhóm repeat từ 4,7tr lên 5tr2</v>
      </c>
      <c r="D121" s="233">
        <f>'Road to 3k v2 (2)'!J8</f>
        <v>11685130105.263157</v>
      </c>
      <c r="E121" s="233">
        <f>D121/(D110*D111*D112*D114*D115*D116)</f>
        <v>4552399.5713911988</v>
      </c>
      <c r="F121" s="400">
        <f>E121/1000000</f>
        <v>4.5523995713911987</v>
      </c>
      <c r="I121" s="89" t="str">
        <f>C16</f>
        <v>- Pool non-score</v>
      </c>
    </row>
    <row r="122" spans="2:14" x14ac:dyDescent="0.2">
      <c r="B122" s="89" t="s">
        <v>73</v>
      </c>
      <c r="I122" s="376" t="s">
        <v>166</v>
      </c>
      <c r="J122" s="419" t="s">
        <v>263</v>
      </c>
      <c r="K122" s="419" t="s">
        <v>287</v>
      </c>
      <c r="L122" s="377" t="s">
        <v>267</v>
      </c>
    </row>
    <row r="123" spans="2:14" x14ac:dyDescent="0.2">
      <c r="B123" s="376" t="s">
        <v>284</v>
      </c>
      <c r="C123" s="419" t="s">
        <v>303</v>
      </c>
      <c r="D123" s="419" t="s">
        <v>286</v>
      </c>
      <c r="E123" s="377" t="s">
        <v>267</v>
      </c>
      <c r="I123" s="381" t="s">
        <v>281</v>
      </c>
      <c r="J123" s="435">
        <f>AP16</f>
        <v>1442.9256983287412</v>
      </c>
      <c r="K123" s="435">
        <f>AW16</f>
        <v>1652.7180633241489</v>
      </c>
      <c r="L123" s="383">
        <f>$L$132*N123</f>
        <v>-0.12693778185823645</v>
      </c>
      <c r="M123" s="359">
        <f>(K123-J123)/AVERAGE(J123:K123)</f>
        <v>0.1355403794158738</v>
      </c>
      <c r="N123" s="359">
        <f>M123/$M$132</f>
        <v>1</v>
      </c>
    </row>
    <row r="124" spans="2:14" x14ac:dyDescent="0.2">
      <c r="B124" s="381" t="s">
        <v>281</v>
      </c>
      <c r="C124" s="435">
        <f>Y9</f>
        <v>6499.7</v>
      </c>
      <c r="D124" s="435">
        <f>AF9</f>
        <v>5798.1333333333332</v>
      </c>
      <c r="E124" s="383">
        <f>$E$133*G124</f>
        <v>0.11207054370031956</v>
      </c>
      <c r="F124" s="359">
        <f>(D124-C124)/AVERAGE(C124:D124)</f>
        <v>-0.11409597896648462</v>
      </c>
      <c r="G124" s="359">
        <f>F124/$F$133</f>
        <v>-3.3131047770325353</v>
      </c>
      <c r="I124" s="381" t="s">
        <v>259</v>
      </c>
      <c r="J124" s="382">
        <f>AQ16</f>
        <v>0.80215710655782013</v>
      </c>
      <c r="K124" s="382">
        <f>AX16</f>
        <v>0.80215710655782013</v>
      </c>
      <c r="L124" s="383">
        <f t="shared" ref="L124:L131" si="54">$L$132*N124</f>
        <v>0</v>
      </c>
      <c r="M124" s="359">
        <f t="shared" ref="M124:M125" si="55">(K124-J124)/AVERAGE(J124:K124)</f>
        <v>0</v>
      </c>
      <c r="N124" s="359">
        <f t="shared" ref="N124:N131" si="56">M124/$M$132</f>
        <v>0</v>
      </c>
    </row>
    <row r="125" spans="2:14" x14ac:dyDescent="0.2">
      <c r="B125" s="381" t="s">
        <v>259</v>
      </c>
      <c r="C125" s="382">
        <f>Z9</f>
        <v>0.75938889487207106</v>
      </c>
      <c r="D125" s="382">
        <f>AG9</f>
        <v>0.7592845973416732</v>
      </c>
      <c r="E125" s="383">
        <f t="shared" ref="E125:E132" si="57">$E$133*G125</f>
        <v>1.3491515854066992E-4</v>
      </c>
      <c r="F125" s="359">
        <f t="shared" ref="F125:F126" si="58">(D125-C125)/AVERAGE(C125:D125)</f>
        <v>-1.3735346133662344E-4</v>
      </c>
      <c r="G125" s="359">
        <f t="shared" ref="G125:G132" si="59">F125/$F$133</f>
        <v>-3.9884526432784747E-3</v>
      </c>
      <c r="I125" s="381" t="s">
        <v>260</v>
      </c>
      <c r="J125" s="382">
        <f>AR16</f>
        <v>0.99841617523167647</v>
      </c>
      <c r="K125" s="382">
        <f>AY16</f>
        <v>0.99841617523167647</v>
      </c>
      <c r="L125" s="383">
        <f t="shared" si="54"/>
        <v>0</v>
      </c>
      <c r="M125" s="359">
        <f t="shared" si="55"/>
        <v>0</v>
      </c>
      <c r="N125" s="359">
        <f t="shared" si="56"/>
        <v>0</v>
      </c>
    </row>
    <row r="126" spans="2:14" x14ac:dyDescent="0.2">
      <c r="B126" s="381" t="s">
        <v>260</v>
      </c>
      <c r="C126" s="382">
        <f>AA9</f>
        <v>0.9987033510271891</v>
      </c>
      <c r="D126" s="382">
        <f>AH9</f>
        <v>0.99887183603007423</v>
      </c>
      <c r="E126" s="383">
        <f t="shared" si="57"/>
        <v>-1.6569494164245192E-4</v>
      </c>
      <c r="F126" s="359">
        <f t="shared" si="58"/>
        <v>1.6868952315465731E-4</v>
      </c>
      <c r="G126" s="359">
        <f t="shared" si="59"/>
        <v>4.8983852898374872E-3</v>
      </c>
      <c r="I126" s="436" t="s">
        <v>282</v>
      </c>
      <c r="J126" s="437">
        <f>J123*J124*J125</f>
        <v>1155.6199002563642</v>
      </c>
      <c r="K126" s="437">
        <f t="shared" ref="K126" si="60">K123*K124*K125</f>
        <v>1323.6398005127285</v>
      </c>
      <c r="L126" s="438">
        <f>SUM(L123:L125)</f>
        <v>-0.12693778185823645</v>
      </c>
    </row>
    <row r="127" spans="2:14" x14ac:dyDescent="0.2">
      <c r="B127" s="436" t="s">
        <v>282</v>
      </c>
      <c r="C127" s="437">
        <f>C124*C125*C126</f>
        <v>4929.4000000000005</v>
      </c>
      <c r="D127" s="437">
        <f t="shared" ref="D127" si="61">D124*D125*D126</f>
        <v>4397.4666666666662</v>
      </c>
      <c r="E127" s="438">
        <f>SUM(E124:E126)</f>
        <v>0.11203976391721777</v>
      </c>
      <c r="I127" s="381" t="s">
        <v>257</v>
      </c>
      <c r="J127" s="439">
        <f>AS16</f>
        <v>0.44147428108545972</v>
      </c>
      <c r="K127" s="382">
        <f>AZ16</f>
        <v>0.44147428108545972</v>
      </c>
      <c r="L127" s="383">
        <f t="shared" si="54"/>
        <v>0</v>
      </c>
      <c r="M127" s="359">
        <f t="shared" ref="M127:M129" si="62">(K127-J127)/AVERAGE(J127:K127)</f>
        <v>0</v>
      </c>
      <c r="N127" s="359">
        <f t="shared" si="56"/>
        <v>0</v>
      </c>
    </row>
    <row r="128" spans="2:14" x14ac:dyDescent="0.2">
      <c r="B128" s="381" t="s">
        <v>257</v>
      </c>
      <c r="C128" s="439">
        <f>AB9</f>
        <v>0.58092262750030432</v>
      </c>
      <c r="D128" s="382">
        <f>AI9</f>
        <v>0.60826688093144543</v>
      </c>
      <c r="E128" s="383">
        <f t="shared" si="57"/>
        <v>-4.5171668985561561E-2</v>
      </c>
      <c r="F128" s="359">
        <f t="shared" ref="F128:F130" si="63">(D128-C128)/AVERAGE(C128:D128)</f>
        <v>4.5988050243062586E-2</v>
      </c>
      <c r="G128" s="359">
        <f t="shared" si="59"/>
        <v>1.335395255177741</v>
      </c>
      <c r="I128" s="381" t="s">
        <v>258</v>
      </c>
      <c r="J128" s="382">
        <f>AT16</f>
        <v>0.95214067278287462</v>
      </c>
      <c r="K128" s="382">
        <f>AT16</f>
        <v>0.95214067278287462</v>
      </c>
      <c r="L128" s="383">
        <f t="shared" si="54"/>
        <v>0</v>
      </c>
      <c r="M128" s="359">
        <f t="shared" si="62"/>
        <v>0</v>
      </c>
      <c r="N128" s="359">
        <f t="shared" si="56"/>
        <v>0</v>
      </c>
    </row>
    <row r="129" spans="2:14" x14ac:dyDescent="0.2">
      <c r="B129" s="381" t="s">
        <v>258</v>
      </c>
      <c r="C129" s="382">
        <f>AC9</f>
        <v>0.9117195138985893</v>
      </c>
      <c r="D129" s="382">
        <f>AC9</f>
        <v>0.9117195138985893</v>
      </c>
      <c r="E129" s="383">
        <f t="shared" si="57"/>
        <v>0</v>
      </c>
      <c r="F129" s="359">
        <f t="shared" si="63"/>
        <v>0</v>
      </c>
      <c r="G129" s="359">
        <f t="shared" si="59"/>
        <v>0</v>
      </c>
      <c r="I129" s="385" t="s">
        <v>269</v>
      </c>
      <c r="J129" s="386">
        <v>1</v>
      </c>
      <c r="K129" s="386">
        <v>1</v>
      </c>
      <c r="L129" s="387">
        <f t="shared" si="54"/>
        <v>0</v>
      </c>
      <c r="M129" s="359">
        <f t="shared" si="62"/>
        <v>0</v>
      </c>
      <c r="N129" s="359">
        <f t="shared" si="56"/>
        <v>0</v>
      </c>
    </row>
    <row r="130" spans="2:14" x14ac:dyDescent="0.2">
      <c r="B130" s="385" t="s">
        <v>269</v>
      </c>
      <c r="C130" s="386">
        <v>1</v>
      </c>
      <c r="D130" s="386">
        <v>1</v>
      </c>
      <c r="E130" s="387">
        <f t="shared" si="57"/>
        <v>0</v>
      </c>
      <c r="F130" s="359">
        <f t="shared" si="63"/>
        <v>0</v>
      </c>
      <c r="G130" s="359">
        <f t="shared" si="59"/>
        <v>0</v>
      </c>
      <c r="I130" s="388" t="s">
        <v>270</v>
      </c>
      <c r="J130" s="389">
        <f>J126*J127*J128*J129</f>
        <v>485.75976231243288</v>
      </c>
      <c r="K130" s="389">
        <f t="shared" ref="K130" si="64">K126*K127*K128*K129</f>
        <v>556.38619129153244</v>
      </c>
      <c r="L130" s="390">
        <f>SUM(L127:L129)</f>
        <v>0</v>
      </c>
    </row>
    <row r="131" spans="2:14" x14ac:dyDescent="0.2">
      <c r="B131" s="388" t="s">
        <v>270</v>
      </c>
      <c r="C131" s="389">
        <f>C127*C128*C129*C130</f>
        <v>2610.8000000000006</v>
      </c>
      <c r="D131" s="389">
        <f t="shared" ref="D131" si="65">D127*D128*D129*D130</f>
        <v>2438.69774642641</v>
      </c>
      <c r="E131" s="390">
        <f>SUM(E128:E130)</f>
        <v>-4.5171668985561561E-2</v>
      </c>
      <c r="I131" s="381" t="s">
        <v>256</v>
      </c>
      <c r="J131" s="391">
        <f>AU16</f>
        <v>14.159005551532708</v>
      </c>
      <c r="K131" s="391">
        <f>BB16</f>
        <v>14.159005551532708</v>
      </c>
      <c r="L131" s="383">
        <f t="shared" si="54"/>
        <v>0</v>
      </c>
      <c r="M131" s="359">
        <f t="shared" ref="M131" si="66">(K131-J131)/AVERAGE(J131:K131)</f>
        <v>0</v>
      </c>
      <c r="N131" s="359">
        <f t="shared" si="56"/>
        <v>0</v>
      </c>
    </row>
    <row r="132" spans="2:14" x14ac:dyDescent="0.2">
      <c r="B132" s="381" t="s">
        <v>256</v>
      </c>
      <c r="C132" s="391">
        <f>AD9</f>
        <v>4.5960353914508962</v>
      </c>
      <c r="D132" s="391">
        <f>AK9</f>
        <v>5.0926501601684606</v>
      </c>
      <c r="E132" s="383">
        <f t="shared" si="57"/>
        <v>-0.10069453606241284</v>
      </c>
      <c r="F132" s="359">
        <f t="shared" ref="F132" si="67">(D132-C132)/AVERAGE(C132:D132)</f>
        <v>0.10251437433317477</v>
      </c>
      <c r="G132" s="359">
        <f t="shared" si="59"/>
        <v>2.9767995892082353</v>
      </c>
      <c r="I132" s="392" t="s">
        <v>271</v>
      </c>
      <c r="J132" s="393">
        <f>J130*J131</f>
        <v>6877.8751712929461</v>
      </c>
      <c r="K132" s="393">
        <f t="shared" ref="K132" si="68">K130*K131</f>
        <v>7877.875171292947</v>
      </c>
      <c r="L132" s="394">
        <f>J132/K132-1</f>
        <v>-0.12693778185823645</v>
      </c>
      <c r="M132" s="359">
        <f>SUM(M123:M131)</f>
        <v>0.1355403794158738</v>
      </c>
      <c r="N132" s="359">
        <f>SUM(N123:N131)</f>
        <v>1</v>
      </c>
    </row>
    <row r="133" spans="2:14" x14ac:dyDescent="0.2">
      <c r="B133" s="392" t="s">
        <v>271</v>
      </c>
      <c r="C133" s="393">
        <f>C131*C132</f>
        <v>11999.329200000002</v>
      </c>
      <c r="D133" s="393">
        <f>D131*D132</f>
        <v>12419.434468940921</v>
      </c>
      <c r="E133" s="394">
        <f>C133/D133-1</f>
        <v>-3.3826441130756613E-2</v>
      </c>
      <c r="F133" s="359">
        <f>SUM(F124:F132)</f>
        <v>3.4437781671570772E-2</v>
      </c>
      <c r="G133" s="359">
        <f>SUM(G124:G132)</f>
        <v>1.0000000000000002</v>
      </c>
      <c r="K133" s="441">
        <f>K132-J132</f>
        <v>1000.0000000000009</v>
      </c>
    </row>
    <row r="134" spans="2:14" x14ac:dyDescent="0.2">
      <c r="D134" s="401">
        <f>D133-C133</f>
        <v>420.1052689409189</v>
      </c>
    </row>
    <row r="135" spans="2:14" x14ac:dyDescent="0.2">
      <c r="B135" s="89" t="s">
        <v>94</v>
      </c>
      <c r="D135" s="233">
        <f>'Road to 3k v2 (2)'!J8</f>
        <v>11685130105.263157</v>
      </c>
    </row>
    <row r="136" spans="2:14" x14ac:dyDescent="0.2">
      <c r="B136" s="89" t="str">
        <f>C11</f>
        <v>- Risk: request = approve (50%-70%)</v>
      </c>
      <c r="I136" s="89" t="str">
        <f>C20</f>
        <v>- Live CD 1:1</v>
      </c>
      <c r="J136" s="446"/>
      <c r="K136" s="446"/>
      <c r="L136" s="446"/>
    </row>
    <row r="137" spans="2:14" x14ac:dyDescent="0.2">
      <c r="B137" s="376" t="s">
        <v>164</v>
      </c>
      <c r="C137" s="419" t="s">
        <v>303</v>
      </c>
      <c r="D137" s="419" t="s">
        <v>286</v>
      </c>
      <c r="E137" s="377" t="s">
        <v>267</v>
      </c>
      <c r="I137" s="418" t="s">
        <v>272</v>
      </c>
      <c r="J137" s="419" t="s">
        <v>289</v>
      </c>
      <c r="K137" s="419" t="s">
        <v>264</v>
      </c>
      <c r="L137" s="417" t="s">
        <v>267</v>
      </c>
      <c r="M137" s="359"/>
      <c r="N137" s="359"/>
    </row>
    <row r="138" spans="2:14" x14ac:dyDescent="0.2">
      <c r="B138" s="381" t="s">
        <v>281</v>
      </c>
      <c r="C138" s="435">
        <f>Y11</f>
        <v>10197.4</v>
      </c>
      <c r="D138" s="435">
        <v>11500</v>
      </c>
      <c r="E138" s="383">
        <f>$E$147*G138</f>
        <v>-9.8372139212682883E-2</v>
      </c>
      <c r="F138" s="359">
        <f>(D138-C138)/AVERAGE(C138:D138)</f>
        <v>0.12006968576880182</v>
      </c>
      <c r="G138" s="359">
        <f>F138/$F$147</f>
        <v>0.28334378620447448</v>
      </c>
      <c r="I138" s="412" t="s">
        <v>277</v>
      </c>
      <c r="J138" s="402">
        <v>286</v>
      </c>
      <c r="K138" s="459">
        <v>5200</v>
      </c>
      <c r="L138" s="416">
        <f>$L$141*N138</f>
        <v>-0.94499999999999995</v>
      </c>
      <c r="M138" s="359">
        <f>(K138-J138)/AVERAGE(J138:K138)</f>
        <v>1.7914691943127963</v>
      </c>
      <c r="N138" s="359">
        <f>M138/$M$141</f>
        <v>1</v>
      </c>
    </row>
    <row r="139" spans="2:14" x14ac:dyDescent="0.2">
      <c r="B139" s="381" t="s">
        <v>259</v>
      </c>
      <c r="C139" s="382">
        <f>Z11</f>
        <v>1</v>
      </c>
      <c r="D139" s="382">
        <f>AG11</f>
        <v>1</v>
      </c>
      <c r="E139" s="383">
        <f t="shared" ref="E139:E146" si="69">$E$147*G139</f>
        <v>0</v>
      </c>
      <c r="F139" s="359">
        <f t="shared" ref="F139:F140" si="70">(D139-C139)/AVERAGE(C139:D139)</f>
        <v>0</v>
      </c>
      <c r="G139" s="359">
        <f t="shared" ref="G139:G146" si="71">F139/$F$147</f>
        <v>0</v>
      </c>
      <c r="I139" s="408" t="s">
        <v>257</v>
      </c>
      <c r="J139" s="404">
        <v>0.60399999999999998</v>
      </c>
      <c r="K139" s="404">
        <f>J139</f>
        <v>0.60399999999999998</v>
      </c>
      <c r="L139" s="409">
        <f t="shared" ref="L139:L140" si="72">$L$141*N139</f>
        <v>0</v>
      </c>
      <c r="M139" s="359">
        <f t="shared" ref="M139:M140" si="73">(K139-J139)/AVERAGE(J139:K139)</f>
        <v>0</v>
      </c>
      <c r="N139" s="359">
        <f t="shared" ref="N139:N140" si="74">M139/$M$141</f>
        <v>0</v>
      </c>
    </row>
    <row r="140" spans="2:14" x14ac:dyDescent="0.2">
      <c r="B140" s="381" t="s">
        <v>260</v>
      </c>
      <c r="C140" s="382">
        <f>AA11</f>
        <v>1</v>
      </c>
      <c r="D140" s="382">
        <f>AH11</f>
        <v>1</v>
      </c>
      <c r="E140" s="383">
        <f t="shared" si="69"/>
        <v>0</v>
      </c>
      <c r="F140" s="359">
        <f t="shared" si="70"/>
        <v>0</v>
      </c>
      <c r="G140" s="359">
        <f t="shared" si="71"/>
        <v>0</v>
      </c>
      <c r="I140" s="408" t="s">
        <v>258</v>
      </c>
      <c r="J140" s="404">
        <v>0.81200000000000006</v>
      </c>
      <c r="K140" s="404">
        <f t="shared" ref="K140" si="75">J140</f>
        <v>0.81200000000000006</v>
      </c>
      <c r="L140" s="409">
        <f t="shared" si="72"/>
        <v>0</v>
      </c>
      <c r="M140" s="359">
        <f t="shared" si="73"/>
        <v>0</v>
      </c>
      <c r="N140" s="359">
        <f t="shared" si="74"/>
        <v>0</v>
      </c>
    </row>
    <row r="141" spans="2:14" x14ac:dyDescent="0.2">
      <c r="B141" s="436" t="s">
        <v>282</v>
      </c>
      <c r="C141" s="437">
        <f>C138*C139*C140</f>
        <v>10197.4</v>
      </c>
      <c r="D141" s="437">
        <f t="shared" ref="D141" si="76">D138*D139*D140</f>
        <v>11500</v>
      </c>
      <c r="E141" s="438">
        <f>SUM(E138:E140)</f>
        <v>-9.8372139212682883E-2</v>
      </c>
      <c r="I141" s="430" t="s">
        <v>278</v>
      </c>
      <c r="J141" s="431">
        <f>J138*J139*J140*30</f>
        <v>4208.0438400000003</v>
      </c>
      <c r="K141" s="431">
        <f>K138*K139*K140*30</f>
        <v>76509.888000000006</v>
      </c>
      <c r="L141" s="432">
        <f>J141/K141-1</f>
        <v>-0.94499999999999995</v>
      </c>
      <c r="M141" s="414">
        <f>SUM(M138:M140)</f>
        <v>1.7914691943127963</v>
      </c>
      <c r="N141" s="414">
        <f>SUM(N138:N140)</f>
        <v>1</v>
      </c>
    </row>
    <row r="142" spans="2:14" x14ac:dyDescent="0.2">
      <c r="B142" s="381" t="s">
        <v>257</v>
      </c>
      <c r="C142" s="439">
        <f>AB11</f>
        <v>0.12324718174319495</v>
      </c>
      <c r="D142" s="382">
        <f>AI11</f>
        <v>0.16870764608705099</v>
      </c>
      <c r="E142" s="383">
        <f t="shared" si="69"/>
        <v>-0.25514493036424557</v>
      </c>
      <c r="F142" s="359">
        <f t="shared" ref="F142:F144" si="77">(D142-C142)/AVERAGE(C142:D142)</f>
        <v>0.31142122006825351</v>
      </c>
      <c r="G142" s="359">
        <f t="shared" si="71"/>
        <v>0.73490046245697238</v>
      </c>
      <c r="J142" s="413"/>
      <c r="K142" s="413"/>
      <c r="L142" s="414"/>
      <c r="M142" s="238"/>
      <c r="N142" s="359"/>
    </row>
    <row r="143" spans="2:14" x14ac:dyDescent="0.2">
      <c r="B143" s="381" t="s">
        <v>258</v>
      </c>
      <c r="C143" s="382">
        <f>AC11</f>
        <v>0.75364512787825666</v>
      </c>
      <c r="D143" s="382">
        <f>AC11</f>
        <v>0.75364512787825666</v>
      </c>
      <c r="E143" s="383">
        <f t="shared" si="69"/>
        <v>0</v>
      </c>
      <c r="F143" s="359">
        <f t="shared" si="77"/>
        <v>0</v>
      </c>
      <c r="G143" s="359">
        <f t="shared" si="71"/>
        <v>0</v>
      </c>
      <c r="I143" s="407" t="s">
        <v>279</v>
      </c>
      <c r="J143" s="424">
        <f>37211+(J141*3)</f>
        <v>49835.131520000003</v>
      </c>
      <c r="K143" s="424">
        <f>37211+(J141*2)+K141</f>
        <v>122136.97568</v>
      </c>
      <c r="L143" s="426">
        <f>$L$147*N143</f>
        <v>-0.29598671392286441</v>
      </c>
      <c r="M143" s="359">
        <f t="shared" ref="M143:M146" si="78">(K143-J143)/AVERAGE(J143:K143)</f>
        <v>0.84085547752129897</v>
      </c>
      <c r="N143" s="359">
        <f>M143/$M$147</f>
        <v>0.50000000000000011</v>
      </c>
    </row>
    <row r="144" spans="2:14" x14ac:dyDescent="0.2">
      <c r="B144" s="385" t="s">
        <v>269</v>
      </c>
      <c r="C144" s="386">
        <v>1</v>
      </c>
      <c r="D144" s="386">
        <v>1</v>
      </c>
      <c r="E144" s="387">
        <f t="shared" si="69"/>
        <v>0</v>
      </c>
      <c r="F144" s="359">
        <f t="shared" si="77"/>
        <v>0</v>
      </c>
      <c r="G144" s="359">
        <f t="shared" si="71"/>
        <v>0</v>
      </c>
      <c r="I144" s="408" t="s">
        <v>280</v>
      </c>
      <c r="J144" s="406">
        <v>0.2014</v>
      </c>
      <c r="K144" s="422">
        <f>J144</f>
        <v>0.2014</v>
      </c>
      <c r="L144" s="415">
        <f t="shared" ref="L144:L146" si="79">$L$147*N144</f>
        <v>0</v>
      </c>
      <c r="M144" s="359">
        <f t="shared" si="78"/>
        <v>0</v>
      </c>
      <c r="N144" s="359">
        <f t="shared" ref="N144:N146" si="80">M144/$M$147</f>
        <v>0</v>
      </c>
    </row>
    <row r="145" spans="2:14" x14ac:dyDescent="0.2">
      <c r="B145" s="388" t="s">
        <v>270</v>
      </c>
      <c r="C145" s="389">
        <f>C141*C142*C143*C144</f>
        <v>947.18180800502773</v>
      </c>
      <c r="D145" s="389">
        <f t="shared" ref="D145" si="81">D141*D142*D143*D144</f>
        <v>1462.175498357125</v>
      </c>
      <c r="E145" s="390">
        <f>SUM(E142:E144)</f>
        <v>-0.25514493036424557</v>
      </c>
      <c r="I145" s="408" t="s">
        <v>273</v>
      </c>
      <c r="J145" s="405">
        <f>J143*J144</f>
        <v>10036.795488128</v>
      </c>
      <c r="K145" s="405">
        <f>K143*K144</f>
        <v>24598.386901951999</v>
      </c>
      <c r="L145" s="409">
        <f t="shared" si="79"/>
        <v>-0.2959867139228643</v>
      </c>
      <c r="M145" s="359">
        <f t="shared" si="78"/>
        <v>0.84085547752129874</v>
      </c>
      <c r="N145" s="359">
        <f t="shared" si="80"/>
        <v>0.49999999999999994</v>
      </c>
    </row>
    <row r="146" spans="2:14" x14ac:dyDescent="0.2">
      <c r="B146" s="381" t="s">
        <v>256</v>
      </c>
      <c r="C146" s="391">
        <f>AD11</f>
        <v>15.64739042981156</v>
      </c>
      <c r="D146" s="391">
        <v>15.526883501755204</v>
      </c>
      <c r="E146" s="383">
        <f t="shared" si="69"/>
        <v>6.3340925636516006E-3</v>
      </c>
      <c r="F146" s="359">
        <f t="shared" ref="F146" si="82">(D146-C146)/AVERAGE(C146:D146)</f>
        <v>-7.731177850101063E-3</v>
      </c>
      <c r="G146" s="359">
        <f t="shared" si="71"/>
        <v>-1.8244248661446829E-2</v>
      </c>
      <c r="I146" s="408" t="s">
        <v>274</v>
      </c>
      <c r="J146" s="403">
        <v>4.2</v>
      </c>
      <c r="K146" s="423">
        <f>J146</f>
        <v>4.2</v>
      </c>
      <c r="L146" s="409">
        <f t="shared" si="79"/>
        <v>0</v>
      </c>
      <c r="M146" s="359">
        <f t="shared" si="78"/>
        <v>0</v>
      </c>
      <c r="N146" s="359">
        <f t="shared" si="80"/>
        <v>0</v>
      </c>
    </row>
    <row r="147" spans="2:14" x14ac:dyDescent="0.2">
      <c r="B147" s="392" t="s">
        <v>271</v>
      </c>
      <c r="C147" s="393">
        <f>C145*C146</f>
        <v>14820.923557869482</v>
      </c>
      <c r="D147" s="393">
        <f t="shared" ref="D147" si="83">D145*D146</f>
        <v>22703.028622111939</v>
      </c>
      <c r="E147" s="394">
        <f>C147/D147-1</f>
        <v>-0.34718297701327683</v>
      </c>
      <c r="F147" s="359">
        <f>SUM(F138:F146)</f>
        <v>0.42375972798695427</v>
      </c>
      <c r="G147" s="359">
        <f>SUM(G138:G146)</f>
        <v>1</v>
      </c>
      <c r="I147" s="427" t="s">
        <v>275</v>
      </c>
      <c r="J147" s="428">
        <f>J145*J146</f>
        <v>42154.541050137603</v>
      </c>
      <c r="K147" s="428">
        <f>K145*K146</f>
        <v>103313.2249881984</v>
      </c>
      <c r="L147" s="429">
        <f>J147/K147-1</f>
        <v>-0.59197342784572871</v>
      </c>
      <c r="M147" s="359">
        <f>SUM(M143:M146)</f>
        <v>1.6817109550425977</v>
      </c>
      <c r="N147" s="359">
        <f>SUM(N143:N146)</f>
        <v>1</v>
      </c>
    </row>
    <row r="148" spans="2:14" x14ac:dyDescent="0.2">
      <c r="D148" s="441">
        <f>D147-C147</f>
        <v>7882.1050642424561</v>
      </c>
      <c r="E148" s="233">
        <f>'Road to 3k v2 (2)'!I12+'Road to 3k v2 (2)'!I13</f>
        <v>7438509700</v>
      </c>
      <c r="I148" s="410" t="s">
        <v>276</v>
      </c>
      <c r="J148" s="411">
        <f>J147/30</f>
        <v>1405.1513683379201</v>
      </c>
      <c r="K148" s="411">
        <f>K147/30</f>
        <v>3443.7741662732801</v>
      </c>
      <c r="L148" s="425"/>
    </row>
    <row r="149" spans="2:14" x14ac:dyDescent="0.2">
      <c r="B149" s="89" t="str">
        <f>C14</f>
        <v>- Ticket size 4,5-6mil (repeat segment)</v>
      </c>
      <c r="D149" s="233">
        <f>C147+(E148/1000000)</f>
        <v>22259.433257869481</v>
      </c>
      <c r="E149" s="233"/>
      <c r="K149" s="401">
        <f>K148-J148</f>
        <v>2038.62279793536</v>
      </c>
      <c r="M149" s="359"/>
      <c r="N149" s="359"/>
    </row>
    <row r="150" spans="2:14" x14ac:dyDescent="0.2">
      <c r="B150" s="89" t="s">
        <v>297</v>
      </c>
      <c r="D150" s="335">
        <f>D149/(D138*D142*D143*D144)</f>
        <v>15.223503117703583</v>
      </c>
      <c r="I150"/>
      <c r="J150" s="42"/>
      <c r="K150" s="447">
        <f>J148+2000</f>
        <v>3405.1513683379198</v>
      </c>
      <c r="L150" s="42"/>
      <c r="N150" s="359"/>
    </row>
    <row r="151" spans="2:14" x14ac:dyDescent="0.2">
      <c r="B151" s="376" t="s">
        <v>165</v>
      </c>
      <c r="C151" s="419" t="s">
        <v>303</v>
      </c>
      <c r="D151" s="419" t="s">
        <v>286</v>
      </c>
      <c r="E151" s="377" t="s">
        <v>267</v>
      </c>
      <c r="I151"/>
      <c r="J151" s="42"/>
      <c r="K151" s="447">
        <f>K150*30</f>
        <v>102154.5410501376</v>
      </c>
      <c r="L151" s="42"/>
      <c r="M151" s="359"/>
      <c r="N151" s="359"/>
    </row>
    <row r="152" spans="2:14" x14ac:dyDescent="0.2">
      <c r="B152" s="381" t="s">
        <v>281</v>
      </c>
      <c r="C152" s="435">
        <f>Y14</f>
        <v>10429</v>
      </c>
      <c r="D152" s="435">
        <v>9900</v>
      </c>
      <c r="E152" s="383">
        <f>$E$161*G152</f>
        <v>4.8746713551823743E-2</v>
      </c>
      <c r="F152" s="359">
        <f>(D152-C152)/AVERAGE(C152:D152)</f>
        <v>-5.2043878203551573E-2</v>
      </c>
      <c r="G152" s="359">
        <f>F152/$F$161</f>
        <v>-0.38774362723006156</v>
      </c>
      <c r="I152" s="448"/>
      <c r="J152" s="449"/>
      <c r="K152" s="449"/>
      <c r="L152" s="450"/>
    </row>
    <row r="153" spans="2:14" x14ac:dyDescent="0.2">
      <c r="B153" s="381" t="s">
        <v>259</v>
      </c>
      <c r="C153" s="382">
        <f>Z14</f>
        <v>1</v>
      </c>
      <c r="D153" s="382">
        <f>AG14</f>
        <v>1</v>
      </c>
      <c r="E153" s="383">
        <f t="shared" ref="E153:E160" si="84">$E$161*G153</f>
        <v>0</v>
      </c>
      <c r="F153" s="359">
        <f t="shared" ref="F153:F154" si="85">(D153-C153)/AVERAGE(C153:D153)</f>
        <v>0</v>
      </c>
      <c r="G153" s="359">
        <f t="shared" ref="G153:G160" si="86">F153/$F$161</f>
        <v>0</v>
      </c>
      <c r="I153"/>
      <c r="J153" s="451"/>
      <c r="K153" s="42"/>
      <c r="L153" s="42"/>
      <c r="M153" s="359"/>
      <c r="N153" s="359"/>
    </row>
    <row r="154" spans="2:14" x14ac:dyDescent="0.2">
      <c r="B154" s="381" t="s">
        <v>260</v>
      </c>
      <c r="C154" s="382">
        <f>AA14</f>
        <v>1</v>
      </c>
      <c r="D154" s="382">
        <f>AH14</f>
        <v>1</v>
      </c>
      <c r="E154" s="383">
        <f t="shared" si="84"/>
        <v>0</v>
      </c>
      <c r="F154" s="359">
        <f t="shared" si="85"/>
        <v>0</v>
      </c>
      <c r="G154" s="359">
        <f t="shared" si="86"/>
        <v>0</v>
      </c>
      <c r="I154"/>
      <c r="J154" s="42"/>
      <c r="K154" s="42"/>
      <c r="L154" s="42"/>
      <c r="M154" s="359"/>
      <c r="N154" s="359"/>
    </row>
    <row r="155" spans="2:14" x14ac:dyDescent="0.2">
      <c r="B155" s="436" t="s">
        <v>282</v>
      </c>
      <c r="C155" s="437">
        <f>C152*C153*C154</f>
        <v>10429</v>
      </c>
      <c r="D155" s="437">
        <f t="shared" ref="D155" si="87">D152*D153*D154</f>
        <v>9900</v>
      </c>
      <c r="E155" s="438">
        <f>SUM(E152:E154)</f>
        <v>4.8746713551823743E-2</v>
      </c>
      <c r="I155" s="452"/>
      <c r="J155" s="453"/>
      <c r="K155" s="453"/>
      <c r="L155" s="454"/>
      <c r="M155" s="359"/>
      <c r="N155" s="359"/>
    </row>
    <row r="156" spans="2:14" x14ac:dyDescent="0.2">
      <c r="B156" s="381" t="s">
        <v>257</v>
      </c>
      <c r="C156" s="439">
        <f>AB14</f>
        <v>0.46300388118203128</v>
      </c>
      <c r="D156" s="382">
        <f>AI14</f>
        <v>0.50165248603072854</v>
      </c>
      <c r="E156" s="383">
        <f t="shared" si="84"/>
        <v>-7.5052795175799158E-2</v>
      </c>
      <c r="F156" s="359">
        <f t="shared" ref="F156:F158" si="88">(D156-C156)/AVERAGE(C156:D156)</f>
        <v>8.0129269162172251E-2</v>
      </c>
      <c r="G156" s="359">
        <f t="shared" si="86"/>
        <v>0.5969888206777475</v>
      </c>
      <c r="I156" s="81"/>
      <c r="J156" s="455"/>
      <c r="K156" s="455"/>
      <c r="L156" s="456"/>
    </row>
    <row r="157" spans="2:14" x14ac:dyDescent="0.2">
      <c r="B157" s="381" t="s">
        <v>258</v>
      </c>
      <c r="C157" s="382">
        <f>AC14</f>
        <v>0.91716983089532111</v>
      </c>
      <c r="D157" s="382">
        <f>AC14</f>
        <v>0.91716983089532111</v>
      </c>
      <c r="E157" s="383">
        <f t="shared" si="84"/>
        <v>0</v>
      </c>
      <c r="F157" s="359">
        <f t="shared" si="88"/>
        <v>0</v>
      </c>
      <c r="G157" s="359">
        <f t="shared" si="86"/>
        <v>0</v>
      </c>
      <c r="I157"/>
      <c r="J157" s="457"/>
      <c r="K157" s="457"/>
      <c r="L157" s="42"/>
      <c r="M157" s="359"/>
      <c r="N157" s="359"/>
    </row>
    <row r="158" spans="2:14" x14ac:dyDescent="0.2">
      <c r="B158" s="385" t="s">
        <v>269</v>
      </c>
      <c r="C158" s="386">
        <v>1</v>
      </c>
      <c r="D158" s="386">
        <v>1</v>
      </c>
      <c r="E158" s="387">
        <f t="shared" si="84"/>
        <v>0</v>
      </c>
      <c r="F158" s="359">
        <f t="shared" si="88"/>
        <v>0</v>
      </c>
      <c r="G158" s="359">
        <f t="shared" si="86"/>
        <v>0</v>
      </c>
      <c r="I158" s="442"/>
      <c r="J158" s="458"/>
      <c r="K158" s="458"/>
      <c r="L158" s="444"/>
      <c r="M158" s="359"/>
      <c r="N158" s="359"/>
    </row>
    <row r="159" spans="2:14" x14ac:dyDescent="0.2">
      <c r="B159" s="388" t="s">
        <v>270</v>
      </c>
      <c r="C159" s="389">
        <f>C155*C156*C157*C158</f>
        <v>4428.7081331898708</v>
      </c>
      <c r="D159" s="389">
        <f t="shared" ref="D159" si="89">D155*D156*D157*D158</f>
        <v>4554.995205232105</v>
      </c>
      <c r="E159" s="390">
        <f>SUM(E156:E158)</f>
        <v>-7.5052795175799158E-2</v>
      </c>
    </row>
    <row r="160" spans="2:14" x14ac:dyDescent="0.2">
      <c r="B160" s="381" t="s">
        <v>256</v>
      </c>
      <c r="C160" s="391">
        <f>AD14</f>
        <v>3.5674636851277639</v>
      </c>
      <c r="D160" s="391">
        <v>3.9673235562025542</v>
      </c>
      <c r="E160" s="383">
        <f t="shared" si="84"/>
        <v>-9.9412847401518664E-2</v>
      </c>
      <c r="F160" s="359">
        <f t="shared" ref="F160" si="90">(D160-C160)/AVERAGE(C160:D160)</f>
        <v>0.10613700381118983</v>
      </c>
      <c r="G160" s="359">
        <f t="shared" si="86"/>
        <v>0.790754806552314</v>
      </c>
      <c r="I160" s="446"/>
      <c r="J160" s="446"/>
      <c r="K160" s="446"/>
      <c r="L160" s="446"/>
    </row>
    <row r="161" spans="2:14" x14ac:dyDescent="0.2">
      <c r="B161" s="392" t="s">
        <v>271</v>
      </c>
      <c r="C161" s="393">
        <f>C159*C160</f>
        <v>15799.255437184836</v>
      </c>
      <c r="D161" s="393">
        <f t="shared" ref="D161" si="91">D159*D160</f>
        <v>18071.139776107018</v>
      </c>
      <c r="E161" s="394">
        <f>C161/D161-1</f>
        <v>-0.12571892902549409</v>
      </c>
      <c r="F161" s="359">
        <f>SUM(F152:F160)</f>
        <v>0.13422239476981052</v>
      </c>
      <c r="G161" s="359">
        <f>SUM(G152:G160)</f>
        <v>1</v>
      </c>
      <c r="I161"/>
      <c r="J161" s="447"/>
      <c r="K161" s="447"/>
      <c r="L161" s="42"/>
      <c r="M161" s="359"/>
      <c r="N161" s="359"/>
    </row>
    <row r="162" spans="2:14" x14ac:dyDescent="0.2">
      <c r="D162" s="441">
        <f>D161-C161</f>
        <v>2271.884338922182</v>
      </c>
      <c r="E162" s="233">
        <v>4128762080</v>
      </c>
      <c r="I162"/>
      <c r="J162" s="42"/>
      <c r="K162" s="42"/>
      <c r="L162" s="42"/>
      <c r="M162" s="359"/>
      <c r="N162" s="359"/>
    </row>
    <row r="163" spans="2:14" x14ac:dyDescent="0.2">
      <c r="B163" s="89" t="str">
        <f>C15</f>
        <v>- Tăng ticket size (14mil-16mil)</v>
      </c>
      <c r="D163" s="233">
        <f>C161+E162/1000000</f>
        <v>19928.017517184839</v>
      </c>
      <c r="I163"/>
      <c r="J163" s="42"/>
      <c r="K163" s="42"/>
      <c r="L163" s="42"/>
      <c r="M163" s="359"/>
      <c r="N163" s="359"/>
    </row>
    <row r="164" spans="2:14" x14ac:dyDescent="0.2">
      <c r="B164" s="89" t="s">
        <v>136</v>
      </c>
      <c r="D164" s="400">
        <f>D163/(D152*D153*D154*D156*D157*D158)</f>
        <v>4.3749810086066567</v>
      </c>
      <c r="I164" s="448"/>
      <c r="J164" s="449"/>
      <c r="K164" s="449"/>
      <c r="L164" s="450"/>
    </row>
    <row r="165" spans="2:14" ht="19" customHeight="1" x14ac:dyDescent="0.2">
      <c r="B165" s="376" t="s">
        <v>166</v>
      </c>
      <c r="C165" s="419" t="s">
        <v>303</v>
      </c>
      <c r="D165" s="419" t="s">
        <v>286</v>
      </c>
      <c r="E165" s="377" t="s">
        <v>267</v>
      </c>
      <c r="I165"/>
      <c r="J165" s="451"/>
      <c r="K165" s="42"/>
      <c r="L165" s="42"/>
      <c r="M165" s="359"/>
      <c r="N165" s="359"/>
    </row>
    <row r="166" spans="2:14" x14ac:dyDescent="0.2">
      <c r="B166" s="381" t="s">
        <v>281</v>
      </c>
      <c r="C166" s="435">
        <f>Y15</f>
        <v>1436.3</v>
      </c>
      <c r="D166" s="435">
        <f>AF16</f>
        <v>1442.9256983287412</v>
      </c>
      <c r="E166" s="383">
        <f>$E$175*G166</f>
        <v>-4.0768843708016388E-3</v>
      </c>
      <c r="F166" s="359">
        <f>(D166-C166)/AVERAGE(C166:D166)</f>
        <v>4.6024167765570806E-3</v>
      </c>
      <c r="G166" s="359">
        <f>F166/$F$175</f>
        <v>1.8368966314132578E-2</v>
      </c>
      <c r="I166"/>
      <c r="J166" s="42"/>
      <c r="K166" s="42"/>
      <c r="L166" s="42"/>
      <c r="M166" s="359"/>
      <c r="N166" s="359"/>
    </row>
    <row r="167" spans="2:14" x14ac:dyDescent="0.2">
      <c r="B167" s="381" t="s">
        <v>259</v>
      </c>
      <c r="C167" s="382">
        <f>Z15</f>
        <v>0.82454918888811535</v>
      </c>
      <c r="D167" s="382">
        <f>AG16</f>
        <v>0.80215710655782013</v>
      </c>
      <c r="E167" s="383">
        <f t="shared" ref="E167:E174" si="92">$E$175*G167</f>
        <v>2.4386966433926304E-2</v>
      </c>
      <c r="F167" s="359">
        <f t="shared" ref="F167:F168" si="93">(D167-C167)/AVERAGE(C167:D167)</f>
        <v>-2.7530578068067024E-2</v>
      </c>
      <c r="G167" s="359">
        <f t="shared" ref="G167:G174" si="94">F167/$F$175</f>
        <v>-0.10987884967671796</v>
      </c>
      <c r="I167" s="452"/>
      <c r="J167" s="453"/>
      <c r="K167" s="453"/>
      <c r="L167" s="454"/>
      <c r="M167" s="359"/>
      <c r="N167" s="359"/>
    </row>
    <row r="168" spans="2:14" x14ac:dyDescent="0.2">
      <c r="B168" s="381" t="s">
        <v>260</v>
      </c>
      <c r="C168" s="382">
        <f>AA15</f>
        <v>0.99881786709448617</v>
      </c>
      <c r="D168" s="382">
        <f>AH16</f>
        <v>0.99841617523167647</v>
      </c>
      <c r="E168" s="383">
        <f t="shared" si="92"/>
        <v>3.5631698096932847E-4</v>
      </c>
      <c r="F168" s="359">
        <f t="shared" si="93"/>
        <v>-4.0224816350701399E-4</v>
      </c>
      <c r="G168" s="359">
        <f t="shared" si="94"/>
        <v>-1.605435431883989E-3</v>
      </c>
      <c r="I168" s="81"/>
      <c r="J168" s="455"/>
      <c r="K168" s="455"/>
      <c r="L168" s="456"/>
    </row>
    <row r="169" spans="2:14" x14ac:dyDescent="0.2">
      <c r="B169" s="436" t="s">
        <v>282</v>
      </c>
      <c r="C169" s="437">
        <f>C166*C167*C168</f>
        <v>1182.8999999999999</v>
      </c>
      <c r="D169" s="437">
        <f t="shared" ref="D169" si="95">D166*D167*D168</f>
        <v>1155.6199002563642</v>
      </c>
      <c r="E169" s="438">
        <f>SUM(E166:E168)</f>
        <v>2.0666399044093994E-2</v>
      </c>
      <c r="I169"/>
      <c r="J169" s="457"/>
      <c r="K169" s="457"/>
      <c r="L169" s="42"/>
      <c r="M169" s="359"/>
      <c r="N169" s="359"/>
    </row>
    <row r="170" spans="2:14" x14ac:dyDescent="0.2">
      <c r="B170" s="381" t="s">
        <v>257</v>
      </c>
      <c r="C170" s="439">
        <f>AB15</f>
        <v>0.3785611632428777</v>
      </c>
      <c r="D170" s="382">
        <f>AI16</f>
        <v>0.44147428108545972</v>
      </c>
      <c r="E170" s="383">
        <f t="shared" si="92"/>
        <v>-0.13591926890702954</v>
      </c>
      <c r="F170" s="359">
        <f t="shared" ref="F170:F172" si="96">(D170-C170)/AVERAGE(C170:D170)</f>
        <v>0.15343999647262072</v>
      </c>
      <c r="G170" s="359">
        <f t="shared" si="94"/>
        <v>0.61240306197446237</v>
      </c>
      <c r="I170" s="442"/>
      <c r="J170" s="458"/>
      <c r="K170" s="458"/>
      <c r="L170" s="444"/>
      <c r="M170" s="359"/>
      <c r="N170" s="359"/>
    </row>
    <row r="171" spans="2:14" x14ac:dyDescent="0.2">
      <c r="B171" s="381" t="s">
        <v>258</v>
      </c>
      <c r="C171" s="382">
        <f>AC15</f>
        <v>0.93948191156766414</v>
      </c>
      <c r="D171" s="382">
        <f>AJ16</f>
        <v>0.95214067278287462</v>
      </c>
      <c r="E171" s="383">
        <f t="shared" si="92"/>
        <v>-1.1855753551765758E-2</v>
      </c>
      <c r="F171" s="359">
        <f t="shared" si="96"/>
        <v>1.3384024191650981E-2</v>
      </c>
      <c r="G171" s="359">
        <f t="shared" si="94"/>
        <v>5.3417737128075855E-2</v>
      </c>
    </row>
    <row r="172" spans="2:14" x14ac:dyDescent="0.2">
      <c r="B172" s="385" t="s">
        <v>269</v>
      </c>
      <c r="C172" s="386">
        <v>1</v>
      </c>
      <c r="D172" s="386">
        <v>1</v>
      </c>
      <c r="E172" s="383">
        <f t="shared" si="92"/>
        <v>0</v>
      </c>
      <c r="F172" s="359">
        <f t="shared" si="96"/>
        <v>0</v>
      </c>
      <c r="G172" s="359">
        <f t="shared" si="94"/>
        <v>0</v>
      </c>
    </row>
    <row r="173" spans="2:14" x14ac:dyDescent="0.2">
      <c r="B173" s="388" t="s">
        <v>270</v>
      </c>
      <c r="C173" s="389">
        <f>C169*C170*C171*C172</f>
        <v>420.69999999999993</v>
      </c>
      <c r="D173" s="389">
        <f t="shared" ref="D173" si="97">D169*D170*D171*D172</f>
        <v>485.75976231243288</v>
      </c>
      <c r="E173" s="390">
        <f>SUM(E170:E172)</f>
        <v>-0.14777502245879531</v>
      </c>
    </row>
    <row r="174" spans="2:14" x14ac:dyDescent="0.2">
      <c r="B174" s="381" t="s">
        <v>256</v>
      </c>
      <c r="C174" s="435">
        <f>AD15</f>
        <v>14.37407107083234</v>
      </c>
      <c r="D174" s="435">
        <v>16</v>
      </c>
      <c r="E174" s="383">
        <f t="shared" si="92"/>
        <v>-9.4835513292925819E-2</v>
      </c>
      <c r="F174" s="359">
        <f t="shared" ref="F174" si="98">(D174-C174)/AVERAGE(C174:D174)</f>
        <v>0.10706032295611567</v>
      </c>
      <c r="G174" s="359">
        <f t="shared" si="94"/>
        <v>0.42729451969193105</v>
      </c>
    </row>
    <row r="175" spans="2:14" x14ac:dyDescent="0.2">
      <c r="B175" s="392" t="s">
        <v>271</v>
      </c>
      <c r="C175" s="393">
        <f>C173*C174</f>
        <v>6047.1716994991648</v>
      </c>
      <c r="D175" s="393">
        <f>D173*D174</f>
        <v>7772.1561969989261</v>
      </c>
      <c r="E175" s="394">
        <f>C175/D175-1</f>
        <v>-0.22194413670762714</v>
      </c>
      <c r="F175" s="359">
        <f>SUM(F166:F174)</f>
        <v>0.25055393416537042</v>
      </c>
      <c r="G175" s="359">
        <f>SUM(G166:G174)</f>
        <v>1</v>
      </c>
    </row>
    <row r="176" spans="2:14" x14ac:dyDescent="0.2">
      <c r="D176" s="441">
        <f>D175-C175</f>
        <v>1724.9844974997613</v>
      </c>
    </row>
    <row r="177" spans="2:7" x14ac:dyDescent="0.2">
      <c r="B177" s="89" t="str">
        <f>C16</f>
        <v>- Pool non-score</v>
      </c>
    </row>
    <row r="178" spans="2:7" x14ac:dyDescent="0.2">
      <c r="B178" s="89" t="s">
        <v>34</v>
      </c>
    </row>
    <row r="179" spans="2:7" x14ac:dyDescent="0.2">
      <c r="B179" s="376" t="s">
        <v>166</v>
      </c>
      <c r="C179" s="419" t="s">
        <v>263</v>
      </c>
      <c r="D179" s="419" t="s">
        <v>286</v>
      </c>
      <c r="E179" s="377" t="s">
        <v>267</v>
      </c>
    </row>
    <row r="180" spans="2:7" x14ac:dyDescent="0.2">
      <c r="B180" s="381" t="s">
        <v>281</v>
      </c>
      <c r="C180" s="435">
        <f>Y16</f>
        <v>1436.3</v>
      </c>
      <c r="D180" s="435">
        <v>1432.4789612571969</v>
      </c>
      <c r="E180" s="383">
        <f>$E$189*G180</f>
        <v>2.3835462562160816E-3</v>
      </c>
      <c r="F180" s="359">
        <f>(D180-C180)/AVERAGE(C180:D180)</f>
        <v>-2.6638781128877926E-3</v>
      </c>
      <c r="G180" s="359">
        <f>F180/$F$189</f>
        <v>-1.1586934428635707E-2</v>
      </c>
    </row>
    <row r="181" spans="2:7" x14ac:dyDescent="0.2">
      <c r="B181" s="381" t="s">
        <v>259</v>
      </c>
      <c r="C181" s="382">
        <f>Z16</f>
        <v>0.82454918888811535</v>
      </c>
      <c r="D181" s="382">
        <f>AG16</f>
        <v>0.80215710655782013</v>
      </c>
      <c r="E181" s="383">
        <f t="shared" ref="E181:E188" si="99">$E$189*G181</f>
        <v>2.4633411704587917E-2</v>
      </c>
      <c r="F181" s="359">
        <f t="shared" ref="F181:F182" si="100">(D181-C181)/AVERAGE(C181:D181)</f>
        <v>-2.7530578068067024E-2</v>
      </c>
      <c r="G181" s="359">
        <f t="shared" ref="G181:G188" si="101">F181/$F$189</f>
        <v>-0.11974834783687627</v>
      </c>
    </row>
    <row r="182" spans="2:7" x14ac:dyDescent="0.2">
      <c r="B182" s="381" t="s">
        <v>260</v>
      </c>
      <c r="C182" s="382">
        <f>AA16</f>
        <v>0.99881786709448617</v>
      </c>
      <c r="D182" s="382">
        <f>AH16</f>
        <v>0.99841617523167647</v>
      </c>
      <c r="E182" s="383">
        <f t="shared" si="99"/>
        <v>3.5991778285890478E-4</v>
      </c>
      <c r="F182" s="359">
        <f t="shared" si="100"/>
        <v>-4.0224816350701399E-4</v>
      </c>
      <c r="G182" s="359">
        <f t="shared" si="101"/>
        <v>-1.7496382706272975E-3</v>
      </c>
    </row>
    <row r="183" spans="2:7" x14ac:dyDescent="0.2">
      <c r="B183" s="436" t="s">
        <v>282</v>
      </c>
      <c r="C183" s="437">
        <f>C180*C181*C182</f>
        <v>1182.8999999999999</v>
      </c>
      <c r="D183" s="437">
        <f t="shared" ref="D183" si="102">D180*D181*D182</f>
        <v>1147.2532482058773</v>
      </c>
      <c r="E183" s="438">
        <f>SUM(E180:E182)</f>
        <v>2.7376875743662904E-2</v>
      </c>
    </row>
    <row r="184" spans="2:7" x14ac:dyDescent="0.2">
      <c r="B184" s="381" t="s">
        <v>257</v>
      </c>
      <c r="C184" s="439">
        <f>AB16</f>
        <v>0.3785611632428777</v>
      </c>
      <c r="D184" s="382">
        <f>AI16</f>
        <v>0.44147428108545972</v>
      </c>
      <c r="E184" s="383">
        <f t="shared" si="99"/>
        <v>-0.13729281658072964</v>
      </c>
      <c r="F184" s="359">
        <f t="shared" ref="F184:F186" si="103">(D184-C184)/AVERAGE(C184:D184)</f>
        <v>0.15343999647262072</v>
      </c>
      <c r="G184" s="359">
        <f t="shared" si="101"/>
        <v>0.66741010756344576</v>
      </c>
    </row>
    <row r="185" spans="2:7" x14ac:dyDescent="0.2">
      <c r="B185" s="381" t="s">
        <v>258</v>
      </c>
      <c r="C185" s="382">
        <f>AC16</f>
        <v>0.93948191156766414</v>
      </c>
      <c r="D185" s="382">
        <f>AC16</f>
        <v>0.93948191156766414</v>
      </c>
      <c r="E185" s="383">
        <f t="shared" si="99"/>
        <v>0</v>
      </c>
      <c r="F185" s="359">
        <f t="shared" si="103"/>
        <v>0</v>
      </c>
      <c r="G185" s="359">
        <f t="shared" si="101"/>
        <v>0</v>
      </c>
    </row>
    <row r="186" spans="2:7" x14ac:dyDescent="0.2">
      <c r="B186" s="385" t="s">
        <v>269</v>
      </c>
      <c r="C186" s="386">
        <v>1</v>
      </c>
      <c r="D186" s="386">
        <v>1</v>
      </c>
      <c r="E186" s="387">
        <f t="shared" si="99"/>
        <v>0</v>
      </c>
      <c r="F186" s="359">
        <f t="shared" si="103"/>
        <v>0</v>
      </c>
      <c r="G186" s="359">
        <f t="shared" si="101"/>
        <v>0</v>
      </c>
    </row>
    <row r="187" spans="2:7" x14ac:dyDescent="0.2">
      <c r="B187" s="388" t="s">
        <v>270</v>
      </c>
      <c r="C187" s="389">
        <f>C183*C184*C185*C186</f>
        <v>420.69999999999993</v>
      </c>
      <c r="D187" s="389">
        <f t="shared" ref="D187" si="104">D183*D184*D185*D186</f>
        <v>475.83143191477109</v>
      </c>
      <c r="E187" s="390">
        <f>SUM(E184:E186)</f>
        <v>-0.13729281658072964</v>
      </c>
    </row>
    <row r="188" spans="2:7" x14ac:dyDescent="0.2">
      <c r="B188" s="381" t="s">
        <v>256</v>
      </c>
      <c r="C188" s="391">
        <f>AD16</f>
        <v>14.37407107083234</v>
      </c>
      <c r="D188" s="391">
        <v>16</v>
      </c>
      <c r="E188" s="383">
        <f t="shared" si="99"/>
        <v>-9.5793884388614636E-2</v>
      </c>
      <c r="F188" s="359">
        <f t="shared" ref="F188" si="105">(D188-C188)/AVERAGE(C188:D188)</f>
        <v>0.10706032295611567</v>
      </c>
      <c r="G188" s="359">
        <f t="shared" si="101"/>
        <v>0.46567481297269347</v>
      </c>
    </row>
    <row r="189" spans="2:7" x14ac:dyDescent="0.2">
      <c r="B189" s="392" t="s">
        <v>271</v>
      </c>
      <c r="C189" s="393">
        <f>C187*C188</f>
        <v>6047.1716994991648</v>
      </c>
      <c r="D189" s="393">
        <f t="shared" ref="D189" si="106">D187*D188</f>
        <v>7613.3029106363374</v>
      </c>
      <c r="E189" s="394">
        <f>C189/D189-1</f>
        <v>-0.20570982522568138</v>
      </c>
      <c r="F189" s="359">
        <f>SUM(F180:F188)</f>
        <v>0.22990361508427457</v>
      </c>
      <c r="G189" s="359">
        <f>SUM(G180:G188)</f>
        <v>1</v>
      </c>
    </row>
    <row r="190" spans="2:7" x14ac:dyDescent="0.2">
      <c r="D190" s="441">
        <f>D189-C189</f>
        <v>1566.1312111371726</v>
      </c>
      <c r="E190" s="233">
        <v>1838010857.1428566</v>
      </c>
    </row>
    <row r="191" spans="2:7" x14ac:dyDescent="0.2">
      <c r="B191" s="89" t="str">
        <f>C17</f>
        <v>- MWG tăng app từ 400 lên 550 app (Jan benchmark)</v>
      </c>
      <c r="D191" s="233">
        <f>C189+(E190/1000000)</f>
        <v>7885.1825566420212</v>
      </c>
    </row>
    <row r="192" spans="2:7" x14ac:dyDescent="0.2">
      <c r="B192" s="89" t="s">
        <v>38</v>
      </c>
      <c r="D192" s="89">
        <f>D191/(D181*D182*D184*D185*D186*D188)</f>
        <v>1483.6344029188035</v>
      </c>
    </row>
    <row r="193" spans="2:10" x14ac:dyDescent="0.2">
      <c r="B193" s="376" t="s">
        <v>167</v>
      </c>
      <c r="C193" s="419" t="s">
        <v>303</v>
      </c>
      <c r="D193" s="419" t="s">
        <v>286</v>
      </c>
      <c r="E193" s="377" t="s">
        <v>267</v>
      </c>
    </row>
    <row r="194" spans="2:10" x14ac:dyDescent="0.2">
      <c r="B194" s="381" t="s">
        <v>281</v>
      </c>
      <c r="C194" s="435">
        <f>Y17</f>
        <v>440.8</v>
      </c>
      <c r="D194" s="435">
        <f>AF17</f>
        <v>442.66182448910712</v>
      </c>
      <c r="E194" s="383">
        <f>$E$203*G194</f>
        <v>-4.098782404733884E-3</v>
      </c>
      <c r="F194" s="359">
        <f>(D194-C194)/AVERAGE(C194:D194)</f>
        <v>4.214838575925502E-3</v>
      </c>
      <c r="G194" s="359">
        <f>F194/$F$203</f>
        <v>7.4212736662513587E-2</v>
      </c>
      <c r="J194" s="233">
        <f>16569/31</f>
        <v>534.48387096774195</v>
      </c>
    </row>
    <row r="195" spans="2:10" x14ac:dyDescent="0.2">
      <c r="B195" s="381" t="s">
        <v>259</v>
      </c>
      <c r="C195" s="382">
        <f>Z17</f>
        <v>1</v>
      </c>
      <c r="D195" s="382">
        <f>AG17</f>
        <v>1</v>
      </c>
      <c r="E195" s="383">
        <f t="shared" ref="E195:E202" si="107">$E$203*G195</f>
        <v>0</v>
      </c>
      <c r="F195" s="359">
        <f t="shared" ref="F195:F196" si="108">(D195-C195)/AVERAGE(C195:D195)</f>
        <v>0</v>
      </c>
      <c r="G195" s="359">
        <f t="shared" ref="G195:G202" si="109">F195/$F$203</f>
        <v>0</v>
      </c>
    </row>
    <row r="196" spans="2:10" x14ac:dyDescent="0.2">
      <c r="B196" s="381" t="s">
        <v>260</v>
      </c>
      <c r="C196" s="382">
        <f>AA17</f>
        <v>1</v>
      </c>
      <c r="D196" s="382">
        <f>AH17</f>
        <v>1</v>
      </c>
      <c r="E196" s="383">
        <f t="shared" si="107"/>
        <v>0</v>
      </c>
      <c r="F196" s="359">
        <f t="shared" si="108"/>
        <v>0</v>
      </c>
      <c r="G196" s="359">
        <f t="shared" si="109"/>
        <v>0</v>
      </c>
    </row>
    <row r="197" spans="2:10" x14ac:dyDescent="0.2">
      <c r="B197" s="436" t="s">
        <v>282</v>
      </c>
      <c r="C197" s="437">
        <f>C194*C195*C196</f>
        <v>440.8</v>
      </c>
      <c r="D197" s="437">
        <f t="shared" ref="D197" si="110">D194*D195*D196</f>
        <v>442.66182448910712</v>
      </c>
      <c r="E197" s="438">
        <f>SUM(E194:E196)</f>
        <v>-4.098782404733884E-3</v>
      </c>
    </row>
    <row r="198" spans="2:10" x14ac:dyDescent="0.2">
      <c r="B198" s="381" t="s">
        <v>257</v>
      </c>
      <c r="C198" s="439">
        <f>AB17</f>
        <v>0.41488878801634133</v>
      </c>
      <c r="D198" s="382">
        <f>AI17</f>
        <v>0.44149956408020924</v>
      </c>
      <c r="E198" s="383">
        <f t="shared" si="107"/>
        <v>-6.0435302629328752E-2</v>
      </c>
      <c r="F198" s="359">
        <f t="shared" ref="F198:F200" si="111">(D198-C198)/AVERAGE(C198:D198)</f>
        <v>6.2146515651973218E-2</v>
      </c>
      <c r="G198" s="359">
        <f t="shared" si="109"/>
        <v>1.0942442794644731</v>
      </c>
    </row>
    <row r="199" spans="2:10" x14ac:dyDescent="0.2">
      <c r="B199" s="381" t="s">
        <v>258</v>
      </c>
      <c r="C199" s="382">
        <f>AC17</f>
        <v>0.90754923413566735</v>
      </c>
      <c r="D199" s="382">
        <f>AC17</f>
        <v>0.90754923413566735</v>
      </c>
      <c r="E199" s="383">
        <f t="shared" si="107"/>
        <v>0</v>
      </c>
      <c r="F199" s="359">
        <f t="shared" si="111"/>
        <v>0</v>
      </c>
      <c r="G199" s="359">
        <f t="shared" si="109"/>
        <v>0</v>
      </c>
    </row>
    <row r="200" spans="2:10" x14ac:dyDescent="0.2">
      <c r="B200" s="385" t="s">
        <v>269</v>
      </c>
      <c r="C200" s="386">
        <v>1</v>
      </c>
      <c r="D200" s="386">
        <v>1</v>
      </c>
      <c r="E200" s="387">
        <f t="shared" si="107"/>
        <v>0</v>
      </c>
      <c r="F200" s="359">
        <f t="shared" si="111"/>
        <v>0</v>
      </c>
      <c r="G200" s="359">
        <f t="shared" si="109"/>
        <v>0</v>
      </c>
    </row>
    <row r="201" spans="2:10" x14ac:dyDescent="0.2">
      <c r="B201" s="388" t="s">
        <v>270</v>
      </c>
      <c r="C201" s="389">
        <f>C197*C198*C199*C200</f>
        <v>165.97530640036314</v>
      </c>
      <c r="D201" s="389">
        <f t="shared" ref="D201" si="112">D197*D198*D199*D200</f>
        <v>177.36688688473302</v>
      </c>
      <c r="E201" s="390">
        <f>SUM(E198:E200)</f>
        <v>-6.0435302629328752E-2</v>
      </c>
    </row>
    <row r="202" spans="2:10" x14ac:dyDescent="0.2">
      <c r="B202" s="381" t="s">
        <v>256</v>
      </c>
      <c r="C202" s="391">
        <f>AD17</f>
        <v>22.868028933092226</v>
      </c>
      <c r="D202" s="391">
        <f>AK17</f>
        <v>22.650284146259352</v>
      </c>
      <c r="E202" s="383">
        <f t="shared" si="107"/>
        <v>9.3039104162835149E-3</v>
      </c>
      <c r="F202" s="359">
        <f t="shared" ref="F202" si="113">(D202-C202)/AVERAGE(C202:D202)</f>
        <v>-9.5673487043899021E-3</v>
      </c>
      <c r="G202" s="359">
        <f t="shared" si="109"/>
        <v>-0.1684570161269868</v>
      </c>
    </row>
    <row r="203" spans="2:10" x14ac:dyDescent="0.2">
      <c r="B203" s="392" t="s">
        <v>271</v>
      </c>
      <c r="C203" s="393">
        <f>C201*C202</f>
        <v>3795.5281089423515</v>
      </c>
      <c r="D203" s="393">
        <f t="shared" ref="D203" si="114">D201*D202</f>
        <v>4017.410386076644</v>
      </c>
      <c r="E203" s="394">
        <f>C203/D203-1</f>
        <v>-5.5230174617779126E-2</v>
      </c>
      <c r="F203" s="395">
        <f>SUM(F194:F202)</f>
        <v>5.6794005523508821E-2</v>
      </c>
      <c r="G203" s="359">
        <f>SUM(G194:G202)</f>
        <v>0.99999999999999989</v>
      </c>
    </row>
    <row r="204" spans="2:10" x14ac:dyDescent="0.2">
      <c r="B204" s="442"/>
      <c r="C204" s="443"/>
      <c r="D204" s="441">
        <f>D203-C203</f>
        <v>221.88227713429251</v>
      </c>
      <c r="E204" s="444"/>
      <c r="F204" s="359"/>
      <c r="G204" s="359"/>
    </row>
    <row r="205" spans="2:10" x14ac:dyDescent="0.2">
      <c r="B205" s="89" t="str">
        <f>C18</f>
        <v>- Tăng AR 50%-55%</v>
      </c>
      <c r="C205" s="89" t="s">
        <v>137</v>
      </c>
    </row>
    <row r="206" spans="2:10" ht="21" customHeight="1" x14ac:dyDescent="0.2">
      <c r="B206" s="376" t="s">
        <v>167</v>
      </c>
      <c r="C206" s="419" t="s">
        <v>263</v>
      </c>
      <c r="D206" s="419" t="s">
        <v>286</v>
      </c>
      <c r="E206" s="377" t="s">
        <v>267</v>
      </c>
    </row>
    <row r="207" spans="2:10" x14ac:dyDescent="0.2">
      <c r="B207" s="381" t="s">
        <v>281</v>
      </c>
      <c r="C207" s="435">
        <f>Y18</f>
        <v>440.8</v>
      </c>
      <c r="D207" s="435">
        <v>550</v>
      </c>
      <c r="E207" s="383">
        <f>$E$216*G207</f>
        <v>-0.18232084141866867</v>
      </c>
      <c r="F207" s="359">
        <f>(D207-C207)/AVERAGE(C207:D207)</f>
        <v>0.22042793702058941</v>
      </c>
      <c r="G207" s="359">
        <f>F207/$F$216</f>
        <v>0.55287372327234674</v>
      </c>
    </row>
    <row r="208" spans="2:10" x14ac:dyDescent="0.2">
      <c r="B208" s="381" t="s">
        <v>259</v>
      </c>
      <c r="C208" s="382">
        <f>Z18</f>
        <v>1</v>
      </c>
      <c r="D208" s="382">
        <f>AG18</f>
        <v>1</v>
      </c>
      <c r="E208" s="383">
        <f t="shared" ref="E208:E215" si="115">$E$216*G208</f>
        <v>0</v>
      </c>
      <c r="F208" s="359">
        <f t="shared" ref="F208:F209" si="116">(D208-C208)/AVERAGE(C208:D208)</f>
        <v>0</v>
      </c>
      <c r="G208" s="359">
        <f t="shared" ref="G208:G215" si="117">F208/$F$216</f>
        <v>0</v>
      </c>
    </row>
    <row r="209" spans="2:9" x14ac:dyDescent="0.2">
      <c r="B209" s="381" t="s">
        <v>260</v>
      </c>
      <c r="C209" s="382">
        <f>AA18</f>
        <v>1</v>
      </c>
      <c r="D209" s="382">
        <f>AH18</f>
        <v>1</v>
      </c>
      <c r="E209" s="383">
        <f t="shared" si="115"/>
        <v>0</v>
      </c>
      <c r="F209" s="359">
        <f t="shared" si="116"/>
        <v>0</v>
      </c>
      <c r="G209" s="359">
        <f t="shared" si="117"/>
        <v>0</v>
      </c>
    </row>
    <row r="210" spans="2:9" x14ac:dyDescent="0.2">
      <c r="B210" s="436" t="s">
        <v>282</v>
      </c>
      <c r="C210" s="437">
        <f>C207*C208*C209</f>
        <v>440.8</v>
      </c>
      <c r="D210" s="437">
        <f t="shared" ref="D210" si="118">D207*D208*D209</f>
        <v>550</v>
      </c>
      <c r="E210" s="438">
        <f>SUM(E207:E209)</f>
        <v>-0.18232084141866867</v>
      </c>
    </row>
    <row r="211" spans="2:9" x14ac:dyDescent="0.2">
      <c r="B211" s="381" t="s">
        <v>257</v>
      </c>
      <c r="C211" s="439">
        <f>AB18</f>
        <v>0.41488878801634133</v>
      </c>
      <c r="D211" s="382">
        <v>0.5</v>
      </c>
      <c r="E211" s="383">
        <f t="shared" si="115"/>
        <v>-0.15389274475631251</v>
      </c>
      <c r="F211" s="359">
        <f t="shared" ref="F211:F213" si="119">(D211-C211)/AVERAGE(C211:D211)</f>
        <v>0.1860580501116349</v>
      </c>
      <c r="G211" s="359">
        <f t="shared" si="117"/>
        <v>0.46666773867417738</v>
      </c>
      <c r="H211" s="359"/>
    </row>
    <row r="212" spans="2:9" x14ac:dyDescent="0.2">
      <c r="B212" s="381" t="s">
        <v>258</v>
      </c>
      <c r="C212" s="382">
        <f>AC18</f>
        <v>0.90754923413566735</v>
      </c>
      <c r="D212" s="382">
        <f>AJ18</f>
        <v>0.9091627172195893</v>
      </c>
      <c r="E212" s="383">
        <f t="shared" si="115"/>
        <v>-1.4691901882281672E-3</v>
      </c>
      <c r="F212" s="359">
        <f t="shared" si="119"/>
        <v>1.7762673743829368E-3</v>
      </c>
      <c r="G212" s="359">
        <f t="shared" si="117"/>
        <v>4.4552045901085557E-3</v>
      </c>
    </row>
    <row r="213" spans="2:9" x14ac:dyDescent="0.2">
      <c r="B213" s="385" t="s">
        <v>269</v>
      </c>
      <c r="C213" s="386">
        <v>1</v>
      </c>
      <c r="D213" s="386">
        <v>1</v>
      </c>
      <c r="E213" s="387">
        <f t="shared" si="115"/>
        <v>0</v>
      </c>
      <c r="F213" s="359">
        <f t="shared" si="119"/>
        <v>0</v>
      </c>
      <c r="G213" s="359">
        <f t="shared" si="117"/>
        <v>0</v>
      </c>
    </row>
    <row r="214" spans="2:9" x14ac:dyDescent="0.2">
      <c r="B214" s="388" t="s">
        <v>270</v>
      </c>
      <c r="C214" s="389">
        <f>C210*C211*C212*C213</f>
        <v>165.97530640036314</v>
      </c>
      <c r="D214" s="389">
        <f t="shared" ref="D214" si="120">D210*D211*D212*D213</f>
        <v>250.01974723538706</v>
      </c>
      <c r="E214" s="390">
        <f>SUM(E211:E213)</f>
        <v>-0.15536193494454067</v>
      </c>
    </row>
    <row r="215" spans="2:9" x14ac:dyDescent="0.2">
      <c r="B215" s="381" t="s">
        <v>256</v>
      </c>
      <c r="C215" s="391">
        <f>AD18</f>
        <v>22.868028933092226</v>
      </c>
      <c r="D215" s="391">
        <f>AK18</f>
        <v>22.650284146259352</v>
      </c>
      <c r="E215" s="383">
        <f t="shared" si="115"/>
        <v>7.9133665610055821E-3</v>
      </c>
      <c r="F215" s="359">
        <f t="shared" ref="F215" si="121">(D215-C215)/AVERAGE(C215:D215)</f>
        <v>-9.5673487043899021E-3</v>
      </c>
      <c r="G215" s="359">
        <f t="shared" si="117"/>
        <v>-2.3996666536632471E-2</v>
      </c>
    </row>
    <row r="216" spans="2:9" x14ac:dyDescent="0.2">
      <c r="B216" s="392" t="s">
        <v>271</v>
      </c>
      <c r="C216" s="393">
        <f>C214*C215</f>
        <v>3795.5281089423515</v>
      </c>
      <c r="D216" s="393">
        <f>D214*D215</f>
        <v>5663.0183170574583</v>
      </c>
      <c r="E216" s="394">
        <f>C216/D216-1</f>
        <v>-0.32976940980220371</v>
      </c>
      <c r="F216" s="359">
        <f>SUM(F207:F215)</f>
        <v>0.39869490580221728</v>
      </c>
      <c r="G216" s="359">
        <f>SUM(G207:G215)</f>
        <v>1.0000000000000002</v>
      </c>
      <c r="I216" s="233">
        <f>10999/31</f>
        <v>354.80645161290323</v>
      </c>
    </row>
    <row r="217" spans="2:9" x14ac:dyDescent="0.2">
      <c r="D217" s="441">
        <f>D216-C216</f>
        <v>1867.4902081151067</v>
      </c>
      <c r="E217" s="233">
        <v>762336066.66666687</v>
      </c>
    </row>
    <row r="218" spans="2:9" x14ac:dyDescent="0.2">
      <c r="D218" s="233">
        <f>C216+(E217/1000000)</f>
        <v>4557.8641756090183</v>
      </c>
    </row>
    <row r="219" spans="2:9" x14ac:dyDescent="0.2">
      <c r="D219" s="359">
        <f>D218/(D207*D208*D209*D212*D213*D215)</f>
        <v>0.40242357700666193</v>
      </c>
      <c r="E219" s="359">
        <f>E220/(D207*D212*D211*D215*D213)</f>
        <v>0.86273722947659004</v>
      </c>
    </row>
    <row r="220" spans="2:9" x14ac:dyDescent="0.2">
      <c r="B220" s="440" t="s">
        <v>309</v>
      </c>
      <c r="D220" s="233">
        <f>'Road to 3k v2 (2)'!J22</f>
        <v>4885696733.333333</v>
      </c>
      <c r="E220" s="233">
        <f>D220/1000000</f>
        <v>4885.6967333333332</v>
      </c>
    </row>
    <row r="221" spans="2:9" x14ac:dyDescent="0.2">
      <c r="B221" s="89" t="str">
        <f>C20</f>
        <v>- Live CD 1:1</v>
      </c>
      <c r="C221" s="446"/>
      <c r="D221" s="446"/>
      <c r="E221" s="446"/>
    </row>
    <row r="222" spans="2:9" x14ac:dyDescent="0.2">
      <c r="B222" s="418" t="s">
        <v>272</v>
      </c>
      <c r="C222" s="419" t="s">
        <v>310</v>
      </c>
      <c r="D222" s="419" t="s">
        <v>264</v>
      </c>
      <c r="E222" s="417" t="s">
        <v>267</v>
      </c>
      <c r="F222" s="359"/>
      <c r="G222" s="359"/>
    </row>
    <row r="223" spans="2:9" x14ac:dyDescent="0.2">
      <c r="B223" s="412" t="s">
        <v>277</v>
      </c>
      <c r="C223" s="588">
        <f>C77</f>
        <v>285.3</v>
      </c>
      <c r="D223" s="459">
        <v>5600</v>
      </c>
      <c r="E223" s="416">
        <f>$L$141*G223</f>
        <v>-0.95271413521825554</v>
      </c>
      <c r="F223" s="359">
        <f>(D223-C223)/AVERAGE(C223:D223)</f>
        <v>1.806093147333186</v>
      </c>
      <c r="G223" s="359">
        <f>F223/$M$141</f>
        <v>1.0081631060510641</v>
      </c>
    </row>
    <row r="224" spans="2:9" x14ac:dyDescent="0.2">
      <c r="B224" s="408" t="s">
        <v>257</v>
      </c>
      <c r="C224" s="404">
        <f t="shared" ref="C224:C225" si="122">C78</f>
        <v>0.59489999999999998</v>
      </c>
      <c r="D224" s="404">
        <f>C224</f>
        <v>0.59489999999999998</v>
      </c>
      <c r="E224" s="409">
        <f t="shared" ref="E224:E225" si="123">$L$141*G224</f>
        <v>0</v>
      </c>
      <c r="F224" s="359">
        <f t="shared" ref="F224:F225" si="124">(D224-C224)/AVERAGE(C224:D224)</f>
        <v>0</v>
      </c>
      <c r="G224" s="359">
        <f t="shared" ref="G224:G225" si="125">F224/$M$141</f>
        <v>0</v>
      </c>
    </row>
    <row r="225" spans="2:7" x14ac:dyDescent="0.2">
      <c r="B225" s="408" t="s">
        <v>258</v>
      </c>
      <c r="C225" s="404">
        <f t="shared" si="122"/>
        <v>0.81100000000000005</v>
      </c>
      <c r="D225" s="404">
        <f t="shared" ref="D225" si="126">C225</f>
        <v>0.81100000000000005</v>
      </c>
      <c r="E225" s="409">
        <f t="shared" si="123"/>
        <v>0</v>
      </c>
      <c r="F225" s="359">
        <f t="shared" si="124"/>
        <v>0</v>
      </c>
      <c r="G225" s="359">
        <f t="shared" si="125"/>
        <v>0</v>
      </c>
    </row>
    <row r="226" spans="2:7" x14ac:dyDescent="0.2">
      <c r="B226" s="460" t="s">
        <v>278</v>
      </c>
      <c r="C226" s="461">
        <f>C223*C224*C225*30</f>
        <v>4129.4085201000007</v>
      </c>
      <c r="D226" s="461">
        <f>D223*D224*D225*30</f>
        <v>81053.935200000007</v>
      </c>
      <c r="E226" s="462">
        <f>C226/D226-1</f>
        <v>-0.94905357142857139</v>
      </c>
      <c r="F226" s="414">
        <f>SUM(F223:F225)</f>
        <v>1.806093147333186</v>
      </c>
      <c r="G226" s="414">
        <f>SUM(G223:G225)</f>
        <v>1.0081631060510641</v>
      </c>
    </row>
    <row r="227" spans="2:7" x14ac:dyDescent="0.2">
      <c r="C227" s="413"/>
      <c r="D227" s="413"/>
      <c r="E227" s="414"/>
      <c r="F227" s="238"/>
      <c r="G227" s="359"/>
    </row>
    <row r="228" spans="2:7" x14ac:dyDescent="0.2">
      <c r="B228" s="407" t="s">
        <v>279</v>
      </c>
      <c r="C228" s="424">
        <f>37211+C226</f>
        <v>41340.408520099998</v>
      </c>
      <c r="D228" s="424">
        <f>37211+D226</f>
        <v>118264.93520000001</v>
      </c>
      <c r="E228" s="426">
        <f>$L$147*G228</f>
        <v>-0.33931125077377056</v>
      </c>
      <c r="F228" s="359">
        <f t="shared" ref="F228:F231" si="127">(D228-C228)/AVERAGE(C228:D228)</f>
        <v>0.96393422534526918</v>
      </c>
      <c r="G228" s="359">
        <f>F228/$M$147</f>
        <v>0.57318662428577249</v>
      </c>
    </row>
    <row r="229" spans="2:7" x14ac:dyDescent="0.2">
      <c r="B229" s="408" t="s">
        <v>280</v>
      </c>
      <c r="C229" s="590">
        <f>C83</f>
        <v>0.1832</v>
      </c>
      <c r="D229" s="422">
        <f>C229</f>
        <v>0.1832</v>
      </c>
      <c r="E229" s="415">
        <f t="shared" ref="E229:E231" si="128">$L$147*G229</f>
        <v>0</v>
      </c>
      <c r="F229" s="359">
        <f t="shared" si="127"/>
        <v>0</v>
      </c>
      <c r="G229" s="359">
        <f t="shared" ref="G229:G231" si="129">F229/$M$147</f>
        <v>0</v>
      </c>
    </row>
    <row r="230" spans="2:7" x14ac:dyDescent="0.2">
      <c r="B230" s="408" t="s">
        <v>273</v>
      </c>
      <c r="C230" s="405">
        <f>C228*C229</f>
        <v>7573.5628408823195</v>
      </c>
      <c r="D230" s="405">
        <f>D228*D229</f>
        <v>21666.136128640002</v>
      </c>
      <c r="E230" s="409">
        <f t="shared" si="128"/>
        <v>-0.33931125077377056</v>
      </c>
      <c r="F230" s="359">
        <f t="shared" si="127"/>
        <v>0.96393422534526918</v>
      </c>
      <c r="G230" s="359">
        <f t="shared" si="129"/>
        <v>0.57318662428577249</v>
      </c>
    </row>
    <row r="231" spans="2:7" x14ac:dyDescent="0.2">
      <c r="B231" s="408" t="s">
        <v>274</v>
      </c>
      <c r="C231" s="589">
        <f>C85</f>
        <v>4.5648264530637164</v>
      </c>
      <c r="D231" s="423">
        <f>C231</f>
        <v>4.5648264530637164</v>
      </c>
      <c r="E231" s="409">
        <f t="shared" si="128"/>
        <v>0</v>
      </c>
      <c r="F231" s="359">
        <f t="shared" si="127"/>
        <v>0</v>
      </c>
      <c r="G231" s="359">
        <f t="shared" si="129"/>
        <v>0</v>
      </c>
    </row>
    <row r="232" spans="2:7" x14ac:dyDescent="0.2">
      <c r="B232" s="463" t="s">
        <v>275</v>
      </c>
      <c r="C232" s="464">
        <f>C230*C231</f>
        <v>34572</v>
      </c>
      <c r="D232" s="464">
        <f>D230*D231</f>
        <v>98902.15133569538</v>
      </c>
      <c r="E232" s="465">
        <f>C232/D232-1</f>
        <v>-0.6504423864082074</v>
      </c>
      <c r="F232" s="359">
        <f>SUM(F228:F231)</f>
        <v>1.9278684506905384</v>
      </c>
      <c r="G232" s="359">
        <f>SUM(G228:G231)</f>
        <v>1.146373248571545</v>
      </c>
    </row>
    <row r="233" spans="2:7" x14ac:dyDescent="0.2">
      <c r="B233" s="410" t="s">
        <v>276</v>
      </c>
      <c r="C233" s="411">
        <f>C232/30</f>
        <v>1152.4000000000001</v>
      </c>
      <c r="D233" s="411">
        <f>D232/31</f>
        <v>3190.3919785708185</v>
      </c>
      <c r="E233" s="425"/>
    </row>
    <row r="234" spans="2:7" x14ac:dyDescent="0.2">
      <c r="D234" s="401">
        <f>D233-C233</f>
        <v>2037.9919785708184</v>
      </c>
      <c r="F234" s="359"/>
      <c r="G234" s="359"/>
    </row>
    <row r="235" spans="2:7" x14ac:dyDescent="0.2">
      <c r="B235"/>
      <c r="C235" s="42"/>
      <c r="D235" s="447">
        <f>C233+2000</f>
        <v>3152.4</v>
      </c>
      <c r="E235" s="42"/>
      <c r="G235" s="359"/>
    </row>
    <row r="236" spans="2:7" x14ac:dyDescent="0.2">
      <c r="B236"/>
      <c r="C236" s="42"/>
      <c r="D236" s="447">
        <f>D235*30</f>
        <v>94572</v>
      </c>
      <c r="E236" s="42"/>
      <c r="F236" s="359"/>
      <c r="G236" s="359"/>
    </row>
    <row r="239" spans="2:7" x14ac:dyDescent="0.2">
      <c r="B239" s="89" t="str">
        <f>B21</f>
        <v>[VNPAY]</v>
      </c>
      <c r="D239" s="335">
        <f>D254+D267+D282</f>
        <v>677.20099061903909</v>
      </c>
    </row>
    <row r="241" spans="2:7" x14ac:dyDescent="0.2">
      <c r="B241" s="89" t="str">
        <f>C21</f>
        <v>- Tối ưu luồng sản phẩm tăng 50% Appin</v>
      </c>
    </row>
    <row r="242" spans="2:7" x14ac:dyDescent="0.2">
      <c r="B242" s="89" t="s">
        <v>44</v>
      </c>
    </row>
    <row r="243" spans="2:7" x14ac:dyDescent="0.2">
      <c r="B243" s="376" t="s">
        <v>311</v>
      </c>
      <c r="C243" s="419" t="s">
        <v>303</v>
      </c>
      <c r="D243" s="419" t="s">
        <v>286</v>
      </c>
      <c r="E243" s="377" t="s">
        <v>267</v>
      </c>
    </row>
    <row r="244" spans="2:7" x14ac:dyDescent="0.2">
      <c r="B244" s="381" t="s">
        <v>281</v>
      </c>
      <c r="C244" s="435">
        <f>Y22</f>
        <v>144.30000000000001</v>
      </c>
      <c r="D244" s="435">
        <f>C244*1.64</f>
        <v>236.65200000000002</v>
      </c>
      <c r="E244" s="383">
        <f>$E$253*G244</f>
        <v>-0.3902439024390244</v>
      </c>
      <c r="F244" s="359">
        <f>(D244-C244)/AVERAGE(C244:D244)</f>
        <v>0.48484848484848486</v>
      </c>
      <c r="G244" s="359">
        <f>F244/$F$253</f>
        <v>1</v>
      </c>
    </row>
    <row r="245" spans="2:7" x14ac:dyDescent="0.2">
      <c r="B245" s="381" t="s">
        <v>259</v>
      </c>
      <c r="C245" s="382">
        <f>Z22</f>
        <v>1</v>
      </c>
      <c r="D245" s="382">
        <f>C245</f>
        <v>1</v>
      </c>
      <c r="E245" s="383">
        <f t="shared" ref="E245:E252" si="130">$E$253*G245</f>
        <v>0</v>
      </c>
      <c r="F245" s="359">
        <f t="shared" ref="F245:F246" si="131">(D245-C245)/AVERAGE(C245:D245)</f>
        <v>0</v>
      </c>
      <c r="G245" s="359">
        <f t="shared" ref="G245:G252" si="132">F245/$F$253</f>
        <v>0</v>
      </c>
    </row>
    <row r="246" spans="2:7" x14ac:dyDescent="0.2">
      <c r="B246" s="381" t="s">
        <v>260</v>
      </c>
      <c r="C246" s="382">
        <f>AA22</f>
        <v>1</v>
      </c>
      <c r="D246" s="382">
        <f t="shared" ref="D246:D252" si="133">C246</f>
        <v>1</v>
      </c>
      <c r="E246" s="383">
        <f t="shared" si="130"/>
        <v>0</v>
      </c>
      <c r="F246" s="359">
        <f t="shared" si="131"/>
        <v>0</v>
      </c>
      <c r="G246" s="359">
        <f t="shared" si="132"/>
        <v>0</v>
      </c>
    </row>
    <row r="247" spans="2:7" x14ac:dyDescent="0.2">
      <c r="B247" s="436" t="s">
        <v>282</v>
      </c>
      <c r="C247" s="437">
        <f>C244*C245*C246</f>
        <v>144.30000000000001</v>
      </c>
      <c r="D247" s="437">
        <f t="shared" ref="D247" si="134">D244*D245*D246</f>
        <v>236.65200000000002</v>
      </c>
      <c r="E247" s="438">
        <f>SUM(E244:E246)</f>
        <v>-0.3902439024390244</v>
      </c>
    </row>
    <row r="248" spans="2:7" x14ac:dyDescent="0.2">
      <c r="B248" s="381" t="s">
        <v>257</v>
      </c>
      <c r="C248" s="439">
        <f>AB22</f>
        <v>0.32453092425295343</v>
      </c>
      <c r="D248" s="382">
        <f t="shared" si="133"/>
        <v>0.32453092425295343</v>
      </c>
      <c r="E248" s="383">
        <f t="shared" si="130"/>
        <v>0</v>
      </c>
      <c r="F248" s="359">
        <f t="shared" ref="F248:F250" si="135">(D248-C248)/AVERAGE(C248:D248)</f>
        <v>0</v>
      </c>
      <c r="G248" s="359">
        <f t="shared" si="132"/>
        <v>0</v>
      </c>
    </row>
    <row r="249" spans="2:7" x14ac:dyDescent="0.2">
      <c r="B249" s="381" t="s">
        <v>258</v>
      </c>
      <c r="C249" s="382">
        <f>AC22</f>
        <v>0.8179871520342612</v>
      </c>
      <c r="D249" s="382">
        <f t="shared" si="133"/>
        <v>0.8179871520342612</v>
      </c>
      <c r="E249" s="383">
        <f t="shared" si="130"/>
        <v>0</v>
      </c>
      <c r="F249" s="359">
        <f t="shared" si="135"/>
        <v>0</v>
      </c>
      <c r="G249" s="359">
        <f t="shared" si="132"/>
        <v>0</v>
      </c>
    </row>
    <row r="250" spans="2:7" x14ac:dyDescent="0.2">
      <c r="B250" s="385" t="s">
        <v>269</v>
      </c>
      <c r="C250" s="386">
        <v>1</v>
      </c>
      <c r="D250" s="386">
        <f t="shared" si="133"/>
        <v>1</v>
      </c>
      <c r="E250" s="387">
        <f t="shared" si="130"/>
        <v>0</v>
      </c>
      <c r="F250" s="359">
        <f t="shared" si="135"/>
        <v>0</v>
      </c>
      <c r="G250" s="359">
        <f t="shared" si="132"/>
        <v>0</v>
      </c>
    </row>
    <row r="251" spans="2:7" x14ac:dyDescent="0.2">
      <c r="B251" s="388" t="s">
        <v>270</v>
      </c>
      <c r="C251" s="389">
        <f>C247*C248*C249*C250</f>
        <v>38.306184850590689</v>
      </c>
      <c r="D251" s="389">
        <f t="shared" ref="D251" si="136">D247*D248*D249*D250</f>
        <v>62.822143154968735</v>
      </c>
      <c r="E251" s="390">
        <f>SUM(E248:E250)</f>
        <v>0</v>
      </c>
    </row>
    <row r="252" spans="2:7" x14ac:dyDescent="0.2">
      <c r="B252" s="381" t="s">
        <v>256</v>
      </c>
      <c r="C252" s="391">
        <f>AD22</f>
        <v>19.918900523560211</v>
      </c>
      <c r="D252" s="391">
        <f t="shared" si="133"/>
        <v>19.918900523560211</v>
      </c>
      <c r="E252" s="387">
        <f t="shared" si="130"/>
        <v>0</v>
      </c>
      <c r="F252" s="359">
        <f t="shared" ref="F252" si="137">(D252-C252)/AVERAGE(C252:D252)</f>
        <v>0</v>
      </c>
      <c r="G252" s="359">
        <f t="shared" si="132"/>
        <v>0</v>
      </c>
    </row>
    <row r="253" spans="2:7" x14ac:dyDescent="0.2">
      <c r="B253" s="392" t="s">
        <v>271</v>
      </c>
      <c r="C253" s="393">
        <f>C251*C252</f>
        <v>763.01708547602516</v>
      </c>
      <c r="D253" s="393">
        <f t="shared" ref="D253" si="138">D251*D252</f>
        <v>1251.3480201806813</v>
      </c>
      <c r="E253" s="394">
        <f>C253/D253-1</f>
        <v>-0.3902439024390244</v>
      </c>
      <c r="F253" s="395">
        <f>SUM(F244:F252)</f>
        <v>0.48484848484848486</v>
      </c>
      <c r="G253" s="359">
        <f>SUM(G244:G252)</f>
        <v>1</v>
      </c>
    </row>
    <row r="254" spans="2:7" x14ac:dyDescent="0.2">
      <c r="B254" s="442"/>
      <c r="C254" s="443"/>
      <c r="D254" s="441">
        <f>D253-C253</f>
        <v>488.3309347046561</v>
      </c>
      <c r="E254" s="444"/>
      <c r="F254" s="359"/>
      <c r="G254" s="359"/>
    </row>
    <row r="256" spans="2:7" x14ac:dyDescent="0.2">
      <c r="B256" s="376" t="s">
        <v>312</v>
      </c>
      <c r="C256" s="419" t="s">
        <v>303</v>
      </c>
      <c r="D256" s="419" t="s">
        <v>286</v>
      </c>
      <c r="E256" s="377" t="s">
        <v>267</v>
      </c>
    </row>
    <row r="257" spans="2:10" x14ac:dyDescent="0.2">
      <c r="B257" s="381" t="s">
        <v>281</v>
      </c>
      <c r="C257" s="435">
        <f>Y23</f>
        <v>251.9</v>
      </c>
      <c r="D257" s="435">
        <f>C257*1.64</f>
        <v>413.11599999999999</v>
      </c>
      <c r="E257" s="383">
        <f>$E$266*G257</f>
        <v>-0.3902439024390244</v>
      </c>
      <c r="F257" s="359">
        <f>(D257-C257)/AVERAGE(C257:D257)</f>
        <v>0.48484848484848481</v>
      </c>
      <c r="G257" s="359">
        <f>F257/$F$266</f>
        <v>1</v>
      </c>
    </row>
    <row r="258" spans="2:10" x14ac:dyDescent="0.2">
      <c r="B258" s="381" t="s">
        <v>259</v>
      </c>
      <c r="C258" s="382">
        <f>Z23</f>
        <v>1</v>
      </c>
      <c r="D258" s="382">
        <f>C258</f>
        <v>1</v>
      </c>
      <c r="E258" s="383">
        <f t="shared" ref="E258:E265" si="139">$E$266*G258</f>
        <v>0</v>
      </c>
      <c r="F258" s="359">
        <f t="shared" ref="F258:F259" si="140">(D258-C258)/AVERAGE(C258:D258)</f>
        <v>0</v>
      </c>
      <c r="G258" s="359">
        <f t="shared" ref="G258:G265" si="141">F258/$F$266</f>
        <v>0</v>
      </c>
    </row>
    <row r="259" spans="2:10" x14ac:dyDescent="0.2">
      <c r="B259" s="381" t="s">
        <v>260</v>
      </c>
      <c r="C259" s="382">
        <f>AA23</f>
        <v>1</v>
      </c>
      <c r="D259" s="382">
        <f t="shared" ref="D259:D265" si="142">C259</f>
        <v>1</v>
      </c>
      <c r="E259" s="383">
        <f t="shared" si="139"/>
        <v>0</v>
      </c>
      <c r="F259" s="359">
        <f t="shared" si="140"/>
        <v>0</v>
      </c>
      <c r="G259" s="359">
        <f t="shared" si="141"/>
        <v>0</v>
      </c>
    </row>
    <row r="260" spans="2:10" x14ac:dyDescent="0.2">
      <c r="B260" s="436" t="s">
        <v>282</v>
      </c>
      <c r="C260" s="437">
        <f>C257*C258*C259</f>
        <v>251.9</v>
      </c>
      <c r="D260" s="437">
        <f t="shared" ref="D260" si="143">D257*D258*D259</f>
        <v>413.11599999999999</v>
      </c>
      <c r="E260" s="438">
        <f>SUM(E257:E259)</f>
        <v>-0.3902439024390244</v>
      </c>
    </row>
    <row r="261" spans="2:10" x14ac:dyDescent="0.2">
      <c r="B261" s="381" t="s">
        <v>257</v>
      </c>
      <c r="C261" s="439">
        <f>AB23</f>
        <v>0.27969805323798175</v>
      </c>
      <c r="D261" s="382">
        <f t="shared" si="142"/>
        <v>0.27969805323798175</v>
      </c>
      <c r="E261" s="383">
        <f t="shared" si="139"/>
        <v>0</v>
      </c>
      <c r="F261" s="359">
        <f t="shared" ref="F261:F263" si="144">(D261-C261)/AVERAGE(C261:D261)</f>
        <v>0</v>
      </c>
      <c r="G261" s="359">
        <f t="shared" si="141"/>
        <v>0</v>
      </c>
      <c r="J261" s="89">
        <v>486</v>
      </c>
    </row>
    <row r="262" spans="2:10" x14ac:dyDescent="0.2">
      <c r="B262" s="381" t="s">
        <v>258</v>
      </c>
      <c r="C262" s="382">
        <f>AC23</f>
        <v>0.93039772727272729</v>
      </c>
      <c r="D262" s="382">
        <f t="shared" si="142"/>
        <v>0.93039772727272729</v>
      </c>
      <c r="E262" s="383">
        <f t="shared" si="139"/>
        <v>0</v>
      </c>
      <c r="F262" s="359">
        <f t="shared" si="144"/>
        <v>0</v>
      </c>
      <c r="G262" s="359">
        <f t="shared" si="141"/>
        <v>0</v>
      </c>
      <c r="J262" s="89">
        <v>210</v>
      </c>
    </row>
    <row r="263" spans="2:10" x14ac:dyDescent="0.2">
      <c r="B263" s="385" t="s">
        <v>269</v>
      </c>
      <c r="C263" s="386">
        <v>1</v>
      </c>
      <c r="D263" s="382">
        <f t="shared" si="142"/>
        <v>1</v>
      </c>
      <c r="E263" s="383">
        <f t="shared" si="139"/>
        <v>0</v>
      </c>
      <c r="F263" s="359">
        <f t="shared" si="144"/>
        <v>0</v>
      </c>
      <c r="G263" s="359">
        <f t="shared" si="141"/>
        <v>0</v>
      </c>
      <c r="J263" s="89">
        <v>5</v>
      </c>
    </row>
    <row r="264" spans="2:10" x14ac:dyDescent="0.2">
      <c r="B264" s="388" t="s">
        <v>270</v>
      </c>
      <c r="C264" s="389">
        <f>C260*C261*C262*C263</f>
        <v>65.552046086611057</v>
      </c>
      <c r="D264" s="389">
        <f t="shared" ref="D264" si="145">D260*D261*D262*D263</f>
        <v>107.50535558204213</v>
      </c>
      <c r="E264" s="390">
        <f>SUM(E261:E263)</f>
        <v>0</v>
      </c>
    </row>
    <row r="265" spans="2:10" x14ac:dyDescent="0.2">
      <c r="B265" s="381" t="s">
        <v>256</v>
      </c>
      <c r="C265" s="391">
        <f>AD23</f>
        <v>4.3769724770642195</v>
      </c>
      <c r="D265" s="391">
        <f t="shared" si="142"/>
        <v>4.3769724770642195</v>
      </c>
      <c r="E265" s="383">
        <f t="shared" si="139"/>
        <v>0</v>
      </c>
      <c r="F265" s="359">
        <f t="shared" ref="F265" si="146">(D265-C265)/AVERAGE(C265:D265)</f>
        <v>0</v>
      </c>
      <c r="G265" s="359">
        <f t="shared" si="141"/>
        <v>0</v>
      </c>
    </row>
    <row r="266" spans="2:10" x14ac:dyDescent="0.2">
      <c r="B266" s="392" t="s">
        <v>271</v>
      </c>
      <c r="C266" s="393">
        <f>C264*C265</f>
        <v>286.9195015363419</v>
      </c>
      <c r="D266" s="393">
        <f t="shared" ref="D266" si="147">D264*D265</f>
        <v>470.54798251960068</v>
      </c>
      <c r="E266" s="394">
        <f>C266/D266-1</f>
        <v>-0.3902439024390244</v>
      </c>
      <c r="F266" s="395">
        <f>SUM(F257:F265)</f>
        <v>0.48484848484848481</v>
      </c>
      <c r="G266" s="359">
        <f>SUM(G257:G265)</f>
        <v>1</v>
      </c>
    </row>
    <row r="267" spans="2:10" x14ac:dyDescent="0.2">
      <c r="B267" s="442"/>
      <c r="C267" s="443"/>
      <c r="D267" s="441">
        <f>D266-C266</f>
        <v>183.62848098325878</v>
      </c>
      <c r="E267" s="444"/>
      <c r="F267" s="359"/>
      <c r="G267" s="359"/>
    </row>
    <row r="270" spans="2:10" x14ac:dyDescent="0.2">
      <c r="B270" s="418" t="s">
        <v>313</v>
      </c>
      <c r="C270" s="419" t="s">
        <v>310</v>
      </c>
      <c r="D270" s="419" t="s">
        <v>264</v>
      </c>
      <c r="E270" s="417" t="s">
        <v>267</v>
      </c>
      <c r="F270" s="359"/>
      <c r="G270" s="359"/>
    </row>
    <row r="271" spans="2:10" x14ac:dyDescent="0.2">
      <c r="B271" s="412" t="s">
        <v>277</v>
      </c>
      <c r="C271" s="588">
        <v>400.1904761904762</v>
      </c>
      <c r="D271" s="459">
        <f>C271*1.5</f>
        <v>600.28571428571433</v>
      </c>
      <c r="E271" s="416">
        <f>$L$141*G271</f>
        <v>-0.21099999999999999</v>
      </c>
      <c r="F271" s="359">
        <f>(D271-C271)/AVERAGE(C271:D271)</f>
        <v>0.4</v>
      </c>
      <c r="G271" s="359">
        <f>F271/$M$141</f>
        <v>0.22328042328042327</v>
      </c>
    </row>
    <row r="272" spans="2:10" x14ac:dyDescent="0.2">
      <c r="B272" s="408" t="s">
        <v>257</v>
      </c>
      <c r="C272" s="404">
        <v>8.8555858310626706E-2</v>
      </c>
      <c r="D272" s="404">
        <f>C272</f>
        <v>8.8555858310626706E-2</v>
      </c>
      <c r="E272" s="409">
        <f t="shared" ref="E272:E273" si="148">$L$141*G272</f>
        <v>0</v>
      </c>
      <c r="F272" s="359">
        <f t="shared" ref="F272:F273" si="149">(D272-C272)/AVERAGE(C272:D272)</f>
        <v>0</v>
      </c>
      <c r="G272" s="359">
        <f t="shared" ref="G272:G273" si="150">F272/$M$141</f>
        <v>0</v>
      </c>
    </row>
    <row r="273" spans="2:7" x14ac:dyDescent="0.2">
      <c r="B273" s="408" t="s">
        <v>258</v>
      </c>
      <c r="C273" s="404">
        <v>0.83846153846153848</v>
      </c>
      <c r="D273" s="404">
        <f t="shared" ref="D273" si="151">C273</f>
        <v>0.83846153846153848</v>
      </c>
      <c r="E273" s="409">
        <f t="shared" si="148"/>
        <v>0</v>
      </c>
      <c r="F273" s="359">
        <f t="shared" si="149"/>
        <v>0</v>
      </c>
      <c r="G273" s="359">
        <f t="shared" si="150"/>
        <v>0</v>
      </c>
    </row>
    <row r="274" spans="2:7" x14ac:dyDescent="0.2">
      <c r="B274" s="460" t="s">
        <v>278</v>
      </c>
      <c r="C274" s="461">
        <f>C271*C272*C273*30</f>
        <v>891.43246399377199</v>
      </c>
      <c r="D274" s="461">
        <f>D271*D272*D273*30</f>
        <v>1337.1486959906581</v>
      </c>
      <c r="E274" s="462">
        <f>C274/D274-1</f>
        <v>-0.33333333333333337</v>
      </c>
      <c r="F274" s="414">
        <f>SUM(F271:F273)</f>
        <v>0.4</v>
      </c>
      <c r="G274" s="414">
        <f>SUM(G271:G273)</f>
        <v>0.22328042328042327</v>
      </c>
    </row>
    <row r="275" spans="2:7" x14ac:dyDescent="0.2">
      <c r="C275" s="413"/>
      <c r="D275" s="413"/>
      <c r="E275" s="414"/>
      <c r="F275" s="238"/>
      <c r="G275" s="359"/>
    </row>
    <row r="276" spans="2:7" x14ac:dyDescent="0.2">
      <c r="B276" s="407" t="s">
        <v>279</v>
      </c>
      <c r="C276" s="424">
        <f>35487+C274</f>
        <v>36378.432463993769</v>
      </c>
      <c r="D276" s="424">
        <f>35487+D274</f>
        <v>36824.148695990662</v>
      </c>
      <c r="E276" s="426">
        <f>$L$147*G276</f>
        <v>-4.2865995184003386E-3</v>
      </c>
      <c r="F276" s="359">
        <f t="shared" ref="F276:F279" si="152">(D276-C276)/AVERAGE(C276:D276)</f>
        <v>1.2177609721787762E-2</v>
      </c>
      <c r="G276" s="359">
        <f>F276/$M$147</f>
        <v>7.2412025891091993E-3</v>
      </c>
    </row>
    <row r="277" spans="2:7" x14ac:dyDescent="0.2">
      <c r="B277" s="408" t="s">
        <v>280</v>
      </c>
      <c r="C277" s="406">
        <v>0.2009982152814635</v>
      </c>
      <c r="D277" s="422">
        <f>C277</f>
        <v>0.2009982152814635</v>
      </c>
      <c r="E277" s="415">
        <f t="shared" ref="E277:E279" si="153">$L$147*G277</f>
        <v>0</v>
      </c>
      <c r="F277" s="359">
        <f t="shared" si="152"/>
        <v>0</v>
      </c>
      <c r="G277" s="359">
        <f t="shared" ref="G277:G279" si="154">F277/$M$147</f>
        <v>0</v>
      </c>
    </row>
    <row r="278" spans="2:7" x14ac:dyDescent="0.2">
      <c r="B278" s="408" t="s">
        <v>273</v>
      </c>
      <c r="C278" s="405">
        <f>C276*C277</f>
        <v>7312</v>
      </c>
      <c r="D278" s="405">
        <f>D276*D277</f>
        <v>7401.5881671533543</v>
      </c>
      <c r="E278" s="409">
        <f t="shared" si="153"/>
        <v>-4.2865995184003525E-3</v>
      </c>
      <c r="F278" s="359">
        <f t="shared" si="152"/>
        <v>1.2177609721787804E-2</v>
      </c>
      <c r="G278" s="359">
        <f t="shared" si="154"/>
        <v>7.2412025891092236E-3</v>
      </c>
    </row>
    <row r="279" spans="2:7" x14ac:dyDescent="0.2">
      <c r="B279" s="408" t="s">
        <v>274</v>
      </c>
      <c r="C279" s="589">
        <v>1.8137308533916849</v>
      </c>
      <c r="D279" s="423">
        <f>C279</f>
        <v>1.8137308533916849</v>
      </c>
      <c r="E279" s="409">
        <f t="shared" si="153"/>
        <v>0</v>
      </c>
      <c r="F279" s="359">
        <f t="shared" si="152"/>
        <v>0</v>
      </c>
      <c r="G279" s="359">
        <f t="shared" si="154"/>
        <v>0</v>
      </c>
    </row>
    <row r="280" spans="2:7" x14ac:dyDescent="0.2">
      <c r="B280" s="463" t="s">
        <v>275</v>
      </c>
      <c r="C280" s="464">
        <f>C278*C279</f>
        <v>13262</v>
      </c>
      <c r="D280" s="464">
        <f>D278*D279</f>
        <v>13424.488822864851</v>
      </c>
      <c r="E280" s="465">
        <f>C280/D280-1</f>
        <v>-1.2103911367418063E-2</v>
      </c>
      <c r="F280" s="359">
        <f>SUM(F276:F279)</f>
        <v>2.4355219443575566E-2</v>
      </c>
      <c r="G280" s="359">
        <f>SUM(G276:G279)</f>
        <v>1.4482405178218423E-2</v>
      </c>
    </row>
    <row r="281" spans="2:7" x14ac:dyDescent="0.2">
      <c r="B281" s="410" t="s">
        <v>276</v>
      </c>
      <c r="C281" s="411">
        <f>C280/31</f>
        <v>427.80645161290323</v>
      </c>
      <c r="D281" s="411">
        <f>D280/31</f>
        <v>433.04802654402744</v>
      </c>
      <c r="E281" s="425"/>
    </row>
    <row r="282" spans="2:7" x14ac:dyDescent="0.2">
      <c r="D282" s="591">
        <f>D281-C281</f>
        <v>5.2415749311242052</v>
      </c>
      <c r="F282" s="359"/>
      <c r="G282" s="359"/>
    </row>
    <row r="283" spans="2:7" x14ac:dyDescent="0.2">
      <c r="B283" s="41"/>
      <c r="C283" s="457"/>
      <c r="D283" s="447"/>
      <c r="E283" s="42"/>
      <c r="G283" s="359"/>
    </row>
    <row r="284" spans="2:7" x14ac:dyDescent="0.2">
      <c r="B284"/>
      <c r="C284" s="42"/>
      <c r="D284" s="447"/>
      <c r="E284" s="42"/>
      <c r="F284" s="359"/>
      <c r="G284" s="359"/>
    </row>
  </sheetData>
  <mergeCells count="18">
    <mergeCell ref="AP3:BF3"/>
    <mergeCell ref="H33:X33"/>
    <mergeCell ref="Y33:AO33"/>
    <mergeCell ref="AP33:BF33"/>
    <mergeCell ref="AW34:BF34"/>
    <mergeCell ref="H3:X3"/>
    <mergeCell ref="Y3:AO3"/>
    <mergeCell ref="H4:N4"/>
    <mergeCell ref="O4:X4"/>
    <mergeCell ref="Y4:AE4"/>
    <mergeCell ref="AF4:AO4"/>
    <mergeCell ref="H34:N34"/>
    <mergeCell ref="O34:X34"/>
    <mergeCell ref="Y34:AE34"/>
    <mergeCell ref="AF34:AO34"/>
    <mergeCell ref="AP34:AV34"/>
    <mergeCell ref="AP4:AV4"/>
    <mergeCell ref="AW4:B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2E4F-DCAD-460A-AD8A-35C6CC6A5D1A}">
  <sheetPr>
    <tabColor theme="0" tint="-0.14999847407452621"/>
  </sheetPr>
  <dimension ref="A1:N68"/>
  <sheetViews>
    <sheetView showGridLines="0" zoomScale="51" zoomScaleNormal="55" workbookViewId="0">
      <selection activeCell="F6" sqref="F6"/>
    </sheetView>
  </sheetViews>
  <sheetFormatPr baseColWidth="10" defaultColWidth="8.83203125" defaultRowHeight="15" x14ac:dyDescent="0.2"/>
  <cols>
    <col min="1" max="1" width="15" bestFit="1" customWidth="1"/>
    <col min="2" max="2" width="36.33203125" customWidth="1"/>
    <col min="3" max="3" width="20.33203125" bestFit="1" customWidth="1"/>
    <col min="4" max="5" width="19.83203125" bestFit="1" customWidth="1"/>
    <col min="6" max="6" width="18.5" bestFit="1" customWidth="1"/>
    <col min="7" max="7" width="25.33203125" customWidth="1"/>
    <col min="8" max="8" width="18.5" bestFit="1" customWidth="1"/>
    <col min="9" max="9" width="19.1640625" customWidth="1"/>
    <col min="11" max="11" width="27.6640625" customWidth="1"/>
    <col min="12" max="12" width="17.5" customWidth="1"/>
    <col min="13" max="13" width="9.33203125" bestFit="1" customWidth="1"/>
  </cols>
  <sheetData>
    <row r="1" spans="1:12" ht="19" x14ac:dyDescent="0.25">
      <c r="B1" s="69" t="s">
        <v>153</v>
      </c>
    </row>
    <row r="3" spans="1:12" ht="16" x14ac:dyDescent="0.2">
      <c r="B3" s="70" t="s">
        <v>154</v>
      </c>
    </row>
    <row r="4" spans="1:12" x14ac:dyDescent="0.2">
      <c r="B4" s="71" t="s">
        <v>155</v>
      </c>
      <c r="C4" s="72" t="s">
        <v>325</v>
      </c>
      <c r="D4" s="72"/>
      <c r="E4" s="72"/>
      <c r="F4" s="72" t="s">
        <v>156</v>
      </c>
      <c r="G4" s="72" t="s">
        <v>7</v>
      </c>
      <c r="H4" s="72" t="s">
        <v>157</v>
      </c>
      <c r="I4" s="72" t="s">
        <v>8</v>
      </c>
    </row>
    <row r="5" spans="1:12" x14ac:dyDescent="0.2">
      <c r="A5" t="s">
        <v>139</v>
      </c>
      <c r="B5" s="73" t="str">
        <f>'[2]Road to 3k'!C6</f>
        <v>[VDS] - Cashloan</v>
      </c>
      <c r="C5" s="74">
        <f>SUMIFS('Road to 3k v2 (2)'!$H$6:$H$30,'Road to 3k v2 (2)'!$C$6:$C$30,'waterfall 3k'!$B5)</f>
        <v>16402516333.333334</v>
      </c>
      <c r="D5" s="124"/>
      <c r="E5" s="74"/>
      <c r="F5" s="124">
        <f>SUMIFS('Road to 3k v2 (2)'!$I$6:$I$30,'Road to 3k v2 (2)'!$C$6:$C$30,'waterfall 3k'!$B5)</f>
        <v>2000000000</v>
      </c>
      <c r="G5" s="74">
        <f>C5+F5</f>
        <v>18402516333.333336</v>
      </c>
      <c r="H5" s="124"/>
      <c r="I5" s="74">
        <f t="shared" ref="I5:I15" si="0">G5+H5</f>
        <v>18402516333.333336</v>
      </c>
      <c r="J5">
        <v>35</v>
      </c>
      <c r="K5" s="126">
        <v>32</v>
      </c>
      <c r="L5" s="78">
        <v>35</v>
      </c>
    </row>
    <row r="6" spans="1:12" x14ac:dyDescent="0.2">
      <c r="A6" t="s">
        <v>139</v>
      </c>
      <c r="B6" s="73" t="str">
        <f>'[2]Road to 3k'!C9</f>
        <v>[VDS] - Payday</v>
      </c>
      <c r="C6" s="74">
        <f>SUMIFS('Road to 3k v2 (2)'!$H$6:$H$30,'Road to 3k v2 (2)'!$C$6:$C$30,'waterfall 3k'!$B6)</f>
        <v>11100873600</v>
      </c>
      <c r="D6" s="124"/>
      <c r="E6" s="74"/>
      <c r="F6" s="124">
        <f>SUMIFS('Road to 3k v2 (2)'!$I$6:$I$30,'Road to 3k v2 (2)'!$C$6:$C$30,'waterfall 3k'!$B6)</f>
        <v>584256505.26315725</v>
      </c>
      <c r="G6" s="74">
        <f t="shared" ref="G6:G15" si="1">C6+F6</f>
        <v>11685130105.263157</v>
      </c>
      <c r="H6" s="124"/>
      <c r="I6" s="74">
        <f t="shared" si="0"/>
        <v>11685130105.263157</v>
      </c>
      <c r="J6">
        <v>43</v>
      </c>
      <c r="K6" s="126">
        <v>35</v>
      </c>
      <c r="L6" s="78">
        <v>40</v>
      </c>
    </row>
    <row r="7" spans="1:12" x14ac:dyDescent="0.2">
      <c r="A7" t="s">
        <v>152</v>
      </c>
      <c r="B7" s="73" t="str">
        <f>'[2]Road to 3k'!C11</f>
        <v>[Cake] - Cashloan</v>
      </c>
      <c r="C7" s="74">
        <f>SUMIFS('Road to 3k v2 (2)'!$H$6:$H$30,'Road to 3k v2 (2)'!$C$6:$C$30,'waterfall 3k'!$B7)</f>
        <v>14795032333.333334</v>
      </c>
      <c r="D7" s="124"/>
      <c r="E7" s="74"/>
      <c r="F7" s="124">
        <f>SUMIFS('Road to 3k v2 (2)'!$I$6:$I$30,'Road to 3k v2 (2)'!$C$6:$C$30,'waterfall 3k'!$B7)</f>
        <v>7438509700</v>
      </c>
      <c r="G7" s="74">
        <f t="shared" si="1"/>
        <v>22233542033.333336</v>
      </c>
      <c r="H7" s="124"/>
      <c r="I7" s="74">
        <f t="shared" si="0"/>
        <v>22233542033.333336</v>
      </c>
      <c r="J7">
        <v>10</v>
      </c>
      <c r="K7" s="126">
        <v>6</v>
      </c>
      <c r="L7" s="78">
        <v>10</v>
      </c>
    </row>
    <row r="8" spans="1:12" x14ac:dyDescent="0.2">
      <c r="A8" t="s">
        <v>152</v>
      </c>
      <c r="B8" s="73" t="str">
        <f>'[2]Road to 3k'!C14</f>
        <v>[Cake] - Payday</v>
      </c>
      <c r="C8" s="74">
        <f>SUMIFS('Road to 3k v2 (2)'!$H$6:$H$30,'Road to 3k v2 (2)'!$C$6:$C$30,'waterfall 3k'!$B8)</f>
        <v>14191747200</v>
      </c>
      <c r="D8" s="124"/>
      <c r="E8" s="74"/>
      <c r="F8" s="124">
        <f>SUMIFS('Road to 3k v2 (2)'!$I$6:$I$30,'Road to 3k v2 (2)'!$C$6:$C$30,'waterfall 3k'!$B8)</f>
        <v>4128762080</v>
      </c>
      <c r="G8" s="74">
        <f t="shared" si="1"/>
        <v>18320509280</v>
      </c>
      <c r="H8" s="124">
        <f>SUMIFS('Road to 3k v2'!$K$6:$K$30,'Road to 3k v2'!$C$6:$C$30,'waterfall 3k'!B8)</f>
        <v>0</v>
      </c>
      <c r="I8" s="74">
        <f t="shared" si="0"/>
        <v>18320509280</v>
      </c>
      <c r="J8">
        <v>10</v>
      </c>
      <c r="K8" s="126">
        <v>7</v>
      </c>
      <c r="L8" s="78">
        <v>10</v>
      </c>
    </row>
    <row r="9" spans="1:12" x14ac:dyDescent="0.2">
      <c r="A9" t="s">
        <v>145</v>
      </c>
      <c r="B9" s="73" t="str">
        <f>'[2]Road to 3k'!C16</f>
        <v>[ZALOPAY] - Cashloan</v>
      </c>
      <c r="C9" s="74">
        <f>SUMIFS('Road to 3k v2 (2)'!$H$6:$H$30,'Road to 3k v2 (2)'!$C$6:$C$30,'waterfall 3k'!$B9)</f>
        <v>5866076000</v>
      </c>
      <c r="D9" s="124"/>
      <c r="E9" s="74"/>
      <c r="F9" s="124">
        <f>SUMIFS('Road to 3k v2 (2)'!$I$6:$I$30,'Road to 3k v2 (2)'!$C$6:$C$30,'waterfall 3k'!$B9)</f>
        <v>1861006857.1428566</v>
      </c>
      <c r="G9" s="74">
        <f t="shared" si="1"/>
        <v>7727082857.1428566</v>
      </c>
      <c r="H9" s="124">
        <f>'Road to 3k v2 (2)'!K20+'Road to 3k v2 (2)'!K21</f>
        <v>2000000000</v>
      </c>
      <c r="I9" s="74">
        <f t="shared" si="0"/>
        <v>9727082857.1428566</v>
      </c>
      <c r="J9">
        <v>2.2999999999999998</v>
      </c>
      <c r="K9" s="126">
        <v>2.2999999999999998</v>
      </c>
      <c r="L9" s="78">
        <v>2.2999999999999998</v>
      </c>
    </row>
    <row r="10" spans="1:12" x14ac:dyDescent="0.2">
      <c r="A10" t="s">
        <v>146</v>
      </c>
      <c r="B10" s="73" t="str">
        <f>'[2]Road to 3k'!C19</f>
        <v>[MWG] - Cashloan</v>
      </c>
      <c r="C10" s="74">
        <f>SUMIFS('Road to 3k v2 (2)'!$H$6:$H$30,'Road to 3k v2 (2)'!$C$6:$C$30,'waterfall 3k'!$B10)</f>
        <v>2623360666.6666665</v>
      </c>
      <c r="D10" s="124"/>
      <c r="E10" s="74"/>
      <c r="F10" s="124">
        <f>SUMIFS('Road to 3k v2 (2)'!$I$6:$I$30,'Road to 3k v2 (2)'!$C$6:$C$30,'waterfall 3k'!$B10)</f>
        <v>2262336066.666667</v>
      </c>
      <c r="G10" s="74">
        <f t="shared" si="1"/>
        <v>4885696733.333334</v>
      </c>
      <c r="H10" s="124">
        <f>SUMIFS('Road to 3k v2'!$K$6:$K$30,'Road to 3k v2'!$C$6:$C$30,'waterfall 3k'!B10)</f>
        <v>0</v>
      </c>
      <c r="I10" s="74">
        <f t="shared" si="0"/>
        <v>4885696733.333334</v>
      </c>
      <c r="J10">
        <v>1</v>
      </c>
      <c r="K10" s="126">
        <v>0.7</v>
      </c>
      <c r="L10" s="78">
        <v>1</v>
      </c>
    </row>
    <row r="11" spans="1:12" x14ac:dyDescent="0.2">
      <c r="A11" t="s">
        <v>146</v>
      </c>
      <c r="B11" s="73" t="str">
        <f>'[2]Road to 3k'!C21</f>
        <v>[MWG] - Paylater (QTV)</v>
      </c>
      <c r="C11" s="74">
        <f>SUMIFS('Road to 3k v2 (2)'!$H$6:$H$30,'Road to 3k v2 (2)'!$C$6:$C$30,'waterfall 3k'!$B11)</f>
        <v>1152428870.8333333</v>
      </c>
      <c r="D11" s="124"/>
      <c r="E11" s="74"/>
      <c r="F11" s="124">
        <f>SUMIFS('Road to 3k v2 (2)'!$I$6:$I$30,'Road to 3k v2 (2)'!$C$6:$C$30,'waterfall 3k'!$B11)</f>
        <v>2300000000</v>
      </c>
      <c r="G11" s="74">
        <f t="shared" si="1"/>
        <v>3452428870.833333</v>
      </c>
      <c r="H11" s="124">
        <f>'Road to 3k v2 (2)'!K27</f>
        <v>2000000000</v>
      </c>
      <c r="I11" s="74">
        <f t="shared" si="0"/>
        <v>5452428870.833333</v>
      </c>
      <c r="J11">
        <v>4</v>
      </c>
      <c r="K11" s="126">
        <v>4</v>
      </c>
      <c r="L11" s="78">
        <v>4</v>
      </c>
    </row>
    <row r="12" spans="1:12" x14ac:dyDescent="0.2">
      <c r="A12" t="s">
        <v>169</v>
      </c>
      <c r="B12" s="73" t="str">
        <f>'[2]Road to 3k'!C23</f>
        <v>[VNPAY]</v>
      </c>
      <c r="C12" s="74">
        <f>SUMIFS('Road to 3k v2 (2)'!$H$6:$H$30,'Road to 3k v2 (2)'!$C$6:$C$30,'waterfall 3k'!$B12)</f>
        <v>1515857146.2666667</v>
      </c>
      <c r="D12" s="124"/>
      <c r="E12" s="74"/>
      <c r="F12" s="124">
        <f>SUMIFS('Road to 3k v2 (2)'!$I$6:$I$30,'Road to 3k v2 (2)'!$C$6:$C$30,'waterfall 3k'!$B12)</f>
        <v>700000000</v>
      </c>
      <c r="G12" s="74">
        <f t="shared" si="1"/>
        <v>2215857146.2666664</v>
      </c>
      <c r="H12" s="124">
        <f>SUMIFS('Road to 3k v2'!$K$6:$K$30,'Road to 3k v2'!$C$6:$C$30,'waterfall 3k'!B12)</f>
        <v>0</v>
      </c>
      <c r="I12" s="74">
        <f t="shared" si="0"/>
        <v>2215857146.2666664</v>
      </c>
    </row>
    <row r="13" spans="1:12" x14ac:dyDescent="0.2">
      <c r="A13" t="s">
        <v>147</v>
      </c>
      <c r="B13" s="73" t="s">
        <v>45</v>
      </c>
      <c r="C13" s="74">
        <f>SUMIFS('Road to 3k v2 (2)'!$H$6:$H$30,'Road to 3k v2 (2)'!$C$6:$C$30,'waterfall 3k'!$B13)</f>
        <v>0</v>
      </c>
      <c r="D13" s="124"/>
      <c r="E13" s="74"/>
      <c r="F13" s="124">
        <f>SUMIFS('Road to 3k v2 (2)'!$I$6:$I$30,'Road to 3k v2 (2)'!$C$6:$C$30,'waterfall 3k'!$B13)</f>
        <v>700000000</v>
      </c>
      <c r="G13" s="74">
        <f t="shared" si="1"/>
        <v>700000000</v>
      </c>
      <c r="H13" s="124">
        <f>'Road to 3k v2 (2)'!K29</f>
        <v>300000000</v>
      </c>
      <c r="I13" s="74">
        <f t="shared" si="0"/>
        <v>1000000000</v>
      </c>
    </row>
    <row r="14" spans="1:12" x14ac:dyDescent="0.2">
      <c r="A14" t="s">
        <v>46</v>
      </c>
      <c r="B14" s="73" t="str">
        <f>'[2]Road to 3k'!C25</f>
        <v>Others</v>
      </c>
      <c r="C14" s="74">
        <f>SUMIFS('Road to 3k v2 (2)'!$H$6:$H$30,'Road to 3k v2 (2)'!$C$6:$C$30,'waterfall 3k'!$B14)</f>
        <v>3815496727.066658</v>
      </c>
      <c r="D14" s="124"/>
      <c r="E14" s="74"/>
      <c r="F14" s="124">
        <f>SUMIFS('Road to 3k v2 (2)'!$I$6:$I$30,'Road to 3k v2 (2)'!$C$6:$C$30,'waterfall 3k'!$B14)</f>
        <v>0</v>
      </c>
      <c r="G14" s="74">
        <f t="shared" si="1"/>
        <v>3815496727.066658</v>
      </c>
      <c r="H14" s="124">
        <f>SUMIFS('Road to 3k v2'!$K$6:$K$30,'Road to 3k v2'!$C$6:$C$30,'waterfall 3k'!B14)</f>
        <v>0</v>
      </c>
      <c r="I14" s="74">
        <f t="shared" si="0"/>
        <v>3815496727.066658</v>
      </c>
    </row>
    <row r="15" spans="1:12" x14ac:dyDescent="0.2">
      <c r="B15" s="71" t="s">
        <v>47</v>
      </c>
      <c r="C15" s="75">
        <f>SUM(C5:C14)</f>
        <v>71463388877.5</v>
      </c>
      <c r="D15" s="125"/>
      <c r="E15" s="75"/>
      <c r="F15" s="75">
        <f>SUM(F5:F14)</f>
        <v>21974871209.072681</v>
      </c>
      <c r="G15" s="75">
        <f t="shared" si="1"/>
        <v>93438260086.572678</v>
      </c>
      <c r="H15" s="75">
        <f>SUM(H5:H14)</f>
        <v>4300000000</v>
      </c>
      <c r="I15" s="75">
        <f t="shared" si="0"/>
        <v>97738260086.572678</v>
      </c>
    </row>
    <row r="16" spans="1:12" x14ac:dyDescent="0.2">
      <c r="F16" s="68">
        <v>17107128755.726158</v>
      </c>
      <c r="G16" s="14">
        <f>G15-'Road to 3k v2'!J31</f>
        <v>47119754054.091476</v>
      </c>
    </row>
    <row r="17" spans="2:14" ht="16" x14ac:dyDescent="0.2">
      <c r="B17" s="70" t="s">
        <v>158</v>
      </c>
      <c r="F17" s="477">
        <f>F16-F15</f>
        <v>-4867742453.3465233</v>
      </c>
      <c r="I17" s="65">
        <f>I18/30</f>
        <v>71.463388877499995</v>
      </c>
      <c r="J17" s="65">
        <f>I18/11</f>
        <v>194.90015148409091</v>
      </c>
      <c r="K17" s="70"/>
    </row>
    <row r="18" spans="2:14" x14ac:dyDescent="0.2">
      <c r="B18" s="76" t="s">
        <v>159</v>
      </c>
      <c r="C18" s="76" t="s">
        <v>160</v>
      </c>
      <c r="D18" s="76" t="s">
        <v>161</v>
      </c>
      <c r="E18" s="76" t="s">
        <v>162</v>
      </c>
      <c r="G18" s="76" t="s">
        <v>159</v>
      </c>
      <c r="H18" s="76" t="s">
        <v>162</v>
      </c>
      <c r="I18" s="68">
        <f>I19-I27</f>
        <v>2143.901666325</v>
      </c>
      <c r="K18" s="76" t="s">
        <v>172</v>
      </c>
      <c r="L18" s="76" t="s">
        <v>162</v>
      </c>
      <c r="M18" s="77"/>
      <c r="N18" s="77"/>
    </row>
    <row r="19" spans="2:14" x14ac:dyDescent="0.2">
      <c r="B19" t="s">
        <v>6</v>
      </c>
      <c r="C19" s="68">
        <f>C15</f>
        <v>71463388877.5</v>
      </c>
      <c r="D19" t="s">
        <v>47</v>
      </c>
      <c r="E19" s="78">
        <f t="shared" ref="E19:E38" si="2">C19/1000000000</f>
        <v>71.463388877499995</v>
      </c>
      <c r="G19" t="str">
        <f>B19</f>
        <v>Daily_Apr</v>
      </c>
      <c r="H19" s="79">
        <f t="shared" ref="H19:H38" si="3">E19</f>
        <v>71.463388877499995</v>
      </c>
      <c r="I19" s="68">
        <f>H19*30</f>
        <v>2143.901666325</v>
      </c>
      <c r="K19" s="83" t="str">
        <f>G19</f>
        <v>Daily_Apr</v>
      </c>
      <c r="L19" s="193">
        <f>H19</f>
        <v>71.463388877499995</v>
      </c>
    </row>
    <row r="20" spans="2:14" x14ac:dyDescent="0.2">
      <c r="B20" t="str">
        <f>B5</f>
        <v>[VDS] - Cashloan</v>
      </c>
      <c r="C20" s="68">
        <f>D5</f>
        <v>0</v>
      </c>
      <c r="E20" s="78">
        <f t="shared" si="2"/>
        <v>0</v>
      </c>
      <c r="G20" t="s">
        <v>163</v>
      </c>
      <c r="H20" s="78"/>
      <c r="I20" s="68">
        <v>1421.314986907</v>
      </c>
      <c r="K20" t="s">
        <v>139</v>
      </c>
      <c r="L20" s="126">
        <f>SUMIFS($D$5:$D$14,$A$5:$A$14,K20)/1000000000</f>
        <v>0</v>
      </c>
    </row>
    <row r="21" spans="2:14" x14ac:dyDescent="0.2">
      <c r="B21" t="str">
        <f t="shared" ref="B21:B26" si="4">B7</f>
        <v>[Cake] - Cashloan</v>
      </c>
      <c r="C21" s="68">
        <f t="shared" ref="C21:C26" si="5">D7</f>
        <v>0</v>
      </c>
      <c r="E21" s="78">
        <f t="shared" si="2"/>
        <v>0</v>
      </c>
      <c r="G21" t="s">
        <v>164</v>
      </c>
      <c r="H21" s="78">
        <f t="shared" si="3"/>
        <v>0</v>
      </c>
      <c r="I21" s="68">
        <f>I20-I27</f>
        <v>1421.314986907</v>
      </c>
      <c r="K21" t="s">
        <v>144</v>
      </c>
      <c r="L21" s="126">
        <f t="shared" ref="L21:L24" si="6">SUMIFS($D$5:$D$14,$A$5:$A$14,K21)/1000000000</f>
        <v>0</v>
      </c>
    </row>
    <row r="22" spans="2:14" x14ac:dyDescent="0.2">
      <c r="B22" t="str">
        <f t="shared" si="4"/>
        <v>[Cake] - Payday</v>
      </c>
      <c r="C22" s="68">
        <f t="shared" si="5"/>
        <v>0</v>
      </c>
      <c r="E22" s="78">
        <f t="shared" si="2"/>
        <v>0</v>
      </c>
      <c r="G22" t="s">
        <v>165</v>
      </c>
      <c r="H22" s="78"/>
      <c r="I22" s="126">
        <f>I21/11</f>
        <v>129.21045335518181</v>
      </c>
      <c r="K22" t="s">
        <v>145</v>
      </c>
      <c r="L22" s="126">
        <f>SUMIFS($D$5:$D$14,$A$5:$A$14,K22)/1000000000</f>
        <v>0</v>
      </c>
    </row>
    <row r="23" spans="2:14" x14ac:dyDescent="0.2">
      <c r="B23" t="str">
        <f t="shared" si="4"/>
        <v>[ZALOPAY] - Cashloan</v>
      </c>
      <c r="C23" s="68">
        <f t="shared" si="5"/>
        <v>0</v>
      </c>
      <c r="E23" s="78">
        <f t="shared" si="2"/>
        <v>0</v>
      </c>
      <c r="G23" t="s">
        <v>166</v>
      </c>
      <c r="H23" s="78"/>
      <c r="K23" t="s">
        <v>146</v>
      </c>
      <c r="L23" s="126">
        <f t="shared" si="6"/>
        <v>0</v>
      </c>
    </row>
    <row r="24" spans="2:14" x14ac:dyDescent="0.2">
      <c r="B24" t="str">
        <f t="shared" si="4"/>
        <v>[MWG] - Cashloan</v>
      </c>
      <c r="C24" s="68">
        <f t="shared" si="5"/>
        <v>0</v>
      </c>
      <c r="E24" s="78">
        <f t="shared" si="2"/>
        <v>0</v>
      </c>
      <c r="G24" t="s">
        <v>167</v>
      </c>
      <c r="H24" s="78"/>
      <c r="K24" t="s">
        <v>169</v>
      </c>
      <c r="L24" s="126">
        <f t="shared" si="6"/>
        <v>0</v>
      </c>
    </row>
    <row r="25" spans="2:14" x14ac:dyDescent="0.2">
      <c r="B25" t="str">
        <f t="shared" si="4"/>
        <v>[MWG] - Paylater (QTV)</v>
      </c>
      <c r="C25" s="68">
        <f t="shared" si="5"/>
        <v>0</v>
      </c>
      <c r="E25" s="78">
        <f t="shared" si="2"/>
        <v>0</v>
      </c>
      <c r="G25" t="s">
        <v>168</v>
      </c>
      <c r="H25" s="78">
        <f t="shared" si="3"/>
        <v>0</v>
      </c>
      <c r="K25" t="s">
        <v>147</v>
      </c>
      <c r="L25" s="126">
        <f>SUMIFS($D$5:$D$14,$A$5:$A$14,K25)/1000000000</f>
        <v>0</v>
      </c>
    </row>
    <row r="26" spans="2:14" x14ac:dyDescent="0.2">
      <c r="B26" t="str">
        <f t="shared" si="4"/>
        <v>[VNPAY]</v>
      </c>
      <c r="C26" s="68">
        <f t="shared" si="5"/>
        <v>0</v>
      </c>
      <c r="E26" s="78">
        <f t="shared" si="2"/>
        <v>0</v>
      </c>
      <c r="G26" t="s">
        <v>169</v>
      </c>
      <c r="H26" s="78"/>
      <c r="K26" t="s">
        <v>148</v>
      </c>
      <c r="L26" s="126">
        <f>SUMIFS($D$5:$D$14,$A$5:$A$14,K26)/1000000000</f>
        <v>0</v>
      </c>
    </row>
    <row r="27" spans="2:14" x14ac:dyDescent="0.2">
      <c r="B27" t="s">
        <v>241</v>
      </c>
      <c r="C27" s="68">
        <f>E15</f>
        <v>0</v>
      </c>
      <c r="D27" t="s">
        <v>47</v>
      </c>
      <c r="E27" s="78">
        <f t="shared" si="2"/>
        <v>0</v>
      </c>
      <c r="G27" t="str">
        <f>B27</f>
        <v>Daily_Apr_Target</v>
      </c>
      <c r="H27" s="78"/>
      <c r="I27" s="68">
        <f>H27*30</f>
        <v>0</v>
      </c>
      <c r="K27" s="83" t="str">
        <f>G27</f>
        <v>Daily_Apr_Target</v>
      </c>
      <c r="L27" s="194">
        <f>SUM(L19:L26)</f>
        <v>71.463388877499995</v>
      </c>
      <c r="M27" s="68">
        <f>L27*30</f>
        <v>2143.901666325</v>
      </c>
    </row>
    <row r="28" spans="2:14" x14ac:dyDescent="0.2">
      <c r="B28" t="str">
        <f>B5</f>
        <v>[VDS] - Cashloan</v>
      </c>
      <c r="C28" s="68">
        <f>F5</f>
        <v>2000000000</v>
      </c>
      <c r="E28" s="78">
        <f t="shared" si="2"/>
        <v>2</v>
      </c>
      <c r="G28" t="s">
        <v>163</v>
      </c>
      <c r="H28" s="78"/>
      <c r="K28" t="s">
        <v>139</v>
      </c>
      <c r="L28" s="476">
        <f>SUMIFS($F$5:$F$14,$A$5:$A$14,K28)/1000000000</f>
        <v>2.5842565052631574</v>
      </c>
    </row>
    <row r="29" spans="2:14" x14ac:dyDescent="0.2">
      <c r="B29" t="str">
        <f>B6</f>
        <v>[VDS] - Payday</v>
      </c>
      <c r="C29" s="68">
        <f>F6</f>
        <v>584256505.26315725</v>
      </c>
      <c r="E29" s="78">
        <f t="shared" si="2"/>
        <v>0.5842565052631572</v>
      </c>
      <c r="G29" t="s">
        <v>170</v>
      </c>
      <c r="H29" s="78"/>
      <c r="K29" t="s">
        <v>144</v>
      </c>
      <c r="L29" s="476">
        <f t="shared" ref="L29:L32" si="7">SUMIFS($F$5:$F$14,$A$5:$A$14,K29)/1000000000</f>
        <v>11.56727178</v>
      </c>
    </row>
    <row r="30" spans="2:14" x14ac:dyDescent="0.2">
      <c r="B30" t="str">
        <f>B10</f>
        <v>[MWG] - Cashloan</v>
      </c>
      <c r="C30" s="68">
        <f>F10</f>
        <v>2262336066.666667</v>
      </c>
      <c r="E30" s="78">
        <f t="shared" si="2"/>
        <v>2.2623360666666672</v>
      </c>
      <c r="G30" t="s">
        <v>167</v>
      </c>
      <c r="H30" s="78"/>
      <c r="K30" t="s">
        <v>145</v>
      </c>
      <c r="L30" s="476">
        <f t="shared" si="7"/>
        <v>1.8610068571428566</v>
      </c>
    </row>
    <row r="31" spans="2:14" x14ac:dyDescent="0.2">
      <c r="B31" t="str">
        <f>B11</f>
        <v>[MWG] - Paylater (QTV)</v>
      </c>
      <c r="C31" s="68">
        <f>F11</f>
        <v>2300000000</v>
      </c>
      <c r="E31" s="78">
        <f t="shared" si="2"/>
        <v>2.2999999999999998</v>
      </c>
      <c r="G31" t="s">
        <v>168</v>
      </c>
      <c r="H31" s="78"/>
      <c r="K31" t="s">
        <v>146</v>
      </c>
      <c r="L31" s="476">
        <f t="shared" si="7"/>
        <v>4.562336066666667</v>
      </c>
    </row>
    <row r="32" spans="2:14" x14ac:dyDescent="0.2">
      <c r="B32" t="s">
        <v>7</v>
      </c>
      <c r="C32" s="68">
        <f>G15</f>
        <v>93438260086.572678</v>
      </c>
      <c r="D32" t="s">
        <v>47</v>
      </c>
      <c r="E32" s="78">
        <f t="shared" si="2"/>
        <v>93.438260086572683</v>
      </c>
      <c r="G32" t="str">
        <f>B32</f>
        <v>Daily_May</v>
      </c>
      <c r="H32" s="78">
        <f t="shared" si="3"/>
        <v>93.438260086572683</v>
      </c>
      <c r="I32" s="68">
        <f>H32*31</f>
        <v>2896.586062683753</v>
      </c>
      <c r="K32" t="s">
        <v>169</v>
      </c>
      <c r="L32" s="476">
        <f t="shared" si="7"/>
        <v>0.7</v>
      </c>
    </row>
    <row r="33" spans="2:13" x14ac:dyDescent="0.2">
      <c r="B33" t="str">
        <f>B5</f>
        <v>[VDS] - Cashloan</v>
      </c>
      <c r="C33" s="68">
        <f>H5</f>
        <v>0</v>
      </c>
      <c r="E33" s="78">
        <f t="shared" si="2"/>
        <v>0</v>
      </c>
      <c r="G33" t="s">
        <v>163</v>
      </c>
      <c r="H33" s="78">
        <f t="shared" si="3"/>
        <v>0</v>
      </c>
      <c r="K33" t="s">
        <v>147</v>
      </c>
      <c r="L33" s="476">
        <f>SUMIFS($F$5:$F$14,$A$5:$A$14,K33)/1000000000</f>
        <v>0.7</v>
      </c>
    </row>
    <row r="34" spans="2:13" x14ac:dyDescent="0.2">
      <c r="B34" t="str">
        <f>B7</f>
        <v>[Cake] - Cashloan</v>
      </c>
      <c r="C34" s="68">
        <f>H7</f>
        <v>0</v>
      </c>
      <c r="E34" s="78">
        <f t="shared" si="2"/>
        <v>0</v>
      </c>
      <c r="G34" t="s">
        <v>164</v>
      </c>
      <c r="H34" s="78">
        <f t="shared" si="3"/>
        <v>0</v>
      </c>
      <c r="K34" t="s">
        <v>148</v>
      </c>
      <c r="L34" s="476">
        <f>SUMIFS($F$5:$F$14,$A$5:$A$14,K34)/1000000000</f>
        <v>0</v>
      </c>
    </row>
    <row r="35" spans="2:13" x14ac:dyDescent="0.2">
      <c r="B35" t="str">
        <f>B9</f>
        <v>[ZALOPAY] - Cashloan</v>
      </c>
      <c r="C35" s="68">
        <f>H9</f>
        <v>2000000000</v>
      </c>
      <c r="E35" s="78">
        <f t="shared" si="2"/>
        <v>2</v>
      </c>
      <c r="G35" t="s">
        <v>166</v>
      </c>
      <c r="H35" s="78">
        <f t="shared" si="3"/>
        <v>2</v>
      </c>
      <c r="K35" s="83" t="str">
        <f>G32</f>
        <v>Daily_May</v>
      </c>
      <c r="L35" s="193">
        <f>SUM(L27:L34)</f>
        <v>93.438260086572683</v>
      </c>
      <c r="M35" s="68">
        <f>L35*31</f>
        <v>2896.586062683753</v>
      </c>
    </row>
    <row r="36" spans="2:13" x14ac:dyDescent="0.2">
      <c r="B36" t="str">
        <f>B11</f>
        <v>[MWG] - Paylater (QTV)</v>
      </c>
      <c r="C36" s="68">
        <f>H11</f>
        <v>2000000000</v>
      </c>
      <c r="E36" s="78">
        <f t="shared" si="2"/>
        <v>2</v>
      </c>
      <c r="G36" t="s">
        <v>168</v>
      </c>
      <c r="H36" s="78">
        <f t="shared" si="3"/>
        <v>2</v>
      </c>
      <c r="K36" t="s">
        <v>139</v>
      </c>
      <c r="L36" s="126">
        <f>SUMIFS($H$5:$H$14,$A$5:$A$14,K36)/1000000000</f>
        <v>0</v>
      </c>
    </row>
    <row r="37" spans="2:13" x14ac:dyDescent="0.2">
      <c r="B37" t="str">
        <f>B13</f>
        <v>[FIZA] - Payday</v>
      </c>
      <c r="C37" s="68">
        <f>H13</f>
        <v>300000000</v>
      </c>
      <c r="E37" s="78">
        <f t="shared" si="2"/>
        <v>0.3</v>
      </c>
      <c r="G37" t="str">
        <f>B37</f>
        <v>[FIZA] - Payday</v>
      </c>
      <c r="H37" s="78">
        <f t="shared" si="3"/>
        <v>0.3</v>
      </c>
      <c r="K37" t="s">
        <v>144</v>
      </c>
      <c r="L37" s="126">
        <f t="shared" ref="L37:L42" si="8">SUMIFS($H$5:$H$14,$A$5:$A$14,K37)/1000000000</f>
        <v>0</v>
      </c>
    </row>
    <row r="38" spans="2:13" x14ac:dyDescent="0.2">
      <c r="B38" t="s">
        <v>8</v>
      </c>
      <c r="C38" s="68">
        <f>I15</f>
        <v>97738260086.572678</v>
      </c>
      <c r="D38" t="s">
        <v>47</v>
      </c>
      <c r="E38" s="78">
        <f t="shared" si="2"/>
        <v>97.73826008657268</v>
      </c>
      <c r="G38" t="str">
        <f>B38</f>
        <v>Daily_Jun</v>
      </c>
      <c r="H38" s="79">
        <f t="shared" si="3"/>
        <v>97.73826008657268</v>
      </c>
      <c r="I38" s="68">
        <f>H38*30</f>
        <v>2932.1478025971805</v>
      </c>
      <c r="K38" t="s">
        <v>145</v>
      </c>
      <c r="L38" s="126">
        <f t="shared" si="8"/>
        <v>2</v>
      </c>
    </row>
    <row r="39" spans="2:13" x14ac:dyDescent="0.2">
      <c r="K39" t="s">
        <v>146</v>
      </c>
      <c r="L39" s="126">
        <f t="shared" si="8"/>
        <v>2</v>
      </c>
    </row>
    <row r="40" spans="2:13" x14ac:dyDescent="0.2">
      <c r="K40" t="s">
        <v>169</v>
      </c>
      <c r="L40" s="126">
        <f t="shared" si="8"/>
        <v>0</v>
      </c>
    </row>
    <row r="41" spans="2:13" x14ac:dyDescent="0.2">
      <c r="K41" t="s">
        <v>147</v>
      </c>
      <c r="L41" s="126">
        <f t="shared" si="8"/>
        <v>0.3</v>
      </c>
    </row>
    <row r="42" spans="2:13" x14ac:dyDescent="0.2">
      <c r="K42" t="s">
        <v>148</v>
      </c>
      <c r="L42" s="126">
        <f t="shared" si="8"/>
        <v>0</v>
      </c>
    </row>
    <row r="43" spans="2:13" x14ac:dyDescent="0.2">
      <c r="K43" s="83" t="str">
        <f>G38</f>
        <v>Daily_Jun</v>
      </c>
      <c r="L43" s="195">
        <f>SUM(L35:L42)</f>
        <v>97.73826008657268</v>
      </c>
      <c r="M43" s="68">
        <f>L43*30</f>
        <v>2932.1478025971805</v>
      </c>
    </row>
    <row r="44" spans="2:13" x14ac:dyDescent="0.2">
      <c r="G44">
        <v>35</v>
      </c>
      <c r="H44">
        <v>38</v>
      </c>
    </row>
    <row r="45" spans="2:13" x14ac:dyDescent="0.2">
      <c r="G45">
        <v>37</v>
      </c>
      <c r="H45">
        <v>40</v>
      </c>
    </row>
    <row r="46" spans="2:13" x14ac:dyDescent="0.2">
      <c r="G46">
        <v>8</v>
      </c>
      <c r="H46">
        <v>9</v>
      </c>
    </row>
    <row r="47" spans="2:13" x14ac:dyDescent="0.2">
      <c r="G47">
        <v>8</v>
      </c>
      <c r="H47">
        <v>10</v>
      </c>
    </row>
    <row r="48" spans="2:13" x14ac:dyDescent="0.2">
      <c r="G48">
        <v>2.2999999999999998</v>
      </c>
      <c r="H48">
        <v>2.2999999999999998</v>
      </c>
    </row>
    <row r="49" spans="7:13" x14ac:dyDescent="0.2">
      <c r="G49">
        <v>0.7</v>
      </c>
      <c r="H49">
        <v>1</v>
      </c>
    </row>
    <row r="50" spans="7:13" x14ac:dyDescent="0.2">
      <c r="G50">
        <v>3.1</v>
      </c>
      <c r="H50">
        <v>3</v>
      </c>
    </row>
    <row r="51" spans="7:13" x14ac:dyDescent="0.2">
      <c r="K51" s="76" t="s">
        <v>172</v>
      </c>
      <c r="L51" s="76" t="s">
        <v>162</v>
      </c>
    </row>
    <row r="52" spans="7:13" x14ac:dyDescent="0.2">
      <c r="K52" s="83" t="s">
        <v>325</v>
      </c>
      <c r="L52" s="193">
        <f>L19</f>
        <v>71.463388877499995</v>
      </c>
      <c r="M52" s="68">
        <f>L52*30</f>
        <v>2143.901666325</v>
      </c>
    </row>
    <row r="53" spans="7:13" x14ac:dyDescent="0.2">
      <c r="K53" t="s">
        <v>139</v>
      </c>
      <c r="L53" s="475">
        <f>SUM(L20,L28)</f>
        <v>2.5842565052631574</v>
      </c>
    </row>
    <row r="54" spans="7:13" x14ac:dyDescent="0.2">
      <c r="K54" t="s">
        <v>144</v>
      </c>
      <c r="L54" s="475">
        <f t="shared" ref="L54:L59" si="9">SUM(L21,L29)</f>
        <v>11.56727178</v>
      </c>
    </row>
    <row r="55" spans="7:13" x14ac:dyDescent="0.2">
      <c r="K55" t="s">
        <v>145</v>
      </c>
      <c r="L55" s="475">
        <f t="shared" si="9"/>
        <v>1.8610068571428566</v>
      </c>
    </row>
    <row r="56" spans="7:13" x14ac:dyDescent="0.2">
      <c r="K56" t="s">
        <v>146</v>
      </c>
      <c r="L56" s="475">
        <f t="shared" si="9"/>
        <v>4.562336066666667</v>
      </c>
    </row>
    <row r="57" spans="7:13" x14ac:dyDescent="0.2">
      <c r="K57" t="s">
        <v>169</v>
      </c>
      <c r="L57" s="475">
        <f t="shared" si="9"/>
        <v>0.7</v>
      </c>
    </row>
    <row r="58" spans="7:13" x14ac:dyDescent="0.2">
      <c r="K58" t="s">
        <v>147</v>
      </c>
      <c r="L58" s="475">
        <f t="shared" si="9"/>
        <v>0.7</v>
      </c>
    </row>
    <row r="59" spans="7:13" x14ac:dyDescent="0.2">
      <c r="K59" t="s">
        <v>148</v>
      </c>
      <c r="L59" s="475">
        <f t="shared" si="9"/>
        <v>0</v>
      </c>
    </row>
    <row r="60" spans="7:13" x14ac:dyDescent="0.2">
      <c r="K60" s="83" t="s">
        <v>7</v>
      </c>
      <c r="L60" s="193">
        <f>SUM(L52:L59)</f>
        <v>93.438260086572683</v>
      </c>
      <c r="M60" s="68">
        <f>L60*31</f>
        <v>2896.586062683753</v>
      </c>
    </row>
    <row r="61" spans="7:13" x14ac:dyDescent="0.2">
      <c r="K61" t="s">
        <v>139</v>
      </c>
      <c r="L61" s="475">
        <f>L36</f>
        <v>0</v>
      </c>
    </row>
    <row r="62" spans="7:13" x14ac:dyDescent="0.2">
      <c r="K62" t="s">
        <v>144</v>
      </c>
      <c r="L62" s="475">
        <f t="shared" ref="L62:L67" si="10">L37</f>
        <v>0</v>
      </c>
    </row>
    <row r="63" spans="7:13" x14ac:dyDescent="0.2">
      <c r="K63" t="s">
        <v>145</v>
      </c>
      <c r="L63" s="475">
        <f t="shared" si="10"/>
        <v>2</v>
      </c>
    </row>
    <row r="64" spans="7:13" x14ac:dyDescent="0.2">
      <c r="K64" t="s">
        <v>146</v>
      </c>
      <c r="L64" s="475">
        <f t="shared" si="10"/>
        <v>2</v>
      </c>
    </row>
    <row r="65" spans="11:13" x14ac:dyDescent="0.2">
      <c r="K65" t="s">
        <v>169</v>
      </c>
      <c r="L65" s="475">
        <f t="shared" si="10"/>
        <v>0</v>
      </c>
    </row>
    <row r="66" spans="11:13" x14ac:dyDescent="0.2">
      <c r="K66" t="s">
        <v>147</v>
      </c>
      <c r="L66" s="475">
        <f t="shared" si="10"/>
        <v>0.3</v>
      </c>
    </row>
    <row r="67" spans="11:13" x14ac:dyDescent="0.2">
      <c r="K67" t="s">
        <v>148</v>
      </c>
      <c r="L67" s="475">
        <f t="shared" si="10"/>
        <v>0</v>
      </c>
    </row>
    <row r="68" spans="11:13" x14ac:dyDescent="0.2">
      <c r="K68" s="83" t="s">
        <v>8</v>
      </c>
      <c r="L68" s="193">
        <f>SUM(L60:L67)</f>
        <v>97.73826008657268</v>
      </c>
      <c r="M68" s="68">
        <f>L68*30</f>
        <v>2932.1478025971805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6B1E-82BC-4340-A6CD-8C4425A12817}">
  <sheetPr>
    <tabColor theme="0" tint="-0.14999847407452621"/>
  </sheetPr>
  <dimension ref="A2:J51"/>
  <sheetViews>
    <sheetView showGridLines="0" topLeftCell="B16" zoomScale="70" zoomScaleNormal="70" workbookViewId="0">
      <selection activeCell="H33" sqref="H33"/>
    </sheetView>
  </sheetViews>
  <sheetFormatPr baseColWidth="10" defaultColWidth="8.83203125" defaultRowHeight="15" x14ac:dyDescent="0.2"/>
  <cols>
    <col min="1" max="2" width="32.6640625" customWidth="1"/>
    <col min="3" max="4" width="21.83203125" customWidth="1"/>
    <col min="5" max="5" width="35.5" customWidth="1"/>
    <col min="6" max="6" width="27.33203125" bestFit="1" customWidth="1"/>
    <col min="7" max="7" width="22.6640625" bestFit="1" customWidth="1"/>
    <col min="8" max="8" width="15.83203125" customWidth="1"/>
    <col min="9" max="9" width="11.33203125" customWidth="1"/>
    <col min="10" max="10" width="15.83203125" bestFit="1" customWidth="1"/>
    <col min="14" max="14" width="8.83203125" customWidth="1"/>
  </cols>
  <sheetData>
    <row r="2" spans="1:10" x14ac:dyDescent="0.2">
      <c r="G2">
        <v>10</v>
      </c>
    </row>
    <row r="3" spans="1:10" x14ac:dyDescent="0.2">
      <c r="G3" s="80">
        <v>5</v>
      </c>
      <c r="H3" s="80"/>
      <c r="I3" s="80"/>
    </row>
    <row r="4" spans="1:10" x14ac:dyDescent="0.2">
      <c r="A4" s="81"/>
      <c r="B4" s="81"/>
      <c r="C4" s="81"/>
      <c r="D4" s="81"/>
      <c r="E4" s="82" t="s">
        <v>171</v>
      </c>
      <c r="F4" s="83" t="s">
        <v>172</v>
      </c>
      <c r="G4" s="84" t="s">
        <v>240</v>
      </c>
      <c r="H4" s="84" t="s">
        <v>299</v>
      </c>
      <c r="I4" s="84" t="s">
        <v>173</v>
      </c>
      <c r="J4" s="84" t="s">
        <v>174</v>
      </c>
    </row>
    <row r="5" spans="1:10" x14ac:dyDescent="0.2">
      <c r="A5" s="81"/>
      <c r="B5" s="81"/>
      <c r="C5" s="81"/>
      <c r="D5" s="81"/>
      <c r="E5" s="81" t="s">
        <v>11</v>
      </c>
      <c r="F5" t="s">
        <v>11</v>
      </c>
      <c r="G5" s="68">
        <f>IFERROR(GETPIVOTDATA("Total",source!$K$4,"Year",2026,"Month",'Tracking daily Target'!G$3,"Product_use",'Tracking daily Target'!$E5)/$G$2,0)</f>
        <v>16811778000</v>
      </c>
      <c r="H5" s="68">
        <f>VLOOKUP(F5,'waterfall 3k'!$B$4:$G$15,6,0)</f>
        <v>18402516333.333336</v>
      </c>
      <c r="I5" s="85">
        <f>G5/H5</f>
        <v>0.91355865119098101</v>
      </c>
      <c r="J5" s="68">
        <f>G5-H5</f>
        <v>-1590738333.3333359</v>
      </c>
    </row>
    <row r="6" spans="1:10" x14ac:dyDescent="0.2">
      <c r="A6" s="81"/>
      <c r="B6" s="81"/>
      <c r="C6" s="81"/>
      <c r="D6" s="81"/>
      <c r="E6" s="81" t="s">
        <v>19</v>
      </c>
      <c r="F6" t="s">
        <v>19</v>
      </c>
      <c r="G6" s="68">
        <f>IFERROR(GETPIVOTDATA("Total",source!$K$4,"Year",2026,"Month",'Tracking daily Target'!G$3,"Product_use",'Tracking daily Target'!$E6)/$G$2,0)</f>
        <v>11999329200</v>
      </c>
      <c r="H6" s="68">
        <f>VLOOKUP(F6,'waterfall 3k'!$B$4:$G$15,6,0)</f>
        <v>11685130105.263157</v>
      </c>
      <c r="I6" s="85">
        <f t="shared" ref="I6:I15" si="0">G6/H6</f>
        <v>1.0268887972924943</v>
      </c>
      <c r="J6" s="68">
        <f t="shared" ref="J6:J14" si="1">G6-H6</f>
        <v>314199094.73684311</v>
      </c>
    </row>
    <row r="7" spans="1:10" x14ac:dyDescent="0.2">
      <c r="A7" s="81"/>
      <c r="B7" s="81"/>
      <c r="C7" s="81"/>
      <c r="D7" s="81"/>
      <c r="E7" s="81" t="s">
        <v>24</v>
      </c>
      <c r="F7" t="s">
        <v>24</v>
      </c>
      <c r="G7" s="68">
        <f>IFERROR(GETPIVOTDATA("Total",source!$K$4,"Year",2026,"Month",'Tracking daily Target'!G$3,"Product_use",'Tracking daily Target'!$E7)/$G$2,0)</f>
        <v>14780525000</v>
      </c>
      <c r="H7" s="68">
        <f>VLOOKUP(F7,'waterfall 3k'!$B$4:$G$15,6,0)</f>
        <v>22233542033.333336</v>
      </c>
      <c r="I7" s="85">
        <f t="shared" si="0"/>
        <v>0.66478498917718543</v>
      </c>
      <c r="J7" s="68">
        <f t="shared" si="1"/>
        <v>-7453017033.3333359</v>
      </c>
    </row>
    <row r="8" spans="1:10" x14ac:dyDescent="0.2">
      <c r="A8" s="81"/>
      <c r="B8" s="81"/>
      <c r="C8" s="81"/>
      <c r="D8" s="81"/>
      <c r="E8" s="81" t="s">
        <v>28</v>
      </c>
      <c r="F8" t="s">
        <v>28</v>
      </c>
      <c r="G8" s="68">
        <f>IFERROR(GETPIVOTDATA("Total",source!$K$4,"Year",2026,"Month",'Tracking daily Target'!G$3,"Product_use",'Tracking daily Target'!$E8)/$G$2,0)</f>
        <v>15762124800</v>
      </c>
      <c r="H8" s="68">
        <f>VLOOKUP(F8,'waterfall 3k'!$B$4:$G$15,6,0)</f>
        <v>18320509280</v>
      </c>
      <c r="I8" s="85">
        <f t="shared" si="0"/>
        <v>0.86035407417451448</v>
      </c>
      <c r="J8" s="68">
        <f t="shared" si="1"/>
        <v>-2558384480</v>
      </c>
    </row>
    <row r="9" spans="1:10" x14ac:dyDescent="0.2">
      <c r="A9" s="81"/>
      <c r="B9" s="81"/>
      <c r="C9" s="81"/>
      <c r="D9" s="81"/>
      <c r="E9" s="81" t="s">
        <v>175</v>
      </c>
      <c r="F9" t="s">
        <v>31</v>
      </c>
      <c r="G9" s="68">
        <f>IFERROR(GETPIVOTDATA("Total",source!$K$4,"Year",2026,"Month",'Tracking daily Target'!G$3,"Product_use",'Tracking daily Target'!$E9)/$G$2,0)</f>
        <v>6027048000</v>
      </c>
      <c r="H9" s="68">
        <f>VLOOKUP(F9,'waterfall 3k'!$B$4:$G$15,6,0)</f>
        <v>7727082857.1428566</v>
      </c>
      <c r="I9" s="85">
        <f>G9/H9</f>
        <v>0.77999008311767259</v>
      </c>
      <c r="J9" s="68">
        <f t="shared" si="1"/>
        <v>-1700034857.1428566</v>
      </c>
    </row>
    <row r="10" spans="1:10" x14ac:dyDescent="0.2">
      <c r="A10" s="81"/>
      <c r="B10" s="81"/>
      <c r="C10" s="81"/>
      <c r="D10" s="81"/>
      <c r="E10" s="81" t="s">
        <v>36</v>
      </c>
      <c r="F10" t="s">
        <v>36</v>
      </c>
      <c r="G10" s="68">
        <f>IFERROR(GETPIVOTDATA("Total",source!$K$4,"Year",2026,"Month",'Tracking daily Target'!G$3,"Product_use",'Tracking daily Target'!$E10)/$G$2,0)</f>
        <v>3793806000</v>
      </c>
      <c r="H10" s="68">
        <f>VLOOKUP(F10,'waterfall 3k'!$B$4:$G$15,6,0)</f>
        <v>4885696733.333334</v>
      </c>
      <c r="I10" s="85">
        <f t="shared" si="0"/>
        <v>0.77651278969409621</v>
      </c>
      <c r="J10" s="68">
        <f t="shared" si="1"/>
        <v>-1091890733.333334</v>
      </c>
    </row>
    <row r="11" spans="1:10" x14ac:dyDescent="0.2">
      <c r="A11" s="81"/>
      <c r="B11" s="81"/>
      <c r="C11" s="81"/>
      <c r="D11" s="81"/>
      <c r="E11" s="81" t="s">
        <v>176</v>
      </c>
      <c r="F11" t="s">
        <v>39</v>
      </c>
      <c r="G11" s="68">
        <f>IFERROR(GETPIVOTDATA("Total",source!$K$4,"Year",2026,"Month",'Tracking daily Target'!G$3,"Product_use",'Tracking daily Target'!$E11)/$G$2,0)</f>
        <v>1336377326.7</v>
      </c>
      <c r="H11" s="68">
        <f>VLOOKUP(F11,'waterfall 3k'!$B$4:$G$15,6,0)</f>
        <v>3452428870.833333</v>
      </c>
      <c r="I11" s="85">
        <f t="shared" si="0"/>
        <v>0.38708323232664626</v>
      </c>
      <c r="J11" s="68">
        <f t="shared" si="1"/>
        <v>-2116051544.133333</v>
      </c>
    </row>
    <row r="12" spans="1:10" x14ac:dyDescent="0.2">
      <c r="A12" s="81" t="s">
        <v>57</v>
      </c>
      <c r="B12" s="81" t="s">
        <v>63</v>
      </c>
      <c r="C12" s="81" t="s">
        <v>59</v>
      </c>
      <c r="D12" s="81"/>
      <c r="E12" s="81" t="s">
        <v>43</v>
      </c>
      <c r="F12" t="s">
        <v>43</v>
      </c>
      <c r="G12" s="68">
        <f>(IFERROR(GETPIVOTDATA("Total",source!$K$4,"Year",2026,"Month",'Tracking daily Target'!G$3,"Product_use","[VNPAY] - Payday"),0)+IFERROR(GETPIVOTDATA("Total",source!$K$4,"Year",2026,"Month",'Tracking daily Target'!G$3,"Product_use","[VNPAY] - Paylater"),0)+IFERROR(GETPIVOTDATA("Total",source!$K$4,"Year",2026,"Month",'Tracking daily Target'!G$3,"Product_use","[VNPAY] - Cashloan"),0))/$G$2</f>
        <v>1805178837.4000001</v>
      </c>
      <c r="H12" s="68">
        <f>VLOOKUP(F12,'waterfall 3k'!$B$4:$G$15,6,0)</f>
        <v>2215857146.2666664</v>
      </c>
      <c r="I12" s="85">
        <f t="shared" si="0"/>
        <v>0.81466390576730641</v>
      </c>
      <c r="J12" s="68">
        <f t="shared" si="1"/>
        <v>-410678308.86666632</v>
      </c>
    </row>
    <row r="13" spans="1:10" x14ac:dyDescent="0.2">
      <c r="A13" s="81"/>
      <c r="B13" s="81"/>
      <c r="C13" s="81"/>
      <c r="D13" s="81"/>
      <c r="E13" s="81" t="s">
        <v>45</v>
      </c>
      <c r="F13" t="s">
        <v>45</v>
      </c>
      <c r="G13" s="68">
        <f>IFERROR(GETPIVOTDATA("Total",source!$K$4,"Year",2026,"Month",'Tracking daily Target'!G$3,"Product_use",'Tracking daily Target'!$E13)/$G$2,0)</f>
        <v>0</v>
      </c>
      <c r="H13" s="68">
        <f>VLOOKUP(F13,'waterfall 3k'!$B$4:$G$15,6,0)</f>
        <v>700000000</v>
      </c>
      <c r="I13" s="85"/>
      <c r="J13" s="68">
        <f t="shared" si="1"/>
        <v>-700000000</v>
      </c>
    </row>
    <row r="14" spans="1:10" x14ac:dyDescent="0.2">
      <c r="A14" s="81"/>
      <c r="B14" s="81"/>
      <c r="C14" s="81"/>
      <c r="D14" s="81"/>
      <c r="E14" s="81" t="s">
        <v>46</v>
      </c>
      <c r="F14" t="s">
        <v>46</v>
      </c>
      <c r="G14" s="68">
        <f>G15-SUM(G5:G13)</f>
        <v>3921434113.2000122</v>
      </c>
      <c r="H14" s="68">
        <f>VLOOKUP(F14,'waterfall 3k'!$B$4:$G$15,6,0)</f>
        <v>3815496727.066658</v>
      </c>
      <c r="I14" s="85">
        <f t="shared" si="0"/>
        <v>1.027765031321308</v>
      </c>
      <c r="J14" s="68">
        <f t="shared" si="1"/>
        <v>105937386.13335419</v>
      </c>
    </row>
    <row r="15" spans="1:10" x14ac:dyDescent="0.2">
      <c r="F15" s="83" t="s">
        <v>47</v>
      </c>
      <c r="G15" s="86">
        <f>GETPIVOTDATA("Total",source!$K$4,"Year",2026,"Month",'Tracking daily Target'!G$3)/10</f>
        <v>76237601277.300003</v>
      </c>
      <c r="H15" s="86">
        <f>SUM(H5:H14)</f>
        <v>93438260086.572662</v>
      </c>
      <c r="I15" s="87">
        <f t="shared" si="0"/>
        <v>0.81591417912388498</v>
      </c>
      <c r="J15" s="86">
        <f>SUM(J5:J14)</f>
        <v>-17200658809.272667</v>
      </c>
    </row>
    <row r="18" spans="5:10" ht="19" x14ac:dyDescent="0.25">
      <c r="E18" s="69" t="s">
        <v>177</v>
      </c>
    </row>
    <row r="20" spans="5:10" s="89" customFormat="1" ht="23" customHeight="1" x14ac:dyDescent="0.2">
      <c r="E20" s="88" t="s">
        <v>172</v>
      </c>
      <c r="F20" s="88" t="s">
        <v>301</v>
      </c>
      <c r="G20" s="88" t="s">
        <v>300</v>
      </c>
      <c r="H20" s="88" t="s">
        <v>178</v>
      </c>
      <c r="I20" s="88" t="s">
        <v>179</v>
      </c>
      <c r="J20" s="88" t="s">
        <v>10</v>
      </c>
    </row>
    <row r="21" spans="5:10" x14ac:dyDescent="0.2">
      <c r="E21" s="90" t="str">
        <f t="shared" ref="E21:E30" si="2">F5</f>
        <v>[VDS] - Cashloan</v>
      </c>
      <c r="F21" s="91">
        <f t="shared" ref="F21:G30" si="3">G5/1000000000</f>
        <v>16.811778</v>
      </c>
      <c r="G21" s="91">
        <f t="shared" si="3"/>
        <v>18.402516333333335</v>
      </c>
      <c r="H21" s="91">
        <f>F21-G21</f>
        <v>-1.5907383333333343</v>
      </c>
      <c r="I21" s="185">
        <f t="shared" ref="I21:I28" si="4">I5</f>
        <v>0.91355865119098101</v>
      </c>
      <c r="J21" s="188" t="str">
        <f>IF(G5&gt;=H5,"✅ On Track",IF(I5&gt;=0.8,"⚠️ Below Target","❌ Below"))</f>
        <v>⚠️ Below Target</v>
      </c>
    </row>
    <row r="22" spans="5:10" x14ac:dyDescent="0.2">
      <c r="E22" s="73" t="str">
        <f t="shared" si="2"/>
        <v>[VDS] - Payday</v>
      </c>
      <c r="F22" s="93">
        <f t="shared" si="3"/>
        <v>11.9993292</v>
      </c>
      <c r="G22" s="93">
        <f t="shared" si="3"/>
        <v>11.685130105263157</v>
      </c>
      <c r="H22" s="93">
        <f t="shared" ref="H22:H30" si="5">F22-G22</f>
        <v>0.31419909473684271</v>
      </c>
      <c r="I22" s="186">
        <f t="shared" si="4"/>
        <v>1.0268887972924943</v>
      </c>
      <c r="J22" s="189" t="str">
        <f t="shared" ref="J22:J31" si="6">IF(G6&gt;=H6,"✅ On Track",IF(I6&gt;=0.8,"⚠️ Below Target","❌ Below"))</f>
        <v>✅ On Track</v>
      </c>
    </row>
    <row r="23" spans="5:10" x14ac:dyDescent="0.2">
      <c r="E23" s="90" t="str">
        <f t="shared" si="2"/>
        <v>[Cake] - Cashloan</v>
      </c>
      <c r="F23" s="91">
        <f t="shared" si="3"/>
        <v>14.780525000000001</v>
      </c>
      <c r="G23" s="91">
        <f t="shared" si="3"/>
        <v>22.233542033333336</v>
      </c>
      <c r="H23" s="91">
        <f t="shared" si="5"/>
        <v>-7.4530170333333352</v>
      </c>
      <c r="I23" s="185">
        <f t="shared" si="4"/>
        <v>0.66478498917718543</v>
      </c>
      <c r="J23" s="190" t="str">
        <f t="shared" si="6"/>
        <v>❌ Below</v>
      </c>
    </row>
    <row r="24" spans="5:10" x14ac:dyDescent="0.2">
      <c r="E24" s="73" t="str">
        <f t="shared" si="2"/>
        <v>[Cake] - Payday</v>
      </c>
      <c r="F24" s="93">
        <f t="shared" si="3"/>
        <v>15.7621248</v>
      </c>
      <c r="G24" s="93">
        <f t="shared" si="3"/>
        <v>18.32050928</v>
      </c>
      <c r="H24" s="93">
        <f t="shared" si="5"/>
        <v>-2.5583844799999991</v>
      </c>
      <c r="I24" s="186">
        <f t="shared" si="4"/>
        <v>0.86035407417451448</v>
      </c>
      <c r="J24" s="189" t="str">
        <f t="shared" si="6"/>
        <v>⚠️ Below Target</v>
      </c>
    </row>
    <row r="25" spans="5:10" x14ac:dyDescent="0.2">
      <c r="E25" s="90" t="str">
        <f t="shared" si="2"/>
        <v>[ZALOPAY] - Cashloan</v>
      </c>
      <c r="F25" s="91">
        <f t="shared" si="3"/>
        <v>6.0270479999999997</v>
      </c>
      <c r="G25" s="91">
        <f t="shared" si="3"/>
        <v>7.7270828571428565</v>
      </c>
      <c r="H25" s="91">
        <f t="shared" si="5"/>
        <v>-1.7000348571428567</v>
      </c>
      <c r="I25" s="185">
        <f t="shared" si="4"/>
        <v>0.77999008311767259</v>
      </c>
      <c r="J25" s="188" t="str">
        <f t="shared" si="6"/>
        <v>❌ Below</v>
      </c>
    </row>
    <row r="26" spans="5:10" x14ac:dyDescent="0.2">
      <c r="E26" s="73" t="str">
        <f t="shared" si="2"/>
        <v>[MWG] - Cashloan</v>
      </c>
      <c r="F26" s="93">
        <f t="shared" si="3"/>
        <v>3.793806</v>
      </c>
      <c r="G26" s="93">
        <f t="shared" si="3"/>
        <v>4.8856967333333339</v>
      </c>
      <c r="H26" s="93">
        <f t="shared" si="5"/>
        <v>-1.0918907333333339</v>
      </c>
      <c r="I26" s="186">
        <f t="shared" si="4"/>
        <v>0.77651278969409621</v>
      </c>
      <c r="J26" s="189" t="str">
        <f t="shared" si="6"/>
        <v>❌ Below</v>
      </c>
    </row>
    <row r="27" spans="5:10" x14ac:dyDescent="0.2">
      <c r="E27" s="90" t="str">
        <f t="shared" si="2"/>
        <v>[MWG] - Paylater (QTV)</v>
      </c>
      <c r="F27" s="91">
        <f t="shared" si="3"/>
        <v>1.3363773267000001</v>
      </c>
      <c r="G27" s="91">
        <f t="shared" si="3"/>
        <v>3.4524288708333328</v>
      </c>
      <c r="H27" s="91">
        <f t="shared" si="5"/>
        <v>-2.1160515441333327</v>
      </c>
      <c r="I27" s="185">
        <f t="shared" si="4"/>
        <v>0.38708323232664626</v>
      </c>
      <c r="J27" s="190" t="str">
        <f t="shared" si="6"/>
        <v>❌ Below</v>
      </c>
    </row>
    <row r="28" spans="5:10" x14ac:dyDescent="0.2">
      <c r="E28" s="73" t="str">
        <f t="shared" si="2"/>
        <v>[VNPAY]</v>
      </c>
      <c r="F28" s="93">
        <f t="shared" si="3"/>
        <v>1.8051788374000002</v>
      </c>
      <c r="G28" s="93">
        <f t="shared" si="3"/>
        <v>2.2158571462666665</v>
      </c>
      <c r="H28" s="93">
        <f t="shared" si="5"/>
        <v>-0.41067830886666634</v>
      </c>
      <c r="I28" s="186">
        <f t="shared" si="4"/>
        <v>0.81466390576730641</v>
      </c>
      <c r="J28" s="189" t="str">
        <f t="shared" si="6"/>
        <v>⚠️ Below Target</v>
      </c>
    </row>
    <row r="29" spans="5:10" x14ac:dyDescent="0.2">
      <c r="E29" s="90" t="str">
        <f t="shared" si="2"/>
        <v>[FIZA] - Payday</v>
      </c>
      <c r="F29" s="91"/>
      <c r="G29" s="91">
        <f t="shared" si="3"/>
        <v>0.7</v>
      </c>
      <c r="H29" s="91">
        <f t="shared" si="5"/>
        <v>-0.7</v>
      </c>
      <c r="I29" s="186"/>
      <c r="J29" s="92"/>
    </row>
    <row r="30" spans="5:10" ht="16" thickBot="1" x14ac:dyDescent="0.25">
      <c r="E30" s="94" t="str">
        <f t="shared" si="2"/>
        <v>Others</v>
      </c>
      <c r="F30" s="95">
        <f t="shared" si="3"/>
        <v>3.9214341132000121</v>
      </c>
      <c r="G30" s="95">
        <f t="shared" si="3"/>
        <v>3.815496727066658</v>
      </c>
      <c r="H30" s="95">
        <f t="shared" si="5"/>
        <v>0.10593738613335413</v>
      </c>
      <c r="I30" s="187">
        <f>I14</f>
        <v>1.027765031321308</v>
      </c>
      <c r="J30" s="191" t="str">
        <f t="shared" si="6"/>
        <v>✅ On Track</v>
      </c>
    </row>
    <row r="31" spans="5:10" ht="16" thickTop="1" x14ac:dyDescent="0.2">
      <c r="E31" s="96" t="s">
        <v>180</v>
      </c>
      <c r="F31" s="97">
        <f>SUM(F21:F30)</f>
        <v>76.23760127730003</v>
      </c>
      <c r="G31" s="97">
        <f>SUM(G21:G30)</f>
        <v>93.438260086572683</v>
      </c>
      <c r="H31" s="97">
        <f t="shared" ref="H31" si="7">J15/1000000000</f>
        <v>-17.200658809272667</v>
      </c>
      <c r="I31" s="98">
        <f>I15</f>
        <v>0.81591417912388498</v>
      </c>
      <c r="J31" s="192" t="str">
        <f t="shared" si="6"/>
        <v>⚠️ Below Target</v>
      </c>
    </row>
    <row r="33" spans="5:8" ht="16" x14ac:dyDescent="0.2">
      <c r="E33" s="70" t="s">
        <v>181</v>
      </c>
      <c r="H33" s="41"/>
    </row>
    <row r="35" spans="5:8" ht="22.5" customHeight="1" x14ac:dyDescent="0.2">
      <c r="E35" s="99" t="s">
        <v>182</v>
      </c>
      <c r="F35" s="99" t="s">
        <v>183</v>
      </c>
    </row>
    <row r="36" spans="5:8" x14ac:dyDescent="0.2">
      <c r="E36" s="100" t="s">
        <v>184</v>
      </c>
      <c r="F36" s="101">
        <f>F31</f>
        <v>76.23760127730003</v>
      </c>
    </row>
    <row r="37" spans="5:8" x14ac:dyDescent="0.2">
      <c r="E37" s="102" t="s">
        <v>185</v>
      </c>
      <c r="F37" s="103">
        <f>G31</f>
        <v>93.438260086572683</v>
      </c>
    </row>
    <row r="38" spans="5:8" x14ac:dyDescent="0.2">
      <c r="E38" s="104" t="s">
        <v>186</v>
      </c>
      <c r="F38" s="105">
        <f>H31</f>
        <v>-17.200658809272667</v>
      </c>
    </row>
    <row r="39" spans="5:8" x14ac:dyDescent="0.2">
      <c r="E39" s="106" t="s">
        <v>187</v>
      </c>
      <c r="F39" s="107">
        <f>I31</f>
        <v>0.81591417912388498</v>
      </c>
    </row>
    <row r="41" spans="5:8" ht="19" x14ac:dyDescent="0.25">
      <c r="E41" s="83" t="s">
        <v>188</v>
      </c>
      <c r="F41" s="108">
        <f>COUNTIFS(I21:I30,"&lt;0.8",I21:I30,"&lt;&gt;-")</f>
        <v>4</v>
      </c>
      <c r="G41" s="109" t="s">
        <v>189</v>
      </c>
    </row>
    <row r="42" spans="5:8" ht="19" x14ac:dyDescent="0.25">
      <c r="E42" s="83" t="s">
        <v>190</v>
      </c>
      <c r="F42" s="110">
        <f>COUNTIFS(I21:I30,"&gt;=0.8",I21:I30,"&lt;1")</f>
        <v>3</v>
      </c>
      <c r="G42" s="109" t="s">
        <v>189</v>
      </c>
    </row>
    <row r="43" spans="5:8" ht="19" x14ac:dyDescent="0.25">
      <c r="E43" s="83" t="s">
        <v>191</v>
      </c>
      <c r="F43" s="111">
        <f>COUNTIF(I21:I30,"&gt;=1")</f>
        <v>2</v>
      </c>
      <c r="G43" s="109" t="s">
        <v>189</v>
      </c>
    </row>
    <row r="46" spans="5:8" ht="19" customHeight="1" x14ac:dyDescent="0.2">
      <c r="E46" s="112" t="s">
        <v>302</v>
      </c>
      <c r="F46" s="112" t="s">
        <v>192</v>
      </c>
    </row>
    <row r="47" spans="5:8" x14ac:dyDescent="0.2">
      <c r="E47" s="113" t="str">
        <f>INDEX(E21:E30,MATCH(SMALL(H21:H30,1),H21:H30,0))</f>
        <v>[Cake] - Cashloan</v>
      </c>
      <c r="F47" s="114">
        <f>SMALL(H21:H30,1)</f>
        <v>-7.4530170333333352</v>
      </c>
    </row>
    <row r="48" spans="5:8" x14ac:dyDescent="0.2">
      <c r="E48" s="115" t="str">
        <f>INDEX(E21:E30,MATCH(SMALL(H21:H30,2),H21:H30,0))</f>
        <v>[Cake] - Payday</v>
      </c>
      <c r="F48" s="116">
        <f>SMALL(H21:H30,2)</f>
        <v>-2.5583844799999991</v>
      </c>
    </row>
    <row r="49" spans="5:6" x14ac:dyDescent="0.2">
      <c r="E49" s="113" t="str">
        <f>INDEX(E21:E30,MATCH(SMALL(H21:H30,3),H21:H30,0))</f>
        <v>[MWG] - Paylater (QTV)</v>
      </c>
      <c r="F49" s="114">
        <f>SMALL(H21:H30,3)</f>
        <v>-2.1160515441333327</v>
      </c>
    </row>
    <row r="50" spans="5:6" x14ac:dyDescent="0.2">
      <c r="E50" s="113" t="str">
        <f>INDEX(E21:E30,MATCH(SMALL(H21:H30,4),H21:H30,0))</f>
        <v>[ZALOPAY] - Cashloan</v>
      </c>
      <c r="F50" s="114">
        <f>SMALL(H21:H30,4)</f>
        <v>-1.7000348571428567</v>
      </c>
    </row>
    <row r="51" spans="5:6" x14ac:dyDescent="0.2">
      <c r="F51" s="117"/>
    </row>
  </sheetData>
  <conditionalFormatting sqref="I21:I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A7AA-84B3-46FD-9CC8-BE4F3DABD5BF}">
  <dimension ref="A1:E31"/>
  <sheetViews>
    <sheetView topLeftCell="A28" workbookViewId="0">
      <selection activeCell="C1" sqref="C1"/>
    </sheetView>
  </sheetViews>
  <sheetFormatPr baseColWidth="10" defaultColWidth="8.83203125" defaultRowHeight="15" x14ac:dyDescent="0.2"/>
  <cols>
    <col min="1" max="1" width="28.83203125" bestFit="1" customWidth="1"/>
    <col min="2" max="2" width="17.5" bestFit="1" customWidth="1"/>
    <col min="3" max="20" width="26.5" bestFit="1" customWidth="1"/>
    <col min="21" max="21" width="10.6640625" bestFit="1" customWidth="1"/>
  </cols>
  <sheetData>
    <row r="1" spans="1:5" x14ac:dyDescent="0.2">
      <c r="C1" s="611">
        <v>46152</v>
      </c>
    </row>
    <row r="2" spans="1:5" x14ac:dyDescent="0.2">
      <c r="A2" s="30" t="s">
        <v>54</v>
      </c>
      <c r="B2" t="s">
        <v>69</v>
      </c>
      <c r="C2" t="s">
        <v>327</v>
      </c>
    </row>
    <row r="3" spans="1:5" x14ac:dyDescent="0.2">
      <c r="A3" t="s">
        <v>65</v>
      </c>
      <c r="B3" s="32">
        <v>16993230000</v>
      </c>
      <c r="C3" s="68">
        <f>VLOOKUP(A3,source!$K$510:$P$538,6,0)</f>
        <v>8606560000</v>
      </c>
      <c r="D3" s="68">
        <f>C3/10</f>
        <v>860656000</v>
      </c>
      <c r="E3" s="68"/>
    </row>
    <row r="4" spans="1:5" x14ac:dyDescent="0.2">
      <c r="A4" t="s">
        <v>66</v>
      </c>
      <c r="B4" s="32">
        <v>9358548670</v>
      </c>
      <c r="C4" s="68">
        <f>VLOOKUP(A4,source!$K$510:$P$538,6,0)</f>
        <v>3862036644</v>
      </c>
      <c r="D4" s="68">
        <f t="shared" ref="D4:D30" si="0">C4/10</f>
        <v>386203664.39999998</v>
      </c>
    </row>
    <row r="5" spans="1:5" x14ac:dyDescent="0.2">
      <c r="A5" t="s">
        <v>24</v>
      </c>
      <c r="B5" s="32">
        <v>443850970000</v>
      </c>
      <c r="C5" s="68">
        <v>147805250000</v>
      </c>
      <c r="D5" s="68">
        <f t="shared" si="0"/>
        <v>14780525000</v>
      </c>
    </row>
    <row r="6" spans="1:5" x14ac:dyDescent="0.2">
      <c r="A6" t="s">
        <v>67</v>
      </c>
      <c r="B6" s="32">
        <v>49898840707</v>
      </c>
      <c r="C6" s="68">
        <f>VLOOKUP(A6,source!$K$510:$P$538,6,0)</f>
        <v>21098365039</v>
      </c>
      <c r="D6" s="68">
        <f t="shared" si="0"/>
        <v>2109836503.9000001</v>
      </c>
    </row>
    <row r="7" spans="1:5" x14ac:dyDescent="0.2">
      <c r="A7" t="s">
        <v>28</v>
      </c>
      <c r="B7" s="32">
        <v>425752416000</v>
      </c>
      <c r="C7" s="68">
        <f>VLOOKUP(A7,source!$K$510:$P$538,6,0)</f>
        <v>157621248000</v>
      </c>
      <c r="D7" s="68">
        <f t="shared" si="0"/>
        <v>15762124800</v>
      </c>
    </row>
    <row r="8" spans="1:5" x14ac:dyDescent="0.2">
      <c r="A8" t="s">
        <v>60</v>
      </c>
      <c r="B8" s="32">
        <v>950000000</v>
      </c>
      <c r="C8" s="68">
        <f>VLOOKUP(A8,source!$K$510:$P$538,6,0)</f>
        <v>80000000</v>
      </c>
      <c r="D8" s="68">
        <f t="shared" si="0"/>
        <v>8000000</v>
      </c>
    </row>
    <row r="9" spans="1:5" x14ac:dyDescent="0.2">
      <c r="A9" t="s">
        <v>36</v>
      </c>
      <c r="B9" s="32">
        <v>78700820000</v>
      </c>
      <c r="C9" s="68">
        <f>VLOOKUP(A9,source!$K$510:$P$538,6,0)</f>
        <v>28188440000</v>
      </c>
      <c r="D9" s="68">
        <f t="shared" si="0"/>
        <v>2818844000</v>
      </c>
    </row>
    <row r="10" spans="1:5" x14ac:dyDescent="0.2">
      <c r="A10" t="s">
        <v>55</v>
      </c>
      <c r="B10" s="32">
        <v>25219010000</v>
      </c>
      <c r="C10" s="68">
        <f>VLOOKUP(A10,source!$K$510:$P$538,6,0)</f>
        <v>9749620000</v>
      </c>
      <c r="D10" s="68">
        <f t="shared" si="0"/>
        <v>974962000</v>
      </c>
    </row>
    <row r="11" spans="1:5" x14ac:dyDescent="0.2">
      <c r="A11" t="s">
        <v>39</v>
      </c>
      <c r="B11" s="32">
        <v>34572866125</v>
      </c>
      <c r="C11" s="68">
        <f>VLOOKUP(A11,source!$K$510:$P$538,6,0)</f>
        <v>13217452045</v>
      </c>
      <c r="D11" s="68">
        <f t="shared" si="0"/>
        <v>1321745204.5</v>
      </c>
    </row>
    <row r="12" spans="1:5" x14ac:dyDescent="0.2">
      <c r="A12" t="s">
        <v>64</v>
      </c>
      <c r="B12" s="32">
        <v>1425700000</v>
      </c>
      <c r="C12" s="68">
        <f>VLOOKUP(A12,source!$K$510:$P$538,6,0)</f>
        <v>602300000</v>
      </c>
      <c r="D12" s="68">
        <f t="shared" si="0"/>
        <v>60230000</v>
      </c>
    </row>
    <row r="13" spans="1:5" x14ac:dyDescent="0.2">
      <c r="A13" t="s">
        <v>11</v>
      </c>
      <c r="B13" s="32">
        <v>492075490000</v>
      </c>
      <c r="C13" s="68">
        <f>VLOOKUP(A13,source!$K$510:$P$538,6,0)</f>
        <v>168117780000</v>
      </c>
      <c r="D13" s="68">
        <f t="shared" si="0"/>
        <v>16811778000</v>
      </c>
    </row>
    <row r="14" spans="1:5" x14ac:dyDescent="0.2">
      <c r="A14" t="s">
        <v>19</v>
      </c>
      <c r="B14" s="32">
        <v>333026208000</v>
      </c>
      <c r="C14" s="68">
        <f>VLOOKUP(A14,source!$K$510:$P$538,6,0)</f>
        <v>119993292000</v>
      </c>
      <c r="D14" s="68">
        <f t="shared" si="0"/>
        <v>11999329200</v>
      </c>
    </row>
    <row r="15" spans="1:5" x14ac:dyDescent="0.2">
      <c r="A15" t="s">
        <v>62</v>
      </c>
      <c r="B15" s="32">
        <v>7030263262</v>
      </c>
      <c r="C15" s="68">
        <f>VLOOKUP(A15,source!$K$510:$P$538,6,0)</f>
        <v>3926999449</v>
      </c>
      <c r="D15" s="68">
        <f t="shared" si="0"/>
        <v>392699944.89999998</v>
      </c>
    </row>
    <row r="16" spans="1:5" x14ac:dyDescent="0.2">
      <c r="A16" t="s">
        <v>58</v>
      </c>
      <c r="B16" s="32">
        <v>1117000000</v>
      </c>
      <c r="C16" s="68">
        <f>VLOOKUP(A16,source!$K$510:$P$538,6,0)</f>
        <v>445650000</v>
      </c>
      <c r="D16" s="68">
        <f t="shared" si="0"/>
        <v>44565000</v>
      </c>
    </row>
    <row r="17" spans="1:4" x14ac:dyDescent="0.2">
      <c r="A17" t="s">
        <v>61</v>
      </c>
      <c r="B17" s="32">
        <v>1602000000</v>
      </c>
      <c r="C17" s="68">
        <f>VLOOKUP(A17,source!$K$510:$P$538,6,0)</f>
        <v>406000000</v>
      </c>
      <c r="D17" s="68">
        <f t="shared" si="0"/>
        <v>40600000</v>
      </c>
    </row>
    <row r="18" spans="1:4" x14ac:dyDescent="0.2">
      <c r="A18" t="s">
        <v>57</v>
      </c>
      <c r="B18" s="32">
        <v>22627370000</v>
      </c>
      <c r="C18" s="68">
        <f>VLOOKUP(A18,source!$K$510:$P$538,6,0)</f>
        <v>7609020000</v>
      </c>
      <c r="D18" s="68">
        <f t="shared" si="0"/>
        <v>760902000</v>
      </c>
    </row>
    <row r="19" spans="1:4" x14ac:dyDescent="0.2">
      <c r="A19" t="s">
        <v>63</v>
      </c>
      <c r="B19" s="32">
        <v>9585864000</v>
      </c>
      <c r="C19" s="68">
        <f>VLOOKUP(A19,source!$K$510:$P$538,6,0)</f>
        <v>2862540000</v>
      </c>
      <c r="D19" s="68">
        <f t="shared" si="0"/>
        <v>286254000</v>
      </c>
    </row>
    <row r="20" spans="1:4" x14ac:dyDescent="0.2">
      <c r="A20" t="s">
        <v>59</v>
      </c>
      <c r="B20" s="32">
        <v>13262480388</v>
      </c>
      <c r="C20" s="68">
        <f>VLOOKUP(A20,source!$K$510:$P$538,6,0)</f>
        <v>7580228374</v>
      </c>
      <c r="D20" s="68">
        <f t="shared" si="0"/>
        <v>758022837.39999998</v>
      </c>
    </row>
    <row r="21" spans="1:4" x14ac:dyDescent="0.2">
      <c r="A21" t="s">
        <v>31</v>
      </c>
      <c r="B21" s="32">
        <v>175982280000</v>
      </c>
      <c r="C21" s="68">
        <f>VLOOKUP(A21,source!$K$510:$P$538,6,0)</f>
        <v>60270480000</v>
      </c>
      <c r="D21" s="68">
        <f t="shared" si="0"/>
        <v>6027048000</v>
      </c>
    </row>
    <row r="22" spans="1:4" x14ac:dyDescent="0.2">
      <c r="A22" t="s">
        <v>208</v>
      </c>
      <c r="B22" s="32">
        <v>28900933</v>
      </c>
      <c r="C22" s="68">
        <f>VLOOKUP(A22,source!$K$510:$P$538,6,0)</f>
        <v>0</v>
      </c>
      <c r="D22" s="68">
        <f t="shared" si="0"/>
        <v>0</v>
      </c>
    </row>
    <row r="23" spans="1:4" x14ac:dyDescent="0.2">
      <c r="A23" t="s">
        <v>176</v>
      </c>
      <c r="B23" s="32">
        <v>390170240</v>
      </c>
      <c r="C23" s="68">
        <f>VLOOKUP(A23,source!$K$510:$P$538,6,0)</f>
        <v>146321222</v>
      </c>
      <c r="D23" s="68">
        <f t="shared" si="0"/>
        <v>14632122.199999999</v>
      </c>
    </row>
    <row r="24" spans="1:4" x14ac:dyDescent="0.2">
      <c r="A24" t="s">
        <v>206</v>
      </c>
      <c r="B24" s="32">
        <v>0</v>
      </c>
      <c r="C24" s="68">
        <f>VLOOKUP(A24,source!$K$510:$P$538,6,0)</f>
        <v>0</v>
      </c>
      <c r="D24" s="68">
        <f t="shared" si="0"/>
        <v>0</v>
      </c>
    </row>
    <row r="25" spans="1:4" x14ac:dyDescent="0.2">
      <c r="A25" t="s">
        <v>237</v>
      </c>
      <c r="B25" s="32">
        <v>351830000</v>
      </c>
      <c r="C25" s="68">
        <f>VLOOKUP(A25,source!$K$510:$P$538,6,0)</f>
        <v>186430000</v>
      </c>
      <c r="D25" s="68">
        <f t="shared" si="0"/>
        <v>18643000</v>
      </c>
    </row>
    <row r="26" spans="1:4" x14ac:dyDescent="0.2">
      <c r="A26" t="s">
        <v>221</v>
      </c>
      <c r="B26" s="32">
        <v>0</v>
      </c>
      <c r="C26" s="68">
        <f>VLOOKUP(A26,source!$K$510:$P$538,6,0)</f>
        <v>0</v>
      </c>
      <c r="D26" s="68">
        <f t="shared" si="0"/>
        <v>0</v>
      </c>
    </row>
    <row r="27" spans="1:4" x14ac:dyDescent="0.2">
      <c r="A27" t="s">
        <v>222</v>
      </c>
      <c r="B27" s="32">
        <v>0</v>
      </c>
      <c r="C27" s="68">
        <f>VLOOKUP(A27,source!$K$510:$P$538,6,0)</f>
        <v>0</v>
      </c>
      <c r="D27" s="68">
        <f t="shared" si="0"/>
        <v>0</v>
      </c>
    </row>
    <row r="28" spans="1:4" x14ac:dyDescent="0.2">
      <c r="A28" t="s">
        <v>223</v>
      </c>
      <c r="B28" s="32">
        <v>0</v>
      </c>
      <c r="C28" s="68">
        <f>VLOOKUP(A28,source!$K$510:$P$538,6,0)</f>
        <v>0</v>
      </c>
      <c r="D28" s="68">
        <f t="shared" si="0"/>
        <v>0</v>
      </c>
    </row>
    <row r="29" spans="1:4" x14ac:dyDescent="0.2">
      <c r="A29" t="s">
        <v>219</v>
      </c>
      <c r="B29" s="32">
        <v>26400000</v>
      </c>
      <c r="C29" s="68">
        <f>VLOOKUP(A29,source!$K$510:$P$538,6,0)</f>
        <v>0</v>
      </c>
      <c r="D29" s="68">
        <f t="shared" si="0"/>
        <v>0</v>
      </c>
    </row>
    <row r="30" spans="1:4" x14ac:dyDescent="0.2">
      <c r="A30" t="s">
        <v>234</v>
      </c>
      <c r="B30" s="32">
        <v>73008000</v>
      </c>
      <c r="C30" s="68">
        <f>VLOOKUP(A30,source!$K$510:$P$538,6,0)</f>
        <v>0</v>
      </c>
      <c r="D30" s="68">
        <f t="shared" si="0"/>
        <v>0</v>
      </c>
    </row>
    <row r="31" spans="1:4" x14ac:dyDescent="0.2">
      <c r="A31" t="s">
        <v>68</v>
      </c>
      <c r="B31" s="32">
        <v>2143901666325</v>
      </c>
      <c r="C31" s="581">
        <f>SUM(C3:C30)</f>
        <v>762376012773</v>
      </c>
      <c r="D31" s="477">
        <f>SUM(D3:D30)</f>
        <v>76237601277.300003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CDE3-84BB-4E3B-B1CE-B14689DA5456}">
  <dimension ref="B2:D842"/>
  <sheetViews>
    <sheetView workbookViewId="0">
      <selection activeCell="D3" sqref="D3"/>
    </sheetView>
  </sheetViews>
  <sheetFormatPr baseColWidth="10" defaultColWidth="8.83203125" defaultRowHeight="15" x14ac:dyDescent="0.2"/>
  <cols>
    <col min="2" max="2" width="12.5" bestFit="1" customWidth="1"/>
    <col min="3" max="3" width="29.1640625" bestFit="1" customWidth="1"/>
    <col min="4" max="4" width="17.5" bestFit="1" customWidth="1"/>
  </cols>
  <sheetData>
    <row r="2" spans="2:4" x14ac:dyDescent="0.2">
      <c r="B2" s="21" t="s">
        <v>53</v>
      </c>
      <c r="C2" s="22" t="s">
        <v>54</v>
      </c>
      <c r="D2" s="23" t="s">
        <v>47</v>
      </c>
    </row>
    <row r="3" spans="2:4" x14ac:dyDescent="0.2">
      <c r="B3" s="579">
        <v>46113</v>
      </c>
      <c r="C3" s="25" t="s">
        <v>65</v>
      </c>
      <c r="D3" s="577">
        <v>629980000</v>
      </c>
    </row>
    <row r="4" spans="2:4" x14ac:dyDescent="0.2">
      <c r="B4" s="579">
        <v>46113</v>
      </c>
      <c r="C4" s="25" t="s">
        <v>66</v>
      </c>
      <c r="D4" s="577">
        <v>308993836</v>
      </c>
    </row>
    <row r="5" spans="2:4" x14ac:dyDescent="0.2">
      <c r="B5" s="579">
        <v>46113</v>
      </c>
      <c r="C5" s="25" t="s">
        <v>24</v>
      </c>
      <c r="D5" s="577">
        <v>22731350000</v>
      </c>
    </row>
    <row r="6" spans="2:4" x14ac:dyDescent="0.2">
      <c r="B6" s="579">
        <v>46113</v>
      </c>
      <c r="C6" s="25" t="s">
        <v>67</v>
      </c>
      <c r="D6" s="577">
        <v>2812778254</v>
      </c>
    </row>
    <row r="7" spans="2:4" x14ac:dyDescent="0.2">
      <c r="B7" s="579">
        <v>46113</v>
      </c>
      <c r="C7" s="25" t="s">
        <v>28</v>
      </c>
      <c r="D7" s="577">
        <v>14857452000</v>
      </c>
    </row>
    <row r="8" spans="2:4" x14ac:dyDescent="0.2">
      <c r="B8" s="579">
        <v>46113</v>
      </c>
      <c r="C8" s="25" t="s">
        <v>208</v>
      </c>
      <c r="D8" s="577">
        <v>6410587</v>
      </c>
    </row>
    <row r="9" spans="2:4" x14ac:dyDescent="0.2">
      <c r="B9" s="579">
        <v>46113</v>
      </c>
      <c r="C9" s="25" t="s">
        <v>60</v>
      </c>
      <c r="D9" s="577">
        <v>0</v>
      </c>
    </row>
    <row r="10" spans="2:4" x14ac:dyDescent="0.2">
      <c r="B10" s="579">
        <v>46113</v>
      </c>
      <c r="C10" s="25" t="s">
        <v>36</v>
      </c>
      <c r="D10" s="577">
        <v>2649000000</v>
      </c>
    </row>
    <row r="11" spans="2:4" x14ac:dyDescent="0.2">
      <c r="B11" s="579">
        <v>46113</v>
      </c>
      <c r="C11" s="25" t="s">
        <v>55</v>
      </c>
      <c r="D11" s="577">
        <v>719020000</v>
      </c>
    </row>
    <row r="12" spans="2:4" x14ac:dyDescent="0.2">
      <c r="B12" s="579">
        <v>46113</v>
      </c>
      <c r="C12" s="25" t="s">
        <v>176</v>
      </c>
      <c r="D12" s="577">
        <v>9890000</v>
      </c>
    </row>
    <row r="13" spans="2:4" x14ac:dyDescent="0.2">
      <c r="B13" s="579">
        <v>46113</v>
      </c>
      <c r="C13" s="25" t="s">
        <v>39</v>
      </c>
      <c r="D13" s="577">
        <v>1143977797</v>
      </c>
    </row>
    <row r="14" spans="2:4" x14ac:dyDescent="0.2">
      <c r="B14" s="579">
        <v>46113</v>
      </c>
      <c r="C14" s="25" t="s">
        <v>206</v>
      </c>
      <c r="D14" s="577">
        <v>0</v>
      </c>
    </row>
    <row r="15" spans="2:4" x14ac:dyDescent="0.2">
      <c r="B15" s="579">
        <v>46113</v>
      </c>
      <c r="C15" s="25" t="s">
        <v>64</v>
      </c>
      <c r="D15" s="577">
        <v>102500000</v>
      </c>
    </row>
    <row r="16" spans="2:4" x14ac:dyDescent="0.2">
      <c r="B16" s="579">
        <v>46113</v>
      </c>
      <c r="C16" s="25" t="s">
        <v>237</v>
      </c>
      <c r="D16" s="577">
        <v>0</v>
      </c>
    </row>
    <row r="17" spans="2:4" x14ac:dyDescent="0.2">
      <c r="B17" s="579">
        <v>46113</v>
      </c>
      <c r="C17" s="25" t="s">
        <v>11</v>
      </c>
      <c r="D17" s="577">
        <v>17700590000</v>
      </c>
    </row>
    <row r="18" spans="2:4" x14ac:dyDescent="0.2">
      <c r="B18" s="579">
        <v>46113</v>
      </c>
      <c r="C18" s="25" t="s">
        <v>221</v>
      </c>
      <c r="D18" s="577">
        <v>0</v>
      </c>
    </row>
    <row r="19" spans="2:4" x14ac:dyDescent="0.2">
      <c r="B19" s="579">
        <v>46113</v>
      </c>
      <c r="C19" s="25" t="s">
        <v>222</v>
      </c>
      <c r="D19" s="577">
        <v>0</v>
      </c>
    </row>
    <row r="20" spans="2:4" x14ac:dyDescent="0.2">
      <c r="B20" s="579">
        <v>46113</v>
      </c>
      <c r="C20" s="25" t="s">
        <v>223</v>
      </c>
      <c r="D20" s="577">
        <v>0</v>
      </c>
    </row>
    <row r="21" spans="2:4" x14ac:dyDescent="0.2">
      <c r="B21" s="579">
        <v>46113</v>
      </c>
      <c r="C21" s="25" t="s">
        <v>219</v>
      </c>
      <c r="D21" s="577">
        <v>0</v>
      </c>
    </row>
    <row r="22" spans="2:4" x14ac:dyDescent="0.2">
      <c r="B22" s="579">
        <v>46113</v>
      </c>
      <c r="C22" s="25" t="s">
        <v>19</v>
      </c>
      <c r="D22" s="577">
        <v>11718324000</v>
      </c>
    </row>
    <row r="23" spans="2:4" x14ac:dyDescent="0.2">
      <c r="B23" s="579">
        <v>46113</v>
      </c>
      <c r="C23" s="25" t="s">
        <v>62</v>
      </c>
      <c r="D23" s="577">
        <v>435088361</v>
      </c>
    </row>
    <row r="24" spans="2:4" x14ac:dyDescent="0.2">
      <c r="B24" s="579">
        <v>46113</v>
      </c>
      <c r="C24" s="25" t="s">
        <v>58</v>
      </c>
      <c r="D24" s="577">
        <v>41500000</v>
      </c>
    </row>
    <row r="25" spans="2:4" x14ac:dyDescent="0.2">
      <c r="B25" s="579">
        <v>46113</v>
      </c>
      <c r="C25" s="25" t="s">
        <v>61</v>
      </c>
      <c r="D25" s="577">
        <v>74000000</v>
      </c>
    </row>
    <row r="26" spans="2:4" x14ac:dyDescent="0.2">
      <c r="B26" s="579">
        <v>46113</v>
      </c>
      <c r="C26" s="25" t="s">
        <v>57</v>
      </c>
      <c r="D26" s="577">
        <v>660620000</v>
      </c>
    </row>
    <row r="27" spans="2:4" x14ac:dyDescent="0.2">
      <c r="B27" s="579">
        <v>46113</v>
      </c>
      <c r="C27" s="25" t="s">
        <v>63</v>
      </c>
      <c r="D27" s="577">
        <v>299484000</v>
      </c>
    </row>
    <row r="28" spans="2:4" x14ac:dyDescent="0.2">
      <c r="B28" s="579">
        <v>46113</v>
      </c>
      <c r="C28" s="25" t="s">
        <v>59</v>
      </c>
      <c r="D28" s="577">
        <v>609579152</v>
      </c>
    </row>
    <row r="29" spans="2:4" x14ac:dyDescent="0.2">
      <c r="B29" s="579">
        <v>46113</v>
      </c>
      <c r="C29" s="25" t="s">
        <v>31</v>
      </c>
      <c r="D29" s="577">
        <v>9613660000</v>
      </c>
    </row>
    <row r="30" spans="2:4" x14ac:dyDescent="0.2">
      <c r="B30" s="579">
        <v>46113</v>
      </c>
      <c r="C30" s="25" t="s">
        <v>234</v>
      </c>
      <c r="D30" s="577">
        <v>12528000</v>
      </c>
    </row>
    <row r="31" spans="2:4" x14ac:dyDescent="0.2">
      <c r="B31" s="579">
        <v>46114</v>
      </c>
      <c r="C31" s="25" t="s">
        <v>65</v>
      </c>
      <c r="D31" s="577">
        <v>722370000</v>
      </c>
    </row>
    <row r="32" spans="2:4" x14ac:dyDescent="0.2">
      <c r="B32" s="579">
        <v>46114</v>
      </c>
      <c r="C32" s="25" t="s">
        <v>66</v>
      </c>
      <c r="D32" s="577">
        <v>328591353</v>
      </c>
    </row>
    <row r="33" spans="2:4" x14ac:dyDescent="0.2">
      <c r="B33" s="579">
        <v>46114</v>
      </c>
      <c r="C33" s="25" t="s">
        <v>24</v>
      </c>
      <c r="D33" s="577">
        <v>19712400000</v>
      </c>
    </row>
    <row r="34" spans="2:4" x14ac:dyDescent="0.2">
      <c r="B34" s="579">
        <v>46114</v>
      </c>
      <c r="C34" s="25" t="s">
        <v>67</v>
      </c>
      <c r="D34" s="577">
        <v>2342325450</v>
      </c>
    </row>
    <row r="35" spans="2:4" x14ac:dyDescent="0.2">
      <c r="B35" s="579">
        <v>46114</v>
      </c>
      <c r="C35" s="25" t="s">
        <v>28</v>
      </c>
      <c r="D35" s="577">
        <v>13335408000</v>
      </c>
    </row>
    <row r="36" spans="2:4" x14ac:dyDescent="0.2">
      <c r="B36" s="579">
        <v>46114</v>
      </c>
      <c r="C36" s="25" t="s">
        <v>208</v>
      </c>
      <c r="D36" s="577">
        <v>22490346</v>
      </c>
    </row>
    <row r="37" spans="2:4" x14ac:dyDescent="0.2">
      <c r="B37" s="579">
        <v>46114</v>
      </c>
      <c r="C37" s="25" t="s">
        <v>60</v>
      </c>
      <c r="D37" s="577">
        <v>180000000</v>
      </c>
    </row>
    <row r="38" spans="2:4" x14ac:dyDescent="0.2">
      <c r="B38" s="579">
        <v>46114</v>
      </c>
      <c r="C38" s="25" t="s">
        <v>36</v>
      </c>
      <c r="D38" s="577">
        <v>2298380000</v>
      </c>
    </row>
    <row r="39" spans="2:4" x14ac:dyDescent="0.2">
      <c r="B39" s="579">
        <v>46114</v>
      </c>
      <c r="C39" s="25" t="s">
        <v>55</v>
      </c>
      <c r="D39" s="577">
        <v>1198420000</v>
      </c>
    </row>
    <row r="40" spans="2:4" x14ac:dyDescent="0.2">
      <c r="B40" s="579">
        <v>46114</v>
      </c>
      <c r="C40" s="25" t="s">
        <v>176</v>
      </c>
      <c r="D40" s="577">
        <v>19042578</v>
      </c>
    </row>
    <row r="41" spans="2:4" x14ac:dyDescent="0.2">
      <c r="B41" s="579">
        <v>46114</v>
      </c>
      <c r="C41" s="25" t="s">
        <v>39</v>
      </c>
      <c r="D41" s="577">
        <v>1258751775</v>
      </c>
    </row>
    <row r="42" spans="2:4" x14ac:dyDescent="0.2">
      <c r="B42" s="579">
        <v>46114</v>
      </c>
      <c r="C42" s="25" t="s">
        <v>206</v>
      </c>
      <c r="D42" s="577">
        <v>0</v>
      </c>
    </row>
    <row r="43" spans="2:4" x14ac:dyDescent="0.2">
      <c r="B43" s="579">
        <v>46114</v>
      </c>
      <c r="C43" s="25" t="s">
        <v>64</v>
      </c>
      <c r="D43" s="577">
        <v>10500000</v>
      </c>
    </row>
    <row r="44" spans="2:4" x14ac:dyDescent="0.2">
      <c r="B44" s="579">
        <v>46114</v>
      </c>
      <c r="C44" s="25" t="s">
        <v>237</v>
      </c>
      <c r="D44" s="577">
        <v>56000000</v>
      </c>
    </row>
    <row r="45" spans="2:4" x14ac:dyDescent="0.2">
      <c r="B45" s="579">
        <v>46114</v>
      </c>
      <c r="C45" s="25" t="s">
        <v>11</v>
      </c>
      <c r="D45" s="577">
        <v>16327360000</v>
      </c>
    </row>
    <row r="46" spans="2:4" x14ac:dyDescent="0.2">
      <c r="B46" s="579">
        <v>46114</v>
      </c>
      <c r="C46" s="25" t="s">
        <v>221</v>
      </c>
      <c r="D46" s="577">
        <v>0</v>
      </c>
    </row>
    <row r="47" spans="2:4" x14ac:dyDescent="0.2">
      <c r="B47" s="579">
        <v>46114</v>
      </c>
      <c r="C47" s="25" t="s">
        <v>222</v>
      </c>
      <c r="D47" s="577">
        <v>0</v>
      </c>
    </row>
    <row r="48" spans="2:4" x14ac:dyDescent="0.2">
      <c r="B48" s="579">
        <v>46114</v>
      </c>
      <c r="C48" s="25" t="s">
        <v>223</v>
      </c>
      <c r="D48" s="577">
        <v>0</v>
      </c>
    </row>
    <row r="49" spans="2:4" x14ac:dyDescent="0.2">
      <c r="B49" s="579">
        <v>46114</v>
      </c>
      <c r="C49" s="25" t="s">
        <v>219</v>
      </c>
      <c r="D49" s="577">
        <v>21400000</v>
      </c>
    </row>
    <row r="50" spans="2:4" x14ac:dyDescent="0.2">
      <c r="B50" s="579">
        <v>46114</v>
      </c>
      <c r="C50" s="25" t="s">
        <v>19</v>
      </c>
      <c r="D50" s="577">
        <v>11229300000</v>
      </c>
    </row>
    <row r="51" spans="2:4" x14ac:dyDescent="0.2">
      <c r="B51" s="579">
        <v>46114</v>
      </c>
      <c r="C51" s="25" t="s">
        <v>62</v>
      </c>
      <c r="D51" s="577">
        <v>420440924</v>
      </c>
    </row>
    <row r="52" spans="2:4" x14ac:dyDescent="0.2">
      <c r="B52" s="579">
        <v>46114</v>
      </c>
      <c r="C52" s="25" t="s">
        <v>58</v>
      </c>
      <c r="D52" s="577">
        <v>29500000</v>
      </c>
    </row>
    <row r="53" spans="2:4" x14ac:dyDescent="0.2">
      <c r="B53" s="579">
        <v>46114</v>
      </c>
      <c r="C53" s="25" t="s">
        <v>61</v>
      </c>
      <c r="D53" s="577">
        <v>58000000</v>
      </c>
    </row>
    <row r="54" spans="2:4" x14ac:dyDescent="0.2">
      <c r="B54" s="579">
        <v>46114</v>
      </c>
      <c r="C54" s="25" t="s">
        <v>57</v>
      </c>
      <c r="D54" s="577">
        <v>576530000</v>
      </c>
    </row>
    <row r="55" spans="2:4" x14ac:dyDescent="0.2">
      <c r="B55" s="579">
        <v>46114</v>
      </c>
      <c r="C55" s="25" t="s">
        <v>63</v>
      </c>
      <c r="D55" s="577">
        <v>314820000</v>
      </c>
    </row>
    <row r="56" spans="2:4" x14ac:dyDescent="0.2">
      <c r="B56" s="579">
        <v>46114</v>
      </c>
      <c r="C56" s="25" t="s">
        <v>59</v>
      </c>
      <c r="D56" s="577">
        <v>912032990</v>
      </c>
    </row>
    <row r="57" spans="2:4" x14ac:dyDescent="0.2">
      <c r="B57" s="579">
        <v>46114</v>
      </c>
      <c r="C57" s="25" t="s">
        <v>31</v>
      </c>
      <c r="D57" s="577">
        <v>8155820000</v>
      </c>
    </row>
    <row r="58" spans="2:4" x14ac:dyDescent="0.2">
      <c r="B58" s="579">
        <v>46114</v>
      </c>
      <c r="C58" s="25" t="s">
        <v>234</v>
      </c>
      <c r="D58" s="577">
        <v>2160000</v>
      </c>
    </row>
    <row r="59" spans="2:4" x14ac:dyDescent="0.2">
      <c r="B59" s="579">
        <v>46115</v>
      </c>
      <c r="C59" s="25" t="s">
        <v>65</v>
      </c>
      <c r="D59" s="577">
        <v>495880000</v>
      </c>
    </row>
    <row r="60" spans="2:4" x14ac:dyDescent="0.2">
      <c r="B60" s="579">
        <v>46115</v>
      </c>
      <c r="C60" s="25" t="s">
        <v>66</v>
      </c>
      <c r="D60" s="577">
        <v>398855712</v>
      </c>
    </row>
    <row r="61" spans="2:4" x14ac:dyDescent="0.2">
      <c r="B61" s="579">
        <v>46115</v>
      </c>
      <c r="C61" s="25" t="s">
        <v>24</v>
      </c>
      <c r="D61" s="577">
        <v>20172160000</v>
      </c>
    </row>
    <row r="62" spans="2:4" x14ac:dyDescent="0.2">
      <c r="B62" s="579">
        <v>46115</v>
      </c>
      <c r="C62" s="25" t="s">
        <v>67</v>
      </c>
      <c r="D62" s="577">
        <v>2047843328</v>
      </c>
    </row>
    <row r="63" spans="2:4" x14ac:dyDescent="0.2">
      <c r="B63" s="579">
        <v>46115</v>
      </c>
      <c r="C63" s="25" t="s">
        <v>28</v>
      </c>
      <c r="D63" s="577">
        <v>14106960000</v>
      </c>
    </row>
    <row r="64" spans="2:4" x14ac:dyDescent="0.2">
      <c r="B64" s="579">
        <v>46115</v>
      </c>
      <c r="C64" s="25" t="s">
        <v>208</v>
      </c>
      <c r="D64" s="577">
        <v>0</v>
      </c>
    </row>
    <row r="65" spans="2:4" x14ac:dyDescent="0.2">
      <c r="B65" s="579">
        <v>46115</v>
      </c>
      <c r="C65" s="25" t="s">
        <v>60</v>
      </c>
      <c r="D65" s="577">
        <v>0</v>
      </c>
    </row>
    <row r="66" spans="2:4" x14ac:dyDescent="0.2">
      <c r="B66" s="579">
        <v>46115</v>
      </c>
      <c r="C66" s="25" t="s">
        <v>36</v>
      </c>
      <c r="D66" s="577">
        <v>1956850000</v>
      </c>
    </row>
    <row r="67" spans="2:4" x14ac:dyDescent="0.2">
      <c r="B67" s="579">
        <v>46115</v>
      </c>
      <c r="C67" s="25" t="s">
        <v>55</v>
      </c>
      <c r="D67" s="577">
        <v>717470000</v>
      </c>
    </row>
    <row r="68" spans="2:4" x14ac:dyDescent="0.2">
      <c r="B68" s="579">
        <v>46115</v>
      </c>
      <c r="C68" s="25" t="s">
        <v>176</v>
      </c>
      <c r="D68" s="577">
        <v>32629158</v>
      </c>
    </row>
    <row r="69" spans="2:4" x14ac:dyDescent="0.2">
      <c r="B69" s="579">
        <v>46115</v>
      </c>
      <c r="C69" s="25" t="s">
        <v>39</v>
      </c>
      <c r="D69" s="577">
        <v>1599343908</v>
      </c>
    </row>
    <row r="70" spans="2:4" x14ac:dyDescent="0.2">
      <c r="B70" s="579">
        <v>46115</v>
      </c>
      <c r="C70" s="25" t="s">
        <v>206</v>
      </c>
      <c r="D70" s="577">
        <v>0</v>
      </c>
    </row>
    <row r="71" spans="2:4" x14ac:dyDescent="0.2">
      <c r="B71" s="579">
        <v>46115</v>
      </c>
      <c r="C71" s="25" t="s">
        <v>64</v>
      </c>
      <c r="D71" s="577">
        <v>25500000</v>
      </c>
    </row>
    <row r="72" spans="2:4" x14ac:dyDescent="0.2">
      <c r="B72" s="579">
        <v>46115</v>
      </c>
      <c r="C72" s="25" t="s">
        <v>237</v>
      </c>
      <c r="D72" s="577">
        <v>82400000</v>
      </c>
    </row>
    <row r="73" spans="2:4" x14ac:dyDescent="0.2">
      <c r="B73" s="579">
        <v>46115</v>
      </c>
      <c r="C73" s="25" t="s">
        <v>11</v>
      </c>
      <c r="D73" s="577">
        <v>17836470000</v>
      </c>
    </row>
    <row r="74" spans="2:4" x14ac:dyDescent="0.2">
      <c r="B74" s="579">
        <v>46115</v>
      </c>
      <c r="C74" s="25" t="s">
        <v>221</v>
      </c>
      <c r="D74" s="577">
        <v>0</v>
      </c>
    </row>
    <row r="75" spans="2:4" x14ac:dyDescent="0.2">
      <c r="B75" s="579">
        <v>46115</v>
      </c>
      <c r="C75" s="25" t="s">
        <v>222</v>
      </c>
      <c r="D75" s="577">
        <v>0</v>
      </c>
    </row>
    <row r="76" spans="2:4" x14ac:dyDescent="0.2">
      <c r="B76" s="579">
        <v>46115</v>
      </c>
      <c r="C76" s="25" t="s">
        <v>223</v>
      </c>
      <c r="D76" s="577">
        <v>0</v>
      </c>
    </row>
    <row r="77" spans="2:4" x14ac:dyDescent="0.2">
      <c r="B77" s="579">
        <v>46115</v>
      </c>
      <c r="C77" s="25" t="s">
        <v>219</v>
      </c>
      <c r="D77" s="577">
        <v>0</v>
      </c>
    </row>
    <row r="78" spans="2:4" x14ac:dyDescent="0.2">
      <c r="B78" s="579">
        <v>46115</v>
      </c>
      <c r="C78" s="25" t="s">
        <v>19</v>
      </c>
      <c r="D78" s="577">
        <v>10819224000</v>
      </c>
    </row>
    <row r="79" spans="2:4" x14ac:dyDescent="0.2">
      <c r="B79" s="579">
        <v>46115</v>
      </c>
      <c r="C79" s="25" t="s">
        <v>62</v>
      </c>
      <c r="D79" s="577">
        <v>508044615</v>
      </c>
    </row>
    <row r="80" spans="2:4" x14ac:dyDescent="0.2">
      <c r="B80" s="579">
        <v>46115</v>
      </c>
      <c r="C80" s="25" t="s">
        <v>58</v>
      </c>
      <c r="D80" s="577">
        <v>21000000</v>
      </c>
    </row>
    <row r="81" spans="2:4" x14ac:dyDescent="0.2">
      <c r="B81" s="579">
        <v>46115</v>
      </c>
      <c r="C81" s="25" t="s">
        <v>61</v>
      </c>
      <c r="D81" s="577">
        <v>38000000</v>
      </c>
    </row>
    <row r="82" spans="2:4" x14ac:dyDescent="0.2">
      <c r="B82" s="579">
        <v>46115</v>
      </c>
      <c r="C82" s="25" t="s">
        <v>57</v>
      </c>
      <c r="D82" s="577">
        <v>796090000</v>
      </c>
    </row>
    <row r="83" spans="2:4" x14ac:dyDescent="0.2">
      <c r="B83" s="579">
        <v>46115</v>
      </c>
      <c r="C83" s="25" t="s">
        <v>63</v>
      </c>
      <c r="D83" s="577">
        <v>313200000</v>
      </c>
    </row>
    <row r="84" spans="2:4" x14ac:dyDescent="0.2">
      <c r="B84" s="579">
        <v>46115</v>
      </c>
      <c r="C84" s="25" t="s">
        <v>59</v>
      </c>
      <c r="D84" s="577">
        <v>1299011380</v>
      </c>
    </row>
    <row r="85" spans="2:4" x14ac:dyDescent="0.2">
      <c r="B85" s="579">
        <v>46115</v>
      </c>
      <c r="C85" s="25" t="s">
        <v>31</v>
      </c>
      <c r="D85" s="577">
        <v>7863820000</v>
      </c>
    </row>
    <row r="86" spans="2:4" x14ac:dyDescent="0.2">
      <c r="B86" s="579">
        <v>46115</v>
      </c>
      <c r="C86" s="25" t="s">
        <v>234</v>
      </c>
      <c r="D86" s="577">
        <v>2160000</v>
      </c>
    </row>
    <row r="87" spans="2:4" x14ac:dyDescent="0.2">
      <c r="B87" s="579">
        <v>46116</v>
      </c>
      <c r="C87" s="25" t="s">
        <v>65</v>
      </c>
      <c r="D87" s="577">
        <v>576150000</v>
      </c>
    </row>
    <row r="88" spans="2:4" x14ac:dyDescent="0.2">
      <c r="B88" s="579">
        <v>46116</v>
      </c>
      <c r="C88" s="25" t="s">
        <v>66</v>
      </c>
      <c r="D88" s="577">
        <v>513712363</v>
      </c>
    </row>
    <row r="89" spans="2:4" x14ac:dyDescent="0.2">
      <c r="B89" s="579">
        <v>46116</v>
      </c>
      <c r="C89" s="25" t="s">
        <v>24</v>
      </c>
      <c r="D89" s="577">
        <v>18382180000</v>
      </c>
    </row>
    <row r="90" spans="2:4" x14ac:dyDescent="0.2">
      <c r="B90" s="579">
        <v>46116</v>
      </c>
      <c r="C90" s="25" t="s">
        <v>67</v>
      </c>
      <c r="D90" s="577">
        <v>1855556717</v>
      </c>
    </row>
    <row r="91" spans="2:4" x14ac:dyDescent="0.2">
      <c r="B91" s="579">
        <v>46116</v>
      </c>
      <c r="C91" s="25" t="s">
        <v>28</v>
      </c>
      <c r="D91" s="577">
        <v>13801320000</v>
      </c>
    </row>
    <row r="92" spans="2:4" x14ac:dyDescent="0.2">
      <c r="B92" s="579">
        <v>46116</v>
      </c>
      <c r="C92" s="25" t="s">
        <v>208</v>
      </c>
      <c r="D92" s="577">
        <v>0</v>
      </c>
    </row>
    <row r="93" spans="2:4" x14ac:dyDescent="0.2">
      <c r="B93" s="579">
        <v>46116</v>
      </c>
      <c r="C93" s="25" t="s">
        <v>60</v>
      </c>
      <c r="D93" s="577">
        <v>0</v>
      </c>
    </row>
    <row r="94" spans="2:4" x14ac:dyDescent="0.2">
      <c r="B94" s="579">
        <v>46116</v>
      </c>
      <c r="C94" s="25" t="s">
        <v>36</v>
      </c>
      <c r="D94" s="577">
        <v>2658650000</v>
      </c>
    </row>
    <row r="95" spans="2:4" x14ac:dyDescent="0.2">
      <c r="B95" s="579">
        <v>46116</v>
      </c>
      <c r="C95" s="25" t="s">
        <v>55</v>
      </c>
      <c r="D95" s="577">
        <v>650900000</v>
      </c>
    </row>
    <row r="96" spans="2:4" x14ac:dyDescent="0.2">
      <c r="B96" s="579">
        <v>46116</v>
      </c>
      <c r="C96" s="25" t="s">
        <v>176</v>
      </c>
      <c r="D96" s="577">
        <v>34486187</v>
      </c>
    </row>
    <row r="97" spans="2:4" x14ac:dyDescent="0.2">
      <c r="B97" s="579">
        <v>46116</v>
      </c>
      <c r="C97" s="25" t="s">
        <v>39</v>
      </c>
      <c r="D97" s="577">
        <v>1763209762</v>
      </c>
    </row>
    <row r="98" spans="2:4" x14ac:dyDescent="0.2">
      <c r="B98" s="579">
        <v>46116</v>
      </c>
      <c r="C98" s="25" t="s">
        <v>206</v>
      </c>
      <c r="D98" s="577">
        <v>0</v>
      </c>
    </row>
    <row r="99" spans="2:4" x14ac:dyDescent="0.2">
      <c r="B99" s="579">
        <v>46116</v>
      </c>
      <c r="C99" s="25" t="s">
        <v>64</v>
      </c>
      <c r="D99" s="577">
        <v>40000000</v>
      </c>
    </row>
    <row r="100" spans="2:4" x14ac:dyDescent="0.2">
      <c r="B100" s="579">
        <v>46116</v>
      </c>
      <c r="C100" s="25" t="s">
        <v>237</v>
      </c>
      <c r="D100" s="577">
        <v>0</v>
      </c>
    </row>
    <row r="101" spans="2:4" x14ac:dyDescent="0.2">
      <c r="B101" s="579">
        <v>46116</v>
      </c>
      <c r="C101" s="25" t="s">
        <v>11</v>
      </c>
      <c r="D101" s="577">
        <v>16223600000</v>
      </c>
    </row>
    <row r="102" spans="2:4" x14ac:dyDescent="0.2">
      <c r="B102" s="579">
        <v>46116</v>
      </c>
      <c r="C102" s="25" t="s">
        <v>221</v>
      </c>
      <c r="D102" s="577">
        <v>0</v>
      </c>
    </row>
    <row r="103" spans="2:4" x14ac:dyDescent="0.2">
      <c r="B103" s="579">
        <v>46116</v>
      </c>
      <c r="C103" s="25" t="s">
        <v>222</v>
      </c>
      <c r="D103" s="577">
        <v>0</v>
      </c>
    </row>
    <row r="104" spans="2:4" x14ac:dyDescent="0.2">
      <c r="B104" s="579">
        <v>46116</v>
      </c>
      <c r="C104" s="25" t="s">
        <v>223</v>
      </c>
      <c r="D104" s="577">
        <v>0</v>
      </c>
    </row>
    <row r="105" spans="2:4" x14ac:dyDescent="0.2">
      <c r="B105" s="579">
        <v>46116</v>
      </c>
      <c r="C105" s="25" t="s">
        <v>219</v>
      </c>
      <c r="D105" s="577">
        <v>0</v>
      </c>
    </row>
    <row r="106" spans="2:4" x14ac:dyDescent="0.2">
      <c r="B106" s="579">
        <v>46116</v>
      </c>
      <c r="C106" s="25" t="s">
        <v>19</v>
      </c>
      <c r="D106" s="577">
        <v>11136204000</v>
      </c>
    </row>
    <row r="107" spans="2:4" x14ac:dyDescent="0.2">
      <c r="B107" s="579">
        <v>46116</v>
      </c>
      <c r="C107" s="25" t="s">
        <v>62</v>
      </c>
      <c r="D107" s="577">
        <v>630565541</v>
      </c>
    </row>
    <row r="108" spans="2:4" x14ac:dyDescent="0.2">
      <c r="B108" s="579">
        <v>46116</v>
      </c>
      <c r="C108" s="25" t="s">
        <v>58</v>
      </c>
      <c r="D108" s="577">
        <v>63000000</v>
      </c>
    </row>
    <row r="109" spans="2:4" x14ac:dyDescent="0.2">
      <c r="B109" s="579">
        <v>46116</v>
      </c>
      <c r="C109" s="25" t="s">
        <v>61</v>
      </c>
      <c r="D109" s="577">
        <v>49000000</v>
      </c>
    </row>
    <row r="110" spans="2:4" x14ac:dyDescent="0.2">
      <c r="B110" s="579">
        <v>46116</v>
      </c>
      <c r="C110" s="25" t="s">
        <v>57</v>
      </c>
      <c r="D110" s="577">
        <v>603970000</v>
      </c>
    </row>
    <row r="111" spans="2:4" x14ac:dyDescent="0.2">
      <c r="B111" s="579">
        <v>46116</v>
      </c>
      <c r="C111" s="25" t="s">
        <v>63</v>
      </c>
      <c r="D111" s="577">
        <v>315792000</v>
      </c>
    </row>
    <row r="112" spans="2:4" x14ac:dyDescent="0.2">
      <c r="B112" s="579">
        <v>46116</v>
      </c>
      <c r="C112" s="25" t="s">
        <v>59</v>
      </c>
      <c r="D112" s="577">
        <v>1642965022</v>
      </c>
    </row>
    <row r="113" spans="2:4" x14ac:dyDescent="0.2">
      <c r="B113" s="579">
        <v>46116</v>
      </c>
      <c r="C113" s="25" t="s">
        <v>31</v>
      </c>
      <c r="D113" s="577">
        <v>6077010000</v>
      </c>
    </row>
    <row r="114" spans="2:4" x14ac:dyDescent="0.2">
      <c r="B114" s="579">
        <v>46116</v>
      </c>
      <c r="C114" s="25" t="s">
        <v>234</v>
      </c>
      <c r="D114" s="577">
        <v>4320000</v>
      </c>
    </row>
    <row r="115" spans="2:4" x14ac:dyDescent="0.2">
      <c r="B115" s="579">
        <v>46117</v>
      </c>
      <c r="C115" s="25" t="s">
        <v>65</v>
      </c>
      <c r="D115" s="577">
        <v>658150000</v>
      </c>
    </row>
    <row r="116" spans="2:4" x14ac:dyDescent="0.2">
      <c r="B116" s="579">
        <v>46117</v>
      </c>
      <c r="C116" s="25" t="s">
        <v>66</v>
      </c>
      <c r="D116" s="577">
        <v>473511847</v>
      </c>
    </row>
    <row r="117" spans="2:4" x14ac:dyDescent="0.2">
      <c r="B117" s="579">
        <v>46117</v>
      </c>
      <c r="C117" s="25" t="s">
        <v>24</v>
      </c>
      <c r="D117" s="577">
        <v>15050540000</v>
      </c>
    </row>
    <row r="118" spans="2:4" x14ac:dyDescent="0.2">
      <c r="B118" s="579">
        <v>46117</v>
      </c>
      <c r="C118" s="25" t="s">
        <v>67</v>
      </c>
      <c r="D118" s="577">
        <v>1581600309</v>
      </c>
    </row>
    <row r="119" spans="2:4" x14ac:dyDescent="0.2">
      <c r="B119" s="579">
        <v>46117</v>
      </c>
      <c r="C119" s="25" t="s">
        <v>28</v>
      </c>
      <c r="D119" s="577">
        <v>13768704000</v>
      </c>
    </row>
    <row r="120" spans="2:4" x14ac:dyDescent="0.2">
      <c r="B120" s="579">
        <v>46117</v>
      </c>
      <c r="C120" s="25" t="s">
        <v>208</v>
      </c>
      <c r="D120" s="577">
        <v>0</v>
      </c>
    </row>
    <row r="121" spans="2:4" x14ac:dyDescent="0.2">
      <c r="B121" s="579">
        <v>46117</v>
      </c>
      <c r="C121" s="25" t="s">
        <v>60</v>
      </c>
      <c r="D121" s="577">
        <v>0</v>
      </c>
    </row>
    <row r="122" spans="2:4" x14ac:dyDescent="0.2">
      <c r="B122" s="579">
        <v>46117</v>
      </c>
      <c r="C122" s="25" t="s">
        <v>36</v>
      </c>
      <c r="D122" s="577">
        <v>2859120000</v>
      </c>
    </row>
    <row r="123" spans="2:4" x14ac:dyDescent="0.2">
      <c r="B123" s="579">
        <v>46117</v>
      </c>
      <c r="C123" s="25" t="s">
        <v>55</v>
      </c>
      <c r="D123" s="577">
        <v>936350000</v>
      </c>
    </row>
    <row r="124" spans="2:4" x14ac:dyDescent="0.2">
      <c r="B124" s="579">
        <v>46117</v>
      </c>
      <c r="C124" s="25" t="s">
        <v>176</v>
      </c>
      <c r="D124" s="577">
        <v>38596801</v>
      </c>
    </row>
    <row r="125" spans="2:4" x14ac:dyDescent="0.2">
      <c r="B125" s="579">
        <v>46117</v>
      </c>
      <c r="C125" s="25" t="s">
        <v>39</v>
      </c>
      <c r="D125" s="577">
        <v>1719202172</v>
      </c>
    </row>
    <row r="126" spans="2:4" x14ac:dyDescent="0.2">
      <c r="B126" s="579">
        <v>46117</v>
      </c>
      <c r="C126" s="25" t="s">
        <v>206</v>
      </c>
      <c r="D126" s="577">
        <v>0</v>
      </c>
    </row>
    <row r="127" spans="2:4" x14ac:dyDescent="0.2">
      <c r="B127" s="579">
        <v>46117</v>
      </c>
      <c r="C127" s="25" t="s">
        <v>64</v>
      </c>
      <c r="D127" s="577">
        <v>42000000</v>
      </c>
    </row>
    <row r="128" spans="2:4" x14ac:dyDescent="0.2">
      <c r="B128" s="579">
        <v>46117</v>
      </c>
      <c r="C128" s="25" t="s">
        <v>237</v>
      </c>
      <c r="D128" s="577">
        <v>0</v>
      </c>
    </row>
    <row r="129" spans="2:4" x14ac:dyDescent="0.2">
      <c r="B129" s="579">
        <v>46117</v>
      </c>
      <c r="C129" s="25" t="s">
        <v>11</v>
      </c>
      <c r="D129" s="577">
        <v>14475880000</v>
      </c>
    </row>
    <row r="130" spans="2:4" x14ac:dyDescent="0.2">
      <c r="B130" s="579">
        <v>46117</v>
      </c>
      <c r="C130" s="25" t="s">
        <v>221</v>
      </c>
      <c r="D130" s="577">
        <v>0</v>
      </c>
    </row>
    <row r="131" spans="2:4" x14ac:dyDescent="0.2">
      <c r="B131" s="579">
        <v>46117</v>
      </c>
      <c r="C131" s="25" t="s">
        <v>222</v>
      </c>
      <c r="D131" s="577">
        <v>0</v>
      </c>
    </row>
    <row r="132" spans="2:4" x14ac:dyDescent="0.2">
      <c r="B132" s="579">
        <v>46117</v>
      </c>
      <c r="C132" s="25" t="s">
        <v>223</v>
      </c>
      <c r="D132" s="577">
        <v>0</v>
      </c>
    </row>
    <row r="133" spans="2:4" x14ac:dyDescent="0.2">
      <c r="B133" s="579">
        <v>46117</v>
      </c>
      <c r="C133" s="25" t="s">
        <v>219</v>
      </c>
      <c r="D133" s="577">
        <v>0</v>
      </c>
    </row>
    <row r="134" spans="2:4" x14ac:dyDescent="0.2">
      <c r="B134" s="579">
        <v>46117</v>
      </c>
      <c r="C134" s="25" t="s">
        <v>19</v>
      </c>
      <c r="D134" s="577">
        <v>11467656000</v>
      </c>
    </row>
    <row r="135" spans="2:4" x14ac:dyDescent="0.2">
      <c r="B135" s="579">
        <v>46117</v>
      </c>
      <c r="C135" s="25" t="s">
        <v>62</v>
      </c>
      <c r="D135" s="577">
        <v>468020802</v>
      </c>
    </row>
    <row r="136" spans="2:4" x14ac:dyDescent="0.2">
      <c r="B136" s="579">
        <v>46117</v>
      </c>
      <c r="C136" s="25" t="s">
        <v>58</v>
      </c>
      <c r="D136" s="577">
        <v>21000000</v>
      </c>
    </row>
    <row r="137" spans="2:4" x14ac:dyDescent="0.2">
      <c r="B137" s="579">
        <v>46117</v>
      </c>
      <c r="C137" s="25" t="s">
        <v>61</v>
      </c>
      <c r="D137" s="577">
        <v>97000000</v>
      </c>
    </row>
    <row r="138" spans="2:4" x14ac:dyDescent="0.2">
      <c r="B138" s="579">
        <v>46117</v>
      </c>
      <c r="C138" s="25" t="s">
        <v>57</v>
      </c>
      <c r="D138" s="577">
        <v>871700000</v>
      </c>
    </row>
    <row r="139" spans="2:4" x14ac:dyDescent="0.2">
      <c r="B139" s="579">
        <v>46117</v>
      </c>
      <c r="C139" s="25" t="s">
        <v>63</v>
      </c>
      <c r="D139" s="577">
        <v>417204000</v>
      </c>
    </row>
    <row r="140" spans="2:4" x14ac:dyDescent="0.2">
      <c r="B140" s="579">
        <v>46117</v>
      </c>
      <c r="C140" s="25" t="s">
        <v>59</v>
      </c>
      <c r="D140" s="577">
        <v>967608584</v>
      </c>
    </row>
    <row r="141" spans="2:4" x14ac:dyDescent="0.2">
      <c r="B141" s="579">
        <v>46117</v>
      </c>
      <c r="C141" s="25" t="s">
        <v>31</v>
      </c>
      <c r="D141" s="577">
        <v>6031250000</v>
      </c>
    </row>
    <row r="142" spans="2:4" x14ac:dyDescent="0.2">
      <c r="B142" s="579">
        <v>46117</v>
      </c>
      <c r="C142" s="25" t="s">
        <v>234</v>
      </c>
      <c r="D142" s="577">
        <v>0</v>
      </c>
    </row>
    <row r="143" spans="2:4" x14ac:dyDescent="0.2">
      <c r="B143" s="579">
        <v>46118</v>
      </c>
      <c r="C143" s="25" t="s">
        <v>65</v>
      </c>
      <c r="D143" s="577">
        <v>789650000</v>
      </c>
    </row>
    <row r="144" spans="2:4" x14ac:dyDescent="0.2">
      <c r="B144" s="579">
        <v>46118</v>
      </c>
      <c r="C144" s="25" t="s">
        <v>66</v>
      </c>
      <c r="D144" s="577">
        <v>362846492</v>
      </c>
    </row>
    <row r="145" spans="2:4" x14ac:dyDescent="0.2">
      <c r="B145" s="579">
        <v>46118</v>
      </c>
      <c r="C145" s="25" t="s">
        <v>24</v>
      </c>
      <c r="D145" s="577">
        <v>18506700000</v>
      </c>
    </row>
    <row r="146" spans="2:4" x14ac:dyDescent="0.2">
      <c r="B146" s="579">
        <v>46118</v>
      </c>
      <c r="C146" s="25" t="s">
        <v>67</v>
      </c>
      <c r="D146" s="577">
        <v>2081988827</v>
      </c>
    </row>
    <row r="147" spans="2:4" x14ac:dyDescent="0.2">
      <c r="B147" s="579">
        <v>46118</v>
      </c>
      <c r="C147" s="25" t="s">
        <v>28</v>
      </c>
      <c r="D147" s="577">
        <v>14511960000</v>
      </c>
    </row>
    <row r="148" spans="2:4" x14ac:dyDescent="0.2">
      <c r="B148" s="579">
        <v>46118</v>
      </c>
      <c r="C148" s="25" t="s">
        <v>208</v>
      </c>
      <c r="D148" s="577">
        <v>0</v>
      </c>
    </row>
    <row r="149" spans="2:4" x14ac:dyDescent="0.2">
      <c r="B149" s="579">
        <v>46118</v>
      </c>
      <c r="C149" s="25" t="s">
        <v>60</v>
      </c>
      <c r="D149" s="577">
        <v>0</v>
      </c>
    </row>
    <row r="150" spans="2:4" x14ac:dyDescent="0.2">
      <c r="B150" s="579">
        <v>46118</v>
      </c>
      <c r="C150" s="25" t="s">
        <v>36</v>
      </c>
      <c r="D150" s="577">
        <v>2560610000</v>
      </c>
    </row>
    <row r="151" spans="2:4" x14ac:dyDescent="0.2">
      <c r="B151" s="579">
        <v>46118</v>
      </c>
      <c r="C151" s="25" t="s">
        <v>55</v>
      </c>
      <c r="D151" s="577">
        <v>1214350000</v>
      </c>
    </row>
    <row r="152" spans="2:4" x14ac:dyDescent="0.2">
      <c r="B152" s="579">
        <v>46118</v>
      </c>
      <c r="C152" s="25" t="s">
        <v>176</v>
      </c>
      <c r="D152" s="577">
        <v>13639216</v>
      </c>
    </row>
    <row r="153" spans="2:4" x14ac:dyDescent="0.2">
      <c r="B153" s="579">
        <v>46118</v>
      </c>
      <c r="C153" s="25" t="s">
        <v>39</v>
      </c>
      <c r="D153" s="577">
        <v>1231822499</v>
      </c>
    </row>
    <row r="154" spans="2:4" x14ac:dyDescent="0.2">
      <c r="B154" s="579">
        <v>46118</v>
      </c>
      <c r="C154" s="25" t="s">
        <v>206</v>
      </c>
      <c r="D154" s="577">
        <v>0</v>
      </c>
    </row>
    <row r="155" spans="2:4" x14ac:dyDescent="0.2">
      <c r="B155" s="579">
        <v>46118</v>
      </c>
      <c r="C155" s="25" t="s">
        <v>64</v>
      </c>
      <c r="D155" s="577">
        <v>41250000</v>
      </c>
    </row>
    <row r="156" spans="2:4" x14ac:dyDescent="0.2">
      <c r="B156" s="579">
        <v>46118</v>
      </c>
      <c r="C156" s="25" t="s">
        <v>237</v>
      </c>
      <c r="D156" s="577">
        <v>81000000</v>
      </c>
    </row>
    <row r="157" spans="2:4" x14ac:dyDescent="0.2">
      <c r="B157" s="579">
        <v>46118</v>
      </c>
      <c r="C157" s="25" t="s">
        <v>11</v>
      </c>
      <c r="D157" s="577">
        <v>16524910000</v>
      </c>
    </row>
    <row r="158" spans="2:4" x14ac:dyDescent="0.2">
      <c r="B158" s="579">
        <v>46118</v>
      </c>
      <c r="C158" s="25" t="s">
        <v>221</v>
      </c>
      <c r="D158" s="577">
        <v>0</v>
      </c>
    </row>
    <row r="159" spans="2:4" x14ac:dyDescent="0.2">
      <c r="B159" s="579">
        <v>46118</v>
      </c>
      <c r="C159" s="25" t="s">
        <v>222</v>
      </c>
      <c r="D159" s="577">
        <v>0</v>
      </c>
    </row>
    <row r="160" spans="2:4" x14ac:dyDescent="0.2">
      <c r="B160" s="579">
        <v>46118</v>
      </c>
      <c r="C160" s="25" t="s">
        <v>223</v>
      </c>
      <c r="D160" s="577">
        <v>0</v>
      </c>
    </row>
    <row r="161" spans="2:4" x14ac:dyDescent="0.2">
      <c r="B161" s="579">
        <v>46118</v>
      </c>
      <c r="C161" s="25" t="s">
        <v>219</v>
      </c>
      <c r="D161" s="577">
        <v>0</v>
      </c>
    </row>
    <row r="162" spans="2:4" x14ac:dyDescent="0.2">
      <c r="B162" s="579">
        <v>46118</v>
      </c>
      <c r="C162" s="25" t="s">
        <v>19</v>
      </c>
      <c r="D162" s="577">
        <v>10685088000</v>
      </c>
    </row>
    <row r="163" spans="2:4" x14ac:dyDescent="0.2">
      <c r="B163" s="579">
        <v>46118</v>
      </c>
      <c r="C163" s="25" t="s">
        <v>62</v>
      </c>
      <c r="D163" s="577">
        <v>413044188</v>
      </c>
    </row>
    <row r="164" spans="2:4" x14ac:dyDescent="0.2">
      <c r="B164" s="579">
        <v>46118</v>
      </c>
      <c r="C164" s="25" t="s">
        <v>58</v>
      </c>
      <c r="D164" s="577">
        <v>31500000</v>
      </c>
    </row>
    <row r="165" spans="2:4" x14ac:dyDescent="0.2">
      <c r="B165" s="579">
        <v>46118</v>
      </c>
      <c r="C165" s="25" t="s">
        <v>61</v>
      </c>
      <c r="D165" s="577">
        <v>60000000</v>
      </c>
    </row>
    <row r="166" spans="2:4" x14ac:dyDescent="0.2">
      <c r="B166" s="579">
        <v>46118</v>
      </c>
      <c r="C166" s="25" t="s">
        <v>57</v>
      </c>
      <c r="D166" s="577">
        <v>884770000</v>
      </c>
    </row>
    <row r="167" spans="2:4" x14ac:dyDescent="0.2">
      <c r="B167" s="579">
        <v>46118</v>
      </c>
      <c r="C167" s="25" t="s">
        <v>63</v>
      </c>
      <c r="D167" s="577">
        <v>345492000</v>
      </c>
    </row>
    <row r="168" spans="2:4" x14ac:dyDescent="0.2">
      <c r="B168" s="579">
        <v>46118</v>
      </c>
      <c r="C168" s="25" t="s">
        <v>59</v>
      </c>
      <c r="D168" s="577">
        <v>639747115</v>
      </c>
    </row>
    <row r="169" spans="2:4" x14ac:dyDescent="0.2">
      <c r="B169" s="579">
        <v>46118</v>
      </c>
      <c r="C169" s="25" t="s">
        <v>31</v>
      </c>
      <c r="D169" s="577">
        <v>7145550000</v>
      </c>
    </row>
    <row r="170" spans="2:4" x14ac:dyDescent="0.2">
      <c r="B170" s="579">
        <v>46118</v>
      </c>
      <c r="C170" s="25" t="s">
        <v>234</v>
      </c>
      <c r="D170" s="577">
        <v>3240000</v>
      </c>
    </row>
    <row r="171" spans="2:4" x14ac:dyDescent="0.2">
      <c r="B171" s="579">
        <v>46119</v>
      </c>
      <c r="C171" s="25" t="s">
        <v>65</v>
      </c>
      <c r="D171" s="577">
        <v>803500000</v>
      </c>
    </row>
    <row r="172" spans="2:4" x14ac:dyDescent="0.2">
      <c r="B172" s="579">
        <v>46119</v>
      </c>
      <c r="C172" s="25" t="s">
        <v>66</v>
      </c>
      <c r="D172" s="577">
        <v>323742554</v>
      </c>
    </row>
    <row r="173" spans="2:4" x14ac:dyDescent="0.2">
      <c r="B173" s="579">
        <v>46119</v>
      </c>
      <c r="C173" s="25" t="s">
        <v>24</v>
      </c>
      <c r="D173" s="577">
        <v>16980340000</v>
      </c>
    </row>
    <row r="174" spans="2:4" x14ac:dyDescent="0.2">
      <c r="B174" s="579">
        <v>46119</v>
      </c>
      <c r="C174" s="25" t="s">
        <v>67</v>
      </c>
      <c r="D174" s="577">
        <v>1734498184</v>
      </c>
    </row>
    <row r="175" spans="2:4" x14ac:dyDescent="0.2">
      <c r="B175" s="579">
        <v>46119</v>
      </c>
      <c r="C175" s="25" t="s">
        <v>28</v>
      </c>
      <c r="D175" s="577">
        <v>14266584000</v>
      </c>
    </row>
    <row r="176" spans="2:4" x14ac:dyDescent="0.2">
      <c r="B176" s="579">
        <v>46119</v>
      </c>
      <c r="C176" s="25" t="s">
        <v>208</v>
      </c>
      <c r="D176" s="577">
        <v>0</v>
      </c>
    </row>
    <row r="177" spans="2:4" x14ac:dyDescent="0.2">
      <c r="B177" s="579">
        <v>46119</v>
      </c>
      <c r="C177" s="25" t="s">
        <v>60</v>
      </c>
      <c r="D177" s="577">
        <v>170000000</v>
      </c>
    </row>
    <row r="178" spans="2:4" x14ac:dyDescent="0.2">
      <c r="B178" s="579">
        <v>46119</v>
      </c>
      <c r="C178" s="25" t="s">
        <v>36</v>
      </c>
      <c r="D178" s="577">
        <v>2352120000</v>
      </c>
    </row>
    <row r="179" spans="2:4" x14ac:dyDescent="0.2">
      <c r="B179" s="579">
        <v>46119</v>
      </c>
      <c r="C179" s="25" t="s">
        <v>55</v>
      </c>
      <c r="D179" s="577">
        <v>1111890000</v>
      </c>
    </row>
    <row r="180" spans="2:4" x14ac:dyDescent="0.2">
      <c r="B180" s="579">
        <v>46119</v>
      </c>
      <c r="C180" s="25" t="s">
        <v>176</v>
      </c>
      <c r="D180" s="577">
        <v>8941124</v>
      </c>
    </row>
    <row r="181" spans="2:4" x14ac:dyDescent="0.2">
      <c r="B181" s="579">
        <v>46119</v>
      </c>
      <c r="C181" s="25" t="s">
        <v>39</v>
      </c>
      <c r="D181" s="577">
        <v>1133115086</v>
      </c>
    </row>
    <row r="182" spans="2:4" x14ac:dyDescent="0.2">
      <c r="B182" s="579">
        <v>46119</v>
      </c>
      <c r="C182" s="25" t="s">
        <v>206</v>
      </c>
      <c r="D182" s="577">
        <v>0</v>
      </c>
    </row>
    <row r="183" spans="2:4" x14ac:dyDescent="0.2">
      <c r="B183" s="579">
        <v>46119</v>
      </c>
      <c r="C183" s="25" t="s">
        <v>64</v>
      </c>
      <c r="D183" s="577">
        <v>35750000</v>
      </c>
    </row>
    <row r="184" spans="2:4" x14ac:dyDescent="0.2">
      <c r="B184" s="579">
        <v>46119</v>
      </c>
      <c r="C184" s="25" t="s">
        <v>237</v>
      </c>
      <c r="D184" s="577">
        <v>49000000</v>
      </c>
    </row>
    <row r="185" spans="2:4" x14ac:dyDescent="0.2">
      <c r="B185" s="579">
        <v>46119</v>
      </c>
      <c r="C185" s="25" t="s">
        <v>11</v>
      </c>
      <c r="D185" s="577">
        <v>15016120000</v>
      </c>
    </row>
    <row r="186" spans="2:4" x14ac:dyDescent="0.2">
      <c r="B186" s="579">
        <v>46119</v>
      </c>
      <c r="C186" s="25" t="s">
        <v>221</v>
      </c>
      <c r="D186" s="577">
        <v>0</v>
      </c>
    </row>
    <row r="187" spans="2:4" x14ac:dyDescent="0.2">
      <c r="B187" s="579">
        <v>46119</v>
      </c>
      <c r="C187" s="25" t="s">
        <v>222</v>
      </c>
      <c r="D187" s="577">
        <v>0</v>
      </c>
    </row>
    <row r="188" spans="2:4" x14ac:dyDescent="0.2">
      <c r="B188" s="579">
        <v>46119</v>
      </c>
      <c r="C188" s="25" t="s">
        <v>223</v>
      </c>
      <c r="D188" s="577">
        <v>0</v>
      </c>
    </row>
    <row r="189" spans="2:4" x14ac:dyDescent="0.2">
      <c r="B189" s="579">
        <v>46119</v>
      </c>
      <c r="C189" s="25" t="s">
        <v>219</v>
      </c>
      <c r="D189" s="577">
        <v>0</v>
      </c>
    </row>
    <row r="190" spans="2:4" x14ac:dyDescent="0.2">
      <c r="B190" s="579">
        <v>46119</v>
      </c>
      <c r="C190" s="25" t="s">
        <v>19</v>
      </c>
      <c r="D190" s="577">
        <v>10865772000</v>
      </c>
    </row>
    <row r="191" spans="2:4" x14ac:dyDescent="0.2">
      <c r="B191" s="579">
        <v>46119</v>
      </c>
      <c r="C191" s="25" t="s">
        <v>62</v>
      </c>
      <c r="D191" s="577">
        <v>326694706</v>
      </c>
    </row>
    <row r="192" spans="2:4" x14ac:dyDescent="0.2">
      <c r="B192" s="579">
        <v>46119</v>
      </c>
      <c r="C192" s="25" t="s">
        <v>58</v>
      </c>
      <c r="D192" s="577">
        <v>42000000</v>
      </c>
    </row>
    <row r="193" spans="2:4" x14ac:dyDescent="0.2">
      <c r="B193" s="579">
        <v>46119</v>
      </c>
      <c r="C193" s="25" t="s">
        <v>61</v>
      </c>
      <c r="D193" s="577">
        <v>47000000</v>
      </c>
    </row>
    <row r="194" spans="2:4" x14ac:dyDescent="0.2">
      <c r="B194" s="579">
        <v>46119</v>
      </c>
      <c r="C194" s="25" t="s">
        <v>57</v>
      </c>
      <c r="D194" s="577">
        <v>710300000</v>
      </c>
    </row>
    <row r="195" spans="2:4" x14ac:dyDescent="0.2">
      <c r="B195" s="579">
        <v>46119</v>
      </c>
      <c r="C195" s="25" t="s">
        <v>63</v>
      </c>
      <c r="D195" s="577">
        <v>403272000</v>
      </c>
    </row>
    <row r="196" spans="2:4" x14ac:dyDescent="0.2">
      <c r="B196" s="579">
        <v>46119</v>
      </c>
      <c r="C196" s="25" t="s">
        <v>59</v>
      </c>
      <c r="D196" s="577">
        <v>546232895</v>
      </c>
    </row>
    <row r="197" spans="2:4" x14ac:dyDescent="0.2">
      <c r="B197" s="579">
        <v>46119</v>
      </c>
      <c r="C197" s="25" t="s">
        <v>31</v>
      </c>
      <c r="D197" s="577">
        <v>6696150000</v>
      </c>
    </row>
    <row r="198" spans="2:4" x14ac:dyDescent="0.2">
      <c r="B198" s="579">
        <v>46119</v>
      </c>
      <c r="C198" s="25" t="s">
        <v>234</v>
      </c>
      <c r="D198" s="577">
        <v>4320000</v>
      </c>
    </row>
    <row r="199" spans="2:4" x14ac:dyDescent="0.2">
      <c r="B199" s="579">
        <v>46120</v>
      </c>
      <c r="C199" s="25" t="s">
        <v>65</v>
      </c>
      <c r="D199" s="577">
        <v>689210000</v>
      </c>
    </row>
    <row r="200" spans="2:4" x14ac:dyDescent="0.2">
      <c r="B200" s="579">
        <v>46120</v>
      </c>
      <c r="C200" s="25" t="s">
        <v>66</v>
      </c>
      <c r="D200" s="577">
        <v>331308932</v>
      </c>
    </row>
    <row r="201" spans="2:4" x14ac:dyDescent="0.2">
      <c r="B201" s="579">
        <v>46120</v>
      </c>
      <c r="C201" s="25" t="s">
        <v>24</v>
      </c>
      <c r="D201" s="577">
        <v>16108350000</v>
      </c>
    </row>
    <row r="202" spans="2:4" x14ac:dyDescent="0.2">
      <c r="B202" s="579">
        <v>46120</v>
      </c>
      <c r="C202" s="25" t="s">
        <v>67</v>
      </c>
      <c r="D202" s="577">
        <v>1698948013</v>
      </c>
    </row>
    <row r="203" spans="2:4" x14ac:dyDescent="0.2">
      <c r="B203" s="579">
        <v>46120</v>
      </c>
      <c r="C203" s="25" t="s">
        <v>28</v>
      </c>
      <c r="D203" s="577">
        <v>14246388000</v>
      </c>
    </row>
    <row r="204" spans="2:4" x14ac:dyDescent="0.2">
      <c r="B204" s="579">
        <v>46120</v>
      </c>
      <c r="C204" s="25" t="s">
        <v>208</v>
      </c>
      <c r="D204" s="577">
        <v>0</v>
      </c>
    </row>
    <row r="205" spans="2:4" x14ac:dyDescent="0.2">
      <c r="B205" s="579">
        <v>46120</v>
      </c>
      <c r="C205" s="25" t="s">
        <v>60</v>
      </c>
      <c r="D205" s="577">
        <v>0</v>
      </c>
    </row>
    <row r="206" spans="2:4" x14ac:dyDescent="0.2">
      <c r="B206" s="579">
        <v>46120</v>
      </c>
      <c r="C206" s="25" t="s">
        <v>36</v>
      </c>
      <c r="D206" s="577">
        <v>2533400000</v>
      </c>
    </row>
    <row r="207" spans="2:4" x14ac:dyDescent="0.2">
      <c r="B207" s="579">
        <v>46120</v>
      </c>
      <c r="C207" s="25" t="s">
        <v>55</v>
      </c>
      <c r="D207" s="577">
        <v>726830000</v>
      </c>
    </row>
    <row r="208" spans="2:4" x14ac:dyDescent="0.2">
      <c r="B208" s="579">
        <v>46120</v>
      </c>
      <c r="C208" s="25" t="s">
        <v>176</v>
      </c>
      <c r="D208" s="577">
        <v>35135499</v>
      </c>
    </row>
    <row r="209" spans="2:4" x14ac:dyDescent="0.2">
      <c r="B209" s="579">
        <v>46120</v>
      </c>
      <c r="C209" s="25" t="s">
        <v>39</v>
      </c>
      <c r="D209" s="577">
        <v>1263557686</v>
      </c>
    </row>
    <row r="210" spans="2:4" x14ac:dyDescent="0.2">
      <c r="B210" s="579">
        <v>46120</v>
      </c>
      <c r="C210" s="25" t="s">
        <v>206</v>
      </c>
      <c r="D210" s="577">
        <v>0</v>
      </c>
    </row>
    <row r="211" spans="2:4" x14ac:dyDescent="0.2">
      <c r="B211" s="579">
        <v>46120</v>
      </c>
      <c r="C211" s="25" t="s">
        <v>64</v>
      </c>
      <c r="D211" s="577">
        <v>77700000</v>
      </c>
    </row>
    <row r="212" spans="2:4" x14ac:dyDescent="0.2">
      <c r="B212" s="579">
        <v>46120</v>
      </c>
      <c r="C212" s="25" t="s">
        <v>237</v>
      </c>
      <c r="D212" s="577">
        <v>0</v>
      </c>
    </row>
    <row r="213" spans="2:4" x14ac:dyDescent="0.2">
      <c r="B213" s="579">
        <v>46120</v>
      </c>
      <c r="C213" s="25" t="s">
        <v>11</v>
      </c>
      <c r="D213" s="577">
        <v>16870560000</v>
      </c>
    </row>
    <row r="214" spans="2:4" x14ac:dyDescent="0.2">
      <c r="B214" s="579">
        <v>46120</v>
      </c>
      <c r="C214" s="25" t="s">
        <v>221</v>
      </c>
      <c r="D214" s="577">
        <v>0</v>
      </c>
    </row>
    <row r="215" spans="2:4" x14ac:dyDescent="0.2">
      <c r="B215" s="579">
        <v>46120</v>
      </c>
      <c r="C215" s="25" t="s">
        <v>222</v>
      </c>
      <c r="D215" s="577">
        <v>0</v>
      </c>
    </row>
    <row r="216" spans="2:4" x14ac:dyDescent="0.2">
      <c r="B216" s="579">
        <v>46120</v>
      </c>
      <c r="C216" s="25" t="s">
        <v>223</v>
      </c>
      <c r="D216" s="577">
        <v>0</v>
      </c>
    </row>
    <row r="217" spans="2:4" x14ac:dyDescent="0.2">
      <c r="B217" s="579">
        <v>46120</v>
      </c>
      <c r="C217" s="25" t="s">
        <v>219</v>
      </c>
      <c r="D217" s="577">
        <v>5000000</v>
      </c>
    </row>
    <row r="218" spans="2:4" x14ac:dyDescent="0.2">
      <c r="B218" s="579">
        <v>46120</v>
      </c>
      <c r="C218" s="25" t="s">
        <v>19</v>
      </c>
      <c r="D218" s="577">
        <v>10242288000</v>
      </c>
    </row>
    <row r="219" spans="2:4" x14ac:dyDescent="0.2">
      <c r="B219" s="579">
        <v>46120</v>
      </c>
      <c r="C219" s="25" t="s">
        <v>62</v>
      </c>
      <c r="D219" s="577">
        <v>267798669</v>
      </c>
    </row>
    <row r="220" spans="2:4" x14ac:dyDescent="0.2">
      <c r="B220" s="579">
        <v>46120</v>
      </c>
      <c r="C220" s="25" t="s">
        <v>58</v>
      </c>
      <c r="D220" s="577">
        <v>52000000</v>
      </c>
    </row>
    <row r="221" spans="2:4" x14ac:dyDescent="0.2">
      <c r="B221" s="579">
        <v>46120</v>
      </c>
      <c r="C221" s="25" t="s">
        <v>61</v>
      </c>
      <c r="D221" s="577">
        <v>72000000</v>
      </c>
    </row>
    <row r="222" spans="2:4" x14ac:dyDescent="0.2">
      <c r="B222" s="579">
        <v>46120</v>
      </c>
      <c r="C222" s="25" t="s">
        <v>57</v>
      </c>
      <c r="D222" s="577">
        <v>779900000</v>
      </c>
    </row>
    <row r="223" spans="2:4" x14ac:dyDescent="0.2">
      <c r="B223" s="579">
        <v>46120</v>
      </c>
      <c r="C223" s="25" t="s">
        <v>63</v>
      </c>
      <c r="D223" s="577">
        <v>356292000</v>
      </c>
    </row>
    <row r="224" spans="2:4" x14ac:dyDescent="0.2">
      <c r="B224" s="579">
        <v>46120</v>
      </c>
      <c r="C224" s="25" t="s">
        <v>59</v>
      </c>
      <c r="D224" s="577">
        <v>413342105</v>
      </c>
    </row>
    <row r="225" spans="2:4" x14ac:dyDescent="0.2">
      <c r="B225" s="579">
        <v>46120</v>
      </c>
      <c r="C225" s="25" t="s">
        <v>31</v>
      </c>
      <c r="D225" s="577">
        <v>5908770000</v>
      </c>
    </row>
    <row r="226" spans="2:4" x14ac:dyDescent="0.2">
      <c r="B226" s="579">
        <v>46120</v>
      </c>
      <c r="C226" s="25" t="s">
        <v>234</v>
      </c>
      <c r="D226" s="577">
        <v>10800000</v>
      </c>
    </row>
    <row r="227" spans="2:4" x14ac:dyDescent="0.2">
      <c r="B227" s="579">
        <v>46121</v>
      </c>
      <c r="C227" s="25" t="s">
        <v>65</v>
      </c>
      <c r="D227" s="577">
        <v>627800000</v>
      </c>
    </row>
    <row r="228" spans="2:4" x14ac:dyDescent="0.2">
      <c r="B228" s="579">
        <v>46121</v>
      </c>
      <c r="C228" s="25" t="s">
        <v>66</v>
      </c>
      <c r="D228" s="577">
        <v>330557519</v>
      </c>
    </row>
    <row r="229" spans="2:4" x14ac:dyDescent="0.2">
      <c r="B229" s="579">
        <v>46121</v>
      </c>
      <c r="C229" s="25" t="s">
        <v>24</v>
      </c>
      <c r="D229" s="577">
        <v>17443040000</v>
      </c>
    </row>
    <row r="230" spans="2:4" x14ac:dyDescent="0.2">
      <c r="B230" s="579">
        <v>46121</v>
      </c>
      <c r="C230" s="25" t="s">
        <v>67</v>
      </c>
      <c r="D230" s="577">
        <v>2092921255</v>
      </c>
    </row>
    <row r="231" spans="2:4" x14ac:dyDescent="0.2">
      <c r="B231" s="579">
        <v>46121</v>
      </c>
      <c r="C231" s="25" t="s">
        <v>28</v>
      </c>
      <c r="D231" s="577">
        <v>15453072000</v>
      </c>
    </row>
    <row r="232" spans="2:4" x14ac:dyDescent="0.2">
      <c r="B232" s="579">
        <v>46121</v>
      </c>
      <c r="C232" s="25" t="s">
        <v>208</v>
      </c>
      <c r="D232" s="577">
        <v>0</v>
      </c>
    </row>
    <row r="233" spans="2:4" x14ac:dyDescent="0.2">
      <c r="B233" s="579">
        <v>46121</v>
      </c>
      <c r="C233" s="25" t="s">
        <v>60</v>
      </c>
      <c r="D233" s="577">
        <v>160000000</v>
      </c>
    </row>
    <row r="234" spans="2:4" x14ac:dyDescent="0.2">
      <c r="B234" s="579">
        <v>46121</v>
      </c>
      <c r="C234" s="25" t="s">
        <v>36</v>
      </c>
      <c r="D234" s="577">
        <v>2707270000</v>
      </c>
    </row>
    <row r="235" spans="2:4" x14ac:dyDescent="0.2">
      <c r="B235" s="579">
        <v>46121</v>
      </c>
      <c r="C235" s="25" t="s">
        <v>55</v>
      </c>
      <c r="D235" s="577">
        <v>774550000</v>
      </c>
    </row>
    <row r="236" spans="2:4" x14ac:dyDescent="0.2">
      <c r="B236" s="579">
        <v>46121</v>
      </c>
      <c r="C236" s="25" t="s">
        <v>176</v>
      </c>
      <c r="D236" s="577">
        <v>15950594</v>
      </c>
    </row>
    <row r="237" spans="2:4" x14ac:dyDescent="0.2">
      <c r="B237" s="579">
        <v>46121</v>
      </c>
      <c r="C237" s="25" t="s">
        <v>39</v>
      </c>
      <c r="D237" s="577">
        <v>1169180632</v>
      </c>
    </row>
    <row r="238" spans="2:4" x14ac:dyDescent="0.2">
      <c r="B238" s="579">
        <v>46121</v>
      </c>
      <c r="C238" s="25" t="s">
        <v>206</v>
      </c>
      <c r="D238" s="577">
        <v>0</v>
      </c>
    </row>
    <row r="239" spans="2:4" x14ac:dyDescent="0.2">
      <c r="B239" s="579">
        <v>46121</v>
      </c>
      <c r="C239" s="25" t="s">
        <v>64</v>
      </c>
      <c r="D239" s="577">
        <v>40750000</v>
      </c>
    </row>
    <row r="240" spans="2:4" x14ac:dyDescent="0.2">
      <c r="B240" s="579">
        <v>46121</v>
      </c>
      <c r="C240" s="25" t="s">
        <v>237</v>
      </c>
      <c r="D240" s="577">
        <v>0</v>
      </c>
    </row>
    <row r="241" spans="2:4" x14ac:dyDescent="0.2">
      <c r="B241" s="579">
        <v>46121</v>
      </c>
      <c r="C241" s="25" t="s">
        <v>11</v>
      </c>
      <c r="D241" s="577">
        <v>15938400000</v>
      </c>
    </row>
    <row r="242" spans="2:4" x14ac:dyDescent="0.2">
      <c r="B242" s="579">
        <v>46121</v>
      </c>
      <c r="C242" s="25" t="s">
        <v>221</v>
      </c>
      <c r="D242" s="577">
        <v>0</v>
      </c>
    </row>
    <row r="243" spans="2:4" x14ac:dyDescent="0.2">
      <c r="B243" s="579">
        <v>46121</v>
      </c>
      <c r="C243" s="25" t="s">
        <v>222</v>
      </c>
      <c r="D243" s="577">
        <v>0</v>
      </c>
    </row>
    <row r="244" spans="2:4" x14ac:dyDescent="0.2">
      <c r="B244" s="579">
        <v>46121</v>
      </c>
      <c r="C244" s="25" t="s">
        <v>223</v>
      </c>
      <c r="D244" s="577">
        <v>0</v>
      </c>
    </row>
    <row r="245" spans="2:4" x14ac:dyDescent="0.2">
      <c r="B245" s="579">
        <v>46121</v>
      </c>
      <c r="C245" s="25" t="s">
        <v>219</v>
      </c>
      <c r="D245" s="577">
        <v>0</v>
      </c>
    </row>
    <row r="246" spans="2:4" x14ac:dyDescent="0.2">
      <c r="B246" s="579">
        <v>46121</v>
      </c>
      <c r="C246" s="25" t="s">
        <v>19</v>
      </c>
      <c r="D246" s="577">
        <v>10114092000</v>
      </c>
    </row>
    <row r="247" spans="2:4" x14ac:dyDescent="0.2">
      <c r="B247" s="579">
        <v>46121</v>
      </c>
      <c r="C247" s="25" t="s">
        <v>62</v>
      </c>
      <c r="D247" s="577">
        <v>249829358</v>
      </c>
    </row>
    <row r="248" spans="2:4" x14ac:dyDescent="0.2">
      <c r="B248" s="579">
        <v>46121</v>
      </c>
      <c r="C248" s="25" t="s">
        <v>58</v>
      </c>
      <c r="D248" s="577">
        <v>42000000</v>
      </c>
    </row>
    <row r="249" spans="2:4" x14ac:dyDescent="0.2">
      <c r="B249" s="579">
        <v>46121</v>
      </c>
      <c r="C249" s="25" t="s">
        <v>61</v>
      </c>
      <c r="D249" s="577">
        <v>45000000</v>
      </c>
    </row>
    <row r="250" spans="2:4" x14ac:dyDescent="0.2">
      <c r="B250" s="579">
        <v>46121</v>
      </c>
      <c r="C250" s="25" t="s">
        <v>57</v>
      </c>
      <c r="D250" s="577">
        <v>867440000</v>
      </c>
    </row>
    <row r="251" spans="2:4" x14ac:dyDescent="0.2">
      <c r="B251" s="579">
        <v>46121</v>
      </c>
      <c r="C251" s="25" t="s">
        <v>63</v>
      </c>
      <c r="D251" s="577">
        <v>373788000</v>
      </c>
    </row>
    <row r="252" spans="2:4" x14ac:dyDescent="0.2">
      <c r="B252" s="579">
        <v>46121</v>
      </c>
      <c r="C252" s="25" t="s">
        <v>59</v>
      </c>
      <c r="D252" s="577">
        <v>448450851</v>
      </c>
    </row>
    <row r="253" spans="2:4" x14ac:dyDescent="0.2">
      <c r="B253" s="579">
        <v>46121</v>
      </c>
      <c r="C253" s="25" t="s">
        <v>31</v>
      </c>
      <c r="D253" s="577">
        <v>6647070000</v>
      </c>
    </row>
    <row r="254" spans="2:4" x14ac:dyDescent="0.2">
      <c r="B254" s="579">
        <v>46121</v>
      </c>
      <c r="C254" s="25" t="s">
        <v>234</v>
      </c>
      <c r="D254" s="577">
        <v>0</v>
      </c>
    </row>
    <row r="255" spans="2:4" x14ac:dyDescent="0.2">
      <c r="B255" s="579">
        <v>46122</v>
      </c>
      <c r="C255" s="25" t="s">
        <v>65</v>
      </c>
      <c r="D255" s="577">
        <v>662610000</v>
      </c>
    </row>
    <row r="256" spans="2:4" x14ac:dyDescent="0.2">
      <c r="B256" s="579">
        <v>46122</v>
      </c>
      <c r="C256" s="25" t="s">
        <v>66</v>
      </c>
      <c r="D256" s="577">
        <v>303036975</v>
      </c>
    </row>
    <row r="257" spans="2:4" x14ac:dyDescent="0.2">
      <c r="B257" s="579">
        <v>46122</v>
      </c>
      <c r="C257" s="25" t="s">
        <v>24</v>
      </c>
      <c r="D257" s="577">
        <v>16824250000</v>
      </c>
    </row>
    <row r="258" spans="2:4" x14ac:dyDescent="0.2">
      <c r="B258" s="579">
        <v>46122</v>
      </c>
      <c r="C258" s="25" t="s">
        <v>67</v>
      </c>
      <c r="D258" s="577">
        <v>2520438537</v>
      </c>
    </row>
    <row r="259" spans="2:4" x14ac:dyDescent="0.2">
      <c r="B259" s="579">
        <v>46122</v>
      </c>
      <c r="C259" s="25" t="s">
        <v>28</v>
      </c>
      <c r="D259" s="577">
        <v>20986668000</v>
      </c>
    </row>
    <row r="260" spans="2:4" x14ac:dyDescent="0.2">
      <c r="B260" s="579">
        <v>46122</v>
      </c>
      <c r="C260" s="25" t="s">
        <v>208</v>
      </c>
      <c r="D260" s="577">
        <v>0</v>
      </c>
    </row>
    <row r="261" spans="2:4" x14ac:dyDescent="0.2">
      <c r="B261" s="579">
        <v>46122</v>
      </c>
      <c r="C261" s="25" t="s">
        <v>60</v>
      </c>
      <c r="D261" s="577">
        <v>0</v>
      </c>
    </row>
    <row r="262" spans="2:4" x14ac:dyDescent="0.2">
      <c r="B262" s="579">
        <v>46122</v>
      </c>
      <c r="C262" s="25" t="s">
        <v>36</v>
      </c>
      <c r="D262" s="577">
        <v>2979680000</v>
      </c>
    </row>
    <row r="263" spans="2:4" x14ac:dyDescent="0.2">
      <c r="B263" s="579">
        <v>46122</v>
      </c>
      <c r="C263" s="25" t="s">
        <v>55</v>
      </c>
      <c r="D263" s="577">
        <v>1144350000</v>
      </c>
    </row>
    <row r="264" spans="2:4" x14ac:dyDescent="0.2">
      <c r="B264" s="579">
        <v>46122</v>
      </c>
      <c r="C264" s="25" t="s">
        <v>176</v>
      </c>
      <c r="D264" s="577">
        <v>3038883</v>
      </c>
    </row>
    <row r="265" spans="2:4" x14ac:dyDescent="0.2">
      <c r="B265" s="579">
        <v>46122</v>
      </c>
      <c r="C265" s="25" t="s">
        <v>39</v>
      </c>
      <c r="D265" s="577">
        <v>1389954668</v>
      </c>
    </row>
    <row r="266" spans="2:4" x14ac:dyDescent="0.2">
      <c r="B266" s="579">
        <v>46122</v>
      </c>
      <c r="C266" s="25" t="s">
        <v>206</v>
      </c>
      <c r="D266" s="577">
        <v>0</v>
      </c>
    </row>
    <row r="267" spans="2:4" x14ac:dyDescent="0.2">
      <c r="B267" s="579">
        <v>46122</v>
      </c>
      <c r="C267" s="25" t="s">
        <v>64</v>
      </c>
      <c r="D267" s="577">
        <v>99750000</v>
      </c>
    </row>
    <row r="268" spans="2:4" x14ac:dyDescent="0.2">
      <c r="B268" s="579">
        <v>46122</v>
      </c>
      <c r="C268" s="25" t="s">
        <v>237</v>
      </c>
      <c r="D268" s="577">
        <v>0</v>
      </c>
    </row>
    <row r="269" spans="2:4" x14ac:dyDescent="0.2">
      <c r="B269" s="579">
        <v>46122</v>
      </c>
      <c r="C269" s="25" t="s">
        <v>11</v>
      </c>
      <c r="D269" s="577">
        <v>19497540000</v>
      </c>
    </row>
    <row r="270" spans="2:4" x14ac:dyDescent="0.2">
      <c r="B270" s="579">
        <v>46122</v>
      </c>
      <c r="C270" s="25" t="s">
        <v>221</v>
      </c>
      <c r="D270" s="577">
        <v>0</v>
      </c>
    </row>
    <row r="271" spans="2:4" x14ac:dyDescent="0.2">
      <c r="B271" s="579">
        <v>46122</v>
      </c>
      <c r="C271" s="25" t="s">
        <v>222</v>
      </c>
      <c r="D271" s="577">
        <v>0</v>
      </c>
    </row>
    <row r="272" spans="2:4" x14ac:dyDescent="0.2">
      <c r="B272" s="579">
        <v>46122</v>
      </c>
      <c r="C272" s="25" t="s">
        <v>223</v>
      </c>
      <c r="D272" s="577">
        <v>0</v>
      </c>
    </row>
    <row r="273" spans="2:4" x14ac:dyDescent="0.2">
      <c r="B273" s="579">
        <v>46122</v>
      </c>
      <c r="C273" s="25" t="s">
        <v>219</v>
      </c>
      <c r="D273" s="577">
        <v>0</v>
      </c>
    </row>
    <row r="274" spans="2:4" x14ac:dyDescent="0.2">
      <c r="B274" s="579">
        <v>46122</v>
      </c>
      <c r="C274" s="25" t="s">
        <v>19</v>
      </c>
      <c r="D274" s="577">
        <v>15692292000</v>
      </c>
    </row>
    <row r="275" spans="2:4" x14ac:dyDescent="0.2">
      <c r="B275" s="579">
        <v>46122</v>
      </c>
      <c r="C275" s="25" t="s">
        <v>62</v>
      </c>
      <c r="D275" s="577">
        <v>248584146</v>
      </c>
    </row>
    <row r="276" spans="2:4" x14ac:dyDescent="0.2">
      <c r="B276" s="579">
        <v>46122</v>
      </c>
      <c r="C276" s="25" t="s">
        <v>58</v>
      </c>
      <c r="D276" s="577">
        <v>31000000</v>
      </c>
    </row>
    <row r="277" spans="2:4" x14ac:dyDescent="0.2">
      <c r="B277" s="579">
        <v>46122</v>
      </c>
      <c r="C277" s="25" t="s">
        <v>61</v>
      </c>
      <c r="D277" s="577">
        <v>31000000</v>
      </c>
    </row>
    <row r="278" spans="2:4" x14ac:dyDescent="0.2">
      <c r="B278" s="579">
        <v>46122</v>
      </c>
      <c r="C278" s="25" t="s">
        <v>57</v>
      </c>
      <c r="D278" s="577">
        <v>1104220000</v>
      </c>
    </row>
    <row r="279" spans="2:4" x14ac:dyDescent="0.2">
      <c r="B279" s="579">
        <v>46122</v>
      </c>
      <c r="C279" s="25" t="s">
        <v>63</v>
      </c>
      <c r="D279" s="577">
        <v>393660000</v>
      </c>
    </row>
    <row r="280" spans="2:4" x14ac:dyDescent="0.2">
      <c r="B280" s="579">
        <v>46122</v>
      </c>
      <c r="C280" s="25" t="s">
        <v>59</v>
      </c>
      <c r="D280" s="577">
        <v>379675871</v>
      </c>
    </row>
    <row r="281" spans="2:4" x14ac:dyDescent="0.2">
      <c r="B281" s="579">
        <v>46122</v>
      </c>
      <c r="C281" s="25" t="s">
        <v>31</v>
      </c>
      <c r="D281" s="577">
        <v>7207520000</v>
      </c>
    </row>
    <row r="282" spans="2:4" x14ac:dyDescent="0.2">
      <c r="B282" s="579">
        <v>46122</v>
      </c>
      <c r="C282" s="25" t="s">
        <v>234</v>
      </c>
      <c r="D282" s="577">
        <v>3240000</v>
      </c>
    </row>
    <row r="283" spans="2:4" x14ac:dyDescent="0.2">
      <c r="B283" s="579">
        <v>46123</v>
      </c>
      <c r="C283" s="25" t="s">
        <v>65</v>
      </c>
      <c r="D283" s="577">
        <v>563600000</v>
      </c>
    </row>
    <row r="284" spans="2:4" x14ac:dyDescent="0.2">
      <c r="B284" s="579">
        <v>46123</v>
      </c>
      <c r="C284" s="25" t="s">
        <v>66</v>
      </c>
      <c r="D284" s="577">
        <v>265177744</v>
      </c>
    </row>
    <row r="285" spans="2:4" x14ac:dyDescent="0.2">
      <c r="B285" s="579">
        <v>46123</v>
      </c>
      <c r="C285" s="25" t="s">
        <v>24</v>
      </c>
      <c r="D285" s="577">
        <v>13512620000</v>
      </c>
    </row>
    <row r="286" spans="2:4" x14ac:dyDescent="0.2">
      <c r="B286" s="579">
        <v>46123</v>
      </c>
      <c r="C286" s="25" t="s">
        <v>67</v>
      </c>
      <c r="D286" s="577">
        <v>1393909416</v>
      </c>
    </row>
    <row r="287" spans="2:4" x14ac:dyDescent="0.2">
      <c r="B287" s="579">
        <v>46123</v>
      </c>
      <c r="C287" s="25" t="s">
        <v>28</v>
      </c>
      <c r="D287" s="577">
        <v>15474348000</v>
      </c>
    </row>
    <row r="288" spans="2:4" x14ac:dyDescent="0.2">
      <c r="B288" s="579">
        <v>46123</v>
      </c>
      <c r="C288" s="25" t="s">
        <v>208</v>
      </c>
      <c r="D288" s="577">
        <v>0</v>
      </c>
    </row>
    <row r="289" spans="2:4" x14ac:dyDescent="0.2">
      <c r="B289" s="579">
        <v>46123</v>
      </c>
      <c r="C289" s="25" t="s">
        <v>60</v>
      </c>
      <c r="D289" s="577">
        <v>90000000</v>
      </c>
    </row>
    <row r="290" spans="2:4" x14ac:dyDescent="0.2">
      <c r="B290" s="579">
        <v>46123</v>
      </c>
      <c r="C290" s="25" t="s">
        <v>36</v>
      </c>
      <c r="D290" s="577">
        <v>3246320000</v>
      </c>
    </row>
    <row r="291" spans="2:4" x14ac:dyDescent="0.2">
      <c r="B291" s="579">
        <v>46123</v>
      </c>
      <c r="C291" s="25" t="s">
        <v>55</v>
      </c>
      <c r="D291" s="577">
        <v>726040000</v>
      </c>
    </row>
    <row r="292" spans="2:4" x14ac:dyDescent="0.2">
      <c r="B292" s="579">
        <v>46123</v>
      </c>
      <c r="C292" s="25" t="s">
        <v>176</v>
      </c>
      <c r="D292" s="577">
        <v>2678744</v>
      </c>
    </row>
    <row r="293" spans="2:4" x14ac:dyDescent="0.2">
      <c r="B293" s="579">
        <v>46123</v>
      </c>
      <c r="C293" s="25" t="s">
        <v>39</v>
      </c>
      <c r="D293" s="577">
        <v>1437630222</v>
      </c>
    </row>
    <row r="294" spans="2:4" x14ac:dyDescent="0.2">
      <c r="B294" s="579">
        <v>46123</v>
      </c>
      <c r="C294" s="25" t="s">
        <v>206</v>
      </c>
      <c r="D294" s="577">
        <v>0</v>
      </c>
    </row>
    <row r="295" spans="2:4" x14ac:dyDescent="0.2">
      <c r="B295" s="579">
        <v>46123</v>
      </c>
      <c r="C295" s="25" t="s">
        <v>64</v>
      </c>
      <c r="D295" s="577">
        <v>10000000</v>
      </c>
    </row>
    <row r="296" spans="2:4" x14ac:dyDescent="0.2">
      <c r="B296" s="579">
        <v>46123</v>
      </c>
      <c r="C296" s="25" t="s">
        <v>237</v>
      </c>
      <c r="D296" s="577">
        <v>0</v>
      </c>
    </row>
    <row r="297" spans="2:4" x14ac:dyDescent="0.2">
      <c r="B297" s="579">
        <v>46123</v>
      </c>
      <c r="C297" s="25" t="s">
        <v>11</v>
      </c>
      <c r="D297" s="577">
        <v>16632280000</v>
      </c>
    </row>
    <row r="298" spans="2:4" x14ac:dyDescent="0.2">
      <c r="B298" s="579">
        <v>46123</v>
      </c>
      <c r="C298" s="25" t="s">
        <v>221</v>
      </c>
      <c r="D298" s="577">
        <v>0</v>
      </c>
    </row>
    <row r="299" spans="2:4" x14ac:dyDescent="0.2">
      <c r="B299" s="579">
        <v>46123</v>
      </c>
      <c r="C299" s="25" t="s">
        <v>222</v>
      </c>
      <c r="D299" s="577">
        <v>0</v>
      </c>
    </row>
    <row r="300" spans="2:4" x14ac:dyDescent="0.2">
      <c r="B300" s="579">
        <v>46123</v>
      </c>
      <c r="C300" s="25" t="s">
        <v>223</v>
      </c>
      <c r="D300" s="577">
        <v>0</v>
      </c>
    </row>
    <row r="301" spans="2:4" x14ac:dyDescent="0.2">
      <c r="B301" s="579">
        <v>46123</v>
      </c>
      <c r="C301" s="25" t="s">
        <v>219</v>
      </c>
      <c r="D301" s="577">
        <v>0</v>
      </c>
    </row>
    <row r="302" spans="2:4" x14ac:dyDescent="0.2">
      <c r="B302" s="579">
        <v>46123</v>
      </c>
      <c r="C302" s="25" t="s">
        <v>19</v>
      </c>
      <c r="D302" s="577">
        <v>12623040000</v>
      </c>
    </row>
    <row r="303" spans="2:4" x14ac:dyDescent="0.2">
      <c r="B303" s="579">
        <v>46123</v>
      </c>
      <c r="C303" s="25" t="s">
        <v>62</v>
      </c>
      <c r="D303" s="577">
        <v>187797328</v>
      </c>
    </row>
    <row r="304" spans="2:4" x14ac:dyDescent="0.2">
      <c r="B304" s="579">
        <v>46123</v>
      </c>
      <c r="C304" s="25" t="s">
        <v>58</v>
      </c>
      <c r="D304" s="577">
        <v>57750000</v>
      </c>
    </row>
    <row r="305" spans="2:4" x14ac:dyDescent="0.2">
      <c r="B305" s="579">
        <v>46123</v>
      </c>
      <c r="C305" s="25" t="s">
        <v>61</v>
      </c>
      <c r="D305" s="577">
        <v>30000000</v>
      </c>
    </row>
    <row r="306" spans="2:4" x14ac:dyDescent="0.2">
      <c r="B306" s="579">
        <v>46123</v>
      </c>
      <c r="C306" s="25" t="s">
        <v>57</v>
      </c>
      <c r="D306" s="577">
        <v>626120000</v>
      </c>
    </row>
    <row r="307" spans="2:4" x14ac:dyDescent="0.2">
      <c r="B307" s="579">
        <v>46123</v>
      </c>
      <c r="C307" s="25" t="s">
        <v>63</v>
      </c>
      <c r="D307" s="577">
        <v>302292000</v>
      </c>
    </row>
    <row r="308" spans="2:4" x14ac:dyDescent="0.2">
      <c r="B308" s="579">
        <v>46123</v>
      </c>
      <c r="C308" s="25" t="s">
        <v>59</v>
      </c>
      <c r="D308" s="577">
        <v>323468087</v>
      </c>
    </row>
    <row r="309" spans="2:4" x14ac:dyDescent="0.2">
      <c r="B309" s="579">
        <v>46123</v>
      </c>
      <c r="C309" s="25" t="s">
        <v>31</v>
      </c>
      <c r="D309" s="577">
        <v>5508250000</v>
      </c>
    </row>
    <row r="310" spans="2:4" x14ac:dyDescent="0.2">
      <c r="B310" s="579">
        <v>46123</v>
      </c>
      <c r="C310" s="25" t="s">
        <v>234</v>
      </c>
      <c r="D310" s="577">
        <v>0</v>
      </c>
    </row>
    <row r="311" spans="2:4" x14ac:dyDescent="0.2">
      <c r="B311" s="579">
        <v>46124</v>
      </c>
      <c r="C311" s="25" t="s">
        <v>65</v>
      </c>
      <c r="D311" s="577">
        <v>671250000</v>
      </c>
    </row>
    <row r="312" spans="2:4" x14ac:dyDescent="0.2">
      <c r="B312" s="579">
        <v>46124</v>
      </c>
      <c r="C312" s="25" t="s">
        <v>66</v>
      </c>
      <c r="D312" s="577">
        <v>316296496</v>
      </c>
    </row>
    <row r="313" spans="2:4" x14ac:dyDescent="0.2">
      <c r="B313" s="579">
        <v>46124</v>
      </c>
      <c r="C313" s="25" t="s">
        <v>24</v>
      </c>
      <c r="D313" s="577">
        <v>10894830000</v>
      </c>
    </row>
    <row r="314" spans="2:4" x14ac:dyDescent="0.2">
      <c r="B314" s="579">
        <v>46124</v>
      </c>
      <c r="C314" s="25" t="s">
        <v>67</v>
      </c>
      <c r="D314" s="577">
        <v>1236101463</v>
      </c>
    </row>
    <row r="315" spans="2:4" x14ac:dyDescent="0.2">
      <c r="B315" s="579">
        <v>46124</v>
      </c>
      <c r="C315" s="25" t="s">
        <v>28</v>
      </c>
      <c r="D315" s="577">
        <v>13592988000</v>
      </c>
    </row>
    <row r="316" spans="2:4" x14ac:dyDescent="0.2">
      <c r="B316" s="579">
        <v>46124</v>
      </c>
      <c r="C316" s="25" t="s">
        <v>208</v>
      </c>
      <c r="D316" s="577">
        <v>0</v>
      </c>
    </row>
    <row r="317" spans="2:4" x14ac:dyDescent="0.2">
      <c r="B317" s="579">
        <v>46124</v>
      </c>
      <c r="C317" s="25" t="s">
        <v>60</v>
      </c>
      <c r="D317" s="577">
        <v>0</v>
      </c>
    </row>
    <row r="318" spans="2:4" x14ac:dyDescent="0.2">
      <c r="B318" s="579">
        <v>46124</v>
      </c>
      <c r="C318" s="25" t="s">
        <v>36</v>
      </c>
      <c r="D318" s="577">
        <v>3536440000</v>
      </c>
    </row>
    <row r="319" spans="2:4" x14ac:dyDescent="0.2">
      <c r="B319" s="579">
        <v>46124</v>
      </c>
      <c r="C319" s="25" t="s">
        <v>55</v>
      </c>
      <c r="D319" s="577">
        <v>564090000</v>
      </c>
    </row>
    <row r="320" spans="2:4" x14ac:dyDescent="0.2">
      <c r="B320" s="579">
        <v>46124</v>
      </c>
      <c r="C320" s="25" t="s">
        <v>176</v>
      </c>
      <c r="D320" s="577">
        <v>6340708</v>
      </c>
    </row>
    <row r="321" spans="2:4" x14ac:dyDescent="0.2">
      <c r="B321" s="579">
        <v>46124</v>
      </c>
      <c r="C321" s="25" t="s">
        <v>39</v>
      </c>
      <c r="D321" s="577">
        <v>1413464582</v>
      </c>
    </row>
    <row r="322" spans="2:4" x14ac:dyDescent="0.2">
      <c r="B322" s="579">
        <v>46124</v>
      </c>
      <c r="C322" s="25" t="s">
        <v>206</v>
      </c>
      <c r="D322" s="577">
        <v>0</v>
      </c>
    </row>
    <row r="323" spans="2:4" x14ac:dyDescent="0.2">
      <c r="B323" s="579">
        <v>46124</v>
      </c>
      <c r="C323" s="25" t="s">
        <v>64</v>
      </c>
      <c r="D323" s="577">
        <v>0</v>
      </c>
    </row>
    <row r="324" spans="2:4" x14ac:dyDescent="0.2">
      <c r="B324" s="579">
        <v>46124</v>
      </c>
      <c r="C324" s="25" t="s">
        <v>237</v>
      </c>
      <c r="D324" s="577">
        <v>0</v>
      </c>
    </row>
    <row r="325" spans="2:4" x14ac:dyDescent="0.2">
      <c r="B325" s="579">
        <v>46124</v>
      </c>
      <c r="C325" s="25" t="s">
        <v>11</v>
      </c>
      <c r="D325" s="577">
        <v>16581150000</v>
      </c>
    </row>
    <row r="326" spans="2:4" x14ac:dyDescent="0.2">
      <c r="B326" s="579">
        <v>46124</v>
      </c>
      <c r="C326" s="25" t="s">
        <v>221</v>
      </c>
      <c r="D326" s="577">
        <v>0</v>
      </c>
    </row>
    <row r="327" spans="2:4" x14ac:dyDescent="0.2">
      <c r="B327" s="579">
        <v>46124</v>
      </c>
      <c r="C327" s="25" t="s">
        <v>222</v>
      </c>
      <c r="D327" s="577">
        <v>0</v>
      </c>
    </row>
    <row r="328" spans="2:4" x14ac:dyDescent="0.2">
      <c r="B328" s="579">
        <v>46124</v>
      </c>
      <c r="C328" s="25" t="s">
        <v>223</v>
      </c>
      <c r="D328" s="577">
        <v>0</v>
      </c>
    </row>
    <row r="329" spans="2:4" x14ac:dyDescent="0.2">
      <c r="B329" s="579">
        <v>46124</v>
      </c>
      <c r="C329" s="25" t="s">
        <v>219</v>
      </c>
      <c r="D329" s="577">
        <v>0</v>
      </c>
    </row>
    <row r="330" spans="2:4" x14ac:dyDescent="0.2">
      <c r="B330" s="579">
        <v>46124</v>
      </c>
      <c r="C330" s="25" t="s">
        <v>19</v>
      </c>
      <c r="D330" s="577">
        <v>10937592000</v>
      </c>
    </row>
    <row r="331" spans="2:4" x14ac:dyDescent="0.2">
      <c r="B331" s="579">
        <v>46124</v>
      </c>
      <c r="C331" s="25" t="s">
        <v>62</v>
      </c>
      <c r="D331" s="577">
        <v>197904553</v>
      </c>
    </row>
    <row r="332" spans="2:4" x14ac:dyDescent="0.2">
      <c r="B332" s="579">
        <v>46124</v>
      </c>
      <c r="C332" s="25" t="s">
        <v>58</v>
      </c>
      <c r="D332" s="577">
        <v>21000000</v>
      </c>
    </row>
    <row r="333" spans="2:4" x14ac:dyDescent="0.2">
      <c r="B333" s="579">
        <v>46124</v>
      </c>
      <c r="C333" s="25" t="s">
        <v>61</v>
      </c>
      <c r="D333" s="577">
        <v>45000000</v>
      </c>
    </row>
    <row r="334" spans="2:4" x14ac:dyDescent="0.2">
      <c r="B334" s="579">
        <v>46124</v>
      </c>
      <c r="C334" s="25" t="s">
        <v>57</v>
      </c>
      <c r="D334" s="577">
        <v>553580000</v>
      </c>
    </row>
    <row r="335" spans="2:4" x14ac:dyDescent="0.2">
      <c r="B335" s="579">
        <v>46124</v>
      </c>
      <c r="C335" s="25" t="s">
        <v>63</v>
      </c>
      <c r="D335" s="577">
        <v>275400000</v>
      </c>
    </row>
    <row r="336" spans="2:4" x14ac:dyDescent="0.2">
      <c r="B336" s="579">
        <v>46124</v>
      </c>
      <c r="C336" s="25" t="s">
        <v>59</v>
      </c>
      <c r="D336" s="577">
        <v>249197333</v>
      </c>
    </row>
    <row r="337" spans="2:4" x14ac:dyDescent="0.2">
      <c r="B337" s="579">
        <v>46124</v>
      </c>
      <c r="C337" s="25" t="s">
        <v>31</v>
      </c>
      <c r="D337" s="577">
        <v>4706910000</v>
      </c>
    </row>
    <row r="338" spans="2:4" x14ac:dyDescent="0.2">
      <c r="B338" s="579">
        <v>46124</v>
      </c>
      <c r="C338" s="25" t="s">
        <v>234</v>
      </c>
      <c r="D338" s="577">
        <v>6480000</v>
      </c>
    </row>
    <row r="339" spans="2:4" x14ac:dyDescent="0.2">
      <c r="B339" s="579">
        <v>46125</v>
      </c>
      <c r="C339" s="25" t="s">
        <v>65</v>
      </c>
      <c r="D339" s="577">
        <v>438810000</v>
      </c>
    </row>
    <row r="340" spans="2:4" x14ac:dyDescent="0.2">
      <c r="B340" s="579">
        <v>46125</v>
      </c>
      <c r="C340" s="25" t="s">
        <v>66</v>
      </c>
      <c r="D340" s="577">
        <v>273934417</v>
      </c>
    </row>
    <row r="341" spans="2:4" x14ac:dyDescent="0.2">
      <c r="B341" s="579">
        <v>46125</v>
      </c>
      <c r="C341" s="25" t="s">
        <v>24</v>
      </c>
      <c r="D341" s="577">
        <v>16424450000</v>
      </c>
    </row>
    <row r="342" spans="2:4" x14ac:dyDescent="0.2">
      <c r="B342" s="579">
        <v>46125</v>
      </c>
      <c r="C342" s="25" t="s">
        <v>67</v>
      </c>
      <c r="D342" s="577">
        <v>1602643991</v>
      </c>
    </row>
    <row r="343" spans="2:4" x14ac:dyDescent="0.2">
      <c r="B343" s="579">
        <v>46125</v>
      </c>
      <c r="C343" s="25" t="s">
        <v>28</v>
      </c>
      <c r="D343" s="577">
        <v>13723668000</v>
      </c>
    </row>
    <row r="344" spans="2:4" x14ac:dyDescent="0.2">
      <c r="B344" s="579">
        <v>46125</v>
      </c>
      <c r="C344" s="25" t="s">
        <v>208</v>
      </c>
      <c r="D344" s="577">
        <v>0</v>
      </c>
    </row>
    <row r="345" spans="2:4" x14ac:dyDescent="0.2">
      <c r="B345" s="579">
        <v>46125</v>
      </c>
      <c r="C345" s="25" t="s">
        <v>60</v>
      </c>
      <c r="D345" s="577">
        <v>0</v>
      </c>
    </row>
    <row r="346" spans="2:4" x14ac:dyDescent="0.2">
      <c r="B346" s="579">
        <v>46125</v>
      </c>
      <c r="C346" s="25" t="s">
        <v>36</v>
      </c>
      <c r="D346" s="577">
        <v>3167440000</v>
      </c>
    </row>
    <row r="347" spans="2:4" x14ac:dyDescent="0.2">
      <c r="B347" s="579">
        <v>46125</v>
      </c>
      <c r="C347" s="25" t="s">
        <v>55</v>
      </c>
      <c r="D347" s="577">
        <v>848380000</v>
      </c>
    </row>
    <row r="348" spans="2:4" x14ac:dyDescent="0.2">
      <c r="B348" s="579">
        <v>46125</v>
      </c>
      <c r="C348" s="25" t="s">
        <v>176</v>
      </c>
      <c r="D348" s="577">
        <v>5954006</v>
      </c>
    </row>
    <row r="349" spans="2:4" x14ac:dyDescent="0.2">
      <c r="B349" s="579">
        <v>46125</v>
      </c>
      <c r="C349" s="25" t="s">
        <v>39</v>
      </c>
      <c r="D349" s="577">
        <v>879939666</v>
      </c>
    </row>
    <row r="350" spans="2:4" x14ac:dyDescent="0.2">
      <c r="B350" s="579">
        <v>46125</v>
      </c>
      <c r="C350" s="25" t="s">
        <v>206</v>
      </c>
      <c r="D350" s="577">
        <v>0</v>
      </c>
    </row>
    <row r="351" spans="2:4" x14ac:dyDescent="0.2">
      <c r="B351" s="579">
        <v>46125</v>
      </c>
      <c r="C351" s="25" t="s">
        <v>64</v>
      </c>
      <c r="D351" s="577">
        <v>52500000</v>
      </c>
    </row>
    <row r="352" spans="2:4" x14ac:dyDescent="0.2">
      <c r="B352" s="579">
        <v>46125</v>
      </c>
      <c r="C352" s="25" t="s">
        <v>237</v>
      </c>
      <c r="D352" s="577">
        <v>0</v>
      </c>
    </row>
    <row r="353" spans="2:4" x14ac:dyDescent="0.2">
      <c r="B353" s="579">
        <v>46125</v>
      </c>
      <c r="C353" s="25" t="s">
        <v>11</v>
      </c>
      <c r="D353" s="577">
        <v>17959910000</v>
      </c>
    </row>
    <row r="354" spans="2:4" x14ac:dyDescent="0.2">
      <c r="B354" s="579">
        <v>46125</v>
      </c>
      <c r="C354" s="25" t="s">
        <v>221</v>
      </c>
      <c r="D354" s="577">
        <v>0</v>
      </c>
    </row>
    <row r="355" spans="2:4" x14ac:dyDescent="0.2">
      <c r="B355" s="579">
        <v>46125</v>
      </c>
      <c r="C355" s="25" t="s">
        <v>222</v>
      </c>
      <c r="D355" s="577">
        <v>0</v>
      </c>
    </row>
    <row r="356" spans="2:4" x14ac:dyDescent="0.2">
      <c r="B356" s="579">
        <v>46125</v>
      </c>
      <c r="C356" s="25" t="s">
        <v>223</v>
      </c>
      <c r="D356" s="577">
        <v>0</v>
      </c>
    </row>
    <row r="357" spans="2:4" x14ac:dyDescent="0.2">
      <c r="B357" s="579">
        <v>46125</v>
      </c>
      <c r="C357" s="25" t="s">
        <v>219</v>
      </c>
      <c r="D357" s="577">
        <v>0</v>
      </c>
    </row>
    <row r="358" spans="2:4" x14ac:dyDescent="0.2">
      <c r="B358" s="579">
        <v>46125</v>
      </c>
      <c r="C358" s="25" t="s">
        <v>19</v>
      </c>
      <c r="D358" s="577">
        <v>10580652000</v>
      </c>
    </row>
    <row r="359" spans="2:4" x14ac:dyDescent="0.2">
      <c r="B359" s="579">
        <v>46125</v>
      </c>
      <c r="C359" s="25" t="s">
        <v>62</v>
      </c>
      <c r="D359" s="577">
        <v>178900462</v>
      </c>
    </row>
    <row r="360" spans="2:4" x14ac:dyDescent="0.2">
      <c r="B360" s="579">
        <v>46125</v>
      </c>
      <c r="C360" s="25" t="s">
        <v>58</v>
      </c>
      <c r="D360" s="577">
        <v>31500000</v>
      </c>
    </row>
    <row r="361" spans="2:4" x14ac:dyDescent="0.2">
      <c r="B361" s="579">
        <v>46125</v>
      </c>
      <c r="C361" s="25" t="s">
        <v>61</v>
      </c>
      <c r="D361" s="577">
        <v>53000000</v>
      </c>
    </row>
    <row r="362" spans="2:4" x14ac:dyDescent="0.2">
      <c r="B362" s="579">
        <v>46125</v>
      </c>
      <c r="C362" s="25" t="s">
        <v>57</v>
      </c>
      <c r="D362" s="577">
        <v>537320000</v>
      </c>
    </row>
    <row r="363" spans="2:4" x14ac:dyDescent="0.2">
      <c r="B363" s="579">
        <v>46125</v>
      </c>
      <c r="C363" s="25" t="s">
        <v>63</v>
      </c>
      <c r="D363" s="577">
        <v>369684000</v>
      </c>
    </row>
    <row r="364" spans="2:4" x14ac:dyDescent="0.2">
      <c r="B364" s="579">
        <v>46125</v>
      </c>
      <c r="C364" s="25" t="s">
        <v>59</v>
      </c>
      <c r="D364" s="577">
        <v>301895258</v>
      </c>
    </row>
    <row r="365" spans="2:4" x14ac:dyDescent="0.2">
      <c r="B365" s="579">
        <v>46125</v>
      </c>
      <c r="C365" s="25" t="s">
        <v>31</v>
      </c>
      <c r="D365" s="577">
        <v>5343780000</v>
      </c>
    </row>
    <row r="366" spans="2:4" x14ac:dyDescent="0.2">
      <c r="B366" s="579">
        <v>46125</v>
      </c>
      <c r="C366" s="25" t="s">
        <v>234</v>
      </c>
      <c r="D366" s="577">
        <v>2160000</v>
      </c>
    </row>
    <row r="367" spans="2:4" x14ac:dyDescent="0.2">
      <c r="B367" s="579">
        <v>46126</v>
      </c>
      <c r="C367" s="25" t="s">
        <v>65</v>
      </c>
      <c r="D367" s="577">
        <v>386090000</v>
      </c>
    </row>
    <row r="368" spans="2:4" x14ac:dyDescent="0.2">
      <c r="B368" s="579">
        <v>46126</v>
      </c>
      <c r="C368" s="25" t="s">
        <v>66</v>
      </c>
      <c r="D368" s="577">
        <v>255411827</v>
      </c>
    </row>
    <row r="369" spans="2:4" x14ac:dyDescent="0.2">
      <c r="B369" s="579">
        <v>46126</v>
      </c>
      <c r="C369" s="25" t="s">
        <v>24</v>
      </c>
      <c r="D369" s="577">
        <v>14958530000</v>
      </c>
    </row>
    <row r="370" spans="2:4" x14ac:dyDescent="0.2">
      <c r="B370" s="579">
        <v>46126</v>
      </c>
      <c r="C370" s="25" t="s">
        <v>67</v>
      </c>
      <c r="D370" s="577">
        <v>1362590416</v>
      </c>
    </row>
    <row r="371" spans="2:4" x14ac:dyDescent="0.2">
      <c r="B371" s="579">
        <v>46126</v>
      </c>
      <c r="C371" s="25" t="s">
        <v>28</v>
      </c>
      <c r="D371" s="577">
        <v>13722588000</v>
      </c>
    </row>
    <row r="372" spans="2:4" x14ac:dyDescent="0.2">
      <c r="B372" s="579">
        <v>46126</v>
      </c>
      <c r="C372" s="25" t="s">
        <v>208</v>
      </c>
      <c r="D372" s="577">
        <v>0</v>
      </c>
    </row>
    <row r="373" spans="2:4" x14ac:dyDescent="0.2">
      <c r="B373" s="579">
        <v>46126</v>
      </c>
      <c r="C373" s="25" t="s">
        <v>60</v>
      </c>
      <c r="D373" s="577">
        <v>90000000</v>
      </c>
    </row>
    <row r="374" spans="2:4" x14ac:dyDescent="0.2">
      <c r="B374" s="579">
        <v>46126</v>
      </c>
      <c r="C374" s="25" t="s">
        <v>36</v>
      </c>
      <c r="D374" s="577">
        <v>2837450000</v>
      </c>
    </row>
    <row r="375" spans="2:4" x14ac:dyDescent="0.2">
      <c r="B375" s="579">
        <v>46126</v>
      </c>
      <c r="C375" s="25" t="s">
        <v>55</v>
      </c>
      <c r="D375" s="577">
        <v>567530000</v>
      </c>
    </row>
    <row r="376" spans="2:4" x14ac:dyDescent="0.2">
      <c r="B376" s="579">
        <v>46126</v>
      </c>
      <c r="C376" s="25" t="s">
        <v>176</v>
      </c>
      <c r="D376" s="577">
        <v>1828000</v>
      </c>
    </row>
    <row r="377" spans="2:4" x14ac:dyDescent="0.2">
      <c r="B377" s="579">
        <v>46126</v>
      </c>
      <c r="C377" s="25" t="s">
        <v>39</v>
      </c>
      <c r="D377" s="577">
        <v>932321018</v>
      </c>
    </row>
    <row r="378" spans="2:4" x14ac:dyDescent="0.2">
      <c r="B378" s="579">
        <v>46126</v>
      </c>
      <c r="C378" s="25" t="s">
        <v>206</v>
      </c>
      <c r="D378" s="577">
        <v>0</v>
      </c>
    </row>
    <row r="379" spans="2:4" x14ac:dyDescent="0.2">
      <c r="B379" s="579">
        <v>46126</v>
      </c>
      <c r="C379" s="25" t="s">
        <v>64</v>
      </c>
      <c r="D379" s="577">
        <v>93250000</v>
      </c>
    </row>
    <row r="380" spans="2:4" x14ac:dyDescent="0.2">
      <c r="B380" s="579">
        <v>46126</v>
      </c>
      <c r="C380" s="25" t="s">
        <v>237</v>
      </c>
      <c r="D380" s="577">
        <v>0</v>
      </c>
    </row>
    <row r="381" spans="2:4" x14ac:dyDescent="0.2">
      <c r="B381" s="579">
        <v>46126</v>
      </c>
      <c r="C381" s="25" t="s">
        <v>11</v>
      </c>
      <c r="D381" s="577">
        <v>18714060000</v>
      </c>
    </row>
    <row r="382" spans="2:4" x14ac:dyDescent="0.2">
      <c r="B382" s="580">
        <v>46126</v>
      </c>
      <c r="C382" s="28" t="s">
        <v>221</v>
      </c>
      <c r="D382" s="578">
        <v>0</v>
      </c>
    </row>
    <row r="383" spans="2:4" x14ac:dyDescent="0.2">
      <c r="B383" s="575">
        <v>46126</v>
      </c>
      <c r="C383" t="s">
        <v>222</v>
      </c>
      <c r="D383" s="68">
        <v>0</v>
      </c>
    </row>
    <row r="384" spans="2:4" x14ac:dyDescent="0.2">
      <c r="B384" s="575">
        <v>46126</v>
      </c>
      <c r="C384" t="s">
        <v>223</v>
      </c>
      <c r="D384" s="68">
        <v>0</v>
      </c>
    </row>
    <row r="385" spans="2:4" x14ac:dyDescent="0.2">
      <c r="B385" s="575">
        <v>46126</v>
      </c>
      <c r="C385" t="s">
        <v>219</v>
      </c>
      <c r="D385" s="68">
        <v>0</v>
      </c>
    </row>
    <row r="386" spans="2:4" x14ac:dyDescent="0.2">
      <c r="B386" s="575">
        <v>46126</v>
      </c>
      <c r="C386" t="s">
        <v>19</v>
      </c>
      <c r="D386" s="68">
        <v>10200060000</v>
      </c>
    </row>
    <row r="387" spans="2:4" x14ac:dyDescent="0.2">
      <c r="B387" s="575">
        <v>46126</v>
      </c>
      <c r="C387" t="s">
        <v>62</v>
      </c>
      <c r="D387" s="68">
        <v>157377981</v>
      </c>
    </row>
    <row r="388" spans="2:4" x14ac:dyDescent="0.2">
      <c r="B388" s="575">
        <v>46126</v>
      </c>
      <c r="C388" t="s">
        <v>58</v>
      </c>
      <c r="D388" s="68">
        <v>57750000</v>
      </c>
    </row>
    <row r="389" spans="2:4" x14ac:dyDescent="0.2">
      <c r="B389" s="575">
        <v>46126</v>
      </c>
      <c r="C389" t="s">
        <v>61</v>
      </c>
      <c r="D389" s="68">
        <v>52000000</v>
      </c>
    </row>
    <row r="390" spans="2:4" x14ac:dyDescent="0.2">
      <c r="B390" s="575">
        <v>46126</v>
      </c>
      <c r="C390" t="s">
        <v>57</v>
      </c>
      <c r="D390" s="68">
        <v>658790000</v>
      </c>
    </row>
    <row r="391" spans="2:4" x14ac:dyDescent="0.2">
      <c r="B391" s="575">
        <v>46126</v>
      </c>
      <c r="C391" t="s">
        <v>63</v>
      </c>
      <c r="D391" s="68">
        <v>349920000</v>
      </c>
    </row>
    <row r="392" spans="2:4" x14ac:dyDescent="0.2">
      <c r="B392" s="575">
        <v>46126</v>
      </c>
      <c r="C392" t="s">
        <v>59</v>
      </c>
      <c r="D392" s="68">
        <v>252671303</v>
      </c>
    </row>
    <row r="393" spans="2:4" x14ac:dyDescent="0.2">
      <c r="B393" s="575">
        <v>46126</v>
      </c>
      <c r="C393" t="s">
        <v>31</v>
      </c>
      <c r="D393" s="68">
        <v>5869520000</v>
      </c>
    </row>
    <row r="394" spans="2:4" x14ac:dyDescent="0.2">
      <c r="B394" s="575">
        <v>46126</v>
      </c>
      <c r="C394" t="s">
        <v>234</v>
      </c>
      <c r="D394" s="68">
        <v>6480000</v>
      </c>
    </row>
    <row r="395" spans="2:4" x14ac:dyDescent="0.2">
      <c r="B395" s="575">
        <v>46127</v>
      </c>
      <c r="C395" t="s">
        <v>65</v>
      </c>
      <c r="D395" s="68">
        <v>485090000</v>
      </c>
    </row>
    <row r="396" spans="2:4" x14ac:dyDescent="0.2">
      <c r="B396" s="575">
        <v>46127</v>
      </c>
      <c r="C396" t="s">
        <v>66</v>
      </c>
      <c r="D396" s="68">
        <v>255129496</v>
      </c>
    </row>
    <row r="397" spans="2:4" x14ac:dyDescent="0.2">
      <c r="B397" s="575">
        <v>46127</v>
      </c>
      <c r="C397" t="s">
        <v>24</v>
      </c>
      <c r="D397" s="68">
        <v>17456220000</v>
      </c>
    </row>
    <row r="398" spans="2:4" x14ac:dyDescent="0.2">
      <c r="B398" s="575">
        <v>46127</v>
      </c>
      <c r="C398" t="s">
        <v>67</v>
      </c>
      <c r="D398" s="68">
        <v>1675318227</v>
      </c>
    </row>
    <row r="399" spans="2:4" x14ac:dyDescent="0.2">
      <c r="B399" s="575">
        <v>46127</v>
      </c>
      <c r="C399" t="s">
        <v>28</v>
      </c>
      <c r="D399" s="68">
        <v>15747264000</v>
      </c>
    </row>
    <row r="400" spans="2:4" x14ac:dyDescent="0.2">
      <c r="B400" s="575">
        <v>46127</v>
      </c>
      <c r="C400" t="s">
        <v>208</v>
      </c>
      <c r="D400" s="68">
        <v>0</v>
      </c>
    </row>
    <row r="401" spans="2:4" x14ac:dyDescent="0.2">
      <c r="B401" s="575">
        <v>46127</v>
      </c>
      <c r="C401" t="s">
        <v>60</v>
      </c>
      <c r="D401" s="68">
        <v>0</v>
      </c>
    </row>
    <row r="402" spans="2:4" x14ac:dyDescent="0.2">
      <c r="B402" s="575">
        <v>46127</v>
      </c>
      <c r="C402" t="s">
        <v>36</v>
      </c>
      <c r="D402" s="68">
        <v>2574730000</v>
      </c>
    </row>
    <row r="403" spans="2:4" x14ac:dyDescent="0.2">
      <c r="B403" s="575">
        <v>46127</v>
      </c>
      <c r="C403" t="s">
        <v>55</v>
      </c>
      <c r="D403" s="68">
        <v>901760000</v>
      </c>
    </row>
    <row r="404" spans="2:4" x14ac:dyDescent="0.2">
      <c r="B404" s="575">
        <v>46127</v>
      </c>
      <c r="C404" t="s">
        <v>176</v>
      </c>
      <c r="D404" s="68">
        <v>5093685</v>
      </c>
    </row>
    <row r="405" spans="2:4" x14ac:dyDescent="0.2">
      <c r="B405" s="575">
        <v>46127</v>
      </c>
      <c r="C405" t="s">
        <v>39</v>
      </c>
      <c r="D405" s="68">
        <v>995142647</v>
      </c>
    </row>
    <row r="406" spans="2:4" x14ac:dyDescent="0.2">
      <c r="B406" s="575">
        <v>46127</v>
      </c>
      <c r="C406" t="s">
        <v>206</v>
      </c>
      <c r="D406" s="68">
        <v>0</v>
      </c>
    </row>
    <row r="407" spans="2:4" x14ac:dyDescent="0.2">
      <c r="B407" s="575">
        <v>46127</v>
      </c>
      <c r="C407" t="s">
        <v>64</v>
      </c>
      <c r="D407" s="68">
        <v>67500000</v>
      </c>
    </row>
    <row r="408" spans="2:4" x14ac:dyDescent="0.2">
      <c r="B408" s="575">
        <v>46127</v>
      </c>
      <c r="C408" t="s">
        <v>237</v>
      </c>
      <c r="D408" s="68">
        <v>0</v>
      </c>
    </row>
    <row r="409" spans="2:4" x14ac:dyDescent="0.2">
      <c r="B409" s="575">
        <v>46127</v>
      </c>
      <c r="C409" t="s">
        <v>11</v>
      </c>
      <c r="D409" s="68">
        <v>19516940000</v>
      </c>
    </row>
    <row r="410" spans="2:4" x14ac:dyDescent="0.2">
      <c r="B410" s="575">
        <v>46127</v>
      </c>
      <c r="C410" t="s">
        <v>221</v>
      </c>
      <c r="D410" s="68">
        <v>0</v>
      </c>
    </row>
    <row r="411" spans="2:4" x14ac:dyDescent="0.2">
      <c r="B411" s="575">
        <v>46127</v>
      </c>
      <c r="C411" t="s">
        <v>222</v>
      </c>
      <c r="D411" s="68">
        <v>0</v>
      </c>
    </row>
    <row r="412" spans="2:4" x14ac:dyDescent="0.2">
      <c r="B412" s="575">
        <v>46127</v>
      </c>
      <c r="C412" t="s">
        <v>223</v>
      </c>
      <c r="D412" s="68">
        <v>0</v>
      </c>
    </row>
    <row r="413" spans="2:4" x14ac:dyDescent="0.2">
      <c r="B413" s="575">
        <v>46127</v>
      </c>
      <c r="C413" t="s">
        <v>219</v>
      </c>
      <c r="D413" s="68">
        <v>0</v>
      </c>
    </row>
    <row r="414" spans="2:4" x14ac:dyDescent="0.2">
      <c r="B414" s="575">
        <v>46127</v>
      </c>
      <c r="C414" t="s">
        <v>19</v>
      </c>
      <c r="D414" s="68">
        <v>12952548000</v>
      </c>
    </row>
    <row r="415" spans="2:4" x14ac:dyDescent="0.2">
      <c r="B415" s="575">
        <v>46127</v>
      </c>
      <c r="C415" t="s">
        <v>62</v>
      </c>
      <c r="D415" s="68">
        <v>173992190</v>
      </c>
    </row>
    <row r="416" spans="2:4" x14ac:dyDescent="0.2">
      <c r="B416" s="575">
        <v>46127</v>
      </c>
      <c r="C416" t="s">
        <v>58</v>
      </c>
      <c r="D416" s="68">
        <v>0</v>
      </c>
    </row>
    <row r="417" spans="2:4" x14ac:dyDescent="0.2">
      <c r="B417" s="575">
        <v>46127</v>
      </c>
      <c r="C417" t="s">
        <v>61</v>
      </c>
      <c r="D417" s="68">
        <v>33000000</v>
      </c>
    </row>
    <row r="418" spans="2:4" x14ac:dyDescent="0.2">
      <c r="B418" s="575">
        <v>46127</v>
      </c>
      <c r="C418" t="s">
        <v>57</v>
      </c>
      <c r="D418" s="68">
        <v>743090000</v>
      </c>
    </row>
    <row r="419" spans="2:4" x14ac:dyDescent="0.2">
      <c r="B419" s="575">
        <v>46127</v>
      </c>
      <c r="C419" t="s">
        <v>63</v>
      </c>
      <c r="D419" s="68">
        <v>327996000</v>
      </c>
    </row>
    <row r="420" spans="2:4" x14ac:dyDescent="0.2">
      <c r="B420" s="575">
        <v>46127</v>
      </c>
      <c r="C420" t="s">
        <v>59</v>
      </c>
      <c r="D420" s="68">
        <v>270805620</v>
      </c>
    </row>
    <row r="421" spans="2:4" x14ac:dyDescent="0.2">
      <c r="B421" s="575">
        <v>46127</v>
      </c>
      <c r="C421" t="s">
        <v>31</v>
      </c>
      <c r="D421" s="68">
        <v>6386390000</v>
      </c>
    </row>
    <row r="422" spans="2:4" x14ac:dyDescent="0.2">
      <c r="B422" s="575">
        <v>46127</v>
      </c>
      <c r="C422" t="s">
        <v>234</v>
      </c>
      <c r="D422" s="68">
        <v>8640000</v>
      </c>
    </row>
    <row r="423" spans="2:4" x14ac:dyDescent="0.2">
      <c r="B423" s="575">
        <v>46128</v>
      </c>
      <c r="C423" t="s">
        <v>65</v>
      </c>
      <c r="D423" s="68">
        <v>394650000</v>
      </c>
    </row>
    <row r="424" spans="2:4" x14ac:dyDescent="0.2">
      <c r="B424" s="575">
        <v>46128</v>
      </c>
      <c r="C424" t="s">
        <v>66</v>
      </c>
      <c r="D424" s="68">
        <v>252673938</v>
      </c>
    </row>
    <row r="425" spans="2:4" x14ac:dyDescent="0.2">
      <c r="B425" s="575">
        <v>46128</v>
      </c>
      <c r="C425" t="s">
        <v>24</v>
      </c>
      <c r="D425" s="68">
        <v>15575360000</v>
      </c>
    </row>
    <row r="426" spans="2:4" x14ac:dyDescent="0.2">
      <c r="B426" s="575">
        <v>46128</v>
      </c>
      <c r="C426" t="s">
        <v>67</v>
      </c>
      <c r="D426" s="68">
        <v>1378132749</v>
      </c>
    </row>
    <row r="427" spans="2:4" x14ac:dyDescent="0.2">
      <c r="B427" s="575">
        <v>46128</v>
      </c>
      <c r="C427" t="s">
        <v>28</v>
      </c>
      <c r="D427" s="68">
        <v>14120028000</v>
      </c>
    </row>
    <row r="428" spans="2:4" x14ac:dyDescent="0.2">
      <c r="B428" s="575">
        <v>46128</v>
      </c>
      <c r="C428" t="s">
        <v>208</v>
      </c>
      <c r="D428" s="68">
        <v>0</v>
      </c>
    </row>
    <row r="429" spans="2:4" x14ac:dyDescent="0.2">
      <c r="B429" s="575">
        <v>46128</v>
      </c>
      <c r="C429" t="s">
        <v>60</v>
      </c>
      <c r="D429" s="68">
        <v>0</v>
      </c>
    </row>
    <row r="430" spans="2:4" x14ac:dyDescent="0.2">
      <c r="B430" s="575">
        <v>46128</v>
      </c>
      <c r="C430" t="s">
        <v>36</v>
      </c>
      <c r="D430" s="68">
        <v>2827170000</v>
      </c>
    </row>
    <row r="431" spans="2:4" x14ac:dyDescent="0.2">
      <c r="B431" s="575">
        <v>46128</v>
      </c>
      <c r="C431" t="s">
        <v>55</v>
      </c>
      <c r="D431" s="68">
        <v>850760000</v>
      </c>
    </row>
    <row r="432" spans="2:4" x14ac:dyDescent="0.2">
      <c r="B432" s="575">
        <v>46128</v>
      </c>
      <c r="C432" t="s">
        <v>176</v>
      </c>
      <c r="D432" s="68">
        <v>11266593</v>
      </c>
    </row>
    <row r="433" spans="2:4" x14ac:dyDescent="0.2">
      <c r="B433" s="575">
        <v>46128</v>
      </c>
      <c r="C433" t="s">
        <v>39</v>
      </c>
      <c r="D433" s="68">
        <v>864715463</v>
      </c>
    </row>
    <row r="434" spans="2:4" x14ac:dyDescent="0.2">
      <c r="B434" s="575">
        <v>46128</v>
      </c>
      <c r="C434" t="s">
        <v>206</v>
      </c>
      <c r="D434" s="68">
        <v>0</v>
      </c>
    </row>
    <row r="435" spans="2:4" x14ac:dyDescent="0.2">
      <c r="B435" s="575">
        <v>46128</v>
      </c>
      <c r="C435" t="s">
        <v>64</v>
      </c>
      <c r="D435" s="68">
        <v>40000000</v>
      </c>
    </row>
    <row r="436" spans="2:4" x14ac:dyDescent="0.2">
      <c r="B436" s="575">
        <v>46128</v>
      </c>
      <c r="C436" t="s">
        <v>237</v>
      </c>
      <c r="D436" s="68">
        <v>0</v>
      </c>
    </row>
    <row r="437" spans="2:4" x14ac:dyDescent="0.2">
      <c r="B437" s="575">
        <v>46128</v>
      </c>
      <c r="C437" t="s">
        <v>11</v>
      </c>
      <c r="D437" s="68">
        <v>18022650000</v>
      </c>
    </row>
    <row r="438" spans="2:4" x14ac:dyDescent="0.2">
      <c r="B438" s="575">
        <v>46128</v>
      </c>
      <c r="C438" t="s">
        <v>221</v>
      </c>
      <c r="D438" s="68">
        <v>0</v>
      </c>
    </row>
    <row r="439" spans="2:4" x14ac:dyDescent="0.2">
      <c r="B439" s="575">
        <v>46128</v>
      </c>
      <c r="C439" t="s">
        <v>222</v>
      </c>
      <c r="D439" s="68">
        <v>0</v>
      </c>
    </row>
    <row r="440" spans="2:4" x14ac:dyDescent="0.2">
      <c r="B440" s="575">
        <v>46128</v>
      </c>
      <c r="C440" t="s">
        <v>223</v>
      </c>
      <c r="D440" s="68">
        <v>0</v>
      </c>
    </row>
    <row r="441" spans="2:4" x14ac:dyDescent="0.2">
      <c r="B441" s="575">
        <v>46128</v>
      </c>
      <c r="C441" t="s">
        <v>219</v>
      </c>
      <c r="D441" s="68">
        <v>0</v>
      </c>
    </row>
    <row r="442" spans="2:4" x14ac:dyDescent="0.2">
      <c r="B442" s="575">
        <v>46128</v>
      </c>
      <c r="C442" t="s">
        <v>19</v>
      </c>
      <c r="D442" s="68">
        <v>11571228000</v>
      </c>
    </row>
    <row r="443" spans="2:4" x14ac:dyDescent="0.2">
      <c r="B443" s="575">
        <v>46128</v>
      </c>
      <c r="C443" t="s">
        <v>62</v>
      </c>
      <c r="D443" s="68">
        <v>180321316</v>
      </c>
    </row>
    <row r="444" spans="2:4" x14ac:dyDescent="0.2">
      <c r="B444" s="575">
        <v>46128</v>
      </c>
      <c r="C444" t="s">
        <v>58</v>
      </c>
      <c r="D444" s="68">
        <v>42000000</v>
      </c>
    </row>
    <row r="445" spans="2:4" x14ac:dyDescent="0.2">
      <c r="B445" s="575">
        <v>46128</v>
      </c>
      <c r="C445" t="s">
        <v>61</v>
      </c>
      <c r="D445" s="68">
        <v>38000000</v>
      </c>
    </row>
    <row r="446" spans="2:4" x14ac:dyDescent="0.2">
      <c r="B446" s="575">
        <v>46128</v>
      </c>
      <c r="C446" t="s">
        <v>57</v>
      </c>
      <c r="D446" s="68">
        <v>654280000</v>
      </c>
    </row>
    <row r="447" spans="2:4" x14ac:dyDescent="0.2">
      <c r="B447" s="575">
        <v>46128</v>
      </c>
      <c r="C447" t="s">
        <v>63</v>
      </c>
      <c r="D447" s="68">
        <v>282312000</v>
      </c>
    </row>
    <row r="448" spans="2:4" x14ac:dyDescent="0.2">
      <c r="B448" s="575">
        <v>46128</v>
      </c>
      <c r="C448" t="s">
        <v>59</v>
      </c>
      <c r="D448" s="68">
        <v>248742818</v>
      </c>
    </row>
    <row r="449" spans="2:4" x14ac:dyDescent="0.2">
      <c r="B449" s="575">
        <v>46128</v>
      </c>
      <c r="C449" t="s">
        <v>31</v>
      </c>
      <c r="D449" s="68">
        <v>5763210000</v>
      </c>
    </row>
    <row r="450" spans="2:4" x14ac:dyDescent="0.2">
      <c r="B450" s="575">
        <v>46128</v>
      </c>
      <c r="C450" t="s">
        <v>234</v>
      </c>
      <c r="D450" s="68">
        <v>6480000</v>
      </c>
    </row>
    <row r="451" spans="2:4" x14ac:dyDescent="0.2">
      <c r="B451" s="575">
        <v>46129</v>
      </c>
      <c r="C451" t="s">
        <v>65</v>
      </c>
      <c r="D451" s="68">
        <v>431120000</v>
      </c>
    </row>
    <row r="452" spans="2:4" x14ac:dyDescent="0.2">
      <c r="B452" s="575">
        <v>46129</v>
      </c>
      <c r="C452" t="s">
        <v>66</v>
      </c>
      <c r="D452" s="68">
        <v>257394445</v>
      </c>
    </row>
    <row r="453" spans="2:4" x14ac:dyDescent="0.2">
      <c r="B453" s="575">
        <v>46129</v>
      </c>
      <c r="C453" t="s">
        <v>24</v>
      </c>
      <c r="D453" s="68">
        <v>13467110000</v>
      </c>
    </row>
    <row r="454" spans="2:4" x14ac:dyDescent="0.2">
      <c r="B454" s="575">
        <v>46129</v>
      </c>
      <c r="C454" t="s">
        <v>67</v>
      </c>
      <c r="D454" s="68">
        <v>1237946176</v>
      </c>
    </row>
    <row r="455" spans="2:4" x14ac:dyDescent="0.2">
      <c r="B455" s="575">
        <v>46129</v>
      </c>
      <c r="C455" t="s">
        <v>28</v>
      </c>
      <c r="D455" s="68">
        <v>13727232000</v>
      </c>
    </row>
    <row r="456" spans="2:4" x14ac:dyDescent="0.2">
      <c r="B456" s="575">
        <v>46129</v>
      </c>
      <c r="C456" t="s">
        <v>208</v>
      </c>
      <c r="D456" s="68">
        <v>0</v>
      </c>
    </row>
    <row r="457" spans="2:4" x14ac:dyDescent="0.2">
      <c r="B457" s="575">
        <v>46129</v>
      </c>
      <c r="C457" t="s">
        <v>60</v>
      </c>
      <c r="D457" s="68">
        <v>90000000</v>
      </c>
    </row>
    <row r="458" spans="2:4" x14ac:dyDescent="0.2">
      <c r="B458" s="575">
        <v>46129</v>
      </c>
      <c r="C458" t="s">
        <v>36</v>
      </c>
      <c r="D458" s="68">
        <v>2383890000</v>
      </c>
    </row>
    <row r="459" spans="2:4" x14ac:dyDescent="0.2">
      <c r="B459" s="575">
        <v>46129</v>
      </c>
      <c r="C459" t="s">
        <v>55</v>
      </c>
      <c r="D459" s="68">
        <v>1076550000</v>
      </c>
    </row>
    <row r="460" spans="2:4" x14ac:dyDescent="0.2">
      <c r="B460" s="575">
        <v>46129</v>
      </c>
      <c r="C460" t="s">
        <v>176</v>
      </c>
      <c r="D460" s="68">
        <v>2077000</v>
      </c>
    </row>
    <row r="461" spans="2:4" x14ac:dyDescent="0.2">
      <c r="B461" s="575">
        <v>46129</v>
      </c>
      <c r="C461" t="s">
        <v>39</v>
      </c>
      <c r="D461" s="68">
        <v>1001350918</v>
      </c>
    </row>
    <row r="462" spans="2:4" x14ac:dyDescent="0.2">
      <c r="B462" s="575">
        <v>46129</v>
      </c>
      <c r="C462" t="s">
        <v>206</v>
      </c>
      <c r="D462" s="68">
        <v>0</v>
      </c>
    </row>
    <row r="463" spans="2:4" x14ac:dyDescent="0.2">
      <c r="B463" s="575">
        <v>46129</v>
      </c>
      <c r="C463" t="s">
        <v>64</v>
      </c>
      <c r="D463" s="68">
        <v>63000000</v>
      </c>
    </row>
    <row r="464" spans="2:4" x14ac:dyDescent="0.2">
      <c r="B464" s="575">
        <v>46129</v>
      </c>
      <c r="C464" t="s">
        <v>237</v>
      </c>
      <c r="D464" s="68">
        <v>0</v>
      </c>
    </row>
    <row r="465" spans="2:4" x14ac:dyDescent="0.2">
      <c r="B465" s="575">
        <v>46129</v>
      </c>
      <c r="C465" t="s">
        <v>11</v>
      </c>
      <c r="D465" s="68">
        <v>17459440000</v>
      </c>
    </row>
    <row r="466" spans="2:4" x14ac:dyDescent="0.2">
      <c r="B466" s="575">
        <v>46129</v>
      </c>
      <c r="C466" t="s">
        <v>221</v>
      </c>
      <c r="D466" s="68">
        <v>0</v>
      </c>
    </row>
    <row r="467" spans="2:4" x14ac:dyDescent="0.2">
      <c r="B467" s="575">
        <v>46129</v>
      </c>
      <c r="C467" t="s">
        <v>222</v>
      </c>
      <c r="D467" s="68">
        <v>0</v>
      </c>
    </row>
    <row r="468" spans="2:4" x14ac:dyDescent="0.2">
      <c r="B468" s="575">
        <v>46129</v>
      </c>
      <c r="C468" t="s">
        <v>223</v>
      </c>
      <c r="D468" s="68">
        <v>0</v>
      </c>
    </row>
    <row r="469" spans="2:4" x14ac:dyDescent="0.2">
      <c r="B469" s="575">
        <v>46129</v>
      </c>
      <c r="C469" t="s">
        <v>219</v>
      </c>
      <c r="D469" s="68">
        <v>0</v>
      </c>
    </row>
    <row r="470" spans="2:4" x14ac:dyDescent="0.2">
      <c r="B470" s="575">
        <v>46129</v>
      </c>
      <c r="C470" t="s">
        <v>19</v>
      </c>
      <c r="D470" s="68">
        <v>10529244000</v>
      </c>
    </row>
    <row r="471" spans="2:4" x14ac:dyDescent="0.2">
      <c r="B471" s="575">
        <v>46129</v>
      </c>
      <c r="C471" t="s">
        <v>62</v>
      </c>
      <c r="D471" s="68">
        <v>154684658</v>
      </c>
    </row>
    <row r="472" spans="2:4" x14ac:dyDescent="0.2">
      <c r="B472" s="575">
        <v>46129</v>
      </c>
      <c r="C472" t="s">
        <v>58</v>
      </c>
      <c r="D472" s="68">
        <v>30500000</v>
      </c>
    </row>
    <row r="473" spans="2:4" x14ac:dyDescent="0.2">
      <c r="B473" s="575">
        <v>46129</v>
      </c>
      <c r="C473" t="s">
        <v>61</v>
      </c>
      <c r="D473" s="68">
        <v>14000000</v>
      </c>
    </row>
    <row r="474" spans="2:4" x14ac:dyDescent="0.2">
      <c r="B474" s="575">
        <v>46129</v>
      </c>
      <c r="C474" t="s">
        <v>57</v>
      </c>
      <c r="D474" s="68">
        <v>1043820000</v>
      </c>
    </row>
    <row r="475" spans="2:4" x14ac:dyDescent="0.2">
      <c r="B475" s="575">
        <v>46129</v>
      </c>
      <c r="C475" t="s">
        <v>63</v>
      </c>
      <c r="D475" s="68">
        <v>363852000</v>
      </c>
    </row>
    <row r="476" spans="2:4" x14ac:dyDescent="0.2">
      <c r="B476" s="575">
        <v>46129</v>
      </c>
      <c r="C476" t="s">
        <v>59</v>
      </c>
      <c r="D476" s="68">
        <v>227579849</v>
      </c>
    </row>
    <row r="477" spans="2:4" x14ac:dyDescent="0.2">
      <c r="B477" s="575">
        <v>46129</v>
      </c>
      <c r="C477" t="s">
        <v>31</v>
      </c>
      <c r="D477" s="68">
        <v>5666300000</v>
      </c>
    </row>
    <row r="478" spans="2:4" x14ac:dyDescent="0.2">
      <c r="B478" s="575">
        <v>46129</v>
      </c>
      <c r="C478" t="s">
        <v>234</v>
      </c>
      <c r="D478" s="68">
        <v>0</v>
      </c>
    </row>
    <row r="479" spans="2:4" x14ac:dyDescent="0.2">
      <c r="B479" s="575">
        <v>46130</v>
      </c>
      <c r="C479" t="s">
        <v>65</v>
      </c>
      <c r="D479" s="68">
        <v>490320000</v>
      </c>
    </row>
    <row r="480" spans="2:4" x14ac:dyDescent="0.2">
      <c r="B480" s="575">
        <v>46130</v>
      </c>
      <c r="C480" t="s">
        <v>66</v>
      </c>
      <c r="D480" s="68">
        <v>249342174</v>
      </c>
    </row>
    <row r="481" spans="2:4" x14ac:dyDescent="0.2">
      <c r="B481" s="575">
        <v>46130</v>
      </c>
      <c r="C481" t="s">
        <v>24</v>
      </c>
      <c r="D481" s="68">
        <v>12698440000</v>
      </c>
    </row>
    <row r="482" spans="2:4" x14ac:dyDescent="0.2">
      <c r="B482" s="575">
        <v>46130</v>
      </c>
      <c r="C482" t="s">
        <v>67</v>
      </c>
      <c r="D482" s="68">
        <v>1188494503</v>
      </c>
    </row>
    <row r="483" spans="2:4" x14ac:dyDescent="0.2">
      <c r="B483" s="575">
        <v>46130</v>
      </c>
      <c r="C483" t="s">
        <v>28</v>
      </c>
      <c r="D483" s="68">
        <v>12928356000</v>
      </c>
    </row>
    <row r="484" spans="2:4" x14ac:dyDescent="0.2">
      <c r="B484" s="575">
        <v>46130</v>
      </c>
      <c r="C484" t="s">
        <v>208</v>
      </c>
      <c r="D484" s="68">
        <v>0</v>
      </c>
    </row>
    <row r="485" spans="2:4" x14ac:dyDescent="0.2">
      <c r="B485" s="575">
        <v>46130</v>
      </c>
      <c r="C485" t="s">
        <v>60</v>
      </c>
      <c r="D485" s="68">
        <v>0</v>
      </c>
    </row>
    <row r="486" spans="2:4" x14ac:dyDescent="0.2">
      <c r="B486" s="575">
        <v>46130</v>
      </c>
      <c r="C486" t="s">
        <v>36</v>
      </c>
      <c r="D486" s="68">
        <v>2279150000</v>
      </c>
    </row>
    <row r="487" spans="2:4" x14ac:dyDescent="0.2">
      <c r="B487" s="575">
        <v>46130</v>
      </c>
      <c r="C487" t="s">
        <v>55</v>
      </c>
      <c r="D487" s="68">
        <v>939210000</v>
      </c>
    </row>
    <row r="488" spans="2:4" x14ac:dyDescent="0.2">
      <c r="B488" s="575">
        <v>46130</v>
      </c>
      <c r="C488" t="s">
        <v>176</v>
      </c>
      <c r="D488" s="68">
        <v>19197095</v>
      </c>
    </row>
    <row r="489" spans="2:4" x14ac:dyDescent="0.2">
      <c r="B489" s="575">
        <v>46130</v>
      </c>
      <c r="C489" t="s">
        <v>39</v>
      </c>
      <c r="D489" s="68">
        <v>1276263506</v>
      </c>
    </row>
    <row r="490" spans="2:4" x14ac:dyDescent="0.2">
      <c r="B490" s="575">
        <v>46130</v>
      </c>
      <c r="C490" t="s">
        <v>206</v>
      </c>
      <c r="D490" s="68">
        <v>0</v>
      </c>
    </row>
    <row r="491" spans="2:4" x14ac:dyDescent="0.2">
      <c r="B491" s="575">
        <v>46130</v>
      </c>
      <c r="C491" t="s">
        <v>64</v>
      </c>
      <c r="D491" s="68">
        <v>77700000</v>
      </c>
    </row>
    <row r="492" spans="2:4" x14ac:dyDescent="0.2">
      <c r="B492" s="575">
        <v>46130</v>
      </c>
      <c r="C492" t="s">
        <v>237</v>
      </c>
      <c r="D492" s="68">
        <v>0</v>
      </c>
    </row>
    <row r="493" spans="2:4" x14ac:dyDescent="0.2">
      <c r="B493" s="575">
        <v>46130</v>
      </c>
      <c r="C493" t="s">
        <v>11</v>
      </c>
      <c r="D493" s="68">
        <v>14181630000</v>
      </c>
    </row>
    <row r="494" spans="2:4" x14ac:dyDescent="0.2">
      <c r="B494" s="575">
        <v>46130</v>
      </c>
      <c r="C494" t="s">
        <v>221</v>
      </c>
      <c r="D494" s="68">
        <v>0</v>
      </c>
    </row>
    <row r="495" spans="2:4" x14ac:dyDescent="0.2">
      <c r="B495" s="575">
        <v>46130</v>
      </c>
      <c r="C495" t="s">
        <v>222</v>
      </c>
      <c r="D495" s="68">
        <v>0</v>
      </c>
    </row>
    <row r="496" spans="2:4" x14ac:dyDescent="0.2">
      <c r="B496" s="575">
        <v>46130</v>
      </c>
      <c r="C496" t="s">
        <v>223</v>
      </c>
      <c r="D496" s="68">
        <v>0</v>
      </c>
    </row>
    <row r="497" spans="2:4" x14ac:dyDescent="0.2">
      <c r="B497" s="575">
        <v>46130</v>
      </c>
      <c r="C497" t="s">
        <v>219</v>
      </c>
      <c r="D497" s="68">
        <v>0</v>
      </c>
    </row>
    <row r="498" spans="2:4" x14ac:dyDescent="0.2">
      <c r="B498" s="575">
        <v>46130</v>
      </c>
      <c r="C498" t="s">
        <v>19</v>
      </c>
      <c r="D498" s="68">
        <v>10708632000</v>
      </c>
    </row>
    <row r="499" spans="2:4" x14ac:dyDescent="0.2">
      <c r="B499" s="575">
        <v>46130</v>
      </c>
      <c r="C499" t="s">
        <v>62</v>
      </c>
      <c r="D499" s="68">
        <v>122729974</v>
      </c>
    </row>
    <row r="500" spans="2:4" x14ac:dyDescent="0.2">
      <c r="B500" s="575">
        <v>46130</v>
      </c>
      <c r="C500" t="s">
        <v>58</v>
      </c>
      <c r="D500" s="68">
        <v>53550000</v>
      </c>
    </row>
    <row r="501" spans="2:4" x14ac:dyDescent="0.2">
      <c r="B501" s="575">
        <v>46130</v>
      </c>
      <c r="C501" t="s">
        <v>61</v>
      </c>
      <c r="D501" s="68">
        <v>35000000</v>
      </c>
    </row>
    <row r="502" spans="2:4" x14ac:dyDescent="0.2">
      <c r="B502" s="575">
        <v>46130</v>
      </c>
      <c r="C502" t="s">
        <v>57</v>
      </c>
      <c r="D502" s="68">
        <v>655810000</v>
      </c>
    </row>
    <row r="503" spans="2:4" x14ac:dyDescent="0.2">
      <c r="B503" s="575">
        <v>46130</v>
      </c>
      <c r="C503" t="s">
        <v>63</v>
      </c>
      <c r="D503" s="68">
        <v>240948000</v>
      </c>
    </row>
    <row r="504" spans="2:4" x14ac:dyDescent="0.2">
      <c r="B504" s="575">
        <v>46130</v>
      </c>
      <c r="C504" t="s">
        <v>59</v>
      </c>
      <c r="D504" s="68">
        <v>162104649</v>
      </c>
    </row>
    <row r="505" spans="2:4" x14ac:dyDescent="0.2">
      <c r="B505" s="575">
        <v>46130</v>
      </c>
      <c r="C505" t="s">
        <v>31</v>
      </c>
      <c r="D505" s="68">
        <v>4977120000</v>
      </c>
    </row>
    <row r="506" spans="2:4" x14ac:dyDescent="0.2">
      <c r="B506" s="575">
        <v>46130</v>
      </c>
      <c r="C506" t="s">
        <v>234</v>
      </c>
      <c r="D506" s="68">
        <v>0</v>
      </c>
    </row>
    <row r="507" spans="2:4" x14ac:dyDescent="0.2">
      <c r="B507" s="575">
        <v>46131</v>
      </c>
      <c r="C507" t="s">
        <v>65</v>
      </c>
      <c r="D507" s="68">
        <v>569780000</v>
      </c>
    </row>
    <row r="508" spans="2:4" x14ac:dyDescent="0.2">
      <c r="B508" s="575">
        <v>46131</v>
      </c>
      <c r="C508" t="s">
        <v>66</v>
      </c>
      <c r="D508" s="68">
        <v>273767079</v>
      </c>
    </row>
    <row r="509" spans="2:4" x14ac:dyDescent="0.2">
      <c r="B509" s="575">
        <v>46131</v>
      </c>
      <c r="C509" t="s">
        <v>24</v>
      </c>
      <c r="D509" s="68">
        <v>11894970000</v>
      </c>
    </row>
    <row r="510" spans="2:4" x14ac:dyDescent="0.2">
      <c r="B510" s="575">
        <v>46131</v>
      </c>
      <c r="C510" t="s">
        <v>67</v>
      </c>
      <c r="D510" s="68">
        <v>1072639158</v>
      </c>
    </row>
    <row r="511" spans="2:4" x14ac:dyDescent="0.2">
      <c r="B511" s="575">
        <v>46131</v>
      </c>
      <c r="C511" t="s">
        <v>28</v>
      </c>
      <c r="D511" s="68">
        <v>13170600000</v>
      </c>
    </row>
    <row r="512" spans="2:4" x14ac:dyDescent="0.2">
      <c r="B512" s="575">
        <v>46131</v>
      </c>
      <c r="C512" t="s">
        <v>208</v>
      </c>
      <c r="D512" s="68">
        <v>0</v>
      </c>
    </row>
    <row r="513" spans="2:4" x14ac:dyDescent="0.2">
      <c r="B513" s="575">
        <v>46131</v>
      </c>
      <c r="C513" t="s">
        <v>60</v>
      </c>
      <c r="D513" s="68">
        <v>0</v>
      </c>
    </row>
    <row r="514" spans="2:4" x14ac:dyDescent="0.2">
      <c r="B514" s="575">
        <v>46131</v>
      </c>
      <c r="C514" t="s">
        <v>36</v>
      </c>
      <c r="D514" s="68">
        <v>3196900000</v>
      </c>
    </row>
    <row r="515" spans="2:4" x14ac:dyDescent="0.2">
      <c r="B515" s="575">
        <v>46131</v>
      </c>
      <c r="C515" t="s">
        <v>55</v>
      </c>
      <c r="D515" s="68">
        <v>580250000</v>
      </c>
    </row>
    <row r="516" spans="2:4" x14ac:dyDescent="0.2">
      <c r="B516" s="575">
        <v>46131</v>
      </c>
      <c r="C516" t="s">
        <v>176</v>
      </c>
      <c r="D516" s="68">
        <v>6009443</v>
      </c>
    </row>
    <row r="517" spans="2:4" x14ac:dyDescent="0.2">
      <c r="B517" s="575">
        <v>46131</v>
      </c>
      <c r="C517" t="s">
        <v>39</v>
      </c>
      <c r="D517" s="68">
        <v>1162515757</v>
      </c>
    </row>
    <row r="518" spans="2:4" x14ac:dyDescent="0.2">
      <c r="B518" s="575">
        <v>46131</v>
      </c>
      <c r="C518" t="s">
        <v>206</v>
      </c>
      <c r="D518" s="68">
        <v>0</v>
      </c>
    </row>
    <row r="519" spans="2:4" x14ac:dyDescent="0.2">
      <c r="B519" s="575">
        <v>46131</v>
      </c>
      <c r="C519" t="s">
        <v>64</v>
      </c>
      <c r="D519" s="68">
        <v>15750000</v>
      </c>
    </row>
    <row r="520" spans="2:4" x14ac:dyDescent="0.2">
      <c r="B520" s="575">
        <v>46131</v>
      </c>
      <c r="C520" t="s">
        <v>237</v>
      </c>
      <c r="D520" s="68">
        <v>0</v>
      </c>
    </row>
    <row r="521" spans="2:4" x14ac:dyDescent="0.2">
      <c r="B521" s="575">
        <v>46131</v>
      </c>
      <c r="C521" t="s">
        <v>11</v>
      </c>
      <c r="D521" s="68">
        <v>15575200000</v>
      </c>
    </row>
    <row r="522" spans="2:4" x14ac:dyDescent="0.2">
      <c r="B522" s="575">
        <v>46131</v>
      </c>
      <c r="C522" t="s">
        <v>221</v>
      </c>
      <c r="D522" s="68">
        <v>0</v>
      </c>
    </row>
    <row r="523" spans="2:4" x14ac:dyDescent="0.2">
      <c r="B523" s="575">
        <v>46131</v>
      </c>
      <c r="C523" t="s">
        <v>222</v>
      </c>
      <c r="D523" s="68">
        <v>0</v>
      </c>
    </row>
    <row r="524" spans="2:4" x14ac:dyDescent="0.2">
      <c r="B524" s="575">
        <v>46131</v>
      </c>
      <c r="C524" t="s">
        <v>223</v>
      </c>
      <c r="D524" s="68">
        <v>0</v>
      </c>
    </row>
    <row r="525" spans="2:4" x14ac:dyDescent="0.2">
      <c r="B525" s="575">
        <v>46131</v>
      </c>
      <c r="C525" t="s">
        <v>219</v>
      </c>
      <c r="D525" s="68">
        <v>0</v>
      </c>
    </row>
    <row r="526" spans="2:4" x14ac:dyDescent="0.2">
      <c r="B526" s="575">
        <v>46131</v>
      </c>
      <c r="C526" t="s">
        <v>19</v>
      </c>
      <c r="D526" s="68">
        <v>10571796000</v>
      </c>
    </row>
    <row r="527" spans="2:4" x14ac:dyDescent="0.2">
      <c r="B527" s="575">
        <v>46131</v>
      </c>
      <c r="C527" t="s">
        <v>62</v>
      </c>
      <c r="D527" s="68">
        <v>131540008</v>
      </c>
    </row>
    <row r="528" spans="2:4" x14ac:dyDescent="0.2">
      <c r="B528" s="575">
        <v>46131</v>
      </c>
      <c r="C528" t="s">
        <v>58</v>
      </c>
      <c r="D528" s="68">
        <v>42000000</v>
      </c>
    </row>
    <row r="529" spans="2:4" x14ac:dyDescent="0.2">
      <c r="B529" s="575">
        <v>46131</v>
      </c>
      <c r="C529" t="s">
        <v>61</v>
      </c>
      <c r="D529" s="68">
        <v>43000000</v>
      </c>
    </row>
    <row r="530" spans="2:4" x14ac:dyDescent="0.2">
      <c r="B530" s="575">
        <v>46131</v>
      </c>
      <c r="C530" t="s">
        <v>57</v>
      </c>
      <c r="D530" s="68">
        <v>902290000</v>
      </c>
    </row>
    <row r="531" spans="2:4" x14ac:dyDescent="0.2">
      <c r="B531" s="575">
        <v>46131</v>
      </c>
      <c r="C531" t="s">
        <v>63</v>
      </c>
      <c r="D531" s="68">
        <v>210600000</v>
      </c>
    </row>
    <row r="532" spans="2:4" x14ac:dyDescent="0.2">
      <c r="B532" s="575">
        <v>46131</v>
      </c>
      <c r="C532" t="s">
        <v>59</v>
      </c>
      <c r="D532" s="68">
        <v>201304062</v>
      </c>
    </row>
    <row r="533" spans="2:4" x14ac:dyDescent="0.2">
      <c r="B533" s="575">
        <v>46131</v>
      </c>
      <c r="C533" t="s">
        <v>31</v>
      </c>
      <c r="D533" s="68">
        <v>4101160000</v>
      </c>
    </row>
    <row r="534" spans="2:4" x14ac:dyDescent="0.2">
      <c r="B534" s="575">
        <v>46131</v>
      </c>
      <c r="C534" t="s">
        <v>234</v>
      </c>
      <c r="D534" s="68">
        <v>0</v>
      </c>
    </row>
    <row r="535" spans="2:4" x14ac:dyDescent="0.2">
      <c r="B535" s="575">
        <v>46132</v>
      </c>
      <c r="C535" t="s">
        <v>65</v>
      </c>
      <c r="D535" s="68">
        <v>443250000</v>
      </c>
    </row>
    <row r="536" spans="2:4" x14ac:dyDescent="0.2">
      <c r="B536" s="575">
        <v>46132</v>
      </c>
      <c r="C536" t="s">
        <v>66</v>
      </c>
      <c r="D536" s="68">
        <v>251999633</v>
      </c>
    </row>
    <row r="537" spans="2:4" x14ac:dyDescent="0.2">
      <c r="B537" s="575">
        <v>46132</v>
      </c>
      <c r="C537" t="s">
        <v>24</v>
      </c>
      <c r="D537" s="68">
        <v>14875820000</v>
      </c>
    </row>
    <row r="538" spans="2:4" x14ac:dyDescent="0.2">
      <c r="B538" s="575">
        <v>46132</v>
      </c>
      <c r="C538" t="s">
        <v>67</v>
      </c>
      <c r="D538" s="68">
        <v>2794444072</v>
      </c>
    </row>
    <row r="539" spans="2:4" x14ac:dyDescent="0.2">
      <c r="B539" s="575">
        <v>46132</v>
      </c>
      <c r="C539" t="s">
        <v>28</v>
      </c>
      <c r="D539" s="68">
        <v>14755608000</v>
      </c>
    </row>
    <row r="540" spans="2:4" x14ac:dyDescent="0.2">
      <c r="B540" s="575">
        <v>46132</v>
      </c>
      <c r="C540" t="s">
        <v>208</v>
      </c>
      <c r="D540" s="68">
        <v>0</v>
      </c>
    </row>
    <row r="541" spans="2:4" x14ac:dyDescent="0.2">
      <c r="B541" s="575">
        <v>46132</v>
      </c>
      <c r="C541" t="s">
        <v>60</v>
      </c>
      <c r="D541" s="68">
        <v>0</v>
      </c>
    </row>
    <row r="542" spans="2:4" x14ac:dyDescent="0.2">
      <c r="B542" s="575">
        <v>46132</v>
      </c>
      <c r="C542" t="s">
        <v>36</v>
      </c>
      <c r="D542" s="68">
        <v>2936790000</v>
      </c>
    </row>
    <row r="543" spans="2:4" x14ac:dyDescent="0.2">
      <c r="B543" s="575">
        <v>46132</v>
      </c>
      <c r="C543" t="s">
        <v>55</v>
      </c>
      <c r="D543" s="68">
        <v>998770000</v>
      </c>
    </row>
    <row r="544" spans="2:4" x14ac:dyDescent="0.2">
      <c r="B544" s="575">
        <v>46132</v>
      </c>
      <c r="C544" t="s">
        <v>176</v>
      </c>
      <c r="D544" s="68">
        <v>13525090</v>
      </c>
    </row>
    <row r="545" spans="2:4" x14ac:dyDescent="0.2">
      <c r="B545" s="575">
        <v>46132</v>
      </c>
      <c r="C545" t="s">
        <v>39</v>
      </c>
      <c r="D545" s="68">
        <v>804617153</v>
      </c>
    </row>
    <row r="546" spans="2:4" x14ac:dyDescent="0.2">
      <c r="B546" s="575">
        <v>46132</v>
      </c>
      <c r="C546" t="s">
        <v>206</v>
      </c>
      <c r="D546" s="68">
        <v>0</v>
      </c>
    </row>
    <row r="547" spans="2:4" x14ac:dyDescent="0.2">
      <c r="B547" s="575">
        <v>46132</v>
      </c>
      <c r="C547" t="s">
        <v>64</v>
      </c>
      <c r="D547" s="68">
        <v>73500000</v>
      </c>
    </row>
    <row r="548" spans="2:4" x14ac:dyDescent="0.2">
      <c r="B548" s="575">
        <v>46132</v>
      </c>
      <c r="C548" t="s">
        <v>237</v>
      </c>
      <c r="D548" s="68">
        <v>0</v>
      </c>
    </row>
    <row r="549" spans="2:4" x14ac:dyDescent="0.2">
      <c r="B549" s="575">
        <v>46132</v>
      </c>
      <c r="C549" t="s">
        <v>11</v>
      </c>
      <c r="D549" s="68">
        <v>16555900000</v>
      </c>
    </row>
    <row r="550" spans="2:4" x14ac:dyDescent="0.2">
      <c r="B550" s="575">
        <v>46132</v>
      </c>
      <c r="C550" t="s">
        <v>221</v>
      </c>
      <c r="D550" s="68">
        <v>0</v>
      </c>
    </row>
    <row r="551" spans="2:4" x14ac:dyDescent="0.2">
      <c r="B551" s="575">
        <v>46132</v>
      </c>
      <c r="C551" t="s">
        <v>222</v>
      </c>
      <c r="D551" s="68">
        <v>0</v>
      </c>
    </row>
    <row r="552" spans="2:4" x14ac:dyDescent="0.2">
      <c r="B552" s="575">
        <v>46132</v>
      </c>
      <c r="C552" t="s">
        <v>223</v>
      </c>
      <c r="D552" s="68">
        <v>0</v>
      </c>
    </row>
    <row r="553" spans="2:4" x14ac:dyDescent="0.2">
      <c r="B553" s="575">
        <v>46132</v>
      </c>
      <c r="C553" t="s">
        <v>219</v>
      </c>
      <c r="D553" s="68">
        <v>0</v>
      </c>
    </row>
    <row r="554" spans="2:4" x14ac:dyDescent="0.2">
      <c r="B554" s="575">
        <v>46132</v>
      </c>
      <c r="C554" t="s">
        <v>19</v>
      </c>
      <c r="D554" s="68">
        <v>11234592000</v>
      </c>
    </row>
    <row r="555" spans="2:4" x14ac:dyDescent="0.2">
      <c r="B555" s="575">
        <v>46132</v>
      </c>
      <c r="C555" t="s">
        <v>62</v>
      </c>
      <c r="D555" s="68">
        <v>168559692</v>
      </c>
    </row>
    <row r="556" spans="2:4" x14ac:dyDescent="0.2">
      <c r="B556" s="575">
        <v>46132</v>
      </c>
      <c r="C556" t="s">
        <v>58</v>
      </c>
      <c r="D556" s="68">
        <v>72500000</v>
      </c>
    </row>
    <row r="557" spans="2:4" x14ac:dyDescent="0.2">
      <c r="B557" s="575">
        <v>46132</v>
      </c>
      <c r="C557" t="s">
        <v>61</v>
      </c>
      <c r="D557" s="68">
        <v>46000000</v>
      </c>
    </row>
    <row r="558" spans="2:4" x14ac:dyDescent="0.2">
      <c r="B558" s="575">
        <v>46132</v>
      </c>
      <c r="C558" t="s">
        <v>57</v>
      </c>
      <c r="D558" s="68">
        <v>840560000</v>
      </c>
    </row>
    <row r="559" spans="2:4" x14ac:dyDescent="0.2">
      <c r="B559" s="575">
        <v>46132</v>
      </c>
      <c r="C559" t="s">
        <v>63</v>
      </c>
      <c r="D559" s="68">
        <v>337608000</v>
      </c>
    </row>
    <row r="560" spans="2:4" x14ac:dyDescent="0.2">
      <c r="B560" s="575">
        <v>46132</v>
      </c>
      <c r="C560" t="s">
        <v>59</v>
      </c>
      <c r="D560" s="68">
        <v>226619379</v>
      </c>
    </row>
    <row r="561" spans="2:4" x14ac:dyDescent="0.2">
      <c r="B561" s="575">
        <v>46132</v>
      </c>
      <c r="C561" t="s">
        <v>31</v>
      </c>
      <c r="D561" s="68">
        <v>5538620000</v>
      </c>
    </row>
    <row r="562" spans="2:4" x14ac:dyDescent="0.2">
      <c r="B562" s="575">
        <v>46132</v>
      </c>
      <c r="C562" t="s">
        <v>234</v>
      </c>
      <c r="D562" s="68">
        <v>0</v>
      </c>
    </row>
    <row r="563" spans="2:4" x14ac:dyDescent="0.2">
      <c r="B563" s="575">
        <v>46133</v>
      </c>
      <c r="C563" t="s">
        <v>65</v>
      </c>
      <c r="D563" s="68">
        <v>332570000</v>
      </c>
    </row>
    <row r="564" spans="2:4" x14ac:dyDescent="0.2">
      <c r="B564" s="575">
        <v>46133</v>
      </c>
      <c r="C564" t="s">
        <v>66</v>
      </c>
      <c r="D564" s="68">
        <v>288336238</v>
      </c>
    </row>
    <row r="565" spans="2:4" x14ac:dyDescent="0.2">
      <c r="B565" s="575">
        <v>46133</v>
      </c>
      <c r="C565" t="s">
        <v>24</v>
      </c>
      <c r="D565" s="68">
        <v>13878130000</v>
      </c>
    </row>
    <row r="566" spans="2:4" x14ac:dyDescent="0.2">
      <c r="B566" s="575">
        <v>46133</v>
      </c>
      <c r="C566" t="s">
        <v>67</v>
      </c>
      <c r="D566" s="68">
        <v>1509161012</v>
      </c>
    </row>
    <row r="567" spans="2:4" x14ac:dyDescent="0.2">
      <c r="B567" s="575">
        <v>46133</v>
      </c>
      <c r="C567" t="s">
        <v>28</v>
      </c>
      <c r="D567" s="68">
        <v>13785984000</v>
      </c>
    </row>
    <row r="568" spans="2:4" x14ac:dyDescent="0.2">
      <c r="B568" s="575">
        <v>46133</v>
      </c>
      <c r="C568" t="s">
        <v>208</v>
      </c>
      <c r="D568" s="68">
        <v>0</v>
      </c>
    </row>
    <row r="569" spans="2:4" x14ac:dyDescent="0.2">
      <c r="B569" s="575">
        <v>46133</v>
      </c>
      <c r="C569" t="s">
        <v>60</v>
      </c>
      <c r="D569" s="68">
        <v>0</v>
      </c>
    </row>
    <row r="570" spans="2:4" x14ac:dyDescent="0.2">
      <c r="B570" s="575">
        <v>46133</v>
      </c>
      <c r="C570" t="s">
        <v>36</v>
      </c>
      <c r="D570" s="68">
        <v>2285230000</v>
      </c>
    </row>
    <row r="571" spans="2:4" x14ac:dyDescent="0.2">
      <c r="B571" s="575">
        <v>46133</v>
      </c>
      <c r="C571" t="s">
        <v>55</v>
      </c>
      <c r="D571" s="68">
        <v>956550000</v>
      </c>
    </row>
    <row r="572" spans="2:4" x14ac:dyDescent="0.2">
      <c r="B572" s="575">
        <v>46133</v>
      </c>
      <c r="C572" t="s">
        <v>176</v>
      </c>
      <c r="D572" s="68">
        <v>16625330</v>
      </c>
    </row>
    <row r="573" spans="2:4" x14ac:dyDescent="0.2">
      <c r="B573" s="575">
        <v>46133</v>
      </c>
      <c r="C573" t="s">
        <v>39</v>
      </c>
      <c r="D573" s="68">
        <v>944037049</v>
      </c>
    </row>
    <row r="574" spans="2:4" x14ac:dyDescent="0.2">
      <c r="B574" s="575">
        <v>46133</v>
      </c>
      <c r="C574" t="s">
        <v>206</v>
      </c>
      <c r="D574" s="68">
        <v>0</v>
      </c>
    </row>
    <row r="575" spans="2:4" x14ac:dyDescent="0.2">
      <c r="B575" s="575">
        <v>46133</v>
      </c>
      <c r="C575" t="s">
        <v>64</v>
      </c>
      <c r="D575" s="68">
        <v>51750000</v>
      </c>
    </row>
    <row r="576" spans="2:4" x14ac:dyDescent="0.2">
      <c r="B576" s="575">
        <v>46133</v>
      </c>
      <c r="C576" t="s">
        <v>237</v>
      </c>
      <c r="D576" s="68">
        <v>0</v>
      </c>
    </row>
    <row r="577" spans="2:4" x14ac:dyDescent="0.2">
      <c r="B577" s="575">
        <v>46133</v>
      </c>
      <c r="C577" t="s">
        <v>11</v>
      </c>
      <c r="D577" s="68">
        <v>17244300000</v>
      </c>
    </row>
    <row r="578" spans="2:4" x14ac:dyDescent="0.2">
      <c r="B578" s="575">
        <v>46133</v>
      </c>
      <c r="C578" t="s">
        <v>221</v>
      </c>
      <c r="D578" s="68">
        <v>0</v>
      </c>
    </row>
    <row r="579" spans="2:4" x14ac:dyDescent="0.2">
      <c r="B579" s="575">
        <v>46133</v>
      </c>
      <c r="C579" t="s">
        <v>222</v>
      </c>
      <c r="D579" s="68">
        <v>0</v>
      </c>
    </row>
    <row r="580" spans="2:4" x14ac:dyDescent="0.2">
      <c r="B580" s="575">
        <v>46133</v>
      </c>
      <c r="C580" t="s">
        <v>223</v>
      </c>
      <c r="D580" s="68">
        <v>0</v>
      </c>
    </row>
    <row r="581" spans="2:4" x14ac:dyDescent="0.2">
      <c r="B581" s="575">
        <v>46133</v>
      </c>
      <c r="C581" t="s">
        <v>219</v>
      </c>
      <c r="D581" s="68">
        <v>0</v>
      </c>
    </row>
    <row r="582" spans="2:4" x14ac:dyDescent="0.2">
      <c r="B582" s="575">
        <v>46133</v>
      </c>
      <c r="C582" t="s">
        <v>19</v>
      </c>
      <c r="D582" s="68">
        <v>10527732000</v>
      </c>
    </row>
    <row r="583" spans="2:4" x14ac:dyDescent="0.2">
      <c r="B583" s="575">
        <v>46133</v>
      </c>
      <c r="C583" t="s">
        <v>62</v>
      </c>
      <c r="D583" s="68">
        <v>179683952</v>
      </c>
    </row>
    <row r="584" spans="2:4" x14ac:dyDescent="0.2">
      <c r="B584" s="575">
        <v>46133</v>
      </c>
      <c r="C584" t="s">
        <v>58</v>
      </c>
      <c r="D584" s="68">
        <v>10500000</v>
      </c>
    </row>
    <row r="585" spans="2:4" x14ac:dyDescent="0.2">
      <c r="B585" s="575">
        <v>46133</v>
      </c>
      <c r="C585" t="s">
        <v>61</v>
      </c>
      <c r="D585" s="68">
        <v>65000000</v>
      </c>
    </row>
    <row r="586" spans="2:4" x14ac:dyDescent="0.2">
      <c r="B586" s="575">
        <v>46133</v>
      </c>
      <c r="C586" t="s">
        <v>57</v>
      </c>
      <c r="D586" s="68">
        <v>869660000</v>
      </c>
    </row>
    <row r="587" spans="2:4" x14ac:dyDescent="0.2">
      <c r="B587" s="575">
        <v>46133</v>
      </c>
      <c r="C587" t="s">
        <v>63</v>
      </c>
      <c r="D587" s="68">
        <v>332316000</v>
      </c>
    </row>
    <row r="588" spans="2:4" x14ac:dyDescent="0.2">
      <c r="B588" s="575">
        <v>46133</v>
      </c>
      <c r="C588" t="s">
        <v>59</v>
      </c>
      <c r="D588" s="68">
        <v>303930939</v>
      </c>
    </row>
    <row r="589" spans="2:4" x14ac:dyDescent="0.2">
      <c r="B589" s="575">
        <v>46133</v>
      </c>
      <c r="C589" t="s">
        <v>31</v>
      </c>
      <c r="D589" s="68">
        <v>4818270000</v>
      </c>
    </row>
    <row r="590" spans="2:4" x14ac:dyDescent="0.2">
      <c r="B590" s="575">
        <v>46133</v>
      </c>
      <c r="C590" t="s">
        <v>234</v>
      </c>
      <c r="D590" s="68">
        <v>0</v>
      </c>
    </row>
    <row r="591" spans="2:4" x14ac:dyDescent="0.2">
      <c r="B591" s="575">
        <v>46134</v>
      </c>
      <c r="C591" t="s">
        <v>65</v>
      </c>
      <c r="D591" s="68">
        <v>243180000</v>
      </c>
    </row>
    <row r="592" spans="2:4" x14ac:dyDescent="0.2">
      <c r="B592" s="575">
        <v>46134</v>
      </c>
      <c r="C592" t="s">
        <v>66</v>
      </c>
      <c r="D592" s="68">
        <v>282811198</v>
      </c>
    </row>
    <row r="593" spans="2:4" x14ac:dyDescent="0.2">
      <c r="B593" s="575">
        <v>46134</v>
      </c>
      <c r="C593" t="s">
        <v>24</v>
      </c>
      <c r="D593" s="68">
        <v>13039630000</v>
      </c>
    </row>
    <row r="594" spans="2:4" x14ac:dyDescent="0.2">
      <c r="B594" s="575">
        <v>46134</v>
      </c>
      <c r="C594" t="s">
        <v>67</v>
      </c>
      <c r="D594" s="68">
        <v>1483311980</v>
      </c>
    </row>
    <row r="595" spans="2:4" x14ac:dyDescent="0.2">
      <c r="B595" s="575">
        <v>46134</v>
      </c>
      <c r="C595" t="s">
        <v>28</v>
      </c>
      <c r="D595" s="68">
        <v>13454964000</v>
      </c>
    </row>
    <row r="596" spans="2:4" x14ac:dyDescent="0.2">
      <c r="B596" s="575">
        <v>46134</v>
      </c>
      <c r="C596" t="s">
        <v>208</v>
      </c>
      <c r="D596" s="68">
        <v>0</v>
      </c>
    </row>
    <row r="597" spans="2:4" x14ac:dyDescent="0.2">
      <c r="B597" s="575">
        <v>46134</v>
      </c>
      <c r="C597" t="s">
        <v>60</v>
      </c>
      <c r="D597" s="68">
        <v>0</v>
      </c>
    </row>
    <row r="598" spans="2:4" x14ac:dyDescent="0.2">
      <c r="B598" s="575">
        <v>46134</v>
      </c>
      <c r="C598" t="s">
        <v>36</v>
      </c>
      <c r="D598" s="68">
        <v>2311780000</v>
      </c>
    </row>
    <row r="599" spans="2:4" x14ac:dyDescent="0.2">
      <c r="B599" s="575">
        <v>46134</v>
      </c>
      <c r="C599" t="s">
        <v>55</v>
      </c>
      <c r="D599" s="68">
        <v>994270000</v>
      </c>
    </row>
    <row r="600" spans="2:4" x14ac:dyDescent="0.2">
      <c r="B600" s="575">
        <v>46134</v>
      </c>
      <c r="C600" t="s">
        <v>176</v>
      </c>
      <c r="D600" s="68">
        <v>5289000</v>
      </c>
    </row>
    <row r="601" spans="2:4" x14ac:dyDescent="0.2">
      <c r="B601" s="575">
        <v>46134</v>
      </c>
      <c r="C601" t="s">
        <v>39</v>
      </c>
      <c r="D601" s="68">
        <v>873223574</v>
      </c>
    </row>
    <row r="602" spans="2:4" x14ac:dyDescent="0.2">
      <c r="B602" s="575">
        <v>46134</v>
      </c>
      <c r="C602" t="s">
        <v>206</v>
      </c>
      <c r="D602" s="68">
        <v>0</v>
      </c>
    </row>
    <row r="603" spans="2:4" x14ac:dyDescent="0.2">
      <c r="B603" s="575">
        <v>46134</v>
      </c>
      <c r="C603" t="s">
        <v>64</v>
      </c>
      <c r="D603" s="68">
        <v>15000000</v>
      </c>
    </row>
    <row r="604" spans="2:4" x14ac:dyDescent="0.2">
      <c r="B604" s="575">
        <v>46134</v>
      </c>
      <c r="C604" t="s">
        <v>237</v>
      </c>
      <c r="D604" s="68">
        <v>0</v>
      </c>
    </row>
    <row r="605" spans="2:4" x14ac:dyDescent="0.2">
      <c r="B605" s="575">
        <v>46134</v>
      </c>
      <c r="C605" t="s">
        <v>11</v>
      </c>
      <c r="D605" s="68">
        <v>13777860000</v>
      </c>
    </row>
    <row r="606" spans="2:4" x14ac:dyDescent="0.2">
      <c r="B606" s="575">
        <v>46134</v>
      </c>
      <c r="C606" t="s">
        <v>221</v>
      </c>
      <c r="D606" s="68">
        <v>0</v>
      </c>
    </row>
    <row r="607" spans="2:4" x14ac:dyDescent="0.2">
      <c r="B607" s="575">
        <v>46134</v>
      </c>
      <c r="C607" t="s">
        <v>222</v>
      </c>
      <c r="D607" s="68">
        <v>0</v>
      </c>
    </row>
    <row r="608" spans="2:4" x14ac:dyDescent="0.2">
      <c r="B608" s="575">
        <v>46134</v>
      </c>
      <c r="C608" t="s">
        <v>223</v>
      </c>
      <c r="D608" s="68">
        <v>0</v>
      </c>
    </row>
    <row r="609" spans="2:4" x14ac:dyDescent="0.2">
      <c r="B609" s="575">
        <v>46134</v>
      </c>
      <c r="C609" t="s">
        <v>219</v>
      </c>
      <c r="D609" s="68">
        <v>0</v>
      </c>
    </row>
    <row r="610" spans="2:4" x14ac:dyDescent="0.2">
      <c r="B610" s="575">
        <v>46134</v>
      </c>
      <c r="C610" t="s">
        <v>19</v>
      </c>
      <c r="D610" s="68">
        <v>10224036000</v>
      </c>
    </row>
    <row r="611" spans="2:4" x14ac:dyDescent="0.2">
      <c r="B611" s="575">
        <v>46134</v>
      </c>
      <c r="C611" t="s">
        <v>62</v>
      </c>
      <c r="D611" s="68">
        <v>116695203</v>
      </c>
    </row>
    <row r="612" spans="2:4" x14ac:dyDescent="0.2">
      <c r="B612" s="575">
        <v>46134</v>
      </c>
      <c r="C612" t="s">
        <v>58</v>
      </c>
      <c r="D612" s="68">
        <v>41500000</v>
      </c>
    </row>
    <row r="613" spans="2:4" x14ac:dyDescent="0.2">
      <c r="B613" s="575">
        <v>46134</v>
      </c>
      <c r="C613" t="s">
        <v>61</v>
      </c>
      <c r="D613" s="68">
        <v>69000000</v>
      </c>
    </row>
    <row r="614" spans="2:4" x14ac:dyDescent="0.2">
      <c r="B614" s="575">
        <v>46134</v>
      </c>
      <c r="C614" t="s">
        <v>57</v>
      </c>
      <c r="D614" s="68">
        <v>637280000</v>
      </c>
    </row>
    <row r="615" spans="2:4" x14ac:dyDescent="0.2">
      <c r="B615" s="575">
        <v>46134</v>
      </c>
      <c r="C615" t="s">
        <v>63</v>
      </c>
      <c r="D615" s="68">
        <v>309852000</v>
      </c>
    </row>
    <row r="616" spans="2:4" x14ac:dyDescent="0.2">
      <c r="B616" s="575">
        <v>46134</v>
      </c>
      <c r="C616" t="s">
        <v>59</v>
      </c>
      <c r="D616" s="68">
        <v>316000074</v>
      </c>
    </row>
    <row r="617" spans="2:4" x14ac:dyDescent="0.2">
      <c r="B617" s="575">
        <v>46134</v>
      </c>
      <c r="C617" t="s">
        <v>31</v>
      </c>
      <c r="D617" s="68">
        <v>5213060000</v>
      </c>
    </row>
    <row r="618" spans="2:4" x14ac:dyDescent="0.2">
      <c r="B618" s="575">
        <v>46134</v>
      </c>
      <c r="C618" t="s">
        <v>234</v>
      </c>
      <c r="D618" s="68">
        <v>0</v>
      </c>
    </row>
    <row r="619" spans="2:4" x14ac:dyDescent="0.2">
      <c r="B619" s="575">
        <v>46135</v>
      </c>
      <c r="C619" t="s">
        <v>65</v>
      </c>
      <c r="D619" s="68">
        <v>433220000</v>
      </c>
    </row>
    <row r="620" spans="2:4" x14ac:dyDescent="0.2">
      <c r="B620" s="575">
        <v>46135</v>
      </c>
      <c r="C620" t="s">
        <v>66</v>
      </c>
      <c r="D620" s="68">
        <v>281076094</v>
      </c>
    </row>
    <row r="621" spans="2:4" x14ac:dyDescent="0.2">
      <c r="B621" s="575">
        <v>46135</v>
      </c>
      <c r="C621" t="s">
        <v>24</v>
      </c>
      <c r="D621" s="68">
        <v>12871680000</v>
      </c>
    </row>
    <row r="622" spans="2:4" x14ac:dyDescent="0.2">
      <c r="B622" s="575">
        <v>46135</v>
      </c>
      <c r="C622" t="s">
        <v>67</v>
      </c>
      <c r="D622" s="68">
        <v>1181657913</v>
      </c>
    </row>
    <row r="623" spans="2:4" x14ac:dyDescent="0.2">
      <c r="B623" s="575">
        <v>46135</v>
      </c>
      <c r="C623" t="s">
        <v>28</v>
      </c>
      <c r="D623" s="68">
        <v>13141656000</v>
      </c>
    </row>
    <row r="624" spans="2:4" x14ac:dyDescent="0.2">
      <c r="B624" s="575">
        <v>46135</v>
      </c>
      <c r="C624" t="s">
        <v>208</v>
      </c>
      <c r="D624" s="68">
        <v>0</v>
      </c>
    </row>
    <row r="625" spans="2:4" x14ac:dyDescent="0.2">
      <c r="B625" s="575">
        <v>46135</v>
      </c>
      <c r="C625" t="s">
        <v>60</v>
      </c>
      <c r="D625" s="68">
        <v>0</v>
      </c>
    </row>
    <row r="626" spans="2:4" x14ac:dyDescent="0.2">
      <c r="B626" s="575">
        <v>46135</v>
      </c>
      <c r="C626" t="s">
        <v>36</v>
      </c>
      <c r="D626" s="68">
        <v>2658420000</v>
      </c>
    </row>
    <row r="627" spans="2:4" x14ac:dyDescent="0.2">
      <c r="B627" s="575">
        <v>46135</v>
      </c>
      <c r="C627" t="s">
        <v>55</v>
      </c>
      <c r="D627" s="68">
        <v>362910000</v>
      </c>
    </row>
    <row r="628" spans="2:4" x14ac:dyDescent="0.2">
      <c r="B628" s="575">
        <v>46135</v>
      </c>
      <c r="C628" t="s">
        <v>176</v>
      </c>
      <c r="D628" s="68">
        <v>1737297</v>
      </c>
    </row>
    <row r="629" spans="2:4" x14ac:dyDescent="0.2">
      <c r="B629" s="575">
        <v>46135</v>
      </c>
      <c r="C629" t="s">
        <v>39</v>
      </c>
      <c r="D629" s="68">
        <v>834597567</v>
      </c>
    </row>
    <row r="630" spans="2:4" x14ac:dyDescent="0.2">
      <c r="B630" s="575">
        <v>46135</v>
      </c>
      <c r="C630" t="s">
        <v>206</v>
      </c>
      <c r="D630" s="68">
        <v>0</v>
      </c>
    </row>
    <row r="631" spans="2:4" x14ac:dyDescent="0.2">
      <c r="B631" s="575">
        <v>46135</v>
      </c>
      <c r="C631" t="s">
        <v>64</v>
      </c>
      <c r="D631" s="68">
        <v>70750000</v>
      </c>
    </row>
    <row r="632" spans="2:4" x14ac:dyDescent="0.2">
      <c r="B632" s="575">
        <v>46135</v>
      </c>
      <c r="C632" t="s">
        <v>237</v>
      </c>
      <c r="D632" s="68">
        <v>0</v>
      </c>
    </row>
    <row r="633" spans="2:4" x14ac:dyDescent="0.2">
      <c r="B633" s="575">
        <v>46135</v>
      </c>
      <c r="C633" t="s">
        <v>11</v>
      </c>
      <c r="D633" s="68">
        <v>15241400000</v>
      </c>
    </row>
    <row r="634" spans="2:4" x14ac:dyDescent="0.2">
      <c r="B634" s="575">
        <v>46135</v>
      </c>
      <c r="C634" t="s">
        <v>221</v>
      </c>
      <c r="D634" s="68">
        <v>0</v>
      </c>
    </row>
    <row r="635" spans="2:4" x14ac:dyDescent="0.2">
      <c r="B635" s="575">
        <v>46135</v>
      </c>
      <c r="C635" t="s">
        <v>222</v>
      </c>
      <c r="D635" s="68">
        <v>0</v>
      </c>
    </row>
    <row r="636" spans="2:4" x14ac:dyDescent="0.2">
      <c r="B636" s="575">
        <v>46135</v>
      </c>
      <c r="C636" t="s">
        <v>223</v>
      </c>
      <c r="D636" s="68">
        <v>0</v>
      </c>
    </row>
    <row r="637" spans="2:4" x14ac:dyDescent="0.2">
      <c r="B637" s="575">
        <v>46135</v>
      </c>
      <c r="C637" t="s">
        <v>219</v>
      </c>
      <c r="D637" s="68">
        <v>0</v>
      </c>
    </row>
    <row r="638" spans="2:4" x14ac:dyDescent="0.2">
      <c r="B638" s="575">
        <v>46135</v>
      </c>
      <c r="C638" t="s">
        <v>19</v>
      </c>
      <c r="D638" s="68">
        <v>11162664000</v>
      </c>
    </row>
    <row r="639" spans="2:4" x14ac:dyDescent="0.2">
      <c r="B639" s="575">
        <v>46135</v>
      </c>
      <c r="C639" t="s">
        <v>62</v>
      </c>
      <c r="D639" s="68">
        <v>136768567</v>
      </c>
    </row>
    <row r="640" spans="2:4" x14ac:dyDescent="0.2">
      <c r="B640" s="575">
        <v>46135</v>
      </c>
      <c r="C640" t="s">
        <v>58</v>
      </c>
      <c r="D640" s="68">
        <v>0</v>
      </c>
    </row>
    <row r="641" spans="2:4" x14ac:dyDescent="0.2">
      <c r="B641" s="575">
        <v>46135</v>
      </c>
      <c r="C641" t="s">
        <v>61</v>
      </c>
      <c r="D641" s="68">
        <v>68000000</v>
      </c>
    </row>
    <row r="642" spans="2:4" x14ac:dyDescent="0.2">
      <c r="B642" s="575">
        <v>46135</v>
      </c>
      <c r="C642" t="s">
        <v>57</v>
      </c>
      <c r="D642" s="68">
        <v>919280000</v>
      </c>
    </row>
    <row r="643" spans="2:4" x14ac:dyDescent="0.2">
      <c r="B643" s="575">
        <v>46135</v>
      </c>
      <c r="C643" t="s">
        <v>63</v>
      </c>
      <c r="D643" s="68">
        <v>276588000</v>
      </c>
    </row>
    <row r="644" spans="2:4" x14ac:dyDescent="0.2">
      <c r="B644" s="575">
        <v>46135</v>
      </c>
      <c r="C644" t="s">
        <v>59</v>
      </c>
      <c r="D644" s="68">
        <v>286743556</v>
      </c>
    </row>
    <row r="645" spans="2:4" x14ac:dyDescent="0.2">
      <c r="B645" s="575">
        <v>46135</v>
      </c>
      <c r="C645" t="s">
        <v>31</v>
      </c>
      <c r="D645" s="68">
        <v>4642340000</v>
      </c>
    </row>
    <row r="646" spans="2:4" x14ac:dyDescent="0.2">
      <c r="B646" s="575">
        <v>46135</v>
      </c>
      <c r="C646" t="s">
        <v>234</v>
      </c>
      <c r="D646" s="68">
        <v>0</v>
      </c>
    </row>
    <row r="647" spans="2:4" x14ac:dyDescent="0.2">
      <c r="B647" s="575">
        <v>46136</v>
      </c>
      <c r="C647" t="s">
        <v>65</v>
      </c>
      <c r="D647" s="68">
        <v>808150000</v>
      </c>
    </row>
    <row r="648" spans="2:4" x14ac:dyDescent="0.2">
      <c r="B648" s="575">
        <v>46136</v>
      </c>
      <c r="C648" t="s">
        <v>66</v>
      </c>
      <c r="D648" s="68">
        <v>333584406</v>
      </c>
    </row>
    <row r="649" spans="2:4" x14ac:dyDescent="0.2">
      <c r="B649" s="575">
        <v>46136</v>
      </c>
      <c r="C649" t="s">
        <v>24</v>
      </c>
      <c r="D649" s="68">
        <v>13354840000</v>
      </c>
    </row>
    <row r="650" spans="2:4" x14ac:dyDescent="0.2">
      <c r="B650" s="575">
        <v>46136</v>
      </c>
      <c r="C650" t="s">
        <v>67</v>
      </c>
      <c r="D650" s="68">
        <v>1354050620</v>
      </c>
    </row>
    <row r="651" spans="2:4" x14ac:dyDescent="0.2">
      <c r="B651" s="575">
        <v>46136</v>
      </c>
      <c r="C651" t="s">
        <v>28</v>
      </c>
      <c r="D651" s="68">
        <v>14447700000</v>
      </c>
    </row>
    <row r="652" spans="2:4" x14ac:dyDescent="0.2">
      <c r="B652" s="575">
        <v>46136</v>
      </c>
      <c r="C652" t="s">
        <v>208</v>
      </c>
      <c r="D652" s="68">
        <v>0</v>
      </c>
    </row>
    <row r="653" spans="2:4" x14ac:dyDescent="0.2">
      <c r="B653" s="575">
        <v>46136</v>
      </c>
      <c r="C653" t="s">
        <v>60</v>
      </c>
      <c r="D653" s="68">
        <v>80000000</v>
      </c>
    </row>
    <row r="654" spans="2:4" x14ac:dyDescent="0.2">
      <c r="B654" s="575">
        <v>46136</v>
      </c>
      <c r="C654" t="s">
        <v>36</v>
      </c>
      <c r="D654" s="68">
        <v>2558540000</v>
      </c>
    </row>
    <row r="655" spans="2:4" x14ac:dyDescent="0.2">
      <c r="B655" s="575">
        <v>46136</v>
      </c>
      <c r="C655" t="s">
        <v>55</v>
      </c>
      <c r="D655" s="68">
        <v>751340000</v>
      </c>
    </row>
    <row r="656" spans="2:4" x14ac:dyDescent="0.2">
      <c r="B656" s="575">
        <v>46136</v>
      </c>
      <c r="C656" t="s">
        <v>176</v>
      </c>
      <c r="D656" s="68">
        <v>10477887</v>
      </c>
    </row>
    <row r="657" spans="2:4" x14ac:dyDescent="0.2">
      <c r="B657" s="575">
        <v>46136</v>
      </c>
      <c r="C657" t="s">
        <v>39</v>
      </c>
      <c r="D657" s="68">
        <v>1176833106</v>
      </c>
    </row>
    <row r="658" spans="2:4" x14ac:dyDescent="0.2">
      <c r="B658" s="575">
        <v>46136</v>
      </c>
      <c r="C658" t="s">
        <v>206</v>
      </c>
      <c r="D658" s="68">
        <v>0</v>
      </c>
    </row>
    <row r="659" spans="2:4" x14ac:dyDescent="0.2">
      <c r="B659" s="575">
        <v>46136</v>
      </c>
      <c r="C659" t="s">
        <v>64</v>
      </c>
      <c r="D659" s="68">
        <v>48900000</v>
      </c>
    </row>
    <row r="660" spans="2:4" x14ac:dyDescent="0.2">
      <c r="B660" s="575">
        <v>46136</v>
      </c>
      <c r="C660" t="s">
        <v>237</v>
      </c>
      <c r="D660" s="68">
        <v>0</v>
      </c>
    </row>
    <row r="661" spans="2:4" x14ac:dyDescent="0.2">
      <c r="B661" s="575">
        <v>46136</v>
      </c>
      <c r="C661" t="s">
        <v>11</v>
      </c>
      <c r="D661" s="68">
        <v>17715760000</v>
      </c>
    </row>
    <row r="662" spans="2:4" x14ac:dyDescent="0.2">
      <c r="B662" s="575">
        <v>46136</v>
      </c>
      <c r="C662" t="s">
        <v>221</v>
      </c>
      <c r="D662" s="68">
        <v>0</v>
      </c>
    </row>
    <row r="663" spans="2:4" x14ac:dyDescent="0.2">
      <c r="B663" s="575">
        <v>46136</v>
      </c>
      <c r="C663" t="s">
        <v>222</v>
      </c>
      <c r="D663" s="68">
        <v>0</v>
      </c>
    </row>
    <row r="664" spans="2:4" x14ac:dyDescent="0.2">
      <c r="B664" s="575">
        <v>46136</v>
      </c>
      <c r="C664" t="s">
        <v>223</v>
      </c>
      <c r="D664" s="68">
        <v>0</v>
      </c>
    </row>
    <row r="665" spans="2:4" x14ac:dyDescent="0.2">
      <c r="B665" s="575">
        <v>46136</v>
      </c>
      <c r="C665" t="s">
        <v>219</v>
      </c>
      <c r="D665" s="68">
        <v>0</v>
      </c>
    </row>
    <row r="666" spans="2:4" x14ac:dyDescent="0.2">
      <c r="B666" s="575">
        <v>46136</v>
      </c>
      <c r="C666" t="s">
        <v>19</v>
      </c>
      <c r="D666" s="68">
        <v>11401236000</v>
      </c>
    </row>
    <row r="667" spans="2:4" x14ac:dyDescent="0.2">
      <c r="B667" s="575">
        <v>46136</v>
      </c>
      <c r="C667" t="s">
        <v>62</v>
      </c>
      <c r="D667" s="68">
        <v>143695252</v>
      </c>
    </row>
    <row r="668" spans="2:4" x14ac:dyDescent="0.2">
      <c r="B668" s="575">
        <v>46136</v>
      </c>
      <c r="C668" t="s">
        <v>58</v>
      </c>
      <c r="D668" s="68">
        <v>21000000</v>
      </c>
    </row>
    <row r="669" spans="2:4" x14ac:dyDescent="0.2">
      <c r="B669" s="575">
        <v>46136</v>
      </c>
      <c r="C669" t="s">
        <v>61</v>
      </c>
      <c r="D669" s="68">
        <v>69000000</v>
      </c>
    </row>
    <row r="670" spans="2:4" x14ac:dyDescent="0.2">
      <c r="B670" s="575">
        <v>46136</v>
      </c>
      <c r="C670" t="s">
        <v>57</v>
      </c>
      <c r="D670" s="68">
        <v>560070000</v>
      </c>
    </row>
    <row r="671" spans="2:4" x14ac:dyDescent="0.2">
      <c r="B671" s="575">
        <v>46136</v>
      </c>
      <c r="C671" t="s">
        <v>63</v>
      </c>
      <c r="D671" s="68">
        <v>325620000</v>
      </c>
    </row>
    <row r="672" spans="2:4" x14ac:dyDescent="0.2">
      <c r="B672" s="575">
        <v>46136</v>
      </c>
      <c r="C672" t="s">
        <v>59</v>
      </c>
      <c r="D672" s="68">
        <v>304187198</v>
      </c>
    </row>
    <row r="673" spans="2:4" x14ac:dyDescent="0.2">
      <c r="B673" s="575">
        <v>46136</v>
      </c>
      <c r="C673" t="s">
        <v>31</v>
      </c>
      <c r="D673" s="68">
        <v>5596010000</v>
      </c>
    </row>
    <row r="674" spans="2:4" x14ac:dyDescent="0.2">
      <c r="B674" s="575">
        <v>46136</v>
      </c>
      <c r="C674" t="s">
        <v>234</v>
      </c>
      <c r="D674" s="68">
        <v>0</v>
      </c>
    </row>
    <row r="675" spans="2:4" x14ac:dyDescent="0.2">
      <c r="B675" s="575">
        <v>46137</v>
      </c>
      <c r="C675" t="s">
        <v>65</v>
      </c>
      <c r="D675" s="68">
        <v>773830000</v>
      </c>
    </row>
    <row r="676" spans="2:4" x14ac:dyDescent="0.2">
      <c r="B676" s="575">
        <v>46137</v>
      </c>
      <c r="C676" t="s">
        <v>66</v>
      </c>
      <c r="D676" s="68">
        <v>330827954</v>
      </c>
    </row>
    <row r="677" spans="2:4" x14ac:dyDescent="0.2">
      <c r="B677" s="575">
        <v>46137</v>
      </c>
      <c r="C677" t="s">
        <v>24</v>
      </c>
      <c r="D677" s="68">
        <v>11232430000</v>
      </c>
    </row>
    <row r="678" spans="2:4" x14ac:dyDescent="0.2">
      <c r="B678" s="575">
        <v>46137</v>
      </c>
      <c r="C678" t="s">
        <v>67</v>
      </c>
      <c r="D678" s="68">
        <v>1397531250</v>
      </c>
    </row>
    <row r="679" spans="2:4" x14ac:dyDescent="0.2">
      <c r="B679" s="575">
        <v>46137</v>
      </c>
      <c r="C679" t="s">
        <v>28</v>
      </c>
      <c r="D679" s="68">
        <v>14073264000</v>
      </c>
    </row>
    <row r="680" spans="2:4" x14ac:dyDescent="0.2">
      <c r="B680" s="575">
        <v>46137</v>
      </c>
      <c r="C680" t="s">
        <v>208</v>
      </c>
      <c r="D680" s="68">
        <v>0</v>
      </c>
    </row>
    <row r="681" spans="2:4" x14ac:dyDescent="0.2">
      <c r="B681" s="575">
        <v>46137</v>
      </c>
      <c r="C681" t="s">
        <v>60</v>
      </c>
      <c r="D681" s="68">
        <v>0</v>
      </c>
    </row>
    <row r="682" spans="2:4" x14ac:dyDescent="0.2">
      <c r="B682" s="575">
        <v>46137</v>
      </c>
      <c r="C682" t="s">
        <v>36</v>
      </c>
      <c r="D682" s="68">
        <v>2308850000</v>
      </c>
    </row>
    <row r="683" spans="2:4" x14ac:dyDescent="0.2">
      <c r="B683" s="575">
        <v>46137</v>
      </c>
      <c r="C683" t="s">
        <v>55</v>
      </c>
      <c r="D683" s="68">
        <v>662140000</v>
      </c>
    </row>
    <row r="684" spans="2:4" x14ac:dyDescent="0.2">
      <c r="B684" s="575">
        <v>46137</v>
      </c>
      <c r="C684" t="s">
        <v>176</v>
      </c>
      <c r="D684" s="68">
        <v>3684746</v>
      </c>
    </row>
    <row r="685" spans="2:4" x14ac:dyDescent="0.2">
      <c r="B685" s="575">
        <v>46137</v>
      </c>
      <c r="C685" t="s">
        <v>39</v>
      </c>
      <c r="D685" s="68">
        <v>1074214674</v>
      </c>
    </row>
    <row r="686" spans="2:4" x14ac:dyDescent="0.2">
      <c r="B686" s="575">
        <v>46137</v>
      </c>
      <c r="C686" t="s">
        <v>206</v>
      </c>
      <c r="D686" s="68">
        <v>0</v>
      </c>
    </row>
    <row r="687" spans="2:4" x14ac:dyDescent="0.2">
      <c r="B687" s="575">
        <v>46137</v>
      </c>
      <c r="C687" t="s">
        <v>64</v>
      </c>
      <c r="D687" s="68">
        <v>29400000</v>
      </c>
    </row>
    <row r="688" spans="2:4" x14ac:dyDescent="0.2">
      <c r="B688" s="575">
        <v>46137</v>
      </c>
      <c r="C688" t="s">
        <v>237</v>
      </c>
      <c r="D688" s="68">
        <v>0</v>
      </c>
    </row>
    <row r="689" spans="2:4" x14ac:dyDescent="0.2">
      <c r="B689" s="575">
        <v>46137</v>
      </c>
      <c r="C689" t="s">
        <v>11</v>
      </c>
      <c r="D689" s="68">
        <v>16521930000</v>
      </c>
    </row>
    <row r="690" spans="2:4" x14ac:dyDescent="0.2">
      <c r="B690" s="575">
        <v>46137</v>
      </c>
      <c r="C690" t="s">
        <v>221</v>
      </c>
      <c r="D690" s="68">
        <v>0</v>
      </c>
    </row>
    <row r="691" spans="2:4" x14ac:dyDescent="0.2">
      <c r="B691" s="575">
        <v>46137</v>
      </c>
      <c r="C691" t="s">
        <v>222</v>
      </c>
      <c r="D691" s="68">
        <v>0</v>
      </c>
    </row>
    <row r="692" spans="2:4" x14ac:dyDescent="0.2">
      <c r="B692" s="575">
        <v>46137</v>
      </c>
      <c r="C692" t="s">
        <v>223</v>
      </c>
      <c r="D692" s="68">
        <v>0</v>
      </c>
    </row>
    <row r="693" spans="2:4" x14ac:dyDescent="0.2">
      <c r="B693" s="575">
        <v>46137</v>
      </c>
      <c r="C693" t="s">
        <v>219</v>
      </c>
      <c r="D693" s="68">
        <v>0</v>
      </c>
    </row>
    <row r="694" spans="2:4" x14ac:dyDescent="0.2">
      <c r="B694" s="575">
        <v>46137</v>
      </c>
      <c r="C694" t="s">
        <v>19</v>
      </c>
      <c r="D694" s="68">
        <v>11211264000</v>
      </c>
    </row>
    <row r="695" spans="2:4" x14ac:dyDescent="0.2">
      <c r="B695" s="575">
        <v>46137</v>
      </c>
      <c r="C695" t="s">
        <v>62</v>
      </c>
      <c r="D695" s="68">
        <v>145933673</v>
      </c>
    </row>
    <row r="696" spans="2:4" x14ac:dyDescent="0.2">
      <c r="B696" s="575">
        <v>46137</v>
      </c>
      <c r="C696" t="s">
        <v>58</v>
      </c>
      <c r="D696" s="68">
        <v>38850000</v>
      </c>
    </row>
    <row r="697" spans="2:4" x14ac:dyDescent="0.2">
      <c r="B697" s="575">
        <v>46137</v>
      </c>
      <c r="C697" t="s">
        <v>61</v>
      </c>
      <c r="D697" s="68">
        <v>77000000</v>
      </c>
    </row>
    <row r="698" spans="2:4" x14ac:dyDescent="0.2">
      <c r="B698" s="575">
        <v>46137</v>
      </c>
      <c r="C698" t="s">
        <v>57</v>
      </c>
      <c r="D698" s="68">
        <v>726700000</v>
      </c>
    </row>
    <row r="699" spans="2:4" x14ac:dyDescent="0.2">
      <c r="B699" s="575">
        <v>46137</v>
      </c>
      <c r="C699" t="s">
        <v>63</v>
      </c>
      <c r="D699" s="68">
        <v>313200000</v>
      </c>
    </row>
    <row r="700" spans="2:4" x14ac:dyDescent="0.2">
      <c r="B700" s="575">
        <v>46137</v>
      </c>
      <c r="C700" t="s">
        <v>59</v>
      </c>
      <c r="D700" s="68">
        <v>321648718</v>
      </c>
    </row>
    <row r="701" spans="2:4" x14ac:dyDescent="0.2">
      <c r="B701" s="575">
        <v>46137</v>
      </c>
      <c r="C701" t="s">
        <v>31</v>
      </c>
      <c r="D701" s="68">
        <v>4928250000</v>
      </c>
    </row>
    <row r="702" spans="2:4" x14ac:dyDescent="0.2">
      <c r="B702" s="575">
        <v>46137</v>
      </c>
      <c r="C702" t="s">
        <v>234</v>
      </c>
      <c r="D702" s="68">
        <v>0</v>
      </c>
    </row>
    <row r="703" spans="2:4" x14ac:dyDescent="0.2">
      <c r="B703" s="575">
        <v>46138</v>
      </c>
      <c r="C703" t="s">
        <v>65</v>
      </c>
      <c r="D703" s="68">
        <v>584940000</v>
      </c>
    </row>
    <row r="704" spans="2:4" x14ac:dyDescent="0.2">
      <c r="B704" s="575">
        <v>46138</v>
      </c>
      <c r="C704" t="s">
        <v>66</v>
      </c>
      <c r="D704" s="68">
        <v>295871702</v>
      </c>
    </row>
    <row r="705" spans="2:4" x14ac:dyDescent="0.2">
      <c r="B705" s="575">
        <v>46138</v>
      </c>
      <c r="C705" t="s">
        <v>24</v>
      </c>
      <c r="D705" s="68">
        <v>9100610000</v>
      </c>
    </row>
    <row r="706" spans="2:4" x14ac:dyDescent="0.2">
      <c r="B706" s="575">
        <v>46138</v>
      </c>
      <c r="C706" t="s">
        <v>67</v>
      </c>
      <c r="D706" s="68">
        <v>921064049</v>
      </c>
    </row>
    <row r="707" spans="2:4" x14ac:dyDescent="0.2">
      <c r="B707" s="575">
        <v>46138</v>
      </c>
      <c r="C707" t="s">
        <v>28</v>
      </c>
      <c r="D707" s="68">
        <v>11943828000</v>
      </c>
    </row>
    <row r="708" spans="2:4" x14ac:dyDescent="0.2">
      <c r="B708" s="575">
        <v>46138</v>
      </c>
      <c r="C708" t="s">
        <v>208</v>
      </c>
      <c r="D708" s="68">
        <v>0</v>
      </c>
    </row>
    <row r="709" spans="2:4" x14ac:dyDescent="0.2">
      <c r="B709" s="575">
        <v>46138</v>
      </c>
      <c r="C709" t="s">
        <v>60</v>
      </c>
      <c r="D709" s="68">
        <v>0</v>
      </c>
    </row>
    <row r="710" spans="2:4" x14ac:dyDescent="0.2">
      <c r="B710" s="575">
        <v>46138</v>
      </c>
      <c r="C710" t="s">
        <v>36</v>
      </c>
      <c r="D710" s="68">
        <v>2989110000</v>
      </c>
    </row>
    <row r="711" spans="2:4" x14ac:dyDescent="0.2">
      <c r="B711" s="575">
        <v>46138</v>
      </c>
      <c r="C711" t="s">
        <v>55</v>
      </c>
      <c r="D711" s="68">
        <v>753520000</v>
      </c>
    </row>
    <row r="712" spans="2:4" x14ac:dyDescent="0.2">
      <c r="B712" s="575">
        <v>46138</v>
      </c>
      <c r="C712" t="s">
        <v>176</v>
      </c>
      <c r="D712" s="68">
        <v>10285000</v>
      </c>
    </row>
    <row r="713" spans="2:4" x14ac:dyDescent="0.2">
      <c r="B713" s="575">
        <v>46138</v>
      </c>
      <c r="C713" t="s">
        <v>39</v>
      </c>
      <c r="D713" s="68">
        <v>1126565631</v>
      </c>
    </row>
    <row r="714" spans="2:4" x14ac:dyDescent="0.2">
      <c r="B714" s="575">
        <v>46138</v>
      </c>
      <c r="C714" t="s">
        <v>206</v>
      </c>
      <c r="D714" s="68">
        <v>0</v>
      </c>
    </row>
    <row r="715" spans="2:4" x14ac:dyDescent="0.2">
      <c r="B715" s="575">
        <v>46138</v>
      </c>
      <c r="C715" t="s">
        <v>64</v>
      </c>
      <c r="D715" s="68">
        <v>57750000</v>
      </c>
    </row>
    <row r="716" spans="2:4" x14ac:dyDescent="0.2">
      <c r="B716" s="575">
        <v>46138</v>
      </c>
      <c r="C716" t="s">
        <v>237</v>
      </c>
      <c r="D716" s="68">
        <v>0</v>
      </c>
    </row>
    <row r="717" spans="2:4" x14ac:dyDescent="0.2">
      <c r="B717" s="575">
        <v>46138</v>
      </c>
      <c r="C717" t="s">
        <v>11</v>
      </c>
      <c r="D717" s="68">
        <v>13923340000</v>
      </c>
    </row>
    <row r="718" spans="2:4" x14ac:dyDescent="0.2">
      <c r="B718" s="575">
        <v>46138</v>
      </c>
      <c r="C718" t="s">
        <v>221</v>
      </c>
      <c r="D718" s="68">
        <v>0</v>
      </c>
    </row>
    <row r="719" spans="2:4" x14ac:dyDescent="0.2">
      <c r="B719" s="575">
        <v>46138</v>
      </c>
      <c r="C719" t="s">
        <v>222</v>
      </c>
      <c r="D719" s="68">
        <v>0</v>
      </c>
    </row>
    <row r="720" spans="2:4" x14ac:dyDescent="0.2">
      <c r="B720" s="575">
        <v>46138</v>
      </c>
      <c r="C720" t="s">
        <v>223</v>
      </c>
      <c r="D720" s="68">
        <v>0</v>
      </c>
    </row>
    <row r="721" spans="2:4" x14ac:dyDescent="0.2">
      <c r="B721" s="575">
        <v>46138</v>
      </c>
      <c r="C721" t="s">
        <v>219</v>
      </c>
      <c r="D721" s="68">
        <v>0</v>
      </c>
    </row>
    <row r="722" spans="2:4" x14ac:dyDescent="0.2">
      <c r="B722" s="575">
        <v>46138</v>
      </c>
      <c r="C722" t="s">
        <v>19</v>
      </c>
      <c r="D722" s="68">
        <v>9789444000</v>
      </c>
    </row>
    <row r="723" spans="2:4" x14ac:dyDescent="0.2">
      <c r="B723" s="575">
        <v>46138</v>
      </c>
      <c r="C723" t="s">
        <v>62</v>
      </c>
      <c r="D723" s="68">
        <v>144784889</v>
      </c>
    </row>
    <row r="724" spans="2:4" x14ac:dyDescent="0.2">
      <c r="B724" s="575">
        <v>46138</v>
      </c>
      <c r="C724" t="s">
        <v>58</v>
      </c>
      <c r="D724" s="68">
        <v>15750000</v>
      </c>
    </row>
    <row r="725" spans="2:4" x14ac:dyDescent="0.2">
      <c r="B725" s="575">
        <v>46138</v>
      </c>
      <c r="C725" t="s">
        <v>61</v>
      </c>
      <c r="D725" s="68">
        <v>45000000</v>
      </c>
    </row>
    <row r="726" spans="2:4" x14ac:dyDescent="0.2">
      <c r="B726" s="575">
        <v>46138</v>
      </c>
      <c r="C726" t="s">
        <v>57</v>
      </c>
      <c r="D726" s="68">
        <v>929450000</v>
      </c>
    </row>
    <row r="727" spans="2:4" x14ac:dyDescent="0.2">
      <c r="B727" s="575">
        <v>46138</v>
      </c>
      <c r="C727" t="s">
        <v>63</v>
      </c>
      <c r="D727" s="68">
        <v>252612000</v>
      </c>
    </row>
    <row r="728" spans="2:4" x14ac:dyDescent="0.2">
      <c r="B728" s="575">
        <v>46138</v>
      </c>
      <c r="C728" t="s">
        <v>59</v>
      </c>
      <c r="D728" s="68">
        <v>213719719</v>
      </c>
    </row>
    <row r="729" spans="2:4" x14ac:dyDescent="0.2">
      <c r="B729" s="575">
        <v>46138</v>
      </c>
      <c r="C729" t="s">
        <v>31</v>
      </c>
      <c r="D729" s="68">
        <v>4862720000</v>
      </c>
    </row>
    <row r="730" spans="2:4" x14ac:dyDescent="0.2">
      <c r="B730" s="575">
        <v>46138</v>
      </c>
      <c r="C730" t="s">
        <v>234</v>
      </c>
      <c r="D730" s="68">
        <v>0</v>
      </c>
    </row>
    <row r="731" spans="2:4" x14ac:dyDescent="0.2">
      <c r="B731" s="575">
        <v>46139</v>
      </c>
      <c r="C731" t="s">
        <v>65</v>
      </c>
      <c r="D731" s="68">
        <v>556450000</v>
      </c>
    </row>
    <row r="732" spans="2:4" x14ac:dyDescent="0.2">
      <c r="B732" s="575">
        <v>46139</v>
      </c>
      <c r="C732" t="s">
        <v>66</v>
      </c>
      <c r="D732" s="68">
        <v>325656867</v>
      </c>
    </row>
    <row r="733" spans="2:4" x14ac:dyDescent="0.2">
      <c r="B733" s="575">
        <v>46139</v>
      </c>
      <c r="C733" t="s">
        <v>24</v>
      </c>
      <c r="D733" s="68">
        <v>10570340000</v>
      </c>
    </row>
    <row r="734" spans="2:4" x14ac:dyDescent="0.2">
      <c r="B734" s="575">
        <v>46139</v>
      </c>
      <c r="C734" t="s">
        <v>67</v>
      </c>
      <c r="D734" s="68">
        <v>1307737180</v>
      </c>
    </row>
    <row r="735" spans="2:4" x14ac:dyDescent="0.2">
      <c r="B735" s="575">
        <v>46139</v>
      </c>
      <c r="C735" t="s">
        <v>28</v>
      </c>
      <c r="D735" s="68">
        <v>12461796000</v>
      </c>
    </row>
    <row r="736" spans="2:4" x14ac:dyDescent="0.2">
      <c r="B736" s="575">
        <v>46139</v>
      </c>
      <c r="C736" t="s">
        <v>208</v>
      </c>
      <c r="D736" s="68">
        <v>0</v>
      </c>
    </row>
    <row r="737" spans="2:4" x14ac:dyDescent="0.2">
      <c r="B737" s="575">
        <v>46139</v>
      </c>
      <c r="C737" t="s">
        <v>60</v>
      </c>
      <c r="D737" s="68">
        <v>0</v>
      </c>
    </row>
    <row r="738" spans="2:4" x14ac:dyDescent="0.2">
      <c r="B738" s="575">
        <v>46139</v>
      </c>
      <c r="C738" t="s">
        <v>36</v>
      </c>
      <c r="D738" s="68">
        <v>2617380000</v>
      </c>
    </row>
    <row r="739" spans="2:4" x14ac:dyDescent="0.2">
      <c r="B739" s="575">
        <v>46139</v>
      </c>
      <c r="C739" t="s">
        <v>55</v>
      </c>
      <c r="D739" s="68">
        <v>897440000</v>
      </c>
    </row>
    <row r="740" spans="2:4" x14ac:dyDescent="0.2">
      <c r="B740" s="575">
        <v>46139</v>
      </c>
      <c r="C740" t="s">
        <v>176</v>
      </c>
      <c r="D740" s="68">
        <v>13666610</v>
      </c>
    </row>
    <row r="741" spans="2:4" x14ac:dyDescent="0.2">
      <c r="B741" s="575">
        <v>46139</v>
      </c>
      <c r="C741" t="s">
        <v>39</v>
      </c>
      <c r="D741" s="68">
        <v>969675024</v>
      </c>
    </row>
    <row r="742" spans="2:4" x14ac:dyDescent="0.2">
      <c r="B742" s="575">
        <v>46139</v>
      </c>
      <c r="C742" t="s">
        <v>206</v>
      </c>
      <c r="D742" s="68">
        <v>0</v>
      </c>
    </row>
    <row r="743" spans="2:4" x14ac:dyDescent="0.2">
      <c r="B743" s="575">
        <v>46139</v>
      </c>
      <c r="C743" t="s">
        <v>64</v>
      </c>
      <c r="D743" s="68">
        <v>15750000</v>
      </c>
    </row>
    <row r="744" spans="2:4" x14ac:dyDescent="0.2">
      <c r="B744" s="575">
        <v>46139</v>
      </c>
      <c r="C744" t="s">
        <v>237</v>
      </c>
      <c r="D744" s="68">
        <v>0</v>
      </c>
    </row>
    <row r="745" spans="2:4" x14ac:dyDescent="0.2">
      <c r="B745" s="575">
        <v>46139</v>
      </c>
      <c r="C745" t="s">
        <v>11</v>
      </c>
      <c r="D745" s="68">
        <v>14907670000</v>
      </c>
    </row>
    <row r="746" spans="2:4" x14ac:dyDescent="0.2">
      <c r="B746" s="575">
        <v>46139</v>
      </c>
      <c r="C746" t="s">
        <v>221</v>
      </c>
      <c r="D746" s="68">
        <v>0</v>
      </c>
    </row>
    <row r="747" spans="2:4" x14ac:dyDescent="0.2">
      <c r="B747" s="575">
        <v>46139</v>
      </c>
      <c r="C747" t="s">
        <v>222</v>
      </c>
      <c r="D747" s="68">
        <v>0</v>
      </c>
    </row>
    <row r="748" spans="2:4" x14ac:dyDescent="0.2">
      <c r="B748" s="575">
        <v>46139</v>
      </c>
      <c r="C748" t="s">
        <v>223</v>
      </c>
      <c r="D748" s="68">
        <v>0</v>
      </c>
    </row>
    <row r="749" spans="2:4" x14ac:dyDescent="0.2">
      <c r="B749" s="575">
        <v>46139</v>
      </c>
      <c r="C749" t="s">
        <v>219</v>
      </c>
      <c r="D749" s="68">
        <v>0</v>
      </c>
    </row>
    <row r="750" spans="2:4" x14ac:dyDescent="0.2">
      <c r="B750" s="575">
        <v>46139</v>
      </c>
      <c r="C750" t="s">
        <v>19</v>
      </c>
      <c r="D750" s="68">
        <v>9999072000</v>
      </c>
    </row>
    <row r="751" spans="2:4" x14ac:dyDescent="0.2">
      <c r="B751" s="575">
        <v>46139</v>
      </c>
      <c r="C751" t="s">
        <v>62</v>
      </c>
      <c r="D751" s="68">
        <v>137238973</v>
      </c>
    </row>
    <row r="752" spans="2:4" x14ac:dyDescent="0.2">
      <c r="B752" s="575">
        <v>46139</v>
      </c>
      <c r="C752" t="s">
        <v>58</v>
      </c>
      <c r="D752" s="68">
        <v>21000000</v>
      </c>
    </row>
    <row r="753" spans="2:4" x14ac:dyDescent="0.2">
      <c r="B753" s="575">
        <v>46139</v>
      </c>
      <c r="C753" t="s">
        <v>61</v>
      </c>
      <c r="D753" s="68">
        <v>72000000</v>
      </c>
    </row>
    <row r="754" spans="2:4" x14ac:dyDescent="0.2">
      <c r="B754" s="575">
        <v>46139</v>
      </c>
      <c r="C754" t="s">
        <v>57</v>
      </c>
      <c r="D754" s="68">
        <v>542590000</v>
      </c>
    </row>
    <row r="755" spans="2:4" x14ac:dyDescent="0.2">
      <c r="B755" s="575">
        <v>46139</v>
      </c>
      <c r="C755" t="s">
        <v>63</v>
      </c>
      <c r="D755" s="68">
        <v>285984000</v>
      </c>
    </row>
    <row r="756" spans="2:4" x14ac:dyDescent="0.2">
      <c r="B756" s="575">
        <v>46139</v>
      </c>
      <c r="C756" t="s">
        <v>59</v>
      </c>
      <c r="D756" s="68">
        <v>305971303</v>
      </c>
    </row>
    <row r="757" spans="2:4" x14ac:dyDescent="0.2">
      <c r="B757" s="575">
        <v>46139</v>
      </c>
      <c r="C757" t="s">
        <v>31</v>
      </c>
      <c r="D757" s="68">
        <v>4888940000</v>
      </c>
    </row>
    <row r="758" spans="2:4" x14ac:dyDescent="0.2">
      <c r="B758" s="575">
        <v>46139</v>
      </c>
      <c r="C758" t="s">
        <v>234</v>
      </c>
      <c r="D758" s="68">
        <v>0</v>
      </c>
    </row>
    <row r="759" spans="2:4" x14ac:dyDescent="0.2">
      <c r="B759" s="575">
        <v>46140</v>
      </c>
      <c r="C759" t="s">
        <v>65</v>
      </c>
      <c r="D759" s="68">
        <v>526000000</v>
      </c>
    </row>
    <row r="760" spans="2:4" x14ac:dyDescent="0.2">
      <c r="B760" s="575">
        <v>46140</v>
      </c>
      <c r="C760" t="s">
        <v>66</v>
      </c>
      <c r="D760" s="68">
        <v>311187199</v>
      </c>
    </row>
    <row r="761" spans="2:4" x14ac:dyDescent="0.2">
      <c r="B761" s="575">
        <v>46140</v>
      </c>
      <c r="C761" t="s">
        <v>24</v>
      </c>
      <c r="D761" s="68">
        <v>12885850000</v>
      </c>
    </row>
    <row r="762" spans="2:4" x14ac:dyDescent="0.2">
      <c r="B762" s="575">
        <v>46140</v>
      </c>
      <c r="C762" t="s">
        <v>67</v>
      </c>
      <c r="D762" s="68">
        <v>1730597535</v>
      </c>
    </row>
    <row r="763" spans="2:4" x14ac:dyDescent="0.2">
      <c r="B763" s="575">
        <v>46140</v>
      </c>
      <c r="C763" t="s">
        <v>28</v>
      </c>
      <c r="D763" s="68">
        <v>14327280000</v>
      </c>
    </row>
    <row r="764" spans="2:4" x14ac:dyDescent="0.2">
      <c r="B764" s="575">
        <v>46140</v>
      </c>
      <c r="C764" t="s">
        <v>208</v>
      </c>
      <c r="D764" s="68">
        <v>0</v>
      </c>
    </row>
    <row r="765" spans="2:4" x14ac:dyDescent="0.2">
      <c r="B765" s="575">
        <v>46140</v>
      </c>
      <c r="C765" t="s">
        <v>60</v>
      </c>
      <c r="D765" s="68">
        <v>0</v>
      </c>
    </row>
    <row r="766" spans="2:4" x14ac:dyDescent="0.2">
      <c r="B766" s="575">
        <v>46140</v>
      </c>
      <c r="C766" t="s">
        <v>36</v>
      </c>
      <c r="D766" s="68">
        <v>2523180000</v>
      </c>
    </row>
    <row r="767" spans="2:4" x14ac:dyDescent="0.2">
      <c r="B767" s="575">
        <v>46140</v>
      </c>
      <c r="C767" t="s">
        <v>55</v>
      </c>
      <c r="D767" s="68">
        <v>1172500000</v>
      </c>
    </row>
    <row r="768" spans="2:4" x14ac:dyDescent="0.2">
      <c r="B768" s="575">
        <v>46140</v>
      </c>
      <c r="C768" t="s">
        <v>176</v>
      </c>
      <c r="D768" s="68">
        <v>10989000</v>
      </c>
    </row>
    <row r="769" spans="2:4" x14ac:dyDescent="0.2">
      <c r="B769" s="575">
        <v>46140</v>
      </c>
      <c r="C769" t="s">
        <v>39</v>
      </c>
      <c r="D769" s="68">
        <v>1068221147</v>
      </c>
    </row>
    <row r="770" spans="2:4" x14ac:dyDescent="0.2">
      <c r="B770" s="575">
        <v>46140</v>
      </c>
      <c r="C770" t="s">
        <v>206</v>
      </c>
      <c r="D770" s="68">
        <v>0</v>
      </c>
    </row>
    <row r="771" spans="2:4" x14ac:dyDescent="0.2">
      <c r="B771" s="575">
        <v>46140</v>
      </c>
      <c r="C771" t="s">
        <v>64</v>
      </c>
      <c r="D771" s="68">
        <v>96750000</v>
      </c>
    </row>
    <row r="772" spans="2:4" x14ac:dyDescent="0.2">
      <c r="B772" s="575">
        <v>46140</v>
      </c>
      <c r="C772" t="s">
        <v>237</v>
      </c>
      <c r="D772" s="68">
        <v>0</v>
      </c>
    </row>
    <row r="773" spans="2:4" x14ac:dyDescent="0.2">
      <c r="B773" s="575">
        <v>46140</v>
      </c>
      <c r="C773" t="s">
        <v>11</v>
      </c>
      <c r="D773" s="68">
        <v>15526020000</v>
      </c>
    </row>
    <row r="774" spans="2:4" x14ac:dyDescent="0.2">
      <c r="B774" s="575">
        <v>46140</v>
      </c>
      <c r="C774" t="s">
        <v>221</v>
      </c>
      <c r="D774" s="68">
        <v>0</v>
      </c>
    </row>
    <row r="775" spans="2:4" x14ac:dyDescent="0.2">
      <c r="B775" s="575">
        <v>46140</v>
      </c>
      <c r="C775" t="s">
        <v>222</v>
      </c>
      <c r="D775" s="68">
        <v>0</v>
      </c>
    </row>
    <row r="776" spans="2:4" x14ac:dyDescent="0.2">
      <c r="B776" s="575">
        <v>46140</v>
      </c>
      <c r="C776" t="s">
        <v>223</v>
      </c>
      <c r="D776" s="68">
        <v>0</v>
      </c>
    </row>
    <row r="777" spans="2:4" x14ac:dyDescent="0.2">
      <c r="B777" s="575">
        <v>46140</v>
      </c>
      <c r="C777" t="s">
        <v>219</v>
      </c>
      <c r="D777" s="68">
        <v>0</v>
      </c>
    </row>
    <row r="778" spans="2:4" x14ac:dyDescent="0.2">
      <c r="B778" s="575">
        <v>46140</v>
      </c>
      <c r="C778" t="s">
        <v>19</v>
      </c>
      <c r="D778" s="68">
        <v>11045268000</v>
      </c>
    </row>
    <row r="779" spans="2:4" x14ac:dyDescent="0.2">
      <c r="B779" s="575">
        <v>46140</v>
      </c>
      <c r="C779" t="s">
        <v>62</v>
      </c>
      <c r="D779" s="68">
        <v>129271786</v>
      </c>
    </row>
    <row r="780" spans="2:4" x14ac:dyDescent="0.2">
      <c r="B780" s="575">
        <v>46140</v>
      </c>
      <c r="C780" t="s">
        <v>58</v>
      </c>
      <c r="D780" s="68">
        <v>43600000</v>
      </c>
    </row>
    <row r="781" spans="2:4" x14ac:dyDescent="0.2">
      <c r="B781" s="575">
        <v>46140</v>
      </c>
      <c r="C781" t="s">
        <v>61</v>
      </c>
      <c r="D781" s="68">
        <v>76000000</v>
      </c>
    </row>
    <row r="782" spans="2:4" x14ac:dyDescent="0.2">
      <c r="B782" s="575">
        <v>46140</v>
      </c>
      <c r="C782" t="s">
        <v>57</v>
      </c>
      <c r="D782" s="68">
        <v>769540000</v>
      </c>
    </row>
    <row r="783" spans="2:4" x14ac:dyDescent="0.2">
      <c r="B783" s="575">
        <v>46140</v>
      </c>
      <c r="C783" t="s">
        <v>63</v>
      </c>
      <c r="D783" s="68">
        <v>321840000</v>
      </c>
    </row>
    <row r="784" spans="2:4" x14ac:dyDescent="0.2">
      <c r="B784" s="575">
        <v>46140</v>
      </c>
      <c r="C784" t="s">
        <v>59</v>
      </c>
      <c r="D784" s="68">
        <v>361246014</v>
      </c>
    </row>
    <row r="785" spans="2:4" x14ac:dyDescent="0.2">
      <c r="B785" s="575">
        <v>46140</v>
      </c>
      <c r="C785" t="s">
        <v>31</v>
      </c>
      <c r="D785" s="68">
        <v>6032760000</v>
      </c>
    </row>
    <row r="786" spans="2:4" x14ac:dyDescent="0.2">
      <c r="B786" s="575">
        <v>46140</v>
      </c>
      <c r="C786" t="s">
        <v>234</v>
      </c>
      <c r="D786" s="68">
        <v>0</v>
      </c>
    </row>
    <row r="787" spans="2:4" x14ac:dyDescent="0.2">
      <c r="B787" s="575">
        <v>46141</v>
      </c>
      <c r="C787" t="s">
        <v>65</v>
      </c>
      <c r="D787" s="68">
        <v>687460000</v>
      </c>
    </row>
    <row r="788" spans="2:4" x14ac:dyDescent="0.2">
      <c r="B788" s="575">
        <v>46141</v>
      </c>
      <c r="C788" t="s">
        <v>66</v>
      </c>
      <c r="D788" s="68">
        <v>315783903</v>
      </c>
    </row>
    <row r="789" spans="2:4" x14ac:dyDescent="0.2">
      <c r="B789" s="575">
        <v>46141</v>
      </c>
      <c r="C789" t="s">
        <v>24</v>
      </c>
      <c r="D789" s="68">
        <v>12860960000</v>
      </c>
    </row>
    <row r="790" spans="2:4" x14ac:dyDescent="0.2">
      <c r="B790" s="575">
        <v>46141</v>
      </c>
      <c r="C790" t="s">
        <v>67</v>
      </c>
      <c r="D790" s="68">
        <v>1698883297</v>
      </c>
    </row>
    <row r="791" spans="2:4" x14ac:dyDescent="0.2">
      <c r="B791" s="575">
        <v>46141</v>
      </c>
      <c r="C791" t="s">
        <v>28</v>
      </c>
      <c r="D791" s="68">
        <v>15115788000</v>
      </c>
    </row>
    <row r="792" spans="2:4" x14ac:dyDescent="0.2">
      <c r="B792" s="575">
        <v>46141</v>
      </c>
      <c r="C792" t="s">
        <v>208</v>
      </c>
      <c r="D792" s="68">
        <v>0</v>
      </c>
    </row>
    <row r="793" spans="2:4" x14ac:dyDescent="0.2">
      <c r="B793" s="575">
        <v>46141</v>
      </c>
      <c r="C793" t="s">
        <v>60</v>
      </c>
      <c r="D793" s="68">
        <v>90000000</v>
      </c>
    </row>
    <row r="794" spans="2:4" x14ac:dyDescent="0.2">
      <c r="B794" s="575">
        <v>46141</v>
      </c>
      <c r="C794" t="s">
        <v>36</v>
      </c>
      <c r="D794" s="68">
        <v>2529180000</v>
      </c>
    </row>
    <row r="795" spans="2:4" x14ac:dyDescent="0.2">
      <c r="B795" s="575">
        <v>46141</v>
      </c>
      <c r="C795" t="s">
        <v>55</v>
      </c>
      <c r="D795" s="68">
        <v>863690000</v>
      </c>
    </row>
    <row r="796" spans="2:4" x14ac:dyDescent="0.2">
      <c r="B796" s="575">
        <v>46141</v>
      </c>
      <c r="C796" t="s">
        <v>176</v>
      </c>
      <c r="D796" s="68">
        <v>16494134</v>
      </c>
    </row>
    <row r="797" spans="2:4" x14ac:dyDescent="0.2">
      <c r="B797" s="575">
        <v>46141</v>
      </c>
      <c r="C797" t="s">
        <v>39</v>
      </c>
      <c r="D797" s="68">
        <v>934501465</v>
      </c>
    </row>
    <row r="798" spans="2:4" x14ac:dyDescent="0.2">
      <c r="B798" s="575">
        <v>46141</v>
      </c>
      <c r="C798" t="s">
        <v>206</v>
      </c>
      <c r="D798" s="68">
        <v>0</v>
      </c>
    </row>
    <row r="799" spans="2:4" x14ac:dyDescent="0.2">
      <c r="B799" s="575">
        <v>46141</v>
      </c>
      <c r="C799" t="s">
        <v>64</v>
      </c>
      <c r="D799" s="68">
        <v>15750000</v>
      </c>
    </row>
    <row r="800" spans="2:4" x14ac:dyDescent="0.2">
      <c r="B800" s="575">
        <v>46141</v>
      </c>
      <c r="C800" t="s">
        <v>237</v>
      </c>
      <c r="D800" s="68">
        <v>83430000</v>
      </c>
    </row>
    <row r="801" spans="2:4" x14ac:dyDescent="0.2">
      <c r="B801" s="575">
        <v>46141</v>
      </c>
      <c r="C801" t="s">
        <v>11</v>
      </c>
      <c r="D801" s="68">
        <v>16124590000</v>
      </c>
    </row>
    <row r="802" spans="2:4" x14ac:dyDescent="0.2">
      <c r="B802" s="575">
        <v>46141</v>
      </c>
      <c r="C802" t="s">
        <v>221</v>
      </c>
      <c r="D802" s="68">
        <v>0</v>
      </c>
    </row>
    <row r="803" spans="2:4" x14ac:dyDescent="0.2">
      <c r="B803" s="575">
        <v>46141</v>
      </c>
      <c r="C803" t="s">
        <v>222</v>
      </c>
      <c r="D803" s="68">
        <v>0</v>
      </c>
    </row>
    <row r="804" spans="2:4" x14ac:dyDescent="0.2">
      <c r="B804" s="575">
        <v>46141</v>
      </c>
      <c r="C804" t="s">
        <v>223</v>
      </c>
      <c r="D804" s="68">
        <v>0</v>
      </c>
    </row>
    <row r="805" spans="2:4" x14ac:dyDescent="0.2">
      <c r="B805" s="575">
        <v>46141</v>
      </c>
      <c r="C805" t="s">
        <v>219</v>
      </c>
      <c r="D805" s="68">
        <v>0</v>
      </c>
    </row>
    <row r="806" spans="2:4" x14ac:dyDescent="0.2">
      <c r="B806" s="575">
        <v>46141</v>
      </c>
      <c r="C806" t="s">
        <v>19</v>
      </c>
      <c r="D806" s="68">
        <v>11571012000</v>
      </c>
    </row>
    <row r="807" spans="2:4" x14ac:dyDescent="0.2">
      <c r="B807" s="575">
        <v>46141</v>
      </c>
      <c r="C807" t="s">
        <v>62</v>
      </c>
      <c r="D807" s="68">
        <v>135326808</v>
      </c>
    </row>
    <row r="808" spans="2:4" x14ac:dyDescent="0.2">
      <c r="B808" s="575">
        <v>46141</v>
      </c>
      <c r="C808" t="s">
        <v>58</v>
      </c>
      <c r="D808" s="68">
        <v>99750000</v>
      </c>
    </row>
    <row r="809" spans="2:4" x14ac:dyDescent="0.2">
      <c r="B809" s="575">
        <v>46141</v>
      </c>
      <c r="C809" t="s">
        <v>61</v>
      </c>
      <c r="D809" s="68">
        <v>42000000</v>
      </c>
    </row>
    <row r="810" spans="2:4" x14ac:dyDescent="0.2">
      <c r="B810" s="575">
        <v>46141</v>
      </c>
      <c r="C810" t="s">
        <v>57</v>
      </c>
      <c r="D810" s="68">
        <v>872880000</v>
      </c>
    </row>
    <row r="811" spans="2:4" x14ac:dyDescent="0.2">
      <c r="B811" s="575">
        <v>46141</v>
      </c>
      <c r="C811" t="s">
        <v>63</v>
      </c>
      <c r="D811" s="68">
        <v>305964000</v>
      </c>
    </row>
    <row r="812" spans="2:4" x14ac:dyDescent="0.2">
      <c r="B812" s="575">
        <v>46141</v>
      </c>
      <c r="C812" t="s">
        <v>59</v>
      </c>
      <c r="D812" s="68">
        <v>288721906</v>
      </c>
    </row>
    <row r="813" spans="2:4" x14ac:dyDescent="0.2">
      <c r="B813" s="575">
        <v>46141</v>
      </c>
      <c r="C813" t="s">
        <v>31</v>
      </c>
      <c r="D813" s="68">
        <v>5969040000</v>
      </c>
    </row>
    <row r="814" spans="2:4" x14ac:dyDescent="0.2">
      <c r="B814" s="575">
        <v>46141</v>
      </c>
      <c r="C814" t="s">
        <v>234</v>
      </c>
      <c r="D814" s="68">
        <v>0</v>
      </c>
    </row>
    <row r="815" spans="2:4" x14ac:dyDescent="0.2">
      <c r="B815" s="575">
        <v>46142</v>
      </c>
      <c r="C815" t="s">
        <v>65</v>
      </c>
      <c r="D815" s="68">
        <v>518170000</v>
      </c>
    </row>
    <row r="816" spans="2:4" x14ac:dyDescent="0.2">
      <c r="B816" s="575">
        <v>46142</v>
      </c>
      <c r="C816" t="s">
        <v>66</v>
      </c>
      <c r="D816" s="68">
        <v>267128277</v>
      </c>
    </row>
    <row r="817" spans="2:4" x14ac:dyDescent="0.2">
      <c r="B817" s="575">
        <v>46142</v>
      </c>
      <c r="C817" t="s">
        <v>24</v>
      </c>
      <c r="D817" s="68">
        <v>10386840000</v>
      </c>
    </row>
    <row r="818" spans="2:4" x14ac:dyDescent="0.2">
      <c r="B818" s="575">
        <v>46142</v>
      </c>
      <c r="C818" t="s">
        <v>67</v>
      </c>
      <c r="D818" s="68">
        <v>1603726826</v>
      </c>
    </row>
    <row r="819" spans="2:4" x14ac:dyDescent="0.2">
      <c r="B819" s="575">
        <v>46142</v>
      </c>
      <c r="C819" t="s">
        <v>28</v>
      </c>
      <c r="D819" s="68">
        <v>12702960000</v>
      </c>
    </row>
    <row r="820" spans="2:4" x14ac:dyDescent="0.2">
      <c r="B820" s="575">
        <v>46142</v>
      </c>
      <c r="C820" t="s">
        <v>208</v>
      </c>
      <c r="D820" s="68">
        <v>0</v>
      </c>
    </row>
    <row r="821" spans="2:4" x14ac:dyDescent="0.2">
      <c r="B821" s="575">
        <v>46142</v>
      </c>
      <c r="C821" t="s">
        <v>60</v>
      </c>
      <c r="D821" s="68">
        <v>0</v>
      </c>
    </row>
    <row r="822" spans="2:4" x14ac:dyDescent="0.2">
      <c r="B822" s="575">
        <v>46142</v>
      </c>
      <c r="C822" t="s">
        <v>36</v>
      </c>
      <c r="D822" s="68">
        <v>1377790000</v>
      </c>
    </row>
    <row r="823" spans="2:4" x14ac:dyDescent="0.2">
      <c r="B823" s="575">
        <v>46142</v>
      </c>
      <c r="C823" t="s">
        <v>55</v>
      </c>
      <c r="D823" s="68">
        <v>557180000</v>
      </c>
    </row>
    <row r="824" spans="2:4" x14ac:dyDescent="0.2">
      <c r="B824" s="575">
        <v>46142</v>
      </c>
      <c r="C824" t="s">
        <v>176</v>
      </c>
      <c r="D824" s="68">
        <v>15600832</v>
      </c>
    </row>
    <row r="825" spans="2:4" x14ac:dyDescent="0.2">
      <c r="B825" s="575">
        <v>46142</v>
      </c>
      <c r="C825" t="s">
        <v>39</v>
      </c>
      <c r="D825" s="68">
        <v>1130919971</v>
      </c>
    </row>
    <row r="826" spans="2:4" x14ac:dyDescent="0.2">
      <c r="B826" s="575">
        <v>46142</v>
      </c>
      <c r="C826" t="s">
        <v>206</v>
      </c>
      <c r="D826" s="68">
        <v>0</v>
      </c>
    </row>
    <row r="827" spans="2:4" x14ac:dyDescent="0.2">
      <c r="B827" s="575">
        <v>46142</v>
      </c>
      <c r="C827" t="s">
        <v>64</v>
      </c>
      <c r="D827" s="68">
        <v>15000000</v>
      </c>
    </row>
    <row r="828" spans="2:4" x14ac:dyDescent="0.2">
      <c r="B828" s="575">
        <v>46142</v>
      </c>
      <c r="C828" t="s">
        <v>237</v>
      </c>
      <c r="D828" s="68">
        <v>0</v>
      </c>
    </row>
    <row r="829" spans="2:4" x14ac:dyDescent="0.2">
      <c r="B829" s="575">
        <v>46142</v>
      </c>
      <c r="C829" t="s">
        <v>11</v>
      </c>
      <c r="D829" s="68">
        <v>13482030000</v>
      </c>
    </row>
    <row r="830" spans="2:4" x14ac:dyDescent="0.2">
      <c r="B830" s="575">
        <v>46142</v>
      </c>
      <c r="C830" t="s">
        <v>221</v>
      </c>
      <c r="D830" s="68">
        <v>0</v>
      </c>
    </row>
    <row r="831" spans="2:4" x14ac:dyDescent="0.2">
      <c r="B831" s="575">
        <v>46142</v>
      </c>
      <c r="C831" t="s">
        <v>222</v>
      </c>
      <c r="D831" s="68">
        <v>0</v>
      </c>
    </row>
    <row r="832" spans="2:4" x14ac:dyDescent="0.2">
      <c r="B832" s="575">
        <v>46142</v>
      </c>
      <c r="C832" t="s">
        <v>223</v>
      </c>
      <c r="D832" s="68">
        <v>0</v>
      </c>
    </row>
    <row r="833" spans="2:4" x14ac:dyDescent="0.2">
      <c r="B833" s="575">
        <v>46142</v>
      </c>
      <c r="C833" t="s">
        <v>219</v>
      </c>
      <c r="D833" s="68">
        <v>0</v>
      </c>
    </row>
    <row r="834" spans="2:4" x14ac:dyDescent="0.2">
      <c r="B834" s="575">
        <v>46142</v>
      </c>
      <c r="C834" t="s">
        <v>19</v>
      </c>
      <c r="D834" s="68">
        <v>10214856000</v>
      </c>
    </row>
    <row r="835" spans="2:4" x14ac:dyDescent="0.2">
      <c r="B835" s="575">
        <v>46142</v>
      </c>
      <c r="C835" t="s">
        <v>62</v>
      </c>
      <c r="D835" s="68">
        <v>138944687</v>
      </c>
    </row>
    <row r="836" spans="2:4" x14ac:dyDescent="0.2">
      <c r="B836" s="575">
        <v>46142</v>
      </c>
      <c r="C836" t="s">
        <v>58</v>
      </c>
      <c r="D836" s="68">
        <v>42000000</v>
      </c>
    </row>
    <row r="837" spans="2:4" x14ac:dyDescent="0.2">
      <c r="B837" s="575">
        <v>46142</v>
      </c>
      <c r="C837" t="s">
        <v>61</v>
      </c>
      <c r="D837" s="68">
        <v>59000000</v>
      </c>
    </row>
    <row r="838" spans="2:4" x14ac:dyDescent="0.2">
      <c r="B838" s="575">
        <v>46142</v>
      </c>
      <c r="C838" t="s">
        <v>57</v>
      </c>
      <c r="D838" s="68">
        <v>728720000</v>
      </c>
    </row>
    <row r="839" spans="2:4" x14ac:dyDescent="0.2">
      <c r="B839" s="575">
        <v>46142</v>
      </c>
      <c r="C839" t="s">
        <v>63</v>
      </c>
      <c r="D839" s="68">
        <v>268272000</v>
      </c>
    </row>
    <row r="840" spans="2:4" x14ac:dyDescent="0.2">
      <c r="B840" s="575">
        <v>46142</v>
      </c>
      <c r="C840" t="s">
        <v>59</v>
      </c>
      <c r="D840" s="68">
        <v>237276638</v>
      </c>
    </row>
    <row r="841" spans="2:4" x14ac:dyDescent="0.2">
      <c r="B841" s="575">
        <v>46142</v>
      </c>
      <c r="C841" t="s">
        <v>31</v>
      </c>
      <c r="D841" s="68">
        <v>3823010000</v>
      </c>
    </row>
    <row r="842" spans="2:4" x14ac:dyDescent="0.2">
      <c r="B842" s="575">
        <v>46142</v>
      </c>
      <c r="C842" t="s">
        <v>234</v>
      </c>
      <c r="D842" s="68">
        <v>0</v>
      </c>
    </row>
  </sheetData>
  <autoFilter ref="B2:D466" xr:uid="{D660CDE3-84BB-4E3B-B1CE-B14689DA545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A7BC-EEBA-4E44-8810-F2DE8D56C270}">
  <sheetPr>
    <tabColor theme="2" tint="-9.9978637043366805E-2"/>
  </sheetPr>
  <dimension ref="A1:AGU15374"/>
  <sheetViews>
    <sheetView topLeftCell="H502" zoomScale="40" zoomScaleNormal="40" workbookViewId="0">
      <selection activeCell="S512" sqref="S512"/>
    </sheetView>
  </sheetViews>
  <sheetFormatPr baseColWidth="10" defaultColWidth="9.33203125" defaultRowHeight="16" x14ac:dyDescent="0.2"/>
  <cols>
    <col min="1" max="1" width="38.1640625" style="128" bestFit="1" customWidth="1"/>
    <col min="2" max="2" width="9.5" style="128" customWidth="1"/>
    <col min="3" max="3" width="15.83203125" style="128" customWidth="1"/>
    <col min="4" max="4" width="14.83203125" style="128" customWidth="1"/>
    <col min="5" max="5" width="9.33203125" style="128" bestFit="1" customWidth="1"/>
    <col min="6" max="6" width="36.83203125" style="128" customWidth="1"/>
    <col min="7" max="7" width="23" style="128" bestFit="1" customWidth="1"/>
    <col min="8" max="8" width="20.6640625" style="128" bestFit="1" customWidth="1"/>
    <col min="9" max="9" width="25.6640625" style="128" bestFit="1" customWidth="1"/>
    <col min="10" max="10" width="25.33203125" style="128" bestFit="1" customWidth="1"/>
    <col min="11" max="11" width="36.6640625" style="128" bestFit="1" customWidth="1"/>
    <col min="12" max="12" width="24.83203125" style="128" bestFit="1" customWidth="1"/>
    <col min="13" max="13" width="23.33203125" style="128" bestFit="1" customWidth="1"/>
    <col min="14" max="14" width="24.6640625" style="128" bestFit="1" customWidth="1"/>
    <col min="15" max="15" width="23.6640625" style="128" bestFit="1" customWidth="1"/>
    <col min="16" max="16" width="22.1640625" style="128" bestFit="1" customWidth="1"/>
    <col min="17" max="18" width="24.6640625" style="128" bestFit="1" customWidth="1"/>
    <col min="19" max="19" width="26.33203125" style="128" bestFit="1" customWidth="1"/>
    <col min="20" max="20" width="25.83203125" style="128" bestFit="1" customWidth="1"/>
    <col min="21" max="21" width="25.33203125" style="128" bestFit="1" customWidth="1"/>
    <col min="22" max="22" width="26.33203125" style="128" bestFit="1" customWidth="1"/>
    <col min="23" max="23" width="25.83203125" style="128" bestFit="1" customWidth="1"/>
    <col min="24" max="24" width="27.33203125" style="128" bestFit="1" customWidth="1"/>
    <col min="25" max="25" width="25.83203125" style="128" bestFit="1" customWidth="1"/>
    <col min="26" max="26" width="26.33203125" style="128" bestFit="1" customWidth="1"/>
    <col min="27" max="28" width="25.83203125" style="128" bestFit="1" customWidth="1"/>
    <col min="29" max="29" width="26.33203125" style="128" bestFit="1" customWidth="1"/>
    <col min="30" max="30" width="25.83203125" style="128" bestFit="1" customWidth="1"/>
    <col min="31" max="31" width="26.83203125" style="128" bestFit="1" customWidth="1"/>
    <col min="32" max="33" width="27.33203125" style="128" bestFit="1" customWidth="1"/>
    <col min="34" max="34" width="26.83203125" style="128" bestFit="1" customWidth="1"/>
    <col min="35" max="35" width="27.33203125" style="128" bestFit="1" customWidth="1"/>
    <col min="36" max="36" width="28.33203125" style="128" bestFit="1" customWidth="1"/>
    <col min="37" max="37" width="27.33203125" style="128" bestFit="1" customWidth="1"/>
    <col min="38" max="38" width="28.33203125" style="128" bestFit="1" customWidth="1"/>
    <col min="39" max="39" width="26.83203125" style="128" bestFit="1" customWidth="1"/>
    <col min="40" max="40" width="28.33203125" style="128" bestFit="1" customWidth="1"/>
    <col min="41" max="41" width="27.33203125" style="128" bestFit="1" customWidth="1"/>
    <col min="42" max="42" width="25.83203125" style="128" bestFit="1" customWidth="1"/>
    <col min="43" max="44" width="28.33203125" style="128" bestFit="1" customWidth="1"/>
    <col min="45" max="51" width="12.1640625" style="128" bestFit="1" customWidth="1"/>
    <col min="52" max="52" width="13.1640625" style="128" bestFit="1" customWidth="1"/>
    <col min="53" max="53" width="12.6640625" style="128" bestFit="1" customWidth="1"/>
    <col min="54" max="61" width="13.1640625" style="128" bestFit="1" customWidth="1"/>
    <col min="62" max="62" width="13.5" style="128" bestFit="1" customWidth="1"/>
    <col min="63" max="63" width="13.1640625" style="128" bestFit="1" customWidth="1"/>
    <col min="64" max="71" width="13.5" style="128" bestFit="1" customWidth="1"/>
    <col min="72" max="72" width="11.83203125" style="128" bestFit="1" customWidth="1"/>
    <col min="73" max="80" width="12.33203125" style="128" bestFit="1" customWidth="1"/>
    <col min="81" max="81" width="13.33203125" style="128" bestFit="1" customWidth="1"/>
    <col min="82" max="82" width="12.83203125" style="128" bestFit="1" customWidth="1"/>
    <col min="83" max="90" width="13.33203125" style="128" bestFit="1" customWidth="1"/>
    <col min="91" max="91" width="13.6640625" style="128" bestFit="1" customWidth="1"/>
    <col min="92" max="92" width="13.33203125" style="128" bestFit="1" customWidth="1"/>
    <col min="93" max="101" width="13.6640625" style="128" bestFit="1" customWidth="1"/>
    <col min="102" max="102" width="13.33203125" style="128" bestFit="1" customWidth="1"/>
    <col min="103" max="103" width="11.5" style="128" bestFit="1" customWidth="1"/>
    <col min="104" max="111" width="11.83203125" style="128" bestFit="1" customWidth="1"/>
    <col min="112" max="112" width="12.83203125" style="128" bestFit="1" customWidth="1"/>
    <col min="113" max="113" width="12.33203125" style="128" bestFit="1" customWidth="1"/>
    <col min="114" max="121" width="12.83203125" style="128" bestFit="1" customWidth="1"/>
    <col min="122" max="122" width="13.33203125" style="128" bestFit="1" customWidth="1"/>
    <col min="123" max="123" width="12.83203125" style="128" bestFit="1" customWidth="1"/>
    <col min="124" max="132" width="13.33203125" style="128" bestFit="1" customWidth="1"/>
    <col min="133" max="133" width="12.1640625" style="128" bestFit="1" customWidth="1"/>
    <col min="134" max="141" width="12.6640625" style="128" bestFit="1" customWidth="1"/>
    <col min="142" max="142" width="13.5" style="128" bestFit="1" customWidth="1"/>
    <col min="143" max="143" width="13.1640625" style="128" bestFit="1" customWidth="1"/>
    <col min="144" max="151" width="13.5" style="128" bestFit="1" customWidth="1"/>
    <col min="152" max="152" width="14" style="128" bestFit="1" customWidth="1"/>
    <col min="153" max="153" width="13.5" style="128" bestFit="1" customWidth="1"/>
    <col min="154" max="162" width="14" style="128" bestFit="1" customWidth="1"/>
    <col min="163" max="163" width="13.5" style="128" bestFit="1" customWidth="1"/>
    <col min="164" max="164" width="11.5" style="128" bestFit="1" customWidth="1"/>
    <col min="165" max="172" width="11.83203125" style="128" bestFit="1" customWidth="1"/>
    <col min="173" max="173" width="12.83203125" style="128" bestFit="1" customWidth="1"/>
    <col min="174" max="174" width="12.33203125" style="128" bestFit="1" customWidth="1"/>
    <col min="175" max="182" width="12.83203125" style="128" bestFit="1" customWidth="1"/>
    <col min="183" max="183" width="13.33203125" style="128" bestFit="1" customWidth="1"/>
    <col min="184" max="184" width="12.83203125" style="128" bestFit="1" customWidth="1"/>
    <col min="185" max="193" width="13.33203125" style="128" bestFit="1" customWidth="1"/>
    <col min="194" max="194" width="10.83203125" style="128" bestFit="1" customWidth="1"/>
    <col min="195" max="202" width="11.33203125" style="128" bestFit="1" customWidth="1"/>
    <col min="203" max="203" width="12.1640625" style="128" bestFit="1" customWidth="1"/>
    <col min="204" max="204" width="11.6640625" style="128" bestFit="1" customWidth="1"/>
    <col min="205" max="212" width="12.1640625" style="128" bestFit="1" customWidth="1"/>
    <col min="213" max="213" width="12.6640625" style="128" bestFit="1" customWidth="1"/>
    <col min="214" max="214" width="12.1640625" style="128" bestFit="1" customWidth="1"/>
    <col min="215" max="223" width="12.6640625" style="128" bestFit="1" customWidth="1"/>
    <col min="224" max="224" width="12.1640625" style="128" bestFit="1" customWidth="1"/>
    <col min="225" max="225" width="11.83203125" style="128" bestFit="1" customWidth="1"/>
    <col min="226" max="233" width="12.33203125" style="128" bestFit="1" customWidth="1"/>
    <col min="234" max="234" width="13.33203125" style="128" bestFit="1" customWidth="1"/>
    <col min="235" max="235" width="12.83203125" style="128" bestFit="1" customWidth="1"/>
    <col min="236" max="242" width="13.33203125" style="128" bestFit="1" customWidth="1"/>
    <col min="243" max="248" width="13.6640625" style="128" bestFit="1" customWidth="1"/>
    <col min="249" max="249" width="13.33203125" style="128" bestFit="1" customWidth="1"/>
    <col min="250" max="250" width="11.6640625" style="128" bestFit="1" customWidth="1"/>
    <col min="251" max="258" width="12.1640625" style="128" bestFit="1" customWidth="1"/>
    <col min="259" max="259" width="13.1640625" style="128" bestFit="1" customWidth="1"/>
    <col min="260" max="260" width="12.6640625" style="128" bestFit="1" customWidth="1"/>
    <col min="261" max="268" width="13.1640625" style="128" bestFit="1" customWidth="1"/>
    <col min="269" max="269" width="13.5" style="128" bestFit="1" customWidth="1"/>
    <col min="270" max="270" width="13.1640625" style="128" bestFit="1" customWidth="1"/>
    <col min="271" max="279" width="13.5" style="128" bestFit="1" customWidth="1"/>
    <col min="280" max="280" width="11.5" style="128" bestFit="1" customWidth="1"/>
    <col min="281" max="288" width="11.83203125" style="128" bestFit="1" customWidth="1"/>
    <col min="289" max="289" width="12.83203125" style="128" bestFit="1" customWidth="1"/>
    <col min="290" max="290" width="12.33203125" style="128" bestFit="1" customWidth="1"/>
    <col min="291" max="298" width="12.83203125" style="128" bestFit="1" customWidth="1"/>
    <col min="299" max="299" width="13.33203125" style="128" bestFit="1" customWidth="1"/>
    <col min="300" max="300" width="12.83203125" style="128" bestFit="1" customWidth="1"/>
    <col min="301" max="309" width="13.33203125" style="128" bestFit="1" customWidth="1"/>
    <col min="310" max="310" width="12.83203125" style="128" bestFit="1" customWidth="1"/>
    <col min="311" max="311" width="12.1640625" style="128" bestFit="1" customWidth="1"/>
    <col min="312" max="319" width="12.6640625" style="128" bestFit="1" customWidth="1"/>
    <col min="320" max="320" width="13.5" style="128" bestFit="1" customWidth="1"/>
    <col min="321" max="321" width="13.1640625" style="128" bestFit="1" customWidth="1"/>
    <col min="322" max="329" width="13.5" style="128" bestFit="1" customWidth="1"/>
    <col min="330" max="330" width="14" style="128" bestFit="1" customWidth="1"/>
    <col min="331" max="331" width="13.5" style="128" bestFit="1" customWidth="1"/>
    <col min="332" max="340" width="14" style="128" bestFit="1" customWidth="1"/>
    <col min="341" max="341" width="11.83203125" style="128" bestFit="1" customWidth="1"/>
    <col min="342" max="349" width="12.33203125" style="128" bestFit="1" customWidth="1"/>
    <col min="350" max="350" width="13.33203125" style="128" bestFit="1" customWidth="1"/>
    <col min="351" max="351" width="12.83203125" style="128" bestFit="1" customWidth="1"/>
    <col min="352" max="359" width="13.33203125" style="128" bestFit="1" customWidth="1"/>
    <col min="360" max="360" width="13.6640625" style="128" bestFit="1" customWidth="1"/>
    <col min="361" max="361" width="13.33203125" style="128" bestFit="1" customWidth="1"/>
    <col min="362" max="370" width="13.6640625" style="128" bestFit="1" customWidth="1"/>
    <col min="371" max="371" width="13.33203125" style="128" bestFit="1" customWidth="1"/>
    <col min="372" max="372" width="11.5" style="128" bestFit="1" customWidth="1"/>
    <col min="373" max="380" width="11.83203125" style="128" bestFit="1" customWidth="1"/>
    <col min="381" max="381" width="12.83203125" style="128" bestFit="1" customWidth="1"/>
    <col min="382" max="382" width="12.33203125" style="128" bestFit="1" customWidth="1"/>
    <col min="383" max="390" width="12.83203125" style="128" bestFit="1" customWidth="1"/>
    <col min="391" max="391" width="13.33203125" style="128" bestFit="1" customWidth="1"/>
    <col min="392" max="392" width="12.83203125" style="128" bestFit="1" customWidth="1"/>
    <col min="393" max="401" width="13.33203125" style="128" bestFit="1" customWidth="1"/>
    <col min="402" max="402" width="12.83203125" style="128" bestFit="1" customWidth="1"/>
    <col min="403" max="403" width="11.6640625" style="128" bestFit="1" customWidth="1"/>
    <col min="404" max="411" width="12.1640625" style="128" bestFit="1" customWidth="1"/>
    <col min="412" max="412" width="13.1640625" style="128" bestFit="1" customWidth="1"/>
    <col min="413" max="413" width="12.6640625" style="128" bestFit="1" customWidth="1"/>
    <col min="414" max="421" width="13.1640625" style="128" bestFit="1" customWidth="1"/>
    <col min="422" max="422" width="13.5" style="128" bestFit="1" customWidth="1"/>
    <col min="423" max="423" width="13.1640625" style="128" bestFit="1" customWidth="1"/>
    <col min="424" max="430" width="13.5" style="128" bestFit="1" customWidth="1"/>
    <col min="431" max="431" width="11.83203125" style="128" bestFit="1" customWidth="1"/>
    <col min="432" max="439" width="12.33203125" style="128" bestFit="1" customWidth="1"/>
    <col min="440" max="440" width="13.33203125" style="128" bestFit="1" customWidth="1"/>
    <col min="441" max="441" width="12.83203125" style="128" bestFit="1" customWidth="1"/>
    <col min="442" max="449" width="13.33203125" style="128" bestFit="1" customWidth="1"/>
    <col min="450" max="450" width="13.6640625" style="128" bestFit="1" customWidth="1"/>
    <col min="451" max="451" width="13.33203125" style="128" bestFit="1" customWidth="1"/>
    <col min="452" max="460" width="13.6640625" style="128" bestFit="1" customWidth="1"/>
    <col min="461" max="461" width="13.33203125" style="128" bestFit="1" customWidth="1"/>
    <col min="462" max="462" width="11.5" style="128" bestFit="1" customWidth="1"/>
    <col min="463" max="470" width="11.83203125" style="128" bestFit="1" customWidth="1"/>
    <col min="471" max="471" width="12.83203125" style="128" bestFit="1" customWidth="1"/>
    <col min="472" max="472" width="12.33203125" style="128" bestFit="1" customWidth="1"/>
    <col min="473" max="480" width="12.83203125" style="128" bestFit="1" customWidth="1"/>
    <col min="481" max="481" width="13.33203125" style="128" bestFit="1" customWidth="1"/>
    <col min="482" max="482" width="12.83203125" style="128" bestFit="1" customWidth="1"/>
    <col min="483" max="491" width="13.33203125" style="128" bestFit="1" customWidth="1"/>
    <col min="492" max="492" width="12.1640625" style="128" bestFit="1" customWidth="1"/>
    <col min="493" max="500" width="12.6640625" style="128" bestFit="1" customWidth="1"/>
    <col min="501" max="501" width="13.5" style="128" bestFit="1" customWidth="1"/>
    <col min="502" max="502" width="13.1640625" style="128" bestFit="1" customWidth="1"/>
    <col min="503" max="510" width="13.5" style="128" bestFit="1" customWidth="1"/>
    <col min="511" max="511" width="14" style="128" bestFit="1" customWidth="1"/>
    <col min="512" max="512" width="13.5" style="128" bestFit="1" customWidth="1"/>
    <col min="513" max="521" width="14" style="128" bestFit="1" customWidth="1"/>
    <col min="522" max="522" width="13.5" style="128" bestFit="1" customWidth="1"/>
    <col min="523" max="523" width="11.5" style="128" bestFit="1" customWidth="1"/>
    <col min="524" max="531" width="11.83203125" style="128" bestFit="1" customWidth="1"/>
    <col min="532" max="532" width="12.83203125" style="128" bestFit="1" customWidth="1"/>
    <col min="533" max="533" width="12.33203125" style="128" bestFit="1" customWidth="1"/>
    <col min="534" max="541" width="12.83203125" style="128" bestFit="1" customWidth="1"/>
    <col min="542" max="542" width="13.33203125" style="128" bestFit="1" customWidth="1"/>
    <col min="543" max="543" width="12.83203125" style="128" bestFit="1" customWidth="1"/>
    <col min="544" max="552" width="13.33203125" style="128" bestFit="1" customWidth="1"/>
    <col min="553" max="553" width="10.83203125" style="128" bestFit="1" customWidth="1"/>
    <col min="554" max="561" width="11.33203125" style="128" bestFit="1" customWidth="1"/>
    <col min="562" max="562" width="12.1640625" style="128" bestFit="1" customWidth="1"/>
    <col min="563" max="563" width="11.6640625" style="128" bestFit="1" customWidth="1"/>
    <col min="564" max="571" width="12.1640625" style="128" bestFit="1" customWidth="1"/>
    <col min="572" max="572" width="12.6640625" style="128" bestFit="1" customWidth="1"/>
    <col min="573" max="573" width="12.1640625" style="128" bestFit="1" customWidth="1"/>
    <col min="574" max="582" width="12.6640625" style="128" bestFit="1" customWidth="1"/>
    <col min="583" max="583" width="12.1640625" style="128" bestFit="1" customWidth="1"/>
    <col min="584" max="584" width="11.83203125" style="128" bestFit="1" customWidth="1"/>
    <col min="585" max="592" width="12.33203125" style="128" bestFit="1" customWidth="1"/>
    <col min="593" max="593" width="13.33203125" style="128" bestFit="1" customWidth="1"/>
    <col min="594" max="594" width="12.83203125" style="128" bestFit="1" customWidth="1"/>
    <col min="595" max="602" width="13.33203125" style="128" bestFit="1" customWidth="1"/>
    <col min="603" max="603" width="13.6640625" style="128" bestFit="1" customWidth="1"/>
    <col min="604" max="604" width="13.33203125" style="128" bestFit="1" customWidth="1"/>
    <col min="605" max="613" width="13.6640625" style="128" bestFit="1" customWidth="1"/>
    <col min="614" max="614" width="13.33203125" style="128" bestFit="1" customWidth="1"/>
    <col min="615" max="615" width="11.6640625" style="128" bestFit="1" customWidth="1"/>
    <col min="616" max="623" width="12.1640625" style="128" bestFit="1" customWidth="1"/>
    <col min="624" max="624" width="13.1640625" style="128" bestFit="1" customWidth="1"/>
    <col min="625" max="625" width="12.6640625" style="128" bestFit="1" customWidth="1"/>
    <col min="626" max="633" width="13.1640625" style="128" bestFit="1" customWidth="1"/>
    <col min="634" max="634" width="13.5" style="128" bestFit="1" customWidth="1"/>
    <col min="635" max="635" width="13.1640625" style="128" bestFit="1" customWidth="1"/>
    <col min="636" max="644" width="13.5" style="128" bestFit="1" customWidth="1"/>
    <col min="645" max="645" width="11.5" style="128" bestFit="1" customWidth="1"/>
    <col min="646" max="653" width="11.83203125" style="128" bestFit="1" customWidth="1"/>
    <col min="654" max="654" width="12.83203125" style="128" bestFit="1" customWidth="1"/>
    <col min="655" max="655" width="12.33203125" style="128" bestFit="1" customWidth="1"/>
    <col min="656" max="663" width="12.83203125" style="128" bestFit="1" customWidth="1"/>
    <col min="664" max="664" width="13.33203125" style="128" bestFit="1" customWidth="1"/>
    <col min="665" max="665" width="12.83203125" style="128" bestFit="1" customWidth="1"/>
    <col min="666" max="674" width="13.33203125" style="128" bestFit="1" customWidth="1"/>
    <col min="675" max="675" width="12.83203125" style="128" bestFit="1" customWidth="1"/>
    <col min="676" max="676" width="12.1640625" style="128" bestFit="1" customWidth="1"/>
    <col min="677" max="684" width="12.6640625" style="128" bestFit="1" customWidth="1"/>
    <col min="685" max="685" width="13.5" style="128" bestFit="1" customWidth="1"/>
    <col min="686" max="686" width="13.1640625" style="128" bestFit="1" customWidth="1"/>
    <col min="687" max="694" width="13.5" style="128" bestFit="1" customWidth="1"/>
    <col min="695" max="695" width="14" style="128" bestFit="1" customWidth="1"/>
    <col min="696" max="696" width="13.5" style="128" bestFit="1" customWidth="1"/>
    <col min="697" max="705" width="14" style="128" bestFit="1" customWidth="1"/>
    <col min="706" max="706" width="11.83203125" style="128" bestFit="1" customWidth="1"/>
    <col min="707" max="714" width="12.33203125" style="128" bestFit="1" customWidth="1"/>
    <col min="715" max="715" width="13.33203125" style="128" bestFit="1" customWidth="1"/>
    <col min="716" max="716" width="12.83203125" style="128" bestFit="1" customWidth="1"/>
    <col min="717" max="724" width="13.33203125" style="128" bestFit="1" customWidth="1"/>
    <col min="725" max="725" width="13.6640625" style="128" bestFit="1" customWidth="1"/>
    <col min="726" max="726" width="13.33203125" style="128" bestFit="1" customWidth="1"/>
    <col min="727" max="735" width="13.6640625" style="128" bestFit="1" customWidth="1"/>
    <col min="736" max="736" width="13.33203125" style="128" bestFit="1" customWidth="1"/>
    <col min="737" max="737" width="11.5" style="128" bestFit="1" customWidth="1"/>
    <col min="738" max="745" width="11.83203125" style="128" bestFit="1" customWidth="1"/>
    <col min="746" max="746" width="12.83203125" style="128" bestFit="1" customWidth="1"/>
    <col min="747" max="747" width="12.33203125" style="128" bestFit="1" customWidth="1"/>
    <col min="748" max="755" width="12.83203125" style="128" bestFit="1" customWidth="1"/>
    <col min="756" max="756" width="13.33203125" style="128" bestFit="1" customWidth="1"/>
    <col min="757" max="757" width="12.83203125" style="128" bestFit="1" customWidth="1"/>
    <col min="758" max="766" width="13.33203125" style="128" bestFit="1" customWidth="1"/>
    <col min="767" max="767" width="12.83203125" style="128" bestFit="1" customWidth="1"/>
    <col min="768" max="768" width="11.6640625" style="128" bestFit="1" customWidth="1"/>
    <col min="769" max="776" width="12.1640625" style="128" bestFit="1" customWidth="1"/>
    <col min="777" max="777" width="13.1640625" style="128" bestFit="1" customWidth="1"/>
    <col min="778" max="778" width="12.6640625" style="128" bestFit="1" customWidth="1"/>
    <col min="779" max="786" width="13.1640625" style="128" bestFit="1" customWidth="1"/>
    <col min="787" max="787" width="13.5" style="128" bestFit="1" customWidth="1"/>
    <col min="788" max="788" width="13.1640625" style="128" bestFit="1" customWidth="1"/>
    <col min="789" max="795" width="13.5" style="128" bestFit="1" customWidth="1"/>
    <col min="796" max="796" width="11.83203125" style="128" bestFit="1" customWidth="1"/>
    <col min="797" max="804" width="12.33203125" style="128" bestFit="1" customWidth="1"/>
    <col min="805" max="805" width="13.33203125" style="128" bestFit="1" customWidth="1"/>
    <col min="806" max="806" width="12.83203125" style="128" bestFit="1" customWidth="1"/>
    <col min="807" max="814" width="13.33203125" style="128" bestFit="1" customWidth="1"/>
    <col min="815" max="815" width="13.6640625" style="128" bestFit="1" customWidth="1"/>
    <col min="816" max="816" width="13.33203125" style="128" bestFit="1" customWidth="1"/>
    <col min="817" max="825" width="13.6640625" style="128" bestFit="1" customWidth="1"/>
    <col min="826" max="826" width="13.33203125" style="128" bestFit="1" customWidth="1"/>
    <col min="827" max="827" width="11.5" style="128" bestFit="1" customWidth="1"/>
    <col min="828" max="835" width="11.83203125" style="128" bestFit="1" customWidth="1"/>
    <col min="836" max="836" width="12.83203125" style="128" bestFit="1" customWidth="1"/>
    <col min="837" max="837" width="12.33203125" style="128" bestFit="1" customWidth="1"/>
    <col min="838" max="845" width="12.83203125" style="128" bestFit="1" customWidth="1"/>
    <col min="846" max="846" width="13.33203125" style="128" bestFit="1" customWidth="1"/>
    <col min="847" max="847" width="12.83203125" style="128" bestFit="1" customWidth="1"/>
    <col min="848" max="856" width="13.33203125" style="128" bestFit="1" customWidth="1"/>
    <col min="857" max="857" width="12.1640625" style="128" bestFit="1" customWidth="1"/>
    <col min="858" max="865" width="12.6640625" style="128" bestFit="1" customWidth="1"/>
    <col min="866" max="866" width="13.5" style="128" bestFit="1" customWidth="1"/>
    <col min="867" max="867" width="15.83203125" style="128" bestFit="1" customWidth="1"/>
    <col min="868" max="876" width="13.6640625" style="128" bestFit="1" customWidth="1"/>
    <col min="877" max="877" width="13.33203125" style="128" bestFit="1" customWidth="1"/>
    <col min="878" max="878" width="11" style="128" bestFit="1" customWidth="1"/>
    <col min="879" max="879" width="15.83203125" style="128" bestFit="1" customWidth="1"/>
    <col min="880" max="16384" width="9.33203125" style="128"/>
  </cols>
  <sheetData>
    <row r="1" spans="1:37" x14ac:dyDescent="0.2">
      <c r="A1" s="127" t="s">
        <v>193</v>
      </c>
    </row>
    <row r="2" spans="1:37" x14ac:dyDescent="0.2">
      <c r="A2" s="129" t="s">
        <v>53</v>
      </c>
      <c r="B2" s="129" t="s">
        <v>194</v>
      </c>
      <c r="C2" s="129" t="s">
        <v>195</v>
      </c>
      <c r="D2" s="129" t="s">
        <v>196</v>
      </c>
      <c r="E2" s="129" t="s">
        <v>197</v>
      </c>
      <c r="F2" s="129" t="s">
        <v>54</v>
      </c>
      <c r="G2" s="129" t="s">
        <v>198</v>
      </c>
      <c r="H2" s="129" t="s">
        <v>199</v>
      </c>
      <c r="I2" s="130" t="s">
        <v>47</v>
      </c>
      <c r="K2" s="131" t="s">
        <v>200</v>
      </c>
      <c r="U2" s="132" t="s">
        <v>201</v>
      </c>
      <c r="V2" s="133">
        <f>MAX($A:$A)</f>
        <v>46152</v>
      </c>
    </row>
    <row r="3" spans="1:37" x14ac:dyDescent="0.2">
      <c r="A3" s="134">
        <v>45292</v>
      </c>
      <c r="B3" s="135">
        <f>YEAR(source[[#This Row],[report_date]])</f>
        <v>2024</v>
      </c>
      <c r="C3" s="136">
        <v>1</v>
      </c>
      <c r="D3" s="136">
        <f t="shared" ref="D3:D66" si="0">WEEKNUM(A3,2)</f>
        <v>1</v>
      </c>
      <c r="E3" s="136">
        <f t="shared" ref="E3:E66" si="1">DAY(A3)</f>
        <v>1</v>
      </c>
      <c r="F3" s="128" t="s">
        <v>19</v>
      </c>
      <c r="G3" s="128" t="str">
        <f>VLOOKUP(source[[#This Row],[lending_product_transform]],[3]Mapping!$B$4:$C$37,2,0)</f>
        <v>[VDS] - Payday</v>
      </c>
      <c r="H3" s="128" t="str">
        <f>VLOOKUP(source[[#This Row],[lending_product_transform]],[3]Mapping!$B$3:$D$37,3,0)</f>
        <v>payday</v>
      </c>
      <c r="I3" s="135">
        <v>885500000</v>
      </c>
    </row>
    <row r="4" spans="1:37" x14ac:dyDescent="0.2">
      <c r="A4" s="134">
        <v>45292</v>
      </c>
      <c r="B4" s="135">
        <f>YEAR(source[[#This Row],[report_date]])</f>
        <v>2024</v>
      </c>
      <c r="C4" s="136">
        <v>1</v>
      </c>
      <c r="D4" s="136">
        <f t="shared" si="0"/>
        <v>1</v>
      </c>
      <c r="E4" s="136">
        <f t="shared" si="1"/>
        <v>1</v>
      </c>
      <c r="F4" s="128" t="s">
        <v>58</v>
      </c>
      <c r="G4" s="128" t="str">
        <f>VLOOKUP(source[[#This Row],[lending_product_transform]],[3]Mapping!$B$4:$C$37,2,0)</f>
        <v>[VDS] - Payroll Cashloan</v>
      </c>
      <c r="H4" s="128" t="str">
        <f>VLOOKUP(source[[#This Row],[lending_product_transform]],[3]Mapping!$B$3:$D$37,3,0)</f>
        <v>cashloan</v>
      </c>
      <c r="I4" s="135">
        <v>63000000</v>
      </c>
      <c r="K4" s="551" t="s">
        <v>69</v>
      </c>
      <c r="L4" s="556" t="s">
        <v>202</v>
      </c>
      <c r="M4" s="551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551"/>
      <c r="Z4" s="551"/>
      <c r="AA4" s="551"/>
      <c r="AB4" s="551"/>
      <c r="AC4" s="551"/>
      <c r="AD4" s="551"/>
      <c r="AE4" s="551"/>
      <c r="AF4" s="137"/>
      <c r="AG4" s="137"/>
    </row>
    <row r="5" spans="1:37" x14ac:dyDescent="0.2">
      <c r="A5" s="134">
        <v>45292</v>
      </c>
      <c r="B5" s="135">
        <f>YEAR(source[[#This Row],[report_date]])</f>
        <v>2024</v>
      </c>
      <c r="C5" s="136">
        <v>1</v>
      </c>
      <c r="D5" s="136">
        <f t="shared" si="0"/>
        <v>1</v>
      </c>
      <c r="E5" s="136">
        <f t="shared" si="1"/>
        <v>1</v>
      </c>
      <c r="F5" s="128" t="s">
        <v>11</v>
      </c>
      <c r="G5" s="128" t="str">
        <f>VLOOKUP(source[[#This Row],[lending_product_transform]],[3]Mapping!$B$4:$C$37,2,0)</f>
        <v>[VDS] - Cashloan</v>
      </c>
      <c r="H5" s="128" t="str">
        <f>VLOOKUP(source[[#This Row],[lending_product_transform]],[3]Mapping!$B$3:$D$37,3,0)</f>
        <v>cashloan</v>
      </c>
      <c r="I5" s="135">
        <v>1360850000</v>
      </c>
      <c r="K5" s="551"/>
      <c r="L5" s="557">
        <v>2025</v>
      </c>
      <c r="M5" s="556"/>
      <c r="N5" s="556"/>
      <c r="O5" s="556"/>
      <c r="P5" s="556"/>
      <c r="Q5" s="556"/>
      <c r="R5" s="556"/>
      <c r="S5" s="556"/>
      <c r="T5" s="556"/>
      <c r="U5" s="556"/>
      <c r="V5" s="556"/>
      <c r="W5" s="556"/>
      <c r="X5" s="557" t="s">
        <v>203</v>
      </c>
      <c r="Y5" s="557">
        <v>2026</v>
      </c>
      <c r="Z5" s="556"/>
      <c r="AA5" s="556"/>
      <c r="AB5" s="556"/>
      <c r="AC5" s="556"/>
      <c r="AD5" s="557" t="s">
        <v>204</v>
      </c>
      <c r="AE5" s="553" t="s">
        <v>68</v>
      </c>
      <c r="AF5" s="137"/>
      <c r="AG5" s="137"/>
    </row>
    <row r="6" spans="1:37" x14ac:dyDescent="0.2">
      <c r="A6" s="134">
        <v>45292</v>
      </c>
      <c r="B6" s="135">
        <f>YEAR(source[[#This Row],[report_date]])</f>
        <v>2024</v>
      </c>
      <c r="C6" s="136">
        <v>1</v>
      </c>
      <c r="D6" s="136">
        <f t="shared" si="0"/>
        <v>1</v>
      </c>
      <c r="E6" s="136">
        <f t="shared" si="1"/>
        <v>1</v>
      </c>
      <c r="F6" s="128" t="s">
        <v>65</v>
      </c>
      <c r="G6" s="128" t="str">
        <f>VLOOKUP(source[[#This Row],[lending_product_transform]],[3]Mapping!$B$4:$C$37,2,0)</f>
        <v>[BE] - Cashloan</v>
      </c>
      <c r="H6" s="128" t="str">
        <f>VLOOKUP(source[[#This Row],[lending_product_transform]],[3]Mapping!$B$3:$D$37,3,0)</f>
        <v>cashloan</v>
      </c>
      <c r="I6" s="135">
        <v>178500000</v>
      </c>
      <c r="K6" s="551" t="s">
        <v>205</v>
      </c>
      <c r="L6" s="553">
        <v>1</v>
      </c>
      <c r="M6" s="553">
        <v>2</v>
      </c>
      <c r="N6" s="553">
        <v>3</v>
      </c>
      <c r="O6" s="553">
        <v>4</v>
      </c>
      <c r="P6" s="553">
        <v>5</v>
      </c>
      <c r="Q6" s="553">
        <v>6</v>
      </c>
      <c r="R6" s="553">
        <v>7</v>
      </c>
      <c r="S6" s="553">
        <v>8</v>
      </c>
      <c r="T6" s="553">
        <v>9</v>
      </c>
      <c r="U6" s="553">
        <v>10</v>
      </c>
      <c r="V6" s="553">
        <v>11</v>
      </c>
      <c r="W6" s="553">
        <v>12</v>
      </c>
      <c r="X6" s="556"/>
      <c r="Y6" s="553">
        <v>1</v>
      </c>
      <c r="Z6" s="553">
        <v>2</v>
      </c>
      <c r="AA6" s="553">
        <v>3</v>
      </c>
      <c r="AB6" s="553">
        <v>4</v>
      </c>
      <c r="AC6" s="553">
        <v>5</v>
      </c>
      <c r="AD6" s="556"/>
      <c r="AE6" s="551"/>
      <c r="AG6" s="137"/>
    </row>
    <row r="7" spans="1:37" x14ac:dyDescent="0.2">
      <c r="A7" s="134">
        <v>45292</v>
      </c>
      <c r="B7" s="135">
        <f>YEAR(source[[#This Row],[report_date]])</f>
        <v>2024</v>
      </c>
      <c r="C7" s="136">
        <v>1</v>
      </c>
      <c r="D7" s="136">
        <f t="shared" si="0"/>
        <v>1</v>
      </c>
      <c r="E7" s="136">
        <f t="shared" si="1"/>
        <v>1</v>
      </c>
      <c r="F7" s="128" t="s">
        <v>56</v>
      </c>
      <c r="G7" s="128">
        <f>VLOOKUP(source[[#This Row],[lending_product_transform]],[3]Mapping!$B$4:$C$37,2,0)</f>
        <v>0</v>
      </c>
      <c r="H7" s="128">
        <f>VLOOKUP(source[[#This Row],[lending_product_transform]],[3]Mapping!$B$3:$D$37,3,0)</f>
        <v>0</v>
      </c>
      <c r="I7" s="135">
        <v>4603693408</v>
      </c>
      <c r="K7" s="554" t="s">
        <v>65</v>
      </c>
      <c r="L7" s="552">
        <v>305150000</v>
      </c>
      <c r="M7" s="552">
        <v>106500000</v>
      </c>
      <c r="N7" s="552">
        <v>120150000</v>
      </c>
      <c r="O7" s="552">
        <v>31000000</v>
      </c>
      <c r="P7" s="552">
        <v>0</v>
      </c>
      <c r="Q7" s="552">
        <v>48650000</v>
      </c>
      <c r="R7" s="552">
        <v>98750000</v>
      </c>
      <c r="S7" s="552">
        <v>18900000</v>
      </c>
      <c r="T7" s="552">
        <v>42000000</v>
      </c>
      <c r="U7" s="552">
        <v>856450000</v>
      </c>
      <c r="V7" s="552">
        <v>2125700000</v>
      </c>
      <c r="W7" s="552">
        <v>9557000000</v>
      </c>
      <c r="X7" s="552">
        <v>13310250000</v>
      </c>
      <c r="Y7" s="552">
        <v>21136600000</v>
      </c>
      <c r="Z7" s="552">
        <v>15124750000</v>
      </c>
      <c r="AA7" s="552">
        <v>23471820000</v>
      </c>
      <c r="AB7" s="552">
        <v>16993230000</v>
      </c>
      <c r="AC7" s="552">
        <v>8606560000</v>
      </c>
      <c r="AD7" s="552">
        <v>85332960000</v>
      </c>
      <c r="AE7" s="552">
        <v>98643210000</v>
      </c>
      <c r="AG7" s="137"/>
      <c r="AH7" s="135"/>
      <c r="AI7" s="135"/>
      <c r="AJ7" s="135"/>
    </row>
    <row r="8" spans="1:37" x14ac:dyDescent="0.2">
      <c r="A8" s="134">
        <v>45292</v>
      </c>
      <c r="B8" s="135">
        <f>YEAR(source[[#This Row],[report_date]])</f>
        <v>2024</v>
      </c>
      <c r="C8" s="136">
        <v>1</v>
      </c>
      <c r="D8" s="136">
        <f t="shared" si="0"/>
        <v>1</v>
      </c>
      <c r="E8" s="136">
        <f t="shared" si="1"/>
        <v>1</v>
      </c>
      <c r="F8" s="128" t="s">
        <v>67</v>
      </c>
      <c r="G8" s="128" t="str">
        <f>VLOOKUP(source[[#This Row],[lending_product_transform]],[3]Mapping!$B$4:$C$37,2,0)</f>
        <v>[Cake] - Overdraft</v>
      </c>
      <c r="H8" s="128" t="str">
        <f>VLOOKUP(source[[#This Row],[lending_product_transform]],[3]Mapping!$B$3:$D$37,3,0)</f>
        <v>overdraft</v>
      </c>
      <c r="I8" s="135">
        <v>2100843408</v>
      </c>
      <c r="K8" s="554" t="s">
        <v>66</v>
      </c>
      <c r="L8" s="552">
        <v>5181256600</v>
      </c>
      <c r="M8" s="552">
        <v>5543897694</v>
      </c>
      <c r="N8" s="552">
        <v>5692337428</v>
      </c>
      <c r="O8" s="552">
        <v>5604594501</v>
      </c>
      <c r="P8" s="552">
        <v>7145959179</v>
      </c>
      <c r="Q8" s="552">
        <v>7745288700</v>
      </c>
      <c r="R8" s="552">
        <v>8142216513</v>
      </c>
      <c r="S8" s="552">
        <v>7801255169</v>
      </c>
      <c r="T8" s="552">
        <v>7926201248</v>
      </c>
      <c r="U8" s="552">
        <v>10040639446</v>
      </c>
      <c r="V8" s="552">
        <v>9491708718</v>
      </c>
      <c r="W8" s="552">
        <v>11211193272</v>
      </c>
      <c r="X8" s="552">
        <v>91526548468</v>
      </c>
      <c r="Y8" s="552">
        <v>10867603221</v>
      </c>
      <c r="Z8" s="552">
        <v>9233648329</v>
      </c>
      <c r="AA8" s="552">
        <v>10631003862</v>
      </c>
      <c r="AB8" s="552">
        <v>9358548670</v>
      </c>
      <c r="AC8" s="552">
        <v>3862036644</v>
      </c>
      <c r="AD8" s="552">
        <v>43952840726</v>
      </c>
      <c r="AE8" s="552">
        <v>135479389194</v>
      </c>
      <c r="AG8" s="137"/>
      <c r="AH8" s="135"/>
      <c r="AI8" s="135"/>
    </row>
    <row r="9" spans="1:37" x14ac:dyDescent="0.2">
      <c r="A9" s="134">
        <v>45292</v>
      </c>
      <c r="B9" s="135">
        <f>YEAR(source[[#This Row],[report_date]])</f>
        <v>2024</v>
      </c>
      <c r="C9" s="136">
        <v>1</v>
      </c>
      <c r="D9" s="136">
        <f t="shared" si="0"/>
        <v>1</v>
      </c>
      <c r="E9" s="136">
        <f t="shared" si="1"/>
        <v>1</v>
      </c>
      <c r="F9" s="128" t="s">
        <v>61</v>
      </c>
      <c r="G9" s="128" t="str">
        <f>VLOOKUP(source[[#This Row],[lending_product_transform]],[3]Mapping!$B$4:$C$37,2,0)</f>
        <v>[VDS] - Payroll Payday</v>
      </c>
      <c r="H9" s="128" t="str">
        <f>VLOOKUP(source[[#This Row],[lending_product_transform]],[3]Mapping!$B$3:$D$37,3,0)</f>
        <v>payday</v>
      </c>
      <c r="I9" s="135">
        <v>15000000</v>
      </c>
      <c r="K9" s="554" t="s">
        <v>24</v>
      </c>
      <c r="L9" s="552">
        <v>148327830000</v>
      </c>
      <c r="M9" s="552">
        <v>111579440000</v>
      </c>
      <c r="N9" s="552">
        <v>175949310000</v>
      </c>
      <c r="O9" s="552">
        <v>227662410000</v>
      </c>
      <c r="P9" s="552">
        <v>232669350000</v>
      </c>
      <c r="Q9" s="552">
        <v>273801460000</v>
      </c>
      <c r="R9" s="552">
        <v>377695150000</v>
      </c>
      <c r="S9" s="552">
        <v>338629710000</v>
      </c>
      <c r="T9" s="552">
        <v>486195060000</v>
      </c>
      <c r="U9" s="552">
        <v>501046570000</v>
      </c>
      <c r="V9" s="552">
        <v>587879520000</v>
      </c>
      <c r="W9" s="552">
        <v>522091590000</v>
      </c>
      <c r="X9" s="552">
        <v>3983527400000</v>
      </c>
      <c r="Y9" s="552">
        <v>467929410000</v>
      </c>
      <c r="Z9" s="552">
        <v>316516710000</v>
      </c>
      <c r="AA9" s="552">
        <v>399979990000</v>
      </c>
      <c r="AB9" s="552">
        <v>443850970000</v>
      </c>
      <c r="AC9" s="552">
        <v>147805250000</v>
      </c>
      <c r="AD9" s="552">
        <v>1776082330000</v>
      </c>
      <c r="AE9" s="552">
        <v>5759609730000</v>
      </c>
      <c r="AG9" s="137"/>
      <c r="AH9" s="135"/>
      <c r="AI9" s="135"/>
      <c r="AJ9" s="138"/>
      <c r="AK9" s="138"/>
    </row>
    <row r="10" spans="1:37" x14ac:dyDescent="0.2">
      <c r="A10" s="134">
        <v>45293</v>
      </c>
      <c r="B10" s="135">
        <f>YEAR(source[[#This Row],[report_date]])</f>
        <v>2024</v>
      </c>
      <c r="C10" s="136">
        <v>1</v>
      </c>
      <c r="D10" s="136">
        <f t="shared" si="0"/>
        <v>1</v>
      </c>
      <c r="E10" s="136">
        <f t="shared" si="1"/>
        <v>2</v>
      </c>
      <c r="F10" s="128" t="s">
        <v>65</v>
      </c>
      <c r="G10" s="128" t="str">
        <f>VLOOKUP(source[[#This Row],[lending_product_transform]],[3]Mapping!$B$4:$C$37,2,0)</f>
        <v>[BE] - Cashloan</v>
      </c>
      <c r="H10" s="128" t="str">
        <f>VLOOKUP(source[[#This Row],[lending_product_transform]],[3]Mapping!$B$3:$D$37,3,0)</f>
        <v>cashloan</v>
      </c>
      <c r="I10" s="135">
        <v>555450000</v>
      </c>
      <c r="K10" s="554" t="s">
        <v>67</v>
      </c>
      <c r="L10" s="552">
        <v>109061423275</v>
      </c>
      <c r="M10" s="552">
        <v>95253172206</v>
      </c>
      <c r="N10" s="552">
        <v>112073329818</v>
      </c>
      <c r="O10" s="552">
        <v>114487336129</v>
      </c>
      <c r="P10" s="552">
        <v>119537601659</v>
      </c>
      <c r="Q10" s="552">
        <v>118759501319</v>
      </c>
      <c r="R10" s="552">
        <v>118080713257</v>
      </c>
      <c r="S10" s="552">
        <v>97304269148</v>
      </c>
      <c r="T10" s="552">
        <v>86259163136</v>
      </c>
      <c r="U10" s="552">
        <v>84239414747</v>
      </c>
      <c r="V10" s="552">
        <v>73074848767</v>
      </c>
      <c r="W10" s="552">
        <v>71004297401</v>
      </c>
      <c r="X10" s="552">
        <v>1199135070862</v>
      </c>
      <c r="Y10" s="552">
        <v>63409743099</v>
      </c>
      <c r="Z10" s="552">
        <v>53755295193</v>
      </c>
      <c r="AA10" s="552">
        <v>55189788461</v>
      </c>
      <c r="AB10" s="552">
        <v>49898840707</v>
      </c>
      <c r="AC10" s="552">
        <v>21098365039</v>
      </c>
      <c r="AD10" s="552">
        <v>243352032499</v>
      </c>
      <c r="AE10" s="552">
        <v>1442487103361</v>
      </c>
      <c r="AG10" s="137"/>
      <c r="AH10" s="135"/>
      <c r="AI10" s="135"/>
    </row>
    <row r="11" spans="1:37" x14ac:dyDescent="0.2">
      <c r="A11" s="134">
        <v>45293</v>
      </c>
      <c r="B11" s="135">
        <f>YEAR(source[[#This Row],[report_date]])</f>
        <v>2024</v>
      </c>
      <c r="C11" s="136">
        <v>1</v>
      </c>
      <c r="D11" s="136">
        <f t="shared" si="0"/>
        <v>1</v>
      </c>
      <c r="E11" s="136">
        <f t="shared" si="1"/>
        <v>2</v>
      </c>
      <c r="F11" s="128" t="s">
        <v>67</v>
      </c>
      <c r="G11" s="128" t="str">
        <f>VLOOKUP(source[[#This Row],[lending_product_transform]],[3]Mapping!$B$4:$C$37,2,0)</f>
        <v>[Cake] - Overdraft</v>
      </c>
      <c r="H11" s="128" t="str">
        <f>VLOOKUP(source[[#This Row],[lending_product_transform]],[3]Mapping!$B$3:$D$37,3,0)</f>
        <v>overdraft</v>
      </c>
      <c r="I11" s="135">
        <v>2821136978</v>
      </c>
      <c r="K11" s="554" t="s">
        <v>206</v>
      </c>
      <c r="L11" s="552">
        <v>0</v>
      </c>
      <c r="M11" s="552">
        <v>0</v>
      </c>
      <c r="N11" s="552">
        <v>0</v>
      </c>
      <c r="O11" s="552"/>
      <c r="P11" s="552">
        <v>0</v>
      </c>
      <c r="Q11" s="552"/>
      <c r="R11" s="552"/>
      <c r="S11" s="552"/>
      <c r="T11" s="552">
        <v>0</v>
      </c>
      <c r="U11" s="552">
        <v>0</v>
      </c>
      <c r="V11" s="552">
        <v>0</v>
      </c>
      <c r="W11" s="552">
        <v>0</v>
      </c>
      <c r="X11" s="552">
        <v>0</v>
      </c>
      <c r="Y11" s="552">
        <v>0</v>
      </c>
      <c r="Z11" s="552">
        <v>0</v>
      </c>
      <c r="AA11" s="552">
        <v>0</v>
      </c>
      <c r="AB11" s="552">
        <v>0</v>
      </c>
      <c r="AC11" s="552">
        <v>0</v>
      </c>
      <c r="AD11" s="552">
        <v>0</v>
      </c>
      <c r="AE11" s="552">
        <v>0</v>
      </c>
      <c r="AG11" s="137"/>
      <c r="AH11" s="135"/>
      <c r="AI11" s="135"/>
    </row>
    <row r="12" spans="1:37" x14ac:dyDescent="0.2">
      <c r="A12" s="134">
        <v>45293</v>
      </c>
      <c r="B12" s="135">
        <f>YEAR(source[[#This Row],[report_date]])</f>
        <v>2024</v>
      </c>
      <c r="C12" s="136">
        <v>1</v>
      </c>
      <c r="D12" s="136">
        <f t="shared" si="0"/>
        <v>1</v>
      </c>
      <c r="E12" s="136">
        <f t="shared" si="1"/>
        <v>2</v>
      </c>
      <c r="F12" s="128" t="s">
        <v>19</v>
      </c>
      <c r="G12" s="128" t="str">
        <f>VLOOKUP(source[[#This Row],[lending_product_transform]],[3]Mapping!$B$4:$C$37,2,0)</f>
        <v>[VDS] - Payday</v>
      </c>
      <c r="H12" s="128" t="str">
        <f>VLOOKUP(source[[#This Row],[lending_product_transform]],[3]Mapping!$B$3:$D$37,3,0)</f>
        <v>payday</v>
      </c>
      <c r="I12" s="135">
        <v>1403000000</v>
      </c>
      <c r="K12" s="554" t="s">
        <v>11</v>
      </c>
      <c r="L12" s="552">
        <v>180511400000</v>
      </c>
      <c r="M12" s="552">
        <v>131748350000</v>
      </c>
      <c r="N12" s="552">
        <v>198763290000</v>
      </c>
      <c r="O12" s="552">
        <v>249280190000</v>
      </c>
      <c r="P12" s="552">
        <v>237678410000</v>
      </c>
      <c r="Q12" s="552">
        <v>261376050000</v>
      </c>
      <c r="R12" s="552">
        <v>380965670000</v>
      </c>
      <c r="S12" s="552">
        <v>346289200000</v>
      </c>
      <c r="T12" s="552">
        <v>465278440000</v>
      </c>
      <c r="U12" s="552">
        <v>489924960000</v>
      </c>
      <c r="V12" s="552">
        <v>513252480000</v>
      </c>
      <c r="W12" s="552">
        <v>548081580000</v>
      </c>
      <c r="X12" s="552">
        <v>4003150020000</v>
      </c>
      <c r="Y12" s="552">
        <v>521571950000</v>
      </c>
      <c r="Z12" s="552">
        <v>382545260000</v>
      </c>
      <c r="AA12" s="552">
        <v>495975240000</v>
      </c>
      <c r="AB12" s="552">
        <v>492101890000</v>
      </c>
      <c r="AC12" s="552">
        <v>168117780000</v>
      </c>
      <c r="AD12" s="552">
        <v>2060312120000</v>
      </c>
      <c r="AE12" s="552">
        <v>6063462140000</v>
      </c>
      <c r="AG12" s="137"/>
      <c r="AH12" s="135"/>
      <c r="AI12" s="135"/>
      <c r="AK12" s="139"/>
    </row>
    <row r="13" spans="1:37" x14ac:dyDescent="0.2">
      <c r="A13" s="134">
        <v>45293</v>
      </c>
      <c r="B13" s="135">
        <f>YEAR(source[[#This Row],[report_date]])</f>
        <v>2024</v>
      </c>
      <c r="C13" s="136">
        <v>1</v>
      </c>
      <c r="D13" s="136">
        <f t="shared" si="0"/>
        <v>1</v>
      </c>
      <c r="E13" s="136">
        <f t="shared" si="1"/>
        <v>2</v>
      </c>
      <c r="F13" s="128" t="s">
        <v>58</v>
      </c>
      <c r="G13" s="128" t="str">
        <f>VLOOKUP(source[[#This Row],[lending_product_transform]],[3]Mapping!$B$4:$C$37,2,0)</f>
        <v>[VDS] - Payroll Cashloan</v>
      </c>
      <c r="H13" s="128" t="str">
        <f>VLOOKUP(source[[#This Row],[lending_product_transform]],[3]Mapping!$B$3:$D$37,3,0)</f>
        <v>cashloan</v>
      </c>
      <c r="I13" s="135">
        <v>63000000</v>
      </c>
      <c r="K13" s="554" t="s">
        <v>207</v>
      </c>
      <c r="L13" s="552">
        <v>486740000</v>
      </c>
      <c r="M13" s="552">
        <v>32100000</v>
      </c>
      <c r="N13" s="552">
        <v>729120000</v>
      </c>
      <c r="O13" s="552">
        <v>85600000</v>
      </c>
      <c r="P13" s="552">
        <v>0</v>
      </c>
      <c r="Q13" s="552">
        <v>0</v>
      </c>
      <c r="R13" s="552">
        <v>0</v>
      </c>
      <c r="S13" s="552"/>
      <c r="T13" s="552">
        <v>0</v>
      </c>
      <c r="U13" s="552">
        <v>0</v>
      </c>
      <c r="V13" s="552">
        <v>0</v>
      </c>
      <c r="W13" s="552">
        <v>0</v>
      </c>
      <c r="X13" s="552">
        <v>1333560000</v>
      </c>
      <c r="Y13" s="552">
        <v>0</v>
      </c>
      <c r="Z13" s="552">
        <v>0</v>
      </c>
      <c r="AA13" s="552">
        <v>0</v>
      </c>
      <c r="AB13" s="552">
        <v>0</v>
      </c>
      <c r="AC13" s="552">
        <v>0</v>
      </c>
      <c r="AD13" s="552">
        <v>0</v>
      </c>
      <c r="AE13" s="552">
        <v>1333560000</v>
      </c>
      <c r="AG13" s="137"/>
      <c r="AH13" s="135"/>
      <c r="AI13" s="135"/>
    </row>
    <row r="14" spans="1:37" x14ac:dyDescent="0.2">
      <c r="A14" s="134">
        <v>45293</v>
      </c>
      <c r="B14" s="135">
        <f>YEAR(source[[#This Row],[report_date]])</f>
        <v>2024</v>
      </c>
      <c r="C14" s="136">
        <v>1</v>
      </c>
      <c r="D14" s="136">
        <f t="shared" si="0"/>
        <v>1</v>
      </c>
      <c r="E14" s="136">
        <f t="shared" si="1"/>
        <v>2</v>
      </c>
      <c r="F14" s="128" t="s">
        <v>11</v>
      </c>
      <c r="G14" s="128" t="str">
        <f>VLOOKUP(source[[#This Row],[lending_product_transform]],[3]Mapping!$B$4:$C$37,2,0)</f>
        <v>[VDS] - Cashloan</v>
      </c>
      <c r="H14" s="128" t="str">
        <f>VLOOKUP(source[[#This Row],[lending_product_transform]],[3]Mapping!$B$3:$D$37,3,0)</f>
        <v>cashloan</v>
      </c>
      <c r="I14" s="135">
        <v>3798050000</v>
      </c>
      <c r="K14" s="554" t="s">
        <v>19</v>
      </c>
      <c r="L14" s="552">
        <v>140501000000</v>
      </c>
      <c r="M14" s="552">
        <v>132184000000</v>
      </c>
      <c r="N14" s="552">
        <v>156811500000</v>
      </c>
      <c r="O14" s="552">
        <v>162270828000</v>
      </c>
      <c r="P14" s="552">
        <v>166904172000</v>
      </c>
      <c r="Q14" s="552">
        <v>164068632000</v>
      </c>
      <c r="R14" s="552">
        <v>181103580000</v>
      </c>
      <c r="S14" s="552">
        <v>188150580000</v>
      </c>
      <c r="T14" s="552">
        <v>269540028000</v>
      </c>
      <c r="U14" s="552">
        <v>322082136000</v>
      </c>
      <c r="V14" s="552">
        <v>288633240000</v>
      </c>
      <c r="W14" s="552">
        <v>304260732000</v>
      </c>
      <c r="X14" s="552">
        <v>2476510428000</v>
      </c>
      <c r="Y14" s="552">
        <v>336025800000</v>
      </c>
      <c r="Z14" s="552">
        <v>290364048000</v>
      </c>
      <c r="AA14" s="552">
        <v>358579116000</v>
      </c>
      <c r="AB14" s="552">
        <v>333026208000</v>
      </c>
      <c r="AC14" s="552">
        <v>119993292000</v>
      </c>
      <c r="AD14" s="552">
        <v>1437988464000</v>
      </c>
      <c r="AE14" s="552">
        <v>3914498892000</v>
      </c>
      <c r="AG14" s="137"/>
      <c r="AH14" s="135"/>
      <c r="AI14" s="135"/>
    </row>
    <row r="15" spans="1:37" x14ac:dyDescent="0.2">
      <c r="A15" s="134">
        <v>45293</v>
      </c>
      <c r="B15" s="135">
        <f>YEAR(source[[#This Row],[report_date]])</f>
        <v>2024</v>
      </c>
      <c r="C15" s="136">
        <v>1</v>
      </c>
      <c r="D15" s="136">
        <f t="shared" si="0"/>
        <v>1</v>
      </c>
      <c r="E15" s="136">
        <f t="shared" si="1"/>
        <v>2</v>
      </c>
      <c r="F15" s="128" t="s">
        <v>56</v>
      </c>
      <c r="G15" s="128">
        <f>VLOOKUP(source[[#This Row],[lending_product_transform]],[3]Mapping!$B$4:$C$37,2,0)</f>
        <v>0</v>
      </c>
      <c r="H15" s="128">
        <f>VLOOKUP(source[[#This Row],[lending_product_transform]],[3]Mapping!$B$3:$D$37,3,0)</f>
        <v>0</v>
      </c>
      <c r="I15" s="135">
        <v>8648636978</v>
      </c>
      <c r="K15" s="554" t="s">
        <v>62</v>
      </c>
      <c r="L15" s="552">
        <v>10711863102</v>
      </c>
      <c r="M15" s="552">
        <v>11016265814</v>
      </c>
      <c r="N15" s="552">
        <v>12882109778</v>
      </c>
      <c r="O15" s="552">
        <v>12089502568</v>
      </c>
      <c r="P15" s="552">
        <v>11964595934</v>
      </c>
      <c r="Q15" s="552">
        <v>12255200170</v>
      </c>
      <c r="R15" s="552">
        <v>11824461337</v>
      </c>
      <c r="S15" s="552">
        <v>8884672187</v>
      </c>
      <c r="T15" s="552">
        <v>8649286565</v>
      </c>
      <c r="U15" s="552">
        <v>8979582270</v>
      </c>
      <c r="V15" s="552">
        <v>8056649012</v>
      </c>
      <c r="W15" s="552">
        <v>7895869479</v>
      </c>
      <c r="X15" s="552">
        <v>125210058216</v>
      </c>
      <c r="Y15" s="552">
        <v>7773898216</v>
      </c>
      <c r="Z15" s="552">
        <v>6381405779</v>
      </c>
      <c r="AA15" s="552">
        <v>7171896994</v>
      </c>
      <c r="AB15" s="552">
        <v>7030263262</v>
      </c>
      <c r="AC15" s="552">
        <v>3926999449</v>
      </c>
      <c r="AD15" s="552">
        <v>32284463700</v>
      </c>
      <c r="AE15" s="552">
        <v>157494521916</v>
      </c>
      <c r="AG15" s="137"/>
      <c r="AH15" s="135"/>
      <c r="AI15" s="135"/>
    </row>
    <row r="16" spans="1:37" x14ac:dyDescent="0.2">
      <c r="A16" s="134">
        <v>45293</v>
      </c>
      <c r="B16" s="135">
        <f>YEAR(source[[#This Row],[report_date]])</f>
        <v>2024</v>
      </c>
      <c r="C16" s="136">
        <v>1</v>
      </c>
      <c r="D16" s="136">
        <f t="shared" si="0"/>
        <v>1</v>
      </c>
      <c r="E16" s="136">
        <f t="shared" si="1"/>
        <v>2</v>
      </c>
      <c r="F16" s="128" t="s">
        <v>61</v>
      </c>
      <c r="G16" s="128" t="str">
        <f>VLOOKUP(source[[#This Row],[lending_product_transform]],[3]Mapping!$B$4:$C$37,2,0)</f>
        <v>[VDS] - Payroll Payday</v>
      </c>
      <c r="H16" s="128" t="str">
        <f>VLOOKUP(source[[#This Row],[lending_product_transform]],[3]Mapping!$B$3:$D$37,3,0)</f>
        <v>payday</v>
      </c>
      <c r="I16" s="135">
        <v>8000000</v>
      </c>
      <c r="K16" s="554" t="s">
        <v>58</v>
      </c>
      <c r="L16" s="552">
        <v>1011950000</v>
      </c>
      <c r="M16" s="552">
        <v>1109450000</v>
      </c>
      <c r="N16" s="552">
        <v>1798700000</v>
      </c>
      <c r="O16" s="552">
        <v>1227200000</v>
      </c>
      <c r="P16" s="552">
        <v>1149700000</v>
      </c>
      <c r="Q16" s="552">
        <v>374000000</v>
      </c>
      <c r="R16" s="552">
        <v>809800000</v>
      </c>
      <c r="S16" s="552">
        <v>1040200000</v>
      </c>
      <c r="T16" s="552">
        <v>953500000</v>
      </c>
      <c r="U16" s="552">
        <v>1056500000</v>
      </c>
      <c r="V16" s="552">
        <v>746250000</v>
      </c>
      <c r="W16" s="552">
        <v>593750000</v>
      </c>
      <c r="X16" s="552">
        <v>11871000000</v>
      </c>
      <c r="Y16" s="552">
        <v>828250000</v>
      </c>
      <c r="Z16" s="552">
        <v>1241950000</v>
      </c>
      <c r="AA16" s="552">
        <v>1396650000</v>
      </c>
      <c r="AB16" s="552">
        <v>1117000000</v>
      </c>
      <c r="AC16" s="552">
        <v>445650000</v>
      </c>
      <c r="AD16" s="552">
        <v>5029500000</v>
      </c>
      <c r="AE16" s="552">
        <v>16900500000</v>
      </c>
      <c r="AG16" s="137"/>
      <c r="AH16" s="135"/>
      <c r="AI16" s="135"/>
    </row>
    <row r="17" spans="1:35" x14ac:dyDescent="0.2">
      <c r="A17" s="134">
        <v>45294</v>
      </c>
      <c r="B17" s="135">
        <f>YEAR(source[[#This Row],[report_date]])</f>
        <v>2024</v>
      </c>
      <c r="C17" s="136">
        <v>1</v>
      </c>
      <c r="D17" s="136">
        <f t="shared" si="0"/>
        <v>1</v>
      </c>
      <c r="E17" s="136">
        <f t="shared" si="1"/>
        <v>3</v>
      </c>
      <c r="F17" s="128" t="s">
        <v>56</v>
      </c>
      <c r="G17" s="128">
        <f>VLOOKUP(source[[#This Row],[lending_product_transform]],[3]Mapping!$B$4:$C$37,2,0)</f>
        <v>0</v>
      </c>
      <c r="H17" s="128">
        <f>VLOOKUP(source[[#This Row],[lending_product_transform]],[3]Mapping!$B$3:$D$37,3,0)</f>
        <v>0</v>
      </c>
      <c r="I17" s="135">
        <v>8212311764</v>
      </c>
      <c r="K17" s="554" t="s">
        <v>61</v>
      </c>
      <c r="L17" s="552">
        <v>874000000</v>
      </c>
      <c r="M17" s="552">
        <v>1301000000</v>
      </c>
      <c r="N17" s="552">
        <v>2034000000</v>
      </c>
      <c r="O17" s="552">
        <v>1527000000</v>
      </c>
      <c r="P17" s="552">
        <v>954000000</v>
      </c>
      <c r="Q17" s="552">
        <v>536000000</v>
      </c>
      <c r="R17" s="552">
        <v>894000000</v>
      </c>
      <c r="S17" s="552">
        <v>1104000000</v>
      </c>
      <c r="T17" s="552">
        <v>1189000000</v>
      </c>
      <c r="U17" s="552">
        <v>1211000000</v>
      </c>
      <c r="V17" s="552">
        <v>1259000000</v>
      </c>
      <c r="W17" s="552">
        <v>1270000000</v>
      </c>
      <c r="X17" s="552">
        <v>14153000000</v>
      </c>
      <c r="Y17" s="552">
        <v>1439000000</v>
      </c>
      <c r="Z17" s="552">
        <v>1267000000</v>
      </c>
      <c r="AA17" s="552">
        <v>1666000000</v>
      </c>
      <c r="AB17" s="552">
        <v>1602000000</v>
      </c>
      <c r="AC17" s="552">
        <v>406000000</v>
      </c>
      <c r="AD17" s="552">
        <v>6380000000</v>
      </c>
      <c r="AE17" s="552">
        <v>20533000000</v>
      </c>
      <c r="AG17" s="137"/>
      <c r="AH17" s="135"/>
      <c r="AI17" s="135"/>
    </row>
    <row r="18" spans="1:35" x14ac:dyDescent="0.2">
      <c r="A18" s="134">
        <v>45294</v>
      </c>
      <c r="B18" s="135">
        <f>YEAR(source[[#This Row],[report_date]])</f>
        <v>2024</v>
      </c>
      <c r="C18" s="136">
        <v>1</v>
      </c>
      <c r="D18" s="136">
        <f t="shared" si="0"/>
        <v>1</v>
      </c>
      <c r="E18" s="136">
        <f t="shared" si="1"/>
        <v>3</v>
      </c>
      <c r="F18" s="128" t="s">
        <v>19</v>
      </c>
      <c r="G18" s="128" t="str">
        <f>VLOOKUP(source[[#This Row],[lending_product_transform]],[3]Mapping!$B$4:$C$37,2,0)</f>
        <v>[VDS] - Payday</v>
      </c>
      <c r="H18" s="128" t="str">
        <f>VLOOKUP(source[[#This Row],[lending_product_transform]],[3]Mapping!$B$3:$D$37,3,0)</f>
        <v>payday</v>
      </c>
      <c r="I18" s="135">
        <v>1471500000</v>
      </c>
      <c r="K18" s="554" t="s">
        <v>36</v>
      </c>
      <c r="L18" s="552">
        <v>16174220000</v>
      </c>
      <c r="M18" s="552">
        <v>12849790000</v>
      </c>
      <c r="N18" s="552">
        <v>23384840000</v>
      </c>
      <c r="O18" s="552">
        <v>28065690000</v>
      </c>
      <c r="P18" s="552">
        <v>33835150000</v>
      </c>
      <c r="Q18" s="552">
        <v>40487380000</v>
      </c>
      <c r="R18" s="552">
        <v>52339690000</v>
      </c>
      <c r="S18" s="552">
        <v>63562000000</v>
      </c>
      <c r="T18" s="552">
        <v>100769400000</v>
      </c>
      <c r="U18" s="552">
        <v>93235540000</v>
      </c>
      <c r="V18" s="552">
        <v>100217490000</v>
      </c>
      <c r="W18" s="552">
        <v>126953670000</v>
      </c>
      <c r="X18" s="552">
        <v>691874860000</v>
      </c>
      <c r="Y18" s="552">
        <v>175520760000</v>
      </c>
      <c r="Z18" s="552">
        <v>119770500000</v>
      </c>
      <c r="AA18" s="552">
        <v>103979450000</v>
      </c>
      <c r="AB18" s="552">
        <v>103919830000</v>
      </c>
      <c r="AC18" s="552">
        <v>37938060000</v>
      </c>
      <c r="AD18" s="552">
        <v>541128600000</v>
      </c>
      <c r="AE18" s="552">
        <v>1233003460000</v>
      </c>
      <c r="AG18" s="137"/>
      <c r="AH18" s="135"/>
      <c r="AI18" s="135"/>
    </row>
    <row r="19" spans="1:35" x14ac:dyDescent="0.2">
      <c r="A19" s="134">
        <v>45294</v>
      </c>
      <c r="B19" s="135">
        <f>YEAR(source[[#This Row],[report_date]])</f>
        <v>2024</v>
      </c>
      <c r="C19" s="136">
        <v>1</v>
      </c>
      <c r="D19" s="136">
        <f t="shared" si="0"/>
        <v>1</v>
      </c>
      <c r="E19" s="136">
        <f t="shared" si="1"/>
        <v>3</v>
      </c>
      <c r="F19" s="128" t="s">
        <v>67</v>
      </c>
      <c r="G19" s="128" t="str">
        <f>VLOOKUP(source[[#This Row],[lending_product_transform]],[3]Mapping!$B$4:$C$37,2,0)</f>
        <v>[Cake] - Overdraft</v>
      </c>
      <c r="H19" s="128" t="str">
        <f>VLOOKUP(source[[#This Row],[lending_product_transform]],[3]Mapping!$B$3:$D$37,3,0)</f>
        <v>overdraft</v>
      </c>
      <c r="I19" s="135">
        <v>2702011764</v>
      </c>
      <c r="K19" s="554" t="s">
        <v>208</v>
      </c>
      <c r="L19" s="552">
        <v>742285885</v>
      </c>
      <c r="M19" s="552">
        <v>758149053</v>
      </c>
      <c r="N19" s="552">
        <v>950767542</v>
      </c>
      <c r="O19" s="552">
        <v>838419554</v>
      </c>
      <c r="P19" s="552">
        <v>980178878</v>
      </c>
      <c r="Q19" s="552">
        <v>895766462</v>
      </c>
      <c r="R19" s="552">
        <v>917352431</v>
      </c>
      <c r="S19" s="552">
        <v>941376009</v>
      </c>
      <c r="T19" s="552">
        <v>932764886</v>
      </c>
      <c r="U19" s="552">
        <v>968660033</v>
      </c>
      <c r="V19" s="552">
        <v>567927938</v>
      </c>
      <c r="W19" s="552">
        <v>589542486</v>
      </c>
      <c r="X19" s="552">
        <v>10083191157</v>
      </c>
      <c r="Y19" s="552">
        <v>526616782</v>
      </c>
      <c r="Z19" s="552">
        <v>406756258</v>
      </c>
      <c r="AA19" s="552">
        <v>373336279</v>
      </c>
      <c r="AB19" s="552">
        <v>28900933</v>
      </c>
      <c r="AC19" s="552">
        <v>0</v>
      </c>
      <c r="AD19" s="552">
        <v>1335610252</v>
      </c>
      <c r="AE19" s="552">
        <v>11418801409</v>
      </c>
      <c r="AG19" s="137"/>
      <c r="AH19" s="135"/>
      <c r="AI19" s="135"/>
    </row>
    <row r="20" spans="1:35" x14ac:dyDescent="0.2">
      <c r="A20" s="134">
        <v>45294</v>
      </c>
      <c r="B20" s="135">
        <f>YEAR(source[[#This Row],[report_date]])</f>
        <v>2024</v>
      </c>
      <c r="C20" s="136">
        <v>1</v>
      </c>
      <c r="D20" s="136">
        <f t="shared" si="0"/>
        <v>1</v>
      </c>
      <c r="E20" s="136">
        <f t="shared" si="1"/>
        <v>3</v>
      </c>
      <c r="F20" s="128" t="s">
        <v>65</v>
      </c>
      <c r="G20" s="128" t="str">
        <f>VLOOKUP(source[[#This Row],[lending_product_transform]],[3]Mapping!$B$4:$C$37,2,0)</f>
        <v>[BE] - Cashloan</v>
      </c>
      <c r="H20" s="128" t="str">
        <f>VLOOKUP(source[[#This Row],[lending_product_transform]],[3]Mapping!$B$3:$D$37,3,0)</f>
        <v>cashloan</v>
      </c>
      <c r="I20" s="135">
        <v>369600000</v>
      </c>
      <c r="K20" s="554" t="s">
        <v>209</v>
      </c>
      <c r="L20" s="552">
        <v>0</v>
      </c>
      <c r="M20" s="552">
        <v>0</v>
      </c>
      <c r="N20" s="552">
        <v>10000000</v>
      </c>
      <c r="O20" s="552">
        <v>18900000</v>
      </c>
      <c r="P20" s="552">
        <v>78100000</v>
      </c>
      <c r="Q20" s="552">
        <v>595050000</v>
      </c>
      <c r="R20" s="552">
        <v>606800000</v>
      </c>
      <c r="S20" s="552">
        <v>611450000</v>
      </c>
      <c r="T20" s="552">
        <v>2503750000</v>
      </c>
      <c r="U20" s="552">
        <v>5961750000</v>
      </c>
      <c r="V20" s="552">
        <v>10022250000</v>
      </c>
      <c r="W20" s="552">
        <v>17538450000</v>
      </c>
      <c r="X20" s="552">
        <v>37946500000</v>
      </c>
      <c r="Y20" s="552">
        <v>7624150000</v>
      </c>
      <c r="Z20" s="552">
        <v>2500020000</v>
      </c>
      <c r="AA20" s="552">
        <v>2484250000</v>
      </c>
      <c r="AB20" s="552">
        <v>1777530000</v>
      </c>
      <c r="AC20" s="552">
        <v>788730000</v>
      </c>
      <c r="AD20" s="552">
        <v>15174680000</v>
      </c>
      <c r="AE20" s="552">
        <v>53121180000</v>
      </c>
      <c r="AG20" s="137"/>
      <c r="AH20" s="135"/>
      <c r="AI20" s="135"/>
    </row>
    <row r="21" spans="1:35" x14ac:dyDescent="0.2">
      <c r="A21" s="134">
        <v>45294</v>
      </c>
      <c r="B21" s="135">
        <f>YEAR(source[[#This Row],[report_date]])</f>
        <v>2024</v>
      </c>
      <c r="C21" s="136">
        <v>1</v>
      </c>
      <c r="D21" s="136">
        <f t="shared" si="0"/>
        <v>1</v>
      </c>
      <c r="E21" s="136">
        <f t="shared" si="1"/>
        <v>3</v>
      </c>
      <c r="F21" s="128" t="s">
        <v>58</v>
      </c>
      <c r="G21" s="128" t="str">
        <f>VLOOKUP(source[[#This Row],[lending_product_transform]],[3]Mapping!$B$4:$C$37,2,0)</f>
        <v>[VDS] - Payroll Cashloan</v>
      </c>
      <c r="H21" s="128" t="str">
        <f>VLOOKUP(source[[#This Row],[lending_product_transform]],[3]Mapping!$B$3:$D$37,3,0)</f>
        <v>cashloan</v>
      </c>
      <c r="I21" s="135">
        <v>51500000</v>
      </c>
      <c r="K21" s="554" t="s">
        <v>176</v>
      </c>
      <c r="L21" s="552">
        <v>100000</v>
      </c>
      <c r="M21" s="552">
        <v>9612720000</v>
      </c>
      <c r="N21" s="552">
        <v>2650000</v>
      </c>
      <c r="O21" s="552">
        <v>0</v>
      </c>
      <c r="P21" s="552">
        <v>23667000</v>
      </c>
      <c r="Q21" s="552">
        <v>4117630450</v>
      </c>
      <c r="R21" s="552">
        <v>8932559708</v>
      </c>
      <c r="S21" s="552">
        <v>12586882650</v>
      </c>
      <c r="T21" s="552">
        <v>12824214914</v>
      </c>
      <c r="U21" s="552">
        <v>19664015586</v>
      </c>
      <c r="V21" s="552">
        <v>29656124454</v>
      </c>
      <c r="W21" s="552">
        <v>30796576098</v>
      </c>
      <c r="X21" s="552">
        <v>128217140860</v>
      </c>
      <c r="Y21" s="552">
        <v>45434907523</v>
      </c>
      <c r="Z21" s="552">
        <v>42796229055</v>
      </c>
      <c r="AA21" s="552">
        <v>36249366164</v>
      </c>
      <c r="AB21" s="552">
        <v>34963036365</v>
      </c>
      <c r="AC21" s="552">
        <v>13363773267</v>
      </c>
      <c r="AD21" s="552">
        <v>172807312374</v>
      </c>
      <c r="AE21" s="552">
        <v>301024453234</v>
      </c>
      <c r="AG21" s="137"/>
      <c r="AH21" s="135"/>
      <c r="AI21" s="135"/>
    </row>
    <row r="22" spans="1:35" x14ac:dyDescent="0.2">
      <c r="A22" s="134">
        <v>45294</v>
      </c>
      <c r="B22" s="135">
        <f>YEAR(source[[#This Row],[report_date]])</f>
        <v>2024</v>
      </c>
      <c r="C22" s="136">
        <v>1</v>
      </c>
      <c r="D22" s="136">
        <f t="shared" si="0"/>
        <v>1</v>
      </c>
      <c r="E22" s="136">
        <f t="shared" si="1"/>
        <v>3</v>
      </c>
      <c r="F22" s="128" t="s">
        <v>61</v>
      </c>
      <c r="G22" s="128" t="str">
        <f>VLOOKUP(source[[#This Row],[lending_product_transform]],[3]Mapping!$B$4:$C$37,2,0)</f>
        <v>[VDS] - Payroll Payday</v>
      </c>
      <c r="H22" s="128" t="str">
        <f>VLOOKUP(source[[#This Row],[lending_product_transform]],[3]Mapping!$B$3:$D$37,3,0)</f>
        <v>payday</v>
      </c>
      <c r="I22" s="135">
        <v>5000000</v>
      </c>
      <c r="K22" s="554" t="s">
        <v>175</v>
      </c>
      <c r="L22" s="552"/>
      <c r="M22" s="552"/>
      <c r="N22" s="552">
        <v>20330000</v>
      </c>
      <c r="O22" s="552">
        <v>0</v>
      </c>
      <c r="P22" s="552">
        <v>29177000000</v>
      </c>
      <c r="Q22" s="552">
        <v>47654460000</v>
      </c>
      <c r="R22" s="552">
        <v>87997150000</v>
      </c>
      <c r="S22" s="552">
        <v>83818310000</v>
      </c>
      <c r="T22" s="552">
        <v>83034230000</v>
      </c>
      <c r="U22" s="552">
        <v>126424860000</v>
      </c>
      <c r="V22" s="552">
        <v>98531400000</v>
      </c>
      <c r="W22" s="552">
        <v>117580890000</v>
      </c>
      <c r="X22" s="552">
        <v>674238630000</v>
      </c>
      <c r="Y22" s="552">
        <v>109227730000</v>
      </c>
      <c r="Z22" s="552">
        <v>79426750000</v>
      </c>
      <c r="AA22" s="552">
        <v>93530310000</v>
      </c>
      <c r="AB22" s="552">
        <v>175982280000</v>
      </c>
      <c r="AC22" s="552">
        <v>60270480000</v>
      </c>
      <c r="AD22" s="552">
        <v>518437550000</v>
      </c>
      <c r="AE22" s="552">
        <v>1192676180000</v>
      </c>
      <c r="AG22" s="137"/>
      <c r="AH22" s="135"/>
      <c r="AI22" s="135"/>
    </row>
    <row r="23" spans="1:35" x14ac:dyDescent="0.2">
      <c r="A23" s="134">
        <v>45294</v>
      </c>
      <c r="B23" s="135">
        <f>YEAR(source[[#This Row],[report_date]])</f>
        <v>2024</v>
      </c>
      <c r="C23" s="136">
        <v>1</v>
      </c>
      <c r="D23" s="136">
        <f t="shared" si="0"/>
        <v>1</v>
      </c>
      <c r="E23" s="136">
        <f t="shared" si="1"/>
        <v>3</v>
      </c>
      <c r="F23" s="128" t="s">
        <v>11</v>
      </c>
      <c r="G23" s="128" t="str">
        <f>VLOOKUP(source[[#This Row],[lending_product_transform]],[3]Mapping!$B$4:$C$37,2,0)</f>
        <v>[VDS] - Cashloan</v>
      </c>
      <c r="H23" s="128" t="str">
        <f>VLOOKUP(source[[#This Row],[lending_product_transform]],[3]Mapping!$B$3:$D$37,3,0)</f>
        <v>cashloan</v>
      </c>
      <c r="I23" s="135">
        <v>3612700000</v>
      </c>
      <c r="K23" s="554" t="s">
        <v>59</v>
      </c>
      <c r="L23" s="552">
        <v>7448485891</v>
      </c>
      <c r="M23" s="552">
        <v>9709428853</v>
      </c>
      <c r="N23" s="552">
        <v>13499051402</v>
      </c>
      <c r="O23" s="552">
        <v>14044416624</v>
      </c>
      <c r="P23" s="552">
        <v>16577277952</v>
      </c>
      <c r="Q23" s="552">
        <v>17622441300</v>
      </c>
      <c r="R23" s="552">
        <v>17881303472</v>
      </c>
      <c r="S23" s="552">
        <v>16244324841</v>
      </c>
      <c r="T23" s="552">
        <v>15275927270</v>
      </c>
      <c r="U23" s="552">
        <v>15864798918</v>
      </c>
      <c r="V23" s="552">
        <v>17116094086</v>
      </c>
      <c r="W23" s="552">
        <v>16799812047</v>
      </c>
      <c r="X23" s="552">
        <v>178083362656</v>
      </c>
      <c r="Y23" s="552">
        <v>16072045824</v>
      </c>
      <c r="Z23" s="552">
        <v>13685015637</v>
      </c>
      <c r="AA23" s="552">
        <v>15025104610</v>
      </c>
      <c r="AB23" s="552">
        <v>13262480388</v>
      </c>
      <c r="AC23" s="552">
        <v>7580228374</v>
      </c>
      <c r="AD23" s="552">
        <v>65624874833</v>
      </c>
      <c r="AE23" s="552">
        <v>243708237489</v>
      </c>
      <c r="AG23" s="137"/>
      <c r="AH23" s="135"/>
      <c r="AI23" s="135"/>
    </row>
    <row r="24" spans="1:35" x14ac:dyDescent="0.2">
      <c r="A24" s="134">
        <v>45295</v>
      </c>
      <c r="B24" s="135">
        <f>YEAR(source[[#This Row],[report_date]])</f>
        <v>2024</v>
      </c>
      <c r="C24" s="136">
        <v>1</v>
      </c>
      <c r="D24" s="136">
        <f t="shared" si="0"/>
        <v>1</v>
      </c>
      <c r="E24" s="136">
        <f t="shared" si="1"/>
        <v>4</v>
      </c>
      <c r="F24" s="128" t="s">
        <v>56</v>
      </c>
      <c r="G24" s="128">
        <f>VLOOKUP(source[[#This Row],[lending_product_transform]],[3]Mapping!$B$4:$C$37,2,0)</f>
        <v>0</v>
      </c>
      <c r="H24" s="128">
        <f>VLOOKUP(source[[#This Row],[lending_product_transform]],[3]Mapping!$B$3:$D$37,3,0)</f>
        <v>0</v>
      </c>
      <c r="I24" s="135">
        <v>8026608163</v>
      </c>
      <c r="K24" s="554" t="s">
        <v>57</v>
      </c>
      <c r="L24" s="552">
        <v>10232660000</v>
      </c>
      <c r="M24" s="552">
        <v>9282580000</v>
      </c>
      <c r="N24" s="552">
        <v>11876180000</v>
      </c>
      <c r="O24" s="552">
        <v>13534020000</v>
      </c>
      <c r="P24" s="552">
        <v>18967580000</v>
      </c>
      <c r="Q24" s="552">
        <v>16257930000</v>
      </c>
      <c r="R24" s="552">
        <v>13288530000</v>
      </c>
      <c r="S24" s="552">
        <v>13484550000</v>
      </c>
      <c r="T24" s="552">
        <v>21050400000</v>
      </c>
      <c r="U24" s="552">
        <v>22246180000</v>
      </c>
      <c r="V24" s="552">
        <v>19620350000</v>
      </c>
      <c r="W24" s="552">
        <v>21697550000</v>
      </c>
      <c r="X24" s="552">
        <v>191538510000</v>
      </c>
      <c r="Y24" s="552">
        <v>27560260000</v>
      </c>
      <c r="Z24" s="552">
        <v>21558320000</v>
      </c>
      <c r="AA24" s="552">
        <v>24486590000</v>
      </c>
      <c r="AB24" s="552">
        <v>22627370000</v>
      </c>
      <c r="AC24" s="552">
        <v>7609020000</v>
      </c>
      <c r="AD24" s="552">
        <v>103841560000</v>
      </c>
      <c r="AE24" s="552">
        <v>295380070000</v>
      </c>
      <c r="AG24" s="137"/>
      <c r="AH24" s="135"/>
      <c r="AI24" s="135"/>
    </row>
    <row r="25" spans="1:35" x14ac:dyDescent="0.2">
      <c r="A25" s="134">
        <v>45295</v>
      </c>
      <c r="B25" s="135">
        <f>YEAR(source[[#This Row],[report_date]])</f>
        <v>2024</v>
      </c>
      <c r="C25" s="136">
        <v>1</v>
      </c>
      <c r="D25" s="136">
        <f t="shared" si="0"/>
        <v>1</v>
      </c>
      <c r="E25" s="136">
        <f t="shared" si="1"/>
        <v>4</v>
      </c>
      <c r="F25" s="128" t="s">
        <v>58</v>
      </c>
      <c r="G25" s="128" t="str">
        <f>VLOOKUP(source[[#This Row],[lending_product_transform]],[3]Mapping!$B$4:$C$37,2,0)</f>
        <v>[VDS] - Payroll Cashloan</v>
      </c>
      <c r="H25" s="128" t="str">
        <f>VLOOKUP(source[[#This Row],[lending_product_transform]],[3]Mapping!$B$3:$D$37,3,0)</f>
        <v>cashloan</v>
      </c>
      <c r="I25" s="135">
        <v>0</v>
      </c>
      <c r="K25" s="554" t="s">
        <v>28</v>
      </c>
      <c r="L25" s="552"/>
      <c r="M25" s="552"/>
      <c r="N25" s="552"/>
      <c r="O25" s="552"/>
      <c r="P25" s="552"/>
      <c r="Q25" s="552"/>
      <c r="R25" s="552">
        <v>54666360000</v>
      </c>
      <c r="S25" s="552">
        <v>124745616000</v>
      </c>
      <c r="T25" s="552">
        <v>196888968000</v>
      </c>
      <c r="U25" s="552">
        <v>261541764000</v>
      </c>
      <c r="V25" s="552">
        <v>275290812000</v>
      </c>
      <c r="W25" s="552">
        <v>384586924000</v>
      </c>
      <c r="X25" s="552">
        <v>1297720444000</v>
      </c>
      <c r="Y25" s="552">
        <v>432076356000</v>
      </c>
      <c r="Z25" s="552">
        <v>344144160000</v>
      </c>
      <c r="AA25" s="552">
        <v>422658864000</v>
      </c>
      <c r="AB25" s="552">
        <v>425752416000</v>
      </c>
      <c r="AC25" s="552">
        <v>157621248000</v>
      </c>
      <c r="AD25" s="552">
        <v>1782253044000</v>
      </c>
      <c r="AE25" s="552">
        <v>3079973488000</v>
      </c>
      <c r="AG25" s="137"/>
      <c r="AH25" s="135"/>
      <c r="AI25" s="135"/>
    </row>
    <row r="26" spans="1:35" x14ac:dyDescent="0.2">
      <c r="A26" s="134">
        <v>45295</v>
      </c>
      <c r="B26" s="135">
        <f>YEAR(source[[#This Row],[report_date]])</f>
        <v>2024</v>
      </c>
      <c r="C26" s="136">
        <v>1</v>
      </c>
      <c r="D26" s="136">
        <f t="shared" si="0"/>
        <v>1</v>
      </c>
      <c r="E26" s="136">
        <f t="shared" si="1"/>
        <v>4</v>
      </c>
      <c r="F26" s="128" t="s">
        <v>65</v>
      </c>
      <c r="G26" s="128" t="str">
        <f>VLOOKUP(source[[#This Row],[lending_product_transform]],[3]Mapping!$B$4:$C$37,2,0)</f>
        <v>[BE] - Cashloan</v>
      </c>
      <c r="H26" s="128" t="str">
        <f>VLOOKUP(source[[#This Row],[lending_product_transform]],[3]Mapping!$B$3:$D$37,3,0)</f>
        <v>cashloan</v>
      </c>
      <c r="I26" s="135">
        <v>140750000</v>
      </c>
      <c r="K26" s="554" t="s">
        <v>63</v>
      </c>
      <c r="L26" s="552"/>
      <c r="M26" s="552"/>
      <c r="N26" s="552"/>
      <c r="O26" s="552"/>
      <c r="P26" s="552"/>
      <c r="Q26" s="552"/>
      <c r="R26" s="552"/>
      <c r="S26" s="552"/>
      <c r="T26" s="552">
        <v>756000000</v>
      </c>
      <c r="U26" s="552">
        <v>6445440000</v>
      </c>
      <c r="V26" s="552">
        <v>6447168000</v>
      </c>
      <c r="W26" s="552">
        <v>9082260000</v>
      </c>
      <c r="X26" s="552">
        <v>22730868000</v>
      </c>
      <c r="Y26" s="552">
        <v>10493388000</v>
      </c>
      <c r="Z26" s="552">
        <v>8188128000</v>
      </c>
      <c r="AA26" s="552">
        <v>9678096000</v>
      </c>
      <c r="AB26" s="552">
        <v>9585864000</v>
      </c>
      <c r="AC26" s="552">
        <v>2862540000</v>
      </c>
      <c r="AD26" s="552">
        <v>40808016000</v>
      </c>
      <c r="AE26" s="552">
        <v>63538884000</v>
      </c>
      <c r="AG26" s="137"/>
    </row>
    <row r="27" spans="1:35" x14ac:dyDescent="0.2">
      <c r="A27" s="134">
        <v>45295</v>
      </c>
      <c r="B27" s="135">
        <f>YEAR(source[[#This Row],[report_date]])</f>
        <v>2024</v>
      </c>
      <c r="C27" s="136">
        <v>1</v>
      </c>
      <c r="D27" s="136">
        <f t="shared" si="0"/>
        <v>1</v>
      </c>
      <c r="E27" s="136">
        <f t="shared" si="1"/>
        <v>4</v>
      </c>
      <c r="F27" s="128" t="s">
        <v>67</v>
      </c>
      <c r="G27" s="128" t="str">
        <f>VLOOKUP(source[[#This Row],[lending_product_transform]],[3]Mapping!$B$4:$C$37,2,0)</f>
        <v>[Cake] - Overdraft</v>
      </c>
      <c r="H27" s="128" t="str">
        <f>VLOOKUP(source[[#This Row],[lending_product_transform]],[3]Mapping!$B$3:$D$37,3,0)</f>
        <v>overdraft</v>
      </c>
      <c r="I27" s="135">
        <v>2723808163</v>
      </c>
      <c r="K27" s="554" t="s">
        <v>210</v>
      </c>
      <c r="L27" s="552"/>
      <c r="M27" s="552"/>
      <c r="N27" s="552"/>
      <c r="O27" s="552"/>
      <c r="P27" s="552"/>
      <c r="Q27" s="552"/>
      <c r="R27" s="552"/>
      <c r="S27" s="552"/>
      <c r="T27" s="552"/>
      <c r="U27" s="552"/>
      <c r="V27" s="552"/>
      <c r="W27" s="552">
        <v>10800000</v>
      </c>
      <c r="X27" s="552">
        <v>10800000</v>
      </c>
      <c r="Y27" s="552">
        <v>13141000000</v>
      </c>
      <c r="Z27" s="552">
        <v>12785920000</v>
      </c>
      <c r="AA27" s="552">
        <v>5717952000</v>
      </c>
      <c r="AB27" s="552">
        <v>73008000</v>
      </c>
      <c r="AC27" s="552">
        <v>0</v>
      </c>
      <c r="AD27" s="552">
        <v>31717880000</v>
      </c>
      <c r="AE27" s="552">
        <v>31728680000</v>
      </c>
    </row>
    <row r="28" spans="1:35" x14ac:dyDescent="0.2">
      <c r="A28" s="134">
        <v>45295</v>
      </c>
      <c r="B28" s="135">
        <f>YEAR(source[[#This Row],[report_date]])</f>
        <v>2024</v>
      </c>
      <c r="C28" s="136">
        <v>1</v>
      </c>
      <c r="D28" s="136">
        <f t="shared" si="0"/>
        <v>1</v>
      </c>
      <c r="E28" s="136">
        <f t="shared" si="1"/>
        <v>4</v>
      </c>
      <c r="F28" s="128" t="s">
        <v>61</v>
      </c>
      <c r="G28" s="128" t="str">
        <f>VLOOKUP(source[[#This Row],[lending_product_transform]],[3]Mapping!$B$4:$C$37,2,0)</f>
        <v>[VDS] - Payroll Payday</v>
      </c>
      <c r="H28" s="128" t="str">
        <f>VLOOKUP(source[[#This Row],[lending_product_transform]],[3]Mapping!$B$3:$D$37,3,0)</f>
        <v>payday</v>
      </c>
      <c r="I28" s="135">
        <v>0</v>
      </c>
      <c r="K28" s="554" t="s">
        <v>60</v>
      </c>
      <c r="L28" s="552"/>
      <c r="M28" s="552"/>
      <c r="N28" s="552"/>
      <c r="O28" s="552"/>
      <c r="P28" s="552"/>
      <c r="Q28" s="552"/>
      <c r="R28" s="552"/>
      <c r="S28" s="552"/>
      <c r="T28" s="552"/>
      <c r="U28" s="552"/>
      <c r="V28" s="552"/>
      <c r="W28" s="552">
        <v>640000000</v>
      </c>
      <c r="X28" s="552">
        <v>640000000</v>
      </c>
      <c r="Y28" s="552">
        <v>936000000</v>
      </c>
      <c r="Z28" s="552">
        <v>619000000</v>
      </c>
      <c r="AA28" s="552">
        <v>1342000000</v>
      </c>
      <c r="AB28" s="552">
        <v>950000000</v>
      </c>
      <c r="AC28" s="552">
        <v>80000000</v>
      </c>
      <c r="AD28" s="552">
        <v>3927000000</v>
      </c>
      <c r="AE28" s="552">
        <v>4567000000</v>
      </c>
      <c r="AF28" s="137"/>
    </row>
    <row r="29" spans="1:35" x14ac:dyDescent="0.2">
      <c r="A29" s="134">
        <v>45295</v>
      </c>
      <c r="B29" s="135">
        <f>YEAR(source[[#This Row],[report_date]])</f>
        <v>2024</v>
      </c>
      <c r="C29" s="136">
        <v>1</v>
      </c>
      <c r="D29" s="136">
        <f t="shared" si="0"/>
        <v>1</v>
      </c>
      <c r="E29" s="136">
        <f t="shared" si="1"/>
        <v>4</v>
      </c>
      <c r="F29" s="128" t="s">
        <v>19</v>
      </c>
      <c r="G29" s="128" t="str">
        <f>VLOOKUP(source[[#This Row],[lending_product_transform]],[3]Mapping!$B$4:$C$37,2,0)</f>
        <v>[VDS] - Payday</v>
      </c>
      <c r="H29" s="128" t="str">
        <f>VLOOKUP(source[[#This Row],[lending_product_transform]],[3]Mapping!$B$3:$D$37,3,0)</f>
        <v>payday</v>
      </c>
      <c r="I29" s="135">
        <v>1522000000</v>
      </c>
      <c r="K29" s="555" t="s">
        <v>68</v>
      </c>
      <c r="L29" s="553">
        <v>631570364753</v>
      </c>
      <c r="M29" s="553">
        <v>532086843620</v>
      </c>
      <c r="N29" s="553">
        <v>716597665968</v>
      </c>
      <c r="O29" s="553">
        <v>830767107376</v>
      </c>
      <c r="P29" s="553">
        <v>877642742602</v>
      </c>
      <c r="Q29" s="553">
        <v>966595440401</v>
      </c>
      <c r="R29" s="553">
        <v>1316244086718</v>
      </c>
      <c r="S29" s="553">
        <v>1305217296004</v>
      </c>
      <c r="T29" s="553">
        <v>1760068334019</v>
      </c>
      <c r="U29" s="553">
        <v>1971790261000</v>
      </c>
      <c r="V29" s="553">
        <v>2041989012975</v>
      </c>
      <c r="W29" s="553">
        <v>2202242486783</v>
      </c>
      <c r="X29" s="553">
        <v>15152811642219</v>
      </c>
      <c r="Y29" s="553">
        <v>2269595468665</v>
      </c>
      <c r="Z29" s="553">
        <v>1722310866251</v>
      </c>
      <c r="AA29" s="553">
        <v>2069586824370</v>
      </c>
      <c r="AB29" s="553">
        <v>2143901666325</v>
      </c>
      <c r="AC29" s="553">
        <v>762376012773</v>
      </c>
      <c r="AD29" s="553">
        <v>8967770838384</v>
      </c>
      <c r="AE29" s="553">
        <v>24120582480603</v>
      </c>
    </row>
    <row r="30" spans="1:35" x14ac:dyDescent="0.2">
      <c r="A30" s="134">
        <v>45295</v>
      </c>
      <c r="B30" s="135">
        <f>YEAR(source[[#This Row],[report_date]])</f>
        <v>2024</v>
      </c>
      <c r="C30" s="136">
        <v>1</v>
      </c>
      <c r="D30" s="136">
        <f t="shared" si="0"/>
        <v>1</v>
      </c>
      <c r="E30" s="136">
        <f t="shared" si="1"/>
        <v>4</v>
      </c>
      <c r="F30" s="128" t="s">
        <v>11</v>
      </c>
      <c r="G30" s="128" t="str">
        <f>VLOOKUP(source[[#This Row],[lending_product_transform]],[3]Mapping!$B$4:$C$37,2,0)</f>
        <v>[VDS] - Cashloan</v>
      </c>
      <c r="H30" s="128" t="str">
        <f>VLOOKUP(source[[#This Row],[lending_product_transform]],[3]Mapping!$B$3:$D$37,3,0)</f>
        <v>cashloan</v>
      </c>
      <c r="I30" s="135">
        <v>3640050000</v>
      </c>
    </row>
    <row r="31" spans="1:35" x14ac:dyDescent="0.2">
      <c r="A31" s="134">
        <v>45296</v>
      </c>
      <c r="B31" s="135">
        <f>YEAR(source[[#This Row],[report_date]])</f>
        <v>2024</v>
      </c>
      <c r="C31" s="136">
        <v>1</v>
      </c>
      <c r="D31" s="136">
        <f t="shared" si="0"/>
        <v>1</v>
      </c>
      <c r="E31" s="136">
        <f t="shared" si="1"/>
        <v>5</v>
      </c>
      <c r="F31" s="128" t="s">
        <v>58</v>
      </c>
      <c r="G31" s="128" t="str">
        <f>VLOOKUP(source[[#This Row],[lending_product_transform]],[3]Mapping!$B$4:$C$37,2,0)</f>
        <v>[VDS] - Payroll Cashloan</v>
      </c>
      <c r="H31" s="128" t="str">
        <f>VLOOKUP(source[[#This Row],[lending_product_transform]],[3]Mapping!$B$3:$D$37,3,0)</f>
        <v>cashloan</v>
      </c>
      <c r="I31" s="135">
        <v>134450000</v>
      </c>
    </row>
    <row r="32" spans="1:35" x14ac:dyDescent="0.2">
      <c r="A32" s="134">
        <v>45296</v>
      </c>
      <c r="B32" s="135">
        <f>YEAR(source[[#This Row],[report_date]])</f>
        <v>2024</v>
      </c>
      <c r="C32" s="136">
        <v>1</v>
      </c>
      <c r="D32" s="136">
        <f t="shared" si="0"/>
        <v>1</v>
      </c>
      <c r="E32" s="136">
        <f t="shared" si="1"/>
        <v>5</v>
      </c>
      <c r="F32" s="128" t="s">
        <v>65</v>
      </c>
      <c r="G32" s="128" t="str">
        <f>VLOOKUP(source[[#This Row],[lending_product_transform]],[3]Mapping!$B$4:$C$37,2,0)</f>
        <v>[BE] - Cashloan</v>
      </c>
      <c r="H32" s="128" t="str">
        <f>VLOOKUP(source[[#This Row],[lending_product_transform]],[3]Mapping!$B$3:$D$37,3,0)</f>
        <v>cashloan</v>
      </c>
      <c r="I32" s="135">
        <v>162750000</v>
      </c>
    </row>
    <row r="33" spans="1:32" x14ac:dyDescent="0.2">
      <c r="A33" s="134">
        <v>45296</v>
      </c>
      <c r="B33" s="135">
        <f>YEAR(source[[#This Row],[report_date]])</f>
        <v>2024</v>
      </c>
      <c r="C33" s="136">
        <v>1</v>
      </c>
      <c r="D33" s="136">
        <f t="shared" si="0"/>
        <v>1</v>
      </c>
      <c r="E33" s="136">
        <f t="shared" si="1"/>
        <v>5</v>
      </c>
      <c r="F33" s="128" t="s">
        <v>67</v>
      </c>
      <c r="G33" s="128" t="str">
        <f>VLOOKUP(source[[#This Row],[lending_product_transform]],[3]Mapping!$B$4:$C$37,2,0)</f>
        <v>[Cake] - Overdraft</v>
      </c>
      <c r="H33" s="128" t="str">
        <f>VLOOKUP(source[[#This Row],[lending_product_transform]],[3]Mapping!$B$3:$D$37,3,0)</f>
        <v>overdraft</v>
      </c>
      <c r="I33" s="135">
        <v>2399718960</v>
      </c>
      <c r="L33" s="128">
        <v>2025</v>
      </c>
      <c r="T33" s="135">
        <f>GETPIVOTDATA("Total",$K$4,"Year",2025,"Month",9,"Product_use","[Cake] - Payday")/1000000</f>
        <v>196888.96799999999</v>
      </c>
      <c r="X33" s="128">
        <v>2026</v>
      </c>
    </row>
    <row r="34" spans="1:32" x14ac:dyDescent="0.2">
      <c r="A34" s="134">
        <v>45296</v>
      </c>
      <c r="B34" s="135">
        <f>YEAR(source[[#This Row],[report_date]])</f>
        <v>2024</v>
      </c>
      <c r="C34" s="136">
        <v>1</v>
      </c>
      <c r="D34" s="136">
        <f t="shared" si="0"/>
        <v>1</v>
      </c>
      <c r="E34" s="136">
        <f t="shared" si="1"/>
        <v>5</v>
      </c>
      <c r="F34" s="128" t="s">
        <v>61</v>
      </c>
      <c r="G34" s="128" t="str">
        <f>VLOOKUP(source[[#This Row],[lending_product_transform]],[3]Mapping!$B$4:$C$37,2,0)</f>
        <v>[VDS] - Payroll Payday</v>
      </c>
      <c r="H34" s="128" t="str">
        <f>VLOOKUP(source[[#This Row],[lending_product_transform]],[3]Mapping!$B$3:$D$37,3,0)</f>
        <v>payday</v>
      </c>
      <c r="I34" s="135">
        <v>37000000</v>
      </c>
      <c r="K34" s="140" t="s">
        <v>155</v>
      </c>
      <c r="L34" s="141">
        <v>1</v>
      </c>
      <c r="M34" s="141">
        <f t="shared" ref="M34:W34" si="2">L34+1</f>
        <v>2</v>
      </c>
      <c r="N34" s="141">
        <f t="shared" si="2"/>
        <v>3</v>
      </c>
      <c r="O34" s="141">
        <f t="shared" si="2"/>
        <v>4</v>
      </c>
      <c r="P34" s="141">
        <f t="shared" si="2"/>
        <v>5</v>
      </c>
      <c r="Q34" s="141">
        <f t="shared" si="2"/>
        <v>6</v>
      </c>
      <c r="R34" s="141">
        <f t="shared" si="2"/>
        <v>7</v>
      </c>
      <c r="S34" s="141">
        <f t="shared" si="2"/>
        <v>8</v>
      </c>
      <c r="T34" s="141">
        <f t="shared" si="2"/>
        <v>9</v>
      </c>
      <c r="U34" s="141">
        <f t="shared" si="2"/>
        <v>10</v>
      </c>
      <c r="V34" s="141">
        <f t="shared" si="2"/>
        <v>11</v>
      </c>
      <c r="W34" s="141">
        <f t="shared" si="2"/>
        <v>12</v>
      </c>
      <c r="X34" s="141">
        <v>1</v>
      </c>
      <c r="Y34" s="135">
        <v>2</v>
      </c>
      <c r="Z34" s="135">
        <v>3</v>
      </c>
    </row>
    <row r="35" spans="1:32" x14ac:dyDescent="0.2">
      <c r="A35" s="134">
        <v>45296</v>
      </c>
      <c r="B35" s="135">
        <f>YEAR(source[[#This Row],[report_date]])</f>
        <v>2024</v>
      </c>
      <c r="C35" s="136">
        <v>1</v>
      </c>
      <c r="D35" s="136">
        <f t="shared" si="0"/>
        <v>1</v>
      </c>
      <c r="E35" s="136">
        <f t="shared" si="1"/>
        <v>5</v>
      </c>
      <c r="F35" s="128" t="s">
        <v>19</v>
      </c>
      <c r="G35" s="128" t="str">
        <f>VLOOKUP(source[[#This Row],[lending_product_transform]],[3]Mapping!$B$4:$C$37,2,0)</f>
        <v>[VDS] - Payday</v>
      </c>
      <c r="H35" s="128" t="str">
        <f>VLOOKUP(source[[#This Row],[lending_product_transform]],[3]Mapping!$B$3:$D$37,3,0)</f>
        <v>payday</v>
      </c>
      <c r="I35" s="135">
        <v>634500000</v>
      </c>
      <c r="K35" s="128" t="s">
        <v>65</v>
      </c>
      <c r="L35" s="135">
        <f t="shared" ref="L35:W50" si="3">GETPIVOTDATA("Total",$K$4,"Year",$L$33,"Month",L$34,"Product_use",$K35)/1000000</f>
        <v>305.14999999999998</v>
      </c>
      <c r="M35" s="135">
        <f t="shared" si="3"/>
        <v>106.5</v>
      </c>
      <c r="N35" s="135">
        <f t="shared" si="3"/>
        <v>120.15</v>
      </c>
      <c r="O35" s="135">
        <f t="shared" si="3"/>
        <v>31</v>
      </c>
      <c r="P35" s="135">
        <f t="shared" si="3"/>
        <v>0</v>
      </c>
      <c r="Q35" s="135">
        <f t="shared" si="3"/>
        <v>48.65</v>
      </c>
      <c r="R35" s="135">
        <f t="shared" si="3"/>
        <v>98.75</v>
      </c>
      <c r="S35" s="135">
        <f t="shared" si="3"/>
        <v>18.899999999999999</v>
      </c>
      <c r="T35" s="135">
        <f t="shared" si="3"/>
        <v>42</v>
      </c>
      <c r="U35" s="135">
        <f t="shared" si="3"/>
        <v>856.45</v>
      </c>
      <c r="V35" s="135">
        <f t="shared" si="3"/>
        <v>2125.6999999999998</v>
      </c>
      <c r="W35" s="135">
        <f t="shared" si="3"/>
        <v>9557</v>
      </c>
      <c r="X35" s="135">
        <f>GETPIVOTDATA("Total",$K$4,"Year",2026,"Month",X$34,"Product_use",$K35)/10^6</f>
        <v>21136.6</v>
      </c>
      <c r="Y35" s="135">
        <f>GETPIVOTDATA("Total",$K$4,"Year",2026,"Month",Y$34,"Product_use",$K35)/10^6</f>
        <v>15124.75</v>
      </c>
      <c r="Z35" s="135">
        <f>GETPIVOTDATA("Total",$K$4,"Year",2026,"Month",Z$34,"Product_use",$K35)/10^6</f>
        <v>23471.82</v>
      </c>
      <c r="AA35" s="135"/>
      <c r="AB35" s="135"/>
      <c r="AC35" s="135"/>
      <c r="AF35" s="142" t="s">
        <v>65</v>
      </c>
    </row>
    <row r="36" spans="1:32" x14ac:dyDescent="0.2">
      <c r="A36" s="134">
        <v>45296</v>
      </c>
      <c r="B36" s="135">
        <f>YEAR(source[[#This Row],[report_date]])</f>
        <v>2024</v>
      </c>
      <c r="C36" s="136">
        <v>1</v>
      </c>
      <c r="D36" s="136">
        <f t="shared" si="0"/>
        <v>1</v>
      </c>
      <c r="E36" s="136">
        <f t="shared" si="1"/>
        <v>5</v>
      </c>
      <c r="F36" s="128" t="s">
        <v>11</v>
      </c>
      <c r="G36" s="128" t="str">
        <f>VLOOKUP(source[[#This Row],[lending_product_transform]],[3]Mapping!$B$4:$C$37,2,0)</f>
        <v>[VDS] - Cashloan</v>
      </c>
      <c r="H36" s="128" t="str">
        <f>VLOOKUP(source[[#This Row],[lending_product_transform]],[3]Mapping!$B$3:$D$37,3,0)</f>
        <v>cashloan</v>
      </c>
      <c r="I36" s="135">
        <v>3216250000</v>
      </c>
      <c r="K36" s="128" t="s">
        <v>66</v>
      </c>
      <c r="L36" s="135">
        <f t="shared" si="3"/>
        <v>5181.2565999999997</v>
      </c>
      <c r="M36" s="135">
        <f t="shared" si="3"/>
        <v>5543.8976940000002</v>
      </c>
      <c r="N36" s="135">
        <f t="shared" si="3"/>
        <v>5692.3374279999998</v>
      </c>
      <c r="O36" s="135">
        <f t="shared" si="3"/>
        <v>5604.5945009999996</v>
      </c>
      <c r="P36" s="135">
        <f t="shared" si="3"/>
        <v>7145.9591790000004</v>
      </c>
      <c r="Q36" s="135">
        <f t="shared" si="3"/>
        <v>7745.2887000000001</v>
      </c>
      <c r="R36" s="135">
        <f t="shared" si="3"/>
        <v>8142.2165130000003</v>
      </c>
      <c r="S36" s="135">
        <f t="shared" si="3"/>
        <v>7801.255169</v>
      </c>
      <c r="T36" s="135">
        <f t="shared" si="3"/>
        <v>7926.2012480000003</v>
      </c>
      <c r="U36" s="135">
        <f t="shared" si="3"/>
        <v>10040.639445999999</v>
      </c>
      <c r="V36" s="135">
        <f t="shared" si="3"/>
        <v>9491.7087179999999</v>
      </c>
      <c r="W36" s="135">
        <f t="shared" si="3"/>
        <v>11211.193272</v>
      </c>
      <c r="X36" s="135">
        <f t="shared" ref="X36:Z56" si="4">GETPIVOTDATA("Total",$K$4,"Year",2026,"Month",X$34,"Product_use",$K36)/10^6</f>
        <v>10867.603220999999</v>
      </c>
      <c r="Y36" s="135">
        <f t="shared" si="4"/>
        <v>9233.6483289999996</v>
      </c>
      <c r="Z36" s="135">
        <f t="shared" si="4"/>
        <v>10631.003862</v>
      </c>
      <c r="AA36" s="135"/>
      <c r="AB36" s="135"/>
      <c r="AC36" s="135"/>
      <c r="AF36" s="142" t="s">
        <v>66</v>
      </c>
    </row>
    <row r="37" spans="1:32" x14ac:dyDescent="0.2">
      <c r="A37" s="134">
        <v>45296</v>
      </c>
      <c r="B37" s="135">
        <f>YEAR(source[[#This Row],[report_date]])</f>
        <v>2024</v>
      </c>
      <c r="C37" s="136">
        <v>1</v>
      </c>
      <c r="D37" s="136">
        <f t="shared" si="0"/>
        <v>1</v>
      </c>
      <c r="E37" s="136">
        <f t="shared" si="1"/>
        <v>5</v>
      </c>
      <c r="F37" s="128" t="s">
        <v>56</v>
      </c>
      <c r="G37" s="128">
        <f>VLOOKUP(source[[#This Row],[lending_product_transform]],[3]Mapping!$B$4:$C$37,2,0)</f>
        <v>0</v>
      </c>
      <c r="H37" s="128">
        <f>VLOOKUP(source[[#This Row],[lending_product_transform]],[3]Mapping!$B$3:$D$37,3,0)</f>
        <v>0</v>
      </c>
      <c r="I37" s="135">
        <v>6584668960</v>
      </c>
      <c r="K37" s="128" t="s">
        <v>24</v>
      </c>
      <c r="L37" s="135">
        <f t="shared" si="3"/>
        <v>148327.82999999999</v>
      </c>
      <c r="M37" s="135">
        <f t="shared" si="3"/>
        <v>111579.44</v>
      </c>
      <c r="N37" s="135">
        <f t="shared" si="3"/>
        <v>175949.31</v>
      </c>
      <c r="O37" s="135">
        <f t="shared" si="3"/>
        <v>227662.41</v>
      </c>
      <c r="P37" s="135">
        <f t="shared" si="3"/>
        <v>232669.35</v>
      </c>
      <c r="Q37" s="135">
        <f t="shared" si="3"/>
        <v>273801.46000000002</v>
      </c>
      <c r="R37" s="135">
        <f t="shared" si="3"/>
        <v>377695.15</v>
      </c>
      <c r="S37" s="135">
        <f t="shared" si="3"/>
        <v>338629.71</v>
      </c>
      <c r="T37" s="135">
        <f t="shared" si="3"/>
        <v>486195.06</v>
      </c>
      <c r="U37" s="135">
        <f t="shared" si="3"/>
        <v>501046.57</v>
      </c>
      <c r="V37" s="135">
        <f t="shared" si="3"/>
        <v>587879.52</v>
      </c>
      <c r="W37" s="135">
        <f t="shared" si="3"/>
        <v>522091.59</v>
      </c>
      <c r="X37" s="135">
        <f t="shared" si="4"/>
        <v>467929.41</v>
      </c>
      <c r="Y37" s="135">
        <f t="shared" si="4"/>
        <v>316516.71000000002</v>
      </c>
      <c r="Z37" s="135">
        <f t="shared" si="4"/>
        <v>399979.99</v>
      </c>
      <c r="AA37" s="135"/>
      <c r="AB37" s="135"/>
      <c r="AC37" s="135"/>
      <c r="AD37" s="135"/>
      <c r="AF37" s="142" t="s">
        <v>24</v>
      </c>
    </row>
    <row r="38" spans="1:32" x14ac:dyDescent="0.2">
      <c r="A38" s="134">
        <v>45297</v>
      </c>
      <c r="B38" s="135">
        <f>YEAR(source[[#This Row],[report_date]])</f>
        <v>2024</v>
      </c>
      <c r="C38" s="136">
        <v>1</v>
      </c>
      <c r="D38" s="136">
        <f t="shared" si="0"/>
        <v>1</v>
      </c>
      <c r="E38" s="136">
        <f t="shared" si="1"/>
        <v>6</v>
      </c>
      <c r="F38" s="128" t="s">
        <v>67</v>
      </c>
      <c r="G38" s="128" t="str">
        <f>VLOOKUP(source[[#This Row],[lending_product_transform]],[3]Mapping!$B$4:$C$37,2,0)</f>
        <v>[Cake] - Overdraft</v>
      </c>
      <c r="H38" s="128" t="str">
        <f>VLOOKUP(source[[#This Row],[lending_product_transform]],[3]Mapping!$B$3:$D$37,3,0)</f>
        <v>overdraft</v>
      </c>
      <c r="I38" s="135">
        <v>1875629049</v>
      </c>
      <c r="K38" s="128" t="s">
        <v>67</v>
      </c>
      <c r="L38" s="135">
        <f t="shared" si="3"/>
        <v>109061.42327499999</v>
      </c>
      <c r="M38" s="135">
        <f t="shared" si="3"/>
        <v>95253.172206000003</v>
      </c>
      <c r="N38" s="135">
        <f t="shared" si="3"/>
        <v>112073.329818</v>
      </c>
      <c r="O38" s="135">
        <f t="shared" si="3"/>
        <v>114487.336129</v>
      </c>
      <c r="P38" s="135">
        <f t="shared" si="3"/>
        <v>119537.60165900001</v>
      </c>
      <c r="Q38" s="135">
        <f t="shared" si="3"/>
        <v>118759.501319</v>
      </c>
      <c r="R38" s="135">
        <f t="shared" si="3"/>
        <v>118080.713257</v>
      </c>
      <c r="S38" s="135">
        <f t="shared" si="3"/>
        <v>97304.269148000007</v>
      </c>
      <c r="T38" s="135">
        <f t="shared" si="3"/>
        <v>86259.163136000003</v>
      </c>
      <c r="U38" s="135">
        <f t="shared" si="3"/>
        <v>84239.414747000003</v>
      </c>
      <c r="V38" s="135">
        <f t="shared" si="3"/>
        <v>73074.848767000003</v>
      </c>
      <c r="W38" s="135">
        <f t="shared" si="3"/>
        <v>71004.297401000003</v>
      </c>
      <c r="X38" s="135">
        <f t="shared" si="4"/>
        <v>63409.743098999999</v>
      </c>
      <c r="Y38" s="135">
        <f t="shared" si="4"/>
        <v>53755.295192999998</v>
      </c>
      <c r="Z38" s="135">
        <f t="shared" si="4"/>
        <v>55189.788460999996</v>
      </c>
      <c r="AA38" s="135"/>
      <c r="AB38" s="135"/>
      <c r="AC38" s="135"/>
      <c r="AD38" s="135"/>
      <c r="AF38" s="142" t="s">
        <v>67</v>
      </c>
    </row>
    <row r="39" spans="1:32" x14ac:dyDescent="0.2">
      <c r="A39" s="134">
        <v>45297</v>
      </c>
      <c r="B39" s="135">
        <f>YEAR(source[[#This Row],[report_date]])</f>
        <v>2024</v>
      </c>
      <c r="C39" s="136">
        <v>1</v>
      </c>
      <c r="D39" s="136">
        <f t="shared" si="0"/>
        <v>1</v>
      </c>
      <c r="E39" s="136">
        <f t="shared" si="1"/>
        <v>6</v>
      </c>
      <c r="F39" s="128" t="s">
        <v>58</v>
      </c>
      <c r="G39" s="128" t="str">
        <f>VLOOKUP(source[[#This Row],[lending_product_transform]],[3]Mapping!$B$4:$C$37,2,0)</f>
        <v>[VDS] - Payroll Cashloan</v>
      </c>
      <c r="H39" s="128" t="str">
        <f>VLOOKUP(source[[#This Row],[lending_product_transform]],[3]Mapping!$B$3:$D$37,3,0)</f>
        <v>cashloan</v>
      </c>
      <c r="I39" s="135">
        <v>21000000</v>
      </c>
      <c r="K39" s="128" t="s">
        <v>206</v>
      </c>
      <c r="L39" s="135">
        <f t="shared" si="3"/>
        <v>0</v>
      </c>
      <c r="M39" s="135">
        <f t="shared" si="3"/>
        <v>0</v>
      </c>
      <c r="N39" s="135">
        <f t="shared" si="3"/>
        <v>0</v>
      </c>
      <c r="O39" s="135">
        <f t="shared" si="3"/>
        <v>0</v>
      </c>
      <c r="P39" s="135">
        <f t="shared" si="3"/>
        <v>0</v>
      </c>
      <c r="Q39" s="135">
        <f t="shared" si="3"/>
        <v>0</v>
      </c>
      <c r="R39" s="135">
        <f t="shared" si="3"/>
        <v>0</v>
      </c>
      <c r="S39" s="135">
        <f t="shared" si="3"/>
        <v>0</v>
      </c>
      <c r="T39" s="135">
        <f t="shared" si="3"/>
        <v>0</v>
      </c>
      <c r="U39" s="135">
        <f t="shared" si="3"/>
        <v>0</v>
      </c>
      <c r="V39" s="135">
        <f t="shared" si="3"/>
        <v>0</v>
      </c>
      <c r="W39" s="135">
        <f t="shared" si="3"/>
        <v>0</v>
      </c>
      <c r="X39" s="135">
        <f t="shared" si="4"/>
        <v>0</v>
      </c>
      <c r="Y39" s="135">
        <f t="shared" si="4"/>
        <v>0</v>
      </c>
      <c r="Z39" s="135">
        <f t="shared" si="4"/>
        <v>0</v>
      </c>
      <c r="AA39" s="135"/>
      <c r="AB39" s="135"/>
      <c r="AC39" s="135"/>
      <c r="AD39" s="135"/>
      <c r="AF39" s="142" t="s">
        <v>28</v>
      </c>
    </row>
    <row r="40" spans="1:32" x14ac:dyDescent="0.2">
      <c r="A40" s="134">
        <v>45297</v>
      </c>
      <c r="B40" s="135">
        <f>YEAR(source[[#This Row],[report_date]])</f>
        <v>2024</v>
      </c>
      <c r="C40" s="136">
        <v>1</v>
      </c>
      <c r="D40" s="136">
        <f t="shared" si="0"/>
        <v>1</v>
      </c>
      <c r="E40" s="136">
        <f t="shared" si="1"/>
        <v>6</v>
      </c>
      <c r="F40" s="128" t="s">
        <v>61</v>
      </c>
      <c r="G40" s="128" t="str">
        <f>VLOOKUP(source[[#This Row],[lending_product_transform]],[3]Mapping!$B$4:$C$37,2,0)</f>
        <v>[VDS] - Payroll Payday</v>
      </c>
      <c r="H40" s="128" t="str">
        <f>VLOOKUP(source[[#This Row],[lending_product_transform]],[3]Mapping!$B$3:$D$37,3,0)</f>
        <v>payday</v>
      </c>
      <c r="I40" s="135">
        <v>12000000</v>
      </c>
      <c r="K40" s="128" t="s">
        <v>11</v>
      </c>
      <c r="L40" s="135">
        <f t="shared" si="3"/>
        <v>180511.4</v>
      </c>
      <c r="M40" s="135">
        <f t="shared" si="3"/>
        <v>131748.35</v>
      </c>
      <c r="N40" s="135">
        <f t="shared" si="3"/>
        <v>198763.29</v>
      </c>
      <c r="O40" s="135">
        <f t="shared" si="3"/>
        <v>249280.19</v>
      </c>
      <c r="P40" s="135">
        <f t="shared" si="3"/>
        <v>237678.41</v>
      </c>
      <c r="Q40" s="135">
        <f t="shared" si="3"/>
        <v>261376.05</v>
      </c>
      <c r="R40" s="135">
        <f t="shared" si="3"/>
        <v>380965.67</v>
      </c>
      <c r="S40" s="135">
        <f t="shared" si="3"/>
        <v>346289.2</v>
      </c>
      <c r="T40" s="135">
        <f t="shared" si="3"/>
        <v>465278.44</v>
      </c>
      <c r="U40" s="135">
        <f t="shared" si="3"/>
        <v>489924.96</v>
      </c>
      <c r="V40" s="135">
        <f t="shared" si="3"/>
        <v>513252.48</v>
      </c>
      <c r="W40" s="135">
        <f t="shared" si="3"/>
        <v>548081.57999999996</v>
      </c>
      <c r="X40" s="135">
        <f t="shared" si="4"/>
        <v>521571.95</v>
      </c>
      <c r="Y40" s="135">
        <f t="shared" si="4"/>
        <v>382545.26</v>
      </c>
      <c r="Z40" s="135">
        <f t="shared" si="4"/>
        <v>495975.24</v>
      </c>
      <c r="AA40" s="135"/>
      <c r="AB40" s="135"/>
      <c r="AC40" s="135"/>
      <c r="AD40" s="135"/>
      <c r="AF40" s="142" t="s">
        <v>208</v>
      </c>
    </row>
    <row r="41" spans="1:32" x14ac:dyDescent="0.2">
      <c r="A41" s="134">
        <v>45297</v>
      </c>
      <c r="B41" s="135">
        <f>YEAR(source[[#This Row],[report_date]])</f>
        <v>2024</v>
      </c>
      <c r="C41" s="136">
        <v>1</v>
      </c>
      <c r="D41" s="136">
        <f t="shared" si="0"/>
        <v>1</v>
      </c>
      <c r="E41" s="136">
        <f t="shared" si="1"/>
        <v>6</v>
      </c>
      <c r="F41" s="128" t="s">
        <v>56</v>
      </c>
      <c r="G41" s="128">
        <f>VLOOKUP(source[[#This Row],[lending_product_transform]],[3]Mapping!$B$4:$C$37,2,0)</f>
        <v>0</v>
      </c>
      <c r="H41" s="128">
        <f>VLOOKUP(source[[#This Row],[lending_product_transform]],[3]Mapping!$B$3:$D$37,3,0)</f>
        <v>0</v>
      </c>
      <c r="I41" s="135">
        <v>6253329049</v>
      </c>
      <c r="K41" s="128" t="s">
        <v>207</v>
      </c>
      <c r="L41" s="135">
        <f t="shared" si="3"/>
        <v>486.74</v>
      </c>
      <c r="M41" s="135">
        <f t="shared" si="3"/>
        <v>32.1</v>
      </c>
      <c r="N41" s="135">
        <f t="shared" si="3"/>
        <v>729.12</v>
      </c>
      <c r="O41" s="135">
        <f t="shared" si="3"/>
        <v>85.6</v>
      </c>
      <c r="P41" s="135">
        <f t="shared" si="3"/>
        <v>0</v>
      </c>
      <c r="Q41" s="135">
        <f t="shared" si="3"/>
        <v>0</v>
      </c>
      <c r="R41" s="135">
        <f t="shared" si="3"/>
        <v>0</v>
      </c>
      <c r="S41" s="135">
        <f t="shared" si="3"/>
        <v>0</v>
      </c>
      <c r="T41" s="135">
        <f t="shared" si="3"/>
        <v>0</v>
      </c>
      <c r="U41" s="135">
        <f t="shared" si="3"/>
        <v>0</v>
      </c>
      <c r="V41" s="135">
        <f t="shared" si="3"/>
        <v>0</v>
      </c>
      <c r="W41" s="135">
        <f t="shared" si="3"/>
        <v>0</v>
      </c>
      <c r="X41" s="135">
        <f t="shared" si="4"/>
        <v>0</v>
      </c>
      <c r="Y41" s="135">
        <f t="shared" si="4"/>
        <v>0</v>
      </c>
      <c r="Z41" s="135">
        <f t="shared" si="4"/>
        <v>0</v>
      </c>
      <c r="AA41" s="135"/>
      <c r="AB41" s="135"/>
      <c r="AC41" s="135"/>
      <c r="AD41" s="135"/>
      <c r="AF41" s="142" t="s">
        <v>36</v>
      </c>
    </row>
    <row r="42" spans="1:32" x14ac:dyDescent="0.2">
      <c r="A42" s="134">
        <v>45297</v>
      </c>
      <c r="B42" s="135">
        <f>YEAR(source[[#This Row],[report_date]])</f>
        <v>2024</v>
      </c>
      <c r="C42" s="136">
        <v>1</v>
      </c>
      <c r="D42" s="136">
        <f t="shared" si="0"/>
        <v>1</v>
      </c>
      <c r="E42" s="136">
        <f t="shared" si="1"/>
        <v>6</v>
      </c>
      <c r="F42" s="128" t="s">
        <v>19</v>
      </c>
      <c r="G42" s="128" t="str">
        <f>VLOOKUP(source[[#This Row],[lending_product_transform]],[3]Mapping!$B$4:$C$37,2,0)</f>
        <v>[VDS] - Payday</v>
      </c>
      <c r="H42" s="128" t="str">
        <f>VLOOKUP(source[[#This Row],[lending_product_transform]],[3]Mapping!$B$3:$D$37,3,0)</f>
        <v>payday</v>
      </c>
      <c r="I42" s="135">
        <v>1726500000</v>
      </c>
      <c r="K42" s="128" t="s">
        <v>19</v>
      </c>
      <c r="L42" s="135">
        <f t="shared" si="3"/>
        <v>140501</v>
      </c>
      <c r="M42" s="135">
        <f t="shared" si="3"/>
        <v>132184</v>
      </c>
      <c r="N42" s="135">
        <f t="shared" si="3"/>
        <v>156811.5</v>
      </c>
      <c r="O42" s="135">
        <f t="shared" si="3"/>
        <v>162270.82800000001</v>
      </c>
      <c r="P42" s="135">
        <f t="shared" si="3"/>
        <v>166904.17199999999</v>
      </c>
      <c r="Q42" s="135">
        <f t="shared" si="3"/>
        <v>164068.63200000001</v>
      </c>
      <c r="R42" s="135">
        <f t="shared" si="3"/>
        <v>181103.58</v>
      </c>
      <c r="S42" s="135">
        <f t="shared" si="3"/>
        <v>188150.58</v>
      </c>
      <c r="T42" s="135">
        <f t="shared" si="3"/>
        <v>269540.02799999999</v>
      </c>
      <c r="U42" s="135">
        <f t="shared" si="3"/>
        <v>322082.136</v>
      </c>
      <c r="V42" s="135">
        <f t="shared" si="3"/>
        <v>288633.24</v>
      </c>
      <c r="W42" s="135">
        <f t="shared" si="3"/>
        <v>304260.73200000002</v>
      </c>
      <c r="X42" s="135">
        <f t="shared" si="4"/>
        <v>336025.8</v>
      </c>
      <c r="Y42" s="135">
        <f t="shared" si="4"/>
        <v>290364.04800000001</v>
      </c>
      <c r="Z42" s="135">
        <f t="shared" si="4"/>
        <v>358579.11599999998</v>
      </c>
      <c r="AA42" s="135"/>
      <c r="AB42" s="135"/>
      <c r="AC42" s="135"/>
      <c r="AD42" s="135"/>
      <c r="AF42" s="142" t="s">
        <v>176</v>
      </c>
    </row>
    <row r="43" spans="1:32" x14ac:dyDescent="0.2">
      <c r="A43" s="134">
        <v>45297</v>
      </c>
      <c r="B43" s="135">
        <f>YEAR(source[[#This Row],[report_date]])</f>
        <v>2024</v>
      </c>
      <c r="C43" s="136">
        <v>1</v>
      </c>
      <c r="D43" s="136">
        <f t="shared" si="0"/>
        <v>1</v>
      </c>
      <c r="E43" s="136">
        <f t="shared" si="1"/>
        <v>6</v>
      </c>
      <c r="F43" s="128" t="s">
        <v>11</v>
      </c>
      <c r="G43" s="128" t="str">
        <f>VLOOKUP(source[[#This Row],[lending_product_transform]],[3]Mapping!$B$4:$C$37,2,0)</f>
        <v>[VDS] - Cashloan</v>
      </c>
      <c r="H43" s="128" t="str">
        <f>VLOOKUP(source[[#This Row],[lending_product_transform]],[3]Mapping!$B$3:$D$37,3,0)</f>
        <v>cashloan</v>
      </c>
      <c r="I43" s="135">
        <v>2544700000</v>
      </c>
      <c r="K43" s="128" t="s">
        <v>62</v>
      </c>
      <c r="L43" s="135">
        <f t="shared" si="3"/>
        <v>10711.863101999999</v>
      </c>
      <c r="M43" s="135">
        <f t="shared" si="3"/>
        <v>11016.265814</v>
      </c>
      <c r="N43" s="135">
        <f t="shared" si="3"/>
        <v>12882.109778</v>
      </c>
      <c r="O43" s="135">
        <f t="shared" si="3"/>
        <v>12089.502568</v>
      </c>
      <c r="P43" s="135">
        <f t="shared" si="3"/>
        <v>11964.595934000001</v>
      </c>
      <c r="Q43" s="135">
        <f t="shared" si="3"/>
        <v>12255.20017</v>
      </c>
      <c r="R43" s="135">
        <f t="shared" si="3"/>
        <v>11824.461337000001</v>
      </c>
      <c r="S43" s="135">
        <f t="shared" si="3"/>
        <v>8884.6721870000001</v>
      </c>
      <c r="T43" s="135">
        <f t="shared" si="3"/>
        <v>8649.2865650000003</v>
      </c>
      <c r="U43" s="135">
        <f t="shared" si="3"/>
        <v>8979.5822700000008</v>
      </c>
      <c r="V43" s="135">
        <f t="shared" si="3"/>
        <v>8056.6490119999999</v>
      </c>
      <c r="W43" s="135">
        <f t="shared" si="3"/>
        <v>7895.869479</v>
      </c>
      <c r="X43" s="135">
        <f t="shared" si="4"/>
        <v>7773.8982159999996</v>
      </c>
      <c r="Y43" s="135">
        <f t="shared" si="4"/>
        <v>6381.4057789999997</v>
      </c>
      <c r="Z43" s="135">
        <f t="shared" si="4"/>
        <v>7171.8969939999997</v>
      </c>
      <c r="AA43" s="135"/>
      <c r="AB43" s="135"/>
      <c r="AC43" s="135"/>
      <c r="AD43" s="135"/>
      <c r="AF43" s="142" t="s">
        <v>206</v>
      </c>
    </row>
    <row r="44" spans="1:32" x14ac:dyDescent="0.2">
      <c r="A44" s="134">
        <v>45297</v>
      </c>
      <c r="B44" s="135">
        <f>YEAR(source[[#This Row],[report_date]])</f>
        <v>2024</v>
      </c>
      <c r="C44" s="136">
        <v>1</v>
      </c>
      <c r="D44" s="136">
        <f t="shared" si="0"/>
        <v>1</v>
      </c>
      <c r="E44" s="136">
        <f t="shared" si="1"/>
        <v>6</v>
      </c>
      <c r="F44" s="128" t="s">
        <v>65</v>
      </c>
      <c r="G44" s="128" t="str">
        <f>VLOOKUP(source[[#This Row],[lending_product_transform]],[3]Mapping!$B$4:$C$37,2,0)</f>
        <v>[BE] - Cashloan</v>
      </c>
      <c r="H44" s="128" t="str">
        <f>VLOOKUP(source[[#This Row],[lending_product_transform]],[3]Mapping!$B$3:$D$37,3,0)</f>
        <v>cashloan</v>
      </c>
      <c r="I44" s="135">
        <v>73500000</v>
      </c>
      <c r="K44" s="128" t="s">
        <v>58</v>
      </c>
      <c r="L44" s="135">
        <f t="shared" si="3"/>
        <v>1011.95</v>
      </c>
      <c r="M44" s="135">
        <f t="shared" si="3"/>
        <v>1109.45</v>
      </c>
      <c r="N44" s="135">
        <f t="shared" si="3"/>
        <v>1798.7</v>
      </c>
      <c r="O44" s="135">
        <f t="shared" si="3"/>
        <v>1227.2</v>
      </c>
      <c r="P44" s="135">
        <f t="shared" si="3"/>
        <v>1149.7</v>
      </c>
      <c r="Q44" s="135">
        <f t="shared" si="3"/>
        <v>374</v>
      </c>
      <c r="R44" s="135">
        <f t="shared" si="3"/>
        <v>809.8</v>
      </c>
      <c r="S44" s="135">
        <f t="shared" si="3"/>
        <v>1040.2</v>
      </c>
      <c r="T44" s="135">
        <f t="shared" si="3"/>
        <v>953.5</v>
      </c>
      <c r="U44" s="135">
        <f t="shared" si="3"/>
        <v>1056.5</v>
      </c>
      <c r="V44" s="135">
        <f t="shared" si="3"/>
        <v>746.25</v>
      </c>
      <c r="W44" s="135">
        <f t="shared" si="3"/>
        <v>593.75</v>
      </c>
      <c r="X44" s="135">
        <f t="shared" si="4"/>
        <v>828.25</v>
      </c>
      <c r="Y44" s="135">
        <f t="shared" si="4"/>
        <v>1241.95</v>
      </c>
      <c r="Z44" s="135">
        <f t="shared" si="4"/>
        <v>1396.65</v>
      </c>
      <c r="AA44" s="135"/>
      <c r="AB44" s="135"/>
      <c r="AC44" s="135"/>
      <c r="AD44" s="135"/>
      <c r="AF44" s="142" t="s">
        <v>11</v>
      </c>
    </row>
    <row r="45" spans="1:32" x14ac:dyDescent="0.2">
      <c r="A45" s="134">
        <v>45298</v>
      </c>
      <c r="B45" s="135">
        <f>YEAR(source[[#This Row],[report_date]])</f>
        <v>2024</v>
      </c>
      <c r="C45" s="136">
        <v>1</v>
      </c>
      <c r="D45" s="136">
        <f t="shared" si="0"/>
        <v>1</v>
      </c>
      <c r="E45" s="136">
        <f t="shared" si="1"/>
        <v>7</v>
      </c>
      <c r="F45" s="128" t="s">
        <v>65</v>
      </c>
      <c r="G45" s="128" t="str">
        <f>VLOOKUP(source[[#This Row],[lending_product_transform]],[3]Mapping!$B$4:$C$37,2,0)</f>
        <v>[BE] - Cashloan</v>
      </c>
      <c r="H45" s="128" t="str">
        <f>VLOOKUP(source[[#This Row],[lending_product_transform]],[3]Mapping!$B$3:$D$37,3,0)</f>
        <v>cashloan</v>
      </c>
      <c r="I45" s="135">
        <v>168000000</v>
      </c>
      <c r="K45" s="128" t="s">
        <v>61</v>
      </c>
      <c r="L45" s="135">
        <f t="shared" si="3"/>
        <v>874</v>
      </c>
      <c r="M45" s="135">
        <f t="shared" si="3"/>
        <v>1301</v>
      </c>
      <c r="N45" s="135">
        <f t="shared" si="3"/>
        <v>2034</v>
      </c>
      <c r="O45" s="135">
        <f t="shared" si="3"/>
        <v>1527</v>
      </c>
      <c r="P45" s="135">
        <f t="shared" si="3"/>
        <v>954</v>
      </c>
      <c r="Q45" s="135">
        <f t="shared" si="3"/>
        <v>536</v>
      </c>
      <c r="R45" s="135">
        <f t="shared" si="3"/>
        <v>894</v>
      </c>
      <c r="S45" s="135">
        <f t="shared" si="3"/>
        <v>1104</v>
      </c>
      <c r="T45" s="135">
        <f t="shared" si="3"/>
        <v>1189</v>
      </c>
      <c r="U45" s="135">
        <f t="shared" si="3"/>
        <v>1211</v>
      </c>
      <c r="V45" s="135">
        <f t="shared" si="3"/>
        <v>1259</v>
      </c>
      <c r="W45" s="135">
        <f t="shared" si="3"/>
        <v>1270</v>
      </c>
      <c r="X45" s="135">
        <f t="shared" si="4"/>
        <v>1439</v>
      </c>
      <c r="Y45" s="135">
        <f t="shared" si="4"/>
        <v>1267</v>
      </c>
      <c r="Z45" s="135">
        <f t="shared" si="4"/>
        <v>1666</v>
      </c>
      <c r="AA45" s="135"/>
      <c r="AB45" s="135"/>
      <c r="AC45" s="135"/>
      <c r="AD45" s="135"/>
      <c r="AF45" s="142" t="s">
        <v>207</v>
      </c>
    </row>
    <row r="46" spans="1:32" x14ac:dyDescent="0.2">
      <c r="A46" s="134">
        <v>45298</v>
      </c>
      <c r="B46" s="135">
        <f>YEAR(source[[#This Row],[report_date]])</f>
        <v>2024</v>
      </c>
      <c r="C46" s="136">
        <v>1</v>
      </c>
      <c r="D46" s="136">
        <f t="shared" si="0"/>
        <v>1</v>
      </c>
      <c r="E46" s="136">
        <f t="shared" si="1"/>
        <v>7</v>
      </c>
      <c r="F46" s="128" t="s">
        <v>58</v>
      </c>
      <c r="G46" s="128" t="str">
        <f>VLOOKUP(source[[#This Row],[lending_product_transform]],[3]Mapping!$B$4:$C$37,2,0)</f>
        <v>[VDS] - Payroll Cashloan</v>
      </c>
      <c r="H46" s="128" t="str">
        <f>VLOOKUP(source[[#This Row],[lending_product_transform]],[3]Mapping!$B$3:$D$37,3,0)</f>
        <v>cashloan</v>
      </c>
      <c r="I46" s="135">
        <v>29400000</v>
      </c>
      <c r="K46" s="142" t="s">
        <v>59</v>
      </c>
      <c r="L46" s="135">
        <f t="shared" si="3"/>
        <v>7448.4858910000003</v>
      </c>
      <c r="M46" s="135">
        <f t="shared" si="3"/>
        <v>9709.4288529999994</v>
      </c>
      <c r="N46" s="135">
        <f t="shared" si="3"/>
        <v>13499.051401999999</v>
      </c>
      <c r="O46" s="135">
        <f t="shared" si="3"/>
        <v>14044.416624</v>
      </c>
      <c r="P46" s="135">
        <f t="shared" si="3"/>
        <v>16577.277952</v>
      </c>
      <c r="Q46" s="135">
        <f t="shared" si="3"/>
        <v>17622.441299999999</v>
      </c>
      <c r="R46" s="135">
        <f t="shared" si="3"/>
        <v>17881.303472</v>
      </c>
      <c r="S46" s="135">
        <f t="shared" si="3"/>
        <v>16244.324841</v>
      </c>
      <c r="T46" s="135">
        <f t="shared" si="3"/>
        <v>15275.92727</v>
      </c>
      <c r="U46" s="135">
        <f t="shared" si="3"/>
        <v>15864.798918</v>
      </c>
      <c r="V46" s="135">
        <f t="shared" si="3"/>
        <v>17116.094086000001</v>
      </c>
      <c r="W46" s="135">
        <f t="shared" si="3"/>
        <v>16799.812046999999</v>
      </c>
      <c r="X46" s="135">
        <f t="shared" si="4"/>
        <v>16072.045824000001</v>
      </c>
      <c r="Y46" s="135">
        <f t="shared" si="4"/>
        <v>13685.015637</v>
      </c>
      <c r="Z46" s="135">
        <f t="shared" si="4"/>
        <v>15025.10461</v>
      </c>
      <c r="AA46" s="135"/>
      <c r="AB46" s="135"/>
      <c r="AC46" s="135"/>
      <c r="AD46" s="135"/>
      <c r="AF46" s="142" t="s">
        <v>19</v>
      </c>
    </row>
    <row r="47" spans="1:32" x14ac:dyDescent="0.2">
      <c r="A47" s="134">
        <v>45298</v>
      </c>
      <c r="B47" s="135">
        <f>YEAR(source[[#This Row],[report_date]])</f>
        <v>2024</v>
      </c>
      <c r="C47" s="136">
        <v>1</v>
      </c>
      <c r="D47" s="136">
        <f t="shared" si="0"/>
        <v>1</v>
      </c>
      <c r="E47" s="136">
        <f t="shared" si="1"/>
        <v>7</v>
      </c>
      <c r="F47" s="128" t="s">
        <v>11</v>
      </c>
      <c r="G47" s="128" t="str">
        <f>VLOOKUP(source[[#This Row],[lending_product_transform]],[3]Mapping!$B$4:$C$37,2,0)</f>
        <v>[VDS] - Cashloan</v>
      </c>
      <c r="H47" s="128" t="str">
        <f>VLOOKUP(source[[#This Row],[lending_product_transform]],[3]Mapping!$B$3:$D$37,3,0)</f>
        <v>cashloan</v>
      </c>
      <c r="I47" s="135">
        <v>2609450000</v>
      </c>
      <c r="K47" s="142" t="s">
        <v>36</v>
      </c>
      <c r="L47" s="135">
        <f t="shared" si="3"/>
        <v>16174.22</v>
      </c>
      <c r="M47" s="135">
        <f t="shared" si="3"/>
        <v>12849.79</v>
      </c>
      <c r="N47" s="135">
        <f t="shared" si="3"/>
        <v>23384.84</v>
      </c>
      <c r="O47" s="135">
        <f t="shared" si="3"/>
        <v>28065.69</v>
      </c>
      <c r="P47" s="135">
        <f t="shared" si="3"/>
        <v>33835.15</v>
      </c>
      <c r="Q47" s="135">
        <f t="shared" si="3"/>
        <v>40487.379999999997</v>
      </c>
      <c r="R47" s="135">
        <f t="shared" si="3"/>
        <v>52339.69</v>
      </c>
      <c r="S47" s="135">
        <f t="shared" si="3"/>
        <v>63562</v>
      </c>
      <c r="T47" s="135">
        <f t="shared" si="3"/>
        <v>100769.4</v>
      </c>
      <c r="U47" s="135">
        <f t="shared" si="3"/>
        <v>93235.54</v>
      </c>
      <c r="V47" s="135">
        <f t="shared" si="3"/>
        <v>100217.49</v>
      </c>
      <c r="W47" s="135">
        <f t="shared" si="3"/>
        <v>126953.67</v>
      </c>
      <c r="X47" s="135">
        <f t="shared" si="4"/>
        <v>175520.76</v>
      </c>
      <c r="Y47" s="135">
        <f t="shared" si="4"/>
        <v>119770.5</v>
      </c>
      <c r="Z47" s="135">
        <f t="shared" si="4"/>
        <v>103979.45</v>
      </c>
      <c r="AA47" s="135"/>
      <c r="AB47" s="135"/>
      <c r="AC47" s="135"/>
      <c r="AD47" s="135"/>
      <c r="AF47" s="142" t="s">
        <v>62</v>
      </c>
    </row>
    <row r="48" spans="1:32" x14ac:dyDescent="0.2">
      <c r="A48" s="134">
        <v>45298</v>
      </c>
      <c r="B48" s="135">
        <f>YEAR(source[[#This Row],[report_date]])</f>
        <v>2024</v>
      </c>
      <c r="C48" s="136">
        <v>1</v>
      </c>
      <c r="D48" s="136">
        <f t="shared" si="0"/>
        <v>1</v>
      </c>
      <c r="E48" s="136">
        <f t="shared" si="1"/>
        <v>7</v>
      </c>
      <c r="F48" s="128" t="s">
        <v>56</v>
      </c>
      <c r="G48" s="128">
        <f>VLOOKUP(source[[#This Row],[lending_product_transform]],[3]Mapping!$B$4:$C$37,2,0)</f>
        <v>0</v>
      </c>
      <c r="H48" s="128">
        <f>VLOOKUP(source[[#This Row],[lending_product_transform]],[3]Mapping!$B$3:$D$37,3,0)</f>
        <v>0</v>
      </c>
      <c r="I48" s="135">
        <v>5667284937</v>
      </c>
      <c r="K48" s="142" t="s">
        <v>208</v>
      </c>
      <c r="L48" s="135">
        <f t="shared" si="3"/>
        <v>742.28588500000001</v>
      </c>
      <c r="M48" s="135">
        <f t="shared" si="3"/>
        <v>758.14905299999998</v>
      </c>
      <c r="N48" s="135">
        <f t="shared" si="3"/>
        <v>950.76754200000005</v>
      </c>
      <c r="O48" s="135">
        <f t="shared" si="3"/>
        <v>838.41955399999995</v>
      </c>
      <c r="P48" s="135">
        <f t="shared" si="3"/>
        <v>980.17887800000005</v>
      </c>
      <c r="Q48" s="135">
        <f t="shared" si="3"/>
        <v>895.76646200000005</v>
      </c>
      <c r="R48" s="135">
        <f t="shared" si="3"/>
        <v>917.35243100000002</v>
      </c>
      <c r="S48" s="135">
        <f t="shared" si="3"/>
        <v>941.37600899999995</v>
      </c>
      <c r="T48" s="135">
        <f t="shared" si="3"/>
        <v>932.76488600000005</v>
      </c>
      <c r="U48" s="135">
        <f t="shared" si="3"/>
        <v>968.660033</v>
      </c>
      <c r="V48" s="135">
        <f t="shared" si="3"/>
        <v>567.92793800000004</v>
      </c>
      <c r="W48" s="135">
        <f t="shared" si="3"/>
        <v>589.54248600000005</v>
      </c>
      <c r="X48" s="135">
        <f t="shared" si="4"/>
        <v>526.61678199999994</v>
      </c>
      <c r="Y48" s="135">
        <f t="shared" si="4"/>
        <v>406.756258</v>
      </c>
      <c r="Z48" s="135">
        <f t="shared" si="4"/>
        <v>373.33627899999999</v>
      </c>
      <c r="AA48" s="135"/>
      <c r="AB48" s="135"/>
      <c r="AC48" s="135"/>
      <c r="AD48" s="135"/>
      <c r="AF48" s="142" t="s">
        <v>58</v>
      </c>
    </row>
    <row r="49" spans="1:36" x14ac:dyDescent="0.2">
      <c r="A49" s="134">
        <v>45298</v>
      </c>
      <c r="B49" s="135">
        <f>YEAR(source[[#This Row],[report_date]])</f>
        <v>2024</v>
      </c>
      <c r="C49" s="136">
        <v>1</v>
      </c>
      <c r="D49" s="136">
        <f t="shared" si="0"/>
        <v>1</v>
      </c>
      <c r="E49" s="136">
        <f t="shared" si="1"/>
        <v>7</v>
      </c>
      <c r="F49" s="128" t="s">
        <v>19</v>
      </c>
      <c r="G49" s="128" t="str">
        <f>VLOOKUP(source[[#This Row],[lending_product_transform]],[3]Mapping!$B$4:$C$37,2,0)</f>
        <v>[VDS] - Payday</v>
      </c>
      <c r="H49" s="128" t="str">
        <f>VLOOKUP(source[[#This Row],[lending_product_transform]],[3]Mapping!$B$3:$D$37,3,0)</f>
        <v>payday</v>
      </c>
      <c r="I49" s="135">
        <v>1258500000</v>
      </c>
      <c r="K49" s="142" t="s">
        <v>57</v>
      </c>
      <c r="L49" s="135">
        <f t="shared" si="3"/>
        <v>10232.66</v>
      </c>
      <c r="M49" s="135">
        <f t="shared" si="3"/>
        <v>9282.58</v>
      </c>
      <c r="N49" s="135">
        <f t="shared" si="3"/>
        <v>11876.18</v>
      </c>
      <c r="O49" s="135">
        <f t="shared" si="3"/>
        <v>13534.02</v>
      </c>
      <c r="P49" s="135">
        <f t="shared" si="3"/>
        <v>18967.580000000002</v>
      </c>
      <c r="Q49" s="135">
        <f t="shared" si="3"/>
        <v>16257.93</v>
      </c>
      <c r="R49" s="135">
        <f t="shared" si="3"/>
        <v>13288.53</v>
      </c>
      <c r="S49" s="135">
        <f t="shared" si="3"/>
        <v>13484.55</v>
      </c>
      <c r="T49" s="135">
        <f t="shared" si="3"/>
        <v>21050.400000000001</v>
      </c>
      <c r="U49" s="135">
        <f t="shared" si="3"/>
        <v>22246.18</v>
      </c>
      <c r="V49" s="135">
        <f t="shared" si="3"/>
        <v>19620.349999999999</v>
      </c>
      <c r="W49" s="135">
        <f t="shared" si="3"/>
        <v>21697.55</v>
      </c>
      <c r="X49" s="135">
        <f t="shared" si="4"/>
        <v>27560.26</v>
      </c>
      <c r="Y49" s="135">
        <f t="shared" si="4"/>
        <v>21558.32</v>
      </c>
      <c r="Z49" s="135">
        <f t="shared" si="4"/>
        <v>24486.59</v>
      </c>
      <c r="AA49" s="135"/>
      <c r="AB49" s="135"/>
      <c r="AC49" s="135"/>
      <c r="AD49" s="135"/>
      <c r="AF49" s="142" t="s">
        <v>61</v>
      </c>
    </row>
    <row r="50" spans="1:36" x14ac:dyDescent="0.2">
      <c r="A50" s="134">
        <v>45298</v>
      </c>
      <c r="B50" s="135">
        <f>YEAR(source[[#This Row],[report_date]])</f>
        <v>2024</v>
      </c>
      <c r="C50" s="136">
        <v>1</v>
      </c>
      <c r="D50" s="136">
        <f t="shared" si="0"/>
        <v>1</v>
      </c>
      <c r="E50" s="136">
        <f t="shared" si="1"/>
        <v>7</v>
      </c>
      <c r="F50" s="128" t="s">
        <v>67</v>
      </c>
      <c r="G50" s="128" t="str">
        <f>VLOOKUP(source[[#This Row],[lending_product_transform]],[3]Mapping!$B$4:$C$37,2,0)</f>
        <v>[Cake] - Overdraft</v>
      </c>
      <c r="H50" s="128" t="str">
        <f>VLOOKUP(source[[#This Row],[lending_product_transform]],[3]Mapping!$B$3:$D$37,3,0)</f>
        <v>overdraft</v>
      </c>
      <c r="I50" s="135">
        <v>1568934937</v>
      </c>
      <c r="K50" s="128" t="s">
        <v>209</v>
      </c>
      <c r="L50" s="135">
        <f t="shared" si="3"/>
        <v>0</v>
      </c>
      <c r="M50" s="135">
        <f t="shared" si="3"/>
        <v>0</v>
      </c>
      <c r="N50" s="135">
        <f t="shared" si="3"/>
        <v>10</v>
      </c>
      <c r="O50" s="135">
        <f t="shared" si="3"/>
        <v>18.899999999999999</v>
      </c>
      <c r="P50" s="135">
        <f t="shared" si="3"/>
        <v>78.099999999999994</v>
      </c>
      <c r="Q50" s="135">
        <f t="shared" si="3"/>
        <v>595.04999999999995</v>
      </c>
      <c r="R50" s="135">
        <f t="shared" si="3"/>
        <v>606.79999999999995</v>
      </c>
      <c r="S50" s="135">
        <f t="shared" si="3"/>
        <v>611.45000000000005</v>
      </c>
      <c r="T50" s="135">
        <f t="shared" si="3"/>
        <v>2503.75</v>
      </c>
      <c r="U50" s="135">
        <f t="shared" si="3"/>
        <v>5961.75</v>
      </c>
      <c r="V50" s="135">
        <f t="shared" si="3"/>
        <v>10022.25</v>
      </c>
      <c r="W50" s="135">
        <f t="shared" si="3"/>
        <v>17538.45</v>
      </c>
      <c r="X50" s="135">
        <f t="shared" si="4"/>
        <v>7624.15</v>
      </c>
      <c r="Y50" s="135">
        <f t="shared" si="4"/>
        <v>2500.02</v>
      </c>
      <c r="Z50" s="135">
        <f t="shared" si="4"/>
        <v>2484.25</v>
      </c>
      <c r="AA50" s="135"/>
      <c r="AB50" s="135"/>
      <c r="AC50" s="135"/>
      <c r="AD50" s="135"/>
      <c r="AF50" s="142" t="s">
        <v>57</v>
      </c>
    </row>
    <row r="51" spans="1:36" x14ac:dyDescent="0.2">
      <c r="A51" s="134">
        <v>45298</v>
      </c>
      <c r="B51" s="135">
        <f>YEAR(source[[#This Row],[report_date]])</f>
        <v>2024</v>
      </c>
      <c r="C51" s="136">
        <v>1</v>
      </c>
      <c r="D51" s="136">
        <f t="shared" si="0"/>
        <v>1</v>
      </c>
      <c r="E51" s="136">
        <f t="shared" si="1"/>
        <v>7</v>
      </c>
      <c r="F51" s="128" t="s">
        <v>61</v>
      </c>
      <c r="G51" s="128" t="str">
        <f>VLOOKUP(source[[#This Row],[lending_product_transform]],[3]Mapping!$B$4:$C$37,2,0)</f>
        <v>[VDS] - Payroll Payday</v>
      </c>
      <c r="H51" s="128" t="str">
        <f>VLOOKUP(source[[#This Row],[lending_product_transform]],[3]Mapping!$B$3:$D$37,3,0)</f>
        <v>payday</v>
      </c>
      <c r="I51" s="135">
        <v>33000000</v>
      </c>
      <c r="K51" s="128" t="s">
        <v>176</v>
      </c>
      <c r="L51" s="135">
        <f t="shared" ref="L51:W56" si="5">GETPIVOTDATA("Total",$K$4,"Year",$L$33,"Month",L$34,"Product_use",$K51)/1000000</f>
        <v>0.1</v>
      </c>
      <c r="M51" s="135">
        <f t="shared" si="5"/>
        <v>9612.7199999999993</v>
      </c>
      <c r="N51" s="135">
        <f t="shared" si="5"/>
        <v>2.65</v>
      </c>
      <c r="O51" s="135">
        <f t="shared" si="5"/>
        <v>0</v>
      </c>
      <c r="P51" s="135">
        <f t="shared" si="5"/>
        <v>23.667000000000002</v>
      </c>
      <c r="Q51" s="135">
        <f t="shared" si="5"/>
        <v>4117.6304499999997</v>
      </c>
      <c r="R51" s="135">
        <f t="shared" si="5"/>
        <v>8932.5597080000007</v>
      </c>
      <c r="S51" s="135">
        <f t="shared" si="5"/>
        <v>12586.88265</v>
      </c>
      <c r="T51" s="135">
        <f t="shared" si="5"/>
        <v>12824.214914</v>
      </c>
      <c r="U51" s="135">
        <f t="shared" si="5"/>
        <v>19664.015586000001</v>
      </c>
      <c r="V51" s="135">
        <f t="shared" si="5"/>
        <v>29656.124454000001</v>
      </c>
      <c r="W51" s="135">
        <f t="shared" si="5"/>
        <v>30796.576098000001</v>
      </c>
      <c r="X51" s="135">
        <f t="shared" si="4"/>
        <v>45434.907523000002</v>
      </c>
      <c r="Y51" s="135">
        <f t="shared" si="4"/>
        <v>42796.229055000003</v>
      </c>
      <c r="Z51" s="135">
        <f t="shared" si="4"/>
        <v>36249.366163999999</v>
      </c>
      <c r="AA51" s="135"/>
      <c r="AB51" s="135">
        <f>Z51-AA52</f>
        <v>36249.366163999999</v>
      </c>
      <c r="AC51" s="135"/>
      <c r="AD51" s="135"/>
      <c r="AF51" s="142" t="s">
        <v>63</v>
      </c>
    </row>
    <row r="52" spans="1:36" x14ac:dyDescent="0.2">
      <c r="A52" s="134">
        <v>45299</v>
      </c>
      <c r="B52" s="135">
        <f>YEAR(source[[#This Row],[report_date]])</f>
        <v>2024</v>
      </c>
      <c r="C52" s="136">
        <v>1</v>
      </c>
      <c r="D52" s="136">
        <f t="shared" si="0"/>
        <v>2</v>
      </c>
      <c r="E52" s="136">
        <f t="shared" si="1"/>
        <v>8</v>
      </c>
      <c r="F52" s="128" t="s">
        <v>19</v>
      </c>
      <c r="G52" s="128" t="str">
        <f>VLOOKUP(source[[#This Row],[lending_product_transform]],[3]Mapping!$B$4:$C$37,2,0)</f>
        <v>[VDS] - Payday</v>
      </c>
      <c r="H52" s="128" t="str">
        <f>VLOOKUP(source[[#This Row],[lending_product_transform]],[3]Mapping!$B$3:$D$37,3,0)</f>
        <v>payday</v>
      </c>
      <c r="I52" s="135">
        <v>1285000000</v>
      </c>
      <c r="K52" s="142" t="s">
        <v>175</v>
      </c>
      <c r="L52" s="135">
        <f t="shared" si="5"/>
        <v>0</v>
      </c>
      <c r="M52" s="135">
        <f t="shared" si="5"/>
        <v>0</v>
      </c>
      <c r="N52" s="135">
        <f t="shared" si="5"/>
        <v>20.329999999999998</v>
      </c>
      <c r="O52" s="135">
        <f t="shared" si="5"/>
        <v>0</v>
      </c>
      <c r="P52" s="135">
        <f t="shared" si="5"/>
        <v>29177</v>
      </c>
      <c r="Q52" s="135">
        <f t="shared" si="5"/>
        <v>47654.46</v>
      </c>
      <c r="R52" s="135">
        <f t="shared" si="5"/>
        <v>87997.15</v>
      </c>
      <c r="S52" s="135">
        <f t="shared" si="5"/>
        <v>83818.31</v>
      </c>
      <c r="T52" s="135">
        <f t="shared" si="5"/>
        <v>83034.23</v>
      </c>
      <c r="U52" s="135">
        <f t="shared" si="5"/>
        <v>126424.86</v>
      </c>
      <c r="V52" s="135">
        <f t="shared" si="5"/>
        <v>98531.4</v>
      </c>
      <c r="W52" s="135">
        <f t="shared" si="5"/>
        <v>117580.89</v>
      </c>
      <c r="X52" s="135">
        <f t="shared" si="4"/>
        <v>109227.73</v>
      </c>
      <c r="Y52" s="135">
        <f t="shared" si="4"/>
        <v>79426.75</v>
      </c>
      <c r="Z52" s="135">
        <f t="shared" si="4"/>
        <v>93530.31</v>
      </c>
      <c r="AA52" s="135"/>
      <c r="AB52" s="135"/>
      <c r="AC52" s="135"/>
      <c r="AD52" s="135"/>
      <c r="AF52" s="142" t="s">
        <v>59</v>
      </c>
    </row>
    <row r="53" spans="1:36" x14ac:dyDescent="0.2">
      <c r="A53" s="134">
        <v>45299</v>
      </c>
      <c r="B53" s="135">
        <f>YEAR(source[[#This Row],[report_date]])</f>
        <v>2024</v>
      </c>
      <c r="C53" s="136">
        <v>1</v>
      </c>
      <c r="D53" s="136">
        <f t="shared" si="0"/>
        <v>2</v>
      </c>
      <c r="E53" s="136">
        <f t="shared" si="1"/>
        <v>8</v>
      </c>
      <c r="F53" s="128" t="s">
        <v>56</v>
      </c>
      <c r="G53" s="128">
        <f>VLOOKUP(source[[#This Row],[lending_product_transform]],[3]Mapping!$B$4:$C$37,2,0)</f>
        <v>0</v>
      </c>
      <c r="H53" s="128">
        <f>VLOOKUP(source[[#This Row],[lending_product_transform]],[3]Mapping!$B$3:$D$37,3,0)</f>
        <v>0</v>
      </c>
      <c r="I53" s="135">
        <v>8024473205</v>
      </c>
      <c r="K53" s="142" t="s">
        <v>28</v>
      </c>
      <c r="L53" s="135">
        <f t="shared" si="5"/>
        <v>0</v>
      </c>
      <c r="M53" s="135">
        <f t="shared" si="5"/>
        <v>0</v>
      </c>
      <c r="N53" s="135">
        <f t="shared" si="5"/>
        <v>0</v>
      </c>
      <c r="O53" s="135">
        <f t="shared" si="5"/>
        <v>0</v>
      </c>
      <c r="P53" s="135">
        <f t="shared" si="5"/>
        <v>0</v>
      </c>
      <c r="Q53" s="135">
        <f t="shared" si="5"/>
        <v>0</v>
      </c>
      <c r="R53" s="135">
        <f t="shared" si="5"/>
        <v>54666.36</v>
      </c>
      <c r="S53" s="135">
        <f t="shared" si="5"/>
        <v>124745.61599999999</v>
      </c>
      <c r="T53" s="135">
        <f t="shared" si="5"/>
        <v>196888.96799999999</v>
      </c>
      <c r="U53" s="135">
        <f t="shared" si="5"/>
        <v>261541.764</v>
      </c>
      <c r="V53" s="135">
        <f t="shared" si="5"/>
        <v>275290.81199999998</v>
      </c>
      <c r="W53" s="135">
        <f t="shared" si="5"/>
        <v>384586.924</v>
      </c>
      <c r="X53" s="135">
        <f t="shared" si="4"/>
        <v>432076.35600000003</v>
      </c>
      <c r="Y53" s="135">
        <f t="shared" si="4"/>
        <v>344144.16</v>
      </c>
      <c r="Z53" s="135">
        <f t="shared" si="4"/>
        <v>422658.864</v>
      </c>
      <c r="AA53" s="135"/>
      <c r="AB53" s="135"/>
      <c r="AC53" s="135"/>
      <c r="AD53" s="135"/>
      <c r="AF53" s="142" t="s">
        <v>209</v>
      </c>
    </row>
    <row r="54" spans="1:36" x14ac:dyDescent="0.2">
      <c r="A54" s="134">
        <v>45299</v>
      </c>
      <c r="B54" s="135">
        <f>YEAR(source[[#This Row],[report_date]])</f>
        <v>2024</v>
      </c>
      <c r="C54" s="136">
        <v>1</v>
      </c>
      <c r="D54" s="136">
        <f t="shared" si="0"/>
        <v>2</v>
      </c>
      <c r="E54" s="136">
        <f t="shared" si="1"/>
        <v>8</v>
      </c>
      <c r="F54" s="128" t="s">
        <v>58</v>
      </c>
      <c r="G54" s="128" t="str">
        <f>VLOOKUP(source[[#This Row],[lending_product_transform]],[3]Mapping!$B$4:$C$37,2,0)</f>
        <v>[VDS] - Payroll Cashloan</v>
      </c>
      <c r="H54" s="128" t="str">
        <f>VLOOKUP(source[[#This Row],[lending_product_transform]],[3]Mapping!$B$3:$D$37,3,0)</f>
        <v>cashloan</v>
      </c>
      <c r="I54" s="135">
        <v>15750000</v>
      </c>
      <c r="K54" s="128" t="s">
        <v>63</v>
      </c>
      <c r="L54" s="135">
        <f t="shared" si="5"/>
        <v>0</v>
      </c>
      <c r="M54" s="135">
        <f t="shared" si="5"/>
        <v>0</v>
      </c>
      <c r="N54" s="135">
        <f t="shared" si="5"/>
        <v>0</v>
      </c>
      <c r="O54" s="135">
        <f t="shared" si="5"/>
        <v>0</v>
      </c>
      <c r="P54" s="135">
        <f t="shared" si="5"/>
        <v>0</v>
      </c>
      <c r="Q54" s="135">
        <f t="shared" si="5"/>
        <v>0</v>
      </c>
      <c r="R54" s="135">
        <f t="shared" si="5"/>
        <v>0</v>
      </c>
      <c r="S54" s="135">
        <f t="shared" si="5"/>
        <v>0</v>
      </c>
      <c r="T54" s="135">
        <f t="shared" si="5"/>
        <v>756</v>
      </c>
      <c r="U54" s="135">
        <f t="shared" si="5"/>
        <v>6445.44</v>
      </c>
      <c r="V54" s="135">
        <f t="shared" si="5"/>
        <v>6447.1679999999997</v>
      </c>
      <c r="W54" s="135">
        <f t="shared" si="5"/>
        <v>9082.26</v>
      </c>
      <c r="X54" s="135">
        <f t="shared" si="4"/>
        <v>10493.388000000001</v>
      </c>
      <c r="Y54" s="135">
        <f t="shared" si="4"/>
        <v>8188.1279999999997</v>
      </c>
      <c r="Z54" s="135">
        <f t="shared" si="4"/>
        <v>9678.0959999999995</v>
      </c>
      <c r="AA54" s="135"/>
      <c r="AB54" s="130"/>
      <c r="AC54" s="130"/>
      <c r="AD54" s="135"/>
      <c r="AF54" s="142" t="s">
        <v>175</v>
      </c>
    </row>
    <row r="55" spans="1:36" x14ac:dyDescent="0.2">
      <c r="A55" s="134">
        <v>45299</v>
      </c>
      <c r="B55" s="135">
        <f>YEAR(source[[#This Row],[report_date]])</f>
        <v>2024</v>
      </c>
      <c r="C55" s="136">
        <v>1</v>
      </c>
      <c r="D55" s="136">
        <f t="shared" si="0"/>
        <v>2</v>
      </c>
      <c r="E55" s="136">
        <f t="shared" si="1"/>
        <v>8</v>
      </c>
      <c r="F55" s="128" t="s">
        <v>11</v>
      </c>
      <c r="G55" s="128" t="str">
        <f>VLOOKUP(source[[#This Row],[lending_product_transform]],[3]Mapping!$B$4:$C$37,2,0)</f>
        <v>[VDS] - Cashloan</v>
      </c>
      <c r="H55" s="128" t="str">
        <f>VLOOKUP(source[[#This Row],[lending_product_transform]],[3]Mapping!$B$3:$D$37,3,0)</f>
        <v>cashloan</v>
      </c>
      <c r="I55" s="135">
        <v>4071250000</v>
      </c>
      <c r="K55" s="142" t="s">
        <v>210</v>
      </c>
      <c r="L55" s="135">
        <f t="shared" si="5"/>
        <v>0</v>
      </c>
      <c r="M55" s="135">
        <f t="shared" si="5"/>
        <v>0</v>
      </c>
      <c r="N55" s="135">
        <f t="shared" si="5"/>
        <v>0</v>
      </c>
      <c r="O55" s="135">
        <f t="shared" si="5"/>
        <v>0</v>
      </c>
      <c r="P55" s="135">
        <f t="shared" si="5"/>
        <v>0</v>
      </c>
      <c r="Q55" s="135">
        <f t="shared" si="5"/>
        <v>0</v>
      </c>
      <c r="R55" s="135">
        <f t="shared" si="5"/>
        <v>0</v>
      </c>
      <c r="S55" s="135">
        <f t="shared" si="5"/>
        <v>0</v>
      </c>
      <c r="T55" s="135">
        <f t="shared" si="5"/>
        <v>0</v>
      </c>
      <c r="U55" s="135">
        <f t="shared" si="5"/>
        <v>0</v>
      </c>
      <c r="V55" s="135">
        <f t="shared" si="5"/>
        <v>0</v>
      </c>
      <c r="W55" s="135">
        <f t="shared" si="5"/>
        <v>10.8</v>
      </c>
      <c r="X55" s="135">
        <f t="shared" si="4"/>
        <v>13141</v>
      </c>
      <c r="Y55" s="135">
        <f t="shared" si="4"/>
        <v>12785.92</v>
      </c>
      <c r="Z55" s="135">
        <f t="shared" si="4"/>
        <v>5717.9520000000002</v>
      </c>
      <c r="AA55" s="135"/>
      <c r="AD55" s="135"/>
    </row>
    <row r="56" spans="1:36" x14ac:dyDescent="0.2">
      <c r="A56" s="134">
        <v>45299</v>
      </c>
      <c r="B56" s="135">
        <f>YEAR(source[[#This Row],[report_date]])</f>
        <v>2024</v>
      </c>
      <c r="C56" s="136">
        <v>1</v>
      </c>
      <c r="D56" s="136">
        <f t="shared" si="0"/>
        <v>2</v>
      </c>
      <c r="E56" s="136">
        <f t="shared" si="1"/>
        <v>8</v>
      </c>
      <c r="F56" s="128" t="s">
        <v>61</v>
      </c>
      <c r="G56" s="128" t="str">
        <f>VLOOKUP(source[[#This Row],[lending_product_transform]],[3]Mapping!$B$4:$C$37,2,0)</f>
        <v>[VDS] - Payroll Payday</v>
      </c>
      <c r="H56" s="128" t="str">
        <f>VLOOKUP(source[[#This Row],[lending_product_transform]],[3]Mapping!$B$3:$D$37,3,0)</f>
        <v>payday</v>
      </c>
      <c r="I56" s="135">
        <v>36000000</v>
      </c>
      <c r="K56" s="142" t="s">
        <v>60</v>
      </c>
      <c r="L56" s="135">
        <f t="shared" si="5"/>
        <v>0</v>
      </c>
      <c r="M56" s="135">
        <f t="shared" si="5"/>
        <v>0</v>
      </c>
      <c r="N56" s="135">
        <f t="shared" si="5"/>
        <v>0</v>
      </c>
      <c r="O56" s="135">
        <f t="shared" si="5"/>
        <v>0</v>
      </c>
      <c r="P56" s="135">
        <f t="shared" si="5"/>
        <v>0</v>
      </c>
      <c r="Q56" s="135">
        <f t="shared" si="5"/>
        <v>0</v>
      </c>
      <c r="R56" s="135">
        <f t="shared" si="5"/>
        <v>0</v>
      </c>
      <c r="S56" s="135">
        <f t="shared" si="5"/>
        <v>0</v>
      </c>
      <c r="T56" s="135">
        <f t="shared" si="5"/>
        <v>0</v>
      </c>
      <c r="U56" s="135">
        <f t="shared" si="5"/>
        <v>0</v>
      </c>
      <c r="V56" s="135">
        <f t="shared" si="5"/>
        <v>0</v>
      </c>
      <c r="W56" s="135">
        <f t="shared" si="5"/>
        <v>640</v>
      </c>
      <c r="X56" s="135">
        <f t="shared" si="4"/>
        <v>936</v>
      </c>
      <c r="Y56" s="135">
        <f t="shared" si="4"/>
        <v>619</v>
      </c>
      <c r="Z56" s="135">
        <f t="shared" si="4"/>
        <v>1342</v>
      </c>
      <c r="AA56" s="135"/>
      <c r="AD56" s="130"/>
    </row>
    <row r="57" spans="1:36" x14ac:dyDescent="0.2">
      <c r="A57" s="134">
        <v>45299</v>
      </c>
      <c r="B57" s="135">
        <f>YEAR(source[[#This Row],[report_date]])</f>
        <v>2024</v>
      </c>
      <c r="C57" s="136">
        <v>1</v>
      </c>
      <c r="D57" s="136">
        <f t="shared" si="0"/>
        <v>2</v>
      </c>
      <c r="E57" s="136">
        <f t="shared" si="1"/>
        <v>8</v>
      </c>
      <c r="F57" s="128" t="s">
        <v>65</v>
      </c>
      <c r="G57" s="128" t="str">
        <f>VLOOKUP(source[[#This Row],[lending_product_transform]],[3]Mapping!$B$4:$C$37,2,0)</f>
        <v>[BE] - Cashloan</v>
      </c>
      <c r="H57" s="128" t="str">
        <f>VLOOKUP(source[[#This Row],[lending_product_transform]],[3]Mapping!$B$3:$D$37,3,0)</f>
        <v>cashloan</v>
      </c>
      <c r="I57" s="135">
        <v>217350000</v>
      </c>
      <c r="K57" s="129" t="s">
        <v>47</v>
      </c>
      <c r="L57" s="130">
        <f t="shared" ref="L57:V57" si="6">SUM(L35:L56)</f>
        <v>631570.36475299986</v>
      </c>
      <c r="M57" s="130">
        <f t="shared" si="6"/>
        <v>532086.84361999994</v>
      </c>
      <c r="N57" s="130">
        <f t="shared" si="6"/>
        <v>716597.66596800007</v>
      </c>
      <c r="O57" s="130">
        <f t="shared" si="6"/>
        <v>830767.1073759998</v>
      </c>
      <c r="P57" s="130">
        <f t="shared" si="6"/>
        <v>877642.74260200001</v>
      </c>
      <c r="Q57" s="130">
        <f t="shared" si="6"/>
        <v>966595.44040100009</v>
      </c>
      <c r="R57" s="130">
        <f t="shared" si="6"/>
        <v>1316244.086718</v>
      </c>
      <c r="S57" s="130">
        <f t="shared" si="6"/>
        <v>1305217.2960040001</v>
      </c>
      <c r="T57" s="130">
        <f t="shared" si="6"/>
        <v>1760068.3340189997</v>
      </c>
      <c r="U57" s="130">
        <f t="shared" si="6"/>
        <v>1971790.2609999997</v>
      </c>
      <c r="V57" s="130">
        <f t="shared" si="6"/>
        <v>2041989.0129750001</v>
      </c>
      <c r="W57" s="130">
        <f>SUM(W35:W56)</f>
        <v>2202242.4867829997</v>
      </c>
      <c r="X57" s="130">
        <f>SUM(X35:X56)</f>
        <v>2269595.4686649996</v>
      </c>
      <c r="Y57" s="130">
        <f>SUM(Y35:Y56)</f>
        <v>1722310.8662509997</v>
      </c>
      <c r="Z57" s="130">
        <f>SUM(Z35:Z56)</f>
        <v>2069586.82437</v>
      </c>
      <c r="AD57" s="135"/>
    </row>
    <row r="58" spans="1:36" x14ac:dyDescent="0.2">
      <c r="A58" s="134">
        <v>45299</v>
      </c>
      <c r="B58" s="135">
        <f>YEAR(source[[#This Row],[report_date]])</f>
        <v>2024</v>
      </c>
      <c r="C58" s="136">
        <v>1</v>
      </c>
      <c r="D58" s="136">
        <f t="shared" si="0"/>
        <v>2</v>
      </c>
      <c r="E58" s="136">
        <f t="shared" si="1"/>
        <v>8</v>
      </c>
      <c r="F58" s="128" t="s">
        <v>67</v>
      </c>
      <c r="G58" s="128" t="str">
        <f>VLOOKUP(source[[#This Row],[lending_product_transform]],[3]Mapping!$B$4:$C$37,2,0)</f>
        <v>[Cake] - Overdraft</v>
      </c>
      <c r="H58" s="128" t="str">
        <f>VLOOKUP(source[[#This Row],[lending_product_transform]],[3]Mapping!$B$3:$D$37,3,0)</f>
        <v>overdraft</v>
      </c>
      <c r="I58" s="135">
        <v>2399123205</v>
      </c>
      <c r="L58" s="128" t="b">
        <f>L57=L29/1000000</f>
        <v>1</v>
      </c>
      <c r="M58" s="128" t="b">
        <f t="shared" ref="M58:W58" si="7">M57=M29/1000000</f>
        <v>1</v>
      </c>
      <c r="N58" s="128" t="b">
        <f t="shared" si="7"/>
        <v>1</v>
      </c>
      <c r="O58" s="128" t="b">
        <f t="shared" si="7"/>
        <v>1</v>
      </c>
      <c r="P58" s="128" t="b">
        <f t="shared" si="7"/>
        <v>1</v>
      </c>
      <c r="Q58" s="128" t="b">
        <f t="shared" si="7"/>
        <v>1</v>
      </c>
      <c r="R58" s="128" t="b">
        <f t="shared" si="7"/>
        <v>1</v>
      </c>
      <c r="S58" s="128" t="b">
        <f t="shared" si="7"/>
        <v>1</v>
      </c>
      <c r="T58" s="128" t="b">
        <f t="shared" si="7"/>
        <v>1</v>
      </c>
      <c r="U58" s="128" t="b">
        <f t="shared" si="7"/>
        <v>1</v>
      </c>
      <c r="V58" s="128" t="b">
        <f t="shared" si="7"/>
        <v>1</v>
      </c>
      <c r="W58" s="128" t="b">
        <f t="shared" si="7"/>
        <v>1</v>
      </c>
      <c r="X58" s="128" t="b">
        <f>X57=Y29/1000000</f>
        <v>1</v>
      </c>
      <c r="Y58" s="128" t="b">
        <f>Y57=Z29/1000000</f>
        <v>1</v>
      </c>
      <c r="Z58" s="128" t="b">
        <f>Z57=AA29/1000000</f>
        <v>1</v>
      </c>
    </row>
    <row r="59" spans="1:36" x14ac:dyDescent="0.2">
      <c r="A59" s="134">
        <v>45300</v>
      </c>
      <c r="B59" s="135">
        <f>YEAR(source[[#This Row],[report_date]])</f>
        <v>2024</v>
      </c>
      <c r="C59" s="136">
        <v>1</v>
      </c>
      <c r="D59" s="136">
        <f t="shared" si="0"/>
        <v>2</v>
      </c>
      <c r="E59" s="136">
        <f t="shared" si="1"/>
        <v>9</v>
      </c>
      <c r="F59" s="128" t="s">
        <v>56</v>
      </c>
      <c r="G59" s="128">
        <f>VLOOKUP(source[[#This Row],[lending_product_transform]],[3]Mapping!$B$4:$C$37,2,0)</f>
        <v>0</v>
      </c>
      <c r="H59" s="128">
        <f>VLOOKUP(source[[#This Row],[lending_product_transform]],[3]Mapping!$B$3:$D$37,3,0)</f>
        <v>0</v>
      </c>
      <c r="I59" s="135">
        <v>7322937922</v>
      </c>
      <c r="K59" s="128" t="s">
        <v>211</v>
      </c>
    </row>
    <row r="60" spans="1:36" x14ac:dyDescent="0.2">
      <c r="A60" s="134">
        <v>45300</v>
      </c>
      <c r="B60" s="135">
        <f>YEAR(source[[#This Row],[report_date]])</f>
        <v>2024</v>
      </c>
      <c r="C60" s="136">
        <v>1</v>
      </c>
      <c r="D60" s="136">
        <f t="shared" si="0"/>
        <v>2</v>
      </c>
      <c r="E60" s="136">
        <f t="shared" si="1"/>
        <v>9</v>
      </c>
      <c r="F60" s="128" t="s">
        <v>61</v>
      </c>
      <c r="G60" s="128" t="str">
        <f>VLOOKUP(source[[#This Row],[lending_product_transform]],[3]Mapping!$B$4:$C$37,2,0)</f>
        <v>[VDS] - Payroll Payday</v>
      </c>
      <c r="H60" s="128" t="str">
        <f>VLOOKUP(source[[#This Row],[lending_product_transform]],[3]Mapping!$B$3:$D$37,3,0)</f>
        <v>payday</v>
      </c>
      <c r="I60" s="135">
        <v>4000000</v>
      </c>
      <c r="K60" s="177" t="s">
        <v>69</v>
      </c>
      <c r="L60" s="181" t="s">
        <v>202</v>
      </c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37"/>
      <c r="AA60" s="137"/>
      <c r="AB60" s="137"/>
      <c r="AC60" s="137"/>
      <c r="AD60" s="137"/>
      <c r="AE60" s="137"/>
      <c r="AF60" s="137"/>
      <c r="AG60" s="137"/>
    </row>
    <row r="61" spans="1:36" x14ac:dyDescent="0.2">
      <c r="A61" s="134">
        <v>45300</v>
      </c>
      <c r="B61" s="135">
        <f>YEAR(source[[#This Row],[report_date]])</f>
        <v>2024</v>
      </c>
      <c r="C61" s="136">
        <v>1</v>
      </c>
      <c r="D61" s="136">
        <f t="shared" si="0"/>
        <v>2</v>
      </c>
      <c r="E61" s="136">
        <f t="shared" si="1"/>
        <v>9</v>
      </c>
      <c r="F61" s="128" t="s">
        <v>11</v>
      </c>
      <c r="G61" s="128" t="str">
        <f>VLOOKUP(source[[#This Row],[lending_product_transform]],[3]Mapping!$B$4:$C$37,2,0)</f>
        <v>[VDS] - Cashloan</v>
      </c>
      <c r="H61" s="128" t="str">
        <f>VLOOKUP(source[[#This Row],[lending_product_transform]],[3]Mapping!$B$3:$D$37,3,0)</f>
        <v>cashloan</v>
      </c>
      <c r="I61" s="135">
        <v>3581800000</v>
      </c>
      <c r="K61" s="177"/>
      <c r="L61" s="184">
        <v>2025</v>
      </c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4" t="s">
        <v>203</v>
      </c>
      <c r="Y61" s="174" t="s">
        <v>68</v>
      </c>
      <c r="Z61" s="137"/>
      <c r="AA61" s="137"/>
      <c r="AB61" s="137"/>
      <c r="AC61" s="137"/>
      <c r="AD61" s="137"/>
      <c r="AE61" s="137"/>
      <c r="AF61" s="137"/>
      <c r="AG61" s="137"/>
    </row>
    <row r="62" spans="1:36" x14ac:dyDescent="0.2">
      <c r="A62" s="134">
        <v>45300</v>
      </c>
      <c r="B62" s="135">
        <f>YEAR(source[[#This Row],[report_date]])</f>
        <v>2024</v>
      </c>
      <c r="C62" s="136">
        <v>1</v>
      </c>
      <c r="D62" s="136">
        <f t="shared" si="0"/>
        <v>2</v>
      </c>
      <c r="E62" s="136">
        <f t="shared" si="1"/>
        <v>9</v>
      </c>
      <c r="F62" s="128" t="s">
        <v>67</v>
      </c>
      <c r="G62" s="128" t="str">
        <f>VLOOKUP(source[[#This Row],[lending_product_transform]],[3]Mapping!$B$4:$C$37,2,0)</f>
        <v>[Cake] - Overdraft</v>
      </c>
      <c r="H62" s="128" t="str">
        <f>VLOOKUP(source[[#This Row],[lending_product_transform]],[3]Mapping!$B$3:$D$37,3,0)</f>
        <v>overdraft</v>
      </c>
      <c r="I62" s="135">
        <v>2129037922</v>
      </c>
      <c r="K62" s="175" t="s">
        <v>205</v>
      </c>
      <c r="L62" s="174">
        <v>1</v>
      </c>
      <c r="M62" s="174">
        <v>2</v>
      </c>
      <c r="N62" s="174">
        <v>3</v>
      </c>
      <c r="O62" s="174">
        <v>4</v>
      </c>
      <c r="P62" s="174">
        <v>5</v>
      </c>
      <c r="Q62" s="174">
        <v>6</v>
      </c>
      <c r="R62" s="174">
        <v>7</v>
      </c>
      <c r="S62" s="174">
        <v>8</v>
      </c>
      <c r="T62" s="174">
        <v>9</v>
      </c>
      <c r="U62" s="174">
        <v>10</v>
      </c>
      <c r="V62" s="174">
        <v>11</v>
      </c>
      <c r="W62" s="174">
        <v>12</v>
      </c>
      <c r="X62" s="181"/>
      <c r="Y62" s="177"/>
      <c r="Z62" s="137"/>
      <c r="AA62" s="137"/>
      <c r="AB62" s="137"/>
      <c r="AC62" s="137"/>
      <c r="AD62" s="137"/>
      <c r="AE62" s="137"/>
      <c r="AF62" s="137"/>
      <c r="AG62" s="137"/>
    </row>
    <row r="63" spans="1:36" x14ac:dyDescent="0.2">
      <c r="A63" s="134">
        <v>45300</v>
      </c>
      <c r="B63" s="135">
        <f>YEAR(source[[#This Row],[report_date]])</f>
        <v>2024</v>
      </c>
      <c r="C63" s="136">
        <v>1</v>
      </c>
      <c r="D63" s="136">
        <f t="shared" si="0"/>
        <v>2</v>
      </c>
      <c r="E63" s="136">
        <f t="shared" si="1"/>
        <v>9</v>
      </c>
      <c r="F63" s="128" t="s">
        <v>19</v>
      </c>
      <c r="G63" s="128" t="str">
        <f>VLOOKUP(source[[#This Row],[lending_product_transform]],[3]Mapping!$B$4:$C$37,2,0)</f>
        <v>[VDS] - Payday</v>
      </c>
      <c r="H63" s="128" t="str">
        <f>VLOOKUP(source[[#This Row],[lending_product_transform]],[3]Mapping!$B$3:$D$37,3,0)</f>
        <v>payday</v>
      </c>
      <c r="I63" s="135">
        <v>1260500000</v>
      </c>
      <c r="K63" s="179" t="s">
        <v>212</v>
      </c>
      <c r="L63" s="178">
        <v>357049950000</v>
      </c>
      <c r="M63" s="178">
        <v>266708210000</v>
      </c>
      <c r="N63" s="178">
        <v>412651920000</v>
      </c>
      <c r="O63" s="178">
        <v>519905010000</v>
      </c>
      <c r="P63" s="178">
        <v>553555290000</v>
      </c>
      <c r="Q63" s="178">
        <v>640594980000</v>
      </c>
      <c r="R63" s="178">
        <v>913801540000</v>
      </c>
      <c r="S63" s="178">
        <v>847454320000</v>
      </c>
      <c r="T63" s="178">
        <v>1159826780000</v>
      </c>
      <c r="U63" s="178">
        <v>1240752810000</v>
      </c>
      <c r="V63" s="178">
        <v>1332395440000</v>
      </c>
      <c r="W63" s="178">
        <v>1364734480000</v>
      </c>
      <c r="X63" s="178">
        <v>9609430730000</v>
      </c>
      <c r="Y63" s="178">
        <v>9609430730000</v>
      </c>
      <c r="Z63" s="137"/>
      <c r="AA63" s="137"/>
      <c r="AB63" s="137"/>
      <c r="AC63" s="137"/>
      <c r="AD63" s="137"/>
      <c r="AE63" s="137"/>
      <c r="AF63" s="137"/>
      <c r="AG63" s="137"/>
      <c r="AH63" s="135"/>
      <c r="AI63" s="135"/>
      <c r="AJ63" s="135"/>
    </row>
    <row r="64" spans="1:36" x14ac:dyDescent="0.2">
      <c r="A64" s="134">
        <v>45300</v>
      </c>
      <c r="B64" s="135">
        <f>YEAR(source[[#This Row],[report_date]])</f>
        <v>2024</v>
      </c>
      <c r="C64" s="136">
        <v>1</v>
      </c>
      <c r="D64" s="136">
        <f t="shared" si="0"/>
        <v>2</v>
      </c>
      <c r="E64" s="136">
        <f t="shared" si="1"/>
        <v>9</v>
      </c>
      <c r="F64" s="128" t="s">
        <v>58</v>
      </c>
      <c r="G64" s="128" t="str">
        <f>VLOOKUP(source[[#This Row],[lending_product_transform]],[3]Mapping!$B$4:$C$37,2,0)</f>
        <v>[VDS] - Payroll Cashloan</v>
      </c>
      <c r="H64" s="128" t="str">
        <f>VLOOKUP(source[[#This Row],[lending_product_transform]],[3]Mapping!$B$3:$D$37,3,0)</f>
        <v>cashloan</v>
      </c>
      <c r="I64" s="135">
        <v>63050000</v>
      </c>
      <c r="K64" s="179" t="s">
        <v>213</v>
      </c>
      <c r="L64" s="178">
        <v>109061423275</v>
      </c>
      <c r="M64" s="178">
        <v>95253172206</v>
      </c>
      <c r="N64" s="178">
        <v>112073329818</v>
      </c>
      <c r="O64" s="178">
        <v>114487336129</v>
      </c>
      <c r="P64" s="178">
        <v>119537601659</v>
      </c>
      <c r="Q64" s="178">
        <v>118759501319</v>
      </c>
      <c r="R64" s="178">
        <v>118080713257</v>
      </c>
      <c r="S64" s="178">
        <v>97304269148</v>
      </c>
      <c r="T64" s="178">
        <v>86259163136</v>
      </c>
      <c r="U64" s="178">
        <v>84239414747</v>
      </c>
      <c r="V64" s="178">
        <v>73074848767</v>
      </c>
      <c r="W64" s="178">
        <v>71004297401</v>
      </c>
      <c r="X64" s="178">
        <v>1199135070862</v>
      </c>
      <c r="Y64" s="178">
        <v>1199135070862</v>
      </c>
      <c r="Z64" s="137"/>
      <c r="AA64" s="137"/>
      <c r="AB64" s="137"/>
      <c r="AC64" s="137"/>
      <c r="AD64" s="137"/>
      <c r="AE64" s="137"/>
      <c r="AF64" s="137"/>
      <c r="AG64" s="137"/>
      <c r="AH64" s="135"/>
      <c r="AI64" s="135"/>
    </row>
    <row r="65" spans="1:97" x14ac:dyDescent="0.2">
      <c r="A65" s="134">
        <v>45300</v>
      </c>
      <c r="B65" s="135">
        <f>YEAR(source[[#This Row],[report_date]])</f>
        <v>2024</v>
      </c>
      <c r="C65" s="136">
        <v>1</v>
      </c>
      <c r="D65" s="136">
        <f t="shared" si="0"/>
        <v>2</v>
      </c>
      <c r="E65" s="136">
        <f t="shared" si="1"/>
        <v>9</v>
      </c>
      <c r="F65" s="128" t="s">
        <v>65</v>
      </c>
      <c r="G65" s="128" t="str">
        <f>VLOOKUP(source[[#This Row],[lending_product_transform]],[3]Mapping!$B$4:$C$37,2,0)</f>
        <v>[BE] - Cashloan</v>
      </c>
      <c r="H65" s="128" t="str">
        <f>VLOOKUP(source[[#This Row],[lending_product_transform]],[3]Mapping!$B$3:$D$37,3,0)</f>
        <v>cashloan</v>
      </c>
      <c r="I65" s="135">
        <v>284550000</v>
      </c>
      <c r="K65" s="179" t="s">
        <v>214</v>
      </c>
      <c r="L65" s="178">
        <v>141375000000</v>
      </c>
      <c r="M65" s="178">
        <v>133485000000</v>
      </c>
      <c r="N65" s="178">
        <v>158845500000</v>
      </c>
      <c r="O65" s="178">
        <v>163797828000</v>
      </c>
      <c r="P65" s="178">
        <v>167858172000</v>
      </c>
      <c r="Q65" s="178">
        <v>164604632000</v>
      </c>
      <c r="R65" s="178">
        <v>236663940000</v>
      </c>
      <c r="S65" s="178">
        <v>314000196000</v>
      </c>
      <c r="T65" s="178">
        <v>468373996000</v>
      </c>
      <c r="U65" s="178">
        <v>591280340000</v>
      </c>
      <c r="V65" s="178">
        <v>571630220000</v>
      </c>
      <c r="W65" s="178">
        <v>699210716000</v>
      </c>
      <c r="X65" s="178">
        <v>3811125540000</v>
      </c>
      <c r="Y65" s="178">
        <v>3811125540000</v>
      </c>
      <c r="Z65" s="137"/>
      <c r="AA65" s="137"/>
      <c r="AB65" s="137"/>
      <c r="AC65" s="137"/>
      <c r="AD65" s="137"/>
      <c r="AE65" s="137"/>
      <c r="AF65" s="137"/>
      <c r="AG65" s="137"/>
      <c r="AH65" s="135"/>
      <c r="AI65" s="135"/>
      <c r="AJ65" s="138"/>
      <c r="AK65" s="138"/>
    </row>
    <row r="66" spans="1:97" x14ac:dyDescent="0.2">
      <c r="A66" s="134">
        <v>45301</v>
      </c>
      <c r="B66" s="135">
        <f>YEAR(source[[#This Row],[report_date]])</f>
        <v>2024</v>
      </c>
      <c r="C66" s="136">
        <v>1</v>
      </c>
      <c r="D66" s="136">
        <f t="shared" si="0"/>
        <v>2</v>
      </c>
      <c r="E66" s="136">
        <f t="shared" si="1"/>
        <v>10</v>
      </c>
      <c r="F66" s="128" t="s">
        <v>65</v>
      </c>
      <c r="G66" s="128" t="str">
        <f>VLOOKUP(source[[#This Row],[lending_product_transform]],[3]Mapping!$B$4:$C$37,2,0)</f>
        <v>[BE] - Cashloan</v>
      </c>
      <c r="H66" s="128" t="str">
        <f>VLOOKUP(source[[#This Row],[lending_product_transform]],[3]Mapping!$B$3:$D$37,3,0)</f>
        <v>cashloan</v>
      </c>
      <c r="I66" s="135">
        <v>339150000</v>
      </c>
      <c r="K66" s="180" t="s">
        <v>68</v>
      </c>
      <c r="L66" s="174">
        <v>607486373275</v>
      </c>
      <c r="M66" s="174">
        <v>495446382206</v>
      </c>
      <c r="N66" s="174">
        <v>683570749818</v>
      </c>
      <c r="O66" s="174">
        <v>798190174129</v>
      </c>
      <c r="P66" s="174">
        <v>840951063659</v>
      </c>
      <c r="Q66" s="174">
        <v>923959113319</v>
      </c>
      <c r="R66" s="174">
        <v>1268546193257</v>
      </c>
      <c r="S66" s="174">
        <v>1258758785148</v>
      </c>
      <c r="T66" s="174">
        <v>1714459939136</v>
      </c>
      <c r="U66" s="174">
        <v>1916272564747</v>
      </c>
      <c r="V66" s="174">
        <v>1977100508767</v>
      </c>
      <c r="W66" s="174">
        <v>2134949493401</v>
      </c>
      <c r="X66" s="174">
        <v>14619691340862</v>
      </c>
      <c r="Y66" s="174">
        <v>14619691340862</v>
      </c>
      <c r="Z66" s="137"/>
      <c r="AA66" s="137"/>
      <c r="AB66" s="137"/>
      <c r="AC66" s="137"/>
      <c r="AD66" s="137"/>
      <c r="AE66" s="137"/>
      <c r="AF66" s="137"/>
      <c r="AG66" s="137"/>
      <c r="AH66" s="135"/>
      <c r="AI66" s="135"/>
    </row>
    <row r="67" spans="1:97" x14ac:dyDescent="0.2">
      <c r="A67" s="134">
        <v>45301</v>
      </c>
      <c r="B67" s="135">
        <f>YEAR(source[[#This Row],[report_date]])</f>
        <v>2024</v>
      </c>
      <c r="C67" s="136">
        <v>1</v>
      </c>
      <c r="D67" s="136">
        <f t="shared" ref="D67:D130" si="8">WEEKNUM(A67,2)</f>
        <v>2</v>
      </c>
      <c r="E67" s="136">
        <f t="shared" ref="E67:E130" si="9">DAY(A67)</f>
        <v>10</v>
      </c>
      <c r="F67" s="128" t="s">
        <v>19</v>
      </c>
      <c r="G67" s="128" t="str">
        <f>VLOOKUP(source[[#This Row],[lending_product_transform]],[3]Mapping!$B$4:$C$37,2,0)</f>
        <v>[VDS] - Payday</v>
      </c>
      <c r="H67" s="128" t="str">
        <f>VLOOKUP(source[[#This Row],[lending_product_transform]],[3]Mapping!$B$3:$D$37,3,0)</f>
        <v>payday</v>
      </c>
      <c r="I67" s="135">
        <v>1513500000</v>
      </c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43">
        <f>W66/1000000</f>
        <v>2134949.4934009998</v>
      </c>
      <c r="X67" s="137"/>
      <c r="Y67" s="143">
        <f t="shared" ref="Y67:AE67" si="10">Y66/1000000</f>
        <v>14619691.340862</v>
      </c>
      <c r="Z67" s="143">
        <f t="shared" si="10"/>
        <v>0</v>
      </c>
      <c r="AA67" s="143">
        <f t="shared" si="10"/>
        <v>0</v>
      </c>
      <c r="AB67" s="143">
        <f t="shared" si="10"/>
        <v>0</v>
      </c>
      <c r="AC67" s="143">
        <f t="shared" si="10"/>
        <v>0</v>
      </c>
      <c r="AD67" s="143">
        <f t="shared" si="10"/>
        <v>0</v>
      </c>
      <c r="AE67" s="143">
        <f t="shared" si="10"/>
        <v>0</v>
      </c>
      <c r="AF67" s="137"/>
      <c r="AG67" s="137"/>
      <c r="AH67" s="135"/>
      <c r="AI67" s="135"/>
    </row>
    <row r="68" spans="1:97" x14ac:dyDescent="0.2">
      <c r="A68" s="134">
        <v>45301</v>
      </c>
      <c r="B68" s="135">
        <f>YEAR(source[[#This Row],[report_date]])</f>
        <v>2024</v>
      </c>
      <c r="C68" s="136">
        <v>1</v>
      </c>
      <c r="D68" s="136">
        <f t="shared" si="8"/>
        <v>2</v>
      </c>
      <c r="E68" s="136">
        <f t="shared" si="9"/>
        <v>10</v>
      </c>
      <c r="F68" s="128" t="s">
        <v>58</v>
      </c>
      <c r="G68" s="128" t="str">
        <f>VLOOKUP(source[[#This Row],[lending_product_transform]],[3]Mapping!$B$4:$C$37,2,0)</f>
        <v>[VDS] - Payroll Cashloan</v>
      </c>
      <c r="H68" s="128" t="str">
        <f>VLOOKUP(source[[#This Row],[lending_product_transform]],[3]Mapping!$B$3:$D$37,3,0)</f>
        <v>cashloan</v>
      </c>
      <c r="I68" s="135">
        <v>0</v>
      </c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5"/>
      <c r="AI68" s="135"/>
      <c r="AK68" s="139"/>
    </row>
    <row r="69" spans="1:97" x14ac:dyDescent="0.2">
      <c r="A69" s="134">
        <v>45301</v>
      </c>
      <c r="B69" s="135">
        <f>YEAR(source[[#This Row],[report_date]])</f>
        <v>2024</v>
      </c>
      <c r="C69" s="136">
        <v>1</v>
      </c>
      <c r="D69" s="136">
        <f t="shared" si="8"/>
        <v>2</v>
      </c>
      <c r="E69" s="136">
        <f t="shared" si="9"/>
        <v>10</v>
      </c>
      <c r="F69" s="128" t="s">
        <v>11</v>
      </c>
      <c r="G69" s="128" t="str">
        <f>VLOOKUP(source[[#This Row],[lending_product_transform]],[3]Mapping!$B$4:$C$37,2,0)</f>
        <v>[VDS] - Cashloan</v>
      </c>
      <c r="H69" s="128" t="str">
        <f>VLOOKUP(source[[#This Row],[lending_product_transform]],[3]Mapping!$B$3:$D$37,3,0)</f>
        <v>cashloan</v>
      </c>
      <c r="I69" s="135">
        <v>3518400000</v>
      </c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5"/>
      <c r="AI69" s="135"/>
    </row>
    <row r="70" spans="1:97" x14ac:dyDescent="0.2">
      <c r="A70" s="134">
        <v>45301</v>
      </c>
      <c r="B70" s="135">
        <f>YEAR(source[[#This Row],[report_date]])</f>
        <v>2024</v>
      </c>
      <c r="C70" s="136">
        <v>1</v>
      </c>
      <c r="D70" s="136">
        <f t="shared" si="8"/>
        <v>2</v>
      </c>
      <c r="E70" s="136">
        <f t="shared" si="9"/>
        <v>10</v>
      </c>
      <c r="F70" s="128" t="s">
        <v>67</v>
      </c>
      <c r="G70" s="128" t="str">
        <f>VLOOKUP(source[[#This Row],[lending_product_transform]],[3]Mapping!$B$4:$C$37,2,0)</f>
        <v>[Cake] - Overdraft</v>
      </c>
      <c r="H70" s="128" t="str">
        <f>VLOOKUP(source[[#This Row],[lending_product_transform]],[3]Mapping!$B$3:$D$37,3,0)</f>
        <v>overdraft</v>
      </c>
      <c r="I70" s="135">
        <v>2300205804</v>
      </c>
      <c r="K70" s="128" t="s">
        <v>215</v>
      </c>
    </row>
    <row r="71" spans="1:97" x14ac:dyDescent="0.2">
      <c r="A71" s="134">
        <v>45301</v>
      </c>
      <c r="B71" s="135">
        <f>YEAR(source[[#This Row],[report_date]])</f>
        <v>2024</v>
      </c>
      <c r="C71" s="136">
        <v>1</v>
      </c>
      <c r="D71" s="136">
        <f t="shared" si="8"/>
        <v>2</v>
      </c>
      <c r="E71" s="136">
        <f t="shared" si="9"/>
        <v>10</v>
      </c>
      <c r="F71" s="128" t="s">
        <v>56</v>
      </c>
      <c r="G71" s="128">
        <f>VLOOKUP(source[[#This Row],[lending_product_transform]],[3]Mapping!$B$4:$C$37,2,0)</f>
        <v>0</v>
      </c>
      <c r="H71" s="128">
        <f>VLOOKUP(source[[#This Row],[lending_product_transform]],[3]Mapping!$B$3:$D$37,3,0)</f>
        <v>0</v>
      </c>
      <c r="I71" s="135">
        <v>7703255804</v>
      </c>
      <c r="K71" s="177" t="s">
        <v>69</v>
      </c>
      <c r="L71" s="181" t="s">
        <v>202</v>
      </c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37"/>
      <c r="AA71" s="137"/>
      <c r="AB71" s="137"/>
      <c r="AC71" s="137"/>
      <c r="AD71" s="137"/>
      <c r="AE71" s="137"/>
      <c r="AF71" s="137"/>
      <c r="AG71" s="137"/>
    </row>
    <row r="72" spans="1:97" x14ac:dyDescent="0.2">
      <c r="A72" s="134">
        <v>45301</v>
      </c>
      <c r="B72" s="135">
        <f>YEAR(source[[#This Row],[report_date]])</f>
        <v>2024</v>
      </c>
      <c r="C72" s="136">
        <v>1</v>
      </c>
      <c r="D72" s="136">
        <f t="shared" si="8"/>
        <v>2</v>
      </c>
      <c r="E72" s="136">
        <f t="shared" si="9"/>
        <v>10</v>
      </c>
      <c r="F72" s="128" t="s">
        <v>61</v>
      </c>
      <c r="G72" s="128" t="str">
        <f>VLOOKUP(source[[#This Row],[lending_product_transform]],[3]Mapping!$B$4:$C$37,2,0)</f>
        <v>[VDS] - Payroll Payday</v>
      </c>
      <c r="H72" s="128" t="str">
        <f>VLOOKUP(source[[#This Row],[lending_product_transform]],[3]Mapping!$B$3:$D$37,3,0)</f>
        <v>payday</v>
      </c>
      <c r="I72" s="135">
        <v>32000000</v>
      </c>
      <c r="K72" s="177"/>
      <c r="L72" s="184">
        <v>2025</v>
      </c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4" t="s">
        <v>203</v>
      </c>
      <c r="Y72" s="174" t="s">
        <v>68</v>
      </c>
      <c r="Z72" s="137"/>
      <c r="AA72" s="137"/>
      <c r="AB72" s="137"/>
      <c r="AC72" s="137"/>
      <c r="AD72" s="137"/>
      <c r="AE72" s="137"/>
      <c r="AF72" s="137"/>
      <c r="AG72" s="137"/>
    </row>
    <row r="73" spans="1:97" x14ac:dyDescent="0.2">
      <c r="A73" s="134">
        <v>45302</v>
      </c>
      <c r="B73" s="135">
        <f>YEAR(source[[#This Row],[report_date]])</f>
        <v>2024</v>
      </c>
      <c r="C73" s="136">
        <v>1</v>
      </c>
      <c r="D73" s="136">
        <f t="shared" si="8"/>
        <v>2</v>
      </c>
      <c r="E73" s="136">
        <f t="shared" si="9"/>
        <v>11</v>
      </c>
      <c r="F73" s="128" t="s">
        <v>56</v>
      </c>
      <c r="G73" s="128">
        <f>VLOOKUP(source[[#This Row],[lending_product_transform]],[3]Mapping!$B$4:$C$37,2,0)</f>
        <v>0</v>
      </c>
      <c r="H73" s="128">
        <f>VLOOKUP(source[[#This Row],[lending_product_transform]],[3]Mapping!$B$3:$D$37,3,0)</f>
        <v>0</v>
      </c>
      <c r="I73" s="135">
        <v>6113037614</v>
      </c>
      <c r="K73" s="175" t="s">
        <v>205</v>
      </c>
      <c r="L73" s="174">
        <v>1</v>
      </c>
      <c r="M73" s="174">
        <v>2</v>
      </c>
      <c r="N73" s="174">
        <v>3</v>
      </c>
      <c r="O73" s="174">
        <v>4</v>
      </c>
      <c r="P73" s="174">
        <v>5</v>
      </c>
      <c r="Q73" s="174">
        <v>6</v>
      </c>
      <c r="R73" s="174">
        <v>7</v>
      </c>
      <c r="S73" s="174">
        <v>8</v>
      </c>
      <c r="T73" s="174">
        <v>9</v>
      </c>
      <c r="U73" s="174">
        <v>10</v>
      </c>
      <c r="V73" s="174">
        <v>11</v>
      </c>
      <c r="W73" s="174">
        <v>12</v>
      </c>
      <c r="X73" s="181"/>
      <c r="Y73" s="177"/>
      <c r="Z73" s="137"/>
      <c r="AA73" s="137"/>
      <c r="AB73" s="137"/>
      <c r="AC73" s="137"/>
      <c r="AD73" s="137"/>
      <c r="AE73" s="137"/>
      <c r="AF73" s="137"/>
      <c r="AG73" s="137"/>
    </row>
    <row r="74" spans="1:97" x14ac:dyDescent="0.2">
      <c r="A74" s="134">
        <v>45302</v>
      </c>
      <c r="B74" s="135">
        <f>YEAR(source[[#This Row],[report_date]])</f>
        <v>2024</v>
      </c>
      <c r="C74" s="136">
        <v>1</v>
      </c>
      <c r="D74" s="136">
        <f t="shared" si="8"/>
        <v>2</v>
      </c>
      <c r="E74" s="136">
        <f t="shared" si="9"/>
        <v>11</v>
      </c>
      <c r="F74" s="128" t="s">
        <v>11</v>
      </c>
      <c r="G74" s="128" t="str">
        <f>VLOOKUP(source[[#This Row],[lending_product_transform]],[3]Mapping!$B$4:$C$37,2,0)</f>
        <v>[VDS] - Cashloan</v>
      </c>
      <c r="H74" s="128" t="str">
        <f>VLOOKUP(source[[#This Row],[lending_product_transform]],[3]Mapping!$B$3:$D$37,3,0)</f>
        <v>cashloan</v>
      </c>
      <c r="I74" s="135">
        <v>2634900000</v>
      </c>
      <c r="K74" s="179" t="s">
        <v>216</v>
      </c>
      <c r="L74" s="178">
        <v>24083991478</v>
      </c>
      <c r="M74" s="178">
        <v>36640461414</v>
      </c>
      <c r="N74" s="178">
        <v>33026916150</v>
      </c>
      <c r="O74" s="178">
        <v>32576933247</v>
      </c>
      <c r="P74" s="178">
        <v>36691678943</v>
      </c>
      <c r="Q74" s="178">
        <v>42636327082</v>
      </c>
      <c r="R74" s="178">
        <v>47697893461</v>
      </c>
      <c r="S74" s="178">
        <v>46458510856</v>
      </c>
      <c r="T74" s="178">
        <v>45608394883</v>
      </c>
      <c r="U74" s="178">
        <v>55517696253</v>
      </c>
      <c r="V74" s="178">
        <v>64888504208</v>
      </c>
      <c r="W74" s="178">
        <v>67292993382</v>
      </c>
      <c r="X74" s="178">
        <v>533120301357</v>
      </c>
      <c r="Y74" s="178">
        <v>533120301357</v>
      </c>
      <c r="Z74" s="137"/>
      <c r="AA74" s="137"/>
      <c r="AB74" s="137"/>
      <c r="AC74" s="137"/>
      <c r="AD74" s="137"/>
      <c r="AE74" s="137"/>
      <c r="AF74" s="137"/>
      <c r="AG74" s="137"/>
      <c r="AH74" s="135"/>
      <c r="AI74" s="135"/>
      <c r="AJ74" s="135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7"/>
      <c r="CG74" s="137"/>
      <c r="CH74" s="137"/>
      <c r="CI74" s="137"/>
      <c r="CJ74" s="137"/>
      <c r="CK74" s="137"/>
      <c r="CL74" s="137"/>
      <c r="CM74" s="137"/>
      <c r="CN74" s="137"/>
      <c r="CO74" s="137"/>
      <c r="CP74" s="137"/>
      <c r="CQ74" s="137"/>
      <c r="CR74" s="137"/>
      <c r="CS74" s="137"/>
    </row>
    <row r="75" spans="1:97" x14ac:dyDescent="0.2">
      <c r="A75" s="134">
        <v>45302</v>
      </c>
      <c r="B75" s="135">
        <f>YEAR(source[[#This Row],[report_date]])</f>
        <v>2024</v>
      </c>
      <c r="C75" s="136">
        <v>1</v>
      </c>
      <c r="D75" s="136">
        <f t="shared" si="8"/>
        <v>2</v>
      </c>
      <c r="E75" s="136">
        <f t="shared" si="9"/>
        <v>11</v>
      </c>
      <c r="F75" s="128" t="s">
        <v>67</v>
      </c>
      <c r="G75" s="128" t="str">
        <f>VLOOKUP(source[[#This Row],[lending_product_transform]],[3]Mapping!$B$4:$C$37,2,0)</f>
        <v>[Cake] - Overdraft</v>
      </c>
      <c r="H75" s="128" t="str">
        <f>VLOOKUP(source[[#This Row],[lending_product_transform]],[3]Mapping!$B$3:$D$37,3,0)</f>
        <v>overdraft</v>
      </c>
      <c r="I75" s="135">
        <v>1751887614</v>
      </c>
      <c r="K75" s="180" t="s">
        <v>68</v>
      </c>
      <c r="L75" s="174">
        <v>24083991478</v>
      </c>
      <c r="M75" s="174">
        <v>36640461414</v>
      </c>
      <c r="N75" s="174">
        <v>33026916150</v>
      </c>
      <c r="O75" s="174">
        <v>32576933247</v>
      </c>
      <c r="P75" s="174">
        <v>36691678943</v>
      </c>
      <c r="Q75" s="174">
        <v>42636327082</v>
      </c>
      <c r="R75" s="174">
        <v>47697893461</v>
      </c>
      <c r="S75" s="174">
        <v>46458510856</v>
      </c>
      <c r="T75" s="174">
        <v>45608394883</v>
      </c>
      <c r="U75" s="174">
        <v>55517696253</v>
      </c>
      <c r="V75" s="174">
        <v>64888504208</v>
      </c>
      <c r="W75" s="174">
        <v>67292993382</v>
      </c>
      <c r="X75" s="174">
        <v>533120301357</v>
      </c>
      <c r="Y75" s="174">
        <v>533120301357</v>
      </c>
      <c r="Z75" s="137"/>
      <c r="AA75" s="137"/>
      <c r="AB75" s="137"/>
      <c r="AC75" s="137"/>
      <c r="AD75" s="137"/>
      <c r="AE75" s="137"/>
      <c r="AF75" s="137"/>
      <c r="AG75" s="137"/>
      <c r="AH75" s="135"/>
      <c r="AI75" s="135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  <c r="CC75" s="137"/>
      <c r="CD75" s="137"/>
      <c r="CE75" s="137"/>
      <c r="CF75" s="137"/>
      <c r="CG75" s="137"/>
      <c r="CH75" s="137"/>
      <c r="CI75" s="137"/>
      <c r="CJ75" s="137"/>
      <c r="CK75" s="137"/>
      <c r="CL75" s="137"/>
      <c r="CM75" s="137"/>
      <c r="CN75" s="137"/>
      <c r="CO75" s="137"/>
      <c r="CP75" s="137"/>
      <c r="CQ75" s="137"/>
      <c r="CR75" s="137"/>
      <c r="CS75" s="137"/>
    </row>
    <row r="76" spans="1:97" x14ac:dyDescent="0.2">
      <c r="A76" s="134">
        <v>45302</v>
      </c>
      <c r="B76" s="135">
        <f>YEAR(source[[#This Row],[report_date]])</f>
        <v>2024</v>
      </c>
      <c r="C76" s="136">
        <v>1</v>
      </c>
      <c r="D76" s="136">
        <f t="shared" si="8"/>
        <v>2</v>
      </c>
      <c r="E76" s="136">
        <f t="shared" si="9"/>
        <v>11</v>
      </c>
      <c r="F76" s="128" t="s">
        <v>19</v>
      </c>
      <c r="G76" s="128" t="str">
        <f>VLOOKUP(source[[#This Row],[lending_product_transform]],[3]Mapping!$B$4:$C$37,2,0)</f>
        <v>[VDS] - Payday</v>
      </c>
      <c r="H76" s="128" t="str">
        <f>VLOOKUP(source[[#This Row],[lending_product_transform]],[3]Mapping!$B$3:$D$37,3,0)</f>
        <v>payday</v>
      </c>
      <c r="I76" s="135">
        <v>1433000000</v>
      </c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44">
        <f>AC75/1000000</f>
        <v>0</v>
      </c>
      <c r="AD76" s="137"/>
      <c r="AE76" s="137"/>
      <c r="AF76" s="137"/>
      <c r="AG76" s="137"/>
      <c r="AH76" s="135"/>
      <c r="AI76" s="135"/>
      <c r="AJ76" s="138"/>
      <c r="AK76" s="138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  <c r="CC76" s="137"/>
      <c r="CD76" s="137"/>
      <c r="CE76" s="137"/>
      <c r="CF76" s="137"/>
      <c r="CG76" s="137"/>
      <c r="CH76" s="137"/>
      <c r="CI76" s="137"/>
      <c r="CJ76" s="137"/>
      <c r="CK76" s="137"/>
      <c r="CL76" s="137"/>
      <c r="CM76" s="137"/>
      <c r="CN76" s="137"/>
      <c r="CO76" s="137"/>
      <c r="CP76" s="137"/>
      <c r="CQ76" s="137"/>
      <c r="CR76" s="137"/>
      <c r="CS76" s="137"/>
    </row>
    <row r="77" spans="1:97" x14ac:dyDescent="0.2">
      <c r="A77" s="134">
        <v>45302</v>
      </c>
      <c r="B77" s="135">
        <f>YEAR(source[[#This Row],[report_date]])</f>
        <v>2024</v>
      </c>
      <c r="C77" s="136">
        <v>1</v>
      </c>
      <c r="D77" s="136">
        <f t="shared" si="8"/>
        <v>2</v>
      </c>
      <c r="E77" s="136">
        <f t="shared" si="9"/>
        <v>11</v>
      </c>
      <c r="F77" s="128" t="s">
        <v>65</v>
      </c>
      <c r="G77" s="128" t="str">
        <f>VLOOKUP(source[[#This Row],[lending_product_transform]],[3]Mapping!$B$4:$C$37,2,0)</f>
        <v>[BE] - Cashloan</v>
      </c>
      <c r="H77" s="128" t="str">
        <f>VLOOKUP(source[[#This Row],[lending_product_transform]],[3]Mapping!$B$3:$D$37,3,0)</f>
        <v>cashloan</v>
      </c>
      <c r="I77" s="135">
        <v>257250000</v>
      </c>
      <c r="AC77" s="128" t="b">
        <f>AC76+AE67=AD56</f>
        <v>1</v>
      </c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  <c r="CC77" s="137"/>
      <c r="CD77" s="137"/>
      <c r="CE77" s="137"/>
      <c r="CF77" s="137"/>
      <c r="CG77" s="137"/>
      <c r="CH77" s="137"/>
      <c r="CI77" s="137"/>
      <c r="CJ77" s="137"/>
      <c r="CK77" s="137"/>
      <c r="CL77" s="137"/>
      <c r="CM77" s="137"/>
      <c r="CN77" s="137"/>
      <c r="CO77" s="137"/>
      <c r="CP77" s="137"/>
      <c r="CQ77" s="137"/>
      <c r="CR77" s="137"/>
      <c r="CS77" s="137"/>
    </row>
    <row r="78" spans="1:97" x14ac:dyDescent="0.2">
      <c r="A78" s="134">
        <v>45302</v>
      </c>
      <c r="B78" s="135">
        <f>YEAR(source[[#This Row],[report_date]])</f>
        <v>2024</v>
      </c>
      <c r="C78" s="136">
        <v>1</v>
      </c>
      <c r="D78" s="136">
        <f t="shared" si="8"/>
        <v>2</v>
      </c>
      <c r="E78" s="136">
        <f t="shared" si="9"/>
        <v>11</v>
      </c>
      <c r="F78" s="128" t="s">
        <v>58</v>
      </c>
      <c r="G78" s="128" t="str">
        <f>VLOOKUP(source[[#This Row],[lending_product_transform]],[3]Mapping!$B$4:$C$37,2,0)</f>
        <v>[VDS] - Payroll Cashloan</v>
      </c>
      <c r="H78" s="128" t="str">
        <f>VLOOKUP(source[[#This Row],[lending_product_transform]],[3]Mapping!$B$3:$D$37,3,0)</f>
        <v>cashloan</v>
      </c>
      <c r="I78" s="135">
        <v>21000000</v>
      </c>
      <c r="AC78" s="136">
        <f>AC76-'[3]2. Weekly Forecast - Paylater'!M42</f>
        <v>-55517.696253000002</v>
      </c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  <c r="CC78" s="137"/>
      <c r="CD78" s="137"/>
      <c r="CE78" s="137"/>
      <c r="CF78" s="137"/>
      <c r="CG78" s="137"/>
      <c r="CH78" s="137"/>
      <c r="CI78" s="137"/>
      <c r="CJ78" s="137"/>
      <c r="CK78" s="137"/>
      <c r="CL78" s="137"/>
      <c r="CM78" s="137"/>
      <c r="CN78" s="137"/>
      <c r="CO78" s="137"/>
      <c r="CP78" s="137"/>
      <c r="CQ78" s="137"/>
      <c r="CR78" s="137"/>
      <c r="CS78" s="137"/>
    </row>
    <row r="79" spans="1:97" x14ac:dyDescent="0.2">
      <c r="A79" s="134">
        <v>45302</v>
      </c>
      <c r="B79" s="135">
        <f>YEAR(source[[#This Row],[report_date]])</f>
        <v>2024</v>
      </c>
      <c r="C79" s="136">
        <v>1</v>
      </c>
      <c r="D79" s="136">
        <f t="shared" si="8"/>
        <v>2</v>
      </c>
      <c r="E79" s="136">
        <f t="shared" si="9"/>
        <v>11</v>
      </c>
      <c r="F79" s="128" t="s">
        <v>61</v>
      </c>
      <c r="G79" s="128" t="str">
        <f>VLOOKUP(source[[#This Row],[lending_product_transform]],[3]Mapping!$B$4:$C$37,2,0)</f>
        <v>[VDS] - Payroll Payday</v>
      </c>
      <c r="H79" s="128" t="str">
        <f>VLOOKUP(source[[#This Row],[lending_product_transform]],[3]Mapping!$B$3:$D$37,3,0)</f>
        <v>payday</v>
      </c>
      <c r="I79" s="135">
        <v>15000000</v>
      </c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  <c r="CC79" s="137"/>
      <c r="CD79" s="137"/>
      <c r="CE79" s="137"/>
      <c r="CF79" s="137"/>
      <c r="CG79" s="137"/>
      <c r="CH79" s="137"/>
      <c r="CI79" s="137"/>
      <c r="CJ79" s="137"/>
      <c r="CK79" s="137"/>
      <c r="CL79" s="137"/>
      <c r="CM79" s="137"/>
      <c r="CN79" s="137"/>
      <c r="CO79" s="137"/>
      <c r="CP79" s="137"/>
      <c r="CQ79" s="137"/>
      <c r="CR79" s="137"/>
      <c r="CS79" s="137"/>
    </row>
    <row r="80" spans="1:97" x14ac:dyDescent="0.2">
      <c r="A80" s="134">
        <v>45303</v>
      </c>
      <c r="B80" s="135">
        <f>YEAR(source[[#This Row],[report_date]])</f>
        <v>2024</v>
      </c>
      <c r="C80" s="136">
        <v>1</v>
      </c>
      <c r="D80" s="136">
        <f t="shared" si="8"/>
        <v>2</v>
      </c>
      <c r="E80" s="136">
        <f t="shared" si="9"/>
        <v>12</v>
      </c>
      <c r="F80" s="128" t="s">
        <v>65</v>
      </c>
      <c r="G80" s="128" t="str">
        <f>VLOOKUP(source[[#This Row],[lending_product_transform]],[3]Mapping!$B$4:$C$37,2,0)</f>
        <v>[BE] - Cashloan</v>
      </c>
      <c r="H80" s="128" t="str">
        <f>VLOOKUP(source[[#This Row],[lending_product_transform]],[3]Mapping!$B$3:$D$37,3,0)</f>
        <v>cashloan</v>
      </c>
      <c r="I80" s="135">
        <v>264600000</v>
      </c>
      <c r="K80" s="131" t="s">
        <v>217</v>
      </c>
      <c r="O80" s="136"/>
      <c r="S80" s="136"/>
      <c r="W80" s="136"/>
      <c r="AA80" s="136"/>
      <c r="AE80" s="136"/>
      <c r="AF80" s="138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  <c r="CC80" s="137"/>
      <c r="CD80" s="137"/>
      <c r="CE80" s="137"/>
      <c r="CF80" s="137"/>
      <c r="CG80" s="137"/>
      <c r="CH80" s="137"/>
      <c r="CI80" s="137"/>
      <c r="CJ80" s="137"/>
      <c r="CK80" s="137"/>
      <c r="CL80" s="137"/>
      <c r="CM80" s="137"/>
      <c r="CN80" s="137"/>
      <c r="CO80" s="137"/>
      <c r="CP80" s="137"/>
      <c r="CQ80" s="137"/>
      <c r="CR80" s="137"/>
      <c r="CS80" s="137"/>
    </row>
    <row r="81" spans="1:97" x14ac:dyDescent="0.2">
      <c r="A81" s="134">
        <v>45303</v>
      </c>
      <c r="B81" s="135">
        <f>YEAR(source[[#This Row],[report_date]])</f>
        <v>2024</v>
      </c>
      <c r="C81" s="136">
        <v>1</v>
      </c>
      <c r="D81" s="136">
        <f t="shared" si="8"/>
        <v>2</v>
      </c>
      <c r="E81" s="136">
        <f t="shared" si="9"/>
        <v>12</v>
      </c>
      <c r="F81" s="128" t="s">
        <v>56</v>
      </c>
      <c r="G81" s="128">
        <f>VLOOKUP(source[[#This Row],[lending_product_transform]],[3]Mapping!$B$4:$C$37,2,0)</f>
        <v>0</v>
      </c>
      <c r="H81" s="128">
        <f>VLOOKUP(source[[#This Row],[lending_product_transform]],[3]Mapping!$B$3:$D$37,3,0)</f>
        <v>0</v>
      </c>
      <c r="I81" s="135">
        <v>7160082244</v>
      </c>
      <c r="O81" s="138"/>
      <c r="S81" s="138"/>
      <c r="W81" s="138"/>
      <c r="AA81" s="138"/>
      <c r="AD81" s="145"/>
      <c r="AE81" s="145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  <c r="CC81" s="137"/>
      <c r="CD81" s="137"/>
      <c r="CE81" s="137"/>
      <c r="CF81" s="137"/>
      <c r="CG81" s="137"/>
      <c r="CH81" s="137"/>
      <c r="CI81" s="137"/>
      <c r="CJ81" s="137"/>
      <c r="CK81" s="137"/>
      <c r="CL81" s="137"/>
      <c r="CM81" s="137"/>
      <c r="CN81" s="137"/>
      <c r="CO81" s="137"/>
      <c r="CP81" s="137"/>
      <c r="CQ81" s="137"/>
      <c r="CR81" s="137"/>
      <c r="CS81" s="137"/>
    </row>
    <row r="82" spans="1:97" x14ac:dyDescent="0.2">
      <c r="A82" s="134">
        <v>45303</v>
      </c>
      <c r="B82" s="135">
        <f>YEAR(source[[#This Row],[report_date]])</f>
        <v>2024</v>
      </c>
      <c r="C82" s="136">
        <v>1</v>
      </c>
      <c r="D82" s="136">
        <f t="shared" si="8"/>
        <v>2</v>
      </c>
      <c r="E82" s="136">
        <f t="shared" si="9"/>
        <v>12</v>
      </c>
      <c r="F82" s="128" t="s">
        <v>61</v>
      </c>
      <c r="G82" s="128" t="str">
        <f>VLOOKUP(source[[#This Row],[lending_product_transform]],[3]Mapping!$B$4:$C$37,2,0)</f>
        <v>[VDS] - Payroll Payday</v>
      </c>
      <c r="H82" s="128" t="str">
        <f>VLOOKUP(source[[#This Row],[lending_product_transform]],[3]Mapping!$B$3:$D$37,3,0)</f>
        <v>payday</v>
      </c>
      <c r="I82" s="135">
        <v>38000000</v>
      </c>
      <c r="K82" s="177" t="s">
        <v>69</v>
      </c>
      <c r="L82" s="181" t="s">
        <v>202</v>
      </c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177"/>
      <c r="BB82" s="177"/>
      <c r="BC82" s="177"/>
      <c r="BD82" s="177"/>
      <c r="BE82" s="177"/>
      <c r="BF82" s="177"/>
      <c r="BG82" s="177"/>
      <c r="BH82" s="177"/>
      <c r="BI82" s="177"/>
      <c r="BJ82" s="177"/>
      <c r="BK82" s="177"/>
      <c r="BL82" s="177"/>
      <c r="BM82" s="177"/>
      <c r="BN82" s="177"/>
      <c r="BO82" s="177"/>
      <c r="BP82" s="177"/>
      <c r="BQ82" s="177"/>
      <c r="BR82" s="177"/>
      <c r="BS82" s="177"/>
      <c r="BT82" s="177"/>
      <c r="BU82" s="177"/>
      <c r="BV82" s="177"/>
      <c r="BW82" s="177"/>
      <c r="BX82" s="177"/>
      <c r="BY82" s="177"/>
      <c r="BZ82" s="177"/>
      <c r="CA82" s="177"/>
      <c r="CB82" s="177"/>
      <c r="CC82" s="177"/>
      <c r="CD82" s="177"/>
      <c r="CE82" s="177"/>
      <c r="CF82" s="137"/>
      <c r="CG82" s="137"/>
      <c r="CH82" s="137"/>
      <c r="CI82" s="137"/>
      <c r="CJ82" s="137"/>
      <c r="CK82" s="137"/>
      <c r="CL82" s="137"/>
      <c r="CM82" s="137"/>
      <c r="CN82" s="137"/>
      <c r="CO82" s="137"/>
      <c r="CP82" s="137"/>
      <c r="CQ82" s="137"/>
      <c r="CR82" s="137"/>
      <c r="CS82" s="137"/>
    </row>
    <row r="83" spans="1:97" x14ac:dyDescent="0.2">
      <c r="A83" s="134">
        <v>45303</v>
      </c>
      <c r="B83" s="135">
        <f>YEAR(source[[#This Row],[report_date]])</f>
        <v>2024</v>
      </c>
      <c r="C83" s="136">
        <v>1</v>
      </c>
      <c r="D83" s="136">
        <f t="shared" si="8"/>
        <v>2</v>
      </c>
      <c r="E83" s="136">
        <f t="shared" si="9"/>
        <v>12</v>
      </c>
      <c r="F83" s="128" t="s">
        <v>67</v>
      </c>
      <c r="G83" s="128" t="str">
        <f>VLOOKUP(source[[#This Row],[lending_product_transform]],[3]Mapping!$B$4:$C$37,2,0)</f>
        <v>[Cake] - Overdraft</v>
      </c>
      <c r="H83" s="128" t="str">
        <f>VLOOKUP(source[[#This Row],[lending_product_transform]],[3]Mapping!$B$3:$D$37,3,0)</f>
        <v>overdraft</v>
      </c>
      <c r="I83" s="135">
        <v>2059682244</v>
      </c>
      <c r="K83" s="177"/>
      <c r="L83" s="178">
        <v>2025</v>
      </c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178" t="s">
        <v>203</v>
      </c>
      <c r="BN83" s="178">
        <v>2026</v>
      </c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178" t="s">
        <v>204</v>
      </c>
      <c r="CE83" s="174" t="s">
        <v>68</v>
      </c>
      <c r="CF83" s="137"/>
      <c r="CG83" s="137"/>
      <c r="CH83" s="137"/>
      <c r="CI83" s="137"/>
      <c r="CJ83" s="137"/>
      <c r="CK83" s="137"/>
      <c r="CL83" s="137"/>
      <c r="CM83" s="137"/>
      <c r="CN83" s="137"/>
      <c r="CO83" s="137"/>
      <c r="CP83" s="137"/>
      <c r="CQ83" s="137"/>
      <c r="CR83" s="137"/>
      <c r="CS83" s="137"/>
    </row>
    <row r="84" spans="1:97" x14ac:dyDescent="0.2">
      <c r="A84" s="134">
        <v>45303</v>
      </c>
      <c r="B84" s="135">
        <f>YEAR(source[[#This Row],[report_date]])</f>
        <v>2024</v>
      </c>
      <c r="C84" s="136">
        <v>1</v>
      </c>
      <c r="D84" s="136">
        <f t="shared" si="8"/>
        <v>2</v>
      </c>
      <c r="E84" s="136">
        <f t="shared" si="9"/>
        <v>12</v>
      </c>
      <c r="F84" s="128" t="s">
        <v>19</v>
      </c>
      <c r="G84" s="128" t="str">
        <f>VLOOKUP(source[[#This Row],[lending_product_transform]],[3]Mapping!$B$4:$C$37,2,0)</f>
        <v>[VDS] - Payday</v>
      </c>
      <c r="H84" s="128" t="str">
        <f>VLOOKUP(source[[#This Row],[lending_product_transform]],[3]Mapping!$B$3:$D$37,3,0)</f>
        <v>payday</v>
      </c>
      <c r="I84" s="135">
        <v>1726500000</v>
      </c>
      <c r="K84" s="177" t="s">
        <v>205</v>
      </c>
      <c r="L84" s="174">
        <v>1</v>
      </c>
      <c r="M84" s="174">
        <v>2</v>
      </c>
      <c r="N84" s="174">
        <v>3</v>
      </c>
      <c r="O84" s="174">
        <v>4</v>
      </c>
      <c r="P84" s="174">
        <v>5</v>
      </c>
      <c r="Q84" s="174">
        <v>6</v>
      </c>
      <c r="R84" s="174">
        <v>7</v>
      </c>
      <c r="S84" s="174">
        <v>8</v>
      </c>
      <c r="T84" s="174">
        <v>9</v>
      </c>
      <c r="U84" s="174">
        <v>10</v>
      </c>
      <c r="V84" s="174">
        <v>11</v>
      </c>
      <c r="W84" s="174">
        <v>12</v>
      </c>
      <c r="X84" s="174">
        <v>13</v>
      </c>
      <c r="Y84" s="174">
        <v>14</v>
      </c>
      <c r="Z84" s="174">
        <v>15</v>
      </c>
      <c r="AA84" s="174">
        <v>16</v>
      </c>
      <c r="AB84" s="174">
        <v>17</v>
      </c>
      <c r="AC84" s="174">
        <v>18</v>
      </c>
      <c r="AD84" s="174">
        <v>19</v>
      </c>
      <c r="AE84" s="174">
        <v>20</v>
      </c>
      <c r="AF84" s="174">
        <v>21</v>
      </c>
      <c r="AG84" s="174">
        <v>22</v>
      </c>
      <c r="AH84" s="174">
        <v>23</v>
      </c>
      <c r="AI84" s="174">
        <v>24</v>
      </c>
      <c r="AJ84" s="174">
        <v>25</v>
      </c>
      <c r="AK84" s="174">
        <v>26</v>
      </c>
      <c r="AL84" s="174">
        <v>27</v>
      </c>
      <c r="AM84" s="174">
        <v>28</v>
      </c>
      <c r="AN84" s="174">
        <v>29</v>
      </c>
      <c r="AO84" s="174">
        <v>30</v>
      </c>
      <c r="AP84" s="174">
        <v>31</v>
      </c>
      <c r="AQ84" s="174">
        <v>32</v>
      </c>
      <c r="AR84" s="174">
        <v>33</v>
      </c>
      <c r="AS84" s="174">
        <v>34</v>
      </c>
      <c r="AT84" s="174">
        <v>35</v>
      </c>
      <c r="AU84" s="174">
        <v>36</v>
      </c>
      <c r="AV84" s="174">
        <v>37</v>
      </c>
      <c r="AW84" s="174">
        <v>38</v>
      </c>
      <c r="AX84" s="174">
        <v>39</v>
      </c>
      <c r="AY84" s="174">
        <v>40</v>
      </c>
      <c r="AZ84" s="174">
        <v>41</v>
      </c>
      <c r="BA84" s="174">
        <v>42</v>
      </c>
      <c r="BB84" s="174">
        <v>43</v>
      </c>
      <c r="BC84" s="174">
        <v>44</v>
      </c>
      <c r="BD84" s="174">
        <v>45</v>
      </c>
      <c r="BE84" s="174">
        <v>46</v>
      </c>
      <c r="BF84" s="174">
        <v>47</v>
      </c>
      <c r="BG84" s="174">
        <v>48</v>
      </c>
      <c r="BH84" s="174">
        <v>49</v>
      </c>
      <c r="BI84" s="174">
        <v>50</v>
      </c>
      <c r="BJ84" s="174">
        <v>51</v>
      </c>
      <c r="BK84" s="174">
        <v>52</v>
      </c>
      <c r="BL84" s="174">
        <v>53</v>
      </c>
      <c r="BM84" s="61"/>
      <c r="BN84" s="174">
        <v>1</v>
      </c>
      <c r="BO84" s="174">
        <v>2</v>
      </c>
      <c r="BP84" s="174">
        <v>3</v>
      </c>
      <c r="BQ84" s="174">
        <v>4</v>
      </c>
      <c r="BR84" s="174">
        <v>5</v>
      </c>
      <c r="BS84" s="174">
        <v>6</v>
      </c>
      <c r="BT84" s="174">
        <v>7</v>
      </c>
      <c r="BU84" s="174">
        <v>8</v>
      </c>
      <c r="BV84" s="174">
        <v>9</v>
      </c>
      <c r="BW84" s="174">
        <v>10</v>
      </c>
      <c r="BX84" s="174">
        <v>11</v>
      </c>
      <c r="BY84" s="174">
        <v>12</v>
      </c>
      <c r="BZ84" s="174">
        <v>13</v>
      </c>
      <c r="CA84" s="174">
        <v>14</v>
      </c>
      <c r="CB84" s="174">
        <v>15</v>
      </c>
      <c r="CC84" s="174">
        <v>16</v>
      </c>
      <c r="CD84" s="61"/>
      <c r="CE84" s="177"/>
      <c r="CF84" s="137"/>
      <c r="CG84" s="137"/>
      <c r="CH84" s="137"/>
      <c r="CI84" s="137"/>
      <c r="CJ84" s="137"/>
      <c r="CK84" s="137"/>
      <c r="CL84" s="137"/>
      <c r="CM84" s="137"/>
      <c r="CN84" s="137"/>
      <c r="CO84" s="137"/>
      <c r="CP84" s="137"/>
      <c r="CQ84" s="137"/>
      <c r="CR84" s="137"/>
      <c r="CS84" s="137"/>
    </row>
    <row r="85" spans="1:97" x14ac:dyDescent="0.2">
      <c r="A85" s="134">
        <v>45303</v>
      </c>
      <c r="B85" s="135">
        <f>YEAR(source[[#This Row],[report_date]])</f>
        <v>2024</v>
      </c>
      <c r="C85" s="136">
        <v>1</v>
      </c>
      <c r="D85" s="136">
        <f t="shared" si="8"/>
        <v>2</v>
      </c>
      <c r="E85" s="136">
        <f t="shared" si="9"/>
        <v>12</v>
      </c>
      <c r="F85" s="128" t="s">
        <v>58</v>
      </c>
      <c r="G85" s="128" t="str">
        <f>VLOOKUP(source[[#This Row],[lending_product_transform]],[3]Mapping!$B$4:$C$37,2,0)</f>
        <v>[VDS] - Payroll Cashloan</v>
      </c>
      <c r="H85" s="128" t="str">
        <f>VLOOKUP(source[[#This Row],[lending_product_transform]],[3]Mapping!$B$3:$D$37,3,0)</f>
        <v>cashloan</v>
      </c>
      <c r="I85" s="135">
        <v>52500000</v>
      </c>
      <c r="K85" s="179" t="s">
        <v>65</v>
      </c>
      <c r="L85" s="178">
        <v>39900000</v>
      </c>
      <c r="M85" s="178">
        <v>234250000</v>
      </c>
      <c r="N85" s="178">
        <v>18000000</v>
      </c>
      <c r="O85" s="178">
        <v>13000000</v>
      </c>
      <c r="P85" s="178">
        <v>0</v>
      </c>
      <c r="Q85" s="178">
        <v>0</v>
      </c>
      <c r="R85" s="178">
        <v>73900000</v>
      </c>
      <c r="S85" s="178">
        <v>32600000</v>
      </c>
      <c r="T85" s="178">
        <v>21000000</v>
      </c>
      <c r="U85" s="178">
        <v>18900000</v>
      </c>
      <c r="V85" s="178">
        <v>36750000</v>
      </c>
      <c r="W85" s="178">
        <v>10500000</v>
      </c>
      <c r="X85" s="178">
        <v>33000000</v>
      </c>
      <c r="Y85" s="178">
        <v>10000000</v>
      </c>
      <c r="Z85" s="178">
        <v>0</v>
      </c>
      <c r="AA85" s="178">
        <v>21000000</v>
      </c>
      <c r="AB85" s="178">
        <v>0</v>
      </c>
      <c r="AC85" s="178">
        <v>0</v>
      </c>
      <c r="AD85" s="178">
        <v>0</v>
      </c>
      <c r="AE85" s="178">
        <v>0</v>
      </c>
      <c r="AF85" s="178">
        <v>0</v>
      </c>
      <c r="AG85" s="178">
        <v>0</v>
      </c>
      <c r="AH85" s="178">
        <v>14000000</v>
      </c>
      <c r="AI85" s="178">
        <v>21000000</v>
      </c>
      <c r="AJ85" s="178">
        <v>0</v>
      </c>
      <c r="AK85" s="178">
        <v>13650000</v>
      </c>
      <c r="AL85" s="178">
        <v>62000000</v>
      </c>
      <c r="AM85" s="178">
        <v>0</v>
      </c>
      <c r="AN85" s="178">
        <v>21000000</v>
      </c>
      <c r="AO85" s="178">
        <v>15750000</v>
      </c>
      <c r="AP85" s="178">
        <v>18900000</v>
      </c>
      <c r="AQ85" s="178">
        <v>0</v>
      </c>
      <c r="AR85" s="178">
        <v>0</v>
      </c>
      <c r="AS85" s="178">
        <v>0</v>
      </c>
      <c r="AT85" s="178">
        <v>0</v>
      </c>
      <c r="AU85" s="178">
        <v>0</v>
      </c>
      <c r="AV85" s="178">
        <v>10500000</v>
      </c>
      <c r="AW85" s="178">
        <v>21000000</v>
      </c>
      <c r="AX85" s="178">
        <v>10500000</v>
      </c>
      <c r="AY85" s="178">
        <v>0</v>
      </c>
      <c r="AZ85" s="178">
        <v>0</v>
      </c>
      <c r="BA85" s="178">
        <v>0</v>
      </c>
      <c r="BB85" s="178">
        <v>392450000</v>
      </c>
      <c r="BC85" s="178">
        <v>514500000</v>
      </c>
      <c r="BD85" s="178">
        <v>231650000</v>
      </c>
      <c r="BE85" s="178">
        <v>318650000</v>
      </c>
      <c r="BF85" s="178">
        <v>780400000</v>
      </c>
      <c r="BG85" s="178">
        <v>744500000</v>
      </c>
      <c r="BH85" s="178">
        <v>1194250000</v>
      </c>
      <c r="BI85" s="178">
        <v>1123800000</v>
      </c>
      <c r="BJ85" s="178">
        <v>1583000000</v>
      </c>
      <c r="BK85" s="178">
        <v>4036950000</v>
      </c>
      <c r="BL85" s="178">
        <v>1619000000</v>
      </c>
      <c r="BM85" s="178">
        <v>13310250000</v>
      </c>
      <c r="BN85" s="178">
        <v>2133150000</v>
      </c>
      <c r="BO85" s="178">
        <v>5315750000</v>
      </c>
      <c r="BP85" s="178">
        <v>4771900000</v>
      </c>
      <c r="BQ85" s="178">
        <v>4528050000</v>
      </c>
      <c r="BR85" s="178">
        <v>5218850000</v>
      </c>
      <c r="BS85" s="178">
        <v>5242900000</v>
      </c>
      <c r="BT85" s="178">
        <v>4799550000</v>
      </c>
      <c r="BU85" s="178">
        <v>1774400000</v>
      </c>
      <c r="BV85" s="178">
        <v>3060600000</v>
      </c>
      <c r="BW85" s="178">
        <v>5453250000</v>
      </c>
      <c r="BX85" s="178">
        <v>6311770000</v>
      </c>
      <c r="BY85" s="178">
        <v>4971120000</v>
      </c>
      <c r="BZ85" s="178">
        <v>4664010000</v>
      </c>
      <c r="CA85" s="178">
        <v>4570400000</v>
      </c>
      <c r="CB85" s="178">
        <v>4807620000</v>
      </c>
      <c r="CC85" s="178">
        <v>3195860000</v>
      </c>
      <c r="CD85" s="178">
        <v>70819180000</v>
      </c>
      <c r="CE85" s="178">
        <v>84129430000</v>
      </c>
      <c r="CF85" s="137"/>
      <c r="CG85" s="137"/>
      <c r="CH85" s="137"/>
      <c r="CI85" s="137"/>
      <c r="CJ85" s="137"/>
      <c r="CK85" s="137"/>
      <c r="CL85" s="137"/>
      <c r="CM85" s="137"/>
      <c r="CN85" s="137"/>
      <c r="CO85" s="137"/>
      <c r="CP85" s="137"/>
      <c r="CQ85" s="137"/>
      <c r="CR85" s="137"/>
      <c r="CS85" s="137"/>
    </row>
    <row r="86" spans="1:97" x14ac:dyDescent="0.2">
      <c r="A86" s="134">
        <v>45303</v>
      </c>
      <c r="B86" s="135">
        <f>YEAR(source[[#This Row],[report_date]])</f>
        <v>2024</v>
      </c>
      <c r="C86" s="136">
        <v>1</v>
      </c>
      <c r="D86" s="136">
        <f t="shared" si="8"/>
        <v>2</v>
      </c>
      <c r="E86" s="136">
        <f t="shared" si="9"/>
        <v>12</v>
      </c>
      <c r="F86" s="128" t="s">
        <v>11</v>
      </c>
      <c r="G86" s="128" t="str">
        <f>VLOOKUP(source[[#This Row],[lending_product_transform]],[3]Mapping!$B$4:$C$37,2,0)</f>
        <v>[VDS] - Cashloan</v>
      </c>
      <c r="H86" s="128" t="str">
        <f>VLOOKUP(source[[#This Row],[lending_product_transform]],[3]Mapping!$B$3:$D$37,3,0)</f>
        <v>cashloan</v>
      </c>
      <c r="I86" s="135">
        <v>3018800000</v>
      </c>
      <c r="K86" s="179" t="s">
        <v>66</v>
      </c>
      <c r="L86" s="178">
        <v>1041079366</v>
      </c>
      <c r="M86" s="178">
        <v>1460166585</v>
      </c>
      <c r="N86" s="178">
        <v>1247922446</v>
      </c>
      <c r="O86" s="178">
        <v>1041813096</v>
      </c>
      <c r="P86" s="178">
        <v>677151512</v>
      </c>
      <c r="Q86" s="178">
        <v>1839254458</v>
      </c>
      <c r="R86" s="178">
        <v>1470055184</v>
      </c>
      <c r="S86" s="178">
        <v>1117177986</v>
      </c>
      <c r="T86" s="178">
        <v>1158207587</v>
      </c>
      <c r="U86" s="178">
        <v>1813391122</v>
      </c>
      <c r="V86" s="178">
        <v>1430341147</v>
      </c>
      <c r="W86" s="178">
        <v>992337225</v>
      </c>
      <c r="X86" s="178">
        <v>977916708</v>
      </c>
      <c r="Y86" s="178">
        <v>1545991567</v>
      </c>
      <c r="Z86" s="178">
        <v>1266830190</v>
      </c>
      <c r="AA86" s="178">
        <v>1011166251</v>
      </c>
      <c r="AB86" s="178">
        <v>1255764077</v>
      </c>
      <c r="AC86" s="178">
        <v>1469203864</v>
      </c>
      <c r="AD86" s="178">
        <v>2050710932</v>
      </c>
      <c r="AE86" s="178">
        <v>1460100489</v>
      </c>
      <c r="AF86" s="178">
        <v>1518266394</v>
      </c>
      <c r="AG86" s="178">
        <v>1617741958</v>
      </c>
      <c r="AH86" s="178">
        <v>2335081657</v>
      </c>
      <c r="AI86" s="178">
        <v>1755058892</v>
      </c>
      <c r="AJ86" s="178">
        <v>1505213532</v>
      </c>
      <c r="AK86" s="178">
        <v>1595990341</v>
      </c>
      <c r="AL86" s="178">
        <v>2328935685</v>
      </c>
      <c r="AM86" s="178">
        <v>2103876782</v>
      </c>
      <c r="AN86" s="178">
        <v>1595947895</v>
      </c>
      <c r="AO86" s="178">
        <v>1575385148</v>
      </c>
      <c r="AP86" s="178">
        <v>1564407837</v>
      </c>
      <c r="AQ86" s="178">
        <v>1997666702</v>
      </c>
      <c r="AR86" s="178">
        <v>1658287307</v>
      </c>
      <c r="AS86" s="178">
        <v>1554353563</v>
      </c>
      <c r="AT86" s="178">
        <v>1824010299</v>
      </c>
      <c r="AU86" s="178">
        <v>2389886076</v>
      </c>
      <c r="AV86" s="178">
        <v>1828464458</v>
      </c>
      <c r="AW86" s="178">
        <v>1499186052</v>
      </c>
      <c r="AX86" s="178">
        <v>1674451658</v>
      </c>
      <c r="AY86" s="178">
        <v>2655215139</v>
      </c>
      <c r="AZ86" s="178">
        <v>2480726181</v>
      </c>
      <c r="BA86" s="178">
        <v>2042568442</v>
      </c>
      <c r="BB86" s="178">
        <v>2085259218</v>
      </c>
      <c r="BC86" s="178">
        <v>2148300903</v>
      </c>
      <c r="BD86" s="178">
        <v>2727487464</v>
      </c>
      <c r="BE86" s="178">
        <v>2090465410</v>
      </c>
      <c r="BF86" s="178">
        <v>1973045372</v>
      </c>
      <c r="BG86" s="178">
        <v>1863493039</v>
      </c>
      <c r="BH86" s="178">
        <v>2624026492</v>
      </c>
      <c r="BI86" s="178">
        <v>2442931860</v>
      </c>
      <c r="BJ86" s="178">
        <v>2325084487</v>
      </c>
      <c r="BK86" s="178">
        <v>2658791864</v>
      </c>
      <c r="BL86" s="178">
        <v>1160358569</v>
      </c>
      <c r="BM86" s="178">
        <v>91526548468</v>
      </c>
      <c r="BN86" s="178">
        <v>1495677215</v>
      </c>
      <c r="BO86" s="178">
        <v>2831106840</v>
      </c>
      <c r="BP86" s="178">
        <v>2202411638</v>
      </c>
      <c r="BQ86" s="178">
        <v>2345013457</v>
      </c>
      <c r="BR86" s="178">
        <v>2411301933</v>
      </c>
      <c r="BS86" s="178">
        <v>3373587210</v>
      </c>
      <c r="BT86" s="178">
        <v>2390509978</v>
      </c>
      <c r="BU86" s="178">
        <v>1309493307</v>
      </c>
      <c r="BV86" s="178">
        <v>2042555768</v>
      </c>
      <c r="BW86" s="178">
        <v>3071379453</v>
      </c>
      <c r="BX86" s="178">
        <v>2466967643</v>
      </c>
      <c r="BY86" s="178">
        <v>2186726303</v>
      </c>
      <c r="BZ86" s="178">
        <v>2045706543</v>
      </c>
      <c r="CA86" s="178">
        <v>2583483235</v>
      </c>
      <c r="CB86" s="178">
        <v>2232966712</v>
      </c>
      <c r="CC86" s="178">
        <v>1817653376</v>
      </c>
      <c r="CD86" s="178">
        <v>36806540611</v>
      </c>
      <c r="CE86" s="178">
        <v>128333089079</v>
      </c>
      <c r="CF86" s="137"/>
      <c r="CG86" s="137"/>
      <c r="CH86" s="137"/>
      <c r="CI86" s="137"/>
      <c r="CJ86" s="137"/>
      <c r="CK86" s="137"/>
      <c r="CL86" s="137"/>
      <c r="CM86" s="137"/>
      <c r="CN86" s="137"/>
      <c r="CO86" s="137"/>
      <c r="CP86" s="137"/>
      <c r="CQ86" s="137"/>
      <c r="CR86" s="137"/>
      <c r="CS86" s="137"/>
    </row>
    <row r="87" spans="1:97" x14ac:dyDescent="0.2">
      <c r="A87" s="134">
        <v>45304</v>
      </c>
      <c r="B87" s="135">
        <f>YEAR(source[[#This Row],[report_date]])</f>
        <v>2024</v>
      </c>
      <c r="C87" s="136">
        <v>1</v>
      </c>
      <c r="D87" s="136">
        <f t="shared" si="8"/>
        <v>2</v>
      </c>
      <c r="E87" s="136">
        <f t="shared" si="9"/>
        <v>13</v>
      </c>
      <c r="F87" s="128" t="s">
        <v>67</v>
      </c>
      <c r="G87" s="128" t="str">
        <f>VLOOKUP(source[[#This Row],[lending_product_transform]],[3]Mapping!$B$4:$C$37,2,0)</f>
        <v>[Cake] - Overdraft</v>
      </c>
      <c r="H87" s="128" t="str">
        <f>VLOOKUP(source[[#This Row],[lending_product_transform]],[3]Mapping!$B$3:$D$37,3,0)</f>
        <v>overdraft</v>
      </c>
      <c r="I87" s="135">
        <v>1692046747</v>
      </c>
      <c r="K87" s="179" t="s">
        <v>24</v>
      </c>
      <c r="L87" s="178">
        <v>26578950000</v>
      </c>
      <c r="M87" s="178">
        <v>37033990000</v>
      </c>
      <c r="N87" s="178">
        <v>36964650000</v>
      </c>
      <c r="O87" s="178">
        <v>38491890000</v>
      </c>
      <c r="P87" s="178">
        <v>13476510000</v>
      </c>
      <c r="Q87" s="178">
        <v>24444600000</v>
      </c>
      <c r="R87" s="178">
        <v>31007630000</v>
      </c>
      <c r="S87" s="178">
        <v>29041470000</v>
      </c>
      <c r="T87" s="178">
        <v>32321590000</v>
      </c>
      <c r="U87" s="178">
        <v>35785390000</v>
      </c>
      <c r="V87" s="178">
        <v>42648940000</v>
      </c>
      <c r="W87" s="178">
        <v>38538690000</v>
      </c>
      <c r="X87" s="178">
        <v>42705880000</v>
      </c>
      <c r="Y87" s="178">
        <v>51741780000</v>
      </c>
      <c r="Z87" s="178">
        <v>53236940000</v>
      </c>
      <c r="AA87" s="178">
        <v>52783310000</v>
      </c>
      <c r="AB87" s="178">
        <v>54186810000</v>
      </c>
      <c r="AC87" s="178">
        <v>48813320000</v>
      </c>
      <c r="AD87" s="178">
        <v>57566240000</v>
      </c>
      <c r="AE87" s="178">
        <v>53785370000</v>
      </c>
      <c r="AF87" s="178">
        <v>52502210000</v>
      </c>
      <c r="AG87" s="178">
        <v>49169990000</v>
      </c>
      <c r="AH87" s="178">
        <v>59212230000</v>
      </c>
      <c r="AI87" s="178">
        <v>60928110000</v>
      </c>
      <c r="AJ87" s="178">
        <v>59683250000</v>
      </c>
      <c r="AK87" s="178">
        <v>75234570000</v>
      </c>
      <c r="AL87" s="178">
        <v>86852050000</v>
      </c>
      <c r="AM87" s="178">
        <v>87204030000</v>
      </c>
      <c r="AN87" s="178">
        <v>84320630000</v>
      </c>
      <c r="AO87" s="178">
        <v>83298540000</v>
      </c>
      <c r="AP87" s="178">
        <v>81782810000</v>
      </c>
      <c r="AQ87" s="178">
        <v>76067550000</v>
      </c>
      <c r="AR87" s="178">
        <v>74665510000</v>
      </c>
      <c r="AS87" s="178">
        <v>74757190000</v>
      </c>
      <c r="AT87" s="178">
        <v>79482040000</v>
      </c>
      <c r="AU87" s="178">
        <v>105532210000</v>
      </c>
      <c r="AV87" s="178">
        <v>125104540000</v>
      </c>
      <c r="AW87" s="178">
        <v>110213520000</v>
      </c>
      <c r="AX87" s="178">
        <v>111468660000</v>
      </c>
      <c r="AY87" s="178">
        <v>117065670000</v>
      </c>
      <c r="AZ87" s="178">
        <v>124497110000</v>
      </c>
      <c r="BA87" s="178">
        <v>113864840000</v>
      </c>
      <c r="BB87" s="178">
        <v>110092850000</v>
      </c>
      <c r="BC87" s="178">
        <v>99056660000</v>
      </c>
      <c r="BD87" s="178">
        <v>122054680000</v>
      </c>
      <c r="BE87" s="178">
        <v>115569400000</v>
      </c>
      <c r="BF87" s="178">
        <v>146885360000</v>
      </c>
      <c r="BG87" s="178">
        <v>173715650000</v>
      </c>
      <c r="BH87" s="178">
        <v>147828190000</v>
      </c>
      <c r="BI87" s="178">
        <v>121697990000</v>
      </c>
      <c r="BJ87" s="178">
        <v>104719960000</v>
      </c>
      <c r="BK87" s="178">
        <v>101255800000</v>
      </c>
      <c r="BL87" s="178">
        <v>46589650000</v>
      </c>
      <c r="BM87" s="178">
        <v>3983527400000</v>
      </c>
      <c r="BN87" s="178">
        <v>53794380000</v>
      </c>
      <c r="BO87" s="178">
        <v>111481280000</v>
      </c>
      <c r="BP87" s="178">
        <v>102699410000</v>
      </c>
      <c r="BQ87" s="178">
        <v>100190680000</v>
      </c>
      <c r="BR87" s="178">
        <v>115463690000</v>
      </c>
      <c r="BS87" s="178">
        <v>115526400000</v>
      </c>
      <c r="BT87" s="178">
        <v>94745570000</v>
      </c>
      <c r="BU87" s="178">
        <v>33489540000</v>
      </c>
      <c r="BV87" s="178">
        <v>66536020000</v>
      </c>
      <c r="BW87" s="178">
        <v>73400340000</v>
      </c>
      <c r="BX87" s="178">
        <v>59443120000</v>
      </c>
      <c r="BY87" s="178">
        <v>110770290000</v>
      </c>
      <c r="BZ87" s="178">
        <v>102645400000</v>
      </c>
      <c r="CA87" s="178">
        <v>140288620000</v>
      </c>
      <c r="CB87" s="178">
        <v>110270130000</v>
      </c>
      <c r="CC87" s="178">
        <v>102475080000</v>
      </c>
      <c r="CD87" s="178">
        <v>1493219950000</v>
      </c>
      <c r="CE87" s="178">
        <v>5476747350000</v>
      </c>
      <c r="CF87" s="137"/>
      <c r="CG87" s="137"/>
      <c r="CH87" s="137"/>
      <c r="CI87" s="137"/>
      <c r="CJ87" s="137"/>
      <c r="CK87" s="137"/>
      <c r="CL87" s="137"/>
      <c r="CM87" s="137"/>
      <c r="CN87" s="137"/>
      <c r="CO87" s="137"/>
      <c r="CP87" s="137"/>
      <c r="CQ87" s="137"/>
      <c r="CR87" s="137"/>
      <c r="CS87" s="137"/>
    </row>
    <row r="88" spans="1:97" x14ac:dyDescent="0.2">
      <c r="A88" s="134">
        <v>45304</v>
      </c>
      <c r="B88" s="135">
        <f>YEAR(source[[#This Row],[report_date]])</f>
        <v>2024</v>
      </c>
      <c r="C88" s="136">
        <v>1</v>
      </c>
      <c r="D88" s="136">
        <f t="shared" si="8"/>
        <v>2</v>
      </c>
      <c r="E88" s="136">
        <f t="shared" si="9"/>
        <v>13</v>
      </c>
      <c r="F88" s="128" t="s">
        <v>19</v>
      </c>
      <c r="G88" s="128" t="str">
        <f>VLOOKUP(source[[#This Row],[lending_product_transform]],[3]Mapping!$B$4:$C$37,2,0)</f>
        <v>[VDS] - Payday</v>
      </c>
      <c r="H88" s="128" t="str">
        <f>VLOOKUP(source[[#This Row],[lending_product_transform]],[3]Mapping!$B$3:$D$37,3,0)</f>
        <v>payday</v>
      </c>
      <c r="I88" s="135">
        <v>1379500000</v>
      </c>
      <c r="K88" s="179" t="s">
        <v>67</v>
      </c>
      <c r="L88" s="178">
        <v>23041136810</v>
      </c>
      <c r="M88" s="178">
        <v>25221267166</v>
      </c>
      <c r="N88" s="178">
        <v>24071836335</v>
      </c>
      <c r="O88" s="178">
        <v>26288428339</v>
      </c>
      <c r="P88" s="178">
        <v>16822707616</v>
      </c>
      <c r="Q88" s="178">
        <v>24332978842</v>
      </c>
      <c r="R88" s="178">
        <v>23268062452</v>
      </c>
      <c r="S88" s="178">
        <v>22905073663</v>
      </c>
      <c r="T88" s="178">
        <v>28526770306</v>
      </c>
      <c r="U88" s="178">
        <v>27294827101</v>
      </c>
      <c r="V88" s="178">
        <v>24429716127</v>
      </c>
      <c r="W88" s="178">
        <v>22886017829</v>
      </c>
      <c r="X88" s="178">
        <v>23184819699</v>
      </c>
      <c r="Y88" s="178">
        <v>30560519367</v>
      </c>
      <c r="Z88" s="178">
        <v>27064870383</v>
      </c>
      <c r="AA88" s="178">
        <v>24215297928</v>
      </c>
      <c r="AB88" s="178">
        <v>25087257899</v>
      </c>
      <c r="AC88" s="178">
        <v>30484177658</v>
      </c>
      <c r="AD88" s="178">
        <v>29086024052</v>
      </c>
      <c r="AE88" s="178">
        <v>24311049457</v>
      </c>
      <c r="AF88" s="178">
        <v>24719311975</v>
      </c>
      <c r="AG88" s="178">
        <v>28369579976</v>
      </c>
      <c r="AH88" s="178">
        <v>31292047437</v>
      </c>
      <c r="AI88" s="178">
        <v>25691936119</v>
      </c>
      <c r="AJ88" s="178">
        <v>25771033651</v>
      </c>
      <c r="AK88" s="178">
        <v>24772452083</v>
      </c>
      <c r="AL88" s="178">
        <v>35363226833</v>
      </c>
      <c r="AM88" s="178">
        <v>28080873063</v>
      </c>
      <c r="AN88" s="178">
        <v>24918450065</v>
      </c>
      <c r="AO88" s="178">
        <v>21188120315</v>
      </c>
      <c r="AP88" s="178">
        <v>27551868400</v>
      </c>
      <c r="AQ88" s="178">
        <v>24556799914</v>
      </c>
      <c r="AR88" s="178">
        <v>20548059991</v>
      </c>
      <c r="AS88" s="178">
        <v>18478490755</v>
      </c>
      <c r="AT88" s="178">
        <v>20172257205</v>
      </c>
      <c r="AU88" s="178">
        <v>24644037197</v>
      </c>
      <c r="AV88" s="178">
        <v>19809967402</v>
      </c>
      <c r="AW88" s="178">
        <v>18475886501</v>
      </c>
      <c r="AX88" s="178">
        <v>17085082458</v>
      </c>
      <c r="AY88" s="178">
        <v>25015309814</v>
      </c>
      <c r="AZ88" s="178">
        <v>19224386336</v>
      </c>
      <c r="BA88" s="178">
        <v>17691021606</v>
      </c>
      <c r="BB88" s="178">
        <v>16102117986</v>
      </c>
      <c r="BC88" s="178">
        <v>19476933679</v>
      </c>
      <c r="BD88" s="178">
        <v>18817456207</v>
      </c>
      <c r="BE88" s="178">
        <v>17241042261</v>
      </c>
      <c r="BF88" s="178">
        <v>14103566125</v>
      </c>
      <c r="BG88" s="178">
        <v>15886619078</v>
      </c>
      <c r="BH88" s="178">
        <v>20485184376</v>
      </c>
      <c r="BI88" s="178">
        <v>14868185403</v>
      </c>
      <c r="BJ88" s="178">
        <v>14603032425</v>
      </c>
      <c r="BK88" s="178">
        <v>13632082350</v>
      </c>
      <c r="BL88" s="178">
        <v>7415812847</v>
      </c>
      <c r="BM88" s="178">
        <v>1199135070862</v>
      </c>
      <c r="BN88" s="178">
        <v>10344812535</v>
      </c>
      <c r="BO88" s="178">
        <v>15096361922</v>
      </c>
      <c r="BP88" s="178">
        <v>12786284511</v>
      </c>
      <c r="BQ88" s="178">
        <v>12856284571</v>
      </c>
      <c r="BR88" s="178">
        <v>15608207680</v>
      </c>
      <c r="BS88" s="178">
        <v>17635026878</v>
      </c>
      <c r="BT88" s="178">
        <v>14574294750</v>
      </c>
      <c r="BU88" s="178">
        <v>6284138979</v>
      </c>
      <c r="BV88" s="178">
        <v>14903236406</v>
      </c>
      <c r="BW88" s="178">
        <v>15390512670</v>
      </c>
      <c r="BX88" s="178">
        <v>11570307821</v>
      </c>
      <c r="BY88" s="178">
        <v>11094616652</v>
      </c>
      <c r="BZ88" s="178">
        <v>10448858385</v>
      </c>
      <c r="CA88" s="178">
        <v>14401987051</v>
      </c>
      <c r="CB88" s="178">
        <v>12758805695</v>
      </c>
      <c r="CC88" s="178">
        <v>9517765220</v>
      </c>
      <c r="CD88" s="178">
        <v>205271501726</v>
      </c>
      <c r="CE88" s="178">
        <v>1404406572588</v>
      </c>
      <c r="CF88" s="137"/>
      <c r="CG88" s="137"/>
      <c r="CH88" s="137"/>
      <c r="CI88" s="137"/>
      <c r="CJ88" s="137"/>
      <c r="CK88" s="137"/>
      <c r="CL88" s="137"/>
      <c r="CM88" s="137"/>
      <c r="CN88" s="137"/>
      <c r="CO88" s="137"/>
      <c r="CP88" s="137"/>
      <c r="CQ88" s="137"/>
      <c r="CR88" s="137"/>
      <c r="CS88" s="137"/>
    </row>
    <row r="89" spans="1:97" x14ac:dyDescent="0.2">
      <c r="A89" s="134">
        <v>45304</v>
      </c>
      <c r="B89" s="135">
        <f>YEAR(source[[#This Row],[report_date]])</f>
        <v>2024</v>
      </c>
      <c r="C89" s="136">
        <v>1</v>
      </c>
      <c r="D89" s="136">
        <f t="shared" si="8"/>
        <v>2</v>
      </c>
      <c r="E89" s="136">
        <f t="shared" si="9"/>
        <v>13</v>
      </c>
      <c r="F89" s="128" t="s">
        <v>61</v>
      </c>
      <c r="G89" s="128" t="str">
        <f>VLOOKUP(source[[#This Row],[lending_product_transform]],[3]Mapping!$B$4:$C$37,2,0)</f>
        <v>[VDS] - Payroll Payday</v>
      </c>
      <c r="H89" s="128" t="str">
        <f>VLOOKUP(source[[#This Row],[lending_product_transform]],[3]Mapping!$B$3:$D$37,3,0)</f>
        <v>payday</v>
      </c>
      <c r="I89" s="135">
        <v>29000000</v>
      </c>
      <c r="K89" s="179" t="s">
        <v>206</v>
      </c>
      <c r="L89" s="178">
        <v>0</v>
      </c>
      <c r="M89" s="178">
        <v>0</v>
      </c>
      <c r="N89" s="178">
        <v>0</v>
      </c>
      <c r="O89" s="178">
        <v>0</v>
      </c>
      <c r="P89" s="178">
        <v>0</v>
      </c>
      <c r="Q89" s="178">
        <v>0</v>
      </c>
      <c r="R89" s="178">
        <v>0</v>
      </c>
      <c r="S89" s="178">
        <v>0</v>
      </c>
      <c r="T89" s="178">
        <v>0</v>
      </c>
      <c r="U89" s="178">
        <v>0</v>
      </c>
      <c r="V89" s="178">
        <v>0</v>
      </c>
      <c r="W89" s="178"/>
      <c r="X89" s="178"/>
      <c r="Y89" s="178"/>
      <c r="Z89" s="178"/>
      <c r="AA89" s="178"/>
      <c r="AB89" s="178"/>
      <c r="AC89" s="178"/>
      <c r="AD89" s="178"/>
      <c r="AE89" s="178">
        <v>0</v>
      </c>
      <c r="AF89" s="178">
        <v>0</v>
      </c>
      <c r="AG89" s="178">
        <v>0</v>
      </c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>
        <v>0</v>
      </c>
      <c r="AV89" s="178">
        <v>0</v>
      </c>
      <c r="AW89" s="178">
        <v>0</v>
      </c>
      <c r="AX89" s="178">
        <v>0</v>
      </c>
      <c r="AY89" s="178">
        <v>0</v>
      </c>
      <c r="AZ89" s="178">
        <v>0</v>
      </c>
      <c r="BA89" s="178">
        <v>0</v>
      </c>
      <c r="BB89" s="178">
        <v>0</v>
      </c>
      <c r="BC89" s="178">
        <v>0</v>
      </c>
      <c r="BD89" s="178">
        <v>0</v>
      </c>
      <c r="BE89" s="178">
        <v>0</v>
      </c>
      <c r="BF89" s="178">
        <v>0</v>
      </c>
      <c r="BG89" s="178">
        <v>0</v>
      </c>
      <c r="BH89" s="178">
        <v>0</v>
      </c>
      <c r="BI89" s="178">
        <v>0</v>
      </c>
      <c r="BJ89" s="178">
        <v>0</v>
      </c>
      <c r="BK89" s="178">
        <v>0</v>
      </c>
      <c r="BL89" s="178">
        <v>0</v>
      </c>
      <c r="BM89" s="178">
        <v>0</v>
      </c>
      <c r="BN89" s="178">
        <v>0</v>
      </c>
      <c r="BO89" s="178">
        <v>0</v>
      </c>
      <c r="BP89" s="178">
        <v>0</v>
      </c>
      <c r="BQ89" s="178">
        <v>0</v>
      </c>
      <c r="BR89" s="178">
        <v>0</v>
      </c>
      <c r="BS89" s="178">
        <v>0</v>
      </c>
      <c r="BT89" s="178">
        <v>0</v>
      </c>
      <c r="BU89" s="178">
        <v>0</v>
      </c>
      <c r="BV89" s="178">
        <v>0</v>
      </c>
      <c r="BW89" s="178">
        <v>0</v>
      </c>
      <c r="BX89" s="178">
        <v>0</v>
      </c>
      <c r="BY89" s="178">
        <v>0</v>
      </c>
      <c r="BZ89" s="178">
        <v>0</v>
      </c>
      <c r="CA89" s="178">
        <v>0</v>
      </c>
      <c r="CB89" s="178">
        <v>0</v>
      </c>
      <c r="CC89" s="178">
        <v>0</v>
      </c>
      <c r="CD89" s="178">
        <v>0</v>
      </c>
      <c r="CE89" s="178">
        <v>0</v>
      </c>
      <c r="CF89" s="137"/>
      <c r="CG89" s="137"/>
      <c r="CH89" s="137"/>
      <c r="CI89" s="137"/>
      <c r="CJ89" s="137"/>
      <c r="CK89" s="137"/>
      <c r="CL89" s="137"/>
      <c r="CM89" s="137"/>
      <c r="CN89" s="137"/>
      <c r="CO89" s="137"/>
      <c r="CP89" s="137"/>
      <c r="CQ89" s="137"/>
      <c r="CR89" s="137"/>
      <c r="CS89" s="137"/>
    </row>
    <row r="90" spans="1:97" x14ac:dyDescent="0.2">
      <c r="A90" s="134">
        <v>45304</v>
      </c>
      <c r="B90" s="135">
        <f>YEAR(source[[#This Row],[report_date]])</f>
        <v>2024</v>
      </c>
      <c r="C90" s="136">
        <v>1</v>
      </c>
      <c r="D90" s="136">
        <f t="shared" si="8"/>
        <v>2</v>
      </c>
      <c r="E90" s="136">
        <f t="shared" si="9"/>
        <v>13</v>
      </c>
      <c r="F90" s="128" t="s">
        <v>65</v>
      </c>
      <c r="G90" s="128" t="str">
        <f>VLOOKUP(source[[#This Row],[lending_product_transform]],[3]Mapping!$B$4:$C$37,2,0)</f>
        <v>[BE] - Cashloan</v>
      </c>
      <c r="H90" s="128" t="str">
        <f>VLOOKUP(source[[#This Row],[lending_product_transform]],[3]Mapping!$B$3:$D$37,3,0)</f>
        <v>cashloan</v>
      </c>
      <c r="I90" s="135">
        <v>430650000</v>
      </c>
      <c r="K90" s="179" t="s">
        <v>11</v>
      </c>
      <c r="L90" s="178">
        <v>29666600000</v>
      </c>
      <c r="M90" s="178">
        <v>44428870000</v>
      </c>
      <c r="N90" s="178">
        <v>50868660000</v>
      </c>
      <c r="O90" s="178">
        <v>44921340000</v>
      </c>
      <c r="P90" s="178">
        <v>14576810000</v>
      </c>
      <c r="Q90" s="178">
        <v>28424450000</v>
      </c>
      <c r="R90" s="178">
        <v>33701530000</v>
      </c>
      <c r="S90" s="178">
        <v>36437430000</v>
      </c>
      <c r="T90" s="178">
        <v>39879820000</v>
      </c>
      <c r="U90" s="178">
        <v>44334130000</v>
      </c>
      <c r="V90" s="178">
        <v>43078860000</v>
      </c>
      <c r="W90" s="178">
        <v>45578860000</v>
      </c>
      <c r="X90" s="178">
        <v>47822240000</v>
      </c>
      <c r="Y90" s="178">
        <v>53022360000</v>
      </c>
      <c r="Z90" s="178">
        <v>58885820000</v>
      </c>
      <c r="AA90" s="178">
        <v>62877780000</v>
      </c>
      <c r="AB90" s="178">
        <v>57831740000</v>
      </c>
      <c r="AC90" s="178">
        <v>53812360000</v>
      </c>
      <c r="AD90" s="178">
        <v>60896550000</v>
      </c>
      <c r="AE90" s="178">
        <v>56711600000</v>
      </c>
      <c r="AF90" s="178">
        <v>50536280000</v>
      </c>
      <c r="AG90" s="178">
        <v>45991480000</v>
      </c>
      <c r="AH90" s="178">
        <v>58242240000</v>
      </c>
      <c r="AI90" s="178">
        <v>69539910000</v>
      </c>
      <c r="AJ90" s="178">
        <v>61680570000</v>
      </c>
      <c r="AK90" s="178">
        <v>56966230000</v>
      </c>
      <c r="AL90" s="178">
        <v>90164930000</v>
      </c>
      <c r="AM90" s="178">
        <v>88470300000</v>
      </c>
      <c r="AN90" s="178">
        <v>87593780000</v>
      </c>
      <c r="AO90" s="178">
        <v>80199370000</v>
      </c>
      <c r="AP90" s="178">
        <v>74911290000</v>
      </c>
      <c r="AQ90" s="178">
        <v>77117930000</v>
      </c>
      <c r="AR90" s="178">
        <v>82107840000</v>
      </c>
      <c r="AS90" s="178">
        <v>78130960000</v>
      </c>
      <c r="AT90" s="178">
        <v>77201640000</v>
      </c>
      <c r="AU90" s="178">
        <v>91289930000</v>
      </c>
      <c r="AV90" s="178">
        <v>122831550000</v>
      </c>
      <c r="AW90" s="178">
        <v>116350750000</v>
      </c>
      <c r="AX90" s="178">
        <v>104288100000</v>
      </c>
      <c r="AY90" s="178">
        <v>111093840000</v>
      </c>
      <c r="AZ90" s="178">
        <v>110424530000</v>
      </c>
      <c r="BA90" s="178">
        <v>110401090000</v>
      </c>
      <c r="BB90" s="178">
        <v>114732010000</v>
      </c>
      <c r="BC90" s="178">
        <v>102871190000</v>
      </c>
      <c r="BD90" s="178">
        <v>115233590000</v>
      </c>
      <c r="BE90" s="178">
        <v>135646690000</v>
      </c>
      <c r="BF90" s="178">
        <v>117021170000</v>
      </c>
      <c r="BG90" s="178">
        <v>116271440000</v>
      </c>
      <c r="BH90" s="178">
        <v>134398790000</v>
      </c>
      <c r="BI90" s="178">
        <v>124644680000</v>
      </c>
      <c r="BJ90" s="178">
        <v>125178660000</v>
      </c>
      <c r="BK90" s="178">
        <v>113546190000</v>
      </c>
      <c r="BL90" s="178">
        <v>50313260000</v>
      </c>
      <c r="BM90" s="178">
        <v>4003150020000</v>
      </c>
      <c r="BN90" s="178">
        <v>60208150000</v>
      </c>
      <c r="BO90" s="178">
        <v>120039700000</v>
      </c>
      <c r="BP90" s="178">
        <v>124439540000</v>
      </c>
      <c r="BQ90" s="178">
        <v>113373710000</v>
      </c>
      <c r="BR90" s="178">
        <v>123523030000</v>
      </c>
      <c r="BS90" s="178">
        <v>133086860000</v>
      </c>
      <c r="BT90" s="178">
        <v>122553990000</v>
      </c>
      <c r="BU90" s="178">
        <v>42579020000</v>
      </c>
      <c r="BV90" s="178">
        <v>76550010000</v>
      </c>
      <c r="BW90" s="178">
        <v>100915140000</v>
      </c>
      <c r="BX90" s="178">
        <v>116684150000</v>
      </c>
      <c r="BY90" s="178">
        <v>122273860000</v>
      </c>
      <c r="BZ90" s="178">
        <v>110174090000</v>
      </c>
      <c r="CA90" s="178">
        <v>116276500000</v>
      </c>
      <c r="CB90" s="178">
        <v>117065960000</v>
      </c>
      <c r="CC90" s="178">
        <v>121429830000</v>
      </c>
      <c r="CD90" s="178">
        <v>1721173540000</v>
      </c>
      <c r="CE90" s="178">
        <v>5724323560000</v>
      </c>
      <c r="CF90" s="137"/>
      <c r="CG90" s="137"/>
      <c r="CH90" s="137"/>
      <c r="CI90" s="137"/>
      <c r="CJ90" s="137"/>
      <c r="CK90" s="137"/>
      <c r="CL90" s="137"/>
      <c r="CM90" s="137"/>
      <c r="CN90" s="137"/>
      <c r="CO90" s="137"/>
      <c r="CP90" s="137"/>
      <c r="CQ90" s="137"/>
      <c r="CR90" s="137"/>
      <c r="CS90" s="137"/>
    </row>
    <row r="91" spans="1:97" x14ac:dyDescent="0.2">
      <c r="A91" s="134">
        <v>45304</v>
      </c>
      <c r="B91" s="135">
        <f>YEAR(source[[#This Row],[report_date]])</f>
        <v>2024</v>
      </c>
      <c r="C91" s="136">
        <v>1</v>
      </c>
      <c r="D91" s="136">
        <f t="shared" si="8"/>
        <v>2</v>
      </c>
      <c r="E91" s="136">
        <f t="shared" si="9"/>
        <v>13</v>
      </c>
      <c r="F91" s="128" t="s">
        <v>58</v>
      </c>
      <c r="G91" s="128" t="str">
        <f>VLOOKUP(source[[#This Row],[lending_product_transform]],[3]Mapping!$B$4:$C$37,2,0)</f>
        <v>[VDS] - Payroll Cashloan</v>
      </c>
      <c r="H91" s="128" t="str">
        <f>VLOOKUP(source[[#This Row],[lending_product_transform]],[3]Mapping!$B$3:$D$37,3,0)</f>
        <v>cashloan</v>
      </c>
      <c r="I91" s="135">
        <v>21000000</v>
      </c>
      <c r="K91" s="179" t="s">
        <v>207</v>
      </c>
      <c r="L91" s="178">
        <v>288570000</v>
      </c>
      <c r="M91" s="178">
        <v>133970000</v>
      </c>
      <c r="N91" s="178">
        <v>64200000</v>
      </c>
      <c r="O91" s="178">
        <v>0</v>
      </c>
      <c r="P91" s="178">
        <v>0</v>
      </c>
      <c r="Q91" s="178">
        <v>0</v>
      </c>
      <c r="R91" s="178">
        <v>0</v>
      </c>
      <c r="S91" s="178">
        <v>0</v>
      </c>
      <c r="T91" s="178">
        <v>32100000</v>
      </c>
      <c r="U91" s="178">
        <v>170170000</v>
      </c>
      <c r="V91" s="178">
        <v>281780000</v>
      </c>
      <c r="W91" s="178">
        <v>234370000</v>
      </c>
      <c r="X91" s="178">
        <v>42800000</v>
      </c>
      <c r="Y91" s="178">
        <v>21400000</v>
      </c>
      <c r="Z91" s="178">
        <v>21400000</v>
      </c>
      <c r="AA91" s="178">
        <v>42800000</v>
      </c>
      <c r="AB91" s="178">
        <v>0</v>
      </c>
      <c r="AC91" s="178">
        <v>0</v>
      </c>
      <c r="AD91" s="178">
        <v>0</v>
      </c>
      <c r="AE91" s="178">
        <v>0</v>
      </c>
      <c r="AF91" s="178">
        <v>0</v>
      </c>
      <c r="AG91" s="178">
        <v>0</v>
      </c>
      <c r="AH91" s="178">
        <v>0</v>
      </c>
      <c r="AI91" s="178">
        <v>0</v>
      </c>
      <c r="AJ91" s="178">
        <v>0</v>
      </c>
      <c r="AK91" s="178">
        <v>0</v>
      </c>
      <c r="AL91" s="178">
        <v>0</v>
      </c>
      <c r="AM91" s="178">
        <v>0</v>
      </c>
      <c r="AN91" s="178">
        <v>0</v>
      </c>
      <c r="AO91" s="178">
        <v>0</v>
      </c>
      <c r="AP91" s="178">
        <v>0</v>
      </c>
      <c r="AQ91" s="178"/>
      <c r="AR91" s="178"/>
      <c r="AS91" s="178"/>
      <c r="AT91" s="178"/>
      <c r="AU91" s="178">
        <v>0</v>
      </c>
      <c r="AV91" s="178">
        <v>0</v>
      </c>
      <c r="AW91" s="178">
        <v>0</v>
      </c>
      <c r="AX91" s="178">
        <v>0</v>
      </c>
      <c r="AY91" s="178">
        <v>0</v>
      </c>
      <c r="AZ91" s="178">
        <v>0</v>
      </c>
      <c r="BA91" s="178">
        <v>0</v>
      </c>
      <c r="BB91" s="178">
        <v>0</v>
      </c>
      <c r="BC91" s="178">
        <v>0</v>
      </c>
      <c r="BD91" s="178">
        <v>0</v>
      </c>
      <c r="BE91" s="178">
        <v>0</v>
      </c>
      <c r="BF91" s="178">
        <v>0</v>
      </c>
      <c r="BG91" s="178">
        <v>0</v>
      </c>
      <c r="BH91" s="178">
        <v>0</v>
      </c>
      <c r="BI91" s="178">
        <v>0</v>
      </c>
      <c r="BJ91" s="178">
        <v>0</v>
      </c>
      <c r="BK91" s="178">
        <v>0</v>
      </c>
      <c r="BL91" s="178">
        <v>0</v>
      </c>
      <c r="BM91" s="178">
        <v>1333560000</v>
      </c>
      <c r="BN91" s="178">
        <v>0</v>
      </c>
      <c r="BO91" s="178">
        <v>0</v>
      </c>
      <c r="BP91" s="178">
        <v>0</v>
      </c>
      <c r="BQ91" s="178">
        <v>0</v>
      </c>
      <c r="BR91" s="178">
        <v>0</v>
      </c>
      <c r="BS91" s="178">
        <v>0</v>
      </c>
      <c r="BT91" s="178">
        <v>0</v>
      </c>
      <c r="BU91" s="178">
        <v>0</v>
      </c>
      <c r="BV91" s="178">
        <v>0</v>
      </c>
      <c r="BW91" s="178">
        <v>0</v>
      </c>
      <c r="BX91" s="178">
        <v>0</v>
      </c>
      <c r="BY91" s="178">
        <v>0</v>
      </c>
      <c r="BZ91" s="178">
        <v>0</v>
      </c>
      <c r="CA91" s="178">
        <v>0</v>
      </c>
      <c r="CB91" s="178">
        <v>0</v>
      </c>
      <c r="CC91" s="178">
        <v>0</v>
      </c>
      <c r="CD91" s="178">
        <v>0</v>
      </c>
      <c r="CE91" s="178">
        <v>1333560000</v>
      </c>
      <c r="CF91" s="137"/>
      <c r="CG91" s="137"/>
      <c r="CH91" s="137"/>
      <c r="CI91" s="137"/>
      <c r="CJ91" s="137"/>
      <c r="CK91" s="137"/>
      <c r="CL91" s="137"/>
      <c r="CM91" s="137"/>
      <c r="CN91" s="137"/>
      <c r="CO91" s="137"/>
      <c r="CP91" s="137"/>
      <c r="CQ91" s="137"/>
      <c r="CR91" s="137"/>
      <c r="CS91" s="137"/>
    </row>
    <row r="92" spans="1:97" x14ac:dyDescent="0.2">
      <c r="A92" s="134">
        <v>45304</v>
      </c>
      <c r="B92" s="135">
        <f>YEAR(source[[#This Row],[report_date]])</f>
        <v>2024</v>
      </c>
      <c r="C92" s="136">
        <v>1</v>
      </c>
      <c r="D92" s="136">
        <f t="shared" si="8"/>
        <v>2</v>
      </c>
      <c r="E92" s="136">
        <f t="shared" si="9"/>
        <v>13</v>
      </c>
      <c r="F92" s="128" t="s">
        <v>56</v>
      </c>
      <c r="G92" s="128">
        <f>VLOOKUP(source[[#This Row],[lending_product_transform]],[3]Mapping!$B$4:$C$37,2,0)</f>
        <v>0</v>
      </c>
      <c r="H92" s="128">
        <f>VLOOKUP(source[[#This Row],[lending_product_transform]],[3]Mapping!$B$3:$D$37,3,0)</f>
        <v>0</v>
      </c>
      <c r="I92" s="135">
        <v>6169996747</v>
      </c>
      <c r="K92" s="179" t="s">
        <v>19</v>
      </c>
      <c r="L92" s="178">
        <v>22624500000</v>
      </c>
      <c r="M92" s="178">
        <v>32963500000</v>
      </c>
      <c r="N92" s="178">
        <v>33181000000</v>
      </c>
      <c r="O92" s="178">
        <v>37937500000</v>
      </c>
      <c r="P92" s="178">
        <v>19309000000</v>
      </c>
      <c r="Q92" s="178">
        <v>31012500000</v>
      </c>
      <c r="R92" s="178">
        <v>37470500000</v>
      </c>
      <c r="S92" s="178">
        <v>34822000000</v>
      </c>
      <c r="T92" s="178">
        <v>33064000000</v>
      </c>
      <c r="U92" s="178">
        <v>36952000000</v>
      </c>
      <c r="V92" s="178">
        <v>37731500000</v>
      </c>
      <c r="W92" s="178">
        <v>34156000000</v>
      </c>
      <c r="X92" s="178">
        <v>33145000000</v>
      </c>
      <c r="Y92" s="178">
        <v>38560616000</v>
      </c>
      <c r="Z92" s="178">
        <v>40796976000</v>
      </c>
      <c r="AA92" s="178">
        <v>40375692000</v>
      </c>
      <c r="AB92" s="178">
        <v>32613084000</v>
      </c>
      <c r="AC92" s="178">
        <v>34027236000</v>
      </c>
      <c r="AD92" s="178">
        <v>39169332000</v>
      </c>
      <c r="AE92" s="178">
        <v>40179456000</v>
      </c>
      <c r="AF92" s="178">
        <v>36548280000</v>
      </c>
      <c r="AG92" s="178">
        <v>37878084000</v>
      </c>
      <c r="AH92" s="178">
        <v>39748212000</v>
      </c>
      <c r="AI92" s="178">
        <v>42387624000</v>
      </c>
      <c r="AJ92" s="178">
        <v>36338328000</v>
      </c>
      <c r="AK92" s="178">
        <v>33921504000</v>
      </c>
      <c r="AL92" s="178">
        <v>41857452000</v>
      </c>
      <c r="AM92" s="178">
        <v>45590796000</v>
      </c>
      <c r="AN92" s="178">
        <v>43254540000</v>
      </c>
      <c r="AO92" s="178">
        <v>37206324000</v>
      </c>
      <c r="AP92" s="178">
        <v>35819496000</v>
      </c>
      <c r="AQ92" s="178">
        <v>43111980000</v>
      </c>
      <c r="AR92" s="178">
        <v>45729792000</v>
      </c>
      <c r="AS92" s="178">
        <v>41091948000</v>
      </c>
      <c r="AT92" s="178">
        <v>41418540000</v>
      </c>
      <c r="AU92" s="178">
        <v>51322788000</v>
      </c>
      <c r="AV92" s="178">
        <v>67909428000</v>
      </c>
      <c r="AW92" s="178">
        <v>67997232000</v>
      </c>
      <c r="AX92" s="178">
        <v>64388412000</v>
      </c>
      <c r="AY92" s="178">
        <v>69724152000</v>
      </c>
      <c r="AZ92" s="178">
        <v>79645896000</v>
      </c>
      <c r="BA92" s="178">
        <v>77393772000</v>
      </c>
      <c r="BB92" s="178">
        <v>67678956000</v>
      </c>
      <c r="BC92" s="178">
        <v>65409552000</v>
      </c>
      <c r="BD92" s="178">
        <v>70528212000</v>
      </c>
      <c r="BE92" s="178">
        <v>76762728000</v>
      </c>
      <c r="BF92" s="178">
        <v>62611812000</v>
      </c>
      <c r="BG92" s="178">
        <v>58882464000</v>
      </c>
      <c r="BH92" s="178">
        <v>70913340000</v>
      </c>
      <c r="BI92" s="178">
        <v>73075284000</v>
      </c>
      <c r="BJ92" s="178">
        <v>71037432000</v>
      </c>
      <c r="BK92" s="178">
        <v>62154432000</v>
      </c>
      <c r="BL92" s="178">
        <v>27080244000</v>
      </c>
      <c r="BM92" s="178">
        <v>2476510428000</v>
      </c>
      <c r="BN92" s="178">
        <v>37587132000</v>
      </c>
      <c r="BO92" s="178">
        <v>73405980000</v>
      </c>
      <c r="BP92" s="178">
        <v>89817012000</v>
      </c>
      <c r="BQ92" s="178">
        <v>75120480000</v>
      </c>
      <c r="BR92" s="178">
        <v>71171244000</v>
      </c>
      <c r="BS92" s="178">
        <v>77292252000</v>
      </c>
      <c r="BT92" s="178">
        <v>93498624000</v>
      </c>
      <c r="BU92" s="178">
        <v>46489248000</v>
      </c>
      <c r="BV92" s="178">
        <v>73649088000</v>
      </c>
      <c r="BW92" s="178">
        <v>82156788000</v>
      </c>
      <c r="BX92" s="178">
        <v>91590480000</v>
      </c>
      <c r="BY92" s="178">
        <v>79498476000</v>
      </c>
      <c r="BZ92" s="178">
        <v>72806580000</v>
      </c>
      <c r="CA92" s="178">
        <v>77256288000</v>
      </c>
      <c r="CB92" s="178">
        <v>81160164000</v>
      </c>
      <c r="CC92" s="178">
        <v>77114160000</v>
      </c>
      <c r="CD92" s="178">
        <v>1199613996000</v>
      </c>
      <c r="CE92" s="178">
        <v>3676124424000</v>
      </c>
      <c r="CF92" s="137"/>
      <c r="CG92" s="137"/>
      <c r="CH92" s="137"/>
      <c r="CI92" s="137"/>
      <c r="CJ92" s="137"/>
      <c r="CK92" s="137"/>
      <c r="CL92" s="137"/>
      <c r="CM92" s="137"/>
      <c r="CN92" s="137"/>
      <c r="CO92" s="137"/>
      <c r="CP92" s="137"/>
      <c r="CQ92" s="137"/>
      <c r="CR92" s="137"/>
      <c r="CS92" s="137"/>
    </row>
    <row r="93" spans="1:97" x14ac:dyDescent="0.2">
      <c r="A93" s="134">
        <v>45304</v>
      </c>
      <c r="B93" s="135">
        <f>YEAR(source[[#This Row],[report_date]])</f>
        <v>2024</v>
      </c>
      <c r="C93" s="136">
        <v>1</v>
      </c>
      <c r="D93" s="136">
        <f t="shared" si="8"/>
        <v>2</v>
      </c>
      <c r="E93" s="136">
        <f t="shared" si="9"/>
        <v>13</v>
      </c>
      <c r="F93" s="128" t="s">
        <v>11</v>
      </c>
      <c r="G93" s="128" t="str">
        <f>VLOOKUP(source[[#This Row],[lending_product_transform]],[3]Mapping!$B$4:$C$37,2,0)</f>
        <v>[VDS] - Cashloan</v>
      </c>
      <c r="H93" s="128" t="str">
        <f>VLOOKUP(source[[#This Row],[lending_product_transform]],[3]Mapping!$B$3:$D$37,3,0)</f>
        <v>cashloan</v>
      </c>
      <c r="I93" s="135">
        <v>2617800000</v>
      </c>
      <c r="K93" s="179" t="s">
        <v>62</v>
      </c>
      <c r="L93" s="178">
        <v>2140387834</v>
      </c>
      <c r="M93" s="178">
        <v>3260734835</v>
      </c>
      <c r="N93" s="178">
        <v>2214487233</v>
      </c>
      <c r="O93" s="178">
        <v>2122421205</v>
      </c>
      <c r="P93" s="178">
        <v>1576146152</v>
      </c>
      <c r="Q93" s="178">
        <v>3857124456</v>
      </c>
      <c r="R93" s="178">
        <v>2794755062</v>
      </c>
      <c r="S93" s="178">
        <v>2165757475</v>
      </c>
      <c r="T93" s="178">
        <v>2382863681</v>
      </c>
      <c r="U93" s="178">
        <v>4000891581</v>
      </c>
      <c r="V93" s="178">
        <v>3276080143</v>
      </c>
      <c r="W93" s="178">
        <v>2305032354</v>
      </c>
      <c r="X93" s="178">
        <v>2162481556</v>
      </c>
      <c r="Y93" s="178">
        <v>3901227007</v>
      </c>
      <c r="Z93" s="178">
        <v>2983309571</v>
      </c>
      <c r="AA93" s="178">
        <v>2391719724</v>
      </c>
      <c r="AB93" s="178">
        <v>2263402709</v>
      </c>
      <c r="AC93" s="178">
        <v>2544356662</v>
      </c>
      <c r="AD93" s="178">
        <v>4132301274</v>
      </c>
      <c r="AE93" s="178">
        <v>2407537256</v>
      </c>
      <c r="AF93" s="178">
        <v>1974441058</v>
      </c>
      <c r="AG93" s="178">
        <v>2175054918</v>
      </c>
      <c r="AH93" s="178">
        <v>4103589403</v>
      </c>
      <c r="AI93" s="178">
        <v>2955690537</v>
      </c>
      <c r="AJ93" s="178">
        <v>2372122489</v>
      </c>
      <c r="AK93" s="178">
        <v>2098171056</v>
      </c>
      <c r="AL93" s="178">
        <v>4185766218</v>
      </c>
      <c r="AM93" s="178">
        <v>3041394409</v>
      </c>
      <c r="AN93" s="178">
        <v>2032307183</v>
      </c>
      <c r="AO93" s="178">
        <v>1883267922</v>
      </c>
      <c r="AP93" s="178">
        <v>2260935881</v>
      </c>
      <c r="AQ93" s="178">
        <v>3118233826</v>
      </c>
      <c r="AR93" s="178">
        <v>1814465382</v>
      </c>
      <c r="AS93" s="178">
        <v>1419742860</v>
      </c>
      <c r="AT93" s="178">
        <v>1310469978</v>
      </c>
      <c r="AU93" s="178">
        <v>3600724202</v>
      </c>
      <c r="AV93" s="178">
        <v>2090240469</v>
      </c>
      <c r="AW93" s="178">
        <v>1357979620</v>
      </c>
      <c r="AX93" s="178">
        <v>1225584309</v>
      </c>
      <c r="AY93" s="178">
        <v>2963143481</v>
      </c>
      <c r="AZ93" s="178">
        <v>2407047658</v>
      </c>
      <c r="BA93" s="178">
        <v>1589499401</v>
      </c>
      <c r="BB93" s="178">
        <v>1462466707</v>
      </c>
      <c r="BC93" s="178">
        <v>1922664845</v>
      </c>
      <c r="BD93" s="178">
        <v>3215041777</v>
      </c>
      <c r="BE93" s="178">
        <v>1595378019</v>
      </c>
      <c r="BF93" s="178">
        <v>1128771716</v>
      </c>
      <c r="BG93" s="178">
        <v>1126975643</v>
      </c>
      <c r="BH93" s="178">
        <v>3301338409</v>
      </c>
      <c r="BI93" s="178">
        <v>1763532909</v>
      </c>
      <c r="BJ93" s="178">
        <v>1247773395</v>
      </c>
      <c r="BK93" s="178">
        <v>1062659888</v>
      </c>
      <c r="BL93" s="178">
        <v>520564878</v>
      </c>
      <c r="BM93" s="178">
        <v>125210058216</v>
      </c>
      <c r="BN93" s="178">
        <v>1979837215</v>
      </c>
      <c r="BO93" s="178">
        <v>2358135636</v>
      </c>
      <c r="BP93" s="178">
        <v>1288070204</v>
      </c>
      <c r="BQ93" s="178">
        <v>1170751445</v>
      </c>
      <c r="BR93" s="178">
        <v>1388850066</v>
      </c>
      <c r="BS93" s="178">
        <v>2902622095</v>
      </c>
      <c r="BT93" s="178">
        <v>1427797481</v>
      </c>
      <c r="BU93" s="178">
        <v>709041455</v>
      </c>
      <c r="BV93" s="178">
        <v>1285749807</v>
      </c>
      <c r="BW93" s="178">
        <v>2863915060</v>
      </c>
      <c r="BX93" s="178">
        <v>1651838318</v>
      </c>
      <c r="BY93" s="178">
        <v>1067896851</v>
      </c>
      <c r="BZ93" s="178">
        <v>931316764</v>
      </c>
      <c r="CA93" s="178">
        <v>2763538835</v>
      </c>
      <c r="CB93" s="178">
        <v>1891652948</v>
      </c>
      <c r="CC93" s="178">
        <v>1099546589</v>
      </c>
      <c r="CD93" s="178">
        <v>26780560769</v>
      </c>
      <c r="CE93" s="178">
        <v>151990618985</v>
      </c>
      <c r="CF93" s="137"/>
      <c r="CG93" s="137"/>
      <c r="CH93" s="137"/>
      <c r="CI93" s="137"/>
      <c r="CJ93" s="137"/>
      <c r="CK93" s="137"/>
      <c r="CL93" s="137"/>
      <c r="CM93" s="137"/>
      <c r="CN93" s="137"/>
      <c r="CO93" s="137"/>
      <c r="CP93" s="137"/>
      <c r="CQ93" s="137"/>
      <c r="CR93" s="137"/>
      <c r="CS93" s="137"/>
    </row>
    <row r="94" spans="1:97" x14ac:dyDescent="0.2">
      <c r="A94" s="134">
        <v>45305</v>
      </c>
      <c r="B94" s="135">
        <f>YEAR(source[[#This Row],[report_date]])</f>
        <v>2024</v>
      </c>
      <c r="C94" s="136">
        <v>1</v>
      </c>
      <c r="D94" s="136">
        <f t="shared" si="8"/>
        <v>2</v>
      </c>
      <c r="E94" s="136">
        <f t="shared" si="9"/>
        <v>14</v>
      </c>
      <c r="F94" s="128" t="s">
        <v>11</v>
      </c>
      <c r="G94" s="128" t="str">
        <f>VLOOKUP(source[[#This Row],[lending_product_transform]],[3]Mapping!$B$4:$C$37,2,0)</f>
        <v>[VDS] - Cashloan</v>
      </c>
      <c r="H94" s="128" t="str">
        <f>VLOOKUP(source[[#This Row],[lending_product_transform]],[3]Mapping!$B$3:$D$37,3,0)</f>
        <v>cashloan</v>
      </c>
      <c r="I94" s="135">
        <v>1710100000</v>
      </c>
      <c r="K94" s="179" t="s">
        <v>58</v>
      </c>
      <c r="L94" s="178">
        <v>132350000</v>
      </c>
      <c r="M94" s="178">
        <v>158600000</v>
      </c>
      <c r="N94" s="178">
        <v>314500000</v>
      </c>
      <c r="O94" s="178">
        <v>342450000</v>
      </c>
      <c r="P94" s="178">
        <v>147550000</v>
      </c>
      <c r="Q94" s="178">
        <v>206450000</v>
      </c>
      <c r="R94" s="178">
        <v>318750000</v>
      </c>
      <c r="S94" s="178">
        <v>300650000</v>
      </c>
      <c r="T94" s="178">
        <v>324000000</v>
      </c>
      <c r="U94" s="178">
        <v>386250000</v>
      </c>
      <c r="V94" s="178">
        <v>292000000</v>
      </c>
      <c r="W94" s="178">
        <v>424050000</v>
      </c>
      <c r="X94" s="178">
        <v>471700000</v>
      </c>
      <c r="Y94" s="178">
        <v>450650000</v>
      </c>
      <c r="Z94" s="178">
        <v>146000000</v>
      </c>
      <c r="AA94" s="178">
        <v>252400000</v>
      </c>
      <c r="AB94" s="178">
        <v>327700000</v>
      </c>
      <c r="AC94" s="178">
        <v>323000000</v>
      </c>
      <c r="AD94" s="178">
        <v>303350000</v>
      </c>
      <c r="AE94" s="178">
        <v>194300000</v>
      </c>
      <c r="AF94" s="178">
        <v>277550000</v>
      </c>
      <c r="AG94" s="178">
        <v>213250000</v>
      </c>
      <c r="AH94" s="178">
        <v>73500000</v>
      </c>
      <c r="AI94" s="178">
        <v>21000000</v>
      </c>
      <c r="AJ94" s="178">
        <v>115500000</v>
      </c>
      <c r="AK94" s="178">
        <v>122000000</v>
      </c>
      <c r="AL94" s="178">
        <v>52500000</v>
      </c>
      <c r="AM94" s="178">
        <v>73500000</v>
      </c>
      <c r="AN94" s="178">
        <v>381250000</v>
      </c>
      <c r="AO94" s="178">
        <v>173300000</v>
      </c>
      <c r="AP94" s="178">
        <v>201750000</v>
      </c>
      <c r="AQ94" s="178">
        <v>178500000</v>
      </c>
      <c r="AR94" s="178">
        <v>237950000</v>
      </c>
      <c r="AS94" s="178">
        <v>337500000</v>
      </c>
      <c r="AT94" s="178">
        <v>245250000</v>
      </c>
      <c r="AU94" s="178">
        <v>176250000</v>
      </c>
      <c r="AV94" s="178">
        <v>314750000</v>
      </c>
      <c r="AW94" s="178">
        <v>126000000</v>
      </c>
      <c r="AX94" s="178">
        <v>269000000</v>
      </c>
      <c r="AY94" s="178">
        <v>267000000</v>
      </c>
      <c r="AZ94" s="178">
        <v>268300000</v>
      </c>
      <c r="BA94" s="178">
        <v>198150000</v>
      </c>
      <c r="BB94" s="178">
        <v>280300000</v>
      </c>
      <c r="BC94" s="178">
        <v>164750000</v>
      </c>
      <c r="BD94" s="178">
        <v>136100000</v>
      </c>
      <c r="BE94" s="178">
        <v>205850000</v>
      </c>
      <c r="BF94" s="178">
        <v>150800000</v>
      </c>
      <c r="BG94" s="178">
        <v>199000000</v>
      </c>
      <c r="BH94" s="178">
        <v>187750000</v>
      </c>
      <c r="BI94" s="178">
        <v>129250000</v>
      </c>
      <c r="BJ94" s="178">
        <v>83500000</v>
      </c>
      <c r="BK94" s="178">
        <v>112900000</v>
      </c>
      <c r="BL94" s="178">
        <v>80350000</v>
      </c>
      <c r="BM94" s="178">
        <v>11871000000</v>
      </c>
      <c r="BN94" s="178">
        <v>42000000</v>
      </c>
      <c r="BO94" s="178">
        <v>96650000</v>
      </c>
      <c r="BP94" s="178">
        <v>21000000</v>
      </c>
      <c r="BQ94" s="178">
        <v>317650000</v>
      </c>
      <c r="BR94" s="178">
        <v>403450000</v>
      </c>
      <c r="BS94" s="178">
        <v>370250000</v>
      </c>
      <c r="BT94" s="178">
        <v>401750000</v>
      </c>
      <c r="BU94" s="178">
        <v>207950000</v>
      </c>
      <c r="BV94" s="178">
        <v>230500000</v>
      </c>
      <c r="BW94" s="178">
        <v>244500000</v>
      </c>
      <c r="BX94" s="178">
        <v>187500000</v>
      </c>
      <c r="BY94" s="178">
        <v>348700000</v>
      </c>
      <c r="BZ94" s="178">
        <v>489950000</v>
      </c>
      <c r="CA94" s="178">
        <v>281000000</v>
      </c>
      <c r="CB94" s="178">
        <v>277250000</v>
      </c>
      <c r="CC94" s="178">
        <v>257300000</v>
      </c>
      <c r="CD94" s="178">
        <v>4177400000</v>
      </c>
      <c r="CE94" s="178">
        <v>16048400000</v>
      </c>
      <c r="CF94" s="137"/>
      <c r="CG94" s="137"/>
      <c r="CH94" s="137"/>
      <c r="CI94" s="137"/>
      <c r="CJ94" s="137"/>
      <c r="CK94" s="137"/>
      <c r="CL94" s="137"/>
      <c r="CM94" s="137"/>
      <c r="CN94" s="137"/>
      <c r="CO94" s="137"/>
      <c r="CP94" s="137"/>
      <c r="CQ94" s="137"/>
      <c r="CR94" s="137"/>
      <c r="CS94" s="137"/>
    </row>
    <row r="95" spans="1:97" x14ac:dyDescent="0.2">
      <c r="A95" s="134">
        <v>45305</v>
      </c>
      <c r="B95" s="135">
        <f>YEAR(source[[#This Row],[report_date]])</f>
        <v>2024</v>
      </c>
      <c r="C95" s="136">
        <v>1</v>
      </c>
      <c r="D95" s="136">
        <f t="shared" si="8"/>
        <v>2</v>
      </c>
      <c r="E95" s="136">
        <f t="shared" si="9"/>
        <v>14</v>
      </c>
      <c r="F95" s="128" t="s">
        <v>58</v>
      </c>
      <c r="G95" s="128" t="str">
        <f>VLOOKUP(source[[#This Row],[lending_product_transform]],[3]Mapping!$B$4:$C$37,2,0)</f>
        <v>[VDS] - Payroll Cashloan</v>
      </c>
      <c r="H95" s="128" t="str">
        <f>VLOOKUP(source[[#This Row],[lending_product_transform]],[3]Mapping!$B$3:$D$37,3,0)</f>
        <v>cashloan</v>
      </c>
      <c r="I95" s="135">
        <v>21000000</v>
      </c>
      <c r="K95" s="179" t="s">
        <v>61</v>
      </c>
      <c r="L95" s="178">
        <v>122000000</v>
      </c>
      <c r="M95" s="178">
        <v>189000000</v>
      </c>
      <c r="N95" s="178">
        <v>151000000</v>
      </c>
      <c r="O95" s="178">
        <v>330000000</v>
      </c>
      <c r="P95" s="178">
        <v>117000000</v>
      </c>
      <c r="Q95" s="178">
        <v>264000000</v>
      </c>
      <c r="R95" s="178">
        <v>282000000</v>
      </c>
      <c r="S95" s="178">
        <v>401000000</v>
      </c>
      <c r="T95" s="178">
        <v>390000000</v>
      </c>
      <c r="U95" s="178">
        <v>464000000</v>
      </c>
      <c r="V95" s="178">
        <v>393000000</v>
      </c>
      <c r="W95" s="178">
        <v>562000000</v>
      </c>
      <c r="X95" s="178">
        <v>484000000</v>
      </c>
      <c r="Y95" s="178">
        <v>455000000</v>
      </c>
      <c r="Z95" s="178">
        <v>305000000</v>
      </c>
      <c r="AA95" s="178">
        <v>353000000</v>
      </c>
      <c r="AB95" s="178">
        <v>359000000</v>
      </c>
      <c r="AC95" s="178">
        <v>246000000</v>
      </c>
      <c r="AD95" s="178">
        <v>281000000</v>
      </c>
      <c r="AE95" s="178">
        <v>214000000</v>
      </c>
      <c r="AF95" s="178">
        <v>206000000</v>
      </c>
      <c r="AG95" s="178">
        <v>139000000</v>
      </c>
      <c r="AH95" s="178">
        <v>119000000</v>
      </c>
      <c r="AI95" s="178">
        <v>117000000</v>
      </c>
      <c r="AJ95" s="178">
        <v>120000000</v>
      </c>
      <c r="AK95" s="178">
        <v>144000000</v>
      </c>
      <c r="AL95" s="178">
        <v>164000000</v>
      </c>
      <c r="AM95" s="178">
        <v>104000000</v>
      </c>
      <c r="AN95" s="178">
        <v>328000000</v>
      </c>
      <c r="AO95" s="178">
        <v>201000000</v>
      </c>
      <c r="AP95" s="178">
        <v>259000000</v>
      </c>
      <c r="AQ95" s="178">
        <v>240000000</v>
      </c>
      <c r="AR95" s="178">
        <v>185000000</v>
      </c>
      <c r="AS95" s="178">
        <v>226000000</v>
      </c>
      <c r="AT95" s="178">
        <v>310000000</v>
      </c>
      <c r="AU95" s="178">
        <v>270000000</v>
      </c>
      <c r="AV95" s="178">
        <v>236000000</v>
      </c>
      <c r="AW95" s="178">
        <v>230000000</v>
      </c>
      <c r="AX95" s="178">
        <v>350000000</v>
      </c>
      <c r="AY95" s="178">
        <v>318000000</v>
      </c>
      <c r="AZ95" s="178">
        <v>315000000</v>
      </c>
      <c r="BA95" s="178">
        <v>166000000</v>
      </c>
      <c r="BB95" s="178">
        <v>302000000</v>
      </c>
      <c r="BC95" s="178">
        <v>284000000</v>
      </c>
      <c r="BD95" s="178">
        <v>273000000</v>
      </c>
      <c r="BE95" s="178">
        <v>248000000</v>
      </c>
      <c r="BF95" s="178">
        <v>239000000</v>
      </c>
      <c r="BG95" s="178">
        <v>428000000</v>
      </c>
      <c r="BH95" s="178">
        <v>298000000</v>
      </c>
      <c r="BI95" s="178">
        <v>227000000</v>
      </c>
      <c r="BJ95" s="178">
        <v>281000000</v>
      </c>
      <c r="BK95" s="178">
        <v>346000000</v>
      </c>
      <c r="BL95" s="178">
        <v>118000000</v>
      </c>
      <c r="BM95" s="178">
        <v>14153000000</v>
      </c>
      <c r="BN95" s="178">
        <v>169000000</v>
      </c>
      <c r="BO95" s="178">
        <v>428000000</v>
      </c>
      <c r="BP95" s="178">
        <v>294000000</v>
      </c>
      <c r="BQ95" s="178">
        <v>310000000</v>
      </c>
      <c r="BR95" s="178">
        <v>301000000</v>
      </c>
      <c r="BS95" s="178">
        <v>308000000</v>
      </c>
      <c r="BT95" s="178">
        <v>384000000</v>
      </c>
      <c r="BU95" s="178">
        <v>258000000</v>
      </c>
      <c r="BV95" s="178">
        <v>316000000</v>
      </c>
      <c r="BW95" s="178">
        <v>445000000</v>
      </c>
      <c r="BX95" s="178">
        <v>316000000</v>
      </c>
      <c r="BY95" s="178">
        <v>333000000</v>
      </c>
      <c r="BZ95" s="178">
        <v>385000000</v>
      </c>
      <c r="CA95" s="178">
        <v>441000000</v>
      </c>
      <c r="CB95" s="178">
        <v>330000000</v>
      </c>
      <c r="CC95" s="178">
        <v>268000000</v>
      </c>
      <c r="CD95" s="178">
        <v>5286000000</v>
      </c>
      <c r="CE95" s="178">
        <v>19439000000</v>
      </c>
      <c r="CF95" s="137"/>
      <c r="CG95" s="137"/>
      <c r="CH95" s="137"/>
      <c r="CI95" s="137"/>
      <c r="CJ95" s="137"/>
      <c r="CK95" s="137"/>
      <c r="CL95" s="137"/>
      <c r="CM95" s="137"/>
      <c r="CN95" s="137"/>
      <c r="CO95" s="137"/>
      <c r="CP95" s="137"/>
      <c r="CQ95" s="137"/>
      <c r="CR95" s="137"/>
      <c r="CS95" s="137"/>
    </row>
    <row r="96" spans="1:97" x14ac:dyDescent="0.2">
      <c r="A96" s="134">
        <v>45305</v>
      </c>
      <c r="B96" s="135">
        <f>YEAR(source[[#This Row],[report_date]])</f>
        <v>2024</v>
      </c>
      <c r="C96" s="136">
        <v>1</v>
      </c>
      <c r="D96" s="136">
        <f t="shared" si="8"/>
        <v>2</v>
      </c>
      <c r="E96" s="136">
        <f t="shared" si="9"/>
        <v>14</v>
      </c>
      <c r="F96" s="128" t="s">
        <v>65</v>
      </c>
      <c r="G96" s="128" t="str">
        <f>VLOOKUP(source[[#This Row],[lending_product_transform]],[3]Mapping!$B$4:$C$37,2,0)</f>
        <v>[BE] - Cashloan</v>
      </c>
      <c r="H96" s="128" t="str">
        <f>VLOOKUP(source[[#This Row],[lending_product_transform]],[3]Mapping!$B$3:$D$37,3,0)</f>
        <v>cashloan</v>
      </c>
      <c r="I96" s="135">
        <v>275100000</v>
      </c>
      <c r="K96" s="179" t="s">
        <v>36</v>
      </c>
      <c r="L96" s="178">
        <v>2220450000</v>
      </c>
      <c r="M96" s="178">
        <v>3487890000</v>
      </c>
      <c r="N96" s="178">
        <v>5241420000</v>
      </c>
      <c r="O96" s="178">
        <v>4925260000</v>
      </c>
      <c r="P96" s="178">
        <v>452580000</v>
      </c>
      <c r="Q96" s="178">
        <v>2092460000</v>
      </c>
      <c r="R96" s="178">
        <v>3230030000</v>
      </c>
      <c r="S96" s="178">
        <v>4211980000</v>
      </c>
      <c r="T96" s="178">
        <v>4177510000</v>
      </c>
      <c r="U96" s="178">
        <v>4526010000</v>
      </c>
      <c r="V96" s="178">
        <v>6161300000</v>
      </c>
      <c r="W96" s="178">
        <v>5857660000</v>
      </c>
      <c r="X96" s="178">
        <v>5027260000</v>
      </c>
      <c r="Y96" s="178">
        <v>5839660000</v>
      </c>
      <c r="Z96" s="178">
        <v>7227840000</v>
      </c>
      <c r="AA96" s="178">
        <v>7693270000</v>
      </c>
      <c r="AB96" s="178">
        <v>5863990000</v>
      </c>
      <c r="AC96" s="178">
        <v>5358820000</v>
      </c>
      <c r="AD96" s="178">
        <v>7519460000</v>
      </c>
      <c r="AE96" s="178">
        <v>9061030000</v>
      </c>
      <c r="AF96" s="178">
        <v>7627390000</v>
      </c>
      <c r="AG96" s="178">
        <v>7683170000</v>
      </c>
      <c r="AH96" s="178">
        <v>8875830000</v>
      </c>
      <c r="AI96" s="178">
        <v>9694930000</v>
      </c>
      <c r="AJ96" s="178">
        <v>9701280000</v>
      </c>
      <c r="AK96" s="178">
        <v>9264750000</v>
      </c>
      <c r="AL96" s="178">
        <v>9368150000</v>
      </c>
      <c r="AM96" s="178">
        <v>14452330000</v>
      </c>
      <c r="AN96" s="178">
        <v>13105240000</v>
      </c>
      <c r="AO96" s="178">
        <v>10557980000</v>
      </c>
      <c r="AP96" s="178">
        <v>12660380000</v>
      </c>
      <c r="AQ96" s="178">
        <v>15304870000</v>
      </c>
      <c r="AR96" s="178">
        <v>15363760000</v>
      </c>
      <c r="AS96" s="178">
        <v>13909860000</v>
      </c>
      <c r="AT96" s="178">
        <v>12952960000</v>
      </c>
      <c r="AU96" s="178">
        <v>17323630000</v>
      </c>
      <c r="AV96" s="178">
        <v>27878050000</v>
      </c>
      <c r="AW96" s="178">
        <v>26335430000</v>
      </c>
      <c r="AX96" s="178">
        <v>21793130000</v>
      </c>
      <c r="AY96" s="178">
        <v>24128080000</v>
      </c>
      <c r="AZ96" s="178">
        <v>23567050000</v>
      </c>
      <c r="BA96" s="178">
        <v>23287260000</v>
      </c>
      <c r="BB96" s="178">
        <v>18780980000</v>
      </c>
      <c r="BC96" s="178">
        <v>15583380000</v>
      </c>
      <c r="BD96" s="178">
        <v>21270170000</v>
      </c>
      <c r="BE96" s="178">
        <v>27463790000</v>
      </c>
      <c r="BF96" s="178">
        <v>23796510000</v>
      </c>
      <c r="BG96" s="178">
        <v>23014970000</v>
      </c>
      <c r="BH96" s="178">
        <v>26328180000</v>
      </c>
      <c r="BI96" s="178">
        <v>32951200000</v>
      </c>
      <c r="BJ96" s="178">
        <v>30395690000</v>
      </c>
      <c r="BK96" s="178">
        <v>25250540000</v>
      </c>
      <c r="BL96" s="178">
        <v>12028060000</v>
      </c>
      <c r="BM96" s="178">
        <v>691874860000</v>
      </c>
      <c r="BN96" s="178">
        <v>16546870000</v>
      </c>
      <c r="BO96" s="178">
        <v>39440310000</v>
      </c>
      <c r="BP96" s="178">
        <v>42881180000</v>
      </c>
      <c r="BQ96" s="178">
        <v>41206260000</v>
      </c>
      <c r="BR96" s="178">
        <v>42990360000</v>
      </c>
      <c r="BS96" s="178">
        <v>46022120000</v>
      </c>
      <c r="BT96" s="178">
        <v>42346110000</v>
      </c>
      <c r="BU96" s="178">
        <v>4619830000</v>
      </c>
      <c r="BV96" s="178">
        <v>22978910000</v>
      </c>
      <c r="BW96" s="178">
        <v>23944400000</v>
      </c>
      <c r="BX96" s="178">
        <v>26191340000</v>
      </c>
      <c r="BY96" s="178">
        <v>22890590000</v>
      </c>
      <c r="BZ96" s="178">
        <v>20650480000</v>
      </c>
      <c r="CA96" s="178">
        <v>23206110000</v>
      </c>
      <c r="CB96" s="178">
        <v>26177940000</v>
      </c>
      <c r="CC96" s="178">
        <v>25031170000</v>
      </c>
      <c r="CD96" s="178">
        <v>467123980000</v>
      </c>
      <c r="CE96" s="178">
        <v>1158998840000</v>
      </c>
      <c r="CF96" s="137"/>
      <c r="CG96" s="137"/>
      <c r="CH96" s="137"/>
      <c r="CI96" s="137"/>
      <c r="CJ96" s="137"/>
      <c r="CK96" s="137"/>
      <c r="CL96" s="137"/>
      <c r="CM96" s="137"/>
      <c r="CN96" s="137"/>
      <c r="CO96" s="137"/>
      <c r="CP96" s="137"/>
      <c r="CQ96" s="137"/>
      <c r="CR96" s="137"/>
      <c r="CS96" s="137"/>
    </row>
    <row r="97" spans="1:83" x14ac:dyDescent="0.2">
      <c r="A97" s="134">
        <v>45305</v>
      </c>
      <c r="B97" s="135">
        <f>YEAR(source[[#This Row],[report_date]])</f>
        <v>2024</v>
      </c>
      <c r="C97" s="136">
        <v>1</v>
      </c>
      <c r="D97" s="136">
        <f t="shared" si="8"/>
        <v>2</v>
      </c>
      <c r="E97" s="136">
        <f t="shared" si="9"/>
        <v>14</v>
      </c>
      <c r="F97" s="128" t="s">
        <v>19</v>
      </c>
      <c r="G97" s="128" t="str">
        <f>VLOOKUP(source[[#This Row],[lending_product_transform]],[3]Mapping!$B$4:$C$37,2,0)</f>
        <v>[VDS] - Payday</v>
      </c>
      <c r="H97" s="128" t="str">
        <f>VLOOKUP(source[[#This Row],[lending_product_transform]],[3]Mapping!$B$3:$D$37,3,0)</f>
        <v>payday</v>
      </c>
      <c r="I97" s="135">
        <v>1399000000</v>
      </c>
      <c r="K97" s="179" t="s">
        <v>59</v>
      </c>
      <c r="L97" s="178">
        <v>1631266445</v>
      </c>
      <c r="M97" s="178">
        <v>1545778292</v>
      </c>
      <c r="N97" s="178">
        <v>1438134765</v>
      </c>
      <c r="O97" s="178">
        <v>2242285555</v>
      </c>
      <c r="P97" s="178">
        <v>1181575645</v>
      </c>
      <c r="Q97" s="178">
        <v>4078734029</v>
      </c>
      <c r="R97" s="178">
        <v>1948557833</v>
      </c>
      <c r="S97" s="178">
        <v>1649787618</v>
      </c>
      <c r="T97" s="178">
        <v>2404488929</v>
      </c>
      <c r="U97" s="178">
        <v>5203980986</v>
      </c>
      <c r="V97" s="178">
        <v>2630084472</v>
      </c>
      <c r="W97" s="178">
        <v>1981308865</v>
      </c>
      <c r="X97" s="178">
        <v>2266333549</v>
      </c>
      <c r="Y97" s="178">
        <v>5846538873</v>
      </c>
      <c r="Z97" s="178">
        <v>3200006943</v>
      </c>
      <c r="AA97" s="178">
        <v>2046010894</v>
      </c>
      <c r="AB97" s="178">
        <v>2180625465</v>
      </c>
      <c r="AC97" s="178">
        <v>4428402316</v>
      </c>
      <c r="AD97" s="178">
        <v>6135338435</v>
      </c>
      <c r="AE97" s="178">
        <v>2423686872</v>
      </c>
      <c r="AF97" s="178">
        <v>2311547997</v>
      </c>
      <c r="AG97" s="178">
        <v>3226397430</v>
      </c>
      <c r="AH97" s="178">
        <v>7879885372</v>
      </c>
      <c r="AI97" s="178">
        <v>3358356577</v>
      </c>
      <c r="AJ97" s="178">
        <v>2235275215</v>
      </c>
      <c r="AK97" s="178">
        <v>2867490908</v>
      </c>
      <c r="AL97" s="178">
        <v>7775986275</v>
      </c>
      <c r="AM97" s="178">
        <v>3898580752</v>
      </c>
      <c r="AN97" s="178">
        <v>2354816048</v>
      </c>
      <c r="AO97" s="178">
        <v>2603344427</v>
      </c>
      <c r="AP97" s="178">
        <v>4588404846</v>
      </c>
      <c r="AQ97" s="178">
        <v>5651546077</v>
      </c>
      <c r="AR97" s="178">
        <v>2440824833</v>
      </c>
      <c r="AS97" s="178">
        <v>2203537191</v>
      </c>
      <c r="AT97" s="178">
        <v>3167809606</v>
      </c>
      <c r="AU97" s="178">
        <v>6599412246</v>
      </c>
      <c r="AV97" s="178">
        <v>2848779018</v>
      </c>
      <c r="AW97" s="178">
        <v>2174298503</v>
      </c>
      <c r="AX97" s="178">
        <v>2817666948</v>
      </c>
      <c r="AY97" s="178">
        <v>5864210627</v>
      </c>
      <c r="AZ97" s="178">
        <v>3229420978</v>
      </c>
      <c r="BA97" s="178">
        <v>2313072629</v>
      </c>
      <c r="BB97" s="178">
        <v>2713427507</v>
      </c>
      <c r="BC97" s="178">
        <v>4562822920</v>
      </c>
      <c r="BD97" s="178">
        <v>6987839823</v>
      </c>
      <c r="BE97" s="178">
        <v>2585251372</v>
      </c>
      <c r="BF97" s="178">
        <v>2434924368</v>
      </c>
      <c r="BG97" s="178">
        <v>3125693335</v>
      </c>
      <c r="BH97" s="178">
        <v>7558427723</v>
      </c>
      <c r="BI97" s="178">
        <v>2907239940</v>
      </c>
      <c r="BJ97" s="178">
        <v>2097935148</v>
      </c>
      <c r="BK97" s="178">
        <v>2750815094</v>
      </c>
      <c r="BL97" s="178">
        <v>1485394142</v>
      </c>
      <c r="BM97" s="178">
        <v>178083362656</v>
      </c>
      <c r="BN97" s="178">
        <v>4478333468</v>
      </c>
      <c r="BO97" s="178">
        <v>4545939343</v>
      </c>
      <c r="BP97" s="178">
        <v>2081001937</v>
      </c>
      <c r="BQ97" s="178">
        <v>2304625468</v>
      </c>
      <c r="BR97" s="178">
        <v>3364181058</v>
      </c>
      <c r="BS97" s="178">
        <v>7053447671</v>
      </c>
      <c r="BT97" s="178">
        <v>2561362266</v>
      </c>
      <c r="BU97" s="178">
        <v>1046046185</v>
      </c>
      <c r="BV97" s="178">
        <v>2921413483</v>
      </c>
      <c r="BW97" s="178">
        <v>6742057082</v>
      </c>
      <c r="BX97" s="178">
        <v>2733421029</v>
      </c>
      <c r="BY97" s="178">
        <v>1763418929</v>
      </c>
      <c r="BZ97" s="178">
        <v>2350361811</v>
      </c>
      <c r="CA97" s="178">
        <v>6267753469</v>
      </c>
      <c r="CB97" s="178">
        <v>3000114257</v>
      </c>
      <c r="CC97" s="178">
        <v>1665103559</v>
      </c>
      <c r="CD97" s="178">
        <v>54878581015</v>
      </c>
      <c r="CE97" s="178">
        <v>232961943671</v>
      </c>
    </row>
    <row r="98" spans="1:83" x14ac:dyDescent="0.2">
      <c r="A98" s="134">
        <v>45305</v>
      </c>
      <c r="B98" s="135">
        <f>YEAR(source[[#This Row],[report_date]])</f>
        <v>2024</v>
      </c>
      <c r="C98" s="136">
        <v>1</v>
      </c>
      <c r="D98" s="136">
        <f t="shared" si="8"/>
        <v>2</v>
      </c>
      <c r="E98" s="136">
        <f t="shared" si="9"/>
        <v>14</v>
      </c>
      <c r="F98" s="128" t="s">
        <v>67</v>
      </c>
      <c r="G98" s="128" t="str">
        <f>VLOOKUP(source[[#This Row],[lending_product_transform]],[3]Mapping!$B$4:$C$37,2,0)</f>
        <v>[Cake] - Overdraft</v>
      </c>
      <c r="H98" s="128" t="str">
        <f>VLOOKUP(source[[#This Row],[lending_product_transform]],[3]Mapping!$B$3:$D$37,3,0)</f>
        <v>overdraft</v>
      </c>
      <c r="I98" s="135">
        <v>1611265412</v>
      </c>
      <c r="K98" s="179" t="s">
        <v>208</v>
      </c>
      <c r="L98" s="178">
        <v>195738037</v>
      </c>
      <c r="M98" s="178">
        <v>195113408</v>
      </c>
      <c r="N98" s="178">
        <v>128269300</v>
      </c>
      <c r="O98" s="178">
        <v>204566496</v>
      </c>
      <c r="P98" s="178">
        <v>52794736</v>
      </c>
      <c r="Q98" s="178">
        <v>341760523</v>
      </c>
      <c r="R98" s="178">
        <v>137276023</v>
      </c>
      <c r="S98" s="178">
        <v>150382819</v>
      </c>
      <c r="T98" s="178">
        <v>161999235</v>
      </c>
      <c r="U98" s="178">
        <v>343775644</v>
      </c>
      <c r="V98" s="178">
        <v>209021373</v>
      </c>
      <c r="W98" s="178">
        <v>164766916</v>
      </c>
      <c r="X98" s="178">
        <v>140551514</v>
      </c>
      <c r="Y98" s="178">
        <v>415565281</v>
      </c>
      <c r="Z98" s="178">
        <v>144092472</v>
      </c>
      <c r="AA98" s="178">
        <v>88054712</v>
      </c>
      <c r="AB98" s="178">
        <v>149105152</v>
      </c>
      <c r="AC98" s="178">
        <v>259169870</v>
      </c>
      <c r="AD98" s="178">
        <v>308612819</v>
      </c>
      <c r="AE98" s="178">
        <v>121835512</v>
      </c>
      <c r="AF98" s="178">
        <v>177596008</v>
      </c>
      <c r="AG98" s="178">
        <v>216394458</v>
      </c>
      <c r="AH98" s="178">
        <v>341237140</v>
      </c>
      <c r="AI98" s="178">
        <v>175642794</v>
      </c>
      <c r="AJ98" s="178">
        <v>144748344</v>
      </c>
      <c r="AK98" s="178">
        <v>161772380</v>
      </c>
      <c r="AL98" s="178">
        <v>412494137</v>
      </c>
      <c r="AM98" s="178">
        <v>176390629</v>
      </c>
      <c r="AN98" s="178">
        <v>110739062</v>
      </c>
      <c r="AO98" s="178">
        <v>155145951</v>
      </c>
      <c r="AP98" s="178">
        <v>268202764</v>
      </c>
      <c r="AQ98" s="178">
        <v>355469538</v>
      </c>
      <c r="AR98" s="178">
        <v>152237019</v>
      </c>
      <c r="AS98" s="178">
        <v>136531432</v>
      </c>
      <c r="AT98" s="178">
        <v>127242316</v>
      </c>
      <c r="AU98" s="178">
        <v>469708183</v>
      </c>
      <c r="AV98" s="178">
        <v>148344652</v>
      </c>
      <c r="AW98" s="178">
        <v>103026425</v>
      </c>
      <c r="AX98" s="178">
        <v>139989902</v>
      </c>
      <c r="AY98" s="178">
        <v>389066795</v>
      </c>
      <c r="AZ98" s="178">
        <v>246704330</v>
      </c>
      <c r="BA98" s="178">
        <v>109697323</v>
      </c>
      <c r="BB98" s="178">
        <v>184829283</v>
      </c>
      <c r="BC98" s="178">
        <v>167485741</v>
      </c>
      <c r="BD98" s="178">
        <v>327177713</v>
      </c>
      <c r="BE98" s="178">
        <v>63257661</v>
      </c>
      <c r="BF98" s="178">
        <v>63774572</v>
      </c>
      <c r="BG98" s="178">
        <v>56290277</v>
      </c>
      <c r="BH98" s="178">
        <v>318316199</v>
      </c>
      <c r="BI98" s="178">
        <v>120172316</v>
      </c>
      <c r="BJ98" s="178">
        <v>67370277</v>
      </c>
      <c r="BK98" s="178">
        <v>52347497</v>
      </c>
      <c r="BL98" s="178">
        <v>31336197</v>
      </c>
      <c r="BM98" s="178">
        <v>10083191157</v>
      </c>
      <c r="BN98" s="178">
        <v>178461983</v>
      </c>
      <c r="BO98" s="178">
        <v>152361054</v>
      </c>
      <c r="BP98" s="178">
        <v>61638089</v>
      </c>
      <c r="BQ98" s="178">
        <v>58122502</v>
      </c>
      <c r="BR98" s="178">
        <v>102241527</v>
      </c>
      <c r="BS98" s="178">
        <v>268996859</v>
      </c>
      <c r="BT98" s="178">
        <v>43012836</v>
      </c>
      <c r="BU98" s="178">
        <v>9816393</v>
      </c>
      <c r="BV98" s="178">
        <v>62054014</v>
      </c>
      <c r="BW98" s="178">
        <v>220108361</v>
      </c>
      <c r="BX98" s="178">
        <v>84741096</v>
      </c>
      <c r="BY98" s="178">
        <v>22022498</v>
      </c>
      <c r="BZ98" s="178">
        <v>38569289</v>
      </c>
      <c r="CA98" s="178">
        <v>33463751</v>
      </c>
      <c r="CB98" s="178">
        <v>0</v>
      </c>
      <c r="CC98" s="178">
        <v>0</v>
      </c>
      <c r="CD98" s="178">
        <v>1335610252</v>
      </c>
      <c r="CE98" s="178">
        <v>11418801409</v>
      </c>
    </row>
    <row r="99" spans="1:83" x14ac:dyDescent="0.2">
      <c r="A99" s="134">
        <v>45305</v>
      </c>
      <c r="B99" s="135">
        <f>YEAR(source[[#This Row],[report_date]])</f>
        <v>2024</v>
      </c>
      <c r="C99" s="136">
        <v>1</v>
      </c>
      <c r="D99" s="136">
        <f t="shared" si="8"/>
        <v>2</v>
      </c>
      <c r="E99" s="136">
        <f t="shared" si="9"/>
        <v>14</v>
      </c>
      <c r="F99" s="128" t="s">
        <v>56</v>
      </c>
      <c r="G99" s="128">
        <f>VLOOKUP(source[[#This Row],[lending_product_transform]],[3]Mapping!$B$4:$C$37,2,0)</f>
        <v>0</v>
      </c>
      <c r="H99" s="128">
        <f>VLOOKUP(source[[#This Row],[lending_product_transform]],[3]Mapping!$B$3:$D$37,3,0)</f>
        <v>0</v>
      </c>
      <c r="I99" s="135">
        <v>5024465412</v>
      </c>
      <c r="K99" s="179" t="s">
        <v>57</v>
      </c>
      <c r="L99" s="178">
        <v>1120350000</v>
      </c>
      <c r="M99" s="178">
        <v>2336600000</v>
      </c>
      <c r="N99" s="178">
        <v>2842780000</v>
      </c>
      <c r="O99" s="178">
        <v>3233010000</v>
      </c>
      <c r="P99" s="178">
        <v>906230000</v>
      </c>
      <c r="Q99" s="178">
        <v>2145780000</v>
      </c>
      <c r="R99" s="178">
        <v>1675690000</v>
      </c>
      <c r="S99" s="178">
        <v>3292940000</v>
      </c>
      <c r="T99" s="178">
        <v>2525670000</v>
      </c>
      <c r="U99" s="178">
        <v>2632660000</v>
      </c>
      <c r="V99" s="178">
        <v>2903570000</v>
      </c>
      <c r="W99" s="178">
        <v>2659140000</v>
      </c>
      <c r="X99" s="178">
        <v>2371230000</v>
      </c>
      <c r="Y99" s="178">
        <v>3440090000</v>
      </c>
      <c r="Z99" s="178">
        <v>3555680000</v>
      </c>
      <c r="AA99" s="178">
        <v>2505650000</v>
      </c>
      <c r="AB99" s="178">
        <v>3337310000</v>
      </c>
      <c r="AC99" s="178">
        <v>3508310000</v>
      </c>
      <c r="AD99" s="178">
        <v>5072200000</v>
      </c>
      <c r="AE99" s="178">
        <v>4758470000</v>
      </c>
      <c r="AF99" s="178">
        <v>3575000000</v>
      </c>
      <c r="AG99" s="178">
        <v>4238960000</v>
      </c>
      <c r="AH99" s="178">
        <v>3872380000</v>
      </c>
      <c r="AI99" s="178">
        <v>3666910000</v>
      </c>
      <c r="AJ99" s="178">
        <v>3513000000</v>
      </c>
      <c r="AK99" s="178">
        <v>3722470000</v>
      </c>
      <c r="AL99" s="178">
        <v>3717370000</v>
      </c>
      <c r="AM99" s="178">
        <v>2453900000</v>
      </c>
      <c r="AN99" s="178">
        <v>2929330000</v>
      </c>
      <c r="AO99" s="178">
        <v>3289170000</v>
      </c>
      <c r="AP99" s="178">
        <v>2894130000</v>
      </c>
      <c r="AQ99" s="178">
        <v>3586200000</v>
      </c>
      <c r="AR99" s="178">
        <v>3215390000</v>
      </c>
      <c r="AS99" s="178">
        <v>2663560000</v>
      </c>
      <c r="AT99" s="178">
        <v>2762900000</v>
      </c>
      <c r="AU99" s="178">
        <v>3013850000</v>
      </c>
      <c r="AV99" s="178">
        <v>4983240000</v>
      </c>
      <c r="AW99" s="178">
        <v>6387340000</v>
      </c>
      <c r="AX99" s="178">
        <v>5214800000</v>
      </c>
      <c r="AY99" s="178">
        <v>4693400000</v>
      </c>
      <c r="AZ99" s="178">
        <v>4684870000</v>
      </c>
      <c r="BA99" s="178">
        <v>4457810000</v>
      </c>
      <c r="BB99" s="178">
        <v>5530380000</v>
      </c>
      <c r="BC99" s="178">
        <v>5796100000</v>
      </c>
      <c r="BD99" s="178">
        <v>5258730000</v>
      </c>
      <c r="BE99" s="178">
        <v>4526700000</v>
      </c>
      <c r="BF99" s="178">
        <v>4465850000</v>
      </c>
      <c r="BG99" s="178">
        <v>3903860000</v>
      </c>
      <c r="BH99" s="178">
        <v>4089650000</v>
      </c>
      <c r="BI99" s="178">
        <v>4282100000</v>
      </c>
      <c r="BJ99" s="178">
        <v>4594360000</v>
      </c>
      <c r="BK99" s="178">
        <v>5566110000</v>
      </c>
      <c r="BL99" s="178">
        <v>3165330000</v>
      </c>
      <c r="BM99" s="178">
        <v>191538510000</v>
      </c>
      <c r="BN99" s="178">
        <v>2997850000</v>
      </c>
      <c r="BO99" s="178">
        <v>7003180000</v>
      </c>
      <c r="BP99" s="178">
        <v>5929970000</v>
      </c>
      <c r="BQ99" s="178">
        <v>6514080000</v>
      </c>
      <c r="BR99" s="178">
        <v>5749360000</v>
      </c>
      <c r="BS99" s="178">
        <v>7470680000</v>
      </c>
      <c r="BT99" s="178">
        <v>6906360000</v>
      </c>
      <c r="BU99" s="178">
        <v>2210120000</v>
      </c>
      <c r="BV99" s="178">
        <v>5149210000</v>
      </c>
      <c r="BW99" s="178">
        <v>5345280000</v>
      </c>
      <c r="BX99" s="178">
        <v>5757540000</v>
      </c>
      <c r="BY99" s="178">
        <v>5116900000</v>
      </c>
      <c r="BZ99" s="178">
        <v>5443010000</v>
      </c>
      <c r="CA99" s="178">
        <v>5520540000</v>
      </c>
      <c r="CB99" s="178">
        <v>5526330000</v>
      </c>
      <c r="CC99" s="178">
        <v>5195400000</v>
      </c>
      <c r="CD99" s="178">
        <v>87835810000</v>
      </c>
      <c r="CE99" s="178">
        <v>279374320000</v>
      </c>
    </row>
    <row r="100" spans="1:83" x14ac:dyDescent="0.2">
      <c r="A100" s="134">
        <v>45305</v>
      </c>
      <c r="B100" s="135">
        <f>YEAR(source[[#This Row],[report_date]])</f>
        <v>2024</v>
      </c>
      <c r="C100" s="136">
        <v>1</v>
      </c>
      <c r="D100" s="136">
        <f t="shared" si="8"/>
        <v>2</v>
      </c>
      <c r="E100" s="136">
        <f t="shared" si="9"/>
        <v>14</v>
      </c>
      <c r="F100" s="128" t="s">
        <v>61</v>
      </c>
      <c r="G100" s="128" t="str">
        <f>VLOOKUP(source[[#This Row],[lending_product_transform]],[3]Mapping!$B$4:$C$37,2,0)</f>
        <v>[VDS] - Payroll Payday</v>
      </c>
      <c r="H100" s="128" t="str">
        <f>VLOOKUP(source[[#This Row],[lending_product_transform]],[3]Mapping!$B$3:$D$37,3,0)</f>
        <v>payday</v>
      </c>
      <c r="I100" s="135">
        <v>8000000</v>
      </c>
      <c r="K100" s="179" t="s">
        <v>209</v>
      </c>
      <c r="L100" s="178">
        <v>0</v>
      </c>
      <c r="M100" s="178">
        <v>0</v>
      </c>
      <c r="N100" s="178">
        <v>0</v>
      </c>
      <c r="O100" s="178">
        <v>0</v>
      </c>
      <c r="P100" s="178">
        <v>0</v>
      </c>
      <c r="Q100" s="178">
        <v>0</v>
      </c>
      <c r="R100" s="178">
        <v>0</v>
      </c>
      <c r="S100" s="178">
        <v>0</v>
      </c>
      <c r="T100" s="178">
        <v>0</v>
      </c>
      <c r="U100" s="178">
        <v>10000000</v>
      </c>
      <c r="V100" s="178">
        <v>0</v>
      </c>
      <c r="W100" s="178">
        <v>0</v>
      </c>
      <c r="X100" s="178">
        <v>0</v>
      </c>
      <c r="Y100" s="178">
        <v>0</v>
      </c>
      <c r="Z100" s="178">
        <v>0</v>
      </c>
      <c r="AA100" s="178">
        <v>18900000</v>
      </c>
      <c r="AB100" s="178">
        <v>0</v>
      </c>
      <c r="AC100" s="178">
        <v>0</v>
      </c>
      <c r="AD100" s="178">
        <v>0</v>
      </c>
      <c r="AE100" s="178">
        <v>10000000</v>
      </c>
      <c r="AF100" s="178">
        <v>33100000</v>
      </c>
      <c r="AG100" s="178">
        <v>35000000</v>
      </c>
      <c r="AH100" s="178">
        <v>76050000</v>
      </c>
      <c r="AI100" s="178">
        <v>124800000</v>
      </c>
      <c r="AJ100" s="178">
        <v>203300000</v>
      </c>
      <c r="AK100" s="178">
        <v>137200000</v>
      </c>
      <c r="AL100" s="178">
        <v>156400000</v>
      </c>
      <c r="AM100" s="178">
        <v>80850000</v>
      </c>
      <c r="AN100" s="178">
        <v>137050000</v>
      </c>
      <c r="AO100" s="178">
        <v>161200000</v>
      </c>
      <c r="AP100" s="178">
        <v>172250000</v>
      </c>
      <c r="AQ100" s="178">
        <v>87200000</v>
      </c>
      <c r="AR100" s="178">
        <v>158600000</v>
      </c>
      <c r="AS100" s="178">
        <v>132500000</v>
      </c>
      <c r="AT100" s="178">
        <v>185900000</v>
      </c>
      <c r="AU100" s="178">
        <v>146850000</v>
      </c>
      <c r="AV100" s="178">
        <v>563450000</v>
      </c>
      <c r="AW100" s="178">
        <v>616000000</v>
      </c>
      <c r="AX100" s="178">
        <v>890700000</v>
      </c>
      <c r="AY100" s="178">
        <v>1266100000</v>
      </c>
      <c r="AZ100" s="178">
        <v>1498950000</v>
      </c>
      <c r="BA100" s="178">
        <v>1289200000</v>
      </c>
      <c r="BB100" s="178">
        <v>1228750000</v>
      </c>
      <c r="BC100" s="178">
        <v>1223500000</v>
      </c>
      <c r="BD100" s="178">
        <v>1928000000</v>
      </c>
      <c r="BE100" s="178">
        <v>2640200000</v>
      </c>
      <c r="BF100" s="178">
        <v>2391350000</v>
      </c>
      <c r="BG100" s="178">
        <v>2804700000</v>
      </c>
      <c r="BH100" s="178">
        <v>2927600000</v>
      </c>
      <c r="BI100" s="178">
        <v>3812850000</v>
      </c>
      <c r="BJ100" s="178">
        <v>5430550000</v>
      </c>
      <c r="BK100" s="178">
        <v>3275350000</v>
      </c>
      <c r="BL100" s="178">
        <v>2092100000</v>
      </c>
      <c r="BM100" s="178">
        <v>37946500000</v>
      </c>
      <c r="BN100" s="178">
        <v>1858700000</v>
      </c>
      <c r="BO100" s="178">
        <v>1659500000</v>
      </c>
      <c r="BP100" s="178">
        <v>1147750000</v>
      </c>
      <c r="BQ100" s="178">
        <v>1712500000</v>
      </c>
      <c r="BR100" s="178">
        <v>1393200000</v>
      </c>
      <c r="BS100" s="178">
        <v>1117790000</v>
      </c>
      <c r="BT100" s="178">
        <v>970730000</v>
      </c>
      <c r="BU100" s="178">
        <v>15750000</v>
      </c>
      <c r="BV100" s="178">
        <v>258750000</v>
      </c>
      <c r="BW100" s="178">
        <v>669900000</v>
      </c>
      <c r="BX100" s="178">
        <v>675100000</v>
      </c>
      <c r="BY100" s="178">
        <v>487650000</v>
      </c>
      <c r="BZ100" s="178">
        <v>523600000</v>
      </c>
      <c r="CA100" s="178">
        <v>476400000</v>
      </c>
      <c r="CB100" s="178">
        <v>435200000</v>
      </c>
      <c r="CC100" s="178">
        <v>409700000</v>
      </c>
      <c r="CD100" s="178">
        <v>13812220000</v>
      </c>
      <c r="CE100" s="178">
        <v>51758720000</v>
      </c>
    </row>
    <row r="101" spans="1:83" x14ac:dyDescent="0.2">
      <c r="A101" s="134">
        <v>45306</v>
      </c>
      <c r="B101" s="135">
        <f>YEAR(source[[#This Row],[report_date]])</f>
        <v>2024</v>
      </c>
      <c r="C101" s="136">
        <v>1</v>
      </c>
      <c r="D101" s="136">
        <f t="shared" si="8"/>
        <v>3</v>
      </c>
      <c r="E101" s="136">
        <f t="shared" si="9"/>
        <v>15</v>
      </c>
      <c r="F101" s="128" t="s">
        <v>56</v>
      </c>
      <c r="G101" s="128">
        <f>VLOOKUP(source[[#This Row],[lending_product_transform]],[3]Mapping!$B$4:$C$37,2,0)</f>
        <v>0</v>
      </c>
      <c r="H101" s="128">
        <f>VLOOKUP(source[[#This Row],[lending_product_transform]],[3]Mapping!$B$3:$D$37,3,0)</f>
        <v>0</v>
      </c>
      <c r="I101" s="135">
        <v>7566861477</v>
      </c>
      <c r="K101" s="179" t="s">
        <v>176</v>
      </c>
      <c r="L101" s="178"/>
      <c r="M101" s="178"/>
      <c r="N101" s="178"/>
      <c r="O101" s="178">
        <v>100000</v>
      </c>
      <c r="P101" s="178">
        <v>0</v>
      </c>
      <c r="Q101" s="178">
        <v>0</v>
      </c>
      <c r="R101" s="178">
        <v>9612720000</v>
      </c>
      <c r="S101" s="178">
        <v>0</v>
      </c>
      <c r="T101" s="178">
        <v>0</v>
      </c>
      <c r="U101" s="178">
        <v>2650000</v>
      </c>
      <c r="V101" s="178">
        <v>0</v>
      </c>
      <c r="W101" s="178">
        <v>0</v>
      </c>
      <c r="X101" s="178">
        <v>0</v>
      </c>
      <c r="Y101" s="178">
        <v>0</v>
      </c>
      <c r="Z101" s="178">
        <v>0</v>
      </c>
      <c r="AA101" s="178">
        <v>0</v>
      </c>
      <c r="AB101" s="178">
        <v>0</v>
      </c>
      <c r="AC101" s="178">
        <v>0</v>
      </c>
      <c r="AD101" s="178">
        <v>0</v>
      </c>
      <c r="AE101" s="178">
        <v>2079000</v>
      </c>
      <c r="AF101" s="178">
        <v>16301000</v>
      </c>
      <c r="AG101" s="178">
        <v>5287000</v>
      </c>
      <c r="AH101" s="178">
        <v>23852000</v>
      </c>
      <c r="AI101" s="178">
        <v>14424000</v>
      </c>
      <c r="AJ101" s="178">
        <v>1007966650</v>
      </c>
      <c r="AK101" s="178">
        <v>2739294800</v>
      </c>
      <c r="AL101" s="178">
        <v>2224114000</v>
      </c>
      <c r="AM101" s="178">
        <v>1759622660</v>
      </c>
      <c r="AN101" s="178">
        <v>1354534298</v>
      </c>
      <c r="AO101" s="178">
        <v>2292911750</v>
      </c>
      <c r="AP101" s="178">
        <v>3116107700</v>
      </c>
      <c r="AQ101" s="178">
        <v>3365243800</v>
      </c>
      <c r="AR101" s="178">
        <v>2653167000</v>
      </c>
      <c r="AS101" s="178">
        <v>2498647150</v>
      </c>
      <c r="AT101" s="178">
        <v>2587187000</v>
      </c>
      <c r="AU101" s="178">
        <v>3167780949</v>
      </c>
      <c r="AV101" s="178">
        <v>2895947650</v>
      </c>
      <c r="AW101" s="178">
        <v>2977780225</v>
      </c>
      <c r="AX101" s="178">
        <v>3232879000</v>
      </c>
      <c r="AY101" s="178">
        <v>3648101090</v>
      </c>
      <c r="AZ101" s="178">
        <v>5460833650</v>
      </c>
      <c r="BA101" s="178">
        <v>4586144985</v>
      </c>
      <c r="BB101" s="178">
        <v>3824507289</v>
      </c>
      <c r="BC101" s="178">
        <v>4618536078</v>
      </c>
      <c r="BD101" s="178">
        <v>10952933257</v>
      </c>
      <c r="BE101" s="178">
        <v>6787419957</v>
      </c>
      <c r="BF101" s="178">
        <v>4842509716</v>
      </c>
      <c r="BG101" s="178">
        <v>5148981108</v>
      </c>
      <c r="BH101" s="178">
        <v>9877962290</v>
      </c>
      <c r="BI101" s="178">
        <v>6636130325</v>
      </c>
      <c r="BJ101" s="178">
        <v>6082184125</v>
      </c>
      <c r="BK101" s="178">
        <v>5915796026</v>
      </c>
      <c r="BL101" s="178">
        <v>2284503332</v>
      </c>
      <c r="BM101" s="178">
        <v>128217140860</v>
      </c>
      <c r="BN101" s="178">
        <v>8981711643</v>
      </c>
      <c r="BO101" s="178">
        <v>12176440837</v>
      </c>
      <c r="BP101" s="178">
        <v>9440290108</v>
      </c>
      <c r="BQ101" s="178">
        <v>8419576344</v>
      </c>
      <c r="BR101" s="178">
        <v>8701812581</v>
      </c>
      <c r="BS101" s="178">
        <v>18571115441</v>
      </c>
      <c r="BT101" s="178">
        <v>13054121646</v>
      </c>
      <c r="BU101" s="178">
        <v>3113869866</v>
      </c>
      <c r="BV101" s="178">
        <v>7110322785</v>
      </c>
      <c r="BW101" s="178">
        <v>12608119019</v>
      </c>
      <c r="BX101" s="178">
        <v>9005922970</v>
      </c>
      <c r="BY101" s="178">
        <v>6415461406</v>
      </c>
      <c r="BZ101" s="178">
        <v>5431302921</v>
      </c>
      <c r="CA101" s="178">
        <v>9069565313</v>
      </c>
      <c r="CB101" s="178">
        <v>9124450143</v>
      </c>
      <c r="CC101" s="178">
        <v>7163674797</v>
      </c>
      <c r="CD101" s="178">
        <v>148387757820</v>
      </c>
      <c r="CE101" s="178">
        <v>276604898680</v>
      </c>
    </row>
    <row r="102" spans="1:83" x14ac:dyDescent="0.2">
      <c r="A102" s="134">
        <v>45306</v>
      </c>
      <c r="B102" s="135">
        <f>YEAR(source[[#This Row],[report_date]])</f>
        <v>2024</v>
      </c>
      <c r="C102" s="136">
        <v>1</v>
      </c>
      <c r="D102" s="136">
        <f t="shared" si="8"/>
        <v>3</v>
      </c>
      <c r="E102" s="136">
        <f t="shared" si="9"/>
        <v>15</v>
      </c>
      <c r="F102" s="128" t="s">
        <v>61</v>
      </c>
      <c r="G102" s="128" t="str">
        <f>VLOOKUP(source[[#This Row],[lending_product_transform]],[3]Mapping!$B$4:$C$37,2,0)</f>
        <v>[VDS] - Payroll Payday</v>
      </c>
      <c r="H102" s="128" t="str">
        <f>VLOOKUP(source[[#This Row],[lending_product_transform]],[3]Mapping!$B$3:$D$37,3,0)</f>
        <v>payday</v>
      </c>
      <c r="I102" s="135">
        <v>5000000</v>
      </c>
      <c r="K102" s="179" t="s">
        <v>175</v>
      </c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>
        <v>13910000</v>
      </c>
      <c r="X102" s="178">
        <v>6420000</v>
      </c>
      <c r="Y102" s="178">
        <v>0</v>
      </c>
      <c r="Z102" s="178">
        <v>0</v>
      </c>
      <c r="AA102" s="178">
        <v>0</v>
      </c>
      <c r="AB102" s="178">
        <v>0</v>
      </c>
      <c r="AC102" s="178">
        <v>0</v>
      </c>
      <c r="AD102" s="178">
        <v>15000000</v>
      </c>
      <c r="AE102" s="178">
        <v>7725000000</v>
      </c>
      <c r="AF102" s="178">
        <v>12340000000</v>
      </c>
      <c r="AG102" s="178">
        <v>10693000000</v>
      </c>
      <c r="AH102" s="178">
        <v>14158880000</v>
      </c>
      <c r="AI102" s="178">
        <v>11443090000</v>
      </c>
      <c r="AJ102" s="178">
        <v>8602750000</v>
      </c>
      <c r="AK102" s="178">
        <v>10212730000</v>
      </c>
      <c r="AL102" s="178">
        <v>24094270000</v>
      </c>
      <c r="AM102" s="178">
        <v>27725120000</v>
      </c>
      <c r="AN102" s="178">
        <v>18183160000</v>
      </c>
      <c r="AO102" s="178">
        <v>13341060000</v>
      </c>
      <c r="AP102" s="178">
        <v>21550550000</v>
      </c>
      <c r="AQ102" s="178">
        <v>27643290000</v>
      </c>
      <c r="AR102" s="178">
        <v>11690660000</v>
      </c>
      <c r="AS102" s="178">
        <v>16156580000</v>
      </c>
      <c r="AT102" s="178">
        <v>13071780000</v>
      </c>
      <c r="AU102" s="178">
        <v>24139100000</v>
      </c>
      <c r="AV102" s="178">
        <v>19184590000</v>
      </c>
      <c r="AW102" s="178">
        <v>16768940000</v>
      </c>
      <c r="AX102" s="178">
        <v>17686120000</v>
      </c>
      <c r="AY102" s="178">
        <v>29567200000</v>
      </c>
      <c r="AZ102" s="178">
        <v>32138150000</v>
      </c>
      <c r="BA102" s="178">
        <v>26456740000</v>
      </c>
      <c r="BB102" s="178">
        <v>25906310000</v>
      </c>
      <c r="BC102" s="178">
        <v>25036150000</v>
      </c>
      <c r="BD102" s="178">
        <v>25536400000</v>
      </c>
      <c r="BE102" s="178">
        <v>23370060000</v>
      </c>
      <c r="BF102" s="178">
        <v>21085710000</v>
      </c>
      <c r="BG102" s="178">
        <v>21115020000</v>
      </c>
      <c r="BH102" s="178">
        <v>30684480000</v>
      </c>
      <c r="BI102" s="178">
        <v>25184550000</v>
      </c>
      <c r="BJ102" s="178">
        <v>25943130000</v>
      </c>
      <c r="BK102" s="178">
        <v>24952010000</v>
      </c>
      <c r="BL102" s="178">
        <v>10816720000</v>
      </c>
      <c r="BM102" s="178">
        <v>674238630000</v>
      </c>
      <c r="BN102" s="178">
        <v>12043180000</v>
      </c>
      <c r="BO102" s="178">
        <v>25547190000</v>
      </c>
      <c r="BP102" s="178">
        <v>26532020000</v>
      </c>
      <c r="BQ102" s="178">
        <v>25244000000</v>
      </c>
      <c r="BR102" s="178">
        <v>23133420000</v>
      </c>
      <c r="BS102" s="178">
        <v>30990120000</v>
      </c>
      <c r="BT102" s="178">
        <v>24319040000</v>
      </c>
      <c r="BU102" s="178">
        <v>7694860000</v>
      </c>
      <c r="BV102" s="178">
        <v>15875160000</v>
      </c>
      <c r="BW102" s="178">
        <v>20529850000</v>
      </c>
      <c r="BX102" s="178">
        <v>18988820000</v>
      </c>
      <c r="BY102" s="178">
        <v>22347760000</v>
      </c>
      <c r="BZ102" s="178">
        <v>21514330000</v>
      </c>
      <c r="CA102" s="178">
        <v>45166600000</v>
      </c>
      <c r="CB102" s="178">
        <v>43820220000</v>
      </c>
      <c r="CC102" s="178">
        <v>38107480000</v>
      </c>
      <c r="CD102" s="178">
        <v>401854050000</v>
      </c>
      <c r="CE102" s="178">
        <v>1076092680000</v>
      </c>
    </row>
    <row r="103" spans="1:83" x14ac:dyDescent="0.2">
      <c r="A103" s="134">
        <v>45306</v>
      </c>
      <c r="B103" s="135">
        <f>YEAR(source[[#This Row],[report_date]])</f>
        <v>2024</v>
      </c>
      <c r="C103" s="136">
        <v>1</v>
      </c>
      <c r="D103" s="136">
        <f t="shared" si="8"/>
        <v>3</v>
      </c>
      <c r="E103" s="136">
        <f t="shared" si="9"/>
        <v>15</v>
      </c>
      <c r="F103" s="128" t="s">
        <v>65</v>
      </c>
      <c r="G103" s="128" t="str">
        <f>VLOOKUP(source[[#This Row],[lending_product_transform]],[3]Mapping!$B$4:$C$37,2,0)</f>
        <v>[BE] - Cashloan</v>
      </c>
      <c r="H103" s="128" t="str">
        <f>VLOOKUP(source[[#This Row],[lending_product_transform]],[3]Mapping!$B$3:$D$37,3,0)</f>
        <v>cashloan</v>
      </c>
      <c r="I103" s="135">
        <v>268800000</v>
      </c>
      <c r="K103" s="179" t="s">
        <v>28</v>
      </c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>
        <v>37022400000</v>
      </c>
      <c r="AP103" s="178">
        <v>28922184000</v>
      </c>
      <c r="AQ103" s="178">
        <v>24998328000</v>
      </c>
      <c r="AR103" s="178">
        <v>22385700000</v>
      </c>
      <c r="AS103" s="178">
        <v>31164804000</v>
      </c>
      <c r="AT103" s="178">
        <v>34918560000</v>
      </c>
      <c r="AU103" s="178">
        <v>32906412000</v>
      </c>
      <c r="AV103" s="178">
        <v>45667044000</v>
      </c>
      <c r="AW103" s="178">
        <v>52274160000</v>
      </c>
      <c r="AX103" s="178">
        <v>49974624000</v>
      </c>
      <c r="AY103" s="178">
        <v>58293000000</v>
      </c>
      <c r="AZ103" s="178">
        <v>62968320000</v>
      </c>
      <c r="BA103" s="178">
        <v>63082152000</v>
      </c>
      <c r="BB103" s="178">
        <v>52747848000</v>
      </c>
      <c r="BC103" s="178">
        <v>56830788000</v>
      </c>
      <c r="BD103" s="178">
        <v>61031556000</v>
      </c>
      <c r="BE103" s="178">
        <v>63826920000</v>
      </c>
      <c r="BF103" s="178">
        <v>62050752000</v>
      </c>
      <c r="BG103" s="178">
        <v>72067968000</v>
      </c>
      <c r="BH103" s="178">
        <v>87219720000</v>
      </c>
      <c r="BI103" s="178">
        <v>86032260000</v>
      </c>
      <c r="BJ103" s="178">
        <v>85525528000</v>
      </c>
      <c r="BK103" s="178">
        <v>85530168000</v>
      </c>
      <c r="BL103" s="178">
        <v>40279248000</v>
      </c>
      <c r="BM103" s="178">
        <v>1297720444000</v>
      </c>
      <c r="BN103" s="178">
        <v>50013720000</v>
      </c>
      <c r="BO103" s="178">
        <v>98947764000</v>
      </c>
      <c r="BP103" s="178">
        <v>106569648000</v>
      </c>
      <c r="BQ103" s="178">
        <v>98962128000</v>
      </c>
      <c r="BR103" s="178">
        <v>91201572000</v>
      </c>
      <c r="BS103" s="178">
        <v>96547356000</v>
      </c>
      <c r="BT103" s="178">
        <v>96495192000</v>
      </c>
      <c r="BU103" s="178">
        <v>52691256000</v>
      </c>
      <c r="BV103" s="178">
        <v>98967420000</v>
      </c>
      <c r="BW103" s="178">
        <v>101507580000</v>
      </c>
      <c r="BX103" s="178">
        <v>99261072000</v>
      </c>
      <c r="BY103" s="178">
        <v>91676232000</v>
      </c>
      <c r="BZ103" s="178">
        <v>88513128000</v>
      </c>
      <c r="CA103" s="178">
        <v>97395156000</v>
      </c>
      <c r="CB103" s="178">
        <v>108532008000</v>
      </c>
      <c r="CC103" s="178">
        <v>97139736000</v>
      </c>
      <c r="CD103" s="178">
        <v>1474420968000</v>
      </c>
      <c r="CE103" s="178">
        <v>2772141412000</v>
      </c>
    </row>
    <row r="104" spans="1:83" x14ac:dyDescent="0.2">
      <c r="A104" s="134">
        <v>45306</v>
      </c>
      <c r="B104" s="135">
        <f>YEAR(source[[#This Row],[report_date]])</f>
        <v>2024</v>
      </c>
      <c r="C104" s="136">
        <v>1</v>
      </c>
      <c r="D104" s="136">
        <f t="shared" si="8"/>
        <v>3</v>
      </c>
      <c r="E104" s="136">
        <f t="shared" si="9"/>
        <v>15</v>
      </c>
      <c r="F104" s="128" t="s">
        <v>11</v>
      </c>
      <c r="G104" s="128" t="str">
        <f>VLOOKUP(source[[#This Row],[lending_product_transform]],[3]Mapping!$B$4:$C$37,2,0)</f>
        <v>[VDS] - Cashloan</v>
      </c>
      <c r="H104" s="128" t="str">
        <f>VLOOKUP(source[[#This Row],[lending_product_transform]],[3]Mapping!$B$3:$D$37,3,0)</f>
        <v>cashloan</v>
      </c>
      <c r="I104" s="135">
        <v>2940100000</v>
      </c>
      <c r="K104" s="179" t="s">
        <v>63</v>
      </c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>
        <v>16200000</v>
      </c>
      <c r="AW104" s="178">
        <v>3240000</v>
      </c>
      <c r="AX104" s="178">
        <v>371520000</v>
      </c>
      <c r="AY104" s="178">
        <v>1396440000</v>
      </c>
      <c r="AZ104" s="178">
        <v>1434240000</v>
      </c>
      <c r="BA104" s="178">
        <v>1327320000</v>
      </c>
      <c r="BB104" s="178">
        <v>1556280000</v>
      </c>
      <c r="BC104" s="178">
        <v>1528200000</v>
      </c>
      <c r="BD104" s="178">
        <v>1539972000</v>
      </c>
      <c r="BE104" s="178">
        <v>1320300000</v>
      </c>
      <c r="BF104" s="178">
        <v>1635120000</v>
      </c>
      <c r="BG104" s="178">
        <v>1519776000</v>
      </c>
      <c r="BH104" s="178">
        <v>1544508000</v>
      </c>
      <c r="BI104" s="178">
        <v>1719252000</v>
      </c>
      <c r="BJ104" s="178">
        <v>2245644000</v>
      </c>
      <c r="BK104" s="178">
        <v>2392308000</v>
      </c>
      <c r="BL104" s="178">
        <v>1180548000</v>
      </c>
      <c r="BM104" s="178">
        <v>22730868000</v>
      </c>
      <c r="BN104" s="178">
        <v>1371276000</v>
      </c>
      <c r="BO104" s="178">
        <v>2397276000</v>
      </c>
      <c r="BP104" s="178">
        <v>2592972000</v>
      </c>
      <c r="BQ104" s="178">
        <v>2292840000</v>
      </c>
      <c r="BR104" s="178">
        <v>2155356000</v>
      </c>
      <c r="BS104" s="178">
        <v>2450304000</v>
      </c>
      <c r="BT104" s="178">
        <v>2536920000</v>
      </c>
      <c r="BU104" s="178">
        <v>1076112000</v>
      </c>
      <c r="BV104" s="178">
        <v>2081052000</v>
      </c>
      <c r="BW104" s="178">
        <v>2338200000</v>
      </c>
      <c r="BX104" s="178">
        <v>2329344000</v>
      </c>
      <c r="BY104" s="178">
        <v>2204604000</v>
      </c>
      <c r="BZ104" s="178">
        <v>1885140000</v>
      </c>
      <c r="CA104" s="178">
        <v>2308716000</v>
      </c>
      <c r="CB104" s="178">
        <v>2450196000</v>
      </c>
      <c r="CC104" s="178">
        <v>2145312000</v>
      </c>
      <c r="CD104" s="178">
        <v>34615620000</v>
      </c>
      <c r="CE104" s="178">
        <v>57346488000</v>
      </c>
    </row>
    <row r="105" spans="1:83" x14ac:dyDescent="0.2">
      <c r="A105" s="134">
        <v>45306</v>
      </c>
      <c r="B105" s="135">
        <f>YEAR(source[[#This Row],[report_date]])</f>
        <v>2024</v>
      </c>
      <c r="C105" s="136">
        <v>1</v>
      </c>
      <c r="D105" s="136">
        <f t="shared" si="8"/>
        <v>3</v>
      </c>
      <c r="E105" s="136">
        <f t="shared" si="9"/>
        <v>15</v>
      </c>
      <c r="F105" s="128" t="s">
        <v>58</v>
      </c>
      <c r="G105" s="128" t="str">
        <f>VLOOKUP(source[[#This Row],[lending_product_transform]],[3]Mapping!$B$4:$C$37,2,0)</f>
        <v>[VDS] - Payroll Cashloan</v>
      </c>
      <c r="H105" s="128" t="str">
        <f>VLOOKUP(source[[#This Row],[lending_product_transform]],[3]Mapping!$B$3:$D$37,3,0)</f>
        <v>cashloan</v>
      </c>
      <c r="I105" s="135">
        <v>26250000</v>
      </c>
      <c r="K105" s="179" t="s">
        <v>210</v>
      </c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178"/>
      <c r="BD105" s="178"/>
      <c r="BE105" s="178"/>
      <c r="BF105" s="178"/>
      <c r="BG105" s="178"/>
      <c r="BH105" s="178"/>
      <c r="BI105" s="178">
        <v>6480000</v>
      </c>
      <c r="BJ105" s="178">
        <v>0</v>
      </c>
      <c r="BK105" s="178">
        <v>4320000</v>
      </c>
      <c r="BL105" s="178">
        <v>0</v>
      </c>
      <c r="BM105" s="178">
        <v>10800000</v>
      </c>
      <c r="BN105" s="178">
        <v>0</v>
      </c>
      <c r="BO105" s="178">
        <v>0</v>
      </c>
      <c r="BP105" s="178">
        <v>890080000</v>
      </c>
      <c r="BQ105" s="178">
        <v>6229280000</v>
      </c>
      <c r="BR105" s="178">
        <v>6923640000</v>
      </c>
      <c r="BS105" s="178">
        <v>4487320000</v>
      </c>
      <c r="BT105" s="178">
        <v>3108320000</v>
      </c>
      <c r="BU105" s="178">
        <v>1900400000</v>
      </c>
      <c r="BV105" s="178">
        <v>2685960000</v>
      </c>
      <c r="BW105" s="178">
        <v>1806840000</v>
      </c>
      <c r="BX105" s="178">
        <v>1947456000</v>
      </c>
      <c r="BY105" s="178">
        <v>1563084000</v>
      </c>
      <c r="BZ105" s="178">
        <v>91692000</v>
      </c>
      <c r="CA105" s="178">
        <v>31968000</v>
      </c>
      <c r="CB105" s="178">
        <v>28080000</v>
      </c>
      <c r="CC105" s="178">
        <v>23760000</v>
      </c>
      <c r="CD105" s="178">
        <v>31717880000</v>
      </c>
      <c r="CE105" s="178">
        <v>31728680000</v>
      </c>
    </row>
    <row r="106" spans="1:83" x14ac:dyDescent="0.2">
      <c r="A106" s="134">
        <v>45306</v>
      </c>
      <c r="B106" s="135">
        <f>YEAR(source[[#This Row],[report_date]])</f>
        <v>2024</v>
      </c>
      <c r="C106" s="136">
        <v>1</v>
      </c>
      <c r="D106" s="136">
        <f t="shared" si="8"/>
        <v>3</v>
      </c>
      <c r="E106" s="136">
        <f t="shared" si="9"/>
        <v>15</v>
      </c>
      <c r="F106" s="128" t="s">
        <v>19</v>
      </c>
      <c r="G106" s="128" t="str">
        <f>VLOOKUP(source[[#This Row],[lending_product_transform]],[3]Mapping!$B$4:$C$37,2,0)</f>
        <v>[VDS] - Payday</v>
      </c>
      <c r="H106" s="128" t="str">
        <f>VLOOKUP(source[[#This Row],[lending_product_transform]],[3]Mapping!$B$3:$D$37,3,0)</f>
        <v>payday</v>
      </c>
      <c r="I106" s="135">
        <v>1800500000</v>
      </c>
      <c r="K106" s="179" t="s">
        <v>60</v>
      </c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8"/>
      <c r="BG106" s="178"/>
      <c r="BH106" s="178"/>
      <c r="BI106" s="178"/>
      <c r="BJ106" s="178">
        <v>150000000</v>
      </c>
      <c r="BK106" s="178">
        <v>230000000</v>
      </c>
      <c r="BL106" s="178">
        <v>260000000</v>
      </c>
      <c r="BM106" s="178">
        <v>640000000</v>
      </c>
      <c r="BN106" s="178">
        <v>169000000</v>
      </c>
      <c r="BO106" s="178">
        <v>270000000</v>
      </c>
      <c r="BP106" s="178">
        <v>270000000</v>
      </c>
      <c r="BQ106" s="178">
        <v>47000000</v>
      </c>
      <c r="BR106" s="178">
        <v>180000000</v>
      </c>
      <c r="BS106" s="178">
        <v>350000000</v>
      </c>
      <c r="BT106" s="178">
        <v>150000000</v>
      </c>
      <c r="BU106" s="178">
        <v>0</v>
      </c>
      <c r="BV106" s="178">
        <v>119000000</v>
      </c>
      <c r="BW106" s="178">
        <v>227000000</v>
      </c>
      <c r="BX106" s="178">
        <v>270000000</v>
      </c>
      <c r="BY106" s="178">
        <v>410000000</v>
      </c>
      <c r="BZ106" s="178">
        <v>435000000</v>
      </c>
      <c r="CA106" s="178">
        <v>180000000</v>
      </c>
      <c r="CB106" s="178">
        <v>420000000</v>
      </c>
      <c r="CC106" s="178">
        <v>180000000</v>
      </c>
      <c r="CD106" s="178">
        <v>3677000000</v>
      </c>
      <c r="CE106" s="178">
        <v>4317000000</v>
      </c>
    </row>
    <row r="107" spans="1:83" x14ac:dyDescent="0.2">
      <c r="A107" s="134">
        <v>45306</v>
      </c>
      <c r="B107" s="135">
        <f>YEAR(source[[#This Row],[report_date]])</f>
        <v>2024</v>
      </c>
      <c r="C107" s="136">
        <v>1</v>
      </c>
      <c r="D107" s="136">
        <f t="shared" si="8"/>
        <v>3</v>
      </c>
      <c r="E107" s="136">
        <f t="shared" si="9"/>
        <v>15</v>
      </c>
      <c r="F107" s="128" t="s">
        <v>67</v>
      </c>
      <c r="G107" s="128" t="str">
        <f>VLOOKUP(source[[#This Row],[lending_product_transform]],[3]Mapping!$B$4:$C$37,2,0)</f>
        <v>[Cake] - Overdraft</v>
      </c>
      <c r="H107" s="128" t="str">
        <f>VLOOKUP(source[[#This Row],[lending_product_transform]],[3]Mapping!$B$3:$D$37,3,0)</f>
        <v>overdraft</v>
      </c>
      <c r="I107" s="135">
        <v>2526211477</v>
      </c>
      <c r="K107" s="180" t="s">
        <v>68</v>
      </c>
      <c r="L107" s="174">
        <v>110843278492</v>
      </c>
      <c r="M107" s="174">
        <v>152649730286</v>
      </c>
      <c r="N107" s="174">
        <v>158746860079</v>
      </c>
      <c r="O107" s="174">
        <v>162094064691</v>
      </c>
      <c r="P107" s="174">
        <v>69296055661</v>
      </c>
      <c r="Q107" s="174">
        <v>123040092308</v>
      </c>
      <c r="R107" s="174">
        <v>146991456554</v>
      </c>
      <c r="S107" s="174">
        <v>136528249561</v>
      </c>
      <c r="T107" s="174">
        <v>147370019738</v>
      </c>
      <c r="U107" s="174">
        <v>163939026434</v>
      </c>
      <c r="V107" s="174">
        <v>165502943262</v>
      </c>
      <c r="W107" s="174">
        <v>156364643189</v>
      </c>
      <c r="X107" s="174">
        <v>160841633026</v>
      </c>
      <c r="Y107" s="174">
        <v>195811398095</v>
      </c>
      <c r="Z107" s="174">
        <v>198834765559</v>
      </c>
      <c r="AA107" s="174">
        <v>196676051509</v>
      </c>
      <c r="AB107" s="174">
        <v>185455789302</v>
      </c>
      <c r="AC107" s="174">
        <v>185274356370</v>
      </c>
      <c r="AD107" s="174">
        <v>212536119512</v>
      </c>
      <c r="AE107" s="174">
        <v>203365514586</v>
      </c>
      <c r="AF107" s="174">
        <v>194363274432</v>
      </c>
      <c r="AG107" s="174">
        <v>191652389740</v>
      </c>
      <c r="AH107" s="174">
        <v>230368015009</v>
      </c>
      <c r="AI107" s="174">
        <v>231895482919</v>
      </c>
      <c r="AJ107" s="174">
        <v>212994337881</v>
      </c>
      <c r="AK107" s="174">
        <v>223974275568</v>
      </c>
      <c r="AL107" s="174">
        <v>308779645148</v>
      </c>
      <c r="AM107" s="174">
        <v>305215564295</v>
      </c>
      <c r="AN107" s="174">
        <v>282620774551</v>
      </c>
      <c r="AO107" s="174">
        <v>295164269513</v>
      </c>
      <c r="AP107" s="174">
        <v>298542667428</v>
      </c>
      <c r="AQ107" s="174">
        <v>307380807857</v>
      </c>
      <c r="AR107" s="174">
        <v>285007243532</v>
      </c>
      <c r="AS107" s="174">
        <v>284862204951</v>
      </c>
      <c r="AT107" s="174">
        <v>291738546404</v>
      </c>
      <c r="AU107" s="174">
        <v>366992568853</v>
      </c>
      <c r="AV107" s="174">
        <v>444321085649</v>
      </c>
      <c r="AW107" s="174">
        <v>423911769326</v>
      </c>
      <c r="AX107" s="174">
        <v>402881220275</v>
      </c>
      <c r="AY107" s="174">
        <v>458347928946</v>
      </c>
      <c r="AZ107" s="174">
        <v>474491535133</v>
      </c>
      <c r="BA107" s="174">
        <v>450256338386</v>
      </c>
      <c r="BB107" s="174">
        <v>425601721990</v>
      </c>
      <c r="BC107" s="174">
        <v>407195514166</v>
      </c>
      <c r="BD107" s="174">
        <v>468049996241</v>
      </c>
      <c r="BE107" s="174">
        <v>482262102680</v>
      </c>
      <c r="BF107" s="174">
        <v>467660425869</v>
      </c>
      <c r="BG107" s="174">
        <v>501875400480</v>
      </c>
      <c r="BH107" s="174">
        <v>551779713489</v>
      </c>
      <c r="BI107" s="174">
        <v>503624888753</v>
      </c>
      <c r="BJ107" s="174">
        <v>483591833857</v>
      </c>
      <c r="BK107" s="174">
        <v>454725570719</v>
      </c>
      <c r="BL107" s="174">
        <v>208520479965</v>
      </c>
      <c r="BM107" s="174">
        <v>15152811642219</v>
      </c>
      <c r="BN107" s="174">
        <v>266393242059</v>
      </c>
      <c r="BO107" s="174">
        <v>523192925632</v>
      </c>
      <c r="BP107" s="174">
        <v>536716178487</v>
      </c>
      <c r="BQ107" s="174">
        <v>503203031787</v>
      </c>
      <c r="BR107" s="174">
        <v>521384766845</v>
      </c>
      <c r="BS107" s="174">
        <v>571067148154</v>
      </c>
      <c r="BT107" s="174">
        <v>527267254957</v>
      </c>
      <c r="BU107" s="174">
        <v>207478892185</v>
      </c>
      <c r="BV107" s="174">
        <v>396783012263</v>
      </c>
      <c r="BW107" s="174">
        <v>459880159645</v>
      </c>
      <c r="BX107" s="174">
        <v>457466890877</v>
      </c>
      <c r="BY107" s="174">
        <v>487442408639</v>
      </c>
      <c r="BZ107" s="174">
        <v>451467525713</v>
      </c>
      <c r="CA107" s="174">
        <v>548519089654</v>
      </c>
      <c r="CB107" s="174">
        <v>530309087755</v>
      </c>
      <c r="CC107" s="174">
        <v>494236531541</v>
      </c>
      <c r="CD107" s="174">
        <v>7482808146193</v>
      </c>
      <c r="CE107" s="174">
        <v>22635619788412</v>
      </c>
    </row>
    <row r="108" spans="1:83" x14ac:dyDescent="0.2">
      <c r="A108" s="134">
        <v>45307</v>
      </c>
      <c r="B108" s="135">
        <f>YEAR(source[[#This Row],[report_date]])</f>
        <v>2024</v>
      </c>
      <c r="C108" s="136">
        <v>1</v>
      </c>
      <c r="D108" s="136">
        <f t="shared" si="8"/>
        <v>3</v>
      </c>
      <c r="E108" s="136">
        <f t="shared" si="9"/>
        <v>16</v>
      </c>
      <c r="F108" s="128" t="s">
        <v>11</v>
      </c>
      <c r="G108" s="128" t="str">
        <f>VLOOKUP(source[[#This Row],[lending_product_transform]],[3]Mapping!$B$4:$C$37,2,0)</f>
        <v>[VDS] - Cashloan</v>
      </c>
      <c r="H108" s="128" t="str">
        <f>VLOOKUP(source[[#This Row],[lending_product_transform]],[3]Mapping!$B$3:$D$37,3,0)</f>
        <v>cashloan</v>
      </c>
      <c r="I108" s="135">
        <v>2519250000</v>
      </c>
      <c r="BM108" s="135"/>
      <c r="BN108" s="135"/>
      <c r="BO108" s="135"/>
    </row>
    <row r="109" spans="1:83" x14ac:dyDescent="0.2">
      <c r="A109" s="134">
        <v>45307</v>
      </c>
      <c r="B109" s="135">
        <f>YEAR(source[[#This Row],[report_date]])</f>
        <v>2024</v>
      </c>
      <c r="C109" s="136">
        <v>1</v>
      </c>
      <c r="D109" s="136">
        <f t="shared" si="8"/>
        <v>3</v>
      </c>
      <c r="E109" s="136">
        <f t="shared" si="9"/>
        <v>16</v>
      </c>
      <c r="F109" s="128" t="s">
        <v>65</v>
      </c>
      <c r="G109" s="128" t="str">
        <f>VLOOKUP(source[[#This Row],[lending_product_transform]],[3]Mapping!$B$4:$C$37,2,0)</f>
        <v>[BE] - Cashloan</v>
      </c>
      <c r="H109" s="128" t="str">
        <f>VLOOKUP(source[[#This Row],[lending_product_transform]],[3]Mapping!$B$3:$D$37,3,0)</f>
        <v>cashloan</v>
      </c>
      <c r="I109" s="135">
        <v>576450000</v>
      </c>
      <c r="BM109" s="135"/>
      <c r="BN109" s="135"/>
      <c r="BO109" s="135"/>
    </row>
    <row r="110" spans="1:83" x14ac:dyDescent="0.2">
      <c r="A110" s="134">
        <v>45307</v>
      </c>
      <c r="B110" s="135">
        <f>YEAR(source[[#This Row],[report_date]])</f>
        <v>2024</v>
      </c>
      <c r="C110" s="136">
        <v>1</v>
      </c>
      <c r="D110" s="136">
        <f t="shared" si="8"/>
        <v>3</v>
      </c>
      <c r="E110" s="136">
        <f t="shared" si="9"/>
        <v>16</v>
      </c>
      <c r="F110" s="128" t="s">
        <v>67</v>
      </c>
      <c r="G110" s="128" t="str">
        <f>VLOOKUP(source[[#This Row],[lending_product_transform]],[3]Mapping!$B$4:$C$37,2,0)</f>
        <v>[Cake] - Overdraft</v>
      </c>
      <c r="H110" s="128" t="str">
        <f>VLOOKUP(source[[#This Row],[lending_product_transform]],[3]Mapping!$B$3:$D$37,3,0)</f>
        <v>overdraft</v>
      </c>
      <c r="I110" s="135">
        <v>1820445407</v>
      </c>
      <c r="BM110" s="135"/>
      <c r="BN110" s="135"/>
      <c r="BO110" s="135"/>
    </row>
    <row r="111" spans="1:83" x14ac:dyDescent="0.2">
      <c r="A111" s="134">
        <v>45307</v>
      </c>
      <c r="B111" s="135">
        <f>YEAR(source[[#This Row],[report_date]])</f>
        <v>2024</v>
      </c>
      <c r="C111" s="136">
        <v>1</v>
      </c>
      <c r="D111" s="136">
        <f t="shared" si="8"/>
        <v>3</v>
      </c>
      <c r="E111" s="136">
        <f t="shared" si="9"/>
        <v>16</v>
      </c>
      <c r="F111" s="128" t="s">
        <v>19</v>
      </c>
      <c r="G111" s="128" t="str">
        <f>VLOOKUP(source[[#This Row],[lending_product_transform]],[3]Mapping!$B$4:$C$37,2,0)</f>
        <v>[VDS] - Payday</v>
      </c>
      <c r="H111" s="128" t="str">
        <f>VLOOKUP(source[[#This Row],[lending_product_transform]],[3]Mapping!$B$3:$D$37,3,0)</f>
        <v>payday</v>
      </c>
      <c r="I111" s="135">
        <v>1430000000</v>
      </c>
      <c r="BM111" s="135"/>
      <c r="BN111" s="135"/>
      <c r="BO111" s="135"/>
    </row>
    <row r="112" spans="1:83" x14ac:dyDescent="0.2">
      <c r="A112" s="134">
        <v>45307</v>
      </c>
      <c r="B112" s="135">
        <f>YEAR(source[[#This Row],[report_date]])</f>
        <v>2024</v>
      </c>
      <c r="C112" s="136">
        <v>1</v>
      </c>
      <c r="D112" s="136">
        <f t="shared" si="8"/>
        <v>3</v>
      </c>
      <c r="E112" s="136">
        <f t="shared" si="9"/>
        <v>16</v>
      </c>
      <c r="F112" s="128" t="s">
        <v>56</v>
      </c>
      <c r="G112" s="128">
        <f>VLOOKUP(source[[#This Row],[lending_product_transform]],[3]Mapping!$B$4:$C$37,2,0)</f>
        <v>0</v>
      </c>
      <c r="H112" s="128">
        <f>VLOOKUP(source[[#This Row],[lending_product_transform]],[3]Mapping!$B$3:$D$37,3,0)</f>
        <v>0</v>
      </c>
      <c r="I112" s="135">
        <v>6412345407</v>
      </c>
      <c r="BM112" s="135"/>
      <c r="BN112" s="135"/>
      <c r="BO112" s="135"/>
    </row>
    <row r="113" spans="1:97" x14ac:dyDescent="0.2">
      <c r="A113" s="134">
        <v>45307</v>
      </c>
      <c r="B113" s="135">
        <f>YEAR(source[[#This Row],[report_date]])</f>
        <v>2024</v>
      </c>
      <c r="C113" s="136">
        <v>1</v>
      </c>
      <c r="D113" s="136">
        <f t="shared" si="8"/>
        <v>3</v>
      </c>
      <c r="E113" s="136">
        <f t="shared" si="9"/>
        <v>16</v>
      </c>
      <c r="F113" s="128" t="s">
        <v>61</v>
      </c>
      <c r="G113" s="128" t="str">
        <f>VLOOKUP(source[[#This Row],[lending_product_transform]],[3]Mapping!$B$4:$C$37,2,0)</f>
        <v>[VDS] - Payroll Payday</v>
      </c>
      <c r="H113" s="128" t="str">
        <f>VLOOKUP(source[[#This Row],[lending_product_transform]],[3]Mapping!$B$3:$D$37,3,0)</f>
        <v>payday</v>
      </c>
      <c r="I113" s="135">
        <v>0</v>
      </c>
      <c r="L113" s="129">
        <v>2025</v>
      </c>
      <c r="AW113" s="146"/>
      <c r="AX113" s="146"/>
      <c r="AY113" s="146"/>
      <c r="AZ113" s="146"/>
      <c r="BA113" s="146"/>
      <c r="BB113" s="146"/>
      <c r="BC113" s="146"/>
      <c r="BD113" s="146" t="s">
        <v>218</v>
      </c>
      <c r="BE113" s="146"/>
      <c r="BF113" s="146"/>
      <c r="BG113" s="146"/>
      <c r="BH113" s="146"/>
      <c r="BI113" s="146"/>
      <c r="BJ113" s="146"/>
      <c r="BK113" s="146"/>
      <c r="BL113" s="146"/>
      <c r="BM113" s="135"/>
      <c r="BN113" s="135"/>
      <c r="BO113" s="135"/>
    </row>
    <row r="114" spans="1:97" x14ac:dyDescent="0.2">
      <c r="A114" s="134">
        <v>45307</v>
      </c>
      <c r="B114" s="135">
        <f>YEAR(source[[#This Row],[report_date]])</f>
        <v>2024</v>
      </c>
      <c r="C114" s="136">
        <v>1</v>
      </c>
      <c r="D114" s="136">
        <f t="shared" si="8"/>
        <v>3</v>
      </c>
      <c r="E114" s="136">
        <f t="shared" si="9"/>
        <v>16</v>
      </c>
      <c r="F114" s="128" t="s">
        <v>58</v>
      </c>
      <c r="G114" s="128" t="str">
        <f>VLOOKUP(source[[#This Row],[lending_product_transform]],[3]Mapping!$B$4:$C$37,2,0)</f>
        <v>[VDS] - Payroll Cashloan</v>
      </c>
      <c r="H114" s="128" t="str">
        <f>VLOOKUP(source[[#This Row],[lending_product_transform]],[3]Mapping!$B$3:$D$37,3,0)</f>
        <v>cashloan</v>
      </c>
      <c r="I114" s="135">
        <v>66200000</v>
      </c>
      <c r="K114" s="140" t="s">
        <v>155</v>
      </c>
      <c r="L114" s="146">
        <v>1</v>
      </c>
      <c r="M114" s="146">
        <f t="shared" ref="M114:BD114" si="11">L114+1</f>
        <v>2</v>
      </c>
      <c r="N114" s="146">
        <f t="shared" si="11"/>
        <v>3</v>
      </c>
      <c r="O114" s="146">
        <f t="shared" si="11"/>
        <v>4</v>
      </c>
      <c r="P114" s="146">
        <f t="shared" si="11"/>
        <v>5</v>
      </c>
      <c r="Q114" s="146">
        <f t="shared" si="11"/>
        <v>6</v>
      </c>
      <c r="R114" s="146">
        <f t="shared" si="11"/>
        <v>7</v>
      </c>
      <c r="S114" s="146">
        <f t="shared" si="11"/>
        <v>8</v>
      </c>
      <c r="T114" s="146">
        <f t="shared" si="11"/>
        <v>9</v>
      </c>
      <c r="U114" s="146">
        <f t="shared" si="11"/>
        <v>10</v>
      </c>
      <c r="V114" s="146">
        <f t="shared" si="11"/>
        <v>11</v>
      </c>
      <c r="W114" s="146">
        <f t="shared" si="11"/>
        <v>12</v>
      </c>
      <c r="X114" s="146">
        <f t="shared" si="11"/>
        <v>13</v>
      </c>
      <c r="Y114" s="146">
        <f t="shared" si="11"/>
        <v>14</v>
      </c>
      <c r="Z114" s="146">
        <f t="shared" si="11"/>
        <v>15</v>
      </c>
      <c r="AA114" s="146">
        <f t="shared" si="11"/>
        <v>16</v>
      </c>
      <c r="AB114" s="146">
        <f t="shared" si="11"/>
        <v>17</v>
      </c>
      <c r="AC114" s="146">
        <f t="shared" si="11"/>
        <v>18</v>
      </c>
      <c r="AD114" s="146">
        <f t="shared" si="11"/>
        <v>19</v>
      </c>
      <c r="AE114" s="146">
        <f t="shared" si="11"/>
        <v>20</v>
      </c>
      <c r="AF114" s="146">
        <f t="shared" si="11"/>
        <v>21</v>
      </c>
      <c r="AG114" s="146">
        <f t="shared" si="11"/>
        <v>22</v>
      </c>
      <c r="AH114" s="146">
        <f t="shared" si="11"/>
        <v>23</v>
      </c>
      <c r="AI114" s="146">
        <f t="shared" si="11"/>
        <v>24</v>
      </c>
      <c r="AJ114" s="146">
        <f t="shared" si="11"/>
        <v>25</v>
      </c>
      <c r="AK114" s="146">
        <f t="shared" si="11"/>
        <v>26</v>
      </c>
      <c r="AL114" s="146">
        <f t="shared" si="11"/>
        <v>27</v>
      </c>
      <c r="AM114" s="146">
        <f t="shared" si="11"/>
        <v>28</v>
      </c>
      <c r="AN114" s="146">
        <f t="shared" si="11"/>
        <v>29</v>
      </c>
      <c r="AO114" s="146">
        <f t="shared" si="11"/>
        <v>30</v>
      </c>
      <c r="AP114" s="146">
        <f t="shared" si="11"/>
        <v>31</v>
      </c>
      <c r="AQ114" s="146">
        <f t="shared" si="11"/>
        <v>32</v>
      </c>
      <c r="AR114" s="146">
        <f t="shared" si="11"/>
        <v>33</v>
      </c>
      <c r="AS114" s="146">
        <f t="shared" si="11"/>
        <v>34</v>
      </c>
      <c r="AT114" s="146">
        <f t="shared" si="11"/>
        <v>35</v>
      </c>
      <c r="AU114" s="146">
        <f t="shared" si="11"/>
        <v>36</v>
      </c>
      <c r="AV114" s="146">
        <f t="shared" si="11"/>
        <v>37</v>
      </c>
      <c r="AW114" s="146">
        <f t="shared" si="11"/>
        <v>38</v>
      </c>
      <c r="AX114" s="146">
        <f t="shared" si="11"/>
        <v>39</v>
      </c>
      <c r="AY114" s="146">
        <f t="shared" si="11"/>
        <v>40</v>
      </c>
      <c r="AZ114" s="146">
        <f t="shared" si="11"/>
        <v>41</v>
      </c>
      <c r="BA114" s="146">
        <f t="shared" si="11"/>
        <v>42</v>
      </c>
      <c r="BB114" s="146">
        <f t="shared" si="11"/>
        <v>43</v>
      </c>
      <c r="BC114" s="146">
        <f t="shared" si="11"/>
        <v>44</v>
      </c>
      <c r="BD114" s="146">
        <f t="shared" si="11"/>
        <v>45</v>
      </c>
      <c r="BE114" s="146"/>
      <c r="BF114" s="146"/>
      <c r="BG114" s="135"/>
      <c r="BH114" s="135"/>
      <c r="BI114" s="135"/>
      <c r="BJ114" s="135"/>
      <c r="BK114" s="135"/>
      <c r="BL114" s="135"/>
      <c r="BM114" s="135"/>
      <c r="BN114" s="135"/>
      <c r="BO114" s="135"/>
    </row>
    <row r="115" spans="1:97" x14ac:dyDescent="0.2">
      <c r="A115" s="134">
        <v>45308</v>
      </c>
      <c r="B115" s="135">
        <f>YEAR(source[[#This Row],[report_date]])</f>
        <v>2024</v>
      </c>
      <c r="C115" s="136">
        <v>1</v>
      </c>
      <c r="D115" s="136">
        <f t="shared" si="8"/>
        <v>3</v>
      </c>
      <c r="E115" s="136">
        <f t="shared" si="9"/>
        <v>17</v>
      </c>
      <c r="F115" s="128" t="s">
        <v>67</v>
      </c>
      <c r="G115" s="128" t="str">
        <f>VLOOKUP(source[[#This Row],[lending_product_transform]],[3]Mapping!$B$4:$C$37,2,0)</f>
        <v>[Cake] - Overdraft</v>
      </c>
      <c r="H115" s="128" t="str">
        <f>VLOOKUP(source[[#This Row],[lending_product_transform]],[3]Mapping!$B$3:$D$37,3,0)</f>
        <v>overdraft</v>
      </c>
      <c r="I115" s="135">
        <v>2051206656</v>
      </c>
      <c r="K115" s="128" t="s">
        <v>65</v>
      </c>
      <c r="L115" s="135">
        <f t="shared" ref="L115:AA130" si="12">GETPIVOTDATA("Total",$K$82,"Year",$L$113,"Weeknum",L$114,"Product_use",$K115)/1000000</f>
        <v>39.9</v>
      </c>
      <c r="M115" s="135">
        <f t="shared" si="12"/>
        <v>234.25</v>
      </c>
      <c r="N115" s="135">
        <f t="shared" si="12"/>
        <v>18</v>
      </c>
      <c r="O115" s="135">
        <f t="shared" si="12"/>
        <v>13</v>
      </c>
      <c r="P115" s="135">
        <f t="shared" si="12"/>
        <v>0</v>
      </c>
      <c r="Q115" s="135">
        <f t="shared" si="12"/>
        <v>0</v>
      </c>
      <c r="R115" s="135">
        <f t="shared" si="12"/>
        <v>73.900000000000006</v>
      </c>
      <c r="S115" s="135">
        <f t="shared" si="12"/>
        <v>32.6</v>
      </c>
      <c r="T115" s="135">
        <f t="shared" si="12"/>
        <v>21</v>
      </c>
      <c r="U115" s="135">
        <f t="shared" si="12"/>
        <v>18.899999999999999</v>
      </c>
      <c r="V115" s="135">
        <f t="shared" si="12"/>
        <v>36.75</v>
      </c>
      <c r="W115" s="135">
        <f t="shared" si="12"/>
        <v>10.5</v>
      </c>
      <c r="X115" s="135">
        <f t="shared" si="12"/>
        <v>33</v>
      </c>
      <c r="Y115" s="135">
        <f t="shared" si="12"/>
        <v>10</v>
      </c>
      <c r="Z115" s="135">
        <f t="shared" si="12"/>
        <v>0</v>
      </c>
      <c r="AA115" s="135">
        <f t="shared" si="12"/>
        <v>21</v>
      </c>
      <c r="AB115" s="135">
        <f t="shared" ref="V115:AK130" si="13">GETPIVOTDATA("Total",$K$82,"Year",$L$113,"Weeknum",AB$114,"Product_use",$K115)/1000000</f>
        <v>0</v>
      </c>
      <c r="AC115" s="135">
        <f t="shared" si="13"/>
        <v>0</v>
      </c>
      <c r="AD115" s="135">
        <f t="shared" si="13"/>
        <v>0</v>
      </c>
      <c r="AE115" s="135">
        <f t="shared" si="13"/>
        <v>0</v>
      </c>
      <c r="AF115" s="135">
        <f t="shared" si="13"/>
        <v>0</v>
      </c>
      <c r="AG115" s="135">
        <f t="shared" si="13"/>
        <v>0</v>
      </c>
      <c r="AH115" s="135">
        <f t="shared" si="13"/>
        <v>14</v>
      </c>
      <c r="AI115" s="135">
        <f t="shared" si="13"/>
        <v>21</v>
      </c>
      <c r="AJ115" s="135">
        <f t="shared" si="13"/>
        <v>0</v>
      </c>
      <c r="AK115" s="135">
        <f t="shared" si="13"/>
        <v>13.65</v>
      </c>
      <c r="AL115" s="135">
        <f t="shared" ref="AL115:BA130" si="14">GETPIVOTDATA("Total",$K$82,"Year",2025,"Weeknum",AL$114,"Product_use",$K115)/1000000</f>
        <v>62</v>
      </c>
      <c r="AM115" s="135">
        <f t="shared" si="14"/>
        <v>0</v>
      </c>
      <c r="AN115" s="135">
        <f t="shared" si="14"/>
        <v>21</v>
      </c>
      <c r="AO115" s="135">
        <f t="shared" si="14"/>
        <v>15.75</v>
      </c>
      <c r="AP115" s="135">
        <f t="shared" si="14"/>
        <v>18.899999999999999</v>
      </c>
      <c r="AQ115" s="135">
        <f t="shared" si="14"/>
        <v>0</v>
      </c>
      <c r="AR115" s="135">
        <f t="shared" si="14"/>
        <v>0</v>
      </c>
      <c r="AS115" s="135">
        <f t="shared" si="14"/>
        <v>0</v>
      </c>
      <c r="AT115" s="135">
        <f t="shared" si="14"/>
        <v>0</v>
      </c>
      <c r="AU115" s="135">
        <f t="shared" si="14"/>
        <v>0</v>
      </c>
      <c r="AV115" s="135">
        <f t="shared" si="14"/>
        <v>10.5</v>
      </c>
      <c r="AW115" s="135">
        <f t="shared" si="14"/>
        <v>21</v>
      </c>
      <c r="AX115" s="135">
        <f t="shared" si="14"/>
        <v>10.5</v>
      </c>
      <c r="AY115" s="135">
        <f t="shared" si="14"/>
        <v>0</v>
      </c>
      <c r="AZ115" s="135">
        <f t="shared" si="14"/>
        <v>0</v>
      </c>
      <c r="BA115" s="135">
        <f t="shared" si="14"/>
        <v>0</v>
      </c>
      <c r="BB115" s="135">
        <f t="shared" ref="AV115:BD130" si="15">GETPIVOTDATA("Total",$K$82,"Year",2025,"Weeknum",BB$114,"Product_use",$K115)/1000000</f>
        <v>392.45</v>
      </c>
      <c r="BC115" s="135">
        <f t="shared" si="15"/>
        <v>514.5</v>
      </c>
      <c r="BD115" s="135">
        <f t="shared" si="15"/>
        <v>231.65</v>
      </c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</row>
    <row r="116" spans="1:97" x14ac:dyDescent="0.2">
      <c r="A116" s="134">
        <v>45308</v>
      </c>
      <c r="B116" s="135">
        <f>YEAR(source[[#This Row],[report_date]])</f>
        <v>2024</v>
      </c>
      <c r="C116" s="136">
        <v>1</v>
      </c>
      <c r="D116" s="136">
        <f t="shared" si="8"/>
        <v>3</v>
      </c>
      <c r="E116" s="136">
        <f t="shared" si="9"/>
        <v>17</v>
      </c>
      <c r="F116" s="128" t="s">
        <v>65</v>
      </c>
      <c r="G116" s="128" t="str">
        <f>VLOOKUP(source[[#This Row],[lending_product_transform]],[3]Mapping!$B$4:$C$37,2,0)</f>
        <v>[BE] - Cashloan</v>
      </c>
      <c r="H116" s="128" t="str">
        <f>VLOOKUP(source[[#This Row],[lending_product_transform]],[3]Mapping!$B$3:$D$37,3,0)</f>
        <v>cashloan</v>
      </c>
      <c r="I116" s="135">
        <v>475750000</v>
      </c>
      <c r="K116" s="128" t="s">
        <v>66</v>
      </c>
      <c r="L116" s="135">
        <f t="shared" si="12"/>
        <v>1041.0793659999999</v>
      </c>
      <c r="M116" s="135">
        <f t="shared" si="12"/>
        <v>1460.1665849999999</v>
      </c>
      <c r="N116" s="135">
        <f t="shared" si="12"/>
        <v>1247.922446</v>
      </c>
      <c r="O116" s="135">
        <f t="shared" si="12"/>
        <v>1041.8130960000001</v>
      </c>
      <c r="P116" s="135">
        <f t="shared" si="12"/>
        <v>677.15151200000003</v>
      </c>
      <c r="Q116" s="135">
        <f t="shared" si="12"/>
        <v>1839.2544580000001</v>
      </c>
      <c r="R116" s="135">
        <f t="shared" si="12"/>
        <v>1470.0551840000001</v>
      </c>
      <c r="S116" s="135">
        <f t="shared" si="12"/>
        <v>1117.1779859999999</v>
      </c>
      <c r="T116" s="135">
        <f t="shared" si="12"/>
        <v>1158.2075870000001</v>
      </c>
      <c r="U116" s="135">
        <f t="shared" si="12"/>
        <v>1813.391122</v>
      </c>
      <c r="V116" s="135">
        <f t="shared" si="13"/>
        <v>1430.3411470000001</v>
      </c>
      <c r="W116" s="135">
        <f t="shared" si="13"/>
        <v>992.33722499999999</v>
      </c>
      <c r="X116" s="135">
        <f t="shared" si="13"/>
        <v>977.91670799999997</v>
      </c>
      <c r="Y116" s="135">
        <f t="shared" si="13"/>
        <v>1545.991567</v>
      </c>
      <c r="Z116" s="135">
        <f t="shared" si="13"/>
        <v>1266.8301899999999</v>
      </c>
      <c r="AA116" s="135">
        <f t="shared" si="13"/>
        <v>1011.166251</v>
      </c>
      <c r="AB116" s="135">
        <f t="shared" si="13"/>
        <v>1255.764077</v>
      </c>
      <c r="AC116" s="135">
        <f t="shared" si="13"/>
        <v>1469.2038640000001</v>
      </c>
      <c r="AD116" s="135">
        <f t="shared" si="13"/>
        <v>2050.710932</v>
      </c>
      <c r="AE116" s="135">
        <f t="shared" si="13"/>
        <v>1460.1004889999999</v>
      </c>
      <c r="AF116" s="135">
        <f t="shared" si="13"/>
        <v>1518.266394</v>
      </c>
      <c r="AG116" s="135">
        <f t="shared" si="13"/>
        <v>1617.7419580000001</v>
      </c>
      <c r="AH116" s="135">
        <f t="shared" si="13"/>
        <v>2335.0816570000002</v>
      </c>
      <c r="AI116" s="135">
        <f t="shared" si="13"/>
        <v>1755.058892</v>
      </c>
      <c r="AJ116" s="135">
        <f t="shared" si="13"/>
        <v>1505.213532</v>
      </c>
      <c r="AK116" s="135">
        <f t="shared" si="13"/>
        <v>1595.9903409999999</v>
      </c>
      <c r="AL116" s="135">
        <f t="shared" si="14"/>
        <v>2328.9356849999999</v>
      </c>
      <c r="AM116" s="135">
        <f t="shared" si="14"/>
        <v>2103.8767819999998</v>
      </c>
      <c r="AN116" s="135">
        <f t="shared" si="14"/>
        <v>1595.947895</v>
      </c>
      <c r="AO116" s="135">
        <f t="shared" si="14"/>
        <v>1575.3851480000001</v>
      </c>
      <c r="AP116" s="135">
        <f t="shared" si="14"/>
        <v>1564.407837</v>
      </c>
      <c r="AQ116" s="135">
        <f t="shared" si="14"/>
        <v>1997.666702</v>
      </c>
      <c r="AR116" s="135">
        <f t="shared" si="14"/>
        <v>1658.2873070000001</v>
      </c>
      <c r="AS116" s="135">
        <f t="shared" si="14"/>
        <v>1554.3535629999999</v>
      </c>
      <c r="AT116" s="135">
        <f t="shared" si="14"/>
        <v>1824.010299</v>
      </c>
      <c r="AU116" s="135">
        <f t="shared" si="14"/>
        <v>2389.8860759999998</v>
      </c>
      <c r="AV116" s="135">
        <f t="shared" si="15"/>
        <v>1828.4644579999999</v>
      </c>
      <c r="AW116" s="135">
        <f t="shared" si="15"/>
        <v>1499.186052</v>
      </c>
      <c r="AX116" s="135">
        <f t="shared" si="15"/>
        <v>1674.451658</v>
      </c>
      <c r="AY116" s="135">
        <f t="shared" si="15"/>
        <v>2655.2151389999999</v>
      </c>
      <c r="AZ116" s="135">
        <f t="shared" si="15"/>
        <v>2480.726181</v>
      </c>
      <c r="BA116" s="135">
        <f t="shared" si="15"/>
        <v>2042.568442</v>
      </c>
      <c r="BB116" s="135">
        <f t="shared" si="15"/>
        <v>2085.2592180000001</v>
      </c>
      <c r="BC116" s="135">
        <f t="shared" si="15"/>
        <v>2148.3009029999998</v>
      </c>
      <c r="BD116" s="135">
        <f t="shared" si="15"/>
        <v>2727.4874639999998</v>
      </c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</row>
    <row r="117" spans="1:97" x14ac:dyDescent="0.2">
      <c r="A117" s="134">
        <v>45308</v>
      </c>
      <c r="B117" s="135">
        <f>YEAR(source[[#This Row],[report_date]])</f>
        <v>2024</v>
      </c>
      <c r="C117" s="136">
        <v>1</v>
      </c>
      <c r="D117" s="136">
        <f t="shared" si="8"/>
        <v>3</v>
      </c>
      <c r="E117" s="136">
        <f t="shared" si="9"/>
        <v>17</v>
      </c>
      <c r="F117" s="128" t="s">
        <v>61</v>
      </c>
      <c r="G117" s="128" t="str">
        <f>VLOOKUP(source[[#This Row],[lending_product_transform]],[3]Mapping!$B$4:$C$37,2,0)</f>
        <v>[VDS] - Payroll Payday</v>
      </c>
      <c r="H117" s="128" t="str">
        <f>VLOOKUP(source[[#This Row],[lending_product_transform]],[3]Mapping!$B$3:$D$37,3,0)</f>
        <v>payday</v>
      </c>
      <c r="I117" s="135">
        <v>8000000</v>
      </c>
      <c r="K117" s="128" t="s">
        <v>24</v>
      </c>
      <c r="L117" s="135">
        <f t="shared" si="12"/>
        <v>26578.95</v>
      </c>
      <c r="M117" s="135">
        <f t="shared" si="12"/>
        <v>37033.99</v>
      </c>
      <c r="N117" s="135">
        <f t="shared" si="12"/>
        <v>36964.65</v>
      </c>
      <c r="O117" s="135">
        <f t="shared" si="12"/>
        <v>38491.89</v>
      </c>
      <c r="P117" s="135">
        <f t="shared" si="12"/>
        <v>13476.51</v>
      </c>
      <c r="Q117" s="135">
        <f t="shared" si="12"/>
        <v>24444.6</v>
      </c>
      <c r="R117" s="135">
        <f t="shared" si="12"/>
        <v>31007.63</v>
      </c>
      <c r="S117" s="135">
        <f t="shared" si="12"/>
        <v>29041.47</v>
      </c>
      <c r="T117" s="135">
        <f t="shared" si="12"/>
        <v>32321.59</v>
      </c>
      <c r="U117" s="135">
        <f t="shared" si="12"/>
        <v>35785.39</v>
      </c>
      <c r="V117" s="135">
        <f t="shared" si="13"/>
        <v>42648.94</v>
      </c>
      <c r="W117" s="135">
        <f t="shared" si="13"/>
        <v>38538.69</v>
      </c>
      <c r="X117" s="135">
        <f t="shared" si="13"/>
        <v>42705.88</v>
      </c>
      <c r="Y117" s="135">
        <f t="shared" si="13"/>
        <v>51741.78</v>
      </c>
      <c r="Z117" s="135">
        <f t="shared" si="13"/>
        <v>53236.94</v>
      </c>
      <c r="AA117" s="135">
        <f t="shared" si="13"/>
        <v>52783.31</v>
      </c>
      <c r="AB117" s="135">
        <f t="shared" si="13"/>
        <v>54186.81</v>
      </c>
      <c r="AC117" s="135">
        <f t="shared" si="13"/>
        <v>48813.32</v>
      </c>
      <c r="AD117" s="135">
        <f t="shared" si="13"/>
        <v>57566.239999999998</v>
      </c>
      <c r="AE117" s="135">
        <f t="shared" si="13"/>
        <v>53785.37</v>
      </c>
      <c r="AF117" s="135">
        <f t="shared" si="13"/>
        <v>52502.21</v>
      </c>
      <c r="AG117" s="135">
        <f t="shared" si="13"/>
        <v>49169.99</v>
      </c>
      <c r="AH117" s="135">
        <f t="shared" si="13"/>
        <v>59212.23</v>
      </c>
      <c r="AI117" s="135">
        <f t="shared" si="13"/>
        <v>60928.11</v>
      </c>
      <c r="AJ117" s="135">
        <f t="shared" si="13"/>
        <v>59683.25</v>
      </c>
      <c r="AK117" s="135">
        <f t="shared" si="13"/>
        <v>75234.570000000007</v>
      </c>
      <c r="AL117" s="135">
        <f t="shared" si="14"/>
        <v>86852.05</v>
      </c>
      <c r="AM117" s="135">
        <f t="shared" si="14"/>
        <v>87204.03</v>
      </c>
      <c r="AN117" s="135">
        <f t="shared" si="14"/>
        <v>84320.63</v>
      </c>
      <c r="AO117" s="135">
        <f t="shared" si="14"/>
        <v>83298.539999999994</v>
      </c>
      <c r="AP117" s="135">
        <f t="shared" si="14"/>
        <v>81782.81</v>
      </c>
      <c r="AQ117" s="135">
        <f t="shared" si="14"/>
        <v>76067.55</v>
      </c>
      <c r="AR117" s="135">
        <f t="shared" si="14"/>
        <v>74665.509999999995</v>
      </c>
      <c r="AS117" s="135">
        <f t="shared" si="14"/>
        <v>74757.19</v>
      </c>
      <c r="AT117" s="135">
        <f t="shared" si="14"/>
        <v>79482.039999999994</v>
      </c>
      <c r="AU117" s="135">
        <f t="shared" si="14"/>
        <v>105532.21</v>
      </c>
      <c r="AV117" s="135">
        <f t="shared" si="15"/>
        <v>125104.54</v>
      </c>
      <c r="AW117" s="135">
        <f t="shared" si="15"/>
        <v>110213.52</v>
      </c>
      <c r="AX117" s="135">
        <f t="shared" si="15"/>
        <v>111468.66</v>
      </c>
      <c r="AY117" s="135">
        <f t="shared" si="15"/>
        <v>117065.67</v>
      </c>
      <c r="AZ117" s="135">
        <f t="shared" si="15"/>
        <v>124497.11</v>
      </c>
      <c r="BA117" s="135">
        <f t="shared" si="15"/>
        <v>113864.84</v>
      </c>
      <c r="BB117" s="135">
        <f t="shared" si="15"/>
        <v>110092.85</v>
      </c>
      <c r="BC117" s="135">
        <f t="shared" si="15"/>
        <v>99056.66</v>
      </c>
      <c r="BD117" s="135">
        <f t="shared" si="15"/>
        <v>122054.68</v>
      </c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</row>
    <row r="118" spans="1:97" x14ac:dyDescent="0.2">
      <c r="A118" s="134">
        <v>45308</v>
      </c>
      <c r="B118" s="135">
        <f>YEAR(source[[#This Row],[report_date]])</f>
        <v>2024</v>
      </c>
      <c r="C118" s="136">
        <v>1</v>
      </c>
      <c r="D118" s="136">
        <f t="shared" si="8"/>
        <v>3</v>
      </c>
      <c r="E118" s="136">
        <f t="shared" si="9"/>
        <v>17</v>
      </c>
      <c r="F118" s="128" t="s">
        <v>19</v>
      </c>
      <c r="G118" s="128" t="str">
        <f>VLOOKUP(source[[#This Row],[lending_product_transform]],[3]Mapping!$B$4:$C$37,2,0)</f>
        <v>[VDS] - Payday</v>
      </c>
      <c r="H118" s="128" t="str">
        <f>VLOOKUP(source[[#This Row],[lending_product_transform]],[3]Mapping!$B$3:$D$37,3,0)</f>
        <v>payday</v>
      </c>
      <c r="I118" s="135">
        <v>1516000000</v>
      </c>
      <c r="K118" s="128" t="s">
        <v>67</v>
      </c>
      <c r="L118" s="135">
        <f t="shared" si="12"/>
        <v>23041.13681</v>
      </c>
      <c r="M118" s="135">
        <f t="shared" si="12"/>
        <v>25221.267166000001</v>
      </c>
      <c r="N118" s="135">
        <f t="shared" si="12"/>
        <v>24071.836335</v>
      </c>
      <c r="O118" s="135">
        <f t="shared" si="12"/>
        <v>26288.428338999998</v>
      </c>
      <c r="P118" s="135">
        <f t="shared" si="12"/>
        <v>16822.707616</v>
      </c>
      <c r="Q118" s="135">
        <f t="shared" si="12"/>
        <v>24332.978842</v>
      </c>
      <c r="R118" s="135">
        <f t="shared" si="12"/>
        <v>23268.062451999998</v>
      </c>
      <c r="S118" s="135">
        <f t="shared" si="12"/>
        <v>22905.073662999999</v>
      </c>
      <c r="T118" s="135">
        <f t="shared" si="12"/>
        <v>28526.770305999999</v>
      </c>
      <c r="U118" s="135">
        <f t="shared" si="12"/>
        <v>27294.827100999999</v>
      </c>
      <c r="V118" s="135">
        <f t="shared" si="13"/>
        <v>24429.716127</v>
      </c>
      <c r="W118" s="135">
        <f t="shared" si="13"/>
        <v>22886.017829</v>
      </c>
      <c r="X118" s="135">
        <f t="shared" si="13"/>
        <v>23184.819699</v>
      </c>
      <c r="Y118" s="135">
        <f t="shared" si="13"/>
        <v>30560.519367000001</v>
      </c>
      <c r="Z118" s="135">
        <f t="shared" si="13"/>
        <v>27064.870383000001</v>
      </c>
      <c r="AA118" s="135">
        <f t="shared" si="13"/>
        <v>24215.297928</v>
      </c>
      <c r="AB118" s="135">
        <f t="shared" si="13"/>
        <v>25087.257899</v>
      </c>
      <c r="AC118" s="135">
        <f t="shared" si="13"/>
        <v>30484.177658000001</v>
      </c>
      <c r="AD118" s="135">
        <f t="shared" si="13"/>
        <v>29086.024052000001</v>
      </c>
      <c r="AE118" s="135">
        <f t="shared" si="13"/>
        <v>24311.049457000001</v>
      </c>
      <c r="AF118" s="135">
        <f t="shared" si="13"/>
        <v>24719.311975000001</v>
      </c>
      <c r="AG118" s="135">
        <f t="shared" si="13"/>
        <v>28369.579976000001</v>
      </c>
      <c r="AH118" s="135">
        <f t="shared" si="13"/>
        <v>31292.047437000001</v>
      </c>
      <c r="AI118" s="135">
        <f t="shared" si="13"/>
        <v>25691.936119000002</v>
      </c>
      <c r="AJ118" s="135">
        <f t="shared" si="13"/>
        <v>25771.033651000002</v>
      </c>
      <c r="AK118" s="135">
        <f t="shared" si="13"/>
        <v>24772.452083</v>
      </c>
      <c r="AL118" s="135">
        <f t="shared" si="14"/>
        <v>35363.226833000001</v>
      </c>
      <c r="AM118" s="135">
        <f t="shared" si="14"/>
        <v>28080.873062999999</v>
      </c>
      <c r="AN118" s="135">
        <f t="shared" si="14"/>
        <v>24918.450065000001</v>
      </c>
      <c r="AO118" s="135">
        <f t="shared" si="14"/>
        <v>21188.120315</v>
      </c>
      <c r="AP118" s="135">
        <f t="shared" si="14"/>
        <v>27551.868399999999</v>
      </c>
      <c r="AQ118" s="135">
        <f t="shared" si="14"/>
        <v>24556.799913999999</v>
      </c>
      <c r="AR118" s="135">
        <f t="shared" si="14"/>
        <v>20548.059990999998</v>
      </c>
      <c r="AS118" s="135">
        <f t="shared" si="14"/>
        <v>18478.490754999999</v>
      </c>
      <c r="AT118" s="135">
        <f t="shared" si="14"/>
        <v>20172.257205000002</v>
      </c>
      <c r="AU118" s="135">
        <f t="shared" si="14"/>
        <v>24644.037197000001</v>
      </c>
      <c r="AV118" s="135">
        <f t="shared" si="15"/>
        <v>19809.967401999998</v>
      </c>
      <c r="AW118" s="135">
        <f t="shared" si="15"/>
        <v>18475.886501000001</v>
      </c>
      <c r="AX118" s="135">
        <f t="shared" si="15"/>
        <v>17085.082458000001</v>
      </c>
      <c r="AY118" s="135">
        <f t="shared" si="15"/>
        <v>25015.309814</v>
      </c>
      <c r="AZ118" s="135">
        <f t="shared" si="15"/>
        <v>19224.386336</v>
      </c>
      <c r="BA118" s="135">
        <f t="shared" si="15"/>
        <v>17691.021605999998</v>
      </c>
      <c r="BB118" s="135">
        <f t="shared" si="15"/>
        <v>16102.117985999999</v>
      </c>
      <c r="BC118" s="135">
        <f t="shared" si="15"/>
        <v>19476.933679000002</v>
      </c>
      <c r="BD118" s="135">
        <f t="shared" si="15"/>
        <v>18817.456206999999</v>
      </c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</row>
    <row r="119" spans="1:97" x14ac:dyDescent="0.2">
      <c r="A119" s="134">
        <v>45308</v>
      </c>
      <c r="B119" s="135">
        <f>YEAR(source[[#This Row],[report_date]])</f>
        <v>2024</v>
      </c>
      <c r="C119" s="136">
        <v>1</v>
      </c>
      <c r="D119" s="136">
        <f t="shared" si="8"/>
        <v>3</v>
      </c>
      <c r="E119" s="136">
        <f t="shared" si="9"/>
        <v>17</v>
      </c>
      <c r="F119" s="128" t="s">
        <v>58</v>
      </c>
      <c r="G119" s="128" t="str">
        <f>VLOOKUP(source[[#This Row],[lending_product_transform]],[3]Mapping!$B$4:$C$37,2,0)</f>
        <v>[VDS] - Payroll Cashloan</v>
      </c>
      <c r="H119" s="128" t="str">
        <f>VLOOKUP(source[[#This Row],[lending_product_transform]],[3]Mapping!$B$3:$D$37,3,0)</f>
        <v>cashloan</v>
      </c>
      <c r="I119" s="135">
        <v>42000000</v>
      </c>
      <c r="K119" s="128" t="s">
        <v>206</v>
      </c>
      <c r="L119" s="135">
        <f t="shared" si="12"/>
        <v>0</v>
      </c>
      <c r="M119" s="135">
        <f t="shared" si="12"/>
        <v>0</v>
      </c>
      <c r="N119" s="135">
        <f t="shared" si="12"/>
        <v>0</v>
      </c>
      <c r="O119" s="135">
        <f t="shared" si="12"/>
        <v>0</v>
      </c>
      <c r="P119" s="135">
        <f t="shared" si="12"/>
        <v>0</v>
      </c>
      <c r="Q119" s="135">
        <f t="shared" si="12"/>
        <v>0</v>
      </c>
      <c r="R119" s="135">
        <f t="shared" si="12"/>
        <v>0</v>
      </c>
      <c r="S119" s="135">
        <f t="shared" si="12"/>
        <v>0</v>
      </c>
      <c r="T119" s="135">
        <f t="shared" si="12"/>
        <v>0</v>
      </c>
      <c r="U119" s="135">
        <f t="shared" si="12"/>
        <v>0</v>
      </c>
      <c r="V119" s="135">
        <f t="shared" si="13"/>
        <v>0</v>
      </c>
      <c r="W119" s="135">
        <f t="shared" si="13"/>
        <v>0</v>
      </c>
      <c r="X119" s="135">
        <f t="shared" si="13"/>
        <v>0</v>
      </c>
      <c r="Y119" s="135">
        <f t="shared" si="13"/>
        <v>0</v>
      </c>
      <c r="Z119" s="135">
        <f t="shared" si="13"/>
        <v>0</v>
      </c>
      <c r="AA119" s="135">
        <f t="shared" si="13"/>
        <v>0</v>
      </c>
      <c r="AB119" s="135">
        <f t="shared" si="13"/>
        <v>0</v>
      </c>
      <c r="AC119" s="135">
        <f t="shared" si="13"/>
        <v>0</v>
      </c>
      <c r="AD119" s="135">
        <f t="shared" si="13"/>
        <v>0</v>
      </c>
      <c r="AE119" s="135">
        <f t="shared" si="13"/>
        <v>0</v>
      </c>
      <c r="AF119" s="135">
        <f t="shared" si="13"/>
        <v>0</v>
      </c>
      <c r="AG119" s="135">
        <f t="shared" si="13"/>
        <v>0</v>
      </c>
      <c r="AH119" s="135">
        <f t="shared" si="13"/>
        <v>0</v>
      </c>
      <c r="AI119" s="135">
        <f t="shared" si="13"/>
        <v>0</v>
      </c>
      <c r="AJ119" s="135">
        <f t="shared" si="13"/>
        <v>0</v>
      </c>
      <c r="AK119" s="135">
        <f t="shared" si="13"/>
        <v>0</v>
      </c>
      <c r="AL119" s="135">
        <f t="shared" si="14"/>
        <v>0</v>
      </c>
      <c r="AM119" s="135">
        <f t="shared" si="14"/>
        <v>0</v>
      </c>
      <c r="AN119" s="135">
        <f t="shared" si="14"/>
        <v>0</v>
      </c>
      <c r="AO119" s="135">
        <f t="shared" si="14"/>
        <v>0</v>
      </c>
      <c r="AP119" s="135">
        <f t="shared" si="14"/>
        <v>0</v>
      </c>
      <c r="AQ119" s="135">
        <f t="shared" si="14"/>
        <v>0</v>
      </c>
      <c r="AR119" s="135">
        <f t="shared" si="14"/>
        <v>0</v>
      </c>
      <c r="AS119" s="135">
        <f t="shared" si="14"/>
        <v>0</v>
      </c>
      <c r="AT119" s="135">
        <f t="shared" si="14"/>
        <v>0</v>
      </c>
      <c r="AU119" s="135">
        <f t="shared" si="14"/>
        <v>0</v>
      </c>
      <c r="AV119" s="135">
        <f t="shared" si="15"/>
        <v>0</v>
      </c>
      <c r="AW119" s="135">
        <f t="shared" si="15"/>
        <v>0</v>
      </c>
      <c r="AX119" s="135">
        <f t="shared" si="15"/>
        <v>0</v>
      </c>
      <c r="AY119" s="135">
        <f t="shared" si="15"/>
        <v>0</v>
      </c>
      <c r="AZ119" s="135">
        <f t="shared" si="15"/>
        <v>0</v>
      </c>
      <c r="BA119" s="135">
        <f t="shared" si="15"/>
        <v>0</v>
      </c>
      <c r="BB119" s="135">
        <f t="shared" si="15"/>
        <v>0</v>
      </c>
      <c r="BC119" s="135">
        <f t="shared" si="15"/>
        <v>0</v>
      </c>
      <c r="BD119" s="135">
        <f t="shared" si="15"/>
        <v>0</v>
      </c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</row>
    <row r="120" spans="1:97" x14ac:dyDescent="0.2">
      <c r="A120" s="134">
        <v>45308</v>
      </c>
      <c r="B120" s="135">
        <f>YEAR(source[[#This Row],[report_date]])</f>
        <v>2024</v>
      </c>
      <c r="C120" s="136">
        <v>1</v>
      </c>
      <c r="D120" s="136">
        <f t="shared" si="8"/>
        <v>3</v>
      </c>
      <c r="E120" s="136">
        <f t="shared" si="9"/>
        <v>17</v>
      </c>
      <c r="F120" s="128" t="s">
        <v>56</v>
      </c>
      <c r="G120" s="128">
        <f>VLOOKUP(source[[#This Row],[lending_product_transform]],[3]Mapping!$B$4:$C$37,2,0)</f>
        <v>0</v>
      </c>
      <c r="H120" s="128">
        <f>VLOOKUP(source[[#This Row],[lending_product_transform]],[3]Mapping!$B$3:$D$37,3,0)</f>
        <v>0</v>
      </c>
      <c r="I120" s="135">
        <v>6570656656</v>
      </c>
      <c r="K120" s="128" t="s">
        <v>11</v>
      </c>
      <c r="L120" s="135">
        <f t="shared" si="12"/>
        <v>29666.6</v>
      </c>
      <c r="M120" s="135">
        <f t="shared" si="12"/>
        <v>44428.87</v>
      </c>
      <c r="N120" s="135">
        <f t="shared" si="12"/>
        <v>50868.66</v>
      </c>
      <c r="O120" s="135">
        <f t="shared" si="12"/>
        <v>44921.34</v>
      </c>
      <c r="P120" s="135">
        <f t="shared" si="12"/>
        <v>14576.81</v>
      </c>
      <c r="Q120" s="135">
        <f t="shared" si="12"/>
        <v>28424.45</v>
      </c>
      <c r="R120" s="135">
        <f t="shared" si="12"/>
        <v>33701.53</v>
      </c>
      <c r="S120" s="135">
        <f t="shared" si="12"/>
        <v>36437.43</v>
      </c>
      <c r="T120" s="135">
        <f t="shared" si="12"/>
        <v>39879.82</v>
      </c>
      <c r="U120" s="135">
        <f t="shared" si="12"/>
        <v>44334.13</v>
      </c>
      <c r="V120" s="135">
        <f t="shared" si="13"/>
        <v>43078.86</v>
      </c>
      <c r="W120" s="135">
        <f t="shared" si="13"/>
        <v>45578.86</v>
      </c>
      <c r="X120" s="135">
        <f t="shared" si="13"/>
        <v>47822.239999999998</v>
      </c>
      <c r="Y120" s="135">
        <f t="shared" si="13"/>
        <v>53022.36</v>
      </c>
      <c r="Z120" s="135">
        <f t="shared" si="13"/>
        <v>58885.82</v>
      </c>
      <c r="AA120" s="135">
        <f t="shared" si="13"/>
        <v>62877.78</v>
      </c>
      <c r="AB120" s="135">
        <f t="shared" si="13"/>
        <v>57831.74</v>
      </c>
      <c r="AC120" s="135">
        <f t="shared" si="13"/>
        <v>53812.36</v>
      </c>
      <c r="AD120" s="135">
        <f t="shared" si="13"/>
        <v>60896.55</v>
      </c>
      <c r="AE120" s="135">
        <f t="shared" si="13"/>
        <v>56711.6</v>
      </c>
      <c r="AF120" s="135">
        <f t="shared" si="13"/>
        <v>50536.28</v>
      </c>
      <c r="AG120" s="135">
        <f t="shared" si="13"/>
        <v>45991.48</v>
      </c>
      <c r="AH120" s="135">
        <f t="shared" si="13"/>
        <v>58242.239999999998</v>
      </c>
      <c r="AI120" s="135">
        <f t="shared" si="13"/>
        <v>69539.91</v>
      </c>
      <c r="AJ120" s="135">
        <f t="shared" si="13"/>
        <v>61680.57</v>
      </c>
      <c r="AK120" s="135">
        <f t="shared" si="13"/>
        <v>56966.23</v>
      </c>
      <c r="AL120" s="135">
        <f t="shared" si="14"/>
        <v>90164.93</v>
      </c>
      <c r="AM120" s="135">
        <f t="shared" si="14"/>
        <v>88470.3</v>
      </c>
      <c r="AN120" s="135">
        <f t="shared" si="14"/>
        <v>87593.78</v>
      </c>
      <c r="AO120" s="135">
        <f t="shared" si="14"/>
        <v>80199.37</v>
      </c>
      <c r="AP120" s="135">
        <f t="shared" si="14"/>
        <v>74911.289999999994</v>
      </c>
      <c r="AQ120" s="135">
        <f t="shared" si="14"/>
        <v>77117.929999999993</v>
      </c>
      <c r="AR120" s="135">
        <f t="shared" si="14"/>
        <v>82107.839999999997</v>
      </c>
      <c r="AS120" s="135">
        <f t="shared" si="14"/>
        <v>78130.960000000006</v>
      </c>
      <c r="AT120" s="135">
        <f t="shared" si="14"/>
        <v>77201.64</v>
      </c>
      <c r="AU120" s="135">
        <f t="shared" si="14"/>
        <v>91289.93</v>
      </c>
      <c r="AV120" s="135">
        <f t="shared" si="15"/>
        <v>122831.55</v>
      </c>
      <c r="AW120" s="135">
        <f t="shared" si="15"/>
        <v>116350.75</v>
      </c>
      <c r="AX120" s="135">
        <f t="shared" si="15"/>
        <v>104288.1</v>
      </c>
      <c r="AY120" s="135">
        <f t="shared" si="15"/>
        <v>111093.84</v>
      </c>
      <c r="AZ120" s="135">
        <f t="shared" si="15"/>
        <v>110424.53</v>
      </c>
      <c r="BA120" s="135">
        <f t="shared" si="15"/>
        <v>110401.09</v>
      </c>
      <c r="BB120" s="135">
        <f t="shared" si="15"/>
        <v>114732.01</v>
      </c>
      <c r="BC120" s="135">
        <f t="shared" si="15"/>
        <v>102871.19</v>
      </c>
      <c r="BD120" s="135">
        <f t="shared" si="15"/>
        <v>115233.59</v>
      </c>
      <c r="BE120" s="135"/>
      <c r="BF120" s="135"/>
      <c r="BG120" s="135"/>
      <c r="BH120" s="135"/>
      <c r="BI120" s="135"/>
      <c r="BJ120" s="135"/>
      <c r="BK120" s="135"/>
      <c r="BL120" s="135"/>
      <c r="BO120" s="130"/>
    </row>
    <row r="121" spans="1:97" x14ac:dyDescent="0.2">
      <c r="A121" s="134">
        <v>45308</v>
      </c>
      <c r="B121" s="135">
        <f>YEAR(source[[#This Row],[report_date]])</f>
        <v>2024</v>
      </c>
      <c r="C121" s="136">
        <v>1</v>
      </c>
      <c r="D121" s="136">
        <f t="shared" si="8"/>
        <v>3</v>
      </c>
      <c r="E121" s="136">
        <f t="shared" si="9"/>
        <v>17</v>
      </c>
      <c r="F121" s="128" t="s">
        <v>11</v>
      </c>
      <c r="G121" s="128" t="str">
        <f>VLOOKUP(source[[#This Row],[lending_product_transform]],[3]Mapping!$B$4:$C$37,2,0)</f>
        <v>[VDS] - Cashloan</v>
      </c>
      <c r="H121" s="128" t="str">
        <f>VLOOKUP(source[[#This Row],[lending_product_transform]],[3]Mapping!$B$3:$D$37,3,0)</f>
        <v>cashloan</v>
      </c>
      <c r="I121" s="135">
        <v>2477700000</v>
      </c>
      <c r="K121" s="128" t="s">
        <v>207</v>
      </c>
      <c r="L121" s="135">
        <f t="shared" si="12"/>
        <v>288.57</v>
      </c>
      <c r="M121" s="135">
        <f t="shared" si="12"/>
        <v>133.97</v>
      </c>
      <c r="N121" s="135">
        <f t="shared" si="12"/>
        <v>64.2</v>
      </c>
      <c r="O121" s="135">
        <f t="shared" si="12"/>
        <v>0</v>
      </c>
      <c r="P121" s="135">
        <f t="shared" si="12"/>
        <v>0</v>
      </c>
      <c r="Q121" s="135">
        <f t="shared" si="12"/>
        <v>0</v>
      </c>
      <c r="R121" s="135">
        <f t="shared" si="12"/>
        <v>0</v>
      </c>
      <c r="S121" s="135">
        <f t="shared" si="12"/>
        <v>0</v>
      </c>
      <c r="T121" s="135">
        <f t="shared" si="12"/>
        <v>32.1</v>
      </c>
      <c r="U121" s="135">
        <f t="shared" si="12"/>
        <v>170.17</v>
      </c>
      <c r="V121" s="135">
        <f t="shared" si="13"/>
        <v>281.77999999999997</v>
      </c>
      <c r="W121" s="135">
        <f t="shared" si="13"/>
        <v>234.37</v>
      </c>
      <c r="X121" s="135">
        <f t="shared" si="13"/>
        <v>42.8</v>
      </c>
      <c r="Y121" s="135">
        <f t="shared" si="13"/>
        <v>21.4</v>
      </c>
      <c r="Z121" s="135">
        <f t="shared" si="13"/>
        <v>21.4</v>
      </c>
      <c r="AA121" s="135">
        <f t="shared" si="13"/>
        <v>42.8</v>
      </c>
      <c r="AB121" s="135">
        <f t="shared" si="13"/>
        <v>0</v>
      </c>
      <c r="AC121" s="135">
        <f t="shared" si="13"/>
        <v>0</v>
      </c>
      <c r="AD121" s="135">
        <f t="shared" si="13"/>
        <v>0</v>
      </c>
      <c r="AE121" s="135">
        <f t="shared" si="13"/>
        <v>0</v>
      </c>
      <c r="AF121" s="135">
        <f t="shared" si="13"/>
        <v>0</v>
      </c>
      <c r="AG121" s="135">
        <f t="shared" si="13"/>
        <v>0</v>
      </c>
      <c r="AH121" s="135">
        <f t="shared" si="13"/>
        <v>0</v>
      </c>
      <c r="AI121" s="135">
        <f t="shared" si="13"/>
        <v>0</v>
      </c>
      <c r="AJ121" s="135">
        <f t="shared" si="13"/>
        <v>0</v>
      </c>
      <c r="AK121" s="135">
        <f t="shared" si="13"/>
        <v>0</v>
      </c>
      <c r="AL121" s="135">
        <f t="shared" si="14"/>
        <v>0</v>
      </c>
      <c r="AM121" s="135">
        <f t="shared" si="14"/>
        <v>0</v>
      </c>
      <c r="AN121" s="135">
        <f t="shared" si="14"/>
        <v>0</v>
      </c>
      <c r="AO121" s="135">
        <f t="shared" si="14"/>
        <v>0</v>
      </c>
      <c r="AP121" s="135">
        <f t="shared" si="14"/>
        <v>0</v>
      </c>
      <c r="AQ121" s="135">
        <f t="shared" si="14"/>
        <v>0</v>
      </c>
      <c r="AR121" s="135">
        <f t="shared" si="14"/>
        <v>0</v>
      </c>
      <c r="AS121" s="135">
        <f t="shared" si="14"/>
        <v>0</v>
      </c>
      <c r="AT121" s="135">
        <f t="shared" si="14"/>
        <v>0</v>
      </c>
      <c r="AU121" s="135">
        <f t="shared" si="14"/>
        <v>0</v>
      </c>
      <c r="AV121" s="135">
        <f t="shared" si="15"/>
        <v>0</v>
      </c>
      <c r="AW121" s="135">
        <f t="shared" si="15"/>
        <v>0</v>
      </c>
      <c r="AX121" s="135">
        <f t="shared" si="15"/>
        <v>0</v>
      </c>
      <c r="AY121" s="135">
        <f t="shared" si="15"/>
        <v>0</v>
      </c>
      <c r="AZ121" s="135">
        <f t="shared" si="15"/>
        <v>0</v>
      </c>
      <c r="BA121" s="135">
        <f t="shared" si="15"/>
        <v>0</v>
      </c>
      <c r="BB121" s="135">
        <f t="shared" si="15"/>
        <v>0</v>
      </c>
      <c r="BC121" s="135">
        <f t="shared" si="15"/>
        <v>0</v>
      </c>
      <c r="BD121" s="135">
        <f t="shared" si="15"/>
        <v>0</v>
      </c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</row>
    <row r="122" spans="1:97" x14ac:dyDescent="0.2">
      <c r="A122" s="134">
        <v>45309</v>
      </c>
      <c r="B122" s="135">
        <f>YEAR(source[[#This Row],[report_date]])</f>
        <v>2024</v>
      </c>
      <c r="C122" s="136">
        <v>1</v>
      </c>
      <c r="D122" s="136">
        <f t="shared" si="8"/>
        <v>3</v>
      </c>
      <c r="E122" s="136">
        <f t="shared" si="9"/>
        <v>18</v>
      </c>
      <c r="F122" s="128" t="s">
        <v>65</v>
      </c>
      <c r="G122" s="128" t="str">
        <f>VLOOKUP(source[[#This Row],[lending_product_transform]],[3]Mapping!$B$4:$C$37,2,0)</f>
        <v>[BE] - Cashloan</v>
      </c>
      <c r="H122" s="128" t="str">
        <f>VLOOKUP(source[[#This Row],[lending_product_transform]],[3]Mapping!$B$3:$D$37,3,0)</f>
        <v>cashloan</v>
      </c>
      <c r="I122" s="135">
        <v>380700000</v>
      </c>
      <c r="K122" s="128" t="s">
        <v>19</v>
      </c>
      <c r="L122" s="135">
        <f t="shared" si="12"/>
        <v>22624.5</v>
      </c>
      <c r="M122" s="135">
        <f t="shared" si="12"/>
        <v>32963.5</v>
      </c>
      <c r="N122" s="135">
        <f t="shared" si="12"/>
        <v>33181</v>
      </c>
      <c r="O122" s="135">
        <f t="shared" si="12"/>
        <v>37937.5</v>
      </c>
      <c r="P122" s="135">
        <f t="shared" si="12"/>
        <v>19309</v>
      </c>
      <c r="Q122" s="135">
        <f t="shared" si="12"/>
        <v>31012.5</v>
      </c>
      <c r="R122" s="135">
        <f t="shared" si="12"/>
        <v>37470.5</v>
      </c>
      <c r="S122" s="135">
        <f t="shared" si="12"/>
        <v>34822</v>
      </c>
      <c r="T122" s="135">
        <f t="shared" si="12"/>
        <v>33064</v>
      </c>
      <c r="U122" s="135">
        <f t="shared" si="12"/>
        <v>36952</v>
      </c>
      <c r="V122" s="135">
        <f t="shared" si="13"/>
        <v>37731.5</v>
      </c>
      <c r="W122" s="135">
        <f t="shared" si="13"/>
        <v>34156</v>
      </c>
      <c r="X122" s="135">
        <f t="shared" si="13"/>
        <v>33145</v>
      </c>
      <c r="Y122" s="135">
        <f t="shared" si="13"/>
        <v>38560.616000000002</v>
      </c>
      <c r="Z122" s="135">
        <f t="shared" si="13"/>
        <v>40796.976000000002</v>
      </c>
      <c r="AA122" s="135">
        <f t="shared" si="13"/>
        <v>40375.692000000003</v>
      </c>
      <c r="AB122" s="135">
        <f t="shared" si="13"/>
        <v>32613.083999999999</v>
      </c>
      <c r="AC122" s="135">
        <f t="shared" si="13"/>
        <v>34027.235999999997</v>
      </c>
      <c r="AD122" s="135">
        <f t="shared" si="13"/>
        <v>39169.332000000002</v>
      </c>
      <c r="AE122" s="135">
        <f t="shared" si="13"/>
        <v>40179.455999999998</v>
      </c>
      <c r="AF122" s="135">
        <f t="shared" si="13"/>
        <v>36548.28</v>
      </c>
      <c r="AG122" s="135">
        <f t="shared" si="13"/>
        <v>37878.084000000003</v>
      </c>
      <c r="AH122" s="135">
        <f t="shared" si="13"/>
        <v>39748.212</v>
      </c>
      <c r="AI122" s="135">
        <f t="shared" si="13"/>
        <v>42387.624000000003</v>
      </c>
      <c r="AJ122" s="135">
        <f t="shared" si="13"/>
        <v>36338.328000000001</v>
      </c>
      <c r="AK122" s="135">
        <f t="shared" si="13"/>
        <v>33921.504000000001</v>
      </c>
      <c r="AL122" s="135">
        <f t="shared" si="14"/>
        <v>41857.451999999997</v>
      </c>
      <c r="AM122" s="135">
        <f t="shared" si="14"/>
        <v>45590.796000000002</v>
      </c>
      <c r="AN122" s="135">
        <f t="shared" si="14"/>
        <v>43254.54</v>
      </c>
      <c r="AO122" s="135">
        <f t="shared" si="14"/>
        <v>37206.324000000001</v>
      </c>
      <c r="AP122" s="135">
        <f t="shared" si="14"/>
        <v>35819.495999999999</v>
      </c>
      <c r="AQ122" s="135">
        <f t="shared" si="14"/>
        <v>43111.98</v>
      </c>
      <c r="AR122" s="135">
        <f t="shared" si="14"/>
        <v>45729.792000000001</v>
      </c>
      <c r="AS122" s="135">
        <f t="shared" si="14"/>
        <v>41091.947999999997</v>
      </c>
      <c r="AT122" s="135">
        <f t="shared" si="14"/>
        <v>41418.54</v>
      </c>
      <c r="AU122" s="135">
        <f t="shared" si="14"/>
        <v>51322.788</v>
      </c>
      <c r="AV122" s="135">
        <f t="shared" si="15"/>
        <v>67909.428</v>
      </c>
      <c r="AW122" s="135">
        <f t="shared" si="15"/>
        <v>67997.232000000004</v>
      </c>
      <c r="AX122" s="135">
        <f t="shared" si="15"/>
        <v>64388.411999999997</v>
      </c>
      <c r="AY122" s="135">
        <f t="shared" si="15"/>
        <v>69724.152000000002</v>
      </c>
      <c r="AZ122" s="135">
        <f t="shared" si="15"/>
        <v>79645.895999999993</v>
      </c>
      <c r="BA122" s="135">
        <f t="shared" si="15"/>
        <v>77393.771999999997</v>
      </c>
      <c r="BB122" s="135">
        <f t="shared" si="15"/>
        <v>67678.956000000006</v>
      </c>
      <c r="BC122" s="135">
        <f t="shared" si="15"/>
        <v>65409.552000000003</v>
      </c>
      <c r="BD122" s="135">
        <f t="shared" si="15"/>
        <v>70528.212</v>
      </c>
      <c r="BE122" s="135"/>
      <c r="BF122" s="135"/>
      <c r="BG122" s="135"/>
      <c r="BH122" s="135"/>
      <c r="BI122" s="135"/>
      <c r="BJ122" s="135"/>
      <c r="BK122" s="135"/>
      <c r="BL122" s="135"/>
      <c r="BM122" s="130"/>
      <c r="BN122" s="130"/>
    </row>
    <row r="123" spans="1:97" x14ac:dyDescent="0.2">
      <c r="A123" s="134">
        <v>45309</v>
      </c>
      <c r="B123" s="135">
        <f>YEAR(source[[#This Row],[report_date]])</f>
        <v>2024</v>
      </c>
      <c r="C123" s="136">
        <v>1</v>
      </c>
      <c r="D123" s="136">
        <f t="shared" si="8"/>
        <v>3</v>
      </c>
      <c r="E123" s="136">
        <f t="shared" si="9"/>
        <v>18</v>
      </c>
      <c r="F123" s="128" t="s">
        <v>67</v>
      </c>
      <c r="G123" s="128" t="str">
        <f>VLOOKUP(source[[#This Row],[lending_product_transform]],[3]Mapping!$B$4:$C$37,2,0)</f>
        <v>[Cake] - Overdraft</v>
      </c>
      <c r="H123" s="128" t="str">
        <f>VLOOKUP(source[[#This Row],[lending_product_transform]],[3]Mapping!$B$3:$D$37,3,0)</f>
        <v>overdraft</v>
      </c>
      <c r="I123" s="135">
        <v>1597780747</v>
      </c>
      <c r="K123" s="128" t="s">
        <v>62</v>
      </c>
      <c r="L123" s="135">
        <f t="shared" si="12"/>
        <v>2140.3878340000001</v>
      </c>
      <c r="M123" s="135">
        <f t="shared" si="12"/>
        <v>3260.7348350000002</v>
      </c>
      <c r="N123" s="135">
        <f t="shared" si="12"/>
        <v>2214.4872329999998</v>
      </c>
      <c r="O123" s="135">
        <f t="shared" si="12"/>
        <v>2122.4212050000001</v>
      </c>
      <c r="P123" s="135">
        <f t="shared" si="12"/>
        <v>1576.146152</v>
      </c>
      <c r="Q123" s="135">
        <f t="shared" si="12"/>
        <v>3857.124456</v>
      </c>
      <c r="R123" s="135">
        <f t="shared" si="12"/>
        <v>2794.7550620000002</v>
      </c>
      <c r="S123" s="135">
        <f t="shared" si="12"/>
        <v>2165.7574749999999</v>
      </c>
      <c r="T123" s="135">
        <f t="shared" si="12"/>
        <v>2382.8636809999998</v>
      </c>
      <c r="U123" s="135">
        <f t="shared" si="12"/>
        <v>4000.8915809999999</v>
      </c>
      <c r="V123" s="135">
        <f t="shared" si="13"/>
        <v>3276.0801430000001</v>
      </c>
      <c r="W123" s="135">
        <f t="shared" si="13"/>
        <v>2305.0323539999999</v>
      </c>
      <c r="X123" s="135">
        <f t="shared" si="13"/>
        <v>2162.4815560000002</v>
      </c>
      <c r="Y123" s="135">
        <f t="shared" si="13"/>
        <v>3901.227007</v>
      </c>
      <c r="Z123" s="135">
        <f t="shared" si="13"/>
        <v>2983.3095709999998</v>
      </c>
      <c r="AA123" s="135">
        <f t="shared" si="13"/>
        <v>2391.719724</v>
      </c>
      <c r="AB123" s="135">
        <f t="shared" si="13"/>
        <v>2263.402709</v>
      </c>
      <c r="AC123" s="135">
        <f t="shared" si="13"/>
        <v>2544.3566620000001</v>
      </c>
      <c r="AD123" s="135">
        <f t="shared" si="13"/>
        <v>4132.3012740000004</v>
      </c>
      <c r="AE123" s="135">
        <f t="shared" si="13"/>
        <v>2407.5372560000001</v>
      </c>
      <c r="AF123" s="135">
        <f t="shared" si="13"/>
        <v>1974.4410580000001</v>
      </c>
      <c r="AG123" s="135">
        <f t="shared" si="13"/>
        <v>2175.0549179999998</v>
      </c>
      <c r="AH123" s="135">
        <f t="shared" si="13"/>
        <v>4103.5894029999999</v>
      </c>
      <c r="AI123" s="135">
        <f t="shared" si="13"/>
        <v>2955.6905369999999</v>
      </c>
      <c r="AJ123" s="135">
        <f t="shared" si="13"/>
        <v>2372.1224889999999</v>
      </c>
      <c r="AK123" s="135">
        <f t="shared" si="13"/>
        <v>2098.1710560000001</v>
      </c>
      <c r="AL123" s="135">
        <f t="shared" si="14"/>
        <v>4185.7662179999998</v>
      </c>
      <c r="AM123" s="135">
        <f t="shared" si="14"/>
        <v>3041.394409</v>
      </c>
      <c r="AN123" s="135">
        <f t="shared" si="14"/>
        <v>2032.3071829999999</v>
      </c>
      <c r="AO123" s="135">
        <f t="shared" si="14"/>
        <v>1883.267922</v>
      </c>
      <c r="AP123" s="135">
        <f t="shared" si="14"/>
        <v>2260.9358809999999</v>
      </c>
      <c r="AQ123" s="135">
        <f t="shared" si="14"/>
        <v>3118.2338260000001</v>
      </c>
      <c r="AR123" s="135">
        <f t="shared" si="14"/>
        <v>1814.4653820000001</v>
      </c>
      <c r="AS123" s="135">
        <f t="shared" si="14"/>
        <v>1419.7428600000001</v>
      </c>
      <c r="AT123" s="135">
        <f t="shared" si="14"/>
        <v>1310.4699780000001</v>
      </c>
      <c r="AU123" s="135">
        <f t="shared" si="14"/>
        <v>3600.7242019999999</v>
      </c>
      <c r="AV123" s="135">
        <f t="shared" si="15"/>
        <v>2090.2404689999998</v>
      </c>
      <c r="AW123" s="135">
        <f t="shared" si="15"/>
        <v>1357.9796200000001</v>
      </c>
      <c r="AX123" s="135">
        <f t="shared" si="15"/>
        <v>1225.5843090000001</v>
      </c>
      <c r="AY123" s="135">
        <f t="shared" si="15"/>
        <v>2963.1434810000001</v>
      </c>
      <c r="AZ123" s="135">
        <f t="shared" si="15"/>
        <v>2407.047658</v>
      </c>
      <c r="BA123" s="135">
        <f t="shared" si="15"/>
        <v>1589.499401</v>
      </c>
      <c r="BB123" s="135">
        <f t="shared" si="15"/>
        <v>1462.466707</v>
      </c>
      <c r="BC123" s="135">
        <f t="shared" si="15"/>
        <v>1922.664845</v>
      </c>
      <c r="BD123" s="135">
        <f t="shared" si="15"/>
        <v>3215.0417769999999</v>
      </c>
      <c r="BE123" s="135"/>
      <c r="BF123" s="135"/>
      <c r="BG123" s="135"/>
      <c r="BH123" s="135"/>
      <c r="BI123" s="135"/>
      <c r="BJ123" s="135"/>
      <c r="BK123" s="135"/>
      <c r="BL123" s="135"/>
    </row>
    <row r="124" spans="1:97" x14ac:dyDescent="0.2">
      <c r="A124" s="134">
        <v>45309</v>
      </c>
      <c r="B124" s="135">
        <f>YEAR(source[[#This Row],[report_date]])</f>
        <v>2024</v>
      </c>
      <c r="C124" s="136">
        <v>1</v>
      </c>
      <c r="D124" s="136">
        <f t="shared" si="8"/>
        <v>3</v>
      </c>
      <c r="E124" s="136">
        <f t="shared" si="9"/>
        <v>18</v>
      </c>
      <c r="F124" s="128" t="s">
        <v>11</v>
      </c>
      <c r="G124" s="128" t="str">
        <f>VLOOKUP(source[[#This Row],[lending_product_transform]],[3]Mapping!$B$4:$C$37,2,0)</f>
        <v>[VDS] - Cashloan</v>
      </c>
      <c r="H124" s="128" t="str">
        <f>VLOOKUP(source[[#This Row],[lending_product_transform]],[3]Mapping!$B$3:$D$37,3,0)</f>
        <v>cashloan</v>
      </c>
      <c r="I124" s="135">
        <v>2851550000</v>
      </c>
      <c r="K124" s="128" t="s">
        <v>58</v>
      </c>
      <c r="L124" s="135">
        <f t="shared" si="12"/>
        <v>132.35</v>
      </c>
      <c r="M124" s="135">
        <f t="shared" si="12"/>
        <v>158.6</v>
      </c>
      <c r="N124" s="135">
        <f t="shared" si="12"/>
        <v>314.5</v>
      </c>
      <c r="O124" s="135">
        <f t="shared" si="12"/>
        <v>342.45</v>
      </c>
      <c r="P124" s="135">
        <f t="shared" si="12"/>
        <v>147.55000000000001</v>
      </c>
      <c r="Q124" s="135">
        <f t="shared" si="12"/>
        <v>206.45</v>
      </c>
      <c r="R124" s="135">
        <f t="shared" si="12"/>
        <v>318.75</v>
      </c>
      <c r="S124" s="135">
        <f t="shared" si="12"/>
        <v>300.64999999999998</v>
      </c>
      <c r="T124" s="135">
        <f t="shared" si="12"/>
        <v>324</v>
      </c>
      <c r="U124" s="135">
        <f t="shared" si="12"/>
        <v>386.25</v>
      </c>
      <c r="V124" s="135">
        <f t="shared" si="13"/>
        <v>292</v>
      </c>
      <c r="W124" s="135">
        <f t="shared" si="13"/>
        <v>424.05</v>
      </c>
      <c r="X124" s="135">
        <f t="shared" si="13"/>
        <v>471.7</v>
      </c>
      <c r="Y124" s="135">
        <f t="shared" si="13"/>
        <v>450.65</v>
      </c>
      <c r="Z124" s="135">
        <f t="shared" si="13"/>
        <v>146</v>
      </c>
      <c r="AA124" s="135">
        <f t="shared" si="13"/>
        <v>252.4</v>
      </c>
      <c r="AB124" s="135">
        <f t="shared" si="13"/>
        <v>327.7</v>
      </c>
      <c r="AC124" s="135">
        <f t="shared" si="13"/>
        <v>323</v>
      </c>
      <c r="AD124" s="135">
        <f t="shared" si="13"/>
        <v>303.35000000000002</v>
      </c>
      <c r="AE124" s="135">
        <f t="shared" si="13"/>
        <v>194.3</v>
      </c>
      <c r="AF124" s="135">
        <f t="shared" si="13"/>
        <v>277.55</v>
      </c>
      <c r="AG124" s="135">
        <f t="shared" si="13"/>
        <v>213.25</v>
      </c>
      <c r="AH124" s="135">
        <f t="shared" si="13"/>
        <v>73.5</v>
      </c>
      <c r="AI124" s="135">
        <f t="shared" si="13"/>
        <v>21</v>
      </c>
      <c r="AJ124" s="135">
        <f t="shared" si="13"/>
        <v>115.5</v>
      </c>
      <c r="AK124" s="135">
        <f t="shared" si="13"/>
        <v>122</v>
      </c>
      <c r="AL124" s="135">
        <f t="shared" si="14"/>
        <v>52.5</v>
      </c>
      <c r="AM124" s="135">
        <f t="shared" si="14"/>
        <v>73.5</v>
      </c>
      <c r="AN124" s="135">
        <f t="shared" si="14"/>
        <v>381.25</v>
      </c>
      <c r="AO124" s="135">
        <f t="shared" si="14"/>
        <v>173.3</v>
      </c>
      <c r="AP124" s="135">
        <f t="shared" si="14"/>
        <v>201.75</v>
      </c>
      <c r="AQ124" s="135">
        <f t="shared" si="14"/>
        <v>178.5</v>
      </c>
      <c r="AR124" s="135">
        <f t="shared" si="14"/>
        <v>237.95</v>
      </c>
      <c r="AS124" s="135">
        <f t="shared" si="14"/>
        <v>337.5</v>
      </c>
      <c r="AT124" s="135">
        <f t="shared" si="14"/>
        <v>245.25</v>
      </c>
      <c r="AU124" s="135">
        <f t="shared" si="14"/>
        <v>176.25</v>
      </c>
      <c r="AV124" s="135">
        <f t="shared" si="15"/>
        <v>314.75</v>
      </c>
      <c r="AW124" s="135">
        <f t="shared" si="15"/>
        <v>126</v>
      </c>
      <c r="AX124" s="135">
        <f t="shared" si="15"/>
        <v>269</v>
      </c>
      <c r="AY124" s="135">
        <f t="shared" si="15"/>
        <v>267</v>
      </c>
      <c r="AZ124" s="135">
        <f t="shared" si="15"/>
        <v>268.3</v>
      </c>
      <c r="BA124" s="135">
        <f t="shared" si="15"/>
        <v>198.15</v>
      </c>
      <c r="BB124" s="135">
        <f t="shared" si="15"/>
        <v>280.3</v>
      </c>
      <c r="BC124" s="135">
        <f t="shared" si="15"/>
        <v>164.75</v>
      </c>
      <c r="BD124" s="135">
        <f t="shared" si="15"/>
        <v>136.1</v>
      </c>
      <c r="BE124" s="135"/>
      <c r="BF124" s="135"/>
      <c r="BG124" s="135"/>
      <c r="BH124" s="135"/>
      <c r="BI124" s="135"/>
      <c r="BJ124" s="135"/>
      <c r="BK124" s="135"/>
      <c r="BL124" s="135"/>
    </row>
    <row r="125" spans="1:97" x14ac:dyDescent="0.2">
      <c r="A125" s="134">
        <v>45309</v>
      </c>
      <c r="B125" s="135">
        <f>YEAR(source[[#This Row],[report_date]])</f>
        <v>2024</v>
      </c>
      <c r="C125" s="136">
        <v>1</v>
      </c>
      <c r="D125" s="136">
        <f t="shared" si="8"/>
        <v>3</v>
      </c>
      <c r="E125" s="136">
        <f t="shared" si="9"/>
        <v>18</v>
      </c>
      <c r="F125" s="128" t="s">
        <v>61</v>
      </c>
      <c r="G125" s="128" t="str">
        <f>VLOOKUP(source[[#This Row],[lending_product_transform]],[3]Mapping!$B$4:$C$37,2,0)</f>
        <v>[VDS] - Payroll Payday</v>
      </c>
      <c r="H125" s="128" t="str">
        <f>VLOOKUP(source[[#This Row],[lending_product_transform]],[3]Mapping!$B$3:$D$37,3,0)</f>
        <v>payday</v>
      </c>
      <c r="I125" s="135">
        <v>22000000</v>
      </c>
      <c r="K125" s="128" t="s">
        <v>61</v>
      </c>
      <c r="L125" s="135">
        <f t="shared" si="12"/>
        <v>122</v>
      </c>
      <c r="M125" s="135">
        <f t="shared" si="12"/>
        <v>189</v>
      </c>
      <c r="N125" s="135">
        <f t="shared" si="12"/>
        <v>151</v>
      </c>
      <c r="O125" s="135">
        <f t="shared" si="12"/>
        <v>330</v>
      </c>
      <c r="P125" s="135">
        <f t="shared" si="12"/>
        <v>117</v>
      </c>
      <c r="Q125" s="135">
        <f t="shared" si="12"/>
        <v>264</v>
      </c>
      <c r="R125" s="135">
        <f t="shared" si="12"/>
        <v>282</v>
      </c>
      <c r="S125" s="135">
        <f t="shared" si="12"/>
        <v>401</v>
      </c>
      <c r="T125" s="135">
        <f t="shared" si="12"/>
        <v>390</v>
      </c>
      <c r="U125" s="135">
        <f t="shared" si="12"/>
        <v>464</v>
      </c>
      <c r="V125" s="135">
        <f t="shared" si="13"/>
        <v>393</v>
      </c>
      <c r="W125" s="135">
        <f t="shared" si="13"/>
        <v>562</v>
      </c>
      <c r="X125" s="135">
        <f t="shared" si="13"/>
        <v>484</v>
      </c>
      <c r="Y125" s="135">
        <f t="shared" si="13"/>
        <v>455</v>
      </c>
      <c r="Z125" s="135">
        <f t="shared" si="13"/>
        <v>305</v>
      </c>
      <c r="AA125" s="135">
        <f t="shared" si="13"/>
        <v>353</v>
      </c>
      <c r="AB125" s="135">
        <f t="shared" si="13"/>
        <v>359</v>
      </c>
      <c r="AC125" s="135">
        <f t="shared" si="13"/>
        <v>246</v>
      </c>
      <c r="AD125" s="135">
        <f t="shared" si="13"/>
        <v>281</v>
      </c>
      <c r="AE125" s="135">
        <f t="shared" si="13"/>
        <v>214</v>
      </c>
      <c r="AF125" s="135">
        <f t="shared" si="13"/>
        <v>206</v>
      </c>
      <c r="AG125" s="135">
        <f t="shared" si="13"/>
        <v>139</v>
      </c>
      <c r="AH125" s="135">
        <f t="shared" si="13"/>
        <v>119</v>
      </c>
      <c r="AI125" s="135">
        <f t="shared" si="13"/>
        <v>117</v>
      </c>
      <c r="AJ125" s="135">
        <f t="shared" si="13"/>
        <v>120</v>
      </c>
      <c r="AK125" s="135">
        <f t="shared" si="13"/>
        <v>144</v>
      </c>
      <c r="AL125" s="135">
        <f t="shared" si="14"/>
        <v>164</v>
      </c>
      <c r="AM125" s="135">
        <f t="shared" si="14"/>
        <v>104</v>
      </c>
      <c r="AN125" s="135">
        <f t="shared" si="14"/>
        <v>328</v>
      </c>
      <c r="AO125" s="135">
        <f t="shared" si="14"/>
        <v>201</v>
      </c>
      <c r="AP125" s="135">
        <f t="shared" si="14"/>
        <v>259</v>
      </c>
      <c r="AQ125" s="135">
        <f t="shared" si="14"/>
        <v>240</v>
      </c>
      <c r="AR125" s="135">
        <f t="shared" si="14"/>
        <v>185</v>
      </c>
      <c r="AS125" s="135">
        <f t="shared" si="14"/>
        <v>226</v>
      </c>
      <c r="AT125" s="135">
        <f t="shared" si="14"/>
        <v>310</v>
      </c>
      <c r="AU125" s="135">
        <f t="shared" si="14"/>
        <v>270</v>
      </c>
      <c r="AV125" s="135">
        <f t="shared" si="15"/>
        <v>236</v>
      </c>
      <c r="AW125" s="135">
        <f t="shared" si="15"/>
        <v>230</v>
      </c>
      <c r="AX125" s="135">
        <f t="shared" si="15"/>
        <v>350</v>
      </c>
      <c r="AY125" s="135">
        <f t="shared" si="15"/>
        <v>318</v>
      </c>
      <c r="AZ125" s="135">
        <f t="shared" si="15"/>
        <v>315</v>
      </c>
      <c r="BA125" s="135">
        <f t="shared" si="15"/>
        <v>166</v>
      </c>
      <c r="BB125" s="135">
        <f t="shared" si="15"/>
        <v>302</v>
      </c>
      <c r="BC125" s="135">
        <f t="shared" si="15"/>
        <v>284</v>
      </c>
      <c r="BD125" s="135">
        <f t="shared" si="15"/>
        <v>273</v>
      </c>
      <c r="BE125" s="135"/>
      <c r="BF125" s="135"/>
      <c r="BG125" s="135"/>
      <c r="BH125" s="135"/>
      <c r="BI125" s="135"/>
      <c r="BJ125" s="135"/>
      <c r="BK125" s="135"/>
      <c r="BL125" s="135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  <c r="CC125" s="137"/>
      <c r="CD125" s="137"/>
      <c r="CE125" s="137"/>
      <c r="CF125" s="137"/>
      <c r="CG125" s="137"/>
      <c r="CH125" s="137"/>
      <c r="CI125" s="137"/>
      <c r="CJ125" s="137"/>
      <c r="CK125" s="137"/>
      <c r="CL125" s="137"/>
      <c r="CM125" s="137"/>
      <c r="CN125" s="137"/>
      <c r="CO125" s="137"/>
      <c r="CP125" s="137"/>
      <c r="CQ125" s="137"/>
      <c r="CR125" s="137"/>
      <c r="CS125" s="137"/>
    </row>
    <row r="126" spans="1:97" x14ac:dyDescent="0.2">
      <c r="A126" s="134">
        <v>45309</v>
      </c>
      <c r="B126" s="135">
        <f>YEAR(source[[#This Row],[report_date]])</f>
        <v>2024</v>
      </c>
      <c r="C126" s="136">
        <v>1</v>
      </c>
      <c r="D126" s="136">
        <f t="shared" si="8"/>
        <v>3</v>
      </c>
      <c r="E126" s="136">
        <f t="shared" si="9"/>
        <v>18</v>
      </c>
      <c r="F126" s="128" t="s">
        <v>58</v>
      </c>
      <c r="G126" s="128" t="str">
        <f>VLOOKUP(source[[#This Row],[lending_product_transform]],[3]Mapping!$B$4:$C$37,2,0)</f>
        <v>[VDS] - Payroll Cashloan</v>
      </c>
      <c r="H126" s="128" t="str">
        <f>VLOOKUP(source[[#This Row],[lending_product_transform]],[3]Mapping!$B$3:$D$37,3,0)</f>
        <v>cashloan</v>
      </c>
      <c r="I126" s="135">
        <v>94500000</v>
      </c>
      <c r="K126" s="142" t="s">
        <v>36</v>
      </c>
      <c r="L126" s="135">
        <f t="shared" si="12"/>
        <v>2220.4499999999998</v>
      </c>
      <c r="M126" s="135">
        <f t="shared" si="12"/>
        <v>3487.89</v>
      </c>
      <c r="N126" s="135">
        <f t="shared" si="12"/>
        <v>5241.42</v>
      </c>
      <c r="O126" s="135">
        <f t="shared" si="12"/>
        <v>4925.26</v>
      </c>
      <c r="P126" s="135">
        <f t="shared" si="12"/>
        <v>452.58</v>
      </c>
      <c r="Q126" s="135">
        <f t="shared" si="12"/>
        <v>2092.46</v>
      </c>
      <c r="R126" s="135">
        <f t="shared" si="12"/>
        <v>3230.03</v>
      </c>
      <c r="S126" s="135">
        <f t="shared" si="12"/>
        <v>4211.9799999999996</v>
      </c>
      <c r="T126" s="135">
        <f t="shared" si="12"/>
        <v>4177.51</v>
      </c>
      <c r="U126" s="135">
        <f t="shared" si="12"/>
        <v>4526.01</v>
      </c>
      <c r="V126" s="135">
        <f t="shared" si="13"/>
        <v>6161.3</v>
      </c>
      <c r="W126" s="135">
        <f t="shared" si="13"/>
        <v>5857.66</v>
      </c>
      <c r="X126" s="135">
        <f t="shared" si="13"/>
        <v>5027.26</v>
      </c>
      <c r="Y126" s="135">
        <f t="shared" si="13"/>
        <v>5839.66</v>
      </c>
      <c r="Z126" s="135">
        <f t="shared" si="13"/>
        <v>7227.84</v>
      </c>
      <c r="AA126" s="135">
        <f t="shared" si="13"/>
        <v>7693.27</v>
      </c>
      <c r="AB126" s="135">
        <f t="shared" si="13"/>
        <v>5863.99</v>
      </c>
      <c r="AC126" s="135">
        <f t="shared" si="13"/>
        <v>5358.82</v>
      </c>
      <c r="AD126" s="135">
        <f t="shared" si="13"/>
        <v>7519.46</v>
      </c>
      <c r="AE126" s="135">
        <f t="shared" si="13"/>
        <v>9061.0300000000007</v>
      </c>
      <c r="AF126" s="135">
        <f t="shared" si="13"/>
        <v>7627.39</v>
      </c>
      <c r="AG126" s="135">
        <f t="shared" si="13"/>
        <v>7683.17</v>
      </c>
      <c r="AH126" s="135">
        <f t="shared" si="13"/>
        <v>8875.83</v>
      </c>
      <c r="AI126" s="135">
        <f t="shared" si="13"/>
        <v>9694.93</v>
      </c>
      <c r="AJ126" s="135">
        <f t="shared" si="13"/>
        <v>9701.2800000000007</v>
      </c>
      <c r="AK126" s="135">
        <f t="shared" si="13"/>
        <v>9264.75</v>
      </c>
      <c r="AL126" s="135">
        <f t="shared" si="14"/>
        <v>9368.15</v>
      </c>
      <c r="AM126" s="135">
        <f t="shared" si="14"/>
        <v>14452.33</v>
      </c>
      <c r="AN126" s="135">
        <f t="shared" si="14"/>
        <v>13105.24</v>
      </c>
      <c r="AO126" s="135">
        <f t="shared" si="14"/>
        <v>10557.98</v>
      </c>
      <c r="AP126" s="135">
        <f t="shared" si="14"/>
        <v>12660.38</v>
      </c>
      <c r="AQ126" s="135">
        <f t="shared" si="14"/>
        <v>15304.87</v>
      </c>
      <c r="AR126" s="135">
        <f t="shared" si="14"/>
        <v>15363.76</v>
      </c>
      <c r="AS126" s="135">
        <f t="shared" si="14"/>
        <v>13909.86</v>
      </c>
      <c r="AT126" s="135">
        <f t="shared" si="14"/>
        <v>12952.96</v>
      </c>
      <c r="AU126" s="135">
        <f t="shared" si="14"/>
        <v>17323.63</v>
      </c>
      <c r="AV126" s="135">
        <f t="shared" si="15"/>
        <v>27878.05</v>
      </c>
      <c r="AW126" s="135">
        <f t="shared" si="15"/>
        <v>26335.43</v>
      </c>
      <c r="AX126" s="135">
        <f t="shared" si="15"/>
        <v>21793.13</v>
      </c>
      <c r="AY126" s="135">
        <f t="shared" si="15"/>
        <v>24128.080000000002</v>
      </c>
      <c r="AZ126" s="135">
        <f t="shared" si="15"/>
        <v>23567.05</v>
      </c>
      <c r="BA126" s="135">
        <f t="shared" si="15"/>
        <v>23287.26</v>
      </c>
      <c r="BB126" s="135">
        <f t="shared" si="15"/>
        <v>18780.98</v>
      </c>
      <c r="BC126" s="135">
        <f t="shared" si="15"/>
        <v>15583.38</v>
      </c>
      <c r="BD126" s="135">
        <f t="shared" si="15"/>
        <v>21270.17</v>
      </c>
      <c r="BE126" s="135"/>
      <c r="BF126" s="135"/>
      <c r="BG126" s="135"/>
      <c r="BH126" s="135"/>
      <c r="BI126" s="135"/>
      <c r="BJ126" s="135"/>
      <c r="BK126" s="135"/>
      <c r="BL126" s="135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  <c r="CC126" s="137"/>
      <c r="CD126" s="137"/>
      <c r="CE126" s="137"/>
      <c r="CF126" s="137"/>
      <c r="CG126" s="137"/>
      <c r="CH126" s="137"/>
      <c r="CI126" s="137"/>
      <c r="CJ126" s="137"/>
      <c r="CK126" s="137"/>
      <c r="CL126" s="137"/>
      <c r="CM126" s="137"/>
      <c r="CN126" s="137"/>
      <c r="CO126" s="137"/>
      <c r="CP126" s="137"/>
      <c r="CQ126" s="137"/>
      <c r="CR126" s="137"/>
      <c r="CS126" s="137"/>
    </row>
    <row r="127" spans="1:97" x14ac:dyDescent="0.2">
      <c r="A127" s="134">
        <v>45309</v>
      </c>
      <c r="B127" s="135">
        <f>YEAR(source[[#This Row],[report_date]])</f>
        <v>2024</v>
      </c>
      <c r="C127" s="136">
        <v>1</v>
      </c>
      <c r="D127" s="136">
        <f t="shared" si="8"/>
        <v>3</v>
      </c>
      <c r="E127" s="136">
        <f t="shared" si="9"/>
        <v>18</v>
      </c>
      <c r="F127" s="128" t="s">
        <v>19</v>
      </c>
      <c r="G127" s="128" t="str">
        <f>VLOOKUP(source[[#This Row],[lending_product_transform]],[3]Mapping!$B$4:$C$37,2,0)</f>
        <v>[VDS] - Payday</v>
      </c>
      <c r="H127" s="128" t="str">
        <f>VLOOKUP(source[[#This Row],[lending_product_transform]],[3]Mapping!$B$3:$D$37,3,0)</f>
        <v>payday</v>
      </c>
      <c r="I127" s="135">
        <v>1574000000</v>
      </c>
      <c r="K127" s="142" t="s">
        <v>59</v>
      </c>
      <c r="L127" s="135">
        <f t="shared" si="12"/>
        <v>1631.266445</v>
      </c>
      <c r="M127" s="135">
        <f t="shared" si="12"/>
        <v>1545.778292</v>
      </c>
      <c r="N127" s="135">
        <f t="shared" si="12"/>
        <v>1438.134765</v>
      </c>
      <c r="O127" s="135">
        <f t="shared" si="12"/>
        <v>2242.2855549999999</v>
      </c>
      <c r="P127" s="135">
        <f t="shared" si="12"/>
        <v>1181.5756449999999</v>
      </c>
      <c r="Q127" s="135">
        <f t="shared" si="12"/>
        <v>4078.7340290000002</v>
      </c>
      <c r="R127" s="135">
        <f t="shared" si="12"/>
        <v>1948.5578330000001</v>
      </c>
      <c r="S127" s="135">
        <f t="shared" si="12"/>
        <v>1649.7876180000001</v>
      </c>
      <c r="T127" s="135">
        <f t="shared" si="12"/>
        <v>2404.4889290000001</v>
      </c>
      <c r="U127" s="135">
        <f t="shared" si="12"/>
        <v>5203.9809859999996</v>
      </c>
      <c r="V127" s="135">
        <f t="shared" si="13"/>
        <v>2630.084472</v>
      </c>
      <c r="W127" s="135">
        <f t="shared" si="13"/>
        <v>1981.308865</v>
      </c>
      <c r="X127" s="135">
        <f t="shared" si="13"/>
        <v>2266.3335489999999</v>
      </c>
      <c r="Y127" s="135">
        <f t="shared" si="13"/>
        <v>5846.5388730000004</v>
      </c>
      <c r="Z127" s="135">
        <f t="shared" si="13"/>
        <v>3200.0069429999999</v>
      </c>
      <c r="AA127" s="135">
        <f t="shared" si="13"/>
        <v>2046.010894</v>
      </c>
      <c r="AB127" s="135">
        <f t="shared" si="13"/>
        <v>2180.6254650000001</v>
      </c>
      <c r="AC127" s="135">
        <f t="shared" si="13"/>
        <v>4428.4023159999997</v>
      </c>
      <c r="AD127" s="135">
        <f t="shared" si="13"/>
        <v>6135.3384349999997</v>
      </c>
      <c r="AE127" s="135">
        <f t="shared" si="13"/>
        <v>2423.6868720000002</v>
      </c>
      <c r="AF127" s="135">
        <f t="shared" si="13"/>
        <v>2311.5479970000001</v>
      </c>
      <c r="AG127" s="135">
        <f t="shared" si="13"/>
        <v>3226.39743</v>
      </c>
      <c r="AH127" s="135">
        <f t="shared" si="13"/>
        <v>7879.8853719999997</v>
      </c>
      <c r="AI127" s="135">
        <f t="shared" si="13"/>
        <v>3358.356577</v>
      </c>
      <c r="AJ127" s="135">
        <f t="shared" si="13"/>
        <v>2235.2752150000001</v>
      </c>
      <c r="AK127" s="135">
        <f t="shared" si="13"/>
        <v>2867.4909080000002</v>
      </c>
      <c r="AL127" s="135">
        <f t="shared" si="14"/>
        <v>7775.9862750000002</v>
      </c>
      <c r="AM127" s="135">
        <f t="shared" si="14"/>
        <v>3898.5807519999998</v>
      </c>
      <c r="AN127" s="135">
        <f t="shared" si="14"/>
        <v>2354.8160480000001</v>
      </c>
      <c r="AO127" s="135">
        <f t="shared" si="14"/>
        <v>2603.344427</v>
      </c>
      <c r="AP127" s="135">
        <f t="shared" si="14"/>
        <v>4588.4048460000004</v>
      </c>
      <c r="AQ127" s="135">
        <f t="shared" si="14"/>
        <v>5651.546077</v>
      </c>
      <c r="AR127" s="135">
        <f t="shared" si="14"/>
        <v>2440.8248330000001</v>
      </c>
      <c r="AS127" s="135">
        <f t="shared" si="14"/>
        <v>2203.5371909999999</v>
      </c>
      <c r="AT127" s="135">
        <f t="shared" si="14"/>
        <v>3167.8096059999998</v>
      </c>
      <c r="AU127" s="135">
        <f t="shared" si="14"/>
        <v>6599.4122459999999</v>
      </c>
      <c r="AV127" s="135">
        <f t="shared" si="15"/>
        <v>2848.7790180000002</v>
      </c>
      <c r="AW127" s="135">
        <f t="shared" si="15"/>
        <v>2174.298503</v>
      </c>
      <c r="AX127" s="135">
        <f t="shared" si="15"/>
        <v>2817.666948</v>
      </c>
      <c r="AY127" s="135">
        <f t="shared" si="15"/>
        <v>5864.2106270000004</v>
      </c>
      <c r="AZ127" s="135">
        <f t="shared" si="15"/>
        <v>3229.4209780000001</v>
      </c>
      <c r="BA127" s="135">
        <f t="shared" si="15"/>
        <v>2313.0726289999998</v>
      </c>
      <c r="BB127" s="135">
        <f t="shared" si="15"/>
        <v>2713.4275069999999</v>
      </c>
      <c r="BC127" s="135">
        <f t="shared" si="15"/>
        <v>4562.8229199999996</v>
      </c>
      <c r="BD127" s="135">
        <f t="shared" si="15"/>
        <v>6987.8398230000003</v>
      </c>
      <c r="BE127" s="135"/>
      <c r="BF127" s="135"/>
      <c r="BG127" s="135"/>
      <c r="BH127" s="135"/>
      <c r="BI127" s="135"/>
      <c r="BJ127" s="135"/>
      <c r="BK127" s="135"/>
      <c r="BL127" s="135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  <c r="CC127" s="137"/>
      <c r="CD127" s="137"/>
      <c r="CE127" s="137"/>
      <c r="CF127" s="137"/>
      <c r="CG127" s="137"/>
      <c r="CH127" s="137"/>
      <c r="CI127" s="137"/>
      <c r="CJ127" s="137"/>
      <c r="CK127" s="137"/>
      <c r="CL127" s="137"/>
      <c r="CM127" s="137"/>
      <c r="CN127" s="137"/>
      <c r="CO127" s="137"/>
      <c r="CP127" s="137"/>
      <c r="CQ127" s="137"/>
      <c r="CR127" s="137"/>
      <c r="CS127" s="137"/>
    </row>
    <row r="128" spans="1:97" x14ac:dyDescent="0.2">
      <c r="A128" s="134">
        <v>45309</v>
      </c>
      <c r="B128" s="135">
        <f>YEAR(source[[#This Row],[report_date]])</f>
        <v>2024</v>
      </c>
      <c r="C128" s="136">
        <v>1</v>
      </c>
      <c r="D128" s="136">
        <f t="shared" si="8"/>
        <v>3</v>
      </c>
      <c r="E128" s="136">
        <f t="shared" si="9"/>
        <v>18</v>
      </c>
      <c r="F128" s="128" t="s">
        <v>56</v>
      </c>
      <c r="G128" s="128">
        <f>VLOOKUP(source[[#This Row],[lending_product_transform]],[3]Mapping!$B$4:$C$37,2,0)</f>
        <v>0</v>
      </c>
      <c r="H128" s="128">
        <f>VLOOKUP(source[[#This Row],[lending_product_transform]],[3]Mapping!$B$3:$D$37,3,0)</f>
        <v>0</v>
      </c>
      <c r="I128" s="135">
        <v>6520530747</v>
      </c>
      <c r="K128" s="128" t="s">
        <v>208</v>
      </c>
      <c r="L128" s="135">
        <f t="shared" si="12"/>
        <v>195.73803699999999</v>
      </c>
      <c r="M128" s="135">
        <f t="shared" si="12"/>
        <v>195.11340799999999</v>
      </c>
      <c r="N128" s="135">
        <f t="shared" si="12"/>
        <v>128.26929999999999</v>
      </c>
      <c r="O128" s="135">
        <f t="shared" si="12"/>
        <v>204.566496</v>
      </c>
      <c r="P128" s="135">
        <f t="shared" si="12"/>
        <v>52.794736</v>
      </c>
      <c r="Q128" s="135">
        <f t="shared" si="12"/>
        <v>341.76052299999998</v>
      </c>
      <c r="R128" s="135">
        <f t="shared" si="12"/>
        <v>137.27602300000001</v>
      </c>
      <c r="S128" s="135">
        <f t="shared" si="12"/>
        <v>150.38281900000001</v>
      </c>
      <c r="T128" s="135">
        <f t="shared" si="12"/>
        <v>161.999235</v>
      </c>
      <c r="U128" s="135">
        <f t="shared" si="12"/>
        <v>343.775644</v>
      </c>
      <c r="V128" s="135">
        <f t="shared" si="13"/>
        <v>209.02137300000001</v>
      </c>
      <c r="W128" s="135">
        <f t="shared" si="13"/>
        <v>164.76691600000001</v>
      </c>
      <c r="X128" s="135">
        <f t="shared" si="13"/>
        <v>140.551514</v>
      </c>
      <c r="Y128" s="135">
        <f t="shared" si="13"/>
        <v>415.56528100000003</v>
      </c>
      <c r="Z128" s="135">
        <f t="shared" si="13"/>
        <v>144.09247199999999</v>
      </c>
      <c r="AA128" s="135">
        <f t="shared" si="13"/>
        <v>88.054711999999995</v>
      </c>
      <c r="AB128" s="135">
        <f t="shared" si="13"/>
        <v>149.105152</v>
      </c>
      <c r="AC128" s="135">
        <f t="shared" si="13"/>
        <v>259.16987</v>
      </c>
      <c r="AD128" s="135">
        <f t="shared" si="13"/>
        <v>308.612819</v>
      </c>
      <c r="AE128" s="135">
        <f t="shared" si="13"/>
        <v>121.83551199999999</v>
      </c>
      <c r="AF128" s="135">
        <f t="shared" si="13"/>
        <v>177.59600800000001</v>
      </c>
      <c r="AG128" s="135">
        <f t="shared" si="13"/>
        <v>216.39445799999999</v>
      </c>
      <c r="AH128" s="135">
        <f t="shared" si="13"/>
        <v>341.23714000000001</v>
      </c>
      <c r="AI128" s="135">
        <f t="shared" si="13"/>
        <v>175.64279400000001</v>
      </c>
      <c r="AJ128" s="135">
        <f t="shared" si="13"/>
        <v>144.748344</v>
      </c>
      <c r="AK128" s="135">
        <f t="shared" si="13"/>
        <v>161.77238</v>
      </c>
      <c r="AL128" s="135">
        <f t="shared" si="14"/>
        <v>412.49413700000002</v>
      </c>
      <c r="AM128" s="135">
        <f t="shared" si="14"/>
        <v>176.39062899999999</v>
      </c>
      <c r="AN128" s="135">
        <f t="shared" si="14"/>
        <v>110.739062</v>
      </c>
      <c r="AO128" s="135">
        <f t="shared" si="14"/>
        <v>155.145951</v>
      </c>
      <c r="AP128" s="135">
        <f t="shared" si="14"/>
        <v>268.202764</v>
      </c>
      <c r="AQ128" s="135">
        <f t="shared" si="14"/>
        <v>355.469538</v>
      </c>
      <c r="AR128" s="135">
        <f t="shared" si="14"/>
        <v>152.237019</v>
      </c>
      <c r="AS128" s="135">
        <f t="shared" si="14"/>
        <v>136.531432</v>
      </c>
      <c r="AT128" s="135">
        <f t="shared" si="14"/>
        <v>127.242316</v>
      </c>
      <c r="AU128" s="135">
        <f t="shared" si="14"/>
        <v>469.70818300000002</v>
      </c>
      <c r="AV128" s="135">
        <f t="shared" si="15"/>
        <v>148.344652</v>
      </c>
      <c r="AW128" s="135">
        <f t="shared" si="15"/>
        <v>103.026425</v>
      </c>
      <c r="AX128" s="135">
        <f t="shared" si="15"/>
        <v>139.989902</v>
      </c>
      <c r="AY128" s="135">
        <f t="shared" si="15"/>
        <v>389.06679500000001</v>
      </c>
      <c r="AZ128" s="135">
        <f t="shared" si="15"/>
        <v>246.70433</v>
      </c>
      <c r="BA128" s="135">
        <f t="shared" si="15"/>
        <v>109.697323</v>
      </c>
      <c r="BB128" s="135">
        <f t="shared" si="15"/>
        <v>184.829283</v>
      </c>
      <c r="BC128" s="135">
        <f t="shared" si="15"/>
        <v>167.48574099999999</v>
      </c>
      <c r="BD128" s="135">
        <f t="shared" si="15"/>
        <v>327.17771299999998</v>
      </c>
      <c r="BE128" s="135"/>
      <c r="BF128" s="135"/>
      <c r="BG128" s="135"/>
      <c r="BH128" s="135"/>
      <c r="BI128" s="135"/>
      <c r="BJ128" s="135"/>
      <c r="BK128" s="135"/>
      <c r="BL128" s="135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  <c r="CC128" s="137"/>
      <c r="CD128" s="137"/>
      <c r="CE128" s="137"/>
      <c r="CF128" s="137"/>
      <c r="CG128" s="137"/>
      <c r="CH128" s="137"/>
      <c r="CI128" s="137"/>
      <c r="CJ128" s="137"/>
      <c r="CK128" s="137"/>
      <c r="CL128" s="137"/>
      <c r="CM128" s="137"/>
      <c r="CN128" s="137"/>
      <c r="CO128" s="137"/>
      <c r="CP128" s="137"/>
      <c r="CQ128" s="137"/>
      <c r="CR128" s="137"/>
      <c r="CS128" s="137"/>
    </row>
    <row r="129" spans="1:97" x14ac:dyDescent="0.2">
      <c r="A129" s="134">
        <v>45310</v>
      </c>
      <c r="B129" s="135">
        <f>YEAR(source[[#This Row],[report_date]])</f>
        <v>2024</v>
      </c>
      <c r="C129" s="136">
        <v>1</v>
      </c>
      <c r="D129" s="136">
        <f t="shared" si="8"/>
        <v>3</v>
      </c>
      <c r="E129" s="136">
        <f t="shared" si="9"/>
        <v>19</v>
      </c>
      <c r="F129" s="128" t="s">
        <v>58</v>
      </c>
      <c r="G129" s="128" t="str">
        <f>VLOOKUP(source[[#This Row],[lending_product_transform]],[3]Mapping!$B$4:$C$37,2,0)</f>
        <v>[VDS] - Payroll Cashloan</v>
      </c>
      <c r="H129" s="128" t="str">
        <f>VLOOKUP(source[[#This Row],[lending_product_transform]],[3]Mapping!$B$3:$D$37,3,0)</f>
        <v>cashloan</v>
      </c>
      <c r="I129" s="135">
        <v>0</v>
      </c>
      <c r="K129" s="128" t="s">
        <v>57</v>
      </c>
      <c r="L129" s="135">
        <f t="shared" si="12"/>
        <v>1120.3499999999999</v>
      </c>
      <c r="M129" s="135">
        <f t="shared" si="12"/>
        <v>2336.6</v>
      </c>
      <c r="N129" s="135">
        <f t="shared" si="12"/>
        <v>2842.78</v>
      </c>
      <c r="O129" s="135">
        <f t="shared" si="12"/>
        <v>3233.01</v>
      </c>
      <c r="P129" s="135">
        <f t="shared" si="12"/>
        <v>906.23</v>
      </c>
      <c r="Q129" s="135">
        <f t="shared" si="12"/>
        <v>2145.7800000000002</v>
      </c>
      <c r="R129" s="135">
        <f t="shared" si="12"/>
        <v>1675.69</v>
      </c>
      <c r="S129" s="135">
        <f t="shared" si="12"/>
        <v>3292.94</v>
      </c>
      <c r="T129" s="135">
        <f t="shared" si="12"/>
        <v>2525.67</v>
      </c>
      <c r="U129" s="135">
        <f t="shared" si="12"/>
        <v>2632.66</v>
      </c>
      <c r="V129" s="135">
        <f t="shared" si="13"/>
        <v>2903.57</v>
      </c>
      <c r="W129" s="135">
        <f t="shared" si="13"/>
        <v>2659.14</v>
      </c>
      <c r="X129" s="135">
        <f t="shared" si="13"/>
        <v>2371.23</v>
      </c>
      <c r="Y129" s="135">
        <f t="shared" si="13"/>
        <v>3440.09</v>
      </c>
      <c r="Z129" s="135">
        <f t="shared" si="13"/>
        <v>3555.68</v>
      </c>
      <c r="AA129" s="135">
        <f t="shared" si="13"/>
        <v>2505.65</v>
      </c>
      <c r="AB129" s="135">
        <f t="shared" si="13"/>
        <v>3337.31</v>
      </c>
      <c r="AC129" s="135">
        <f t="shared" si="13"/>
        <v>3508.31</v>
      </c>
      <c r="AD129" s="135">
        <f t="shared" si="13"/>
        <v>5072.2</v>
      </c>
      <c r="AE129" s="135">
        <f t="shared" si="13"/>
        <v>4758.47</v>
      </c>
      <c r="AF129" s="135">
        <f t="shared" si="13"/>
        <v>3575</v>
      </c>
      <c r="AG129" s="135">
        <f t="shared" si="13"/>
        <v>4238.96</v>
      </c>
      <c r="AH129" s="135">
        <f t="shared" si="13"/>
        <v>3872.38</v>
      </c>
      <c r="AI129" s="135">
        <f t="shared" si="13"/>
        <v>3666.91</v>
      </c>
      <c r="AJ129" s="135">
        <f t="shared" si="13"/>
        <v>3513</v>
      </c>
      <c r="AK129" s="135">
        <f t="shared" si="13"/>
        <v>3722.47</v>
      </c>
      <c r="AL129" s="135">
        <f t="shared" si="14"/>
        <v>3717.37</v>
      </c>
      <c r="AM129" s="135">
        <f t="shared" si="14"/>
        <v>2453.9</v>
      </c>
      <c r="AN129" s="135">
        <f t="shared" si="14"/>
        <v>2929.33</v>
      </c>
      <c r="AO129" s="135">
        <f t="shared" si="14"/>
        <v>3289.17</v>
      </c>
      <c r="AP129" s="135">
        <f t="shared" si="14"/>
        <v>2894.13</v>
      </c>
      <c r="AQ129" s="135">
        <f t="shared" si="14"/>
        <v>3586.2</v>
      </c>
      <c r="AR129" s="135">
        <f t="shared" si="14"/>
        <v>3215.39</v>
      </c>
      <c r="AS129" s="135">
        <f t="shared" si="14"/>
        <v>2663.56</v>
      </c>
      <c r="AT129" s="135">
        <f t="shared" si="14"/>
        <v>2762.9</v>
      </c>
      <c r="AU129" s="135">
        <f t="shared" si="14"/>
        <v>3013.85</v>
      </c>
      <c r="AV129" s="135">
        <f t="shared" si="15"/>
        <v>4983.24</v>
      </c>
      <c r="AW129" s="135">
        <f t="shared" si="15"/>
        <v>6387.34</v>
      </c>
      <c r="AX129" s="135">
        <f t="shared" si="15"/>
        <v>5214.8</v>
      </c>
      <c r="AY129" s="135">
        <f t="shared" si="15"/>
        <v>4693.3999999999996</v>
      </c>
      <c r="AZ129" s="135">
        <f t="shared" si="15"/>
        <v>4684.87</v>
      </c>
      <c r="BA129" s="135">
        <f t="shared" si="15"/>
        <v>4457.8100000000004</v>
      </c>
      <c r="BB129" s="135">
        <f t="shared" si="15"/>
        <v>5530.38</v>
      </c>
      <c r="BC129" s="135">
        <f t="shared" si="15"/>
        <v>5796.1</v>
      </c>
      <c r="BD129" s="135">
        <f t="shared" si="15"/>
        <v>5258.73</v>
      </c>
      <c r="BE129" s="135"/>
      <c r="BF129" s="135"/>
      <c r="BG129" s="135"/>
      <c r="BH129" s="135"/>
      <c r="BI129" s="135"/>
      <c r="BJ129" s="135"/>
      <c r="BK129" s="135"/>
      <c r="BL129" s="135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  <c r="CC129" s="137"/>
      <c r="CD129" s="137"/>
      <c r="CE129" s="137"/>
      <c r="CF129" s="137"/>
      <c r="CG129" s="137"/>
      <c r="CH129" s="137"/>
      <c r="CI129" s="137"/>
      <c r="CJ129" s="137"/>
      <c r="CK129" s="137"/>
      <c r="CL129" s="137"/>
      <c r="CM129" s="137"/>
      <c r="CN129" s="137"/>
      <c r="CO129" s="137"/>
      <c r="CP129" s="137"/>
      <c r="CQ129" s="137"/>
      <c r="CR129" s="137"/>
      <c r="CS129" s="137"/>
    </row>
    <row r="130" spans="1:97" x14ac:dyDescent="0.2">
      <c r="A130" s="134">
        <v>45310</v>
      </c>
      <c r="B130" s="135">
        <f>YEAR(source[[#This Row],[report_date]])</f>
        <v>2024</v>
      </c>
      <c r="C130" s="136">
        <v>1</v>
      </c>
      <c r="D130" s="136">
        <f t="shared" si="8"/>
        <v>3</v>
      </c>
      <c r="E130" s="136">
        <f t="shared" si="9"/>
        <v>19</v>
      </c>
      <c r="F130" s="128" t="s">
        <v>56</v>
      </c>
      <c r="G130" s="128">
        <f>VLOOKUP(source[[#This Row],[lending_product_transform]],[3]Mapping!$B$4:$C$37,2,0)</f>
        <v>0</v>
      </c>
      <c r="H130" s="128">
        <f>VLOOKUP(source[[#This Row],[lending_product_transform]],[3]Mapping!$B$3:$D$37,3,0)</f>
        <v>0</v>
      </c>
      <c r="I130" s="135">
        <v>6898819560</v>
      </c>
      <c r="K130" s="128" t="s">
        <v>209</v>
      </c>
      <c r="L130" s="135">
        <f t="shared" si="12"/>
        <v>0</v>
      </c>
      <c r="M130" s="135">
        <f t="shared" si="12"/>
        <v>0</v>
      </c>
      <c r="N130" s="135">
        <f t="shared" si="12"/>
        <v>0</v>
      </c>
      <c r="O130" s="135">
        <f t="shared" si="12"/>
        <v>0</v>
      </c>
      <c r="P130" s="135">
        <f t="shared" si="12"/>
        <v>0</v>
      </c>
      <c r="Q130" s="135">
        <f t="shared" si="12"/>
        <v>0</v>
      </c>
      <c r="R130" s="135">
        <f t="shared" si="12"/>
        <v>0</v>
      </c>
      <c r="S130" s="135">
        <f t="shared" si="12"/>
        <v>0</v>
      </c>
      <c r="T130" s="135">
        <f t="shared" si="12"/>
        <v>0</v>
      </c>
      <c r="U130" s="135">
        <f t="shared" si="12"/>
        <v>10</v>
      </c>
      <c r="V130" s="135">
        <f t="shared" si="13"/>
        <v>0</v>
      </c>
      <c r="W130" s="135">
        <f t="shared" si="13"/>
        <v>0</v>
      </c>
      <c r="X130" s="135">
        <f t="shared" si="13"/>
        <v>0</v>
      </c>
      <c r="Y130" s="135">
        <f t="shared" si="13"/>
        <v>0</v>
      </c>
      <c r="Z130" s="135">
        <f t="shared" si="13"/>
        <v>0</v>
      </c>
      <c r="AA130" s="135">
        <f t="shared" si="13"/>
        <v>18.899999999999999</v>
      </c>
      <c r="AB130" s="135">
        <f t="shared" si="13"/>
        <v>0</v>
      </c>
      <c r="AC130" s="135">
        <f t="shared" si="13"/>
        <v>0</v>
      </c>
      <c r="AD130" s="135">
        <f t="shared" si="13"/>
        <v>0</v>
      </c>
      <c r="AE130" s="135">
        <f t="shared" si="13"/>
        <v>10</v>
      </c>
      <c r="AF130" s="135">
        <f t="shared" si="13"/>
        <v>33.1</v>
      </c>
      <c r="AG130" s="135">
        <f t="shared" si="13"/>
        <v>35</v>
      </c>
      <c r="AH130" s="135">
        <f t="shared" si="13"/>
        <v>76.05</v>
      </c>
      <c r="AI130" s="135">
        <f t="shared" si="13"/>
        <v>124.8</v>
      </c>
      <c r="AJ130" s="135">
        <f t="shared" si="13"/>
        <v>203.3</v>
      </c>
      <c r="AK130" s="135">
        <f t="shared" si="13"/>
        <v>137.19999999999999</v>
      </c>
      <c r="AL130" s="135">
        <f t="shared" si="14"/>
        <v>156.4</v>
      </c>
      <c r="AM130" s="135">
        <f t="shared" si="14"/>
        <v>80.849999999999994</v>
      </c>
      <c r="AN130" s="135">
        <f t="shared" si="14"/>
        <v>137.05000000000001</v>
      </c>
      <c r="AO130" s="135">
        <f t="shared" si="14"/>
        <v>161.19999999999999</v>
      </c>
      <c r="AP130" s="135">
        <f t="shared" si="14"/>
        <v>172.25</v>
      </c>
      <c r="AQ130" s="135">
        <f t="shared" si="14"/>
        <v>87.2</v>
      </c>
      <c r="AR130" s="135">
        <f t="shared" si="14"/>
        <v>158.6</v>
      </c>
      <c r="AS130" s="135">
        <f t="shared" si="14"/>
        <v>132.5</v>
      </c>
      <c r="AT130" s="135">
        <f t="shared" si="14"/>
        <v>185.9</v>
      </c>
      <c r="AU130" s="135">
        <f t="shared" si="14"/>
        <v>146.85</v>
      </c>
      <c r="AV130" s="135">
        <f t="shared" si="15"/>
        <v>563.45000000000005</v>
      </c>
      <c r="AW130" s="135">
        <f t="shared" si="15"/>
        <v>616</v>
      </c>
      <c r="AX130" s="135">
        <f t="shared" si="15"/>
        <v>890.7</v>
      </c>
      <c r="AY130" s="135">
        <f t="shared" si="15"/>
        <v>1266.0999999999999</v>
      </c>
      <c r="AZ130" s="135">
        <f t="shared" si="15"/>
        <v>1498.95</v>
      </c>
      <c r="BA130" s="135">
        <f t="shared" si="15"/>
        <v>1289.2</v>
      </c>
      <c r="BB130" s="135">
        <f t="shared" si="15"/>
        <v>1228.75</v>
      </c>
      <c r="BC130" s="135">
        <f t="shared" si="15"/>
        <v>1223.5</v>
      </c>
      <c r="BD130" s="135">
        <f t="shared" si="15"/>
        <v>1928</v>
      </c>
      <c r="BE130" s="135"/>
      <c r="BF130" s="135"/>
      <c r="BG130" s="135"/>
      <c r="BH130" s="135"/>
      <c r="BI130" s="135"/>
      <c r="BJ130" s="135"/>
      <c r="BK130" s="135"/>
      <c r="BL130" s="135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  <c r="CC130" s="137"/>
      <c r="CD130" s="137"/>
      <c r="CE130" s="137"/>
      <c r="CF130" s="137"/>
      <c r="CG130" s="137"/>
      <c r="CH130" s="137"/>
      <c r="CI130" s="137"/>
      <c r="CJ130" s="137"/>
      <c r="CK130" s="137"/>
      <c r="CL130" s="137"/>
      <c r="CM130" s="137"/>
      <c r="CN130" s="137"/>
      <c r="CO130" s="137"/>
      <c r="CP130" s="137"/>
      <c r="CQ130" s="137"/>
      <c r="CR130" s="137"/>
      <c r="CS130" s="137"/>
    </row>
    <row r="131" spans="1:97" x14ac:dyDescent="0.2">
      <c r="A131" s="134">
        <v>45310</v>
      </c>
      <c r="B131" s="135">
        <f>YEAR(source[[#This Row],[report_date]])</f>
        <v>2024</v>
      </c>
      <c r="C131" s="136">
        <v>1</v>
      </c>
      <c r="D131" s="136">
        <f t="shared" ref="D131:D194" si="16">WEEKNUM(A131,2)</f>
        <v>3</v>
      </c>
      <c r="E131" s="136">
        <f t="shared" ref="E131:E194" si="17">DAY(A131)</f>
        <v>19</v>
      </c>
      <c r="F131" s="128" t="s">
        <v>61</v>
      </c>
      <c r="G131" s="128" t="str">
        <f>VLOOKUP(source[[#This Row],[lending_product_transform]],[3]Mapping!$B$4:$C$37,2,0)</f>
        <v>[VDS] - Payroll Payday</v>
      </c>
      <c r="H131" s="128" t="str">
        <f>VLOOKUP(source[[#This Row],[lending_product_transform]],[3]Mapping!$B$3:$D$37,3,0)</f>
        <v>payday</v>
      </c>
      <c r="I131" s="135">
        <v>0</v>
      </c>
      <c r="K131" s="142" t="s">
        <v>176</v>
      </c>
      <c r="L131" s="135">
        <f t="shared" ref="L131:AA132" si="18">GETPIVOTDATA("Total",$K$82,"Year",$L$113,"Weeknum",L$114,"Product_use",$K131)/1000000</f>
        <v>0</v>
      </c>
      <c r="M131" s="135">
        <f t="shared" si="18"/>
        <v>0</v>
      </c>
      <c r="N131" s="135">
        <f t="shared" si="18"/>
        <v>0</v>
      </c>
      <c r="O131" s="135">
        <f t="shared" si="18"/>
        <v>0.1</v>
      </c>
      <c r="P131" s="135">
        <f t="shared" si="18"/>
        <v>0</v>
      </c>
      <c r="Q131" s="135">
        <f t="shared" si="18"/>
        <v>0</v>
      </c>
      <c r="R131" s="135">
        <f t="shared" si="18"/>
        <v>9612.7199999999993</v>
      </c>
      <c r="S131" s="135">
        <f t="shared" si="18"/>
        <v>0</v>
      </c>
      <c r="T131" s="135">
        <f t="shared" si="18"/>
        <v>0</v>
      </c>
      <c r="U131" s="135">
        <f t="shared" si="18"/>
        <v>2.65</v>
      </c>
      <c r="V131" s="135">
        <f t="shared" si="18"/>
        <v>0</v>
      </c>
      <c r="W131" s="135">
        <f t="shared" si="18"/>
        <v>0</v>
      </c>
      <c r="X131" s="135">
        <f t="shared" si="18"/>
        <v>0</v>
      </c>
      <c r="Y131" s="135">
        <f t="shared" si="18"/>
        <v>0</v>
      </c>
      <c r="Z131" s="135">
        <f t="shared" si="18"/>
        <v>0</v>
      </c>
      <c r="AA131" s="135">
        <f t="shared" si="18"/>
        <v>0</v>
      </c>
      <c r="AB131" s="135">
        <f t="shared" ref="V131:AK132" si="19">GETPIVOTDATA("Total",$K$82,"Year",$L$113,"Weeknum",AB$114,"Product_use",$K131)/1000000</f>
        <v>0</v>
      </c>
      <c r="AC131" s="135">
        <f t="shared" si="19"/>
        <v>0</v>
      </c>
      <c r="AD131" s="135">
        <f t="shared" si="19"/>
        <v>0</v>
      </c>
      <c r="AE131" s="135">
        <f t="shared" si="19"/>
        <v>2.0790000000000002</v>
      </c>
      <c r="AF131" s="135">
        <f t="shared" si="19"/>
        <v>16.300999999999998</v>
      </c>
      <c r="AG131" s="135">
        <f t="shared" si="19"/>
        <v>5.2869999999999999</v>
      </c>
      <c r="AH131" s="135">
        <f t="shared" si="19"/>
        <v>23.852</v>
      </c>
      <c r="AI131" s="135">
        <f t="shared" si="19"/>
        <v>14.423999999999999</v>
      </c>
      <c r="AJ131" s="135">
        <f t="shared" si="19"/>
        <v>1007.96665</v>
      </c>
      <c r="AK131" s="135">
        <f t="shared" si="19"/>
        <v>2739.2948000000001</v>
      </c>
      <c r="AL131" s="135">
        <f t="shared" ref="AL131:BA132" si="20">GETPIVOTDATA("Total",$K$82,"Year",2025,"Weeknum",AL$114,"Product_use",$K131)/1000000</f>
        <v>2224.114</v>
      </c>
      <c r="AM131" s="135">
        <f t="shared" si="20"/>
        <v>1759.62266</v>
      </c>
      <c r="AN131" s="135">
        <f t="shared" si="20"/>
        <v>1354.534298</v>
      </c>
      <c r="AO131" s="135">
        <f t="shared" si="20"/>
        <v>2292.9117500000002</v>
      </c>
      <c r="AP131" s="135">
        <f t="shared" si="20"/>
        <v>3116.1077</v>
      </c>
      <c r="AQ131" s="135">
        <f t="shared" si="20"/>
        <v>3365.2438000000002</v>
      </c>
      <c r="AR131" s="135">
        <f t="shared" si="20"/>
        <v>2653.1669999999999</v>
      </c>
      <c r="AS131" s="135">
        <f t="shared" si="20"/>
        <v>2498.6471499999998</v>
      </c>
      <c r="AT131" s="135">
        <f t="shared" si="20"/>
        <v>2587.1869999999999</v>
      </c>
      <c r="AU131" s="135">
        <f t="shared" si="20"/>
        <v>3167.780949</v>
      </c>
      <c r="AV131" s="135">
        <f t="shared" si="20"/>
        <v>2895.9476500000001</v>
      </c>
      <c r="AW131" s="135">
        <f t="shared" si="20"/>
        <v>2977.780225</v>
      </c>
      <c r="AX131" s="135">
        <f t="shared" si="20"/>
        <v>3232.8789999999999</v>
      </c>
      <c r="AY131" s="135">
        <f t="shared" si="20"/>
        <v>3648.1010900000001</v>
      </c>
      <c r="AZ131" s="135">
        <f t="shared" si="20"/>
        <v>5460.8336499999996</v>
      </c>
      <c r="BA131" s="135">
        <f t="shared" si="20"/>
        <v>4586.1449849999999</v>
      </c>
      <c r="BB131" s="135">
        <f t="shared" ref="AV131:BD132" si="21">GETPIVOTDATA("Total",$K$82,"Year",2025,"Weeknum",BB$114,"Product_use",$K131)/1000000</f>
        <v>3824.5072890000001</v>
      </c>
      <c r="BC131" s="135">
        <f t="shared" si="21"/>
        <v>4618.5360780000001</v>
      </c>
      <c r="BD131" s="135">
        <f t="shared" si="21"/>
        <v>10952.933257000001</v>
      </c>
      <c r="BE131" s="135"/>
      <c r="BF131" s="135"/>
      <c r="BG131" s="135"/>
      <c r="BH131" s="135"/>
      <c r="BI131" s="135"/>
      <c r="BJ131" s="135"/>
      <c r="BK131" s="135"/>
      <c r="BL131" s="135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  <c r="CC131" s="137"/>
      <c r="CD131" s="137"/>
      <c r="CE131" s="137"/>
      <c r="CF131" s="137"/>
      <c r="CG131" s="137"/>
      <c r="CH131" s="137"/>
      <c r="CI131" s="137"/>
      <c r="CJ131" s="137"/>
      <c r="CK131" s="137"/>
      <c r="CL131" s="137"/>
      <c r="CM131" s="137"/>
      <c r="CN131" s="137"/>
      <c r="CO131" s="137"/>
      <c r="CP131" s="137"/>
      <c r="CQ131" s="137"/>
      <c r="CR131" s="137"/>
      <c r="CS131" s="137"/>
    </row>
    <row r="132" spans="1:97" x14ac:dyDescent="0.2">
      <c r="A132" s="134">
        <v>45310</v>
      </c>
      <c r="B132" s="135">
        <f>YEAR(source[[#This Row],[report_date]])</f>
        <v>2024</v>
      </c>
      <c r="C132" s="136">
        <v>1</v>
      </c>
      <c r="D132" s="136">
        <f t="shared" si="16"/>
        <v>3</v>
      </c>
      <c r="E132" s="136">
        <f t="shared" si="17"/>
        <v>19</v>
      </c>
      <c r="F132" s="128" t="s">
        <v>65</v>
      </c>
      <c r="G132" s="128" t="str">
        <f>VLOOKUP(source[[#This Row],[lending_product_transform]],[3]Mapping!$B$4:$C$37,2,0)</f>
        <v>[BE] - Cashloan</v>
      </c>
      <c r="H132" s="128" t="str">
        <f>VLOOKUP(source[[#This Row],[lending_product_transform]],[3]Mapping!$B$3:$D$37,3,0)</f>
        <v>cashloan</v>
      </c>
      <c r="I132" s="135">
        <v>446250000</v>
      </c>
      <c r="K132" s="142" t="s">
        <v>175</v>
      </c>
      <c r="L132" s="135">
        <f t="shared" si="18"/>
        <v>0</v>
      </c>
      <c r="M132" s="135">
        <f t="shared" si="18"/>
        <v>0</v>
      </c>
      <c r="N132" s="135">
        <f t="shared" si="18"/>
        <v>0</v>
      </c>
      <c r="O132" s="135">
        <f t="shared" si="18"/>
        <v>0</v>
      </c>
      <c r="P132" s="135">
        <f t="shared" si="18"/>
        <v>0</v>
      </c>
      <c r="Q132" s="135">
        <f t="shared" si="18"/>
        <v>0</v>
      </c>
      <c r="R132" s="135">
        <f t="shared" si="18"/>
        <v>0</v>
      </c>
      <c r="S132" s="135">
        <f t="shared" si="18"/>
        <v>0</v>
      </c>
      <c r="T132" s="135">
        <f t="shared" si="18"/>
        <v>0</v>
      </c>
      <c r="U132" s="135">
        <f t="shared" si="18"/>
        <v>0</v>
      </c>
      <c r="V132" s="135">
        <f t="shared" si="19"/>
        <v>0</v>
      </c>
      <c r="W132" s="135">
        <f t="shared" si="19"/>
        <v>13.91</v>
      </c>
      <c r="X132" s="135">
        <f t="shared" si="19"/>
        <v>6.42</v>
      </c>
      <c r="Y132" s="135">
        <f t="shared" si="19"/>
        <v>0</v>
      </c>
      <c r="Z132" s="135">
        <f t="shared" si="19"/>
        <v>0</v>
      </c>
      <c r="AA132" s="135">
        <f t="shared" si="19"/>
        <v>0</v>
      </c>
      <c r="AB132" s="135">
        <f t="shared" si="19"/>
        <v>0</v>
      </c>
      <c r="AC132" s="135">
        <f t="shared" si="19"/>
        <v>0</v>
      </c>
      <c r="AD132" s="135">
        <f t="shared" si="19"/>
        <v>15</v>
      </c>
      <c r="AE132" s="135">
        <f t="shared" si="19"/>
        <v>7725</v>
      </c>
      <c r="AF132" s="135">
        <f t="shared" si="19"/>
        <v>12340</v>
      </c>
      <c r="AG132" s="135">
        <f t="shared" si="19"/>
        <v>10693</v>
      </c>
      <c r="AH132" s="135">
        <f t="shared" si="19"/>
        <v>14158.88</v>
      </c>
      <c r="AI132" s="135">
        <f t="shared" si="19"/>
        <v>11443.09</v>
      </c>
      <c r="AJ132" s="135">
        <f t="shared" si="19"/>
        <v>8602.75</v>
      </c>
      <c r="AK132" s="135">
        <f t="shared" si="19"/>
        <v>10212.73</v>
      </c>
      <c r="AL132" s="135">
        <f t="shared" si="20"/>
        <v>24094.27</v>
      </c>
      <c r="AM132" s="135">
        <f t="shared" si="20"/>
        <v>27725.119999999999</v>
      </c>
      <c r="AN132" s="135">
        <f t="shared" si="20"/>
        <v>18183.16</v>
      </c>
      <c r="AO132" s="135">
        <f t="shared" si="20"/>
        <v>13341.06</v>
      </c>
      <c r="AP132" s="135">
        <f t="shared" si="20"/>
        <v>21550.55</v>
      </c>
      <c r="AQ132" s="135">
        <f t="shared" si="20"/>
        <v>27643.29</v>
      </c>
      <c r="AR132" s="135">
        <f t="shared" si="20"/>
        <v>11690.66</v>
      </c>
      <c r="AS132" s="135">
        <f t="shared" si="20"/>
        <v>16156.58</v>
      </c>
      <c r="AT132" s="135">
        <f t="shared" si="20"/>
        <v>13071.78</v>
      </c>
      <c r="AU132" s="135">
        <f t="shared" si="20"/>
        <v>24139.1</v>
      </c>
      <c r="AV132" s="135">
        <f t="shared" si="21"/>
        <v>19184.59</v>
      </c>
      <c r="AW132" s="135">
        <f t="shared" si="21"/>
        <v>16768.939999999999</v>
      </c>
      <c r="AX132" s="135">
        <f t="shared" si="21"/>
        <v>17686.12</v>
      </c>
      <c r="AY132" s="135">
        <f t="shared" si="21"/>
        <v>29567.200000000001</v>
      </c>
      <c r="AZ132" s="135">
        <f t="shared" si="21"/>
        <v>32138.15</v>
      </c>
      <c r="BA132" s="135">
        <f t="shared" si="21"/>
        <v>26456.74</v>
      </c>
      <c r="BB132" s="135">
        <f t="shared" si="21"/>
        <v>25906.31</v>
      </c>
      <c r="BC132" s="135">
        <f t="shared" si="21"/>
        <v>25036.15</v>
      </c>
      <c r="BD132" s="135">
        <f t="shared" si="21"/>
        <v>25536.400000000001</v>
      </c>
      <c r="BE132" s="135"/>
      <c r="BF132" s="135"/>
      <c r="BI132" s="135"/>
      <c r="BJ132" s="135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</row>
    <row r="133" spans="1:97" x14ac:dyDescent="0.2">
      <c r="A133" s="134">
        <v>45310</v>
      </c>
      <c r="B133" s="135">
        <f>YEAR(source[[#This Row],[report_date]])</f>
        <v>2024</v>
      </c>
      <c r="C133" s="136">
        <v>1</v>
      </c>
      <c r="D133" s="136">
        <f t="shared" si="16"/>
        <v>3</v>
      </c>
      <c r="E133" s="136">
        <f t="shared" si="17"/>
        <v>19</v>
      </c>
      <c r="F133" s="128" t="s">
        <v>19</v>
      </c>
      <c r="G133" s="128" t="str">
        <f>VLOOKUP(source[[#This Row],[lending_product_transform]],[3]Mapping!$B$4:$C$37,2,0)</f>
        <v>[VDS] - Payday</v>
      </c>
      <c r="H133" s="128" t="str">
        <f>VLOOKUP(source[[#This Row],[lending_product_transform]],[3]Mapping!$B$3:$D$37,3,0)</f>
        <v>payday</v>
      </c>
      <c r="I133" s="135">
        <v>1724500000</v>
      </c>
      <c r="K133" s="128" t="s">
        <v>219</v>
      </c>
      <c r="BG133" s="135"/>
      <c r="BH133" s="135"/>
      <c r="BI133" s="135"/>
      <c r="BJ133" s="135"/>
      <c r="BK133" s="135"/>
      <c r="BL133" s="135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  <c r="CC133" s="137"/>
      <c r="CD133" s="137"/>
      <c r="CE133" s="137"/>
      <c r="CF133" s="137"/>
      <c r="CG133" s="137"/>
      <c r="CH133" s="137"/>
      <c r="CI133" s="137"/>
      <c r="CJ133" s="137"/>
      <c r="CK133" s="137"/>
      <c r="CL133" s="137"/>
      <c r="CM133" s="137"/>
      <c r="CN133" s="137"/>
      <c r="CO133" s="137"/>
      <c r="CP133" s="137"/>
      <c r="CQ133" s="137"/>
    </row>
    <row r="134" spans="1:97" x14ac:dyDescent="0.2">
      <c r="A134" s="134">
        <v>45310</v>
      </c>
      <c r="B134" s="135">
        <f>YEAR(source[[#This Row],[report_date]])</f>
        <v>2024</v>
      </c>
      <c r="C134" s="136">
        <v>1</v>
      </c>
      <c r="D134" s="136">
        <f t="shared" si="16"/>
        <v>3</v>
      </c>
      <c r="E134" s="136">
        <f t="shared" si="17"/>
        <v>19</v>
      </c>
      <c r="F134" s="128" t="s">
        <v>11</v>
      </c>
      <c r="G134" s="128" t="str">
        <f>VLOOKUP(source[[#This Row],[lending_product_transform]],[3]Mapping!$B$4:$C$37,2,0)</f>
        <v>[VDS] - Cashloan</v>
      </c>
      <c r="H134" s="128" t="str">
        <f>VLOOKUP(source[[#This Row],[lending_product_transform]],[3]Mapping!$B$3:$D$37,3,0)</f>
        <v>cashloan</v>
      </c>
      <c r="I134" s="135">
        <v>2787000000</v>
      </c>
      <c r="K134" s="128" t="s">
        <v>28</v>
      </c>
      <c r="L134" s="135">
        <f t="shared" ref="L134:AA135" si="22">GETPIVOTDATA("Total",$K$82,"Year",$L$113,"Weeknum",L$114,"Product_use",$K134)/1000000</f>
        <v>0</v>
      </c>
      <c r="M134" s="135">
        <f t="shared" si="22"/>
        <v>0</v>
      </c>
      <c r="N134" s="135">
        <f t="shared" si="22"/>
        <v>0</v>
      </c>
      <c r="O134" s="135">
        <f t="shared" si="22"/>
        <v>0</v>
      </c>
      <c r="P134" s="135">
        <f t="shared" si="22"/>
        <v>0</v>
      </c>
      <c r="Q134" s="135">
        <f t="shared" si="22"/>
        <v>0</v>
      </c>
      <c r="R134" s="135">
        <f t="shared" si="22"/>
        <v>0</v>
      </c>
      <c r="S134" s="135">
        <f t="shared" si="22"/>
        <v>0</v>
      </c>
      <c r="T134" s="135">
        <f t="shared" si="22"/>
        <v>0</v>
      </c>
      <c r="U134" s="135">
        <f t="shared" si="22"/>
        <v>0</v>
      </c>
      <c r="V134" s="135">
        <f t="shared" si="22"/>
        <v>0</v>
      </c>
      <c r="W134" s="135">
        <f t="shared" si="22"/>
        <v>0</v>
      </c>
      <c r="X134" s="135">
        <f t="shared" si="22"/>
        <v>0</v>
      </c>
      <c r="Y134" s="135">
        <f t="shared" si="22"/>
        <v>0</v>
      </c>
      <c r="Z134" s="135">
        <f t="shared" si="22"/>
        <v>0</v>
      </c>
      <c r="AA134" s="135">
        <f t="shared" si="22"/>
        <v>0</v>
      </c>
      <c r="AB134" s="135">
        <f t="shared" ref="V134:AK135" si="23">GETPIVOTDATA("Total",$K$82,"Year",$L$113,"Weeknum",AB$114,"Product_use",$K134)/1000000</f>
        <v>0</v>
      </c>
      <c r="AC134" s="135">
        <f t="shared" si="23"/>
        <v>0</v>
      </c>
      <c r="AD134" s="135">
        <f t="shared" si="23"/>
        <v>0</v>
      </c>
      <c r="AE134" s="135">
        <f t="shared" si="23"/>
        <v>0</v>
      </c>
      <c r="AF134" s="135">
        <f t="shared" si="23"/>
        <v>0</v>
      </c>
      <c r="AG134" s="135">
        <f t="shared" si="23"/>
        <v>0</v>
      </c>
      <c r="AH134" s="135">
        <f t="shared" si="23"/>
        <v>0</v>
      </c>
      <c r="AI134" s="135">
        <f t="shared" si="23"/>
        <v>0</v>
      </c>
      <c r="AJ134" s="135">
        <f t="shared" si="23"/>
        <v>0</v>
      </c>
      <c r="AK134" s="135">
        <f t="shared" si="23"/>
        <v>0</v>
      </c>
      <c r="AL134" s="135">
        <f t="shared" ref="AL134:BA135" si="24">GETPIVOTDATA("Total",$K$82,"Year",2025,"Weeknum",AL$114,"Product_use",$K134)/1000000</f>
        <v>0</v>
      </c>
      <c r="AM134" s="135">
        <f t="shared" si="24"/>
        <v>0</v>
      </c>
      <c r="AN134" s="135">
        <f t="shared" si="24"/>
        <v>0</v>
      </c>
      <c r="AO134" s="135">
        <f t="shared" si="24"/>
        <v>37022.400000000001</v>
      </c>
      <c r="AP134" s="135">
        <f t="shared" si="24"/>
        <v>28922.184000000001</v>
      </c>
      <c r="AQ134" s="135">
        <f t="shared" si="24"/>
        <v>24998.328000000001</v>
      </c>
      <c r="AR134" s="135">
        <f t="shared" si="24"/>
        <v>22385.7</v>
      </c>
      <c r="AS134" s="135">
        <f t="shared" si="24"/>
        <v>31164.804</v>
      </c>
      <c r="AT134" s="135">
        <f t="shared" si="24"/>
        <v>34918.559999999998</v>
      </c>
      <c r="AU134" s="135">
        <f t="shared" si="24"/>
        <v>32906.411999999997</v>
      </c>
      <c r="AV134" s="135">
        <f t="shared" si="24"/>
        <v>45667.044000000002</v>
      </c>
      <c r="AW134" s="135">
        <f t="shared" si="24"/>
        <v>52274.16</v>
      </c>
      <c r="AX134" s="135">
        <f t="shared" si="24"/>
        <v>49974.624000000003</v>
      </c>
      <c r="AY134" s="135">
        <f t="shared" si="24"/>
        <v>58293</v>
      </c>
      <c r="AZ134" s="135">
        <f t="shared" si="24"/>
        <v>62968.32</v>
      </c>
      <c r="BA134" s="135">
        <f t="shared" si="24"/>
        <v>63082.152000000002</v>
      </c>
      <c r="BB134" s="135">
        <f t="shared" ref="AV134:BD135" si="25">GETPIVOTDATA("Total",$K$82,"Year",2025,"Weeknum",BB$114,"Product_use",$K134)/1000000</f>
        <v>52747.847999999998</v>
      </c>
      <c r="BC134" s="135">
        <f t="shared" si="25"/>
        <v>56830.788</v>
      </c>
      <c r="BD134" s="135">
        <f t="shared" si="25"/>
        <v>61031.555999999997</v>
      </c>
      <c r="BE134" s="135"/>
      <c r="BF134" s="135"/>
      <c r="BG134" s="130"/>
      <c r="BH134" s="130"/>
      <c r="BI134" s="130"/>
      <c r="BJ134" s="130"/>
      <c r="BK134" s="130"/>
      <c r="BL134" s="130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7"/>
      <c r="CK134" s="137"/>
      <c r="CL134" s="137"/>
      <c r="CM134" s="137"/>
      <c r="CN134" s="137"/>
      <c r="CO134" s="137"/>
      <c r="CP134" s="137"/>
      <c r="CQ134" s="137"/>
      <c r="CR134" s="137"/>
      <c r="CS134" s="137"/>
    </row>
    <row r="135" spans="1:97" x14ac:dyDescent="0.2">
      <c r="A135" s="134">
        <v>45310</v>
      </c>
      <c r="B135" s="135">
        <f>YEAR(source[[#This Row],[report_date]])</f>
        <v>2024</v>
      </c>
      <c r="C135" s="136">
        <v>1</v>
      </c>
      <c r="D135" s="136">
        <f t="shared" si="16"/>
        <v>3</v>
      </c>
      <c r="E135" s="136">
        <f t="shared" si="17"/>
        <v>19</v>
      </c>
      <c r="F135" s="128" t="s">
        <v>67</v>
      </c>
      <c r="G135" s="128" t="str">
        <f>VLOOKUP(source[[#This Row],[lending_product_transform]],[3]Mapping!$B$4:$C$37,2,0)</f>
        <v>[Cake] - Overdraft</v>
      </c>
      <c r="H135" s="128" t="str">
        <f>VLOOKUP(source[[#This Row],[lending_product_transform]],[3]Mapping!$B$3:$D$37,3,0)</f>
        <v>overdraft</v>
      </c>
      <c r="I135" s="135">
        <v>1941069560</v>
      </c>
      <c r="K135" s="128" t="s">
        <v>63</v>
      </c>
      <c r="L135" s="135">
        <f t="shared" si="22"/>
        <v>0</v>
      </c>
      <c r="M135" s="135">
        <f t="shared" si="22"/>
        <v>0</v>
      </c>
      <c r="N135" s="135">
        <f t="shared" si="22"/>
        <v>0</v>
      </c>
      <c r="O135" s="135">
        <f t="shared" si="22"/>
        <v>0</v>
      </c>
      <c r="P135" s="135">
        <f t="shared" si="22"/>
        <v>0</v>
      </c>
      <c r="Q135" s="135">
        <f t="shared" si="22"/>
        <v>0</v>
      </c>
      <c r="R135" s="135">
        <f t="shared" si="22"/>
        <v>0</v>
      </c>
      <c r="S135" s="135">
        <f t="shared" si="22"/>
        <v>0</v>
      </c>
      <c r="T135" s="135">
        <f t="shared" si="22"/>
        <v>0</v>
      </c>
      <c r="U135" s="135">
        <f t="shared" si="22"/>
        <v>0</v>
      </c>
      <c r="V135" s="135">
        <f t="shared" si="23"/>
        <v>0</v>
      </c>
      <c r="W135" s="135">
        <f t="shared" si="23"/>
        <v>0</v>
      </c>
      <c r="X135" s="135">
        <f t="shared" si="23"/>
        <v>0</v>
      </c>
      <c r="Y135" s="135">
        <f t="shared" si="23"/>
        <v>0</v>
      </c>
      <c r="Z135" s="135">
        <f t="shared" si="23"/>
        <v>0</v>
      </c>
      <c r="AA135" s="135">
        <f t="shared" si="23"/>
        <v>0</v>
      </c>
      <c r="AB135" s="135">
        <f t="shared" si="23"/>
        <v>0</v>
      </c>
      <c r="AC135" s="135">
        <f t="shared" si="23"/>
        <v>0</v>
      </c>
      <c r="AD135" s="135">
        <f t="shared" si="23"/>
        <v>0</v>
      </c>
      <c r="AE135" s="135">
        <f t="shared" si="23"/>
        <v>0</v>
      </c>
      <c r="AF135" s="135">
        <f t="shared" si="23"/>
        <v>0</v>
      </c>
      <c r="AG135" s="135">
        <f t="shared" si="23"/>
        <v>0</v>
      </c>
      <c r="AH135" s="135">
        <f t="shared" si="23"/>
        <v>0</v>
      </c>
      <c r="AI135" s="135">
        <f t="shared" si="23"/>
        <v>0</v>
      </c>
      <c r="AJ135" s="135">
        <f t="shared" si="23"/>
        <v>0</v>
      </c>
      <c r="AK135" s="135">
        <f t="shared" si="23"/>
        <v>0</v>
      </c>
      <c r="AL135" s="135">
        <f t="shared" si="24"/>
        <v>0</v>
      </c>
      <c r="AM135" s="135">
        <f t="shared" si="24"/>
        <v>0</v>
      </c>
      <c r="AN135" s="135">
        <f t="shared" si="24"/>
        <v>0</v>
      </c>
      <c r="AO135" s="135">
        <f t="shared" si="24"/>
        <v>0</v>
      </c>
      <c r="AP135" s="135">
        <f t="shared" si="24"/>
        <v>0</v>
      </c>
      <c r="AQ135" s="135">
        <f t="shared" si="24"/>
        <v>0</v>
      </c>
      <c r="AR135" s="135">
        <f t="shared" si="24"/>
        <v>0</v>
      </c>
      <c r="AS135" s="135">
        <f t="shared" si="24"/>
        <v>0</v>
      </c>
      <c r="AT135" s="135">
        <f t="shared" si="24"/>
        <v>0</v>
      </c>
      <c r="AU135" s="135">
        <f t="shared" si="24"/>
        <v>0</v>
      </c>
      <c r="AV135" s="135">
        <f t="shared" si="25"/>
        <v>16.2</v>
      </c>
      <c r="AW135" s="135">
        <f t="shared" si="25"/>
        <v>3.24</v>
      </c>
      <c r="AX135" s="135">
        <f t="shared" si="25"/>
        <v>371.52</v>
      </c>
      <c r="AY135" s="135">
        <f t="shared" si="25"/>
        <v>1396.44</v>
      </c>
      <c r="AZ135" s="135">
        <f t="shared" si="25"/>
        <v>1434.24</v>
      </c>
      <c r="BA135" s="135">
        <f t="shared" si="25"/>
        <v>1327.32</v>
      </c>
      <c r="BB135" s="135">
        <f t="shared" si="25"/>
        <v>1556.28</v>
      </c>
      <c r="BC135" s="135">
        <f t="shared" si="25"/>
        <v>1528.2</v>
      </c>
      <c r="BD135" s="135">
        <f t="shared" si="25"/>
        <v>1539.972</v>
      </c>
      <c r="BE135" s="135"/>
      <c r="BF135" s="135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  <c r="CC135" s="137"/>
      <c r="CD135" s="137"/>
      <c r="CE135" s="137"/>
      <c r="CF135" s="137"/>
      <c r="CG135" s="137"/>
      <c r="CH135" s="137"/>
      <c r="CI135" s="137"/>
      <c r="CJ135" s="137"/>
      <c r="CK135" s="137"/>
      <c r="CL135" s="137"/>
      <c r="CM135" s="137"/>
      <c r="CN135" s="137"/>
      <c r="CO135" s="137"/>
      <c r="CP135" s="137"/>
      <c r="CQ135" s="137"/>
      <c r="CR135" s="137"/>
      <c r="CS135" s="137"/>
    </row>
    <row r="136" spans="1:97" x14ac:dyDescent="0.2">
      <c r="A136" s="134">
        <v>45311</v>
      </c>
      <c r="B136" s="135">
        <f>YEAR(source[[#This Row],[report_date]])</f>
        <v>2024</v>
      </c>
      <c r="C136" s="136">
        <v>1</v>
      </c>
      <c r="D136" s="136">
        <f t="shared" si="16"/>
        <v>3</v>
      </c>
      <c r="E136" s="136">
        <f t="shared" si="17"/>
        <v>20</v>
      </c>
      <c r="F136" s="128" t="s">
        <v>58</v>
      </c>
      <c r="G136" s="128" t="str">
        <f>VLOOKUP(source[[#This Row],[lending_product_transform]],[3]Mapping!$B$4:$C$37,2,0)</f>
        <v>[VDS] - Payroll Cashloan</v>
      </c>
      <c r="H136" s="128" t="str">
        <f>VLOOKUP(source[[#This Row],[lending_product_transform]],[3]Mapping!$B$3:$D$37,3,0)</f>
        <v>cashloan</v>
      </c>
      <c r="I136" s="135">
        <v>0</v>
      </c>
      <c r="K136" s="129" t="s">
        <v>47</v>
      </c>
      <c r="L136" s="130">
        <f t="shared" ref="L136:BD136" si="26">SUM(L115:L135)</f>
        <v>110843.27849200001</v>
      </c>
      <c r="M136" s="130">
        <f t="shared" si="26"/>
        <v>152649.73028600003</v>
      </c>
      <c r="N136" s="130">
        <f t="shared" si="26"/>
        <v>158746.86007900001</v>
      </c>
      <c r="O136" s="130">
        <f t="shared" si="26"/>
        <v>162094.06469100004</v>
      </c>
      <c r="P136" s="130">
        <f t="shared" si="26"/>
        <v>69296.055660999991</v>
      </c>
      <c r="Q136" s="130">
        <f t="shared" si="26"/>
        <v>123040.09230800001</v>
      </c>
      <c r="R136" s="130">
        <f t="shared" si="26"/>
        <v>146991.456554</v>
      </c>
      <c r="S136" s="130">
        <f t="shared" si="26"/>
        <v>136528.249561</v>
      </c>
      <c r="T136" s="130">
        <f t="shared" si="26"/>
        <v>147370.01973800003</v>
      </c>
      <c r="U136" s="130">
        <f t="shared" si="26"/>
        <v>163939.026434</v>
      </c>
      <c r="V136" s="130">
        <f t="shared" si="26"/>
        <v>165502.94326199996</v>
      </c>
      <c r="W136" s="130">
        <f t="shared" si="26"/>
        <v>156364.64318899999</v>
      </c>
      <c r="X136" s="130">
        <f t="shared" si="26"/>
        <v>160841.63302600002</v>
      </c>
      <c r="Y136" s="130">
        <f t="shared" si="26"/>
        <v>195811.39809499998</v>
      </c>
      <c r="Z136" s="130">
        <f t="shared" si="26"/>
        <v>198834.76555899996</v>
      </c>
      <c r="AA136" s="130">
        <f t="shared" si="26"/>
        <v>196676.05150899998</v>
      </c>
      <c r="AB136" s="130">
        <f t="shared" si="26"/>
        <v>185455.78930199999</v>
      </c>
      <c r="AC136" s="130">
        <f t="shared" si="26"/>
        <v>185274.35637000002</v>
      </c>
      <c r="AD136" s="130">
        <f t="shared" si="26"/>
        <v>212536.11951200003</v>
      </c>
      <c r="AE136" s="130">
        <f t="shared" si="26"/>
        <v>203365.51458599998</v>
      </c>
      <c r="AF136" s="130">
        <f t="shared" si="26"/>
        <v>194363.27443200001</v>
      </c>
      <c r="AG136" s="130">
        <f t="shared" si="26"/>
        <v>191652.38974000004</v>
      </c>
      <c r="AH136" s="130">
        <f t="shared" si="26"/>
        <v>230368.015009</v>
      </c>
      <c r="AI136" s="130">
        <f t="shared" si="26"/>
        <v>231895.482919</v>
      </c>
      <c r="AJ136" s="130">
        <f t="shared" si="26"/>
        <v>212994.33788099998</v>
      </c>
      <c r="AK136" s="130">
        <f t="shared" si="26"/>
        <v>223974.27556800007</v>
      </c>
      <c r="AL136" s="130">
        <f t="shared" si="26"/>
        <v>308779.64514800004</v>
      </c>
      <c r="AM136" s="130">
        <f t="shared" si="26"/>
        <v>305215.56429499993</v>
      </c>
      <c r="AN136" s="130">
        <f t="shared" si="26"/>
        <v>282620.77455099998</v>
      </c>
      <c r="AO136" s="130">
        <f t="shared" si="26"/>
        <v>295164.26951300004</v>
      </c>
      <c r="AP136" s="130">
        <f t="shared" si="26"/>
        <v>298542.66742800002</v>
      </c>
      <c r="AQ136" s="130">
        <f t="shared" si="26"/>
        <v>307380.80785700004</v>
      </c>
      <c r="AR136" s="130">
        <f t="shared" si="26"/>
        <v>285007.24353199999</v>
      </c>
      <c r="AS136" s="130">
        <f t="shared" si="26"/>
        <v>284862.20495099999</v>
      </c>
      <c r="AT136" s="130">
        <f t="shared" si="26"/>
        <v>291738.54640399996</v>
      </c>
      <c r="AU136" s="130">
        <f t="shared" si="26"/>
        <v>366992.56885299995</v>
      </c>
      <c r="AV136" s="130">
        <f t="shared" si="26"/>
        <v>444321.08564900002</v>
      </c>
      <c r="AW136" s="130">
        <f t="shared" si="26"/>
        <v>423911.76932600001</v>
      </c>
      <c r="AX136" s="130">
        <f t="shared" si="26"/>
        <v>402881.22027500009</v>
      </c>
      <c r="AY136" s="130">
        <f t="shared" si="26"/>
        <v>458347.92894600006</v>
      </c>
      <c r="AZ136" s="130">
        <f t="shared" si="26"/>
        <v>474491.535133</v>
      </c>
      <c r="BA136" s="130">
        <f t="shared" si="26"/>
        <v>450256.33838600008</v>
      </c>
      <c r="BB136" s="130">
        <f t="shared" si="26"/>
        <v>425601.72198999999</v>
      </c>
      <c r="BC136" s="130">
        <f t="shared" si="26"/>
        <v>407195.51416600001</v>
      </c>
      <c r="BD136" s="130">
        <f t="shared" si="26"/>
        <v>468049.99624099996</v>
      </c>
      <c r="BE136" s="130"/>
      <c r="BF136" s="130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  <c r="CC136" s="137"/>
      <c r="CD136" s="137"/>
      <c r="CE136" s="137"/>
      <c r="CF136" s="137"/>
      <c r="CG136" s="137"/>
      <c r="CH136" s="137"/>
      <c r="CI136" s="137"/>
      <c r="CJ136" s="137"/>
      <c r="CK136" s="137"/>
      <c r="CL136" s="137"/>
      <c r="CM136" s="137"/>
      <c r="CN136" s="137"/>
      <c r="CO136" s="137"/>
      <c r="CP136" s="137"/>
      <c r="CQ136" s="137"/>
      <c r="CR136" s="137"/>
      <c r="CS136" s="137"/>
    </row>
    <row r="137" spans="1:97" x14ac:dyDescent="0.2">
      <c r="A137" s="134">
        <v>45311</v>
      </c>
      <c r="B137" s="135">
        <f>YEAR(source[[#This Row],[report_date]])</f>
        <v>2024</v>
      </c>
      <c r="C137" s="136">
        <v>1</v>
      </c>
      <c r="D137" s="136">
        <f t="shared" si="16"/>
        <v>3</v>
      </c>
      <c r="E137" s="136">
        <f t="shared" si="17"/>
        <v>20</v>
      </c>
      <c r="F137" s="128" t="s">
        <v>61</v>
      </c>
      <c r="G137" s="128" t="str">
        <f>VLOOKUP(source[[#This Row],[lending_product_transform]],[3]Mapping!$B$4:$C$37,2,0)</f>
        <v>[VDS] - Payroll Payday</v>
      </c>
      <c r="H137" s="128" t="str">
        <f>VLOOKUP(source[[#This Row],[lending_product_transform]],[3]Mapping!$B$3:$D$37,3,0)</f>
        <v>payday</v>
      </c>
      <c r="I137" s="135">
        <v>10000000</v>
      </c>
      <c r="L137" s="128" t="b">
        <f t="shared" ref="L137:BD137" si="27">L136=L105/1000000</f>
        <v>0</v>
      </c>
      <c r="M137" s="128" t="b">
        <f t="shared" si="27"/>
        <v>0</v>
      </c>
      <c r="N137" s="128" t="b">
        <f t="shared" si="27"/>
        <v>0</v>
      </c>
      <c r="O137" s="128" t="b">
        <f t="shared" si="27"/>
        <v>0</v>
      </c>
      <c r="P137" s="128" t="b">
        <f t="shared" si="27"/>
        <v>0</v>
      </c>
      <c r="Q137" s="128" t="b">
        <f t="shared" si="27"/>
        <v>0</v>
      </c>
      <c r="R137" s="128" t="b">
        <f t="shared" si="27"/>
        <v>0</v>
      </c>
      <c r="S137" s="128" t="b">
        <f t="shared" si="27"/>
        <v>0</v>
      </c>
      <c r="T137" s="128" t="b">
        <f t="shared" si="27"/>
        <v>0</v>
      </c>
      <c r="U137" s="128" t="b">
        <f t="shared" si="27"/>
        <v>0</v>
      </c>
      <c r="V137" s="128" t="b">
        <f t="shared" si="27"/>
        <v>0</v>
      </c>
      <c r="W137" s="128" t="b">
        <f t="shared" si="27"/>
        <v>0</v>
      </c>
      <c r="X137" s="128" t="b">
        <f t="shared" si="27"/>
        <v>0</v>
      </c>
      <c r="Y137" s="128" t="b">
        <f t="shared" si="27"/>
        <v>0</v>
      </c>
      <c r="Z137" s="128" t="b">
        <f t="shared" si="27"/>
        <v>0</v>
      </c>
      <c r="AA137" s="128" t="b">
        <f t="shared" si="27"/>
        <v>0</v>
      </c>
      <c r="AB137" s="128" t="b">
        <f t="shared" si="27"/>
        <v>0</v>
      </c>
      <c r="AC137" s="128" t="b">
        <f t="shared" si="27"/>
        <v>0</v>
      </c>
      <c r="AD137" s="128" t="b">
        <f t="shared" si="27"/>
        <v>0</v>
      </c>
      <c r="AE137" s="128" t="b">
        <f t="shared" si="27"/>
        <v>0</v>
      </c>
      <c r="AF137" s="128" t="b">
        <f t="shared" si="27"/>
        <v>0</v>
      </c>
      <c r="AG137" s="128" t="b">
        <f t="shared" si="27"/>
        <v>0</v>
      </c>
      <c r="AH137" s="128" t="b">
        <f t="shared" si="27"/>
        <v>0</v>
      </c>
      <c r="AI137" s="128" t="b">
        <f t="shared" si="27"/>
        <v>0</v>
      </c>
      <c r="AJ137" s="128" t="b">
        <f t="shared" si="27"/>
        <v>0</v>
      </c>
      <c r="AK137" s="128" t="b">
        <f t="shared" si="27"/>
        <v>0</v>
      </c>
      <c r="AL137" s="128" t="b">
        <f t="shared" si="27"/>
        <v>0</v>
      </c>
      <c r="AM137" s="128" t="b">
        <f t="shared" si="27"/>
        <v>0</v>
      </c>
      <c r="AN137" s="128" t="b">
        <f t="shared" si="27"/>
        <v>0</v>
      </c>
      <c r="AO137" s="128" t="b">
        <f t="shared" si="27"/>
        <v>0</v>
      </c>
      <c r="AP137" s="128" t="b">
        <f t="shared" si="27"/>
        <v>0</v>
      </c>
      <c r="AQ137" s="128" t="b">
        <f t="shared" si="27"/>
        <v>0</v>
      </c>
      <c r="AR137" s="128" t="b">
        <f t="shared" si="27"/>
        <v>0</v>
      </c>
      <c r="AS137" s="128" t="b">
        <f t="shared" si="27"/>
        <v>0</v>
      </c>
      <c r="AT137" s="128" t="b">
        <f t="shared" si="27"/>
        <v>0</v>
      </c>
      <c r="AU137" s="128" t="b">
        <f t="shared" si="27"/>
        <v>0</v>
      </c>
      <c r="AV137" s="128" t="b">
        <f t="shared" si="27"/>
        <v>0</v>
      </c>
      <c r="AW137" s="128" t="b">
        <f t="shared" si="27"/>
        <v>0</v>
      </c>
      <c r="AX137" s="128" t="b">
        <f t="shared" si="27"/>
        <v>0</v>
      </c>
      <c r="AY137" s="128" t="b">
        <f t="shared" si="27"/>
        <v>0</v>
      </c>
      <c r="AZ137" s="128" t="b">
        <f t="shared" si="27"/>
        <v>0</v>
      </c>
      <c r="BA137" s="128" t="b">
        <f t="shared" si="27"/>
        <v>0</v>
      </c>
      <c r="BB137" s="128" t="b">
        <f t="shared" si="27"/>
        <v>0</v>
      </c>
      <c r="BC137" s="128" t="b">
        <f t="shared" si="27"/>
        <v>0</v>
      </c>
      <c r="BD137" s="128" t="b">
        <f t="shared" si="27"/>
        <v>0</v>
      </c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  <c r="CC137" s="137"/>
      <c r="CD137" s="137"/>
      <c r="CE137" s="137"/>
      <c r="CF137" s="137"/>
      <c r="CG137" s="137"/>
      <c r="CH137" s="137"/>
      <c r="CI137" s="137"/>
      <c r="CJ137" s="137"/>
      <c r="CK137" s="137"/>
      <c r="CL137" s="137"/>
      <c r="CM137" s="137"/>
      <c r="CN137" s="137"/>
      <c r="CO137" s="137"/>
      <c r="CP137" s="137"/>
      <c r="CQ137" s="137"/>
      <c r="CR137" s="137"/>
      <c r="CS137" s="137"/>
    </row>
    <row r="138" spans="1:97" x14ac:dyDescent="0.2">
      <c r="A138" s="134">
        <v>45311</v>
      </c>
      <c r="B138" s="135">
        <f>YEAR(source[[#This Row],[report_date]])</f>
        <v>2024</v>
      </c>
      <c r="C138" s="136">
        <v>1</v>
      </c>
      <c r="D138" s="136">
        <f t="shared" si="16"/>
        <v>3</v>
      </c>
      <c r="E138" s="136">
        <f t="shared" si="17"/>
        <v>20</v>
      </c>
      <c r="F138" s="128" t="s">
        <v>65</v>
      </c>
      <c r="G138" s="128" t="str">
        <f>VLOOKUP(source[[#This Row],[lending_product_transform]],[3]Mapping!$B$4:$C$37,2,0)</f>
        <v>[BE] - Cashloan</v>
      </c>
      <c r="H138" s="128" t="str">
        <f>VLOOKUP(source[[#This Row],[lending_product_transform]],[3]Mapping!$B$3:$D$37,3,0)</f>
        <v>cashloan</v>
      </c>
      <c r="I138" s="135">
        <v>289800000</v>
      </c>
      <c r="O138" s="138"/>
      <c r="S138" s="138"/>
      <c r="W138" s="138"/>
      <c r="AA138" s="138"/>
      <c r="AD138" s="145"/>
      <c r="AE138" s="145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  <c r="CC138" s="137"/>
      <c r="CD138" s="137"/>
      <c r="CE138" s="137"/>
      <c r="CF138" s="137"/>
      <c r="CG138" s="137"/>
      <c r="CH138" s="137"/>
      <c r="CI138" s="137"/>
      <c r="CJ138" s="137"/>
      <c r="CK138" s="137"/>
      <c r="CL138" s="137"/>
      <c r="CM138" s="137"/>
      <c r="CN138" s="137"/>
      <c r="CO138" s="137"/>
      <c r="CP138" s="137"/>
      <c r="CQ138" s="137"/>
      <c r="CR138" s="137"/>
      <c r="CS138" s="137"/>
    </row>
    <row r="139" spans="1:97" x14ac:dyDescent="0.2">
      <c r="A139" s="134">
        <v>45311</v>
      </c>
      <c r="B139" s="135">
        <f>YEAR(source[[#This Row],[report_date]])</f>
        <v>2024</v>
      </c>
      <c r="C139" s="136">
        <v>1</v>
      </c>
      <c r="D139" s="136">
        <f t="shared" si="16"/>
        <v>3</v>
      </c>
      <c r="E139" s="136">
        <f t="shared" si="17"/>
        <v>20</v>
      </c>
      <c r="F139" s="128" t="s">
        <v>11</v>
      </c>
      <c r="G139" s="128" t="str">
        <f>VLOOKUP(source[[#This Row],[lending_product_transform]],[3]Mapping!$B$4:$C$37,2,0)</f>
        <v>[VDS] - Cashloan</v>
      </c>
      <c r="H139" s="128" t="str">
        <f>VLOOKUP(source[[#This Row],[lending_product_transform]],[3]Mapping!$B$3:$D$37,3,0)</f>
        <v>cashloan</v>
      </c>
      <c r="I139" s="135">
        <v>1925950000</v>
      </c>
      <c r="K139" s="177" t="s">
        <v>69</v>
      </c>
      <c r="L139" s="181" t="s">
        <v>202</v>
      </c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7"/>
      <c r="AK139" s="177"/>
      <c r="AL139" s="177"/>
      <c r="AM139" s="177"/>
      <c r="AN139" s="177"/>
      <c r="AO139" s="177"/>
      <c r="AP139" s="177"/>
      <c r="AQ139" s="177"/>
      <c r="AR139" s="177"/>
      <c r="AS139" s="177"/>
      <c r="AT139" s="177"/>
      <c r="AU139" s="177"/>
      <c r="AV139" s="177"/>
      <c r="AW139" s="177"/>
      <c r="AX139" s="177"/>
      <c r="AY139" s="177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  <c r="BM139" s="177"/>
      <c r="BN139" s="17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  <c r="CC139" s="137"/>
      <c r="CD139" s="137"/>
      <c r="CE139" s="137"/>
      <c r="CF139" s="137"/>
      <c r="CG139" s="137"/>
      <c r="CH139" s="137"/>
      <c r="CI139" s="137"/>
      <c r="CJ139" s="137"/>
      <c r="CK139" s="137"/>
      <c r="CL139" s="137"/>
      <c r="CM139" s="137"/>
      <c r="CN139" s="137"/>
      <c r="CO139" s="137"/>
      <c r="CP139" s="137"/>
      <c r="CQ139" s="137"/>
      <c r="CR139" s="137"/>
      <c r="CS139" s="137"/>
    </row>
    <row r="140" spans="1:97" x14ac:dyDescent="0.2">
      <c r="A140" s="134">
        <v>45311</v>
      </c>
      <c r="B140" s="135">
        <f>YEAR(source[[#This Row],[report_date]])</f>
        <v>2024</v>
      </c>
      <c r="C140" s="136">
        <v>1</v>
      </c>
      <c r="D140" s="136">
        <f t="shared" si="16"/>
        <v>3</v>
      </c>
      <c r="E140" s="136">
        <f t="shared" si="17"/>
        <v>20</v>
      </c>
      <c r="F140" s="128" t="s">
        <v>67</v>
      </c>
      <c r="G140" s="128" t="str">
        <f>VLOOKUP(source[[#This Row],[lending_product_transform]],[3]Mapping!$B$4:$C$37,2,0)</f>
        <v>[Cake] - Overdraft</v>
      </c>
      <c r="H140" s="128" t="str">
        <f>VLOOKUP(source[[#This Row],[lending_product_transform]],[3]Mapping!$B$3:$D$37,3,0)</f>
        <v>overdraft</v>
      </c>
      <c r="I140" s="135">
        <v>1581446021</v>
      </c>
      <c r="K140" s="177"/>
      <c r="L140" s="174">
        <v>2025</v>
      </c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  <c r="BM140" s="178" t="s">
        <v>203</v>
      </c>
      <c r="BN140" s="174" t="s">
        <v>68</v>
      </c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  <c r="CC140" s="137"/>
      <c r="CD140" s="137"/>
      <c r="CE140" s="137"/>
      <c r="CF140" s="137"/>
      <c r="CG140" s="137"/>
      <c r="CH140" s="137"/>
      <c r="CI140" s="137"/>
      <c r="CJ140" s="137"/>
      <c r="CK140" s="137"/>
      <c r="CL140" s="137"/>
      <c r="CM140" s="137"/>
      <c r="CN140" s="137"/>
      <c r="CO140" s="137"/>
      <c r="CP140" s="137"/>
      <c r="CQ140" s="137"/>
      <c r="CR140" s="137"/>
      <c r="CS140" s="137"/>
    </row>
    <row r="141" spans="1:97" x14ac:dyDescent="0.2">
      <c r="A141" s="134">
        <v>45311</v>
      </c>
      <c r="B141" s="135">
        <f>YEAR(source[[#This Row],[report_date]])</f>
        <v>2024</v>
      </c>
      <c r="C141" s="136">
        <v>1</v>
      </c>
      <c r="D141" s="136">
        <f t="shared" si="16"/>
        <v>3</v>
      </c>
      <c r="E141" s="136">
        <f t="shared" si="17"/>
        <v>20</v>
      </c>
      <c r="F141" s="128" t="s">
        <v>56</v>
      </c>
      <c r="G141" s="128">
        <f>VLOOKUP(source[[#This Row],[lending_product_transform]],[3]Mapping!$B$4:$C$37,2,0)</f>
        <v>0</v>
      </c>
      <c r="H141" s="128">
        <f>VLOOKUP(source[[#This Row],[lending_product_transform]],[3]Mapping!$B$3:$D$37,3,0)</f>
        <v>0</v>
      </c>
      <c r="I141" s="135">
        <v>5289696021</v>
      </c>
      <c r="K141" s="175" t="s">
        <v>205</v>
      </c>
      <c r="L141" s="174">
        <v>1</v>
      </c>
      <c r="M141" s="174">
        <v>2</v>
      </c>
      <c r="N141" s="174">
        <v>3</v>
      </c>
      <c r="O141" s="174">
        <v>4</v>
      </c>
      <c r="P141" s="174">
        <v>5</v>
      </c>
      <c r="Q141" s="174">
        <v>6</v>
      </c>
      <c r="R141" s="174">
        <v>7</v>
      </c>
      <c r="S141" s="174">
        <v>8</v>
      </c>
      <c r="T141" s="174">
        <v>9</v>
      </c>
      <c r="U141" s="174">
        <v>10</v>
      </c>
      <c r="V141" s="174">
        <v>11</v>
      </c>
      <c r="W141" s="174">
        <v>12</v>
      </c>
      <c r="X141" s="174">
        <v>13</v>
      </c>
      <c r="Y141" s="174">
        <v>14</v>
      </c>
      <c r="Z141" s="174">
        <v>15</v>
      </c>
      <c r="AA141" s="174">
        <v>16</v>
      </c>
      <c r="AB141" s="174">
        <v>17</v>
      </c>
      <c r="AC141" s="174">
        <v>18</v>
      </c>
      <c r="AD141" s="174">
        <v>19</v>
      </c>
      <c r="AE141" s="174">
        <v>20</v>
      </c>
      <c r="AF141" s="174">
        <v>21</v>
      </c>
      <c r="AG141" s="174">
        <v>22</v>
      </c>
      <c r="AH141" s="174">
        <v>23</v>
      </c>
      <c r="AI141" s="174">
        <v>24</v>
      </c>
      <c r="AJ141" s="174">
        <v>25</v>
      </c>
      <c r="AK141" s="174">
        <v>26</v>
      </c>
      <c r="AL141" s="174">
        <v>27</v>
      </c>
      <c r="AM141" s="174">
        <v>28</v>
      </c>
      <c r="AN141" s="174">
        <v>29</v>
      </c>
      <c r="AO141" s="174">
        <v>30</v>
      </c>
      <c r="AP141" s="174">
        <v>31</v>
      </c>
      <c r="AQ141" s="174">
        <v>32</v>
      </c>
      <c r="AR141" s="174">
        <v>33</v>
      </c>
      <c r="AS141" s="174">
        <v>34</v>
      </c>
      <c r="AT141" s="174">
        <v>35</v>
      </c>
      <c r="AU141" s="174">
        <v>36</v>
      </c>
      <c r="AV141" s="174">
        <v>37</v>
      </c>
      <c r="AW141" s="174">
        <v>38</v>
      </c>
      <c r="AX141" s="174">
        <v>39</v>
      </c>
      <c r="AY141" s="174">
        <v>40</v>
      </c>
      <c r="AZ141" s="174">
        <v>41</v>
      </c>
      <c r="BA141" s="174">
        <v>42</v>
      </c>
      <c r="BB141" s="174">
        <v>43</v>
      </c>
      <c r="BC141" s="174">
        <v>44</v>
      </c>
      <c r="BD141" s="174">
        <v>45</v>
      </c>
      <c r="BE141" s="174">
        <v>46</v>
      </c>
      <c r="BF141" s="174">
        <v>47</v>
      </c>
      <c r="BG141" s="174">
        <v>48</v>
      </c>
      <c r="BH141" s="174">
        <v>49</v>
      </c>
      <c r="BI141" s="174">
        <v>50</v>
      </c>
      <c r="BJ141" s="174">
        <v>51</v>
      </c>
      <c r="BK141" s="174">
        <v>52</v>
      </c>
      <c r="BL141" s="174">
        <v>53</v>
      </c>
      <c r="BM141" s="61"/>
      <c r="BN141" s="17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  <c r="CC141" s="137"/>
      <c r="CD141" s="137"/>
      <c r="CE141" s="137"/>
      <c r="CF141" s="137"/>
      <c r="CG141" s="137"/>
      <c r="CH141" s="137"/>
      <c r="CI141" s="137"/>
      <c r="CJ141" s="137"/>
      <c r="CK141" s="137"/>
      <c r="CL141" s="137"/>
      <c r="CM141" s="137"/>
      <c r="CN141" s="137"/>
      <c r="CO141" s="137"/>
      <c r="CP141" s="137"/>
      <c r="CQ141" s="137"/>
    </row>
    <row r="142" spans="1:97" x14ac:dyDescent="0.2">
      <c r="A142" s="134">
        <v>45311</v>
      </c>
      <c r="B142" s="135">
        <f>YEAR(source[[#This Row],[report_date]])</f>
        <v>2024</v>
      </c>
      <c r="C142" s="136">
        <v>1</v>
      </c>
      <c r="D142" s="136">
        <f t="shared" si="16"/>
        <v>3</v>
      </c>
      <c r="E142" s="136">
        <f t="shared" si="17"/>
        <v>20</v>
      </c>
      <c r="F142" s="128" t="s">
        <v>19</v>
      </c>
      <c r="G142" s="128" t="str">
        <f>VLOOKUP(source[[#This Row],[lending_product_transform]],[3]Mapping!$B$4:$C$37,2,0)</f>
        <v>[VDS] - Payday</v>
      </c>
      <c r="H142" s="128" t="str">
        <f>VLOOKUP(source[[#This Row],[lending_product_transform]],[3]Mapping!$B$3:$D$37,3,0)</f>
        <v>payday</v>
      </c>
      <c r="I142" s="135">
        <v>1482500000</v>
      </c>
      <c r="K142" s="179" t="s">
        <v>212</v>
      </c>
      <c r="L142" s="178">
        <v>60047170000</v>
      </c>
      <c r="M142" s="178">
        <v>87814170000</v>
      </c>
      <c r="N142" s="178">
        <v>96314210000</v>
      </c>
      <c r="O142" s="178">
        <v>91926950000</v>
      </c>
      <c r="P142" s="178">
        <v>29559680000</v>
      </c>
      <c r="Q142" s="178">
        <v>57313740000</v>
      </c>
      <c r="R142" s="178">
        <v>70007530000</v>
      </c>
      <c r="S142" s="178">
        <v>73317070000</v>
      </c>
      <c r="T142" s="178">
        <v>79281690000</v>
      </c>
      <c r="U142" s="178">
        <v>87863510000</v>
      </c>
      <c r="V142" s="178">
        <v>95403200000</v>
      </c>
      <c r="W142" s="178">
        <v>93317180000</v>
      </c>
      <c r="X142" s="178">
        <v>98480530000</v>
      </c>
      <c r="Y142" s="178">
        <v>114525940000</v>
      </c>
      <c r="Z142" s="178">
        <v>123073680000</v>
      </c>
      <c r="AA142" s="178">
        <v>126195110000</v>
      </c>
      <c r="AB142" s="178">
        <v>121547550000</v>
      </c>
      <c r="AC142" s="178">
        <v>111815810000</v>
      </c>
      <c r="AD142" s="178">
        <v>131372800000</v>
      </c>
      <c r="AE142" s="178">
        <v>132245770000</v>
      </c>
      <c r="AF142" s="178">
        <v>126891530000</v>
      </c>
      <c r="AG142" s="178">
        <v>118024850000</v>
      </c>
      <c r="AH142" s="178">
        <v>144525110000</v>
      </c>
      <c r="AI142" s="178">
        <v>155439750000</v>
      </c>
      <c r="AJ142" s="178">
        <v>143499650000</v>
      </c>
      <c r="AK142" s="178">
        <v>155673600000</v>
      </c>
      <c r="AL142" s="178">
        <v>214467670000</v>
      </c>
      <c r="AM142" s="178">
        <v>220460030000</v>
      </c>
      <c r="AN142" s="178">
        <v>206671440000</v>
      </c>
      <c r="AO142" s="178">
        <v>191036370000</v>
      </c>
      <c r="AP142" s="178">
        <v>194192060000</v>
      </c>
      <c r="AQ142" s="178">
        <v>199985540000</v>
      </c>
      <c r="AR142" s="178">
        <v>187439710000</v>
      </c>
      <c r="AS142" s="178">
        <v>186088150000</v>
      </c>
      <c r="AT142" s="178">
        <v>185902470000</v>
      </c>
      <c r="AU142" s="178">
        <v>241621820000</v>
      </c>
      <c r="AV142" s="178">
        <v>300870670000</v>
      </c>
      <c r="AW142" s="178">
        <v>276818980000</v>
      </c>
      <c r="AX142" s="178">
        <v>261621010000</v>
      </c>
      <c r="AY142" s="178">
        <v>288081290000</v>
      </c>
      <c r="AZ142" s="178">
        <v>297078960000</v>
      </c>
      <c r="BA142" s="178">
        <v>279955090000</v>
      </c>
      <c r="BB142" s="178">
        <v>276944030000</v>
      </c>
      <c r="BC142" s="178">
        <v>250246230000</v>
      </c>
      <c r="BD142" s="178">
        <v>291649320000</v>
      </c>
      <c r="BE142" s="178">
        <v>309741340000</v>
      </c>
      <c r="BF142" s="178">
        <v>316577150000</v>
      </c>
      <c r="BG142" s="178">
        <v>341769140000</v>
      </c>
      <c r="BH142" s="178">
        <v>347638890000</v>
      </c>
      <c r="BI142" s="178">
        <v>313826420000</v>
      </c>
      <c r="BJ142" s="178">
        <v>298078850000</v>
      </c>
      <c r="BK142" s="178">
        <v>278225850000</v>
      </c>
      <c r="BL142" s="178">
        <v>126964470000</v>
      </c>
      <c r="BM142" s="178">
        <v>9609430730000</v>
      </c>
      <c r="BN142" s="178">
        <v>9609430730000</v>
      </c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  <c r="CC142" s="137"/>
      <c r="CD142" s="137"/>
      <c r="CE142" s="137"/>
      <c r="CF142" s="137"/>
      <c r="CG142" s="137"/>
      <c r="CH142" s="137"/>
      <c r="CI142" s="137"/>
      <c r="CJ142" s="137"/>
      <c r="CK142" s="137"/>
      <c r="CL142" s="137"/>
      <c r="CM142" s="137"/>
      <c r="CN142" s="137"/>
      <c r="CO142" s="137"/>
      <c r="CP142" s="137"/>
      <c r="CQ142" s="137"/>
    </row>
    <row r="143" spans="1:97" x14ac:dyDescent="0.2">
      <c r="A143" s="134">
        <v>45312</v>
      </c>
      <c r="B143" s="135">
        <f>YEAR(source[[#This Row],[report_date]])</f>
        <v>2024</v>
      </c>
      <c r="C143" s="136">
        <v>1</v>
      </c>
      <c r="D143" s="136">
        <f t="shared" si="16"/>
        <v>3</v>
      </c>
      <c r="E143" s="136">
        <f t="shared" si="17"/>
        <v>21</v>
      </c>
      <c r="F143" s="128" t="s">
        <v>65</v>
      </c>
      <c r="G143" s="128" t="str">
        <f>VLOOKUP(source[[#This Row],[lending_product_transform]],[3]Mapping!$B$4:$C$37,2,0)</f>
        <v>[BE] - Cashloan</v>
      </c>
      <c r="H143" s="128" t="str">
        <f>VLOOKUP(source[[#This Row],[lending_product_transform]],[3]Mapping!$B$3:$D$37,3,0)</f>
        <v>cashloan</v>
      </c>
      <c r="I143" s="135">
        <v>316050000</v>
      </c>
      <c r="K143" s="179" t="s">
        <v>213</v>
      </c>
      <c r="L143" s="178">
        <v>23041136810</v>
      </c>
      <c r="M143" s="178">
        <v>25221267166</v>
      </c>
      <c r="N143" s="178">
        <v>24071836335</v>
      </c>
      <c r="O143" s="178">
        <v>26288428339</v>
      </c>
      <c r="P143" s="178">
        <v>16822707616</v>
      </c>
      <c r="Q143" s="178">
        <v>24332978842</v>
      </c>
      <c r="R143" s="178">
        <v>23268062452</v>
      </c>
      <c r="S143" s="178">
        <v>22905073663</v>
      </c>
      <c r="T143" s="178">
        <v>28526770306</v>
      </c>
      <c r="U143" s="178">
        <v>27294827101</v>
      </c>
      <c r="V143" s="178">
        <v>24429716127</v>
      </c>
      <c r="W143" s="178">
        <v>22886017829</v>
      </c>
      <c r="X143" s="178">
        <v>23184819699</v>
      </c>
      <c r="Y143" s="178">
        <v>30560519367</v>
      </c>
      <c r="Z143" s="178">
        <v>27064870383</v>
      </c>
      <c r="AA143" s="178">
        <v>24215297928</v>
      </c>
      <c r="AB143" s="178">
        <v>25087257899</v>
      </c>
      <c r="AC143" s="178">
        <v>30484177658</v>
      </c>
      <c r="AD143" s="178">
        <v>29086024052</v>
      </c>
      <c r="AE143" s="178">
        <v>24311049457</v>
      </c>
      <c r="AF143" s="178">
        <v>24719311975</v>
      </c>
      <c r="AG143" s="178">
        <v>28369579976</v>
      </c>
      <c r="AH143" s="178">
        <v>31292047437</v>
      </c>
      <c r="AI143" s="178">
        <v>25691936119</v>
      </c>
      <c r="AJ143" s="178">
        <v>25771033651</v>
      </c>
      <c r="AK143" s="178">
        <v>24772452083</v>
      </c>
      <c r="AL143" s="178">
        <v>35363226833</v>
      </c>
      <c r="AM143" s="178">
        <v>28080873063</v>
      </c>
      <c r="AN143" s="178">
        <v>24918450065</v>
      </c>
      <c r="AO143" s="178">
        <v>21188120315</v>
      </c>
      <c r="AP143" s="178">
        <v>27551868400</v>
      </c>
      <c r="AQ143" s="178">
        <v>24556799914</v>
      </c>
      <c r="AR143" s="178">
        <v>20548059991</v>
      </c>
      <c r="AS143" s="178">
        <v>18478490755</v>
      </c>
      <c r="AT143" s="178">
        <v>20172257205</v>
      </c>
      <c r="AU143" s="178">
        <v>24644037197</v>
      </c>
      <c r="AV143" s="178">
        <v>19809967402</v>
      </c>
      <c r="AW143" s="178">
        <v>18475886501</v>
      </c>
      <c r="AX143" s="178">
        <v>17085082458</v>
      </c>
      <c r="AY143" s="178">
        <v>25015309814</v>
      </c>
      <c r="AZ143" s="178">
        <v>19224386336</v>
      </c>
      <c r="BA143" s="178">
        <v>17691021606</v>
      </c>
      <c r="BB143" s="178">
        <v>16102117986</v>
      </c>
      <c r="BC143" s="178">
        <v>19476933679</v>
      </c>
      <c r="BD143" s="178">
        <v>18817456207</v>
      </c>
      <c r="BE143" s="178">
        <v>17241042261</v>
      </c>
      <c r="BF143" s="178">
        <v>14103566125</v>
      </c>
      <c r="BG143" s="178">
        <v>15886619078</v>
      </c>
      <c r="BH143" s="178">
        <v>20485184376</v>
      </c>
      <c r="BI143" s="178">
        <v>14868185403</v>
      </c>
      <c r="BJ143" s="178">
        <v>14603032425</v>
      </c>
      <c r="BK143" s="178">
        <v>13632082350</v>
      </c>
      <c r="BL143" s="178">
        <v>7415812847</v>
      </c>
      <c r="BM143" s="178">
        <v>1199135070862</v>
      </c>
      <c r="BN143" s="178">
        <v>1199135070862</v>
      </c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  <c r="CC143" s="137"/>
      <c r="CD143" s="137"/>
      <c r="CE143" s="137"/>
      <c r="CF143" s="137"/>
      <c r="CG143" s="137"/>
      <c r="CH143" s="137"/>
      <c r="CI143" s="137"/>
      <c r="CJ143" s="137"/>
      <c r="CK143" s="137"/>
      <c r="CL143" s="137"/>
      <c r="CM143" s="137"/>
      <c r="CN143" s="137"/>
      <c r="CO143" s="137"/>
      <c r="CP143" s="137"/>
      <c r="CQ143" s="137"/>
    </row>
    <row r="144" spans="1:97" x14ac:dyDescent="0.2">
      <c r="A144" s="134">
        <v>45312</v>
      </c>
      <c r="B144" s="135">
        <f>YEAR(source[[#This Row],[report_date]])</f>
        <v>2024</v>
      </c>
      <c r="C144" s="136">
        <v>1</v>
      </c>
      <c r="D144" s="136">
        <f t="shared" si="16"/>
        <v>3</v>
      </c>
      <c r="E144" s="136">
        <f t="shared" si="17"/>
        <v>21</v>
      </c>
      <c r="F144" s="128" t="s">
        <v>61</v>
      </c>
      <c r="G144" s="128" t="str">
        <f>VLOOKUP(source[[#This Row],[lending_product_transform]],[3]Mapping!$B$4:$C$37,2,0)</f>
        <v>[VDS] - Payroll Payday</v>
      </c>
      <c r="H144" s="128" t="str">
        <f>VLOOKUP(source[[#This Row],[lending_product_transform]],[3]Mapping!$B$3:$D$37,3,0)</f>
        <v>payday</v>
      </c>
      <c r="I144" s="135">
        <v>15000000</v>
      </c>
      <c r="K144" s="179" t="s">
        <v>214</v>
      </c>
      <c r="L144" s="178">
        <v>22746500000</v>
      </c>
      <c r="M144" s="178">
        <v>33152500000</v>
      </c>
      <c r="N144" s="178">
        <v>33332000000</v>
      </c>
      <c r="O144" s="178">
        <v>38267500000</v>
      </c>
      <c r="P144" s="178">
        <v>19426000000</v>
      </c>
      <c r="Q144" s="178">
        <v>31276500000</v>
      </c>
      <c r="R144" s="178">
        <v>37752500000</v>
      </c>
      <c r="S144" s="178">
        <v>35223000000</v>
      </c>
      <c r="T144" s="178">
        <v>33454000000</v>
      </c>
      <c r="U144" s="178">
        <v>37416000000</v>
      </c>
      <c r="V144" s="178">
        <v>38124500000</v>
      </c>
      <c r="W144" s="178">
        <v>34718000000</v>
      </c>
      <c r="X144" s="178">
        <v>33629000000</v>
      </c>
      <c r="Y144" s="178">
        <v>39015616000</v>
      </c>
      <c r="Z144" s="178">
        <v>41101976000</v>
      </c>
      <c r="AA144" s="178">
        <v>40728692000</v>
      </c>
      <c r="AB144" s="178">
        <v>32972084000</v>
      </c>
      <c r="AC144" s="178">
        <v>34273236000</v>
      </c>
      <c r="AD144" s="178">
        <v>39450332000</v>
      </c>
      <c r="AE144" s="178">
        <v>40393456000</v>
      </c>
      <c r="AF144" s="178">
        <v>36754280000</v>
      </c>
      <c r="AG144" s="178">
        <v>38017084000</v>
      </c>
      <c r="AH144" s="178">
        <v>39867212000</v>
      </c>
      <c r="AI144" s="178">
        <v>42504624000</v>
      </c>
      <c r="AJ144" s="178">
        <v>36458328000</v>
      </c>
      <c r="AK144" s="178">
        <v>34065504000</v>
      </c>
      <c r="AL144" s="178">
        <v>42021452000</v>
      </c>
      <c r="AM144" s="178">
        <v>45694796000</v>
      </c>
      <c r="AN144" s="178">
        <v>43582540000</v>
      </c>
      <c r="AO144" s="178">
        <v>74429724000</v>
      </c>
      <c r="AP144" s="178">
        <v>65000680000</v>
      </c>
      <c r="AQ144" s="178">
        <v>68350308000</v>
      </c>
      <c r="AR144" s="178">
        <v>68300492000</v>
      </c>
      <c r="AS144" s="178">
        <v>72482752000</v>
      </c>
      <c r="AT144" s="178">
        <v>76647100000</v>
      </c>
      <c r="AU144" s="178">
        <v>84499200000</v>
      </c>
      <c r="AV144" s="178">
        <v>113828672000</v>
      </c>
      <c r="AW144" s="178">
        <v>120504632000</v>
      </c>
      <c r="AX144" s="178">
        <v>115084556000</v>
      </c>
      <c r="AY144" s="178">
        <v>129731592000</v>
      </c>
      <c r="AZ144" s="178">
        <v>144363456000</v>
      </c>
      <c r="BA144" s="178">
        <v>141969244000</v>
      </c>
      <c r="BB144" s="178">
        <v>122285084000</v>
      </c>
      <c r="BC144" s="178">
        <v>124052540000</v>
      </c>
      <c r="BD144" s="178">
        <v>133372740000</v>
      </c>
      <c r="BE144" s="178">
        <v>142157948000</v>
      </c>
      <c r="BF144" s="178">
        <v>126536684000</v>
      </c>
      <c r="BG144" s="178">
        <v>132898208000</v>
      </c>
      <c r="BH144" s="178">
        <v>159975568000</v>
      </c>
      <c r="BI144" s="178">
        <v>161060276000</v>
      </c>
      <c r="BJ144" s="178">
        <v>159089604000</v>
      </c>
      <c r="BK144" s="178">
        <v>150427228000</v>
      </c>
      <c r="BL144" s="178">
        <v>68658040000</v>
      </c>
      <c r="BM144" s="178">
        <v>3811125540000</v>
      </c>
      <c r="BN144" s="178">
        <v>3811125540000</v>
      </c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  <c r="CC144" s="137"/>
      <c r="CD144" s="137"/>
      <c r="CE144" s="137"/>
      <c r="CF144" s="137"/>
      <c r="CG144" s="137"/>
      <c r="CH144" s="137"/>
      <c r="CI144" s="137"/>
      <c r="CJ144" s="137"/>
      <c r="CK144" s="137"/>
      <c r="CL144" s="137"/>
      <c r="CM144" s="137"/>
      <c r="CN144" s="137"/>
      <c r="CO144" s="137"/>
      <c r="CP144" s="137"/>
      <c r="CQ144" s="137"/>
    </row>
    <row r="145" spans="1:95" x14ac:dyDescent="0.2">
      <c r="A145" s="134">
        <v>45312</v>
      </c>
      <c r="B145" s="135">
        <f>YEAR(source[[#This Row],[report_date]])</f>
        <v>2024</v>
      </c>
      <c r="C145" s="136">
        <v>1</v>
      </c>
      <c r="D145" s="136">
        <f t="shared" si="16"/>
        <v>3</v>
      </c>
      <c r="E145" s="136">
        <f t="shared" si="17"/>
        <v>21</v>
      </c>
      <c r="F145" s="128" t="s">
        <v>11</v>
      </c>
      <c r="G145" s="128" t="str">
        <f>VLOOKUP(source[[#This Row],[lending_product_transform]],[3]Mapping!$B$4:$C$37,2,0)</f>
        <v>[VDS] - Cashloan</v>
      </c>
      <c r="H145" s="128" t="str">
        <f>VLOOKUP(source[[#This Row],[lending_product_transform]],[3]Mapping!$B$3:$D$37,3,0)</f>
        <v>cashloan</v>
      </c>
      <c r="I145" s="135">
        <v>1615700000</v>
      </c>
      <c r="K145" s="180" t="s">
        <v>68</v>
      </c>
      <c r="L145" s="174">
        <v>105834806810</v>
      </c>
      <c r="M145" s="174">
        <v>146187937166</v>
      </c>
      <c r="N145" s="174">
        <v>153718046335</v>
      </c>
      <c r="O145" s="174">
        <v>156482878339</v>
      </c>
      <c r="P145" s="174">
        <v>65808387616</v>
      </c>
      <c r="Q145" s="174">
        <v>112923218842</v>
      </c>
      <c r="R145" s="174">
        <v>131028092452</v>
      </c>
      <c r="S145" s="174">
        <v>131445143663</v>
      </c>
      <c r="T145" s="174">
        <v>141262460306</v>
      </c>
      <c r="U145" s="174">
        <v>152574337101</v>
      </c>
      <c r="V145" s="174">
        <v>157957416127</v>
      </c>
      <c r="W145" s="174">
        <v>150921197829</v>
      </c>
      <c r="X145" s="174">
        <v>155294349699</v>
      </c>
      <c r="Y145" s="174">
        <v>184102075367</v>
      </c>
      <c r="Z145" s="174">
        <v>191240526383</v>
      </c>
      <c r="AA145" s="174">
        <v>191139099928</v>
      </c>
      <c r="AB145" s="174">
        <v>179606891899</v>
      </c>
      <c r="AC145" s="174">
        <v>176573223658</v>
      </c>
      <c r="AD145" s="174">
        <v>199909156052</v>
      </c>
      <c r="AE145" s="174">
        <v>196950275457</v>
      </c>
      <c r="AF145" s="174">
        <v>188365121975</v>
      </c>
      <c r="AG145" s="174">
        <v>184411513976</v>
      </c>
      <c r="AH145" s="174">
        <v>215684369437</v>
      </c>
      <c r="AI145" s="174">
        <v>223636310119</v>
      </c>
      <c r="AJ145" s="174">
        <v>205729011651</v>
      </c>
      <c r="AK145" s="174">
        <v>214511556083</v>
      </c>
      <c r="AL145" s="174">
        <v>291852348833</v>
      </c>
      <c r="AM145" s="174">
        <v>294235699063</v>
      </c>
      <c r="AN145" s="174">
        <v>275172430065</v>
      </c>
      <c r="AO145" s="174">
        <v>286654214315</v>
      </c>
      <c r="AP145" s="174">
        <v>286744608400</v>
      </c>
      <c r="AQ145" s="174">
        <v>292892647914</v>
      </c>
      <c r="AR145" s="174">
        <v>276288261991</v>
      </c>
      <c r="AS145" s="174">
        <v>277049392755</v>
      </c>
      <c r="AT145" s="174">
        <v>282721827205</v>
      </c>
      <c r="AU145" s="174">
        <v>350765057197</v>
      </c>
      <c r="AV145" s="174">
        <v>434509309402</v>
      </c>
      <c r="AW145" s="174">
        <v>415799498501</v>
      </c>
      <c r="AX145" s="174">
        <v>393790648458</v>
      </c>
      <c r="AY145" s="174">
        <v>442828191814</v>
      </c>
      <c r="AZ145" s="174">
        <v>460666802336</v>
      </c>
      <c r="BA145" s="174">
        <v>439615355606</v>
      </c>
      <c r="BB145" s="174">
        <v>415331231986</v>
      </c>
      <c r="BC145" s="174">
        <v>393775703679</v>
      </c>
      <c r="BD145" s="174">
        <v>443839516207</v>
      </c>
      <c r="BE145" s="174">
        <v>469140330261</v>
      </c>
      <c r="BF145" s="174">
        <v>457217400125</v>
      </c>
      <c r="BG145" s="174">
        <v>490553967078</v>
      </c>
      <c r="BH145" s="174">
        <v>528099642376</v>
      </c>
      <c r="BI145" s="174">
        <v>489754881403</v>
      </c>
      <c r="BJ145" s="174">
        <v>471771486425</v>
      </c>
      <c r="BK145" s="174">
        <v>442285160350</v>
      </c>
      <c r="BL145" s="174">
        <v>203038322847</v>
      </c>
      <c r="BM145" s="174">
        <v>14619691340862</v>
      </c>
      <c r="BN145" s="174">
        <v>14619691340862</v>
      </c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  <c r="CC145" s="137"/>
      <c r="CD145" s="137"/>
      <c r="CE145" s="137"/>
      <c r="CF145" s="137"/>
      <c r="CG145" s="137"/>
      <c r="CH145" s="137"/>
      <c r="CI145" s="137"/>
      <c r="CJ145" s="137"/>
      <c r="CK145" s="137"/>
      <c r="CL145" s="137"/>
      <c r="CM145" s="137"/>
      <c r="CN145" s="137"/>
      <c r="CO145" s="137"/>
      <c r="CP145" s="137"/>
      <c r="CQ145" s="137"/>
    </row>
    <row r="146" spans="1:95" x14ac:dyDescent="0.2">
      <c r="A146" s="134">
        <v>45312</v>
      </c>
      <c r="B146" s="135">
        <f>YEAR(source[[#This Row],[report_date]])</f>
        <v>2024</v>
      </c>
      <c r="C146" s="136">
        <v>1</v>
      </c>
      <c r="D146" s="136">
        <f t="shared" si="16"/>
        <v>3</v>
      </c>
      <c r="E146" s="136">
        <f t="shared" si="17"/>
        <v>21</v>
      </c>
      <c r="F146" s="128" t="s">
        <v>56</v>
      </c>
      <c r="G146" s="128">
        <f>VLOOKUP(source[[#This Row],[lending_product_transform]],[3]Mapping!$B$4:$C$37,2,0)</f>
        <v>0</v>
      </c>
      <c r="H146" s="128">
        <f>VLOOKUP(source[[#This Row],[lending_product_transform]],[3]Mapping!$B$3:$D$37,3,0)</f>
        <v>0</v>
      </c>
      <c r="I146" s="135">
        <v>5137674543</v>
      </c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  <c r="CC146" s="137"/>
      <c r="CD146" s="137"/>
      <c r="CE146" s="137"/>
      <c r="CF146" s="137"/>
      <c r="CG146" s="137"/>
      <c r="CH146" s="137"/>
      <c r="CI146" s="137"/>
      <c r="CJ146" s="137"/>
      <c r="CK146" s="137"/>
      <c r="CL146" s="137"/>
      <c r="CM146" s="137"/>
      <c r="CN146" s="137"/>
      <c r="CO146" s="137"/>
      <c r="CP146" s="137"/>
      <c r="CQ146" s="137"/>
    </row>
    <row r="147" spans="1:95" x14ac:dyDescent="0.2">
      <c r="A147" s="134">
        <v>45312</v>
      </c>
      <c r="B147" s="135">
        <f>YEAR(source[[#This Row],[report_date]])</f>
        <v>2024</v>
      </c>
      <c r="C147" s="136">
        <v>1</v>
      </c>
      <c r="D147" s="136">
        <f t="shared" si="16"/>
        <v>3</v>
      </c>
      <c r="E147" s="136">
        <f t="shared" si="17"/>
        <v>21</v>
      </c>
      <c r="F147" s="128" t="s">
        <v>58</v>
      </c>
      <c r="G147" s="128" t="str">
        <f>VLOOKUP(source[[#This Row],[lending_product_transform]],[3]Mapping!$B$4:$C$37,2,0)</f>
        <v>[VDS] - Payroll Cashloan</v>
      </c>
      <c r="H147" s="128" t="str">
        <f>VLOOKUP(source[[#This Row],[lending_product_transform]],[3]Mapping!$B$3:$D$37,3,0)</f>
        <v>cashloan</v>
      </c>
      <c r="I147" s="135">
        <v>58800000</v>
      </c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  <c r="CC147" s="137"/>
      <c r="CD147" s="137"/>
      <c r="CE147" s="137"/>
      <c r="CF147" s="137"/>
      <c r="CG147" s="137"/>
      <c r="CH147" s="137"/>
      <c r="CI147" s="137"/>
      <c r="CJ147" s="137"/>
      <c r="CK147" s="137"/>
      <c r="CL147" s="137"/>
      <c r="CM147" s="137"/>
      <c r="CN147" s="137"/>
      <c r="CO147" s="137"/>
      <c r="CP147" s="137"/>
      <c r="CQ147" s="137"/>
    </row>
    <row r="148" spans="1:95" x14ac:dyDescent="0.2">
      <c r="A148" s="134">
        <v>45312</v>
      </c>
      <c r="B148" s="135">
        <f>YEAR(source[[#This Row],[report_date]])</f>
        <v>2024</v>
      </c>
      <c r="C148" s="136">
        <v>1</v>
      </c>
      <c r="D148" s="136">
        <f t="shared" si="16"/>
        <v>3</v>
      </c>
      <c r="E148" s="136">
        <f t="shared" si="17"/>
        <v>21</v>
      </c>
      <c r="F148" s="128" t="s">
        <v>19</v>
      </c>
      <c r="G148" s="128" t="str">
        <f>VLOOKUP(source[[#This Row],[lending_product_transform]],[3]Mapping!$B$4:$C$37,2,0)</f>
        <v>[VDS] - Payday</v>
      </c>
      <c r="H148" s="128" t="str">
        <f>VLOOKUP(source[[#This Row],[lending_product_transform]],[3]Mapping!$B$3:$D$37,3,0)</f>
        <v>payday</v>
      </c>
      <c r="I148" s="135">
        <v>1439000000</v>
      </c>
      <c r="K148" s="175" t="s">
        <v>199</v>
      </c>
      <c r="L148" s="61" t="s">
        <v>220</v>
      </c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</row>
    <row r="149" spans="1:95" x14ac:dyDescent="0.2">
      <c r="A149" s="134">
        <v>45312</v>
      </c>
      <c r="B149" s="135">
        <f>YEAR(source[[#This Row],[report_date]])</f>
        <v>2024</v>
      </c>
      <c r="C149" s="136">
        <v>1</v>
      </c>
      <c r="D149" s="136">
        <f t="shared" si="16"/>
        <v>3</v>
      </c>
      <c r="E149" s="136">
        <f t="shared" si="17"/>
        <v>21</v>
      </c>
      <c r="F149" s="128" t="s">
        <v>67</v>
      </c>
      <c r="G149" s="128" t="str">
        <f>VLOOKUP(source[[#This Row],[lending_product_transform]],[3]Mapping!$B$4:$C$37,2,0)</f>
        <v>[Cake] - Overdraft</v>
      </c>
      <c r="H149" s="128" t="str">
        <f>VLOOKUP(source[[#This Row],[lending_product_transform]],[3]Mapping!$B$3:$D$37,3,0)</f>
        <v>overdraft</v>
      </c>
      <c r="I149" s="135">
        <v>1693124543</v>
      </c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</row>
    <row r="150" spans="1:95" x14ac:dyDescent="0.2">
      <c r="A150" s="134">
        <v>45313</v>
      </c>
      <c r="B150" s="135">
        <f>YEAR(source[[#This Row],[report_date]])</f>
        <v>2024</v>
      </c>
      <c r="C150" s="136">
        <v>1</v>
      </c>
      <c r="D150" s="136">
        <f t="shared" si="16"/>
        <v>4</v>
      </c>
      <c r="E150" s="136">
        <f t="shared" si="17"/>
        <v>22</v>
      </c>
      <c r="F150" s="128" t="s">
        <v>56</v>
      </c>
      <c r="G150" s="128">
        <f>VLOOKUP(source[[#This Row],[lending_product_transform]],[3]Mapping!$B$4:$C$37,2,0)</f>
        <v>0</v>
      </c>
      <c r="H150" s="128">
        <f>VLOOKUP(source[[#This Row],[lending_product_transform]],[3]Mapping!$B$3:$D$37,3,0)</f>
        <v>0</v>
      </c>
      <c r="I150" s="135">
        <v>6554511705</v>
      </c>
      <c r="K150" s="177" t="s">
        <v>69</v>
      </c>
      <c r="L150" s="181" t="s">
        <v>202</v>
      </c>
      <c r="M150" s="177"/>
      <c r="N150" s="17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</row>
    <row r="151" spans="1:95" x14ac:dyDescent="0.2">
      <c r="A151" s="134">
        <v>45313</v>
      </c>
      <c r="B151" s="135">
        <f>YEAR(source[[#This Row],[report_date]])</f>
        <v>2024</v>
      </c>
      <c r="C151" s="136">
        <v>1</v>
      </c>
      <c r="D151" s="136">
        <f t="shared" si="16"/>
        <v>4</v>
      </c>
      <c r="E151" s="136">
        <f t="shared" si="17"/>
        <v>22</v>
      </c>
      <c r="F151" s="128" t="s">
        <v>65</v>
      </c>
      <c r="G151" s="128" t="str">
        <f>VLOOKUP(source[[#This Row],[lending_product_transform]],[3]Mapping!$B$4:$C$37,2,0)</f>
        <v>[BE] - Cashloan</v>
      </c>
      <c r="H151" s="128" t="str">
        <f>VLOOKUP(source[[#This Row],[lending_product_transform]],[3]Mapping!$B$3:$D$37,3,0)</f>
        <v>cashloan</v>
      </c>
      <c r="I151" s="135">
        <v>153300000</v>
      </c>
      <c r="K151" s="177"/>
      <c r="L151" s="174">
        <v>2025</v>
      </c>
      <c r="M151" s="178" t="s">
        <v>203</v>
      </c>
      <c r="N151" s="174" t="s">
        <v>68</v>
      </c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</row>
    <row r="152" spans="1:95" x14ac:dyDescent="0.2">
      <c r="A152" s="134">
        <v>45313</v>
      </c>
      <c r="B152" s="135">
        <f>YEAR(source[[#This Row],[report_date]])</f>
        <v>2024</v>
      </c>
      <c r="C152" s="136">
        <v>1</v>
      </c>
      <c r="D152" s="136">
        <f t="shared" si="16"/>
        <v>4</v>
      </c>
      <c r="E152" s="136">
        <f t="shared" si="17"/>
        <v>22</v>
      </c>
      <c r="F152" s="128" t="s">
        <v>11</v>
      </c>
      <c r="G152" s="128" t="str">
        <f>VLOOKUP(source[[#This Row],[lending_product_transform]],[3]Mapping!$B$4:$C$37,2,0)</f>
        <v>[VDS] - Cashloan</v>
      </c>
      <c r="H152" s="128" t="str">
        <f>VLOOKUP(source[[#This Row],[lending_product_transform]],[3]Mapping!$B$3:$D$37,3,0)</f>
        <v>cashloan</v>
      </c>
      <c r="I152" s="135">
        <v>2636150000</v>
      </c>
      <c r="K152" s="177" t="s">
        <v>205</v>
      </c>
      <c r="L152" s="178">
        <v>10</v>
      </c>
      <c r="M152" s="61"/>
      <c r="N152" s="17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</row>
    <row r="153" spans="1:95" x14ac:dyDescent="0.2">
      <c r="A153" s="134">
        <v>45313</v>
      </c>
      <c r="B153" s="135">
        <f>YEAR(source[[#This Row],[report_date]])</f>
        <v>2024</v>
      </c>
      <c r="C153" s="136">
        <v>1</v>
      </c>
      <c r="D153" s="136">
        <f t="shared" si="16"/>
        <v>4</v>
      </c>
      <c r="E153" s="136">
        <f t="shared" si="17"/>
        <v>22</v>
      </c>
      <c r="F153" s="128" t="s">
        <v>61</v>
      </c>
      <c r="G153" s="128" t="str">
        <f>VLOOKUP(source[[#This Row],[lending_product_transform]],[3]Mapping!$B$4:$C$37,2,0)</f>
        <v>[VDS] - Payroll Payday</v>
      </c>
      <c r="H153" s="128" t="str">
        <f>VLOOKUP(source[[#This Row],[lending_product_transform]],[3]Mapping!$B$3:$D$37,3,0)</f>
        <v>payday</v>
      </c>
      <c r="I153" s="135">
        <v>20000000</v>
      </c>
      <c r="K153" s="179" t="s">
        <v>65</v>
      </c>
      <c r="L153" s="178">
        <v>856450000</v>
      </c>
      <c r="M153" s="178">
        <v>856450000</v>
      </c>
      <c r="N153" s="178">
        <v>856450000</v>
      </c>
      <c r="O153" s="143">
        <f>GETPIVOTDATA("Total",$K$150,"Year",2025,"Month",10,"lending_product_transform","[BE] - Cashloan")/1000000000</f>
        <v>0.85645000000000004</v>
      </c>
      <c r="P153" s="144">
        <f>O153+O158</f>
        <v>16.721248918000001</v>
      </c>
      <c r="Q153" s="143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</row>
    <row r="154" spans="1:95" x14ac:dyDescent="0.2">
      <c r="A154" s="134">
        <v>45313</v>
      </c>
      <c r="B154" s="135">
        <f>YEAR(source[[#This Row],[report_date]])</f>
        <v>2024</v>
      </c>
      <c r="C154" s="136">
        <v>1</v>
      </c>
      <c r="D154" s="136">
        <f t="shared" si="16"/>
        <v>4</v>
      </c>
      <c r="E154" s="136">
        <f t="shared" si="17"/>
        <v>22</v>
      </c>
      <c r="F154" s="128" t="s">
        <v>19</v>
      </c>
      <c r="G154" s="128" t="str">
        <f>VLOOKUP(source[[#This Row],[lending_product_transform]],[3]Mapping!$B$4:$C$37,2,0)</f>
        <v>[VDS] - Payday</v>
      </c>
      <c r="H154" s="128" t="str">
        <f>VLOOKUP(source[[#This Row],[lending_product_transform]],[3]Mapping!$B$3:$D$37,3,0)</f>
        <v>payday</v>
      </c>
      <c r="I154" s="135">
        <v>1575000000</v>
      </c>
      <c r="K154" s="179" t="s">
        <v>66</v>
      </c>
      <c r="L154" s="178">
        <v>10040639446</v>
      </c>
      <c r="M154" s="178">
        <v>10040639446</v>
      </c>
      <c r="N154" s="178">
        <v>10040639446</v>
      </c>
      <c r="O154" s="143">
        <f>GETPIVOTDATA("Total",$K$150,"Year",2025,"Month",10,"lending_product_transform","[FPT] - Paylater")/1000000000</f>
        <v>0.96866003300000003</v>
      </c>
      <c r="P154" s="137"/>
      <c r="Q154" s="143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</row>
    <row r="155" spans="1:95" x14ac:dyDescent="0.2">
      <c r="A155" s="134">
        <v>45313</v>
      </c>
      <c r="B155" s="135">
        <f>YEAR(source[[#This Row],[report_date]])</f>
        <v>2024</v>
      </c>
      <c r="C155" s="136">
        <v>1</v>
      </c>
      <c r="D155" s="136">
        <f t="shared" si="16"/>
        <v>4</v>
      </c>
      <c r="E155" s="136">
        <f t="shared" si="17"/>
        <v>22</v>
      </c>
      <c r="F155" s="128" t="s">
        <v>58</v>
      </c>
      <c r="G155" s="128" t="str">
        <f>VLOOKUP(source[[#This Row],[lending_product_transform]],[3]Mapping!$B$4:$C$37,2,0)</f>
        <v>[VDS] - Payroll Cashloan</v>
      </c>
      <c r="H155" s="128" t="str">
        <f>VLOOKUP(source[[#This Row],[lending_product_transform]],[3]Mapping!$B$3:$D$37,3,0)</f>
        <v>cashloan</v>
      </c>
      <c r="I155" s="135">
        <v>52500000</v>
      </c>
      <c r="K155" s="179" t="s">
        <v>24</v>
      </c>
      <c r="L155" s="178">
        <v>501046570000</v>
      </c>
      <c r="M155" s="178">
        <v>501046570000</v>
      </c>
      <c r="N155" s="178">
        <v>501046570000</v>
      </c>
      <c r="O155" s="144">
        <f>SUM(L155:L156)/1000000000</f>
        <v>585.28598474700004</v>
      </c>
      <c r="P155" s="137"/>
      <c r="Q155" s="143"/>
      <c r="R155" s="143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</row>
    <row r="156" spans="1:95" x14ac:dyDescent="0.2">
      <c r="A156" s="134">
        <v>45313</v>
      </c>
      <c r="B156" s="135">
        <f>YEAR(source[[#This Row],[report_date]])</f>
        <v>2024</v>
      </c>
      <c r="C156" s="136">
        <v>1</v>
      </c>
      <c r="D156" s="136">
        <f t="shared" si="16"/>
        <v>4</v>
      </c>
      <c r="E156" s="136">
        <f t="shared" si="17"/>
        <v>22</v>
      </c>
      <c r="F156" s="128" t="s">
        <v>67</v>
      </c>
      <c r="G156" s="128" t="str">
        <f>VLOOKUP(source[[#This Row],[lending_product_transform]],[3]Mapping!$B$4:$C$37,2,0)</f>
        <v>[Cake] - Overdraft</v>
      </c>
      <c r="H156" s="128" t="str">
        <f>VLOOKUP(source[[#This Row],[lending_product_transform]],[3]Mapping!$B$3:$D$37,3,0)</f>
        <v>overdraft</v>
      </c>
      <c r="I156" s="135">
        <v>2117561705</v>
      </c>
      <c r="K156" s="179" t="s">
        <v>67</v>
      </c>
      <c r="L156" s="178">
        <v>84239414747</v>
      </c>
      <c r="M156" s="178">
        <v>84239414747</v>
      </c>
      <c r="N156" s="178">
        <v>84239414747</v>
      </c>
      <c r="O156" s="137"/>
      <c r="P156" s="137"/>
      <c r="Q156" s="143"/>
      <c r="R156" s="143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</row>
    <row r="157" spans="1:95" x14ac:dyDescent="0.2">
      <c r="A157" s="134">
        <v>45314</v>
      </c>
      <c r="B157" s="135">
        <f>YEAR(source[[#This Row],[report_date]])</f>
        <v>2024</v>
      </c>
      <c r="C157" s="136">
        <v>1</v>
      </c>
      <c r="D157" s="136">
        <f t="shared" si="16"/>
        <v>4</v>
      </c>
      <c r="E157" s="136">
        <f t="shared" si="17"/>
        <v>23</v>
      </c>
      <c r="F157" s="128" t="s">
        <v>11</v>
      </c>
      <c r="G157" s="128" t="str">
        <f>VLOOKUP(source[[#This Row],[lending_product_transform]],[3]Mapping!$B$4:$C$37,2,0)</f>
        <v>[VDS] - Cashloan</v>
      </c>
      <c r="H157" s="128" t="str">
        <f>VLOOKUP(source[[#This Row],[lending_product_transform]],[3]Mapping!$B$3:$D$37,3,0)</f>
        <v>cashloan</v>
      </c>
      <c r="I157" s="135">
        <v>2264300000</v>
      </c>
      <c r="K157" s="179" t="s">
        <v>28</v>
      </c>
      <c r="L157" s="178">
        <v>261541764000</v>
      </c>
      <c r="M157" s="178">
        <v>261541764000</v>
      </c>
      <c r="N157" s="178">
        <v>261541764000</v>
      </c>
      <c r="O157" s="147">
        <f>SUM(GETPIVOTDATA("Total",$K$150,"Year",2025,"Month",10,"lending_product_transform","[VDS] - Paylater"),GETPIVOTDATA("Total",$K$150,"Year",2025,"Month",10,"lending_product_transform","[BE] - Paylater"))/1000000000</f>
        <v>19.020221716000002</v>
      </c>
      <c r="P157" s="137"/>
      <c r="Q157" s="143"/>
      <c r="R157" s="144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</row>
    <row r="158" spans="1:95" x14ac:dyDescent="0.2">
      <c r="A158" s="134">
        <v>45314</v>
      </c>
      <c r="B158" s="135">
        <f>YEAR(source[[#This Row],[report_date]])</f>
        <v>2024</v>
      </c>
      <c r="C158" s="136">
        <v>1</v>
      </c>
      <c r="D158" s="136">
        <f t="shared" si="16"/>
        <v>4</v>
      </c>
      <c r="E158" s="136">
        <f t="shared" si="17"/>
        <v>23</v>
      </c>
      <c r="F158" s="128" t="s">
        <v>61</v>
      </c>
      <c r="G158" s="128" t="str">
        <f>VLOOKUP(source[[#This Row],[lending_product_transform]],[3]Mapping!$B$4:$C$37,2,0)</f>
        <v>[VDS] - Payroll Payday</v>
      </c>
      <c r="H158" s="128" t="str">
        <f>VLOOKUP(source[[#This Row],[lending_product_transform]],[3]Mapping!$B$3:$D$37,3,0)</f>
        <v>payday</v>
      </c>
      <c r="I158" s="135">
        <v>15000000</v>
      </c>
      <c r="K158" s="179" t="s">
        <v>208</v>
      </c>
      <c r="L158" s="178">
        <v>968660033</v>
      </c>
      <c r="M158" s="178">
        <v>968660033</v>
      </c>
      <c r="N158" s="178">
        <v>968660033</v>
      </c>
      <c r="O158" s="143">
        <f>GETPIVOTDATA("Total",$K$150,"Year",2025,"Month",10,"lending_product_transform","[VNPAY] - Paylater")/1000000000</f>
        <v>15.864798918</v>
      </c>
      <c r="P158" s="137"/>
      <c r="Q158" s="143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</row>
    <row r="159" spans="1:95" x14ac:dyDescent="0.2">
      <c r="A159" s="134">
        <v>45314</v>
      </c>
      <c r="B159" s="135">
        <f>YEAR(source[[#This Row],[report_date]])</f>
        <v>2024</v>
      </c>
      <c r="C159" s="136">
        <v>1</v>
      </c>
      <c r="D159" s="136">
        <f t="shared" si="16"/>
        <v>4</v>
      </c>
      <c r="E159" s="136">
        <f t="shared" si="17"/>
        <v>23</v>
      </c>
      <c r="F159" s="128" t="s">
        <v>56</v>
      </c>
      <c r="G159" s="128">
        <f>VLOOKUP(source[[#This Row],[lending_product_transform]],[3]Mapping!$B$4:$C$37,2,0)</f>
        <v>0</v>
      </c>
      <c r="H159" s="128">
        <f>VLOOKUP(source[[#This Row],[lending_product_transform]],[3]Mapping!$B$3:$D$37,3,0)</f>
        <v>0</v>
      </c>
      <c r="I159" s="135">
        <v>6223735898</v>
      </c>
      <c r="K159" s="179" t="s">
        <v>36</v>
      </c>
      <c r="L159" s="178">
        <v>93235540000</v>
      </c>
      <c r="M159" s="178">
        <v>93235540000</v>
      </c>
      <c r="N159" s="178">
        <v>93235540000</v>
      </c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</row>
    <row r="160" spans="1:95" x14ac:dyDescent="0.2">
      <c r="A160" s="134">
        <v>45314</v>
      </c>
      <c r="B160" s="135">
        <f>YEAR(source[[#This Row],[report_date]])</f>
        <v>2024</v>
      </c>
      <c r="C160" s="136">
        <v>1</v>
      </c>
      <c r="D160" s="136">
        <f t="shared" si="16"/>
        <v>4</v>
      </c>
      <c r="E160" s="136">
        <f t="shared" si="17"/>
        <v>23</v>
      </c>
      <c r="F160" s="128" t="s">
        <v>58</v>
      </c>
      <c r="G160" s="128" t="str">
        <f>VLOOKUP(source[[#This Row],[lending_product_transform]],[3]Mapping!$B$4:$C$37,2,0)</f>
        <v>[VDS] - Payroll Cashloan</v>
      </c>
      <c r="H160" s="128" t="str">
        <f>VLOOKUP(source[[#This Row],[lending_product_transform]],[3]Mapping!$B$3:$D$37,3,0)</f>
        <v>cashloan</v>
      </c>
      <c r="I160" s="135">
        <v>83000000</v>
      </c>
      <c r="K160" s="179" t="s">
        <v>176</v>
      </c>
      <c r="L160" s="178">
        <v>587067397</v>
      </c>
      <c r="M160" s="178">
        <v>587067397</v>
      </c>
      <c r="N160" s="178">
        <v>587067397</v>
      </c>
      <c r="O160" s="137"/>
      <c r="P160" s="137"/>
    </row>
    <row r="161" spans="1:31" x14ac:dyDescent="0.2">
      <c r="A161" s="134">
        <v>45314</v>
      </c>
      <c r="B161" s="135">
        <f>YEAR(source[[#This Row],[report_date]])</f>
        <v>2024</v>
      </c>
      <c r="C161" s="136">
        <v>1</v>
      </c>
      <c r="D161" s="136">
        <f t="shared" si="16"/>
        <v>4</v>
      </c>
      <c r="E161" s="136">
        <f t="shared" si="17"/>
        <v>23</v>
      </c>
      <c r="F161" s="128" t="s">
        <v>19</v>
      </c>
      <c r="G161" s="128" t="str">
        <f>VLOOKUP(source[[#This Row],[lending_product_transform]],[3]Mapping!$B$4:$C$37,2,0)</f>
        <v>[VDS] - Payday</v>
      </c>
      <c r="H161" s="128" t="str">
        <f>VLOOKUP(source[[#This Row],[lending_product_transform]],[3]Mapping!$B$3:$D$37,3,0)</f>
        <v>payday</v>
      </c>
      <c r="I161" s="135">
        <v>1487000000</v>
      </c>
      <c r="K161" s="179" t="s">
        <v>39</v>
      </c>
      <c r="L161" s="178">
        <v>19076948189</v>
      </c>
      <c r="M161" s="178">
        <v>19076948189</v>
      </c>
      <c r="N161" s="178">
        <v>19076948189</v>
      </c>
      <c r="O161" s="137"/>
      <c r="P161" s="137"/>
    </row>
    <row r="162" spans="1:31" x14ac:dyDescent="0.2">
      <c r="A162" s="134">
        <v>45314</v>
      </c>
      <c r="B162" s="135">
        <f>YEAR(source[[#This Row],[report_date]])</f>
        <v>2024</v>
      </c>
      <c r="C162" s="136">
        <v>1</v>
      </c>
      <c r="D162" s="136">
        <f t="shared" si="16"/>
        <v>4</v>
      </c>
      <c r="E162" s="136">
        <f t="shared" si="17"/>
        <v>23</v>
      </c>
      <c r="F162" s="128" t="s">
        <v>67</v>
      </c>
      <c r="G162" s="128" t="str">
        <f>VLOOKUP(source[[#This Row],[lending_product_transform]],[3]Mapping!$B$4:$C$37,2,0)</f>
        <v>[Cake] - Overdraft</v>
      </c>
      <c r="H162" s="128" t="str">
        <f>VLOOKUP(source[[#This Row],[lending_product_transform]],[3]Mapping!$B$3:$D$37,3,0)</f>
        <v>overdraft</v>
      </c>
      <c r="I162" s="135">
        <v>2034235898</v>
      </c>
      <c r="K162" s="179" t="s">
        <v>206</v>
      </c>
      <c r="L162" s="178">
        <v>0</v>
      </c>
      <c r="M162" s="178">
        <v>0</v>
      </c>
      <c r="N162" s="178">
        <v>0</v>
      </c>
      <c r="O162" s="137"/>
      <c r="P162" s="137"/>
      <c r="Y162" s="148"/>
      <c r="Z162" s="148"/>
      <c r="AA162" s="148"/>
      <c r="AB162" s="148"/>
    </row>
    <row r="163" spans="1:31" x14ac:dyDescent="0.2">
      <c r="A163" s="134">
        <v>45314</v>
      </c>
      <c r="B163" s="135">
        <f>YEAR(source[[#This Row],[report_date]])</f>
        <v>2024</v>
      </c>
      <c r="C163" s="136">
        <v>1</v>
      </c>
      <c r="D163" s="136">
        <f t="shared" si="16"/>
        <v>4</v>
      </c>
      <c r="E163" s="136">
        <f t="shared" si="17"/>
        <v>23</v>
      </c>
      <c r="F163" s="128" t="s">
        <v>65</v>
      </c>
      <c r="G163" s="128" t="str">
        <f>VLOOKUP(source[[#This Row],[lending_product_transform]],[3]Mapping!$B$4:$C$37,2,0)</f>
        <v>[BE] - Cashloan</v>
      </c>
      <c r="H163" s="128" t="str">
        <f>VLOOKUP(source[[#This Row],[lending_product_transform]],[3]Mapping!$B$3:$D$37,3,0)</f>
        <v>cashloan</v>
      </c>
      <c r="I163" s="135">
        <v>340200000</v>
      </c>
      <c r="K163" s="179" t="s">
        <v>64</v>
      </c>
      <c r="L163" s="178">
        <v>5961750000</v>
      </c>
      <c r="M163" s="178">
        <v>5961750000</v>
      </c>
      <c r="N163" s="178">
        <v>5961750000</v>
      </c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</row>
    <row r="164" spans="1:31" x14ac:dyDescent="0.2">
      <c r="A164" s="134">
        <v>45315</v>
      </c>
      <c r="B164" s="135">
        <f>YEAR(source[[#This Row],[report_date]])</f>
        <v>2024</v>
      </c>
      <c r="C164" s="136">
        <v>1</v>
      </c>
      <c r="D164" s="136">
        <f t="shared" si="16"/>
        <v>4</v>
      </c>
      <c r="E164" s="136">
        <f t="shared" si="17"/>
        <v>24</v>
      </c>
      <c r="F164" s="128" t="s">
        <v>11</v>
      </c>
      <c r="G164" s="128" t="str">
        <f>VLOOKUP(source[[#This Row],[lending_product_transform]],[3]Mapping!$B$4:$C$37,2,0)</f>
        <v>[VDS] - Cashloan</v>
      </c>
      <c r="H164" s="128" t="str">
        <f>VLOOKUP(source[[#This Row],[lending_product_transform]],[3]Mapping!$B$3:$D$37,3,0)</f>
        <v>cashloan</v>
      </c>
      <c r="I164" s="135">
        <v>2172600000</v>
      </c>
      <c r="K164" s="179" t="s">
        <v>11</v>
      </c>
      <c r="L164" s="178">
        <v>489699990000</v>
      </c>
      <c r="M164" s="178">
        <v>489699990000</v>
      </c>
      <c r="N164" s="178">
        <v>489699990000</v>
      </c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</row>
    <row r="165" spans="1:31" x14ac:dyDescent="0.2">
      <c r="A165" s="134">
        <v>45315</v>
      </c>
      <c r="B165" s="135">
        <f>YEAR(source[[#This Row],[report_date]])</f>
        <v>2024</v>
      </c>
      <c r="C165" s="136">
        <v>1</v>
      </c>
      <c r="D165" s="136">
        <f t="shared" si="16"/>
        <v>4</v>
      </c>
      <c r="E165" s="136">
        <f t="shared" si="17"/>
        <v>24</v>
      </c>
      <c r="F165" s="128" t="s">
        <v>19</v>
      </c>
      <c r="G165" s="128" t="str">
        <f>VLOOKUP(source[[#This Row],[lending_product_transform]],[3]Mapping!$B$4:$C$37,2,0)</f>
        <v>[VDS] - Payday</v>
      </c>
      <c r="H165" s="128" t="str">
        <f>VLOOKUP(source[[#This Row],[lending_product_transform]],[3]Mapping!$B$3:$D$37,3,0)</f>
        <v>payday</v>
      </c>
      <c r="I165" s="135">
        <v>1495000000</v>
      </c>
      <c r="K165" s="179" t="s">
        <v>221</v>
      </c>
      <c r="L165" s="178">
        <v>0</v>
      </c>
      <c r="M165" s="178">
        <v>0</v>
      </c>
      <c r="N165" s="178">
        <v>0</v>
      </c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</row>
    <row r="166" spans="1:31" x14ac:dyDescent="0.2">
      <c r="A166" s="134">
        <v>45315</v>
      </c>
      <c r="B166" s="135">
        <f>YEAR(source[[#This Row],[report_date]])</f>
        <v>2024</v>
      </c>
      <c r="C166" s="136">
        <v>1</v>
      </c>
      <c r="D166" s="136">
        <f t="shared" si="16"/>
        <v>4</v>
      </c>
      <c r="E166" s="136">
        <f t="shared" si="17"/>
        <v>24</v>
      </c>
      <c r="F166" s="128" t="s">
        <v>67</v>
      </c>
      <c r="G166" s="128" t="str">
        <f>VLOOKUP(source[[#This Row],[lending_product_transform]],[3]Mapping!$B$4:$C$37,2,0)</f>
        <v>[Cake] - Overdraft</v>
      </c>
      <c r="H166" s="128" t="str">
        <f>VLOOKUP(source[[#This Row],[lending_product_transform]],[3]Mapping!$B$3:$D$37,3,0)</f>
        <v>overdraft</v>
      </c>
      <c r="I166" s="135">
        <v>2037683916</v>
      </c>
      <c r="K166" s="179" t="s">
        <v>222</v>
      </c>
      <c r="L166" s="178">
        <v>0</v>
      </c>
      <c r="M166" s="178">
        <v>0</v>
      </c>
      <c r="N166" s="178">
        <v>0</v>
      </c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</row>
    <row r="167" spans="1:31" x14ac:dyDescent="0.2">
      <c r="A167" s="134">
        <v>45315</v>
      </c>
      <c r="B167" s="135">
        <f>YEAR(source[[#This Row],[report_date]])</f>
        <v>2024</v>
      </c>
      <c r="C167" s="136">
        <v>1</v>
      </c>
      <c r="D167" s="136">
        <f t="shared" si="16"/>
        <v>4</v>
      </c>
      <c r="E167" s="136">
        <f t="shared" si="17"/>
        <v>24</v>
      </c>
      <c r="F167" s="128" t="s">
        <v>65</v>
      </c>
      <c r="G167" s="128" t="str">
        <f>VLOOKUP(source[[#This Row],[lending_product_transform]],[3]Mapping!$B$4:$C$37,2,0)</f>
        <v>[BE] - Cashloan</v>
      </c>
      <c r="H167" s="128" t="str">
        <f>VLOOKUP(source[[#This Row],[lending_product_transform]],[3]Mapping!$B$3:$D$37,3,0)</f>
        <v>cashloan</v>
      </c>
      <c r="I167" s="135">
        <v>210000000</v>
      </c>
      <c r="K167" s="179" t="s">
        <v>223</v>
      </c>
      <c r="L167" s="178">
        <v>0</v>
      </c>
      <c r="M167" s="178">
        <v>0</v>
      </c>
      <c r="N167" s="178">
        <v>0</v>
      </c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</row>
    <row r="168" spans="1:31" x14ac:dyDescent="0.2">
      <c r="A168" s="134">
        <v>45315</v>
      </c>
      <c r="B168" s="135">
        <f>YEAR(source[[#This Row],[report_date]])</f>
        <v>2024</v>
      </c>
      <c r="C168" s="136">
        <v>1</v>
      </c>
      <c r="D168" s="136">
        <f t="shared" si="16"/>
        <v>4</v>
      </c>
      <c r="E168" s="136">
        <f t="shared" si="17"/>
        <v>24</v>
      </c>
      <c r="F168" s="128" t="s">
        <v>56</v>
      </c>
      <c r="G168" s="128">
        <f>VLOOKUP(source[[#This Row],[lending_product_transform]],[3]Mapping!$B$4:$C$37,2,0)</f>
        <v>0</v>
      </c>
      <c r="H168" s="128">
        <f>VLOOKUP(source[[#This Row],[lending_product_transform]],[3]Mapping!$B$3:$D$37,3,0)</f>
        <v>0</v>
      </c>
      <c r="I168" s="135">
        <v>5942283916</v>
      </c>
      <c r="K168" s="179" t="s">
        <v>219</v>
      </c>
      <c r="L168" s="178">
        <v>224970000</v>
      </c>
      <c r="M168" s="178">
        <v>224970000</v>
      </c>
      <c r="N168" s="178">
        <v>224970000</v>
      </c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</row>
    <row r="169" spans="1:31" x14ac:dyDescent="0.2">
      <c r="A169" s="134">
        <v>45315</v>
      </c>
      <c r="B169" s="135">
        <f>YEAR(source[[#This Row],[report_date]])</f>
        <v>2024</v>
      </c>
      <c r="C169" s="136">
        <v>1</v>
      </c>
      <c r="D169" s="136">
        <f t="shared" si="16"/>
        <v>4</v>
      </c>
      <c r="E169" s="136">
        <f t="shared" si="17"/>
        <v>24</v>
      </c>
      <c r="F169" s="128" t="s">
        <v>61</v>
      </c>
      <c r="G169" s="128" t="str">
        <f>VLOOKUP(source[[#This Row],[lending_product_transform]],[3]Mapping!$B$4:$C$37,2,0)</f>
        <v>[VDS] - Payroll Payday</v>
      </c>
      <c r="H169" s="128" t="str">
        <f>VLOOKUP(source[[#This Row],[lending_product_transform]],[3]Mapping!$B$3:$D$37,3,0)</f>
        <v>payday</v>
      </c>
      <c r="I169" s="135">
        <v>7000000</v>
      </c>
      <c r="K169" s="179" t="s">
        <v>19</v>
      </c>
      <c r="L169" s="178">
        <v>322082136000</v>
      </c>
      <c r="M169" s="178">
        <v>322082136000</v>
      </c>
      <c r="N169" s="178">
        <v>322082136000</v>
      </c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</row>
    <row r="170" spans="1:31" x14ac:dyDescent="0.2">
      <c r="A170" s="134">
        <v>45315</v>
      </c>
      <c r="B170" s="135">
        <f>YEAR(source[[#This Row],[report_date]])</f>
        <v>2024</v>
      </c>
      <c r="C170" s="136">
        <v>1</v>
      </c>
      <c r="D170" s="136">
        <f t="shared" si="16"/>
        <v>4</v>
      </c>
      <c r="E170" s="136">
        <f t="shared" si="17"/>
        <v>24</v>
      </c>
      <c r="F170" s="128" t="s">
        <v>58</v>
      </c>
      <c r="G170" s="128" t="str">
        <f>VLOOKUP(source[[#This Row],[lending_product_transform]],[3]Mapping!$B$4:$C$37,2,0)</f>
        <v>[VDS] - Payroll Cashloan</v>
      </c>
      <c r="H170" s="128" t="str">
        <f>VLOOKUP(source[[#This Row],[lending_product_transform]],[3]Mapping!$B$3:$D$37,3,0)</f>
        <v>cashloan</v>
      </c>
      <c r="I170" s="135">
        <v>20000000</v>
      </c>
      <c r="K170" s="179" t="s">
        <v>62</v>
      </c>
      <c r="L170" s="178">
        <v>8979582270</v>
      </c>
      <c r="M170" s="178">
        <v>8979582270</v>
      </c>
      <c r="N170" s="178">
        <v>8979582270</v>
      </c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</row>
    <row r="171" spans="1:31" x14ac:dyDescent="0.2">
      <c r="A171" s="134">
        <v>45316</v>
      </c>
      <c r="B171" s="135">
        <f>YEAR(source[[#This Row],[report_date]])</f>
        <v>2024</v>
      </c>
      <c r="C171" s="136">
        <v>1</v>
      </c>
      <c r="D171" s="136">
        <f t="shared" si="16"/>
        <v>4</v>
      </c>
      <c r="E171" s="136">
        <f t="shared" si="17"/>
        <v>25</v>
      </c>
      <c r="F171" s="128" t="s">
        <v>56</v>
      </c>
      <c r="G171" s="128">
        <f>VLOOKUP(source[[#This Row],[lending_product_transform]],[3]Mapping!$B$4:$C$37,2,0)</f>
        <v>0</v>
      </c>
      <c r="H171" s="128">
        <f>VLOOKUP(source[[#This Row],[lending_product_transform]],[3]Mapping!$B$3:$D$37,3,0)</f>
        <v>0</v>
      </c>
      <c r="I171" s="135">
        <v>6330594134</v>
      </c>
      <c r="K171" s="179" t="s">
        <v>58</v>
      </c>
      <c r="L171" s="178">
        <v>1056500000</v>
      </c>
      <c r="M171" s="178">
        <v>1056500000</v>
      </c>
      <c r="N171" s="178">
        <v>1056500000</v>
      </c>
      <c r="O171" s="149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</row>
    <row r="172" spans="1:31" x14ac:dyDescent="0.2">
      <c r="A172" s="134">
        <v>45316</v>
      </c>
      <c r="B172" s="135">
        <f>YEAR(source[[#This Row],[report_date]])</f>
        <v>2024</v>
      </c>
      <c r="C172" s="136">
        <v>1</v>
      </c>
      <c r="D172" s="136">
        <f t="shared" si="16"/>
        <v>4</v>
      </c>
      <c r="E172" s="136">
        <f t="shared" si="17"/>
        <v>25</v>
      </c>
      <c r="F172" s="128" t="s">
        <v>65</v>
      </c>
      <c r="G172" s="128" t="str">
        <f>VLOOKUP(source[[#This Row],[lending_product_transform]],[3]Mapping!$B$4:$C$37,2,0)</f>
        <v>[BE] - Cashloan</v>
      </c>
      <c r="H172" s="128" t="str">
        <f>VLOOKUP(source[[#This Row],[lending_product_transform]],[3]Mapping!$B$3:$D$37,3,0)</f>
        <v>cashloan</v>
      </c>
      <c r="I172" s="135">
        <v>177500000</v>
      </c>
      <c r="K172" s="179" t="s">
        <v>61</v>
      </c>
      <c r="L172" s="178">
        <v>1211000000</v>
      </c>
      <c r="M172" s="178">
        <v>1211000000</v>
      </c>
      <c r="N172" s="178">
        <v>1211000000</v>
      </c>
      <c r="O172" s="149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</row>
    <row r="173" spans="1:31" x14ac:dyDescent="0.2">
      <c r="A173" s="134">
        <v>45316</v>
      </c>
      <c r="B173" s="135">
        <f>YEAR(source[[#This Row],[report_date]])</f>
        <v>2024</v>
      </c>
      <c r="C173" s="136">
        <v>1</v>
      </c>
      <c r="D173" s="136">
        <f t="shared" si="16"/>
        <v>4</v>
      </c>
      <c r="E173" s="136">
        <f t="shared" si="17"/>
        <v>25</v>
      </c>
      <c r="F173" s="128" t="s">
        <v>58</v>
      </c>
      <c r="G173" s="128" t="str">
        <f>VLOOKUP(source[[#This Row],[lending_product_transform]],[3]Mapping!$B$4:$C$37,2,0)</f>
        <v>[VDS] - Payroll Cashloan</v>
      </c>
      <c r="H173" s="128" t="str">
        <f>VLOOKUP(source[[#This Row],[lending_product_transform]],[3]Mapping!$B$3:$D$37,3,0)</f>
        <v>cashloan</v>
      </c>
      <c r="I173" s="135">
        <v>10500000</v>
      </c>
      <c r="K173" s="179" t="s">
        <v>57</v>
      </c>
      <c r="L173" s="178">
        <v>22246180000</v>
      </c>
      <c r="M173" s="178">
        <v>22246180000</v>
      </c>
      <c r="N173" s="178">
        <v>22246180000</v>
      </c>
      <c r="O173" s="149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</row>
    <row r="174" spans="1:31" x14ac:dyDescent="0.2">
      <c r="A174" s="134">
        <v>45316</v>
      </c>
      <c r="B174" s="135">
        <f>YEAR(source[[#This Row],[report_date]])</f>
        <v>2024</v>
      </c>
      <c r="C174" s="136">
        <v>1</v>
      </c>
      <c r="D174" s="136">
        <f t="shared" si="16"/>
        <v>4</v>
      </c>
      <c r="E174" s="136">
        <f t="shared" si="17"/>
        <v>25</v>
      </c>
      <c r="F174" s="128" t="s">
        <v>67</v>
      </c>
      <c r="G174" s="128" t="str">
        <f>VLOOKUP(source[[#This Row],[lending_product_transform]],[3]Mapping!$B$4:$C$37,2,0)</f>
        <v>[Cake] - Overdraft</v>
      </c>
      <c r="H174" s="128" t="str">
        <f>VLOOKUP(source[[#This Row],[lending_product_transform]],[3]Mapping!$B$3:$D$37,3,0)</f>
        <v>overdraft</v>
      </c>
      <c r="I174" s="135">
        <v>2235894134</v>
      </c>
      <c r="K174" s="179" t="s">
        <v>63</v>
      </c>
      <c r="L174" s="178">
        <v>6445440000</v>
      </c>
      <c r="M174" s="178">
        <v>6445440000</v>
      </c>
      <c r="N174" s="178">
        <v>6445440000</v>
      </c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</row>
    <row r="175" spans="1:31" x14ac:dyDescent="0.2">
      <c r="A175" s="134">
        <v>45316</v>
      </c>
      <c r="B175" s="135">
        <f>YEAR(source[[#This Row],[report_date]])</f>
        <v>2024</v>
      </c>
      <c r="C175" s="136">
        <v>1</v>
      </c>
      <c r="D175" s="136">
        <f t="shared" si="16"/>
        <v>4</v>
      </c>
      <c r="E175" s="136">
        <f t="shared" si="17"/>
        <v>25</v>
      </c>
      <c r="F175" s="128" t="s">
        <v>61</v>
      </c>
      <c r="G175" s="128" t="str">
        <f>VLOOKUP(source[[#This Row],[lending_product_transform]],[3]Mapping!$B$4:$C$37,2,0)</f>
        <v>[VDS] - Payroll Payday</v>
      </c>
      <c r="H175" s="128" t="str">
        <f>VLOOKUP(source[[#This Row],[lending_product_transform]],[3]Mapping!$B$3:$D$37,3,0)</f>
        <v>payday</v>
      </c>
      <c r="I175" s="135">
        <v>15000000</v>
      </c>
      <c r="K175" s="179" t="s">
        <v>59</v>
      </c>
      <c r="L175" s="178">
        <v>15864798918</v>
      </c>
      <c r="M175" s="178">
        <v>15864798918</v>
      </c>
      <c r="N175" s="178">
        <v>15864798918</v>
      </c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</row>
    <row r="176" spans="1:31" x14ac:dyDescent="0.2">
      <c r="A176" s="134">
        <v>45316</v>
      </c>
      <c r="B176" s="135">
        <f>YEAR(source[[#This Row],[report_date]])</f>
        <v>2024</v>
      </c>
      <c r="C176" s="136">
        <v>1</v>
      </c>
      <c r="D176" s="136">
        <f t="shared" si="16"/>
        <v>4</v>
      </c>
      <c r="E176" s="136">
        <f t="shared" si="17"/>
        <v>25</v>
      </c>
      <c r="F176" s="128" t="s">
        <v>19</v>
      </c>
      <c r="G176" s="128" t="str">
        <f>VLOOKUP(source[[#This Row],[lending_product_transform]],[3]Mapping!$B$4:$C$37,2,0)</f>
        <v>[VDS] - Payday</v>
      </c>
      <c r="H176" s="128" t="str">
        <f>VLOOKUP(source[[#This Row],[lending_product_transform]],[3]Mapping!$B$3:$D$37,3,0)</f>
        <v>payday</v>
      </c>
      <c r="I176" s="135">
        <v>1372000000</v>
      </c>
      <c r="K176" s="179" t="s">
        <v>31</v>
      </c>
      <c r="L176" s="178">
        <v>126424860000</v>
      </c>
      <c r="M176" s="178">
        <v>126424860000</v>
      </c>
      <c r="N176" s="178">
        <v>126424860000</v>
      </c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</row>
    <row r="177" spans="1:34" x14ac:dyDescent="0.2">
      <c r="A177" s="134">
        <v>45316</v>
      </c>
      <c r="B177" s="135">
        <f>YEAR(source[[#This Row],[report_date]])</f>
        <v>2024</v>
      </c>
      <c r="C177" s="136">
        <v>1</v>
      </c>
      <c r="D177" s="136">
        <f t="shared" si="16"/>
        <v>4</v>
      </c>
      <c r="E177" s="136">
        <f t="shared" si="17"/>
        <v>25</v>
      </c>
      <c r="F177" s="128" t="s">
        <v>11</v>
      </c>
      <c r="G177" s="128" t="str">
        <f>VLOOKUP(source[[#This Row],[lending_product_transform]],[3]Mapping!$B$4:$C$37,2,0)</f>
        <v>[VDS] - Cashloan</v>
      </c>
      <c r="H177" s="128" t="str">
        <f>VLOOKUP(source[[#This Row],[lending_product_transform]],[3]Mapping!$B$3:$D$37,3,0)</f>
        <v>cashloan</v>
      </c>
      <c r="I177" s="135">
        <v>2519700000</v>
      </c>
      <c r="K177" s="180" t="s">
        <v>68</v>
      </c>
      <c r="L177" s="174">
        <v>1971790261000</v>
      </c>
      <c r="M177" s="174">
        <v>1971790261000</v>
      </c>
      <c r="N177" s="174">
        <v>1971790261000</v>
      </c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</row>
    <row r="178" spans="1:34" x14ac:dyDescent="0.2">
      <c r="A178" s="134">
        <v>45317</v>
      </c>
      <c r="B178" s="135">
        <f>YEAR(source[[#This Row],[report_date]])</f>
        <v>2024</v>
      </c>
      <c r="C178" s="136">
        <v>1</v>
      </c>
      <c r="D178" s="136">
        <f t="shared" si="16"/>
        <v>4</v>
      </c>
      <c r="E178" s="136">
        <f t="shared" si="17"/>
        <v>26</v>
      </c>
      <c r="F178" s="128" t="s">
        <v>67</v>
      </c>
      <c r="G178" s="128" t="str">
        <f>VLOOKUP(source[[#This Row],[lending_product_transform]],[3]Mapping!$B$4:$C$37,2,0)</f>
        <v>[Cake] - Overdraft</v>
      </c>
      <c r="H178" s="128" t="str">
        <f>VLOOKUP(source[[#This Row],[lending_product_transform]],[3]Mapping!$B$3:$D$37,3,0)</f>
        <v>overdraft</v>
      </c>
      <c r="I178" s="135">
        <v>1865227312</v>
      </c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</row>
    <row r="179" spans="1:34" x14ac:dyDescent="0.2">
      <c r="A179" s="134">
        <v>45317</v>
      </c>
      <c r="B179" s="135">
        <f>YEAR(source[[#This Row],[report_date]])</f>
        <v>2024</v>
      </c>
      <c r="C179" s="136">
        <v>1</v>
      </c>
      <c r="D179" s="136">
        <f t="shared" si="16"/>
        <v>4</v>
      </c>
      <c r="E179" s="136">
        <f t="shared" si="17"/>
        <v>26</v>
      </c>
      <c r="F179" s="128" t="s">
        <v>61</v>
      </c>
      <c r="G179" s="128" t="str">
        <f>VLOOKUP(source[[#This Row],[lending_product_transform]],[3]Mapping!$B$4:$C$37,2,0)</f>
        <v>[VDS] - Payroll Payday</v>
      </c>
      <c r="H179" s="128" t="str">
        <f>VLOOKUP(source[[#This Row],[lending_product_transform]],[3]Mapping!$B$3:$D$37,3,0)</f>
        <v>payday</v>
      </c>
      <c r="I179" s="135">
        <v>2000000</v>
      </c>
    </row>
    <row r="180" spans="1:34" x14ac:dyDescent="0.2">
      <c r="A180" s="134">
        <v>45317</v>
      </c>
      <c r="B180" s="135">
        <f>YEAR(source[[#This Row],[report_date]])</f>
        <v>2024</v>
      </c>
      <c r="C180" s="136">
        <v>1</v>
      </c>
      <c r="D180" s="136">
        <f t="shared" si="16"/>
        <v>4</v>
      </c>
      <c r="E180" s="136">
        <f t="shared" si="17"/>
        <v>26</v>
      </c>
      <c r="F180" s="128" t="s">
        <v>65</v>
      </c>
      <c r="G180" s="128" t="str">
        <f>VLOOKUP(source[[#This Row],[lending_product_transform]],[3]Mapping!$B$4:$C$37,2,0)</f>
        <v>[BE] - Cashloan</v>
      </c>
      <c r="H180" s="128" t="str">
        <f>VLOOKUP(source[[#This Row],[lending_product_transform]],[3]Mapping!$B$3:$D$37,3,0)</f>
        <v>cashloan</v>
      </c>
      <c r="I180" s="135">
        <v>231000000</v>
      </c>
      <c r="K180" s="137"/>
      <c r="L180" s="137"/>
    </row>
    <row r="181" spans="1:34" x14ac:dyDescent="0.2">
      <c r="A181" s="134">
        <v>45317</v>
      </c>
      <c r="B181" s="135">
        <f>YEAR(source[[#This Row],[report_date]])</f>
        <v>2024</v>
      </c>
      <c r="C181" s="136">
        <v>1</v>
      </c>
      <c r="D181" s="136">
        <f t="shared" si="16"/>
        <v>4</v>
      </c>
      <c r="E181" s="136">
        <f t="shared" si="17"/>
        <v>26</v>
      </c>
      <c r="F181" s="128" t="s">
        <v>19</v>
      </c>
      <c r="G181" s="128" t="str">
        <f>VLOOKUP(source[[#This Row],[lending_product_transform]],[3]Mapping!$B$4:$C$37,2,0)</f>
        <v>[VDS] - Payday</v>
      </c>
      <c r="H181" s="128" t="str">
        <f>VLOOKUP(source[[#This Row],[lending_product_transform]],[3]Mapping!$B$3:$D$37,3,0)</f>
        <v>payday</v>
      </c>
      <c r="I181" s="135">
        <v>1371500000</v>
      </c>
      <c r="K181" s="177" t="s">
        <v>54</v>
      </c>
      <c r="L181" s="61" t="s">
        <v>224</v>
      </c>
    </row>
    <row r="182" spans="1:34" x14ac:dyDescent="0.2">
      <c r="A182" s="134">
        <v>45317</v>
      </c>
      <c r="B182" s="135">
        <f>YEAR(source[[#This Row],[report_date]])</f>
        <v>2024</v>
      </c>
      <c r="C182" s="136">
        <v>1</v>
      </c>
      <c r="D182" s="136">
        <f t="shared" si="16"/>
        <v>4</v>
      </c>
      <c r="E182" s="136">
        <f t="shared" si="17"/>
        <v>26</v>
      </c>
      <c r="F182" s="128" t="s">
        <v>58</v>
      </c>
      <c r="G182" s="128" t="str">
        <f>VLOOKUP(source[[#This Row],[lending_product_transform]],[3]Mapping!$B$4:$C$37,2,0)</f>
        <v>[VDS] - Payroll Cashloan</v>
      </c>
      <c r="H182" s="128" t="str">
        <f>VLOOKUP(source[[#This Row],[lending_product_transform]],[3]Mapping!$B$3:$D$37,3,0)</f>
        <v>cashloan</v>
      </c>
      <c r="I182" s="135">
        <v>44100000</v>
      </c>
      <c r="K182" s="181" t="s">
        <v>194</v>
      </c>
      <c r="L182" s="182">
        <v>2025</v>
      </c>
    </row>
    <row r="183" spans="1:34" x14ac:dyDescent="0.2">
      <c r="A183" s="134">
        <v>45317</v>
      </c>
      <c r="B183" s="135">
        <f>YEAR(source[[#This Row],[report_date]])</f>
        <v>2024</v>
      </c>
      <c r="C183" s="136">
        <v>1</v>
      </c>
      <c r="D183" s="136">
        <f t="shared" si="16"/>
        <v>4</v>
      </c>
      <c r="E183" s="136">
        <f t="shared" si="17"/>
        <v>26</v>
      </c>
      <c r="F183" s="128" t="s">
        <v>11</v>
      </c>
      <c r="G183" s="128" t="str">
        <f>VLOOKUP(source[[#This Row],[lending_product_transform]],[3]Mapping!$B$4:$C$37,2,0)</f>
        <v>[VDS] - Cashloan</v>
      </c>
      <c r="H183" s="128" t="str">
        <f>VLOOKUP(source[[#This Row],[lending_product_transform]],[3]Mapping!$B$3:$D$37,3,0)</f>
        <v>cashloan</v>
      </c>
      <c r="I183" s="135">
        <v>1924200000</v>
      </c>
      <c r="K183" s="175" t="s">
        <v>199</v>
      </c>
      <c r="L183" s="61" t="s">
        <v>220</v>
      </c>
      <c r="M183" s="137"/>
      <c r="N183" s="137"/>
    </row>
    <row r="184" spans="1:34" x14ac:dyDescent="0.2">
      <c r="A184" s="134">
        <v>45317</v>
      </c>
      <c r="B184" s="135">
        <f>YEAR(source[[#This Row],[report_date]])</f>
        <v>2024</v>
      </c>
      <c r="C184" s="136">
        <v>1</v>
      </c>
      <c r="D184" s="136">
        <f t="shared" si="16"/>
        <v>4</v>
      </c>
      <c r="E184" s="136">
        <f t="shared" si="17"/>
        <v>26</v>
      </c>
      <c r="F184" s="128" t="s">
        <v>56</v>
      </c>
      <c r="G184" s="128">
        <f>VLOOKUP(source[[#This Row],[lending_product_transform]],[3]Mapping!$B$4:$C$37,2,0)</f>
        <v>0</v>
      </c>
      <c r="H184" s="128">
        <f>VLOOKUP(source[[#This Row],[lending_product_transform]],[3]Mapping!$B$3:$D$37,3,0)</f>
        <v>0</v>
      </c>
      <c r="I184" s="135">
        <v>5438027312</v>
      </c>
      <c r="K184" s="137"/>
      <c r="L184" s="137"/>
      <c r="M184" s="137"/>
      <c r="N184" s="137"/>
    </row>
    <row r="185" spans="1:34" x14ac:dyDescent="0.2">
      <c r="A185" s="134">
        <v>45318</v>
      </c>
      <c r="B185" s="135">
        <f>YEAR(source[[#This Row],[report_date]])</f>
        <v>2024</v>
      </c>
      <c r="C185" s="136">
        <v>1</v>
      </c>
      <c r="D185" s="136">
        <f t="shared" si="16"/>
        <v>4</v>
      </c>
      <c r="E185" s="136">
        <f t="shared" si="17"/>
        <v>27</v>
      </c>
      <c r="F185" s="128" t="s">
        <v>56</v>
      </c>
      <c r="G185" s="128">
        <f>VLOOKUP(source[[#This Row],[lending_product_transform]],[3]Mapping!$B$4:$C$37,2,0)</f>
        <v>0</v>
      </c>
      <c r="H185" s="128">
        <f>VLOOKUP(source[[#This Row],[lending_product_transform]],[3]Mapping!$B$3:$D$37,3,0)</f>
        <v>0</v>
      </c>
      <c r="I185" s="135">
        <v>4868990983</v>
      </c>
      <c r="K185" s="177" t="s">
        <v>69</v>
      </c>
      <c r="L185" s="177" t="s">
        <v>202</v>
      </c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77"/>
      <c r="AD185" s="177"/>
      <c r="AE185" s="177"/>
      <c r="AF185" s="177"/>
      <c r="AG185" s="177"/>
      <c r="AH185" s="177"/>
    </row>
    <row r="186" spans="1:34" x14ac:dyDescent="0.2">
      <c r="A186" s="134">
        <v>45318</v>
      </c>
      <c r="B186" s="135">
        <f>YEAR(source[[#This Row],[report_date]])</f>
        <v>2024</v>
      </c>
      <c r="C186" s="136">
        <v>1</v>
      </c>
      <c r="D186" s="136">
        <f t="shared" si="16"/>
        <v>4</v>
      </c>
      <c r="E186" s="136">
        <f t="shared" si="17"/>
        <v>27</v>
      </c>
      <c r="F186" s="128" t="s">
        <v>67</v>
      </c>
      <c r="G186" s="128" t="str">
        <f>VLOOKUP(source[[#This Row],[lending_product_transform]],[3]Mapping!$B$4:$C$37,2,0)</f>
        <v>[Cake] - Overdraft</v>
      </c>
      <c r="H186" s="128" t="str">
        <f>VLOOKUP(source[[#This Row],[lending_product_transform]],[3]Mapping!$B$3:$D$37,3,0)</f>
        <v>overdraft</v>
      </c>
      <c r="I186" s="135">
        <v>1483440983</v>
      </c>
      <c r="K186" s="177" t="s">
        <v>205</v>
      </c>
      <c r="L186" s="178">
        <v>27</v>
      </c>
      <c r="M186" s="178">
        <v>28</v>
      </c>
      <c r="N186" s="178">
        <v>29</v>
      </c>
      <c r="O186" s="178">
        <v>30</v>
      </c>
      <c r="P186" s="178">
        <v>31</v>
      </c>
      <c r="Q186" s="178">
        <v>32</v>
      </c>
      <c r="R186" s="178">
        <v>33</v>
      </c>
      <c r="S186" s="178">
        <v>34</v>
      </c>
      <c r="T186" s="178">
        <v>35</v>
      </c>
      <c r="U186" s="183">
        <v>36</v>
      </c>
      <c r="V186" s="183">
        <v>37</v>
      </c>
      <c r="W186" s="183">
        <v>38</v>
      </c>
      <c r="X186" s="183">
        <v>39</v>
      </c>
      <c r="Y186" s="183">
        <v>40</v>
      </c>
      <c r="Z186" s="178">
        <v>41</v>
      </c>
      <c r="AA186" s="178">
        <v>42</v>
      </c>
      <c r="AB186" s="178">
        <v>43</v>
      </c>
      <c r="AC186" s="178">
        <v>44</v>
      </c>
      <c r="AD186" s="178">
        <v>45</v>
      </c>
      <c r="AE186" s="178">
        <v>46</v>
      </c>
      <c r="AF186" s="178">
        <v>47</v>
      </c>
      <c r="AG186" s="178">
        <v>48</v>
      </c>
      <c r="AH186" s="174" t="s">
        <v>68</v>
      </c>
    </row>
    <row r="187" spans="1:34" x14ac:dyDescent="0.2">
      <c r="A187" s="134">
        <v>45318</v>
      </c>
      <c r="B187" s="135">
        <f>YEAR(source[[#This Row],[report_date]])</f>
        <v>2024</v>
      </c>
      <c r="C187" s="136">
        <v>1</v>
      </c>
      <c r="D187" s="136">
        <f t="shared" si="16"/>
        <v>4</v>
      </c>
      <c r="E187" s="136">
        <f t="shared" si="17"/>
        <v>27</v>
      </c>
      <c r="F187" s="128" t="s">
        <v>11</v>
      </c>
      <c r="G187" s="128" t="str">
        <f>VLOOKUP(source[[#This Row],[lending_product_transform]],[3]Mapping!$B$4:$C$37,2,0)</f>
        <v>[VDS] - Cashloan</v>
      </c>
      <c r="H187" s="128" t="str">
        <f>VLOOKUP(source[[#This Row],[lending_product_transform]],[3]Mapping!$B$3:$D$37,3,0)</f>
        <v>cashloan</v>
      </c>
      <c r="I187" s="135">
        <v>1944050000</v>
      </c>
      <c r="K187" s="176">
        <v>7</v>
      </c>
      <c r="L187" s="178">
        <v>9486331000</v>
      </c>
      <c r="M187" s="178">
        <v>16211952660</v>
      </c>
      <c r="N187" s="178">
        <v>14459774298</v>
      </c>
      <c r="O187" s="178">
        <v>12850891750</v>
      </c>
      <c r="P187" s="178">
        <v>8263300000</v>
      </c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78">
        <v>61272249708</v>
      </c>
    </row>
    <row r="188" spans="1:34" x14ac:dyDescent="0.2">
      <c r="A188" s="134">
        <v>45318</v>
      </c>
      <c r="B188" s="135">
        <f>YEAR(source[[#This Row],[report_date]])</f>
        <v>2024</v>
      </c>
      <c r="C188" s="136">
        <v>1</v>
      </c>
      <c r="D188" s="136">
        <f t="shared" si="16"/>
        <v>4</v>
      </c>
      <c r="E188" s="136">
        <f t="shared" si="17"/>
        <v>27</v>
      </c>
      <c r="F188" s="128" t="s">
        <v>65</v>
      </c>
      <c r="G188" s="128" t="str">
        <f>VLOOKUP(source[[#This Row],[lending_product_transform]],[3]Mapping!$B$4:$C$37,2,0)</f>
        <v>[BE] - Cashloan</v>
      </c>
      <c r="H188" s="128" t="str">
        <f>VLOOKUP(source[[#This Row],[lending_product_transform]],[3]Mapping!$B$3:$D$37,3,0)</f>
        <v>cashloan</v>
      </c>
      <c r="I188" s="135">
        <v>168000000</v>
      </c>
      <c r="K188" s="176">
        <v>8</v>
      </c>
      <c r="L188" s="178"/>
      <c r="M188" s="178"/>
      <c r="N188" s="178"/>
      <c r="O188" s="178"/>
      <c r="P188" s="178">
        <v>7513187700</v>
      </c>
      <c r="Q188" s="178">
        <v>18670113800</v>
      </c>
      <c r="R188" s="178">
        <v>18016927000</v>
      </c>
      <c r="S188" s="178">
        <v>16408507150</v>
      </c>
      <c r="T188" s="178">
        <v>15540147000</v>
      </c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78">
        <v>76148882650</v>
      </c>
    </row>
    <row r="189" spans="1:34" x14ac:dyDescent="0.2">
      <c r="A189" s="134">
        <v>45318</v>
      </c>
      <c r="B189" s="135">
        <f>YEAR(source[[#This Row],[report_date]])</f>
        <v>2024</v>
      </c>
      <c r="C189" s="136">
        <v>1</v>
      </c>
      <c r="D189" s="136">
        <f t="shared" si="16"/>
        <v>4</v>
      </c>
      <c r="E189" s="136">
        <f t="shared" si="17"/>
        <v>27</v>
      </c>
      <c r="F189" s="128" t="s">
        <v>19</v>
      </c>
      <c r="G189" s="128" t="str">
        <f>VLOOKUP(source[[#This Row],[lending_product_transform]],[3]Mapping!$B$4:$C$37,2,0)</f>
        <v>[VDS] - Payday</v>
      </c>
      <c r="H189" s="128" t="str">
        <f>VLOOKUP(source[[#This Row],[lending_product_transform]],[3]Mapping!$B$3:$D$37,3,0)</f>
        <v>payday</v>
      </c>
      <c r="I189" s="135">
        <v>1273500000</v>
      </c>
      <c r="K189" s="176">
        <v>9</v>
      </c>
      <c r="L189" s="178"/>
      <c r="M189" s="178"/>
      <c r="N189" s="178"/>
      <c r="O189" s="178"/>
      <c r="P189" s="178"/>
      <c r="Q189" s="178"/>
      <c r="R189" s="178"/>
      <c r="S189" s="178"/>
      <c r="T189" s="178"/>
      <c r="U189" s="178">
        <v>20491410949</v>
      </c>
      <c r="V189" s="178">
        <v>30773997650</v>
      </c>
      <c r="W189" s="178">
        <v>29313210225</v>
      </c>
      <c r="X189" s="178">
        <v>25026009000</v>
      </c>
      <c r="Y189" s="178">
        <v>7988987090</v>
      </c>
      <c r="Z189" s="178"/>
      <c r="AA189" s="178"/>
      <c r="AB189" s="178"/>
      <c r="AC189" s="178"/>
      <c r="AD189" s="178"/>
      <c r="AE189" s="178"/>
      <c r="AF189" s="178"/>
      <c r="AG189" s="178"/>
      <c r="AH189" s="178">
        <v>113593614914</v>
      </c>
    </row>
    <row r="190" spans="1:34" x14ac:dyDescent="0.2">
      <c r="A190" s="134">
        <v>45318</v>
      </c>
      <c r="B190" s="135">
        <f>YEAR(source[[#This Row],[report_date]])</f>
        <v>2024</v>
      </c>
      <c r="C190" s="136">
        <v>1</v>
      </c>
      <c r="D190" s="136">
        <f t="shared" si="16"/>
        <v>4</v>
      </c>
      <c r="E190" s="136">
        <f t="shared" si="17"/>
        <v>27</v>
      </c>
      <c r="F190" s="128" t="s">
        <v>61</v>
      </c>
      <c r="G190" s="128" t="str">
        <f>VLOOKUP(source[[#This Row],[lending_product_transform]],[3]Mapping!$B$4:$C$37,2,0)</f>
        <v>[VDS] - Payroll Payday</v>
      </c>
      <c r="H190" s="128" t="str">
        <f>VLOOKUP(source[[#This Row],[lending_product_transform]],[3]Mapping!$B$3:$D$37,3,0)</f>
        <v>payday</v>
      </c>
      <c r="I190" s="135">
        <v>0</v>
      </c>
      <c r="K190" s="176">
        <v>10</v>
      </c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>
        <v>19787194000</v>
      </c>
      <c r="Z190" s="178">
        <v>29027883650</v>
      </c>
      <c r="AA190" s="178">
        <v>27873404985</v>
      </c>
      <c r="AB190" s="178">
        <v>22605487289</v>
      </c>
      <c r="AC190" s="178">
        <v>13605585662</v>
      </c>
      <c r="AD190" s="178"/>
      <c r="AE190" s="178"/>
      <c r="AF190" s="178"/>
      <c r="AG190" s="178"/>
      <c r="AH190" s="178">
        <v>112899555586</v>
      </c>
    </row>
    <row r="191" spans="1:34" x14ac:dyDescent="0.2">
      <c r="A191" s="134">
        <v>45318</v>
      </c>
      <c r="B191" s="135">
        <f>YEAR(source[[#This Row],[report_date]])</f>
        <v>2024</v>
      </c>
      <c r="C191" s="136">
        <v>1</v>
      </c>
      <c r="D191" s="136">
        <f t="shared" si="16"/>
        <v>4</v>
      </c>
      <c r="E191" s="136">
        <f t="shared" si="17"/>
        <v>27</v>
      </c>
      <c r="F191" s="128" t="s">
        <v>58</v>
      </c>
      <c r="G191" s="128" t="str">
        <f>VLOOKUP(source[[#This Row],[lending_product_transform]],[3]Mapping!$B$4:$C$37,2,0)</f>
        <v>[VDS] - Payroll Cashloan</v>
      </c>
      <c r="H191" s="128" t="str">
        <f>VLOOKUP(source[[#This Row],[lending_product_transform]],[3]Mapping!$B$3:$D$37,3,0)</f>
        <v>cashloan</v>
      </c>
      <c r="I191" s="135">
        <v>0</v>
      </c>
      <c r="K191" s="176">
        <v>11</v>
      </c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>
        <v>6596330416</v>
      </c>
      <c r="AD191" s="178">
        <v>32223103257</v>
      </c>
      <c r="AE191" s="178">
        <v>34251209957</v>
      </c>
      <c r="AF191" s="178">
        <v>28639019716</v>
      </c>
      <c r="AG191" s="178">
        <v>28163951108</v>
      </c>
      <c r="AH191" s="178">
        <v>129873614454</v>
      </c>
    </row>
    <row r="192" spans="1:34" x14ac:dyDescent="0.2">
      <c r="A192" s="134">
        <v>45319</v>
      </c>
      <c r="B192" s="135">
        <f>YEAR(source[[#This Row],[report_date]])</f>
        <v>2024</v>
      </c>
      <c r="C192" s="136">
        <v>1</v>
      </c>
      <c r="D192" s="136">
        <f t="shared" si="16"/>
        <v>4</v>
      </c>
      <c r="E192" s="136">
        <f t="shared" si="17"/>
        <v>28</v>
      </c>
      <c r="F192" s="128" t="s">
        <v>11</v>
      </c>
      <c r="G192" s="128" t="str">
        <f>VLOOKUP(source[[#This Row],[lending_product_transform]],[3]Mapping!$B$4:$C$37,2,0)</f>
        <v>[VDS] - Cashloan</v>
      </c>
      <c r="H192" s="128" t="str">
        <f>VLOOKUP(source[[#This Row],[lending_product_transform]],[3]Mapping!$B$3:$D$37,3,0)</f>
        <v>cashloan</v>
      </c>
      <c r="I192" s="135">
        <v>2036200000</v>
      </c>
      <c r="K192" s="182" t="s">
        <v>68</v>
      </c>
      <c r="L192" s="174">
        <v>9486331000</v>
      </c>
      <c r="M192" s="174">
        <v>16211952660</v>
      </c>
      <c r="N192" s="174">
        <v>14459774298</v>
      </c>
      <c r="O192" s="174">
        <v>12850891750</v>
      </c>
      <c r="P192" s="174">
        <v>15776487700</v>
      </c>
      <c r="Q192" s="174">
        <v>18670113800</v>
      </c>
      <c r="R192" s="174">
        <v>18016927000</v>
      </c>
      <c r="S192" s="174">
        <v>16408507150</v>
      </c>
      <c r="T192" s="174">
        <v>15540147000</v>
      </c>
      <c r="U192" s="174">
        <v>20491410949</v>
      </c>
      <c r="V192" s="174">
        <v>30773997650</v>
      </c>
      <c r="W192" s="174">
        <v>29313210225</v>
      </c>
      <c r="X192" s="174">
        <v>25026009000</v>
      </c>
      <c r="Y192" s="174">
        <v>27776181090</v>
      </c>
      <c r="Z192" s="174">
        <v>29027883650</v>
      </c>
      <c r="AA192" s="174">
        <v>27873404985</v>
      </c>
      <c r="AB192" s="174">
        <v>22605487289</v>
      </c>
      <c r="AC192" s="174">
        <v>20201916078</v>
      </c>
      <c r="AD192" s="174">
        <v>32223103257</v>
      </c>
      <c r="AE192" s="174">
        <v>34251209957</v>
      </c>
      <c r="AF192" s="174">
        <v>28639019716</v>
      </c>
      <c r="AG192" s="174">
        <v>28163951108</v>
      </c>
      <c r="AH192" s="174">
        <v>493787917312</v>
      </c>
    </row>
    <row r="193" spans="1:29" x14ac:dyDescent="0.2">
      <c r="A193" s="134">
        <v>45319</v>
      </c>
      <c r="B193" s="135">
        <f>YEAR(source[[#This Row],[report_date]])</f>
        <v>2024</v>
      </c>
      <c r="C193" s="136">
        <v>1</v>
      </c>
      <c r="D193" s="136">
        <f t="shared" si="16"/>
        <v>4</v>
      </c>
      <c r="E193" s="136">
        <f t="shared" si="17"/>
        <v>28</v>
      </c>
      <c r="F193" s="128" t="s">
        <v>58</v>
      </c>
      <c r="G193" s="128" t="str">
        <f>VLOOKUP(source[[#This Row],[lending_product_transform]],[3]Mapping!$B$4:$C$37,2,0)</f>
        <v>[VDS] - Payroll Cashloan</v>
      </c>
      <c r="H193" s="128" t="str">
        <f>VLOOKUP(source[[#This Row],[lending_product_transform]],[3]Mapping!$B$3:$D$37,3,0)</f>
        <v>cashloan</v>
      </c>
      <c r="I193" s="135">
        <v>0</v>
      </c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</row>
    <row r="194" spans="1:29" x14ac:dyDescent="0.2">
      <c r="A194" s="134">
        <v>45319</v>
      </c>
      <c r="B194" s="135">
        <f>YEAR(source[[#This Row],[report_date]])</f>
        <v>2024</v>
      </c>
      <c r="C194" s="136">
        <v>1</v>
      </c>
      <c r="D194" s="136">
        <f t="shared" si="16"/>
        <v>4</v>
      </c>
      <c r="E194" s="136">
        <f t="shared" si="17"/>
        <v>28</v>
      </c>
      <c r="F194" s="128" t="s">
        <v>65</v>
      </c>
      <c r="G194" s="128" t="str">
        <f>VLOOKUP(source[[#This Row],[lending_product_transform]],[3]Mapping!$B$4:$C$37,2,0)</f>
        <v>[BE] - Cashloan</v>
      </c>
      <c r="H194" s="128" t="str">
        <f>VLOOKUP(source[[#This Row],[lending_product_transform]],[3]Mapping!$B$3:$D$37,3,0)</f>
        <v>cashloan</v>
      </c>
      <c r="I194" s="135">
        <v>296100000</v>
      </c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</row>
    <row r="195" spans="1:29" x14ac:dyDescent="0.2">
      <c r="A195" s="134">
        <v>45319</v>
      </c>
      <c r="B195" s="135">
        <f>YEAR(source[[#This Row],[report_date]])</f>
        <v>2024</v>
      </c>
      <c r="C195" s="136">
        <v>1</v>
      </c>
      <c r="D195" s="136">
        <f t="shared" ref="D195:D258" si="28">WEEKNUM(A195,2)</f>
        <v>4</v>
      </c>
      <c r="E195" s="136">
        <f t="shared" ref="E195:E258" si="29">DAY(A195)</f>
        <v>28</v>
      </c>
      <c r="F195" s="128" t="s">
        <v>67</v>
      </c>
      <c r="G195" s="128" t="str">
        <f>VLOOKUP(source[[#This Row],[lending_product_transform]],[3]Mapping!$B$4:$C$37,2,0)</f>
        <v>[Cake] - Overdraft</v>
      </c>
      <c r="H195" s="128" t="str">
        <f>VLOOKUP(source[[#This Row],[lending_product_transform]],[3]Mapping!$B$3:$D$37,3,0)</f>
        <v>overdraft</v>
      </c>
      <c r="I195" s="135">
        <v>1910275185</v>
      </c>
      <c r="K195" s="137"/>
      <c r="L195" s="137"/>
      <c r="M195" s="137"/>
      <c r="N195" s="137"/>
      <c r="O195" s="137"/>
      <c r="P195" s="143">
        <f>P188/3</f>
        <v>2504395900</v>
      </c>
      <c r="Q195" s="143">
        <f>Q192/7</f>
        <v>2667159114.2857141</v>
      </c>
      <c r="R195" s="143">
        <f>R192/7</f>
        <v>2573846714.2857141</v>
      </c>
      <c r="S195" s="143">
        <f>S192/7</f>
        <v>2344072450</v>
      </c>
      <c r="T195" s="143">
        <f>T192/7</f>
        <v>2220021000</v>
      </c>
      <c r="U195" s="137"/>
      <c r="V195" s="137"/>
      <c r="W195" s="137"/>
      <c r="X195" s="137"/>
      <c r="Y195" s="137"/>
      <c r="Z195" s="137"/>
      <c r="AA195" s="137"/>
      <c r="AB195" s="137"/>
      <c r="AC195" s="137"/>
    </row>
    <row r="196" spans="1:29" x14ac:dyDescent="0.2">
      <c r="A196" s="134">
        <v>45319</v>
      </c>
      <c r="B196" s="135">
        <f>YEAR(source[[#This Row],[report_date]])</f>
        <v>2024</v>
      </c>
      <c r="C196" s="136">
        <v>1</v>
      </c>
      <c r="D196" s="136">
        <f t="shared" si="28"/>
        <v>4</v>
      </c>
      <c r="E196" s="136">
        <f t="shared" si="29"/>
        <v>28</v>
      </c>
      <c r="F196" s="128" t="s">
        <v>19</v>
      </c>
      <c r="G196" s="128" t="str">
        <f>VLOOKUP(source[[#This Row],[lending_product_transform]],[3]Mapping!$B$4:$C$37,2,0)</f>
        <v>[VDS] - Payday</v>
      </c>
      <c r="H196" s="128" t="str">
        <f>VLOOKUP(source[[#This Row],[lending_product_transform]],[3]Mapping!$B$3:$D$37,3,0)</f>
        <v>payday</v>
      </c>
      <c r="I196" s="135">
        <v>1140000000</v>
      </c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43">
        <f>U192/7</f>
        <v>2927344421.2857141</v>
      </c>
      <c r="V196" s="143">
        <f>V192/7</f>
        <v>4396285378.5714283</v>
      </c>
      <c r="W196" s="143">
        <f>W192/7</f>
        <v>4187601460.7142859</v>
      </c>
      <c r="X196" s="143">
        <f>X192/7</f>
        <v>3575144142.8571429</v>
      </c>
      <c r="Y196" s="143">
        <f>Y189/2</f>
        <v>3994493545</v>
      </c>
      <c r="Z196" s="137"/>
      <c r="AA196" s="137"/>
      <c r="AB196" s="137"/>
      <c r="AC196" s="137"/>
    </row>
    <row r="197" spans="1:29" x14ac:dyDescent="0.2">
      <c r="A197" s="134">
        <v>45319</v>
      </c>
      <c r="B197" s="135">
        <f>YEAR(source[[#This Row],[report_date]])</f>
        <v>2024</v>
      </c>
      <c r="C197" s="136">
        <v>1</v>
      </c>
      <c r="D197" s="136">
        <f t="shared" si="28"/>
        <v>4</v>
      </c>
      <c r="E197" s="136">
        <f t="shared" si="29"/>
        <v>28</v>
      </c>
      <c r="F197" s="128" t="s">
        <v>56</v>
      </c>
      <c r="G197" s="128">
        <f>VLOOKUP(source[[#This Row],[lending_product_transform]],[3]Mapping!$B$4:$C$37,2,0)</f>
        <v>0</v>
      </c>
      <c r="H197" s="128">
        <f>VLOOKUP(source[[#This Row],[lending_product_transform]],[3]Mapping!$B$3:$D$37,3,0)</f>
        <v>0</v>
      </c>
      <c r="I197" s="135">
        <v>5382575185</v>
      </c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43">
        <f>Y190/5</f>
        <v>3957438800</v>
      </c>
      <c r="Z197" s="143">
        <f>Z192/7</f>
        <v>4146840521.4285712</v>
      </c>
      <c r="AA197" s="143">
        <f>AA192/7</f>
        <v>3981914997.8571429</v>
      </c>
      <c r="AB197" s="143">
        <f>AB192/7</f>
        <v>3229355327</v>
      </c>
      <c r="AC197" s="143">
        <f>AC192/7</f>
        <v>2885988011.1428571</v>
      </c>
    </row>
    <row r="198" spans="1:29" x14ac:dyDescent="0.2">
      <c r="A198" s="134">
        <v>45319</v>
      </c>
      <c r="B198" s="135">
        <f>YEAR(source[[#This Row],[report_date]])</f>
        <v>2024</v>
      </c>
      <c r="C198" s="136">
        <v>1</v>
      </c>
      <c r="D198" s="136">
        <f t="shared" si="28"/>
        <v>4</v>
      </c>
      <c r="E198" s="136">
        <f t="shared" si="29"/>
        <v>28</v>
      </c>
      <c r="F198" s="128" t="s">
        <v>61</v>
      </c>
      <c r="G198" s="128" t="str">
        <f>VLOOKUP(source[[#This Row],[lending_product_transform]],[3]Mapping!$B$4:$C$37,2,0)</f>
        <v>[VDS] - Payroll Payday</v>
      </c>
      <c r="H198" s="128" t="str">
        <f>VLOOKUP(source[[#This Row],[lending_product_transform]],[3]Mapping!$B$3:$D$37,3,0)</f>
        <v>payday</v>
      </c>
      <c r="I198" s="135">
        <v>0</v>
      </c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</row>
    <row r="199" spans="1:29" x14ac:dyDescent="0.2">
      <c r="A199" s="134">
        <v>45320</v>
      </c>
      <c r="B199" s="135">
        <f>YEAR(source[[#This Row],[report_date]])</f>
        <v>2024</v>
      </c>
      <c r="C199" s="136">
        <v>1</v>
      </c>
      <c r="D199" s="136">
        <f t="shared" si="28"/>
        <v>5</v>
      </c>
      <c r="E199" s="136">
        <f t="shared" si="29"/>
        <v>29</v>
      </c>
      <c r="F199" s="128" t="s">
        <v>67</v>
      </c>
      <c r="G199" s="128" t="str">
        <f>VLOOKUP(source[[#This Row],[lending_product_transform]],[3]Mapping!$B$4:$C$37,2,0)</f>
        <v>[Cake] - Overdraft</v>
      </c>
      <c r="H199" s="128" t="str">
        <f>VLOOKUP(source[[#This Row],[lending_product_transform]],[3]Mapping!$B$3:$D$37,3,0)</f>
        <v>overdraft</v>
      </c>
      <c r="I199" s="135">
        <v>3158142809</v>
      </c>
      <c r="K199" s="137"/>
      <c r="L199" s="137"/>
      <c r="M199" s="137"/>
      <c r="N199" s="137"/>
      <c r="O199" s="137"/>
      <c r="P199" s="137"/>
      <c r="Q199" s="137"/>
      <c r="R199" s="137"/>
      <c r="S199" s="137"/>
      <c r="T199" s="150">
        <f>AVERAGE(S195:T195)/AVERAGE(P195:R195)</f>
        <v>0.88389736451574752</v>
      </c>
      <c r="U199" s="151"/>
      <c r="V199" s="151"/>
      <c r="W199" s="151"/>
      <c r="X199" s="150">
        <f>AVERAGE(W196:Y196)/AVERAGE(U196:V196)</f>
        <v>1.0702560952130384</v>
      </c>
      <c r="Y199" s="151"/>
      <c r="Z199" s="151"/>
      <c r="AA199" s="151"/>
      <c r="AB199" s="151"/>
      <c r="AC199" s="150">
        <f>AVERAGE(AB197:AC197)/AVERAGE(Z197:AA197,Y197)</f>
        <v>0.7589663681459331</v>
      </c>
    </row>
    <row r="200" spans="1:29" x14ac:dyDescent="0.2">
      <c r="A200" s="134">
        <v>45320</v>
      </c>
      <c r="B200" s="135">
        <f>YEAR(source[[#This Row],[report_date]])</f>
        <v>2024</v>
      </c>
      <c r="C200" s="136">
        <v>1</v>
      </c>
      <c r="D200" s="136">
        <f t="shared" si="28"/>
        <v>5</v>
      </c>
      <c r="E200" s="136">
        <f t="shared" si="29"/>
        <v>29</v>
      </c>
      <c r="F200" s="128" t="s">
        <v>56</v>
      </c>
      <c r="G200" s="128">
        <f>VLOOKUP(source[[#This Row],[lending_product_transform]],[3]Mapping!$B$4:$C$37,2,0)</f>
        <v>0</v>
      </c>
      <c r="H200" s="128">
        <f>VLOOKUP(source[[#This Row],[lending_product_transform]],[3]Mapping!$B$3:$D$37,3,0)</f>
        <v>0</v>
      </c>
      <c r="I200" s="135">
        <v>7988492809</v>
      </c>
      <c r="K200" s="137"/>
      <c r="L200" s="137"/>
      <c r="M200" s="137"/>
      <c r="N200" s="137"/>
      <c r="O200" s="137"/>
      <c r="P200" s="137"/>
      <c r="Q200" s="137"/>
      <c r="R200" s="137"/>
      <c r="S200" s="137"/>
      <c r="T200" s="137" t="s">
        <v>225</v>
      </c>
      <c r="U200" s="137"/>
      <c r="V200" s="137"/>
      <c r="W200" s="137"/>
      <c r="X200" s="137" t="s">
        <v>226</v>
      </c>
      <c r="Y200" s="137"/>
      <c r="Z200" s="137"/>
      <c r="AA200" s="137"/>
      <c r="AB200" s="137"/>
      <c r="AC200" s="137" t="s">
        <v>227</v>
      </c>
    </row>
    <row r="201" spans="1:29" x14ac:dyDescent="0.2">
      <c r="A201" s="134">
        <v>45320</v>
      </c>
      <c r="B201" s="135">
        <f>YEAR(source[[#This Row],[report_date]])</f>
        <v>2024</v>
      </c>
      <c r="C201" s="136">
        <v>1</v>
      </c>
      <c r="D201" s="136">
        <f t="shared" si="28"/>
        <v>5</v>
      </c>
      <c r="E201" s="136">
        <f t="shared" si="29"/>
        <v>29</v>
      </c>
      <c r="F201" s="128" t="s">
        <v>61</v>
      </c>
      <c r="G201" s="128" t="str">
        <f>VLOOKUP(source[[#This Row],[lending_product_transform]],[3]Mapping!$B$4:$C$37,2,0)</f>
        <v>[VDS] - Payroll Payday</v>
      </c>
      <c r="H201" s="128" t="str">
        <f>VLOOKUP(source[[#This Row],[lending_product_transform]],[3]Mapping!$B$3:$D$37,3,0)</f>
        <v>payday</v>
      </c>
      <c r="I201" s="135">
        <v>2000000</v>
      </c>
      <c r="K201" s="152" t="s">
        <v>228</v>
      </c>
      <c r="L201" s="153"/>
      <c r="M201" s="153"/>
      <c r="N201" s="153"/>
      <c r="O201" s="154"/>
      <c r="P201" s="137"/>
      <c r="Q201" s="137"/>
      <c r="R201" s="137"/>
      <c r="S201" s="137"/>
      <c r="T201" s="137"/>
      <c r="U201" s="137"/>
    </row>
    <row r="202" spans="1:29" x14ac:dyDescent="0.2">
      <c r="A202" s="134">
        <v>45320</v>
      </c>
      <c r="B202" s="135">
        <f>YEAR(source[[#This Row],[report_date]])</f>
        <v>2024</v>
      </c>
      <c r="C202" s="136">
        <v>1</v>
      </c>
      <c r="D202" s="136">
        <f t="shared" si="28"/>
        <v>5</v>
      </c>
      <c r="E202" s="136">
        <f t="shared" si="29"/>
        <v>29</v>
      </c>
      <c r="F202" s="128" t="s">
        <v>58</v>
      </c>
      <c r="G202" s="128" t="str">
        <f>VLOOKUP(source[[#This Row],[lending_product_transform]],[3]Mapping!$B$4:$C$37,2,0)</f>
        <v>[VDS] - Payroll Cashloan</v>
      </c>
      <c r="H202" s="128" t="str">
        <f>VLOOKUP(source[[#This Row],[lending_product_transform]],[3]Mapping!$B$3:$D$37,3,0)</f>
        <v>cashloan</v>
      </c>
      <c r="I202" s="135">
        <v>21000000</v>
      </c>
      <c r="K202" s="155" t="s">
        <v>229</v>
      </c>
      <c r="L202" s="156" t="s">
        <v>225</v>
      </c>
      <c r="M202" s="156" t="s">
        <v>226</v>
      </c>
      <c r="N202" s="156" t="s">
        <v>227</v>
      </c>
      <c r="O202" s="157" t="s">
        <v>230</v>
      </c>
      <c r="P202" s="137"/>
      <c r="Q202" s="137"/>
      <c r="R202" s="137"/>
      <c r="S202" s="137"/>
      <c r="T202" s="137"/>
      <c r="U202" s="137"/>
    </row>
    <row r="203" spans="1:29" x14ac:dyDescent="0.2">
      <c r="A203" s="134">
        <v>45320</v>
      </c>
      <c r="B203" s="135">
        <f>YEAR(source[[#This Row],[report_date]])</f>
        <v>2024</v>
      </c>
      <c r="C203" s="136">
        <v>1</v>
      </c>
      <c r="D203" s="136">
        <f t="shared" si="28"/>
        <v>5</v>
      </c>
      <c r="E203" s="136">
        <f t="shared" si="29"/>
        <v>29</v>
      </c>
      <c r="F203" s="128" t="s">
        <v>11</v>
      </c>
      <c r="G203" s="128" t="str">
        <f>VLOOKUP(source[[#This Row],[lending_product_transform]],[3]Mapping!$B$4:$C$37,2,0)</f>
        <v>[VDS] - Cashloan</v>
      </c>
      <c r="H203" s="128" t="str">
        <f>VLOOKUP(source[[#This Row],[lending_product_transform]],[3]Mapping!$B$3:$D$37,3,0)</f>
        <v>cashloan</v>
      </c>
      <c r="I203" s="135">
        <v>3015700000</v>
      </c>
      <c r="K203" s="158" t="s">
        <v>139</v>
      </c>
      <c r="L203" s="159">
        <v>0.97888951410394343</v>
      </c>
      <c r="M203" s="160">
        <v>1.0352308650740816</v>
      </c>
      <c r="N203" s="160">
        <v>0.93081218271117194</v>
      </c>
      <c r="O203" s="161">
        <f>AVERAGE(L203:N203)</f>
        <v>0.98164418729639902</v>
      </c>
      <c r="P203" s="137"/>
      <c r="Q203" s="137"/>
      <c r="R203" s="137"/>
      <c r="S203" s="137"/>
      <c r="T203" s="137"/>
      <c r="U203" s="137"/>
    </row>
    <row r="204" spans="1:29" x14ac:dyDescent="0.2">
      <c r="A204" s="134">
        <v>45320</v>
      </c>
      <c r="B204" s="135">
        <f>YEAR(source[[#This Row],[report_date]])</f>
        <v>2024</v>
      </c>
      <c r="C204" s="136">
        <v>1</v>
      </c>
      <c r="D204" s="136">
        <f t="shared" si="28"/>
        <v>5</v>
      </c>
      <c r="E204" s="136">
        <f t="shared" si="29"/>
        <v>29</v>
      </c>
      <c r="F204" s="128" t="s">
        <v>65</v>
      </c>
      <c r="G204" s="128" t="str">
        <f>VLOOKUP(source[[#This Row],[lending_product_transform]],[3]Mapping!$B$4:$C$37,2,0)</f>
        <v>[BE] - Cashloan</v>
      </c>
      <c r="H204" s="128" t="str">
        <f>VLOOKUP(source[[#This Row],[lending_product_transform]],[3]Mapping!$B$3:$D$37,3,0)</f>
        <v>cashloan</v>
      </c>
      <c r="I204" s="135">
        <v>265650000</v>
      </c>
      <c r="K204" s="158" t="s">
        <v>231</v>
      </c>
      <c r="L204" s="160">
        <v>1.0231104164941174</v>
      </c>
      <c r="M204" s="160">
        <v>1.0483514829694081</v>
      </c>
      <c r="N204" s="160">
        <v>0.88089866219864543</v>
      </c>
      <c r="O204" s="161">
        <f>AVERAGE(L204:N204)</f>
        <v>0.98412018722072359</v>
      </c>
      <c r="P204" s="137"/>
      <c r="Q204" s="137"/>
      <c r="R204" s="137"/>
      <c r="S204" s="137"/>
      <c r="T204" s="137"/>
      <c r="U204" s="137"/>
    </row>
    <row r="205" spans="1:29" x14ac:dyDescent="0.2">
      <c r="A205" s="134">
        <v>45320</v>
      </c>
      <c r="B205" s="135">
        <f>YEAR(source[[#This Row],[report_date]])</f>
        <v>2024</v>
      </c>
      <c r="C205" s="136">
        <v>1</v>
      </c>
      <c r="D205" s="136">
        <f t="shared" si="28"/>
        <v>5</v>
      </c>
      <c r="E205" s="136">
        <f t="shared" si="29"/>
        <v>29</v>
      </c>
      <c r="F205" s="128" t="s">
        <v>19</v>
      </c>
      <c r="G205" s="128" t="str">
        <f>VLOOKUP(source[[#This Row],[lending_product_transform]],[3]Mapping!$B$4:$C$37,2,0)</f>
        <v>[VDS] - Payday</v>
      </c>
      <c r="H205" s="128" t="str">
        <f>VLOOKUP(source[[#This Row],[lending_product_transform]],[3]Mapping!$B$3:$D$37,3,0)</f>
        <v>payday</v>
      </c>
      <c r="I205" s="135">
        <v>1526000000</v>
      </c>
      <c r="K205" s="158" t="s">
        <v>145</v>
      </c>
      <c r="L205" s="160">
        <v>0.58510328463167482</v>
      </c>
      <c r="M205" s="160">
        <v>0.81324620932950686</v>
      </c>
      <c r="N205" s="160">
        <v>0.82492301899947462</v>
      </c>
      <c r="O205" s="161">
        <f>AVERAGE(L205:N205)</f>
        <v>0.7410908376535521</v>
      </c>
      <c r="P205" s="137"/>
      <c r="Q205" s="137"/>
      <c r="R205" s="137"/>
      <c r="S205" s="137"/>
      <c r="T205" s="137"/>
      <c r="U205" s="137"/>
    </row>
    <row r="206" spans="1:29" x14ac:dyDescent="0.2">
      <c r="A206" s="134">
        <v>45321</v>
      </c>
      <c r="B206" s="135">
        <f>YEAR(source[[#This Row],[report_date]])</f>
        <v>2024</v>
      </c>
      <c r="C206" s="136">
        <v>1</v>
      </c>
      <c r="D206" s="136">
        <f t="shared" si="28"/>
        <v>5</v>
      </c>
      <c r="E206" s="136">
        <f t="shared" si="29"/>
        <v>30</v>
      </c>
      <c r="F206" s="128" t="s">
        <v>19</v>
      </c>
      <c r="G206" s="128" t="str">
        <f>VLOOKUP(source[[#This Row],[lending_product_transform]],[3]Mapping!$B$4:$C$37,2,0)</f>
        <v>[VDS] - Payday</v>
      </c>
      <c r="H206" s="128" t="str">
        <f>VLOOKUP(source[[#This Row],[lending_product_transform]],[3]Mapping!$B$3:$D$37,3,0)</f>
        <v>payday</v>
      </c>
      <c r="I206" s="135">
        <v>1385000000</v>
      </c>
      <c r="K206" s="158" t="s">
        <v>146</v>
      </c>
      <c r="L206" s="160">
        <v>0.88389736451574752</v>
      </c>
      <c r="M206" s="160">
        <v>1.0702560952130384</v>
      </c>
      <c r="N206" s="160">
        <v>0.7589663681459331</v>
      </c>
      <c r="O206" s="161">
        <f>AVERAGE(L206:N206)</f>
        <v>0.90437327595823958</v>
      </c>
      <c r="P206" s="137"/>
      <c r="Q206" s="137"/>
      <c r="R206" s="137"/>
      <c r="S206" s="137"/>
      <c r="T206" s="137"/>
      <c r="U206" s="137"/>
    </row>
    <row r="207" spans="1:29" x14ac:dyDescent="0.2">
      <c r="A207" s="134">
        <v>45321</v>
      </c>
      <c r="B207" s="135">
        <f>YEAR(source[[#This Row],[report_date]])</f>
        <v>2024</v>
      </c>
      <c r="C207" s="136">
        <v>1</v>
      </c>
      <c r="D207" s="136">
        <f t="shared" si="28"/>
        <v>5</v>
      </c>
      <c r="E207" s="136">
        <f t="shared" si="29"/>
        <v>30</v>
      </c>
      <c r="F207" s="128" t="s">
        <v>11</v>
      </c>
      <c r="G207" s="128" t="str">
        <f>VLOOKUP(source[[#This Row],[lending_product_transform]],[3]Mapping!$B$4:$C$37,2,0)</f>
        <v>[VDS] - Cashloan</v>
      </c>
      <c r="H207" s="128" t="str">
        <f>VLOOKUP(source[[#This Row],[lending_product_transform]],[3]Mapping!$B$3:$D$37,3,0)</f>
        <v>cashloan</v>
      </c>
      <c r="I207" s="135">
        <v>2225350000</v>
      </c>
      <c r="K207" s="158"/>
      <c r="L207" s="137"/>
      <c r="M207" s="137"/>
      <c r="N207" s="137"/>
      <c r="O207" s="162"/>
      <c r="P207" s="137"/>
      <c r="Q207" s="137"/>
      <c r="R207" s="137"/>
      <c r="S207" s="137"/>
      <c r="T207" s="137"/>
      <c r="U207" s="137"/>
    </row>
    <row r="208" spans="1:29" x14ac:dyDescent="0.2">
      <c r="A208" s="134">
        <v>45321</v>
      </c>
      <c r="B208" s="135">
        <f>YEAR(source[[#This Row],[report_date]])</f>
        <v>2024</v>
      </c>
      <c r="C208" s="136">
        <v>1</v>
      </c>
      <c r="D208" s="136">
        <f t="shared" si="28"/>
        <v>5</v>
      </c>
      <c r="E208" s="136">
        <f t="shared" si="29"/>
        <v>30</v>
      </c>
      <c r="F208" s="128" t="s">
        <v>61</v>
      </c>
      <c r="G208" s="128" t="str">
        <f>VLOOKUP(source[[#This Row],[lending_product_transform]],[3]Mapping!$B$4:$C$37,2,0)</f>
        <v>[VDS] - Payroll Payday</v>
      </c>
      <c r="H208" s="128" t="str">
        <f>VLOOKUP(source[[#This Row],[lending_product_transform]],[3]Mapping!$B$3:$D$37,3,0)</f>
        <v>payday</v>
      </c>
      <c r="I208" s="135">
        <v>33000000</v>
      </c>
      <c r="K208" s="163" t="s">
        <v>232</v>
      </c>
      <c r="L208" s="164">
        <f>AVERAGE(L203:L206)</f>
        <v>0.86775014493637082</v>
      </c>
      <c r="M208" s="164">
        <f>AVERAGE(M203:M206)</f>
        <v>0.99177116314650882</v>
      </c>
      <c r="N208" s="164">
        <f>AVERAGE(N203:N206)</f>
        <v>0.84890005801380619</v>
      </c>
      <c r="O208" s="165">
        <f>AVERAGE(O203:O206)</f>
        <v>0.90280712203222857</v>
      </c>
      <c r="P208" s="137"/>
      <c r="Q208" s="137"/>
      <c r="R208" s="137"/>
      <c r="S208" s="137"/>
      <c r="T208" s="137"/>
      <c r="U208" s="137"/>
    </row>
    <row r="209" spans="1:21" x14ac:dyDescent="0.2">
      <c r="A209" s="134">
        <v>45321</v>
      </c>
      <c r="B209" s="135">
        <f>YEAR(source[[#This Row],[report_date]])</f>
        <v>2024</v>
      </c>
      <c r="C209" s="136">
        <v>1</v>
      </c>
      <c r="D209" s="136">
        <f t="shared" si="28"/>
        <v>5</v>
      </c>
      <c r="E209" s="136">
        <f t="shared" si="29"/>
        <v>30</v>
      </c>
      <c r="F209" s="128" t="s">
        <v>58</v>
      </c>
      <c r="G209" s="128" t="str">
        <f>VLOOKUP(source[[#This Row],[lending_product_transform]],[3]Mapping!$B$4:$C$37,2,0)</f>
        <v>[VDS] - Payroll Cashloan</v>
      </c>
      <c r="H209" s="128" t="str">
        <f>VLOOKUP(source[[#This Row],[lending_product_transform]],[3]Mapping!$B$3:$D$37,3,0)</f>
        <v>cashloan</v>
      </c>
      <c r="I209" s="135">
        <v>41000000</v>
      </c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</row>
    <row r="210" spans="1:21" x14ac:dyDescent="0.2">
      <c r="A210" s="134">
        <v>45321</v>
      </c>
      <c r="B210" s="135">
        <f>YEAR(source[[#This Row],[report_date]])</f>
        <v>2024</v>
      </c>
      <c r="C210" s="136">
        <v>1</v>
      </c>
      <c r="D210" s="136">
        <f t="shared" si="28"/>
        <v>5</v>
      </c>
      <c r="E210" s="136">
        <f t="shared" si="29"/>
        <v>30</v>
      </c>
      <c r="F210" s="128" t="s">
        <v>65</v>
      </c>
      <c r="G210" s="128" t="str">
        <f>VLOOKUP(source[[#This Row],[lending_product_transform]],[3]Mapping!$B$4:$C$37,2,0)</f>
        <v>[BE] - Cashloan</v>
      </c>
      <c r="H210" s="128" t="str">
        <f>VLOOKUP(source[[#This Row],[lending_product_transform]],[3]Mapping!$B$3:$D$37,3,0)</f>
        <v>cashloan</v>
      </c>
      <c r="I210" s="135">
        <v>264650000</v>
      </c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</row>
    <row r="211" spans="1:21" x14ac:dyDescent="0.2">
      <c r="A211" s="134">
        <v>45321</v>
      </c>
      <c r="B211" s="135">
        <f>YEAR(source[[#This Row],[report_date]])</f>
        <v>2024</v>
      </c>
      <c r="C211" s="136">
        <v>1</v>
      </c>
      <c r="D211" s="136">
        <f t="shared" si="28"/>
        <v>5</v>
      </c>
      <c r="E211" s="136">
        <f t="shared" si="29"/>
        <v>30</v>
      </c>
      <c r="F211" s="128" t="s">
        <v>67</v>
      </c>
      <c r="G211" s="128" t="str">
        <f>VLOOKUP(source[[#This Row],[lending_product_transform]],[3]Mapping!$B$4:$C$37,2,0)</f>
        <v>[Cake] - Overdraft</v>
      </c>
      <c r="H211" s="128" t="str">
        <f>VLOOKUP(source[[#This Row],[lending_product_transform]],[3]Mapping!$B$3:$D$37,3,0)</f>
        <v>overdraft</v>
      </c>
      <c r="I211" s="135">
        <v>2761160790</v>
      </c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</row>
    <row r="212" spans="1:21" x14ac:dyDescent="0.2">
      <c r="A212" s="134">
        <v>45321</v>
      </c>
      <c r="B212" s="135">
        <f>YEAR(source[[#This Row],[report_date]])</f>
        <v>2024</v>
      </c>
      <c r="C212" s="136">
        <v>1</v>
      </c>
      <c r="D212" s="136">
        <f t="shared" si="28"/>
        <v>5</v>
      </c>
      <c r="E212" s="136">
        <f t="shared" si="29"/>
        <v>30</v>
      </c>
      <c r="F212" s="128" t="s">
        <v>56</v>
      </c>
      <c r="G212" s="128">
        <f>VLOOKUP(source[[#This Row],[lending_product_transform]],[3]Mapping!$B$4:$C$37,2,0)</f>
        <v>0</v>
      </c>
      <c r="H212" s="128">
        <f>VLOOKUP(source[[#This Row],[lending_product_transform]],[3]Mapping!$B$3:$D$37,3,0)</f>
        <v>0</v>
      </c>
      <c r="I212" s="135">
        <v>6710160790</v>
      </c>
      <c r="K212" s="142" t="s">
        <v>233</v>
      </c>
      <c r="L212" s="135">
        <f>L211/7</f>
        <v>0</v>
      </c>
      <c r="M212" s="135">
        <f>M211/7</f>
        <v>0</v>
      </c>
      <c r="N212" s="135">
        <f>N211/7</f>
        <v>0</v>
      </c>
      <c r="O212" s="135">
        <f>O211/7</f>
        <v>0</v>
      </c>
      <c r="P212" s="135">
        <f>P211/7</f>
        <v>0</v>
      </c>
    </row>
    <row r="213" spans="1:21" x14ac:dyDescent="0.2">
      <c r="A213" s="134">
        <v>45322</v>
      </c>
      <c r="B213" s="135">
        <f>YEAR(source[[#This Row],[report_date]])</f>
        <v>2024</v>
      </c>
      <c r="C213" s="136">
        <v>1</v>
      </c>
      <c r="D213" s="136">
        <f t="shared" si="28"/>
        <v>5</v>
      </c>
      <c r="E213" s="136">
        <f t="shared" si="29"/>
        <v>31</v>
      </c>
      <c r="F213" s="128" t="s">
        <v>65</v>
      </c>
      <c r="G213" s="128" t="str">
        <f>VLOOKUP(source[[#This Row],[lending_product_transform]],[3]Mapping!$B$4:$C$37,2,0)</f>
        <v>[BE] - Cashloan</v>
      </c>
      <c r="H213" s="128" t="str">
        <f>VLOOKUP(source[[#This Row],[lending_product_transform]],[3]Mapping!$B$3:$D$37,3,0)</f>
        <v>cashloan</v>
      </c>
      <c r="I213" s="135">
        <v>455750000</v>
      </c>
      <c r="M213" s="136">
        <f>AVERAGE(L212:M212)</f>
        <v>0</v>
      </c>
      <c r="N213" s="136"/>
      <c r="O213" s="136">
        <f>AVERAGE(N212:O212)</f>
        <v>0</v>
      </c>
      <c r="P213" s="136"/>
    </row>
    <row r="214" spans="1:21" x14ac:dyDescent="0.2">
      <c r="A214" s="134">
        <v>45322</v>
      </c>
      <c r="B214" s="135">
        <f>YEAR(source[[#This Row],[report_date]])</f>
        <v>2024</v>
      </c>
      <c r="C214" s="136">
        <v>1</v>
      </c>
      <c r="D214" s="136">
        <f t="shared" si="28"/>
        <v>5</v>
      </c>
      <c r="E214" s="136">
        <f t="shared" si="29"/>
        <v>31</v>
      </c>
      <c r="F214" s="128" t="s">
        <v>11</v>
      </c>
      <c r="G214" s="128" t="str">
        <f>VLOOKUP(source[[#This Row],[lending_product_transform]],[3]Mapping!$B$4:$C$37,2,0)</f>
        <v>[VDS] - Cashloan</v>
      </c>
      <c r="H214" s="128" t="str">
        <f>VLOOKUP(source[[#This Row],[lending_product_transform]],[3]Mapping!$B$3:$D$37,3,0)</f>
        <v>cashloan</v>
      </c>
      <c r="I214" s="135">
        <v>2016600000</v>
      </c>
      <c r="P214" s="138" t="e">
        <f>O213/M213</f>
        <v>#DIV/0!</v>
      </c>
    </row>
    <row r="215" spans="1:21" x14ac:dyDescent="0.2">
      <c r="A215" s="134">
        <v>45322</v>
      </c>
      <c r="B215" s="135">
        <f>YEAR(source[[#This Row],[report_date]])</f>
        <v>2024</v>
      </c>
      <c r="C215" s="136">
        <v>1</v>
      </c>
      <c r="D215" s="136">
        <f t="shared" si="28"/>
        <v>5</v>
      </c>
      <c r="E215" s="136">
        <f t="shared" si="29"/>
        <v>31</v>
      </c>
      <c r="F215" s="128" t="s">
        <v>58</v>
      </c>
      <c r="G215" s="128" t="str">
        <f>VLOOKUP(source[[#This Row],[lending_product_transform]],[3]Mapping!$B$4:$C$37,2,0)</f>
        <v>[VDS] - Payroll Cashloan</v>
      </c>
      <c r="H215" s="128" t="str">
        <f>VLOOKUP(source[[#This Row],[lending_product_transform]],[3]Mapping!$B$3:$D$37,3,0)</f>
        <v>cashloan</v>
      </c>
      <c r="I215" s="135">
        <v>31500000</v>
      </c>
    </row>
    <row r="216" spans="1:21" x14ac:dyDescent="0.2">
      <c r="A216" s="134">
        <v>45322</v>
      </c>
      <c r="B216" s="135">
        <f>YEAR(source[[#This Row],[report_date]])</f>
        <v>2024</v>
      </c>
      <c r="C216" s="136">
        <v>1</v>
      </c>
      <c r="D216" s="136">
        <f t="shared" si="28"/>
        <v>5</v>
      </c>
      <c r="E216" s="136">
        <f t="shared" si="29"/>
        <v>31</v>
      </c>
      <c r="F216" s="128" t="s">
        <v>67</v>
      </c>
      <c r="G216" s="128" t="str">
        <f>VLOOKUP(source[[#This Row],[lending_product_transform]],[3]Mapping!$B$4:$C$37,2,0)</f>
        <v>[Cake] - Overdraft</v>
      </c>
      <c r="H216" s="128" t="str">
        <f>VLOOKUP(source[[#This Row],[lending_product_transform]],[3]Mapping!$B$3:$D$37,3,0)</f>
        <v>overdraft</v>
      </c>
      <c r="I216" s="135">
        <v>2490876024</v>
      </c>
    </row>
    <row r="217" spans="1:21" x14ac:dyDescent="0.2">
      <c r="A217" s="134">
        <v>45322</v>
      </c>
      <c r="B217" s="135">
        <f>YEAR(source[[#This Row],[report_date]])</f>
        <v>2024</v>
      </c>
      <c r="C217" s="136">
        <v>1</v>
      </c>
      <c r="D217" s="136">
        <f t="shared" si="28"/>
        <v>5</v>
      </c>
      <c r="E217" s="136">
        <f t="shared" si="29"/>
        <v>31</v>
      </c>
      <c r="F217" s="128" t="s">
        <v>19</v>
      </c>
      <c r="G217" s="128" t="str">
        <f>VLOOKUP(source[[#This Row],[lending_product_transform]],[3]Mapping!$B$4:$C$37,2,0)</f>
        <v>[VDS] - Payday</v>
      </c>
      <c r="H217" s="128" t="str">
        <f>VLOOKUP(source[[#This Row],[lending_product_transform]],[3]Mapping!$B$3:$D$37,3,0)</f>
        <v>payday</v>
      </c>
      <c r="I217" s="135">
        <v>1471000000</v>
      </c>
    </row>
    <row r="218" spans="1:21" x14ac:dyDescent="0.2">
      <c r="A218" s="134">
        <v>45322</v>
      </c>
      <c r="B218" s="135">
        <f>YEAR(source[[#This Row],[report_date]])</f>
        <v>2024</v>
      </c>
      <c r="C218" s="136">
        <v>1</v>
      </c>
      <c r="D218" s="136">
        <f t="shared" si="28"/>
        <v>5</v>
      </c>
      <c r="E218" s="136">
        <f t="shared" si="29"/>
        <v>31</v>
      </c>
      <c r="F218" s="128" t="s">
        <v>61</v>
      </c>
      <c r="G218" s="128" t="str">
        <f>VLOOKUP(source[[#This Row],[lending_product_transform]],[3]Mapping!$B$4:$C$37,2,0)</f>
        <v>[VDS] - Payroll Payday</v>
      </c>
      <c r="H218" s="128" t="str">
        <f>VLOOKUP(source[[#This Row],[lending_product_transform]],[3]Mapping!$B$3:$D$37,3,0)</f>
        <v>payday</v>
      </c>
      <c r="I218" s="135">
        <v>41000000</v>
      </c>
    </row>
    <row r="219" spans="1:21" x14ac:dyDescent="0.2">
      <c r="A219" s="134">
        <v>45322</v>
      </c>
      <c r="B219" s="135">
        <f>YEAR(source[[#This Row],[report_date]])</f>
        <v>2024</v>
      </c>
      <c r="C219" s="136">
        <v>1</v>
      </c>
      <c r="D219" s="136">
        <f t="shared" si="28"/>
        <v>5</v>
      </c>
      <c r="E219" s="136">
        <f t="shared" si="29"/>
        <v>31</v>
      </c>
      <c r="F219" s="128" t="s">
        <v>56</v>
      </c>
      <c r="G219" s="128">
        <f>VLOOKUP(source[[#This Row],[lending_product_transform]],[3]Mapping!$B$4:$C$37,2,0)</f>
        <v>0</v>
      </c>
      <c r="H219" s="128">
        <f>VLOOKUP(source[[#This Row],[lending_product_transform]],[3]Mapping!$B$3:$D$37,3,0)</f>
        <v>0</v>
      </c>
      <c r="I219" s="135">
        <v>6506726024</v>
      </c>
    </row>
    <row r="220" spans="1:21" x14ac:dyDescent="0.2">
      <c r="A220" s="134">
        <v>45323</v>
      </c>
      <c r="B220" s="135">
        <f>YEAR(source[[#This Row],[report_date]])</f>
        <v>2024</v>
      </c>
      <c r="C220" s="136">
        <v>2</v>
      </c>
      <c r="D220" s="136">
        <f t="shared" si="28"/>
        <v>5</v>
      </c>
      <c r="E220" s="136">
        <f t="shared" si="29"/>
        <v>1</v>
      </c>
      <c r="F220" s="128" t="s">
        <v>67</v>
      </c>
      <c r="G220" s="128" t="str">
        <f>VLOOKUP(source[[#This Row],[lending_product_transform]],[3]Mapping!$B$4:$C$37,2,0)</f>
        <v>[Cake] - Overdraft</v>
      </c>
      <c r="H220" s="128" t="str">
        <f>VLOOKUP(source[[#This Row],[lending_product_transform]],[3]Mapping!$B$3:$D$37,3,0)</f>
        <v>overdraft</v>
      </c>
      <c r="I220" s="135">
        <v>3510551482</v>
      </c>
      <c r="K220" s="181" t="s">
        <v>194</v>
      </c>
      <c r="L220" s="182">
        <v>2025</v>
      </c>
    </row>
    <row r="221" spans="1:21" x14ac:dyDescent="0.2">
      <c r="A221" s="134">
        <v>45323</v>
      </c>
      <c r="B221" s="135">
        <f>YEAR(source[[#This Row],[report_date]])</f>
        <v>2024</v>
      </c>
      <c r="C221" s="136">
        <v>2</v>
      </c>
      <c r="D221" s="136">
        <f t="shared" si="28"/>
        <v>5</v>
      </c>
      <c r="E221" s="136">
        <f t="shared" si="29"/>
        <v>1</v>
      </c>
      <c r="F221" s="128" t="s">
        <v>58</v>
      </c>
      <c r="G221" s="128" t="str">
        <f>VLOOKUP(source[[#This Row],[lending_product_transform]],[3]Mapping!$B$4:$C$37,2,0)</f>
        <v>[VDS] - Payroll Cashloan</v>
      </c>
      <c r="H221" s="128" t="str">
        <f>VLOOKUP(source[[#This Row],[lending_product_transform]],[3]Mapping!$B$3:$D$37,3,0)</f>
        <v>cashloan</v>
      </c>
      <c r="I221" s="135">
        <v>106050000</v>
      </c>
      <c r="K221" s="177" t="s">
        <v>195</v>
      </c>
      <c r="L221" s="61" t="s">
        <v>224</v>
      </c>
    </row>
    <row r="222" spans="1:21" x14ac:dyDescent="0.2">
      <c r="A222" s="134">
        <v>45323</v>
      </c>
      <c r="B222" s="135">
        <f>YEAR(source[[#This Row],[report_date]])</f>
        <v>2024</v>
      </c>
      <c r="C222" s="136">
        <v>2</v>
      </c>
      <c r="D222" s="136">
        <f t="shared" si="28"/>
        <v>5</v>
      </c>
      <c r="E222" s="136">
        <f t="shared" si="29"/>
        <v>1</v>
      </c>
      <c r="F222" s="128" t="s">
        <v>11</v>
      </c>
      <c r="G222" s="128" t="str">
        <f>VLOOKUP(source[[#This Row],[lending_product_transform]],[3]Mapping!$B$4:$C$37,2,0)</f>
        <v>[VDS] - Cashloan</v>
      </c>
      <c r="H222" s="128" t="str">
        <f>VLOOKUP(source[[#This Row],[lending_product_transform]],[3]Mapping!$B$3:$D$37,3,0)</f>
        <v>cashloan</v>
      </c>
      <c r="I222" s="135">
        <v>2979150000</v>
      </c>
      <c r="K222" s="175" t="s">
        <v>199</v>
      </c>
      <c r="L222" s="61" t="s">
        <v>220</v>
      </c>
      <c r="M222" s="137"/>
      <c r="N222" s="137"/>
    </row>
    <row r="223" spans="1:21" x14ac:dyDescent="0.2">
      <c r="A223" s="134">
        <v>45323</v>
      </c>
      <c r="B223" s="135">
        <f>YEAR(source[[#This Row],[report_date]])</f>
        <v>2024</v>
      </c>
      <c r="C223" s="136">
        <v>2</v>
      </c>
      <c r="D223" s="136">
        <f t="shared" si="28"/>
        <v>5</v>
      </c>
      <c r="E223" s="136">
        <f t="shared" si="29"/>
        <v>1</v>
      </c>
      <c r="F223" s="128" t="s">
        <v>65</v>
      </c>
      <c r="G223" s="128" t="str">
        <f>VLOOKUP(source[[#This Row],[lending_product_transform]],[3]Mapping!$B$4:$C$37,2,0)</f>
        <v>[BE] - Cashloan</v>
      </c>
      <c r="H223" s="128" t="str">
        <f>VLOOKUP(source[[#This Row],[lending_product_transform]],[3]Mapping!$B$3:$D$37,3,0)</f>
        <v>cashloan</v>
      </c>
      <c r="I223" s="135">
        <v>274350000</v>
      </c>
      <c r="K223" s="137"/>
      <c r="L223" s="137"/>
      <c r="M223" s="137"/>
      <c r="N223" s="137"/>
    </row>
    <row r="224" spans="1:21" x14ac:dyDescent="0.2">
      <c r="A224" s="134">
        <v>45323</v>
      </c>
      <c r="B224" s="135">
        <f>YEAR(source[[#This Row],[report_date]])</f>
        <v>2024</v>
      </c>
      <c r="C224" s="136">
        <v>2</v>
      </c>
      <c r="D224" s="136">
        <f t="shared" si="28"/>
        <v>5</v>
      </c>
      <c r="E224" s="136">
        <f t="shared" si="29"/>
        <v>1</v>
      </c>
      <c r="F224" s="128" t="s">
        <v>19</v>
      </c>
      <c r="G224" s="128" t="str">
        <f>VLOOKUP(source[[#This Row],[lending_product_transform]],[3]Mapping!$B$4:$C$37,2,0)</f>
        <v>[VDS] - Payday</v>
      </c>
      <c r="H224" s="128" t="str">
        <f>VLOOKUP(source[[#This Row],[lending_product_transform]],[3]Mapping!$B$3:$D$37,3,0)</f>
        <v>payday</v>
      </c>
      <c r="I224" s="135">
        <v>1716500000</v>
      </c>
      <c r="K224" s="177" t="s">
        <v>69</v>
      </c>
      <c r="L224" s="177" t="s">
        <v>202</v>
      </c>
      <c r="M224" s="177"/>
      <c r="N224" s="177"/>
      <c r="O224" s="177"/>
      <c r="P224" s="177"/>
      <c r="Q224" s="177"/>
      <c r="R224" s="177"/>
      <c r="S224" s="177"/>
      <c r="T224" s="177"/>
      <c r="U224" s="177"/>
    </row>
    <row r="225" spans="1:21" x14ac:dyDescent="0.2">
      <c r="A225" s="134">
        <v>45323</v>
      </c>
      <c r="B225" s="135">
        <f>YEAR(source[[#This Row],[report_date]])</f>
        <v>2024</v>
      </c>
      <c r="C225" s="136">
        <v>2</v>
      </c>
      <c r="D225" s="136">
        <f t="shared" si="28"/>
        <v>5</v>
      </c>
      <c r="E225" s="136">
        <f t="shared" si="29"/>
        <v>1</v>
      </c>
      <c r="F225" s="128" t="s">
        <v>61</v>
      </c>
      <c r="G225" s="128" t="str">
        <f>VLOOKUP(source[[#This Row],[lending_product_transform]],[3]Mapping!$B$4:$C$37,2,0)</f>
        <v>[VDS] - Payroll Payday</v>
      </c>
      <c r="H225" s="128" t="str">
        <f>VLOOKUP(source[[#This Row],[lending_product_transform]],[3]Mapping!$B$3:$D$37,3,0)</f>
        <v>payday</v>
      </c>
      <c r="I225" s="135">
        <v>12000000</v>
      </c>
      <c r="K225" s="177" t="s">
        <v>205</v>
      </c>
      <c r="L225" s="183">
        <v>40</v>
      </c>
      <c r="M225" s="178">
        <v>41</v>
      </c>
      <c r="N225" s="178">
        <v>42</v>
      </c>
      <c r="O225" s="178">
        <v>43</v>
      </c>
      <c r="P225" s="178">
        <v>44</v>
      </c>
      <c r="Q225" s="178">
        <v>45</v>
      </c>
      <c r="R225" s="178">
        <v>46</v>
      </c>
      <c r="S225" s="178">
        <v>47</v>
      </c>
      <c r="T225" s="178">
        <v>48</v>
      </c>
      <c r="U225" s="174" t="s">
        <v>68</v>
      </c>
    </row>
    <row r="226" spans="1:21" x14ac:dyDescent="0.2">
      <c r="A226" s="134">
        <v>45323</v>
      </c>
      <c r="B226" s="135">
        <f>YEAR(source[[#This Row],[report_date]])</f>
        <v>2024</v>
      </c>
      <c r="C226" s="136">
        <v>2</v>
      </c>
      <c r="D226" s="136">
        <f t="shared" si="28"/>
        <v>5</v>
      </c>
      <c r="E226" s="136">
        <f t="shared" si="29"/>
        <v>1</v>
      </c>
      <c r="F226" s="128" t="s">
        <v>56</v>
      </c>
      <c r="G226" s="128">
        <f>VLOOKUP(source[[#This Row],[lending_product_transform]],[3]Mapping!$B$4:$C$37,2,0)</f>
        <v>0</v>
      </c>
      <c r="H226" s="128">
        <f>VLOOKUP(source[[#This Row],[lending_product_transform]],[3]Mapping!$B$3:$D$37,3,0)</f>
        <v>0</v>
      </c>
      <c r="I226" s="135">
        <v>8598601482</v>
      </c>
      <c r="K226" s="179" t="s">
        <v>65</v>
      </c>
      <c r="L226" s="178">
        <v>0</v>
      </c>
      <c r="M226" s="178">
        <v>0</v>
      </c>
      <c r="N226" s="178">
        <v>0</v>
      </c>
      <c r="O226" s="178">
        <v>392450000</v>
      </c>
      <c r="P226" s="178">
        <v>514500000</v>
      </c>
      <c r="Q226" s="178">
        <v>231650000</v>
      </c>
      <c r="R226" s="178">
        <v>318650000</v>
      </c>
      <c r="S226" s="178">
        <v>780400000</v>
      </c>
      <c r="T226" s="178">
        <v>744500000</v>
      </c>
      <c r="U226" s="178">
        <v>2982150000</v>
      </c>
    </row>
    <row r="227" spans="1:21" x14ac:dyDescent="0.2">
      <c r="A227" s="134">
        <v>45324</v>
      </c>
      <c r="B227" s="135">
        <f>YEAR(source[[#This Row],[report_date]])</f>
        <v>2024</v>
      </c>
      <c r="C227" s="136">
        <v>2</v>
      </c>
      <c r="D227" s="136">
        <f t="shared" si="28"/>
        <v>5</v>
      </c>
      <c r="E227" s="136">
        <f t="shared" si="29"/>
        <v>2</v>
      </c>
      <c r="F227" s="128" t="s">
        <v>67</v>
      </c>
      <c r="G227" s="128" t="str">
        <f>VLOOKUP(source[[#This Row],[lending_product_transform]],[3]Mapping!$B$4:$C$37,2,0)</f>
        <v>[Cake] - Overdraft</v>
      </c>
      <c r="H227" s="128" t="str">
        <f>VLOOKUP(source[[#This Row],[lending_product_transform]],[3]Mapping!$B$3:$D$37,3,0)</f>
        <v>overdraft</v>
      </c>
      <c r="I227" s="135">
        <v>3215317784</v>
      </c>
      <c r="K227" s="179" t="s">
        <v>66</v>
      </c>
      <c r="L227" s="178">
        <v>2121002135</v>
      </c>
      <c r="M227" s="178">
        <v>2480726181</v>
      </c>
      <c r="N227" s="178">
        <v>2042568442</v>
      </c>
      <c r="O227" s="178">
        <v>2085259218</v>
      </c>
      <c r="P227" s="178">
        <v>2148300903</v>
      </c>
      <c r="Q227" s="178">
        <v>2727487464</v>
      </c>
      <c r="R227" s="178">
        <v>2090465410</v>
      </c>
      <c r="S227" s="178">
        <v>1973045372</v>
      </c>
      <c r="T227" s="178">
        <v>1863493039</v>
      </c>
      <c r="U227" s="178">
        <v>19532348164</v>
      </c>
    </row>
    <row r="228" spans="1:21" x14ac:dyDescent="0.2">
      <c r="A228" s="134">
        <v>45324</v>
      </c>
      <c r="B228" s="135">
        <f>YEAR(source[[#This Row],[report_date]])</f>
        <v>2024</v>
      </c>
      <c r="C228" s="136">
        <v>2</v>
      </c>
      <c r="D228" s="136">
        <f t="shared" si="28"/>
        <v>5</v>
      </c>
      <c r="E228" s="136">
        <f t="shared" si="29"/>
        <v>2</v>
      </c>
      <c r="F228" s="128" t="s">
        <v>61</v>
      </c>
      <c r="G228" s="128" t="str">
        <f>VLOOKUP(source[[#This Row],[lending_product_transform]],[3]Mapping!$B$4:$C$37,2,0)</f>
        <v>[VDS] - Payroll Payday</v>
      </c>
      <c r="H228" s="128" t="str">
        <f>VLOOKUP(source[[#This Row],[lending_product_transform]],[3]Mapping!$B$3:$D$37,3,0)</f>
        <v>payday</v>
      </c>
      <c r="I228" s="135">
        <v>30000000</v>
      </c>
      <c r="K228" s="179" t="s">
        <v>24</v>
      </c>
      <c r="L228" s="178">
        <v>83189540000</v>
      </c>
      <c r="M228" s="178">
        <v>124497110000</v>
      </c>
      <c r="N228" s="178">
        <v>113864840000</v>
      </c>
      <c r="O228" s="178">
        <v>110092850000</v>
      </c>
      <c r="P228" s="178">
        <v>99056660000</v>
      </c>
      <c r="Q228" s="178">
        <v>122054680000</v>
      </c>
      <c r="R228" s="178">
        <v>115569400000</v>
      </c>
      <c r="S228" s="178">
        <v>146885360000</v>
      </c>
      <c r="T228" s="178">
        <v>173715650000</v>
      </c>
      <c r="U228" s="178">
        <v>1088926090000</v>
      </c>
    </row>
    <row r="229" spans="1:21" x14ac:dyDescent="0.2">
      <c r="A229" s="134">
        <v>45324</v>
      </c>
      <c r="B229" s="135">
        <f>YEAR(source[[#This Row],[report_date]])</f>
        <v>2024</v>
      </c>
      <c r="C229" s="136">
        <v>2</v>
      </c>
      <c r="D229" s="136">
        <f t="shared" si="28"/>
        <v>5</v>
      </c>
      <c r="E229" s="136">
        <f t="shared" si="29"/>
        <v>2</v>
      </c>
      <c r="F229" s="128" t="s">
        <v>56</v>
      </c>
      <c r="G229" s="128">
        <f>VLOOKUP(source[[#This Row],[lending_product_transform]],[3]Mapping!$B$4:$C$37,2,0)</f>
        <v>0</v>
      </c>
      <c r="H229" s="128">
        <f>VLOOKUP(source[[#This Row],[lending_product_transform]],[3]Mapping!$B$3:$D$37,3,0)</f>
        <v>0</v>
      </c>
      <c r="I229" s="135">
        <v>7990617784</v>
      </c>
      <c r="K229" s="179" t="s">
        <v>67</v>
      </c>
      <c r="L229" s="178">
        <v>18771120236</v>
      </c>
      <c r="M229" s="178">
        <v>19224386336</v>
      </c>
      <c r="N229" s="178">
        <v>17691021606</v>
      </c>
      <c r="O229" s="178">
        <v>16102117986</v>
      </c>
      <c r="P229" s="178">
        <v>19476933679</v>
      </c>
      <c r="Q229" s="178">
        <v>18817456207</v>
      </c>
      <c r="R229" s="178">
        <v>17241042261</v>
      </c>
      <c r="S229" s="178">
        <v>14103566125</v>
      </c>
      <c r="T229" s="178">
        <v>15886619078</v>
      </c>
      <c r="U229" s="178">
        <v>157314263514</v>
      </c>
    </row>
    <row r="230" spans="1:21" x14ac:dyDescent="0.2">
      <c r="A230" s="134">
        <v>45324</v>
      </c>
      <c r="B230" s="135">
        <f>YEAR(source[[#This Row],[report_date]])</f>
        <v>2024</v>
      </c>
      <c r="C230" s="136">
        <v>2</v>
      </c>
      <c r="D230" s="136">
        <f t="shared" si="28"/>
        <v>5</v>
      </c>
      <c r="E230" s="136">
        <f t="shared" si="29"/>
        <v>2</v>
      </c>
      <c r="F230" s="128" t="s">
        <v>65</v>
      </c>
      <c r="G230" s="128" t="str">
        <f>VLOOKUP(source[[#This Row],[lending_product_transform]],[3]Mapping!$B$4:$C$37,2,0)</f>
        <v>[BE] - Cashloan</v>
      </c>
      <c r="H230" s="128" t="str">
        <f>VLOOKUP(source[[#This Row],[lending_product_transform]],[3]Mapping!$B$3:$D$37,3,0)</f>
        <v>cashloan</v>
      </c>
      <c r="I230" s="135">
        <v>156500000</v>
      </c>
      <c r="K230" s="179" t="s">
        <v>28</v>
      </c>
      <c r="L230" s="178">
        <v>42226272000</v>
      </c>
      <c r="M230" s="178">
        <v>62968320000</v>
      </c>
      <c r="N230" s="178">
        <v>63082152000</v>
      </c>
      <c r="O230" s="178">
        <v>52747848000</v>
      </c>
      <c r="P230" s="178">
        <v>56830788000</v>
      </c>
      <c r="Q230" s="178">
        <v>61031556000</v>
      </c>
      <c r="R230" s="178">
        <v>63826920000</v>
      </c>
      <c r="S230" s="178">
        <v>62050752000</v>
      </c>
      <c r="T230" s="178">
        <v>72067968000</v>
      </c>
      <c r="U230" s="178">
        <v>536832576000</v>
      </c>
    </row>
    <row r="231" spans="1:21" x14ac:dyDescent="0.2">
      <c r="A231" s="134">
        <v>45324</v>
      </c>
      <c r="B231" s="135">
        <f>YEAR(source[[#This Row],[report_date]])</f>
        <v>2024</v>
      </c>
      <c r="C231" s="136">
        <v>2</v>
      </c>
      <c r="D231" s="136">
        <f t="shared" si="28"/>
        <v>5</v>
      </c>
      <c r="E231" s="136">
        <f t="shared" si="29"/>
        <v>2</v>
      </c>
      <c r="F231" s="128" t="s">
        <v>11</v>
      </c>
      <c r="G231" s="128" t="str">
        <f>VLOOKUP(source[[#This Row],[lending_product_transform]],[3]Mapping!$B$4:$C$37,2,0)</f>
        <v>[VDS] - Cashloan</v>
      </c>
      <c r="H231" s="128" t="str">
        <f>VLOOKUP(source[[#This Row],[lending_product_transform]],[3]Mapping!$B$3:$D$37,3,0)</f>
        <v>cashloan</v>
      </c>
      <c r="I231" s="135">
        <v>3059800000</v>
      </c>
      <c r="K231" s="179" t="s">
        <v>208</v>
      </c>
      <c r="L231" s="178">
        <v>317371071</v>
      </c>
      <c r="M231" s="178">
        <v>246704330</v>
      </c>
      <c r="N231" s="178">
        <v>109697323</v>
      </c>
      <c r="O231" s="178">
        <v>184829283</v>
      </c>
      <c r="P231" s="178">
        <v>167485741</v>
      </c>
      <c r="Q231" s="178">
        <v>327177713</v>
      </c>
      <c r="R231" s="178">
        <v>63257661</v>
      </c>
      <c r="S231" s="178">
        <v>63774572</v>
      </c>
      <c r="T231" s="178">
        <v>56290277</v>
      </c>
      <c r="U231" s="178">
        <v>1536587971</v>
      </c>
    </row>
    <row r="232" spans="1:21" x14ac:dyDescent="0.2">
      <c r="A232" s="134">
        <v>45324</v>
      </c>
      <c r="B232" s="135">
        <f>YEAR(source[[#This Row],[report_date]])</f>
        <v>2024</v>
      </c>
      <c r="C232" s="136">
        <v>2</v>
      </c>
      <c r="D232" s="136">
        <f t="shared" si="28"/>
        <v>5</v>
      </c>
      <c r="E232" s="136">
        <f t="shared" si="29"/>
        <v>2</v>
      </c>
      <c r="F232" s="128" t="s">
        <v>58</v>
      </c>
      <c r="G232" s="128" t="str">
        <f>VLOOKUP(source[[#This Row],[lending_product_transform]],[3]Mapping!$B$4:$C$37,2,0)</f>
        <v>[VDS] - Payroll Cashloan</v>
      </c>
      <c r="H232" s="128" t="str">
        <f>VLOOKUP(source[[#This Row],[lending_product_transform]],[3]Mapping!$B$3:$D$37,3,0)</f>
        <v>cashloan</v>
      </c>
      <c r="I232" s="135">
        <v>42000000</v>
      </c>
      <c r="K232" s="179" t="s">
        <v>36</v>
      </c>
      <c r="L232" s="178">
        <v>16688920000</v>
      </c>
      <c r="M232" s="178">
        <v>23567050000</v>
      </c>
      <c r="N232" s="178">
        <v>23287260000</v>
      </c>
      <c r="O232" s="178">
        <v>18780980000</v>
      </c>
      <c r="P232" s="178">
        <v>15583380000</v>
      </c>
      <c r="Q232" s="178">
        <v>21270170000</v>
      </c>
      <c r="R232" s="178">
        <v>27463790000</v>
      </c>
      <c r="S232" s="178">
        <v>23796510000</v>
      </c>
      <c r="T232" s="178">
        <v>23014970000</v>
      </c>
      <c r="U232" s="178">
        <v>193453030000</v>
      </c>
    </row>
    <row r="233" spans="1:21" x14ac:dyDescent="0.2">
      <c r="A233" s="134">
        <v>45324</v>
      </c>
      <c r="B233" s="135">
        <f>YEAR(source[[#This Row],[report_date]])</f>
        <v>2024</v>
      </c>
      <c r="C233" s="136">
        <v>2</v>
      </c>
      <c r="D233" s="136">
        <f t="shared" si="28"/>
        <v>5</v>
      </c>
      <c r="E233" s="136">
        <f t="shared" si="29"/>
        <v>2</v>
      </c>
      <c r="F233" s="128" t="s">
        <v>19</v>
      </c>
      <c r="G233" s="128" t="str">
        <f>VLOOKUP(source[[#This Row],[lending_product_transform]],[3]Mapping!$B$4:$C$37,2,0)</f>
        <v>[VDS] - Payday</v>
      </c>
      <c r="H233" s="128" t="str">
        <f>VLOOKUP(source[[#This Row],[lending_product_transform]],[3]Mapping!$B$3:$D$37,3,0)</f>
        <v>payday</v>
      </c>
      <c r="I233" s="135">
        <v>1487000000</v>
      </c>
      <c r="K233" s="179" t="s">
        <v>176</v>
      </c>
      <c r="L233" s="178">
        <v>162078000</v>
      </c>
      <c r="M233" s="178">
        <v>128855000</v>
      </c>
      <c r="N233" s="178">
        <v>95849000</v>
      </c>
      <c r="O233" s="178">
        <v>91026000</v>
      </c>
      <c r="P233" s="178">
        <v>164223838</v>
      </c>
      <c r="Q233" s="178">
        <v>328754719</v>
      </c>
      <c r="R233" s="178">
        <v>124063924</v>
      </c>
      <c r="S233" s="178">
        <v>123617678</v>
      </c>
      <c r="T233" s="178">
        <v>108324041</v>
      </c>
      <c r="U233" s="178">
        <v>1326792200</v>
      </c>
    </row>
    <row r="234" spans="1:21" x14ac:dyDescent="0.2">
      <c r="A234" s="134">
        <v>45325</v>
      </c>
      <c r="B234" s="135">
        <f>YEAR(source[[#This Row],[report_date]])</f>
        <v>2024</v>
      </c>
      <c r="C234" s="136">
        <v>2</v>
      </c>
      <c r="D234" s="136">
        <f t="shared" si="28"/>
        <v>5</v>
      </c>
      <c r="E234" s="136">
        <f t="shared" si="29"/>
        <v>3</v>
      </c>
      <c r="F234" s="128" t="s">
        <v>65</v>
      </c>
      <c r="G234" s="128" t="str">
        <f>VLOOKUP(source[[#This Row],[lending_product_transform]],[3]Mapping!$B$4:$C$37,2,0)</f>
        <v>[BE] - Cashloan</v>
      </c>
      <c r="H234" s="128" t="str">
        <f>VLOOKUP(source[[#This Row],[lending_product_transform]],[3]Mapping!$B$3:$D$37,3,0)</f>
        <v>cashloan</v>
      </c>
      <c r="I234" s="135">
        <v>147000000</v>
      </c>
      <c r="K234" s="179" t="s">
        <v>39</v>
      </c>
      <c r="L234" s="178">
        <v>2936196000</v>
      </c>
      <c r="M234" s="178">
        <v>5331978650</v>
      </c>
      <c r="N234" s="178">
        <v>4490295985</v>
      </c>
      <c r="O234" s="178">
        <v>3733481289</v>
      </c>
      <c r="P234" s="178">
        <v>4454312240</v>
      </c>
      <c r="Q234" s="178">
        <v>10624178538</v>
      </c>
      <c r="R234" s="178">
        <v>6663356033</v>
      </c>
      <c r="S234" s="178">
        <v>4718892038</v>
      </c>
      <c r="T234" s="178">
        <v>5040657067</v>
      </c>
      <c r="U234" s="178">
        <v>47993347840</v>
      </c>
    </row>
    <row r="235" spans="1:21" x14ac:dyDescent="0.2">
      <c r="A235" s="134">
        <v>45325</v>
      </c>
      <c r="B235" s="135">
        <f>YEAR(source[[#This Row],[report_date]])</f>
        <v>2024</v>
      </c>
      <c r="C235" s="136">
        <v>2</v>
      </c>
      <c r="D235" s="136">
        <f t="shared" si="28"/>
        <v>5</v>
      </c>
      <c r="E235" s="136">
        <f t="shared" si="29"/>
        <v>3</v>
      </c>
      <c r="F235" s="128" t="s">
        <v>56</v>
      </c>
      <c r="G235" s="128">
        <f>VLOOKUP(source[[#This Row],[lending_product_transform]],[3]Mapping!$B$4:$C$37,2,0)</f>
        <v>0</v>
      </c>
      <c r="H235" s="128">
        <f>VLOOKUP(source[[#This Row],[lending_product_transform]],[3]Mapping!$B$3:$D$37,3,0)</f>
        <v>0</v>
      </c>
      <c r="I235" s="135">
        <v>6644252477</v>
      </c>
      <c r="K235" s="179" t="s">
        <v>206</v>
      </c>
      <c r="L235" s="178">
        <v>0</v>
      </c>
      <c r="M235" s="178">
        <v>0</v>
      </c>
      <c r="N235" s="178">
        <v>0</v>
      </c>
      <c r="O235" s="178">
        <v>0</v>
      </c>
      <c r="P235" s="178">
        <v>0</v>
      </c>
      <c r="Q235" s="178">
        <v>0</v>
      </c>
      <c r="R235" s="178">
        <v>0</v>
      </c>
      <c r="S235" s="178">
        <v>0</v>
      </c>
      <c r="T235" s="178">
        <v>0</v>
      </c>
      <c r="U235" s="178">
        <v>0</v>
      </c>
    </row>
    <row r="236" spans="1:21" x14ac:dyDescent="0.2">
      <c r="A236" s="134">
        <v>45325</v>
      </c>
      <c r="B236" s="135">
        <f>YEAR(source[[#This Row],[report_date]])</f>
        <v>2024</v>
      </c>
      <c r="C236" s="136">
        <v>2</v>
      </c>
      <c r="D236" s="136">
        <f t="shared" si="28"/>
        <v>5</v>
      </c>
      <c r="E236" s="136">
        <f t="shared" si="29"/>
        <v>3</v>
      </c>
      <c r="F236" s="128" t="s">
        <v>58</v>
      </c>
      <c r="G236" s="128" t="str">
        <f>VLOOKUP(source[[#This Row],[lending_product_transform]],[3]Mapping!$B$4:$C$37,2,0)</f>
        <v>[VDS] - Payroll Cashloan</v>
      </c>
      <c r="H236" s="128" t="str">
        <f>VLOOKUP(source[[#This Row],[lending_product_transform]],[3]Mapping!$B$3:$D$37,3,0)</f>
        <v>cashloan</v>
      </c>
      <c r="I236" s="135">
        <v>93450000</v>
      </c>
      <c r="K236" s="179" t="s">
        <v>64</v>
      </c>
      <c r="L236" s="178">
        <v>979350000</v>
      </c>
      <c r="M236" s="178">
        <v>1498950000</v>
      </c>
      <c r="N236" s="178">
        <v>1289200000</v>
      </c>
      <c r="O236" s="178">
        <v>1228750000</v>
      </c>
      <c r="P236" s="178">
        <v>1223500000</v>
      </c>
      <c r="Q236" s="178">
        <v>1928000000</v>
      </c>
      <c r="R236" s="178">
        <v>2640200000</v>
      </c>
      <c r="S236" s="178">
        <v>2391350000</v>
      </c>
      <c r="T236" s="178">
        <v>2804700000</v>
      </c>
      <c r="U236" s="178">
        <v>15984000000</v>
      </c>
    </row>
    <row r="237" spans="1:21" x14ac:dyDescent="0.2">
      <c r="A237" s="134">
        <v>45325</v>
      </c>
      <c r="B237" s="135">
        <f>YEAR(source[[#This Row],[report_date]])</f>
        <v>2024</v>
      </c>
      <c r="C237" s="136">
        <v>2</v>
      </c>
      <c r="D237" s="136">
        <f t="shared" si="28"/>
        <v>5</v>
      </c>
      <c r="E237" s="136">
        <f t="shared" si="29"/>
        <v>3</v>
      </c>
      <c r="F237" s="128" t="s">
        <v>67</v>
      </c>
      <c r="G237" s="128" t="str">
        <f>VLOOKUP(source[[#This Row],[lending_product_transform]],[3]Mapping!$B$4:$C$37,2,0)</f>
        <v>[Cake] - Overdraft</v>
      </c>
      <c r="H237" s="128" t="str">
        <f>VLOOKUP(source[[#This Row],[lending_product_transform]],[3]Mapping!$B$3:$D$37,3,0)</f>
        <v>overdraft</v>
      </c>
      <c r="I237" s="135">
        <v>2454002477</v>
      </c>
      <c r="K237" s="179" t="s">
        <v>11</v>
      </c>
      <c r="L237" s="178">
        <v>80570730000</v>
      </c>
      <c r="M237" s="178">
        <v>110332530000</v>
      </c>
      <c r="N237" s="178">
        <v>110357220000</v>
      </c>
      <c r="O237" s="178">
        <v>114690010000</v>
      </c>
      <c r="P237" s="178">
        <v>102814090000</v>
      </c>
      <c r="Q237" s="178">
        <v>115233590000</v>
      </c>
      <c r="R237" s="178">
        <v>135603850000</v>
      </c>
      <c r="S237" s="178">
        <v>117009170000</v>
      </c>
      <c r="T237" s="178">
        <v>116266440000</v>
      </c>
      <c r="U237" s="178">
        <v>1002877630000</v>
      </c>
    </row>
    <row r="238" spans="1:21" x14ac:dyDescent="0.2">
      <c r="A238" s="134">
        <v>45325</v>
      </c>
      <c r="B238" s="135">
        <f>YEAR(source[[#This Row],[report_date]])</f>
        <v>2024</v>
      </c>
      <c r="C238" s="136">
        <v>2</v>
      </c>
      <c r="D238" s="136">
        <f t="shared" si="28"/>
        <v>5</v>
      </c>
      <c r="E238" s="136">
        <f t="shared" si="29"/>
        <v>3</v>
      </c>
      <c r="F238" s="128" t="s">
        <v>61</v>
      </c>
      <c r="G238" s="128" t="str">
        <f>VLOOKUP(source[[#This Row],[lending_product_transform]],[3]Mapping!$B$4:$C$37,2,0)</f>
        <v>[VDS] - Payroll Payday</v>
      </c>
      <c r="H238" s="128" t="str">
        <f>VLOOKUP(source[[#This Row],[lending_product_transform]],[3]Mapping!$B$3:$D$37,3,0)</f>
        <v>payday</v>
      </c>
      <c r="I238" s="135">
        <v>18000000</v>
      </c>
      <c r="K238" s="179" t="s">
        <v>221</v>
      </c>
      <c r="L238" s="178">
        <v>0</v>
      </c>
      <c r="M238" s="178">
        <v>0</v>
      </c>
      <c r="N238" s="178">
        <v>0</v>
      </c>
      <c r="O238" s="178">
        <v>0</v>
      </c>
      <c r="P238" s="178">
        <v>0</v>
      </c>
      <c r="Q238" s="178">
        <v>0</v>
      </c>
      <c r="R238" s="178">
        <v>0</v>
      </c>
      <c r="S238" s="178">
        <v>0</v>
      </c>
      <c r="T238" s="178">
        <v>0</v>
      </c>
      <c r="U238" s="178">
        <v>0</v>
      </c>
    </row>
    <row r="239" spans="1:21" x14ac:dyDescent="0.2">
      <c r="A239" s="134">
        <v>45325</v>
      </c>
      <c r="B239" s="135">
        <f>YEAR(source[[#This Row],[report_date]])</f>
        <v>2024</v>
      </c>
      <c r="C239" s="136">
        <v>2</v>
      </c>
      <c r="D239" s="136">
        <f t="shared" si="28"/>
        <v>5</v>
      </c>
      <c r="E239" s="136">
        <f t="shared" si="29"/>
        <v>3</v>
      </c>
      <c r="F239" s="128" t="s">
        <v>19</v>
      </c>
      <c r="G239" s="128" t="str">
        <f>VLOOKUP(source[[#This Row],[lending_product_transform]],[3]Mapping!$B$4:$C$37,2,0)</f>
        <v>[VDS] - Payday</v>
      </c>
      <c r="H239" s="128" t="str">
        <f>VLOOKUP(source[[#This Row],[lending_product_transform]],[3]Mapping!$B$3:$D$37,3,0)</f>
        <v>payday</v>
      </c>
      <c r="I239" s="135">
        <v>1562000000</v>
      </c>
      <c r="K239" s="179" t="s">
        <v>222</v>
      </c>
      <c r="L239" s="178">
        <v>0</v>
      </c>
      <c r="M239" s="178">
        <v>0</v>
      </c>
      <c r="N239" s="178">
        <v>0</v>
      </c>
      <c r="O239" s="178">
        <v>0</v>
      </c>
      <c r="P239" s="178">
        <v>0</v>
      </c>
      <c r="Q239" s="178">
        <v>0</v>
      </c>
      <c r="R239" s="178">
        <v>0</v>
      </c>
      <c r="S239" s="178">
        <v>0</v>
      </c>
      <c r="T239" s="178">
        <v>0</v>
      </c>
      <c r="U239" s="178">
        <v>0</v>
      </c>
    </row>
    <row r="240" spans="1:21" x14ac:dyDescent="0.2">
      <c r="A240" s="134">
        <v>45325</v>
      </c>
      <c r="B240" s="135">
        <f>YEAR(source[[#This Row],[report_date]])</f>
        <v>2024</v>
      </c>
      <c r="C240" s="136">
        <v>2</v>
      </c>
      <c r="D240" s="136">
        <f t="shared" si="28"/>
        <v>5</v>
      </c>
      <c r="E240" s="136">
        <f t="shared" si="29"/>
        <v>3</v>
      </c>
      <c r="F240" s="128" t="s">
        <v>11</v>
      </c>
      <c r="G240" s="128" t="str">
        <f>VLOOKUP(source[[#This Row],[lending_product_transform]],[3]Mapping!$B$4:$C$37,2,0)</f>
        <v>[VDS] - Cashloan</v>
      </c>
      <c r="H240" s="128" t="str">
        <f>VLOOKUP(source[[#This Row],[lending_product_transform]],[3]Mapping!$B$3:$D$37,3,0)</f>
        <v>cashloan</v>
      </c>
      <c r="I240" s="135">
        <v>2369800000</v>
      </c>
      <c r="K240" s="179" t="s">
        <v>223</v>
      </c>
      <c r="L240" s="178">
        <v>0</v>
      </c>
      <c r="M240" s="178">
        <v>0</v>
      </c>
      <c r="N240" s="178">
        <v>0</v>
      </c>
      <c r="O240" s="178">
        <v>0</v>
      </c>
      <c r="P240" s="178">
        <v>0</v>
      </c>
      <c r="Q240" s="178">
        <v>0</v>
      </c>
      <c r="R240" s="178">
        <v>0</v>
      </c>
      <c r="S240" s="178">
        <v>0</v>
      </c>
      <c r="T240" s="178">
        <v>0</v>
      </c>
      <c r="U240" s="178">
        <v>0</v>
      </c>
    </row>
    <row r="241" spans="1:21" x14ac:dyDescent="0.2">
      <c r="A241" s="134">
        <v>45326</v>
      </c>
      <c r="B241" s="135">
        <f>YEAR(source[[#This Row],[report_date]])</f>
        <v>2024</v>
      </c>
      <c r="C241" s="136">
        <v>2</v>
      </c>
      <c r="D241" s="136">
        <f t="shared" si="28"/>
        <v>5</v>
      </c>
      <c r="E241" s="136">
        <f t="shared" si="29"/>
        <v>4</v>
      </c>
      <c r="F241" s="128" t="s">
        <v>19</v>
      </c>
      <c r="G241" s="128" t="str">
        <f>VLOOKUP(source[[#This Row],[lending_product_transform]],[3]Mapping!$B$4:$C$37,2,0)</f>
        <v>[VDS] - Payday</v>
      </c>
      <c r="H241" s="128" t="str">
        <f>VLOOKUP(source[[#This Row],[lending_product_transform]],[3]Mapping!$B$3:$D$37,3,0)</f>
        <v>payday</v>
      </c>
      <c r="I241" s="135">
        <v>1414500000</v>
      </c>
      <c r="K241" s="179" t="s">
        <v>219</v>
      </c>
      <c r="L241" s="178">
        <v>5000000</v>
      </c>
      <c r="M241" s="178">
        <v>92000000</v>
      </c>
      <c r="N241" s="178">
        <v>43870000</v>
      </c>
      <c r="O241" s="178">
        <v>42000000</v>
      </c>
      <c r="P241" s="178">
        <v>57100000</v>
      </c>
      <c r="Q241" s="178">
        <v>0</v>
      </c>
      <c r="R241" s="178">
        <v>42840000</v>
      </c>
      <c r="S241" s="178">
        <v>12000000</v>
      </c>
      <c r="T241" s="178">
        <v>5000000</v>
      </c>
      <c r="U241" s="178">
        <v>299810000</v>
      </c>
    </row>
    <row r="242" spans="1:21" x14ac:dyDescent="0.2">
      <c r="A242" s="134">
        <v>45326</v>
      </c>
      <c r="B242" s="135">
        <f>YEAR(source[[#This Row],[report_date]])</f>
        <v>2024</v>
      </c>
      <c r="C242" s="136">
        <v>2</v>
      </c>
      <c r="D242" s="136">
        <f t="shared" si="28"/>
        <v>5</v>
      </c>
      <c r="E242" s="136">
        <f t="shared" si="29"/>
        <v>4</v>
      </c>
      <c r="F242" s="128" t="s">
        <v>56</v>
      </c>
      <c r="G242" s="128">
        <f>VLOOKUP(source[[#This Row],[lending_product_transform]],[3]Mapping!$B$4:$C$37,2,0)</f>
        <v>0</v>
      </c>
      <c r="H242" s="128">
        <f>VLOOKUP(source[[#This Row],[lending_product_transform]],[3]Mapping!$B$3:$D$37,3,0)</f>
        <v>0</v>
      </c>
      <c r="I242" s="135">
        <v>6362040259</v>
      </c>
      <c r="K242" s="179" t="s">
        <v>19</v>
      </c>
      <c r="L242" s="178">
        <v>51801984000</v>
      </c>
      <c r="M242" s="178">
        <v>79645896000</v>
      </c>
      <c r="N242" s="178">
        <v>77393772000</v>
      </c>
      <c r="O242" s="178">
        <v>67678956000</v>
      </c>
      <c r="P242" s="178">
        <v>65409552000</v>
      </c>
      <c r="Q242" s="178">
        <v>70528212000</v>
      </c>
      <c r="R242" s="178">
        <v>76762728000</v>
      </c>
      <c r="S242" s="178">
        <v>62611812000</v>
      </c>
      <c r="T242" s="178">
        <v>58882464000</v>
      </c>
      <c r="U242" s="178">
        <v>610715376000</v>
      </c>
    </row>
    <row r="243" spans="1:21" x14ac:dyDescent="0.2">
      <c r="A243" s="134">
        <v>45326</v>
      </c>
      <c r="B243" s="135">
        <f>YEAR(source[[#This Row],[report_date]])</f>
        <v>2024</v>
      </c>
      <c r="C243" s="136">
        <v>2</v>
      </c>
      <c r="D243" s="136">
        <f t="shared" si="28"/>
        <v>5</v>
      </c>
      <c r="E243" s="136">
        <f t="shared" si="29"/>
        <v>4</v>
      </c>
      <c r="F243" s="128" t="s">
        <v>61</v>
      </c>
      <c r="G243" s="128" t="str">
        <f>VLOOKUP(source[[#This Row],[lending_product_transform]],[3]Mapping!$B$4:$C$37,2,0)</f>
        <v>[VDS] - Payroll Payday</v>
      </c>
      <c r="H243" s="128" t="str">
        <f>VLOOKUP(source[[#This Row],[lending_product_transform]],[3]Mapping!$B$3:$D$37,3,0)</f>
        <v>payday</v>
      </c>
      <c r="I243" s="135">
        <v>37000000</v>
      </c>
      <c r="K243" s="179" t="s">
        <v>62</v>
      </c>
      <c r="L243" s="178">
        <v>2588385516</v>
      </c>
      <c r="M243" s="178">
        <v>2407047658</v>
      </c>
      <c r="N243" s="178">
        <v>1589499401</v>
      </c>
      <c r="O243" s="178">
        <v>1462466707</v>
      </c>
      <c r="P243" s="178">
        <v>1922664845</v>
      </c>
      <c r="Q243" s="178">
        <v>3215041777</v>
      </c>
      <c r="R243" s="178">
        <v>1595378019</v>
      </c>
      <c r="S243" s="178">
        <v>1128771716</v>
      </c>
      <c r="T243" s="178">
        <v>1126975643</v>
      </c>
      <c r="U243" s="178">
        <v>17036231282</v>
      </c>
    </row>
    <row r="244" spans="1:21" x14ac:dyDescent="0.2">
      <c r="A244" s="134">
        <v>45326</v>
      </c>
      <c r="B244" s="135">
        <f>YEAR(source[[#This Row],[report_date]])</f>
        <v>2024</v>
      </c>
      <c r="C244" s="136">
        <v>2</v>
      </c>
      <c r="D244" s="136">
        <f t="shared" si="28"/>
        <v>5</v>
      </c>
      <c r="E244" s="136">
        <f t="shared" si="29"/>
        <v>4</v>
      </c>
      <c r="F244" s="128" t="s">
        <v>58</v>
      </c>
      <c r="G244" s="128" t="str">
        <f>VLOOKUP(source[[#This Row],[lending_product_transform]],[3]Mapping!$B$4:$C$37,2,0)</f>
        <v>[VDS] - Payroll Cashloan</v>
      </c>
      <c r="H244" s="128" t="str">
        <f>VLOOKUP(source[[#This Row],[lending_product_transform]],[3]Mapping!$B$3:$D$37,3,0)</f>
        <v>cashloan</v>
      </c>
      <c r="I244" s="135">
        <v>83000000</v>
      </c>
      <c r="K244" s="179" t="s">
        <v>58</v>
      </c>
      <c r="L244" s="178">
        <v>199500000</v>
      </c>
      <c r="M244" s="178">
        <v>268300000</v>
      </c>
      <c r="N244" s="178">
        <v>198150000</v>
      </c>
      <c r="O244" s="178">
        <v>280300000</v>
      </c>
      <c r="P244" s="178">
        <v>164750000</v>
      </c>
      <c r="Q244" s="178">
        <v>136100000</v>
      </c>
      <c r="R244" s="178">
        <v>205850000</v>
      </c>
      <c r="S244" s="178">
        <v>150800000</v>
      </c>
      <c r="T244" s="178">
        <v>199000000</v>
      </c>
      <c r="U244" s="178">
        <v>1802750000</v>
      </c>
    </row>
    <row r="245" spans="1:21" x14ac:dyDescent="0.2">
      <c r="A245" s="134">
        <v>45326</v>
      </c>
      <c r="B245" s="135">
        <f>YEAR(source[[#This Row],[report_date]])</f>
        <v>2024</v>
      </c>
      <c r="C245" s="136">
        <v>2</v>
      </c>
      <c r="D245" s="136">
        <f t="shared" si="28"/>
        <v>5</v>
      </c>
      <c r="E245" s="136">
        <f t="shared" si="29"/>
        <v>4</v>
      </c>
      <c r="F245" s="128" t="s">
        <v>65</v>
      </c>
      <c r="G245" s="128" t="str">
        <f>VLOOKUP(source[[#This Row],[lending_product_transform]],[3]Mapping!$B$4:$C$37,2,0)</f>
        <v>[BE] - Cashloan</v>
      </c>
      <c r="H245" s="128" t="str">
        <f>VLOOKUP(source[[#This Row],[lending_product_transform]],[3]Mapping!$B$3:$D$37,3,0)</f>
        <v>cashloan</v>
      </c>
      <c r="I245" s="135">
        <v>304500000</v>
      </c>
      <c r="K245" s="179" t="s">
        <v>61</v>
      </c>
      <c r="L245" s="178">
        <v>215000000</v>
      </c>
      <c r="M245" s="178">
        <v>315000000</v>
      </c>
      <c r="N245" s="178">
        <v>166000000</v>
      </c>
      <c r="O245" s="178">
        <v>302000000</v>
      </c>
      <c r="P245" s="178">
        <v>284000000</v>
      </c>
      <c r="Q245" s="178">
        <v>273000000</v>
      </c>
      <c r="R245" s="178">
        <v>248000000</v>
      </c>
      <c r="S245" s="178">
        <v>239000000</v>
      </c>
      <c r="T245" s="178">
        <v>428000000</v>
      </c>
      <c r="U245" s="178">
        <v>2470000000</v>
      </c>
    </row>
    <row r="246" spans="1:21" x14ac:dyDescent="0.2">
      <c r="A246" s="134">
        <v>45326</v>
      </c>
      <c r="B246" s="135">
        <f>YEAR(source[[#This Row],[report_date]])</f>
        <v>2024</v>
      </c>
      <c r="C246" s="136">
        <v>2</v>
      </c>
      <c r="D246" s="136">
        <f t="shared" si="28"/>
        <v>5</v>
      </c>
      <c r="E246" s="136">
        <f t="shared" si="29"/>
        <v>4</v>
      </c>
      <c r="F246" s="128" t="s">
        <v>67</v>
      </c>
      <c r="G246" s="128" t="str">
        <f>VLOOKUP(source[[#This Row],[lending_product_transform]],[3]Mapping!$B$4:$C$37,2,0)</f>
        <v>[Cake] - Overdraft</v>
      </c>
      <c r="H246" s="128" t="str">
        <f>VLOOKUP(source[[#This Row],[lending_product_transform]],[3]Mapping!$B$3:$D$37,3,0)</f>
        <v>overdraft</v>
      </c>
      <c r="I246" s="135">
        <v>2268490259</v>
      </c>
      <c r="K246" s="179" t="s">
        <v>57</v>
      </c>
      <c r="L246" s="178">
        <v>3242230000</v>
      </c>
      <c r="M246" s="178">
        <v>4684870000</v>
      </c>
      <c r="N246" s="178">
        <v>4457810000</v>
      </c>
      <c r="O246" s="178">
        <v>5530380000</v>
      </c>
      <c r="P246" s="178">
        <v>5796100000</v>
      </c>
      <c r="Q246" s="178">
        <v>5258730000</v>
      </c>
      <c r="R246" s="178">
        <v>4526700000</v>
      </c>
      <c r="S246" s="178">
        <v>4465850000</v>
      </c>
      <c r="T246" s="178">
        <v>3903860000</v>
      </c>
      <c r="U246" s="178">
        <v>41866530000</v>
      </c>
    </row>
    <row r="247" spans="1:21" x14ac:dyDescent="0.2">
      <c r="A247" s="134">
        <v>45326</v>
      </c>
      <c r="B247" s="135">
        <f>YEAR(source[[#This Row],[report_date]])</f>
        <v>2024</v>
      </c>
      <c r="C247" s="136">
        <v>2</v>
      </c>
      <c r="D247" s="136">
        <f t="shared" si="28"/>
        <v>5</v>
      </c>
      <c r="E247" s="136">
        <f t="shared" si="29"/>
        <v>4</v>
      </c>
      <c r="F247" s="128" t="s">
        <v>11</v>
      </c>
      <c r="G247" s="128" t="str">
        <f>VLOOKUP(source[[#This Row],[lending_product_transform]],[3]Mapping!$B$4:$C$37,2,0)</f>
        <v>[VDS] - Cashloan</v>
      </c>
      <c r="H247" s="128" t="str">
        <f>VLOOKUP(source[[#This Row],[lending_product_transform]],[3]Mapping!$B$3:$D$37,3,0)</f>
        <v>cashloan</v>
      </c>
      <c r="I247" s="135">
        <v>2254550000</v>
      </c>
      <c r="K247" s="179" t="s">
        <v>63</v>
      </c>
      <c r="L247" s="178">
        <v>1031400000</v>
      </c>
      <c r="M247" s="178">
        <v>1434240000</v>
      </c>
      <c r="N247" s="178">
        <v>1327320000</v>
      </c>
      <c r="O247" s="178">
        <v>1556280000</v>
      </c>
      <c r="P247" s="178">
        <v>1528200000</v>
      </c>
      <c r="Q247" s="178">
        <v>1539972000</v>
      </c>
      <c r="R247" s="178">
        <v>1320300000</v>
      </c>
      <c r="S247" s="178">
        <v>1635120000</v>
      </c>
      <c r="T247" s="178">
        <v>1519776000</v>
      </c>
      <c r="U247" s="178">
        <v>12892608000</v>
      </c>
    </row>
    <row r="248" spans="1:21" x14ac:dyDescent="0.2">
      <c r="A248" s="134">
        <v>45327</v>
      </c>
      <c r="B248" s="135">
        <f>YEAR(source[[#This Row],[report_date]])</f>
        <v>2024</v>
      </c>
      <c r="C248" s="136">
        <v>2</v>
      </c>
      <c r="D248" s="136">
        <f t="shared" si="28"/>
        <v>6</v>
      </c>
      <c r="E248" s="136">
        <f t="shared" si="29"/>
        <v>5</v>
      </c>
      <c r="F248" s="128" t="s">
        <v>19</v>
      </c>
      <c r="G248" s="128" t="str">
        <f>VLOOKUP(source[[#This Row],[lending_product_transform]],[3]Mapping!$B$4:$C$37,2,0)</f>
        <v>[VDS] - Payday</v>
      </c>
      <c r="H248" s="128" t="str">
        <f>VLOOKUP(source[[#This Row],[lending_product_transform]],[3]Mapping!$B$3:$D$37,3,0)</f>
        <v>payday</v>
      </c>
      <c r="I248" s="135">
        <v>1919500000</v>
      </c>
      <c r="K248" s="179" t="s">
        <v>59</v>
      </c>
      <c r="L248" s="178">
        <v>5028440072</v>
      </c>
      <c r="M248" s="178">
        <v>3229420978</v>
      </c>
      <c r="N248" s="178">
        <v>2313072629</v>
      </c>
      <c r="O248" s="178">
        <v>2713427507</v>
      </c>
      <c r="P248" s="178">
        <v>4562822920</v>
      </c>
      <c r="Q248" s="178">
        <v>6987839823</v>
      </c>
      <c r="R248" s="178">
        <v>2585251372</v>
      </c>
      <c r="S248" s="178">
        <v>2434924368</v>
      </c>
      <c r="T248" s="178">
        <v>3125693335</v>
      </c>
      <c r="U248" s="178">
        <v>32980893004</v>
      </c>
    </row>
    <row r="249" spans="1:21" x14ac:dyDescent="0.2">
      <c r="A249" s="134">
        <v>45327</v>
      </c>
      <c r="B249" s="135">
        <f>YEAR(source[[#This Row],[report_date]])</f>
        <v>2024</v>
      </c>
      <c r="C249" s="136">
        <v>2</v>
      </c>
      <c r="D249" s="136">
        <f t="shared" si="28"/>
        <v>6</v>
      </c>
      <c r="E249" s="136">
        <f t="shared" si="29"/>
        <v>5</v>
      </c>
      <c r="F249" s="128" t="s">
        <v>67</v>
      </c>
      <c r="G249" s="128" t="str">
        <f>VLOOKUP(source[[#This Row],[lending_product_transform]],[3]Mapping!$B$4:$C$37,2,0)</f>
        <v>[Cake] - Overdraft</v>
      </c>
      <c r="H249" s="128" t="str">
        <f>VLOOKUP(source[[#This Row],[lending_product_transform]],[3]Mapping!$B$3:$D$37,3,0)</f>
        <v>overdraft</v>
      </c>
      <c r="I249" s="135">
        <v>2986917763</v>
      </c>
      <c r="K249" s="179" t="s">
        <v>31</v>
      </c>
      <c r="L249" s="178">
        <v>24311720000</v>
      </c>
      <c r="M249" s="178">
        <v>32138150000</v>
      </c>
      <c r="N249" s="178">
        <v>26456740000</v>
      </c>
      <c r="O249" s="178">
        <v>25906310000</v>
      </c>
      <c r="P249" s="178">
        <v>25036150000</v>
      </c>
      <c r="Q249" s="178">
        <v>25536400000</v>
      </c>
      <c r="R249" s="178">
        <v>23370060000</v>
      </c>
      <c r="S249" s="178">
        <v>21085710000</v>
      </c>
      <c r="T249" s="178">
        <v>21115020000</v>
      </c>
      <c r="U249" s="178">
        <v>224956260000</v>
      </c>
    </row>
    <row r="250" spans="1:21" x14ac:dyDescent="0.2">
      <c r="A250" s="134">
        <v>45327</v>
      </c>
      <c r="B250" s="135">
        <f>YEAR(source[[#This Row],[report_date]])</f>
        <v>2024</v>
      </c>
      <c r="C250" s="136">
        <v>2</v>
      </c>
      <c r="D250" s="136">
        <f t="shared" si="28"/>
        <v>6</v>
      </c>
      <c r="E250" s="136">
        <f t="shared" si="29"/>
        <v>5</v>
      </c>
      <c r="F250" s="128" t="s">
        <v>56</v>
      </c>
      <c r="G250" s="128">
        <f>VLOOKUP(source[[#This Row],[lending_product_transform]],[3]Mapping!$B$4:$C$37,2,0)</f>
        <v>0</v>
      </c>
      <c r="H250" s="128">
        <f>VLOOKUP(source[[#This Row],[lending_product_transform]],[3]Mapping!$B$3:$D$37,3,0)</f>
        <v>0</v>
      </c>
      <c r="I250" s="135">
        <v>8671267763</v>
      </c>
      <c r="K250" s="180" t="s">
        <v>68</v>
      </c>
      <c r="L250" s="174">
        <v>336386239030</v>
      </c>
      <c r="M250" s="174">
        <v>474491535133</v>
      </c>
      <c r="N250" s="174">
        <v>450256338386</v>
      </c>
      <c r="O250" s="174">
        <v>425601721990</v>
      </c>
      <c r="P250" s="174">
        <v>407195514166</v>
      </c>
      <c r="Q250" s="174">
        <v>468049996241</v>
      </c>
      <c r="R250" s="174">
        <v>482262102680</v>
      </c>
      <c r="S250" s="174">
        <v>467660425869</v>
      </c>
      <c r="T250" s="174">
        <v>501875400480</v>
      </c>
      <c r="U250" s="174">
        <v>4013779273975</v>
      </c>
    </row>
    <row r="251" spans="1:21" x14ac:dyDescent="0.2">
      <c r="A251" s="134">
        <v>45327</v>
      </c>
      <c r="B251" s="135">
        <f>YEAR(source[[#This Row],[report_date]])</f>
        <v>2024</v>
      </c>
      <c r="C251" s="136">
        <v>2</v>
      </c>
      <c r="D251" s="136">
        <f t="shared" si="28"/>
        <v>6</v>
      </c>
      <c r="E251" s="136">
        <f t="shared" si="29"/>
        <v>5</v>
      </c>
      <c r="F251" s="128" t="s">
        <v>11</v>
      </c>
      <c r="G251" s="128" t="str">
        <f>VLOOKUP(source[[#This Row],[lending_product_transform]],[3]Mapping!$B$4:$C$37,2,0)</f>
        <v>[VDS] - Cashloan</v>
      </c>
      <c r="H251" s="128" t="str">
        <f>VLOOKUP(source[[#This Row],[lending_product_transform]],[3]Mapping!$B$3:$D$37,3,0)</f>
        <v>cashloan</v>
      </c>
      <c r="I251" s="135">
        <v>3007500000</v>
      </c>
      <c r="K251" s="142" t="s">
        <v>233</v>
      </c>
      <c r="L251" s="135">
        <f>L250/7</f>
        <v>48055177004.285713</v>
      </c>
      <c r="M251" s="135">
        <f>M250/7</f>
        <v>67784505019</v>
      </c>
      <c r="N251" s="135">
        <f>N250/7</f>
        <v>64322334055.14286</v>
      </c>
      <c r="O251" s="135">
        <f>O250/7</f>
        <v>60800245998.571426</v>
      </c>
      <c r="P251" s="135">
        <f>P250/7</f>
        <v>58170787738</v>
      </c>
    </row>
    <row r="252" spans="1:21" x14ac:dyDescent="0.2">
      <c r="A252" s="134">
        <v>45327</v>
      </c>
      <c r="B252" s="135">
        <f>YEAR(source[[#This Row],[report_date]])</f>
        <v>2024</v>
      </c>
      <c r="C252" s="136">
        <v>2</v>
      </c>
      <c r="D252" s="136">
        <f t="shared" si="28"/>
        <v>6</v>
      </c>
      <c r="E252" s="136">
        <f t="shared" si="29"/>
        <v>5</v>
      </c>
      <c r="F252" s="128" t="s">
        <v>58</v>
      </c>
      <c r="G252" s="128" t="str">
        <f>VLOOKUP(source[[#This Row],[lending_product_transform]],[3]Mapping!$B$4:$C$37,2,0)</f>
        <v>[VDS] - Payroll Cashloan</v>
      </c>
      <c r="H252" s="128" t="str">
        <f>VLOOKUP(source[[#This Row],[lending_product_transform]],[3]Mapping!$B$3:$D$37,3,0)</f>
        <v>cashloan</v>
      </c>
      <c r="I252" s="135">
        <v>231000000</v>
      </c>
      <c r="M252" s="136">
        <f>AVERAGE(L251:N251)</f>
        <v>60054005359.476189</v>
      </c>
      <c r="N252" s="136"/>
      <c r="O252" s="136">
        <f>AVERAGE(O251:P251)</f>
        <v>59485516868.285713</v>
      </c>
      <c r="P252" s="136"/>
    </row>
    <row r="253" spans="1:21" x14ac:dyDescent="0.2">
      <c r="A253" s="134">
        <v>45327</v>
      </c>
      <c r="B253" s="135">
        <f>YEAR(source[[#This Row],[report_date]])</f>
        <v>2024</v>
      </c>
      <c r="C253" s="136">
        <v>2</v>
      </c>
      <c r="D253" s="136">
        <f t="shared" si="28"/>
        <v>6</v>
      </c>
      <c r="E253" s="136">
        <f t="shared" si="29"/>
        <v>5</v>
      </c>
      <c r="F253" s="128" t="s">
        <v>61</v>
      </c>
      <c r="G253" s="128" t="str">
        <f>VLOOKUP(source[[#This Row],[lending_product_transform]],[3]Mapping!$B$4:$C$37,2,0)</f>
        <v>[VDS] - Payroll Payday</v>
      </c>
      <c r="H253" s="128" t="str">
        <f>VLOOKUP(source[[#This Row],[lending_product_transform]],[3]Mapping!$B$3:$D$37,3,0)</f>
        <v>payday</v>
      </c>
      <c r="I253" s="135">
        <v>120000000</v>
      </c>
      <c r="P253" s="138">
        <f>O252/M252</f>
        <v>0.99053371231797827</v>
      </c>
    </row>
    <row r="254" spans="1:21" x14ac:dyDescent="0.2">
      <c r="A254" s="134">
        <v>45327</v>
      </c>
      <c r="B254" s="135">
        <f>YEAR(source[[#This Row],[report_date]])</f>
        <v>2024</v>
      </c>
      <c r="C254" s="136">
        <v>2</v>
      </c>
      <c r="D254" s="136">
        <f t="shared" si="28"/>
        <v>6</v>
      </c>
      <c r="E254" s="136">
        <f t="shared" si="29"/>
        <v>5</v>
      </c>
      <c r="F254" s="128" t="s">
        <v>65</v>
      </c>
      <c r="G254" s="128" t="str">
        <f>VLOOKUP(source[[#This Row],[lending_product_transform]],[3]Mapping!$B$4:$C$37,2,0)</f>
        <v>[BE] - Cashloan</v>
      </c>
      <c r="H254" s="128" t="str">
        <f>VLOOKUP(source[[#This Row],[lending_product_transform]],[3]Mapping!$B$3:$D$37,3,0)</f>
        <v>cashloan</v>
      </c>
      <c r="I254" s="135">
        <v>406350000</v>
      </c>
    </row>
    <row r="255" spans="1:21" x14ac:dyDescent="0.2">
      <c r="A255" s="134">
        <v>45328</v>
      </c>
      <c r="B255" s="135">
        <f>YEAR(source[[#This Row],[report_date]])</f>
        <v>2024</v>
      </c>
      <c r="C255" s="136">
        <v>2</v>
      </c>
      <c r="D255" s="136">
        <f t="shared" si="28"/>
        <v>6</v>
      </c>
      <c r="E255" s="136">
        <f t="shared" si="29"/>
        <v>6</v>
      </c>
      <c r="F255" s="128" t="s">
        <v>19</v>
      </c>
      <c r="G255" s="128" t="str">
        <f>VLOOKUP(source[[#This Row],[lending_product_transform]],[3]Mapping!$B$4:$C$37,2,0)</f>
        <v>[VDS] - Payday</v>
      </c>
      <c r="H255" s="128" t="str">
        <f>VLOOKUP(source[[#This Row],[lending_product_transform]],[3]Mapping!$B$3:$D$37,3,0)</f>
        <v>payday</v>
      </c>
      <c r="I255" s="135">
        <v>1932500000</v>
      </c>
    </row>
    <row r="256" spans="1:21" x14ac:dyDescent="0.2">
      <c r="A256" s="134">
        <v>45328</v>
      </c>
      <c r="B256" s="135">
        <f>YEAR(source[[#This Row],[report_date]])</f>
        <v>2024</v>
      </c>
      <c r="C256" s="136">
        <v>2</v>
      </c>
      <c r="D256" s="136">
        <f t="shared" si="28"/>
        <v>6</v>
      </c>
      <c r="E256" s="136">
        <f t="shared" si="29"/>
        <v>6</v>
      </c>
      <c r="F256" s="128" t="s">
        <v>61</v>
      </c>
      <c r="G256" s="128" t="str">
        <f>VLOOKUP(source[[#This Row],[lending_product_transform]],[3]Mapping!$B$4:$C$37,2,0)</f>
        <v>[VDS] - Payroll Payday</v>
      </c>
      <c r="H256" s="128" t="str">
        <f>VLOOKUP(source[[#This Row],[lending_product_transform]],[3]Mapping!$B$3:$D$37,3,0)</f>
        <v>payday</v>
      </c>
      <c r="I256" s="135">
        <v>72000000</v>
      </c>
    </row>
    <row r="257" spans="1:21" x14ac:dyDescent="0.2">
      <c r="A257" s="134">
        <v>45328</v>
      </c>
      <c r="B257" s="135">
        <f>YEAR(source[[#This Row],[report_date]])</f>
        <v>2024</v>
      </c>
      <c r="C257" s="136">
        <v>2</v>
      </c>
      <c r="D257" s="136">
        <f t="shared" si="28"/>
        <v>6</v>
      </c>
      <c r="E257" s="136">
        <f t="shared" si="29"/>
        <v>6</v>
      </c>
      <c r="F257" s="128" t="s">
        <v>11</v>
      </c>
      <c r="G257" s="128" t="str">
        <f>VLOOKUP(source[[#This Row],[lending_product_transform]],[3]Mapping!$B$4:$C$37,2,0)</f>
        <v>[VDS] - Cashloan</v>
      </c>
      <c r="H257" s="128" t="str">
        <f>VLOOKUP(source[[#This Row],[lending_product_transform]],[3]Mapping!$B$3:$D$37,3,0)</f>
        <v>cashloan</v>
      </c>
      <c r="I257" s="135">
        <v>3047950000</v>
      </c>
    </row>
    <row r="258" spans="1:21" x14ac:dyDescent="0.2">
      <c r="A258" s="134">
        <v>45328</v>
      </c>
      <c r="B258" s="135">
        <f>YEAR(source[[#This Row],[report_date]])</f>
        <v>2024</v>
      </c>
      <c r="C258" s="136">
        <v>2</v>
      </c>
      <c r="D258" s="136">
        <f t="shared" si="28"/>
        <v>6</v>
      </c>
      <c r="E258" s="136">
        <f t="shared" si="29"/>
        <v>6</v>
      </c>
      <c r="F258" s="128" t="s">
        <v>58</v>
      </c>
      <c r="G258" s="128" t="str">
        <f>VLOOKUP(source[[#This Row],[lending_product_transform]],[3]Mapping!$B$4:$C$37,2,0)</f>
        <v>[VDS] - Payroll Cashloan</v>
      </c>
      <c r="H258" s="128" t="str">
        <f>VLOOKUP(source[[#This Row],[lending_product_transform]],[3]Mapping!$B$3:$D$37,3,0)</f>
        <v>cashloan</v>
      </c>
      <c r="I258" s="135">
        <v>147000000</v>
      </c>
      <c r="K258" s="181" t="s">
        <v>194</v>
      </c>
      <c r="L258" s="182">
        <v>2025</v>
      </c>
    </row>
    <row r="259" spans="1:21" x14ac:dyDescent="0.2">
      <c r="A259" s="134">
        <v>45328</v>
      </c>
      <c r="B259" s="135">
        <f>YEAR(source[[#This Row],[report_date]])</f>
        <v>2024</v>
      </c>
      <c r="C259" s="136">
        <v>2</v>
      </c>
      <c r="D259" s="136">
        <f t="shared" ref="D259:D322" si="30">WEEKNUM(A259,2)</f>
        <v>6</v>
      </c>
      <c r="E259" s="136">
        <f t="shared" ref="E259:E322" si="31">DAY(A259)</f>
        <v>6</v>
      </c>
      <c r="F259" s="128" t="s">
        <v>56</v>
      </c>
      <c r="G259" s="128">
        <f>VLOOKUP(source[[#This Row],[lending_product_transform]],[3]Mapping!$B$4:$C$37,2,0)</f>
        <v>0</v>
      </c>
      <c r="H259" s="128">
        <f>VLOOKUP(source[[#This Row],[lending_product_transform]],[3]Mapping!$B$3:$D$37,3,0)</f>
        <v>0</v>
      </c>
      <c r="I259" s="135">
        <v>8458780971</v>
      </c>
      <c r="K259" s="177" t="s">
        <v>195</v>
      </c>
      <c r="L259" s="61" t="s">
        <v>224</v>
      </c>
    </row>
    <row r="260" spans="1:21" x14ac:dyDescent="0.2">
      <c r="A260" s="134">
        <v>45328</v>
      </c>
      <c r="B260" s="135">
        <f>YEAR(source[[#This Row],[report_date]])</f>
        <v>2024</v>
      </c>
      <c r="C260" s="136">
        <v>2</v>
      </c>
      <c r="D260" s="136">
        <f t="shared" si="30"/>
        <v>6</v>
      </c>
      <c r="E260" s="136">
        <f t="shared" si="31"/>
        <v>6</v>
      </c>
      <c r="F260" s="128" t="s">
        <v>65</v>
      </c>
      <c r="G260" s="128" t="str">
        <f>VLOOKUP(source[[#This Row],[lending_product_transform]],[3]Mapping!$B$4:$C$37,2,0)</f>
        <v>[BE] - Cashloan</v>
      </c>
      <c r="H260" s="128" t="str">
        <f>VLOOKUP(source[[#This Row],[lending_product_transform]],[3]Mapping!$B$3:$D$37,3,0)</f>
        <v>cashloan</v>
      </c>
      <c r="I260" s="135">
        <v>397950000</v>
      </c>
      <c r="K260" s="175" t="s">
        <v>199</v>
      </c>
      <c r="L260" s="61" t="s">
        <v>224</v>
      </c>
      <c r="M260" s="137"/>
      <c r="N260" s="137"/>
    </row>
    <row r="261" spans="1:21" x14ac:dyDescent="0.2">
      <c r="A261" s="134">
        <v>45328</v>
      </c>
      <c r="B261" s="135">
        <f>YEAR(source[[#This Row],[report_date]])</f>
        <v>2024</v>
      </c>
      <c r="C261" s="136">
        <v>2</v>
      </c>
      <c r="D261" s="136">
        <f t="shared" si="30"/>
        <v>6</v>
      </c>
      <c r="E261" s="136">
        <f t="shared" si="31"/>
        <v>6</v>
      </c>
      <c r="F261" s="128" t="s">
        <v>67</v>
      </c>
      <c r="G261" s="128" t="str">
        <f>VLOOKUP(source[[#This Row],[lending_product_transform]],[3]Mapping!$B$4:$C$37,2,0)</f>
        <v>[Cake] - Overdraft</v>
      </c>
      <c r="H261" s="128" t="str">
        <f>VLOOKUP(source[[#This Row],[lending_product_transform]],[3]Mapping!$B$3:$D$37,3,0)</f>
        <v>overdraft</v>
      </c>
      <c r="I261" s="135">
        <v>2861380971</v>
      </c>
      <c r="K261" s="137"/>
      <c r="L261" s="137"/>
      <c r="M261" s="137"/>
      <c r="N261" s="137"/>
    </row>
    <row r="262" spans="1:21" x14ac:dyDescent="0.2">
      <c r="A262" s="134">
        <v>45329</v>
      </c>
      <c r="B262" s="135">
        <f>YEAR(source[[#This Row],[report_date]])</f>
        <v>2024</v>
      </c>
      <c r="C262" s="136">
        <v>2</v>
      </c>
      <c r="D262" s="136">
        <f t="shared" si="30"/>
        <v>6</v>
      </c>
      <c r="E262" s="136">
        <f t="shared" si="31"/>
        <v>7</v>
      </c>
      <c r="F262" s="128" t="s">
        <v>67</v>
      </c>
      <c r="G262" s="128" t="str">
        <f>VLOOKUP(source[[#This Row],[lending_product_transform]],[3]Mapping!$B$4:$C$37,2,0)</f>
        <v>[Cake] - Overdraft</v>
      </c>
      <c r="H262" s="128" t="str">
        <f>VLOOKUP(source[[#This Row],[lending_product_transform]],[3]Mapping!$B$3:$D$37,3,0)</f>
        <v>overdraft</v>
      </c>
      <c r="I262" s="135">
        <v>2279321173</v>
      </c>
      <c r="K262" s="177" t="s">
        <v>205</v>
      </c>
      <c r="L262" s="177" t="s">
        <v>69</v>
      </c>
      <c r="M262" s="137"/>
      <c r="N262" s="137"/>
      <c r="O262" s="137"/>
      <c r="P262" s="137"/>
      <c r="Q262" s="137"/>
      <c r="R262" s="137"/>
      <c r="S262" s="137"/>
      <c r="T262" s="137"/>
      <c r="U262" s="137"/>
    </row>
    <row r="263" spans="1:21" x14ac:dyDescent="0.2">
      <c r="A263" s="134">
        <v>45329</v>
      </c>
      <c r="B263" s="135">
        <f>YEAR(source[[#This Row],[report_date]])</f>
        <v>2024</v>
      </c>
      <c r="C263" s="136">
        <v>2</v>
      </c>
      <c r="D263" s="136">
        <f t="shared" si="30"/>
        <v>6</v>
      </c>
      <c r="E263" s="136">
        <f t="shared" si="31"/>
        <v>7</v>
      </c>
      <c r="F263" s="128" t="s">
        <v>19</v>
      </c>
      <c r="G263" s="128" t="str">
        <f>VLOOKUP(source[[#This Row],[lending_product_transform]],[3]Mapping!$B$4:$C$37,2,0)</f>
        <v>[VDS] - Payday</v>
      </c>
      <c r="H263" s="128" t="str">
        <f>VLOOKUP(source[[#This Row],[lending_product_transform]],[3]Mapping!$B$3:$D$37,3,0)</f>
        <v>payday</v>
      </c>
      <c r="I263" s="135">
        <v>1726500000</v>
      </c>
      <c r="K263" s="179" t="s">
        <v>65</v>
      </c>
      <c r="L263" s="178">
        <v>1627550000</v>
      </c>
      <c r="M263" s="137"/>
      <c r="N263" s="137"/>
      <c r="O263" s="137"/>
      <c r="P263" s="137"/>
      <c r="Q263" s="137"/>
      <c r="R263" s="137"/>
      <c r="S263" s="137"/>
      <c r="T263" s="137"/>
      <c r="U263" s="137"/>
    </row>
    <row r="264" spans="1:21" x14ac:dyDescent="0.2">
      <c r="A264" s="134">
        <v>45329</v>
      </c>
      <c r="B264" s="135">
        <f>YEAR(source[[#This Row],[report_date]])</f>
        <v>2024</v>
      </c>
      <c r="C264" s="136">
        <v>2</v>
      </c>
      <c r="D264" s="136">
        <f t="shared" si="30"/>
        <v>6</v>
      </c>
      <c r="E264" s="136">
        <f t="shared" si="31"/>
        <v>7</v>
      </c>
      <c r="F264" s="128" t="s">
        <v>61</v>
      </c>
      <c r="G264" s="128" t="str">
        <f>VLOOKUP(source[[#This Row],[lending_product_transform]],[3]Mapping!$B$4:$C$37,2,0)</f>
        <v>[VDS] - Payroll Payday</v>
      </c>
      <c r="H264" s="128" t="str">
        <f>VLOOKUP(source[[#This Row],[lending_product_transform]],[3]Mapping!$B$3:$D$37,3,0)</f>
        <v>payday</v>
      </c>
      <c r="I264" s="135">
        <v>0</v>
      </c>
      <c r="K264" s="179" t="s">
        <v>24</v>
      </c>
      <c r="L264" s="178">
        <v>2873556290000</v>
      </c>
      <c r="M264" s="137"/>
      <c r="N264" s="137"/>
      <c r="O264" s="137"/>
      <c r="P264" s="137"/>
      <c r="Q264" s="137"/>
      <c r="R264" s="137"/>
      <c r="S264" s="137"/>
      <c r="T264" s="137"/>
      <c r="U264" s="137"/>
    </row>
    <row r="265" spans="1:21" x14ac:dyDescent="0.2">
      <c r="A265" s="134">
        <v>45329</v>
      </c>
      <c r="B265" s="135">
        <f>YEAR(source[[#This Row],[report_date]])</f>
        <v>2024</v>
      </c>
      <c r="C265" s="136">
        <v>2</v>
      </c>
      <c r="D265" s="136">
        <f t="shared" si="30"/>
        <v>6</v>
      </c>
      <c r="E265" s="136">
        <f t="shared" si="31"/>
        <v>7</v>
      </c>
      <c r="F265" s="128" t="s">
        <v>11</v>
      </c>
      <c r="G265" s="128" t="str">
        <f>VLOOKUP(source[[#This Row],[lending_product_transform]],[3]Mapping!$B$4:$C$37,2,0)</f>
        <v>[VDS] - Cashloan</v>
      </c>
      <c r="H265" s="128" t="str">
        <f>VLOOKUP(source[[#This Row],[lending_product_transform]],[3]Mapping!$B$3:$D$37,3,0)</f>
        <v>cashloan</v>
      </c>
      <c r="I265" s="135">
        <v>2536650000</v>
      </c>
      <c r="K265" s="179" t="s">
        <v>67</v>
      </c>
      <c r="L265" s="178">
        <v>1055055924694</v>
      </c>
      <c r="M265" s="137"/>
      <c r="N265" s="137"/>
      <c r="O265" s="137"/>
      <c r="P265" s="137"/>
      <c r="Q265" s="137"/>
      <c r="R265" s="137"/>
      <c r="S265" s="137"/>
      <c r="T265" s="137"/>
      <c r="U265" s="137"/>
    </row>
    <row r="266" spans="1:21" x14ac:dyDescent="0.2">
      <c r="A266" s="134">
        <v>45329</v>
      </c>
      <c r="B266" s="135">
        <f>YEAR(source[[#This Row],[report_date]])</f>
        <v>2024</v>
      </c>
      <c r="C266" s="136">
        <v>2</v>
      </c>
      <c r="D266" s="136">
        <f t="shared" si="30"/>
        <v>6</v>
      </c>
      <c r="E266" s="136">
        <f t="shared" si="31"/>
        <v>7</v>
      </c>
      <c r="F266" s="128" t="s">
        <v>65</v>
      </c>
      <c r="G266" s="128" t="str">
        <f>VLOOKUP(source[[#This Row],[lending_product_transform]],[3]Mapping!$B$4:$C$37,2,0)</f>
        <v>[BE] - Cashloan</v>
      </c>
      <c r="H266" s="128" t="str">
        <f>VLOOKUP(source[[#This Row],[lending_product_transform]],[3]Mapping!$B$3:$D$37,3,0)</f>
        <v>cashloan</v>
      </c>
      <c r="I266" s="135">
        <v>170100000</v>
      </c>
      <c r="K266" s="179" t="s">
        <v>28</v>
      </c>
      <c r="L266" s="178">
        <v>637842708000</v>
      </c>
      <c r="M266" s="137"/>
      <c r="N266" s="137"/>
      <c r="O266" s="137"/>
      <c r="P266" s="137"/>
      <c r="Q266" s="137"/>
      <c r="R266" s="137"/>
      <c r="S266" s="137"/>
      <c r="T266" s="137"/>
      <c r="U266" s="137"/>
    </row>
    <row r="267" spans="1:21" x14ac:dyDescent="0.2">
      <c r="A267" s="134">
        <v>45329</v>
      </c>
      <c r="B267" s="135">
        <f>YEAR(source[[#This Row],[report_date]])</f>
        <v>2024</v>
      </c>
      <c r="C267" s="136">
        <v>2</v>
      </c>
      <c r="D267" s="136">
        <f t="shared" si="30"/>
        <v>6</v>
      </c>
      <c r="E267" s="136">
        <f t="shared" si="31"/>
        <v>7</v>
      </c>
      <c r="F267" s="128" t="s">
        <v>56</v>
      </c>
      <c r="G267" s="128">
        <f>VLOOKUP(source[[#This Row],[lending_product_transform]],[3]Mapping!$B$4:$C$37,2,0)</f>
        <v>0</v>
      </c>
      <c r="H267" s="128">
        <f>VLOOKUP(source[[#This Row],[lending_product_transform]],[3]Mapping!$B$3:$D$37,3,0)</f>
        <v>0</v>
      </c>
      <c r="I267" s="135">
        <v>6712571173</v>
      </c>
      <c r="K267" s="179" t="s">
        <v>36</v>
      </c>
      <c r="L267" s="178">
        <v>464703700000</v>
      </c>
      <c r="M267" s="137"/>
      <c r="N267" s="137"/>
      <c r="O267" s="137"/>
      <c r="P267" s="137"/>
      <c r="Q267" s="137"/>
      <c r="R267" s="137"/>
      <c r="S267" s="137"/>
      <c r="T267" s="137"/>
      <c r="U267" s="137"/>
    </row>
    <row r="268" spans="1:21" x14ac:dyDescent="0.2">
      <c r="A268" s="134">
        <v>45329</v>
      </c>
      <c r="B268" s="135">
        <f>YEAR(source[[#This Row],[report_date]])</f>
        <v>2024</v>
      </c>
      <c r="C268" s="136">
        <v>2</v>
      </c>
      <c r="D268" s="136">
        <f t="shared" si="30"/>
        <v>6</v>
      </c>
      <c r="E268" s="136">
        <f t="shared" si="31"/>
        <v>7</v>
      </c>
      <c r="F268" s="128" t="s">
        <v>58</v>
      </c>
      <c r="G268" s="128" t="str">
        <f>VLOOKUP(source[[#This Row],[lending_product_transform]],[3]Mapping!$B$4:$C$37,2,0)</f>
        <v>[VDS] - Payroll Cashloan</v>
      </c>
      <c r="H268" s="128" t="str">
        <f>VLOOKUP(source[[#This Row],[lending_product_transform]],[3]Mapping!$B$3:$D$37,3,0)</f>
        <v>cashloan</v>
      </c>
      <c r="I268" s="135">
        <v>0</v>
      </c>
      <c r="K268" s="179" t="s">
        <v>206</v>
      </c>
      <c r="L268" s="178">
        <v>0</v>
      </c>
      <c r="M268" s="137"/>
      <c r="N268" s="137"/>
      <c r="O268" s="137"/>
      <c r="P268" s="137"/>
      <c r="Q268" s="137"/>
      <c r="R268" s="137"/>
      <c r="S268" s="137"/>
      <c r="T268" s="137"/>
      <c r="U268" s="137"/>
    </row>
    <row r="269" spans="1:21" x14ac:dyDescent="0.2">
      <c r="A269" s="134">
        <v>45330</v>
      </c>
      <c r="B269" s="135">
        <f>YEAR(source[[#This Row],[report_date]])</f>
        <v>2024</v>
      </c>
      <c r="C269" s="136">
        <v>2</v>
      </c>
      <c r="D269" s="136">
        <f t="shared" si="30"/>
        <v>6</v>
      </c>
      <c r="E269" s="136">
        <f t="shared" si="31"/>
        <v>8</v>
      </c>
      <c r="F269" s="128" t="s">
        <v>56</v>
      </c>
      <c r="G269" s="128">
        <f>VLOOKUP(source[[#This Row],[lending_product_transform]],[3]Mapping!$B$4:$C$37,2,0)</f>
        <v>0</v>
      </c>
      <c r="H269" s="128">
        <f>VLOOKUP(source[[#This Row],[lending_product_transform]],[3]Mapping!$B$3:$D$37,3,0)</f>
        <v>0</v>
      </c>
      <c r="I269" s="135">
        <v>5084174338</v>
      </c>
      <c r="K269" s="179" t="s">
        <v>64</v>
      </c>
      <c r="L269" s="178">
        <v>9683750000</v>
      </c>
      <c r="M269" s="137"/>
      <c r="N269" s="137"/>
      <c r="O269" s="137"/>
      <c r="P269" s="137"/>
      <c r="Q269" s="137"/>
      <c r="R269" s="137"/>
      <c r="S269" s="137"/>
      <c r="T269" s="137"/>
      <c r="U269" s="137"/>
    </row>
    <row r="270" spans="1:21" x14ac:dyDescent="0.2">
      <c r="A270" s="134">
        <v>45330</v>
      </c>
      <c r="B270" s="135">
        <f>YEAR(source[[#This Row],[report_date]])</f>
        <v>2024</v>
      </c>
      <c r="C270" s="136">
        <v>2</v>
      </c>
      <c r="D270" s="136">
        <f t="shared" si="30"/>
        <v>6</v>
      </c>
      <c r="E270" s="136">
        <f t="shared" si="31"/>
        <v>8</v>
      </c>
      <c r="F270" s="128" t="s">
        <v>11</v>
      </c>
      <c r="G270" s="128" t="str">
        <f>VLOOKUP(source[[#This Row],[lending_product_transform]],[3]Mapping!$B$4:$C$37,2,0)</f>
        <v>[VDS] - Cashloan</v>
      </c>
      <c r="H270" s="128" t="str">
        <f>VLOOKUP(source[[#This Row],[lending_product_transform]],[3]Mapping!$B$3:$D$37,3,0)</f>
        <v>cashloan</v>
      </c>
      <c r="I270" s="135">
        <v>2010550000</v>
      </c>
      <c r="K270" s="179" t="s">
        <v>11</v>
      </c>
      <c r="L270" s="178">
        <v>2941415370000</v>
      </c>
      <c r="M270" s="137"/>
      <c r="N270" s="137"/>
      <c r="O270" s="137"/>
      <c r="P270" s="137"/>
      <c r="Q270" s="137"/>
      <c r="R270" s="137"/>
      <c r="S270" s="137"/>
      <c r="T270" s="137"/>
      <c r="U270" s="137"/>
    </row>
    <row r="271" spans="1:21" x14ac:dyDescent="0.2">
      <c r="A271" s="134">
        <v>45330</v>
      </c>
      <c r="B271" s="135">
        <f>YEAR(source[[#This Row],[report_date]])</f>
        <v>2024</v>
      </c>
      <c r="C271" s="136">
        <v>2</v>
      </c>
      <c r="D271" s="136">
        <f t="shared" si="30"/>
        <v>6</v>
      </c>
      <c r="E271" s="136">
        <f t="shared" si="31"/>
        <v>8</v>
      </c>
      <c r="F271" s="128" t="s">
        <v>61</v>
      </c>
      <c r="G271" s="128" t="str">
        <f>VLOOKUP(source[[#This Row],[lending_product_transform]],[3]Mapping!$B$4:$C$37,2,0)</f>
        <v>[VDS] - Payroll Payday</v>
      </c>
      <c r="H271" s="128" t="str">
        <f>VLOOKUP(source[[#This Row],[lending_product_transform]],[3]Mapping!$B$3:$D$37,3,0)</f>
        <v>payday</v>
      </c>
      <c r="I271" s="135">
        <v>0</v>
      </c>
      <c r="K271" s="179" t="s">
        <v>221</v>
      </c>
      <c r="L271" s="178">
        <v>241820000</v>
      </c>
      <c r="M271" s="137"/>
      <c r="N271" s="137"/>
      <c r="O271" s="137"/>
      <c r="P271" s="137"/>
      <c r="Q271" s="137"/>
      <c r="R271" s="137"/>
      <c r="S271" s="137"/>
      <c r="T271" s="137"/>
      <c r="U271" s="137"/>
    </row>
    <row r="272" spans="1:21" x14ac:dyDescent="0.2">
      <c r="A272" s="134">
        <v>45330</v>
      </c>
      <c r="B272" s="135">
        <f>YEAR(source[[#This Row],[report_date]])</f>
        <v>2024</v>
      </c>
      <c r="C272" s="136">
        <v>2</v>
      </c>
      <c r="D272" s="136">
        <f t="shared" si="30"/>
        <v>6</v>
      </c>
      <c r="E272" s="136">
        <f t="shared" si="31"/>
        <v>8</v>
      </c>
      <c r="F272" s="128" t="s">
        <v>19</v>
      </c>
      <c r="G272" s="128" t="str">
        <f>VLOOKUP(source[[#This Row],[lending_product_transform]],[3]Mapping!$B$4:$C$37,2,0)</f>
        <v>[VDS] - Payday</v>
      </c>
      <c r="H272" s="128" t="str">
        <f>VLOOKUP(source[[#This Row],[lending_product_transform]],[3]Mapping!$B$3:$D$37,3,0)</f>
        <v>payday</v>
      </c>
      <c r="I272" s="135">
        <v>1354000000</v>
      </c>
      <c r="K272" s="179" t="s">
        <v>222</v>
      </c>
      <c r="L272" s="178">
        <v>259490000</v>
      </c>
      <c r="M272" s="137"/>
      <c r="N272" s="137"/>
      <c r="O272" s="137"/>
      <c r="P272" s="137"/>
      <c r="Q272" s="137"/>
      <c r="R272" s="137"/>
      <c r="S272" s="137"/>
      <c r="T272" s="137"/>
      <c r="U272" s="137"/>
    </row>
    <row r="273" spans="1:66" x14ac:dyDescent="0.2">
      <c r="A273" s="134">
        <v>45330</v>
      </c>
      <c r="B273" s="135">
        <f>YEAR(source[[#This Row],[report_date]])</f>
        <v>2024</v>
      </c>
      <c r="C273" s="136">
        <v>2</v>
      </c>
      <c r="D273" s="136">
        <f t="shared" si="30"/>
        <v>6</v>
      </c>
      <c r="E273" s="136">
        <f t="shared" si="31"/>
        <v>8</v>
      </c>
      <c r="F273" s="128" t="s">
        <v>65</v>
      </c>
      <c r="G273" s="128" t="str">
        <f>VLOOKUP(source[[#This Row],[lending_product_transform]],[3]Mapping!$B$4:$C$37,2,0)</f>
        <v>[BE] - Cashloan</v>
      </c>
      <c r="H273" s="128" t="str">
        <f>VLOOKUP(source[[#This Row],[lending_product_transform]],[3]Mapping!$B$3:$D$37,3,0)</f>
        <v>cashloan</v>
      </c>
      <c r="I273" s="135">
        <v>95850000</v>
      </c>
      <c r="K273" s="179" t="s">
        <v>223</v>
      </c>
      <c r="L273" s="178">
        <v>832250000</v>
      </c>
      <c r="M273" s="137"/>
      <c r="N273" s="137"/>
      <c r="O273" s="137"/>
      <c r="P273" s="137"/>
      <c r="Q273" s="137"/>
      <c r="R273" s="137"/>
      <c r="S273" s="137"/>
      <c r="T273" s="137"/>
      <c r="U273" s="137"/>
    </row>
    <row r="274" spans="1:66" x14ac:dyDescent="0.2">
      <c r="A274" s="134">
        <v>45330</v>
      </c>
      <c r="B274" s="135">
        <f>YEAR(source[[#This Row],[report_date]])</f>
        <v>2024</v>
      </c>
      <c r="C274" s="136">
        <v>2</v>
      </c>
      <c r="D274" s="136">
        <f t="shared" si="30"/>
        <v>6</v>
      </c>
      <c r="E274" s="136">
        <f t="shared" si="31"/>
        <v>8</v>
      </c>
      <c r="F274" s="128" t="s">
        <v>67</v>
      </c>
      <c r="G274" s="128" t="str">
        <f>VLOOKUP(source[[#This Row],[lending_product_transform]],[3]Mapping!$B$4:$C$37,2,0)</f>
        <v>[Cake] - Overdraft</v>
      </c>
      <c r="H274" s="128" t="str">
        <f>VLOOKUP(source[[#This Row],[lending_product_transform]],[3]Mapping!$B$3:$D$37,3,0)</f>
        <v>overdraft</v>
      </c>
      <c r="I274" s="135">
        <v>1623774338</v>
      </c>
      <c r="K274" s="179" t="s">
        <v>219</v>
      </c>
      <c r="L274" s="178">
        <v>400590000</v>
      </c>
      <c r="M274" s="137"/>
      <c r="N274" s="137"/>
      <c r="O274" s="137"/>
      <c r="P274" s="137"/>
      <c r="Q274" s="137"/>
      <c r="R274" s="137"/>
      <c r="S274" s="137"/>
      <c r="T274" s="137"/>
      <c r="U274" s="137"/>
    </row>
    <row r="275" spans="1:66" x14ac:dyDescent="0.2">
      <c r="A275" s="134">
        <v>45330</v>
      </c>
      <c r="B275" s="135">
        <f>YEAR(source[[#This Row],[report_date]])</f>
        <v>2024</v>
      </c>
      <c r="C275" s="136">
        <v>2</v>
      </c>
      <c r="D275" s="136">
        <f t="shared" si="30"/>
        <v>6</v>
      </c>
      <c r="E275" s="136">
        <f t="shared" si="31"/>
        <v>8</v>
      </c>
      <c r="F275" s="128" t="s">
        <v>58</v>
      </c>
      <c r="G275" s="128" t="str">
        <f>VLOOKUP(source[[#This Row],[lending_product_transform]],[3]Mapping!$B$4:$C$37,2,0)</f>
        <v>[VDS] - Payroll Cashloan</v>
      </c>
      <c r="H275" s="128" t="str">
        <f>VLOOKUP(source[[#This Row],[lending_product_transform]],[3]Mapping!$B$3:$D$37,3,0)</f>
        <v>cashloan</v>
      </c>
      <c r="I275" s="135">
        <v>0</v>
      </c>
      <c r="K275" s="179" t="s">
        <v>19</v>
      </c>
      <c r="L275" s="178">
        <v>1883616456000</v>
      </c>
      <c r="M275" s="137"/>
      <c r="N275" s="137"/>
      <c r="O275" s="137"/>
      <c r="P275" s="137"/>
      <c r="Q275" s="137"/>
      <c r="R275" s="137"/>
      <c r="S275" s="137"/>
      <c r="T275" s="137"/>
      <c r="U275" s="137"/>
    </row>
    <row r="276" spans="1:66" x14ac:dyDescent="0.2">
      <c r="A276" s="134">
        <v>45331</v>
      </c>
      <c r="B276" s="135">
        <f>YEAR(source[[#This Row],[report_date]])</f>
        <v>2024</v>
      </c>
      <c r="C276" s="136">
        <v>2</v>
      </c>
      <c r="D276" s="136">
        <f t="shared" si="30"/>
        <v>6</v>
      </c>
      <c r="E276" s="136">
        <f t="shared" si="31"/>
        <v>9</v>
      </c>
      <c r="F276" s="128" t="s">
        <v>11</v>
      </c>
      <c r="G276" s="128" t="str">
        <f>VLOOKUP(source[[#This Row],[lending_product_transform]],[3]Mapping!$B$4:$C$37,2,0)</f>
        <v>[VDS] - Cashloan</v>
      </c>
      <c r="H276" s="128" t="str">
        <f>VLOOKUP(source[[#This Row],[lending_product_transform]],[3]Mapping!$B$3:$D$37,3,0)</f>
        <v>cashloan</v>
      </c>
      <c r="I276" s="135">
        <v>1741800000</v>
      </c>
      <c r="K276" s="179" t="s">
        <v>58</v>
      </c>
      <c r="L276" s="178">
        <v>10531000000</v>
      </c>
      <c r="M276" s="137"/>
      <c r="N276" s="137"/>
      <c r="O276" s="137"/>
      <c r="P276" s="137"/>
      <c r="Q276" s="137"/>
      <c r="R276" s="137"/>
      <c r="S276" s="137"/>
      <c r="T276" s="137"/>
      <c r="U276" s="137"/>
    </row>
    <row r="277" spans="1:66" x14ac:dyDescent="0.2">
      <c r="A277" s="134">
        <v>45331</v>
      </c>
      <c r="B277" s="135">
        <f>YEAR(source[[#This Row],[report_date]])</f>
        <v>2024</v>
      </c>
      <c r="C277" s="136">
        <v>2</v>
      </c>
      <c r="D277" s="136">
        <f t="shared" si="30"/>
        <v>6</v>
      </c>
      <c r="E277" s="136">
        <f t="shared" si="31"/>
        <v>9</v>
      </c>
      <c r="F277" s="128" t="s">
        <v>56</v>
      </c>
      <c r="G277" s="128">
        <f>VLOOKUP(source[[#This Row],[lending_product_transform]],[3]Mapping!$B$4:$C$37,2,0)</f>
        <v>0</v>
      </c>
      <c r="H277" s="128">
        <f>VLOOKUP(source[[#This Row],[lending_product_transform]],[3]Mapping!$B$3:$D$37,3,0)</f>
        <v>0</v>
      </c>
      <c r="I277" s="135">
        <v>4767104561</v>
      </c>
      <c r="K277" s="179" t="s">
        <v>61</v>
      </c>
      <c r="L277" s="178">
        <v>11624000000</v>
      </c>
      <c r="M277" s="137"/>
      <c r="N277" s="137"/>
      <c r="O277" s="137"/>
      <c r="P277" s="137"/>
      <c r="Q277" s="137"/>
      <c r="R277" s="137"/>
      <c r="S277" s="137"/>
      <c r="T277" s="137"/>
      <c r="U277" s="137"/>
    </row>
    <row r="278" spans="1:66" x14ac:dyDescent="0.2">
      <c r="A278" s="134">
        <v>45331</v>
      </c>
      <c r="B278" s="135">
        <f>YEAR(source[[#This Row],[report_date]])</f>
        <v>2024</v>
      </c>
      <c r="C278" s="136">
        <v>2</v>
      </c>
      <c r="D278" s="136">
        <f t="shared" si="30"/>
        <v>6</v>
      </c>
      <c r="E278" s="136">
        <f t="shared" si="31"/>
        <v>9</v>
      </c>
      <c r="F278" s="128" t="s">
        <v>19</v>
      </c>
      <c r="G278" s="128" t="str">
        <f>VLOOKUP(source[[#This Row],[lending_product_transform]],[3]Mapping!$B$4:$C$37,2,0)</f>
        <v>[VDS] - Payday</v>
      </c>
      <c r="H278" s="128" t="str">
        <f>VLOOKUP(source[[#This Row],[lending_product_transform]],[3]Mapping!$B$3:$D$37,3,0)</f>
        <v>payday</v>
      </c>
      <c r="I278" s="135">
        <v>1126500000</v>
      </c>
      <c r="K278" s="179" t="s">
        <v>57</v>
      </c>
      <c r="L278" s="178">
        <v>150220610000</v>
      </c>
      <c r="M278" s="137"/>
      <c r="N278" s="137"/>
      <c r="O278" s="137"/>
      <c r="P278" s="137"/>
      <c r="Q278" s="137"/>
      <c r="R278" s="137"/>
      <c r="S278" s="137"/>
      <c r="T278" s="137"/>
      <c r="U278" s="137"/>
    </row>
    <row r="279" spans="1:66" x14ac:dyDescent="0.2">
      <c r="A279" s="134">
        <v>45331</v>
      </c>
      <c r="B279" s="135">
        <f>YEAR(source[[#This Row],[report_date]])</f>
        <v>2024</v>
      </c>
      <c r="C279" s="136">
        <v>2</v>
      </c>
      <c r="D279" s="136">
        <f t="shared" si="30"/>
        <v>6</v>
      </c>
      <c r="E279" s="136">
        <f t="shared" si="31"/>
        <v>9</v>
      </c>
      <c r="F279" s="128" t="s">
        <v>61</v>
      </c>
      <c r="G279" s="128" t="str">
        <f>VLOOKUP(source[[#This Row],[lending_product_transform]],[3]Mapping!$B$4:$C$37,2,0)</f>
        <v>[VDS] - Payroll Payday</v>
      </c>
      <c r="H279" s="128" t="str">
        <f>VLOOKUP(source[[#This Row],[lending_product_transform]],[3]Mapping!$B$3:$D$37,3,0)</f>
        <v>payday</v>
      </c>
      <c r="I279" s="135">
        <v>0</v>
      </c>
      <c r="K279" s="179" t="s">
        <v>63</v>
      </c>
      <c r="L279" s="178">
        <v>7201440000</v>
      </c>
      <c r="M279" s="137"/>
      <c r="N279" s="137"/>
      <c r="O279" s="137"/>
      <c r="P279" s="137"/>
      <c r="Q279" s="137"/>
      <c r="R279" s="137"/>
      <c r="S279" s="137"/>
      <c r="T279" s="137"/>
      <c r="U279" s="137"/>
    </row>
    <row r="280" spans="1:66" x14ac:dyDescent="0.2">
      <c r="A280" s="134">
        <v>45331</v>
      </c>
      <c r="B280" s="135">
        <f>YEAR(source[[#This Row],[report_date]])</f>
        <v>2024</v>
      </c>
      <c r="C280" s="136">
        <v>2</v>
      </c>
      <c r="D280" s="136">
        <f t="shared" si="30"/>
        <v>6</v>
      </c>
      <c r="E280" s="136">
        <f t="shared" si="31"/>
        <v>9</v>
      </c>
      <c r="F280" s="128" t="s">
        <v>58</v>
      </c>
      <c r="G280" s="128" t="str">
        <f>VLOOKUP(source[[#This Row],[lending_product_transform]],[3]Mapping!$B$4:$C$37,2,0)</f>
        <v>[VDS] - Payroll Cashloan</v>
      </c>
      <c r="H280" s="128" t="str">
        <f>VLOOKUP(source[[#This Row],[lending_product_transform]],[3]Mapping!$B$3:$D$37,3,0)</f>
        <v>cashloan</v>
      </c>
      <c r="I280" s="135">
        <v>0</v>
      </c>
      <c r="K280" s="179" t="s">
        <v>209</v>
      </c>
      <c r="L280" s="178">
        <v>702050000</v>
      </c>
      <c r="M280" s="137"/>
      <c r="N280" s="137"/>
      <c r="O280" s="137"/>
      <c r="P280" s="137"/>
      <c r="Q280" s="137"/>
      <c r="R280" s="137"/>
      <c r="S280" s="137"/>
      <c r="T280" s="137"/>
      <c r="U280" s="137"/>
      <c r="BM280" s="137"/>
      <c r="BN280" s="137"/>
    </row>
    <row r="281" spans="1:66" x14ac:dyDescent="0.2">
      <c r="A281" s="134">
        <v>45331</v>
      </c>
      <c r="B281" s="135">
        <f>YEAR(source[[#This Row],[report_date]])</f>
        <v>2024</v>
      </c>
      <c r="C281" s="136">
        <v>2</v>
      </c>
      <c r="D281" s="136">
        <f t="shared" si="30"/>
        <v>6</v>
      </c>
      <c r="E281" s="136">
        <f t="shared" si="31"/>
        <v>9</v>
      </c>
      <c r="F281" s="128" t="s">
        <v>65</v>
      </c>
      <c r="G281" s="128" t="str">
        <f>VLOOKUP(source[[#This Row],[lending_product_transform]],[3]Mapping!$B$4:$C$37,2,0)</f>
        <v>[BE] - Cashloan</v>
      </c>
      <c r="H281" s="128" t="str">
        <f>VLOOKUP(source[[#This Row],[lending_product_transform]],[3]Mapping!$B$3:$D$37,3,0)</f>
        <v>cashloan</v>
      </c>
      <c r="I281" s="135">
        <v>63000000</v>
      </c>
      <c r="K281" s="179" t="s">
        <v>31</v>
      </c>
      <c r="L281" s="178">
        <v>458126340000</v>
      </c>
      <c r="M281" s="137"/>
      <c r="N281" s="137"/>
      <c r="O281" s="137"/>
      <c r="P281" s="137"/>
      <c r="Q281" s="137"/>
      <c r="R281" s="137"/>
      <c r="S281" s="137"/>
      <c r="T281" s="137"/>
      <c r="U281" s="137"/>
      <c r="BM281" s="137"/>
      <c r="BN281" s="137"/>
    </row>
    <row r="282" spans="1:66" x14ac:dyDescent="0.2">
      <c r="A282" s="134">
        <v>45331</v>
      </c>
      <c r="B282" s="135">
        <f>YEAR(source[[#This Row],[report_date]])</f>
        <v>2024</v>
      </c>
      <c r="C282" s="136">
        <v>2</v>
      </c>
      <c r="D282" s="136">
        <f t="shared" si="30"/>
        <v>6</v>
      </c>
      <c r="E282" s="136">
        <f t="shared" si="31"/>
        <v>9</v>
      </c>
      <c r="F282" s="128" t="s">
        <v>67</v>
      </c>
      <c r="G282" s="128" t="str">
        <f>VLOOKUP(source[[#This Row],[lending_product_transform]],[3]Mapping!$B$4:$C$37,2,0)</f>
        <v>[Cake] - Overdraft</v>
      </c>
      <c r="H282" s="128" t="str">
        <f>VLOOKUP(source[[#This Row],[lending_product_transform]],[3]Mapping!$B$3:$D$37,3,0)</f>
        <v>overdraft</v>
      </c>
      <c r="I282" s="135">
        <v>1835804561</v>
      </c>
      <c r="K282" s="180" t="s">
        <v>68</v>
      </c>
      <c r="L282" s="174">
        <v>10507641338694</v>
      </c>
      <c r="M282" s="137"/>
      <c r="N282" s="137"/>
      <c r="O282" s="137"/>
      <c r="P282" s="137"/>
      <c r="Q282" s="137"/>
      <c r="R282" s="137"/>
      <c r="S282" s="137"/>
      <c r="T282" s="137"/>
      <c r="U282" s="137"/>
      <c r="BM282" s="137"/>
      <c r="BN282" s="137"/>
    </row>
    <row r="283" spans="1:66" x14ac:dyDescent="0.2">
      <c r="A283" s="134">
        <v>45332</v>
      </c>
      <c r="B283" s="135">
        <f>YEAR(source[[#This Row],[report_date]])</f>
        <v>2024</v>
      </c>
      <c r="C283" s="136">
        <v>2</v>
      </c>
      <c r="D283" s="136">
        <f t="shared" si="30"/>
        <v>6</v>
      </c>
      <c r="E283" s="136">
        <f t="shared" si="31"/>
        <v>10</v>
      </c>
      <c r="F283" s="128" t="s">
        <v>67</v>
      </c>
      <c r="G283" s="128" t="str">
        <f>VLOOKUP(source[[#This Row],[lending_product_transform]],[3]Mapping!$B$4:$C$37,2,0)</f>
        <v>[Cake] - Overdraft</v>
      </c>
      <c r="H283" s="128" t="str">
        <f>VLOOKUP(source[[#This Row],[lending_product_transform]],[3]Mapping!$B$3:$D$37,3,0)</f>
        <v>overdraft</v>
      </c>
      <c r="I283" s="135">
        <v>602866026</v>
      </c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BM283" s="137"/>
      <c r="BN283" s="137"/>
    </row>
    <row r="284" spans="1:66" x14ac:dyDescent="0.2">
      <c r="A284" s="134">
        <v>45332</v>
      </c>
      <c r="B284" s="135">
        <f>YEAR(source[[#This Row],[report_date]])</f>
        <v>2024</v>
      </c>
      <c r="C284" s="136">
        <v>2</v>
      </c>
      <c r="D284" s="136">
        <f t="shared" si="30"/>
        <v>6</v>
      </c>
      <c r="E284" s="136">
        <f t="shared" si="31"/>
        <v>10</v>
      </c>
      <c r="F284" s="128" t="s">
        <v>65</v>
      </c>
      <c r="G284" s="128" t="str">
        <f>VLOOKUP(source[[#This Row],[lending_product_transform]],[3]Mapping!$B$4:$C$37,2,0)</f>
        <v>[BE] - Cashloan</v>
      </c>
      <c r="H284" s="128" t="str">
        <f>VLOOKUP(source[[#This Row],[lending_product_transform]],[3]Mapping!$B$3:$D$37,3,0)</f>
        <v>cashloan</v>
      </c>
      <c r="I284" s="135">
        <v>12600000</v>
      </c>
      <c r="K284" s="137"/>
      <c r="L284" s="143"/>
      <c r="M284" s="137"/>
      <c r="N284" s="137"/>
      <c r="O284" s="137"/>
      <c r="P284" s="137"/>
      <c r="Q284" s="137"/>
      <c r="R284" s="137"/>
      <c r="S284" s="137"/>
      <c r="T284" s="137"/>
      <c r="U284" s="137"/>
      <c r="BM284" s="137"/>
      <c r="BN284" s="137"/>
    </row>
    <row r="285" spans="1:66" x14ac:dyDescent="0.2">
      <c r="A285" s="134">
        <v>45332</v>
      </c>
      <c r="B285" s="135">
        <f>YEAR(source[[#This Row],[report_date]])</f>
        <v>2024</v>
      </c>
      <c r="C285" s="136">
        <v>2</v>
      </c>
      <c r="D285" s="136">
        <f t="shared" si="30"/>
        <v>6</v>
      </c>
      <c r="E285" s="136">
        <f t="shared" si="31"/>
        <v>10</v>
      </c>
      <c r="F285" s="128" t="s">
        <v>19</v>
      </c>
      <c r="G285" s="128" t="str">
        <f>VLOOKUP(source[[#This Row],[lending_product_transform]],[3]Mapping!$B$4:$C$37,2,0)</f>
        <v>[VDS] - Payday</v>
      </c>
      <c r="H285" s="128" t="str">
        <f>VLOOKUP(source[[#This Row],[lending_product_transform]],[3]Mapping!$B$3:$D$37,3,0)</f>
        <v>payday</v>
      </c>
      <c r="I285" s="135">
        <v>392500000</v>
      </c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BM285" s="137"/>
      <c r="BN285" s="137"/>
    </row>
    <row r="286" spans="1:66" x14ac:dyDescent="0.2">
      <c r="A286" s="134">
        <v>45332</v>
      </c>
      <c r="B286" s="135">
        <f>YEAR(source[[#This Row],[report_date]])</f>
        <v>2024</v>
      </c>
      <c r="C286" s="136">
        <v>2</v>
      </c>
      <c r="D286" s="136">
        <f t="shared" si="30"/>
        <v>6</v>
      </c>
      <c r="E286" s="136">
        <f t="shared" si="31"/>
        <v>10</v>
      </c>
      <c r="F286" s="128" t="s">
        <v>58</v>
      </c>
      <c r="G286" s="128" t="str">
        <f>VLOOKUP(source[[#This Row],[lending_product_transform]],[3]Mapping!$B$4:$C$37,2,0)</f>
        <v>[VDS] - Payroll Cashloan</v>
      </c>
      <c r="H286" s="128" t="str">
        <f>VLOOKUP(source[[#This Row],[lending_product_transform]],[3]Mapping!$B$3:$D$37,3,0)</f>
        <v>cashloan</v>
      </c>
      <c r="I286" s="135">
        <v>0</v>
      </c>
      <c r="K286" s="137"/>
      <c r="L286" s="137"/>
      <c r="M286" s="137"/>
      <c r="N286" s="135"/>
      <c r="O286" s="135"/>
      <c r="P286" s="135"/>
      <c r="Q286" s="135">
        <f>Q285/7</f>
        <v>0</v>
      </c>
      <c r="R286" s="135">
        <f>R285/7</f>
        <v>0</v>
      </c>
      <c r="S286" s="135">
        <f>S285/7</f>
        <v>0</v>
      </c>
      <c r="T286" s="135">
        <f>T285/7</f>
        <v>0</v>
      </c>
      <c r="BM286" s="137"/>
      <c r="BN286" s="137"/>
    </row>
    <row r="287" spans="1:66" x14ac:dyDescent="0.2">
      <c r="A287" s="134">
        <v>45332</v>
      </c>
      <c r="B287" s="135">
        <f>YEAR(source[[#This Row],[report_date]])</f>
        <v>2024</v>
      </c>
      <c r="C287" s="136">
        <v>2</v>
      </c>
      <c r="D287" s="136">
        <f t="shared" si="30"/>
        <v>6</v>
      </c>
      <c r="E287" s="136">
        <f t="shared" si="31"/>
        <v>10</v>
      </c>
      <c r="F287" s="128" t="s">
        <v>61</v>
      </c>
      <c r="G287" s="128" t="str">
        <f>VLOOKUP(source[[#This Row],[lending_product_transform]],[3]Mapping!$B$4:$C$37,2,0)</f>
        <v>[VDS] - Payroll Payday</v>
      </c>
      <c r="H287" s="128" t="str">
        <f>VLOOKUP(source[[#This Row],[lending_product_transform]],[3]Mapping!$B$3:$D$37,3,0)</f>
        <v>payday</v>
      </c>
      <c r="I287" s="135">
        <v>0</v>
      </c>
      <c r="K287" s="137"/>
      <c r="L287" s="137"/>
      <c r="M287" s="137"/>
      <c r="N287" s="137"/>
      <c r="O287" s="137"/>
      <c r="P287" s="137"/>
      <c r="Q287" s="137"/>
      <c r="R287" s="144">
        <f>AVERAGE(Q286:R286)</f>
        <v>0</v>
      </c>
      <c r="T287" s="136">
        <f>AVERAGE(S286:T286)</f>
        <v>0</v>
      </c>
      <c r="BM287" s="137"/>
      <c r="BN287" s="137"/>
    </row>
    <row r="288" spans="1:66" x14ac:dyDescent="0.2">
      <c r="A288" s="134">
        <v>45332</v>
      </c>
      <c r="B288" s="135">
        <f>YEAR(source[[#This Row],[report_date]])</f>
        <v>2024</v>
      </c>
      <c r="C288" s="136">
        <v>2</v>
      </c>
      <c r="D288" s="136">
        <f t="shared" si="30"/>
        <v>6</v>
      </c>
      <c r="E288" s="136">
        <f t="shared" si="31"/>
        <v>10</v>
      </c>
      <c r="F288" s="128" t="s">
        <v>11</v>
      </c>
      <c r="G288" s="128" t="str">
        <f>VLOOKUP(source[[#This Row],[lending_product_transform]],[3]Mapping!$B$4:$C$37,2,0)</f>
        <v>[VDS] - Cashloan</v>
      </c>
      <c r="H288" s="128" t="str">
        <f>VLOOKUP(source[[#This Row],[lending_product_transform]],[3]Mapping!$B$3:$D$37,3,0)</f>
        <v>cashloan</v>
      </c>
      <c r="I288" s="135">
        <v>384050000</v>
      </c>
      <c r="K288" s="181" t="s">
        <v>194</v>
      </c>
      <c r="L288" s="182">
        <v>2025</v>
      </c>
      <c r="BM288" s="137"/>
      <c r="BN288" s="137"/>
    </row>
    <row r="289" spans="1:66" x14ac:dyDescent="0.2">
      <c r="A289" s="134">
        <v>45332</v>
      </c>
      <c r="B289" s="135">
        <f>YEAR(source[[#This Row],[report_date]])</f>
        <v>2024</v>
      </c>
      <c r="C289" s="136">
        <v>2</v>
      </c>
      <c r="D289" s="136">
        <f t="shared" si="30"/>
        <v>6</v>
      </c>
      <c r="E289" s="136">
        <f t="shared" si="31"/>
        <v>10</v>
      </c>
      <c r="F289" s="128" t="s">
        <v>56</v>
      </c>
      <c r="G289" s="128">
        <f>VLOOKUP(source[[#This Row],[lending_product_transform]],[3]Mapping!$B$4:$C$37,2,0)</f>
        <v>0</v>
      </c>
      <c r="H289" s="128">
        <f>VLOOKUP(source[[#This Row],[lending_product_transform]],[3]Mapping!$B$3:$D$37,3,0)</f>
        <v>0</v>
      </c>
      <c r="I289" s="135">
        <v>1392016026</v>
      </c>
      <c r="K289" s="177" t="s">
        <v>195</v>
      </c>
      <c r="L289" s="176">
        <v>12</v>
      </c>
      <c r="BM289" s="137"/>
      <c r="BN289" s="137"/>
    </row>
    <row r="290" spans="1:66" x14ac:dyDescent="0.2">
      <c r="A290" s="134">
        <v>45333</v>
      </c>
      <c r="B290" s="135">
        <f>YEAR(source[[#This Row],[report_date]])</f>
        <v>2024</v>
      </c>
      <c r="C290" s="136">
        <v>2</v>
      </c>
      <c r="D290" s="136">
        <f t="shared" si="30"/>
        <v>6</v>
      </c>
      <c r="E290" s="136">
        <f t="shared" si="31"/>
        <v>11</v>
      </c>
      <c r="F290" s="128" t="s">
        <v>19</v>
      </c>
      <c r="G290" s="128" t="str">
        <f>VLOOKUP(source[[#This Row],[lending_product_transform]],[3]Mapping!$B$4:$C$37,2,0)</f>
        <v>[VDS] - Payday</v>
      </c>
      <c r="H290" s="128" t="str">
        <f>VLOOKUP(source[[#This Row],[lending_product_transform]],[3]Mapping!$B$3:$D$37,3,0)</f>
        <v>payday</v>
      </c>
      <c r="I290" s="135">
        <v>506000000</v>
      </c>
      <c r="K290" s="175" t="s">
        <v>199</v>
      </c>
      <c r="L290" s="61" t="s">
        <v>220</v>
      </c>
      <c r="M290" s="137"/>
      <c r="N290" s="137"/>
      <c r="BM290" s="137"/>
      <c r="BN290" s="137"/>
    </row>
    <row r="291" spans="1:66" x14ac:dyDescent="0.2">
      <c r="A291" s="134">
        <v>45333</v>
      </c>
      <c r="B291" s="135">
        <f>YEAR(source[[#This Row],[report_date]])</f>
        <v>2024</v>
      </c>
      <c r="C291" s="136">
        <v>2</v>
      </c>
      <c r="D291" s="136">
        <f t="shared" si="30"/>
        <v>6</v>
      </c>
      <c r="E291" s="136">
        <f t="shared" si="31"/>
        <v>11</v>
      </c>
      <c r="F291" s="128" t="s">
        <v>58</v>
      </c>
      <c r="G291" s="128" t="str">
        <f>VLOOKUP(source[[#This Row],[lending_product_transform]],[3]Mapping!$B$4:$C$37,2,0)</f>
        <v>[VDS] - Payroll Cashloan</v>
      </c>
      <c r="H291" s="128" t="str">
        <f>VLOOKUP(source[[#This Row],[lending_product_transform]],[3]Mapping!$B$3:$D$37,3,0)</f>
        <v>cashloan</v>
      </c>
      <c r="I291" s="135">
        <v>0</v>
      </c>
      <c r="K291" s="137"/>
      <c r="L291" s="137"/>
      <c r="M291" s="137"/>
      <c r="N291" s="137"/>
      <c r="V291" s="135" t="e">
        <f>GETPIVOTDATA("Total",$K$292,"Month",11)/1000000000</f>
        <v>#REF!</v>
      </c>
      <c r="BM291" s="137"/>
      <c r="BN291" s="137"/>
    </row>
    <row r="292" spans="1:66" x14ac:dyDescent="0.2">
      <c r="A292" s="134">
        <v>45333</v>
      </c>
      <c r="B292" s="135">
        <f>YEAR(source[[#This Row],[report_date]])</f>
        <v>2024</v>
      </c>
      <c r="C292" s="136">
        <v>2</v>
      </c>
      <c r="D292" s="136">
        <f t="shared" si="30"/>
        <v>6</v>
      </c>
      <c r="E292" s="136">
        <f t="shared" si="31"/>
        <v>11</v>
      </c>
      <c r="F292" s="128" t="s">
        <v>65</v>
      </c>
      <c r="G292" s="128" t="str">
        <f>VLOOKUP(source[[#This Row],[lending_product_transform]],[3]Mapping!$B$4:$C$37,2,0)</f>
        <v>[BE] - Cashloan</v>
      </c>
      <c r="H292" s="128" t="str">
        <f>VLOOKUP(source[[#This Row],[lending_product_transform]],[3]Mapping!$B$3:$D$37,3,0)</f>
        <v>cashloan</v>
      </c>
      <c r="I292" s="135">
        <v>47250000</v>
      </c>
      <c r="K292" s="177" t="s">
        <v>69</v>
      </c>
      <c r="L292" s="175" t="s">
        <v>202</v>
      </c>
      <c r="M292" s="177"/>
      <c r="N292" s="177"/>
      <c r="O292" s="177"/>
      <c r="P292" s="177"/>
      <c r="Q292" s="177"/>
      <c r="R292" s="177"/>
      <c r="S292" s="17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</row>
    <row r="293" spans="1:66" x14ac:dyDescent="0.2">
      <c r="A293" s="134">
        <v>45333</v>
      </c>
      <c r="B293" s="135">
        <f>YEAR(source[[#This Row],[report_date]])</f>
        <v>2024</v>
      </c>
      <c r="C293" s="136">
        <v>2</v>
      </c>
      <c r="D293" s="136">
        <f t="shared" si="30"/>
        <v>6</v>
      </c>
      <c r="E293" s="136">
        <f t="shared" si="31"/>
        <v>11</v>
      </c>
      <c r="F293" s="128" t="s">
        <v>56</v>
      </c>
      <c r="G293" s="128">
        <f>VLOOKUP(source[[#This Row],[lending_product_transform]],[3]Mapping!$B$4:$C$37,2,0)</f>
        <v>0</v>
      </c>
      <c r="H293" s="128">
        <f>VLOOKUP(source[[#This Row],[lending_product_transform]],[3]Mapping!$B$3:$D$37,3,0)</f>
        <v>0</v>
      </c>
      <c r="I293" s="135">
        <v>1837851977</v>
      </c>
      <c r="K293" s="177" t="s">
        <v>205</v>
      </c>
      <c r="L293" s="178">
        <v>15</v>
      </c>
      <c r="M293" s="178">
        <v>16</v>
      </c>
      <c r="N293" s="178">
        <v>17</v>
      </c>
      <c r="O293" s="178">
        <v>18</v>
      </c>
      <c r="P293" s="178">
        <v>19</v>
      </c>
      <c r="Q293" s="178">
        <v>20</v>
      </c>
      <c r="R293" s="178">
        <v>21</v>
      </c>
      <c r="S293" s="174" t="s">
        <v>68</v>
      </c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</row>
    <row r="294" spans="1:66" x14ac:dyDescent="0.2">
      <c r="A294" s="134">
        <v>45333</v>
      </c>
      <c r="B294" s="135">
        <f>YEAR(source[[#This Row],[report_date]])</f>
        <v>2024</v>
      </c>
      <c r="C294" s="136">
        <v>2</v>
      </c>
      <c r="D294" s="136">
        <f t="shared" si="30"/>
        <v>6</v>
      </c>
      <c r="E294" s="136">
        <f t="shared" si="31"/>
        <v>11</v>
      </c>
      <c r="F294" s="128" t="s">
        <v>11</v>
      </c>
      <c r="G294" s="128" t="str">
        <f>VLOOKUP(source[[#This Row],[lending_product_transform]],[3]Mapping!$B$4:$C$37,2,0)</f>
        <v>[VDS] - Cashloan</v>
      </c>
      <c r="H294" s="128" t="str">
        <f>VLOOKUP(source[[#This Row],[lending_product_transform]],[3]Mapping!$B$3:$D$37,3,0)</f>
        <v>cashloan</v>
      </c>
      <c r="I294" s="135">
        <v>537600000</v>
      </c>
      <c r="K294" s="179" t="s">
        <v>65</v>
      </c>
      <c r="L294" s="178">
        <v>327150000</v>
      </c>
      <c r="M294" s="178">
        <v>196900000</v>
      </c>
      <c r="N294" s="178">
        <v>239950000</v>
      </c>
      <c r="O294" s="178">
        <v>207950000</v>
      </c>
      <c r="P294" s="178">
        <v>189600000</v>
      </c>
      <c r="Q294" s="178">
        <v>190500000</v>
      </c>
      <c r="R294" s="178">
        <v>230950000</v>
      </c>
      <c r="S294" s="178">
        <v>1583000000</v>
      </c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</row>
    <row r="295" spans="1:66" x14ac:dyDescent="0.2">
      <c r="A295" s="134">
        <v>45333</v>
      </c>
      <c r="B295" s="135">
        <f>YEAR(source[[#This Row],[report_date]])</f>
        <v>2024</v>
      </c>
      <c r="C295" s="136">
        <v>2</v>
      </c>
      <c r="D295" s="136">
        <f t="shared" si="30"/>
        <v>6</v>
      </c>
      <c r="E295" s="136">
        <f t="shared" si="31"/>
        <v>11</v>
      </c>
      <c r="F295" s="128" t="s">
        <v>67</v>
      </c>
      <c r="G295" s="128" t="str">
        <f>VLOOKUP(source[[#This Row],[lending_product_transform]],[3]Mapping!$B$4:$C$37,2,0)</f>
        <v>[Cake] - Overdraft</v>
      </c>
      <c r="H295" s="128" t="str">
        <f>VLOOKUP(source[[#This Row],[lending_product_transform]],[3]Mapping!$B$3:$D$37,3,0)</f>
        <v>overdraft</v>
      </c>
      <c r="I295" s="135">
        <v>747001977</v>
      </c>
      <c r="K295" s="179" t="s">
        <v>66</v>
      </c>
      <c r="L295" s="178">
        <v>293854888</v>
      </c>
      <c r="M295" s="178">
        <v>302096335</v>
      </c>
      <c r="N295" s="178">
        <v>327595800</v>
      </c>
      <c r="O295" s="178">
        <v>331133841</v>
      </c>
      <c r="P295" s="178">
        <v>347547390</v>
      </c>
      <c r="Q295" s="178">
        <v>356365754</v>
      </c>
      <c r="R295" s="178">
        <v>366490479</v>
      </c>
      <c r="S295" s="178">
        <v>2325084487</v>
      </c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</row>
    <row r="296" spans="1:66" x14ac:dyDescent="0.2">
      <c r="A296" s="134">
        <v>45333</v>
      </c>
      <c r="B296" s="135">
        <f>YEAR(source[[#This Row],[report_date]])</f>
        <v>2024</v>
      </c>
      <c r="C296" s="136">
        <v>2</v>
      </c>
      <c r="D296" s="136">
        <f t="shared" si="30"/>
        <v>6</v>
      </c>
      <c r="E296" s="136">
        <f t="shared" si="31"/>
        <v>11</v>
      </c>
      <c r="F296" s="128" t="s">
        <v>61</v>
      </c>
      <c r="G296" s="128" t="str">
        <f>VLOOKUP(source[[#This Row],[lending_product_transform]],[3]Mapping!$B$4:$C$37,2,0)</f>
        <v>[VDS] - Payroll Payday</v>
      </c>
      <c r="H296" s="128" t="str">
        <f>VLOOKUP(source[[#This Row],[lending_product_transform]],[3]Mapping!$B$3:$D$37,3,0)</f>
        <v>payday</v>
      </c>
      <c r="I296" s="135">
        <v>0</v>
      </c>
      <c r="K296" s="179" t="s">
        <v>24</v>
      </c>
      <c r="L296" s="178">
        <v>16188930000</v>
      </c>
      <c r="M296" s="178">
        <v>16159400000</v>
      </c>
      <c r="N296" s="178">
        <v>16532070000</v>
      </c>
      <c r="O296" s="178">
        <v>17149870000</v>
      </c>
      <c r="P296" s="178">
        <v>12642980000</v>
      </c>
      <c r="Q296" s="178">
        <v>13224840000</v>
      </c>
      <c r="R296" s="178">
        <v>12821870000</v>
      </c>
      <c r="S296" s="178">
        <v>104719960000</v>
      </c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</row>
    <row r="297" spans="1:66" x14ac:dyDescent="0.2">
      <c r="A297" s="134">
        <v>45334</v>
      </c>
      <c r="B297" s="135">
        <f>YEAR(source[[#This Row],[report_date]])</f>
        <v>2024</v>
      </c>
      <c r="C297" s="136">
        <v>2</v>
      </c>
      <c r="D297" s="136">
        <f t="shared" si="30"/>
        <v>7</v>
      </c>
      <c r="E297" s="136">
        <f t="shared" si="31"/>
        <v>12</v>
      </c>
      <c r="F297" s="128" t="s">
        <v>56</v>
      </c>
      <c r="G297" s="128">
        <f>VLOOKUP(source[[#This Row],[lending_product_transform]],[3]Mapping!$B$4:$C$37,2,0)</f>
        <v>0</v>
      </c>
      <c r="H297" s="128">
        <f>VLOOKUP(source[[#This Row],[lending_product_transform]],[3]Mapping!$B$3:$D$37,3,0)</f>
        <v>0</v>
      </c>
      <c r="I297" s="135">
        <v>1931850888</v>
      </c>
      <c r="K297" s="179" t="s">
        <v>67</v>
      </c>
      <c r="L297" s="178">
        <v>2655873951</v>
      </c>
      <c r="M297" s="178">
        <v>2246477388</v>
      </c>
      <c r="N297" s="178">
        <v>1754969127</v>
      </c>
      <c r="O297" s="178">
        <v>1913837763</v>
      </c>
      <c r="P297" s="178">
        <v>2187683311</v>
      </c>
      <c r="Q297" s="178">
        <v>1961256622</v>
      </c>
      <c r="R297" s="178">
        <v>1882934263</v>
      </c>
      <c r="S297" s="178">
        <v>14603032425</v>
      </c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</row>
    <row r="298" spans="1:66" x14ac:dyDescent="0.2">
      <c r="A298" s="134">
        <v>45334</v>
      </c>
      <c r="B298" s="135">
        <f>YEAR(source[[#This Row],[report_date]])</f>
        <v>2024</v>
      </c>
      <c r="C298" s="136">
        <v>2</v>
      </c>
      <c r="D298" s="136">
        <f t="shared" si="30"/>
        <v>7</v>
      </c>
      <c r="E298" s="136">
        <f t="shared" si="31"/>
        <v>12</v>
      </c>
      <c r="F298" s="128" t="s">
        <v>11</v>
      </c>
      <c r="G298" s="128" t="str">
        <f>VLOOKUP(source[[#This Row],[lending_product_transform]],[3]Mapping!$B$4:$C$37,2,0)</f>
        <v>[VDS] - Cashloan</v>
      </c>
      <c r="H298" s="128" t="str">
        <f>VLOOKUP(source[[#This Row],[lending_product_transform]],[3]Mapping!$B$3:$D$37,3,0)</f>
        <v>cashloan</v>
      </c>
      <c r="I298" s="135">
        <v>504150000</v>
      </c>
      <c r="K298" s="179" t="s">
        <v>28</v>
      </c>
      <c r="L298" s="178">
        <v>13522356000</v>
      </c>
      <c r="M298" s="178">
        <v>12256056000</v>
      </c>
      <c r="N298" s="178">
        <v>11943612000</v>
      </c>
      <c r="O298" s="178">
        <v>11934000000</v>
      </c>
      <c r="P298" s="178">
        <v>12382096000</v>
      </c>
      <c r="Q298" s="178">
        <v>11793492000</v>
      </c>
      <c r="R298" s="178">
        <v>11693916000</v>
      </c>
      <c r="S298" s="178">
        <v>85525528000</v>
      </c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</row>
    <row r="299" spans="1:66" x14ac:dyDescent="0.2">
      <c r="A299" s="134">
        <v>45334</v>
      </c>
      <c r="B299" s="135">
        <f>YEAR(source[[#This Row],[report_date]])</f>
        <v>2024</v>
      </c>
      <c r="C299" s="136">
        <v>2</v>
      </c>
      <c r="D299" s="136">
        <f t="shared" si="30"/>
        <v>7</v>
      </c>
      <c r="E299" s="136">
        <f t="shared" si="31"/>
        <v>12</v>
      </c>
      <c r="F299" s="128" t="s">
        <v>19</v>
      </c>
      <c r="G299" s="128" t="str">
        <f>VLOOKUP(source[[#This Row],[lending_product_transform]],[3]Mapping!$B$4:$C$37,2,0)</f>
        <v>[VDS] - Payday</v>
      </c>
      <c r="H299" s="128" t="str">
        <f>VLOOKUP(source[[#This Row],[lending_product_transform]],[3]Mapping!$B$3:$D$37,3,0)</f>
        <v>payday</v>
      </c>
      <c r="I299" s="135">
        <v>663500000</v>
      </c>
      <c r="K299" s="179" t="s">
        <v>208</v>
      </c>
      <c r="L299" s="178">
        <v>18340201</v>
      </c>
      <c r="M299" s="178">
        <v>3196006</v>
      </c>
      <c r="N299" s="178">
        <v>8595888</v>
      </c>
      <c r="O299" s="178">
        <v>5987341</v>
      </c>
      <c r="P299" s="178">
        <v>707254</v>
      </c>
      <c r="Q299" s="178">
        <v>13497874</v>
      </c>
      <c r="R299" s="178">
        <v>17045713</v>
      </c>
      <c r="S299" s="178">
        <v>67370277</v>
      </c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</row>
    <row r="300" spans="1:66" x14ac:dyDescent="0.2">
      <c r="A300" s="134">
        <v>45334</v>
      </c>
      <c r="B300" s="135">
        <f>YEAR(source[[#This Row],[report_date]])</f>
        <v>2024</v>
      </c>
      <c r="C300" s="136">
        <v>2</v>
      </c>
      <c r="D300" s="136">
        <f t="shared" si="30"/>
        <v>7</v>
      </c>
      <c r="E300" s="136">
        <f t="shared" si="31"/>
        <v>12</v>
      </c>
      <c r="F300" s="128" t="s">
        <v>67</v>
      </c>
      <c r="G300" s="128" t="str">
        <f>VLOOKUP(source[[#This Row],[lending_product_transform]],[3]Mapping!$B$4:$C$37,2,0)</f>
        <v>[Cake] - Overdraft</v>
      </c>
      <c r="H300" s="128" t="str">
        <f>VLOOKUP(source[[#This Row],[lending_product_transform]],[3]Mapping!$B$3:$D$37,3,0)</f>
        <v>overdraft</v>
      </c>
      <c r="I300" s="135">
        <v>743200888</v>
      </c>
      <c r="K300" s="179" t="s">
        <v>60</v>
      </c>
      <c r="L300" s="178"/>
      <c r="M300" s="178"/>
      <c r="N300" s="178"/>
      <c r="O300" s="178">
        <v>100000000</v>
      </c>
      <c r="P300" s="178">
        <v>50000000</v>
      </c>
      <c r="Q300" s="178">
        <v>0</v>
      </c>
      <c r="R300" s="178">
        <v>0</v>
      </c>
      <c r="S300" s="178">
        <v>150000000</v>
      </c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</row>
    <row r="301" spans="1:66" x14ac:dyDescent="0.2">
      <c r="A301" s="134">
        <v>45334</v>
      </c>
      <c r="B301" s="135">
        <f>YEAR(source[[#This Row],[report_date]])</f>
        <v>2024</v>
      </c>
      <c r="C301" s="136">
        <v>2</v>
      </c>
      <c r="D301" s="136">
        <f t="shared" si="30"/>
        <v>7</v>
      </c>
      <c r="E301" s="136">
        <f t="shared" si="31"/>
        <v>12</v>
      </c>
      <c r="F301" s="128" t="s">
        <v>65</v>
      </c>
      <c r="G301" s="128" t="str">
        <f>VLOOKUP(source[[#This Row],[lending_product_transform]],[3]Mapping!$B$4:$C$37,2,0)</f>
        <v>[BE] - Cashloan</v>
      </c>
      <c r="H301" s="128" t="str">
        <f>VLOOKUP(source[[#This Row],[lending_product_transform]],[3]Mapping!$B$3:$D$37,3,0)</f>
        <v>cashloan</v>
      </c>
      <c r="I301" s="135">
        <v>21000000</v>
      </c>
      <c r="K301" s="179" t="s">
        <v>36</v>
      </c>
      <c r="L301" s="178">
        <v>4934880000</v>
      </c>
      <c r="M301" s="178">
        <v>4388790000</v>
      </c>
      <c r="N301" s="178">
        <v>3399220000</v>
      </c>
      <c r="O301" s="178">
        <v>3978750000</v>
      </c>
      <c r="P301" s="178">
        <v>4275100000</v>
      </c>
      <c r="Q301" s="178">
        <v>4483650000</v>
      </c>
      <c r="R301" s="178">
        <v>4935300000</v>
      </c>
      <c r="S301" s="178">
        <v>30395690000</v>
      </c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</row>
    <row r="302" spans="1:66" x14ac:dyDescent="0.2">
      <c r="A302" s="134">
        <v>45334</v>
      </c>
      <c r="B302" s="135">
        <f>YEAR(source[[#This Row],[report_date]])</f>
        <v>2024</v>
      </c>
      <c r="C302" s="136">
        <v>2</v>
      </c>
      <c r="D302" s="136">
        <f t="shared" si="30"/>
        <v>7</v>
      </c>
      <c r="E302" s="136">
        <f t="shared" si="31"/>
        <v>12</v>
      </c>
      <c r="F302" s="128" t="s">
        <v>61</v>
      </c>
      <c r="G302" s="128" t="str">
        <f>VLOOKUP(source[[#This Row],[lending_product_transform]],[3]Mapping!$B$4:$C$37,2,0)</f>
        <v>[VDS] - Payroll Payday</v>
      </c>
      <c r="H302" s="128" t="str">
        <f>VLOOKUP(source[[#This Row],[lending_product_transform]],[3]Mapping!$B$3:$D$37,3,0)</f>
        <v>payday</v>
      </c>
      <c r="I302" s="135">
        <v>0</v>
      </c>
      <c r="K302" s="179" t="s">
        <v>176</v>
      </c>
      <c r="L302" s="178">
        <v>21745618</v>
      </c>
      <c r="M302" s="178">
        <v>7395561</v>
      </c>
      <c r="N302" s="178">
        <v>8747927</v>
      </c>
      <c r="O302" s="178">
        <v>14646069</v>
      </c>
      <c r="P302" s="178">
        <v>0</v>
      </c>
      <c r="Q302" s="178">
        <v>9771562</v>
      </c>
      <c r="R302" s="178">
        <v>8110010</v>
      </c>
      <c r="S302" s="178">
        <v>70416747</v>
      </c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</row>
    <row r="303" spans="1:66" x14ac:dyDescent="0.2">
      <c r="A303" s="134">
        <v>45334</v>
      </c>
      <c r="B303" s="135">
        <f>YEAR(source[[#This Row],[report_date]])</f>
        <v>2024</v>
      </c>
      <c r="C303" s="136">
        <v>2</v>
      </c>
      <c r="D303" s="136">
        <f t="shared" si="30"/>
        <v>7</v>
      </c>
      <c r="E303" s="136">
        <f t="shared" si="31"/>
        <v>12</v>
      </c>
      <c r="F303" s="128" t="s">
        <v>58</v>
      </c>
      <c r="G303" s="128" t="str">
        <f>VLOOKUP(source[[#This Row],[lending_product_transform]],[3]Mapping!$B$4:$C$37,2,0)</f>
        <v>[VDS] - Payroll Cashloan</v>
      </c>
      <c r="H303" s="128" t="str">
        <f>VLOOKUP(source[[#This Row],[lending_product_transform]],[3]Mapping!$B$3:$D$37,3,0)</f>
        <v>cashloan</v>
      </c>
      <c r="I303" s="135">
        <v>0</v>
      </c>
      <c r="K303" s="179" t="s">
        <v>39</v>
      </c>
      <c r="L303" s="178">
        <v>960027021</v>
      </c>
      <c r="M303" s="178">
        <v>800100852</v>
      </c>
      <c r="N303" s="178">
        <v>651321015</v>
      </c>
      <c r="O303" s="178">
        <v>814902855</v>
      </c>
      <c r="P303" s="178">
        <v>719509858</v>
      </c>
      <c r="Q303" s="178">
        <v>1091916962</v>
      </c>
      <c r="R303" s="178">
        <v>973988815</v>
      </c>
      <c r="S303" s="178">
        <v>6011767378</v>
      </c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</row>
    <row r="304" spans="1:66" x14ac:dyDescent="0.2">
      <c r="A304" s="134">
        <v>45335</v>
      </c>
      <c r="B304" s="135">
        <f>YEAR(source[[#This Row],[report_date]])</f>
        <v>2024</v>
      </c>
      <c r="C304" s="136">
        <v>2</v>
      </c>
      <c r="D304" s="136">
        <f t="shared" si="30"/>
        <v>7</v>
      </c>
      <c r="E304" s="136">
        <f t="shared" si="31"/>
        <v>13</v>
      </c>
      <c r="F304" s="128" t="s">
        <v>11</v>
      </c>
      <c r="G304" s="128" t="str">
        <f>VLOOKUP(source[[#This Row],[lending_product_transform]],[3]Mapping!$B$4:$C$37,2,0)</f>
        <v>[VDS] - Cashloan</v>
      </c>
      <c r="H304" s="128" t="str">
        <f>VLOOKUP(source[[#This Row],[lending_product_transform]],[3]Mapping!$B$3:$D$37,3,0)</f>
        <v>cashloan</v>
      </c>
      <c r="I304" s="135">
        <v>814750000</v>
      </c>
      <c r="K304" s="179" t="s">
        <v>206</v>
      </c>
      <c r="L304" s="178">
        <v>0</v>
      </c>
      <c r="M304" s="178">
        <v>0</v>
      </c>
      <c r="N304" s="178">
        <v>0</v>
      </c>
      <c r="O304" s="178">
        <v>0</v>
      </c>
      <c r="P304" s="178">
        <v>0</v>
      </c>
      <c r="Q304" s="178">
        <v>0</v>
      </c>
      <c r="R304" s="178">
        <v>0</v>
      </c>
      <c r="S304" s="178">
        <v>0</v>
      </c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</row>
    <row r="305" spans="1:66" x14ac:dyDescent="0.2">
      <c r="A305" s="134">
        <v>45335</v>
      </c>
      <c r="B305" s="135">
        <f>YEAR(source[[#This Row],[report_date]])</f>
        <v>2024</v>
      </c>
      <c r="C305" s="136">
        <v>2</v>
      </c>
      <c r="D305" s="136">
        <f t="shared" si="30"/>
        <v>7</v>
      </c>
      <c r="E305" s="136">
        <f t="shared" si="31"/>
        <v>13</v>
      </c>
      <c r="F305" s="128" t="s">
        <v>65</v>
      </c>
      <c r="G305" s="128" t="str">
        <f>VLOOKUP(source[[#This Row],[lending_product_transform]],[3]Mapping!$B$4:$C$37,2,0)</f>
        <v>[BE] - Cashloan</v>
      </c>
      <c r="H305" s="128" t="str">
        <f>VLOOKUP(source[[#This Row],[lending_product_transform]],[3]Mapping!$B$3:$D$37,3,0)</f>
        <v>cashloan</v>
      </c>
      <c r="I305" s="135">
        <v>62000000</v>
      </c>
      <c r="K305" s="179" t="s">
        <v>64</v>
      </c>
      <c r="L305" s="178">
        <v>738000000</v>
      </c>
      <c r="M305" s="178">
        <v>715250000</v>
      </c>
      <c r="N305" s="178">
        <v>783900000</v>
      </c>
      <c r="O305" s="178">
        <v>1226050000</v>
      </c>
      <c r="P305" s="178">
        <v>528700000</v>
      </c>
      <c r="Q305" s="178">
        <v>776800000</v>
      </c>
      <c r="R305" s="178">
        <v>661850000</v>
      </c>
      <c r="S305" s="178">
        <v>5430550000</v>
      </c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</row>
    <row r="306" spans="1:66" x14ac:dyDescent="0.2">
      <c r="A306" s="134">
        <v>45335</v>
      </c>
      <c r="B306" s="135">
        <f>YEAR(source[[#This Row],[report_date]])</f>
        <v>2024</v>
      </c>
      <c r="C306" s="136">
        <v>2</v>
      </c>
      <c r="D306" s="136">
        <f t="shared" si="30"/>
        <v>7</v>
      </c>
      <c r="E306" s="136">
        <f t="shared" si="31"/>
        <v>13</v>
      </c>
      <c r="F306" s="128" t="s">
        <v>61</v>
      </c>
      <c r="G306" s="128" t="str">
        <f>VLOOKUP(source[[#This Row],[lending_product_transform]],[3]Mapping!$B$4:$C$37,2,0)</f>
        <v>[VDS] - Payroll Payday</v>
      </c>
      <c r="H306" s="128" t="str">
        <f>VLOOKUP(source[[#This Row],[lending_product_transform]],[3]Mapping!$B$3:$D$37,3,0)</f>
        <v>payday</v>
      </c>
      <c r="I306" s="135">
        <v>0</v>
      </c>
      <c r="K306" s="179" t="s">
        <v>11</v>
      </c>
      <c r="L306" s="178">
        <v>19549130000</v>
      </c>
      <c r="M306" s="178">
        <v>18976500000</v>
      </c>
      <c r="N306" s="178">
        <v>17941910000</v>
      </c>
      <c r="O306" s="178">
        <v>19521960000</v>
      </c>
      <c r="P306" s="178">
        <v>18357020000</v>
      </c>
      <c r="Q306" s="178">
        <v>14486840000</v>
      </c>
      <c r="R306" s="178">
        <v>16309300000</v>
      </c>
      <c r="S306" s="178">
        <v>125142660000</v>
      </c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</row>
    <row r="307" spans="1:66" x14ac:dyDescent="0.2">
      <c r="A307" s="134">
        <v>45335</v>
      </c>
      <c r="B307" s="135">
        <f>YEAR(source[[#This Row],[report_date]])</f>
        <v>2024</v>
      </c>
      <c r="C307" s="136">
        <v>2</v>
      </c>
      <c r="D307" s="136">
        <f t="shared" si="30"/>
        <v>7</v>
      </c>
      <c r="E307" s="136">
        <f t="shared" si="31"/>
        <v>13</v>
      </c>
      <c r="F307" s="128" t="s">
        <v>56</v>
      </c>
      <c r="G307" s="128">
        <f>VLOOKUP(source[[#This Row],[lending_product_transform]],[3]Mapping!$B$4:$C$37,2,0)</f>
        <v>0</v>
      </c>
      <c r="H307" s="128">
        <f>VLOOKUP(source[[#This Row],[lending_product_transform]],[3]Mapping!$B$3:$D$37,3,0)</f>
        <v>0</v>
      </c>
      <c r="I307" s="135">
        <v>2471124499</v>
      </c>
      <c r="K307" s="179" t="s">
        <v>221</v>
      </c>
      <c r="L307" s="178">
        <v>0</v>
      </c>
      <c r="M307" s="178">
        <v>0</v>
      </c>
      <c r="N307" s="178">
        <v>0</v>
      </c>
      <c r="O307" s="178">
        <v>0</v>
      </c>
      <c r="P307" s="178">
        <v>0</v>
      </c>
      <c r="Q307" s="178">
        <v>0</v>
      </c>
      <c r="R307" s="178">
        <v>0</v>
      </c>
      <c r="S307" s="178">
        <v>0</v>
      </c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</row>
    <row r="308" spans="1:66" x14ac:dyDescent="0.2">
      <c r="A308" s="134">
        <v>45335</v>
      </c>
      <c r="B308" s="135">
        <f>YEAR(source[[#This Row],[report_date]])</f>
        <v>2024</v>
      </c>
      <c r="C308" s="136">
        <v>2</v>
      </c>
      <c r="D308" s="136">
        <f t="shared" si="30"/>
        <v>7</v>
      </c>
      <c r="E308" s="136">
        <f t="shared" si="31"/>
        <v>13</v>
      </c>
      <c r="F308" s="128" t="s">
        <v>58</v>
      </c>
      <c r="G308" s="128" t="str">
        <f>VLOOKUP(source[[#This Row],[lending_product_transform]],[3]Mapping!$B$4:$C$37,2,0)</f>
        <v>[VDS] - Payroll Cashloan</v>
      </c>
      <c r="H308" s="128" t="str">
        <f>VLOOKUP(source[[#This Row],[lending_product_transform]],[3]Mapping!$B$3:$D$37,3,0)</f>
        <v>cashloan</v>
      </c>
      <c r="I308" s="135">
        <v>0</v>
      </c>
      <c r="K308" s="179" t="s">
        <v>222</v>
      </c>
      <c r="L308" s="178">
        <v>0</v>
      </c>
      <c r="M308" s="178">
        <v>0</v>
      </c>
      <c r="N308" s="178">
        <v>0</v>
      </c>
      <c r="O308" s="178">
        <v>0</v>
      </c>
      <c r="P308" s="178">
        <v>0</v>
      </c>
      <c r="Q308" s="178">
        <v>0</v>
      </c>
      <c r="R308" s="178">
        <v>0</v>
      </c>
      <c r="S308" s="178">
        <v>0</v>
      </c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</row>
    <row r="309" spans="1:66" x14ac:dyDescent="0.2">
      <c r="A309" s="134">
        <v>45335</v>
      </c>
      <c r="B309" s="135">
        <f>YEAR(source[[#This Row],[report_date]])</f>
        <v>2024</v>
      </c>
      <c r="C309" s="136">
        <v>2</v>
      </c>
      <c r="D309" s="136">
        <f t="shared" si="30"/>
        <v>7</v>
      </c>
      <c r="E309" s="136">
        <f t="shared" si="31"/>
        <v>13</v>
      </c>
      <c r="F309" s="128" t="s">
        <v>67</v>
      </c>
      <c r="G309" s="128" t="str">
        <f>VLOOKUP(source[[#This Row],[lending_product_transform]],[3]Mapping!$B$4:$C$37,2,0)</f>
        <v>[Cake] - Overdraft</v>
      </c>
      <c r="H309" s="128" t="str">
        <f>VLOOKUP(source[[#This Row],[lending_product_transform]],[3]Mapping!$B$3:$D$37,3,0)</f>
        <v>overdraft</v>
      </c>
      <c r="I309" s="135">
        <v>836374499</v>
      </c>
      <c r="K309" s="179" t="s">
        <v>223</v>
      </c>
      <c r="L309" s="178">
        <v>0</v>
      </c>
      <c r="M309" s="178">
        <v>0</v>
      </c>
      <c r="N309" s="178">
        <v>0</v>
      </c>
      <c r="O309" s="178">
        <v>0</v>
      </c>
      <c r="P309" s="178">
        <v>0</v>
      </c>
      <c r="Q309" s="178">
        <v>0</v>
      </c>
      <c r="R309" s="178">
        <v>0</v>
      </c>
      <c r="S309" s="178">
        <v>0</v>
      </c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</row>
    <row r="310" spans="1:66" x14ac:dyDescent="0.2">
      <c r="A310" s="134">
        <v>45335</v>
      </c>
      <c r="B310" s="135">
        <f>YEAR(source[[#This Row],[report_date]])</f>
        <v>2024</v>
      </c>
      <c r="C310" s="136">
        <v>2</v>
      </c>
      <c r="D310" s="136">
        <f t="shared" si="30"/>
        <v>7</v>
      </c>
      <c r="E310" s="136">
        <f t="shared" si="31"/>
        <v>13</v>
      </c>
      <c r="F310" s="128" t="s">
        <v>19</v>
      </c>
      <c r="G310" s="128" t="str">
        <f>VLOOKUP(source[[#This Row],[lending_product_transform]],[3]Mapping!$B$4:$C$37,2,0)</f>
        <v>[VDS] - Payday</v>
      </c>
      <c r="H310" s="128" t="str">
        <f>VLOOKUP(source[[#This Row],[lending_product_transform]],[3]Mapping!$B$3:$D$37,3,0)</f>
        <v>payday</v>
      </c>
      <c r="I310" s="135">
        <v>758000000</v>
      </c>
      <c r="K310" s="179" t="s">
        <v>219</v>
      </c>
      <c r="L310" s="178">
        <v>0</v>
      </c>
      <c r="M310" s="178">
        <v>30000000</v>
      </c>
      <c r="N310" s="178">
        <v>0</v>
      </c>
      <c r="O310" s="178">
        <v>0</v>
      </c>
      <c r="P310" s="178">
        <v>6000000</v>
      </c>
      <c r="Q310" s="178">
        <v>0</v>
      </c>
      <c r="R310" s="178">
        <v>0</v>
      </c>
      <c r="S310" s="178">
        <v>36000000</v>
      </c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</row>
    <row r="311" spans="1:66" x14ac:dyDescent="0.2">
      <c r="A311" s="134">
        <v>45336</v>
      </c>
      <c r="B311" s="135">
        <f>YEAR(source[[#This Row],[report_date]])</f>
        <v>2024</v>
      </c>
      <c r="C311" s="136">
        <v>2</v>
      </c>
      <c r="D311" s="136">
        <f t="shared" si="30"/>
        <v>7</v>
      </c>
      <c r="E311" s="136">
        <f t="shared" si="31"/>
        <v>14</v>
      </c>
      <c r="F311" s="128" t="s">
        <v>11</v>
      </c>
      <c r="G311" s="128" t="str">
        <f>VLOOKUP(source[[#This Row],[lending_product_transform]],[3]Mapping!$B$4:$C$37,2,0)</f>
        <v>[VDS] - Cashloan</v>
      </c>
      <c r="H311" s="128" t="str">
        <f>VLOOKUP(source[[#This Row],[lending_product_transform]],[3]Mapping!$B$3:$D$37,3,0)</f>
        <v>cashloan</v>
      </c>
      <c r="I311" s="135">
        <v>1072500000</v>
      </c>
      <c r="K311" s="179" t="s">
        <v>19</v>
      </c>
      <c r="L311" s="178">
        <v>12444408000</v>
      </c>
      <c r="M311" s="178">
        <v>10527516000</v>
      </c>
      <c r="N311" s="178">
        <v>9917856000</v>
      </c>
      <c r="O311" s="178">
        <v>9723996000</v>
      </c>
      <c r="P311" s="178">
        <v>9999720000</v>
      </c>
      <c r="Q311" s="178">
        <v>9275040000</v>
      </c>
      <c r="R311" s="178">
        <v>9148896000</v>
      </c>
      <c r="S311" s="178">
        <v>71037432000</v>
      </c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</row>
    <row r="312" spans="1:66" x14ac:dyDescent="0.2">
      <c r="A312" s="134">
        <v>45336</v>
      </c>
      <c r="B312" s="135">
        <f>YEAR(source[[#This Row],[report_date]])</f>
        <v>2024</v>
      </c>
      <c r="C312" s="136">
        <v>2</v>
      </c>
      <c r="D312" s="136">
        <f t="shared" si="30"/>
        <v>7</v>
      </c>
      <c r="E312" s="136">
        <f t="shared" si="31"/>
        <v>14</v>
      </c>
      <c r="F312" s="128" t="s">
        <v>58</v>
      </c>
      <c r="G312" s="128" t="str">
        <f>VLOOKUP(source[[#This Row],[lending_product_transform]],[3]Mapping!$B$4:$C$37,2,0)</f>
        <v>[VDS] - Payroll Cashloan</v>
      </c>
      <c r="H312" s="128" t="str">
        <f>VLOOKUP(source[[#This Row],[lending_product_transform]],[3]Mapping!$B$3:$D$37,3,0)</f>
        <v>cashloan</v>
      </c>
      <c r="I312" s="135">
        <v>0</v>
      </c>
      <c r="K312" s="179" t="s">
        <v>62</v>
      </c>
      <c r="L312" s="178">
        <v>204913785</v>
      </c>
      <c r="M312" s="178">
        <v>197024453</v>
      </c>
      <c r="N312" s="178">
        <v>159315563</v>
      </c>
      <c r="O312" s="178">
        <v>180947368</v>
      </c>
      <c r="P312" s="178">
        <v>162802294</v>
      </c>
      <c r="Q312" s="178">
        <v>148058993</v>
      </c>
      <c r="R312" s="178">
        <v>194710939</v>
      </c>
      <c r="S312" s="178">
        <v>1247773395</v>
      </c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</row>
    <row r="313" spans="1:66" x14ac:dyDescent="0.2">
      <c r="A313" s="134">
        <v>45336</v>
      </c>
      <c r="B313" s="135">
        <f>YEAR(source[[#This Row],[report_date]])</f>
        <v>2024</v>
      </c>
      <c r="C313" s="136">
        <v>2</v>
      </c>
      <c r="D313" s="136">
        <f t="shared" si="30"/>
        <v>7</v>
      </c>
      <c r="E313" s="136">
        <f t="shared" si="31"/>
        <v>14</v>
      </c>
      <c r="F313" s="128" t="s">
        <v>61</v>
      </c>
      <c r="G313" s="128" t="str">
        <f>VLOOKUP(source[[#This Row],[lending_product_transform]],[3]Mapping!$B$4:$C$37,2,0)</f>
        <v>[VDS] - Payroll Payday</v>
      </c>
      <c r="H313" s="128" t="str">
        <f>VLOOKUP(source[[#This Row],[lending_product_transform]],[3]Mapping!$B$3:$D$37,3,0)</f>
        <v>payday</v>
      </c>
      <c r="I313" s="135">
        <v>0</v>
      </c>
      <c r="K313" s="179" t="s">
        <v>58</v>
      </c>
      <c r="L313" s="178">
        <v>21000000</v>
      </c>
      <c r="M313" s="178">
        <v>21000000</v>
      </c>
      <c r="N313" s="178">
        <v>0</v>
      </c>
      <c r="O313" s="178">
        <v>0</v>
      </c>
      <c r="P313" s="178">
        <v>20500000</v>
      </c>
      <c r="Q313" s="178">
        <v>0</v>
      </c>
      <c r="R313" s="178">
        <v>21000000</v>
      </c>
      <c r="S313" s="178">
        <v>83500000</v>
      </c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</row>
    <row r="314" spans="1:66" x14ac:dyDescent="0.2">
      <c r="A314" s="134">
        <v>45336</v>
      </c>
      <c r="B314" s="135">
        <f>YEAR(source[[#This Row],[report_date]])</f>
        <v>2024</v>
      </c>
      <c r="C314" s="136">
        <v>2</v>
      </c>
      <c r="D314" s="136">
        <f t="shared" si="30"/>
        <v>7</v>
      </c>
      <c r="E314" s="136">
        <f t="shared" si="31"/>
        <v>14</v>
      </c>
      <c r="F314" s="128" t="s">
        <v>67</v>
      </c>
      <c r="G314" s="128" t="str">
        <f>VLOOKUP(source[[#This Row],[lending_product_transform]],[3]Mapping!$B$4:$C$37,2,0)</f>
        <v>[Cake] - Overdraft</v>
      </c>
      <c r="H314" s="128" t="str">
        <f>VLOOKUP(source[[#This Row],[lending_product_transform]],[3]Mapping!$B$3:$D$37,3,0)</f>
        <v>overdraft</v>
      </c>
      <c r="I314" s="135">
        <v>1113290957</v>
      </c>
      <c r="K314" s="179" t="s">
        <v>61</v>
      </c>
      <c r="L314" s="178">
        <v>47000000</v>
      </c>
      <c r="M314" s="178">
        <v>41000000</v>
      </c>
      <c r="N314" s="178">
        <v>44000000</v>
      </c>
      <c r="O314" s="178">
        <v>36000000</v>
      </c>
      <c r="P314" s="178">
        <v>43000000</v>
      </c>
      <c r="Q314" s="178">
        <v>37000000</v>
      </c>
      <c r="R314" s="178">
        <v>33000000</v>
      </c>
      <c r="S314" s="178">
        <v>281000000</v>
      </c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</row>
    <row r="315" spans="1:66" x14ac:dyDescent="0.2">
      <c r="A315" s="134">
        <v>45336</v>
      </c>
      <c r="B315" s="135">
        <f>YEAR(source[[#This Row],[report_date]])</f>
        <v>2024</v>
      </c>
      <c r="C315" s="136">
        <v>2</v>
      </c>
      <c r="D315" s="136">
        <f t="shared" si="30"/>
        <v>7</v>
      </c>
      <c r="E315" s="136">
        <f t="shared" si="31"/>
        <v>14</v>
      </c>
      <c r="F315" s="128" t="s">
        <v>65</v>
      </c>
      <c r="G315" s="128" t="str">
        <f>VLOOKUP(source[[#This Row],[lending_product_transform]],[3]Mapping!$B$4:$C$37,2,0)</f>
        <v>[BE] - Cashloan</v>
      </c>
      <c r="H315" s="128" t="str">
        <f>VLOOKUP(source[[#This Row],[lending_product_transform]],[3]Mapping!$B$3:$D$37,3,0)</f>
        <v>cashloan</v>
      </c>
      <c r="I315" s="135">
        <v>105000000</v>
      </c>
      <c r="K315" s="179" t="s">
        <v>57</v>
      </c>
      <c r="L315" s="178">
        <v>698470000</v>
      </c>
      <c r="M315" s="178">
        <v>614540000</v>
      </c>
      <c r="N315" s="178">
        <v>404350000</v>
      </c>
      <c r="O315" s="178">
        <v>792060000</v>
      </c>
      <c r="P315" s="178">
        <v>868390000</v>
      </c>
      <c r="Q315" s="178">
        <v>554960000</v>
      </c>
      <c r="R315" s="178">
        <v>661590000</v>
      </c>
      <c r="S315" s="178">
        <v>4594360000</v>
      </c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</row>
    <row r="316" spans="1:66" x14ac:dyDescent="0.2">
      <c r="A316" s="134">
        <v>45336</v>
      </c>
      <c r="B316" s="135">
        <f>YEAR(source[[#This Row],[report_date]])</f>
        <v>2024</v>
      </c>
      <c r="C316" s="136">
        <v>2</v>
      </c>
      <c r="D316" s="136">
        <f t="shared" si="30"/>
        <v>7</v>
      </c>
      <c r="E316" s="136">
        <f t="shared" si="31"/>
        <v>14</v>
      </c>
      <c r="F316" s="128" t="s">
        <v>19</v>
      </c>
      <c r="G316" s="128" t="str">
        <f>VLOOKUP(source[[#This Row],[lending_product_transform]],[3]Mapping!$B$4:$C$37,2,0)</f>
        <v>[VDS] - Payday</v>
      </c>
      <c r="H316" s="128" t="str">
        <f>VLOOKUP(source[[#This Row],[lending_product_transform]],[3]Mapping!$B$3:$D$37,3,0)</f>
        <v>payday</v>
      </c>
      <c r="I316" s="135">
        <v>1159000000</v>
      </c>
      <c r="K316" s="179" t="s">
        <v>63</v>
      </c>
      <c r="L316" s="178">
        <v>268164000</v>
      </c>
      <c r="M316" s="178">
        <v>279936000</v>
      </c>
      <c r="N316" s="178">
        <v>322488000</v>
      </c>
      <c r="O316" s="178">
        <v>308556000</v>
      </c>
      <c r="P316" s="178">
        <v>331236000</v>
      </c>
      <c r="Q316" s="178">
        <v>395280000</v>
      </c>
      <c r="R316" s="178">
        <v>339984000</v>
      </c>
      <c r="S316" s="178">
        <v>2245644000</v>
      </c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</row>
    <row r="317" spans="1:66" x14ac:dyDescent="0.2">
      <c r="A317" s="134">
        <v>45336</v>
      </c>
      <c r="B317" s="135">
        <f>YEAR(source[[#This Row],[report_date]])</f>
        <v>2024</v>
      </c>
      <c r="C317" s="136">
        <v>2</v>
      </c>
      <c r="D317" s="136">
        <f t="shared" si="30"/>
        <v>7</v>
      </c>
      <c r="E317" s="136">
        <f t="shared" si="31"/>
        <v>14</v>
      </c>
      <c r="F317" s="128" t="s">
        <v>56</v>
      </c>
      <c r="G317" s="128">
        <f>VLOOKUP(source[[#This Row],[lending_product_transform]],[3]Mapping!$B$4:$C$37,2,0)</f>
        <v>0</v>
      </c>
      <c r="H317" s="128">
        <f>VLOOKUP(source[[#This Row],[lending_product_transform]],[3]Mapping!$B$3:$D$37,3,0)</f>
        <v>0</v>
      </c>
      <c r="I317" s="135">
        <v>3449790957</v>
      </c>
      <c r="K317" s="179" t="s">
        <v>59</v>
      </c>
      <c r="L317" s="178">
        <v>296761976</v>
      </c>
      <c r="M317" s="178">
        <v>324649279</v>
      </c>
      <c r="N317" s="178">
        <v>307138085</v>
      </c>
      <c r="O317" s="178">
        <v>291196709</v>
      </c>
      <c r="P317" s="178">
        <v>294493693</v>
      </c>
      <c r="Q317" s="178">
        <v>248953198</v>
      </c>
      <c r="R317" s="178">
        <v>334742208</v>
      </c>
      <c r="S317" s="178">
        <v>2097935148</v>
      </c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</row>
    <row r="318" spans="1:66" x14ac:dyDescent="0.2">
      <c r="A318" s="134">
        <v>45337</v>
      </c>
      <c r="B318" s="135">
        <f>YEAR(source[[#This Row],[report_date]])</f>
        <v>2024</v>
      </c>
      <c r="C318" s="136">
        <v>2</v>
      </c>
      <c r="D318" s="136">
        <f t="shared" si="30"/>
        <v>7</v>
      </c>
      <c r="E318" s="136">
        <f t="shared" si="31"/>
        <v>15</v>
      </c>
      <c r="F318" s="128" t="s">
        <v>11</v>
      </c>
      <c r="G318" s="128" t="str">
        <f>VLOOKUP(source[[#This Row],[lending_product_transform]],[3]Mapping!$B$4:$C$37,2,0)</f>
        <v>[VDS] - Cashloan</v>
      </c>
      <c r="H318" s="128" t="str">
        <f>VLOOKUP(source[[#This Row],[lending_product_transform]],[3]Mapping!$B$3:$D$37,3,0)</f>
        <v>cashloan</v>
      </c>
      <c r="I318" s="135">
        <v>1851450000</v>
      </c>
      <c r="K318" s="179" t="s">
        <v>31</v>
      </c>
      <c r="L318" s="178">
        <v>3743710000</v>
      </c>
      <c r="M318" s="178">
        <v>3912910000</v>
      </c>
      <c r="N318" s="178">
        <v>3763130000</v>
      </c>
      <c r="O318" s="178">
        <v>3581780000</v>
      </c>
      <c r="P318" s="178">
        <v>4158890000</v>
      </c>
      <c r="Q318" s="178">
        <v>3564550000</v>
      </c>
      <c r="R318" s="178">
        <v>3218160000</v>
      </c>
      <c r="S318" s="178">
        <v>25943130000</v>
      </c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</row>
    <row r="319" spans="1:66" x14ac:dyDescent="0.2">
      <c r="A319" s="134">
        <v>45337</v>
      </c>
      <c r="B319" s="135">
        <f>YEAR(source[[#This Row],[report_date]])</f>
        <v>2024</v>
      </c>
      <c r="C319" s="136">
        <v>2</v>
      </c>
      <c r="D319" s="136">
        <f t="shared" si="30"/>
        <v>7</v>
      </c>
      <c r="E319" s="136">
        <f t="shared" si="31"/>
        <v>15</v>
      </c>
      <c r="F319" s="128" t="s">
        <v>58</v>
      </c>
      <c r="G319" s="128" t="str">
        <f>VLOOKUP(source[[#This Row],[lending_product_transform]],[3]Mapping!$B$4:$C$37,2,0)</f>
        <v>[VDS] - Payroll Cashloan</v>
      </c>
      <c r="H319" s="128" t="str">
        <f>VLOOKUP(source[[#This Row],[lending_product_transform]],[3]Mapping!$B$3:$D$37,3,0)</f>
        <v>cashloan</v>
      </c>
      <c r="I319" s="135">
        <v>391700000</v>
      </c>
      <c r="K319" s="179" t="s">
        <v>234</v>
      </c>
      <c r="L319" s="178">
        <v>0</v>
      </c>
      <c r="M319" s="178">
        <v>0</v>
      </c>
      <c r="N319" s="178">
        <v>0</v>
      </c>
      <c r="O319" s="178">
        <v>0</v>
      </c>
      <c r="P319" s="178">
        <v>0</v>
      </c>
      <c r="Q319" s="178">
        <v>0</v>
      </c>
      <c r="R319" s="178">
        <v>0</v>
      </c>
      <c r="S319" s="178">
        <v>0</v>
      </c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</row>
    <row r="320" spans="1:66" x14ac:dyDescent="0.2">
      <c r="A320" s="134">
        <v>45337</v>
      </c>
      <c r="B320" s="135">
        <f>YEAR(source[[#This Row],[report_date]])</f>
        <v>2024</v>
      </c>
      <c r="C320" s="136">
        <v>2</v>
      </c>
      <c r="D320" s="136">
        <f t="shared" si="30"/>
        <v>7</v>
      </c>
      <c r="E320" s="136">
        <f t="shared" si="31"/>
        <v>15</v>
      </c>
      <c r="F320" s="128" t="s">
        <v>61</v>
      </c>
      <c r="G320" s="128" t="str">
        <f>VLOOKUP(source[[#This Row],[lending_product_transform]],[3]Mapping!$B$4:$C$37,2,0)</f>
        <v>[VDS] - Payroll Payday</v>
      </c>
      <c r="H320" s="128" t="str">
        <f>VLOOKUP(source[[#This Row],[lending_product_transform]],[3]Mapping!$B$3:$D$37,3,0)</f>
        <v>payday</v>
      </c>
      <c r="I320" s="135">
        <v>126000000</v>
      </c>
      <c r="K320" s="180" t="s">
        <v>68</v>
      </c>
      <c r="L320" s="174">
        <v>76934715440</v>
      </c>
      <c r="M320" s="174">
        <v>72000737874</v>
      </c>
      <c r="N320" s="174">
        <v>68510169405</v>
      </c>
      <c r="O320" s="174">
        <v>72113623946</v>
      </c>
      <c r="P320" s="174">
        <v>67565975800</v>
      </c>
      <c r="Q320" s="174">
        <v>62612772965</v>
      </c>
      <c r="R320" s="174">
        <v>63853838427</v>
      </c>
      <c r="S320" s="174">
        <v>483591833857</v>
      </c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</row>
    <row r="321" spans="1:31" x14ac:dyDescent="0.2">
      <c r="A321" s="134">
        <v>45337</v>
      </c>
      <c r="B321" s="135">
        <f>YEAR(source[[#This Row],[report_date]])</f>
        <v>2024</v>
      </c>
      <c r="C321" s="136">
        <v>2</v>
      </c>
      <c r="D321" s="136">
        <f t="shared" si="30"/>
        <v>7</v>
      </c>
      <c r="E321" s="136">
        <f t="shared" si="31"/>
        <v>15</v>
      </c>
      <c r="F321" s="128" t="s">
        <v>56</v>
      </c>
      <c r="G321" s="128">
        <f>VLOOKUP(source[[#This Row],[lending_product_transform]],[3]Mapping!$B$4:$C$37,2,0)</f>
        <v>0</v>
      </c>
      <c r="H321" s="128">
        <f>VLOOKUP(source[[#This Row],[lending_product_transform]],[3]Mapping!$B$3:$D$37,3,0)</f>
        <v>0</v>
      </c>
      <c r="I321" s="135">
        <v>6668909221</v>
      </c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</row>
    <row r="322" spans="1:31" x14ac:dyDescent="0.2">
      <c r="A322" s="134">
        <v>45337</v>
      </c>
      <c r="B322" s="135">
        <f>YEAR(source[[#This Row],[report_date]])</f>
        <v>2024</v>
      </c>
      <c r="C322" s="136">
        <v>2</v>
      </c>
      <c r="D322" s="136">
        <f t="shared" si="30"/>
        <v>7</v>
      </c>
      <c r="E322" s="136">
        <f t="shared" si="31"/>
        <v>15</v>
      </c>
      <c r="F322" s="128" t="s">
        <v>65</v>
      </c>
      <c r="G322" s="128" t="str">
        <f>VLOOKUP(source[[#This Row],[lending_product_transform]],[3]Mapping!$B$4:$C$37,2,0)</f>
        <v>[BE] - Cashloan</v>
      </c>
      <c r="H322" s="128" t="str">
        <f>VLOOKUP(source[[#This Row],[lending_product_transform]],[3]Mapping!$B$3:$D$37,3,0)</f>
        <v>cashloan</v>
      </c>
      <c r="I322" s="135">
        <v>200550000</v>
      </c>
      <c r="L322" s="166" t="s">
        <v>235</v>
      </c>
      <c r="M322" s="166" t="s">
        <v>236</v>
      </c>
    </row>
    <row r="323" spans="1:31" x14ac:dyDescent="0.2">
      <c r="A323" s="134">
        <v>45337</v>
      </c>
      <c r="B323" s="135">
        <f>YEAR(source[[#This Row],[report_date]])</f>
        <v>2024</v>
      </c>
      <c r="C323" s="136">
        <v>2</v>
      </c>
      <c r="D323" s="136">
        <f t="shared" ref="D323:D386" si="32">WEEKNUM(A323,2)</f>
        <v>7</v>
      </c>
      <c r="E323" s="136">
        <f t="shared" ref="E323:E386" si="33">DAY(A323)</f>
        <v>15</v>
      </c>
      <c r="F323" s="128" t="s">
        <v>67</v>
      </c>
      <c r="G323" s="128" t="str">
        <f>VLOOKUP(source[[#This Row],[lending_product_transform]],[3]Mapping!$B$4:$C$37,2,0)</f>
        <v>[Cake] - Overdraft</v>
      </c>
      <c r="H323" s="128" t="str">
        <f>VLOOKUP(source[[#This Row],[lending_product_transform]],[3]Mapping!$B$3:$D$37,3,0)</f>
        <v>overdraft</v>
      </c>
      <c r="I323" s="135">
        <v>2128209221</v>
      </c>
      <c r="K323" s="128" t="s">
        <v>47</v>
      </c>
      <c r="L323" s="130">
        <f>L321*5</f>
        <v>0</v>
      </c>
      <c r="M323" s="167">
        <f>M321*2</f>
        <v>0</v>
      </c>
      <c r="N323" s="167">
        <v>66808632267</v>
      </c>
    </row>
    <row r="324" spans="1:31" x14ac:dyDescent="0.2">
      <c r="A324" s="134">
        <v>45337</v>
      </c>
      <c r="B324" s="135">
        <f>YEAR(source[[#This Row],[report_date]])</f>
        <v>2024</v>
      </c>
      <c r="C324" s="136">
        <v>2</v>
      </c>
      <c r="D324" s="136">
        <f t="shared" si="32"/>
        <v>7</v>
      </c>
      <c r="E324" s="136">
        <f t="shared" si="33"/>
        <v>15</v>
      </c>
      <c r="F324" s="128" t="s">
        <v>19</v>
      </c>
      <c r="G324" s="128" t="str">
        <f>VLOOKUP(source[[#This Row],[lending_product_transform]],[3]Mapping!$B$4:$C$37,2,0)</f>
        <v>[VDS] - Payday</v>
      </c>
      <c r="H324" s="128" t="str">
        <f>VLOOKUP(source[[#This Row],[lending_product_transform]],[3]Mapping!$B$3:$D$37,3,0)</f>
        <v>payday</v>
      </c>
      <c r="I324" s="135">
        <v>1971000000</v>
      </c>
      <c r="N324" s="135">
        <f>N323*7</f>
        <v>467660425869</v>
      </c>
    </row>
    <row r="325" spans="1:31" x14ac:dyDescent="0.2">
      <c r="A325" s="134">
        <v>45338</v>
      </c>
      <c r="B325" s="135">
        <f>YEAR(source[[#This Row],[report_date]])</f>
        <v>2024</v>
      </c>
      <c r="C325" s="136">
        <v>2</v>
      </c>
      <c r="D325" s="136">
        <f t="shared" si="32"/>
        <v>7</v>
      </c>
      <c r="E325" s="136">
        <f t="shared" si="33"/>
        <v>16</v>
      </c>
      <c r="F325" s="128" t="s">
        <v>61</v>
      </c>
      <c r="G325" s="128" t="str">
        <f>VLOOKUP(source[[#This Row],[lending_product_transform]],[3]Mapping!$B$4:$C$37,2,0)</f>
        <v>[VDS] - Payroll Payday</v>
      </c>
      <c r="H325" s="128" t="str">
        <f>VLOOKUP(source[[#This Row],[lending_product_transform]],[3]Mapping!$B$3:$D$37,3,0)</f>
        <v>payday</v>
      </c>
      <c r="I325" s="135">
        <v>14000000</v>
      </c>
    </row>
    <row r="326" spans="1:31" x14ac:dyDescent="0.2">
      <c r="A326" s="134">
        <v>45338</v>
      </c>
      <c r="B326" s="135">
        <f>YEAR(source[[#This Row],[report_date]])</f>
        <v>2024</v>
      </c>
      <c r="C326" s="136">
        <v>2</v>
      </c>
      <c r="D326" s="136">
        <f t="shared" si="32"/>
        <v>7</v>
      </c>
      <c r="E326" s="136">
        <f t="shared" si="33"/>
        <v>16</v>
      </c>
      <c r="F326" s="128" t="s">
        <v>58</v>
      </c>
      <c r="G326" s="128" t="str">
        <f>VLOOKUP(source[[#This Row],[lending_product_transform]],[3]Mapping!$B$4:$C$37,2,0)</f>
        <v>[VDS] - Payroll Cashloan</v>
      </c>
      <c r="H326" s="128" t="str">
        <f>VLOOKUP(source[[#This Row],[lending_product_transform]],[3]Mapping!$B$3:$D$37,3,0)</f>
        <v>cashloan</v>
      </c>
      <c r="I326" s="135">
        <v>20500000</v>
      </c>
    </row>
    <row r="327" spans="1:31" x14ac:dyDescent="0.2">
      <c r="A327" s="134">
        <v>45338</v>
      </c>
      <c r="B327" s="135">
        <f>YEAR(source[[#This Row],[report_date]])</f>
        <v>2024</v>
      </c>
      <c r="C327" s="136">
        <v>2</v>
      </c>
      <c r="D327" s="136">
        <f t="shared" si="32"/>
        <v>7</v>
      </c>
      <c r="E327" s="136">
        <f t="shared" si="33"/>
        <v>16</v>
      </c>
      <c r="F327" s="128" t="s">
        <v>19</v>
      </c>
      <c r="G327" s="128" t="str">
        <f>VLOOKUP(source[[#This Row],[lending_product_transform]],[3]Mapping!$B$4:$C$37,2,0)</f>
        <v>[VDS] - Payday</v>
      </c>
      <c r="H327" s="128" t="str">
        <f>VLOOKUP(source[[#This Row],[lending_product_transform]],[3]Mapping!$B$3:$D$37,3,0)</f>
        <v>payday</v>
      </c>
      <c r="I327" s="135">
        <v>1748000000</v>
      </c>
    </row>
    <row r="328" spans="1:31" x14ac:dyDescent="0.2">
      <c r="A328" s="134">
        <v>45338</v>
      </c>
      <c r="B328" s="135">
        <f>YEAR(source[[#This Row],[report_date]])</f>
        <v>2024</v>
      </c>
      <c r="C328" s="136">
        <v>2</v>
      </c>
      <c r="D328" s="136">
        <f t="shared" si="32"/>
        <v>7</v>
      </c>
      <c r="E328" s="136">
        <f t="shared" si="33"/>
        <v>16</v>
      </c>
      <c r="F328" s="128" t="s">
        <v>65</v>
      </c>
      <c r="G328" s="128" t="str">
        <f>VLOOKUP(source[[#This Row],[lending_product_transform]],[3]Mapping!$B$4:$C$37,2,0)</f>
        <v>[BE] - Cashloan</v>
      </c>
      <c r="H328" s="128" t="str">
        <f>VLOOKUP(source[[#This Row],[lending_product_transform]],[3]Mapping!$B$3:$D$37,3,0)</f>
        <v>cashloan</v>
      </c>
      <c r="I328" s="135">
        <v>52500000</v>
      </c>
    </row>
    <row r="329" spans="1:31" x14ac:dyDescent="0.2">
      <c r="A329" s="134">
        <v>45338</v>
      </c>
      <c r="B329" s="135">
        <f>YEAR(source[[#This Row],[report_date]])</f>
        <v>2024</v>
      </c>
      <c r="C329" s="136">
        <v>2</v>
      </c>
      <c r="D329" s="136">
        <f t="shared" si="32"/>
        <v>7</v>
      </c>
      <c r="E329" s="136">
        <f t="shared" si="33"/>
        <v>16</v>
      </c>
      <c r="F329" s="128" t="s">
        <v>56</v>
      </c>
      <c r="G329" s="128">
        <f>VLOOKUP(source[[#This Row],[lending_product_transform]],[3]Mapping!$B$4:$C$37,2,0)</f>
        <v>0</v>
      </c>
      <c r="H329" s="128">
        <f>VLOOKUP(source[[#This Row],[lending_product_transform]],[3]Mapping!$B$3:$D$37,3,0)</f>
        <v>0</v>
      </c>
      <c r="I329" s="135">
        <v>5143292964</v>
      </c>
    </row>
    <row r="330" spans="1:31" x14ac:dyDescent="0.2">
      <c r="A330" s="134">
        <v>45338</v>
      </c>
      <c r="B330" s="135">
        <f>YEAR(source[[#This Row],[report_date]])</f>
        <v>2024</v>
      </c>
      <c r="C330" s="136">
        <v>2</v>
      </c>
      <c r="D330" s="136">
        <f t="shared" si="32"/>
        <v>7</v>
      </c>
      <c r="E330" s="136">
        <f t="shared" si="33"/>
        <v>16</v>
      </c>
      <c r="F330" s="128" t="s">
        <v>11</v>
      </c>
      <c r="G330" s="128" t="str">
        <f>VLOOKUP(source[[#This Row],[lending_product_transform]],[3]Mapping!$B$4:$C$37,2,0)</f>
        <v>[VDS] - Cashloan</v>
      </c>
      <c r="H330" s="128" t="str">
        <f>VLOOKUP(source[[#This Row],[lending_product_transform]],[3]Mapping!$B$3:$D$37,3,0)</f>
        <v>cashloan</v>
      </c>
      <c r="I330" s="135">
        <v>1854550000</v>
      </c>
      <c r="K330" s="137"/>
      <c r="L330" s="137"/>
    </row>
    <row r="331" spans="1:31" x14ac:dyDescent="0.2">
      <c r="A331" s="134">
        <v>45338</v>
      </c>
      <c r="B331" s="135">
        <f>YEAR(source[[#This Row],[report_date]])</f>
        <v>2024</v>
      </c>
      <c r="C331" s="136">
        <v>2</v>
      </c>
      <c r="D331" s="136">
        <f t="shared" si="32"/>
        <v>7</v>
      </c>
      <c r="E331" s="136">
        <f t="shared" si="33"/>
        <v>16</v>
      </c>
      <c r="F331" s="128" t="s">
        <v>67</v>
      </c>
      <c r="G331" s="128" t="str">
        <f>VLOOKUP(source[[#This Row],[lending_product_transform]],[3]Mapping!$B$4:$C$37,2,0)</f>
        <v>[Cake] - Overdraft</v>
      </c>
      <c r="H331" s="128" t="str">
        <f>VLOOKUP(source[[#This Row],[lending_product_transform]],[3]Mapping!$B$3:$D$37,3,0)</f>
        <v>overdraft</v>
      </c>
      <c r="I331" s="135">
        <v>1453742964</v>
      </c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</row>
    <row r="332" spans="1:31" x14ac:dyDescent="0.2">
      <c r="A332" s="134">
        <v>45339</v>
      </c>
      <c r="B332" s="135">
        <f>YEAR(source[[#This Row],[report_date]])</f>
        <v>2024</v>
      </c>
      <c r="C332" s="136">
        <v>2</v>
      </c>
      <c r="D332" s="136">
        <f t="shared" si="32"/>
        <v>7</v>
      </c>
      <c r="E332" s="136">
        <f t="shared" si="33"/>
        <v>17</v>
      </c>
      <c r="F332" s="128" t="s">
        <v>58</v>
      </c>
      <c r="G332" s="128" t="str">
        <f>VLOOKUP(source[[#This Row],[lending_product_transform]],[3]Mapping!$B$4:$C$37,2,0)</f>
        <v>[VDS] - Payroll Cashloan</v>
      </c>
      <c r="H332" s="128" t="str">
        <f>VLOOKUP(source[[#This Row],[lending_product_transform]],[3]Mapping!$B$3:$D$37,3,0)</f>
        <v>cashloan</v>
      </c>
      <c r="I332" s="135">
        <v>21000000</v>
      </c>
      <c r="K332" s="174" t="e" vm="1">
        <v>#VALUE!</v>
      </c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</row>
    <row r="333" spans="1:31" x14ac:dyDescent="0.2">
      <c r="A333" s="134">
        <v>45339</v>
      </c>
      <c r="B333" s="135">
        <f>YEAR(source[[#This Row],[report_date]])</f>
        <v>2024</v>
      </c>
      <c r="C333" s="136">
        <v>2</v>
      </c>
      <c r="D333" s="136">
        <f t="shared" si="32"/>
        <v>7</v>
      </c>
      <c r="E333" s="136">
        <f t="shared" si="33"/>
        <v>17</v>
      </c>
      <c r="F333" s="128" t="s">
        <v>65</v>
      </c>
      <c r="G333" s="128" t="str">
        <f>VLOOKUP(source[[#This Row],[lending_product_transform]],[3]Mapping!$B$4:$C$37,2,0)</f>
        <v>[BE] - Cashloan</v>
      </c>
      <c r="H333" s="128" t="str">
        <f>VLOOKUP(source[[#This Row],[lending_product_transform]],[3]Mapping!$B$3:$D$37,3,0)</f>
        <v>cashloan</v>
      </c>
      <c r="I333" s="135">
        <v>136500000</v>
      </c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</row>
    <row r="334" spans="1:31" x14ac:dyDescent="0.2">
      <c r="A334" s="134">
        <v>45339</v>
      </c>
      <c r="B334" s="135">
        <f>YEAR(source[[#This Row],[report_date]])</f>
        <v>2024</v>
      </c>
      <c r="C334" s="136">
        <v>2</v>
      </c>
      <c r="D334" s="136">
        <f t="shared" si="32"/>
        <v>7</v>
      </c>
      <c r="E334" s="136">
        <f t="shared" si="33"/>
        <v>17</v>
      </c>
      <c r="F334" s="128" t="s">
        <v>61</v>
      </c>
      <c r="G334" s="128" t="str">
        <f>VLOOKUP(source[[#This Row],[lending_product_transform]],[3]Mapping!$B$4:$C$37,2,0)</f>
        <v>[VDS] - Payroll Payday</v>
      </c>
      <c r="H334" s="128" t="str">
        <f>VLOOKUP(source[[#This Row],[lending_product_transform]],[3]Mapping!$B$3:$D$37,3,0)</f>
        <v>payday</v>
      </c>
      <c r="I334" s="135">
        <v>34000000</v>
      </c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</row>
    <row r="335" spans="1:31" x14ac:dyDescent="0.2">
      <c r="A335" s="134">
        <v>45339</v>
      </c>
      <c r="B335" s="135">
        <f>YEAR(source[[#This Row],[report_date]])</f>
        <v>2024</v>
      </c>
      <c r="C335" s="136">
        <v>2</v>
      </c>
      <c r="D335" s="136">
        <f t="shared" si="32"/>
        <v>7</v>
      </c>
      <c r="E335" s="136">
        <f t="shared" si="33"/>
        <v>17</v>
      </c>
      <c r="F335" s="128" t="s">
        <v>56</v>
      </c>
      <c r="G335" s="128">
        <f>VLOOKUP(source[[#This Row],[lending_product_transform]],[3]Mapping!$B$4:$C$37,2,0)</f>
        <v>0</v>
      </c>
      <c r="H335" s="128">
        <f>VLOOKUP(source[[#This Row],[lending_product_transform]],[3]Mapping!$B$3:$D$37,3,0)</f>
        <v>0</v>
      </c>
      <c r="I335" s="135">
        <v>4363252155</v>
      </c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42" t="s">
        <v>66</v>
      </c>
      <c r="AE335" s="136">
        <v>7491498357</v>
      </c>
    </row>
    <row r="336" spans="1:31" x14ac:dyDescent="0.2">
      <c r="A336" s="134">
        <v>45339</v>
      </c>
      <c r="B336" s="135">
        <f>YEAR(source[[#This Row],[report_date]])</f>
        <v>2024</v>
      </c>
      <c r="C336" s="136">
        <v>2</v>
      </c>
      <c r="D336" s="136">
        <f t="shared" si="32"/>
        <v>7</v>
      </c>
      <c r="E336" s="136">
        <f t="shared" si="33"/>
        <v>17</v>
      </c>
      <c r="F336" s="128" t="s">
        <v>11</v>
      </c>
      <c r="G336" s="128" t="str">
        <f>VLOOKUP(source[[#This Row],[lending_product_transform]],[3]Mapping!$B$4:$C$37,2,0)</f>
        <v>[VDS] - Cashloan</v>
      </c>
      <c r="H336" s="128" t="str">
        <f>VLOOKUP(source[[#This Row],[lending_product_transform]],[3]Mapping!$B$3:$D$37,3,0)</f>
        <v>cashloan</v>
      </c>
      <c r="I336" s="135">
        <v>1304450000</v>
      </c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42" t="s">
        <v>62</v>
      </c>
      <c r="AE336" s="136">
        <v>5451207381</v>
      </c>
    </row>
    <row r="337" spans="1:31" x14ac:dyDescent="0.2">
      <c r="A337" s="134">
        <v>45339</v>
      </c>
      <c r="B337" s="135">
        <f>YEAR(source[[#This Row],[report_date]])</f>
        <v>2024</v>
      </c>
      <c r="C337" s="136">
        <v>2</v>
      </c>
      <c r="D337" s="136">
        <f t="shared" si="32"/>
        <v>7</v>
      </c>
      <c r="E337" s="136">
        <f t="shared" si="33"/>
        <v>17</v>
      </c>
      <c r="F337" s="128" t="s">
        <v>67</v>
      </c>
      <c r="G337" s="128" t="str">
        <f>VLOOKUP(source[[#This Row],[lending_product_transform]],[3]Mapping!$B$4:$C$37,2,0)</f>
        <v>[Cake] - Overdraft</v>
      </c>
      <c r="H337" s="128" t="str">
        <f>VLOOKUP(source[[#This Row],[lending_product_transform]],[3]Mapping!$B$3:$D$37,3,0)</f>
        <v>overdraft</v>
      </c>
      <c r="I337" s="135">
        <v>1499802155</v>
      </c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42" t="s">
        <v>208</v>
      </c>
      <c r="AE337" s="136">
        <v>348034461</v>
      </c>
    </row>
    <row r="338" spans="1:31" x14ac:dyDescent="0.2">
      <c r="A338" s="134">
        <v>45339</v>
      </c>
      <c r="B338" s="135">
        <f>YEAR(source[[#This Row],[report_date]])</f>
        <v>2024</v>
      </c>
      <c r="C338" s="136">
        <v>2</v>
      </c>
      <c r="D338" s="136">
        <f t="shared" si="32"/>
        <v>7</v>
      </c>
      <c r="E338" s="136">
        <f t="shared" si="33"/>
        <v>17</v>
      </c>
      <c r="F338" s="128" t="s">
        <v>19</v>
      </c>
      <c r="G338" s="128" t="str">
        <f>VLOOKUP(source[[#This Row],[lending_product_transform]],[3]Mapping!$B$4:$C$37,2,0)</f>
        <v>[VDS] - Payday</v>
      </c>
      <c r="H338" s="128" t="str">
        <f>VLOOKUP(source[[#This Row],[lending_product_transform]],[3]Mapping!$B$3:$D$37,3,0)</f>
        <v>payday</v>
      </c>
      <c r="I338" s="135">
        <v>1367500000</v>
      </c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42" t="s">
        <v>59</v>
      </c>
      <c r="AE338" s="136">
        <v>11362891572</v>
      </c>
    </row>
    <row r="339" spans="1:31" x14ac:dyDescent="0.2">
      <c r="A339" s="134">
        <v>45340</v>
      </c>
      <c r="B339" s="135">
        <f>YEAR(source[[#This Row],[report_date]])</f>
        <v>2024</v>
      </c>
      <c r="C339" s="136">
        <v>2</v>
      </c>
      <c r="D339" s="136">
        <f t="shared" si="32"/>
        <v>7</v>
      </c>
      <c r="E339" s="136">
        <f t="shared" si="33"/>
        <v>18</v>
      </c>
      <c r="F339" s="128" t="s">
        <v>19</v>
      </c>
      <c r="G339" s="128" t="str">
        <f>VLOOKUP(source[[#This Row],[lending_product_transform]],[3]Mapping!$B$4:$C$37,2,0)</f>
        <v>[VDS] - Payday</v>
      </c>
      <c r="H339" s="128" t="str">
        <f>VLOOKUP(source[[#This Row],[lending_product_transform]],[3]Mapping!$B$3:$D$37,3,0)</f>
        <v>payday</v>
      </c>
      <c r="I339" s="135">
        <v>1278000000</v>
      </c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42" t="s">
        <v>176</v>
      </c>
      <c r="AE339" s="136">
        <v>368204685</v>
      </c>
    </row>
    <row r="340" spans="1:31" x14ac:dyDescent="0.2">
      <c r="A340" s="134">
        <v>45340</v>
      </c>
      <c r="B340" s="135">
        <f>YEAR(source[[#This Row],[report_date]])</f>
        <v>2024</v>
      </c>
      <c r="C340" s="136">
        <v>2</v>
      </c>
      <c r="D340" s="136">
        <f t="shared" si="32"/>
        <v>7</v>
      </c>
      <c r="E340" s="136">
        <f t="shared" si="33"/>
        <v>18</v>
      </c>
      <c r="F340" s="128" t="s">
        <v>61</v>
      </c>
      <c r="G340" s="128" t="str">
        <f>VLOOKUP(source[[#This Row],[lending_product_transform]],[3]Mapping!$B$4:$C$37,2,0)</f>
        <v>[VDS] - Payroll Payday</v>
      </c>
      <c r="H340" s="128" t="str">
        <f>VLOOKUP(source[[#This Row],[lending_product_transform]],[3]Mapping!$B$3:$D$37,3,0)</f>
        <v>payday</v>
      </c>
      <c r="I340" s="135">
        <v>10000000</v>
      </c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42" t="s">
        <v>39</v>
      </c>
      <c r="AE340" s="136">
        <v>36655826258</v>
      </c>
    </row>
    <row r="341" spans="1:31" x14ac:dyDescent="0.2">
      <c r="A341" s="134">
        <v>45340</v>
      </c>
      <c r="B341" s="135">
        <f>YEAR(source[[#This Row],[report_date]])</f>
        <v>2024</v>
      </c>
      <c r="C341" s="136">
        <v>2</v>
      </c>
      <c r="D341" s="136">
        <f t="shared" si="32"/>
        <v>7</v>
      </c>
      <c r="E341" s="136">
        <f t="shared" si="33"/>
        <v>18</v>
      </c>
      <c r="F341" s="128" t="s">
        <v>11</v>
      </c>
      <c r="G341" s="128" t="str">
        <f>VLOOKUP(source[[#This Row],[lending_product_transform]],[3]Mapping!$B$4:$C$37,2,0)</f>
        <v>[VDS] - Cashloan</v>
      </c>
      <c r="H341" s="128" t="str">
        <f>VLOOKUP(source[[#This Row],[lending_product_transform]],[3]Mapping!$B$3:$D$37,3,0)</f>
        <v>cashloan</v>
      </c>
      <c r="I341" s="135">
        <v>1083350000</v>
      </c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</row>
    <row r="342" spans="1:31" x14ac:dyDescent="0.2">
      <c r="A342" s="134">
        <v>45340</v>
      </c>
      <c r="B342" s="135">
        <f>YEAR(source[[#This Row],[report_date]])</f>
        <v>2024</v>
      </c>
      <c r="C342" s="136">
        <v>2</v>
      </c>
      <c r="D342" s="136">
        <f t="shared" si="32"/>
        <v>7</v>
      </c>
      <c r="E342" s="136">
        <f t="shared" si="33"/>
        <v>18</v>
      </c>
      <c r="F342" s="128" t="s">
        <v>58</v>
      </c>
      <c r="G342" s="128" t="str">
        <f>VLOOKUP(source[[#This Row],[lending_product_transform]],[3]Mapping!$B$4:$C$37,2,0)</f>
        <v>[VDS] - Payroll Cashloan</v>
      </c>
      <c r="H342" s="128" t="str">
        <f>VLOOKUP(source[[#This Row],[lending_product_transform]],[3]Mapping!$B$3:$D$37,3,0)</f>
        <v>cashloan</v>
      </c>
      <c r="I342" s="135">
        <v>31500000</v>
      </c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</row>
    <row r="343" spans="1:31" x14ac:dyDescent="0.2">
      <c r="A343" s="134">
        <v>45340</v>
      </c>
      <c r="B343" s="135">
        <f>YEAR(source[[#This Row],[report_date]])</f>
        <v>2024</v>
      </c>
      <c r="C343" s="136">
        <v>2</v>
      </c>
      <c r="D343" s="136">
        <f t="shared" si="32"/>
        <v>7</v>
      </c>
      <c r="E343" s="136">
        <f t="shared" si="33"/>
        <v>18</v>
      </c>
      <c r="F343" s="128" t="s">
        <v>67</v>
      </c>
      <c r="G343" s="128" t="str">
        <f>VLOOKUP(source[[#This Row],[lending_product_transform]],[3]Mapping!$B$4:$C$37,2,0)</f>
        <v>[Cake] - Overdraft</v>
      </c>
      <c r="H343" s="128" t="str">
        <f>VLOOKUP(source[[#This Row],[lending_product_transform]],[3]Mapping!$B$3:$D$37,3,0)</f>
        <v>overdraft</v>
      </c>
      <c r="I343" s="135">
        <v>1283675740</v>
      </c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</row>
    <row r="344" spans="1:31" x14ac:dyDescent="0.2">
      <c r="A344" s="134">
        <v>45340</v>
      </c>
      <c r="B344" s="135">
        <f>YEAR(source[[#This Row],[report_date]])</f>
        <v>2024</v>
      </c>
      <c r="C344" s="136">
        <v>2</v>
      </c>
      <c r="D344" s="136">
        <f t="shared" si="32"/>
        <v>7</v>
      </c>
      <c r="E344" s="136">
        <f t="shared" si="33"/>
        <v>18</v>
      </c>
      <c r="F344" s="128" t="s">
        <v>56</v>
      </c>
      <c r="G344" s="128">
        <f>VLOOKUP(source[[#This Row],[lending_product_transform]],[3]Mapping!$B$4:$C$37,2,0)</f>
        <v>0</v>
      </c>
      <c r="H344" s="128">
        <f>VLOOKUP(source[[#This Row],[lending_product_transform]],[3]Mapping!$B$3:$D$37,3,0)</f>
        <v>0</v>
      </c>
      <c r="I344" s="135">
        <v>3760025740</v>
      </c>
    </row>
    <row r="345" spans="1:31" x14ac:dyDescent="0.2">
      <c r="A345" s="134">
        <v>45340</v>
      </c>
      <c r="B345" s="135">
        <f>YEAR(source[[#This Row],[report_date]])</f>
        <v>2024</v>
      </c>
      <c r="C345" s="136">
        <v>2</v>
      </c>
      <c r="D345" s="136">
        <f t="shared" si="32"/>
        <v>7</v>
      </c>
      <c r="E345" s="136">
        <f t="shared" si="33"/>
        <v>18</v>
      </c>
      <c r="F345" s="128" t="s">
        <v>65</v>
      </c>
      <c r="G345" s="128" t="str">
        <f>VLOOKUP(source[[#This Row],[lending_product_transform]],[3]Mapping!$B$4:$C$37,2,0)</f>
        <v>[BE] - Cashloan</v>
      </c>
      <c r="H345" s="128" t="str">
        <f>VLOOKUP(source[[#This Row],[lending_product_transform]],[3]Mapping!$B$3:$D$37,3,0)</f>
        <v>cashloan</v>
      </c>
      <c r="I345" s="135">
        <v>73500000</v>
      </c>
    </row>
    <row r="346" spans="1:31" x14ac:dyDescent="0.2">
      <c r="A346" s="134">
        <v>45341</v>
      </c>
      <c r="B346" s="135">
        <f>YEAR(source[[#This Row],[report_date]])</f>
        <v>2024</v>
      </c>
      <c r="C346" s="136">
        <v>2</v>
      </c>
      <c r="D346" s="136">
        <f t="shared" si="32"/>
        <v>8</v>
      </c>
      <c r="E346" s="136">
        <f t="shared" si="33"/>
        <v>19</v>
      </c>
      <c r="F346" s="128" t="s">
        <v>19</v>
      </c>
      <c r="G346" s="128" t="str">
        <f>VLOOKUP(source[[#This Row],[lending_product_transform]],[3]Mapping!$B$4:$C$37,2,0)</f>
        <v>[VDS] - Payday</v>
      </c>
      <c r="H346" s="128" t="str">
        <f>VLOOKUP(source[[#This Row],[lending_product_transform]],[3]Mapping!$B$3:$D$37,3,0)</f>
        <v>payday</v>
      </c>
      <c r="I346" s="135">
        <v>1598000000</v>
      </c>
      <c r="Y346" s="142" t="s">
        <v>66</v>
      </c>
      <c r="Z346" s="136">
        <v>3791495072</v>
      </c>
    </row>
    <row r="347" spans="1:31" x14ac:dyDescent="0.2">
      <c r="A347" s="134">
        <v>45341</v>
      </c>
      <c r="B347" s="135">
        <f>YEAR(source[[#This Row],[report_date]])</f>
        <v>2024</v>
      </c>
      <c r="C347" s="136">
        <v>2</v>
      </c>
      <c r="D347" s="136">
        <f t="shared" si="32"/>
        <v>8</v>
      </c>
      <c r="E347" s="136">
        <f t="shared" si="33"/>
        <v>19</v>
      </c>
      <c r="F347" s="128" t="s">
        <v>56</v>
      </c>
      <c r="G347" s="128">
        <f>VLOOKUP(source[[#This Row],[lending_product_transform]],[3]Mapping!$B$4:$C$37,2,0)</f>
        <v>0</v>
      </c>
      <c r="H347" s="128">
        <f>VLOOKUP(source[[#This Row],[lending_product_transform]],[3]Mapping!$B$3:$D$37,3,0)</f>
        <v>0</v>
      </c>
      <c r="I347" s="135">
        <v>5628132708</v>
      </c>
      <c r="Y347" s="142" t="s">
        <v>62</v>
      </c>
      <c r="Z347" s="136">
        <v>3314368445</v>
      </c>
    </row>
    <row r="348" spans="1:31" x14ac:dyDescent="0.2">
      <c r="A348" s="134">
        <v>45341</v>
      </c>
      <c r="B348" s="135">
        <f>YEAR(source[[#This Row],[report_date]])</f>
        <v>2024</v>
      </c>
      <c r="C348" s="136">
        <v>2</v>
      </c>
      <c r="D348" s="136">
        <f t="shared" si="32"/>
        <v>8</v>
      </c>
      <c r="E348" s="136">
        <f t="shared" si="33"/>
        <v>19</v>
      </c>
      <c r="F348" s="128" t="s">
        <v>58</v>
      </c>
      <c r="G348" s="128" t="str">
        <f>VLOOKUP(source[[#This Row],[lending_product_transform]],[3]Mapping!$B$4:$C$37,2,0)</f>
        <v>[VDS] - Payroll Cashloan</v>
      </c>
      <c r="H348" s="128" t="str">
        <f>VLOOKUP(source[[#This Row],[lending_product_transform]],[3]Mapping!$B$3:$D$37,3,0)</f>
        <v>cashloan</v>
      </c>
      <c r="I348" s="135">
        <v>52500000</v>
      </c>
      <c r="Y348" s="142" t="s">
        <v>208</v>
      </c>
      <c r="Z348" s="136">
        <v>295205232</v>
      </c>
    </row>
    <row r="349" spans="1:31" x14ac:dyDescent="0.2">
      <c r="A349" s="134">
        <v>45341</v>
      </c>
      <c r="B349" s="135">
        <f>YEAR(source[[#This Row],[report_date]])</f>
        <v>2024</v>
      </c>
      <c r="C349" s="136">
        <v>2</v>
      </c>
      <c r="D349" s="136">
        <f t="shared" si="32"/>
        <v>8</v>
      </c>
      <c r="E349" s="136">
        <f t="shared" si="33"/>
        <v>19</v>
      </c>
      <c r="F349" s="128" t="s">
        <v>65</v>
      </c>
      <c r="G349" s="128" t="str">
        <f>VLOOKUP(source[[#This Row],[lending_product_transform]],[3]Mapping!$B$4:$C$37,2,0)</f>
        <v>[BE] - Cashloan</v>
      </c>
      <c r="H349" s="128" t="str">
        <f>VLOOKUP(source[[#This Row],[lending_product_transform]],[3]Mapping!$B$3:$D$37,3,0)</f>
        <v>cashloan</v>
      </c>
      <c r="I349" s="135">
        <v>239400000</v>
      </c>
      <c r="Y349" s="142" t="s">
        <v>59</v>
      </c>
      <c r="Z349" s="136">
        <v>7755483121</v>
      </c>
    </row>
    <row r="350" spans="1:31" x14ac:dyDescent="0.2">
      <c r="A350" s="134">
        <v>45341</v>
      </c>
      <c r="B350" s="135">
        <f>YEAR(source[[#This Row],[report_date]])</f>
        <v>2024</v>
      </c>
      <c r="C350" s="136">
        <v>2</v>
      </c>
      <c r="D350" s="136">
        <f t="shared" si="32"/>
        <v>8</v>
      </c>
      <c r="E350" s="136">
        <f t="shared" si="33"/>
        <v>19</v>
      </c>
      <c r="F350" s="128" t="s">
        <v>61</v>
      </c>
      <c r="G350" s="128" t="str">
        <f>VLOOKUP(source[[#This Row],[lending_product_transform]],[3]Mapping!$B$4:$C$37,2,0)</f>
        <v>[VDS] - Payroll Payday</v>
      </c>
      <c r="H350" s="128" t="str">
        <f>VLOOKUP(source[[#This Row],[lending_product_transform]],[3]Mapping!$B$3:$D$37,3,0)</f>
        <v>payday</v>
      </c>
      <c r="I350" s="135">
        <v>10000000</v>
      </c>
      <c r="Y350" s="142" t="s">
        <v>176</v>
      </c>
      <c r="Z350" s="136">
        <v>227313617</v>
      </c>
    </row>
    <row r="351" spans="1:31" x14ac:dyDescent="0.2">
      <c r="A351" s="134">
        <v>45341</v>
      </c>
      <c r="B351" s="135">
        <f>YEAR(source[[#This Row],[report_date]])</f>
        <v>2024</v>
      </c>
      <c r="C351" s="136">
        <v>2</v>
      </c>
      <c r="D351" s="136">
        <f t="shared" si="32"/>
        <v>8</v>
      </c>
      <c r="E351" s="136">
        <f t="shared" si="33"/>
        <v>19</v>
      </c>
      <c r="F351" s="128" t="s">
        <v>67</v>
      </c>
      <c r="G351" s="128" t="str">
        <f>VLOOKUP(source[[#This Row],[lending_product_transform]],[3]Mapping!$B$4:$C$37,2,0)</f>
        <v>[Cake] - Overdraft</v>
      </c>
      <c r="H351" s="128" t="str">
        <f>VLOOKUP(source[[#This Row],[lending_product_transform]],[3]Mapping!$B$3:$D$37,3,0)</f>
        <v>overdraft</v>
      </c>
      <c r="I351" s="135">
        <v>2005982708</v>
      </c>
      <c r="Y351" s="142" t="s">
        <v>39</v>
      </c>
      <c r="Z351" s="136">
        <v>20628725814</v>
      </c>
    </row>
    <row r="352" spans="1:31" x14ac:dyDescent="0.2">
      <c r="A352" s="134">
        <v>45341</v>
      </c>
      <c r="B352" s="135">
        <f>YEAR(source[[#This Row],[report_date]])</f>
        <v>2024</v>
      </c>
      <c r="C352" s="136">
        <v>2</v>
      </c>
      <c r="D352" s="136">
        <f t="shared" si="32"/>
        <v>8</v>
      </c>
      <c r="E352" s="136">
        <f t="shared" si="33"/>
        <v>19</v>
      </c>
      <c r="F352" s="128" t="s">
        <v>11</v>
      </c>
      <c r="G352" s="128" t="str">
        <f>VLOOKUP(source[[#This Row],[lending_product_transform]],[3]Mapping!$B$4:$C$37,2,0)</f>
        <v>[VDS] - Cashloan</v>
      </c>
      <c r="H352" s="128" t="str">
        <f>VLOOKUP(source[[#This Row],[lending_product_transform]],[3]Mapping!$B$3:$D$37,3,0)</f>
        <v>cashloan</v>
      </c>
      <c r="I352" s="135">
        <v>1722250000</v>
      </c>
      <c r="K352" s="181" t="s">
        <v>194</v>
      </c>
      <c r="L352" s="182">
        <v>2025</v>
      </c>
    </row>
    <row r="353" spans="1:43" x14ac:dyDescent="0.2">
      <c r="A353" s="134">
        <v>45342</v>
      </c>
      <c r="B353" s="135">
        <f>YEAR(source[[#This Row],[report_date]])</f>
        <v>2024</v>
      </c>
      <c r="C353" s="136">
        <v>2</v>
      </c>
      <c r="D353" s="136">
        <f t="shared" si="32"/>
        <v>8</v>
      </c>
      <c r="E353" s="136">
        <f t="shared" si="33"/>
        <v>20</v>
      </c>
      <c r="F353" s="128" t="s">
        <v>11</v>
      </c>
      <c r="G353" s="128" t="str">
        <f>VLOOKUP(source[[#This Row],[lending_product_transform]],[3]Mapping!$B$4:$C$37,2,0)</f>
        <v>[VDS] - Cashloan</v>
      </c>
      <c r="H353" s="128" t="str">
        <f>VLOOKUP(source[[#This Row],[lending_product_transform]],[3]Mapping!$B$3:$D$37,3,0)</f>
        <v>cashloan</v>
      </c>
      <c r="I353" s="135">
        <v>1552600000</v>
      </c>
      <c r="K353" s="177" t="s">
        <v>195</v>
      </c>
      <c r="L353" s="176">
        <v>12</v>
      </c>
    </row>
    <row r="354" spans="1:43" x14ac:dyDescent="0.2">
      <c r="A354" s="134">
        <v>45342</v>
      </c>
      <c r="B354" s="135">
        <f>YEAR(source[[#This Row],[report_date]])</f>
        <v>2024</v>
      </c>
      <c r="C354" s="136">
        <v>2</v>
      </c>
      <c r="D354" s="136">
        <f t="shared" si="32"/>
        <v>8</v>
      </c>
      <c r="E354" s="136">
        <f t="shared" si="33"/>
        <v>20</v>
      </c>
      <c r="F354" s="128" t="s">
        <v>56</v>
      </c>
      <c r="G354" s="128">
        <f>VLOOKUP(source[[#This Row],[lending_product_transform]],[3]Mapping!$B$4:$C$37,2,0)</f>
        <v>0</v>
      </c>
      <c r="H354" s="128">
        <f>VLOOKUP(source[[#This Row],[lending_product_transform]],[3]Mapping!$B$3:$D$37,3,0)</f>
        <v>0</v>
      </c>
      <c r="I354" s="135">
        <v>5194226766</v>
      </c>
      <c r="K354" s="175" t="s">
        <v>199</v>
      </c>
      <c r="L354" s="61" t="s">
        <v>220</v>
      </c>
      <c r="M354" s="137"/>
      <c r="N354" s="137"/>
    </row>
    <row r="355" spans="1:43" x14ac:dyDescent="0.2">
      <c r="A355" s="134">
        <v>45342</v>
      </c>
      <c r="B355" s="135">
        <f>YEAR(source[[#This Row],[report_date]])</f>
        <v>2024</v>
      </c>
      <c r="C355" s="136">
        <v>2</v>
      </c>
      <c r="D355" s="136">
        <f t="shared" si="32"/>
        <v>8</v>
      </c>
      <c r="E355" s="136">
        <f t="shared" si="33"/>
        <v>20</v>
      </c>
      <c r="F355" s="128" t="s">
        <v>58</v>
      </c>
      <c r="G355" s="128" t="str">
        <f>VLOOKUP(source[[#This Row],[lending_product_transform]],[3]Mapping!$B$4:$C$37,2,0)</f>
        <v>[VDS] - Payroll Cashloan</v>
      </c>
      <c r="H355" s="128" t="str">
        <f>VLOOKUP(source[[#This Row],[lending_product_transform]],[3]Mapping!$B$3:$D$37,3,0)</f>
        <v>cashloan</v>
      </c>
      <c r="I355" s="135">
        <v>63000000</v>
      </c>
      <c r="K355" s="137"/>
      <c r="L355" s="137"/>
      <c r="M355" s="137"/>
      <c r="N355" s="137"/>
      <c r="Q355" s="169"/>
      <c r="R355" s="169"/>
    </row>
    <row r="356" spans="1:43" x14ac:dyDescent="0.2">
      <c r="A356" s="134">
        <v>45342</v>
      </c>
      <c r="B356" s="135">
        <f>YEAR(source[[#This Row],[report_date]])</f>
        <v>2024</v>
      </c>
      <c r="C356" s="136">
        <v>2</v>
      </c>
      <c r="D356" s="136">
        <f t="shared" si="32"/>
        <v>8</v>
      </c>
      <c r="E356" s="136">
        <f t="shared" si="33"/>
        <v>20</v>
      </c>
      <c r="F356" s="128" t="s">
        <v>67</v>
      </c>
      <c r="G356" s="128" t="str">
        <f>VLOOKUP(source[[#This Row],[lending_product_transform]],[3]Mapping!$B$4:$C$37,2,0)</f>
        <v>[Cake] - Overdraft</v>
      </c>
      <c r="H356" s="128" t="str">
        <f>VLOOKUP(source[[#This Row],[lending_product_transform]],[3]Mapping!$B$3:$D$37,3,0)</f>
        <v>overdraft</v>
      </c>
      <c r="I356" s="135">
        <v>1843876766</v>
      </c>
      <c r="K356" s="177" t="s">
        <v>69</v>
      </c>
      <c r="L356" s="175" t="s">
        <v>202</v>
      </c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  <c r="AC356" s="177"/>
      <c r="AD356" s="177"/>
      <c r="AE356" s="177"/>
      <c r="AF356" s="177"/>
      <c r="AG356" s="177"/>
      <c r="AH356" s="177"/>
      <c r="AI356" s="177"/>
      <c r="AJ356" s="177"/>
      <c r="AK356" s="177"/>
      <c r="AL356" s="177"/>
      <c r="AM356" s="177"/>
      <c r="AN356" s="177"/>
      <c r="AO356" s="177"/>
      <c r="AP356" s="177"/>
      <c r="AQ356" s="177"/>
    </row>
    <row r="357" spans="1:43" x14ac:dyDescent="0.2">
      <c r="A357" s="134">
        <v>45342</v>
      </c>
      <c r="B357" s="135">
        <f>YEAR(source[[#This Row],[report_date]])</f>
        <v>2024</v>
      </c>
      <c r="C357" s="136">
        <v>2</v>
      </c>
      <c r="D357" s="136">
        <f t="shared" si="32"/>
        <v>8</v>
      </c>
      <c r="E357" s="136">
        <f t="shared" si="33"/>
        <v>20</v>
      </c>
      <c r="F357" s="128" t="s">
        <v>65</v>
      </c>
      <c r="G357" s="128" t="str">
        <f>VLOOKUP(source[[#This Row],[lending_product_transform]],[3]Mapping!$B$4:$C$37,2,0)</f>
        <v>[BE] - Cashloan</v>
      </c>
      <c r="H357" s="128" t="str">
        <f>VLOOKUP(source[[#This Row],[lending_product_transform]],[3]Mapping!$B$3:$D$37,3,0)</f>
        <v>cashloan</v>
      </c>
      <c r="I357" s="135">
        <v>78750000</v>
      </c>
      <c r="K357" s="177" t="s">
        <v>205</v>
      </c>
      <c r="L357" s="178">
        <v>1</v>
      </c>
      <c r="M357" s="178">
        <v>2</v>
      </c>
      <c r="N357" s="178">
        <v>3</v>
      </c>
      <c r="O357" s="178">
        <v>4</v>
      </c>
      <c r="P357" s="178">
        <v>5</v>
      </c>
      <c r="Q357" s="183">
        <v>6</v>
      </c>
      <c r="R357" s="183">
        <v>7</v>
      </c>
      <c r="S357" s="178">
        <v>8</v>
      </c>
      <c r="T357" s="178">
        <v>9</v>
      </c>
      <c r="U357" s="178">
        <v>10</v>
      </c>
      <c r="V357" s="178">
        <v>11</v>
      </c>
      <c r="W357" s="178">
        <v>12</v>
      </c>
      <c r="X357" s="183">
        <v>13</v>
      </c>
      <c r="Y357" s="183">
        <v>14</v>
      </c>
      <c r="Z357" s="178">
        <v>15</v>
      </c>
      <c r="AA357" s="178">
        <v>16</v>
      </c>
      <c r="AB357" s="178">
        <v>17</v>
      </c>
      <c r="AC357" s="178">
        <v>18</v>
      </c>
      <c r="AD357" s="178">
        <v>19</v>
      </c>
      <c r="AE357" s="183">
        <v>20</v>
      </c>
      <c r="AF357" s="183">
        <v>21</v>
      </c>
      <c r="AG357" s="178">
        <v>22</v>
      </c>
      <c r="AH357" s="178">
        <v>23</v>
      </c>
      <c r="AI357" s="178">
        <v>24</v>
      </c>
      <c r="AJ357" s="178">
        <v>25</v>
      </c>
      <c r="AK357" s="178">
        <v>26</v>
      </c>
      <c r="AL357" s="178">
        <v>27</v>
      </c>
      <c r="AM357" s="178">
        <v>28</v>
      </c>
      <c r="AN357" s="178">
        <v>29</v>
      </c>
      <c r="AO357" s="178">
        <v>30</v>
      </c>
      <c r="AP357" s="178">
        <v>31</v>
      </c>
      <c r="AQ357" s="174" t="s">
        <v>68</v>
      </c>
    </row>
    <row r="358" spans="1:43" x14ac:dyDescent="0.2">
      <c r="A358" s="134">
        <v>45342</v>
      </c>
      <c r="B358" s="135">
        <f>YEAR(source[[#This Row],[report_date]])</f>
        <v>2024</v>
      </c>
      <c r="C358" s="136">
        <v>2</v>
      </c>
      <c r="D358" s="136">
        <f t="shared" si="32"/>
        <v>8</v>
      </c>
      <c r="E358" s="136">
        <f t="shared" si="33"/>
        <v>20</v>
      </c>
      <c r="F358" s="128" t="s">
        <v>61</v>
      </c>
      <c r="G358" s="128" t="str">
        <f>VLOOKUP(source[[#This Row],[lending_product_transform]],[3]Mapping!$B$4:$C$37,2,0)</f>
        <v>[VDS] - Payroll Payday</v>
      </c>
      <c r="H358" s="128" t="str">
        <f>VLOOKUP(source[[#This Row],[lending_product_transform]],[3]Mapping!$B$3:$D$37,3,0)</f>
        <v>payday</v>
      </c>
      <c r="I358" s="135">
        <v>19000000</v>
      </c>
      <c r="K358" s="179" t="s">
        <v>65</v>
      </c>
      <c r="L358" s="178">
        <v>111350000</v>
      </c>
      <c r="M358" s="178">
        <v>134950000</v>
      </c>
      <c r="N358" s="178">
        <v>180050000</v>
      </c>
      <c r="O358" s="178">
        <v>191150000</v>
      </c>
      <c r="P358" s="178">
        <v>304700000</v>
      </c>
      <c r="Q358" s="178">
        <v>77250000</v>
      </c>
      <c r="R358" s="178">
        <v>194800000</v>
      </c>
      <c r="S358" s="178">
        <v>117600000</v>
      </c>
      <c r="T358" s="178">
        <v>109750000</v>
      </c>
      <c r="U358" s="178">
        <v>175000000</v>
      </c>
      <c r="V358" s="178">
        <v>204750000</v>
      </c>
      <c r="W358" s="178">
        <v>109750000</v>
      </c>
      <c r="X358" s="178">
        <v>236200000</v>
      </c>
      <c r="Y358" s="178">
        <v>170750000</v>
      </c>
      <c r="Z358" s="178">
        <v>327150000</v>
      </c>
      <c r="AA358" s="178">
        <v>196900000</v>
      </c>
      <c r="AB358" s="178">
        <v>239950000</v>
      </c>
      <c r="AC358" s="178">
        <v>207950000</v>
      </c>
      <c r="AD358" s="178">
        <v>189600000</v>
      </c>
      <c r="AE358" s="178">
        <v>190500000</v>
      </c>
      <c r="AF358" s="178">
        <v>230950000</v>
      </c>
      <c r="AG358" s="178">
        <v>127100000</v>
      </c>
      <c r="AH358" s="178">
        <v>175300000</v>
      </c>
      <c r="AI358" s="178">
        <v>938250000</v>
      </c>
      <c r="AJ358" s="178">
        <v>833550000</v>
      </c>
      <c r="AK358" s="178">
        <v>675600000</v>
      </c>
      <c r="AL358" s="178">
        <v>446700000</v>
      </c>
      <c r="AM358" s="178">
        <v>840450000</v>
      </c>
      <c r="AN358" s="178">
        <v>488600000</v>
      </c>
      <c r="AO358" s="178">
        <v>535950000</v>
      </c>
      <c r="AP358" s="178">
        <v>594450000</v>
      </c>
      <c r="AQ358" s="178">
        <v>9557000000</v>
      </c>
    </row>
    <row r="359" spans="1:43" x14ac:dyDescent="0.2">
      <c r="A359" s="134">
        <v>45342</v>
      </c>
      <c r="B359" s="135">
        <f>YEAR(source[[#This Row],[report_date]])</f>
        <v>2024</v>
      </c>
      <c r="C359" s="136">
        <v>2</v>
      </c>
      <c r="D359" s="136">
        <f t="shared" si="32"/>
        <v>8</v>
      </c>
      <c r="E359" s="136">
        <f t="shared" si="33"/>
        <v>20</v>
      </c>
      <c r="F359" s="128" t="s">
        <v>19</v>
      </c>
      <c r="G359" s="128" t="str">
        <f>VLOOKUP(source[[#This Row],[lending_product_transform]],[3]Mapping!$B$4:$C$37,2,0)</f>
        <v>[VDS] - Payday</v>
      </c>
      <c r="H359" s="128" t="str">
        <f>VLOOKUP(source[[#This Row],[lending_product_transform]],[3]Mapping!$B$3:$D$37,3,0)</f>
        <v>payday</v>
      </c>
      <c r="I359" s="135">
        <v>1637000000</v>
      </c>
      <c r="K359" s="179" t="s">
        <v>66</v>
      </c>
      <c r="L359" s="178">
        <v>286643947</v>
      </c>
      <c r="M359" s="178">
        <v>348237991</v>
      </c>
      <c r="N359" s="178">
        <v>359435570</v>
      </c>
      <c r="O359" s="178">
        <v>388595377</v>
      </c>
      <c r="P359" s="178">
        <v>462850306</v>
      </c>
      <c r="Q359" s="178">
        <v>411856007</v>
      </c>
      <c r="R359" s="178">
        <v>366407294</v>
      </c>
      <c r="S359" s="178">
        <v>318051473</v>
      </c>
      <c r="T359" s="178">
        <v>358859754</v>
      </c>
      <c r="U359" s="178">
        <v>367505331</v>
      </c>
      <c r="V359" s="178">
        <v>319912222</v>
      </c>
      <c r="W359" s="178">
        <v>352373150</v>
      </c>
      <c r="X359" s="178">
        <v>406994723</v>
      </c>
      <c r="Y359" s="178">
        <v>319235207</v>
      </c>
      <c r="Z359" s="178">
        <v>293854888</v>
      </c>
      <c r="AA359" s="178">
        <v>302096335</v>
      </c>
      <c r="AB359" s="178">
        <v>327595800</v>
      </c>
      <c r="AC359" s="178">
        <v>331133841</v>
      </c>
      <c r="AD359" s="178">
        <v>347547390</v>
      </c>
      <c r="AE359" s="178">
        <v>356365754</v>
      </c>
      <c r="AF359" s="178">
        <v>366490479</v>
      </c>
      <c r="AG359" s="178">
        <v>362846233</v>
      </c>
      <c r="AH359" s="178">
        <v>366480434</v>
      </c>
      <c r="AI359" s="178">
        <v>409990424</v>
      </c>
      <c r="AJ359" s="178">
        <v>425652823</v>
      </c>
      <c r="AK359" s="178">
        <v>357206954</v>
      </c>
      <c r="AL359" s="178">
        <v>368797724</v>
      </c>
      <c r="AM359" s="178">
        <v>367817272</v>
      </c>
      <c r="AN359" s="178">
        <v>354756192</v>
      </c>
      <c r="AO359" s="178">
        <v>344927366</v>
      </c>
      <c r="AP359" s="178">
        <v>460675011</v>
      </c>
      <c r="AQ359" s="178">
        <v>11211193272</v>
      </c>
    </row>
    <row r="360" spans="1:43" x14ac:dyDescent="0.2">
      <c r="A360" s="134">
        <v>45343</v>
      </c>
      <c r="B360" s="135">
        <f>YEAR(source[[#This Row],[report_date]])</f>
        <v>2024</v>
      </c>
      <c r="C360" s="136">
        <v>2</v>
      </c>
      <c r="D360" s="136">
        <f t="shared" si="32"/>
        <v>8</v>
      </c>
      <c r="E360" s="136">
        <f t="shared" si="33"/>
        <v>21</v>
      </c>
      <c r="F360" s="128" t="s">
        <v>56</v>
      </c>
      <c r="G360" s="128">
        <f>VLOOKUP(source[[#This Row],[lending_product_transform]],[3]Mapping!$B$4:$C$37,2,0)</f>
        <v>0</v>
      </c>
      <c r="H360" s="128">
        <f>VLOOKUP(source[[#This Row],[lending_product_transform]],[3]Mapping!$B$3:$D$37,3,0)</f>
        <v>0</v>
      </c>
      <c r="I360" s="135">
        <v>5279952364</v>
      </c>
      <c r="K360" s="179" t="s">
        <v>24</v>
      </c>
      <c r="L360" s="178">
        <v>27492860000</v>
      </c>
      <c r="M360" s="178">
        <v>21350990000</v>
      </c>
      <c r="N360" s="178">
        <v>21744080000</v>
      </c>
      <c r="O360" s="178">
        <v>20641120000</v>
      </c>
      <c r="P360" s="178">
        <v>22241380000</v>
      </c>
      <c r="Q360" s="178">
        <v>17411310000</v>
      </c>
      <c r="R360" s="178">
        <v>16946450000</v>
      </c>
      <c r="S360" s="178">
        <v>18584820000</v>
      </c>
      <c r="T360" s="178">
        <v>20174000000</v>
      </c>
      <c r="U360" s="178">
        <v>20631690000</v>
      </c>
      <c r="V360" s="178">
        <v>18141540000</v>
      </c>
      <c r="W360" s="178">
        <v>17050760000</v>
      </c>
      <c r="X360" s="178">
        <v>14148710000</v>
      </c>
      <c r="Y360" s="178">
        <v>12966470000</v>
      </c>
      <c r="Z360" s="178">
        <v>16188930000</v>
      </c>
      <c r="AA360" s="178">
        <v>16159400000</v>
      </c>
      <c r="AB360" s="178">
        <v>16532070000</v>
      </c>
      <c r="AC360" s="178">
        <v>17149870000</v>
      </c>
      <c r="AD360" s="178">
        <v>12642980000</v>
      </c>
      <c r="AE360" s="178">
        <v>13224840000</v>
      </c>
      <c r="AF360" s="178">
        <v>12821870000</v>
      </c>
      <c r="AG360" s="178">
        <v>15422180000</v>
      </c>
      <c r="AH360" s="178">
        <v>16064700000</v>
      </c>
      <c r="AI360" s="178">
        <v>15470010000</v>
      </c>
      <c r="AJ360" s="178">
        <v>14551340000</v>
      </c>
      <c r="AK360" s="178">
        <v>15030920000</v>
      </c>
      <c r="AL360" s="178">
        <v>13261580000</v>
      </c>
      <c r="AM360" s="178">
        <v>11455070000</v>
      </c>
      <c r="AN360" s="178">
        <v>15523670000</v>
      </c>
      <c r="AO360" s="178">
        <v>16123360000</v>
      </c>
      <c r="AP360" s="178">
        <v>14942620000</v>
      </c>
      <c r="AQ360" s="178">
        <v>522091590000</v>
      </c>
    </row>
    <row r="361" spans="1:43" x14ac:dyDescent="0.2">
      <c r="A361" s="134">
        <v>45343</v>
      </c>
      <c r="B361" s="135">
        <f>YEAR(source[[#This Row],[report_date]])</f>
        <v>2024</v>
      </c>
      <c r="C361" s="136">
        <v>2</v>
      </c>
      <c r="D361" s="136">
        <f t="shared" si="32"/>
        <v>8</v>
      </c>
      <c r="E361" s="136">
        <f t="shared" si="33"/>
        <v>21</v>
      </c>
      <c r="F361" s="128" t="s">
        <v>11</v>
      </c>
      <c r="G361" s="128" t="str">
        <f>VLOOKUP(source[[#This Row],[lending_product_transform]],[3]Mapping!$B$4:$C$37,2,0)</f>
        <v>[VDS] - Cashloan</v>
      </c>
      <c r="H361" s="128" t="str">
        <f>VLOOKUP(source[[#This Row],[lending_product_transform]],[3]Mapping!$B$3:$D$37,3,0)</f>
        <v>cashloan</v>
      </c>
      <c r="I361" s="135">
        <v>1660400000</v>
      </c>
      <c r="K361" s="179" t="s">
        <v>67</v>
      </c>
      <c r="L361" s="178">
        <v>4289501378</v>
      </c>
      <c r="M361" s="178">
        <v>3467973723</v>
      </c>
      <c r="N361" s="178">
        <v>2565519802</v>
      </c>
      <c r="O361" s="178">
        <v>2886195122</v>
      </c>
      <c r="P361" s="178">
        <v>3186304974</v>
      </c>
      <c r="Q361" s="178">
        <v>2214332306</v>
      </c>
      <c r="R361" s="178">
        <v>1875357071</v>
      </c>
      <c r="S361" s="178">
        <v>2268828157</v>
      </c>
      <c r="T361" s="178">
        <v>2175770527</v>
      </c>
      <c r="U361" s="178">
        <v>2879127784</v>
      </c>
      <c r="V361" s="178">
        <v>2198664517</v>
      </c>
      <c r="W361" s="178">
        <v>1978657890</v>
      </c>
      <c r="X361" s="178">
        <v>1680215045</v>
      </c>
      <c r="Y361" s="178">
        <v>1686921483</v>
      </c>
      <c r="Z361" s="178">
        <v>2655873951</v>
      </c>
      <c r="AA361" s="178">
        <v>2246477388</v>
      </c>
      <c r="AB361" s="178">
        <v>1754969127</v>
      </c>
      <c r="AC361" s="178">
        <v>1913837763</v>
      </c>
      <c r="AD361" s="178">
        <v>2187683311</v>
      </c>
      <c r="AE361" s="178">
        <v>1961256622</v>
      </c>
      <c r="AF361" s="178">
        <v>1882934263</v>
      </c>
      <c r="AG361" s="178">
        <v>2213515124</v>
      </c>
      <c r="AH361" s="178">
        <v>1965745576</v>
      </c>
      <c r="AI361" s="178">
        <v>1996525977</v>
      </c>
      <c r="AJ361" s="178">
        <v>1884950196</v>
      </c>
      <c r="AK361" s="178">
        <v>2056575924</v>
      </c>
      <c r="AL361" s="178">
        <v>1777974573</v>
      </c>
      <c r="AM361" s="178">
        <v>1736794980</v>
      </c>
      <c r="AN361" s="178">
        <v>2384311293</v>
      </c>
      <c r="AO361" s="178">
        <v>2417843259</v>
      </c>
      <c r="AP361" s="178">
        <v>2613658295</v>
      </c>
      <c r="AQ361" s="178">
        <v>71004297401</v>
      </c>
    </row>
    <row r="362" spans="1:43" x14ac:dyDescent="0.2">
      <c r="A362" s="134">
        <v>45343</v>
      </c>
      <c r="B362" s="135">
        <f>YEAR(source[[#This Row],[report_date]])</f>
        <v>2024</v>
      </c>
      <c r="C362" s="136">
        <v>2</v>
      </c>
      <c r="D362" s="136">
        <f t="shared" si="32"/>
        <v>8</v>
      </c>
      <c r="E362" s="136">
        <f t="shared" si="33"/>
        <v>21</v>
      </c>
      <c r="F362" s="128" t="s">
        <v>19</v>
      </c>
      <c r="G362" s="128" t="str">
        <f>VLOOKUP(source[[#This Row],[lending_product_transform]],[3]Mapping!$B$4:$C$37,2,0)</f>
        <v>[VDS] - Payday</v>
      </c>
      <c r="H362" s="128" t="str">
        <f>VLOOKUP(source[[#This Row],[lending_product_transform]],[3]Mapping!$B$3:$D$37,3,0)</f>
        <v>payday</v>
      </c>
      <c r="I362" s="135">
        <v>1728000000</v>
      </c>
      <c r="K362" s="179" t="s">
        <v>28</v>
      </c>
      <c r="L362" s="178">
        <v>13343076000</v>
      </c>
      <c r="M362" s="178">
        <v>12062196000</v>
      </c>
      <c r="N362" s="178">
        <v>12354336000</v>
      </c>
      <c r="O362" s="178">
        <v>12942072000</v>
      </c>
      <c r="P362" s="178">
        <v>14076828000</v>
      </c>
      <c r="Q362" s="178">
        <v>11458908000</v>
      </c>
      <c r="R362" s="178">
        <v>10982304000</v>
      </c>
      <c r="S362" s="178">
        <v>11617776000</v>
      </c>
      <c r="T362" s="178">
        <v>11485260000</v>
      </c>
      <c r="U362" s="178">
        <v>15310728000</v>
      </c>
      <c r="V362" s="178">
        <v>13471920000</v>
      </c>
      <c r="W362" s="178">
        <v>12585996000</v>
      </c>
      <c r="X362" s="178">
        <v>10704420000</v>
      </c>
      <c r="Y362" s="178">
        <v>10856160000</v>
      </c>
      <c r="Z362" s="178">
        <v>13522356000</v>
      </c>
      <c r="AA362" s="178">
        <v>12256056000</v>
      </c>
      <c r="AB362" s="178">
        <v>11943612000</v>
      </c>
      <c r="AC362" s="178">
        <v>11934000000</v>
      </c>
      <c r="AD362" s="178">
        <v>12382096000</v>
      </c>
      <c r="AE362" s="178">
        <v>11793492000</v>
      </c>
      <c r="AF362" s="178">
        <v>11693916000</v>
      </c>
      <c r="AG362" s="178">
        <v>13025016000</v>
      </c>
      <c r="AH362" s="178">
        <v>12635460000</v>
      </c>
      <c r="AI362" s="178">
        <v>12849840000</v>
      </c>
      <c r="AJ362" s="178">
        <v>12122028000</v>
      </c>
      <c r="AK362" s="178">
        <v>12355524000</v>
      </c>
      <c r="AL362" s="178">
        <v>11338056000</v>
      </c>
      <c r="AM362" s="178">
        <v>11204244000</v>
      </c>
      <c r="AN362" s="178">
        <v>12827808000</v>
      </c>
      <c r="AO362" s="178">
        <v>13397616000</v>
      </c>
      <c r="AP362" s="178">
        <v>14053824000</v>
      </c>
      <c r="AQ362" s="178">
        <v>384586924000</v>
      </c>
    </row>
    <row r="363" spans="1:43" x14ac:dyDescent="0.2">
      <c r="A363" s="134">
        <v>45343</v>
      </c>
      <c r="B363" s="135">
        <f>YEAR(source[[#This Row],[report_date]])</f>
        <v>2024</v>
      </c>
      <c r="C363" s="136">
        <v>2</v>
      </c>
      <c r="D363" s="136">
        <f t="shared" si="32"/>
        <v>8</v>
      </c>
      <c r="E363" s="136">
        <f t="shared" si="33"/>
        <v>21</v>
      </c>
      <c r="F363" s="128" t="s">
        <v>61</v>
      </c>
      <c r="G363" s="128" t="str">
        <f>VLOOKUP(source[[#This Row],[lending_product_transform]],[3]Mapping!$B$4:$C$37,2,0)</f>
        <v>[VDS] - Payroll Payday</v>
      </c>
      <c r="H363" s="128" t="str">
        <f>VLOOKUP(source[[#This Row],[lending_product_transform]],[3]Mapping!$B$3:$D$37,3,0)</f>
        <v>payday</v>
      </c>
      <c r="I363" s="135">
        <v>17000000</v>
      </c>
      <c r="K363" s="179" t="s">
        <v>208</v>
      </c>
      <c r="L363" s="178">
        <v>14391223</v>
      </c>
      <c r="M363" s="178">
        <v>48383020</v>
      </c>
      <c r="N363" s="178">
        <v>67095461</v>
      </c>
      <c r="O363" s="178">
        <v>80483260</v>
      </c>
      <c r="P363" s="178">
        <v>58538356</v>
      </c>
      <c r="Q363" s="178">
        <v>31652351</v>
      </c>
      <c r="R363" s="178">
        <v>17772528</v>
      </c>
      <c r="S363" s="178">
        <v>22890593</v>
      </c>
      <c r="T363" s="178">
        <v>25876644</v>
      </c>
      <c r="U363" s="178">
        <v>16624794</v>
      </c>
      <c r="V363" s="178">
        <v>9680094</v>
      </c>
      <c r="W363" s="178">
        <v>10239058</v>
      </c>
      <c r="X363" s="178">
        <v>10710184</v>
      </c>
      <c r="Y363" s="178">
        <v>24150949</v>
      </c>
      <c r="Z363" s="178">
        <v>18340201</v>
      </c>
      <c r="AA363" s="178">
        <v>3196006</v>
      </c>
      <c r="AB363" s="178">
        <v>8595888</v>
      </c>
      <c r="AC363" s="178">
        <v>5987341</v>
      </c>
      <c r="AD363" s="178">
        <v>707254</v>
      </c>
      <c r="AE363" s="178">
        <v>13497874</v>
      </c>
      <c r="AF363" s="178">
        <v>17045713</v>
      </c>
      <c r="AG363" s="178">
        <v>2505145</v>
      </c>
      <c r="AH363" s="178">
        <v>14574360</v>
      </c>
      <c r="AI363" s="178">
        <v>2129106</v>
      </c>
      <c r="AJ363" s="178">
        <v>2675863</v>
      </c>
      <c r="AK363" s="178">
        <v>12295858</v>
      </c>
      <c r="AL363" s="178">
        <v>11752456</v>
      </c>
      <c r="AM363" s="178">
        <v>6414709</v>
      </c>
      <c r="AN363" s="178">
        <v>18040025</v>
      </c>
      <c r="AO363" s="178">
        <v>4065162</v>
      </c>
      <c r="AP363" s="178">
        <v>9231010</v>
      </c>
      <c r="AQ363" s="178">
        <v>589542486</v>
      </c>
    </row>
    <row r="364" spans="1:43" x14ac:dyDescent="0.2">
      <c r="A364" s="134">
        <v>45343</v>
      </c>
      <c r="B364" s="135">
        <f>YEAR(source[[#This Row],[report_date]])</f>
        <v>2024</v>
      </c>
      <c r="C364" s="136">
        <v>2</v>
      </c>
      <c r="D364" s="136">
        <f t="shared" si="32"/>
        <v>8</v>
      </c>
      <c r="E364" s="136">
        <f t="shared" si="33"/>
        <v>21</v>
      </c>
      <c r="F364" s="128" t="s">
        <v>58</v>
      </c>
      <c r="G364" s="128" t="str">
        <f>VLOOKUP(source[[#This Row],[lending_product_transform]],[3]Mapping!$B$4:$C$37,2,0)</f>
        <v>[VDS] - Payroll Cashloan</v>
      </c>
      <c r="H364" s="128" t="str">
        <f>VLOOKUP(source[[#This Row],[lending_product_transform]],[3]Mapping!$B$3:$D$37,3,0)</f>
        <v>cashloan</v>
      </c>
      <c r="I364" s="135">
        <v>35750000</v>
      </c>
      <c r="K364" s="179" t="s">
        <v>60</v>
      </c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>
        <v>100000000</v>
      </c>
      <c r="AD364" s="178">
        <v>50000000</v>
      </c>
      <c r="AE364" s="178">
        <v>0</v>
      </c>
      <c r="AF364" s="178">
        <v>0</v>
      </c>
      <c r="AG364" s="178">
        <v>50000000</v>
      </c>
      <c r="AH364" s="178">
        <v>90000000</v>
      </c>
      <c r="AI364" s="178">
        <v>90000000</v>
      </c>
      <c r="AJ364" s="178">
        <v>0</v>
      </c>
      <c r="AK364" s="178">
        <v>0</v>
      </c>
      <c r="AL364" s="178">
        <v>0</v>
      </c>
      <c r="AM364" s="178">
        <v>0</v>
      </c>
      <c r="AN364" s="178">
        <v>0</v>
      </c>
      <c r="AO364" s="178">
        <v>0</v>
      </c>
      <c r="AP364" s="178">
        <v>260000000</v>
      </c>
      <c r="AQ364" s="178">
        <v>640000000</v>
      </c>
    </row>
    <row r="365" spans="1:43" x14ac:dyDescent="0.2">
      <c r="A365" s="134">
        <v>45343</v>
      </c>
      <c r="B365" s="135">
        <f>YEAR(source[[#This Row],[report_date]])</f>
        <v>2024</v>
      </c>
      <c r="C365" s="136">
        <v>2</v>
      </c>
      <c r="D365" s="136">
        <f t="shared" si="32"/>
        <v>8</v>
      </c>
      <c r="E365" s="136">
        <f t="shared" si="33"/>
        <v>21</v>
      </c>
      <c r="F365" s="128" t="s">
        <v>67</v>
      </c>
      <c r="G365" s="128" t="str">
        <f>VLOOKUP(source[[#This Row],[lending_product_transform]],[3]Mapping!$B$4:$C$37,2,0)</f>
        <v>[Cake] - Overdraft</v>
      </c>
      <c r="H365" s="128" t="str">
        <f>VLOOKUP(source[[#This Row],[lending_product_transform]],[3]Mapping!$B$3:$D$37,3,0)</f>
        <v>overdraft</v>
      </c>
      <c r="I365" s="135">
        <v>1696002364</v>
      </c>
      <c r="K365" s="179" t="s">
        <v>36</v>
      </c>
      <c r="L365" s="178">
        <v>4029220000</v>
      </c>
      <c r="M365" s="178">
        <v>3659230000</v>
      </c>
      <c r="N365" s="178">
        <v>3170300000</v>
      </c>
      <c r="O365" s="178">
        <v>3608040000</v>
      </c>
      <c r="P365" s="178">
        <v>3785090000</v>
      </c>
      <c r="Q365" s="178">
        <v>3371150000</v>
      </c>
      <c r="R365" s="178">
        <v>4705150000</v>
      </c>
      <c r="S365" s="178">
        <v>4163060000</v>
      </c>
      <c r="T365" s="178">
        <v>3541150000</v>
      </c>
      <c r="U365" s="178">
        <v>4755030000</v>
      </c>
      <c r="V365" s="178">
        <v>5294940000</v>
      </c>
      <c r="W365" s="178">
        <v>4464730000</v>
      </c>
      <c r="X365" s="178">
        <v>5237790000</v>
      </c>
      <c r="Y365" s="178">
        <v>5494500000</v>
      </c>
      <c r="Z365" s="178">
        <v>4934880000</v>
      </c>
      <c r="AA365" s="178">
        <v>4388790000</v>
      </c>
      <c r="AB365" s="178">
        <v>3399220000</v>
      </c>
      <c r="AC365" s="178">
        <v>3978750000</v>
      </c>
      <c r="AD365" s="178">
        <v>4275100000</v>
      </c>
      <c r="AE365" s="178">
        <v>4483650000</v>
      </c>
      <c r="AF365" s="178">
        <v>4935300000</v>
      </c>
      <c r="AG365" s="178">
        <v>3674300000</v>
      </c>
      <c r="AH365" s="178">
        <v>3157270000</v>
      </c>
      <c r="AI365" s="178">
        <v>3596720000</v>
      </c>
      <c r="AJ365" s="178">
        <v>2987740000</v>
      </c>
      <c r="AK365" s="178">
        <v>4124640000</v>
      </c>
      <c r="AL365" s="178">
        <v>3192550000</v>
      </c>
      <c r="AM365" s="178">
        <v>4517320000</v>
      </c>
      <c r="AN365" s="178">
        <v>4220760000</v>
      </c>
      <c r="AO365" s="178">
        <v>3894890000</v>
      </c>
      <c r="AP365" s="178">
        <v>3311160000</v>
      </c>
      <c r="AQ365" s="178">
        <v>126352420000</v>
      </c>
    </row>
    <row r="366" spans="1:43" x14ac:dyDescent="0.2">
      <c r="A366" s="134">
        <v>45343</v>
      </c>
      <c r="B366" s="135">
        <f>YEAR(source[[#This Row],[report_date]])</f>
        <v>2024</v>
      </c>
      <c r="C366" s="136">
        <v>2</v>
      </c>
      <c r="D366" s="136">
        <f t="shared" si="32"/>
        <v>8</v>
      </c>
      <c r="E366" s="136">
        <f t="shared" si="33"/>
        <v>21</v>
      </c>
      <c r="F366" s="128" t="s">
        <v>65</v>
      </c>
      <c r="G366" s="128" t="str">
        <f>VLOOKUP(source[[#This Row],[lending_product_transform]],[3]Mapping!$B$4:$C$37,2,0)</f>
        <v>[BE] - Cashloan</v>
      </c>
      <c r="H366" s="128" t="str">
        <f>VLOOKUP(source[[#This Row],[lending_product_transform]],[3]Mapping!$B$3:$D$37,3,0)</f>
        <v>cashloan</v>
      </c>
      <c r="I366" s="135">
        <v>142800000</v>
      </c>
      <c r="K366" s="179" t="s">
        <v>55</v>
      </c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>
        <v>128400000</v>
      </c>
      <c r="AO366" s="178">
        <v>316100000</v>
      </c>
      <c r="AP366" s="178">
        <v>156750000</v>
      </c>
      <c r="AQ366" s="178">
        <v>601250000</v>
      </c>
    </row>
    <row r="367" spans="1:43" x14ac:dyDescent="0.2">
      <c r="A367" s="134">
        <v>45344</v>
      </c>
      <c r="B367" s="135">
        <f>YEAR(source[[#This Row],[report_date]])</f>
        <v>2024</v>
      </c>
      <c r="C367" s="136">
        <v>2</v>
      </c>
      <c r="D367" s="136">
        <f t="shared" si="32"/>
        <v>8</v>
      </c>
      <c r="E367" s="136">
        <f t="shared" si="33"/>
        <v>22</v>
      </c>
      <c r="F367" s="128" t="s">
        <v>58</v>
      </c>
      <c r="G367" s="128" t="str">
        <f>VLOOKUP(source[[#This Row],[lending_product_transform]],[3]Mapping!$B$4:$C$37,2,0)</f>
        <v>[VDS] - Payroll Cashloan</v>
      </c>
      <c r="H367" s="128" t="str">
        <f>VLOOKUP(source[[#This Row],[lending_product_transform]],[3]Mapping!$B$3:$D$37,3,0)</f>
        <v>cashloan</v>
      </c>
      <c r="I367" s="135">
        <v>104000000</v>
      </c>
      <c r="K367" s="179" t="s">
        <v>176</v>
      </c>
      <c r="L367" s="178">
        <v>9610125</v>
      </c>
      <c r="M367" s="178">
        <v>7390911</v>
      </c>
      <c r="N367" s="178">
        <v>26734131</v>
      </c>
      <c r="O367" s="178">
        <v>47495686</v>
      </c>
      <c r="P367" s="178">
        <v>51653976</v>
      </c>
      <c r="Q367" s="178">
        <v>42936630</v>
      </c>
      <c r="R367" s="178">
        <v>21678108</v>
      </c>
      <c r="S367" s="178">
        <v>15636252</v>
      </c>
      <c r="T367" s="178">
        <v>31166578</v>
      </c>
      <c r="U367" s="178">
        <v>19221396</v>
      </c>
      <c r="V367" s="178">
        <v>11462776</v>
      </c>
      <c r="W367" s="178">
        <v>10051318</v>
      </c>
      <c r="X367" s="178">
        <v>11248153</v>
      </c>
      <c r="Y367" s="178">
        <v>8194437</v>
      </c>
      <c r="Z367" s="178">
        <v>21745618</v>
      </c>
      <c r="AA367" s="178">
        <v>7395561</v>
      </c>
      <c r="AB367" s="178">
        <v>8747927</v>
      </c>
      <c r="AC367" s="178">
        <v>14646069</v>
      </c>
      <c r="AD367" s="178">
        <v>0</v>
      </c>
      <c r="AE367" s="178">
        <v>9771562</v>
      </c>
      <c r="AF367" s="178">
        <v>8110010</v>
      </c>
      <c r="AG367" s="178">
        <v>8650905</v>
      </c>
      <c r="AH367" s="178">
        <v>49721340</v>
      </c>
      <c r="AI367" s="178">
        <v>3294257</v>
      </c>
      <c r="AJ367" s="178">
        <v>15965148</v>
      </c>
      <c r="AK367" s="178">
        <v>2490000</v>
      </c>
      <c r="AL367" s="178">
        <v>5060866</v>
      </c>
      <c r="AM367" s="178">
        <v>7977810</v>
      </c>
      <c r="AN367" s="178">
        <v>10467170</v>
      </c>
      <c r="AO367" s="178">
        <v>2849453</v>
      </c>
      <c r="AP367" s="178">
        <v>9047513</v>
      </c>
      <c r="AQ367" s="178">
        <v>500421686</v>
      </c>
    </row>
    <row r="368" spans="1:43" x14ac:dyDescent="0.2">
      <c r="A368" s="134">
        <v>45344</v>
      </c>
      <c r="B368" s="135">
        <f>YEAR(source[[#This Row],[report_date]])</f>
        <v>2024</v>
      </c>
      <c r="C368" s="136">
        <v>2</v>
      </c>
      <c r="D368" s="136">
        <f t="shared" si="32"/>
        <v>8</v>
      </c>
      <c r="E368" s="136">
        <f t="shared" si="33"/>
        <v>22</v>
      </c>
      <c r="F368" s="128" t="s">
        <v>19</v>
      </c>
      <c r="G368" s="128" t="str">
        <f>VLOOKUP(source[[#This Row],[lending_product_transform]],[3]Mapping!$B$4:$C$37,2,0)</f>
        <v>[VDS] - Payday</v>
      </c>
      <c r="H368" s="128" t="str">
        <f>VLOOKUP(source[[#This Row],[lending_product_transform]],[3]Mapping!$B$3:$D$37,3,0)</f>
        <v>payday</v>
      </c>
      <c r="I368" s="135">
        <v>1946500000</v>
      </c>
      <c r="K368" s="179" t="s">
        <v>39</v>
      </c>
      <c r="L368" s="178">
        <v>1010942697</v>
      </c>
      <c r="M368" s="178">
        <v>1166252386</v>
      </c>
      <c r="N368" s="178">
        <v>1504725606</v>
      </c>
      <c r="O368" s="178">
        <v>1277032517</v>
      </c>
      <c r="P368" s="178">
        <v>1765087162</v>
      </c>
      <c r="Q368" s="178">
        <v>1762062376</v>
      </c>
      <c r="R368" s="178">
        <v>1184359979</v>
      </c>
      <c r="S368" s="178">
        <v>796954555</v>
      </c>
      <c r="T368" s="178">
        <v>921903683</v>
      </c>
      <c r="U368" s="178">
        <v>778858486</v>
      </c>
      <c r="V368" s="178">
        <v>919856712</v>
      </c>
      <c r="W368" s="178">
        <v>967824355</v>
      </c>
      <c r="X368" s="178">
        <v>1336192353</v>
      </c>
      <c r="Y368" s="178">
        <v>807559271</v>
      </c>
      <c r="Z368" s="178">
        <v>960027021</v>
      </c>
      <c r="AA368" s="178">
        <v>800100852</v>
      </c>
      <c r="AB368" s="178">
        <v>651321015</v>
      </c>
      <c r="AC368" s="178">
        <v>814902855</v>
      </c>
      <c r="AD368" s="178">
        <v>719509858</v>
      </c>
      <c r="AE368" s="178">
        <v>1091916962</v>
      </c>
      <c r="AF368" s="178">
        <v>973988815</v>
      </c>
      <c r="AG368" s="178">
        <v>978848848</v>
      </c>
      <c r="AH368" s="178">
        <v>701554834</v>
      </c>
      <c r="AI368" s="178">
        <v>840337251</v>
      </c>
      <c r="AJ368" s="178">
        <v>650979873</v>
      </c>
      <c r="AK368" s="178">
        <v>799962120</v>
      </c>
      <c r="AL368" s="178">
        <v>963659334</v>
      </c>
      <c r="AM368" s="178">
        <v>887293440</v>
      </c>
      <c r="AN368" s="178">
        <v>669612211</v>
      </c>
      <c r="AO368" s="178">
        <v>780566657</v>
      </c>
      <c r="AP368" s="178">
        <v>811960328</v>
      </c>
      <c r="AQ368" s="178">
        <v>30296154412</v>
      </c>
    </row>
    <row r="369" spans="1:43" x14ac:dyDescent="0.2">
      <c r="A369" s="134">
        <v>45344</v>
      </c>
      <c r="B369" s="135">
        <f>YEAR(source[[#This Row],[report_date]])</f>
        <v>2024</v>
      </c>
      <c r="C369" s="136">
        <v>2</v>
      </c>
      <c r="D369" s="136">
        <f t="shared" si="32"/>
        <v>8</v>
      </c>
      <c r="E369" s="136">
        <f t="shared" si="33"/>
        <v>22</v>
      </c>
      <c r="F369" s="128" t="s">
        <v>56</v>
      </c>
      <c r="G369" s="128">
        <f>VLOOKUP(source[[#This Row],[lending_product_transform]],[3]Mapping!$B$4:$C$37,2,0)</f>
        <v>0</v>
      </c>
      <c r="H369" s="128">
        <f>VLOOKUP(source[[#This Row],[lending_product_transform]],[3]Mapping!$B$3:$D$37,3,0)</f>
        <v>0</v>
      </c>
      <c r="I369" s="135">
        <v>5102615849</v>
      </c>
      <c r="K369" s="179" t="s">
        <v>206</v>
      </c>
      <c r="L369" s="178">
        <v>0</v>
      </c>
      <c r="M369" s="178">
        <v>0</v>
      </c>
      <c r="N369" s="178">
        <v>0</v>
      </c>
      <c r="O369" s="178">
        <v>0</v>
      </c>
      <c r="P369" s="178">
        <v>0</v>
      </c>
      <c r="Q369" s="178">
        <v>0</v>
      </c>
      <c r="R369" s="178">
        <v>0</v>
      </c>
      <c r="S369" s="178">
        <v>0</v>
      </c>
      <c r="T369" s="178">
        <v>0</v>
      </c>
      <c r="U369" s="178">
        <v>0</v>
      </c>
      <c r="V369" s="178">
        <v>0</v>
      </c>
      <c r="W369" s="178">
        <v>0</v>
      </c>
      <c r="X369" s="178">
        <v>0</v>
      </c>
      <c r="Y369" s="178">
        <v>0</v>
      </c>
      <c r="Z369" s="178">
        <v>0</v>
      </c>
      <c r="AA369" s="178">
        <v>0</v>
      </c>
      <c r="AB369" s="178">
        <v>0</v>
      </c>
      <c r="AC369" s="178">
        <v>0</v>
      </c>
      <c r="AD369" s="178">
        <v>0</v>
      </c>
      <c r="AE369" s="178">
        <v>0</v>
      </c>
      <c r="AF369" s="178">
        <v>0</v>
      </c>
      <c r="AG369" s="178">
        <v>0</v>
      </c>
      <c r="AH369" s="178">
        <v>0</v>
      </c>
      <c r="AI369" s="178">
        <v>0</v>
      </c>
      <c r="AJ369" s="178">
        <v>0</v>
      </c>
      <c r="AK369" s="178">
        <v>0</v>
      </c>
      <c r="AL369" s="178">
        <v>0</v>
      </c>
      <c r="AM369" s="178">
        <v>0</v>
      </c>
      <c r="AN369" s="178">
        <v>0</v>
      </c>
      <c r="AO369" s="178">
        <v>0</v>
      </c>
      <c r="AP369" s="178">
        <v>0</v>
      </c>
      <c r="AQ369" s="178">
        <v>0</v>
      </c>
    </row>
    <row r="370" spans="1:43" x14ac:dyDescent="0.2">
      <c r="A370" s="134">
        <v>45344</v>
      </c>
      <c r="B370" s="135">
        <f>YEAR(source[[#This Row],[report_date]])</f>
        <v>2024</v>
      </c>
      <c r="C370" s="136">
        <v>2</v>
      </c>
      <c r="D370" s="136">
        <f t="shared" si="32"/>
        <v>8</v>
      </c>
      <c r="E370" s="136">
        <f t="shared" si="33"/>
        <v>22</v>
      </c>
      <c r="F370" s="128" t="s">
        <v>61</v>
      </c>
      <c r="G370" s="128" t="str">
        <f>VLOOKUP(source[[#This Row],[lending_product_transform]],[3]Mapping!$B$4:$C$37,2,0)</f>
        <v>[VDS] - Payroll Payday</v>
      </c>
      <c r="H370" s="128" t="str">
        <f>VLOOKUP(source[[#This Row],[lending_product_transform]],[3]Mapping!$B$3:$D$37,3,0)</f>
        <v>payday</v>
      </c>
      <c r="I370" s="135">
        <v>6000000</v>
      </c>
      <c r="K370" s="179" t="s">
        <v>64</v>
      </c>
      <c r="L370" s="178">
        <v>453500000</v>
      </c>
      <c r="M370" s="178">
        <v>477550000</v>
      </c>
      <c r="N370" s="178">
        <v>213750000</v>
      </c>
      <c r="O370" s="178">
        <v>325250000</v>
      </c>
      <c r="P370" s="178">
        <v>493750000</v>
      </c>
      <c r="Q370" s="178">
        <v>532800000</v>
      </c>
      <c r="R370" s="178">
        <v>431000000</v>
      </c>
      <c r="S370" s="178">
        <v>483150000</v>
      </c>
      <c r="T370" s="178">
        <v>427200000</v>
      </c>
      <c r="U370" s="178">
        <v>748250000</v>
      </c>
      <c r="V370" s="178">
        <v>585750000</v>
      </c>
      <c r="W370" s="178">
        <v>529500000</v>
      </c>
      <c r="X370" s="178">
        <v>701300000</v>
      </c>
      <c r="Y370" s="178">
        <v>337700000</v>
      </c>
      <c r="Z370" s="178">
        <v>738000000</v>
      </c>
      <c r="AA370" s="178">
        <v>715250000</v>
      </c>
      <c r="AB370" s="178">
        <v>783900000</v>
      </c>
      <c r="AC370" s="178">
        <v>1226050000</v>
      </c>
      <c r="AD370" s="178">
        <v>528700000</v>
      </c>
      <c r="AE370" s="178">
        <v>776800000</v>
      </c>
      <c r="AF370" s="178">
        <v>661850000</v>
      </c>
      <c r="AG370" s="178">
        <v>586950000</v>
      </c>
      <c r="AH370" s="178">
        <v>616300000</v>
      </c>
      <c r="AI370" s="178">
        <v>394500000</v>
      </c>
      <c r="AJ370" s="178">
        <v>530000000</v>
      </c>
      <c r="AK370" s="178">
        <v>547500000</v>
      </c>
      <c r="AL370" s="178">
        <v>517500000</v>
      </c>
      <c r="AM370" s="178">
        <v>10500000</v>
      </c>
      <c r="AN370" s="178">
        <v>574100000</v>
      </c>
      <c r="AO370" s="178">
        <v>623500000</v>
      </c>
      <c r="AP370" s="178">
        <v>894500000</v>
      </c>
      <c r="AQ370" s="178">
        <v>17466350000</v>
      </c>
    </row>
    <row r="371" spans="1:43" x14ac:dyDescent="0.2">
      <c r="A371" s="134">
        <v>45344</v>
      </c>
      <c r="B371" s="135">
        <f>YEAR(source[[#This Row],[report_date]])</f>
        <v>2024</v>
      </c>
      <c r="C371" s="136">
        <v>2</v>
      </c>
      <c r="D371" s="136">
        <f t="shared" si="32"/>
        <v>8</v>
      </c>
      <c r="E371" s="136">
        <f t="shared" si="33"/>
        <v>22</v>
      </c>
      <c r="F371" s="128" t="s">
        <v>65</v>
      </c>
      <c r="G371" s="128" t="str">
        <f>VLOOKUP(source[[#This Row],[lending_product_transform]],[3]Mapping!$B$4:$C$37,2,0)</f>
        <v>[BE] - Cashloan</v>
      </c>
      <c r="H371" s="128" t="str">
        <f>VLOOKUP(source[[#This Row],[lending_product_transform]],[3]Mapping!$B$3:$D$37,3,0)</f>
        <v>cashloan</v>
      </c>
      <c r="I371" s="135">
        <v>63000000</v>
      </c>
      <c r="K371" s="179" t="s">
        <v>237</v>
      </c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  <c r="AI371" s="178">
        <v>72100000</v>
      </c>
      <c r="AJ371" s="178">
        <v>0</v>
      </c>
      <c r="AK371" s="178">
        <v>0</v>
      </c>
      <c r="AL371" s="178">
        <v>0</v>
      </c>
      <c r="AM371" s="178">
        <v>0</v>
      </c>
      <c r="AN371" s="178">
        <v>0</v>
      </c>
      <c r="AO371" s="178">
        <v>0</v>
      </c>
      <c r="AP371" s="178">
        <v>0</v>
      </c>
      <c r="AQ371" s="178">
        <v>72100000</v>
      </c>
    </row>
    <row r="372" spans="1:43" x14ac:dyDescent="0.2">
      <c r="A372" s="134">
        <v>45344</v>
      </c>
      <c r="B372" s="135">
        <f>YEAR(source[[#This Row],[report_date]])</f>
        <v>2024</v>
      </c>
      <c r="C372" s="136">
        <v>2</v>
      </c>
      <c r="D372" s="136">
        <f t="shared" si="32"/>
        <v>8</v>
      </c>
      <c r="E372" s="136">
        <f t="shared" si="33"/>
        <v>22</v>
      </c>
      <c r="F372" s="128" t="s">
        <v>67</v>
      </c>
      <c r="G372" s="128" t="str">
        <f>VLOOKUP(source[[#This Row],[lending_product_transform]],[3]Mapping!$B$4:$C$37,2,0)</f>
        <v>[Cake] - Overdraft</v>
      </c>
      <c r="H372" s="128" t="str">
        <f>VLOOKUP(source[[#This Row],[lending_product_transform]],[3]Mapping!$B$3:$D$37,3,0)</f>
        <v>overdraft</v>
      </c>
      <c r="I372" s="135">
        <v>1777265849</v>
      </c>
      <c r="K372" s="179" t="s">
        <v>11</v>
      </c>
      <c r="L372" s="178">
        <v>20481820000</v>
      </c>
      <c r="M372" s="178">
        <v>21346710000</v>
      </c>
      <c r="N372" s="178">
        <v>18564570000</v>
      </c>
      <c r="O372" s="178">
        <v>20323110000</v>
      </c>
      <c r="P372" s="178">
        <v>19222110000</v>
      </c>
      <c r="Q372" s="178">
        <v>17313410000</v>
      </c>
      <c r="R372" s="178">
        <v>17067060000</v>
      </c>
      <c r="S372" s="178">
        <v>18950910000</v>
      </c>
      <c r="T372" s="178">
        <v>19009430000</v>
      </c>
      <c r="U372" s="178">
        <v>20124000000</v>
      </c>
      <c r="V372" s="178">
        <v>18066810000</v>
      </c>
      <c r="W372" s="178">
        <v>18716580000</v>
      </c>
      <c r="X372" s="178">
        <v>14682880000</v>
      </c>
      <c r="Y372" s="178">
        <v>15019520000</v>
      </c>
      <c r="Z372" s="178">
        <v>19549130000</v>
      </c>
      <c r="AA372" s="178">
        <v>18976500000</v>
      </c>
      <c r="AB372" s="178">
        <v>17941910000</v>
      </c>
      <c r="AC372" s="178">
        <v>19521960000</v>
      </c>
      <c r="AD372" s="178">
        <v>18357020000</v>
      </c>
      <c r="AE372" s="178">
        <v>14486840000</v>
      </c>
      <c r="AF372" s="178">
        <v>16309300000</v>
      </c>
      <c r="AG372" s="178">
        <v>19449990000</v>
      </c>
      <c r="AH372" s="178">
        <v>18060490000</v>
      </c>
      <c r="AI372" s="178">
        <v>17551620000</v>
      </c>
      <c r="AJ372" s="178">
        <v>15624030000</v>
      </c>
      <c r="AK372" s="178">
        <v>15575630000</v>
      </c>
      <c r="AL372" s="178">
        <v>14276880000</v>
      </c>
      <c r="AM372" s="178">
        <v>12950550000</v>
      </c>
      <c r="AN372" s="178">
        <v>15388110000</v>
      </c>
      <c r="AO372" s="178">
        <v>17613510000</v>
      </c>
      <c r="AP372" s="178">
        <v>17297150000</v>
      </c>
      <c r="AQ372" s="178">
        <v>547819540000</v>
      </c>
    </row>
    <row r="373" spans="1:43" x14ac:dyDescent="0.2">
      <c r="A373" s="134">
        <v>45344</v>
      </c>
      <c r="B373" s="135">
        <f>YEAR(source[[#This Row],[report_date]])</f>
        <v>2024</v>
      </c>
      <c r="C373" s="136">
        <v>2</v>
      </c>
      <c r="D373" s="136">
        <f t="shared" si="32"/>
        <v>8</v>
      </c>
      <c r="E373" s="136">
        <f t="shared" si="33"/>
        <v>22</v>
      </c>
      <c r="F373" s="128" t="s">
        <v>11</v>
      </c>
      <c r="G373" s="128" t="str">
        <f>VLOOKUP(source[[#This Row],[lending_product_transform]],[3]Mapping!$B$4:$C$37,2,0)</f>
        <v>[VDS] - Cashloan</v>
      </c>
      <c r="H373" s="128" t="str">
        <f>VLOOKUP(source[[#This Row],[lending_product_transform]],[3]Mapping!$B$3:$D$37,3,0)</f>
        <v>cashloan</v>
      </c>
      <c r="I373" s="135">
        <v>1205850000</v>
      </c>
      <c r="K373" s="179" t="s">
        <v>221</v>
      </c>
      <c r="L373" s="178">
        <v>0</v>
      </c>
      <c r="M373" s="178">
        <v>0</v>
      </c>
      <c r="N373" s="178">
        <v>0</v>
      </c>
      <c r="O373" s="178">
        <v>0</v>
      </c>
      <c r="P373" s="178">
        <v>0</v>
      </c>
      <c r="Q373" s="178">
        <v>0</v>
      </c>
      <c r="R373" s="178">
        <v>0</v>
      </c>
      <c r="S373" s="178">
        <v>0</v>
      </c>
      <c r="T373" s="178">
        <v>0</v>
      </c>
      <c r="U373" s="178">
        <v>0</v>
      </c>
      <c r="V373" s="178">
        <v>0</v>
      </c>
      <c r="W373" s="178">
        <v>0</v>
      </c>
      <c r="X373" s="178">
        <v>0</v>
      </c>
      <c r="Y373" s="178">
        <v>0</v>
      </c>
      <c r="Z373" s="178">
        <v>0</v>
      </c>
      <c r="AA373" s="178">
        <v>0</v>
      </c>
      <c r="AB373" s="178">
        <v>0</v>
      </c>
      <c r="AC373" s="178">
        <v>0</v>
      </c>
      <c r="AD373" s="178">
        <v>0</v>
      </c>
      <c r="AE373" s="178">
        <v>0</v>
      </c>
      <c r="AF373" s="178">
        <v>0</v>
      </c>
      <c r="AG373" s="178">
        <v>0</v>
      </c>
      <c r="AH373" s="178">
        <v>0</v>
      </c>
      <c r="AI373" s="178">
        <v>0</v>
      </c>
      <c r="AJ373" s="178">
        <v>0</v>
      </c>
      <c r="AK373" s="178">
        <v>0</v>
      </c>
      <c r="AL373" s="178">
        <v>0</v>
      </c>
      <c r="AM373" s="178">
        <v>0</v>
      </c>
      <c r="AN373" s="178">
        <v>0</v>
      </c>
      <c r="AO373" s="178">
        <v>0</v>
      </c>
      <c r="AP373" s="178">
        <v>0</v>
      </c>
      <c r="AQ373" s="178">
        <v>0</v>
      </c>
    </row>
    <row r="374" spans="1:43" x14ac:dyDescent="0.2">
      <c r="A374" s="134">
        <v>45345</v>
      </c>
      <c r="B374" s="135">
        <f>YEAR(source[[#This Row],[report_date]])</f>
        <v>2024</v>
      </c>
      <c r="C374" s="136">
        <v>2</v>
      </c>
      <c r="D374" s="136">
        <f t="shared" si="32"/>
        <v>8</v>
      </c>
      <c r="E374" s="136">
        <f t="shared" si="33"/>
        <v>23</v>
      </c>
      <c r="F374" s="128" t="s">
        <v>61</v>
      </c>
      <c r="G374" s="128" t="str">
        <f>VLOOKUP(source[[#This Row],[lending_product_transform]],[3]Mapping!$B$4:$C$37,2,0)</f>
        <v>[VDS] - Payroll Payday</v>
      </c>
      <c r="H374" s="128" t="str">
        <f>VLOOKUP(source[[#This Row],[lending_product_transform]],[3]Mapping!$B$3:$D$37,3,0)</f>
        <v>payday</v>
      </c>
      <c r="I374" s="135">
        <v>24000000</v>
      </c>
      <c r="K374" s="179" t="s">
        <v>222</v>
      </c>
      <c r="L374" s="178">
        <v>0</v>
      </c>
      <c r="M374" s="178">
        <v>0</v>
      </c>
      <c r="N374" s="178">
        <v>0</v>
      </c>
      <c r="O374" s="178">
        <v>0</v>
      </c>
      <c r="P374" s="178">
        <v>0</v>
      </c>
      <c r="Q374" s="178">
        <v>0</v>
      </c>
      <c r="R374" s="178">
        <v>0</v>
      </c>
      <c r="S374" s="178">
        <v>0</v>
      </c>
      <c r="T374" s="178">
        <v>0</v>
      </c>
      <c r="U374" s="178">
        <v>0</v>
      </c>
      <c r="V374" s="178">
        <v>0</v>
      </c>
      <c r="W374" s="178">
        <v>0</v>
      </c>
      <c r="X374" s="178">
        <v>0</v>
      </c>
      <c r="Y374" s="178">
        <v>0</v>
      </c>
      <c r="Z374" s="178">
        <v>0</v>
      </c>
      <c r="AA374" s="178">
        <v>0</v>
      </c>
      <c r="AB374" s="178">
        <v>0</v>
      </c>
      <c r="AC374" s="178">
        <v>0</v>
      </c>
      <c r="AD374" s="178">
        <v>0</v>
      </c>
      <c r="AE374" s="178">
        <v>0</v>
      </c>
      <c r="AF374" s="178">
        <v>0</v>
      </c>
      <c r="AG374" s="178">
        <v>0</v>
      </c>
      <c r="AH374" s="178">
        <v>0</v>
      </c>
      <c r="AI374" s="178">
        <v>0</v>
      </c>
      <c r="AJ374" s="178">
        <v>0</v>
      </c>
      <c r="AK374" s="178">
        <v>0</v>
      </c>
      <c r="AL374" s="178">
        <v>0</v>
      </c>
      <c r="AM374" s="178">
        <v>0</v>
      </c>
      <c r="AN374" s="178">
        <v>0</v>
      </c>
      <c r="AO374" s="178">
        <v>0</v>
      </c>
      <c r="AP374" s="178">
        <v>0</v>
      </c>
      <c r="AQ374" s="178">
        <v>0</v>
      </c>
    </row>
    <row r="375" spans="1:43" x14ac:dyDescent="0.2">
      <c r="A375" s="134">
        <v>45345</v>
      </c>
      <c r="B375" s="135">
        <f>YEAR(source[[#This Row],[report_date]])</f>
        <v>2024</v>
      </c>
      <c r="C375" s="136">
        <v>2</v>
      </c>
      <c r="D375" s="136">
        <f t="shared" si="32"/>
        <v>8</v>
      </c>
      <c r="E375" s="136">
        <f t="shared" si="33"/>
        <v>23</v>
      </c>
      <c r="F375" s="128" t="s">
        <v>58</v>
      </c>
      <c r="G375" s="128" t="str">
        <f>VLOOKUP(source[[#This Row],[lending_product_transform]],[3]Mapping!$B$4:$C$37,2,0)</f>
        <v>[VDS] - Payroll Cashloan</v>
      </c>
      <c r="H375" s="128" t="str">
        <f>VLOOKUP(source[[#This Row],[lending_product_transform]],[3]Mapping!$B$3:$D$37,3,0)</f>
        <v>cashloan</v>
      </c>
      <c r="I375" s="135">
        <v>21000000</v>
      </c>
      <c r="K375" s="179" t="s">
        <v>223</v>
      </c>
      <c r="L375" s="178">
        <v>0</v>
      </c>
      <c r="M375" s="178">
        <v>0</v>
      </c>
      <c r="N375" s="178">
        <v>0</v>
      </c>
      <c r="O375" s="178">
        <v>0</v>
      </c>
      <c r="P375" s="178">
        <v>0</v>
      </c>
      <c r="Q375" s="178">
        <v>0</v>
      </c>
      <c r="R375" s="178">
        <v>0</v>
      </c>
      <c r="S375" s="178">
        <v>0</v>
      </c>
      <c r="T375" s="178">
        <v>0</v>
      </c>
      <c r="U375" s="178">
        <v>0</v>
      </c>
      <c r="V375" s="178">
        <v>0</v>
      </c>
      <c r="W375" s="178">
        <v>0</v>
      </c>
      <c r="X375" s="178">
        <v>0</v>
      </c>
      <c r="Y375" s="178">
        <v>0</v>
      </c>
      <c r="Z375" s="178">
        <v>0</v>
      </c>
      <c r="AA375" s="178">
        <v>0</v>
      </c>
      <c r="AB375" s="178">
        <v>0</v>
      </c>
      <c r="AC375" s="178">
        <v>0</v>
      </c>
      <c r="AD375" s="178">
        <v>0</v>
      </c>
      <c r="AE375" s="178">
        <v>0</v>
      </c>
      <c r="AF375" s="178">
        <v>0</v>
      </c>
      <c r="AG375" s="178">
        <v>0</v>
      </c>
      <c r="AH375" s="178">
        <v>0</v>
      </c>
      <c r="AI375" s="178">
        <v>0</v>
      </c>
      <c r="AJ375" s="178">
        <v>0</v>
      </c>
      <c r="AK375" s="178">
        <v>0</v>
      </c>
      <c r="AL375" s="178">
        <v>0</v>
      </c>
      <c r="AM375" s="178">
        <v>0</v>
      </c>
      <c r="AN375" s="178">
        <v>0</v>
      </c>
      <c r="AO375" s="178">
        <v>0</v>
      </c>
      <c r="AP375" s="178">
        <v>0</v>
      </c>
      <c r="AQ375" s="178">
        <v>0</v>
      </c>
    </row>
    <row r="376" spans="1:43" x14ac:dyDescent="0.2">
      <c r="A376" s="134">
        <v>45345</v>
      </c>
      <c r="B376" s="135">
        <f>YEAR(source[[#This Row],[report_date]])</f>
        <v>2024</v>
      </c>
      <c r="C376" s="136">
        <v>2</v>
      </c>
      <c r="D376" s="136">
        <f t="shared" si="32"/>
        <v>8</v>
      </c>
      <c r="E376" s="136">
        <f t="shared" si="33"/>
        <v>23</v>
      </c>
      <c r="F376" s="128" t="s">
        <v>56</v>
      </c>
      <c r="G376" s="128">
        <f>VLOOKUP(source[[#This Row],[lending_product_transform]],[3]Mapping!$B$4:$C$37,2,0)</f>
        <v>0</v>
      </c>
      <c r="H376" s="128">
        <f>VLOOKUP(source[[#This Row],[lending_product_transform]],[3]Mapping!$B$3:$D$37,3,0)</f>
        <v>0</v>
      </c>
      <c r="I376" s="135">
        <v>5114306899</v>
      </c>
      <c r="K376" s="179" t="s">
        <v>219</v>
      </c>
      <c r="L376" s="178">
        <v>0</v>
      </c>
      <c r="M376" s="178">
        <v>5000000</v>
      </c>
      <c r="N376" s="178">
        <v>25000000</v>
      </c>
      <c r="O376" s="178">
        <v>0</v>
      </c>
      <c r="P376" s="178">
        <v>5000000</v>
      </c>
      <c r="Q376" s="178">
        <v>45000000</v>
      </c>
      <c r="R376" s="178">
        <v>0</v>
      </c>
      <c r="S376" s="178">
        <v>16050000</v>
      </c>
      <c r="T376" s="178">
        <v>0</v>
      </c>
      <c r="U376" s="178">
        <v>21400000</v>
      </c>
      <c r="V376" s="178">
        <v>37100000</v>
      </c>
      <c r="W376" s="178">
        <v>0</v>
      </c>
      <c r="X376" s="178">
        <v>0</v>
      </c>
      <c r="Y376" s="178">
        <v>0</v>
      </c>
      <c r="Z376" s="178">
        <v>0</v>
      </c>
      <c r="AA376" s="178">
        <v>30000000</v>
      </c>
      <c r="AB376" s="178">
        <v>0</v>
      </c>
      <c r="AC376" s="178">
        <v>0</v>
      </c>
      <c r="AD376" s="178">
        <v>6000000</v>
      </c>
      <c r="AE376" s="178">
        <v>0</v>
      </c>
      <c r="AF376" s="178">
        <v>0</v>
      </c>
      <c r="AG376" s="178">
        <v>30000000</v>
      </c>
      <c r="AH376" s="178">
        <v>0</v>
      </c>
      <c r="AI376" s="178">
        <v>0</v>
      </c>
      <c r="AJ376" s="178">
        <v>0</v>
      </c>
      <c r="AK376" s="178">
        <v>0</v>
      </c>
      <c r="AL376" s="178">
        <v>27000000</v>
      </c>
      <c r="AM376" s="178">
        <v>0</v>
      </c>
      <c r="AN376" s="178">
        <v>7490000</v>
      </c>
      <c r="AO376" s="178">
        <v>0</v>
      </c>
      <c r="AP376" s="178">
        <v>7000000</v>
      </c>
      <c r="AQ376" s="178">
        <v>262040000</v>
      </c>
    </row>
    <row r="377" spans="1:43" x14ac:dyDescent="0.2">
      <c r="A377" s="134">
        <v>45345</v>
      </c>
      <c r="B377" s="135">
        <f>YEAR(source[[#This Row],[report_date]])</f>
        <v>2024</v>
      </c>
      <c r="C377" s="136">
        <v>2</v>
      </c>
      <c r="D377" s="136">
        <f t="shared" si="32"/>
        <v>8</v>
      </c>
      <c r="E377" s="136">
        <f t="shared" si="33"/>
        <v>23</v>
      </c>
      <c r="F377" s="128" t="s">
        <v>65</v>
      </c>
      <c r="G377" s="128" t="str">
        <f>VLOOKUP(source[[#This Row],[lending_product_transform]],[3]Mapping!$B$4:$C$37,2,0)</f>
        <v>[BE] - Cashloan</v>
      </c>
      <c r="H377" s="128" t="str">
        <f>VLOOKUP(source[[#This Row],[lending_product_transform]],[3]Mapping!$B$3:$D$37,3,0)</f>
        <v>cashloan</v>
      </c>
      <c r="I377" s="135">
        <v>86100000</v>
      </c>
      <c r="K377" s="179" t="s">
        <v>19</v>
      </c>
      <c r="L377" s="178">
        <v>10297584000</v>
      </c>
      <c r="M377" s="178">
        <v>10290456000</v>
      </c>
      <c r="N377" s="178">
        <v>9799704000</v>
      </c>
      <c r="O377" s="178">
        <v>10619856000</v>
      </c>
      <c r="P377" s="178">
        <v>11009736000</v>
      </c>
      <c r="Q377" s="178">
        <v>10108044000</v>
      </c>
      <c r="R377" s="178">
        <v>8787960000</v>
      </c>
      <c r="S377" s="178">
        <v>9321912000</v>
      </c>
      <c r="T377" s="178">
        <v>8877816000</v>
      </c>
      <c r="U377" s="178">
        <v>13402692000</v>
      </c>
      <c r="V377" s="178">
        <v>11344428000</v>
      </c>
      <c r="W377" s="178">
        <v>10791360000</v>
      </c>
      <c r="X377" s="178">
        <v>9786420000</v>
      </c>
      <c r="Y377" s="178">
        <v>9550656000</v>
      </c>
      <c r="Z377" s="178">
        <v>12444408000</v>
      </c>
      <c r="AA377" s="178">
        <v>10527516000</v>
      </c>
      <c r="AB377" s="178">
        <v>9917856000</v>
      </c>
      <c r="AC377" s="178">
        <v>9723996000</v>
      </c>
      <c r="AD377" s="178">
        <v>9999720000</v>
      </c>
      <c r="AE377" s="178">
        <v>9275040000</v>
      </c>
      <c r="AF377" s="178">
        <v>9148896000</v>
      </c>
      <c r="AG377" s="178">
        <v>9268128000</v>
      </c>
      <c r="AH377" s="178">
        <v>8891640000</v>
      </c>
      <c r="AI377" s="178">
        <v>9255384000</v>
      </c>
      <c r="AJ377" s="178">
        <v>9423540000</v>
      </c>
      <c r="AK377" s="178">
        <v>8508564000</v>
      </c>
      <c r="AL377" s="178">
        <v>8435016000</v>
      </c>
      <c r="AM377" s="178">
        <v>8372160000</v>
      </c>
      <c r="AN377" s="178">
        <v>8714412000</v>
      </c>
      <c r="AO377" s="178">
        <v>8879976000</v>
      </c>
      <c r="AP377" s="178">
        <v>9485856000</v>
      </c>
      <c r="AQ377" s="178">
        <v>304260732000</v>
      </c>
    </row>
    <row r="378" spans="1:43" x14ac:dyDescent="0.2">
      <c r="A378" s="134">
        <v>45345</v>
      </c>
      <c r="B378" s="135">
        <f>YEAR(source[[#This Row],[report_date]])</f>
        <v>2024</v>
      </c>
      <c r="C378" s="136">
        <v>2</v>
      </c>
      <c r="D378" s="136">
        <f t="shared" si="32"/>
        <v>8</v>
      </c>
      <c r="E378" s="136">
        <f t="shared" si="33"/>
        <v>23</v>
      </c>
      <c r="F378" s="128" t="s">
        <v>19</v>
      </c>
      <c r="G378" s="128" t="str">
        <f>VLOOKUP(source[[#This Row],[lending_product_transform]],[3]Mapping!$B$4:$C$37,2,0)</f>
        <v>[VDS] - Payday</v>
      </c>
      <c r="H378" s="128" t="str">
        <f>VLOOKUP(source[[#This Row],[lending_product_transform]],[3]Mapping!$B$3:$D$37,3,0)</f>
        <v>payday</v>
      </c>
      <c r="I378" s="135">
        <v>1815000000</v>
      </c>
      <c r="K378" s="179" t="s">
        <v>62</v>
      </c>
      <c r="L378" s="178">
        <v>489658298</v>
      </c>
      <c r="M378" s="178">
        <v>432396825</v>
      </c>
      <c r="N378" s="178">
        <v>473222040</v>
      </c>
      <c r="O378" s="178">
        <v>503051669</v>
      </c>
      <c r="P378" s="178">
        <v>632262431</v>
      </c>
      <c r="Q378" s="178">
        <v>405178112</v>
      </c>
      <c r="R378" s="178">
        <v>365569034</v>
      </c>
      <c r="S378" s="178">
        <v>298442180</v>
      </c>
      <c r="T378" s="178">
        <v>319497699</v>
      </c>
      <c r="U378" s="178">
        <v>277558348</v>
      </c>
      <c r="V378" s="178">
        <v>255389707</v>
      </c>
      <c r="W378" s="178">
        <v>221272322</v>
      </c>
      <c r="X378" s="178">
        <v>207424392</v>
      </c>
      <c r="Y378" s="178">
        <v>183948261</v>
      </c>
      <c r="Z378" s="178">
        <v>204913785</v>
      </c>
      <c r="AA378" s="178">
        <v>197024453</v>
      </c>
      <c r="AB378" s="178">
        <v>159315563</v>
      </c>
      <c r="AC378" s="178">
        <v>180947368</v>
      </c>
      <c r="AD378" s="178">
        <v>162802294</v>
      </c>
      <c r="AE378" s="178">
        <v>148058993</v>
      </c>
      <c r="AF378" s="178">
        <v>194710939</v>
      </c>
      <c r="AG378" s="178">
        <v>175675611</v>
      </c>
      <c r="AH378" s="178">
        <v>157986170</v>
      </c>
      <c r="AI378" s="178">
        <v>144248951</v>
      </c>
      <c r="AJ378" s="178">
        <v>143725279</v>
      </c>
      <c r="AK378" s="178">
        <v>148119423</v>
      </c>
      <c r="AL378" s="178">
        <v>149301515</v>
      </c>
      <c r="AM378" s="178">
        <v>143602939</v>
      </c>
      <c r="AN378" s="178">
        <v>145257282</v>
      </c>
      <c r="AO378" s="178">
        <v>194822853</v>
      </c>
      <c r="AP378" s="178">
        <v>180484743</v>
      </c>
      <c r="AQ378" s="178">
        <v>7895869479</v>
      </c>
    </row>
    <row r="379" spans="1:43" x14ac:dyDescent="0.2">
      <c r="A379" s="134">
        <v>45345</v>
      </c>
      <c r="B379" s="135">
        <f>YEAR(source[[#This Row],[report_date]])</f>
        <v>2024</v>
      </c>
      <c r="C379" s="136">
        <v>2</v>
      </c>
      <c r="D379" s="136">
        <f t="shared" si="32"/>
        <v>8</v>
      </c>
      <c r="E379" s="136">
        <f t="shared" si="33"/>
        <v>23</v>
      </c>
      <c r="F379" s="128" t="s">
        <v>67</v>
      </c>
      <c r="G379" s="128" t="str">
        <f>VLOOKUP(source[[#This Row],[lending_product_transform]],[3]Mapping!$B$4:$C$37,2,0)</f>
        <v>[Cake] - Overdraft</v>
      </c>
      <c r="H379" s="128" t="str">
        <f>VLOOKUP(source[[#This Row],[lending_product_transform]],[3]Mapping!$B$3:$D$37,3,0)</f>
        <v>overdraft</v>
      </c>
      <c r="I379" s="135">
        <v>1600506899</v>
      </c>
      <c r="K379" s="179" t="s">
        <v>58</v>
      </c>
      <c r="L379" s="178">
        <v>47250000</v>
      </c>
      <c r="M379" s="178">
        <v>35500000</v>
      </c>
      <c r="N379" s="178">
        <v>10500000</v>
      </c>
      <c r="O379" s="178">
        <v>21000000</v>
      </c>
      <c r="P379" s="178">
        <v>42000000</v>
      </c>
      <c r="Q379" s="178">
        <v>31500000</v>
      </c>
      <c r="R379" s="178">
        <v>0</v>
      </c>
      <c r="S379" s="178">
        <v>0</v>
      </c>
      <c r="T379" s="178">
        <v>0</v>
      </c>
      <c r="U379" s="178">
        <v>41000000</v>
      </c>
      <c r="V379" s="178">
        <v>26250000</v>
      </c>
      <c r="W379" s="178">
        <v>42000000</v>
      </c>
      <c r="X379" s="178">
        <v>0</v>
      </c>
      <c r="Y379" s="178">
        <v>20000000</v>
      </c>
      <c r="Z379" s="178">
        <v>21000000</v>
      </c>
      <c r="AA379" s="178">
        <v>21000000</v>
      </c>
      <c r="AB379" s="178">
        <v>0</v>
      </c>
      <c r="AC379" s="178">
        <v>0</v>
      </c>
      <c r="AD379" s="178">
        <v>20500000</v>
      </c>
      <c r="AE379" s="178">
        <v>0</v>
      </c>
      <c r="AF379" s="178">
        <v>21000000</v>
      </c>
      <c r="AG379" s="178">
        <v>0</v>
      </c>
      <c r="AH379" s="178">
        <v>21000000</v>
      </c>
      <c r="AI379" s="178">
        <v>60900000</v>
      </c>
      <c r="AJ379" s="178">
        <v>0</v>
      </c>
      <c r="AK379" s="178">
        <v>21000000</v>
      </c>
      <c r="AL379" s="178">
        <v>0</v>
      </c>
      <c r="AM379" s="178">
        <v>10000000</v>
      </c>
      <c r="AN379" s="178">
        <v>10000000</v>
      </c>
      <c r="AO379" s="178">
        <v>54600000</v>
      </c>
      <c r="AP379" s="178">
        <v>15750000</v>
      </c>
      <c r="AQ379" s="178">
        <v>593750000</v>
      </c>
    </row>
    <row r="380" spans="1:43" x14ac:dyDescent="0.2">
      <c r="A380" s="134">
        <v>45345</v>
      </c>
      <c r="B380" s="135">
        <f>YEAR(source[[#This Row],[report_date]])</f>
        <v>2024</v>
      </c>
      <c r="C380" s="136">
        <v>2</v>
      </c>
      <c r="D380" s="136">
        <f t="shared" si="32"/>
        <v>8</v>
      </c>
      <c r="E380" s="136">
        <f t="shared" si="33"/>
        <v>23</v>
      </c>
      <c r="F380" s="128" t="s">
        <v>11</v>
      </c>
      <c r="G380" s="128" t="str">
        <f>VLOOKUP(source[[#This Row],[lending_product_transform]],[3]Mapping!$B$4:$C$37,2,0)</f>
        <v>[VDS] - Cashloan</v>
      </c>
      <c r="H380" s="128" t="str">
        <f>VLOOKUP(source[[#This Row],[lending_product_transform]],[3]Mapping!$B$3:$D$37,3,0)</f>
        <v>cashloan</v>
      </c>
      <c r="I380" s="135">
        <v>1567700000</v>
      </c>
      <c r="K380" s="179" t="s">
        <v>61</v>
      </c>
      <c r="L380" s="178">
        <v>31000000</v>
      </c>
      <c r="M380" s="178">
        <v>16000000</v>
      </c>
      <c r="N380" s="178">
        <v>26000000</v>
      </c>
      <c r="O380" s="178">
        <v>50000000</v>
      </c>
      <c r="P380" s="178">
        <v>45000000</v>
      </c>
      <c r="Q380" s="178">
        <v>58000000</v>
      </c>
      <c r="R380" s="178">
        <v>72000000</v>
      </c>
      <c r="S380" s="178">
        <v>20000000</v>
      </c>
      <c r="T380" s="178">
        <v>18000000</v>
      </c>
      <c r="U380" s="178">
        <v>35000000</v>
      </c>
      <c r="V380" s="178">
        <v>42000000</v>
      </c>
      <c r="W380" s="178">
        <v>27000000</v>
      </c>
      <c r="X380" s="178">
        <v>33000000</v>
      </c>
      <c r="Y380" s="178">
        <v>52000000</v>
      </c>
      <c r="Z380" s="178">
        <v>47000000</v>
      </c>
      <c r="AA380" s="178">
        <v>41000000</v>
      </c>
      <c r="AB380" s="178">
        <v>44000000</v>
      </c>
      <c r="AC380" s="178">
        <v>36000000</v>
      </c>
      <c r="AD380" s="178">
        <v>43000000</v>
      </c>
      <c r="AE380" s="178">
        <v>37000000</v>
      </c>
      <c r="AF380" s="178">
        <v>33000000</v>
      </c>
      <c r="AG380" s="178">
        <v>26000000</v>
      </c>
      <c r="AH380" s="178">
        <v>45000000</v>
      </c>
      <c r="AI380" s="178">
        <v>28000000</v>
      </c>
      <c r="AJ380" s="178">
        <v>65000000</v>
      </c>
      <c r="AK380" s="178">
        <v>91000000</v>
      </c>
      <c r="AL380" s="178">
        <v>53000000</v>
      </c>
      <c r="AM380" s="178">
        <v>38000000</v>
      </c>
      <c r="AN380" s="178">
        <v>41000000</v>
      </c>
      <c r="AO380" s="178">
        <v>23000000</v>
      </c>
      <c r="AP380" s="178">
        <v>54000000</v>
      </c>
      <c r="AQ380" s="178">
        <v>1270000000</v>
      </c>
    </row>
    <row r="381" spans="1:43" x14ac:dyDescent="0.2">
      <c r="A381" s="134">
        <v>45346</v>
      </c>
      <c r="B381" s="135">
        <f>YEAR(source[[#This Row],[report_date]])</f>
        <v>2024</v>
      </c>
      <c r="C381" s="136">
        <v>2</v>
      </c>
      <c r="D381" s="136">
        <f t="shared" si="32"/>
        <v>8</v>
      </c>
      <c r="E381" s="136">
        <f t="shared" si="33"/>
        <v>24</v>
      </c>
      <c r="F381" s="128" t="s">
        <v>11</v>
      </c>
      <c r="G381" s="128" t="str">
        <f>VLOOKUP(source[[#This Row],[lending_product_transform]],[3]Mapping!$B$4:$C$37,2,0)</f>
        <v>[VDS] - Cashloan</v>
      </c>
      <c r="H381" s="128" t="str">
        <f>VLOOKUP(source[[#This Row],[lending_product_transform]],[3]Mapping!$B$3:$D$37,3,0)</f>
        <v>cashloan</v>
      </c>
      <c r="I381" s="135">
        <v>1386400000</v>
      </c>
      <c r="K381" s="179" t="s">
        <v>57</v>
      </c>
      <c r="L381" s="178">
        <v>633490000</v>
      </c>
      <c r="M381" s="178">
        <v>491200000</v>
      </c>
      <c r="N381" s="178">
        <v>966380000</v>
      </c>
      <c r="O381" s="178">
        <v>688840000</v>
      </c>
      <c r="P381" s="178">
        <v>695950000</v>
      </c>
      <c r="Q381" s="178">
        <v>213850000</v>
      </c>
      <c r="R381" s="178">
        <v>399940000</v>
      </c>
      <c r="S381" s="178">
        <v>781470000</v>
      </c>
      <c r="T381" s="178">
        <v>310930000</v>
      </c>
      <c r="U381" s="178">
        <v>561220000</v>
      </c>
      <c r="V381" s="178">
        <v>717540000</v>
      </c>
      <c r="W381" s="178">
        <v>629520000</v>
      </c>
      <c r="X381" s="178">
        <v>687270000</v>
      </c>
      <c r="Y381" s="178">
        <v>594150000</v>
      </c>
      <c r="Z381" s="178">
        <v>698470000</v>
      </c>
      <c r="AA381" s="178">
        <v>614540000</v>
      </c>
      <c r="AB381" s="178">
        <v>404350000</v>
      </c>
      <c r="AC381" s="178">
        <v>792060000</v>
      </c>
      <c r="AD381" s="178">
        <v>868390000</v>
      </c>
      <c r="AE381" s="178">
        <v>554960000</v>
      </c>
      <c r="AF381" s="178">
        <v>661590000</v>
      </c>
      <c r="AG381" s="178">
        <v>915570000</v>
      </c>
      <c r="AH381" s="178">
        <v>832150000</v>
      </c>
      <c r="AI381" s="178">
        <v>751720000</v>
      </c>
      <c r="AJ381" s="178">
        <v>809650000</v>
      </c>
      <c r="AK381" s="178">
        <v>855120000</v>
      </c>
      <c r="AL381" s="178">
        <v>890320000</v>
      </c>
      <c r="AM381" s="178">
        <v>511580000</v>
      </c>
      <c r="AN381" s="178">
        <v>929060000</v>
      </c>
      <c r="AO381" s="178">
        <v>1035650000</v>
      </c>
      <c r="AP381" s="178">
        <v>1200620000</v>
      </c>
      <c r="AQ381" s="178">
        <v>21697550000</v>
      </c>
    </row>
    <row r="382" spans="1:43" x14ac:dyDescent="0.2">
      <c r="A382" s="134">
        <v>45346</v>
      </c>
      <c r="B382" s="135">
        <f>YEAR(source[[#This Row],[report_date]])</f>
        <v>2024</v>
      </c>
      <c r="C382" s="136">
        <v>2</v>
      </c>
      <c r="D382" s="136">
        <f t="shared" si="32"/>
        <v>8</v>
      </c>
      <c r="E382" s="136">
        <f t="shared" si="33"/>
        <v>24</v>
      </c>
      <c r="F382" s="128" t="s">
        <v>61</v>
      </c>
      <c r="G382" s="128" t="str">
        <f>VLOOKUP(source[[#This Row],[lending_product_transform]],[3]Mapping!$B$4:$C$37,2,0)</f>
        <v>[VDS] - Payroll Payday</v>
      </c>
      <c r="H382" s="128" t="str">
        <f>VLOOKUP(source[[#This Row],[lending_product_transform]],[3]Mapping!$B$3:$D$37,3,0)</f>
        <v>payday</v>
      </c>
      <c r="I382" s="135">
        <v>17000000</v>
      </c>
      <c r="K382" s="179" t="s">
        <v>63</v>
      </c>
      <c r="L382" s="178">
        <v>235872000</v>
      </c>
      <c r="M382" s="178">
        <v>207468000</v>
      </c>
      <c r="N382" s="178">
        <v>257364000</v>
      </c>
      <c r="O382" s="178">
        <v>178308000</v>
      </c>
      <c r="P382" s="178">
        <v>275616000</v>
      </c>
      <c r="Q382" s="178">
        <v>178632000</v>
      </c>
      <c r="R382" s="178">
        <v>211248000</v>
      </c>
      <c r="S382" s="178">
        <v>237384000</v>
      </c>
      <c r="T382" s="178">
        <v>178308000</v>
      </c>
      <c r="U382" s="178">
        <v>359964000</v>
      </c>
      <c r="V382" s="178">
        <v>226152000</v>
      </c>
      <c r="W382" s="178">
        <v>279612000</v>
      </c>
      <c r="X382" s="178">
        <v>236520000</v>
      </c>
      <c r="Y382" s="178">
        <v>201312000</v>
      </c>
      <c r="Z382" s="178">
        <v>268164000</v>
      </c>
      <c r="AA382" s="178">
        <v>279936000</v>
      </c>
      <c r="AB382" s="178">
        <v>322488000</v>
      </c>
      <c r="AC382" s="178">
        <v>308556000</v>
      </c>
      <c r="AD382" s="178">
        <v>331236000</v>
      </c>
      <c r="AE382" s="178">
        <v>395280000</v>
      </c>
      <c r="AF382" s="178">
        <v>339984000</v>
      </c>
      <c r="AG382" s="178">
        <v>378432000</v>
      </c>
      <c r="AH382" s="178">
        <v>364176000</v>
      </c>
      <c r="AI382" s="178">
        <v>384912000</v>
      </c>
      <c r="AJ382" s="178">
        <v>308232000</v>
      </c>
      <c r="AK382" s="178">
        <v>395280000</v>
      </c>
      <c r="AL382" s="178">
        <v>331560000</v>
      </c>
      <c r="AM382" s="178">
        <v>229716000</v>
      </c>
      <c r="AN382" s="178">
        <v>330264000</v>
      </c>
      <c r="AO382" s="178">
        <v>430380000</v>
      </c>
      <c r="AP382" s="178">
        <v>419904000</v>
      </c>
      <c r="AQ382" s="178">
        <v>9082260000</v>
      </c>
    </row>
    <row r="383" spans="1:43" x14ac:dyDescent="0.2">
      <c r="A383" s="134">
        <v>45346</v>
      </c>
      <c r="B383" s="135">
        <f>YEAR(source[[#This Row],[report_date]])</f>
        <v>2024</v>
      </c>
      <c r="C383" s="136">
        <v>2</v>
      </c>
      <c r="D383" s="136">
        <f t="shared" si="32"/>
        <v>8</v>
      </c>
      <c r="E383" s="136">
        <f t="shared" si="33"/>
        <v>24</v>
      </c>
      <c r="F383" s="128" t="s">
        <v>58</v>
      </c>
      <c r="G383" s="128" t="str">
        <f>VLOOKUP(source[[#This Row],[lending_product_transform]],[3]Mapping!$B$4:$C$37,2,0)</f>
        <v>[VDS] - Payroll Cashloan</v>
      </c>
      <c r="H383" s="128" t="str">
        <f>VLOOKUP(source[[#This Row],[lending_product_transform]],[3]Mapping!$B$3:$D$37,3,0)</f>
        <v>cashloan</v>
      </c>
      <c r="I383" s="135">
        <v>0</v>
      </c>
      <c r="K383" s="179" t="s">
        <v>59</v>
      </c>
      <c r="L383" s="178">
        <v>859783740</v>
      </c>
      <c r="M383" s="178">
        <v>1028719283</v>
      </c>
      <c r="N383" s="178">
        <v>1246818614</v>
      </c>
      <c r="O383" s="178">
        <v>1383088354</v>
      </c>
      <c r="P383" s="178">
        <v>1567319018</v>
      </c>
      <c r="Q383" s="178">
        <v>869550061</v>
      </c>
      <c r="R383" s="178">
        <v>603148653</v>
      </c>
      <c r="S383" s="178">
        <v>576232325</v>
      </c>
      <c r="T383" s="178">
        <v>539868367</v>
      </c>
      <c r="U383" s="178">
        <v>540066165</v>
      </c>
      <c r="V383" s="178">
        <v>326369296</v>
      </c>
      <c r="W383" s="178">
        <v>379124560</v>
      </c>
      <c r="X383" s="178">
        <v>289114759</v>
      </c>
      <c r="Y383" s="178">
        <v>256464468</v>
      </c>
      <c r="Z383" s="178">
        <v>296761976</v>
      </c>
      <c r="AA383" s="178">
        <v>324649279</v>
      </c>
      <c r="AB383" s="178">
        <v>307138085</v>
      </c>
      <c r="AC383" s="178">
        <v>291196709</v>
      </c>
      <c r="AD383" s="178">
        <v>294493693</v>
      </c>
      <c r="AE383" s="178">
        <v>248953198</v>
      </c>
      <c r="AF383" s="178">
        <v>334742208</v>
      </c>
      <c r="AG383" s="178">
        <v>406056537</v>
      </c>
      <c r="AH383" s="178">
        <v>414689996</v>
      </c>
      <c r="AI383" s="178">
        <v>416783465</v>
      </c>
      <c r="AJ383" s="178">
        <v>400209343</v>
      </c>
      <c r="AK383" s="178">
        <v>317074075</v>
      </c>
      <c r="AL383" s="178">
        <v>418775168</v>
      </c>
      <c r="AM383" s="178">
        <v>377226510</v>
      </c>
      <c r="AN383" s="178">
        <v>468572233</v>
      </c>
      <c r="AO383" s="178">
        <v>566867291</v>
      </c>
      <c r="AP383" s="178">
        <v>449954618</v>
      </c>
      <c r="AQ383" s="178">
        <v>16799812047</v>
      </c>
    </row>
    <row r="384" spans="1:43" x14ac:dyDescent="0.2">
      <c r="A384" s="134">
        <v>45346</v>
      </c>
      <c r="B384" s="135">
        <f>YEAR(source[[#This Row],[report_date]])</f>
        <v>2024</v>
      </c>
      <c r="C384" s="136">
        <v>2</v>
      </c>
      <c r="D384" s="136">
        <f t="shared" si="32"/>
        <v>8</v>
      </c>
      <c r="E384" s="136">
        <f t="shared" si="33"/>
        <v>24</v>
      </c>
      <c r="F384" s="128" t="s">
        <v>19</v>
      </c>
      <c r="G384" s="128" t="str">
        <f>VLOOKUP(source[[#This Row],[lending_product_transform]],[3]Mapping!$B$4:$C$37,2,0)</f>
        <v>[VDS] - Payday</v>
      </c>
      <c r="H384" s="128" t="str">
        <f>VLOOKUP(source[[#This Row],[lending_product_transform]],[3]Mapping!$B$3:$D$37,3,0)</f>
        <v>payday</v>
      </c>
      <c r="I384" s="135">
        <v>1643000000</v>
      </c>
      <c r="K384" s="179" t="s">
        <v>31</v>
      </c>
      <c r="L384" s="178">
        <v>5301190000</v>
      </c>
      <c r="M384" s="178">
        <v>4295010000</v>
      </c>
      <c r="N384" s="178">
        <v>4625350000</v>
      </c>
      <c r="O384" s="178">
        <v>4186970000</v>
      </c>
      <c r="P384" s="178">
        <v>5354840000</v>
      </c>
      <c r="Q384" s="178">
        <v>3826450000</v>
      </c>
      <c r="R384" s="178">
        <v>3094670000</v>
      </c>
      <c r="S384" s="178">
        <v>4390740000</v>
      </c>
      <c r="T384" s="178">
        <v>4013940000</v>
      </c>
      <c r="U384" s="178">
        <v>5018730000</v>
      </c>
      <c r="V384" s="178">
        <v>3226170000</v>
      </c>
      <c r="W384" s="178">
        <v>3374000000</v>
      </c>
      <c r="X384" s="178">
        <v>2571910000</v>
      </c>
      <c r="Y384" s="178">
        <v>2589060000</v>
      </c>
      <c r="Z384" s="178">
        <v>3743710000</v>
      </c>
      <c r="AA384" s="178">
        <v>3912910000</v>
      </c>
      <c r="AB384" s="178">
        <v>3763130000</v>
      </c>
      <c r="AC384" s="178">
        <v>3581780000</v>
      </c>
      <c r="AD384" s="178">
        <v>4158890000</v>
      </c>
      <c r="AE384" s="178">
        <v>3564550000</v>
      </c>
      <c r="AF384" s="178">
        <v>3218160000</v>
      </c>
      <c r="AG384" s="178">
        <v>3711280000</v>
      </c>
      <c r="AH384" s="178">
        <v>3785410000</v>
      </c>
      <c r="AI384" s="178">
        <v>3995560000</v>
      </c>
      <c r="AJ384" s="178">
        <v>3546710000</v>
      </c>
      <c r="AK384" s="178">
        <v>3715400000</v>
      </c>
      <c r="AL384" s="178">
        <v>3210750000</v>
      </c>
      <c r="AM384" s="178">
        <v>2986900000</v>
      </c>
      <c r="AN384" s="178">
        <v>4035890000</v>
      </c>
      <c r="AO384" s="178">
        <v>3250640000</v>
      </c>
      <c r="AP384" s="178">
        <v>3530190000</v>
      </c>
      <c r="AQ384" s="178">
        <v>117580890000</v>
      </c>
    </row>
    <row r="385" spans="1:43" x14ac:dyDescent="0.2">
      <c r="A385" s="134">
        <v>45346</v>
      </c>
      <c r="B385" s="135">
        <f>YEAR(source[[#This Row],[report_date]])</f>
        <v>2024</v>
      </c>
      <c r="C385" s="136">
        <v>2</v>
      </c>
      <c r="D385" s="136">
        <f t="shared" si="32"/>
        <v>8</v>
      </c>
      <c r="E385" s="136">
        <f t="shared" si="33"/>
        <v>24</v>
      </c>
      <c r="F385" s="128" t="s">
        <v>67</v>
      </c>
      <c r="G385" s="128" t="str">
        <f>VLOOKUP(source[[#This Row],[lending_product_transform]],[3]Mapping!$B$4:$C$37,2,0)</f>
        <v>[Cake] - Overdraft</v>
      </c>
      <c r="H385" s="128" t="str">
        <f>VLOOKUP(source[[#This Row],[lending_product_transform]],[3]Mapping!$B$3:$D$37,3,0)</f>
        <v>overdraft</v>
      </c>
      <c r="I385" s="135">
        <v>1697685067</v>
      </c>
      <c r="K385" s="179" t="s">
        <v>234</v>
      </c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>
        <v>6480000</v>
      </c>
      <c r="W385" s="178">
        <v>0</v>
      </c>
      <c r="X385" s="178">
        <v>0</v>
      </c>
      <c r="Y385" s="178">
        <v>0</v>
      </c>
      <c r="Z385" s="178">
        <v>0</v>
      </c>
      <c r="AA385" s="178">
        <v>0</v>
      </c>
      <c r="AB385" s="178">
        <v>0</v>
      </c>
      <c r="AC385" s="178">
        <v>0</v>
      </c>
      <c r="AD385" s="178">
        <v>0</v>
      </c>
      <c r="AE385" s="178">
        <v>0</v>
      </c>
      <c r="AF385" s="178">
        <v>0</v>
      </c>
      <c r="AG385" s="178">
        <v>4320000</v>
      </c>
      <c r="AH385" s="178">
        <v>0</v>
      </c>
      <c r="AI385" s="178">
        <v>0</v>
      </c>
      <c r="AJ385" s="178">
        <v>0</v>
      </c>
      <c r="AK385" s="178">
        <v>0</v>
      </c>
      <c r="AL385" s="178">
        <v>0</v>
      </c>
      <c r="AM385" s="178">
        <v>0</v>
      </c>
      <c r="AN385" s="178">
        <v>0</v>
      </c>
      <c r="AO385" s="178">
        <v>0</v>
      </c>
      <c r="AP385" s="178">
        <v>0</v>
      </c>
      <c r="AQ385" s="178">
        <v>10800000</v>
      </c>
    </row>
    <row r="386" spans="1:43" x14ac:dyDescent="0.2">
      <c r="A386" s="134">
        <v>45346</v>
      </c>
      <c r="B386" s="135">
        <f>YEAR(source[[#This Row],[report_date]])</f>
        <v>2024</v>
      </c>
      <c r="C386" s="136">
        <v>2</v>
      </c>
      <c r="D386" s="136">
        <f t="shared" si="32"/>
        <v>8</v>
      </c>
      <c r="E386" s="136">
        <f t="shared" si="33"/>
        <v>24</v>
      </c>
      <c r="F386" s="128" t="s">
        <v>56</v>
      </c>
      <c r="G386" s="128">
        <f>VLOOKUP(source[[#This Row],[lending_product_transform]],[3]Mapping!$B$4:$C$37,2,0)</f>
        <v>0</v>
      </c>
      <c r="H386" s="128">
        <f>VLOOKUP(source[[#This Row],[lending_product_transform]],[3]Mapping!$B$3:$D$37,3,0)</f>
        <v>0</v>
      </c>
      <c r="I386" s="135">
        <v>4902635067</v>
      </c>
      <c r="K386" s="180" t="s">
        <v>68</v>
      </c>
      <c r="L386" s="174">
        <v>89418743408</v>
      </c>
      <c r="M386" s="174">
        <v>80871614139</v>
      </c>
      <c r="N386" s="174">
        <v>78180935224</v>
      </c>
      <c r="O386" s="174">
        <v>80341657985</v>
      </c>
      <c r="P386" s="174">
        <v>85276016223</v>
      </c>
      <c r="Q386" s="174">
        <v>70363871843</v>
      </c>
      <c r="R386" s="174">
        <v>67326874667</v>
      </c>
      <c r="S386" s="174">
        <v>72981907535</v>
      </c>
      <c r="T386" s="174">
        <v>72518727252</v>
      </c>
      <c r="U386" s="174">
        <v>86063666304</v>
      </c>
      <c r="V386" s="174">
        <v>75433165324</v>
      </c>
      <c r="W386" s="174">
        <v>72520350653</v>
      </c>
      <c r="X386" s="174">
        <v>62968319609</v>
      </c>
      <c r="Y386" s="174">
        <v>61138752076</v>
      </c>
      <c r="Z386" s="174">
        <v>76934715440</v>
      </c>
      <c r="AA386" s="174">
        <v>72000737874</v>
      </c>
      <c r="AB386" s="174">
        <v>68510169405</v>
      </c>
      <c r="AC386" s="174">
        <v>72113623946</v>
      </c>
      <c r="AD386" s="174">
        <v>67565975800</v>
      </c>
      <c r="AE386" s="174">
        <v>62612772965</v>
      </c>
      <c r="AF386" s="174">
        <v>63853838427</v>
      </c>
      <c r="AG386" s="174">
        <v>70817364403</v>
      </c>
      <c r="AH386" s="174">
        <v>68409648710</v>
      </c>
      <c r="AI386" s="174">
        <v>69252825431</v>
      </c>
      <c r="AJ386" s="174">
        <v>64325978525</v>
      </c>
      <c r="AK386" s="174">
        <v>65589902354</v>
      </c>
      <c r="AL386" s="174">
        <v>59676233636</v>
      </c>
      <c r="AM386" s="174">
        <v>56653617660</v>
      </c>
      <c r="AN386" s="174">
        <v>67270580406</v>
      </c>
      <c r="AO386" s="174">
        <v>70491114041</v>
      </c>
      <c r="AP386" s="174">
        <v>70758785518</v>
      </c>
      <c r="AQ386" s="174">
        <v>2202242486783</v>
      </c>
    </row>
    <row r="387" spans="1:43" x14ac:dyDescent="0.2">
      <c r="A387" s="134">
        <v>45346</v>
      </c>
      <c r="B387" s="135">
        <f>YEAR(source[[#This Row],[report_date]])</f>
        <v>2024</v>
      </c>
      <c r="C387" s="136">
        <v>2</v>
      </c>
      <c r="D387" s="136">
        <f t="shared" ref="D387:D450" si="34">WEEKNUM(A387,2)</f>
        <v>8</v>
      </c>
      <c r="E387" s="136">
        <f t="shared" ref="E387:E450" si="35">DAY(A387)</f>
        <v>24</v>
      </c>
      <c r="F387" s="128" t="s">
        <v>65</v>
      </c>
      <c r="G387" s="128" t="str">
        <f>VLOOKUP(source[[#This Row],[lending_product_transform]],[3]Mapping!$B$4:$C$37,2,0)</f>
        <v>[BE] - Cashloan</v>
      </c>
      <c r="H387" s="128" t="str">
        <f>VLOOKUP(source[[#This Row],[lending_product_transform]],[3]Mapping!$B$3:$D$37,3,0)</f>
        <v>cashloan</v>
      </c>
      <c r="I387" s="135">
        <v>158550000</v>
      </c>
      <c r="Q387" s="138">
        <f>Q386/AVERAGE(L384:P384)</f>
        <v>14.805118435061372</v>
      </c>
      <c r="X387" s="138">
        <f>X386/AVERAGE(S384:W384)</f>
        <v>15.723541846413079</v>
      </c>
      <c r="AE387" s="138">
        <f>AE386/AVERAGE(Z384:AD384)</f>
        <v>16.339091983630841</v>
      </c>
    </row>
    <row r="388" spans="1:43" x14ac:dyDescent="0.2">
      <c r="A388" s="134">
        <v>45347</v>
      </c>
      <c r="B388" s="135">
        <f>YEAR(source[[#This Row],[report_date]])</f>
        <v>2024</v>
      </c>
      <c r="C388" s="136">
        <v>2</v>
      </c>
      <c r="D388" s="136">
        <f t="shared" si="34"/>
        <v>8</v>
      </c>
      <c r="E388" s="136">
        <f t="shared" si="35"/>
        <v>25</v>
      </c>
      <c r="F388" s="128" t="s">
        <v>56</v>
      </c>
      <c r="G388" s="128">
        <f>VLOOKUP(source[[#This Row],[lending_product_transform]],[3]Mapping!$B$4:$C$37,2,0)</f>
        <v>0</v>
      </c>
      <c r="H388" s="128">
        <f>VLOOKUP(source[[#This Row],[lending_product_transform]],[3]Mapping!$B$3:$D$37,3,0)</f>
        <v>0</v>
      </c>
      <c r="I388" s="135">
        <v>4237232198</v>
      </c>
    </row>
    <row r="389" spans="1:43" x14ac:dyDescent="0.2">
      <c r="A389" s="134">
        <v>45347</v>
      </c>
      <c r="B389" s="135">
        <f>YEAR(source[[#This Row],[report_date]])</f>
        <v>2024</v>
      </c>
      <c r="C389" s="136">
        <v>2</v>
      </c>
      <c r="D389" s="136">
        <f t="shared" si="34"/>
        <v>8</v>
      </c>
      <c r="E389" s="136">
        <f t="shared" si="35"/>
        <v>25</v>
      </c>
      <c r="F389" s="128" t="s">
        <v>19</v>
      </c>
      <c r="G389" s="128" t="str">
        <f>VLOOKUP(source[[#This Row],[lending_product_transform]],[3]Mapping!$B$4:$C$37,2,0)</f>
        <v>[VDS] - Payday</v>
      </c>
      <c r="H389" s="128" t="str">
        <f>VLOOKUP(source[[#This Row],[lending_product_transform]],[3]Mapping!$B$3:$D$37,3,0)</f>
        <v>payday</v>
      </c>
      <c r="I389" s="135">
        <v>1581000000</v>
      </c>
    </row>
    <row r="390" spans="1:43" x14ac:dyDescent="0.2">
      <c r="A390" s="134">
        <v>45347</v>
      </c>
      <c r="B390" s="135">
        <f>YEAR(source[[#This Row],[report_date]])</f>
        <v>2024</v>
      </c>
      <c r="C390" s="136">
        <v>2</v>
      </c>
      <c r="D390" s="136">
        <f t="shared" si="34"/>
        <v>8</v>
      </c>
      <c r="E390" s="136">
        <f t="shared" si="35"/>
        <v>25</v>
      </c>
      <c r="F390" s="128" t="s">
        <v>65</v>
      </c>
      <c r="G390" s="128" t="str">
        <f>VLOOKUP(source[[#This Row],[lending_product_transform]],[3]Mapping!$B$4:$C$37,2,0)</f>
        <v>[BE] - Cashloan</v>
      </c>
      <c r="H390" s="128" t="str">
        <f>VLOOKUP(source[[#This Row],[lending_product_transform]],[3]Mapping!$B$3:$D$37,3,0)</f>
        <v>cashloan</v>
      </c>
      <c r="I390" s="135">
        <v>152300000</v>
      </c>
    </row>
    <row r="391" spans="1:43" x14ac:dyDescent="0.2">
      <c r="A391" s="134">
        <v>45347</v>
      </c>
      <c r="B391" s="135">
        <f>YEAR(source[[#This Row],[report_date]])</f>
        <v>2024</v>
      </c>
      <c r="C391" s="136">
        <v>2</v>
      </c>
      <c r="D391" s="136">
        <f t="shared" si="34"/>
        <v>8</v>
      </c>
      <c r="E391" s="136">
        <f t="shared" si="35"/>
        <v>25</v>
      </c>
      <c r="F391" s="128" t="s">
        <v>58</v>
      </c>
      <c r="G391" s="128" t="str">
        <f>VLOOKUP(source[[#This Row],[lending_product_transform]],[3]Mapping!$B$4:$C$37,2,0)</f>
        <v>[VDS] - Payroll Cashloan</v>
      </c>
      <c r="H391" s="128" t="str">
        <f>VLOOKUP(source[[#This Row],[lending_product_transform]],[3]Mapping!$B$3:$D$37,3,0)</f>
        <v>cashloan</v>
      </c>
      <c r="I391" s="135">
        <v>31500000</v>
      </c>
    </row>
    <row r="392" spans="1:43" x14ac:dyDescent="0.2">
      <c r="A392" s="134">
        <v>45347</v>
      </c>
      <c r="B392" s="135">
        <f>YEAR(source[[#This Row],[report_date]])</f>
        <v>2024</v>
      </c>
      <c r="C392" s="136">
        <v>2</v>
      </c>
      <c r="D392" s="136">
        <f t="shared" si="34"/>
        <v>8</v>
      </c>
      <c r="E392" s="136">
        <f t="shared" si="35"/>
        <v>25</v>
      </c>
      <c r="F392" s="128" t="s">
        <v>61</v>
      </c>
      <c r="G392" s="128" t="str">
        <f>VLOOKUP(source[[#This Row],[lending_product_transform]],[3]Mapping!$B$4:$C$37,2,0)</f>
        <v>[VDS] - Payroll Payday</v>
      </c>
      <c r="H392" s="128" t="str">
        <f>VLOOKUP(source[[#This Row],[lending_product_transform]],[3]Mapping!$B$3:$D$37,3,0)</f>
        <v>payday</v>
      </c>
      <c r="I392" s="135">
        <v>22000000</v>
      </c>
    </row>
    <row r="393" spans="1:43" x14ac:dyDescent="0.2">
      <c r="A393" s="134">
        <v>45347</v>
      </c>
      <c r="B393" s="135">
        <f>YEAR(source[[#This Row],[report_date]])</f>
        <v>2024</v>
      </c>
      <c r="C393" s="136">
        <v>2</v>
      </c>
      <c r="D393" s="136">
        <f t="shared" si="34"/>
        <v>8</v>
      </c>
      <c r="E393" s="136">
        <f t="shared" si="35"/>
        <v>25</v>
      </c>
      <c r="F393" s="128" t="s">
        <v>11</v>
      </c>
      <c r="G393" s="128" t="str">
        <f>VLOOKUP(source[[#This Row],[lending_product_transform]],[3]Mapping!$B$4:$C$37,2,0)</f>
        <v>[VDS] - Cashloan</v>
      </c>
      <c r="H393" s="128" t="str">
        <f>VLOOKUP(source[[#This Row],[lending_product_transform]],[3]Mapping!$B$3:$D$37,3,0)</f>
        <v>cashloan</v>
      </c>
      <c r="I393" s="135">
        <v>1037300000</v>
      </c>
      <c r="K393" s="181" t="s">
        <v>194</v>
      </c>
      <c r="L393" s="182">
        <v>2025</v>
      </c>
    </row>
    <row r="394" spans="1:43" x14ac:dyDescent="0.2">
      <c r="A394" s="134">
        <v>45347</v>
      </c>
      <c r="B394" s="135">
        <f>YEAR(source[[#This Row],[report_date]])</f>
        <v>2024</v>
      </c>
      <c r="C394" s="136">
        <v>2</v>
      </c>
      <c r="D394" s="136">
        <f t="shared" si="34"/>
        <v>8</v>
      </c>
      <c r="E394" s="136">
        <f t="shared" si="35"/>
        <v>25</v>
      </c>
      <c r="F394" s="128" t="s">
        <v>67</v>
      </c>
      <c r="G394" s="128" t="str">
        <f>VLOOKUP(source[[#This Row],[lending_product_transform]],[3]Mapping!$B$4:$C$37,2,0)</f>
        <v>[Cake] - Overdraft</v>
      </c>
      <c r="H394" s="128" t="str">
        <f>VLOOKUP(source[[#This Row],[lending_product_transform]],[3]Mapping!$B$3:$D$37,3,0)</f>
        <v>overdraft</v>
      </c>
      <c r="I394" s="135">
        <v>1413132198</v>
      </c>
      <c r="K394" s="177" t="s">
        <v>195</v>
      </c>
      <c r="L394" s="176">
        <v>12</v>
      </c>
    </row>
    <row r="395" spans="1:43" x14ac:dyDescent="0.2">
      <c r="A395" s="134">
        <v>45348</v>
      </c>
      <c r="B395" s="135">
        <f>YEAR(source[[#This Row],[report_date]])</f>
        <v>2024</v>
      </c>
      <c r="C395" s="136">
        <v>2</v>
      </c>
      <c r="D395" s="136">
        <f t="shared" si="34"/>
        <v>9</v>
      </c>
      <c r="E395" s="136">
        <f t="shared" si="35"/>
        <v>26</v>
      </c>
      <c r="F395" s="128" t="s">
        <v>56</v>
      </c>
      <c r="G395" s="128">
        <f>VLOOKUP(source[[#This Row],[lending_product_transform]],[3]Mapping!$B$4:$C$37,2,0)</f>
        <v>0</v>
      </c>
      <c r="H395" s="128">
        <f>VLOOKUP(source[[#This Row],[lending_product_transform]],[3]Mapping!$B$3:$D$37,3,0)</f>
        <v>0</v>
      </c>
      <c r="I395" s="135">
        <v>6413162105</v>
      </c>
      <c r="K395" s="175" t="s">
        <v>199</v>
      </c>
      <c r="L395" s="61" t="s">
        <v>220</v>
      </c>
      <c r="M395" s="137"/>
      <c r="N395" s="137"/>
    </row>
    <row r="396" spans="1:43" x14ac:dyDescent="0.2">
      <c r="A396" s="134">
        <v>45348</v>
      </c>
      <c r="B396" s="135">
        <f>YEAR(source[[#This Row],[report_date]])</f>
        <v>2024</v>
      </c>
      <c r="C396" s="136">
        <v>2</v>
      </c>
      <c r="D396" s="136">
        <f t="shared" si="34"/>
        <v>9</v>
      </c>
      <c r="E396" s="136">
        <f t="shared" si="35"/>
        <v>26</v>
      </c>
      <c r="F396" s="128" t="s">
        <v>65</v>
      </c>
      <c r="G396" s="128" t="str">
        <f>VLOOKUP(source[[#This Row],[lending_product_transform]],[3]Mapping!$B$4:$C$37,2,0)</f>
        <v>[BE] - Cashloan</v>
      </c>
      <c r="H396" s="128" t="str">
        <f>VLOOKUP(source[[#This Row],[lending_product_transform]],[3]Mapping!$B$3:$D$37,3,0)</f>
        <v>cashloan</v>
      </c>
      <c r="I396" s="135">
        <v>136500000</v>
      </c>
      <c r="K396" s="137"/>
      <c r="L396" s="137"/>
      <c r="M396" s="137"/>
      <c r="N396" s="137"/>
      <c r="Q396" s="169"/>
      <c r="R396" s="169"/>
    </row>
    <row r="397" spans="1:43" x14ac:dyDescent="0.2">
      <c r="A397" s="134">
        <v>45348</v>
      </c>
      <c r="B397" s="135">
        <f>YEAR(source[[#This Row],[report_date]])</f>
        <v>2024</v>
      </c>
      <c r="C397" s="136">
        <v>2</v>
      </c>
      <c r="D397" s="136">
        <f t="shared" si="34"/>
        <v>9</v>
      </c>
      <c r="E397" s="136">
        <f t="shared" si="35"/>
        <v>26</v>
      </c>
      <c r="F397" s="128" t="s">
        <v>11</v>
      </c>
      <c r="G397" s="128" t="str">
        <f>VLOOKUP(source[[#This Row],[lending_product_transform]],[3]Mapping!$B$4:$C$37,2,0)</f>
        <v>[VDS] - Cashloan</v>
      </c>
      <c r="H397" s="128" t="str">
        <f>VLOOKUP(source[[#This Row],[lending_product_transform]],[3]Mapping!$B$3:$D$37,3,0)</f>
        <v>cashloan</v>
      </c>
      <c r="I397" s="135">
        <v>2093300000</v>
      </c>
      <c r="K397" s="177" t="s">
        <v>69</v>
      </c>
      <c r="L397" s="175" t="s">
        <v>202</v>
      </c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  <c r="AC397" s="177"/>
      <c r="AD397" s="177"/>
      <c r="AE397" s="177"/>
      <c r="AF397" s="177"/>
      <c r="AG397" s="177"/>
      <c r="AH397" s="177"/>
      <c r="AI397" s="177"/>
      <c r="AJ397" s="177"/>
      <c r="AK397" s="177"/>
      <c r="AL397" s="177"/>
      <c r="AM397" s="177"/>
      <c r="AN397" s="177"/>
      <c r="AO397" s="177"/>
      <c r="AP397" s="177"/>
      <c r="AQ397" s="177"/>
    </row>
    <row r="398" spans="1:43" x14ac:dyDescent="0.2">
      <c r="A398" s="134">
        <v>45348</v>
      </c>
      <c r="B398" s="135">
        <f>YEAR(source[[#This Row],[report_date]])</f>
        <v>2024</v>
      </c>
      <c r="C398" s="136">
        <v>2</v>
      </c>
      <c r="D398" s="136">
        <f t="shared" si="34"/>
        <v>9</v>
      </c>
      <c r="E398" s="136">
        <f t="shared" si="35"/>
        <v>26</v>
      </c>
      <c r="F398" s="128" t="s">
        <v>19</v>
      </c>
      <c r="G398" s="128" t="str">
        <f>VLOOKUP(source[[#This Row],[lending_product_transform]],[3]Mapping!$B$4:$C$37,2,0)</f>
        <v>[VDS] - Payday</v>
      </c>
      <c r="H398" s="128" t="str">
        <f>VLOOKUP(source[[#This Row],[lending_product_transform]],[3]Mapping!$B$3:$D$37,3,0)</f>
        <v>payday</v>
      </c>
      <c r="I398" s="135">
        <v>1850500000</v>
      </c>
      <c r="K398" s="177" t="s">
        <v>205</v>
      </c>
      <c r="L398" s="178">
        <v>1</v>
      </c>
      <c r="M398" s="178">
        <v>2</v>
      </c>
      <c r="N398" s="178">
        <v>3</v>
      </c>
      <c r="O398" s="178">
        <v>4</v>
      </c>
      <c r="P398" s="178">
        <v>5</v>
      </c>
      <c r="Q398" s="183">
        <v>6</v>
      </c>
      <c r="R398" s="183">
        <v>7</v>
      </c>
      <c r="S398" s="178">
        <v>8</v>
      </c>
      <c r="T398" s="178">
        <v>9</v>
      </c>
      <c r="U398" s="178">
        <v>10</v>
      </c>
      <c r="V398" s="178">
        <v>11</v>
      </c>
      <c r="W398" s="178">
        <v>12</v>
      </c>
      <c r="X398" s="183">
        <v>13</v>
      </c>
      <c r="Y398" s="183">
        <v>14</v>
      </c>
      <c r="Z398" s="178">
        <v>15</v>
      </c>
      <c r="AA398" s="178">
        <v>16</v>
      </c>
      <c r="AB398" s="178">
        <v>17</v>
      </c>
      <c r="AC398" s="178">
        <v>18</v>
      </c>
      <c r="AD398" s="178">
        <v>19</v>
      </c>
      <c r="AE398" s="183">
        <v>20</v>
      </c>
      <c r="AF398" s="183">
        <v>21</v>
      </c>
      <c r="AG398" s="178">
        <v>22</v>
      </c>
      <c r="AH398" s="178">
        <v>23</v>
      </c>
      <c r="AI398" s="178">
        <v>24</v>
      </c>
      <c r="AJ398" s="178">
        <v>25</v>
      </c>
      <c r="AK398" s="178">
        <v>26</v>
      </c>
      <c r="AL398" s="178">
        <v>27</v>
      </c>
      <c r="AM398" s="178">
        <v>28</v>
      </c>
      <c r="AN398" s="178">
        <v>29</v>
      </c>
      <c r="AO398" s="178">
        <v>30</v>
      </c>
      <c r="AP398" s="178">
        <v>31</v>
      </c>
      <c r="AQ398" s="174" t="s">
        <v>68</v>
      </c>
    </row>
    <row r="399" spans="1:43" x14ac:dyDescent="0.2">
      <c r="A399" s="134">
        <v>45348</v>
      </c>
      <c r="B399" s="135">
        <f>YEAR(source[[#This Row],[report_date]])</f>
        <v>2024</v>
      </c>
      <c r="C399" s="136">
        <v>2</v>
      </c>
      <c r="D399" s="136">
        <f t="shared" si="34"/>
        <v>9</v>
      </c>
      <c r="E399" s="136">
        <f t="shared" si="35"/>
        <v>26</v>
      </c>
      <c r="F399" s="128" t="s">
        <v>58</v>
      </c>
      <c r="G399" s="128" t="str">
        <f>VLOOKUP(source[[#This Row],[lending_product_transform]],[3]Mapping!$B$4:$C$37,2,0)</f>
        <v>[VDS] - Payroll Cashloan</v>
      </c>
      <c r="H399" s="128" t="str">
        <f>VLOOKUP(source[[#This Row],[lending_product_transform]],[3]Mapping!$B$3:$D$37,3,0)</f>
        <v>cashloan</v>
      </c>
      <c r="I399" s="135">
        <v>77750000</v>
      </c>
      <c r="K399" s="179" t="s">
        <v>24</v>
      </c>
      <c r="L399" s="178">
        <v>27492860000</v>
      </c>
      <c r="M399" s="178">
        <v>21350990000</v>
      </c>
      <c r="N399" s="178">
        <v>21744080000</v>
      </c>
      <c r="O399" s="178">
        <v>20641120000</v>
      </c>
      <c r="P399" s="178">
        <v>22241380000</v>
      </c>
      <c r="Q399" s="178">
        <v>17411310000</v>
      </c>
      <c r="R399" s="178">
        <v>16946450000</v>
      </c>
      <c r="S399" s="178">
        <v>18584820000</v>
      </c>
      <c r="T399" s="178">
        <v>20174000000</v>
      </c>
      <c r="U399" s="178">
        <v>20631690000</v>
      </c>
      <c r="V399" s="178">
        <v>18141540000</v>
      </c>
      <c r="W399" s="178">
        <v>17050760000</v>
      </c>
      <c r="X399" s="178">
        <v>14148710000</v>
      </c>
      <c r="Y399" s="178">
        <v>12966470000</v>
      </c>
      <c r="Z399" s="178">
        <v>16188930000</v>
      </c>
      <c r="AA399" s="178">
        <v>16159400000</v>
      </c>
      <c r="AB399" s="178">
        <v>16532070000</v>
      </c>
      <c r="AC399" s="178">
        <v>17149870000</v>
      </c>
      <c r="AD399" s="178">
        <v>12642980000</v>
      </c>
      <c r="AE399" s="178">
        <v>13224840000</v>
      </c>
      <c r="AF399" s="178">
        <v>12821870000</v>
      </c>
      <c r="AG399" s="178">
        <v>15422180000</v>
      </c>
      <c r="AH399" s="178">
        <v>16064700000</v>
      </c>
      <c r="AI399" s="178">
        <v>15470010000</v>
      </c>
      <c r="AJ399" s="178">
        <v>14551340000</v>
      </c>
      <c r="AK399" s="178">
        <v>15030920000</v>
      </c>
      <c r="AL399" s="178">
        <v>13261580000</v>
      </c>
      <c r="AM399" s="178">
        <v>11455070000</v>
      </c>
      <c r="AN399" s="178">
        <v>15523670000</v>
      </c>
      <c r="AO399" s="178">
        <v>16123360000</v>
      </c>
      <c r="AP399" s="178">
        <v>14942620000</v>
      </c>
      <c r="AQ399" s="178">
        <v>522091590000</v>
      </c>
    </row>
    <row r="400" spans="1:43" x14ac:dyDescent="0.2">
      <c r="A400" s="134">
        <v>45348</v>
      </c>
      <c r="B400" s="135">
        <f>YEAR(source[[#This Row],[report_date]])</f>
        <v>2024</v>
      </c>
      <c r="C400" s="136">
        <v>2</v>
      </c>
      <c r="D400" s="136">
        <f t="shared" si="34"/>
        <v>9</v>
      </c>
      <c r="E400" s="136">
        <f t="shared" si="35"/>
        <v>26</v>
      </c>
      <c r="F400" s="128" t="s">
        <v>61</v>
      </c>
      <c r="G400" s="128" t="str">
        <f>VLOOKUP(source[[#This Row],[lending_product_transform]],[3]Mapping!$B$4:$C$37,2,0)</f>
        <v>[VDS] - Payroll Payday</v>
      </c>
      <c r="H400" s="128" t="str">
        <f>VLOOKUP(source[[#This Row],[lending_product_transform]],[3]Mapping!$B$3:$D$37,3,0)</f>
        <v>payday</v>
      </c>
      <c r="I400" s="135">
        <v>37000000</v>
      </c>
      <c r="K400" s="179" t="s">
        <v>67</v>
      </c>
      <c r="L400" s="178">
        <v>4289501378</v>
      </c>
      <c r="M400" s="178">
        <v>3467973723</v>
      </c>
      <c r="N400" s="178">
        <v>2565519802</v>
      </c>
      <c r="O400" s="178">
        <v>2886195122</v>
      </c>
      <c r="P400" s="178">
        <v>3186304974</v>
      </c>
      <c r="Q400" s="178">
        <v>2214332306</v>
      </c>
      <c r="R400" s="178">
        <v>1875357071</v>
      </c>
      <c r="S400" s="178">
        <v>2268828157</v>
      </c>
      <c r="T400" s="178">
        <v>2175770527</v>
      </c>
      <c r="U400" s="178">
        <v>2879127784</v>
      </c>
      <c r="V400" s="178">
        <v>2198664517</v>
      </c>
      <c r="W400" s="178">
        <v>1978657890</v>
      </c>
      <c r="X400" s="178">
        <v>1680215045</v>
      </c>
      <c r="Y400" s="178">
        <v>1686921483</v>
      </c>
      <c r="Z400" s="178">
        <v>2655873951</v>
      </c>
      <c r="AA400" s="178">
        <v>2246477388</v>
      </c>
      <c r="AB400" s="178">
        <v>1754969127</v>
      </c>
      <c r="AC400" s="178">
        <v>1913837763</v>
      </c>
      <c r="AD400" s="178">
        <v>2187683311</v>
      </c>
      <c r="AE400" s="178">
        <v>1961256622</v>
      </c>
      <c r="AF400" s="178">
        <v>1882934263</v>
      </c>
      <c r="AG400" s="178">
        <v>2213515124</v>
      </c>
      <c r="AH400" s="178">
        <v>1965745576</v>
      </c>
      <c r="AI400" s="178">
        <v>1996525977</v>
      </c>
      <c r="AJ400" s="178">
        <v>1884950196</v>
      </c>
      <c r="AK400" s="178">
        <v>2056575924</v>
      </c>
      <c r="AL400" s="178">
        <v>1777974573</v>
      </c>
      <c r="AM400" s="178">
        <v>1736794980</v>
      </c>
      <c r="AN400" s="178">
        <v>2384311293</v>
      </c>
      <c r="AO400" s="178">
        <v>2417843259</v>
      </c>
      <c r="AP400" s="178">
        <v>2613658295</v>
      </c>
      <c r="AQ400" s="178">
        <v>71004297401</v>
      </c>
    </row>
    <row r="401" spans="1:43" x14ac:dyDescent="0.2">
      <c r="A401" s="134">
        <v>45348</v>
      </c>
      <c r="B401" s="135">
        <f>YEAR(source[[#This Row],[report_date]])</f>
        <v>2024</v>
      </c>
      <c r="C401" s="136">
        <v>2</v>
      </c>
      <c r="D401" s="136">
        <f t="shared" si="34"/>
        <v>9</v>
      </c>
      <c r="E401" s="136">
        <f t="shared" si="35"/>
        <v>26</v>
      </c>
      <c r="F401" s="128" t="s">
        <v>67</v>
      </c>
      <c r="G401" s="128" t="str">
        <f>VLOOKUP(source[[#This Row],[lending_product_transform]],[3]Mapping!$B$4:$C$37,2,0)</f>
        <v>[Cake] - Overdraft</v>
      </c>
      <c r="H401" s="128" t="str">
        <f>VLOOKUP(source[[#This Row],[lending_product_transform]],[3]Mapping!$B$3:$D$37,3,0)</f>
        <v>overdraft</v>
      </c>
      <c r="I401" s="135">
        <v>2218112105</v>
      </c>
      <c r="K401" s="179" t="s">
        <v>28</v>
      </c>
      <c r="L401" s="178">
        <v>13343076000</v>
      </c>
      <c r="M401" s="178">
        <v>12062196000</v>
      </c>
      <c r="N401" s="178">
        <v>12354336000</v>
      </c>
      <c r="O401" s="178">
        <v>12942072000</v>
      </c>
      <c r="P401" s="178">
        <v>14076828000</v>
      </c>
      <c r="Q401" s="178">
        <v>11458908000</v>
      </c>
      <c r="R401" s="178">
        <v>10982304000</v>
      </c>
      <c r="S401" s="178">
        <v>11617776000</v>
      </c>
      <c r="T401" s="178">
        <v>11485260000</v>
      </c>
      <c r="U401" s="178">
        <v>15310728000</v>
      </c>
      <c r="V401" s="178">
        <v>13471920000</v>
      </c>
      <c r="W401" s="178">
        <v>12585996000</v>
      </c>
      <c r="X401" s="178">
        <v>10704420000</v>
      </c>
      <c r="Y401" s="178">
        <v>10856160000</v>
      </c>
      <c r="Z401" s="178">
        <v>13522356000</v>
      </c>
      <c r="AA401" s="178">
        <v>12256056000</v>
      </c>
      <c r="AB401" s="178">
        <v>11943612000</v>
      </c>
      <c r="AC401" s="178">
        <v>11934000000</v>
      </c>
      <c r="AD401" s="178">
        <v>12382096000</v>
      </c>
      <c r="AE401" s="178">
        <v>11793492000</v>
      </c>
      <c r="AF401" s="178">
        <v>11693916000</v>
      </c>
      <c r="AG401" s="178">
        <v>13025016000</v>
      </c>
      <c r="AH401" s="178">
        <v>12635460000</v>
      </c>
      <c r="AI401" s="178">
        <v>12849840000</v>
      </c>
      <c r="AJ401" s="178">
        <v>12122028000</v>
      </c>
      <c r="AK401" s="178">
        <v>12355524000</v>
      </c>
      <c r="AL401" s="178">
        <v>11338056000</v>
      </c>
      <c r="AM401" s="178">
        <v>11204244000</v>
      </c>
      <c r="AN401" s="178">
        <v>12827808000</v>
      </c>
      <c r="AO401" s="178">
        <v>13397616000</v>
      </c>
      <c r="AP401" s="178">
        <v>14053824000</v>
      </c>
      <c r="AQ401" s="178">
        <v>384586924000</v>
      </c>
    </row>
    <row r="402" spans="1:43" x14ac:dyDescent="0.2">
      <c r="A402" s="134">
        <v>45349</v>
      </c>
      <c r="B402" s="135">
        <f>YEAR(source[[#This Row],[report_date]])</f>
        <v>2024</v>
      </c>
      <c r="C402" s="136">
        <v>2</v>
      </c>
      <c r="D402" s="136">
        <f t="shared" si="34"/>
        <v>9</v>
      </c>
      <c r="E402" s="136">
        <f t="shared" si="35"/>
        <v>27</v>
      </c>
      <c r="F402" s="128" t="s">
        <v>67</v>
      </c>
      <c r="G402" s="128" t="str">
        <f>VLOOKUP(source[[#This Row],[lending_product_transform]],[3]Mapping!$B$4:$C$37,2,0)</f>
        <v>[Cake] - Overdraft</v>
      </c>
      <c r="H402" s="128" t="str">
        <f>VLOOKUP(source[[#This Row],[lending_product_transform]],[3]Mapping!$B$3:$D$37,3,0)</f>
        <v>overdraft</v>
      </c>
      <c r="I402" s="135">
        <v>1746714188</v>
      </c>
      <c r="K402" s="180" t="s">
        <v>68</v>
      </c>
      <c r="L402" s="174">
        <v>45125437378</v>
      </c>
      <c r="M402" s="174">
        <v>36881159723</v>
      </c>
      <c r="N402" s="174">
        <v>36663935802</v>
      </c>
      <c r="O402" s="174">
        <v>36469387122</v>
      </c>
      <c r="P402" s="174">
        <v>39504512974</v>
      </c>
      <c r="Q402" s="174">
        <v>31084550306</v>
      </c>
      <c r="R402" s="174">
        <v>29804111071</v>
      </c>
      <c r="S402" s="174">
        <v>32471424157</v>
      </c>
      <c r="T402" s="174">
        <v>33835030527</v>
      </c>
      <c r="U402" s="174">
        <v>38821545784</v>
      </c>
      <c r="V402" s="174">
        <v>33812124517</v>
      </c>
      <c r="W402" s="174">
        <v>31615413890</v>
      </c>
      <c r="X402" s="174">
        <v>26533345045</v>
      </c>
      <c r="Y402" s="174">
        <v>25509551483</v>
      </c>
      <c r="Z402" s="174">
        <v>32367159951</v>
      </c>
      <c r="AA402" s="174">
        <v>30661933388</v>
      </c>
      <c r="AB402" s="174">
        <v>30230651127</v>
      </c>
      <c r="AC402" s="174">
        <v>30997707763</v>
      </c>
      <c r="AD402" s="174">
        <v>27212759311</v>
      </c>
      <c r="AE402" s="174">
        <v>26979588622</v>
      </c>
      <c r="AF402" s="174">
        <v>26398720263</v>
      </c>
      <c r="AG402" s="174">
        <v>30660711124</v>
      </c>
      <c r="AH402" s="174">
        <v>30665905576</v>
      </c>
      <c r="AI402" s="174">
        <v>30316375977</v>
      </c>
      <c r="AJ402" s="174">
        <v>28558318196</v>
      </c>
      <c r="AK402" s="174">
        <v>29443019924</v>
      </c>
      <c r="AL402" s="174">
        <v>26377610573</v>
      </c>
      <c r="AM402" s="174">
        <v>24396108980</v>
      </c>
      <c r="AN402" s="174">
        <v>30735789293</v>
      </c>
      <c r="AO402" s="174">
        <v>31938819259</v>
      </c>
      <c r="AP402" s="174">
        <v>31610102295</v>
      </c>
      <c r="AQ402" s="174">
        <v>977682811401</v>
      </c>
    </row>
    <row r="403" spans="1:43" x14ac:dyDescent="0.2">
      <c r="A403" s="134">
        <v>45349</v>
      </c>
      <c r="B403" s="135">
        <f>YEAR(source[[#This Row],[report_date]])</f>
        <v>2024</v>
      </c>
      <c r="C403" s="136">
        <v>2</v>
      </c>
      <c r="D403" s="136">
        <f t="shared" si="34"/>
        <v>9</v>
      </c>
      <c r="E403" s="136">
        <f t="shared" si="35"/>
        <v>27</v>
      </c>
      <c r="F403" s="128" t="s">
        <v>61</v>
      </c>
      <c r="G403" s="128" t="str">
        <f>VLOOKUP(source[[#This Row],[lending_product_transform]],[3]Mapping!$B$4:$C$37,2,0)</f>
        <v>[VDS] - Payroll Payday</v>
      </c>
      <c r="H403" s="128" t="str">
        <f>VLOOKUP(source[[#This Row],[lending_product_transform]],[3]Mapping!$B$3:$D$37,3,0)</f>
        <v>payday</v>
      </c>
      <c r="I403" s="135">
        <v>53000000</v>
      </c>
      <c r="K403" s="137"/>
      <c r="L403" s="137"/>
      <c r="M403" s="137"/>
      <c r="N403" s="137"/>
      <c r="O403" s="137"/>
      <c r="P403" s="137"/>
      <c r="Q403" s="160">
        <f>AVERAGE(Q402:R402)/AVERAGE(L402:P402)</f>
        <v>0.78204986958595435</v>
      </c>
      <c r="R403" s="137"/>
      <c r="S403" s="137"/>
      <c r="T403" s="137"/>
      <c r="U403" s="137"/>
      <c r="V403" s="137"/>
      <c r="W403" s="137"/>
      <c r="X403" s="160">
        <f>AVERAGE(X402:Y402)/AVERAGE(S402:W402)</f>
        <v>0.76284383478953144</v>
      </c>
      <c r="Y403" s="137"/>
      <c r="Z403" s="137"/>
      <c r="AA403" s="137"/>
      <c r="AB403" s="137"/>
      <c r="AC403" s="137"/>
      <c r="AD403" s="137"/>
      <c r="AE403" s="160">
        <f>AVERAGE(AE402:AF402)/AVERAGE(Z402:AD402)</f>
        <v>0.88100340559212764</v>
      </c>
      <c r="AF403" s="137"/>
      <c r="AG403" s="137"/>
    </row>
    <row r="404" spans="1:43" x14ac:dyDescent="0.2">
      <c r="A404" s="134">
        <v>45349</v>
      </c>
      <c r="B404" s="135">
        <f>YEAR(source[[#This Row],[report_date]])</f>
        <v>2024</v>
      </c>
      <c r="C404" s="136">
        <v>2</v>
      </c>
      <c r="D404" s="136">
        <f t="shared" si="34"/>
        <v>9</v>
      </c>
      <c r="E404" s="136">
        <f t="shared" si="35"/>
        <v>27</v>
      </c>
      <c r="F404" s="128" t="s">
        <v>65</v>
      </c>
      <c r="G404" s="128" t="str">
        <f>VLOOKUP(source[[#This Row],[lending_product_transform]],[3]Mapping!$B$4:$C$37,2,0)</f>
        <v>[BE] - Cashloan</v>
      </c>
      <c r="H404" s="128" t="str">
        <f>VLOOKUP(source[[#This Row],[lending_product_transform]],[3]Mapping!$B$3:$D$37,3,0)</f>
        <v>cashloan</v>
      </c>
      <c r="I404" s="135">
        <v>268800000</v>
      </c>
      <c r="K404" s="137"/>
      <c r="L404" s="137"/>
      <c r="M404" s="137"/>
      <c r="N404" s="137"/>
      <c r="O404" s="137"/>
      <c r="P404" s="137"/>
      <c r="Q404" s="160">
        <f>AVERAGE(Q401:R401)/AVERAGE(L401:P401)</f>
        <v>0.86607474812479468</v>
      </c>
      <c r="R404" s="137"/>
      <c r="S404" s="137"/>
      <c r="T404" s="137"/>
      <c r="U404" s="137"/>
      <c r="V404" s="137"/>
      <c r="W404" s="137"/>
      <c r="X404" s="160">
        <f>AVERAGE(X401:Y401)/AVERAGE(S401:W401)</f>
        <v>0.83604847896006429</v>
      </c>
      <c r="Y404" s="137"/>
      <c r="Z404" s="137"/>
      <c r="AA404" s="137"/>
      <c r="AB404" s="137"/>
      <c r="AC404" s="137"/>
      <c r="AD404" s="137"/>
      <c r="AE404" s="160">
        <f>AVERAGE(AE401:AF401)/AVERAGE(Z401:AD401)</f>
        <v>0.94649096394281451</v>
      </c>
      <c r="AF404" s="137"/>
      <c r="AG404" s="137"/>
    </row>
    <row r="405" spans="1:43" x14ac:dyDescent="0.2">
      <c r="A405" s="134">
        <v>45349</v>
      </c>
      <c r="B405" s="135">
        <f>YEAR(source[[#This Row],[report_date]])</f>
        <v>2024</v>
      </c>
      <c r="C405" s="136">
        <v>2</v>
      </c>
      <c r="D405" s="136">
        <f t="shared" si="34"/>
        <v>9</v>
      </c>
      <c r="E405" s="136">
        <f t="shared" si="35"/>
        <v>27</v>
      </c>
      <c r="F405" s="128" t="s">
        <v>19</v>
      </c>
      <c r="G405" s="128" t="str">
        <f>VLOOKUP(source[[#This Row],[lending_product_transform]],[3]Mapping!$B$4:$C$37,2,0)</f>
        <v>[VDS] - Payday</v>
      </c>
      <c r="H405" s="128" t="str">
        <f>VLOOKUP(source[[#This Row],[lending_product_transform]],[3]Mapping!$B$3:$D$37,3,0)</f>
        <v>payday</v>
      </c>
      <c r="I405" s="135">
        <v>1758000000</v>
      </c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</row>
    <row r="406" spans="1:43" x14ac:dyDescent="0.2">
      <c r="A406" s="134">
        <v>45349</v>
      </c>
      <c r="B406" s="135">
        <f>YEAR(source[[#This Row],[report_date]])</f>
        <v>2024</v>
      </c>
      <c r="C406" s="136">
        <v>2</v>
      </c>
      <c r="D406" s="136">
        <f t="shared" si="34"/>
        <v>9</v>
      </c>
      <c r="E406" s="136">
        <f t="shared" si="35"/>
        <v>27</v>
      </c>
      <c r="F406" s="128" t="s">
        <v>58</v>
      </c>
      <c r="G406" s="128" t="str">
        <f>VLOOKUP(source[[#This Row],[lending_product_transform]],[3]Mapping!$B$4:$C$37,2,0)</f>
        <v>[VDS] - Payroll Cashloan</v>
      </c>
      <c r="H406" s="128" t="str">
        <f>VLOOKUP(source[[#This Row],[lending_product_transform]],[3]Mapping!$B$3:$D$37,3,0)</f>
        <v>cashloan</v>
      </c>
      <c r="I406" s="135">
        <v>0</v>
      </c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</row>
    <row r="407" spans="1:43" x14ac:dyDescent="0.2">
      <c r="A407" s="134">
        <v>45349</v>
      </c>
      <c r="B407" s="135">
        <f>YEAR(source[[#This Row],[report_date]])</f>
        <v>2024</v>
      </c>
      <c r="C407" s="136">
        <v>2</v>
      </c>
      <c r="D407" s="136">
        <f t="shared" si="34"/>
        <v>9</v>
      </c>
      <c r="E407" s="136">
        <f t="shared" si="35"/>
        <v>27</v>
      </c>
      <c r="F407" s="128" t="s">
        <v>11</v>
      </c>
      <c r="G407" s="128" t="str">
        <f>VLOOKUP(source[[#This Row],[lending_product_transform]],[3]Mapping!$B$4:$C$37,2,0)</f>
        <v>[VDS] - Cashloan</v>
      </c>
      <c r="H407" s="128" t="str">
        <f>VLOOKUP(source[[#This Row],[lending_product_transform]],[3]Mapping!$B$3:$D$37,3,0)</f>
        <v>cashloan</v>
      </c>
      <c r="I407" s="135">
        <v>1189850000</v>
      </c>
      <c r="K407" s="181" t="s">
        <v>194</v>
      </c>
      <c r="L407" s="182">
        <v>2025</v>
      </c>
    </row>
    <row r="408" spans="1:43" x14ac:dyDescent="0.2">
      <c r="A408" s="134">
        <v>45349</v>
      </c>
      <c r="B408" s="135">
        <f>YEAR(source[[#This Row],[report_date]])</f>
        <v>2024</v>
      </c>
      <c r="C408" s="136">
        <v>2</v>
      </c>
      <c r="D408" s="136">
        <f t="shared" si="34"/>
        <v>9</v>
      </c>
      <c r="E408" s="136">
        <f t="shared" si="35"/>
        <v>27</v>
      </c>
      <c r="F408" s="128" t="s">
        <v>56</v>
      </c>
      <c r="G408" s="128">
        <f>VLOOKUP(source[[#This Row],[lending_product_transform]],[3]Mapping!$B$4:$C$37,2,0)</f>
        <v>0</v>
      </c>
      <c r="H408" s="128">
        <f>VLOOKUP(source[[#This Row],[lending_product_transform]],[3]Mapping!$B$3:$D$37,3,0)</f>
        <v>0</v>
      </c>
      <c r="I408" s="135">
        <v>5016364188</v>
      </c>
      <c r="K408" s="177" t="s">
        <v>195</v>
      </c>
      <c r="L408" s="176">
        <v>12</v>
      </c>
    </row>
    <row r="409" spans="1:43" x14ac:dyDescent="0.2">
      <c r="A409" s="134">
        <v>45350</v>
      </c>
      <c r="B409" s="135">
        <f>YEAR(source[[#This Row],[report_date]])</f>
        <v>2024</v>
      </c>
      <c r="C409" s="136">
        <v>2</v>
      </c>
      <c r="D409" s="136">
        <f t="shared" si="34"/>
        <v>9</v>
      </c>
      <c r="E409" s="136">
        <f t="shared" si="35"/>
        <v>28</v>
      </c>
      <c r="F409" s="128" t="s">
        <v>58</v>
      </c>
      <c r="G409" s="128" t="str">
        <f>VLOOKUP(source[[#This Row],[lending_product_transform]],[3]Mapping!$B$4:$C$37,2,0)</f>
        <v>[VDS] - Payroll Cashloan</v>
      </c>
      <c r="H409" s="128" t="str">
        <f>VLOOKUP(source[[#This Row],[lending_product_transform]],[3]Mapping!$B$3:$D$37,3,0)</f>
        <v>cashloan</v>
      </c>
      <c r="I409" s="135">
        <v>156500000</v>
      </c>
      <c r="K409" s="175" t="s">
        <v>199</v>
      </c>
      <c r="L409" s="61" t="s">
        <v>220</v>
      </c>
      <c r="M409" s="137"/>
      <c r="N409" s="137"/>
    </row>
    <row r="410" spans="1:43" x14ac:dyDescent="0.2">
      <c r="A410" s="134">
        <v>45350</v>
      </c>
      <c r="B410" s="135">
        <f>YEAR(source[[#This Row],[report_date]])</f>
        <v>2024</v>
      </c>
      <c r="C410" s="136">
        <v>2</v>
      </c>
      <c r="D410" s="136">
        <f t="shared" si="34"/>
        <v>9</v>
      </c>
      <c r="E410" s="136">
        <f t="shared" si="35"/>
        <v>28</v>
      </c>
      <c r="F410" s="128" t="s">
        <v>19</v>
      </c>
      <c r="G410" s="128" t="str">
        <f>VLOOKUP(source[[#This Row],[lending_product_transform]],[3]Mapping!$B$4:$C$37,2,0)</f>
        <v>[VDS] - Payday</v>
      </c>
      <c r="H410" s="128" t="str">
        <f>VLOOKUP(source[[#This Row],[lending_product_transform]],[3]Mapping!$B$3:$D$37,3,0)</f>
        <v>payday</v>
      </c>
      <c r="I410" s="135">
        <v>1998500000</v>
      </c>
      <c r="K410" s="137"/>
      <c r="L410" s="137"/>
      <c r="M410" s="137"/>
      <c r="N410" s="137"/>
      <c r="Q410" s="169"/>
      <c r="R410" s="169"/>
    </row>
    <row r="411" spans="1:43" x14ac:dyDescent="0.2">
      <c r="A411" s="134">
        <v>45350</v>
      </c>
      <c r="B411" s="135">
        <f>YEAR(source[[#This Row],[report_date]])</f>
        <v>2024</v>
      </c>
      <c r="C411" s="136">
        <v>2</v>
      </c>
      <c r="D411" s="136">
        <f t="shared" si="34"/>
        <v>9</v>
      </c>
      <c r="E411" s="136">
        <f t="shared" si="35"/>
        <v>28</v>
      </c>
      <c r="F411" s="128" t="s">
        <v>67</v>
      </c>
      <c r="G411" s="128" t="str">
        <f>VLOOKUP(source[[#This Row],[lending_product_transform]],[3]Mapping!$B$4:$C$37,2,0)</f>
        <v>[Cake] - Overdraft</v>
      </c>
      <c r="H411" s="128" t="str">
        <f>VLOOKUP(source[[#This Row],[lending_product_transform]],[3]Mapping!$B$3:$D$37,3,0)</f>
        <v>overdraft</v>
      </c>
      <c r="I411" s="135">
        <v>1934855018</v>
      </c>
      <c r="K411" s="177" t="s">
        <v>69</v>
      </c>
      <c r="L411" s="175" t="s">
        <v>202</v>
      </c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77"/>
      <c r="AD411" s="177"/>
      <c r="AE411" s="177"/>
      <c r="AF411" s="177"/>
      <c r="AG411" s="177"/>
      <c r="AH411" s="177"/>
      <c r="AI411" s="177"/>
      <c r="AJ411" s="177"/>
      <c r="AK411" s="177"/>
      <c r="AL411" s="177"/>
      <c r="AM411" s="177"/>
      <c r="AN411" s="177"/>
      <c r="AO411" s="177"/>
      <c r="AP411" s="177"/>
      <c r="AQ411" s="177"/>
    </row>
    <row r="412" spans="1:43" x14ac:dyDescent="0.2">
      <c r="A412" s="134">
        <v>45350</v>
      </c>
      <c r="B412" s="135">
        <f>YEAR(source[[#This Row],[report_date]])</f>
        <v>2024</v>
      </c>
      <c r="C412" s="136">
        <v>2</v>
      </c>
      <c r="D412" s="136">
        <f t="shared" si="34"/>
        <v>9</v>
      </c>
      <c r="E412" s="136">
        <f t="shared" si="35"/>
        <v>28</v>
      </c>
      <c r="F412" s="128" t="s">
        <v>61</v>
      </c>
      <c r="G412" s="128" t="str">
        <f>VLOOKUP(source[[#This Row],[lending_product_transform]],[3]Mapping!$B$4:$C$37,2,0)</f>
        <v>[VDS] - Payroll Payday</v>
      </c>
      <c r="H412" s="128" t="str">
        <f>VLOOKUP(source[[#This Row],[lending_product_transform]],[3]Mapping!$B$3:$D$37,3,0)</f>
        <v>payday</v>
      </c>
      <c r="I412" s="135">
        <v>40000000</v>
      </c>
      <c r="K412" s="177" t="s">
        <v>205</v>
      </c>
      <c r="L412" s="178">
        <v>1</v>
      </c>
      <c r="M412" s="178">
        <v>2</v>
      </c>
      <c r="N412" s="178">
        <v>3</v>
      </c>
      <c r="O412" s="178">
        <v>4</v>
      </c>
      <c r="P412" s="178">
        <v>5</v>
      </c>
      <c r="Q412" s="183">
        <v>6</v>
      </c>
      <c r="R412" s="183">
        <v>7</v>
      </c>
      <c r="S412" s="178">
        <v>8</v>
      </c>
      <c r="T412" s="178">
        <v>9</v>
      </c>
      <c r="U412" s="178">
        <v>10</v>
      </c>
      <c r="V412" s="178">
        <v>11</v>
      </c>
      <c r="W412" s="178">
        <v>12</v>
      </c>
      <c r="X412" s="183">
        <v>13</v>
      </c>
      <c r="Y412" s="183">
        <v>14</v>
      </c>
      <c r="Z412" s="178">
        <v>15</v>
      </c>
      <c r="AA412" s="178">
        <v>16</v>
      </c>
      <c r="AB412" s="178">
        <v>17</v>
      </c>
      <c r="AC412" s="178">
        <v>18</v>
      </c>
      <c r="AD412" s="178">
        <v>19</v>
      </c>
      <c r="AE412" s="183">
        <v>20</v>
      </c>
      <c r="AF412" s="183">
        <v>21</v>
      </c>
      <c r="AG412" s="178">
        <v>22</v>
      </c>
      <c r="AH412" s="178">
        <v>23</v>
      </c>
      <c r="AI412" s="178">
        <v>24</v>
      </c>
      <c r="AJ412" s="178">
        <v>25</v>
      </c>
      <c r="AK412" s="178">
        <v>26</v>
      </c>
      <c r="AL412" s="178">
        <v>27</v>
      </c>
      <c r="AM412" s="178">
        <v>28</v>
      </c>
      <c r="AN412" s="178">
        <v>29</v>
      </c>
      <c r="AO412" s="178">
        <v>30</v>
      </c>
      <c r="AP412" s="178">
        <v>31</v>
      </c>
      <c r="AQ412" s="174" t="s">
        <v>68</v>
      </c>
    </row>
    <row r="413" spans="1:43" x14ac:dyDescent="0.2">
      <c r="A413" s="134">
        <v>45350</v>
      </c>
      <c r="B413" s="135">
        <f>YEAR(source[[#This Row],[report_date]])</f>
        <v>2024</v>
      </c>
      <c r="C413" s="136">
        <v>2</v>
      </c>
      <c r="D413" s="136">
        <f t="shared" si="34"/>
        <v>9</v>
      </c>
      <c r="E413" s="136">
        <f t="shared" si="35"/>
        <v>28</v>
      </c>
      <c r="F413" s="128" t="s">
        <v>11</v>
      </c>
      <c r="G413" s="128" t="str">
        <f>VLOOKUP(source[[#This Row],[lending_product_transform]],[3]Mapping!$B$4:$C$37,2,0)</f>
        <v>[VDS] - Cashloan</v>
      </c>
      <c r="H413" s="128" t="str">
        <f>VLOOKUP(source[[#This Row],[lending_product_transform]],[3]Mapping!$B$3:$D$37,3,0)</f>
        <v>cashloan</v>
      </c>
      <c r="I413" s="135">
        <v>1739200000</v>
      </c>
      <c r="K413" s="179" t="s">
        <v>11</v>
      </c>
      <c r="L413" s="178">
        <v>20481820000</v>
      </c>
      <c r="M413" s="178">
        <v>21346710000</v>
      </c>
      <c r="N413" s="178">
        <v>18564570000</v>
      </c>
      <c r="O413" s="178">
        <v>20323110000</v>
      </c>
      <c r="P413" s="178">
        <v>19222110000</v>
      </c>
      <c r="Q413" s="178">
        <v>17313410000</v>
      </c>
      <c r="R413" s="178">
        <v>17067060000</v>
      </c>
      <c r="S413" s="178">
        <v>18950910000</v>
      </c>
      <c r="T413" s="178">
        <v>19009430000</v>
      </c>
      <c r="U413" s="178">
        <v>20124000000</v>
      </c>
      <c r="V413" s="178">
        <v>18066810000</v>
      </c>
      <c r="W413" s="178">
        <v>18716580000</v>
      </c>
      <c r="X413" s="178">
        <v>14682880000</v>
      </c>
      <c r="Y413" s="178">
        <v>15019520000</v>
      </c>
      <c r="Z413" s="178">
        <v>19549130000</v>
      </c>
      <c r="AA413" s="178">
        <v>18976500000</v>
      </c>
      <c r="AB413" s="178">
        <v>17941910000</v>
      </c>
      <c r="AC413" s="178">
        <v>19521960000</v>
      </c>
      <c r="AD413" s="178">
        <v>18357020000</v>
      </c>
      <c r="AE413" s="178">
        <v>14486840000</v>
      </c>
      <c r="AF413" s="178">
        <v>16309300000</v>
      </c>
      <c r="AG413" s="178">
        <v>19449990000</v>
      </c>
      <c r="AH413" s="178">
        <v>18060490000</v>
      </c>
      <c r="AI413" s="178">
        <v>17551620000</v>
      </c>
      <c r="AJ413" s="178">
        <v>15624030000</v>
      </c>
      <c r="AK413" s="178">
        <v>15575630000</v>
      </c>
      <c r="AL413" s="178">
        <v>14276880000</v>
      </c>
      <c r="AM413" s="178">
        <v>12950550000</v>
      </c>
      <c r="AN413" s="178">
        <v>15388110000</v>
      </c>
      <c r="AO413" s="178">
        <v>17613510000</v>
      </c>
      <c r="AP413" s="178">
        <v>17297150000</v>
      </c>
      <c r="AQ413" s="178">
        <v>547819540000</v>
      </c>
    </row>
    <row r="414" spans="1:43" x14ac:dyDescent="0.2">
      <c r="A414" s="134">
        <v>45350</v>
      </c>
      <c r="B414" s="135">
        <f>YEAR(source[[#This Row],[report_date]])</f>
        <v>2024</v>
      </c>
      <c r="C414" s="136">
        <v>2</v>
      </c>
      <c r="D414" s="136">
        <f t="shared" si="34"/>
        <v>9</v>
      </c>
      <c r="E414" s="136">
        <f t="shared" si="35"/>
        <v>28</v>
      </c>
      <c r="F414" s="128" t="s">
        <v>56</v>
      </c>
      <c r="G414" s="128">
        <f>VLOOKUP(source[[#This Row],[lending_product_transform]],[3]Mapping!$B$4:$C$37,2,0)</f>
        <v>0</v>
      </c>
      <c r="H414" s="128">
        <f>VLOOKUP(source[[#This Row],[lending_product_transform]],[3]Mapping!$B$3:$D$37,3,0)</f>
        <v>0</v>
      </c>
      <c r="I414" s="135">
        <v>6072755018</v>
      </c>
      <c r="K414" s="179" t="s">
        <v>221</v>
      </c>
      <c r="L414" s="178">
        <v>0</v>
      </c>
      <c r="M414" s="178">
        <v>0</v>
      </c>
      <c r="N414" s="178">
        <v>0</v>
      </c>
      <c r="O414" s="178">
        <v>0</v>
      </c>
      <c r="P414" s="178">
        <v>0</v>
      </c>
      <c r="Q414" s="178">
        <v>0</v>
      </c>
      <c r="R414" s="178">
        <v>0</v>
      </c>
      <c r="S414" s="178">
        <v>0</v>
      </c>
      <c r="T414" s="178">
        <v>0</v>
      </c>
      <c r="U414" s="178">
        <v>0</v>
      </c>
      <c r="V414" s="178">
        <v>0</v>
      </c>
      <c r="W414" s="178">
        <v>0</v>
      </c>
      <c r="X414" s="178">
        <v>0</v>
      </c>
      <c r="Y414" s="178">
        <v>0</v>
      </c>
      <c r="Z414" s="178">
        <v>0</v>
      </c>
      <c r="AA414" s="178">
        <v>0</v>
      </c>
      <c r="AB414" s="178">
        <v>0</v>
      </c>
      <c r="AC414" s="178">
        <v>0</v>
      </c>
      <c r="AD414" s="178">
        <v>0</v>
      </c>
      <c r="AE414" s="178">
        <v>0</v>
      </c>
      <c r="AF414" s="178">
        <v>0</v>
      </c>
      <c r="AG414" s="178">
        <v>0</v>
      </c>
      <c r="AH414" s="178">
        <v>0</v>
      </c>
      <c r="AI414" s="178">
        <v>0</v>
      </c>
      <c r="AJ414" s="178">
        <v>0</v>
      </c>
      <c r="AK414" s="178">
        <v>0</v>
      </c>
      <c r="AL414" s="178">
        <v>0</v>
      </c>
      <c r="AM414" s="178">
        <v>0</v>
      </c>
      <c r="AN414" s="178">
        <v>0</v>
      </c>
      <c r="AO414" s="178">
        <v>0</v>
      </c>
      <c r="AP414" s="178">
        <v>0</v>
      </c>
      <c r="AQ414" s="178">
        <v>0</v>
      </c>
    </row>
    <row r="415" spans="1:43" x14ac:dyDescent="0.2">
      <c r="A415" s="134">
        <v>45350</v>
      </c>
      <c r="B415" s="135">
        <f>YEAR(source[[#This Row],[report_date]])</f>
        <v>2024</v>
      </c>
      <c r="C415" s="136">
        <v>2</v>
      </c>
      <c r="D415" s="136">
        <f t="shared" si="34"/>
        <v>9</v>
      </c>
      <c r="E415" s="136">
        <f t="shared" si="35"/>
        <v>28</v>
      </c>
      <c r="F415" s="128" t="s">
        <v>65</v>
      </c>
      <c r="G415" s="128" t="str">
        <f>VLOOKUP(source[[#This Row],[lending_product_transform]],[3]Mapping!$B$4:$C$37,2,0)</f>
        <v>[BE] - Cashloan</v>
      </c>
      <c r="H415" s="128" t="str">
        <f>VLOOKUP(source[[#This Row],[lending_product_transform]],[3]Mapping!$B$3:$D$37,3,0)</f>
        <v>cashloan</v>
      </c>
      <c r="I415" s="135">
        <v>203700000</v>
      </c>
      <c r="K415" s="179" t="s">
        <v>222</v>
      </c>
      <c r="L415" s="178">
        <v>0</v>
      </c>
      <c r="M415" s="178">
        <v>0</v>
      </c>
      <c r="N415" s="178">
        <v>0</v>
      </c>
      <c r="O415" s="178">
        <v>0</v>
      </c>
      <c r="P415" s="178">
        <v>0</v>
      </c>
      <c r="Q415" s="178">
        <v>0</v>
      </c>
      <c r="R415" s="178">
        <v>0</v>
      </c>
      <c r="S415" s="178">
        <v>0</v>
      </c>
      <c r="T415" s="178">
        <v>0</v>
      </c>
      <c r="U415" s="178">
        <v>0</v>
      </c>
      <c r="V415" s="178">
        <v>0</v>
      </c>
      <c r="W415" s="178">
        <v>0</v>
      </c>
      <c r="X415" s="178">
        <v>0</v>
      </c>
      <c r="Y415" s="178">
        <v>0</v>
      </c>
      <c r="Z415" s="178">
        <v>0</v>
      </c>
      <c r="AA415" s="178">
        <v>0</v>
      </c>
      <c r="AB415" s="178">
        <v>0</v>
      </c>
      <c r="AC415" s="178">
        <v>0</v>
      </c>
      <c r="AD415" s="178">
        <v>0</v>
      </c>
      <c r="AE415" s="178">
        <v>0</v>
      </c>
      <c r="AF415" s="178">
        <v>0</v>
      </c>
      <c r="AG415" s="178">
        <v>0</v>
      </c>
      <c r="AH415" s="178">
        <v>0</v>
      </c>
      <c r="AI415" s="178">
        <v>0</v>
      </c>
      <c r="AJ415" s="178">
        <v>0</v>
      </c>
      <c r="AK415" s="178">
        <v>0</v>
      </c>
      <c r="AL415" s="178">
        <v>0</v>
      </c>
      <c r="AM415" s="178">
        <v>0</v>
      </c>
      <c r="AN415" s="178">
        <v>0</v>
      </c>
      <c r="AO415" s="178">
        <v>0</v>
      </c>
      <c r="AP415" s="178">
        <v>0</v>
      </c>
      <c r="AQ415" s="178">
        <v>0</v>
      </c>
    </row>
    <row r="416" spans="1:43" x14ac:dyDescent="0.2">
      <c r="A416" s="134">
        <v>45351</v>
      </c>
      <c r="B416" s="135">
        <f>YEAR(source[[#This Row],[report_date]])</f>
        <v>2024</v>
      </c>
      <c r="C416" s="136">
        <v>2</v>
      </c>
      <c r="D416" s="136">
        <f t="shared" si="34"/>
        <v>9</v>
      </c>
      <c r="E416" s="136">
        <f t="shared" si="35"/>
        <v>29</v>
      </c>
      <c r="F416" s="128" t="s">
        <v>61</v>
      </c>
      <c r="G416" s="128" t="str">
        <f>VLOOKUP(source[[#This Row],[lending_product_transform]],[3]Mapping!$B$4:$C$37,2,0)</f>
        <v>[VDS] - Payroll Payday</v>
      </c>
      <c r="H416" s="128" t="str">
        <f>VLOOKUP(source[[#This Row],[lending_product_transform]],[3]Mapping!$B$3:$D$37,3,0)</f>
        <v>payday</v>
      </c>
      <c r="I416" s="135">
        <v>57000000</v>
      </c>
      <c r="K416" s="179" t="s">
        <v>223</v>
      </c>
      <c r="L416" s="178">
        <v>0</v>
      </c>
      <c r="M416" s="178">
        <v>0</v>
      </c>
      <c r="N416" s="178">
        <v>0</v>
      </c>
      <c r="O416" s="178">
        <v>0</v>
      </c>
      <c r="P416" s="178">
        <v>0</v>
      </c>
      <c r="Q416" s="178">
        <v>0</v>
      </c>
      <c r="R416" s="178">
        <v>0</v>
      </c>
      <c r="S416" s="178">
        <v>0</v>
      </c>
      <c r="T416" s="178">
        <v>0</v>
      </c>
      <c r="U416" s="178">
        <v>0</v>
      </c>
      <c r="V416" s="178">
        <v>0</v>
      </c>
      <c r="W416" s="178">
        <v>0</v>
      </c>
      <c r="X416" s="178">
        <v>0</v>
      </c>
      <c r="Y416" s="178">
        <v>0</v>
      </c>
      <c r="Z416" s="178">
        <v>0</v>
      </c>
      <c r="AA416" s="178">
        <v>0</v>
      </c>
      <c r="AB416" s="178">
        <v>0</v>
      </c>
      <c r="AC416" s="178">
        <v>0</v>
      </c>
      <c r="AD416" s="178">
        <v>0</v>
      </c>
      <c r="AE416" s="178">
        <v>0</v>
      </c>
      <c r="AF416" s="178">
        <v>0</v>
      </c>
      <c r="AG416" s="178">
        <v>0</v>
      </c>
      <c r="AH416" s="178">
        <v>0</v>
      </c>
      <c r="AI416" s="178">
        <v>0</v>
      </c>
      <c r="AJ416" s="178">
        <v>0</v>
      </c>
      <c r="AK416" s="178">
        <v>0</v>
      </c>
      <c r="AL416" s="178">
        <v>0</v>
      </c>
      <c r="AM416" s="178">
        <v>0</v>
      </c>
      <c r="AN416" s="178">
        <v>0</v>
      </c>
      <c r="AO416" s="178">
        <v>0</v>
      </c>
      <c r="AP416" s="178">
        <v>0</v>
      </c>
      <c r="AQ416" s="178">
        <v>0</v>
      </c>
    </row>
    <row r="417" spans="1:43" x14ac:dyDescent="0.2">
      <c r="A417" s="134">
        <v>45351</v>
      </c>
      <c r="B417" s="135">
        <f>YEAR(source[[#This Row],[report_date]])</f>
        <v>2024</v>
      </c>
      <c r="C417" s="136">
        <v>2</v>
      </c>
      <c r="D417" s="136">
        <f t="shared" si="34"/>
        <v>9</v>
      </c>
      <c r="E417" s="136">
        <f t="shared" si="35"/>
        <v>29</v>
      </c>
      <c r="F417" s="128" t="s">
        <v>19</v>
      </c>
      <c r="G417" s="128" t="str">
        <f>VLOOKUP(source[[#This Row],[lending_product_transform]],[3]Mapping!$B$4:$C$37,2,0)</f>
        <v>[VDS] - Payday</v>
      </c>
      <c r="H417" s="128" t="str">
        <f>VLOOKUP(source[[#This Row],[lending_product_transform]],[3]Mapping!$B$3:$D$37,3,0)</f>
        <v>payday</v>
      </c>
      <c r="I417" s="135">
        <v>2100500000</v>
      </c>
      <c r="K417" s="179" t="s">
        <v>219</v>
      </c>
      <c r="L417" s="178">
        <v>0</v>
      </c>
      <c r="M417" s="178">
        <v>5000000</v>
      </c>
      <c r="N417" s="178">
        <v>25000000</v>
      </c>
      <c r="O417" s="178">
        <v>0</v>
      </c>
      <c r="P417" s="178">
        <v>5000000</v>
      </c>
      <c r="Q417" s="178">
        <v>45000000</v>
      </c>
      <c r="R417" s="178">
        <v>0</v>
      </c>
      <c r="S417" s="178">
        <v>16050000</v>
      </c>
      <c r="T417" s="178">
        <v>0</v>
      </c>
      <c r="U417" s="178">
        <v>21400000</v>
      </c>
      <c r="V417" s="178">
        <v>37100000</v>
      </c>
      <c r="W417" s="178">
        <v>0</v>
      </c>
      <c r="X417" s="178">
        <v>0</v>
      </c>
      <c r="Y417" s="178">
        <v>0</v>
      </c>
      <c r="Z417" s="178">
        <v>0</v>
      </c>
      <c r="AA417" s="178">
        <v>30000000</v>
      </c>
      <c r="AB417" s="178">
        <v>0</v>
      </c>
      <c r="AC417" s="178">
        <v>0</v>
      </c>
      <c r="AD417" s="178">
        <v>6000000</v>
      </c>
      <c r="AE417" s="178">
        <v>0</v>
      </c>
      <c r="AF417" s="178">
        <v>0</v>
      </c>
      <c r="AG417" s="178">
        <v>30000000</v>
      </c>
      <c r="AH417" s="178">
        <v>0</v>
      </c>
      <c r="AI417" s="178">
        <v>0</v>
      </c>
      <c r="AJ417" s="178">
        <v>0</v>
      </c>
      <c r="AK417" s="178">
        <v>0</v>
      </c>
      <c r="AL417" s="178">
        <v>27000000</v>
      </c>
      <c r="AM417" s="178">
        <v>0</v>
      </c>
      <c r="AN417" s="178">
        <v>7490000</v>
      </c>
      <c r="AO417" s="178">
        <v>0</v>
      </c>
      <c r="AP417" s="178">
        <v>7000000</v>
      </c>
      <c r="AQ417" s="178">
        <v>262040000</v>
      </c>
    </row>
    <row r="418" spans="1:43" x14ac:dyDescent="0.2">
      <c r="A418" s="134">
        <v>45351</v>
      </c>
      <c r="B418" s="135">
        <f>YEAR(source[[#This Row],[report_date]])</f>
        <v>2024</v>
      </c>
      <c r="C418" s="136">
        <v>2</v>
      </c>
      <c r="D418" s="136">
        <f t="shared" si="34"/>
        <v>9</v>
      </c>
      <c r="E418" s="136">
        <f t="shared" si="35"/>
        <v>29</v>
      </c>
      <c r="F418" s="128" t="s">
        <v>58</v>
      </c>
      <c r="G418" s="128" t="str">
        <f>VLOOKUP(source[[#This Row],[lending_product_transform]],[3]Mapping!$B$4:$C$37,2,0)</f>
        <v>[VDS] - Payroll Cashloan</v>
      </c>
      <c r="H418" s="128" t="str">
        <f>VLOOKUP(source[[#This Row],[lending_product_transform]],[3]Mapping!$B$3:$D$37,3,0)</f>
        <v>cashloan</v>
      </c>
      <c r="I418" s="135">
        <v>88200000</v>
      </c>
      <c r="K418" s="179" t="s">
        <v>19</v>
      </c>
      <c r="L418" s="178">
        <v>10297584000</v>
      </c>
      <c r="M418" s="178">
        <v>10290456000</v>
      </c>
      <c r="N418" s="178">
        <v>9799704000</v>
      </c>
      <c r="O418" s="178">
        <v>10619856000</v>
      </c>
      <c r="P418" s="178">
        <v>11009736000</v>
      </c>
      <c r="Q418" s="178">
        <v>10108044000</v>
      </c>
      <c r="R418" s="178">
        <v>8787960000</v>
      </c>
      <c r="S418" s="178">
        <v>9321912000</v>
      </c>
      <c r="T418" s="178">
        <v>8877816000</v>
      </c>
      <c r="U418" s="178">
        <v>13402692000</v>
      </c>
      <c r="V418" s="178">
        <v>11344428000</v>
      </c>
      <c r="W418" s="178">
        <v>10791360000</v>
      </c>
      <c r="X418" s="178">
        <v>9786420000</v>
      </c>
      <c r="Y418" s="178">
        <v>9550656000</v>
      </c>
      <c r="Z418" s="178">
        <v>12444408000</v>
      </c>
      <c r="AA418" s="178">
        <v>10527516000</v>
      </c>
      <c r="AB418" s="178">
        <v>9917856000</v>
      </c>
      <c r="AC418" s="178">
        <v>9723996000</v>
      </c>
      <c r="AD418" s="178">
        <v>9999720000</v>
      </c>
      <c r="AE418" s="178">
        <v>9275040000</v>
      </c>
      <c r="AF418" s="178">
        <v>9148896000</v>
      </c>
      <c r="AG418" s="178">
        <v>9268128000</v>
      </c>
      <c r="AH418" s="178">
        <v>8891640000</v>
      </c>
      <c r="AI418" s="178">
        <v>9255384000</v>
      </c>
      <c r="AJ418" s="178">
        <v>9423540000</v>
      </c>
      <c r="AK418" s="178">
        <v>8508564000</v>
      </c>
      <c r="AL418" s="178">
        <v>8435016000</v>
      </c>
      <c r="AM418" s="178">
        <v>8372160000</v>
      </c>
      <c r="AN418" s="178">
        <v>8714412000</v>
      </c>
      <c r="AO418" s="178">
        <v>8879976000</v>
      </c>
      <c r="AP418" s="178">
        <v>9485856000</v>
      </c>
      <c r="AQ418" s="178">
        <v>304260732000</v>
      </c>
    </row>
    <row r="419" spans="1:43" x14ac:dyDescent="0.2">
      <c r="A419" s="134">
        <v>45351</v>
      </c>
      <c r="B419" s="135">
        <f>YEAR(source[[#This Row],[report_date]])</f>
        <v>2024</v>
      </c>
      <c r="C419" s="136">
        <v>2</v>
      </c>
      <c r="D419" s="136">
        <f t="shared" si="34"/>
        <v>9</v>
      </c>
      <c r="E419" s="136">
        <f t="shared" si="35"/>
        <v>29</v>
      </c>
      <c r="F419" s="128" t="s">
        <v>11</v>
      </c>
      <c r="G419" s="128" t="str">
        <f>VLOOKUP(source[[#This Row],[lending_product_transform]],[3]Mapping!$B$4:$C$37,2,0)</f>
        <v>[VDS] - Cashloan</v>
      </c>
      <c r="H419" s="128" t="str">
        <f>VLOOKUP(source[[#This Row],[lending_product_transform]],[3]Mapping!$B$3:$D$37,3,0)</f>
        <v>cashloan</v>
      </c>
      <c r="I419" s="135">
        <v>1413850000</v>
      </c>
      <c r="K419" s="179" t="s">
        <v>62</v>
      </c>
      <c r="L419" s="178">
        <v>489658298</v>
      </c>
      <c r="M419" s="178">
        <v>432396825</v>
      </c>
      <c r="N419" s="178">
        <v>473222040</v>
      </c>
      <c r="O419" s="178">
        <v>503051669</v>
      </c>
      <c r="P419" s="178">
        <v>632262431</v>
      </c>
      <c r="Q419" s="178">
        <v>405178112</v>
      </c>
      <c r="R419" s="178">
        <v>365569034</v>
      </c>
      <c r="S419" s="178">
        <v>298442180</v>
      </c>
      <c r="T419" s="178">
        <v>319497699</v>
      </c>
      <c r="U419" s="178">
        <v>277558348</v>
      </c>
      <c r="V419" s="178">
        <v>255389707</v>
      </c>
      <c r="W419" s="178">
        <v>221272322</v>
      </c>
      <c r="X419" s="178">
        <v>207424392</v>
      </c>
      <c r="Y419" s="178">
        <v>183948261</v>
      </c>
      <c r="Z419" s="178">
        <v>204913785</v>
      </c>
      <c r="AA419" s="178">
        <v>197024453</v>
      </c>
      <c r="AB419" s="178">
        <v>159315563</v>
      </c>
      <c r="AC419" s="178">
        <v>180947368</v>
      </c>
      <c r="AD419" s="178">
        <v>162802294</v>
      </c>
      <c r="AE419" s="178">
        <v>148058993</v>
      </c>
      <c r="AF419" s="178">
        <v>194710939</v>
      </c>
      <c r="AG419" s="178">
        <v>175675611</v>
      </c>
      <c r="AH419" s="178">
        <v>157986170</v>
      </c>
      <c r="AI419" s="178">
        <v>144248951</v>
      </c>
      <c r="AJ419" s="178">
        <v>143725279</v>
      </c>
      <c r="AK419" s="178">
        <v>148119423</v>
      </c>
      <c r="AL419" s="178">
        <v>149301515</v>
      </c>
      <c r="AM419" s="178">
        <v>143602939</v>
      </c>
      <c r="AN419" s="178">
        <v>145257282</v>
      </c>
      <c r="AO419" s="178">
        <v>194822853</v>
      </c>
      <c r="AP419" s="178">
        <v>180484743</v>
      </c>
      <c r="AQ419" s="178">
        <v>7895869479</v>
      </c>
    </row>
    <row r="420" spans="1:43" x14ac:dyDescent="0.2">
      <c r="A420" s="134">
        <v>45351</v>
      </c>
      <c r="B420" s="135">
        <f>YEAR(source[[#This Row],[report_date]])</f>
        <v>2024</v>
      </c>
      <c r="C420" s="136">
        <v>2</v>
      </c>
      <c r="D420" s="136">
        <f t="shared" si="34"/>
        <v>9</v>
      </c>
      <c r="E420" s="136">
        <f t="shared" si="35"/>
        <v>29</v>
      </c>
      <c r="F420" s="128" t="s">
        <v>67</v>
      </c>
      <c r="G420" s="128" t="str">
        <f>VLOOKUP(source[[#This Row],[lending_product_transform]],[3]Mapping!$B$4:$C$37,2,0)</f>
        <v>[Cake] - Overdraft</v>
      </c>
      <c r="H420" s="128" t="str">
        <f>VLOOKUP(source[[#This Row],[lending_product_transform]],[3]Mapping!$B$3:$D$37,3,0)</f>
        <v>overdraft</v>
      </c>
      <c r="I420" s="135">
        <v>2493489443</v>
      </c>
      <c r="K420" s="179" t="s">
        <v>58</v>
      </c>
      <c r="L420" s="178">
        <v>47250000</v>
      </c>
      <c r="M420" s="178">
        <v>35500000</v>
      </c>
      <c r="N420" s="178">
        <v>10500000</v>
      </c>
      <c r="O420" s="178">
        <v>21000000</v>
      </c>
      <c r="P420" s="178">
        <v>42000000</v>
      </c>
      <c r="Q420" s="178">
        <v>31500000</v>
      </c>
      <c r="R420" s="178">
        <v>0</v>
      </c>
      <c r="S420" s="178">
        <v>0</v>
      </c>
      <c r="T420" s="178">
        <v>0</v>
      </c>
      <c r="U420" s="178">
        <v>41000000</v>
      </c>
      <c r="V420" s="178">
        <v>26250000</v>
      </c>
      <c r="W420" s="178">
        <v>42000000</v>
      </c>
      <c r="X420" s="178">
        <v>0</v>
      </c>
      <c r="Y420" s="178">
        <v>20000000</v>
      </c>
      <c r="Z420" s="178">
        <v>21000000</v>
      </c>
      <c r="AA420" s="178">
        <v>21000000</v>
      </c>
      <c r="AB420" s="178">
        <v>0</v>
      </c>
      <c r="AC420" s="178">
        <v>0</v>
      </c>
      <c r="AD420" s="178">
        <v>20500000</v>
      </c>
      <c r="AE420" s="178">
        <v>0</v>
      </c>
      <c r="AF420" s="178">
        <v>21000000</v>
      </c>
      <c r="AG420" s="178">
        <v>0</v>
      </c>
      <c r="AH420" s="178">
        <v>21000000</v>
      </c>
      <c r="AI420" s="178">
        <v>60900000</v>
      </c>
      <c r="AJ420" s="178">
        <v>0</v>
      </c>
      <c r="AK420" s="178">
        <v>21000000</v>
      </c>
      <c r="AL420" s="178">
        <v>0</v>
      </c>
      <c r="AM420" s="178">
        <v>10000000</v>
      </c>
      <c r="AN420" s="178">
        <v>10000000</v>
      </c>
      <c r="AO420" s="178">
        <v>54600000</v>
      </c>
      <c r="AP420" s="178">
        <v>15750000</v>
      </c>
      <c r="AQ420" s="178">
        <v>593750000</v>
      </c>
    </row>
    <row r="421" spans="1:43" x14ac:dyDescent="0.2">
      <c r="A421" s="134">
        <v>45351</v>
      </c>
      <c r="B421" s="135">
        <f>YEAR(source[[#This Row],[report_date]])</f>
        <v>2024</v>
      </c>
      <c r="C421" s="136">
        <v>2</v>
      </c>
      <c r="D421" s="136">
        <f t="shared" si="34"/>
        <v>9</v>
      </c>
      <c r="E421" s="136">
        <f t="shared" si="35"/>
        <v>29</v>
      </c>
      <c r="F421" s="128" t="s">
        <v>65</v>
      </c>
      <c r="G421" s="128" t="str">
        <f>VLOOKUP(source[[#This Row],[lending_product_transform]],[3]Mapping!$B$4:$C$37,2,0)</f>
        <v>[BE] - Cashloan</v>
      </c>
      <c r="H421" s="128" t="str">
        <f>VLOOKUP(source[[#This Row],[lending_product_transform]],[3]Mapping!$B$3:$D$37,3,0)</f>
        <v>cashloan</v>
      </c>
      <c r="I421" s="135">
        <v>128100000</v>
      </c>
      <c r="K421" s="179" t="s">
        <v>61</v>
      </c>
      <c r="L421" s="178">
        <v>31000000</v>
      </c>
      <c r="M421" s="178">
        <v>16000000</v>
      </c>
      <c r="N421" s="178">
        <v>26000000</v>
      </c>
      <c r="O421" s="178">
        <v>50000000</v>
      </c>
      <c r="P421" s="178">
        <v>45000000</v>
      </c>
      <c r="Q421" s="178">
        <v>58000000</v>
      </c>
      <c r="R421" s="178">
        <v>72000000</v>
      </c>
      <c r="S421" s="178">
        <v>20000000</v>
      </c>
      <c r="T421" s="178">
        <v>18000000</v>
      </c>
      <c r="U421" s="178">
        <v>35000000</v>
      </c>
      <c r="V421" s="178">
        <v>42000000</v>
      </c>
      <c r="W421" s="178">
        <v>27000000</v>
      </c>
      <c r="X421" s="178">
        <v>33000000</v>
      </c>
      <c r="Y421" s="178">
        <v>52000000</v>
      </c>
      <c r="Z421" s="178">
        <v>47000000</v>
      </c>
      <c r="AA421" s="178">
        <v>41000000</v>
      </c>
      <c r="AB421" s="178">
        <v>44000000</v>
      </c>
      <c r="AC421" s="178">
        <v>36000000</v>
      </c>
      <c r="AD421" s="178">
        <v>43000000</v>
      </c>
      <c r="AE421" s="178">
        <v>37000000</v>
      </c>
      <c r="AF421" s="178">
        <v>33000000</v>
      </c>
      <c r="AG421" s="178">
        <v>26000000</v>
      </c>
      <c r="AH421" s="178">
        <v>45000000</v>
      </c>
      <c r="AI421" s="178">
        <v>28000000</v>
      </c>
      <c r="AJ421" s="178">
        <v>65000000</v>
      </c>
      <c r="AK421" s="178">
        <v>91000000</v>
      </c>
      <c r="AL421" s="178">
        <v>53000000</v>
      </c>
      <c r="AM421" s="178">
        <v>38000000</v>
      </c>
      <c r="AN421" s="178">
        <v>41000000</v>
      </c>
      <c r="AO421" s="178">
        <v>23000000</v>
      </c>
      <c r="AP421" s="178">
        <v>54000000</v>
      </c>
      <c r="AQ421" s="178">
        <v>1270000000</v>
      </c>
    </row>
    <row r="422" spans="1:43" x14ac:dyDescent="0.2">
      <c r="A422" s="134">
        <v>45351</v>
      </c>
      <c r="B422" s="135">
        <f>YEAR(source[[#This Row],[report_date]])</f>
        <v>2024</v>
      </c>
      <c r="C422" s="136">
        <v>2</v>
      </c>
      <c r="D422" s="136">
        <f t="shared" si="34"/>
        <v>9</v>
      </c>
      <c r="E422" s="136">
        <f t="shared" si="35"/>
        <v>29</v>
      </c>
      <c r="F422" s="128" t="s">
        <v>56</v>
      </c>
      <c r="G422" s="128">
        <f>VLOOKUP(source[[#This Row],[lending_product_transform]],[3]Mapping!$B$4:$C$37,2,0)</f>
        <v>0</v>
      </c>
      <c r="H422" s="128">
        <f>VLOOKUP(source[[#This Row],[lending_product_transform]],[3]Mapping!$B$3:$D$37,3,0)</f>
        <v>0</v>
      </c>
      <c r="I422" s="135">
        <v>6281139443</v>
      </c>
      <c r="K422" s="180" t="s">
        <v>68</v>
      </c>
      <c r="L422" s="174">
        <v>31347312298</v>
      </c>
      <c r="M422" s="174">
        <v>32126062825</v>
      </c>
      <c r="N422" s="174">
        <v>28898996040</v>
      </c>
      <c r="O422" s="174">
        <v>31517017669</v>
      </c>
      <c r="P422" s="174">
        <v>30956108431</v>
      </c>
      <c r="Q422" s="174">
        <v>27961132112</v>
      </c>
      <c r="R422" s="174">
        <v>26292589034</v>
      </c>
      <c r="S422" s="174">
        <v>28607314180</v>
      </c>
      <c r="T422" s="174">
        <v>28224743699</v>
      </c>
      <c r="U422" s="174">
        <v>33901650348</v>
      </c>
      <c r="V422" s="174">
        <v>29771977707</v>
      </c>
      <c r="W422" s="174">
        <v>29798212322</v>
      </c>
      <c r="X422" s="174">
        <v>24709724392</v>
      </c>
      <c r="Y422" s="174">
        <v>24826124261</v>
      </c>
      <c r="Z422" s="174">
        <v>32266451785</v>
      </c>
      <c r="AA422" s="174">
        <v>29793040453</v>
      </c>
      <c r="AB422" s="174">
        <v>28063081563</v>
      </c>
      <c r="AC422" s="174">
        <v>29462903368</v>
      </c>
      <c r="AD422" s="174">
        <v>28589042294</v>
      </c>
      <c r="AE422" s="174">
        <v>23946938993</v>
      </c>
      <c r="AF422" s="174">
        <v>25706906939</v>
      </c>
      <c r="AG422" s="174">
        <v>28949793611</v>
      </c>
      <c r="AH422" s="174">
        <v>27176116170</v>
      </c>
      <c r="AI422" s="174">
        <v>27040152951</v>
      </c>
      <c r="AJ422" s="174">
        <v>25256295279</v>
      </c>
      <c r="AK422" s="174">
        <v>24344313423</v>
      </c>
      <c r="AL422" s="174">
        <v>22941197515</v>
      </c>
      <c r="AM422" s="174">
        <v>21514312939</v>
      </c>
      <c r="AN422" s="174">
        <v>24306269282</v>
      </c>
      <c r="AO422" s="174">
        <v>26765908853</v>
      </c>
      <c r="AP422" s="174">
        <v>27040240743</v>
      </c>
      <c r="AQ422" s="174">
        <v>862101931479</v>
      </c>
    </row>
    <row r="423" spans="1:43" x14ac:dyDescent="0.2">
      <c r="A423" s="134">
        <v>45352</v>
      </c>
      <c r="B423" s="135">
        <f>YEAR(source[[#This Row],[report_date]])</f>
        <v>2024</v>
      </c>
      <c r="C423" s="136">
        <v>3</v>
      </c>
      <c r="D423" s="136">
        <f t="shared" si="34"/>
        <v>9</v>
      </c>
      <c r="E423" s="136">
        <f t="shared" si="35"/>
        <v>1</v>
      </c>
      <c r="F423" s="128" t="s">
        <v>67</v>
      </c>
      <c r="G423" s="128" t="str">
        <f>VLOOKUP(source[[#This Row],[lending_product_transform]],[3]Mapping!$B$4:$C$37,2,0)</f>
        <v>[Cake] - Overdraft</v>
      </c>
      <c r="H423" s="128" t="str">
        <f>VLOOKUP(source[[#This Row],[lending_product_transform]],[3]Mapping!$B$3:$D$37,3,0)</f>
        <v>overdraft</v>
      </c>
      <c r="I423" s="135">
        <v>3416046217</v>
      </c>
      <c r="K423" s="137"/>
      <c r="L423" s="137"/>
      <c r="M423" s="137"/>
      <c r="N423" s="137"/>
      <c r="O423" s="137"/>
      <c r="P423" s="137"/>
      <c r="Q423" s="160">
        <f>AVERAGE(Q419:R419)/AVERAGE(L419:P419)</f>
        <v>0.76142990500793484</v>
      </c>
      <c r="R423" s="137"/>
      <c r="S423" s="137"/>
      <c r="T423" s="137"/>
      <c r="U423" s="137"/>
      <c r="V423" s="137"/>
      <c r="W423" s="137"/>
      <c r="X423" s="160">
        <f>AVERAGE(X419:Y419)/AVERAGE(S419:W419)</f>
        <v>0.71305930063317624</v>
      </c>
      <c r="Y423" s="137"/>
      <c r="Z423" s="137"/>
      <c r="AA423" s="137"/>
      <c r="AB423" s="137"/>
      <c r="AC423" s="137"/>
      <c r="AD423" s="137"/>
      <c r="AE423" s="160">
        <f>AVERAGE(AE419:AF419)/AVERAGE(Z419:AD419)</f>
        <v>0.94687464195924298</v>
      </c>
      <c r="AF423" s="137"/>
      <c r="AG423" s="137"/>
    </row>
    <row r="424" spans="1:43" x14ac:dyDescent="0.2">
      <c r="A424" s="134">
        <v>45352</v>
      </c>
      <c r="B424" s="135">
        <f>YEAR(source[[#This Row],[report_date]])</f>
        <v>2024</v>
      </c>
      <c r="C424" s="136">
        <v>3</v>
      </c>
      <c r="D424" s="136">
        <f t="shared" si="34"/>
        <v>9</v>
      </c>
      <c r="E424" s="136">
        <f t="shared" si="35"/>
        <v>1</v>
      </c>
      <c r="F424" s="128" t="s">
        <v>65</v>
      </c>
      <c r="G424" s="128" t="str">
        <f>VLOOKUP(source[[#This Row],[lending_product_transform]],[3]Mapping!$B$4:$C$37,2,0)</f>
        <v>[BE] - Cashloan</v>
      </c>
      <c r="H424" s="128" t="str">
        <f>VLOOKUP(source[[#This Row],[lending_product_transform]],[3]Mapping!$B$3:$D$37,3,0)</f>
        <v>cashloan</v>
      </c>
      <c r="I424" s="135">
        <v>78750000</v>
      </c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</row>
    <row r="425" spans="1:43" x14ac:dyDescent="0.2">
      <c r="A425" s="134">
        <v>45352</v>
      </c>
      <c r="B425" s="135">
        <f>YEAR(source[[#This Row],[report_date]])</f>
        <v>2024</v>
      </c>
      <c r="C425" s="136">
        <v>3</v>
      </c>
      <c r="D425" s="136">
        <f t="shared" si="34"/>
        <v>9</v>
      </c>
      <c r="E425" s="136">
        <f t="shared" si="35"/>
        <v>1</v>
      </c>
      <c r="F425" s="128" t="s">
        <v>56</v>
      </c>
      <c r="G425" s="128">
        <f>VLOOKUP(source[[#This Row],[lending_product_transform]],[3]Mapping!$B$4:$C$37,2,0)</f>
        <v>0</v>
      </c>
      <c r="H425" s="128">
        <f>VLOOKUP(source[[#This Row],[lending_product_transform]],[3]Mapping!$B$3:$D$37,3,0)</f>
        <v>0</v>
      </c>
      <c r="I425" s="135">
        <v>8228146217</v>
      </c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</row>
    <row r="426" spans="1:43" x14ac:dyDescent="0.2">
      <c r="A426" s="134">
        <v>45352</v>
      </c>
      <c r="B426" s="135">
        <f>YEAR(source[[#This Row],[report_date]])</f>
        <v>2024</v>
      </c>
      <c r="C426" s="136">
        <v>3</v>
      </c>
      <c r="D426" s="136">
        <f t="shared" si="34"/>
        <v>9</v>
      </c>
      <c r="E426" s="136">
        <f t="shared" si="35"/>
        <v>1</v>
      </c>
      <c r="F426" s="128" t="s">
        <v>61</v>
      </c>
      <c r="G426" s="128" t="str">
        <f>VLOOKUP(source[[#This Row],[lending_product_transform]],[3]Mapping!$B$4:$C$37,2,0)</f>
        <v>[VDS] - Payroll Payday</v>
      </c>
      <c r="H426" s="128" t="str">
        <f>VLOOKUP(source[[#This Row],[lending_product_transform]],[3]Mapping!$B$3:$D$37,3,0)</f>
        <v>payday</v>
      </c>
      <c r="I426" s="135">
        <v>24000000</v>
      </c>
    </row>
    <row r="427" spans="1:43" x14ac:dyDescent="0.2">
      <c r="A427" s="134">
        <v>45352</v>
      </c>
      <c r="B427" s="135">
        <f>YEAR(source[[#This Row],[report_date]])</f>
        <v>2024</v>
      </c>
      <c r="C427" s="136">
        <v>3</v>
      </c>
      <c r="D427" s="136">
        <f t="shared" si="34"/>
        <v>9</v>
      </c>
      <c r="E427" s="136">
        <f t="shared" si="35"/>
        <v>1</v>
      </c>
      <c r="F427" s="128" t="s">
        <v>58</v>
      </c>
      <c r="G427" s="128" t="str">
        <f>VLOOKUP(source[[#This Row],[lending_product_transform]],[3]Mapping!$B$4:$C$37,2,0)</f>
        <v>[VDS] - Payroll Cashloan</v>
      </c>
      <c r="H427" s="128" t="str">
        <f>VLOOKUP(source[[#This Row],[lending_product_transform]],[3]Mapping!$B$3:$D$37,3,0)</f>
        <v>cashloan</v>
      </c>
      <c r="I427" s="135">
        <v>117600000</v>
      </c>
    </row>
    <row r="428" spans="1:43" x14ac:dyDescent="0.2">
      <c r="A428" s="134">
        <v>45352</v>
      </c>
      <c r="B428" s="135">
        <f>YEAR(source[[#This Row],[report_date]])</f>
        <v>2024</v>
      </c>
      <c r="C428" s="136">
        <v>3</v>
      </c>
      <c r="D428" s="136">
        <f t="shared" si="34"/>
        <v>9</v>
      </c>
      <c r="E428" s="136">
        <f t="shared" si="35"/>
        <v>1</v>
      </c>
      <c r="F428" s="128" t="s">
        <v>11</v>
      </c>
      <c r="G428" s="128" t="str">
        <f>VLOOKUP(source[[#This Row],[lending_product_transform]],[3]Mapping!$B$4:$C$37,2,0)</f>
        <v>[VDS] - Cashloan</v>
      </c>
      <c r="H428" s="128" t="str">
        <f>VLOOKUP(source[[#This Row],[lending_product_transform]],[3]Mapping!$B$3:$D$37,3,0)</f>
        <v>cashloan</v>
      </c>
      <c r="I428" s="135">
        <v>2332750000</v>
      </c>
      <c r="K428" s="181" t="s">
        <v>194</v>
      </c>
      <c r="L428" s="182">
        <v>2025</v>
      </c>
    </row>
    <row r="429" spans="1:43" x14ac:dyDescent="0.2">
      <c r="A429" s="134">
        <v>45352</v>
      </c>
      <c r="B429" s="135">
        <f>YEAR(source[[#This Row],[report_date]])</f>
        <v>2024</v>
      </c>
      <c r="C429" s="136">
        <v>3</v>
      </c>
      <c r="D429" s="136">
        <f t="shared" si="34"/>
        <v>9</v>
      </c>
      <c r="E429" s="136">
        <f t="shared" si="35"/>
        <v>1</v>
      </c>
      <c r="F429" s="128" t="s">
        <v>19</v>
      </c>
      <c r="G429" s="128" t="str">
        <f>VLOOKUP(source[[#This Row],[lending_product_transform]],[3]Mapping!$B$4:$C$37,2,0)</f>
        <v>[VDS] - Payday</v>
      </c>
      <c r="H429" s="128" t="str">
        <f>VLOOKUP(source[[#This Row],[lending_product_transform]],[3]Mapping!$B$3:$D$37,3,0)</f>
        <v>payday</v>
      </c>
      <c r="I429" s="135">
        <v>2259000000</v>
      </c>
      <c r="K429" s="177" t="s">
        <v>195</v>
      </c>
      <c r="L429" s="176">
        <v>12</v>
      </c>
    </row>
    <row r="430" spans="1:43" x14ac:dyDescent="0.2">
      <c r="A430" s="134">
        <v>45353</v>
      </c>
      <c r="B430" s="135">
        <f>YEAR(source[[#This Row],[report_date]])</f>
        <v>2024</v>
      </c>
      <c r="C430" s="136">
        <v>3</v>
      </c>
      <c r="D430" s="136">
        <f t="shared" si="34"/>
        <v>9</v>
      </c>
      <c r="E430" s="136">
        <f t="shared" si="35"/>
        <v>2</v>
      </c>
      <c r="F430" s="128" t="s">
        <v>65</v>
      </c>
      <c r="G430" s="128" t="str">
        <f>VLOOKUP(source[[#This Row],[lending_product_transform]],[3]Mapping!$B$4:$C$37,2,0)</f>
        <v>[BE] - Cashloan</v>
      </c>
      <c r="H430" s="128" t="str">
        <f>VLOOKUP(source[[#This Row],[lending_product_transform]],[3]Mapping!$B$3:$D$37,3,0)</f>
        <v>cashloan</v>
      </c>
      <c r="I430" s="135">
        <v>150150000</v>
      </c>
      <c r="K430" s="175" t="s">
        <v>199</v>
      </c>
      <c r="L430" s="61" t="s">
        <v>220</v>
      </c>
      <c r="M430" s="137"/>
      <c r="N430" s="137"/>
    </row>
    <row r="431" spans="1:43" x14ac:dyDescent="0.2">
      <c r="A431" s="134">
        <v>45353</v>
      </c>
      <c r="B431" s="135">
        <f>YEAR(source[[#This Row],[report_date]])</f>
        <v>2024</v>
      </c>
      <c r="C431" s="136">
        <v>3</v>
      </c>
      <c r="D431" s="136">
        <f t="shared" si="34"/>
        <v>9</v>
      </c>
      <c r="E431" s="136">
        <f t="shared" si="35"/>
        <v>2</v>
      </c>
      <c r="F431" s="128" t="s">
        <v>11</v>
      </c>
      <c r="G431" s="128" t="str">
        <f>VLOOKUP(source[[#This Row],[lending_product_transform]],[3]Mapping!$B$4:$C$37,2,0)</f>
        <v>[VDS] - Cashloan</v>
      </c>
      <c r="H431" s="128" t="str">
        <f>VLOOKUP(source[[#This Row],[lending_product_transform]],[3]Mapping!$B$3:$D$37,3,0)</f>
        <v>cashloan</v>
      </c>
      <c r="I431" s="135">
        <v>1609000000</v>
      </c>
      <c r="K431" s="137"/>
      <c r="L431" s="137"/>
      <c r="M431" s="137"/>
      <c r="N431" s="137"/>
      <c r="Q431" s="169"/>
      <c r="R431" s="169"/>
    </row>
    <row r="432" spans="1:43" x14ac:dyDescent="0.2">
      <c r="A432" s="134">
        <v>45353</v>
      </c>
      <c r="B432" s="135">
        <f>YEAR(source[[#This Row],[report_date]])</f>
        <v>2024</v>
      </c>
      <c r="C432" s="136">
        <v>3</v>
      </c>
      <c r="D432" s="136">
        <f t="shared" si="34"/>
        <v>9</v>
      </c>
      <c r="E432" s="136">
        <f t="shared" si="35"/>
        <v>2</v>
      </c>
      <c r="F432" s="128" t="s">
        <v>58</v>
      </c>
      <c r="G432" s="128" t="str">
        <f>VLOOKUP(source[[#This Row],[lending_product_transform]],[3]Mapping!$B$4:$C$37,2,0)</f>
        <v>[VDS] - Payroll Cashloan</v>
      </c>
      <c r="H432" s="128" t="str">
        <f>VLOOKUP(source[[#This Row],[lending_product_transform]],[3]Mapping!$B$3:$D$37,3,0)</f>
        <v>cashloan</v>
      </c>
      <c r="I432" s="135">
        <v>62000000</v>
      </c>
      <c r="K432" s="177" t="s">
        <v>69</v>
      </c>
      <c r="L432" s="175" t="s">
        <v>202</v>
      </c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  <c r="AC432" s="177"/>
      <c r="AD432" s="177"/>
      <c r="AE432" s="177"/>
      <c r="AF432" s="177"/>
      <c r="AG432" s="177"/>
      <c r="AH432" s="177"/>
      <c r="AI432" s="177"/>
      <c r="AJ432" s="177"/>
      <c r="AK432" s="177"/>
      <c r="AL432" s="177"/>
      <c r="AM432" s="177"/>
      <c r="AN432" s="177"/>
      <c r="AO432" s="177"/>
      <c r="AP432" s="177"/>
      <c r="AQ432" s="177"/>
    </row>
    <row r="433" spans="1:43" x14ac:dyDescent="0.2">
      <c r="A433" s="134">
        <v>45353</v>
      </c>
      <c r="B433" s="135">
        <f>YEAR(source[[#This Row],[report_date]])</f>
        <v>2024</v>
      </c>
      <c r="C433" s="136">
        <v>3</v>
      </c>
      <c r="D433" s="136">
        <f t="shared" si="34"/>
        <v>9</v>
      </c>
      <c r="E433" s="136">
        <f t="shared" si="35"/>
        <v>2</v>
      </c>
      <c r="F433" s="128" t="s">
        <v>61</v>
      </c>
      <c r="G433" s="128" t="str">
        <f>VLOOKUP(source[[#This Row],[lending_product_transform]],[3]Mapping!$B$4:$C$37,2,0)</f>
        <v>[VDS] - Payroll Payday</v>
      </c>
      <c r="H433" s="128" t="str">
        <f>VLOOKUP(source[[#This Row],[lending_product_transform]],[3]Mapping!$B$3:$D$37,3,0)</f>
        <v>payday</v>
      </c>
      <c r="I433" s="135">
        <v>19000000</v>
      </c>
      <c r="K433" s="177" t="s">
        <v>205</v>
      </c>
      <c r="L433" s="178">
        <v>1</v>
      </c>
      <c r="M433" s="178">
        <v>2</v>
      </c>
      <c r="N433" s="178">
        <v>3</v>
      </c>
      <c r="O433" s="178">
        <v>4</v>
      </c>
      <c r="P433" s="178">
        <v>5</v>
      </c>
      <c r="Q433" s="183">
        <v>6</v>
      </c>
      <c r="R433" s="183">
        <v>7</v>
      </c>
      <c r="S433" s="178">
        <v>8</v>
      </c>
      <c r="T433" s="178">
        <v>9</v>
      </c>
      <c r="U433" s="178">
        <v>10</v>
      </c>
      <c r="V433" s="178">
        <v>11</v>
      </c>
      <c r="W433" s="178">
        <v>12</v>
      </c>
      <c r="X433" s="183">
        <v>13</v>
      </c>
      <c r="Y433" s="183">
        <v>14</v>
      </c>
      <c r="Z433" s="178">
        <v>15</v>
      </c>
      <c r="AA433" s="178">
        <v>16</v>
      </c>
      <c r="AB433" s="178">
        <v>17</v>
      </c>
      <c r="AC433" s="178">
        <v>18</v>
      </c>
      <c r="AD433" s="178">
        <v>19</v>
      </c>
      <c r="AE433" s="183">
        <v>20</v>
      </c>
      <c r="AF433" s="183">
        <v>21</v>
      </c>
      <c r="AG433" s="178">
        <v>22</v>
      </c>
      <c r="AH433" s="178">
        <v>23</v>
      </c>
      <c r="AI433" s="178">
        <v>24</v>
      </c>
      <c r="AJ433" s="178">
        <v>25</v>
      </c>
      <c r="AK433" s="178">
        <v>26</v>
      </c>
      <c r="AL433" s="178">
        <v>27</v>
      </c>
      <c r="AM433" s="178">
        <v>28</v>
      </c>
      <c r="AN433" s="178">
        <v>29</v>
      </c>
      <c r="AO433" s="178">
        <v>30</v>
      </c>
      <c r="AP433" s="178">
        <v>31</v>
      </c>
      <c r="AQ433" s="174" t="s">
        <v>68</v>
      </c>
    </row>
    <row r="434" spans="1:43" x14ac:dyDescent="0.2">
      <c r="A434" s="134">
        <v>45353</v>
      </c>
      <c r="B434" s="135">
        <f>YEAR(source[[#This Row],[report_date]])</f>
        <v>2024</v>
      </c>
      <c r="C434" s="136">
        <v>3</v>
      </c>
      <c r="D434" s="136">
        <f t="shared" si="34"/>
        <v>9</v>
      </c>
      <c r="E434" s="136">
        <f t="shared" si="35"/>
        <v>2</v>
      </c>
      <c r="F434" s="128" t="s">
        <v>56</v>
      </c>
      <c r="G434" s="128">
        <f>VLOOKUP(source[[#This Row],[lending_product_transform]],[3]Mapping!$B$4:$C$37,2,0)</f>
        <v>0</v>
      </c>
      <c r="H434" s="128">
        <f>VLOOKUP(source[[#This Row],[lending_product_transform]],[3]Mapping!$B$3:$D$37,3,0)</f>
        <v>0</v>
      </c>
      <c r="I434" s="135">
        <v>6350797884</v>
      </c>
      <c r="K434" s="179" t="s">
        <v>31</v>
      </c>
      <c r="L434" s="178">
        <v>5301190000</v>
      </c>
      <c r="M434" s="178">
        <v>4295010000</v>
      </c>
      <c r="N434" s="178">
        <v>4625350000</v>
      </c>
      <c r="O434" s="178">
        <v>4186970000</v>
      </c>
      <c r="P434" s="178">
        <v>5354840000</v>
      </c>
      <c r="Q434" s="178">
        <v>3826450000</v>
      </c>
      <c r="R434" s="178">
        <v>3094670000</v>
      </c>
      <c r="S434" s="178">
        <v>4390740000</v>
      </c>
      <c r="T434" s="178">
        <v>4013940000</v>
      </c>
      <c r="U434" s="178">
        <v>5018730000</v>
      </c>
      <c r="V434" s="178">
        <v>3226170000</v>
      </c>
      <c r="W434" s="178">
        <v>3374000000</v>
      </c>
      <c r="X434" s="178">
        <v>2571910000</v>
      </c>
      <c r="Y434" s="178">
        <v>2589060000</v>
      </c>
      <c r="Z434" s="178">
        <v>3743710000</v>
      </c>
      <c r="AA434" s="178">
        <v>3912910000</v>
      </c>
      <c r="AB434" s="178">
        <v>3763130000</v>
      </c>
      <c r="AC434" s="178">
        <v>3581780000</v>
      </c>
      <c r="AD434" s="178">
        <v>4158890000</v>
      </c>
      <c r="AE434" s="178">
        <v>3564550000</v>
      </c>
      <c r="AF434" s="178">
        <v>3218160000</v>
      </c>
      <c r="AG434" s="178">
        <v>3711280000</v>
      </c>
      <c r="AH434" s="178">
        <v>3785410000</v>
      </c>
      <c r="AI434" s="178">
        <v>3995560000</v>
      </c>
      <c r="AJ434" s="178">
        <v>3546710000</v>
      </c>
      <c r="AK434" s="178">
        <v>3715400000</v>
      </c>
      <c r="AL434" s="178">
        <v>3210750000</v>
      </c>
      <c r="AM434" s="178">
        <v>2986900000</v>
      </c>
      <c r="AN434" s="178">
        <v>4035890000</v>
      </c>
      <c r="AO434" s="178">
        <v>3250640000</v>
      </c>
      <c r="AP434" s="178">
        <v>3530190000</v>
      </c>
      <c r="AQ434" s="178">
        <v>117580890000</v>
      </c>
    </row>
    <row r="435" spans="1:43" x14ac:dyDescent="0.2">
      <c r="A435" s="134">
        <v>45353</v>
      </c>
      <c r="B435" s="135">
        <f>YEAR(source[[#This Row],[report_date]])</f>
        <v>2024</v>
      </c>
      <c r="C435" s="136">
        <v>3</v>
      </c>
      <c r="D435" s="136">
        <f t="shared" si="34"/>
        <v>9</v>
      </c>
      <c r="E435" s="136">
        <f t="shared" si="35"/>
        <v>2</v>
      </c>
      <c r="F435" s="128" t="s">
        <v>19</v>
      </c>
      <c r="G435" s="128" t="str">
        <f>VLOOKUP(source[[#This Row],[lending_product_transform]],[3]Mapping!$B$4:$C$37,2,0)</f>
        <v>[VDS] - Payday</v>
      </c>
      <c r="H435" s="128" t="str">
        <f>VLOOKUP(source[[#This Row],[lending_product_transform]],[3]Mapping!$B$3:$D$37,3,0)</f>
        <v>payday</v>
      </c>
      <c r="I435" s="135">
        <v>1889000000</v>
      </c>
      <c r="K435" s="179" t="s">
        <v>234</v>
      </c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>
        <v>6480000</v>
      </c>
      <c r="W435" s="178">
        <v>0</v>
      </c>
      <c r="X435" s="178">
        <v>0</v>
      </c>
      <c r="Y435" s="178">
        <v>0</v>
      </c>
      <c r="Z435" s="178">
        <v>0</v>
      </c>
      <c r="AA435" s="178">
        <v>0</v>
      </c>
      <c r="AB435" s="178">
        <v>0</v>
      </c>
      <c r="AC435" s="178">
        <v>0</v>
      </c>
      <c r="AD435" s="178">
        <v>0</v>
      </c>
      <c r="AE435" s="178">
        <v>0</v>
      </c>
      <c r="AF435" s="178">
        <v>0</v>
      </c>
      <c r="AG435" s="178">
        <v>4320000</v>
      </c>
      <c r="AH435" s="178">
        <v>0</v>
      </c>
      <c r="AI435" s="178">
        <v>0</v>
      </c>
      <c r="AJ435" s="178">
        <v>0</v>
      </c>
      <c r="AK435" s="178">
        <v>0</v>
      </c>
      <c r="AL435" s="178">
        <v>0</v>
      </c>
      <c r="AM435" s="178">
        <v>0</v>
      </c>
      <c r="AN435" s="178">
        <v>0</v>
      </c>
      <c r="AO435" s="178">
        <v>0</v>
      </c>
      <c r="AP435" s="178">
        <v>0</v>
      </c>
      <c r="AQ435" s="178">
        <v>10800000</v>
      </c>
    </row>
    <row r="436" spans="1:43" x14ac:dyDescent="0.2">
      <c r="A436" s="134">
        <v>45353</v>
      </c>
      <c r="B436" s="135">
        <f>YEAR(source[[#This Row],[report_date]])</f>
        <v>2024</v>
      </c>
      <c r="C436" s="136">
        <v>3</v>
      </c>
      <c r="D436" s="136">
        <f t="shared" si="34"/>
        <v>9</v>
      </c>
      <c r="E436" s="136">
        <f t="shared" si="35"/>
        <v>2</v>
      </c>
      <c r="F436" s="128" t="s">
        <v>67</v>
      </c>
      <c r="G436" s="128" t="str">
        <f>VLOOKUP(source[[#This Row],[lending_product_transform]],[3]Mapping!$B$4:$C$37,2,0)</f>
        <v>[Cake] - Overdraft</v>
      </c>
      <c r="H436" s="128" t="str">
        <f>VLOOKUP(source[[#This Row],[lending_product_transform]],[3]Mapping!$B$3:$D$37,3,0)</f>
        <v>overdraft</v>
      </c>
      <c r="I436" s="135">
        <v>2621647884</v>
      </c>
      <c r="K436" s="180" t="s">
        <v>68</v>
      </c>
      <c r="L436" s="174">
        <v>5301190000</v>
      </c>
      <c r="M436" s="174">
        <v>4295010000</v>
      </c>
      <c r="N436" s="174">
        <v>4625350000</v>
      </c>
      <c r="O436" s="174">
        <v>4186970000</v>
      </c>
      <c r="P436" s="174">
        <v>5354840000</v>
      </c>
      <c r="Q436" s="174">
        <v>3826450000</v>
      </c>
      <c r="R436" s="174">
        <v>3094670000</v>
      </c>
      <c r="S436" s="174">
        <v>4390740000</v>
      </c>
      <c r="T436" s="174">
        <v>4013940000</v>
      </c>
      <c r="U436" s="174">
        <v>5018730000</v>
      </c>
      <c r="V436" s="174">
        <v>3232650000</v>
      </c>
      <c r="W436" s="174">
        <v>3374000000</v>
      </c>
      <c r="X436" s="174">
        <v>2571910000</v>
      </c>
      <c r="Y436" s="174">
        <v>2589060000</v>
      </c>
      <c r="Z436" s="174">
        <v>3743710000</v>
      </c>
      <c r="AA436" s="174">
        <v>3912910000</v>
      </c>
      <c r="AB436" s="174">
        <v>3763130000</v>
      </c>
      <c r="AC436" s="174">
        <v>3581780000</v>
      </c>
      <c r="AD436" s="174">
        <v>4158890000</v>
      </c>
      <c r="AE436" s="174">
        <v>3564550000</v>
      </c>
      <c r="AF436" s="174">
        <v>3218160000</v>
      </c>
      <c r="AG436" s="174">
        <v>3715600000</v>
      </c>
      <c r="AH436" s="174">
        <v>3785410000</v>
      </c>
      <c r="AI436" s="174">
        <v>3995560000</v>
      </c>
      <c r="AJ436" s="174">
        <v>3546710000</v>
      </c>
      <c r="AK436" s="174">
        <v>3715400000</v>
      </c>
      <c r="AL436" s="174">
        <v>3210750000</v>
      </c>
      <c r="AM436" s="174">
        <v>2986900000</v>
      </c>
      <c r="AN436" s="174">
        <v>4035890000</v>
      </c>
      <c r="AO436" s="174">
        <v>3250640000</v>
      </c>
      <c r="AP436" s="174">
        <v>3530190000</v>
      </c>
      <c r="AQ436" s="174">
        <v>117591690000</v>
      </c>
    </row>
    <row r="437" spans="1:43" x14ac:dyDescent="0.2">
      <c r="A437" s="134">
        <v>45354</v>
      </c>
      <c r="B437" s="135">
        <f>YEAR(source[[#This Row],[report_date]])</f>
        <v>2024</v>
      </c>
      <c r="C437" s="136">
        <v>3</v>
      </c>
      <c r="D437" s="136">
        <f t="shared" si="34"/>
        <v>9</v>
      </c>
      <c r="E437" s="136">
        <f t="shared" si="35"/>
        <v>3</v>
      </c>
      <c r="F437" s="128" t="s">
        <v>67</v>
      </c>
      <c r="G437" s="128" t="str">
        <f>VLOOKUP(source[[#This Row],[lending_product_transform]],[3]Mapping!$B$4:$C$37,2,0)</f>
        <v>[Cake] - Overdraft</v>
      </c>
      <c r="H437" s="128" t="str">
        <f>VLOOKUP(source[[#This Row],[lending_product_transform]],[3]Mapping!$B$3:$D$37,3,0)</f>
        <v>overdraft</v>
      </c>
      <c r="I437" s="135">
        <v>2078927796</v>
      </c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</row>
    <row r="438" spans="1:43" x14ac:dyDescent="0.2">
      <c r="A438" s="134">
        <v>45354</v>
      </c>
      <c r="B438" s="135">
        <f>YEAR(source[[#This Row],[report_date]])</f>
        <v>2024</v>
      </c>
      <c r="C438" s="136">
        <v>3</v>
      </c>
      <c r="D438" s="136">
        <f t="shared" si="34"/>
        <v>9</v>
      </c>
      <c r="E438" s="136">
        <f t="shared" si="35"/>
        <v>3</v>
      </c>
      <c r="F438" s="128" t="s">
        <v>58</v>
      </c>
      <c r="G438" s="128" t="str">
        <f>VLOOKUP(source[[#This Row],[lending_product_transform]],[3]Mapping!$B$4:$C$37,2,0)</f>
        <v>[VDS] - Payroll Cashloan</v>
      </c>
      <c r="H438" s="128" t="str">
        <f>VLOOKUP(source[[#This Row],[lending_product_transform]],[3]Mapping!$B$3:$D$37,3,0)</f>
        <v>cashloan</v>
      </c>
      <c r="I438" s="135">
        <v>0</v>
      </c>
      <c r="K438" s="137"/>
      <c r="L438" s="137"/>
      <c r="M438" s="137"/>
      <c r="N438" s="137"/>
      <c r="O438" s="137"/>
      <c r="P438" s="137"/>
      <c r="Q438" s="160">
        <f>AVERAGE(Q436:R436)/AVERAGE(L436:P436)</f>
        <v>0.7281293554446846</v>
      </c>
      <c r="R438" s="137"/>
      <c r="S438" s="137"/>
      <c r="T438" s="137"/>
      <c r="U438" s="137"/>
      <c r="V438" s="137"/>
      <c r="W438" s="137"/>
      <c r="X438" s="160">
        <f>AVERAGE(X436:Y436)/AVERAGE(S436:W436)</f>
        <v>0.64415308790887293</v>
      </c>
      <c r="Y438" s="137"/>
      <c r="Z438" s="137"/>
      <c r="AA438" s="137"/>
      <c r="AB438" s="137"/>
      <c r="AC438" s="137"/>
      <c r="AD438" s="137"/>
      <c r="AE438" s="160">
        <f>AVERAGE(AE436:AF436)/AVERAGE(Z436:AD436)</f>
        <v>0.88498973404549586</v>
      </c>
      <c r="AF438" s="137"/>
      <c r="AG438" s="137"/>
    </row>
    <row r="439" spans="1:43" x14ac:dyDescent="0.2">
      <c r="A439" s="134">
        <v>45354</v>
      </c>
      <c r="B439" s="135">
        <f>YEAR(source[[#This Row],[report_date]])</f>
        <v>2024</v>
      </c>
      <c r="C439" s="136">
        <v>3</v>
      </c>
      <c r="D439" s="136">
        <f t="shared" si="34"/>
        <v>9</v>
      </c>
      <c r="E439" s="136">
        <f t="shared" si="35"/>
        <v>3</v>
      </c>
      <c r="F439" s="128" t="s">
        <v>65</v>
      </c>
      <c r="G439" s="128" t="str">
        <f>VLOOKUP(source[[#This Row],[lending_product_transform]],[3]Mapping!$B$4:$C$37,2,0)</f>
        <v>[BE] - Cashloan</v>
      </c>
      <c r="H439" s="128" t="str">
        <f>VLOOKUP(source[[#This Row],[lending_product_transform]],[3]Mapping!$B$3:$D$37,3,0)</f>
        <v>cashloan</v>
      </c>
      <c r="I439" s="135">
        <v>78750000</v>
      </c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</row>
    <row r="440" spans="1:43" x14ac:dyDescent="0.2">
      <c r="A440" s="134">
        <v>45354</v>
      </c>
      <c r="B440" s="135">
        <f>YEAR(source[[#This Row],[report_date]])</f>
        <v>2024</v>
      </c>
      <c r="C440" s="136">
        <v>3</v>
      </c>
      <c r="D440" s="136">
        <f t="shared" si="34"/>
        <v>9</v>
      </c>
      <c r="E440" s="136">
        <f t="shared" si="35"/>
        <v>3</v>
      </c>
      <c r="F440" s="128" t="s">
        <v>11</v>
      </c>
      <c r="G440" s="128" t="str">
        <f>VLOOKUP(source[[#This Row],[lending_product_transform]],[3]Mapping!$B$4:$C$37,2,0)</f>
        <v>[VDS] - Cashloan</v>
      </c>
      <c r="H440" s="128" t="str">
        <f>VLOOKUP(source[[#This Row],[lending_product_transform]],[3]Mapping!$B$3:$D$37,3,0)</f>
        <v>cashloan</v>
      </c>
      <c r="I440" s="135">
        <v>1425400000</v>
      </c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</row>
    <row r="441" spans="1:43" x14ac:dyDescent="0.2">
      <c r="A441" s="134">
        <v>45354</v>
      </c>
      <c r="B441" s="135">
        <f>YEAR(source[[#This Row],[report_date]])</f>
        <v>2024</v>
      </c>
      <c r="C441" s="136">
        <v>3</v>
      </c>
      <c r="D441" s="136">
        <f t="shared" si="34"/>
        <v>9</v>
      </c>
      <c r="E441" s="136">
        <f t="shared" si="35"/>
        <v>3</v>
      </c>
      <c r="F441" s="128" t="s">
        <v>61</v>
      </c>
      <c r="G441" s="128" t="str">
        <f>VLOOKUP(source[[#This Row],[lending_product_transform]],[3]Mapping!$B$4:$C$37,2,0)</f>
        <v>[VDS] - Payroll Payday</v>
      </c>
      <c r="H441" s="128" t="str">
        <f>VLOOKUP(source[[#This Row],[lending_product_transform]],[3]Mapping!$B$3:$D$37,3,0)</f>
        <v>payday</v>
      </c>
      <c r="I441" s="135">
        <v>47000000</v>
      </c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</row>
    <row r="442" spans="1:43" x14ac:dyDescent="0.2">
      <c r="A442" s="134">
        <v>45354</v>
      </c>
      <c r="B442" s="135">
        <f>YEAR(source[[#This Row],[report_date]])</f>
        <v>2024</v>
      </c>
      <c r="C442" s="136">
        <v>3</v>
      </c>
      <c r="D442" s="136">
        <f t="shared" si="34"/>
        <v>9</v>
      </c>
      <c r="E442" s="136">
        <f t="shared" si="35"/>
        <v>3</v>
      </c>
      <c r="F442" s="128" t="s">
        <v>56</v>
      </c>
      <c r="G442" s="128">
        <f>VLOOKUP(source[[#This Row],[lending_product_transform]],[3]Mapping!$B$4:$C$37,2,0)</f>
        <v>0</v>
      </c>
      <c r="H442" s="128">
        <f>VLOOKUP(source[[#This Row],[lending_product_transform]],[3]Mapping!$B$3:$D$37,3,0)</f>
        <v>0</v>
      </c>
      <c r="I442" s="135">
        <v>5330577796</v>
      </c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</row>
    <row r="443" spans="1:43" x14ac:dyDescent="0.2">
      <c r="A443" s="134">
        <v>45354</v>
      </c>
      <c r="B443" s="135">
        <f>YEAR(source[[#This Row],[report_date]])</f>
        <v>2024</v>
      </c>
      <c r="C443" s="136">
        <v>3</v>
      </c>
      <c r="D443" s="136">
        <f t="shared" si="34"/>
        <v>9</v>
      </c>
      <c r="E443" s="136">
        <f t="shared" si="35"/>
        <v>3</v>
      </c>
      <c r="F443" s="128" t="s">
        <v>19</v>
      </c>
      <c r="G443" s="128" t="str">
        <f>VLOOKUP(source[[#This Row],[lending_product_transform]],[3]Mapping!$B$4:$C$37,2,0)</f>
        <v>[VDS] - Payday</v>
      </c>
      <c r="H443" s="128" t="str">
        <f>VLOOKUP(source[[#This Row],[lending_product_transform]],[3]Mapping!$B$3:$D$37,3,0)</f>
        <v>payday</v>
      </c>
      <c r="I443" s="135">
        <v>1700500000</v>
      </c>
      <c r="K443" s="181" t="s">
        <v>194</v>
      </c>
      <c r="L443" s="182">
        <v>2025</v>
      </c>
    </row>
    <row r="444" spans="1:43" x14ac:dyDescent="0.2">
      <c r="A444" s="134">
        <v>45355</v>
      </c>
      <c r="B444" s="135">
        <f>YEAR(source[[#This Row],[report_date]])</f>
        <v>2024</v>
      </c>
      <c r="C444" s="136">
        <v>3</v>
      </c>
      <c r="D444" s="136">
        <f t="shared" si="34"/>
        <v>10</v>
      </c>
      <c r="E444" s="136">
        <f t="shared" si="35"/>
        <v>4</v>
      </c>
      <c r="F444" s="128" t="s">
        <v>65</v>
      </c>
      <c r="G444" s="128" t="str">
        <f>VLOOKUP(source[[#This Row],[lending_product_transform]],[3]Mapping!$B$4:$C$37,2,0)</f>
        <v>[BE] - Cashloan</v>
      </c>
      <c r="H444" s="128" t="str">
        <f>VLOOKUP(source[[#This Row],[lending_product_transform]],[3]Mapping!$B$3:$D$37,3,0)</f>
        <v>cashloan</v>
      </c>
      <c r="I444" s="135">
        <v>134400000</v>
      </c>
      <c r="K444" s="177" t="s">
        <v>195</v>
      </c>
      <c r="L444" s="176">
        <v>12</v>
      </c>
    </row>
    <row r="445" spans="1:43" x14ac:dyDescent="0.2">
      <c r="A445" s="134">
        <v>45355</v>
      </c>
      <c r="B445" s="135">
        <f>YEAR(source[[#This Row],[report_date]])</f>
        <v>2024</v>
      </c>
      <c r="C445" s="136">
        <v>3</v>
      </c>
      <c r="D445" s="136">
        <f t="shared" si="34"/>
        <v>10</v>
      </c>
      <c r="E445" s="136">
        <f t="shared" si="35"/>
        <v>4</v>
      </c>
      <c r="F445" s="128" t="s">
        <v>56</v>
      </c>
      <c r="G445" s="128">
        <f>VLOOKUP(source[[#This Row],[lending_product_transform]],[3]Mapping!$B$4:$C$37,2,0)</f>
        <v>0</v>
      </c>
      <c r="H445" s="128">
        <f>VLOOKUP(source[[#This Row],[lending_product_transform]],[3]Mapping!$B$3:$D$37,3,0)</f>
        <v>0</v>
      </c>
      <c r="I445" s="135">
        <v>6550966933</v>
      </c>
      <c r="K445" s="175" t="s">
        <v>199</v>
      </c>
      <c r="L445" s="61" t="s">
        <v>220</v>
      </c>
      <c r="M445" s="137"/>
      <c r="N445" s="137"/>
    </row>
    <row r="446" spans="1:43" x14ac:dyDescent="0.2">
      <c r="A446" s="134">
        <v>45355</v>
      </c>
      <c r="B446" s="135">
        <f>YEAR(source[[#This Row],[report_date]])</f>
        <v>2024</v>
      </c>
      <c r="C446" s="136">
        <v>3</v>
      </c>
      <c r="D446" s="136">
        <f t="shared" si="34"/>
        <v>10</v>
      </c>
      <c r="E446" s="136">
        <f t="shared" si="35"/>
        <v>4</v>
      </c>
      <c r="F446" s="128" t="s">
        <v>67</v>
      </c>
      <c r="G446" s="128" t="str">
        <f>VLOOKUP(source[[#This Row],[lending_product_transform]],[3]Mapping!$B$4:$C$37,2,0)</f>
        <v>[Cake] - Overdraft</v>
      </c>
      <c r="H446" s="128" t="str">
        <f>VLOOKUP(source[[#This Row],[lending_product_transform]],[3]Mapping!$B$3:$D$37,3,0)</f>
        <v>overdraft</v>
      </c>
      <c r="I446" s="135">
        <v>2589056933</v>
      </c>
      <c r="K446" s="137"/>
      <c r="L446" s="137"/>
      <c r="M446" s="137"/>
      <c r="N446" s="137"/>
      <c r="Q446" s="169"/>
      <c r="R446" s="169"/>
    </row>
    <row r="447" spans="1:43" x14ac:dyDescent="0.2">
      <c r="A447" s="134">
        <v>45355</v>
      </c>
      <c r="B447" s="135">
        <f>YEAR(source[[#This Row],[report_date]])</f>
        <v>2024</v>
      </c>
      <c r="C447" s="136">
        <v>3</v>
      </c>
      <c r="D447" s="136">
        <f t="shared" si="34"/>
        <v>10</v>
      </c>
      <c r="E447" s="136">
        <f t="shared" si="35"/>
        <v>4</v>
      </c>
      <c r="F447" s="128" t="s">
        <v>11</v>
      </c>
      <c r="G447" s="128" t="str">
        <f>VLOOKUP(source[[#This Row],[lending_product_transform]],[3]Mapping!$B$4:$C$37,2,0)</f>
        <v>[VDS] - Cashloan</v>
      </c>
      <c r="H447" s="128" t="str">
        <f>VLOOKUP(source[[#This Row],[lending_product_transform]],[3]Mapping!$B$3:$D$37,3,0)</f>
        <v>cashloan</v>
      </c>
      <c r="I447" s="135">
        <v>1594010000</v>
      </c>
      <c r="K447" s="177" t="s">
        <v>69</v>
      </c>
      <c r="L447" s="175" t="s">
        <v>202</v>
      </c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  <c r="AE447" s="177"/>
      <c r="AF447" s="177"/>
      <c r="AG447" s="177"/>
      <c r="AH447" s="177"/>
      <c r="AI447" s="177"/>
      <c r="AJ447" s="177"/>
      <c r="AK447" s="177"/>
      <c r="AL447" s="177"/>
      <c r="AM447" s="177"/>
      <c r="AN447" s="177"/>
      <c r="AO447" s="177"/>
      <c r="AP447" s="177"/>
      <c r="AQ447" s="177"/>
    </row>
    <row r="448" spans="1:43" x14ac:dyDescent="0.2">
      <c r="A448" s="134">
        <v>45355</v>
      </c>
      <c r="B448" s="135">
        <f>YEAR(source[[#This Row],[report_date]])</f>
        <v>2024</v>
      </c>
      <c r="C448" s="136">
        <v>3</v>
      </c>
      <c r="D448" s="136">
        <f t="shared" si="34"/>
        <v>10</v>
      </c>
      <c r="E448" s="136">
        <f t="shared" si="35"/>
        <v>4</v>
      </c>
      <c r="F448" s="128" t="s">
        <v>58</v>
      </c>
      <c r="G448" s="128" t="str">
        <f>VLOOKUP(source[[#This Row],[lending_product_transform]],[3]Mapping!$B$4:$C$37,2,0)</f>
        <v>[VDS] - Payroll Cashloan</v>
      </c>
      <c r="H448" s="128" t="str">
        <f>VLOOKUP(source[[#This Row],[lending_product_transform]],[3]Mapping!$B$3:$D$37,3,0)</f>
        <v>cashloan</v>
      </c>
      <c r="I448" s="135">
        <v>78000000</v>
      </c>
      <c r="K448" s="177" t="s">
        <v>205</v>
      </c>
      <c r="L448" s="178">
        <v>1</v>
      </c>
      <c r="M448" s="178">
        <v>2</v>
      </c>
      <c r="N448" s="178">
        <v>3</v>
      </c>
      <c r="O448" s="178">
        <v>4</v>
      </c>
      <c r="P448" s="178">
        <v>5</v>
      </c>
      <c r="Q448" s="183">
        <v>6</v>
      </c>
      <c r="R448" s="183">
        <v>7</v>
      </c>
      <c r="S448" s="178">
        <v>8</v>
      </c>
      <c r="T448" s="178">
        <v>9</v>
      </c>
      <c r="U448" s="178">
        <v>10</v>
      </c>
      <c r="V448" s="178">
        <v>11</v>
      </c>
      <c r="W448" s="178">
        <v>12</v>
      </c>
      <c r="X448" s="183">
        <v>13</v>
      </c>
      <c r="Y448" s="183">
        <v>14</v>
      </c>
      <c r="Z448" s="178">
        <v>15</v>
      </c>
      <c r="AA448" s="178">
        <v>16</v>
      </c>
      <c r="AB448" s="178">
        <v>17</v>
      </c>
      <c r="AC448" s="178">
        <v>18</v>
      </c>
      <c r="AD448" s="178">
        <v>19</v>
      </c>
      <c r="AE448" s="183">
        <v>20</v>
      </c>
      <c r="AF448" s="183">
        <v>21</v>
      </c>
      <c r="AG448" s="178">
        <v>22</v>
      </c>
      <c r="AH448" s="178">
        <v>23</v>
      </c>
      <c r="AI448" s="178">
        <v>24</v>
      </c>
      <c r="AJ448" s="178">
        <v>25</v>
      </c>
      <c r="AK448" s="178">
        <v>26</v>
      </c>
      <c r="AL448" s="178">
        <v>27</v>
      </c>
      <c r="AM448" s="178">
        <v>28</v>
      </c>
      <c r="AN448" s="178">
        <v>29</v>
      </c>
      <c r="AO448" s="178">
        <v>30</v>
      </c>
      <c r="AP448" s="178">
        <v>31</v>
      </c>
      <c r="AQ448" s="174" t="s">
        <v>68</v>
      </c>
    </row>
    <row r="449" spans="1:43" x14ac:dyDescent="0.2">
      <c r="A449" s="134">
        <v>45355</v>
      </c>
      <c r="B449" s="135">
        <f>YEAR(source[[#This Row],[report_date]])</f>
        <v>2024</v>
      </c>
      <c r="C449" s="136">
        <v>3</v>
      </c>
      <c r="D449" s="136">
        <f t="shared" si="34"/>
        <v>10</v>
      </c>
      <c r="E449" s="136">
        <f t="shared" si="35"/>
        <v>4</v>
      </c>
      <c r="F449" s="128" t="s">
        <v>19</v>
      </c>
      <c r="G449" s="128" t="str">
        <f>VLOOKUP(source[[#This Row],[lending_product_transform]],[3]Mapping!$B$4:$C$37,2,0)</f>
        <v>[VDS] - Payday</v>
      </c>
      <c r="H449" s="128" t="str">
        <f>VLOOKUP(source[[#This Row],[lending_product_transform]],[3]Mapping!$B$3:$D$37,3,0)</f>
        <v>payday</v>
      </c>
      <c r="I449" s="135">
        <v>2145500000</v>
      </c>
      <c r="K449" s="179" t="s">
        <v>24</v>
      </c>
      <c r="L449" s="178">
        <v>27492860000</v>
      </c>
      <c r="M449" s="178">
        <v>21350990000</v>
      </c>
      <c r="N449" s="178">
        <v>21744080000</v>
      </c>
      <c r="O449" s="178">
        <v>20641120000</v>
      </c>
      <c r="P449" s="178">
        <v>22241380000</v>
      </c>
      <c r="Q449" s="178">
        <v>17411310000</v>
      </c>
      <c r="R449" s="178">
        <v>16946450000</v>
      </c>
      <c r="S449" s="178">
        <v>18584820000</v>
      </c>
      <c r="T449" s="178">
        <v>20174000000</v>
      </c>
      <c r="U449" s="178">
        <v>20631690000</v>
      </c>
      <c r="V449" s="178">
        <v>18141540000</v>
      </c>
      <c r="W449" s="178">
        <v>17050760000</v>
      </c>
      <c r="X449" s="178">
        <v>14148710000</v>
      </c>
      <c r="Y449" s="178">
        <v>12966470000</v>
      </c>
      <c r="Z449" s="178">
        <v>16188930000</v>
      </c>
      <c r="AA449" s="178">
        <v>16159400000</v>
      </c>
      <c r="AB449" s="178">
        <v>16532070000</v>
      </c>
      <c r="AC449" s="178">
        <v>17149870000</v>
      </c>
      <c r="AD449" s="178">
        <v>12642980000</v>
      </c>
      <c r="AE449" s="178">
        <v>13224840000</v>
      </c>
      <c r="AF449" s="178">
        <v>12821870000</v>
      </c>
      <c r="AG449" s="178">
        <v>15422180000</v>
      </c>
      <c r="AH449" s="178">
        <v>16064700000</v>
      </c>
      <c r="AI449" s="178">
        <v>15470010000</v>
      </c>
      <c r="AJ449" s="178">
        <v>14551340000</v>
      </c>
      <c r="AK449" s="178">
        <v>15030920000</v>
      </c>
      <c r="AL449" s="178">
        <v>13261580000</v>
      </c>
      <c r="AM449" s="178">
        <v>11455070000</v>
      </c>
      <c r="AN449" s="178">
        <v>15523670000</v>
      </c>
      <c r="AO449" s="178">
        <v>16123360000</v>
      </c>
      <c r="AP449" s="178">
        <v>14942620000</v>
      </c>
      <c r="AQ449" s="178">
        <v>522091590000</v>
      </c>
    </row>
    <row r="450" spans="1:43" x14ac:dyDescent="0.2">
      <c r="A450" s="134">
        <v>45355</v>
      </c>
      <c r="B450" s="135">
        <f>YEAR(source[[#This Row],[report_date]])</f>
        <v>2024</v>
      </c>
      <c r="C450" s="136">
        <v>3</v>
      </c>
      <c r="D450" s="136">
        <f t="shared" si="34"/>
        <v>10</v>
      </c>
      <c r="E450" s="136">
        <f t="shared" si="35"/>
        <v>4</v>
      </c>
      <c r="F450" s="128" t="s">
        <v>61</v>
      </c>
      <c r="G450" s="128" t="str">
        <f>VLOOKUP(source[[#This Row],[lending_product_transform]],[3]Mapping!$B$4:$C$37,2,0)</f>
        <v>[VDS] - Payroll Payday</v>
      </c>
      <c r="H450" s="128" t="str">
        <f>VLOOKUP(source[[#This Row],[lending_product_transform]],[3]Mapping!$B$3:$D$37,3,0)</f>
        <v>payday</v>
      </c>
      <c r="I450" s="135">
        <v>10000000</v>
      </c>
      <c r="K450" s="179" t="s">
        <v>67</v>
      </c>
      <c r="L450" s="178">
        <v>4289501378</v>
      </c>
      <c r="M450" s="178">
        <v>3467973723</v>
      </c>
      <c r="N450" s="178">
        <v>2565519802</v>
      </c>
      <c r="O450" s="178">
        <v>2886195122</v>
      </c>
      <c r="P450" s="178">
        <v>3186304974</v>
      </c>
      <c r="Q450" s="178">
        <v>2214332306</v>
      </c>
      <c r="R450" s="178">
        <v>1875357071</v>
      </c>
      <c r="S450" s="178">
        <v>2268828157</v>
      </c>
      <c r="T450" s="178">
        <v>2175770527</v>
      </c>
      <c r="U450" s="178">
        <v>2879127784</v>
      </c>
      <c r="V450" s="178">
        <v>2198664517</v>
      </c>
      <c r="W450" s="178">
        <v>1978657890</v>
      </c>
      <c r="X450" s="178">
        <v>1680215045</v>
      </c>
      <c r="Y450" s="178">
        <v>1686921483</v>
      </c>
      <c r="Z450" s="178">
        <v>2655873951</v>
      </c>
      <c r="AA450" s="178">
        <v>2246477388</v>
      </c>
      <c r="AB450" s="178">
        <v>1754969127</v>
      </c>
      <c r="AC450" s="178">
        <v>1913837763</v>
      </c>
      <c r="AD450" s="178">
        <v>2187683311</v>
      </c>
      <c r="AE450" s="178">
        <v>1961256622</v>
      </c>
      <c r="AF450" s="178">
        <v>1882934263</v>
      </c>
      <c r="AG450" s="178">
        <v>2213515124</v>
      </c>
      <c r="AH450" s="178">
        <v>1965745576</v>
      </c>
      <c r="AI450" s="178">
        <v>1996525977</v>
      </c>
      <c r="AJ450" s="178">
        <v>1884950196</v>
      </c>
      <c r="AK450" s="178">
        <v>2056575924</v>
      </c>
      <c r="AL450" s="178">
        <v>1777974573</v>
      </c>
      <c r="AM450" s="178">
        <v>1736794980</v>
      </c>
      <c r="AN450" s="178">
        <v>2384311293</v>
      </c>
      <c r="AO450" s="178">
        <v>2417843259</v>
      </c>
      <c r="AP450" s="178">
        <v>2613658295</v>
      </c>
      <c r="AQ450" s="178">
        <v>71004297401</v>
      </c>
    </row>
    <row r="451" spans="1:43" x14ac:dyDescent="0.2">
      <c r="A451" s="134">
        <v>45356</v>
      </c>
      <c r="B451" s="135">
        <f>YEAR(source[[#This Row],[report_date]])</f>
        <v>2024</v>
      </c>
      <c r="C451" s="136">
        <v>3</v>
      </c>
      <c r="D451" s="136">
        <f t="shared" ref="D451:D514" si="36">WEEKNUM(A451,2)</f>
        <v>10</v>
      </c>
      <c r="E451" s="136">
        <f t="shared" ref="E451:E514" si="37">DAY(A451)</f>
        <v>5</v>
      </c>
      <c r="F451" s="128" t="s">
        <v>11</v>
      </c>
      <c r="G451" s="128" t="str">
        <f>VLOOKUP(source[[#This Row],[lending_product_transform]],[3]Mapping!$B$4:$C$37,2,0)</f>
        <v>[VDS] - Cashloan</v>
      </c>
      <c r="H451" s="128" t="str">
        <f>VLOOKUP(source[[#This Row],[lending_product_transform]],[3]Mapping!$B$3:$D$37,3,0)</f>
        <v>cashloan</v>
      </c>
      <c r="I451" s="135">
        <v>1555620000</v>
      </c>
      <c r="K451" s="179" t="s">
        <v>28</v>
      </c>
      <c r="L451" s="178">
        <v>13343076000</v>
      </c>
      <c r="M451" s="178">
        <v>12062196000</v>
      </c>
      <c r="N451" s="178">
        <v>12354336000</v>
      </c>
      <c r="O451" s="178">
        <v>12942072000</v>
      </c>
      <c r="P451" s="178">
        <v>14076828000</v>
      </c>
      <c r="Q451" s="178">
        <v>11458908000</v>
      </c>
      <c r="R451" s="178">
        <v>10982304000</v>
      </c>
      <c r="S451" s="178">
        <v>11617776000</v>
      </c>
      <c r="T451" s="178">
        <v>11485260000</v>
      </c>
      <c r="U451" s="178">
        <v>15310728000</v>
      </c>
      <c r="V451" s="178">
        <v>13471920000</v>
      </c>
      <c r="W451" s="178">
        <v>12585996000</v>
      </c>
      <c r="X451" s="178">
        <v>10704420000</v>
      </c>
      <c r="Y451" s="178">
        <v>10856160000</v>
      </c>
      <c r="Z451" s="178">
        <v>13522356000</v>
      </c>
      <c r="AA451" s="178">
        <v>12256056000</v>
      </c>
      <c r="AB451" s="178">
        <v>11943612000</v>
      </c>
      <c r="AC451" s="178">
        <v>11934000000</v>
      </c>
      <c r="AD451" s="178">
        <v>12382096000</v>
      </c>
      <c r="AE451" s="178">
        <v>11793492000</v>
      </c>
      <c r="AF451" s="178">
        <v>11693916000</v>
      </c>
      <c r="AG451" s="178">
        <v>13025016000</v>
      </c>
      <c r="AH451" s="178">
        <v>12635460000</v>
      </c>
      <c r="AI451" s="178">
        <v>12849840000</v>
      </c>
      <c r="AJ451" s="178">
        <v>12122028000</v>
      </c>
      <c r="AK451" s="178">
        <v>12355524000</v>
      </c>
      <c r="AL451" s="178">
        <v>11338056000</v>
      </c>
      <c r="AM451" s="178">
        <v>11204244000</v>
      </c>
      <c r="AN451" s="178">
        <v>12827808000</v>
      </c>
      <c r="AO451" s="178">
        <v>13397616000</v>
      </c>
      <c r="AP451" s="178">
        <v>14053824000</v>
      </c>
      <c r="AQ451" s="178">
        <v>384586924000</v>
      </c>
    </row>
    <row r="452" spans="1:43" x14ac:dyDescent="0.2">
      <c r="A452" s="134">
        <v>45356</v>
      </c>
      <c r="B452" s="135">
        <f>YEAR(source[[#This Row],[report_date]])</f>
        <v>2024</v>
      </c>
      <c r="C452" s="136">
        <v>3</v>
      </c>
      <c r="D452" s="136">
        <f t="shared" si="36"/>
        <v>10</v>
      </c>
      <c r="E452" s="136">
        <f t="shared" si="37"/>
        <v>5</v>
      </c>
      <c r="F452" s="128" t="s">
        <v>61</v>
      </c>
      <c r="G452" s="128" t="str">
        <f>VLOOKUP(source[[#This Row],[lending_product_transform]],[3]Mapping!$B$4:$C$37,2,0)</f>
        <v>[VDS] - Payroll Payday</v>
      </c>
      <c r="H452" s="128" t="str">
        <f>VLOOKUP(source[[#This Row],[lending_product_transform]],[3]Mapping!$B$3:$D$37,3,0)</f>
        <v>payday</v>
      </c>
      <c r="I452" s="135">
        <v>42000000</v>
      </c>
      <c r="K452" s="180" t="s">
        <v>68</v>
      </c>
      <c r="L452" s="174">
        <v>45125437378</v>
      </c>
      <c r="M452" s="174">
        <v>36881159723</v>
      </c>
      <c r="N452" s="174">
        <v>36663935802</v>
      </c>
      <c r="O452" s="174">
        <v>36469387122</v>
      </c>
      <c r="P452" s="174">
        <v>39504512974</v>
      </c>
      <c r="Q452" s="174">
        <v>31084550306</v>
      </c>
      <c r="R452" s="174">
        <v>29804111071</v>
      </c>
      <c r="S452" s="174">
        <v>32471424157</v>
      </c>
      <c r="T452" s="174">
        <v>33835030527</v>
      </c>
      <c r="U452" s="174">
        <v>38821545784</v>
      </c>
      <c r="V452" s="174">
        <v>33812124517</v>
      </c>
      <c r="W452" s="174">
        <v>31615413890</v>
      </c>
      <c r="X452" s="174">
        <v>26533345045</v>
      </c>
      <c r="Y452" s="174">
        <v>25509551483</v>
      </c>
      <c r="Z452" s="174">
        <v>32367159951</v>
      </c>
      <c r="AA452" s="174">
        <v>30661933388</v>
      </c>
      <c r="AB452" s="174">
        <v>30230651127</v>
      </c>
      <c r="AC452" s="174">
        <v>30997707763</v>
      </c>
      <c r="AD452" s="174">
        <v>27212759311</v>
      </c>
      <c r="AE452" s="174">
        <v>26979588622</v>
      </c>
      <c r="AF452" s="174">
        <v>26398720263</v>
      </c>
      <c r="AG452" s="174">
        <v>30660711124</v>
      </c>
      <c r="AH452" s="174">
        <v>30665905576</v>
      </c>
      <c r="AI452" s="174">
        <v>30316375977</v>
      </c>
      <c r="AJ452" s="174">
        <v>28558318196</v>
      </c>
      <c r="AK452" s="174">
        <v>29443019924</v>
      </c>
      <c r="AL452" s="174">
        <v>26377610573</v>
      </c>
      <c r="AM452" s="174">
        <v>24396108980</v>
      </c>
      <c r="AN452" s="174">
        <v>30735789293</v>
      </c>
      <c r="AO452" s="174">
        <v>31938819259</v>
      </c>
      <c r="AP452" s="174">
        <v>31610102295</v>
      </c>
      <c r="AQ452" s="174">
        <v>977682811401</v>
      </c>
    </row>
    <row r="453" spans="1:43" x14ac:dyDescent="0.2">
      <c r="A453" s="134">
        <v>45356</v>
      </c>
      <c r="B453" s="135">
        <f>YEAR(source[[#This Row],[report_date]])</f>
        <v>2024</v>
      </c>
      <c r="C453" s="136">
        <v>3</v>
      </c>
      <c r="D453" s="136">
        <f t="shared" si="36"/>
        <v>10</v>
      </c>
      <c r="E453" s="136">
        <f t="shared" si="37"/>
        <v>5</v>
      </c>
      <c r="F453" s="128" t="s">
        <v>58</v>
      </c>
      <c r="G453" s="128" t="str">
        <f>VLOOKUP(source[[#This Row],[lending_product_transform]],[3]Mapping!$B$4:$C$37,2,0)</f>
        <v>[VDS] - Payroll Cashloan</v>
      </c>
      <c r="H453" s="128" t="str">
        <f>VLOOKUP(source[[#This Row],[lending_product_transform]],[3]Mapping!$B$3:$D$37,3,0)</f>
        <v>cashloan</v>
      </c>
      <c r="I453" s="135">
        <v>42000000</v>
      </c>
      <c r="K453" s="137"/>
      <c r="L453" s="137"/>
      <c r="M453" s="137"/>
      <c r="N453" s="137"/>
      <c r="O453" s="137"/>
      <c r="P453" s="137"/>
      <c r="Q453" s="160">
        <f>AVERAGE(Q452:R452)/AVERAGE(L452:P452)</f>
        <v>0.78204986958595435</v>
      </c>
      <c r="R453" s="137"/>
      <c r="S453" s="137"/>
      <c r="T453" s="137"/>
      <c r="U453" s="137"/>
      <c r="V453" s="137"/>
      <c r="W453" s="137"/>
      <c r="X453" s="160">
        <f>AVERAGE(X452:Y452)/AVERAGE(S452:W452)</f>
        <v>0.76284383478953144</v>
      </c>
      <c r="Y453" s="137"/>
      <c r="Z453" s="137"/>
      <c r="AA453" s="137"/>
      <c r="AB453" s="137"/>
      <c r="AC453" s="137"/>
      <c r="AD453" s="137"/>
      <c r="AE453" s="160">
        <f>AVERAGE(AE452:AF452)/AVERAGE(Z452:AD452)</f>
        <v>0.88100340559212764</v>
      </c>
      <c r="AF453" s="137"/>
      <c r="AG453" s="137"/>
    </row>
    <row r="454" spans="1:43" x14ac:dyDescent="0.2">
      <c r="A454" s="134">
        <v>45356</v>
      </c>
      <c r="B454" s="135">
        <f>YEAR(source[[#This Row],[report_date]])</f>
        <v>2024</v>
      </c>
      <c r="C454" s="136">
        <v>3</v>
      </c>
      <c r="D454" s="136">
        <f t="shared" si="36"/>
        <v>10</v>
      </c>
      <c r="E454" s="136">
        <f t="shared" si="37"/>
        <v>5</v>
      </c>
      <c r="F454" s="128" t="s">
        <v>56</v>
      </c>
      <c r="G454" s="128">
        <f>VLOOKUP(source[[#This Row],[lending_product_transform]],[3]Mapping!$B$4:$C$37,2,0)</f>
        <v>0</v>
      </c>
      <c r="H454" s="128">
        <f>VLOOKUP(source[[#This Row],[lending_product_transform]],[3]Mapping!$B$3:$D$37,3,0)</f>
        <v>0</v>
      </c>
      <c r="I454" s="135">
        <v>6638732547</v>
      </c>
      <c r="K454" s="137"/>
      <c r="L454" s="137"/>
      <c r="M454" s="137"/>
      <c r="N454" s="137"/>
      <c r="O454" s="137"/>
      <c r="P454" s="137"/>
      <c r="Q454" s="160">
        <f>AVERAGE(Q451:R451)/AVERAGE(L451:P451)</f>
        <v>0.86607474812479468</v>
      </c>
      <c r="R454" s="137"/>
      <c r="S454" s="137"/>
      <c r="T454" s="137"/>
      <c r="U454" s="137"/>
      <c r="V454" s="137"/>
      <c r="W454" s="137"/>
      <c r="X454" s="160">
        <f>AVERAGE(X451:Y451)/AVERAGE(S451:W451)</f>
        <v>0.83604847896006429</v>
      </c>
      <c r="Y454" s="137"/>
      <c r="Z454" s="137"/>
      <c r="AA454" s="137"/>
      <c r="AB454" s="137"/>
      <c r="AC454" s="137"/>
      <c r="AD454" s="137"/>
      <c r="AE454" s="160">
        <f>AVERAGE(AE451:AF451)/AVERAGE(Z451:AD451)</f>
        <v>0.94649096394281451</v>
      </c>
      <c r="AF454" s="137"/>
      <c r="AG454" s="137"/>
    </row>
    <row r="455" spans="1:43" x14ac:dyDescent="0.2">
      <c r="A455" s="134">
        <v>45356</v>
      </c>
      <c r="B455" s="135">
        <f>YEAR(source[[#This Row],[report_date]])</f>
        <v>2024</v>
      </c>
      <c r="C455" s="136">
        <v>3</v>
      </c>
      <c r="D455" s="136">
        <f t="shared" si="36"/>
        <v>10</v>
      </c>
      <c r="E455" s="136">
        <f t="shared" si="37"/>
        <v>5</v>
      </c>
      <c r="F455" s="128" t="s">
        <v>19</v>
      </c>
      <c r="G455" s="128" t="str">
        <f>VLOOKUP(source[[#This Row],[lending_product_transform]],[3]Mapping!$B$4:$C$37,2,0)</f>
        <v>[VDS] - Payday</v>
      </c>
      <c r="H455" s="128" t="str">
        <f>VLOOKUP(source[[#This Row],[lending_product_transform]],[3]Mapping!$B$3:$D$37,3,0)</f>
        <v>payday</v>
      </c>
      <c r="I455" s="135">
        <v>2303500000</v>
      </c>
      <c r="Q455" s="138">
        <f>AVERAGE(Q450:R450)/AVERAGE(L450:P450)</f>
        <v>0.62359955848381521</v>
      </c>
      <c r="X455" s="138">
        <f>AVERAGE(X450:Y450)/AVERAGE(S450:W450)</f>
        <v>0.73191944591227553</v>
      </c>
      <c r="AE455" s="138">
        <f>AVERAGE(AE450:AF450)/AVERAGE(Z450:AD450)</f>
        <v>0.89326319908788243</v>
      </c>
    </row>
    <row r="456" spans="1:43" x14ac:dyDescent="0.2">
      <c r="A456" s="134">
        <v>45356</v>
      </c>
      <c r="B456" s="135">
        <f>YEAR(source[[#This Row],[report_date]])</f>
        <v>2024</v>
      </c>
      <c r="C456" s="136">
        <v>3</v>
      </c>
      <c r="D456" s="136">
        <f t="shared" si="36"/>
        <v>10</v>
      </c>
      <c r="E456" s="136">
        <f t="shared" si="37"/>
        <v>5</v>
      </c>
      <c r="F456" s="128" t="s">
        <v>67</v>
      </c>
      <c r="G456" s="128" t="str">
        <f>VLOOKUP(source[[#This Row],[lending_product_transform]],[3]Mapping!$B$4:$C$37,2,0)</f>
        <v>[Cake] - Overdraft</v>
      </c>
      <c r="H456" s="128" t="str">
        <f>VLOOKUP(source[[#This Row],[lending_product_transform]],[3]Mapping!$B$3:$D$37,3,0)</f>
        <v>overdraft</v>
      </c>
      <c r="I456" s="135">
        <v>2532862547</v>
      </c>
    </row>
    <row r="457" spans="1:43" x14ac:dyDescent="0.2">
      <c r="A457" s="134">
        <v>45356</v>
      </c>
      <c r="B457" s="135">
        <f>YEAR(source[[#This Row],[report_date]])</f>
        <v>2024</v>
      </c>
      <c r="C457" s="136">
        <v>3</v>
      </c>
      <c r="D457" s="136">
        <f t="shared" si="36"/>
        <v>10</v>
      </c>
      <c r="E457" s="136">
        <f t="shared" si="37"/>
        <v>5</v>
      </c>
      <c r="F457" s="128" t="s">
        <v>65</v>
      </c>
      <c r="G457" s="128" t="str">
        <f>VLOOKUP(source[[#This Row],[lending_product_transform]],[3]Mapping!$B$4:$C$37,2,0)</f>
        <v>[BE] - Cashloan</v>
      </c>
      <c r="H457" s="128" t="str">
        <f>VLOOKUP(source[[#This Row],[lending_product_transform]],[3]Mapping!$B$3:$D$37,3,0)</f>
        <v>cashloan</v>
      </c>
      <c r="I457" s="135">
        <v>162750000</v>
      </c>
    </row>
    <row r="458" spans="1:43" x14ac:dyDescent="0.2">
      <c r="A458" s="134">
        <v>45357</v>
      </c>
      <c r="B458" s="135">
        <f>YEAR(source[[#This Row],[report_date]])</f>
        <v>2024</v>
      </c>
      <c r="C458" s="136">
        <v>3</v>
      </c>
      <c r="D458" s="136">
        <f t="shared" si="36"/>
        <v>10</v>
      </c>
      <c r="E458" s="136">
        <f t="shared" si="37"/>
        <v>6</v>
      </c>
      <c r="F458" s="128" t="s">
        <v>11</v>
      </c>
      <c r="G458" s="128" t="str">
        <f>VLOOKUP(source[[#This Row],[lending_product_transform]],[3]Mapping!$B$4:$C$37,2,0)</f>
        <v>[VDS] - Cashloan</v>
      </c>
      <c r="H458" s="128" t="str">
        <f>VLOOKUP(source[[#This Row],[lending_product_transform]],[3]Mapping!$B$3:$D$37,3,0)</f>
        <v>cashloan</v>
      </c>
      <c r="I458" s="135">
        <v>2131460000</v>
      </c>
      <c r="K458" s="181" t="s">
        <v>194</v>
      </c>
      <c r="L458" s="182">
        <v>2025</v>
      </c>
    </row>
    <row r="459" spans="1:43" x14ac:dyDescent="0.2">
      <c r="A459" s="134">
        <v>45357</v>
      </c>
      <c r="B459" s="135">
        <f>YEAR(source[[#This Row],[report_date]])</f>
        <v>2024</v>
      </c>
      <c r="C459" s="136">
        <v>3</v>
      </c>
      <c r="D459" s="136">
        <f t="shared" si="36"/>
        <v>10</v>
      </c>
      <c r="E459" s="136">
        <f t="shared" si="37"/>
        <v>6</v>
      </c>
      <c r="F459" s="128" t="s">
        <v>58</v>
      </c>
      <c r="G459" s="128" t="str">
        <f>VLOOKUP(source[[#This Row],[lending_product_transform]],[3]Mapping!$B$4:$C$37,2,0)</f>
        <v>[VDS] - Payroll Cashloan</v>
      </c>
      <c r="H459" s="128" t="str">
        <f>VLOOKUP(source[[#This Row],[lending_product_transform]],[3]Mapping!$B$3:$D$37,3,0)</f>
        <v>cashloan</v>
      </c>
      <c r="I459" s="135">
        <v>42000000</v>
      </c>
      <c r="K459" s="177" t="s">
        <v>195</v>
      </c>
      <c r="L459" s="176">
        <v>12</v>
      </c>
    </row>
    <row r="460" spans="1:43" x14ac:dyDescent="0.2">
      <c r="A460" s="134">
        <v>45357</v>
      </c>
      <c r="B460" s="135">
        <f>YEAR(source[[#This Row],[report_date]])</f>
        <v>2024</v>
      </c>
      <c r="C460" s="136">
        <v>3</v>
      </c>
      <c r="D460" s="136">
        <f t="shared" si="36"/>
        <v>10</v>
      </c>
      <c r="E460" s="136">
        <f t="shared" si="37"/>
        <v>6</v>
      </c>
      <c r="F460" s="128" t="s">
        <v>65</v>
      </c>
      <c r="G460" s="128" t="str">
        <f>VLOOKUP(source[[#This Row],[lending_product_transform]],[3]Mapping!$B$4:$C$37,2,0)</f>
        <v>[BE] - Cashloan</v>
      </c>
      <c r="H460" s="128" t="str">
        <f>VLOOKUP(source[[#This Row],[lending_product_transform]],[3]Mapping!$B$3:$D$37,3,0)</f>
        <v>cashloan</v>
      </c>
      <c r="I460" s="135">
        <v>115500000</v>
      </c>
      <c r="K460" s="175" t="s">
        <v>199</v>
      </c>
      <c r="L460" s="61" t="s">
        <v>220</v>
      </c>
      <c r="M460" s="137"/>
      <c r="N460" s="137"/>
    </row>
    <row r="461" spans="1:43" x14ac:dyDescent="0.2">
      <c r="A461" s="134">
        <v>45357</v>
      </c>
      <c r="B461" s="135">
        <f>YEAR(source[[#This Row],[report_date]])</f>
        <v>2024</v>
      </c>
      <c r="C461" s="136">
        <v>3</v>
      </c>
      <c r="D461" s="136">
        <f t="shared" si="36"/>
        <v>10</v>
      </c>
      <c r="E461" s="136">
        <f t="shared" si="37"/>
        <v>6</v>
      </c>
      <c r="F461" s="128" t="s">
        <v>61</v>
      </c>
      <c r="G461" s="128" t="str">
        <f>VLOOKUP(source[[#This Row],[lending_product_transform]],[3]Mapping!$B$4:$C$37,2,0)</f>
        <v>[VDS] - Payroll Payday</v>
      </c>
      <c r="H461" s="128" t="str">
        <f>VLOOKUP(source[[#This Row],[lending_product_transform]],[3]Mapping!$B$3:$D$37,3,0)</f>
        <v>payday</v>
      </c>
      <c r="I461" s="135">
        <v>30000000</v>
      </c>
      <c r="K461" s="137"/>
      <c r="L461" s="137"/>
      <c r="M461" s="137"/>
      <c r="N461" s="137"/>
      <c r="Q461" s="169"/>
      <c r="R461" s="169"/>
    </row>
    <row r="462" spans="1:43" x14ac:dyDescent="0.2">
      <c r="A462" s="134">
        <v>45357</v>
      </c>
      <c r="B462" s="135">
        <f>YEAR(source[[#This Row],[report_date]])</f>
        <v>2024</v>
      </c>
      <c r="C462" s="136">
        <v>3</v>
      </c>
      <c r="D462" s="136">
        <f t="shared" si="36"/>
        <v>10</v>
      </c>
      <c r="E462" s="136">
        <f t="shared" si="37"/>
        <v>6</v>
      </c>
      <c r="F462" s="128" t="s">
        <v>67</v>
      </c>
      <c r="G462" s="128" t="str">
        <f>VLOOKUP(source[[#This Row],[lending_product_transform]],[3]Mapping!$B$4:$C$37,2,0)</f>
        <v>[Cake] - Overdraft</v>
      </c>
      <c r="H462" s="128" t="str">
        <f>VLOOKUP(source[[#This Row],[lending_product_transform]],[3]Mapping!$B$3:$D$37,3,0)</f>
        <v>overdraft</v>
      </c>
      <c r="I462" s="135">
        <v>2818688899</v>
      </c>
      <c r="K462" s="177" t="s">
        <v>69</v>
      </c>
      <c r="L462" s="175" t="s">
        <v>202</v>
      </c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  <c r="AG462" s="177"/>
      <c r="AH462" s="177"/>
      <c r="AI462" s="177"/>
      <c r="AJ462" s="177"/>
      <c r="AK462" s="177"/>
      <c r="AL462" s="177"/>
      <c r="AM462" s="177"/>
      <c r="AN462" s="177"/>
      <c r="AO462" s="177"/>
      <c r="AP462" s="177"/>
      <c r="AQ462" s="177"/>
    </row>
    <row r="463" spans="1:43" x14ac:dyDescent="0.2">
      <c r="A463" s="134">
        <v>45357</v>
      </c>
      <c r="B463" s="135">
        <f>YEAR(source[[#This Row],[report_date]])</f>
        <v>2024</v>
      </c>
      <c r="C463" s="136">
        <v>3</v>
      </c>
      <c r="D463" s="136">
        <f t="shared" si="36"/>
        <v>10</v>
      </c>
      <c r="E463" s="136">
        <f t="shared" si="37"/>
        <v>6</v>
      </c>
      <c r="F463" s="128" t="s">
        <v>19</v>
      </c>
      <c r="G463" s="128" t="str">
        <f>VLOOKUP(source[[#This Row],[lending_product_transform]],[3]Mapping!$B$4:$C$37,2,0)</f>
        <v>[VDS] - Payday</v>
      </c>
      <c r="H463" s="128" t="str">
        <f>VLOOKUP(source[[#This Row],[lending_product_transform]],[3]Mapping!$B$3:$D$37,3,0)</f>
        <v>payday</v>
      </c>
      <c r="I463" s="135">
        <v>2202500000</v>
      </c>
      <c r="K463" s="177" t="s">
        <v>205</v>
      </c>
      <c r="L463" s="178">
        <v>1</v>
      </c>
      <c r="M463" s="178">
        <v>2</v>
      </c>
      <c r="N463" s="178">
        <v>3</v>
      </c>
      <c r="O463" s="178">
        <v>4</v>
      </c>
      <c r="P463" s="178">
        <v>5</v>
      </c>
      <c r="Q463" s="183">
        <v>6</v>
      </c>
      <c r="R463" s="183">
        <v>7</v>
      </c>
      <c r="S463" s="178">
        <v>8</v>
      </c>
      <c r="T463" s="178">
        <v>9</v>
      </c>
      <c r="U463" s="178">
        <v>10</v>
      </c>
      <c r="V463" s="178">
        <v>11</v>
      </c>
      <c r="W463" s="178">
        <v>12</v>
      </c>
      <c r="X463" s="183">
        <v>13</v>
      </c>
      <c r="Y463" s="183">
        <v>14</v>
      </c>
      <c r="Z463" s="178">
        <v>15</v>
      </c>
      <c r="AA463" s="178">
        <v>16</v>
      </c>
      <c r="AB463" s="178">
        <v>17</v>
      </c>
      <c r="AC463" s="178">
        <v>18</v>
      </c>
      <c r="AD463" s="178">
        <v>19</v>
      </c>
      <c r="AE463" s="183">
        <v>20</v>
      </c>
      <c r="AF463" s="183">
        <v>21</v>
      </c>
      <c r="AG463" s="178">
        <v>22</v>
      </c>
      <c r="AH463" s="178">
        <v>23</v>
      </c>
      <c r="AI463" s="178">
        <v>24</v>
      </c>
      <c r="AJ463" s="178">
        <v>25</v>
      </c>
      <c r="AK463" s="178">
        <v>26</v>
      </c>
      <c r="AL463" s="178">
        <v>27</v>
      </c>
      <c r="AM463" s="178">
        <v>28</v>
      </c>
      <c r="AN463" s="178">
        <v>29</v>
      </c>
      <c r="AO463" s="178">
        <v>30</v>
      </c>
      <c r="AP463" s="178">
        <v>31</v>
      </c>
      <c r="AQ463" s="174" t="s">
        <v>68</v>
      </c>
    </row>
    <row r="464" spans="1:43" x14ac:dyDescent="0.2">
      <c r="A464" s="134">
        <v>45357</v>
      </c>
      <c r="B464" s="135">
        <f>YEAR(source[[#This Row],[report_date]])</f>
        <v>2024</v>
      </c>
      <c r="C464" s="136">
        <v>3</v>
      </c>
      <c r="D464" s="136">
        <f t="shared" si="36"/>
        <v>10</v>
      </c>
      <c r="E464" s="136">
        <f t="shared" si="37"/>
        <v>6</v>
      </c>
      <c r="F464" s="128" t="s">
        <v>56</v>
      </c>
      <c r="G464" s="128">
        <f>VLOOKUP(source[[#This Row],[lending_product_transform]],[3]Mapping!$B$4:$C$37,2,0)</f>
        <v>0</v>
      </c>
      <c r="H464" s="128">
        <f>VLOOKUP(source[[#This Row],[lending_product_transform]],[3]Mapping!$B$3:$D$37,3,0)</f>
        <v>0</v>
      </c>
      <c r="I464" s="135">
        <v>7340148899</v>
      </c>
      <c r="K464" s="179" t="s">
        <v>36</v>
      </c>
      <c r="L464" s="178">
        <v>4029220000</v>
      </c>
      <c r="M464" s="178">
        <v>3659230000</v>
      </c>
      <c r="N464" s="178">
        <v>3170300000</v>
      </c>
      <c r="O464" s="178">
        <v>3608040000</v>
      </c>
      <c r="P464" s="178">
        <v>3785090000</v>
      </c>
      <c r="Q464" s="178">
        <v>3371150000</v>
      </c>
      <c r="R464" s="178">
        <v>4705150000</v>
      </c>
      <c r="S464" s="178">
        <v>4163060000</v>
      </c>
      <c r="T464" s="178">
        <v>3541150000</v>
      </c>
      <c r="U464" s="178">
        <v>4755030000</v>
      </c>
      <c r="V464" s="178">
        <v>5294940000</v>
      </c>
      <c r="W464" s="178">
        <v>4464730000</v>
      </c>
      <c r="X464" s="178">
        <v>5237790000</v>
      </c>
      <c r="Y464" s="178">
        <v>5494500000</v>
      </c>
      <c r="Z464" s="178">
        <v>4934880000</v>
      </c>
      <c r="AA464" s="178">
        <v>4388790000</v>
      </c>
      <c r="AB464" s="178">
        <v>3399220000</v>
      </c>
      <c r="AC464" s="178">
        <v>3978750000</v>
      </c>
      <c r="AD464" s="178">
        <v>4275100000</v>
      </c>
      <c r="AE464" s="178">
        <v>4483650000</v>
      </c>
      <c r="AF464" s="178">
        <v>4935300000</v>
      </c>
      <c r="AG464" s="178">
        <v>3674300000</v>
      </c>
      <c r="AH464" s="178">
        <v>3157270000</v>
      </c>
      <c r="AI464" s="178">
        <v>3596720000</v>
      </c>
      <c r="AJ464" s="178">
        <v>2987740000</v>
      </c>
      <c r="AK464" s="178">
        <v>4124640000</v>
      </c>
      <c r="AL464" s="178">
        <v>3192550000</v>
      </c>
      <c r="AM464" s="178">
        <v>4517320000</v>
      </c>
      <c r="AN464" s="178">
        <v>4220760000</v>
      </c>
      <c r="AO464" s="178">
        <v>3894890000</v>
      </c>
      <c r="AP464" s="178">
        <v>3311160000</v>
      </c>
      <c r="AQ464" s="178">
        <v>126352420000</v>
      </c>
    </row>
    <row r="465" spans="1:43" x14ac:dyDescent="0.2">
      <c r="A465" s="134">
        <v>45358</v>
      </c>
      <c r="B465" s="135">
        <f>YEAR(source[[#This Row],[report_date]])</f>
        <v>2024</v>
      </c>
      <c r="C465" s="136">
        <v>3</v>
      </c>
      <c r="D465" s="136">
        <f t="shared" si="36"/>
        <v>10</v>
      </c>
      <c r="E465" s="136">
        <f t="shared" si="37"/>
        <v>7</v>
      </c>
      <c r="F465" s="128" t="s">
        <v>67</v>
      </c>
      <c r="G465" s="128" t="str">
        <f>VLOOKUP(source[[#This Row],[lending_product_transform]],[3]Mapping!$B$4:$C$37,2,0)</f>
        <v>[Cake] - Overdraft</v>
      </c>
      <c r="H465" s="128" t="str">
        <f>VLOOKUP(source[[#This Row],[lending_product_transform]],[3]Mapping!$B$3:$D$37,3,0)</f>
        <v>overdraft</v>
      </c>
      <c r="I465" s="135">
        <v>2213357647</v>
      </c>
      <c r="K465" s="179" t="s">
        <v>176</v>
      </c>
      <c r="L465" s="178">
        <v>9610125</v>
      </c>
      <c r="M465" s="178">
        <v>7390911</v>
      </c>
      <c r="N465" s="178">
        <v>26734131</v>
      </c>
      <c r="O465" s="178">
        <v>47495686</v>
      </c>
      <c r="P465" s="178">
        <v>51653976</v>
      </c>
      <c r="Q465" s="178">
        <v>42936630</v>
      </c>
      <c r="R465" s="178">
        <v>21678108</v>
      </c>
      <c r="S465" s="178">
        <v>15636252</v>
      </c>
      <c r="T465" s="178">
        <v>31166578</v>
      </c>
      <c r="U465" s="178">
        <v>19221396</v>
      </c>
      <c r="V465" s="178">
        <v>11462776</v>
      </c>
      <c r="W465" s="178">
        <v>10051318</v>
      </c>
      <c r="X465" s="178">
        <v>11248153</v>
      </c>
      <c r="Y465" s="178">
        <v>8194437</v>
      </c>
      <c r="Z465" s="178">
        <v>21745618</v>
      </c>
      <c r="AA465" s="178">
        <v>7395561</v>
      </c>
      <c r="AB465" s="178">
        <v>8747927</v>
      </c>
      <c r="AC465" s="178">
        <v>14646069</v>
      </c>
      <c r="AD465" s="178">
        <v>0</v>
      </c>
      <c r="AE465" s="178">
        <v>9771562</v>
      </c>
      <c r="AF465" s="178">
        <v>8110010</v>
      </c>
      <c r="AG465" s="178">
        <v>8650905</v>
      </c>
      <c r="AH465" s="178">
        <v>49721340</v>
      </c>
      <c r="AI465" s="178">
        <v>3294257</v>
      </c>
      <c r="AJ465" s="178">
        <v>15965148</v>
      </c>
      <c r="AK465" s="178">
        <v>2490000</v>
      </c>
      <c r="AL465" s="178">
        <v>5060866</v>
      </c>
      <c r="AM465" s="178">
        <v>7977810</v>
      </c>
      <c r="AN465" s="178">
        <v>10467170</v>
      </c>
      <c r="AO465" s="178">
        <v>2849453</v>
      </c>
      <c r="AP465" s="178">
        <v>9047513</v>
      </c>
      <c r="AQ465" s="178">
        <v>500421686</v>
      </c>
    </row>
    <row r="466" spans="1:43" x14ac:dyDescent="0.2">
      <c r="A466" s="134">
        <v>45358</v>
      </c>
      <c r="B466" s="135">
        <f>YEAR(source[[#This Row],[report_date]])</f>
        <v>2024</v>
      </c>
      <c r="C466" s="136">
        <v>3</v>
      </c>
      <c r="D466" s="136">
        <f t="shared" si="36"/>
        <v>10</v>
      </c>
      <c r="E466" s="136">
        <f t="shared" si="37"/>
        <v>7</v>
      </c>
      <c r="F466" s="128" t="s">
        <v>11</v>
      </c>
      <c r="G466" s="128" t="str">
        <f>VLOOKUP(source[[#This Row],[lending_product_transform]],[3]Mapping!$B$4:$C$37,2,0)</f>
        <v>[VDS] - Cashloan</v>
      </c>
      <c r="H466" s="128" t="str">
        <f>VLOOKUP(source[[#This Row],[lending_product_transform]],[3]Mapping!$B$3:$D$37,3,0)</f>
        <v>cashloan</v>
      </c>
      <c r="I466" s="135">
        <v>1608320000</v>
      </c>
      <c r="K466" s="179" t="s">
        <v>39</v>
      </c>
      <c r="L466" s="178">
        <v>1010942697</v>
      </c>
      <c r="M466" s="178">
        <v>1166252386</v>
      </c>
      <c r="N466" s="178">
        <v>1504725606</v>
      </c>
      <c r="O466" s="178">
        <v>1277032517</v>
      </c>
      <c r="P466" s="178">
        <v>1765087162</v>
      </c>
      <c r="Q466" s="178">
        <v>1762062376</v>
      </c>
      <c r="R466" s="178">
        <v>1184359979</v>
      </c>
      <c r="S466" s="178">
        <v>796954555</v>
      </c>
      <c r="T466" s="178">
        <v>921903683</v>
      </c>
      <c r="U466" s="178">
        <v>778858486</v>
      </c>
      <c r="V466" s="178">
        <v>919856712</v>
      </c>
      <c r="W466" s="178">
        <v>967824355</v>
      </c>
      <c r="X466" s="178">
        <v>1336192353</v>
      </c>
      <c r="Y466" s="178">
        <v>807559271</v>
      </c>
      <c r="Z466" s="178">
        <v>960027021</v>
      </c>
      <c r="AA466" s="178">
        <v>800100852</v>
      </c>
      <c r="AB466" s="178">
        <v>651321015</v>
      </c>
      <c r="AC466" s="178">
        <v>814902855</v>
      </c>
      <c r="AD466" s="178">
        <v>719509858</v>
      </c>
      <c r="AE466" s="178">
        <v>1091916962</v>
      </c>
      <c r="AF466" s="178">
        <v>973988815</v>
      </c>
      <c r="AG466" s="178">
        <v>978848848</v>
      </c>
      <c r="AH466" s="178">
        <v>701554834</v>
      </c>
      <c r="AI466" s="178">
        <v>840337251</v>
      </c>
      <c r="AJ466" s="178">
        <v>650979873</v>
      </c>
      <c r="AK466" s="178">
        <v>799962120</v>
      </c>
      <c r="AL466" s="178">
        <v>963659334</v>
      </c>
      <c r="AM466" s="178">
        <v>887293440</v>
      </c>
      <c r="AN466" s="178">
        <v>669612211</v>
      </c>
      <c r="AO466" s="178">
        <v>780566657</v>
      </c>
      <c r="AP466" s="178">
        <v>811960328</v>
      </c>
      <c r="AQ466" s="178">
        <v>30296154412</v>
      </c>
    </row>
    <row r="467" spans="1:43" x14ac:dyDescent="0.2">
      <c r="A467" s="134">
        <v>45358</v>
      </c>
      <c r="B467" s="135">
        <f>YEAR(source[[#This Row],[report_date]])</f>
        <v>2024</v>
      </c>
      <c r="C467" s="136">
        <v>3</v>
      </c>
      <c r="D467" s="136">
        <f t="shared" si="36"/>
        <v>10</v>
      </c>
      <c r="E467" s="136">
        <f t="shared" si="37"/>
        <v>7</v>
      </c>
      <c r="F467" s="128" t="s">
        <v>61</v>
      </c>
      <c r="G467" s="128" t="str">
        <f>VLOOKUP(source[[#This Row],[lending_product_transform]],[3]Mapping!$B$4:$C$37,2,0)</f>
        <v>[VDS] - Payroll Payday</v>
      </c>
      <c r="H467" s="128" t="str">
        <f>VLOOKUP(source[[#This Row],[lending_product_transform]],[3]Mapping!$B$3:$D$37,3,0)</f>
        <v>payday</v>
      </c>
      <c r="I467" s="135">
        <v>67000000</v>
      </c>
      <c r="K467" s="180" t="s">
        <v>68</v>
      </c>
      <c r="L467" s="174">
        <v>5049772822</v>
      </c>
      <c r="M467" s="174">
        <v>4832873297</v>
      </c>
      <c r="N467" s="174">
        <v>4701759737</v>
      </c>
      <c r="O467" s="174">
        <v>4932568203</v>
      </c>
      <c r="P467" s="174">
        <v>5601831138</v>
      </c>
      <c r="Q467" s="174">
        <v>5176149006</v>
      </c>
      <c r="R467" s="174">
        <v>5911188087</v>
      </c>
      <c r="S467" s="174">
        <v>4975650807</v>
      </c>
      <c r="T467" s="174">
        <v>4494220261</v>
      </c>
      <c r="U467" s="174">
        <v>5553109882</v>
      </c>
      <c r="V467" s="174">
        <v>6226259488</v>
      </c>
      <c r="W467" s="174">
        <v>5442605673</v>
      </c>
      <c r="X467" s="174">
        <v>6585230506</v>
      </c>
      <c r="Y467" s="174">
        <v>6310253708</v>
      </c>
      <c r="Z467" s="174">
        <v>5916652639</v>
      </c>
      <c r="AA467" s="174">
        <v>5196286413</v>
      </c>
      <c r="AB467" s="174">
        <v>4059288942</v>
      </c>
      <c r="AC467" s="174">
        <v>4808298924</v>
      </c>
      <c r="AD467" s="174">
        <v>4994609858</v>
      </c>
      <c r="AE467" s="174">
        <v>5585338524</v>
      </c>
      <c r="AF467" s="174">
        <v>5917398825</v>
      </c>
      <c r="AG467" s="174">
        <v>4661799753</v>
      </c>
      <c r="AH467" s="174">
        <v>3908546174</v>
      </c>
      <c r="AI467" s="174">
        <v>4440351508</v>
      </c>
      <c r="AJ467" s="174">
        <v>3654685021</v>
      </c>
      <c r="AK467" s="174">
        <v>4927092120</v>
      </c>
      <c r="AL467" s="174">
        <v>4161270200</v>
      </c>
      <c r="AM467" s="174">
        <v>5412591250</v>
      </c>
      <c r="AN467" s="174">
        <v>4900839381</v>
      </c>
      <c r="AO467" s="174">
        <v>4678306110</v>
      </c>
      <c r="AP467" s="174">
        <v>4132167841</v>
      </c>
      <c r="AQ467" s="174">
        <v>157148996098</v>
      </c>
    </row>
    <row r="468" spans="1:43" x14ac:dyDescent="0.2">
      <c r="A468" s="134">
        <v>45358</v>
      </c>
      <c r="B468" s="135">
        <f>YEAR(source[[#This Row],[report_date]])</f>
        <v>2024</v>
      </c>
      <c r="C468" s="136">
        <v>3</v>
      </c>
      <c r="D468" s="136">
        <f t="shared" si="36"/>
        <v>10</v>
      </c>
      <c r="E468" s="136">
        <f t="shared" si="37"/>
        <v>7</v>
      </c>
      <c r="F468" s="128" t="s">
        <v>56</v>
      </c>
      <c r="G468" s="128">
        <f>VLOOKUP(source[[#This Row],[lending_product_transform]],[3]Mapping!$B$4:$C$37,2,0)</f>
        <v>0</v>
      </c>
      <c r="H468" s="128">
        <f>VLOOKUP(source[[#This Row],[lending_product_transform]],[3]Mapping!$B$3:$D$37,3,0)</f>
        <v>0</v>
      </c>
      <c r="I468" s="135">
        <v>6241227647</v>
      </c>
      <c r="Q468" s="160">
        <f>AVERAGE(Q467:R467)/AVERAGE(L467:P467)</f>
        <v>1.1034896968670498</v>
      </c>
      <c r="X468" s="160">
        <f>AVERAGE(X467:Y467)/AVERAGE(S467:W467)</f>
        <v>1.20781119450985</v>
      </c>
      <c r="AE468" s="160">
        <f>AVERAGE(AE467:AF467)/AVERAGE(Z467:AD467)</f>
        <v>1.1514188542956871</v>
      </c>
    </row>
    <row r="469" spans="1:43" x14ac:dyDescent="0.2">
      <c r="A469" s="134">
        <v>45358</v>
      </c>
      <c r="B469" s="135">
        <f>YEAR(source[[#This Row],[report_date]])</f>
        <v>2024</v>
      </c>
      <c r="C469" s="136">
        <v>3</v>
      </c>
      <c r="D469" s="136">
        <f t="shared" si="36"/>
        <v>10</v>
      </c>
      <c r="E469" s="136">
        <f t="shared" si="37"/>
        <v>7</v>
      </c>
      <c r="F469" s="128" t="s">
        <v>58</v>
      </c>
      <c r="G469" s="128" t="str">
        <f>VLOOKUP(source[[#This Row],[lending_product_transform]],[3]Mapping!$B$4:$C$37,2,0)</f>
        <v>[VDS] - Payroll Cashloan</v>
      </c>
      <c r="H469" s="128" t="str">
        <f>VLOOKUP(source[[#This Row],[lending_product_transform]],[3]Mapping!$B$3:$D$37,3,0)</f>
        <v>cashloan</v>
      </c>
      <c r="I469" s="135">
        <v>79000000</v>
      </c>
      <c r="L469" s="144">
        <f t="shared" ref="L469:AF469" si="38">SUM(L465:L466)</f>
        <v>1020552822</v>
      </c>
      <c r="M469" s="144">
        <f t="shared" si="38"/>
        <v>1173643297</v>
      </c>
      <c r="N469" s="144">
        <f t="shared" si="38"/>
        <v>1531459737</v>
      </c>
      <c r="O469" s="144">
        <f t="shared" si="38"/>
        <v>1324528203</v>
      </c>
      <c r="P469" s="144">
        <f t="shared" si="38"/>
        <v>1816741138</v>
      </c>
      <c r="Q469" s="144">
        <f t="shared" si="38"/>
        <v>1804999006</v>
      </c>
      <c r="R469" s="144">
        <f t="shared" si="38"/>
        <v>1206038087</v>
      </c>
      <c r="S469" s="144">
        <f t="shared" si="38"/>
        <v>812590807</v>
      </c>
      <c r="T469" s="144">
        <f t="shared" si="38"/>
        <v>953070261</v>
      </c>
      <c r="U469" s="144">
        <f t="shared" si="38"/>
        <v>798079882</v>
      </c>
      <c r="V469" s="144">
        <f t="shared" si="38"/>
        <v>931319488</v>
      </c>
      <c r="W469" s="144">
        <f t="shared" si="38"/>
        <v>977875673</v>
      </c>
      <c r="X469" s="144">
        <f t="shared" si="38"/>
        <v>1347440506</v>
      </c>
      <c r="Y469" s="144">
        <f t="shared" si="38"/>
        <v>815753708</v>
      </c>
      <c r="Z469" s="144">
        <f t="shared" si="38"/>
        <v>981772639</v>
      </c>
      <c r="AA469" s="144">
        <f t="shared" si="38"/>
        <v>807496413</v>
      </c>
      <c r="AB469" s="144">
        <f t="shared" si="38"/>
        <v>660068942</v>
      </c>
      <c r="AC469" s="144">
        <f t="shared" si="38"/>
        <v>829548924</v>
      </c>
      <c r="AD469" s="144">
        <f t="shared" si="38"/>
        <v>719509858</v>
      </c>
      <c r="AE469" s="144">
        <f t="shared" si="38"/>
        <v>1101688524</v>
      </c>
      <c r="AF469" s="144">
        <f t="shared" si="38"/>
        <v>982098825</v>
      </c>
    </row>
    <row r="470" spans="1:43" x14ac:dyDescent="0.2">
      <c r="A470" s="134">
        <v>45358</v>
      </c>
      <c r="B470" s="135">
        <f>YEAR(source[[#This Row],[report_date]])</f>
        <v>2024</v>
      </c>
      <c r="C470" s="136">
        <v>3</v>
      </c>
      <c r="D470" s="136">
        <f t="shared" si="36"/>
        <v>10</v>
      </c>
      <c r="E470" s="136">
        <f t="shared" si="37"/>
        <v>7</v>
      </c>
      <c r="F470" s="128" t="s">
        <v>19</v>
      </c>
      <c r="G470" s="128" t="str">
        <f>VLOOKUP(source[[#This Row],[lending_product_transform]],[3]Mapping!$B$4:$C$37,2,0)</f>
        <v>[VDS] - Payday</v>
      </c>
      <c r="H470" s="128" t="str">
        <f>VLOOKUP(source[[#This Row],[lending_product_transform]],[3]Mapping!$B$3:$D$37,3,0)</f>
        <v>payday</v>
      </c>
      <c r="I470" s="135">
        <v>2115000000</v>
      </c>
      <c r="Q470" s="160">
        <f>AVERAGE(Q469:R469)/AVERAGE(L469:P469)</f>
        <v>1.0962100964473342</v>
      </c>
      <c r="X470" s="160">
        <f>AVERAGE(X469:Y469)/AVERAGE(S469:W469)</f>
        <v>1.2090460048603184</v>
      </c>
      <c r="AE470" s="160">
        <f>AVERAGE(AE469:AF469)/AVERAGE(Z469:AD469)</f>
        <v>1.3028892989733643</v>
      </c>
    </row>
    <row r="471" spans="1:43" x14ac:dyDescent="0.2">
      <c r="A471" s="134">
        <v>45358</v>
      </c>
      <c r="B471" s="135">
        <f>YEAR(source[[#This Row],[report_date]])</f>
        <v>2024</v>
      </c>
      <c r="C471" s="136">
        <v>3</v>
      </c>
      <c r="D471" s="136">
        <f t="shared" si="36"/>
        <v>10</v>
      </c>
      <c r="E471" s="136">
        <f t="shared" si="37"/>
        <v>7</v>
      </c>
      <c r="F471" s="128" t="s">
        <v>65</v>
      </c>
      <c r="G471" s="128" t="str">
        <f>VLOOKUP(source[[#This Row],[lending_product_transform]],[3]Mapping!$B$4:$C$37,2,0)</f>
        <v>[BE] - Cashloan</v>
      </c>
      <c r="H471" s="128" t="str">
        <f>VLOOKUP(source[[#This Row],[lending_product_transform]],[3]Mapping!$B$3:$D$37,3,0)</f>
        <v>cashloan</v>
      </c>
      <c r="I471" s="135">
        <v>158550000</v>
      </c>
    </row>
    <row r="472" spans="1:43" x14ac:dyDescent="0.2">
      <c r="A472" s="134">
        <v>45359</v>
      </c>
      <c r="B472" s="135">
        <f>YEAR(source[[#This Row],[report_date]])</f>
        <v>2024</v>
      </c>
      <c r="C472" s="136">
        <v>3</v>
      </c>
      <c r="D472" s="136">
        <f t="shared" si="36"/>
        <v>10</v>
      </c>
      <c r="E472" s="136">
        <f t="shared" si="37"/>
        <v>8</v>
      </c>
      <c r="F472" s="128" t="s">
        <v>67</v>
      </c>
      <c r="G472" s="128" t="str">
        <f>VLOOKUP(source[[#This Row],[lending_product_transform]],[3]Mapping!$B$4:$C$37,2,0)</f>
        <v>[Cake] - Overdraft</v>
      </c>
      <c r="H472" s="128" t="str">
        <f>VLOOKUP(source[[#This Row],[lending_product_transform]],[3]Mapping!$B$3:$D$37,3,0)</f>
        <v>overdraft</v>
      </c>
      <c r="I472" s="135">
        <v>2528824692</v>
      </c>
    </row>
    <row r="473" spans="1:43" x14ac:dyDescent="0.2">
      <c r="A473" s="134">
        <v>45359</v>
      </c>
      <c r="B473" s="135">
        <f>YEAR(source[[#This Row],[report_date]])</f>
        <v>2024</v>
      </c>
      <c r="C473" s="136">
        <v>3</v>
      </c>
      <c r="D473" s="136">
        <f t="shared" si="36"/>
        <v>10</v>
      </c>
      <c r="E473" s="136">
        <f t="shared" si="37"/>
        <v>8</v>
      </c>
      <c r="F473" s="128" t="s">
        <v>19</v>
      </c>
      <c r="G473" s="128" t="str">
        <f>VLOOKUP(source[[#This Row],[lending_product_transform]],[3]Mapping!$B$4:$C$37,2,0)</f>
        <v>[VDS] - Payday</v>
      </c>
      <c r="H473" s="128" t="str">
        <f>VLOOKUP(source[[#This Row],[lending_product_transform]],[3]Mapping!$B$3:$D$37,3,0)</f>
        <v>payday</v>
      </c>
      <c r="I473" s="135">
        <v>1999000000</v>
      </c>
    </row>
    <row r="474" spans="1:43" x14ac:dyDescent="0.2">
      <c r="A474" s="134">
        <v>45359</v>
      </c>
      <c r="B474" s="135">
        <f>YEAR(source[[#This Row],[report_date]])</f>
        <v>2024</v>
      </c>
      <c r="C474" s="136">
        <v>3</v>
      </c>
      <c r="D474" s="136">
        <f t="shared" si="36"/>
        <v>10</v>
      </c>
      <c r="E474" s="136">
        <f t="shared" si="37"/>
        <v>8</v>
      </c>
      <c r="F474" s="128" t="s">
        <v>61</v>
      </c>
      <c r="G474" s="128" t="str">
        <f>VLOOKUP(source[[#This Row],[lending_product_transform]],[3]Mapping!$B$4:$C$37,2,0)</f>
        <v>[VDS] - Payroll Payday</v>
      </c>
      <c r="H474" s="128" t="str">
        <f>VLOOKUP(source[[#This Row],[lending_product_transform]],[3]Mapping!$B$3:$D$37,3,0)</f>
        <v>payday</v>
      </c>
      <c r="I474" s="135">
        <v>39000000</v>
      </c>
    </row>
    <row r="475" spans="1:43" x14ac:dyDescent="0.2">
      <c r="A475" s="134">
        <v>45359</v>
      </c>
      <c r="B475" s="135">
        <f>YEAR(source[[#This Row],[report_date]])</f>
        <v>2024</v>
      </c>
      <c r="C475" s="136">
        <v>3</v>
      </c>
      <c r="D475" s="136">
        <f t="shared" si="36"/>
        <v>10</v>
      </c>
      <c r="E475" s="136">
        <f t="shared" si="37"/>
        <v>8</v>
      </c>
      <c r="F475" s="128" t="s">
        <v>65</v>
      </c>
      <c r="G475" s="128" t="str">
        <f>VLOOKUP(source[[#This Row],[lending_product_transform]],[3]Mapping!$B$4:$C$37,2,0)</f>
        <v>[BE] - Cashloan</v>
      </c>
      <c r="H475" s="128" t="str">
        <f>VLOOKUP(source[[#This Row],[lending_product_transform]],[3]Mapping!$B$3:$D$37,3,0)</f>
        <v>cashloan</v>
      </c>
      <c r="I475" s="135">
        <v>159600000</v>
      </c>
    </row>
    <row r="476" spans="1:43" x14ac:dyDescent="0.2">
      <c r="A476" s="134">
        <v>45359</v>
      </c>
      <c r="B476" s="135">
        <f>YEAR(source[[#This Row],[report_date]])</f>
        <v>2024</v>
      </c>
      <c r="C476" s="136">
        <v>3</v>
      </c>
      <c r="D476" s="136">
        <f t="shared" si="36"/>
        <v>10</v>
      </c>
      <c r="E476" s="136">
        <f t="shared" si="37"/>
        <v>8</v>
      </c>
      <c r="F476" s="128" t="s">
        <v>58</v>
      </c>
      <c r="G476" s="128" t="str">
        <f>VLOOKUP(source[[#This Row],[lending_product_transform]],[3]Mapping!$B$4:$C$37,2,0)</f>
        <v>[VDS] - Payroll Cashloan</v>
      </c>
      <c r="H476" s="128" t="str">
        <f>VLOOKUP(source[[#This Row],[lending_product_transform]],[3]Mapping!$B$3:$D$37,3,0)</f>
        <v>cashloan</v>
      </c>
      <c r="I476" s="135">
        <v>31500000</v>
      </c>
      <c r="K476" s="177" t="s">
        <v>69</v>
      </c>
      <c r="L476" s="181" t="s">
        <v>202</v>
      </c>
      <c r="M476" s="177"/>
      <c r="N476" s="177"/>
      <c r="O476" s="177"/>
      <c r="P476" s="177"/>
      <c r="Q476" s="17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</row>
    <row r="477" spans="1:43" x14ac:dyDescent="0.2">
      <c r="A477" s="134">
        <v>45359</v>
      </c>
      <c r="B477" s="135">
        <f>YEAR(source[[#This Row],[report_date]])</f>
        <v>2024</v>
      </c>
      <c r="C477" s="136">
        <v>3</v>
      </c>
      <c r="D477" s="136">
        <f t="shared" si="36"/>
        <v>10</v>
      </c>
      <c r="E477" s="136">
        <f t="shared" si="37"/>
        <v>8</v>
      </c>
      <c r="F477" s="128" t="s">
        <v>11</v>
      </c>
      <c r="G477" s="128" t="str">
        <f>VLOOKUP(source[[#This Row],[lending_product_transform]],[3]Mapping!$B$4:$C$37,2,0)</f>
        <v>[VDS] - Cashloan</v>
      </c>
      <c r="H477" s="128" t="str">
        <f>VLOOKUP(source[[#This Row],[lending_product_transform]],[3]Mapping!$B$3:$D$37,3,0)</f>
        <v>cashloan</v>
      </c>
      <c r="I477" s="135">
        <v>1366390000</v>
      </c>
      <c r="K477" s="177"/>
      <c r="L477" s="184">
        <v>2026</v>
      </c>
      <c r="M477" s="181"/>
      <c r="N477" s="181"/>
      <c r="O477" s="181"/>
      <c r="P477" s="184" t="s">
        <v>204</v>
      </c>
      <c r="Q477" s="174" t="s">
        <v>68</v>
      </c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</row>
    <row r="478" spans="1:43" x14ac:dyDescent="0.2">
      <c r="A478" s="134">
        <v>45359</v>
      </c>
      <c r="B478" s="135">
        <f>YEAR(source[[#This Row],[report_date]])</f>
        <v>2024</v>
      </c>
      <c r="C478" s="136">
        <v>3</v>
      </c>
      <c r="D478" s="136">
        <f t="shared" si="36"/>
        <v>10</v>
      </c>
      <c r="E478" s="136">
        <f t="shared" si="37"/>
        <v>8</v>
      </c>
      <c r="F478" s="128" t="s">
        <v>56</v>
      </c>
      <c r="G478" s="128">
        <f>VLOOKUP(source[[#This Row],[lending_product_transform]],[3]Mapping!$B$4:$C$37,2,0)</f>
        <v>0</v>
      </c>
      <c r="H478" s="128">
        <f>VLOOKUP(source[[#This Row],[lending_product_transform]],[3]Mapping!$B$3:$D$37,3,0)</f>
        <v>0</v>
      </c>
      <c r="I478" s="135">
        <v>6124314692</v>
      </c>
      <c r="K478" s="177" t="s">
        <v>205</v>
      </c>
      <c r="L478" s="174">
        <v>1</v>
      </c>
      <c r="M478" s="174">
        <v>2</v>
      </c>
      <c r="N478" s="174">
        <v>3</v>
      </c>
      <c r="O478" s="174">
        <v>4</v>
      </c>
      <c r="P478" s="181"/>
      <c r="Q478" s="17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</row>
    <row r="479" spans="1:43" x14ac:dyDescent="0.2">
      <c r="A479" s="134">
        <v>45360</v>
      </c>
      <c r="B479" s="135">
        <f>YEAR(source[[#This Row],[report_date]])</f>
        <v>2024</v>
      </c>
      <c r="C479" s="136">
        <v>3</v>
      </c>
      <c r="D479" s="136">
        <f t="shared" si="36"/>
        <v>10</v>
      </c>
      <c r="E479" s="136">
        <f t="shared" si="37"/>
        <v>9</v>
      </c>
      <c r="F479" s="128" t="s">
        <v>19</v>
      </c>
      <c r="G479" s="128" t="str">
        <f>VLOOKUP(source[[#This Row],[lending_product_transform]],[3]Mapping!$B$4:$C$37,2,0)</f>
        <v>[VDS] - Payday</v>
      </c>
      <c r="H479" s="128" t="str">
        <f>VLOOKUP(source[[#This Row],[lending_product_transform]],[3]Mapping!$B$3:$D$37,3,0)</f>
        <v>payday</v>
      </c>
      <c r="I479" s="135">
        <v>1924000000</v>
      </c>
      <c r="K479" s="179" t="s">
        <v>65</v>
      </c>
      <c r="L479" s="178">
        <v>21136600000</v>
      </c>
      <c r="M479" s="178">
        <v>15124750000</v>
      </c>
      <c r="N479" s="178">
        <v>23471820000</v>
      </c>
      <c r="O479" s="178">
        <v>11086010000</v>
      </c>
      <c r="P479" s="178">
        <v>70819180000</v>
      </c>
      <c r="Q479" s="178">
        <v>70819180000</v>
      </c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</row>
    <row r="480" spans="1:43" x14ac:dyDescent="0.2">
      <c r="A480" s="134">
        <v>45360</v>
      </c>
      <c r="B480" s="135">
        <f>YEAR(source[[#This Row],[report_date]])</f>
        <v>2024</v>
      </c>
      <c r="C480" s="136">
        <v>3</v>
      </c>
      <c r="D480" s="136">
        <f t="shared" si="36"/>
        <v>10</v>
      </c>
      <c r="E480" s="136">
        <f t="shared" si="37"/>
        <v>9</v>
      </c>
      <c r="F480" s="128" t="s">
        <v>58</v>
      </c>
      <c r="G480" s="128" t="str">
        <f>VLOOKUP(source[[#This Row],[lending_product_transform]],[3]Mapping!$B$4:$C$37,2,0)</f>
        <v>[VDS] - Payroll Cashloan</v>
      </c>
      <c r="H480" s="128" t="str">
        <f>VLOOKUP(source[[#This Row],[lending_product_transform]],[3]Mapping!$B$3:$D$37,3,0)</f>
        <v>cashloan</v>
      </c>
      <c r="I480" s="135">
        <v>72500000</v>
      </c>
      <c r="K480" s="179" t="s">
        <v>66</v>
      </c>
      <c r="L480" s="178">
        <v>10867603221</v>
      </c>
      <c r="M480" s="178">
        <v>9233648329</v>
      </c>
      <c r="N480" s="178">
        <v>10631003862</v>
      </c>
      <c r="O480" s="178">
        <v>6074285199</v>
      </c>
      <c r="P480" s="178">
        <v>36806540611</v>
      </c>
      <c r="Q480" s="178">
        <v>36806540611</v>
      </c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</row>
    <row r="481" spans="1:27" x14ac:dyDescent="0.2">
      <c r="A481" s="134">
        <v>45360</v>
      </c>
      <c r="B481" s="135">
        <f>YEAR(source[[#This Row],[report_date]])</f>
        <v>2024</v>
      </c>
      <c r="C481" s="136">
        <v>3</v>
      </c>
      <c r="D481" s="136">
        <f t="shared" si="36"/>
        <v>10</v>
      </c>
      <c r="E481" s="136">
        <f t="shared" si="37"/>
        <v>9</v>
      </c>
      <c r="F481" s="128" t="s">
        <v>11</v>
      </c>
      <c r="G481" s="128" t="str">
        <f>VLOOKUP(source[[#This Row],[lending_product_transform]],[3]Mapping!$B$4:$C$37,2,0)</f>
        <v>[VDS] - Cashloan</v>
      </c>
      <c r="H481" s="128" t="str">
        <f>VLOOKUP(source[[#This Row],[lending_product_transform]],[3]Mapping!$B$3:$D$37,3,0)</f>
        <v>cashloan</v>
      </c>
      <c r="I481" s="135">
        <v>1468850000</v>
      </c>
      <c r="K481" s="179" t="s">
        <v>24</v>
      </c>
      <c r="L481" s="178">
        <v>467929410000</v>
      </c>
      <c r="M481" s="178">
        <v>316516710000</v>
      </c>
      <c r="N481" s="178">
        <v>399979990000</v>
      </c>
      <c r="O481" s="178">
        <v>308793840000</v>
      </c>
      <c r="P481" s="178">
        <v>1493219950000</v>
      </c>
      <c r="Q481" s="178">
        <v>1493219950000</v>
      </c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</row>
    <row r="482" spans="1:27" x14ac:dyDescent="0.2">
      <c r="A482" s="134">
        <v>45360</v>
      </c>
      <c r="B482" s="135">
        <f>YEAR(source[[#This Row],[report_date]])</f>
        <v>2024</v>
      </c>
      <c r="C482" s="136">
        <v>3</v>
      </c>
      <c r="D482" s="136">
        <f t="shared" si="36"/>
        <v>10</v>
      </c>
      <c r="E482" s="136">
        <f t="shared" si="37"/>
        <v>9</v>
      </c>
      <c r="F482" s="128" t="s">
        <v>65</v>
      </c>
      <c r="G482" s="128" t="str">
        <f>VLOOKUP(source[[#This Row],[lending_product_transform]],[3]Mapping!$B$4:$C$37,2,0)</f>
        <v>[BE] - Cashloan</v>
      </c>
      <c r="H482" s="128" t="str">
        <f>VLOOKUP(source[[#This Row],[lending_product_transform]],[3]Mapping!$B$3:$D$37,3,0)</f>
        <v>cashloan</v>
      </c>
      <c r="I482" s="135">
        <v>99750000</v>
      </c>
      <c r="K482" s="179" t="s">
        <v>67</v>
      </c>
      <c r="L482" s="178">
        <v>63409743099</v>
      </c>
      <c r="M482" s="178">
        <v>53755295193</v>
      </c>
      <c r="N482" s="178">
        <v>55189788461</v>
      </c>
      <c r="O482" s="178">
        <v>32916674973</v>
      </c>
      <c r="P482" s="178">
        <v>205271501726</v>
      </c>
      <c r="Q482" s="178">
        <v>205271501726</v>
      </c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</row>
    <row r="483" spans="1:27" x14ac:dyDescent="0.2">
      <c r="A483" s="134">
        <v>45360</v>
      </c>
      <c r="B483" s="135">
        <f>YEAR(source[[#This Row],[report_date]])</f>
        <v>2024</v>
      </c>
      <c r="C483" s="136">
        <v>3</v>
      </c>
      <c r="D483" s="136">
        <f t="shared" si="36"/>
        <v>10</v>
      </c>
      <c r="E483" s="136">
        <f t="shared" si="37"/>
        <v>9</v>
      </c>
      <c r="F483" s="128" t="s">
        <v>56</v>
      </c>
      <c r="G483" s="128">
        <f>VLOOKUP(source[[#This Row],[lending_product_transform]],[3]Mapping!$B$4:$C$37,2,0)</f>
        <v>0</v>
      </c>
      <c r="H483" s="128">
        <f>VLOOKUP(source[[#This Row],[lending_product_transform]],[3]Mapping!$B$3:$D$37,3,0)</f>
        <v>0</v>
      </c>
      <c r="I483" s="135">
        <v>5525151251</v>
      </c>
      <c r="K483" s="179" t="s">
        <v>206</v>
      </c>
      <c r="L483" s="178">
        <v>0</v>
      </c>
      <c r="M483" s="178">
        <v>0</v>
      </c>
      <c r="N483" s="178">
        <v>0</v>
      </c>
      <c r="O483" s="178">
        <v>0</v>
      </c>
      <c r="P483" s="178">
        <v>0</v>
      </c>
      <c r="Q483" s="178">
        <v>0</v>
      </c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</row>
    <row r="484" spans="1:27" x14ac:dyDescent="0.2">
      <c r="A484" s="134">
        <v>45360</v>
      </c>
      <c r="B484" s="135">
        <f>YEAR(source[[#This Row],[report_date]])</f>
        <v>2024</v>
      </c>
      <c r="C484" s="136">
        <v>3</v>
      </c>
      <c r="D484" s="136">
        <f t="shared" si="36"/>
        <v>10</v>
      </c>
      <c r="E484" s="136">
        <f t="shared" si="37"/>
        <v>9</v>
      </c>
      <c r="F484" s="128" t="s">
        <v>67</v>
      </c>
      <c r="G484" s="128" t="str">
        <f>VLOOKUP(source[[#This Row],[lending_product_transform]],[3]Mapping!$B$4:$C$37,2,0)</f>
        <v>[Cake] - Overdraft</v>
      </c>
      <c r="H484" s="128" t="str">
        <f>VLOOKUP(source[[#This Row],[lending_product_transform]],[3]Mapping!$B$3:$D$37,3,0)</f>
        <v>overdraft</v>
      </c>
      <c r="I484" s="135">
        <v>1934051251</v>
      </c>
      <c r="K484" s="179" t="s">
        <v>11</v>
      </c>
      <c r="L484" s="178">
        <v>521571950000</v>
      </c>
      <c r="M484" s="178">
        <v>382545260000</v>
      </c>
      <c r="N484" s="178">
        <v>495975240000</v>
      </c>
      <c r="O484" s="178">
        <v>321081090000</v>
      </c>
      <c r="P484" s="178">
        <v>1721173540000</v>
      </c>
      <c r="Q484" s="178">
        <v>1721173540000</v>
      </c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</row>
    <row r="485" spans="1:27" x14ac:dyDescent="0.2">
      <c r="A485" s="134">
        <v>45360</v>
      </c>
      <c r="B485" s="135">
        <f>YEAR(source[[#This Row],[report_date]])</f>
        <v>2024</v>
      </c>
      <c r="C485" s="136">
        <v>3</v>
      </c>
      <c r="D485" s="136">
        <f t="shared" si="36"/>
        <v>10</v>
      </c>
      <c r="E485" s="136">
        <f t="shared" si="37"/>
        <v>9</v>
      </c>
      <c r="F485" s="128" t="s">
        <v>61</v>
      </c>
      <c r="G485" s="128" t="str">
        <f>VLOOKUP(source[[#This Row],[lending_product_transform]],[3]Mapping!$B$4:$C$37,2,0)</f>
        <v>[VDS] - Payroll Payday</v>
      </c>
      <c r="H485" s="128" t="str">
        <f>VLOOKUP(source[[#This Row],[lending_product_transform]],[3]Mapping!$B$3:$D$37,3,0)</f>
        <v>payday</v>
      </c>
      <c r="I485" s="135">
        <v>26000000</v>
      </c>
      <c r="K485" s="179" t="s">
        <v>207</v>
      </c>
      <c r="L485" s="178">
        <v>0</v>
      </c>
      <c r="M485" s="178">
        <v>0</v>
      </c>
      <c r="N485" s="178">
        <v>0</v>
      </c>
      <c r="O485" s="178">
        <v>0</v>
      </c>
      <c r="P485" s="178">
        <v>0</v>
      </c>
      <c r="Q485" s="178">
        <v>0</v>
      </c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</row>
    <row r="486" spans="1:27" x14ac:dyDescent="0.2">
      <c r="A486" s="134">
        <v>45361</v>
      </c>
      <c r="B486" s="135">
        <f>YEAR(source[[#This Row],[report_date]])</f>
        <v>2024</v>
      </c>
      <c r="C486" s="136">
        <v>3</v>
      </c>
      <c r="D486" s="136">
        <f t="shared" si="36"/>
        <v>10</v>
      </c>
      <c r="E486" s="136">
        <f t="shared" si="37"/>
        <v>10</v>
      </c>
      <c r="F486" s="128" t="s">
        <v>61</v>
      </c>
      <c r="G486" s="128" t="str">
        <f>VLOOKUP(source[[#This Row],[lending_product_transform]],[3]Mapping!$B$4:$C$37,2,0)</f>
        <v>[VDS] - Payroll Payday</v>
      </c>
      <c r="H486" s="128" t="str">
        <f>VLOOKUP(source[[#This Row],[lending_product_transform]],[3]Mapping!$B$3:$D$37,3,0)</f>
        <v>payday</v>
      </c>
      <c r="I486" s="135">
        <v>33000000</v>
      </c>
      <c r="K486" s="179" t="s">
        <v>19</v>
      </c>
      <c r="L486" s="178">
        <v>336025800000</v>
      </c>
      <c r="M486" s="178">
        <v>290364048000</v>
      </c>
      <c r="N486" s="178">
        <v>358579116000</v>
      </c>
      <c r="O486" s="178">
        <v>214645032000</v>
      </c>
      <c r="P486" s="178">
        <v>1199613996000</v>
      </c>
      <c r="Q486" s="178">
        <v>1199613996000</v>
      </c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</row>
    <row r="487" spans="1:27" x14ac:dyDescent="0.2">
      <c r="A487" s="134">
        <v>45361</v>
      </c>
      <c r="B487" s="135">
        <f>YEAR(source[[#This Row],[report_date]])</f>
        <v>2024</v>
      </c>
      <c r="C487" s="136">
        <v>3</v>
      </c>
      <c r="D487" s="136">
        <f t="shared" si="36"/>
        <v>10</v>
      </c>
      <c r="E487" s="136">
        <f t="shared" si="37"/>
        <v>10</v>
      </c>
      <c r="F487" s="128" t="s">
        <v>56</v>
      </c>
      <c r="G487" s="128">
        <f>VLOOKUP(source[[#This Row],[lending_product_transform]],[3]Mapping!$B$4:$C$37,2,0)</f>
        <v>0</v>
      </c>
      <c r="H487" s="128">
        <f>VLOOKUP(source[[#This Row],[lending_product_transform]],[3]Mapping!$B$3:$D$37,3,0)</f>
        <v>0</v>
      </c>
      <c r="I487" s="135">
        <v>5021270777</v>
      </c>
      <c r="K487" s="179" t="s">
        <v>62</v>
      </c>
      <c r="L487" s="178">
        <v>7773898216</v>
      </c>
      <c r="M487" s="178">
        <v>6381405779</v>
      </c>
      <c r="N487" s="178">
        <v>7171896994</v>
      </c>
      <c r="O487" s="178">
        <v>5453359780</v>
      </c>
      <c r="P487" s="178">
        <v>26780560769</v>
      </c>
      <c r="Q487" s="178">
        <v>26780560769</v>
      </c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</row>
    <row r="488" spans="1:27" x14ac:dyDescent="0.2">
      <c r="A488" s="134">
        <v>45361</v>
      </c>
      <c r="B488" s="135">
        <f>YEAR(source[[#This Row],[report_date]])</f>
        <v>2024</v>
      </c>
      <c r="C488" s="136">
        <v>3</v>
      </c>
      <c r="D488" s="136">
        <f t="shared" si="36"/>
        <v>10</v>
      </c>
      <c r="E488" s="136">
        <f t="shared" si="37"/>
        <v>10</v>
      </c>
      <c r="F488" s="128" t="s">
        <v>19</v>
      </c>
      <c r="G488" s="128" t="str">
        <f>VLOOKUP(source[[#This Row],[lending_product_transform]],[3]Mapping!$B$4:$C$37,2,0)</f>
        <v>[VDS] - Payday</v>
      </c>
      <c r="H488" s="128" t="str">
        <f>VLOOKUP(source[[#This Row],[lending_product_transform]],[3]Mapping!$B$3:$D$37,3,0)</f>
        <v>payday</v>
      </c>
      <c r="I488" s="135">
        <v>1570000000</v>
      </c>
      <c r="K488" s="179" t="s">
        <v>58</v>
      </c>
      <c r="L488" s="178">
        <v>828250000</v>
      </c>
      <c r="M488" s="178">
        <v>1241950000</v>
      </c>
      <c r="N488" s="178">
        <v>1396650000</v>
      </c>
      <c r="O488" s="178">
        <v>710550000</v>
      </c>
      <c r="P488" s="178">
        <v>4177400000</v>
      </c>
      <c r="Q488" s="178">
        <v>4177400000</v>
      </c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</row>
    <row r="489" spans="1:27" x14ac:dyDescent="0.2">
      <c r="A489" s="134">
        <v>45361</v>
      </c>
      <c r="B489" s="135">
        <f>YEAR(source[[#This Row],[report_date]])</f>
        <v>2024</v>
      </c>
      <c r="C489" s="136">
        <v>3</v>
      </c>
      <c r="D489" s="136">
        <f t="shared" si="36"/>
        <v>10</v>
      </c>
      <c r="E489" s="136">
        <f t="shared" si="37"/>
        <v>10</v>
      </c>
      <c r="F489" s="128" t="s">
        <v>11</v>
      </c>
      <c r="G489" s="128" t="str">
        <f>VLOOKUP(source[[#This Row],[lending_product_transform]],[3]Mapping!$B$4:$C$37,2,0)</f>
        <v>[VDS] - Cashloan</v>
      </c>
      <c r="H489" s="128" t="str">
        <f>VLOOKUP(source[[#This Row],[lending_product_transform]],[3]Mapping!$B$3:$D$37,3,0)</f>
        <v>cashloan</v>
      </c>
      <c r="I489" s="135">
        <v>1220070000</v>
      </c>
      <c r="K489" s="179" t="s">
        <v>61</v>
      </c>
      <c r="L489" s="178">
        <v>1439000000</v>
      </c>
      <c r="M489" s="178">
        <v>1267000000</v>
      </c>
      <c r="N489" s="178">
        <v>1666000000</v>
      </c>
      <c r="O489" s="178">
        <v>914000000</v>
      </c>
      <c r="P489" s="178">
        <v>5286000000</v>
      </c>
      <c r="Q489" s="178">
        <v>5286000000</v>
      </c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</row>
    <row r="490" spans="1:27" x14ac:dyDescent="0.2">
      <c r="A490" s="134">
        <v>45361</v>
      </c>
      <c r="B490" s="135">
        <f>YEAR(source[[#This Row],[report_date]])</f>
        <v>2024</v>
      </c>
      <c r="C490" s="136">
        <v>3</v>
      </c>
      <c r="D490" s="136">
        <f t="shared" si="36"/>
        <v>10</v>
      </c>
      <c r="E490" s="136">
        <f t="shared" si="37"/>
        <v>10</v>
      </c>
      <c r="F490" s="128" t="s">
        <v>67</v>
      </c>
      <c r="G490" s="128" t="str">
        <f>VLOOKUP(source[[#This Row],[lending_product_transform]],[3]Mapping!$B$4:$C$37,2,0)</f>
        <v>[Cake] - Overdraft</v>
      </c>
      <c r="H490" s="128" t="str">
        <f>VLOOKUP(source[[#This Row],[lending_product_transform]],[3]Mapping!$B$3:$D$37,3,0)</f>
        <v>overdraft</v>
      </c>
      <c r="I490" s="135">
        <v>1951450777</v>
      </c>
      <c r="K490" s="179" t="s">
        <v>36</v>
      </c>
      <c r="L490" s="178">
        <v>175520760000</v>
      </c>
      <c r="M490" s="178">
        <v>119770500000</v>
      </c>
      <c r="N490" s="178">
        <v>103979450000</v>
      </c>
      <c r="O490" s="178">
        <v>67853270000</v>
      </c>
      <c r="P490" s="178">
        <v>467123980000</v>
      </c>
      <c r="Q490" s="178">
        <v>467123980000</v>
      </c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</row>
    <row r="491" spans="1:27" x14ac:dyDescent="0.2">
      <c r="A491" s="134">
        <v>45361</v>
      </c>
      <c r="B491" s="135">
        <f>YEAR(source[[#This Row],[report_date]])</f>
        <v>2024</v>
      </c>
      <c r="C491" s="136">
        <v>3</v>
      </c>
      <c r="D491" s="136">
        <f t="shared" si="36"/>
        <v>10</v>
      </c>
      <c r="E491" s="136">
        <f t="shared" si="37"/>
        <v>10</v>
      </c>
      <c r="F491" s="128" t="s">
        <v>58</v>
      </c>
      <c r="G491" s="128" t="str">
        <f>VLOOKUP(source[[#This Row],[lending_product_transform]],[3]Mapping!$B$4:$C$37,2,0)</f>
        <v>[VDS] - Payroll Cashloan</v>
      </c>
      <c r="H491" s="128" t="str">
        <f>VLOOKUP(source[[#This Row],[lending_product_transform]],[3]Mapping!$B$3:$D$37,3,0)</f>
        <v>cashloan</v>
      </c>
      <c r="I491" s="135">
        <v>57750000</v>
      </c>
      <c r="K491" s="179" t="s">
        <v>208</v>
      </c>
      <c r="L491" s="178">
        <v>526616782</v>
      </c>
      <c r="M491" s="178">
        <v>406756258</v>
      </c>
      <c r="N491" s="178">
        <v>373336279</v>
      </c>
      <c r="O491" s="178">
        <v>28900933</v>
      </c>
      <c r="P491" s="178">
        <v>1335610252</v>
      </c>
      <c r="Q491" s="178">
        <v>1335610252</v>
      </c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</row>
    <row r="492" spans="1:27" x14ac:dyDescent="0.2">
      <c r="A492" s="134">
        <v>45361</v>
      </c>
      <c r="B492" s="135">
        <f>YEAR(source[[#This Row],[report_date]])</f>
        <v>2024</v>
      </c>
      <c r="C492" s="136">
        <v>3</v>
      </c>
      <c r="D492" s="136">
        <f t="shared" si="36"/>
        <v>10</v>
      </c>
      <c r="E492" s="136">
        <f t="shared" si="37"/>
        <v>10</v>
      </c>
      <c r="F492" s="128" t="s">
        <v>65</v>
      </c>
      <c r="G492" s="128" t="str">
        <f>VLOOKUP(source[[#This Row],[lending_product_transform]],[3]Mapping!$B$4:$C$37,2,0)</f>
        <v>[BE] - Cashloan</v>
      </c>
      <c r="H492" s="128" t="str">
        <f>VLOOKUP(source[[#This Row],[lending_product_transform]],[3]Mapping!$B$3:$D$37,3,0)</f>
        <v>cashloan</v>
      </c>
      <c r="I492" s="135">
        <v>189000000</v>
      </c>
      <c r="K492" s="179" t="s">
        <v>209</v>
      </c>
      <c r="L492" s="178">
        <v>7624150000</v>
      </c>
      <c r="M492" s="178">
        <v>2500020000</v>
      </c>
      <c r="N492" s="178">
        <v>2484250000</v>
      </c>
      <c r="O492" s="178">
        <v>1203800000</v>
      </c>
      <c r="P492" s="178">
        <v>13812220000</v>
      </c>
      <c r="Q492" s="178">
        <v>13812220000</v>
      </c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</row>
    <row r="493" spans="1:27" x14ac:dyDescent="0.2">
      <c r="A493" s="134">
        <v>45362</v>
      </c>
      <c r="B493" s="135">
        <f>YEAR(source[[#This Row],[report_date]])</f>
        <v>2024</v>
      </c>
      <c r="C493" s="136">
        <v>3</v>
      </c>
      <c r="D493" s="136">
        <f t="shared" si="36"/>
        <v>11</v>
      </c>
      <c r="E493" s="136">
        <f t="shared" si="37"/>
        <v>11</v>
      </c>
      <c r="F493" s="128" t="s">
        <v>61</v>
      </c>
      <c r="G493" s="128" t="str">
        <f>VLOOKUP(source[[#This Row],[lending_product_transform]],[3]Mapping!$B$4:$C$37,2,0)</f>
        <v>[VDS] - Payroll Payday</v>
      </c>
      <c r="H493" s="128" t="str">
        <f>VLOOKUP(source[[#This Row],[lending_product_transform]],[3]Mapping!$B$3:$D$37,3,0)</f>
        <v>payday</v>
      </c>
      <c r="I493" s="135">
        <v>62000000</v>
      </c>
      <c r="K493" s="179" t="s">
        <v>176</v>
      </c>
      <c r="L493" s="178">
        <v>45434907523</v>
      </c>
      <c r="M493" s="178">
        <v>42796229055</v>
      </c>
      <c r="N493" s="178">
        <v>36249366164</v>
      </c>
      <c r="O493" s="178">
        <v>23907255078</v>
      </c>
      <c r="P493" s="178">
        <v>148387757820</v>
      </c>
      <c r="Q493" s="178">
        <v>148387757820</v>
      </c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</row>
    <row r="494" spans="1:27" x14ac:dyDescent="0.2">
      <c r="A494" s="134">
        <v>45362</v>
      </c>
      <c r="B494" s="135">
        <f>YEAR(source[[#This Row],[report_date]])</f>
        <v>2024</v>
      </c>
      <c r="C494" s="136">
        <v>3</v>
      </c>
      <c r="D494" s="136">
        <f t="shared" si="36"/>
        <v>11</v>
      </c>
      <c r="E494" s="136">
        <f t="shared" si="37"/>
        <v>11</v>
      </c>
      <c r="F494" s="128" t="s">
        <v>67</v>
      </c>
      <c r="G494" s="128" t="str">
        <f>VLOOKUP(source[[#This Row],[lending_product_transform]],[3]Mapping!$B$4:$C$37,2,0)</f>
        <v>[Cake] - Overdraft</v>
      </c>
      <c r="H494" s="128" t="str">
        <f>VLOOKUP(source[[#This Row],[lending_product_transform]],[3]Mapping!$B$3:$D$37,3,0)</f>
        <v>overdraft</v>
      </c>
      <c r="I494" s="135">
        <v>2471531139</v>
      </c>
      <c r="K494" s="179" t="s">
        <v>175</v>
      </c>
      <c r="L494" s="178">
        <v>109227730000</v>
      </c>
      <c r="M494" s="178">
        <v>79426750000</v>
      </c>
      <c r="N494" s="178">
        <v>93530310000</v>
      </c>
      <c r="O494" s="178">
        <v>119669260000</v>
      </c>
      <c r="P494" s="178">
        <v>401854050000</v>
      </c>
      <c r="Q494" s="178">
        <v>401854050000</v>
      </c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</row>
    <row r="495" spans="1:27" x14ac:dyDescent="0.2">
      <c r="A495" s="134">
        <v>45362</v>
      </c>
      <c r="B495" s="135">
        <f>YEAR(source[[#This Row],[report_date]])</f>
        <v>2024</v>
      </c>
      <c r="C495" s="136">
        <v>3</v>
      </c>
      <c r="D495" s="136">
        <f t="shared" si="36"/>
        <v>11</v>
      </c>
      <c r="E495" s="136">
        <f t="shared" si="37"/>
        <v>11</v>
      </c>
      <c r="F495" s="128" t="s">
        <v>56</v>
      </c>
      <c r="G495" s="128">
        <f>VLOOKUP(source[[#This Row],[lending_product_transform]],[3]Mapping!$B$4:$C$37,2,0)</f>
        <v>0</v>
      </c>
      <c r="H495" s="128">
        <f>VLOOKUP(source[[#This Row],[lending_product_transform]],[3]Mapping!$B$3:$D$37,3,0)</f>
        <v>0</v>
      </c>
      <c r="I495" s="135">
        <v>6503891139</v>
      </c>
      <c r="K495" s="179" t="s">
        <v>59</v>
      </c>
      <c r="L495" s="178">
        <v>16072045824</v>
      </c>
      <c r="M495" s="178">
        <v>13685015637</v>
      </c>
      <c r="N495" s="178">
        <v>15025104610</v>
      </c>
      <c r="O495" s="178">
        <v>10096414944</v>
      </c>
      <c r="P495" s="178">
        <v>54878581015</v>
      </c>
      <c r="Q495" s="178">
        <v>54878581015</v>
      </c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</row>
    <row r="496" spans="1:27" x14ac:dyDescent="0.2">
      <c r="A496" s="134">
        <v>45362</v>
      </c>
      <c r="B496" s="135">
        <f>YEAR(source[[#This Row],[report_date]])</f>
        <v>2024</v>
      </c>
      <c r="C496" s="136">
        <v>3</v>
      </c>
      <c r="D496" s="136">
        <f t="shared" si="36"/>
        <v>11</v>
      </c>
      <c r="E496" s="136">
        <f t="shared" si="37"/>
        <v>11</v>
      </c>
      <c r="F496" s="128" t="s">
        <v>19</v>
      </c>
      <c r="G496" s="128" t="str">
        <f>VLOOKUP(source[[#This Row],[lending_product_transform]],[3]Mapping!$B$4:$C$37,2,0)</f>
        <v>[VDS] - Payday</v>
      </c>
      <c r="H496" s="128" t="str">
        <f>VLOOKUP(source[[#This Row],[lending_product_transform]],[3]Mapping!$B$3:$D$37,3,0)</f>
        <v>payday</v>
      </c>
      <c r="I496" s="135">
        <v>1986000000</v>
      </c>
      <c r="K496" s="179" t="s">
        <v>57</v>
      </c>
      <c r="L496" s="178">
        <v>27560260000</v>
      </c>
      <c r="M496" s="178">
        <v>21558320000</v>
      </c>
      <c r="N496" s="178">
        <v>24486590000</v>
      </c>
      <c r="O496" s="178">
        <v>14230640000</v>
      </c>
      <c r="P496" s="178">
        <v>87835810000</v>
      </c>
      <c r="Q496" s="178">
        <v>87835810000</v>
      </c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</row>
    <row r="497" spans="1:879" x14ac:dyDescent="0.2">
      <c r="A497" s="134">
        <v>45362</v>
      </c>
      <c r="B497" s="135">
        <f>YEAR(source[[#This Row],[report_date]])</f>
        <v>2024</v>
      </c>
      <c r="C497" s="136">
        <v>3</v>
      </c>
      <c r="D497" s="136">
        <f t="shared" si="36"/>
        <v>11</v>
      </c>
      <c r="E497" s="136">
        <f t="shared" si="37"/>
        <v>11</v>
      </c>
      <c r="F497" s="128" t="s">
        <v>58</v>
      </c>
      <c r="G497" s="128" t="str">
        <f>VLOOKUP(source[[#This Row],[lending_product_transform]],[3]Mapping!$B$4:$C$37,2,0)</f>
        <v>[VDS] - Payroll Cashloan</v>
      </c>
      <c r="H497" s="128" t="str">
        <f>VLOOKUP(source[[#This Row],[lending_product_transform]],[3]Mapping!$B$3:$D$37,3,0)</f>
        <v>cashloan</v>
      </c>
      <c r="I497" s="135">
        <v>69850000</v>
      </c>
      <c r="K497" s="179" t="s">
        <v>28</v>
      </c>
      <c r="L497" s="178">
        <v>432076356000</v>
      </c>
      <c r="M497" s="178">
        <v>344144160000</v>
      </c>
      <c r="N497" s="178">
        <v>422658864000</v>
      </c>
      <c r="O497" s="178">
        <v>275541588000</v>
      </c>
      <c r="P497" s="178">
        <v>1474420968000</v>
      </c>
      <c r="Q497" s="178">
        <v>1474420968000</v>
      </c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</row>
    <row r="498" spans="1:879" x14ac:dyDescent="0.2">
      <c r="A498" s="134">
        <v>45362</v>
      </c>
      <c r="B498" s="135">
        <f>YEAR(source[[#This Row],[report_date]])</f>
        <v>2024</v>
      </c>
      <c r="C498" s="136">
        <v>3</v>
      </c>
      <c r="D498" s="136">
        <f t="shared" si="36"/>
        <v>11</v>
      </c>
      <c r="E498" s="136">
        <f t="shared" si="37"/>
        <v>11</v>
      </c>
      <c r="F498" s="128" t="s">
        <v>11</v>
      </c>
      <c r="G498" s="128" t="str">
        <f>VLOOKUP(source[[#This Row],[lending_product_transform]],[3]Mapping!$B$4:$C$37,2,0)</f>
        <v>[VDS] - Cashloan</v>
      </c>
      <c r="H498" s="128" t="str">
        <f>VLOOKUP(source[[#This Row],[lending_product_transform]],[3]Mapping!$B$3:$D$37,3,0)</f>
        <v>cashloan</v>
      </c>
      <c r="I498" s="135">
        <v>1792710000</v>
      </c>
      <c r="K498" s="179" t="s">
        <v>63</v>
      </c>
      <c r="L498" s="178">
        <v>10493388000</v>
      </c>
      <c r="M498" s="178">
        <v>8188128000</v>
      </c>
      <c r="N498" s="178">
        <v>9678096000</v>
      </c>
      <c r="O498" s="178">
        <v>6256008000</v>
      </c>
      <c r="P498" s="178">
        <v>34615620000</v>
      </c>
      <c r="Q498" s="178">
        <v>34615620000</v>
      </c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</row>
    <row r="499" spans="1:879" x14ac:dyDescent="0.2">
      <c r="A499" s="134">
        <v>45362</v>
      </c>
      <c r="B499" s="135">
        <f>YEAR(source[[#This Row],[report_date]])</f>
        <v>2024</v>
      </c>
      <c r="C499" s="136">
        <v>3</v>
      </c>
      <c r="D499" s="136">
        <f t="shared" si="36"/>
        <v>11</v>
      </c>
      <c r="E499" s="136">
        <f t="shared" si="37"/>
        <v>11</v>
      </c>
      <c r="F499" s="128" t="s">
        <v>65</v>
      </c>
      <c r="G499" s="128" t="str">
        <f>VLOOKUP(source[[#This Row],[lending_product_transform]],[3]Mapping!$B$4:$C$37,2,0)</f>
        <v>[BE] - Cashloan</v>
      </c>
      <c r="H499" s="128" t="str">
        <f>VLOOKUP(source[[#This Row],[lending_product_transform]],[3]Mapping!$B$3:$D$37,3,0)</f>
        <v>cashloan</v>
      </c>
      <c r="I499" s="135">
        <v>121800000</v>
      </c>
      <c r="K499" s="179" t="s">
        <v>210</v>
      </c>
      <c r="L499" s="178">
        <v>13141000000</v>
      </c>
      <c r="M499" s="178">
        <v>12785920000</v>
      </c>
      <c r="N499" s="178">
        <v>5717952000</v>
      </c>
      <c r="O499" s="178">
        <v>73008000</v>
      </c>
      <c r="P499" s="178">
        <v>31717880000</v>
      </c>
      <c r="Q499" s="178">
        <v>31717880000</v>
      </c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</row>
    <row r="500" spans="1:879" x14ac:dyDescent="0.2">
      <c r="A500" s="134">
        <v>45363</v>
      </c>
      <c r="B500" s="135">
        <f>YEAR(source[[#This Row],[report_date]])</f>
        <v>2024</v>
      </c>
      <c r="C500" s="136">
        <v>3</v>
      </c>
      <c r="D500" s="136">
        <f t="shared" si="36"/>
        <v>11</v>
      </c>
      <c r="E500" s="136">
        <f t="shared" si="37"/>
        <v>12</v>
      </c>
      <c r="F500" s="128" t="s">
        <v>65</v>
      </c>
      <c r="G500" s="128" t="str">
        <f>VLOOKUP(source[[#This Row],[lending_product_transform]],[3]Mapping!$B$4:$C$37,2,0)</f>
        <v>[BE] - Cashloan</v>
      </c>
      <c r="H500" s="128" t="str">
        <f>VLOOKUP(source[[#This Row],[lending_product_transform]],[3]Mapping!$B$3:$D$37,3,0)</f>
        <v>cashloan</v>
      </c>
      <c r="I500" s="135">
        <v>277750000</v>
      </c>
      <c r="K500" s="179" t="s">
        <v>60</v>
      </c>
      <c r="L500" s="178">
        <v>936000000</v>
      </c>
      <c r="M500" s="178">
        <v>619000000</v>
      </c>
      <c r="N500" s="178">
        <v>1342000000</v>
      </c>
      <c r="O500" s="178">
        <v>780000000</v>
      </c>
      <c r="P500" s="178">
        <v>3677000000</v>
      </c>
      <c r="Q500" s="178">
        <v>3677000000</v>
      </c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</row>
    <row r="501" spans="1:879" x14ac:dyDescent="0.2">
      <c r="A501" s="134">
        <v>45363</v>
      </c>
      <c r="B501" s="135">
        <f>YEAR(source[[#This Row],[report_date]])</f>
        <v>2024</v>
      </c>
      <c r="C501" s="136">
        <v>3</v>
      </c>
      <c r="D501" s="136">
        <f t="shared" si="36"/>
        <v>11</v>
      </c>
      <c r="E501" s="136">
        <f t="shared" si="37"/>
        <v>12</v>
      </c>
      <c r="F501" s="128" t="s">
        <v>56</v>
      </c>
      <c r="G501" s="128">
        <f>VLOOKUP(source[[#This Row],[lending_product_transform]],[3]Mapping!$B$4:$C$37,2,0)</f>
        <v>0</v>
      </c>
      <c r="H501" s="128">
        <f>VLOOKUP(source[[#This Row],[lending_product_transform]],[3]Mapping!$B$3:$D$37,3,0)</f>
        <v>0</v>
      </c>
      <c r="I501" s="135">
        <v>6346205853</v>
      </c>
      <c r="K501" s="180" t="s">
        <v>68</v>
      </c>
      <c r="L501" s="174">
        <v>2269595468665</v>
      </c>
      <c r="M501" s="174">
        <v>1722310866251</v>
      </c>
      <c r="N501" s="174">
        <v>2069586824370</v>
      </c>
      <c r="O501" s="174">
        <v>1421314986907</v>
      </c>
      <c r="P501" s="174">
        <v>7482808146193</v>
      </c>
      <c r="Q501" s="174">
        <v>7482808146193</v>
      </c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</row>
    <row r="502" spans="1:879" x14ac:dyDescent="0.2">
      <c r="A502" s="134">
        <v>45363</v>
      </c>
      <c r="B502" s="135">
        <f>YEAR(source[[#This Row],[report_date]])</f>
        <v>2024</v>
      </c>
      <c r="C502" s="136">
        <v>3</v>
      </c>
      <c r="D502" s="136">
        <f t="shared" si="36"/>
        <v>11</v>
      </c>
      <c r="E502" s="136">
        <f t="shared" si="37"/>
        <v>12</v>
      </c>
      <c r="F502" s="128" t="s">
        <v>58</v>
      </c>
      <c r="G502" s="128" t="str">
        <f>VLOOKUP(source[[#This Row],[lending_product_transform]],[3]Mapping!$B$4:$C$37,2,0)</f>
        <v>[VDS] - Payroll Cashloan</v>
      </c>
      <c r="H502" s="128" t="str">
        <f>VLOOKUP(source[[#This Row],[lending_product_transform]],[3]Mapping!$B$3:$D$37,3,0)</f>
        <v>cashloan</v>
      </c>
      <c r="I502" s="135">
        <v>135500000</v>
      </c>
    </row>
    <row r="503" spans="1:879" x14ac:dyDescent="0.2">
      <c r="A503" s="134">
        <v>45363</v>
      </c>
      <c r="B503" s="135">
        <f>YEAR(source[[#This Row],[report_date]])</f>
        <v>2024</v>
      </c>
      <c r="C503" s="136">
        <v>3</v>
      </c>
      <c r="D503" s="136">
        <f t="shared" si="36"/>
        <v>11</v>
      </c>
      <c r="E503" s="136">
        <f t="shared" si="37"/>
        <v>12</v>
      </c>
      <c r="F503" s="128" t="s">
        <v>61</v>
      </c>
      <c r="G503" s="128" t="str">
        <f>VLOOKUP(source[[#This Row],[lending_product_transform]],[3]Mapping!$B$4:$C$37,2,0)</f>
        <v>[VDS] - Payroll Payday</v>
      </c>
      <c r="H503" s="128" t="str">
        <f>VLOOKUP(source[[#This Row],[lending_product_transform]],[3]Mapping!$B$3:$D$37,3,0)</f>
        <v>payday</v>
      </c>
      <c r="I503" s="135">
        <v>48000000</v>
      </c>
    </row>
    <row r="504" spans="1:879" x14ac:dyDescent="0.2">
      <c r="A504" s="134">
        <v>45363</v>
      </c>
      <c r="B504" s="135">
        <f>YEAR(source[[#This Row],[report_date]])</f>
        <v>2024</v>
      </c>
      <c r="C504" s="136">
        <v>3</v>
      </c>
      <c r="D504" s="136">
        <f t="shared" si="36"/>
        <v>11</v>
      </c>
      <c r="E504" s="136">
        <f t="shared" si="37"/>
        <v>12</v>
      </c>
      <c r="F504" s="128" t="s">
        <v>19</v>
      </c>
      <c r="G504" s="128" t="str">
        <f>VLOOKUP(source[[#This Row],[lending_product_transform]],[3]Mapping!$B$4:$C$37,2,0)</f>
        <v>[VDS] - Payday</v>
      </c>
      <c r="H504" s="128" t="str">
        <f>VLOOKUP(source[[#This Row],[lending_product_transform]],[3]Mapping!$B$3:$D$37,3,0)</f>
        <v>payday</v>
      </c>
      <c r="I504" s="135">
        <v>1875500000</v>
      </c>
    </row>
    <row r="505" spans="1:879" x14ac:dyDescent="0.2">
      <c r="A505" s="134">
        <v>45363</v>
      </c>
      <c r="B505" s="135">
        <f>YEAR(source[[#This Row],[report_date]])</f>
        <v>2024</v>
      </c>
      <c r="C505" s="136">
        <v>3</v>
      </c>
      <c r="D505" s="136">
        <f t="shared" si="36"/>
        <v>11</v>
      </c>
      <c r="E505" s="136">
        <f t="shared" si="37"/>
        <v>12</v>
      </c>
      <c r="F505" s="128" t="s">
        <v>11</v>
      </c>
      <c r="G505" s="128" t="str">
        <f>VLOOKUP(source[[#This Row],[lending_product_transform]],[3]Mapping!$B$4:$C$37,2,0)</f>
        <v>[VDS] - Cashloan</v>
      </c>
      <c r="H505" s="128" t="str">
        <f>VLOOKUP(source[[#This Row],[lending_product_transform]],[3]Mapping!$B$3:$D$37,3,0)</f>
        <v>cashloan</v>
      </c>
      <c r="I505" s="135">
        <v>2002630000</v>
      </c>
    </row>
    <row r="506" spans="1:879" x14ac:dyDescent="0.2">
      <c r="A506" s="134">
        <v>45363</v>
      </c>
      <c r="B506" s="135">
        <f>YEAR(source[[#This Row],[report_date]])</f>
        <v>2024</v>
      </c>
      <c r="C506" s="136">
        <v>3</v>
      </c>
      <c r="D506" s="136">
        <f t="shared" si="36"/>
        <v>11</v>
      </c>
      <c r="E506" s="136">
        <f t="shared" si="37"/>
        <v>12</v>
      </c>
      <c r="F506" s="128" t="s">
        <v>67</v>
      </c>
      <c r="G506" s="128" t="str">
        <f>VLOOKUP(source[[#This Row],[lending_product_transform]],[3]Mapping!$B$4:$C$37,2,0)</f>
        <v>[Cake] - Overdraft</v>
      </c>
      <c r="H506" s="128" t="str">
        <f>VLOOKUP(source[[#This Row],[lending_product_transform]],[3]Mapping!$B$3:$D$37,3,0)</f>
        <v>overdraft</v>
      </c>
      <c r="I506" s="135">
        <v>2006825853</v>
      </c>
    </row>
    <row r="507" spans="1:879" x14ac:dyDescent="0.2">
      <c r="A507" s="134">
        <v>45364</v>
      </c>
      <c r="B507" s="135">
        <f>YEAR(source[[#This Row],[report_date]])</f>
        <v>2024</v>
      </c>
      <c r="C507" s="136">
        <v>3</v>
      </c>
      <c r="D507" s="136">
        <f t="shared" si="36"/>
        <v>11</v>
      </c>
      <c r="E507" s="136">
        <f t="shared" si="37"/>
        <v>13</v>
      </c>
      <c r="F507" s="128" t="s">
        <v>58</v>
      </c>
      <c r="G507" s="128" t="str">
        <f>VLOOKUP(source[[#This Row],[lending_product_transform]],[3]Mapping!$B$4:$C$37,2,0)</f>
        <v>[VDS] - Payroll Cashloan</v>
      </c>
      <c r="H507" s="128" t="str">
        <f>VLOOKUP(source[[#This Row],[lending_product_transform]],[3]Mapping!$B$3:$D$37,3,0)</f>
        <v>cashloan</v>
      </c>
      <c r="I507" s="135">
        <v>63000000</v>
      </c>
      <c r="K507" s="30" t="s">
        <v>69</v>
      </c>
      <c r="L507" s="30" t="s">
        <v>202</v>
      </c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/>
      <c r="MI507"/>
      <c r="MJ507"/>
      <c r="MK507"/>
      <c r="ML507"/>
      <c r="MM507"/>
      <c r="MN507"/>
      <c r="MO507"/>
      <c r="MP507"/>
      <c r="MQ507"/>
      <c r="MR507"/>
      <c r="MS507"/>
      <c r="MT507"/>
      <c r="MU507"/>
      <c r="MV507"/>
      <c r="MW507"/>
      <c r="MX507"/>
      <c r="MY507"/>
      <c r="MZ507"/>
      <c r="NA507"/>
      <c r="NB507"/>
      <c r="NC507"/>
      <c r="ND507"/>
      <c r="NE507"/>
      <c r="NF507"/>
      <c r="NG507"/>
      <c r="NH507"/>
      <c r="NI507"/>
      <c r="NJ507"/>
      <c r="NK507"/>
      <c r="NL507"/>
      <c r="NM507"/>
      <c r="NN507"/>
      <c r="NO507"/>
      <c r="NP507"/>
      <c r="NQ507"/>
      <c r="NR507"/>
      <c r="NS507"/>
      <c r="NT507"/>
      <c r="NU507"/>
      <c r="NV507"/>
      <c r="NW507"/>
      <c r="NX507"/>
      <c r="NY507"/>
      <c r="NZ507"/>
      <c r="OA507"/>
      <c r="OB507"/>
      <c r="OC507"/>
      <c r="OD507"/>
      <c r="OE507"/>
      <c r="OF507"/>
      <c r="OG507"/>
      <c r="OH507"/>
      <c r="OI507"/>
      <c r="OJ507"/>
      <c r="OK507"/>
      <c r="OL507"/>
      <c r="OM507"/>
      <c r="ON507"/>
      <c r="OO507"/>
      <c r="OP507"/>
      <c r="OQ507"/>
      <c r="OR507"/>
      <c r="OS507"/>
      <c r="OT507"/>
      <c r="OU507"/>
      <c r="OV507"/>
      <c r="OW507"/>
      <c r="OX507"/>
      <c r="OY507"/>
      <c r="OZ507"/>
      <c r="PA507"/>
      <c r="PB507"/>
      <c r="PC507"/>
      <c r="PD507"/>
      <c r="PE507"/>
      <c r="PF507"/>
      <c r="PG507"/>
      <c r="PH507"/>
      <c r="PI507"/>
      <c r="PJ507"/>
      <c r="PK507"/>
      <c r="PL507"/>
      <c r="PM507"/>
      <c r="PN507"/>
      <c r="PO507"/>
      <c r="PP507"/>
      <c r="PQ507"/>
      <c r="PR507"/>
      <c r="PS507"/>
      <c r="PT507"/>
      <c r="PU507"/>
      <c r="PV507"/>
      <c r="PW507"/>
      <c r="PX507"/>
      <c r="PY507"/>
      <c r="PZ507"/>
      <c r="QA507"/>
      <c r="QB507"/>
      <c r="QC507"/>
      <c r="QD507"/>
      <c r="QE507"/>
      <c r="QF507"/>
      <c r="QG507"/>
      <c r="QH507"/>
      <c r="QI507"/>
      <c r="QJ507"/>
      <c r="QK507"/>
      <c r="QL507"/>
      <c r="QM507"/>
      <c r="QN507"/>
      <c r="QO507"/>
      <c r="QP507"/>
      <c r="QQ507"/>
      <c r="QR507"/>
      <c r="QS507"/>
      <c r="QT507"/>
      <c r="QU507"/>
      <c r="QV507"/>
      <c r="QW507"/>
      <c r="QX507"/>
      <c r="QY507"/>
      <c r="QZ507"/>
      <c r="RA507"/>
      <c r="RB507"/>
      <c r="RC507"/>
      <c r="RD507"/>
      <c r="RE507"/>
      <c r="RF507"/>
      <c r="RG507"/>
      <c r="RH507"/>
      <c r="RI507"/>
      <c r="RJ507"/>
      <c r="RK507"/>
      <c r="RL507"/>
      <c r="RM507"/>
      <c r="RN507"/>
      <c r="RO507"/>
      <c r="RP507"/>
      <c r="RQ507"/>
      <c r="RR507"/>
      <c r="RS507"/>
      <c r="RT507"/>
      <c r="RU507"/>
      <c r="RV507"/>
      <c r="RW507"/>
      <c r="RX507"/>
      <c r="RY507"/>
      <c r="RZ507"/>
      <c r="SA507"/>
      <c r="SB507"/>
      <c r="SC507"/>
      <c r="SD507"/>
      <c r="SE507"/>
      <c r="SF507"/>
      <c r="SG507"/>
      <c r="SH507"/>
      <c r="SI507"/>
      <c r="SJ507"/>
      <c r="SK507"/>
      <c r="SL507"/>
      <c r="SM507"/>
      <c r="SN507"/>
      <c r="SO507"/>
      <c r="SP507"/>
      <c r="SQ507"/>
      <c r="SR507"/>
      <c r="SS507"/>
      <c r="ST507"/>
      <c r="SU507"/>
      <c r="SV507"/>
      <c r="SW507"/>
      <c r="SX507"/>
      <c r="SY507"/>
      <c r="SZ507"/>
      <c r="TA507"/>
      <c r="TB507"/>
      <c r="TC507"/>
      <c r="TD507"/>
      <c r="TE507"/>
      <c r="TF507"/>
      <c r="TG507"/>
      <c r="TH507"/>
      <c r="TI507"/>
      <c r="TJ507"/>
      <c r="TK507"/>
      <c r="TL507"/>
      <c r="TM507"/>
      <c r="TN507"/>
      <c r="TO507"/>
      <c r="TP507"/>
      <c r="TQ507"/>
      <c r="TR507"/>
      <c r="TS507"/>
      <c r="TT507"/>
      <c r="TU507"/>
      <c r="TV507"/>
      <c r="TW507"/>
      <c r="TX507"/>
      <c r="TY507"/>
      <c r="TZ507"/>
      <c r="UA507"/>
      <c r="UB507"/>
      <c r="UC507"/>
      <c r="UD507"/>
      <c r="UE507"/>
      <c r="UF507"/>
      <c r="UG507"/>
      <c r="UH507"/>
      <c r="UI507"/>
      <c r="UJ507"/>
      <c r="UK507"/>
      <c r="UL507"/>
      <c r="UM507"/>
      <c r="UN507"/>
      <c r="UO507"/>
      <c r="UP507"/>
      <c r="UQ507"/>
      <c r="UR507"/>
      <c r="US507"/>
      <c r="UT507"/>
      <c r="UU507"/>
      <c r="UV507"/>
      <c r="UW507"/>
      <c r="UX507"/>
      <c r="UY507"/>
      <c r="UZ507"/>
      <c r="VA507"/>
      <c r="VB507"/>
      <c r="VC507"/>
      <c r="VD507"/>
      <c r="VE507"/>
      <c r="VF507"/>
      <c r="VG507"/>
      <c r="VH507"/>
      <c r="VI507"/>
      <c r="VJ507"/>
      <c r="VK507"/>
      <c r="VL507"/>
      <c r="VM507"/>
      <c r="VN507"/>
      <c r="VO507"/>
      <c r="VP507"/>
      <c r="VQ507"/>
      <c r="VR507"/>
      <c r="VS507"/>
      <c r="VT507"/>
      <c r="VU507"/>
      <c r="VV507"/>
      <c r="VW507"/>
      <c r="VX507"/>
      <c r="VY507"/>
      <c r="VZ507"/>
      <c r="WA507"/>
      <c r="WB507"/>
      <c r="WC507"/>
      <c r="WD507"/>
      <c r="WE507"/>
      <c r="WF507"/>
      <c r="WG507"/>
      <c r="WH507"/>
      <c r="WI507"/>
      <c r="WJ507"/>
      <c r="WK507"/>
      <c r="WL507"/>
      <c r="WM507"/>
      <c r="WN507"/>
      <c r="WO507"/>
      <c r="WP507"/>
      <c r="WQ507"/>
      <c r="WR507"/>
      <c r="WS507"/>
      <c r="WT507"/>
      <c r="WU507"/>
      <c r="WV507"/>
      <c r="WW507"/>
      <c r="WX507"/>
      <c r="WY507"/>
      <c r="WZ507"/>
      <c r="XA507"/>
      <c r="XB507"/>
      <c r="XC507"/>
      <c r="XD507"/>
      <c r="XE507"/>
      <c r="XF507"/>
      <c r="XG507"/>
      <c r="XH507"/>
      <c r="XI507"/>
      <c r="XJ507"/>
      <c r="XK507"/>
      <c r="XL507"/>
      <c r="XM507"/>
      <c r="XN507"/>
      <c r="XO507"/>
      <c r="XP507"/>
      <c r="XQ507"/>
      <c r="XR507"/>
      <c r="XS507"/>
      <c r="XT507"/>
      <c r="XU507"/>
      <c r="XV507"/>
      <c r="XW507"/>
      <c r="XX507"/>
      <c r="XY507"/>
      <c r="XZ507"/>
      <c r="YA507"/>
      <c r="YB507"/>
      <c r="YC507"/>
      <c r="YD507"/>
      <c r="YE507"/>
      <c r="YF507"/>
      <c r="YG507"/>
      <c r="YH507"/>
      <c r="YI507"/>
      <c r="YJ507"/>
      <c r="YK507"/>
      <c r="YL507"/>
      <c r="YM507"/>
      <c r="YN507"/>
      <c r="YO507"/>
      <c r="YP507"/>
      <c r="YQ507"/>
      <c r="YR507"/>
      <c r="YS507"/>
      <c r="YT507"/>
      <c r="YU507"/>
      <c r="YV507"/>
      <c r="YW507"/>
      <c r="YX507"/>
      <c r="YY507"/>
      <c r="YZ507"/>
      <c r="ZA507"/>
      <c r="ZB507"/>
      <c r="ZC507"/>
      <c r="ZD507"/>
      <c r="ZE507"/>
      <c r="ZF507"/>
      <c r="ZG507"/>
      <c r="ZH507"/>
      <c r="ZI507"/>
      <c r="ZJ507"/>
      <c r="ZK507"/>
      <c r="ZL507"/>
      <c r="ZM507"/>
      <c r="ZN507"/>
      <c r="ZO507"/>
      <c r="ZP507"/>
      <c r="ZQ507"/>
      <c r="ZR507"/>
      <c r="ZS507"/>
      <c r="ZT507"/>
      <c r="ZU507"/>
      <c r="ZV507"/>
      <c r="ZW507"/>
      <c r="ZX507"/>
      <c r="ZY507"/>
      <c r="ZZ507"/>
      <c r="AAA507"/>
      <c r="AAB507"/>
      <c r="AAC507"/>
      <c r="AAD507"/>
      <c r="AAE507"/>
      <c r="AAF507"/>
      <c r="AAG507"/>
      <c r="AAH507"/>
      <c r="AAI507"/>
      <c r="AAJ507"/>
      <c r="AAK507"/>
      <c r="AAL507"/>
      <c r="AAM507"/>
      <c r="AAN507"/>
      <c r="AAO507"/>
      <c r="AAP507"/>
      <c r="AAQ507"/>
      <c r="AAR507"/>
      <c r="AAS507"/>
      <c r="AAT507"/>
      <c r="AAU507"/>
      <c r="AAV507"/>
      <c r="AAW507"/>
      <c r="AAX507"/>
      <c r="AAY507"/>
      <c r="AAZ507"/>
      <c r="ABA507"/>
      <c r="ABB507"/>
      <c r="ABC507"/>
      <c r="ABD507"/>
      <c r="ABE507"/>
      <c r="ABF507"/>
      <c r="ABG507"/>
      <c r="ABH507"/>
      <c r="ABI507"/>
      <c r="ABJ507"/>
      <c r="ABK507"/>
      <c r="ABL507"/>
      <c r="ABM507"/>
      <c r="ABN507"/>
      <c r="ABO507"/>
      <c r="ABP507"/>
      <c r="ABQ507"/>
      <c r="ABR507"/>
      <c r="ABS507"/>
      <c r="ABT507"/>
      <c r="ABU507"/>
      <c r="ABV507"/>
      <c r="ABW507"/>
      <c r="ABX507"/>
      <c r="ABY507"/>
      <c r="ABZ507"/>
      <c r="ACA507"/>
      <c r="ACB507"/>
      <c r="ACC507"/>
      <c r="ACD507"/>
      <c r="ACE507"/>
      <c r="ACF507"/>
      <c r="ACG507"/>
      <c r="ACH507"/>
      <c r="ACI507"/>
      <c r="ACJ507"/>
      <c r="ACK507"/>
      <c r="ACL507"/>
      <c r="ACM507"/>
      <c r="ACN507"/>
      <c r="ACO507"/>
      <c r="ACP507"/>
      <c r="ACQ507"/>
      <c r="ACR507"/>
      <c r="ACS507"/>
      <c r="ACT507"/>
      <c r="ACU507"/>
      <c r="ACV507"/>
      <c r="ACW507"/>
      <c r="ACX507"/>
      <c r="ACY507"/>
      <c r="ACZ507"/>
      <c r="ADA507"/>
      <c r="ADB507"/>
      <c r="ADC507"/>
      <c r="ADD507"/>
      <c r="ADE507"/>
      <c r="ADF507"/>
      <c r="ADG507"/>
      <c r="ADH507"/>
      <c r="ADI507"/>
      <c r="ADJ507"/>
      <c r="ADK507"/>
      <c r="ADL507"/>
      <c r="ADM507"/>
      <c r="ADN507"/>
      <c r="ADO507"/>
      <c r="ADP507"/>
      <c r="ADQ507"/>
      <c r="ADR507"/>
      <c r="ADS507"/>
      <c r="ADT507"/>
      <c r="ADU507"/>
      <c r="ADV507"/>
      <c r="ADW507"/>
      <c r="ADX507"/>
      <c r="ADY507"/>
      <c r="ADZ507"/>
      <c r="AEA507"/>
      <c r="AEB507"/>
      <c r="AEC507"/>
      <c r="AED507"/>
      <c r="AEE507"/>
      <c r="AEF507"/>
      <c r="AEG507"/>
      <c r="AEH507"/>
      <c r="AEI507"/>
      <c r="AEJ507"/>
      <c r="AEK507"/>
      <c r="AEL507"/>
      <c r="AEM507"/>
      <c r="AEN507"/>
      <c r="AEO507"/>
      <c r="AEP507"/>
      <c r="AEQ507"/>
      <c r="AER507"/>
      <c r="AES507"/>
      <c r="AET507"/>
      <c r="AEU507"/>
      <c r="AEV507"/>
      <c r="AEW507"/>
      <c r="AEX507"/>
      <c r="AEY507"/>
      <c r="AEZ507"/>
      <c r="AFA507"/>
      <c r="AFB507"/>
      <c r="AFC507"/>
      <c r="AFD507"/>
      <c r="AFE507"/>
      <c r="AFF507"/>
      <c r="AFG507"/>
      <c r="AFH507"/>
      <c r="AFI507"/>
      <c r="AFJ507"/>
      <c r="AFK507"/>
      <c r="AFL507"/>
      <c r="AFM507"/>
      <c r="AFN507"/>
      <c r="AFO507"/>
      <c r="AFP507"/>
      <c r="AFQ507"/>
      <c r="AFR507"/>
      <c r="AFS507"/>
      <c r="AFT507"/>
      <c r="AFU507"/>
      <c r="AFV507"/>
      <c r="AFW507"/>
      <c r="AFX507"/>
      <c r="AFY507"/>
      <c r="AFZ507"/>
      <c r="AGA507"/>
      <c r="AGB507"/>
      <c r="AGC507"/>
      <c r="AGD507"/>
      <c r="AGE507"/>
      <c r="AGF507"/>
      <c r="AGG507"/>
      <c r="AGH507"/>
      <c r="AGI507"/>
      <c r="AGJ507"/>
      <c r="AGK507"/>
      <c r="AGL507"/>
      <c r="AGM507"/>
      <c r="AGN507"/>
      <c r="AGO507"/>
      <c r="AGP507"/>
      <c r="AGQ507"/>
      <c r="AGR507"/>
      <c r="AGS507"/>
      <c r="AGT507"/>
      <c r="AGU507"/>
    </row>
    <row r="508" spans="1:879" x14ac:dyDescent="0.2">
      <c r="A508" s="134">
        <v>45364</v>
      </c>
      <c r="B508" s="135">
        <f>YEAR(source[[#This Row],[report_date]])</f>
        <v>2024</v>
      </c>
      <c r="C508" s="136">
        <v>3</v>
      </c>
      <c r="D508" s="136">
        <f t="shared" si="36"/>
        <v>11</v>
      </c>
      <c r="E508" s="136">
        <f t="shared" si="37"/>
        <v>13</v>
      </c>
      <c r="F508" s="128" t="s">
        <v>19</v>
      </c>
      <c r="G508" s="128" t="str">
        <f>VLOOKUP(source[[#This Row],[lending_product_transform]],[3]Mapping!$B$4:$C$37,2,0)</f>
        <v>[VDS] - Payday</v>
      </c>
      <c r="H508" s="128" t="str">
        <f>VLOOKUP(source[[#This Row],[lending_product_transform]],[3]Mapping!$B$3:$D$37,3,0)</f>
        <v>payday</v>
      </c>
      <c r="I508" s="135">
        <v>1931000000</v>
      </c>
      <c r="K508"/>
      <c r="L508" s="477">
        <v>2026</v>
      </c>
      <c r="M508"/>
      <c r="N508"/>
      <c r="O508"/>
      <c r="P508"/>
      <c r="Q508" s="477" t="s">
        <v>204</v>
      </c>
      <c r="R508" s="477" t="s">
        <v>68</v>
      </c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/>
      <c r="MI508"/>
      <c r="MJ508"/>
      <c r="MK508"/>
      <c r="ML508"/>
      <c r="MM508"/>
      <c r="MN508"/>
      <c r="MO508"/>
      <c r="MP508"/>
      <c r="MQ508"/>
      <c r="MR508"/>
      <c r="MS508"/>
      <c r="MT508"/>
      <c r="MU508"/>
      <c r="MV508"/>
      <c r="MW508"/>
      <c r="MX508"/>
      <c r="MY508"/>
      <c r="MZ508"/>
      <c r="NA508"/>
      <c r="NB508"/>
      <c r="NC508"/>
      <c r="ND508"/>
      <c r="NE508"/>
      <c r="NF508"/>
      <c r="NG508"/>
      <c r="NH508"/>
      <c r="NI508"/>
      <c r="NJ508"/>
      <c r="NK508"/>
      <c r="NL508"/>
      <c r="NM508"/>
      <c r="NN508"/>
      <c r="NO508"/>
      <c r="NP508"/>
      <c r="NQ508"/>
      <c r="NR508"/>
      <c r="NS508"/>
      <c r="NT508"/>
      <c r="NU508"/>
      <c r="NV508"/>
      <c r="NW508"/>
      <c r="NX508"/>
      <c r="NY508"/>
      <c r="NZ508"/>
      <c r="OA508"/>
      <c r="OB508"/>
      <c r="OC508"/>
      <c r="OD508"/>
      <c r="OE508"/>
      <c r="OF508"/>
      <c r="OG508"/>
      <c r="OH508"/>
      <c r="OI508"/>
      <c r="OJ508"/>
      <c r="OK508"/>
      <c r="OL508"/>
      <c r="OM508"/>
      <c r="ON508"/>
      <c r="OO508"/>
      <c r="OP508"/>
      <c r="OQ508"/>
      <c r="OR508"/>
      <c r="OS508"/>
      <c r="OT508"/>
      <c r="OU508"/>
      <c r="OV508"/>
      <c r="OW508"/>
      <c r="OX508"/>
      <c r="OY508"/>
      <c r="OZ508"/>
      <c r="PA508"/>
      <c r="PB508"/>
      <c r="PC508"/>
      <c r="PD508"/>
      <c r="PE508"/>
      <c r="PF508"/>
      <c r="PG508"/>
      <c r="PH508"/>
      <c r="PI508"/>
      <c r="PJ508"/>
      <c r="PK508"/>
      <c r="PL508"/>
      <c r="PM508"/>
      <c r="PN508"/>
      <c r="PO508"/>
      <c r="PP508"/>
      <c r="PQ508"/>
      <c r="PR508"/>
      <c r="PS508"/>
      <c r="PT508"/>
      <c r="PU508"/>
      <c r="PV508"/>
      <c r="PW508"/>
      <c r="PX508"/>
      <c r="PY508"/>
      <c r="PZ508"/>
      <c r="QA508"/>
      <c r="QB508"/>
      <c r="QC508"/>
      <c r="QD508"/>
      <c r="QE508"/>
      <c r="QF508"/>
      <c r="QG508"/>
      <c r="QH508"/>
      <c r="QI508"/>
      <c r="QJ508"/>
      <c r="QK508"/>
      <c r="QL508"/>
      <c r="QM508"/>
      <c r="QN508"/>
      <c r="QO508"/>
      <c r="QP508"/>
      <c r="QQ508"/>
      <c r="QR508"/>
      <c r="QS508"/>
      <c r="QT508"/>
      <c r="QU508"/>
      <c r="QV508"/>
      <c r="QW508"/>
      <c r="QX508"/>
      <c r="QY508"/>
      <c r="QZ508"/>
      <c r="RA508"/>
      <c r="RB508"/>
      <c r="RC508"/>
      <c r="RD508"/>
      <c r="RE508"/>
      <c r="RF508"/>
      <c r="RG508"/>
      <c r="RH508"/>
      <c r="RI508"/>
      <c r="RJ508"/>
      <c r="RK508"/>
      <c r="RL508"/>
      <c r="RM508"/>
      <c r="RN508"/>
      <c r="RO508"/>
      <c r="RP508"/>
      <c r="RQ508"/>
      <c r="RR508"/>
      <c r="RS508"/>
      <c r="RT508"/>
      <c r="RU508"/>
      <c r="RV508"/>
      <c r="RW508"/>
      <c r="RX508"/>
      <c r="RY508"/>
      <c r="RZ508"/>
      <c r="SA508"/>
      <c r="SB508"/>
      <c r="SC508"/>
      <c r="SD508"/>
      <c r="SE508"/>
      <c r="SF508"/>
      <c r="SG508"/>
      <c r="SH508"/>
      <c r="SI508"/>
      <c r="SJ508"/>
      <c r="SK508"/>
      <c r="SL508"/>
      <c r="SM508"/>
      <c r="SN508"/>
      <c r="SO508"/>
      <c r="SP508"/>
      <c r="SQ508"/>
      <c r="SR508"/>
      <c r="SS508"/>
      <c r="ST508"/>
      <c r="SU508"/>
      <c r="SV508"/>
      <c r="SW508"/>
      <c r="SX508"/>
      <c r="SY508"/>
      <c r="SZ508"/>
      <c r="TA508"/>
      <c r="TB508"/>
      <c r="TC508"/>
      <c r="TD508"/>
      <c r="TE508"/>
      <c r="TF508"/>
      <c r="TG508"/>
      <c r="TH508"/>
      <c r="TI508"/>
      <c r="TJ508"/>
      <c r="TK508"/>
      <c r="TL508"/>
      <c r="TM508"/>
      <c r="TN508"/>
      <c r="TO508"/>
      <c r="TP508"/>
      <c r="TQ508"/>
      <c r="TR508"/>
      <c r="TS508"/>
      <c r="TT508"/>
      <c r="TU508"/>
      <c r="TV508"/>
      <c r="TW508"/>
      <c r="TX508"/>
      <c r="TY508"/>
      <c r="TZ508"/>
      <c r="UA508"/>
      <c r="UB508"/>
      <c r="UC508"/>
      <c r="UD508"/>
      <c r="UE508"/>
      <c r="UF508"/>
      <c r="UG508"/>
      <c r="UH508"/>
      <c r="UI508"/>
      <c r="UJ508"/>
      <c r="UK508"/>
      <c r="UL508"/>
      <c r="UM508"/>
      <c r="UN508"/>
      <c r="UO508"/>
      <c r="UP508"/>
      <c r="UQ508"/>
      <c r="UR508"/>
      <c r="US508"/>
      <c r="UT508"/>
      <c r="UU508"/>
      <c r="UV508"/>
      <c r="UW508"/>
      <c r="UX508"/>
      <c r="UY508"/>
      <c r="UZ508"/>
      <c r="VA508"/>
      <c r="VB508"/>
      <c r="VC508"/>
      <c r="VD508"/>
      <c r="VE508"/>
      <c r="VF508"/>
      <c r="VG508"/>
      <c r="VH508"/>
      <c r="VI508"/>
      <c r="VJ508"/>
      <c r="VK508"/>
      <c r="VL508"/>
      <c r="VM508"/>
      <c r="VN508"/>
      <c r="VO508"/>
      <c r="VP508"/>
      <c r="VQ508"/>
      <c r="VR508"/>
      <c r="VS508"/>
      <c r="VT508"/>
      <c r="VU508"/>
      <c r="VV508"/>
      <c r="VW508"/>
      <c r="VX508"/>
      <c r="VY508"/>
      <c r="VZ508"/>
      <c r="WA508"/>
      <c r="WB508"/>
      <c r="WC508"/>
      <c r="WD508"/>
      <c r="WE508"/>
      <c r="WF508"/>
      <c r="WG508"/>
      <c r="WH508"/>
      <c r="WI508"/>
      <c r="WJ508"/>
      <c r="WK508"/>
      <c r="WL508"/>
      <c r="WM508"/>
      <c r="WN508"/>
      <c r="WO508"/>
      <c r="WP508"/>
      <c r="WQ508"/>
      <c r="WR508"/>
      <c r="WS508"/>
      <c r="WT508"/>
      <c r="WU508"/>
      <c r="WV508"/>
      <c r="WW508"/>
      <c r="WX508"/>
      <c r="WY508"/>
      <c r="WZ508"/>
      <c r="XA508"/>
      <c r="XB508"/>
      <c r="XC508"/>
      <c r="XD508"/>
      <c r="XE508"/>
      <c r="XF508"/>
      <c r="XG508"/>
      <c r="XH508"/>
      <c r="XI508"/>
      <c r="XJ508"/>
      <c r="XK508"/>
      <c r="XL508"/>
      <c r="XM508"/>
      <c r="XN508"/>
      <c r="XO508"/>
      <c r="XP508"/>
      <c r="XQ508"/>
      <c r="XR508"/>
      <c r="XS508"/>
      <c r="XT508"/>
      <c r="XU508"/>
      <c r="XV508"/>
      <c r="XW508"/>
      <c r="XX508"/>
      <c r="XY508"/>
      <c r="XZ508"/>
      <c r="YA508"/>
      <c r="YB508"/>
      <c r="YC508"/>
      <c r="YD508"/>
      <c r="YE508"/>
      <c r="YF508"/>
      <c r="YG508"/>
      <c r="YH508"/>
      <c r="YI508"/>
      <c r="YJ508"/>
      <c r="YK508"/>
      <c r="YL508"/>
      <c r="YM508"/>
      <c r="YN508"/>
      <c r="YO508"/>
      <c r="YP508"/>
      <c r="YQ508"/>
      <c r="YR508"/>
      <c r="YS508"/>
      <c r="YT508"/>
      <c r="YU508"/>
      <c r="YV508"/>
      <c r="YW508"/>
      <c r="YX508"/>
      <c r="YY508"/>
      <c r="YZ508"/>
      <c r="ZA508"/>
      <c r="ZB508"/>
      <c r="ZC508"/>
      <c r="ZD508"/>
      <c r="ZE508"/>
      <c r="ZF508"/>
      <c r="ZG508"/>
      <c r="ZH508"/>
      <c r="ZI508"/>
      <c r="ZJ508"/>
      <c r="ZK508"/>
      <c r="ZL508"/>
      <c r="ZM508"/>
      <c r="ZN508"/>
      <c r="ZO508"/>
      <c r="ZP508"/>
      <c r="ZQ508"/>
      <c r="ZR508"/>
      <c r="ZS508"/>
      <c r="ZT508"/>
      <c r="ZU508"/>
      <c r="ZV508"/>
      <c r="ZW508"/>
      <c r="ZX508"/>
      <c r="ZY508"/>
      <c r="ZZ508"/>
      <c r="AAA508"/>
      <c r="AAB508"/>
      <c r="AAC508"/>
      <c r="AAD508"/>
      <c r="AAE508"/>
      <c r="AAF508"/>
      <c r="AAG508"/>
      <c r="AAH508"/>
      <c r="AAI508"/>
      <c r="AAJ508"/>
      <c r="AAK508"/>
      <c r="AAL508"/>
      <c r="AAM508"/>
      <c r="AAN508"/>
      <c r="AAO508"/>
      <c r="AAP508"/>
      <c r="AAQ508"/>
      <c r="AAR508"/>
      <c r="AAS508"/>
      <c r="AAT508"/>
      <c r="AAU508"/>
      <c r="AAV508"/>
      <c r="AAW508"/>
      <c r="AAX508"/>
      <c r="AAY508"/>
      <c r="AAZ508"/>
      <c r="ABA508"/>
      <c r="ABB508"/>
      <c r="ABC508"/>
      <c r="ABD508"/>
      <c r="ABE508"/>
      <c r="ABF508"/>
      <c r="ABG508"/>
      <c r="ABH508"/>
      <c r="ABI508"/>
      <c r="ABJ508"/>
      <c r="ABK508"/>
      <c r="ABL508"/>
      <c r="ABM508"/>
      <c r="ABN508"/>
      <c r="ABO508"/>
      <c r="ABP508"/>
      <c r="ABQ508"/>
      <c r="ABR508"/>
      <c r="ABS508"/>
      <c r="ABT508"/>
      <c r="ABU508"/>
      <c r="ABV508"/>
      <c r="ABW508"/>
      <c r="ABX508"/>
      <c r="ABY508"/>
      <c r="ABZ508"/>
      <c r="ACA508"/>
      <c r="ACB508"/>
      <c r="ACC508"/>
      <c r="ACD508"/>
      <c r="ACE508"/>
      <c r="ACF508"/>
      <c r="ACG508"/>
      <c r="ACH508"/>
      <c r="ACI508"/>
      <c r="ACJ508"/>
      <c r="ACK508"/>
      <c r="ACL508"/>
      <c r="ACM508"/>
      <c r="ACN508"/>
      <c r="ACO508"/>
      <c r="ACP508"/>
      <c r="ACQ508"/>
      <c r="ACR508"/>
      <c r="ACS508"/>
      <c r="ACT508"/>
      <c r="ACU508"/>
      <c r="ACV508"/>
      <c r="ACW508"/>
      <c r="ACX508"/>
      <c r="ACY508"/>
      <c r="ACZ508"/>
      <c r="ADA508"/>
      <c r="ADB508"/>
      <c r="ADC508"/>
      <c r="ADD508"/>
      <c r="ADE508"/>
      <c r="ADF508"/>
      <c r="ADG508"/>
      <c r="ADH508"/>
      <c r="ADI508"/>
      <c r="ADJ508"/>
      <c r="ADK508"/>
      <c r="ADL508"/>
      <c r="ADM508"/>
      <c r="ADN508"/>
      <c r="ADO508"/>
      <c r="ADP508"/>
      <c r="ADQ508"/>
      <c r="ADR508"/>
      <c r="ADS508"/>
      <c r="ADT508"/>
      <c r="ADU508"/>
      <c r="ADV508"/>
      <c r="ADW508"/>
      <c r="ADX508"/>
      <c r="ADY508"/>
      <c r="ADZ508"/>
      <c r="AEA508"/>
      <c r="AEB508"/>
      <c r="AEC508"/>
      <c r="AED508"/>
      <c r="AEE508"/>
      <c r="AEF508"/>
      <c r="AEG508"/>
      <c r="AEH508"/>
      <c r="AEI508"/>
      <c r="AEJ508"/>
      <c r="AEK508"/>
      <c r="AEL508"/>
      <c r="AEM508"/>
      <c r="AEN508"/>
      <c r="AEO508"/>
      <c r="AEP508"/>
      <c r="AEQ508"/>
      <c r="AER508"/>
      <c r="AES508"/>
      <c r="AET508"/>
      <c r="AEU508"/>
      <c r="AEV508"/>
      <c r="AEW508"/>
      <c r="AEX508"/>
      <c r="AEY508"/>
      <c r="AEZ508"/>
      <c r="AFA508"/>
      <c r="AFB508"/>
      <c r="AFC508"/>
      <c r="AFD508"/>
      <c r="AFE508"/>
      <c r="AFF508"/>
      <c r="AFG508"/>
      <c r="AFH508"/>
      <c r="AFI508"/>
      <c r="AFJ508"/>
      <c r="AFK508"/>
      <c r="AFL508"/>
      <c r="AFM508"/>
      <c r="AFN508"/>
      <c r="AFO508"/>
      <c r="AFP508"/>
      <c r="AFQ508"/>
      <c r="AFR508"/>
      <c r="AFS508"/>
      <c r="AFT508"/>
      <c r="AFU508"/>
      <c r="AFV508"/>
      <c r="AFW508"/>
      <c r="AFX508"/>
      <c r="AFY508"/>
      <c r="AFZ508"/>
      <c r="AGA508"/>
      <c r="AGB508"/>
      <c r="AGC508"/>
      <c r="AGD508"/>
      <c r="AGE508"/>
      <c r="AGF508"/>
      <c r="AGG508"/>
      <c r="AGH508"/>
      <c r="AGI508"/>
      <c r="AGJ508"/>
      <c r="AGK508"/>
      <c r="AGL508"/>
      <c r="AGM508"/>
      <c r="AGN508"/>
      <c r="AGO508"/>
      <c r="AGP508"/>
      <c r="AGQ508"/>
      <c r="AGR508"/>
      <c r="AGS508"/>
      <c r="AGT508"/>
      <c r="AGU508"/>
    </row>
    <row r="509" spans="1:879" x14ac:dyDescent="0.2">
      <c r="A509" s="134">
        <v>45364</v>
      </c>
      <c r="B509" s="135">
        <f>YEAR(source[[#This Row],[report_date]])</f>
        <v>2024</v>
      </c>
      <c r="C509" s="136">
        <v>3</v>
      </c>
      <c r="D509" s="136">
        <f t="shared" si="36"/>
        <v>11</v>
      </c>
      <c r="E509" s="136">
        <f t="shared" si="37"/>
        <v>13</v>
      </c>
      <c r="F509" s="128" t="s">
        <v>67</v>
      </c>
      <c r="G509" s="128" t="str">
        <f>VLOOKUP(source[[#This Row],[lending_product_transform]],[3]Mapping!$B$4:$C$37,2,0)</f>
        <v>[Cake] - Overdraft</v>
      </c>
      <c r="H509" s="128" t="str">
        <f>VLOOKUP(source[[#This Row],[lending_product_transform]],[3]Mapping!$B$3:$D$37,3,0)</f>
        <v>overdraft</v>
      </c>
      <c r="I509" s="135">
        <v>1727246651</v>
      </c>
      <c r="K509" s="30" t="s">
        <v>205</v>
      </c>
      <c r="L509">
        <v>1</v>
      </c>
      <c r="M509">
        <v>2</v>
      </c>
      <c r="N509">
        <v>3</v>
      </c>
      <c r="O509">
        <v>4</v>
      </c>
      <c r="P509">
        <v>5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/>
      <c r="MI509"/>
      <c r="MJ509"/>
      <c r="MK509"/>
      <c r="ML509"/>
      <c r="MM509"/>
      <c r="MN509"/>
      <c r="MO509"/>
      <c r="MP509"/>
      <c r="MQ509"/>
      <c r="MR509"/>
      <c r="MS509"/>
      <c r="MT509"/>
      <c r="MU509"/>
      <c r="MV509"/>
      <c r="MW509"/>
      <c r="MX509"/>
      <c r="MY509"/>
      <c r="MZ509"/>
      <c r="NA509"/>
      <c r="NB509"/>
      <c r="NC509"/>
      <c r="ND509"/>
      <c r="NE509"/>
      <c r="NF509"/>
      <c r="NG509"/>
      <c r="NH509"/>
      <c r="NI509"/>
      <c r="NJ509"/>
      <c r="NK509"/>
      <c r="NL509"/>
      <c r="NM509"/>
      <c r="NN509"/>
      <c r="NO509"/>
      <c r="NP509"/>
      <c r="NQ509"/>
      <c r="NR509"/>
      <c r="NS509"/>
      <c r="NT509"/>
      <c r="NU509"/>
      <c r="NV509"/>
      <c r="NW509"/>
      <c r="NX509"/>
      <c r="NY509"/>
      <c r="NZ509"/>
      <c r="OA509"/>
      <c r="OB509"/>
      <c r="OC509"/>
      <c r="OD509"/>
      <c r="OE509"/>
      <c r="OF509"/>
      <c r="OG509"/>
      <c r="OH509"/>
      <c r="OI509"/>
      <c r="OJ509"/>
      <c r="OK509"/>
      <c r="OL509"/>
      <c r="OM509"/>
      <c r="ON509"/>
      <c r="OO509"/>
      <c r="OP509"/>
      <c r="OQ509"/>
      <c r="OR509"/>
      <c r="OS509"/>
      <c r="OT509"/>
      <c r="OU509"/>
      <c r="OV509"/>
      <c r="OW509"/>
      <c r="OX509"/>
      <c r="OY509"/>
      <c r="OZ509"/>
      <c r="PA509"/>
      <c r="PB509"/>
      <c r="PC509"/>
      <c r="PD509"/>
      <c r="PE509"/>
      <c r="PF509"/>
      <c r="PG509"/>
      <c r="PH509"/>
      <c r="PI509"/>
      <c r="PJ509"/>
      <c r="PK509"/>
      <c r="PL509"/>
      <c r="PM509"/>
      <c r="PN509"/>
      <c r="PO509"/>
      <c r="PP509"/>
      <c r="PQ509"/>
      <c r="PR509"/>
      <c r="PS509"/>
      <c r="PT509"/>
      <c r="PU509"/>
      <c r="PV509"/>
      <c r="PW509"/>
      <c r="PX509"/>
      <c r="PY509"/>
      <c r="PZ509"/>
      <c r="QA509"/>
      <c r="QB509"/>
      <c r="QC509"/>
      <c r="QD509"/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/>
      <c r="RH509"/>
      <c r="RI509"/>
      <c r="RJ509"/>
      <c r="RK509"/>
      <c r="RL509"/>
      <c r="RM509"/>
      <c r="RN509"/>
      <c r="RO509"/>
      <c r="RP509"/>
      <c r="RQ509"/>
      <c r="RR509"/>
      <c r="RS509"/>
      <c r="RT509"/>
      <c r="RU509"/>
      <c r="RV509"/>
      <c r="RW509"/>
      <c r="RX509"/>
      <c r="RY509"/>
      <c r="RZ509"/>
      <c r="SA509"/>
      <c r="SB509"/>
      <c r="SC509"/>
      <c r="SD509"/>
      <c r="SE509"/>
      <c r="SF509"/>
      <c r="SG509"/>
      <c r="SH509"/>
      <c r="SI509"/>
      <c r="SJ509"/>
      <c r="SK509"/>
      <c r="SL509"/>
      <c r="SM509"/>
      <c r="SN509"/>
      <c r="SO509"/>
      <c r="SP509"/>
      <c r="SQ509"/>
      <c r="SR509"/>
      <c r="SS509"/>
      <c r="ST509"/>
      <c r="SU509"/>
      <c r="SV509"/>
      <c r="SW509"/>
      <c r="SX509"/>
      <c r="SY509"/>
      <c r="SZ509"/>
      <c r="TA509"/>
      <c r="TB509"/>
      <c r="TC509"/>
      <c r="TD509"/>
      <c r="TE509"/>
      <c r="TF509"/>
      <c r="TG509"/>
      <c r="TH509"/>
      <c r="TI509"/>
      <c r="TJ509"/>
      <c r="TK509"/>
      <c r="TL509"/>
      <c r="TM509"/>
      <c r="TN509"/>
      <c r="TO509"/>
      <c r="TP509"/>
      <c r="TQ509"/>
      <c r="TR509"/>
      <c r="TS509"/>
      <c r="TT509"/>
      <c r="TU509"/>
      <c r="TV509"/>
      <c r="TW509"/>
      <c r="TX509"/>
      <c r="TY509"/>
      <c r="TZ509"/>
      <c r="UA509"/>
      <c r="UB509"/>
      <c r="UC509"/>
      <c r="UD509"/>
      <c r="UE509"/>
      <c r="UF509"/>
      <c r="UG509"/>
      <c r="UH509"/>
      <c r="UI509"/>
      <c r="UJ509"/>
      <c r="UK509"/>
      <c r="UL509"/>
      <c r="UM509"/>
      <c r="UN509"/>
      <c r="UO509"/>
      <c r="UP509"/>
      <c r="UQ509"/>
      <c r="UR509"/>
      <c r="US509"/>
      <c r="UT509"/>
      <c r="UU509"/>
      <c r="UV509"/>
      <c r="UW509"/>
      <c r="UX509"/>
      <c r="UY509"/>
      <c r="UZ509"/>
      <c r="VA509"/>
      <c r="VB509"/>
      <c r="VC509"/>
      <c r="VD509"/>
      <c r="VE509"/>
      <c r="VF509"/>
      <c r="VG509"/>
      <c r="VH509"/>
      <c r="VI509"/>
      <c r="VJ509"/>
      <c r="VK509"/>
      <c r="VL509"/>
      <c r="VM509"/>
      <c r="VN509"/>
      <c r="VO509"/>
      <c r="VP509"/>
      <c r="VQ509"/>
      <c r="VR509"/>
      <c r="VS509"/>
      <c r="VT509"/>
      <c r="VU509"/>
      <c r="VV509"/>
      <c r="VW509"/>
      <c r="VX509"/>
      <c r="VY509"/>
      <c r="VZ509"/>
      <c r="WA509"/>
      <c r="WB509"/>
      <c r="WC509"/>
      <c r="WD509"/>
      <c r="WE509"/>
      <c r="WF509"/>
      <c r="WG509"/>
      <c r="WH509"/>
      <c r="WI509"/>
      <c r="WJ509"/>
      <c r="WK509"/>
      <c r="WL509"/>
      <c r="WM509"/>
      <c r="WN509"/>
      <c r="WO509"/>
      <c r="WP509"/>
      <c r="WQ509"/>
      <c r="WR509"/>
      <c r="WS509"/>
      <c r="WT509"/>
      <c r="WU509"/>
      <c r="WV509"/>
      <c r="WW509"/>
      <c r="WX509"/>
      <c r="WY509"/>
      <c r="WZ509"/>
      <c r="XA509"/>
      <c r="XB509"/>
      <c r="XC509"/>
      <c r="XD509"/>
      <c r="XE509"/>
      <c r="XF509"/>
      <c r="XG509"/>
      <c r="XH509"/>
      <c r="XI509"/>
      <c r="XJ509"/>
      <c r="XK509"/>
      <c r="XL509"/>
      <c r="XM509"/>
      <c r="XN509"/>
      <c r="XO509"/>
      <c r="XP509"/>
      <c r="XQ509"/>
      <c r="XR509"/>
      <c r="XS509"/>
      <c r="XT509"/>
      <c r="XU509"/>
      <c r="XV509"/>
      <c r="XW509"/>
      <c r="XX509"/>
      <c r="XY509"/>
      <c r="XZ509"/>
      <c r="YA509"/>
      <c r="YB509"/>
      <c r="YC509"/>
      <c r="YD509"/>
      <c r="YE509"/>
      <c r="YF509"/>
      <c r="YG509"/>
      <c r="YH509"/>
      <c r="YI509"/>
      <c r="YJ509"/>
      <c r="YK509"/>
      <c r="YL509"/>
      <c r="YM509"/>
      <c r="YN509"/>
      <c r="YO509"/>
      <c r="YP509"/>
      <c r="YQ509"/>
      <c r="YR509"/>
      <c r="YS509"/>
      <c r="YT509"/>
      <c r="YU509"/>
      <c r="YV509"/>
      <c r="YW509"/>
      <c r="YX509"/>
      <c r="YY509"/>
      <c r="YZ509"/>
      <c r="ZA509"/>
      <c r="ZB509"/>
      <c r="ZC509"/>
      <c r="ZD509"/>
      <c r="ZE509"/>
      <c r="ZF509"/>
      <c r="ZG509"/>
      <c r="ZH509"/>
      <c r="ZI509"/>
      <c r="ZJ509"/>
      <c r="ZK509"/>
      <c r="ZL509"/>
      <c r="ZM509"/>
      <c r="ZN509"/>
      <c r="ZO509"/>
      <c r="ZP509"/>
      <c r="ZQ509"/>
      <c r="ZR509"/>
      <c r="ZS509"/>
      <c r="ZT509"/>
      <c r="ZU509"/>
      <c r="ZV509"/>
      <c r="ZW509"/>
      <c r="ZX509"/>
      <c r="ZY509"/>
      <c r="ZZ509"/>
      <c r="AAA509"/>
      <c r="AAB509"/>
      <c r="AAC509"/>
      <c r="AAD509"/>
      <c r="AAE509"/>
      <c r="AAF509"/>
      <c r="AAG509"/>
      <c r="AAH509"/>
      <c r="AAI509"/>
      <c r="AAJ509"/>
      <c r="AAK509"/>
      <c r="AAL509"/>
      <c r="AAM509"/>
      <c r="AAN509"/>
      <c r="AAO509"/>
      <c r="AAP509"/>
      <c r="AAQ509"/>
      <c r="AAR509"/>
      <c r="AAS509"/>
      <c r="AAT509"/>
      <c r="AAU509"/>
      <c r="AAV509"/>
      <c r="AAW509"/>
      <c r="AAX509"/>
      <c r="AAY509"/>
      <c r="AAZ509"/>
      <c r="ABA509"/>
      <c r="ABB509"/>
      <c r="ABC509"/>
      <c r="ABD509"/>
      <c r="ABE509"/>
      <c r="ABF509"/>
      <c r="ABG509"/>
      <c r="ABH509"/>
      <c r="ABI509"/>
      <c r="ABJ509"/>
      <c r="ABK509"/>
      <c r="ABL509"/>
      <c r="ABM509"/>
      <c r="ABN509"/>
      <c r="ABO509"/>
      <c r="ABP509"/>
      <c r="ABQ509"/>
      <c r="ABR509"/>
      <c r="ABS509"/>
      <c r="ABT509"/>
      <c r="ABU509"/>
      <c r="ABV509"/>
      <c r="ABW509"/>
      <c r="ABX509"/>
      <c r="ABY509"/>
      <c r="ABZ509"/>
      <c r="ACA509"/>
      <c r="ACB509"/>
      <c r="ACC509"/>
      <c r="ACD509"/>
      <c r="ACE509"/>
      <c r="ACF509"/>
      <c r="ACG509"/>
      <c r="ACH509"/>
      <c r="ACI509"/>
      <c r="ACJ509"/>
      <c r="ACK509"/>
      <c r="ACL509"/>
      <c r="ACM509"/>
      <c r="ACN509"/>
      <c r="ACO509"/>
      <c r="ACP509"/>
      <c r="ACQ509"/>
      <c r="ACR509"/>
      <c r="ACS509"/>
      <c r="ACT509"/>
      <c r="ACU509"/>
      <c r="ACV509"/>
      <c r="ACW509"/>
      <c r="ACX509"/>
      <c r="ACY509"/>
      <c r="ACZ509"/>
      <c r="ADA509"/>
      <c r="ADB509"/>
      <c r="ADC509"/>
      <c r="ADD509"/>
      <c r="ADE509"/>
      <c r="ADF509"/>
      <c r="ADG509"/>
      <c r="ADH509"/>
      <c r="ADI509"/>
      <c r="ADJ509"/>
      <c r="ADK509"/>
      <c r="ADL509"/>
      <c r="ADM509"/>
      <c r="ADN509"/>
      <c r="ADO509"/>
      <c r="ADP509"/>
      <c r="ADQ509"/>
      <c r="ADR509"/>
      <c r="ADS509"/>
      <c r="ADT509"/>
      <c r="ADU509"/>
      <c r="ADV509"/>
      <c r="ADW509"/>
      <c r="ADX509"/>
      <c r="ADY509"/>
      <c r="ADZ509"/>
      <c r="AEA509"/>
      <c r="AEB509"/>
      <c r="AEC509"/>
      <c r="AED509"/>
      <c r="AEE509"/>
      <c r="AEF509"/>
      <c r="AEG509"/>
      <c r="AEH509"/>
      <c r="AEI509"/>
      <c r="AEJ509"/>
      <c r="AEK509"/>
      <c r="AEL509"/>
      <c r="AEM509"/>
      <c r="AEN509"/>
      <c r="AEO509"/>
      <c r="AEP509"/>
      <c r="AEQ509"/>
      <c r="AER509"/>
      <c r="AES509"/>
      <c r="AET509"/>
      <c r="AEU509"/>
      <c r="AEV509"/>
      <c r="AEW509"/>
      <c r="AEX509"/>
      <c r="AEY509"/>
      <c r="AEZ509"/>
      <c r="AFA509"/>
      <c r="AFB509"/>
      <c r="AFC509"/>
      <c r="AFD509"/>
      <c r="AFE509"/>
      <c r="AFF509"/>
      <c r="AFG509"/>
      <c r="AFH509"/>
      <c r="AFI509"/>
      <c r="AFJ509"/>
      <c r="AFK509"/>
      <c r="AFL509"/>
      <c r="AFM509"/>
      <c r="AFN509"/>
      <c r="AFO509"/>
      <c r="AFP509"/>
      <c r="AFQ509"/>
      <c r="AFR509"/>
      <c r="AFS509"/>
      <c r="AFT509"/>
      <c r="AFU509"/>
      <c r="AFV509"/>
      <c r="AFW509"/>
      <c r="AFX509"/>
      <c r="AFY509"/>
      <c r="AFZ509"/>
      <c r="AGA509"/>
      <c r="AGB509"/>
      <c r="AGC509"/>
      <c r="AGD509"/>
      <c r="AGE509"/>
      <c r="AGF509"/>
      <c r="AGG509"/>
      <c r="AGH509"/>
      <c r="AGI509"/>
      <c r="AGJ509"/>
      <c r="AGK509"/>
      <c r="AGL509"/>
      <c r="AGM509"/>
      <c r="AGN509"/>
      <c r="AGO509"/>
      <c r="AGP509"/>
      <c r="AGQ509"/>
      <c r="AGR509"/>
      <c r="AGS509"/>
      <c r="AGT509"/>
      <c r="AGU509"/>
    </row>
    <row r="510" spans="1:879" x14ac:dyDescent="0.2">
      <c r="A510" s="134">
        <v>45364</v>
      </c>
      <c r="B510" s="135">
        <f>YEAR(source[[#This Row],[report_date]])</f>
        <v>2024</v>
      </c>
      <c r="C510" s="136">
        <v>3</v>
      </c>
      <c r="D510" s="136">
        <f t="shared" si="36"/>
        <v>11</v>
      </c>
      <c r="E510" s="136">
        <f t="shared" si="37"/>
        <v>13</v>
      </c>
      <c r="F510" s="128" t="s">
        <v>61</v>
      </c>
      <c r="G510" s="128" t="str">
        <f>VLOOKUP(source[[#This Row],[lending_product_transform]],[3]Mapping!$B$4:$C$37,2,0)</f>
        <v>[VDS] - Payroll Payday</v>
      </c>
      <c r="H510" s="128" t="str">
        <f>VLOOKUP(source[[#This Row],[lending_product_transform]],[3]Mapping!$B$3:$D$37,3,0)</f>
        <v>payday</v>
      </c>
      <c r="I510" s="135">
        <v>36000000</v>
      </c>
      <c r="K510" s="550" t="s">
        <v>65</v>
      </c>
      <c r="L510" s="477">
        <v>21136600000</v>
      </c>
      <c r="M510" s="477">
        <v>15124750000</v>
      </c>
      <c r="N510" s="477">
        <v>23471820000</v>
      </c>
      <c r="O510" s="477">
        <v>16993230000</v>
      </c>
      <c r="P510" s="477">
        <v>8606560000</v>
      </c>
      <c r="Q510" s="477">
        <v>85332960000</v>
      </c>
      <c r="R510" s="477">
        <v>85332960000</v>
      </c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/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  <c r="LK510"/>
      <c r="LL510"/>
      <c r="LM510"/>
      <c r="LN510"/>
      <c r="LO510"/>
      <c r="LP510"/>
      <c r="LQ510"/>
      <c r="LR510"/>
      <c r="LS510"/>
      <c r="LT510"/>
      <c r="LU510"/>
      <c r="LV510"/>
      <c r="LW510"/>
      <c r="LX510"/>
      <c r="LY510"/>
      <c r="LZ510"/>
      <c r="MA510"/>
      <c r="MB510"/>
      <c r="MC510"/>
      <c r="MD510"/>
      <c r="ME510"/>
      <c r="MF510"/>
      <c r="MG510"/>
      <c r="MH510"/>
      <c r="MI510"/>
      <c r="MJ510"/>
      <c r="MK510"/>
      <c r="ML510"/>
      <c r="MM510"/>
      <c r="MN510"/>
      <c r="MO510"/>
      <c r="MP510"/>
      <c r="MQ510"/>
      <c r="MR510"/>
      <c r="MS510"/>
      <c r="MT510"/>
      <c r="MU510"/>
      <c r="MV510"/>
      <c r="MW510"/>
      <c r="MX510"/>
      <c r="MY510"/>
      <c r="MZ510"/>
      <c r="NA510"/>
      <c r="NB510"/>
      <c r="NC510"/>
      <c r="ND510"/>
      <c r="NE510"/>
      <c r="NF510"/>
      <c r="NG510"/>
      <c r="NH510"/>
      <c r="NI510"/>
      <c r="NJ510"/>
      <c r="NK510"/>
      <c r="NL510"/>
      <c r="NM510"/>
      <c r="NN510"/>
      <c r="NO510"/>
      <c r="NP510"/>
      <c r="NQ510"/>
      <c r="NR510"/>
      <c r="NS510"/>
      <c r="NT510"/>
      <c r="NU510"/>
      <c r="NV510"/>
      <c r="NW510"/>
      <c r="NX510"/>
      <c r="NY510"/>
      <c r="NZ510"/>
      <c r="OA510"/>
      <c r="OB510"/>
      <c r="OC510"/>
      <c r="OD510"/>
      <c r="OE510"/>
      <c r="OF510"/>
      <c r="OG510"/>
      <c r="OH510"/>
      <c r="OI510"/>
      <c r="OJ510"/>
      <c r="OK510"/>
      <c r="OL510"/>
      <c r="OM510"/>
      <c r="ON510"/>
      <c r="OO510"/>
      <c r="OP510"/>
      <c r="OQ510"/>
      <c r="OR510"/>
      <c r="OS510"/>
      <c r="OT510"/>
      <c r="OU510"/>
      <c r="OV510"/>
      <c r="OW510"/>
      <c r="OX510"/>
      <c r="OY510"/>
      <c r="OZ510"/>
      <c r="PA510"/>
      <c r="PB510"/>
      <c r="PC510"/>
      <c r="PD510"/>
      <c r="PE510"/>
      <c r="PF510"/>
      <c r="PG510"/>
      <c r="PH510"/>
      <c r="PI510"/>
      <c r="PJ510"/>
      <c r="PK510"/>
      <c r="PL510"/>
      <c r="PM510"/>
      <c r="PN510"/>
      <c r="PO510"/>
      <c r="PP510"/>
      <c r="PQ510"/>
      <c r="PR510"/>
      <c r="PS510"/>
      <c r="PT510"/>
      <c r="PU510"/>
      <c r="PV510"/>
      <c r="PW510"/>
      <c r="PX510"/>
      <c r="PY510"/>
      <c r="PZ510"/>
      <c r="QA510"/>
      <c r="QB510"/>
      <c r="QC510"/>
      <c r="QD510"/>
      <c r="QE510"/>
      <c r="QF510"/>
      <c r="QG510"/>
      <c r="QH510"/>
      <c r="QI510"/>
      <c r="QJ510"/>
      <c r="QK510"/>
      <c r="QL510"/>
      <c r="QM510"/>
      <c r="QN510"/>
      <c r="QO510"/>
      <c r="QP510"/>
      <c r="QQ510"/>
      <c r="QR510"/>
      <c r="QS510"/>
      <c r="QT510"/>
      <c r="QU510"/>
      <c r="QV510"/>
      <c r="QW510"/>
      <c r="QX510"/>
      <c r="QY510"/>
      <c r="QZ510"/>
      <c r="RA510"/>
      <c r="RB510"/>
      <c r="RC510"/>
      <c r="RD510"/>
      <c r="RE510"/>
      <c r="RF510"/>
      <c r="RG510"/>
      <c r="RH510"/>
      <c r="RI510"/>
      <c r="RJ510"/>
      <c r="RK510"/>
      <c r="RL510"/>
      <c r="RM510"/>
      <c r="RN510"/>
      <c r="RO510"/>
      <c r="RP510"/>
      <c r="RQ510"/>
      <c r="RR510"/>
      <c r="RS510"/>
      <c r="RT510"/>
      <c r="RU510"/>
      <c r="RV510"/>
      <c r="RW510"/>
      <c r="RX510"/>
      <c r="RY510"/>
      <c r="RZ510"/>
      <c r="SA510"/>
      <c r="SB510"/>
      <c r="SC510"/>
      <c r="SD510"/>
      <c r="SE510"/>
      <c r="SF510"/>
      <c r="SG510"/>
      <c r="SH510"/>
      <c r="SI510"/>
      <c r="SJ510"/>
      <c r="SK510"/>
      <c r="SL510"/>
      <c r="SM510"/>
      <c r="SN510"/>
      <c r="SO510"/>
      <c r="SP510"/>
      <c r="SQ510"/>
      <c r="SR510"/>
      <c r="SS510"/>
      <c r="ST510"/>
      <c r="SU510"/>
      <c r="SV510"/>
      <c r="SW510"/>
      <c r="SX510"/>
      <c r="SY510"/>
      <c r="SZ510"/>
      <c r="TA510"/>
      <c r="TB510"/>
      <c r="TC510"/>
      <c r="TD510"/>
      <c r="TE510"/>
      <c r="TF510"/>
      <c r="TG510"/>
      <c r="TH510"/>
      <c r="TI510"/>
      <c r="TJ510"/>
      <c r="TK510"/>
      <c r="TL510"/>
      <c r="TM510"/>
      <c r="TN510"/>
      <c r="TO510"/>
      <c r="TP510"/>
      <c r="TQ510"/>
      <c r="TR510"/>
      <c r="TS510"/>
      <c r="TT510"/>
      <c r="TU510"/>
      <c r="TV510"/>
      <c r="TW510"/>
      <c r="TX510"/>
      <c r="TY510"/>
      <c r="TZ510"/>
      <c r="UA510"/>
      <c r="UB510"/>
      <c r="UC510"/>
      <c r="UD510"/>
      <c r="UE510"/>
      <c r="UF510"/>
      <c r="UG510"/>
      <c r="UH510"/>
      <c r="UI510"/>
      <c r="UJ510"/>
      <c r="UK510"/>
      <c r="UL510"/>
      <c r="UM510"/>
      <c r="UN510"/>
      <c r="UO510"/>
      <c r="UP510"/>
      <c r="UQ510"/>
      <c r="UR510"/>
      <c r="US510"/>
      <c r="UT510"/>
      <c r="UU510"/>
      <c r="UV510"/>
      <c r="UW510"/>
      <c r="UX510"/>
      <c r="UY510"/>
      <c r="UZ510"/>
      <c r="VA510"/>
      <c r="VB510"/>
      <c r="VC510"/>
      <c r="VD510"/>
      <c r="VE510"/>
      <c r="VF510"/>
      <c r="VG510"/>
      <c r="VH510"/>
      <c r="VI510"/>
      <c r="VJ510"/>
      <c r="VK510"/>
      <c r="VL510"/>
      <c r="VM510"/>
      <c r="VN510"/>
      <c r="VO510"/>
      <c r="VP510"/>
      <c r="VQ510"/>
      <c r="VR510"/>
      <c r="VS510"/>
      <c r="VT510"/>
      <c r="VU510"/>
      <c r="VV510"/>
      <c r="VW510"/>
      <c r="VX510"/>
      <c r="VY510"/>
      <c r="VZ510"/>
      <c r="WA510"/>
      <c r="WB510"/>
      <c r="WC510"/>
      <c r="WD510"/>
      <c r="WE510"/>
      <c r="WF510"/>
      <c r="WG510"/>
      <c r="WH510"/>
      <c r="WI510"/>
      <c r="WJ510"/>
      <c r="WK510"/>
      <c r="WL510"/>
      <c r="WM510"/>
      <c r="WN510"/>
      <c r="WO510"/>
      <c r="WP510"/>
      <c r="WQ510"/>
      <c r="WR510"/>
      <c r="WS510"/>
      <c r="WT510"/>
      <c r="WU510"/>
      <c r="WV510"/>
      <c r="WW510"/>
      <c r="WX510"/>
      <c r="WY510"/>
      <c r="WZ510"/>
      <c r="XA510"/>
      <c r="XB510"/>
      <c r="XC510"/>
      <c r="XD510"/>
      <c r="XE510"/>
      <c r="XF510"/>
      <c r="XG510"/>
      <c r="XH510"/>
      <c r="XI510"/>
      <c r="XJ510"/>
      <c r="XK510"/>
      <c r="XL510"/>
      <c r="XM510"/>
      <c r="XN510"/>
      <c r="XO510"/>
      <c r="XP510"/>
      <c r="XQ510"/>
      <c r="XR510"/>
      <c r="XS510"/>
      <c r="XT510"/>
      <c r="XU510"/>
      <c r="XV510"/>
      <c r="XW510"/>
      <c r="XX510"/>
      <c r="XY510"/>
      <c r="XZ510"/>
      <c r="YA510"/>
      <c r="YB510"/>
      <c r="YC510"/>
      <c r="YD510"/>
      <c r="YE510"/>
      <c r="YF510"/>
      <c r="YG510"/>
      <c r="YH510"/>
      <c r="YI510"/>
      <c r="YJ510"/>
      <c r="YK510"/>
      <c r="YL510"/>
      <c r="YM510"/>
      <c r="YN510"/>
      <c r="YO510"/>
      <c r="YP510"/>
      <c r="YQ510"/>
      <c r="YR510"/>
      <c r="YS510"/>
      <c r="YT510"/>
      <c r="YU510"/>
      <c r="YV510"/>
      <c r="YW510"/>
      <c r="YX510"/>
      <c r="YY510"/>
      <c r="YZ510"/>
      <c r="ZA510"/>
      <c r="ZB510"/>
      <c r="ZC510"/>
      <c r="ZD510"/>
      <c r="ZE510"/>
      <c r="ZF510"/>
      <c r="ZG510"/>
      <c r="ZH510"/>
      <c r="ZI510"/>
      <c r="ZJ510"/>
      <c r="ZK510"/>
      <c r="ZL510"/>
      <c r="ZM510"/>
      <c r="ZN510"/>
      <c r="ZO510"/>
      <c r="ZP510"/>
      <c r="ZQ510"/>
      <c r="ZR510"/>
      <c r="ZS510"/>
      <c r="ZT510"/>
      <c r="ZU510"/>
      <c r="ZV510"/>
      <c r="ZW510"/>
      <c r="ZX510"/>
      <c r="ZY510"/>
      <c r="ZZ510"/>
      <c r="AAA510"/>
      <c r="AAB510"/>
      <c r="AAC510"/>
      <c r="AAD510"/>
      <c r="AAE510"/>
      <c r="AAF510"/>
      <c r="AAG510"/>
      <c r="AAH510"/>
      <c r="AAI510"/>
      <c r="AAJ510"/>
      <c r="AAK510"/>
      <c r="AAL510"/>
      <c r="AAM510"/>
      <c r="AAN510"/>
      <c r="AAO510"/>
      <c r="AAP510"/>
      <c r="AAQ510"/>
      <c r="AAR510"/>
      <c r="AAS510"/>
      <c r="AAT510"/>
      <c r="AAU510"/>
      <c r="AAV510"/>
      <c r="AAW510"/>
      <c r="AAX510"/>
      <c r="AAY510"/>
      <c r="AAZ510"/>
      <c r="ABA510"/>
      <c r="ABB510"/>
      <c r="ABC510"/>
      <c r="ABD510"/>
      <c r="ABE510"/>
      <c r="ABF510"/>
      <c r="ABG510"/>
      <c r="ABH510"/>
      <c r="ABI510"/>
      <c r="ABJ510"/>
      <c r="ABK510"/>
      <c r="ABL510"/>
      <c r="ABM510"/>
      <c r="ABN510"/>
      <c r="ABO510"/>
      <c r="ABP510"/>
      <c r="ABQ510"/>
      <c r="ABR510"/>
      <c r="ABS510"/>
      <c r="ABT510"/>
      <c r="ABU510"/>
      <c r="ABV510"/>
      <c r="ABW510"/>
      <c r="ABX510"/>
      <c r="ABY510"/>
      <c r="ABZ510"/>
      <c r="ACA510"/>
      <c r="ACB510"/>
      <c r="ACC510"/>
      <c r="ACD510"/>
      <c r="ACE510"/>
      <c r="ACF510"/>
      <c r="ACG510"/>
      <c r="ACH510"/>
      <c r="ACI510"/>
      <c r="ACJ510"/>
      <c r="ACK510"/>
      <c r="ACL510"/>
      <c r="ACM510"/>
      <c r="ACN510"/>
      <c r="ACO510"/>
      <c r="ACP510"/>
      <c r="ACQ510"/>
      <c r="ACR510"/>
      <c r="ACS510"/>
      <c r="ACT510"/>
      <c r="ACU510"/>
      <c r="ACV510"/>
      <c r="ACW510"/>
      <c r="ACX510"/>
      <c r="ACY510"/>
      <c r="ACZ510"/>
      <c r="ADA510"/>
      <c r="ADB510"/>
      <c r="ADC510"/>
      <c r="ADD510"/>
      <c r="ADE510"/>
      <c r="ADF510"/>
      <c r="ADG510"/>
      <c r="ADH510"/>
      <c r="ADI510"/>
      <c r="ADJ510"/>
      <c r="ADK510"/>
      <c r="ADL510"/>
      <c r="ADM510"/>
      <c r="ADN510"/>
      <c r="ADO510"/>
      <c r="ADP510"/>
      <c r="ADQ510"/>
      <c r="ADR510"/>
      <c r="ADS510"/>
      <c r="ADT510"/>
      <c r="ADU510"/>
      <c r="ADV510"/>
      <c r="ADW510"/>
      <c r="ADX510"/>
      <c r="ADY510"/>
      <c r="ADZ510"/>
      <c r="AEA510"/>
      <c r="AEB510"/>
      <c r="AEC510"/>
      <c r="AED510"/>
      <c r="AEE510"/>
      <c r="AEF510"/>
      <c r="AEG510"/>
      <c r="AEH510"/>
      <c r="AEI510"/>
      <c r="AEJ510"/>
      <c r="AEK510"/>
      <c r="AEL510"/>
      <c r="AEM510"/>
      <c r="AEN510"/>
      <c r="AEO510"/>
      <c r="AEP510"/>
      <c r="AEQ510"/>
      <c r="AER510"/>
      <c r="AES510"/>
      <c r="AET510"/>
      <c r="AEU510"/>
      <c r="AEV510"/>
      <c r="AEW510"/>
      <c r="AEX510"/>
      <c r="AEY510"/>
      <c r="AEZ510"/>
      <c r="AFA510"/>
      <c r="AFB510"/>
      <c r="AFC510"/>
      <c r="AFD510"/>
      <c r="AFE510"/>
      <c r="AFF510"/>
      <c r="AFG510"/>
      <c r="AFH510"/>
      <c r="AFI510"/>
      <c r="AFJ510"/>
      <c r="AFK510"/>
      <c r="AFL510"/>
      <c r="AFM510"/>
      <c r="AFN510"/>
      <c r="AFO510"/>
      <c r="AFP510"/>
      <c r="AFQ510"/>
      <c r="AFR510"/>
      <c r="AFS510"/>
      <c r="AFT510"/>
      <c r="AFU510"/>
      <c r="AFV510"/>
      <c r="AFW510"/>
      <c r="AFX510"/>
      <c r="AFY510"/>
      <c r="AFZ510"/>
      <c r="AGA510"/>
      <c r="AGB510"/>
      <c r="AGC510"/>
      <c r="AGD510"/>
      <c r="AGE510"/>
      <c r="AGF510"/>
      <c r="AGG510"/>
      <c r="AGH510"/>
      <c r="AGI510"/>
      <c r="AGJ510"/>
      <c r="AGK510"/>
      <c r="AGL510"/>
      <c r="AGM510"/>
      <c r="AGN510"/>
      <c r="AGO510"/>
      <c r="AGP510"/>
      <c r="AGQ510"/>
      <c r="AGR510"/>
      <c r="AGS510"/>
      <c r="AGT510"/>
      <c r="AGU510"/>
    </row>
    <row r="511" spans="1:879" x14ac:dyDescent="0.2">
      <c r="A511" s="134">
        <v>45364</v>
      </c>
      <c r="B511" s="135">
        <f>YEAR(source[[#This Row],[report_date]])</f>
        <v>2024</v>
      </c>
      <c r="C511" s="136">
        <v>3</v>
      </c>
      <c r="D511" s="136">
        <f t="shared" si="36"/>
        <v>11</v>
      </c>
      <c r="E511" s="136">
        <f t="shared" si="37"/>
        <v>13</v>
      </c>
      <c r="F511" s="128" t="s">
        <v>11</v>
      </c>
      <c r="G511" s="128" t="str">
        <f>VLOOKUP(source[[#This Row],[lending_product_transform]],[3]Mapping!$B$4:$C$37,2,0)</f>
        <v>[VDS] - Cashloan</v>
      </c>
      <c r="H511" s="128" t="str">
        <f>VLOOKUP(source[[#This Row],[lending_product_transform]],[3]Mapping!$B$3:$D$37,3,0)</f>
        <v>cashloan</v>
      </c>
      <c r="I511" s="135">
        <v>1933140000</v>
      </c>
      <c r="K511" s="550" t="s">
        <v>66</v>
      </c>
      <c r="L511" s="477">
        <v>10867603221</v>
      </c>
      <c r="M511" s="477">
        <v>9233648329</v>
      </c>
      <c r="N511" s="477">
        <v>10631003862</v>
      </c>
      <c r="O511" s="477">
        <v>9358548670</v>
      </c>
      <c r="P511" s="477">
        <v>3862036644</v>
      </c>
      <c r="Q511" s="477">
        <v>43952840726</v>
      </c>
      <c r="R511" s="477">
        <v>43952840726</v>
      </c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/>
      <c r="MI511"/>
      <c r="MJ511"/>
      <c r="MK511"/>
      <c r="ML511"/>
      <c r="MM511"/>
      <c r="MN511"/>
      <c r="MO511"/>
      <c r="MP511"/>
      <c r="MQ511"/>
      <c r="MR511"/>
      <c r="MS511"/>
      <c r="MT511"/>
      <c r="MU511"/>
      <c r="MV511"/>
      <c r="MW511"/>
      <c r="MX511"/>
      <c r="MY511"/>
      <c r="MZ511"/>
      <c r="NA511"/>
      <c r="NB511"/>
      <c r="NC511"/>
      <c r="ND511"/>
      <c r="NE511"/>
      <c r="NF511"/>
      <c r="NG511"/>
      <c r="NH511"/>
      <c r="NI511"/>
      <c r="NJ511"/>
      <c r="NK511"/>
      <c r="NL511"/>
      <c r="NM511"/>
      <c r="NN511"/>
      <c r="NO511"/>
      <c r="NP511"/>
      <c r="NQ511"/>
      <c r="NR511"/>
      <c r="NS511"/>
      <c r="NT511"/>
      <c r="NU511"/>
      <c r="NV511"/>
      <c r="NW511"/>
      <c r="NX511"/>
      <c r="NY511"/>
      <c r="NZ511"/>
      <c r="OA511"/>
      <c r="OB511"/>
      <c r="OC511"/>
      <c r="OD511"/>
      <c r="OE511"/>
      <c r="OF511"/>
      <c r="OG511"/>
      <c r="OH511"/>
      <c r="OI511"/>
      <c r="OJ511"/>
      <c r="OK511"/>
      <c r="OL511"/>
      <c r="OM511"/>
      <c r="ON511"/>
      <c r="OO511"/>
      <c r="OP511"/>
      <c r="OQ511"/>
      <c r="OR511"/>
      <c r="OS511"/>
      <c r="OT511"/>
      <c r="OU511"/>
      <c r="OV511"/>
      <c r="OW511"/>
      <c r="OX511"/>
      <c r="OY511"/>
      <c r="OZ511"/>
      <c r="PA511"/>
      <c r="PB511"/>
      <c r="PC511"/>
      <c r="PD511"/>
      <c r="PE511"/>
      <c r="PF511"/>
      <c r="PG511"/>
      <c r="PH511"/>
      <c r="PI511"/>
      <c r="PJ511"/>
      <c r="PK511"/>
      <c r="PL511"/>
      <c r="PM511"/>
      <c r="PN511"/>
      <c r="PO511"/>
      <c r="PP511"/>
      <c r="PQ511"/>
      <c r="PR511"/>
      <c r="PS511"/>
      <c r="PT511"/>
      <c r="PU511"/>
      <c r="PV511"/>
      <c r="PW511"/>
      <c r="PX511"/>
      <c r="PY511"/>
      <c r="PZ511"/>
      <c r="QA511"/>
      <c r="QB511"/>
      <c r="QC511"/>
      <c r="QD511"/>
      <c r="QE511"/>
      <c r="QF511"/>
      <c r="QG511"/>
      <c r="QH511"/>
      <c r="QI511"/>
      <c r="QJ511"/>
      <c r="QK511"/>
      <c r="QL511"/>
      <c r="QM511"/>
      <c r="QN511"/>
      <c r="QO511"/>
      <c r="QP511"/>
      <c r="QQ511"/>
      <c r="QR511"/>
      <c r="QS511"/>
      <c r="QT511"/>
      <c r="QU511"/>
      <c r="QV511"/>
      <c r="QW511"/>
      <c r="QX511"/>
      <c r="QY511"/>
      <c r="QZ511"/>
      <c r="RA511"/>
      <c r="RB511"/>
      <c r="RC511"/>
      <c r="RD511"/>
      <c r="RE511"/>
      <c r="RF511"/>
      <c r="RG511"/>
      <c r="RH511"/>
      <c r="RI511"/>
      <c r="RJ511"/>
      <c r="RK511"/>
      <c r="RL511"/>
      <c r="RM511"/>
      <c r="RN511"/>
      <c r="RO511"/>
      <c r="RP511"/>
      <c r="RQ511"/>
      <c r="RR511"/>
      <c r="RS511"/>
      <c r="RT511"/>
      <c r="RU511"/>
      <c r="RV511"/>
      <c r="RW511"/>
      <c r="RX511"/>
      <c r="RY511"/>
      <c r="RZ511"/>
      <c r="SA511"/>
      <c r="SB511"/>
      <c r="SC511"/>
      <c r="SD511"/>
      <c r="SE511"/>
      <c r="SF511"/>
      <c r="SG511"/>
      <c r="SH511"/>
      <c r="SI511"/>
      <c r="SJ511"/>
      <c r="SK511"/>
      <c r="SL511"/>
      <c r="SM511"/>
      <c r="SN511"/>
      <c r="SO511"/>
      <c r="SP511"/>
      <c r="SQ511"/>
      <c r="SR511"/>
      <c r="SS511"/>
      <c r="ST511"/>
      <c r="SU511"/>
      <c r="SV511"/>
      <c r="SW511"/>
      <c r="SX511"/>
      <c r="SY511"/>
      <c r="SZ511"/>
      <c r="TA511"/>
      <c r="TB511"/>
      <c r="TC511"/>
      <c r="TD511"/>
      <c r="TE511"/>
      <c r="TF511"/>
      <c r="TG511"/>
      <c r="TH511"/>
      <c r="TI511"/>
      <c r="TJ511"/>
      <c r="TK511"/>
      <c r="TL511"/>
      <c r="TM511"/>
      <c r="TN511"/>
      <c r="TO511"/>
      <c r="TP511"/>
      <c r="TQ511"/>
      <c r="TR511"/>
      <c r="TS511"/>
      <c r="TT511"/>
      <c r="TU511"/>
      <c r="TV511"/>
      <c r="TW511"/>
      <c r="TX511"/>
      <c r="TY511"/>
      <c r="TZ511"/>
      <c r="UA511"/>
      <c r="UB511"/>
      <c r="UC511"/>
      <c r="UD511"/>
      <c r="UE511"/>
      <c r="UF511"/>
      <c r="UG511"/>
      <c r="UH511"/>
      <c r="UI511"/>
      <c r="UJ511"/>
      <c r="UK511"/>
      <c r="UL511"/>
      <c r="UM511"/>
      <c r="UN511"/>
      <c r="UO511"/>
      <c r="UP511"/>
      <c r="UQ511"/>
      <c r="UR511"/>
      <c r="US511"/>
      <c r="UT511"/>
      <c r="UU511"/>
      <c r="UV511"/>
      <c r="UW511"/>
      <c r="UX511"/>
      <c r="UY511"/>
      <c r="UZ511"/>
      <c r="VA511"/>
      <c r="VB511"/>
      <c r="VC511"/>
      <c r="VD511"/>
      <c r="VE511"/>
      <c r="VF511"/>
      <c r="VG511"/>
      <c r="VH511"/>
      <c r="VI511"/>
      <c r="VJ511"/>
      <c r="VK511"/>
      <c r="VL511"/>
      <c r="VM511"/>
      <c r="VN511"/>
      <c r="VO511"/>
      <c r="VP511"/>
      <c r="VQ511"/>
      <c r="VR511"/>
      <c r="VS511"/>
      <c r="VT511"/>
      <c r="VU511"/>
      <c r="VV511"/>
      <c r="VW511"/>
      <c r="VX511"/>
      <c r="VY511"/>
      <c r="VZ511"/>
      <c r="WA511"/>
      <c r="WB511"/>
      <c r="WC511"/>
      <c r="WD511"/>
      <c r="WE511"/>
      <c r="WF511"/>
      <c r="WG511"/>
      <c r="WH511"/>
      <c r="WI511"/>
      <c r="WJ511"/>
      <c r="WK511"/>
      <c r="WL511"/>
      <c r="WM511"/>
      <c r="WN511"/>
      <c r="WO511"/>
      <c r="WP511"/>
      <c r="WQ511"/>
      <c r="WR511"/>
      <c r="WS511"/>
      <c r="WT511"/>
      <c r="WU511"/>
      <c r="WV511"/>
      <c r="WW511"/>
      <c r="WX511"/>
      <c r="WY511"/>
      <c r="WZ511"/>
      <c r="XA511"/>
      <c r="XB511"/>
      <c r="XC511"/>
      <c r="XD511"/>
      <c r="XE511"/>
      <c r="XF511"/>
      <c r="XG511"/>
      <c r="XH511"/>
      <c r="XI511"/>
      <c r="XJ511"/>
      <c r="XK511"/>
      <c r="XL511"/>
      <c r="XM511"/>
      <c r="XN511"/>
      <c r="XO511"/>
      <c r="XP511"/>
      <c r="XQ511"/>
      <c r="XR511"/>
      <c r="XS511"/>
      <c r="XT511"/>
      <c r="XU511"/>
      <c r="XV511"/>
      <c r="XW511"/>
      <c r="XX511"/>
      <c r="XY511"/>
      <c r="XZ511"/>
      <c r="YA511"/>
      <c r="YB511"/>
      <c r="YC511"/>
      <c r="YD511"/>
      <c r="YE511"/>
      <c r="YF511"/>
      <c r="YG511"/>
      <c r="YH511"/>
      <c r="YI511"/>
      <c r="YJ511"/>
      <c r="YK511"/>
      <c r="YL511"/>
      <c r="YM511"/>
      <c r="YN511"/>
      <c r="YO511"/>
      <c r="YP511"/>
      <c r="YQ511"/>
      <c r="YR511"/>
      <c r="YS511"/>
      <c r="YT511"/>
      <c r="YU511"/>
      <c r="YV511"/>
      <c r="YW511"/>
      <c r="YX511"/>
      <c r="YY511"/>
      <c r="YZ511"/>
      <c r="ZA511"/>
      <c r="ZB511"/>
      <c r="ZC511"/>
      <c r="ZD511"/>
      <c r="ZE511"/>
      <c r="ZF511"/>
      <c r="ZG511"/>
      <c r="ZH511"/>
      <c r="ZI511"/>
      <c r="ZJ511"/>
      <c r="ZK511"/>
      <c r="ZL511"/>
      <c r="ZM511"/>
      <c r="ZN511"/>
      <c r="ZO511"/>
      <c r="ZP511"/>
      <c r="ZQ511"/>
      <c r="ZR511"/>
      <c r="ZS511"/>
      <c r="ZT511"/>
      <c r="ZU511"/>
      <c r="ZV511"/>
      <c r="ZW511"/>
      <c r="ZX511"/>
      <c r="ZY511"/>
      <c r="ZZ511"/>
      <c r="AAA511"/>
      <c r="AAB511"/>
      <c r="AAC511"/>
      <c r="AAD511"/>
      <c r="AAE511"/>
      <c r="AAF511"/>
      <c r="AAG511"/>
      <c r="AAH511"/>
      <c r="AAI511"/>
      <c r="AAJ511"/>
      <c r="AAK511"/>
      <c r="AAL511"/>
      <c r="AAM511"/>
      <c r="AAN511"/>
      <c r="AAO511"/>
      <c r="AAP511"/>
      <c r="AAQ511"/>
      <c r="AAR511"/>
      <c r="AAS511"/>
      <c r="AAT511"/>
      <c r="AAU511"/>
      <c r="AAV511"/>
      <c r="AAW511"/>
      <c r="AAX511"/>
      <c r="AAY511"/>
      <c r="AAZ511"/>
      <c r="ABA511"/>
      <c r="ABB511"/>
      <c r="ABC511"/>
      <c r="ABD511"/>
      <c r="ABE511"/>
      <c r="ABF511"/>
      <c r="ABG511"/>
      <c r="ABH511"/>
      <c r="ABI511"/>
      <c r="ABJ511"/>
      <c r="ABK511"/>
      <c r="ABL511"/>
      <c r="ABM511"/>
      <c r="ABN511"/>
      <c r="ABO511"/>
      <c r="ABP511"/>
      <c r="ABQ511"/>
      <c r="ABR511"/>
      <c r="ABS511"/>
      <c r="ABT511"/>
      <c r="ABU511"/>
      <c r="ABV511"/>
      <c r="ABW511"/>
      <c r="ABX511"/>
      <c r="ABY511"/>
      <c r="ABZ511"/>
      <c r="ACA511"/>
      <c r="ACB511"/>
      <c r="ACC511"/>
      <c r="ACD511"/>
      <c r="ACE511"/>
      <c r="ACF511"/>
      <c r="ACG511"/>
      <c r="ACH511"/>
      <c r="ACI511"/>
      <c r="ACJ511"/>
      <c r="ACK511"/>
      <c r="ACL511"/>
      <c r="ACM511"/>
      <c r="ACN511"/>
      <c r="ACO511"/>
      <c r="ACP511"/>
      <c r="ACQ511"/>
      <c r="ACR511"/>
      <c r="ACS511"/>
      <c r="ACT511"/>
      <c r="ACU511"/>
      <c r="ACV511"/>
      <c r="ACW511"/>
      <c r="ACX511"/>
      <c r="ACY511"/>
      <c r="ACZ511"/>
      <c r="ADA511"/>
      <c r="ADB511"/>
      <c r="ADC511"/>
      <c r="ADD511"/>
      <c r="ADE511"/>
      <c r="ADF511"/>
      <c r="ADG511"/>
      <c r="ADH511"/>
      <c r="ADI511"/>
      <c r="ADJ511"/>
      <c r="ADK511"/>
      <c r="ADL511"/>
      <c r="ADM511"/>
      <c r="ADN511"/>
      <c r="ADO511"/>
      <c r="ADP511"/>
      <c r="ADQ511"/>
      <c r="ADR511"/>
      <c r="ADS511"/>
      <c r="ADT511"/>
      <c r="ADU511"/>
      <c r="ADV511"/>
      <c r="ADW511"/>
      <c r="ADX511"/>
      <c r="ADY511"/>
      <c r="ADZ511"/>
      <c r="AEA511"/>
      <c r="AEB511"/>
      <c r="AEC511"/>
      <c r="AED511"/>
      <c r="AEE511"/>
      <c r="AEF511"/>
      <c r="AEG511"/>
      <c r="AEH511"/>
      <c r="AEI511"/>
      <c r="AEJ511"/>
      <c r="AEK511"/>
      <c r="AEL511"/>
      <c r="AEM511"/>
      <c r="AEN511"/>
      <c r="AEO511"/>
      <c r="AEP511"/>
      <c r="AEQ511"/>
      <c r="AER511"/>
      <c r="AES511"/>
      <c r="AET511"/>
      <c r="AEU511"/>
      <c r="AEV511"/>
      <c r="AEW511"/>
      <c r="AEX511"/>
      <c r="AEY511"/>
      <c r="AEZ511"/>
      <c r="AFA511"/>
      <c r="AFB511"/>
      <c r="AFC511"/>
      <c r="AFD511"/>
      <c r="AFE511"/>
      <c r="AFF511"/>
      <c r="AFG511"/>
      <c r="AFH511"/>
      <c r="AFI511"/>
      <c r="AFJ511"/>
      <c r="AFK511"/>
      <c r="AFL511"/>
      <c r="AFM511"/>
      <c r="AFN511"/>
      <c r="AFO511"/>
      <c r="AFP511"/>
      <c r="AFQ511"/>
      <c r="AFR511"/>
      <c r="AFS511"/>
      <c r="AFT511"/>
      <c r="AFU511"/>
      <c r="AFV511"/>
      <c r="AFW511"/>
      <c r="AFX511"/>
      <c r="AFY511"/>
      <c r="AFZ511"/>
      <c r="AGA511"/>
      <c r="AGB511"/>
      <c r="AGC511"/>
      <c r="AGD511"/>
      <c r="AGE511"/>
      <c r="AGF511"/>
      <c r="AGG511"/>
      <c r="AGH511"/>
      <c r="AGI511"/>
      <c r="AGJ511"/>
      <c r="AGK511"/>
      <c r="AGL511"/>
      <c r="AGM511"/>
      <c r="AGN511"/>
      <c r="AGO511"/>
      <c r="AGP511"/>
      <c r="AGQ511"/>
      <c r="AGR511"/>
      <c r="AGS511"/>
      <c r="AGT511"/>
      <c r="AGU511"/>
    </row>
    <row r="512" spans="1:879" x14ac:dyDescent="0.2">
      <c r="A512" s="134">
        <v>45364</v>
      </c>
      <c r="B512" s="135">
        <f>YEAR(source[[#This Row],[report_date]])</f>
        <v>2024</v>
      </c>
      <c r="C512" s="136">
        <v>3</v>
      </c>
      <c r="D512" s="136">
        <f t="shared" si="36"/>
        <v>11</v>
      </c>
      <c r="E512" s="136">
        <f t="shared" si="37"/>
        <v>13</v>
      </c>
      <c r="F512" s="128" t="s">
        <v>56</v>
      </c>
      <c r="G512" s="128">
        <f>VLOOKUP(source[[#This Row],[lending_product_transform]],[3]Mapping!$B$4:$C$37,2,0)</f>
        <v>0</v>
      </c>
      <c r="H512" s="128">
        <f>VLOOKUP(source[[#This Row],[lending_product_transform]],[3]Mapping!$B$3:$D$37,3,0)</f>
        <v>0</v>
      </c>
      <c r="I512" s="135">
        <v>5868886651</v>
      </c>
      <c r="K512" s="550" t="s">
        <v>24</v>
      </c>
      <c r="L512" s="477">
        <v>467929410000</v>
      </c>
      <c r="M512" s="477">
        <v>316516710000</v>
      </c>
      <c r="N512" s="477">
        <v>399979990000</v>
      </c>
      <c r="O512" s="477">
        <v>443850970000</v>
      </c>
      <c r="P512" s="477">
        <v>147600140000</v>
      </c>
      <c r="Q512" s="477">
        <v>1775877220000</v>
      </c>
      <c r="R512" s="477">
        <v>1775877220000</v>
      </c>
      <c r="S512" s="477">
        <f>SUM(P512:P513)</f>
        <v>147805250000</v>
      </c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/>
      <c r="KO512"/>
      <c r="KP512"/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  <c r="LK512"/>
      <c r="LL512"/>
      <c r="LM512"/>
      <c r="LN512"/>
      <c r="LO512"/>
      <c r="LP512"/>
      <c r="LQ512"/>
      <c r="LR512"/>
      <c r="LS512"/>
      <c r="LT512"/>
      <c r="LU512"/>
      <c r="LV512"/>
      <c r="LW512"/>
      <c r="LX512"/>
      <c r="LY512"/>
      <c r="LZ512"/>
      <c r="MA512"/>
      <c r="MB512"/>
      <c r="MC512"/>
      <c r="MD512"/>
      <c r="ME512"/>
      <c r="MF512"/>
      <c r="MG512"/>
      <c r="MH512"/>
      <c r="MI512"/>
      <c r="MJ512"/>
      <c r="MK512"/>
      <c r="ML512"/>
      <c r="MM512"/>
      <c r="MN512"/>
      <c r="MO512"/>
      <c r="MP512"/>
      <c r="MQ512"/>
      <c r="MR512"/>
      <c r="MS512"/>
      <c r="MT512"/>
      <c r="MU512"/>
      <c r="MV512"/>
      <c r="MW512"/>
      <c r="MX512"/>
      <c r="MY512"/>
      <c r="MZ512"/>
      <c r="NA512"/>
      <c r="NB512"/>
      <c r="NC512"/>
      <c r="ND512"/>
      <c r="NE512"/>
      <c r="NF512"/>
      <c r="NG512"/>
      <c r="NH512"/>
      <c r="NI512"/>
      <c r="NJ512"/>
      <c r="NK512"/>
      <c r="NL512"/>
      <c r="NM512"/>
      <c r="NN512"/>
      <c r="NO512"/>
      <c r="NP512"/>
      <c r="NQ512"/>
      <c r="NR512"/>
      <c r="NS512"/>
      <c r="NT512"/>
      <c r="NU512"/>
      <c r="NV512"/>
      <c r="NW512"/>
      <c r="NX512"/>
      <c r="NY512"/>
      <c r="NZ512"/>
      <c r="OA512"/>
      <c r="OB512"/>
      <c r="OC512"/>
      <c r="OD512"/>
      <c r="OE512"/>
      <c r="OF512"/>
      <c r="OG512"/>
      <c r="OH512"/>
      <c r="OI512"/>
      <c r="OJ512"/>
      <c r="OK512"/>
      <c r="OL512"/>
      <c r="OM512"/>
      <c r="ON512"/>
      <c r="OO512"/>
      <c r="OP512"/>
      <c r="OQ512"/>
      <c r="OR512"/>
      <c r="OS512"/>
      <c r="OT512"/>
      <c r="OU512"/>
      <c r="OV512"/>
      <c r="OW512"/>
      <c r="OX512"/>
      <c r="OY512"/>
      <c r="OZ512"/>
      <c r="PA512"/>
      <c r="PB512"/>
      <c r="PC512"/>
      <c r="PD512"/>
      <c r="PE512"/>
      <c r="PF512"/>
      <c r="PG512"/>
      <c r="PH512"/>
      <c r="PI512"/>
      <c r="PJ512"/>
      <c r="PK512"/>
      <c r="PL512"/>
      <c r="PM512"/>
      <c r="PN512"/>
      <c r="PO512"/>
      <c r="PP512"/>
      <c r="PQ512"/>
      <c r="PR512"/>
      <c r="PS512"/>
      <c r="PT512"/>
      <c r="PU512"/>
      <c r="PV512"/>
      <c r="PW512"/>
      <c r="PX512"/>
      <c r="PY512"/>
      <c r="PZ512"/>
      <c r="QA512"/>
      <c r="QB512"/>
      <c r="QC512"/>
      <c r="QD512"/>
      <c r="QE512"/>
      <c r="QF512"/>
      <c r="QG512"/>
      <c r="QH512"/>
      <c r="QI512"/>
      <c r="QJ512"/>
      <c r="QK512"/>
      <c r="QL512"/>
      <c r="QM512"/>
      <c r="QN512"/>
      <c r="QO512"/>
      <c r="QP512"/>
      <c r="QQ512"/>
      <c r="QR512"/>
      <c r="QS512"/>
      <c r="QT512"/>
      <c r="QU512"/>
      <c r="QV512"/>
      <c r="QW512"/>
      <c r="QX512"/>
      <c r="QY512"/>
      <c r="QZ512"/>
      <c r="RA512"/>
      <c r="RB512"/>
      <c r="RC512"/>
      <c r="RD512"/>
      <c r="RE512"/>
      <c r="RF512"/>
      <c r="RG512"/>
      <c r="RH512"/>
      <c r="RI512"/>
      <c r="RJ512"/>
      <c r="RK512"/>
      <c r="RL512"/>
      <c r="RM512"/>
      <c r="RN512"/>
      <c r="RO512"/>
      <c r="RP512"/>
      <c r="RQ512"/>
      <c r="RR512"/>
      <c r="RS512"/>
      <c r="RT512"/>
      <c r="RU512"/>
      <c r="RV512"/>
      <c r="RW512"/>
      <c r="RX512"/>
      <c r="RY512"/>
      <c r="RZ512"/>
      <c r="SA512"/>
      <c r="SB512"/>
      <c r="SC512"/>
      <c r="SD512"/>
      <c r="SE512"/>
      <c r="SF512"/>
      <c r="SG512"/>
      <c r="SH512"/>
      <c r="SI512"/>
      <c r="SJ512"/>
      <c r="SK512"/>
      <c r="SL512"/>
      <c r="SM512"/>
      <c r="SN512"/>
      <c r="SO512"/>
      <c r="SP512"/>
      <c r="SQ512"/>
      <c r="SR512"/>
      <c r="SS512"/>
      <c r="ST512"/>
      <c r="SU512"/>
      <c r="SV512"/>
      <c r="SW512"/>
      <c r="SX512"/>
      <c r="SY512"/>
      <c r="SZ512"/>
      <c r="TA512"/>
      <c r="TB512"/>
      <c r="TC512"/>
      <c r="TD512"/>
      <c r="TE512"/>
      <c r="TF512"/>
      <c r="TG512"/>
      <c r="TH512"/>
      <c r="TI512"/>
      <c r="TJ512"/>
      <c r="TK512"/>
      <c r="TL512"/>
      <c r="TM512"/>
      <c r="TN512"/>
      <c r="TO512"/>
      <c r="TP512"/>
      <c r="TQ512"/>
      <c r="TR512"/>
      <c r="TS512"/>
      <c r="TT512"/>
      <c r="TU512"/>
      <c r="TV512"/>
      <c r="TW512"/>
      <c r="TX512"/>
      <c r="TY512"/>
      <c r="TZ512"/>
      <c r="UA512"/>
      <c r="UB512"/>
      <c r="UC512"/>
      <c r="UD512"/>
      <c r="UE512"/>
      <c r="UF512"/>
      <c r="UG512"/>
      <c r="UH512"/>
      <c r="UI512"/>
      <c r="UJ512"/>
      <c r="UK512"/>
      <c r="UL512"/>
      <c r="UM512"/>
      <c r="UN512"/>
      <c r="UO512"/>
      <c r="UP512"/>
      <c r="UQ512"/>
      <c r="UR512"/>
      <c r="US512"/>
      <c r="UT512"/>
      <c r="UU512"/>
      <c r="UV512"/>
      <c r="UW512"/>
      <c r="UX512"/>
      <c r="UY512"/>
      <c r="UZ512"/>
      <c r="VA512"/>
      <c r="VB512"/>
      <c r="VC512"/>
      <c r="VD512"/>
      <c r="VE512"/>
      <c r="VF512"/>
      <c r="VG512"/>
      <c r="VH512"/>
      <c r="VI512"/>
      <c r="VJ512"/>
      <c r="VK512"/>
      <c r="VL512"/>
      <c r="VM512"/>
      <c r="VN512"/>
      <c r="VO512"/>
      <c r="VP512"/>
      <c r="VQ512"/>
      <c r="VR512"/>
      <c r="VS512"/>
      <c r="VT512"/>
      <c r="VU512"/>
      <c r="VV512"/>
      <c r="VW512"/>
      <c r="VX512"/>
      <c r="VY512"/>
      <c r="VZ512"/>
      <c r="WA512"/>
      <c r="WB512"/>
      <c r="WC512"/>
      <c r="WD512"/>
      <c r="WE512"/>
      <c r="WF512"/>
      <c r="WG512"/>
      <c r="WH512"/>
      <c r="WI512"/>
      <c r="WJ512"/>
      <c r="WK512"/>
      <c r="WL512"/>
      <c r="WM512"/>
      <c r="WN512"/>
      <c r="WO512"/>
      <c r="WP512"/>
      <c r="WQ512"/>
      <c r="WR512"/>
      <c r="WS512"/>
      <c r="WT512"/>
      <c r="WU512"/>
      <c r="WV512"/>
      <c r="WW512"/>
      <c r="WX512"/>
      <c r="WY512"/>
      <c r="WZ512"/>
      <c r="XA512"/>
      <c r="XB512"/>
      <c r="XC512"/>
      <c r="XD512"/>
      <c r="XE512"/>
      <c r="XF512"/>
      <c r="XG512"/>
      <c r="XH512"/>
      <c r="XI512"/>
      <c r="XJ512"/>
      <c r="XK512"/>
      <c r="XL512"/>
      <c r="XM512"/>
      <c r="XN512"/>
      <c r="XO512"/>
      <c r="XP512"/>
      <c r="XQ512"/>
      <c r="XR512"/>
      <c r="XS512"/>
      <c r="XT512"/>
      <c r="XU512"/>
      <c r="XV512"/>
      <c r="XW512"/>
      <c r="XX512"/>
      <c r="XY512"/>
      <c r="XZ512"/>
      <c r="YA512"/>
      <c r="YB512"/>
      <c r="YC512"/>
      <c r="YD512"/>
      <c r="YE512"/>
      <c r="YF512"/>
      <c r="YG512"/>
      <c r="YH512"/>
      <c r="YI512"/>
      <c r="YJ512"/>
      <c r="YK512"/>
      <c r="YL512"/>
      <c r="YM512"/>
      <c r="YN512"/>
      <c r="YO512"/>
      <c r="YP512"/>
      <c r="YQ512"/>
      <c r="YR512"/>
      <c r="YS512"/>
      <c r="YT512"/>
      <c r="YU512"/>
      <c r="YV512"/>
      <c r="YW512"/>
      <c r="YX512"/>
      <c r="YY512"/>
      <c r="YZ512"/>
      <c r="ZA512"/>
      <c r="ZB512"/>
      <c r="ZC512"/>
      <c r="ZD512"/>
      <c r="ZE512"/>
      <c r="ZF512"/>
      <c r="ZG512"/>
      <c r="ZH512"/>
      <c r="ZI512"/>
      <c r="ZJ512"/>
      <c r="ZK512"/>
      <c r="ZL512"/>
      <c r="ZM512"/>
      <c r="ZN512"/>
      <c r="ZO512"/>
      <c r="ZP512"/>
      <c r="ZQ512"/>
      <c r="ZR512"/>
      <c r="ZS512"/>
      <c r="ZT512"/>
      <c r="ZU512"/>
      <c r="ZV512"/>
      <c r="ZW512"/>
      <c r="ZX512"/>
      <c r="ZY512"/>
      <c r="ZZ512"/>
      <c r="AAA512"/>
      <c r="AAB512"/>
      <c r="AAC512"/>
      <c r="AAD512"/>
      <c r="AAE512"/>
      <c r="AAF512"/>
      <c r="AAG512"/>
      <c r="AAH512"/>
      <c r="AAI512"/>
      <c r="AAJ512"/>
      <c r="AAK512"/>
      <c r="AAL512"/>
      <c r="AAM512"/>
      <c r="AAN512"/>
      <c r="AAO512"/>
      <c r="AAP512"/>
      <c r="AAQ512"/>
      <c r="AAR512"/>
      <c r="AAS512"/>
      <c r="AAT512"/>
      <c r="AAU512"/>
      <c r="AAV512"/>
      <c r="AAW512"/>
      <c r="AAX512"/>
      <c r="AAY512"/>
      <c r="AAZ512"/>
      <c r="ABA512"/>
      <c r="ABB512"/>
      <c r="ABC512"/>
      <c r="ABD512"/>
      <c r="ABE512"/>
      <c r="ABF512"/>
      <c r="ABG512"/>
      <c r="ABH512"/>
      <c r="ABI512"/>
      <c r="ABJ512"/>
      <c r="ABK512"/>
      <c r="ABL512"/>
      <c r="ABM512"/>
      <c r="ABN512"/>
      <c r="ABO512"/>
      <c r="ABP512"/>
      <c r="ABQ512"/>
      <c r="ABR512"/>
      <c r="ABS512"/>
      <c r="ABT512"/>
      <c r="ABU512"/>
      <c r="ABV512"/>
      <c r="ABW512"/>
      <c r="ABX512"/>
      <c r="ABY512"/>
      <c r="ABZ512"/>
      <c r="ACA512"/>
      <c r="ACB512"/>
      <c r="ACC512"/>
      <c r="ACD512"/>
      <c r="ACE512"/>
      <c r="ACF512"/>
      <c r="ACG512"/>
      <c r="ACH512"/>
      <c r="ACI512"/>
      <c r="ACJ512"/>
      <c r="ACK512"/>
      <c r="ACL512"/>
      <c r="ACM512"/>
      <c r="ACN512"/>
      <c r="ACO512"/>
      <c r="ACP512"/>
      <c r="ACQ512"/>
      <c r="ACR512"/>
      <c r="ACS512"/>
      <c r="ACT512"/>
      <c r="ACU512"/>
      <c r="ACV512"/>
      <c r="ACW512"/>
      <c r="ACX512"/>
      <c r="ACY512"/>
      <c r="ACZ512"/>
      <c r="ADA512"/>
      <c r="ADB512"/>
      <c r="ADC512"/>
      <c r="ADD512"/>
      <c r="ADE512"/>
      <c r="ADF512"/>
      <c r="ADG512"/>
      <c r="ADH512"/>
      <c r="ADI512"/>
      <c r="ADJ512"/>
      <c r="ADK512"/>
      <c r="ADL512"/>
      <c r="ADM512"/>
      <c r="ADN512"/>
      <c r="ADO512"/>
      <c r="ADP512"/>
      <c r="ADQ512"/>
      <c r="ADR512"/>
      <c r="ADS512"/>
      <c r="ADT512"/>
      <c r="ADU512"/>
      <c r="ADV512"/>
      <c r="ADW512"/>
      <c r="ADX512"/>
      <c r="ADY512"/>
      <c r="ADZ512"/>
      <c r="AEA512"/>
      <c r="AEB512"/>
      <c r="AEC512"/>
      <c r="AED512"/>
      <c r="AEE512"/>
      <c r="AEF512"/>
      <c r="AEG512"/>
      <c r="AEH512"/>
      <c r="AEI512"/>
      <c r="AEJ512"/>
      <c r="AEK512"/>
      <c r="AEL512"/>
      <c r="AEM512"/>
      <c r="AEN512"/>
      <c r="AEO512"/>
      <c r="AEP512"/>
      <c r="AEQ512"/>
      <c r="AER512"/>
      <c r="AES512"/>
      <c r="AET512"/>
      <c r="AEU512"/>
      <c r="AEV512"/>
      <c r="AEW512"/>
      <c r="AEX512"/>
      <c r="AEY512"/>
      <c r="AEZ512"/>
      <c r="AFA512"/>
      <c r="AFB512"/>
      <c r="AFC512"/>
      <c r="AFD512"/>
      <c r="AFE512"/>
      <c r="AFF512"/>
      <c r="AFG512"/>
      <c r="AFH512"/>
      <c r="AFI512"/>
      <c r="AFJ512"/>
      <c r="AFK512"/>
      <c r="AFL512"/>
      <c r="AFM512"/>
      <c r="AFN512"/>
      <c r="AFO512"/>
      <c r="AFP512"/>
      <c r="AFQ512"/>
      <c r="AFR512"/>
      <c r="AFS512"/>
      <c r="AFT512"/>
      <c r="AFU512"/>
      <c r="AFV512"/>
      <c r="AFW512"/>
      <c r="AFX512"/>
      <c r="AFY512"/>
      <c r="AFZ512"/>
      <c r="AGA512"/>
      <c r="AGB512"/>
      <c r="AGC512"/>
      <c r="AGD512"/>
      <c r="AGE512"/>
      <c r="AGF512"/>
      <c r="AGG512"/>
      <c r="AGH512"/>
      <c r="AGI512"/>
      <c r="AGJ512"/>
      <c r="AGK512"/>
      <c r="AGL512"/>
      <c r="AGM512"/>
      <c r="AGN512"/>
      <c r="AGO512"/>
      <c r="AGP512"/>
      <c r="AGQ512"/>
      <c r="AGR512"/>
      <c r="AGS512"/>
      <c r="AGT512"/>
      <c r="AGU512"/>
    </row>
    <row r="513" spans="1:879" x14ac:dyDescent="0.2">
      <c r="A513" s="134">
        <v>45364</v>
      </c>
      <c r="B513" s="135">
        <f>YEAR(source[[#This Row],[report_date]])</f>
        <v>2024</v>
      </c>
      <c r="C513" s="136">
        <v>3</v>
      </c>
      <c r="D513" s="136">
        <f t="shared" si="36"/>
        <v>11</v>
      </c>
      <c r="E513" s="136">
        <f t="shared" si="37"/>
        <v>13</v>
      </c>
      <c r="F513" s="128" t="s">
        <v>65</v>
      </c>
      <c r="G513" s="128" t="str">
        <f>VLOOKUP(source[[#This Row],[lending_product_transform]],[3]Mapping!$B$4:$C$37,2,0)</f>
        <v>[BE] - Cashloan</v>
      </c>
      <c r="H513" s="128" t="str">
        <f>VLOOKUP(source[[#This Row],[lending_product_transform]],[3]Mapping!$B$3:$D$37,3,0)</f>
        <v>cashloan</v>
      </c>
      <c r="I513" s="135">
        <v>178500000</v>
      </c>
      <c r="K513" s="550" t="s">
        <v>324</v>
      </c>
      <c r="L513" s="477"/>
      <c r="M513" s="477"/>
      <c r="N513" s="477"/>
      <c r="O513" s="477"/>
      <c r="P513" s="477">
        <v>205110000</v>
      </c>
      <c r="Q513" s="477">
        <v>205110000</v>
      </c>
      <c r="R513" s="477">
        <v>205110000</v>
      </c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  <c r="LK513"/>
      <c r="LL513"/>
      <c r="LM513"/>
      <c r="LN513"/>
      <c r="LO513"/>
      <c r="LP513"/>
      <c r="LQ513"/>
      <c r="LR513"/>
      <c r="LS513"/>
      <c r="LT513"/>
      <c r="LU513"/>
      <c r="LV513"/>
      <c r="LW513"/>
      <c r="LX513"/>
      <c r="LY513"/>
      <c r="LZ513"/>
      <c r="MA513"/>
      <c r="MB513"/>
      <c r="MC513"/>
      <c r="MD513"/>
      <c r="ME513"/>
      <c r="MF513"/>
      <c r="MG513"/>
      <c r="MH513"/>
      <c r="MI513"/>
      <c r="MJ513"/>
      <c r="MK513"/>
      <c r="ML513"/>
      <c r="MM513"/>
      <c r="MN513"/>
      <c r="MO513"/>
      <c r="MP513"/>
      <c r="MQ513"/>
      <c r="MR513"/>
      <c r="MS513"/>
      <c r="MT513"/>
      <c r="MU513"/>
      <c r="MV513"/>
      <c r="MW513"/>
      <c r="MX513"/>
      <c r="MY513"/>
      <c r="MZ513"/>
      <c r="NA513"/>
      <c r="NB513"/>
      <c r="NC513"/>
      <c r="ND513"/>
      <c r="NE513"/>
      <c r="NF513"/>
      <c r="NG513"/>
      <c r="NH513"/>
      <c r="NI513"/>
      <c r="NJ513"/>
      <c r="NK513"/>
      <c r="NL513"/>
      <c r="NM513"/>
      <c r="NN513"/>
      <c r="NO513"/>
      <c r="NP513"/>
      <c r="NQ513"/>
      <c r="NR513"/>
      <c r="NS513"/>
      <c r="NT513"/>
      <c r="NU513"/>
      <c r="NV513"/>
      <c r="NW513"/>
      <c r="NX513"/>
      <c r="NY513"/>
      <c r="NZ513"/>
      <c r="OA513"/>
      <c r="OB513"/>
      <c r="OC513"/>
      <c r="OD513"/>
      <c r="OE513"/>
      <c r="OF513"/>
      <c r="OG513"/>
      <c r="OH513"/>
      <c r="OI513"/>
      <c r="OJ513"/>
      <c r="OK513"/>
      <c r="OL513"/>
      <c r="OM513"/>
      <c r="ON513"/>
      <c r="OO513"/>
      <c r="OP513"/>
      <c r="OQ513"/>
      <c r="OR513"/>
      <c r="OS513"/>
      <c r="OT513"/>
      <c r="OU513"/>
      <c r="OV513"/>
      <c r="OW513"/>
      <c r="OX513"/>
      <c r="OY513"/>
      <c r="OZ513"/>
      <c r="PA513"/>
      <c r="PB513"/>
      <c r="PC513"/>
      <c r="PD513"/>
      <c r="PE513"/>
      <c r="PF513"/>
      <c r="PG513"/>
      <c r="PH513"/>
      <c r="PI513"/>
      <c r="PJ513"/>
      <c r="PK513"/>
      <c r="PL513"/>
      <c r="PM513"/>
      <c r="PN513"/>
      <c r="PO513"/>
      <c r="PP513"/>
      <c r="PQ513"/>
      <c r="PR513"/>
      <c r="PS513"/>
      <c r="PT513"/>
      <c r="PU513"/>
      <c r="PV513"/>
      <c r="PW513"/>
      <c r="PX513"/>
      <c r="PY513"/>
      <c r="PZ513"/>
      <c r="QA513"/>
      <c r="QB513"/>
      <c r="QC513"/>
      <c r="QD513"/>
      <c r="QE513"/>
      <c r="QF513"/>
      <c r="QG513"/>
      <c r="QH513"/>
      <c r="QI513"/>
      <c r="QJ513"/>
      <c r="QK513"/>
      <c r="QL513"/>
      <c r="QM513"/>
      <c r="QN513"/>
      <c r="QO513"/>
      <c r="QP513"/>
      <c r="QQ513"/>
      <c r="QR513"/>
      <c r="QS513"/>
      <c r="QT513"/>
      <c r="QU513"/>
      <c r="QV513"/>
      <c r="QW513"/>
      <c r="QX513"/>
      <c r="QY513"/>
      <c r="QZ513"/>
      <c r="RA513"/>
      <c r="RB513"/>
      <c r="RC513"/>
      <c r="RD513"/>
      <c r="RE513"/>
      <c r="RF513"/>
      <c r="RG513"/>
      <c r="RH513"/>
      <c r="RI513"/>
      <c r="RJ513"/>
      <c r="RK513"/>
      <c r="RL513"/>
      <c r="RM513"/>
      <c r="RN513"/>
      <c r="RO513"/>
      <c r="RP513"/>
      <c r="RQ513"/>
      <c r="RR513"/>
      <c r="RS513"/>
      <c r="RT513"/>
      <c r="RU513"/>
      <c r="RV513"/>
      <c r="RW513"/>
      <c r="RX513"/>
      <c r="RY513"/>
      <c r="RZ513"/>
      <c r="SA513"/>
      <c r="SB513"/>
      <c r="SC513"/>
      <c r="SD513"/>
      <c r="SE513"/>
      <c r="SF513"/>
      <c r="SG513"/>
      <c r="SH513"/>
      <c r="SI513"/>
      <c r="SJ513"/>
      <c r="SK513"/>
      <c r="SL513"/>
      <c r="SM513"/>
      <c r="SN513"/>
      <c r="SO513"/>
      <c r="SP513"/>
      <c r="SQ513"/>
      <c r="SR513"/>
      <c r="SS513"/>
      <c r="ST513"/>
      <c r="SU513"/>
      <c r="SV513"/>
      <c r="SW513"/>
      <c r="SX513"/>
      <c r="SY513"/>
      <c r="SZ513"/>
      <c r="TA513"/>
      <c r="TB513"/>
      <c r="TC513"/>
      <c r="TD513"/>
      <c r="TE513"/>
      <c r="TF513"/>
      <c r="TG513"/>
      <c r="TH513"/>
      <c r="TI513"/>
      <c r="TJ513"/>
      <c r="TK513"/>
      <c r="TL513"/>
      <c r="TM513"/>
      <c r="TN513"/>
      <c r="TO513"/>
      <c r="TP513"/>
      <c r="TQ513"/>
      <c r="TR513"/>
      <c r="TS513"/>
      <c r="TT513"/>
      <c r="TU513"/>
      <c r="TV513"/>
      <c r="TW513"/>
      <c r="TX513"/>
      <c r="TY513"/>
      <c r="TZ513"/>
      <c r="UA513"/>
      <c r="UB513"/>
      <c r="UC513"/>
      <c r="UD513"/>
      <c r="UE513"/>
      <c r="UF513"/>
      <c r="UG513"/>
      <c r="UH513"/>
      <c r="UI513"/>
      <c r="UJ513"/>
      <c r="UK513"/>
      <c r="UL513"/>
      <c r="UM513"/>
      <c r="UN513"/>
      <c r="UO513"/>
      <c r="UP513"/>
      <c r="UQ513"/>
      <c r="UR513"/>
      <c r="US513"/>
      <c r="UT513"/>
      <c r="UU513"/>
      <c r="UV513"/>
      <c r="UW513"/>
      <c r="UX513"/>
      <c r="UY513"/>
      <c r="UZ513"/>
      <c r="VA513"/>
      <c r="VB513"/>
      <c r="VC513"/>
      <c r="VD513"/>
      <c r="VE513"/>
      <c r="VF513"/>
      <c r="VG513"/>
      <c r="VH513"/>
      <c r="VI513"/>
      <c r="VJ513"/>
      <c r="VK513"/>
      <c r="VL513"/>
      <c r="VM513"/>
      <c r="VN513"/>
      <c r="VO513"/>
      <c r="VP513"/>
      <c r="VQ513"/>
      <c r="VR513"/>
      <c r="VS513"/>
      <c r="VT513"/>
      <c r="VU513"/>
      <c r="VV513"/>
      <c r="VW513"/>
      <c r="VX513"/>
      <c r="VY513"/>
      <c r="VZ513"/>
      <c r="WA513"/>
      <c r="WB513"/>
      <c r="WC513"/>
      <c r="WD513"/>
      <c r="WE513"/>
      <c r="WF513"/>
      <c r="WG513"/>
      <c r="WH513"/>
      <c r="WI513"/>
      <c r="WJ513"/>
      <c r="WK513"/>
      <c r="WL513"/>
      <c r="WM513"/>
      <c r="WN513"/>
      <c r="WO513"/>
      <c r="WP513"/>
      <c r="WQ513"/>
      <c r="WR513"/>
      <c r="WS513"/>
      <c r="WT513"/>
      <c r="WU513"/>
      <c r="WV513"/>
      <c r="WW513"/>
      <c r="WX513"/>
      <c r="WY513"/>
      <c r="WZ513"/>
      <c r="XA513"/>
      <c r="XB513"/>
      <c r="XC513"/>
      <c r="XD513"/>
      <c r="XE513"/>
      <c r="XF513"/>
      <c r="XG513"/>
      <c r="XH513"/>
      <c r="XI513"/>
      <c r="XJ513"/>
      <c r="XK513"/>
      <c r="XL513"/>
      <c r="XM513"/>
      <c r="XN513"/>
      <c r="XO513"/>
      <c r="XP513"/>
      <c r="XQ513"/>
      <c r="XR513"/>
      <c r="XS513"/>
      <c r="XT513"/>
      <c r="XU513"/>
      <c r="XV513"/>
      <c r="XW513"/>
      <c r="XX513"/>
      <c r="XY513"/>
      <c r="XZ513"/>
      <c r="YA513"/>
      <c r="YB513"/>
      <c r="YC513"/>
      <c r="YD513"/>
      <c r="YE513"/>
      <c r="YF513"/>
      <c r="YG513"/>
      <c r="YH513"/>
      <c r="YI513"/>
      <c r="YJ513"/>
      <c r="YK513"/>
      <c r="YL513"/>
      <c r="YM513"/>
      <c r="YN513"/>
      <c r="YO513"/>
      <c r="YP513"/>
      <c r="YQ513"/>
      <c r="YR513"/>
      <c r="YS513"/>
      <c r="YT513"/>
      <c r="YU513"/>
      <c r="YV513"/>
      <c r="YW513"/>
      <c r="YX513"/>
      <c r="YY513"/>
      <c r="YZ513"/>
      <c r="ZA513"/>
      <c r="ZB513"/>
      <c r="ZC513"/>
      <c r="ZD513"/>
      <c r="ZE513"/>
      <c r="ZF513"/>
      <c r="ZG513"/>
      <c r="ZH513"/>
      <c r="ZI513"/>
      <c r="ZJ513"/>
      <c r="ZK513"/>
      <c r="ZL513"/>
      <c r="ZM513"/>
      <c r="ZN513"/>
      <c r="ZO513"/>
      <c r="ZP513"/>
      <c r="ZQ513"/>
      <c r="ZR513"/>
      <c r="ZS513"/>
      <c r="ZT513"/>
      <c r="ZU513"/>
      <c r="ZV513"/>
      <c r="ZW513"/>
      <c r="ZX513"/>
      <c r="ZY513"/>
      <c r="ZZ513"/>
      <c r="AAA513"/>
      <c r="AAB513"/>
      <c r="AAC513"/>
      <c r="AAD513"/>
      <c r="AAE513"/>
      <c r="AAF513"/>
      <c r="AAG513"/>
      <c r="AAH513"/>
      <c r="AAI513"/>
      <c r="AAJ513"/>
      <c r="AAK513"/>
      <c r="AAL513"/>
      <c r="AAM513"/>
      <c r="AAN513"/>
      <c r="AAO513"/>
      <c r="AAP513"/>
      <c r="AAQ513"/>
      <c r="AAR513"/>
      <c r="AAS513"/>
      <c r="AAT513"/>
      <c r="AAU513"/>
      <c r="AAV513"/>
      <c r="AAW513"/>
      <c r="AAX513"/>
      <c r="AAY513"/>
      <c r="AAZ513"/>
      <c r="ABA513"/>
      <c r="ABB513"/>
      <c r="ABC513"/>
      <c r="ABD513"/>
      <c r="ABE513"/>
      <c r="ABF513"/>
      <c r="ABG513"/>
      <c r="ABH513"/>
      <c r="ABI513"/>
      <c r="ABJ513"/>
      <c r="ABK513"/>
      <c r="ABL513"/>
      <c r="ABM513"/>
      <c r="ABN513"/>
      <c r="ABO513"/>
      <c r="ABP513"/>
      <c r="ABQ513"/>
      <c r="ABR513"/>
      <c r="ABS513"/>
      <c r="ABT513"/>
      <c r="ABU513"/>
      <c r="ABV513"/>
      <c r="ABW513"/>
      <c r="ABX513"/>
      <c r="ABY513"/>
      <c r="ABZ513"/>
      <c r="ACA513"/>
      <c r="ACB513"/>
      <c r="ACC513"/>
      <c r="ACD513"/>
      <c r="ACE513"/>
      <c r="ACF513"/>
      <c r="ACG513"/>
      <c r="ACH513"/>
      <c r="ACI513"/>
      <c r="ACJ513"/>
      <c r="ACK513"/>
      <c r="ACL513"/>
      <c r="ACM513"/>
      <c r="ACN513"/>
      <c r="ACO513"/>
      <c r="ACP513"/>
      <c r="ACQ513"/>
      <c r="ACR513"/>
      <c r="ACS513"/>
      <c r="ACT513"/>
      <c r="ACU513"/>
      <c r="ACV513"/>
      <c r="ACW513"/>
      <c r="ACX513"/>
      <c r="ACY513"/>
      <c r="ACZ513"/>
      <c r="ADA513"/>
      <c r="ADB513"/>
      <c r="ADC513"/>
      <c r="ADD513"/>
      <c r="ADE513"/>
      <c r="ADF513"/>
      <c r="ADG513"/>
      <c r="ADH513"/>
      <c r="ADI513"/>
      <c r="ADJ513"/>
      <c r="ADK513"/>
      <c r="ADL513"/>
      <c r="ADM513"/>
      <c r="ADN513"/>
      <c r="ADO513"/>
      <c r="ADP513"/>
      <c r="ADQ513"/>
      <c r="ADR513"/>
      <c r="ADS513"/>
      <c r="ADT513"/>
      <c r="ADU513"/>
      <c r="ADV513"/>
      <c r="ADW513"/>
      <c r="ADX513"/>
      <c r="ADY513"/>
      <c r="ADZ513"/>
      <c r="AEA513"/>
      <c r="AEB513"/>
      <c r="AEC513"/>
      <c r="AED513"/>
      <c r="AEE513"/>
      <c r="AEF513"/>
      <c r="AEG513"/>
      <c r="AEH513"/>
      <c r="AEI513"/>
      <c r="AEJ513"/>
      <c r="AEK513"/>
      <c r="AEL513"/>
      <c r="AEM513"/>
      <c r="AEN513"/>
      <c r="AEO513"/>
      <c r="AEP513"/>
      <c r="AEQ513"/>
      <c r="AER513"/>
      <c r="AES513"/>
      <c r="AET513"/>
      <c r="AEU513"/>
      <c r="AEV513"/>
      <c r="AEW513"/>
      <c r="AEX513"/>
      <c r="AEY513"/>
      <c r="AEZ513"/>
      <c r="AFA513"/>
      <c r="AFB513"/>
      <c r="AFC513"/>
      <c r="AFD513"/>
      <c r="AFE513"/>
      <c r="AFF513"/>
      <c r="AFG513"/>
      <c r="AFH513"/>
      <c r="AFI513"/>
      <c r="AFJ513"/>
      <c r="AFK513"/>
      <c r="AFL513"/>
      <c r="AFM513"/>
      <c r="AFN513"/>
      <c r="AFO513"/>
      <c r="AFP513"/>
      <c r="AFQ513"/>
      <c r="AFR513"/>
      <c r="AFS513"/>
      <c r="AFT513"/>
      <c r="AFU513"/>
      <c r="AFV513"/>
      <c r="AFW513"/>
      <c r="AFX513"/>
      <c r="AFY513"/>
      <c r="AFZ513"/>
      <c r="AGA513"/>
      <c r="AGB513"/>
      <c r="AGC513"/>
      <c r="AGD513"/>
      <c r="AGE513"/>
      <c r="AGF513"/>
      <c r="AGG513"/>
      <c r="AGH513"/>
      <c r="AGI513"/>
      <c r="AGJ513"/>
      <c r="AGK513"/>
      <c r="AGL513"/>
      <c r="AGM513"/>
      <c r="AGN513"/>
      <c r="AGO513"/>
      <c r="AGP513"/>
      <c r="AGQ513"/>
      <c r="AGR513"/>
      <c r="AGS513"/>
      <c r="AGT513"/>
      <c r="AGU513"/>
    </row>
    <row r="514" spans="1:879" x14ac:dyDescent="0.2">
      <c r="A514" s="134">
        <v>45365</v>
      </c>
      <c r="B514" s="135">
        <f>YEAR(source[[#This Row],[report_date]])</f>
        <v>2024</v>
      </c>
      <c r="C514" s="136">
        <v>3</v>
      </c>
      <c r="D514" s="136">
        <f t="shared" si="36"/>
        <v>11</v>
      </c>
      <c r="E514" s="136">
        <f t="shared" si="37"/>
        <v>14</v>
      </c>
      <c r="F514" s="128" t="s">
        <v>11</v>
      </c>
      <c r="G514" s="128" t="str">
        <f>VLOOKUP(source[[#This Row],[lending_product_transform]],[3]Mapping!$B$4:$C$37,2,0)</f>
        <v>[VDS] - Cashloan</v>
      </c>
      <c r="H514" s="128" t="str">
        <f>VLOOKUP(source[[#This Row],[lending_product_transform]],[3]Mapping!$B$3:$D$37,3,0)</f>
        <v>cashloan</v>
      </c>
      <c r="I514" s="135">
        <v>1951780000</v>
      </c>
      <c r="K514" s="550" t="s">
        <v>67</v>
      </c>
      <c r="L514" s="477">
        <v>63409743099</v>
      </c>
      <c r="M514" s="477">
        <v>53755295193</v>
      </c>
      <c r="N514" s="477">
        <v>55189788461</v>
      </c>
      <c r="O514" s="477">
        <v>49898840707</v>
      </c>
      <c r="P514" s="477">
        <v>21098365039</v>
      </c>
      <c r="Q514" s="477">
        <v>243352032499</v>
      </c>
      <c r="R514" s="477">
        <v>243352032499</v>
      </c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/>
      <c r="MI514"/>
      <c r="MJ514"/>
      <c r="MK514"/>
      <c r="ML514"/>
      <c r="MM514"/>
      <c r="MN514"/>
      <c r="MO514"/>
      <c r="MP514"/>
      <c r="MQ514"/>
      <c r="MR514"/>
      <c r="MS514"/>
      <c r="MT514"/>
      <c r="MU514"/>
      <c r="MV514"/>
      <c r="MW514"/>
      <c r="MX514"/>
      <c r="MY514"/>
      <c r="MZ514"/>
      <c r="NA514"/>
      <c r="NB514"/>
      <c r="NC514"/>
      <c r="ND514"/>
      <c r="NE514"/>
      <c r="NF514"/>
      <c r="NG514"/>
      <c r="NH514"/>
      <c r="NI514"/>
      <c r="NJ514"/>
      <c r="NK514"/>
      <c r="NL514"/>
      <c r="NM514"/>
      <c r="NN514"/>
      <c r="NO514"/>
      <c r="NP514"/>
      <c r="NQ514"/>
      <c r="NR514"/>
      <c r="NS514"/>
      <c r="NT514"/>
      <c r="NU514"/>
      <c r="NV514"/>
      <c r="NW514"/>
      <c r="NX514"/>
      <c r="NY514"/>
      <c r="NZ514"/>
      <c r="OA514"/>
      <c r="OB514"/>
      <c r="OC514"/>
      <c r="OD514"/>
      <c r="OE514"/>
      <c r="OF514"/>
      <c r="OG514"/>
      <c r="OH514"/>
      <c r="OI514"/>
      <c r="OJ514"/>
      <c r="OK514"/>
      <c r="OL514"/>
      <c r="OM514"/>
      <c r="ON514"/>
      <c r="OO514"/>
      <c r="OP514"/>
      <c r="OQ514"/>
      <c r="OR514"/>
      <c r="OS514"/>
      <c r="OT514"/>
      <c r="OU514"/>
      <c r="OV514"/>
      <c r="OW514"/>
      <c r="OX514"/>
      <c r="OY514"/>
      <c r="OZ514"/>
      <c r="PA514"/>
      <c r="PB514"/>
      <c r="PC514"/>
      <c r="PD514"/>
      <c r="PE514"/>
      <c r="PF514"/>
      <c r="PG514"/>
      <c r="PH514"/>
      <c r="PI514"/>
      <c r="PJ514"/>
      <c r="PK514"/>
      <c r="PL514"/>
      <c r="PM514"/>
      <c r="PN514"/>
      <c r="PO514"/>
      <c r="PP514"/>
      <c r="PQ514"/>
      <c r="PR514"/>
      <c r="PS514"/>
      <c r="PT514"/>
      <c r="PU514"/>
      <c r="PV514"/>
      <c r="PW514"/>
      <c r="PX514"/>
      <c r="PY514"/>
      <c r="PZ514"/>
      <c r="QA514"/>
      <c r="QB514"/>
      <c r="QC514"/>
      <c r="QD514"/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/>
      <c r="QT514"/>
      <c r="QU514"/>
      <c r="QV514"/>
      <c r="QW514"/>
      <c r="QX514"/>
      <c r="QY514"/>
      <c r="QZ514"/>
      <c r="RA514"/>
      <c r="RB514"/>
      <c r="RC514"/>
      <c r="RD514"/>
      <c r="RE514"/>
      <c r="RF514"/>
      <c r="RG514"/>
      <c r="RH514"/>
      <c r="RI514"/>
      <c r="RJ514"/>
      <c r="RK514"/>
      <c r="RL514"/>
      <c r="RM514"/>
      <c r="RN514"/>
      <c r="RO514"/>
      <c r="RP514"/>
      <c r="RQ514"/>
      <c r="RR514"/>
      <c r="RS514"/>
      <c r="RT514"/>
      <c r="RU514"/>
      <c r="RV514"/>
      <c r="RW514"/>
      <c r="RX514"/>
      <c r="RY514"/>
      <c r="RZ514"/>
      <c r="SA514"/>
      <c r="SB514"/>
      <c r="SC514"/>
      <c r="SD514"/>
      <c r="SE514"/>
      <c r="SF514"/>
      <c r="SG514"/>
      <c r="SH514"/>
      <c r="SI514"/>
      <c r="SJ514"/>
      <c r="SK514"/>
      <c r="SL514"/>
      <c r="SM514"/>
      <c r="SN514"/>
      <c r="SO514"/>
      <c r="SP514"/>
      <c r="SQ514"/>
      <c r="SR514"/>
      <c r="SS514"/>
      <c r="ST514"/>
      <c r="SU514"/>
      <c r="SV514"/>
      <c r="SW514"/>
      <c r="SX514"/>
      <c r="SY514"/>
      <c r="SZ514"/>
      <c r="TA514"/>
      <c r="TB514"/>
      <c r="TC514"/>
      <c r="TD514"/>
      <c r="TE514"/>
      <c r="TF514"/>
      <c r="TG514"/>
      <c r="TH514"/>
      <c r="TI514"/>
      <c r="TJ514"/>
      <c r="TK514"/>
      <c r="TL514"/>
      <c r="TM514"/>
      <c r="TN514"/>
      <c r="TO514"/>
      <c r="TP514"/>
      <c r="TQ514"/>
      <c r="TR514"/>
      <c r="TS514"/>
      <c r="TT514"/>
      <c r="TU514"/>
      <c r="TV514"/>
      <c r="TW514"/>
      <c r="TX514"/>
      <c r="TY514"/>
      <c r="TZ514"/>
      <c r="UA514"/>
      <c r="UB514"/>
      <c r="UC514"/>
      <c r="UD514"/>
      <c r="UE514"/>
      <c r="UF514"/>
      <c r="UG514"/>
      <c r="UH514"/>
      <c r="UI514"/>
      <c r="UJ514"/>
      <c r="UK514"/>
      <c r="UL514"/>
      <c r="UM514"/>
      <c r="UN514"/>
      <c r="UO514"/>
      <c r="UP514"/>
      <c r="UQ514"/>
      <c r="UR514"/>
      <c r="US514"/>
      <c r="UT514"/>
      <c r="UU514"/>
      <c r="UV514"/>
      <c r="UW514"/>
      <c r="UX514"/>
      <c r="UY514"/>
      <c r="UZ514"/>
      <c r="VA514"/>
      <c r="VB514"/>
      <c r="VC514"/>
      <c r="VD514"/>
      <c r="VE514"/>
      <c r="VF514"/>
      <c r="VG514"/>
      <c r="VH514"/>
      <c r="VI514"/>
      <c r="VJ514"/>
      <c r="VK514"/>
      <c r="VL514"/>
      <c r="VM514"/>
      <c r="VN514"/>
      <c r="VO514"/>
      <c r="VP514"/>
      <c r="VQ514"/>
      <c r="VR514"/>
      <c r="VS514"/>
      <c r="VT514"/>
      <c r="VU514"/>
      <c r="VV514"/>
      <c r="VW514"/>
      <c r="VX514"/>
      <c r="VY514"/>
      <c r="VZ514"/>
      <c r="WA514"/>
      <c r="WB514"/>
      <c r="WC514"/>
      <c r="WD514"/>
      <c r="WE514"/>
      <c r="WF514"/>
      <c r="WG514"/>
      <c r="WH514"/>
      <c r="WI514"/>
      <c r="WJ514"/>
      <c r="WK514"/>
      <c r="WL514"/>
      <c r="WM514"/>
      <c r="WN514"/>
      <c r="WO514"/>
      <c r="WP514"/>
      <c r="WQ514"/>
      <c r="WR514"/>
      <c r="WS514"/>
      <c r="WT514"/>
      <c r="WU514"/>
      <c r="WV514"/>
      <c r="WW514"/>
      <c r="WX514"/>
      <c r="WY514"/>
      <c r="WZ514"/>
      <c r="XA514"/>
      <c r="XB514"/>
      <c r="XC514"/>
      <c r="XD514"/>
      <c r="XE514"/>
      <c r="XF514"/>
      <c r="XG514"/>
      <c r="XH514"/>
      <c r="XI514"/>
      <c r="XJ514"/>
      <c r="XK514"/>
      <c r="XL514"/>
      <c r="XM514"/>
      <c r="XN514"/>
      <c r="XO514"/>
      <c r="XP514"/>
      <c r="XQ514"/>
      <c r="XR514"/>
      <c r="XS514"/>
      <c r="XT514"/>
      <c r="XU514"/>
      <c r="XV514"/>
      <c r="XW514"/>
      <c r="XX514"/>
      <c r="XY514"/>
      <c r="XZ514"/>
      <c r="YA514"/>
      <c r="YB514"/>
      <c r="YC514"/>
      <c r="YD514"/>
      <c r="YE514"/>
      <c r="YF514"/>
      <c r="YG514"/>
      <c r="YH514"/>
      <c r="YI514"/>
      <c r="YJ514"/>
      <c r="YK514"/>
      <c r="YL514"/>
      <c r="YM514"/>
      <c r="YN514"/>
      <c r="YO514"/>
      <c r="YP514"/>
      <c r="YQ514"/>
      <c r="YR514"/>
      <c r="YS514"/>
      <c r="YT514"/>
      <c r="YU514"/>
      <c r="YV514"/>
      <c r="YW514"/>
      <c r="YX514"/>
      <c r="YY514"/>
      <c r="YZ514"/>
      <c r="ZA514"/>
      <c r="ZB514"/>
      <c r="ZC514"/>
      <c r="ZD514"/>
      <c r="ZE514"/>
      <c r="ZF514"/>
      <c r="ZG514"/>
      <c r="ZH514"/>
      <c r="ZI514"/>
      <c r="ZJ514"/>
      <c r="ZK514"/>
      <c r="ZL514"/>
      <c r="ZM514"/>
      <c r="ZN514"/>
      <c r="ZO514"/>
      <c r="ZP514"/>
      <c r="ZQ514"/>
      <c r="ZR514"/>
      <c r="ZS514"/>
      <c r="ZT514"/>
      <c r="ZU514"/>
      <c r="ZV514"/>
      <c r="ZW514"/>
      <c r="ZX514"/>
      <c r="ZY514"/>
      <c r="ZZ514"/>
      <c r="AAA514"/>
      <c r="AAB514"/>
      <c r="AAC514"/>
      <c r="AAD514"/>
      <c r="AAE514"/>
      <c r="AAF514"/>
      <c r="AAG514"/>
      <c r="AAH514"/>
      <c r="AAI514"/>
      <c r="AAJ514"/>
      <c r="AAK514"/>
      <c r="AAL514"/>
      <c r="AAM514"/>
      <c r="AAN514"/>
      <c r="AAO514"/>
      <c r="AAP514"/>
      <c r="AAQ514"/>
      <c r="AAR514"/>
      <c r="AAS514"/>
      <c r="AAT514"/>
      <c r="AAU514"/>
      <c r="AAV514"/>
      <c r="AAW514"/>
      <c r="AAX514"/>
      <c r="AAY514"/>
      <c r="AAZ514"/>
      <c r="ABA514"/>
      <c r="ABB514"/>
      <c r="ABC514"/>
      <c r="ABD514"/>
      <c r="ABE514"/>
      <c r="ABF514"/>
      <c r="ABG514"/>
      <c r="ABH514"/>
      <c r="ABI514"/>
      <c r="ABJ514"/>
      <c r="ABK514"/>
      <c r="ABL514"/>
      <c r="ABM514"/>
      <c r="ABN514"/>
      <c r="ABO514"/>
      <c r="ABP514"/>
      <c r="ABQ514"/>
      <c r="ABR514"/>
      <c r="ABS514"/>
      <c r="ABT514"/>
      <c r="ABU514"/>
      <c r="ABV514"/>
      <c r="ABW514"/>
      <c r="ABX514"/>
      <c r="ABY514"/>
      <c r="ABZ514"/>
      <c r="ACA514"/>
      <c r="ACB514"/>
      <c r="ACC514"/>
      <c r="ACD514"/>
      <c r="ACE514"/>
      <c r="ACF514"/>
      <c r="ACG514"/>
      <c r="ACH514"/>
      <c r="ACI514"/>
      <c r="ACJ514"/>
      <c r="ACK514"/>
      <c r="ACL514"/>
      <c r="ACM514"/>
      <c r="ACN514"/>
      <c r="ACO514"/>
      <c r="ACP514"/>
      <c r="ACQ514"/>
      <c r="ACR514"/>
      <c r="ACS514"/>
      <c r="ACT514"/>
      <c r="ACU514"/>
      <c r="ACV514"/>
      <c r="ACW514"/>
      <c r="ACX514"/>
      <c r="ACY514"/>
      <c r="ACZ514"/>
      <c r="ADA514"/>
      <c r="ADB514"/>
      <c r="ADC514"/>
      <c r="ADD514"/>
      <c r="ADE514"/>
      <c r="ADF514"/>
      <c r="ADG514"/>
      <c r="ADH514"/>
      <c r="ADI514"/>
      <c r="ADJ514"/>
      <c r="ADK514"/>
      <c r="ADL514"/>
      <c r="ADM514"/>
      <c r="ADN514"/>
      <c r="ADO514"/>
      <c r="ADP514"/>
      <c r="ADQ514"/>
      <c r="ADR514"/>
      <c r="ADS514"/>
      <c r="ADT514"/>
      <c r="ADU514"/>
      <c r="ADV514"/>
      <c r="ADW514"/>
      <c r="ADX514"/>
      <c r="ADY514"/>
      <c r="ADZ514"/>
      <c r="AEA514"/>
      <c r="AEB514"/>
      <c r="AEC514"/>
      <c r="AED514"/>
      <c r="AEE514"/>
      <c r="AEF514"/>
      <c r="AEG514"/>
      <c r="AEH514"/>
      <c r="AEI514"/>
      <c r="AEJ514"/>
      <c r="AEK514"/>
      <c r="AEL514"/>
      <c r="AEM514"/>
      <c r="AEN514"/>
      <c r="AEO514"/>
      <c r="AEP514"/>
      <c r="AEQ514"/>
      <c r="AER514"/>
      <c r="AES514"/>
      <c r="AET514"/>
      <c r="AEU514"/>
      <c r="AEV514"/>
      <c r="AEW514"/>
      <c r="AEX514"/>
      <c r="AEY514"/>
      <c r="AEZ514"/>
      <c r="AFA514"/>
      <c r="AFB514"/>
      <c r="AFC514"/>
      <c r="AFD514"/>
      <c r="AFE514"/>
      <c r="AFF514"/>
      <c r="AFG514"/>
      <c r="AFH514"/>
      <c r="AFI514"/>
      <c r="AFJ514"/>
      <c r="AFK514"/>
      <c r="AFL514"/>
      <c r="AFM514"/>
      <c r="AFN514"/>
      <c r="AFO514"/>
      <c r="AFP514"/>
      <c r="AFQ514"/>
      <c r="AFR514"/>
      <c r="AFS514"/>
      <c r="AFT514"/>
      <c r="AFU514"/>
      <c r="AFV514"/>
      <c r="AFW514"/>
      <c r="AFX514"/>
      <c r="AFY514"/>
      <c r="AFZ514"/>
      <c r="AGA514"/>
      <c r="AGB514"/>
      <c r="AGC514"/>
      <c r="AGD514"/>
      <c r="AGE514"/>
      <c r="AGF514"/>
      <c r="AGG514"/>
      <c r="AGH514"/>
      <c r="AGI514"/>
      <c r="AGJ514"/>
      <c r="AGK514"/>
      <c r="AGL514"/>
      <c r="AGM514"/>
      <c r="AGN514"/>
      <c r="AGO514"/>
      <c r="AGP514"/>
      <c r="AGQ514"/>
      <c r="AGR514"/>
      <c r="AGS514"/>
      <c r="AGT514"/>
      <c r="AGU514"/>
    </row>
    <row r="515" spans="1:879" x14ac:dyDescent="0.2">
      <c r="A515" s="134">
        <v>45365</v>
      </c>
      <c r="B515" s="135">
        <f>YEAR(source[[#This Row],[report_date]])</f>
        <v>2024</v>
      </c>
      <c r="C515" s="136">
        <v>3</v>
      </c>
      <c r="D515" s="136">
        <f t="shared" ref="D515:D578" si="39">WEEKNUM(A515,2)</f>
        <v>11</v>
      </c>
      <c r="E515" s="136">
        <f t="shared" ref="E515:E578" si="40">DAY(A515)</f>
        <v>14</v>
      </c>
      <c r="F515" s="128" t="s">
        <v>67</v>
      </c>
      <c r="G515" s="128" t="str">
        <f>VLOOKUP(source[[#This Row],[lending_product_transform]],[3]Mapping!$B$4:$C$37,2,0)</f>
        <v>[Cake] - Overdraft</v>
      </c>
      <c r="H515" s="128" t="str">
        <f>VLOOKUP(source[[#This Row],[lending_product_transform]],[3]Mapping!$B$3:$D$37,3,0)</f>
        <v>overdraft</v>
      </c>
      <c r="I515" s="135">
        <v>2145948677</v>
      </c>
      <c r="K515" s="550" t="s">
        <v>28</v>
      </c>
      <c r="L515" s="477">
        <v>432076356000</v>
      </c>
      <c r="M515" s="477">
        <v>344144160000</v>
      </c>
      <c r="N515" s="477">
        <v>422658864000</v>
      </c>
      <c r="O515" s="477">
        <v>425752416000</v>
      </c>
      <c r="P515" s="477">
        <v>157621248000</v>
      </c>
      <c r="Q515" s="477">
        <v>1782253044000</v>
      </c>
      <c r="R515" s="477">
        <v>1782253044000</v>
      </c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/>
      <c r="KO515"/>
      <c r="KP515"/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  <c r="LK515"/>
      <c r="LL515"/>
      <c r="LM515"/>
      <c r="LN515"/>
      <c r="LO515"/>
      <c r="LP515"/>
      <c r="LQ515"/>
      <c r="LR515"/>
      <c r="LS515"/>
      <c r="LT515"/>
      <c r="LU515"/>
      <c r="LV515"/>
      <c r="LW515"/>
      <c r="LX515"/>
      <c r="LY515"/>
      <c r="LZ515"/>
      <c r="MA515"/>
      <c r="MB515"/>
      <c r="MC515"/>
      <c r="MD515"/>
      <c r="ME515"/>
      <c r="MF515"/>
      <c r="MG515"/>
      <c r="MH515"/>
      <c r="MI515"/>
      <c r="MJ515"/>
      <c r="MK515"/>
      <c r="ML515"/>
      <c r="MM515"/>
      <c r="MN515"/>
      <c r="MO515"/>
      <c r="MP515"/>
      <c r="MQ515"/>
      <c r="MR515"/>
      <c r="MS515"/>
      <c r="MT515"/>
      <c r="MU515"/>
      <c r="MV515"/>
      <c r="MW515"/>
      <c r="MX515"/>
      <c r="MY515"/>
      <c r="MZ515"/>
      <c r="NA515"/>
      <c r="NB515"/>
      <c r="NC515"/>
      <c r="ND515"/>
      <c r="NE515"/>
      <c r="NF515"/>
      <c r="NG515"/>
      <c r="NH515"/>
      <c r="NI515"/>
      <c r="NJ515"/>
      <c r="NK515"/>
      <c r="NL515"/>
      <c r="NM515"/>
      <c r="NN515"/>
      <c r="NO515"/>
      <c r="NP515"/>
      <c r="NQ515"/>
      <c r="NR515"/>
      <c r="NS515"/>
      <c r="NT515"/>
      <c r="NU515"/>
      <c r="NV515"/>
      <c r="NW515"/>
      <c r="NX515"/>
      <c r="NY515"/>
      <c r="NZ515"/>
      <c r="OA515"/>
      <c r="OB515"/>
      <c r="OC515"/>
      <c r="OD515"/>
      <c r="OE515"/>
      <c r="OF515"/>
      <c r="OG515"/>
      <c r="OH515"/>
      <c r="OI515"/>
      <c r="OJ515"/>
      <c r="OK515"/>
      <c r="OL515"/>
      <c r="OM515"/>
      <c r="ON515"/>
      <c r="OO515"/>
      <c r="OP515"/>
      <c r="OQ515"/>
      <c r="OR515"/>
      <c r="OS515"/>
      <c r="OT515"/>
      <c r="OU515"/>
      <c r="OV515"/>
      <c r="OW515"/>
      <c r="OX515"/>
      <c r="OY515"/>
      <c r="OZ515"/>
      <c r="PA515"/>
      <c r="PB515"/>
      <c r="PC515"/>
      <c r="PD515"/>
      <c r="PE515"/>
      <c r="PF515"/>
      <c r="PG515"/>
      <c r="PH515"/>
      <c r="PI515"/>
      <c r="PJ515"/>
      <c r="PK515"/>
      <c r="PL515"/>
      <c r="PM515"/>
      <c r="PN515"/>
      <c r="PO515"/>
      <c r="PP515"/>
      <c r="PQ515"/>
      <c r="PR515"/>
      <c r="PS515"/>
      <c r="PT515"/>
      <c r="PU515"/>
      <c r="PV515"/>
      <c r="PW515"/>
      <c r="PX515"/>
      <c r="PY515"/>
      <c r="PZ515"/>
      <c r="QA515"/>
      <c r="QB515"/>
      <c r="QC515"/>
      <c r="QD515"/>
      <c r="QE515"/>
      <c r="QF515"/>
      <c r="QG515"/>
      <c r="QH515"/>
      <c r="QI515"/>
      <c r="QJ515"/>
      <c r="QK515"/>
      <c r="QL515"/>
      <c r="QM515"/>
      <c r="QN515"/>
      <c r="QO515"/>
      <c r="QP515"/>
      <c r="QQ515"/>
      <c r="QR515"/>
      <c r="QS515"/>
      <c r="QT515"/>
      <c r="QU515"/>
      <c r="QV515"/>
      <c r="QW515"/>
      <c r="QX515"/>
      <c r="QY515"/>
      <c r="QZ515"/>
      <c r="RA515"/>
      <c r="RB515"/>
      <c r="RC515"/>
      <c r="RD515"/>
      <c r="RE515"/>
      <c r="RF515"/>
      <c r="RG515"/>
      <c r="RH515"/>
      <c r="RI515"/>
      <c r="RJ515"/>
      <c r="RK515"/>
      <c r="RL515"/>
      <c r="RM515"/>
      <c r="RN515"/>
      <c r="RO515"/>
      <c r="RP515"/>
      <c r="RQ515"/>
      <c r="RR515"/>
      <c r="RS515"/>
      <c r="RT515"/>
      <c r="RU515"/>
      <c r="RV515"/>
      <c r="RW515"/>
      <c r="RX515"/>
      <c r="RY515"/>
      <c r="RZ515"/>
      <c r="SA515"/>
      <c r="SB515"/>
      <c r="SC515"/>
      <c r="SD515"/>
      <c r="SE515"/>
      <c r="SF515"/>
      <c r="SG515"/>
      <c r="SH515"/>
      <c r="SI515"/>
      <c r="SJ515"/>
      <c r="SK515"/>
      <c r="SL515"/>
      <c r="SM515"/>
      <c r="SN515"/>
      <c r="SO515"/>
      <c r="SP515"/>
      <c r="SQ515"/>
      <c r="SR515"/>
      <c r="SS515"/>
      <c r="ST515"/>
      <c r="SU515"/>
      <c r="SV515"/>
      <c r="SW515"/>
      <c r="SX515"/>
      <c r="SY515"/>
      <c r="SZ515"/>
      <c r="TA515"/>
      <c r="TB515"/>
      <c r="TC515"/>
      <c r="TD515"/>
      <c r="TE515"/>
      <c r="TF515"/>
      <c r="TG515"/>
      <c r="TH515"/>
      <c r="TI515"/>
      <c r="TJ515"/>
      <c r="TK515"/>
      <c r="TL515"/>
      <c r="TM515"/>
      <c r="TN515"/>
      <c r="TO515"/>
      <c r="TP515"/>
      <c r="TQ515"/>
      <c r="TR515"/>
      <c r="TS515"/>
      <c r="TT515"/>
      <c r="TU515"/>
      <c r="TV515"/>
      <c r="TW515"/>
      <c r="TX515"/>
      <c r="TY515"/>
      <c r="TZ515"/>
      <c r="UA515"/>
      <c r="UB515"/>
      <c r="UC515"/>
      <c r="UD515"/>
      <c r="UE515"/>
      <c r="UF515"/>
      <c r="UG515"/>
      <c r="UH515"/>
      <c r="UI515"/>
      <c r="UJ515"/>
      <c r="UK515"/>
      <c r="UL515"/>
      <c r="UM515"/>
      <c r="UN515"/>
      <c r="UO515"/>
      <c r="UP515"/>
      <c r="UQ515"/>
      <c r="UR515"/>
      <c r="US515"/>
      <c r="UT515"/>
      <c r="UU515"/>
      <c r="UV515"/>
      <c r="UW515"/>
      <c r="UX515"/>
      <c r="UY515"/>
      <c r="UZ515"/>
      <c r="VA515"/>
      <c r="VB515"/>
      <c r="VC515"/>
      <c r="VD515"/>
      <c r="VE515"/>
      <c r="VF515"/>
      <c r="VG515"/>
      <c r="VH515"/>
      <c r="VI515"/>
      <c r="VJ515"/>
      <c r="VK515"/>
      <c r="VL515"/>
      <c r="VM515"/>
      <c r="VN515"/>
      <c r="VO515"/>
      <c r="VP515"/>
      <c r="VQ515"/>
      <c r="VR515"/>
      <c r="VS515"/>
      <c r="VT515"/>
      <c r="VU515"/>
      <c r="VV515"/>
      <c r="VW515"/>
      <c r="VX515"/>
      <c r="VY515"/>
      <c r="VZ515"/>
      <c r="WA515"/>
      <c r="WB515"/>
      <c r="WC515"/>
      <c r="WD515"/>
      <c r="WE515"/>
      <c r="WF515"/>
      <c r="WG515"/>
      <c r="WH515"/>
      <c r="WI515"/>
      <c r="WJ515"/>
      <c r="WK515"/>
      <c r="WL515"/>
      <c r="WM515"/>
      <c r="WN515"/>
      <c r="WO515"/>
      <c r="WP515"/>
      <c r="WQ515"/>
      <c r="WR515"/>
      <c r="WS515"/>
      <c r="WT515"/>
      <c r="WU515"/>
      <c r="WV515"/>
      <c r="WW515"/>
      <c r="WX515"/>
      <c r="WY515"/>
      <c r="WZ515"/>
      <c r="XA515"/>
      <c r="XB515"/>
      <c r="XC515"/>
      <c r="XD515"/>
      <c r="XE515"/>
      <c r="XF515"/>
      <c r="XG515"/>
      <c r="XH515"/>
      <c r="XI515"/>
      <c r="XJ515"/>
      <c r="XK515"/>
      <c r="XL515"/>
      <c r="XM515"/>
      <c r="XN515"/>
      <c r="XO515"/>
      <c r="XP515"/>
      <c r="XQ515"/>
      <c r="XR515"/>
      <c r="XS515"/>
      <c r="XT515"/>
      <c r="XU515"/>
      <c r="XV515"/>
      <c r="XW515"/>
      <c r="XX515"/>
      <c r="XY515"/>
      <c r="XZ515"/>
      <c r="YA515"/>
      <c r="YB515"/>
      <c r="YC515"/>
      <c r="YD515"/>
      <c r="YE515"/>
      <c r="YF515"/>
      <c r="YG515"/>
      <c r="YH515"/>
      <c r="YI515"/>
      <c r="YJ515"/>
      <c r="YK515"/>
      <c r="YL515"/>
      <c r="YM515"/>
      <c r="YN515"/>
      <c r="YO515"/>
      <c r="YP515"/>
      <c r="YQ515"/>
      <c r="YR515"/>
      <c r="YS515"/>
      <c r="YT515"/>
      <c r="YU515"/>
      <c r="YV515"/>
      <c r="YW515"/>
      <c r="YX515"/>
      <c r="YY515"/>
      <c r="YZ515"/>
      <c r="ZA515"/>
      <c r="ZB515"/>
      <c r="ZC515"/>
      <c r="ZD515"/>
      <c r="ZE515"/>
      <c r="ZF515"/>
      <c r="ZG515"/>
      <c r="ZH515"/>
      <c r="ZI515"/>
      <c r="ZJ515"/>
      <c r="ZK515"/>
      <c r="ZL515"/>
      <c r="ZM515"/>
      <c r="ZN515"/>
      <c r="ZO515"/>
      <c r="ZP515"/>
      <c r="ZQ515"/>
      <c r="ZR515"/>
      <c r="ZS515"/>
      <c r="ZT515"/>
      <c r="ZU515"/>
      <c r="ZV515"/>
      <c r="ZW515"/>
      <c r="ZX515"/>
      <c r="ZY515"/>
      <c r="ZZ515"/>
      <c r="AAA515"/>
      <c r="AAB515"/>
      <c r="AAC515"/>
      <c r="AAD515"/>
      <c r="AAE515"/>
      <c r="AAF515"/>
      <c r="AAG515"/>
      <c r="AAH515"/>
      <c r="AAI515"/>
      <c r="AAJ515"/>
      <c r="AAK515"/>
      <c r="AAL515"/>
      <c r="AAM515"/>
      <c r="AAN515"/>
      <c r="AAO515"/>
      <c r="AAP515"/>
      <c r="AAQ515"/>
      <c r="AAR515"/>
      <c r="AAS515"/>
      <c r="AAT515"/>
      <c r="AAU515"/>
      <c r="AAV515"/>
      <c r="AAW515"/>
      <c r="AAX515"/>
      <c r="AAY515"/>
      <c r="AAZ515"/>
      <c r="ABA515"/>
      <c r="ABB515"/>
      <c r="ABC515"/>
      <c r="ABD515"/>
      <c r="ABE515"/>
      <c r="ABF515"/>
      <c r="ABG515"/>
      <c r="ABH515"/>
      <c r="ABI515"/>
      <c r="ABJ515"/>
      <c r="ABK515"/>
      <c r="ABL515"/>
      <c r="ABM515"/>
      <c r="ABN515"/>
      <c r="ABO515"/>
      <c r="ABP515"/>
      <c r="ABQ515"/>
      <c r="ABR515"/>
      <c r="ABS515"/>
      <c r="ABT515"/>
      <c r="ABU515"/>
      <c r="ABV515"/>
      <c r="ABW515"/>
      <c r="ABX515"/>
      <c r="ABY515"/>
      <c r="ABZ515"/>
      <c r="ACA515"/>
      <c r="ACB515"/>
      <c r="ACC515"/>
      <c r="ACD515"/>
      <c r="ACE515"/>
      <c r="ACF515"/>
      <c r="ACG515"/>
      <c r="ACH515"/>
      <c r="ACI515"/>
      <c r="ACJ515"/>
      <c r="ACK515"/>
      <c r="ACL515"/>
      <c r="ACM515"/>
      <c r="ACN515"/>
      <c r="ACO515"/>
      <c r="ACP515"/>
      <c r="ACQ515"/>
      <c r="ACR515"/>
      <c r="ACS515"/>
      <c r="ACT515"/>
      <c r="ACU515"/>
      <c r="ACV515"/>
      <c r="ACW515"/>
      <c r="ACX515"/>
      <c r="ACY515"/>
      <c r="ACZ515"/>
      <c r="ADA515"/>
      <c r="ADB515"/>
      <c r="ADC515"/>
      <c r="ADD515"/>
      <c r="ADE515"/>
      <c r="ADF515"/>
      <c r="ADG515"/>
      <c r="ADH515"/>
      <c r="ADI515"/>
      <c r="ADJ515"/>
      <c r="ADK515"/>
      <c r="ADL515"/>
      <c r="ADM515"/>
      <c r="ADN515"/>
      <c r="ADO515"/>
      <c r="ADP515"/>
      <c r="ADQ515"/>
      <c r="ADR515"/>
      <c r="ADS515"/>
      <c r="ADT515"/>
      <c r="ADU515"/>
      <c r="ADV515"/>
      <c r="ADW515"/>
      <c r="ADX515"/>
      <c r="ADY515"/>
      <c r="ADZ515"/>
      <c r="AEA515"/>
      <c r="AEB515"/>
      <c r="AEC515"/>
      <c r="AED515"/>
      <c r="AEE515"/>
      <c r="AEF515"/>
      <c r="AEG515"/>
      <c r="AEH515"/>
      <c r="AEI515"/>
      <c r="AEJ515"/>
      <c r="AEK515"/>
      <c r="AEL515"/>
      <c r="AEM515"/>
      <c r="AEN515"/>
      <c r="AEO515"/>
      <c r="AEP515"/>
      <c r="AEQ515"/>
      <c r="AER515"/>
      <c r="AES515"/>
      <c r="AET515"/>
      <c r="AEU515"/>
      <c r="AEV515"/>
      <c r="AEW515"/>
      <c r="AEX515"/>
      <c r="AEY515"/>
      <c r="AEZ515"/>
      <c r="AFA515"/>
      <c r="AFB515"/>
      <c r="AFC515"/>
      <c r="AFD515"/>
      <c r="AFE515"/>
      <c r="AFF515"/>
      <c r="AFG515"/>
      <c r="AFH515"/>
      <c r="AFI515"/>
      <c r="AFJ515"/>
      <c r="AFK515"/>
      <c r="AFL515"/>
      <c r="AFM515"/>
      <c r="AFN515"/>
      <c r="AFO515"/>
      <c r="AFP515"/>
      <c r="AFQ515"/>
      <c r="AFR515"/>
      <c r="AFS515"/>
      <c r="AFT515"/>
      <c r="AFU515"/>
      <c r="AFV515"/>
      <c r="AFW515"/>
      <c r="AFX515"/>
      <c r="AFY515"/>
      <c r="AFZ515"/>
      <c r="AGA515"/>
      <c r="AGB515"/>
      <c r="AGC515"/>
      <c r="AGD515"/>
      <c r="AGE515"/>
      <c r="AGF515"/>
      <c r="AGG515"/>
      <c r="AGH515"/>
      <c r="AGI515"/>
      <c r="AGJ515"/>
      <c r="AGK515"/>
      <c r="AGL515"/>
      <c r="AGM515"/>
      <c r="AGN515"/>
      <c r="AGO515"/>
      <c r="AGP515"/>
      <c r="AGQ515"/>
      <c r="AGR515"/>
      <c r="AGS515"/>
      <c r="AGT515"/>
      <c r="AGU515"/>
    </row>
    <row r="516" spans="1:879" x14ac:dyDescent="0.2">
      <c r="A516" s="134">
        <v>45365</v>
      </c>
      <c r="B516" s="135">
        <f>YEAR(source[[#This Row],[report_date]])</f>
        <v>2024</v>
      </c>
      <c r="C516" s="136">
        <v>3</v>
      </c>
      <c r="D516" s="136">
        <f t="shared" si="39"/>
        <v>11</v>
      </c>
      <c r="E516" s="136">
        <f t="shared" si="40"/>
        <v>14</v>
      </c>
      <c r="F516" s="128" t="s">
        <v>65</v>
      </c>
      <c r="G516" s="128" t="str">
        <f>VLOOKUP(source[[#This Row],[lending_product_transform]],[3]Mapping!$B$4:$C$37,2,0)</f>
        <v>[BE] - Cashloan</v>
      </c>
      <c r="H516" s="128" t="str">
        <f>VLOOKUP(source[[#This Row],[lending_product_transform]],[3]Mapping!$B$3:$D$37,3,0)</f>
        <v>cashloan</v>
      </c>
      <c r="I516" s="135">
        <v>148050000</v>
      </c>
      <c r="K516" s="550" t="s">
        <v>208</v>
      </c>
      <c r="L516" s="477">
        <v>526616782</v>
      </c>
      <c r="M516" s="477">
        <v>406756258</v>
      </c>
      <c r="N516" s="477">
        <v>373336279</v>
      </c>
      <c r="O516" s="477">
        <v>28900933</v>
      </c>
      <c r="P516" s="477">
        <v>0</v>
      </c>
      <c r="Q516" s="477">
        <v>1335610252</v>
      </c>
      <c r="R516" s="477">
        <v>1335610252</v>
      </c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/>
      <c r="KO516"/>
      <c r="KP516"/>
      <c r="KQ516"/>
      <c r="KR516"/>
      <c r="KS516"/>
      <c r="KT516"/>
      <c r="KU516"/>
      <c r="KV516"/>
      <c r="KW516"/>
      <c r="KX516"/>
      <c r="KY516"/>
      <c r="KZ516"/>
      <c r="LA516"/>
      <c r="LB516"/>
      <c r="LC516"/>
      <c r="LD516"/>
      <c r="LE516"/>
      <c r="LF516"/>
      <c r="LG516"/>
      <c r="LH516"/>
      <c r="LI516"/>
      <c r="LJ516"/>
      <c r="LK516"/>
      <c r="LL516"/>
      <c r="LM516"/>
      <c r="LN516"/>
      <c r="LO516"/>
      <c r="LP516"/>
      <c r="LQ516"/>
      <c r="LR516"/>
      <c r="LS516"/>
      <c r="LT516"/>
      <c r="LU516"/>
      <c r="LV516"/>
      <c r="LW516"/>
      <c r="LX516"/>
      <c r="LY516"/>
      <c r="LZ516"/>
      <c r="MA516"/>
      <c r="MB516"/>
      <c r="MC516"/>
      <c r="MD516"/>
      <c r="ME516"/>
      <c r="MF516"/>
      <c r="MG516"/>
      <c r="MH516"/>
      <c r="MI516"/>
      <c r="MJ516"/>
      <c r="MK516"/>
      <c r="ML516"/>
      <c r="MM516"/>
      <c r="MN516"/>
      <c r="MO516"/>
      <c r="MP516"/>
      <c r="MQ516"/>
      <c r="MR516"/>
      <c r="MS516"/>
      <c r="MT516"/>
      <c r="MU516"/>
      <c r="MV516"/>
      <c r="MW516"/>
      <c r="MX516"/>
      <c r="MY516"/>
      <c r="MZ516"/>
      <c r="NA516"/>
      <c r="NB516"/>
      <c r="NC516"/>
      <c r="ND516"/>
      <c r="NE516"/>
      <c r="NF516"/>
      <c r="NG516"/>
      <c r="NH516"/>
      <c r="NI516"/>
      <c r="NJ516"/>
      <c r="NK516"/>
      <c r="NL516"/>
      <c r="NM516"/>
      <c r="NN516"/>
      <c r="NO516"/>
      <c r="NP516"/>
      <c r="NQ516"/>
      <c r="NR516"/>
      <c r="NS516"/>
      <c r="NT516"/>
      <c r="NU516"/>
      <c r="NV516"/>
      <c r="NW516"/>
      <c r="NX516"/>
      <c r="NY516"/>
      <c r="NZ516"/>
      <c r="OA516"/>
      <c r="OB516"/>
      <c r="OC516"/>
      <c r="OD516"/>
      <c r="OE516"/>
      <c r="OF516"/>
      <c r="OG516"/>
      <c r="OH516"/>
      <c r="OI516"/>
      <c r="OJ516"/>
      <c r="OK516"/>
      <c r="OL516"/>
      <c r="OM516"/>
      <c r="ON516"/>
      <c r="OO516"/>
      <c r="OP516"/>
      <c r="OQ516"/>
      <c r="OR516"/>
      <c r="OS516"/>
      <c r="OT516"/>
      <c r="OU516"/>
      <c r="OV516"/>
      <c r="OW516"/>
      <c r="OX516"/>
      <c r="OY516"/>
      <c r="OZ516"/>
      <c r="PA516"/>
      <c r="PB516"/>
      <c r="PC516"/>
      <c r="PD516"/>
      <c r="PE516"/>
      <c r="PF516"/>
      <c r="PG516"/>
      <c r="PH516"/>
      <c r="PI516"/>
      <c r="PJ516"/>
      <c r="PK516"/>
      <c r="PL516"/>
      <c r="PM516"/>
      <c r="PN516"/>
      <c r="PO516"/>
      <c r="PP516"/>
      <c r="PQ516"/>
      <c r="PR516"/>
      <c r="PS516"/>
      <c r="PT516"/>
      <c r="PU516"/>
      <c r="PV516"/>
      <c r="PW516"/>
      <c r="PX516"/>
      <c r="PY516"/>
      <c r="PZ516"/>
      <c r="QA516"/>
      <c r="QB516"/>
      <c r="QC516"/>
      <c r="QD516"/>
      <c r="QE516"/>
      <c r="QF516"/>
      <c r="QG516"/>
      <c r="QH516"/>
      <c r="QI516"/>
      <c r="QJ516"/>
      <c r="QK516"/>
      <c r="QL516"/>
      <c r="QM516"/>
      <c r="QN516"/>
      <c r="QO516"/>
      <c r="QP516"/>
      <c r="QQ516"/>
      <c r="QR516"/>
      <c r="QS516"/>
      <c r="QT516"/>
      <c r="QU516"/>
      <c r="QV516"/>
      <c r="QW516"/>
      <c r="QX516"/>
      <c r="QY516"/>
      <c r="QZ516"/>
      <c r="RA516"/>
      <c r="RB516"/>
      <c r="RC516"/>
      <c r="RD516"/>
      <c r="RE516"/>
      <c r="RF516"/>
      <c r="RG516"/>
      <c r="RH516"/>
      <c r="RI516"/>
      <c r="RJ516"/>
      <c r="RK516"/>
      <c r="RL516"/>
      <c r="RM516"/>
      <c r="RN516"/>
      <c r="RO516"/>
      <c r="RP516"/>
      <c r="RQ516"/>
      <c r="RR516"/>
      <c r="RS516"/>
      <c r="RT516"/>
      <c r="RU516"/>
      <c r="RV516"/>
      <c r="RW516"/>
      <c r="RX516"/>
      <c r="RY516"/>
      <c r="RZ516"/>
      <c r="SA516"/>
      <c r="SB516"/>
      <c r="SC516"/>
      <c r="SD516"/>
      <c r="SE516"/>
      <c r="SF516"/>
      <c r="SG516"/>
      <c r="SH516"/>
      <c r="SI516"/>
      <c r="SJ516"/>
      <c r="SK516"/>
      <c r="SL516"/>
      <c r="SM516"/>
      <c r="SN516"/>
      <c r="SO516"/>
      <c r="SP516"/>
      <c r="SQ516"/>
      <c r="SR516"/>
      <c r="SS516"/>
      <c r="ST516"/>
      <c r="SU516"/>
      <c r="SV516"/>
      <c r="SW516"/>
      <c r="SX516"/>
      <c r="SY516"/>
      <c r="SZ516"/>
      <c r="TA516"/>
      <c r="TB516"/>
      <c r="TC516"/>
      <c r="TD516"/>
      <c r="TE516"/>
      <c r="TF516"/>
      <c r="TG516"/>
      <c r="TH516"/>
      <c r="TI516"/>
      <c r="TJ516"/>
      <c r="TK516"/>
      <c r="TL516"/>
      <c r="TM516"/>
      <c r="TN516"/>
      <c r="TO516"/>
      <c r="TP516"/>
      <c r="TQ516"/>
      <c r="TR516"/>
      <c r="TS516"/>
      <c r="TT516"/>
      <c r="TU516"/>
      <c r="TV516"/>
      <c r="TW516"/>
      <c r="TX516"/>
      <c r="TY516"/>
      <c r="TZ516"/>
      <c r="UA516"/>
      <c r="UB516"/>
      <c r="UC516"/>
      <c r="UD516"/>
      <c r="UE516"/>
      <c r="UF516"/>
      <c r="UG516"/>
      <c r="UH516"/>
      <c r="UI516"/>
      <c r="UJ516"/>
      <c r="UK516"/>
      <c r="UL516"/>
      <c r="UM516"/>
      <c r="UN516"/>
      <c r="UO516"/>
      <c r="UP516"/>
      <c r="UQ516"/>
      <c r="UR516"/>
      <c r="US516"/>
      <c r="UT516"/>
      <c r="UU516"/>
      <c r="UV516"/>
      <c r="UW516"/>
      <c r="UX516"/>
      <c r="UY516"/>
      <c r="UZ516"/>
      <c r="VA516"/>
      <c r="VB516"/>
      <c r="VC516"/>
      <c r="VD516"/>
      <c r="VE516"/>
      <c r="VF516"/>
      <c r="VG516"/>
      <c r="VH516"/>
      <c r="VI516"/>
      <c r="VJ516"/>
      <c r="VK516"/>
      <c r="VL516"/>
      <c r="VM516"/>
      <c r="VN516"/>
      <c r="VO516"/>
      <c r="VP516"/>
      <c r="VQ516"/>
      <c r="VR516"/>
      <c r="VS516"/>
      <c r="VT516"/>
      <c r="VU516"/>
      <c r="VV516"/>
      <c r="VW516"/>
      <c r="VX516"/>
      <c r="VY516"/>
      <c r="VZ516"/>
      <c r="WA516"/>
      <c r="WB516"/>
      <c r="WC516"/>
      <c r="WD516"/>
      <c r="WE516"/>
      <c r="WF516"/>
      <c r="WG516"/>
      <c r="WH516"/>
      <c r="WI516"/>
      <c r="WJ516"/>
      <c r="WK516"/>
      <c r="WL516"/>
      <c r="WM516"/>
      <c r="WN516"/>
      <c r="WO516"/>
      <c r="WP516"/>
      <c r="WQ516"/>
      <c r="WR516"/>
      <c r="WS516"/>
      <c r="WT516"/>
      <c r="WU516"/>
      <c r="WV516"/>
      <c r="WW516"/>
      <c r="WX516"/>
      <c r="WY516"/>
      <c r="WZ516"/>
      <c r="XA516"/>
      <c r="XB516"/>
      <c r="XC516"/>
      <c r="XD516"/>
      <c r="XE516"/>
      <c r="XF516"/>
      <c r="XG516"/>
      <c r="XH516"/>
      <c r="XI516"/>
      <c r="XJ516"/>
      <c r="XK516"/>
      <c r="XL516"/>
      <c r="XM516"/>
      <c r="XN516"/>
      <c r="XO516"/>
      <c r="XP516"/>
      <c r="XQ516"/>
      <c r="XR516"/>
      <c r="XS516"/>
      <c r="XT516"/>
      <c r="XU516"/>
      <c r="XV516"/>
      <c r="XW516"/>
      <c r="XX516"/>
      <c r="XY516"/>
      <c r="XZ516"/>
      <c r="YA516"/>
      <c r="YB516"/>
      <c r="YC516"/>
      <c r="YD516"/>
      <c r="YE516"/>
      <c r="YF516"/>
      <c r="YG516"/>
      <c r="YH516"/>
      <c r="YI516"/>
      <c r="YJ516"/>
      <c r="YK516"/>
      <c r="YL516"/>
      <c r="YM516"/>
      <c r="YN516"/>
      <c r="YO516"/>
      <c r="YP516"/>
      <c r="YQ516"/>
      <c r="YR516"/>
      <c r="YS516"/>
      <c r="YT516"/>
      <c r="YU516"/>
      <c r="YV516"/>
      <c r="YW516"/>
      <c r="YX516"/>
      <c r="YY516"/>
      <c r="YZ516"/>
      <c r="ZA516"/>
      <c r="ZB516"/>
      <c r="ZC516"/>
      <c r="ZD516"/>
      <c r="ZE516"/>
      <c r="ZF516"/>
      <c r="ZG516"/>
      <c r="ZH516"/>
      <c r="ZI516"/>
      <c r="ZJ516"/>
      <c r="ZK516"/>
      <c r="ZL516"/>
      <c r="ZM516"/>
      <c r="ZN516"/>
      <c r="ZO516"/>
      <c r="ZP516"/>
      <c r="ZQ516"/>
      <c r="ZR516"/>
      <c r="ZS516"/>
      <c r="ZT516"/>
      <c r="ZU516"/>
      <c r="ZV516"/>
      <c r="ZW516"/>
      <c r="ZX516"/>
      <c r="ZY516"/>
      <c r="ZZ516"/>
      <c r="AAA516"/>
      <c r="AAB516"/>
      <c r="AAC516"/>
      <c r="AAD516"/>
      <c r="AAE516"/>
      <c r="AAF516"/>
      <c r="AAG516"/>
      <c r="AAH516"/>
      <c r="AAI516"/>
      <c r="AAJ516"/>
      <c r="AAK516"/>
      <c r="AAL516"/>
      <c r="AAM516"/>
      <c r="AAN516"/>
      <c r="AAO516"/>
      <c r="AAP516"/>
      <c r="AAQ516"/>
      <c r="AAR516"/>
      <c r="AAS516"/>
      <c r="AAT516"/>
      <c r="AAU516"/>
      <c r="AAV516"/>
      <c r="AAW516"/>
      <c r="AAX516"/>
      <c r="AAY516"/>
      <c r="AAZ516"/>
      <c r="ABA516"/>
      <c r="ABB516"/>
      <c r="ABC516"/>
      <c r="ABD516"/>
      <c r="ABE516"/>
      <c r="ABF516"/>
      <c r="ABG516"/>
      <c r="ABH516"/>
      <c r="ABI516"/>
      <c r="ABJ516"/>
      <c r="ABK516"/>
      <c r="ABL516"/>
      <c r="ABM516"/>
      <c r="ABN516"/>
      <c r="ABO516"/>
      <c r="ABP516"/>
      <c r="ABQ516"/>
      <c r="ABR516"/>
      <c r="ABS516"/>
      <c r="ABT516"/>
      <c r="ABU516"/>
      <c r="ABV516"/>
      <c r="ABW516"/>
      <c r="ABX516"/>
      <c r="ABY516"/>
      <c r="ABZ516"/>
      <c r="ACA516"/>
      <c r="ACB516"/>
      <c r="ACC516"/>
      <c r="ACD516"/>
      <c r="ACE516"/>
      <c r="ACF516"/>
      <c r="ACG516"/>
      <c r="ACH516"/>
      <c r="ACI516"/>
      <c r="ACJ516"/>
      <c r="ACK516"/>
      <c r="ACL516"/>
      <c r="ACM516"/>
      <c r="ACN516"/>
      <c r="ACO516"/>
      <c r="ACP516"/>
      <c r="ACQ516"/>
      <c r="ACR516"/>
      <c r="ACS516"/>
      <c r="ACT516"/>
      <c r="ACU516"/>
      <c r="ACV516"/>
      <c r="ACW516"/>
      <c r="ACX516"/>
      <c r="ACY516"/>
      <c r="ACZ516"/>
      <c r="ADA516"/>
      <c r="ADB516"/>
      <c r="ADC516"/>
      <c r="ADD516"/>
      <c r="ADE516"/>
      <c r="ADF516"/>
      <c r="ADG516"/>
      <c r="ADH516"/>
      <c r="ADI516"/>
      <c r="ADJ516"/>
      <c r="ADK516"/>
      <c r="ADL516"/>
      <c r="ADM516"/>
      <c r="ADN516"/>
      <c r="ADO516"/>
      <c r="ADP516"/>
      <c r="ADQ516"/>
      <c r="ADR516"/>
      <c r="ADS516"/>
      <c r="ADT516"/>
      <c r="ADU516"/>
      <c r="ADV516"/>
      <c r="ADW516"/>
      <c r="ADX516"/>
      <c r="ADY516"/>
      <c r="ADZ516"/>
      <c r="AEA516"/>
      <c r="AEB516"/>
      <c r="AEC516"/>
      <c r="AED516"/>
      <c r="AEE516"/>
      <c r="AEF516"/>
      <c r="AEG516"/>
      <c r="AEH516"/>
      <c r="AEI516"/>
      <c r="AEJ516"/>
      <c r="AEK516"/>
      <c r="AEL516"/>
      <c r="AEM516"/>
      <c r="AEN516"/>
      <c r="AEO516"/>
      <c r="AEP516"/>
      <c r="AEQ516"/>
      <c r="AER516"/>
      <c r="AES516"/>
      <c r="AET516"/>
      <c r="AEU516"/>
      <c r="AEV516"/>
      <c r="AEW516"/>
      <c r="AEX516"/>
      <c r="AEY516"/>
      <c r="AEZ516"/>
      <c r="AFA516"/>
      <c r="AFB516"/>
      <c r="AFC516"/>
      <c r="AFD516"/>
      <c r="AFE516"/>
      <c r="AFF516"/>
      <c r="AFG516"/>
      <c r="AFH516"/>
      <c r="AFI516"/>
      <c r="AFJ516"/>
      <c r="AFK516"/>
      <c r="AFL516"/>
      <c r="AFM516"/>
      <c r="AFN516"/>
      <c r="AFO516"/>
      <c r="AFP516"/>
      <c r="AFQ516"/>
      <c r="AFR516"/>
      <c r="AFS516"/>
      <c r="AFT516"/>
      <c r="AFU516"/>
      <c r="AFV516"/>
      <c r="AFW516"/>
      <c r="AFX516"/>
      <c r="AFY516"/>
      <c r="AFZ516"/>
      <c r="AGA516"/>
      <c r="AGB516"/>
      <c r="AGC516"/>
      <c r="AGD516"/>
      <c r="AGE516"/>
      <c r="AGF516"/>
      <c r="AGG516"/>
      <c r="AGH516"/>
      <c r="AGI516"/>
      <c r="AGJ516"/>
      <c r="AGK516"/>
      <c r="AGL516"/>
      <c r="AGM516"/>
      <c r="AGN516"/>
      <c r="AGO516"/>
      <c r="AGP516"/>
      <c r="AGQ516"/>
      <c r="AGR516"/>
      <c r="AGS516"/>
      <c r="AGT516"/>
      <c r="AGU516"/>
    </row>
    <row r="517" spans="1:879" x14ac:dyDescent="0.2">
      <c r="A517" s="134">
        <v>45365</v>
      </c>
      <c r="B517" s="135">
        <f>YEAR(source[[#This Row],[report_date]])</f>
        <v>2024</v>
      </c>
      <c r="C517" s="136">
        <v>3</v>
      </c>
      <c r="D517" s="136">
        <f t="shared" si="39"/>
        <v>11</v>
      </c>
      <c r="E517" s="136">
        <f t="shared" si="40"/>
        <v>14</v>
      </c>
      <c r="F517" s="128" t="s">
        <v>56</v>
      </c>
      <c r="G517" s="128">
        <f>VLOOKUP(source[[#This Row],[lending_product_transform]],[3]Mapping!$B$4:$C$37,2,0)</f>
        <v>0</v>
      </c>
      <c r="H517" s="128">
        <f>VLOOKUP(source[[#This Row],[lending_product_transform]],[3]Mapping!$B$3:$D$37,3,0)</f>
        <v>0</v>
      </c>
      <c r="I517" s="135">
        <v>6218278677</v>
      </c>
      <c r="K517" s="550" t="s">
        <v>60</v>
      </c>
      <c r="L517" s="477">
        <v>936000000</v>
      </c>
      <c r="M517" s="477">
        <v>619000000</v>
      </c>
      <c r="N517" s="477">
        <v>1342000000</v>
      </c>
      <c r="O517" s="477">
        <v>950000000</v>
      </c>
      <c r="P517" s="477">
        <v>80000000</v>
      </c>
      <c r="Q517" s="477">
        <v>3927000000</v>
      </c>
      <c r="R517" s="477">
        <v>3927000000</v>
      </c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/>
      <c r="MI517"/>
      <c r="MJ517"/>
      <c r="MK517"/>
      <c r="ML517"/>
      <c r="MM517"/>
      <c r="MN517"/>
      <c r="MO517"/>
      <c r="MP517"/>
      <c r="MQ517"/>
      <c r="MR517"/>
      <c r="MS517"/>
      <c r="MT517"/>
      <c r="MU517"/>
      <c r="MV517"/>
      <c r="MW517"/>
      <c r="MX517"/>
      <c r="MY517"/>
      <c r="MZ517"/>
      <c r="NA517"/>
      <c r="NB517"/>
      <c r="NC517"/>
      <c r="ND517"/>
      <c r="NE517"/>
      <c r="NF517"/>
      <c r="NG517"/>
      <c r="NH517"/>
      <c r="NI517"/>
      <c r="NJ517"/>
      <c r="NK517"/>
      <c r="NL517"/>
      <c r="NM517"/>
      <c r="NN517"/>
      <c r="NO517"/>
      <c r="NP517"/>
      <c r="NQ517"/>
      <c r="NR517"/>
      <c r="NS517"/>
      <c r="NT517"/>
      <c r="NU517"/>
      <c r="NV517"/>
      <c r="NW517"/>
      <c r="NX517"/>
      <c r="NY517"/>
      <c r="NZ517"/>
      <c r="OA517"/>
      <c r="OB517"/>
      <c r="OC517"/>
      <c r="OD517"/>
      <c r="OE517"/>
      <c r="OF517"/>
      <c r="OG517"/>
      <c r="OH517"/>
      <c r="OI517"/>
      <c r="OJ517"/>
      <c r="OK517"/>
      <c r="OL517"/>
      <c r="OM517"/>
      <c r="ON517"/>
      <c r="OO517"/>
      <c r="OP517"/>
      <c r="OQ517"/>
      <c r="OR517"/>
      <c r="OS517"/>
      <c r="OT517"/>
      <c r="OU517"/>
      <c r="OV517"/>
      <c r="OW517"/>
      <c r="OX517"/>
      <c r="OY517"/>
      <c r="OZ517"/>
      <c r="PA517"/>
      <c r="PB517"/>
      <c r="PC517"/>
      <c r="PD517"/>
      <c r="PE517"/>
      <c r="PF517"/>
      <c r="PG517"/>
      <c r="PH517"/>
      <c r="PI517"/>
      <c r="PJ517"/>
      <c r="PK517"/>
      <c r="PL517"/>
      <c r="PM517"/>
      <c r="PN517"/>
      <c r="PO517"/>
      <c r="PP517"/>
      <c r="PQ517"/>
      <c r="PR517"/>
      <c r="PS517"/>
      <c r="PT517"/>
      <c r="PU517"/>
      <c r="PV517"/>
      <c r="PW517"/>
      <c r="PX517"/>
      <c r="PY517"/>
      <c r="PZ517"/>
      <c r="QA517"/>
      <c r="QB517"/>
      <c r="QC517"/>
      <c r="QD517"/>
      <c r="QE517"/>
      <c r="QF517"/>
      <c r="QG517"/>
      <c r="QH517"/>
      <c r="QI517"/>
      <c r="QJ517"/>
      <c r="QK517"/>
      <c r="QL517"/>
      <c r="QM517"/>
      <c r="QN517"/>
      <c r="QO517"/>
      <c r="QP517"/>
      <c r="QQ517"/>
      <c r="QR517"/>
      <c r="QS517"/>
      <c r="QT517"/>
      <c r="QU517"/>
      <c r="QV517"/>
      <c r="QW517"/>
      <c r="QX517"/>
      <c r="QY517"/>
      <c r="QZ517"/>
      <c r="RA517"/>
      <c r="RB517"/>
      <c r="RC517"/>
      <c r="RD517"/>
      <c r="RE517"/>
      <c r="RF517"/>
      <c r="RG517"/>
      <c r="RH517"/>
      <c r="RI517"/>
      <c r="RJ517"/>
      <c r="RK517"/>
      <c r="RL517"/>
      <c r="RM517"/>
      <c r="RN517"/>
      <c r="RO517"/>
      <c r="RP517"/>
      <c r="RQ517"/>
      <c r="RR517"/>
      <c r="RS517"/>
      <c r="RT517"/>
      <c r="RU517"/>
      <c r="RV517"/>
      <c r="RW517"/>
      <c r="RX517"/>
      <c r="RY517"/>
      <c r="RZ517"/>
      <c r="SA517"/>
      <c r="SB517"/>
      <c r="SC517"/>
      <c r="SD517"/>
      <c r="SE517"/>
      <c r="SF517"/>
      <c r="SG517"/>
      <c r="SH517"/>
      <c r="SI517"/>
      <c r="SJ517"/>
      <c r="SK517"/>
      <c r="SL517"/>
      <c r="SM517"/>
      <c r="SN517"/>
      <c r="SO517"/>
      <c r="SP517"/>
      <c r="SQ517"/>
      <c r="SR517"/>
      <c r="SS517"/>
      <c r="ST517"/>
      <c r="SU517"/>
      <c r="SV517"/>
      <c r="SW517"/>
      <c r="SX517"/>
      <c r="SY517"/>
      <c r="SZ517"/>
      <c r="TA517"/>
      <c r="TB517"/>
      <c r="TC517"/>
      <c r="TD517"/>
      <c r="TE517"/>
      <c r="TF517"/>
      <c r="TG517"/>
      <c r="TH517"/>
      <c r="TI517"/>
      <c r="TJ517"/>
      <c r="TK517"/>
      <c r="TL517"/>
      <c r="TM517"/>
      <c r="TN517"/>
      <c r="TO517"/>
      <c r="TP517"/>
      <c r="TQ517"/>
      <c r="TR517"/>
      <c r="TS517"/>
      <c r="TT517"/>
      <c r="TU517"/>
      <c r="TV517"/>
      <c r="TW517"/>
      <c r="TX517"/>
      <c r="TY517"/>
      <c r="TZ517"/>
      <c r="UA517"/>
      <c r="UB517"/>
      <c r="UC517"/>
      <c r="UD517"/>
      <c r="UE517"/>
      <c r="UF517"/>
      <c r="UG517"/>
      <c r="UH517"/>
      <c r="UI517"/>
      <c r="UJ517"/>
      <c r="UK517"/>
      <c r="UL517"/>
      <c r="UM517"/>
      <c r="UN517"/>
      <c r="UO517"/>
      <c r="UP517"/>
      <c r="UQ517"/>
      <c r="UR517"/>
      <c r="US517"/>
      <c r="UT517"/>
      <c r="UU517"/>
      <c r="UV517"/>
      <c r="UW517"/>
      <c r="UX517"/>
      <c r="UY517"/>
      <c r="UZ517"/>
      <c r="VA517"/>
      <c r="VB517"/>
      <c r="VC517"/>
      <c r="VD517"/>
      <c r="VE517"/>
      <c r="VF517"/>
      <c r="VG517"/>
      <c r="VH517"/>
      <c r="VI517"/>
      <c r="VJ517"/>
      <c r="VK517"/>
      <c r="VL517"/>
      <c r="VM517"/>
      <c r="VN517"/>
      <c r="VO517"/>
      <c r="VP517"/>
      <c r="VQ517"/>
      <c r="VR517"/>
      <c r="VS517"/>
      <c r="VT517"/>
      <c r="VU517"/>
      <c r="VV517"/>
      <c r="VW517"/>
      <c r="VX517"/>
      <c r="VY517"/>
      <c r="VZ517"/>
      <c r="WA517"/>
      <c r="WB517"/>
      <c r="WC517"/>
      <c r="WD517"/>
      <c r="WE517"/>
      <c r="WF517"/>
      <c r="WG517"/>
      <c r="WH517"/>
      <c r="WI517"/>
      <c r="WJ517"/>
      <c r="WK517"/>
      <c r="WL517"/>
      <c r="WM517"/>
      <c r="WN517"/>
      <c r="WO517"/>
      <c r="WP517"/>
      <c r="WQ517"/>
      <c r="WR517"/>
      <c r="WS517"/>
      <c r="WT517"/>
      <c r="WU517"/>
      <c r="WV517"/>
      <c r="WW517"/>
      <c r="WX517"/>
      <c r="WY517"/>
      <c r="WZ517"/>
      <c r="XA517"/>
      <c r="XB517"/>
      <c r="XC517"/>
      <c r="XD517"/>
      <c r="XE517"/>
      <c r="XF517"/>
      <c r="XG517"/>
      <c r="XH517"/>
      <c r="XI517"/>
      <c r="XJ517"/>
      <c r="XK517"/>
      <c r="XL517"/>
      <c r="XM517"/>
      <c r="XN517"/>
      <c r="XO517"/>
      <c r="XP517"/>
      <c r="XQ517"/>
      <c r="XR517"/>
      <c r="XS517"/>
      <c r="XT517"/>
      <c r="XU517"/>
      <c r="XV517"/>
      <c r="XW517"/>
      <c r="XX517"/>
      <c r="XY517"/>
      <c r="XZ517"/>
      <c r="YA517"/>
      <c r="YB517"/>
      <c r="YC517"/>
      <c r="YD517"/>
      <c r="YE517"/>
      <c r="YF517"/>
      <c r="YG517"/>
      <c r="YH517"/>
      <c r="YI517"/>
      <c r="YJ517"/>
      <c r="YK517"/>
      <c r="YL517"/>
      <c r="YM517"/>
      <c r="YN517"/>
      <c r="YO517"/>
      <c r="YP517"/>
      <c r="YQ517"/>
      <c r="YR517"/>
      <c r="YS517"/>
      <c r="YT517"/>
      <c r="YU517"/>
      <c r="YV517"/>
      <c r="YW517"/>
      <c r="YX517"/>
      <c r="YY517"/>
      <c r="YZ517"/>
      <c r="ZA517"/>
      <c r="ZB517"/>
      <c r="ZC517"/>
      <c r="ZD517"/>
      <c r="ZE517"/>
      <c r="ZF517"/>
      <c r="ZG517"/>
      <c r="ZH517"/>
      <c r="ZI517"/>
      <c r="ZJ517"/>
      <c r="ZK517"/>
      <c r="ZL517"/>
      <c r="ZM517"/>
      <c r="ZN517"/>
      <c r="ZO517"/>
      <c r="ZP517"/>
      <c r="ZQ517"/>
      <c r="ZR517"/>
      <c r="ZS517"/>
      <c r="ZT517"/>
      <c r="ZU517"/>
      <c r="ZV517"/>
      <c r="ZW517"/>
      <c r="ZX517"/>
      <c r="ZY517"/>
      <c r="ZZ517"/>
      <c r="AAA517"/>
      <c r="AAB517"/>
      <c r="AAC517"/>
      <c r="AAD517"/>
      <c r="AAE517"/>
      <c r="AAF517"/>
      <c r="AAG517"/>
      <c r="AAH517"/>
      <c r="AAI517"/>
      <c r="AAJ517"/>
      <c r="AAK517"/>
      <c r="AAL517"/>
      <c r="AAM517"/>
      <c r="AAN517"/>
      <c r="AAO517"/>
      <c r="AAP517"/>
      <c r="AAQ517"/>
      <c r="AAR517"/>
      <c r="AAS517"/>
      <c r="AAT517"/>
      <c r="AAU517"/>
      <c r="AAV517"/>
      <c r="AAW517"/>
      <c r="AAX517"/>
      <c r="AAY517"/>
      <c r="AAZ517"/>
      <c r="ABA517"/>
      <c r="ABB517"/>
      <c r="ABC517"/>
      <c r="ABD517"/>
      <c r="ABE517"/>
      <c r="ABF517"/>
      <c r="ABG517"/>
      <c r="ABH517"/>
      <c r="ABI517"/>
      <c r="ABJ517"/>
      <c r="ABK517"/>
      <c r="ABL517"/>
      <c r="ABM517"/>
      <c r="ABN517"/>
      <c r="ABO517"/>
      <c r="ABP517"/>
      <c r="ABQ517"/>
      <c r="ABR517"/>
      <c r="ABS517"/>
      <c r="ABT517"/>
      <c r="ABU517"/>
      <c r="ABV517"/>
      <c r="ABW517"/>
      <c r="ABX517"/>
      <c r="ABY517"/>
      <c r="ABZ517"/>
      <c r="ACA517"/>
      <c r="ACB517"/>
      <c r="ACC517"/>
      <c r="ACD517"/>
      <c r="ACE517"/>
      <c r="ACF517"/>
      <c r="ACG517"/>
      <c r="ACH517"/>
      <c r="ACI517"/>
      <c r="ACJ517"/>
      <c r="ACK517"/>
      <c r="ACL517"/>
      <c r="ACM517"/>
      <c r="ACN517"/>
      <c r="ACO517"/>
      <c r="ACP517"/>
      <c r="ACQ517"/>
      <c r="ACR517"/>
      <c r="ACS517"/>
      <c r="ACT517"/>
      <c r="ACU517"/>
      <c r="ACV517"/>
      <c r="ACW517"/>
      <c r="ACX517"/>
      <c r="ACY517"/>
      <c r="ACZ517"/>
      <c r="ADA517"/>
      <c r="ADB517"/>
      <c r="ADC517"/>
      <c r="ADD517"/>
      <c r="ADE517"/>
      <c r="ADF517"/>
      <c r="ADG517"/>
      <c r="ADH517"/>
      <c r="ADI517"/>
      <c r="ADJ517"/>
      <c r="ADK517"/>
      <c r="ADL517"/>
      <c r="ADM517"/>
      <c r="ADN517"/>
      <c r="ADO517"/>
      <c r="ADP517"/>
      <c r="ADQ517"/>
      <c r="ADR517"/>
      <c r="ADS517"/>
      <c r="ADT517"/>
      <c r="ADU517"/>
      <c r="ADV517"/>
      <c r="ADW517"/>
      <c r="ADX517"/>
      <c r="ADY517"/>
      <c r="ADZ517"/>
      <c r="AEA517"/>
      <c r="AEB517"/>
      <c r="AEC517"/>
      <c r="AED517"/>
      <c r="AEE517"/>
      <c r="AEF517"/>
      <c r="AEG517"/>
      <c r="AEH517"/>
      <c r="AEI517"/>
      <c r="AEJ517"/>
      <c r="AEK517"/>
      <c r="AEL517"/>
      <c r="AEM517"/>
      <c r="AEN517"/>
      <c r="AEO517"/>
      <c r="AEP517"/>
      <c r="AEQ517"/>
      <c r="AER517"/>
      <c r="AES517"/>
      <c r="AET517"/>
      <c r="AEU517"/>
      <c r="AEV517"/>
      <c r="AEW517"/>
      <c r="AEX517"/>
      <c r="AEY517"/>
      <c r="AEZ517"/>
      <c r="AFA517"/>
      <c r="AFB517"/>
      <c r="AFC517"/>
      <c r="AFD517"/>
      <c r="AFE517"/>
      <c r="AFF517"/>
      <c r="AFG517"/>
      <c r="AFH517"/>
      <c r="AFI517"/>
      <c r="AFJ517"/>
      <c r="AFK517"/>
      <c r="AFL517"/>
      <c r="AFM517"/>
      <c r="AFN517"/>
      <c r="AFO517"/>
      <c r="AFP517"/>
      <c r="AFQ517"/>
      <c r="AFR517"/>
      <c r="AFS517"/>
      <c r="AFT517"/>
      <c r="AFU517"/>
      <c r="AFV517"/>
      <c r="AFW517"/>
      <c r="AFX517"/>
      <c r="AFY517"/>
      <c r="AFZ517"/>
      <c r="AGA517"/>
      <c r="AGB517"/>
      <c r="AGC517"/>
      <c r="AGD517"/>
      <c r="AGE517"/>
      <c r="AGF517"/>
      <c r="AGG517"/>
      <c r="AGH517"/>
      <c r="AGI517"/>
      <c r="AGJ517"/>
      <c r="AGK517"/>
      <c r="AGL517"/>
      <c r="AGM517"/>
      <c r="AGN517"/>
      <c r="AGO517"/>
      <c r="AGP517"/>
      <c r="AGQ517"/>
      <c r="AGR517"/>
      <c r="AGS517"/>
      <c r="AGT517"/>
      <c r="AGU517"/>
    </row>
    <row r="518" spans="1:879" x14ac:dyDescent="0.2">
      <c r="A518" s="134">
        <v>45365</v>
      </c>
      <c r="B518" s="135">
        <f>YEAR(source[[#This Row],[report_date]])</f>
        <v>2024</v>
      </c>
      <c r="C518" s="136">
        <v>3</v>
      </c>
      <c r="D518" s="136">
        <f t="shared" si="39"/>
        <v>11</v>
      </c>
      <c r="E518" s="136">
        <f t="shared" si="40"/>
        <v>14</v>
      </c>
      <c r="F518" s="128" t="s">
        <v>58</v>
      </c>
      <c r="G518" s="128" t="str">
        <f>VLOOKUP(source[[#This Row],[lending_product_transform]],[3]Mapping!$B$4:$C$37,2,0)</f>
        <v>[VDS] - Payroll Cashloan</v>
      </c>
      <c r="H518" s="128" t="str">
        <f>VLOOKUP(source[[#This Row],[lending_product_transform]],[3]Mapping!$B$3:$D$37,3,0)</f>
        <v>cashloan</v>
      </c>
      <c r="I518" s="135">
        <v>21000000</v>
      </c>
      <c r="K518" s="550" t="s">
        <v>36</v>
      </c>
      <c r="L518" s="477">
        <v>146560220000</v>
      </c>
      <c r="M518" s="477">
        <v>92170750000</v>
      </c>
      <c r="N518" s="477">
        <v>75782050000</v>
      </c>
      <c r="O518" s="477">
        <v>78700820000</v>
      </c>
      <c r="P518" s="477">
        <v>28188440000</v>
      </c>
      <c r="Q518" s="477">
        <v>421402280000</v>
      </c>
      <c r="R518" s="477">
        <v>421402280000</v>
      </c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/>
      <c r="KO518"/>
      <c r="KP518"/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  <c r="LK518"/>
      <c r="LL518"/>
      <c r="LM518"/>
      <c r="LN518"/>
      <c r="LO518"/>
      <c r="LP518"/>
      <c r="LQ518"/>
      <c r="LR518"/>
      <c r="LS518"/>
      <c r="LT518"/>
      <c r="LU518"/>
      <c r="LV518"/>
      <c r="LW518"/>
      <c r="LX518"/>
      <c r="LY518"/>
      <c r="LZ518"/>
      <c r="MA518"/>
      <c r="MB518"/>
      <c r="MC518"/>
      <c r="MD518"/>
      <c r="ME518"/>
      <c r="MF518"/>
      <c r="MG518"/>
      <c r="MH518"/>
      <c r="MI518"/>
      <c r="MJ518"/>
      <c r="MK518"/>
      <c r="ML518"/>
      <c r="MM518"/>
      <c r="MN518"/>
      <c r="MO518"/>
      <c r="MP518"/>
      <c r="MQ518"/>
      <c r="MR518"/>
      <c r="MS518"/>
      <c r="MT518"/>
      <c r="MU518"/>
      <c r="MV518"/>
      <c r="MW518"/>
      <c r="MX518"/>
      <c r="MY518"/>
      <c r="MZ518"/>
      <c r="NA518"/>
      <c r="NB518"/>
      <c r="NC518"/>
      <c r="ND518"/>
      <c r="NE518"/>
      <c r="NF518"/>
      <c r="NG518"/>
      <c r="NH518"/>
      <c r="NI518"/>
      <c r="NJ518"/>
      <c r="NK518"/>
      <c r="NL518"/>
      <c r="NM518"/>
      <c r="NN518"/>
      <c r="NO518"/>
      <c r="NP518"/>
      <c r="NQ518"/>
      <c r="NR518"/>
      <c r="NS518"/>
      <c r="NT518"/>
      <c r="NU518"/>
      <c r="NV518"/>
      <c r="NW518"/>
      <c r="NX518"/>
      <c r="NY518"/>
      <c r="NZ518"/>
      <c r="OA518"/>
      <c r="OB518"/>
      <c r="OC518"/>
      <c r="OD518"/>
      <c r="OE518"/>
      <c r="OF518"/>
      <c r="OG518"/>
      <c r="OH518"/>
      <c r="OI518"/>
      <c r="OJ518"/>
      <c r="OK518"/>
      <c r="OL518"/>
      <c r="OM518"/>
      <c r="ON518"/>
      <c r="OO518"/>
      <c r="OP518"/>
      <c r="OQ518"/>
      <c r="OR518"/>
      <c r="OS518"/>
      <c r="OT518"/>
      <c r="OU518"/>
      <c r="OV518"/>
      <c r="OW518"/>
      <c r="OX518"/>
      <c r="OY518"/>
      <c r="OZ518"/>
      <c r="PA518"/>
      <c r="PB518"/>
      <c r="PC518"/>
      <c r="PD518"/>
      <c r="PE518"/>
      <c r="PF518"/>
      <c r="PG518"/>
      <c r="PH518"/>
      <c r="PI518"/>
      <c r="PJ518"/>
      <c r="PK518"/>
      <c r="PL518"/>
      <c r="PM518"/>
      <c r="PN518"/>
      <c r="PO518"/>
      <c r="PP518"/>
      <c r="PQ518"/>
      <c r="PR518"/>
      <c r="PS518"/>
      <c r="PT518"/>
      <c r="PU518"/>
      <c r="PV518"/>
      <c r="PW518"/>
      <c r="PX518"/>
      <c r="PY518"/>
      <c r="PZ518"/>
      <c r="QA518"/>
      <c r="QB518"/>
      <c r="QC518"/>
      <c r="QD518"/>
      <c r="QE518"/>
      <c r="QF518"/>
      <c r="QG518"/>
      <c r="QH518"/>
      <c r="QI518"/>
      <c r="QJ518"/>
      <c r="QK518"/>
      <c r="QL518"/>
      <c r="QM518"/>
      <c r="QN518"/>
      <c r="QO518"/>
      <c r="QP518"/>
      <c r="QQ518"/>
      <c r="QR518"/>
      <c r="QS518"/>
      <c r="QT518"/>
      <c r="QU518"/>
      <c r="QV518"/>
      <c r="QW518"/>
      <c r="QX518"/>
      <c r="QY518"/>
      <c r="QZ518"/>
      <c r="RA518"/>
      <c r="RB518"/>
      <c r="RC518"/>
      <c r="RD518"/>
      <c r="RE518"/>
      <c r="RF518"/>
      <c r="RG518"/>
      <c r="RH518"/>
      <c r="RI518"/>
      <c r="RJ518"/>
      <c r="RK518"/>
      <c r="RL518"/>
      <c r="RM518"/>
      <c r="RN518"/>
      <c r="RO518"/>
      <c r="RP518"/>
      <c r="RQ518"/>
      <c r="RR518"/>
      <c r="RS518"/>
      <c r="RT518"/>
      <c r="RU518"/>
      <c r="RV518"/>
      <c r="RW518"/>
      <c r="RX518"/>
      <c r="RY518"/>
      <c r="RZ518"/>
      <c r="SA518"/>
      <c r="SB518"/>
      <c r="SC518"/>
      <c r="SD518"/>
      <c r="SE518"/>
      <c r="SF518"/>
      <c r="SG518"/>
      <c r="SH518"/>
      <c r="SI518"/>
      <c r="SJ518"/>
      <c r="SK518"/>
      <c r="SL518"/>
      <c r="SM518"/>
      <c r="SN518"/>
      <c r="SO518"/>
      <c r="SP518"/>
      <c r="SQ518"/>
      <c r="SR518"/>
      <c r="SS518"/>
      <c r="ST518"/>
      <c r="SU518"/>
      <c r="SV518"/>
      <c r="SW518"/>
      <c r="SX518"/>
      <c r="SY518"/>
      <c r="SZ518"/>
      <c r="TA518"/>
      <c r="TB518"/>
      <c r="TC518"/>
      <c r="TD518"/>
      <c r="TE518"/>
      <c r="TF518"/>
      <c r="TG518"/>
      <c r="TH518"/>
      <c r="TI518"/>
      <c r="TJ518"/>
      <c r="TK518"/>
      <c r="TL518"/>
      <c r="TM518"/>
      <c r="TN518"/>
      <c r="TO518"/>
      <c r="TP518"/>
      <c r="TQ518"/>
      <c r="TR518"/>
      <c r="TS518"/>
      <c r="TT518"/>
      <c r="TU518"/>
      <c r="TV518"/>
      <c r="TW518"/>
      <c r="TX518"/>
      <c r="TY518"/>
      <c r="TZ518"/>
      <c r="UA518"/>
      <c r="UB518"/>
      <c r="UC518"/>
      <c r="UD518"/>
      <c r="UE518"/>
      <c r="UF518"/>
      <c r="UG518"/>
      <c r="UH518"/>
      <c r="UI518"/>
      <c r="UJ518"/>
      <c r="UK518"/>
      <c r="UL518"/>
      <c r="UM518"/>
      <c r="UN518"/>
      <c r="UO518"/>
      <c r="UP518"/>
      <c r="UQ518"/>
      <c r="UR518"/>
      <c r="US518"/>
      <c r="UT518"/>
      <c r="UU518"/>
      <c r="UV518"/>
      <c r="UW518"/>
      <c r="UX518"/>
      <c r="UY518"/>
      <c r="UZ518"/>
      <c r="VA518"/>
      <c r="VB518"/>
      <c r="VC518"/>
      <c r="VD518"/>
      <c r="VE518"/>
      <c r="VF518"/>
      <c r="VG518"/>
      <c r="VH518"/>
      <c r="VI518"/>
      <c r="VJ518"/>
      <c r="VK518"/>
      <c r="VL518"/>
      <c r="VM518"/>
      <c r="VN518"/>
      <c r="VO518"/>
      <c r="VP518"/>
      <c r="VQ518"/>
      <c r="VR518"/>
      <c r="VS518"/>
      <c r="VT518"/>
      <c r="VU518"/>
      <c r="VV518"/>
      <c r="VW518"/>
      <c r="VX518"/>
      <c r="VY518"/>
      <c r="VZ518"/>
      <c r="WA518"/>
      <c r="WB518"/>
      <c r="WC518"/>
      <c r="WD518"/>
      <c r="WE518"/>
      <c r="WF518"/>
      <c r="WG518"/>
      <c r="WH518"/>
      <c r="WI518"/>
      <c r="WJ518"/>
      <c r="WK518"/>
      <c r="WL518"/>
      <c r="WM518"/>
      <c r="WN518"/>
      <c r="WO518"/>
      <c r="WP518"/>
      <c r="WQ518"/>
      <c r="WR518"/>
      <c r="WS518"/>
      <c r="WT518"/>
      <c r="WU518"/>
      <c r="WV518"/>
      <c r="WW518"/>
      <c r="WX518"/>
      <c r="WY518"/>
      <c r="WZ518"/>
      <c r="XA518"/>
      <c r="XB518"/>
      <c r="XC518"/>
      <c r="XD518"/>
      <c r="XE518"/>
      <c r="XF518"/>
      <c r="XG518"/>
      <c r="XH518"/>
      <c r="XI518"/>
      <c r="XJ518"/>
      <c r="XK518"/>
      <c r="XL518"/>
      <c r="XM518"/>
      <c r="XN518"/>
      <c r="XO518"/>
      <c r="XP518"/>
      <c r="XQ518"/>
      <c r="XR518"/>
      <c r="XS518"/>
      <c r="XT518"/>
      <c r="XU518"/>
      <c r="XV518"/>
      <c r="XW518"/>
      <c r="XX518"/>
      <c r="XY518"/>
      <c r="XZ518"/>
      <c r="YA518"/>
      <c r="YB518"/>
      <c r="YC518"/>
      <c r="YD518"/>
      <c r="YE518"/>
      <c r="YF518"/>
      <c r="YG518"/>
      <c r="YH518"/>
      <c r="YI518"/>
      <c r="YJ518"/>
      <c r="YK518"/>
      <c r="YL518"/>
      <c r="YM518"/>
      <c r="YN518"/>
      <c r="YO518"/>
      <c r="YP518"/>
      <c r="YQ518"/>
      <c r="YR518"/>
      <c r="YS518"/>
      <c r="YT518"/>
      <c r="YU518"/>
      <c r="YV518"/>
      <c r="YW518"/>
      <c r="YX518"/>
      <c r="YY518"/>
      <c r="YZ518"/>
      <c r="ZA518"/>
      <c r="ZB518"/>
      <c r="ZC518"/>
      <c r="ZD518"/>
      <c r="ZE518"/>
      <c r="ZF518"/>
      <c r="ZG518"/>
      <c r="ZH518"/>
      <c r="ZI518"/>
      <c r="ZJ518"/>
      <c r="ZK518"/>
      <c r="ZL518"/>
      <c r="ZM518"/>
      <c r="ZN518"/>
      <c r="ZO518"/>
      <c r="ZP518"/>
      <c r="ZQ518"/>
      <c r="ZR518"/>
      <c r="ZS518"/>
      <c r="ZT518"/>
      <c r="ZU518"/>
      <c r="ZV518"/>
      <c r="ZW518"/>
      <c r="ZX518"/>
      <c r="ZY518"/>
      <c r="ZZ518"/>
      <c r="AAA518"/>
      <c r="AAB518"/>
      <c r="AAC518"/>
      <c r="AAD518"/>
      <c r="AAE518"/>
      <c r="AAF518"/>
      <c r="AAG518"/>
      <c r="AAH518"/>
      <c r="AAI518"/>
      <c r="AAJ518"/>
      <c r="AAK518"/>
      <c r="AAL518"/>
      <c r="AAM518"/>
      <c r="AAN518"/>
      <c r="AAO518"/>
      <c r="AAP518"/>
      <c r="AAQ518"/>
      <c r="AAR518"/>
      <c r="AAS518"/>
      <c r="AAT518"/>
      <c r="AAU518"/>
      <c r="AAV518"/>
      <c r="AAW518"/>
      <c r="AAX518"/>
      <c r="AAY518"/>
      <c r="AAZ518"/>
      <c r="ABA518"/>
      <c r="ABB518"/>
      <c r="ABC518"/>
      <c r="ABD518"/>
      <c r="ABE518"/>
      <c r="ABF518"/>
      <c r="ABG518"/>
      <c r="ABH518"/>
      <c r="ABI518"/>
      <c r="ABJ518"/>
      <c r="ABK518"/>
      <c r="ABL518"/>
      <c r="ABM518"/>
      <c r="ABN518"/>
      <c r="ABO518"/>
      <c r="ABP518"/>
      <c r="ABQ518"/>
      <c r="ABR518"/>
      <c r="ABS518"/>
      <c r="ABT518"/>
      <c r="ABU518"/>
      <c r="ABV518"/>
      <c r="ABW518"/>
      <c r="ABX518"/>
      <c r="ABY518"/>
      <c r="ABZ518"/>
      <c r="ACA518"/>
      <c r="ACB518"/>
      <c r="ACC518"/>
      <c r="ACD518"/>
      <c r="ACE518"/>
      <c r="ACF518"/>
      <c r="ACG518"/>
      <c r="ACH518"/>
      <c r="ACI518"/>
      <c r="ACJ518"/>
      <c r="ACK518"/>
      <c r="ACL518"/>
      <c r="ACM518"/>
      <c r="ACN518"/>
      <c r="ACO518"/>
      <c r="ACP518"/>
      <c r="ACQ518"/>
      <c r="ACR518"/>
      <c r="ACS518"/>
      <c r="ACT518"/>
      <c r="ACU518"/>
      <c r="ACV518"/>
      <c r="ACW518"/>
      <c r="ACX518"/>
      <c r="ACY518"/>
      <c r="ACZ518"/>
      <c r="ADA518"/>
      <c r="ADB518"/>
      <c r="ADC518"/>
      <c r="ADD518"/>
      <c r="ADE518"/>
      <c r="ADF518"/>
      <c r="ADG518"/>
      <c r="ADH518"/>
      <c r="ADI518"/>
      <c r="ADJ518"/>
      <c r="ADK518"/>
      <c r="ADL518"/>
      <c r="ADM518"/>
      <c r="ADN518"/>
      <c r="ADO518"/>
      <c r="ADP518"/>
      <c r="ADQ518"/>
      <c r="ADR518"/>
      <c r="ADS518"/>
      <c r="ADT518"/>
      <c r="ADU518"/>
      <c r="ADV518"/>
      <c r="ADW518"/>
      <c r="ADX518"/>
      <c r="ADY518"/>
      <c r="ADZ518"/>
      <c r="AEA518"/>
      <c r="AEB518"/>
      <c r="AEC518"/>
      <c r="AED518"/>
      <c r="AEE518"/>
      <c r="AEF518"/>
      <c r="AEG518"/>
      <c r="AEH518"/>
      <c r="AEI518"/>
      <c r="AEJ518"/>
      <c r="AEK518"/>
      <c r="AEL518"/>
      <c r="AEM518"/>
      <c r="AEN518"/>
      <c r="AEO518"/>
      <c r="AEP518"/>
      <c r="AEQ518"/>
      <c r="AER518"/>
      <c r="AES518"/>
      <c r="AET518"/>
      <c r="AEU518"/>
      <c r="AEV518"/>
      <c r="AEW518"/>
      <c r="AEX518"/>
      <c r="AEY518"/>
      <c r="AEZ518"/>
      <c r="AFA518"/>
      <c r="AFB518"/>
      <c r="AFC518"/>
      <c r="AFD518"/>
      <c r="AFE518"/>
      <c r="AFF518"/>
      <c r="AFG518"/>
      <c r="AFH518"/>
      <c r="AFI518"/>
      <c r="AFJ518"/>
      <c r="AFK518"/>
      <c r="AFL518"/>
      <c r="AFM518"/>
      <c r="AFN518"/>
      <c r="AFO518"/>
      <c r="AFP518"/>
      <c r="AFQ518"/>
      <c r="AFR518"/>
      <c r="AFS518"/>
      <c r="AFT518"/>
      <c r="AFU518"/>
      <c r="AFV518"/>
      <c r="AFW518"/>
      <c r="AFX518"/>
      <c r="AFY518"/>
      <c r="AFZ518"/>
      <c r="AGA518"/>
      <c r="AGB518"/>
      <c r="AGC518"/>
      <c r="AGD518"/>
      <c r="AGE518"/>
      <c r="AGF518"/>
      <c r="AGG518"/>
      <c r="AGH518"/>
      <c r="AGI518"/>
      <c r="AGJ518"/>
      <c r="AGK518"/>
      <c r="AGL518"/>
      <c r="AGM518"/>
      <c r="AGN518"/>
      <c r="AGO518"/>
      <c r="AGP518"/>
      <c r="AGQ518"/>
      <c r="AGR518"/>
      <c r="AGS518"/>
      <c r="AGT518"/>
      <c r="AGU518"/>
    </row>
    <row r="519" spans="1:879" x14ac:dyDescent="0.2">
      <c r="A519" s="134">
        <v>45365</v>
      </c>
      <c r="B519" s="135">
        <f>YEAR(source[[#This Row],[report_date]])</f>
        <v>2024</v>
      </c>
      <c r="C519" s="136">
        <v>3</v>
      </c>
      <c r="D519" s="136">
        <f t="shared" si="39"/>
        <v>11</v>
      </c>
      <c r="E519" s="136">
        <f t="shared" si="40"/>
        <v>14</v>
      </c>
      <c r="F519" s="128" t="s">
        <v>19</v>
      </c>
      <c r="G519" s="128" t="str">
        <f>VLOOKUP(source[[#This Row],[lending_product_transform]],[3]Mapping!$B$4:$C$37,2,0)</f>
        <v>[VDS] - Payday</v>
      </c>
      <c r="H519" s="128" t="str">
        <f>VLOOKUP(source[[#This Row],[lending_product_transform]],[3]Mapping!$B$3:$D$37,3,0)</f>
        <v>payday</v>
      </c>
      <c r="I519" s="135">
        <v>1935500000</v>
      </c>
      <c r="K519" s="550" t="s">
        <v>55</v>
      </c>
      <c r="L519" s="477">
        <v>28960540000</v>
      </c>
      <c r="M519" s="477">
        <v>27599750000</v>
      </c>
      <c r="N519" s="477">
        <v>28197400000</v>
      </c>
      <c r="O519" s="477">
        <v>25219010000</v>
      </c>
      <c r="P519" s="477">
        <v>9749620000</v>
      </c>
      <c r="Q519" s="477">
        <v>119726320000</v>
      </c>
      <c r="R519" s="477">
        <v>119726320000</v>
      </c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/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/>
      <c r="MI519"/>
      <c r="MJ519"/>
      <c r="MK519"/>
      <c r="ML519"/>
      <c r="MM519"/>
      <c r="MN519"/>
      <c r="MO519"/>
      <c r="MP519"/>
      <c r="MQ519"/>
      <c r="MR519"/>
      <c r="MS519"/>
      <c r="MT519"/>
      <c r="MU519"/>
      <c r="MV519"/>
      <c r="MW519"/>
      <c r="MX519"/>
      <c r="MY519"/>
      <c r="MZ519"/>
      <c r="NA519"/>
      <c r="NB519"/>
      <c r="NC519"/>
      <c r="ND519"/>
      <c r="NE519"/>
      <c r="NF519"/>
      <c r="NG519"/>
      <c r="NH519"/>
      <c r="NI519"/>
      <c r="NJ519"/>
      <c r="NK519"/>
      <c r="NL519"/>
      <c r="NM519"/>
      <c r="NN519"/>
      <c r="NO519"/>
      <c r="NP519"/>
      <c r="NQ519"/>
      <c r="NR519"/>
      <c r="NS519"/>
      <c r="NT519"/>
      <c r="NU519"/>
      <c r="NV519"/>
      <c r="NW519"/>
      <c r="NX519"/>
      <c r="NY519"/>
      <c r="NZ519"/>
      <c r="OA519"/>
      <c r="OB519"/>
      <c r="OC519"/>
      <c r="OD519"/>
      <c r="OE519"/>
      <c r="OF519"/>
      <c r="OG519"/>
      <c r="OH519"/>
      <c r="OI519"/>
      <c r="OJ519"/>
      <c r="OK519"/>
      <c r="OL519"/>
      <c r="OM519"/>
      <c r="ON519"/>
      <c r="OO519"/>
      <c r="OP519"/>
      <c r="OQ519"/>
      <c r="OR519"/>
      <c r="OS519"/>
      <c r="OT519"/>
      <c r="OU519"/>
      <c r="OV519"/>
      <c r="OW519"/>
      <c r="OX519"/>
      <c r="OY519"/>
      <c r="OZ519"/>
      <c r="PA519"/>
      <c r="PB519"/>
      <c r="PC519"/>
      <c r="PD519"/>
      <c r="PE519"/>
      <c r="PF519"/>
      <c r="PG519"/>
      <c r="PH519"/>
      <c r="PI519"/>
      <c r="PJ519"/>
      <c r="PK519"/>
      <c r="PL519"/>
      <c r="PM519"/>
      <c r="PN519"/>
      <c r="PO519"/>
      <c r="PP519"/>
      <c r="PQ519"/>
      <c r="PR519"/>
      <c r="PS519"/>
      <c r="PT519"/>
      <c r="PU519"/>
      <c r="PV519"/>
      <c r="PW519"/>
      <c r="PX519"/>
      <c r="PY519"/>
      <c r="PZ519"/>
      <c r="QA519"/>
      <c r="QB519"/>
      <c r="QC519"/>
      <c r="QD519"/>
      <c r="QE519"/>
      <c r="QF519"/>
      <c r="QG519"/>
      <c r="QH519"/>
      <c r="QI519"/>
      <c r="QJ519"/>
      <c r="QK519"/>
      <c r="QL519"/>
      <c r="QM519"/>
      <c r="QN519"/>
      <c r="QO519"/>
      <c r="QP519"/>
      <c r="QQ519"/>
      <c r="QR519"/>
      <c r="QS519"/>
      <c r="QT519"/>
      <c r="QU519"/>
      <c r="QV519"/>
      <c r="QW519"/>
      <c r="QX519"/>
      <c r="QY519"/>
      <c r="QZ519"/>
      <c r="RA519"/>
      <c r="RB519"/>
      <c r="RC519"/>
      <c r="RD519"/>
      <c r="RE519"/>
      <c r="RF519"/>
      <c r="RG519"/>
      <c r="RH519"/>
      <c r="RI519"/>
      <c r="RJ519"/>
      <c r="RK519"/>
      <c r="RL519"/>
      <c r="RM519"/>
      <c r="RN519"/>
      <c r="RO519"/>
      <c r="RP519"/>
      <c r="RQ519"/>
      <c r="RR519"/>
      <c r="RS519"/>
      <c r="RT519"/>
      <c r="RU519"/>
      <c r="RV519"/>
      <c r="RW519"/>
      <c r="RX519"/>
      <c r="RY519"/>
      <c r="RZ519"/>
      <c r="SA519"/>
      <c r="SB519"/>
      <c r="SC519"/>
      <c r="SD519"/>
      <c r="SE519"/>
      <c r="SF519"/>
      <c r="SG519"/>
      <c r="SH519"/>
      <c r="SI519"/>
      <c r="SJ519"/>
      <c r="SK519"/>
      <c r="SL519"/>
      <c r="SM519"/>
      <c r="SN519"/>
      <c r="SO519"/>
      <c r="SP519"/>
      <c r="SQ519"/>
      <c r="SR519"/>
      <c r="SS519"/>
      <c r="ST519"/>
      <c r="SU519"/>
      <c r="SV519"/>
      <c r="SW519"/>
      <c r="SX519"/>
      <c r="SY519"/>
      <c r="SZ519"/>
      <c r="TA519"/>
      <c r="TB519"/>
      <c r="TC519"/>
      <c r="TD519"/>
      <c r="TE519"/>
      <c r="TF519"/>
      <c r="TG519"/>
      <c r="TH519"/>
      <c r="TI519"/>
      <c r="TJ519"/>
      <c r="TK519"/>
      <c r="TL519"/>
      <c r="TM519"/>
      <c r="TN519"/>
      <c r="TO519"/>
      <c r="TP519"/>
      <c r="TQ519"/>
      <c r="TR519"/>
      <c r="TS519"/>
      <c r="TT519"/>
      <c r="TU519"/>
      <c r="TV519"/>
      <c r="TW519"/>
      <c r="TX519"/>
      <c r="TY519"/>
      <c r="TZ519"/>
      <c r="UA519"/>
      <c r="UB519"/>
      <c r="UC519"/>
      <c r="UD519"/>
      <c r="UE519"/>
      <c r="UF519"/>
      <c r="UG519"/>
      <c r="UH519"/>
      <c r="UI519"/>
      <c r="UJ519"/>
      <c r="UK519"/>
      <c r="UL519"/>
      <c r="UM519"/>
      <c r="UN519"/>
      <c r="UO519"/>
      <c r="UP519"/>
      <c r="UQ519"/>
      <c r="UR519"/>
      <c r="US519"/>
      <c r="UT519"/>
      <c r="UU519"/>
      <c r="UV519"/>
      <c r="UW519"/>
      <c r="UX519"/>
      <c r="UY519"/>
      <c r="UZ519"/>
      <c r="VA519"/>
      <c r="VB519"/>
      <c r="VC519"/>
      <c r="VD519"/>
      <c r="VE519"/>
      <c r="VF519"/>
      <c r="VG519"/>
      <c r="VH519"/>
      <c r="VI519"/>
      <c r="VJ519"/>
      <c r="VK519"/>
      <c r="VL519"/>
      <c r="VM519"/>
      <c r="VN519"/>
      <c r="VO519"/>
      <c r="VP519"/>
      <c r="VQ519"/>
      <c r="VR519"/>
      <c r="VS519"/>
      <c r="VT519"/>
      <c r="VU519"/>
      <c r="VV519"/>
      <c r="VW519"/>
      <c r="VX519"/>
      <c r="VY519"/>
      <c r="VZ519"/>
      <c r="WA519"/>
      <c r="WB519"/>
      <c r="WC519"/>
      <c r="WD519"/>
      <c r="WE519"/>
      <c r="WF519"/>
      <c r="WG519"/>
      <c r="WH519"/>
      <c r="WI519"/>
      <c r="WJ519"/>
      <c r="WK519"/>
      <c r="WL519"/>
      <c r="WM519"/>
      <c r="WN519"/>
      <c r="WO519"/>
      <c r="WP519"/>
      <c r="WQ519"/>
      <c r="WR519"/>
      <c r="WS519"/>
      <c r="WT519"/>
      <c r="WU519"/>
      <c r="WV519"/>
      <c r="WW519"/>
      <c r="WX519"/>
      <c r="WY519"/>
      <c r="WZ519"/>
      <c r="XA519"/>
      <c r="XB519"/>
      <c r="XC519"/>
      <c r="XD519"/>
      <c r="XE519"/>
      <c r="XF519"/>
      <c r="XG519"/>
      <c r="XH519"/>
      <c r="XI519"/>
      <c r="XJ519"/>
      <c r="XK519"/>
      <c r="XL519"/>
      <c r="XM519"/>
      <c r="XN519"/>
      <c r="XO519"/>
      <c r="XP519"/>
      <c r="XQ519"/>
      <c r="XR519"/>
      <c r="XS519"/>
      <c r="XT519"/>
      <c r="XU519"/>
      <c r="XV519"/>
      <c r="XW519"/>
      <c r="XX519"/>
      <c r="XY519"/>
      <c r="XZ519"/>
      <c r="YA519"/>
      <c r="YB519"/>
      <c r="YC519"/>
      <c r="YD519"/>
      <c r="YE519"/>
      <c r="YF519"/>
      <c r="YG519"/>
      <c r="YH519"/>
      <c r="YI519"/>
      <c r="YJ519"/>
      <c r="YK519"/>
      <c r="YL519"/>
      <c r="YM519"/>
      <c r="YN519"/>
      <c r="YO519"/>
      <c r="YP519"/>
      <c r="YQ519"/>
      <c r="YR519"/>
      <c r="YS519"/>
      <c r="YT519"/>
      <c r="YU519"/>
      <c r="YV519"/>
      <c r="YW519"/>
      <c r="YX519"/>
      <c r="YY519"/>
      <c r="YZ519"/>
      <c r="ZA519"/>
      <c r="ZB519"/>
      <c r="ZC519"/>
      <c r="ZD519"/>
      <c r="ZE519"/>
      <c r="ZF519"/>
      <c r="ZG519"/>
      <c r="ZH519"/>
      <c r="ZI519"/>
      <c r="ZJ519"/>
      <c r="ZK519"/>
      <c r="ZL519"/>
      <c r="ZM519"/>
      <c r="ZN519"/>
      <c r="ZO519"/>
      <c r="ZP519"/>
      <c r="ZQ519"/>
      <c r="ZR519"/>
      <c r="ZS519"/>
      <c r="ZT519"/>
      <c r="ZU519"/>
      <c r="ZV519"/>
      <c r="ZW519"/>
      <c r="ZX519"/>
      <c r="ZY519"/>
      <c r="ZZ519"/>
      <c r="AAA519"/>
      <c r="AAB519"/>
      <c r="AAC519"/>
      <c r="AAD519"/>
      <c r="AAE519"/>
      <c r="AAF519"/>
      <c r="AAG519"/>
      <c r="AAH519"/>
      <c r="AAI519"/>
      <c r="AAJ519"/>
      <c r="AAK519"/>
      <c r="AAL519"/>
      <c r="AAM519"/>
      <c r="AAN519"/>
      <c r="AAO519"/>
      <c r="AAP519"/>
      <c r="AAQ519"/>
      <c r="AAR519"/>
      <c r="AAS519"/>
      <c r="AAT519"/>
      <c r="AAU519"/>
      <c r="AAV519"/>
      <c r="AAW519"/>
      <c r="AAX519"/>
      <c r="AAY519"/>
      <c r="AAZ519"/>
      <c r="ABA519"/>
      <c r="ABB519"/>
      <c r="ABC519"/>
      <c r="ABD519"/>
      <c r="ABE519"/>
      <c r="ABF519"/>
      <c r="ABG519"/>
      <c r="ABH519"/>
      <c r="ABI519"/>
      <c r="ABJ519"/>
      <c r="ABK519"/>
      <c r="ABL519"/>
      <c r="ABM519"/>
      <c r="ABN519"/>
      <c r="ABO519"/>
      <c r="ABP519"/>
      <c r="ABQ519"/>
      <c r="ABR519"/>
      <c r="ABS519"/>
      <c r="ABT519"/>
      <c r="ABU519"/>
      <c r="ABV519"/>
      <c r="ABW519"/>
      <c r="ABX519"/>
      <c r="ABY519"/>
      <c r="ABZ519"/>
      <c r="ACA519"/>
      <c r="ACB519"/>
      <c r="ACC519"/>
      <c r="ACD519"/>
      <c r="ACE519"/>
      <c r="ACF519"/>
      <c r="ACG519"/>
      <c r="ACH519"/>
      <c r="ACI519"/>
      <c r="ACJ519"/>
      <c r="ACK519"/>
      <c r="ACL519"/>
      <c r="ACM519"/>
      <c r="ACN519"/>
      <c r="ACO519"/>
      <c r="ACP519"/>
      <c r="ACQ519"/>
      <c r="ACR519"/>
      <c r="ACS519"/>
      <c r="ACT519"/>
      <c r="ACU519"/>
      <c r="ACV519"/>
      <c r="ACW519"/>
      <c r="ACX519"/>
      <c r="ACY519"/>
      <c r="ACZ519"/>
      <c r="ADA519"/>
      <c r="ADB519"/>
      <c r="ADC519"/>
      <c r="ADD519"/>
      <c r="ADE519"/>
      <c r="ADF519"/>
      <c r="ADG519"/>
      <c r="ADH519"/>
      <c r="ADI519"/>
      <c r="ADJ519"/>
      <c r="ADK519"/>
      <c r="ADL519"/>
      <c r="ADM519"/>
      <c r="ADN519"/>
      <c r="ADO519"/>
      <c r="ADP519"/>
      <c r="ADQ519"/>
      <c r="ADR519"/>
      <c r="ADS519"/>
      <c r="ADT519"/>
      <c r="ADU519"/>
      <c r="ADV519"/>
      <c r="ADW519"/>
      <c r="ADX519"/>
      <c r="ADY519"/>
      <c r="ADZ519"/>
      <c r="AEA519"/>
      <c r="AEB519"/>
      <c r="AEC519"/>
      <c r="AED519"/>
      <c r="AEE519"/>
      <c r="AEF519"/>
      <c r="AEG519"/>
      <c r="AEH519"/>
      <c r="AEI519"/>
      <c r="AEJ519"/>
      <c r="AEK519"/>
      <c r="AEL519"/>
      <c r="AEM519"/>
      <c r="AEN519"/>
      <c r="AEO519"/>
      <c r="AEP519"/>
      <c r="AEQ519"/>
      <c r="AER519"/>
      <c r="AES519"/>
      <c r="AET519"/>
      <c r="AEU519"/>
      <c r="AEV519"/>
      <c r="AEW519"/>
      <c r="AEX519"/>
      <c r="AEY519"/>
      <c r="AEZ519"/>
      <c r="AFA519"/>
      <c r="AFB519"/>
      <c r="AFC519"/>
      <c r="AFD519"/>
      <c r="AFE519"/>
      <c r="AFF519"/>
      <c r="AFG519"/>
      <c r="AFH519"/>
      <c r="AFI519"/>
      <c r="AFJ519"/>
      <c r="AFK519"/>
      <c r="AFL519"/>
      <c r="AFM519"/>
      <c r="AFN519"/>
      <c r="AFO519"/>
      <c r="AFP519"/>
      <c r="AFQ519"/>
      <c r="AFR519"/>
      <c r="AFS519"/>
      <c r="AFT519"/>
      <c r="AFU519"/>
      <c r="AFV519"/>
      <c r="AFW519"/>
      <c r="AFX519"/>
      <c r="AFY519"/>
      <c r="AFZ519"/>
      <c r="AGA519"/>
      <c r="AGB519"/>
      <c r="AGC519"/>
      <c r="AGD519"/>
      <c r="AGE519"/>
      <c r="AGF519"/>
      <c r="AGG519"/>
      <c r="AGH519"/>
      <c r="AGI519"/>
      <c r="AGJ519"/>
      <c r="AGK519"/>
      <c r="AGL519"/>
      <c r="AGM519"/>
      <c r="AGN519"/>
      <c r="AGO519"/>
      <c r="AGP519"/>
      <c r="AGQ519"/>
      <c r="AGR519"/>
      <c r="AGS519"/>
      <c r="AGT519"/>
      <c r="AGU519"/>
    </row>
    <row r="520" spans="1:879" x14ac:dyDescent="0.2">
      <c r="A520" s="134">
        <v>45365</v>
      </c>
      <c r="B520" s="135">
        <f>YEAR(source[[#This Row],[report_date]])</f>
        <v>2024</v>
      </c>
      <c r="C520" s="136">
        <v>3</v>
      </c>
      <c r="D520" s="136">
        <f t="shared" si="39"/>
        <v>11</v>
      </c>
      <c r="E520" s="136">
        <f t="shared" si="40"/>
        <v>14</v>
      </c>
      <c r="F520" s="128" t="s">
        <v>61</v>
      </c>
      <c r="G520" s="128" t="str">
        <f>VLOOKUP(source[[#This Row],[lending_product_transform]],[3]Mapping!$B$4:$C$37,2,0)</f>
        <v>[VDS] - Payroll Payday</v>
      </c>
      <c r="H520" s="128" t="str">
        <f>VLOOKUP(source[[#This Row],[lending_product_transform]],[3]Mapping!$B$3:$D$37,3,0)</f>
        <v>payday</v>
      </c>
      <c r="I520" s="135">
        <v>16000000</v>
      </c>
      <c r="K520" s="550" t="s">
        <v>176</v>
      </c>
      <c r="L520" s="477">
        <v>553906388</v>
      </c>
      <c r="M520" s="477">
        <v>455577821</v>
      </c>
      <c r="N520" s="477">
        <v>377044224</v>
      </c>
      <c r="O520" s="477">
        <v>390170240</v>
      </c>
      <c r="P520" s="477">
        <v>146321222</v>
      </c>
      <c r="Q520" s="477">
        <v>1923019895</v>
      </c>
      <c r="R520" s="477">
        <v>1923019895</v>
      </c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/>
      <c r="MI520"/>
      <c r="MJ520"/>
      <c r="MK520"/>
      <c r="ML520"/>
      <c r="MM520"/>
      <c r="MN520"/>
      <c r="MO520"/>
      <c r="MP520"/>
      <c r="MQ520"/>
      <c r="MR520"/>
      <c r="MS520"/>
      <c r="MT520"/>
      <c r="MU520"/>
      <c r="MV520"/>
      <c r="MW520"/>
      <c r="MX520"/>
      <c r="MY520"/>
      <c r="MZ520"/>
      <c r="NA520"/>
      <c r="NB520"/>
      <c r="NC520"/>
      <c r="ND520"/>
      <c r="NE520"/>
      <c r="NF520"/>
      <c r="NG520"/>
      <c r="NH520"/>
      <c r="NI520"/>
      <c r="NJ520"/>
      <c r="NK520"/>
      <c r="NL520"/>
      <c r="NM520"/>
      <c r="NN520"/>
      <c r="NO520"/>
      <c r="NP520"/>
      <c r="NQ520"/>
      <c r="NR520"/>
      <c r="NS520"/>
      <c r="NT520"/>
      <c r="NU520"/>
      <c r="NV520"/>
      <c r="NW520"/>
      <c r="NX520"/>
      <c r="NY520"/>
      <c r="NZ520"/>
      <c r="OA520"/>
      <c r="OB520"/>
      <c r="OC520"/>
      <c r="OD520"/>
      <c r="OE520"/>
      <c r="OF520"/>
      <c r="OG520"/>
      <c r="OH520"/>
      <c r="OI520"/>
      <c r="OJ520"/>
      <c r="OK520"/>
      <c r="OL520"/>
      <c r="OM520"/>
      <c r="ON520"/>
      <c r="OO520"/>
      <c r="OP520"/>
      <c r="OQ520"/>
      <c r="OR520"/>
      <c r="OS520"/>
      <c r="OT520"/>
      <c r="OU520"/>
      <c r="OV520"/>
      <c r="OW520"/>
      <c r="OX520"/>
      <c r="OY520"/>
      <c r="OZ520"/>
      <c r="PA520"/>
      <c r="PB520"/>
      <c r="PC520"/>
      <c r="PD520"/>
      <c r="PE520"/>
      <c r="PF520"/>
      <c r="PG520"/>
      <c r="PH520"/>
      <c r="PI520"/>
      <c r="PJ520"/>
      <c r="PK520"/>
      <c r="PL520"/>
      <c r="PM520"/>
      <c r="PN520"/>
      <c r="PO520"/>
      <c r="PP520"/>
      <c r="PQ520"/>
      <c r="PR520"/>
      <c r="PS520"/>
      <c r="PT520"/>
      <c r="PU520"/>
      <c r="PV520"/>
      <c r="PW520"/>
      <c r="PX520"/>
      <c r="PY520"/>
      <c r="PZ520"/>
      <c r="QA520"/>
      <c r="QB520"/>
      <c r="QC520"/>
      <c r="QD520"/>
      <c r="QE520"/>
      <c r="QF520"/>
      <c r="QG520"/>
      <c r="QH520"/>
      <c r="QI520"/>
      <c r="QJ520"/>
      <c r="QK520"/>
      <c r="QL520"/>
      <c r="QM520"/>
      <c r="QN520"/>
      <c r="QO520"/>
      <c r="QP520"/>
      <c r="QQ520"/>
      <c r="QR520"/>
      <c r="QS520"/>
      <c r="QT520"/>
      <c r="QU520"/>
      <c r="QV520"/>
      <c r="QW520"/>
      <c r="QX520"/>
      <c r="QY520"/>
      <c r="QZ520"/>
      <c r="RA520"/>
      <c r="RB520"/>
      <c r="RC520"/>
      <c r="RD520"/>
      <c r="RE520"/>
      <c r="RF520"/>
      <c r="RG520"/>
      <c r="RH520"/>
      <c r="RI520"/>
      <c r="RJ520"/>
      <c r="RK520"/>
      <c r="RL520"/>
      <c r="RM520"/>
      <c r="RN520"/>
      <c r="RO520"/>
      <c r="RP520"/>
      <c r="RQ520"/>
      <c r="RR520"/>
      <c r="RS520"/>
      <c r="RT520"/>
      <c r="RU520"/>
      <c r="RV520"/>
      <c r="RW520"/>
      <c r="RX520"/>
      <c r="RY520"/>
      <c r="RZ520"/>
      <c r="SA520"/>
      <c r="SB520"/>
      <c r="SC520"/>
      <c r="SD520"/>
      <c r="SE520"/>
      <c r="SF520"/>
      <c r="SG520"/>
      <c r="SH520"/>
      <c r="SI520"/>
      <c r="SJ520"/>
      <c r="SK520"/>
      <c r="SL520"/>
      <c r="SM520"/>
      <c r="SN520"/>
      <c r="SO520"/>
      <c r="SP520"/>
      <c r="SQ520"/>
      <c r="SR520"/>
      <c r="SS520"/>
      <c r="ST520"/>
      <c r="SU520"/>
      <c r="SV520"/>
      <c r="SW520"/>
      <c r="SX520"/>
      <c r="SY520"/>
      <c r="SZ520"/>
      <c r="TA520"/>
      <c r="TB520"/>
      <c r="TC520"/>
      <c r="TD520"/>
      <c r="TE520"/>
      <c r="TF520"/>
      <c r="TG520"/>
      <c r="TH520"/>
      <c r="TI520"/>
      <c r="TJ520"/>
      <c r="TK520"/>
      <c r="TL520"/>
      <c r="TM520"/>
      <c r="TN520"/>
      <c r="TO520"/>
      <c r="TP520"/>
      <c r="TQ520"/>
      <c r="TR520"/>
      <c r="TS520"/>
      <c r="TT520"/>
      <c r="TU520"/>
      <c r="TV520"/>
      <c r="TW520"/>
      <c r="TX520"/>
      <c r="TY520"/>
      <c r="TZ520"/>
      <c r="UA520"/>
      <c r="UB520"/>
      <c r="UC520"/>
      <c r="UD520"/>
      <c r="UE520"/>
      <c r="UF520"/>
      <c r="UG520"/>
      <c r="UH520"/>
      <c r="UI520"/>
      <c r="UJ520"/>
      <c r="UK520"/>
      <c r="UL520"/>
      <c r="UM520"/>
      <c r="UN520"/>
      <c r="UO520"/>
      <c r="UP520"/>
      <c r="UQ520"/>
      <c r="UR520"/>
      <c r="US520"/>
      <c r="UT520"/>
      <c r="UU520"/>
      <c r="UV520"/>
      <c r="UW520"/>
      <c r="UX520"/>
      <c r="UY520"/>
      <c r="UZ520"/>
      <c r="VA520"/>
      <c r="VB520"/>
      <c r="VC520"/>
      <c r="VD520"/>
      <c r="VE520"/>
      <c r="VF520"/>
      <c r="VG520"/>
      <c r="VH520"/>
      <c r="VI520"/>
      <c r="VJ520"/>
      <c r="VK520"/>
      <c r="VL520"/>
      <c r="VM520"/>
      <c r="VN520"/>
      <c r="VO520"/>
      <c r="VP520"/>
      <c r="VQ520"/>
      <c r="VR520"/>
      <c r="VS520"/>
      <c r="VT520"/>
      <c r="VU520"/>
      <c r="VV520"/>
      <c r="VW520"/>
      <c r="VX520"/>
      <c r="VY520"/>
      <c r="VZ520"/>
      <c r="WA520"/>
      <c r="WB520"/>
      <c r="WC520"/>
      <c r="WD520"/>
      <c r="WE520"/>
      <c r="WF520"/>
      <c r="WG520"/>
      <c r="WH520"/>
      <c r="WI520"/>
      <c r="WJ520"/>
      <c r="WK520"/>
      <c r="WL520"/>
      <c r="WM520"/>
      <c r="WN520"/>
      <c r="WO520"/>
      <c r="WP520"/>
      <c r="WQ520"/>
      <c r="WR520"/>
      <c r="WS520"/>
      <c r="WT520"/>
      <c r="WU520"/>
      <c r="WV520"/>
      <c r="WW520"/>
      <c r="WX520"/>
      <c r="WY520"/>
      <c r="WZ520"/>
      <c r="XA520"/>
      <c r="XB520"/>
      <c r="XC520"/>
      <c r="XD520"/>
      <c r="XE520"/>
      <c r="XF520"/>
      <c r="XG520"/>
      <c r="XH520"/>
      <c r="XI520"/>
      <c r="XJ520"/>
      <c r="XK520"/>
      <c r="XL520"/>
      <c r="XM520"/>
      <c r="XN520"/>
      <c r="XO520"/>
      <c r="XP520"/>
      <c r="XQ520"/>
      <c r="XR520"/>
      <c r="XS520"/>
      <c r="XT520"/>
      <c r="XU520"/>
      <c r="XV520"/>
      <c r="XW520"/>
      <c r="XX520"/>
      <c r="XY520"/>
      <c r="XZ520"/>
      <c r="YA520"/>
      <c r="YB520"/>
      <c r="YC520"/>
      <c r="YD520"/>
      <c r="YE520"/>
      <c r="YF520"/>
      <c r="YG520"/>
      <c r="YH520"/>
      <c r="YI520"/>
      <c r="YJ520"/>
      <c r="YK520"/>
      <c r="YL520"/>
      <c r="YM520"/>
      <c r="YN520"/>
      <c r="YO520"/>
      <c r="YP520"/>
      <c r="YQ520"/>
      <c r="YR520"/>
      <c r="YS520"/>
      <c r="YT520"/>
      <c r="YU520"/>
      <c r="YV520"/>
      <c r="YW520"/>
      <c r="YX520"/>
      <c r="YY520"/>
      <c r="YZ520"/>
      <c r="ZA520"/>
      <c r="ZB520"/>
      <c r="ZC520"/>
      <c r="ZD520"/>
      <c r="ZE520"/>
      <c r="ZF520"/>
      <c r="ZG520"/>
      <c r="ZH520"/>
      <c r="ZI520"/>
      <c r="ZJ520"/>
      <c r="ZK520"/>
      <c r="ZL520"/>
      <c r="ZM520"/>
      <c r="ZN520"/>
      <c r="ZO520"/>
      <c r="ZP520"/>
      <c r="ZQ520"/>
      <c r="ZR520"/>
      <c r="ZS520"/>
      <c r="ZT520"/>
      <c r="ZU520"/>
      <c r="ZV520"/>
      <c r="ZW520"/>
      <c r="ZX520"/>
      <c r="ZY520"/>
      <c r="ZZ520"/>
      <c r="AAA520"/>
      <c r="AAB520"/>
      <c r="AAC520"/>
      <c r="AAD520"/>
      <c r="AAE520"/>
      <c r="AAF520"/>
      <c r="AAG520"/>
      <c r="AAH520"/>
      <c r="AAI520"/>
      <c r="AAJ520"/>
      <c r="AAK520"/>
      <c r="AAL520"/>
      <c r="AAM520"/>
      <c r="AAN520"/>
      <c r="AAO520"/>
      <c r="AAP520"/>
      <c r="AAQ520"/>
      <c r="AAR520"/>
      <c r="AAS520"/>
      <c r="AAT520"/>
      <c r="AAU520"/>
      <c r="AAV520"/>
      <c r="AAW520"/>
      <c r="AAX520"/>
      <c r="AAY520"/>
      <c r="AAZ520"/>
      <c r="ABA520"/>
      <c r="ABB520"/>
      <c r="ABC520"/>
      <c r="ABD520"/>
      <c r="ABE520"/>
      <c r="ABF520"/>
      <c r="ABG520"/>
      <c r="ABH520"/>
      <c r="ABI520"/>
      <c r="ABJ520"/>
      <c r="ABK520"/>
      <c r="ABL520"/>
      <c r="ABM520"/>
      <c r="ABN520"/>
      <c r="ABO520"/>
      <c r="ABP520"/>
      <c r="ABQ520"/>
      <c r="ABR520"/>
      <c r="ABS520"/>
      <c r="ABT520"/>
      <c r="ABU520"/>
      <c r="ABV520"/>
      <c r="ABW520"/>
      <c r="ABX520"/>
      <c r="ABY520"/>
      <c r="ABZ520"/>
      <c r="ACA520"/>
      <c r="ACB520"/>
      <c r="ACC520"/>
      <c r="ACD520"/>
      <c r="ACE520"/>
      <c r="ACF520"/>
      <c r="ACG520"/>
      <c r="ACH520"/>
      <c r="ACI520"/>
      <c r="ACJ520"/>
      <c r="ACK520"/>
      <c r="ACL520"/>
      <c r="ACM520"/>
      <c r="ACN520"/>
      <c r="ACO520"/>
      <c r="ACP520"/>
      <c r="ACQ520"/>
      <c r="ACR520"/>
      <c r="ACS520"/>
      <c r="ACT520"/>
      <c r="ACU520"/>
      <c r="ACV520"/>
      <c r="ACW520"/>
      <c r="ACX520"/>
      <c r="ACY520"/>
      <c r="ACZ520"/>
      <c r="ADA520"/>
      <c r="ADB520"/>
      <c r="ADC520"/>
      <c r="ADD520"/>
      <c r="ADE520"/>
      <c r="ADF520"/>
      <c r="ADG520"/>
      <c r="ADH520"/>
      <c r="ADI520"/>
      <c r="ADJ520"/>
      <c r="ADK520"/>
      <c r="ADL520"/>
      <c r="ADM520"/>
      <c r="ADN520"/>
      <c r="ADO520"/>
      <c r="ADP520"/>
      <c r="ADQ520"/>
      <c r="ADR520"/>
      <c r="ADS520"/>
      <c r="ADT520"/>
      <c r="ADU520"/>
      <c r="ADV520"/>
      <c r="ADW520"/>
      <c r="ADX520"/>
      <c r="ADY520"/>
      <c r="ADZ520"/>
      <c r="AEA520"/>
      <c r="AEB520"/>
      <c r="AEC520"/>
      <c r="AED520"/>
      <c r="AEE520"/>
      <c r="AEF520"/>
      <c r="AEG520"/>
      <c r="AEH520"/>
      <c r="AEI520"/>
      <c r="AEJ520"/>
      <c r="AEK520"/>
      <c r="AEL520"/>
      <c r="AEM520"/>
      <c r="AEN520"/>
      <c r="AEO520"/>
      <c r="AEP520"/>
      <c r="AEQ520"/>
      <c r="AER520"/>
      <c r="AES520"/>
      <c r="AET520"/>
      <c r="AEU520"/>
      <c r="AEV520"/>
      <c r="AEW520"/>
      <c r="AEX520"/>
      <c r="AEY520"/>
      <c r="AEZ520"/>
      <c r="AFA520"/>
      <c r="AFB520"/>
      <c r="AFC520"/>
      <c r="AFD520"/>
      <c r="AFE520"/>
      <c r="AFF520"/>
      <c r="AFG520"/>
      <c r="AFH520"/>
      <c r="AFI520"/>
      <c r="AFJ520"/>
      <c r="AFK520"/>
      <c r="AFL520"/>
      <c r="AFM520"/>
      <c r="AFN520"/>
      <c r="AFO520"/>
      <c r="AFP520"/>
      <c r="AFQ520"/>
      <c r="AFR520"/>
      <c r="AFS520"/>
      <c r="AFT520"/>
      <c r="AFU520"/>
      <c r="AFV520"/>
      <c r="AFW520"/>
      <c r="AFX520"/>
      <c r="AFY520"/>
      <c r="AFZ520"/>
      <c r="AGA520"/>
      <c r="AGB520"/>
      <c r="AGC520"/>
      <c r="AGD520"/>
      <c r="AGE520"/>
      <c r="AGF520"/>
      <c r="AGG520"/>
      <c r="AGH520"/>
      <c r="AGI520"/>
      <c r="AGJ520"/>
      <c r="AGK520"/>
      <c r="AGL520"/>
      <c r="AGM520"/>
      <c r="AGN520"/>
      <c r="AGO520"/>
      <c r="AGP520"/>
      <c r="AGQ520"/>
      <c r="AGR520"/>
      <c r="AGS520"/>
      <c r="AGT520"/>
      <c r="AGU520"/>
    </row>
    <row r="521" spans="1:879" x14ac:dyDescent="0.2">
      <c r="A521" s="134">
        <v>45366</v>
      </c>
      <c r="B521" s="135">
        <f>YEAR(source[[#This Row],[report_date]])</f>
        <v>2024</v>
      </c>
      <c r="C521" s="136">
        <v>3</v>
      </c>
      <c r="D521" s="136">
        <f t="shared" si="39"/>
        <v>11</v>
      </c>
      <c r="E521" s="136">
        <f t="shared" si="40"/>
        <v>15</v>
      </c>
      <c r="F521" s="128" t="s">
        <v>65</v>
      </c>
      <c r="G521" s="128" t="str">
        <f>VLOOKUP(source[[#This Row],[lending_product_transform]],[3]Mapping!$B$4:$C$37,2,0)</f>
        <v>[BE] - Cashloan</v>
      </c>
      <c r="H521" s="128" t="str">
        <f>VLOOKUP(source[[#This Row],[lending_product_transform]],[3]Mapping!$B$3:$D$37,3,0)</f>
        <v>cashloan</v>
      </c>
      <c r="I521" s="135">
        <v>213200000</v>
      </c>
      <c r="K521" s="550" t="s">
        <v>39</v>
      </c>
      <c r="L521" s="477">
        <v>44881001135</v>
      </c>
      <c r="M521" s="477">
        <v>42340651234</v>
      </c>
      <c r="N521" s="477">
        <v>35872321940</v>
      </c>
      <c r="O521" s="477">
        <v>34572866125</v>
      </c>
      <c r="P521" s="477">
        <v>13217452045</v>
      </c>
      <c r="Q521" s="477">
        <v>170884292479</v>
      </c>
      <c r="R521" s="477">
        <v>170884292479</v>
      </c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/>
      <c r="MI521"/>
      <c r="MJ521"/>
      <c r="MK521"/>
      <c r="ML521"/>
      <c r="MM521"/>
      <c r="MN521"/>
      <c r="MO521"/>
      <c r="MP521"/>
      <c r="MQ521"/>
      <c r="MR521"/>
      <c r="MS521"/>
      <c r="MT521"/>
      <c r="MU521"/>
      <c r="MV521"/>
      <c r="MW521"/>
      <c r="MX521"/>
      <c r="MY521"/>
      <c r="MZ521"/>
      <c r="NA521"/>
      <c r="NB521"/>
      <c r="NC521"/>
      <c r="ND521"/>
      <c r="NE521"/>
      <c r="NF521"/>
      <c r="NG521"/>
      <c r="NH521"/>
      <c r="NI521"/>
      <c r="NJ521"/>
      <c r="NK521"/>
      <c r="NL521"/>
      <c r="NM521"/>
      <c r="NN521"/>
      <c r="NO521"/>
      <c r="NP521"/>
      <c r="NQ521"/>
      <c r="NR521"/>
      <c r="NS521"/>
      <c r="NT521"/>
      <c r="NU521"/>
      <c r="NV521"/>
      <c r="NW521"/>
      <c r="NX521"/>
      <c r="NY521"/>
      <c r="NZ521"/>
      <c r="OA521"/>
      <c r="OB521"/>
      <c r="OC521"/>
      <c r="OD521"/>
      <c r="OE521"/>
      <c r="OF521"/>
      <c r="OG521"/>
      <c r="OH521"/>
      <c r="OI521"/>
      <c r="OJ521"/>
      <c r="OK521"/>
      <c r="OL521"/>
      <c r="OM521"/>
      <c r="ON521"/>
      <c r="OO521"/>
      <c r="OP521"/>
      <c r="OQ521"/>
      <c r="OR521"/>
      <c r="OS521"/>
      <c r="OT521"/>
      <c r="OU521"/>
      <c r="OV521"/>
      <c r="OW521"/>
      <c r="OX521"/>
      <c r="OY521"/>
      <c r="OZ521"/>
      <c r="PA521"/>
      <c r="PB521"/>
      <c r="PC521"/>
      <c r="PD521"/>
      <c r="PE521"/>
      <c r="PF521"/>
      <c r="PG521"/>
      <c r="PH521"/>
      <c r="PI521"/>
      <c r="PJ521"/>
      <c r="PK521"/>
      <c r="PL521"/>
      <c r="PM521"/>
      <c r="PN521"/>
      <c r="PO521"/>
      <c r="PP521"/>
      <c r="PQ521"/>
      <c r="PR521"/>
      <c r="PS521"/>
      <c r="PT521"/>
      <c r="PU521"/>
      <c r="PV521"/>
      <c r="PW521"/>
      <c r="PX521"/>
      <c r="PY521"/>
      <c r="PZ521"/>
      <c r="QA521"/>
      <c r="QB521"/>
      <c r="QC521"/>
      <c r="QD521"/>
      <c r="QE521"/>
      <c r="QF521"/>
      <c r="QG521"/>
      <c r="QH521"/>
      <c r="QI521"/>
      <c r="QJ521"/>
      <c r="QK521"/>
      <c r="QL521"/>
      <c r="QM521"/>
      <c r="QN521"/>
      <c r="QO521"/>
      <c r="QP521"/>
      <c r="QQ521"/>
      <c r="QR521"/>
      <c r="QS521"/>
      <c r="QT521"/>
      <c r="QU521"/>
      <c r="QV521"/>
      <c r="QW521"/>
      <c r="QX521"/>
      <c r="QY521"/>
      <c r="QZ521"/>
      <c r="RA521"/>
      <c r="RB521"/>
      <c r="RC521"/>
      <c r="RD521"/>
      <c r="RE521"/>
      <c r="RF521"/>
      <c r="RG521"/>
      <c r="RH521"/>
      <c r="RI521"/>
      <c r="RJ521"/>
      <c r="RK521"/>
      <c r="RL521"/>
      <c r="RM521"/>
      <c r="RN521"/>
      <c r="RO521"/>
      <c r="RP521"/>
      <c r="RQ521"/>
      <c r="RR521"/>
      <c r="RS521"/>
      <c r="RT521"/>
      <c r="RU521"/>
      <c r="RV521"/>
      <c r="RW521"/>
      <c r="RX521"/>
      <c r="RY521"/>
      <c r="RZ521"/>
      <c r="SA521"/>
      <c r="SB521"/>
      <c r="SC521"/>
      <c r="SD521"/>
      <c r="SE521"/>
      <c r="SF521"/>
      <c r="SG521"/>
      <c r="SH521"/>
      <c r="SI521"/>
      <c r="SJ521"/>
      <c r="SK521"/>
      <c r="SL521"/>
      <c r="SM521"/>
      <c r="SN521"/>
      <c r="SO521"/>
      <c r="SP521"/>
      <c r="SQ521"/>
      <c r="SR521"/>
      <c r="SS521"/>
      <c r="ST521"/>
      <c r="SU521"/>
      <c r="SV521"/>
      <c r="SW521"/>
      <c r="SX521"/>
      <c r="SY521"/>
      <c r="SZ521"/>
      <c r="TA521"/>
      <c r="TB521"/>
      <c r="TC521"/>
      <c r="TD521"/>
      <c r="TE521"/>
      <c r="TF521"/>
      <c r="TG521"/>
      <c r="TH521"/>
      <c r="TI521"/>
      <c r="TJ521"/>
      <c r="TK521"/>
      <c r="TL521"/>
      <c r="TM521"/>
      <c r="TN521"/>
      <c r="TO521"/>
      <c r="TP521"/>
      <c r="TQ521"/>
      <c r="TR521"/>
      <c r="TS521"/>
      <c r="TT521"/>
      <c r="TU521"/>
      <c r="TV521"/>
      <c r="TW521"/>
      <c r="TX521"/>
      <c r="TY521"/>
      <c r="TZ521"/>
      <c r="UA521"/>
      <c r="UB521"/>
      <c r="UC521"/>
      <c r="UD521"/>
      <c r="UE521"/>
      <c r="UF521"/>
      <c r="UG521"/>
      <c r="UH521"/>
      <c r="UI521"/>
      <c r="UJ521"/>
      <c r="UK521"/>
      <c r="UL521"/>
      <c r="UM521"/>
      <c r="UN521"/>
      <c r="UO521"/>
      <c r="UP521"/>
      <c r="UQ521"/>
      <c r="UR521"/>
      <c r="US521"/>
      <c r="UT521"/>
      <c r="UU521"/>
      <c r="UV521"/>
      <c r="UW521"/>
      <c r="UX521"/>
      <c r="UY521"/>
      <c r="UZ521"/>
      <c r="VA521"/>
      <c r="VB521"/>
      <c r="VC521"/>
      <c r="VD521"/>
      <c r="VE521"/>
      <c r="VF521"/>
      <c r="VG521"/>
      <c r="VH521"/>
      <c r="VI521"/>
      <c r="VJ521"/>
      <c r="VK521"/>
      <c r="VL521"/>
      <c r="VM521"/>
      <c r="VN521"/>
      <c r="VO521"/>
      <c r="VP521"/>
      <c r="VQ521"/>
      <c r="VR521"/>
      <c r="VS521"/>
      <c r="VT521"/>
      <c r="VU521"/>
      <c r="VV521"/>
      <c r="VW521"/>
      <c r="VX521"/>
      <c r="VY521"/>
      <c r="VZ521"/>
      <c r="WA521"/>
      <c r="WB521"/>
      <c r="WC521"/>
      <c r="WD521"/>
      <c r="WE521"/>
      <c r="WF521"/>
      <c r="WG521"/>
      <c r="WH521"/>
      <c r="WI521"/>
      <c r="WJ521"/>
      <c r="WK521"/>
      <c r="WL521"/>
      <c r="WM521"/>
      <c r="WN521"/>
      <c r="WO521"/>
      <c r="WP521"/>
      <c r="WQ521"/>
      <c r="WR521"/>
      <c r="WS521"/>
      <c r="WT521"/>
      <c r="WU521"/>
      <c r="WV521"/>
      <c r="WW521"/>
      <c r="WX521"/>
      <c r="WY521"/>
      <c r="WZ521"/>
      <c r="XA521"/>
      <c r="XB521"/>
      <c r="XC521"/>
      <c r="XD521"/>
      <c r="XE521"/>
      <c r="XF521"/>
      <c r="XG521"/>
      <c r="XH521"/>
      <c r="XI521"/>
      <c r="XJ521"/>
      <c r="XK521"/>
      <c r="XL521"/>
      <c r="XM521"/>
      <c r="XN521"/>
      <c r="XO521"/>
      <c r="XP521"/>
      <c r="XQ521"/>
      <c r="XR521"/>
      <c r="XS521"/>
      <c r="XT521"/>
      <c r="XU521"/>
      <c r="XV521"/>
      <c r="XW521"/>
      <c r="XX521"/>
      <c r="XY521"/>
      <c r="XZ521"/>
      <c r="YA521"/>
      <c r="YB521"/>
      <c r="YC521"/>
      <c r="YD521"/>
      <c r="YE521"/>
      <c r="YF521"/>
      <c r="YG521"/>
      <c r="YH521"/>
      <c r="YI521"/>
      <c r="YJ521"/>
      <c r="YK521"/>
      <c r="YL521"/>
      <c r="YM521"/>
      <c r="YN521"/>
      <c r="YO521"/>
      <c r="YP521"/>
      <c r="YQ521"/>
      <c r="YR521"/>
      <c r="YS521"/>
      <c r="YT521"/>
      <c r="YU521"/>
      <c r="YV521"/>
      <c r="YW521"/>
      <c r="YX521"/>
      <c r="YY521"/>
      <c r="YZ521"/>
      <c r="ZA521"/>
      <c r="ZB521"/>
      <c r="ZC521"/>
      <c r="ZD521"/>
      <c r="ZE521"/>
      <c r="ZF521"/>
      <c r="ZG521"/>
      <c r="ZH521"/>
      <c r="ZI521"/>
      <c r="ZJ521"/>
      <c r="ZK521"/>
      <c r="ZL521"/>
      <c r="ZM521"/>
      <c r="ZN521"/>
      <c r="ZO521"/>
      <c r="ZP521"/>
      <c r="ZQ521"/>
      <c r="ZR521"/>
      <c r="ZS521"/>
      <c r="ZT521"/>
      <c r="ZU521"/>
      <c r="ZV521"/>
      <c r="ZW521"/>
      <c r="ZX521"/>
      <c r="ZY521"/>
      <c r="ZZ521"/>
      <c r="AAA521"/>
      <c r="AAB521"/>
      <c r="AAC521"/>
      <c r="AAD521"/>
      <c r="AAE521"/>
      <c r="AAF521"/>
      <c r="AAG521"/>
      <c r="AAH521"/>
      <c r="AAI521"/>
      <c r="AAJ521"/>
      <c r="AAK521"/>
      <c r="AAL521"/>
      <c r="AAM521"/>
      <c r="AAN521"/>
      <c r="AAO521"/>
      <c r="AAP521"/>
      <c r="AAQ521"/>
      <c r="AAR521"/>
      <c r="AAS521"/>
      <c r="AAT521"/>
      <c r="AAU521"/>
      <c r="AAV521"/>
      <c r="AAW521"/>
      <c r="AAX521"/>
      <c r="AAY521"/>
      <c r="AAZ521"/>
      <c r="ABA521"/>
      <c r="ABB521"/>
      <c r="ABC521"/>
      <c r="ABD521"/>
      <c r="ABE521"/>
      <c r="ABF521"/>
      <c r="ABG521"/>
      <c r="ABH521"/>
      <c r="ABI521"/>
      <c r="ABJ521"/>
      <c r="ABK521"/>
      <c r="ABL521"/>
      <c r="ABM521"/>
      <c r="ABN521"/>
      <c r="ABO521"/>
      <c r="ABP521"/>
      <c r="ABQ521"/>
      <c r="ABR521"/>
      <c r="ABS521"/>
      <c r="ABT521"/>
      <c r="ABU521"/>
      <c r="ABV521"/>
      <c r="ABW521"/>
      <c r="ABX521"/>
      <c r="ABY521"/>
      <c r="ABZ521"/>
      <c r="ACA521"/>
      <c r="ACB521"/>
      <c r="ACC521"/>
      <c r="ACD521"/>
      <c r="ACE521"/>
      <c r="ACF521"/>
      <c r="ACG521"/>
      <c r="ACH521"/>
      <c r="ACI521"/>
      <c r="ACJ521"/>
      <c r="ACK521"/>
      <c r="ACL521"/>
      <c r="ACM521"/>
      <c r="ACN521"/>
      <c r="ACO521"/>
      <c r="ACP521"/>
      <c r="ACQ521"/>
      <c r="ACR521"/>
      <c r="ACS521"/>
      <c r="ACT521"/>
      <c r="ACU521"/>
      <c r="ACV521"/>
      <c r="ACW521"/>
      <c r="ACX521"/>
      <c r="ACY521"/>
      <c r="ACZ521"/>
      <c r="ADA521"/>
      <c r="ADB521"/>
      <c r="ADC521"/>
      <c r="ADD521"/>
      <c r="ADE521"/>
      <c r="ADF521"/>
      <c r="ADG521"/>
      <c r="ADH521"/>
      <c r="ADI521"/>
      <c r="ADJ521"/>
      <c r="ADK521"/>
      <c r="ADL521"/>
      <c r="ADM521"/>
      <c r="ADN521"/>
      <c r="ADO521"/>
      <c r="ADP521"/>
      <c r="ADQ521"/>
      <c r="ADR521"/>
      <c r="ADS521"/>
      <c r="ADT521"/>
      <c r="ADU521"/>
      <c r="ADV521"/>
      <c r="ADW521"/>
      <c r="ADX521"/>
      <c r="ADY521"/>
      <c r="ADZ521"/>
      <c r="AEA521"/>
      <c r="AEB521"/>
      <c r="AEC521"/>
      <c r="AED521"/>
      <c r="AEE521"/>
      <c r="AEF521"/>
      <c r="AEG521"/>
      <c r="AEH521"/>
      <c r="AEI521"/>
      <c r="AEJ521"/>
      <c r="AEK521"/>
      <c r="AEL521"/>
      <c r="AEM521"/>
      <c r="AEN521"/>
      <c r="AEO521"/>
      <c r="AEP521"/>
      <c r="AEQ521"/>
      <c r="AER521"/>
      <c r="AES521"/>
      <c r="AET521"/>
      <c r="AEU521"/>
      <c r="AEV521"/>
      <c r="AEW521"/>
      <c r="AEX521"/>
      <c r="AEY521"/>
      <c r="AEZ521"/>
      <c r="AFA521"/>
      <c r="AFB521"/>
      <c r="AFC521"/>
      <c r="AFD521"/>
      <c r="AFE521"/>
      <c r="AFF521"/>
      <c r="AFG521"/>
      <c r="AFH521"/>
      <c r="AFI521"/>
      <c r="AFJ521"/>
      <c r="AFK521"/>
      <c r="AFL521"/>
      <c r="AFM521"/>
      <c r="AFN521"/>
      <c r="AFO521"/>
      <c r="AFP521"/>
      <c r="AFQ521"/>
      <c r="AFR521"/>
      <c r="AFS521"/>
      <c r="AFT521"/>
      <c r="AFU521"/>
      <c r="AFV521"/>
      <c r="AFW521"/>
      <c r="AFX521"/>
      <c r="AFY521"/>
      <c r="AFZ521"/>
      <c r="AGA521"/>
      <c r="AGB521"/>
      <c r="AGC521"/>
      <c r="AGD521"/>
      <c r="AGE521"/>
      <c r="AGF521"/>
      <c r="AGG521"/>
      <c r="AGH521"/>
      <c r="AGI521"/>
      <c r="AGJ521"/>
      <c r="AGK521"/>
      <c r="AGL521"/>
      <c r="AGM521"/>
      <c r="AGN521"/>
      <c r="AGO521"/>
      <c r="AGP521"/>
      <c r="AGQ521"/>
      <c r="AGR521"/>
      <c r="AGS521"/>
      <c r="AGT521"/>
      <c r="AGU521"/>
    </row>
    <row r="522" spans="1:879" x14ac:dyDescent="0.2">
      <c r="A522" s="134">
        <v>45366</v>
      </c>
      <c r="B522" s="135">
        <f>YEAR(source[[#This Row],[report_date]])</f>
        <v>2024</v>
      </c>
      <c r="C522" s="136">
        <v>3</v>
      </c>
      <c r="D522" s="136">
        <f t="shared" si="39"/>
        <v>11</v>
      </c>
      <c r="E522" s="136">
        <f t="shared" si="40"/>
        <v>15</v>
      </c>
      <c r="F522" s="128" t="s">
        <v>58</v>
      </c>
      <c r="G522" s="128" t="str">
        <f>VLOOKUP(source[[#This Row],[lending_product_transform]],[3]Mapping!$B$4:$C$37,2,0)</f>
        <v>[VDS] - Payroll Cashloan</v>
      </c>
      <c r="H522" s="128" t="str">
        <f>VLOOKUP(source[[#This Row],[lending_product_transform]],[3]Mapping!$B$3:$D$37,3,0)</f>
        <v>cashloan</v>
      </c>
      <c r="I522" s="135">
        <v>57250000</v>
      </c>
      <c r="K522" s="550" t="s">
        <v>206</v>
      </c>
      <c r="L522" s="477">
        <v>0</v>
      </c>
      <c r="M522" s="477">
        <v>0</v>
      </c>
      <c r="N522" s="477">
        <v>0</v>
      </c>
      <c r="O522" s="477">
        <v>0</v>
      </c>
      <c r="P522" s="477">
        <v>0</v>
      </c>
      <c r="Q522" s="477">
        <v>0</v>
      </c>
      <c r="R522" s="477">
        <v>0</v>
      </c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/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/>
      <c r="MI522"/>
      <c r="MJ522"/>
      <c r="MK522"/>
      <c r="ML522"/>
      <c r="MM522"/>
      <c r="MN522"/>
      <c r="MO522"/>
      <c r="MP522"/>
      <c r="MQ522"/>
      <c r="MR522"/>
      <c r="MS522"/>
      <c r="MT522"/>
      <c r="MU522"/>
      <c r="MV522"/>
      <c r="MW522"/>
      <c r="MX522"/>
      <c r="MY522"/>
      <c r="MZ522"/>
      <c r="NA522"/>
      <c r="NB522"/>
      <c r="NC522"/>
      <c r="ND522"/>
      <c r="NE522"/>
      <c r="NF522"/>
      <c r="NG522"/>
      <c r="NH522"/>
      <c r="NI522"/>
      <c r="NJ522"/>
      <c r="NK522"/>
      <c r="NL522"/>
      <c r="NM522"/>
      <c r="NN522"/>
      <c r="NO522"/>
      <c r="NP522"/>
      <c r="NQ522"/>
      <c r="NR522"/>
      <c r="NS522"/>
      <c r="NT522"/>
      <c r="NU522"/>
      <c r="NV522"/>
      <c r="NW522"/>
      <c r="NX522"/>
      <c r="NY522"/>
      <c r="NZ522"/>
      <c r="OA522"/>
      <c r="OB522"/>
      <c r="OC522"/>
      <c r="OD522"/>
      <c r="OE522"/>
      <c r="OF522"/>
      <c r="OG522"/>
      <c r="OH522"/>
      <c r="OI522"/>
      <c r="OJ522"/>
      <c r="OK522"/>
      <c r="OL522"/>
      <c r="OM522"/>
      <c r="ON522"/>
      <c r="OO522"/>
      <c r="OP522"/>
      <c r="OQ522"/>
      <c r="OR522"/>
      <c r="OS522"/>
      <c r="OT522"/>
      <c r="OU522"/>
      <c r="OV522"/>
      <c r="OW522"/>
      <c r="OX522"/>
      <c r="OY522"/>
      <c r="OZ522"/>
      <c r="PA522"/>
      <c r="PB522"/>
      <c r="PC522"/>
      <c r="PD522"/>
      <c r="PE522"/>
      <c r="PF522"/>
      <c r="PG522"/>
      <c r="PH522"/>
      <c r="PI522"/>
      <c r="PJ522"/>
      <c r="PK522"/>
      <c r="PL522"/>
      <c r="PM522"/>
      <c r="PN522"/>
      <c r="PO522"/>
      <c r="PP522"/>
      <c r="PQ522"/>
      <c r="PR522"/>
      <c r="PS522"/>
      <c r="PT522"/>
      <c r="PU522"/>
      <c r="PV522"/>
      <c r="PW522"/>
      <c r="PX522"/>
      <c r="PY522"/>
      <c r="PZ522"/>
      <c r="QA522"/>
      <c r="QB522"/>
      <c r="QC522"/>
      <c r="QD522"/>
      <c r="QE522"/>
      <c r="QF522"/>
      <c r="QG522"/>
      <c r="QH522"/>
      <c r="QI522"/>
      <c r="QJ522"/>
      <c r="QK522"/>
      <c r="QL522"/>
      <c r="QM522"/>
      <c r="QN522"/>
      <c r="QO522"/>
      <c r="QP522"/>
      <c r="QQ522"/>
      <c r="QR522"/>
      <c r="QS522"/>
      <c r="QT522"/>
      <c r="QU522"/>
      <c r="QV522"/>
      <c r="QW522"/>
      <c r="QX522"/>
      <c r="QY522"/>
      <c r="QZ522"/>
      <c r="RA522"/>
      <c r="RB522"/>
      <c r="RC522"/>
      <c r="RD522"/>
      <c r="RE522"/>
      <c r="RF522"/>
      <c r="RG522"/>
      <c r="RH522"/>
      <c r="RI522"/>
      <c r="RJ522"/>
      <c r="RK522"/>
      <c r="RL522"/>
      <c r="RM522"/>
      <c r="RN522"/>
      <c r="RO522"/>
      <c r="RP522"/>
      <c r="RQ522"/>
      <c r="RR522"/>
      <c r="RS522"/>
      <c r="RT522"/>
      <c r="RU522"/>
      <c r="RV522"/>
      <c r="RW522"/>
      <c r="RX522"/>
      <c r="RY522"/>
      <c r="RZ522"/>
      <c r="SA522"/>
      <c r="SB522"/>
      <c r="SC522"/>
      <c r="SD522"/>
      <c r="SE522"/>
      <c r="SF522"/>
      <c r="SG522"/>
      <c r="SH522"/>
      <c r="SI522"/>
      <c r="SJ522"/>
      <c r="SK522"/>
      <c r="SL522"/>
      <c r="SM522"/>
      <c r="SN522"/>
      <c r="SO522"/>
      <c r="SP522"/>
      <c r="SQ522"/>
      <c r="SR522"/>
      <c r="SS522"/>
      <c r="ST522"/>
      <c r="SU522"/>
      <c r="SV522"/>
      <c r="SW522"/>
      <c r="SX522"/>
      <c r="SY522"/>
      <c r="SZ522"/>
      <c r="TA522"/>
      <c r="TB522"/>
      <c r="TC522"/>
      <c r="TD522"/>
      <c r="TE522"/>
      <c r="TF522"/>
      <c r="TG522"/>
      <c r="TH522"/>
      <c r="TI522"/>
      <c r="TJ522"/>
      <c r="TK522"/>
      <c r="TL522"/>
      <c r="TM522"/>
      <c r="TN522"/>
      <c r="TO522"/>
      <c r="TP522"/>
      <c r="TQ522"/>
      <c r="TR522"/>
      <c r="TS522"/>
      <c r="TT522"/>
      <c r="TU522"/>
      <c r="TV522"/>
      <c r="TW522"/>
      <c r="TX522"/>
      <c r="TY522"/>
      <c r="TZ522"/>
      <c r="UA522"/>
      <c r="UB522"/>
      <c r="UC522"/>
      <c r="UD522"/>
      <c r="UE522"/>
      <c r="UF522"/>
      <c r="UG522"/>
      <c r="UH522"/>
      <c r="UI522"/>
      <c r="UJ522"/>
      <c r="UK522"/>
      <c r="UL522"/>
      <c r="UM522"/>
      <c r="UN522"/>
      <c r="UO522"/>
      <c r="UP522"/>
      <c r="UQ522"/>
      <c r="UR522"/>
      <c r="US522"/>
      <c r="UT522"/>
      <c r="UU522"/>
      <c r="UV522"/>
      <c r="UW522"/>
      <c r="UX522"/>
      <c r="UY522"/>
      <c r="UZ522"/>
      <c r="VA522"/>
      <c r="VB522"/>
      <c r="VC522"/>
      <c r="VD522"/>
      <c r="VE522"/>
      <c r="VF522"/>
      <c r="VG522"/>
      <c r="VH522"/>
      <c r="VI522"/>
      <c r="VJ522"/>
      <c r="VK522"/>
      <c r="VL522"/>
      <c r="VM522"/>
      <c r="VN522"/>
      <c r="VO522"/>
      <c r="VP522"/>
      <c r="VQ522"/>
      <c r="VR522"/>
      <c r="VS522"/>
      <c r="VT522"/>
      <c r="VU522"/>
      <c r="VV522"/>
      <c r="VW522"/>
      <c r="VX522"/>
      <c r="VY522"/>
      <c r="VZ522"/>
      <c r="WA522"/>
      <c r="WB522"/>
      <c r="WC522"/>
      <c r="WD522"/>
      <c r="WE522"/>
      <c r="WF522"/>
      <c r="WG522"/>
      <c r="WH522"/>
      <c r="WI522"/>
      <c r="WJ522"/>
      <c r="WK522"/>
      <c r="WL522"/>
      <c r="WM522"/>
      <c r="WN522"/>
      <c r="WO522"/>
      <c r="WP522"/>
      <c r="WQ522"/>
      <c r="WR522"/>
      <c r="WS522"/>
      <c r="WT522"/>
      <c r="WU522"/>
      <c r="WV522"/>
      <c r="WW522"/>
      <c r="WX522"/>
      <c r="WY522"/>
      <c r="WZ522"/>
      <c r="XA522"/>
      <c r="XB522"/>
      <c r="XC522"/>
      <c r="XD522"/>
      <c r="XE522"/>
      <c r="XF522"/>
      <c r="XG522"/>
      <c r="XH522"/>
      <c r="XI522"/>
      <c r="XJ522"/>
      <c r="XK522"/>
      <c r="XL522"/>
      <c r="XM522"/>
      <c r="XN522"/>
      <c r="XO522"/>
      <c r="XP522"/>
      <c r="XQ522"/>
      <c r="XR522"/>
      <c r="XS522"/>
      <c r="XT522"/>
      <c r="XU522"/>
      <c r="XV522"/>
      <c r="XW522"/>
      <c r="XX522"/>
      <c r="XY522"/>
      <c r="XZ522"/>
      <c r="YA522"/>
      <c r="YB522"/>
      <c r="YC522"/>
      <c r="YD522"/>
      <c r="YE522"/>
      <c r="YF522"/>
      <c r="YG522"/>
      <c r="YH522"/>
      <c r="YI522"/>
      <c r="YJ522"/>
      <c r="YK522"/>
      <c r="YL522"/>
      <c r="YM522"/>
      <c r="YN522"/>
      <c r="YO522"/>
      <c r="YP522"/>
      <c r="YQ522"/>
      <c r="YR522"/>
      <c r="YS522"/>
      <c r="YT522"/>
      <c r="YU522"/>
      <c r="YV522"/>
      <c r="YW522"/>
      <c r="YX522"/>
      <c r="YY522"/>
      <c r="YZ522"/>
      <c r="ZA522"/>
      <c r="ZB522"/>
      <c r="ZC522"/>
      <c r="ZD522"/>
      <c r="ZE522"/>
      <c r="ZF522"/>
      <c r="ZG522"/>
      <c r="ZH522"/>
      <c r="ZI522"/>
      <c r="ZJ522"/>
      <c r="ZK522"/>
      <c r="ZL522"/>
      <c r="ZM522"/>
      <c r="ZN522"/>
      <c r="ZO522"/>
      <c r="ZP522"/>
      <c r="ZQ522"/>
      <c r="ZR522"/>
      <c r="ZS522"/>
      <c r="ZT522"/>
      <c r="ZU522"/>
      <c r="ZV522"/>
      <c r="ZW522"/>
      <c r="ZX522"/>
      <c r="ZY522"/>
      <c r="ZZ522"/>
      <c r="AAA522"/>
      <c r="AAB522"/>
      <c r="AAC522"/>
      <c r="AAD522"/>
      <c r="AAE522"/>
      <c r="AAF522"/>
      <c r="AAG522"/>
      <c r="AAH522"/>
      <c r="AAI522"/>
      <c r="AAJ522"/>
      <c r="AAK522"/>
      <c r="AAL522"/>
      <c r="AAM522"/>
      <c r="AAN522"/>
      <c r="AAO522"/>
      <c r="AAP522"/>
      <c r="AAQ522"/>
      <c r="AAR522"/>
      <c r="AAS522"/>
      <c r="AAT522"/>
      <c r="AAU522"/>
      <c r="AAV522"/>
      <c r="AAW522"/>
      <c r="AAX522"/>
      <c r="AAY522"/>
      <c r="AAZ522"/>
      <c r="ABA522"/>
      <c r="ABB522"/>
      <c r="ABC522"/>
      <c r="ABD522"/>
      <c r="ABE522"/>
      <c r="ABF522"/>
      <c r="ABG522"/>
      <c r="ABH522"/>
      <c r="ABI522"/>
      <c r="ABJ522"/>
      <c r="ABK522"/>
      <c r="ABL522"/>
      <c r="ABM522"/>
      <c r="ABN522"/>
      <c r="ABO522"/>
      <c r="ABP522"/>
      <c r="ABQ522"/>
      <c r="ABR522"/>
      <c r="ABS522"/>
      <c r="ABT522"/>
      <c r="ABU522"/>
      <c r="ABV522"/>
      <c r="ABW522"/>
      <c r="ABX522"/>
      <c r="ABY522"/>
      <c r="ABZ522"/>
      <c r="ACA522"/>
      <c r="ACB522"/>
      <c r="ACC522"/>
      <c r="ACD522"/>
      <c r="ACE522"/>
      <c r="ACF522"/>
      <c r="ACG522"/>
      <c r="ACH522"/>
      <c r="ACI522"/>
      <c r="ACJ522"/>
      <c r="ACK522"/>
      <c r="ACL522"/>
      <c r="ACM522"/>
      <c r="ACN522"/>
      <c r="ACO522"/>
      <c r="ACP522"/>
      <c r="ACQ522"/>
      <c r="ACR522"/>
      <c r="ACS522"/>
      <c r="ACT522"/>
      <c r="ACU522"/>
      <c r="ACV522"/>
      <c r="ACW522"/>
      <c r="ACX522"/>
      <c r="ACY522"/>
      <c r="ACZ522"/>
      <c r="ADA522"/>
      <c r="ADB522"/>
      <c r="ADC522"/>
      <c r="ADD522"/>
      <c r="ADE522"/>
      <c r="ADF522"/>
      <c r="ADG522"/>
      <c r="ADH522"/>
      <c r="ADI522"/>
      <c r="ADJ522"/>
      <c r="ADK522"/>
      <c r="ADL522"/>
      <c r="ADM522"/>
      <c r="ADN522"/>
      <c r="ADO522"/>
      <c r="ADP522"/>
      <c r="ADQ522"/>
      <c r="ADR522"/>
      <c r="ADS522"/>
      <c r="ADT522"/>
      <c r="ADU522"/>
      <c r="ADV522"/>
      <c r="ADW522"/>
      <c r="ADX522"/>
      <c r="ADY522"/>
      <c r="ADZ522"/>
      <c r="AEA522"/>
      <c r="AEB522"/>
      <c r="AEC522"/>
      <c r="AED522"/>
      <c r="AEE522"/>
      <c r="AEF522"/>
      <c r="AEG522"/>
      <c r="AEH522"/>
      <c r="AEI522"/>
      <c r="AEJ522"/>
      <c r="AEK522"/>
      <c r="AEL522"/>
      <c r="AEM522"/>
      <c r="AEN522"/>
      <c r="AEO522"/>
      <c r="AEP522"/>
      <c r="AEQ522"/>
      <c r="AER522"/>
      <c r="AES522"/>
      <c r="AET522"/>
      <c r="AEU522"/>
      <c r="AEV522"/>
      <c r="AEW522"/>
      <c r="AEX522"/>
      <c r="AEY522"/>
      <c r="AEZ522"/>
      <c r="AFA522"/>
      <c r="AFB522"/>
      <c r="AFC522"/>
      <c r="AFD522"/>
      <c r="AFE522"/>
      <c r="AFF522"/>
      <c r="AFG522"/>
      <c r="AFH522"/>
      <c r="AFI522"/>
      <c r="AFJ522"/>
      <c r="AFK522"/>
      <c r="AFL522"/>
      <c r="AFM522"/>
      <c r="AFN522"/>
      <c r="AFO522"/>
      <c r="AFP522"/>
      <c r="AFQ522"/>
      <c r="AFR522"/>
      <c r="AFS522"/>
      <c r="AFT522"/>
      <c r="AFU522"/>
      <c r="AFV522"/>
      <c r="AFW522"/>
      <c r="AFX522"/>
      <c r="AFY522"/>
      <c r="AFZ522"/>
      <c r="AGA522"/>
      <c r="AGB522"/>
      <c r="AGC522"/>
      <c r="AGD522"/>
      <c r="AGE522"/>
      <c r="AGF522"/>
      <c r="AGG522"/>
      <c r="AGH522"/>
      <c r="AGI522"/>
      <c r="AGJ522"/>
      <c r="AGK522"/>
      <c r="AGL522"/>
      <c r="AGM522"/>
      <c r="AGN522"/>
      <c r="AGO522"/>
      <c r="AGP522"/>
      <c r="AGQ522"/>
      <c r="AGR522"/>
      <c r="AGS522"/>
      <c r="AGT522"/>
      <c r="AGU522"/>
    </row>
    <row r="523" spans="1:879" x14ac:dyDescent="0.2">
      <c r="A523" s="134">
        <v>45366</v>
      </c>
      <c r="B523" s="135">
        <f>YEAR(source[[#This Row],[report_date]])</f>
        <v>2024</v>
      </c>
      <c r="C523" s="136">
        <v>3</v>
      </c>
      <c r="D523" s="136">
        <f t="shared" si="39"/>
        <v>11</v>
      </c>
      <c r="E523" s="136">
        <f t="shared" si="40"/>
        <v>15</v>
      </c>
      <c r="F523" s="128" t="s">
        <v>67</v>
      </c>
      <c r="G523" s="128" t="str">
        <f>VLOOKUP(source[[#This Row],[lending_product_transform]],[3]Mapping!$B$4:$C$37,2,0)</f>
        <v>[Cake] - Overdraft</v>
      </c>
      <c r="H523" s="128" t="str">
        <f>VLOOKUP(source[[#This Row],[lending_product_transform]],[3]Mapping!$B$3:$D$37,3,0)</f>
        <v>overdraft</v>
      </c>
      <c r="I523" s="135">
        <v>2412573873</v>
      </c>
      <c r="K523" s="550" t="s">
        <v>64</v>
      </c>
      <c r="L523" s="477">
        <v>6803900000</v>
      </c>
      <c r="M523" s="477">
        <v>2032400000</v>
      </c>
      <c r="N523" s="477">
        <v>1821250000</v>
      </c>
      <c r="O523" s="477">
        <v>1425700000</v>
      </c>
      <c r="P523" s="477">
        <v>602300000</v>
      </c>
      <c r="Q523" s="477">
        <v>12685550000</v>
      </c>
      <c r="R523" s="477">
        <v>12685550000</v>
      </c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/>
      <c r="MI523"/>
      <c r="MJ523"/>
      <c r="MK523"/>
      <c r="ML523"/>
      <c r="MM523"/>
      <c r="MN523"/>
      <c r="MO523"/>
      <c r="MP523"/>
      <c r="MQ523"/>
      <c r="MR523"/>
      <c r="MS523"/>
      <c r="MT523"/>
      <c r="MU523"/>
      <c r="MV523"/>
      <c r="MW523"/>
      <c r="MX523"/>
      <c r="MY523"/>
      <c r="MZ523"/>
      <c r="NA523"/>
      <c r="NB523"/>
      <c r="NC523"/>
      <c r="ND523"/>
      <c r="NE523"/>
      <c r="NF523"/>
      <c r="NG523"/>
      <c r="NH523"/>
      <c r="NI523"/>
      <c r="NJ523"/>
      <c r="NK523"/>
      <c r="NL523"/>
      <c r="NM523"/>
      <c r="NN523"/>
      <c r="NO523"/>
      <c r="NP523"/>
      <c r="NQ523"/>
      <c r="NR523"/>
      <c r="NS523"/>
      <c r="NT523"/>
      <c r="NU523"/>
      <c r="NV523"/>
      <c r="NW523"/>
      <c r="NX523"/>
      <c r="NY523"/>
      <c r="NZ523"/>
      <c r="OA523"/>
      <c r="OB523"/>
      <c r="OC523"/>
      <c r="OD523"/>
      <c r="OE523"/>
      <c r="OF523"/>
      <c r="OG523"/>
      <c r="OH523"/>
      <c r="OI523"/>
      <c r="OJ523"/>
      <c r="OK523"/>
      <c r="OL523"/>
      <c r="OM523"/>
      <c r="ON523"/>
      <c r="OO523"/>
      <c r="OP523"/>
      <c r="OQ523"/>
      <c r="OR523"/>
      <c r="OS523"/>
      <c r="OT523"/>
      <c r="OU523"/>
      <c r="OV523"/>
      <c r="OW523"/>
      <c r="OX523"/>
      <c r="OY523"/>
      <c r="OZ523"/>
      <c r="PA523"/>
      <c r="PB523"/>
      <c r="PC523"/>
      <c r="PD523"/>
      <c r="PE523"/>
      <c r="PF523"/>
      <c r="PG523"/>
      <c r="PH523"/>
      <c r="PI523"/>
      <c r="PJ523"/>
      <c r="PK523"/>
      <c r="PL523"/>
      <c r="PM523"/>
      <c r="PN523"/>
      <c r="PO523"/>
      <c r="PP523"/>
      <c r="PQ523"/>
      <c r="PR523"/>
      <c r="PS523"/>
      <c r="PT523"/>
      <c r="PU523"/>
      <c r="PV523"/>
      <c r="PW523"/>
      <c r="PX523"/>
      <c r="PY523"/>
      <c r="PZ523"/>
      <c r="QA523"/>
      <c r="QB523"/>
      <c r="QC523"/>
      <c r="QD523"/>
      <c r="QE523"/>
      <c r="QF523"/>
      <c r="QG523"/>
      <c r="QH523"/>
      <c r="QI523"/>
      <c r="QJ523"/>
      <c r="QK523"/>
      <c r="QL523"/>
      <c r="QM523"/>
      <c r="QN523"/>
      <c r="QO523"/>
      <c r="QP523"/>
      <c r="QQ523"/>
      <c r="QR523"/>
      <c r="QS523"/>
      <c r="QT523"/>
      <c r="QU523"/>
      <c r="QV523"/>
      <c r="QW523"/>
      <c r="QX523"/>
      <c r="QY523"/>
      <c r="QZ523"/>
      <c r="RA523"/>
      <c r="RB523"/>
      <c r="RC523"/>
      <c r="RD523"/>
      <c r="RE523"/>
      <c r="RF523"/>
      <c r="RG523"/>
      <c r="RH523"/>
      <c r="RI523"/>
      <c r="RJ523"/>
      <c r="RK523"/>
      <c r="RL523"/>
      <c r="RM523"/>
      <c r="RN523"/>
      <c r="RO523"/>
      <c r="RP523"/>
      <c r="RQ523"/>
      <c r="RR523"/>
      <c r="RS523"/>
      <c r="RT523"/>
      <c r="RU523"/>
      <c r="RV523"/>
      <c r="RW523"/>
      <c r="RX523"/>
      <c r="RY523"/>
      <c r="RZ523"/>
      <c r="SA523"/>
      <c r="SB523"/>
      <c r="SC523"/>
      <c r="SD523"/>
      <c r="SE523"/>
      <c r="SF523"/>
      <c r="SG523"/>
      <c r="SH523"/>
      <c r="SI523"/>
      <c r="SJ523"/>
      <c r="SK523"/>
      <c r="SL523"/>
      <c r="SM523"/>
      <c r="SN523"/>
      <c r="SO523"/>
      <c r="SP523"/>
      <c r="SQ523"/>
      <c r="SR523"/>
      <c r="SS523"/>
      <c r="ST523"/>
      <c r="SU523"/>
      <c r="SV523"/>
      <c r="SW523"/>
      <c r="SX523"/>
      <c r="SY523"/>
      <c r="SZ523"/>
      <c r="TA523"/>
      <c r="TB523"/>
      <c r="TC523"/>
      <c r="TD523"/>
      <c r="TE523"/>
      <c r="TF523"/>
      <c r="TG523"/>
      <c r="TH523"/>
      <c r="TI523"/>
      <c r="TJ523"/>
      <c r="TK523"/>
      <c r="TL523"/>
      <c r="TM523"/>
      <c r="TN523"/>
      <c r="TO523"/>
      <c r="TP523"/>
      <c r="TQ523"/>
      <c r="TR523"/>
      <c r="TS523"/>
      <c r="TT523"/>
      <c r="TU523"/>
      <c r="TV523"/>
      <c r="TW523"/>
      <c r="TX523"/>
      <c r="TY523"/>
      <c r="TZ523"/>
      <c r="UA523"/>
      <c r="UB523"/>
      <c r="UC523"/>
      <c r="UD523"/>
      <c r="UE523"/>
      <c r="UF523"/>
      <c r="UG523"/>
      <c r="UH523"/>
      <c r="UI523"/>
      <c r="UJ523"/>
      <c r="UK523"/>
      <c r="UL523"/>
      <c r="UM523"/>
      <c r="UN523"/>
      <c r="UO523"/>
      <c r="UP523"/>
      <c r="UQ523"/>
      <c r="UR523"/>
      <c r="US523"/>
      <c r="UT523"/>
      <c r="UU523"/>
      <c r="UV523"/>
      <c r="UW523"/>
      <c r="UX523"/>
      <c r="UY523"/>
      <c r="UZ523"/>
      <c r="VA523"/>
      <c r="VB523"/>
      <c r="VC523"/>
      <c r="VD523"/>
      <c r="VE523"/>
      <c r="VF523"/>
      <c r="VG523"/>
      <c r="VH523"/>
      <c r="VI523"/>
      <c r="VJ523"/>
      <c r="VK523"/>
      <c r="VL523"/>
      <c r="VM523"/>
      <c r="VN523"/>
      <c r="VO523"/>
      <c r="VP523"/>
      <c r="VQ523"/>
      <c r="VR523"/>
      <c r="VS523"/>
      <c r="VT523"/>
      <c r="VU523"/>
      <c r="VV523"/>
      <c r="VW523"/>
      <c r="VX523"/>
      <c r="VY523"/>
      <c r="VZ523"/>
      <c r="WA523"/>
      <c r="WB523"/>
      <c r="WC523"/>
      <c r="WD523"/>
      <c r="WE523"/>
      <c r="WF523"/>
      <c r="WG523"/>
      <c r="WH523"/>
      <c r="WI523"/>
      <c r="WJ523"/>
      <c r="WK523"/>
      <c r="WL523"/>
      <c r="WM523"/>
      <c r="WN523"/>
      <c r="WO523"/>
      <c r="WP523"/>
      <c r="WQ523"/>
      <c r="WR523"/>
      <c r="WS523"/>
      <c r="WT523"/>
      <c r="WU523"/>
      <c r="WV523"/>
      <c r="WW523"/>
      <c r="WX523"/>
      <c r="WY523"/>
      <c r="WZ523"/>
      <c r="XA523"/>
      <c r="XB523"/>
      <c r="XC523"/>
      <c r="XD523"/>
      <c r="XE523"/>
      <c r="XF523"/>
      <c r="XG523"/>
      <c r="XH523"/>
      <c r="XI523"/>
      <c r="XJ523"/>
      <c r="XK523"/>
      <c r="XL523"/>
      <c r="XM523"/>
      <c r="XN523"/>
      <c r="XO523"/>
      <c r="XP523"/>
      <c r="XQ523"/>
      <c r="XR523"/>
      <c r="XS523"/>
      <c r="XT523"/>
      <c r="XU523"/>
      <c r="XV523"/>
      <c r="XW523"/>
      <c r="XX523"/>
      <c r="XY523"/>
      <c r="XZ523"/>
      <c r="YA523"/>
      <c r="YB523"/>
      <c r="YC523"/>
      <c r="YD523"/>
      <c r="YE523"/>
      <c r="YF523"/>
      <c r="YG523"/>
      <c r="YH523"/>
      <c r="YI523"/>
      <c r="YJ523"/>
      <c r="YK523"/>
      <c r="YL523"/>
      <c r="YM523"/>
      <c r="YN523"/>
      <c r="YO523"/>
      <c r="YP523"/>
      <c r="YQ523"/>
      <c r="YR523"/>
      <c r="YS523"/>
      <c r="YT523"/>
      <c r="YU523"/>
      <c r="YV523"/>
      <c r="YW523"/>
      <c r="YX523"/>
      <c r="YY523"/>
      <c r="YZ523"/>
      <c r="ZA523"/>
      <c r="ZB523"/>
      <c r="ZC523"/>
      <c r="ZD523"/>
      <c r="ZE523"/>
      <c r="ZF523"/>
      <c r="ZG523"/>
      <c r="ZH523"/>
      <c r="ZI523"/>
      <c r="ZJ523"/>
      <c r="ZK523"/>
      <c r="ZL523"/>
      <c r="ZM523"/>
      <c r="ZN523"/>
      <c r="ZO523"/>
      <c r="ZP523"/>
      <c r="ZQ523"/>
      <c r="ZR523"/>
      <c r="ZS523"/>
      <c r="ZT523"/>
      <c r="ZU523"/>
      <c r="ZV523"/>
      <c r="ZW523"/>
      <c r="ZX523"/>
      <c r="ZY523"/>
      <c r="ZZ523"/>
      <c r="AAA523"/>
      <c r="AAB523"/>
      <c r="AAC523"/>
      <c r="AAD523"/>
      <c r="AAE523"/>
      <c r="AAF523"/>
      <c r="AAG523"/>
      <c r="AAH523"/>
      <c r="AAI523"/>
      <c r="AAJ523"/>
      <c r="AAK523"/>
      <c r="AAL523"/>
      <c r="AAM523"/>
      <c r="AAN523"/>
      <c r="AAO523"/>
      <c r="AAP523"/>
      <c r="AAQ523"/>
      <c r="AAR523"/>
      <c r="AAS523"/>
      <c r="AAT523"/>
      <c r="AAU523"/>
      <c r="AAV523"/>
      <c r="AAW523"/>
      <c r="AAX523"/>
      <c r="AAY523"/>
      <c r="AAZ523"/>
      <c r="ABA523"/>
      <c r="ABB523"/>
      <c r="ABC523"/>
      <c r="ABD523"/>
      <c r="ABE523"/>
      <c r="ABF523"/>
      <c r="ABG523"/>
      <c r="ABH523"/>
      <c r="ABI523"/>
      <c r="ABJ523"/>
      <c r="ABK523"/>
      <c r="ABL523"/>
      <c r="ABM523"/>
      <c r="ABN523"/>
      <c r="ABO523"/>
      <c r="ABP523"/>
      <c r="ABQ523"/>
      <c r="ABR523"/>
      <c r="ABS523"/>
      <c r="ABT523"/>
      <c r="ABU523"/>
      <c r="ABV523"/>
      <c r="ABW523"/>
      <c r="ABX523"/>
      <c r="ABY523"/>
      <c r="ABZ523"/>
      <c r="ACA523"/>
      <c r="ACB523"/>
      <c r="ACC523"/>
      <c r="ACD523"/>
      <c r="ACE523"/>
      <c r="ACF523"/>
      <c r="ACG523"/>
      <c r="ACH523"/>
      <c r="ACI523"/>
      <c r="ACJ523"/>
      <c r="ACK523"/>
      <c r="ACL523"/>
      <c r="ACM523"/>
      <c r="ACN523"/>
      <c r="ACO523"/>
      <c r="ACP523"/>
      <c r="ACQ523"/>
      <c r="ACR523"/>
      <c r="ACS523"/>
      <c r="ACT523"/>
      <c r="ACU523"/>
      <c r="ACV523"/>
      <c r="ACW523"/>
      <c r="ACX523"/>
      <c r="ACY523"/>
      <c r="ACZ523"/>
      <c r="ADA523"/>
      <c r="ADB523"/>
      <c r="ADC523"/>
      <c r="ADD523"/>
      <c r="ADE523"/>
      <c r="ADF523"/>
      <c r="ADG523"/>
      <c r="ADH523"/>
      <c r="ADI523"/>
      <c r="ADJ523"/>
      <c r="ADK523"/>
      <c r="ADL523"/>
      <c r="ADM523"/>
      <c r="ADN523"/>
      <c r="ADO523"/>
      <c r="ADP523"/>
      <c r="ADQ523"/>
      <c r="ADR523"/>
      <c r="ADS523"/>
      <c r="ADT523"/>
      <c r="ADU523"/>
      <c r="ADV523"/>
      <c r="ADW523"/>
      <c r="ADX523"/>
      <c r="ADY523"/>
      <c r="ADZ523"/>
      <c r="AEA523"/>
      <c r="AEB523"/>
      <c r="AEC523"/>
      <c r="AED523"/>
      <c r="AEE523"/>
      <c r="AEF523"/>
      <c r="AEG523"/>
      <c r="AEH523"/>
      <c r="AEI523"/>
      <c r="AEJ523"/>
      <c r="AEK523"/>
      <c r="AEL523"/>
      <c r="AEM523"/>
      <c r="AEN523"/>
      <c r="AEO523"/>
      <c r="AEP523"/>
      <c r="AEQ523"/>
      <c r="AER523"/>
      <c r="AES523"/>
      <c r="AET523"/>
      <c r="AEU523"/>
      <c r="AEV523"/>
      <c r="AEW523"/>
      <c r="AEX523"/>
      <c r="AEY523"/>
      <c r="AEZ523"/>
      <c r="AFA523"/>
      <c r="AFB523"/>
      <c r="AFC523"/>
      <c r="AFD523"/>
      <c r="AFE523"/>
      <c r="AFF523"/>
      <c r="AFG523"/>
      <c r="AFH523"/>
      <c r="AFI523"/>
      <c r="AFJ523"/>
      <c r="AFK523"/>
      <c r="AFL523"/>
      <c r="AFM523"/>
      <c r="AFN523"/>
      <c r="AFO523"/>
      <c r="AFP523"/>
      <c r="AFQ523"/>
      <c r="AFR523"/>
      <c r="AFS523"/>
      <c r="AFT523"/>
      <c r="AFU523"/>
      <c r="AFV523"/>
      <c r="AFW523"/>
      <c r="AFX523"/>
      <c r="AFY523"/>
      <c r="AFZ523"/>
      <c r="AGA523"/>
      <c r="AGB523"/>
      <c r="AGC523"/>
      <c r="AGD523"/>
      <c r="AGE523"/>
      <c r="AGF523"/>
      <c r="AGG523"/>
      <c r="AGH523"/>
      <c r="AGI523"/>
      <c r="AGJ523"/>
      <c r="AGK523"/>
      <c r="AGL523"/>
      <c r="AGM523"/>
      <c r="AGN523"/>
      <c r="AGO523"/>
      <c r="AGP523"/>
      <c r="AGQ523"/>
      <c r="AGR523"/>
      <c r="AGS523"/>
      <c r="AGT523"/>
      <c r="AGU523"/>
    </row>
    <row r="524" spans="1:879" x14ac:dyDescent="0.2">
      <c r="A524" s="134">
        <v>45366</v>
      </c>
      <c r="B524" s="135">
        <f>YEAR(source[[#This Row],[report_date]])</f>
        <v>2024</v>
      </c>
      <c r="C524" s="136">
        <v>3</v>
      </c>
      <c r="D524" s="136">
        <f t="shared" si="39"/>
        <v>11</v>
      </c>
      <c r="E524" s="136">
        <f t="shared" si="40"/>
        <v>15</v>
      </c>
      <c r="F524" s="128" t="s">
        <v>19</v>
      </c>
      <c r="G524" s="128" t="str">
        <f>VLOOKUP(source[[#This Row],[lending_product_transform]],[3]Mapping!$B$4:$C$37,2,0)</f>
        <v>[VDS] - Payday</v>
      </c>
      <c r="H524" s="128" t="str">
        <f>VLOOKUP(source[[#This Row],[lending_product_transform]],[3]Mapping!$B$3:$D$37,3,0)</f>
        <v>payday</v>
      </c>
      <c r="I524" s="135">
        <v>1950500000</v>
      </c>
      <c r="K524" s="550" t="s">
        <v>237</v>
      </c>
      <c r="L524" s="477">
        <v>820250000</v>
      </c>
      <c r="M524" s="477">
        <v>467620000</v>
      </c>
      <c r="N524" s="477">
        <v>663000000</v>
      </c>
      <c r="O524" s="477">
        <v>351830000</v>
      </c>
      <c r="P524" s="477">
        <v>186430000</v>
      </c>
      <c r="Q524" s="477">
        <v>2489130000</v>
      </c>
      <c r="R524" s="477">
        <v>2489130000</v>
      </c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/>
      <c r="MI524"/>
      <c r="MJ524"/>
      <c r="MK524"/>
      <c r="ML524"/>
      <c r="MM524"/>
      <c r="MN524"/>
      <c r="MO524"/>
      <c r="MP524"/>
      <c r="MQ524"/>
      <c r="MR524"/>
      <c r="MS524"/>
      <c r="MT524"/>
      <c r="MU524"/>
      <c r="MV524"/>
      <c r="MW524"/>
      <c r="MX524"/>
      <c r="MY524"/>
      <c r="MZ524"/>
      <c r="NA524"/>
      <c r="NB524"/>
      <c r="NC524"/>
      <c r="ND524"/>
      <c r="NE524"/>
      <c r="NF524"/>
      <c r="NG524"/>
      <c r="NH524"/>
      <c r="NI524"/>
      <c r="NJ524"/>
      <c r="NK524"/>
      <c r="NL524"/>
      <c r="NM524"/>
      <c r="NN524"/>
      <c r="NO524"/>
      <c r="NP524"/>
      <c r="NQ524"/>
      <c r="NR524"/>
      <c r="NS524"/>
      <c r="NT524"/>
      <c r="NU524"/>
      <c r="NV524"/>
      <c r="NW524"/>
      <c r="NX524"/>
      <c r="NY524"/>
      <c r="NZ524"/>
      <c r="OA524"/>
      <c r="OB524"/>
      <c r="OC524"/>
      <c r="OD524"/>
      <c r="OE524"/>
      <c r="OF524"/>
      <c r="OG524"/>
      <c r="OH524"/>
      <c r="OI524"/>
      <c r="OJ524"/>
      <c r="OK524"/>
      <c r="OL524"/>
      <c r="OM524"/>
      <c r="ON524"/>
      <c r="OO524"/>
      <c r="OP524"/>
      <c r="OQ524"/>
      <c r="OR524"/>
      <c r="OS524"/>
      <c r="OT524"/>
      <c r="OU524"/>
      <c r="OV524"/>
      <c r="OW524"/>
      <c r="OX524"/>
      <c r="OY524"/>
      <c r="OZ524"/>
      <c r="PA524"/>
      <c r="PB524"/>
      <c r="PC524"/>
      <c r="PD524"/>
      <c r="PE524"/>
      <c r="PF524"/>
      <c r="PG524"/>
      <c r="PH524"/>
      <c r="PI524"/>
      <c r="PJ524"/>
      <c r="PK524"/>
      <c r="PL524"/>
      <c r="PM524"/>
      <c r="PN524"/>
      <c r="PO524"/>
      <c r="PP524"/>
      <c r="PQ524"/>
      <c r="PR524"/>
      <c r="PS524"/>
      <c r="PT524"/>
      <c r="PU524"/>
      <c r="PV524"/>
      <c r="PW524"/>
      <c r="PX524"/>
      <c r="PY524"/>
      <c r="PZ524"/>
      <c r="QA524"/>
      <c r="QB524"/>
      <c r="QC524"/>
      <c r="QD524"/>
      <c r="QE524"/>
      <c r="QF524"/>
      <c r="QG524"/>
      <c r="QH524"/>
      <c r="QI524"/>
      <c r="QJ524"/>
      <c r="QK524"/>
      <c r="QL524"/>
      <c r="QM524"/>
      <c r="QN524"/>
      <c r="QO524"/>
      <c r="QP524"/>
      <c r="QQ524"/>
      <c r="QR524"/>
      <c r="QS524"/>
      <c r="QT524"/>
      <c r="QU524"/>
      <c r="QV524"/>
      <c r="QW524"/>
      <c r="QX524"/>
      <c r="QY524"/>
      <c r="QZ524"/>
      <c r="RA524"/>
      <c r="RB524"/>
      <c r="RC524"/>
      <c r="RD524"/>
      <c r="RE524"/>
      <c r="RF524"/>
      <c r="RG524"/>
      <c r="RH524"/>
      <c r="RI524"/>
      <c r="RJ524"/>
      <c r="RK524"/>
      <c r="RL524"/>
      <c r="RM524"/>
      <c r="RN524"/>
      <c r="RO524"/>
      <c r="RP524"/>
      <c r="RQ524"/>
      <c r="RR524"/>
      <c r="RS524"/>
      <c r="RT524"/>
      <c r="RU524"/>
      <c r="RV524"/>
      <c r="RW524"/>
      <c r="RX524"/>
      <c r="RY524"/>
      <c r="RZ524"/>
      <c r="SA524"/>
      <c r="SB524"/>
      <c r="SC524"/>
      <c r="SD524"/>
      <c r="SE524"/>
      <c r="SF524"/>
      <c r="SG524"/>
      <c r="SH524"/>
      <c r="SI524"/>
      <c r="SJ524"/>
      <c r="SK524"/>
      <c r="SL524"/>
      <c r="SM524"/>
      <c r="SN524"/>
      <c r="SO524"/>
      <c r="SP524"/>
      <c r="SQ524"/>
      <c r="SR524"/>
      <c r="SS524"/>
      <c r="ST524"/>
      <c r="SU524"/>
      <c r="SV524"/>
      <c r="SW524"/>
      <c r="SX524"/>
      <c r="SY524"/>
      <c r="SZ524"/>
      <c r="TA524"/>
      <c r="TB524"/>
      <c r="TC524"/>
      <c r="TD524"/>
      <c r="TE524"/>
      <c r="TF524"/>
      <c r="TG524"/>
      <c r="TH524"/>
      <c r="TI524"/>
      <c r="TJ524"/>
      <c r="TK524"/>
      <c r="TL524"/>
      <c r="TM524"/>
      <c r="TN524"/>
      <c r="TO524"/>
      <c r="TP524"/>
      <c r="TQ524"/>
      <c r="TR524"/>
      <c r="TS524"/>
      <c r="TT524"/>
      <c r="TU524"/>
      <c r="TV524"/>
      <c r="TW524"/>
      <c r="TX524"/>
      <c r="TY524"/>
      <c r="TZ524"/>
      <c r="UA524"/>
      <c r="UB524"/>
      <c r="UC524"/>
      <c r="UD524"/>
      <c r="UE524"/>
      <c r="UF524"/>
      <c r="UG524"/>
      <c r="UH524"/>
      <c r="UI524"/>
      <c r="UJ524"/>
      <c r="UK524"/>
      <c r="UL524"/>
      <c r="UM524"/>
      <c r="UN524"/>
      <c r="UO524"/>
      <c r="UP524"/>
      <c r="UQ524"/>
      <c r="UR524"/>
      <c r="US524"/>
      <c r="UT524"/>
      <c r="UU524"/>
      <c r="UV524"/>
      <c r="UW524"/>
      <c r="UX524"/>
      <c r="UY524"/>
      <c r="UZ524"/>
      <c r="VA524"/>
      <c r="VB524"/>
      <c r="VC524"/>
      <c r="VD524"/>
      <c r="VE524"/>
      <c r="VF524"/>
      <c r="VG524"/>
      <c r="VH524"/>
      <c r="VI524"/>
      <c r="VJ524"/>
      <c r="VK524"/>
      <c r="VL524"/>
      <c r="VM524"/>
      <c r="VN524"/>
      <c r="VO524"/>
      <c r="VP524"/>
      <c r="VQ524"/>
      <c r="VR524"/>
      <c r="VS524"/>
      <c r="VT524"/>
      <c r="VU524"/>
      <c r="VV524"/>
      <c r="VW524"/>
      <c r="VX524"/>
      <c r="VY524"/>
      <c r="VZ524"/>
      <c r="WA524"/>
      <c r="WB524"/>
      <c r="WC524"/>
      <c r="WD524"/>
      <c r="WE524"/>
      <c r="WF524"/>
      <c r="WG524"/>
      <c r="WH524"/>
      <c r="WI524"/>
      <c r="WJ524"/>
      <c r="WK524"/>
      <c r="WL524"/>
      <c r="WM524"/>
      <c r="WN524"/>
      <c r="WO524"/>
      <c r="WP524"/>
      <c r="WQ524"/>
      <c r="WR524"/>
      <c r="WS524"/>
      <c r="WT524"/>
      <c r="WU524"/>
      <c r="WV524"/>
      <c r="WW524"/>
      <c r="WX524"/>
      <c r="WY524"/>
      <c r="WZ524"/>
      <c r="XA524"/>
      <c r="XB524"/>
      <c r="XC524"/>
      <c r="XD524"/>
      <c r="XE524"/>
      <c r="XF524"/>
      <c r="XG524"/>
      <c r="XH524"/>
      <c r="XI524"/>
      <c r="XJ524"/>
      <c r="XK524"/>
      <c r="XL524"/>
      <c r="XM524"/>
      <c r="XN524"/>
      <c r="XO524"/>
      <c r="XP524"/>
      <c r="XQ524"/>
      <c r="XR524"/>
      <c r="XS524"/>
      <c r="XT524"/>
      <c r="XU524"/>
      <c r="XV524"/>
      <c r="XW524"/>
      <c r="XX524"/>
      <c r="XY524"/>
      <c r="XZ524"/>
      <c r="YA524"/>
      <c r="YB524"/>
      <c r="YC524"/>
      <c r="YD524"/>
      <c r="YE524"/>
      <c r="YF524"/>
      <c r="YG524"/>
      <c r="YH524"/>
      <c r="YI524"/>
      <c r="YJ524"/>
      <c r="YK524"/>
      <c r="YL524"/>
      <c r="YM524"/>
      <c r="YN524"/>
      <c r="YO524"/>
      <c r="YP524"/>
      <c r="YQ524"/>
      <c r="YR524"/>
      <c r="YS524"/>
      <c r="YT524"/>
      <c r="YU524"/>
      <c r="YV524"/>
      <c r="YW524"/>
      <c r="YX524"/>
      <c r="YY524"/>
      <c r="YZ524"/>
      <c r="ZA524"/>
      <c r="ZB524"/>
      <c r="ZC524"/>
      <c r="ZD524"/>
      <c r="ZE524"/>
      <c r="ZF524"/>
      <c r="ZG524"/>
      <c r="ZH524"/>
      <c r="ZI524"/>
      <c r="ZJ524"/>
      <c r="ZK524"/>
      <c r="ZL524"/>
      <c r="ZM524"/>
      <c r="ZN524"/>
      <c r="ZO524"/>
      <c r="ZP524"/>
      <c r="ZQ524"/>
      <c r="ZR524"/>
      <c r="ZS524"/>
      <c r="ZT524"/>
      <c r="ZU524"/>
      <c r="ZV524"/>
      <c r="ZW524"/>
      <c r="ZX524"/>
      <c r="ZY524"/>
      <c r="ZZ524"/>
      <c r="AAA524"/>
      <c r="AAB524"/>
      <c r="AAC524"/>
      <c r="AAD524"/>
      <c r="AAE524"/>
      <c r="AAF524"/>
      <c r="AAG524"/>
      <c r="AAH524"/>
      <c r="AAI524"/>
      <c r="AAJ524"/>
      <c r="AAK524"/>
      <c r="AAL524"/>
      <c r="AAM524"/>
      <c r="AAN524"/>
      <c r="AAO524"/>
      <c r="AAP524"/>
      <c r="AAQ524"/>
      <c r="AAR524"/>
      <c r="AAS524"/>
      <c r="AAT524"/>
      <c r="AAU524"/>
      <c r="AAV524"/>
      <c r="AAW524"/>
      <c r="AAX524"/>
      <c r="AAY524"/>
      <c r="AAZ524"/>
      <c r="ABA524"/>
      <c r="ABB524"/>
      <c r="ABC524"/>
      <c r="ABD524"/>
      <c r="ABE524"/>
      <c r="ABF524"/>
      <c r="ABG524"/>
      <c r="ABH524"/>
      <c r="ABI524"/>
      <c r="ABJ524"/>
      <c r="ABK524"/>
      <c r="ABL524"/>
      <c r="ABM524"/>
      <c r="ABN524"/>
      <c r="ABO524"/>
      <c r="ABP524"/>
      <c r="ABQ524"/>
      <c r="ABR524"/>
      <c r="ABS524"/>
      <c r="ABT524"/>
      <c r="ABU524"/>
      <c r="ABV524"/>
      <c r="ABW524"/>
      <c r="ABX524"/>
      <c r="ABY524"/>
      <c r="ABZ524"/>
      <c r="ACA524"/>
      <c r="ACB524"/>
      <c r="ACC524"/>
      <c r="ACD524"/>
      <c r="ACE524"/>
      <c r="ACF524"/>
      <c r="ACG524"/>
      <c r="ACH524"/>
      <c r="ACI524"/>
      <c r="ACJ524"/>
      <c r="ACK524"/>
      <c r="ACL524"/>
      <c r="ACM524"/>
      <c r="ACN524"/>
      <c r="ACO524"/>
      <c r="ACP524"/>
      <c r="ACQ524"/>
      <c r="ACR524"/>
      <c r="ACS524"/>
      <c r="ACT524"/>
      <c r="ACU524"/>
      <c r="ACV524"/>
      <c r="ACW524"/>
      <c r="ACX524"/>
      <c r="ACY524"/>
      <c r="ACZ524"/>
      <c r="ADA524"/>
      <c r="ADB524"/>
      <c r="ADC524"/>
      <c r="ADD524"/>
      <c r="ADE524"/>
      <c r="ADF524"/>
      <c r="ADG524"/>
      <c r="ADH524"/>
      <c r="ADI524"/>
      <c r="ADJ524"/>
      <c r="ADK524"/>
      <c r="ADL524"/>
      <c r="ADM524"/>
      <c r="ADN524"/>
      <c r="ADO524"/>
      <c r="ADP524"/>
      <c r="ADQ524"/>
      <c r="ADR524"/>
      <c r="ADS524"/>
      <c r="ADT524"/>
      <c r="ADU524"/>
      <c r="ADV524"/>
      <c r="ADW524"/>
      <c r="ADX524"/>
      <c r="ADY524"/>
      <c r="ADZ524"/>
      <c r="AEA524"/>
      <c r="AEB524"/>
      <c r="AEC524"/>
      <c r="AED524"/>
      <c r="AEE524"/>
      <c r="AEF524"/>
      <c r="AEG524"/>
      <c r="AEH524"/>
      <c r="AEI524"/>
      <c r="AEJ524"/>
      <c r="AEK524"/>
      <c r="AEL524"/>
      <c r="AEM524"/>
      <c r="AEN524"/>
      <c r="AEO524"/>
      <c r="AEP524"/>
      <c r="AEQ524"/>
      <c r="AER524"/>
      <c r="AES524"/>
      <c r="AET524"/>
      <c r="AEU524"/>
      <c r="AEV524"/>
      <c r="AEW524"/>
      <c r="AEX524"/>
      <c r="AEY524"/>
      <c r="AEZ524"/>
      <c r="AFA524"/>
      <c r="AFB524"/>
      <c r="AFC524"/>
      <c r="AFD524"/>
      <c r="AFE524"/>
      <c r="AFF524"/>
      <c r="AFG524"/>
      <c r="AFH524"/>
      <c r="AFI524"/>
      <c r="AFJ524"/>
      <c r="AFK524"/>
      <c r="AFL524"/>
      <c r="AFM524"/>
      <c r="AFN524"/>
      <c r="AFO524"/>
      <c r="AFP524"/>
      <c r="AFQ524"/>
      <c r="AFR524"/>
      <c r="AFS524"/>
      <c r="AFT524"/>
      <c r="AFU524"/>
      <c r="AFV524"/>
      <c r="AFW524"/>
      <c r="AFX524"/>
      <c r="AFY524"/>
      <c r="AFZ524"/>
      <c r="AGA524"/>
      <c r="AGB524"/>
      <c r="AGC524"/>
      <c r="AGD524"/>
      <c r="AGE524"/>
      <c r="AGF524"/>
      <c r="AGG524"/>
      <c r="AGH524"/>
      <c r="AGI524"/>
      <c r="AGJ524"/>
      <c r="AGK524"/>
      <c r="AGL524"/>
      <c r="AGM524"/>
      <c r="AGN524"/>
      <c r="AGO524"/>
      <c r="AGP524"/>
      <c r="AGQ524"/>
      <c r="AGR524"/>
      <c r="AGS524"/>
      <c r="AGT524"/>
      <c r="AGU524"/>
    </row>
    <row r="525" spans="1:879" x14ac:dyDescent="0.2">
      <c r="A525" s="134">
        <v>45366</v>
      </c>
      <c r="B525" s="135">
        <f>YEAR(source[[#This Row],[report_date]])</f>
        <v>2024</v>
      </c>
      <c r="C525" s="136">
        <v>3</v>
      </c>
      <c r="D525" s="136">
        <f t="shared" si="39"/>
        <v>11</v>
      </c>
      <c r="E525" s="136">
        <f t="shared" si="40"/>
        <v>15</v>
      </c>
      <c r="F525" s="128" t="s">
        <v>56</v>
      </c>
      <c r="G525" s="128">
        <f>VLOOKUP(source[[#This Row],[lending_product_transform]],[3]Mapping!$B$4:$C$37,2,0)</f>
        <v>0</v>
      </c>
      <c r="H525" s="128">
        <f>VLOOKUP(source[[#This Row],[lending_product_transform]],[3]Mapping!$B$3:$D$37,3,0)</f>
        <v>0</v>
      </c>
      <c r="I525" s="135">
        <v>6266413873</v>
      </c>
      <c r="K525" s="550" t="s">
        <v>11</v>
      </c>
      <c r="L525" s="477">
        <v>521395250000</v>
      </c>
      <c r="M525" s="477">
        <v>382394060000</v>
      </c>
      <c r="N525" s="477">
        <v>495963240000</v>
      </c>
      <c r="O525" s="477">
        <v>492075490000</v>
      </c>
      <c r="P525" s="477">
        <v>168117780000</v>
      </c>
      <c r="Q525" s="477">
        <v>2059945820000</v>
      </c>
      <c r="R525" s="477">
        <v>2059945820000</v>
      </c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/>
      <c r="MI525"/>
      <c r="MJ525"/>
      <c r="MK525"/>
      <c r="ML525"/>
      <c r="MM525"/>
      <c r="MN525"/>
      <c r="MO525"/>
      <c r="MP525"/>
      <c r="MQ525"/>
      <c r="MR525"/>
      <c r="MS525"/>
      <c r="MT525"/>
      <c r="MU525"/>
      <c r="MV525"/>
      <c r="MW525"/>
      <c r="MX525"/>
      <c r="MY525"/>
      <c r="MZ525"/>
      <c r="NA525"/>
      <c r="NB525"/>
      <c r="NC525"/>
      <c r="ND525"/>
      <c r="NE525"/>
      <c r="NF525"/>
      <c r="NG525"/>
      <c r="NH525"/>
      <c r="NI525"/>
      <c r="NJ525"/>
      <c r="NK525"/>
      <c r="NL525"/>
      <c r="NM525"/>
      <c r="NN525"/>
      <c r="NO525"/>
      <c r="NP525"/>
      <c r="NQ525"/>
      <c r="NR525"/>
      <c r="NS525"/>
      <c r="NT525"/>
      <c r="NU525"/>
      <c r="NV525"/>
      <c r="NW525"/>
      <c r="NX525"/>
      <c r="NY525"/>
      <c r="NZ525"/>
      <c r="OA525"/>
      <c r="OB525"/>
      <c r="OC525"/>
      <c r="OD525"/>
      <c r="OE525"/>
      <c r="OF525"/>
      <c r="OG525"/>
      <c r="OH525"/>
      <c r="OI525"/>
      <c r="OJ525"/>
      <c r="OK525"/>
      <c r="OL525"/>
      <c r="OM525"/>
      <c r="ON525"/>
      <c r="OO525"/>
      <c r="OP525"/>
      <c r="OQ525"/>
      <c r="OR525"/>
      <c r="OS525"/>
      <c r="OT525"/>
      <c r="OU525"/>
      <c r="OV525"/>
      <c r="OW525"/>
      <c r="OX525"/>
      <c r="OY525"/>
      <c r="OZ525"/>
      <c r="PA525"/>
      <c r="PB525"/>
      <c r="PC525"/>
      <c r="PD525"/>
      <c r="PE525"/>
      <c r="PF525"/>
      <c r="PG525"/>
      <c r="PH525"/>
      <c r="PI525"/>
      <c r="PJ525"/>
      <c r="PK525"/>
      <c r="PL525"/>
      <c r="PM525"/>
      <c r="PN525"/>
      <c r="PO525"/>
      <c r="PP525"/>
      <c r="PQ525"/>
      <c r="PR525"/>
      <c r="PS525"/>
      <c r="PT525"/>
      <c r="PU525"/>
      <c r="PV525"/>
      <c r="PW525"/>
      <c r="PX525"/>
      <c r="PY525"/>
      <c r="PZ525"/>
      <c r="QA525"/>
      <c r="QB525"/>
      <c r="QC525"/>
      <c r="QD525"/>
      <c r="QE525"/>
      <c r="QF525"/>
      <c r="QG525"/>
      <c r="QH525"/>
      <c r="QI525"/>
      <c r="QJ525"/>
      <c r="QK525"/>
      <c r="QL525"/>
      <c r="QM525"/>
      <c r="QN525"/>
      <c r="QO525"/>
      <c r="QP525"/>
      <c r="QQ525"/>
      <c r="QR525"/>
      <c r="QS525"/>
      <c r="QT525"/>
      <c r="QU525"/>
      <c r="QV525"/>
      <c r="QW525"/>
      <c r="QX525"/>
      <c r="QY525"/>
      <c r="QZ525"/>
      <c r="RA525"/>
      <c r="RB525"/>
      <c r="RC525"/>
      <c r="RD525"/>
      <c r="RE525"/>
      <c r="RF525"/>
      <c r="RG525"/>
      <c r="RH525"/>
      <c r="RI525"/>
      <c r="RJ525"/>
      <c r="RK525"/>
      <c r="RL525"/>
      <c r="RM525"/>
      <c r="RN525"/>
      <c r="RO525"/>
      <c r="RP525"/>
      <c r="RQ525"/>
      <c r="RR525"/>
      <c r="RS525"/>
      <c r="RT525"/>
      <c r="RU525"/>
      <c r="RV525"/>
      <c r="RW525"/>
      <c r="RX525"/>
      <c r="RY525"/>
      <c r="RZ525"/>
      <c r="SA525"/>
      <c r="SB525"/>
      <c r="SC525"/>
      <c r="SD525"/>
      <c r="SE525"/>
      <c r="SF525"/>
      <c r="SG525"/>
      <c r="SH525"/>
      <c r="SI525"/>
      <c r="SJ525"/>
      <c r="SK525"/>
      <c r="SL525"/>
      <c r="SM525"/>
      <c r="SN525"/>
      <c r="SO525"/>
      <c r="SP525"/>
      <c r="SQ525"/>
      <c r="SR525"/>
      <c r="SS525"/>
      <c r="ST525"/>
      <c r="SU525"/>
      <c r="SV525"/>
      <c r="SW525"/>
      <c r="SX525"/>
      <c r="SY525"/>
      <c r="SZ525"/>
      <c r="TA525"/>
      <c r="TB525"/>
      <c r="TC525"/>
      <c r="TD525"/>
      <c r="TE525"/>
      <c r="TF525"/>
      <c r="TG525"/>
      <c r="TH525"/>
      <c r="TI525"/>
      <c r="TJ525"/>
      <c r="TK525"/>
      <c r="TL525"/>
      <c r="TM525"/>
      <c r="TN525"/>
      <c r="TO525"/>
      <c r="TP525"/>
      <c r="TQ525"/>
      <c r="TR525"/>
      <c r="TS525"/>
      <c r="TT525"/>
      <c r="TU525"/>
      <c r="TV525"/>
      <c r="TW525"/>
      <c r="TX525"/>
      <c r="TY525"/>
      <c r="TZ525"/>
      <c r="UA525"/>
      <c r="UB525"/>
      <c r="UC525"/>
      <c r="UD525"/>
      <c r="UE525"/>
      <c r="UF525"/>
      <c r="UG525"/>
      <c r="UH525"/>
      <c r="UI525"/>
      <c r="UJ525"/>
      <c r="UK525"/>
      <c r="UL525"/>
      <c r="UM525"/>
      <c r="UN525"/>
      <c r="UO525"/>
      <c r="UP525"/>
      <c r="UQ525"/>
      <c r="UR525"/>
      <c r="US525"/>
      <c r="UT525"/>
      <c r="UU525"/>
      <c r="UV525"/>
      <c r="UW525"/>
      <c r="UX525"/>
      <c r="UY525"/>
      <c r="UZ525"/>
      <c r="VA525"/>
      <c r="VB525"/>
      <c r="VC525"/>
      <c r="VD525"/>
      <c r="VE525"/>
      <c r="VF525"/>
      <c r="VG525"/>
      <c r="VH525"/>
      <c r="VI525"/>
      <c r="VJ525"/>
      <c r="VK525"/>
      <c r="VL525"/>
      <c r="VM525"/>
      <c r="VN525"/>
      <c r="VO525"/>
      <c r="VP525"/>
      <c r="VQ525"/>
      <c r="VR525"/>
      <c r="VS525"/>
      <c r="VT525"/>
      <c r="VU525"/>
      <c r="VV525"/>
      <c r="VW525"/>
      <c r="VX525"/>
      <c r="VY525"/>
      <c r="VZ525"/>
      <c r="WA525"/>
      <c r="WB525"/>
      <c r="WC525"/>
      <c r="WD525"/>
      <c r="WE525"/>
      <c r="WF525"/>
      <c r="WG525"/>
      <c r="WH525"/>
      <c r="WI525"/>
      <c r="WJ525"/>
      <c r="WK525"/>
      <c r="WL525"/>
      <c r="WM525"/>
      <c r="WN525"/>
      <c r="WO525"/>
      <c r="WP525"/>
      <c r="WQ525"/>
      <c r="WR525"/>
      <c r="WS525"/>
      <c r="WT525"/>
      <c r="WU525"/>
      <c r="WV525"/>
      <c r="WW525"/>
      <c r="WX525"/>
      <c r="WY525"/>
      <c r="WZ525"/>
      <c r="XA525"/>
      <c r="XB525"/>
      <c r="XC525"/>
      <c r="XD525"/>
      <c r="XE525"/>
      <c r="XF525"/>
      <c r="XG525"/>
      <c r="XH525"/>
      <c r="XI525"/>
      <c r="XJ525"/>
      <c r="XK525"/>
      <c r="XL525"/>
      <c r="XM525"/>
      <c r="XN525"/>
      <c r="XO525"/>
      <c r="XP525"/>
      <c r="XQ525"/>
      <c r="XR525"/>
      <c r="XS525"/>
      <c r="XT525"/>
      <c r="XU525"/>
      <c r="XV525"/>
      <c r="XW525"/>
      <c r="XX525"/>
      <c r="XY525"/>
      <c r="XZ525"/>
      <c r="YA525"/>
      <c r="YB525"/>
      <c r="YC525"/>
      <c r="YD525"/>
      <c r="YE525"/>
      <c r="YF525"/>
      <c r="YG525"/>
      <c r="YH525"/>
      <c r="YI525"/>
      <c r="YJ525"/>
      <c r="YK525"/>
      <c r="YL525"/>
      <c r="YM525"/>
      <c r="YN525"/>
      <c r="YO525"/>
      <c r="YP525"/>
      <c r="YQ525"/>
      <c r="YR525"/>
      <c r="YS525"/>
      <c r="YT525"/>
      <c r="YU525"/>
      <c r="YV525"/>
      <c r="YW525"/>
      <c r="YX525"/>
      <c r="YY525"/>
      <c r="YZ525"/>
      <c r="ZA525"/>
      <c r="ZB525"/>
      <c r="ZC525"/>
      <c r="ZD525"/>
      <c r="ZE525"/>
      <c r="ZF525"/>
      <c r="ZG525"/>
      <c r="ZH525"/>
      <c r="ZI525"/>
      <c r="ZJ525"/>
      <c r="ZK525"/>
      <c r="ZL525"/>
      <c r="ZM525"/>
      <c r="ZN525"/>
      <c r="ZO525"/>
      <c r="ZP525"/>
      <c r="ZQ525"/>
      <c r="ZR525"/>
      <c r="ZS525"/>
      <c r="ZT525"/>
      <c r="ZU525"/>
      <c r="ZV525"/>
      <c r="ZW525"/>
      <c r="ZX525"/>
      <c r="ZY525"/>
      <c r="ZZ525"/>
      <c r="AAA525"/>
      <c r="AAB525"/>
      <c r="AAC525"/>
      <c r="AAD525"/>
      <c r="AAE525"/>
      <c r="AAF525"/>
      <c r="AAG525"/>
      <c r="AAH525"/>
      <c r="AAI525"/>
      <c r="AAJ525"/>
      <c r="AAK525"/>
      <c r="AAL525"/>
      <c r="AAM525"/>
      <c r="AAN525"/>
      <c r="AAO525"/>
      <c r="AAP525"/>
      <c r="AAQ525"/>
      <c r="AAR525"/>
      <c r="AAS525"/>
      <c r="AAT525"/>
      <c r="AAU525"/>
      <c r="AAV525"/>
      <c r="AAW525"/>
      <c r="AAX525"/>
      <c r="AAY525"/>
      <c r="AAZ525"/>
      <c r="ABA525"/>
      <c r="ABB525"/>
      <c r="ABC525"/>
      <c r="ABD525"/>
      <c r="ABE525"/>
      <c r="ABF525"/>
      <c r="ABG525"/>
      <c r="ABH525"/>
      <c r="ABI525"/>
      <c r="ABJ525"/>
      <c r="ABK525"/>
      <c r="ABL525"/>
      <c r="ABM525"/>
      <c r="ABN525"/>
      <c r="ABO525"/>
      <c r="ABP525"/>
      <c r="ABQ525"/>
      <c r="ABR525"/>
      <c r="ABS525"/>
      <c r="ABT525"/>
      <c r="ABU525"/>
      <c r="ABV525"/>
      <c r="ABW525"/>
      <c r="ABX525"/>
      <c r="ABY525"/>
      <c r="ABZ525"/>
      <c r="ACA525"/>
      <c r="ACB525"/>
      <c r="ACC525"/>
      <c r="ACD525"/>
      <c r="ACE525"/>
      <c r="ACF525"/>
      <c r="ACG525"/>
      <c r="ACH525"/>
      <c r="ACI525"/>
      <c r="ACJ525"/>
      <c r="ACK525"/>
      <c r="ACL525"/>
      <c r="ACM525"/>
      <c r="ACN525"/>
      <c r="ACO525"/>
      <c r="ACP525"/>
      <c r="ACQ525"/>
      <c r="ACR525"/>
      <c r="ACS525"/>
      <c r="ACT525"/>
      <c r="ACU525"/>
      <c r="ACV525"/>
      <c r="ACW525"/>
      <c r="ACX525"/>
      <c r="ACY525"/>
      <c r="ACZ525"/>
      <c r="ADA525"/>
      <c r="ADB525"/>
      <c r="ADC525"/>
      <c r="ADD525"/>
      <c r="ADE525"/>
      <c r="ADF525"/>
      <c r="ADG525"/>
      <c r="ADH525"/>
      <c r="ADI525"/>
      <c r="ADJ525"/>
      <c r="ADK525"/>
      <c r="ADL525"/>
      <c r="ADM525"/>
      <c r="ADN525"/>
      <c r="ADO525"/>
      <c r="ADP525"/>
      <c r="ADQ525"/>
      <c r="ADR525"/>
      <c r="ADS525"/>
      <c r="ADT525"/>
      <c r="ADU525"/>
      <c r="ADV525"/>
      <c r="ADW525"/>
      <c r="ADX525"/>
      <c r="ADY525"/>
      <c r="ADZ525"/>
      <c r="AEA525"/>
      <c r="AEB525"/>
      <c r="AEC525"/>
      <c r="AED525"/>
      <c r="AEE525"/>
      <c r="AEF525"/>
      <c r="AEG525"/>
      <c r="AEH525"/>
      <c r="AEI525"/>
      <c r="AEJ525"/>
      <c r="AEK525"/>
      <c r="AEL525"/>
      <c r="AEM525"/>
      <c r="AEN525"/>
      <c r="AEO525"/>
      <c r="AEP525"/>
      <c r="AEQ525"/>
      <c r="AER525"/>
      <c r="AES525"/>
      <c r="AET525"/>
      <c r="AEU525"/>
      <c r="AEV525"/>
      <c r="AEW525"/>
      <c r="AEX525"/>
      <c r="AEY525"/>
      <c r="AEZ525"/>
      <c r="AFA525"/>
      <c r="AFB525"/>
      <c r="AFC525"/>
      <c r="AFD525"/>
      <c r="AFE525"/>
      <c r="AFF525"/>
      <c r="AFG525"/>
      <c r="AFH525"/>
      <c r="AFI525"/>
      <c r="AFJ525"/>
      <c r="AFK525"/>
      <c r="AFL525"/>
      <c r="AFM525"/>
      <c r="AFN525"/>
      <c r="AFO525"/>
      <c r="AFP525"/>
      <c r="AFQ525"/>
      <c r="AFR525"/>
      <c r="AFS525"/>
      <c r="AFT525"/>
      <c r="AFU525"/>
      <c r="AFV525"/>
      <c r="AFW525"/>
      <c r="AFX525"/>
      <c r="AFY525"/>
      <c r="AFZ525"/>
      <c r="AGA525"/>
      <c r="AGB525"/>
      <c r="AGC525"/>
      <c r="AGD525"/>
      <c r="AGE525"/>
      <c r="AGF525"/>
      <c r="AGG525"/>
      <c r="AGH525"/>
      <c r="AGI525"/>
      <c r="AGJ525"/>
      <c r="AGK525"/>
      <c r="AGL525"/>
      <c r="AGM525"/>
      <c r="AGN525"/>
      <c r="AGO525"/>
      <c r="AGP525"/>
      <c r="AGQ525"/>
      <c r="AGR525"/>
      <c r="AGS525"/>
      <c r="AGT525"/>
      <c r="AGU525"/>
    </row>
    <row r="526" spans="1:879" x14ac:dyDescent="0.2">
      <c r="A526" s="134">
        <v>45366</v>
      </c>
      <c r="B526" s="135">
        <f>YEAR(source[[#This Row],[report_date]])</f>
        <v>2024</v>
      </c>
      <c r="C526" s="136">
        <v>3</v>
      </c>
      <c r="D526" s="136">
        <f t="shared" si="39"/>
        <v>11</v>
      </c>
      <c r="E526" s="136">
        <f t="shared" si="40"/>
        <v>15</v>
      </c>
      <c r="F526" s="128" t="s">
        <v>11</v>
      </c>
      <c r="G526" s="128" t="str">
        <f>VLOOKUP(source[[#This Row],[lending_product_transform]],[3]Mapping!$B$4:$C$37,2,0)</f>
        <v>[VDS] - Cashloan</v>
      </c>
      <c r="H526" s="128" t="str">
        <f>VLOOKUP(source[[#This Row],[lending_product_transform]],[3]Mapping!$B$3:$D$37,3,0)</f>
        <v>cashloan</v>
      </c>
      <c r="I526" s="135">
        <v>1607890000</v>
      </c>
      <c r="K526" s="550" t="s">
        <v>221</v>
      </c>
      <c r="L526" s="477">
        <v>0</v>
      </c>
      <c r="M526" s="477">
        <v>0</v>
      </c>
      <c r="N526" s="477">
        <v>0</v>
      </c>
      <c r="O526" s="477">
        <v>0</v>
      </c>
      <c r="P526" s="477">
        <v>0</v>
      </c>
      <c r="Q526" s="477">
        <v>0</v>
      </c>
      <c r="R526" s="477">
        <v>0</v>
      </c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/>
      <c r="MI526"/>
      <c r="MJ526"/>
      <c r="MK526"/>
      <c r="ML526"/>
      <c r="MM526"/>
      <c r="MN526"/>
      <c r="MO526"/>
      <c r="MP526"/>
      <c r="MQ526"/>
      <c r="MR526"/>
      <c r="MS526"/>
      <c r="MT526"/>
      <c r="MU526"/>
      <c r="MV526"/>
      <c r="MW526"/>
      <c r="MX526"/>
      <c r="MY526"/>
      <c r="MZ526"/>
      <c r="NA526"/>
      <c r="NB526"/>
      <c r="NC526"/>
      <c r="ND526"/>
      <c r="NE526"/>
      <c r="NF526"/>
      <c r="NG526"/>
      <c r="NH526"/>
      <c r="NI526"/>
      <c r="NJ526"/>
      <c r="NK526"/>
      <c r="NL526"/>
      <c r="NM526"/>
      <c r="NN526"/>
      <c r="NO526"/>
      <c r="NP526"/>
      <c r="NQ526"/>
      <c r="NR526"/>
      <c r="NS526"/>
      <c r="NT526"/>
      <c r="NU526"/>
      <c r="NV526"/>
      <c r="NW526"/>
      <c r="NX526"/>
      <c r="NY526"/>
      <c r="NZ526"/>
      <c r="OA526"/>
      <c r="OB526"/>
      <c r="OC526"/>
      <c r="OD526"/>
      <c r="OE526"/>
      <c r="OF526"/>
      <c r="OG526"/>
      <c r="OH526"/>
      <c r="OI526"/>
      <c r="OJ526"/>
      <c r="OK526"/>
      <c r="OL526"/>
      <c r="OM526"/>
      <c r="ON526"/>
      <c r="OO526"/>
      <c r="OP526"/>
      <c r="OQ526"/>
      <c r="OR526"/>
      <c r="OS526"/>
      <c r="OT526"/>
      <c r="OU526"/>
      <c r="OV526"/>
      <c r="OW526"/>
      <c r="OX526"/>
      <c r="OY526"/>
      <c r="OZ526"/>
      <c r="PA526"/>
      <c r="PB526"/>
      <c r="PC526"/>
      <c r="PD526"/>
      <c r="PE526"/>
      <c r="PF526"/>
      <c r="PG526"/>
      <c r="PH526"/>
      <c r="PI526"/>
      <c r="PJ526"/>
      <c r="PK526"/>
      <c r="PL526"/>
      <c r="PM526"/>
      <c r="PN526"/>
      <c r="PO526"/>
      <c r="PP526"/>
      <c r="PQ526"/>
      <c r="PR526"/>
      <c r="PS526"/>
      <c r="PT526"/>
      <c r="PU526"/>
      <c r="PV526"/>
      <c r="PW526"/>
      <c r="PX526"/>
      <c r="PY526"/>
      <c r="PZ526"/>
      <c r="QA526"/>
      <c r="QB526"/>
      <c r="QC526"/>
      <c r="QD526"/>
      <c r="QE526"/>
      <c r="QF526"/>
      <c r="QG526"/>
      <c r="QH526"/>
      <c r="QI526"/>
      <c r="QJ526"/>
      <c r="QK526"/>
      <c r="QL526"/>
      <c r="QM526"/>
      <c r="QN526"/>
      <c r="QO526"/>
      <c r="QP526"/>
      <c r="QQ526"/>
      <c r="QR526"/>
      <c r="QS526"/>
      <c r="QT526"/>
      <c r="QU526"/>
      <c r="QV526"/>
      <c r="QW526"/>
      <c r="QX526"/>
      <c r="QY526"/>
      <c r="QZ526"/>
      <c r="RA526"/>
      <c r="RB526"/>
      <c r="RC526"/>
      <c r="RD526"/>
      <c r="RE526"/>
      <c r="RF526"/>
      <c r="RG526"/>
      <c r="RH526"/>
      <c r="RI526"/>
      <c r="RJ526"/>
      <c r="RK526"/>
      <c r="RL526"/>
      <c r="RM526"/>
      <c r="RN526"/>
      <c r="RO526"/>
      <c r="RP526"/>
      <c r="RQ526"/>
      <c r="RR526"/>
      <c r="RS526"/>
      <c r="RT526"/>
      <c r="RU526"/>
      <c r="RV526"/>
      <c r="RW526"/>
      <c r="RX526"/>
      <c r="RY526"/>
      <c r="RZ526"/>
      <c r="SA526"/>
      <c r="SB526"/>
      <c r="SC526"/>
      <c r="SD526"/>
      <c r="SE526"/>
      <c r="SF526"/>
      <c r="SG526"/>
      <c r="SH526"/>
      <c r="SI526"/>
      <c r="SJ526"/>
      <c r="SK526"/>
      <c r="SL526"/>
      <c r="SM526"/>
      <c r="SN526"/>
      <c r="SO526"/>
      <c r="SP526"/>
      <c r="SQ526"/>
      <c r="SR526"/>
      <c r="SS526"/>
      <c r="ST526"/>
      <c r="SU526"/>
      <c r="SV526"/>
      <c r="SW526"/>
      <c r="SX526"/>
      <c r="SY526"/>
      <c r="SZ526"/>
      <c r="TA526"/>
      <c r="TB526"/>
      <c r="TC526"/>
      <c r="TD526"/>
      <c r="TE526"/>
      <c r="TF526"/>
      <c r="TG526"/>
      <c r="TH526"/>
      <c r="TI526"/>
      <c r="TJ526"/>
      <c r="TK526"/>
      <c r="TL526"/>
      <c r="TM526"/>
      <c r="TN526"/>
      <c r="TO526"/>
      <c r="TP526"/>
      <c r="TQ526"/>
      <c r="TR526"/>
      <c r="TS526"/>
      <c r="TT526"/>
      <c r="TU526"/>
      <c r="TV526"/>
      <c r="TW526"/>
      <c r="TX526"/>
      <c r="TY526"/>
      <c r="TZ526"/>
      <c r="UA526"/>
      <c r="UB526"/>
      <c r="UC526"/>
      <c r="UD526"/>
      <c r="UE526"/>
      <c r="UF526"/>
      <c r="UG526"/>
      <c r="UH526"/>
      <c r="UI526"/>
      <c r="UJ526"/>
      <c r="UK526"/>
      <c r="UL526"/>
      <c r="UM526"/>
      <c r="UN526"/>
      <c r="UO526"/>
      <c r="UP526"/>
      <c r="UQ526"/>
      <c r="UR526"/>
      <c r="US526"/>
      <c r="UT526"/>
      <c r="UU526"/>
      <c r="UV526"/>
      <c r="UW526"/>
      <c r="UX526"/>
      <c r="UY526"/>
      <c r="UZ526"/>
      <c r="VA526"/>
      <c r="VB526"/>
      <c r="VC526"/>
      <c r="VD526"/>
      <c r="VE526"/>
      <c r="VF526"/>
      <c r="VG526"/>
      <c r="VH526"/>
      <c r="VI526"/>
      <c r="VJ526"/>
      <c r="VK526"/>
      <c r="VL526"/>
      <c r="VM526"/>
      <c r="VN526"/>
      <c r="VO526"/>
      <c r="VP526"/>
      <c r="VQ526"/>
      <c r="VR526"/>
      <c r="VS526"/>
      <c r="VT526"/>
      <c r="VU526"/>
      <c r="VV526"/>
      <c r="VW526"/>
      <c r="VX526"/>
      <c r="VY526"/>
      <c r="VZ526"/>
      <c r="WA526"/>
      <c r="WB526"/>
      <c r="WC526"/>
      <c r="WD526"/>
      <c r="WE526"/>
      <c r="WF526"/>
      <c r="WG526"/>
      <c r="WH526"/>
      <c r="WI526"/>
      <c r="WJ526"/>
      <c r="WK526"/>
      <c r="WL526"/>
      <c r="WM526"/>
      <c r="WN526"/>
      <c r="WO526"/>
      <c r="WP526"/>
      <c r="WQ526"/>
      <c r="WR526"/>
      <c r="WS526"/>
      <c r="WT526"/>
      <c r="WU526"/>
      <c r="WV526"/>
      <c r="WW526"/>
      <c r="WX526"/>
      <c r="WY526"/>
      <c r="WZ526"/>
      <c r="XA526"/>
      <c r="XB526"/>
      <c r="XC526"/>
      <c r="XD526"/>
      <c r="XE526"/>
      <c r="XF526"/>
      <c r="XG526"/>
      <c r="XH526"/>
      <c r="XI526"/>
      <c r="XJ526"/>
      <c r="XK526"/>
      <c r="XL526"/>
      <c r="XM526"/>
      <c r="XN526"/>
      <c r="XO526"/>
      <c r="XP526"/>
      <c r="XQ526"/>
      <c r="XR526"/>
      <c r="XS526"/>
      <c r="XT526"/>
      <c r="XU526"/>
      <c r="XV526"/>
      <c r="XW526"/>
      <c r="XX526"/>
      <c r="XY526"/>
      <c r="XZ526"/>
      <c r="YA526"/>
      <c r="YB526"/>
      <c r="YC526"/>
      <c r="YD526"/>
      <c r="YE526"/>
      <c r="YF526"/>
      <c r="YG526"/>
      <c r="YH526"/>
      <c r="YI526"/>
      <c r="YJ526"/>
      <c r="YK526"/>
      <c r="YL526"/>
      <c r="YM526"/>
      <c r="YN526"/>
      <c r="YO526"/>
      <c r="YP526"/>
      <c r="YQ526"/>
      <c r="YR526"/>
      <c r="YS526"/>
      <c r="YT526"/>
      <c r="YU526"/>
      <c r="YV526"/>
      <c r="YW526"/>
      <c r="YX526"/>
      <c r="YY526"/>
      <c r="YZ526"/>
      <c r="ZA526"/>
      <c r="ZB526"/>
      <c r="ZC526"/>
      <c r="ZD526"/>
      <c r="ZE526"/>
      <c r="ZF526"/>
      <c r="ZG526"/>
      <c r="ZH526"/>
      <c r="ZI526"/>
      <c r="ZJ526"/>
      <c r="ZK526"/>
      <c r="ZL526"/>
      <c r="ZM526"/>
      <c r="ZN526"/>
      <c r="ZO526"/>
      <c r="ZP526"/>
      <c r="ZQ526"/>
      <c r="ZR526"/>
      <c r="ZS526"/>
      <c r="ZT526"/>
      <c r="ZU526"/>
      <c r="ZV526"/>
      <c r="ZW526"/>
      <c r="ZX526"/>
      <c r="ZY526"/>
      <c r="ZZ526"/>
      <c r="AAA526"/>
      <c r="AAB526"/>
      <c r="AAC526"/>
      <c r="AAD526"/>
      <c r="AAE526"/>
      <c r="AAF526"/>
      <c r="AAG526"/>
      <c r="AAH526"/>
      <c r="AAI526"/>
      <c r="AAJ526"/>
      <c r="AAK526"/>
      <c r="AAL526"/>
      <c r="AAM526"/>
      <c r="AAN526"/>
      <c r="AAO526"/>
      <c r="AAP526"/>
      <c r="AAQ526"/>
      <c r="AAR526"/>
      <c r="AAS526"/>
      <c r="AAT526"/>
      <c r="AAU526"/>
      <c r="AAV526"/>
      <c r="AAW526"/>
      <c r="AAX526"/>
      <c r="AAY526"/>
      <c r="AAZ526"/>
      <c r="ABA526"/>
      <c r="ABB526"/>
      <c r="ABC526"/>
      <c r="ABD526"/>
      <c r="ABE526"/>
      <c r="ABF526"/>
      <c r="ABG526"/>
      <c r="ABH526"/>
      <c r="ABI526"/>
      <c r="ABJ526"/>
      <c r="ABK526"/>
      <c r="ABL526"/>
      <c r="ABM526"/>
      <c r="ABN526"/>
      <c r="ABO526"/>
      <c r="ABP526"/>
      <c r="ABQ526"/>
      <c r="ABR526"/>
      <c r="ABS526"/>
      <c r="ABT526"/>
      <c r="ABU526"/>
      <c r="ABV526"/>
      <c r="ABW526"/>
      <c r="ABX526"/>
      <c r="ABY526"/>
      <c r="ABZ526"/>
      <c r="ACA526"/>
      <c r="ACB526"/>
      <c r="ACC526"/>
      <c r="ACD526"/>
      <c r="ACE526"/>
      <c r="ACF526"/>
      <c r="ACG526"/>
      <c r="ACH526"/>
      <c r="ACI526"/>
      <c r="ACJ526"/>
      <c r="ACK526"/>
      <c r="ACL526"/>
      <c r="ACM526"/>
      <c r="ACN526"/>
      <c r="ACO526"/>
      <c r="ACP526"/>
      <c r="ACQ526"/>
      <c r="ACR526"/>
      <c r="ACS526"/>
      <c r="ACT526"/>
      <c r="ACU526"/>
      <c r="ACV526"/>
      <c r="ACW526"/>
      <c r="ACX526"/>
      <c r="ACY526"/>
      <c r="ACZ526"/>
      <c r="ADA526"/>
      <c r="ADB526"/>
      <c r="ADC526"/>
      <c r="ADD526"/>
      <c r="ADE526"/>
      <c r="ADF526"/>
      <c r="ADG526"/>
      <c r="ADH526"/>
      <c r="ADI526"/>
      <c r="ADJ526"/>
      <c r="ADK526"/>
      <c r="ADL526"/>
      <c r="ADM526"/>
      <c r="ADN526"/>
      <c r="ADO526"/>
      <c r="ADP526"/>
      <c r="ADQ526"/>
      <c r="ADR526"/>
      <c r="ADS526"/>
      <c r="ADT526"/>
      <c r="ADU526"/>
      <c r="ADV526"/>
      <c r="ADW526"/>
      <c r="ADX526"/>
      <c r="ADY526"/>
      <c r="ADZ526"/>
      <c r="AEA526"/>
      <c r="AEB526"/>
      <c r="AEC526"/>
      <c r="AED526"/>
      <c r="AEE526"/>
      <c r="AEF526"/>
      <c r="AEG526"/>
      <c r="AEH526"/>
      <c r="AEI526"/>
      <c r="AEJ526"/>
      <c r="AEK526"/>
      <c r="AEL526"/>
      <c r="AEM526"/>
      <c r="AEN526"/>
      <c r="AEO526"/>
      <c r="AEP526"/>
      <c r="AEQ526"/>
      <c r="AER526"/>
      <c r="AES526"/>
      <c r="AET526"/>
      <c r="AEU526"/>
      <c r="AEV526"/>
      <c r="AEW526"/>
      <c r="AEX526"/>
      <c r="AEY526"/>
      <c r="AEZ526"/>
      <c r="AFA526"/>
      <c r="AFB526"/>
      <c r="AFC526"/>
      <c r="AFD526"/>
      <c r="AFE526"/>
      <c r="AFF526"/>
      <c r="AFG526"/>
      <c r="AFH526"/>
      <c r="AFI526"/>
      <c r="AFJ526"/>
      <c r="AFK526"/>
      <c r="AFL526"/>
      <c r="AFM526"/>
      <c r="AFN526"/>
      <c r="AFO526"/>
      <c r="AFP526"/>
      <c r="AFQ526"/>
      <c r="AFR526"/>
      <c r="AFS526"/>
      <c r="AFT526"/>
      <c r="AFU526"/>
      <c r="AFV526"/>
      <c r="AFW526"/>
      <c r="AFX526"/>
      <c r="AFY526"/>
      <c r="AFZ526"/>
      <c r="AGA526"/>
      <c r="AGB526"/>
      <c r="AGC526"/>
      <c r="AGD526"/>
      <c r="AGE526"/>
      <c r="AGF526"/>
      <c r="AGG526"/>
      <c r="AGH526"/>
      <c r="AGI526"/>
      <c r="AGJ526"/>
      <c r="AGK526"/>
      <c r="AGL526"/>
      <c r="AGM526"/>
      <c r="AGN526"/>
      <c r="AGO526"/>
      <c r="AGP526"/>
      <c r="AGQ526"/>
      <c r="AGR526"/>
      <c r="AGS526"/>
      <c r="AGT526"/>
      <c r="AGU526"/>
    </row>
    <row r="527" spans="1:879" x14ac:dyDescent="0.2">
      <c r="A527" s="134">
        <v>45366</v>
      </c>
      <c r="B527" s="135">
        <f>YEAR(source[[#This Row],[report_date]])</f>
        <v>2024</v>
      </c>
      <c r="C527" s="136">
        <v>3</v>
      </c>
      <c r="D527" s="136">
        <f t="shared" si="39"/>
        <v>11</v>
      </c>
      <c r="E527" s="136">
        <f t="shared" si="40"/>
        <v>15</v>
      </c>
      <c r="F527" s="128" t="s">
        <v>61</v>
      </c>
      <c r="G527" s="128" t="str">
        <f>VLOOKUP(source[[#This Row],[lending_product_transform]],[3]Mapping!$B$4:$C$37,2,0)</f>
        <v>[VDS] - Payroll Payday</v>
      </c>
      <c r="H527" s="128" t="str">
        <f>VLOOKUP(source[[#This Row],[lending_product_transform]],[3]Mapping!$B$3:$D$37,3,0)</f>
        <v>payday</v>
      </c>
      <c r="I527" s="135">
        <v>25000000</v>
      </c>
      <c r="K527" s="550" t="s">
        <v>222</v>
      </c>
      <c r="L527" s="477">
        <v>0</v>
      </c>
      <c r="M527" s="477">
        <v>0</v>
      </c>
      <c r="N527" s="477">
        <v>0</v>
      </c>
      <c r="O527" s="477">
        <v>0</v>
      </c>
      <c r="P527" s="477">
        <v>0</v>
      </c>
      <c r="Q527" s="477">
        <v>0</v>
      </c>
      <c r="R527" s="477">
        <v>0</v>
      </c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/>
      <c r="NO527"/>
      <c r="NP527"/>
      <c r="NQ527"/>
      <c r="NR527"/>
      <c r="NS527"/>
      <c r="NT527"/>
      <c r="NU527"/>
      <c r="NV527"/>
      <c r="NW527"/>
      <c r="NX527"/>
      <c r="NY527"/>
      <c r="NZ527"/>
      <c r="OA527"/>
      <c r="OB527"/>
      <c r="OC527"/>
      <c r="OD527"/>
      <c r="OE527"/>
      <c r="OF527"/>
      <c r="OG527"/>
      <c r="OH527"/>
      <c r="OI527"/>
      <c r="OJ527"/>
      <c r="OK527"/>
      <c r="OL527"/>
      <c r="OM527"/>
      <c r="ON527"/>
      <c r="OO527"/>
      <c r="OP527"/>
      <c r="OQ527"/>
      <c r="OR527"/>
      <c r="OS527"/>
      <c r="OT527"/>
      <c r="OU527"/>
      <c r="OV527"/>
      <c r="OW527"/>
      <c r="OX527"/>
      <c r="OY527"/>
      <c r="OZ527"/>
      <c r="PA527"/>
      <c r="PB527"/>
      <c r="PC527"/>
      <c r="PD527"/>
      <c r="PE527"/>
      <c r="PF527"/>
      <c r="PG527"/>
      <c r="PH527"/>
      <c r="PI527"/>
      <c r="PJ527"/>
      <c r="PK527"/>
      <c r="PL527"/>
      <c r="PM527"/>
      <c r="PN527"/>
      <c r="PO527"/>
      <c r="PP527"/>
      <c r="PQ527"/>
      <c r="PR527"/>
      <c r="PS527"/>
      <c r="PT527"/>
      <c r="PU527"/>
      <c r="PV527"/>
      <c r="PW527"/>
      <c r="PX527"/>
      <c r="PY527"/>
      <c r="PZ527"/>
      <c r="QA527"/>
      <c r="QB527"/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/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/>
      <c r="SM527"/>
      <c r="SN527"/>
      <c r="SO527"/>
      <c r="SP527"/>
      <c r="SQ527"/>
      <c r="SR527"/>
      <c r="SS527"/>
      <c r="ST527"/>
      <c r="SU527"/>
      <c r="SV527"/>
      <c r="SW527"/>
      <c r="SX527"/>
      <c r="SY527"/>
      <c r="SZ527"/>
      <c r="TA527"/>
      <c r="TB527"/>
      <c r="TC527"/>
      <c r="TD527"/>
      <c r="TE527"/>
      <c r="TF527"/>
      <c r="TG527"/>
      <c r="TH527"/>
      <c r="TI527"/>
      <c r="TJ527"/>
      <c r="TK527"/>
      <c r="TL527"/>
      <c r="TM527"/>
      <c r="TN527"/>
      <c r="TO527"/>
      <c r="TP527"/>
      <c r="TQ527"/>
      <c r="TR527"/>
      <c r="TS527"/>
      <c r="TT527"/>
      <c r="TU527"/>
      <c r="TV527"/>
      <c r="TW527"/>
      <c r="TX527"/>
      <c r="TY527"/>
      <c r="TZ527"/>
      <c r="UA527"/>
      <c r="UB527"/>
      <c r="UC527"/>
      <c r="UD527"/>
      <c r="UE527"/>
      <c r="UF527"/>
      <c r="UG527"/>
      <c r="UH527"/>
      <c r="UI527"/>
      <c r="UJ527"/>
      <c r="UK527"/>
      <c r="UL527"/>
      <c r="UM527"/>
      <c r="UN527"/>
      <c r="UO527"/>
      <c r="UP527"/>
      <c r="UQ527"/>
      <c r="UR527"/>
      <c r="US527"/>
      <c r="UT527"/>
      <c r="UU527"/>
      <c r="UV527"/>
      <c r="UW527"/>
      <c r="UX527"/>
      <c r="UY527"/>
      <c r="UZ527"/>
      <c r="VA527"/>
      <c r="VB527"/>
      <c r="VC527"/>
      <c r="VD527"/>
      <c r="VE527"/>
      <c r="VF527"/>
      <c r="VG527"/>
      <c r="VH527"/>
      <c r="VI527"/>
      <c r="VJ527"/>
      <c r="VK527"/>
      <c r="VL527"/>
      <c r="VM527"/>
      <c r="VN527"/>
      <c r="VO527"/>
      <c r="VP527"/>
      <c r="VQ527"/>
      <c r="VR527"/>
      <c r="VS527"/>
      <c r="VT527"/>
      <c r="VU527"/>
      <c r="VV527"/>
      <c r="VW527"/>
      <c r="VX527"/>
      <c r="VY527"/>
      <c r="VZ527"/>
      <c r="WA527"/>
      <c r="WB527"/>
      <c r="WC527"/>
      <c r="WD527"/>
      <c r="WE527"/>
      <c r="WF527"/>
      <c r="WG527"/>
      <c r="WH527"/>
      <c r="WI527"/>
      <c r="WJ527"/>
      <c r="WK527"/>
      <c r="WL527"/>
      <c r="WM527"/>
      <c r="WN527"/>
      <c r="WO527"/>
      <c r="WP527"/>
      <c r="WQ527"/>
      <c r="WR527"/>
      <c r="WS527"/>
      <c r="WT527"/>
      <c r="WU527"/>
      <c r="WV527"/>
      <c r="WW527"/>
      <c r="WX527"/>
      <c r="WY527"/>
      <c r="WZ527"/>
      <c r="XA527"/>
      <c r="XB527"/>
      <c r="XC527"/>
      <c r="XD527"/>
      <c r="XE527"/>
      <c r="XF527"/>
      <c r="XG527"/>
      <c r="XH527"/>
      <c r="XI527"/>
      <c r="XJ527"/>
      <c r="XK527"/>
      <c r="XL527"/>
      <c r="XM527"/>
      <c r="XN527"/>
      <c r="XO527"/>
      <c r="XP527"/>
      <c r="XQ527"/>
      <c r="XR527"/>
      <c r="XS527"/>
      <c r="XT527"/>
      <c r="XU527"/>
      <c r="XV527"/>
      <c r="XW527"/>
      <c r="XX527"/>
      <c r="XY527"/>
      <c r="XZ527"/>
      <c r="YA527"/>
      <c r="YB527"/>
      <c r="YC527"/>
      <c r="YD527"/>
      <c r="YE527"/>
      <c r="YF527"/>
      <c r="YG527"/>
      <c r="YH527"/>
      <c r="YI527"/>
      <c r="YJ527"/>
      <c r="YK527"/>
      <c r="YL527"/>
      <c r="YM527"/>
      <c r="YN527"/>
      <c r="YO527"/>
      <c r="YP527"/>
      <c r="YQ527"/>
      <c r="YR527"/>
      <c r="YS527"/>
      <c r="YT527"/>
      <c r="YU527"/>
      <c r="YV527"/>
      <c r="YW527"/>
      <c r="YX527"/>
      <c r="YY527"/>
      <c r="YZ527"/>
      <c r="ZA527"/>
      <c r="ZB527"/>
      <c r="ZC527"/>
      <c r="ZD527"/>
      <c r="ZE527"/>
      <c r="ZF527"/>
      <c r="ZG527"/>
      <c r="ZH527"/>
      <c r="ZI527"/>
      <c r="ZJ527"/>
      <c r="ZK527"/>
      <c r="ZL527"/>
      <c r="ZM527"/>
      <c r="ZN527"/>
      <c r="ZO527"/>
      <c r="ZP527"/>
      <c r="ZQ527"/>
      <c r="ZR527"/>
      <c r="ZS527"/>
      <c r="ZT527"/>
      <c r="ZU527"/>
      <c r="ZV527"/>
      <c r="ZW527"/>
      <c r="ZX527"/>
      <c r="ZY527"/>
      <c r="ZZ527"/>
      <c r="AAA527"/>
      <c r="AAB527"/>
      <c r="AAC527"/>
      <c r="AAD527"/>
      <c r="AAE527"/>
      <c r="AAF527"/>
      <c r="AAG527"/>
      <c r="AAH527"/>
      <c r="AAI527"/>
      <c r="AAJ527"/>
      <c r="AAK527"/>
      <c r="AAL527"/>
      <c r="AAM527"/>
      <c r="AAN527"/>
      <c r="AAO527"/>
      <c r="AAP527"/>
      <c r="AAQ527"/>
      <c r="AAR527"/>
      <c r="AAS527"/>
      <c r="AAT527"/>
      <c r="AAU527"/>
      <c r="AAV527"/>
      <c r="AAW527"/>
      <c r="AAX527"/>
      <c r="AAY527"/>
      <c r="AAZ527"/>
      <c r="ABA527"/>
      <c r="ABB527"/>
      <c r="ABC527"/>
      <c r="ABD527"/>
      <c r="ABE527"/>
      <c r="ABF527"/>
      <c r="ABG527"/>
      <c r="ABH527"/>
      <c r="ABI527"/>
      <c r="ABJ527"/>
      <c r="ABK527"/>
      <c r="ABL527"/>
      <c r="ABM527"/>
      <c r="ABN527"/>
      <c r="ABO527"/>
      <c r="ABP527"/>
      <c r="ABQ527"/>
      <c r="ABR527"/>
      <c r="ABS527"/>
      <c r="ABT527"/>
      <c r="ABU527"/>
      <c r="ABV527"/>
      <c r="ABW527"/>
      <c r="ABX527"/>
      <c r="ABY527"/>
      <c r="ABZ527"/>
      <c r="ACA527"/>
      <c r="ACB527"/>
      <c r="ACC527"/>
      <c r="ACD527"/>
      <c r="ACE527"/>
      <c r="ACF527"/>
      <c r="ACG527"/>
      <c r="ACH527"/>
      <c r="ACI527"/>
      <c r="ACJ527"/>
      <c r="ACK527"/>
      <c r="ACL527"/>
      <c r="ACM527"/>
      <c r="ACN527"/>
      <c r="ACO527"/>
      <c r="ACP527"/>
      <c r="ACQ527"/>
      <c r="ACR527"/>
      <c r="ACS527"/>
      <c r="ACT527"/>
      <c r="ACU527"/>
      <c r="ACV527"/>
      <c r="ACW527"/>
      <c r="ACX527"/>
      <c r="ACY527"/>
      <c r="ACZ527"/>
      <c r="ADA527"/>
      <c r="ADB527"/>
      <c r="ADC527"/>
      <c r="ADD527"/>
      <c r="ADE527"/>
      <c r="ADF527"/>
      <c r="ADG527"/>
      <c r="ADH527"/>
      <c r="ADI527"/>
      <c r="ADJ527"/>
      <c r="ADK527"/>
      <c r="ADL527"/>
      <c r="ADM527"/>
      <c r="ADN527"/>
      <c r="ADO527"/>
      <c r="ADP527"/>
      <c r="ADQ527"/>
      <c r="ADR527"/>
      <c r="ADS527"/>
      <c r="ADT527"/>
      <c r="ADU527"/>
      <c r="ADV527"/>
      <c r="ADW527"/>
      <c r="ADX527"/>
      <c r="ADY527"/>
      <c r="ADZ527"/>
      <c r="AEA527"/>
      <c r="AEB527"/>
      <c r="AEC527"/>
      <c r="AED527"/>
      <c r="AEE527"/>
      <c r="AEF527"/>
      <c r="AEG527"/>
      <c r="AEH527"/>
      <c r="AEI527"/>
      <c r="AEJ527"/>
      <c r="AEK527"/>
      <c r="AEL527"/>
      <c r="AEM527"/>
      <c r="AEN527"/>
      <c r="AEO527"/>
      <c r="AEP527"/>
      <c r="AEQ527"/>
      <c r="AER527"/>
      <c r="AES527"/>
      <c r="AET527"/>
      <c r="AEU527"/>
      <c r="AEV527"/>
      <c r="AEW527"/>
      <c r="AEX527"/>
      <c r="AEY527"/>
      <c r="AEZ527"/>
      <c r="AFA527"/>
      <c r="AFB527"/>
      <c r="AFC527"/>
      <c r="AFD527"/>
      <c r="AFE527"/>
      <c r="AFF527"/>
      <c r="AFG527"/>
      <c r="AFH527"/>
      <c r="AFI527"/>
      <c r="AFJ527"/>
      <c r="AFK527"/>
      <c r="AFL527"/>
      <c r="AFM527"/>
      <c r="AFN527"/>
      <c r="AFO527"/>
      <c r="AFP527"/>
      <c r="AFQ527"/>
      <c r="AFR527"/>
      <c r="AFS527"/>
      <c r="AFT527"/>
      <c r="AFU527"/>
      <c r="AFV527"/>
      <c r="AFW527"/>
      <c r="AFX527"/>
      <c r="AFY527"/>
      <c r="AFZ527"/>
      <c r="AGA527"/>
      <c r="AGB527"/>
      <c r="AGC527"/>
      <c r="AGD527"/>
      <c r="AGE527"/>
      <c r="AGF527"/>
      <c r="AGG527"/>
      <c r="AGH527"/>
      <c r="AGI527"/>
      <c r="AGJ527"/>
      <c r="AGK527"/>
      <c r="AGL527"/>
      <c r="AGM527"/>
      <c r="AGN527"/>
      <c r="AGO527"/>
      <c r="AGP527"/>
      <c r="AGQ527"/>
      <c r="AGR527"/>
      <c r="AGS527"/>
      <c r="AGT527"/>
      <c r="AGU527"/>
    </row>
    <row r="528" spans="1:879" x14ac:dyDescent="0.2">
      <c r="A528" s="134">
        <v>45367</v>
      </c>
      <c r="B528" s="135">
        <f>YEAR(source[[#This Row],[report_date]])</f>
        <v>2024</v>
      </c>
      <c r="C528" s="136">
        <v>3</v>
      </c>
      <c r="D528" s="136">
        <f t="shared" si="39"/>
        <v>11</v>
      </c>
      <c r="E528" s="136">
        <f t="shared" si="40"/>
        <v>16</v>
      </c>
      <c r="F528" s="128" t="s">
        <v>56</v>
      </c>
      <c r="G528" s="128">
        <f>VLOOKUP(source[[#This Row],[lending_product_transform]],[3]Mapping!$B$4:$C$37,2,0)</f>
        <v>0</v>
      </c>
      <c r="H528" s="128">
        <f>VLOOKUP(source[[#This Row],[lending_product_transform]],[3]Mapping!$B$3:$D$37,3,0)</f>
        <v>0</v>
      </c>
      <c r="I528" s="135">
        <v>5041001781</v>
      </c>
      <c r="K528" s="550" t="s">
        <v>223</v>
      </c>
      <c r="L528" s="477">
        <v>0</v>
      </c>
      <c r="M528" s="477">
        <v>0</v>
      </c>
      <c r="N528" s="477">
        <v>0</v>
      </c>
      <c r="O528" s="477">
        <v>0</v>
      </c>
      <c r="P528" s="477">
        <v>0</v>
      </c>
      <c r="Q528" s="477">
        <v>0</v>
      </c>
      <c r="R528" s="477">
        <v>0</v>
      </c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/>
      <c r="MI528"/>
      <c r="MJ528"/>
      <c r="MK528"/>
      <c r="ML528"/>
      <c r="MM528"/>
      <c r="MN528"/>
      <c r="MO528"/>
      <c r="MP528"/>
      <c r="MQ528"/>
      <c r="MR528"/>
      <c r="MS528"/>
      <c r="MT528"/>
      <c r="MU528"/>
      <c r="MV528"/>
      <c r="MW528"/>
      <c r="MX528"/>
      <c r="MY528"/>
      <c r="MZ528"/>
      <c r="NA528"/>
      <c r="NB528"/>
      <c r="NC528"/>
      <c r="ND528"/>
      <c r="NE528"/>
      <c r="NF528"/>
      <c r="NG528"/>
      <c r="NH528"/>
      <c r="NI528"/>
      <c r="NJ528"/>
      <c r="NK528"/>
      <c r="NL528"/>
      <c r="NM528"/>
      <c r="NN528"/>
      <c r="NO528"/>
      <c r="NP528"/>
      <c r="NQ528"/>
      <c r="NR528"/>
      <c r="NS528"/>
      <c r="NT528"/>
      <c r="NU528"/>
      <c r="NV528"/>
      <c r="NW528"/>
      <c r="NX528"/>
      <c r="NY528"/>
      <c r="NZ528"/>
      <c r="OA528"/>
      <c r="OB528"/>
      <c r="OC528"/>
      <c r="OD528"/>
      <c r="OE528"/>
      <c r="OF528"/>
      <c r="OG528"/>
      <c r="OH528"/>
      <c r="OI528"/>
      <c r="OJ528"/>
      <c r="OK528"/>
      <c r="OL528"/>
      <c r="OM528"/>
      <c r="ON528"/>
      <c r="OO528"/>
      <c r="OP528"/>
      <c r="OQ528"/>
      <c r="OR528"/>
      <c r="OS528"/>
      <c r="OT528"/>
      <c r="OU528"/>
      <c r="OV528"/>
      <c r="OW528"/>
      <c r="OX528"/>
      <c r="OY528"/>
      <c r="OZ528"/>
      <c r="PA528"/>
      <c r="PB528"/>
      <c r="PC528"/>
      <c r="PD528"/>
      <c r="PE528"/>
      <c r="PF528"/>
      <c r="PG528"/>
      <c r="PH528"/>
      <c r="PI528"/>
      <c r="PJ528"/>
      <c r="PK528"/>
      <c r="PL528"/>
      <c r="PM528"/>
      <c r="PN528"/>
      <c r="PO528"/>
      <c r="PP528"/>
      <c r="PQ528"/>
      <c r="PR528"/>
      <c r="PS528"/>
      <c r="PT528"/>
      <c r="PU528"/>
      <c r="PV528"/>
      <c r="PW528"/>
      <c r="PX528"/>
      <c r="PY528"/>
      <c r="PZ528"/>
      <c r="QA528"/>
      <c r="QB528"/>
      <c r="QC528"/>
      <c r="QD528"/>
      <c r="QE528"/>
      <c r="QF528"/>
      <c r="QG528"/>
      <c r="QH528"/>
      <c r="QI528"/>
      <c r="QJ528"/>
      <c r="QK528"/>
      <c r="QL528"/>
      <c r="QM528"/>
      <c r="QN528"/>
      <c r="QO528"/>
      <c r="QP528"/>
      <c r="QQ528"/>
      <c r="QR528"/>
      <c r="QS528"/>
      <c r="QT528"/>
      <c r="QU528"/>
      <c r="QV528"/>
      <c r="QW528"/>
      <c r="QX528"/>
      <c r="QY528"/>
      <c r="QZ528"/>
      <c r="RA528"/>
      <c r="RB528"/>
      <c r="RC528"/>
      <c r="RD528"/>
      <c r="RE528"/>
      <c r="RF528"/>
      <c r="RG528"/>
      <c r="RH528"/>
      <c r="RI528"/>
      <c r="RJ528"/>
      <c r="RK528"/>
      <c r="RL528"/>
      <c r="RM528"/>
      <c r="RN528"/>
      <c r="RO528"/>
      <c r="RP528"/>
      <c r="RQ528"/>
      <c r="RR528"/>
      <c r="RS528"/>
      <c r="RT528"/>
      <c r="RU528"/>
      <c r="RV528"/>
      <c r="RW528"/>
      <c r="RX528"/>
      <c r="RY528"/>
      <c r="RZ528"/>
      <c r="SA528"/>
      <c r="SB528"/>
      <c r="SC528"/>
      <c r="SD528"/>
      <c r="SE528"/>
      <c r="SF528"/>
      <c r="SG528"/>
      <c r="SH528"/>
      <c r="SI528"/>
      <c r="SJ528"/>
      <c r="SK528"/>
      <c r="SL528"/>
      <c r="SM528"/>
      <c r="SN528"/>
      <c r="SO528"/>
      <c r="SP528"/>
      <c r="SQ528"/>
      <c r="SR528"/>
      <c r="SS528"/>
      <c r="ST528"/>
      <c r="SU528"/>
      <c r="SV528"/>
      <c r="SW528"/>
      <c r="SX528"/>
      <c r="SY528"/>
      <c r="SZ528"/>
      <c r="TA528"/>
      <c r="TB528"/>
      <c r="TC528"/>
      <c r="TD528"/>
      <c r="TE528"/>
      <c r="TF528"/>
      <c r="TG528"/>
      <c r="TH528"/>
      <c r="TI528"/>
      <c r="TJ528"/>
      <c r="TK528"/>
      <c r="TL528"/>
      <c r="TM528"/>
      <c r="TN528"/>
      <c r="TO528"/>
      <c r="TP528"/>
      <c r="TQ528"/>
      <c r="TR528"/>
      <c r="TS528"/>
      <c r="TT528"/>
      <c r="TU528"/>
      <c r="TV528"/>
      <c r="TW528"/>
      <c r="TX528"/>
      <c r="TY528"/>
      <c r="TZ528"/>
      <c r="UA528"/>
      <c r="UB528"/>
      <c r="UC528"/>
      <c r="UD528"/>
      <c r="UE528"/>
      <c r="UF528"/>
      <c r="UG528"/>
      <c r="UH528"/>
      <c r="UI528"/>
      <c r="UJ528"/>
      <c r="UK528"/>
      <c r="UL528"/>
      <c r="UM528"/>
      <c r="UN528"/>
      <c r="UO528"/>
      <c r="UP528"/>
      <c r="UQ528"/>
      <c r="UR528"/>
      <c r="US528"/>
      <c r="UT528"/>
      <c r="UU528"/>
      <c r="UV528"/>
      <c r="UW528"/>
      <c r="UX528"/>
      <c r="UY528"/>
      <c r="UZ528"/>
      <c r="VA528"/>
      <c r="VB528"/>
      <c r="VC528"/>
      <c r="VD528"/>
      <c r="VE528"/>
      <c r="VF528"/>
      <c r="VG528"/>
      <c r="VH528"/>
      <c r="VI528"/>
      <c r="VJ528"/>
      <c r="VK528"/>
      <c r="VL528"/>
      <c r="VM528"/>
      <c r="VN528"/>
      <c r="VO528"/>
      <c r="VP528"/>
      <c r="VQ528"/>
      <c r="VR528"/>
      <c r="VS528"/>
      <c r="VT528"/>
      <c r="VU528"/>
      <c r="VV528"/>
      <c r="VW528"/>
      <c r="VX528"/>
      <c r="VY528"/>
      <c r="VZ528"/>
      <c r="WA528"/>
      <c r="WB528"/>
      <c r="WC528"/>
      <c r="WD528"/>
      <c r="WE528"/>
      <c r="WF528"/>
      <c r="WG528"/>
      <c r="WH528"/>
      <c r="WI528"/>
      <c r="WJ528"/>
      <c r="WK528"/>
      <c r="WL528"/>
      <c r="WM528"/>
      <c r="WN528"/>
      <c r="WO528"/>
      <c r="WP528"/>
      <c r="WQ528"/>
      <c r="WR528"/>
      <c r="WS528"/>
      <c r="WT528"/>
      <c r="WU528"/>
      <c r="WV528"/>
      <c r="WW528"/>
      <c r="WX528"/>
      <c r="WY528"/>
      <c r="WZ528"/>
      <c r="XA528"/>
      <c r="XB528"/>
      <c r="XC528"/>
      <c r="XD528"/>
      <c r="XE528"/>
      <c r="XF528"/>
      <c r="XG528"/>
      <c r="XH528"/>
      <c r="XI528"/>
      <c r="XJ528"/>
      <c r="XK528"/>
      <c r="XL528"/>
      <c r="XM528"/>
      <c r="XN528"/>
      <c r="XO528"/>
      <c r="XP528"/>
      <c r="XQ528"/>
      <c r="XR528"/>
      <c r="XS528"/>
      <c r="XT528"/>
      <c r="XU528"/>
      <c r="XV528"/>
      <c r="XW528"/>
      <c r="XX528"/>
      <c r="XY528"/>
      <c r="XZ528"/>
      <c r="YA528"/>
      <c r="YB528"/>
      <c r="YC528"/>
      <c r="YD528"/>
      <c r="YE528"/>
      <c r="YF528"/>
      <c r="YG528"/>
      <c r="YH528"/>
      <c r="YI528"/>
      <c r="YJ528"/>
      <c r="YK528"/>
      <c r="YL528"/>
      <c r="YM528"/>
      <c r="YN528"/>
      <c r="YO528"/>
      <c r="YP528"/>
      <c r="YQ528"/>
      <c r="YR528"/>
      <c r="YS528"/>
      <c r="YT528"/>
      <c r="YU528"/>
      <c r="YV528"/>
      <c r="YW528"/>
      <c r="YX528"/>
      <c r="YY528"/>
      <c r="YZ528"/>
      <c r="ZA528"/>
      <c r="ZB528"/>
      <c r="ZC528"/>
      <c r="ZD528"/>
      <c r="ZE528"/>
      <c r="ZF528"/>
      <c r="ZG528"/>
      <c r="ZH528"/>
      <c r="ZI528"/>
      <c r="ZJ528"/>
      <c r="ZK528"/>
      <c r="ZL528"/>
      <c r="ZM528"/>
      <c r="ZN528"/>
      <c r="ZO528"/>
      <c r="ZP528"/>
      <c r="ZQ528"/>
      <c r="ZR528"/>
      <c r="ZS528"/>
      <c r="ZT528"/>
      <c r="ZU528"/>
      <c r="ZV528"/>
      <c r="ZW528"/>
      <c r="ZX528"/>
      <c r="ZY528"/>
      <c r="ZZ528"/>
      <c r="AAA528"/>
      <c r="AAB528"/>
      <c r="AAC528"/>
      <c r="AAD528"/>
      <c r="AAE528"/>
      <c r="AAF528"/>
      <c r="AAG528"/>
      <c r="AAH528"/>
      <c r="AAI528"/>
      <c r="AAJ528"/>
      <c r="AAK528"/>
      <c r="AAL528"/>
      <c r="AAM528"/>
      <c r="AAN528"/>
      <c r="AAO528"/>
      <c r="AAP528"/>
      <c r="AAQ528"/>
      <c r="AAR528"/>
      <c r="AAS528"/>
      <c r="AAT528"/>
      <c r="AAU528"/>
      <c r="AAV528"/>
      <c r="AAW528"/>
      <c r="AAX528"/>
      <c r="AAY528"/>
      <c r="AAZ528"/>
      <c r="ABA528"/>
      <c r="ABB528"/>
      <c r="ABC528"/>
      <c r="ABD528"/>
      <c r="ABE528"/>
      <c r="ABF528"/>
      <c r="ABG528"/>
      <c r="ABH528"/>
      <c r="ABI528"/>
      <c r="ABJ528"/>
      <c r="ABK528"/>
      <c r="ABL528"/>
      <c r="ABM528"/>
      <c r="ABN528"/>
      <c r="ABO528"/>
      <c r="ABP528"/>
      <c r="ABQ528"/>
      <c r="ABR528"/>
      <c r="ABS528"/>
      <c r="ABT528"/>
      <c r="ABU528"/>
      <c r="ABV528"/>
      <c r="ABW528"/>
      <c r="ABX528"/>
      <c r="ABY528"/>
      <c r="ABZ528"/>
      <c r="ACA528"/>
      <c r="ACB528"/>
      <c r="ACC528"/>
      <c r="ACD528"/>
      <c r="ACE528"/>
      <c r="ACF528"/>
      <c r="ACG528"/>
      <c r="ACH528"/>
      <c r="ACI528"/>
      <c r="ACJ528"/>
      <c r="ACK528"/>
      <c r="ACL528"/>
      <c r="ACM528"/>
      <c r="ACN528"/>
      <c r="ACO528"/>
      <c r="ACP528"/>
      <c r="ACQ528"/>
      <c r="ACR528"/>
      <c r="ACS528"/>
      <c r="ACT528"/>
      <c r="ACU528"/>
      <c r="ACV528"/>
      <c r="ACW528"/>
      <c r="ACX528"/>
      <c r="ACY528"/>
      <c r="ACZ528"/>
      <c r="ADA528"/>
      <c r="ADB528"/>
      <c r="ADC528"/>
      <c r="ADD528"/>
      <c r="ADE528"/>
      <c r="ADF528"/>
      <c r="ADG528"/>
      <c r="ADH528"/>
      <c r="ADI528"/>
      <c r="ADJ528"/>
      <c r="ADK528"/>
      <c r="ADL528"/>
      <c r="ADM528"/>
      <c r="ADN528"/>
      <c r="ADO528"/>
      <c r="ADP528"/>
      <c r="ADQ528"/>
      <c r="ADR528"/>
      <c r="ADS528"/>
      <c r="ADT528"/>
      <c r="ADU528"/>
      <c r="ADV528"/>
      <c r="ADW528"/>
      <c r="ADX528"/>
      <c r="ADY528"/>
      <c r="ADZ528"/>
      <c r="AEA528"/>
      <c r="AEB528"/>
      <c r="AEC528"/>
      <c r="AED528"/>
      <c r="AEE528"/>
      <c r="AEF528"/>
      <c r="AEG528"/>
      <c r="AEH528"/>
      <c r="AEI528"/>
      <c r="AEJ528"/>
      <c r="AEK528"/>
      <c r="AEL528"/>
      <c r="AEM528"/>
      <c r="AEN528"/>
      <c r="AEO528"/>
      <c r="AEP528"/>
      <c r="AEQ528"/>
      <c r="AER528"/>
      <c r="AES528"/>
      <c r="AET528"/>
      <c r="AEU528"/>
      <c r="AEV528"/>
      <c r="AEW528"/>
      <c r="AEX528"/>
      <c r="AEY528"/>
      <c r="AEZ528"/>
      <c r="AFA528"/>
      <c r="AFB528"/>
      <c r="AFC528"/>
      <c r="AFD528"/>
      <c r="AFE528"/>
      <c r="AFF528"/>
      <c r="AFG528"/>
      <c r="AFH528"/>
      <c r="AFI528"/>
      <c r="AFJ528"/>
      <c r="AFK528"/>
      <c r="AFL528"/>
      <c r="AFM528"/>
      <c r="AFN528"/>
      <c r="AFO528"/>
      <c r="AFP528"/>
      <c r="AFQ528"/>
      <c r="AFR528"/>
      <c r="AFS528"/>
      <c r="AFT528"/>
      <c r="AFU528"/>
      <c r="AFV528"/>
      <c r="AFW528"/>
      <c r="AFX528"/>
      <c r="AFY528"/>
      <c r="AFZ528"/>
      <c r="AGA528"/>
      <c r="AGB528"/>
      <c r="AGC528"/>
      <c r="AGD528"/>
      <c r="AGE528"/>
      <c r="AGF528"/>
      <c r="AGG528"/>
      <c r="AGH528"/>
      <c r="AGI528"/>
      <c r="AGJ528"/>
      <c r="AGK528"/>
      <c r="AGL528"/>
      <c r="AGM528"/>
      <c r="AGN528"/>
      <c r="AGO528"/>
      <c r="AGP528"/>
      <c r="AGQ528"/>
      <c r="AGR528"/>
      <c r="AGS528"/>
      <c r="AGT528"/>
      <c r="AGU528"/>
    </row>
    <row r="529" spans="1:879" x14ac:dyDescent="0.2">
      <c r="A529" s="134">
        <v>45367</v>
      </c>
      <c r="B529" s="135">
        <f>YEAR(source[[#This Row],[report_date]])</f>
        <v>2024</v>
      </c>
      <c r="C529" s="136">
        <v>3</v>
      </c>
      <c r="D529" s="136">
        <f t="shared" si="39"/>
        <v>11</v>
      </c>
      <c r="E529" s="136">
        <f t="shared" si="40"/>
        <v>16</v>
      </c>
      <c r="F529" s="128" t="s">
        <v>11</v>
      </c>
      <c r="G529" s="128" t="str">
        <f>VLOOKUP(source[[#This Row],[lending_product_transform]],[3]Mapping!$B$4:$C$37,2,0)</f>
        <v>[VDS] - Cashloan</v>
      </c>
      <c r="H529" s="128" t="str">
        <f>VLOOKUP(source[[#This Row],[lending_product_transform]],[3]Mapping!$B$3:$D$37,3,0)</f>
        <v>cashloan</v>
      </c>
      <c r="I529" s="135">
        <v>1520660000</v>
      </c>
      <c r="K529" s="550" t="s">
        <v>219</v>
      </c>
      <c r="L529" s="477">
        <v>176700000</v>
      </c>
      <c r="M529" s="477">
        <v>151200000</v>
      </c>
      <c r="N529" s="477">
        <v>12000000</v>
      </c>
      <c r="O529" s="477">
        <v>26400000</v>
      </c>
      <c r="P529" s="477">
        <v>0</v>
      </c>
      <c r="Q529" s="477">
        <v>366300000</v>
      </c>
      <c r="R529" s="477">
        <v>366300000</v>
      </c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/>
      <c r="MI529"/>
      <c r="MJ529"/>
      <c r="MK529"/>
      <c r="ML529"/>
      <c r="MM529"/>
      <c r="MN529"/>
      <c r="MO529"/>
      <c r="MP529"/>
      <c r="MQ529"/>
      <c r="MR529"/>
      <c r="MS529"/>
      <c r="MT529"/>
      <c r="MU529"/>
      <c r="MV529"/>
      <c r="MW529"/>
      <c r="MX529"/>
      <c r="MY529"/>
      <c r="MZ529"/>
      <c r="NA529"/>
      <c r="NB529"/>
      <c r="NC529"/>
      <c r="ND529"/>
      <c r="NE529"/>
      <c r="NF529"/>
      <c r="NG529"/>
      <c r="NH529"/>
      <c r="NI529"/>
      <c r="NJ529"/>
      <c r="NK529"/>
      <c r="NL529"/>
      <c r="NM529"/>
      <c r="NN529"/>
      <c r="NO529"/>
      <c r="NP529"/>
      <c r="NQ529"/>
      <c r="NR529"/>
      <c r="NS529"/>
      <c r="NT529"/>
      <c r="NU529"/>
      <c r="NV529"/>
      <c r="NW529"/>
      <c r="NX529"/>
      <c r="NY529"/>
      <c r="NZ529"/>
      <c r="OA529"/>
      <c r="OB529"/>
      <c r="OC529"/>
      <c r="OD529"/>
      <c r="OE529"/>
      <c r="OF529"/>
      <c r="OG529"/>
      <c r="OH529"/>
      <c r="OI529"/>
      <c r="OJ529"/>
      <c r="OK529"/>
      <c r="OL529"/>
      <c r="OM529"/>
      <c r="ON529"/>
      <c r="OO529"/>
      <c r="OP529"/>
      <c r="OQ529"/>
      <c r="OR529"/>
      <c r="OS529"/>
      <c r="OT529"/>
      <c r="OU529"/>
      <c r="OV529"/>
      <c r="OW529"/>
      <c r="OX529"/>
      <c r="OY529"/>
      <c r="OZ529"/>
      <c r="PA529"/>
      <c r="PB529"/>
      <c r="PC529"/>
      <c r="PD529"/>
      <c r="PE529"/>
      <c r="PF529"/>
      <c r="PG529"/>
      <c r="PH529"/>
      <c r="PI529"/>
      <c r="PJ529"/>
      <c r="PK529"/>
      <c r="PL529"/>
      <c r="PM529"/>
      <c r="PN529"/>
      <c r="PO529"/>
      <c r="PP529"/>
      <c r="PQ529"/>
      <c r="PR529"/>
      <c r="PS529"/>
      <c r="PT529"/>
      <c r="PU529"/>
      <c r="PV529"/>
      <c r="PW529"/>
      <c r="PX529"/>
      <c r="PY529"/>
      <c r="PZ529"/>
      <c r="QA529"/>
      <c r="QB529"/>
      <c r="QC529"/>
      <c r="QD529"/>
      <c r="QE529"/>
      <c r="QF529"/>
      <c r="QG529"/>
      <c r="QH529"/>
      <c r="QI529"/>
      <c r="QJ529"/>
      <c r="QK529"/>
      <c r="QL529"/>
      <c r="QM529"/>
      <c r="QN529"/>
      <c r="QO529"/>
      <c r="QP529"/>
      <c r="QQ529"/>
      <c r="QR529"/>
      <c r="QS529"/>
      <c r="QT529"/>
      <c r="QU529"/>
      <c r="QV529"/>
      <c r="QW529"/>
      <c r="QX529"/>
      <c r="QY529"/>
      <c r="QZ529"/>
      <c r="RA529"/>
      <c r="RB529"/>
      <c r="RC529"/>
      <c r="RD529"/>
      <c r="RE529"/>
      <c r="RF529"/>
      <c r="RG529"/>
      <c r="RH529"/>
      <c r="RI529"/>
      <c r="RJ529"/>
      <c r="RK529"/>
      <c r="RL529"/>
      <c r="RM529"/>
      <c r="RN529"/>
      <c r="RO529"/>
      <c r="RP529"/>
      <c r="RQ529"/>
      <c r="RR529"/>
      <c r="RS529"/>
      <c r="RT529"/>
      <c r="RU529"/>
      <c r="RV529"/>
      <c r="RW529"/>
      <c r="RX529"/>
      <c r="RY529"/>
      <c r="RZ529"/>
      <c r="SA529"/>
      <c r="SB529"/>
      <c r="SC529"/>
      <c r="SD529"/>
      <c r="SE529"/>
      <c r="SF529"/>
      <c r="SG529"/>
      <c r="SH529"/>
      <c r="SI529"/>
      <c r="SJ529"/>
      <c r="SK529"/>
      <c r="SL529"/>
      <c r="SM529"/>
      <c r="SN529"/>
      <c r="SO529"/>
      <c r="SP529"/>
      <c r="SQ529"/>
      <c r="SR529"/>
      <c r="SS529"/>
      <c r="ST529"/>
      <c r="SU529"/>
      <c r="SV529"/>
      <c r="SW529"/>
      <c r="SX529"/>
      <c r="SY529"/>
      <c r="SZ529"/>
      <c r="TA529"/>
      <c r="TB529"/>
      <c r="TC529"/>
      <c r="TD529"/>
      <c r="TE529"/>
      <c r="TF529"/>
      <c r="TG529"/>
      <c r="TH529"/>
      <c r="TI529"/>
      <c r="TJ529"/>
      <c r="TK529"/>
      <c r="TL529"/>
      <c r="TM529"/>
      <c r="TN529"/>
      <c r="TO529"/>
      <c r="TP529"/>
      <c r="TQ529"/>
      <c r="TR529"/>
      <c r="TS529"/>
      <c r="TT529"/>
      <c r="TU529"/>
      <c r="TV529"/>
      <c r="TW529"/>
      <c r="TX529"/>
      <c r="TY529"/>
      <c r="TZ529"/>
      <c r="UA529"/>
      <c r="UB529"/>
      <c r="UC529"/>
      <c r="UD529"/>
      <c r="UE529"/>
      <c r="UF529"/>
      <c r="UG529"/>
      <c r="UH529"/>
      <c r="UI529"/>
      <c r="UJ529"/>
      <c r="UK529"/>
      <c r="UL529"/>
      <c r="UM529"/>
      <c r="UN529"/>
      <c r="UO529"/>
      <c r="UP529"/>
      <c r="UQ529"/>
      <c r="UR529"/>
      <c r="US529"/>
      <c r="UT529"/>
      <c r="UU529"/>
      <c r="UV529"/>
      <c r="UW529"/>
      <c r="UX529"/>
      <c r="UY529"/>
      <c r="UZ529"/>
      <c r="VA529"/>
      <c r="VB529"/>
      <c r="VC529"/>
      <c r="VD529"/>
      <c r="VE529"/>
      <c r="VF529"/>
      <c r="VG529"/>
      <c r="VH529"/>
      <c r="VI529"/>
      <c r="VJ529"/>
      <c r="VK529"/>
      <c r="VL529"/>
      <c r="VM529"/>
      <c r="VN529"/>
      <c r="VO529"/>
      <c r="VP529"/>
      <c r="VQ529"/>
      <c r="VR529"/>
      <c r="VS529"/>
      <c r="VT529"/>
      <c r="VU529"/>
      <c r="VV529"/>
      <c r="VW529"/>
      <c r="VX529"/>
      <c r="VY529"/>
      <c r="VZ529"/>
      <c r="WA529"/>
      <c r="WB529"/>
      <c r="WC529"/>
      <c r="WD529"/>
      <c r="WE529"/>
      <c r="WF529"/>
      <c r="WG529"/>
      <c r="WH529"/>
      <c r="WI529"/>
      <c r="WJ529"/>
      <c r="WK529"/>
      <c r="WL529"/>
      <c r="WM529"/>
      <c r="WN529"/>
      <c r="WO529"/>
      <c r="WP529"/>
      <c r="WQ529"/>
      <c r="WR529"/>
      <c r="WS529"/>
      <c r="WT529"/>
      <c r="WU529"/>
      <c r="WV529"/>
      <c r="WW529"/>
      <c r="WX529"/>
      <c r="WY529"/>
      <c r="WZ529"/>
      <c r="XA529"/>
      <c r="XB529"/>
      <c r="XC529"/>
      <c r="XD529"/>
      <c r="XE529"/>
      <c r="XF529"/>
      <c r="XG529"/>
      <c r="XH529"/>
      <c r="XI529"/>
      <c r="XJ529"/>
      <c r="XK529"/>
      <c r="XL529"/>
      <c r="XM529"/>
      <c r="XN529"/>
      <c r="XO529"/>
      <c r="XP529"/>
      <c r="XQ529"/>
      <c r="XR529"/>
      <c r="XS529"/>
      <c r="XT529"/>
      <c r="XU529"/>
      <c r="XV529"/>
      <c r="XW529"/>
      <c r="XX529"/>
      <c r="XY529"/>
      <c r="XZ529"/>
      <c r="YA529"/>
      <c r="YB529"/>
      <c r="YC529"/>
      <c r="YD529"/>
      <c r="YE529"/>
      <c r="YF529"/>
      <c r="YG529"/>
      <c r="YH529"/>
      <c r="YI529"/>
      <c r="YJ529"/>
      <c r="YK529"/>
      <c r="YL529"/>
      <c r="YM529"/>
      <c r="YN529"/>
      <c r="YO529"/>
      <c r="YP529"/>
      <c r="YQ529"/>
      <c r="YR529"/>
      <c r="YS529"/>
      <c r="YT529"/>
      <c r="YU529"/>
      <c r="YV529"/>
      <c r="YW529"/>
      <c r="YX529"/>
      <c r="YY529"/>
      <c r="YZ529"/>
      <c r="ZA529"/>
      <c r="ZB529"/>
      <c r="ZC529"/>
      <c r="ZD529"/>
      <c r="ZE529"/>
      <c r="ZF529"/>
      <c r="ZG529"/>
      <c r="ZH529"/>
      <c r="ZI529"/>
      <c r="ZJ529"/>
      <c r="ZK529"/>
      <c r="ZL529"/>
      <c r="ZM529"/>
      <c r="ZN529"/>
      <c r="ZO529"/>
      <c r="ZP529"/>
      <c r="ZQ529"/>
      <c r="ZR529"/>
      <c r="ZS529"/>
      <c r="ZT529"/>
      <c r="ZU529"/>
      <c r="ZV529"/>
      <c r="ZW529"/>
      <c r="ZX529"/>
      <c r="ZY529"/>
      <c r="ZZ529"/>
      <c r="AAA529"/>
      <c r="AAB529"/>
      <c r="AAC529"/>
      <c r="AAD529"/>
      <c r="AAE529"/>
      <c r="AAF529"/>
      <c r="AAG529"/>
      <c r="AAH529"/>
      <c r="AAI529"/>
      <c r="AAJ529"/>
      <c r="AAK529"/>
      <c r="AAL529"/>
      <c r="AAM529"/>
      <c r="AAN529"/>
      <c r="AAO529"/>
      <c r="AAP529"/>
      <c r="AAQ529"/>
      <c r="AAR529"/>
      <c r="AAS529"/>
      <c r="AAT529"/>
      <c r="AAU529"/>
      <c r="AAV529"/>
      <c r="AAW529"/>
      <c r="AAX529"/>
      <c r="AAY529"/>
      <c r="AAZ529"/>
      <c r="ABA529"/>
      <c r="ABB529"/>
      <c r="ABC529"/>
      <c r="ABD529"/>
      <c r="ABE529"/>
      <c r="ABF529"/>
      <c r="ABG529"/>
      <c r="ABH529"/>
      <c r="ABI529"/>
      <c r="ABJ529"/>
      <c r="ABK529"/>
      <c r="ABL529"/>
      <c r="ABM529"/>
      <c r="ABN529"/>
      <c r="ABO529"/>
      <c r="ABP529"/>
      <c r="ABQ529"/>
      <c r="ABR529"/>
      <c r="ABS529"/>
      <c r="ABT529"/>
      <c r="ABU529"/>
      <c r="ABV529"/>
      <c r="ABW529"/>
      <c r="ABX529"/>
      <c r="ABY529"/>
      <c r="ABZ529"/>
      <c r="ACA529"/>
      <c r="ACB529"/>
      <c r="ACC529"/>
      <c r="ACD529"/>
      <c r="ACE529"/>
      <c r="ACF529"/>
      <c r="ACG529"/>
      <c r="ACH529"/>
      <c r="ACI529"/>
      <c r="ACJ529"/>
      <c r="ACK529"/>
      <c r="ACL529"/>
      <c r="ACM529"/>
      <c r="ACN529"/>
      <c r="ACO529"/>
      <c r="ACP529"/>
      <c r="ACQ529"/>
      <c r="ACR529"/>
      <c r="ACS529"/>
      <c r="ACT529"/>
      <c r="ACU529"/>
      <c r="ACV529"/>
      <c r="ACW529"/>
      <c r="ACX529"/>
      <c r="ACY529"/>
      <c r="ACZ529"/>
      <c r="ADA529"/>
      <c r="ADB529"/>
      <c r="ADC529"/>
      <c r="ADD529"/>
      <c r="ADE529"/>
      <c r="ADF529"/>
      <c r="ADG529"/>
      <c r="ADH529"/>
      <c r="ADI529"/>
      <c r="ADJ529"/>
      <c r="ADK529"/>
      <c r="ADL529"/>
      <c r="ADM529"/>
      <c r="ADN529"/>
      <c r="ADO529"/>
      <c r="ADP529"/>
      <c r="ADQ529"/>
      <c r="ADR529"/>
      <c r="ADS529"/>
      <c r="ADT529"/>
      <c r="ADU529"/>
      <c r="ADV529"/>
      <c r="ADW529"/>
      <c r="ADX529"/>
      <c r="ADY529"/>
      <c r="ADZ529"/>
      <c r="AEA529"/>
      <c r="AEB529"/>
      <c r="AEC529"/>
      <c r="AED529"/>
      <c r="AEE529"/>
      <c r="AEF529"/>
      <c r="AEG529"/>
      <c r="AEH529"/>
      <c r="AEI529"/>
      <c r="AEJ529"/>
      <c r="AEK529"/>
      <c r="AEL529"/>
      <c r="AEM529"/>
      <c r="AEN529"/>
      <c r="AEO529"/>
      <c r="AEP529"/>
      <c r="AEQ529"/>
      <c r="AER529"/>
      <c r="AES529"/>
      <c r="AET529"/>
      <c r="AEU529"/>
      <c r="AEV529"/>
      <c r="AEW529"/>
      <c r="AEX529"/>
      <c r="AEY529"/>
      <c r="AEZ529"/>
      <c r="AFA529"/>
      <c r="AFB529"/>
      <c r="AFC529"/>
      <c r="AFD529"/>
      <c r="AFE529"/>
      <c r="AFF529"/>
      <c r="AFG529"/>
      <c r="AFH529"/>
      <c r="AFI529"/>
      <c r="AFJ529"/>
      <c r="AFK529"/>
      <c r="AFL529"/>
      <c r="AFM529"/>
      <c r="AFN529"/>
      <c r="AFO529"/>
      <c r="AFP529"/>
      <c r="AFQ529"/>
      <c r="AFR529"/>
      <c r="AFS529"/>
      <c r="AFT529"/>
      <c r="AFU529"/>
      <c r="AFV529"/>
      <c r="AFW529"/>
      <c r="AFX529"/>
      <c r="AFY529"/>
      <c r="AFZ529"/>
      <c r="AGA529"/>
      <c r="AGB529"/>
      <c r="AGC529"/>
      <c r="AGD529"/>
      <c r="AGE529"/>
      <c r="AGF529"/>
      <c r="AGG529"/>
      <c r="AGH529"/>
      <c r="AGI529"/>
      <c r="AGJ529"/>
      <c r="AGK529"/>
      <c r="AGL529"/>
      <c r="AGM529"/>
      <c r="AGN529"/>
      <c r="AGO529"/>
      <c r="AGP529"/>
      <c r="AGQ529"/>
      <c r="AGR529"/>
      <c r="AGS529"/>
      <c r="AGT529"/>
      <c r="AGU529"/>
    </row>
    <row r="530" spans="1:879" x14ac:dyDescent="0.2">
      <c r="A530" s="134">
        <v>45367</v>
      </c>
      <c r="B530" s="135">
        <f>YEAR(source[[#This Row],[report_date]])</f>
        <v>2024</v>
      </c>
      <c r="C530" s="136">
        <v>3</v>
      </c>
      <c r="D530" s="136">
        <f t="shared" si="39"/>
        <v>11</v>
      </c>
      <c r="E530" s="136">
        <f t="shared" si="40"/>
        <v>16</v>
      </c>
      <c r="F530" s="128" t="s">
        <v>58</v>
      </c>
      <c r="G530" s="128" t="str">
        <f>VLOOKUP(source[[#This Row],[lending_product_transform]],[3]Mapping!$B$4:$C$37,2,0)</f>
        <v>[VDS] - Payroll Cashloan</v>
      </c>
      <c r="H530" s="128" t="str">
        <f>VLOOKUP(source[[#This Row],[lending_product_transform]],[3]Mapping!$B$3:$D$37,3,0)</f>
        <v>cashloan</v>
      </c>
      <c r="I530" s="135">
        <v>93450000</v>
      </c>
      <c r="K530" s="550" t="s">
        <v>19</v>
      </c>
      <c r="L530" s="477">
        <v>336025800000</v>
      </c>
      <c r="M530" s="477">
        <v>290364048000</v>
      </c>
      <c r="N530" s="477">
        <v>358579116000</v>
      </c>
      <c r="O530" s="477">
        <v>333026208000</v>
      </c>
      <c r="P530" s="477">
        <v>119993292000</v>
      </c>
      <c r="Q530" s="477">
        <v>1437988464000</v>
      </c>
      <c r="R530" s="477">
        <v>1437988464000</v>
      </c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/>
      <c r="NO530"/>
      <c r="NP530"/>
      <c r="NQ530"/>
      <c r="NR530"/>
      <c r="NS530"/>
      <c r="NT530"/>
      <c r="NU530"/>
      <c r="NV530"/>
      <c r="NW530"/>
      <c r="NX530"/>
      <c r="NY530"/>
      <c r="NZ530"/>
      <c r="OA530"/>
      <c r="OB530"/>
      <c r="OC530"/>
      <c r="OD530"/>
      <c r="OE530"/>
      <c r="OF530"/>
      <c r="OG530"/>
      <c r="OH530"/>
      <c r="OI530"/>
      <c r="OJ530"/>
      <c r="OK530"/>
      <c r="OL530"/>
      <c r="OM530"/>
      <c r="ON530"/>
      <c r="OO530"/>
      <c r="OP530"/>
      <c r="OQ530"/>
      <c r="OR530"/>
      <c r="OS530"/>
      <c r="OT530"/>
      <c r="OU530"/>
      <c r="OV530"/>
      <c r="OW530"/>
      <c r="OX530"/>
      <c r="OY530"/>
      <c r="OZ530"/>
      <c r="PA530"/>
      <c r="PB530"/>
      <c r="PC530"/>
      <c r="PD530"/>
      <c r="PE530"/>
      <c r="PF530"/>
      <c r="PG530"/>
      <c r="PH530"/>
      <c r="PI530"/>
      <c r="PJ530"/>
      <c r="PK530"/>
      <c r="PL530"/>
      <c r="PM530"/>
      <c r="PN530"/>
      <c r="PO530"/>
      <c r="PP530"/>
      <c r="PQ530"/>
      <c r="PR530"/>
      <c r="PS530"/>
      <c r="PT530"/>
      <c r="PU530"/>
      <c r="PV530"/>
      <c r="PW530"/>
      <c r="PX530"/>
      <c r="PY530"/>
      <c r="PZ530"/>
      <c r="QA530"/>
      <c r="QB530"/>
      <c r="QC530"/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/>
      <c r="QT530"/>
      <c r="QU530"/>
      <c r="QV530"/>
      <c r="QW530"/>
      <c r="QX530"/>
      <c r="QY530"/>
      <c r="QZ530"/>
      <c r="RA530"/>
      <c r="RB530"/>
      <c r="RC530"/>
      <c r="RD530"/>
      <c r="RE530"/>
      <c r="RF530"/>
      <c r="RG530"/>
      <c r="RH530"/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/>
      <c r="RY530"/>
      <c r="RZ530"/>
      <c r="SA530"/>
      <c r="SB530"/>
      <c r="SC530"/>
      <c r="SD530"/>
      <c r="SE530"/>
      <c r="SF530"/>
      <c r="SG530"/>
      <c r="SH530"/>
      <c r="SI530"/>
      <c r="SJ530"/>
      <c r="SK530"/>
      <c r="SL530"/>
      <c r="SM530"/>
      <c r="SN530"/>
      <c r="SO530"/>
      <c r="SP530"/>
      <c r="SQ530"/>
      <c r="SR530"/>
      <c r="SS530"/>
      <c r="ST530"/>
      <c r="SU530"/>
      <c r="SV530"/>
      <c r="SW530"/>
      <c r="SX530"/>
      <c r="SY530"/>
      <c r="SZ530"/>
      <c r="TA530"/>
      <c r="TB530"/>
      <c r="TC530"/>
      <c r="TD530"/>
      <c r="TE530"/>
      <c r="TF530"/>
      <c r="TG530"/>
      <c r="TH530"/>
      <c r="TI530"/>
      <c r="TJ530"/>
      <c r="TK530"/>
      <c r="TL530"/>
      <c r="TM530"/>
      <c r="TN530"/>
      <c r="TO530"/>
      <c r="TP530"/>
      <c r="TQ530"/>
      <c r="TR530"/>
      <c r="TS530"/>
      <c r="TT530"/>
      <c r="TU530"/>
      <c r="TV530"/>
      <c r="TW530"/>
      <c r="TX530"/>
      <c r="TY530"/>
      <c r="TZ530"/>
      <c r="UA530"/>
      <c r="UB530"/>
      <c r="UC530"/>
      <c r="UD530"/>
      <c r="UE530"/>
      <c r="UF530"/>
      <c r="UG530"/>
      <c r="UH530"/>
      <c r="UI530"/>
      <c r="UJ530"/>
      <c r="UK530"/>
      <c r="UL530"/>
      <c r="UM530"/>
      <c r="UN530"/>
      <c r="UO530"/>
      <c r="UP530"/>
      <c r="UQ530"/>
      <c r="UR530"/>
      <c r="US530"/>
      <c r="UT530"/>
      <c r="UU530"/>
      <c r="UV530"/>
      <c r="UW530"/>
      <c r="UX530"/>
      <c r="UY530"/>
      <c r="UZ530"/>
      <c r="VA530"/>
      <c r="VB530"/>
      <c r="VC530"/>
      <c r="VD530"/>
      <c r="VE530"/>
      <c r="VF530"/>
      <c r="VG530"/>
      <c r="VH530"/>
      <c r="VI530"/>
      <c r="VJ530"/>
      <c r="VK530"/>
      <c r="VL530"/>
      <c r="VM530"/>
      <c r="VN530"/>
      <c r="VO530"/>
      <c r="VP530"/>
      <c r="VQ530"/>
      <c r="VR530"/>
      <c r="VS530"/>
      <c r="VT530"/>
      <c r="VU530"/>
      <c r="VV530"/>
      <c r="VW530"/>
      <c r="VX530"/>
      <c r="VY530"/>
      <c r="VZ530"/>
      <c r="WA530"/>
      <c r="WB530"/>
      <c r="WC530"/>
      <c r="WD530"/>
      <c r="WE530"/>
      <c r="WF530"/>
      <c r="WG530"/>
      <c r="WH530"/>
      <c r="WI530"/>
      <c r="WJ530"/>
      <c r="WK530"/>
      <c r="WL530"/>
      <c r="WM530"/>
      <c r="WN530"/>
      <c r="WO530"/>
      <c r="WP530"/>
      <c r="WQ530"/>
      <c r="WR530"/>
      <c r="WS530"/>
      <c r="WT530"/>
      <c r="WU530"/>
      <c r="WV530"/>
      <c r="WW530"/>
      <c r="WX530"/>
      <c r="WY530"/>
      <c r="WZ530"/>
      <c r="XA530"/>
      <c r="XB530"/>
      <c r="XC530"/>
      <c r="XD530"/>
      <c r="XE530"/>
      <c r="XF530"/>
      <c r="XG530"/>
      <c r="XH530"/>
      <c r="XI530"/>
      <c r="XJ530"/>
      <c r="XK530"/>
      <c r="XL530"/>
      <c r="XM530"/>
      <c r="XN530"/>
      <c r="XO530"/>
      <c r="XP530"/>
      <c r="XQ530"/>
      <c r="XR530"/>
      <c r="XS530"/>
      <c r="XT530"/>
      <c r="XU530"/>
      <c r="XV530"/>
      <c r="XW530"/>
      <c r="XX530"/>
      <c r="XY530"/>
      <c r="XZ530"/>
      <c r="YA530"/>
      <c r="YB530"/>
      <c r="YC530"/>
      <c r="YD530"/>
      <c r="YE530"/>
      <c r="YF530"/>
      <c r="YG530"/>
      <c r="YH530"/>
      <c r="YI530"/>
      <c r="YJ530"/>
      <c r="YK530"/>
      <c r="YL530"/>
      <c r="YM530"/>
      <c r="YN530"/>
      <c r="YO530"/>
      <c r="YP530"/>
      <c r="YQ530"/>
      <c r="YR530"/>
      <c r="YS530"/>
      <c r="YT530"/>
      <c r="YU530"/>
      <c r="YV530"/>
      <c r="YW530"/>
      <c r="YX530"/>
      <c r="YY530"/>
      <c r="YZ530"/>
      <c r="ZA530"/>
      <c r="ZB530"/>
      <c r="ZC530"/>
      <c r="ZD530"/>
      <c r="ZE530"/>
      <c r="ZF530"/>
      <c r="ZG530"/>
      <c r="ZH530"/>
      <c r="ZI530"/>
      <c r="ZJ530"/>
      <c r="ZK530"/>
      <c r="ZL530"/>
      <c r="ZM530"/>
      <c r="ZN530"/>
      <c r="ZO530"/>
      <c r="ZP530"/>
      <c r="ZQ530"/>
      <c r="ZR530"/>
      <c r="ZS530"/>
      <c r="ZT530"/>
      <c r="ZU530"/>
      <c r="ZV530"/>
      <c r="ZW530"/>
      <c r="ZX530"/>
      <c r="ZY530"/>
      <c r="ZZ530"/>
      <c r="AAA530"/>
      <c r="AAB530"/>
      <c r="AAC530"/>
      <c r="AAD530"/>
      <c r="AAE530"/>
      <c r="AAF530"/>
      <c r="AAG530"/>
      <c r="AAH530"/>
      <c r="AAI530"/>
      <c r="AAJ530"/>
      <c r="AAK530"/>
      <c r="AAL530"/>
      <c r="AAM530"/>
      <c r="AAN530"/>
      <c r="AAO530"/>
      <c r="AAP530"/>
      <c r="AAQ530"/>
      <c r="AAR530"/>
      <c r="AAS530"/>
      <c r="AAT530"/>
      <c r="AAU530"/>
      <c r="AAV530"/>
      <c r="AAW530"/>
      <c r="AAX530"/>
      <c r="AAY530"/>
      <c r="AAZ530"/>
      <c r="ABA530"/>
      <c r="ABB530"/>
      <c r="ABC530"/>
      <c r="ABD530"/>
      <c r="ABE530"/>
      <c r="ABF530"/>
      <c r="ABG530"/>
      <c r="ABH530"/>
      <c r="ABI530"/>
      <c r="ABJ530"/>
      <c r="ABK530"/>
      <c r="ABL530"/>
      <c r="ABM530"/>
      <c r="ABN530"/>
      <c r="ABO530"/>
      <c r="ABP530"/>
      <c r="ABQ530"/>
      <c r="ABR530"/>
      <c r="ABS530"/>
      <c r="ABT530"/>
      <c r="ABU530"/>
      <c r="ABV530"/>
      <c r="ABW530"/>
      <c r="ABX530"/>
      <c r="ABY530"/>
      <c r="ABZ530"/>
      <c r="ACA530"/>
      <c r="ACB530"/>
      <c r="ACC530"/>
      <c r="ACD530"/>
      <c r="ACE530"/>
      <c r="ACF530"/>
      <c r="ACG530"/>
      <c r="ACH530"/>
      <c r="ACI530"/>
      <c r="ACJ530"/>
      <c r="ACK530"/>
      <c r="ACL530"/>
      <c r="ACM530"/>
      <c r="ACN530"/>
      <c r="ACO530"/>
      <c r="ACP530"/>
      <c r="ACQ530"/>
      <c r="ACR530"/>
      <c r="ACS530"/>
      <c r="ACT530"/>
      <c r="ACU530"/>
      <c r="ACV530"/>
      <c r="ACW530"/>
      <c r="ACX530"/>
      <c r="ACY530"/>
      <c r="ACZ530"/>
      <c r="ADA530"/>
      <c r="ADB530"/>
      <c r="ADC530"/>
      <c r="ADD530"/>
      <c r="ADE530"/>
      <c r="ADF530"/>
      <c r="ADG530"/>
      <c r="ADH530"/>
      <c r="ADI530"/>
      <c r="ADJ530"/>
      <c r="ADK530"/>
      <c r="ADL530"/>
      <c r="ADM530"/>
      <c r="ADN530"/>
      <c r="ADO530"/>
      <c r="ADP530"/>
      <c r="ADQ530"/>
      <c r="ADR530"/>
      <c r="ADS530"/>
      <c r="ADT530"/>
      <c r="ADU530"/>
      <c r="ADV530"/>
      <c r="ADW530"/>
      <c r="ADX530"/>
      <c r="ADY530"/>
      <c r="ADZ530"/>
      <c r="AEA530"/>
      <c r="AEB530"/>
      <c r="AEC530"/>
      <c r="AED530"/>
      <c r="AEE530"/>
      <c r="AEF530"/>
      <c r="AEG530"/>
      <c r="AEH530"/>
      <c r="AEI530"/>
      <c r="AEJ530"/>
      <c r="AEK530"/>
      <c r="AEL530"/>
      <c r="AEM530"/>
      <c r="AEN530"/>
      <c r="AEO530"/>
      <c r="AEP530"/>
      <c r="AEQ530"/>
      <c r="AER530"/>
      <c r="AES530"/>
      <c r="AET530"/>
      <c r="AEU530"/>
      <c r="AEV530"/>
      <c r="AEW530"/>
      <c r="AEX530"/>
      <c r="AEY530"/>
      <c r="AEZ530"/>
      <c r="AFA530"/>
      <c r="AFB530"/>
      <c r="AFC530"/>
      <c r="AFD530"/>
      <c r="AFE530"/>
      <c r="AFF530"/>
      <c r="AFG530"/>
      <c r="AFH530"/>
      <c r="AFI530"/>
      <c r="AFJ530"/>
      <c r="AFK530"/>
      <c r="AFL530"/>
      <c r="AFM530"/>
      <c r="AFN530"/>
      <c r="AFO530"/>
      <c r="AFP530"/>
      <c r="AFQ530"/>
      <c r="AFR530"/>
      <c r="AFS530"/>
      <c r="AFT530"/>
      <c r="AFU530"/>
      <c r="AFV530"/>
      <c r="AFW530"/>
      <c r="AFX530"/>
      <c r="AFY530"/>
      <c r="AFZ530"/>
      <c r="AGA530"/>
      <c r="AGB530"/>
      <c r="AGC530"/>
      <c r="AGD530"/>
      <c r="AGE530"/>
      <c r="AGF530"/>
      <c r="AGG530"/>
      <c r="AGH530"/>
      <c r="AGI530"/>
      <c r="AGJ530"/>
      <c r="AGK530"/>
      <c r="AGL530"/>
      <c r="AGM530"/>
      <c r="AGN530"/>
      <c r="AGO530"/>
      <c r="AGP530"/>
      <c r="AGQ530"/>
      <c r="AGR530"/>
      <c r="AGS530"/>
      <c r="AGT530"/>
      <c r="AGU530"/>
    </row>
    <row r="531" spans="1:879" x14ac:dyDescent="0.2">
      <c r="A531" s="134">
        <v>45367</v>
      </c>
      <c r="B531" s="135">
        <f>YEAR(source[[#This Row],[report_date]])</f>
        <v>2024</v>
      </c>
      <c r="C531" s="136">
        <v>3</v>
      </c>
      <c r="D531" s="136">
        <f t="shared" si="39"/>
        <v>11</v>
      </c>
      <c r="E531" s="136">
        <f t="shared" si="40"/>
        <v>16</v>
      </c>
      <c r="F531" s="128" t="s">
        <v>65</v>
      </c>
      <c r="G531" s="128" t="str">
        <f>VLOOKUP(source[[#This Row],[lending_product_transform]],[3]Mapping!$B$4:$C$37,2,0)</f>
        <v>[BE] - Cashloan</v>
      </c>
      <c r="H531" s="128" t="str">
        <f>VLOOKUP(source[[#This Row],[lending_product_transform]],[3]Mapping!$B$3:$D$37,3,0)</f>
        <v>cashloan</v>
      </c>
      <c r="I531" s="135">
        <v>26250000</v>
      </c>
      <c r="K531" s="550" t="s">
        <v>62</v>
      </c>
      <c r="L531" s="477">
        <v>7773898216</v>
      </c>
      <c r="M531" s="477">
        <v>6381405779</v>
      </c>
      <c r="N531" s="477">
        <v>7171896994</v>
      </c>
      <c r="O531" s="477">
        <v>7030263262</v>
      </c>
      <c r="P531" s="477">
        <v>3926999449</v>
      </c>
      <c r="Q531" s="477">
        <v>32284463700</v>
      </c>
      <c r="R531" s="477">
        <v>32284463700</v>
      </c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/>
      <c r="MI531"/>
      <c r="MJ531"/>
      <c r="MK531"/>
      <c r="ML531"/>
      <c r="MM531"/>
      <c r="MN531"/>
      <c r="MO531"/>
      <c r="MP531"/>
      <c r="MQ531"/>
      <c r="MR531"/>
      <c r="MS531"/>
      <c r="MT531"/>
      <c r="MU531"/>
      <c r="MV531"/>
      <c r="MW531"/>
      <c r="MX531"/>
      <c r="MY531"/>
      <c r="MZ531"/>
      <c r="NA531"/>
      <c r="NB531"/>
      <c r="NC531"/>
      <c r="ND531"/>
      <c r="NE531"/>
      <c r="NF531"/>
      <c r="NG531"/>
      <c r="NH531"/>
      <c r="NI531"/>
      <c r="NJ531"/>
      <c r="NK531"/>
      <c r="NL531"/>
      <c r="NM531"/>
      <c r="NN531"/>
      <c r="NO531"/>
      <c r="NP531"/>
      <c r="NQ531"/>
      <c r="NR531"/>
      <c r="NS531"/>
      <c r="NT531"/>
      <c r="NU531"/>
      <c r="NV531"/>
      <c r="NW531"/>
      <c r="NX531"/>
      <c r="NY531"/>
      <c r="NZ531"/>
      <c r="OA531"/>
      <c r="OB531"/>
      <c r="OC531"/>
      <c r="OD531"/>
      <c r="OE531"/>
      <c r="OF531"/>
      <c r="OG531"/>
      <c r="OH531"/>
      <c r="OI531"/>
      <c r="OJ531"/>
      <c r="OK531"/>
      <c r="OL531"/>
      <c r="OM531"/>
      <c r="ON531"/>
      <c r="OO531"/>
      <c r="OP531"/>
      <c r="OQ531"/>
      <c r="OR531"/>
      <c r="OS531"/>
      <c r="OT531"/>
      <c r="OU531"/>
      <c r="OV531"/>
      <c r="OW531"/>
      <c r="OX531"/>
      <c r="OY531"/>
      <c r="OZ531"/>
      <c r="PA531"/>
      <c r="PB531"/>
      <c r="PC531"/>
      <c r="PD531"/>
      <c r="PE531"/>
      <c r="PF531"/>
      <c r="PG531"/>
      <c r="PH531"/>
      <c r="PI531"/>
      <c r="PJ531"/>
      <c r="PK531"/>
      <c r="PL531"/>
      <c r="PM531"/>
      <c r="PN531"/>
      <c r="PO531"/>
      <c r="PP531"/>
      <c r="PQ531"/>
      <c r="PR531"/>
      <c r="PS531"/>
      <c r="PT531"/>
      <c r="PU531"/>
      <c r="PV531"/>
      <c r="PW531"/>
      <c r="PX531"/>
      <c r="PY531"/>
      <c r="PZ531"/>
      <c r="QA531"/>
      <c r="QB531"/>
      <c r="QC531"/>
      <c r="QD531"/>
      <c r="QE531"/>
      <c r="QF531"/>
      <c r="QG531"/>
      <c r="QH531"/>
      <c r="QI531"/>
      <c r="QJ531"/>
      <c r="QK531"/>
      <c r="QL531"/>
      <c r="QM531"/>
      <c r="QN531"/>
      <c r="QO531"/>
      <c r="QP531"/>
      <c r="QQ531"/>
      <c r="QR531"/>
      <c r="QS531"/>
      <c r="QT531"/>
      <c r="QU531"/>
      <c r="QV531"/>
      <c r="QW531"/>
      <c r="QX531"/>
      <c r="QY531"/>
      <c r="QZ531"/>
      <c r="RA531"/>
      <c r="RB531"/>
      <c r="RC531"/>
      <c r="RD531"/>
      <c r="RE531"/>
      <c r="RF531"/>
      <c r="RG531"/>
      <c r="RH531"/>
      <c r="RI531"/>
      <c r="RJ531"/>
      <c r="RK531"/>
      <c r="RL531"/>
      <c r="RM531"/>
      <c r="RN531"/>
      <c r="RO531"/>
      <c r="RP531"/>
      <c r="RQ531"/>
      <c r="RR531"/>
      <c r="RS531"/>
      <c r="RT531"/>
      <c r="RU531"/>
      <c r="RV531"/>
      <c r="RW531"/>
      <c r="RX531"/>
      <c r="RY531"/>
      <c r="RZ531"/>
      <c r="SA531"/>
      <c r="SB531"/>
      <c r="SC531"/>
      <c r="SD531"/>
      <c r="SE531"/>
      <c r="SF531"/>
      <c r="SG531"/>
      <c r="SH531"/>
      <c r="SI531"/>
      <c r="SJ531"/>
      <c r="SK531"/>
      <c r="SL531"/>
      <c r="SM531"/>
      <c r="SN531"/>
      <c r="SO531"/>
      <c r="SP531"/>
      <c r="SQ531"/>
      <c r="SR531"/>
      <c r="SS531"/>
      <c r="ST531"/>
      <c r="SU531"/>
      <c r="SV531"/>
      <c r="SW531"/>
      <c r="SX531"/>
      <c r="SY531"/>
      <c r="SZ531"/>
      <c r="TA531"/>
      <c r="TB531"/>
      <c r="TC531"/>
      <c r="TD531"/>
      <c r="TE531"/>
      <c r="TF531"/>
      <c r="TG531"/>
      <c r="TH531"/>
      <c r="TI531"/>
      <c r="TJ531"/>
      <c r="TK531"/>
      <c r="TL531"/>
      <c r="TM531"/>
      <c r="TN531"/>
      <c r="TO531"/>
      <c r="TP531"/>
      <c r="TQ531"/>
      <c r="TR531"/>
      <c r="TS531"/>
      <c r="TT531"/>
      <c r="TU531"/>
      <c r="TV531"/>
      <c r="TW531"/>
      <c r="TX531"/>
      <c r="TY531"/>
      <c r="TZ531"/>
      <c r="UA531"/>
      <c r="UB531"/>
      <c r="UC531"/>
      <c r="UD531"/>
      <c r="UE531"/>
      <c r="UF531"/>
      <c r="UG531"/>
      <c r="UH531"/>
      <c r="UI531"/>
      <c r="UJ531"/>
      <c r="UK531"/>
      <c r="UL531"/>
      <c r="UM531"/>
      <c r="UN531"/>
      <c r="UO531"/>
      <c r="UP531"/>
      <c r="UQ531"/>
      <c r="UR531"/>
      <c r="US531"/>
      <c r="UT531"/>
      <c r="UU531"/>
      <c r="UV531"/>
      <c r="UW531"/>
      <c r="UX531"/>
      <c r="UY531"/>
      <c r="UZ531"/>
      <c r="VA531"/>
      <c r="VB531"/>
      <c r="VC531"/>
      <c r="VD531"/>
      <c r="VE531"/>
      <c r="VF531"/>
      <c r="VG531"/>
      <c r="VH531"/>
      <c r="VI531"/>
      <c r="VJ531"/>
      <c r="VK531"/>
      <c r="VL531"/>
      <c r="VM531"/>
      <c r="VN531"/>
      <c r="VO531"/>
      <c r="VP531"/>
      <c r="VQ531"/>
      <c r="VR531"/>
      <c r="VS531"/>
      <c r="VT531"/>
      <c r="VU531"/>
      <c r="VV531"/>
      <c r="VW531"/>
      <c r="VX531"/>
      <c r="VY531"/>
      <c r="VZ531"/>
      <c r="WA531"/>
      <c r="WB531"/>
      <c r="WC531"/>
      <c r="WD531"/>
      <c r="WE531"/>
      <c r="WF531"/>
      <c r="WG531"/>
      <c r="WH531"/>
      <c r="WI531"/>
      <c r="WJ531"/>
      <c r="WK531"/>
      <c r="WL531"/>
      <c r="WM531"/>
      <c r="WN531"/>
      <c r="WO531"/>
      <c r="WP531"/>
      <c r="WQ531"/>
      <c r="WR531"/>
      <c r="WS531"/>
      <c r="WT531"/>
      <c r="WU531"/>
      <c r="WV531"/>
      <c r="WW531"/>
      <c r="WX531"/>
      <c r="WY531"/>
      <c r="WZ531"/>
      <c r="XA531"/>
      <c r="XB531"/>
      <c r="XC531"/>
      <c r="XD531"/>
      <c r="XE531"/>
      <c r="XF531"/>
      <c r="XG531"/>
      <c r="XH531"/>
      <c r="XI531"/>
      <c r="XJ531"/>
      <c r="XK531"/>
      <c r="XL531"/>
      <c r="XM531"/>
      <c r="XN531"/>
      <c r="XO531"/>
      <c r="XP531"/>
      <c r="XQ531"/>
      <c r="XR531"/>
      <c r="XS531"/>
      <c r="XT531"/>
      <c r="XU531"/>
      <c r="XV531"/>
      <c r="XW531"/>
      <c r="XX531"/>
      <c r="XY531"/>
      <c r="XZ531"/>
      <c r="YA531"/>
      <c r="YB531"/>
      <c r="YC531"/>
      <c r="YD531"/>
      <c r="YE531"/>
      <c r="YF531"/>
      <c r="YG531"/>
      <c r="YH531"/>
      <c r="YI531"/>
      <c r="YJ531"/>
      <c r="YK531"/>
      <c r="YL531"/>
      <c r="YM531"/>
      <c r="YN531"/>
      <c r="YO531"/>
      <c r="YP531"/>
      <c r="YQ531"/>
      <c r="YR531"/>
      <c r="YS531"/>
      <c r="YT531"/>
      <c r="YU531"/>
      <c r="YV531"/>
      <c r="YW531"/>
      <c r="YX531"/>
      <c r="YY531"/>
      <c r="YZ531"/>
      <c r="ZA531"/>
      <c r="ZB531"/>
      <c r="ZC531"/>
      <c r="ZD531"/>
      <c r="ZE531"/>
      <c r="ZF531"/>
      <c r="ZG531"/>
      <c r="ZH531"/>
      <c r="ZI531"/>
      <c r="ZJ531"/>
      <c r="ZK531"/>
      <c r="ZL531"/>
      <c r="ZM531"/>
      <c r="ZN531"/>
      <c r="ZO531"/>
      <c r="ZP531"/>
      <c r="ZQ531"/>
      <c r="ZR531"/>
      <c r="ZS531"/>
      <c r="ZT531"/>
      <c r="ZU531"/>
      <c r="ZV531"/>
      <c r="ZW531"/>
      <c r="ZX531"/>
      <c r="ZY531"/>
      <c r="ZZ531"/>
      <c r="AAA531"/>
      <c r="AAB531"/>
      <c r="AAC531"/>
      <c r="AAD531"/>
      <c r="AAE531"/>
      <c r="AAF531"/>
      <c r="AAG531"/>
      <c r="AAH531"/>
      <c r="AAI531"/>
      <c r="AAJ531"/>
      <c r="AAK531"/>
      <c r="AAL531"/>
      <c r="AAM531"/>
      <c r="AAN531"/>
      <c r="AAO531"/>
      <c r="AAP531"/>
      <c r="AAQ531"/>
      <c r="AAR531"/>
      <c r="AAS531"/>
      <c r="AAT531"/>
      <c r="AAU531"/>
      <c r="AAV531"/>
      <c r="AAW531"/>
      <c r="AAX531"/>
      <c r="AAY531"/>
      <c r="AAZ531"/>
      <c r="ABA531"/>
      <c r="ABB531"/>
      <c r="ABC531"/>
      <c r="ABD531"/>
      <c r="ABE531"/>
      <c r="ABF531"/>
      <c r="ABG531"/>
      <c r="ABH531"/>
      <c r="ABI531"/>
      <c r="ABJ531"/>
      <c r="ABK531"/>
      <c r="ABL531"/>
      <c r="ABM531"/>
      <c r="ABN531"/>
      <c r="ABO531"/>
      <c r="ABP531"/>
      <c r="ABQ531"/>
      <c r="ABR531"/>
      <c r="ABS531"/>
      <c r="ABT531"/>
      <c r="ABU531"/>
      <c r="ABV531"/>
      <c r="ABW531"/>
      <c r="ABX531"/>
      <c r="ABY531"/>
      <c r="ABZ531"/>
      <c r="ACA531"/>
      <c r="ACB531"/>
      <c r="ACC531"/>
      <c r="ACD531"/>
      <c r="ACE531"/>
      <c r="ACF531"/>
      <c r="ACG531"/>
      <c r="ACH531"/>
      <c r="ACI531"/>
      <c r="ACJ531"/>
      <c r="ACK531"/>
      <c r="ACL531"/>
      <c r="ACM531"/>
      <c r="ACN531"/>
      <c r="ACO531"/>
      <c r="ACP531"/>
      <c r="ACQ531"/>
      <c r="ACR531"/>
      <c r="ACS531"/>
      <c r="ACT531"/>
      <c r="ACU531"/>
      <c r="ACV531"/>
      <c r="ACW531"/>
      <c r="ACX531"/>
      <c r="ACY531"/>
      <c r="ACZ531"/>
      <c r="ADA531"/>
      <c r="ADB531"/>
      <c r="ADC531"/>
      <c r="ADD531"/>
      <c r="ADE531"/>
      <c r="ADF531"/>
      <c r="ADG531"/>
      <c r="ADH531"/>
      <c r="ADI531"/>
      <c r="ADJ531"/>
      <c r="ADK531"/>
      <c r="ADL531"/>
      <c r="ADM531"/>
      <c r="ADN531"/>
      <c r="ADO531"/>
      <c r="ADP531"/>
      <c r="ADQ531"/>
      <c r="ADR531"/>
      <c r="ADS531"/>
      <c r="ADT531"/>
      <c r="ADU531"/>
      <c r="ADV531"/>
      <c r="ADW531"/>
      <c r="ADX531"/>
      <c r="ADY531"/>
      <c r="ADZ531"/>
      <c r="AEA531"/>
      <c r="AEB531"/>
      <c r="AEC531"/>
      <c r="AED531"/>
      <c r="AEE531"/>
      <c r="AEF531"/>
      <c r="AEG531"/>
      <c r="AEH531"/>
      <c r="AEI531"/>
      <c r="AEJ531"/>
      <c r="AEK531"/>
      <c r="AEL531"/>
      <c r="AEM531"/>
      <c r="AEN531"/>
      <c r="AEO531"/>
      <c r="AEP531"/>
      <c r="AEQ531"/>
      <c r="AER531"/>
      <c r="AES531"/>
      <c r="AET531"/>
      <c r="AEU531"/>
      <c r="AEV531"/>
      <c r="AEW531"/>
      <c r="AEX531"/>
      <c r="AEY531"/>
      <c r="AEZ531"/>
      <c r="AFA531"/>
      <c r="AFB531"/>
      <c r="AFC531"/>
      <c r="AFD531"/>
      <c r="AFE531"/>
      <c r="AFF531"/>
      <c r="AFG531"/>
      <c r="AFH531"/>
      <c r="AFI531"/>
      <c r="AFJ531"/>
      <c r="AFK531"/>
      <c r="AFL531"/>
      <c r="AFM531"/>
      <c r="AFN531"/>
      <c r="AFO531"/>
      <c r="AFP531"/>
      <c r="AFQ531"/>
      <c r="AFR531"/>
      <c r="AFS531"/>
      <c r="AFT531"/>
      <c r="AFU531"/>
      <c r="AFV531"/>
      <c r="AFW531"/>
      <c r="AFX531"/>
      <c r="AFY531"/>
      <c r="AFZ531"/>
      <c r="AGA531"/>
      <c r="AGB531"/>
      <c r="AGC531"/>
      <c r="AGD531"/>
      <c r="AGE531"/>
      <c r="AGF531"/>
      <c r="AGG531"/>
      <c r="AGH531"/>
      <c r="AGI531"/>
      <c r="AGJ531"/>
      <c r="AGK531"/>
      <c r="AGL531"/>
      <c r="AGM531"/>
      <c r="AGN531"/>
      <c r="AGO531"/>
      <c r="AGP531"/>
      <c r="AGQ531"/>
      <c r="AGR531"/>
      <c r="AGS531"/>
      <c r="AGT531"/>
      <c r="AGU531"/>
    </row>
    <row r="532" spans="1:879" x14ac:dyDescent="0.2">
      <c r="A532" s="134">
        <v>45367</v>
      </c>
      <c r="B532" s="135">
        <f>YEAR(source[[#This Row],[report_date]])</f>
        <v>2024</v>
      </c>
      <c r="C532" s="136">
        <v>3</v>
      </c>
      <c r="D532" s="136">
        <f t="shared" si="39"/>
        <v>11</v>
      </c>
      <c r="E532" s="136">
        <f t="shared" si="40"/>
        <v>16</v>
      </c>
      <c r="F532" s="128" t="s">
        <v>67</v>
      </c>
      <c r="G532" s="128" t="str">
        <f>VLOOKUP(source[[#This Row],[lending_product_transform]],[3]Mapping!$B$4:$C$37,2,0)</f>
        <v>[Cake] - Overdraft</v>
      </c>
      <c r="H532" s="128" t="str">
        <f>VLOOKUP(source[[#This Row],[lending_product_transform]],[3]Mapping!$B$3:$D$37,3,0)</f>
        <v>overdraft</v>
      </c>
      <c r="I532" s="135">
        <v>1527141781</v>
      </c>
      <c r="K532" s="550" t="s">
        <v>58</v>
      </c>
      <c r="L532" s="477">
        <v>828250000</v>
      </c>
      <c r="M532" s="477">
        <v>1241950000</v>
      </c>
      <c r="N532" s="477">
        <v>1396650000</v>
      </c>
      <c r="O532" s="477">
        <v>1117000000</v>
      </c>
      <c r="P532" s="477">
        <v>445650000</v>
      </c>
      <c r="Q532" s="477">
        <v>5029500000</v>
      </c>
      <c r="R532" s="477">
        <v>5029500000</v>
      </c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/>
      <c r="MI532"/>
      <c r="MJ532"/>
      <c r="MK532"/>
      <c r="ML532"/>
      <c r="MM532"/>
      <c r="MN532"/>
      <c r="MO532"/>
      <c r="MP532"/>
      <c r="MQ532"/>
      <c r="MR532"/>
      <c r="MS532"/>
      <c r="MT532"/>
      <c r="MU532"/>
      <c r="MV532"/>
      <c r="MW532"/>
      <c r="MX532"/>
      <c r="MY532"/>
      <c r="MZ532"/>
      <c r="NA532"/>
      <c r="NB532"/>
      <c r="NC532"/>
      <c r="ND532"/>
      <c r="NE532"/>
      <c r="NF532"/>
      <c r="NG532"/>
      <c r="NH532"/>
      <c r="NI532"/>
      <c r="NJ532"/>
      <c r="NK532"/>
      <c r="NL532"/>
      <c r="NM532"/>
      <c r="NN532"/>
      <c r="NO532"/>
      <c r="NP532"/>
      <c r="NQ532"/>
      <c r="NR532"/>
      <c r="NS532"/>
      <c r="NT532"/>
      <c r="NU532"/>
      <c r="NV532"/>
      <c r="NW532"/>
      <c r="NX532"/>
      <c r="NY532"/>
      <c r="NZ532"/>
      <c r="OA532"/>
      <c r="OB532"/>
      <c r="OC532"/>
      <c r="OD532"/>
      <c r="OE532"/>
      <c r="OF532"/>
      <c r="OG532"/>
      <c r="OH532"/>
      <c r="OI532"/>
      <c r="OJ532"/>
      <c r="OK532"/>
      <c r="OL532"/>
      <c r="OM532"/>
      <c r="ON532"/>
      <c r="OO532"/>
      <c r="OP532"/>
      <c r="OQ532"/>
      <c r="OR532"/>
      <c r="OS532"/>
      <c r="OT532"/>
      <c r="OU532"/>
      <c r="OV532"/>
      <c r="OW532"/>
      <c r="OX532"/>
      <c r="OY532"/>
      <c r="OZ532"/>
      <c r="PA532"/>
      <c r="PB532"/>
      <c r="PC532"/>
      <c r="PD532"/>
      <c r="PE532"/>
      <c r="PF532"/>
      <c r="PG532"/>
      <c r="PH532"/>
      <c r="PI532"/>
      <c r="PJ532"/>
      <c r="PK532"/>
      <c r="PL532"/>
      <c r="PM532"/>
      <c r="PN532"/>
      <c r="PO532"/>
      <c r="PP532"/>
      <c r="PQ532"/>
      <c r="PR532"/>
      <c r="PS532"/>
      <c r="PT532"/>
      <c r="PU532"/>
      <c r="PV532"/>
      <c r="PW532"/>
      <c r="PX532"/>
      <c r="PY532"/>
      <c r="PZ532"/>
      <c r="QA532"/>
      <c r="QB532"/>
      <c r="QC532"/>
      <c r="QD532"/>
      <c r="QE532"/>
      <c r="QF532"/>
      <c r="QG532"/>
      <c r="QH532"/>
      <c r="QI532"/>
      <c r="QJ532"/>
      <c r="QK532"/>
      <c r="QL532"/>
      <c r="QM532"/>
      <c r="QN532"/>
      <c r="QO532"/>
      <c r="QP532"/>
      <c r="QQ532"/>
      <c r="QR532"/>
      <c r="QS532"/>
      <c r="QT532"/>
      <c r="QU532"/>
      <c r="QV532"/>
      <c r="QW532"/>
      <c r="QX532"/>
      <c r="QY532"/>
      <c r="QZ532"/>
      <c r="RA532"/>
      <c r="RB532"/>
      <c r="RC532"/>
      <c r="RD532"/>
      <c r="RE532"/>
      <c r="RF532"/>
      <c r="RG532"/>
      <c r="RH532"/>
      <c r="RI532"/>
      <c r="RJ532"/>
      <c r="RK532"/>
      <c r="RL532"/>
      <c r="RM532"/>
      <c r="RN532"/>
      <c r="RO532"/>
      <c r="RP532"/>
      <c r="RQ532"/>
      <c r="RR532"/>
      <c r="RS532"/>
      <c r="RT532"/>
      <c r="RU532"/>
      <c r="RV532"/>
      <c r="RW532"/>
      <c r="RX532"/>
      <c r="RY532"/>
      <c r="RZ532"/>
      <c r="SA532"/>
      <c r="SB532"/>
      <c r="SC532"/>
      <c r="SD532"/>
      <c r="SE532"/>
      <c r="SF532"/>
      <c r="SG532"/>
      <c r="SH532"/>
      <c r="SI532"/>
      <c r="SJ532"/>
      <c r="SK532"/>
      <c r="SL532"/>
      <c r="SM532"/>
      <c r="SN532"/>
      <c r="SO532"/>
      <c r="SP532"/>
      <c r="SQ532"/>
      <c r="SR532"/>
      <c r="SS532"/>
      <c r="ST532"/>
      <c r="SU532"/>
      <c r="SV532"/>
      <c r="SW532"/>
      <c r="SX532"/>
      <c r="SY532"/>
      <c r="SZ532"/>
      <c r="TA532"/>
      <c r="TB532"/>
      <c r="TC532"/>
      <c r="TD532"/>
      <c r="TE532"/>
      <c r="TF532"/>
      <c r="TG532"/>
      <c r="TH532"/>
      <c r="TI532"/>
      <c r="TJ532"/>
      <c r="TK532"/>
      <c r="TL532"/>
      <c r="TM532"/>
      <c r="TN532"/>
      <c r="TO532"/>
      <c r="TP532"/>
      <c r="TQ532"/>
      <c r="TR532"/>
      <c r="TS532"/>
      <c r="TT532"/>
      <c r="TU532"/>
      <c r="TV532"/>
      <c r="TW532"/>
      <c r="TX532"/>
      <c r="TY532"/>
      <c r="TZ532"/>
      <c r="UA532"/>
      <c r="UB532"/>
      <c r="UC532"/>
      <c r="UD532"/>
      <c r="UE532"/>
      <c r="UF532"/>
      <c r="UG532"/>
      <c r="UH532"/>
      <c r="UI532"/>
      <c r="UJ532"/>
      <c r="UK532"/>
      <c r="UL532"/>
      <c r="UM532"/>
      <c r="UN532"/>
      <c r="UO532"/>
      <c r="UP532"/>
      <c r="UQ532"/>
      <c r="UR532"/>
      <c r="US532"/>
      <c r="UT532"/>
      <c r="UU532"/>
      <c r="UV532"/>
      <c r="UW532"/>
      <c r="UX532"/>
      <c r="UY532"/>
      <c r="UZ532"/>
      <c r="VA532"/>
      <c r="VB532"/>
      <c r="VC532"/>
      <c r="VD532"/>
      <c r="VE532"/>
      <c r="VF532"/>
      <c r="VG532"/>
      <c r="VH532"/>
      <c r="VI532"/>
      <c r="VJ532"/>
      <c r="VK532"/>
      <c r="VL532"/>
      <c r="VM532"/>
      <c r="VN532"/>
      <c r="VO532"/>
      <c r="VP532"/>
      <c r="VQ532"/>
      <c r="VR532"/>
      <c r="VS532"/>
      <c r="VT532"/>
      <c r="VU532"/>
      <c r="VV532"/>
      <c r="VW532"/>
      <c r="VX532"/>
      <c r="VY532"/>
      <c r="VZ532"/>
      <c r="WA532"/>
      <c r="WB532"/>
      <c r="WC532"/>
      <c r="WD532"/>
      <c r="WE532"/>
      <c r="WF532"/>
      <c r="WG532"/>
      <c r="WH532"/>
      <c r="WI532"/>
      <c r="WJ532"/>
      <c r="WK532"/>
      <c r="WL532"/>
      <c r="WM532"/>
      <c r="WN532"/>
      <c r="WO532"/>
      <c r="WP532"/>
      <c r="WQ532"/>
      <c r="WR532"/>
      <c r="WS532"/>
      <c r="WT532"/>
      <c r="WU532"/>
      <c r="WV532"/>
      <c r="WW532"/>
      <c r="WX532"/>
      <c r="WY532"/>
      <c r="WZ532"/>
      <c r="XA532"/>
      <c r="XB532"/>
      <c r="XC532"/>
      <c r="XD532"/>
      <c r="XE532"/>
      <c r="XF532"/>
      <c r="XG532"/>
      <c r="XH532"/>
      <c r="XI532"/>
      <c r="XJ532"/>
      <c r="XK532"/>
      <c r="XL532"/>
      <c r="XM532"/>
      <c r="XN532"/>
      <c r="XO532"/>
      <c r="XP532"/>
      <c r="XQ532"/>
      <c r="XR532"/>
      <c r="XS532"/>
      <c r="XT532"/>
      <c r="XU532"/>
      <c r="XV532"/>
      <c r="XW532"/>
      <c r="XX532"/>
      <c r="XY532"/>
      <c r="XZ532"/>
      <c r="YA532"/>
      <c r="YB532"/>
      <c r="YC532"/>
      <c r="YD532"/>
      <c r="YE532"/>
      <c r="YF532"/>
      <c r="YG532"/>
      <c r="YH532"/>
      <c r="YI532"/>
      <c r="YJ532"/>
      <c r="YK532"/>
      <c r="YL532"/>
      <c r="YM532"/>
      <c r="YN532"/>
      <c r="YO532"/>
      <c r="YP532"/>
      <c r="YQ532"/>
      <c r="YR532"/>
      <c r="YS532"/>
      <c r="YT532"/>
      <c r="YU532"/>
      <c r="YV532"/>
      <c r="YW532"/>
      <c r="YX532"/>
      <c r="YY532"/>
      <c r="YZ532"/>
      <c r="ZA532"/>
      <c r="ZB532"/>
      <c r="ZC532"/>
      <c r="ZD532"/>
      <c r="ZE532"/>
      <c r="ZF532"/>
      <c r="ZG532"/>
      <c r="ZH532"/>
      <c r="ZI532"/>
      <c r="ZJ532"/>
      <c r="ZK532"/>
      <c r="ZL532"/>
      <c r="ZM532"/>
      <c r="ZN532"/>
      <c r="ZO532"/>
      <c r="ZP532"/>
      <c r="ZQ532"/>
      <c r="ZR532"/>
      <c r="ZS532"/>
      <c r="ZT532"/>
      <c r="ZU532"/>
      <c r="ZV532"/>
      <c r="ZW532"/>
      <c r="ZX532"/>
      <c r="ZY532"/>
      <c r="ZZ532"/>
      <c r="AAA532"/>
      <c r="AAB532"/>
      <c r="AAC532"/>
      <c r="AAD532"/>
      <c r="AAE532"/>
      <c r="AAF532"/>
      <c r="AAG532"/>
      <c r="AAH532"/>
      <c r="AAI532"/>
      <c r="AAJ532"/>
      <c r="AAK532"/>
      <c r="AAL532"/>
      <c r="AAM532"/>
      <c r="AAN532"/>
      <c r="AAO532"/>
      <c r="AAP532"/>
      <c r="AAQ532"/>
      <c r="AAR532"/>
      <c r="AAS532"/>
      <c r="AAT532"/>
      <c r="AAU532"/>
      <c r="AAV532"/>
      <c r="AAW532"/>
      <c r="AAX532"/>
      <c r="AAY532"/>
      <c r="AAZ532"/>
      <c r="ABA532"/>
      <c r="ABB532"/>
      <c r="ABC532"/>
      <c r="ABD532"/>
      <c r="ABE532"/>
      <c r="ABF532"/>
      <c r="ABG532"/>
      <c r="ABH532"/>
      <c r="ABI532"/>
      <c r="ABJ532"/>
      <c r="ABK532"/>
      <c r="ABL532"/>
      <c r="ABM532"/>
      <c r="ABN532"/>
      <c r="ABO532"/>
      <c r="ABP532"/>
      <c r="ABQ532"/>
      <c r="ABR532"/>
      <c r="ABS532"/>
      <c r="ABT532"/>
      <c r="ABU532"/>
      <c r="ABV532"/>
      <c r="ABW532"/>
      <c r="ABX532"/>
      <c r="ABY532"/>
      <c r="ABZ532"/>
      <c r="ACA532"/>
      <c r="ACB532"/>
      <c r="ACC532"/>
      <c r="ACD532"/>
      <c r="ACE532"/>
      <c r="ACF532"/>
      <c r="ACG532"/>
      <c r="ACH532"/>
      <c r="ACI532"/>
      <c r="ACJ532"/>
      <c r="ACK532"/>
      <c r="ACL532"/>
      <c r="ACM532"/>
      <c r="ACN532"/>
      <c r="ACO532"/>
      <c r="ACP532"/>
      <c r="ACQ532"/>
      <c r="ACR532"/>
      <c r="ACS532"/>
      <c r="ACT532"/>
      <c r="ACU532"/>
      <c r="ACV532"/>
      <c r="ACW532"/>
      <c r="ACX532"/>
      <c r="ACY532"/>
      <c r="ACZ532"/>
      <c r="ADA532"/>
      <c r="ADB532"/>
      <c r="ADC532"/>
      <c r="ADD532"/>
      <c r="ADE532"/>
      <c r="ADF532"/>
      <c r="ADG532"/>
      <c r="ADH532"/>
      <c r="ADI532"/>
      <c r="ADJ532"/>
      <c r="ADK532"/>
      <c r="ADL532"/>
      <c r="ADM532"/>
      <c r="ADN532"/>
      <c r="ADO532"/>
      <c r="ADP532"/>
      <c r="ADQ532"/>
      <c r="ADR532"/>
      <c r="ADS532"/>
      <c r="ADT532"/>
      <c r="ADU532"/>
      <c r="ADV532"/>
      <c r="ADW532"/>
      <c r="ADX532"/>
      <c r="ADY532"/>
      <c r="ADZ532"/>
      <c r="AEA532"/>
      <c r="AEB532"/>
      <c r="AEC532"/>
      <c r="AED532"/>
      <c r="AEE532"/>
      <c r="AEF532"/>
      <c r="AEG532"/>
      <c r="AEH532"/>
      <c r="AEI532"/>
      <c r="AEJ532"/>
      <c r="AEK532"/>
      <c r="AEL532"/>
      <c r="AEM532"/>
      <c r="AEN532"/>
      <c r="AEO532"/>
      <c r="AEP532"/>
      <c r="AEQ532"/>
      <c r="AER532"/>
      <c r="AES532"/>
      <c r="AET532"/>
      <c r="AEU532"/>
      <c r="AEV532"/>
      <c r="AEW532"/>
      <c r="AEX532"/>
      <c r="AEY532"/>
      <c r="AEZ532"/>
      <c r="AFA532"/>
      <c r="AFB532"/>
      <c r="AFC532"/>
      <c r="AFD532"/>
      <c r="AFE532"/>
      <c r="AFF532"/>
      <c r="AFG532"/>
      <c r="AFH532"/>
      <c r="AFI532"/>
      <c r="AFJ532"/>
      <c r="AFK532"/>
      <c r="AFL532"/>
      <c r="AFM532"/>
      <c r="AFN532"/>
      <c r="AFO532"/>
      <c r="AFP532"/>
      <c r="AFQ532"/>
      <c r="AFR532"/>
      <c r="AFS532"/>
      <c r="AFT532"/>
      <c r="AFU532"/>
      <c r="AFV532"/>
      <c r="AFW532"/>
      <c r="AFX532"/>
      <c r="AFY532"/>
      <c r="AFZ532"/>
      <c r="AGA532"/>
      <c r="AGB532"/>
      <c r="AGC532"/>
      <c r="AGD532"/>
      <c r="AGE532"/>
      <c r="AGF532"/>
      <c r="AGG532"/>
      <c r="AGH532"/>
      <c r="AGI532"/>
      <c r="AGJ532"/>
      <c r="AGK532"/>
      <c r="AGL532"/>
      <c r="AGM532"/>
      <c r="AGN532"/>
      <c r="AGO532"/>
      <c r="AGP532"/>
      <c r="AGQ532"/>
      <c r="AGR532"/>
      <c r="AGS532"/>
      <c r="AGT532"/>
      <c r="AGU532"/>
    </row>
    <row r="533" spans="1:879" x14ac:dyDescent="0.2">
      <c r="A533" s="134">
        <v>45367</v>
      </c>
      <c r="B533" s="135">
        <f>YEAR(source[[#This Row],[report_date]])</f>
        <v>2024</v>
      </c>
      <c r="C533" s="136">
        <v>3</v>
      </c>
      <c r="D533" s="136">
        <f t="shared" si="39"/>
        <v>11</v>
      </c>
      <c r="E533" s="136">
        <f t="shared" si="40"/>
        <v>16</v>
      </c>
      <c r="F533" s="128" t="s">
        <v>19</v>
      </c>
      <c r="G533" s="128" t="str">
        <f>VLOOKUP(source[[#This Row],[lending_product_transform]],[3]Mapping!$B$4:$C$37,2,0)</f>
        <v>[VDS] - Payday</v>
      </c>
      <c r="H533" s="128" t="str">
        <f>VLOOKUP(source[[#This Row],[lending_product_transform]],[3]Mapping!$B$3:$D$37,3,0)</f>
        <v>payday</v>
      </c>
      <c r="I533" s="135">
        <v>1855500000</v>
      </c>
      <c r="K533" s="550" t="s">
        <v>61</v>
      </c>
      <c r="L533" s="477">
        <v>1439000000</v>
      </c>
      <c r="M533" s="477">
        <v>1267000000</v>
      </c>
      <c r="N533" s="477">
        <v>1666000000</v>
      </c>
      <c r="O533" s="477">
        <v>1602000000</v>
      </c>
      <c r="P533" s="477">
        <v>406000000</v>
      </c>
      <c r="Q533" s="477">
        <v>6380000000</v>
      </c>
      <c r="R533" s="477">
        <v>6380000000</v>
      </c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/>
      <c r="MI533"/>
      <c r="MJ533"/>
      <c r="MK533"/>
      <c r="ML533"/>
      <c r="MM533"/>
      <c r="MN533"/>
      <c r="MO533"/>
      <c r="MP533"/>
      <c r="MQ533"/>
      <c r="MR533"/>
      <c r="MS533"/>
      <c r="MT533"/>
      <c r="MU533"/>
      <c r="MV533"/>
      <c r="MW533"/>
      <c r="MX533"/>
      <c r="MY533"/>
      <c r="MZ533"/>
      <c r="NA533"/>
      <c r="NB533"/>
      <c r="NC533"/>
      <c r="ND533"/>
      <c r="NE533"/>
      <c r="NF533"/>
      <c r="NG533"/>
      <c r="NH533"/>
      <c r="NI533"/>
      <c r="NJ533"/>
      <c r="NK533"/>
      <c r="NL533"/>
      <c r="NM533"/>
      <c r="NN533"/>
      <c r="NO533"/>
      <c r="NP533"/>
      <c r="NQ533"/>
      <c r="NR533"/>
      <c r="NS533"/>
      <c r="NT533"/>
      <c r="NU533"/>
      <c r="NV533"/>
      <c r="NW533"/>
      <c r="NX533"/>
      <c r="NY533"/>
      <c r="NZ533"/>
      <c r="OA533"/>
      <c r="OB533"/>
      <c r="OC533"/>
      <c r="OD533"/>
      <c r="OE533"/>
      <c r="OF533"/>
      <c r="OG533"/>
      <c r="OH533"/>
      <c r="OI533"/>
      <c r="OJ533"/>
      <c r="OK533"/>
      <c r="OL533"/>
      <c r="OM533"/>
      <c r="ON533"/>
      <c r="OO533"/>
      <c r="OP533"/>
      <c r="OQ533"/>
      <c r="OR533"/>
      <c r="OS533"/>
      <c r="OT533"/>
      <c r="OU533"/>
      <c r="OV533"/>
      <c r="OW533"/>
      <c r="OX533"/>
      <c r="OY533"/>
      <c r="OZ533"/>
      <c r="PA533"/>
      <c r="PB533"/>
      <c r="PC533"/>
      <c r="PD533"/>
      <c r="PE533"/>
      <c r="PF533"/>
      <c r="PG533"/>
      <c r="PH533"/>
      <c r="PI533"/>
      <c r="PJ533"/>
      <c r="PK533"/>
      <c r="PL533"/>
      <c r="PM533"/>
      <c r="PN533"/>
      <c r="PO533"/>
      <c r="PP533"/>
      <c r="PQ533"/>
      <c r="PR533"/>
      <c r="PS533"/>
      <c r="PT533"/>
      <c r="PU533"/>
      <c r="PV533"/>
      <c r="PW533"/>
      <c r="PX533"/>
      <c r="PY533"/>
      <c r="PZ533"/>
      <c r="QA533"/>
      <c r="QB533"/>
      <c r="QC533"/>
      <c r="QD533"/>
      <c r="QE533"/>
      <c r="QF533"/>
      <c r="QG533"/>
      <c r="QH533"/>
      <c r="QI533"/>
      <c r="QJ533"/>
      <c r="QK533"/>
      <c r="QL533"/>
      <c r="QM533"/>
      <c r="QN533"/>
      <c r="QO533"/>
      <c r="QP533"/>
      <c r="QQ533"/>
      <c r="QR533"/>
      <c r="QS533"/>
      <c r="QT533"/>
      <c r="QU533"/>
      <c r="QV533"/>
      <c r="QW533"/>
      <c r="QX533"/>
      <c r="QY533"/>
      <c r="QZ533"/>
      <c r="RA533"/>
      <c r="RB533"/>
      <c r="RC533"/>
      <c r="RD533"/>
      <c r="RE533"/>
      <c r="RF533"/>
      <c r="RG533"/>
      <c r="RH533"/>
      <c r="RI533"/>
      <c r="RJ533"/>
      <c r="RK533"/>
      <c r="RL533"/>
      <c r="RM533"/>
      <c r="RN533"/>
      <c r="RO533"/>
      <c r="RP533"/>
      <c r="RQ533"/>
      <c r="RR533"/>
      <c r="RS533"/>
      <c r="RT533"/>
      <c r="RU533"/>
      <c r="RV533"/>
      <c r="RW533"/>
      <c r="RX533"/>
      <c r="RY533"/>
      <c r="RZ533"/>
      <c r="SA533"/>
      <c r="SB533"/>
      <c r="SC533"/>
      <c r="SD533"/>
      <c r="SE533"/>
      <c r="SF533"/>
      <c r="SG533"/>
      <c r="SH533"/>
      <c r="SI533"/>
      <c r="SJ533"/>
      <c r="SK533"/>
      <c r="SL533"/>
      <c r="SM533"/>
      <c r="SN533"/>
      <c r="SO533"/>
      <c r="SP533"/>
      <c r="SQ533"/>
      <c r="SR533"/>
      <c r="SS533"/>
      <c r="ST533"/>
      <c r="SU533"/>
      <c r="SV533"/>
      <c r="SW533"/>
      <c r="SX533"/>
      <c r="SY533"/>
      <c r="SZ533"/>
      <c r="TA533"/>
      <c r="TB533"/>
      <c r="TC533"/>
      <c r="TD533"/>
      <c r="TE533"/>
      <c r="TF533"/>
      <c r="TG533"/>
      <c r="TH533"/>
      <c r="TI533"/>
      <c r="TJ533"/>
      <c r="TK533"/>
      <c r="TL533"/>
      <c r="TM533"/>
      <c r="TN533"/>
      <c r="TO533"/>
      <c r="TP533"/>
      <c r="TQ533"/>
      <c r="TR533"/>
      <c r="TS533"/>
      <c r="TT533"/>
      <c r="TU533"/>
      <c r="TV533"/>
      <c r="TW533"/>
      <c r="TX533"/>
      <c r="TY533"/>
      <c r="TZ533"/>
      <c r="UA533"/>
      <c r="UB533"/>
      <c r="UC533"/>
      <c r="UD533"/>
      <c r="UE533"/>
      <c r="UF533"/>
      <c r="UG533"/>
      <c r="UH533"/>
      <c r="UI533"/>
      <c r="UJ533"/>
      <c r="UK533"/>
      <c r="UL533"/>
      <c r="UM533"/>
      <c r="UN533"/>
      <c r="UO533"/>
      <c r="UP533"/>
      <c r="UQ533"/>
      <c r="UR533"/>
      <c r="US533"/>
      <c r="UT533"/>
      <c r="UU533"/>
      <c r="UV533"/>
      <c r="UW533"/>
      <c r="UX533"/>
      <c r="UY533"/>
      <c r="UZ533"/>
      <c r="VA533"/>
      <c r="VB533"/>
      <c r="VC533"/>
      <c r="VD533"/>
      <c r="VE533"/>
      <c r="VF533"/>
      <c r="VG533"/>
      <c r="VH533"/>
      <c r="VI533"/>
      <c r="VJ533"/>
      <c r="VK533"/>
      <c r="VL533"/>
      <c r="VM533"/>
      <c r="VN533"/>
      <c r="VO533"/>
      <c r="VP533"/>
      <c r="VQ533"/>
      <c r="VR533"/>
      <c r="VS533"/>
      <c r="VT533"/>
      <c r="VU533"/>
      <c r="VV533"/>
      <c r="VW533"/>
      <c r="VX533"/>
      <c r="VY533"/>
      <c r="VZ533"/>
      <c r="WA533"/>
      <c r="WB533"/>
      <c r="WC533"/>
      <c r="WD533"/>
      <c r="WE533"/>
      <c r="WF533"/>
      <c r="WG533"/>
      <c r="WH533"/>
      <c r="WI533"/>
      <c r="WJ533"/>
      <c r="WK533"/>
      <c r="WL533"/>
      <c r="WM533"/>
      <c r="WN533"/>
      <c r="WO533"/>
      <c r="WP533"/>
      <c r="WQ533"/>
      <c r="WR533"/>
      <c r="WS533"/>
      <c r="WT533"/>
      <c r="WU533"/>
      <c r="WV533"/>
      <c r="WW533"/>
      <c r="WX533"/>
      <c r="WY533"/>
      <c r="WZ533"/>
      <c r="XA533"/>
      <c r="XB533"/>
      <c r="XC533"/>
      <c r="XD533"/>
      <c r="XE533"/>
      <c r="XF533"/>
      <c r="XG533"/>
      <c r="XH533"/>
      <c r="XI533"/>
      <c r="XJ533"/>
      <c r="XK533"/>
      <c r="XL533"/>
      <c r="XM533"/>
      <c r="XN533"/>
      <c r="XO533"/>
      <c r="XP533"/>
      <c r="XQ533"/>
      <c r="XR533"/>
      <c r="XS533"/>
      <c r="XT533"/>
      <c r="XU533"/>
      <c r="XV533"/>
      <c r="XW533"/>
      <c r="XX533"/>
      <c r="XY533"/>
      <c r="XZ533"/>
      <c r="YA533"/>
      <c r="YB533"/>
      <c r="YC533"/>
      <c r="YD533"/>
      <c r="YE533"/>
      <c r="YF533"/>
      <c r="YG533"/>
      <c r="YH533"/>
      <c r="YI533"/>
      <c r="YJ533"/>
      <c r="YK533"/>
      <c r="YL533"/>
      <c r="YM533"/>
      <c r="YN533"/>
      <c r="YO533"/>
      <c r="YP533"/>
      <c r="YQ533"/>
      <c r="YR533"/>
      <c r="YS533"/>
      <c r="YT533"/>
      <c r="YU533"/>
      <c r="YV533"/>
      <c r="YW533"/>
      <c r="YX533"/>
      <c r="YY533"/>
      <c r="YZ533"/>
      <c r="ZA533"/>
      <c r="ZB533"/>
      <c r="ZC533"/>
      <c r="ZD533"/>
      <c r="ZE533"/>
      <c r="ZF533"/>
      <c r="ZG533"/>
      <c r="ZH533"/>
      <c r="ZI533"/>
      <c r="ZJ533"/>
      <c r="ZK533"/>
      <c r="ZL533"/>
      <c r="ZM533"/>
      <c r="ZN533"/>
      <c r="ZO533"/>
      <c r="ZP533"/>
      <c r="ZQ533"/>
      <c r="ZR533"/>
      <c r="ZS533"/>
      <c r="ZT533"/>
      <c r="ZU533"/>
      <c r="ZV533"/>
      <c r="ZW533"/>
      <c r="ZX533"/>
      <c r="ZY533"/>
      <c r="ZZ533"/>
      <c r="AAA533"/>
      <c r="AAB533"/>
      <c r="AAC533"/>
      <c r="AAD533"/>
      <c r="AAE533"/>
      <c r="AAF533"/>
      <c r="AAG533"/>
      <c r="AAH533"/>
      <c r="AAI533"/>
      <c r="AAJ533"/>
      <c r="AAK533"/>
      <c r="AAL533"/>
      <c r="AAM533"/>
      <c r="AAN533"/>
      <c r="AAO533"/>
      <c r="AAP533"/>
      <c r="AAQ533"/>
      <c r="AAR533"/>
      <c r="AAS533"/>
      <c r="AAT533"/>
      <c r="AAU533"/>
      <c r="AAV533"/>
      <c r="AAW533"/>
      <c r="AAX533"/>
      <c r="AAY533"/>
      <c r="AAZ533"/>
      <c r="ABA533"/>
      <c r="ABB533"/>
      <c r="ABC533"/>
      <c r="ABD533"/>
      <c r="ABE533"/>
      <c r="ABF533"/>
      <c r="ABG533"/>
      <c r="ABH533"/>
      <c r="ABI533"/>
      <c r="ABJ533"/>
      <c r="ABK533"/>
      <c r="ABL533"/>
      <c r="ABM533"/>
      <c r="ABN533"/>
      <c r="ABO533"/>
      <c r="ABP533"/>
      <c r="ABQ533"/>
      <c r="ABR533"/>
      <c r="ABS533"/>
      <c r="ABT533"/>
      <c r="ABU533"/>
      <c r="ABV533"/>
      <c r="ABW533"/>
      <c r="ABX533"/>
      <c r="ABY533"/>
      <c r="ABZ533"/>
      <c r="ACA533"/>
      <c r="ACB533"/>
      <c r="ACC533"/>
      <c r="ACD533"/>
      <c r="ACE533"/>
      <c r="ACF533"/>
      <c r="ACG533"/>
      <c r="ACH533"/>
      <c r="ACI533"/>
      <c r="ACJ533"/>
      <c r="ACK533"/>
      <c r="ACL533"/>
      <c r="ACM533"/>
      <c r="ACN533"/>
      <c r="ACO533"/>
      <c r="ACP533"/>
      <c r="ACQ533"/>
      <c r="ACR533"/>
      <c r="ACS533"/>
      <c r="ACT533"/>
      <c r="ACU533"/>
      <c r="ACV533"/>
      <c r="ACW533"/>
      <c r="ACX533"/>
      <c r="ACY533"/>
      <c r="ACZ533"/>
      <c r="ADA533"/>
      <c r="ADB533"/>
      <c r="ADC533"/>
      <c r="ADD533"/>
      <c r="ADE533"/>
      <c r="ADF533"/>
      <c r="ADG533"/>
      <c r="ADH533"/>
      <c r="ADI533"/>
      <c r="ADJ533"/>
      <c r="ADK533"/>
      <c r="ADL533"/>
      <c r="ADM533"/>
      <c r="ADN533"/>
      <c r="ADO533"/>
      <c r="ADP533"/>
      <c r="ADQ533"/>
      <c r="ADR533"/>
      <c r="ADS533"/>
      <c r="ADT533"/>
      <c r="ADU533"/>
      <c r="ADV533"/>
      <c r="ADW533"/>
      <c r="ADX533"/>
      <c r="ADY533"/>
      <c r="ADZ533"/>
      <c r="AEA533"/>
      <c r="AEB533"/>
      <c r="AEC533"/>
      <c r="AED533"/>
      <c r="AEE533"/>
      <c r="AEF533"/>
      <c r="AEG533"/>
      <c r="AEH533"/>
      <c r="AEI533"/>
      <c r="AEJ533"/>
      <c r="AEK533"/>
      <c r="AEL533"/>
      <c r="AEM533"/>
      <c r="AEN533"/>
      <c r="AEO533"/>
      <c r="AEP533"/>
      <c r="AEQ533"/>
      <c r="AER533"/>
      <c r="AES533"/>
      <c r="AET533"/>
      <c r="AEU533"/>
      <c r="AEV533"/>
      <c r="AEW533"/>
      <c r="AEX533"/>
      <c r="AEY533"/>
      <c r="AEZ533"/>
      <c r="AFA533"/>
      <c r="AFB533"/>
      <c r="AFC533"/>
      <c r="AFD533"/>
      <c r="AFE533"/>
      <c r="AFF533"/>
      <c r="AFG533"/>
      <c r="AFH533"/>
      <c r="AFI533"/>
      <c r="AFJ533"/>
      <c r="AFK533"/>
      <c r="AFL533"/>
      <c r="AFM533"/>
      <c r="AFN533"/>
      <c r="AFO533"/>
      <c r="AFP533"/>
      <c r="AFQ533"/>
      <c r="AFR533"/>
      <c r="AFS533"/>
      <c r="AFT533"/>
      <c r="AFU533"/>
      <c r="AFV533"/>
      <c r="AFW533"/>
      <c r="AFX533"/>
      <c r="AFY533"/>
      <c r="AFZ533"/>
      <c r="AGA533"/>
      <c r="AGB533"/>
      <c r="AGC533"/>
      <c r="AGD533"/>
      <c r="AGE533"/>
      <c r="AGF533"/>
      <c r="AGG533"/>
      <c r="AGH533"/>
      <c r="AGI533"/>
      <c r="AGJ533"/>
      <c r="AGK533"/>
      <c r="AGL533"/>
      <c r="AGM533"/>
      <c r="AGN533"/>
      <c r="AGO533"/>
      <c r="AGP533"/>
      <c r="AGQ533"/>
      <c r="AGR533"/>
      <c r="AGS533"/>
      <c r="AGT533"/>
      <c r="AGU533"/>
    </row>
    <row r="534" spans="1:879" x14ac:dyDescent="0.2">
      <c r="A534" s="134">
        <v>45367</v>
      </c>
      <c r="B534" s="135">
        <f>YEAR(source[[#This Row],[report_date]])</f>
        <v>2024</v>
      </c>
      <c r="C534" s="136">
        <v>3</v>
      </c>
      <c r="D534" s="136">
        <f t="shared" si="39"/>
        <v>11</v>
      </c>
      <c r="E534" s="136">
        <f t="shared" si="40"/>
        <v>16</v>
      </c>
      <c r="F534" s="128" t="s">
        <v>61</v>
      </c>
      <c r="G534" s="128" t="str">
        <f>VLOOKUP(source[[#This Row],[lending_product_transform]],[3]Mapping!$B$4:$C$37,2,0)</f>
        <v>[VDS] - Payroll Payday</v>
      </c>
      <c r="H534" s="128" t="str">
        <f>VLOOKUP(source[[#This Row],[lending_product_transform]],[3]Mapping!$B$3:$D$37,3,0)</f>
        <v>payday</v>
      </c>
      <c r="I534" s="135">
        <v>18000000</v>
      </c>
      <c r="K534" s="550" t="s">
        <v>57</v>
      </c>
      <c r="L534" s="477">
        <v>27560260000</v>
      </c>
      <c r="M534" s="477">
        <v>21558320000</v>
      </c>
      <c r="N534" s="477">
        <v>24486590000</v>
      </c>
      <c r="O534" s="477">
        <v>22627370000</v>
      </c>
      <c r="P534" s="477">
        <v>7609020000</v>
      </c>
      <c r="Q534" s="477">
        <v>103841560000</v>
      </c>
      <c r="R534" s="477">
        <v>103841560000</v>
      </c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/>
      <c r="MI534"/>
      <c r="MJ534"/>
      <c r="MK534"/>
      <c r="ML534"/>
      <c r="MM534"/>
      <c r="MN534"/>
      <c r="MO534"/>
      <c r="MP534"/>
      <c r="MQ534"/>
      <c r="MR534"/>
      <c r="MS534"/>
      <c r="MT534"/>
      <c r="MU534"/>
      <c r="MV534"/>
      <c r="MW534"/>
      <c r="MX534"/>
      <c r="MY534"/>
      <c r="MZ534"/>
      <c r="NA534"/>
      <c r="NB534"/>
      <c r="NC534"/>
      <c r="ND534"/>
      <c r="NE534"/>
      <c r="NF534"/>
      <c r="NG534"/>
      <c r="NH534"/>
      <c r="NI534"/>
      <c r="NJ534"/>
      <c r="NK534"/>
      <c r="NL534"/>
      <c r="NM534"/>
      <c r="NN534"/>
      <c r="NO534"/>
      <c r="NP534"/>
      <c r="NQ534"/>
      <c r="NR534"/>
      <c r="NS534"/>
      <c r="NT534"/>
      <c r="NU534"/>
      <c r="NV534"/>
      <c r="NW534"/>
      <c r="NX534"/>
      <c r="NY534"/>
      <c r="NZ534"/>
      <c r="OA534"/>
      <c r="OB534"/>
      <c r="OC534"/>
      <c r="OD534"/>
      <c r="OE534"/>
      <c r="OF534"/>
      <c r="OG534"/>
      <c r="OH534"/>
      <c r="OI534"/>
      <c r="OJ534"/>
      <c r="OK534"/>
      <c r="OL534"/>
      <c r="OM534"/>
      <c r="ON534"/>
      <c r="OO534"/>
      <c r="OP534"/>
      <c r="OQ534"/>
      <c r="OR534"/>
      <c r="OS534"/>
      <c r="OT534"/>
      <c r="OU534"/>
      <c r="OV534"/>
      <c r="OW534"/>
      <c r="OX534"/>
      <c r="OY534"/>
      <c r="OZ534"/>
      <c r="PA534"/>
      <c r="PB534"/>
      <c r="PC534"/>
      <c r="PD534"/>
      <c r="PE534"/>
      <c r="PF534"/>
      <c r="PG534"/>
      <c r="PH534"/>
      <c r="PI534"/>
      <c r="PJ534"/>
      <c r="PK534"/>
      <c r="PL534"/>
      <c r="PM534"/>
      <c r="PN534"/>
      <c r="PO534"/>
      <c r="PP534"/>
      <c r="PQ534"/>
      <c r="PR534"/>
      <c r="PS534"/>
      <c r="PT534"/>
      <c r="PU534"/>
      <c r="PV534"/>
      <c r="PW534"/>
      <c r="PX534"/>
      <c r="PY534"/>
      <c r="PZ534"/>
      <c r="QA534"/>
      <c r="QB534"/>
      <c r="QC534"/>
      <c r="QD534"/>
      <c r="QE534"/>
      <c r="QF534"/>
      <c r="QG534"/>
      <c r="QH534"/>
      <c r="QI534"/>
      <c r="QJ534"/>
      <c r="QK534"/>
      <c r="QL534"/>
      <c r="QM534"/>
      <c r="QN534"/>
      <c r="QO534"/>
      <c r="QP534"/>
      <c r="QQ534"/>
      <c r="QR534"/>
      <c r="QS534"/>
      <c r="QT534"/>
      <c r="QU534"/>
      <c r="QV534"/>
      <c r="QW534"/>
      <c r="QX534"/>
      <c r="QY534"/>
      <c r="QZ534"/>
      <c r="RA534"/>
      <c r="RB534"/>
      <c r="RC534"/>
      <c r="RD534"/>
      <c r="RE534"/>
      <c r="RF534"/>
      <c r="RG534"/>
      <c r="RH534"/>
      <c r="RI534"/>
      <c r="RJ534"/>
      <c r="RK534"/>
      <c r="RL534"/>
      <c r="RM534"/>
      <c r="RN534"/>
      <c r="RO534"/>
      <c r="RP534"/>
      <c r="RQ534"/>
      <c r="RR534"/>
      <c r="RS534"/>
      <c r="RT534"/>
      <c r="RU534"/>
      <c r="RV534"/>
      <c r="RW534"/>
      <c r="RX534"/>
      <c r="RY534"/>
      <c r="RZ534"/>
      <c r="SA534"/>
      <c r="SB534"/>
      <c r="SC534"/>
      <c r="SD534"/>
      <c r="SE534"/>
      <c r="SF534"/>
      <c r="SG534"/>
      <c r="SH534"/>
      <c r="SI534"/>
      <c r="SJ534"/>
      <c r="SK534"/>
      <c r="SL534"/>
      <c r="SM534"/>
      <c r="SN534"/>
      <c r="SO534"/>
      <c r="SP534"/>
      <c r="SQ534"/>
      <c r="SR534"/>
      <c r="SS534"/>
      <c r="ST534"/>
      <c r="SU534"/>
      <c r="SV534"/>
      <c r="SW534"/>
      <c r="SX534"/>
      <c r="SY534"/>
      <c r="SZ534"/>
      <c r="TA534"/>
      <c r="TB534"/>
      <c r="TC534"/>
      <c r="TD534"/>
      <c r="TE534"/>
      <c r="TF534"/>
      <c r="TG534"/>
      <c r="TH534"/>
      <c r="TI534"/>
      <c r="TJ534"/>
      <c r="TK534"/>
      <c r="TL534"/>
      <c r="TM534"/>
      <c r="TN534"/>
      <c r="TO534"/>
      <c r="TP534"/>
      <c r="TQ534"/>
      <c r="TR534"/>
      <c r="TS534"/>
      <c r="TT534"/>
      <c r="TU534"/>
      <c r="TV534"/>
      <c r="TW534"/>
      <c r="TX534"/>
      <c r="TY534"/>
      <c r="TZ534"/>
      <c r="UA534"/>
      <c r="UB534"/>
      <c r="UC534"/>
      <c r="UD534"/>
      <c r="UE534"/>
      <c r="UF534"/>
      <c r="UG534"/>
      <c r="UH534"/>
      <c r="UI534"/>
      <c r="UJ534"/>
      <c r="UK534"/>
      <c r="UL534"/>
      <c r="UM534"/>
      <c r="UN534"/>
      <c r="UO534"/>
      <c r="UP534"/>
      <c r="UQ534"/>
      <c r="UR534"/>
      <c r="US534"/>
      <c r="UT534"/>
      <c r="UU534"/>
      <c r="UV534"/>
      <c r="UW534"/>
      <c r="UX534"/>
      <c r="UY534"/>
      <c r="UZ534"/>
      <c r="VA534"/>
      <c r="VB534"/>
      <c r="VC534"/>
      <c r="VD534"/>
      <c r="VE534"/>
      <c r="VF534"/>
      <c r="VG534"/>
      <c r="VH534"/>
      <c r="VI534"/>
      <c r="VJ534"/>
      <c r="VK534"/>
      <c r="VL534"/>
      <c r="VM534"/>
      <c r="VN534"/>
      <c r="VO534"/>
      <c r="VP534"/>
      <c r="VQ534"/>
      <c r="VR534"/>
      <c r="VS534"/>
      <c r="VT534"/>
      <c r="VU534"/>
      <c r="VV534"/>
      <c r="VW534"/>
      <c r="VX534"/>
      <c r="VY534"/>
      <c r="VZ534"/>
      <c r="WA534"/>
      <c r="WB534"/>
      <c r="WC534"/>
      <c r="WD534"/>
      <c r="WE534"/>
      <c r="WF534"/>
      <c r="WG534"/>
      <c r="WH534"/>
      <c r="WI534"/>
      <c r="WJ534"/>
      <c r="WK534"/>
      <c r="WL534"/>
      <c r="WM534"/>
      <c r="WN534"/>
      <c r="WO534"/>
      <c r="WP534"/>
      <c r="WQ534"/>
      <c r="WR534"/>
      <c r="WS534"/>
      <c r="WT534"/>
      <c r="WU534"/>
      <c r="WV534"/>
      <c r="WW534"/>
      <c r="WX534"/>
      <c r="WY534"/>
      <c r="WZ534"/>
      <c r="XA534"/>
      <c r="XB534"/>
      <c r="XC534"/>
      <c r="XD534"/>
      <c r="XE534"/>
      <c r="XF534"/>
      <c r="XG534"/>
      <c r="XH534"/>
      <c r="XI534"/>
      <c r="XJ534"/>
      <c r="XK534"/>
      <c r="XL534"/>
      <c r="XM534"/>
      <c r="XN534"/>
      <c r="XO534"/>
      <c r="XP534"/>
      <c r="XQ534"/>
      <c r="XR534"/>
      <c r="XS534"/>
      <c r="XT534"/>
      <c r="XU534"/>
      <c r="XV534"/>
      <c r="XW534"/>
      <c r="XX534"/>
      <c r="XY534"/>
      <c r="XZ534"/>
      <c r="YA534"/>
      <c r="YB534"/>
      <c r="YC534"/>
      <c r="YD534"/>
      <c r="YE534"/>
      <c r="YF534"/>
      <c r="YG534"/>
      <c r="YH534"/>
      <c r="YI534"/>
      <c r="YJ534"/>
      <c r="YK534"/>
      <c r="YL534"/>
      <c r="YM534"/>
      <c r="YN534"/>
      <c r="YO534"/>
      <c r="YP534"/>
      <c r="YQ534"/>
      <c r="YR534"/>
      <c r="YS534"/>
      <c r="YT534"/>
      <c r="YU534"/>
      <c r="YV534"/>
      <c r="YW534"/>
      <c r="YX534"/>
      <c r="YY534"/>
      <c r="YZ534"/>
      <c r="ZA534"/>
      <c r="ZB534"/>
      <c r="ZC534"/>
      <c r="ZD534"/>
      <c r="ZE534"/>
      <c r="ZF534"/>
      <c r="ZG534"/>
      <c r="ZH534"/>
      <c r="ZI534"/>
      <c r="ZJ534"/>
      <c r="ZK534"/>
      <c r="ZL534"/>
      <c r="ZM534"/>
      <c r="ZN534"/>
      <c r="ZO534"/>
      <c r="ZP534"/>
      <c r="ZQ534"/>
      <c r="ZR534"/>
      <c r="ZS534"/>
      <c r="ZT534"/>
      <c r="ZU534"/>
      <c r="ZV534"/>
      <c r="ZW534"/>
      <c r="ZX534"/>
      <c r="ZY534"/>
      <c r="ZZ534"/>
      <c r="AAA534"/>
      <c r="AAB534"/>
      <c r="AAC534"/>
      <c r="AAD534"/>
      <c r="AAE534"/>
      <c r="AAF534"/>
      <c r="AAG534"/>
      <c r="AAH534"/>
      <c r="AAI534"/>
      <c r="AAJ534"/>
      <c r="AAK534"/>
      <c r="AAL534"/>
      <c r="AAM534"/>
      <c r="AAN534"/>
      <c r="AAO534"/>
      <c r="AAP534"/>
      <c r="AAQ534"/>
      <c r="AAR534"/>
      <c r="AAS534"/>
      <c r="AAT534"/>
      <c r="AAU534"/>
      <c r="AAV534"/>
      <c r="AAW534"/>
      <c r="AAX534"/>
      <c r="AAY534"/>
      <c r="AAZ534"/>
      <c r="ABA534"/>
      <c r="ABB534"/>
      <c r="ABC534"/>
      <c r="ABD534"/>
      <c r="ABE534"/>
      <c r="ABF534"/>
      <c r="ABG534"/>
      <c r="ABH534"/>
      <c r="ABI534"/>
      <c r="ABJ534"/>
      <c r="ABK534"/>
      <c r="ABL534"/>
      <c r="ABM534"/>
      <c r="ABN534"/>
      <c r="ABO534"/>
      <c r="ABP534"/>
      <c r="ABQ534"/>
      <c r="ABR534"/>
      <c r="ABS534"/>
      <c r="ABT534"/>
      <c r="ABU534"/>
      <c r="ABV534"/>
      <c r="ABW534"/>
      <c r="ABX534"/>
      <c r="ABY534"/>
      <c r="ABZ534"/>
      <c r="ACA534"/>
      <c r="ACB534"/>
      <c r="ACC534"/>
      <c r="ACD534"/>
      <c r="ACE534"/>
      <c r="ACF534"/>
      <c r="ACG534"/>
      <c r="ACH534"/>
      <c r="ACI534"/>
      <c r="ACJ534"/>
      <c r="ACK534"/>
      <c r="ACL534"/>
      <c r="ACM534"/>
      <c r="ACN534"/>
      <c r="ACO534"/>
      <c r="ACP534"/>
      <c r="ACQ534"/>
      <c r="ACR534"/>
      <c r="ACS534"/>
      <c r="ACT534"/>
      <c r="ACU534"/>
      <c r="ACV534"/>
      <c r="ACW534"/>
      <c r="ACX534"/>
      <c r="ACY534"/>
      <c r="ACZ534"/>
      <c r="ADA534"/>
      <c r="ADB534"/>
      <c r="ADC534"/>
      <c r="ADD534"/>
      <c r="ADE534"/>
      <c r="ADF534"/>
      <c r="ADG534"/>
      <c r="ADH534"/>
      <c r="ADI534"/>
      <c r="ADJ534"/>
      <c r="ADK534"/>
      <c r="ADL534"/>
      <c r="ADM534"/>
      <c r="ADN534"/>
      <c r="ADO534"/>
      <c r="ADP534"/>
      <c r="ADQ534"/>
      <c r="ADR534"/>
      <c r="ADS534"/>
      <c r="ADT534"/>
      <c r="ADU534"/>
      <c r="ADV534"/>
      <c r="ADW534"/>
      <c r="ADX534"/>
      <c r="ADY534"/>
      <c r="ADZ534"/>
      <c r="AEA534"/>
      <c r="AEB534"/>
      <c r="AEC534"/>
      <c r="AED534"/>
      <c r="AEE534"/>
      <c r="AEF534"/>
      <c r="AEG534"/>
      <c r="AEH534"/>
      <c r="AEI534"/>
      <c r="AEJ534"/>
      <c r="AEK534"/>
      <c r="AEL534"/>
      <c r="AEM534"/>
      <c r="AEN534"/>
      <c r="AEO534"/>
      <c r="AEP534"/>
      <c r="AEQ534"/>
      <c r="AER534"/>
      <c r="AES534"/>
      <c r="AET534"/>
      <c r="AEU534"/>
      <c r="AEV534"/>
      <c r="AEW534"/>
      <c r="AEX534"/>
      <c r="AEY534"/>
      <c r="AEZ534"/>
      <c r="AFA534"/>
      <c r="AFB534"/>
      <c r="AFC534"/>
      <c r="AFD534"/>
      <c r="AFE534"/>
      <c r="AFF534"/>
      <c r="AFG534"/>
      <c r="AFH534"/>
      <c r="AFI534"/>
      <c r="AFJ534"/>
      <c r="AFK534"/>
      <c r="AFL534"/>
      <c r="AFM534"/>
      <c r="AFN534"/>
      <c r="AFO534"/>
      <c r="AFP534"/>
      <c r="AFQ534"/>
      <c r="AFR534"/>
      <c r="AFS534"/>
      <c r="AFT534"/>
      <c r="AFU534"/>
      <c r="AFV534"/>
      <c r="AFW534"/>
      <c r="AFX534"/>
      <c r="AFY534"/>
      <c r="AFZ534"/>
      <c r="AGA534"/>
      <c r="AGB534"/>
      <c r="AGC534"/>
      <c r="AGD534"/>
      <c r="AGE534"/>
      <c r="AGF534"/>
      <c r="AGG534"/>
      <c r="AGH534"/>
      <c r="AGI534"/>
      <c r="AGJ534"/>
      <c r="AGK534"/>
      <c r="AGL534"/>
      <c r="AGM534"/>
      <c r="AGN534"/>
      <c r="AGO534"/>
      <c r="AGP534"/>
      <c r="AGQ534"/>
      <c r="AGR534"/>
      <c r="AGS534"/>
      <c r="AGT534"/>
      <c r="AGU534"/>
    </row>
    <row r="535" spans="1:879" x14ac:dyDescent="0.2">
      <c r="A535" s="134">
        <v>45368</v>
      </c>
      <c r="B535" s="135">
        <f>YEAR(source[[#This Row],[report_date]])</f>
        <v>2024</v>
      </c>
      <c r="C535" s="136">
        <v>3</v>
      </c>
      <c r="D535" s="136">
        <f t="shared" si="39"/>
        <v>11</v>
      </c>
      <c r="E535" s="136">
        <f t="shared" si="40"/>
        <v>17</v>
      </c>
      <c r="F535" s="128" t="s">
        <v>65</v>
      </c>
      <c r="G535" s="128" t="str">
        <f>VLOOKUP(source[[#This Row],[lending_product_transform]],[3]Mapping!$B$4:$C$37,2,0)</f>
        <v>[BE] - Cashloan</v>
      </c>
      <c r="H535" s="128" t="str">
        <f>VLOOKUP(source[[#This Row],[lending_product_transform]],[3]Mapping!$B$3:$D$37,3,0)</f>
        <v>cashloan</v>
      </c>
      <c r="I535" s="135">
        <v>78750000</v>
      </c>
      <c r="K535" s="550" t="s">
        <v>63</v>
      </c>
      <c r="L535" s="477">
        <v>10493388000</v>
      </c>
      <c r="M535" s="477">
        <v>8188128000</v>
      </c>
      <c r="N535" s="477">
        <v>9678096000</v>
      </c>
      <c r="O535" s="477">
        <v>9585864000</v>
      </c>
      <c r="P535" s="477">
        <v>2862540000</v>
      </c>
      <c r="Q535" s="477">
        <v>40808016000</v>
      </c>
      <c r="R535" s="477">
        <v>40808016000</v>
      </c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/>
      <c r="MI535"/>
      <c r="MJ535"/>
      <c r="MK535"/>
      <c r="ML535"/>
      <c r="MM535"/>
      <c r="MN535"/>
      <c r="MO535"/>
      <c r="MP535"/>
      <c r="MQ535"/>
      <c r="MR535"/>
      <c r="MS535"/>
      <c r="MT535"/>
      <c r="MU535"/>
      <c r="MV535"/>
      <c r="MW535"/>
      <c r="MX535"/>
      <c r="MY535"/>
      <c r="MZ535"/>
      <c r="NA535"/>
      <c r="NB535"/>
      <c r="NC535"/>
      <c r="ND535"/>
      <c r="NE535"/>
      <c r="NF535"/>
      <c r="NG535"/>
      <c r="NH535"/>
      <c r="NI535"/>
      <c r="NJ535"/>
      <c r="NK535"/>
      <c r="NL535"/>
      <c r="NM535"/>
      <c r="NN535"/>
      <c r="NO535"/>
      <c r="NP535"/>
      <c r="NQ535"/>
      <c r="NR535"/>
      <c r="NS535"/>
      <c r="NT535"/>
      <c r="NU535"/>
      <c r="NV535"/>
      <c r="NW535"/>
      <c r="NX535"/>
      <c r="NY535"/>
      <c r="NZ535"/>
      <c r="OA535"/>
      <c r="OB535"/>
      <c r="OC535"/>
      <c r="OD535"/>
      <c r="OE535"/>
      <c r="OF535"/>
      <c r="OG535"/>
      <c r="OH535"/>
      <c r="OI535"/>
      <c r="OJ535"/>
      <c r="OK535"/>
      <c r="OL535"/>
      <c r="OM535"/>
      <c r="ON535"/>
      <c r="OO535"/>
      <c r="OP535"/>
      <c r="OQ535"/>
      <c r="OR535"/>
      <c r="OS535"/>
      <c r="OT535"/>
      <c r="OU535"/>
      <c r="OV535"/>
      <c r="OW535"/>
      <c r="OX535"/>
      <c r="OY535"/>
      <c r="OZ535"/>
      <c r="PA535"/>
      <c r="PB535"/>
      <c r="PC535"/>
      <c r="PD535"/>
      <c r="PE535"/>
      <c r="PF535"/>
      <c r="PG535"/>
      <c r="PH535"/>
      <c r="PI535"/>
      <c r="PJ535"/>
      <c r="PK535"/>
      <c r="PL535"/>
      <c r="PM535"/>
      <c r="PN535"/>
      <c r="PO535"/>
      <c r="PP535"/>
      <c r="PQ535"/>
      <c r="PR535"/>
      <c r="PS535"/>
      <c r="PT535"/>
      <c r="PU535"/>
      <c r="PV535"/>
      <c r="PW535"/>
      <c r="PX535"/>
      <c r="PY535"/>
      <c r="PZ535"/>
      <c r="QA535"/>
      <c r="QB535"/>
      <c r="QC535"/>
      <c r="QD535"/>
      <c r="QE535"/>
      <c r="QF535"/>
      <c r="QG535"/>
      <c r="QH535"/>
      <c r="QI535"/>
      <c r="QJ535"/>
      <c r="QK535"/>
      <c r="QL535"/>
      <c r="QM535"/>
      <c r="QN535"/>
      <c r="QO535"/>
      <c r="QP535"/>
      <c r="QQ535"/>
      <c r="QR535"/>
      <c r="QS535"/>
      <c r="QT535"/>
      <c r="QU535"/>
      <c r="QV535"/>
      <c r="QW535"/>
      <c r="QX535"/>
      <c r="QY535"/>
      <c r="QZ535"/>
      <c r="RA535"/>
      <c r="RB535"/>
      <c r="RC535"/>
      <c r="RD535"/>
      <c r="RE535"/>
      <c r="RF535"/>
      <c r="RG535"/>
      <c r="RH535"/>
      <c r="RI535"/>
      <c r="RJ535"/>
      <c r="RK535"/>
      <c r="RL535"/>
      <c r="RM535"/>
      <c r="RN535"/>
      <c r="RO535"/>
      <c r="RP535"/>
      <c r="RQ535"/>
      <c r="RR535"/>
      <c r="RS535"/>
      <c r="RT535"/>
      <c r="RU535"/>
      <c r="RV535"/>
      <c r="RW535"/>
      <c r="RX535"/>
      <c r="RY535"/>
      <c r="RZ535"/>
      <c r="SA535"/>
      <c r="SB535"/>
      <c r="SC535"/>
      <c r="SD535"/>
      <c r="SE535"/>
      <c r="SF535"/>
      <c r="SG535"/>
      <c r="SH535"/>
      <c r="SI535"/>
      <c r="SJ535"/>
      <c r="SK535"/>
      <c r="SL535"/>
      <c r="SM535"/>
      <c r="SN535"/>
      <c r="SO535"/>
      <c r="SP535"/>
      <c r="SQ535"/>
      <c r="SR535"/>
      <c r="SS535"/>
      <c r="ST535"/>
      <c r="SU535"/>
      <c r="SV535"/>
      <c r="SW535"/>
      <c r="SX535"/>
      <c r="SY535"/>
      <c r="SZ535"/>
      <c r="TA535"/>
      <c r="TB535"/>
      <c r="TC535"/>
      <c r="TD535"/>
      <c r="TE535"/>
      <c r="TF535"/>
      <c r="TG535"/>
      <c r="TH535"/>
      <c r="TI535"/>
      <c r="TJ535"/>
      <c r="TK535"/>
      <c r="TL535"/>
      <c r="TM535"/>
      <c r="TN535"/>
      <c r="TO535"/>
      <c r="TP535"/>
      <c r="TQ535"/>
      <c r="TR535"/>
      <c r="TS535"/>
      <c r="TT535"/>
      <c r="TU535"/>
      <c r="TV535"/>
      <c r="TW535"/>
      <c r="TX535"/>
      <c r="TY535"/>
      <c r="TZ535"/>
      <c r="UA535"/>
      <c r="UB535"/>
      <c r="UC535"/>
      <c r="UD535"/>
      <c r="UE535"/>
      <c r="UF535"/>
      <c r="UG535"/>
      <c r="UH535"/>
      <c r="UI535"/>
      <c r="UJ535"/>
      <c r="UK535"/>
      <c r="UL535"/>
      <c r="UM535"/>
      <c r="UN535"/>
      <c r="UO535"/>
      <c r="UP535"/>
      <c r="UQ535"/>
      <c r="UR535"/>
      <c r="US535"/>
      <c r="UT535"/>
      <c r="UU535"/>
      <c r="UV535"/>
      <c r="UW535"/>
      <c r="UX535"/>
      <c r="UY535"/>
      <c r="UZ535"/>
      <c r="VA535"/>
      <c r="VB535"/>
      <c r="VC535"/>
      <c r="VD535"/>
      <c r="VE535"/>
      <c r="VF535"/>
      <c r="VG535"/>
      <c r="VH535"/>
      <c r="VI535"/>
      <c r="VJ535"/>
      <c r="VK535"/>
      <c r="VL535"/>
      <c r="VM535"/>
      <c r="VN535"/>
      <c r="VO535"/>
      <c r="VP535"/>
      <c r="VQ535"/>
      <c r="VR535"/>
      <c r="VS535"/>
      <c r="VT535"/>
      <c r="VU535"/>
      <c r="VV535"/>
      <c r="VW535"/>
      <c r="VX535"/>
      <c r="VY535"/>
      <c r="VZ535"/>
      <c r="WA535"/>
      <c r="WB535"/>
      <c r="WC535"/>
      <c r="WD535"/>
      <c r="WE535"/>
      <c r="WF535"/>
      <c r="WG535"/>
      <c r="WH535"/>
      <c r="WI535"/>
      <c r="WJ535"/>
      <c r="WK535"/>
      <c r="WL535"/>
      <c r="WM535"/>
      <c r="WN535"/>
      <c r="WO535"/>
      <c r="WP535"/>
      <c r="WQ535"/>
      <c r="WR535"/>
      <c r="WS535"/>
      <c r="WT535"/>
      <c r="WU535"/>
      <c r="WV535"/>
      <c r="WW535"/>
      <c r="WX535"/>
      <c r="WY535"/>
      <c r="WZ535"/>
      <c r="XA535"/>
      <c r="XB535"/>
      <c r="XC535"/>
      <c r="XD535"/>
      <c r="XE535"/>
      <c r="XF535"/>
      <c r="XG535"/>
      <c r="XH535"/>
      <c r="XI535"/>
      <c r="XJ535"/>
      <c r="XK535"/>
      <c r="XL535"/>
      <c r="XM535"/>
      <c r="XN535"/>
      <c r="XO535"/>
      <c r="XP535"/>
      <c r="XQ535"/>
      <c r="XR535"/>
      <c r="XS535"/>
      <c r="XT535"/>
      <c r="XU535"/>
      <c r="XV535"/>
      <c r="XW535"/>
      <c r="XX535"/>
      <c r="XY535"/>
      <c r="XZ535"/>
      <c r="YA535"/>
      <c r="YB535"/>
      <c r="YC535"/>
      <c r="YD535"/>
      <c r="YE535"/>
      <c r="YF535"/>
      <c r="YG535"/>
      <c r="YH535"/>
      <c r="YI535"/>
      <c r="YJ535"/>
      <c r="YK535"/>
      <c r="YL535"/>
      <c r="YM535"/>
      <c r="YN535"/>
      <c r="YO535"/>
      <c r="YP535"/>
      <c r="YQ535"/>
      <c r="YR535"/>
      <c r="YS535"/>
      <c r="YT535"/>
      <c r="YU535"/>
      <c r="YV535"/>
      <c r="YW535"/>
      <c r="YX535"/>
      <c r="YY535"/>
      <c r="YZ535"/>
      <c r="ZA535"/>
      <c r="ZB535"/>
      <c r="ZC535"/>
      <c r="ZD535"/>
      <c r="ZE535"/>
      <c r="ZF535"/>
      <c r="ZG535"/>
      <c r="ZH535"/>
      <c r="ZI535"/>
      <c r="ZJ535"/>
      <c r="ZK535"/>
      <c r="ZL535"/>
      <c r="ZM535"/>
      <c r="ZN535"/>
      <c r="ZO535"/>
      <c r="ZP535"/>
      <c r="ZQ535"/>
      <c r="ZR535"/>
      <c r="ZS535"/>
      <c r="ZT535"/>
      <c r="ZU535"/>
      <c r="ZV535"/>
      <c r="ZW535"/>
      <c r="ZX535"/>
      <c r="ZY535"/>
      <c r="ZZ535"/>
      <c r="AAA535"/>
      <c r="AAB535"/>
      <c r="AAC535"/>
      <c r="AAD535"/>
      <c r="AAE535"/>
      <c r="AAF535"/>
      <c r="AAG535"/>
      <c r="AAH535"/>
      <c r="AAI535"/>
      <c r="AAJ535"/>
      <c r="AAK535"/>
      <c r="AAL535"/>
      <c r="AAM535"/>
      <c r="AAN535"/>
      <c r="AAO535"/>
      <c r="AAP535"/>
      <c r="AAQ535"/>
      <c r="AAR535"/>
      <c r="AAS535"/>
      <c r="AAT535"/>
      <c r="AAU535"/>
      <c r="AAV535"/>
      <c r="AAW535"/>
      <c r="AAX535"/>
      <c r="AAY535"/>
      <c r="AAZ535"/>
      <c r="ABA535"/>
      <c r="ABB535"/>
      <c r="ABC535"/>
      <c r="ABD535"/>
      <c r="ABE535"/>
      <c r="ABF535"/>
      <c r="ABG535"/>
      <c r="ABH535"/>
      <c r="ABI535"/>
      <c r="ABJ535"/>
      <c r="ABK535"/>
      <c r="ABL535"/>
      <c r="ABM535"/>
      <c r="ABN535"/>
      <c r="ABO535"/>
      <c r="ABP535"/>
      <c r="ABQ535"/>
      <c r="ABR535"/>
      <c r="ABS535"/>
      <c r="ABT535"/>
      <c r="ABU535"/>
      <c r="ABV535"/>
      <c r="ABW535"/>
      <c r="ABX535"/>
      <c r="ABY535"/>
      <c r="ABZ535"/>
      <c r="ACA535"/>
      <c r="ACB535"/>
      <c r="ACC535"/>
      <c r="ACD535"/>
      <c r="ACE535"/>
      <c r="ACF535"/>
      <c r="ACG535"/>
      <c r="ACH535"/>
      <c r="ACI535"/>
      <c r="ACJ535"/>
      <c r="ACK535"/>
      <c r="ACL535"/>
      <c r="ACM535"/>
      <c r="ACN535"/>
      <c r="ACO535"/>
      <c r="ACP535"/>
      <c r="ACQ535"/>
      <c r="ACR535"/>
      <c r="ACS535"/>
      <c r="ACT535"/>
      <c r="ACU535"/>
      <c r="ACV535"/>
      <c r="ACW535"/>
      <c r="ACX535"/>
      <c r="ACY535"/>
      <c r="ACZ535"/>
      <c r="ADA535"/>
      <c r="ADB535"/>
      <c r="ADC535"/>
      <c r="ADD535"/>
      <c r="ADE535"/>
      <c r="ADF535"/>
      <c r="ADG535"/>
      <c r="ADH535"/>
      <c r="ADI535"/>
      <c r="ADJ535"/>
      <c r="ADK535"/>
      <c r="ADL535"/>
      <c r="ADM535"/>
      <c r="ADN535"/>
      <c r="ADO535"/>
      <c r="ADP535"/>
      <c r="ADQ535"/>
      <c r="ADR535"/>
      <c r="ADS535"/>
      <c r="ADT535"/>
      <c r="ADU535"/>
      <c r="ADV535"/>
      <c r="ADW535"/>
      <c r="ADX535"/>
      <c r="ADY535"/>
      <c r="ADZ535"/>
      <c r="AEA535"/>
      <c r="AEB535"/>
      <c r="AEC535"/>
      <c r="AED535"/>
      <c r="AEE535"/>
      <c r="AEF535"/>
      <c r="AEG535"/>
      <c r="AEH535"/>
      <c r="AEI535"/>
      <c r="AEJ535"/>
      <c r="AEK535"/>
      <c r="AEL535"/>
      <c r="AEM535"/>
      <c r="AEN535"/>
      <c r="AEO535"/>
      <c r="AEP535"/>
      <c r="AEQ535"/>
      <c r="AER535"/>
      <c r="AES535"/>
      <c r="AET535"/>
      <c r="AEU535"/>
      <c r="AEV535"/>
      <c r="AEW535"/>
      <c r="AEX535"/>
      <c r="AEY535"/>
      <c r="AEZ535"/>
      <c r="AFA535"/>
      <c r="AFB535"/>
      <c r="AFC535"/>
      <c r="AFD535"/>
      <c r="AFE535"/>
      <c r="AFF535"/>
      <c r="AFG535"/>
      <c r="AFH535"/>
      <c r="AFI535"/>
      <c r="AFJ535"/>
      <c r="AFK535"/>
      <c r="AFL535"/>
      <c r="AFM535"/>
      <c r="AFN535"/>
      <c r="AFO535"/>
      <c r="AFP535"/>
      <c r="AFQ535"/>
      <c r="AFR535"/>
      <c r="AFS535"/>
      <c r="AFT535"/>
      <c r="AFU535"/>
      <c r="AFV535"/>
      <c r="AFW535"/>
      <c r="AFX535"/>
      <c r="AFY535"/>
      <c r="AFZ535"/>
      <c r="AGA535"/>
      <c r="AGB535"/>
      <c r="AGC535"/>
      <c r="AGD535"/>
      <c r="AGE535"/>
      <c r="AGF535"/>
      <c r="AGG535"/>
      <c r="AGH535"/>
      <c r="AGI535"/>
      <c r="AGJ535"/>
      <c r="AGK535"/>
      <c r="AGL535"/>
      <c r="AGM535"/>
      <c r="AGN535"/>
      <c r="AGO535"/>
      <c r="AGP535"/>
      <c r="AGQ535"/>
      <c r="AGR535"/>
      <c r="AGS535"/>
      <c r="AGT535"/>
      <c r="AGU535"/>
    </row>
    <row r="536" spans="1:879" x14ac:dyDescent="0.2">
      <c r="A536" s="134">
        <v>45368</v>
      </c>
      <c r="B536" s="135">
        <f>YEAR(source[[#This Row],[report_date]])</f>
        <v>2024</v>
      </c>
      <c r="C536" s="136">
        <v>3</v>
      </c>
      <c r="D536" s="136">
        <f t="shared" si="39"/>
        <v>11</v>
      </c>
      <c r="E536" s="136">
        <f t="shared" si="40"/>
        <v>17</v>
      </c>
      <c r="F536" s="128" t="s">
        <v>11</v>
      </c>
      <c r="G536" s="128" t="str">
        <f>VLOOKUP(source[[#This Row],[lending_product_transform]],[3]Mapping!$B$4:$C$37,2,0)</f>
        <v>[VDS] - Cashloan</v>
      </c>
      <c r="H536" s="128" t="str">
        <f>VLOOKUP(source[[#This Row],[lending_product_transform]],[3]Mapping!$B$3:$D$37,3,0)</f>
        <v>cashloan</v>
      </c>
      <c r="I536" s="135">
        <v>1307100000</v>
      </c>
      <c r="K536" s="550" t="s">
        <v>59</v>
      </c>
      <c r="L536" s="477">
        <v>16072045824</v>
      </c>
      <c r="M536" s="477">
        <v>13685015637</v>
      </c>
      <c r="N536" s="477">
        <v>15025104610</v>
      </c>
      <c r="O536" s="477">
        <v>13262480388</v>
      </c>
      <c r="P536" s="477">
        <v>7580228374</v>
      </c>
      <c r="Q536" s="477">
        <v>65624874833</v>
      </c>
      <c r="R536" s="477">
        <v>65624874833</v>
      </c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/>
      <c r="MI536"/>
      <c r="MJ536"/>
      <c r="MK536"/>
      <c r="ML536"/>
      <c r="MM536"/>
      <c r="MN536"/>
      <c r="MO536"/>
      <c r="MP536"/>
      <c r="MQ536"/>
      <c r="MR536"/>
      <c r="MS536"/>
      <c r="MT536"/>
      <c r="MU536"/>
      <c r="MV536"/>
      <c r="MW536"/>
      <c r="MX536"/>
      <c r="MY536"/>
      <c r="MZ536"/>
      <c r="NA536"/>
      <c r="NB536"/>
      <c r="NC536"/>
      <c r="ND536"/>
      <c r="NE536"/>
      <c r="NF536"/>
      <c r="NG536"/>
      <c r="NH536"/>
      <c r="NI536"/>
      <c r="NJ536"/>
      <c r="NK536"/>
      <c r="NL536"/>
      <c r="NM536"/>
      <c r="NN536"/>
      <c r="NO536"/>
      <c r="NP536"/>
      <c r="NQ536"/>
      <c r="NR536"/>
      <c r="NS536"/>
      <c r="NT536"/>
      <c r="NU536"/>
      <c r="NV536"/>
      <c r="NW536"/>
      <c r="NX536"/>
      <c r="NY536"/>
      <c r="NZ536"/>
      <c r="OA536"/>
      <c r="OB536"/>
      <c r="OC536"/>
      <c r="OD536"/>
      <c r="OE536"/>
      <c r="OF536"/>
      <c r="OG536"/>
      <c r="OH536"/>
      <c r="OI536"/>
      <c r="OJ536"/>
      <c r="OK536"/>
      <c r="OL536"/>
      <c r="OM536"/>
      <c r="ON536"/>
      <c r="OO536"/>
      <c r="OP536"/>
      <c r="OQ536"/>
      <c r="OR536"/>
      <c r="OS536"/>
      <c r="OT536"/>
      <c r="OU536"/>
      <c r="OV536"/>
      <c r="OW536"/>
      <c r="OX536"/>
      <c r="OY536"/>
      <c r="OZ536"/>
      <c r="PA536"/>
      <c r="PB536"/>
      <c r="PC536"/>
      <c r="PD536"/>
      <c r="PE536"/>
      <c r="PF536"/>
      <c r="PG536"/>
      <c r="PH536"/>
      <c r="PI536"/>
      <c r="PJ536"/>
      <c r="PK536"/>
      <c r="PL536"/>
      <c r="PM536"/>
      <c r="PN536"/>
      <c r="PO536"/>
      <c r="PP536"/>
      <c r="PQ536"/>
      <c r="PR536"/>
      <c r="PS536"/>
      <c r="PT536"/>
      <c r="PU536"/>
      <c r="PV536"/>
      <c r="PW536"/>
      <c r="PX536"/>
      <c r="PY536"/>
      <c r="PZ536"/>
      <c r="QA536"/>
      <c r="QB536"/>
      <c r="QC536"/>
      <c r="QD536"/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/>
      <c r="QT536"/>
      <c r="QU536"/>
      <c r="QV536"/>
      <c r="QW536"/>
      <c r="QX536"/>
      <c r="QY536"/>
      <c r="QZ536"/>
      <c r="RA536"/>
      <c r="RB536"/>
      <c r="RC536"/>
      <c r="RD536"/>
      <c r="RE536"/>
      <c r="RF536"/>
      <c r="RG536"/>
      <c r="RH536"/>
      <c r="RI536"/>
      <c r="RJ536"/>
      <c r="RK536"/>
      <c r="RL536"/>
      <c r="RM536"/>
      <c r="RN536"/>
      <c r="RO536"/>
      <c r="RP536"/>
      <c r="RQ536"/>
      <c r="RR536"/>
      <c r="RS536"/>
      <c r="RT536"/>
      <c r="RU536"/>
      <c r="RV536"/>
      <c r="RW536"/>
      <c r="RX536"/>
      <c r="RY536"/>
      <c r="RZ536"/>
      <c r="SA536"/>
      <c r="SB536"/>
      <c r="SC536"/>
      <c r="SD536"/>
      <c r="SE536"/>
      <c r="SF536"/>
      <c r="SG536"/>
      <c r="SH536"/>
      <c r="SI536"/>
      <c r="SJ536"/>
      <c r="SK536"/>
      <c r="SL536"/>
      <c r="SM536"/>
      <c r="SN536"/>
      <c r="SO536"/>
      <c r="SP536"/>
      <c r="SQ536"/>
      <c r="SR536"/>
      <c r="SS536"/>
      <c r="ST536"/>
      <c r="SU536"/>
      <c r="SV536"/>
      <c r="SW536"/>
      <c r="SX536"/>
      <c r="SY536"/>
      <c r="SZ536"/>
      <c r="TA536"/>
      <c r="TB536"/>
      <c r="TC536"/>
      <c r="TD536"/>
      <c r="TE536"/>
      <c r="TF536"/>
      <c r="TG536"/>
      <c r="TH536"/>
      <c r="TI536"/>
      <c r="TJ536"/>
      <c r="TK536"/>
      <c r="TL536"/>
      <c r="TM536"/>
      <c r="TN536"/>
      <c r="TO536"/>
      <c r="TP536"/>
      <c r="TQ536"/>
      <c r="TR536"/>
      <c r="TS536"/>
      <c r="TT536"/>
      <c r="TU536"/>
      <c r="TV536"/>
      <c r="TW536"/>
      <c r="TX536"/>
      <c r="TY536"/>
      <c r="TZ536"/>
      <c r="UA536"/>
      <c r="UB536"/>
      <c r="UC536"/>
      <c r="UD536"/>
      <c r="UE536"/>
      <c r="UF536"/>
      <c r="UG536"/>
      <c r="UH536"/>
      <c r="UI536"/>
      <c r="UJ536"/>
      <c r="UK536"/>
      <c r="UL536"/>
      <c r="UM536"/>
      <c r="UN536"/>
      <c r="UO536"/>
      <c r="UP536"/>
      <c r="UQ536"/>
      <c r="UR536"/>
      <c r="US536"/>
      <c r="UT536"/>
      <c r="UU536"/>
      <c r="UV536"/>
      <c r="UW536"/>
      <c r="UX536"/>
      <c r="UY536"/>
      <c r="UZ536"/>
      <c r="VA536"/>
      <c r="VB536"/>
      <c r="VC536"/>
      <c r="VD536"/>
      <c r="VE536"/>
      <c r="VF536"/>
      <c r="VG536"/>
      <c r="VH536"/>
      <c r="VI536"/>
      <c r="VJ536"/>
      <c r="VK536"/>
      <c r="VL536"/>
      <c r="VM536"/>
      <c r="VN536"/>
      <c r="VO536"/>
      <c r="VP536"/>
      <c r="VQ536"/>
      <c r="VR536"/>
      <c r="VS536"/>
      <c r="VT536"/>
      <c r="VU536"/>
      <c r="VV536"/>
      <c r="VW536"/>
      <c r="VX536"/>
      <c r="VY536"/>
      <c r="VZ536"/>
      <c r="WA536"/>
      <c r="WB536"/>
      <c r="WC536"/>
      <c r="WD536"/>
      <c r="WE536"/>
      <c r="WF536"/>
      <c r="WG536"/>
      <c r="WH536"/>
      <c r="WI536"/>
      <c r="WJ536"/>
      <c r="WK536"/>
      <c r="WL536"/>
      <c r="WM536"/>
      <c r="WN536"/>
      <c r="WO536"/>
      <c r="WP536"/>
      <c r="WQ536"/>
      <c r="WR536"/>
      <c r="WS536"/>
      <c r="WT536"/>
      <c r="WU536"/>
      <c r="WV536"/>
      <c r="WW536"/>
      <c r="WX536"/>
      <c r="WY536"/>
      <c r="WZ536"/>
      <c r="XA536"/>
      <c r="XB536"/>
      <c r="XC536"/>
      <c r="XD536"/>
      <c r="XE536"/>
      <c r="XF536"/>
      <c r="XG536"/>
      <c r="XH536"/>
      <c r="XI536"/>
      <c r="XJ536"/>
      <c r="XK536"/>
      <c r="XL536"/>
      <c r="XM536"/>
      <c r="XN536"/>
      <c r="XO536"/>
      <c r="XP536"/>
      <c r="XQ536"/>
      <c r="XR536"/>
      <c r="XS536"/>
      <c r="XT536"/>
      <c r="XU536"/>
      <c r="XV536"/>
      <c r="XW536"/>
      <c r="XX536"/>
      <c r="XY536"/>
      <c r="XZ536"/>
      <c r="YA536"/>
      <c r="YB536"/>
      <c r="YC536"/>
      <c r="YD536"/>
      <c r="YE536"/>
      <c r="YF536"/>
      <c r="YG536"/>
      <c r="YH536"/>
      <c r="YI536"/>
      <c r="YJ536"/>
      <c r="YK536"/>
      <c r="YL536"/>
      <c r="YM536"/>
      <c r="YN536"/>
      <c r="YO536"/>
      <c r="YP536"/>
      <c r="YQ536"/>
      <c r="YR536"/>
      <c r="YS536"/>
      <c r="YT536"/>
      <c r="YU536"/>
      <c r="YV536"/>
      <c r="YW536"/>
      <c r="YX536"/>
      <c r="YY536"/>
      <c r="YZ536"/>
      <c r="ZA536"/>
      <c r="ZB536"/>
      <c r="ZC536"/>
      <c r="ZD536"/>
      <c r="ZE536"/>
      <c r="ZF536"/>
      <c r="ZG536"/>
      <c r="ZH536"/>
      <c r="ZI536"/>
      <c r="ZJ536"/>
      <c r="ZK536"/>
      <c r="ZL536"/>
      <c r="ZM536"/>
      <c r="ZN536"/>
      <c r="ZO536"/>
      <c r="ZP536"/>
      <c r="ZQ536"/>
      <c r="ZR536"/>
      <c r="ZS536"/>
      <c r="ZT536"/>
      <c r="ZU536"/>
      <c r="ZV536"/>
      <c r="ZW536"/>
      <c r="ZX536"/>
      <c r="ZY536"/>
      <c r="ZZ536"/>
      <c r="AAA536"/>
      <c r="AAB536"/>
      <c r="AAC536"/>
      <c r="AAD536"/>
      <c r="AAE536"/>
      <c r="AAF536"/>
      <c r="AAG536"/>
      <c r="AAH536"/>
      <c r="AAI536"/>
      <c r="AAJ536"/>
      <c r="AAK536"/>
      <c r="AAL536"/>
      <c r="AAM536"/>
      <c r="AAN536"/>
      <c r="AAO536"/>
      <c r="AAP536"/>
      <c r="AAQ536"/>
      <c r="AAR536"/>
      <c r="AAS536"/>
      <c r="AAT536"/>
      <c r="AAU536"/>
      <c r="AAV536"/>
      <c r="AAW536"/>
      <c r="AAX536"/>
      <c r="AAY536"/>
      <c r="AAZ536"/>
      <c r="ABA536"/>
      <c r="ABB536"/>
      <c r="ABC536"/>
      <c r="ABD536"/>
      <c r="ABE536"/>
      <c r="ABF536"/>
      <c r="ABG536"/>
      <c r="ABH536"/>
      <c r="ABI536"/>
      <c r="ABJ536"/>
      <c r="ABK536"/>
      <c r="ABL536"/>
      <c r="ABM536"/>
      <c r="ABN536"/>
      <c r="ABO536"/>
      <c r="ABP536"/>
      <c r="ABQ536"/>
      <c r="ABR536"/>
      <c r="ABS536"/>
      <c r="ABT536"/>
      <c r="ABU536"/>
      <c r="ABV536"/>
      <c r="ABW536"/>
      <c r="ABX536"/>
      <c r="ABY536"/>
      <c r="ABZ536"/>
      <c r="ACA536"/>
      <c r="ACB536"/>
      <c r="ACC536"/>
      <c r="ACD536"/>
      <c r="ACE536"/>
      <c r="ACF536"/>
      <c r="ACG536"/>
      <c r="ACH536"/>
      <c r="ACI536"/>
      <c r="ACJ536"/>
      <c r="ACK536"/>
      <c r="ACL536"/>
      <c r="ACM536"/>
      <c r="ACN536"/>
      <c r="ACO536"/>
      <c r="ACP536"/>
      <c r="ACQ536"/>
      <c r="ACR536"/>
      <c r="ACS536"/>
      <c r="ACT536"/>
      <c r="ACU536"/>
      <c r="ACV536"/>
      <c r="ACW536"/>
      <c r="ACX536"/>
      <c r="ACY536"/>
      <c r="ACZ536"/>
      <c r="ADA536"/>
      <c r="ADB536"/>
      <c r="ADC536"/>
      <c r="ADD536"/>
      <c r="ADE536"/>
      <c r="ADF536"/>
      <c r="ADG536"/>
      <c r="ADH536"/>
      <c r="ADI536"/>
      <c r="ADJ536"/>
      <c r="ADK536"/>
      <c r="ADL536"/>
      <c r="ADM536"/>
      <c r="ADN536"/>
      <c r="ADO536"/>
      <c r="ADP536"/>
      <c r="ADQ536"/>
      <c r="ADR536"/>
      <c r="ADS536"/>
      <c r="ADT536"/>
      <c r="ADU536"/>
      <c r="ADV536"/>
      <c r="ADW536"/>
      <c r="ADX536"/>
      <c r="ADY536"/>
      <c r="ADZ536"/>
      <c r="AEA536"/>
      <c r="AEB536"/>
      <c r="AEC536"/>
      <c r="AED536"/>
      <c r="AEE536"/>
      <c r="AEF536"/>
      <c r="AEG536"/>
      <c r="AEH536"/>
      <c r="AEI536"/>
      <c r="AEJ536"/>
      <c r="AEK536"/>
      <c r="AEL536"/>
      <c r="AEM536"/>
      <c r="AEN536"/>
      <c r="AEO536"/>
      <c r="AEP536"/>
      <c r="AEQ536"/>
      <c r="AER536"/>
      <c r="AES536"/>
      <c r="AET536"/>
      <c r="AEU536"/>
      <c r="AEV536"/>
      <c r="AEW536"/>
      <c r="AEX536"/>
      <c r="AEY536"/>
      <c r="AEZ536"/>
      <c r="AFA536"/>
      <c r="AFB536"/>
      <c r="AFC536"/>
      <c r="AFD536"/>
      <c r="AFE536"/>
      <c r="AFF536"/>
      <c r="AFG536"/>
      <c r="AFH536"/>
      <c r="AFI536"/>
      <c r="AFJ536"/>
      <c r="AFK536"/>
      <c r="AFL536"/>
      <c r="AFM536"/>
      <c r="AFN536"/>
      <c r="AFO536"/>
      <c r="AFP536"/>
      <c r="AFQ536"/>
      <c r="AFR536"/>
      <c r="AFS536"/>
      <c r="AFT536"/>
      <c r="AFU536"/>
      <c r="AFV536"/>
      <c r="AFW536"/>
      <c r="AFX536"/>
      <c r="AFY536"/>
      <c r="AFZ536"/>
      <c r="AGA536"/>
      <c r="AGB536"/>
      <c r="AGC536"/>
      <c r="AGD536"/>
      <c r="AGE536"/>
      <c r="AGF536"/>
      <c r="AGG536"/>
      <c r="AGH536"/>
      <c r="AGI536"/>
      <c r="AGJ536"/>
      <c r="AGK536"/>
      <c r="AGL536"/>
      <c r="AGM536"/>
      <c r="AGN536"/>
      <c r="AGO536"/>
      <c r="AGP536"/>
      <c r="AGQ536"/>
      <c r="AGR536"/>
      <c r="AGS536"/>
      <c r="AGT536"/>
      <c r="AGU536"/>
    </row>
    <row r="537" spans="1:879" x14ac:dyDescent="0.2">
      <c r="A537" s="134">
        <v>45368</v>
      </c>
      <c r="B537" s="135">
        <f>YEAR(source[[#This Row],[report_date]])</f>
        <v>2024</v>
      </c>
      <c r="C537" s="136">
        <v>3</v>
      </c>
      <c r="D537" s="136">
        <f t="shared" si="39"/>
        <v>11</v>
      </c>
      <c r="E537" s="136">
        <f t="shared" si="40"/>
        <v>17</v>
      </c>
      <c r="F537" s="128" t="s">
        <v>67</v>
      </c>
      <c r="G537" s="128" t="str">
        <f>VLOOKUP(source[[#This Row],[lending_product_transform]],[3]Mapping!$B$4:$C$37,2,0)</f>
        <v>[Cake] - Overdraft</v>
      </c>
      <c r="H537" s="128" t="str">
        <f>VLOOKUP(source[[#This Row],[lending_product_transform]],[3]Mapping!$B$3:$D$37,3,0)</f>
        <v>overdraft</v>
      </c>
      <c r="I537" s="135">
        <v>1628683941</v>
      </c>
      <c r="K537" s="550" t="s">
        <v>31</v>
      </c>
      <c r="L537" s="477">
        <v>109227730000</v>
      </c>
      <c r="M537" s="477">
        <v>79426750000</v>
      </c>
      <c r="N537" s="477">
        <v>93530310000</v>
      </c>
      <c r="O537" s="477">
        <v>175982280000</v>
      </c>
      <c r="P537" s="477">
        <v>60270480000</v>
      </c>
      <c r="Q537" s="477">
        <v>518437550000</v>
      </c>
      <c r="R537" s="477">
        <v>518437550000</v>
      </c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  <c r="LZ537"/>
      <c r="MA537"/>
      <c r="MB537"/>
      <c r="MC537"/>
      <c r="MD537"/>
      <c r="ME537"/>
      <c r="MF537"/>
      <c r="MG537"/>
      <c r="MH537"/>
      <c r="MI537"/>
      <c r="MJ537"/>
      <c r="MK537"/>
      <c r="ML537"/>
      <c r="MM537"/>
      <c r="MN537"/>
      <c r="MO537"/>
      <c r="MP537"/>
      <c r="MQ537"/>
      <c r="MR537"/>
      <c r="MS537"/>
      <c r="MT537"/>
      <c r="MU537"/>
      <c r="MV537"/>
      <c r="MW537"/>
      <c r="MX537"/>
      <c r="MY537"/>
      <c r="MZ537"/>
      <c r="NA537"/>
      <c r="NB537"/>
      <c r="NC537"/>
      <c r="ND537"/>
      <c r="NE537"/>
      <c r="NF537"/>
      <c r="NG537"/>
      <c r="NH537"/>
      <c r="NI537"/>
      <c r="NJ537"/>
      <c r="NK537"/>
      <c r="NL537"/>
      <c r="NM537"/>
      <c r="NN537"/>
      <c r="NO537"/>
      <c r="NP537"/>
      <c r="NQ537"/>
      <c r="NR537"/>
      <c r="NS537"/>
      <c r="NT537"/>
      <c r="NU537"/>
      <c r="NV537"/>
      <c r="NW537"/>
      <c r="NX537"/>
      <c r="NY537"/>
      <c r="NZ537"/>
      <c r="OA537"/>
      <c r="OB537"/>
      <c r="OC537"/>
      <c r="OD537"/>
      <c r="OE537"/>
      <c r="OF537"/>
      <c r="OG537"/>
      <c r="OH537"/>
      <c r="OI537"/>
      <c r="OJ537"/>
      <c r="OK537"/>
      <c r="OL537"/>
      <c r="OM537"/>
      <c r="ON537"/>
      <c r="OO537"/>
      <c r="OP537"/>
      <c r="OQ537"/>
      <c r="OR537"/>
      <c r="OS537"/>
      <c r="OT537"/>
      <c r="OU537"/>
      <c r="OV537"/>
      <c r="OW537"/>
      <c r="OX537"/>
      <c r="OY537"/>
      <c r="OZ537"/>
      <c r="PA537"/>
      <c r="PB537"/>
      <c r="PC537"/>
      <c r="PD537"/>
      <c r="PE537"/>
      <c r="PF537"/>
      <c r="PG537"/>
      <c r="PH537"/>
      <c r="PI537"/>
      <c r="PJ537"/>
      <c r="PK537"/>
      <c r="PL537"/>
      <c r="PM537"/>
      <c r="PN537"/>
      <c r="PO537"/>
      <c r="PP537"/>
      <c r="PQ537"/>
      <c r="PR537"/>
      <c r="PS537"/>
      <c r="PT537"/>
      <c r="PU537"/>
      <c r="PV537"/>
      <c r="PW537"/>
      <c r="PX537"/>
      <c r="PY537"/>
      <c r="PZ537"/>
      <c r="QA537"/>
      <c r="QB537"/>
      <c r="QC537"/>
      <c r="QD537"/>
      <c r="QE537"/>
      <c r="QF537"/>
      <c r="QG537"/>
      <c r="QH537"/>
      <c r="QI537"/>
      <c r="QJ537"/>
      <c r="QK537"/>
      <c r="QL537"/>
      <c r="QM537"/>
      <c r="QN537"/>
      <c r="QO537"/>
      <c r="QP537"/>
      <c r="QQ537"/>
      <c r="QR537"/>
      <c r="QS537"/>
      <c r="QT537"/>
      <c r="QU537"/>
      <c r="QV537"/>
      <c r="QW537"/>
      <c r="QX537"/>
      <c r="QY537"/>
      <c r="QZ537"/>
      <c r="RA537"/>
      <c r="RB537"/>
      <c r="RC537"/>
      <c r="RD537"/>
      <c r="RE537"/>
      <c r="RF537"/>
      <c r="RG537"/>
      <c r="RH537"/>
      <c r="RI537"/>
      <c r="RJ537"/>
      <c r="RK537"/>
      <c r="RL537"/>
      <c r="RM537"/>
      <c r="RN537"/>
      <c r="RO537"/>
      <c r="RP537"/>
      <c r="RQ537"/>
      <c r="RR537"/>
      <c r="RS537"/>
      <c r="RT537"/>
      <c r="RU537"/>
      <c r="RV537"/>
      <c r="RW537"/>
      <c r="RX537"/>
      <c r="RY537"/>
      <c r="RZ537"/>
      <c r="SA537"/>
      <c r="SB537"/>
      <c r="SC537"/>
      <c r="SD537"/>
      <c r="SE537"/>
      <c r="SF537"/>
      <c r="SG537"/>
      <c r="SH537"/>
      <c r="SI537"/>
      <c r="SJ537"/>
      <c r="SK537"/>
      <c r="SL537"/>
      <c r="SM537"/>
      <c r="SN537"/>
      <c r="SO537"/>
      <c r="SP537"/>
      <c r="SQ537"/>
      <c r="SR537"/>
      <c r="SS537"/>
      <c r="ST537"/>
      <c r="SU537"/>
      <c r="SV537"/>
      <c r="SW537"/>
      <c r="SX537"/>
      <c r="SY537"/>
      <c r="SZ537"/>
      <c r="TA537"/>
      <c r="TB537"/>
      <c r="TC537"/>
      <c r="TD537"/>
      <c r="TE537"/>
      <c r="TF537"/>
      <c r="TG537"/>
      <c r="TH537"/>
      <c r="TI537"/>
      <c r="TJ537"/>
      <c r="TK537"/>
      <c r="TL537"/>
      <c r="TM537"/>
      <c r="TN537"/>
      <c r="TO537"/>
      <c r="TP537"/>
      <c r="TQ537"/>
      <c r="TR537"/>
      <c r="TS537"/>
      <c r="TT537"/>
      <c r="TU537"/>
      <c r="TV537"/>
      <c r="TW537"/>
      <c r="TX537"/>
      <c r="TY537"/>
      <c r="TZ537"/>
      <c r="UA537"/>
      <c r="UB537"/>
      <c r="UC537"/>
      <c r="UD537"/>
      <c r="UE537"/>
      <c r="UF537"/>
      <c r="UG537"/>
      <c r="UH537"/>
      <c r="UI537"/>
      <c r="UJ537"/>
      <c r="UK537"/>
      <c r="UL537"/>
      <c r="UM537"/>
      <c r="UN537"/>
      <c r="UO537"/>
      <c r="UP537"/>
      <c r="UQ537"/>
      <c r="UR537"/>
      <c r="US537"/>
      <c r="UT537"/>
      <c r="UU537"/>
      <c r="UV537"/>
      <c r="UW537"/>
      <c r="UX537"/>
      <c r="UY537"/>
      <c r="UZ537"/>
      <c r="VA537"/>
      <c r="VB537"/>
      <c r="VC537"/>
      <c r="VD537"/>
      <c r="VE537"/>
      <c r="VF537"/>
      <c r="VG537"/>
      <c r="VH537"/>
      <c r="VI537"/>
      <c r="VJ537"/>
      <c r="VK537"/>
      <c r="VL537"/>
      <c r="VM537"/>
      <c r="VN537"/>
      <c r="VO537"/>
      <c r="VP537"/>
      <c r="VQ537"/>
      <c r="VR537"/>
      <c r="VS537"/>
      <c r="VT537"/>
      <c r="VU537"/>
      <c r="VV537"/>
      <c r="VW537"/>
      <c r="VX537"/>
      <c r="VY537"/>
      <c r="VZ537"/>
      <c r="WA537"/>
      <c r="WB537"/>
      <c r="WC537"/>
      <c r="WD537"/>
      <c r="WE537"/>
      <c r="WF537"/>
      <c r="WG537"/>
      <c r="WH537"/>
      <c r="WI537"/>
      <c r="WJ537"/>
      <c r="WK537"/>
      <c r="WL537"/>
      <c r="WM537"/>
      <c r="WN537"/>
      <c r="WO537"/>
      <c r="WP537"/>
      <c r="WQ537"/>
      <c r="WR537"/>
      <c r="WS537"/>
      <c r="WT537"/>
      <c r="WU537"/>
      <c r="WV537"/>
      <c r="WW537"/>
      <c r="WX537"/>
      <c r="WY537"/>
      <c r="WZ537"/>
      <c r="XA537"/>
      <c r="XB537"/>
      <c r="XC537"/>
      <c r="XD537"/>
      <c r="XE537"/>
      <c r="XF537"/>
      <c r="XG537"/>
      <c r="XH537"/>
      <c r="XI537"/>
      <c r="XJ537"/>
      <c r="XK537"/>
      <c r="XL537"/>
      <c r="XM537"/>
      <c r="XN537"/>
      <c r="XO537"/>
      <c r="XP537"/>
      <c r="XQ537"/>
      <c r="XR537"/>
      <c r="XS537"/>
      <c r="XT537"/>
      <c r="XU537"/>
      <c r="XV537"/>
      <c r="XW537"/>
      <c r="XX537"/>
      <c r="XY537"/>
      <c r="XZ537"/>
      <c r="YA537"/>
      <c r="YB537"/>
      <c r="YC537"/>
      <c r="YD537"/>
      <c r="YE537"/>
      <c r="YF537"/>
      <c r="YG537"/>
      <c r="YH537"/>
      <c r="YI537"/>
      <c r="YJ537"/>
      <c r="YK537"/>
      <c r="YL537"/>
      <c r="YM537"/>
      <c r="YN537"/>
      <c r="YO537"/>
      <c r="YP537"/>
      <c r="YQ537"/>
      <c r="YR537"/>
      <c r="YS537"/>
      <c r="YT537"/>
      <c r="YU537"/>
      <c r="YV537"/>
      <c r="YW537"/>
      <c r="YX537"/>
      <c r="YY537"/>
      <c r="YZ537"/>
      <c r="ZA537"/>
      <c r="ZB537"/>
      <c r="ZC537"/>
      <c r="ZD537"/>
      <c r="ZE537"/>
      <c r="ZF537"/>
      <c r="ZG537"/>
      <c r="ZH537"/>
      <c r="ZI537"/>
      <c r="ZJ537"/>
      <c r="ZK537"/>
      <c r="ZL537"/>
      <c r="ZM537"/>
      <c r="ZN537"/>
      <c r="ZO537"/>
      <c r="ZP537"/>
      <c r="ZQ537"/>
      <c r="ZR537"/>
      <c r="ZS537"/>
      <c r="ZT537"/>
      <c r="ZU537"/>
      <c r="ZV537"/>
      <c r="ZW537"/>
      <c r="ZX537"/>
      <c r="ZY537"/>
      <c r="ZZ537"/>
      <c r="AAA537"/>
      <c r="AAB537"/>
      <c r="AAC537"/>
      <c r="AAD537"/>
      <c r="AAE537"/>
      <c r="AAF537"/>
      <c r="AAG537"/>
      <c r="AAH537"/>
      <c r="AAI537"/>
      <c r="AAJ537"/>
      <c r="AAK537"/>
      <c r="AAL537"/>
      <c r="AAM537"/>
      <c r="AAN537"/>
      <c r="AAO537"/>
      <c r="AAP537"/>
      <c r="AAQ537"/>
      <c r="AAR537"/>
      <c r="AAS537"/>
      <c r="AAT537"/>
      <c r="AAU537"/>
      <c r="AAV537"/>
      <c r="AAW537"/>
      <c r="AAX537"/>
      <c r="AAY537"/>
      <c r="AAZ537"/>
      <c r="ABA537"/>
      <c r="ABB537"/>
      <c r="ABC537"/>
      <c r="ABD537"/>
      <c r="ABE537"/>
      <c r="ABF537"/>
      <c r="ABG537"/>
      <c r="ABH537"/>
      <c r="ABI537"/>
      <c r="ABJ537"/>
      <c r="ABK537"/>
      <c r="ABL537"/>
      <c r="ABM537"/>
      <c r="ABN537"/>
      <c r="ABO537"/>
      <c r="ABP537"/>
      <c r="ABQ537"/>
      <c r="ABR537"/>
      <c r="ABS537"/>
      <c r="ABT537"/>
      <c r="ABU537"/>
      <c r="ABV537"/>
      <c r="ABW537"/>
      <c r="ABX537"/>
      <c r="ABY537"/>
      <c r="ABZ537"/>
      <c r="ACA537"/>
      <c r="ACB537"/>
      <c r="ACC537"/>
      <c r="ACD537"/>
      <c r="ACE537"/>
      <c r="ACF537"/>
      <c r="ACG537"/>
      <c r="ACH537"/>
      <c r="ACI537"/>
      <c r="ACJ537"/>
      <c r="ACK537"/>
      <c r="ACL537"/>
      <c r="ACM537"/>
      <c r="ACN537"/>
      <c r="ACO537"/>
      <c r="ACP537"/>
      <c r="ACQ537"/>
      <c r="ACR537"/>
      <c r="ACS537"/>
      <c r="ACT537"/>
      <c r="ACU537"/>
      <c r="ACV537"/>
      <c r="ACW537"/>
      <c r="ACX537"/>
      <c r="ACY537"/>
      <c r="ACZ537"/>
      <c r="ADA537"/>
      <c r="ADB537"/>
      <c r="ADC537"/>
      <c r="ADD537"/>
      <c r="ADE537"/>
      <c r="ADF537"/>
      <c r="ADG537"/>
      <c r="ADH537"/>
      <c r="ADI537"/>
      <c r="ADJ537"/>
      <c r="ADK537"/>
      <c r="ADL537"/>
      <c r="ADM537"/>
      <c r="ADN537"/>
      <c r="ADO537"/>
      <c r="ADP537"/>
      <c r="ADQ537"/>
      <c r="ADR537"/>
      <c r="ADS537"/>
      <c r="ADT537"/>
      <c r="ADU537"/>
      <c r="ADV537"/>
      <c r="ADW537"/>
      <c r="ADX537"/>
      <c r="ADY537"/>
      <c r="ADZ537"/>
      <c r="AEA537"/>
      <c r="AEB537"/>
      <c r="AEC537"/>
      <c r="AED537"/>
      <c r="AEE537"/>
      <c r="AEF537"/>
      <c r="AEG537"/>
      <c r="AEH537"/>
      <c r="AEI537"/>
      <c r="AEJ537"/>
      <c r="AEK537"/>
      <c r="AEL537"/>
      <c r="AEM537"/>
      <c r="AEN537"/>
      <c r="AEO537"/>
      <c r="AEP537"/>
      <c r="AEQ537"/>
      <c r="AER537"/>
      <c r="AES537"/>
      <c r="AET537"/>
      <c r="AEU537"/>
      <c r="AEV537"/>
      <c r="AEW537"/>
      <c r="AEX537"/>
      <c r="AEY537"/>
      <c r="AEZ537"/>
      <c r="AFA537"/>
      <c r="AFB537"/>
      <c r="AFC537"/>
      <c r="AFD537"/>
      <c r="AFE537"/>
      <c r="AFF537"/>
      <c r="AFG537"/>
      <c r="AFH537"/>
      <c r="AFI537"/>
      <c r="AFJ537"/>
      <c r="AFK537"/>
      <c r="AFL537"/>
      <c r="AFM537"/>
      <c r="AFN537"/>
      <c r="AFO537"/>
      <c r="AFP537"/>
      <c r="AFQ537"/>
      <c r="AFR537"/>
      <c r="AFS537"/>
      <c r="AFT537"/>
      <c r="AFU537"/>
      <c r="AFV537"/>
      <c r="AFW537"/>
      <c r="AFX537"/>
      <c r="AFY537"/>
      <c r="AFZ537"/>
      <c r="AGA537"/>
      <c r="AGB537"/>
      <c r="AGC537"/>
      <c r="AGD537"/>
      <c r="AGE537"/>
      <c r="AGF537"/>
      <c r="AGG537"/>
      <c r="AGH537"/>
      <c r="AGI537"/>
      <c r="AGJ537"/>
      <c r="AGK537"/>
      <c r="AGL537"/>
      <c r="AGM537"/>
      <c r="AGN537"/>
      <c r="AGO537"/>
      <c r="AGP537"/>
      <c r="AGQ537"/>
      <c r="AGR537"/>
      <c r="AGS537"/>
      <c r="AGT537"/>
      <c r="AGU537"/>
    </row>
    <row r="538" spans="1:879" x14ac:dyDescent="0.2">
      <c r="A538" s="134">
        <v>45368</v>
      </c>
      <c r="B538" s="135">
        <f>YEAR(source[[#This Row],[report_date]])</f>
        <v>2024</v>
      </c>
      <c r="C538" s="136">
        <v>3</v>
      </c>
      <c r="D538" s="136">
        <f t="shared" si="39"/>
        <v>11</v>
      </c>
      <c r="E538" s="136">
        <f t="shared" si="40"/>
        <v>17</v>
      </c>
      <c r="F538" s="128" t="s">
        <v>61</v>
      </c>
      <c r="G538" s="128" t="str">
        <f>VLOOKUP(source[[#This Row],[lending_product_transform]],[3]Mapping!$B$4:$C$37,2,0)</f>
        <v>[VDS] - Payroll Payday</v>
      </c>
      <c r="H538" s="128" t="str">
        <f>VLOOKUP(source[[#This Row],[lending_product_transform]],[3]Mapping!$B$3:$D$37,3,0)</f>
        <v>payday</v>
      </c>
      <c r="I538" s="135">
        <v>5000000</v>
      </c>
      <c r="K538" s="550" t="s">
        <v>234</v>
      </c>
      <c r="L538" s="477">
        <v>13141000000</v>
      </c>
      <c r="M538" s="477">
        <v>12785920000</v>
      </c>
      <c r="N538" s="477">
        <v>5717952000</v>
      </c>
      <c r="O538" s="477">
        <v>73008000</v>
      </c>
      <c r="P538" s="477">
        <v>0</v>
      </c>
      <c r="Q538" s="477">
        <v>31717880000</v>
      </c>
      <c r="R538" s="477">
        <v>31717880000</v>
      </c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/>
      <c r="MI538"/>
      <c r="MJ538"/>
      <c r="MK538"/>
      <c r="ML538"/>
      <c r="MM538"/>
      <c r="MN538"/>
      <c r="MO538"/>
      <c r="MP538"/>
      <c r="MQ538"/>
      <c r="MR538"/>
      <c r="MS538"/>
      <c r="MT538"/>
      <c r="MU538"/>
      <c r="MV538"/>
      <c r="MW538"/>
      <c r="MX538"/>
      <c r="MY538"/>
      <c r="MZ538"/>
      <c r="NA538"/>
      <c r="NB538"/>
      <c r="NC538"/>
      <c r="ND538"/>
      <c r="NE538"/>
      <c r="NF538"/>
      <c r="NG538"/>
      <c r="NH538"/>
      <c r="NI538"/>
      <c r="NJ538"/>
      <c r="NK538"/>
      <c r="NL538"/>
      <c r="NM538"/>
      <c r="NN538"/>
      <c r="NO538"/>
      <c r="NP538"/>
      <c r="NQ538"/>
      <c r="NR538"/>
      <c r="NS538"/>
      <c r="NT538"/>
      <c r="NU538"/>
      <c r="NV538"/>
      <c r="NW538"/>
      <c r="NX538"/>
      <c r="NY538"/>
      <c r="NZ538"/>
      <c r="OA538"/>
      <c r="OB538"/>
      <c r="OC538"/>
      <c r="OD538"/>
      <c r="OE538"/>
      <c r="OF538"/>
      <c r="OG538"/>
      <c r="OH538"/>
      <c r="OI538"/>
      <c r="OJ538"/>
      <c r="OK538"/>
      <c r="OL538"/>
      <c r="OM538"/>
      <c r="ON538"/>
      <c r="OO538"/>
      <c r="OP538"/>
      <c r="OQ538"/>
      <c r="OR538"/>
      <c r="OS538"/>
      <c r="OT538"/>
      <c r="OU538"/>
      <c r="OV538"/>
      <c r="OW538"/>
      <c r="OX538"/>
      <c r="OY538"/>
      <c r="OZ538"/>
      <c r="PA538"/>
      <c r="PB538"/>
      <c r="PC538"/>
      <c r="PD538"/>
      <c r="PE538"/>
      <c r="PF538"/>
      <c r="PG538"/>
      <c r="PH538"/>
      <c r="PI538"/>
      <c r="PJ538"/>
      <c r="PK538"/>
      <c r="PL538"/>
      <c r="PM538"/>
      <c r="PN538"/>
      <c r="PO538"/>
      <c r="PP538"/>
      <c r="PQ538"/>
      <c r="PR538"/>
      <c r="PS538"/>
      <c r="PT538"/>
      <c r="PU538"/>
      <c r="PV538"/>
      <c r="PW538"/>
      <c r="PX538"/>
      <c r="PY538"/>
      <c r="PZ538"/>
      <c r="QA538"/>
      <c r="QB538"/>
      <c r="QC538"/>
      <c r="QD538"/>
      <c r="QE538"/>
      <c r="QF538"/>
      <c r="QG538"/>
      <c r="QH538"/>
      <c r="QI538"/>
      <c r="QJ538"/>
      <c r="QK538"/>
      <c r="QL538"/>
      <c r="QM538"/>
      <c r="QN538"/>
      <c r="QO538"/>
      <c r="QP538"/>
      <c r="QQ538"/>
      <c r="QR538"/>
      <c r="QS538"/>
      <c r="QT538"/>
      <c r="QU538"/>
      <c r="QV538"/>
      <c r="QW538"/>
      <c r="QX538"/>
      <c r="QY538"/>
      <c r="QZ538"/>
      <c r="RA538"/>
      <c r="RB538"/>
      <c r="RC538"/>
      <c r="RD538"/>
      <c r="RE538"/>
      <c r="RF538"/>
      <c r="RG538"/>
      <c r="RH538"/>
      <c r="RI538"/>
      <c r="RJ538"/>
      <c r="RK538"/>
      <c r="RL538"/>
      <c r="RM538"/>
      <c r="RN538"/>
      <c r="RO538"/>
      <c r="RP538"/>
      <c r="RQ538"/>
      <c r="RR538"/>
      <c r="RS538"/>
      <c r="RT538"/>
      <c r="RU538"/>
      <c r="RV538"/>
      <c r="RW538"/>
      <c r="RX538"/>
      <c r="RY538"/>
      <c r="RZ538"/>
      <c r="SA538"/>
      <c r="SB538"/>
      <c r="SC538"/>
      <c r="SD538"/>
      <c r="SE538"/>
      <c r="SF538"/>
      <c r="SG538"/>
      <c r="SH538"/>
      <c r="SI538"/>
      <c r="SJ538"/>
      <c r="SK538"/>
      <c r="SL538"/>
      <c r="SM538"/>
      <c r="SN538"/>
      <c r="SO538"/>
      <c r="SP538"/>
      <c r="SQ538"/>
      <c r="SR538"/>
      <c r="SS538"/>
      <c r="ST538"/>
      <c r="SU538"/>
      <c r="SV538"/>
      <c r="SW538"/>
      <c r="SX538"/>
      <c r="SY538"/>
      <c r="SZ538"/>
      <c r="TA538"/>
      <c r="TB538"/>
      <c r="TC538"/>
      <c r="TD538"/>
      <c r="TE538"/>
      <c r="TF538"/>
      <c r="TG538"/>
      <c r="TH538"/>
      <c r="TI538"/>
      <c r="TJ538"/>
      <c r="TK538"/>
      <c r="TL538"/>
      <c r="TM538"/>
      <c r="TN538"/>
      <c r="TO538"/>
      <c r="TP538"/>
      <c r="TQ538"/>
      <c r="TR538"/>
      <c r="TS538"/>
      <c r="TT538"/>
      <c r="TU538"/>
      <c r="TV538"/>
      <c r="TW538"/>
      <c r="TX538"/>
      <c r="TY538"/>
      <c r="TZ538"/>
      <c r="UA538"/>
      <c r="UB538"/>
      <c r="UC538"/>
      <c r="UD538"/>
      <c r="UE538"/>
      <c r="UF538"/>
      <c r="UG538"/>
      <c r="UH538"/>
      <c r="UI538"/>
      <c r="UJ538"/>
      <c r="UK538"/>
      <c r="UL538"/>
      <c r="UM538"/>
      <c r="UN538"/>
      <c r="UO538"/>
      <c r="UP538"/>
      <c r="UQ538"/>
      <c r="UR538"/>
      <c r="US538"/>
      <c r="UT538"/>
      <c r="UU538"/>
      <c r="UV538"/>
      <c r="UW538"/>
      <c r="UX538"/>
      <c r="UY538"/>
      <c r="UZ538"/>
      <c r="VA538"/>
      <c r="VB538"/>
      <c r="VC538"/>
      <c r="VD538"/>
      <c r="VE538"/>
      <c r="VF538"/>
      <c r="VG538"/>
      <c r="VH538"/>
      <c r="VI538"/>
      <c r="VJ538"/>
      <c r="VK538"/>
      <c r="VL538"/>
      <c r="VM538"/>
      <c r="VN538"/>
      <c r="VO538"/>
      <c r="VP538"/>
      <c r="VQ538"/>
      <c r="VR538"/>
      <c r="VS538"/>
      <c r="VT538"/>
      <c r="VU538"/>
      <c r="VV538"/>
      <c r="VW538"/>
      <c r="VX538"/>
      <c r="VY538"/>
      <c r="VZ538"/>
      <c r="WA538"/>
      <c r="WB538"/>
      <c r="WC538"/>
      <c r="WD538"/>
      <c r="WE538"/>
      <c r="WF538"/>
      <c r="WG538"/>
      <c r="WH538"/>
      <c r="WI538"/>
      <c r="WJ538"/>
      <c r="WK538"/>
      <c r="WL538"/>
      <c r="WM538"/>
      <c r="WN538"/>
      <c r="WO538"/>
      <c r="WP538"/>
      <c r="WQ538"/>
      <c r="WR538"/>
      <c r="WS538"/>
      <c r="WT538"/>
      <c r="WU538"/>
      <c r="WV538"/>
      <c r="WW538"/>
      <c r="WX538"/>
      <c r="WY538"/>
      <c r="WZ538"/>
      <c r="XA538"/>
      <c r="XB538"/>
      <c r="XC538"/>
      <c r="XD538"/>
      <c r="XE538"/>
      <c r="XF538"/>
      <c r="XG538"/>
      <c r="XH538"/>
      <c r="XI538"/>
      <c r="XJ538"/>
      <c r="XK538"/>
      <c r="XL538"/>
      <c r="XM538"/>
      <c r="XN538"/>
      <c r="XO538"/>
      <c r="XP538"/>
      <c r="XQ538"/>
      <c r="XR538"/>
      <c r="XS538"/>
      <c r="XT538"/>
      <c r="XU538"/>
      <c r="XV538"/>
      <c r="XW538"/>
      <c r="XX538"/>
      <c r="XY538"/>
      <c r="XZ538"/>
      <c r="YA538"/>
      <c r="YB538"/>
      <c r="YC538"/>
      <c r="YD538"/>
      <c r="YE538"/>
      <c r="YF538"/>
      <c r="YG538"/>
      <c r="YH538"/>
      <c r="YI538"/>
      <c r="YJ538"/>
      <c r="YK538"/>
      <c r="YL538"/>
      <c r="YM538"/>
      <c r="YN538"/>
      <c r="YO538"/>
      <c r="YP538"/>
      <c r="YQ538"/>
      <c r="YR538"/>
      <c r="YS538"/>
      <c r="YT538"/>
      <c r="YU538"/>
      <c r="YV538"/>
      <c r="YW538"/>
      <c r="YX538"/>
      <c r="YY538"/>
      <c r="YZ538"/>
      <c r="ZA538"/>
      <c r="ZB538"/>
      <c r="ZC538"/>
      <c r="ZD538"/>
      <c r="ZE538"/>
      <c r="ZF538"/>
      <c r="ZG538"/>
      <c r="ZH538"/>
      <c r="ZI538"/>
      <c r="ZJ538"/>
      <c r="ZK538"/>
      <c r="ZL538"/>
      <c r="ZM538"/>
      <c r="ZN538"/>
      <c r="ZO538"/>
      <c r="ZP538"/>
      <c r="ZQ538"/>
      <c r="ZR538"/>
      <c r="ZS538"/>
      <c r="ZT538"/>
      <c r="ZU538"/>
      <c r="ZV538"/>
      <c r="ZW538"/>
      <c r="ZX538"/>
      <c r="ZY538"/>
      <c r="ZZ538"/>
      <c r="AAA538"/>
      <c r="AAB538"/>
      <c r="AAC538"/>
      <c r="AAD538"/>
      <c r="AAE538"/>
      <c r="AAF538"/>
      <c r="AAG538"/>
      <c r="AAH538"/>
      <c r="AAI538"/>
      <c r="AAJ538"/>
      <c r="AAK538"/>
      <c r="AAL538"/>
      <c r="AAM538"/>
      <c r="AAN538"/>
      <c r="AAO538"/>
      <c r="AAP538"/>
      <c r="AAQ538"/>
      <c r="AAR538"/>
      <c r="AAS538"/>
      <c r="AAT538"/>
      <c r="AAU538"/>
      <c r="AAV538"/>
      <c r="AAW538"/>
      <c r="AAX538"/>
      <c r="AAY538"/>
      <c r="AAZ538"/>
      <c r="ABA538"/>
      <c r="ABB538"/>
      <c r="ABC538"/>
      <c r="ABD538"/>
      <c r="ABE538"/>
      <c r="ABF538"/>
      <c r="ABG538"/>
      <c r="ABH538"/>
      <c r="ABI538"/>
      <c r="ABJ538"/>
      <c r="ABK538"/>
      <c r="ABL538"/>
      <c r="ABM538"/>
      <c r="ABN538"/>
      <c r="ABO538"/>
      <c r="ABP538"/>
      <c r="ABQ538"/>
      <c r="ABR538"/>
      <c r="ABS538"/>
      <c r="ABT538"/>
      <c r="ABU538"/>
      <c r="ABV538"/>
      <c r="ABW538"/>
      <c r="ABX538"/>
      <c r="ABY538"/>
      <c r="ABZ538"/>
      <c r="ACA538"/>
      <c r="ACB538"/>
      <c r="ACC538"/>
      <c r="ACD538"/>
      <c r="ACE538"/>
      <c r="ACF538"/>
      <c r="ACG538"/>
      <c r="ACH538"/>
      <c r="ACI538"/>
      <c r="ACJ538"/>
      <c r="ACK538"/>
      <c r="ACL538"/>
      <c r="ACM538"/>
      <c r="ACN538"/>
      <c r="ACO538"/>
      <c r="ACP538"/>
      <c r="ACQ538"/>
      <c r="ACR538"/>
      <c r="ACS538"/>
      <c r="ACT538"/>
      <c r="ACU538"/>
      <c r="ACV538"/>
      <c r="ACW538"/>
      <c r="ACX538"/>
      <c r="ACY538"/>
      <c r="ACZ538"/>
      <c r="ADA538"/>
      <c r="ADB538"/>
      <c r="ADC538"/>
      <c r="ADD538"/>
      <c r="ADE538"/>
      <c r="ADF538"/>
      <c r="ADG538"/>
      <c r="ADH538"/>
      <c r="ADI538"/>
      <c r="ADJ538"/>
      <c r="ADK538"/>
      <c r="ADL538"/>
      <c r="ADM538"/>
      <c r="ADN538"/>
      <c r="ADO538"/>
      <c r="ADP538"/>
      <c r="ADQ538"/>
      <c r="ADR538"/>
      <c r="ADS538"/>
      <c r="ADT538"/>
      <c r="ADU538"/>
      <c r="ADV538"/>
      <c r="ADW538"/>
      <c r="ADX538"/>
      <c r="ADY538"/>
      <c r="ADZ538"/>
      <c r="AEA538"/>
      <c r="AEB538"/>
      <c r="AEC538"/>
      <c r="AED538"/>
      <c r="AEE538"/>
      <c r="AEF538"/>
      <c r="AEG538"/>
      <c r="AEH538"/>
      <c r="AEI538"/>
      <c r="AEJ538"/>
      <c r="AEK538"/>
      <c r="AEL538"/>
      <c r="AEM538"/>
      <c r="AEN538"/>
      <c r="AEO538"/>
      <c r="AEP538"/>
      <c r="AEQ538"/>
      <c r="AER538"/>
      <c r="AES538"/>
      <c r="AET538"/>
      <c r="AEU538"/>
      <c r="AEV538"/>
      <c r="AEW538"/>
      <c r="AEX538"/>
      <c r="AEY538"/>
      <c r="AEZ538"/>
      <c r="AFA538"/>
      <c r="AFB538"/>
      <c r="AFC538"/>
      <c r="AFD538"/>
      <c r="AFE538"/>
      <c r="AFF538"/>
      <c r="AFG538"/>
      <c r="AFH538"/>
      <c r="AFI538"/>
      <c r="AFJ538"/>
      <c r="AFK538"/>
      <c r="AFL538"/>
      <c r="AFM538"/>
      <c r="AFN538"/>
      <c r="AFO538"/>
      <c r="AFP538"/>
      <c r="AFQ538"/>
      <c r="AFR538"/>
      <c r="AFS538"/>
      <c r="AFT538"/>
      <c r="AFU538"/>
      <c r="AFV538"/>
      <c r="AFW538"/>
      <c r="AFX538"/>
      <c r="AFY538"/>
      <c r="AFZ538"/>
      <c r="AGA538"/>
      <c r="AGB538"/>
      <c r="AGC538"/>
      <c r="AGD538"/>
      <c r="AGE538"/>
      <c r="AGF538"/>
      <c r="AGG538"/>
      <c r="AGH538"/>
      <c r="AGI538"/>
      <c r="AGJ538"/>
      <c r="AGK538"/>
      <c r="AGL538"/>
      <c r="AGM538"/>
      <c r="AGN538"/>
      <c r="AGO538"/>
      <c r="AGP538"/>
      <c r="AGQ538"/>
      <c r="AGR538"/>
      <c r="AGS538"/>
      <c r="AGT538"/>
      <c r="AGU538"/>
    </row>
    <row r="539" spans="1:879" x14ac:dyDescent="0.2">
      <c r="A539" s="134">
        <v>45368</v>
      </c>
      <c r="B539" s="135">
        <f>YEAR(source[[#This Row],[report_date]])</f>
        <v>2024</v>
      </c>
      <c r="C539" s="136">
        <v>3</v>
      </c>
      <c r="D539" s="136">
        <f t="shared" si="39"/>
        <v>11</v>
      </c>
      <c r="E539" s="136">
        <f t="shared" si="40"/>
        <v>17</v>
      </c>
      <c r="F539" s="128" t="s">
        <v>58</v>
      </c>
      <c r="G539" s="128" t="str">
        <f>VLOOKUP(source[[#This Row],[lending_product_transform]],[3]Mapping!$B$4:$C$37,2,0)</f>
        <v>[VDS] - Payroll Cashloan</v>
      </c>
      <c r="H539" s="128" t="str">
        <f>VLOOKUP(source[[#This Row],[lending_product_transform]],[3]Mapping!$B$3:$D$37,3,0)</f>
        <v>cashloan</v>
      </c>
      <c r="I539" s="135">
        <v>94500000</v>
      </c>
      <c r="K539" s="550" t="s">
        <v>68</v>
      </c>
      <c r="L539" s="477">
        <v>2269595468665</v>
      </c>
      <c r="M539" s="477">
        <v>1722310866251</v>
      </c>
      <c r="N539" s="477">
        <v>2069586824370</v>
      </c>
      <c r="O539" s="477">
        <v>2143901666325</v>
      </c>
      <c r="P539" s="477">
        <v>762376012773</v>
      </c>
      <c r="Q539" s="477">
        <v>8967770838384</v>
      </c>
      <c r="R539" s="477">
        <v>8967770838384</v>
      </c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/>
      <c r="NO539"/>
      <c r="NP539"/>
      <c r="NQ539"/>
      <c r="NR539"/>
      <c r="NS539"/>
      <c r="NT539"/>
      <c r="NU539"/>
      <c r="NV539"/>
      <c r="NW539"/>
      <c r="NX539"/>
      <c r="NY539"/>
      <c r="NZ539"/>
      <c r="OA539"/>
      <c r="OB539"/>
      <c r="OC539"/>
      <c r="OD539"/>
      <c r="OE539"/>
      <c r="OF539"/>
      <c r="OG539"/>
      <c r="OH539"/>
      <c r="OI539"/>
      <c r="OJ539"/>
      <c r="OK539"/>
      <c r="OL539"/>
      <c r="OM539"/>
      <c r="ON539"/>
      <c r="OO539"/>
      <c r="OP539"/>
      <c r="OQ539"/>
      <c r="OR539"/>
      <c r="OS539"/>
      <c r="OT539"/>
      <c r="OU539"/>
      <c r="OV539"/>
      <c r="OW539"/>
      <c r="OX539"/>
      <c r="OY539"/>
      <c r="OZ539"/>
      <c r="PA539"/>
      <c r="PB539"/>
      <c r="PC539"/>
      <c r="PD539"/>
      <c r="PE539"/>
      <c r="PF539"/>
      <c r="PG539"/>
      <c r="PH539"/>
      <c r="PI539"/>
      <c r="PJ539"/>
      <c r="PK539"/>
      <c r="PL539"/>
      <c r="PM539"/>
      <c r="PN539"/>
      <c r="PO539"/>
      <c r="PP539"/>
      <c r="PQ539"/>
      <c r="PR539"/>
      <c r="PS539"/>
      <c r="PT539"/>
      <c r="PU539"/>
      <c r="PV539"/>
      <c r="PW539"/>
      <c r="PX539"/>
      <c r="PY539"/>
      <c r="PZ539"/>
      <c r="QA539"/>
      <c r="QB539"/>
      <c r="QC539"/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/>
      <c r="QT539"/>
      <c r="QU539"/>
      <c r="QV539"/>
      <c r="QW539"/>
      <c r="QX539"/>
      <c r="QY539"/>
      <c r="QZ539"/>
      <c r="RA539"/>
      <c r="RB539"/>
      <c r="RC539"/>
      <c r="RD539"/>
      <c r="RE539"/>
      <c r="RF539"/>
      <c r="RG539"/>
      <c r="RH539"/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/>
      <c r="RY539"/>
      <c r="RZ539"/>
      <c r="SA539"/>
      <c r="SB539"/>
      <c r="SC539"/>
      <c r="SD539"/>
      <c r="SE539"/>
      <c r="SF539"/>
      <c r="SG539"/>
      <c r="SH539"/>
      <c r="SI539"/>
      <c r="SJ539"/>
      <c r="SK539"/>
      <c r="SL539"/>
      <c r="SM539"/>
      <c r="SN539"/>
      <c r="SO539"/>
      <c r="SP539"/>
      <c r="SQ539"/>
      <c r="SR539"/>
      <c r="SS539"/>
      <c r="ST539"/>
      <c r="SU539"/>
      <c r="SV539"/>
      <c r="SW539"/>
      <c r="SX539"/>
      <c r="SY539"/>
      <c r="SZ539"/>
      <c r="TA539"/>
      <c r="TB539"/>
      <c r="TC539"/>
      <c r="TD539"/>
      <c r="TE539"/>
      <c r="TF539"/>
      <c r="TG539"/>
      <c r="TH539"/>
      <c r="TI539"/>
      <c r="TJ539"/>
      <c r="TK539"/>
      <c r="TL539"/>
      <c r="TM539"/>
      <c r="TN539"/>
      <c r="TO539"/>
      <c r="TP539"/>
      <c r="TQ539"/>
      <c r="TR539"/>
      <c r="TS539"/>
      <c r="TT539"/>
      <c r="TU539"/>
      <c r="TV539"/>
      <c r="TW539"/>
      <c r="TX539"/>
      <c r="TY539"/>
      <c r="TZ539"/>
      <c r="UA539"/>
      <c r="UB539"/>
      <c r="UC539"/>
      <c r="UD539"/>
      <c r="UE539"/>
      <c r="UF539"/>
      <c r="UG539"/>
      <c r="UH539"/>
      <c r="UI539"/>
      <c r="UJ539"/>
      <c r="UK539"/>
      <c r="UL539"/>
      <c r="UM539"/>
      <c r="UN539"/>
      <c r="UO539"/>
      <c r="UP539"/>
      <c r="UQ539"/>
      <c r="UR539"/>
      <c r="US539"/>
      <c r="UT539"/>
      <c r="UU539"/>
      <c r="UV539"/>
      <c r="UW539"/>
      <c r="UX539"/>
      <c r="UY539"/>
      <c r="UZ539"/>
      <c r="VA539"/>
      <c r="VB539"/>
      <c r="VC539"/>
      <c r="VD539"/>
      <c r="VE539"/>
      <c r="VF539"/>
      <c r="VG539"/>
      <c r="VH539"/>
      <c r="VI539"/>
      <c r="VJ539"/>
      <c r="VK539"/>
      <c r="VL539"/>
      <c r="VM539"/>
      <c r="VN539"/>
      <c r="VO539"/>
      <c r="VP539"/>
      <c r="VQ539"/>
      <c r="VR539"/>
      <c r="VS539"/>
      <c r="VT539"/>
      <c r="VU539"/>
      <c r="VV539"/>
      <c r="VW539"/>
      <c r="VX539"/>
      <c r="VY539"/>
      <c r="VZ539"/>
      <c r="WA539"/>
      <c r="WB539"/>
      <c r="WC539"/>
      <c r="WD539"/>
      <c r="WE539"/>
      <c r="WF539"/>
      <c r="WG539"/>
      <c r="WH539"/>
      <c r="WI539"/>
      <c r="WJ539"/>
      <c r="WK539"/>
      <c r="WL539"/>
      <c r="WM539"/>
      <c r="WN539"/>
      <c r="WO539"/>
      <c r="WP539"/>
      <c r="WQ539"/>
      <c r="WR539"/>
      <c r="WS539"/>
      <c r="WT539"/>
      <c r="WU539"/>
      <c r="WV539"/>
      <c r="WW539"/>
      <c r="WX539"/>
      <c r="WY539"/>
      <c r="WZ539"/>
      <c r="XA539"/>
      <c r="XB539"/>
      <c r="XC539"/>
      <c r="XD539"/>
      <c r="XE539"/>
      <c r="XF539"/>
      <c r="XG539"/>
      <c r="XH539"/>
      <c r="XI539"/>
      <c r="XJ539"/>
      <c r="XK539"/>
      <c r="XL539"/>
      <c r="XM539"/>
      <c r="XN539"/>
      <c r="XO539"/>
      <c r="XP539"/>
      <c r="XQ539"/>
      <c r="XR539"/>
      <c r="XS539"/>
      <c r="XT539"/>
      <c r="XU539"/>
      <c r="XV539"/>
      <c r="XW539"/>
      <c r="XX539"/>
      <c r="XY539"/>
      <c r="XZ539"/>
      <c r="YA539"/>
      <c r="YB539"/>
      <c r="YC539"/>
      <c r="YD539"/>
      <c r="YE539"/>
      <c r="YF539"/>
      <c r="YG539"/>
      <c r="YH539"/>
      <c r="YI539"/>
      <c r="YJ539"/>
      <c r="YK539"/>
      <c r="YL539"/>
      <c r="YM539"/>
      <c r="YN539"/>
      <c r="YO539"/>
      <c r="YP539"/>
      <c r="YQ539"/>
      <c r="YR539"/>
      <c r="YS539"/>
      <c r="YT539"/>
      <c r="YU539"/>
      <c r="YV539"/>
      <c r="YW539"/>
      <c r="YX539"/>
      <c r="YY539"/>
      <c r="YZ539"/>
      <c r="ZA539"/>
      <c r="ZB539"/>
      <c r="ZC539"/>
      <c r="ZD539"/>
      <c r="ZE539"/>
      <c r="ZF539"/>
      <c r="ZG539"/>
      <c r="ZH539"/>
      <c r="ZI539"/>
      <c r="ZJ539"/>
      <c r="ZK539"/>
      <c r="ZL539"/>
      <c r="ZM539"/>
      <c r="ZN539"/>
      <c r="ZO539"/>
      <c r="ZP539"/>
      <c r="ZQ539"/>
      <c r="ZR539"/>
      <c r="ZS539"/>
      <c r="ZT539"/>
      <c r="ZU539"/>
      <c r="ZV539"/>
      <c r="ZW539"/>
      <c r="ZX539"/>
      <c r="ZY539"/>
      <c r="ZZ539"/>
      <c r="AAA539"/>
      <c r="AAB539"/>
      <c r="AAC539"/>
      <c r="AAD539"/>
      <c r="AAE539"/>
      <c r="AAF539"/>
      <c r="AAG539"/>
      <c r="AAH539"/>
      <c r="AAI539"/>
      <c r="AAJ539"/>
      <c r="AAK539"/>
      <c r="AAL539"/>
      <c r="AAM539"/>
      <c r="AAN539"/>
      <c r="AAO539"/>
      <c r="AAP539"/>
      <c r="AAQ539"/>
      <c r="AAR539"/>
      <c r="AAS539"/>
      <c r="AAT539"/>
      <c r="AAU539"/>
      <c r="AAV539"/>
      <c r="AAW539"/>
      <c r="AAX539"/>
      <c r="AAY539"/>
      <c r="AAZ539"/>
      <c r="ABA539"/>
      <c r="ABB539"/>
      <c r="ABC539"/>
      <c r="ABD539"/>
      <c r="ABE539"/>
      <c r="ABF539"/>
      <c r="ABG539"/>
      <c r="ABH539"/>
      <c r="ABI539"/>
      <c r="ABJ539"/>
      <c r="ABK539"/>
      <c r="ABL539"/>
      <c r="ABM539"/>
      <c r="ABN539"/>
      <c r="ABO539"/>
      <c r="ABP539"/>
      <c r="ABQ539"/>
      <c r="ABR539"/>
      <c r="ABS539"/>
      <c r="ABT539"/>
      <c r="ABU539"/>
      <c r="ABV539"/>
      <c r="ABW539"/>
      <c r="ABX539"/>
      <c r="ABY539"/>
      <c r="ABZ539"/>
      <c r="ACA539"/>
      <c r="ACB539"/>
      <c r="ACC539"/>
      <c r="ACD539"/>
      <c r="ACE539"/>
      <c r="ACF539"/>
      <c r="ACG539"/>
      <c r="ACH539"/>
      <c r="ACI539"/>
      <c r="ACJ539"/>
      <c r="ACK539"/>
      <c r="ACL539"/>
      <c r="ACM539"/>
      <c r="ACN539"/>
      <c r="ACO539"/>
      <c r="ACP539"/>
      <c r="ACQ539"/>
      <c r="ACR539"/>
      <c r="ACS539"/>
      <c r="ACT539"/>
      <c r="ACU539"/>
      <c r="ACV539"/>
      <c r="ACW539"/>
      <c r="ACX539"/>
      <c r="ACY539"/>
      <c r="ACZ539"/>
      <c r="ADA539"/>
      <c r="ADB539"/>
      <c r="ADC539"/>
      <c r="ADD539"/>
      <c r="ADE539"/>
      <c r="ADF539"/>
      <c r="ADG539"/>
      <c r="ADH539"/>
      <c r="ADI539"/>
      <c r="ADJ539"/>
      <c r="ADK539"/>
      <c r="ADL539"/>
      <c r="ADM539"/>
      <c r="ADN539"/>
      <c r="ADO539"/>
      <c r="ADP539"/>
      <c r="ADQ539"/>
      <c r="ADR539"/>
      <c r="ADS539"/>
      <c r="ADT539"/>
      <c r="ADU539"/>
      <c r="ADV539"/>
      <c r="ADW539"/>
      <c r="ADX539"/>
      <c r="ADY539"/>
      <c r="ADZ539"/>
      <c r="AEA539"/>
      <c r="AEB539"/>
      <c r="AEC539"/>
      <c r="AED539"/>
      <c r="AEE539"/>
      <c r="AEF539"/>
      <c r="AEG539"/>
      <c r="AEH539"/>
      <c r="AEI539"/>
      <c r="AEJ539"/>
      <c r="AEK539"/>
      <c r="AEL539"/>
      <c r="AEM539"/>
      <c r="AEN539"/>
      <c r="AEO539"/>
      <c r="AEP539"/>
      <c r="AEQ539"/>
      <c r="AER539"/>
      <c r="AES539"/>
      <c r="AET539"/>
      <c r="AEU539"/>
      <c r="AEV539"/>
      <c r="AEW539"/>
      <c r="AEX539"/>
      <c r="AEY539"/>
      <c r="AEZ539"/>
      <c r="AFA539"/>
      <c r="AFB539"/>
      <c r="AFC539"/>
      <c r="AFD539"/>
      <c r="AFE539"/>
      <c r="AFF539"/>
      <c r="AFG539"/>
      <c r="AFH539"/>
      <c r="AFI539"/>
      <c r="AFJ539"/>
      <c r="AFK539"/>
      <c r="AFL539"/>
      <c r="AFM539"/>
      <c r="AFN539"/>
      <c r="AFO539"/>
      <c r="AFP539"/>
      <c r="AFQ539"/>
      <c r="AFR539"/>
      <c r="AFS539"/>
      <c r="AFT539"/>
      <c r="AFU539"/>
      <c r="AFV539"/>
      <c r="AFW539"/>
      <c r="AFX539"/>
      <c r="AFY539"/>
      <c r="AFZ539"/>
      <c r="AGA539"/>
      <c r="AGB539"/>
      <c r="AGC539"/>
      <c r="AGD539"/>
      <c r="AGE539"/>
      <c r="AGF539"/>
      <c r="AGG539"/>
      <c r="AGH539"/>
      <c r="AGI539"/>
      <c r="AGJ539"/>
      <c r="AGK539"/>
      <c r="AGL539"/>
      <c r="AGM539"/>
      <c r="AGN539"/>
      <c r="AGO539"/>
      <c r="AGP539"/>
      <c r="AGQ539"/>
      <c r="AGR539"/>
      <c r="AGS539"/>
      <c r="AGT539"/>
      <c r="AGU539"/>
    </row>
    <row r="540" spans="1:879" x14ac:dyDescent="0.2">
      <c r="A540" s="134">
        <v>45368</v>
      </c>
      <c r="B540" s="135">
        <f>YEAR(source[[#This Row],[report_date]])</f>
        <v>2024</v>
      </c>
      <c r="C540" s="136">
        <v>3</v>
      </c>
      <c r="D540" s="136">
        <f t="shared" si="39"/>
        <v>11</v>
      </c>
      <c r="E540" s="136">
        <f t="shared" si="40"/>
        <v>17</v>
      </c>
      <c r="F540" s="128" t="s">
        <v>56</v>
      </c>
      <c r="G540" s="128">
        <f>VLOOKUP(source[[#This Row],[lending_product_transform]],[3]Mapping!$B$4:$C$37,2,0)</f>
        <v>0</v>
      </c>
      <c r="H540" s="128">
        <f>VLOOKUP(source[[#This Row],[lending_product_transform]],[3]Mapping!$B$3:$D$37,3,0)</f>
        <v>0</v>
      </c>
      <c r="I540" s="135">
        <v>4906033941</v>
      </c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/>
      <c r="MI540"/>
      <c r="MJ540"/>
      <c r="MK540"/>
      <c r="ML540"/>
      <c r="MM540"/>
      <c r="MN540"/>
      <c r="MO540"/>
      <c r="MP540"/>
      <c r="MQ540"/>
      <c r="MR540"/>
      <c r="MS540"/>
      <c r="MT540"/>
      <c r="MU540"/>
      <c r="MV540"/>
      <c r="MW540"/>
      <c r="MX540"/>
      <c r="MY540"/>
      <c r="MZ540"/>
      <c r="NA540"/>
      <c r="NB540"/>
      <c r="NC540"/>
      <c r="ND540"/>
      <c r="NE540"/>
      <c r="NF540"/>
      <c r="NG540"/>
      <c r="NH540"/>
      <c r="NI540"/>
      <c r="NJ540"/>
      <c r="NK540"/>
      <c r="NL540"/>
      <c r="NM540"/>
      <c r="NN540"/>
      <c r="NO540"/>
      <c r="NP540"/>
      <c r="NQ540"/>
      <c r="NR540"/>
      <c r="NS540"/>
      <c r="NT540"/>
      <c r="NU540"/>
      <c r="NV540"/>
      <c r="NW540"/>
      <c r="NX540"/>
      <c r="NY540"/>
      <c r="NZ540"/>
      <c r="OA540"/>
      <c r="OB540"/>
      <c r="OC540"/>
      <c r="OD540"/>
      <c r="OE540"/>
      <c r="OF540"/>
      <c r="OG540"/>
      <c r="OH540"/>
      <c r="OI540"/>
      <c r="OJ540"/>
      <c r="OK540"/>
      <c r="OL540"/>
      <c r="OM540"/>
      <c r="ON540"/>
      <c r="OO540"/>
      <c r="OP540"/>
      <c r="OQ540"/>
      <c r="OR540"/>
      <c r="OS540"/>
      <c r="OT540"/>
      <c r="OU540"/>
      <c r="OV540"/>
      <c r="OW540"/>
      <c r="OX540"/>
      <c r="OY540"/>
      <c r="OZ540"/>
      <c r="PA540"/>
      <c r="PB540"/>
      <c r="PC540"/>
      <c r="PD540"/>
      <c r="PE540"/>
      <c r="PF540"/>
      <c r="PG540"/>
      <c r="PH540"/>
      <c r="PI540"/>
      <c r="PJ540"/>
      <c r="PK540"/>
      <c r="PL540"/>
      <c r="PM540"/>
      <c r="PN540"/>
      <c r="PO540"/>
      <c r="PP540"/>
      <c r="PQ540"/>
      <c r="PR540"/>
      <c r="PS540"/>
      <c r="PT540"/>
      <c r="PU540"/>
      <c r="PV540"/>
      <c r="PW540"/>
      <c r="PX540"/>
      <c r="PY540"/>
      <c r="PZ540"/>
      <c r="QA540"/>
      <c r="QB540"/>
      <c r="QC540"/>
      <c r="QD540"/>
      <c r="QE540"/>
      <c r="QF540"/>
      <c r="QG540"/>
      <c r="QH540"/>
      <c r="QI540"/>
      <c r="QJ540"/>
      <c r="QK540"/>
      <c r="QL540"/>
      <c r="QM540"/>
      <c r="QN540"/>
      <c r="QO540"/>
      <c r="QP540"/>
      <c r="QQ540"/>
      <c r="QR540"/>
      <c r="QS540"/>
      <c r="QT540"/>
      <c r="QU540"/>
      <c r="QV540"/>
      <c r="QW540"/>
      <c r="QX540"/>
      <c r="QY540"/>
      <c r="QZ540"/>
      <c r="RA540"/>
      <c r="RB540"/>
      <c r="RC540"/>
      <c r="RD540"/>
      <c r="RE540"/>
      <c r="RF540"/>
      <c r="RG540"/>
      <c r="RH540"/>
      <c r="RI540"/>
      <c r="RJ540"/>
      <c r="RK540"/>
      <c r="RL540"/>
      <c r="RM540"/>
      <c r="RN540"/>
      <c r="RO540"/>
      <c r="RP540"/>
      <c r="RQ540"/>
      <c r="RR540"/>
      <c r="RS540"/>
      <c r="RT540"/>
      <c r="RU540"/>
      <c r="RV540"/>
      <c r="RW540"/>
      <c r="RX540"/>
      <c r="RY540"/>
      <c r="RZ540"/>
      <c r="SA540"/>
      <c r="SB540"/>
      <c r="SC540"/>
      <c r="SD540"/>
      <c r="SE540"/>
      <c r="SF540"/>
      <c r="SG540"/>
      <c r="SH540"/>
      <c r="SI540"/>
      <c r="SJ540"/>
      <c r="SK540"/>
      <c r="SL540"/>
      <c r="SM540"/>
      <c r="SN540"/>
      <c r="SO540"/>
      <c r="SP540"/>
      <c r="SQ540"/>
      <c r="SR540"/>
      <c r="SS540"/>
      <c r="ST540"/>
      <c r="SU540"/>
      <c r="SV540"/>
      <c r="SW540"/>
      <c r="SX540"/>
      <c r="SY540"/>
      <c r="SZ540"/>
      <c r="TA540"/>
      <c r="TB540"/>
      <c r="TC540"/>
      <c r="TD540"/>
      <c r="TE540"/>
      <c r="TF540"/>
      <c r="TG540"/>
      <c r="TH540"/>
      <c r="TI540"/>
      <c r="TJ540"/>
      <c r="TK540"/>
      <c r="TL540"/>
      <c r="TM540"/>
      <c r="TN540"/>
      <c r="TO540"/>
      <c r="TP540"/>
      <c r="TQ540"/>
      <c r="TR540"/>
      <c r="TS540"/>
      <c r="TT540"/>
      <c r="TU540"/>
      <c r="TV540"/>
      <c r="TW540"/>
      <c r="TX540"/>
      <c r="TY540"/>
      <c r="TZ540"/>
      <c r="UA540"/>
      <c r="UB540"/>
      <c r="UC540"/>
      <c r="UD540"/>
      <c r="UE540"/>
      <c r="UF540"/>
      <c r="UG540"/>
      <c r="UH540"/>
      <c r="UI540"/>
      <c r="UJ540"/>
      <c r="UK540"/>
      <c r="UL540"/>
      <c r="UM540"/>
      <c r="UN540"/>
      <c r="UO540"/>
      <c r="UP540"/>
      <c r="UQ540"/>
      <c r="UR540"/>
      <c r="US540"/>
      <c r="UT540"/>
      <c r="UU540"/>
      <c r="UV540"/>
      <c r="UW540"/>
      <c r="UX540"/>
      <c r="UY540"/>
      <c r="UZ540"/>
      <c r="VA540"/>
      <c r="VB540"/>
      <c r="VC540"/>
      <c r="VD540"/>
      <c r="VE540"/>
      <c r="VF540"/>
      <c r="VG540"/>
      <c r="VH540"/>
      <c r="VI540"/>
      <c r="VJ540"/>
      <c r="VK540"/>
      <c r="VL540"/>
      <c r="VM540"/>
      <c r="VN540"/>
      <c r="VO540"/>
      <c r="VP540"/>
      <c r="VQ540"/>
      <c r="VR540"/>
      <c r="VS540"/>
      <c r="VT540"/>
      <c r="VU540"/>
      <c r="VV540"/>
      <c r="VW540"/>
      <c r="VX540"/>
      <c r="VY540"/>
      <c r="VZ540"/>
      <c r="WA540"/>
      <c r="WB540"/>
      <c r="WC540"/>
      <c r="WD540"/>
      <c r="WE540"/>
      <c r="WF540"/>
      <c r="WG540"/>
      <c r="WH540"/>
      <c r="WI540"/>
      <c r="WJ540"/>
      <c r="WK540"/>
      <c r="WL540"/>
      <c r="WM540"/>
      <c r="WN540"/>
      <c r="WO540"/>
      <c r="WP540"/>
      <c r="WQ540"/>
      <c r="WR540"/>
      <c r="WS540"/>
      <c r="WT540"/>
      <c r="WU540"/>
      <c r="WV540"/>
      <c r="WW540"/>
      <c r="WX540"/>
      <c r="WY540"/>
      <c r="WZ540"/>
      <c r="XA540"/>
      <c r="XB540"/>
      <c r="XC540"/>
      <c r="XD540"/>
      <c r="XE540"/>
      <c r="XF540"/>
      <c r="XG540"/>
      <c r="XH540"/>
      <c r="XI540"/>
      <c r="XJ540"/>
      <c r="XK540"/>
      <c r="XL540"/>
      <c r="XM540"/>
      <c r="XN540"/>
      <c r="XO540"/>
      <c r="XP540"/>
      <c r="XQ540"/>
      <c r="XR540"/>
      <c r="XS540"/>
      <c r="XT540"/>
      <c r="XU540"/>
      <c r="XV540"/>
      <c r="XW540"/>
      <c r="XX540"/>
      <c r="XY540"/>
      <c r="XZ540"/>
      <c r="YA540"/>
      <c r="YB540"/>
      <c r="YC540"/>
      <c r="YD540"/>
      <c r="YE540"/>
      <c r="YF540"/>
      <c r="YG540"/>
      <c r="YH540"/>
      <c r="YI540"/>
      <c r="YJ540"/>
      <c r="YK540"/>
      <c r="YL540"/>
      <c r="YM540"/>
      <c r="YN540"/>
      <c r="YO540"/>
      <c r="YP540"/>
      <c r="YQ540"/>
      <c r="YR540"/>
      <c r="YS540"/>
      <c r="YT540"/>
      <c r="YU540"/>
      <c r="YV540"/>
      <c r="YW540"/>
      <c r="YX540"/>
      <c r="YY540"/>
      <c r="YZ540"/>
      <c r="ZA540"/>
      <c r="ZB540"/>
      <c r="ZC540"/>
      <c r="ZD540"/>
      <c r="ZE540"/>
      <c r="ZF540"/>
      <c r="ZG540"/>
      <c r="ZH540"/>
      <c r="ZI540"/>
      <c r="ZJ540"/>
      <c r="ZK540"/>
      <c r="ZL540"/>
      <c r="ZM540"/>
      <c r="ZN540"/>
      <c r="ZO540"/>
      <c r="ZP540"/>
      <c r="ZQ540"/>
      <c r="ZR540"/>
      <c r="ZS540"/>
      <c r="ZT540"/>
      <c r="ZU540"/>
      <c r="ZV540"/>
      <c r="ZW540"/>
      <c r="ZX540"/>
      <c r="ZY540"/>
      <c r="ZZ540"/>
      <c r="AAA540"/>
      <c r="AAB540"/>
      <c r="AAC540"/>
      <c r="AAD540"/>
      <c r="AAE540"/>
      <c r="AAF540"/>
      <c r="AAG540"/>
      <c r="AAH540"/>
      <c r="AAI540"/>
      <c r="AAJ540"/>
      <c r="AAK540"/>
      <c r="AAL540"/>
      <c r="AAM540"/>
      <c r="AAN540"/>
      <c r="AAO540"/>
      <c r="AAP540"/>
      <c r="AAQ540"/>
      <c r="AAR540"/>
      <c r="AAS540"/>
      <c r="AAT540"/>
      <c r="AAU540"/>
      <c r="AAV540"/>
      <c r="AAW540"/>
      <c r="AAX540"/>
      <c r="AAY540"/>
      <c r="AAZ540"/>
      <c r="ABA540"/>
      <c r="ABB540"/>
      <c r="ABC540"/>
      <c r="ABD540"/>
      <c r="ABE540"/>
      <c r="ABF540"/>
      <c r="ABG540"/>
      <c r="ABH540"/>
      <c r="ABI540"/>
      <c r="ABJ540"/>
      <c r="ABK540"/>
      <c r="ABL540"/>
      <c r="ABM540"/>
      <c r="ABN540"/>
      <c r="ABO540"/>
      <c r="ABP540"/>
      <c r="ABQ540"/>
      <c r="ABR540"/>
      <c r="ABS540"/>
      <c r="ABT540"/>
      <c r="ABU540"/>
      <c r="ABV540"/>
      <c r="ABW540"/>
      <c r="ABX540"/>
      <c r="ABY540"/>
      <c r="ABZ540"/>
      <c r="ACA540"/>
      <c r="ACB540"/>
      <c r="ACC540"/>
      <c r="ACD540"/>
      <c r="ACE540"/>
      <c r="ACF540"/>
      <c r="ACG540"/>
      <c r="ACH540"/>
      <c r="ACI540"/>
      <c r="ACJ540"/>
      <c r="ACK540"/>
      <c r="ACL540"/>
      <c r="ACM540"/>
      <c r="ACN540"/>
      <c r="ACO540"/>
      <c r="ACP540"/>
      <c r="ACQ540"/>
      <c r="ACR540"/>
      <c r="ACS540"/>
      <c r="ACT540"/>
      <c r="ACU540"/>
      <c r="ACV540"/>
      <c r="ACW540"/>
      <c r="ACX540"/>
      <c r="ACY540"/>
      <c r="ACZ540"/>
      <c r="ADA540"/>
      <c r="ADB540"/>
      <c r="ADC540"/>
      <c r="ADD540"/>
      <c r="ADE540"/>
      <c r="ADF540"/>
      <c r="ADG540"/>
      <c r="ADH540"/>
      <c r="ADI540"/>
      <c r="ADJ540"/>
      <c r="ADK540"/>
      <c r="ADL540"/>
      <c r="ADM540"/>
      <c r="ADN540"/>
      <c r="ADO540"/>
      <c r="ADP540"/>
      <c r="ADQ540"/>
      <c r="ADR540"/>
      <c r="ADS540"/>
      <c r="ADT540"/>
      <c r="ADU540"/>
      <c r="ADV540"/>
      <c r="ADW540"/>
      <c r="ADX540"/>
      <c r="ADY540"/>
      <c r="ADZ540"/>
      <c r="AEA540"/>
      <c r="AEB540"/>
      <c r="AEC540"/>
      <c r="AED540"/>
      <c r="AEE540"/>
      <c r="AEF540"/>
      <c r="AEG540"/>
      <c r="AEH540"/>
      <c r="AEI540"/>
      <c r="AEJ540"/>
      <c r="AEK540"/>
      <c r="AEL540"/>
      <c r="AEM540"/>
      <c r="AEN540"/>
      <c r="AEO540"/>
      <c r="AEP540"/>
      <c r="AEQ540"/>
      <c r="AER540"/>
      <c r="AES540"/>
      <c r="AET540"/>
      <c r="AEU540"/>
      <c r="AEV540"/>
      <c r="AEW540"/>
      <c r="AEX540"/>
      <c r="AEY540"/>
      <c r="AEZ540"/>
      <c r="AFA540"/>
      <c r="AFB540"/>
      <c r="AFC540"/>
      <c r="AFD540"/>
      <c r="AFE540"/>
      <c r="AFF540"/>
      <c r="AFG540"/>
      <c r="AFH540"/>
      <c r="AFI540"/>
      <c r="AFJ540"/>
      <c r="AFK540"/>
      <c r="AFL540"/>
      <c r="AFM540"/>
      <c r="AFN540"/>
      <c r="AFO540"/>
      <c r="AFP540"/>
      <c r="AFQ540"/>
      <c r="AFR540"/>
      <c r="AFS540"/>
      <c r="AFT540"/>
      <c r="AFU540"/>
      <c r="AFV540"/>
      <c r="AFW540"/>
      <c r="AFX540"/>
      <c r="AFY540"/>
      <c r="AFZ540"/>
      <c r="AGA540"/>
      <c r="AGB540"/>
      <c r="AGC540"/>
      <c r="AGD540"/>
      <c r="AGE540"/>
      <c r="AGF540"/>
      <c r="AGG540"/>
      <c r="AGH540"/>
      <c r="AGI540"/>
      <c r="AGJ540"/>
      <c r="AGK540"/>
      <c r="AGL540"/>
      <c r="AGM540"/>
      <c r="AGN540"/>
      <c r="AGO540"/>
      <c r="AGP540"/>
      <c r="AGQ540"/>
      <c r="AGR540"/>
      <c r="AGS540"/>
      <c r="AGT540"/>
      <c r="AGU540"/>
    </row>
    <row r="541" spans="1:879" x14ac:dyDescent="0.2">
      <c r="A541" s="134">
        <v>45368</v>
      </c>
      <c r="B541" s="135">
        <f>YEAR(source[[#This Row],[report_date]])</f>
        <v>2024</v>
      </c>
      <c r="C541" s="136">
        <v>3</v>
      </c>
      <c r="D541" s="136">
        <f t="shared" si="39"/>
        <v>11</v>
      </c>
      <c r="E541" s="136">
        <f t="shared" si="40"/>
        <v>17</v>
      </c>
      <c r="F541" s="128" t="s">
        <v>19</v>
      </c>
      <c r="G541" s="128" t="str">
        <f>VLOOKUP(source[[#This Row],[lending_product_transform]],[3]Mapping!$B$4:$C$37,2,0)</f>
        <v>[VDS] - Payday</v>
      </c>
      <c r="H541" s="128" t="str">
        <f>VLOOKUP(source[[#This Row],[lending_product_transform]],[3]Mapping!$B$3:$D$37,3,0)</f>
        <v>payday</v>
      </c>
      <c r="I541" s="135">
        <v>1792000000</v>
      </c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/>
      <c r="MI541"/>
      <c r="MJ541"/>
      <c r="MK541"/>
      <c r="ML541"/>
      <c r="MM541"/>
      <c r="MN541"/>
      <c r="MO541"/>
      <c r="MP541"/>
      <c r="MQ541"/>
      <c r="MR541"/>
      <c r="MS541"/>
      <c r="MT541"/>
      <c r="MU541"/>
      <c r="MV541"/>
      <c r="MW541"/>
      <c r="MX541"/>
      <c r="MY541"/>
      <c r="MZ541"/>
      <c r="NA541"/>
      <c r="NB541"/>
      <c r="NC541"/>
      <c r="ND541"/>
      <c r="NE541"/>
      <c r="NF541"/>
      <c r="NG541"/>
      <c r="NH541"/>
      <c r="NI541"/>
      <c r="NJ541"/>
      <c r="NK541"/>
      <c r="NL541"/>
      <c r="NM541"/>
      <c r="NN541"/>
      <c r="NO541"/>
      <c r="NP541"/>
      <c r="NQ541"/>
      <c r="NR541"/>
      <c r="NS541"/>
      <c r="NT541"/>
      <c r="NU541"/>
      <c r="NV541"/>
      <c r="NW541"/>
      <c r="NX541"/>
      <c r="NY541"/>
      <c r="NZ541"/>
      <c r="OA541"/>
      <c r="OB541"/>
      <c r="OC541"/>
      <c r="OD541"/>
      <c r="OE541"/>
      <c r="OF541"/>
      <c r="OG541"/>
      <c r="OH541"/>
      <c r="OI541"/>
      <c r="OJ541"/>
      <c r="OK541"/>
      <c r="OL541"/>
      <c r="OM541"/>
      <c r="ON541"/>
      <c r="OO541"/>
      <c r="OP541"/>
      <c r="OQ541"/>
      <c r="OR541"/>
      <c r="OS541"/>
      <c r="OT541"/>
      <c r="OU541"/>
      <c r="OV541"/>
      <c r="OW541"/>
      <c r="OX541"/>
      <c r="OY541"/>
      <c r="OZ541"/>
      <c r="PA541"/>
      <c r="PB541"/>
      <c r="PC541"/>
      <c r="PD541"/>
      <c r="PE541"/>
      <c r="PF541"/>
      <c r="PG541"/>
      <c r="PH541"/>
      <c r="PI541"/>
      <c r="PJ541"/>
      <c r="PK541"/>
      <c r="PL541"/>
      <c r="PM541"/>
      <c r="PN541"/>
      <c r="PO541"/>
      <c r="PP541"/>
      <c r="PQ541"/>
      <c r="PR541"/>
      <c r="PS541"/>
      <c r="PT541"/>
      <c r="PU541"/>
      <c r="PV541"/>
      <c r="PW541"/>
      <c r="PX541"/>
      <c r="PY541"/>
      <c r="PZ541"/>
      <c r="QA541"/>
      <c r="QB541"/>
      <c r="QC541"/>
      <c r="QD541"/>
      <c r="QE541"/>
      <c r="QF541"/>
      <c r="QG541"/>
      <c r="QH541"/>
      <c r="QI541"/>
      <c r="QJ541"/>
      <c r="QK541"/>
      <c r="QL541"/>
      <c r="QM541"/>
      <c r="QN541"/>
      <c r="QO541"/>
      <c r="QP541"/>
      <c r="QQ541"/>
      <c r="QR541"/>
      <c r="QS541"/>
      <c r="QT541"/>
      <c r="QU541"/>
      <c r="QV541"/>
      <c r="QW541"/>
      <c r="QX541"/>
      <c r="QY541"/>
      <c r="QZ541"/>
      <c r="RA541"/>
      <c r="RB541"/>
      <c r="RC541"/>
      <c r="RD541"/>
      <c r="RE541"/>
      <c r="RF541"/>
      <c r="RG541"/>
      <c r="RH541"/>
      <c r="RI541"/>
      <c r="RJ541"/>
      <c r="RK541"/>
      <c r="RL541"/>
      <c r="RM541"/>
      <c r="RN541"/>
      <c r="RO541"/>
      <c r="RP541"/>
      <c r="RQ541"/>
      <c r="RR541"/>
      <c r="RS541"/>
      <c r="RT541"/>
      <c r="RU541"/>
      <c r="RV541"/>
      <c r="RW541"/>
      <c r="RX541"/>
      <c r="RY541"/>
      <c r="RZ541"/>
      <c r="SA541"/>
      <c r="SB541"/>
      <c r="SC541"/>
      <c r="SD541"/>
      <c r="SE541"/>
      <c r="SF541"/>
      <c r="SG541"/>
      <c r="SH541"/>
      <c r="SI541"/>
      <c r="SJ541"/>
      <c r="SK541"/>
      <c r="SL541"/>
      <c r="SM541"/>
      <c r="SN541"/>
      <c r="SO541"/>
      <c r="SP541"/>
      <c r="SQ541"/>
      <c r="SR541"/>
      <c r="SS541"/>
      <c r="ST541"/>
      <c r="SU541"/>
      <c r="SV541"/>
      <c r="SW541"/>
      <c r="SX541"/>
      <c r="SY541"/>
      <c r="SZ541"/>
      <c r="TA541"/>
      <c r="TB541"/>
      <c r="TC541"/>
      <c r="TD541"/>
      <c r="TE541"/>
      <c r="TF541"/>
      <c r="TG541"/>
      <c r="TH541"/>
      <c r="TI541"/>
      <c r="TJ541"/>
      <c r="TK541"/>
      <c r="TL541"/>
      <c r="TM541"/>
      <c r="TN541"/>
      <c r="TO541"/>
      <c r="TP541"/>
      <c r="TQ541"/>
      <c r="TR541"/>
      <c r="TS541"/>
      <c r="TT541"/>
      <c r="TU541"/>
      <c r="TV541"/>
      <c r="TW541"/>
      <c r="TX541"/>
      <c r="TY541"/>
      <c r="TZ541"/>
      <c r="UA541"/>
      <c r="UB541"/>
      <c r="UC541"/>
      <c r="UD541"/>
      <c r="UE541"/>
      <c r="UF541"/>
      <c r="UG541"/>
      <c r="UH541"/>
      <c r="UI541"/>
      <c r="UJ541"/>
      <c r="UK541"/>
      <c r="UL541"/>
      <c r="UM541"/>
      <c r="UN541"/>
      <c r="UO541"/>
      <c r="UP541"/>
      <c r="UQ541"/>
      <c r="UR541"/>
      <c r="US541"/>
      <c r="UT541"/>
      <c r="UU541"/>
      <c r="UV541"/>
      <c r="UW541"/>
      <c r="UX541"/>
      <c r="UY541"/>
      <c r="UZ541"/>
      <c r="VA541"/>
      <c r="VB541"/>
      <c r="VC541"/>
      <c r="VD541"/>
      <c r="VE541"/>
      <c r="VF541"/>
      <c r="VG541"/>
      <c r="VH541"/>
      <c r="VI541"/>
      <c r="VJ541"/>
      <c r="VK541"/>
      <c r="VL541"/>
      <c r="VM541"/>
      <c r="VN541"/>
      <c r="VO541"/>
      <c r="VP541"/>
      <c r="VQ541"/>
      <c r="VR541"/>
      <c r="VS541"/>
      <c r="VT541"/>
      <c r="VU541"/>
      <c r="VV541"/>
      <c r="VW541"/>
      <c r="VX541"/>
      <c r="VY541"/>
      <c r="VZ541"/>
      <c r="WA541"/>
      <c r="WB541"/>
      <c r="WC541"/>
      <c r="WD541"/>
      <c r="WE541"/>
      <c r="WF541"/>
      <c r="WG541"/>
      <c r="WH541"/>
      <c r="WI541"/>
      <c r="WJ541"/>
      <c r="WK541"/>
      <c r="WL541"/>
      <c r="WM541"/>
      <c r="WN541"/>
      <c r="WO541"/>
      <c r="WP541"/>
      <c r="WQ541"/>
      <c r="WR541"/>
      <c r="WS541"/>
      <c r="WT541"/>
      <c r="WU541"/>
      <c r="WV541"/>
      <c r="WW541"/>
      <c r="WX541"/>
      <c r="WY541"/>
      <c r="WZ541"/>
      <c r="XA541"/>
      <c r="XB541"/>
      <c r="XC541"/>
      <c r="XD541"/>
      <c r="XE541"/>
      <c r="XF541"/>
      <c r="XG541"/>
      <c r="XH541"/>
      <c r="XI541"/>
      <c r="XJ541"/>
      <c r="XK541"/>
      <c r="XL541"/>
      <c r="XM541"/>
      <c r="XN541"/>
      <c r="XO541"/>
      <c r="XP541"/>
      <c r="XQ541"/>
      <c r="XR541"/>
      <c r="XS541"/>
      <c r="XT541"/>
      <c r="XU541"/>
      <c r="XV541"/>
      <c r="XW541"/>
      <c r="XX541"/>
      <c r="XY541"/>
      <c r="XZ541"/>
      <c r="YA541"/>
      <c r="YB541"/>
      <c r="YC541"/>
      <c r="YD541"/>
      <c r="YE541"/>
      <c r="YF541"/>
      <c r="YG541"/>
      <c r="YH541"/>
      <c r="YI541"/>
      <c r="YJ541"/>
      <c r="YK541"/>
      <c r="YL541"/>
      <c r="YM541"/>
      <c r="YN541"/>
      <c r="YO541"/>
      <c r="YP541"/>
      <c r="YQ541"/>
      <c r="YR541"/>
      <c r="YS541"/>
      <c r="YT541"/>
      <c r="YU541"/>
      <c r="YV541"/>
      <c r="YW541"/>
      <c r="YX541"/>
      <c r="YY541"/>
      <c r="YZ541"/>
      <c r="ZA541"/>
      <c r="ZB541"/>
      <c r="ZC541"/>
      <c r="ZD541"/>
      <c r="ZE541"/>
      <c r="ZF541"/>
      <c r="ZG541"/>
      <c r="ZH541"/>
      <c r="ZI541"/>
      <c r="ZJ541"/>
      <c r="ZK541"/>
      <c r="ZL541"/>
      <c r="ZM541"/>
      <c r="ZN541"/>
      <c r="ZO541"/>
      <c r="ZP541"/>
      <c r="ZQ541"/>
      <c r="ZR541"/>
      <c r="ZS541"/>
      <c r="ZT541"/>
      <c r="ZU541"/>
      <c r="ZV541"/>
      <c r="ZW541"/>
      <c r="ZX541"/>
      <c r="ZY541"/>
      <c r="ZZ541"/>
      <c r="AAA541"/>
      <c r="AAB541"/>
      <c r="AAC541"/>
      <c r="AAD541"/>
      <c r="AAE541"/>
      <c r="AAF541"/>
      <c r="AAG541"/>
      <c r="AAH541"/>
      <c r="AAI541"/>
      <c r="AAJ541"/>
      <c r="AAK541"/>
      <c r="AAL541"/>
      <c r="AAM541"/>
      <c r="AAN541"/>
      <c r="AAO541"/>
      <c r="AAP541"/>
      <c r="AAQ541"/>
      <c r="AAR541"/>
      <c r="AAS541"/>
      <c r="AAT541"/>
      <c r="AAU541"/>
      <c r="AAV541"/>
      <c r="AAW541"/>
      <c r="AAX541"/>
      <c r="AAY541"/>
      <c r="AAZ541"/>
      <c r="ABA541"/>
      <c r="ABB541"/>
      <c r="ABC541"/>
      <c r="ABD541"/>
      <c r="ABE541"/>
      <c r="ABF541"/>
      <c r="ABG541"/>
      <c r="ABH541"/>
      <c r="ABI541"/>
      <c r="ABJ541"/>
      <c r="ABK541"/>
      <c r="ABL541"/>
      <c r="ABM541"/>
      <c r="ABN541"/>
      <c r="ABO541"/>
      <c r="ABP541"/>
      <c r="ABQ541"/>
      <c r="ABR541"/>
      <c r="ABS541"/>
      <c r="ABT541"/>
      <c r="ABU541"/>
      <c r="ABV541"/>
      <c r="ABW541"/>
      <c r="ABX541"/>
      <c r="ABY541"/>
      <c r="ABZ541"/>
      <c r="ACA541"/>
      <c r="ACB541"/>
      <c r="ACC541"/>
      <c r="ACD541"/>
      <c r="ACE541"/>
      <c r="ACF541"/>
      <c r="ACG541"/>
      <c r="ACH541"/>
      <c r="ACI541"/>
      <c r="ACJ541"/>
      <c r="ACK541"/>
      <c r="ACL541"/>
      <c r="ACM541"/>
      <c r="ACN541"/>
      <c r="ACO541"/>
      <c r="ACP541"/>
      <c r="ACQ541"/>
      <c r="ACR541"/>
      <c r="ACS541"/>
      <c r="ACT541"/>
      <c r="ACU541"/>
      <c r="ACV541"/>
      <c r="ACW541"/>
      <c r="ACX541"/>
      <c r="ACY541"/>
      <c r="ACZ541"/>
      <c r="ADA541"/>
      <c r="ADB541"/>
      <c r="ADC541"/>
      <c r="ADD541"/>
      <c r="ADE541"/>
      <c r="ADF541"/>
      <c r="ADG541"/>
      <c r="ADH541"/>
      <c r="ADI541"/>
      <c r="ADJ541"/>
      <c r="ADK541"/>
      <c r="ADL541"/>
      <c r="ADM541"/>
      <c r="ADN541"/>
      <c r="ADO541"/>
      <c r="ADP541"/>
      <c r="ADQ541"/>
      <c r="ADR541"/>
      <c r="ADS541"/>
      <c r="ADT541"/>
      <c r="ADU541"/>
      <c r="ADV541"/>
      <c r="ADW541"/>
      <c r="ADX541"/>
      <c r="ADY541"/>
      <c r="ADZ541"/>
      <c r="AEA541"/>
      <c r="AEB541"/>
      <c r="AEC541"/>
      <c r="AED541"/>
      <c r="AEE541"/>
      <c r="AEF541"/>
      <c r="AEG541"/>
      <c r="AEH541"/>
      <c r="AEI541"/>
      <c r="AEJ541"/>
      <c r="AEK541"/>
      <c r="AEL541"/>
      <c r="AEM541"/>
      <c r="AEN541"/>
      <c r="AEO541"/>
      <c r="AEP541"/>
      <c r="AEQ541"/>
      <c r="AER541"/>
      <c r="AES541"/>
      <c r="AET541"/>
      <c r="AEU541"/>
      <c r="AEV541"/>
      <c r="AEW541"/>
      <c r="AEX541"/>
      <c r="AEY541"/>
      <c r="AEZ541"/>
      <c r="AFA541"/>
      <c r="AFB541"/>
      <c r="AFC541"/>
      <c r="AFD541"/>
      <c r="AFE541"/>
      <c r="AFF541"/>
      <c r="AFG541"/>
      <c r="AFH541"/>
      <c r="AFI541"/>
      <c r="AFJ541"/>
      <c r="AFK541"/>
      <c r="AFL541"/>
      <c r="AFM541"/>
      <c r="AFN541"/>
      <c r="AFO541"/>
      <c r="AFP541"/>
      <c r="AFQ541"/>
      <c r="AFR541"/>
      <c r="AFS541"/>
      <c r="AFT541"/>
      <c r="AFU541"/>
      <c r="AFV541"/>
      <c r="AFW541"/>
      <c r="AFX541"/>
      <c r="AFY541"/>
      <c r="AFZ541"/>
      <c r="AGA541"/>
      <c r="AGB541"/>
      <c r="AGC541"/>
      <c r="AGD541"/>
      <c r="AGE541"/>
      <c r="AGF541"/>
      <c r="AGG541"/>
      <c r="AGH541"/>
      <c r="AGI541"/>
      <c r="AGJ541"/>
      <c r="AGK541"/>
      <c r="AGL541"/>
      <c r="AGM541"/>
      <c r="AGN541"/>
      <c r="AGO541"/>
      <c r="AGP541"/>
      <c r="AGQ541"/>
      <c r="AGR541"/>
      <c r="AGS541"/>
      <c r="AGT541"/>
      <c r="AGU541"/>
    </row>
    <row r="542" spans="1:879" x14ac:dyDescent="0.2">
      <c r="A542" s="134">
        <v>45369</v>
      </c>
      <c r="B542" s="135">
        <f>YEAR(source[[#This Row],[report_date]])</f>
        <v>2024</v>
      </c>
      <c r="C542" s="136">
        <v>3</v>
      </c>
      <c r="D542" s="136">
        <f t="shared" si="39"/>
        <v>12</v>
      </c>
      <c r="E542" s="136">
        <f t="shared" si="40"/>
        <v>18</v>
      </c>
      <c r="F542" s="128" t="s">
        <v>58</v>
      </c>
      <c r="G542" s="128" t="str">
        <f>VLOOKUP(source[[#This Row],[lending_product_transform]],[3]Mapping!$B$4:$C$37,2,0)</f>
        <v>[VDS] - Payroll Cashloan</v>
      </c>
      <c r="H542" s="128" t="str">
        <f>VLOOKUP(source[[#This Row],[lending_product_transform]],[3]Mapping!$B$3:$D$37,3,0)</f>
        <v>cashloan</v>
      </c>
      <c r="I542" s="135">
        <v>99900000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/>
      <c r="MI542"/>
      <c r="MJ542"/>
      <c r="MK542"/>
      <c r="ML542"/>
      <c r="MM542"/>
      <c r="MN542"/>
      <c r="MO542"/>
      <c r="MP542"/>
      <c r="MQ542"/>
      <c r="MR542"/>
      <c r="MS542"/>
      <c r="MT542"/>
      <c r="MU542"/>
      <c r="MV542"/>
      <c r="MW542"/>
      <c r="MX542"/>
      <c r="MY542"/>
      <c r="MZ542"/>
      <c r="NA542"/>
      <c r="NB542"/>
      <c r="NC542"/>
      <c r="ND542"/>
      <c r="NE542"/>
      <c r="NF542"/>
      <c r="NG542"/>
      <c r="NH542"/>
      <c r="NI542"/>
      <c r="NJ542"/>
      <c r="NK542"/>
      <c r="NL542"/>
      <c r="NM542"/>
      <c r="NN542"/>
      <c r="NO542"/>
      <c r="NP542"/>
      <c r="NQ542"/>
      <c r="NR542"/>
      <c r="NS542"/>
      <c r="NT542"/>
      <c r="NU542"/>
      <c r="NV542"/>
      <c r="NW542"/>
      <c r="NX542"/>
      <c r="NY542"/>
      <c r="NZ542"/>
      <c r="OA542"/>
      <c r="OB542"/>
      <c r="OC542"/>
      <c r="OD542"/>
      <c r="OE542"/>
      <c r="OF542"/>
      <c r="OG542"/>
      <c r="OH542"/>
      <c r="OI542"/>
      <c r="OJ542"/>
      <c r="OK542"/>
      <c r="OL542"/>
      <c r="OM542"/>
      <c r="ON542"/>
      <c r="OO542"/>
      <c r="OP542"/>
      <c r="OQ542"/>
      <c r="OR542"/>
      <c r="OS542"/>
      <c r="OT542"/>
      <c r="OU542"/>
      <c r="OV542"/>
      <c r="OW542"/>
      <c r="OX542"/>
      <c r="OY542"/>
      <c r="OZ542"/>
      <c r="PA542"/>
      <c r="PB542"/>
      <c r="PC542"/>
      <c r="PD542"/>
      <c r="PE542"/>
      <c r="PF542"/>
      <c r="PG542"/>
      <c r="PH542"/>
      <c r="PI542"/>
      <c r="PJ542"/>
      <c r="PK542"/>
      <c r="PL542"/>
      <c r="PM542"/>
      <c r="PN542"/>
      <c r="PO542"/>
      <c r="PP542"/>
      <c r="PQ542"/>
      <c r="PR542"/>
      <c r="PS542"/>
      <c r="PT542"/>
      <c r="PU542"/>
      <c r="PV542"/>
      <c r="PW542"/>
      <c r="PX542"/>
      <c r="PY542"/>
      <c r="PZ542"/>
      <c r="QA542"/>
      <c r="QB542"/>
      <c r="QC542"/>
      <c r="QD542"/>
      <c r="QE542"/>
      <c r="QF542"/>
      <c r="QG542"/>
      <c r="QH542"/>
      <c r="QI542"/>
      <c r="QJ542"/>
      <c r="QK542"/>
      <c r="QL542"/>
      <c r="QM542"/>
      <c r="QN542"/>
      <c r="QO542"/>
      <c r="QP542"/>
      <c r="QQ542"/>
      <c r="QR542"/>
      <c r="QS542"/>
      <c r="QT542"/>
      <c r="QU542"/>
      <c r="QV542"/>
      <c r="QW542"/>
      <c r="QX542"/>
      <c r="QY542"/>
      <c r="QZ542"/>
      <c r="RA542"/>
      <c r="RB542"/>
      <c r="RC542"/>
      <c r="RD542"/>
      <c r="RE542"/>
      <c r="RF542"/>
      <c r="RG542"/>
      <c r="RH542"/>
      <c r="RI542"/>
      <c r="RJ542"/>
      <c r="RK542"/>
      <c r="RL542"/>
      <c r="RM542"/>
      <c r="RN542"/>
      <c r="RO542"/>
      <c r="RP542"/>
      <c r="RQ542"/>
      <c r="RR542"/>
      <c r="RS542"/>
      <c r="RT542"/>
      <c r="RU542"/>
      <c r="RV542"/>
      <c r="RW542"/>
      <c r="RX542"/>
      <c r="RY542"/>
      <c r="RZ542"/>
      <c r="SA542"/>
      <c r="SB542"/>
      <c r="SC542"/>
      <c r="SD542"/>
      <c r="SE542"/>
      <c r="SF542"/>
      <c r="SG542"/>
      <c r="SH542"/>
      <c r="SI542"/>
      <c r="SJ542"/>
      <c r="SK542"/>
      <c r="SL542"/>
      <c r="SM542"/>
      <c r="SN542"/>
      <c r="SO542"/>
      <c r="SP542"/>
      <c r="SQ542"/>
      <c r="SR542"/>
      <c r="SS542"/>
      <c r="ST542"/>
      <c r="SU542"/>
      <c r="SV542"/>
      <c r="SW542"/>
      <c r="SX542"/>
      <c r="SY542"/>
      <c r="SZ542"/>
      <c r="TA542"/>
      <c r="TB542"/>
      <c r="TC542"/>
      <c r="TD542"/>
      <c r="TE542"/>
      <c r="TF542"/>
      <c r="TG542"/>
      <c r="TH542"/>
      <c r="TI542"/>
      <c r="TJ542"/>
      <c r="TK542"/>
      <c r="TL542"/>
      <c r="TM542"/>
      <c r="TN542"/>
      <c r="TO542"/>
      <c r="TP542"/>
      <c r="TQ542"/>
      <c r="TR542"/>
      <c r="TS542"/>
      <c r="TT542"/>
      <c r="TU542"/>
      <c r="TV542"/>
      <c r="TW542"/>
      <c r="TX542"/>
      <c r="TY542"/>
      <c r="TZ542"/>
      <c r="UA542"/>
      <c r="UB542"/>
      <c r="UC542"/>
      <c r="UD542"/>
      <c r="UE542"/>
      <c r="UF542"/>
      <c r="UG542"/>
      <c r="UH542"/>
      <c r="UI542"/>
      <c r="UJ542"/>
      <c r="UK542"/>
      <c r="UL542"/>
      <c r="UM542"/>
      <c r="UN542"/>
      <c r="UO542"/>
      <c r="UP542"/>
      <c r="UQ542"/>
      <c r="UR542"/>
      <c r="US542"/>
      <c r="UT542"/>
      <c r="UU542"/>
      <c r="UV542"/>
      <c r="UW542"/>
      <c r="UX542"/>
      <c r="UY542"/>
      <c r="UZ542"/>
      <c r="VA542"/>
      <c r="VB542"/>
      <c r="VC542"/>
      <c r="VD542"/>
      <c r="VE542"/>
      <c r="VF542"/>
      <c r="VG542"/>
      <c r="VH542"/>
      <c r="VI542"/>
      <c r="VJ542"/>
      <c r="VK542"/>
      <c r="VL542"/>
      <c r="VM542"/>
      <c r="VN542"/>
      <c r="VO542"/>
      <c r="VP542"/>
      <c r="VQ542"/>
      <c r="VR542"/>
      <c r="VS542"/>
      <c r="VT542"/>
      <c r="VU542"/>
      <c r="VV542"/>
      <c r="VW542"/>
      <c r="VX542"/>
      <c r="VY542"/>
      <c r="VZ542"/>
      <c r="WA542"/>
      <c r="WB542"/>
      <c r="WC542"/>
      <c r="WD542"/>
      <c r="WE542"/>
      <c r="WF542"/>
      <c r="WG542"/>
      <c r="WH542"/>
      <c r="WI542"/>
      <c r="WJ542"/>
      <c r="WK542"/>
      <c r="WL542"/>
      <c r="WM542"/>
      <c r="WN542"/>
      <c r="WO542"/>
      <c r="WP542"/>
      <c r="WQ542"/>
      <c r="WR542"/>
      <c r="WS542"/>
      <c r="WT542"/>
      <c r="WU542"/>
      <c r="WV542"/>
      <c r="WW542"/>
      <c r="WX542"/>
      <c r="WY542"/>
      <c r="WZ542"/>
      <c r="XA542"/>
      <c r="XB542"/>
      <c r="XC542"/>
      <c r="XD542"/>
      <c r="XE542"/>
      <c r="XF542"/>
      <c r="XG542"/>
      <c r="XH542"/>
      <c r="XI542"/>
      <c r="XJ542"/>
      <c r="XK542"/>
      <c r="XL542"/>
      <c r="XM542"/>
      <c r="XN542"/>
      <c r="XO542"/>
      <c r="XP542"/>
      <c r="XQ542"/>
      <c r="XR542"/>
      <c r="XS542"/>
      <c r="XT542"/>
      <c r="XU542"/>
      <c r="XV542"/>
      <c r="XW542"/>
      <c r="XX542"/>
      <c r="XY542"/>
      <c r="XZ542"/>
      <c r="YA542"/>
      <c r="YB542"/>
      <c r="YC542"/>
      <c r="YD542"/>
      <c r="YE542"/>
      <c r="YF542"/>
      <c r="YG542"/>
      <c r="YH542"/>
      <c r="YI542"/>
      <c r="YJ542"/>
      <c r="YK542"/>
      <c r="YL542"/>
      <c r="YM542"/>
      <c r="YN542"/>
      <c r="YO542"/>
      <c r="YP542"/>
      <c r="YQ542"/>
      <c r="YR542"/>
      <c r="YS542"/>
      <c r="YT542"/>
      <c r="YU542"/>
      <c r="YV542"/>
      <c r="YW542"/>
      <c r="YX542"/>
      <c r="YY542"/>
      <c r="YZ542"/>
      <c r="ZA542"/>
      <c r="ZB542"/>
      <c r="ZC542"/>
      <c r="ZD542"/>
      <c r="ZE542"/>
      <c r="ZF542"/>
      <c r="ZG542"/>
      <c r="ZH542"/>
      <c r="ZI542"/>
      <c r="ZJ542"/>
      <c r="ZK542"/>
      <c r="ZL542"/>
      <c r="ZM542"/>
      <c r="ZN542"/>
      <c r="ZO542"/>
      <c r="ZP542"/>
      <c r="ZQ542"/>
      <c r="ZR542"/>
      <c r="ZS542"/>
      <c r="ZT542"/>
      <c r="ZU542"/>
      <c r="ZV542"/>
      <c r="ZW542"/>
      <c r="ZX542"/>
      <c r="ZY542"/>
      <c r="ZZ542"/>
      <c r="AAA542"/>
      <c r="AAB542"/>
      <c r="AAC542"/>
      <c r="AAD542"/>
      <c r="AAE542"/>
      <c r="AAF542"/>
      <c r="AAG542"/>
      <c r="AAH542"/>
      <c r="AAI542"/>
      <c r="AAJ542"/>
      <c r="AAK542"/>
      <c r="AAL542"/>
      <c r="AAM542"/>
      <c r="AAN542"/>
      <c r="AAO542"/>
      <c r="AAP542"/>
      <c r="AAQ542"/>
      <c r="AAR542"/>
      <c r="AAS542"/>
      <c r="AAT542"/>
      <c r="AAU542"/>
      <c r="AAV542"/>
      <c r="AAW542"/>
      <c r="AAX542"/>
      <c r="AAY542"/>
      <c r="AAZ542"/>
      <c r="ABA542"/>
      <c r="ABB542"/>
      <c r="ABC542"/>
      <c r="ABD542"/>
      <c r="ABE542"/>
      <c r="ABF542"/>
      <c r="ABG542"/>
      <c r="ABH542"/>
      <c r="ABI542"/>
      <c r="ABJ542"/>
      <c r="ABK542"/>
      <c r="ABL542"/>
      <c r="ABM542"/>
      <c r="ABN542"/>
      <c r="ABO542"/>
      <c r="ABP542"/>
      <c r="ABQ542"/>
      <c r="ABR542"/>
      <c r="ABS542"/>
      <c r="ABT542"/>
      <c r="ABU542"/>
      <c r="ABV542"/>
      <c r="ABW542"/>
      <c r="ABX542"/>
      <c r="ABY542"/>
      <c r="ABZ542"/>
      <c r="ACA542"/>
      <c r="ACB542"/>
      <c r="ACC542"/>
      <c r="ACD542"/>
      <c r="ACE542"/>
      <c r="ACF542"/>
      <c r="ACG542"/>
      <c r="ACH542"/>
      <c r="ACI542"/>
      <c r="ACJ542"/>
      <c r="ACK542"/>
      <c r="ACL542"/>
      <c r="ACM542"/>
      <c r="ACN542"/>
      <c r="ACO542"/>
      <c r="ACP542"/>
      <c r="ACQ542"/>
      <c r="ACR542"/>
      <c r="ACS542"/>
      <c r="ACT542"/>
      <c r="ACU542"/>
      <c r="ACV542"/>
      <c r="ACW542"/>
      <c r="ACX542"/>
      <c r="ACY542"/>
      <c r="ACZ542"/>
      <c r="ADA542"/>
      <c r="ADB542"/>
      <c r="ADC542"/>
      <c r="ADD542"/>
      <c r="ADE542"/>
      <c r="ADF542"/>
      <c r="ADG542"/>
      <c r="ADH542"/>
      <c r="ADI542"/>
      <c r="ADJ542"/>
      <c r="ADK542"/>
      <c r="ADL542"/>
      <c r="ADM542"/>
      <c r="ADN542"/>
      <c r="ADO542"/>
      <c r="ADP542"/>
      <c r="ADQ542"/>
      <c r="ADR542"/>
      <c r="ADS542"/>
      <c r="ADT542"/>
      <c r="ADU542"/>
      <c r="ADV542"/>
      <c r="ADW542"/>
      <c r="ADX542"/>
      <c r="ADY542"/>
      <c r="ADZ542"/>
      <c r="AEA542"/>
      <c r="AEB542"/>
      <c r="AEC542"/>
      <c r="AED542"/>
      <c r="AEE542"/>
      <c r="AEF542"/>
      <c r="AEG542"/>
      <c r="AEH542"/>
      <c r="AEI542"/>
      <c r="AEJ542"/>
      <c r="AEK542"/>
      <c r="AEL542"/>
      <c r="AEM542"/>
      <c r="AEN542"/>
      <c r="AEO542"/>
      <c r="AEP542"/>
      <c r="AEQ542"/>
      <c r="AER542"/>
      <c r="AES542"/>
      <c r="AET542"/>
      <c r="AEU542"/>
      <c r="AEV542"/>
      <c r="AEW542"/>
      <c r="AEX542"/>
      <c r="AEY542"/>
      <c r="AEZ542"/>
      <c r="AFA542"/>
      <c r="AFB542"/>
      <c r="AFC542"/>
      <c r="AFD542"/>
      <c r="AFE542"/>
      <c r="AFF542"/>
      <c r="AFG542"/>
      <c r="AFH542"/>
      <c r="AFI542"/>
      <c r="AFJ542"/>
      <c r="AFK542"/>
      <c r="AFL542"/>
      <c r="AFM542"/>
      <c r="AFN542"/>
      <c r="AFO542"/>
      <c r="AFP542"/>
      <c r="AFQ542"/>
      <c r="AFR542"/>
      <c r="AFS542"/>
      <c r="AFT542"/>
      <c r="AFU542"/>
      <c r="AFV542"/>
      <c r="AFW542"/>
      <c r="AFX542"/>
      <c r="AFY542"/>
      <c r="AFZ542"/>
      <c r="AGA542"/>
      <c r="AGB542"/>
      <c r="AGC542"/>
      <c r="AGD542"/>
      <c r="AGE542"/>
      <c r="AGF542"/>
      <c r="AGG542"/>
      <c r="AGH542"/>
      <c r="AGI542"/>
      <c r="AGJ542"/>
      <c r="AGK542"/>
      <c r="AGL542"/>
      <c r="AGM542"/>
      <c r="AGN542"/>
      <c r="AGO542"/>
      <c r="AGP542"/>
      <c r="AGQ542"/>
      <c r="AGR542"/>
      <c r="AGS542"/>
      <c r="AGT542"/>
      <c r="AGU542"/>
    </row>
    <row r="543" spans="1:879" x14ac:dyDescent="0.2">
      <c r="A543" s="134">
        <v>45369</v>
      </c>
      <c r="B543" s="135">
        <f>YEAR(source[[#This Row],[report_date]])</f>
        <v>2024</v>
      </c>
      <c r="C543" s="136">
        <v>3</v>
      </c>
      <c r="D543" s="136">
        <f t="shared" si="39"/>
        <v>12</v>
      </c>
      <c r="E543" s="136">
        <f t="shared" si="40"/>
        <v>18</v>
      </c>
      <c r="F543" s="128" t="s">
        <v>61</v>
      </c>
      <c r="G543" s="128" t="str">
        <f>VLOOKUP(source[[#This Row],[lending_product_transform]],[3]Mapping!$B$4:$C$37,2,0)</f>
        <v>[VDS] - Payroll Payday</v>
      </c>
      <c r="H543" s="128" t="str">
        <f>VLOOKUP(source[[#This Row],[lending_product_transform]],[3]Mapping!$B$3:$D$37,3,0)</f>
        <v>payday</v>
      </c>
      <c r="I543" s="135">
        <v>9000000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/>
      <c r="MI543"/>
      <c r="MJ543"/>
      <c r="MK543"/>
      <c r="ML543"/>
      <c r="MM543"/>
      <c r="MN543"/>
      <c r="MO543"/>
      <c r="MP543"/>
      <c r="MQ543"/>
      <c r="MR543"/>
      <c r="MS543"/>
      <c r="MT543"/>
      <c r="MU543"/>
      <c r="MV543"/>
      <c r="MW543"/>
      <c r="MX543"/>
      <c r="MY543"/>
      <c r="MZ543"/>
      <c r="NA543"/>
      <c r="NB543"/>
      <c r="NC543"/>
      <c r="ND543"/>
      <c r="NE543"/>
      <c r="NF543"/>
      <c r="NG543"/>
      <c r="NH543"/>
      <c r="NI543"/>
      <c r="NJ543"/>
      <c r="NK543"/>
      <c r="NL543"/>
      <c r="NM543"/>
      <c r="NN543"/>
      <c r="NO543"/>
      <c r="NP543"/>
      <c r="NQ543"/>
      <c r="NR543"/>
      <c r="NS543"/>
      <c r="NT543"/>
      <c r="NU543"/>
      <c r="NV543"/>
      <c r="NW543"/>
      <c r="NX543"/>
      <c r="NY543"/>
      <c r="NZ543"/>
      <c r="OA543"/>
      <c r="OB543"/>
      <c r="OC543"/>
      <c r="OD543"/>
      <c r="OE543"/>
      <c r="OF543"/>
      <c r="OG543"/>
      <c r="OH543"/>
      <c r="OI543"/>
      <c r="OJ543"/>
      <c r="OK543"/>
      <c r="OL543"/>
      <c r="OM543"/>
      <c r="ON543"/>
      <c r="OO543"/>
      <c r="OP543"/>
      <c r="OQ543"/>
      <c r="OR543"/>
      <c r="OS543"/>
      <c r="OT543"/>
      <c r="OU543"/>
      <c r="OV543"/>
      <c r="OW543"/>
      <c r="OX543"/>
      <c r="OY543"/>
      <c r="OZ543"/>
      <c r="PA543"/>
      <c r="PB543"/>
      <c r="PC543"/>
      <c r="PD543"/>
      <c r="PE543"/>
      <c r="PF543"/>
      <c r="PG543"/>
      <c r="PH543"/>
      <c r="PI543"/>
      <c r="PJ543"/>
      <c r="PK543"/>
      <c r="PL543"/>
      <c r="PM543"/>
      <c r="PN543"/>
      <c r="PO543"/>
      <c r="PP543"/>
      <c r="PQ543"/>
      <c r="PR543"/>
      <c r="PS543"/>
      <c r="PT543"/>
      <c r="PU543"/>
      <c r="PV543"/>
      <c r="PW543"/>
      <c r="PX543"/>
      <c r="PY543"/>
      <c r="PZ543"/>
      <c r="QA543"/>
      <c r="QB543"/>
      <c r="QC543"/>
      <c r="QD543"/>
      <c r="QE543"/>
      <c r="QF543"/>
      <c r="QG543"/>
      <c r="QH543"/>
      <c r="QI543"/>
      <c r="QJ543"/>
      <c r="QK543"/>
      <c r="QL543"/>
      <c r="QM543"/>
      <c r="QN543"/>
      <c r="QO543"/>
      <c r="QP543"/>
      <c r="QQ543"/>
      <c r="QR543"/>
      <c r="QS543"/>
      <c r="QT543"/>
      <c r="QU543"/>
      <c r="QV543"/>
      <c r="QW543"/>
      <c r="QX543"/>
      <c r="QY543"/>
      <c r="QZ543"/>
      <c r="RA543"/>
      <c r="RB543"/>
      <c r="RC543"/>
      <c r="RD543"/>
      <c r="RE543"/>
      <c r="RF543"/>
      <c r="RG543"/>
      <c r="RH543"/>
      <c r="RI543"/>
      <c r="RJ543"/>
      <c r="RK543"/>
      <c r="RL543"/>
      <c r="RM543"/>
      <c r="RN543"/>
      <c r="RO543"/>
      <c r="RP543"/>
      <c r="RQ543"/>
      <c r="RR543"/>
      <c r="RS543"/>
      <c r="RT543"/>
      <c r="RU543"/>
      <c r="RV543"/>
      <c r="RW543"/>
      <c r="RX543"/>
      <c r="RY543"/>
      <c r="RZ543"/>
      <c r="SA543"/>
      <c r="SB543"/>
      <c r="SC543"/>
      <c r="SD543"/>
      <c r="SE543"/>
      <c r="SF543"/>
      <c r="SG543"/>
      <c r="SH543"/>
      <c r="SI543"/>
      <c r="SJ543"/>
      <c r="SK543"/>
      <c r="SL543"/>
      <c r="SM543"/>
      <c r="SN543"/>
      <c r="SO543"/>
      <c r="SP543"/>
      <c r="SQ543"/>
      <c r="SR543"/>
      <c r="SS543"/>
      <c r="ST543"/>
      <c r="SU543"/>
      <c r="SV543"/>
      <c r="SW543"/>
      <c r="SX543"/>
      <c r="SY543"/>
      <c r="SZ543"/>
      <c r="TA543"/>
      <c r="TB543"/>
      <c r="TC543"/>
      <c r="TD543"/>
      <c r="TE543"/>
      <c r="TF543"/>
      <c r="TG543"/>
      <c r="TH543"/>
      <c r="TI543"/>
      <c r="TJ543"/>
      <c r="TK543"/>
      <c r="TL543"/>
      <c r="TM543"/>
      <c r="TN543"/>
      <c r="TO543"/>
      <c r="TP543"/>
      <c r="TQ543"/>
      <c r="TR543"/>
      <c r="TS543"/>
      <c r="TT543"/>
      <c r="TU543"/>
      <c r="TV543"/>
      <c r="TW543"/>
      <c r="TX543"/>
      <c r="TY543"/>
      <c r="TZ543"/>
      <c r="UA543"/>
      <c r="UB543"/>
      <c r="UC543"/>
      <c r="UD543"/>
      <c r="UE543"/>
      <c r="UF543"/>
      <c r="UG543"/>
      <c r="UH543"/>
      <c r="UI543"/>
      <c r="UJ543"/>
      <c r="UK543"/>
      <c r="UL543"/>
      <c r="UM543"/>
      <c r="UN543"/>
      <c r="UO543"/>
      <c r="UP543"/>
      <c r="UQ543"/>
      <c r="UR543"/>
      <c r="US543"/>
      <c r="UT543"/>
      <c r="UU543"/>
      <c r="UV543"/>
      <c r="UW543"/>
      <c r="UX543"/>
      <c r="UY543"/>
      <c r="UZ543"/>
      <c r="VA543"/>
      <c r="VB543"/>
      <c r="VC543"/>
      <c r="VD543"/>
      <c r="VE543"/>
      <c r="VF543"/>
      <c r="VG543"/>
      <c r="VH543"/>
      <c r="VI543"/>
      <c r="VJ543"/>
      <c r="VK543"/>
      <c r="VL543"/>
      <c r="VM543"/>
      <c r="VN543"/>
      <c r="VO543"/>
      <c r="VP543"/>
      <c r="VQ543"/>
      <c r="VR543"/>
      <c r="VS543"/>
      <c r="VT543"/>
      <c r="VU543"/>
      <c r="VV543"/>
      <c r="VW543"/>
      <c r="VX543"/>
      <c r="VY543"/>
      <c r="VZ543"/>
      <c r="WA543"/>
      <c r="WB543"/>
      <c r="WC543"/>
      <c r="WD543"/>
      <c r="WE543"/>
      <c r="WF543"/>
      <c r="WG543"/>
      <c r="WH543"/>
      <c r="WI543"/>
      <c r="WJ543"/>
      <c r="WK543"/>
      <c r="WL543"/>
      <c r="WM543"/>
      <c r="WN543"/>
      <c r="WO543"/>
      <c r="WP543"/>
      <c r="WQ543"/>
      <c r="WR543"/>
      <c r="WS543"/>
      <c r="WT543"/>
      <c r="WU543"/>
      <c r="WV543"/>
      <c r="WW543"/>
      <c r="WX543"/>
      <c r="WY543"/>
      <c r="WZ543"/>
      <c r="XA543"/>
      <c r="XB543"/>
      <c r="XC543"/>
      <c r="XD543"/>
      <c r="XE543"/>
      <c r="XF543"/>
      <c r="XG543"/>
      <c r="XH543"/>
      <c r="XI543"/>
      <c r="XJ543"/>
      <c r="XK543"/>
      <c r="XL543"/>
      <c r="XM543"/>
      <c r="XN543"/>
      <c r="XO543"/>
      <c r="XP543"/>
      <c r="XQ543"/>
      <c r="XR543"/>
      <c r="XS543"/>
      <c r="XT543"/>
      <c r="XU543"/>
      <c r="XV543"/>
      <c r="XW543"/>
      <c r="XX543"/>
      <c r="XY543"/>
      <c r="XZ543"/>
      <c r="YA543"/>
      <c r="YB543"/>
      <c r="YC543"/>
      <c r="YD543"/>
      <c r="YE543"/>
      <c r="YF543"/>
      <c r="YG543"/>
      <c r="YH543"/>
      <c r="YI543"/>
      <c r="YJ543"/>
      <c r="YK543"/>
      <c r="YL543"/>
      <c r="YM543"/>
      <c r="YN543"/>
      <c r="YO543"/>
      <c r="YP543"/>
      <c r="YQ543"/>
      <c r="YR543"/>
      <c r="YS543"/>
      <c r="YT543"/>
      <c r="YU543"/>
      <c r="YV543"/>
      <c r="YW543"/>
      <c r="YX543"/>
      <c r="YY543"/>
      <c r="YZ543"/>
      <c r="ZA543"/>
      <c r="ZB543"/>
      <c r="ZC543"/>
      <c r="ZD543"/>
      <c r="ZE543"/>
      <c r="ZF543"/>
      <c r="ZG543"/>
      <c r="ZH543"/>
      <c r="ZI543"/>
      <c r="ZJ543"/>
      <c r="ZK543"/>
      <c r="ZL543"/>
      <c r="ZM543"/>
      <c r="ZN543"/>
      <c r="ZO543"/>
      <c r="ZP543"/>
      <c r="ZQ543"/>
      <c r="ZR543"/>
      <c r="ZS543"/>
      <c r="ZT543"/>
      <c r="ZU543"/>
      <c r="ZV543"/>
      <c r="ZW543"/>
      <c r="ZX543"/>
      <c r="ZY543"/>
      <c r="ZZ543"/>
      <c r="AAA543"/>
      <c r="AAB543"/>
      <c r="AAC543"/>
      <c r="AAD543"/>
      <c r="AAE543"/>
      <c r="AAF543"/>
      <c r="AAG543"/>
      <c r="AAH543"/>
      <c r="AAI543"/>
      <c r="AAJ543"/>
      <c r="AAK543"/>
      <c r="AAL543"/>
      <c r="AAM543"/>
      <c r="AAN543"/>
      <c r="AAO543"/>
      <c r="AAP543"/>
      <c r="AAQ543"/>
      <c r="AAR543"/>
      <c r="AAS543"/>
      <c r="AAT543"/>
      <c r="AAU543"/>
      <c r="AAV543"/>
      <c r="AAW543"/>
      <c r="AAX543"/>
      <c r="AAY543"/>
      <c r="AAZ543"/>
      <c r="ABA543"/>
      <c r="ABB543"/>
      <c r="ABC543"/>
      <c r="ABD543"/>
      <c r="ABE543"/>
      <c r="ABF543"/>
      <c r="ABG543"/>
      <c r="ABH543"/>
      <c r="ABI543"/>
      <c r="ABJ543"/>
      <c r="ABK543"/>
      <c r="ABL543"/>
      <c r="ABM543"/>
      <c r="ABN543"/>
      <c r="ABO543"/>
      <c r="ABP543"/>
      <c r="ABQ543"/>
      <c r="ABR543"/>
      <c r="ABS543"/>
      <c r="ABT543"/>
      <c r="ABU543"/>
      <c r="ABV543"/>
      <c r="ABW543"/>
      <c r="ABX543"/>
      <c r="ABY543"/>
      <c r="ABZ543"/>
      <c r="ACA543"/>
      <c r="ACB543"/>
      <c r="ACC543"/>
      <c r="ACD543"/>
      <c r="ACE543"/>
      <c r="ACF543"/>
      <c r="ACG543"/>
      <c r="ACH543"/>
      <c r="ACI543"/>
      <c r="ACJ543"/>
      <c r="ACK543"/>
      <c r="ACL543"/>
      <c r="ACM543"/>
      <c r="ACN543"/>
      <c r="ACO543"/>
      <c r="ACP543"/>
      <c r="ACQ543"/>
      <c r="ACR543"/>
      <c r="ACS543"/>
      <c r="ACT543"/>
      <c r="ACU543"/>
      <c r="ACV543"/>
      <c r="ACW543"/>
      <c r="ACX543"/>
      <c r="ACY543"/>
      <c r="ACZ543"/>
      <c r="ADA543"/>
      <c r="ADB543"/>
      <c r="ADC543"/>
      <c r="ADD543"/>
      <c r="ADE543"/>
      <c r="ADF543"/>
      <c r="ADG543"/>
      <c r="ADH543"/>
      <c r="ADI543"/>
      <c r="ADJ543"/>
      <c r="ADK543"/>
      <c r="ADL543"/>
      <c r="ADM543"/>
      <c r="ADN543"/>
      <c r="ADO543"/>
      <c r="ADP543"/>
      <c r="ADQ543"/>
      <c r="ADR543"/>
      <c r="ADS543"/>
      <c r="ADT543"/>
      <c r="ADU543"/>
      <c r="ADV543"/>
      <c r="ADW543"/>
      <c r="ADX543"/>
      <c r="ADY543"/>
      <c r="ADZ543"/>
      <c r="AEA543"/>
      <c r="AEB543"/>
      <c r="AEC543"/>
      <c r="AED543"/>
      <c r="AEE543"/>
      <c r="AEF543"/>
      <c r="AEG543"/>
      <c r="AEH543"/>
      <c r="AEI543"/>
      <c r="AEJ543"/>
      <c r="AEK543"/>
      <c r="AEL543"/>
      <c r="AEM543"/>
      <c r="AEN543"/>
      <c r="AEO543"/>
      <c r="AEP543"/>
      <c r="AEQ543"/>
      <c r="AER543"/>
      <c r="AES543"/>
      <c r="AET543"/>
      <c r="AEU543"/>
      <c r="AEV543"/>
      <c r="AEW543"/>
      <c r="AEX543"/>
      <c r="AEY543"/>
      <c r="AEZ543"/>
      <c r="AFA543"/>
      <c r="AFB543"/>
      <c r="AFC543"/>
      <c r="AFD543"/>
      <c r="AFE543"/>
      <c r="AFF543"/>
      <c r="AFG543"/>
      <c r="AFH543"/>
      <c r="AFI543"/>
      <c r="AFJ543"/>
      <c r="AFK543"/>
      <c r="AFL543"/>
      <c r="AFM543"/>
      <c r="AFN543"/>
      <c r="AFO543"/>
      <c r="AFP543"/>
      <c r="AFQ543"/>
      <c r="AFR543"/>
      <c r="AFS543"/>
      <c r="AFT543"/>
      <c r="AFU543"/>
      <c r="AFV543"/>
      <c r="AFW543"/>
      <c r="AFX543"/>
      <c r="AFY543"/>
      <c r="AFZ543"/>
      <c r="AGA543"/>
      <c r="AGB543"/>
      <c r="AGC543"/>
      <c r="AGD543"/>
      <c r="AGE543"/>
      <c r="AGF543"/>
      <c r="AGG543"/>
      <c r="AGH543"/>
      <c r="AGI543"/>
      <c r="AGJ543"/>
      <c r="AGK543"/>
      <c r="AGL543"/>
      <c r="AGM543"/>
      <c r="AGN543"/>
      <c r="AGO543"/>
      <c r="AGP543"/>
      <c r="AGQ543"/>
      <c r="AGR543"/>
      <c r="AGS543"/>
      <c r="AGT543"/>
      <c r="AGU543"/>
    </row>
    <row r="544" spans="1:879" x14ac:dyDescent="0.2">
      <c r="A544" s="134">
        <v>45369</v>
      </c>
      <c r="B544" s="135">
        <f>YEAR(source[[#This Row],[report_date]])</f>
        <v>2024</v>
      </c>
      <c r="C544" s="136">
        <v>3</v>
      </c>
      <c r="D544" s="136">
        <f t="shared" si="39"/>
        <v>12</v>
      </c>
      <c r="E544" s="136">
        <f t="shared" si="40"/>
        <v>18</v>
      </c>
      <c r="F544" s="128" t="s">
        <v>11</v>
      </c>
      <c r="G544" s="128" t="str">
        <f>VLOOKUP(source[[#This Row],[lending_product_transform]],[3]Mapping!$B$4:$C$37,2,0)</f>
        <v>[VDS] - Cashloan</v>
      </c>
      <c r="H544" s="128" t="str">
        <f>VLOOKUP(source[[#This Row],[lending_product_transform]],[3]Mapping!$B$3:$D$37,3,0)</f>
        <v>cashloan</v>
      </c>
      <c r="I544" s="135">
        <v>1789410000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/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/>
      <c r="MH544"/>
      <c r="MI544"/>
      <c r="MJ544"/>
      <c r="MK544"/>
      <c r="ML544"/>
      <c r="MM544"/>
      <c r="MN544"/>
      <c r="MO544"/>
      <c r="MP544"/>
      <c r="MQ544"/>
      <c r="MR544"/>
      <c r="MS544"/>
      <c r="MT544"/>
      <c r="MU544"/>
      <c r="MV544"/>
      <c r="MW544"/>
      <c r="MX544"/>
      <c r="MY544"/>
      <c r="MZ544"/>
      <c r="NA544"/>
      <c r="NB544"/>
      <c r="NC544"/>
      <c r="ND544"/>
      <c r="NE544"/>
      <c r="NF544"/>
      <c r="NG544"/>
      <c r="NH544"/>
      <c r="NI544"/>
      <c r="NJ544"/>
      <c r="NK544"/>
      <c r="NL544"/>
      <c r="NM544"/>
      <c r="NN544"/>
      <c r="NO544"/>
      <c r="NP544"/>
      <c r="NQ544"/>
      <c r="NR544"/>
      <c r="NS544"/>
      <c r="NT544"/>
      <c r="NU544"/>
      <c r="NV544"/>
      <c r="NW544"/>
      <c r="NX544"/>
      <c r="NY544"/>
      <c r="NZ544"/>
      <c r="OA544"/>
      <c r="OB544"/>
      <c r="OC544"/>
      <c r="OD544"/>
      <c r="OE544"/>
      <c r="OF544"/>
      <c r="OG544"/>
      <c r="OH544"/>
      <c r="OI544"/>
      <c r="OJ544"/>
      <c r="OK544"/>
      <c r="OL544"/>
      <c r="OM544"/>
      <c r="ON544"/>
      <c r="OO544"/>
      <c r="OP544"/>
      <c r="OQ544"/>
      <c r="OR544"/>
      <c r="OS544"/>
      <c r="OT544"/>
      <c r="OU544"/>
      <c r="OV544"/>
      <c r="OW544"/>
      <c r="OX544"/>
      <c r="OY544"/>
      <c r="OZ544"/>
      <c r="PA544"/>
      <c r="PB544"/>
      <c r="PC544"/>
      <c r="PD544"/>
      <c r="PE544"/>
      <c r="PF544"/>
      <c r="PG544"/>
      <c r="PH544"/>
      <c r="PI544"/>
      <c r="PJ544"/>
      <c r="PK544"/>
      <c r="PL544"/>
      <c r="PM544"/>
      <c r="PN544"/>
      <c r="PO544"/>
      <c r="PP544"/>
      <c r="PQ544"/>
      <c r="PR544"/>
      <c r="PS544"/>
      <c r="PT544"/>
      <c r="PU544"/>
      <c r="PV544"/>
      <c r="PW544"/>
      <c r="PX544"/>
      <c r="PY544"/>
      <c r="PZ544"/>
      <c r="QA544"/>
      <c r="QB544"/>
      <c r="QC544"/>
      <c r="QD544"/>
      <c r="QE544"/>
      <c r="QF544"/>
      <c r="QG544"/>
      <c r="QH544"/>
      <c r="QI544"/>
      <c r="QJ544"/>
      <c r="QK544"/>
      <c r="QL544"/>
      <c r="QM544"/>
      <c r="QN544"/>
      <c r="QO544"/>
      <c r="QP544"/>
      <c r="QQ544"/>
      <c r="QR544"/>
      <c r="QS544"/>
      <c r="QT544"/>
      <c r="QU544"/>
      <c r="QV544"/>
      <c r="QW544"/>
      <c r="QX544"/>
      <c r="QY544"/>
      <c r="QZ544"/>
      <c r="RA544"/>
      <c r="RB544"/>
      <c r="RC544"/>
      <c r="RD544"/>
      <c r="RE544"/>
      <c r="RF544"/>
      <c r="RG544"/>
      <c r="RH544"/>
      <c r="RI544"/>
      <c r="RJ544"/>
      <c r="RK544"/>
      <c r="RL544"/>
      <c r="RM544"/>
      <c r="RN544"/>
      <c r="RO544"/>
      <c r="RP544"/>
      <c r="RQ544"/>
      <c r="RR544"/>
      <c r="RS544"/>
      <c r="RT544"/>
      <c r="RU544"/>
      <c r="RV544"/>
      <c r="RW544"/>
      <c r="RX544"/>
      <c r="RY544"/>
      <c r="RZ544"/>
      <c r="SA544"/>
      <c r="SB544"/>
      <c r="SC544"/>
      <c r="SD544"/>
      <c r="SE544"/>
      <c r="SF544"/>
      <c r="SG544"/>
      <c r="SH544"/>
      <c r="SI544"/>
      <c r="SJ544"/>
      <c r="SK544"/>
      <c r="SL544"/>
      <c r="SM544"/>
      <c r="SN544"/>
      <c r="SO544"/>
      <c r="SP544"/>
      <c r="SQ544"/>
      <c r="SR544"/>
      <c r="SS544"/>
      <c r="ST544"/>
      <c r="SU544"/>
      <c r="SV544"/>
      <c r="SW544"/>
      <c r="SX544"/>
      <c r="SY544"/>
      <c r="SZ544"/>
      <c r="TA544"/>
      <c r="TB544"/>
      <c r="TC544"/>
      <c r="TD544"/>
      <c r="TE544"/>
      <c r="TF544"/>
      <c r="TG544"/>
      <c r="TH544"/>
      <c r="TI544"/>
      <c r="TJ544"/>
      <c r="TK544"/>
      <c r="TL544"/>
      <c r="TM544"/>
      <c r="TN544"/>
      <c r="TO544"/>
      <c r="TP544"/>
      <c r="TQ544"/>
      <c r="TR544"/>
      <c r="TS544"/>
      <c r="TT544"/>
      <c r="TU544"/>
      <c r="TV544"/>
      <c r="TW544"/>
      <c r="TX544"/>
      <c r="TY544"/>
      <c r="TZ544"/>
      <c r="UA544"/>
      <c r="UB544"/>
      <c r="UC544"/>
      <c r="UD544"/>
      <c r="UE544"/>
      <c r="UF544"/>
      <c r="UG544"/>
      <c r="UH544"/>
      <c r="UI544"/>
      <c r="UJ544"/>
      <c r="UK544"/>
      <c r="UL544"/>
      <c r="UM544"/>
      <c r="UN544"/>
      <c r="UO544"/>
      <c r="UP544"/>
      <c r="UQ544"/>
      <c r="UR544"/>
      <c r="US544"/>
      <c r="UT544"/>
      <c r="UU544"/>
      <c r="UV544"/>
      <c r="UW544"/>
      <c r="UX544"/>
      <c r="UY544"/>
      <c r="UZ544"/>
      <c r="VA544"/>
      <c r="VB544"/>
      <c r="VC544"/>
      <c r="VD544"/>
      <c r="VE544"/>
      <c r="VF544"/>
      <c r="VG544"/>
      <c r="VH544"/>
      <c r="VI544"/>
      <c r="VJ544"/>
      <c r="VK544"/>
      <c r="VL544"/>
      <c r="VM544"/>
      <c r="VN544"/>
      <c r="VO544"/>
      <c r="VP544"/>
      <c r="VQ544"/>
      <c r="VR544"/>
      <c r="VS544"/>
      <c r="VT544"/>
      <c r="VU544"/>
      <c r="VV544"/>
      <c r="VW544"/>
      <c r="VX544"/>
      <c r="VY544"/>
      <c r="VZ544"/>
      <c r="WA544"/>
      <c r="WB544"/>
      <c r="WC544"/>
      <c r="WD544"/>
      <c r="WE544"/>
      <c r="WF544"/>
      <c r="WG544"/>
      <c r="WH544"/>
      <c r="WI544"/>
      <c r="WJ544"/>
      <c r="WK544"/>
      <c r="WL544"/>
      <c r="WM544"/>
      <c r="WN544"/>
      <c r="WO544"/>
      <c r="WP544"/>
      <c r="WQ544"/>
      <c r="WR544"/>
      <c r="WS544"/>
      <c r="WT544"/>
      <c r="WU544"/>
      <c r="WV544"/>
      <c r="WW544"/>
      <c r="WX544"/>
      <c r="WY544"/>
      <c r="WZ544"/>
      <c r="XA544"/>
      <c r="XB544"/>
      <c r="XC544"/>
      <c r="XD544"/>
      <c r="XE544"/>
      <c r="XF544"/>
      <c r="XG544"/>
      <c r="XH544"/>
      <c r="XI544"/>
      <c r="XJ544"/>
      <c r="XK544"/>
      <c r="XL544"/>
      <c r="XM544"/>
      <c r="XN544"/>
      <c r="XO544"/>
      <c r="XP544"/>
      <c r="XQ544"/>
      <c r="XR544"/>
      <c r="XS544"/>
      <c r="XT544"/>
      <c r="XU544"/>
      <c r="XV544"/>
      <c r="XW544"/>
      <c r="XX544"/>
      <c r="XY544"/>
      <c r="XZ544"/>
      <c r="YA544"/>
      <c r="YB544"/>
      <c r="YC544"/>
      <c r="YD544"/>
      <c r="YE544"/>
      <c r="YF544"/>
      <c r="YG544"/>
      <c r="YH544"/>
      <c r="YI544"/>
      <c r="YJ544"/>
      <c r="YK544"/>
      <c r="YL544"/>
      <c r="YM544"/>
      <c r="YN544"/>
      <c r="YO544"/>
      <c r="YP544"/>
      <c r="YQ544"/>
      <c r="YR544"/>
      <c r="YS544"/>
      <c r="YT544"/>
      <c r="YU544"/>
      <c r="YV544"/>
      <c r="YW544"/>
      <c r="YX544"/>
      <c r="YY544"/>
      <c r="YZ544"/>
      <c r="ZA544"/>
      <c r="ZB544"/>
      <c r="ZC544"/>
      <c r="ZD544"/>
      <c r="ZE544"/>
      <c r="ZF544"/>
      <c r="ZG544"/>
      <c r="ZH544"/>
      <c r="ZI544"/>
      <c r="ZJ544"/>
      <c r="ZK544"/>
      <c r="ZL544"/>
      <c r="ZM544"/>
      <c r="ZN544"/>
      <c r="ZO544"/>
      <c r="ZP544"/>
      <c r="ZQ544"/>
      <c r="ZR544"/>
      <c r="ZS544"/>
      <c r="ZT544"/>
      <c r="ZU544"/>
      <c r="ZV544"/>
      <c r="ZW544"/>
      <c r="ZX544"/>
      <c r="ZY544"/>
      <c r="ZZ544"/>
      <c r="AAA544"/>
      <c r="AAB544"/>
      <c r="AAC544"/>
      <c r="AAD544"/>
      <c r="AAE544"/>
      <c r="AAF544"/>
      <c r="AAG544"/>
      <c r="AAH544"/>
      <c r="AAI544"/>
      <c r="AAJ544"/>
      <c r="AAK544"/>
      <c r="AAL544"/>
      <c r="AAM544"/>
      <c r="AAN544"/>
      <c r="AAO544"/>
      <c r="AAP544"/>
      <c r="AAQ544"/>
      <c r="AAR544"/>
      <c r="AAS544"/>
      <c r="AAT544"/>
      <c r="AAU544"/>
      <c r="AAV544"/>
      <c r="AAW544"/>
      <c r="AAX544"/>
      <c r="AAY544"/>
      <c r="AAZ544"/>
      <c r="ABA544"/>
      <c r="ABB544"/>
      <c r="ABC544"/>
      <c r="ABD544"/>
      <c r="ABE544"/>
      <c r="ABF544"/>
      <c r="ABG544"/>
      <c r="ABH544"/>
      <c r="ABI544"/>
      <c r="ABJ544"/>
      <c r="ABK544"/>
      <c r="ABL544"/>
      <c r="ABM544"/>
      <c r="ABN544"/>
      <c r="ABO544"/>
      <c r="ABP544"/>
      <c r="ABQ544"/>
      <c r="ABR544"/>
      <c r="ABS544"/>
      <c r="ABT544"/>
      <c r="ABU544"/>
      <c r="ABV544"/>
      <c r="ABW544"/>
      <c r="ABX544"/>
      <c r="ABY544"/>
      <c r="ABZ544"/>
      <c r="ACA544"/>
      <c r="ACB544"/>
      <c r="ACC544"/>
      <c r="ACD544"/>
      <c r="ACE544"/>
      <c r="ACF544"/>
      <c r="ACG544"/>
      <c r="ACH544"/>
      <c r="ACI544"/>
      <c r="ACJ544"/>
      <c r="ACK544"/>
      <c r="ACL544"/>
      <c r="ACM544"/>
      <c r="ACN544"/>
      <c r="ACO544"/>
      <c r="ACP544"/>
      <c r="ACQ544"/>
      <c r="ACR544"/>
      <c r="ACS544"/>
      <c r="ACT544"/>
      <c r="ACU544"/>
      <c r="ACV544"/>
      <c r="ACW544"/>
      <c r="ACX544"/>
      <c r="ACY544"/>
      <c r="ACZ544"/>
      <c r="ADA544"/>
      <c r="ADB544"/>
      <c r="ADC544"/>
      <c r="ADD544"/>
      <c r="ADE544"/>
      <c r="ADF544"/>
      <c r="ADG544"/>
      <c r="ADH544"/>
      <c r="ADI544"/>
      <c r="ADJ544"/>
      <c r="ADK544"/>
      <c r="ADL544"/>
      <c r="ADM544"/>
      <c r="ADN544"/>
      <c r="ADO544"/>
      <c r="ADP544"/>
      <c r="ADQ544"/>
      <c r="ADR544"/>
      <c r="ADS544"/>
      <c r="ADT544"/>
      <c r="ADU544"/>
      <c r="ADV544"/>
      <c r="ADW544"/>
      <c r="ADX544"/>
      <c r="ADY544"/>
      <c r="ADZ544"/>
      <c r="AEA544"/>
      <c r="AEB544"/>
      <c r="AEC544"/>
      <c r="AED544"/>
      <c r="AEE544"/>
      <c r="AEF544"/>
      <c r="AEG544"/>
      <c r="AEH544"/>
      <c r="AEI544"/>
      <c r="AEJ544"/>
      <c r="AEK544"/>
      <c r="AEL544"/>
      <c r="AEM544"/>
      <c r="AEN544"/>
      <c r="AEO544"/>
      <c r="AEP544"/>
      <c r="AEQ544"/>
      <c r="AER544"/>
      <c r="AES544"/>
      <c r="AET544"/>
      <c r="AEU544"/>
      <c r="AEV544"/>
      <c r="AEW544"/>
      <c r="AEX544"/>
      <c r="AEY544"/>
      <c r="AEZ544"/>
      <c r="AFA544"/>
      <c r="AFB544"/>
      <c r="AFC544"/>
      <c r="AFD544"/>
      <c r="AFE544"/>
      <c r="AFF544"/>
      <c r="AFG544"/>
      <c r="AFH544"/>
      <c r="AFI544"/>
      <c r="AFJ544"/>
      <c r="AFK544"/>
      <c r="AFL544"/>
      <c r="AFM544"/>
      <c r="AFN544"/>
      <c r="AFO544"/>
      <c r="AFP544"/>
      <c r="AFQ544"/>
      <c r="AFR544"/>
      <c r="AFS544"/>
      <c r="AFT544"/>
      <c r="AFU544"/>
      <c r="AFV544"/>
      <c r="AFW544"/>
      <c r="AFX544"/>
      <c r="AFY544"/>
      <c r="AFZ544"/>
      <c r="AGA544"/>
      <c r="AGB544"/>
      <c r="AGC544"/>
      <c r="AGD544"/>
      <c r="AGE544"/>
      <c r="AGF544"/>
      <c r="AGG544"/>
      <c r="AGH544"/>
      <c r="AGI544"/>
      <c r="AGJ544"/>
      <c r="AGK544"/>
      <c r="AGL544"/>
      <c r="AGM544"/>
      <c r="AGN544"/>
      <c r="AGO544"/>
      <c r="AGP544"/>
      <c r="AGQ544"/>
      <c r="AGR544"/>
      <c r="AGS544"/>
      <c r="AGT544"/>
      <c r="AGU544"/>
    </row>
    <row r="545" spans="1:15" x14ac:dyDescent="0.2">
      <c r="A545" s="134">
        <v>45369</v>
      </c>
      <c r="B545" s="135">
        <f>YEAR(source[[#This Row],[report_date]])</f>
        <v>2024</v>
      </c>
      <c r="C545" s="136">
        <v>3</v>
      </c>
      <c r="D545" s="136">
        <f t="shared" si="39"/>
        <v>12</v>
      </c>
      <c r="E545" s="136">
        <f t="shared" si="40"/>
        <v>18</v>
      </c>
      <c r="F545" s="128" t="s">
        <v>19</v>
      </c>
      <c r="G545" s="128" t="str">
        <f>VLOOKUP(source[[#This Row],[lending_product_transform]],[3]Mapping!$B$4:$C$37,2,0)</f>
        <v>[VDS] - Payday</v>
      </c>
      <c r="H545" s="128" t="str">
        <f>VLOOKUP(source[[#This Row],[lending_product_transform]],[3]Mapping!$B$3:$D$37,3,0)</f>
        <v>payday</v>
      </c>
      <c r="I545" s="135">
        <v>2054000000</v>
      </c>
      <c r="K545"/>
      <c r="L545"/>
      <c r="M545"/>
      <c r="N545"/>
      <c r="O545"/>
    </row>
    <row r="546" spans="1:15" x14ac:dyDescent="0.2">
      <c r="A546" s="134">
        <v>45369</v>
      </c>
      <c r="B546" s="135">
        <f>YEAR(source[[#This Row],[report_date]])</f>
        <v>2024</v>
      </c>
      <c r="C546" s="136">
        <v>3</v>
      </c>
      <c r="D546" s="136">
        <f t="shared" si="39"/>
        <v>12</v>
      </c>
      <c r="E546" s="136">
        <f t="shared" si="40"/>
        <v>18</v>
      </c>
      <c r="F546" s="128" t="s">
        <v>56</v>
      </c>
      <c r="G546" s="128">
        <f>VLOOKUP(source[[#This Row],[lending_product_transform]],[3]Mapping!$B$4:$C$37,2,0)</f>
        <v>0</v>
      </c>
      <c r="H546" s="128">
        <f>VLOOKUP(source[[#This Row],[lending_product_transform]],[3]Mapping!$B$3:$D$37,3,0)</f>
        <v>0</v>
      </c>
      <c r="I546" s="135">
        <v>6273067938</v>
      </c>
      <c r="K546"/>
      <c r="L546"/>
      <c r="M546"/>
      <c r="N546"/>
      <c r="O546"/>
    </row>
    <row r="547" spans="1:15" x14ac:dyDescent="0.2">
      <c r="A547" s="134">
        <v>45369</v>
      </c>
      <c r="B547" s="135">
        <f>YEAR(source[[#This Row],[report_date]])</f>
        <v>2024</v>
      </c>
      <c r="C547" s="136">
        <v>3</v>
      </c>
      <c r="D547" s="136">
        <f t="shared" si="39"/>
        <v>12</v>
      </c>
      <c r="E547" s="136">
        <f t="shared" si="40"/>
        <v>18</v>
      </c>
      <c r="F547" s="128" t="s">
        <v>65</v>
      </c>
      <c r="G547" s="128" t="str">
        <f>VLOOKUP(source[[#This Row],[lending_product_transform]],[3]Mapping!$B$4:$C$37,2,0)</f>
        <v>[BE] - Cashloan</v>
      </c>
      <c r="H547" s="128" t="str">
        <f>VLOOKUP(source[[#This Row],[lending_product_transform]],[3]Mapping!$B$3:$D$37,3,0)</f>
        <v>cashloan</v>
      </c>
      <c r="I547" s="135">
        <v>126000000</v>
      </c>
      <c r="K547"/>
      <c r="L547"/>
      <c r="M547"/>
      <c r="N547"/>
      <c r="O547"/>
    </row>
    <row r="548" spans="1:15" x14ac:dyDescent="0.2">
      <c r="A548" s="134">
        <v>45369</v>
      </c>
      <c r="B548" s="135">
        <f>YEAR(source[[#This Row],[report_date]])</f>
        <v>2024</v>
      </c>
      <c r="C548" s="136">
        <v>3</v>
      </c>
      <c r="D548" s="136">
        <f t="shared" si="39"/>
        <v>12</v>
      </c>
      <c r="E548" s="136">
        <f t="shared" si="40"/>
        <v>18</v>
      </c>
      <c r="F548" s="128" t="s">
        <v>67</v>
      </c>
      <c r="G548" s="128" t="str">
        <f>VLOOKUP(source[[#This Row],[lending_product_transform]],[3]Mapping!$B$4:$C$37,2,0)</f>
        <v>[Cake] - Overdraft</v>
      </c>
      <c r="H548" s="128" t="str">
        <f>VLOOKUP(source[[#This Row],[lending_product_transform]],[3]Mapping!$B$3:$D$37,3,0)</f>
        <v>overdraft</v>
      </c>
      <c r="I548" s="135">
        <v>2194757938</v>
      </c>
      <c r="K548"/>
      <c r="L548"/>
      <c r="M548"/>
      <c r="N548"/>
      <c r="O548"/>
    </row>
    <row r="549" spans="1:15" x14ac:dyDescent="0.2">
      <c r="A549" s="134">
        <v>45370</v>
      </c>
      <c r="B549" s="135">
        <f>YEAR(source[[#This Row],[report_date]])</f>
        <v>2024</v>
      </c>
      <c r="C549" s="136">
        <v>3</v>
      </c>
      <c r="D549" s="136">
        <f t="shared" si="39"/>
        <v>12</v>
      </c>
      <c r="E549" s="136">
        <f t="shared" si="40"/>
        <v>19</v>
      </c>
      <c r="F549" s="128" t="s">
        <v>58</v>
      </c>
      <c r="G549" s="128" t="str">
        <f>VLOOKUP(source[[#This Row],[lending_product_transform]],[3]Mapping!$B$4:$C$37,2,0)</f>
        <v>[VDS] - Payroll Cashloan</v>
      </c>
      <c r="H549" s="128" t="str">
        <f>VLOOKUP(source[[#This Row],[lending_product_transform]],[3]Mapping!$B$3:$D$37,3,0)</f>
        <v>cashloan</v>
      </c>
      <c r="I549" s="135">
        <v>94500000</v>
      </c>
    </row>
    <row r="550" spans="1:15" x14ac:dyDescent="0.2">
      <c r="A550" s="134">
        <v>45370</v>
      </c>
      <c r="B550" s="135">
        <f>YEAR(source[[#This Row],[report_date]])</f>
        <v>2024</v>
      </c>
      <c r="C550" s="136">
        <v>3</v>
      </c>
      <c r="D550" s="136">
        <f t="shared" si="39"/>
        <v>12</v>
      </c>
      <c r="E550" s="136">
        <f t="shared" si="40"/>
        <v>19</v>
      </c>
      <c r="F550" s="128" t="s">
        <v>11</v>
      </c>
      <c r="G550" s="128" t="str">
        <f>VLOOKUP(source[[#This Row],[lending_product_transform]],[3]Mapping!$B$4:$C$37,2,0)</f>
        <v>[VDS] - Cashloan</v>
      </c>
      <c r="H550" s="128" t="str">
        <f>VLOOKUP(source[[#This Row],[lending_product_transform]],[3]Mapping!$B$3:$D$37,3,0)</f>
        <v>cashloan</v>
      </c>
      <c r="I550" s="135">
        <v>1533910000</v>
      </c>
    </row>
    <row r="551" spans="1:15" x14ac:dyDescent="0.2">
      <c r="A551" s="134">
        <v>45370</v>
      </c>
      <c r="B551" s="135">
        <f>YEAR(source[[#This Row],[report_date]])</f>
        <v>2024</v>
      </c>
      <c r="C551" s="136">
        <v>3</v>
      </c>
      <c r="D551" s="136">
        <f t="shared" si="39"/>
        <v>12</v>
      </c>
      <c r="E551" s="136">
        <f t="shared" si="40"/>
        <v>19</v>
      </c>
      <c r="F551" s="128" t="s">
        <v>56</v>
      </c>
      <c r="G551" s="128">
        <f>VLOOKUP(source[[#This Row],[lending_product_transform]],[3]Mapping!$B$4:$C$37,2,0)</f>
        <v>0</v>
      </c>
      <c r="H551" s="128">
        <f>VLOOKUP(source[[#This Row],[lending_product_transform]],[3]Mapping!$B$3:$D$37,3,0)</f>
        <v>0</v>
      </c>
      <c r="I551" s="135">
        <v>5433584662</v>
      </c>
    </row>
    <row r="552" spans="1:15" x14ac:dyDescent="0.2">
      <c r="A552" s="134">
        <v>45370</v>
      </c>
      <c r="B552" s="135">
        <f>YEAR(source[[#This Row],[report_date]])</f>
        <v>2024</v>
      </c>
      <c r="C552" s="136">
        <v>3</v>
      </c>
      <c r="D552" s="136">
        <f t="shared" si="39"/>
        <v>12</v>
      </c>
      <c r="E552" s="136">
        <f t="shared" si="40"/>
        <v>19</v>
      </c>
      <c r="F552" s="128" t="s">
        <v>67</v>
      </c>
      <c r="G552" s="128" t="str">
        <f>VLOOKUP(source[[#This Row],[lending_product_transform]],[3]Mapping!$B$4:$C$37,2,0)</f>
        <v>[Cake] - Overdraft</v>
      </c>
      <c r="H552" s="128" t="str">
        <f>VLOOKUP(source[[#This Row],[lending_product_transform]],[3]Mapping!$B$3:$D$37,3,0)</f>
        <v>overdraft</v>
      </c>
      <c r="I552" s="135">
        <v>1830624662</v>
      </c>
    </row>
    <row r="553" spans="1:15" x14ac:dyDescent="0.2">
      <c r="A553" s="134">
        <v>45370</v>
      </c>
      <c r="B553" s="135">
        <f>YEAR(source[[#This Row],[report_date]])</f>
        <v>2024</v>
      </c>
      <c r="C553" s="136">
        <v>3</v>
      </c>
      <c r="D553" s="136">
        <f t="shared" si="39"/>
        <v>12</v>
      </c>
      <c r="E553" s="136">
        <f t="shared" si="40"/>
        <v>19</v>
      </c>
      <c r="F553" s="128" t="s">
        <v>61</v>
      </c>
      <c r="G553" s="128" t="str">
        <f>VLOOKUP(source[[#This Row],[lending_product_transform]],[3]Mapping!$B$4:$C$37,2,0)</f>
        <v>[VDS] - Payroll Payday</v>
      </c>
      <c r="H553" s="128" t="str">
        <f>VLOOKUP(source[[#This Row],[lending_product_transform]],[3]Mapping!$B$3:$D$37,3,0)</f>
        <v>payday</v>
      </c>
      <c r="I553" s="135">
        <v>72000000</v>
      </c>
    </row>
    <row r="554" spans="1:15" x14ac:dyDescent="0.2">
      <c r="A554" s="134">
        <v>45370</v>
      </c>
      <c r="B554" s="135">
        <f>YEAR(source[[#This Row],[report_date]])</f>
        <v>2024</v>
      </c>
      <c r="C554" s="136">
        <v>3</v>
      </c>
      <c r="D554" s="136">
        <f t="shared" si="39"/>
        <v>12</v>
      </c>
      <c r="E554" s="136">
        <f t="shared" si="40"/>
        <v>19</v>
      </c>
      <c r="F554" s="128" t="s">
        <v>19</v>
      </c>
      <c r="G554" s="128" t="str">
        <f>VLOOKUP(source[[#This Row],[lending_product_transform]],[3]Mapping!$B$4:$C$37,2,0)</f>
        <v>[VDS] - Payday</v>
      </c>
      <c r="H554" s="128" t="str">
        <f>VLOOKUP(source[[#This Row],[lending_product_transform]],[3]Mapping!$B$3:$D$37,3,0)</f>
        <v>payday</v>
      </c>
      <c r="I554" s="135">
        <v>1582000000</v>
      </c>
    </row>
    <row r="555" spans="1:15" x14ac:dyDescent="0.2">
      <c r="A555" s="134">
        <v>45370</v>
      </c>
      <c r="B555" s="135">
        <f>YEAR(source[[#This Row],[report_date]])</f>
        <v>2024</v>
      </c>
      <c r="C555" s="136">
        <v>3</v>
      </c>
      <c r="D555" s="136">
        <f t="shared" si="39"/>
        <v>12</v>
      </c>
      <c r="E555" s="136">
        <f t="shared" si="40"/>
        <v>19</v>
      </c>
      <c r="F555" s="128" t="s">
        <v>65</v>
      </c>
      <c r="G555" s="128" t="str">
        <f>VLOOKUP(source[[#This Row],[lending_product_transform]],[3]Mapping!$B$4:$C$37,2,0)</f>
        <v>[BE] - Cashloan</v>
      </c>
      <c r="H555" s="128" t="str">
        <f>VLOOKUP(source[[#This Row],[lending_product_transform]],[3]Mapping!$B$3:$D$37,3,0)</f>
        <v>cashloan</v>
      </c>
      <c r="I555" s="135">
        <v>320550000</v>
      </c>
    </row>
    <row r="556" spans="1:15" x14ac:dyDescent="0.2">
      <c r="A556" s="134">
        <v>45371</v>
      </c>
      <c r="B556" s="135">
        <f>YEAR(source[[#This Row],[report_date]])</f>
        <v>2024</v>
      </c>
      <c r="C556" s="136">
        <v>3</v>
      </c>
      <c r="D556" s="136">
        <f t="shared" si="39"/>
        <v>12</v>
      </c>
      <c r="E556" s="136">
        <f t="shared" si="40"/>
        <v>20</v>
      </c>
      <c r="F556" s="128" t="s">
        <v>61</v>
      </c>
      <c r="G556" s="128" t="str">
        <f>VLOOKUP(source[[#This Row],[lending_product_transform]],[3]Mapping!$B$4:$C$37,2,0)</f>
        <v>[VDS] - Payroll Payday</v>
      </c>
      <c r="H556" s="128" t="str">
        <f>VLOOKUP(source[[#This Row],[lending_product_transform]],[3]Mapping!$B$3:$D$37,3,0)</f>
        <v>payday</v>
      </c>
      <c r="I556" s="135">
        <v>14000000</v>
      </c>
    </row>
    <row r="557" spans="1:15" x14ac:dyDescent="0.2">
      <c r="A557" s="134">
        <v>45371</v>
      </c>
      <c r="B557" s="135">
        <f>YEAR(source[[#This Row],[report_date]])</f>
        <v>2024</v>
      </c>
      <c r="C557" s="136">
        <v>3</v>
      </c>
      <c r="D557" s="136">
        <f t="shared" si="39"/>
        <v>12</v>
      </c>
      <c r="E557" s="136">
        <f t="shared" si="40"/>
        <v>20</v>
      </c>
      <c r="F557" s="128" t="s">
        <v>58</v>
      </c>
      <c r="G557" s="128" t="str">
        <f>VLOOKUP(source[[#This Row],[lending_product_transform]],[3]Mapping!$B$4:$C$37,2,0)</f>
        <v>[VDS] - Payroll Cashloan</v>
      </c>
      <c r="H557" s="128" t="str">
        <f>VLOOKUP(source[[#This Row],[lending_product_transform]],[3]Mapping!$B$3:$D$37,3,0)</f>
        <v>cashloan</v>
      </c>
      <c r="I557" s="135">
        <v>94500000</v>
      </c>
    </row>
    <row r="558" spans="1:15" x14ac:dyDescent="0.2">
      <c r="A558" s="134">
        <v>45371</v>
      </c>
      <c r="B558" s="135">
        <f>YEAR(source[[#This Row],[report_date]])</f>
        <v>2024</v>
      </c>
      <c r="C558" s="136">
        <v>3</v>
      </c>
      <c r="D558" s="136">
        <f t="shared" si="39"/>
        <v>12</v>
      </c>
      <c r="E558" s="136">
        <f t="shared" si="40"/>
        <v>20</v>
      </c>
      <c r="F558" s="128" t="s">
        <v>56</v>
      </c>
      <c r="G558" s="128">
        <f>VLOOKUP(source[[#This Row],[lending_product_transform]],[3]Mapping!$B$4:$C$37,2,0)</f>
        <v>0</v>
      </c>
      <c r="H558" s="128">
        <f>VLOOKUP(source[[#This Row],[lending_product_transform]],[3]Mapping!$B$3:$D$37,3,0)</f>
        <v>0</v>
      </c>
      <c r="I558" s="135">
        <v>5453000928</v>
      </c>
    </row>
    <row r="559" spans="1:15" x14ac:dyDescent="0.2">
      <c r="A559" s="134">
        <v>45371</v>
      </c>
      <c r="B559" s="135">
        <f>YEAR(source[[#This Row],[report_date]])</f>
        <v>2024</v>
      </c>
      <c r="C559" s="136">
        <v>3</v>
      </c>
      <c r="D559" s="136">
        <f t="shared" si="39"/>
        <v>12</v>
      </c>
      <c r="E559" s="136">
        <f t="shared" si="40"/>
        <v>20</v>
      </c>
      <c r="F559" s="128" t="s">
        <v>67</v>
      </c>
      <c r="G559" s="128" t="str">
        <f>VLOOKUP(source[[#This Row],[lending_product_transform]],[3]Mapping!$B$4:$C$37,2,0)</f>
        <v>[Cake] - Overdraft</v>
      </c>
      <c r="H559" s="128" t="str">
        <f>VLOOKUP(source[[#This Row],[lending_product_transform]],[3]Mapping!$B$3:$D$37,3,0)</f>
        <v>overdraft</v>
      </c>
      <c r="I559" s="135">
        <v>1737460928</v>
      </c>
    </row>
    <row r="560" spans="1:15" x14ac:dyDescent="0.2">
      <c r="A560" s="134">
        <v>45371</v>
      </c>
      <c r="B560" s="135">
        <f>YEAR(source[[#This Row],[report_date]])</f>
        <v>2024</v>
      </c>
      <c r="C560" s="136">
        <v>3</v>
      </c>
      <c r="D560" s="136">
        <f t="shared" si="39"/>
        <v>12</v>
      </c>
      <c r="E560" s="136">
        <f t="shared" si="40"/>
        <v>20</v>
      </c>
      <c r="F560" s="128" t="s">
        <v>11</v>
      </c>
      <c r="G560" s="128" t="str">
        <f>VLOOKUP(source[[#This Row],[lending_product_transform]],[3]Mapping!$B$4:$C$37,2,0)</f>
        <v>[VDS] - Cashloan</v>
      </c>
      <c r="H560" s="128" t="str">
        <f>VLOOKUP(source[[#This Row],[lending_product_transform]],[3]Mapping!$B$3:$D$37,3,0)</f>
        <v>cashloan</v>
      </c>
      <c r="I560" s="135">
        <v>1607640000</v>
      </c>
    </row>
    <row r="561" spans="1:9" x14ac:dyDescent="0.2">
      <c r="A561" s="134">
        <v>45371</v>
      </c>
      <c r="B561" s="135">
        <f>YEAR(source[[#This Row],[report_date]])</f>
        <v>2024</v>
      </c>
      <c r="C561" s="136">
        <v>3</v>
      </c>
      <c r="D561" s="136">
        <f t="shared" si="39"/>
        <v>12</v>
      </c>
      <c r="E561" s="136">
        <f t="shared" si="40"/>
        <v>20</v>
      </c>
      <c r="F561" s="128" t="s">
        <v>65</v>
      </c>
      <c r="G561" s="128" t="str">
        <f>VLOOKUP(source[[#This Row],[lending_product_transform]],[3]Mapping!$B$4:$C$37,2,0)</f>
        <v>[BE] - Cashloan</v>
      </c>
      <c r="H561" s="128" t="str">
        <f>VLOOKUP(source[[#This Row],[lending_product_transform]],[3]Mapping!$B$3:$D$37,3,0)</f>
        <v>cashloan</v>
      </c>
      <c r="I561" s="135">
        <v>176400000</v>
      </c>
    </row>
    <row r="562" spans="1:9" x14ac:dyDescent="0.2">
      <c r="A562" s="134">
        <v>45371</v>
      </c>
      <c r="B562" s="135">
        <f>YEAR(source[[#This Row],[report_date]])</f>
        <v>2024</v>
      </c>
      <c r="C562" s="136">
        <v>3</v>
      </c>
      <c r="D562" s="136">
        <f t="shared" si="39"/>
        <v>12</v>
      </c>
      <c r="E562" s="136">
        <f t="shared" si="40"/>
        <v>20</v>
      </c>
      <c r="F562" s="128" t="s">
        <v>19</v>
      </c>
      <c r="G562" s="128" t="str">
        <f>VLOOKUP(source[[#This Row],[lending_product_transform]],[3]Mapping!$B$4:$C$37,2,0)</f>
        <v>[VDS] - Payday</v>
      </c>
      <c r="H562" s="128" t="str">
        <f>VLOOKUP(source[[#This Row],[lending_product_transform]],[3]Mapping!$B$3:$D$37,3,0)</f>
        <v>payday</v>
      </c>
      <c r="I562" s="135">
        <v>1823000000</v>
      </c>
    </row>
    <row r="563" spans="1:9" x14ac:dyDescent="0.2">
      <c r="A563" s="134">
        <v>45372</v>
      </c>
      <c r="B563" s="135">
        <f>YEAR(source[[#This Row],[report_date]])</f>
        <v>2024</v>
      </c>
      <c r="C563" s="136">
        <v>3</v>
      </c>
      <c r="D563" s="136">
        <f t="shared" si="39"/>
        <v>12</v>
      </c>
      <c r="E563" s="136">
        <f t="shared" si="40"/>
        <v>21</v>
      </c>
      <c r="F563" s="128" t="s">
        <v>56</v>
      </c>
      <c r="G563" s="128">
        <f>VLOOKUP(source[[#This Row],[lending_product_transform]],[3]Mapping!$B$4:$C$37,2,0)</f>
        <v>0</v>
      </c>
      <c r="H563" s="128">
        <f>VLOOKUP(source[[#This Row],[lending_product_transform]],[3]Mapping!$B$3:$D$37,3,0)</f>
        <v>0</v>
      </c>
      <c r="I563" s="135">
        <v>5470373779</v>
      </c>
    </row>
    <row r="564" spans="1:9" x14ac:dyDescent="0.2">
      <c r="A564" s="134">
        <v>45372</v>
      </c>
      <c r="B564" s="135">
        <f>YEAR(source[[#This Row],[report_date]])</f>
        <v>2024</v>
      </c>
      <c r="C564" s="136">
        <v>3</v>
      </c>
      <c r="D564" s="136">
        <f t="shared" si="39"/>
        <v>12</v>
      </c>
      <c r="E564" s="136">
        <f t="shared" si="40"/>
        <v>21</v>
      </c>
      <c r="F564" s="128" t="s">
        <v>62</v>
      </c>
      <c r="G564" s="128" t="str">
        <f>VLOOKUP(source[[#This Row],[lending_product_transform]],[3]Mapping!$B$4:$C$37,2,0)</f>
        <v>[VDS] - Paylater</v>
      </c>
      <c r="H564" s="128" t="str">
        <f>VLOOKUP(source[[#This Row],[lending_product_transform]],[3]Mapping!$B$3:$D$37,3,0)</f>
        <v>paylater</v>
      </c>
      <c r="I564" s="135">
        <v>25000</v>
      </c>
    </row>
    <row r="565" spans="1:9" x14ac:dyDescent="0.2">
      <c r="A565" s="134">
        <v>45372</v>
      </c>
      <c r="B565" s="135">
        <f>YEAR(source[[#This Row],[report_date]])</f>
        <v>2024</v>
      </c>
      <c r="C565" s="136">
        <v>3</v>
      </c>
      <c r="D565" s="136">
        <f t="shared" si="39"/>
        <v>12</v>
      </c>
      <c r="E565" s="136">
        <f t="shared" si="40"/>
        <v>21</v>
      </c>
      <c r="F565" s="128" t="s">
        <v>65</v>
      </c>
      <c r="G565" s="128" t="str">
        <f>VLOOKUP(source[[#This Row],[lending_product_transform]],[3]Mapping!$B$4:$C$37,2,0)</f>
        <v>[BE] - Cashloan</v>
      </c>
      <c r="H565" s="128" t="str">
        <f>VLOOKUP(source[[#This Row],[lending_product_transform]],[3]Mapping!$B$3:$D$37,3,0)</f>
        <v>cashloan</v>
      </c>
      <c r="I565" s="135">
        <v>159600000</v>
      </c>
    </row>
    <row r="566" spans="1:9" x14ac:dyDescent="0.2">
      <c r="A566" s="134">
        <v>45372</v>
      </c>
      <c r="B566" s="135">
        <f>YEAR(source[[#This Row],[report_date]])</f>
        <v>2024</v>
      </c>
      <c r="C566" s="136">
        <v>3</v>
      </c>
      <c r="D566" s="136">
        <f t="shared" si="39"/>
        <v>12</v>
      </c>
      <c r="E566" s="136">
        <f t="shared" si="40"/>
        <v>21</v>
      </c>
      <c r="F566" s="128" t="s">
        <v>58</v>
      </c>
      <c r="G566" s="128" t="str">
        <f>VLOOKUP(source[[#This Row],[lending_product_transform]],[3]Mapping!$B$4:$C$37,2,0)</f>
        <v>[VDS] - Payroll Cashloan</v>
      </c>
      <c r="H566" s="128" t="str">
        <f>VLOOKUP(source[[#This Row],[lending_product_transform]],[3]Mapping!$B$3:$D$37,3,0)</f>
        <v>cashloan</v>
      </c>
      <c r="I566" s="135">
        <v>49900000</v>
      </c>
    </row>
    <row r="567" spans="1:9" x14ac:dyDescent="0.2">
      <c r="A567" s="134">
        <v>45372</v>
      </c>
      <c r="B567" s="135">
        <f>YEAR(source[[#This Row],[report_date]])</f>
        <v>2024</v>
      </c>
      <c r="C567" s="136">
        <v>3</v>
      </c>
      <c r="D567" s="136">
        <f t="shared" si="39"/>
        <v>12</v>
      </c>
      <c r="E567" s="136">
        <f t="shared" si="40"/>
        <v>21</v>
      </c>
      <c r="F567" s="128" t="s">
        <v>61</v>
      </c>
      <c r="G567" s="128" t="str">
        <f>VLOOKUP(source[[#This Row],[lending_product_transform]],[3]Mapping!$B$4:$C$37,2,0)</f>
        <v>[VDS] - Payroll Payday</v>
      </c>
      <c r="H567" s="128" t="str">
        <f>VLOOKUP(source[[#This Row],[lending_product_transform]],[3]Mapping!$B$3:$D$37,3,0)</f>
        <v>payday</v>
      </c>
      <c r="I567" s="135">
        <v>64000000</v>
      </c>
    </row>
    <row r="568" spans="1:9" x14ac:dyDescent="0.2">
      <c r="A568" s="134">
        <v>45372</v>
      </c>
      <c r="B568" s="135">
        <f>YEAR(source[[#This Row],[report_date]])</f>
        <v>2024</v>
      </c>
      <c r="C568" s="136">
        <v>3</v>
      </c>
      <c r="D568" s="136">
        <f t="shared" si="39"/>
        <v>12</v>
      </c>
      <c r="E568" s="136">
        <f t="shared" si="40"/>
        <v>21</v>
      </c>
      <c r="F568" s="128" t="s">
        <v>11</v>
      </c>
      <c r="G568" s="128" t="str">
        <f>VLOOKUP(source[[#This Row],[lending_product_transform]],[3]Mapping!$B$4:$C$37,2,0)</f>
        <v>[VDS] - Cashloan</v>
      </c>
      <c r="H568" s="128" t="str">
        <f>VLOOKUP(source[[#This Row],[lending_product_transform]],[3]Mapping!$B$3:$D$37,3,0)</f>
        <v>cashloan</v>
      </c>
      <c r="I568" s="135">
        <v>1414930000</v>
      </c>
    </row>
    <row r="569" spans="1:9" x14ac:dyDescent="0.2">
      <c r="A569" s="134">
        <v>45372</v>
      </c>
      <c r="B569" s="135">
        <f>YEAR(source[[#This Row],[report_date]])</f>
        <v>2024</v>
      </c>
      <c r="C569" s="136">
        <v>3</v>
      </c>
      <c r="D569" s="136">
        <f t="shared" si="39"/>
        <v>12</v>
      </c>
      <c r="E569" s="136">
        <f t="shared" si="40"/>
        <v>21</v>
      </c>
      <c r="F569" s="128" t="s">
        <v>19</v>
      </c>
      <c r="G569" s="128" t="str">
        <f>VLOOKUP(source[[#This Row],[lending_product_transform]],[3]Mapping!$B$4:$C$37,2,0)</f>
        <v>[VDS] - Payday</v>
      </c>
      <c r="H569" s="128" t="str">
        <f>VLOOKUP(source[[#This Row],[lending_product_transform]],[3]Mapping!$B$3:$D$37,3,0)</f>
        <v>payday</v>
      </c>
      <c r="I569" s="135">
        <v>2019000000</v>
      </c>
    </row>
    <row r="570" spans="1:9" x14ac:dyDescent="0.2">
      <c r="A570" s="134">
        <v>45372</v>
      </c>
      <c r="B570" s="135">
        <f>YEAR(source[[#This Row],[report_date]])</f>
        <v>2024</v>
      </c>
      <c r="C570" s="136">
        <v>3</v>
      </c>
      <c r="D570" s="136">
        <f t="shared" si="39"/>
        <v>12</v>
      </c>
      <c r="E570" s="136">
        <f t="shared" si="40"/>
        <v>21</v>
      </c>
      <c r="F570" s="128" t="s">
        <v>67</v>
      </c>
      <c r="G570" s="128" t="str">
        <f>VLOOKUP(source[[#This Row],[lending_product_transform]],[3]Mapping!$B$4:$C$37,2,0)</f>
        <v>[Cake] - Overdraft</v>
      </c>
      <c r="H570" s="128" t="str">
        <f>VLOOKUP(source[[#This Row],[lending_product_transform]],[3]Mapping!$B$3:$D$37,3,0)</f>
        <v>overdraft</v>
      </c>
      <c r="I570" s="135">
        <v>1762918779</v>
      </c>
    </row>
    <row r="571" spans="1:9" x14ac:dyDescent="0.2">
      <c r="A571" s="134">
        <v>45373</v>
      </c>
      <c r="B571" s="135">
        <f>YEAR(source[[#This Row],[report_date]])</f>
        <v>2024</v>
      </c>
      <c r="C571" s="136">
        <v>3</v>
      </c>
      <c r="D571" s="136">
        <f t="shared" si="39"/>
        <v>12</v>
      </c>
      <c r="E571" s="136">
        <f t="shared" si="40"/>
        <v>22</v>
      </c>
      <c r="F571" s="128" t="s">
        <v>11</v>
      </c>
      <c r="G571" s="128" t="str">
        <f>VLOOKUP(source[[#This Row],[lending_product_transform]],[3]Mapping!$B$4:$C$37,2,0)</f>
        <v>[VDS] - Cashloan</v>
      </c>
      <c r="H571" s="128" t="str">
        <f>VLOOKUP(source[[#This Row],[lending_product_transform]],[3]Mapping!$B$3:$D$37,3,0)</f>
        <v>cashloan</v>
      </c>
      <c r="I571" s="135">
        <v>1450480000</v>
      </c>
    </row>
    <row r="572" spans="1:9" x14ac:dyDescent="0.2">
      <c r="A572" s="134">
        <v>45373</v>
      </c>
      <c r="B572" s="135">
        <f>YEAR(source[[#This Row],[report_date]])</f>
        <v>2024</v>
      </c>
      <c r="C572" s="136">
        <v>3</v>
      </c>
      <c r="D572" s="136">
        <f t="shared" si="39"/>
        <v>12</v>
      </c>
      <c r="E572" s="136">
        <f t="shared" si="40"/>
        <v>22</v>
      </c>
      <c r="F572" s="128" t="s">
        <v>62</v>
      </c>
      <c r="G572" s="128" t="str">
        <f>VLOOKUP(source[[#This Row],[lending_product_transform]],[3]Mapping!$B$4:$C$37,2,0)</f>
        <v>[VDS] - Paylater</v>
      </c>
      <c r="H572" s="128" t="str">
        <f>VLOOKUP(source[[#This Row],[lending_product_transform]],[3]Mapping!$B$3:$D$37,3,0)</f>
        <v>paylater</v>
      </c>
      <c r="I572" s="135">
        <v>168769</v>
      </c>
    </row>
    <row r="573" spans="1:9" x14ac:dyDescent="0.2">
      <c r="A573" s="134">
        <v>45373</v>
      </c>
      <c r="B573" s="135">
        <f>YEAR(source[[#This Row],[report_date]])</f>
        <v>2024</v>
      </c>
      <c r="C573" s="136">
        <v>3</v>
      </c>
      <c r="D573" s="136">
        <f t="shared" si="39"/>
        <v>12</v>
      </c>
      <c r="E573" s="136">
        <f t="shared" si="40"/>
        <v>22</v>
      </c>
      <c r="F573" s="128" t="s">
        <v>67</v>
      </c>
      <c r="G573" s="128" t="str">
        <f>VLOOKUP(source[[#This Row],[lending_product_transform]],[3]Mapping!$B$4:$C$37,2,0)</f>
        <v>[Cake] - Overdraft</v>
      </c>
      <c r="H573" s="128" t="str">
        <f>VLOOKUP(source[[#This Row],[lending_product_transform]],[3]Mapping!$B$3:$D$37,3,0)</f>
        <v>overdraft</v>
      </c>
      <c r="I573" s="135">
        <v>2328694861</v>
      </c>
    </row>
    <row r="574" spans="1:9" x14ac:dyDescent="0.2">
      <c r="A574" s="134">
        <v>45373</v>
      </c>
      <c r="B574" s="135">
        <f>YEAR(source[[#This Row],[report_date]])</f>
        <v>2024</v>
      </c>
      <c r="C574" s="136">
        <v>3</v>
      </c>
      <c r="D574" s="136">
        <f t="shared" si="39"/>
        <v>12</v>
      </c>
      <c r="E574" s="136">
        <f t="shared" si="40"/>
        <v>22</v>
      </c>
      <c r="F574" s="128" t="s">
        <v>61</v>
      </c>
      <c r="G574" s="128" t="str">
        <f>VLOOKUP(source[[#This Row],[lending_product_transform]],[3]Mapping!$B$4:$C$37,2,0)</f>
        <v>[VDS] - Payroll Payday</v>
      </c>
      <c r="H574" s="128" t="str">
        <f>VLOOKUP(source[[#This Row],[lending_product_transform]],[3]Mapping!$B$3:$D$37,3,0)</f>
        <v>payday</v>
      </c>
      <c r="I574" s="135">
        <v>36000000</v>
      </c>
    </row>
    <row r="575" spans="1:9" x14ac:dyDescent="0.2">
      <c r="A575" s="134">
        <v>45373</v>
      </c>
      <c r="B575" s="135">
        <f>YEAR(source[[#This Row],[report_date]])</f>
        <v>2024</v>
      </c>
      <c r="C575" s="136">
        <v>3</v>
      </c>
      <c r="D575" s="136">
        <f t="shared" si="39"/>
        <v>12</v>
      </c>
      <c r="E575" s="136">
        <f t="shared" si="40"/>
        <v>22</v>
      </c>
      <c r="F575" s="128" t="s">
        <v>58</v>
      </c>
      <c r="G575" s="128" t="str">
        <f>VLOOKUP(source[[#This Row],[lending_product_transform]],[3]Mapping!$B$4:$C$37,2,0)</f>
        <v>[VDS] - Payroll Cashloan</v>
      </c>
      <c r="H575" s="128" t="str">
        <f>VLOOKUP(source[[#This Row],[lending_product_transform]],[3]Mapping!$B$3:$D$37,3,0)</f>
        <v>cashloan</v>
      </c>
      <c r="I575" s="135">
        <v>73500000</v>
      </c>
    </row>
    <row r="576" spans="1:9" x14ac:dyDescent="0.2">
      <c r="A576" s="134">
        <v>45373</v>
      </c>
      <c r="B576" s="135">
        <f>YEAR(source[[#This Row],[report_date]])</f>
        <v>2024</v>
      </c>
      <c r="C576" s="136">
        <v>3</v>
      </c>
      <c r="D576" s="136">
        <f t="shared" si="39"/>
        <v>12</v>
      </c>
      <c r="E576" s="136">
        <f t="shared" si="40"/>
        <v>22</v>
      </c>
      <c r="F576" s="128" t="s">
        <v>56</v>
      </c>
      <c r="G576" s="128">
        <f>VLOOKUP(source[[#This Row],[lending_product_transform]],[3]Mapping!$B$4:$C$37,2,0)</f>
        <v>0</v>
      </c>
      <c r="H576" s="128">
        <f>VLOOKUP(source[[#This Row],[lending_product_transform]],[3]Mapping!$B$3:$D$37,3,0)</f>
        <v>0</v>
      </c>
      <c r="I576" s="135">
        <v>6242343630</v>
      </c>
    </row>
    <row r="577" spans="1:9" x14ac:dyDescent="0.2">
      <c r="A577" s="134">
        <v>45373</v>
      </c>
      <c r="B577" s="135">
        <f>YEAR(source[[#This Row],[report_date]])</f>
        <v>2024</v>
      </c>
      <c r="C577" s="136">
        <v>3</v>
      </c>
      <c r="D577" s="136">
        <f t="shared" si="39"/>
        <v>12</v>
      </c>
      <c r="E577" s="136">
        <f t="shared" si="40"/>
        <v>22</v>
      </c>
      <c r="F577" s="128" t="s">
        <v>19</v>
      </c>
      <c r="G577" s="128" t="str">
        <f>VLOOKUP(source[[#This Row],[lending_product_transform]],[3]Mapping!$B$4:$C$37,2,0)</f>
        <v>[VDS] - Payday</v>
      </c>
      <c r="H577" s="128" t="str">
        <f>VLOOKUP(source[[#This Row],[lending_product_transform]],[3]Mapping!$B$3:$D$37,3,0)</f>
        <v>payday</v>
      </c>
      <c r="I577" s="135">
        <v>2144000000</v>
      </c>
    </row>
    <row r="578" spans="1:9" x14ac:dyDescent="0.2">
      <c r="A578" s="134">
        <v>45373</v>
      </c>
      <c r="B578" s="135">
        <f>YEAR(source[[#This Row],[report_date]])</f>
        <v>2024</v>
      </c>
      <c r="C578" s="136">
        <v>3</v>
      </c>
      <c r="D578" s="136">
        <f t="shared" si="39"/>
        <v>12</v>
      </c>
      <c r="E578" s="136">
        <f t="shared" si="40"/>
        <v>22</v>
      </c>
      <c r="F578" s="128" t="s">
        <v>65</v>
      </c>
      <c r="G578" s="128" t="str">
        <f>VLOOKUP(source[[#This Row],[lending_product_transform]],[3]Mapping!$B$4:$C$37,2,0)</f>
        <v>[BE] - Cashloan</v>
      </c>
      <c r="H578" s="128" t="str">
        <f>VLOOKUP(source[[#This Row],[lending_product_transform]],[3]Mapping!$B$3:$D$37,3,0)</f>
        <v>cashloan</v>
      </c>
      <c r="I578" s="135">
        <v>209500000</v>
      </c>
    </row>
    <row r="579" spans="1:9" x14ac:dyDescent="0.2">
      <c r="A579" s="134">
        <v>45374</v>
      </c>
      <c r="B579" s="135">
        <f>YEAR(source[[#This Row],[report_date]])</f>
        <v>2024</v>
      </c>
      <c r="C579" s="136">
        <v>3</v>
      </c>
      <c r="D579" s="136">
        <f t="shared" ref="D579:D642" si="41">WEEKNUM(A579,2)</f>
        <v>12</v>
      </c>
      <c r="E579" s="136">
        <f t="shared" ref="E579:E642" si="42">DAY(A579)</f>
        <v>23</v>
      </c>
      <c r="F579" s="128" t="s">
        <v>67</v>
      </c>
      <c r="G579" s="128" t="str">
        <f>VLOOKUP(source[[#This Row],[lending_product_transform]],[3]Mapping!$B$4:$C$37,2,0)</f>
        <v>[Cake] - Overdraft</v>
      </c>
      <c r="H579" s="128" t="str">
        <f>VLOOKUP(source[[#This Row],[lending_product_transform]],[3]Mapping!$B$3:$D$37,3,0)</f>
        <v>overdraft</v>
      </c>
      <c r="I579" s="135">
        <v>1643105261</v>
      </c>
    </row>
    <row r="580" spans="1:9" x14ac:dyDescent="0.2">
      <c r="A580" s="134">
        <v>45374</v>
      </c>
      <c r="B580" s="135">
        <f>YEAR(source[[#This Row],[report_date]])</f>
        <v>2024</v>
      </c>
      <c r="C580" s="136">
        <v>3</v>
      </c>
      <c r="D580" s="136">
        <f t="shared" si="41"/>
        <v>12</v>
      </c>
      <c r="E580" s="136">
        <f t="shared" si="42"/>
        <v>23</v>
      </c>
      <c r="F580" s="128" t="s">
        <v>61</v>
      </c>
      <c r="G580" s="128" t="str">
        <f>VLOOKUP(source[[#This Row],[lending_product_transform]],[3]Mapping!$B$4:$C$37,2,0)</f>
        <v>[VDS] - Payroll Payday</v>
      </c>
      <c r="H580" s="128" t="str">
        <f>VLOOKUP(source[[#This Row],[lending_product_transform]],[3]Mapping!$B$3:$D$37,3,0)</f>
        <v>payday</v>
      </c>
      <c r="I580" s="135">
        <v>42000000</v>
      </c>
    </row>
    <row r="581" spans="1:9" x14ac:dyDescent="0.2">
      <c r="A581" s="134">
        <v>45374</v>
      </c>
      <c r="B581" s="135">
        <f>YEAR(source[[#This Row],[report_date]])</f>
        <v>2024</v>
      </c>
      <c r="C581" s="136">
        <v>3</v>
      </c>
      <c r="D581" s="136">
        <f t="shared" si="41"/>
        <v>12</v>
      </c>
      <c r="E581" s="136">
        <f t="shared" si="42"/>
        <v>23</v>
      </c>
      <c r="F581" s="128" t="s">
        <v>58</v>
      </c>
      <c r="G581" s="128" t="str">
        <f>VLOOKUP(source[[#This Row],[lending_product_transform]],[3]Mapping!$B$4:$C$37,2,0)</f>
        <v>[VDS] - Payroll Cashloan</v>
      </c>
      <c r="H581" s="128" t="str">
        <f>VLOOKUP(source[[#This Row],[lending_product_transform]],[3]Mapping!$B$3:$D$37,3,0)</f>
        <v>cashloan</v>
      </c>
      <c r="I581" s="135">
        <v>78750000</v>
      </c>
    </row>
    <row r="582" spans="1:9" x14ac:dyDescent="0.2">
      <c r="A582" s="134">
        <v>45374</v>
      </c>
      <c r="B582" s="135">
        <f>YEAR(source[[#This Row],[report_date]])</f>
        <v>2024</v>
      </c>
      <c r="C582" s="136">
        <v>3</v>
      </c>
      <c r="D582" s="136">
        <f t="shared" si="41"/>
        <v>12</v>
      </c>
      <c r="E582" s="136">
        <f t="shared" si="42"/>
        <v>23</v>
      </c>
      <c r="F582" s="128" t="s">
        <v>11</v>
      </c>
      <c r="G582" s="128" t="str">
        <f>VLOOKUP(source[[#This Row],[lending_product_transform]],[3]Mapping!$B$4:$C$37,2,0)</f>
        <v>[VDS] - Cashloan</v>
      </c>
      <c r="H582" s="128" t="str">
        <f>VLOOKUP(source[[#This Row],[lending_product_transform]],[3]Mapping!$B$3:$D$37,3,0)</f>
        <v>cashloan</v>
      </c>
      <c r="I582" s="135">
        <v>1514420000</v>
      </c>
    </row>
    <row r="583" spans="1:9" x14ac:dyDescent="0.2">
      <c r="A583" s="134">
        <v>45374</v>
      </c>
      <c r="B583" s="135">
        <f>YEAR(source[[#This Row],[report_date]])</f>
        <v>2024</v>
      </c>
      <c r="C583" s="136">
        <v>3</v>
      </c>
      <c r="D583" s="136">
        <f t="shared" si="41"/>
        <v>12</v>
      </c>
      <c r="E583" s="136">
        <f t="shared" si="42"/>
        <v>23</v>
      </c>
      <c r="F583" s="128" t="s">
        <v>62</v>
      </c>
      <c r="G583" s="128" t="str">
        <f>VLOOKUP(source[[#This Row],[lending_product_transform]],[3]Mapping!$B$4:$C$37,2,0)</f>
        <v>[VDS] - Paylater</v>
      </c>
      <c r="H583" s="128" t="str">
        <f>VLOOKUP(source[[#This Row],[lending_product_transform]],[3]Mapping!$B$3:$D$37,3,0)</f>
        <v>paylater</v>
      </c>
      <c r="I583" s="135">
        <v>45356</v>
      </c>
    </row>
    <row r="584" spans="1:9" x14ac:dyDescent="0.2">
      <c r="A584" s="134">
        <v>45374</v>
      </c>
      <c r="B584" s="135">
        <f>YEAR(source[[#This Row],[report_date]])</f>
        <v>2024</v>
      </c>
      <c r="C584" s="136">
        <v>3</v>
      </c>
      <c r="D584" s="136">
        <f t="shared" si="41"/>
        <v>12</v>
      </c>
      <c r="E584" s="136">
        <f t="shared" si="42"/>
        <v>23</v>
      </c>
      <c r="F584" s="128" t="s">
        <v>65</v>
      </c>
      <c r="G584" s="128" t="str">
        <f>VLOOKUP(source[[#This Row],[lending_product_transform]],[3]Mapping!$B$4:$C$37,2,0)</f>
        <v>[BE] - Cashloan</v>
      </c>
      <c r="H584" s="128" t="str">
        <f>VLOOKUP(source[[#This Row],[lending_product_transform]],[3]Mapping!$B$3:$D$37,3,0)</f>
        <v>cashloan</v>
      </c>
      <c r="I584" s="135">
        <v>73500000</v>
      </c>
    </row>
    <row r="585" spans="1:9" x14ac:dyDescent="0.2">
      <c r="A585" s="134">
        <v>45374</v>
      </c>
      <c r="B585" s="135">
        <f>YEAR(source[[#This Row],[report_date]])</f>
        <v>2024</v>
      </c>
      <c r="C585" s="136">
        <v>3</v>
      </c>
      <c r="D585" s="136">
        <f t="shared" si="41"/>
        <v>12</v>
      </c>
      <c r="E585" s="136">
        <f t="shared" si="42"/>
        <v>23</v>
      </c>
      <c r="F585" s="128" t="s">
        <v>19</v>
      </c>
      <c r="G585" s="128" t="str">
        <f>VLOOKUP(source[[#This Row],[lending_product_transform]],[3]Mapping!$B$4:$C$37,2,0)</f>
        <v>[VDS] - Payday</v>
      </c>
      <c r="H585" s="128" t="str">
        <f>VLOOKUP(source[[#This Row],[lending_product_transform]],[3]Mapping!$B$3:$D$37,3,0)</f>
        <v>payday</v>
      </c>
      <c r="I585" s="135">
        <v>1749500000</v>
      </c>
    </row>
    <row r="586" spans="1:9" x14ac:dyDescent="0.2">
      <c r="A586" s="134">
        <v>45374</v>
      </c>
      <c r="B586" s="135">
        <f>YEAR(source[[#This Row],[report_date]])</f>
        <v>2024</v>
      </c>
      <c r="C586" s="136">
        <v>3</v>
      </c>
      <c r="D586" s="136">
        <f t="shared" si="41"/>
        <v>12</v>
      </c>
      <c r="E586" s="136">
        <f t="shared" si="42"/>
        <v>23</v>
      </c>
      <c r="F586" s="128" t="s">
        <v>56</v>
      </c>
      <c r="G586" s="128">
        <f>VLOOKUP(source[[#This Row],[lending_product_transform]],[3]Mapping!$B$4:$C$37,2,0)</f>
        <v>0</v>
      </c>
      <c r="H586" s="128">
        <f>VLOOKUP(source[[#This Row],[lending_product_transform]],[3]Mapping!$B$3:$D$37,3,0)</f>
        <v>0</v>
      </c>
      <c r="I586" s="135">
        <v>5101320617</v>
      </c>
    </row>
    <row r="587" spans="1:9" x14ac:dyDescent="0.2">
      <c r="A587" s="134">
        <v>45375</v>
      </c>
      <c r="B587" s="135">
        <f>YEAR(source[[#This Row],[report_date]])</f>
        <v>2024</v>
      </c>
      <c r="C587" s="136">
        <v>3</v>
      </c>
      <c r="D587" s="136">
        <f t="shared" si="41"/>
        <v>12</v>
      </c>
      <c r="E587" s="136">
        <f t="shared" si="42"/>
        <v>24</v>
      </c>
      <c r="F587" s="128" t="s">
        <v>19</v>
      </c>
      <c r="G587" s="128" t="str">
        <f>VLOOKUP(source[[#This Row],[lending_product_transform]],[3]Mapping!$B$4:$C$37,2,0)</f>
        <v>[VDS] - Payday</v>
      </c>
      <c r="H587" s="128" t="str">
        <f>VLOOKUP(source[[#This Row],[lending_product_transform]],[3]Mapping!$B$3:$D$37,3,0)</f>
        <v>payday</v>
      </c>
      <c r="I587" s="135">
        <v>1557000000</v>
      </c>
    </row>
    <row r="588" spans="1:9" x14ac:dyDescent="0.2">
      <c r="A588" s="134">
        <v>45375</v>
      </c>
      <c r="B588" s="135">
        <f>YEAR(source[[#This Row],[report_date]])</f>
        <v>2024</v>
      </c>
      <c r="C588" s="136">
        <v>3</v>
      </c>
      <c r="D588" s="136">
        <f t="shared" si="41"/>
        <v>12</v>
      </c>
      <c r="E588" s="136">
        <f t="shared" si="42"/>
        <v>24</v>
      </c>
      <c r="F588" s="128" t="s">
        <v>58</v>
      </c>
      <c r="G588" s="128" t="str">
        <f>VLOOKUP(source[[#This Row],[lending_product_transform]],[3]Mapping!$B$4:$C$37,2,0)</f>
        <v>[VDS] - Payroll Cashloan</v>
      </c>
      <c r="H588" s="128" t="str">
        <f>VLOOKUP(source[[#This Row],[lending_product_transform]],[3]Mapping!$B$3:$D$37,3,0)</f>
        <v>cashloan</v>
      </c>
      <c r="I588" s="135">
        <v>125500000</v>
      </c>
    </row>
    <row r="589" spans="1:9" x14ac:dyDescent="0.2">
      <c r="A589" s="134">
        <v>45375</v>
      </c>
      <c r="B589" s="135">
        <f>YEAR(source[[#This Row],[report_date]])</f>
        <v>2024</v>
      </c>
      <c r="C589" s="136">
        <v>3</v>
      </c>
      <c r="D589" s="136">
        <f t="shared" si="41"/>
        <v>12</v>
      </c>
      <c r="E589" s="136">
        <f t="shared" si="42"/>
        <v>24</v>
      </c>
      <c r="F589" s="128" t="s">
        <v>65</v>
      </c>
      <c r="G589" s="128" t="str">
        <f>VLOOKUP(source[[#This Row],[lending_product_transform]],[3]Mapping!$B$4:$C$37,2,0)</f>
        <v>[BE] - Cashloan</v>
      </c>
      <c r="H589" s="128" t="str">
        <f>VLOOKUP(source[[#This Row],[lending_product_transform]],[3]Mapping!$B$3:$D$37,3,0)</f>
        <v>cashloan</v>
      </c>
      <c r="I589" s="135">
        <v>108200000</v>
      </c>
    </row>
    <row r="590" spans="1:9" x14ac:dyDescent="0.2">
      <c r="A590" s="134">
        <v>45375</v>
      </c>
      <c r="B590" s="135">
        <f>YEAR(source[[#This Row],[report_date]])</f>
        <v>2024</v>
      </c>
      <c r="C590" s="136">
        <v>3</v>
      </c>
      <c r="D590" s="136">
        <f t="shared" si="41"/>
        <v>12</v>
      </c>
      <c r="E590" s="136">
        <f t="shared" si="42"/>
        <v>24</v>
      </c>
      <c r="F590" s="128" t="s">
        <v>62</v>
      </c>
      <c r="G590" s="128" t="str">
        <f>VLOOKUP(source[[#This Row],[lending_product_transform]],[3]Mapping!$B$4:$C$37,2,0)</f>
        <v>[VDS] - Paylater</v>
      </c>
      <c r="H590" s="128" t="str">
        <f>VLOOKUP(source[[#This Row],[lending_product_transform]],[3]Mapping!$B$3:$D$37,3,0)</f>
        <v>paylater</v>
      </c>
      <c r="I590" s="135">
        <v>0</v>
      </c>
    </row>
    <row r="591" spans="1:9" x14ac:dyDescent="0.2">
      <c r="A591" s="134">
        <v>45375</v>
      </c>
      <c r="B591" s="135">
        <f>YEAR(source[[#This Row],[report_date]])</f>
        <v>2024</v>
      </c>
      <c r="C591" s="136">
        <v>3</v>
      </c>
      <c r="D591" s="136">
        <f t="shared" si="41"/>
        <v>12</v>
      </c>
      <c r="E591" s="136">
        <f t="shared" si="42"/>
        <v>24</v>
      </c>
      <c r="F591" s="128" t="s">
        <v>61</v>
      </c>
      <c r="G591" s="128" t="str">
        <f>VLOOKUP(source[[#This Row],[lending_product_transform]],[3]Mapping!$B$4:$C$37,2,0)</f>
        <v>[VDS] - Payroll Payday</v>
      </c>
      <c r="H591" s="128" t="str">
        <f>VLOOKUP(source[[#This Row],[lending_product_transform]],[3]Mapping!$B$3:$D$37,3,0)</f>
        <v>payday</v>
      </c>
      <c r="I591" s="135">
        <v>37000000</v>
      </c>
    </row>
    <row r="592" spans="1:9" x14ac:dyDescent="0.2">
      <c r="A592" s="134">
        <v>45375</v>
      </c>
      <c r="B592" s="135">
        <f>YEAR(source[[#This Row],[report_date]])</f>
        <v>2024</v>
      </c>
      <c r="C592" s="136">
        <v>3</v>
      </c>
      <c r="D592" s="136">
        <f t="shared" si="41"/>
        <v>12</v>
      </c>
      <c r="E592" s="136">
        <f t="shared" si="42"/>
        <v>24</v>
      </c>
      <c r="F592" s="128" t="s">
        <v>56</v>
      </c>
      <c r="G592" s="128">
        <f>VLOOKUP(source[[#This Row],[lending_product_transform]],[3]Mapping!$B$4:$C$37,2,0)</f>
        <v>0</v>
      </c>
      <c r="H592" s="128">
        <f>VLOOKUP(source[[#This Row],[lending_product_transform]],[3]Mapping!$B$3:$D$37,3,0)</f>
        <v>0</v>
      </c>
      <c r="I592" s="135">
        <v>4836062027</v>
      </c>
    </row>
    <row r="593" spans="1:9" x14ac:dyDescent="0.2">
      <c r="A593" s="134">
        <v>45375</v>
      </c>
      <c r="B593" s="135">
        <f>YEAR(source[[#This Row],[report_date]])</f>
        <v>2024</v>
      </c>
      <c r="C593" s="136">
        <v>3</v>
      </c>
      <c r="D593" s="136">
        <f t="shared" si="41"/>
        <v>12</v>
      </c>
      <c r="E593" s="136">
        <f t="shared" si="42"/>
        <v>24</v>
      </c>
      <c r="F593" s="128" t="s">
        <v>11</v>
      </c>
      <c r="G593" s="128" t="str">
        <f>VLOOKUP(source[[#This Row],[lending_product_transform]],[3]Mapping!$B$4:$C$37,2,0)</f>
        <v>[VDS] - Cashloan</v>
      </c>
      <c r="H593" s="128" t="str">
        <f>VLOOKUP(source[[#This Row],[lending_product_transform]],[3]Mapping!$B$3:$D$37,3,0)</f>
        <v>cashloan</v>
      </c>
      <c r="I593" s="135">
        <v>1125010000</v>
      </c>
    </row>
    <row r="594" spans="1:9" x14ac:dyDescent="0.2">
      <c r="A594" s="134">
        <v>45375</v>
      </c>
      <c r="B594" s="135">
        <f>YEAR(source[[#This Row],[report_date]])</f>
        <v>2024</v>
      </c>
      <c r="C594" s="136">
        <v>3</v>
      </c>
      <c r="D594" s="136">
        <f t="shared" si="41"/>
        <v>12</v>
      </c>
      <c r="E594" s="136">
        <f t="shared" si="42"/>
        <v>24</v>
      </c>
      <c r="F594" s="128" t="s">
        <v>67</v>
      </c>
      <c r="G594" s="128" t="str">
        <f>VLOOKUP(source[[#This Row],[lending_product_transform]],[3]Mapping!$B$4:$C$37,2,0)</f>
        <v>[Cake] - Overdraft</v>
      </c>
      <c r="H594" s="128" t="str">
        <f>VLOOKUP(source[[#This Row],[lending_product_transform]],[3]Mapping!$B$3:$D$37,3,0)</f>
        <v>overdraft</v>
      </c>
      <c r="I594" s="135">
        <v>1883352027</v>
      </c>
    </row>
    <row r="595" spans="1:9" x14ac:dyDescent="0.2">
      <c r="A595" s="134">
        <v>45376</v>
      </c>
      <c r="B595" s="135">
        <f>YEAR(source[[#This Row],[report_date]])</f>
        <v>2024</v>
      </c>
      <c r="C595" s="136">
        <v>3</v>
      </c>
      <c r="D595" s="136">
        <f t="shared" si="41"/>
        <v>13</v>
      </c>
      <c r="E595" s="136">
        <f t="shared" si="42"/>
        <v>25</v>
      </c>
      <c r="F595" s="128" t="s">
        <v>62</v>
      </c>
      <c r="G595" s="128" t="str">
        <f>VLOOKUP(source[[#This Row],[lending_product_transform]],[3]Mapping!$B$4:$C$37,2,0)</f>
        <v>[VDS] - Paylater</v>
      </c>
      <c r="H595" s="128" t="str">
        <f>VLOOKUP(source[[#This Row],[lending_product_transform]],[3]Mapping!$B$3:$D$37,3,0)</f>
        <v>paylater</v>
      </c>
      <c r="I595" s="135">
        <v>71056</v>
      </c>
    </row>
    <row r="596" spans="1:9" x14ac:dyDescent="0.2">
      <c r="A596" s="134">
        <v>45376</v>
      </c>
      <c r="B596" s="135">
        <f>YEAR(source[[#This Row],[report_date]])</f>
        <v>2024</v>
      </c>
      <c r="C596" s="136">
        <v>3</v>
      </c>
      <c r="D596" s="136">
        <f t="shared" si="41"/>
        <v>13</v>
      </c>
      <c r="E596" s="136">
        <f t="shared" si="42"/>
        <v>25</v>
      </c>
      <c r="F596" s="128" t="s">
        <v>67</v>
      </c>
      <c r="G596" s="128" t="str">
        <f>VLOOKUP(source[[#This Row],[lending_product_transform]],[3]Mapping!$B$4:$C$37,2,0)</f>
        <v>[Cake] - Overdraft</v>
      </c>
      <c r="H596" s="128" t="str">
        <f>VLOOKUP(source[[#This Row],[lending_product_transform]],[3]Mapping!$B$3:$D$37,3,0)</f>
        <v>overdraft</v>
      </c>
      <c r="I596" s="135">
        <v>1666741556</v>
      </c>
    </row>
    <row r="597" spans="1:9" x14ac:dyDescent="0.2">
      <c r="A597" s="134">
        <v>45376</v>
      </c>
      <c r="B597" s="135">
        <f>YEAR(source[[#This Row],[report_date]])</f>
        <v>2024</v>
      </c>
      <c r="C597" s="136">
        <v>3</v>
      </c>
      <c r="D597" s="136">
        <f t="shared" si="41"/>
        <v>13</v>
      </c>
      <c r="E597" s="136">
        <f t="shared" si="42"/>
        <v>25</v>
      </c>
      <c r="F597" s="128" t="s">
        <v>61</v>
      </c>
      <c r="G597" s="128" t="str">
        <f>VLOOKUP(source[[#This Row],[lending_product_transform]],[3]Mapping!$B$4:$C$37,2,0)</f>
        <v>[VDS] - Payroll Payday</v>
      </c>
      <c r="H597" s="128" t="str">
        <f>VLOOKUP(source[[#This Row],[lending_product_transform]],[3]Mapping!$B$3:$D$37,3,0)</f>
        <v>payday</v>
      </c>
      <c r="I597" s="135">
        <v>69000000</v>
      </c>
    </row>
    <row r="598" spans="1:9" x14ac:dyDescent="0.2">
      <c r="A598" s="134">
        <v>45376</v>
      </c>
      <c r="B598" s="135">
        <f>YEAR(source[[#This Row],[report_date]])</f>
        <v>2024</v>
      </c>
      <c r="C598" s="136">
        <v>3</v>
      </c>
      <c r="D598" s="136">
        <f t="shared" si="41"/>
        <v>13</v>
      </c>
      <c r="E598" s="136">
        <f t="shared" si="42"/>
        <v>25</v>
      </c>
      <c r="F598" s="128" t="s">
        <v>58</v>
      </c>
      <c r="G598" s="128" t="str">
        <f>VLOOKUP(source[[#This Row],[lending_product_transform]],[3]Mapping!$B$4:$C$37,2,0)</f>
        <v>[VDS] - Payroll Cashloan</v>
      </c>
      <c r="H598" s="128" t="str">
        <f>VLOOKUP(source[[#This Row],[lending_product_transform]],[3]Mapping!$B$3:$D$37,3,0)</f>
        <v>cashloan</v>
      </c>
      <c r="I598" s="135">
        <v>99750000</v>
      </c>
    </row>
    <row r="599" spans="1:9" x14ac:dyDescent="0.2">
      <c r="A599" s="134">
        <v>45376</v>
      </c>
      <c r="B599" s="135">
        <f>YEAR(source[[#This Row],[report_date]])</f>
        <v>2024</v>
      </c>
      <c r="C599" s="136">
        <v>3</v>
      </c>
      <c r="D599" s="136">
        <f t="shared" si="41"/>
        <v>13</v>
      </c>
      <c r="E599" s="136">
        <f t="shared" si="42"/>
        <v>25</v>
      </c>
      <c r="F599" s="128" t="s">
        <v>56</v>
      </c>
      <c r="G599" s="128">
        <f>VLOOKUP(source[[#This Row],[lending_product_transform]],[3]Mapping!$B$4:$C$37,2,0)</f>
        <v>0</v>
      </c>
      <c r="H599" s="128">
        <f>VLOOKUP(source[[#This Row],[lending_product_transform]],[3]Mapping!$B$3:$D$37,3,0)</f>
        <v>0</v>
      </c>
      <c r="I599" s="135">
        <v>6029302612</v>
      </c>
    </row>
    <row r="600" spans="1:9" x14ac:dyDescent="0.2">
      <c r="A600" s="134">
        <v>45376</v>
      </c>
      <c r="B600" s="135">
        <f>YEAR(source[[#This Row],[report_date]])</f>
        <v>2024</v>
      </c>
      <c r="C600" s="136">
        <v>3</v>
      </c>
      <c r="D600" s="136">
        <f t="shared" si="41"/>
        <v>13</v>
      </c>
      <c r="E600" s="136">
        <f t="shared" si="42"/>
        <v>25</v>
      </c>
      <c r="F600" s="128" t="s">
        <v>19</v>
      </c>
      <c r="G600" s="128" t="str">
        <f>VLOOKUP(source[[#This Row],[lending_product_transform]],[3]Mapping!$B$4:$C$37,2,0)</f>
        <v>[VDS] - Payday</v>
      </c>
      <c r="H600" s="128" t="str">
        <f>VLOOKUP(source[[#This Row],[lending_product_transform]],[3]Mapping!$B$3:$D$37,3,0)</f>
        <v>payday</v>
      </c>
      <c r="I600" s="135">
        <v>2167000000</v>
      </c>
    </row>
    <row r="601" spans="1:9" x14ac:dyDescent="0.2">
      <c r="A601" s="134">
        <v>45376</v>
      </c>
      <c r="B601" s="135">
        <f>YEAR(source[[#This Row],[report_date]])</f>
        <v>2024</v>
      </c>
      <c r="C601" s="136">
        <v>3</v>
      </c>
      <c r="D601" s="136">
        <f t="shared" si="41"/>
        <v>13</v>
      </c>
      <c r="E601" s="136">
        <f t="shared" si="42"/>
        <v>25</v>
      </c>
      <c r="F601" s="128" t="s">
        <v>11</v>
      </c>
      <c r="G601" s="128" t="str">
        <f>VLOOKUP(source[[#This Row],[lending_product_transform]],[3]Mapping!$B$4:$C$37,2,0)</f>
        <v>[VDS] - Cashloan</v>
      </c>
      <c r="H601" s="128" t="str">
        <f>VLOOKUP(source[[#This Row],[lending_product_transform]],[3]Mapping!$B$3:$D$37,3,0)</f>
        <v>cashloan</v>
      </c>
      <c r="I601" s="135">
        <v>1801490000</v>
      </c>
    </row>
    <row r="602" spans="1:9" x14ac:dyDescent="0.2">
      <c r="A602" s="134">
        <v>45376</v>
      </c>
      <c r="B602" s="135">
        <f>YEAR(source[[#This Row],[report_date]])</f>
        <v>2024</v>
      </c>
      <c r="C602" s="136">
        <v>3</v>
      </c>
      <c r="D602" s="136">
        <f t="shared" si="41"/>
        <v>13</v>
      </c>
      <c r="E602" s="136">
        <f t="shared" si="42"/>
        <v>25</v>
      </c>
      <c r="F602" s="128" t="s">
        <v>65</v>
      </c>
      <c r="G602" s="128" t="str">
        <f>VLOOKUP(source[[#This Row],[lending_product_transform]],[3]Mapping!$B$4:$C$37,2,0)</f>
        <v>[BE] - Cashloan</v>
      </c>
      <c r="H602" s="128" t="str">
        <f>VLOOKUP(source[[#This Row],[lending_product_transform]],[3]Mapping!$B$3:$D$37,3,0)</f>
        <v>cashloan</v>
      </c>
      <c r="I602" s="135">
        <v>225250000</v>
      </c>
    </row>
    <row r="603" spans="1:9" x14ac:dyDescent="0.2">
      <c r="A603" s="134">
        <v>45377</v>
      </c>
      <c r="B603" s="135">
        <f>YEAR(source[[#This Row],[report_date]])</f>
        <v>2024</v>
      </c>
      <c r="C603" s="136">
        <v>3</v>
      </c>
      <c r="D603" s="136">
        <f t="shared" si="41"/>
        <v>13</v>
      </c>
      <c r="E603" s="136">
        <f t="shared" si="42"/>
        <v>26</v>
      </c>
      <c r="F603" s="128" t="s">
        <v>19</v>
      </c>
      <c r="G603" s="128" t="str">
        <f>VLOOKUP(source[[#This Row],[lending_product_transform]],[3]Mapping!$B$4:$C$37,2,0)</f>
        <v>[VDS] - Payday</v>
      </c>
      <c r="H603" s="128" t="str">
        <f>VLOOKUP(source[[#This Row],[lending_product_transform]],[3]Mapping!$B$3:$D$37,3,0)</f>
        <v>payday</v>
      </c>
      <c r="I603" s="135">
        <v>1892000000</v>
      </c>
    </row>
    <row r="604" spans="1:9" x14ac:dyDescent="0.2">
      <c r="A604" s="134">
        <v>45377</v>
      </c>
      <c r="B604" s="135">
        <f>YEAR(source[[#This Row],[report_date]])</f>
        <v>2024</v>
      </c>
      <c r="C604" s="136">
        <v>3</v>
      </c>
      <c r="D604" s="136">
        <f t="shared" si="41"/>
        <v>13</v>
      </c>
      <c r="E604" s="136">
        <f t="shared" si="42"/>
        <v>26</v>
      </c>
      <c r="F604" s="128" t="s">
        <v>65</v>
      </c>
      <c r="G604" s="128" t="str">
        <f>VLOOKUP(source[[#This Row],[lending_product_transform]],[3]Mapping!$B$4:$C$37,2,0)</f>
        <v>[BE] - Cashloan</v>
      </c>
      <c r="H604" s="128" t="str">
        <f>VLOOKUP(source[[#This Row],[lending_product_transform]],[3]Mapping!$B$3:$D$37,3,0)</f>
        <v>cashloan</v>
      </c>
      <c r="I604" s="135">
        <v>94500000</v>
      </c>
    </row>
    <row r="605" spans="1:9" x14ac:dyDescent="0.2">
      <c r="A605" s="134">
        <v>45377</v>
      </c>
      <c r="B605" s="135">
        <f>YEAR(source[[#This Row],[report_date]])</f>
        <v>2024</v>
      </c>
      <c r="C605" s="136">
        <v>3</v>
      </c>
      <c r="D605" s="136">
        <f t="shared" si="41"/>
        <v>13</v>
      </c>
      <c r="E605" s="136">
        <f t="shared" si="42"/>
        <v>26</v>
      </c>
      <c r="F605" s="128" t="s">
        <v>67</v>
      </c>
      <c r="G605" s="128" t="str">
        <f>VLOOKUP(source[[#This Row],[lending_product_transform]],[3]Mapping!$B$4:$C$37,2,0)</f>
        <v>[Cake] - Overdraft</v>
      </c>
      <c r="H605" s="128" t="str">
        <f>VLOOKUP(source[[#This Row],[lending_product_transform]],[3]Mapping!$B$3:$D$37,3,0)</f>
        <v>overdraft</v>
      </c>
      <c r="I605" s="135">
        <v>1908240123</v>
      </c>
    </row>
    <row r="606" spans="1:9" x14ac:dyDescent="0.2">
      <c r="A606" s="134">
        <v>45377</v>
      </c>
      <c r="B606" s="135">
        <f>YEAR(source[[#This Row],[report_date]])</f>
        <v>2024</v>
      </c>
      <c r="C606" s="136">
        <v>3</v>
      </c>
      <c r="D606" s="136">
        <f t="shared" si="41"/>
        <v>13</v>
      </c>
      <c r="E606" s="136">
        <f t="shared" si="42"/>
        <v>26</v>
      </c>
      <c r="F606" s="128" t="s">
        <v>61</v>
      </c>
      <c r="G606" s="128" t="str">
        <f>VLOOKUP(source[[#This Row],[lending_product_transform]],[3]Mapping!$B$4:$C$37,2,0)</f>
        <v>[VDS] - Payroll Payday</v>
      </c>
      <c r="H606" s="128" t="str">
        <f>VLOOKUP(source[[#This Row],[lending_product_transform]],[3]Mapping!$B$3:$D$37,3,0)</f>
        <v>payday</v>
      </c>
      <c r="I606" s="135">
        <v>28000000</v>
      </c>
    </row>
    <row r="607" spans="1:9" x14ac:dyDescent="0.2">
      <c r="A607" s="134">
        <v>45377</v>
      </c>
      <c r="B607" s="135">
        <f>YEAR(source[[#This Row],[report_date]])</f>
        <v>2024</v>
      </c>
      <c r="C607" s="136">
        <v>3</v>
      </c>
      <c r="D607" s="136">
        <f t="shared" si="41"/>
        <v>13</v>
      </c>
      <c r="E607" s="136">
        <f t="shared" si="42"/>
        <v>26</v>
      </c>
      <c r="F607" s="128" t="s">
        <v>56</v>
      </c>
      <c r="G607" s="128">
        <f>VLOOKUP(source[[#This Row],[lending_product_transform]],[3]Mapping!$B$4:$C$37,2,0)</f>
        <v>0</v>
      </c>
      <c r="H607" s="128">
        <f>VLOOKUP(source[[#This Row],[lending_product_transform]],[3]Mapping!$B$3:$D$37,3,0)</f>
        <v>0</v>
      </c>
      <c r="I607" s="135">
        <v>5770060123</v>
      </c>
    </row>
    <row r="608" spans="1:9" x14ac:dyDescent="0.2">
      <c r="A608" s="134">
        <v>45377</v>
      </c>
      <c r="B608" s="135">
        <f>YEAR(source[[#This Row],[report_date]])</f>
        <v>2024</v>
      </c>
      <c r="C608" s="136">
        <v>3</v>
      </c>
      <c r="D608" s="136">
        <f t="shared" si="41"/>
        <v>13</v>
      </c>
      <c r="E608" s="136">
        <f t="shared" si="42"/>
        <v>26</v>
      </c>
      <c r="F608" s="128" t="s">
        <v>58</v>
      </c>
      <c r="G608" s="128" t="str">
        <f>VLOOKUP(source[[#This Row],[lending_product_transform]],[3]Mapping!$B$4:$C$37,2,0)</f>
        <v>[VDS] - Payroll Cashloan</v>
      </c>
      <c r="H608" s="128" t="str">
        <f>VLOOKUP(source[[#This Row],[lending_product_transform]],[3]Mapping!$B$3:$D$37,3,0)</f>
        <v>cashloan</v>
      </c>
      <c r="I608" s="135">
        <v>63000000</v>
      </c>
    </row>
    <row r="609" spans="1:9" x14ac:dyDescent="0.2">
      <c r="A609" s="134">
        <v>45377</v>
      </c>
      <c r="B609" s="135">
        <f>YEAR(source[[#This Row],[report_date]])</f>
        <v>2024</v>
      </c>
      <c r="C609" s="136">
        <v>3</v>
      </c>
      <c r="D609" s="136">
        <f t="shared" si="41"/>
        <v>13</v>
      </c>
      <c r="E609" s="136">
        <f t="shared" si="42"/>
        <v>26</v>
      </c>
      <c r="F609" s="128" t="s">
        <v>62</v>
      </c>
      <c r="G609" s="128" t="str">
        <f>VLOOKUP(source[[#This Row],[lending_product_transform]],[3]Mapping!$B$4:$C$37,2,0)</f>
        <v>[VDS] - Paylater</v>
      </c>
      <c r="H609" s="128" t="str">
        <f>VLOOKUP(source[[#This Row],[lending_product_transform]],[3]Mapping!$B$3:$D$37,3,0)</f>
        <v>paylater</v>
      </c>
      <c r="I609" s="135">
        <v>0</v>
      </c>
    </row>
    <row r="610" spans="1:9" x14ac:dyDescent="0.2">
      <c r="A610" s="134">
        <v>45377</v>
      </c>
      <c r="B610" s="135">
        <f>YEAR(source[[#This Row],[report_date]])</f>
        <v>2024</v>
      </c>
      <c r="C610" s="136">
        <v>3</v>
      </c>
      <c r="D610" s="136">
        <f t="shared" si="41"/>
        <v>13</v>
      </c>
      <c r="E610" s="136">
        <f t="shared" si="42"/>
        <v>26</v>
      </c>
      <c r="F610" s="128" t="s">
        <v>11</v>
      </c>
      <c r="G610" s="128" t="str">
        <f>VLOOKUP(source[[#This Row],[lending_product_transform]],[3]Mapping!$B$4:$C$37,2,0)</f>
        <v>[VDS] - Cashloan</v>
      </c>
      <c r="H610" s="128" t="str">
        <f>VLOOKUP(source[[#This Row],[lending_product_transform]],[3]Mapping!$B$3:$D$37,3,0)</f>
        <v>cashloan</v>
      </c>
      <c r="I610" s="135">
        <v>1784320000</v>
      </c>
    </row>
    <row r="611" spans="1:9" x14ac:dyDescent="0.2">
      <c r="A611" s="134">
        <v>45378</v>
      </c>
      <c r="B611" s="135">
        <f>YEAR(source[[#This Row],[report_date]])</f>
        <v>2024</v>
      </c>
      <c r="C611" s="136">
        <v>3</v>
      </c>
      <c r="D611" s="136">
        <f t="shared" si="41"/>
        <v>13</v>
      </c>
      <c r="E611" s="136">
        <f t="shared" si="42"/>
        <v>27</v>
      </c>
      <c r="F611" s="128" t="s">
        <v>67</v>
      </c>
      <c r="G611" s="128" t="str">
        <f>VLOOKUP(source[[#This Row],[lending_product_transform]],[3]Mapping!$B$4:$C$37,2,0)</f>
        <v>[Cake] - Overdraft</v>
      </c>
      <c r="H611" s="128" t="str">
        <f>VLOOKUP(source[[#This Row],[lending_product_transform]],[3]Mapping!$B$3:$D$37,3,0)</f>
        <v>overdraft</v>
      </c>
      <c r="I611" s="135">
        <v>1892157279</v>
      </c>
    </row>
    <row r="612" spans="1:9" x14ac:dyDescent="0.2">
      <c r="A612" s="134">
        <v>45378</v>
      </c>
      <c r="B612" s="135">
        <f>YEAR(source[[#This Row],[report_date]])</f>
        <v>2024</v>
      </c>
      <c r="C612" s="136">
        <v>3</v>
      </c>
      <c r="D612" s="136">
        <f t="shared" si="41"/>
        <v>13</v>
      </c>
      <c r="E612" s="136">
        <f t="shared" si="42"/>
        <v>27</v>
      </c>
      <c r="F612" s="128" t="s">
        <v>61</v>
      </c>
      <c r="G612" s="128" t="str">
        <f>VLOOKUP(source[[#This Row],[lending_product_transform]],[3]Mapping!$B$4:$C$37,2,0)</f>
        <v>[VDS] - Payroll Payday</v>
      </c>
      <c r="H612" s="128" t="str">
        <f>VLOOKUP(source[[#This Row],[lending_product_transform]],[3]Mapping!$B$3:$D$37,3,0)</f>
        <v>payday</v>
      </c>
      <c r="I612" s="135">
        <v>41000000</v>
      </c>
    </row>
    <row r="613" spans="1:9" x14ac:dyDescent="0.2">
      <c r="A613" s="134">
        <v>45378</v>
      </c>
      <c r="B613" s="135">
        <f>YEAR(source[[#This Row],[report_date]])</f>
        <v>2024</v>
      </c>
      <c r="C613" s="136">
        <v>3</v>
      </c>
      <c r="D613" s="136">
        <f t="shared" si="41"/>
        <v>13</v>
      </c>
      <c r="E613" s="136">
        <f t="shared" si="42"/>
        <v>27</v>
      </c>
      <c r="F613" s="128" t="s">
        <v>11</v>
      </c>
      <c r="G613" s="128" t="str">
        <f>VLOOKUP(source[[#This Row],[lending_product_transform]],[3]Mapping!$B$4:$C$37,2,0)</f>
        <v>[VDS] - Cashloan</v>
      </c>
      <c r="H613" s="128" t="str">
        <f>VLOOKUP(source[[#This Row],[lending_product_transform]],[3]Mapping!$B$3:$D$37,3,0)</f>
        <v>cashloan</v>
      </c>
      <c r="I613" s="135">
        <v>1956130000</v>
      </c>
    </row>
    <row r="614" spans="1:9" x14ac:dyDescent="0.2">
      <c r="A614" s="134">
        <v>45378</v>
      </c>
      <c r="B614" s="135">
        <f>YEAR(source[[#This Row],[report_date]])</f>
        <v>2024</v>
      </c>
      <c r="C614" s="136">
        <v>3</v>
      </c>
      <c r="D614" s="136">
        <f t="shared" si="41"/>
        <v>13</v>
      </c>
      <c r="E614" s="136">
        <f t="shared" si="42"/>
        <v>27</v>
      </c>
      <c r="F614" s="128" t="s">
        <v>65</v>
      </c>
      <c r="G614" s="128" t="str">
        <f>VLOOKUP(source[[#This Row],[lending_product_transform]],[3]Mapping!$B$4:$C$37,2,0)</f>
        <v>[BE] - Cashloan</v>
      </c>
      <c r="H614" s="128" t="str">
        <f>VLOOKUP(source[[#This Row],[lending_product_transform]],[3]Mapping!$B$3:$D$37,3,0)</f>
        <v>cashloan</v>
      </c>
      <c r="I614" s="135">
        <v>136500000</v>
      </c>
    </row>
    <row r="615" spans="1:9" x14ac:dyDescent="0.2">
      <c r="A615" s="134">
        <v>45378</v>
      </c>
      <c r="B615" s="135">
        <f>YEAR(source[[#This Row],[report_date]])</f>
        <v>2024</v>
      </c>
      <c r="C615" s="136">
        <v>3</v>
      </c>
      <c r="D615" s="136">
        <f t="shared" si="41"/>
        <v>13</v>
      </c>
      <c r="E615" s="136">
        <f t="shared" si="42"/>
        <v>27</v>
      </c>
      <c r="F615" s="128" t="s">
        <v>58</v>
      </c>
      <c r="G615" s="128" t="str">
        <f>VLOOKUP(source[[#This Row],[lending_product_transform]],[3]Mapping!$B$4:$C$37,2,0)</f>
        <v>[VDS] - Payroll Cashloan</v>
      </c>
      <c r="H615" s="128" t="str">
        <f>VLOOKUP(source[[#This Row],[lending_product_transform]],[3]Mapping!$B$3:$D$37,3,0)</f>
        <v>cashloan</v>
      </c>
      <c r="I615" s="135">
        <v>94500000</v>
      </c>
    </row>
    <row r="616" spans="1:9" x14ac:dyDescent="0.2">
      <c r="A616" s="134">
        <v>45378</v>
      </c>
      <c r="B616" s="135">
        <f>YEAR(source[[#This Row],[report_date]])</f>
        <v>2024</v>
      </c>
      <c r="C616" s="136">
        <v>3</v>
      </c>
      <c r="D616" s="136">
        <f t="shared" si="41"/>
        <v>13</v>
      </c>
      <c r="E616" s="136">
        <f t="shared" si="42"/>
        <v>27</v>
      </c>
      <c r="F616" s="128" t="s">
        <v>56</v>
      </c>
      <c r="G616" s="128">
        <f>VLOOKUP(source[[#This Row],[lending_product_transform]],[3]Mapping!$B$4:$C$37,2,0)</f>
        <v>0</v>
      </c>
      <c r="H616" s="128">
        <f>VLOOKUP(source[[#This Row],[lending_product_transform]],[3]Mapping!$B$3:$D$37,3,0)</f>
        <v>0</v>
      </c>
      <c r="I616" s="135">
        <v>5897787279</v>
      </c>
    </row>
    <row r="617" spans="1:9" x14ac:dyDescent="0.2">
      <c r="A617" s="134">
        <v>45378</v>
      </c>
      <c r="B617" s="135">
        <f>YEAR(source[[#This Row],[report_date]])</f>
        <v>2024</v>
      </c>
      <c r="C617" s="136">
        <v>3</v>
      </c>
      <c r="D617" s="136">
        <f t="shared" si="41"/>
        <v>13</v>
      </c>
      <c r="E617" s="136">
        <f t="shared" si="42"/>
        <v>27</v>
      </c>
      <c r="F617" s="128" t="s">
        <v>19</v>
      </c>
      <c r="G617" s="128" t="str">
        <f>VLOOKUP(source[[#This Row],[lending_product_transform]],[3]Mapping!$B$4:$C$37,2,0)</f>
        <v>[VDS] - Payday</v>
      </c>
      <c r="H617" s="128" t="str">
        <f>VLOOKUP(source[[#This Row],[lending_product_transform]],[3]Mapping!$B$3:$D$37,3,0)</f>
        <v>payday</v>
      </c>
      <c r="I617" s="135">
        <v>1777500000</v>
      </c>
    </row>
    <row r="618" spans="1:9" x14ac:dyDescent="0.2">
      <c r="A618" s="134">
        <v>45378</v>
      </c>
      <c r="B618" s="135">
        <f>YEAR(source[[#This Row],[report_date]])</f>
        <v>2024</v>
      </c>
      <c r="C618" s="136">
        <v>3</v>
      </c>
      <c r="D618" s="136">
        <f t="shared" si="41"/>
        <v>13</v>
      </c>
      <c r="E618" s="136">
        <f t="shared" si="42"/>
        <v>27</v>
      </c>
      <c r="F618" s="128" t="s">
        <v>62</v>
      </c>
      <c r="G618" s="128" t="str">
        <f>VLOOKUP(source[[#This Row],[lending_product_transform]],[3]Mapping!$B$4:$C$37,2,0)</f>
        <v>[VDS] - Paylater</v>
      </c>
      <c r="H618" s="128" t="str">
        <f>VLOOKUP(source[[#This Row],[lending_product_transform]],[3]Mapping!$B$3:$D$37,3,0)</f>
        <v>paylater</v>
      </c>
      <c r="I618" s="135">
        <v>0</v>
      </c>
    </row>
    <row r="619" spans="1:9" x14ac:dyDescent="0.2">
      <c r="A619" s="134">
        <v>45379</v>
      </c>
      <c r="B619" s="135">
        <f>YEAR(source[[#This Row],[report_date]])</f>
        <v>2024</v>
      </c>
      <c r="C619" s="136">
        <v>3</v>
      </c>
      <c r="D619" s="136">
        <f t="shared" si="41"/>
        <v>13</v>
      </c>
      <c r="E619" s="136">
        <f t="shared" si="42"/>
        <v>28</v>
      </c>
      <c r="F619" s="128" t="s">
        <v>58</v>
      </c>
      <c r="G619" s="128" t="str">
        <f>VLOOKUP(source[[#This Row],[lending_product_transform]],[3]Mapping!$B$4:$C$37,2,0)</f>
        <v>[VDS] - Payroll Cashloan</v>
      </c>
      <c r="H619" s="128" t="str">
        <f>VLOOKUP(source[[#This Row],[lending_product_transform]],[3]Mapping!$B$3:$D$37,3,0)</f>
        <v>cashloan</v>
      </c>
      <c r="I619" s="135">
        <v>63000000</v>
      </c>
    </row>
    <row r="620" spans="1:9" x14ac:dyDescent="0.2">
      <c r="A620" s="134">
        <v>45379</v>
      </c>
      <c r="B620" s="135">
        <f>YEAR(source[[#This Row],[report_date]])</f>
        <v>2024</v>
      </c>
      <c r="C620" s="136">
        <v>3</v>
      </c>
      <c r="D620" s="136">
        <f t="shared" si="41"/>
        <v>13</v>
      </c>
      <c r="E620" s="136">
        <f t="shared" si="42"/>
        <v>28</v>
      </c>
      <c r="F620" s="128" t="s">
        <v>65</v>
      </c>
      <c r="G620" s="128" t="str">
        <f>VLOOKUP(source[[#This Row],[lending_product_transform]],[3]Mapping!$B$4:$C$37,2,0)</f>
        <v>[BE] - Cashloan</v>
      </c>
      <c r="H620" s="128" t="str">
        <f>VLOOKUP(source[[#This Row],[lending_product_transform]],[3]Mapping!$B$3:$D$37,3,0)</f>
        <v>cashloan</v>
      </c>
      <c r="I620" s="135">
        <v>96600000</v>
      </c>
    </row>
    <row r="621" spans="1:9" x14ac:dyDescent="0.2">
      <c r="A621" s="134">
        <v>45379</v>
      </c>
      <c r="B621" s="135">
        <f>YEAR(source[[#This Row],[report_date]])</f>
        <v>2024</v>
      </c>
      <c r="C621" s="136">
        <v>3</v>
      </c>
      <c r="D621" s="136">
        <f t="shared" si="41"/>
        <v>13</v>
      </c>
      <c r="E621" s="136">
        <f t="shared" si="42"/>
        <v>28</v>
      </c>
      <c r="F621" s="128" t="s">
        <v>11</v>
      </c>
      <c r="G621" s="128" t="str">
        <f>VLOOKUP(source[[#This Row],[lending_product_transform]],[3]Mapping!$B$4:$C$37,2,0)</f>
        <v>[VDS] - Cashloan</v>
      </c>
      <c r="H621" s="128" t="str">
        <f>VLOOKUP(source[[#This Row],[lending_product_transform]],[3]Mapping!$B$3:$D$37,3,0)</f>
        <v>cashloan</v>
      </c>
      <c r="I621" s="135">
        <v>1591320000</v>
      </c>
    </row>
    <row r="622" spans="1:9" x14ac:dyDescent="0.2">
      <c r="A622" s="134">
        <v>45379</v>
      </c>
      <c r="B622" s="135">
        <f>YEAR(source[[#This Row],[report_date]])</f>
        <v>2024</v>
      </c>
      <c r="C622" s="136">
        <v>3</v>
      </c>
      <c r="D622" s="136">
        <f t="shared" si="41"/>
        <v>13</v>
      </c>
      <c r="E622" s="136">
        <f t="shared" si="42"/>
        <v>28</v>
      </c>
      <c r="F622" s="128" t="s">
        <v>67</v>
      </c>
      <c r="G622" s="128" t="str">
        <f>VLOOKUP(source[[#This Row],[lending_product_transform]],[3]Mapping!$B$4:$C$37,2,0)</f>
        <v>[Cake] - Overdraft</v>
      </c>
      <c r="H622" s="128" t="str">
        <f>VLOOKUP(source[[#This Row],[lending_product_transform]],[3]Mapping!$B$3:$D$37,3,0)</f>
        <v>overdraft</v>
      </c>
      <c r="I622" s="135">
        <v>1733341018</v>
      </c>
    </row>
    <row r="623" spans="1:9" x14ac:dyDescent="0.2">
      <c r="A623" s="134">
        <v>45379</v>
      </c>
      <c r="B623" s="135">
        <f>YEAR(source[[#This Row],[report_date]])</f>
        <v>2024</v>
      </c>
      <c r="C623" s="136">
        <v>3</v>
      </c>
      <c r="D623" s="136">
        <f t="shared" si="41"/>
        <v>13</v>
      </c>
      <c r="E623" s="136">
        <f t="shared" si="42"/>
        <v>28</v>
      </c>
      <c r="F623" s="128" t="s">
        <v>56</v>
      </c>
      <c r="G623" s="128">
        <f>VLOOKUP(source[[#This Row],[lending_product_transform]],[3]Mapping!$B$4:$C$37,2,0)</f>
        <v>0</v>
      </c>
      <c r="H623" s="128">
        <f>VLOOKUP(source[[#This Row],[lending_product_transform]],[3]Mapping!$B$3:$D$37,3,0)</f>
        <v>0</v>
      </c>
      <c r="I623" s="135">
        <v>5411266018</v>
      </c>
    </row>
    <row r="624" spans="1:9" x14ac:dyDescent="0.2">
      <c r="A624" s="134">
        <v>45379</v>
      </c>
      <c r="B624" s="135">
        <f>YEAR(source[[#This Row],[report_date]])</f>
        <v>2024</v>
      </c>
      <c r="C624" s="136">
        <v>3</v>
      </c>
      <c r="D624" s="136">
        <f t="shared" si="41"/>
        <v>13</v>
      </c>
      <c r="E624" s="136">
        <f t="shared" si="42"/>
        <v>28</v>
      </c>
      <c r="F624" s="128" t="s">
        <v>62</v>
      </c>
      <c r="G624" s="128" t="str">
        <f>VLOOKUP(source[[#This Row],[lending_product_transform]],[3]Mapping!$B$4:$C$37,2,0)</f>
        <v>[VDS] - Paylater</v>
      </c>
      <c r="H624" s="128" t="str">
        <f>VLOOKUP(source[[#This Row],[lending_product_transform]],[3]Mapping!$B$3:$D$37,3,0)</f>
        <v>paylater</v>
      </c>
      <c r="I624" s="135">
        <v>5000</v>
      </c>
    </row>
    <row r="625" spans="1:9" x14ac:dyDescent="0.2">
      <c r="A625" s="134">
        <v>45379</v>
      </c>
      <c r="B625" s="135">
        <f>YEAR(source[[#This Row],[report_date]])</f>
        <v>2024</v>
      </c>
      <c r="C625" s="136">
        <v>3</v>
      </c>
      <c r="D625" s="136">
        <f t="shared" si="41"/>
        <v>13</v>
      </c>
      <c r="E625" s="136">
        <f t="shared" si="42"/>
        <v>28</v>
      </c>
      <c r="F625" s="128" t="s">
        <v>61</v>
      </c>
      <c r="G625" s="128" t="str">
        <f>VLOOKUP(source[[#This Row],[lending_product_transform]],[3]Mapping!$B$4:$C$37,2,0)</f>
        <v>[VDS] - Payroll Payday</v>
      </c>
      <c r="H625" s="128" t="str">
        <f>VLOOKUP(source[[#This Row],[lending_product_transform]],[3]Mapping!$B$3:$D$37,3,0)</f>
        <v>payday</v>
      </c>
      <c r="I625" s="135">
        <v>48000000</v>
      </c>
    </row>
    <row r="626" spans="1:9" x14ac:dyDescent="0.2">
      <c r="A626" s="134">
        <v>45379</v>
      </c>
      <c r="B626" s="135">
        <f>YEAR(source[[#This Row],[report_date]])</f>
        <v>2024</v>
      </c>
      <c r="C626" s="136">
        <v>3</v>
      </c>
      <c r="D626" s="136">
        <f t="shared" si="41"/>
        <v>13</v>
      </c>
      <c r="E626" s="136">
        <f t="shared" si="42"/>
        <v>28</v>
      </c>
      <c r="F626" s="128" t="s">
        <v>19</v>
      </c>
      <c r="G626" s="128" t="str">
        <f>VLOOKUP(source[[#This Row],[lending_product_transform]],[3]Mapping!$B$4:$C$37,2,0)</f>
        <v>[VDS] - Payday</v>
      </c>
      <c r="H626" s="128" t="str">
        <f>VLOOKUP(source[[#This Row],[lending_product_transform]],[3]Mapping!$B$3:$D$37,3,0)</f>
        <v>payday</v>
      </c>
      <c r="I626" s="135">
        <v>1879000000</v>
      </c>
    </row>
    <row r="627" spans="1:9" x14ac:dyDescent="0.2">
      <c r="A627" s="134">
        <v>45380</v>
      </c>
      <c r="B627" s="135">
        <f>YEAR(source[[#This Row],[report_date]])</f>
        <v>2024</v>
      </c>
      <c r="C627" s="136">
        <v>3</v>
      </c>
      <c r="D627" s="136">
        <f t="shared" si="41"/>
        <v>13</v>
      </c>
      <c r="E627" s="136">
        <f t="shared" si="42"/>
        <v>29</v>
      </c>
      <c r="F627" s="128" t="s">
        <v>62</v>
      </c>
      <c r="G627" s="128" t="str">
        <f>VLOOKUP(source[[#This Row],[lending_product_transform]],[3]Mapping!$B$4:$C$37,2,0)</f>
        <v>[VDS] - Paylater</v>
      </c>
      <c r="H627" s="128" t="str">
        <f>VLOOKUP(source[[#This Row],[lending_product_transform]],[3]Mapping!$B$3:$D$37,3,0)</f>
        <v>paylater</v>
      </c>
      <c r="I627" s="135">
        <v>730689</v>
      </c>
    </row>
    <row r="628" spans="1:9" x14ac:dyDescent="0.2">
      <c r="A628" s="134">
        <v>45380</v>
      </c>
      <c r="B628" s="135">
        <f>YEAR(source[[#This Row],[report_date]])</f>
        <v>2024</v>
      </c>
      <c r="C628" s="136">
        <v>3</v>
      </c>
      <c r="D628" s="136">
        <f t="shared" si="41"/>
        <v>13</v>
      </c>
      <c r="E628" s="136">
        <f t="shared" si="42"/>
        <v>29</v>
      </c>
      <c r="F628" s="128" t="s">
        <v>61</v>
      </c>
      <c r="G628" s="128" t="str">
        <f>VLOOKUP(source[[#This Row],[lending_product_transform]],[3]Mapping!$B$4:$C$37,2,0)</f>
        <v>[VDS] - Payroll Payday</v>
      </c>
      <c r="H628" s="128" t="str">
        <f>VLOOKUP(source[[#This Row],[lending_product_transform]],[3]Mapping!$B$3:$D$37,3,0)</f>
        <v>payday</v>
      </c>
      <c r="I628" s="135">
        <v>38000000</v>
      </c>
    </row>
    <row r="629" spans="1:9" x14ac:dyDescent="0.2">
      <c r="A629" s="134">
        <v>45380</v>
      </c>
      <c r="B629" s="135">
        <f>YEAR(source[[#This Row],[report_date]])</f>
        <v>2024</v>
      </c>
      <c r="C629" s="136">
        <v>3</v>
      </c>
      <c r="D629" s="136">
        <f t="shared" si="41"/>
        <v>13</v>
      </c>
      <c r="E629" s="136">
        <f t="shared" si="42"/>
        <v>29</v>
      </c>
      <c r="F629" s="128" t="s">
        <v>56</v>
      </c>
      <c r="G629" s="128">
        <f>VLOOKUP(source[[#This Row],[lending_product_transform]],[3]Mapping!$B$4:$C$37,2,0)</f>
        <v>0</v>
      </c>
      <c r="H629" s="128">
        <f>VLOOKUP(source[[#This Row],[lending_product_transform]],[3]Mapping!$B$3:$D$37,3,0)</f>
        <v>0</v>
      </c>
      <c r="I629" s="135">
        <v>6303437639</v>
      </c>
    </row>
    <row r="630" spans="1:9" x14ac:dyDescent="0.2">
      <c r="A630" s="134">
        <v>45380</v>
      </c>
      <c r="B630" s="135">
        <f>YEAR(source[[#This Row],[report_date]])</f>
        <v>2024</v>
      </c>
      <c r="C630" s="136">
        <v>3</v>
      </c>
      <c r="D630" s="136">
        <f t="shared" si="41"/>
        <v>13</v>
      </c>
      <c r="E630" s="136">
        <f t="shared" si="42"/>
        <v>29</v>
      </c>
      <c r="F630" s="128" t="s">
        <v>67</v>
      </c>
      <c r="G630" s="128" t="str">
        <f>VLOOKUP(source[[#This Row],[lending_product_transform]],[3]Mapping!$B$4:$C$37,2,0)</f>
        <v>[Cake] - Overdraft</v>
      </c>
      <c r="H630" s="128" t="str">
        <f>VLOOKUP(source[[#This Row],[lending_product_transform]],[3]Mapping!$B$3:$D$37,3,0)</f>
        <v>overdraft</v>
      </c>
      <c r="I630" s="135">
        <v>2258666950</v>
      </c>
    </row>
    <row r="631" spans="1:9" x14ac:dyDescent="0.2">
      <c r="A631" s="134">
        <v>45380</v>
      </c>
      <c r="B631" s="135">
        <f>YEAR(source[[#This Row],[report_date]])</f>
        <v>2024</v>
      </c>
      <c r="C631" s="136">
        <v>3</v>
      </c>
      <c r="D631" s="136">
        <f t="shared" si="41"/>
        <v>13</v>
      </c>
      <c r="E631" s="136">
        <f t="shared" si="42"/>
        <v>29</v>
      </c>
      <c r="F631" s="128" t="s">
        <v>58</v>
      </c>
      <c r="G631" s="128" t="str">
        <f>VLOOKUP(source[[#This Row],[lending_product_transform]],[3]Mapping!$B$4:$C$37,2,0)</f>
        <v>[VDS] - Payroll Cashloan</v>
      </c>
      <c r="H631" s="128" t="str">
        <f>VLOOKUP(source[[#This Row],[lending_product_transform]],[3]Mapping!$B$3:$D$37,3,0)</f>
        <v>cashloan</v>
      </c>
      <c r="I631" s="135">
        <v>21000000</v>
      </c>
    </row>
    <row r="632" spans="1:9" x14ac:dyDescent="0.2">
      <c r="A632" s="134">
        <v>45380</v>
      </c>
      <c r="B632" s="135">
        <f>YEAR(source[[#This Row],[report_date]])</f>
        <v>2024</v>
      </c>
      <c r="C632" s="136">
        <v>3</v>
      </c>
      <c r="D632" s="136">
        <f t="shared" si="41"/>
        <v>13</v>
      </c>
      <c r="E632" s="136">
        <f t="shared" si="42"/>
        <v>29</v>
      </c>
      <c r="F632" s="128" t="s">
        <v>19</v>
      </c>
      <c r="G632" s="128" t="str">
        <f>VLOOKUP(source[[#This Row],[lending_product_transform]],[3]Mapping!$B$4:$C$37,2,0)</f>
        <v>[VDS] - Payday</v>
      </c>
      <c r="H632" s="128" t="str">
        <f>VLOOKUP(source[[#This Row],[lending_product_transform]],[3]Mapping!$B$3:$D$37,3,0)</f>
        <v>payday</v>
      </c>
      <c r="I632" s="135">
        <v>2088000000</v>
      </c>
    </row>
    <row r="633" spans="1:9" x14ac:dyDescent="0.2">
      <c r="A633" s="134">
        <v>45380</v>
      </c>
      <c r="B633" s="135">
        <f>YEAR(source[[#This Row],[report_date]])</f>
        <v>2024</v>
      </c>
      <c r="C633" s="136">
        <v>3</v>
      </c>
      <c r="D633" s="136">
        <f t="shared" si="41"/>
        <v>13</v>
      </c>
      <c r="E633" s="136">
        <f t="shared" si="42"/>
        <v>29</v>
      </c>
      <c r="F633" s="128" t="s">
        <v>11</v>
      </c>
      <c r="G633" s="128" t="str">
        <f>VLOOKUP(source[[#This Row],[lending_product_transform]],[3]Mapping!$B$4:$C$37,2,0)</f>
        <v>[VDS] - Cashloan</v>
      </c>
      <c r="H633" s="128" t="str">
        <f>VLOOKUP(source[[#This Row],[lending_product_transform]],[3]Mapping!$B$3:$D$37,3,0)</f>
        <v>cashloan</v>
      </c>
      <c r="I633" s="135">
        <v>1673390000</v>
      </c>
    </row>
    <row r="634" spans="1:9" x14ac:dyDescent="0.2">
      <c r="A634" s="134">
        <v>45380</v>
      </c>
      <c r="B634" s="135">
        <f>YEAR(source[[#This Row],[report_date]])</f>
        <v>2024</v>
      </c>
      <c r="C634" s="136">
        <v>3</v>
      </c>
      <c r="D634" s="136">
        <f t="shared" si="41"/>
        <v>13</v>
      </c>
      <c r="E634" s="136">
        <f t="shared" si="42"/>
        <v>29</v>
      </c>
      <c r="F634" s="128" t="s">
        <v>65</v>
      </c>
      <c r="G634" s="128" t="str">
        <f>VLOOKUP(source[[#This Row],[lending_product_transform]],[3]Mapping!$B$4:$C$37,2,0)</f>
        <v>[BE] - Cashloan</v>
      </c>
      <c r="H634" s="128" t="str">
        <f>VLOOKUP(source[[#This Row],[lending_product_transform]],[3]Mapping!$B$3:$D$37,3,0)</f>
        <v>cashloan</v>
      </c>
      <c r="I634" s="135">
        <v>223650000</v>
      </c>
    </row>
    <row r="635" spans="1:9" x14ac:dyDescent="0.2">
      <c r="A635" s="134">
        <v>45381</v>
      </c>
      <c r="B635" s="135">
        <f>YEAR(source[[#This Row],[report_date]])</f>
        <v>2024</v>
      </c>
      <c r="C635" s="136">
        <v>3</v>
      </c>
      <c r="D635" s="136">
        <f t="shared" si="41"/>
        <v>13</v>
      </c>
      <c r="E635" s="136">
        <f t="shared" si="42"/>
        <v>30</v>
      </c>
      <c r="F635" s="128" t="s">
        <v>67</v>
      </c>
      <c r="G635" s="128" t="str">
        <f>VLOOKUP(source[[#This Row],[lending_product_transform]],[3]Mapping!$B$4:$C$37,2,0)</f>
        <v>[Cake] - Overdraft</v>
      </c>
      <c r="H635" s="128" t="str">
        <f>VLOOKUP(source[[#This Row],[lending_product_transform]],[3]Mapping!$B$3:$D$37,3,0)</f>
        <v>overdraft</v>
      </c>
      <c r="I635" s="135">
        <v>1741872390</v>
      </c>
    </row>
    <row r="636" spans="1:9" x14ac:dyDescent="0.2">
      <c r="A636" s="134">
        <v>45381</v>
      </c>
      <c r="B636" s="135">
        <f>YEAR(source[[#This Row],[report_date]])</f>
        <v>2024</v>
      </c>
      <c r="C636" s="136">
        <v>3</v>
      </c>
      <c r="D636" s="136">
        <f t="shared" si="41"/>
        <v>13</v>
      </c>
      <c r="E636" s="136">
        <f t="shared" si="42"/>
        <v>30</v>
      </c>
      <c r="F636" s="128" t="s">
        <v>62</v>
      </c>
      <c r="G636" s="128" t="str">
        <f>VLOOKUP(source[[#This Row],[lending_product_transform]],[3]Mapping!$B$4:$C$37,2,0)</f>
        <v>[VDS] - Paylater</v>
      </c>
      <c r="H636" s="128" t="str">
        <f>VLOOKUP(source[[#This Row],[lending_product_transform]],[3]Mapping!$B$3:$D$37,3,0)</f>
        <v>paylater</v>
      </c>
      <c r="I636" s="135">
        <v>0</v>
      </c>
    </row>
    <row r="637" spans="1:9" x14ac:dyDescent="0.2">
      <c r="A637" s="134">
        <v>45381</v>
      </c>
      <c r="B637" s="135">
        <f>YEAR(source[[#This Row],[report_date]])</f>
        <v>2024</v>
      </c>
      <c r="C637" s="136">
        <v>3</v>
      </c>
      <c r="D637" s="136">
        <f t="shared" si="41"/>
        <v>13</v>
      </c>
      <c r="E637" s="136">
        <f t="shared" si="42"/>
        <v>30</v>
      </c>
      <c r="F637" s="128" t="s">
        <v>58</v>
      </c>
      <c r="G637" s="128" t="str">
        <f>VLOOKUP(source[[#This Row],[lending_product_transform]],[3]Mapping!$B$4:$C$37,2,0)</f>
        <v>[VDS] - Payroll Cashloan</v>
      </c>
      <c r="H637" s="128" t="str">
        <f>VLOOKUP(source[[#This Row],[lending_product_transform]],[3]Mapping!$B$3:$D$37,3,0)</f>
        <v>cashloan</v>
      </c>
      <c r="I637" s="135">
        <v>83000000</v>
      </c>
    </row>
    <row r="638" spans="1:9" x14ac:dyDescent="0.2">
      <c r="A638" s="134">
        <v>45381</v>
      </c>
      <c r="B638" s="135">
        <f>YEAR(source[[#This Row],[report_date]])</f>
        <v>2024</v>
      </c>
      <c r="C638" s="136">
        <v>3</v>
      </c>
      <c r="D638" s="136">
        <f t="shared" si="41"/>
        <v>13</v>
      </c>
      <c r="E638" s="136">
        <f t="shared" si="42"/>
        <v>30</v>
      </c>
      <c r="F638" s="128" t="s">
        <v>11</v>
      </c>
      <c r="G638" s="128" t="str">
        <f>VLOOKUP(source[[#This Row],[lending_product_transform]],[3]Mapping!$B$4:$C$37,2,0)</f>
        <v>[VDS] - Cashloan</v>
      </c>
      <c r="H638" s="128" t="str">
        <f>VLOOKUP(source[[#This Row],[lending_product_transform]],[3]Mapping!$B$3:$D$37,3,0)</f>
        <v>cashloan</v>
      </c>
      <c r="I638" s="135">
        <v>1433850000</v>
      </c>
    </row>
    <row r="639" spans="1:9" x14ac:dyDescent="0.2">
      <c r="A639" s="134">
        <v>45381</v>
      </c>
      <c r="B639" s="135">
        <f>YEAR(source[[#This Row],[report_date]])</f>
        <v>2024</v>
      </c>
      <c r="C639" s="136">
        <v>3</v>
      </c>
      <c r="D639" s="136">
        <f t="shared" si="41"/>
        <v>13</v>
      </c>
      <c r="E639" s="136">
        <f t="shared" si="42"/>
        <v>30</v>
      </c>
      <c r="F639" s="128" t="s">
        <v>61</v>
      </c>
      <c r="G639" s="128" t="str">
        <f>VLOOKUP(source[[#This Row],[lending_product_transform]],[3]Mapping!$B$4:$C$37,2,0)</f>
        <v>[VDS] - Payroll Payday</v>
      </c>
      <c r="H639" s="128" t="str">
        <f>VLOOKUP(source[[#This Row],[lending_product_transform]],[3]Mapping!$B$3:$D$37,3,0)</f>
        <v>payday</v>
      </c>
      <c r="I639" s="135">
        <v>10000000</v>
      </c>
    </row>
    <row r="640" spans="1:9" x14ac:dyDescent="0.2">
      <c r="A640" s="134">
        <v>45381</v>
      </c>
      <c r="B640" s="135">
        <f>YEAR(source[[#This Row],[report_date]])</f>
        <v>2024</v>
      </c>
      <c r="C640" s="136">
        <v>3</v>
      </c>
      <c r="D640" s="136">
        <f t="shared" si="41"/>
        <v>13</v>
      </c>
      <c r="E640" s="136">
        <f t="shared" si="42"/>
        <v>30</v>
      </c>
      <c r="F640" s="128" t="s">
        <v>65</v>
      </c>
      <c r="G640" s="128" t="str">
        <f>VLOOKUP(source[[#This Row],[lending_product_transform]],[3]Mapping!$B$4:$C$37,2,0)</f>
        <v>[BE] - Cashloan</v>
      </c>
      <c r="H640" s="128" t="str">
        <f>VLOOKUP(source[[#This Row],[lending_product_transform]],[3]Mapping!$B$3:$D$37,3,0)</f>
        <v>cashloan</v>
      </c>
      <c r="I640" s="135">
        <v>130250000</v>
      </c>
    </row>
    <row r="641" spans="1:9" x14ac:dyDescent="0.2">
      <c r="A641" s="134">
        <v>45381</v>
      </c>
      <c r="B641" s="135">
        <f>YEAR(source[[#This Row],[report_date]])</f>
        <v>2024</v>
      </c>
      <c r="C641" s="136">
        <v>3</v>
      </c>
      <c r="D641" s="136">
        <f t="shared" si="41"/>
        <v>13</v>
      </c>
      <c r="E641" s="136">
        <f t="shared" si="42"/>
        <v>30</v>
      </c>
      <c r="F641" s="128" t="s">
        <v>19</v>
      </c>
      <c r="G641" s="128" t="str">
        <f>VLOOKUP(source[[#This Row],[lending_product_transform]],[3]Mapping!$B$4:$C$37,2,0)</f>
        <v>[VDS] - Payday</v>
      </c>
      <c r="H641" s="128" t="str">
        <f>VLOOKUP(source[[#This Row],[lending_product_transform]],[3]Mapping!$B$3:$D$37,3,0)</f>
        <v>payday</v>
      </c>
      <c r="I641" s="135">
        <v>1924000000</v>
      </c>
    </row>
    <row r="642" spans="1:9" x14ac:dyDescent="0.2">
      <c r="A642" s="134">
        <v>45381</v>
      </c>
      <c r="B642" s="135">
        <f>YEAR(source[[#This Row],[report_date]])</f>
        <v>2024</v>
      </c>
      <c r="C642" s="136">
        <v>3</v>
      </c>
      <c r="D642" s="136">
        <f t="shared" si="41"/>
        <v>13</v>
      </c>
      <c r="E642" s="136">
        <f t="shared" si="42"/>
        <v>30</v>
      </c>
      <c r="F642" s="128" t="s">
        <v>56</v>
      </c>
      <c r="G642" s="128">
        <f>VLOOKUP(source[[#This Row],[lending_product_transform]],[3]Mapping!$B$4:$C$37,2,0)</f>
        <v>0</v>
      </c>
      <c r="H642" s="128">
        <f>VLOOKUP(source[[#This Row],[lending_product_transform]],[3]Mapping!$B$3:$D$37,3,0)</f>
        <v>0</v>
      </c>
      <c r="I642" s="135">
        <v>5322972390</v>
      </c>
    </row>
    <row r="643" spans="1:9" x14ac:dyDescent="0.2">
      <c r="A643" s="134">
        <v>45382</v>
      </c>
      <c r="B643" s="135">
        <f>YEAR(source[[#This Row],[report_date]])</f>
        <v>2024</v>
      </c>
      <c r="C643" s="136">
        <v>3</v>
      </c>
      <c r="D643" s="136">
        <f t="shared" ref="D643:D706" si="43">WEEKNUM(A643,2)</f>
        <v>13</v>
      </c>
      <c r="E643" s="136">
        <f t="shared" ref="E643:E706" si="44">DAY(A643)</f>
        <v>31</v>
      </c>
      <c r="F643" s="128" t="s">
        <v>58</v>
      </c>
      <c r="G643" s="128" t="str">
        <f>VLOOKUP(source[[#This Row],[lending_product_transform]],[3]Mapping!$B$4:$C$37,2,0)</f>
        <v>[VDS] - Payroll Cashloan</v>
      </c>
      <c r="H643" s="128" t="str">
        <f>VLOOKUP(source[[#This Row],[lending_product_transform]],[3]Mapping!$B$3:$D$37,3,0)</f>
        <v>cashloan</v>
      </c>
      <c r="I643" s="135">
        <v>115500000</v>
      </c>
    </row>
    <row r="644" spans="1:9" x14ac:dyDescent="0.2">
      <c r="A644" s="134">
        <v>45382</v>
      </c>
      <c r="B644" s="135">
        <f>YEAR(source[[#This Row],[report_date]])</f>
        <v>2024</v>
      </c>
      <c r="C644" s="136">
        <v>3</v>
      </c>
      <c r="D644" s="136">
        <f t="shared" si="43"/>
        <v>13</v>
      </c>
      <c r="E644" s="136">
        <f t="shared" si="44"/>
        <v>31</v>
      </c>
      <c r="F644" s="128" t="s">
        <v>11</v>
      </c>
      <c r="G644" s="128" t="str">
        <f>VLOOKUP(source[[#This Row],[lending_product_transform]],[3]Mapping!$B$4:$C$37,2,0)</f>
        <v>[VDS] - Cashloan</v>
      </c>
      <c r="H644" s="128" t="str">
        <f>VLOOKUP(source[[#This Row],[lending_product_transform]],[3]Mapping!$B$3:$D$37,3,0)</f>
        <v>cashloan</v>
      </c>
      <c r="I644" s="135">
        <v>1437610000</v>
      </c>
    </row>
    <row r="645" spans="1:9" x14ac:dyDescent="0.2">
      <c r="A645" s="134">
        <v>45382</v>
      </c>
      <c r="B645" s="135">
        <f>YEAR(source[[#This Row],[report_date]])</f>
        <v>2024</v>
      </c>
      <c r="C645" s="136">
        <v>3</v>
      </c>
      <c r="D645" s="136">
        <f t="shared" si="43"/>
        <v>13</v>
      </c>
      <c r="E645" s="136">
        <f t="shared" si="44"/>
        <v>31</v>
      </c>
      <c r="F645" s="128" t="s">
        <v>65</v>
      </c>
      <c r="G645" s="128" t="str">
        <f>VLOOKUP(source[[#This Row],[lending_product_transform]],[3]Mapping!$B$4:$C$37,2,0)</f>
        <v>[BE] - Cashloan</v>
      </c>
      <c r="H645" s="128" t="str">
        <f>VLOOKUP(source[[#This Row],[lending_product_transform]],[3]Mapping!$B$3:$D$37,3,0)</f>
        <v>cashloan</v>
      </c>
      <c r="I645" s="135">
        <v>42000000</v>
      </c>
    </row>
    <row r="646" spans="1:9" x14ac:dyDescent="0.2">
      <c r="A646" s="134">
        <v>45382</v>
      </c>
      <c r="B646" s="135">
        <f>YEAR(source[[#This Row],[report_date]])</f>
        <v>2024</v>
      </c>
      <c r="C646" s="136">
        <v>3</v>
      </c>
      <c r="D646" s="136">
        <f t="shared" si="43"/>
        <v>13</v>
      </c>
      <c r="E646" s="136">
        <f t="shared" si="44"/>
        <v>31</v>
      </c>
      <c r="F646" s="128" t="s">
        <v>67</v>
      </c>
      <c r="G646" s="128" t="str">
        <f>VLOOKUP(source[[#This Row],[lending_product_transform]],[3]Mapping!$B$4:$C$37,2,0)</f>
        <v>[Cake] - Overdraft</v>
      </c>
      <c r="H646" s="128" t="str">
        <f>VLOOKUP(source[[#This Row],[lending_product_transform]],[3]Mapping!$B$3:$D$37,3,0)</f>
        <v>overdraft</v>
      </c>
      <c r="I646" s="135">
        <v>1507177240</v>
      </c>
    </row>
    <row r="647" spans="1:9" x14ac:dyDescent="0.2">
      <c r="A647" s="134">
        <v>45382</v>
      </c>
      <c r="B647" s="135">
        <f>YEAR(source[[#This Row],[report_date]])</f>
        <v>2024</v>
      </c>
      <c r="C647" s="136">
        <v>3</v>
      </c>
      <c r="D647" s="136">
        <f t="shared" si="43"/>
        <v>13</v>
      </c>
      <c r="E647" s="136">
        <f t="shared" si="44"/>
        <v>31</v>
      </c>
      <c r="F647" s="128" t="s">
        <v>19</v>
      </c>
      <c r="G647" s="128" t="str">
        <f>VLOOKUP(source[[#This Row],[lending_product_transform]],[3]Mapping!$B$4:$C$37,2,0)</f>
        <v>[VDS] - Payday</v>
      </c>
      <c r="H647" s="128" t="str">
        <f>VLOOKUP(source[[#This Row],[lending_product_transform]],[3]Mapping!$B$3:$D$37,3,0)</f>
        <v>payday</v>
      </c>
      <c r="I647" s="135">
        <v>1730000000</v>
      </c>
    </row>
    <row r="648" spans="1:9" x14ac:dyDescent="0.2">
      <c r="A648" s="134">
        <v>45382</v>
      </c>
      <c r="B648" s="135">
        <f>YEAR(source[[#This Row],[report_date]])</f>
        <v>2024</v>
      </c>
      <c r="C648" s="136">
        <v>3</v>
      </c>
      <c r="D648" s="136">
        <f t="shared" si="43"/>
        <v>13</v>
      </c>
      <c r="E648" s="136">
        <f t="shared" si="44"/>
        <v>31</v>
      </c>
      <c r="F648" s="128" t="s">
        <v>56</v>
      </c>
      <c r="G648" s="128">
        <f>VLOOKUP(source[[#This Row],[lending_product_transform]],[3]Mapping!$B$4:$C$37,2,0)</f>
        <v>0</v>
      </c>
      <c r="H648" s="128">
        <f>VLOOKUP(source[[#This Row],[lending_product_transform]],[3]Mapping!$B$3:$D$37,3,0)</f>
        <v>0</v>
      </c>
      <c r="I648" s="135">
        <v>4877287240</v>
      </c>
    </row>
    <row r="649" spans="1:9" x14ac:dyDescent="0.2">
      <c r="A649" s="134">
        <v>45382</v>
      </c>
      <c r="B649" s="135">
        <f>YEAR(source[[#This Row],[report_date]])</f>
        <v>2024</v>
      </c>
      <c r="C649" s="136">
        <v>3</v>
      </c>
      <c r="D649" s="136">
        <f t="shared" si="43"/>
        <v>13</v>
      </c>
      <c r="E649" s="136">
        <f t="shared" si="44"/>
        <v>31</v>
      </c>
      <c r="F649" s="128" t="s">
        <v>62</v>
      </c>
      <c r="G649" s="128" t="str">
        <f>VLOOKUP(source[[#This Row],[lending_product_transform]],[3]Mapping!$B$4:$C$37,2,0)</f>
        <v>[VDS] - Paylater</v>
      </c>
      <c r="H649" s="128" t="str">
        <f>VLOOKUP(source[[#This Row],[lending_product_transform]],[3]Mapping!$B$3:$D$37,3,0)</f>
        <v>paylater</v>
      </c>
      <c r="I649" s="135">
        <v>0</v>
      </c>
    </row>
    <row r="650" spans="1:9" x14ac:dyDescent="0.2">
      <c r="A650" s="134">
        <v>45382</v>
      </c>
      <c r="B650" s="135">
        <f>YEAR(source[[#This Row],[report_date]])</f>
        <v>2024</v>
      </c>
      <c r="C650" s="136">
        <v>3</v>
      </c>
      <c r="D650" s="136">
        <f t="shared" si="43"/>
        <v>13</v>
      </c>
      <c r="E650" s="136">
        <f t="shared" si="44"/>
        <v>31</v>
      </c>
      <c r="F650" s="128" t="s">
        <v>61</v>
      </c>
      <c r="G650" s="128" t="str">
        <f>VLOOKUP(source[[#This Row],[lending_product_transform]],[3]Mapping!$B$4:$C$37,2,0)</f>
        <v>[VDS] - Payroll Payday</v>
      </c>
      <c r="H650" s="128" t="str">
        <f>VLOOKUP(source[[#This Row],[lending_product_transform]],[3]Mapping!$B$3:$D$37,3,0)</f>
        <v>payday</v>
      </c>
      <c r="I650" s="135">
        <v>45000000</v>
      </c>
    </row>
    <row r="651" spans="1:9" x14ac:dyDescent="0.2">
      <c r="A651" s="134">
        <v>45383</v>
      </c>
      <c r="B651" s="135">
        <f>YEAR(source[[#This Row],[report_date]])</f>
        <v>2024</v>
      </c>
      <c r="C651" s="136">
        <v>4</v>
      </c>
      <c r="D651" s="136">
        <f t="shared" si="43"/>
        <v>14</v>
      </c>
      <c r="E651" s="136">
        <f t="shared" si="44"/>
        <v>1</v>
      </c>
      <c r="F651" s="128" t="s">
        <v>62</v>
      </c>
      <c r="G651" s="128" t="str">
        <f>VLOOKUP(source[[#This Row],[lending_product_transform]],[3]Mapping!$B$4:$C$37,2,0)</f>
        <v>[VDS] - Paylater</v>
      </c>
      <c r="H651" s="128" t="str">
        <f>VLOOKUP(source[[#This Row],[lending_product_transform]],[3]Mapping!$B$3:$D$37,3,0)</f>
        <v>paylater</v>
      </c>
      <c r="I651" s="135">
        <v>0</v>
      </c>
    </row>
    <row r="652" spans="1:9" x14ac:dyDescent="0.2">
      <c r="A652" s="134">
        <v>45383</v>
      </c>
      <c r="B652" s="135">
        <f>YEAR(source[[#This Row],[report_date]])</f>
        <v>2024</v>
      </c>
      <c r="C652" s="136">
        <v>4</v>
      </c>
      <c r="D652" s="136">
        <f t="shared" si="43"/>
        <v>14</v>
      </c>
      <c r="E652" s="136">
        <f t="shared" si="44"/>
        <v>1</v>
      </c>
      <c r="F652" s="128" t="s">
        <v>19</v>
      </c>
      <c r="G652" s="128" t="str">
        <f>VLOOKUP(source[[#This Row],[lending_product_transform]],[3]Mapping!$B$4:$C$37,2,0)</f>
        <v>[VDS] - Payday</v>
      </c>
      <c r="H652" s="128" t="str">
        <f>VLOOKUP(source[[#This Row],[lending_product_transform]],[3]Mapping!$B$3:$D$37,3,0)</f>
        <v>payday</v>
      </c>
      <c r="I652" s="135">
        <v>2358500000</v>
      </c>
    </row>
    <row r="653" spans="1:9" x14ac:dyDescent="0.2">
      <c r="A653" s="134">
        <v>45383</v>
      </c>
      <c r="B653" s="135">
        <f>YEAR(source[[#This Row],[report_date]])</f>
        <v>2024</v>
      </c>
      <c r="C653" s="136">
        <v>4</v>
      </c>
      <c r="D653" s="136">
        <f t="shared" si="43"/>
        <v>14</v>
      </c>
      <c r="E653" s="136">
        <f t="shared" si="44"/>
        <v>1</v>
      </c>
      <c r="F653" s="128" t="s">
        <v>67</v>
      </c>
      <c r="G653" s="128" t="str">
        <f>VLOOKUP(source[[#This Row],[lending_product_transform]],[3]Mapping!$B$4:$C$37,2,0)</f>
        <v>[Cake] - Overdraft</v>
      </c>
      <c r="H653" s="128" t="str">
        <f>VLOOKUP(source[[#This Row],[lending_product_transform]],[3]Mapping!$B$3:$D$37,3,0)</f>
        <v>overdraft</v>
      </c>
      <c r="I653" s="135">
        <v>3651306103</v>
      </c>
    </row>
    <row r="654" spans="1:9" x14ac:dyDescent="0.2">
      <c r="A654" s="134">
        <v>45383</v>
      </c>
      <c r="B654" s="135">
        <f>YEAR(source[[#This Row],[report_date]])</f>
        <v>2024</v>
      </c>
      <c r="C654" s="136">
        <v>4</v>
      </c>
      <c r="D654" s="136">
        <f t="shared" si="43"/>
        <v>14</v>
      </c>
      <c r="E654" s="136">
        <f t="shared" si="44"/>
        <v>1</v>
      </c>
      <c r="F654" s="128" t="s">
        <v>11</v>
      </c>
      <c r="G654" s="128" t="str">
        <f>VLOOKUP(source[[#This Row],[lending_product_transform]],[3]Mapping!$B$4:$C$37,2,0)</f>
        <v>[VDS] - Cashloan</v>
      </c>
      <c r="H654" s="128" t="str">
        <f>VLOOKUP(source[[#This Row],[lending_product_transform]],[3]Mapping!$B$3:$D$37,3,0)</f>
        <v>cashloan</v>
      </c>
      <c r="I654" s="135">
        <v>2165120000</v>
      </c>
    </row>
    <row r="655" spans="1:9" x14ac:dyDescent="0.2">
      <c r="A655" s="134">
        <v>45383</v>
      </c>
      <c r="B655" s="135">
        <f>YEAR(source[[#This Row],[report_date]])</f>
        <v>2024</v>
      </c>
      <c r="C655" s="136">
        <v>4</v>
      </c>
      <c r="D655" s="136">
        <f t="shared" si="43"/>
        <v>14</v>
      </c>
      <c r="E655" s="136">
        <f t="shared" si="44"/>
        <v>1</v>
      </c>
      <c r="F655" s="128" t="s">
        <v>56</v>
      </c>
      <c r="G655" s="128">
        <f>VLOOKUP(source[[#This Row],[lending_product_transform]],[3]Mapping!$B$4:$C$37,2,0)</f>
        <v>0</v>
      </c>
      <c r="H655" s="128">
        <f>VLOOKUP(source[[#This Row],[lending_product_transform]],[3]Mapping!$B$3:$D$37,3,0)</f>
        <v>0</v>
      </c>
      <c r="I655" s="135">
        <v>8431176103</v>
      </c>
    </row>
    <row r="656" spans="1:9" x14ac:dyDescent="0.2">
      <c r="A656" s="134">
        <v>45383</v>
      </c>
      <c r="B656" s="135">
        <f>YEAR(source[[#This Row],[report_date]])</f>
        <v>2024</v>
      </c>
      <c r="C656" s="136">
        <v>4</v>
      </c>
      <c r="D656" s="136">
        <f t="shared" si="43"/>
        <v>14</v>
      </c>
      <c r="E656" s="136">
        <f t="shared" si="44"/>
        <v>1</v>
      </c>
      <c r="F656" s="128" t="s">
        <v>58</v>
      </c>
      <c r="G656" s="128" t="str">
        <f>VLOOKUP(source[[#This Row],[lending_product_transform]],[3]Mapping!$B$4:$C$37,2,0)</f>
        <v>[VDS] - Payroll Cashloan</v>
      </c>
      <c r="H656" s="128" t="str">
        <f>VLOOKUP(source[[#This Row],[lending_product_transform]],[3]Mapping!$B$3:$D$37,3,0)</f>
        <v>cashloan</v>
      </c>
      <c r="I656" s="135">
        <v>84000000</v>
      </c>
    </row>
    <row r="657" spans="1:9" x14ac:dyDescent="0.2">
      <c r="A657" s="134">
        <v>45383</v>
      </c>
      <c r="B657" s="135">
        <f>YEAR(source[[#This Row],[report_date]])</f>
        <v>2024</v>
      </c>
      <c r="C657" s="136">
        <v>4</v>
      </c>
      <c r="D657" s="136">
        <f t="shared" si="43"/>
        <v>14</v>
      </c>
      <c r="E657" s="136">
        <f t="shared" si="44"/>
        <v>1</v>
      </c>
      <c r="F657" s="128" t="s">
        <v>65</v>
      </c>
      <c r="G657" s="128" t="str">
        <f>VLOOKUP(source[[#This Row],[lending_product_transform]],[3]Mapping!$B$4:$C$37,2,0)</f>
        <v>[BE] - Cashloan</v>
      </c>
      <c r="H657" s="128" t="str">
        <f>VLOOKUP(source[[#This Row],[lending_product_transform]],[3]Mapping!$B$3:$D$37,3,0)</f>
        <v>cashloan</v>
      </c>
      <c r="I657" s="135">
        <v>125250000</v>
      </c>
    </row>
    <row r="658" spans="1:9" x14ac:dyDescent="0.2">
      <c r="A658" s="134">
        <v>45383</v>
      </c>
      <c r="B658" s="135">
        <f>YEAR(source[[#This Row],[report_date]])</f>
        <v>2024</v>
      </c>
      <c r="C658" s="136">
        <v>4</v>
      </c>
      <c r="D658" s="136">
        <f t="shared" si="43"/>
        <v>14</v>
      </c>
      <c r="E658" s="136">
        <f t="shared" si="44"/>
        <v>1</v>
      </c>
      <c r="F658" s="128" t="s">
        <v>61</v>
      </c>
      <c r="G658" s="128" t="str">
        <f>VLOOKUP(source[[#This Row],[lending_product_transform]],[3]Mapping!$B$4:$C$37,2,0)</f>
        <v>[VDS] - Payroll Payday</v>
      </c>
      <c r="H658" s="128" t="str">
        <f>VLOOKUP(source[[#This Row],[lending_product_transform]],[3]Mapping!$B$3:$D$37,3,0)</f>
        <v>payday</v>
      </c>
      <c r="I658" s="135">
        <v>47000000</v>
      </c>
    </row>
    <row r="659" spans="1:9" x14ac:dyDescent="0.2">
      <c r="A659" s="134">
        <v>45384</v>
      </c>
      <c r="B659" s="135">
        <f>YEAR(source[[#This Row],[report_date]])</f>
        <v>2024</v>
      </c>
      <c r="C659" s="136">
        <v>4</v>
      </c>
      <c r="D659" s="136">
        <f t="shared" si="43"/>
        <v>14</v>
      </c>
      <c r="E659" s="136">
        <f t="shared" si="44"/>
        <v>2</v>
      </c>
      <c r="F659" s="128" t="s">
        <v>61</v>
      </c>
      <c r="G659" s="128" t="str">
        <f>VLOOKUP(source[[#This Row],[lending_product_transform]],[3]Mapping!$B$4:$C$37,2,0)</f>
        <v>[VDS] - Payroll Payday</v>
      </c>
      <c r="H659" s="128" t="str">
        <f>VLOOKUP(source[[#This Row],[lending_product_transform]],[3]Mapping!$B$3:$D$37,3,0)</f>
        <v>payday</v>
      </c>
      <c r="I659" s="135">
        <v>36000000</v>
      </c>
    </row>
    <row r="660" spans="1:9" x14ac:dyDescent="0.2">
      <c r="A660" s="134">
        <v>45384</v>
      </c>
      <c r="B660" s="135">
        <f>YEAR(source[[#This Row],[report_date]])</f>
        <v>2024</v>
      </c>
      <c r="C660" s="136">
        <v>4</v>
      </c>
      <c r="D660" s="136">
        <f t="shared" si="43"/>
        <v>14</v>
      </c>
      <c r="E660" s="136">
        <f t="shared" si="44"/>
        <v>2</v>
      </c>
      <c r="F660" s="128" t="s">
        <v>58</v>
      </c>
      <c r="G660" s="128" t="str">
        <f>VLOOKUP(source[[#This Row],[lending_product_transform]],[3]Mapping!$B$4:$C$37,2,0)</f>
        <v>[VDS] - Payroll Cashloan</v>
      </c>
      <c r="H660" s="128" t="str">
        <f>VLOOKUP(source[[#This Row],[lending_product_transform]],[3]Mapping!$B$3:$D$37,3,0)</f>
        <v>cashloan</v>
      </c>
      <c r="I660" s="135">
        <v>130250000</v>
      </c>
    </row>
    <row r="661" spans="1:9" x14ac:dyDescent="0.2">
      <c r="A661" s="134">
        <v>45384</v>
      </c>
      <c r="B661" s="135">
        <f>YEAR(source[[#This Row],[report_date]])</f>
        <v>2024</v>
      </c>
      <c r="C661" s="136">
        <v>4</v>
      </c>
      <c r="D661" s="136">
        <f t="shared" si="43"/>
        <v>14</v>
      </c>
      <c r="E661" s="136">
        <f t="shared" si="44"/>
        <v>2</v>
      </c>
      <c r="F661" s="128" t="s">
        <v>19</v>
      </c>
      <c r="G661" s="128" t="str">
        <f>VLOOKUP(source[[#This Row],[lending_product_transform]],[3]Mapping!$B$4:$C$37,2,0)</f>
        <v>[VDS] - Payday</v>
      </c>
      <c r="H661" s="128" t="str">
        <f>VLOOKUP(source[[#This Row],[lending_product_transform]],[3]Mapping!$B$3:$D$37,3,0)</f>
        <v>payday</v>
      </c>
      <c r="I661" s="135">
        <v>2266000000</v>
      </c>
    </row>
    <row r="662" spans="1:9" x14ac:dyDescent="0.2">
      <c r="A662" s="134">
        <v>45384</v>
      </c>
      <c r="B662" s="135">
        <f>YEAR(source[[#This Row],[report_date]])</f>
        <v>2024</v>
      </c>
      <c r="C662" s="136">
        <v>4</v>
      </c>
      <c r="D662" s="136">
        <f t="shared" si="43"/>
        <v>14</v>
      </c>
      <c r="E662" s="136">
        <f t="shared" si="44"/>
        <v>2</v>
      </c>
      <c r="F662" s="128" t="s">
        <v>11</v>
      </c>
      <c r="G662" s="128" t="str">
        <f>VLOOKUP(source[[#This Row],[lending_product_transform]],[3]Mapping!$B$4:$C$37,2,0)</f>
        <v>[VDS] - Cashloan</v>
      </c>
      <c r="H662" s="128" t="str">
        <f>VLOOKUP(source[[#This Row],[lending_product_transform]],[3]Mapping!$B$3:$D$37,3,0)</f>
        <v>cashloan</v>
      </c>
      <c r="I662" s="135">
        <v>2443410000</v>
      </c>
    </row>
    <row r="663" spans="1:9" x14ac:dyDescent="0.2">
      <c r="A663" s="134">
        <v>45384</v>
      </c>
      <c r="B663" s="135">
        <f>YEAR(source[[#This Row],[report_date]])</f>
        <v>2024</v>
      </c>
      <c r="C663" s="136">
        <v>4</v>
      </c>
      <c r="D663" s="136">
        <f t="shared" si="43"/>
        <v>14</v>
      </c>
      <c r="E663" s="136">
        <f t="shared" si="44"/>
        <v>2</v>
      </c>
      <c r="F663" s="128" t="s">
        <v>65</v>
      </c>
      <c r="G663" s="128" t="str">
        <f>VLOOKUP(source[[#This Row],[lending_product_transform]],[3]Mapping!$B$4:$C$37,2,0)</f>
        <v>[BE] - Cashloan</v>
      </c>
      <c r="H663" s="128" t="str">
        <f>VLOOKUP(source[[#This Row],[lending_product_transform]],[3]Mapping!$B$3:$D$37,3,0)</f>
        <v>cashloan</v>
      </c>
      <c r="I663" s="135">
        <v>138600000</v>
      </c>
    </row>
    <row r="664" spans="1:9" x14ac:dyDescent="0.2">
      <c r="A664" s="134">
        <v>45384</v>
      </c>
      <c r="B664" s="135">
        <f>YEAR(source[[#This Row],[report_date]])</f>
        <v>2024</v>
      </c>
      <c r="C664" s="136">
        <v>4</v>
      </c>
      <c r="D664" s="136">
        <f t="shared" si="43"/>
        <v>14</v>
      </c>
      <c r="E664" s="136">
        <f t="shared" si="44"/>
        <v>2</v>
      </c>
      <c r="F664" s="128" t="s">
        <v>67</v>
      </c>
      <c r="G664" s="128" t="str">
        <f>VLOOKUP(source[[#This Row],[lending_product_transform]],[3]Mapping!$B$4:$C$37,2,0)</f>
        <v>[Cake] - Overdraft</v>
      </c>
      <c r="H664" s="128" t="str">
        <f>VLOOKUP(source[[#This Row],[lending_product_transform]],[3]Mapping!$B$3:$D$37,3,0)</f>
        <v>overdraft</v>
      </c>
      <c r="I664" s="135">
        <v>3086410832</v>
      </c>
    </row>
    <row r="665" spans="1:9" x14ac:dyDescent="0.2">
      <c r="A665" s="134">
        <v>45384</v>
      </c>
      <c r="B665" s="135">
        <f>YEAR(source[[#This Row],[report_date]])</f>
        <v>2024</v>
      </c>
      <c r="C665" s="136">
        <v>4</v>
      </c>
      <c r="D665" s="136">
        <f t="shared" si="43"/>
        <v>14</v>
      </c>
      <c r="E665" s="136">
        <f t="shared" si="44"/>
        <v>2</v>
      </c>
      <c r="F665" s="128" t="s">
        <v>62</v>
      </c>
      <c r="G665" s="128" t="str">
        <f>VLOOKUP(source[[#This Row],[lending_product_transform]],[3]Mapping!$B$4:$C$37,2,0)</f>
        <v>[VDS] - Paylater</v>
      </c>
      <c r="H665" s="128" t="str">
        <f>VLOOKUP(source[[#This Row],[lending_product_transform]],[3]Mapping!$B$3:$D$37,3,0)</f>
        <v>paylater</v>
      </c>
      <c r="I665" s="135">
        <v>0</v>
      </c>
    </row>
    <row r="666" spans="1:9" x14ac:dyDescent="0.2">
      <c r="A666" s="134">
        <v>45384</v>
      </c>
      <c r="B666" s="135">
        <f>YEAR(source[[#This Row],[report_date]])</f>
        <v>2024</v>
      </c>
      <c r="C666" s="136">
        <v>4</v>
      </c>
      <c r="D666" s="136">
        <f t="shared" si="43"/>
        <v>14</v>
      </c>
      <c r="E666" s="136">
        <f t="shared" si="44"/>
        <v>2</v>
      </c>
      <c r="F666" s="128" t="s">
        <v>56</v>
      </c>
      <c r="G666" s="128">
        <f>VLOOKUP(source[[#This Row],[lending_product_transform]],[3]Mapping!$B$4:$C$37,2,0)</f>
        <v>0</v>
      </c>
      <c r="H666" s="128">
        <f>VLOOKUP(source[[#This Row],[lending_product_transform]],[3]Mapping!$B$3:$D$37,3,0)</f>
        <v>0</v>
      </c>
      <c r="I666" s="135">
        <v>8100670832</v>
      </c>
    </row>
    <row r="667" spans="1:9" x14ac:dyDescent="0.2">
      <c r="A667" s="134">
        <v>45385</v>
      </c>
      <c r="B667" s="135">
        <f>YEAR(source[[#This Row],[report_date]])</f>
        <v>2024</v>
      </c>
      <c r="C667" s="136">
        <v>4</v>
      </c>
      <c r="D667" s="136">
        <f t="shared" si="43"/>
        <v>14</v>
      </c>
      <c r="E667" s="136">
        <f t="shared" si="44"/>
        <v>3</v>
      </c>
      <c r="F667" s="128" t="s">
        <v>19</v>
      </c>
      <c r="G667" s="128" t="str">
        <f>VLOOKUP(source[[#This Row],[lending_product_transform]],[3]Mapping!$B$4:$C$37,2,0)</f>
        <v>[VDS] - Payday</v>
      </c>
      <c r="H667" s="128" t="str">
        <f>VLOOKUP(source[[#This Row],[lending_product_transform]],[3]Mapping!$B$3:$D$37,3,0)</f>
        <v>payday</v>
      </c>
      <c r="I667" s="135">
        <v>2292500000</v>
      </c>
    </row>
    <row r="668" spans="1:9" x14ac:dyDescent="0.2">
      <c r="A668" s="134">
        <v>45385</v>
      </c>
      <c r="B668" s="135">
        <f>YEAR(source[[#This Row],[report_date]])</f>
        <v>2024</v>
      </c>
      <c r="C668" s="136">
        <v>4</v>
      </c>
      <c r="D668" s="136">
        <f t="shared" si="43"/>
        <v>14</v>
      </c>
      <c r="E668" s="136">
        <f t="shared" si="44"/>
        <v>3</v>
      </c>
      <c r="F668" s="128" t="s">
        <v>67</v>
      </c>
      <c r="G668" s="128" t="str">
        <f>VLOOKUP(source[[#This Row],[lending_product_transform]],[3]Mapping!$B$4:$C$37,2,0)</f>
        <v>[Cake] - Overdraft</v>
      </c>
      <c r="H668" s="128" t="str">
        <f>VLOOKUP(source[[#This Row],[lending_product_transform]],[3]Mapping!$B$3:$D$37,3,0)</f>
        <v>overdraft</v>
      </c>
      <c r="I668" s="135">
        <v>2488062461</v>
      </c>
    </row>
    <row r="669" spans="1:9" x14ac:dyDescent="0.2">
      <c r="A669" s="134">
        <v>45385</v>
      </c>
      <c r="B669" s="135">
        <f>YEAR(source[[#This Row],[report_date]])</f>
        <v>2024</v>
      </c>
      <c r="C669" s="136">
        <v>4</v>
      </c>
      <c r="D669" s="136">
        <f t="shared" si="43"/>
        <v>14</v>
      </c>
      <c r="E669" s="136">
        <f t="shared" si="44"/>
        <v>3</v>
      </c>
      <c r="F669" s="128" t="s">
        <v>62</v>
      </c>
      <c r="G669" s="128" t="str">
        <f>VLOOKUP(source[[#This Row],[lending_product_transform]],[3]Mapping!$B$4:$C$37,2,0)</f>
        <v>[VDS] - Paylater</v>
      </c>
      <c r="H669" s="128" t="str">
        <f>VLOOKUP(source[[#This Row],[lending_product_transform]],[3]Mapping!$B$3:$D$37,3,0)</f>
        <v>paylater</v>
      </c>
      <c r="I669" s="135">
        <v>0</v>
      </c>
    </row>
    <row r="670" spans="1:9" x14ac:dyDescent="0.2">
      <c r="A670" s="134">
        <v>45385</v>
      </c>
      <c r="B670" s="135">
        <f>YEAR(source[[#This Row],[report_date]])</f>
        <v>2024</v>
      </c>
      <c r="C670" s="136">
        <v>4</v>
      </c>
      <c r="D670" s="136">
        <f t="shared" si="43"/>
        <v>14</v>
      </c>
      <c r="E670" s="136">
        <f t="shared" si="44"/>
        <v>3</v>
      </c>
      <c r="F670" s="128" t="s">
        <v>58</v>
      </c>
      <c r="G670" s="128" t="str">
        <f>VLOOKUP(source[[#This Row],[lending_product_transform]],[3]Mapping!$B$4:$C$37,2,0)</f>
        <v>[VDS] - Payroll Cashloan</v>
      </c>
      <c r="H670" s="128" t="str">
        <f>VLOOKUP(source[[#This Row],[lending_product_transform]],[3]Mapping!$B$3:$D$37,3,0)</f>
        <v>cashloan</v>
      </c>
      <c r="I670" s="135">
        <v>131250000</v>
      </c>
    </row>
    <row r="671" spans="1:9" x14ac:dyDescent="0.2">
      <c r="A671" s="134">
        <v>45385</v>
      </c>
      <c r="B671" s="135">
        <f>YEAR(source[[#This Row],[report_date]])</f>
        <v>2024</v>
      </c>
      <c r="C671" s="136">
        <v>4</v>
      </c>
      <c r="D671" s="136">
        <f t="shared" si="43"/>
        <v>14</v>
      </c>
      <c r="E671" s="136">
        <f t="shared" si="44"/>
        <v>3</v>
      </c>
      <c r="F671" s="128" t="s">
        <v>11</v>
      </c>
      <c r="G671" s="128" t="str">
        <f>VLOOKUP(source[[#This Row],[lending_product_transform]],[3]Mapping!$B$4:$C$37,2,0)</f>
        <v>[VDS] - Cashloan</v>
      </c>
      <c r="H671" s="128" t="str">
        <f>VLOOKUP(source[[#This Row],[lending_product_transform]],[3]Mapping!$B$3:$D$37,3,0)</f>
        <v>cashloan</v>
      </c>
      <c r="I671" s="135">
        <v>2152090000</v>
      </c>
    </row>
    <row r="672" spans="1:9" x14ac:dyDescent="0.2">
      <c r="A672" s="134">
        <v>45385</v>
      </c>
      <c r="B672" s="135">
        <f>YEAR(source[[#This Row],[report_date]])</f>
        <v>2024</v>
      </c>
      <c r="C672" s="136">
        <v>4</v>
      </c>
      <c r="D672" s="136">
        <f t="shared" si="43"/>
        <v>14</v>
      </c>
      <c r="E672" s="136">
        <f t="shared" si="44"/>
        <v>3</v>
      </c>
      <c r="F672" s="128" t="s">
        <v>65</v>
      </c>
      <c r="G672" s="128" t="str">
        <f>VLOOKUP(source[[#This Row],[lending_product_transform]],[3]Mapping!$B$4:$C$37,2,0)</f>
        <v>[BE] - Cashloan</v>
      </c>
      <c r="H672" s="128" t="str">
        <f>VLOOKUP(source[[#This Row],[lending_product_transform]],[3]Mapping!$B$3:$D$37,3,0)</f>
        <v>cashloan</v>
      </c>
      <c r="I672" s="135">
        <v>103950000</v>
      </c>
    </row>
    <row r="673" spans="1:9" x14ac:dyDescent="0.2">
      <c r="A673" s="134">
        <v>45385</v>
      </c>
      <c r="B673" s="135">
        <f>YEAR(source[[#This Row],[report_date]])</f>
        <v>2024</v>
      </c>
      <c r="C673" s="136">
        <v>4</v>
      </c>
      <c r="D673" s="136">
        <f t="shared" si="43"/>
        <v>14</v>
      </c>
      <c r="E673" s="136">
        <f t="shared" si="44"/>
        <v>3</v>
      </c>
      <c r="F673" s="128" t="s">
        <v>56</v>
      </c>
      <c r="G673" s="128">
        <f>VLOOKUP(source[[#This Row],[lending_product_transform]],[3]Mapping!$B$4:$C$37,2,0)</f>
        <v>0</v>
      </c>
      <c r="H673" s="128">
        <f>VLOOKUP(source[[#This Row],[lending_product_transform]],[3]Mapping!$B$3:$D$37,3,0)</f>
        <v>0</v>
      </c>
      <c r="I673" s="135">
        <v>7191852461</v>
      </c>
    </row>
    <row r="674" spans="1:9" x14ac:dyDescent="0.2">
      <c r="A674" s="134">
        <v>45385</v>
      </c>
      <c r="B674" s="135">
        <f>YEAR(source[[#This Row],[report_date]])</f>
        <v>2024</v>
      </c>
      <c r="C674" s="136">
        <v>4</v>
      </c>
      <c r="D674" s="136">
        <f t="shared" si="43"/>
        <v>14</v>
      </c>
      <c r="E674" s="136">
        <f t="shared" si="44"/>
        <v>3</v>
      </c>
      <c r="F674" s="128" t="s">
        <v>61</v>
      </c>
      <c r="G674" s="128" t="str">
        <f>VLOOKUP(source[[#This Row],[lending_product_transform]],[3]Mapping!$B$4:$C$37,2,0)</f>
        <v>[VDS] - Payroll Payday</v>
      </c>
      <c r="H674" s="128" t="str">
        <f>VLOOKUP(source[[#This Row],[lending_product_transform]],[3]Mapping!$B$3:$D$37,3,0)</f>
        <v>payday</v>
      </c>
      <c r="I674" s="135">
        <v>24000000</v>
      </c>
    </row>
    <row r="675" spans="1:9" x14ac:dyDescent="0.2">
      <c r="A675" s="134">
        <v>45386</v>
      </c>
      <c r="B675" s="135">
        <f>YEAR(source[[#This Row],[report_date]])</f>
        <v>2024</v>
      </c>
      <c r="C675" s="136">
        <v>4</v>
      </c>
      <c r="D675" s="136">
        <f t="shared" si="43"/>
        <v>14</v>
      </c>
      <c r="E675" s="136">
        <f t="shared" si="44"/>
        <v>4</v>
      </c>
      <c r="F675" s="128" t="s">
        <v>67</v>
      </c>
      <c r="G675" s="128" t="str">
        <f>VLOOKUP(source[[#This Row],[lending_product_transform]],[3]Mapping!$B$4:$C$37,2,0)</f>
        <v>[Cake] - Overdraft</v>
      </c>
      <c r="H675" s="128" t="str">
        <f>VLOOKUP(source[[#This Row],[lending_product_transform]],[3]Mapping!$B$3:$D$37,3,0)</f>
        <v>overdraft</v>
      </c>
      <c r="I675" s="135">
        <v>2938356490</v>
      </c>
    </row>
    <row r="676" spans="1:9" x14ac:dyDescent="0.2">
      <c r="A676" s="134">
        <v>45386</v>
      </c>
      <c r="B676" s="135">
        <f>YEAR(source[[#This Row],[report_date]])</f>
        <v>2024</v>
      </c>
      <c r="C676" s="136">
        <v>4</v>
      </c>
      <c r="D676" s="136">
        <f t="shared" si="43"/>
        <v>14</v>
      </c>
      <c r="E676" s="136">
        <f t="shared" si="44"/>
        <v>4</v>
      </c>
      <c r="F676" s="128" t="s">
        <v>11</v>
      </c>
      <c r="G676" s="128" t="str">
        <f>VLOOKUP(source[[#This Row],[lending_product_transform]],[3]Mapping!$B$4:$C$37,2,0)</f>
        <v>[VDS] - Cashloan</v>
      </c>
      <c r="H676" s="128" t="str">
        <f>VLOOKUP(source[[#This Row],[lending_product_transform]],[3]Mapping!$B$3:$D$37,3,0)</f>
        <v>cashloan</v>
      </c>
      <c r="I676" s="135">
        <v>2640850000</v>
      </c>
    </row>
    <row r="677" spans="1:9" x14ac:dyDescent="0.2">
      <c r="A677" s="134">
        <v>45386</v>
      </c>
      <c r="B677" s="135">
        <f>YEAR(source[[#This Row],[report_date]])</f>
        <v>2024</v>
      </c>
      <c r="C677" s="136">
        <v>4</v>
      </c>
      <c r="D677" s="136">
        <f t="shared" si="43"/>
        <v>14</v>
      </c>
      <c r="E677" s="136">
        <f t="shared" si="44"/>
        <v>4</v>
      </c>
      <c r="F677" s="128" t="s">
        <v>19</v>
      </c>
      <c r="G677" s="128" t="str">
        <f>VLOOKUP(source[[#This Row],[lending_product_transform]],[3]Mapping!$B$4:$C$37,2,0)</f>
        <v>[VDS] - Payday</v>
      </c>
      <c r="H677" s="128" t="str">
        <f>VLOOKUP(source[[#This Row],[lending_product_transform]],[3]Mapping!$B$3:$D$37,3,0)</f>
        <v>payday</v>
      </c>
      <c r="I677" s="135">
        <v>2153000000</v>
      </c>
    </row>
    <row r="678" spans="1:9" x14ac:dyDescent="0.2">
      <c r="A678" s="134">
        <v>45386</v>
      </c>
      <c r="B678" s="135">
        <f>YEAR(source[[#This Row],[report_date]])</f>
        <v>2024</v>
      </c>
      <c r="C678" s="136">
        <v>4</v>
      </c>
      <c r="D678" s="136">
        <f t="shared" si="43"/>
        <v>14</v>
      </c>
      <c r="E678" s="136">
        <f t="shared" si="44"/>
        <v>4</v>
      </c>
      <c r="F678" s="128" t="s">
        <v>58</v>
      </c>
      <c r="G678" s="128" t="str">
        <f>VLOOKUP(source[[#This Row],[lending_product_transform]],[3]Mapping!$B$4:$C$37,2,0)</f>
        <v>[VDS] - Payroll Cashloan</v>
      </c>
      <c r="H678" s="128" t="str">
        <f>VLOOKUP(source[[#This Row],[lending_product_transform]],[3]Mapping!$B$3:$D$37,3,0)</f>
        <v>cashloan</v>
      </c>
      <c r="I678" s="135">
        <v>115500000</v>
      </c>
    </row>
    <row r="679" spans="1:9" x14ac:dyDescent="0.2">
      <c r="A679" s="134">
        <v>45386</v>
      </c>
      <c r="B679" s="135">
        <f>YEAR(source[[#This Row],[report_date]])</f>
        <v>2024</v>
      </c>
      <c r="C679" s="136">
        <v>4</v>
      </c>
      <c r="D679" s="136">
        <f t="shared" si="43"/>
        <v>14</v>
      </c>
      <c r="E679" s="136">
        <f t="shared" si="44"/>
        <v>4</v>
      </c>
      <c r="F679" s="128" t="s">
        <v>65</v>
      </c>
      <c r="G679" s="128" t="str">
        <f>VLOOKUP(source[[#This Row],[lending_product_transform]],[3]Mapping!$B$4:$C$37,2,0)</f>
        <v>[BE] - Cashloan</v>
      </c>
      <c r="H679" s="128" t="str">
        <f>VLOOKUP(source[[#This Row],[lending_product_transform]],[3]Mapping!$B$3:$D$37,3,0)</f>
        <v>cashloan</v>
      </c>
      <c r="I679" s="135">
        <v>84000000</v>
      </c>
    </row>
    <row r="680" spans="1:9" x14ac:dyDescent="0.2">
      <c r="A680" s="134">
        <v>45386</v>
      </c>
      <c r="B680" s="135">
        <f>YEAR(source[[#This Row],[report_date]])</f>
        <v>2024</v>
      </c>
      <c r="C680" s="136">
        <v>4</v>
      </c>
      <c r="D680" s="136">
        <f t="shared" si="43"/>
        <v>14</v>
      </c>
      <c r="E680" s="136">
        <f t="shared" si="44"/>
        <v>4</v>
      </c>
      <c r="F680" s="128" t="s">
        <v>61</v>
      </c>
      <c r="G680" s="128" t="str">
        <f>VLOOKUP(source[[#This Row],[lending_product_transform]],[3]Mapping!$B$4:$C$37,2,0)</f>
        <v>[VDS] - Payroll Payday</v>
      </c>
      <c r="H680" s="128" t="str">
        <f>VLOOKUP(source[[#This Row],[lending_product_transform]],[3]Mapping!$B$3:$D$37,3,0)</f>
        <v>payday</v>
      </c>
      <c r="I680" s="135">
        <v>54000000</v>
      </c>
    </row>
    <row r="681" spans="1:9" x14ac:dyDescent="0.2">
      <c r="A681" s="134">
        <v>45386</v>
      </c>
      <c r="B681" s="135">
        <f>YEAR(source[[#This Row],[report_date]])</f>
        <v>2024</v>
      </c>
      <c r="C681" s="136">
        <v>4</v>
      </c>
      <c r="D681" s="136">
        <f t="shared" si="43"/>
        <v>14</v>
      </c>
      <c r="E681" s="136">
        <f t="shared" si="44"/>
        <v>4</v>
      </c>
      <c r="F681" s="128" t="s">
        <v>62</v>
      </c>
      <c r="G681" s="128" t="str">
        <f>VLOOKUP(source[[#This Row],[lending_product_transform]],[3]Mapping!$B$4:$C$37,2,0)</f>
        <v>[VDS] - Paylater</v>
      </c>
      <c r="H681" s="128" t="str">
        <f>VLOOKUP(source[[#This Row],[lending_product_transform]],[3]Mapping!$B$3:$D$37,3,0)</f>
        <v>paylater</v>
      </c>
      <c r="I681" s="135">
        <v>0</v>
      </c>
    </row>
    <row r="682" spans="1:9" x14ac:dyDescent="0.2">
      <c r="A682" s="134">
        <v>45386</v>
      </c>
      <c r="B682" s="135">
        <f>YEAR(source[[#This Row],[report_date]])</f>
        <v>2024</v>
      </c>
      <c r="C682" s="136">
        <v>4</v>
      </c>
      <c r="D682" s="136">
        <f t="shared" si="43"/>
        <v>14</v>
      </c>
      <c r="E682" s="136">
        <f t="shared" si="44"/>
        <v>4</v>
      </c>
      <c r="F682" s="128" t="s">
        <v>56</v>
      </c>
      <c r="G682" s="128">
        <f>VLOOKUP(source[[#This Row],[lending_product_transform]],[3]Mapping!$B$4:$C$37,2,0)</f>
        <v>0</v>
      </c>
      <c r="H682" s="128">
        <f>VLOOKUP(source[[#This Row],[lending_product_transform]],[3]Mapping!$B$3:$D$37,3,0)</f>
        <v>0</v>
      </c>
      <c r="I682" s="135">
        <v>7985706490</v>
      </c>
    </row>
    <row r="683" spans="1:9" x14ac:dyDescent="0.2">
      <c r="A683" s="134">
        <v>45387</v>
      </c>
      <c r="B683" s="135">
        <f>YEAR(source[[#This Row],[report_date]])</f>
        <v>2024</v>
      </c>
      <c r="C683" s="136">
        <v>4</v>
      </c>
      <c r="D683" s="136">
        <f t="shared" si="43"/>
        <v>14</v>
      </c>
      <c r="E683" s="136">
        <f t="shared" si="44"/>
        <v>5</v>
      </c>
      <c r="F683" s="128" t="s">
        <v>62</v>
      </c>
      <c r="G683" s="128" t="str">
        <f>VLOOKUP(source[[#This Row],[lending_product_transform]],[3]Mapping!$B$4:$C$37,2,0)</f>
        <v>[VDS] - Paylater</v>
      </c>
      <c r="H683" s="128" t="str">
        <f>VLOOKUP(source[[#This Row],[lending_product_transform]],[3]Mapping!$B$3:$D$37,3,0)</f>
        <v>paylater</v>
      </c>
      <c r="I683" s="135">
        <v>0</v>
      </c>
    </row>
    <row r="684" spans="1:9" x14ac:dyDescent="0.2">
      <c r="A684" s="134">
        <v>45387</v>
      </c>
      <c r="B684" s="135">
        <f>YEAR(source[[#This Row],[report_date]])</f>
        <v>2024</v>
      </c>
      <c r="C684" s="136">
        <v>4</v>
      </c>
      <c r="D684" s="136">
        <f t="shared" si="43"/>
        <v>14</v>
      </c>
      <c r="E684" s="136">
        <f t="shared" si="44"/>
        <v>5</v>
      </c>
      <c r="F684" s="128" t="s">
        <v>58</v>
      </c>
      <c r="G684" s="128" t="str">
        <f>VLOOKUP(source[[#This Row],[lending_product_transform]],[3]Mapping!$B$4:$C$37,2,0)</f>
        <v>[VDS] - Payroll Cashloan</v>
      </c>
      <c r="H684" s="128" t="str">
        <f>VLOOKUP(source[[#This Row],[lending_product_transform]],[3]Mapping!$B$3:$D$37,3,0)</f>
        <v>cashloan</v>
      </c>
      <c r="I684" s="135">
        <v>128100000</v>
      </c>
    </row>
    <row r="685" spans="1:9" x14ac:dyDescent="0.2">
      <c r="A685" s="134">
        <v>45387</v>
      </c>
      <c r="B685" s="135">
        <f>YEAR(source[[#This Row],[report_date]])</f>
        <v>2024</v>
      </c>
      <c r="C685" s="136">
        <v>4</v>
      </c>
      <c r="D685" s="136">
        <f t="shared" si="43"/>
        <v>14</v>
      </c>
      <c r="E685" s="136">
        <f t="shared" si="44"/>
        <v>5</v>
      </c>
      <c r="F685" s="128" t="s">
        <v>67</v>
      </c>
      <c r="G685" s="128" t="str">
        <f>VLOOKUP(source[[#This Row],[lending_product_transform]],[3]Mapping!$B$4:$C$37,2,0)</f>
        <v>[Cake] - Overdraft</v>
      </c>
      <c r="H685" s="128" t="str">
        <f>VLOOKUP(source[[#This Row],[lending_product_transform]],[3]Mapping!$B$3:$D$37,3,0)</f>
        <v>overdraft</v>
      </c>
      <c r="I685" s="135">
        <v>2508782365</v>
      </c>
    </row>
    <row r="686" spans="1:9" x14ac:dyDescent="0.2">
      <c r="A686" s="134">
        <v>45387</v>
      </c>
      <c r="B686" s="135">
        <f>YEAR(source[[#This Row],[report_date]])</f>
        <v>2024</v>
      </c>
      <c r="C686" s="136">
        <v>4</v>
      </c>
      <c r="D686" s="136">
        <f t="shared" si="43"/>
        <v>14</v>
      </c>
      <c r="E686" s="136">
        <f t="shared" si="44"/>
        <v>5</v>
      </c>
      <c r="F686" s="128" t="s">
        <v>19</v>
      </c>
      <c r="G686" s="128" t="str">
        <f>VLOOKUP(source[[#This Row],[lending_product_transform]],[3]Mapping!$B$4:$C$37,2,0)</f>
        <v>[VDS] - Payday</v>
      </c>
      <c r="H686" s="128" t="str">
        <f>VLOOKUP(source[[#This Row],[lending_product_transform]],[3]Mapping!$B$3:$D$37,3,0)</f>
        <v>payday</v>
      </c>
      <c r="I686" s="135">
        <v>2523500000</v>
      </c>
    </row>
    <row r="687" spans="1:9" x14ac:dyDescent="0.2">
      <c r="A687" s="134">
        <v>45387</v>
      </c>
      <c r="B687" s="135">
        <f>YEAR(source[[#This Row],[report_date]])</f>
        <v>2024</v>
      </c>
      <c r="C687" s="136">
        <v>4</v>
      </c>
      <c r="D687" s="136">
        <f t="shared" si="43"/>
        <v>14</v>
      </c>
      <c r="E687" s="136">
        <f t="shared" si="44"/>
        <v>5</v>
      </c>
      <c r="F687" s="128" t="s">
        <v>61</v>
      </c>
      <c r="G687" s="128" t="str">
        <f>VLOOKUP(source[[#This Row],[lending_product_transform]],[3]Mapping!$B$4:$C$37,2,0)</f>
        <v>[VDS] - Payroll Payday</v>
      </c>
      <c r="H687" s="128" t="str">
        <f>VLOOKUP(source[[#This Row],[lending_product_transform]],[3]Mapping!$B$3:$D$37,3,0)</f>
        <v>payday</v>
      </c>
      <c r="I687" s="135">
        <v>34000000</v>
      </c>
    </row>
    <row r="688" spans="1:9" x14ac:dyDescent="0.2">
      <c r="A688" s="134">
        <v>45387</v>
      </c>
      <c r="B688" s="135">
        <f>YEAR(source[[#This Row],[report_date]])</f>
        <v>2024</v>
      </c>
      <c r="C688" s="136">
        <v>4</v>
      </c>
      <c r="D688" s="136">
        <f t="shared" si="43"/>
        <v>14</v>
      </c>
      <c r="E688" s="136">
        <f t="shared" si="44"/>
        <v>5</v>
      </c>
      <c r="F688" s="128" t="s">
        <v>11</v>
      </c>
      <c r="G688" s="128" t="str">
        <f>VLOOKUP(source[[#This Row],[lending_product_transform]],[3]Mapping!$B$4:$C$37,2,0)</f>
        <v>[VDS] - Cashloan</v>
      </c>
      <c r="H688" s="128" t="str">
        <f>VLOOKUP(source[[#This Row],[lending_product_transform]],[3]Mapping!$B$3:$D$37,3,0)</f>
        <v>cashloan</v>
      </c>
      <c r="I688" s="135">
        <v>2529520000</v>
      </c>
    </row>
    <row r="689" spans="1:9" x14ac:dyDescent="0.2">
      <c r="A689" s="134">
        <v>45387</v>
      </c>
      <c r="B689" s="135">
        <f>YEAR(source[[#This Row],[report_date]])</f>
        <v>2024</v>
      </c>
      <c r="C689" s="136">
        <v>4</v>
      </c>
      <c r="D689" s="136">
        <f t="shared" si="43"/>
        <v>14</v>
      </c>
      <c r="E689" s="136">
        <f t="shared" si="44"/>
        <v>5</v>
      </c>
      <c r="F689" s="128" t="s">
        <v>65</v>
      </c>
      <c r="G689" s="128" t="str">
        <f>VLOOKUP(source[[#This Row],[lending_product_transform]],[3]Mapping!$B$4:$C$37,2,0)</f>
        <v>[BE] - Cashloan</v>
      </c>
      <c r="H689" s="128" t="str">
        <f>VLOOKUP(source[[#This Row],[lending_product_transform]],[3]Mapping!$B$3:$D$37,3,0)</f>
        <v>cashloan</v>
      </c>
      <c r="I689" s="135">
        <v>100300000</v>
      </c>
    </row>
    <row r="690" spans="1:9" x14ac:dyDescent="0.2">
      <c r="A690" s="134">
        <v>45387</v>
      </c>
      <c r="B690" s="135">
        <f>YEAR(source[[#This Row],[report_date]])</f>
        <v>2024</v>
      </c>
      <c r="C690" s="136">
        <v>4</v>
      </c>
      <c r="D690" s="136">
        <f t="shared" si="43"/>
        <v>14</v>
      </c>
      <c r="E690" s="136">
        <f t="shared" si="44"/>
        <v>5</v>
      </c>
      <c r="F690" s="128" t="s">
        <v>56</v>
      </c>
      <c r="G690" s="128">
        <f>VLOOKUP(source[[#This Row],[lending_product_transform]],[3]Mapping!$B$4:$C$37,2,0)</f>
        <v>0</v>
      </c>
      <c r="H690" s="128">
        <f>VLOOKUP(source[[#This Row],[lending_product_transform]],[3]Mapping!$B$3:$D$37,3,0)</f>
        <v>0</v>
      </c>
      <c r="I690" s="135">
        <v>7824202365</v>
      </c>
    </row>
    <row r="691" spans="1:9" x14ac:dyDescent="0.2">
      <c r="A691" s="134">
        <v>45388</v>
      </c>
      <c r="B691" s="135">
        <f>YEAR(source[[#This Row],[report_date]])</f>
        <v>2024</v>
      </c>
      <c r="C691" s="136">
        <v>4</v>
      </c>
      <c r="D691" s="136">
        <f t="shared" si="43"/>
        <v>14</v>
      </c>
      <c r="E691" s="136">
        <f t="shared" si="44"/>
        <v>6</v>
      </c>
      <c r="F691" s="128" t="s">
        <v>67</v>
      </c>
      <c r="G691" s="128" t="str">
        <f>VLOOKUP(source[[#This Row],[lending_product_transform]],[3]Mapping!$B$4:$C$37,2,0)</f>
        <v>[Cake] - Overdraft</v>
      </c>
      <c r="H691" s="128" t="str">
        <f>VLOOKUP(source[[#This Row],[lending_product_transform]],[3]Mapping!$B$3:$D$37,3,0)</f>
        <v>overdraft</v>
      </c>
      <c r="I691" s="135">
        <v>1724129265</v>
      </c>
    </row>
    <row r="692" spans="1:9" x14ac:dyDescent="0.2">
      <c r="A692" s="134">
        <v>45388</v>
      </c>
      <c r="B692" s="135">
        <f>YEAR(source[[#This Row],[report_date]])</f>
        <v>2024</v>
      </c>
      <c r="C692" s="136">
        <v>4</v>
      </c>
      <c r="D692" s="136">
        <f t="shared" si="43"/>
        <v>14</v>
      </c>
      <c r="E692" s="136">
        <f t="shared" si="44"/>
        <v>6</v>
      </c>
      <c r="F692" s="128" t="s">
        <v>58</v>
      </c>
      <c r="G692" s="128" t="str">
        <f>VLOOKUP(source[[#This Row],[lending_product_transform]],[3]Mapping!$B$4:$C$37,2,0)</f>
        <v>[VDS] - Payroll Cashloan</v>
      </c>
      <c r="H692" s="128" t="str">
        <f>VLOOKUP(source[[#This Row],[lending_product_transform]],[3]Mapping!$B$3:$D$37,3,0)</f>
        <v>cashloan</v>
      </c>
      <c r="I692" s="135">
        <v>63000000</v>
      </c>
    </row>
    <row r="693" spans="1:9" x14ac:dyDescent="0.2">
      <c r="A693" s="134">
        <v>45388</v>
      </c>
      <c r="B693" s="135">
        <f>YEAR(source[[#This Row],[report_date]])</f>
        <v>2024</v>
      </c>
      <c r="C693" s="136">
        <v>4</v>
      </c>
      <c r="D693" s="136">
        <f t="shared" si="43"/>
        <v>14</v>
      </c>
      <c r="E693" s="136">
        <f t="shared" si="44"/>
        <v>6</v>
      </c>
      <c r="F693" s="128" t="s">
        <v>65</v>
      </c>
      <c r="G693" s="128" t="str">
        <f>VLOOKUP(source[[#This Row],[lending_product_transform]],[3]Mapping!$B$4:$C$37,2,0)</f>
        <v>[BE] - Cashloan</v>
      </c>
      <c r="H693" s="128" t="str">
        <f>VLOOKUP(source[[#This Row],[lending_product_transform]],[3]Mapping!$B$3:$D$37,3,0)</f>
        <v>cashloan</v>
      </c>
      <c r="I693" s="135">
        <v>10500000</v>
      </c>
    </row>
    <row r="694" spans="1:9" x14ac:dyDescent="0.2">
      <c r="A694" s="134">
        <v>45388</v>
      </c>
      <c r="B694" s="135">
        <f>YEAR(source[[#This Row],[report_date]])</f>
        <v>2024</v>
      </c>
      <c r="C694" s="136">
        <v>4</v>
      </c>
      <c r="D694" s="136">
        <f t="shared" si="43"/>
        <v>14</v>
      </c>
      <c r="E694" s="136">
        <f t="shared" si="44"/>
        <v>6</v>
      </c>
      <c r="F694" s="128" t="s">
        <v>19</v>
      </c>
      <c r="G694" s="128" t="str">
        <f>VLOOKUP(source[[#This Row],[lending_product_transform]],[3]Mapping!$B$4:$C$37,2,0)</f>
        <v>[VDS] - Payday</v>
      </c>
      <c r="H694" s="128" t="str">
        <f>VLOOKUP(source[[#This Row],[lending_product_transform]],[3]Mapping!$B$3:$D$37,3,0)</f>
        <v>payday</v>
      </c>
      <c r="I694" s="135">
        <v>2241500000</v>
      </c>
    </row>
    <row r="695" spans="1:9" x14ac:dyDescent="0.2">
      <c r="A695" s="134">
        <v>45388</v>
      </c>
      <c r="B695" s="135">
        <f>YEAR(source[[#This Row],[report_date]])</f>
        <v>2024</v>
      </c>
      <c r="C695" s="136">
        <v>4</v>
      </c>
      <c r="D695" s="136">
        <f t="shared" si="43"/>
        <v>14</v>
      </c>
      <c r="E695" s="136">
        <f t="shared" si="44"/>
        <v>6</v>
      </c>
      <c r="F695" s="128" t="s">
        <v>11</v>
      </c>
      <c r="G695" s="128" t="str">
        <f>VLOOKUP(source[[#This Row],[lending_product_transform]],[3]Mapping!$B$4:$C$37,2,0)</f>
        <v>[VDS] - Cashloan</v>
      </c>
      <c r="H695" s="128" t="str">
        <f>VLOOKUP(source[[#This Row],[lending_product_transform]],[3]Mapping!$B$3:$D$37,3,0)</f>
        <v>cashloan</v>
      </c>
      <c r="I695" s="135">
        <v>2075520000</v>
      </c>
    </row>
    <row r="696" spans="1:9" x14ac:dyDescent="0.2">
      <c r="A696" s="134">
        <v>45388</v>
      </c>
      <c r="B696" s="135">
        <f>YEAR(source[[#This Row],[report_date]])</f>
        <v>2024</v>
      </c>
      <c r="C696" s="136">
        <v>4</v>
      </c>
      <c r="D696" s="136">
        <f t="shared" si="43"/>
        <v>14</v>
      </c>
      <c r="E696" s="136">
        <f t="shared" si="44"/>
        <v>6</v>
      </c>
      <c r="F696" s="128" t="s">
        <v>61</v>
      </c>
      <c r="G696" s="128" t="str">
        <f>VLOOKUP(source[[#This Row],[lending_product_transform]],[3]Mapping!$B$4:$C$37,2,0)</f>
        <v>[VDS] - Payroll Payday</v>
      </c>
      <c r="H696" s="128" t="str">
        <f>VLOOKUP(source[[#This Row],[lending_product_transform]],[3]Mapping!$B$3:$D$37,3,0)</f>
        <v>payday</v>
      </c>
      <c r="I696" s="135">
        <v>55000000</v>
      </c>
    </row>
    <row r="697" spans="1:9" x14ac:dyDescent="0.2">
      <c r="A697" s="134">
        <v>45388</v>
      </c>
      <c r="B697" s="135">
        <f>YEAR(source[[#This Row],[report_date]])</f>
        <v>2024</v>
      </c>
      <c r="C697" s="136">
        <v>4</v>
      </c>
      <c r="D697" s="136">
        <f t="shared" si="43"/>
        <v>14</v>
      </c>
      <c r="E697" s="136">
        <f t="shared" si="44"/>
        <v>6</v>
      </c>
      <c r="F697" s="128" t="s">
        <v>62</v>
      </c>
      <c r="G697" s="128" t="str">
        <f>VLOOKUP(source[[#This Row],[lending_product_transform]],[3]Mapping!$B$4:$C$37,2,0)</f>
        <v>[VDS] - Paylater</v>
      </c>
      <c r="H697" s="128" t="str">
        <f>VLOOKUP(source[[#This Row],[lending_product_transform]],[3]Mapping!$B$3:$D$37,3,0)</f>
        <v>paylater</v>
      </c>
      <c r="I697" s="135">
        <v>0</v>
      </c>
    </row>
    <row r="698" spans="1:9" x14ac:dyDescent="0.2">
      <c r="A698" s="134">
        <v>45388</v>
      </c>
      <c r="B698" s="135">
        <f>YEAR(source[[#This Row],[report_date]])</f>
        <v>2024</v>
      </c>
      <c r="C698" s="136">
        <v>4</v>
      </c>
      <c r="D698" s="136">
        <f t="shared" si="43"/>
        <v>14</v>
      </c>
      <c r="E698" s="136">
        <f t="shared" si="44"/>
        <v>6</v>
      </c>
      <c r="F698" s="128" t="s">
        <v>56</v>
      </c>
      <c r="G698" s="128">
        <f>VLOOKUP(source[[#This Row],[lending_product_transform]],[3]Mapping!$B$4:$C$37,2,0)</f>
        <v>0</v>
      </c>
      <c r="H698" s="128">
        <f>VLOOKUP(source[[#This Row],[lending_product_transform]],[3]Mapping!$B$3:$D$37,3,0)</f>
        <v>0</v>
      </c>
      <c r="I698" s="135">
        <v>6169649265</v>
      </c>
    </row>
    <row r="699" spans="1:9" x14ac:dyDescent="0.2">
      <c r="A699" s="134">
        <v>45389</v>
      </c>
      <c r="B699" s="135">
        <f>YEAR(source[[#This Row],[report_date]])</f>
        <v>2024</v>
      </c>
      <c r="C699" s="136">
        <v>4</v>
      </c>
      <c r="D699" s="136">
        <f t="shared" si="43"/>
        <v>14</v>
      </c>
      <c r="E699" s="136">
        <f t="shared" si="44"/>
        <v>7</v>
      </c>
      <c r="F699" s="128" t="s">
        <v>65</v>
      </c>
      <c r="G699" s="128" t="str">
        <f>VLOOKUP(source[[#This Row],[lending_product_transform]],[3]Mapping!$B$4:$C$37,2,0)</f>
        <v>[BE] - Cashloan</v>
      </c>
      <c r="H699" s="128" t="str">
        <f>VLOOKUP(source[[#This Row],[lending_product_transform]],[3]Mapping!$B$3:$D$37,3,0)</f>
        <v>cashloan</v>
      </c>
      <c r="I699" s="135">
        <v>75600000</v>
      </c>
    </row>
    <row r="700" spans="1:9" x14ac:dyDescent="0.2">
      <c r="A700" s="134">
        <v>45389</v>
      </c>
      <c r="B700" s="135">
        <f>YEAR(source[[#This Row],[report_date]])</f>
        <v>2024</v>
      </c>
      <c r="C700" s="136">
        <v>4</v>
      </c>
      <c r="D700" s="136">
        <f t="shared" si="43"/>
        <v>14</v>
      </c>
      <c r="E700" s="136">
        <f t="shared" si="44"/>
        <v>7</v>
      </c>
      <c r="F700" s="128" t="s">
        <v>67</v>
      </c>
      <c r="G700" s="128" t="str">
        <f>VLOOKUP(source[[#This Row],[lending_product_transform]],[3]Mapping!$B$4:$C$37,2,0)</f>
        <v>[Cake] - Overdraft</v>
      </c>
      <c r="H700" s="128" t="str">
        <f>VLOOKUP(source[[#This Row],[lending_product_transform]],[3]Mapping!$B$3:$D$37,3,0)</f>
        <v>overdraft</v>
      </c>
      <c r="I700" s="135">
        <v>1560471811</v>
      </c>
    </row>
    <row r="701" spans="1:9" x14ac:dyDescent="0.2">
      <c r="A701" s="134">
        <v>45389</v>
      </c>
      <c r="B701" s="135">
        <f>YEAR(source[[#This Row],[report_date]])</f>
        <v>2024</v>
      </c>
      <c r="C701" s="136">
        <v>4</v>
      </c>
      <c r="D701" s="136">
        <f t="shared" si="43"/>
        <v>14</v>
      </c>
      <c r="E701" s="136">
        <f t="shared" si="44"/>
        <v>7</v>
      </c>
      <c r="F701" s="128" t="s">
        <v>19</v>
      </c>
      <c r="G701" s="128" t="str">
        <f>VLOOKUP(source[[#This Row],[lending_product_transform]],[3]Mapping!$B$4:$C$37,2,0)</f>
        <v>[VDS] - Payday</v>
      </c>
      <c r="H701" s="128" t="str">
        <f>VLOOKUP(source[[#This Row],[lending_product_transform]],[3]Mapping!$B$3:$D$37,3,0)</f>
        <v>payday</v>
      </c>
      <c r="I701" s="135">
        <v>1718000000</v>
      </c>
    </row>
    <row r="702" spans="1:9" x14ac:dyDescent="0.2">
      <c r="A702" s="134">
        <v>45389</v>
      </c>
      <c r="B702" s="135">
        <f>YEAR(source[[#This Row],[report_date]])</f>
        <v>2024</v>
      </c>
      <c r="C702" s="136">
        <v>4</v>
      </c>
      <c r="D702" s="136">
        <f t="shared" si="43"/>
        <v>14</v>
      </c>
      <c r="E702" s="136">
        <f t="shared" si="44"/>
        <v>7</v>
      </c>
      <c r="F702" s="128" t="s">
        <v>11</v>
      </c>
      <c r="G702" s="128" t="str">
        <f>VLOOKUP(source[[#This Row],[lending_product_transform]],[3]Mapping!$B$4:$C$37,2,0)</f>
        <v>[VDS] - Cashloan</v>
      </c>
      <c r="H702" s="128" t="str">
        <f>VLOOKUP(source[[#This Row],[lending_product_transform]],[3]Mapping!$B$3:$D$37,3,0)</f>
        <v>cashloan</v>
      </c>
      <c r="I702" s="135">
        <v>1724210000</v>
      </c>
    </row>
    <row r="703" spans="1:9" x14ac:dyDescent="0.2">
      <c r="A703" s="134">
        <v>45389</v>
      </c>
      <c r="B703" s="135">
        <f>YEAR(source[[#This Row],[report_date]])</f>
        <v>2024</v>
      </c>
      <c r="C703" s="136">
        <v>4</v>
      </c>
      <c r="D703" s="136">
        <f t="shared" si="43"/>
        <v>14</v>
      </c>
      <c r="E703" s="136">
        <f t="shared" si="44"/>
        <v>7</v>
      </c>
      <c r="F703" s="128" t="s">
        <v>58</v>
      </c>
      <c r="G703" s="128" t="str">
        <f>VLOOKUP(source[[#This Row],[lending_product_transform]],[3]Mapping!$B$4:$C$37,2,0)</f>
        <v>[VDS] - Payroll Cashloan</v>
      </c>
      <c r="H703" s="128" t="str">
        <f>VLOOKUP(source[[#This Row],[lending_product_transform]],[3]Mapping!$B$3:$D$37,3,0)</f>
        <v>cashloan</v>
      </c>
      <c r="I703" s="135">
        <v>31500000</v>
      </c>
    </row>
    <row r="704" spans="1:9" x14ac:dyDescent="0.2">
      <c r="A704" s="134">
        <v>45389</v>
      </c>
      <c r="B704" s="135">
        <f>YEAR(source[[#This Row],[report_date]])</f>
        <v>2024</v>
      </c>
      <c r="C704" s="136">
        <v>4</v>
      </c>
      <c r="D704" s="136">
        <f t="shared" si="43"/>
        <v>14</v>
      </c>
      <c r="E704" s="136">
        <f t="shared" si="44"/>
        <v>7</v>
      </c>
      <c r="F704" s="128" t="s">
        <v>61</v>
      </c>
      <c r="G704" s="128" t="str">
        <f>VLOOKUP(source[[#This Row],[lending_product_transform]],[3]Mapping!$B$4:$C$37,2,0)</f>
        <v>[VDS] - Payroll Payday</v>
      </c>
      <c r="H704" s="128" t="str">
        <f>VLOOKUP(source[[#This Row],[lending_product_transform]],[3]Mapping!$B$3:$D$37,3,0)</f>
        <v>payday</v>
      </c>
      <c r="I704" s="135">
        <v>25000000</v>
      </c>
    </row>
    <row r="705" spans="1:9" x14ac:dyDescent="0.2">
      <c r="A705" s="134">
        <v>45389</v>
      </c>
      <c r="B705" s="135">
        <f>YEAR(source[[#This Row],[report_date]])</f>
        <v>2024</v>
      </c>
      <c r="C705" s="136">
        <v>4</v>
      </c>
      <c r="D705" s="136">
        <f t="shared" si="43"/>
        <v>14</v>
      </c>
      <c r="E705" s="136">
        <f t="shared" si="44"/>
        <v>7</v>
      </c>
      <c r="F705" s="128" t="s">
        <v>56</v>
      </c>
      <c r="G705" s="128">
        <f>VLOOKUP(source[[#This Row],[lending_product_transform]],[3]Mapping!$B$4:$C$37,2,0)</f>
        <v>0</v>
      </c>
      <c r="H705" s="128">
        <f>VLOOKUP(source[[#This Row],[lending_product_transform]],[3]Mapping!$B$3:$D$37,3,0)</f>
        <v>0</v>
      </c>
      <c r="I705" s="135">
        <v>5134781811</v>
      </c>
    </row>
    <row r="706" spans="1:9" x14ac:dyDescent="0.2">
      <c r="A706" s="134">
        <v>45389</v>
      </c>
      <c r="B706" s="135">
        <f>YEAR(source[[#This Row],[report_date]])</f>
        <v>2024</v>
      </c>
      <c r="C706" s="136">
        <v>4</v>
      </c>
      <c r="D706" s="136">
        <f t="shared" si="43"/>
        <v>14</v>
      </c>
      <c r="E706" s="136">
        <f t="shared" si="44"/>
        <v>7</v>
      </c>
      <c r="F706" s="128" t="s">
        <v>62</v>
      </c>
      <c r="G706" s="128" t="str">
        <f>VLOOKUP(source[[#This Row],[lending_product_transform]],[3]Mapping!$B$4:$C$37,2,0)</f>
        <v>[VDS] - Paylater</v>
      </c>
      <c r="H706" s="128" t="str">
        <f>VLOOKUP(source[[#This Row],[lending_product_transform]],[3]Mapping!$B$3:$D$37,3,0)</f>
        <v>paylater</v>
      </c>
      <c r="I706" s="135">
        <v>0</v>
      </c>
    </row>
    <row r="707" spans="1:9" x14ac:dyDescent="0.2">
      <c r="A707" s="134">
        <v>45390</v>
      </c>
      <c r="B707" s="135">
        <f>YEAR(source[[#This Row],[report_date]])</f>
        <v>2024</v>
      </c>
      <c r="C707" s="136">
        <v>4</v>
      </c>
      <c r="D707" s="136">
        <f t="shared" ref="D707:D770" si="45">WEEKNUM(A707,2)</f>
        <v>15</v>
      </c>
      <c r="E707" s="136">
        <f t="shared" ref="E707:E770" si="46">DAY(A707)</f>
        <v>8</v>
      </c>
      <c r="F707" s="128" t="s">
        <v>19</v>
      </c>
      <c r="G707" s="128" t="str">
        <f>VLOOKUP(source[[#This Row],[lending_product_transform]],[3]Mapping!$B$4:$C$37,2,0)</f>
        <v>[VDS] - Payday</v>
      </c>
      <c r="H707" s="128" t="str">
        <f>VLOOKUP(source[[#This Row],[lending_product_transform]],[3]Mapping!$B$3:$D$37,3,0)</f>
        <v>payday</v>
      </c>
      <c r="I707" s="135">
        <v>2303500000</v>
      </c>
    </row>
    <row r="708" spans="1:9" x14ac:dyDescent="0.2">
      <c r="A708" s="134">
        <v>45390</v>
      </c>
      <c r="B708" s="135">
        <f>YEAR(source[[#This Row],[report_date]])</f>
        <v>2024</v>
      </c>
      <c r="C708" s="136">
        <v>4</v>
      </c>
      <c r="D708" s="136">
        <f t="shared" si="45"/>
        <v>15</v>
      </c>
      <c r="E708" s="136">
        <f t="shared" si="46"/>
        <v>8</v>
      </c>
      <c r="F708" s="128" t="s">
        <v>62</v>
      </c>
      <c r="G708" s="128" t="str">
        <f>VLOOKUP(source[[#This Row],[lending_product_transform]],[3]Mapping!$B$4:$C$37,2,0)</f>
        <v>[VDS] - Paylater</v>
      </c>
      <c r="H708" s="128" t="str">
        <f>VLOOKUP(source[[#This Row],[lending_product_transform]],[3]Mapping!$B$3:$D$37,3,0)</f>
        <v>paylater</v>
      </c>
      <c r="I708" s="135">
        <v>0</v>
      </c>
    </row>
    <row r="709" spans="1:9" x14ac:dyDescent="0.2">
      <c r="A709" s="134">
        <v>45390</v>
      </c>
      <c r="B709" s="135">
        <f>YEAR(source[[#This Row],[report_date]])</f>
        <v>2024</v>
      </c>
      <c r="C709" s="136">
        <v>4</v>
      </c>
      <c r="D709" s="136">
        <f t="shared" si="45"/>
        <v>15</v>
      </c>
      <c r="E709" s="136">
        <f t="shared" si="46"/>
        <v>8</v>
      </c>
      <c r="F709" s="128" t="s">
        <v>58</v>
      </c>
      <c r="G709" s="128" t="str">
        <f>VLOOKUP(source[[#This Row],[lending_product_transform]],[3]Mapping!$B$4:$C$37,2,0)</f>
        <v>[VDS] - Payroll Cashloan</v>
      </c>
      <c r="H709" s="128" t="str">
        <f>VLOOKUP(source[[#This Row],[lending_product_transform]],[3]Mapping!$B$3:$D$37,3,0)</f>
        <v>cashloan</v>
      </c>
      <c r="I709" s="135">
        <v>63000000</v>
      </c>
    </row>
    <row r="710" spans="1:9" x14ac:dyDescent="0.2">
      <c r="A710" s="134">
        <v>45390</v>
      </c>
      <c r="B710" s="135">
        <f>YEAR(source[[#This Row],[report_date]])</f>
        <v>2024</v>
      </c>
      <c r="C710" s="136">
        <v>4</v>
      </c>
      <c r="D710" s="136">
        <f t="shared" si="45"/>
        <v>15</v>
      </c>
      <c r="E710" s="136">
        <f t="shared" si="46"/>
        <v>8</v>
      </c>
      <c r="F710" s="128" t="s">
        <v>11</v>
      </c>
      <c r="G710" s="128" t="str">
        <f>VLOOKUP(source[[#This Row],[lending_product_transform]],[3]Mapping!$B$4:$C$37,2,0)</f>
        <v>[VDS] - Cashloan</v>
      </c>
      <c r="H710" s="128" t="str">
        <f>VLOOKUP(source[[#This Row],[lending_product_transform]],[3]Mapping!$B$3:$D$37,3,0)</f>
        <v>cashloan</v>
      </c>
      <c r="I710" s="135">
        <v>3138280000</v>
      </c>
    </row>
    <row r="711" spans="1:9" x14ac:dyDescent="0.2">
      <c r="A711" s="134">
        <v>45390</v>
      </c>
      <c r="B711" s="135">
        <f>YEAR(source[[#This Row],[report_date]])</f>
        <v>2024</v>
      </c>
      <c r="C711" s="136">
        <v>4</v>
      </c>
      <c r="D711" s="136">
        <f t="shared" si="45"/>
        <v>15</v>
      </c>
      <c r="E711" s="136">
        <f t="shared" si="46"/>
        <v>8</v>
      </c>
      <c r="F711" s="128" t="s">
        <v>65</v>
      </c>
      <c r="G711" s="128" t="str">
        <f>VLOOKUP(source[[#This Row],[lending_product_transform]],[3]Mapping!$B$4:$C$37,2,0)</f>
        <v>[BE] - Cashloan</v>
      </c>
      <c r="H711" s="128" t="str">
        <f>VLOOKUP(source[[#This Row],[lending_product_transform]],[3]Mapping!$B$3:$D$37,3,0)</f>
        <v>cashloan</v>
      </c>
      <c r="I711" s="135">
        <v>268800000</v>
      </c>
    </row>
    <row r="712" spans="1:9" x14ac:dyDescent="0.2">
      <c r="A712" s="134">
        <v>45390</v>
      </c>
      <c r="B712" s="135">
        <f>YEAR(source[[#This Row],[report_date]])</f>
        <v>2024</v>
      </c>
      <c r="C712" s="136">
        <v>4</v>
      </c>
      <c r="D712" s="136">
        <f t="shared" si="45"/>
        <v>15</v>
      </c>
      <c r="E712" s="136">
        <f t="shared" si="46"/>
        <v>8</v>
      </c>
      <c r="F712" s="128" t="s">
        <v>61</v>
      </c>
      <c r="G712" s="128" t="str">
        <f>VLOOKUP(source[[#This Row],[lending_product_transform]],[3]Mapping!$B$4:$C$37,2,0)</f>
        <v>[VDS] - Payroll Payday</v>
      </c>
      <c r="H712" s="128" t="str">
        <f>VLOOKUP(source[[#This Row],[lending_product_transform]],[3]Mapping!$B$3:$D$37,3,0)</f>
        <v>payday</v>
      </c>
      <c r="I712" s="135">
        <v>55000000</v>
      </c>
    </row>
    <row r="713" spans="1:9" x14ac:dyDescent="0.2">
      <c r="A713" s="134">
        <v>45390</v>
      </c>
      <c r="B713" s="135">
        <f>YEAR(source[[#This Row],[report_date]])</f>
        <v>2024</v>
      </c>
      <c r="C713" s="136">
        <v>4</v>
      </c>
      <c r="D713" s="136">
        <f t="shared" si="45"/>
        <v>15</v>
      </c>
      <c r="E713" s="136">
        <f t="shared" si="46"/>
        <v>8</v>
      </c>
      <c r="F713" s="128" t="s">
        <v>56</v>
      </c>
      <c r="G713" s="128">
        <f>VLOOKUP(source[[#This Row],[lending_product_transform]],[3]Mapping!$B$4:$C$37,2,0)</f>
        <v>0</v>
      </c>
      <c r="H713" s="128">
        <f>VLOOKUP(source[[#This Row],[lending_product_transform]],[3]Mapping!$B$3:$D$37,3,0)</f>
        <v>0</v>
      </c>
      <c r="I713" s="135">
        <v>8248143317</v>
      </c>
    </row>
    <row r="714" spans="1:9" x14ac:dyDescent="0.2">
      <c r="A714" s="134">
        <v>45390</v>
      </c>
      <c r="B714" s="135">
        <f>YEAR(source[[#This Row],[report_date]])</f>
        <v>2024</v>
      </c>
      <c r="C714" s="136">
        <v>4</v>
      </c>
      <c r="D714" s="136">
        <f t="shared" si="45"/>
        <v>15</v>
      </c>
      <c r="E714" s="136">
        <f t="shared" si="46"/>
        <v>8</v>
      </c>
      <c r="F714" s="128" t="s">
        <v>67</v>
      </c>
      <c r="G714" s="128" t="str">
        <f>VLOOKUP(source[[#This Row],[lending_product_transform]],[3]Mapping!$B$4:$C$37,2,0)</f>
        <v>[Cake] - Overdraft</v>
      </c>
      <c r="H714" s="128" t="str">
        <f>VLOOKUP(source[[#This Row],[lending_product_transform]],[3]Mapping!$B$3:$D$37,3,0)</f>
        <v>overdraft</v>
      </c>
      <c r="I714" s="135">
        <v>2419563317</v>
      </c>
    </row>
    <row r="715" spans="1:9" x14ac:dyDescent="0.2">
      <c r="A715" s="134">
        <v>45391</v>
      </c>
      <c r="B715" s="135">
        <f>YEAR(source[[#This Row],[report_date]])</f>
        <v>2024</v>
      </c>
      <c r="C715" s="136">
        <v>4</v>
      </c>
      <c r="D715" s="136">
        <f t="shared" si="45"/>
        <v>15</v>
      </c>
      <c r="E715" s="136">
        <f t="shared" si="46"/>
        <v>9</v>
      </c>
      <c r="F715" s="128" t="s">
        <v>65</v>
      </c>
      <c r="G715" s="128" t="str">
        <f>VLOOKUP(source[[#This Row],[lending_product_transform]],[3]Mapping!$B$4:$C$37,2,0)</f>
        <v>[BE] - Cashloan</v>
      </c>
      <c r="H715" s="128" t="str">
        <f>VLOOKUP(source[[#This Row],[lending_product_transform]],[3]Mapping!$B$3:$D$37,3,0)</f>
        <v>cashloan</v>
      </c>
      <c r="I715" s="135">
        <v>284550000</v>
      </c>
    </row>
    <row r="716" spans="1:9" x14ac:dyDescent="0.2">
      <c r="A716" s="134">
        <v>45391</v>
      </c>
      <c r="B716" s="135">
        <f>YEAR(source[[#This Row],[report_date]])</f>
        <v>2024</v>
      </c>
      <c r="C716" s="136">
        <v>4</v>
      </c>
      <c r="D716" s="136">
        <f t="shared" si="45"/>
        <v>15</v>
      </c>
      <c r="E716" s="136">
        <f t="shared" si="46"/>
        <v>9</v>
      </c>
      <c r="F716" s="128" t="s">
        <v>206</v>
      </c>
      <c r="G716" s="128" t="str">
        <f>VLOOKUP(source[[#This Row],[lending_product_transform]],[3]Mapping!$B$4:$C$37,2,0)</f>
        <v>[NGS] - Cashloan</v>
      </c>
      <c r="H716" s="128" t="str">
        <f>VLOOKUP(source[[#This Row],[lending_product_transform]],[3]Mapping!$B$3:$D$37,3,0)</f>
        <v>cashloan</v>
      </c>
      <c r="I716" s="135">
        <v>41730000</v>
      </c>
    </row>
    <row r="717" spans="1:9" x14ac:dyDescent="0.2">
      <c r="A717" s="134">
        <v>45391</v>
      </c>
      <c r="B717" s="135">
        <f>YEAR(source[[#This Row],[report_date]])</f>
        <v>2024</v>
      </c>
      <c r="C717" s="136">
        <v>4</v>
      </c>
      <c r="D717" s="136">
        <f t="shared" si="45"/>
        <v>15</v>
      </c>
      <c r="E717" s="136">
        <f t="shared" si="46"/>
        <v>9</v>
      </c>
      <c r="F717" s="128" t="s">
        <v>19</v>
      </c>
      <c r="G717" s="128" t="str">
        <f>VLOOKUP(source[[#This Row],[lending_product_transform]],[3]Mapping!$B$4:$C$37,2,0)</f>
        <v>[VDS] - Payday</v>
      </c>
      <c r="H717" s="128" t="str">
        <f>VLOOKUP(source[[#This Row],[lending_product_transform]],[3]Mapping!$B$3:$D$37,3,0)</f>
        <v>payday</v>
      </c>
      <c r="I717" s="135">
        <v>1910500000</v>
      </c>
    </row>
    <row r="718" spans="1:9" x14ac:dyDescent="0.2">
      <c r="A718" s="134">
        <v>45391</v>
      </c>
      <c r="B718" s="135">
        <f>YEAR(source[[#This Row],[report_date]])</f>
        <v>2024</v>
      </c>
      <c r="C718" s="136">
        <v>4</v>
      </c>
      <c r="D718" s="136">
        <f t="shared" si="45"/>
        <v>15</v>
      </c>
      <c r="E718" s="136">
        <f t="shared" si="46"/>
        <v>9</v>
      </c>
      <c r="F718" s="128" t="s">
        <v>11</v>
      </c>
      <c r="G718" s="128" t="str">
        <f>VLOOKUP(source[[#This Row],[lending_product_transform]],[3]Mapping!$B$4:$C$37,2,0)</f>
        <v>[VDS] - Cashloan</v>
      </c>
      <c r="H718" s="128" t="str">
        <f>VLOOKUP(source[[#This Row],[lending_product_transform]],[3]Mapping!$B$3:$D$37,3,0)</f>
        <v>cashloan</v>
      </c>
      <c r="I718" s="135">
        <v>2300330000</v>
      </c>
    </row>
    <row r="719" spans="1:9" x14ac:dyDescent="0.2">
      <c r="A719" s="134">
        <v>45391</v>
      </c>
      <c r="B719" s="135">
        <f>YEAR(source[[#This Row],[report_date]])</f>
        <v>2024</v>
      </c>
      <c r="C719" s="136">
        <v>4</v>
      </c>
      <c r="D719" s="136">
        <f t="shared" si="45"/>
        <v>15</v>
      </c>
      <c r="E719" s="136">
        <f t="shared" si="46"/>
        <v>9</v>
      </c>
      <c r="F719" s="128" t="s">
        <v>58</v>
      </c>
      <c r="G719" s="128" t="str">
        <f>VLOOKUP(source[[#This Row],[lending_product_transform]],[3]Mapping!$B$4:$C$37,2,0)</f>
        <v>[VDS] - Payroll Cashloan</v>
      </c>
      <c r="H719" s="128" t="str">
        <f>VLOOKUP(source[[#This Row],[lending_product_transform]],[3]Mapping!$B$3:$D$37,3,0)</f>
        <v>cashloan</v>
      </c>
      <c r="I719" s="135">
        <v>88200000</v>
      </c>
    </row>
    <row r="720" spans="1:9" x14ac:dyDescent="0.2">
      <c r="A720" s="134">
        <v>45391</v>
      </c>
      <c r="B720" s="135">
        <f>YEAR(source[[#This Row],[report_date]])</f>
        <v>2024</v>
      </c>
      <c r="C720" s="136">
        <v>4</v>
      </c>
      <c r="D720" s="136">
        <f t="shared" si="45"/>
        <v>15</v>
      </c>
      <c r="E720" s="136">
        <f t="shared" si="46"/>
        <v>9</v>
      </c>
      <c r="F720" s="128" t="s">
        <v>67</v>
      </c>
      <c r="G720" s="128" t="str">
        <f>VLOOKUP(source[[#This Row],[lending_product_transform]],[3]Mapping!$B$4:$C$37,2,0)</f>
        <v>[Cake] - Overdraft</v>
      </c>
      <c r="H720" s="128" t="str">
        <f>VLOOKUP(source[[#This Row],[lending_product_transform]],[3]Mapping!$B$3:$D$37,3,0)</f>
        <v>overdraft</v>
      </c>
      <c r="I720" s="135">
        <v>2030176958</v>
      </c>
    </row>
    <row r="721" spans="1:9" x14ac:dyDescent="0.2">
      <c r="A721" s="134">
        <v>45391</v>
      </c>
      <c r="B721" s="135">
        <f>YEAR(source[[#This Row],[report_date]])</f>
        <v>2024</v>
      </c>
      <c r="C721" s="136">
        <v>4</v>
      </c>
      <c r="D721" s="136">
        <f t="shared" si="45"/>
        <v>15</v>
      </c>
      <c r="E721" s="136">
        <f t="shared" si="46"/>
        <v>9</v>
      </c>
      <c r="F721" s="128" t="s">
        <v>62</v>
      </c>
      <c r="G721" s="128" t="str">
        <f>VLOOKUP(source[[#This Row],[lending_product_transform]],[3]Mapping!$B$4:$C$37,2,0)</f>
        <v>[VDS] - Paylater</v>
      </c>
      <c r="H721" s="128" t="str">
        <f>VLOOKUP(source[[#This Row],[lending_product_transform]],[3]Mapping!$B$3:$D$37,3,0)</f>
        <v>paylater</v>
      </c>
      <c r="I721" s="135">
        <v>0</v>
      </c>
    </row>
    <row r="722" spans="1:9" x14ac:dyDescent="0.2">
      <c r="A722" s="134">
        <v>45391</v>
      </c>
      <c r="B722" s="135">
        <f>YEAR(source[[#This Row],[report_date]])</f>
        <v>2024</v>
      </c>
      <c r="C722" s="136">
        <v>4</v>
      </c>
      <c r="D722" s="136">
        <f t="shared" si="45"/>
        <v>15</v>
      </c>
      <c r="E722" s="136">
        <f t="shared" si="46"/>
        <v>9</v>
      </c>
      <c r="F722" s="128" t="s">
        <v>56</v>
      </c>
      <c r="G722" s="128">
        <f>VLOOKUP(source[[#This Row],[lending_product_transform]],[3]Mapping!$B$4:$C$37,2,0)</f>
        <v>0</v>
      </c>
      <c r="H722" s="128">
        <f>VLOOKUP(source[[#This Row],[lending_product_transform]],[3]Mapping!$B$3:$D$37,3,0)</f>
        <v>0</v>
      </c>
      <c r="I722" s="135">
        <v>6668486958</v>
      </c>
    </row>
    <row r="723" spans="1:9" x14ac:dyDescent="0.2">
      <c r="A723" s="134">
        <v>45391</v>
      </c>
      <c r="B723" s="135">
        <f>YEAR(source[[#This Row],[report_date]])</f>
        <v>2024</v>
      </c>
      <c r="C723" s="136">
        <v>4</v>
      </c>
      <c r="D723" s="136">
        <f t="shared" si="45"/>
        <v>15</v>
      </c>
      <c r="E723" s="136">
        <f t="shared" si="46"/>
        <v>9</v>
      </c>
      <c r="F723" s="128" t="s">
        <v>61</v>
      </c>
      <c r="G723" s="128" t="str">
        <f>VLOOKUP(source[[#This Row],[lending_product_transform]],[3]Mapping!$B$4:$C$37,2,0)</f>
        <v>[VDS] - Payroll Payday</v>
      </c>
      <c r="H723" s="128" t="str">
        <f>VLOOKUP(source[[#This Row],[lending_product_transform]],[3]Mapping!$B$3:$D$37,3,0)</f>
        <v>payday</v>
      </c>
      <c r="I723" s="135">
        <v>13000000</v>
      </c>
    </row>
    <row r="724" spans="1:9" x14ac:dyDescent="0.2">
      <c r="A724" s="134">
        <v>45392</v>
      </c>
      <c r="B724" s="135">
        <f>YEAR(source[[#This Row],[report_date]])</f>
        <v>2024</v>
      </c>
      <c r="C724" s="136">
        <v>4</v>
      </c>
      <c r="D724" s="136">
        <f t="shared" si="45"/>
        <v>15</v>
      </c>
      <c r="E724" s="136">
        <f t="shared" si="46"/>
        <v>10</v>
      </c>
      <c r="F724" s="128" t="s">
        <v>58</v>
      </c>
      <c r="G724" s="128" t="str">
        <f>VLOOKUP(source[[#This Row],[lending_product_transform]],[3]Mapping!$B$4:$C$37,2,0)</f>
        <v>[VDS] - Payroll Cashloan</v>
      </c>
      <c r="H724" s="128" t="str">
        <f>VLOOKUP(source[[#This Row],[lending_product_transform]],[3]Mapping!$B$3:$D$37,3,0)</f>
        <v>cashloan</v>
      </c>
      <c r="I724" s="135">
        <v>57750000</v>
      </c>
    </row>
    <row r="725" spans="1:9" x14ac:dyDescent="0.2">
      <c r="A725" s="134">
        <v>45392</v>
      </c>
      <c r="B725" s="135">
        <f>YEAR(source[[#This Row],[report_date]])</f>
        <v>2024</v>
      </c>
      <c r="C725" s="136">
        <v>4</v>
      </c>
      <c r="D725" s="136">
        <f t="shared" si="45"/>
        <v>15</v>
      </c>
      <c r="E725" s="136">
        <f t="shared" si="46"/>
        <v>10</v>
      </c>
      <c r="F725" s="128" t="s">
        <v>19</v>
      </c>
      <c r="G725" s="128" t="str">
        <f>VLOOKUP(source[[#This Row],[lending_product_transform]],[3]Mapping!$B$4:$C$37,2,0)</f>
        <v>[VDS] - Payday</v>
      </c>
      <c r="H725" s="128" t="str">
        <f>VLOOKUP(source[[#This Row],[lending_product_transform]],[3]Mapping!$B$3:$D$37,3,0)</f>
        <v>payday</v>
      </c>
      <c r="I725" s="135">
        <v>2493000000</v>
      </c>
    </row>
    <row r="726" spans="1:9" x14ac:dyDescent="0.2">
      <c r="A726" s="134">
        <v>45392</v>
      </c>
      <c r="B726" s="135">
        <f>YEAR(source[[#This Row],[report_date]])</f>
        <v>2024</v>
      </c>
      <c r="C726" s="136">
        <v>4</v>
      </c>
      <c r="D726" s="136">
        <f t="shared" si="45"/>
        <v>15</v>
      </c>
      <c r="E726" s="136">
        <f t="shared" si="46"/>
        <v>10</v>
      </c>
      <c r="F726" s="128" t="s">
        <v>61</v>
      </c>
      <c r="G726" s="128" t="str">
        <f>VLOOKUP(source[[#This Row],[lending_product_transform]],[3]Mapping!$B$4:$C$37,2,0)</f>
        <v>[VDS] - Payroll Payday</v>
      </c>
      <c r="H726" s="128" t="str">
        <f>VLOOKUP(source[[#This Row],[lending_product_transform]],[3]Mapping!$B$3:$D$37,3,0)</f>
        <v>payday</v>
      </c>
      <c r="I726" s="135">
        <v>32000000</v>
      </c>
    </row>
    <row r="727" spans="1:9" x14ac:dyDescent="0.2">
      <c r="A727" s="134">
        <v>45392</v>
      </c>
      <c r="B727" s="135">
        <f>YEAR(source[[#This Row],[report_date]])</f>
        <v>2024</v>
      </c>
      <c r="C727" s="136">
        <v>4</v>
      </c>
      <c r="D727" s="136">
        <f t="shared" si="45"/>
        <v>15</v>
      </c>
      <c r="E727" s="136">
        <f t="shared" si="46"/>
        <v>10</v>
      </c>
      <c r="F727" s="128" t="s">
        <v>67</v>
      </c>
      <c r="G727" s="128" t="str">
        <f>VLOOKUP(source[[#This Row],[lending_product_transform]],[3]Mapping!$B$4:$C$37,2,0)</f>
        <v>[Cake] - Overdraft</v>
      </c>
      <c r="H727" s="128" t="str">
        <f>VLOOKUP(source[[#This Row],[lending_product_transform]],[3]Mapping!$B$3:$D$37,3,0)</f>
        <v>overdraft</v>
      </c>
      <c r="I727" s="135">
        <v>2554247508</v>
      </c>
    </row>
    <row r="728" spans="1:9" x14ac:dyDescent="0.2">
      <c r="A728" s="134">
        <v>45392</v>
      </c>
      <c r="B728" s="135">
        <f>YEAR(source[[#This Row],[report_date]])</f>
        <v>2024</v>
      </c>
      <c r="C728" s="136">
        <v>4</v>
      </c>
      <c r="D728" s="136">
        <f t="shared" si="45"/>
        <v>15</v>
      </c>
      <c r="E728" s="136">
        <f t="shared" si="46"/>
        <v>10</v>
      </c>
      <c r="F728" s="128" t="s">
        <v>56</v>
      </c>
      <c r="G728" s="128">
        <f>VLOOKUP(source[[#This Row],[lending_product_transform]],[3]Mapping!$B$4:$C$37,2,0)</f>
        <v>0</v>
      </c>
      <c r="H728" s="128">
        <f>VLOOKUP(source[[#This Row],[lending_product_transform]],[3]Mapping!$B$3:$D$37,3,0)</f>
        <v>0</v>
      </c>
      <c r="I728" s="135">
        <v>9511717508</v>
      </c>
    </row>
    <row r="729" spans="1:9" x14ac:dyDescent="0.2">
      <c r="A729" s="134">
        <v>45392</v>
      </c>
      <c r="B729" s="135">
        <f>YEAR(source[[#This Row],[report_date]])</f>
        <v>2024</v>
      </c>
      <c r="C729" s="136">
        <v>4</v>
      </c>
      <c r="D729" s="136">
        <f t="shared" si="45"/>
        <v>15</v>
      </c>
      <c r="E729" s="136">
        <f t="shared" si="46"/>
        <v>10</v>
      </c>
      <c r="F729" s="128" t="s">
        <v>62</v>
      </c>
      <c r="G729" s="128" t="str">
        <f>VLOOKUP(source[[#This Row],[lending_product_transform]],[3]Mapping!$B$4:$C$37,2,0)</f>
        <v>[VDS] - Paylater</v>
      </c>
      <c r="H729" s="128" t="str">
        <f>VLOOKUP(source[[#This Row],[lending_product_transform]],[3]Mapping!$B$3:$D$37,3,0)</f>
        <v>paylater</v>
      </c>
      <c r="I729" s="135">
        <v>0</v>
      </c>
    </row>
    <row r="730" spans="1:9" x14ac:dyDescent="0.2">
      <c r="A730" s="134">
        <v>45392</v>
      </c>
      <c r="B730" s="135">
        <f>YEAR(source[[#This Row],[report_date]])</f>
        <v>2024</v>
      </c>
      <c r="C730" s="136">
        <v>4</v>
      </c>
      <c r="D730" s="136">
        <f t="shared" si="45"/>
        <v>15</v>
      </c>
      <c r="E730" s="136">
        <f t="shared" si="46"/>
        <v>10</v>
      </c>
      <c r="F730" s="128" t="s">
        <v>65</v>
      </c>
      <c r="G730" s="128" t="str">
        <f>VLOOKUP(source[[#This Row],[lending_product_transform]],[3]Mapping!$B$4:$C$37,2,0)</f>
        <v>[BE] - Cashloan</v>
      </c>
      <c r="H730" s="128" t="str">
        <f>VLOOKUP(source[[#This Row],[lending_product_transform]],[3]Mapping!$B$3:$D$37,3,0)</f>
        <v>cashloan</v>
      </c>
      <c r="I730" s="135">
        <v>117600000</v>
      </c>
    </row>
    <row r="731" spans="1:9" x14ac:dyDescent="0.2">
      <c r="A731" s="134">
        <v>45392</v>
      </c>
      <c r="B731" s="135">
        <f>YEAR(source[[#This Row],[report_date]])</f>
        <v>2024</v>
      </c>
      <c r="C731" s="136">
        <v>4</v>
      </c>
      <c r="D731" s="136">
        <f t="shared" si="45"/>
        <v>15</v>
      </c>
      <c r="E731" s="136">
        <f t="shared" si="46"/>
        <v>10</v>
      </c>
      <c r="F731" s="128" t="s">
        <v>206</v>
      </c>
      <c r="G731" s="128" t="str">
        <f>VLOOKUP(source[[#This Row],[lending_product_transform]],[3]Mapping!$B$4:$C$37,2,0)</f>
        <v>[NGS] - Cashloan</v>
      </c>
      <c r="H731" s="128" t="str">
        <f>VLOOKUP(source[[#This Row],[lending_product_transform]],[3]Mapping!$B$3:$D$37,3,0)</f>
        <v>cashloan</v>
      </c>
      <c r="I731" s="135">
        <v>24610000</v>
      </c>
    </row>
    <row r="732" spans="1:9" x14ac:dyDescent="0.2">
      <c r="A732" s="134">
        <v>45392</v>
      </c>
      <c r="B732" s="135">
        <f>YEAR(source[[#This Row],[report_date]])</f>
        <v>2024</v>
      </c>
      <c r="C732" s="136">
        <v>4</v>
      </c>
      <c r="D732" s="136">
        <f t="shared" si="45"/>
        <v>15</v>
      </c>
      <c r="E732" s="136">
        <f t="shared" si="46"/>
        <v>10</v>
      </c>
      <c r="F732" s="128" t="s">
        <v>11</v>
      </c>
      <c r="G732" s="128" t="str">
        <f>VLOOKUP(source[[#This Row],[lending_product_transform]],[3]Mapping!$B$4:$C$37,2,0)</f>
        <v>[VDS] - Cashloan</v>
      </c>
      <c r="H732" s="128" t="str">
        <f>VLOOKUP(source[[#This Row],[lending_product_transform]],[3]Mapping!$B$3:$D$37,3,0)</f>
        <v>cashloan</v>
      </c>
      <c r="I732" s="135">
        <v>4232510000</v>
      </c>
    </row>
    <row r="733" spans="1:9" x14ac:dyDescent="0.2">
      <c r="A733" s="134">
        <v>45393</v>
      </c>
      <c r="B733" s="135">
        <f>YEAR(source[[#This Row],[report_date]])</f>
        <v>2024</v>
      </c>
      <c r="C733" s="136">
        <v>4</v>
      </c>
      <c r="D733" s="136">
        <f t="shared" si="45"/>
        <v>15</v>
      </c>
      <c r="E733" s="136">
        <f t="shared" si="46"/>
        <v>11</v>
      </c>
      <c r="F733" s="128" t="s">
        <v>11</v>
      </c>
      <c r="G733" s="128" t="str">
        <f>VLOOKUP(source[[#This Row],[lending_product_transform]],[3]Mapping!$B$4:$C$37,2,0)</f>
        <v>[VDS] - Cashloan</v>
      </c>
      <c r="H733" s="128" t="str">
        <f>VLOOKUP(source[[#This Row],[lending_product_transform]],[3]Mapping!$B$3:$D$37,3,0)</f>
        <v>cashloan</v>
      </c>
      <c r="I733" s="135">
        <v>4193370000</v>
      </c>
    </row>
    <row r="734" spans="1:9" x14ac:dyDescent="0.2">
      <c r="A734" s="134">
        <v>45393</v>
      </c>
      <c r="B734" s="135">
        <f>YEAR(source[[#This Row],[report_date]])</f>
        <v>2024</v>
      </c>
      <c r="C734" s="136">
        <v>4</v>
      </c>
      <c r="D734" s="136">
        <f t="shared" si="45"/>
        <v>15</v>
      </c>
      <c r="E734" s="136">
        <f t="shared" si="46"/>
        <v>11</v>
      </c>
      <c r="F734" s="128" t="s">
        <v>56</v>
      </c>
      <c r="G734" s="128">
        <f>VLOOKUP(source[[#This Row],[lending_product_transform]],[3]Mapping!$B$4:$C$37,2,0)</f>
        <v>0</v>
      </c>
      <c r="H734" s="128">
        <f>VLOOKUP(source[[#This Row],[lending_product_transform]],[3]Mapping!$B$3:$D$37,3,0)</f>
        <v>0</v>
      </c>
      <c r="I734" s="135">
        <v>8639804872</v>
      </c>
    </row>
    <row r="735" spans="1:9" x14ac:dyDescent="0.2">
      <c r="A735" s="134">
        <v>45393</v>
      </c>
      <c r="B735" s="135">
        <f>YEAR(source[[#This Row],[report_date]])</f>
        <v>2024</v>
      </c>
      <c r="C735" s="136">
        <v>4</v>
      </c>
      <c r="D735" s="136">
        <f t="shared" si="45"/>
        <v>15</v>
      </c>
      <c r="E735" s="136">
        <f t="shared" si="46"/>
        <v>11</v>
      </c>
      <c r="F735" s="128" t="s">
        <v>62</v>
      </c>
      <c r="G735" s="128" t="str">
        <f>VLOOKUP(source[[#This Row],[lending_product_transform]],[3]Mapping!$B$4:$C$37,2,0)</f>
        <v>[VDS] - Paylater</v>
      </c>
      <c r="H735" s="128" t="str">
        <f>VLOOKUP(source[[#This Row],[lending_product_transform]],[3]Mapping!$B$3:$D$37,3,0)</f>
        <v>paylater</v>
      </c>
      <c r="I735" s="135">
        <v>0</v>
      </c>
    </row>
    <row r="736" spans="1:9" x14ac:dyDescent="0.2">
      <c r="A736" s="134">
        <v>45393</v>
      </c>
      <c r="B736" s="135">
        <f>YEAR(source[[#This Row],[report_date]])</f>
        <v>2024</v>
      </c>
      <c r="C736" s="136">
        <v>4</v>
      </c>
      <c r="D736" s="136">
        <f t="shared" si="45"/>
        <v>15</v>
      </c>
      <c r="E736" s="136">
        <f t="shared" si="46"/>
        <v>11</v>
      </c>
      <c r="F736" s="128" t="s">
        <v>67</v>
      </c>
      <c r="G736" s="128" t="str">
        <f>VLOOKUP(source[[#This Row],[lending_product_transform]],[3]Mapping!$B$4:$C$37,2,0)</f>
        <v>[Cake] - Overdraft</v>
      </c>
      <c r="H736" s="128" t="str">
        <f>VLOOKUP(source[[#This Row],[lending_product_transform]],[3]Mapping!$B$3:$D$37,3,0)</f>
        <v>overdraft</v>
      </c>
      <c r="I736" s="135">
        <v>1851514872</v>
      </c>
    </row>
    <row r="737" spans="1:9" x14ac:dyDescent="0.2">
      <c r="A737" s="134">
        <v>45393</v>
      </c>
      <c r="B737" s="135">
        <f>YEAR(source[[#This Row],[report_date]])</f>
        <v>2024</v>
      </c>
      <c r="C737" s="136">
        <v>4</v>
      </c>
      <c r="D737" s="136">
        <f t="shared" si="45"/>
        <v>15</v>
      </c>
      <c r="E737" s="136">
        <f t="shared" si="46"/>
        <v>11</v>
      </c>
      <c r="F737" s="128" t="s">
        <v>206</v>
      </c>
      <c r="G737" s="128" t="str">
        <f>VLOOKUP(source[[#This Row],[lending_product_transform]],[3]Mapping!$B$4:$C$37,2,0)</f>
        <v>[NGS] - Cashloan</v>
      </c>
      <c r="H737" s="128" t="str">
        <f>VLOOKUP(source[[#This Row],[lending_product_transform]],[3]Mapping!$B$3:$D$37,3,0)</f>
        <v>cashloan</v>
      </c>
      <c r="I737" s="135">
        <v>59920000</v>
      </c>
    </row>
    <row r="738" spans="1:9" x14ac:dyDescent="0.2">
      <c r="A738" s="134">
        <v>45393</v>
      </c>
      <c r="B738" s="135">
        <f>YEAR(source[[#This Row],[report_date]])</f>
        <v>2024</v>
      </c>
      <c r="C738" s="136">
        <v>4</v>
      </c>
      <c r="D738" s="136">
        <f t="shared" si="45"/>
        <v>15</v>
      </c>
      <c r="E738" s="136">
        <f t="shared" si="46"/>
        <v>11</v>
      </c>
      <c r="F738" s="128" t="s">
        <v>58</v>
      </c>
      <c r="G738" s="128" t="str">
        <f>VLOOKUP(source[[#This Row],[lending_product_transform]],[3]Mapping!$B$4:$C$37,2,0)</f>
        <v>[VDS] - Payroll Cashloan</v>
      </c>
      <c r="H738" s="128" t="str">
        <f>VLOOKUP(source[[#This Row],[lending_product_transform]],[3]Mapping!$B$3:$D$37,3,0)</f>
        <v>cashloan</v>
      </c>
      <c r="I738" s="135">
        <v>62500000</v>
      </c>
    </row>
    <row r="739" spans="1:9" x14ac:dyDescent="0.2">
      <c r="A739" s="134">
        <v>45393</v>
      </c>
      <c r="B739" s="135">
        <f>YEAR(source[[#This Row],[report_date]])</f>
        <v>2024</v>
      </c>
      <c r="C739" s="136">
        <v>4</v>
      </c>
      <c r="D739" s="136">
        <f t="shared" si="45"/>
        <v>15</v>
      </c>
      <c r="E739" s="136">
        <f t="shared" si="46"/>
        <v>11</v>
      </c>
      <c r="F739" s="128" t="s">
        <v>65</v>
      </c>
      <c r="G739" s="128" t="str">
        <f>VLOOKUP(source[[#This Row],[lending_product_transform]],[3]Mapping!$B$4:$C$37,2,0)</f>
        <v>[BE] - Cashloan</v>
      </c>
      <c r="H739" s="128" t="str">
        <f>VLOOKUP(source[[#This Row],[lending_product_transform]],[3]Mapping!$B$3:$D$37,3,0)</f>
        <v>cashloan</v>
      </c>
      <c r="I739" s="135">
        <v>115000000</v>
      </c>
    </row>
    <row r="740" spans="1:9" x14ac:dyDescent="0.2">
      <c r="A740" s="134">
        <v>45393</v>
      </c>
      <c r="B740" s="135">
        <f>YEAR(source[[#This Row],[report_date]])</f>
        <v>2024</v>
      </c>
      <c r="C740" s="136">
        <v>4</v>
      </c>
      <c r="D740" s="136">
        <f t="shared" si="45"/>
        <v>15</v>
      </c>
      <c r="E740" s="136">
        <f t="shared" si="46"/>
        <v>11</v>
      </c>
      <c r="F740" s="128" t="s">
        <v>61</v>
      </c>
      <c r="G740" s="128" t="str">
        <f>VLOOKUP(source[[#This Row],[lending_product_transform]],[3]Mapping!$B$4:$C$37,2,0)</f>
        <v>[VDS] - Payroll Payday</v>
      </c>
      <c r="H740" s="128" t="str">
        <f>VLOOKUP(source[[#This Row],[lending_product_transform]],[3]Mapping!$B$3:$D$37,3,0)</f>
        <v>payday</v>
      </c>
      <c r="I740" s="135">
        <v>39000000</v>
      </c>
    </row>
    <row r="741" spans="1:9" x14ac:dyDescent="0.2">
      <c r="A741" s="134">
        <v>45393</v>
      </c>
      <c r="B741" s="135">
        <f>YEAR(source[[#This Row],[report_date]])</f>
        <v>2024</v>
      </c>
      <c r="C741" s="136">
        <v>4</v>
      </c>
      <c r="D741" s="136">
        <f t="shared" si="45"/>
        <v>15</v>
      </c>
      <c r="E741" s="136">
        <f t="shared" si="46"/>
        <v>11</v>
      </c>
      <c r="F741" s="128" t="s">
        <v>19</v>
      </c>
      <c r="G741" s="128" t="str">
        <f>VLOOKUP(source[[#This Row],[lending_product_transform]],[3]Mapping!$B$4:$C$37,2,0)</f>
        <v>[VDS] - Payday</v>
      </c>
      <c r="H741" s="128" t="str">
        <f>VLOOKUP(source[[#This Row],[lending_product_transform]],[3]Mapping!$B$3:$D$37,3,0)</f>
        <v>payday</v>
      </c>
      <c r="I741" s="135">
        <v>2318500000</v>
      </c>
    </row>
    <row r="742" spans="1:9" x14ac:dyDescent="0.2">
      <c r="A742" s="134">
        <v>45394</v>
      </c>
      <c r="B742" s="135">
        <f>YEAR(source[[#This Row],[report_date]])</f>
        <v>2024</v>
      </c>
      <c r="C742" s="136">
        <v>4</v>
      </c>
      <c r="D742" s="136">
        <f t="shared" si="45"/>
        <v>15</v>
      </c>
      <c r="E742" s="136">
        <f t="shared" si="46"/>
        <v>12</v>
      </c>
      <c r="F742" s="128" t="s">
        <v>206</v>
      </c>
      <c r="G742" s="128" t="str">
        <f>VLOOKUP(source[[#This Row],[lending_product_transform]],[3]Mapping!$B$4:$C$37,2,0)</f>
        <v>[NGS] - Cashloan</v>
      </c>
      <c r="H742" s="128" t="str">
        <f>VLOOKUP(source[[#This Row],[lending_product_transform]],[3]Mapping!$B$3:$D$37,3,0)</f>
        <v>cashloan</v>
      </c>
      <c r="I742" s="135">
        <v>165850000</v>
      </c>
    </row>
    <row r="743" spans="1:9" x14ac:dyDescent="0.2">
      <c r="A743" s="134">
        <v>45394</v>
      </c>
      <c r="B743" s="135">
        <f>YEAR(source[[#This Row],[report_date]])</f>
        <v>2024</v>
      </c>
      <c r="C743" s="136">
        <v>4</v>
      </c>
      <c r="D743" s="136">
        <f t="shared" si="45"/>
        <v>15</v>
      </c>
      <c r="E743" s="136">
        <f t="shared" si="46"/>
        <v>12</v>
      </c>
      <c r="F743" s="128" t="s">
        <v>11</v>
      </c>
      <c r="G743" s="128" t="str">
        <f>VLOOKUP(source[[#This Row],[lending_product_transform]],[3]Mapping!$B$4:$C$37,2,0)</f>
        <v>[VDS] - Cashloan</v>
      </c>
      <c r="H743" s="128" t="str">
        <f>VLOOKUP(source[[#This Row],[lending_product_transform]],[3]Mapping!$B$3:$D$37,3,0)</f>
        <v>cashloan</v>
      </c>
      <c r="I743" s="135">
        <v>3871010000</v>
      </c>
    </row>
    <row r="744" spans="1:9" x14ac:dyDescent="0.2">
      <c r="A744" s="134">
        <v>45394</v>
      </c>
      <c r="B744" s="135">
        <f>YEAR(source[[#This Row],[report_date]])</f>
        <v>2024</v>
      </c>
      <c r="C744" s="136">
        <v>4</v>
      </c>
      <c r="D744" s="136">
        <f t="shared" si="45"/>
        <v>15</v>
      </c>
      <c r="E744" s="136">
        <f t="shared" si="46"/>
        <v>12</v>
      </c>
      <c r="F744" s="128" t="s">
        <v>67</v>
      </c>
      <c r="G744" s="128" t="str">
        <f>VLOOKUP(source[[#This Row],[lending_product_transform]],[3]Mapping!$B$4:$C$37,2,0)</f>
        <v>[Cake] - Overdraft</v>
      </c>
      <c r="H744" s="128" t="str">
        <f>VLOOKUP(source[[#This Row],[lending_product_transform]],[3]Mapping!$B$3:$D$37,3,0)</f>
        <v>overdraft</v>
      </c>
      <c r="I744" s="135">
        <v>1871598023</v>
      </c>
    </row>
    <row r="745" spans="1:9" x14ac:dyDescent="0.2">
      <c r="A745" s="134">
        <v>45394</v>
      </c>
      <c r="B745" s="135">
        <f>YEAR(source[[#This Row],[report_date]])</f>
        <v>2024</v>
      </c>
      <c r="C745" s="136">
        <v>4</v>
      </c>
      <c r="D745" s="136">
        <f t="shared" si="45"/>
        <v>15</v>
      </c>
      <c r="E745" s="136">
        <f t="shared" si="46"/>
        <v>12</v>
      </c>
      <c r="F745" s="128" t="s">
        <v>62</v>
      </c>
      <c r="G745" s="128" t="str">
        <f>VLOOKUP(source[[#This Row],[lending_product_transform]],[3]Mapping!$B$4:$C$37,2,0)</f>
        <v>[VDS] - Paylater</v>
      </c>
      <c r="H745" s="128" t="str">
        <f>VLOOKUP(source[[#This Row],[lending_product_transform]],[3]Mapping!$B$3:$D$37,3,0)</f>
        <v>paylater</v>
      </c>
      <c r="I745" s="135">
        <v>0</v>
      </c>
    </row>
    <row r="746" spans="1:9" x14ac:dyDescent="0.2">
      <c r="A746" s="134">
        <v>45394</v>
      </c>
      <c r="B746" s="135">
        <f>YEAR(source[[#This Row],[report_date]])</f>
        <v>2024</v>
      </c>
      <c r="C746" s="136">
        <v>4</v>
      </c>
      <c r="D746" s="136">
        <f t="shared" si="45"/>
        <v>15</v>
      </c>
      <c r="E746" s="136">
        <f t="shared" si="46"/>
        <v>12</v>
      </c>
      <c r="F746" s="128" t="s">
        <v>61</v>
      </c>
      <c r="G746" s="128" t="str">
        <f>VLOOKUP(source[[#This Row],[lending_product_transform]],[3]Mapping!$B$4:$C$37,2,0)</f>
        <v>[VDS] - Payroll Payday</v>
      </c>
      <c r="H746" s="128" t="str">
        <f>VLOOKUP(source[[#This Row],[lending_product_transform]],[3]Mapping!$B$3:$D$37,3,0)</f>
        <v>payday</v>
      </c>
      <c r="I746" s="135">
        <v>35000000</v>
      </c>
    </row>
    <row r="747" spans="1:9" x14ac:dyDescent="0.2">
      <c r="A747" s="134">
        <v>45394</v>
      </c>
      <c r="B747" s="135">
        <f>YEAR(source[[#This Row],[report_date]])</f>
        <v>2024</v>
      </c>
      <c r="C747" s="136">
        <v>4</v>
      </c>
      <c r="D747" s="136">
        <f t="shared" si="45"/>
        <v>15</v>
      </c>
      <c r="E747" s="136">
        <f t="shared" si="46"/>
        <v>12</v>
      </c>
      <c r="F747" s="128" t="s">
        <v>19</v>
      </c>
      <c r="G747" s="128" t="str">
        <f>VLOOKUP(source[[#This Row],[lending_product_transform]],[3]Mapping!$B$4:$C$37,2,0)</f>
        <v>[VDS] - Payday</v>
      </c>
      <c r="H747" s="128" t="str">
        <f>VLOOKUP(source[[#This Row],[lending_product_transform]],[3]Mapping!$B$3:$D$37,3,0)</f>
        <v>payday</v>
      </c>
      <c r="I747" s="135">
        <v>2046000000</v>
      </c>
    </row>
    <row r="748" spans="1:9" x14ac:dyDescent="0.2">
      <c r="A748" s="134">
        <v>45394</v>
      </c>
      <c r="B748" s="135">
        <f>YEAR(source[[#This Row],[report_date]])</f>
        <v>2024</v>
      </c>
      <c r="C748" s="136">
        <v>4</v>
      </c>
      <c r="D748" s="136">
        <f t="shared" si="45"/>
        <v>15</v>
      </c>
      <c r="E748" s="136">
        <f t="shared" si="46"/>
        <v>12</v>
      </c>
      <c r="F748" s="128" t="s">
        <v>65</v>
      </c>
      <c r="G748" s="128" t="str">
        <f>VLOOKUP(source[[#This Row],[lending_product_transform]],[3]Mapping!$B$4:$C$37,2,0)</f>
        <v>[BE] - Cashloan</v>
      </c>
      <c r="H748" s="128" t="str">
        <f>VLOOKUP(source[[#This Row],[lending_product_transform]],[3]Mapping!$B$3:$D$37,3,0)</f>
        <v>cashloan</v>
      </c>
      <c r="I748" s="135">
        <v>110800000</v>
      </c>
    </row>
    <row r="749" spans="1:9" x14ac:dyDescent="0.2">
      <c r="A749" s="134">
        <v>45394</v>
      </c>
      <c r="B749" s="135">
        <f>YEAR(source[[#This Row],[report_date]])</f>
        <v>2024</v>
      </c>
      <c r="C749" s="136">
        <v>4</v>
      </c>
      <c r="D749" s="136">
        <f t="shared" si="45"/>
        <v>15</v>
      </c>
      <c r="E749" s="136">
        <f t="shared" si="46"/>
        <v>12</v>
      </c>
      <c r="F749" s="128" t="s">
        <v>56</v>
      </c>
      <c r="G749" s="128">
        <f>VLOOKUP(source[[#This Row],[lending_product_transform]],[3]Mapping!$B$4:$C$37,2,0)</f>
        <v>0</v>
      </c>
      <c r="H749" s="128">
        <f>VLOOKUP(source[[#This Row],[lending_product_transform]],[3]Mapping!$B$3:$D$37,3,0)</f>
        <v>0</v>
      </c>
      <c r="I749" s="135">
        <v>8206308023</v>
      </c>
    </row>
    <row r="750" spans="1:9" x14ac:dyDescent="0.2">
      <c r="A750" s="134">
        <v>45394</v>
      </c>
      <c r="B750" s="135">
        <f>YEAR(source[[#This Row],[report_date]])</f>
        <v>2024</v>
      </c>
      <c r="C750" s="136">
        <v>4</v>
      </c>
      <c r="D750" s="136">
        <f t="shared" si="45"/>
        <v>15</v>
      </c>
      <c r="E750" s="136">
        <f t="shared" si="46"/>
        <v>12</v>
      </c>
      <c r="F750" s="128" t="s">
        <v>58</v>
      </c>
      <c r="G750" s="128" t="str">
        <f>VLOOKUP(source[[#This Row],[lending_product_transform]],[3]Mapping!$B$4:$C$37,2,0)</f>
        <v>[VDS] - Payroll Cashloan</v>
      </c>
      <c r="H750" s="128" t="str">
        <f>VLOOKUP(source[[#This Row],[lending_product_transform]],[3]Mapping!$B$3:$D$37,3,0)</f>
        <v>cashloan</v>
      </c>
      <c r="I750" s="135">
        <v>106050000</v>
      </c>
    </row>
    <row r="751" spans="1:9" x14ac:dyDescent="0.2">
      <c r="A751" s="134">
        <v>45395</v>
      </c>
      <c r="B751" s="135">
        <f>YEAR(source[[#This Row],[report_date]])</f>
        <v>2024</v>
      </c>
      <c r="C751" s="136">
        <v>4</v>
      </c>
      <c r="D751" s="136">
        <f t="shared" si="45"/>
        <v>15</v>
      </c>
      <c r="E751" s="136">
        <f t="shared" si="46"/>
        <v>13</v>
      </c>
      <c r="F751" s="128" t="s">
        <v>19</v>
      </c>
      <c r="G751" s="128" t="str">
        <f>VLOOKUP(source[[#This Row],[lending_product_transform]],[3]Mapping!$B$4:$C$37,2,0)</f>
        <v>[VDS] - Payday</v>
      </c>
      <c r="H751" s="128" t="str">
        <f>VLOOKUP(source[[#This Row],[lending_product_transform]],[3]Mapping!$B$3:$D$37,3,0)</f>
        <v>payday</v>
      </c>
      <c r="I751" s="135">
        <v>2223000000</v>
      </c>
    </row>
    <row r="752" spans="1:9" x14ac:dyDescent="0.2">
      <c r="A752" s="134">
        <v>45395</v>
      </c>
      <c r="B752" s="135">
        <f>YEAR(source[[#This Row],[report_date]])</f>
        <v>2024</v>
      </c>
      <c r="C752" s="136">
        <v>4</v>
      </c>
      <c r="D752" s="136">
        <f t="shared" si="45"/>
        <v>15</v>
      </c>
      <c r="E752" s="136">
        <f t="shared" si="46"/>
        <v>13</v>
      </c>
      <c r="F752" s="128" t="s">
        <v>11</v>
      </c>
      <c r="G752" s="128" t="str">
        <f>VLOOKUP(source[[#This Row],[lending_product_transform]],[3]Mapping!$B$4:$C$37,2,0)</f>
        <v>[VDS] - Cashloan</v>
      </c>
      <c r="H752" s="128" t="str">
        <f>VLOOKUP(source[[#This Row],[lending_product_transform]],[3]Mapping!$B$3:$D$37,3,0)</f>
        <v>cashloan</v>
      </c>
      <c r="I752" s="135">
        <v>3379420000</v>
      </c>
    </row>
    <row r="753" spans="1:9" x14ac:dyDescent="0.2">
      <c r="A753" s="134">
        <v>45395</v>
      </c>
      <c r="B753" s="135">
        <f>YEAR(source[[#This Row],[report_date]])</f>
        <v>2024</v>
      </c>
      <c r="C753" s="136">
        <v>4</v>
      </c>
      <c r="D753" s="136">
        <f t="shared" si="45"/>
        <v>15</v>
      </c>
      <c r="E753" s="136">
        <f t="shared" si="46"/>
        <v>13</v>
      </c>
      <c r="F753" s="128" t="s">
        <v>65</v>
      </c>
      <c r="G753" s="128" t="str">
        <f>VLOOKUP(source[[#This Row],[lending_product_transform]],[3]Mapping!$B$4:$C$37,2,0)</f>
        <v>[BE] - Cashloan</v>
      </c>
      <c r="H753" s="128" t="str">
        <f>VLOOKUP(source[[#This Row],[lending_product_transform]],[3]Mapping!$B$3:$D$37,3,0)</f>
        <v>cashloan</v>
      </c>
      <c r="I753" s="135">
        <v>125000000</v>
      </c>
    </row>
    <row r="754" spans="1:9" x14ac:dyDescent="0.2">
      <c r="A754" s="134">
        <v>45395</v>
      </c>
      <c r="B754" s="135">
        <f>YEAR(source[[#This Row],[report_date]])</f>
        <v>2024</v>
      </c>
      <c r="C754" s="136">
        <v>4</v>
      </c>
      <c r="D754" s="136">
        <f t="shared" si="45"/>
        <v>15</v>
      </c>
      <c r="E754" s="136">
        <f t="shared" si="46"/>
        <v>13</v>
      </c>
      <c r="F754" s="128" t="s">
        <v>58</v>
      </c>
      <c r="G754" s="128" t="str">
        <f>VLOOKUP(source[[#This Row],[lending_product_transform]],[3]Mapping!$B$4:$C$37,2,0)</f>
        <v>[VDS] - Payroll Cashloan</v>
      </c>
      <c r="H754" s="128" t="str">
        <f>VLOOKUP(source[[#This Row],[lending_product_transform]],[3]Mapping!$B$3:$D$37,3,0)</f>
        <v>cashloan</v>
      </c>
      <c r="I754" s="135">
        <v>26250000</v>
      </c>
    </row>
    <row r="755" spans="1:9" x14ac:dyDescent="0.2">
      <c r="A755" s="134">
        <v>45395</v>
      </c>
      <c r="B755" s="135">
        <f>YEAR(source[[#This Row],[report_date]])</f>
        <v>2024</v>
      </c>
      <c r="C755" s="136">
        <v>4</v>
      </c>
      <c r="D755" s="136">
        <f t="shared" si="45"/>
        <v>15</v>
      </c>
      <c r="E755" s="136">
        <f t="shared" si="46"/>
        <v>13</v>
      </c>
      <c r="F755" s="128" t="s">
        <v>67</v>
      </c>
      <c r="G755" s="128" t="str">
        <f>VLOOKUP(source[[#This Row],[lending_product_transform]],[3]Mapping!$B$4:$C$37,2,0)</f>
        <v>[Cake] - Overdraft</v>
      </c>
      <c r="H755" s="128" t="str">
        <f>VLOOKUP(source[[#This Row],[lending_product_transform]],[3]Mapping!$B$3:$D$37,3,0)</f>
        <v>overdraft</v>
      </c>
      <c r="I755" s="135">
        <v>1866130519</v>
      </c>
    </row>
    <row r="756" spans="1:9" x14ac:dyDescent="0.2">
      <c r="A756" s="134">
        <v>45395</v>
      </c>
      <c r="B756" s="135">
        <f>YEAR(source[[#This Row],[report_date]])</f>
        <v>2024</v>
      </c>
      <c r="C756" s="136">
        <v>4</v>
      </c>
      <c r="D756" s="136">
        <f t="shared" si="45"/>
        <v>15</v>
      </c>
      <c r="E756" s="136">
        <f t="shared" si="46"/>
        <v>13</v>
      </c>
      <c r="F756" s="128" t="s">
        <v>56</v>
      </c>
      <c r="G756" s="128">
        <f>VLOOKUP(source[[#This Row],[lending_product_transform]],[3]Mapping!$B$4:$C$37,2,0)</f>
        <v>0</v>
      </c>
      <c r="H756" s="128">
        <f>VLOOKUP(source[[#This Row],[lending_product_transform]],[3]Mapping!$B$3:$D$37,3,0)</f>
        <v>0</v>
      </c>
      <c r="I756" s="135">
        <v>7678780519</v>
      </c>
    </row>
    <row r="757" spans="1:9" x14ac:dyDescent="0.2">
      <c r="A757" s="134">
        <v>45395</v>
      </c>
      <c r="B757" s="135">
        <f>YEAR(source[[#This Row],[report_date]])</f>
        <v>2024</v>
      </c>
      <c r="C757" s="136">
        <v>4</v>
      </c>
      <c r="D757" s="136">
        <f t="shared" si="45"/>
        <v>15</v>
      </c>
      <c r="E757" s="136">
        <f t="shared" si="46"/>
        <v>13</v>
      </c>
      <c r="F757" s="128" t="s">
        <v>206</v>
      </c>
      <c r="G757" s="128" t="str">
        <f>VLOOKUP(source[[#This Row],[lending_product_transform]],[3]Mapping!$B$4:$C$37,2,0)</f>
        <v>[NGS] - Cashloan</v>
      </c>
      <c r="H757" s="128" t="str">
        <f>VLOOKUP(source[[#This Row],[lending_product_transform]],[3]Mapping!$B$3:$D$37,3,0)</f>
        <v>cashloan</v>
      </c>
      <c r="I757" s="135">
        <v>14980000</v>
      </c>
    </row>
    <row r="758" spans="1:9" x14ac:dyDescent="0.2">
      <c r="A758" s="134">
        <v>45395</v>
      </c>
      <c r="B758" s="135">
        <f>YEAR(source[[#This Row],[report_date]])</f>
        <v>2024</v>
      </c>
      <c r="C758" s="136">
        <v>4</v>
      </c>
      <c r="D758" s="136">
        <f t="shared" si="45"/>
        <v>15</v>
      </c>
      <c r="E758" s="136">
        <f t="shared" si="46"/>
        <v>13</v>
      </c>
      <c r="F758" s="128" t="s">
        <v>61</v>
      </c>
      <c r="G758" s="128" t="str">
        <f>VLOOKUP(source[[#This Row],[lending_product_transform]],[3]Mapping!$B$4:$C$37,2,0)</f>
        <v>[VDS] - Payroll Payday</v>
      </c>
      <c r="H758" s="128" t="str">
        <f>VLOOKUP(source[[#This Row],[lending_product_transform]],[3]Mapping!$B$3:$D$37,3,0)</f>
        <v>payday</v>
      </c>
      <c r="I758" s="135">
        <v>44000000</v>
      </c>
    </row>
    <row r="759" spans="1:9" x14ac:dyDescent="0.2">
      <c r="A759" s="134">
        <v>45395</v>
      </c>
      <c r="B759" s="135">
        <f>YEAR(source[[#This Row],[report_date]])</f>
        <v>2024</v>
      </c>
      <c r="C759" s="136">
        <v>4</v>
      </c>
      <c r="D759" s="136">
        <f t="shared" si="45"/>
        <v>15</v>
      </c>
      <c r="E759" s="136">
        <f t="shared" si="46"/>
        <v>13</v>
      </c>
      <c r="F759" s="128" t="s">
        <v>62</v>
      </c>
      <c r="G759" s="128" t="str">
        <f>VLOOKUP(source[[#This Row],[lending_product_transform]],[3]Mapping!$B$4:$C$37,2,0)</f>
        <v>[VDS] - Paylater</v>
      </c>
      <c r="H759" s="128" t="str">
        <f>VLOOKUP(source[[#This Row],[lending_product_transform]],[3]Mapping!$B$3:$D$37,3,0)</f>
        <v>paylater</v>
      </c>
      <c r="I759" s="135">
        <v>0</v>
      </c>
    </row>
    <row r="760" spans="1:9" x14ac:dyDescent="0.2">
      <c r="A760" s="134">
        <v>45396</v>
      </c>
      <c r="B760" s="135">
        <f>YEAR(source[[#This Row],[report_date]])</f>
        <v>2024</v>
      </c>
      <c r="C760" s="136">
        <v>4</v>
      </c>
      <c r="D760" s="136">
        <f t="shared" si="45"/>
        <v>15</v>
      </c>
      <c r="E760" s="136">
        <f t="shared" si="46"/>
        <v>14</v>
      </c>
      <c r="F760" s="128" t="s">
        <v>67</v>
      </c>
      <c r="G760" s="128" t="str">
        <f>VLOOKUP(source[[#This Row],[lending_product_transform]],[3]Mapping!$B$4:$C$37,2,0)</f>
        <v>[Cake] - Overdraft</v>
      </c>
      <c r="H760" s="128" t="str">
        <f>VLOOKUP(source[[#This Row],[lending_product_transform]],[3]Mapping!$B$3:$D$37,3,0)</f>
        <v>overdraft</v>
      </c>
      <c r="I760" s="135">
        <v>1831794053</v>
      </c>
    </row>
    <row r="761" spans="1:9" x14ac:dyDescent="0.2">
      <c r="A761" s="134">
        <v>45396</v>
      </c>
      <c r="B761" s="135">
        <f>YEAR(source[[#This Row],[report_date]])</f>
        <v>2024</v>
      </c>
      <c r="C761" s="136">
        <v>4</v>
      </c>
      <c r="D761" s="136">
        <f t="shared" si="45"/>
        <v>15</v>
      </c>
      <c r="E761" s="136">
        <f t="shared" si="46"/>
        <v>14</v>
      </c>
      <c r="F761" s="128" t="s">
        <v>62</v>
      </c>
      <c r="G761" s="128" t="str">
        <f>VLOOKUP(source[[#This Row],[lending_product_transform]],[3]Mapping!$B$4:$C$37,2,0)</f>
        <v>[VDS] - Paylater</v>
      </c>
      <c r="H761" s="128" t="str">
        <f>VLOOKUP(source[[#This Row],[lending_product_transform]],[3]Mapping!$B$3:$D$37,3,0)</f>
        <v>paylater</v>
      </c>
      <c r="I761" s="135">
        <v>0</v>
      </c>
    </row>
    <row r="762" spans="1:9" x14ac:dyDescent="0.2">
      <c r="A762" s="134">
        <v>45396</v>
      </c>
      <c r="B762" s="135">
        <f>YEAR(source[[#This Row],[report_date]])</f>
        <v>2024</v>
      </c>
      <c r="C762" s="136">
        <v>4</v>
      </c>
      <c r="D762" s="136">
        <f t="shared" si="45"/>
        <v>15</v>
      </c>
      <c r="E762" s="136">
        <f t="shared" si="46"/>
        <v>14</v>
      </c>
      <c r="F762" s="128" t="s">
        <v>56</v>
      </c>
      <c r="G762" s="128">
        <f>VLOOKUP(source[[#This Row],[lending_product_transform]],[3]Mapping!$B$4:$C$37,2,0)</f>
        <v>0</v>
      </c>
      <c r="H762" s="128">
        <f>VLOOKUP(source[[#This Row],[lending_product_transform]],[3]Mapping!$B$3:$D$37,3,0)</f>
        <v>0</v>
      </c>
      <c r="I762" s="135">
        <v>7086614053</v>
      </c>
    </row>
    <row r="763" spans="1:9" x14ac:dyDescent="0.2">
      <c r="A763" s="134">
        <v>45396</v>
      </c>
      <c r="B763" s="135">
        <f>YEAR(source[[#This Row],[report_date]])</f>
        <v>2024</v>
      </c>
      <c r="C763" s="136">
        <v>4</v>
      </c>
      <c r="D763" s="136">
        <f t="shared" si="45"/>
        <v>15</v>
      </c>
      <c r="E763" s="136">
        <f t="shared" si="46"/>
        <v>14</v>
      </c>
      <c r="F763" s="128" t="s">
        <v>206</v>
      </c>
      <c r="G763" s="128" t="str">
        <f>VLOOKUP(source[[#This Row],[lending_product_transform]],[3]Mapping!$B$4:$C$37,2,0)</f>
        <v>[NGS] - Cashloan</v>
      </c>
      <c r="H763" s="128" t="str">
        <f>VLOOKUP(source[[#This Row],[lending_product_transform]],[3]Mapping!$B$3:$D$37,3,0)</f>
        <v>cashloan</v>
      </c>
      <c r="I763" s="135">
        <v>0</v>
      </c>
    </row>
    <row r="764" spans="1:9" x14ac:dyDescent="0.2">
      <c r="A764" s="134">
        <v>45396</v>
      </c>
      <c r="B764" s="135">
        <f>YEAR(source[[#This Row],[report_date]])</f>
        <v>2024</v>
      </c>
      <c r="C764" s="136">
        <v>4</v>
      </c>
      <c r="D764" s="136">
        <f t="shared" si="45"/>
        <v>15</v>
      </c>
      <c r="E764" s="136">
        <f t="shared" si="46"/>
        <v>14</v>
      </c>
      <c r="F764" s="128" t="s">
        <v>61</v>
      </c>
      <c r="G764" s="128" t="str">
        <f>VLOOKUP(source[[#This Row],[lending_product_transform]],[3]Mapping!$B$4:$C$37,2,0)</f>
        <v>[VDS] - Payroll Payday</v>
      </c>
      <c r="H764" s="128" t="str">
        <f>VLOOKUP(source[[#This Row],[lending_product_transform]],[3]Mapping!$B$3:$D$37,3,0)</f>
        <v>payday</v>
      </c>
      <c r="I764" s="135">
        <v>9000000</v>
      </c>
    </row>
    <row r="765" spans="1:9" x14ac:dyDescent="0.2">
      <c r="A765" s="134">
        <v>45396</v>
      </c>
      <c r="B765" s="135">
        <f>YEAR(source[[#This Row],[report_date]])</f>
        <v>2024</v>
      </c>
      <c r="C765" s="136">
        <v>4</v>
      </c>
      <c r="D765" s="136">
        <f t="shared" si="45"/>
        <v>15</v>
      </c>
      <c r="E765" s="136">
        <f t="shared" si="46"/>
        <v>14</v>
      </c>
      <c r="F765" s="128" t="s">
        <v>65</v>
      </c>
      <c r="G765" s="128" t="str">
        <f>VLOOKUP(source[[#This Row],[lending_product_transform]],[3]Mapping!$B$4:$C$37,2,0)</f>
        <v>[BE] - Cashloan</v>
      </c>
      <c r="H765" s="128" t="str">
        <f>VLOOKUP(source[[#This Row],[lending_product_transform]],[3]Mapping!$B$3:$D$37,3,0)</f>
        <v>cashloan</v>
      </c>
      <c r="I765" s="135">
        <v>195850000</v>
      </c>
    </row>
    <row r="766" spans="1:9" x14ac:dyDescent="0.2">
      <c r="A766" s="134">
        <v>45396</v>
      </c>
      <c r="B766" s="135">
        <f>YEAR(source[[#This Row],[report_date]])</f>
        <v>2024</v>
      </c>
      <c r="C766" s="136">
        <v>4</v>
      </c>
      <c r="D766" s="136">
        <f t="shared" si="45"/>
        <v>15</v>
      </c>
      <c r="E766" s="136">
        <f t="shared" si="46"/>
        <v>14</v>
      </c>
      <c r="F766" s="128" t="s">
        <v>58</v>
      </c>
      <c r="G766" s="128" t="str">
        <f>VLOOKUP(source[[#This Row],[lending_product_transform]],[3]Mapping!$B$4:$C$37,2,0)</f>
        <v>[VDS] - Payroll Cashloan</v>
      </c>
      <c r="H766" s="128" t="str">
        <f>VLOOKUP(source[[#This Row],[lending_product_transform]],[3]Mapping!$B$3:$D$37,3,0)</f>
        <v>cashloan</v>
      </c>
      <c r="I766" s="135">
        <v>82500000</v>
      </c>
    </row>
    <row r="767" spans="1:9" x14ac:dyDescent="0.2">
      <c r="A767" s="134">
        <v>45396</v>
      </c>
      <c r="B767" s="135">
        <f>YEAR(source[[#This Row],[report_date]])</f>
        <v>2024</v>
      </c>
      <c r="C767" s="136">
        <v>4</v>
      </c>
      <c r="D767" s="136">
        <f t="shared" si="45"/>
        <v>15</v>
      </c>
      <c r="E767" s="136">
        <f t="shared" si="46"/>
        <v>14</v>
      </c>
      <c r="F767" s="128" t="s">
        <v>19</v>
      </c>
      <c r="G767" s="128" t="str">
        <f>VLOOKUP(source[[#This Row],[lending_product_transform]],[3]Mapping!$B$4:$C$37,2,0)</f>
        <v>[VDS] - Payday</v>
      </c>
      <c r="H767" s="128" t="str">
        <f>VLOOKUP(source[[#This Row],[lending_product_transform]],[3]Mapping!$B$3:$D$37,3,0)</f>
        <v>payday</v>
      </c>
      <c r="I767" s="135">
        <v>1899500000</v>
      </c>
    </row>
    <row r="768" spans="1:9" x14ac:dyDescent="0.2">
      <c r="A768" s="134">
        <v>45396</v>
      </c>
      <c r="B768" s="135">
        <f>YEAR(source[[#This Row],[report_date]])</f>
        <v>2024</v>
      </c>
      <c r="C768" s="136">
        <v>4</v>
      </c>
      <c r="D768" s="136">
        <f t="shared" si="45"/>
        <v>15</v>
      </c>
      <c r="E768" s="136">
        <f t="shared" si="46"/>
        <v>14</v>
      </c>
      <c r="F768" s="128" t="s">
        <v>11</v>
      </c>
      <c r="G768" s="128" t="str">
        <f>VLOOKUP(source[[#This Row],[lending_product_transform]],[3]Mapping!$B$4:$C$37,2,0)</f>
        <v>[VDS] - Cashloan</v>
      </c>
      <c r="H768" s="128" t="str">
        <f>VLOOKUP(source[[#This Row],[lending_product_transform]],[3]Mapping!$B$3:$D$37,3,0)</f>
        <v>cashloan</v>
      </c>
      <c r="I768" s="135">
        <v>3067970000</v>
      </c>
    </row>
    <row r="769" spans="1:9" x14ac:dyDescent="0.2">
      <c r="A769" s="134">
        <v>45397</v>
      </c>
      <c r="B769" s="135">
        <f>YEAR(source[[#This Row],[report_date]])</f>
        <v>2024</v>
      </c>
      <c r="C769" s="136">
        <v>4</v>
      </c>
      <c r="D769" s="136">
        <f t="shared" si="45"/>
        <v>16</v>
      </c>
      <c r="E769" s="136">
        <f t="shared" si="46"/>
        <v>15</v>
      </c>
      <c r="F769" s="128" t="s">
        <v>67</v>
      </c>
      <c r="G769" s="128" t="str">
        <f>VLOOKUP(source[[#This Row],[lending_product_transform]],[3]Mapping!$B$4:$C$37,2,0)</f>
        <v>[Cake] - Overdraft</v>
      </c>
      <c r="H769" s="128" t="str">
        <f>VLOOKUP(source[[#This Row],[lending_product_transform]],[3]Mapping!$B$3:$D$37,3,0)</f>
        <v>overdraft</v>
      </c>
      <c r="I769" s="135">
        <v>2588638596</v>
      </c>
    </row>
    <row r="770" spans="1:9" x14ac:dyDescent="0.2">
      <c r="A770" s="134">
        <v>45397</v>
      </c>
      <c r="B770" s="135">
        <f>YEAR(source[[#This Row],[report_date]])</f>
        <v>2024</v>
      </c>
      <c r="C770" s="136">
        <v>4</v>
      </c>
      <c r="D770" s="136">
        <f t="shared" si="45"/>
        <v>16</v>
      </c>
      <c r="E770" s="136">
        <f t="shared" si="46"/>
        <v>15</v>
      </c>
      <c r="F770" s="128" t="s">
        <v>11</v>
      </c>
      <c r="G770" s="128" t="str">
        <f>VLOOKUP(source[[#This Row],[lending_product_transform]],[3]Mapping!$B$4:$C$37,2,0)</f>
        <v>[VDS] - Cashloan</v>
      </c>
      <c r="H770" s="128" t="str">
        <f>VLOOKUP(source[[#This Row],[lending_product_transform]],[3]Mapping!$B$3:$D$37,3,0)</f>
        <v>cashloan</v>
      </c>
      <c r="I770" s="135">
        <v>4699210000</v>
      </c>
    </row>
    <row r="771" spans="1:9" x14ac:dyDescent="0.2">
      <c r="A771" s="134">
        <v>45397</v>
      </c>
      <c r="B771" s="135">
        <f>YEAR(source[[#This Row],[report_date]])</f>
        <v>2024</v>
      </c>
      <c r="C771" s="136">
        <v>4</v>
      </c>
      <c r="D771" s="136">
        <f t="shared" ref="D771:D834" si="47">WEEKNUM(A771,2)</f>
        <v>16</v>
      </c>
      <c r="E771" s="136">
        <f t="shared" ref="E771:E834" si="48">DAY(A771)</f>
        <v>15</v>
      </c>
      <c r="F771" s="128" t="s">
        <v>206</v>
      </c>
      <c r="G771" s="128" t="str">
        <f>VLOOKUP(source[[#This Row],[lending_product_transform]],[3]Mapping!$B$4:$C$37,2,0)</f>
        <v>[NGS] - Cashloan</v>
      </c>
      <c r="H771" s="128" t="str">
        <f>VLOOKUP(source[[#This Row],[lending_product_transform]],[3]Mapping!$B$3:$D$37,3,0)</f>
        <v>cashloan</v>
      </c>
      <c r="I771" s="135">
        <v>35310000</v>
      </c>
    </row>
    <row r="772" spans="1:9" x14ac:dyDescent="0.2">
      <c r="A772" s="134">
        <v>45397</v>
      </c>
      <c r="B772" s="135">
        <f>YEAR(source[[#This Row],[report_date]])</f>
        <v>2024</v>
      </c>
      <c r="C772" s="136">
        <v>4</v>
      </c>
      <c r="D772" s="136">
        <f t="shared" si="47"/>
        <v>16</v>
      </c>
      <c r="E772" s="136">
        <f t="shared" si="48"/>
        <v>15</v>
      </c>
      <c r="F772" s="128" t="s">
        <v>19</v>
      </c>
      <c r="G772" s="128" t="str">
        <f>VLOOKUP(source[[#This Row],[lending_product_transform]],[3]Mapping!$B$4:$C$37,2,0)</f>
        <v>[VDS] - Payday</v>
      </c>
      <c r="H772" s="128" t="str">
        <f>VLOOKUP(source[[#This Row],[lending_product_transform]],[3]Mapping!$B$3:$D$37,3,0)</f>
        <v>payday</v>
      </c>
      <c r="I772" s="135">
        <v>2834500000</v>
      </c>
    </row>
    <row r="773" spans="1:9" x14ac:dyDescent="0.2">
      <c r="A773" s="134">
        <v>45397</v>
      </c>
      <c r="B773" s="135">
        <f>YEAR(source[[#This Row],[report_date]])</f>
        <v>2024</v>
      </c>
      <c r="C773" s="136">
        <v>4</v>
      </c>
      <c r="D773" s="136">
        <f t="shared" si="47"/>
        <v>16</v>
      </c>
      <c r="E773" s="136">
        <f t="shared" si="48"/>
        <v>15</v>
      </c>
      <c r="F773" s="128" t="s">
        <v>65</v>
      </c>
      <c r="G773" s="128" t="str">
        <f>VLOOKUP(source[[#This Row],[lending_product_transform]],[3]Mapping!$B$4:$C$37,2,0)</f>
        <v>[BE] - Cashloan</v>
      </c>
      <c r="H773" s="128" t="str">
        <f>VLOOKUP(source[[#This Row],[lending_product_transform]],[3]Mapping!$B$3:$D$37,3,0)</f>
        <v>cashloan</v>
      </c>
      <c r="I773" s="135">
        <v>273000000</v>
      </c>
    </row>
    <row r="774" spans="1:9" x14ac:dyDescent="0.2">
      <c r="A774" s="134">
        <v>45397</v>
      </c>
      <c r="B774" s="135">
        <f>YEAR(source[[#This Row],[report_date]])</f>
        <v>2024</v>
      </c>
      <c r="C774" s="136">
        <v>4</v>
      </c>
      <c r="D774" s="136">
        <f t="shared" si="47"/>
        <v>16</v>
      </c>
      <c r="E774" s="136">
        <f t="shared" si="48"/>
        <v>15</v>
      </c>
      <c r="F774" s="128" t="s">
        <v>58</v>
      </c>
      <c r="G774" s="128" t="str">
        <f>VLOOKUP(source[[#This Row],[lending_product_transform]],[3]Mapping!$B$4:$C$37,2,0)</f>
        <v>[VDS] - Payroll Cashloan</v>
      </c>
      <c r="H774" s="128" t="str">
        <f>VLOOKUP(source[[#This Row],[lending_product_transform]],[3]Mapping!$B$3:$D$37,3,0)</f>
        <v>cashloan</v>
      </c>
      <c r="I774" s="135">
        <v>104000000</v>
      </c>
    </row>
    <row r="775" spans="1:9" x14ac:dyDescent="0.2">
      <c r="A775" s="134">
        <v>45397</v>
      </c>
      <c r="B775" s="135">
        <f>YEAR(source[[#This Row],[report_date]])</f>
        <v>2024</v>
      </c>
      <c r="C775" s="136">
        <v>4</v>
      </c>
      <c r="D775" s="136">
        <f t="shared" si="47"/>
        <v>16</v>
      </c>
      <c r="E775" s="136">
        <f t="shared" si="48"/>
        <v>15</v>
      </c>
      <c r="F775" s="128" t="s">
        <v>62</v>
      </c>
      <c r="G775" s="128" t="str">
        <f>VLOOKUP(source[[#This Row],[lending_product_transform]],[3]Mapping!$B$4:$C$37,2,0)</f>
        <v>[VDS] - Paylater</v>
      </c>
      <c r="H775" s="128" t="str">
        <f>VLOOKUP(source[[#This Row],[lending_product_transform]],[3]Mapping!$B$3:$D$37,3,0)</f>
        <v>paylater</v>
      </c>
      <c r="I775" s="135">
        <v>0</v>
      </c>
    </row>
    <row r="776" spans="1:9" x14ac:dyDescent="0.2">
      <c r="A776" s="134">
        <v>45397</v>
      </c>
      <c r="B776" s="135">
        <f>YEAR(source[[#This Row],[report_date]])</f>
        <v>2024</v>
      </c>
      <c r="C776" s="136">
        <v>4</v>
      </c>
      <c r="D776" s="136">
        <f t="shared" si="47"/>
        <v>16</v>
      </c>
      <c r="E776" s="136">
        <f t="shared" si="48"/>
        <v>15</v>
      </c>
      <c r="F776" s="128" t="s">
        <v>56</v>
      </c>
      <c r="G776" s="128">
        <f>VLOOKUP(source[[#This Row],[lending_product_transform]],[3]Mapping!$B$4:$C$37,2,0)</f>
        <v>0</v>
      </c>
      <c r="H776" s="128">
        <f>VLOOKUP(source[[#This Row],[lending_product_transform]],[3]Mapping!$B$3:$D$37,3,0)</f>
        <v>0</v>
      </c>
      <c r="I776" s="135">
        <v>10544658596</v>
      </c>
    </row>
    <row r="777" spans="1:9" x14ac:dyDescent="0.2">
      <c r="A777" s="134">
        <v>45397</v>
      </c>
      <c r="B777" s="135">
        <f>YEAR(source[[#This Row],[report_date]])</f>
        <v>2024</v>
      </c>
      <c r="C777" s="136">
        <v>4</v>
      </c>
      <c r="D777" s="136">
        <f t="shared" si="47"/>
        <v>16</v>
      </c>
      <c r="E777" s="136">
        <f t="shared" si="48"/>
        <v>15</v>
      </c>
      <c r="F777" s="128" t="s">
        <v>61</v>
      </c>
      <c r="G777" s="128" t="str">
        <f>VLOOKUP(source[[#This Row],[lending_product_transform]],[3]Mapping!$B$4:$C$37,2,0)</f>
        <v>[VDS] - Payroll Payday</v>
      </c>
      <c r="H777" s="128" t="str">
        <f>VLOOKUP(source[[#This Row],[lending_product_transform]],[3]Mapping!$B$3:$D$37,3,0)</f>
        <v>payday</v>
      </c>
      <c r="I777" s="135">
        <v>10000000</v>
      </c>
    </row>
    <row r="778" spans="1:9" x14ac:dyDescent="0.2">
      <c r="A778" s="134">
        <v>45398</v>
      </c>
      <c r="B778" s="135">
        <f>YEAR(source[[#This Row],[report_date]])</f>
        <v>2024</v>
      </c>
      <c r="C778" s="136">
        <v>4</v>
      </c>
      <c r="D778" s="136">
        <f t="shared" si="47"/>
        <v>16</v>
      </c>
      <c r="E778" s="136">
        <f t="shared" si="48"/>
        <v>16</v>
      </c>
      <c r="F778" s="128" t="s">
        <v>65</v>
      </c>
      <c r="G778" s="128" t="str">
        <f>VLOOKUP(source[[#This Row],[lending_product_transform]],[3]Mapping!$B$4:$C$37,2,0)</f>
        <v>[BE] - Cashloan</v>
      </c>
      <c r="H778" s="128" t="str">
        <f>VLOOKUP(source[[#This Row],[lending_product_transform]],[3]Mapping!$B$3:$D$37,3,0)</f>
        <v>cashloan</v>
      </c>
      <c r="I778" s="135">
        <v>210550000</v>
      </c>
    </row>
    <row r="779" spans="1:9" x14ac:dyDescent="0.2">
      <c r="A779" s="134">
        <v>45398</v>
      </c>
      <c r="B779" s="135">
        <f>YEAR(source[[#This Row],[report_date]])</f>
        <v>2024</v>
      </c>
      <c r="C779" s="136">
        <v>4</v>
      </c>
      <c r="D779" s="136">
        <f t="shared" si="47"/>
        <v>16</v>
      </c>
      <c r="E779" s="136">
        <f t="shared" si="48"/>
        <v>16</v>
      </c>
      <c r="F779" s="128" t="s">
        <v>11</v>
      </c>
      <c r="G779" s="128" t="str">
        <f>VLOOKUP(source[[#This Row],[lending_product_transform]],[3]Mapping!$B$4:$C$37,2,0)</f>
        <v>[VDS] - Cashloan</v>
      </c>
      <c r="H779" s="128" t="str">
        <f>VLOOKUP(source[[#This Row],[lending_product_transform]],[3]Mapping!$B$3:$D$37,3,0)</f>
        <v>cashloan</v>
      </c>
      <c r="I779" s="135">
        <v>3828720000</v>
      </c>
    </row>
    <row r="780" spans="1:9" x14ac:dyDescent="0.2">
      <c r="A780" s="134">
        <v>45398</v>
      </c>
      <c r="B780" s="135">
        <f>YEAR(source[[#This Row],[report_date]])</f>
        <v>2024</v>
      </c>
      <c r="C780" s="136">
        <v>4</v>
      </c>
      <c r="D780" s="136">
        <f t="shared" si="47"/>
        <v>16</v>
      </c>
      <c r="E780" s="136">
        <f t="shared" si="48"/>
        <v>16</v>
      </c>
      <c r="F780" s="128" t="s">
        <v>19</v>
      </c>
      <c r="G780" s="128" t="str">
        <f>VLOOKUP(source[[#This Row],[lending_product_transform]],[3]Mapping!$B$4:$C$37,2,0)</f>
        <v>[VDS] - Payday</v>
      </c>
      <c r="H780" s="128" t="str">
        <f>VLOOKUP(source[[#This Row],[lending_product_transform]],[3]Mapping!$B$3:$D$37,3,0)</f>
        <v>payday</v>
      </c>
      <c r="I780" s="135">
        <v>2345000000</v>
      </c>
    </row>
    <row r="781" spans="1:9" x14ac:dyDescent="0.2">
      <c r="A781" s="134">
        <v>45398</v>
      </c>
      <c r="B781" s="135">
        <f>YEAR(source[[#This Row],[report_date]])</f>
        <v>2024</v>
      </c>
      <c r="C781" s="136">
        <v>4</v>
      </c>
      <c r="D781" s="136">
        <f t="shared" si="47"/>
        <v>16</v>
      </c>
      <c r="E781" s="136">
        <f t="shared" si="48"/>
        <v>16</v>
      </c>
      <c r="F781" s="128" t="s">
        <v>67</v>
      </c>
      <c r="G781" s="128" t="str">
        <f>VLOOKUP(source[[#This Row],[lending_product_transform]],[3]Mapping!$B$4:$C$37,2,0)</f>
        <v>[Cake] - Overdraft</v>
      </c>
      <c r="H781" s="128" t="str">
        <f>VLOOKUP(source[[#This Row],[lending_product_transform]],[3]Mapping!$B$3:$D$37,3,0)</f>
        <v>overdraft</v>
      </c>
      <c r="I781" s="135">
        <v>2203403983</v>
      </c>
    </row>
    <row r="782" spans="1:9" x14ac:dyDescent="0.2">
      <c r="A782" s="134">
        <v>45398</v>
      </c>
      <c r="B782" s="135">
        <f>YEAR(source[[#This Row],[report_date]])</f>
        <v>2024</v>
      </c>
      <c r="C782" s="136">
        <v>4</v>
      </c>
      <c r="D782" s="136">
        <f t="shared" si="47"/>
        <v>16</v>
      </c>
      <c r="E782" s="136">
        <f t="shared" si="48"/>
        <v>16</v>
      </c>
      <c r="F782" s="128" t="s">
        <v>58</v>
      </c>
      <c r="G782" s="128" t="str">
        <f>VLOOKUP(source[[#This Row],[lending_product_transform]],[3]Mapping!$B$4:$C$37,2,0)</f>
        <v>[VDS] - Payroll Cashloan</v>
      </c>
      <c r="H782" s="128" t="str">
        <f>VLOOKUP(source[[#This Row],[lending_product_transform]],[3]Mapping!$B$3:$D$37,3,0)</f>
        <v>cashloan</v>
      </c>
      <c r="I782" s="135">
        <v>110250000</v>
      </c>
    </row>
    <row r="783" spans="1:9" x14ac:dyDescent="0.2">
      <c r="A783" s="134">
        <v>45398</v>
      </c>
      <c r="B783" s="135">
        <f>YEAR(source[[#This Row],[report_date]])</f>
        <v>2024</v>
      </c>
      <c r="C783" s="136">
        <v>4</v>
      </c>
      <c r="D783" s="136">
        <f t="shared" si="47"/>
        <v>16</v>
      </c>
      <c r="E783" s="136">
        <f t="shared" si="48"/>
        <v>16</v>
      </c>
      <c r="F783" s="128" t="s">
        <v>206</v>
      </c>
      <c r="G783" s="128" t="str">
        <f>VLOOKUP(source[[#This Row],[lending_product_transform]],[3]Mapping!$B$4:$C$37,2,0)</f>
        <v>[NGS] - Cashloan</v>
      </c>
      <c r="H783" s="128" t="str">
        <f>VLOOKUP(source[[#This Row],[lending_product_transform]],[3]Mapping!$B$3:$D$37,3,0)</f>
        <v>cashloan</v>
      </c>
      <c r="I783" s="135">
        <v>146590000</v>
      </c>
    </row>
    <row r="784" spans="1:9" x14ac:dyDescent="0.2">
      <c r="A784" s="134">
        <v>45398</v>
      </c>
      <c r="B784" s="135">
        <f>YEAR(source[[#This Row],[report_date]])</f>
        <v>2024</v>
      </c>
      <c r="C784" s="136">
        <v>4</v>
      </c>
      <c r="D784" s="136">
        <f t="shared" si="47"/>
        <v>16</v>
      </c>
      <c r="E784" s="136">
        <f t="shared" si="48"/>
        <v>16</v>
      </c>
      <c r="F784" s="128" t="s">
        <v>61</v>
      </c>
      <c r="G784" s="128" t="str">
        <f>VLOOKUP(source[[#This Row],[lending_product_transform]],[3]Mapping!$B$4:$C$37,2,0)</f>
        <v>[VDS] - Payroll Payday</v>
      </c>
      <c r="H784" s="128" t="str">
        <f>VLOOKUP(source[[#This Row],[lending_product_transform]],[3]Mapping!$B$3:$D$37,3,0)</f>
        <v>payday</v>
      </c>
      <c r="I784" s="135">
        <v>62000000</v>
      </c>
    </row>
    <row r="785" spans="1:9" x14ac:dyDescent="0.2">
      <c r="A785" s="134">
        <v>45398</v>
      </c>
      <c r="B785" s="135">
        <f>YEAR(source[[#This Row],[report_date]])</f>
        <v>2024</v>
      </c>
      <c r="C785" s="136">
        <v>4</v>
      </c>
      <c r="D785" s="136">
        <f t="shared" si="47"/>
        <v>16</v>
      </c>
      <c r="E785" s="136">
        <f t="shared" si="48"/>
        <v>16</v>
      </c>
      <c r="F785" s="128" t="s">
        <v>56</v>
      </c>
      <c r="G785" s="128">
        <f>VLOOKUP(source[[#This Row],[lending_product_transform]],[3]Mapping!$B$4:$C$37,2,0)</f>
        <v>0</v>
      </c>
      <c r="H785" s="128">
        <f>VLOOKUP(source[[#This Row],[lending_product_transform]],[3]Mapping!$B$3:$D$37,3,0)</f>
        <v>0</v>
      </c>
      <c r="I785" s="135">
        <v>8906523983</v>
      </c>
    </row>
    <row r="786" spans="1:9" x14ac:dyDescent="0.2">
      <c r="A786" s="134">
        <v>45398</v>
      </c>
      <c r="B786" s="135">
        <f>YEAR(source[[#This Row],[report_date]])</f>
        <v>2024</v>
      </c>
      <c r="C786" s="136">
        <v>4</v>
      </c>
      <c r="D786" s="136">
        <f t="shared" si="47"/>
        <v>16</v>
      </c>
      <c r="E786" s="136">
        <f t="shared" si="48"/>
        <v>16</v>
      </c>
      <c r="F786" s="128" t="s">
        <v>62</v>
      </c>
      <c r="G786" s="128" t="str">
        <f>VLOOKUP(source[[#This Row],[lending_product_transform]],[3]Mapping!$B$4:$C$37,2,0)</f>
        <v>[VDS] - Paylater</v>
      </c>
      <c r="H786" s="128" t="str">
        <f>VLOOKUP(source[[#This Row],[lending_product_transform]],[3]Mapping!$B$3:$D$37,3,0)</f>
        <v>paylater</v>
      </c>
      <c r="I786" s="135">
        <v>10000</v>
      </c>
    </row>
    <row r="787" spans="1:9" x14ac:dyDescent="0.2">
      <c r="A787" s="134">
        <v>45399</v>
      </c>
      <c r="B787" s="135">
        <f>YEAR(source[[#This Row],[report_date]])</f>
        <v>2024</v>
      </c>
      <c r="C787" s="136">
        <v>4</v>
      </c>
      <c r="D787" s="136">
        <f t="shared" si="47"/>
        <v>16</v>
      </c>
      <c r="E787" s="136">
        <f t="shared" si="48"/>
        <v>17</v>
      </c>
      <c r="F787" s="128" t="s">
        <v>62</v>
      </c>
      <c r="G787" s="128" t="str">
        <f>VLOOKUP(source[[#This Row],[lending_product_transform]],[3]Mapping!$B$4:$C$37,2,0)</f>
        <v>[VDS] - Paylater</v>
      </c>
      <c r="H787" s="128" t="str">
        <f>VLOOKUP(source[[#This Row],[lending_product_transform]],[3]Mapping!$B$3:$D$37,3,0)</f>
        <v>paylater</v>
      </c>
      <c r="I787" s="135">
        <v>20000</v>
      </c>
    </row>
    <row r="788" spans="1:9" x14ac:dyDescent="0.2">
      <c r="A788" s="134">
        <v>45399</v>
      </c>
      <c r="B788" s="135">
        <f>YEAR(source[[#This Row],[report_date]])</f>
        <v>2024</v>
      </c>
      <c r="C788" s="136">
        <v>4</v>
      </c>
      <c r="D788" s="136">
        <f t="shared" si="47"/>
        <v>16</v>
      </c>
      <c r="E788" s="136">
        <f t="shared" si="48"/>
        <v>17</v>
      </c>
      <c r="F788" s="128" t="s">
        <v>11</v>
      </c>
      <c r="G788" s="128" t="str">
        <f>VLOOKUP(source[[#This Row],[lending_product_transform]],[3]Mapping!$B$4:$C$37,2,0)</f>
        <v>[VDS] - Cashloan</v>
      </c>
      <c r="H788" s="128" t="str">
        <f>VLOOKUP(source[[#This Row],[lending_product_transform]],[3]Mapping!$B$3:$D$37,3,0)</f>
        <v>cashloan</v>
      </c>
      <c r="I788" s="135">
        <v>3483390000</v>
      </c>
    </row>
    <row r="789" spans="1:9" x14ac:dyDescent="0.2">
      <c r="A789" s="134">
        <v>45399</v>
      </c>
      <c r="B789" s="135">
        <f>YEAR(source[[#This Row],[report_date]])</f>
        <v>2024</v>
      </c>
      <c r="C789" s="136">
        <v>4</v>
      </c>
      <c r="D789" s="136">
        <f t="shared" si="47"/>
        <v>16</v>
      </c>
      <c r="E789" s="136">
        <f t="shared" si="48"/>
        <v>17</v>
      </c>
      <c r="F789" s="128" t="s">
        <v>19</v>
      </c>
      <c r="G789" s="128" t="str">
        <f>VLOOKUP(source[[#This Row],[lending_product_transform]],[3]Mapping!$B$4:$C$37,2,0)</f>
        <v>[VDS] - Payday</v>
      </c>
      <c r="H789" s="128" t="str">
        <f>VLOOKUP(source[[#This Row],[lending_product_transform]],[3]Mapping!$B$3:$D$37,3,0)</f>
        <v>payday</v>
      </c>
      <c r="I789" s="135">
        <v>2341500000</v>
      </c>
    </row>
    <row r="790" spans="1:9" x14ac:dyDescent="0.2">
      <c r="A790" s="134">
        <v>45399</v>
      </c>
      <c r="B790" s="135">
        <f>YEAR(source[[#This Row],[report_date]])</f>
        <v>2024</v>
      </c>
      <c r="C790" s="136">
        <v>4</v>
      </c>
      <c r="D790" s="136">
        <f t="shared" si="47"/>
        <v>16</v>
      </c>
      <c r="E790" s="136">
        <f t="shared" si="48"/>
        <v>17</v>
      </c>
      <c r="F790" s="128" t="s">
        <v>56</v>
      </c>
      <c r="G790" s="128">
        <f>VLOOKUP(source[[#This Row],[lending_product_transform]],[3]Mapping!$B$4:$C$37,2,0)</f>
        <v>0</v>
      </c>
      <c r="H790" s="128">
        <f>VLOOKUP(source[[#This Row],[lending_product_transform]],[3]Mapping!$B$3:$D$37,3,0)</f>
        <v>0</v>
      </c>
      <c r="I790" s="135">
        <v>7871544676</v>
      </c>
    </row>
    <row r="791" spans="1:9" x14ac:dyDescent="0.2">
      <c r="A791" s="134">
        <v>45399</v>
      </c>
      <c r="B791" s="135">
        <f>YEAR(source[[#This Row],[report_date]])</f>
        <v>2024</v>
      </c>
      <c r="C791" s="136">
        <v>4</v>
      </c>
      <c r="D791" s="136">
        <f t="shared" si="47"/>
        <v>16</v>
      </c>
      <c r="E791" s="136">
        <f t="shared" si="48"/>
        <v>17</v>
      </c>
      <c r="F791" s="128" t="s">
        <v>65</v>
      </c>
      <c r="G791" s="128" t="str">
        <f>VLOOKUP(source[[#This Row],[lending_product_transform]],[3]Mapping!$B$4:$C$37,2,0)</f>
        <v>[BE] - Cashloan</v>
      </c>
      <c r="H791" s="128" t="str">
        <f>VLOOKUP(source[[#This Row],[lending_product_transform]],[3]Mapping!$B$3:$D$37,3,0)</f>
        <v>cashloan</v>
      </c>
      <c r="I791" s="135">
        <v>140750000</v>
      </c>
    </row>
    <row r="792" spans="1:9" x14ac:dyDescent="0.2">
      <c r="A792" s="134">
        <v>45399</v>
      </c>
      <c r="B792" s="135">
        <f>YEAR(source[[#This Row],[report_date]])</f>
        <v>2024</v>
      </c>
      <c r="C792" s="136">
        <v>4</v>
      </c>
      <c r="D792" s="136">
        <f t="shared" si="47"/>
        <v>16</v>
      </c>
      <c r="E792" s="136">
        <f t="shared" si="48"/>
        <v>17</v>
      </c>
      <c r="F792" s="128" t="s">
        <v>67</v>
      </c>
      <c r="G792" s="128" t="str">
        <f>VLOOKUP(source[[#This Row],[lending_product_transform]],[3]Mapping!$B$4:$C$37,2,0)</f>
        <v>[Cake] - Overdraft</v>
      </c>
      <c r="H792" s="128" t="str">
        <f>VLOOKUP(source[[#This Row],[lending_product_transform]],[3]Mapping!$B$3:$D$37,3,0)</f>
        <v>overdraft</v>
      </c>
      <c r="I792" s="135">
        <v>1706624676</v>
      </c>
    </row>
    <row r="793" spans="1:9" x14ac:dyDescent="0.2">
      <c r="A793" s="134">
        <v>45399</v>
      </c>
      <c r="B793" s="135">
        <f>YEAR(source[[#This Row],[report_date]])</f>
        <v>2024</v>
      </c>
      <c r="C793" s="136">
        <v>4</v>
      </c>
      <c r="D793" s="136">
        <f t="shared" si="47"/>
        <v>16</v>
      </c>
      <c r="E793" s="136">
        <f t="shared" si="48"/>
        <v>17</v>
      </c>
      <c r="F793" s="128" t="s">
        <v>61</v>
      </c>
      <c r="G793" s="128" t="str">
        <f>VLOOKUP(source[[#This Row],[lending_product_transform]],[3]Mapping!$B$4:$C$37,2,0)</f>
        <v>[VDS] - Payroll Payday</v>
      </c>
      <c r="H793" s="128" t="str">
        <f>VLOOKUP(source[[#This Row],[lending_product_transform]],[3]Mapping!$B$3:$D$37,3,0)</f>
        <v>payday</v>
      </c>
      <c r="I793" s="135">
        <v>31000000</v>
      </c>
    </row>
    <row r="794" spans="1:9" x14ac:dyDescent="0.2">
      <c r="A794" s="134">
        <v>45399</v>
      </c>
      <c r="B794" s="135">
        <f>YEAR(source[[#This Row],[report_date]])</f>
        <v>2024</v>
      </c>
      <c r="C794" s="136">
        <v>4</v>
      </c>
      <c r="D794" s="136">
        <f t="shared" si="47"/>
        <v>16</v>
      </c>
      <c r="E794" s="136">
        <f t="shared" si="48"/>
        <v>17</v>
      </c>
      <c r="F794" s="128" t="s">
        <v>58</v>
      </c>
      <c r="G794" s="128" t="str">
        <f>VLOOKUP(source[[#This Row],[lending_product_transform]],[3]Mapping!$B$4:$C$37,2,0)</f>
        <v>[VDS] - Payroll Cashloan</v>
      </c>
      <c r="H794" s="128" t="str">
        <f>VLOOKUP(source[[#This Row],[lending_product_transform]],[3]Mapping!$B$3:$D$37,3,0)</f>
        <v>cashloan</v>
      </c>
      <c r="I794" s="135">
        <v>42000000</v>
      </c>
    </row>
    <row r="795" spans="1:9" x14ac:dyDescent="0.2">
      <c r="A795" s="134">
        <v>45399</v>
      </c>
      <c r="B795" s="135">
        <f>YEAR(source[[#This Row],[report_date]])</f>
        <v>2024</v>
      </c>
      <c r="C795" s="136">
        <v>4</v>
      </c>
      <c r="D795" s="136">
        <f t="shared" si="47"/>
        <v>16</v>
      </c>
      <c r="E795" s="136">
        <f t="shared" si="48"/>
        <v>17</v>
      </c>
      <c r="F795" s="128" t="s">
        <v>206</v>
      </c>
      <c r="G795" s="128" t="str">
        <f>VLOOKUP(source[[#This Row],[lending_product_transform]],[3]Mapping!$B$4:$C$37,2,0)</f>
        <v>[NGS] - Cashloan</v>
      </c>
      <c r="H795" s="128" t="str">
        <f>VLOOKUP(source[[#This Row],[lending_product_transform]],[3]Mapping!$B$3:$D$37,3,0)</f>
        <v>cashloan</v>
      </c>
      <c r="I795" s="135">
        <v>126260000</v>
      </c>
    </row>
    <row r="796" spans="1:9" x14ac:dyDescent="0.2">
      <c r="A796" s="134">
        <v>45400</v>
      </c>
      <c r="B796" s="135">
        <f>YEAR(source[[#This Row],[report_date]])</f>
        <v>2024</v>
      </c>
      <c r="C796" s="136">
        <v>4</v>
      </c>
      <c r="D796" s="136">
        <f t="shared" si="47"/>
        <v>16</v>
      </c>
      <c r="E796" s="136">
        <f t="shared" si="48"/>
        <v>18</v>
      </c>
      <c r="F796" s="128" t="s">
        <v>56</v>
      </c>
      <c r="G796" s="128">
        <f>VLOOKUP(source[[#This Row],[lending_product_transform]],[3]Mapping!$B$4:$C$37,2,0)</f>
        <v>0</v>
      </c>
      <c r="H796" s="128">
        <f>VLOOKUP(source[[#This Row],[lending_product_transform]],[3]Mapping!$B$3:$D$37,3,0)</f>
        <v>0</v>
      </c>
      <c r="I796" s="135">
        <v>6709074587</v>
      </c>
    </row>
    <row r="797" spans="1:9" x14ac:dyDescent="0.2">
      <c r="A797" s="134">
        <v>45400</v>
      </c>
      <c r="B797" s="135">
        <f>YEAR(source[[#This Row],[report_date]])</f>
        <v>2024</v>
      </c>
      <c r="C797" s="136">
        <v>4</v>
      </c>
      <c r="D797" s="136">
        <f t="shared" si="47"/>
        <v>16</v>
      </c>
      <c r="E797" s="136">
        <f t="shared" si="48"/>
        <v>18</v>
      </c>
      <c r="F797" s="128" t="s">
        <v>206</v>
      </c>
      <c r="G797" s="128" t="str">
        <f>VLOOKUP(source[[#This Row],[lending_product_transform]],[3]Mapping!$B$4:$C$37,2,0)</f>
        <v>[NGS] - Cashloan</v>
      </c>
      <c r="H797" s="128" t="str">
        <f>VLOOKUP(source[[#This Row],[lending_product_transform]],[3]Mapping!$B$3:$D$37,3,0)</f>
        <v>cashloan</v>
      </c>
      <c r="I797" s="135">
        <v>88810000</v>
      </c>
    </row>
    <row r="798" spans="1:9" x14ac:dyDescent="0.2">
      <c r="A798" s="134">
        <v>45400</v>
      </c>
      <c r="B798" s="135">
        <f>YEAR(source[[#This Row],[report_date]])</f>
        <v>2024</v>
      </c>
      <c r="C798" s="136">
        <v>4</v>
      </c>
      <c r="D798" s="136">
        <f t="shared" si="47"/>
        <v>16</v>
      </c>
      <c r="E798" s="136">
        <f t="shared" si="48"/>
        <v>18</v>
      </c>
      <c r="F798" s="128" t="s">
        <v>61</v>
      </c>
      <c r="G798" s="128" t="str">
        <f>VLOOKUP(source[[#This Row],[lending_product_transform]],[3]Mapping!$B$4:$C$37,2,0)</f>
        <v>[VDS] - Payroll Payday</v>
      </c>
      <c r="H798" s="128" t="str">
        <f>VLOOKUP(source[[#This Row],[lending_product_transform]],[3]Mapping!$B$3:$D$37,3,0)</f>
        <v>payday</v>
      </c>
      <c r="I798" s="135">
        <v>25000000</v>
      </c>
    </row>
    <row r="799" spans="1:9" x14ac:dyDescent="0.2">
      <c r="A799" s="134">
        <v>45400</v>
      </c>
      <c r="B799" s="135">
        <f>YEAR(source[[#This Row],[report_date]])</f>
        <v>2024</v>
      </c>
      <c r="C799" s="136">
        <v>4</v>
      </c>
      <c r="D799" s="136">
        <f t="shared" si="47"/>
        <v>16</v>
      </c>
      <c r="E799" s="136">
        <f t="shared" si="48"/>
        <v>18</v>
      </c>
      <c r="F799" s="128" t="s">
        <v>11</v>
      </c>
      <c r="G799" s="128" t="str">
        <f>VLOOKUP(source[[#This Row],[lending_product_transform]],[3]Mapping!$B$4:$C$37,2,0)</f>
        <v>[VDS] - Cashloan</v>
      </c>
      <c r="H799" s="128" t="str">
        <f>VLOOKUP(source[[#This Row],[lending_product_transform]],[3]Mapping!$B$3:$D$37,3,0)</f>
        <v>cashloan</v>
      </c>
      <c r="I799" s="135">
        <v>2984110000</v>
      </c>
    </row>
    <row r="800" spans="1:9" x14ac:dyDescent="0.2">
      <c r="A800" s="134">
        <v>45400</v>
      </c>
      <c r="B800" s="135">
        <f>YEAR(source[[#This Row],[report_date]])</f>
        <v>2024</v>
      </c>
      <c r="C800" s="136">
        <v>4</v>
      </c>
      <c r="D800" s="136">
        <f t="shared" si="47"/>
        <v>16</v>
      </c>
      <c r="E800" s="136">
        <f t="shared" si="48"/>
        <v>18</v>
      </c>
      <c r="F800" s="128" t="s">
        <v>67</v>
      </c>
      <c r="G800" s="128" t="str">
        <f>VLOOKUP(source[[#This Row],[lending_product_transform]],[3]Mapping!$B$4:$C$37,2,0)</f>
        <v>[Cake] - Overdraft</v>
      </c>
      <c r="H800" s="128" t="str">
        <f>VLOOKUP(source[[#This Row],[lending_product_transform]],[3]Mapping!$B$3:$D$37,3,0)</f>
        <v>overdraft</v>
      </c>
      <c r="I800" s="135">
        <v>1603404587</v>
      </c>
    </row>
    <row r="801" spans="1:9" x14ac:dyDescent="0.2">
      <c r="A801" s="134">
        <v>45400</v>
      </c>
      <c r="B801" s="135">
        <f>YEAR(source[[#This Row],[report_date]])</f>
        <v>2024</v>
      </c>
      <c r="C801" s="136">
        <v>4</v>
      </c>
      <c r="D801" s="136">
        <f t="shared" si="47"/>
        <v>16</v>
      </c>
      <c r="E801" s="136">
        <f t="shared" si="48"/>
        <v>18</v>
      </c>
      <c r="F801" s="128" t="s">
        <v>62</v>
      </c>
      <c r="G801" s="128" t="str">
        <f>VLOOKUP(source[[#This Row],[lending_product_transform]],[3]Mapping!$B$4:$C$37,2,0)</f>
        <v>[VDS] - Paylater</v>
      </c>
      <c r="H801" s="128" t="str">
        <f>VLOOKUP(source[[#This Row],[lending_product_transform]],[3]Mapping!$B$3:$D$37,3,0)</f>
        <v>paylater</v>
      </c>
      <c r="I801" s="135">
        <v>50000</v>
      </c>
    </row>
    <row r="802" spans="1:9" x14ac:dyDescent="0.2">
      <c r="A802" s="134">
        <v>45400</v>
      </c>
      <c r="B802" s="135">
        <f>YEAR(source[[#This Row],[report_date]])</f>
        <v>2024</v>
      </c>
      <c r="C802" s="136">
        <v>4</v>
      </c>
      <c r="D802" s="136">
        <f t="shared" si="47"/>
        <v>16</v>
      </c>
      <c r="E802" s="136">
        <f t="shared" si="48"/>
        <v>18</v>
      </c>
      <c r="F802" s="128" t="s">
        <v>19</v>
      </c>
      <c r="G802" s="128" t="str">
        <f>VLOOKUP(source[[#This Row],[lending_product_transform]],[3]Mapping!$B$4:$C$37,2,0)</f>
        <v>[VDS] - Payday</v>
      </c>
      <c r="H802" s="128" t="str">
        <f>VLOOKUP(source[[#This Row],[lending_product_transform]],[3]Mapping!$B$3:$D$37,3,0)</f>
        <v>payday</v>
      </c>
      <c r="I802" s="135">
        <v>1733000000</v>
      </c>
    </row>
    <row r="803" spans="1:9" x14ac:dyDescent="0.2">
      <c r="A803" s="134">
        <v>45400</v>
      </c>
      <c r="B803" s="135">
        <f>YEAR(source[[#This Row],[report_date]])</f>
        <v>2024</v>
      </c>
      <c r="C803" s="136">
        <v>4</v>
      </c>
      <c r="D803" s="136">
        <f t="shared" si="47"/>
        <v>16</v>
      </c>
      <c r="E803" s="136">
        <f t="shared" si="48"/>
        <v>18</v>
      </c>
      <c r="F803" s="128" t="s">
        <v>65</v>
      </c>
      <c r="G803" s="128" t="str">
        <f>VLOOKUP(source[[#This Row],[lending_product_transform]],[3]Mapping!$B$4:$C$37,2,0)</f>
        <v>[BE] - Cashloan</v>
      </c>
      <c r="H803" s="128" t="str">
        <f>VLOOKUP(source[[#This Row],[lending_product_transform]],[3]Mapping!$B$3:$D$37,3,0)</f>
        <v>cashloan</v>
      </c>
      <c r="I803" s="135">
        <v>154950000</v>
      </c>
    </row>
    <row r="804" spans="1:9" x14ac:dyDescent="0.2">
      <c r="A804" s="134">
        <v>45400</v>
      </c>
      <c r="B804" s="135">
        <f>YEAR(source[[#This Row],[report_date]])</f>
        <v>2024</v>
      </c>
      <c r="C804" s="136">
        <v>4</v>
      </c>
      <c r="D804" s="136">
        <f t="shared" si="47"/>
        <v>16</v>
      </c>
      <c r="E804" s="136">
        <f t="shared" si="48"/>
        <v>18</v>
      </c>
      <c r="F804" s="128" t="s">
        <v>58</v>
      </c>
      <c r="G804" s="128" t="str">
        <f>VLOOKUP(source[[#This Row],[lending_product_transform]],[3]Mapping!$B$4:$C$37,2,0)</f>
        <v>[VDS] - Payroll Cashloan</v>
      </c>
      <c r="H804" s="128" t="str">
        <f>VLOOKUP(source[[#This Row],[lending_product_transform]],[3]Mapping!$B$3:$D$37,3,0)</f>
        <v>cashloan</v>
      </c>
      <c r="I804" s="135">
        <v>119750000</v>
      </c>
    </row>
    <row r="805" spans="1:9" x14ac:dyDescent="0.2">
      <c r="A805" s="134">
        <v>45401</v>
      </c>
      <c r="B805" s="135">
        <f>YEAR(source[[#This Row],[report_date]])</f>
        <v>2024</v>
      </c>
      <c r="C805" s="136">
        <v>4</v>
      </c>
      <c r="D805" s="136">
        <f t="shared" si="47"/>
        <v>16</v>
      </c>
      <c r="E805" s="136">
        <f t="shared" si="48"/>
        <v>19</v>
      </c>
      <c r="F805" s="128" t="s">
        <v>65</v>
      </c>
      <c r="G805" s="128" t="str">
        <f>VLOOKUP(source[[#This Row],[lending_product_transform]],[3]Mapping!$B$4:$C$37,2,0)</f>
        <v>[BE] - Cashloan</v>
      </c>
      <c r="H805" s="128" t="str">
        <f>VLOOKUP(source[[#This Row],[lending_product_transform]],[3]Mapping!$B$3:$D$37,3,0)</f>
        <v>cashloan</v>
      </c>
      <c r="I805" s="135">
        <v>184900000</v>
      </c>
    </row>
    <row r="806" spans="1:9" x14ac:dyDescent="0.2">
      <c r="A806" s="134">
        <v>45401</v>
      </c>
      <c r="B806" s="135">
        <f>YEAR(source[[#This Row],[report_date]])</f>
        <v>2024</v>
      </c>
      <c r="C806" s="136">
        <v>4</v>
      </c>
      <c r="D806" s="136">
        <f t="shared" si="47"/>
        <v>16</v>
      </c>
      <c r="E806" s="136">
        <f t="shared" si="48"/>
        <v>19</v>
      </c>
      <c r="F806" s="128" t="s">
        <v>58</v>
      </c>
      <c r="G806" s="128" t="str">
        <f>VLOOKUP(source[[#This Row],[lending_product_transform]],[3]Mapping!$B$4:$C$37,2,0)</f>
        <v>[VDS] - Payroll Cashloan</v>
      </c>
      <c r="H806" s="128" t="str">
        <f>VLOOKUP(source[[#This Row],[lending_product_transform]],[3]Mapping!$B$3:$D$37,3,0)</f>
        <v>cashloan</v>
      </c>
      <c r="I806" s="135">
        <v>15750000</v>
      </c>
    </row>
    <row r="807" spans="1:9" x14ac:dyDescent="0.2">
      <c r="A807" s="134">
        <v>45401</v>
      </c>
      <c r="B807" s="135">
        <f>YEAR(source[[#This Row],[report_date]])</f>
        <v>2024</v>
      </c>
      <c r="C807" s="136">
        <v>4</v>
      </c>
      <c r="D807" s="136">
        <f t="shared" si="47"/>
        <v>16</v>
      </c>
      <c r="E807" s="136">
        <f t="shared" si="48"/>
        <v>19</v>
      </c>
      <c r="F807" s="128" t="s">
        <v>11</v>
      </c>
      <c r="G807" s="128" t="str">
        <f>VLOOKUP(source[[#This Row],[lending_product_transform]],[3]Mapping!$B$4:$C$37,2,0)</f>
        <v>[VDS] - Cashloan</v>
      </c>
      <c r="H807" s="128" t="str">
        <f>VLOOKUP(source[[#This Row],[lending_product_transform]],[3]Mapping!$B$3:$D$37,3,0)</f>
        <v>cashloan</v>
      </c>
      <c r="I807" s="135">
        <v>3917820000</v>
      </c>
    </row>
    <row r="808" spans="1:9" x14ac:dyDescent="0.2">
      <c r="A808" s="134">
        <v>45401</v>
      </c>
      <c r="B808" s="135">
        <f>YEAR(source[[#This Row],[report_date]])</f>
        <v>2024</v>
      </c>
      <c r="C808" s="136">
        <v>4</v>
      </c>
      <c r="D808" s="136">
        <f t="shared" si="47"/>
        <v>16</v>
      </c>
      <c r="E808" s="136">
        <f t="shared" si="48"/>
        <v>19</v>
      </c>
      <c r="F808" s="128" t="s">
        <v>61</v>
      </c>
      <c r="G808" s="128" t="str">
        <f>VLOOKUP(source[[#This Row],[lending_product_transform]],[3]Mapping!$B$4:$C$37,2,0)</f>
        <v>[VDS] - Payroll Payday</v>
      </c>
      <c r="H808" s="128" t="str">
        <f>VLOOKUP(source[[#This Row],[lending_product_transform]],[3]Mapping!$B$3:$D$37,3,0)</f>
        <v>payday</v>
      </c>
      <c r="I808" s="135">
        <v>5000000</v>
      </c>
    </row>
    <row r="809" spans="1:9" x14ac:dyDescent="0.2">
      <c r="A809" s="134">
        <v>45401</v>
      </c>
      <c r="B809" s="135">
        <f>YEAR(source[[#This Row],[report_date]])</f>
        <v>2024</v>
      </c>
      <c r="C809" s="136">
        <v>4</v>
      </c>
      <c r="D809" s="136">
        <f t="shared" si="47"/>
        <v>16</v>
      </c>
      <c r="E809" s="136">
        <f t="shared" si="48"/>
        <v>19</v>
      </c>
      <c r="F809" s="128" t="s">
        <v>56</v>
      </c>
      <c r="G809" s="128">
        <f>VLOOKUP(source[[#This Row],[lending_product_transform]],[3]Mapping!$B$4:$C$37,2,0)</f>
        <v>0</v>
      </c>
      <c r="H809" s="128">
        <f>VLOOKUP(source[[#This Row],[lending_product_transform]],[3]Mapping!$B$3:$D$37,3,0)</f>
        <v>0</v>
      </c>
      <c r="I809" s="135">
        <v>8692696512</v>
      </c>
    </row>
    <row r="810" spans="1:9" x14ac:dyDescent="0.2">
      <c r="A810" s="134">
        <v>45401</v>
      </c>
      <c r="B810" s="135">
        <f>YEAR(source[[#This Row],[report_date]])</f>
        <v>2024</v>
      </c>
      <c r="C810" s="136">
        <v>4</v>
      </c>
      <c r="D810" s="136">
        <f t="shared" si="47"/>
        <v>16</v>
      </c>
      <c r="E810" s="136">
        <f t="shared" si="48"/>
        <v>19</v>
      </c>
      <c r="F810" s="128" t="s">
        <v>67</v>
      </c>
      <c r="G810" s="128" t="str">
        <f>VLOOKUP(source[[#This Row],[lending_product_transform]],[3]Mapping!$B$4:$C$37,2,0)</f>
        <v>[Cake] - Overdraft</v>
      </c>
      <c r="H810" s="128" t="str">
        <f>VLOOKUP(source[[#This Row],[lending_product_transform]],[3]Mapping!$B$3:$D$37,3,0)</f>
        <v>overdraft</v>
      </c>
      <c r="I810" s="135">
        <v>1970529923</v>
      </c>
    </row>
    <row r="811" spans="1:9" x14ac:dyDescent="0.2">
      <c r="A811" s="134">
        <v>45401</v>
      </c>
      <c r="B811" s="135">
        <f>YEAR(source[[#This Row],[report_date]])</f>
        <v>2024</v>
      </c>
      <c r="C811" s="136">
        <v>4</v>
      </c>
      <c r="D811" s="136">
        <f t="shared" si="47"/>
        <v>16</v>
      </c>
      <c r="E811" s="136">
        <f t="shared" si="48"/>
        <v>19</v>
      </c>
      <c r="F811" s="128" t="s">
        <v>206</v>
      </c>
      <c r="G811" s="128" t="str">
        <f>VLOOKUP(source[[#This Row],[lending_product_transform]],[3]Mapping!$B$4:$C$37,2,0)</f>
        <v>[NGS] - Cashloan</v>
      </c>
      <c r="H811" s="128" t="str">
        <f>VLOOKUP(source[[#This Row],[lending_product_transform]],[3]Mapping!$B$3:$D$37,3,0)</f>
        <v>cashloan</v>
      </c>
      <c r="I811" s="135">
        <v>233260000</v>
      </c>
    </row>
    <row r="812" spans="1:9" x14ac:dyDescent="0.2">
      <c r="A812" s="134">
        <v>45401</v>
      </c>
      <c r="B812" s="135">
        <f>YEAR(source[[#This Row],[report_date]])</f>
        <v>2024</v>
      </c>
      <c r="C812" s="136">
        <v>4</v>
      </c>
      <c r="D812" s="136">
        <f t="shared" si="47"/>
        <v>16</v>
      </c>
      <c r="E812" s="136">
        <f t="shared" si="48"/>
        <v>19</v>
      </c>
      <c r="F812" s="128" t="s">
        <v>62</v>
      </c>
      <c r="G812" s="128" t="str">
        <f>VLOOKUP(source[[#This Row],[lending_product_transform]],[3]Mapping!$B$4:$C$37,2,0)</f>
        <v>[VDS] - Paylater</v>
      </c>
      <c r="H812" s="128" t="str">
        <f>VLOOKUP(source[[#This Row],[lending_product_transform]],[3]Mapping!$B$3:$D$37,3,0)</f>
        <v>paylater</v>
      </c>
      <c r="I812" s="135">
        <v>436589</v>
      </c>
    </row>
    <row r="813" spans="1:9" x14ac:dyDescent="0.2">
      <c r="A813" s="134">
        <v>45401</v>
      </c>
      <c r="B813" s="135">
        <f>YEAR(source[[#This Row],[report_date]])</f>
        <v>2024</v>
      </c>
      <c r="C813" s="136">
        <v>4</v>
      </c>
      <c r="D813" s="136">
        <f t="shared" si="47"/>
        <v>16</v>
      </c>
      <c r="E813" s="136">
        <f t="shared" si="48"/>
        <v>19</v>
      </c>
      <c r="F813" s="128" t="s">
        <v>19</v>
      </c>
      <c r="G813" s="128" t="str">
        <f>VLOOKUP(source[[#This Row],[lending_product_transform]],[3]Mapping!$B$4:$C$37,2,0)</f>
        <v>[VDS] - Payday</v>
      </c>
      <c r="H813" s="128" t="str">
        <f>VLOOKUP(source[[#This Row],[lending_product_transform]],[3]Mapping!$B$3:$D$37,3,0)</f>
        <v>payday</v>
      </c>
      <c r="I813" s="135">
        <v>2365000000</v>
      </c>
    </row>
    <row r="814" spans="1:9" x14ac:dyDescent="0.2">
      <c r="A814" s="134">
        <v>45402</v>
      </c>
      <c r="B814" s="135">
        <f>YEAR(source[[#This Row],[report_date]])</f>
        <v>2024</v>
      </c>
      <c r="C814" s="136">
        <v>4</v>
      </c>
      <c r="D814" s="136">
        <f t="shared" si="47"/>
        <v>16</v>
      </c>
      <c r="E814" s="136">
        <f t="shared" si="48"/>
        <v>20</v>
      </c>
      <c r="F814" s="128" t="s">
        <v>65</v>
      </c>
      <c r="G814" s="128" t="str">
        <f>VLOOKUP(source[[#This Row],[lending_product_transform]],[3]Mapping!$B$4:$C$37,2,0)</f>
        <v>[BE] - Cashloan</v>
      </c>
      <c r="H814" s="128" t="str">
        <f>VLOOKUP(source[[#This Row],[lending_product_transform]],[3]Mapping!$B$3:$D$37,3,0)</f>
        <v>cashloan</v>
      </c>
      <c r="I814" s="135">
        <v>189000000</v>
      </c>
    </row>
    <row r="815" spans="1:9" x14ac:dyDescent="0.2">
      <c r="A815" s="134">
        <v>45402</v>
      </c>
      <c r="B815" s="135">
        <f>YEAR(source[[#This Row],[report_date]])</f>
        <v>2024</v>
      </c>
      <c r="C815" s="136">
        <v>4</v>
      </c>
      <c r="D815" s="136">
        <f t="shared" si="47"/>
        <v>16</v>
      </c>
      <c r="E815" s="136">
        <f t="shared" si="48"/>
        <v>20</v>
      </c>
      <c r="F815" s="128" t="s">
        <v>11</v>
      </c>
      <c r="G815" s="128" t="str">
        <f>VLOOKUP(source[[#This Row],[lending_product_transform]],[3]Mapping!$B$4:$C$37,2,0)</f>
        <v>[VDS] - Cashloan</v>
      </c>
      <c r="H815" s="128" t="str">
        <f>VLOOKUP(source[[#This Row],[lending_product_transform]],[3]Mapping!$B$3:$D$37,3,0)</f>
        <v>cashloan</v>
      </c>
      <c r="I815" s="135">
        <v>3292600000</v>
      </c>
    </row>
    <row r="816" spans="1:9" x14ac:dyDescent="0.2">
      <c r="A816" s="134">
        <v>45402</v>
      </c>
      <c r="B816" s="135">
        <f>YEAR(source[[#This Row],[report_date]])</f>
        <v>2024</v>
      </c>
      <c r="C816" s="136">
        <v>4</v>
      </c>
      <c r="D816" s="136">
        <f t="shared" si="47"/>
        <v>16</v>
      </c>
      <c r="E816" s="136">
        <f t="shared" si="48"/>
        <v>20</v>
      </c>
      <c r="F816" s="128" t="s">
        <v>206</v>
      </c>
      <c r="G816" s="128" t="str">
        <f>VLOOKUP(source[[#This Row],[lending_product_transform]],[3]Mapping!$B$4:$C$37,2,0)</f>
        <v>[NGS] - Cashloan</v>
      </c>
      <c r="H816" s="128" t="str">
        <f>VLOOKUP(source[[#This Row],[lending_product_transform]],[3]Mapping!$B$3:$D$37,3,0)</f>
        <v>cashloan</v>
      </c>
      <c r="I816" s="135">
        <v>134820000</v>
      </c>
    </row>
    <row r="817" spans="1:9" x14ac:dyDescent="0.2">
      <c r="A817" s="134">
        <v>45402</v>
      </c>
      <c r="B817" s="135">
        <f>YEAR(source[[#This Row],[report_date]])</f>
        <v>2024</v>
      </c>
      <c r="C817" s="136">
        <v>4</v>
      </c>
      <c r="D817" s="136">
        <f t="shared" si="47"/>
        <v>16</v>
      </c>
      <c r="E817" s="136">
        <f t="shared" si="48"/>
        <v>20</v>
      </c>
      <c r="F817" s="128" t="s">
        <v>19</v>
      </c>
      <c r="G817" s="128" t="str">
        <f>VLOOKUP(source[[#This Row],[lending_product_transform]],[3]Mapping!$B$4:$C$37,2,0)</f>
        <v>[VDS] - Payday</v>
      </c>
      <c r="H817" s="128" t="str">
        <f>VLOOKUP(source[[#This Row],[lending_product_transform]],[3]Mapping!$B$3:$D$37,3,0)</f>
        <v>payday</v>
      </c>
      <c r="I817" s="135">
        <v>2297500000</v>
      </c>
    </row>
    <row r="818" spans="1:9" x14ac:dyDescent="0.2">
      <c r="A818" s="134">
        <v>45402</v>
      </c>
      <c r="B818" s="135">
        <f>YEAR(source[[#This Row],[report_date]])</f>
        <v>2024</v>
      </c>
      <c r="C818" s="136">
        <v>4</v>
      </c>
      <c r="D818" s="136">
        <f t="shared" si="47"/>
        <v>16</v>
      </c>
      <c r="E818" s="136">
        <f t="shared" si="48"/>
        <v>20</v>
      </c>
      <c r="F818" s="128" t="s">
        <v>61</v>
      </c>
      <c r="G818" s="128" t="str">
        <f>VLOOKUP(source[[#This Row],[lending_product_transform]],[3]Mapping!$B$4:$C$37,2,0)</f>
        <v>[VDS] - Payroll Payday</v>
      </c>
      <c r="H818" s="128" t="str">
        <f>VLOOKUP(source[[#This Row],[lending_product_transform]],[3]Mapping!$B$3:$D$37,3,0)</f>
        <v>payday</v>
      </c>
      <c r="I818" s="135">
        <v>2000000</v>
      </c>
    </row>
    <row r="819" spans="1:9" x14ac:dyDescent="0.2">
      <c r="A819" s="134">
        <v>45402</v>
      </c>
      <c r="B819" s="135">
        <f>YEAR(source[[#This Row],[report_date]])</f>
        <v>2024</v>
      </c>
      <c r="C819" s="136">
        <v>4</v>
      </c>
      <c r="D819" s="136">
        <f t="shared" si="47"/>
        <v>16</v>
      </c>
      <c r="E819" s="136">
        <f t="shared" si="48"/>
        <v>20</v>
      </c>
      <c r="F819" s="128" t="s">
        <v>56</v>
      </c>
      <c r="G819" s="128">
        <f>VLOOKUP(source[[#This Row],[lending_product_transform]],[3]Mapping!$B$4:$C$37,2,0)</f>
        <v>0</v>
      </c>
      <c r="H819" s="128">
        <f>VLOOKUP(source[[#This Row],[lending_product_transform]],[3]Mapping!$B$3:$D$37,3,0)</f>
        <v>0</v>
      </c>
      <c r="I819" s="135">
        <v>7707342696</v>
      </c>
    </row>
    <row r="820" spans="1:9" x14ac:dyDescent="0.2">
      <c r="A820" s="134">
        <v>45402</v>
      </c>
      <c r="B820" s="135">
        <f>YEAR(source[[#This Row],[report_date]])</f>
        <v>2024</v>
      </c>
      <c r="C820" s="136">
        <v>4</v>
      </c>
      <c r="D820" s="136">
        <f t="shared" si="47"/>
        <v>16</v>
      </c>
      <c r="E820" s="136">
        <f t="shared" si="48"/>
        <v>20</v>
      </c>
      <c r="F820" s="128" t="s">
        <v>67</v>
      </c>
      <c r="G820" s="128" t="str">
        <f>VLOOKUP(source[[#This Row],[lending_product_transform]],[3]Mapping!$B$4:$C$37,2,0)</f>
        <v>[Cake] - Overdraft</v>
      </c>
      <c r="H820" s="128" t="str">
        <f>VLOOKUP(source[[#This Row],[lending_product_transform]],[3]Mapping!$B$3:$D$37,3,0)</f>
        <v>overdraft</v>
      </c>
      <c r="I820" s="135">
        <v>1791339741</v>
      </c>
    </row>
    <row r="821" spans="1:9" x14ac:dyDescent="0.2">
      <c r="A821" s="134">
        <v>45402</v>
      </c>
      <c r="B821" s="135">
        <f>YEAR(source[[#This Row],[report_date]])</f>
        <v>2024</v>
      </c>
      <c r="C821" s="136">
        <v>4</v>
      </c>
      <c r="D821" s="136">
        <f t="shared" si="47"/>
        <v>16</v>
      </c>
      <c r="E821" s="136">
        <f t="shared" si="48"/>
        <v>20</v>
      </c>
      <c r="F821" s="128" t="s">
        <v>58</v>
      </c>
      <c r="G821" s="128" t="str">
        <f>VLOOKUP(source[[#This Row],[lending_product_transform]],[3]Mapping!$B$4:$C$37,2,0)</f>
        <v>[VDS] - Payroll Cashloan</v>
      </c>
      <c r="H821" s="128" t="str">
        <f>VLOOKUP(source[[#This Row],[lending_product_transform]],[3]Mapping!$B$3:$D$37,3,0)</f>
        <v>cashloan</v>
      </c>
      <c r="I821" s="135">
        <v>0</v>
      </c>
    </row>
    <row r="822" spans="1:9" x14ac:dyDescent="0.2">
      <c r="A822" s="134">
        <v>45402</v>
      </c>
      <c r="B822" s="135">
        <f>YEAR(source[[#This Row],[report_date]])</f>
        <v>2024</v>
      </c>
      <c r="C822" s="136">
        <v>4</v>
      </c>
      <c r="D822" s="136">
        <f t="shared" si="47"/>
        <v>16</v>
      </c>
      <c r="E822" s="136">
        <f t="shared" si="48"/>
        <v>20</v>
      </c>
      <c r="F822" s="128" t="s">
        <v>62</v>
      </c>
      <c r="G822" s="128" t="str">
        <f>VLOOKUP(source[[#This Row],[lending_product_transform]],[3]Mapping!$B$4:$C$37,2,0)</f>
        <v>[VDS] - Paylater</v>
      </c>
      <c r="H822" s="128" t="str">
        <f>VLOOKUP(source[[#This Row],[lending_product_transform]],[3]Mapping!$B$3:$D$37,3,0)</f>
        <v>paylater</v>
      </c>
      <c r="I822" s="135">
        <v>82955</v>
      </c>
    </row>
    <row r="823" spans="1:9" x14ac:dyDescent="0.2">
      <c r="A823" s="134">
        <v>45403</v>
      </c>
      <c r="B823" s="135">
        <f>YEAR(source[[#This Row],[report_date]])</f>
        <v>2024</v>
      </c>
      <c r="C823" s="136">
        <v>4</v>
      </c>
      <c r="D823" s="136">
        <f t="shared" si="47"/>
        <v>16</v>
      </c>
      <c r="E823" s="136">
        <f t="shared" si="48"/>
        <v>21</v>
      </c>
      <c r="F823" s="128" t="s">
        <v>62</v>
      </c>
      <c r="G823" s="128" t="str">
        <f>VLOOKUP(source[[#This Row],[lending_product_transform]],[3]Mapping!$B$4:$C$37,2,0)</f>
        <v>[VDS] - Paylater</v>
      </c>
      <c r="H823" s="128" t="str">
        <f>VLOOKUP(source[[#This Row],[lending_product_transform]],[3]Mapping!$B$3:$D$37,3,0)</f>
        <v>paylater</v>
      </c>
      <c r="I823" s="135">
        <v>15000</v>
      </c>
    </row>
    <row r="824" spans="1:9" x14ac:dyDescent="0.2">
      <c r="A824" s="134">
        <v>45403</v>
      </c>
      <c r="B824" s="135">
        <f>YEAR(source[[#This Row],[report_date]])</f>
        <v>2024</v>
      </c>
      <c r="C824" s="136">
        <v>4</v>
      </c>
      <c r="D824" s="136">
        <f t="shared" si="47"/>
        <v>16</v>
      </c>
      <c r="E824" s="136">
        <f t="shared" si="48"/>
        <v>21</v>
      </c>
      <c r="F824" s="128" t="s">
        <v>56</v>
      </c>
      <c r="G824" s="128">
        <f>VLOOKUP(source[[#This Row],[lending_product_transform]],[3]Mapping!$B$4:$C$37,2,0)</f>
        <v>0</v>
      </c>
      <c r="H824" s="128">
        <f>VLOOKUP(source[[#This Row],[lending_product_transform]],[3]Mapping!$B$3:$D$37,3,0)</f>
        <v>0</v>
      </c>
      <c r="I824" s="135">
        <v>6494151612</v>
      </c>
    </row>
    <row r="825" spans="1:9" x14ac:dyDescent="0.2">
      <c r="A825" s="134">
        <v>45403</v>
      </c>
      <c r="B825" s="135">
        <f>YEAR(source[[#This Row],[report_date]])</f>
        <v>2024</v>
      </c>
      <c r="C825" s="136">
        <v>4</v>
      </c>
      <c r="D825" s="136">
        <f t="shared" si="47"/>
        <v>16</v>
      </c>
      <c r="E825" s="136">
        <f t="shared" si="48"/>
        <v>21</v>
      </c>
      <c r="F825" s="128" t="s">
        <v>67</v>
      </c>
      <c r="G825" s="128" t="str">
        <f>VLOOKUP(source[[#This Row],[lending_product_transform]],[3]Mapping!$B$4:$C$37,2,0)</f>
        <v>[Cake] - Overdraft</v>
      </c>
      <c r="H825" s="128" t="str">
        <f>VLOOKUP(source[[#This Row],[lending_product_transform]],[3]Mapping!$B$3:$D$37,3,0)</f>
        <v>overdraft</v>
      </c>
      <c r="I825" s="135">
        <v>1708686612</v>
      </c>
    </row>
    <row r="826" spans="1:9" x14ac:dyDescent="0.2">
      <c r="A826" s="134">
        <v>45403</v>
      </c>
      <c r="B826" s="135">
        <f>YEAR(source[[#This Row],[report_date]])</f>
        <v>2024</v>
      </c>
      <c r="C826" s="136">
        <v>4</v>
      </c>
      <c r="D826" s="136">
        <f t="shared" si="47"/>
        <v>16</v>
      </c>
      <c r="E826" s="136">
        <f t="shared" si="48"/>
        <v>21</v>
      </c>
      <c r="F826" s="128" t="s">
        <v>11</v>
      </c>
      <c r="G826" s="128" t="str">
        <f>VLOOKUP(source[[#This Row],[lending_product_transform]],[3]Mapping!$B$4:$C$37,2,0)</f>
        <v>[VDS] - Cashloan</v>
      </c>
      <c r="H826" s="128" t="str">
        <f>VLOOKUP(source[[#This Row],[lending_product_transform]],[3]Mapping!$B$3:$D$37,3,0)</f>
        <v>cashloan</v>
      </c>
      <c r="I826" s="135">
        <v>2633300000</v>
      </c>
    </row>
    <row r="827" spans="1:9" x14ac:dyDescent="0.2">
      <c r="A827" s="134">
        <v>45403</v>
      </c>
      <c r="B827" s="135">
        <f>YEAR(source[[#This Row],[report_date]])</f>
        <v>2024</v>
      </c>
      <c r="C827" s="136">
        <v>4</v>
      </c>
      <c r="D827" s="136">
        <f t="shared" si="47"/>
        <v>16</v>
      </c>
      <c r="E827" s="136">
        <f t="shared" si="48"/>
        <v>21</v>
      </c>
      <c r="F827" s="128" t="s">
        <v>61</v>
      </c>
      <c r="G827" s="128" t="str">
        <f>VLOOKUP(source[[#This Row],[lending_product_transform]],[3]Mapping!$B$4:$C$37,2,0)</f>
        <v>[VDS] - Payroll Payday</v>
      </c>
      <c r="H827" s="128" t="str">
        <f>VLOOKUP(source[[#This Row],[lending_product_transform]],[3]Mapping!$B$3:$D$37,3,0)</f>
        <v>payday</v>
      </c>
      <c r="I827" s="135">
        <v>50000000</v>
      </c>
    </row>
    <row r="828" spans="1:9" x14ac:dyDescent="0.2">
      <c r="A828" s="134">
        <v>45403</v>
      </c>
      <c r="B828" s="135">
        <f>YEAR(source[[#This Row],[report_date]])</f>
        <v>2024</v>
      </c>
      <c r="C828" s="136">
        <v>4</v>
      </c>
      <c r="D828" s="136">
        <f t="shared" si="47"/>
        <v>16</v>
      </c>
      <c r="E828" s="136">
        <f t="shared" si="48"/>
        <v>21</v>
      </c>
      <c r="F828" s="128" t="s">
        <v>65</v>
      </c>
      <c r="G828" s="128" t="str">
        <f>VLOOKUP(source[[#This Row],[lending_product_transform]],[3]Mapping!$B$4:$C$37,2,0)</f>
        <v>[BE] - Cashloan</v>
      </c>
      <c r="H828" s="128" t="str">
        <f>VLOOKUP(source[[#This Row],[lending_product_transform]],[3]Mapping!$B$3:$D$37,3,0)</f>
        <v>cashloan</v>
      </c>
      <c r="I828" s="135">
        <v>117900000</v>
      </c>
    </row>
    <row r="829" spans="1:9" x14ac:dyDescent="0.2">
      <c r="A829" s="134">
        <v>45403</v>
      </c>
      <c r="B829" s="135">
        <f>YEAR(source[[#This Row],[report_date]])</f>
        <v>2024</v>
      </c>
      <c r="C829" s="136">
        <v>4</v>
      </c>
      <c r="D829" s="136">
        <f t="shared" si="47"/>
        <v>16</v>
      </c>
      <c r="E829" s="136">
        <f t="shared" si="48"/>
        <v>21</v>
      </c>
      <c r="F829" s="128" t="s">
        <v>58</v>
      </c>
      <c r="G829" s="128" t="str">
        <f>VLOOKUP(source[[#This Row],[lending_product_transform]],[3]Mapping!$B$4:$C$37,2,0)</f>
        <v>[VDS] - Payroll Cashloan</v>
      </c>
      <c r="H829" s="128" t="str">
        <f>VLOOKUP(source[[#This Row],[lending_product_transform]],[3]Mapping!$B$3:$D$37,3,0)</f>
        <v>cashloan</v>
      </c>
      <c r="I829" s="135">
        <v>47250000</v>
      </c>
    </row>
    <row r="830" spans="1:9" x14ac:dyDescent="0.2">
      <c r="A830" s="134">
        <v>45403</v>
      </c>
      <c r="B830" s="135">
        <f>YEAR(source[[#This Row],[report_date]])</f>
        <v>2024</v>
      </c>
      <c r="C830" s="136">
        <v>4</v>
      </c>
      <c r="D830" s="136">
        <f t="shared" si="47"/>
        <v>16</v>
      </c>
      <c r="E830" s="136">
        <f t="shared" si="48"/>
        <v>21</v>
      </c>
      <c r="F830" s="128" t="s">
        <v>19</v>
      </c>
      <c r="G830" s="128" t="str">
        <f>VLOOKUP(source[[#This Row],[lending_product_transform]],[3]Mapping!$B$4:$C$37,2,0)</f>
        <v>[VDS] - Payday</v>
      </c>
      <c r="H830" s="128" t="str">
        <f>VLOOKUP(source[[#This Row],[lending_product_transform]],[3]Mapping!$B$3:$D$37,3,0)</f>
        <v>payday</v>
      </c>
      <c r="I830" s="135">
        <v>1937000000</v>
      </c>
    </row>
    <row r="831" spans="1:9" x14ac:dyDescent="0.2">
      <c r="A831" s="134">
        <v>45403</v>
      </c>
      <c r="B831" s="135">
        <f>YEAR(source[[#This Row],[report_date]])</f>
        <v>2024</v>
      </c>
      <c r="C831" s="136">
        <v>4</v>
      </c>
      <c r="D831" s="136">
        <f t="shared" si="47"/>
        <v>16</v>
      </c>
      <c r="E831" s="136">
        <f t="shared" si="48"/>
        <v>21</v>
      </c>
      <c r="F831" s="128" t="s">
        <v>206</v>
      </c>
      <c r="G831" s="128" t="str">
        <f>VLOOKUP(source[[#This Row],[lending_product_transform]],[3]Mapping!$B$4:$C$37,2,0)</f>
        <v>[NGS] - Cashloan</v>
      </c>
      <c r="H831" s="128" t="str">
        <f>VLOOKUP(source[[#This Row],[lending_product_transform]],[3]Mapping!$B$3:$D$37,3,0)</f>
        <v>cashloan</v>
      </c>
      <c r="I831" s="135">
        <v>0</v>
      </c>
    </row>
    <row r="832" spans="1:9" x14ac:dyDescent="0.2">
      <c r="A832" s="134">
        <v>45404</v>
      </c>
      <c r="B832" s="135">
        <f>YEAR(source[[#This Row],[report_date]])</f>
        <v>2024</v>
      </c>
      <c r="C832" s="136">
        <v>4</v>
      </c>
      <c r="D832" s="136">
        <f t="shared" si="47"/>
        <v>17</v>
      </c>
      <c r="E832" s="136">
        <f t="shared" si="48"/>
        <v>22</v>
      </c>
      <c r="F832" s="128" t="s">
        <v>206</v>
      </c>
      <c r="G832" s="128" t="str">
        <f>VLOOKUP(source[[#This Row],[lending_product_transform]],[3]Mapping!$B$4:$C$37,2,0)</f>
        <v>[NGS] - Cashloan</v>
      </c>
      <c r="H832" s="128" t="str">
        <f>VLOOKUP(source[[#This Row],[lending_product_transform]],[3]Mapping!$B$3:$D$37,3,0)</f>
        <v>cashloan</v>
      </c>
      <c r="I832" s="135">
        <v>95600000</v>
      </c>
    </row>
    <row r="833" spans="1:9" x14ac:dyDescent="0.2">
      <c r="A833" s="134">
        <v>45404</v>
      </c>
      <c r="B833" s="135">
        <f>YEAR(source[[#This Row],[report_date]])</f>
        <v>2024</v>
      </c>
      <c r="C833" s="136">
        <v>4</v>
      </c>
      <c r="D833" s="136">
        <f t="shared" si="47"/>
        <v>17</v>
      </c>
      <c r="E833" s="136">
        <f t="shared" si="48"/>
        <v>22</v>
      </c>
      <c r="F833" s="128" t="s">
        <v>62</v>
      </c>
      <c r="G833" s="128" t="str">
        <f>VLOOKUP(source[[#This Row],[lending_product_transform]],[3]Mapping!$B$4:$C$37,2,0)</f>
        <v>[VDS] - Paylater</v>
      </c>
      <c r="H833" s="128" t="str">
        <f>VLOOKUP(source[[#This Row],[lending_product_transform]],[3]Mapping!$B$3:$D$37,3,0)</f>
        <v>paylater</v>
      </c>
      <c r="I833" s="135">
        <v>311585</v>
      </c>
    </row>
    <row r="834" spans="1:9" x14ac:dyDescent="0.2">
      <c r="A834" s="134">
        <v>45404</v>
      </c>
      <c r="B834" s="135">
        <f>YEAR(source[[#This Row],[report_date]])</f>
        <v>2024</v>
      </c>
      <c r="C834" s="136">
        <v>4</v>
      </c>
      <c r="D834" s="136">
        <f t="shared" si="47"/>
        <v>17</v>
      </c>
      <c r="E834" s="136">
        <f t="shared" si="48"/>
        <v>22</v>
      </c>
      <c r="F834" s="128" t="s">
        <v>65</v>
      </c>
      <c r="G834" s="128" t="str">
        <f>VLOOKUP(source[[#This Row],[lending_product_transform]],[3]Mapping!$B$4:$C$37,2,0)</f>
        <v>[BE] - Cashloan</v>
      </c>
      <c r="H834" s="128" t="str">
        <f>VLOOKUP(source[[#This Row],[lending_product_transform]],[3]Mapping!$B$3:$D$37,3,0)</f>
        <v>cashloan</v>
      </c>
      <c r="I834" s="135">
        <v>317100000</v>
      </c>
    </row>
    <row r="835" spans="1:9" x14ac:dyDescent="0.2">
      <c r="A835" s="134">
        <v>45404</v>
      </c>
      <c r="B835" s="135">
        <f>YEAR(source[[#This Row],[report_date]])</f>
        <v>2024</v>
      </c>
      <c r="C835" s="136">
        <v>4</v>
      </c>
      <c r="D835" s="136">
        <f t="shared" ref="D835:D898" si="49">WEEKNUM(A835,2)</f>
        <v>17</v>
      </c>
      <c r="E835" s="136">
        <f t="shared" ref="E835:E898" si="50">DAY(A835)</f>
        <v>22</v>
      </c>
      <c r="F835" s="128" t="s">
        <v>11</v>
      </c>
      <c r="G835" s="128" t="str">
        <f>VLOOKUP(source[[#This Row],[lending_product_transform]],[3]Mapping!$B$4:$C$37,2,0)</f>
        <v>[VDS] - Cashloan</v>
      </c>
      <c r="H835" s="128" t="str">
        <f>VLOOKUP(source[[#This Row],[lending_product_transform]],[3]Mapping!$B$3:$D$37,3,0)</f>
        <v>cashloan</v>
      </c>
      <c r="I835" s="135">
        <v>4076840000</v>
      </c>
    </row>
    <row r="836" spans="1:9" x14ac:dyDescent="0.2">
      <c r="A836" s="134">
        <v>45404</v>
      </c>
      <c r="B836" s="135">
        <f>YEAR(source[[#This Row],[report_date]])</f>
        <v>2024</v>
      </c>
      <c r="C836" s="136">
        <v>4</v>
      </c>
      <c r="D836" s="136">
        <f t="shared" si="49"/>
        <v>17</v>
      </c>
      <c r="E836" s="136">
        <f t="shared" si="50"/>
        <v>22</v>
      </c>
      <c r="F836" s="128" t="s">
        <v>19</v>
      </c>
      <c r="G836" s="128" t="str">
        <f>VLOOKUP(source[[#This Row],[lending_product_transform]],[3]Mapping!$B$4:$C$37,2,0)</f>
        <v>[VDS] - Payday</v>
      </c>
      <c r="H836" s="128" t="str">
        <f>VLOOKUP(source[[#This Row],[lending_product_transform]],[3]Mapping!$B$3:$D$37,3,0)</f>
        <v>payday</v>
      </c>
      <c r="I836" s="135">
        <v>2515000000</v>
      </c>
    </row>
    <row r="837" spans="1:9" x14ac:dyDescent="0.2">
      <c r="A837" s="134">
        <v>45404</v>
      </c>
      <c r="B837" s="135">
        <f>YEAR(source[[#This Row],[report_date]])</f>
        <v>2024</v>
      </c>
      <c r="C837" s="136">
        <v>4</v>
      </c>
      <c r="D837" s="136">
        <f t="shared" si="49"/>
        <v>17</v>
      </c>
      <c r="E837" s="136">
        <f t="shared" si="50"/>
        <v>22</v>
      </c>
      <c r="F837" s="128" t="s">
        <v>61</v>
      </c>
      <c r="G837" s="128" t="str">
        <f>VLOOKUP(source[[#This Row],[lending_product_transform]],[3]Mapping!$B$4:$C$37,2,0)</f>
        <v>[VDS] - Payroll Payday</v>
      </c>
      <c r="H837" s="128" t="str">
        <f>VLOOKUP(source[[#This Row],[lending_product_transform]],[3]Mapping!$B$3:$D$37,3,0)</f>
        <v>payday</v>
      </c>
      <c r="I837" s="135">
        <v>73000000</v>
      </c>
    </row>
    <row r="838" spans="1:9" x14ac:dyDescent="0.2">
      <c r="A838" s="134">
        <v>45404</v>
      </c>
      <c r="B838" s="135">
        <f>YEAR(source[[#This Row],[report_date]])</f>
        <v>2024</v>
      </c>
      <c r="C838" s="136">
        <v>4</v>
      </c>
      <c r="D838" s="136">
        <f t="shared" si="49"/>
        <v>17</v>
      </c>
      <c r="E838" s="136">
        <f t="shared" si="50"/>
        <v>22</v>
      </c>
      <c r="F838" s="128" t="s">
        <v>56</v>
      </c>
      <c r="G838" s="128">
        <f>VLOOKUP(source[[#This Row],[lending_product_transform]],[3]Mapping!$B$4:$C$37,2,0)</f>
        <v>0</v>
      </c>
      <c r="H838" s="128">
        <f>VLOOKUP(source[[#This Row],[lending_product_transform]],[3]Mapping!$B$3:$D$37,3,0)</f>
        <v>0</v>
      </c>
      <c r="I838" s="135">
        <v>9328249068</v>
      </c>
    </row>
    <row r="839" spans="1:9" x14ac:dyDescent="0.2">
      <c r="A839" s="134">
        <v>45404</v>
      </c>
      <c r="B839" s="135">
        <f>YEAR(source[[#This Row],[report_date]])</f>
        <v>2024</v>
      </c>
      <c r="C839" s="136">
        <v>4</v>
      </c>
      <c r="D839" s="136">
        <f t="shared" si="49"/>
        <v>17</v>
      </c>
      <c r="E839" s="136">
        <f t="shared" si="50"/>
        <v>22</v>
      </c>
      <c r="F839" s="128" t="s">
        <v>58</v>
      </c>
      <c r="G839" s="128" t="str">
        <f>VLOOKUP(source[[#This Row],[lending_product_transform]],[3]Mapping!$B$4:$C$37,2,0)</f>
        <v>[VDS] - Payroll Cashloan</v>
      </c>
      <c r="H839" s="128" t="str">
        <f>VLOOKUP(source[[#This Row],[lending_product_transform]],[3]Mapping!$B$3:$D$37,3,0)</f>
        <v>cashloan</v>
      </c>
      <c r="I839" s="135">
        <v>152250000</v>
      </c>
    </row>
    <row r="840" spans="1:9" x14ac:dyDescent="0.2">
      <c r="A840" s="134">
        <v>45404</v>
      </c>
      <c r="B840" s="135">
        <f>YEAR(source[[#This Row],[report_date]])</f>
        <v>2024</v>
      </c>
      <c r="C840" s="136">
        <v>4</v>
      </c>
      <c r="D840" s="136">
        <f t="shared" si="49"/>
        <v>17</v>
      </c>
      <c r="E840" s="136">
        <f t="shared" si="50"/>
        <v>22</v>
      </c>
      <c r="F840" s="128" t="s">
        <v>67</v>
      </c>
      <c r="G840" s="128" t="str">
        <f>VLOOKUP(source[[#This Row],[lending_product_transform]],[3]Mapping!$B$4:$C$37,2,0)</f>
        <v>[Cake] - Overdraft</v>
      </c>
      <c r="H840" s="128" t="str">
        <f>VLOOKUP(source[[#This Row],[lending_product_transform]],[3]Mapping!$B$3:$D$37,3,0)</f>
        <v>overdraft</v>
      </c>
      <c r="I840" s="135">
        <v>2098147483</v>
      </c>
    </row>
    <row r="841" spans="1:9" x14ac:dyDescent="0.2">
      <c r="A841" s="134">
        <v>45405</v>
      </c>
      <c r="B841" s="135">
        <f>YEAR(source[[#This Row],[report_date]])</f>
        <v>2024</v>
      </c>
      <c r="C841" s="136">
        <v>4</v>
      </c>
      <c r="D841" s="136">
        <f t="shared" si="49"/>
        <v>17</v>
      </c>
      <c r="E841" s="136">
        <f t="shared" si="50"/>
        <v>23</v>
      </c>
      <c r="F841" s="128" t="s">
        <v>11</v>
      </c>
      <c r="G841" s="128" t="str">
        <f>VLOOKUP(source[[#This Row],[lending_product_transform]],[3]Mapping!$B$4:$C$37,2,0)</f>
        <v>[VDS] - Cashloan</v>
      </c>
      <c r="H841" s="128" t="str">
        <f>VLOOKUP(source[[#This Row],[lending_product_transform]],[3]Mapping!$B$3:$D$37,3,0)</f>
        <v>cashloan</v>
      </c>
      <c r="I841" s="135">
        <v>3194470000</v>
      </c>
    </row>
    <row r="842" spans="1:9" x14ac:dyDescent="0.2">
      <c r="A842" s="134">
        <v>45405</v>
      </c>
      <c r="B842" s="135">
        <f>YEAR(source[[#This Row],[report_date]])</f>
        <v>2024</v>
      </c>
      <c r="C842" s="136">
        <v>4</v>
      </c>
      <c r="D842" s="136">
        <f t="shared" si="49"/>
        <v>17</v>
      </c>
      <c r="E842" s="136">
        <f t="shared" si="50"/>
        <v>23</v>
      </c>
      <c r="F842" s="128" t="s">
        <v>206</v>
      </c>
      <c r="G842" s="128" t="str">
        <f>VLOOKUP(source[[#This Row],[lending_product_transform]],[3]Mapping!$B$4:$C$37,2,0)</f>
        <v>[NGS] - Cashloan</v>
      </c>
      <c r="H842" s="128" t="str">
        <f>VLOOKUP(source[[#This Row],[lending_product_transform]],[3]Mapping!$B$3:$D$37,3,0)</f>
        <v>cashloan</v>
      </c>
      <c r="I842" s="135">
        <v>150870000</v>
      </c>
    </row>
    <row r="843" spans="1:9" x14ac:dyDescent="0.2">
      <c r="A843" s="134">
        <v>45405</v>
      </c>
      <c r="B843" s="135">
        <f>YEAR(source[[#This Row],[report_date]])</f>
        <v>2024</v>
      </c>
      <c r="C843" s="136">
        <v>4</v>
      </c>
      <c r="D843" s="136">
        <f t="shared" si="49"/>
        <v>17</v>
      </c>
      <c r="E843" s="136">
        <f t="shared" si="50"/>
        <v>23</v>
      </c>
      <c r="F843" s="128" t="s">
        <v>58</v>
      </c>
      <c r="G843" s="128" t="str">
        <f>VLOOKUP(source[[#This Row],[lending_product_transform]],[3]Mapping!$B$4:$C$37,2,0)</f>
        <v>[VDS] - Payroll Cashloan</v>
      </c>
      <c r="H843" s="128" t="str">
        <f>VLOOKUP(source[[#This Row],[lending_product_transform]],[3]Mapping!$B$3:$D$37,3,0)</f>
        <v>cashloan</v>
      </c>
      <c r="I843" s="135">
        <v>41500000</v>
      </c>
    </row>
    <row r="844" spans="1:9" x14ac:dyDescent="0.2">
      <c r="A844" s="134">
        <v>45405</v>
      </c>
      <c r="B844" s="135">
        <f>YEAR(source[[#This Row],[report_date]])</f>
        <v>2024</v>
      </c>
      <c r="C844" s="136">
        <v>4</v>
      </c>
      <c r="D844" s="136">
        <f t="shared" si="49"/>
        <v>17</v>
      </c>
      <c r="E844" s="136">
        <f t="shared" si="50"/>
        <v>23</v>
      </c>
      <c r="F844" s="128" t="s">
        <v>67</v>
      </c>
      <c r="G844" s="128" t="str">
        <f>VLOOKUP(source[[#This Row],[lending_product_transform]],[3]Mapping!$B$4:$C$37,2,0)</f>
        <v>[Cake] - Overdraft</v>
      </c>
      <c r="H844" s="128" t="str">
        <f>VLOOKUP(source[[#This Row],[lending_product_transform]],[3]Mapping!$B$3:$D$37,3,0)</f>
        <v>overdraft</v>
      </c>
      <c r="I844" s="135">
        <v>1829502296</v>
      </c>
    </row>
    <row r="845" spans="1:9" x14ac:dyDescent="0.2">
      <c r="A845" s="134">
        <v>45405</v>
      </c>
      <c r="B845" s="135">
        <f>YEAR(source[[#This Row],[report_date]])</f>
        <v>2024</v>
      </c>
      <c r="C845" s="136">
        <v>4</v>
      </c>
      <c r="D845" s="136">
        <f t="shared" si="49"/>
        <v>17</v>
      </c>
      <c r="E845" s="136">
        <f t="shared" si="50"/>
        <v>23</v>
      </c>
      <c r="F845" s="128" t="s">
        <v>65</v>
      </c>
      <c r="G845" s="128" t="str">
        <f>VLOOKUP(source[[#This Row],[lending_product_transform]],[3]Mapping!$B$4:$C$37,2,0)</f>
        <v>[BE] - Cashloan</v>
      </c>
      <c r="H845" s="128" t="str">
        <f>VLOOKUP(source[[#This Row],[lending_product_transform]],[3]Mapping!$B$3:$D$37,3,0)</f>
        <v>cashloan</v>
      </c>
      <c r="I845" s="135">
        <v>315100000</v>
      </c>
    </row>
    <row r="846" spans="1:9" x14ac:dyDescent="0.2">
      <c r="A846" s="134">
        <v>45405</v>
      </c>
      <c r="B846" s="135">
        <f>YEAR(source[[#This Row],[report_date]])</f>
        <v>2024</v>
      </c>
      <c r="C846" s="136">
        <v>4</v>
      </c>
      <c r="D846" s="136">
        <f t="shared" si="49"/>
        <v>17</v>
      </c>
      <c r="E846" s="136">
        <f t="shared" si="50"/>
        <v>23</v>
      </c>
      <c r="F846" s="128" t="s">
        <v>61</v>
      </c>
      <c r="G846" s="128" t="str">
        <f>VLOOKUP(source[[#This Row],[lending_product_transform]],[3]Mapping!$B$4:$C$37,2,0)</f>
        <v>[VDS] - Payroll Payday</v>
      </c>
      <c r="H846" s="128" t="str">
        <f>VLOOKUP(source[[#This Row],[lending_product_transform]],[3]Mapping!$B$3:$D$37,3,0)</f>
        <v>payday</v>
      </c>
      <c r="I846" s="135">
        <v>12000000</v>
      </c>
    </row>
    <row r="847" spans="1:9" x14ac:dyDescent="0.2">
      <c r="A847" s="134">
        <v>45405</v>
      </c>
      <c r="B847" s="135">
        <f>YEAR(source[[#This Row],[report_date]])</f>
        <v>2024</v>
      </c>
      <c r="C847" s="136">
        <v>4</v>
      </c>
      <c r="D847" s="136">
        <f t="shared" si="49"/>
        <v>17</v>
      </c>
      <c r="E847" s="136">
        <f t="shared" si="50"/>
        <v>23</v>
      </c>
      <c r="F847" s="128" t="s">
        <v>56</v>
      </c>
      <c r="G847" s="128">
        <f>VLOOKUP(source[[#This Row],[lending_product_transform]],[3]Mapping!$B$4:$C$37,2,0)</f>
        <v>0</v>
      </c>
      <c r="H847" s="128">
        <f>VLOOKUP(source[[#This Row],[lending_product_transform]],[3]Mapping!$B$3:$D$37,3,0)</f>
        <v>0</v>
      </c>
      <c r="I847" s="135">
        <v>7808952296</v>
      </c>
    </row>
    <row r="848" spans="1:9" x14ac:dyDescent="0.2">
      <c r="A848" s="134">
        <v>45405</v>
      </c>
      <c r="B848" s="135">
        <f>YEAR(source[[#This Row],[report_date]])</f>
        <v>2024</v>
      </c>
      <c r="C848" s="136">
        <v>4</v>
      </c>
      <c r="D848" s="136">
        <f t="shared" si="49"/>
        <v>17</v>
      </c>
      <c r="E848" s="136">
        <f t="shared" si="50"/>
        <v>23</v>
      </c>
      <c r="F848" s="128" t="s">
        <v>19</v>
      </c>
      <c r="G848" s="128" t="str">
        <f>VLOOKUP(source[[#This Row],[lending_product_transform]],[3]Mapping!$B$4:$C$37,2,0)</f>
        <v>[VDS] - Payday</v>
      </c>
      <c r="H848" s="128" t="str">
        <f>VLOOKUP(source[[#This Row],[lending_product_transform]],[3]Mapping!$B$3:$D$37,3,0)</f>
        <v>payday</v>
      </c>
      <c r="I848" s="135">
        <v>2265500000</v>
      </c>
    </row>
    <row r="849" spans="1:9" x14ac:dyDescent="0.2">
      <c r="A849" s="134">
        <v>45405</v>
      </c>
      <c r="B849" s="135">
        <f>YEAR(source[[#This Row],[report_date]])</f>
        <v>2024</v>
      </c>
      <c r="C849" s="136">
        <v>4</v>
      </c>
      <c r="D849" s="136">
        <f t="shared" si="49"/>
        <v>17</v>
      </c>
      <c r="E849" s="136">
        <f t="shared" si="50"/>
        <v>23</v>
      </c>
      <c r="F849" s="128" t="s">
        <v>62</v>
      </c>
      <c r="G849" s="128" t="str">
        <f>VLOOKUP(source[[#This Row],[lending_product_transform]],[3]Mapping!$B$4:$C$37,2,0)</f>
        <v>[VDS] - Paylater</v>
      </c>
      <c r="H849" s="128" t="str">
        <f>VLOOKUP(source[[#This Row],[lending_product_transform]],[3]Mapping!$B$3:$D$37,3,0)</f>
        <v>paylater</v>
      </c>
      <c r="I849" s="135">
        <v>10000</v>
      </c>
    </row>
    <row r="850" spans="1:9" x14ac:dyDescent="0.2">
      <c r="A850" s="134">
        <v>45406</v>
      </c>
      <c r="B850" s="135">
        <f>YEAR(source[[#This Row],[report_date]])</f>
        <v>2024</v>
      </c>
      <c r="C850" s="136">
        <v>4</v>
      </c>
      <c r="D850" s="136">
        <f t="shared" si="49"/>
        <v>17</v>
      </c>
      <c r="E850" s="136">
        <f t="shared" si="50"/>
        <v>24</v>
      </c>
      <c r="F850" s="128" t="s">
        <v>58</v>
      </c>
      <c r="G850" s="128" t="str">
        <f>VLOOKUP(source[[#This Row],[lending_product_transform]],[3]Mapping!$B$4:$C$37,2,0)</f>
        <v>[VDS] - Payroll Cashloan</v>
      </c>
      <c r="H850" s="128" t="str">
        <f>VLOOKUP(source[[#This Row],[lending_product_transform]],[3]Mapping!$B$3:$D$37,3,0)</f>
        <v>cashloan</v>
      </c>
      <c r="I850" s="135">
        <v>36750000</v>
      </c>
    </row>
    <row r="851" spans="1:9" x14ac:dyDescent="0.2">
      <c r="A851" s="134">
        <v>45406</v>
      </c>
      <c r="B851" s="135">
        <f>YEAR(source[[#This Row],[report_date]])</f>
        <v>2024</v>
      </c>
      <c r="C851" s="136">
        <v>4</v>
      </c>
      <c r="D851" s="136">
        <f t="shared" si="49"/>
        <v>17</v>
      </c>
      <c r="E851" s="136">
        <f t="shared" si="50"/>
        <v>24</v>
      </c>
      <c r="F851" s="128" t="s">
        <v>11</v>
      </c>
      <c r="G851" s="128" t="str">
        <f>VLOOKUP(source[[#This Row],[lending_product_transform]],[3]Mapping!$B$4:$C$37,2,0)</f>
        <v>[VDS] - Cashloan</v>
      </c>
      <c r="H851" s="128" t="str">
        <f>VLOOKUP(source[[#This Row],[lending_product_transform]],[3]Mapping!$B$3:$D$37,3,0)</f>
        <v>cashloan</v>
      </c>
      <c r="I851" s="135">
        <v>3643210000</v>
      </c>
    </row>
    <row r="852" spans="1:9" x14ac:dyDescent="0.2">
      <c r="A852" s="134">
        <v>45406</v>
      </c>
      <c r="B852" s="135">
        <f>YEAR(source[[#This Row],[report_date]])</f>
        <v>2024</v>
      </c>
      <c r="C852" s="136">
        <v>4</v>
      </c>
      <c r="D852" s="136">
        <f t="shared" si="49"/>
        <v>17</v>
      </c>
      <c r="E852" s="136">
        <f t="shared" si="50"/>
        <v>24</v>
      </c>
      <c r="F852" s="128" t="s">
        <v>65</v>
      </c>
      <c r="G852" s="128" t="str">
        <f>VLOOKUP(source[[#This Row],[lending_product_transform]],[3]Mapping!$B$4:$C$37,2,0)</f>
        <v>[BE] - Cashloan</v>
      </c>
      <c r="H852" s="128" t="str">
        <f>VLOOKUP(source[[#This Row],[lending_product_transform]],[3]Mapping!$B$3:$D$37,3,0)</f>
        <v>cashloan</v>
      </c>
      <c r="I852" s="135">
        <v>341350000</v>
      </c>
    </row>
    <row r="853" spans="1:9" x14ac:dyDescent="0.2">
      <c r="A853" s="134">
        <v>45406</v>
      </c>
      <c r="B853" s="135">
        <f>YEAR(source[[#This Row],[report_date]])</f>
        <v>2024</v>
      </c>
      <c r="C853" s="136">
        <v>4</v>
      </c>
      <c r="D853" s="136">
        <f t="shared" si="49"/>
        <v>17</v>
      </c>
      <c r="E853" s="136">
        <f t="shared" si="50"/>
        <v>24</v>
      </c>
      <c r="F853" s="128" t="s">
        <v>19</v>
      </c>
      <c r="G853" s="128" t="str">
        <f>VLOOKUP(source[[#This Row],[lending_product_transform]],[3]Mapping!$B$4:$C$37,2,0)</f>
        <v>[VDS] - Payday</v>
      </c>
      <c r="H853" s="128" t="str">
        <f>VLOOKUP(source[[#This Row],[lending_product_transform]],[3]Mapping!$B$3:$D$37,3,0)</f>
        <v>payday</v>
      </c>
      <c r="I853" s="135">
        <v>2478000000</v>
      </c>
    </row>
    <row r="854" spans="1:9" x14ac:dyDescent="0.2">
      <c r="A854" s="134">
        <v>45406</v>
      </c>
      <c r="B854" s="135">
        <f>YEAR(source[[#This Row],[report_date]])</f>
        <v>2024</v>
      </c>
      <c r="C854" s="136">
        <v>4</v>
      </c>
      <c r="D854" s="136">
        <f t="shared" si="49"/>
        <v>17</v>
      </c>
      <c r="E854" s="136">
        <f t="shared" si="50"/>
        <v>24</v>
      </c>
      <c r="F854" s="128" t="s">
        <v>56</v>
      </c>
      <c r="G854" s="128">
        <f>VLOOKUP(source[[#This Row],[lending_product_transform]],[3]Mapping!$B$4:$C$37,2,0)</f>
        <v>0</v>
      </c>
      <c r="H854" s="128">
        <f>VLOOKUP(source[[#This Row],[lending_product_transform]],[3]Mapping!$B$3:$D$37,3,0)</f>
        <v>0</v>
      </c>
      <c r="I854" s="135">
        <v>8981895147</v>
      </c>
    </row>
    <row r="855" spans="1:9" x14ac:dyDescent="0.2">
      <c r="A855" s="134">
        <v>45406</v>
      </c>
      <c r="B855" s="135">
        <f>YEAR(source[[#This Row],[report_date]])</f>
        <v>2024</v>
      </c>
      <c r="C855" s="136">
        <v>4</v>
      </c>
      <c r="D855" s="136">
        <f t="shared" si="49"/>
        <v>17</v>
      </c>
      <c r="E855" s="136">
        <f t="shared" si="50"/>
        <v>24</v>
      </c>
      <c r="F855" s="128" t="s">
        <v>206</v>
      </c>
      <c r="G855" s="128" t="str">
        <f>VLOOKUP(source[[#This Row],[lending_product_transform]],[3]Mapping!$B$4:$C$37,2,0)</f>
        <v>[NGS] - Cashloan</v>
      </c>
      <c r="H855" s="128" t="str">
        <f>VLOOKUP(source[[#This Row],[lending_product_transform]],[3]Mapping!$B$3:$D$37,3,0)</f>
        <v>cashloan</v>
      </c>
      <c r="I855" s="135">
        <v>99510000</v>
      </c>
    </row>
    <row r="856" spans="1:9" x14ac:dyDescent="0.2">
      <c r="A856" s="134">
        <v>45406</v>
      </c>
      <c r="B856" s="135">
        <f>YEAR(source[[#This Row],[report_date]])</f>
        <v>2024</v>
      </c>
      <c r="C856" s="136">
        <v>4</v>
      </c>
      <c r="D856" s="136">
        <f t="shared" si="49"/>
        <v>17</v>
      </c>
      <c r="E856" s="136">
        <f t="shared" si="50"/>
        <v>24</v>
      </c>
      <c r="F856" s="128" t="s">
        <v>67</v>
      </c>
      <c r="G856" s="128" t="str">
        <f>VLOOKUP(source[[#This Row],[lending_product_transform]],[3]Mapping!$B$4:$C$37,2,0)</f>
        <v>[Cake] - Overdraft</v>
      </c>
      <c r="H856" s="128" t="str">
        <f>VLOOKUP(source[[#This Row],[lending_product_transform]],[3]Mapping!$B$3:$D$37,3,0)</f>
        <v>overdraft</v>
      </c>
      <c r="I856" s="135">
        <v>2324050147</v>
      </c>
    </row>
    <row r="857" spans="1:9" x14ac:dyDescent="0.2">
      <c r="A857" s="134">
        <v>45406</v>
      </c>
      <c r="B857" s="135">
        <f>YEAR(source[[#This Row],[report_date]])</f>
        <v>2024</v>
      </c>
      <c r="C857" s="136">
        <v>4</v>
      </c>
      <c r="D857" s="136">
        <f t="shared" si="49"/>
        <v>17</v>
      </c>
      <c r="E857" s="136">
        <f t="shared" si="50"/>
        <v>24</v>
      </c>
      <c r="F857" s="128" t="s">
        <v>62</v>
      </c>
      <c r="G857" s="128" t="str">
        <f>VLOOKUP(source[[#This Row],[lending_product_transform]],[3]Mapping!$B$4:$C$37,2,0)</f>
        <v>[VDS] - Paylater</v>
      </c>
      <c r="H857" s="128" t="str">
        <f>VLOOKUP(source[[#This Row],[lending_product_transform]],[3]Mapping!$B$3:$D$37,3,0)</f>
        <v>paylater</v>
      </c>
      <c r="I857" s="135">
        <v>25000</v>
      </c>
    </row>
    <row r="858" spans="1:9" x14ac:dyDescent="0.2">
      <c r="A858" s="134">
        <v>45406</v>
      </c>
      <c r="B858" s="135">
        <f>YEAR(source[[#This Row],[report_date]])</f>
        <v>2024</v>
      </c>
      <c r="C858" s="136">
        <v>4</v>
      </c>
      <c r="D858" s="136">
        <f t="shared" si="49"/>
        <v>17</v>
      </c>
      <c r="E858" s="136">
        <f t="shared" si="50"/>
        <v>24</v>
      </c>
      <c r="F858" s="128" t="s">
        <v>61</v>
      </c>
      <c r="G858" s="128" t="str">
        <f>VLOOKUP(source[[#This Row],[lending_product_transform]],[3]Mapping!$B$4:$C$37,2,0)</f>
        <v>[VDS] - Payroll Payday</v>
      </c>
      <c r="H858" s="128" t="str">
        <f>VLOOKUP(source[[#This Row],[lending_product_transform]],[3]Mapping!$B$3:$D$37,3,0)</f>
        <v>payday</v>
      </c>
      <c r="I858" s="135">
        <v>59000000</v>
      </c>
    </row>
    <row r="859" spans="1:9" x14ac:dyDescent="0.2">
      <c r="A859" s="134">
        <v>45407</v>
      </c>
      <c r="B859" s="135">
        <f>YEAR(source[[#This Row],[report_date]])</f>
        <v>2024</v>
      </c>
      <c r="C859" s="136">
        <v>4</v>
      </c>
      <c r="D859" s="136">
        <f t="shared" si="49"/>
        <v>17</v>
      </c>
      <c r="E859" s="136">
        <f t="shared" si="50"/>
        <v>25</v>
      </c>
      <c r="F859" s="128" t="s">
        <v>11</v>
      </c>
      <c r="G859" s="128" t="str">
        <f>VLOOKUP(source[[#This Row],[lending_product_transform]],[3]Mapping!$B$4:$C$37,2,0)</f>
        <v>[VDS] - Cashloan</v>
      </c>
      <c r="H859" s="128" t="str">
        <f>VLOOKUP(source[[#This Row],[lending_product_transform]],[3]Mapping!$B$3:$D$37,3,0)</f>
        <v>cashloan</v>
      </c>
      <c r="I859" s="135">
        <v>4055580000</v>
      </c>
    </row>
    <row r="860" spans="1:9" x14ac:dyDescent="0.2">
      <c r="A860" s="134">
        <v>45407</v>
      </c>
      <c r="B860" s="135">
        <f>YEAR(source[[#This Row],[report_date]])</f>
        <v>2024</v>
      </c>
      <c r="C860" s="136">
        <v>4</v>
      </c>
      <c r="D860" s="136">
        <f t="shared" si="49"/>
        <v>17</v>
      </c>
      <c r="E860" s="136">
        <f t="shared" si="50"/>
        <v>25</v>
      </c>
      <c r="F860" s="128" t="s">
        <v>56</v>
      </c>
      <c r="G860" s="128">
        <f>VLOOKUP(source[[#This Row],[lending_product_transform]],[3]Mapping!$B$4:$C$37,2,0)</f>
        <v>0</v>
      </c>
      <c r="H860" s="128">
        <f>VLOOKUP(source[[#This Row],[lending_product_transform]],[3]Mapping!$B$3:$D$37,3,0)</f>
        <v>0</v>
      </c>
      <c r="I860" s="135">
        <v>9544462173</v>
      </c>
    </row>
    <row r="861" spans="1:9" x14ac:dyDescent="0.2">
      <c r="A861" s="134">
        <v>45407</v>
      </c>
      <c r="B861" s="135">
        <f>YEAR(source[[#This Row],[report_date]])</f>
        <v>2024</v>
      </c>
      <c r="C861" s="136">
        <v>4</v>
      </c>
      <c r="D861" s="136">
        <f t="shared" si="49"/>
        <v>17</v>
      </c>
      <c r="E861" s="136">
        <f t="shared" si="50"/>
        <v>25</v>
      </c>
      <c r="F861" s="128" t="s">
        <v>19</v>
      </c>
      <c r="G861" s="128" t="str">
        <f>VLOOKUP(source[[#This Row],[lending_product_transform]],[3]Mapping!$B$4:$C$37,2,0)</f>
        <v>[VDS] - Payday</v>
      </c>
      <c r="H861" s="128" t="str">
        <f>VLOOKUP(source[[#This Row],[lending_product_transform]],[3]Mapping!$B$3:$D$37,3,0)</f>
        <v>payday</v>
      </c>
      <c r="I861" s="135">
        <v>2857000000</v>
      </c>
    </row>
    <row r="862" spans="1:9" x14ac:dyDescent="0.2">
      <c r="A862" s="134">
        <v>45407</v>
      </c>
      <c r="B862" s="135">
        <f>YEAR(source[[#This Row],[report_date]])</f>
        <v>2024</v>
      </c>
      <c r="C862" s="136">
        <v>4</v>
      </c>
      <c r="D862" s="136">
        <f t="shared" si="49"/>
        <v>17</v>
      </c>
      <c r="E862" s="136">
        <f t="shared" si="50"/>
        <v>25</v>
      </c>
      <c r="F862" s="128" t="s">
        <v>58</v>
      </c>
      <c r="G862" s="128" t="str">
        <f>VLOOKUP(source[[#This Row],[lending_product_transform]],[3]Mapping!$B$4:$C$37,2,0)</f>
        <v>[VDS] - Payroll Cashloan</v>
      </c>
      <c r="H862" s="128" t="str">
        <f>VLOOKUP(source[[#This Row],[lending_product_transform]],[3]Mapping!$B$3:$D$37,3,0)</f>
        <v>cashloan</v>
      </c>
      <c r="I862" s="135">
        <v>116600000</v>
      </c>
    </row>
    <row r="863" spans="1:9" x14ac:dyDescent="0.2">
      <c r="A863" s="134">
        <v>45407</v>
      </c>
      <c r="B863" s="135">
        <f>YEAR(source[[#This Row],[report_date]])</f>
        <v>2024</v>
      </c>
      <c r="C863" s="136">
        <v>4</v>
      </c>
      <c r="D863" s="136">
        <f t="shared" si="49"/>
        <v>17</v>
      </c>
      <c r="E863" s="136">
        <f t="shared" si="50"/>
        <v>25</v>
      </c>
      <c r="F863" s="128" t="s">
        <v>62</v>
      </c>
      <c r="G863" s="128" t="str">
        <f>VLOOKUP(source[[#This Row],[lending_product_transform]],[3]Mapping!$B$4:$C$37,2,0)</f>
        <v>[VDS] - Paylater</v>
      </c>
      <c r="H863" s="128" t="str">
        <f>VLOOKUP(source[[#This Row],[lending_product_transform]],[3]Mapping!$B$3:$D$37,3,0)</f>
        <v>paylater</v>
      </c>
      <c r="I863" s="135">
        <v>23000</v>
      </c>
    </row>
    <row r="864" spans="1:9" x14ac:dyDescent="0.2">
      <c r="A864" s="134">
        <v>45407</v>
      </c>
      <c r="B864" s="135">
        <f>YEAR(source[[#This Row],[report_date]])</f>
        <v>2024</v>
      </c>
      <c r="C864" s="136">
        <v>4</v>
      </c>
      <c r="D864" s="136">
        <f t="shared" si="49"/>
        <v>17</v>
      </c>
      <c r="E864" s="136">
        <f t="shared" si="50"/>
        <v>25</v>
      </c>
      <c r="F864" s="128" t="s">
        <v>206</v>
      </c>
      <c r="G864" s="128" t="str">
        <f>VLOOKUP(source[[#This Row],[lending_product_transform]],[3]Mapping!$B$4:$C$37,2,0)</f>
        <v>[NGS] - Cashloan</v>
      </c>
      <c r="H864" s="128" t="str">
        <f>VLOOKUP(source[[#This Row],[lending_product_transform]],[3]Mapping!$B$3:$D$37,3,0)</f>
        <v>cashloan</v>
      </c>
      <c r="I864" s="135">
        <v>38520000</v>
      </c>
    </row>
    <row r="865" spans="1:9" x14ac:dyDescent="0.2">
      <c r="A865" s="134">
        <v>45407</v>
      </c>
      <c r="B865" s="135">
        <f>YEAR(source[[#This Row],[report_date]])</f>
        <v>2024</v>
      </c>
      <c r="C865" s="136">
        <v>4</v>
      </c>
      <c r="D865" s="136">
        <f t="shared" si="49"/>
        <v>17</v>
      </c>
      <c r="E865" s="136">
        <f t="shared" si="50"/>
        <v>25</v>
      </c>
      <c r="F865" s="128" t="s">
        <v>61</v>
      </c>
      <c r="G865" s="128" t="str">
        <f>VLOOKUP(source[[#This Row],[lending_product_transform]],[3]Mapping!$B$4:$C$37,2,0)</f>
        <v>[VDS] - Payroll Payday</v>
      </c>
      <c r="H865" s="128" t="str">
        <f>VLOOKUP(source[[#This Row],[lending_product_transform]],[3]Mapping!$B$3:$D$37,3,0)</f>
        <v>payday</v>
      </c>
      <c r="I865" s="135">
        <v>28000000</v>
      </c>
    </row>
    <row r="866" spans="1:9" x14ac:dyDescent="0.2">
      <c r="A866" s="134">
        <v>45407</v>
      </c>
      <c r="B866" s="135">
        <f>YEAR(source[[#This Row],[report_date]])</f>
        <v>2024</v>
      </c>
      <c r="C866" s="136">
        <v>4</v>
      </c>
      <c r="D866" s="136">
        <f t="shared" si="49"/>
        <v>17</v>
      </c>
      <c r="E866" s="136">
        <f t="shared" si="50"/>
        <v>25</v>
      </c>
      <c r="F866" s="128" t="s">
        <v>65</v>
      </c>
      <c r="G866" s="128" t="str">
        <f>VLOOKUP(source[[#This Row],[lending_product_transform]],[3]Mapping!$B$4:$C$37,2,0)</f>
        <v>[BE] - Cashloan</v>
      </c>
      <c r="H866" s="128" t="str">
        <f>VLOOKUP(source[[#This Row],[lending_product_transform]],[3]Mapping!$B$3:$D$37,3,0)</f>
        <v>cashloan</v>
      </c>
      <c r="I866" s="135">
        <v>295250000</v>
      </c>
    </row>
    <row r="867" spans="1:9" x14ac:dyDescent="0.2">
      <c r="A867" s="134">
        <v>45407</v>
      </c>
      <c r="B867" s="135">
        <f>YEAR(source[[#This Row],[report_date]])</f>
        <v>2024</v>
      </c>
      <c r="C867" s="136">
        <v>4</v>
      </c>
      <c r="D867" s="136">
        <f t="shared" si="49"/>
        <v>17</v>
      </c>
      <c r="E867" s="136">
        <f t="shared" si="50"/>
        <v>25</v>
      </c>
      <c r="F867" s="128" t="s">
        <v>67</v>
      </c>
      <c r="G867" s="128" t="str">
        <f>VLOOKUP(source[[#This Row],[lending_product_transform]],[3]Mapping!$B$4:$C$37,2,0)</f>
        <v>[Cake] - Overdraft</v>
      </c>
      <c r="H867" s="128" t="str">
        <f>VLOOKUP(source[[#This Row],[lending_product_transform]],[3]Mapping!$B$3:$D$37,3,0)</f>
        <v>overdraft</v>
      </c>
      <c r="I867" s="135">
        <v>2153489173</v>
      </c>
    </row>
    <row r="868" spans="1:9" x14ac:dyDescent="0.2">
      <c r="A868" s="134">
        <v>45408</v>
      </c>
      <c r="B868" s="135">
        <f>YEAR(source[[#This Row],[report_date]])</f>
        <v>2024</v>
      </c>
      <c r="C868" s="136">
        <v>4</v>
      </c>
      <c r="D868" s="136">
        <f t="shared" si="49"/>
        <v>17</v>
      </c>
      <c r="E868" s="136">
        <f t="shared" si="50"/>
        <v>26</v>
      </c>
      <c r="F868" s="128" t="s">
        <v>65</v>
      </c>
      <c r="G868" s="128" t="str">
        <f>VLOOKUP(source[[#This Row],[lending_product_transform]],[3]Mapping!$B$4:$C$37,2,0)</f>
        <v>[BE] - Cashloan</v>
      </c>
      <c r="H868" s="128" t="str">
        <f>VLOOKUP(source[[#This Row],[lending_product_transform]],[3]Mapping!$B$3:$D$37,3,0)</f>
        <v>cashloan</v>
      </c>
      <c r="I868" s="135">
        <v>135500000</v>
      </c>
    </row>
    <row r="869" spans="1:9" x14ac:dyDescent="0.2">
      <c r="A869" s="134">
        <v>45408</v>
      </c>
      <c r="B869" s="135">
        <f>YEAR(source[[#This Row],[report_date]])</f>
        <v>2024</v>
      </c>
      <c r="C869" s="136">
        <v>4</v>
      </c>
      <c r="D869" s="136">
        <f t="shared" si="49"/>
        <v>17</v>
      </c>
      <c r="E869" s="136">
        <f t="shared" si="50"/>
        <v>26</v>
      </c>
      <c r="F869" s="128" t="s">
        <v>62</v>
      </c>
      <c r="G869" s="128" t="str">
        <f>VLOOKUP(source[[#This Row],[lending_product_transform]],[3]Mapping!$B$4:$C$37,2,0)</f>
        <v>[VDS] - Paylater</v>
      </c>
      <c r="H869" s="128" t="str">
        <f>VLOOKUP(source[[#This Row],[lending_product_transform]],[3]Mapping!$B$3:$D$37,3,0)</f>
        <v>paylater</v>
      </c>
      <c r="I869" s="135">
        <v>55000</v>
      </c>
    </row>
    <row r="870" spans="1:9" x14ac:dyDescent="0.2">
      <c r="A870" s="134">
        <v>45408</v>
      </c>
      <c r="B870" s="135">
        <f>YEAR(source[[#This Row],[report_date]])</f>
        <v>2024</v>
      </c>
      <c r="C870" s="136">
        <v>4</v>
      </c>
      <c r="D870" s="136">
        <f t="shared" si="49"/>
        <v>17</v>
      </c>
      <c r="E870" s="136">
        <f t="shared" si="50"/>
        <v>26</v>
      </c>
      <c r="F870" s="128" t="s">
        <v>67</v>
      </c>
      <c r="G870" s="128" t="str">
        <f>VLOOKUP(source[[#This Row],[lending_product_transform]],[3]Mapping!$B$4:$C$37,2,0)</f>
        <v>[Cake] - Overdraft</v>
      </c>
      <c r="H870" s="128" t="str">
        <f>VLOOKUP(source[[#This Row],[lending_product_transform]],[3]Mapping!$B$3:$D$37,3,0)</f>
        <v>overdraft</v>
      </c>
      <c r="I870" s="135">
        <v>1997704361</v>
      </c>
    </row>
    <row r="871" spans="1:9" x14ac:dyDescent="0.2">
      <c r="A871" s="134">
        <v>45408</v>
      </c>
      <c r="B871" s="135">
        <f>YEAR(source[[#This Row],[report_date]])</f>
        <v>2024</v>
      </c>
      <c r="C871" s="136">
        <v>4</v>
      </c>
      <c r="D871" s="136">
        <f t="shared" si="49"/>
        <v>17</v>
      </c>
      <c r="E871" s="136">
        <f t="shared" si="50"/>
        <v>26</v>
      </c>
      <c r="F871" s="128" t="s">
        <v>58</v>
      </c>
      <c r="G871" s="128" t="str">
        <f>VLOOKUP(source[[#This Row],[lending_product_transform]],[3]Mapping!$B$4:$C$37,2,0)</f>
        <v>[VDS] - Payroll Cashloan</v>
      </c>
      <c r="H871" s="128" t="str">
        <f>VLOOKUP(source[[#This Row],[lending_product_transform]],[3]Mapping!$B$3:$D$37,3,0)</f>
        <v>cashloan</v>
      </c>
      <c r="I871" s="135">
        <v>88250000</v>
      </c>
    </row>
    <row r="872" spans="1:9" x14ac:dyDescent="0.2">
      <c r="A872" s="134">
        <v>45408</v>
      </c>
      <c r="B872" s="135">
        <f>YEAR(source[[#This Row],[report_date]])</f>
        <v>2024</v>
      </c>
      <c r="C872" s="136">
        <v>4</v>
      </c>
      <c r="D872" s="136">
        <f t="shared" si="49"/>
        <v>17</v>
      </c>
      <c r="E872" s="136">
        <f t="shared" si="50"/>
        <v>26</v>
      </c>
      <c r="F872" s="128" t="s">
        <v>206</v>
      </c>
      <c r="G872" s="128" t="str">
        <f>VLOOKUP(source[[#This Row],[lending_product_transform]],[3]Mapping!$B$4:$C$37,2,0)</f>
        <v>[NGS] - Cashloan</v>
      </c>
      <c r="H872" s="128" t="str">
        <f>VLOOKUP(source[[#This Row],[lending_product_transform]],[3]Mapping!$B$3:$D$37,3,0)</f>
        <v>cashloan</v>
      </c>
      <c r="I872" s="135">
        <v>166920000</v>
      </c>
    </row>
    <row r="873" spans="1:9" x14ac:dyDescent="0.2">
      <c r="A873" s="134">
        <v>45408</v>
      </c>
      <c r="B873" s="135">
        <f>YEAR(source[[#This Row],[report_date]])</f>
        <v>2024</v>
      </c>
      <c r="C873" s="136">
        <v>4</v>
      </c>
      <c r="D873" s="136">
        <f t="shared" si="49"/>
        <v>17</v>
      </c>
      <c r="E873" s="136">
        <f t="shared" si="50"/>
        <v>26</v>
      </c>
      <c r="F873" s="128" t="s">
        <v>56</v>
      </c>
      <c r="G873" s="128">
        <f>VLOOKUP(source[[#This Row],[lending_product_transform]],[3]Mapping!$B$4:$C$37,2,0)</f>
        <v>0</v>
      </c>
      <c r="H873" s="128">
        <f>VLOOKUP(source[[#This Row],[lending_product_transform]],[3]Mapping!$B$3:$D$37,3,0)</f>
        <v>0</v>
      </c>
      <c r="I873" s="135">
        <v>8677649361</v>
      </c>
    </row>
    <row r="874" spans="1:9" x14ac:dyDescent="0.2">
      <c r="A874" s="134">
        <v>45408</v>
      </c>
      <c r="B874" s="135">
        <f>YEAR(source[[#This Row],[report_date]])</f>
        <v>2024</v>
      </c>
      <c r="C874" s="136">
        <v>4</v>
      </c>
      <c r="D874" s="136">
        <f t="shared" si="49"/>
        <v>17</v>
      </c>
      <c r="E874" s="136">
        <f t="shared" si="50"/>
        <v>26</v>
      </c>
      <c r="F874" s="128" t="s">
        <v>61</v>
      </c>
      <c r="G874" s="128" t="str">
        <f>VLOOKUP(source[[#This Row],[lending_product_transform]],[3]Mapping!$B$4:$C$37,2,0)</f>
        <v>[VDS] - Payroll Payday</v>
      </c>
      <c r="H874" s="128" t="str">
        <f>VLOOKUP(source[[#This Row],[lending_product_transform]],[3]Mapping!$B$3:$D$37,3,0)</f>
        <v>payday</v>
      </c>
      <c r="I874" s="135">
        <v>26000000</v>
      </c>
    </row>
    <row r="875" spans="1:9" x14ac:dyDescent="0.2">
      <c r="A875" s="134">
        <v>45408</v>
      </c>
      <c r="B875" s="135">
        <f>YEAR(source[[#This Row],[report_date]])</f>
        <v>2024</v>
      </c>
      <c r="C875" s="136">
        <v>4</v>
      </c>
      <c r="D875" s="136">
        <f t="shared" si="49"/>
        <v>17</v>
      </c>
      <c r="E875" s="136">
        <f t="shared" si="50"/>
        <v>26</v>
      </c>
      <c r="F875" s="128" t="s">
        <v>11</v>
      </c>
      <c r="G875" s="128" t="str">
        <f>VLOOKUP(source[[#This Row],[lending_product_transform]],[3]Mapping!$B$4:$C$37,2,0)</f>
        <v>[VDS] - Cashloan</v>
      </c>
      <c r="H875" s="128" t="str">
        <f>VLOOKUP(source[[#This Row],[lending_product_transform]],[3]Mapping!$B$3:$D$37,3,0)</f>
        <v>cashloan</v>
      </c>
      <c r="I875" s="135">
        <v>3381720000</v>
      </c>
    </row>
    <row r="876" spans="1:9" x14ac:dyDescent="0.2">
      <c r="A876" s="134">
        <v>45408</v>
      </c>
      <c r="B876" s="135">
        <f>YEAR(source[[#This Row],[report_date]])</f>
        <v>2024</v>
      </c>
      <c r="C876" s="136">
        <v>4</v>
      </c>
      <c r="D876" s="136">
        <f t="shared" si="49"/>
        <v>17</v>
      </c>
      <c r="E876" s="136">
        <f t="shared" si="50"/>
        <v>26</v>
      </c>
      <c r="F876" s="128" t="s">
        <v>19</v>
      </c>
      <c r="G876" s="128" t="str">
        <f>VLOOKUP(source[[#This Row],[lending_product_transform]],[3]Mapping!$B$4:$C$37,2,0)</f>
        <v>[VDS] - Payday</v>
      </c>
      <c r="H876" s="128" t="str">
        <f>VLOOKUP(source[[#This Row],[lending_product_transform]],[3]Mapping!$B$3:$D$37,3,0)</f>
        <v>payday</v>
      </c>
      <c r="I876" s="135">
        <v>2881500000</v>
      </c>
    </row>
    <row r="877" spans="1:9" x14ac:dyDescent="0.2">
      <c r="A877" s="134">
        <v>45409</v>
      </c>
      <c r="B877" s="135">
        <f>YEAR(source[[#This Row],[report_date]])</f>
        <v>2024</v>
      </c>
      <c r="C877" s="136">
        <v>4</v>
      </c>
      <c r="D877" s="136">
        <f t="shared" si="49"/>
        <v>17</v>
      </c>
      <c r="E877" s="136">
        <f t="shared" si="50"/>
        <v>27</v>
      </c>
      <c r="F877" s="128" t="s">
        <v>206</v>
      </c>
      <c r="G877" s="128" t="str">
        <f>VLOOKUP(source[[#This Row],[lending_product_transform]],[3]Mapping!$B$4:$C$37,2,0)</f>
        <v>[NGS] - Cashloan</v>
      </c>
      <c r="H877" s="128" t="str">
        <f>VLOOKUP(source[[#This Row],[lending_product_transform]],[3]Mapping!$B$3:$D$37,3,0)</f>
        <v>cashloan</v>
      </c>
      <c r="I877" s="135">
        <v>34240000</v>
      </c>
    </row>
    <row r="878" spans="1:9" x14ac:dyDescent="0.2">
      <c r="A878" s="134">
        <v>45409</v>
      </c>
      <c r="B878" s="135">
        <f>YEAR(source[[#This Row],[report_date]])</f>
        <v>2024</v>
      </c>
      <c r="C878" s="136">
        <v>4</v>
      </c>
      <c r="D878" s="136">
        <f t="shared" si="49"/>
        <v>17</v>
      </c>
      <c r="E878" s="136">
        <f t="shared" si="50"/>
        <v>27</v>
      </c>
      <c r="F878" s="128" t="s">
        <v>11</v>
      </c>
      <c r="G878" s="128" t="str">
        <f>VLOOKUP(source[[#This Row],[lending_product_transform]],[3]Mapping!$B$4:$C$37,2,0)</f>
        <v>[VDS] - Cashloan</v>
      </c>
      <c r="H878" s="128" t="str">
        <f>VLOOKUP(source[[#This Row],[lending_product_transform]],[3]Mapping!$B$3:$D$37,3,0)</f>
        <v>cashloan</v>
      </c>
      <c r="I878" s="135">
        <v>2435930000</v>
      </c>
    </row>
    <row r="879" spans="1:9" x14ac:dyDescent="0.2">
      <c r="A879" s="134">
        <v>45409</v>
      </c>
      <c r="B879" s="135">
        <f>YEAR(source[[#This Row],[report_date]])</f>
        <v>2024</v>
      </c>
      <c r="C879" s="136">
        <v>4</v>
      </c>
      <c r="D879" s="136">
        <f t="shared" si="49"/>
        <v>17</v>
      </c>
      <c r="E879" s="136">
        <f t="shared" si="50"/>
        <v>27</v>
      </c>
      <c r="F879" s="128" t="s">
        <v>19</v>
      </c>
      <c r="G879" s="128" t="str">
        <f>VLOOKUP(source[[#This Row],[lending_product_transform]],[3]Mapping!$B$4:$C$37,2,0)</f>
        <v>[VDS] - Payday</v>
      </c>
      <c r="H879" s="128" t="str">
        <f>VLOOKUP(source[[#This Row],[lending_product_transform]],[3]Mapping!$B$3:$D$37,3,0)</f>
        <v>payday</v>
      </c>
      <c r="I879" s="135">
        <v>2398000000</v>
      </c>
    </row>
    <row r="880" spans="1:9" x14ac:dyDescent="0.2">
      <c r="A880" s="134">
        <v>45409</v>
      </c>
      <c r="B880" s="135">
        <f>YEAR(source[[#This Row],[report_date]])</f>
        <v>2024</v>
      </c>
      <c r="C880" s="136">
        <v>4</v>
      </c>
      <c r="D880" s="136">
        <f t="shared" si="49"/>
        <v>17</v>
      </c>
      <c r="E880" s="136">
        <f t="shared" si="50"/>
        <v>27</v>
      </c>
      <c r="F880" s="128" t="s">
        <v>62</v>
      </c>
      <c r="G880" s="128" t="str">
        <f>VLOOKUP(source[[#This Row],[lending_product_transform]],[3]Mapping!$B$4:$C$37,2,0)</f>
        <v>[VDS] - Paylater</v>
      </c>
      <c r="H880" s="128" t="str">
        <f>VLOOKUP(source[[#This Row],[lending_product_transform]],[3]Mapping!$B$3:$D$37,3,0)</f>
        <v>paylater</v>
      </c>
      <c r="I880" s="135">
        <v>420000</v>
      </c>
    </row>
    <row r="881" spans="1:9" x14ac:dyDescent="0.2">
      <c r="A881" s="134">
        <v>45409</v>
      </c>
      <c r="B881" s="135">
        <f>YEAR(source[[#This Row],[report_date]])</f>
        <v>2024</v>
      </c>
      <c r="C881" s="136">
        <v>4</v>
      </c>
      <c r="D881" s="136">
        <f t="shared" si="49"/>
        <v>17</v>
      </c>
      <c r="E881" s="136">
        <f t="shared" si="50"/>
        <v>27</v>
      </c>
      <c r="F881" s="128" t="s">
        <v>67</v>
      </c>
      <c r="G881" s="128" t="str">
        <f>VLOOKUP(source[[#This Row],[lending_product_transform]],[3]Mapping!$B$4:$C$37,2,0)</f>
        <v>[Cake] - Overdraft</v>
      </c>
      <c r="H881" s="128" t="str">
        <f>VLOOKUP(source[[#This Row],[lending_product_transform]],[3]Mapping!$B$3:$D$37,3,0)</f>
        <v>overdraft</v>
      </c>
      <c r="I881" s="135">
        <v>1538773481</v>
      </c>
    </row>
    <row r="882" spans="1:9" x14ac:dyDescent="0.2">
      <c r="A882" s="134">
        <v>45409</v>
      </c>
      <c r="B882" s="135">
        <f>YEAR(source[[#This Row],[report_date]])</f>
        <v>2024</v>
      </c>
      <c r="C882" s="136">
        <v>4</v>
      </c>
      <c r="D882" s="136">
        <f t="shared" si="49"/>
        <v>17</v>
      </c>
      <c r="E882" s="136">
        <f t="shared" si="50"/>
        <v>27</v>
      </c>
      <c r="F882" s="128" t="s">
        <v>58</v>
      </c>
      <c r="G882" s="128" t="str">
        <f>VLOOKUP(source[[#This Row],[lending_product_transform]],[3]Mapping!$B$4:$C$37,2,0)</f>
        <v>[VDS] - Payroll Cashloan</v>
      </c>
      <c r="H882" s="128" t="str">
        <f>VLOOKUP(source[[#This Row],[lending_product_transform]],[3]Mapping!$B$3:$D$37,3,0)</f>
        <v>cashloan</v>
      </c>
      <c r="I882" s="135">
        <v>52500000</v>
      </c>
    </row>
    <row r="883" spans="1:9" x14ac:dyDescent="0.2">
      <c r="A883" s="134">
        <v>45409</v>
      </c>
      <c r="B883" s="135">
        <f>YEAR(source[[#This Row],[report_date]])</f>
        <v>2024</v>
      </c>
      <c r="C883" s="136">
        <v>4</v>
      </c>
      <c r="D883" s="136">
        <f t="shared" si="49"/>
        <v>17</v>
      </c>
      <c r="E883" s="136">
        <f t="shared" si="50"/>
        <v>27</v>
      </c>
      <c r="F883" s="128" t="s">
        <v>56</v>
      </c>
      <c r="G883" s="128">
        <f>VLOOKUP(source[[#This Row],[lending_product_transform]],[3]Mapping!$B$4:$C$37,2,0)</f>
        <v>0</v>
      </c>
      <c r="H883" s="128">
        <f>VLOOKUP(source[[#This Row],[lending_product_transform]],[3]Mapping!$B$3:$D$37,3,0)</f>
        <v>0</v>
      </c>
      <c r="I883" s="135">
        <v>6556663481</v>
      </c>
    </row>
    <row r="884" spans="1:9" x14ac:dyDescent="0.2">
      <c r="A884" s="134">
        <v>45409</v>
      </c>
      <c r="B884" s="135">
        <f>YEAR(source[[#This Row],[report_date]])</f>
        <v>2024</v>
      </c>
      <c r="C884" s="136">
        <v>4</v>
      </c>
      <c r="D884" s="136">
        <f t="shared" si="49"/>
        <v>17</v>
      </c>
      <c r="E884" s="136">
        <f t="shared" si="50"/>
        <v>27</v>
      </c>
      <c r="F884" s="128" t="s">
        <v>61</v>
      </c>
      <c r="G884" s="128" t="str">
        <f>VLOOKUP(source[[#This Row],[lending_product_transform]],[3]Mapping!$B$4:$C$37,2,0)</f>
        <v>[VDS] - Payroll Payday</v>
      </c>
      <c r="H884" s="128" t="str">
        <f>VLOOKUP(source[[#This Row],[lending_product_transform]],[3]Mapping!$B$3:$D$37,3,0)</f>
        <v>payday</v>
      </c>
      <c r="I884" s="135">
        <v>38000000</v>
      </c>
    </row>
    <row r="885" spans="1:9" x14ac:dyDescent="0.2">
      <c r="A885" s="134">
        <v>45409</v>
      </c>
      <c r="B885" s="135">
        <f>YEAR(source[[#This Row],[report_date]])</f>
        <v>2024</v>
      </c>
      <c r="C885" s="136">
        <v>4</v>
      </c>
      <c r="D885" s="136">
        <f t="shared" si="49"/>
        <v>17</v>
      </c>
      <c r="E885" s="136">
        <f t="shared" si="50"/>
        <v>27</v>
      </c>
      <c r="F885" s="128" t="s">
        <v>65</v>
      </c>
      <c r="G885" s="128" t="str">
        <f>VLOOKUP(source[[#This Row],[lending_product_transform]],[3]Mapping!$B$4:$C$37,2,0)</f>
        <v>[BE] - Cashloan</v>
      </c>
      <c r="H885" s="128" t="str">
        <f>VLOOKUP(source[[#This Row],[lending_product_transform]],[3]Mapping!$B$3:$D$37,3,0)</f>
        <v>cashloan</v>
      </c>
      <c r="I885" s="135">
        <v>58800000</v>
      </c>
    </row>
    <row r="886" spans="1:9" x14ac:dyDescent="0.2">
      <c r="A886" s="134">
        <v>45410</v>
      </c>
      <c r="B886" s="135">
        <f>YEAR(source[[#This Row],[report_date]])</f>
        <v>2024</v>
      </c>
      <c r="C886" s="136">
        <v>4</v>
      </c>
      <c r="D886" s="136">
        <f t="shared" si="49"/>
        <v>17</v>
      </c>
      <c r="E886" s="136">
        <f t="shared" si="50"/>
        <v>28</v>
      </c>
      <c r="F886" s="128" t="s">
        <v>61</v>
      </c>
      <c r="G886" s="128" t="str">
        <f>VLOOKUP(source[[#This Row],[lending_product_transform]],[3]Mapping!$B$4:$C$37,2,0)</f>
        <v>[VDS] - Payroll Payday</v>
      </c>
      <c r="H886" s="128" t="str">
        <f>VLOOKUP(source[[#This Row],[lending_product_transform]],[3]Mapping!$B$3:$D$37,3,0)</f>
        <v>payday</v>
      </c>
      <c r="I886" s="135">
        <v>33000000</v>
      </c>
    </row>
    <row r="887" spans="1:9" x14ac:dyDescent="0.2">
      <c r="A887" s="134">
        <v>45410</v>
      </c>
      <c r="B887" s="135">
        <f>YEAR(source[[#This Row],[report_date]])</f>
        <v>2024</v>
      </c>
      <c r="C887" s="136">
        <v>4</v>
      </c>
      <c r="D887" s="136">
        <f t="shared" si="49"/>
        <v>17</v>
      </c>
      <c r="E887" s="136">
        <f t="shared" si="50"/>
        <v>28</v>
      </c>
      <c r="F887" s="128" t="s">
        <v>206</v>
      </c>
      <c r="G887" s="128" t="str">
        <f>VLOOKUP(source[[#This Row],[lending_product_transform]],[3]Mapping!$B$4:$C$37,2,0)</f>
        <v>[NGS] - Cashloan</v>
      </c>
      <c r="H887" s="128" t="str">
        <f>VLOOKUP(source[[#This Row],[lending_product_transform]],[3]Mapping!$B$3:$D$37,3,0)</f>
        <v>cashloan</v>
      </c>
      <c r="I887" s="135">
        <v>0</v>
      </c>
    </row>
    <row r="888" spans="1:9" x14ac:dyDescent="0.2">
      <c r="A888" s="134">
        <v>45410</v>
      </c>
      <c r="B888" s="135">
        <f>YEAR(source[[#This Row],[report_date]])</f>
        <v>2024</v>
      </c>
      <c r="C888" s="136">
        <v>4</v>
      </c>
      <c r="D888" s="136">
        <f t="shared" si="49"/>
        <v>17</v>
      </c>
      <c r="E888" s="136">
        <f t="shared" si="50"/>
        <v>28</v>
      </c>
      <c r="F888" s="128" t="s">
        <v>62</v>
      </c>
      <c r="G888" s="128" t="str">
        <f>VLOOKUP(source[[#This Row],[lending_product_transform]],[3]Mapping!$B$4:$C$37,2,0)</f>
        <v>[VDS] - Paylater</v>
      </c>
      <c r="H888" s="128" t="str">
        <f>VLOOKUP(source[[#This Row],[lending_product_transform]],[3]Mapping!$B$3:$D$37,3,0)</f>
        <v>paylater</v>
      </c>
      <c r="I888" s="135">
        <v>2772000</v>
      </c>
    </row>
    <row r="889" spans="1:9" x14ac:dyDescent="0.2">
      <c r="A889" s="134">
        <v>45410</v>
      </c>
      <c r="B889" s="135">
        <f>YEAR(source[[#This Row],[report_date]])</f>
        <v>2024</v>
      </c>
      <c r="C889" s="136">
        <v>4</v>
      </c>
      <c r="D889" s="136">
        <f t="shared" si="49"/>
        <v>17</v>
      </c>
      <c r="E889" s="136">
        <f t="shared" si="50"/>
        <v>28</v>
      </c>
      <c r="F889" s="128" t="s">
        <v>67</v>
      </c>
      <c r="G889" s="128" t="str">
        <f>VLOOKUP(source[[#This Row],[lending_product_transform]],[3]Mapping!$B$4:$C$37,2,0)</f>
        <v>[Cake] - Overdraft</v>
      </c>
      <c r="H889" s="128" t="str">
        <f>VLOOKUP(source[[#This Row],[lending_product_transform]],[3]Mapping!$B$3:$D$37,3,0)</f>
        <v>overdraft</v>
      </c>
      <c r="I889" s="135">
        <v>1370513890</v>
      </c>
    </row>
    <row r="890" spans="1:9" x14ac:dyDescent="0.2">
      <c r="A890" s="134">
        <v>45410</v>
      </c>
      <c r="B890" s="135">
        <f>YEAR(source[[#This Row],[report_date]])</f>
        <v>2024</v>
      </c>
      <c r="C890" s="136">
        <v>4</v>
      </c>
      <c r="D890" s="136">
        <f t="shared" si="49"/>
        <v>17</v>
      </c>
      <c r="E890" s="136">
        <f t="shared" si="50"/>
        <v>28</v>
      </c>
      <c r="F890" s="128" t="s">
        <v>56</v>
      </c>
      <c r="G890" s="128">
        <f>VLOOKUP(source[[#This Row],[lending_product_transform]],[3]Mapping!$B$4:$C$37,2,0)</f>
        <v>0</v>
      </c>
      <c r="H890" s="128">
        <f>VLOOKUP(source[[#This Row],[lending_product_transform]],[3]Mapping!$B$3:$D$37,3,0)</f>
        <v>0</v>
      </c>
      <c r="I890" s="135">
        <v>5434995890</v>
      </c>
    </row>
    <row r="891" spans="1:9" x14ac:dyDescent="0.2">
      <c r="A891" s="134">
        <v>45410</v>
      </c>
      <c r="B891" s="135">
        <f>YEAR(source[[#This Row],[report_date]])</f>
        <v>2024</v>
      </c>
      <c r="C891" s="136">
        <v>4</v>
      </c>
      <c r="D891" s="136">
        <f t="shared" si="49"/>
        <v>17</v>
      </c>
      <c r="E891" s="136">
        <f t="shared" si="50"/>
        <v>28</v>
      </c>
      <c r="F891" s="128" t="s">
        <v>11</v>
      </c>
      <c r="G891" s="128" t="str">
        <f>VLOOKUP(source[[#This Row],[lending_product_transform]],[3]Mapping!$B$4:$C$37,2,0)</f>
        <v>[VDS] - Cashloan</v>
      </c>
      <c r="H891" s="128" t="str">
        <f>VLOOKUP(source[[#This Row],[lending_product_transform]],[3]Mapping!$B$3:$D$37,3,0)</f>
        <v>cashloan</v>
      </c>
      <c r="I891" s="135">
        <v>1964210000</v>
      </c>
    </row>
    <row r="892" spans="1:9" x14ac:dyDescent="0.2">
      <c r="A892" s="134">
        <v>45410</v>
      </c>
      <c r="B892" s="135">
        <f>YEAR(source[[#This Row],[report_date]])</f>
        <v>2024</v>
      </c>
      <c r="C892" s="136">
        <v>4</v>
      </c>
      <c r="D892" s="136">
        <f t="shared" si="49"/>
        <v>17</v>
      </c>
      <c r="E892" s="136">
        <f t="shared" si="50"/>
        <v>28</v>
      </c>
      <c r="F892" s="128" t="s">
        <v>19</v>
      </c>
      <c r="G892" s="128" t="str">
        <f>VLOOKUP(source[[#This Row],[lending_product_transform]],[3]Mapping!$B$4:$C$37,2,0)</f>
        <v>[VDS] - Payday</v>
      </c>
      <c r="H892" s="128" t="str">
        <f>VLOOKUP(source[[#This Row],[lending_product_transform]],[3]Mapping!$B$3:$D$37,3,0)</f>
        <v>payday</v>
      </c>
      <c r="I892" s="135">
        <v>2022500000</v>
      </c>
    </row>
    <row r="893" spans="1:9" x14ac:dyDescent="0.2">
      <c r="A893" s="134">
        <v>45410</v>
      </c>
      <c r="B893" s="135">
        <f>YEAR(source[[#This Row],[report_date]])</f>
        <v>2024</v>
      </c>
      <c r="C893" s="136">
        <v>4</v>
      </c>
      <c r="D893" s="136">
        <f t="shared" si="49"/>
        <v>17</v>
      </c>
      <c r="E893" s="136">
        <f t="shared" si="50"/>
        <v>28</v>
      </c>
      <c r="F893" s="128" t="s">
        <v>58</v>
      </c>
      <c r="G893" s="128" t="str">
        <f>VLOOKUP(source[[#This Row],[lending_product_transform]],[3]Mapping!$B$4:$C$37,2,0)</f>
        <v>[VDS] - Payroll Cashloan</v>
      </c>
      <c r="H893" s="128" t="str">
        <f>VLOOKUP(source[[#This Row],[lending_product_transform]],[3]Mapping!$B$3:$D$37,3,0)</f>
        <v>cashloan</v>
      </c>
      <c r="I893" s="135">
        <v>21000000</v>
      </c>
    </row>
    <row r="894" spans="1:9" x14ac:dyDescent="0.2">
      <c r="A894" s="134">
        <v>45410</v>
      </c>
      <c r="B894" s="135">
        <f>YEAR(source[[#This Row],[report_date]])</f>
        <v>2024</v>
      </c>
      <c r="C894" s="136">
        <v>4</v>
      </c>
      <c r="D894" s="136">
        <f t="shared" si="49"/>
        <v>17</v>
      </c>
      <c r="E894" s="136">
        <f t="shared" si="50"/>
        <v>28</v>
      </c>
      <c r="F894" s="128" t="s">
        <v>65</v>
      </c>
      <c r="G894" s="128" t="str">
        <f>VLOOKUP(source[[#This Row],[lending_product_transform]],[3]Mapping!$B$4:$C$37,2,0)</f>
        <v>[BE] - Cashloan</v>
      </c>
      <c r="H894" s="128" t="str">
        <f>VLOOKUP(source[[#This Row],[lending_product_transform]],[3]Mapping!$B$3:$D$37,3,0)</f>
        <v>cashloan</v>
      </c>
      <c r="I894" s="135">
        <v>21000000</v>
      </c>
    </row>
    <row r="895" spans="1:9" x14ac:dyDescent="0.2">
      <c r="A895" s="134">
        <v>45411</v>
      </c>
      <c r="B895" s="135">
        <f>YEAR(source[[#This Row],[report_date]])</f>
        <v>2024</v>
      </c>
      <c r="C895" s="136">
        <v>4</v>
      </c>
      <c r="D895" s="136">
        <f t="shared" si="49"/>
        <v>18</v>
      </c>
      <c r="E895" s="136">
        <f t="shared" si="50"/>
        <v>29</v>
      </c>
      <c r="F895" s="128" t="s">
        <v>19</v>
      </c>
      <c r="G895" s="128" t="str">
        <f>VLOOKUP(source[[#This Row],[lending_product_transform]],[3]Mapping!$B$4:$C$37,2,0)</f>
        <v>[VDS] - Payday</v>
      </c>
      <c r="H895" s="128" t="str">
        <f>VLOOKUP(source[[#This Row],[lending_product_transform]],[3]Mapping!$B$3:$D$37,3,0)</f>
        <v>payday</v>
      </c>
      <c r="I895" s="135">
        <v>2062500000</v>
      </c>
    </row>
    <row r="896" spans="1:9" x14ac:dyDescent="0.2">
      <c r="A896" s="134">
        <v>45411</v>
      </c>
      <c r="B896" s="135">
        <f>YEAR(source[[#This Row],[report_date]])</f>
        <v>2024</v>
      </c>
      <c r="C896" s="136">
        <v>4</v>
      </c>
      <c r="D896" s="136">
        <f t="shared" si="49"/>
        <v>18</v>
      </c>
      <c r="E896" s="136">
        <f t="shared" si="50"/>
        <v>29</v>
      </c>
      <c r="F896" s="128" t="s">
        <v>65</v>
      </c>
      <c r="G896" s="128" t="str">
        <f>VLOOKUP(source[[#This Row],[lending_product_transform]],[3]Mapping!$B$4:$C$37,2,0)</f>
        <v>[BE] - Cashloan</v>
      </c>
      <c r="H896" s="128" t="str">
        <f>VLOOKUP(source[[#This Row],[lending_product_transform]],[3]Mapping!$B$3:$D$37,3,0)</f>
        <v>cashloan</v>
      </c>
      <c r="I896" s="135">
        <v>84050000</v>
      </c>
    </row>
    <row r="897" spans="1:9" x14ac:dyDescent="0.2">
      <c r="A897" s="134">
        <v>45411</v>
      </c>
      <c r="B897" s="135">
        <f>YEAR(source[[#This Row],[report_date]])</f>
        <v>2024</v>
      </c>
      <c r="C897" s="136">
        <v>4</v>
      </c>
      <c r="D897" s="136">
        <f t="shared" si="49"/>
        <v>18</v>
      </c>
      <c r="E897" s="136">
        <f t="shared" si="50"/>
        <v>29</v>
      </c>
      <c r="F897" s="128" t="s">
        <v>58</v>
      </c>
      <c r="G897" s="128" t="str">
        <f>VLOOKUP(source[[#This Row],[lending_product_transform]],[3]Mapping!$B$4:$C$37,2,0)</f>
        <v>[VDS] - Payroll Cashloan</v>
      </c>
      <c r="H897" s="128" t="str">
        <f>VLOOKUP(source[[#This Row],[lending_product_transform]],[3]Mapping!$B$3:$D$37,3,0)</f>
        <v>cashloan</v>
      </c>
      <c r="I897" s="135">
        <v>10000000</v>
      </c>
    </row>
    <row r="898" spans="1:9" x14ac:dyDescent="0.2">
      <c r="A898" s="134">
        <v>45411</v>
      </c>
      <c r="B898" s="135">
        <f>YEAR(source[[#This Row],[report_date]])</f>
        <v>2024</v>
      </c>
      <c r="C898" s="136">
        <v>4</v>
      </c>
      <c r="D898" s="136">
        <f t="shared" si="49"/>
        <v>18</v>
      </c>
      <c r="E898" s="136">
        <f t="shared" si="50"/>
        <v>29</v>
      </c>
      <c r="F898" s="128" t="s">
        <v>11</v>
      </c>
      <c r="G898" s="128" t="str">
        <f>VLOOKUP(source[[#This Row],[lending_product_transform]],[3]Mapping!$B$4:$C$37,2,0)</f>
        <v>[VDS] - Cashloan</v>
      </c>
      <c r="H898" s="128" t="str">
        <f>VLOOKUP(source[[#This Row],[lending_product_transform]],[3]Mapping!$B$3:$D$37,3,0)</f>
        <v>cashloan</v>
      </c>
      <c r="I898" s="135">
        <v>2965480000</v>
      </c>
    </row>
    <row r="899" spans="1:9" x14ac:dyDescent="0.2">
      <c r="A899" s="134">
        <v>45411</v>
      </c>
      <c r="B899" s="135">
        <f>YEAR(source[[#This Row],[report_date]])</f>
        <v>2024</v>
      </c>
      <c r="C899" s="136">
        <v>4</v>
      </c>
      <c r="D899" s="136">
        <f t="shared" ref="D899:D962" si="51">WEEKNUM(A899,2)</f>
        <v>18</v>
      </c>
      <c r="E899" s="136">
        <f t="shared" ref="E899:E962" si="52">DAY(A899)</f>
        <v>29</v>
      </c>
      <c r="F899" s="128" t="s">
        <v>62</v>
      </c>
      <c r="G899" s="128" t="str">
        <f>VLOOKUP(source[[#This Row],[lending_product_transform]],[3]Mapping!$B$4:$C$37,2,0)</f>
        <v>[VDS] - Paylater</v>
      </c>
      <c r="H899" s="128" t="str">
        <f>VLOOKUP(source[[#This Row],[lending_product_transform]],[3]Mapping!$B$3:$D$37,3,0)</f>
        <v>paylater</v>
      </c>
      <c r="I899" s="135">
        <v>2562800</v>
      </c>
    </row>
    <row r="900" spans="1:9" x14ac:dyDescent="0.2">
      <c r="A900" s="134">
        <v>45411</v>
      </c>
      <c r="B900" s="135">
        <f>YEAR(source[[#This Row],[report_date]])</f>
        <v>2024</v>
      </c>
      <c r="C900" s="136">
        <v>4</v>
      </c>
      <c r="D900" s="136">
        <f t="shared" si="51"/>
        <v>18</v>
      </c>
      <c r="E900" s="136">
        <f t="shared" si="52"/>
        <v>29</v>
      </c>
      <c r="F900" s="128" t="s">
        <v>56</v>
      </c>
      <c r="G900" s="128">
        <f>VLOOKUP(source[[#This Row],[lending_product_transform]],[3]Mapping!$B$4:$C$37,2,0)</f>
        <v>0</v>
      </c>
      <c r="H900" s="128">
        <f>VLOOKUP(source[[#This Row],[lending_product_transform]],[3]Mapping!$B$3:$D$37,3,0)</f>
        <v>0</v>
      </c>
      <c r="I900" s="135">
        <v>6789835967</v>
      </c>
    </row>
    <row r="901" spans="1:9" x14ac:dyDescent="0.2">
      <c r="A901" s="134">
        <v>45411</v>
      </c>
      <c r="B901" s="135">
        <f>YEAR(source[[#This Row],[report_date]])</f>
        <v>2024</v>
      </c>
      <c r="C901" s="136">
        <v>4</v>
      </c>
      <c r="D901" s="136">
        <f t="shared" si="51"/>
        <v>18</v>
      </c>
      <c r="E901" s="136">
        <f t="shared" si="52"/>
        <v>29</v>
      </c>
      <c r="F901" s="128" t="s">
        <v>61</v>
      </c>
      <c r="G901" s="128" t="str">
        <f>VLOOKUP(source[[#This Row],[lending_product_transform]],[3]Mapping!$B$4:$C$37,2,0)</f>
        <v>[VDS] - Payroll Payday</v>
      </c>
      <c r="H901" s="128" t="str">
        <f>VLOOKUP(source[[#This Row],[lending_product_transform]],[3]Mapping!$B$3:$D$37,3,0)</f>
        <v>payday</v>
      </c>
      <c r="I901" s="135">
        <v>32000000</v>
      </c>
    </row>
    <row r="902" spans="1:9" x14ac:dyDescent="0.2">
      <c r="A902" s="134">
        <v>45411</v>
      </c>
      <c r="B902" s="135">
        <f>YEAR(source[[#This Row],[report_date]])</f>
        <v>2024</v>
      </c>
      <c r="C902" s="136">
        <v>4</v>
      </c>
      <c r="D902" s="136">
        <f t="shared" si="51"/>
        <v>18</v>
      </c>
      <c r="E902" s="136">
        <f t="shared" si="52"/>
        <v>29</v>
      </c>
      <c r="F902" s="128" t="s">
        <v>206</v>
      </c>
      <c r="G902" s="128" t="str">
        <f>VLOOKUP(source[[#This Row],[lending_product_transform]],[3]Mapping!$B$4:$C$37,2,0)</f>
        <v>[NGS] - Cashloan</v>
      </c>
      <c r="H902" s="128" t="str">
        <f>VLOOKUP(source[[#This Row],[lending_product_transform]],[3]Mapping!$B$3:$D$37,3,0)</f>
        <v>cashloan</v>
      </c>
      <c r="I902" s="135">
        <v>0</v>
      </c>
    </row>
    <row r="903" spans="1:9" x14ac:dyDescent="0.2">
      <c r="A903" s="134">
        <v>45411</v>
      </c>
      <c r="B903" s="135">
        <f>YEAR(source[[#This Row],[report_date]])</f>
        <v>2024</v>
      </c>
      <c r="C903" s="136">
        <v>4</v>
      </c>
      <c r="D903" s="136">
        <f t="shared" si="51"/>
        <v>18</v>
      </c>
      <c r="E903" s="136">
        <f t="shared" si="52"/>
        <v>29</v>
      </c>
      <c r="F903" s="128" t="s">
        <v>67</v>
      </c>
      <c r="G903" s="128" t="str">
        <f>VLOOKUP(source[[#This Row],[lending_product_transform]],[3]Mapping!$B$4:$C$37,2,0)</f>
        <v>[Cake] - Overdraft</v>
      </c>
      <c r="H903" s="128" t="str">
        <f>VLOOKUP(source[[#This Row],[lending_product_transform]],[3]Mapping!$B$3:$D$37,3,0)</f>
        <v>overdraft</v>
      </c>
      <c r="I903" s="135">
        <v>1633243167</v>
      </c>
    </row>
    <row r="904" spans="1:9" x14ac:dyDescent="0.2">
      <c r="A904" s="134">
        <v>45412</v>
      </c>
      <c r="B904" s="135">
        <f>YEAR(source[[#This Row],[report_date]])</f>
        <v>2024</v>
      </c>
      <c r="C904" s="136">
        <v>4</v>
      </c>
      <c r="D904" s="136">
        <f t="shared" si="51"/>
        <v>18</v>
      </c>
      <c r="E904" s="136">
        <f t="shared" si="52"/>
        <v>30</v>
      </c>
      <c r="F904" s="128" t="s">
        <v>206</v>
      </c>
      <c r="G904" s="128" t="str">
        <f>VLOOKUP(source[[#This Row],[lending_product_transform]],[3]Mapping!$B$4:$C$37,2,0)</f>
        <v>[NGS] - Cashloan</v>
      </c>
      <c r="H904" s="128" t="str">
        <f>VLOOKUP(source[[#This Row],[lending_product_transform]],[3]Mapping!$B$3:$D$37,3,0)</f>
        <v>cashloan</v>
      </c>
      <c r="I904" s="135">
        <v>13910000</v>
      </c>
    </row>
    <row r="905" spans="1:9" x14ac:dyDescent="0.2">
      <c r="A905" s="134">
        <v>45412</v>
      </c>
      <c r="B905" s="135">
        <f>YEAR(source[[#This Row],[report_date]])</f>
        <v>2024</v>
      </c>
      <c r="C905" s="136">
        <v>4</v>
      </c>
      <c r="D905" s="136">
        <f t="shared" si="51"/>
        <v>18</v>
      </c>
      <c r="E905" s="136">
        <f t="shared" si="52"/>
        <v>30</v>
      </c>
      <c r="F905" s="128" t="s">
        <v>238</v>
      </c>
      <c r="G905" s="128" t="str">
        <f>VLOOKUP(source[[#This Row],[lending_product_transform]],[3]Mapping!$B$4:$C$37,2,0)</f>
        <v>[VDS] - Cashloan LP</v>
      </c>
      <c r="H905" s="128" t="str">
        <f>VLOOKUP(source[[#This Row],[lending_product_transform]],[3]Mapping!$B$3:$D$37,3,0)</f>
        <v>cashloan</v>
      </c>
      <c r="I905" s="135">
        <v>10700000</v>
      </c>
    </row>
    <row r="906" spans="1:9" x14ac:dyDescent="0.2">
      <c r="A906" s="134">
        <v>45412</v>
      </c>
      <c r="B906" s="135">
        <f>YEAR(source[[#This Row],[report_date]])</f>
        <v>2024</v>
      </c>
      <c r="C906" s="136">
        <v>4</v>
      </c>
      <c r="D906" s="136">
        <f t="shared" si="51"/>
        <v>18</v>
      </c>
      <c r="E906" s="136">
        <f t="shared" si="52"/>
        <v>30</v>
      </c>
      <c r="F906" s="128" t="s">
        <v>11</v>
      </c>
      <c r="G906" s="128" t="str">
        <f>VLOOKUP(source[[#This Row],[lending_product_transform]],[3]Mapping!$B$4:$C$37,2,0)</f>
        <v>[VDS] - Cashloan</v>
      </c>
      <c r="H906" s="128" t="str">
        <f>VLOOKUP(source[[#This Row],[lending_product_transform]],[3]Mapping!$B$3:$D$37,3,0)</f>
        <v>cashloan</v>
      </c>
      <c r="I906" s="135">
        <v>1977840000</v>
      </c>
    </row>
    <row r="907" spans="1:9" x14ac:dyDescent="0.2">
      <c r="A907" s="134">
        <v>45412</v>
      </c>
      <c r="B907" s="135">
        <f>YEAR(source[[#This Row],[report_date]])</f>
        <v>2024</v>
      </c>
      <c r="C907" s="136">
        <v>4</v>
      </c>
      <c r="D907" s="136">
        <f t="shared" si="51"/>
        <v>18</v>
      </c>
      <c r="E907" s="136">
        <f t="shared" si="52"/>
        <v>30</v>
      </c>
      <c r="F907" s="128" t="s">
        <v>67</v>
      </c>
      <c r="G907" s="128" t="str">
        <f>VLOOKUP(source[[#This Row],[lending_product_transform]],[3]Mapping!$B$4:$C$37,2,0)</f>
        <v>[Cake] - Overdraft</v>
      </c>
      <c r="H907" s="128" t="str">
        <f>VLOOKUP(source[[#This Row],[lending_product_transform]],[3]Mapping!$B$3:$D$37,3,0)</f>
        <v>overdraft</v>
      </c>
      <c r="I907" s="135">
        <v>1653725036</v>
      </c>
    </row>
    <row r="908" spans="1:9" x14ac:dyDescent="0.2">
      <c r="A908" s="134">
        <v>45412</v>
      </c>
      <c r="B908" s="135">
        <f>YEAR(source[[#This Row],[report_date]])</f>
        <v>2024</v>
      </c>
      <c r="C908" s="136">
        <v>4</v>
      </c>
      <c r="D908" s="136">
        <f t="shared" si="51"/>
        <v>18</v>
      </c>
      <c r="E908" s="136">
        <f t="shared" si="52"/>
        <v>30</v>
      </c>
      <c r="F908" s="128" t="s">
        <v>19</v>
      </c>
      <c r="G908" s="128" t="str">
        <f>VLOOKUP(source[[#This Row],[lending_product_transform]],[3]Mapping!$B$4:$C$37,2,0)</f>
        <v>[VDS] - Payday</v>
      </c>
      <c r="H908" s="128" t="str">
        <f>VLOOKUP(source[[#This Row],[lending_product_transform]],[3]Mapping!$B$3:$D$37,3,0)</f>
        <v>payday</v>
      </c>
      <c r="I908" s="135">
        <v>1660500000</v>
      </c>
    </row>
    <row r="909" spans="1:9" x14ac:dyDescent="0.2">
      <c r="A909" s="134">
        <v>45412</v>
      </c>
      <c r="B909" s="135">
        <f>YEAR(source[[#This Row],[report_date]])</f>
        <v>2024</v>
      </c>
      <c r="C909" s="136">
        <v>4</v>
      </c>
      <c r="D909" s="136">
        <f t="shared" si="51"/>
        <v>18</v>
      </c>
      <c r="E909" s="136">
        <f t="shared" si="52"/>
        <v>30</v>
      </c>
      <c r="F909" s="128" t="s">
        <v>56</v>
      </c>
      <c r="G909" s="128">
        <f>VLOOKUP(source[[#This Row],[lending_product_transform]],[3]Mapping!$B$4:$C$37,2,0)</f>
        <v>0</v>
      </c>
      <c r="H909" s="128">
        <f>VLOOKUP(source[[#This Row],[lending_product_transform]],[3]Mapping!$B$3:$D$37,3,0)</f>
        <v>0</v>
      </c>
      <c r="I909" s="135">
        <v>5461640533</v>
      </c>
    </row>
    <row r="910" spans="1:9" x14ac:dyDescent="0.2">
      <c r="A910" s="134">
        <v>45412</v>
      </c>
      <c r="B910" s="135">
        <f>YEAR(source[[#This Row],[report_date]])</f>
        <v>2024</v>
      </c>
      <c r="C910" s="136">
        <v>4</v>
      </c>
      <c r="D910" s="136">
        <f t="shared" si="51"/>
        <v>18</v>
      </c>
      <c r="E910" s="136">
        <f t="shared" si="52"/>
        <v>30</v>
      </c>
      <c r="F910" s="128" t="s">
        <v>62</v>
      </c>
      <c r="G910" s="128" t="str">
        <f>VLOOKUP(source[[#This Row],[lending_product_transform]],[3]Mapping!$B$4:$C$37,2,0)</f>
        <v>[VDS] - Paylater</v>
      </c>
      <c r="H910" s="128" t="str">
        <f>VLOOKUP(source[[#This Row],[lending_product_transform]],[3]Mapping!$B$3:$D$37,3,0)</f>
        <v>paylater</v>
      </c>
      <c r="I910" s="135">
        <v>12315497</v>
      </c>
    </row>
    <row r="911" spans="1:9" x14ac:dyDescent="0.2">
      <c r="A911" s="134">
        <v>45412</v>
      </c>
      <c r="B911" s="135">
        <f>YEAR(source[[#This Row],[report_date]])</f>
        <v>2024</v>
      </c>
      <c r="C911" s="136">
        <v>4</v>
      </c>
      <c r="D911" s="136">
        <f t="shared" si="51"/>
        <v>18</v>
      </c>
      <c r="E911" s="136">
        <f t="shared" si="52"/>
        <v>30</v>
      </c>
      <c r="F911" s="128" t="s">
        <v>61</v>
      </c>
      <c r="G911" s="128" t="str">
        <f>VLOOKUP(source[[#This Row],[lending_product_transform]],[3]Mapping!$B$4:$C$37,2,0)</f>
        <v>[VDS] - Payroll Payday</v>
      </c>
      <c r="H911" s="128" t="str">
        <f>VLOOKUP(source[[#This Row],[lending_product_transform]],[3]Mapping!$B$3:$D$37,3,0)</f>
        <v>payday</v>
      </c>
      <c r="I911" s="135">
        <v>15000000</v>
      </c>
    </row>
    <row r="912" spans="1:9" x14ac:dyDescent="0.2">
      <c r="A912" s="134">
        <v>45412</v>
      </c>
      <c r="B912" s="135">
        <f>YEAR(source[[#This Row],[report_date]])</f>
        <v>2024</v>
      </c>
      <c r="C912" s="136">
        <v>4</v>
      </c>
      <c r="D912" s="136">
        <f t="shared" si="51"/>
        <v>18</v>
      </c>
      <c r="E912" s="136">
        <f t="shared" si="52"/>
        <v>30</v>
      </c>
      <c r="F912" s="128" t="s">
        <v>65</v>
      </c>
      <c r="G912" s="128" t="str">
        <f>VLOOKUP(source[[#This Row],[lending_product_transform]],[3]Mapping!$B$4:$C$37,2,0)</f>
        <v>[BE] - Cashloan</v>
      </c>
      <c r="H912" s="128" t="str">
        <f>VLOOKUP(source[[#This Row],[lending_product_transform]],[3]Mapping!$B$3:$D$37,3,0)</f>
        <v>cashloan</v>
      </c>
      <c r="I912" s="135">
        <v>75650000</v>
      </c>
    </row>
    <row r="913" spans="1:9" x14ac:dyDescent="0.2">
      <c r="A913" s="134">
        <v>45412</v>
      </c>
      <c r="B913" s="135">
        <f>YEAR(source[[#This Row],[report_date]])</f>
        <v>2024</v>
      </c>
      <c r="C913" s="136">
        <v>4</v>
      </c>
      <c r="D913" s="136">
        <f t="shared" si="51"/>
        <v>18</v>
      </c>
      <c r="E913" s="136">
        <f t="shared" si="52"/>
        <v>30</v>
      </c>
      <c r="F913" s="128" t="s">
        <v>58</v>
      </c>
      <c r="G913" s="128" t="str">
        <f>VLOOKUP(source[[#This Row],[lending_product_transform]],[3]Mapping!$B$4:$C$37,2,0)</f>
        <v>[VDS] - Payroll Cashloan</v>
      </c>
      <c r="H913" s="128" t="str">
        <f>VLOOKUP(source[[#This Row],[lending_product_transform]],[3]Mapping!$B$3:$D$37,3,0)</f>
        <v>cashloan</v>
      </c>
      <c r="I913" s="135">
        <v>42000000</v>
      </c>
    </row>
    <row r="914" spans="1:9" x14ac:dyDescent="0.2">
      <c r="A914" s="134">
        <v>45413</v>
      </c>
      <c r="B914" s="135">
        <f>YEAR(source[[#This Row],[report_date]])</f>
        <v>2024</v>
      </c>
      <c r="C914" s="136">
        <v>5</v>
      </c>
      <c r="D914" s="136">
        <f t="shared" si="51"/>
        <v>18</v>
      </c>
      <c r="E914" s="136">
        <f t="shared" si="52"/>
        <v>1</v>
      </c>
      <c r="F914" s="128" t="s">
        <v>62</v>
      </c>
      <c r="G914" s="128" t="str">
        <f>VLOOKUP(source[[#This Row],[lending_product_transform]],[3]Mapping!$B$4:$C$37,2,0)</f>
        <v>[VDS] - Paylater</v>
      </c>
      <c r="H914" s="128" t="str">
        <f>VLOOKUP(source[[#This Row],[lending_product_transform]],[3]Mapping!$B$3:$D$37,3,0)</f>
        <v>paylater</v>
      </c>
      <c r="I914" s="135">
        <v>12406162</v>
      </c>
    </row>
    <row r="915" spans="1:9" x14ac:dyDescent="0.2">
      <c r="A915" s="134">
        <v>45413</v>
      </c>
      <c r="B915" s="135">
        <f>YEAR(source[[#This Row],[report_date]])</f>
        <v>2024</v>
      </c>
      <c r="C915" s="136">
        <v>5</v>
      </c>
      <c r="D915" s="136">
        <f t="shared" si="51"/>
        <v>18</v>
      </c>
      <c r="E915" s="136">
        <f t="shared" si="52"/>
        <v>1</v>
      </c>
      <c r="F915" s="128" t="s">
        <v>65</v>
      </c>
      <c r="G915" s="128" t="str">
        <f>VLOOKUP(source[[#This Row],[lending_product_transform]],[3]Mapping!$B$4:$C$37,2,0)</f>
        <v>[BE] - Cashloan</v>
      </c>
      <c r="H915" s="128" t="str">
        <f>VLOOKUP(source[[#This Row],[lending_product_transform]],[3]Mapping!$B$3:$D$37,3,0)</f>
        <v>cashloan</v>
      </c>
      <c r="I915" s="135">
        <v>101850000</v>
      </c>
    </row>
    <row r="916" spans="1:9" x14ac:dyDescent="0.2">
      <c r="A916" s="134">
        <v>45413</v>
      </c>
      <c r="B916" s="135">
        <f>YEAR(source[[#This Row],[report_date]])</f>
        <v>2024</v>
      </c>
      <c r="C916" s="136">
        <v>5</v>
      </c>
      <c r="D916" s="136">
        <f t="shared" si="51"/>
        <v>18</v>
      </c>
      <c r="E916" s="136">
        <f t="shared" si="52"/>
        <v>1</v>
      </c>
      <c r="F916" s="128" t="s">
        <v>206</v>
      </c>
      <c r="G916" s="128" t="str">
        <f>VLOOKUP(source[[#This Row],[lending_product_transform]],[3]Mapping!$B$4:$C$37,2,0)</f>
        <v>[NGS] - Cashloan</v>
      </c>
      <c r="H916" s="128" t="str">
        <f>VLOOKUP(source[[#This Row],[lending_product_transform]],[3]Mapping!$B$3:$D$37,3,0)</f>
        <v>cashloan</v>
      </c>
      <c r="I916" s="135">
        <v>10700000</v>
      </c>
    </row>
    <row r="917" spans="1:9" x14ac:dyDescent="0.2">
      <c r="A917" s="134">
        <v>45413</v>
      </c>
      <c r="B917" s="135">
        <f>YEAR(source[[#This Row],[report_date]])</f>
        <v>2024</v>
      </c>
      <c r="C917" s="136">
        <v>5</v>
      </c>
      <c r="D917" s="136">
        <f t="shared" si="51"/>
        <v>18</v>
      </c>
      <c r="E917" s="136">
        <f t="shared" si="52"/>
        <v>1</v>
      </c>
      <c r="F917" s="128" t="s">
        <v>58</v>
      </c>
      <c r="G917" s="128" t="str">
        <f>VLOOKUP(source[[#This Row],[lending_product_transform]],[3]Mapping!$B$4:$C$37,2,0)</f>
        <v>[VDS] - Payroll Cashloan</v>
      </c>
      <c r="H917" s="128" t="str">
        <f>VLOOKUP(source[[#This Row],[lending_product_transform]],[3]Mapping!$B$3:$D$37,3,0)</f>
        <v>cashloan</v>
      </c>
      <c r="I917" s="135">
        <v>49350000</v>
      </c>
    </row>
    <row r="918" spans="1:9" x14ac:dyDescent="0.2">
      <c r="A918" s="134">
        <v>45413</v>
      </c>
      <c r="B918" s="135">
        <f>YEAR(source[[#This Row],[report_date]])</f>
        <v>2024</v>
      </c>
      <c r="C918" s="136">
        <v>5</v>
      </c>
      <c r="D918" s="136">
        <f t="shared" si="51"/>
        <v>18</v>
      </c>
      <c r="E918" s="136">
        <f t="shared" si="52"/>
        <v>1</v>
      </c>
      <c r="F918" s="128" t="s">
        <v>56</v>
      </c>
      <c r="G918" s="128">
        <f>VLOOKUP(source[[#This Row],[lending_product_transform]],[3]Mapping!$B$4:$C$37,2,0)</f>
        <v>0</v>
      </c>
      <c r="H918" s="128">
        <f>VLOOKUP(source[[#This Row],[lending_product_transform]],[3]Mapping!$B$3:$D$37,3,0)</f>
        <v>0</v>
      </c>
      <c r="I918" s="135">
        <v>6852705710</v>
      </c>
    </row>
    <row r="919" spans="1:9" x14ac:dyDescent="0.2">
      <c r="A919" s="134">
        <v>45413</v>
      </c>
      <c r="B919" s="135">
        <f>YEAR(source[[#This Row],[report_date]])</f>
        <v>2024</v>
      </c>
      <c r="C919" s="136">
        <v>5</v>
      </c>
      <c r="D919" s="136">
        <f t="shared" si="51"/>
        <v>18</v>
      </c>
      <c r="E919" s="136">
        <f t="shared" si="52"/>
        <v>1</v>
      </c>
      <c r="F919" s="128" t="s">
        <v>61</v>
      </c>
      <c r="G919" s="128" t="str">
        <f>VLOOKUP(source[[#This Row],[lending_product_transform]],[3]Mapping!$B$4:$C$37,2,0)</f>
        <v>[VDS] - Payroll Payday</v>
      </c>
      <c r="H919" s="128" t="str">
        <f>VLOOKUP(source[[#This Row],[lending_product_transform]],[3]Mapping!$B$3:$D$37,3,0)</f>
        <v>payday</v>
      </c>
      <c r="I919" s="135">
        <v>19000000</v>
      </c>
    </row>
    <row r="920" spans="1:9" x14ac:dyDescent="0.2">
      <c r="A920" s="134">
        <v>45413</v>
      </c>
      <c r="B920" s="135">
        <f>YEAR(source[[#This Row],[report_date]])</f>
        <v>2024</v>
      </c>
      <c r="C920" s="136">
        <v>5</v>
      </c>
      <c r="D920" s="136">
        <f t="shared" si="51"/>
        <v>18</v>
      </c>
      <c r="E920" s="136">
        <f t="shared" si="52"/>
        <v>1</v>
      </c>
      <c r="F920" s="128" t="s">
        <v>238</v>
      </c>
      <c r="G920" s="128" t="str">
        <f>VLOOKUP(source[[#This Row],[lending_product_transform]],[3]Mapping!$B$4:$C$37,2,0)</f>
        <v>[VDS] - Cashloan LP</v>
      </c>
      <c r="H920" s="128" t="str">
        <f>VLOOKUP(source[[#This Row],[lending_product_transform]],[3]Mapping!$B$3:$D$37,3,0)</f>
        <v>cashloan</v>
      </c>
      <c r="I920" s="135">
        <v>0</v>
      </c>
    </row>
    <row r="921" spans="1:9" x14ac:dyDescent="0.2">
      <c r="A921" s="134">
        <v>45413</v>
      </c>
      <c r="B921" s="135">
        <f>YEAR(source[[#This Row],[report_date]])</f>
        <v>2024</v>
      </c>
      <c r="C921" s="136">
        <v>5</v>
      </c>
      <c r="D921" s="136">
        <f t="shared" si="51"/>
        <v>18</v>
      </c>
      <c r="E921" s="136">
        <f t="shared" si="52"/>
        <v>1</v>
      </c>
      <c r="F921" s="128" t="s">
        <v>11</v>
      </c>
      <c r="G921" s="128" t="str">
        <f>VLOOKUP(source[[#This Row],[lending_product_transform]],[3]Mapping!$B$4:$C$37,2,0)</f>
        <v>[VDS] - Cashloan</v>
      </c>
      <c r="H921" s="128" t="str">
        <f>VLOOKUP(source[[#This Row],[lending_product_transform]],[3]Mapping!$B$3:$D$37,3,0)</f>
        <v>cashloan</v>
      </c>
      <c r="I921" s="135">
        <v>2128310000</v>
      </c>
    </row>
    <row r="922" spans="1:9" x14ac:dyDescent="0.2">
      <c r="A922" s="134">
        <v>45413</v>
      </c>
      <c r="B922" s="135">
        <f>YEAR(source[[#This Row],[report_date]])</f>
        <v>2024</v>
      </c>
      <c r="C922" s="136">
        <v>5</v>
      </c>
      <c r="D922" s="136">
        <f t="shared" si="51"/>
        <v>18</v>
      </c>
      <c r="E922" s="136">
        <f t="shared" si="52"/>
        <v>1</v>
      </c>
      <c r="F922" s="128" t="s">
        <v>67</v>
      </c>
      <c r="G922" s="128" t="str">
        <f>VLOOKUP(source[[#This Row],[lending_product_transform]],[3]Mapping!$B$4:$C$37,2,0)</f>
        <v>[Cake] - Overdraft</v>
      </c>
      <c r="H922" s="128" t="str">
        <f>VLOOKUP(source[[#This Row],[lending_product_transform]],[3]Mapping!$B$3:$D$37,3,0)</f>
        <v>overdraft</v>
      </c>
      <c r="I922" s="135">
        <v>2369589548</v>
      </c>
    </row>
    <row r="923" spans="1:9" x14ac:dyDescent="0.2">
      <c r="A923" s="134">
        <v>45413</v>
      </c>
      <c r="B923" s="135">
        <f>YEAR(source[[#This Row],[report_date]])</f>
        <v>2024</v>
      </c>
      <c r="C923" s="136">
        <v>5</v>
      </c>
      <c r="D923" s="136">
        <f t="shared" si="51"/>
        <v>18</v>
      </c>
      <c r="E923" s="136">
        <f t="shared" si="52"/>
        <v>1</v>
      </c>
      <c r="F923" s="128" t="s">
        <v>19</v>
      </c>
      <c r="G923" s="128" t="str">
        <f>VLOOKUP(source[[#This Row],[lending_product_transform]],[3]Mapping!$B$4:$C$37,2,0)</f>
        <v>[VDS] - Payday</v>
      </c>
      <c r="H923" s="128" t="str">
        <f>VLOOKUP(source[[#This Row],[lending_product_transform]],[3]Mapping!$B$3:$D$37,3,0)</f>
        <v>payday</v>
      </c>
      <c r="I923" s="135">
        <v>2161500000</v>
      </c>
    </row>
    <row r="924" spans="1:9" x14ac:dyDescent="0.2">
      <c r="A924" s="134">
        <v>45414</v>
      </c>
      <c r="B924" s="135">
        <f>YEAR(source[[#This Row],[report_date]])</f>
        <v>2024</v>
      </c>
      <c r="C924" s="136">
        <v>5</v>
      </c>
      <c r="D924" s="136">
        <f t="shared" si="51"/>
        <v>18</v>
      </c>
      <c r="E924" s="136">
        <f t="shared" si="52"/>
        <v>2</v>
      </c>
      <c r="F924" s="128" t="s">
        <v>58</v>
      </c>
      <c r="G924" s="128" t="str">
        <f>VLOOKUP(source[[#This Row],[lending_product_transform]],[3]Mapping!$B$4:$C$37,2,0)</f>
        <v>[VDS] - Payroll Cashloan</v>
      </c>
      <c r="H924" s="128" t="str">
        <f>VLOOKUP(source[[#This Row],[lending_product_transform]],[3]Mapping!$B$3:$D$37,3,0)</f>
        <v>cashloan</v>
      </c>
      <c r="I924" s="135">
        <v>184350000</v>
      </c>
    </row>
    <row r="925" spans="1:9" x14ac:dyDescent="0.2">
      <c r="A925" s="134">
        <v>45414</v>
      </c>
      <c r="B925" s="135">
        <f>YEAR(source[[#This Row],[report_date]])</f>
        <v>2024</v>
      </c>
      <c r="C925" s="136">
        <v>5</v>
      </c>
      <c r="D925" s="136">
        <f t="shared" si="51"/>
        <v>18</v>
      </c>
      <c r="E925" s="136">
        <f t="shared" si="52"/>
        <v>2</v>
      </c>
      <c r="F925" s="128" t="s">
        <v>11</v>
      </c>
      <c r="G925" s="128" t="str">
        <f>VLOOKUP(source[[#This Row],[lending_product_transform]],[3]Mapping!$B$4:$C$37,2,0)</f>
        <v>[VDS] - Cashloan</v>
      </c>
      <c r="H925" s="128" t="str">
        <f>VLOOKUP(source[[#This Row],[lending_product_transform]],[3]Mapping!$B$3:$D$37,3,0)</f>
        <v>cashloan</v>
      </c>
      <c r="I925" s="135">
        <v>3443710000</v>
      </c>
    </row>
    <row r="926" spans="1:9" x14ac:dyDescent="0.2">
      <c r="A926" s="134">
        <v>45414</v>
      </c>
      <c r="B926" s="135">
        <f>YEAR(source[[#This Row],[report_date]])</f>
        <v>2024</v>
      </c>
      <c r="C926" s="136">
        <v>5</v>
      </c>
      <c r="D926" s="136">
        <f t="shared" si="51"/>
        <v>18</v>
      </c>
      <c r="E926" s="136">
        <f t="shared" si="52"/>
        <v>2</v>
      </c>
      <c r="F926" s="128" t="s">
        <v>19</v>
      </c>
      <c r="G926" s="128" t="str">
        <f>VLOOKUP(source[[#This Row],[lending_product_transform]],[3]Mapping!$B$4:$C$37,2,0)</f>
        <v>[VDS] - Payday</v>
      </c>
      <c r="H926" s="128" t="str">
        <f>VLOOKUP(source[[#This Row],[lending_product_transform]],[3]Mapping!$B$3:$D$37,3,0)</f>
        <v>payday</v>
      </c>
      <c r="I926" s="135">
        <v>2573500000</v>
      </c>
    </row>
    <row r="927" spans="1:9" x14ac:dyDescent="0.2">
      <c r="A927" s="134">
        <v>45414</v>
      </c>
      <c r="B927" s="135">
        <f>YEAR(source[[#This Row],[report_date]])</f>
        <v>2024</v>
      </c>
      <c r="C927" s="136">
        <v>5</v>
      </c>
      <c r="D927" s="136">
        <f t="shared" si="51"/>
        <v>18</v>
      </c>
      <c r="E927" s="136">
        <f t="shared" si="52"/>
        <v>2</v>
      </c>
      <c r="F927" s="128" t="s">
        <v>61</v>
      </c>
      <c r="G927" s="128" t="str">
        <f>VLOOKUP(source[[#This Row],[lending_product_transform]],[3]Mapping!$B$4:$C$37,2,0)</f>
        <v>[VDS] - Payroll Payday</v>
      </c>
      <c r="H927" s="128" t="str">
        <f>VLOOKUP(source[[#This Row],[lending_product_transform]],[3]Mapping!$B$3:$D$37,3,0)</f>
        <v>payday</v>
      </c>
      <c r="I927" s="135">
        <v>43000000</v>
      </c>
    </row>
    <row r="928" spans="1:9" x14ac:dyDescent="0.2">
      <c r="A928" s="134">
        <v>45414</v>
      </c>
      <c r="B928" s="135">
        <f>YEAR(source[[#This Row],[report_date]])</f>
        <v>2024</v>
      </c>
      <c r="C928" s="136">
        <v>5</v>
      </c>
      <c r="D928" s="136">
        <f t="shared" si="51"/>
        <v>18</v>
      </c>
      <c r="E928" s="136">
        <f t="shared" si="52"/>
        <v>2</v>
      </c>
      <c r="F928" s="128" t="s">
        <v>206</v>
      </c>
      <c r="G928" s="128" t="str">
        <f>VLOOKUP(source[[#This Row],[lending_product_transform]],[3]Mapping!$B$4:$C$37,2,0)</f>
        <v>[NGS] - Cashloan</v>
      </c>
      <c r="H928" s="128" t="str">
        <f>VLOOKUP(source[[#This Row],[lending_product_transform]],[3]Mapping!$B$3:$D$37,3,0)</f>
        <v>cashloan</v>
      </c>
      <c r="I928" s="135">
        <v>52430000</v>
      </c>
    </row>
    <row r="929" spans="1:9" x14ac:dyDescent="0.2">
      <c r="A929" s="134">
        <v>45414</v>
      </c>
      <c r="B929" s="135">
        <f>YEAR(source[[#This Row],[report_date]])</f>
        <v>2024</v>
      </c>
      <c r="C929" s="136">
        <v>5</v>
      </c>
      <c r="D929" s="136">
        <f t="shared" si="51"/>
        <v>18</v>
      </c>
      <c r="E929" s="136">
        <f t="shared" si="52"/>
        <v>2</v>
      </c>
      <c r="F929" s="128" t="s">
        <v>56</v>
      </c>
      <c r="G929" s="128">
        <f>VLOOKUP(source[[#This Row],[lending_product_transform]],[3]Mapping!$B$4:$C$37,2,0)</f>
        <v>0</v>
      </c>
      <c r="H929" s="128">
        <f>VLOOKUP(source[[#This Row],[lending_product_transform]],[3]Mapping!$B$3:$D$37,3,0)</f>
        <v>0</v>
      </c>
      <c r="I929" s="135">
        <v>9888118246</v>
      </c>
    </row>
    <row r="930" spans="1:9" x14ac:dyDescent="0.2">
      <c r="A930" s="134">
        <v>45414</v>
      </c>
      <c r="B930" s="135">
        <f>YEAR(source[[#This Row],[report_date]])</f>
        <v>2024</v>
      </c>
      <c r="C930" s="136">
        <v>5</v>
      </c>
      <c r="D930" s="136">
        <f t="shared" si="51"/>
        <v>18</v>
      </c>
      <c r="E930" s="136">
        <f t="shared" si="52"/>
        <v>2</v>
      </c>
      <c r="F930" s="128" t="s">
        <v>62</v>
      </c>
      <c r="G930" s="128" t="str">
        <f>VLOOKUP(source[[#This Row],[lending_product_transform]],[3]Mapping!$B$4:$C$37,2,0)</f>
        <v>[VDS] - Paylater</v>
      </c>
      <c r="H930" s="128" t="str">
        <f>VLOOKUP(source[[#This Row],[lending_product_transform]],[3]Mapping!$B$3:$D$37,3,0)</f>
        <v>paylater</v>
      </c>
      <c r="I930" s="135">
        <v>13958374</v>
      </c>
    </row>
    <row r="931" spans="1:9" x14ac:dyDescent="0.2">
      <c r="A931" s="134">
        <v>45414</v>
      </c>
      <c r="B931" s="135">
        <f>YEAR(source[[#This Row],[report_date]])</f>
        <v>2024</v>
      </c>
      <c r="C931" s="136">
        <v>5</v>
      </c>
      <c r="D931" s="136">
        <f t="shared" si="51"/>
        <v>18</v>
      </c>
      <c r="E931" s="136">
        <f t="shared" si="52"/>
        <v>2</v>
      </c>
      <c r="F931" s="128" t="s">
        <v>67</v>
      </c>
      <c r="G931" s="128" t="str">
        <f>VLOOKUP(source[[#This Row],[lending_product_transform]],[3]Mapping!$B$4:$C$37,2,0)</f>
        <v>[Cake] - Overdraft</v>
      </c>
      <c r="H931" s="128" t="str">
        <f>VLOOKUP(source[[#This Row],[lending_product_transform]],[3]Mapping!$B$3:$D$37,3,0)</f>
        <v>overdraft</v>
      </c>
      <c r="I931" s="135">
        <v>3412269872</v>
      </c>
    </row>
    <row r="932" spans="1:9" x14ac:dyDescent="0.2">
      <c r="A932" s="134">
        <v>45414</v>
      </c>
      <c r="B932" s="135">
        <f>YEAR(source[[#This Row],[report_date]])</f>
        <v>2024</v>
      </c>
      <c r="C932" s="136">
        <v>5</v>
      </c>
      <c r="D932" s="136">
        <f t="shared" si="51"/>
        <v>18</v>
      </c>
      <c r="E932" s="136">
        <f t="shared" si="52"/>
        <v>2</v>
      </c>
      <c r="F932" s="128" t="s">
        <v>238</v>
      </c>
      <c r="G932" s="128" t="str">
        <f>VLOOKUP(source[[#This Row],[lending_product_transform]],[3]Mapping!$B$4:$C$37,2,0)</f>
        <v>[VDS] - Cashloan LP</v>
      </c>
      <c r="H932" s="128" t="str">
        <f>VLOOKUP(source[[#This Row],[lending_product_transform]],[3]Mapping!$B$3:$D$37,3,0)</f>
        <v>cashloan</v>
      </c>
      <c r="I932" s="135">
        <v>0</v>
      </c>
    </row>
    <row r="933" spans="1:9" x14ac:dyDescent="0.2">
      <c r="A933" s="134">
        <v>45414</v>
      </c>
      <c r="B933" s="135">
        <f>YEAR(source[[#This Row],[report_date]])</f>
        <v>2024</v>
      </c>
      <c r="C933" s="136">
        <v>5</v>
      </c>
      <c r="D933" s="136">
        <f t="shared" si="51"/>
        <v>18</v>
      </c>
      <c r="E933" s="136">
        <f t="shared" si="52"/>
        <v>2</v>
      </c>
      <c r="F933" s="128" t="s">
        <v>65</v>
      </c>
      <c r="G933" s="128" t="str">
        <f>VLOOKUP(source[[#This Row],[lending_product_transform]],[3]Mapping!$B$4:$C$37,2,0)</f>
        <v>[BE] - Cashloan</v>
      </c>
      <c r="H933" s="128" t="str">
        <f>VLOOKUP(source[[#This Row],[lending_product_transform]],[3]Mapping!$B$3:$D$37,3,0)</f>
        <v>cashloan</v>
      </c>
      <c r="I933" s="135">
        <v>164900000</v>
      </c>
    </row>
    <row r="934" spans="1:9" x14ac:dyDescent="0.2">
      <c r="A934" s="134">
        <v>45415</v>
      </c>
      <c r="B934" s="135">
        <f>YEAR(source[[#This Row],[report_date]])</f>
        <v>2024</v>
      </c>
      <c r="C934" s="136">
        <v>5</v>
      </c>
      <c r="D934" s="136">
        <f t="shared" si="51"/>
        <v>18</v>
      </c>
      <c r="E934" s="136">
        <f t="shared" si="52"/>
        <v>3</v>
      </c>
      <c r="F934" s="128" t="s">
        <v>62</v>
      </c>
      <c r="G934" s="128" t="str">
        <f>VLOOKUP(source[[#This Row],[lending_product_transform]],[3]Mapping!$B$4:$C$37,2,0)</f>
        <v>[VDS] - Paylater</v>
      </c>
      <c r="H934" s="128" t="str">
        <f>VLOOKUP(source[[#This Row],[lending_product_transform]],[3]Mapping!$B$3:$D$37,3,0)</f>
        <v>paylater</v>
      </c>
      <c r="I934" s="135">
        <v>30947121</v>
      </c>
    </row>
    <row r="935" spans="1:9" x14ac:dyDescent="0.2">
      <c r="A935" s="134">
        <v>45415</v>
      </c>
      <c r="B935" s="135">
        <f>YEAR(source[[#This Row],[report_date]])</f>
        <v>2024</v>
      </c>
      <c r="C935" s="136">
        <v>5</v>
      </c>
      <c r="D935" s="136">
        <f t="shared" si="51"/>
        <v>18</v>
      </c>
      <c r="E935" s="136">
        <f t="shared" si="52"/>
        <v>3</v>
      </c>
      <c r="F935" s="128" t="s">
        <v>58</v>
      </c>
      <c r="G935" s="128" t="str">
        <f>VLOOKUP(source[[#This Row],[lending_product_transform]],[3]Mapping!$B$4:$C$37,2,0)</f>
        <v>[VDS] - Payroll Cashloan</v>
      </c>
      <c r="H935" s="128" t="str">
        <f>VLOOKUP(source[[#This Row],[lending_product_transform]],[3]Mapping!$B$3:$D$37,3,0)</f>
        <v>cashloan</v>
      </c>
      <c r="I935" s="135">
        <v>57250000</v>
      </c>
    </row>
    <row r="936" spans="1:9" x14ac:dyDescent="0.2">
      <c r="A936" s="134">
        <v>45415</v>
      </c>
      <c r="B936" s="135">
        <f>YEAR(source[[#This Row],[report_date]])</f>
        <v>2024</v>
      </c>
      <c r="C936" s="136">
        <v>5</v>
      </c>
      <c r="D936" s="136">
        <f t="shared" si="51"/>
        <v>18</v>
      </c>
      <c r="E936" s="136">
        <f t="shared" si="52"/>
        <v>3</v>
      </c>
      <c r="F936" s="128" t="s">
        <v>206</v>
      </c>
      <c r="G936" s="128" t="str">
        <f>VLOOKUP(source[[#This Row],[lending_product_transform]],[3]Mapping!$B$4:$C$37,2,0)</f>
        <v>[NGS] - Cashloan</v>
      </c>
      <c r="H936" s="128" t="str">
        <f>VLOOKUP(source[[#This Row],[lending_product_transform]],[3]Mapping!$B$3:$D$37,3,0)</f>
        <v>cashloan</v>
      </c>
      <c r="I936" s="135">
        <v>75970000</v>
      </c>
    </row>
    <row r="937" spans="1:9" x14ac:dyDescent="0.2">
      <c r="A937" s="134">
        <v>45415</v>
      </c>
      <c r="B937" s="135">
        <f>YEAR(source[[#This Row],[report_date]])</f>
        <v>2024</v>
      </c>
      <c r="C937" s="136">
        <v>5</v>
      </c>
      <c r="D937" s="136">
        <f t="shared" si="51"/>
        <v>18</v>
      </c>
      <c r="E937" s="136">
        <f t="shared" si="52"/>
        <v>3</v>
      </c>
      <c r="F937" s="128" t="s">
        <v>56</v>
      </c>
      <c r="G937" s="128">
        <f>VLOOKUP(source[[#This Row],[lending_product_transform]],[3]Mapping!$B$4:$C$37,2,0)</f>
        <v>0</v>
      </c>
      <c r="H937" s="128">
        <f>VLOOKUP(source[[#This Row],[lending_product_transform]],[3]Mapping!$B$3:$D$37,3,0)</f>
        <v>0</v>
      </c>
      <c r="I937" s="135">
        <v>9854009235</v>
      </c>
    </row>
    <row r="938" spans="1:9" x14ac:dyDescent="0.2">
      <c r="A938" s="134">
        <v>45415</v>
      </c>
      <c r="B938" s="135">
        <f>YEAR(source[[#This Row],[report_date]])</f>
        <v>2024</v>
      </c>
      <c r="C938" s="136">
        <v>5</v>
      </c>
      <c r="D938" s="136">
        <f t="shared" si="51"/>
        <v>18</v>
      </c>
      <c r="E938" s="136">
        <f t="shared" si="52"/>
        <v>3</v>
      </c>
      <c r="F938" s="128" t="s">
        <v>61</v>
      </c>
      <c r="G938" s="128" t="str">
        <f>VLOOKUP(source[[#This Row],[lending_product_transform]],[3]Mapping!$B$4:$C$37,2,0)</f>
        <v>[VDS] - Payroll Payday</v>
      </c>
      <c r="H938" s="128" t="str">
        <f>VLOOKUP(source[[#This Row],[lending_product_transform]],[3]Mapping!$B$3:$D$37,3,0)</f>
        <v>payday</v>
      </c>
      <c r="I938" s="135">
        <v>26000000</v>
      </c>
    </row>
    <row r="939" spans="1:9" x14ac:dyDescent="0.2">
      <c r="A939" s="134">
        <v>45415</v>
      </c>
      <c r="B939" s="135">
        <f>YEAR(source[[#This Row],[report_date]])</f>
        <v>2024</v>
      </c>
      <c r="C939" s="136">
        <v>5</v>
      </c>
      <c r="D939" s="136">
        <f t="shared" si="51"/>
        <v>18</v>
      </c>
      <c r="E939" s="136">
        <f t="shared" si="52"/>
        <v>3</v>
      </c>
      <c r="F939" s="128" t="s">
        <v>238</v>
      </c>
      <c r="G939" s="128" t="str">
        <f>VLOOKUP(source[[#This Row],[lending_product_transform]],[3]Mapping!$B$4:$C$37,2,0)</f>
        <v>[VDS] - Cashloan LP</v>
      </c>
      <c r="H939" s="128" t="str">
        <f>VLOOKUP(source[[#This Row],[lending_product_transform]],[3]Mapping!$B$3:$D$37,3,0)</f>
        <v>cashloan</v>
      </c>
      <c r="I939" s="135">
        <v>0</v>
      </c>
    </row>
    <row r="940" spans="1:9" x14ac:dyDescent="0.2">
      <c r="A940" s="134">
        <v>45415</v>
      </c>
      <c r="B940" s="135">
        <f>YEAR(source[[#This Row],[report_date]])</f>
        <v>2024</v>
      </c>
      <c r="C940" s="136">
        <v>5</v>
      </c>
      <c r="D940" s="136">
        <f t="shared" si="51"/>
        <v>18</v>
      </c>
      <c r="E940" s="136">
        <f t="shared" si="52"/>
        <v>3</v>
      </c>
      <c r="F940" s="128" t="s">
        <v>65</v>
      </c>
      <c r="G940" s="128" t="str">
        <f>VLOOKUP(source[[#This Row],[lending_product_transform]],[3]Mapping!$B$4:$C$37,2,0)</f>
        <v>[BE] - Cashloan</v>
      </c>
      <c r="H940" s="128" t="str">
        <f>VLOOKUP(source[[#This Row],[lending_product_transform]],[3]Mapping!$B$3:$D$37,3,0)</f>
        <v>cashloan</v>
      </c>
      <c r="I940" s="135">
        <v>89300000</v>
      </c>
    </row>
    <row r="941" spans="1:9" x14ac:dyDescent="0.2">
      <c r="A941" s="134">
        <v>45415</v>
      </c>
      <c r="B941" s="135">
        <f>YEAR(source[[#This Row],[report_date]])</f>
        <v>2024</v>
      </c>
      <c r="C941" s="136">
        <v>5</v>
      </c>
      <c r="D941" s="136">
        <f t="shared" si="51"/>
        <v>18</v>
      </c>
      <c r="E941" s="136">
        <f t="shared" si="52"/>
        <v>3</v>
      </c>
      <c r="F941" s="128" t="s">
        <v>67</v>
      </c>
      <c r="G941" s="128" t="str">
        <f>VLOOKUP(source[[#This Row],[lending_product_transform]],[3]Mapping!$B$4:$C$37,2,0)</f>
        <v>[Cake] - Overdraft</v>
      </c>
      <c r="H941" s="128" t="str">
        <f>VLOOKUP(source[[#This Row],[lending_product_transform]],[3]Mapping!$B$3:$D$37,3,0)</f>
        <v>overdraft</v>
      </c>
      <c r="I941" s="135">
        <v>2655142114</v>
      </c>
    </row>
    <row r="942" spans="1:9" x14ac:dyDescent="0.2">
      <c r="A942" s="134">
        <v>45415</v>
      </c>
      <c r="B942" s="135">
        <f>YEAR(source[[#This Row],[report_date]])</f>
        <v>2024</v>
      </c>
      <c r="C942" s="136">
        <v>5</v>
      </c>
      <c r="D942" s="136">
        <f t="shared" si="51"/>
        <v>18</v>
      </c>
      <c r="E942" s="136">
        <f t="shared" si="52"/>
        <v>3</v>
      </c>
      <c r="F942" s="128" t="s">
        <v>11</v>
      </c>
      <c r="G942" s="128" t="str">
        <f>VLOOKUP(source[[#This Row],[lending_product_transform]],[3]Mapping!$B$4:$C$37,2,0)</f>
        <v>[VDS] - Cashloan</v>
      </c>
      <c r="H942" s="128" t="str">
        <f>VLOOKUP(source[[#This Row],[lending_product_transform]],[3]Mapping!$B$3:$D$37,3,0)</f>
        <v>cashloan</v>
      </c>
      <c r="I942" s="135">
        <v>3913900000</v>
      </c>
    </row>
    <row r="943" spans="1:9" x14ac:dyDescent="0.2">
      <c r="A943" s="134">
        <v>45415</v>
      </c>
      <c r="B943" s="135">
        <f>YEAR(source[[#This Row],[report_date]])</f>
        <v>2024</v>
      </c>
      <c r="C943" s="136">
        <v>5</v>
      </c>
      <c r="D943" s="136">
        <f t="shared" si="51"/>
        <v>18</v>
      </c>
      <c r="E943" s="136">
        <f t="shared" si="52"/>
        <v>3</v>
      </c>
      <c r="F943" s="128" t="s">
        <v>19</v>
      </c>
      <c r="G943" s="128" t="str">
        <f>VLOOKUP(source[[#This Row],[lending_product_transform]],[3]Mapping!$B$4:$C$37,2,0)</f>
        <v>[VDS] - Payday</v>
      </c>
      <c r="H943" s="128" t="str">
        <f>VLOOKUP(source[[#This Row],[lending_product_transform]],[3]Mapping!$B$3:$D$37,3,0)</f>
        <v>payday</v>
      </c>
      <c r="I943" s="135">
        <v>3005500000</v>
      </c>
    </row>
    <row r="944" spans="1:9" x14ac:dyDescent="0.2">
      <c r="A944" s="134">
        <v>45416</v>
      </c>
      <c r="B944" s="135">
        <f>YEAR(source[[#This Row],[report_date]])</f>
        <v>2024</v>
      </c>
      <c r="C944" s="136">
        <v>5</v>
      </c>
      <c r="D944" s="136">
        <f t="shared" si="51"/>
        <v>18</v>
      </c>
      <c r="E944" s="136">
        <f t="shared" si="52"/>
        <v>4</v>
      </c>
      <c r="F944" s="128" t="s">
        <v>67</v>
      </c>
      <c r="G944" s="128" t="str">
        <f>VLOOKUP(source[[#This Row],[lending_product_transform]],[3]Mapping!$B$4:$C$37,2,0)</f>
        <v>[Cake] - Overdraft</v>
      </c>
      <c r="H944" s="128" t="str">
        <f>VLOOKUP(source[[#This Row],[lending_product_transform]],[3]Mapping!$B$3:$D$37,3,0)</f>
        <v>overdraft</v>
      </c>
      <c r="I944" s="135">
        <v>2479216421</v>
      </c>
    </row>
    <row r="945" spans="1:9" x14ac:dyDescent="0.2">
      <c r="A945" s="134">
        <v>45416</v>
      </c>
      <c r="B945" s="135">
        <f>YEAR(source[[#This Row],[report_date]])</f>
        <v>2024</v>
      </c>
      <c r="C945" s="136">
        <v>5</v>
      </c>
      <c r="D945" s="136">
        <f t="shared" si="51"/>
        <v>18</v>
      </c>
      <c r="E945" s="136">
        <f t="shared" si="52"/>
        <v>4</v>
      </c>
      <c r="F945" s="128" t="s">
        <v>11</v>
      </c>
      <c r="G945" s="128" t="str">
        <f>VLOOKUP(source[[#This Row],[lending_product_transform]],[3]Mapping!$B$4:$C$37,2,0)</f>
        <v>[VDS] - Cashloan</v>
      </c>
      <c r="H945" s="128" t="str">
        <f>VLOOKUP(source[[#This Row],[lending_product_transform]],[3]Mapping!$B$3:$D$37,3,0)</f>
        <v>cashloan</v>
      </c>
      <c r="I945" s="135">
        <v>3181290000</v>
      </c>
    </row>
    <row r="946" spans="1:9" x14ac:dyDescent="0.2">
      <c r="A946" s="134">
        <v>45416</v>
      </c>
      <c r="B946" s="135">
        <f>YEAR(source[[#This Row],[report_date]])</f>
        <v>2024</v>
      </c>
      <c r="C946" s="136">
        <v>5</v>
      </c>
      <c r="D946" s="136">
        <f t="shared" si="51"/>
        <v>18</v>
      </c>
      <c r="E946" s="136">
        <f t="shared" si="52"/>
        <v>4</v>
      </c>
      <c r="F946" s="128" t="s">
        <v>19</v>
      </c>
      <c r="G946" s="128" t="str">
        <f>VLOOKUP(source[[#This Row],[lending_product_transform]],[3]Mapping!$B$4:$C$37,2,0)</f>
        <v>[VDS] - Payday</v>
      </c>
      <c r="H946" s="128" t="str">
        <f>VLOOKUP(source[[#This Row],[lending_product_transform]],[3]Mapping!$B$3:$D$37,3,0)</f>
        <v>payday</v>
      </c>
      <c r="I946" s="135">
        <v>2776500000</v>
      </c>
    </row>
    <row r="947" spans="1:9" x14ac:dyDescent="0.2">
      <c r="A947" s="134">
        <v>45416</v>
      </c>
      <c r="B947" s="135">
        <f>YEAR(source[[#This Row],[report_date]])</f>
        <v>2024</v>
      </c>
      <c r="C947" s="136">
        <v>5</v>
      </c>
      <c r="D947" s="136">
        <f t="shared" si="51"/>
        <v>18</v>
      </c>
      <c r="E947" s="136">
        <f t="shared" si="52"/>
        <v>4</v>
      </c>
      <c r="F947" s="128" t="s">
        <v>61</v>
      </c>
      <c r="G947" s="128" t="str">
        <f>VLOOKUP(source[[#This Row],[lending_product_transform]],[3]Mapping!$B$4:$C$37,2,0)</f>
        <v>[VDS] - Payroll Payday</v>
      </c>
      <c r="H947" s="128" t="str">
        <f>VLOOKUP(source[[#This Row],[lending_product_transform]],[3]Mapping!$B$3:$D$37,3,0)</f>
        <v>payday</v>
      </c>
      <c r="I947" s="135">
        <v>27000000</v>
      </c>
    </row>
    <row r="948" spans="1:9" x14ac:dyDescent="0.2">
      <c r="A948" s="134">
        <v>45416</v>
      </c>
      <c r="B948" s="135">
        <f>YEAR(source[[#This Row],[report_date]])</f>
        <v>2024</v>
      </c>
      <c r="C948" s="136">
        <v>5</v>
      </c>
      <c r="D948" s="136">
        <f t="shared" si="51"/>
        <v>18</v>
      </c>
      <c r="E948" s="136">
        <f t="shared" si="52"/>
        <v>4</v>
      </c>
      <c r="F948" s="128" t="s">
        <v>58</v>
      </c>
      <c r="G948" s="128" t="str">
        <f>VLOOKUP(source[[#This Row],[lending_product_transform]],[3]Mapping!$B$4:$C$37,2,0)</f>
        <v>[VDS] - Payroll Cashloan</v>
      </c>
      <c r="H948" s="128" t="str">
        <f>VLOOKUP(source[[#This Row],[lending_product_transform]],[3]Mapping!$B$3:$D$37,3,0)</f>
        <v>cashloan</v>
      </c>
      <c r="I948" s="135">
        <v>52000000</v>
      </c>
    </row>
    <row r="949" spans="1:9" x14ac:dyDescent="0.2">
      <c r="A949" s="134">
        <v>45416</v>
      </c>
      <c r="B949" s="135">
        <f>YEAR(source[[#This Row],[report_date]])</f>
        <v>2024</v>
      </c>
      <c r="C949" s="136">
        <v>5</v>
      </c>
      <c r="D949" s="136">
        <f t="shared" si="51"/>
        <v>18</v>
      </c>
      <c r="E949" s="136">
        <f t="shared" si="52"/>
        <v>4</v>
      </c>
      <c r="F949" s="128" t="s">
        <v>65</v>
      </c>
      <c r="G949" s="128" t="str">
        <f>VLOOKUP(source[[#This Row],[lending_product_transform]],[3]Mapping!$B$4:$C$37,2,0)</f>
        <v>[BE] - Cashloan</v>
      </c>
      <c r="H949" s="128" t="str">
        <f>VLOOKUP(source[[#This Row],[lending_product_transform]],[3]Mapping!$B$3:$D$37,3,0)</f>
        <v>cashloan</v>
      </c>
      <c r="I949" s="135">
        <v>73500000</v>
      </c>
    </row>
    <row r="950" spans="1:9" x14ac:dyDescent="0.2">
      <c r="A950" s="134">
        <v>45416</v>
      </c>
      <c r="B950" s="135">
        <f>YEAR(source[[#This Row],[report_date]])</f>
        <v>2024</v>
      </c>
      <c r="C950" s="136">
        <v>5</v>
      </c>
      <c r="D950" s="136">
        <f t="shared" si="51"/>
        <v>18</v>
      </c>
      <c r="E950" s="136">
        <f t="shared" si="52"/>
        <v>4</v>
      </c>
      <c r="F950" s="128" t="s">
        <v>238</v>
      </c>
      <c r="G950" s="128" t="str">
        <f>VLOOKUP(source[[#This Row],[lending_product_transform]],[3]Mapping!$B$4:$C$37,2,0)</f>
        <v>[VDS] - Cashloan LP</v>
      </c>
      <c r="H950" s="128" t="str">
        <f>VLOOKUP(source[[#This Row],[lending_product_transform]],[3]Mapping!$B$3:$D$37,3,0)</f>
        <v>cashloan</v>
      </c>
      <c r="I950" s="135">
        <v>0</v>
      </c>
    </row>
    <row r="951" spans="1:9" x14ac:dyDescent="0.2">
      <c r="A951" s="134">
        <v>45416</v>
      </c>
      <c r="B951" s="135">
        <f>YEAR(source[[#This Row],[report_date]])</f>
        <v>2024</v>
      </c>
      <c r="C951" s="136">
        <v>5</v>
      </c>
      <c r="D951" s="136">
        <f t="shared" si="51"/>
        <v>18</v>
      </c>
      <c r="E951" s="136">
        <f t="shared" si="52"/>
        <v>4</v>
      </c>
      <c r="F951" s="128" t="s">
        <v>56</v>
      </c>
      <c r="G951" s="128">
        <f>VLOOKUP(source[[#This Row],[lending_product_transform]],[3]Mapping!$B$4:$C$37,2,0)</f>
        <v>0</v>
      </c>
      <c r="H951" s="128">
        <f>VLOOKUP(source[[#This Row],[lending_product_transform]],[3]Mapping!$B$3:$D$37,3,0)</f>
        <v>0</v>
      </c>
      <c r="I951" s="135">
        <v>8808524770</v>
      </c>
    </row>
    <row r="952" spans="1:9" x14ac:dyDescent="0.2">
      <c r="A952" s="134">
        <v>45416</v>
      </c>
      <c r="B952" s="135">
        <f>YEAR(source[[#This Row],[report_date]])</f>
        <v>2024</v>
      </c>
      <c r="C952" s="136">
        <v>5</v>
      </c>
      <c r="D952" s="136">
        <f t="shared" si="51"/>
        <v>18</v>
      </c>
      <c r="E952" s="136">
        <f t="shared" si="52"/>
        <v>4</v>
      </c>
      <c r="F952" s="128" t="s">
        <v>206</v>
      </c>
      <c r="G952" s="128" t="str">
        <f>VLOOKUP(source[[#This Row],[lending_product_transform]],[3]Mapping!$B$4:$C$37,2,0)</f>
        <v>[NGS] - Cashloan</v>
      </c>
      <c r="H952" s="128" t="str">
        <f>VLOOKUP(source[[#This Row],[lending_product_transform]],[3]Mapping!$B$3:$D$37,3,0)</f>
        <v>cashloan</v>
      </c>
      <c r="I952" s="135">
        <v>175480000</v>
      </c>
    </row>
    <row r="953" spans="1:9" x14ac:dyDescent="0.2">
      <c r="A953" s="134">
        <v>45416</v>
      </c>
      <c r="B953" s="135">
        <f>YEAR(source[[#This Row],[report_date]])</f>
        <v>2024</v>
      </c>
      <c r="C953" s="136">
        <v>5</v>
      </c>
      <c r="D953" s="136">
        <f t="shared" si="51"/>
        <v>18</v>
      </c>
      <c r="E953" s="136">
        <f t="shared" si="52"/>
        <v>4</v>
      </c>
      <c r="F953" s="128" t="s">
        <v>62</v>
      </c>
      <c r="G953" s="128" t="str">
        <f>VLOOKUP(source[[#This Row],[lending_product_transform]],[3]Mapping!$B$4:$C$37,2,0)</f>
        <v>[VDS] - Paylater</v>
      </c>
      <c r="H953" s="128" t="str">
        <f>VLOOKUP(source[[#This Row],[lending_product_transform]],[3]Mapping!$B$3:$D$37,3,0)</f>
        <v>paylater</v>
      </c>
      <c r="I953" s="135">
        <v>43538349</v>
      </c>
    </row>
    <row r="954" spans="1:9" x14ac:dyDescent="0.2">
      <c r="A954" s="134">
        <v>45417</v>
      </c>
      <c r="B954" s="135">
        <f>YEAR(source[[#This Row],[report_date]])</f>
        <v>2024</v>
      </c>
      <c r="C954" s="136">
        <v>5</v>
      </c>
      <c r="D954" s="136">
        <f t="shared" si="51"/>
        <v>18</v>
      </c>
      <c r="E954" s="136">
        <f t="shared" si="52"/>
        <v>5</v>
      </c>
      <c r="F954" s="128" t="s">
        <v>56</v>
      </c>
      <c r="G954" s="128">
        <f>VLOOKUP(source[[#This Row],[lending_product_transform]],[3]Mapping!$B$4:$C$37,2,0)</f>
        <v>0</v>
      </c>
      <c r="H954" s="128">
        <f>VLOOKUP(source[[#This Row],[lending_product_transform]],[3]Mapping!$B$3:$D$37,3,0)</f>
        <v>0</v>
      </c>
      <c r="I954" s="135">
        <v>7059564904</v>
      </c>
    </row>
    <row r="955" spans="1:9" x14ac:dyDescent="0.2">
      <c r="A955" s="134">
        <v>45417</v>
      </c>
      <c r="B955" s="135">
        <f>YEAR(source[[#This Row],[report_date]])</f>
        <v>2024</v>
      </c>
      <c r="C955" s="136">
        <v>5</v>
      </c>
      <c r="D955" s="136">
        <f t="shared" si="51"/>
        <v>18</v>
      </c>
      <c r="E955" s="136">
        <f t="shared" si="52"/>
        <v>5</v>
      </c>
      <c r="F955" s="128" t="s">
        <v>62</v>
      </c>
      <c r="G955" s="128" t="str">
        <f>VLOOKUP(source[[#This Row],[lending_product_transform]],[3]Mapping!$B$4:$C$37,2,0)</f>
        <v>[VDS] - Paylater</v>
      </c>
      <c r="H955" s="128" t="str">
        <f>VLOOKUP(source[[#This Row],[lending_product_transform]],[3]Mapping!$B$3:$D$37,3,0)</f>
        <v>paylater</v>
      </c>
      <c r="I955" s="135">
        <v>30329010</v>
      </c>
    </row>
    <row r="956" spans="1:9" x14ac:dyDescent="0.2">
      <c r="A956" s="134">
        <v>45417</v>
      </c>
      <c r="B956" s="135">
        <f>YEAR(source[[#This Row],[report_date]])</f>
        <v>2024</v>
      </c>
      <c r="C956" s="136">
        <v>5</v>
      </c>
      <c r="D956" s="136">
        <f t="shared" si="51"/>
        <v>18</v>
      </c>
      <c r="E956" s="136">
        <f t="shared" si="52"/>
        <v>5</v>
      </c>
      <c r="F956" s="128" t="s">
        <v>238</v>
      </c>
      <c r="G956" s="128" t="str">
        <f>VLOOKUP(source[[#This Row],[lending_product_transform]],[3]Mapping!$B$4:$C$37,2,0)</f>
        <v>[VDS] - Cashloan LP</v>
      </c>
      <c r="H956" s="128" t="str">
        <f>VLOOKUP(source[[#This Row],[lending_product_transform]],[3]Mapping!$B$3:$D$37,3,0)</f>
        <v>cashloan</v>
      </c>
      <c r="I956" s="135">
        <v>0</v>
      </c>
    </row>
    <row r="957" spans="1:9" x14ac:dyDescent="0.2">
      <c r="A957" s="134">
        <v>45417</v>
      </c>
      <c r="B957" s="135">
        <f>YEAR(source[[#This Row],[report_date]])</f>
        <v>2024</v>
      </c>
      <c r="C957" s="136">
        <v>5</v>
      </c>
      <c r="D957" s="136">
        <f t="shared" si="51"/>
        <v>18</v>
      </c>
      <c r="E957" s="136">
        <f t="shared" si="52"/>
        <v>5</v>
      </c>
      <c r="F957" s="128" t="s">
        <v>19</v>
      </c>
      <c r="G957" s="128" t="str">
        <f>VLOOKUP(source[[#This Row],[lending_product_transform]],[3]Mapping!$B$4:$C$37,2,0)</f>
        <v>[VDS] - Payday</v>
      </c>
      <c r="H957" s="128" t="str">
        <f>VLOOKUP(source[[#This Row],[lending_product_transform]],[3]Mapping!$B$3:$D$37,3,0)</f>
        <v>payday</v>
      </c>
      <c r="I957" s="135">
        <v>2395000000</v>
      </c>
    </row>
    <row r="958" spans="1:9" x14ac:dyDescent="0.2">
      <c r="A958" s="134">
        <v>45417</v>
      </c>
      <c r="B958" s="135">
        <f>YEAR(source[[#This Row],[report_date]])</f>
        <v>2024</v>
      </c>
      <c r="C958" s="136">
        <v>5</v>
      </c>
      <c r="D958" s="136">
        <f t="shared" si="51"/>
        <v>18</v>
      </c>
      <c r="E958" s="136">
        <f t="shared" si="52"/>
        <v>5</v>
      </c>
      <c r="F958" s="128" t="s">
        <v>58</v>
      </c>
      <c r="G958" s="128" t="str">
        <f>VLOOKUP(source[[#This Row],[lending_product_transform]],[3]Mapping!$B$4:$C$37,2,0)</f>
        <v>[VDS] - Payroll Cashloan</v>
      </c>
      <c r="H958" s="128" t="str">
        <f>VLOOKUP(source[[#This Row],[lending_product_transform]],[3]Mapping!$B$3:$D$37,3,0)</f>
        <v>cashloan</v>
      </c>
      <c r="I958" s="135">
        <v>13650000</v>
      </c>
    </row>
    <row r="959" spans="1:9" x14ac:dyDescent="0.2">
      <c r="A959" s="134">
        <v>45417</v>
      </c>
      <c r="B959" s="135">
        <f>YEAR(source[[#This Row],[report_date]])</f>
        <v>2024</v>
      </c>
      <c r="C959" s="136">
        <v>5</v>
      </c>
      <c r="D959" s="136">
        <f t="shared" si="51"/>
        <v>18</v>
      </c>
      <c r="E959" s="136">
        <f t="shared" si="52"/>
        <v>5</v>
      </c>
      <c r="F959" s="128" t="s">
        <v>65</v>
      </c>
      <c r="G959" s="128" t="str">
        <f>VLOOKUP(source[[#This Row],[lending_product_transform]],[3]Mapping!$B$4:$C$37,2,0)</f>
        <v>[BE] - Cashloan</v>
      </c>
      <c r="H959" s="128" t="str">
        <f>VLOOKUP(source[[#This Row],[lending_product_transform]],[3]Mapping!$B$3:$D$37,3,0)</f>
        <v>cashloan</v>
      </c>
      <c r="I959" s="135">
        <v>69300000</v>
      </c>
    </row>
    <row r="960" spans="1:9" x14ac:dyDescent="0.2">
      <c r="A960" s="134">
        <v>45417</v>
      </c>
      <c r="B960" s="135">
        <f>YEAR(source[[#This Row],[report_date]])</f>
        <v>2024</v>
      </c>
      <c r="C960" s="136">
        <v>5</v>
      </c>
      <c r="D960" s="136">
        <f t="shared" si="51"/>
        <v>18</v>
      </c>
      <c r="E960" s="136">
        <f t="shared" si="52"/>
        <v>5</v>
      </c>
      <c r="F960" s="128" t="s">
        <v>61</v>
      </c>
      <c r="G960" s="128" t="str">
        <f>VLOOKUP(source[[#This Row],[lending_product_transform]],[3]Mapping!$B$4:$C$37,2,0)</f>
        <v>[VDS] - Payroll Payday</v>
      </c>
      <c r="H960" s="128" t="str">
        <f>VLOOKUP(source[[#This Row],[lending_product_transform]],[3]Mapping!$B$3:$D$37,3,0)</f>
        <v>payday</v>
      </c>
      <c r="I960" s="135">
        <v>68000000</v>
      </c>
    </row>
    <row r="961" spans="1:9" x14ac:dyDescent="0.2">
      <c r="A961" s="134">
        <v>45417</v>
      </c>
      <c r="B961" s="135">
        <f>YEAR(source[[#This Row],[report_date]])</f>
        <v>2024</v>
      </c>
      <c r="C961" s="136">
        <v>5</v>
      </c>
      <c r="D961" s="136">
        <f t="shared" si="51"/>
        <v>18</v>
      </c>
      <c r="E961" s="136">
        <f t="shared" si="52"/>
        <v>5</v>
      </c>
      <c r="F961" s="128" t="s">
        <v>206</v>
      </c>
      <c r="G961" s="128" t="str">
        <f>VLOOKUP(source[[#This Row],[lending_product_transform]],[3]Mapping!$B$4:$C$37,2,0)</f>
        <v>[NGS] - Cashloan</v>
      </c>
      <c r="H961" s="128" t="str">
        <f>VLOOKUP(source[[#This Row],[lending_product_transform]],[3]Mapping!$B$3:$D$37,3,0)</f>
        <v>cashloan</v>
      </c>
      <c r="I961" s="135">
        <v>26750000</v>
      </c>
    </row>
    <row r="962" spans="1:9" x14ac:dyDescent="0.2">
      <c r="A962" s="134">
        <v>45417</v>
      </c>
      <c r="B962" s="135">
        <f>YEAR(source[[#This Row],[report_date]])</f>
        <v>2024</v>
      </c>
      <c r="C962" s="136">
        <v>5</v>
      </c>
      <c r="D962" s="136">
        <f t="shared" si="51"/>
        <v>18</v>
      </c>
      <c r="E962" s="136">
        <f t="shared" si="52"/>
        <v>5</v>
      </c>
      <c r="F962" s="128" t="s">
        <v>11</v>
      </c>
      <c r="G962" s="128" t="str">
        <f>VLOOKUP(source[[#This Row],[lending_product_transform]],[3]Mapping!$B$4:$C$37,2,0)</f>
        <v>[VDS] - Cashloan</v>
      </c>
      <c r="H962" s="128" t="str">
        <f>VLOOKUP(source[[#This Row],[lending_product_transform]],[3]Mapping!$B$3:$D$37,3,0)</f>
        <v>cashloan</v>
      </c>
      <c r="I962" s="135">
        <v>2410780000</v>
      </c>
    </row>
    <row r="963" spans="1:9" x14ac:dyDescent="0.2">
      <c r="A963" s="134">
        <v>45417</v>
      </c>
      <c r="B963" s="135">
        <f>YEAR(source[[#This Row],[report_date]])</f>
        <v>2024</v>
      </c>
      <c r="C963" s="136">
        <v>5</v>
      </c>
      <c r="D963" s="136">
        <f t="shared" ref="D963:D1026" si="53">WEEKNUM(A963,2)</f>
        <v>18</v>
      </c>
      <c r="E963" s="136">
        <f t="shared" ref="E963:E1026" si="54">DAY(A963)</f>
        <v>5</v>
      </c>
      <c r="F963" s="128" t="s">
        <v>67</v>
      </c>
      <c r="G963" s="128" t="str">
        <f>VLOOKUP(source[[#This Row],[lending_product_transform]],[3]Mapping!$B$4:$C$37,2,0)</f>
        <v>[Cake] - Overdraft</v>
      </c>
      <c r="H963" s="128" t="str">
        <f>VLOOKUP(source[[#This Row],[lending_product_transform]],[3]Mapping!$B$3:$D$37,3,0)</f>
        <v>overdraft</v>
      </c>
      <c r="I963" s="135">
        <v>2045755894</v>
      </c>
    </row>
    <row r="964" spans="1:9" x14ac:dyDescent="0.2">
      <c r="A964" s="134">
        <v>45418</v>
      </c>
      <c r="B964" s="135">
        <f>YEAR(source[[#This Row],[report_date]])</f>
        <v>2024</v>
      </c>
      <c r="C964" s="136">
        <v>5</v>
      </c>
      <c r="D964" s="136">
        <f t="shared" si="53"/>
        <v>19</v>
      </c>
      <c r="E964" s="136">
        <f t="shared" si="54"/>
        <v>6</v>
      </c>
      <c r="F964" s="128" t="s">
        <v>206</v>
      </c>
      <c r="G964" s="128" t="str">
        <f>VLOOKUP(source[[#This Row],[lending_product_transform]],[3]Mapping!$B$4:$C$37,2,0)</f>
        <v>[NGS] - Cashloan</v>
      </c>
      <c r="H964" s="128" t="str">
        <f>VLOOKUP(source[[#This Row],[lending_product_transform]],[3]Mapping!$B$3:$D$37,3,0)</f>
        <v>cashloan</v>
      </c>
      <c r="I964" s="135">
        <v>222560000</v>
      </c>
    </row>
    <row r="965" spans="1:9" x14ac:dyDescent="0.2">
      <c r="A965" s="134">
        <v>45418</v>
      </c>
      <c r="B965" s="135">
        <f>YEAR(source[[#This Row],[report_date]])</f>
        <v>2024</v>
      </c>
      <c r="C965" s="136">
        <v>5</v>
      </c>
      <c r="D965" s="136">
        <f t="shared" si="53"/>
        <v>19</v>
      </c>
      <c r="E965" s="136">
        <f t="shared" si="54"/>
        <v>6</v>
      </c>
      <c r="F965" s="128" t="s">
        <v>65</v>
      </c>
      <c r="G965" s="128" t="str">
        <f>VLOOKUP(source[[#This Row],[lending_product_transform]],[3]Mapping!$B$4:$C$37,2,0)</f>
        <v>[BE] - Cashloan</v>
      </c>
      <c r="H965" s="128" t="str">
        <f>VLOOKUP(source[[#This Row],[lending_product_transform]],[3]Mapping!$B$3:$D$37,3,0)</f>
        <v>cashloan</v>
      </c>
      <c r="I965" s="135">
        <v>152250000</v>
      </c>
    </row>
    <row r="966" spans="1:9" x14ac:dyDescent="0.2">
      <c r="A966" s="134">
        <v>45418</v>
      </c>
      <c r="B966" s="135">
        <f>YEAR(source[[#This Row],[report_date]])</f>
        <v>2024</v>
      </c>
      <c r="C966" s="136">
        <v>5</v>
      </c>
      <c r="D966" s="136">
        <f t="shared" si="53"/>
        <v>19</v>
      </c>
      <c r="E966" s="136">
        <f t="shared" si="54"/>
        <v>6</v>
      </c>
      <c r="F966" s="128" t="s">
        <v>67</v>
      </c>
      <c r="G966" s="128" t="str">
        <f>VLOOKUP(source[[#This Row],[lending_product_transform]],[3]Mapping!$B$4:$C$37,2,0)</f>
        <v>[Cake] - Overdraft</v>
      </c>
      <c r="H966" s="128" t="str">
        <f>VLOOKUP(source[[#This Row],[lending_product_transform]],[3]Mapping!$B$3:$D$37,3,0)</f>
        <v>overdraft</v>
      </c>
      <c r="I966" s="135">
        <v>2396624435</v>
      </c>
    </row>
    <row r="967" spans="1:9" x14ac:dyDescent="0.2">
      <c r="A967" s="134">
        <v>45418</v>
      </c>
      <c r="B967" s="135">
        <f>YEAR(source[[#This Row],[report_date]])</f>
        <v>2024</v>
      </c>
      <c r="C967" s="136">
        <v>5</v>
      </c>
      <c r="D967" s="136">
        <f t="shared" si="53"/>
        <v>19</v>
      </c>
      <c r="E967" s="136">
        <f t="shared" si="54"/>
        <v>6</v>
      </c>
      <c r="F967" s="128" t="s">
        <v>58</v>
      </c>
      <c r="G967" s="128" t="str">
        <f>VLOOKUP(source[[#This Row],[lending_product_transform]],[3]Mapping!$B$4:$C$37,2,0)</f>
        <v>[VDS] - Payroll Cashloan</v>
      </c>
      <c r="H967" s="128" t="str">
        <f>VLOOKUP(source[[#This Row],[lending_product_transform]],[3]Mapping!$B$3:$D$37,3,0)</f>
        <v>cashloan</v>
      </c>
      <c r="I967" s="135">
        <v>161750000</v>
      </c>
    </row>
    <row r="968" spans="1:9" x14ac:dyDescent="0.2">
      <c r="A968" s="134">
        <v>45418</v>
      </c>
      <c r="B968" s="135">
        <f>YEAR(source[[#This Row],[report_date]])</f>
        <v>2024</v>
      </c>
      <c r="C968" s="136">
        <v>5</v>
      </c>
      <c r="D968" s="136">
        <f t="shared" si="53"/>
        <v>19</v>
      </c>
      <c r="E968" s="136">
        <f t="shared" si="54"/>
        <v>6</v>
      </c>
      <c r="F968" s="128" t="s">
        <v>61</v>
      </c>
      <c r="G968" s="128" t="str">
        <f>VLOOKUP(source[[#This Row],[lending_product_transform]],[3]Mapping!$B$4:$C$37,2,0)</f>
        <v>[VDS] - Payroll Payday</v>
      </c>
      <c r="H968" s="128" t="str">
        <f>VLOOKUP(source[[#This Row],[lending_product_transform]],[3]Mapping!$B$3:$D$37,3,0)</f>
        <v>payday</v>
      </c>
      <c r="I968" s="135">
        <v>57000000</v>
      </c>
    </row>
    <row r="969" spans="1:9" x14ac:dyDescent="0.2">
      <c r="A969" s="134">
        <v>45418</v>
      </c>
      <c r="B969" s="135">
        <f>YEAR(source[[#This Row],[report_date]])</f>
        <v>2024</v>
      </c>
      <c r="C969" s="136">
        <v>5</v>
      </c>
      <c r="D969" s="136">
        <f t="shared" si="53"/>
        <v>19</v>
      </c>
      <c r="E969" s="136">
        <f t="shared" si="54"/>
        <v>6</v>
      </c>
      <c r="F969" s="128" t="s">
        <v>62</v>
      </c>
      <c r="G969" s="128" t="str">
        <f>VLOOKUP(source[[#This Row],[lending_product_transform]],[3]Mapping!$B$4:$C$37,2,0)</f>
        <v>[VDS] - Paylater</v>
      </c>
      <c r="H969" s="128" t="str">
        <f>VLOOKUP(source[[#This Row],[lending_product_transform]],[3]Mapping!$B$3:$D$37,3,0)</f>
        <v>paylater</v>
      </c>
      <c r="I969" s="135">
        <v>32361625</v>
      </c>
    </row>
    <row r="970" spans="1:9" x14ac:dyDescent="0.2">
      <c r="A970" s="134">
        <v>45418</v>
      </c>
      <c r="B970" s="135">
        <f>YEAR(source[[#This Row],[report_date]])</f>
        <v>2024</v>
      </c>
      <c r="C970" s="136">
        <v>5</v>
      </c>
      <c r="D970" s="136">
        <f t="shared" si="53"/>
        <v>19</v>
      </c>
      <c r="E970" s="136">
        <f t="shared" si="54"/>
        <v>6</v>
      </c>
      <c r="F970" s="128" t="s">
        <v>56</v>
      </c>
      <c r="G970" s="128">
        <f>VLOOKUP(source[[#This Row],[lending_product_transform]],[3]Mapping!$B$4:$C$37,2,0)</f>
        <v>0</v>
      </c>
      <c r="H970" s="128">
        <f>VLOOKUP(source[[#This Row],[lending_product_transform]],[3]Mapping!$B$3:$D$37,3,0)</f>
        <v>0</v>
      </c>
      <c r="I970" s="135">
        <v>10405976060</v>
      </c>
    </row>
    <row r="971" spans="1:9" x14ac:dyDescent="0.2">
      <c r="A971" s="134">
        <v>45418</v>
      </c>
      <c r="B971" s="135">
        <f>YEAR(source[[#This Row],[report_date]])</f>
        <v>2024</v>
      </c>
      <c r="C971" s="136">
        <v>5</v>
      </c>
      <c r="D971" s="136">
        <f t="shared" si="53"/>
        <v>19</v>
      </c>
      <c r="E971" s="136">
        <f t="shared" si="54"/>
        <v>6</v>
      </c>
      <c r="F971" s="128" t="s">
        <v>238</v>
      </c>
      <c r="G971" s="128" t="str">
        <f>VLOOKUP(source[[#This Row],[lending_product_transform]],[3]Mapping!$B$4:$C$37,2,0)</f>
        <v>[VDS] - Cashloan LP</v>
      </c>
      <c r="H971" s="128" t="str">
        <f>VLOOKUP(source[[#This Row],[lending_product_transform]],[3]Mapping!$B$3:$D$37,3,0)</f>
        <v>cashloan</v>
      </c>
      <c r="I971" s="135">
        <v>0</v>
      </c>
    </row>
    <row r="972" spans="1:9" x14ac:dyDescent="0.2">
      <c r="A972" s="134">
        <v>45418</v>
      </c>
      <c r="B972" s="135">
        <f>YEAR(source[[#This Row],[report_date]])</f>
        <v>2024</v>
      </c>
      <c r="C972" s="136">
        <v>5</v>
      </c>
      <c r="D972" s="136">
        <f t="shared" si="53"/>
        <v>19</v>
      </c>
      <c r="E972" s="136">
        <f t="shared" si="54"/>
        <v>6</v>
      </c>
      <c r="F972" s="128" t="s">
        <v>19</v>
      </c>
      <c r="G972" s="128" t="str">
        <f>VLOOKUP(source[[#This Row],[lending_product_transform]],[3]Mapping!$B$4:$C$37,2,0)</f>
        <v>[VDS] - Payday</v>
      </c>
      <c r="H972" s="128" t="str">
        <f>VLOOKUP(source[[#This Row],[lending_product_transform]],[3]Mapping!$B$3:$D$37,3,0)</f>
        <v>payday</v>
      </c>
      <c r="I972" s="135">
        <v>3299500000</v>
      </c>
    </row>
    <row r="973" spans="1:9" x14ac:dyDescent="0.2">
      <c r="A973" s="134">
        <v>45418</v>
      </c>
      <c r="B973" s="135">
        <f>YEAR(source[[#This Row],[report_date]])</f>
        <v>2024</v>
      </c>
      <c r="C973" s="136">
        <v>5</v>
      </c>
      <c r="D973" s="136">
        <f t="shared" si="53"/>
        <v>19</v>
      </c>
      <c r="E973" s="136">
        <f t="shared" si="54"/>
        <v>6</v>
      </c>
      <c r="F973" s="128" t="s">
        <v>11</v>
      </c>
      <c r="G973" s="128" t="str">
        <f>VLOOKUP(source[[#This Row],[lending_product_transform]],[3]Mapping!$B$4:$C$37,2,0)</f>
        <v>[VDS] - Cashloan</v>
      </c>
      <c r="H973" s="128" t="str">
        <f>VLOOKUP(source[[#This Row],[lending_product_transform]],[3]Mapping!$B$3:$D$37,3,0)</f>
        <v>cashloan</v>
      </c>
      <c r="I973" s="135">
        <v>4083930000</v>
      </c>
    </row>
    <row r="974" spans="1:9" x14ac:dyDescent="0.2">
      <c r="A974" s="134">
        <v>45419</v>
      </c>
      <c r="B974" s="135">
        <f>YEAR(source[[#This Row],[report_date]])</f>
        <v>2024</v>
      </c>
      <c r="C974" s="136">
        <v>5</v>
      </c>
      <c r="D974" s="136">
        <f t="shared" si="53"/>
        <v>19</v>
      </c>
      <c r="E974" s="136">
        <f t="shared" si="54"/>
        <v>7</v>
      </c>
      <c r="F974" s="128" t="s">
        <v>11</v>
      </c>
      <c r="G974" s="128" t="str">
        <f>VLOOKUP(source[[#This Row],[lending_product_transform]],[3]Mapping!$B$4:$C$37,2,0)</f>
        <v>[VDS] - Cashloan</v>
      </c>
      <c r="H974" s="128" t="str">
        <f>VLOOKUP(source[[#This Row],[lending_product_transform]],[3]Mapping!$B$3:$D$37,3,0)</f>
        <v>cashloan</v>
      </c>
      <c r="I974" s="135">
        <v>4381160000</v>
      </c>
    </row>
    <row r="975" spans="1:9" x14ac:dyDescent="0.2">
      <c r="A975" s="134">
        <v>45419</v>
      </c>
      <c r="B975" s="135">
        <f>YEAR(source[[#This Row],[report_date]])</f>
        <v>2024</v>
      </c>
      <c r="C975" s="136">
        <v>5</v>
      </c>
      <c r="D975" s="136">
        <f t="shared" si="53"/>
        <v>19</v>
      </c>
      <c r="E975" s="136">
        <f t="shared" si="54"/>
        <v>7</v>
      </c>
      <c r="F975" s="128" t="s">
        <v>238</v>
      </c>
      <c r="G975" s="128" t="str">
        <f>VLOOKUP(source[[#This Row],[lending_product_transform]],[3]Mapping!$B$4:$C$37,2,0)</f>
        <v>[VDS] - Cashloan LP</v>
      </c>
      <c r="H975" s="128" t="str">
        <f>VLOOKUP(source[[#This Row],[lending_product_transform]],[3]Mapping!$B$3:$D$37,3,0)</f>
        <v>cashloan</v>
      </c>
      <c r="I975" s="135">
        <v>16050000</v>
      </c>
    </row>
    <row r="976" spans="1:9" x14ac:dyDescent="0.2">
      <c r="A976" s="134">
        <v>45419</v>
      </c>
      <c r="B976" s="135">
        <f>YEAR(source[[#This Row],[report_date]])</f>
        <v>2024</v>
      </c>
      <c r="C976" s="136">
        <v>5</v>
      </c>
      <c r="D976" s="136">
        <f t="shared" si="53"/>
        <v>19</v>
      </c>
      <c r="E976" s="136">
        <f t="shared" si="54"/>
        <v>7</v>
      </c>
      <c r="F976" s="128" t="s">
        <v>206</v>
      </c>
      <c r="G976" s="128" t="str">
        <f>VLOOKUP(source[[#This Row],[lending_product_transform]],[3]Mapping!$B$4:$C$37,2,0)</f>
        <v>[NGS] - Cashloan</v>
      </c>
      <c r="H976" s="128" t="str">
        <f>VLOOKUP(source[[#This Row],[lending_product_transform]],[3]Mapping!$B$3:$D$37,3,0)</f>
        <v>cashloan</v>
      </c>
      <c r="I976" s="135">
        <v>128400000</v>
      </c>
    </row>
    <row r="977" spans="1:9" x14ac:dyDescent="0.2">
      <c r="A977" s="134">
        <v>45419</v>
      </c>
      <c r="B977" s="135">
        <f>YEAR(source[[#This Row],[report_date]])</f>
        <v>2024</v>
      </c>
      <c r="C977" s="136">
        <v>5</v>
      </c>
      <c r="D977" s="136">
        <f t="shared" si="53"/>
        <v>19</v>
      </c>
      <c r="E977" s="136">
        <f t="shared" si="54"/>
        <v>7</v>
      </c>
      <c r="F977" s="128" t="s">
        <v>65</v>
      </c>
      <c r="G977" s="128" t="str">
        <f>VLOOKUP(source[[#This Row],[lending_product_transform]],[3]Mapping!$B$4:$C$37,2,0)</f>
        <v>[BE] - Cashloan</v>
      </c>
      <c r="H977" s="128" t="str">
        <f>VLOOKUP(source[[#This Row],[lending_product_transform]],[3]Mapping!$B$3:$D$37,3,0)</f>
        <v>cashloan</v>
      </c>
      <c r="I977" s="135">
        <v>142100000</v>
      </c>
    </row>
    <row r="978" spans="1:9" x14ac:dyDescent="0.2">
      <c r="A978" s="134">
        <v>45419</v>
      </c>
      <c r="B978" s="135">
        <f>YEAR(source[[#This Row],[report_date]])</f>
        <v>2024</v>
      </c>
      <c r="C978" s="136">
        <v>5</v>
      </c>
      <c r="D978" s="136">
        <f t="shared" si="53"/>
        <v>19</v>
      </c>
      <c r="E978" s="136">
        <f t="shared" si="54"/>
        <v>7</v>
      </c>
      <c r="F978" s="128" t="s">
        <v>56</v>
      </c>
      <c r="G978" s="128">
        <f>VLOOKUP(source[[#This Row],[lending_product_transform]],[3]Mapping!$B$4:$C$37,2,0)</f>
        <v>0</v>
      </c>
      <c r="H978" s="128">
        <f>VLOOKUP(source[[#This Row],[lending_product_transform]],[3]Mapping!$B$3:$D$37,3,0)</f>
        <v>0</v>
      </c>
      <c r="I978" s="135">
        <v>9365394251</v>
      </c>
    </row>
    <row r="979" spans="1:9" x14ac:dyDescent="0.2">
      <c r="A979" s="134">
        <v>45419</v>
      </c>
      <c r="B979" s="135">
        <f>YEAR(source[[#This Row],[report_date]])</f>
        <v>2024</v>
      </c>
      <c r="C979" s="136">
        <v>5</v>
      </c>
      <c r="D979" s="136">
        <f t="shared" si="53"/>
        <v>19</v>
      </c>
      <c r="E979" s="136">
        <f t="shared" si="54"/>
        <v>7</v>
      </c>
      <c r="F979" s="128" t="s">
        <v>67</v>
      </c>
      <c r="G979" s="128" t="str">
        <f>VLOOKUP(source[[#This Row],[lending_product_transform]],[3]Mapping!$B$4:$C$37,2,0)</f>
        <v>[Cake] - Overdraft</v>
      </c>
      <c r="H979" s="128" t="str">
        <f>VLOOKUP(source[[#This Row],[lending_product_transform]],[3]Mapping!$B$3:$D$37,3,0)</f>
        <v>overdraft</v>
      </c>
      <c r="I979" s="135">
        <v>1822966158</v>
      </c>
    </row>
    <row r="980" spans="1:9" x14ac:dyDescent="0.2">
      <c r="A980" s="134">
        <v>45419</v>
      </c>
      <c r="B980" s="135">
        <f>YEAR(source[[#This Row],[report_date]])</f>
        <v>2024</v>
      </c>
      <c r="C980" s="136">
        <v>5</v>
      </c>
      <c r="D980" s="136">
        <f t="shared" si="53"/>
        <v>19</v>
      </c>
      <c r="E980" s="136">
        <f t="shared" si="54"/>
        <v>7</v>
      </c>
      <c r="F980" s="128" t="s">
        <v>61</v>
      </c>
      <c r="G980" s="128" t="str">
        <f>VLOOKUP(source[[#This Row],[lending_product_transform]],[3]Mapping!$B$4:$C$37,2,0)</f>
        <v>[VDS] - Payroll Payday</v>
      </c>
      <c r="H980" s="128" t="str">
        <f>VLOOKUP(source[[#This Row],[lending_product_transform]],[3]Mapping!$B$3:$D$37,3,0)</f>
        <v>payday</v>
      </c>
      <c r="I980" s="135">
        <v>38000000</v>
      </c>
    </row>
    <row r="981" spans="1:9" x14ac:dyDescent="0.2">
      <c r="A981" s="134">
        <v>45419</v>
      </c>
      <c r="B981" s="135">
        <f>YEAR(source[[#This Row],[report_date]])</f>
        <v>2024</v>
      </c>
      <c r="C981" s="136">
        <v>5</v>
      </c>
      <c r="D981" s="136">
        <f t="shared" si="53"/>
        <v>19</v>
      </c>
      <c r="E981" s="136">
        <f t="shared" si="54"/>
        <v>7</v>
      </c>
      <c r="F981" s="128" t="s">
        <v>62</v>
      </c>
      <c r="G981" s="128" t="str">
        <f>VLOOKUP(source[[#This Row],[lending_product_transform]],[3]Mapping!$B$4:$C$37,2,0)</f>
        <v>[VDS] - Paylater</v>
      </c>
      <c r="H981" s="128" t="str">
        <f>VLOOKUP(source[[#This Row],[lending_product_transform]],[3]Mapping!$B$3:$D$37,3,0)</f>
        <v>paylater</v>
      </c>
      <c r="I981" s="135">
        <v>28668093</v>
      </c>
    </row>
    <row r="982" spans="1:9" x14ac:dyDescent="0.2">
      <c r="A982" s="134">
        <v>45419</v>
      </c>
      <c r="B982" s="135">
        <f>YEAR(source[[#This Row],[report_date]])</f>
        <v>2024</v>
      </c>
      <c r="C982" s="136">
        <v>5</v>
      </c>
      <c r="D982" s="136">
        <f t="shared" si="53"/>
        <v>19</v>
      </c>
      <c r="E982" s="136">
        <f t="shared" si="54"/>
        <v>7</v>
      </c>
      <c r="F982" s="128" t="s">
        <v>19</v>
      </c>
      <c r="G982" s="128" t="str">
        <f>VLOOKUP(source[[#This Row],[lending_product_transform]],[3]Mapping!$B$4:$C$37,2,0)</f>
        <v>[VDS] - Payday</v>
      </c>
      <c r="H982" s="128" t="str">
        <f>VLOOKUP(source[[#This Row],[lending_product_transform]],[3]Mapping!$B$3:$D$37,3,0)</f>
        <v>payday</v>
      </c>
      <c r="I982" s="135">
        <v>2712500000</v>
      </c>
    </row>
    <row r="983" spans="1:9" x14ac:dyDescent="0.2">
      <c r="A983" s="134">
        <v>45419</v>
      </c>
      <c r="B983" s="135">
        <f>YEAR(source[[#This Row],[report_date]])</f>
        <v>2024</v>
      </c>
      <c r="C983" s="136">
        <v>5</v>
      </c>
      <c r="D983" s="136">
        <f t="shared" si="53"/>
        <v>19</v>
      </c>
      <c r="E983" s="136">
        <f t="shared" si="54"/>
        <v>7</v>
      </c>
      <c r="F983" s="128" t="s">
        <v>58</v>
      </c>
      <c r="G983" s="128" t="str">
        <f>VLOOKUP(source[[#This Row],[lending_product_transform]],[3]Mapping!$B$4:$C$37,2,0)</f>
        <v>[VDS] - Payroll Cashloan</v>
      </c>
      <c r="H983" s="128" t="str">
        <f>VLOOKUP(source[[#This Row],[lending_product_transform]],[3]Mapping!$B$3:$D$37,3,0)</f>
        <v>cashloan</v>
      </c>
      <c r="I983" s="135">
        <v>95550000</v>
      </c>
    </row>
    <row r="984" spans="1:9" x14ac:dyDescent="0.2">
      <c r="A984" s="134">
        <v>45420</v>
      </c>
      <c r="B984" s="135">
        <f>YEAR(source[[#This Row],[report_date]])</f>
        <v>2024</v>
      </c>
      <c r="C984" s="136">
        <v>5</v>
      </c>
      <c r="D984" s="136">
        <f t="shared" si="53"/>
        <v>19</v>
      </c>
      <c r="E984" s="136">
        <f t="shared" si="54"/>
        <v>8</v>
      </c>
      <c r="F984" s="128" t="s">
        <v>11</v>
      </c>
      <c r="G984" s="128" t="str">
        <f>VLOOKUP(source[[#This Row],[lending_product_transform]],[3]Mapping!$B$4:$C$37,2,0)</f>
        <v>[VDS] - Cashloan</v>
      </c>
      <c r="H984" s="128" t="str">
        <f>VLOOKUP(source[[#This Row],[lending_product_transform]],[3]Mapping!$B$3:$D$37,3,0)</f>
        <v>cashloan</v>
      </c>
      <c r="I984" s="135">
        <v>4063820000</v>
      </c>
    </row>
    <row r="985" spans="1:9" x14ac:dyDescent="0.2">
      <c r="A985" s="134">
        <v>45420</v>
      </c>
      <c r="B985" s="135">
        <f>YEAR(source[[#This Row],[report_date]])</f>
        <v>2024</v>
      </c>
      <c r="C985" s="136">
        <v>5</v>
      </c>
      <c r="D985" s="136">
        <f t="shared" si="53"/>
        <v>19</v>
      </c>
      <c r="E985" s="136">
        <f t="shared" si="54"/>
        <v>8</v>
      </c>
      <c r="F985" s="128" t="s">
        <v>19</v>
      </c>
      <c r="G985" s="128" t="str">
        <f>VLOOKUP(source[[#This Row],[lending_product_transform]],[3]Mapping!$B$4:$C$37,2,0)</f>
        <v>[VDS] - Payday</v>
      </c>
      <c r="H985" s="128" t="str">
        <f>VLOOKUP(source[[#This Row],[lending_product_transform]],[3]Mapping!$B$3:$D$37,3,0)</f>
        <v>payday</v>
      </c>
      <c r="I985" s="135">
        <v>2272500000</v>
      </c>
    </row>
    <row r="986" spans="1:9" x14ac:dyDescent="0.2">
      <c r="A986" s="134">
        <v>45420</v>
      </c>
      <c r="B986" s="135">
        <f>YEAR(source[[#This Row],[report_date]])</f>
        <v>2024</v>
      </c>
      <c r="C986" s="136">
        <v>5</v>
      </c>
      <c r="D986" s="136">
        <f t="shared" si="53"/>
        <v>19</v>
      </c>
      <c r="E986" s="136">
        <f t="shared" si="54"/>
        <v>8</v>
      </c>
      <c r="F986" s="128" t="s">
        <v>67</v>
      </c>
      <c r="G986" s="128" t="str">
        <f>VLOOKUP(source[[#This Row],[lending_product_transform]],[3]Mapping!$B$4:$C$37,2,0)</f>
        <v>[Cake] - Overdraft</v>
      </c>
      <c r="H986" s="128" t="str">
        <f>VLOOKUP(source[[#This Row],[lending_product_transform]],[3]Mapping!$B$3:$D$37,3,0)</f>
        <v>overdraft</v>
      </c>
      <c r="I986" s="135">
        <v>2368109740</v>
      </c>
    </row>
    <row r="987" spans="1:9" x14ac:dyDescent="0.2">
      <c r="A987" s="134">
        <v>45420</v>
      </c>
      <c r="B987" s="135">
        <f>YEAR(source[[#This Row],[report_date]])</f>
        <v>2024</v>
      </c>
      <c r="C987" s="136">
        <v>5</v>
      </c>
      <c r="D987" s="136">
        <f t="shared" si="53"/>
        <v>19</v>
      </c>
      <c r="E987" s="136">
        <f t="shared" si="54"/>
        <v>8</v>
      </c>
      <c r="F987" s="128" t="s">
        <v>206</v>
      </c>
      <c r="G987" s="128" t="str">
        <f>VLOOKUP(source[[#This Row],[lending_product_transform]],[3]Mapping!$B$4:$C$37,2,0)</f>
        <v>[NGS] - Cashloan</v>
      </c>
      <c r="H987" s="128" t="str">
        <f>VLOOKUP(source[[#This Row],[lending_product_transform]],[3]Mapping!$B$3:$D$37,3,0)</f>
        <v>cashloan</v>
      </c>
      <c r="I987" s="135">
        <v>151940000</v>
      </c>
    </row>
    <row r="988" spans="1:9" x14ac:dyDescent="0.2">
      <c r="A988" s="134">
        <v>45420</v>
      </c>
      <c r="B988" s="135">
        <f>YEAR(source[[#This Row],[report_date]])</f>
        <v>2024</v>
      </c>
      <c r="C988" s="136">
        <v>5</v>
      </c>
      <c r="D988" s="136">
        <f t="shared" si="53"/>
        <v>19</v>
      </c>
      <c r="E988" s="136">
        <f t="shared" si="54"/>
        <v>8</v>
      </c>
      <c r="F988" s="128" t="s">
        <v>62</v>
      </c>
      <c r="G988" s="128" t="str">
        <f>VLOOKUP(source[[#This Row],[lending_product_transform]],[3]Mapping!$B$4:$C$37,2,0)</f>
        <v>[VDS] - Paylater</v>
      </c>
      <c r="H988" s="128" t="str">
        <f>VLOOKUP(source[[#This Row],[lending_product_transform]],[3]Mapping!$B$3:$D$37,3,0)</f>
        <v>paylater</v>
      </c>
      <c r="I988" s="135">
        <v>30583491</v>
      </c>
    </row>
    <row r="989" spans="1:9" x14ac:dyDescent="0.2">
      <c r="A989" s="134">
        <v>45420</v>
      </c>
      <c r="B989" s="135">
        <f>YEAR(source[[#This Row],[report_date]])</f>
        <v>2024</v>
      </c>
      <c r="C989" s="136">
        <v>5</v>
      </c>
      <c r="D989" s="136">
        <f t="shared" si="53"/>
        <v>19</v>
      </c>
      <c r="E989" s="136">
        <f t="shared" si="54"/>
        <v>8</v>
      </c>
      <c r="F989" s="128" t="s">
        <v>56</v>
      </c>
      <c r="G989" s="128">
        <f>VLOOKUP(source[[#This Row],[lending_product_transform]],[3]Mapping!$B$4:$C$37,2,0)</f>
        <v>0</v>
      </c>
      <c r="H989" s="128">
        <f>VLOOKUP(source[[#This Row],[lending_product_transform]],[3]Mapping!$B$3:$D$37,3,0)</f>
        <v>0</v>
      </c>
      <c r="I989" s="135">
        <v>9106913231</v>
      </c>
    </row>
    <row r="990" spans="1:9" x14ac:dyDescent="0.2">
      <c r="A990" s="134">
        <v>45420</v>
      </c>
      <c r="B990" s="135">
        <f>YEAR(source[[#This Row],[report_date]])</f>
        <v>2024</v>
      </c>
      <c r="C990" s="136">
        <v>5</v>
      </c>
      <c r="D990" s="136">
        <f t="shared" si="53"/>
        <v>19</v>
      </c>
      <c r="E990" s="136">
        <f t="shared" si="54"/>
        <v>8</v>
      </c>
      <c r="F990" s="128" t="s">
        <v>61</v>
      </c>
      <c r="G990" s="128" t="str">
        <f>VLOOKUP(source[[#This Row],[lending_product_transform]],[3]Mapping!$B$4:$C$37,2,0)</f>
        <v>[VDS] - Payroll Payday</v>
      </c>
      <c r="H990" s="128" t="str">
        <f>VLOOKUP(source[[#This Row],[lending_product_transform]],[3]Mapping!$B$3:$D$37,3,0)</f>
        <v>payday</v>
      </c>
      <c r="I990" s="135">
        <v>14000000</v>
      </c>
    </row>
    <row r="991" spans="1:9" x14ac:dyDescent="0.2">
      <c r="A991" s="134">
        <v>45420</v>
      </c>
      <c r="B991" s="135">
        <f>YEAR(source[[#This Row],[report_date]])</f>
        <v>2024</v>
      </c>
      <c r="C991" s="136">
        <v>5</v>
      </c>
      <c r="D991" s="136">
        <f t="shared" si="53"/>
        <v>19</v>
      </c>
      <c r="E991" s="136">
        <f t="shared" si="54"/>
        <v>8</v>
      </c>
      <c r="F991" s="128" t="s">
        <v>238</v>
      </c>
      <c r="G991" s="128" t="str">
        <f>VLOOKUP(source[[#This Row],[lending_product_transform]],[3]Mapping!$B$4:$C$37,2,0)</f>
        <v>[VDS] - Cashloan LP</v>
      </c>
      <c r="H991" s="128" t="str">
        <f>VLOOKUP(source[[#This Row],[lending_product_transform]],[3]Mapping!$B$3:$D$37,3,0)</f>
        <v>cashloan</v>
      </c>
      <c r="I991" s="135">
        <v>8560000</v>
      </c>
    </row>
    <row r="992" spans="1:9" x14ac:dyDescent="0.2">
      <c r="A992" s="134">
        <v>45420</v>
      </c>
      <c r="B992" s="135">
        <f>YEAR(source[[#This Row],[report_date]])</f>
        <v>2024</v>
      </c>
      <c r="C992" s="136">
        <v>5</v>
      </c>
      <c r="D992" s="136">
        <f t="shared" si="53"/>
        <v>19</v>
      </c>
      <c r="E992" s="136">
        <f t="shared" si="54"/>
        <v>8</v>
      </c>
      <c r="F992" s="128" t="s">
        <v>65</v>
      </c>
      <c r="G992" s="128" t="str">
        <f>VLOOKUP(source[[#This Row],[lending_product_transform]],[3]Mapping!$B$4:$C$37,2,0)</f>
        <v>[BE] - Cashloan</v>
      </c>
      <c r="H992" s="128" t="str">
        <f>VLOOKUP(source[[#This Row],[lending_product_transform]],[3]Mapping!$B$3:$D$37,3,0)</f>
        <v>cashloan</v>
      </c>
      <c r="I992" s="135">
        <v>186900000</v>
      </c>
    </row>
    <row r="993" spans="1:9" x14ac:dyDescent="0.2">
      <c r="A993" s="134">
        <v>45420</v>
      </c>
      <c r="B993" s="135">
        <f>YEAR(source[[#This Row],[report_date]])</f>
        <v>2024</v>
      </c>
      <c r="C993" s="136">
        <v>5</v>
      </c>
      <c r="D993" s="136">
        <f t="shared" si="53"/>
        <v>19</v>
      </c>
      <c r="E993" s="136">
        <f t="shared" si="54"/>
        <v>8</v>
      </c>
      <c r="F993" s="128" t="s">
        <v>58</v>
      </c>
      <c r="G993" s="128" t="str">
        <f>VLOOKUP(source[[#This Row],[lending_product_transform]],[3]Mapping!$B$4:$C$37,2,0)</f>
        <v>[VDS] - Payroll Cashloan</v>
      </c>
      <c r="H993" s="128" t="str">
        <f>VLOOKUP(source[[#This Row],[lending_product_transform]],[3]Mapping!$B$3:$D$37,3,0)</f>
        <v>cashloan</v>
      </c>
      <c r="I993" s="135">
        <v>10500000</v>
      </c>
    </row>
    <row r="994" spans="1:9" x14ac:dyDescent="0.2">
      <c r="A994" s="134">
        <v>45421</v>
      </c>
      <c r="B994" s="135">
        <f>YEAR(source[[#This Row],[report_date]])</f>
        <v>2024</v>
      </c>
      <c r="C994" s="136">
        <v>5</v>
      </c>
      <c r="D994" s="136">
        <f t="shared" si="53"/>
        <v>19</v>
      </c>
      <c r="E994" s="136">
        <f t="shared" si="54"/>
        <v>9</v>
      </c>
      <c r="F994" s="128" t="s">
        <v>11</v>
      </c>
      <c r="G994" s="128" t="str">
        <f>VLOOKUP(source[[#This Row],[lending_product_transform]],[3]Mapping!$B$4:$C$37,2,0)</f>
        <v>[VDS] - Cashloan</v>
      </c>
      <c r="H994" s="128" t="str">
        <f>VLOOKUP(source[[#This Row],[lending_product_transform]],[3]Mapping!$B$3:$D$37,3,0)</f>
        <v>cashloan</v>
      </c>
      <c r="I994" s="135">
        <v>3753110000</v>
      </c>
    </row>
    <row r="995" spans="1:9" x14ac:dyDescent="0.2">
      <c r="A995" s="134">
        <v>45421</v>
      </c>
      <c r="B995" s="135">
        <f>YEAR(source[[#This Row],[report_date]])</f>
        <v>2024</v>
      </c>
      <c r="C995" s="136">
        <v>5</v>
      </c>
      <c r="D995" s="136">
        <f t="shared" si="53"/>
        <v>19</v>
      </c>
      <c r="E995" s="136">
        <f t="shared" si="54"/>
        <v>9</v>
      </c>
      <c r="F995" s="128" t="s">
        <v>58</v>
      </c>
      <c r="G995" s="128" t="str">
        <f>VLOOKUP(source[[#This Row],[lending_product_transform]],[3]Mapping!$B$4:$C$37,2,0)</f>
        <v>[VDS] - Payroll Cashloan</v>
      </c>
      <c r="H995" s="128" t="str">
        <f>VLOOKUP(source[[#This Row],[lending_product_transform]],[3]Mapping!$B$3:$D$37,3,0)</f>
        <v>cashloan</v>
      </c>
      <c r="I995" s="135">
        <v>121050000</v>
      </c>
    </row>
    <row r="996" spans="1:9" x14ac:dyDescent="0.2">
      <c r="A996" s="134">
        <v>45421</v>
      </c>
      <c r="B996" s="135">
        <f>YEAR(source[[#This Row],[report_date]])</f>
        <v>2024</v>
      </c>
      <c r="C996" s="136">
        <v>5</v>
      </c>
      <c r="D996" s="136">
        <f t="shared" si="53"/>
        <v>19</v>
      </c>
      <c r="E996" s="136">
        <f t="shared" si="54"/>
        <v>9</v>
      </c>
      <c r="F996" s="128" t="s">
        <v>206</v>
      </c>
      <c r="G996" s="128" t="str">
        <f>VLOOKUP(source[[#This Row],[lending_product_transform]],[3]Mapping!$B$4:$C$37,2,0)</f>
        <v>[NGS] - Cashloan</v>
      </c>
      <c r="H996" s="128" t="str">
        <f>VLOOKUP(source[[#This Row],[lending_product_transform]],[3]Mapping!$B$3:$D$37,3,0)</f>
        <v>cashloan</v>
      </c>
      <c r="I996" s="135">
        <v>240050000</v>
      </c>
    </row>
    <row r="997" spans="1:9" x14ac:dyDescent="0.2">
      <c r="A997" s="134">
        <v>45421</v>
      </c>
      <c r="B997" s="135">
        <f>YEAR(source[[#This Row],[report_date]])</f>
        <v>2024</v>
      </c>
      <c r="C997" s="136">
        <v>5</v>
      </c>
      <c r="D997" s="136">
        <f t="shared" si="53"/>
        <v>19</v>
      </c>
      <c r="E997" s="136">
        <f t="shared" si="54"/>
        <v>9</v>
      </c>
      <c r="F997" s="128" t="s">
        <v>19</v>
      </c>
      <c r="G997" s="128" t="str">
        <f>VLOOKUP(source[[#This Row],[lending_product_transform]],[3]Mapping!$B$4:$C$37,2,0)</f>
        <v>[VDS] - Payday</v>
      </c>
      <c r="H997" s="128" t="str">
        <f>VLOOKUP(source[[#This Row],[lending_product_transform]],[3]Mapping!$B$3:$D$37,3,0)</f>
        <v>payday</v>
      </c>
      <c r="I997" s="135">
        <v>2731000000</v>
      </c>
    </row>
    <row r="998" spans="1:9" x14ac:dyDescent="0.2">
      <c r="A998" s="134">
        <v>45421</v>
      </c>
      <c r="B998" s="135">
        <f>YEAR(source[[#This Row],[report_date]])</f>
        <v>2024</v>
      </c>
      <c r="C998" s="136">
        <v>5</v>
      </c>
      <c r="D998" s="136">
        <f t="shared" si="53"/>
        <v>19</v>
      </c>
      <c r="E998" s="136">
        <f t="shared" si="54"/>
        <v>9</v>
      </c>
      <c r="F998" s="128" t="s">
        <v>56</v>
      </c>
      <c r="G998" s="128">
        <f>VLOOKUP(source[[#This Row],[lending_product_transform]],[3]Mapping!$B$4:$C$37,2,0)</f>
        <v>0</v>
      </c>
      <c r="H998" s="128">
        <f>VLOOKUP(source[[#This Row],[lending_product_transform]],[3]Mapping!$B$3:$D$37,3,0)</f>
        <v>0</v>
      </c>
      <c r="I998" s="135">
        <v>9034555214</v>
      </c>
    </row>
    <row r="999" spans="1:9" x14ac:dyDescent="0.2">
      <c r="A999" s="134">
        <v>45421</v>
      </c>
      <c r="B999" s="135">
        <f>YEAR(source[[#This Row],[report_date]])</f>
        <v>2024</v>
      </c>
      <c r="C999" s="136">
        <v>5</v>
      </c>
      <c r="D999" s="136">
        <f t="shared" si="53"/>
        <v>19</v>
      </c>
      <c r="E999" s="136">
        <f t="shared" si="54"/>
        <v>9</v>
      </c>
      <c r="F999" s="128" t="s">
        <v>61</v>
      </c>
      <c r="G999" s="128" t="str">
        <f>VLOOKUP(source[[#This Row],[lending_product_transform]],[3]Mapping!$B$4:$C$37,2,0)</f>
        <v>[VDS] - Payroll Payday</v>
      </c>
      <c r="H999" s="128" t="str">
        <f>VLOOKUP(source[[#This Row],[lending_product_transform]],[3]Mapping!$B$3:$D$37,3,0)</f>
        <v>payday</v>
      </c>
      <c r="I999" s="135">
        <v>35000000</v>
      </c>
    </row>
    <row r="1000" spans="1:9" x14ac:dyDescent="0.2">
      <c r="A1000" s="134">
        <v>45421</v>
      </c>
      <c r="B1000" s="135">
        <f>YEAR(source[[#This Row],[report_date]])</f>
        <v>2024</v>
      </c>
      <c r="C1000" s="136">
        <v>5</v>
      </c>
      <c r="D1000" s="136">
        <f t="shared" si="53"/>
        <v>19</v>
      </c>
      <c r="E1000" s="136">
        <f t="shared" si="54"/>
        <v>9</v>
      </c>
      <c r="F1000" s="128" t="s">
        <v>65</v>
      </c>
      <c r="G1000" s="128" t="str">
        <f>VLOOKUP(source[[#This Row],[lending_product_transform]],[3]Mapping!$B$4:$C$37,2,0)</f>
        <v>[BE] - Cashloan</v>
      </c>
      <c r="H1000" s="128" t="str">
        <f>VLOOKUP(source[[#This Row],[lending_product_transform]],[3]Mapping!$B$3:$D$37,3,0)</f>
        <v>cashloan</v>
      </c>
      <c r="I1000" s="135">
        <v>109250000</v>
      </c>
    </row>
    <row r="1001" spans="1:9" x14ac:dyDescent="0.2">
      <c r="A1001" s="134">
        <v>45421</v>
      </c>
      <c r="B1001" s="135">
        <f>YEAR(source[[#This Row],[report_date]])</f>
        <v>2024</v>
      </c>
      <c r="C1001" s="136">
        <v>5</v>
      </c>
      <c r="D1001" s="136">
        <f t="shared" si="53"/>
        <v>19</v>
      </c>
      <c r="E1001" s="136">
        <f t="shared" si="54"/>
        <v>9</v>
      </c>
      <c r="F1001" s="128" t="s">
        <v>67</v>
      </c>
      <c r="G1001" s="128" t="str">
        <f>VLOOKUP(source[[#This Row],[lending_product_transform]],[3]Mapping!$B$4:$C$37,2,0)</f>
        <v>[Cake] - Overdraft</v>
      </c>
      <c r="H1001" s="128" t="str">
        <f>VLOOKUP(source[[#This Row],[lending_product_transform]],[3]Mapping!$B$3:$D$37,3,0)</f>
        <v>overdraft</v>
      </c>
      <c r="I1001" s="135">
        <v>2015083710</v>
      </c>
    </row>
    <row r="1002" spans="1:9" x14ac:dyDescent="0.2">
      <c r="A1002" s="134">
        <v>45421</v>
      </c>
      <c r="B1002" s="135">
        <f>YEAR(source[[#This Row],[report_date]])</f>
        <v>2024</v>
      </c>
      <c r="C1002" s="136">
        <v>5</v>
      </c>
      <c r="D1002" s="136">
        <f t="shared" si="53"/>
        <v>19</v>
      </c>
      <c r="E1002" s="136">
        <f t="shared" si="54"/>
        <v>9</v>
      </c>
      <c r="F1002" s="128" t="s">
        <v>62</v>
      </c>
      <c r="G1002" s="128" t="str">
        <f>VLOOKUP(source[[#This Row],[lending_product_transform]],[3]Mapping!$B$4:$C$37,2,0)</f>
        <v>[VDS] - Paylater</v>
      </c>
      <c r="H1002" s="128" t="str">
        <f>VLOOKUP(source[[#This Row],[lending_product_transform]],[3]Mapping!$B$3:$D$37,3,0)</f>
        <v>paylater</v>
      </c>
      <c r="I1002" s="135">
        <v>30011504</v>
      </c>
    </row>
    <row r="1003" spans="1:9" x14ac:dyDescent="0.2">
      <c r="A1003" s="134">
        <v>45421</v>
      </c>
      <c r="B1003" s="135">
        <f>YEAR(source[[#This Row],[report_date]])</f>
        <v>2024</v>
      </c>
      <c r="C1003" s="136">
        <v>5</v>
      </c>
      <c r="D1003" s="136">
        <f t="shared" si="53"/>
        <v>19</v>
      </c>
      <c r="E1003" s="136">
        <f t="shared" si="54"/>
        <v>9</v>
      </c>
      <c r="F1003" s="128" t="s">
        <v>238</v>
      </c>
      <c r="G1003" s="128" t="str">
        <f>VLOOKUP(source[[#This Row],[lending_product_transform]],[3]Mapping!$B$4:$C$37,2,0)</f>
        <v>[VDS] - Cashloan LP</v>
      </c>
      <c r="H1003" s="128" t="str">
        <f>VLOOKUP(source[[#This Row],[lending_product_transform]],[3]Mapping!$B$3:$D$37,3,0)</f>
        <v>cashloan</v>
      </c>
      <c r="I1003" s="135">
        <v>0</v>
      </c>
    </row>
    <row r="1004" spans="1:9" x14ac:dyDescent="0.2">
      <c r="A1004" s="134">
        <v>45422</v>
      </c>
      <c r="B1004" s="135">
        <f>YEAR(source[[#This Row],[report_date]])</f>
        <v>2024</v>
      </c>
      <c r="C1004" s="136">
        <v>5</v>
      </c>
      <c r="D1004" s="136">
        <f t="shared" si="53"/>
        <v>19</v>
      </c>
      <c r="E1004" s="136">
        <f t="shared" si="54"/>
        <v>10</v>
      </c>
      <c r="F1004" s="128" t="s">
        <v>206</v>
      </c>
      <c r="G1004" s="128" t="str">
        <f>VLOOKUP(source[[#This Row],[lending_product_transform]],[3]Mapping!$B$4:$C$37,2,0)</f>
        <v>[NGS] - Cashloan</v>
      </c>
      <c r="H1004" s="128" t="str">
        <f>VLOOKUP(source[[#This Row],[lending_product_transform]],[3]Mapping!$B$3:$D$37,3,0)</f>
        <v>cashloan</v>
      </c>
      <c r="I1004" s="135">
        <v>247170000</v>
      </c>
    </row>
    <row r="1005" spans="1:9" x14ac:dyDescent="0.2">
      <c r="A1005" s="134">
        <v>45422</v>
      </c>
      <c r="B1005" s="135">
        <f>YEAR(source[[#This Row],[report_date]])</f>
        <v>2024</v>
      </c>
      <c r="C1005" s="136">
        <v>5</v>
      </c>
      <c r="D1005" s="136">
        <f t="shared" si="53"/>
        <v>19</v>
      </c>
      <c r="E1005" s="136">
        <f t="shared" si="54"/>
        <v>10</v>
      </c>
      <c r="F1005" s="128" t="s">
        <v>58</v>
      </c>
      <c r="G1005" s="128" t="str">
        <f>VLOOKUP(source[[#This Row],[lending_product_transform]],[3]Mapping!$B$4:$C$37,2,0)</f>
        <v>[VDS] - Payroll Cashloan</v>
      </c>
      <c r="H1005" s="128" t="str">
        <f>VLOOKUP(source[[#This Row],[lending_product_transform]],[3]Mapping!$B$3:$D$37,3,0)</f>
        <v>cashloan</v>
      </c>
      <c r="I1005" s="135">
        <v>52500000</v>
      </c>
    </row>
    <row r="1006" spans="1:9" x14ac:dyDescent="0.2">
      <c r="A1006" s="134">
        <v>45422</v>
      </c>
      <c r="B1006" s="135">
        <f>YEAR(source[[#This Row],[report_date]])</f>
        <v>2024</v>
      </c>
      <c r="C1006" s="136">
        <v>5</v>
      </c>
      <c r="D1006" s="136">
        <f t="shared" si="53"/>
        <v>19</v>
      </c>
      <c r="E1006" s="136">
        <f t="shared" si="54"/>
        <v>10</v>
      </c>
      <c r="F1006" s="128" t="s">
        <v>61</v>
      </c>
      <c r="G1006" s="128" t="str">
        <f>VLOOKUP(source[[#This Row],[lending_product_transform]],[3]Mapping!$B$4:$C$37,2,0)</f>
        <v>[VDS] - Payroll Payday</v>
      </c>
      <c r="H1006" s="128" t="str">
        <f>VLOOKUP(source[[#This Row],[lending_product_transform]],[3]Mapping!$B$3:$D$37,3,0)</f>
        <v>payday</v>
      </c>
      <c r="I1006" s="135">
        <v>48000000</v>
      </c>
    </row>
    <row r="1007" spans="1:9" x14ac:dyDescent="0.2">
      <c r="A1007" s="134">
        <v>45422</v>
      </c>
      <c r="B1007" s="135">
        <f>YEAR(source[[#This Row],[report_date]])</f>
        <v>2024</v>
      </c>
      <c r="C1007" s="136">
        <v>5</v>
      </c>
      <c r="D1007" s="136">
        <f t="shared" si="53"/>
        <v>19</v>
      </c>
      <c r="E1007" s="136">
        <f t="shared" si="54"/>
        <v>10</v>
      </c>
      <c r="F1007" s="128" t="s">
        <v>11</v>
      </c>
      <c r="G1007" s="128" t="str">
        <f>VLOOKUP(source[[#This Row],[lending_product_transform]],[3]Mapping!$B$4:$C$37,2,0)</f>
        <v>[VDS] - Cashloan</v>
      </c>
      <c r="H1007" s="128" t="str">
        <f>VLOOKUP(source[[#This Row],[lending_product_transform]],[3]Mapping!$B$3:$D$37,3,0)</f>
        <v>cashloan</v>
      </c>
      <c r="I1007" s="135">
        <v>4187740000</v>
      </c>
    </row>
    <row r="1008" spans="1:9" x14ac:dyDescent="0.2">
      <c r="A1008" s="134">
        <v>45422</v>
      </c>
      <c r="B1008" s="135">
        <f>YEAR(source[[#This Row],[report_date]])</f>
        <v>2024</v>
      </c>
      <c r="C1008" s="136">
        <v>5</v>
      </c>
      <c r="D1008" s="136">
        <f t="shared" si="53"/>
        <v>19</v>
      </c>
      <c r="E1008" s="136">
        <f t="shared" si="54"/>
        <v>10</v>
      </c>
      <c r="F1008" s="128" t="s">
        <v>62</v>
      </c>
      <c r="G1008" s="128" t="str">
        <f>VLOOKUP(source[[#This Row],[lending_product_transform]],[3]Mapping!$B$4:$C$37,2,0)</f>
        <v>[VDS] - Paylater</v>
      </c>
      <c r="H1008" s="128" t="str">
        <f>VLOOKUP(source[[#This Row],[lending_product_transform]],[3]Mapping!$B$3:$D$37,3,0)</f>
        <v>paylater</v>
      </c>
      <c r="I1008" s="135">
        <v>38102756</v>
      </c>
    </row>
    <row r="1009" spans="1:9" x14ac:dyDescent="0.2">
      <c r="A1009" s="134">
        <v>45422</v>
      </c>
      <c r="B1009" s="135">
        <f>YEAR(source[[#This Row],[report_date]])</f>
        <v>2024</v>
      </c>
      <c r="C1009" s="136">
        <v>5</v>
      </c>
      <c r="D1009" s="136">
        <f t="shared" si="53"/>
        <v>19</v>
      </c>
      <c r="E1009" s="136">
        <f t="shared" si="54"/>
        <v>10</v>
      </c>
      <c r="F1009" s="128" t="s">
        <v>19</v>
      </c>
      <c r="G1009" s="128" t="str">
        <f>VLOOKUP(source[[#This Row],[lending_product_transform]],[3]Mapping!$B$4:$C$37,2,0)</f>
        <v>[VDS] - Payday</v>
      </c>
      <c r="H1009" s="128" t="str">
        <f>VLOOKUP(source[[#This Row],[lending_product_transform]],[3]Mapping!$B$3:$D$37,3,0)</f>
        <v>payday</v>
      </c>
      <c r="I1009" s="135">
        <v>3162000000</v>
      </c>
    </row>
    <row r="1010" spans="1:9" x14ac:dyDescent="0.2">
      <c r="A1010" s="134">
        <v>45422</v>
      </c>
      <c r="B1010" s="135">
        <f>YEAR(source[[#This Row],[report_date]])</f>
        <v>2024</v>
      </c>
      <c r="C1010" s="136">
        <v>5</v>
      </c>
      <c r="D1010" s="136">
        <f t="shared" si="53"/>
        <v>19</v>
      </c>
      <c r="E1010" s="136">
        <f t="shared" si="54"/>
        <v>10</v>
      </c>
      <c r="F1010" s="128" t="s">
        <v>238</v>
      </c>
      <c r="G1010" s="128" t="str">
        <f>VLOOKUP(source[[#This Row],[lending_product_transform]],[3]Mapping!$B$4:$C$37,2,0)</f>
        <v>[VDS] - Cashloan LP</v>
      </c>
      <c r="H1010" s="128" t="str">
        <f>VLOOKUP(source[[#This Row],[lending_product_transform]],[3]Mapping!$B$3:$D$37,3,0)</f>
        <v>cashloan</v>
      </c>
      <c r="I1010" s="135">
        <v>0</v>
      </c>
    </row>
    <row r="1011" spans="1:9" x14ac:dyDescent="0.2">
      <c r="A1011" s="134">
        <v>45422</v>
      </c>
      <c r="B1011" s="135">
        <f>YEAR(source[[#This Row],[report_date]])</f>
        <v>2024</v>
      </c>
      <c r="C1011" s="136">
        <v>5</v>
      </c>
      <c r="D1011" s="136">
        <f t="shared" si="53"/>
        <v>19</v>
      </c>
      <c r="E1011" s="136">
        <f t="shared" si="54"/>
        <v>10</v>
      </c>
      <c r="F1011" s="128" t="s">
        <v>56</v>
      </c>
      <c r="G1011" s="128">
        <f>VLOOKUP(source[[#This Row],[lending_product_transform]],[3]Mapping!$B$4:$C$37,2,0)</f>
        <v>0</v>
      </c>
      <c r="H1011" s="128">
        <f>VLOOKUP(source[[#This Row],[lending_product_transform]],[3]Mapping!$B$3:$D$37,3,0)</f>
        <v>0</v>
      </c>
      <c r="I1011" s="135">
        <v>10284143152</v>
      </c>
    </row>
    <row r="1012" spans="1:9" x14ac:dyDescent="0.2">
      <c r="A1012" s="134">
        <v>45422</v>
      </c>
      <c r="B1012" s="135">
        <f>YEAR(source[[#This Row],[report_date]])</f>
        <v>2024</v>
      </c>
      <c r="C1012" s="136">
        <v>5</v>
      </c>
      <c r="D1012" s="136">
        <f t="shared" si="53"/>
        <v>19</v>
      </c>
      <c r="E1012" s="136">
        <f t="shared" si="54"/>
        <v>10</v>
      </c>
      <c r="F1012" s="128" t="s">
        <v>67</v>
      </c>
      <c r="G1012" s="128" t="str">
        <f>VLOOKUP(source[[#This Row],[lending_product_transform]],[3]Mapping!$B$4:$C$37,2,0)</f>
        <v>[Cake] - Overdraft</v>
      </c>
      <c r="H1012" s="128" t="str">
        <f>VLOOKUP(source[[#This Row],[lending_product_transform]],[3]Mapping!$B$3:$D$37,3,0)</f>
        <v>overdraft</v>
      </c>
      <c r="I1012" s="135">
        <v>2455180396</v>
      </c>
    </row>
    <row r="1013" spans="1:9" x14ac:dyDescent="0.2">
      <c r="A1013" s="134">
        <v>45422</v>
      </c>
      <c r="B1013" s="135">
        <f>YEAR(source[[#This Row],[report_date]])</f>
        <v>2024</v>
      </c>
      <c r="C1013" s="136">
        <v>5</v>
      </c>
      <c r="D1013" s="136">
        <f t="shared" si="53"/>
        <v>19</v>
      </c>
      <c r="E1013" s="136">
        <f t="shared" si="54"/>
        <v>10</v>
      </c>
      <c r="F1013" s="128" t="s">
        <v>65</v>
      </c>
      <c r="G1013" s="128" t="str">
        <f>VLOOKUP(source[[#This Row],[lending_product_transform]],[3]Mapping!$B$4:$C$37,2,0)</f>
        <v>[BE] - Cashloan</v>
      </c>
      <c r="H1013" s="128" t="str">
        <f>VLOOKUP(source[[#This Row],[lending_product_transform]],[3]Mapping!$B$3:$D$37,3,0)</f>
        <v>cashloan</v>
      </c>
      <c r="I1013" s="135">
        <v>93450000</v>
      </c>
    </row>
    <row r="1014" spans="1:9" x14ac:dyDescent="0.2">
      <c r="A1014" s="134">
        <v>45423</v>
      </c>
      <c r="B1014" s="135">
        <f>YEAR(source[[#This Row],[report_date]])</f>
        <v>2024</v>
      </c>
      <c r="C1014" s="136">
        <v>5</v>
      </c>
      <c r="D1014" s="136">
        <f t="shared" si="53"/>
        <v>19</v>
      </c>
      <c r="E1014" s="136">
        <f t="shared" si="54"/>
        <v>11</v>
      </c>
      <c r="F1014" s="128" t="s">
        <v>19</v>
      </c>
      <c r="G1014" s="128" t="str">
        <f>VLOOKUP(source[[#This Row],[lending_product_transform]],[3]Mapping!$B$4:$C$37,2,0)</f>
        <v>[VDS] - Payday</v>
      </c>
      <c r="H1014" s="128" t="str">
        <f>VLOOKUP(source[[#This Row],[lending_product_transform]],[3]Mapping!$B$3:$D$37,3,0)</f>
        <v>payday</v>
      </c>
      <c r="I1014" s="135">
        <v>2605500000</v>
      </c>
    </row>
    <row r="1015" spans="1:9" x14ac:dyDescent="0.2">
      <c r="A1015" s="134">
        <v>45423</v>
      </c>
      <c r="B1015" s="135">
        <f>YEAR(source[[#This Row],[report_date]])</f>
        <v>2024</v>
      </c>
      <c r="C1015" s="136">
        <v>5</v>
      </c>
      <c r="D1015" s="136">
        <f t="shared" si="53"/>
        <v>19</v>
      </c>
      <c r="E1015" s="136">
        <f t="shared" si="54"/>
        <v>11</v>
      </c>
      <c r="F1015" s="128" t="s">
        <v>206</v>
      </c>
      <c r="G1015" s="128" t="str">
        <f>VLOOKUP(source[[#This Row],[lending_product_transform]],[3]Mapping!$B$4:$C$37,2,0)</f>
        <v>[NGS] - Cashloan</v>
      </c>
      <c r="H1015" s="128" t="str">
        <f>VLOOKUP(source[[#This Row],[lending_product_transform]],[3]Mapping!$B$3:$D$37,3,0)</f>
        <v>cashloan</v>
      </c>
      <c r="I1015" s="135">
        <v>111280000</v>
      </c>
    </row>
    <row r="1016" spans="1:9" x14ac:dyDescent="0.2">
      <c r="A1016" s="134">
        <v>45423</v>
      </c>
      <c r="B1016" s="135">
        <f>YEAR(source[[#This Row],[report_date]])</f>
        <v>2024</v>
      </c>
      <c r="C1016" s="136">
        <v>5</v>
      </c>
      <c r="D1016" s="136">
        <f t="shared" si="53"/>
        <v>19</v>
      </c>
      <c r="E1016" s="136">
        <f t="shared" si="54"/>
        <v>11</v>
      </c>
      <c r="F1016" s="128" t="s">
        <v>65</v>
      </c>
      <c r="G1016" s="128" t="str">
        <f>VLOOKUP(source[[#This Row],[lending_product_transform]],[3]Mapping!$B$4:$C$37,2,0)</f>
        <v>[BE] - Cashloan</v>
      </c>
      <c r="H1016" s="128" t="str">
        <f>VLOOKUP(source[[#This Row],[lending_product_transform]],[3]Mapping!$B$3:$D$37,3,0)</f>
        <v>cashloan</v>
      </c>
      <c r="I1016" s="135">
        <v>73500000</v>
      </c>
    </row>
    <row r="1017" spans="1:9" x14ac:dyDescent="0.2">
      <c r="A1017" s="134">
        <v>45423</v>
      </c>
      <c r="B1017" s="135">
        <f>YEAR(source[[#This Row],[report_date]])</f>
        <v>2024</v>
      </c>
      <c r="C1017" s="136">
        <v>5</v>
      </c>
      <c r="D1017" s="136">
        <f t="shared" si="53"/>
        <v>19</v>
      </c>
      <c r="E1017" s="136">
        <f t="shared" si="54"/>
        <v>11</v>
      </c>
      <c r="F1017" s="128" t="s">
        <v>56</v>
      </c>
      <c r="G1017" s="128">
        <f>VLOOKUP(source[[#This Row],[lending_product_transform]],[3]Mapping!$B$4:$C$37,2,0)</f>
        <v>0</v>
      </c>
      <c r="H1017" s="128">
        <f>VLOOKUP(source[[#This Row],[lending_product_transform]],[3]Mapping!$B$3:$D$37,3,0)</f>
        <v>0</v>
      </c>
      <c r="I1017" s="135">
        <v>7670783824</v>
      </c>
    </row>
    <row r="1018" spans="1:9" x14ac:dyDescent="0.2">
      <c r="A1018" s="134">
        <v>45423</v>
      </c>
      <c r="B1018" s="135">
        <f>YEAR(source[[#This Row],[report_date]])</f>
        <v>2024</v>
      </c>
      <c r="C1018" s="136">
        <v>5</v>
      </c>
      <c r="D1018" s="136">
        <f t="shared" si="53"/>
        <v>19</v>
      </c>
      <c r="E1018" s="136">
        <f t="shared" si="54"/>
        <v>11</v>
      </c>
      <c r="F1018" s="128" t="s">
        <v>61</v>
      </c>
      <c r="G1018" s="128" t="str">
        <f>VLOOKUP(source[[#This Row],[lending_product_transform]],[3]Mapping!$B$4:$C$37,2,0)</f>
        <v>[VDS] - Payroll Payday</v>
      </c>
      <c r="H1018" s="128" t="str">
        <f>VLOOKUP(source[[#This Row],[lending_product_transform]],[3]Mapping!$B$3:$D$37,3,0)</f>
        <v>payday</v>
      </c>
      <c r="I1018" s="135">
        <v>43000000</v>
      </c>
    </row>
    <row r="1019" spans="1:9" x14ac:dyDescent="0.2">
      <c r="A1019" s="134">
        <v>45423</v>
      </c>
      <c r="B1019" s="135">
        <f>YEAR(source[[#This Row],[report_date]])</f>
        <v>2024</v>
      </c>
      <c r="C1019" s="136">
        <v>5</v>
      </c>
      <c r="D1019" s="136">
        <f t="shared" si="53"/>
        <v>19</v>
      </c>
      <c r="E1019" s="136">
        <f t="shared" si="54"/>
        <v>11</v>
      </c>
      <c r="F1019" s="128" t="s">
        <v>58</v>
      </c>
      <c r="G1019" s="128" t="str">
        <f>VLOOKUP(source[[#This Row],[lending_product_transform]],[3]Mapping!$B$4:$C$37,2,0)</f>
        <v>[VDS] - Payroll Cashloan</v>
      </c>
      <c r="H1019" s="128" t="str">
        <f>VLOOKUP(source[[#This Row],[lending_product_transform]],[3]Mapping!$B$3:$D$37,3,0)</f>
        <v>cashloan</v>
      </c>
      <c r="I1019" s="135">
        <v>42000000</v>
      </c>
    </row>
    <row r="1020" spans="1:9" x14ac:dyDescent="0.2">
      <c r="A1020" s="134">
        <v>45423</v>
      </c>
      <c r="B1020" s="135">
        <f>YEAR(source[[#This Row],[report_date]])</f>
        <v>2024</v>
      </c>
      <c r="C1020" s="136">
        <v>5</v>
      </c>
      <c r="D1020" s="136">
        <f t="shared" si="53"/>
        <v>19</v>
      </c>
      <c r="E1020" s="136">
        <f t="shared" si="54"/>
        <v>11</v>
      </c>
      <c r="F1020" s="128" t="s">
        <v>238</v>
      </c>
      <c r="G1020" s="128" t="str">
        <f>VLOOKUP(source[[#This Row],[lending_product_transform]],[3]Mapping!$B$4:$C$37,2,0)</f>
        <v>[VDS] - Cashloan LP</v>
      </c>
      <c r="H1020" s="128" t="str">
        <f>VLOOKUP(source[[#This Row],[lending_product_transform]],[3]Mapping!$B$3:$D$37,3,0)</f>
        <v>cashloan</v>
      </c>
      <c r="I1020" s="135">
        <v>0</v>
      </c>
    </row>
    <row r="1021" spans="1:9" x14ac:dyDescent="0.2">
      <c r="A1021" s="134">
        <v>45423</v>
      </c>
      <c r="B1021" s="135">
        <f>YEAR(source[[#This Row],[report_date]])</f>
        <v>2024</v>
      </c>
      <c r="C1021" s="136">
        <v>5</v>
      </c>
      <c r="D1021" s="136">
        <f t="shared" si="53"/>
        <v>19</v>
      </c>
      <c r="E1021" s="136">
        <f t="shared" si="54"/>
        <v>11</v>
      </c>
      <c r="F1021" s="128" t="s">
        <v>67</v>
      </c>
      <c r="G1021" s="128" t="str">
        <f>VLOOKUP(source[[#This Row],[lending_product_transform]],[3]Mapping!$B$4:$C$37,2,0)</f>
        <v>[Cake] - Overdraft</v>
      </c>
      <c r="H1021" s="128" t="str">
        <f>VLOOKUP(source[[#This Row],[lending_product_transform]],[3]Mapping!$B$3:$D$37,3,0)</f>
        <v>overdraft</v>
      </c>
      <c r="I1021" s="135">
        <v>1817259725</v>
      </c>
    </row>
    <row r="1022" spans="1:9" x14ac:dyDescent="0.2">
      <c r="A1022" s="134">
        <v>45423</v>
      </c>
      <c r="B1022" s="135">
        <f>YEAR(source[[#This Row],[report_date]])</f>
        <v>2024</v>
      </c>
      <c r="C1022" s="136">
        <v>5</v>
      </c>
      <c r="D1022" s="136">
        <f t="shared" si="53"/>
        <v>19</v>
      </c>
      <c r="E1022" s="136">
        <f t="shared" si="54"/>
        <v>11</v>
      </c>
      <c r="F1022" s="128" t="s">
        <v>11</v>
      </c>
      <c r="G1022" s="128" t="str">
        <f>VLOOKUP(source[[#This Row],[lending_product_transform]],[3]Mapping!$B$4:$C$37,2,0)</f>
        <v>[VDS] - Cashloan</v>
      </c>
      <c r="H1022" s="128" t="str">
        <f>VLOOKUP(source[[#This Row],[lending_product_transform]],[3]Mapping!$B$3:$D$37,3,0)</f>
        <v>cashloan</v>
      </c>
      <c r="I1022" s="135">
        <v>2959970000</v>
      </c>
    </row>
    <row r="1023" spans="1:9" x14ac:dyDescent="0.2">
      <c r="A1023" s="134">
        <v>45423</v>
      </c>
      <c r="B1023" s="135">
        <f>YEAR(source[[#This Row],[report_date]])</f>
        <v>2024</v>
      </c>
      <c r="C1023" s="136">
        <v>5</v>
      </c>
      <c r="D1023" s="136">
        <f t="shared" si="53"/>
        <v>19</v>
      </c>
      <c r="E1023" s="136">
        <f t="shared" si="54"/>
        <v>11</v>
      </c>
      <c r="F1023" s="128" t="s">
        <v>62</v>
      </c>
      <c r="G1023" s="128" t="str">
        <f>VLOOKUP(source[[#This Row],[lending_product_transform]],[3]Mapping!$B$4:$C$37,2,0)</f>
        <v>[VDS] - Paylater</v>
      </c>
      <c r="H1023" s="128" t="str">
        <f>VLOOKUP(source[[#This Row],[lending_product_transform]],[3]Mapping!$B$3:$D$37,3,0)</f>
        <v>paylater</v>
      </c>
      <c r="I1023" s="135">
        <v>18274099</v>
      </c>
    </row>
    <row r="1024" spans="1:9" x14ac:dyDescent="0.2">
      <c r="A1024" s="134">
        <v>45424</v>
      </c>
      <c r="B1024" s="135">
        <f>YEAR(source[[#This Row],[report_date]])</f>
        <v>2024</v>
      </c>
      <c r="C1024" s="136">
        <v>5</v>
      </c>
      <c r="D1024" s="136">
        <f t="shared" si="53"/>
        <v>19</v>
      </c>
      <c r="E1024" s="136">
        <f t="shared" si="54"/>
        <v>12</v>
      </c>
      <c r="F1024" s="128" t="s">
        <v>11</v>
      </c>
      <c r="G1024" s="128" t="str">
        <f>VLOOKUP(source[[#This Row],[lending_product_transform]],[3]Mapping!$B$4:$C$37,2,0)</f>
        <v>[VDS] - Cashloan</v>
      </c>
      <c r="H1024" s="128" t="str">
        <f>VLOOKUP(source[[#This Row],[lending_product_transform]],[3]Mapping!$B$3:$D$37,3,0)</f>
        <v>cashloan</v>
      </c>
      <c r="I1024" s="135">
        <v>2831900000</v>
      </c>
    </row>
    <row r="1025" spans="1:9" x14ac:dyDescent="0.2">
      <c r="A1025" s="134">
        <v>45424</v>
      </c>
      <c r="B1025" s="135">
        <f>YEAR(source[[#This Row],[report_date]])</f>
        <v>2024</v>
      </c>
      <c r="C1025" s="136">
        <v>5</v>
      </c>
      <c r="D1025" s="136">
        <f t="shared" si="53"/>
        <v>19</v>
      </c>
      <c r="E1025" s="136">
        <f t="shared" si="54"/>
        <v>12</v>
      </c>
      <c r="F1025" s="128" t="s">
        <v>65</v>
      </c>
      <c r="G1025" s="128" t="str">
        <f>VLOOKUP(source[[#This Row],[lending_product_transform]],[3]Mapping!$B$4:$C$37,2,0)</f>
        <v>[BE] - Cashloan</v>
      </c>
      <c r="H1025" s="128" t="str">
        <f>VLOOKUP(source[[#This Row],[lending_product_transform]],[3]Mapping!$B$3:$D$37,3,0)</f>
        <v>cashloan</v>
      </c>
      <c r="I1025" s="135">
        <v>176400000</v>
      </c>
    </row>
    <row r="1026" spans="1:9" x14ac:dyDescent="0.2">
      <c r="A1026" s="134">
        <v>45424</v>
      </c>
      <c r="B1026" s="135">
        <f>YEAR(source[[#This Row],[report_date]])</f>
        <v>2024</v>
      </c>
      <c r="C1026" s="136">
        <v>5</v>
      </c>
      <c r="D1026" s="136">
        <f t="shared" si="53"/>
        <v>19</v>
      </c>
      <c r="E1026" s="136">
        <f t="shared" si="54"/>
        <v>12</v>
      </c>
      <c r="F1026" s="128" t="s">
        <v>19</v>
      </c>
      <c r="G1026" s="128" t="str">
        <f>VLOOKUP(source[[#This Row],[lending_product_transform]],[3]Mapping!$B$4:$C$37,2,0)</f>
        <v>[VDS] - Payday</v>
      </c>
      <c r="H1026" s="128" t="str">
        <f>VLOOKUP(source[[#This Row],[lending_product_transform]],[3]Mapping!$B$3:$D$37,3,0)</f>
        <v>payday</v>
      </c>
      <c r="I1026" s="135">
        <v>2182500000</v>
      </c>
    </row>
    <row r="1027" spans="1:9" x14ac:dyDescent="0.2">
      <c r="A1027" s="134">
        <v>45424</v>
      </c>
      <c r="B1027" s="135">
        <f>YEAR(source[[#This Row],[report_date]])</f>
        <v>2024</v>
      </c>
      <c r="C1027" s="136">
        <v>5</v>
      </c>
      <c r="D1027" s="136">
        <f t="shared" ref="D1027:D1090" si="55">WEEKNUM(A1027,2)</f>
        <v>19</v>
      </c>
      <c r="E1027" s="136">
        <f t="shared" ref="E1027:E1090" si="56">DAY(A1027)</f>
        <v>12</v>
      </c>
      <c r="F1027" s="128" t="s">
        <v>58</v>
      </c>
      <c r="G1027" s="128" t="str">
        <f>VLOOKUP(source[[#This Row],[lending_product_transform]],[3]Mapping!$B$4:$C$37,2,0)</f>
        <v>[VDS] - Payroll Cashloan</v>
      </c>
      <c r="H1027" s="128" t="str">
        <f>VLOOKUP(source[[#This Row],[lending_product_transform]],[3]Mapping!$B$3:$D$37,3,0)</f>
        <v>cashloan</v>
      </c>
      <c r="I1027" s="135">
        <v>72750000</v>
      </c>
    </row>
    <row r="1028" spans="1:9" x14ac:dyDescent="0.2">
      <c r="A1028" s="134">
        <v>45424</v>
      </c>
      <c r="B1028" s="135">
        <f>YEAR(source[[#This Row],[report_date]])</f>
        <v>2024</v>
      </c>
      <c r="C1028" s="136">
        <v>5</v>
      </c>
      <c r="D1028" s="136">
        <f t="shared" si="55"/>
        <v>19</v>
      </c>
      <c r="E1028" s="136">
        <f t="shared" si="56"/>
        <v>12</v>
      </c>
      <c r="F1028" s="128" t="s">
        <v>62</v>
      </c>
      <c r="G1028" s="128" t="str">
        <f>VLOOKUP(source[[#This Row],[lending_product_transform]],[3]Mapping!$B$4:$C$37,2,0)</f>
        <v>[VDS] - Paylater</v>
      </c>
      <c r="H1028" s="128" t="str">
        <f>VLOOKUP(source[[#This Row],[lending_product_transform]],[3]Mapping!$B$3:$D$37,3,0)</f>
        <v>paylater</v>
      </c>
      <c r="I1028" s="135">
        <v>26686524</v>
      </c>
    </row>
    <row r="1029" spans="1:9" x14ac:dyDescent="0.2">
      <c r="A1029" s="134">
        <v>45424</v>
      </c>
      <c r="B1029" s="135">
        <f>YEAR(source[[#This Row],[report_date]])</f>
        <v>2024</v>
      </c>
      <c r="C1029" s="136">
        <v>5</v>
      </c>
      <c r="D1029" s="136">
        <f t="shared" si="55"/>
        <v>19</v>
      </c>
      <c r="E1029" s="136">
        <f t="shared" si="56"/>
        <v>12</v>
      </c>
      <c r="F1029" s="128" t="s">
        <v>238</v>
      </c>
      <c r="G1029" s="128" t="str">
        <f>VLOOKUP(source[[#This Row],[lending_product_transform]],[3]Mapping!$B$4:$C$37,2,0)</f>
        <v>[VDS] - Cashloan LP</v>
      </c>
      <c r="H1029" s="128" t="str">
        <f>VLOOKUP(source[[#This Row],[lending_product_transform]],[3]Mapping!$B$3:$D$37,3,0)</f>
        <v>cashloan</v>
      </c>
      <c r="I1029" s="135">
        <v>0</v>
      </c>
    </row>
    <row r="1030" spans="1:9" x14ac:dyDescent="0.2">
      <c r="A1030" s="134">
        <v>45424</v>
      </c>
      <c r="B1030" s="135">
        <f>YEAR(source[[#This Row],[report_date]])</f>
        <v>2024</v>
      </c>
      <c r="C1030" s="136">
        <v>5</v>
      </c>
      <c r="D1030" s="136">
        <f t="shared" si="55"/>
        <v>19</v>
      </c>
      <c r="E1030" s="136">
        <f t="shared" si="56"/>
        <v>12</v>
      </c>
      <c r="F1030" s="128" t="s">
        <v>61</v>
      </c>
      <c r="G1030" s="128" t="str">
        <f>VLOOKUP(source[[#This Row],[lending_product_transform]],[3]Mapping!$B$4:$C$37,2,0)</f>
        <v>[VDS] - Payroll Payday</v>
      </c>
      <c r="H1030" s="128" t="str">
        <f>VLOOKUP(source[[#This Row],[lending_product_transform]],[3]Mapping!$B$3:$D$37,3,0)</f>
        <v>payday</v>
      </c>
      <c r="I1030" s="135">
        <v>25000000</v>
      </c>
    </row>
    <row r="1031" spans="1:9" x14ac:dyDescent="0.2">
      <c r="A1031" s="134">
        <v>45424</v>
      </c>
      <c r="B1031" s="135">
        <f>YEAR(source[[#This Row],[report_date]])</f>
        <v>2024</v>
      </c>
      <c r="C1031" s="136">
        <v>5</v>
      </c>
      <c r="D1031" s="136">
        <f t="shared" si="55"/>
        <v>19</v>
      </c>
      <c r="E1031" s="136">
        <f t="shared" si="56"/>
        <v>12</v>
      </c>
      <c r="F1031" s="128" t="s">
        <v>67</v>
      </c>
      <c r="G1031" s="128" t="str">
        <f>VLOOKUP(source[[#This Row],[lending_product_transform]],[3]Mapping!$B$4:$C$37,2,0)</f>
        <v>[Cake] - Overdraft</v>
      </c>
      <c r="H1031" s="128" t="str">
        <f>VLOOKUP(source[[#This Row],[lending_product_transform]],[3]Mapping!$B$3:$D$37,3,0)</f>
        <v>overdraft</v>
      </c>
      <c r="I1031" s="135">
        <v>1574723031</v>
      </c>
    </row>
    <row r="1032" spans="1:9" x14ac:dyDescent="0.2">
      <c r="A1032" s="134">
        <v>45424</v>
      </c>
      <c r="B1032" s="135">
        <f>YEAR(source[[#This Row],[report_date]])</f>
        <v>2024</v>
      </c>
      <c r="C1032" s="136">
        <v>5</v>
      </c>
      <c r="D1032" s="136">
        <f t="shared" si="55"/>
        <v>19</v>
      </c>
      <c r="E1032" s="136">
        <f t="shared" si="56"/>
        <v>12</v>
      </c>
      <c r="F1032" s="128" t="s">
        <v>56</v>
      </c>
      <c r="G1032" s="128">
        <f>VLOOKUP(source[[#This Row],[lending_product_transform]],[3]Mapping!$B$4:$C$37,2,0)</f>
        <v>0</v>
      </c>
      <c r="H1032" s="128">
        <f>VLOOKUP(source[[#This Row],[lending_product_transform]],[3]Mapping!$B$3:$D$37,3,0)</f>
        <v>0</v>
      </c>
      <c r="I1032" s="135">
        <v>6903869555</v>
      </c>
    </row>
    <row r="1033" spans="1:9" x14ac:dyDescent="0.2">
      <c r="A1033" s="134">
        <v>45424</v>
      </c>
      <c r="B1033" s="135">
        <f>YEAR(source[[#This Row],[report_date]])</f>
        <v>2024</v>
      </c>
      <c r="C1033" s="136">
        <v>5</v>
      </c>
      <c r="D1033" s="136">
        <f t="shared" si="55"/>
        <v>19</v>
      </c>
      <c r="E1033" s="136">
        <f t="shared" si="56"/>
        <v>12</v>
      </c>
      <c r="F1033" s="128" t="s">
        <v>206</v>
      </c>
      <c r="G1033" s="128" t="str">
        <f>VLOOKUP(source[[#This Row],[lending_product_transform]],[3]Mapping!$B$4:$C$37,2,0)</f>
        <v>[NGS] - Cashloan</v>
      </c>
      <c r="H1033" s="128" t="str">
        <f>VLOOKUP(source[[#This Row],[lending_product_transform]],[3]Mapping!$B$3:$D$37,3,0)</f>
        <v>cashloan</v>
      </c>
      <c r="I1033" s="135">
        <v>13910000</v>
      </c>
    </row>
    <row r="1034" spans="1:9" x14ac:dyDescent="0.2">
      <c r="A1034" s="134">
        <v>45425</v>
      </c>
      <c r="B1034" s="135">
        <f>YEAR(source[[#This Row],[report_date]])</f>
        <v>2024</v>
      </c>
      <c r="C1034" s="136">
        <v>5</v>
      </c>
      <c r="D1034" s="136">
        <f t="shared" si="55"/>
        <v>20</v>
      </c>
      <c r="E1034" s="136">
        <f t="shared" si="56"/>
        <v>13</v>
      </c>
      <c r="F1034" s="128" t="s">
        <v>61</v>
      </c>
      <c r="G1034" s="128" t="str">
        <f>VLOOKUP(source[[#This Row],[lending_product_transform]],[3]Mapping!$B$4:$C$37,2,0)</f>
        <v>[VDS] - Payroll Payday</v>
      </c>
      <c r="H1034" s="128" t="str">
        <f>VLOOKUP(source[[#This Row],[lending_product_transform]],[3]Mapping!$B$3:$D$37,3,0)</f>
        <v>payday</v>
      </c>
      <c r="I1034" s="135">
        <v>17000000</v>
      </c>
    </row>
    <row r="1035" spans="1:9" x14ac:dyDescent="0.2">
      <c r="A1035" s="134">
        <v>45425</v>
      </c>
      <c r="B1035" s="135">
        <f>YEAR(source[[#This Row],[report_date]])</f>
        <v>2024</v>
      </c>
      <c r="C1035" s="136">
        <v>5</v>
      </c>
      <c r="D1035" s="136">
        <f t="shared" si="55"/>
        <v>20</v>
      </c>
      <c r="E1035" s="136">
        <f t="shared" si="56"/>
        <v>13</v>
      </c>
      <c r="F1035" s="128" t="s">
        <v>58</v>
      </c>
      <c r="G1035" s="128" t="str">
        <f>VLOOKUP(source[[#This Row],[lending_product_transform]],[3]Mapping!$B$4:$C$37,2,0)</f>
        <v>[VDS] - Payroll Cashloan</v>
      </c>
      <c r="H1035" s="128" t="str">
        <f>VLOOKUP(source[[#This Row],[lending_product_transform]],[3]Mapping!$B$3:$D$37,3,0)</f>
        <v>cashloan</v>
      </c>
      <c r="I1035" s="135">
        <v>94500000</v>
      </c>
    </row>
    <row r="1036" spans="1:9" x14ac:dyDescent="0.2">
      <c r="A1036" s="134">
        <v>45425</v>
      </c>
      <c r="B1036" s="135">
        <f>YEAR(source[[#This Row],[report_date]])</f>
        <v>2024</v>
      </c>
      <c r="C1036" s="136">
        <v>5</v>
      </c>
      <c r="D1036" s="136">
        <f t="shared" si="55"/>
        <v>20</v>
      </c>
      <c r="E1036" s="136">
        <f t="shared" si="56"/>
        <v>13</v>
      </c>
      <c r="F1036" s="128" t="s">
        <v>62</v>
      </c>
      <c r="G1036" s="128" t="str">
        <f>VLOOKUP(source[[#This Row],[lending_product_transform]],[3]Mapping!$B$4:$C$37,2,0)</f>
        <v>[VDS] - Paylater</v>
      </c>
      <c r="H1036" s="128" t="str">
        <f>VLOOKUP(source[[#This Row],[lending_product_transform]],[3]Mapping!$B$3:$D$37,3,0)</f>
        <v>paylater</v>
      </c>
      <c r="I1036" s="135">
        <v>26529304</v>
      </c>
    </row>
    <row r="1037" spans="1:9" x14ac:dyDescent="0.2">
      <c r="A1037" s="134">
        <v>45425</v>
      </c>
      <c r="B1037" s="135">
        <f>YEAR(source[[#This Row],[report_date]])</f>
        <v>2024</v>
      </c>
      <c r="C1037" s="136">
        <v>5</v>
      </c>
      <c r="D1037" s="136">
        <f t="shared" si="55"/>
        <v>20</v>
      </c>
      <c r="E1037" s="136">
        <f t="shared" si="56"/>
        <v>13</v>
      </c>
      <c r="F1037" s="128" t="s">
        <v>11</v>
      </c>
      <c r="G1037" s="128" t="str">
        <f>VLOOKUP(source[[#This Row],[lending_product_transform]],[3]Mapping!$B$4:$C$37,2,0)</f>
        <v>[VDS] - Cashloan</v>
      </c>
      <c r="H1037" s="128" t="str">
        <f>VLOOKUP(source[[#This Row],[lending_product_transform]],[3]Mapping!$B$3:$D$37,3,0)</f>
        <v>cashloan</v>
      </c>
      <c r="I1037" s="135">
        <v>4040970000</v>
      </c>
    </row>
    <row r="1038" spans="1:9" x14ac:dyDescent="0.2">
      <c r="A1038" s="134">
        <v>45425</v>
      </c>
      <c r="B1038" s="135">
        <f>YEAR(source[[#This Row],[report_date]])</f>
        <v>2024</v>
      </c>
      <c r="C1038" s="136">
        <v>5</v>
      </c>
      <c r="D1038" s="136">
        <f t="shared" si="55"/>
        <v>20</v>
      </c>
      <c r="E1038" s="136">
        <f t="shared" si="56"/>
        <v>13</v>
      </c>
      <c r="F1038" s="128" t="s">
        <v>206</v>
      </c>
      <c r="G1038" s="128" t="str">
        <f>VLOOKUP(source[[#This Row],[lending_product_transform]],[3]Mapping!$B$4:$C$37,2,0)</f>
        <v>[NGS] - Cashloan</v>
      </c>
      <c r="H1038" s="128" t="str">
        <f>VLOOKUP(source[[#This Row],[lending_product_transform]],[3]Mapping!$B$3:$D$37,3,0)</f>
        <v>cashloan</v>
      </c>
      <c r="I1038" s="135">
        <v>342400000</v>
      </c>
    </row>
    <row r="1039" spans="1:9" x14ac:dyDescent="0.2">
      <c r="A1039" s="134">
        <v>45425</v>
      </c>
      <c r="B1039" s="135">
        <f>YEAR(source[[#This Row],[report_date]])</f>
        <v>2024</v>
      </c>
      <c r="C1039" s="136">
        <v>5</v>
      </c>
      <c r="D1039" s="136">
        <f t="shared" si="55"/>
        <v>20</v>
      </c>
      <c r="E1039" s="136">
        <f t="shared" si="56"/>
        <v>13</v>
      </c>
      <c r="F1039" s="128" t="s">
        <v>56</v>
      </c>
      <c r="G1039" s="128">
        <f>VLOOKUP(source[[#This Row],[lending_product_transform]],[3]Mapping!$B$4:$C$37,2,0)</f>
        <v>0</v>
      </c>
      <c r="H1039" s="128">
        <f>VLOOKUP(source[[#This Row],[lending_product_transform]],[3]Mapping!$B$3:$D$37,3,0)</f>
        <v>0</v>
      </c>
      <c r="I1039" s="135">
        <v>9151068491</v>
      </c>
    </row>
    <row r="1040" spans="1:9" x14ac:dyDescent="0.2">
      <c r="A1040" s="134">
        <v>45425</v>
      </c>
      <c r="B1040" s="135">
        <f>YEAR(source[[#This Row],[report_date]])</f>
        <v>2024</v>
      </c>
      <c r="C1040" s="136">
        <v>5</v>
      </c>
      <c r="D1040" s="136">
        <f t="shared" si="55"/>
        <v>20</v>
      </c>
      <c r="E1040" s="136">
        <f t="shared" si="56"/>
        <v>13</v>
      </c>
      <c r="F1040" s="128" t="s">
        <v>19</v>
      </c>
      <c r="G1040" s="128" t="str">
        <f>VLOOKUP(source[[#This Row],[lending_product_transform]],[3]Mapping!$B$4:$C$37,2,0)</f>
        <v>[VDS] - Payday</v>
      </c>
      <c r="H1040" s="128" t="str">
        <f>VLOOKUP(source[[#This Row],[lending_product_transform]],[3]Mapping!$B$3:$D$37,3,0)</f>
        <v>payday</v>
      </c>
      <c r="I1040" s="135">
        <v>2673000000</v>
      </c>
    </row>
    <row r="1041" spans="1:9" x14ac:dyDescent="0.2">
      <c r="A1041" s="134">
        <v>45425</v>
      </c>
      <c r="B1041" s="135">
        <f>YEAR(source[[#This Row],[report_date]])</f>
        <v>2024</v>
      </c>
      <c r="C1041" s="136">
        <v>5</v>
      </c>
      <c r="D1041" s="136">
        <f t="shared" si="55"/>
        <v>20</v>
      </c>
      <c r="E1041" s="136">
        <f t="shared" si="56"/>
        <v>13</v>
      </c>
      <c r="F1041" s="128" t="s">
        <v>67</v>
      </c>
      <c r="G1041" s="128" t="str">
        <f>VLOOKUP(source[[#This Row],[lending_product_transform]],[3]Mapping!$B$4:$C$37,2,0)</f>
        <v>[Cake] - Overdraft</v>
      </c>
      <c r="H1041" s="128" t="str">
        <f>VLOOKUP(source[[#This Row],[lending_product_transform]],[3]Mapping!$B$3:$D$37,3,0)</f>
        <v>overdraft</v>
      </c>
      <c r="I1041" s="135">
        <v>1790469187</v>
      </c>
    </row>
    <row r="1042" spans="1:9" x14ac:dyDescent="0.2">
      <c r="A1042" s="134">
        <v>45425</v>
      </c>
      <c r="B1042" s="135">
        <f>YEAR(source[[#This Row],[report_date]])</f>
        <v>2024</v>
      </c>
      <c r="C1042" s="136">
        <v>5</v>
      </c>
      <c r="D1042" s="136">
        <f t="shared" si="55"/>
        <v>20</v>
      </c>
      <c r="E1042" s="136">
        <f t="shared" si="56"/>
        <v>13</v>
      </c>
      <c r="F1042" s="128" t="s">
        <v>238</v>
      </c>
      <c r="G1042" s="128" t="str">
        <f>VLOOKUP(source[[#This Row],[lending_product_transform]],[3]Mapping!$B$4:$C$37,2,0)</f>
        <v>[VDS] - Cashloan LP</v>
      </c>
      <c r="H1042" s="128" t="str">
        <f>VLOOKUP(source[[#This Row],[lending_product_transform]],[3]Mapping!$B$3:$D$37,3,0)</f>
        <v>cashloan</v>
      </c>
      <c r="I1042" s="135">
        <v>0</v>
      </c>
    </row>
    <row r="1043" spans="1:9" x14ac:dyDescent="0.2">
      <c r="A1043" s="134">
        <v>45425</v>
      </c>
      <c r="B1043" s="135">
        <f>YEAR(source[[#This Row],[report_date]])</f>
        <v>2024</v>
      </c>
      <c r="C1043" s="136">
        <v>5</v>
      </c>
      <c r="D1043" s="136">
        <f t="shared" si="55"/>
        <v>20</v>
      </c>
      <c r="E1043" s="136">
        <f t="shared" si="56"/>
        <v>13</v>
      </c>
      <c r="F1043" s="128" t="s">
        <v>65</v>
      </c>
      <c r="G1043" s="128" t="str">
        <f>VLOOKUP(source[[#This Row],[lending_product_transform]],[3]Mapping!$B$4:$C$37,2,0)</f>
        <v>[BE] - Cashloan</v>
      </c>
      <c r="H1043" s="128" t="str">
        <f>VLOOKUP(source[[#This Row],[lending_product_transform]],[3]Mapping!$B$3:$D$37,3,0)</f>
        <v>cashloan</v>
      </c>
      <c r="I1043" s="135">
        <v>166200000</v>
      </c>
    </row>
    <row r="1044" spans="1:9" x14ac:dyDescent="0.2">
      <c r="A1044" s="134">
        <v>45426</v>
      </c>
      <c r="B1044" s="135">
        <f>YEAR(source[[#This Row],[report_date]])</f>
        <v>2024</v>
      </c>
      <c r="C1044" s="136">
        <v>5</v>
      </c>
      <c r="D1044" s="136">
        <f t="shared" si="55"/>
        <v>20</v>
      </c>
      <c r="E1044" s="136">
        <f t="shared" si="56"/>
        <v>14</v>
      </c>
      <c r="F1044" s="128" t="s">
        <v>19</v>
      </c>
      <c r="G1044" s="128" t="str">
        <f>VLOOKUP(source[[#This Row],[lending_product_transform]],[3]Mapping!$B$4:$C$37,2,0)</f>
        <v>[VDS] - Payday</v>
      </c>
      <c r="H1044" s="128" t="str">
        <f>VLOOKUP(source[[#This Row],[lending_product_transform]],[3]Mapping!$B$3:$D$37,3,0)</f>
        <v>payday</v>
      </c>
      <c r="I1044" s="135">
        <v>2625500000</v>
      </c>
    </row>
    <row r="1045" spans="1:9" x14ac:dyDescent="0.2">
      <c r="A1045" s="134">
        <v>45426</v>
      </c>
      <c r="B1045" s="135">
        <f>YEAR(source[[#This Row],[report_date]])</f>
        <v>2024</v>
      </c>
      <c r="C1045" s="136">
        <v>5</v>
      </c>
      <c r="D1045" s="136">
        <f t="shared" si="55"/>
        <v>20</v>
      </c>
      <c r="E1045" s="136">
        <f t="shared" si="56"/>
        <v>14</v>
      </c>
      <c r="F1045" s="128" t="s">
        <v>206</v>
      </c>
      <c r="G1045" s="128" t="str">
        <f>VLOOKUP(source[[#This Row],[lending_product_transform]],[3]Mapping!$B$4:$C$37,2,0)</f>
        <v>[NGS] - Cashloan</v>
      </c>
      <c r="H1045" s="128" t="str">
        <f>VLOOKUP(source[[#This Row],[lending_product_transform]],[3]Mapping!$B$3:$D$37,3,0)</f>
        <v>cashloan</v>
      </c>
      <c r="I1045" s="135">
        <v>191530000</v>
      </c>
    </row>
    <row r="1046" spans="1:9" x14ac:dyDescent="0.2">
      <c r="A1046" s="134">
        <v>45426</v>
      </c>
      <c r="B1046" s="135">
        <f>YEAR(source[[#This Row],[report_date]])</f>
        <v>2024</v>
      </c>
      <c r="C1046" s="136">
        <v>5</v>
      </c>
      <c r="D1046" s="136">
        <f t="shared" si="55"/>
        <v>20</v>
      </c>
      <c r="E1046" s="136">
        <f t="shared" si="56"/>
        <v>14</v>
      </c>
      <c r="F1046" s="128" t="s">
        <v>238</v>
      </c>
      <c r="G1046" s="128" t="str">
        <f>VLOOKUP(source[[#This Row],[lending_product_transform]],[3]Mapping!$B$4:$C$37,2,0)</f>
        <v>[VDS] - Cashloan LP</v>
      </c>
      <c r="H1046" s="128" t="str">
        <f>VLOOKUP(source[[#This Row],[lending_product_transform]],[3]Mapping!$B$3:$D$37,3,0)</f>
        <v>cashloan</v>
      </c>
      <c r="I1046" s="135">
        <v>26420000</v>
      </c>
    </row>
    <row r="1047" spans="1:9" x14ac:dyDescent="0.2">
      <c r="A1047" s="134">
        <v>45426</v>
      </c>
      <c r="B1047" s="135">
        <f>YEAR(source[[#This Row],[report_date]])</f>
        <v>2024</v>
      </c>
      <c r="C1047" s="136">
        <v>5</v>
      </c>
      <c r="D1047" s="136">
        <f t="shared" si="55"/>
        <v>20</v>
      </c>
      <c r="E1047" s="136">
        <f t="shared" si="56"/>
        <v>14</v>
      </c>
      <c r="F1047" s="128" t="s">
        <v>58</v>
      </c>
      <c r="G1047" s="128" t="str">
        <f>VLOOKUP(source[[#This Row],[lending_product_transform]],[3]Mapping!$B$4:$C$37,2,0)</f>
        <v>[VDS] - Payroll Cashloan</v>
      </c>
      <c r="H1047" s="128" t="str">
        <f>VLOOKUP(source[[#This Row],[lending_product_transform]],[3]Mapping!$B$3:$D$37,3,0)</f>
        <v>cashloan</v>
      </c>
      <c r="I1047" s="135">
        <v>153300000</v>
      </c>
    </row>
    <row r="1048" spans="1:9" x14ac:dyDescent="0.2">
      <c r="A1048" s="134">
        <v>45426</v>
      </c>
      <c r="B1048" s="135">
        <f>YEAR(source[[#This Row],[report_date]])</f>
        <v>2024</v>
      </c>
      <c r="C1048" s="136">
        <v>5</v>
      </c>
      <c r="D1048" s="136">
        <f t="shared" si="55"/>
        <v>20</v>
      </c>
      <c r="E1048" s="136">
        <f t="shared" si="56"/>
        <v>14</v>
      </c>
      <c r="F1048" s="128" t="s">
        <v>61</v>
      </c>
      <c r="G1048" s="128" t="str">
        <f>VLOOKUP(source[[#This Row],[lending_product_transform]],[3]Mapping!$B$4:$C$37,2,0)</f>
        <v>[VDS] - Payroll Payday</v>
      </c>
      <c r="H1048" s="128" t="str">
        <f>VLOOKUP(source[[#This Row],[lending_product_transform]],[3]Mapping!$B$3:$D$37,3,0)</f>
        <v>payday</v>
      </c>
      <c r="I1048" s="135">
        <v>20000000</v>
      </c>
    </row>
    <row r="1049" spans="1:9" x14ac:dyDescent="0.2">
      <c r="A1049" s="134">
        <v>45426</v>
      </c>
      <c r="B1049" s="135">
        <f>YEAR(source[[#This Row],[report_date]])</f>
        <v>2024</v>
      </c>
      <c r="C1049" s="136">
        <v>5</v>
      </c>
      <c r="D1049" s="136">
        <f t="shared" si="55"/>
        <v>20</v>
      </c>
      <c r="E1049" s="136">
        <f t="shared" si="56"/>
        <v>14</v>
      </c>
      <c r="F1049" s="128" t="s">
        <v>62</v>
      </c>
      <c r="G1049" s="128" t="str">
        <f>VLOOKUP(source[[#This Row],[lending_product_transform]],[3]Mapping!$B$4:$C$37,2,0)</f>
        <v>[VDS] - Paylater</v>
      </c>
      <c r="H1049" s="128" t="str">
        <f>VLOOKUP(source[[#This Row],[lending_product_transform]],[3]Mapping!$B$3:$D$37,3,0)</f>
        <v>paylater</v>
      </c>
      <c r="I1049" s="135">
        <v>33209811</v>
      </c>
    </row>
    <row r="1050" spans="1:9" x14ac:dyDescent="0.2">
      <c r="A1050" s="134">
        <v>45426</v>
      </c>
      <c r="B1050" s="135">
        <f>YEAR(source[[#This Row],[report_date]])</f>
        <v>2024</v>
      </c>
      <c r="C1050" s="136">
        <v>5</v>
      </c>
      <c r="D1050" s="136">
        <f t="shared" si="55"/>
        <v>20</v>
      </c>
      <c r="E1050" s="136">
        <f t="shared" si="56"/>
        <v>14</v>
      </c>
      <c r="F1050" s="128" t="s">
        <v>56</v>
      </c>
      <c r="G1050" s="128">
        <f>VLOOKUP(source[[#This Row],[lending_product_transform]],[3]Mapping!$B$4:$C$37,2,0)</f>
        <v>0</v>
      </c>
      <c r="H1050" s="128">
        <f>VLOOKUP(source[[#This Row],[lending_product_transform]],[3]Mapping!$B$3:$D$37,3,0)</f>
        <v>0</v>
      </c>
      <c r="I1050" s="135">
        <v>8960730873</v>
      </c>
    </row>
    <row r="1051" spans="1:9" x14ac:dyDescent="0.2">
      <c r="A1051" s="134">
        <v>45426</v>
      </c>
      <c r="B1051" s="135">
        <f>YEAR(source[[#This Row],[report_date]])</f>
        <v>2024</v>
      </c>
      <c r="C1051" s="136">
        <v>5</v>
      </c>
      <c r="D1051" s="136">
        <f t="shared" si="55"/>
        <v>20</v>
      </c>
      <c r="E1051" s="136">
        <f t="shared" si="56"/>
        <v>14</v>
      </c>
      <c r="F1051" s="128" t="s">
        <v>11</v>
      </c>
      <c r="G1051" s="128" t="str">
        <f>VLOOKUP(source[[#This Row],[lending_product_transform]],[3]Mapping!$B$4:$C$37,2,0)</f>
        <v>[VDS] - Cashloan</v>
      </c>
      <c r="H1051" s="128" t="str">
        <f>VLOOKUP(source[[#This Row],[lending_product_transform]],[3]Mapping!$B$3:$D$37,3,0)</f>
        <v>cashloan</v>
      </c>
      <c r="I1051" s="135">
        <v>3782920000</v>
      </c>
    </row>
    <row r="1052" spans="1:9" x14ac:dyDescent="0.2">
      <c r="A1052" s="134">
        <v>45426</v>
      </c>
      <c r="B1052" s="135">
        <f>YEAR(source[[#This Row],[report_date]])</f>
        <v>2024</v>
      </c>
      <c r="C1052" s="136">
        <v>5</v>
      </c>
      <c r="D1052" s="136">
        <f t="shared" si="55"/>
        <v>20</v>
      </c>
      <c r="E1052" s="136">
        <f t="shared" si="56"/>
        <v>14</v>
      </c>
      <c r="F1052" s="128" t="s">
        <v>65</v>
      </c>
      <c r="G1052" s="128" t="str">
        <f>VLOOKUP(source[[#This Row],[lending_product_transform]],[3]Mapping!$B$4:$C$37,2,0)</f>
        <v>[BE] - Cashloan</v>
      </c>
      <c r="H1052" s="128" t="str">
        <f>VLOOKUP(source[[#This Row],[lending_product_transform]],[3]Mapping!$B$3:$D$37,3,0)</f>
        <v>cashloan</v>
      </c>
      <c r="I1052" s="135">
        <v>161700000</v>
      </c>
    </row>
    <row r="1053" spans="1:9" x14ac:dyDescent="0.2">
      <c r="A1053" s="134">
        <v>45426</v>
      </c>
      <c r="B1053" s="135">
        <f>YEAR(source[[#This Row],[report_date]])</f>
        <v>2024</v>
      </c>
      <c r="C1053" s="136">
        <v>5</v>
      </c>
      <c r="D1053" s="136">
        <f t="shared" si="55"/>
        <v>20</v>
      </c>
      <c r="E1053" s="136">
        <f t="shared" si="56"/>
        <v>14</v>
      </c>
      <c r="F1053" s="128" t="s">
        <v>67</v>
      </c>
      <c r="G1053" s="128" t="str">
        <f>VLOOKUP(source[[#This Row],[lending_product_transform]],[3]Mapping!$B$4:$C$37,2,0)</f>
        <v>[Cake] - Overdraft</v>
      </c>
      <c r="H1053" s="128" t="str">
        <f>VLOOKUP(source[[#This Row],[lending_product_transform]],[3]Mapping!$B$3:$D$37,3,0)</f>
        <v>overdraft</v>
      </c>
      <c r="I1053" s="135">
        <v>1966151062</v>
      </c>
    </row>
    <row r="1054" spans="1:9" x14ac:dyDescent="0.2">
      <c r="A1054" s="134">
        <v>45427</v>
      </c>
      <c r="B1054" s="135">
        <f>YEAR(source[[#This Row],[report_date]])</f>
        <v>2024</v>
      </c>
      <c r="C1054" s="136">
        <v>5</v>
      </c>
      <c r="D1054" s="136">
        <f t="shared" si="55"/>
        <v>20</v>
      </c>
      <c r="E1054" s="136">
        <f t="shared" si="56"/>
        <v>15</v>
      </c>
      <c r="F1054" s="128" t="s">
        <v>62</v>
      </c>
      <c r="G1054" s="128" t="str">
        <f>VLOOKUP(source[[#This Row],[lending_product_transform]],[3]Mapping!$B$4:$C$37,2,0)</f>
        <v>[VDS] - Paylater</v>
      </c>
      <c r="H1054" s="128" t="str">
        <f>VLOOKUP(source[[#This Row],[lending_product_transform]],[3]Mapping!$B$3:$D$37,3,0)</f>
        <v>paylater</v>
      </c>
      <c r="I1054" s="135">
        <v>52934052</v>
      </c>
    </row>
    <row r="1055" spans="1:9" x14ac:dyDescent="0.2">
      <c r="A1055" s="134">
        <v>45427</v>
      </c>
      <c r="B1055" s="135">
        <f>YEAR(source[[#This Row],[report_date]])</f>
        <v>2024</v>
      </c>
      <c r="C1055" s="136">
        <v>5</v>
      </c>
      <c r="D1055" s="136">
        <f t="shared" si="55"/>
        <v>20</v>
      </c>
      <c r="E1055" s="136">
        <f t="shared" si="56"/>
        <v>15</v>
      </c>
      <c r="F1055" s="128" t="s">
        <v>11</v>
      </c>
      <c r="G1055" s="128" t="str">
        <f>VLOOKUP(source[[#This Row],[lending_product_transform]],[3]Mapping!$B$4:$C$37,2,0)</f>
        <v>[VDS] - Cashloan</v>
      </c>
      <c r="H1055" s="128" t="str">
        <f>VLOOKUP(source[[#This Row],[lending_product_transform]],[3]Mapping!$B$3:$D$37,3,0)</f>
        <v>cashloan</v>
      </c>
      <c r="I1055" s="135">
        <v>3782450000</v>
      </c>
    </row>
    <row r="1056" spans="1:9" x14ac:dyDescent="0.2">
      <c r="A1056" s="134">
        <v>45427</v>
      </c>
      <c r="B1056" s="135">
        <f>YEAR(source[[#This Row],[report_date]])</f>
        <v>2024</v>
      </c>
      <c r="C1056" s="136">
        <v>5</v>
      </c>
      <c r="D1056" s="136">
        <f t="shared" si="55"/>
        <v>20</v>
      </c>
      <c r="E1056" s="136">
        <f t="shared" si="56"/>
        <v>15</v>
      </c>
      <c r="F1056" s="128" t="s">
        <v>65</v>
      </c>
      <c r="G1056" s="128" t="str">
        <f>VLOOKUP(source[[#This Row],[lending_product_transform]],[3]Mapping!$B$4:$C$37,2,0)</f>
        <v>[BE] - Cashloan</v>
      </c>
      <c r="H1056" s="128" t="str">
        <f>VLOOKUP(source[[#This Row],[lending_product_transform]],[3]Mapping!$B$3:$D$37,3,0)</f>
        <v>cashloan</v>
      </c>
      <c r="I1056" s="135">
        <v>120250000</v>
      </c>
    </row>
    <row r="1057" spans="1:9" x14ac:dyDescent="0.2">
      <c r="A1057" s="134">
        <v>45427</v>
      </c>
      <c r="B1057" s="135">
        <f>YEAR(source[[#This Row],[report_date]])</f>
        <v>2024</v>
      </c>
      <c r="C1057" s="136">
        <v>5</v>
      </c>
      <c r="D1057" s="136">
        <f t="shared" si="55"/>
        <v>20</v>
      </c>
      <c r="E1057" s="136">
        <f t="shared" si="56"/>
        <v>15</v>
      </c>
      <c r="F1057" s="128" t="s">
        <v>206</v>
      </c>
      <c r="G1057" s="128" t="str">
        <f>VLOOKUP(source[[#This Row],[lending_product_transform]],[3]Mapping!$B$4:$C$37,2,0)</f>
        <v>[NGS] - Cashloan</v>
      </c>
      <c r="H1057" s="128" t="str">
        <f>VLOOKUP(source[[#This Row],[lending_product_transform]],[3]Mapping!$B$3:$D$37,3,0)</f>
        <v>cashloan</v>
      </c>
      <c r="I1057" s="135">
        <v>267330000</v>
      </c>
    </row>
    <row r="1058" spans="1:9" x14ac:dyDescent="0.2">
      <c r="A1058" s="134">
        <v>45427</v>
      </c>
      <c r="B1058" s="135">
        <f>YEAR(source[[#This Row],[report_date]])</f>
        <v>2024</v>
      </c>
      <c r="C1058" s="136">
        <v>5</v>
      </c>
      <c r="D1058" s="136">
        <f t="shared" si="55"/>
        <v>20</v>
      </c>
      <c r="E1058" s="136">
        <f t="shared" si="56"/>
        <v>15</v>
      </c>
      <c r="F1058" s="128" t="s">
        <v>238</v>
      </c>
      <c r="G1058" s="128" t="str">
        <f>VLOOKUP(source[[#This Row],[lending_product_transform]],[3]Mapping!$B$4:$C$37,2,0)</f>
        <v>[VDS] - Cashloan LP</v>
      </c>
      <c r="H1058" s="128" t="str">
        <f>VLOOKUP(source[[#This Row],[lending_product_transform]],[3]Mapping!$B$3:$D$37,3,0)</f>
        <v>cashloan</v>
      </c>
      <c r="I1058" s="135">
        <v>0</v>
      </c>
    </row>
    <row r="1059" spans="1:9" x14ac:dyDescent="0.2">
      <c r="A1059" s="134">
        <v>45427</v>
      </c>
      <c r="B1059" s="135">
        <f>YEAR(source[[#This Row],[report_date]])</f>
        <v>2024</v>
      </c>
      <c r="C1059" s="136">
        <v>5</v>
      </c>
      <c r="D1059" s="136">
        <f t="shared" si="55"/>
        <v>20</v>
      </c>
      <c r="E1059" s="136">
        <f t="shared" si="56"/>
        <v>15</v>
      </c>
      <c r="F1059" s="128" t="s">
        <v>61</v>
      </c>
      <c r="G1059" s="128" t="str">
        <f>VLOOKUP(source[[#This Row],[lending_product_transform]],[3]Mapping!$B$4:$C$37,2,0)</f>
        <v>[VDS] - Payroll Payday</v>
      </c>
      <c r="H1059" s="128" t="str">
        <f>VLOOKUP(source[[#This Row],[lending_product_transform]],[3]Mapping!$B$3:$D$37,3,0)</f>
        <v>payday</v>
      </c>
      <c r="I1059" s="135">
        <v>26000000</v>
      </c>
    </row>
    <row r="1060" spans="1:9" x14ac:dyDescent="0.2">
      <c r="A1060" s="134">
        <v>45427</v>
      </c>
      <c r="B1060" s="135">
        <f>YEAR(source[[#This Row],[report_date]])</f>
        <v>2024</v>
      </c>
      <c r="C1060" s="136">
        <v>5</v>
      </c>
      <c r="D1060" s="136">
        <f t="shared" si="55"/>
        <v>20</v>
      </c>
      <c r="E1060" s="136">
        <f t="shared" si="56"/>
        <v>15</v>
      </c>
      <c r="F1060" s="128" t="s">
        <v>58</v>
      </c>
      <c r="G1060" s="128" t="str">
        <f>VLOOKUP(source[[#This Row],[lending_product_transform]],[3]Mapping!$B$4:$C$37,2,0)</f>
        <v>[VDS] - Payroll Cashloan</v>
      </c>
      <c r="H1060" s="128" t="str">
        <f>VLOOKUP(source[[#This Row],[lending_product_transform]],[3]Mapping!$B$3:$D$37,3,0)</f>
        <v>cashloan</v>
      </c>
      <c r="I1060" s="135">
        <v>116550000</v>
      </c>
    </row>
    <row r="1061" spans="1:9" x14ac:dyDescent="0.2">
      <c r="A1061" s="134">
        <v>45427</v>
      </c>
      <c r="B1061" s="135">
        <f>YEAR(source[[#This Row],[report_date]])</f>
        <v>2024</v>
      </c>
      <c r="C1061" s="136">
        <v>5</v>
      </c>
      <c r="D1061" s="136">
        <f t="shared" si="55"/>
        <v>20</v>
      </c>
      <c r="E1061" s="136">
        <f t="shared" si="56"/>
        <v>15</v>
      </c>
      <c r="F1061" s="128" t="s">
        <v>56</v>
      </c>
      <c r="G1061" s="128">
        <f>VLOOKUP(source[[#This Row],[lending_product_transform]],[3]Mapping!$B$4:$C$37,2,0)</f>
        <v>0</v>
      </c>
      <c r="H1061" s="128">
        <f>VLOOKUP(source[[#This Row],[lending_product_transform]],[3]Mapping!$B$3:$D$37,3,0)</f>
        <v>0</v>
      </c>
      <c r="I1061" s="135">
        <v>9339919848</v>
      </c>
    </row>
    <row r="1062" spans="1:9" x14ac:dyDescent="0.2">
      <c r="A1062" s="134">
        <v>45427</v>
      </c>
      <c r="B1062" s="135">
        <f>YEAR(source[[#This Row],[report_date]])</f>
        <v>2024</v>
      </c>
      <c r="C1062" s="136">
        <v>5</v>
      </c>
      <c r="D1062" s="136">
        <f t="shared" si="55"/>
        <v>20</v>
      </c>
      <c r="E1062" s="136">
        <f t="shared" si="56"/>
        <v>15</v>
      </c>
      <c r="F1062" s="128" t="s">
        <v>67</v>
      </c>
      <c r="G1062" s="128" t="str">
        <f>VLOOKUP(source[[#This Row],[lending_product_transform]],[3]Mapping!$B$4:$C$37,2,0)</f>
        <v>[Cake] - Overdraft</v>
      </c>
      <c r="H1062" s="128" t="str">
        <f>VLOOKUP(source[[#This Row],[lending_product_transform]],[3]Mapping!$B$3:$D$37,3,0)</f>
        <v>overdraft</v>
      </c>
      <c r="I1062" s="135">
        <v>2246405796</v>
      </c>
    </row>
    <row r="1063" spans="1:9" x14ac:dyDescent="0.2">
      <c r="A1063" s="134">
        <v>45427</v>
      </c>
      <c r="B1063" s="135">
        <f>YEAR(source[[#This Row],[report_date]])</f>
        <v>2024</v>
      </c>
      <c r="C1063" s="136">
        <v>5</v>
      </c>
      <c r="D1063" s="136">
        <f t="shared" si="55"/>
        <v>20</v>
      </c>
      <c r="E1063" s="136">
        <f t="shared" si="56"/>
        <v>15</v>
      </c>
      <c r="F1063" s="128" t="s">
        <v>19</v>
      </c>
      <c r="G1063" s="128" t="str">
        <f>VLOOKUP(source[[#This Row],[lending_product_transform]],[3]Mapping!$B$4:$C$37,2,0)</f>
        <v>[VDS] - Payday</v>
      </c>
      <c r="H1063" s="128" t="str">
        <f>VLOOKUP(source[[#This Row],[lending_product_transform]],[3]Mapping!$B$3:$D$37,3,0)</f>
        <v>payday</v>
      </c>
      <c r="I1063" s="135">
        <v>2728000000</v>
      </c>
    </row>
    <row r="1064" spans="1:9" x14ac:dyDescent="0.2">
      <c r="A1064" s="134">
        <v>45428</v>
      </c>
      <c r="B1064" s="135">
        <f>YEAR(source[[#This Row],[report_date]])</f>
        <v>2024</v>
      </c>
      <c r="C1064" s="136">
        <v>5</v>
      </c>
      <c r="D1064" s="136">
        <f t="shared" si="55"/>
        <v>20</v>
      </c>
      <c r="E1064" s="136">
        <f t="shared" si="56"/>
        <v>16</v>
      </c>
      <c r="F1064" s="128" t="s">
        <v>238</v>
      </c>
      <c r="G1064" s="128" t="str">
        <f>VLOOKUP(source[[#This Row],[lending_product_transform]],[3]Mapping!$B$4:$C$37,2,0)</f>
        <v>[VDS] - Cashloan LP</v>
      </c>
      <c r="H1064" s="128" t="str">
        <f>VLOOKUP(source[[#This Row],[lending_product_transform]],[3]Mapping!$B$3:$D$37,3,0)</f>
        <v>cashloan</v>
      </c>
      <c r="I1064" s="135">
        <v>14000000</v>
      </c>
    </row>
    <row r="1065" spans="1:9" x14ac:dyDescent="0.2">
      <c r="A1065" s="134">
        <v>45428</v>
      </c>
      <c r="B1065" s="135">
        <f>YEAR(source[[#This Row],[report_date]])</f>
        <v>2024</v>
      </c>
      <c r="C1065" s="136">
        <v>5</v>
      </c>
      <c r="D1065" s="136">
        <f t="shared" si="55"/>
        <v>20</v>
      </c>
      <c r="E1065" s="136">
        <f t="shared" si="56"/>
        <v>16</v>
      </c>
      <c r="F1065" s="128" t="s">
        <v>65</v>
      </c>
      <c r="G1065" s="128" t="str">
        <f>VLOOKUP(source[[#This Row],[lending_product_transform]],[3]Mapping!$B$4:$C$37,2,0)</f>
        <v>[BE] - Cashloan</v>
      </c>
      <c r="H1065" s="128" t="str">
        <f>VLOOKUP(source[[#This Row],[lending_product_transform]],[3]Mapping!$B$3:$D$37,3,0)</f>
        <v>cashloan</v>
      </c>
      <c r="I1065" s="135">
        <v>189000000</v>
      </c>
    </row>
    <row r="1066" spans="1:9" x14ac:dyDescent="0.2">
      <c r="A1066" s="134">
        <v>45428</v>
      </c>
      <c r="B1066" s="135">
        <f>YEAR(source[[#This Row],[report_date]])</f>
        <v>2024</v>
      </c>
      <c r="C1066" s="136">
        <v>5</v>
      </c>
      <c r="D1066" s="136">
        <f t="shared" si="55"/>
        <v>20</v>
      </c>
      <c r="E1066" s="136">
        <f t="shared" si="56"/>
        <v>16</v>
      </c>
      <c r="F1066" s="128" t="s">
        <v>62</v>
      </c>
      <c r="G1066" s="128" t="str">
        <f>VLOOKUP(source[[#This Row],[lending_product_transform]],[3]Mapping!$B$4:$C$37,2,0)</f>
        <v>[VDS] - Paylater</v>
      </c>
      <c r="H1066" s="128" t="str">
        <f>VLOOKUP(source[[#This Row],[lending_product_transform]],[3]Mapping!$B$3:$D$37,3,0)</f>
        <v>paylater</v>
      </c>
      <c r="I1066" s="135">
        <v>38926320</v>
      </c>
    </row>
    <row r="1067" spans="1:9" x14ac:dyDescent="0.2">
      <c r="A1067" s="134">
        <v>45428</v>
      </c>
      <c r="B1067" s="135">
        <f>YEAR(source[[#This Row],[report_date]])</f>
        <v>2024</v>
      </c>
      <c r="C1067" s="136">
        <v>5</v>
      </c>
      <c r="D1067" s="136">
        <f t="shared" si="55"/>
        <v>20</v>
      </c>
      <c r="E1067" s="136">
        <f t="shared" si="56"/>
        <v>16</v>
      </c>
      <c r="F1067" s="128" t="s">
        <v>19</v>
      </c>
      <c r="G1067" s="128" t="str">
        <f>VLOOKUP(source[[#This Row],[lending_product_transform]],[3]Mapping!$B$4:$C$37,2,0)</f>
        <v>[VDS] - Payday</v>
      </c>
      <c r="H1067" s="128" t="str">
        <f>VLOOKUP(source[[#This Row],[lending_product_transform]],[3]Mapping!$B$3:$D$37,3,0)</f>
        <v>payday</v>
      </c>
      <c r="I1067" s="135">
        <v>2621000000</v>
      </c>
    </row>
    <row r="1068" spans="1:9" x14ac:dyDescent="0.2">
      <c r="A1068" s="134">
        <v>45428</v>
      </c>
      <c r="B1068" s="135">
        <f>YEAR(source[[#This Row],[report_date]])</f>
        <v>2024</v>
      </c>
      <c r="C1068" s="136">
        <v>5</v>
      </c>
      <c r="D1068" s="136">
        <f t="shared" si="55"/>
        <v>20</v>
      </c>
      <c r="E1068" s="136">
        <f t="shared" si="56"/>
        <v>16</v>
      </c>
      <c r="F1068" s="128" t="s">
        <v>58</v>
      </c>
      <c r="G1068" s="128" t="str">
        <f>VLOOKUP(source[[#This Row],[lending_product_transform]],[3]Mapping!$B$4:$C$37,2,0)</f>
        <v>[VDS] - Payroll Cashloan</v>
      </c>
      <c r="H1068" s="128" t="str">
        <f>VLOOKUP(source[[#This Row],[lending_product_transform]],[3]Mapping!$B$3:$D$37,3,0)</f>
        <v>cashloan</v>
      </c>
      <c r="I1068" s="135">
        <v>47250000</v>
      </c>
    </row>
    <row r="1069" spans="1:9" x14ac:dyDescent="0.2">
      <c r="A1069" s="134">
        <v>45428</v>
      </c>
      <c r="B1069" s="135">
        <f>YEAR(source[[#This Row],[report_date]])</f>
        <v>2024</v>
      </c>
      <c r="C1069" s="136">
        <v>5</v>
      </c>
      <c r="D1069" s="136">
        <f t="shared" si="55"/>
        <v>20</v>
      </c>
      <c r="E1069" s="136">
        <f t="shared" si="56"/>
        <v>16</v>
      </c>
      <c r="F1069" s="128" t="s">
        <v>11</v>
      </c>
      <c r="G1069" s="128" t="str">
        <f>VLOOKUP(source[[#This Row],[lending_product_transform]],[3]Mapping!$B$4:$C$37,2,0)</f>
        <v>[VDS] - Cashloan</v>
      </c>
      <c r="H1069" s="128" t="str">
        <f>VLOOKUP(source[[#This Row],[lending_product_transform]],[3]Mapping!$B$3:$D$37,3,0)</f>
        <v>cashloan</v>
      </c>
      <c r="I1069" s="135">
        <v>3433540000</v>
      </c>
    </row>
    <row r="1070" spans="1:9" x14ac:dyDescent="0.2">
      <c r="A1070" s="134">
        <v>45428</v>
      </c>
      <c r="B1070" s="135">
        <f>YEAR(source[[#This Row],[report_date]])</f>
        <v>2024</v>
      </c>
      <c r="C1070" s="136">
        <v>5</v>
      </c>
      <c r="D1070" s="136">
        <f t="shared" si="55"/>
        <v>20</v>
      </c>
      <c r="E1070" s="136">
        <f t="shared" si="56"/>
        <v>16</v>
      </c>
      <c r="F1070" s="128" t="s">
        <v>61</v>
      </c>
      <c r="G1070" s="128" t="str">
        <f>VLOOKUP(source[[#This Row],[lending_product_transform]],[3]Mapping!$B$4:$C$37,2,0)</f>
        <v>[VDS] - Payroll Payday</v>
      </c>
      <c r="H1070" s="128" t="str">
        <f>VLOOKUP(source[[#This Row],[lending_product_transform]],[3]Mapping!$B$3:$D$37,3,0)</f>
        <v>payday</v>
      </c>
      <c r="I1070" s="135">
        <v>19000000</v>
      </c>
    </row>
    <row r="1071" spans="1:9" x14ac:dyDescent="0.2">
      <c r="A1071" s="134">
        <v>45428</v>
      </c>
      <c r="B1071" s="135">
        <f>YEAR(source[[#This Row],[report_date]])</f>
        <v>2024</v>
      </c>
      <c r="C1071" s="136">
        <v>5</v>
      </c>
      <c r="D1071" s="136">
        <f t="shared" si="55"/>
        <v>20</v>
      </c>
      <c r="E1071" s="136">
        <f t="shared" si="56"/>
        <v>16</v>
      </c>
      <c r="F1071" s="128" t="s">
        <v>56</v>
      </c>
      <c r="G1071" s="128">
        <f>VLOOKUP(source[[#This Row],[lending_product_transform]],[3]Mapping!$B$4:$C$37,2,0)</f>
        <v>0</v>
      </c>
      <c r="H1071" s="128">
        <f>VLOOKUP(source[[#This Row],[lending_product_transform]],[3]Mapping!$B$3:$D$37,3,0)</f>
        <v>0</v>
      </c>
      <c r="I1071" s="135">
        <v>8514101335</v>
      </c>
    </row>
    <row r="1072" spans="1:9" x14ac:dyDescent="0.2">
      <c r="A1072" s="134">
        <v>45428</v>
      </c>
      <c r="B1072" s="135">
        <f>YEAR(source[[#This Row],[report_date]])</f>
        <v>2024</v>
      </c>
      <c r="C1072" s="136">
        <v>5</v>
      </c>
      <c r="D1072" s="136">
        <f t="shared" si="55"/>
        <v>20</v>
      </c>
      <c r="E1072" s="136">
        <f t="shared" si="56"/>
        <v>16</v>
      </c>
      <c r="F1072" s="128" t="s">
        <v>206</v>
      </c>
      <c r="G1072" s="128" t="str">
        <f>VLOOKUP(source[[#This Row],[lending_product_transform]],[3]Mapping!$B$4:$C$37,2,0)</f>
        <v>[NGS] - Cashloan</v>
      </c>
      <c r="H1072" s="128" t="str">
        <f>VLOOKUP(source[[#This Row],[lending_product_transform]],[3]Mapping!$B$3:$D$37,3,0)</f>
        <v>cashloan</v>
      </c>
      <c r="I1072" s="135">
        <v>225770000</v>
      </c>
    </row>
    <row r="1073" spans="1:9" x14ac:dyDescent="0.2">
      <c r="A1073" s="134">
        <v>45428</v>
      </c>
      <c r="B1073" s="135">
        <f>YEAR(source[[#This Row],[report_date]])</f>
        <v>2024</v>
      </c>
      <c r="C1073" s="136">
        <v>5</v>
      </c>
      <c r="D1073" s="136">
        <f t="shared" si="55"/>
        <v>20</v>
      </c>
      <c r="E1073" s="136">
        <f t="shared" si="56"/>
        <v>16</v>
      </c>
      <c r="F1073" s="128" t="s">
        <v>67</v>
      </c>
      <c r="G1073" s="128" t="str">
        <f>VLOOKUP(source[[#This Row],[lending_product_transform]],[3]Mapping!$B$4:$C$37,2,0)</f>
        <v>[Cake] - Overdraft</v>
      </c>
      <c r="H1073" s="128" t="str">
        <f>VLOOKUP(source[[#This Row],[lending_product_transform]],[3]Mapping!$B$3:$D$37,3,0)</f>
        <v>overdraft</v>
      </c>
      <c r="I1073" s="135">
        <v>1925615015</v>
      </c>
    </row>
    <row r="1074" spans="1:9" x14ac:dyDescent="0.2">
      <c r="A1074" s="134">
        <v>45429</v>
      </c>
      <c r="B1074" s="135">
        <f>YEAR(source[[#This Row],[report_date]])</f>
        <v>2024</v>
      </c>
      <c r="C1074" s="136">
        <v>5</v>
      </c>
      <c r="D1074" s="136">
        <f t="shared" si="55"/>
        <v>20</v>
      </c>
      <c r="E1074" s="136">
        <f t="shared" si="56"/>
        <v>17</v>
      </c>
      <c r="F1074" s="128" t="s">
        <v>58</v>
      </c>
      <c r="G1074" s="128" t="str">
        <f>VLOOKUP(source[[#This Row],[lending_product_transform]],[3]Mapping!$B$4:$C$37,2,0)</f>
        <v>[VDS] - Payroll Cashloan</v>
      </c>
      <c r="H1074" s="128" t="str">
        <f>VLOOKUP(source[[#This Row],[lending_product_transform]],[3]Mapping!$B$3:$D$37,3,0)</f>
        <v>cashloan</v>
      </c>
      <c r="I1074" s="135">
        <v>19950000</v>
      </c>
    </row>
    <row r="1075" spans="1:9" x14ac:dyDescent="0.2">
      <c r="A1075" s="134">
        <v>45429</v>
      </c>
      <c r="B1075" s="135">
        <f>YEAR(source[[#This Row],[report_date]])</f>
        <v>2024</v>
      </c>
      <c r="C1075" s="136">
        <v>5</v>
      </c>
      <c r="D1075" s="136">
        <f t="shared" si="55"/>
        <v>20</v>
      </c>
      <c r="E1075" s="136">
        <f t="shared" si="56"/>
        <v>17</v>
      </c>
      <c r="F1075" s="128" t="s">
        <v>19</v>
      </c>
      <c r="G1075" s="128" t="str">
        <f>VLOOKUP(source[[#This Row],[lending_product_transform]],[3]Mapping!$B$4:$C$37,2,0)</f>
        <v>[VDS] - Payday</v>
      </c>
      <c r="H1075" s="128" t="str">
        <f>VLOOKUP(source[[#This Row],[lending_product_transform]],[3]Mapping!$B$3:$D$37,3,0)</f>
        <v>payday</v>
      </c>
      <c r="I1075" s="135">
        <v>2618500000</v>
      </c>
    </row>
    <row r="1076" spans="1:9" x14ac:dyDescent="0.2">
      <c r="A1076" s="134">
        <v>45429</v>
      </c>
      <c r="B1076" s="135">
        <f>YEAR(source[[#This Row],[report_date]])</f>
        <v>2024</v>
      </c>
      <c r="C1076" s="136">
        <v>5</v>
      </c>
      <c r="D1076" s="136">
        <f t="shared" si="55"/>
        <v>20</v>
      </c>
      <c r="E1076" s="136">
        <f t="shared" si="56"/>
        <v>17</v>
      </c>
      <c r="F1076" s="128" t="s">
        <v>238</v>
      </c>
      <c r="G1076" s="128" t="str">
        <f>VLOOKUP(source[[#This Row],[lending_product_transform]],[3]Mapping!$B$4:$C$37,2,0)</f>
        <v>[VDS] - Cashloan LP</v>
      </c>
      <c r="H1076" s="128" t="str">
        <f>VLOOKUP(source[[#This Row],[lending_product_transform]],[3]Mapping!$B$3:$D$37,3,0)</f>
        <v>cashloan</v>
      </c>
      <c r="I1076" s="135">
        <v>0</v>
      </c>
    </row>
    <row r="1077" spans="1:9" x14ac:dyDescent="0.2">
      <c r="A1077" s="134">
        <v>45429</v>
      </c>
      <c r="B1077" s="135">
        <f>YEAR(source[[#This Row],[report_date]])</f>
        <v>2024</v>
      </c>
      <c r="C1077" s="136">
        <v>5</v>
      </c>
      <c r="D1077" s="136">
        <f t="shared" si="55"/>
        <v>20</v>
      </c>
      <c r="E1077" s="136">
        <f t="shared" si="56"/>
        <v>17</v>
      </c>
      <c r="F1077" s="128" t="s">
        <v>11</v>
      </c>
      <c r="G1077" s="128" t="str">
        <f>VLOOKUP(source[[#This Row],[lending_product_transform]],[3]Mapping!$B$4:$C$37,2,0)</f>
        <v>[VDS] - Cashloan</v>
      </c>
      <c r="H1077" s="128" t="str">
        <f>VLOOKUP(source[[#This Row],[lending_product_transform]],[3]Mapping!$B$3:$D$37,3,0)</f>
        <v>cashloan</v>
      </c>
      <c r="I1077" s="135">
        <v>3405390000</v>
      </c>
    </row>
    <row r="1078" spans="1:9" x14ac:dyDescent="0.2">
      <c r="A1078" s="134">
        <v>45429</v>
      </c>
      <c r="B1078" s="135">
        <f>YEAR(source[[#This Row],[report_date]])</f>
        <v>2024</v>
      </c>
      <c r="C1078" s="136">
        <v>5</v>
      </c>
      <c r="D1078" s="136">
        <f t="shared" si="55"/>
        <v>20</v>
      </c>
      <c r="E1078" s="136">
        <f t="shared" si="56"/>
        <v>17</v>
      </c>
      <c r="F1078" s="128" t="s">
        <v>206</v>
      </c>
      <c r="G1078" s="128" t="str">
        <f>VLOOKUP(source[[#This Row],[lending_product_transform]],[3]Mapping!$B$4:$C$37,2,0)</f>
        <v>[NGS] - Cashloan</v>
      </c>
      <c r="H1078" s="128" t="str">
        <f>VLOOKUP(source[[#This Row],[lending_product_transform]],[3]Mapping!$B$3:$D$37,3,0)</f>
        <v>cashloan</v>
      </c>
      <c r="I1078" s="135">
        <v>207580000</v>
      </c>
    </row>
    <row r="1079" spans="1:9" x14ac:dyDescent="0.2">
      <c r="A1079" s="134">
        <v>45429</v>
      </c>
      <c r="B1079" s="135">
        <f>YEAR(source[[#This Row],[report_date]])</f>
        <v>2024</v>
      </c>
      <c r="C1079" s="136">
        <v>5</v>
      </c>
      <c r="D1079" s="136">
        <f t="shared" si="55"/>
        <v>20</v>
      </c>
      <c r="E1079" s="136">
        <f t="shared" si="56"/>
        <v>17</v>
      </c>
      <c r="F1079" s="128" t="s">
        <v>56</v>
      </c>
      <c r="G1079" s="128">
        <f>VLOOKUP(source[[#This Row],[lending_product_transform]],[3]Mapping!$B$4:$C$37,2,0)</f>
        <v>0</v>
      </c>
      <c r="H1079" s="128">
        <f>VLOOKUP(source[[#This Row],[lending_product_transform]],[3]Mapping!$B$3:$D$37,3,0)</f>
        <v>0</v>
      </c>
      <c r="I1079" s="135">
        <v>8123784134</v>
      </c>
    </row>
    <row r="1080" spans="1:9" x14ac:dyDescent="0.2">
      <c r="A1080" s="134">
        <v>45429</v>
      </c>
      <c r="B1080" s="135">
        <f>YEAR(source[[#This Row],[report_date]])</f>
        <v>2024</v>
      </c>
      <c r="C1080" s="136">
        <v>5</v>
      </c>
      <c r="D1080" s="136">
        <f t="shared" si="55"/>
        <v>20</v>
      </c>
      <c r="E1080" s="136">
        <f t="shared" si="56"/>
        <v>17</v>
      </c>
      <c r="F1080" s="128" t="s">
        <v>67</v>
      </c>
      <c r="G1080" s="128" t="str">
        <f>VLOOKUP(source[[#This Row],[lending_product_transform]],[3]Mapping!$B$4:$C$37,2,0)</f>
        <v>[Cake] - Overdraft</v>
      </c>
      <c r="H1080" s="128" t="str">
        <f>VLOOKUP(source[[#This Row],[lending_product_transform]],[3]Mapping!$B$3:$D$37,3,0)</f>
        <v>overdraft</v>
      </c>
      <c r="I1080" s="135">
        <v>1701853054</v>
      </c>
    </row>
    <row r="1081" spans="1:9" x14ac:dyDescent="0.2">
      <c r="A1081" s="134">
        <v>45429</v>
      </c>
      <c r="B1081" s="135">
        <f>YEAR(source[[#This Row],[report_date]])</f>
        <v>2024</v>
      </c>
      <c r="C1081" s="136">
        <v>5</v>
      </c>
      <c r="D1081" s="136">
        <f t="shared" si="55"/>
        <v>20</v>
      </c>
      <c r="E1081" s="136">
        <f t="shared" si="56"/>
        <v>17</v>
      </c>
      <c r="F1081" s="128" t="s">
        <v>65</v>
      </c>
      <c r="G1081" s="128" t="str">
        <f>VLOOKUP(source[[#This Row],[lending_product_transform]],[3]Mapping!$B$4:$C$37,2,0)</f>
        <v>[BE] - Cashloan</v>
      </c>
      <c r="H1081" s="128" t="str">
        <f>VLOOKUP(source[[#This Row],[lending_product_transform]],[3]Mapping!$B$3:$D$37,3,0)</f>
        <v>cashloan</v>
      </c>
      <c r="I1081" s="135">
        <v>82950000</v>
      </c>
    </row>
    <row r="1082" spans="1:9" x14ac:dyDescent="0.2">
      <c r="A1082" s="134">
        <v>45429</v>
      </c>
      <c r="B1082" s="135">
        <f>YEAR(source[[#This Row],[report_date]])</f>
        <v>2024</v>
      </c>
      <c r="C1082" s="136">
        <v>5</v>
      </c>
      <c r="D1082" s="136">
        <f t="shared" si="55"/>
        <v>20</v>
      </c>
      <c r="E1082" s="136">
        <f t="shared" si="56"/>
        <v>17</v>
      </c>
      <c r="F1082" s="128" t="s">
        <v>61</v>
      </c>
      <c r="G1082" s="128" t="str">
        <f>VLOOKUP(source[[#This Row],[lending_product_transform]],[3]Mapping!$B$4:$C$37,2,0)</f>
        <v>[VDS] - Payroll Payday</v>
      </c>
      <c r="H1082" s="128" t="str">
        <f>VLOOKUP(source[[#This Row],[lending_product_transform]],[3]Mapping!$B$3:$D$37,3,0)</f>
        <v>payday</v>
      </c>
      <c r="I1082" s="135">
        <v>29000000</v>
      </c>
    </row>
    <row r="1083" spans="1:9" x14ac:dyDescent="0.2">
      <c r="A1083" s="134">
        <v>45429</v>
      </c>
      <c r="B1083" s="135">
        <f>YEAR(source[[#This Row],[report_date]])</f>
        <v>2024</v>
      </c>
      <c r="C1083" s="136">
        <v>5</v>
      </c>
      <c r="D1083" s="136">
        <f t="shared" si="55"/>
        <v>20</v>
      </c>
      <c r="E1083" s="136">
        <f t="shared" si="56"/>
        <v>17</v>
      </c>
      <c r="F1083" s="128" t="s">
        <v>62</v>
      </c>
      <c r="G1083" s="128" t="str">
        <f>VLOOKUP(source[[#This Row],[lending_product_transform]],[3]Mapping!$B$4:$C$37,2,0)</f>
        <v>[VDS] - Paylater</v>
      </c>
      <c r="H1083" s="128" t="str">
        <f>VLOOKUP(source[[#This Row],[lending_product_transform]],[3]Mapping!$B$3:$D$37,3,0)</f>
        <v>paylater</v>
      </c>
      <c r="I1083" s="135">
        <v>58561080</v>
      </c>
    </row>
    <row r="1084" spans="1:9" x14ac:dyDescent="0.2">
      <c r="A1084" s="134">
        <v>45430</v>
      </c>
      <c r="B1084" s="135">
        <f>YEAR(source[[#This Row],[report_date]])</f>
        <v>2024</v>
      </c>
      <c r="C1084" s="136">
        <v>5</v>
      </c>
      <c r="D1084" s="136">
        <f t="shared" si="55"/>
        <v>20</v>
      </c>
      <c r="E1084" s="136">
        <f t="shared" si="56"/>
        <v>18</v>
      </c>
      <c r="F1084" s="128" t="s">
        <v>206</v>
      </c>
      <c r="G1084" s="128" t="str">
        <f>VLOOKUP(source[[#This Row],[lending_product_transform]],[3]Mapping!$B$4:$C$37,2,0)</f>
        <v>[NGS] - Cashloan</v>
      </c>
      <c r="H1084" s="128" t="str">
        <f>VLOOKUP(source[[#This Row],[lending_product_transform]],[3]Mapping!$B$3:$D$37,3,0)</f>
        <v>cashloan</v>
      </c>
      <c r="I1084" s="135">
        <v>145750000</v>
      </c>
    </row>
    <row r="1085" spans="1:9" x14ac:dyDescent="0.2">
      <c r="A1085" s="134">
        <v>45430</v>
      </c>
      <c r="B1085" s="135">
        <f>YEAR(source[[#This Row],[report_date]])</f>
        <v>2024</v>
      </c>
      <c r="C1085" s="136">
        <v>5</v>
      </c>
      <c r="D1085" s="136">
        <f t="shared" si="55"/>
        <v>20</v>
      </c>
      <c r="E1085" s="136">
        <f t="shared" si="56"/>
        <v>18</v>
      </c>
      <c r="F1085" s="128" t="s">
        <v>11</v>
      </c>
      <c r="G1085" s="128" t="str">
        <f>VLOOKUP(source[[#This Row],[lending_product_transform]],[3]Mapping!$B$4:$C$37,2,0)</f>
        <v>[VDS] - Cashloan</v>
      </c>
      <c r="H1085" s="128" t="str">
        <f>VLOOKUP(source[[#This Row],[lending_product_transform]],[3]Mapping!$B$3:$D$37,3,0)</f>
        <v>cashloan</v>
      </c>
      <c r="I1085" s="135">
        <v>2085900000</v>
      </c>
    </row>
    <row r="1086" spans="1:9" x14ac:dyDescent="0.2">
      <c r="A1086" s="134">
        <v>45430</v>
      </c>
      <c r="B1086" s="135">
        <f>YEAR(source[[#This Row],[report_date]])</f>
        <v>2024</v>
      </c>
      <c r="C1086" s="136">
        <v>5</v>
      </c>
      <c r="D1086" s="136">
        <f t="shared" si="55"/>
        <v>20</v>
      </c>
      <c r="E1086" s="136">
        <f t="shared" si="56"/>
        <v>18</v>
      </c>
      <c r="F1086" s="128" t="s">
        <v>238</v>
      </c>
      <c r="G1086" s="128" t="str">
        <f>VLOOKUP(source[[#This Row],[lending_product_transform]],[3]Mapping!$B$4:$C$37,2,0)</f>
        <v>[VDS] - Cashloan LP</v>
      </c>
      <c r="H1086" s="128" t="str">
        <f>VLOOKUP(source[[#This Row],[lending_product_transform]],[3]Mapping!$B$3:$D$37,3,0)</f>
        <v>cashloan</v>
      </c>
      <c r="I1086" s="135">
        <v>8560000</v>
      </c>
    </row>
    <row r="1087" spans="1:9" x14ac:dyDescent="0.2">
      <c r="A1087" s="134">
        <v>45430</v>
      </c>
      <c r="B1087" s="135">
        <f>YEAR(source[[#This Row],[report_date]])</f>
        <v>2024</v>
      </c>
      <c r="C1087" s="136">
        <v>5</v>
      </c>
      <c r="D1087" s="136">
        <f t="shared" si="55"/>
        <v>20</v>
      </c>
      <c r="E1087" s="136">
        <f t="shared" si="56"/>
        <v>18</v>
      </c>
      <c r="F1087" s="128" t="s">
        <v>62</v>
      </c>
      <c r="G1087" s="128" t="str">
        <f>VLOOKUP(source[[#This Row],[lending_product_transform]],[3]Mapping!$B$4:$C$37,2,0)</f>
        <v>[VDS] - Paylater</v>
      </c>
      <c r="H1087" s="128" t="str">
        <f>VLOOKUP(source[[#This Row],[lending_product_transform]],[3]Mapping!$B$3:$D$37,3,0)</f>
        <v>paylater</v>
      </c>
      <c r="I1087" s="135">
        <v>38791442</v>
      </c>
    </row>
    <row r="1088" spans="1:9" x14ac:dyDescent="0.2">
      <c r="A1088" s="134">
        <v>45430</v>
      </c>
      <c r="B1088" s="135">
        <f>YEAR(source[[#This Row],[report_date]])</f>
        <v>2024</v>
      </c>
      <c r="C1088" s="136">
        <v>5</v>
      </c>
      <c r="D1088" s="136">
        <f t="shared" si="55"/>
        <v>20</v>
      </c>
      <c r="E1088" s="136">
        <f t="shared" si="56"/>
        <v>18</v>
      </c>
      <c r="F1088" s="128" t="s">
        <v>58</v>
      </c>
      <c r="G1088" s="128" t="str">
        <f>VLOOKUP(source[[#This Row],[lending_product_transform]],[3]Mapping!$B$4:$C$37,2,0)</f>
        <v>[VDS] - Payroll Cashloan</v>
      </c>
      <c r="H1088" s="128" t="str">
        <f>VLOOKUP(source[[#This Row],[lending_product_transform]],[3]Mapping!$B$3:$D$37,3,0)</f>
        <v>cashloan</v>
      </c>
      <c r="I1088" s="135">
        <v>31500000</v>
      </c>
    </row>
    <row r="1089" spans="1:9" x14ac:dyDescent="0.2">
      <c r="A1089" s="134">
        <v>45430</v>
      </c>
      <c r="B1089" s="135">
        <f>YEAR(source[[#This Row],[report_date]])</f>
        <v>2024</v>
      </c>
      <c r="C1089" s="136">
        <v>5</v>
      </c>
      <c r="D1089" s="136">
        <f t="shared" si="55"/>
        <v>20</v>
      </c>
      <c r="E1089" s="136">
        <f t="shared" si="56"/>
        <v>18</v>
      </c>
      <c r="F1089" s="128" t="s">
        <v>56</v>
      </c>
      <c r="G1089" s="128">
        <f>VLOOKUP(source[[#This Row],[lending_product_transform]],[3]Mapping!$B$4:$C$37,2,0)</f>
        <v>0</v>
      </c>
      <c r="H1089" s="128">
        <f>VLOOKUP(source[[#This Row],[lending_product_transform]],[3]Mapping!$B$3:$D$37,3,0)</f>
        <v>0</v>
      </c>
      <c r="I1089" s="135">
        <v>5645176414</v>
      </c>
    </row>
    <row r="1090" spans="1:9" x14ac:dyDescent="0.2">
      <c r="A1090" s="134">
        <v>45430</v>
      </c>
      <c r="B1090" s="135">
        <f>YEAR(source[[#This Row],[report_date]])</f>
        <v>2024</v>
      </c>
      <c r="C1090" s="136">
        <v>5</v>
      </c>
      <c r="D1090" s="136">
        <f t="shared" si="55"/>
        <v>20</v>
      </c>
      <c r="E1090" s="136">
        <f t="shared" si="56"/>
        <v>18</v>
      </c>
      <c r="F1090" s="128" t="s">
        <v>65</v>
      </c>
      <c r="G1090" s="128" t="str">
        <f>VLOOKUP(source[[#This Row],[lending_product_transform]],[3]Mapping!$B$4:$C$37,2,0)</f>
        <v>[BE] - Cashloan</v>
      </c>
      <c r="H1090" s="128" t="str">
        <f>VLOOKUP(source[[#This Row],[lending_product_transform]],[3]Mapping!$B$3:$D$37,3,0)</f>
        <v>cashloan</v>
      </c>
      <c r="I1090" s="135">
        <v>42000000</v>
      </c>
    </row>
    <row r="1091" spans="1:9" x14ac:dyDescent="0.2">
      <c r="A1091" s="134">
        <v>45430</v>
      </c>
      <c r="B1091" s="135">
        <f>YEAR(source[[#This Row],[report_date]])</f>
        <v>2024</v>
      </c>
      <c r="C1091" s="136">
        <v>5</v>
      </c>
      <c r="D1091" s="136">
        <f t="shared" ref="D1091:D1154" si="57">WEEKNUM(A1091,2)</f>
        <v>20</v>
      </c>
      <c r="E1091" s="136">
        <f t="shared" ref="E1091:E1154" si="58">DAY(A1091)</f>
        <v>18</v>
      </c>
      <c r="F1091" s="128" t="s">
        <v>19</v>
      </c>
      <c r="G1091" s="128" t="str">
        <f>VLOOKUP(source[[#This Row],[lending_product_transform]],[3]Mapping!$B$4:$C$37,2,0)</f>
        <v>[VDS] - Payday</v>
      </c>
      <c r="H1091" s="128" t="str">
        <f>VLOOKUP(source[[#This Row],[lending_product_transform]],[3]Mapping!$B$3:$D$37,3,0)</f>
        <v>payday</v>
      </c>
      <c r="I1091" s="135">
        <v>1801000000</v>
      </c>
    </row>
    <row r="1092" spans="1:9" x14ac:dyDescent="0.2">
      <c r="A1092" s="134">
        <v>45430</v>
      </c>
      <c r="B1092" s="135">
        <f>YEAR(source[[#This Row],[report_date]])</f>
        <v>2024</v>
      </c>
      <c r="C1092" s="136">
        <v>5</v>
      </c>
      <c r="D1092" s="136">
        <f t="shared" si="57"/>
        <v>20</v>
      </c>
      <c r="E1092" s="136">
        <f t="shared" si="58"/>
        <v>18</v>
      </c>
      <c r="F1092" s="128" t="s">
        <v>67</v>
      </c>
      <c r="G1092" s="128" t="str">
        <f>VLOOKUP(source[[#This Row],[lending_product_transform]],[3]Mapping!$B$4:$C$37,2,0)</f>
        <v>[Cake] - Overdraft</v>
      </c>
      <c r="H1092" s="128" t="str">
        <f>VLOOKUP(source[[#This Row],[lending_product_transform]],[3]Mapping!$B$3:$D$37,3,0)</f>
        <v>overdraft</v>
      </c>
      <c r="I1092" s="135">
        <v>1469674972</v>
      </c>
    </row>
    <row r="1093" spans="1:9" x14ac:dyDescent="0.2">
      <c r="A1093" s="134">
        <v>45430</v>
      </c>
      <c r="B1093" s="135">
        <f>YEAR(source[[#This Row],[report_date]])</f>
        <v>2024</v>
      </c>
      <c r="C1093" s="136">
        <v>5</v>
      </c>
      <c r="D1093" s="136">
        <f t="shared" si="57"/>
        <v>20</v>
      </c>
      <c r="E1093" s="136">
        <f t="shared" si="58"/>
        <v>18</v>
      </c>
      <c r="F1093" s="128" t="s">
        <v>61</v>
      </c>
      <c r="G1093" s="128" t="str">
        <f>VLOOKUP(source[[#This Row],[lending_product_transform]],[3]Mapping!$B$4:$C$37,2,0)</f>
        <v>[VDS] - Payroll Payday</v>
      </c>
      <c r="H1093" s="128" t="str">
        <f>VLOOKUP(source[[#This Row],[lending_product_transform]],[3]Mapping!$B$3:$D$37,3,0)</f>
        <v>payday</v>
      </c>
      <c r="I1093" s="135">
        <v>22000000</v>
      </c>
    </row>
    <row r="1094" spans="1:9" x14ac:dyDescent="0.2">
      <c r="A1094" s="134">
        <v>45431</v>
      </c>
      <c r="B1094" s="135">
        <f>YEAR(source[[#This Row],[report_date]])</f>
        <v>2024</v>
      </c>
      <c r="C1094" s="136">
        <v>5</v>
      </c>
      <c r="D1094" s="136">
        <f t="shared" si="57"/>
        <v>20</v>
      </c>
      <c r="E1094" s="136">
        <f t="shared" si="58"/>
        <v>19</v>
      </c>
      <c r="F1094" s="128" t="s">
        <v>19</v>
      </c>
      <c r="G1094" s="128" t="str">
        <f>VLOOKUP(source[[#This Row],[lending_product_transform]],[3]Mapping!$B$4:$C$37,2,0)</f>
        <v>[VDS] - Payday</v>
      </c>
      <c r="H1094" s="128" t="str">
        <f>VLOOKUP(source[[#This Row],[lending_product_transform]],[3]Mapping!$B$3:$D$37,3,0)</f>
        <v>payday</v>
      </c>
      <c r="I1094" s="135">
        <v>2295000000</v>
      </c>
    </row>
    <row r="1095" spans="1:9" x14ac:dyDescent="0.2">
      <c r="A1095" s="134">
        <v>45431</v>
      </c>
      <c r="B1095" s="135">
        <f>YEAR(source[[#This Row],[report_date]])</f>
        <v>2024</v>
      </c>
      <c r="C1095" s="136">
        <v>5</v>
      </c>
      <c r="D1095" s="136">
        <f t="shared" si="57"/>
        <v>20</v>
      </c>
      <c r="E1095" s="136">
        <f t="shared" si="58"/>
        <v>19</v>
      </c>
      <c r="F1095" s="128" t="s">
        <v>206</v>
      </c>
      <c r="G1095" s="128" t="str">
        <f>VLOOKUP(source[[#This Row],[lending_product_transform]],[3]Mapping!$B$4:$C$37,2,0)</f>
        <v>[NGS] - Cashloan</v>
      </c>
      <c r="H1095" s="128" t="str">
        <f>VLOOKUP(source[[#This Row],[lending_product_transform]],[3]Mapping!$B$3:$D$37,3,0)</f>
        <v>cashloan</v>
      </c>
      <c r="I1095" s="135">
        <v>11770000</v>
      </c>
    </row>
    <row r="1096" spans="1:9" x14ac:dyDescent="0.2">
      <c r="A1096" s="134">
        <v>45431</v>
      </c>
      <c r="B1096" s="135">
        <f>YEAR(source[[#This Row],[report_date]])</f>
        <v>2024</v>
      </c>
      <c r="C1096" s="136">
        <v>5</v>
      </c>
      <c r="D1096" s="136">
        <f t="shared" si="57"/>
        <v>20</v>
      </c>
      <c r="E1096" s="136">
        <f t="shared" si="58"/>
        <v>19</v>
      </c>
      <c r="F1096" s="128" t="s">
        <v>56</v>
      </c>
      <c r="G1096" s="128">
        <f>VLOOKUP(source[[#This Row],[lending_product_transform]],[3]Mapping!$B$4:$C$37,2,0)</f>
        <v>0</v>
      </c>
      <c r="H1096" s="128">
        <f>VLOOKUP(source[[#This Row],[lending_product_transform]],[3]Mapping!$B$3:$D$37,3,0)</f>
        <v>0</v>
      </c>
      <c r="I1096" s="135">
        <v>7349023950</v>
      </c>
    </row>
    <row r="1097" spans="1:9" x14ac:dyDescent="0.2">
      <c r="A1097" s="134">
        <v>45431</v>
      </c>
      <c r="B1097" s="135">
        <f>YEAR(source[[#This Row],[report_date]])</f>
        <v>2024</v>
      </c>
      <c r="C1097" s="136">
        <v>5</v>
      </c>
      <c r="D1097" s="136">
        <f t="shared" si="57"/>
        <v>20</v>
      </c>
      <c r="E1097" s="136">
        <f t="shared" si="58"/>
        <v>19</v>
      </c>
      <c r="F1097" s="128" t="s">
        <v>238</v>
      </c>
      <c r="G1097" s="128" t="str">
        <f>VLOOKUP(source[[#This Row],[lending_product_transform]],[3]Mapping!$B$4:$C$37,2,0)</f>
        <v>[VDS] - Cashloan LP</v>
      </c>
      <c r="H1097" s="128" t="str">
        <f>VLOOKUP(source[[#This Row],[lending_product_transform]],[3]Mapping!$B$3:$D$37,3,0)</f>
        <v>cashloan</v>
      </c>
      <c r="I1097" s="135">
        <v>21400000</v>
      </c>
    </row>
    <row r="1098" spans="1:9" x14ac:dyDescent="0.2">
      <c r="A1098" s="134">
        <v>45431</v>
      </c>
      <c r="B1098" s="135">
        <f>YEAR(source[[#This Row],[report_date]])</f>
        <v>2024</v>
      </c>
      <c r="C1098" s="136">
        <v>5</v>
      </c>
      <c r="D1098" s="136">
        <f t="shared" si="57"/>
        <v>20</v>
      </c>
      <c r="E1098" s="136">
        <f t="shared" si="58"/>
        <v>19</v>
      </c>
      <c r="F1098" s="128" t="s">
        <v>11</v>
      </c>
      <c r="G1098" s="128" t="str">
        <f>VLOOKUP(source[[#This Row],[lending_product_transform]],[3]Mapping!$B$4:$C$37,2,0)</f>
        <v>[VDS] - Cashloan</v>
      </c>
      <c r="H1098" s="128" t="str">
        <f>VLOOKUP(source[[#This Row],[lending_product_transform]],[3]Mapping!$B$3:$D$37,3,0)</f>
        <v>cashloan</v>
      </c>
      <c r="I1098" s="135">
        <v>3371590000</v>
      </c>
    </row>
    <row r="1099" spans="1:9" x14ac:dyDescent="0.2">
      <c r="A1099" s="134">
        <v>45431</v>
      </c>
      <c r="B1099" s="135">
        <f>YEAR(source[[#This Row],[report_date]])</f>
        <v>2024</v>
      </c>
      <c r="C1099" s="136">
        <v>5</v>
      </c>
      <c r="D1099" s="136">
        <f t="shared" si="57"/>
        <v>20</v>
      </c>
      <c r="E1099" s="136">
        <f t="shared" si="58"/>
        <v>19</v>
      </c>
      <c r="F1099" s="128" t="s">
        <v>67</v>
      </c>
      <c r="G1099" s="128" t="str">
        <f>VLOOKUP(source[[#This Row],[lending_product_transform]],[3]Mapping!$B$4:$C$37,2,0)</f>
        <v>[Cake] - Overdraft</v>
      </c>
      <c r="H1099" s="128" t="str">
        <f>VLOOKUP(source[[#This Row],[lending_product_transform]],[3]Mapping!$B$3:$D$37,3,0)</f>
        <v>overdraft</v>
      </c>
      <c r="I1099" s="135">
        <v>1504707618</v>
      </c>
    </row>
    <row r="1100" spans="1:9" x14ac:dyDescent="0.2">
      <c r="A1100" s="134">
        <v>45431</v>
      </c>
      <c r="B1100" s="135">
        <f>YEAR(source[[#This Row],[report_date]])</f>
        <v>2024</v>
      </c>
      <c r="C1100" s="136">
        <v>5</v>
      </c>
      <c r="D1100" s="136">
        <f t="shared" si="57"/>
        <v>20</v>
      </c>
      <c r="E1100" s="136">
        <f t="shared" si="58"/>
        <v>19</v>
      </c>
      <c r="F1100" s="128" t="s">
        <v>61</v>
      </c>
      <c r="G1100" s="128" t="str">
        <f>VLOOKUP(source[[#This Row],[lending_product_transform]],[3]Mapping!$B$4:$C$37,2,0)</f>
        <v>[VDS] - Payroll Payday</v>
      </c>
      <c r="H1100" s="128" t="str">
        <f>VLOOKUP(source[[#This Row],[lending_product_transform]],[3]Mapping!$B$3:$D$37,3,0)</f>
        <v>payday</v>
      </c>
      <c r="I1100" s="135">
        <v>14000000</v>
      </c>
    </row>
    <row r="1101" spans="1:9" x14ac:dyDescent="0.2">
      <c r="A1101" s="134">
        <v>45431</v>
      </c>
      <c r="B1101" s="135">
        <f>YEAR(source[[#This Row],[report_date]])</f>
        <v>2024</v>
      </c>
      <c r="C1101" s="136">
        <v>5</v>
      </c>
      <c r="D1101" s="136">
        <f t="shared" si="57"/>
        <v>20</v>
      </c>
      <c r="E1101" s="136">
        <f t="shared" si="58"/>
        <v>19</v>
      </c>
      <c r="F1101" s="128" t="s">
        <v>62</v>
      </c>
      <c r="G1101" s="128" t="str">
        <f>VLOOKUP(source[[#This Row],[lending_product_transform]],[3]Mapping!$B$4:$C$37,2,0)</f>
        <v>[VDS] - Paylater</v>
      </c>
      <c r="H1101" s="128" t="str">
        <f>VLOOKUP(source[[#This Row],[lending_product_transform]],[3]Mapping!$B$3:$D$37,3,0)</f>
        <v>paylater</v>
      </c>
      <c r="I1101" s="135">
        <v>21356332</v>
      </c>
    </row>
    <row r="1102" spans="1:9" x14ac:dyDescent="0.2">
      <c r="A1102" s="134">
        <v>45431</v>
      </c>
      <c r="B1102" s="135">
        <f>YEAR(source[[#This Row],[report_date]])</f>
        <v>2024</v>
      </c>
      <c r="C1102" s="136">
        <v>5</v>
      </c>
      <c r="D1102" s="136">
        <f t="shared" si="57"/>
        <v>20</v>
      </c>
      <c r="E1102" s="136">
        <f t="shared" si="58"/>
        <v>19</v>
      </c>
      <c r="F1102" s="128" t="s">
        <v>65</v>
      </c>
      <c r="G1102" s="128" t="str">
        <f>VLOOKUP(source[[#This Row],[lending_product_transform]],[3]Mapping!$B$4:$C$37,2,0)</f>
        <v>[BE] - Cashloan</v>
      </c>
      <c r="H1102" s="128" t="str">
        <f>VLOOKUP(source[[#This Row],[lending_product_transform]],[3]Mapping!$B$3:$D$37,3,0)</f>
        <v>cashloan</v>
      </c>
      <c r="I1102" s="135">
        <v>72450000</v>
      </c>
    </row>
    <row r="1103" spans="1:9" x14ac:dyDescent="0.2">
      <c r="A1103" s="134">
        <v>45431</v>
      </c>
      <c r="B1103" s="135">
        <f>YEAR(source[[#This Row],[report_date]])</f>
        <v>2024</v>
      </c>
      <c r="C1103" s="136">
        <v>5</v>
      </c>
      <c r="D1103" s="136">
        <f t="shared" si="57"/>
        <v>20</v>
      </c>
      <c r="E1103" s="136">
        <f t="shared" si="58"/>
        <v>19</v>
      </c>
      <c r="F1103" s="128" t="s">
        <v>58</v>
      </c>
      <c r="G1103" s="128" t="str">
        <f>VLOOKUP(source[[#This Row],[lending_product_transform]],[3]Mapping!$B$4:$C$37,2,0)</f>
        <v>[VDS] - Payroll Cashloan</v>
      </c>
      <c r="H1103" s="128" t="str">
        <f>VLOOKUP(source[[#This Row],[lending_product_transform]],[3]Mapping!$B$3:$D$37,3,0)</f>
        <v>cashloan</v>
      </c>
      <c r="I1103" s="135">
        <v>36750000</v>
      </c>
    </row>
    <row r="1104" spans="1:9" x14ac:dyDescent="0.2">
      <c r="A1104" s="134">
        <v>45432</v>
      </c>
      <c r="B1104" s="135">
        <f>YEAR(source[[#This Row],[report_date]])</f>
        <v>2024</v>
      </c>
      <c r="C1104" s="136">
        <v>5</v>
      </c>
      <c r="D1104" s="136">
        <f t="shared" si="57"/>
        <v>21</v>
      </c>
      <c r="E1104" s="136">
        <f t="shared" si="58"/>
        <v>20</v>
      </c>
      <c r="F1104" s="128" t="s">
        <v>65</v>
      </c>
      <c r="G1104" s="128" t="str">
        <f>VLOOKUP(source[[#This Row],[lending_product_transform]],[3]Mapping!$B$4:$C$37,2,0)</f>
        <v>[BE] - Cashloan</v>
      </c>
      <c r="H1104" s="128" t="str">
        <f>VLOOKUP(source[[#This Row],[lending_product_transform]],[3]Mapping!$B$3:$D$37,3,0)</f>
        <v>cashloan</v>
      </c>
      <c r="I1104" s="135">
        <v>262500000</v>
      </c>
    </row>
    <row r="1105" spans="1:9" x14ac:dyDescent="0.2">
      <c r="A1105" s="134">
        <v>45432</v>
      </c>
      <c r="B1105" s="135">
        <f>YEAR(source[[#This Row],[report_date]])</f>
        <v>2024</v>
      </c>
      <c r="C1105" s="136">
        <v>5</v>
      </c>
      <c r="D1105" s="136">
        <f t="shared" si="57"/>
        <v>21</v>
      </c>
      <c r="E1105" s="136">
        <f t="shared" si="58"/>
        <v>20</v>
      </c>
      <c r="F1105" s="128" t="s">
        <v>11</v>
      </c>
      <c r="G1105" s="128" t="str">
        <f>VLOOKUP(source[[#This Row],[lending_product_transform]],[3]Mapping!$B$4:$C$37,2,0)</f>
        <v>[VDS] - Cashloan</v>
      </c>
      <c r="H1105" s="128" t="str">
        <f>VLOOKUP(source[[#This Row],[lending_product_transform]],[3]Mapping!$B$3:$D$37,3,0)</f>
        <v>cashloan</v>
      </c>
      <c r="I1105" s="135">
        <v>3971860000</v>
      </c>
    </row>
    <row r="1106" spans="1:9" x14ac:dyDescent="0.2">
      <c r="A1106" s="134">
        <v>45432</v>
      </c>
      <c r="B1106" s="135">
        <f>YEAR(source[[#This Row],[report_date]])</f>
        <v>2024</v>
      </c>
      <c r="C1106" s="136">
        <v>5</v>
      </c>
      <c r="D1106" s="136">
        <f t="shared" si="57"/>
        <v>21</v>
      </c>
      <c r="E1106" s="136">
        <f t="shared" si="58"/>
        <v>20</v>
      </c>
      <c r="F1106" s="128" t="s">
        <v>58</v>
      </c>
      <c r="G1106" s="128" t="str">
        <f>VLOOKUP(source[[#This Row],[lending_product_transform]],[3]Mapping!$B$4:$C$37,2,0)</f>
        <v>[VDS] - Payroll Cashloan</v>
      </c>
      <c r="H1106" s="128" t="str">
        <f>VLOOKUP(source[[#This Row],[lending_product_transform]],[3]Mapping!$B$3:$D$37,3,0)</f>
        <v>cashloan</v>
      </c>
      <c r="I1106" s="135">
        <v>84000000</v>
      </c>
    </row>
    <row r="1107" spans="1:9" x14ac:dyDescent="0.2">
      <c r="A1107" s="134">
        <v>45432</v>
      </c>
      <c r="B1107" s="135">
        <f>YEAR(source[[#This Row],[report_date]])</f>
        <v>2024</v>
      </c>
      <c r="C1107" s="136">
        <v>5</v>
      </c>
      <c r="D1107" s="136">
        <f t="shared" si="57"/>
        <v>21</v>
      </c>
      <c r="E1107" s="136">
        <f t="shared" si="58"/>
        <v>20</v>
      </c>
      <c r="F1107" s="128" t="s">
        <v>19</v>
      </c>
      <c r="G1107" s="128" t="str">
        <f>VLOOKUP(source[[#This Row],[lending_product_transform]],[3]Mapping!$B$4:$C$37,2,0)</f>
        <v>[VDS] - Payday</v>
      </c>
      <c r="H1107" s="128" t="str">
        <f>VLOOKUP(source[[#This Row],[lending_product_transform]],[3]Mapping!$B$3:$D$37,3,0)</f>
        <v>payday</v>
      </c>
      <c r="I1107" s="135">
        <v>2880500000</v>
      </c>
    </row>
    <row r="1108" spans="1:9" x14ac:dyDescent="0.2">
      <c r="A1108" s="134">
        <v>45432</v>
      </c>
      <c r="B1108" s="135">
        <f>YEAR(source[[#This Row],[report_date]])</f>
        <v>2024</v>
      </c>
      <c r="C1108" s="136">
        <v>5</v>
      </c>
      <c r="D1108" s="136">
        <f t="shared" si="57"/>
        <v>21</v>
      </c>
      <c r="E1108" s="136">
        <f t="shared" si="58"/>
        <v>20</v>
      </c>
      <c r="F1108" s="128" t="s">
        <v>62</v>
      </c>
      <c r="G1108" s="128" t="str">
        <f>VLOOKUP(source[[#This Row],[lending_product_transform]],[3]Mapping!$B$4:$C$37,2,0)</f>
        <v>[VDS] - Paylater</v>
      </c>
      <c r="H1108" s="128" t="str">
        <f>VLOOKUP(source[[#This Row],[lending_product_transform]],[3]Mapping!$B$3:$D$37,3,0)</f>
        <v>paylater</v>
      </c>
      <c r="I1108" s="135">
        <v>33953818</v>
      </c>
    </row>
    <row r="1109" spans="1:9" x14ac:dyDescent="0.2">
      <c r="A1109" s="134">
        <v>45432</v>
      </c>
      <c r="B1109" s="135">
        <f>YEAR(source[[#This Row],[report_date]])</f>
        <v>2024</v>
      </c>
      <c r="C1109" s="136">
        <v>5</v>
      </c>
      <c r="D1109" s="136">
        <f t="shared" si="57"/>
        <v>21</v>
      </c>
      <c r="E1109" s="136">
        <f t="shared" si="58"/>
        <v>20</v>
      </c>
      <c r="F1109" s="128" t="s">
        <v>61</v>
      </c>
      <c r="G1109" s="128" t="str">
        <f>VLOOKUP(source[[#This Row],[lending_product_transform]],[3]Mapping!$B$4:$C$37,2,0)</f>
        <v>[VDS] - Payroll Payday</v>
      </c>
      <c r="H1109" s="128" t="str">
        <f>VLOOKUP(source[[#This Row],[lending_product_transform]],[3]Mapping!$B$3:$D$37,3,0)</f>
        <v>payday</v>
      </c>
      <c r="I1109" s="135">
        <v>72000000</v>
      </c>
    </row>
    <row r="1110" spans="1:9" x14ac:dyDescent="0.2">
      <c r="A1110" s="134">
        <v>45432</v>
      </c>
      <c r="B1110" s="135">
        <f>YEAR(source[[#This Row],[report_date]])</f>
        <v>2024</v>
      </c>
      <c r="C1110" s="136">
        <v>5</v>
      </c>
      <c r="D1110" s="136">
        <f t="shared" si="57"/>
        <v>21</v>
      </c>
      <c r="E1110" s="136">
        <f t="shared" si="58"/>
        <v>20</v>
      </c>
      <c r="F1110" s="128" t="s">
        <v>67</v>
      </c>
      <c r="G1110" s="128" t="str">
        <f>VLOOKUP(source[[#This Row],[lending_product_transform]],[3]Mapping!$B$4:$C$37,2,0)</f>
        <v>[Cake] - Overdraft</v>
      </c>
      <c r="H1110" s="128" t="str">
        <f>VLOOKUP(source[[#This Row],[lending_product_transform]],[3]Mapping!$B$3:$D$37,3,0)</f>
        <v>overdraft</v>
      </c>
      <c r="I1110" s="135">
        <v>2412624909</v>
      </c>
    </row>
    <row r="1111" spans="1:9" x14ac:dyDescent="0.2">
      <c r="A1111" s="134">
        <v>45432</v>
      </c>
      <c r="B1111" s="135">
        <f>YEAR(source[[#This Row],[report_date]])</f>
        <v>2024</v>
      </c>
      <c r="C1111" s="136">
        <v>5</v>
      </c>
      <c r="D1111" s="136">
        <f t="shared" si="57"/>
        <v>21</v>
      </c>
      <c r="E1111" s="136">
        <f t="shared" si="58"/>
        <v>20</v>
      </c>
      <c r="F1111" s="128" t="s">
        <v>238</v>
      </c>
      <c r="G1111" s="128" t="str">
        <f>VLOOKUP(source[[#This Row],[lending_product_transform]],[3]Mapping!$B$4:$C$37,2,0)</f>
        <v>[VDS] - Cashloan LP</v>
      </c>
      <c r="H1111" s="128" t="str">
        <f>VLOOKUP(source[[#This Row],[lending_product_transform]],[3]Mapping!$B$3:$D$37,3,0)</f>
        <v>cashloan</v>
      </c>
      <c r="I1111" s="135">
        <v>10700000</v>
      </c>
    </row>
    <row r="1112" spans="1:9" x14ac:dyDescent="0.2">
      <c r="A1112" s="134">
        <v>45432</v>
      </c>
      <c r="B1112" s="135">
        <f>YEAR(source[[#This Row],[report_date]])</f>
        <v>2024</v>
      </c>
      <c r="C1112" s="136">
        <v>5</v>
      </c>
      <c r="D1112" s="136">
        <f t="shared" si="57"/>
        <v>21</v>
      </c>
      <c r="E1112" s="136">
        <f t="shared" si="58"/>
        <v>20</v>
      </c>
      <c r="F1112" s="128" t="s">
        <v>56</v>
      </c>
      <c r="G1112" s="128">
        <f>VLOOKUP(source[[#This Row],[lending_product_transform]],[3]Mapping!$B$4:$C$37,2,0)</f>
        <v>0</v>
      </c>
      <c r="H1112" s="128">
        <f>VLOOKUP(source[[#This Row],[lending_product_transform]],[3]Mapping!$B$3:$D$37,3,0)</f>
        <v>0</v>
      </c>
      <c r="I1112" s="135">
        <v>9926088727</v>
      </c>
    </row>
    <row r="1113" spans="1:9" x14ac:dyDescent="0.2">
      <c r="A1113" s="134">
        <v>45432</v>
      </c>
      <c r="B1113" s="135">
        <f>YEAR(source[[#This Row],[report_date]])</f>
        <v>2024</v>
      </c>
      <c r="C1113" s="136">
        <v>5</v>
      </c>
      <c r="D1113" s="136">
        <f t="shared" si="57"/>
        <v>21</v>
      </c>
      <c r="E1113" s="136">
        <f t="shared" si="58"/>
        <v>20</v>
      </c>
      <c r="F1113" s="128" t="s">
        <v>206</v>
      </c>
      <c r="G1113" s="128" t="str">
        <f>VLOOKUP(source[[#This Row],[lending_product_transform]],[3]Mapping!$B$4:$C$37,2,0)</f>
        <v>[NGS] - Cashloan</v>
      </c>
      <c r="H1113" s="128" t="str">
        <f>VLOOKUP(source[[#This Row],[lending_product_transform]],[3]Mapping!$B$3:$D$37,3,0)</f>
        <v>cashloan</v>
      </c>
      <c r="I1113" s="135">
        <v>197950000</v>
      </c>
    </row>
    <row r="1114" spans="1:9" x14ac:dyDescent="0.2">
      <c r="A1114" s="134">
        <v>45433</v>
      </c>
      <c r="B1114" s="135">
        <f>YEAR(source[[#This Row],[report_date]])</f>
        <v>2024</v>
      </c>
      <c r="C1114" s="136">
        <v>5</v>
      </c>
      <c r="D1114" s="136">
        <f t="shared" si="57"/>
        <v>21</v>
      </c>
      <c r="E1114" s="136">
        <f t="shared" si="58"/>
        <v>21</v>
      </c>
      <c r="F1114" s="128" t="s">
        <v>11</v>
      </c>
      <c r="G1114" s="128" t="str">
        <f>VLOOKUP(source[[#This Row],[lending_product_transform]],[3]Mapping!$B$4:$C$37,2,0)</f>
        <v>[VDS] - Cashloan</v>
      </c>
      <c r="H1114" s="128" t="str">
        <f>VLOOKUP(source[[#This Row],[lending_product_transform]],[3]Mapping!$B$3:$D$37,3,0)</f>
        <v>cashloan</v>
      </c>
      <c r="I1114" s="135">
        <v>3445590000</v>
      </c>
    </row>
    <row r="1115" spans="1:9" x14ac:dyDescent="0.2">
      <c r="A1115" s="134">
        <v>45433</v>
      </c>
      <c r="B1115" s="135">
        <f>YEAR(source[[#This Row],[report_date]])</f>
        <v>2024</v>
      </c>
      <c r="C1115" s="136">
        <v>5</v>
      </c>
      <c r="D1115" s="136">
        <f t="shared" si="57"/>
        <v>21</v>
      </c>
      <c r="E1115" s="136">
        <f t="shared" si="58"/>
        <v>21</v>
      </c>
      <c r="F1115" s="128" t="s">
        <v>19</v>
      </c>
      <c r="G1115" s="128" t="str">
        <f>VLOOKUP(source[[#This Row],[lending_product_transform]],[3]Mapping!$B$4:$C$37,2,0)</f>
        <v>[VDS] - Payday</v>
      </c>
      <c r="H1115" s="128" t="str">
        <f>VLOOKUP(source[[#This Row],[lending_product_transform]],[3]Mapping!$B$3:$D$37,3,0)</f>
        <v>payday</v>
      </c>
      <c r="I1115" s="135">
        <v>2449000000</v>
      </c>
    </row>
    <row r="1116" spans="1:9" x14ac:dyDescent="0.2">
      <c r="A1116" s="134">
        <v>45433</v>
      </c>
      <c r="B1116" s="135">
        <f>YEAR(source[[#This Row],[report_date]])</f>
        <v>2024</v>
      </c>
      <c r="C1116" s="136">
        <v>5</v>
      </c>
      <c r="D1116" s="136">
        <f t="shared" si="57"/>
        <v>21</v>
      </c>
      <c r="E1116" s="136">
        <f t="shared" si="58"/>
        <v>21</v>
      </c>
      <c r="F1116" s="128" t="s">
        <v>67</v>
      </c>
      <c r="G1116" s="128" t="str">
        <f>VLOOKUP(source[[#This Row],[lending_product_transform]],[3]Mapping!$B$4:$C$37,2,0)</f>
        <v>[Cake] - Overdraft</v>
      </c>
      <c r="H1116" s="128" t="str">
        <f>VLOOKUP(source[[#This Row],[lending_product_transform]],[3]Mapping!$B$3:$D$37,3,0)</f>
        <v>overdraft</v>
      </c>
      <c r="I1116" s="135">
        <v>2521759199</v>
      </c>
    </row>
    <row r="1117" spans="1:9" x14ac:dyDescent="0.2">
      <c r="A1117" s="134">
        <v>45433</v>
      </c>
      <c r="B1117" s="135">
        <f>YEAR(source[[#This Row],[report_date]])</f>
        <v>2024</v>
      </c>
      <c r="C1117" s="136">
        <v>5</v>
      </c>
      <c r="D1117" s="136">
        <f t="shared" si="57"/>
        <v>21</v>
      </c>
      <c r="E1117" s="136">
        <f t="shared" si="58"/>
        <v>21</v>
      </c>
      <c r="F1117" s="128" t="s">
        <v>56</v>
      </c>
      <c r="G1117" s="128">
        <f>VLOOKUP(source[[#This Row],[lending_product_transform]],[3]Mapping!$B$4:$C$37,2,0)</f>
        <v>0</v>
      </c>
      <c r="H1117" s="128">
        <f>VLOOKUP(source[[#This Row],[lending_product_transform]],[3]Mapping!$B$3:$D$37,3,0)</f>
        <v>0</v>
      </c>
      <c r="I1117" s="135">
        <v>8972893418</v>
      </c>
    </row>
    <row r="1118" spans="1:9" x14ac:dyDescent="0.2">
      <c r="A1118" s="134">
        <v>45433</v>
      </c>
      <c r="B1118" s="135">
        <f>YEAR(source[[#This Row],[report_date]])</f>
        <v>2024</v>
      </c>
      <c r="C1118" s="136">
        <v>5</v>
      </c>
      <c r="D1118" s="136">
        <f t="shared" si="57"/>
        <v>21</v>
      </c>
      <c r="E1118" s="136">
        <f t="shared" si="58"/>
        <v>21</v>
      </c>
      <c r="F1118" s="128" t="s">
        <v>206</v>
      </c>
      <c r="G1118" s="128" t="str">
        <f>VLOOKUP(source[[#This Row],[lending_product_transform]],[3]Mapping!$B$4:$C$37,2,0)</f>
        <v>[NGS] - Cashloan</v>
      </c>
      <c r="H1118" s="128" t="str">
        <f>VLOOKUP(source[[#This Row],[lending_product_transform]],[3]Mapping!$B$3:$D$37,3,0)</f>
        <v>cashloan</v>
      </c>
      <c r="I1118" s="135">
        <v>201160000</v>
      </c>
    </row>
    <row r="1119" spans="1:9" x14ac:dyDescent="0.2">
      <c r="A1119" s="134">
        <v>45433</v>
      </c>
      <c r="B1119" s="135">
        <f>YEAR(source[[#This Row],[report_date]])</f>
        <v>2024</v>
      </c>
      <c r="C1119" s="136">
        <v>5</v>
      </c>
      <c r="D1119" s="136">
        <f t="shared" si="57"/>
        <v>21</v>
      </c>
      <c r="E1119" s="136">
        <f t="shared" si="58"/>
        <v>21</v>
      </c>
      <c r="F1119" s="128" t="s">
        <v>61</v>
      </c>
      <c r="G1119" s="128" t="str">
        <f>VLOOKUP(source[[#This Row],[lending_product_transform]],[3]Mapping!$B$4:$C$37,2,0)</f>
        <v>[VDS] - Payroll Payday</v>
      </c>
      <c r="H1119" s="128" t="str">
        <f>VLOOKUP(source[[#This Row],[lending_product_transform]],[3]Mapping!$B$3:$D$37,3,0)</f>
        <v>payday</v>
      </c>
      <c r="I1119" s="135">
        <v>46000000</v>
      </c>
    </row>
    <row r="1120" spans="1:9" x14ac:dyDescent="0.2">
      <c r="A1120" s="134">
        <v>45433</v>
      </c>
      <c r="B1120" s="135">
        <f>YEAR(source[[#This Row],[report_date]])</f>
        <v>2024</v>
      </c>
      <c r="C1120" s="136">
        <v>5</v>
      </c>
      <c r="D1120" s="136">
        <f t="shared" si="57"/>
        <v>21</v>
      </c>
      <c r="E1120" s="136">
        <f t="shared" si="58"/>
        <v>21</v>
      </c>
      <c r="F1120" s="128" t="s">
        <v>65</v>
      </c>
      <c r="G1120" s="128" t="str">
        <f>VLOOKUP(source[[#This Row],[lending_product_transform]],[3]Mapping!$B$4:$C$37,2,0)</f>
        <v>[BE] - Cashloan</v>
      </c>
      <c r="H1120" s="128" t="str">
        <f>VLOOKUP(source[[#This Row],[lending_product_transform]],[3]Mapping!$B$3:$D$37,3,0)</f>
        <v>cashloan</v>
      </c>
      <c r="I1120" s="135">
        <v>186900000</v>
      </c>
    </row>
    <row r="1121" spans="1:9" x14ac:dyDescent="0.2">
      <c r="A1121" s="134">
        <v>45433</v>
      </c>
      <c r="B1121" s="135">
        <f>YEAR(source[[#This Row],[report_date]])</f>
        <v>2024</v>
      </c>
      <c r="C1121" s="136">
        <v>5</v>
      </c>
      <c r="D1121" s="136">
        <f t="shared" si="57"/>
        <v>21</v>
      </c>
      <c r="E1121" s="136">
        <f t="shared" si="58"/>
        <v>21</v>
      </c>
      <c r="F1121" s="128" t="s">
        <v>238</v>
      </c>
      <c r="G1121" s="128" t="str">
        <f>VLOOKUP(source[[#This Row],[lending_product_transform]],[3]Mapping!$B$4:$C$37,2,0)</f>
        <v>[VDS] - Cashloan LP</v>
      </c>
      <c r="H1121" s="128" t="str">
        <f>VLOOKUP(source[[#This Row],[lending_product_transform]],[3]Mapping!$B$3:$D$37,3,0)</f>
        <v>cashloan</v>
      </c>
      <c r="I1121" s="135">
        <v>15000000</v>
      </c>
    </row>
    <row r="1122" spans="1:9" x14ac:dyDescent="0.2">
      <c r="A1122" s="134">
        <v>45433</v>
      </c>
      <c r="B1122" s="135">
        <f>YEAR(source[[#This Row],[report_date]])</f>
        <v>2024</v>
      </c>
      <c r="C1122" s="136">
        <v>5</v>
      </c>
      <c r="D1122" s="136">
        <f t="shared" si="57"/>
        <v>21</v>
      </c>
      <c r="E1122" s="136">
        <f t="shared" si="58"/>
        <v>21</v>
      </c>
      <c r="F1122" s="128" t="s">
        <v>58</v>
      </c>
      <c r="G1122" s="128" t="str">
        <f>VLOOKUP(source[[#This Row],[lending_product_transform]],[3]Mapping!$B$4:$C$37,2,0)</f>
        <v>[VDS] - Payroll Cashloan</v>
      </c>
      <c r="H1122" s="128" t="str">
        <f>VLOOKUP(source[[#This Row],[lending_product_transform]],[3]Mapping!$B$3:$D$37,3,0)</f>
        <v>cashloan</v>
      </c>
      <c r="I1122" s="135">
        <v>70350000</v>
      </c>
    </row>
    <row r="1123" spans="1:9" x14ac:dyDescent="0.2">
      <c r="A1123" s="134">
        <v>45433</v>
      </c>
      <c r="B1123" s="135">
        <f>YEAR(source[[#This Row],[report_date]])</f>
        <v>2024</v>
      </c>
      <c r="C1123" s="136">
        <v>5</v>
      </c>
      <c r="D1123" s="136">
        <f t="shared" si="57"/>
        <v>21</v>
      </c>
      <c r="E1123" s="136">
        <f t="shared" si="58"/>
        <v>21</v>
      </c>
      <c r="F1123" s="128" t="s">
        <v>62</v>
      </c>
      <c r="G1123" s="128" t="str">
        <f>VLOOKUP(source[[#This Row],[lending_product_transform]],[3]Mapping!$B$4:$C$37,2,0)</f>
        <v>[VDS] - Paylater</v>
      </c>
      <c r="H1123" s="128" t="str">
        <f>VLOOKUP(source[[#This Row],[lending_product_transform]],[3]Mapping!$B$3:$D$37,3,0)</f>
        <v>paylater</v>
      </c>
      <c r="I1123" s="135">
        <v>37134219</v>
      </c>
    </row>
    <row r="1124" spans="1:9" x14ac:dyDescent="0.2">
      <c r="A1124" s="134">
        <v>45434</v>
      </c>
      <c r="B1124" s="135">
        <f>YEAR(source[[#This Row],[report_date]])</f>
        <v>2024</v>
      </c>
      <c r="C1124" s="136">
        <v>5</v>
      </c>
      <c r="D1124" s="136">
        <f t="shared" si="57"/>
        <v>21</v>
      </c>
      <c r="E1124" s="136">
        <f t="shared" si="58"/>
        <v>22</v>
      </c>
      <c r="F1124" s="128" t="s">
        <v>238</v>
      </c>
      <c r="G1124" s="128" t="str">
        <f>VLOOKUP(source[[#This Row],[lending_product_transform]],[3]Mapping!$B$4:$C$37,2,0)</f>
        <v>[VDS] - Cashloan LP</v>
      </c>
      <c r="H1124" s="128" t="str">
        <f>VLOOKUP(source[[#This Row],[lending_product_transform]],[3]Mapping!$B$3:$D$37,3,0)</f>
        <v>cashloan</v>
      </c>
      <c r="I1124" s="135">
        <v>21400000</v>
      </c>
    </row>
    <row r="1125" spans="1:9" x14ac:dyDescent="0.2">
      <c r="A1125" s="134">
        <v>45434</v>
      </c>
      <c r="B1125" s="135">
        <f>YEAR(source[[#This Row],[report_date]])</f>
        <v>2024</v>
      </c>
      <c r="C1125" s="136">
        <v>5</v>
      </c>
      <c r="D1125" s="136">
        <f t="shared" si="57"/>
        <v>21</v>
      </c>
      <c r="E1125" s="136">
        <f t="shared" si="58"/>
        <v>22</v>
      </c>
      <c r="F1125" s="128" t="s">
        <v>62</v>
      </c>
      <c r="G1125" s="128" t="str">
        <f>VLOOKUP(source[[#This Row],[lending_product_transform]],[3]Mapping!$B$4:$C$37,2,0)</f>
        <v>[VDS] - Paylater</v>
      </c>
      <c r="H1125" s="128" t="str">
        <f>VLOOKUP(source[[#This Row],[lending_product_transform]],[3]Mapping!$B$3:$D$37,3,0)</f>
        <v>paylater</v>
      </c>
      <c r="I1125" s="135">
        <v>27860027</v>
      </c>
    </row>
    <row r="1126" spans="1:9" x14ac:dyDescent="0.2">
      <c r="A1126" s="134">
        <v>45434</v>
      </c>
      <c r="B1126" s="135">
        <f>YEAR(source[[#This Row],[report_date]])</f>
        <v>2024</v>
      </c>
      <c r="C1126" s="136">
        <v>5</v>
      </c>
      <c r="D1126" s="136">
        <f t="shared" si="57"/>
        <v>21</v>
      </c>
      <c r="E1126" s="136">
        <f t="shared" si="58"/>
        <v>22</v>
      </c>
      <c r="F1126" s="128" t="s">
        <v>67</v>
      </c>
      <c r="G1126" s="128" t="str">
        <f>VLOOKUP(source[[#This Row],[lending_product_transform]],[3]Mapping!$B$4:$C$37,2,0)</f>
        <v>[Cake] - Overdraft</v>
      </c>
      <c r="H1126" s="128" t="str">
        <f>VLOOKUP(source[[#This Row],[lending_product_transform]],[3]Mapping!$B$3:$D$37,3,0)</f>
        <v>overdraft</v>
      </c>
      <c r="I1126" s="135">
        <v>1753188978</v>
      </c>
    </row>
    <row r="1127" spans="1:9" x14ac:dyDescent="0.2">
      <c r="A1127" s="134">
        <v>45434</v>
      </c>
      <c r="B1127" s="135">
        <f>YEAR(source[[#This Row],[report_date]])</f>
        <v>2024</v>
      </c>
      <c r="C1127" s="136">
        <v>5</v>
      </c>
      <c r="D1127" s="136">
        <f t="shared" si="57"/>
        <v>21</v>
      </c>
      <c r="E1127" s="136">
        <f t="shared" si="58"/>
        <v>22</v>
      </c>
      <c r="F1127" s="128" t="s">
        <v>58</v>
      </c>
      <c r="G1127" s="128" t="str">
        <f>VLOOKUP(source[[#This Row],[lending_product_transform]],[3]Mapping!$B$4:$C$37,2,0)</f>
        <v>[VDS] - Payroll Cashloan</v>
      </c>
      <c r="H1127" s="128" t="str">
        <f>VLOOKUP(source[[#This Row],[lending_product_transform]],[3]Mapping!$B$3:$D$37,3,0)</f>
        <v>cashloan</v>
      </c>
      <c r="I1127" s="135">
        <v>26250000</v>
      </c>
    </row>
    <row r="1128" spans="1:9" x14ac:dyDescent="0.2">
      <c r="A1128" s="134">
        <v>45434</v>
      </c>
      <c r="B1128" s="135">
        <f>YEAR(source[[#This Row],[report_date]])</f>
        <v>2024</v>
      </c>
      <c r="C1128" s="136">
        <v>5</v>
      </c>
      <c r="D1128" s="136">
        <f t="shared" si="57"/>
        <v>21</v>
      </c>
      <c r="E1128" s="136">
        <f t="shared" si="58"/>
        <v>22</v>
      </c>
      <c r="F1128" s="128" t="s">
        <v>19</v>
      </c>
      <c r="G1128" s="128" t="str">
        <f>VLOOKUP(source[[#This Row],[lending_product_transform]],[3]Mapping!$B$4:$C$37,2,0)</f>
        <v>[VDS] - Payday</v>
      </c>
      <c r="H1128" s="128" t="str">
        <f>VLOOKUP(source[[#This Row],[lending_product_transform]],[3]Mapping!$B$3:$D$37,3,0)</f>
        <v>payday</v>
      </c>
      <c r="I1128" s="135">
        <v>2558500000</v>
      </c>
    </row>
    <row r="1129" spans="1:9" x14ac:dyDescent="0.2">
      <c r="A1129" s="134">
        <v>45434</v>
      </c>
      <c r="B1129" s="135">
        <f>YEAR(source[[#This Row],[report_date]])</f>
        <v>2024</v>
      </c>
      <c r="C1129" s="136">
        <v>5</v>
      </c>
      <c r="D1129" s="136">
        <f t="shared" si="57"/>
        <v>21</v>
      </c>
      <c r="E1129" s="136">
        <f t="shared" si="58"/>
        <v>22</v>
      </c>
      <c r="F1129" s="128" t="s">
        <v>61</v>
      </c>
      <c r="G1129" s="128" t="str">
        <f>VLOOKUP(source[[#This Row],[lending_product_transform]],[3]Mapping!$B$4:$C$37,2,0)</f>
        <v>[VDS] - Payroll Payday</v>
      </c>
      <c r="H1129" s="128" t="str">
        <f>VLOOKUP(source[[#This Row],[lending_product_transform]],[3]Mapping!$B$3:$D$37,3,0)</f>
        <v>payday</v>
      </c>
      <c r="I1129" s="135">
        <v>15000000</v>
      </c>
    </row>
    <row r="1130" spans="1:9" x14ac:dyDescent="0.2">
      <c r="A1130" s="134">
        <v>45434</v>
      </c>
      <c r="B1130" s="135">
        <f>YEAR(source[[#This Row],[report_date]])</f>
        <v>2024</v>
      </c>
      <c r="C1130" s="136">
        <v>5</v>
      </c>
      <c r="D1130" s="136">
        <f t="shared" si="57"/>
        <v>21</v>
      </c>
      <c r="E1130" s="136">
        <f t="shared" si="58"/>
        <v>22</v>
      </c>
      <c r="F1130" s="128" t="s">
        <v>56</v>
      </c>
      <c r="G1130" s="128">
        <f>VLOOKUP(source[[#This Row],[lending_product_transform]],[3]Mapping!$B$4:$C$37,2,0)</f>
        <v>0</v>
      </c>
      <c r="H1130" s="128">
        <f>VLOOKUP(source[[#This Row],[lending_product_transform]],[3]Mapping!$B$3:$D$37,3,0)</f>
        <v>0</v>
      </c>
      <c r="I1130" s="135">
        <v>8326459005</v>
      </c>
    </row>
    <row r="1131" spans="1:9" x14ac:dyDescent="0.2">
      <c r="A1131" s="134">
        <v>45434</v>
      </c>
      <c r="B1131" s="135">
        <f>YEAR(source[[#This Row],[report_date]])</f>
        <v>2024</v>
      </c>
      <c r="C1131" s="136">
        <v>5</v>
      </c>
      <c r="D1131" s="136">
        <f t="shared" si="57"/>
        <v>21</v>
      </c>
      <c r="E1131" s="136">
        <f t="shared" si="58"/>
        <v>22</v>
      </c>
      <c r="F1131" s="128" t="s">
        <v>206</v>
      </c>
      <c r="G1131" s="128" t="str">
        <f>VLOOKUP(source[[#This Row],[lending_product_transform]],[3]Mapping!$B$4:$C$37,2,0)</f>
        <v>[NGS] - Cashloan</v>
      </c>
      <c r="H1131" s="128" t="str">
        <f>VLOOKUP(source[[#This Row],[lending_product_transform]],[3]Mapping!$B$3:$D$37,3,0)</f>
        <v>cashloan</v>
      </c>
      <c r="I1131" s="135">
        <v>156220000</v>
      </c>
    </row>
    <row r="1132" spans="1:9" x14ac:dyDescent="0.2">
      <c r="A1132" s="134">
        <v>45434</v>
      </c>
      <c r="B1132" s="135">
        <f>YEAR(source[[#This Row],[report_date]])</f>
        <v>2024</v>
      </c>
      <c r="C1132" s="136">
        <v>5</v>
      </c>
      <c r="D1132" s="136">
        <f t="shared" si="57"/>
        <v>21</v>
      </c>
      <c r="E1132" s="136">
        <f t="shared" si="58"/>
        <v>22</v>
      </c>
      <c r="F1132" s="128" t="s">
        <v>65</v>
      </c>
      <c r="G1132" s="128" t="str">
        <f>VLOOKUP(source[[#This Row],[lending_product_transform]],[3]Mapping!$B$4:$C$37,2,0)</f>
        <v>[BE] - Cashloan</v>
      </c>
      <c r="H1132" s="128" t="str">
        <f>VLOOKUP(source[[#This Row],[lending_product_transform]],[3]Mapping!$B$3:$D$37,3,0)</f>
        <v>cashloan</v>
      </c>
      <c r="I1132" s="135">
        <v>120750000</v>
      </c>
    </row>
    <row r="1133" spans="1:9" x14ac:dyDescent="0.2">
      <c r="A1133" s="134">
        <v>45434</v>
      </c>
      <c r="B1133" s="135">
        <f>YEAR(source[[#This Row],[report_date]])</f>
        <v>2024</v>
      </c>
      <c r="C1133" s="136">
        <v>5</v>
      </c>
      <c r="D1133" s="136">
        <f t="shared" si="57"/>
        <v>21</v>
      </c>
      <c r="E1133" s="136">
        <f t="shared" si="58"/>
        <v>22</v>
      </c>
      <c r="F1133" s="128" t="s">
        <v>11</v>
      </c>
      <c r="G1133" s="128" t="str">
        <f>VLOOKUP(source[[#This Row],[lending_product_transform]],[3]Mapping!$B$4:$C$37,2,0)</f>
        <v>[VDS] - Cashloan</v>
      </c>
      <c r="H1133" s="128" t="str">
        <f>VLOOKUP(source[[#This Row],[lending_product_transform]],[3]Mapping!$B$3:$D$37,3,0)</f>
        <v>cashloan</v>
      </c>
      <c r="I1133" s="135">
        <v>3647290000</v>
      </c>
    </row>
    <row r="1134" spans="1:9" x14ac:dyDescent="0.2">
      <c r="A1134" s="134">
        <v>45435</v>
      </c>
      <c r="B1134" s="135">
        <f>YEAR(source[[#This Row],[report_date]])</f>
        <v>2024</v>
      </c>
      <c r="C1134" s="136">
        <v>5</v>
      </c>
      <c r="D1134" s="136">
        <f t="shared" si="57"/>
        <v>21</v>
      </c>
      <c r="E1134" s="136">
        <f t="shared" si="58"/>
        <v>23</v>
      </c>
      <c r="F1134" s="128" t="s">
        <v>67</v>
      </c>
      <c r="G1134" s="128" t="str">
        <f>VLOOKUP(source[[#This Row],[lending_product_transform]],[3]Mapping!$B$4:$C$37,2,0)</f>
        <v>[Cake] - Overdraft</v>
      </c>
      <c r="H1134" s="128" t="str">
        <f>VLOOKUP(source[[#This Row],[lending_product_transform]],[3]Mapping!$B$3:$D$37,3,0)</f>
        <v>overdraft</v>
      </c>
      <c r="I1134" s="135">
        <v>1831898572</v>
      </c>
    </row>
    <row r="1135" spans="1:9" x14ac:dyDescent="0.2">
      <c r="A1135" s="134">
        <v>45435</v>
      </c>
      <c r="B1135" s="135">
        <f>YEAR(source[[#This Row],[report_date]])</f>
        <v>2024</v>
      </c>
      <c r="C1135" s="136">
        <v>5</v>
      </c>
      <c r="D1135" s="136">
        <f t="shared" si="57"/>
        <v>21</v>
      </c>
      <c r="E1135" s="136">
        <f t="shared" si="58"/>
        <v>23</v>
      </c>
      <c r="F1135" s="128" t="s">
        <v>65</v>
      </c>
      <c r="G1135" s="128" t="str">
        <f>VLOOKUP(source[[#This Row],[lending_product_transform]],[3]Mapping!$B$4:$C$37,2,0)</f>
        <v>[BE] - Cashloan</v>
      </c>
      <c r="H1135" s="128" t="str">
        <f>VLOOKUP(source[[#This Row],[lending_product_transform]],[3]Mapping!$B$3:$D$37,3,0)</f>
        <v>cashloan</v>
      </c>
      <c r="I1135" s="135">
        <v>130200000</v>
      </c>
    </row>
    <row r="1136" spans="1:9" x14ac:dyDescent="0.2">
      <c r="A1136" s="134">
        <v>45435</v>
      </c>
      <c r="B1136" s="135">
        <f>YEAR(source[[#This Row],[report_date]])</f>
        <v>2024</v>
      </c>
      <c r="C1136" s="136">
        <v>5</v>
      </c>
      <c r="D1136" s="136">
        <f t="shared" si="57"/>
        <v>21</v>
      </c>
      <c r="E1136" s="136">
        <f t="shared" si="58"/>
        <v>23</v>
      </c>
      <c r="F1136" s="128" t="s">
        <v>206</v>
      </c>
      <c r="G1136" s="128" t="str">
        <f>VLOOKUP(source[[#This Row],[lending_product_transform]],[3]Mapping!$B$4:$C$37,2,0)</f>
        <v>[NGS] - Cashloan</v>
      </c>
      <c r="H1136" s="128" t="str">
        <f>VLOOKUP(source[[#This Row],[lending_product_transform]],[3]Mapping!$B$3:$D$37,3,0)</f>
        <v>cashloan</v>
      </c>
      <c r="I1136" s="135">
        <v>159660000</v>
      </c>
    </row>
    <row r="1137" spans="1:9" x14ac:dyDescent="0.2">
      <c r="A1137" s="134">
        <v>45435</v>
      </c>
      <c r="B1137" s="135">
        <f>YEAR(source[[#This Row],[report_date]])</f>
        <v>2024</v>
      </c>
      <c r="C1137" s="136">
        <v>5</v>
      </c>
      <c r="D1137" s="136">
        <f t="shared" si="57"/>
        <v>21</v>
      </c>
      <c r="E1137" s="136">
        <f t="shared" si="58"/>
        <v>23</v>
      </c>
      <c r="F1137" s="128" t="s">
        <v>19</v>
      </c>
      <c r="G1137" s="128" t="str">
        <f>VLOOKUP(source[[#This Row],[lending_product_transform]],[3]Mapping!$B$4:$C$37,2,0)</f>
        <v>[VDS] - Payday</v>
      </c>
      <c r="H1137" s="128" t="str">
        <f>VLOOKUP(source[[#This Row],[lending_product_transform]],[3]Mapping!$B$3:$D$37,3,0)</f>
        <v>payday</v>
      </c>
      <c r="I1137" s="135">
        <v>2330500000</v>
      </c>
    </row>
    <row r="1138" spans="1:9" x14ac:dyDescent="0.2">
      <c r="A1138" s="134">
        <v>45435</v>
      </c>
      <c r="B1138" s="135">
        <f>YEAR(source[[#This Row],[report_date]])</f>
        <v>2024</v>
      </c>
      <c r="C1138" s="136">
        <v>5</v>
      </c>
      <c r="D1138" s="136">
        <f t="shared" si="57"/>
        <v>21</v>
      </c>
      <c r="E1138" s="136">
        <f t="shared" si="58"/>
        <v>23</v>
      </c>
      <c r="F1138" s="128" t="s">
        <v>58</v>
      </c>
      <c r="G1138" s="128" t="str">
        <f>VLOOKUP(source[[#This Row],[lending_product_transform]],[3]Mapping!$B$4:$C$37,2,0)</f>
        <v>[VDS] - Payroll Cashloan</v>
      </c>
      <c r="H1138" s="128" t="str">
        <f>VLOOKUP(source[[#This Row],[lending_product_transform]],[3]Mapping!$B$3:$D$37,3,0)</f>
        <v>cashloan</v>
      </c>
      <c r="I1138" s="135">
        <v>20500000</v>
      </c>
    </row>
    <row r="1139" spans="1:9" x14ac:dyDescent="0.2">
      <c r="A1139" s="134">
        <v>45435</v>
      </c>
      <c r="B1139" s="135">
        <f>YEAR(source[[#This Row],[report_date]])</f>
        <v>2024</v>
      </c>
      <c r="C1139" s="136">
        <v>5</v>
      </c>
      <c r="D1139" s="136">
        <f t="shared" si="57"/>
        <v>21</v>
      </c>
      <c r="E1139" s="136">
        <f t="shared" si="58"/>
        <v>23</v>
      </c>
      <c r="F1139" s="128" t="s">
        <v>56</v>
      </c>
      <c r="G1139" s="128">
        <f>VLOOKUP(source[[#This Row],[lending_product_transform]],[3]Mapping!$B$4:$C$37,2,0)</f>
        <v>0</v>
      </c>
      <c r="H1139" s="128">
        <f>VLOOKUP(source[[#This Row],[lending_product_transform]],[3]Mapping!$B$3:$D$37,3,0)</f>
        <v>0</v>
      </c>
      <c r="I1139" s="135">
        <v>7725853315</v>
      </c>
    </row>
    <row r="1140" spans="1:9" x14ac:dyDescent="0.2">
      <c r="A1140" s="134">
        <v>45435</v>
      </c>
      <c r="B1140" s="135">
        <f>YEAR(source[[#This Row],[report_date]])</f>
        <v>2024</v>
      </c>
      <c r="C1140" s="136">
        <v>5</v>
      </c>
      <c r="D1140" s="136">
        <f t="shared" si="57"/>
        <v>21</v>
      </c>
      <c r="E1140" s="136">
        <f t="shared" si="58"/>
        <v>23</v>
      </c>
      <c r="F1140" s="128" t="s">
        <v>62</v>
      </c>
      <c r="G1140" s="128" t="str">
        <f>VLOOKUP(source[[#This Row],[lending_product_transform]],[3]Mapping!$B$4:$C$37,2,0)</f>
        <v>[VDS] - Paylater</v>
      </c>
      <c r="H1140" s="128" t="str">
        <f>VLOOKUP(source[[#This Row],[lending_product_transform]],[3]Mapping!$B$3:$D$37,3,0)</f>
        <v>paylater</v>
      </c>
      <c r="I1140" s="135">
        <v>36554743</v>
      </c>
    </row>
    <row r="1141" spans="1:9" x14ac:dyDescent="0.2">
      <c r="A1141" s="134">
        <v>45435</v>
      </c>
      <c r="B1141" s="135">
        <f>YEAR(source[[#This Row],[report_date]])</f>
        <v>2024</v>
      </c>
      <c r="C1141" s="136">
        <v>5</v>
      </c>
      <c r="D1141" s="136">
        <f t="shared" si="57"/>
        <v>21</v>
      </c>
      <c r="E1141" s="136">
        <f t="shared" si="58"/>
        <v>23</v>
      </c>
      <c r="F1141" s="128" t="s">
        <v>61</v>
      </c>
      <c r="G1141" s="128" t="str">
        <f>VLOOKUP(source[[#This Row],[lending_product_transform]],[3]Mapping!$B$4:$C$37,2,0)</f>
        <v>[VDS] - Payroll Payday</v>
      </c>
      <c r="H1141" s="128" t="str">
        <f>VLOOKUP(source[[#This Row],[lending_product_transform]],[3]Mapping!$B$3:$D$37,3,0)</f>
        <v>payday</v>
      </c>
      <c r="I1141" s="135">
        <v>13000000</v>
      </c>
    </row>
    <row r="1142" spans="1:9" x14ac:dyDescent="0.2">
      <c r="A1142" s="134">
        <v>45435</v>
      </c>
      <c r="B1142" s="135">
        <f>YEAR(source[[#This Row],[report_date]])</f>
        <v>2024</v>
      </c>
      <c r="C1142" s="136">
        <v>5</v>
      </c>
      <c r="D1142" s="136">
        <f t="shared" si="57"/>
        <v>21</v>
      </c>
      <c r="E1142" s="136">
        <f t="shared" si="58"/>
        <v>23</v>
      </c>
      <c r="F1142" s="128" t="s">
        <v>238</v>
      </c>
      <c r="G1142" s="128" t="str">
        <f>VLOOKUP(source[[#This Row],[lending_product_transform]],[3]Mapping!$B$4:$C$37,2,0)</f>
        <v>[VDS] - Cashloan LP</v>
      </c>
      <c r="H1142" s="128" t="str">
        <f>VLOOKUP(source[[#This Row],[lending_product_transform]],[3]Mapping!$B$3:$D$37,3,0)</f>
        <v>cashloan</v>
      </c>
      <c r="I1142" s="135">
        <v>0</v>
      </c>
    </row>
    <row r="1143" spans="1:9" x14ac:dyDescent="0.2">
      <c r="A1143" s="134">
        <v>45435</v>
      </c>
      <c r="B1143" s="135">
        <f>YEAR(source[[#This Row],[report_date]])</f>
        <v>2024</v>
      </c>
      <c r="C1143" s="136">
        <v>5</v>
      </c>
      <c r="D1143" s="136">
        <f t="shared" si="57"/>
        <v>21</v>
      </c>
      <c r="E1143" s="136">
        <f t="shared" si="58"/>
        <v>23</v>
      </c>
      <c r="F1143" s="128" t="s">
        <v>11</v>
      </c>
      <c r="G1143" s="128" t="str">
        <f>VLOOKUP(source[[#This Row],[lending_product_transform]],[3]Mapping!$B$4:$C$37,2,0)</f>
        <v>[VDS] - Cashloan</v>
      </c>
      <c r="H1143" s="128" t="str">
        <f>VLOOKUP(source[[#This Row],[lending_product_transform]],[3]Mapping!$B$3:$D$37,3,0)</f>
        <v>cashloan</v>
      </c>
      <c r="I1143" s="135">
        <v>3203540000</v>
      </c>
    </row>
    <row r="1144" spans="1:9" x14ac:dyDescent="0.2">
      <c r="A1144" s="134">
        <v>45436</v>
      </c>
      <c r="B1144" s="135">
        <f>YEAR(source[[#This Row],[report_date]])</f>
        <v>2024</v>
      </c>
      <c r="C1144" s="136">
        <v>5</v>
      </c>
      <c r="D1144" s="136">
        <f t="shared" si="57"/>
        <v>21</v>
      </c>
      <c r="E1144" s="136">
        <f t="shared" si="58"/>
        <v>24</v>
      </c>
      <c r="F1144" s="128" t="s">
        <v>19</v>
      </c>
      <c r="G1144" s="128" t="str">
        <f>VLOOKUP(source[[#This Row],[lending_product_transform]],[3]Mapping!$B$4:$C$37,2,0)</f>
        <v>[VDS] - Payday</v>
      </c>
      <c r="H1144" s="128" t="str">
        <f>VLOOKUP(source[[#This Row],[lending_product_transform]],[3]Mapping!$B$3:$D$37,3,0)</f>
        <v>payday</v>
      </c>
      <c r="I1144" s="135">
        <v>2647500000</v>
      </c>
    </row>
    <row r="1145" spans="1:9" x14ac:dyDescent="0.2">
      <c r="A1145" s="134">
        <v>45436</v>
      </c>
      <c r="B1145" s="135">
        <f>YEAR(source[[#This Row],[report_date]])</f>
        <v>2024</v>
      </c>
      <c r="C1145" s="136">
        <v>5</v>
      </c>
      <c r="D1145" s="136">
        <f t="shared" si="57"/>
        <v>21</v>
      </c>
      <c r="E1145" s="136">
        <f t="shared" si="58"/>
        <v>24</v>
      </c>
      <c r="F1145" s="128" t="s">
        <v>65</v>
      </c>
      <c r="G1145" s="128" t="str">
        <f>VLOOKUP(source[[#This Row],[lending_product_transform]],[3]Mapping!$B$4:$C$37,2,0)</f>
        <v>[BE] - Cashloan</v>
      </c>
      <c r="H1145" s="128" t="str">
        <f>VLOOKUP(source[[#This Row],[lending_product_transform]],[3]Mapping!$B$3:$D$37,3,0)</f>
        <v>cashloan</v>
      </c>
      <c r="I1145" s="135">
        <v>115000000</v>
      </c>
    </row>
    <row r="1146" spans="1:9" x14ac:dyDescent="0.2">
      <c r="A1146" s="134">
        <v>45436</v>
      </c>
      <c r="B1146" s="135">
        <f>YEAR(source[[#This Row],[report_date]])</f>
        <v>2024</v>
      </c>
      <c r="C1146" s="136">
        <v>5</v>
      </c>
      <c r="D1146" s="136">
        <f t="shared" si="57"/>
        <v>21</v>
      </c>
      <c r="E1146" s="136">
        <f t="shared" si="58"/>
        <v>24</v>
      </c>
      <c r="F1146" s="128" t="s">
        <v>11</v>
      </c>
      <c r="G1146" s="128" t="str">
        <f>VLOOKUP(source[[#This Row],[lending_product_transform]],[3]Mapping!$B$4:$C$37,2,0)</f>
        <v>[VDS] - Cashloan</v>
      </c>
      <c r="H1146" s="128" t="str">
        <f>VLOOKUP(source[[#This Row],[lending_product_transform]],[3]Mapping!$B$3:$D$37,3,0)</f>
        <v>cashloan</v>
      </c>
      <c r="I1146" s="135">
        <v>3425530000</v>
      </c>
    </row>
    <row r="1147" spans="1:9" x14ac:dyDescent="0.2">
      <c r="A1147" s="134">
        <v>45436</v>
      </c>
      <c r="B1147" s="135">
        <f>YEAR(source[[#This Row],[report_date]])</f>
        <v>2024</v>
      </c>
      <c r="C1147" s="136">
        <v>5</v>
      </c>
      <c r="D1147" s="136">
        <f t="shared" si="57"/>
        <v>21</v>
      </c>
      <c r="E1147" s="136">
        <f t="shared" si="58"/>
        <v>24</v>
      </c>
      <c r="F1147" s="128" t="s">
        <v>61</v>
      </c>
      <c r="G1147" s="128" t="str">
        <f>VLOOKUP(source[[#This Row],[lending_product_transform]],[3]Mapping!$B$4:$C$37,2,0)</f>
        <v>[VDS] - Payroll Payday</v>
      </c>
      <c r="H1147" s="128" t="str">
        <f>VLOOKUP(source[[#This Row],[lending_product_transform]],[3]Mapping!$B$3:$D$37,3,0)</f>
        <v>payday</v>
      </c>
      <c r="I1147" s="135">
        <v>45000000</v>
      </c>
    </row>
    <row r="1148" spans="1:9" x14ac:dyDescent="0.2">
      <c r="A1148" s="134">
        <v>45436</v>
      </c>
      <c r="B1148" s="135">
        <f>YEAR(source[[#This Row],[report_date]])</f>
        <v>2024</v>
      </c>
      <c r="C1148" s="136">
        <v>5</v>
      </c>
      <c r="D1148" s="136">
        <f t="shared" si="57"/>
        <v>21</v>
      </c>
      <c r="E1148" s="136">
        <f t="shared" si="58"/>
        <v>24</v>
      </c>
      <c r="F1148" s="128" t="s">
        <v>56</v>
      </c>
      <c r="G1148" s="128">
        <f>VLOOKUP(source[[#This Row],[lending_product_transform]],[3]Mapping!$B$4:$C$37,2,0)</f>
        <v>0</v>
      </c>
      <c r="H1148" s="128">
        <f>VLOOKUP(source[[#This Row],[lending_product_transform]],[3]Mapping!$B$3:$D$37,3,0)</f>
        <v>0</v>
      </c>
      <c r="I1148" s="135">
        <v>8594852085</v>
      </c>
    </row>
    <row r="1149" spans="1:9" x14ac:dyDescent="0.2">
      <c r="A1149" s="134">
        <v>45436</v>
      </c>
      <c r="B1149" s="135">
        <f>YEAR(source[[#This Row],[report_date]])</f>
        <v>2024</v>
      </c>
      <c r="C1149" s="136">
        <v>5</v>
      </c>
      <c r="D1149" s="136">
        <f t="shared" si="57"/>
        <v>21</v>
      </c>
      <c r="E1149" s="136">
        <f t="shared" si="58"/>
        <v>24</v>
      </c>
      <c r="F1149" s="128" t="s">
        <v>62</v>
      </c>
      <c r="G1149" s="128" t="str">
        <f>VLOOKUP(source[[#This Row],[lending_product_transform]],[3]Mapping!$B$4:$C$37,2,0)</f>
        <v>[VDS] - Paylater</v>
      </c>
      <c r="H1149" s="128" t="str">
        <f>VLOOKUP(source[[#This Row],[lending_product_transform]],[3]Mapping!$B$3:$D$37,3,0)</f>
        <v>paylater</v>
      </c>
      <c r="I1149" s="135">
        <v>30400767</v>
      </c>
    </row>
    <row r="1150" spans="1:9" x14ac:dyDescent="0.2">
      <c r="A1150" s="134">
        <v>45436</v>
      </c>
      <c r="B1150" s="135">
        <f>YEAR(source[[#This Row],[report_date]])</f>
        <v>2024</v>
      </c>
      <c r="C1150" s="136">
        <v>5</v>
      </c>
      <c r="D1150" s="136">
        <f t="shared" si="57"/>
        <v>21</v>
      </c>
      <c r="E1150" s="136">
        <f t="shared" si="58"/>
        <v>24</v>
      </c>
      <c r="F1150" s="128" t="s">
        <v>238</v>
      </c>
      <c r="G1150" s="128" t="str">
        <f>VLOOKUP(source[[#This Row],[lending_product_transform]],[3]Mapping!$B$4:$C$37,2,0)</f>
        <v>[VDS] - Cashloan LP</v>
      </c>
      <c r="H1150" s="128" t="str">
        <f>VLOOKUP(source[[#This Row],[lending_product_transform]],[3]Mapping!$B$3:$D$37,3,0)</f>
        <v>cashloan</v>
      </c>
      <c r="I1150" s="135">
        <v>38520000</v>
      </c>
    </row>
    <row r="1151" spans="1:9" x14ac:dyDescent="0.2">
      <c r="A1151" s="134">
        <v>45436</v>
      </c>
      <c r="B1151" s="135">
        <f>YEAR(source[[#This Row],[report_date]])</f>
        <v>2024</v>
      </c>
      <c r="C1151" s="136">
        <v>5</v>
      </c>
      <c r="D1151" s="136">
        <f t="shared" si="57"/>
        <v>21</v>
      </c>
      <c r="E1151" s="136">
        <f t="shared" si="58"/>
        <v>24</v>
      </c>
      <c r="F1151" s="128" t="s">
        <v>58</v>
      </c>
      <c r="G1151" s="128" t="str">
        <f>VLOOKUP(source[[#This Row],[lending_product_transform]],[3]Mapping!$B$4:$C$37,2,0)</f>
        <v>[VDS] - Payroll Cashloan</v>
      </c>
      <c r="H1151" s="128" t="str">
        <f>VLOOKUP(source[[#This Row],[lending_product_transform]],[3]Mapping!$B$3:$D$37,3,0)</f>
        <v>cashloan</v>
      </c>
      <c r="I1151" s="135">
        <v>82950000</v>
      </c>
    </row>
    <row r="1152" spans="1:9" x14ac:dyDescent="0.2">
      <c r="A1152" s="134">
        <v>45436</v>
      </c>
      <c r="B1152" s="135">
        <f>YEAR(source[[#This Row],[report_date]])</f>
        <v>2024</v>
      </c>
      <c r="C1152" s="136">
        <v>5</v>
      </c>
      <c r="D1152" s="136">
        <f t="shared" si="57"/>
        <v>21</v>
      </c>
      <c r="E1152" s="136">
        <f t="shared" si="58"/>
        <v>24</v>
      </c>
      <c r="F1152" s="128" t="s">
        <v>206</v>
      </c>
      <c r="G1152" s="128" t="str">
        <f>VLOOKUP(source[[#This Row],[lending_product_transform]],[3]Mapping!$B$4:$C$37,2,0)</f>
        <v>[NGS] - Cashloan</v>
      </c>
      <c r="H1152" s="128" t="str">
        <f>VLOOKUP(source[[#This Row],[lending_product_transform]],[3]Mapping!$B$3:$D$37,3,0)</f>
        <v>cashloan</v>
      </c>
      <c r="I1152" s="135">
        <v>289060000</v>
      </c>
    </row>
    <row r="1153" spans="1:9" x14ac:dyDescent="0.2">
      <c r="A1153" s="134">
        <v>45436</v>
      </c>
      <c r="B1153" s="135">
        <f>YEAR(source[[#This Row],[report_date]])</f>
        <v>2024</v>
      </c>
      <c r="C1153" s="136">
        <v>5</v>
      </c>
      <c r="D1153" s="136">
        <f t="shared" si="57"/>
        <v>21</v>
      </c>
      <c r="E1153" s="136">
        <f t="shared" si="58"/>
        <v>24</v>
      </c>
      <c r="F1153" s="128" t="s">
        <v>67</v>
      </c>
      <c r="G1153" s="128" t="str">
        <f>VLOOKUP(source[[#This Row],[lending_product_transform]],[3]Mapping!$B$4:$C$37,2,0)</f>
        <v>[Cake] - Overdraft</v>
      </c>
      <c r="H1153" s="128" t="str">
        <f>VLOOKUP(source[[#This Row],[lending_product_transform]],[3]Mapping!$B$3:$D$37,3,0)</f>
        <v>overdraft</v>
      </c>
      <c r="I1153" s="135">
        <v>1920891318</v>
      </c>
    </row>
    <row r="1154" spans="1:9" x14ac:dyDescent="0.2">
      <c r="A1154" s="134">
        <v>45437</v>
      </c>
      <c r="B1154" s="135">
        <f>YEAR(source[[#This Row],[report_date]])</f>
        <v>2024</v>
      </c>
      <c r="C1154" s="136">
        <v>5</v>
      </c>
      <c r="D1154" s="136">
        <f t="shared" si="57"/>
        <v>21</v>
      </c>
      <c r="E1154" s="136">
        <f t="shared" si="58"/>
        <v>25</v>
      </c>
      <c r="F1154" s="128" t="s">
        <v>206</v>
      </c>
      <c r="G1154" s="128" t="str">
        <f>VLOOKUP(source[[#This Row],[lending_product_transform]],[3]Mapping!$B$4:$C$37,2,0)</f>
        <v>[NGS] - Cashloan</v>
      </c>
      <c r="H1154" s="128" t="str">
        <f>VLOOKUP(source[[#This Row],[lending_product_transform]],[3]Mapping!$B$3:$D$37,3,0)</f>
        <v>cashloan</v>
      </c>
      <c r="I1154" s="135">
        <v>217210000</v>
      </c>
    </row>
    <row r="1155" spans="1:9" x14ac:dyDescent="0.2">
      <c r="A1155" s="134">
        <v>45437</v>
      </c>
      <c r="B1155" s="135">
        <f>YEAR(source[[#This Row],[report_date]])</f>
        <v>2024</v>
      </c>
      <c r="C1155" s="136">
        <v>5</v>
      </c>
      <c r="D1155" s="136">
        <f t="shared" ref="D1155:D1218" si="59">WEEKNUM(A1155,2)</f>
        <v>21</v>
      </c>
      <c r="E1155" s="136">
        <f t="shared" ref="E1155:E1218" si="60">DAY(A1155)</f>
        <v>25</v>
      </c>
      <c r="F1155" s="128" t="s">
        <v>58</v>
      </c>
      <c r="G1155" s="128" t="str">
        <f>VLOOKUP(source[[#This Row],[lending_product_transform]],[3]Mapping!$B$4:$C$37,2,0)</f>
        <v>[VDS] - Payroll Cashloan</v>
      </c>
      <c r="H1155" s="128" t="str">
        <f>VLOOKUP(source[[#This Row],[lending_product_transform]],[3]Mapping!$B$3:$D$37,3,0)</f>
        <v>cashloan</v>
      </c>
      <c r="I1155" s="135">
        <v>31500000</v>
      </c>
    </row>
    <row r="1156" spans="1:9" x14ac:dyDescent="0.2">
      <c r="A1156" s="134">
        <v>45437</v>
      </c>
      <c r="B1156" s="135">
        <f>YEAR(source[[#This Row],[report_date]])</f>
        <v>2024</v>
      </c>
      <c r="C1156" s="136">
        <v>5</v>
      </c>
      <c r="D1156" s="136">
        <f t="shared" si="59"/>
        <v>21</v>
      </c>
      <c r="E1156" s="136">
        <f t="shared" si="60"/>
        <v>25</v>
      </c>
      <c r="F1156" s="128" t="s">
        <v>19</v>
      </c>
      <c r="G1156" s="128" t="str">
        <f>VLOOKUP(source[[#This Row],[lending_product_transform]],[3]Mapping!$B$4:$C$37,2,0)</f>
        <v>[VDS] - Payday</v>
      </c>
      <c r="H1156" s="128" t="str">
        <f>VLOOKUP(source[[#This Row],[lending_product_transform]],[3]Mapping!$B$3:$D$37,3,0)</f>
        <v>payday</v>
      </c>
      <c r="I1156" s="135">
        <v>2469000000</v>
      </c>
    </row>
    <row r="1157" spans="1:9" x14ac:dyDescent="0.2">
      <c r="A1157" s="134">
        <v>45437</v>
      </c>
      <c r="B1157" s="135">
        <f>YEAR(source[[#This Row],[report_date]])</f>
        <v>2024</v>
      </c>
      <c r="C1157" s="136">
        <v>5</v>
      </c>
      <c r="D1157" s="136">
        <f t="shared" si="59"/>
        <v>21</v>
      </c>
      <c r="E1157" s="136">
        <f t="shared" si="60"/>
        <v>25</v>
      </c>
      <c r="F1157" s="128" t="s">
        <v>56</v>
      </c>
      <c r="G1157" s="128">
        <f>VLOOKUP(source[[#This Row],[lending_product_transform]],[3]Mapping!$B$4:$C$37,2,0)</f>
        <v>0</v>
      </c>
      <c r="H1157" s="128">
        <f>VLOOKUP(source[[#This Row],[lending_product_transform]],[3]Mapping!$B$3:$D$37,3,0)</f>
        <v>0</v>
      </c>
      <c r="I1157" s="135">
        <v>7290933394</v>
      </c>
    </row>
    <row r="1158" spans="1:9" x14ac:dyDescent="0.2">
      <c r="A1158" s="134">
        <v>45437</v>
      </c>
      <c r="B1158" s="135">
        <f>YEAR(source[[#This Row],[report_date]])</f>
        <v>2024</v>
      </c>
      <c r="C1158" s="136">
        <v>5</v>
      </c>
      <c r="D1158" s="136">
        <f t="shared" si="59"/>
        <v>21</v>
      </c>
      <c r="E1158" s="136">
        <f t="shared" si="60"/>
        <v>25</v>
      </c>
      <c r="F1158" s="128" t="s">
        <v>62</v>
      </c>
      <c r="G1158" s="128" t="str">
        <f>VLOOKUP(source[[#This Row],[lending_product_transform]],[3]Mapping!$B$4:$C$37,2,0)</f>
        <v>[VDS] - Paylater</v>
      </c>
      <c r="H1158" s="128" t="str">
        <f>VLOOKUP(source[[#This Row],[lending_product_transform]],[3]Mapping!$B$3:$D$37,3,0)</f>
        <v>paylater</v>
      </c>
      <c r="I1158" s="135">
        <v>30585395</v>
      </c>
    </row>
    <row r="1159" spans="1:9" x14ac:dyDescent="0.2">
      <c r="A1159" s="134">
        <v>45437</v>
      </c>
      <c r="B1159" s="135">
        <f>YEAR(source[[#This Row],[report_date]])</f>
        <v>2024</v>
      </c>
      <c r="C1159" s="136">
        <v>5</v>
      </c>
      <c r="D1159" s="136">
        <f t="shared" si="59"/>
        <v>21</v>
      </c>
      <c r="E1159" s="136">
        <f t="shared" si="60"/>
        <v>25</v>
      </c>
      <c r="F1159" s="128" t="s">
        <v>67</v>
      </c>
      <c r="G1159" s="128" t="str">
        <f>VLOOKUP(source[[#This Row],[lending_product_transform]],[3]Mapping!$B$4:$C$37,2,0)</f>
        <v>[Cake] - Overdraft</v>
      </c>
      <c r="H1159" s="128" t="str">
        <f>VLOOKUP(source[[#This Row],[lending_product_transform]],[3]Mapping!$B$3:$D$37,3,0)</f>
        <v>overdraft</v>
      </c>
      <c r="I1159" s="135">
        <v>1607167999</v>
      </c>
    </row>
    <row r="1160" spans="1:9" x14ac:dyDescent="0.2">
      <c r="A1160" s="134">
        <v>45437</v>
      </c>
      <c r="B1160" s="135">
        <f>YEAR(source[[#This Row],[report_date]])</f>
        <v>2024</v>
      </c>
      <c r="C1160" s="136">
        <v>5</v>
      </c>
      <c r="D1160" s="136">
        <f t="shared" si="59"/>
        <v>21</v>
      </c>
      <c r="E1160" s="136">
        <f t="shared" si="60"/>
        <v>25</v>
      </c>
      <c r="F1160" s="128" t="s">
        <v>11</v>
      </c>
      <c r="G1160" s="128" t="str">
        <f>VLOOKUP(source[[#This Row],[lending_product_transform]],[3]Mapping!$B$4:$C$37,2,0)</f>
        <v>[VDS] - Cashloan</v>
      </c>
      <c r="H1160" s="128" t="str">
        <f>VLOOKUP(source[[#This Row],[lending_product_transform]],[3]Mapping!$B$3:$D$37,3,0)</f>
        <v>cashloan</v>
      </c>
      <c r="I1160" s="135">
        <v>2804160000</v>
      </c>
    </row>
    <row r="1161" spans="1:9" x14ac:dyDescent="0.2">
      <c r="A1161" s="134">
        <v>45437</v>
      </c>
      <c r="B1161" s="135">
        <f>YEAR(source[[#This Row],[report_date]])</f>
        <v>2024</v>
      </c>
      <c r="C1161" s="136">
        <v>5</v>
      </c>
      <c r="D1161" s="136">
        <f t="shared" si="59"/>
        <v>21</v>
      </c>
      <c r="E1161" s="136">
        <f t="shared" si="60"/>
        <v>25</v>
      </c>
      <c r="F1161" s="128" t="s">
        <v>61</v>
      </c>
      <c r="G1161" s="128" t="str">
        <f>VLOOKUP(source[[#This Row],[lending_product_transform]],[3]Mapping!$B$4:$C$37,2,0)</f>
        <v>[VDS] - Payroll Payday</v>
      </c>
      <c r="H1161" s="128" t="str">
        <f>VLOOKUP(source[[#This Row],[lending_product_transform]],[3]Mapping!$B$3:$D$37,3,0)</f>
        <v>payday</v>
      </c>
      <c r="I1161" s="135">
        <v>24000000</v>
      </c>
    </row>
    <row r="1162" spans="1:9" x14ac:dyDescent="0.2">
      <c r="A1162" s="134">
        <v>45437</v>
      </c>
      <c r="B1162" s="135">
        <f>YEAR(source[[#This Row],[report_date]])</f>
        <v>2024</v>
      </c>
      <c r="C1162" s="136">
        <v>5</v>
      </c>
      <c r="D1162" s="136">
        <f t="shared" si="59"/>
        <v>21</v>
      </c>
      <c r="E1162" s="136">
        <f t="shared" si="60"/>
        <v>25</v>
      </c>
      <c r="F1162" s="128" t="s">
        <v>238</v>
      </c>
      <c r="G1162" s="128" t="str">
        <f>VLOOKUP(source[[#This Row],[lending_product_transform]],[3]Mapping!$B$4:$C$37,2,0)</f>
        <v>[VDS] - Cashloan LP</v>
      </c>
      <c r="H1162" s="128" t="str">
        <f>VLOOKUP(source[[#This Row],[lending_product_transform]],[3]Mapping!$B$3:$D$37,3,0)</f>
        <v>cashloan</v>
      </c>
      <c r="I1162" s="135">
        <v>28560000</v>
      </c>
    </row>
    <row r="1163" spans="1:9" x14ac:dyDescent="0.2">
      <c r="A1163" s="134">
        <v>45437</v>
      </c>
      <c r="B1163" s="135">
        <f>YEAR(source[[#This Row],[report_date]])</f>
        <v>2024</v>
      </c>
      <c r="C1163" s="136">
        <v>5</v>
      </c>
      <c r="D1163" s="136">
        <f t="shared" si="59"/>
        <v>21</v>
      </c>
      <c r="E1163" s="136">
        <f t="shared" si="60"/>
        <v>25</v>
      </c>
      <c r="F1163" s="128" t="s">
        <v>65</v>
      </c>
      <c r="G1163" s="128" t="str">
        <f>VLOOKUP(source[[#This Row],[lending_product_transform]],[3]Mapping!$B$4:$C$37,2,0)</f>
        <v>[BE] - Cashloan</v>
      </c>
      <c r="H1163" s="128" t="str">
        <f>VLOOKUP(source[[#This Row],[lending_product_transform]],[3]Mapping!$B$3:$D$37,3,0)</f>
        <v>cashloan</v>
      </c>
      <c r="I1163" s="135">
        <v>78750000</v>
      </c>
    </row>
    <row r="1164" spans="1:9" x14ac:dyDescent="0.2">
      <c r="A1164" s="134">
        <v>45438</v>
      </c>
      <c r="B1164" s="135">
        <f>YEAR(source[[#This Row],[report_date]])</f>
        <v>2024</v>
      </c>
      <c r="C1164" s="136">
        <v>5</v>
      </c>
      <c r="D1164" s="136">
        <f t="shared" si="59"/>
        <v>21</v>
      </c>
      <c r="E1164" s="136">
        <f t="shared" si="60"/>
        <v>26</v>
      </c>
      <c r="F1164" s="128" t="s">
        <v>58</v>
      </c>
      <c r="G1164" s="128" t="str">
        <f>VLOOKUP(source[[#This Row],[lending_product_transform]],[3]Mapping!$B$4:$C$37,2,0)</f>
        <v>[VDS] - Payroll Cashloan</v>
      </c>
      <c r="H1164" s="128" t="str">
        <f>VLOOKUP(source[[#This Row],[lending_product_transform]],[3]Mapping!$B$3:$D$37,3,0)</f>
        <v>cashloan</v>
      </c>
      <c r="I1164" s="135">
        <v>57750000</v>
      </c>
    </row>
    <row r="1165" spans="1:9" x14ac:dyDescent="0.2">
      <c r="A1165" s="134">
        <v>45438</v>
      </c>
      <c r="B1165" s="135">
        <f>YEAR(source[[#This Row],[report_date]])</f>
        <v>2024</v>
      </c>
      <c r="C1165" s="136">
        <v>5</v>
      </c>
      <c r="D1165" s="136">
        <f t="shared" si="59"/>
        <v>21</v>
      </c>
      <c r="E1165" s="136">
        <f t="shared" si="60"/>
        <v>26</v>
      </c>
      <c r="F1165" s="128" t="s">
        <v>62</v>
      </c>
      <c r="G1165" s="128" t="str">
        <f>VLOOKUP(source[[#This Row],[lending_product_transform]],[3]Mapping!$B$4:$C$37,2,0)</f>
        <v>[VDS] - Paylater</v>
      </c>
      <c r="H1165" s="128" t="str">
        <f>VLOOKUP(source[[#This Row],[lending_product_transform]],[3]Mapping!$B$3:$D$37,3,0)</f>
        <v>paylater</v>
      </c>
      <c r="I1165" s="135">
        <v>36066114</v>
      </c>
    </row>
    <row r="1166" spans="1:9" x14ac:dyDescent="0.2">
      <c r="A1166" s="134">
        <v>45438</v>
      </c>
      <c r="B1166" s="135">
        <f>YEAR(source[[#This Row],[report_date]])</f>
        <v>2024</v>
      </c>
      <c r="C1166" s="136">
        <v>5</v>
      </c>
      <c r="D1166" s="136">
        <f t="shared" si="59"/>
        <v>21</v>
      </c>
      <c r="E1166" s="136">
        <f t="shared" si="60"/>
        <v>26</v>
      </c>
      <c r="F1166" s="128" t="s">
        <v>11</v>
      </c>
      <c r="G1166" s="128" t="str">
        <f>VLOOKUP(source[[#This Row],[lending_product_transform]],[3]Mapping!$B$4:$C$37,2,0)</f>
        <v>[VDS] - Cashloan</v>
      </c>
      <c r="H1166" s="128" t="str">
        <f>VLOOKUP(source[[#This Row],[lending_product_transform]],[3]Mapping!$B$3:$D$37,3,0)</f>
        <v>cashloan</v>
      </c>
      <c r="I1166" s="135">
        <v>3095010000</v>
      </c>
    </row>
    <row r="1167" spans="1:9" x14ac:dyDescent="0.2">
      <c r="A1167" s="134">
        <v>45438</v>
      </c>
      <c r="B1167" s="135">
        <f>YEAR(source[[#This Row],[report_date]])</f>
        <v>2024</v>
      </c>
      <c r="C1167" s="136">
        <v>5</v>
      </c>
      <c r="D1167" s="136">
        <f t="shared" si="59"/>
        <v>21</v>
      </c>
      <c r="E1167" s="136">
        <f t="shared" si="60"/>
        <v>26</v>
      </c>
      <c r="F1167" s="128" t="s">
        <v>19</v>
      </c>
      <c r="G1167" s="128" t="str">
        <f>VLOOKUP(source[[#This Row],[lending_product_transform]],[3]Mapping!$B$4:$C$37,2,0)</f>
        <v>[VDS] - Payday</v>
      </c>
      <c r="H1167" s="128" t="str">
        <f>VLOOKUP(source[[#This Row],[lending_product_transform]],[3]Mapping!$B$3:$D$37,3,0)</f>
        <v>payday</v>
      </c>
      <c r="I1167" s="135">
        <v>2219500000</v>
      </c>
    </row>
    <row r="1168" spans="1:9" x14ac:dyDescent="0.2">
      <c r="A1168" s="134">
        <v>45438</v>
      </c>
      <c r="B1168" s="135">
        <f>YEAR(source[[#This Row],[report_date]])</f>
        <v>2024</v>
      </c>
      <c r="C1168" s="136">
        <v>5</v>
      </c>
      <c r="D1168" s="136">
        <f t="shared" si="59"/>
        <v>21</v>
      </c>
      <c r="E1168" s="136">
        <f t="shared" si="60"/>
        <v>26</v>
      </c>
      <c r="F1168" s="128" t="s">
        <v>206</v>
      </c>
      <c r="G1168" s="128" t="str">
        <f>VLOOKUP(source[[#This Row],[lending_product_transform]],[3]Mapping!$B$4:$C$37,2,0)</f>
        <v>[NGS] - Cashloan</v>
      </c>
      <c r="H1168" s="128" t="str">
        <f>VLOOKUP(source[[#This Row],[lending_product_transform]],[3]Mapping!$B$3:$D$37,3,0)</f>
        <v>cashloan</v>
      </c>
      <c r="I1168" s="135">
        <v>40660000</v>
      </c>
    </row>
    <row r="1169" spans="1:9" x14ac:dyDescent="0.2">
      <c r="A1169" s="134">
        <v>45438</v>
      </c>
      <c r="B1169" s="135">
        <f>YEAR(source[[#This Row],[report_date]])</f>
        <v>2024</v>
      </c>
      <c r="C1169" s="136">
        <v>5</v>
      </c>
      <c r="D1169" s="136">
        <f t="shared" si="59"/>
        <v>21</v>
      </c>
      <c r="E1169" s="136">
        <f t="shared" si="60"/>
        <v>26</v>
      </c>
      <c r="F1169" s="128" t="s">
        <v>67</v>
      </c>
      <c r="G1169" s="128" t="str">
        <f>VLOOKUP(source[[#This Row],[lending_product_transform]],[3]Mapping!$B$4:$C$37,2,0)</f>
        <v>[Cake] - Overdraft</v>
      </c>
      <c r="H1169" s="128" t="str">
        <f>VLOOKUP(source[[#This Row],[lending_product_transform]],[3]Mapping!$B$3:$D$37,3,0)</f>
        <v>overdraft</v>
      </c>
      <c r="I1169" s="135">
        <v>1471655317</v>
      </c>
    </row>
    <row r="1170" spans="1:9" x14ac:dyDescent="0.2">
      <c r="A1170" s="134">
        <v>45438</v>
      </c>
      <c r="B1170" s="135">
        <f>YEAR(source[[#This Row],[report_date]])</f>
        <v>2024</v>
      </c>
      <c r="C1170" s="136">
        <v>5</v>
      </c>
      <c r="D1170" s="136">
        <f t="shared" si="59"/>
        <v>21</v>
      </c>
      <c r="E1170" s="136">
        <f t="shared" si="60"/>
        <v>26</v>
      </c>
      <c r="F1170" s="128" t="s">
        <v>65</v>
      </c>
      <c r="G1170" s="128" t="str">
        <f>VLOOKUP(source[[#This Row],[lending_product_transform]],[3]Mapping!$B$4:$C$37,2,0)</f>
        <v>[BE] - Cashloan</v>
      </c>
      <c r="H1170" s="128" t="str">
        <f>VLOOKUP(source[[#This Row],[lending_product_transform]],[3]Mapping!$B$3:$D$37,3,0)</f>
        <v>cashloan</v>
      </c>
      <c r="I1170" s="135">
        <v>100800000</v>
      </c>
    </row>
    <row r="1171" spans="1:9" x14ac:dyDescent="0.2">
      <c r="A1171" s="134">
        <v>45438</v>
      </c>
      <c r="B1171" s="135">
        <f>YEAR(source[[#This Row],[report_date]])</f>
        <v>2024</v>
      </c>
      <c r="C1171" s="136">
        <v>5</v>
      </c>
      <c r="D1171" s="136">
        <f t="shared" si="59"/>
        <v>21</v>
      </c>
      <c r="E1171" s="136">
        <f t="shared" si="60"/>
        <v>26</v>
      </c>
      <c r="F1171" s="128" t="s">
        <v>56</v>
      </c>
      <c r="G1171" s="128">
        <f>VLOOKUP(source[[#This Row],[lending_product_transform]],[3]Mapping!$B$4:$C$37,2,0)</f>
        <v>0</v>
      </c>
      <c r="H1171" s="128">
        <f>VLOOKUP(source[[#This Row],[lending_product_transform]],[3]Mapping!$B$3:$D$37,3,0)</f>
        <v>0</v>
      </c>
      <c r="I1171" s="135">
        <v>7044441431</v>
      </c>
    </row>
    <row r="1172" spans="1:9" x14ac:dyDescent="0.2">
      <c r="A1172" s="134">
        <v>45438</v>
      </c>
      <c r="B1172" s="135">
        <f>YEAR(source[[#This Row],[report_date]])</f>
        <v>2024</v>
      </c>
      <c r="C1172" s="136">
        <v>5</v>
      </c>
      <c r="D1172" s="136">
        <f t="shared" si="59"/>
        <v>21</v>
      </c>
      <c r="E1172" s="136">
        <f t="shared" si="60"/>
        <v>26</v>
      </c>
      <c r="F1172" s="128" t="s">
        <v>61</v>
      </c>
      <c r="G1172" s="128" t="str">
        <f>VLOOKUP(source[[#This Row],[lending_product_transform]],[3]Mapping!$B$4:$C$37,2,0)</f>
        <v>[VDS] - Payroll Payday</v>
      </c>
      <c r="H1172" s="128" t="str">
        <f>VLOOKUP(source[[#This Row],[lending_product_transform]],[3]Mapping!$B$3:$D$37,3,0)</f>
        <v>payday</v>
      </c>
      <c r="I1172" s="135">
        <v>23000000</v>
      </c>
    </row>
    <row r="1173" spans="1:9" x14ac:dyDescent="0.2">
      <c r="A1173" s="134">
        <v>45438</v>
      </c>
      <c r="B1173" s="135">
        <f>YEAR(source[[#This Row],[report_date]])</f>
        <v>2024</v>
      </c>
      <c r="C1173" s="136">
        <v>5</v>
      </c>
      <c r="D1173" s="136">
        <f t="shared" si="59"/>
        <v>21</v>
      </c>
      <c r="E1173" s="136">
        <f t="shared" si="60"/>
        <v>26</v>
      </c>
      <c r="F1173" s="128" t="s">
        <v>238</v>
      </c>
      <c r="G1173" s="128" t="str">
        <f>VLOOKUP(source[[#This Row],[lending_product_transform]],[3]Mapping!$B$4:$C$37,2,0)</f>
        <v>[VDS] - Cashloan LP</v>
      </c>
      <c r="H1173" s="128" t="str">
        <f>VLOOKUP(source[[#This Row],[lending_product_transform]],[3]Mapping!$B$3:$D$37,3,0)</f>
        <v>cashloan</v>
      </c>
      <c r="I1173" s="135">
        <v>0</v>
      </c>
    </row>
    <row r="1174" spans="1:9" x14ac:dyDescent="0.2">
      <c r="A1174" s="134">
        <v>45439</v>
      </c>
      <c r="B1174" s="135">
        <f>YEAR(source[[#This Row],[report_date]])</f>
        <v>2024</v>
      </c>
      <c r="C1174" s="136">
        <v>5</v>
      </c>
      <c r="D1174" s="136">
        <f t="shared" si="59"/>
        <v>22</v>
      </c>
      <c r="E1174" s="136">
        <f t="shared" si="60"/>
        <v>27</v>
      </c>
      <c r="F1174" s="128" t="s">
        <v>67</v>
      </c>
      <c r="G1174" s="128" t="str">
        <f>VLOOKUP(source[[#This Row],[lending_product_transform]],[3]Mapping!$B$4:$C$37,2,0)</f>
        <v>[Cake] - Overdraft</v>
      </c>
      <c r="H1174" s="128" t="str">
        <f>VLOOKUP(source[[#This Row],[lending_product_transform]],[3]Mapping!$B$3:$D$37,3,0)</f>
        <v>overdraft</v>
      </c>
      <c r="I1174" s="135">
        <v>1901570224</v>
      </c>
    </row>
    <row r="1175" spans="1:9" x14ac:dyDescent="0.2">
      <c r="A1175" s="134">
        <v>45439</v>
      </c>
      <c r="B1175" s="135">
        <f>YEAR(source[[#This Row],[report_date]])</f>
        <v>2024</v>
      </c>
      <c r="C1175" s="136">
        <v>5</v>
      </c>
      <c r="D1175" s="136">
        <f t="shared" si="59"/>
        <v>22</v>
      </c>
      <c r="E1175" s="136">
        <f t="shared" si="60"/>
        <v>27</v>
      </c>
      <c r="F1175" s="128" t="s">
        <v>19</v>
      </c>
      <c r="G1175" s="128" t="str">
        <f>VLOOKUP(source[[#This Row],[lending_product_transform]],[3]Mapping!$B$4:$C$37,2,0)</f>
        <v>[VDS] - Payday</v>
      </c>
      <c r="H1175" s="128" t="str">
        <f>VLOOKUP(source[[#This Row],[lending_product_transform]],[3]Mapping!$B$3:$D$37,3,0)</f>
        <v>payday</v>
      </c>
      <c r="I1175" s="135">
        <v>2592500000</v>
      </c>
    </row>
    <row r="1176" spans="1:9" x14ac:dyDescent="0.2">
      <c r="A1176" s="134">
        <v>45439</v>
      </c>
      <c r="B1176" s="135">
        <f>YEAR(source[[#This Row],[report_date]])</f>
        <v>2024</v>
      </c>
      <c r="C1176" s="136">
        <v>5</v>
      </c>
      <c r="D1176" s="136">
        <f t="shared" si="59"/>
        <v>22</v>
      </c>
      <c r="E1176" s="136">
        <f t="shared" si="60"/>
        <v>27</v>
      </c>
      <c r="F1176" s="128" t="s">
        <v>65</v>
      </c>
      <c r="G1176" s="128" t="str">
        <f>VLOOKUP(source[[#This Row],[lending_product_transform]],[3]Mapping!$B$4:$C$37,2,0)</f>
        <v>[BE] - Cashloan</v>
      </c>
      <c r="H1176" s="128" t="str">
        <f>VLOOKUP(source[[#This Row],[lending_product_transform]],[3]Mapping!$B$3:$D$37,3,0)</f>
        <v>cashloan</v>
      </c>
      <c r="I1176" s="135">
        <v>182750000</v>
      </c>
    </row>
    <row r="1177" spans="1:9" x14ac:dyDescent="0.2">
      <c r="A1177" s="134">
        <v>45439</v>
      </c>
      <c r="B1177" s="135">
        <f>YEAR(source[[#This Row],[report_date]])</f>
        <v>2024</v>
      </c>
      <c r="C1177" s="136">
        <v>5</v>
      </c>
      <c r="D1177" s="136">
        <f t="shared" si="59"/>
        <v>22</v>
      </c>
      <c r="E1177" s="136">
        <f t="shared" si="60"/>
        <v>27</v>
      </c>
      <c r="F1177" s="128" t="s">
        <v>56</v>
      </c>
      <c r="G1177" s="128">
        <f>VLOOKUP(source[[#This Row],[lending_product_transform]],[3]Mapping!$B$4:$C$37,2,0)</f>
        <v>0</v>
      </c>
      <c r="H1177" s="128">
        <f>VLOOKUP(source[[#This Row],[lending_product_transform]],[3]Mapping!$B$3:$D$37,3,0)</f>
        <v>0</v>
      </c>
      <c r="I1177" s="135">
        <v>8631974968</v>
      </c>
    </row>
    <row r="1178" spans="1:9" x14ac:dyDescent="0.2">
      <c r="A1178" s="134">
        <v>45439</v>
      </c>
      <c r="B1178" s="135">
        <f>YEAR(source[[#This Row],[report_date]])</f>
        <v>2024</v>
      </c>
      <c r="C1178" s="136">
        <v>5</v>
      </c>
      <c r="D1178" s="136">
        <f t="shared" si="59"/>
        <v>22</v>
      </c>
      <c r="E1178" s="136">
        <f t="shared" si="60"/>
        <v>27</v>
      </c>
      <c r="F1178" s="128" t="s">
        <v>62</v>
      </c>
      <c r="G1178" s="128" t="str">
        <f>VLOOKUP(source[[#This Row],[lending_product_transform]],[3]Mapping!$B$4:$C$37,2,0)</f>
        <v>[VDS] - Paylater</v>
      </c>
      <c r="H1178" s="128" t="str">
        <f>VLOOKUP(source[[#This Row],[lending_product_transform]],[3]Mapping!$B$3:$D$37,3,0)</f>
        <v>paylater</v>
      </c>
      <c r="I1178" s="135">
        <v>46114744</v>
      </c>
    </row>
    <row r="1179" spans="1:9" x14ac:dyDescent="0.2">
      <c r="A1179" s="134">
        <v>45439</v>
      </c>
      <c r="B1179" s="135">
        <f>YEAR(source[[#This Row],[report_date]])</f>
        <v>2024</v>
      </c>
      <c r="C1179" s="136">
        <v>5</v>
      </c>
      <c r="D1179" s="136">
        <f t="shared" si="59"/>
        <v>22</v>
      </c>
      <c r="E1179" s="136">
        <f t="shared" si="60"/>
        <v>27</v>
      </c>
      <c r="F1179" s="128" t="s">
        <v>61</v>
      </c>
      <c r="G1179" s="128" t="str">
        <f>VLOOKUP(source[[#This Row],[lending_product_transform]],[3]Mapping!$B$4:$C$37,2,0)</f>
        <v>[VDS] - Payroll Payday</v>
      </c>
      <c r="H1179" s="128" t="str">
        <f>VLOOKUP(source[[#This Row],[lending_product_transform]],[3]Mapping!$B$3:$D$37,3,0)</f>
        <v>payday</v>
      </c>
      <c r="I1179" s="135">
        <v>23000000</v>
      </c>
    </row>
    <row r="1180" spans="1:9" x14ac:dyDescent="0.2">
      <c r="A1180" s="134">
        <v>45439</v>
      </c>
      <c r="B1180" s="135">
        <f>YEAR(source[[#This Row],[report_date]])</f>
        <v>2024</v>
      </c>
      <c r="C1180" s="136">
        <v>5</v>
      </c>
      <c r="D1180" s="136">
        <f t="shared" si="59"/>
        <v>22</v>
      </c>
      <c r="E1180" s="136">
        <f t="shared" si="60"/>
        <v>27</v>
      </c>
      <c r="F1180" s="128" t="s">
        <v>238</v>
      </c>
      <c r="G1180" s="128" t="str">
        <f>VLOOKUP(source[[#This Row],[lending_product_transform]],[3]Mapping!$B$4:$C$37,2,0)</f>
        <v>[VDS] - Cashloan LP</v>
      </c>
      <c r="H1180" s="128" t="str">
        <f>VLOOKUP(source[[#This Row],[lending_product_transform]],[3]Mapping!$B$3:$D$37,3,0)</f>
        <v>cashloan</v>
      </c>
      <c r="I1180" s="135">
        <v>41400000</v>
      </c>
    </row>
    <row r="1181" spans="1:9" x14ac:dyDescent="0.2">
      <c r="A1181" s="134">
        <v>45439</v>
      </c>
      <c r="B1181" s="135">
        <f>YEAR(source[[#This Row],[report_date]])</f>
        <v>2024</v>
      </c>
      <c r="C1181" s="136">
        <v>5</v>
      </c>
      <c r="D1181" s="136">
        <f t="shared" si="59"/>
        <v>22</v>
      </c>
      <c r="E1181" s="136">
        <f t="shared" si="60"/>
        <v>27</v>
      </c>
      <c r="F1181" s="128" t="s">
        <v>206</v>
      </c>
      <c r="G1181" s="128" t="str">
        <f>VLOOKUP(source[[#This Row],[lending_product_transform]],[3]Mapping!$B$4:$C$37,2,0)</f>
        <v>[NGS] - Cashloan</v>
      </c>
      <c r="H1181" s="128" t="str">
        <f>VLOOKUP(source[[#This Row],[lending_product_transform]],[3]Mapping!$B$3:$D$37,3,0)</f>
        <v>cashloan</v>
      </c>
      <c r="I1181" s="135">
        <v>172270000</v>
      </c>
    </row>
    <row r="1182" spans="1:9" x14ac:dyDescent="0.2">
      <c r="A1182" s="134">
        <v>45439</v>
      </c>
      <c r="B1182" s="135">
        <f>YEAR(source[[#This Row],[report_date]])</f>
        <v>2024</v>
      </c>
      <c r="C1182" s="136">
        <v>5</v>
      </c>
      <c r="D1182" s="136">
        <f t="shared" si="59"/>
        <v>22</v>
      </c>
      <c r="E1182" s="136">
        <f t="shared" si="60"/>
        <v>27</v>
      </c>
      <c r="F1182" s="128" t="s">
        <v>58</v>
      </c>
      <c r="G1182" s="128" t="str">
        <f>VLOOKUP(source[[#This Row],[lending_product_transform]],[3]Mapping!$B$4:$C$37,2,0)</f>
        <v>[VDS] - Payroll Cashloan</v>
      </c>
      <c r="H1182" s="128" t="str">
        <f>VLOOKUP(source[[#This Row],[lending_product_transform]],[3]Mapping!$B$3:$D$37,3,0)</f>
        <v>cashloan</v>
      </c>
      <c r="I1182" s="135">
        <v>83000000</v>
      </c>
    </row>
    <row r="1183" spans="1:9" x14ac:dyDescent="0.2">
      <c r="A1183" s="134">
        <v>45439</v>
      </c>
      <c r="B1183" s="135">
        <f>YEAR(source[[#This Row],[report_date]])</f>
        <v>2024</v>
      </c>
      <c r="C1183" s="136">
        <v>5</v>
      </c>
      <c r="D1183" s="136">
        <f t="shared" si="59"/>
        <v>22</v>
      </c>
      <c r="E1183" s="136">
        <f t="shared" si="60"/>
        <v>27</v>
      </c>
      <c r="F1183" s="128" t="s">
        <v>11</v>
      </c>
      <c r="G1183" s="128" t="str">
        <f>VLOOKUP(source[[#This Row],[lending_product_transform]],[3]Mapping!$B$4:$C$37,2,0)</f>
        <v>[VDS] - Cashloan</v>
      </c>
      <c r="H1183" s="128" t="str">
        <f>VLOOKUP(source[[#This Row],[lending_product_transform]],[3]Mapping!$B$3:$D$37,3,0)</f>
        <v>cashloan</v>
      </c>
      <c r="I1183" s="135">
        <v>3589370000</v>
      </c>
    </row>
    <row r="1184" spans="1:9" x14ac:dyDescent="0.2">
      <c r="A1184" s="134">
        <v>45440</v>
      </c>
      <c r="B1184" s="135">
        <f>YEAR(source[[#This Row],[report_date]])</f>
        <v>2024</v>
      </c>
      <c r="C1184" s="136">
        <v>5</v>
      </c>
      <c r="D1184" s="136">
        <f t="shared" si="59"/>
        <v>22</v>
      </c>
      <c r="E1184" s="136">
        <f t="shared" si="60"/>
        <v>28</v>
      </c>
      <c r="F1184" s="128" t="s">
        <v>11</v>
      </c>
      <c r="G1184" s="128" t="str">
        <f>VLOOKUP(source[[#This Row],[lending_product_transform]],[3]Mapping!$B$4:$C$37,2,0)</f>
        <v>[VDS] - Cashloan</v>
      </c>
      <c r="H1184" s="128" t="str">
        <f>VLOOKUP(source[[#This Row],[lending_product_transform]],[3]Mapping!$B$3:$D$37,3,0)</f>
        <v>cashloan</v>
      </c>
      <c r="I1184" s="135">
        <v>3334940000</v>
      </c>
    </row>
    <row r="1185" spans="1:9" x14ac:dyDescent="0.2">
      <c r="A1185" s="134">
        <v>45440</v>
      </c>
      <c r="B1185" s="135">
        <f>YEAR(source[[#This Row],[report_date]])</f>
        <v>2024</v>
      </c>
      <c r="C1185" s="136">
        <v>5</v>
      </c>
      <c r="D1185" s="136">
        <f t="shared" si="59"/>
        <v>22</v>
      </c>
      <c r="E1185" s="136">
        <f t="shared" si="60"/>
        <v>28</v>
      </c>
      <c r="F1185" s="128" t="s">
        <v>238</v>
      </c>
      <c r="G1185" s="128" t="str">
        <f>VLOOKUP(source[[#This Row],[lending_product_transform]],[3]Mapping!$B$4:$C$37,2,0)</f>
        <v>[VDS] - Cashloan LP</v>
      </c>
      <c r="H1185" s="128" t="str">
        <f>VLOOKUP(source[[#This Row],[lending_product_transform]],[3]Mapping!$B$3:$D$37,3,0)</f>
        <v>cashloan</v>
      </c>
      <c r="I1185" s="135">
        <v>26750000</v>
      </c>
    </row>
    <row r="1186" spans="1:9" x14ac:dyDescent="0.2">
      <c r="A1186" s="134">
        <v>45440</v>
      </c>
      <c r="B1186" s="135">
        <f>YEAR(source[[#This Row],[report_date]])</f>
        <v>2024</v>
      </c>
      <c r="C1186" s="136">
        <v>5</v>
      </c>
      <c r="D1186" s="136">
        <f t="shared" si="59"/>
        <v>22</v>
      </c>
      <c r="E1186" s="136">
        <f t="shared" si="60"/>
        <v>28</v>
      </c>
      <c r="F1186" s="128" t="s">
        <v>19</v>
      </c>
      <c r="G1186" s="128" t="str">
        <f>VLOOKUP(source[[#This Row],[lending_product_transform]],[3]Mapping!$B$4:$C$37,2,0)</f>
        <v>[VDS] - Payday</v>
      </c>
      <c r="H1186" s="128" t="str">
        <f>VLOOKUP(source[[#This Row],[lending_product_transform]],[3]Mapping!$B$3:$D$37,3,0)</f>
        <v>payday</v>
      </c>
      <c r="I1186" s="135">
        <v>2397000000</v>
      </c>
    </row>
    <row r="1187" spans="1:9" x14ac:dyDescent="0.2">
      <c r="A1187" s="134">
        <v>45440</v>
      </c>
      <c r="B1187" s="135">
        <f>YEAR(source[[#This Row],[report_date]])</f>
        <v>2024</v>
      </c>
      <c r="C1187" s="136">
        <v>5</v>
      </c>
      <c r="D1187" s="136">
        <f t="shared" si="59"/>
        <v>22</v>
      </c>
      <c r="E1187" s="136">
        <f t="shared" si="60"/>
        <v>28</v>
      </c>
      <c r="F1187" s="128" t="s">
        <v>62</v>
      </c>
      <c r="G1187" s="128" t="str">
        <f>VLOOKUP(source[[#This Row],[lending_product_transform]],[3]Mapping!$B$4:$C$37,2,0)</f>
        <v>[VDS] - Paylater</v>
      </c>
      <c r="H1187" s="128" t="str">
        <f>VLOOKUP(source[[#This Row],[lending_product_transform]],[3]Mapping!$B$3:$D$37,3,0)</f>
        <v>paylater</v>
      </c>
      <c r="I1187" s="135">
        <v>51180548</v>
      </c>
    </row>
    <row r="1188" spans="1:9" x14ac:dyDescent="0.2">
      <c r="A1188" s="134">
        <v>45440</v>
      </c>
      <c r="B1188" s="135">
        <f>YEAR(source[[#This Row],[report_date]])</f>
        <v>2024</v>
      </c>
      <c r="C1188" s="136">
        <v>5</v>
      </c>
      <c r="D1188" s="136">
        <f t="shared" si="59"/>
        <v>22</v>
      </c>
      <c r="E1188" s="136">
        <f t="shared" si="60"/>
        <v>28</v>
      </c>
      <c r="F1188" s="128" t="s">
        <v>58</v>
      </c>
      <c r="G1188" s="128" t="str">
        <f>VLOOKUP(source[[#This Row],[lending_product_transform]],[3]Mapping!$B$4:$C$37,2,0)</f>
        <v>[VDS] - Payroll Cashloan</v>
      </c>
      <c r="H1188" s="128" t="str">
        <f>VLOOKUP(source[[#This Row],[lending_product_transform]],[3]Mapping!$B$3:$D$37,3,0)</f>
        <v>cashloan</v>
      </c>
      <c r="I1188" s="135">
        <v>73500000</v>
      </c>
    </row>
    <row r="1189" spans="1:9" x14ac:dyDescent="0.2">
      <c r="A1189" s="134">
        <v>45440</v>
      </c>
      <c r="B1189" s="135">
        <f>YEAR(source[[#This Row],[report_date]])</f>
        <v>2024</v>
      </c>
      <c r="C1189" s="136">
        <v>5</v>
      </c>
      <c r="D1189" s="136">
        <f t="shared" si="59"/>
        <v>22</v>
      </c>
      <c r="E1189" s="136">
        <f t="shared" si="60"/>
        <v>28</v>
      </c>
      <c r="F1189" s="128" t="s">
        <v>67</v>
      </c>
      <c r="G1189" s="128" t="str">
        <f>VLOOKUP(source[[#This Row],[lending_product_transform]],[3]Mapping!$B$4:$C$37,2,0)</f>
        <v>[Cake] - Overdraft</v>
      </c>
      <c r="H1189" s="128" t="str">
        <f>VLOOKUP(source[[#This Row],[lending_product_transform]],[3]Mapping!$B$3:$D$37,3,0)</f>
        <v>overdraft</v>
      </c>
      <c r="I1189" s="135">
        <v>2181506546</v>
      </c>
    </row>
    <row r="1190" spans="1:9" x14ac:dyDescent="0.2">
      <c r="A1190" s="134">
        <v>45440</v>
      </c>
      <c r="B1190" s="135">
        <f>YEAR(source[[#This Row],[report_date]])</f>
        <v>2024</v>
      </c>
      <c r="C1190" s="136">
        <v>5</v>
      </c>
      <c r="D1190" s="136">
        <f t="shared" si="59"/>
        <v>22</v>
      </c>
      <c r="E1190" s="136">
        <f t="shared" si="60"/>
        <v>28</v>
      </c>
      <c r="F1190" s="128" t="s">
        <v>206</v>
      </c>
      <c r="G1190" s="128" t="str">
        <f>VLOOKUP(source[[#This Row],[lending_product_transform]],[3]Mapping!$B$4:$C$37,2,0)</f>
        <v>[NGS] - Cashloan</v>
      </c>
      <c r="H1190" s="128" t="str">
        <f>VLOOKUP(source[[#This Row],[lending_product_transform]],[3]Mapping!$B$3:$D$37,3,0)</f>
        <v>cashloan</v>
      </c>
      <c r="I1190" s="135">
        <v>105930000</v>
      </c>
    </row>
    <row r="1191" spans="1:9" x14ac:dyDescent="0.2">
      <c r="A1191" s="134">
        <v>45440</v>
      </c>
      <c r="B1191" s="135">
        <f>YEAR(source[[#This Row],[report_date]])</f>
        <v>2024</v>
      </c>
      <c r="C1191" s="136">
        <v>5</v>
      </c>
      <c r="D1191" s="136">
        <f t="shared" si="59"/>
        <v>22</v>
      </c>
      <c r="E1191" s="136">
        <f t="shared" si="60"/>
        <v>28</v>
      </c>
      <c r="F1191" s="128" t="s">
        <v>56</v>
      </c>
      <c r="G1191" s="128">
        <f>VLOOKUP(source[[#This Row],[lending_product_transform]],[3]Mapping!$B$4:$C$37,2,0)</f>
        <v>0</v>
      </c>
      <c r="H1191" s="128">
        <f>VLOOKUP(source[[#This Row],[lending_product_transform]],[3]Mapping!$B$3:$D$37,3,0)</f>
        <v>0</v>
      </c>
      <c r="I1191" s="135">
        <v>8336057094</v>
      </c>
    </row>
    <row r="1192" spans="1:9" x14ac:dyDescent="0.2">
      <c r="A1192" s="134">
        <v>45440</v>
      </c>
      <c r="B1192" s="135">
        <f>YEAR(source[[#This Row],[report_date]])</f>
        <v>2024</v>
      </c>
      <c r="C1192" s="136">
        <v>5</v>
      </c>
      <c r="D1192" s="136">
        <f t="shared" si="59"/>
        <v>22</v>
      </c>
      <c r="E1192" s="136">
        <f t="shared" si="60"/>
        <v>28</v>
      </c>
      <c r="F1192" s="128" t="s">
        <v>61</v>
      </c>
      <c r="G1192" s="128" t="str">
        <f>VLOOKUP(source[[#This Row],[lending_product_transform]],[3]Mapping!$B$4:$C$37,2,0)</f>
        <v>[VDS] - Payroll Payday</v>
      </c>
      <c r="H1192" s="128" t="str">
        <f>VLOOKUP(source[[#This Row],[lending_product_transform]],[3]Mapping!$B$3:$D$37,3,0)</f>
        <v>payday</v>
      </c>
      <c r="I1192" s="135">
        <v>34000000</v>
      </c>
    </row>
    <row r="1193" spans="1:9" x14ac:dyDescent="0.2">
      <c r="A1193" s="134">
        <v>45440</v>
      </c>
      <c r="B1193" s="135">
        <f>YEAR(source[[#This Row],[report_date]])</f>
        <v>2024</v>
      </c>
      <c r="C1193" s="136">
        <v>5</v>
      </c>
      <c r="D1193" s="136">
        <f t="shared" si="59"/>
        <v>22</v>
      </c>
      <c r="E1193" s="136">
        <f t="shared" si="60"/>
        <v>28</v>
      </c>
      <c r="F1193" s="128" t="s">
        <v>65</v>
      </c>
      <c r="G1193" s="128" t="str">
        <f>VLOOKUP(source[[#This Row],[lending_product_transform]],[3]Mapping!$B$4:$C$37,2,0)</f>
        <v>[BE] - Cashloan</v>
      </c>
      <c r="H1193" s="128" t="str">
        <f>VLOOKUP(source[[#This Row],[lending_product_transform]],[3]Mapping!$B$3:$D$37,3,0)</f>
        <v>cashloan</v>
      </c>
      <c r="I1193" s="135">
        <v>131250000</v>
      </c>
    </row>
    <row r="1194" spans="1:9" x14ac:dyDescent="0.2">
      <c r="A1194" s="134">
        <v>45441</v>
      </c>
      <c r="B1194" s="135">
        <f>YEAR(source[[#This Row],[report_date]])</f>
        <v>2024</v>
      </c>
      <c r="C1194" s="136">
        <v>5</v>
      </c>
      <c r="D1194" s="136">
        <f t="shared" si="59"/>
        <v>22</v>
      </c>
      <c r="E1194" s="136">
        <f t="shared" si="60"/>
        <v>29</v>
      </c>
      <c r="F1194" s="128" t="s">
        <v>19</v>
      </c>
      <c r="G1194" s="128" t="str">
        <f>VLOOKUP(source[[#This Row],[lending_product_transform]],[3]Mapping!$B$4:$C$37,2,0)</f>
        <v>[VDS] - Payday</v>
      </c>
      <c r="H1194" s="128" t="str">
        <f>VLOOKUP(source[[#This Row],[lending_product_transform]],[3]Mapping!$B$3:$D$37,3,0)</f>
        <v>payday</v>
      </c>
      <c r="I1194" s="135">
        <v>2288500000</v>
      </c>
    </row>
    <row r="1195" spans="1:9" x14ac:dyDescent="0.2">
      <c r="A1195" s="134">
        <v>45441</v>
      </c>
      <c r="B1195" s="135">
        <f>YEAR(source[[#This Row],[report_date]])</f>
        <v>2024</v>
      </c>
      <c r="C1195" s="136">
        <v>5</v>
      </c>
      <c r="D1195" s="136">
        <f t="shared" si="59"/>
        <v>22</v>
      </c>
      <c r="E1195" s="136">
        <f t="shared" si="60"/>
        <v>29</v>
      </c>
      <c r="F1195" s="128" t="s">
        <v>67</v>
      </c>
      <c r="G1195" s="128" t="str">
        <f>VLOOKUP(source[[#This Row],[lending_product_transform]],[3]Mapping!$B$4:$C$37,2,0)</f>
        <v>[Cake] - Overdraft</v>
      </c>
      <c r="H1195" s="128" t="str">
        <f>VLOOKUP(source[[#This Row],[lending_product_transform]],[3]Mapping!$B$3:$D$37,3,0)</f>
        <v>overdraft</v>
      </c>
      <c r="I1195" s="135">
        <v>2111710934</v>
      </c>
    </row>
    <row r="1196" spans="1:9" x14ac:dyDescent="0.2">
      <c r="A1196" s="134">
        <v>45441</v>
      </c>
      <c r="B1196" s="135">
        <f>YEAR(source[[#This Row],[report_date]])</f>
        <v>2024</v>
      </c>
      <c r="C1196" s="136">
        <v>5</v>
      </c>
      <c r="D1196" s="136">
        <f t="shared" si="59"/>
        <v>22</v>
      </c>
      <c r="E1196" s="136">
        <f t="shared" si="60"/>
        <v>29</v>
      </c>
      <c r="F1196" s="128" t="s">
        <v>206</v>
      </c>
      <c r="G1196" s="128" t="str">
        <f>VLOOKUP(source[[#This Row],[lending_product_transform]],[3]Mapping!$B$4:$C$37,2,0)</f>
        <v>[NGS] - Cashloan</v>
      </c>
      <c r="H1196" s="128" t="str">
        <f>VLOOKUP(source[[#This Row],[lending_product_transform]],[3]Mapping!$B$3:$D$37,3,0)</f>
        <v>cashloan</v>
      </c>
      <c r="I1196" s="135">
        <v>108070000</v>
      </c>
    </row>
    <row r="1197" spans="1:9" x14ac:dyDescent="0.2">
      <c r="A1197" s="134">
        <v>45441</v>
      </c>
      <c r="B1197" s="135">
        <f>YEAR(source[[#This Row],[report_date]])</f>
        <v>2024</v>
      </c>
      <c r="C1197" s="136">
        <v>5</v>
      </c>
      <c r="D1197" s="136">
        <f t="shared" si="59"/>
        <v>22</v>
      </c>
      <c r="E1197" s="136">
        <f t="shared" si="60"/>
        <v>29</v>
      </c>
      <c r="F1197" s="128" t="s">
        <v>11</v>
      </c>
      <c r="G1197" s="128" t="str">
        <f>VLOOKUP(source[[#This Row],[lending_product_transform]],[3]Mapping!$B$4:$C$37,2,0)</f>
        <v>[VDS] - Cashloan</v>
      </c>
      <c r="H1197" s="128" t="str">
        <f>VLOOKUP(source[[#This Row],[lending_product_transform]],[3]Mapping!$B$3:$D$37,3,0)</f>
        <v>cashloan</v>
      </c>
      <c r="I1197" s="135">
        <v>3509680000</v>
      </c>
    </row>
    <row r="1198" spans="1:9" x14ac:dyDescent="0.2">
      <c r="A1198" s="134">
        <v>45441</v>
      </c>
      <c r="B1198" s="135">
        <f>YEAR(source[[#This Row],[report_date]])</f>
        <v>2024</v>
      </c>
      <c r="C1198" s="136">
        <v>5</v>
      </c>
      <c r="D1198" s="136">
        <f t="shared" si="59"/>
        <v>22</v>
      </c>
      <c r="E1198" s="136">
        <f t="shared" si="60"/>
        <v>29</v>
      </c>
      <c r="F1198" s="128" t="s">
        <v>56</v>
      </c>
      <c r="G1198" s="128">
        <f>VLOOKUP(source[[#This Row],[lending_product_transform]],[3]Mapping!$B$4:$C$37,2,0)</f>
        <v>0</v>
      </c>
      <c r="H1198" s="128">
        <f>VLOOKUP(source[[#This Row],[lending_product_transform]],[3]Mapping!$B$3:$D$37,3,0)</f>
        <v>0</v>
      </c>
      <c r="I1198" s="135">
        <v>8218281097</v>
      </c>
    </row>
    <row r="1199" spans="1:9" x14ac:dyDescent="0.2">
      <c r="A1199" s="134">
        <v>45441</v>
      </c>
      <c r="B1199" s="135">
        <f>YEAR(source[[#This Row],[report_date]])</f>
        <v>2024</v>
      </c>
      <c r="C1199" s="136">
        <v>5</v>
      </c>
      <c r="D1199" s="136">
        <f t="shared" si="59"/>
        <v>22</v>
      </c>
      <c r="E1199" s="136">
        <f t="shared" si="60"/>
        <v>29</v>
      </c>
      <c r="F1199" s="128" t="s">
        <v>238</v>
      </c>
      <c r="G1199" s="128" t="str">
        <f>VLOOKUP(source[[#This Row],[lending_product_transform]],[3]Mapping!$B$4:$C$37,2,0)</f>
        <v>[VDS] - Cashloan LP</v>
      </c>
      <c r="H1199" s="128" t="str">
        <f>VLOOKUP(source[[#This Row],[lending_product_transform]],[3]Mapping!$B$3:$D$37,3,0)</f>
        <v>cashloan</v>
      </c>
      <c r="I1199" s="135">
        <v>41400000</v>
      </c>
    </row>
    <row r="1200" spans="1:9" x14ac:dyDescent="0.2">
      <c r="A1200" s="134">
        <v>45441</v>
      </c>
      <c r="B1200" s="135">
        <f>YEAR(source[[#This Row],[report_date]])</f>
        <v>2024</v>
      </c>
      <c r="C1200" s="136">
        <v>5</v>
      </c>
      <c r="D1200" s="136">
        <f t="shared" si="59"/>
        <v>22</v>
      </c>
      <c r="E1200" s="136">
        <f t="shared" si="60"/>
        <v>29</v>
      </c>
      <c r="F1200" s="128" t="s">
        <v>65</v>
      </c>
      <c r="G1200" s="128" t="str">
        <f>VLOOKUP(source[[#This Row],[lending_product_transform]],[3]Mapping!$B$4:$C$37,2,0)</f>
        <v>[BE] - Cashloan</v>
      </c>
      <c r="H1200" s="128" t="str">
        <f>VLOOKUP(source[[#This Row],[lending_product_transform]],[3]Mapping!$B$3:$D$37,3,0)</f>
        <v>cashloan</v>
      </c>
      <c r="I1200" s="135">
        <v>93450000</v>
      </c>
    </row>
    <row r="1201" spans="1:9" x14ac:dyDescent="0.2">
      <c r="A1201" s="134">
        <v>45441</v>
      </c>
      <c r="B1201" s="135">
        <f>YEAR(source[[#This Row],[report_date]])</f>
        <v>2024</v>
      </c>
      <c r="C1201" s="136">
        <v>5</v>
      </c>
      <c r="D1201" s="136">
        <f t="shared" si="59"/>
        <v>22</v>
      </c>
      <c r="E1201" s="136">
        <f t="shared" si="60"/>
        <v>29</v>
      </c>
      <c r="F1201" s="128" t="s">
        <v>62</v>
      </c>
      <c r="G1201" s="128" t="str">
        <f>VLOOKUP(source[[#This Row],[lending_product_transform]],[3]Mapping!$B$4:$C$37,2,0)</f>
        <v>[VDS] - Paylater</v>
      </c>
      <c r="H1201" s="128" t="str">
        <f>VLOOKUP(source[[#This Row],[lending_product_transform]],[3]Mapping!$B$3:$D$37,3,0)</f>
        <v>paylater</v>
      </c>
      <c r="I1201" s="135">
        <v>33470163</v>
      </c>
    </row>
    <row r="1202" spans="1:9" x14ac:dyDescent="0.2">
      <c r="A1202" s="134">
        <v>45441</v>
      </c>
      <c r="B1202" s="135">
        <f>YEAR(source[[#This Row],[report_date]])</f>
        <v>2024</v>
      </c>
      <c r="C1202" s="136">
        <v>5</v>
      </c>
      <c r="D1202" s="136">
        <f t="shared" si="59"/>
        <v>22</v>
      </c>
      <c r="E1202" s="136">
        <f t="shared" si="60"/>
        <v>29</v>
      </c>
      <c r="F1202" s="128" t="s">
        <v>58</v>
      </c>
      <c r="G1202" s="128" t="str">
        <f>VLOOKUP(source[[#This Row],[lending_product_transform]],[3]Mapping!$B$4:$C$37,2,0)</f>
        <v>[VDS] - Payroll Cashloan</v>
      </c>
      <c r="H1202" s="128" t="str">
        <f>VLOOKUP(source[[#This Row],[lending_product_transform]],[3]Mapping!$B$3:$D$37,3,0)</f>
        <v>cashloan</v>
      </c>
      <c r="I1202" s="135">
        <v>21000000</v>
      </c>
    </row>
    <row r="1203" spans="1:9" x14ac:dyDescent="0.2">
      <c r="A1203" s="134">
        <v>45441</v>
      </c>
      <c r="B1203" s="135">
        <f>YEAR(source[[#This Row],[report_date]])</f>
        <v>2024</v>
      </c>
      <c r="C1203" s="136">
        <v>5</v>
      </c>
      <c r="D1203" s="136">
        <f t="shared" si="59"/>
        <v>22</v>
      </c>
      <c r="E1203" s="136">
        <f t="shared" si="60"/>
        <v>29</v>
      </c>
      <c r="F1203" s="128" t="s">
        <v>61</v>
      </c>
      <c r="G1203" s="128" t="str">
        <f>VLOOKUP(source[[#This Row],[lending_product_transform]],[3]Mapping!$B$4:$C$37,2,0)</f>
        <v>[VDS] - Payroll Payday</v>
      </c>
      <c r="H1203" s="128" t="str">
        <f>VLOOKUP(source[[#This Row],[lending_product_transform]],[3]Mapping!$B$3:$D$37,3,0)</f>
        <v>payday</v>
      </c>
      <c r="I1203" s="135">
        <v>11000000</v>
      </c>
    </row>
    <row r="1204" spans="1:9" x14ac:dyDescent="0.2">
      <c r="A1204" s="134">
        <v>45442</v>
      </c>
      <c r="B1204" s="135">
        <f>YEAR(source[[#This Row],[report_date]])</f>
        <v>2024</v>
      </c>
      <c r="C1204" s="136">
        <v>5</v>
      </c>
      <c r="D1204" s="136">
        <f t="shared" si="59"/>
        <v>22</v>
      </c>
      <c r="E1204" s="136">
        <f t="shared" si="60"/>
        <v>30</v>
      </c>
      <c r="F1204" s="128" t="s">
        <v>61</v>
      </c>
      <c r="G1204" s="128" t="str">
        <f>VLOOKUP(source[[#This Row],[lending_product_transform]],[3]Mapping!$B$4:$C$37,2,0)</f>
        <v>[VDS] - Payroll Payday</v>
      </c>
      <c r="H1204" s="128" t="str">
        <f>VLOOKUP(source[[#This Row],[lending_product_transform]],[3]Mapping!$B$3:$D$37,3,0)</f>
        <v>payday</v>
      </c>
      <c r="I1204" s="135">
        <v>27000000</v>
      </c>
    </row>
    <row r="1205" spans="1:9" x14ac:dyDescent="0.2">
      <c r="A1205" s="134">
        <v>45442</v>
      </c>
      <c r="B1205" s="135">
        <f>YEAR(source[[#This Row],[report_date]])</f>
        <v>2024</v>
      </c>
      <c r="C1205" s="136">
        <v>5</v>
      </c>
      <c r="D1205" s="136">
        <f t="shared" si="59"/>
        <v>22</v>
      </c>
      <c r="E1205" s="136">
        <f t="shared" si="60"/>
        <v>30</v>
      </c>
      <c r="F1205" s="128" t="s">
        <v>238</v>
      </c>
      <c r="G1205" s="128" t="str">
        <f>VLOOKUP(source[[#This Row],[lending_product_transform]],[3]Mapping!$B$4:$C$37,2,0)</f>
        <v>[VDS] - Cashloan LP</v>
      </c>
      <c r="H1205" s="128" t="str">
        <f>VLOOKUP(source[[#This Row],[lending_product_transform]],[3]Mapping!$B$3:$D$37,3,0)</f>
        <v>cashloan</v>
      </c>
      <c r="I1205" s="135">
        <v>28000000</v>
      </c>
    </row>
    <row r="1206" spans="1:9" x14ac:dyDescent="0.2">
      <c r="A1206" s="134">
        <v>45442</v>
      </c>
      <c r="B1206" s="135">
        <f>YEAR(source[[#This Row],[report_date]])</f>
        <v>2024</v>
      </c>
      <c r="C1206" s="136">
        <v>5</v>
      </c>
      <c r="D1206" s="136">
        <f t="shared" si="59"/>
        <v>22</v>
      </c>
      <c r="E1206" s="136">
        <f t="shared" si="60"/>
        <v>30</v>
      </c>
      <c r="F1206" s="128" t="s">
        <v>206</v>
      </c>
      <c r="G1206" s="128" t="str">
        <f>VLOOKUP(source[[#This Row],[lending_product_transform]],[3]Mapping!$B$4:$C$37,2,0)</f>
        <v>[NGS] - Cashloan</v>
      </c>
      <c r="H1206" s="128" t="str">
        <f>VLOOKUP(source[[#This Row],[lending_product_transform]],[3]Mapping!$B$3:$D$37,3,0)</f>
        <v>cashloan</v>
      </c>
      <c r="I1206" s="135">
        <v>111280000</v>
      </c>
    </row>
    <row r="1207" spans="1:9" x14ac:dyDescent="0.2">
      <c r="A1207" s="134">
        <v>45442</v>
      </c>
      <c r="B1207" s="135">
        <f>YEAR(source[[#This Row],[report_date]])</f>
        <v>2024</v>
      </c>
      <c r="C1207" s="136">
        <v>5</v>
      </c>
      <c r="D1207" s="136">
        <f t="shared" si="59"/>
        <v>22</v>
      </c>
      <c r="E1207" s="136">
        <f t="shared" si="60"/>
        <v>30</v>
      </c>
      <c r="F1207" s="128" t="s">
        <v>58</v>
      </c>
      <c r="G1207" s="128" t="str">
        <f>VLOOKUP(source[[#This Row],[lending_product_transform]],[3]Mapping!$B$4:$C$37,2,0)</f>
        <v>[VDS] - Payroll Cashloan</v>
      </c>
      <c r="H1207" s="128" t="str">
        <f>VLOOKUP(source[[#This Row],[lending_product_transform]],[3]Mapping!$B$3:$D$37,3,0)</f>
        <v>cashloan</v>
      </c>
      <c r="I1207" s="135">
        <v>47250000</v>
      </c>
    </row>
    <row r="1208" spans="1:9" x14ac:dyDescent="0.2">
      <c r="A1208" s="134">
        <v>45442</v>
      </c>
      <c r="B1208" s="135">
        <f>YEAR(source[[#This Row],[report_date]])</f>
        <v>2024</v>
      </c>
      <c r="C1208" s="136">
        <v>5</v>
      </c>
      <c r="D1208" s="136">
        <f t="shared" si="59"/>
        <v>22</v>
      </c>
      <c r="E1208" s="136">
        <f t="shared" si="60"/>
        <v>30</v>
      </c>
      <c r="F1208" s="128" t="s">
        <v>56</v>
      </c>
      <c r="G1208" s="128">
        <f>VLOOKUP(source[[#This Row],[lending_product_transform]],[3]Mapping!$B$4:$C$37,2,0)</f>
        <v>0</v>
      </c>
      <c r="H1208" s="128">
        <f>VLOOKUP(source[[#This Row],[lending_product_transform]],[3]Mapping!$B$3:$D$37,3,0)</f>
        <v>0</v>
      </c>
      <c r="I1208" s="135">
        <v>8108640832</v>
      </c>
    </row>
    <row r="1209" spans="1:9" x14ac:dyDescent="0.2">
      <c r="A1209" s="134">
        <v>45442</v>
      </c>
      <c r="B1209" s="135">
        <f>YEAR(source[[#This Row],[report_date]])</f>
        <v>2024</v>
      </c>
      <c r="C1209" s="136">
        <v>5</v>
      </c>
      <c r="D1209" s="136">
        <f t="shared" si="59"/>
        <v>22</v>
      </c>
      <c r="E1209" s="136">
        <f t="shared" si="60"/>
        <v>30</v>
      </c>
      <c r="F1209" s="128" t="s">
        <v>67</v>
      </c>
      <c r="G1209" s="128" t="str">
        <f>VLOOKUP(source[[#This Row],[lending_product_transform]],[3]Mapping!$B$4:$C$37,2,0)</f>
        <v>[Cake] - Overdraft</v>
      </c>
      <c r="H1209" s="128" t="str">
        <f>VLOOKUP(source[[#This Row],[lending_product_transform]],[3]Mapping!$B$3:$D$37,3,0)</f>
        <v>overdraft</v>
      </c>
      <c r="I1209" s="135">
        <v>1925788567</v>
      </c>
    </row>
    <row r="1210" spans="1:9" x14ac:dyDescent="0.2">
      <c r="A1210" s="134">
        <v>45442</v>
      </c>
      <c r="B1210" s="135">
        <f>YEAR(source[[#This Row],[report_date]])</f>
        <v>2024</v>
      </c>
      <c r="C1210" s="136">
        <v>5</v>
      </c>
      <c r="D1210" s="136">
        <f t="shared" si="59"/>
        <v>22</v>
      </c>
      <c r="E1210" s="136">
        <f t="shared" si="60"/>
        <v>30</v>
      </c>
      <c r="F1210" s="128" t="s">
        <v>19</v>
      </c>
      <c r="G1210" s="128" t="str">
        <f>VLOOKUP(source[[#This Row],[lending_product_transform]],[3]Mapping!$B$4:$C$37,2,0)</f>
        <v>[VDS] - Payday</v>
      </c>
      <c r="H1210" s="128" t="str">
        <f>VLOOKUP(source[[#This Row],[lending_product_transform]],[3]Mapping!$B$3:$D$37,3,0)</f>
        <v>payday</v>
      </c>
      <c r="I1210" s="135">
        <v>2529500000</v>
      </c>
    </row>
    <row r="1211" spans="1:9" x14ac:dyDescent="0.2">
      <c r="A1211" s="134">
        <v>45442</v>
      </c>
      <c r="B1211" s="135">
        <f>YEAR(source[[#This Row],[report_date]])</f>
        <v>2024</v>
      </c>
      <c r="C1211" s="136">
        <v>5</v>
      </c>
      <c r="D1211" s="136">
        <f t="shared" si="59"/>
        <v>22</v>
      </c>
      <c r="E1211" s="136">
        <f t="shared" si="60"/>
        <v>30</v>
      </c>
      <c r="F1211" s="128" t="s">
        <v>62</v>
      </c>
      <c r="G1211" s="128" t="str">
        <f>VLOOKUP(source[[#This Row],[lending_product_transform]],[3]Mapping!$B$4:$C$37,2,0)</f>
        <v>[VDS] - Paylater</v>
      </c>
      <c r="H1211" s="128" t="str">
        <f>VLOOKUP(source[[#This Row],[lending_product_transform]],[3]Mapping!$B$3:$D$37,3,0)</f>
        <v>paylater</v>
      </c>
      <c r="I1211" s="135">
        <v>33062265</v>
      </c>
    </row>
    <row r="1212" spans="1:9" x14ac:dyDescent="0.2">
      <c r="A1212" s="134">
        <v>45442</v>
      </c>
      <c r="B1212" s="135">
        <f>YEAR(source[[#This Row],[report_date]])</f>
        <v>2024</v>
      </c>
      <c r="C1212" s="136">
        <v>5</v>
      </c>
      <c r="D1212" s="136">
        <f t="shared" si="59"/>
        <v>22</v>
      </c>
      <c r="E1212" s="136">
        <f t="shared" si="60"/>
        <v>30</v>
      </c>
      <c r="F1212" s="128" t="s">
        <v>65</v>
      </c>
      <c r="G1212" s="128" t="str">
        <f>VLOOKUP(source[[#This Row],[lending_product_transform]],[3]Mapping!$B$4:$C$37,2,0)</f>
        <v>[BE] - Cashloan</v>
      </c>
      <c r="H1212" s="128" t="str">
        <f>VLOOKUP(source[[#This Row],[lending_product_transform]],[3]Mapping!$B$3:$D$37,3,0)</f>
        <v>cashloan</v>
      </c>
      <c r="I1212" s="135">
        <v>157500000</v>
      </c>
    </row>
    <row r="1213" spans="1:9" x14ac:dyDescent="0.2">
      <c r="A1213" s="134">
        <v>45442</v>
      </c>
      <c r="B1213" s="135">
        <f>YEAR(source[[#This Row],[report_date]])</f>
        <v>2024</v>
      </c>
      <c r="C1213" s="136">
        <v>5</v>
      </c>
      <c r="D1213" s="136">
        <f t="shared" si="59"/>
        <v>22</v>
      </c>
      <c r="E1213" s="136">
        <f t="shared" si="60"/>
        <v>30</v>
      </c>
      <c r="F1213" s="128" t="s">
        <v>11</v>
      </c>
      <c r="G1213" s="128" t="str">
        <f>VLOOKUP(source[[#This Row],[lending_product_transform]],[3]Mapping!$B$4:$C$37,2,0)</f>
        <v>[VDS] - Cashloan</v>
      </c>
      <c r="H1213" s="128" t="str">
        <f>VLOOKUP(source[[#This Row],[lending_product_transform]],[3]Mapping!$B$3:$D$37,3,0)</f>
        <v>cashloan</v>
      </c>
      <c r="I1213" s="135">
        <v>3249260000</v>
      </c>
    </row>
    <row r="1214" spans="1:9" x14ac:dyDescent="0.2">
      <c r="A1214" s="134">
        <v>45443</v>
      </c>
      <c r="B1214" s="135">
        <f>YEAR(source[[#This Row],[report_date]])</f>
        <v>2024</v>
      </c>
      <c r="C1214" s="136">
        <v>5</v>
      </c>
      <c r="D1214" s="136">
        <f t="shared" si="59"/>
        <v>22</v>
      </c>
      <c r="E1214" s="136">
        <f t="shared" si="60"/>
        <v>31</v>
      </c>
      <c r="F1214" s="128" t="s">
        <v>206</v>
      </c>
      <c r="G1214" s="128" t="str">
        <f>VLOOKUP(source[[#This Row],[lending_product_transform]],[3]Mapping!$B$4:$C$37,2,0)</f>
        <v>[NGS] - Cashloan</v>
      </c>
      <c r="H1214" s="128" t="str">
        <f>VLOOKUP(source[[#This Row],[lending_product_transform]],[3]Mapping!$B$3:$D$37,3,0)</f>
        <v>cashloan</v>
      </c>
      <c r="I1214" s="135">
        <v>173340000</v>
      </c>
    </row>
    <row r="1215" spans="1:9" x14ac:dyDescent="0.2">
      <c r="A1215" s="134">
        <v>45443</v>
      </c>
      <c r="B1215" s="135">
        <f>YEAR(source[[#This Row],[report_date]])</f>
        <v>2024</v>
      </c>
      <c r="C1215" s="136">
        <v>5</v>
      </c>
      <c r="D1215" s="136">
        <f t="shared" si="59"/>
        <v>22</v>
      </c>
      <c r="E1215" s="136">
        <f t="shared" si="60"/>
        <v>31</v>
      </c>
      <c r="F1215" s="128" t="s">
        <v>19</v>
      </c>
      <c r="G1215" s="128" t="str">
        <f>VLOOKUP(source[[#This Row],[lending_product_transform]],[3]Mapping!$B$4:$C$37,2,0)</f>
        <v>[VDS] - Payday</v>
      </c>
      <c r="H1215" s="128" t="str">
        <f>VLOOKUP(source[[#This Row],[lending_product_transform]],[3]Mapping!$B$3:$D$37,3,0)</f>
        <v>payday</v>
      </c>
      <c r="I1215" s="135">
        <v>2773500000</v>
      </c>
    </row>
    <row r="1216" spans="1:9" x14ac:dyDescent="0.2">
      <c r="A1216" s="134">
        <v>45443</v>
      </c>
      <c r="B1216" s="135">
        <f>YEAR(source[[#This Row],[report_date]])</f>
        <v>2024</v>
      </c>
      <c r="C1216" s="136">
        <v>5</v>
      </c>
      <c r="D1216" s="136">
        <f t="shared" si="59"/>
        <v>22</v>
      </c>
      <c r="E1216" s="136">
        <f t="shared" si="60"/>
        <v>31</v>
      </c>
      <c r="F1216" s="128" t="s">
        <v>61</v>
      </c>
      <c r="G1216" s="128" t="str">
        <f>VLOOKUP(source[[#This Row],[lending_product_transform]],[3]Mapping!$B$4:$C$37,2,0)</f>
        <v>[VDS] - Payroll Payday</v>
      </c>
      <c r="H1216" s="128" t="str">
        <f>VLOOKUP(source[[#This Row],[lending_product_transform]],[3]Mapping!$B$3:$D$37,3,0)</f>
        <v>payday</v>
      </c>
      <c r="I1216" s="135">
        <v>46000000</v>
      </c>
    </row>
    <row r="1217" spans="1:9" x14ac:dyDescent="0.2">
      <c r="A1217" s="134">
        <v>45443</v>
      </c>
      <c r="B1217" s="135">
        <f>YEAR(source[[#This Row],[report_date]])</f>
        <v>2024</v>
      </c>
      <c r="C1217" s="136">
        <v>5</v>
      </c>
      <c r="D1217" s="136">
        <f t="shared" si="59"/>
        <v>22</v>
      </c>
      <c r="E1217" s="136">
        <f t="shared" si="60"/>
        <v>31</v>
      </c>
      <c r="F1217" s="128" t="s">
        <v>67</v>
      </c>
      <c r="G1217" s="128" t="str">
        <f>VLOOKUP(source[[#This Row],[lending_product_transform]],[3]Mapping!$B$4:$C$37,2,0)</f>
        <v>[Cake] - Overdraft</v>
      </c>
      <c r="H1217" s="128" t="str">
        <f>VLOOKUP(source[[#This Row],[lending_product_transform]],[3]Mapping!$B$3:$D$37,3,0)</f>
        <v>overdraft</v>
      </c>
      <c r="I1217" s="135">
        <v>2494341190</v>
      </c>
    </row>
    <row r="1218" spans="1:9" x14ac:dyDescent="0.2">
      <c r="A1218" s="134">
        <v>45443</v>
      </c>
      <c r="B1218" s="135">
        <f>YEAR(source[[#This Row],[report_date]])</f>
        <v>2024</v>
      </c>
      <c r="C1218" s="136">
        <v>5</v>
      </c>
      <c r="D1218" s="136">
        <f t="shared" si="59"/>
        <v>22</v>
      </c>
      <c r="E1218" s="136">
        <f t="shared" si="60"/>
        <v>31</v>
      </c>
      <c r="F1218" s="128" t="s">
        <v>58</v>
      </c>
      <c r="G1218" s="128" t="str">
        <f>VLOOKUP(source[[#This Row],[lending_product_transform]],[3]Mapping!$B$4:$C$37,2,0)</f>
        <v>[VDS] - Payroll Cashloan</v>
      </c>
      <c r="H1218" s="128" t="str">
        <f>VLOOKUP(source[[#This Row],[lending_product_transform]],[3]Mapping!$B$3:$D$37,3,0)</f>
        <v>cashloan</v>
      </c>
      <c r="I1218" s="135">
        <v>0</v>
      </c>
    </row>
    <row r="1219" spans="1:9" x14ac:dyDescent="0.2">
      <c r="A1219" s="134">
        <v>45443</v>
      </c>
      <c r="B1219" s="135">
        <f>YEAR(source[[#This Row],[report_date]])</f>
        <v>2024</v>
      </c>
      <c r="C1219" s="136">
        <v>5</v>
      </c>
      <c r="D1219" s="136">
        <f t="shared" ref="D1219:D1282" si="61">WEEKNUM(A1219,2)</f>
        <v>22</v>
      </c>
      <c r="E1219" s="136">
        <f t="shared" ref="E1219:E1282" si="62">DAY(A1219)</f>
        <v>31</v>
      </c>
      <c r="F1219" s="128" t="s">
        <v>11</v>
      </c>
      <c r="G1219" s="128" t="str">
        <f>VLOOKUP(source[[#This Row],[lending_product_transform]],[3]Mapping!$B$4:$C$37,2,0)</f>
        <v>[VDS] - Cashloan</v>
      </c>
      <c r="H1219" s="128" t="str">
        <f>VLOOKUP(source[[#This Row],[lending_product_transform]],[3]Mapping!$B$3:$D$37,3,0)</f>
        <v>cashloan</v>
      </c>
      <c r="I1219" s="135">
        <v>3814030000</v>
      </c>
    </row>
    <row r="1220" spans="1:9" x14ac:dyDescent="0.2">
      <c r="A1220" s="134">
        <v>45443</v>
      </c>
      <c r="B1220" s="135">
        <f>YEAR(source[[#This Row],[report_date]])</f>
        <v>2024</v>
      </c>
      <c r="C1220" s="136">
        <v>5</v>
      </c>
      <c r="D1220" s="136">
        <f t="shared" si="61"/>
        <v>22</v>
      </c>
      <c r="E1220" s="136">
        <f t="shared" si="62"/>
        <v>31</v>
      </c>
      <c r="F1220" s="128" t="s">
        <v>56</v>
      </c>
      <c r="G1220" s="128">
        <f>VLOOKUP(source[[#This Row],[lending_product_transform]],[3]Mapping!$B$4:$C$37,2,0)</f>
        <v>0</v>
      </c>
      <c r="H1220" s="128">
        <f>VLOOKUP(source[[#This Row],[lending_product_transform]],[3]Mapping!$B$3:$D$37,3,0)</f>
        <v>0</v>
      </c>
      <c r="I1220" s="135">
        <v>9527906568</v>
      </c>
    </row>
    <row r="1221" spans="1:9" x14ac:dyDescent="0.2">
      <c r="A1221" s="134">
        <v>45443</v>
      </c>
      <c r="B1221" s="135">
        <f>YEAR(source[[#This Row],[report_date]])</f>
        <v>2024</v>
      </c>
      <c r="C1221" s="136">
        <v>5</v>
      </c>
      <c r="D1221" s="136">
        <f t="shared" si="61"/>
        <v>22</v>
      </c>
      <c r="E1221" s="136">
        <f t="shared" si="62"/>
        <v>31</v>
      </c>
      <c r="F1221" s="128" t="s">
        <v>62</v>
      </c>
      <c r="G1221" s="128" t="str">
        <f>VLOOKUP(source[[#This Row],[lending_product_transform]],[3]Mapping!$B$4:$C$37,2,0)</f>
        <v>[VDS] - Paylater</v>
      </c>
      <c r="H1221" s="128" t="str">
        <f>VLOOKUP(source[[#This Row],[lending_product_transform]],[3]Mapping!$B$3:$D$37,3,0)</f>
        <v>paylater</v>
      </c>
      <c r="I1221" s="135">
        <v>47545378</v>
      </c>
    </row>
    <row r="1222" spans="1:9" x14ac:dyDescent="0.2">
      <c r="A1222" s="134">
        <v>45443</v>
      </c>
      <c r="B1222" s="135">
        <f>YEAR(source[[#This Row],[report_date]])</f>
        <v>2024</v>
      </c>
      <c r="C1222" s="136">
        <v>5</v>
      </c>
      <c r="D1222" s="136">
        <f t="shared" si="61"/>
        <v>22</v>
      </c>
      <c r="E1222" s="136">
        <f t="shared" si="62"/>
        <v>31</v>
      </c>
      <c r="F1222" s="128" t="s">
        <v>65</v>
      </c>
      <c r="G1222" s="128" t="str">
        <f>VLOOKUP(source[[#This Row],[lending_product_transform]],[3]Mapping!$B$4:$C$37,2,0)</f>
        <v>[BE] - Cashloan</v>
      </c>
      <c r="H1222" s="128" t="str">
        <f>VLOOKUP(source[[#This Row],[lending_product_transform]],[3]Mapping!$B$3:$D$37,3,0)</f>
        <v>cashloan</v>
      </c>
      <c r="I1222" s="135">
        <v>156450000</v>
      </c>
    </row>
    <row r="1223" spans="1:9" x14ac:dyDescent="0.2">
      <c r="A1223" s="134">
        <v>45443</v>
      </c>
      <c r="B1223" s="135">
        <f>YEAR(source[[#This Row],[report_date]])</f>
        <v>2024</v>
      </c>
      <c r="C1223" s="136">
        <v>5</v>
      </c>
      <c r="D1223" s="136">
        <f t="shared" si="61"/>
        <v>22</v>
      </c>
      <c r="E1223" s="136">
        <f t="shared" si="62"/>
        <v>31</v>
      </c>
      <c r="F1223" s="128" t="s">
        <v>239</v>
      </c>
      <c r="G1223" s="128" t="str">
        <f>VLOOKUP(source[[#This Row],[lending_product_transform]],[3]Mapping!$B$4:$C$37,2,0)</f>
        <v>[VDS] - Cashloan LP</v>
      </c>
      <c r="H1223" s="128" t="str">
        <f>VLOOKUP(source[[#This Row],[lending_product_transform]],[3]Mapping!$B$3:$D$37,3,0)</f>
        <v>cashloan</v>
      </c>
      <c r="I1223" s="135">
        <v>10700000</v>
      </c>
    </row>
    <row r="1224" spans="1:9" x14ac:dyDescent="0.2">
      <c r="A1224" s="134">
        <v>45443</v>
      </c>
      <c r="B1224" s="135">
        <f>YEAR(source[[#This Row],[report_date]])</f>
        <v>2024</v>
      </c>
      <c r="C1224" s="136">
        <v>5</v>
      </c>
      <c r="D1224" s="136">
        <f t="shared" si="61"/>
        <v>22</v>
      </c>
      <c r="E1224" s="136">
        <f t="shared" si="62"/>
        <v>31</v>
      </c>
      <c r="F1224" s="128" t="s">
        <v>238</v>
      </c>
      <c r="G1224" s="128" t="str">
        <f>VLOOKUP(source[[#This Row],[lending_product_transform]],[3]Mapping!$B$4:$C$37,2,0)</f>
        <v>[VDS] - Cashloan LP</v>
      </c>
      <c r="H1224" s="128" t="str">
        <f>VLOOKUP(source[[#This Row],[lending_product_transform]],[3]Mapping!$B$3:$D$37,3,0)</f>
        <v>cashloan</v>
      </c>
      <c r="I1224" s="135">
        <v>12000000</v>
      </c>
    </row>
    <row r="1225" spans="1:9" x14ac:dyDescent="0.2">
      <c r="A1225" s="134">
        <v>45444</v>
      </c>
      <c r="B1225" s="135">
        <f>YEAR(source[[#This Row],[report_date]])</f>
        <v>2024</v>
      </c>
      <c r="C1225" s="136">
        <v>6</v>
      </c>
      <c r="D1225" s="136">
        <f t="shared" si="61"/>
        <v>22</v>
      </c>
      <c r="E1225" s="136">
        <f t="shared" si="62"/>
        <v>1</v>
      </c>
      <c r="F1225" s="128" t="s">
        <v>58</v>
      </c>
      <c r="G1225" s="128" t="str">
        <f>VLOOKUP(source[[#This Row],[lending_product_transform]],[3]Mapping!$B$4:$C$37,2,0)</f>
        <v>[VDS] - Payroll Cashloan</v>
      </c>
      <c r="H1225" s="128" t="str">
        <f>VLOOKUP(source[[#This Row],[lending_product_transform]],[3]Mapping!$B$3:$D$37,3,0)</f>
        <v>cashloan</v>
      </c>
      <c r="I1225" s="135">
        <v>23100000</v>
      </c>
    </row>
    <row r="1226" spans="1:9" x14ac:dyDescent="0.2">
      <c r="A1226" s="134">
        <v>45444</v>
      </c>
      <c r="B1226" s="135">
        <f>YEAR(source[[#This Row],[report_date]])</f>
        <v>2024</v>
      </c>
      <c r="C1226" s="136">
        <v>6</v>
      </c>
      <c r="D1226" s="136">
        <f t="shared" si="61"/>
        <v>22</v>
      </c>
      <c r="E1226" s="136">
        <f t="shared" si="62"/>
        <v>1</v>
      </c>
      <c r="F1226" s="128" t="s">
        <v>11</v>
      </c>
      <c r="G1226" s="128" t="str">
        <f>VLOOKUP(source[[#This Row],[lending_product_transform]],[3]Mapping!$B$4:$C$37,2,0)</f>
        <v>[VDS] - Cashloan</v>
      </c>
      <c r="H1226" s="128" t="str">
        <f>VLOOKUP(source[[#This Row],[lending_product_transform]],[3]Mapping!$B$3:$D$37,3,0)</f>
        <v>cashloan</v>
      </c>
      <c r="I1226" s="135">
        <v>3614890000</v>
      </c>
    </row>
    <row r="1227" spans="1:9" x14ac:dyDescent="0.2">
      <c r="A1227" s="134">
        <v>45444</v>
      </c>
      <c r="B1227" s="135">
        <f>YEAR(source[[#This Row],[report_date]])</f>
        <v>2024</v>
      </c>
      <c r="C1227" s="136">
        <v>6</v>
      </c>
      <c r="D1227" s="136">
        <f t="shared" si="61"/>
        <v>22</v>
      </c>
      <c r="E1227" s="136">
        <f t="shared" si="62"/>
        <v>1</v>
      </c>
      <c r="F1227" s="128" t="s">
        <v>238</v>
      </c>
      <c r="G1227" s="128" t="str">
        <f>VLOOKUP(source[[#This Row],[lending_product_transform]],[3]Mapping!$B$4:$C$37,2,0)</f>
        <v>[VDS] - Cashloan LP</v>
      </c>
      <c r="H1227" s="128" t="str">
        <f>VLOOKUP(source[[#This Row],[lending_product_transform]],[3]Mapping!$B$3:$D$37,3,0)</f>
        <v>cashloan</v>
      </c>
      <c r="I1227" s="135">
        <v>41680000</v>
      </c>
    </row>
    <row r="1228" spans="1:9" x14ac:dyDescent="0.2">
      <c r="A1228" s="134">
        <v>45444</v>
      </c>
      <c r="B1228" s="135">
        <f>YEAR(source[[#This Row],[report_date]])</f>
        <v>2024</v>
      </c>
      <c r="C1228" s="136">
        <v>6</v>
      </c>
      <c r="D1228" s="136">
        <f t="shared" si="61"/>
        <v>22</v>
      </c>
      <c r="E1228" s="136">
        <f t="shared" si="62"/>
        <v>1</v>
      </c>
      <c r="F1228" s="128" t="s">
        <v>65</v>
      </c>
      <c r="G1228" s="128" t="str">
        <f>VLOOKUP(source[[#This Row],[lending_product_transform]],[3]Mapping!$B$4:$C$37,2,0)</f>
        <v>[BE] - Cashloan</v>
      </c>
      <c r="H1228" s="128" t="str">
        <f>VLOOKUP(source[[#This Row],[lending_product_transform]],[3]Mapping!$B$3:$D$37,3,0)</f>
        <v>cashloan</v>
      </c>
      <c r="I1228" s="135">
        <v>116850000</v>
      </c>
    </row>
    <row r="1229" spans="1:9" x14ac:dyDescent="0.2">
      <c r="A1229" s="134">
        <v>45444</v>
      </c>
      <c r="B1229" s="135">
        <f>YEAR(source[[#This Row],[report_date]])</f>
        <v>2024</v>
      </c>
      <c r="C1229" s="136">
        <v>6</v>
      </c>
      <c r="D1229" s="136">
        <f t="shared" si="61"/>
        <v>22</v>
      </c>
      <c r="E1229" s="136">
        <f t="shared" si="62"/>
        <v>1</v>
      </c>
      <c r="F1229" s="128" t="s">
        <v>239</v>
      </c>
      <c r="G1229" s="128" t="str">
        <f>VLOOKUP(source[[#This Row],[lending_product_transform]],[3]Mapping!$B$4:$C$37,2,0)</f>
        <v>[VDS] - Cashloan LP</v>
      </c>
      <c r="H1229" s="128" t="str">
        <f>VLOOKUP(source[[#This Row],[lending_product_transform]],[3]Mapping!$B$3:$D$37,3,0)</f>
        <v>cashloan</v>
      </c>
      <c r="I1229" s="135">
        <v>115560000</v>
      </c>
    </row>
    <row r="1230" spans="1:9" x14ac:dyDescent="0.2">
      <c r="A1230" s="134">
        <v>45444</v>
      </c>
      <c r="B1230" s="135">
        <f>YEAR(source[[#This Row],[report_date]])</f>
        <v>2024</v>
      </c>
      <c r="C1230" s="136">
        <v>6</v>
      </c>
      <c r="D1230" s="136">
        <f t="shared" si="61"/>
        <v>22</v>
      </c>
      <c r="E1230" s="136">
        <f t="shared" si="62"/>
        <v>1</v>
      </c>
      <c r="F1230" s="128" t="s">
        <v>19</v>
      </c>
      <c r="G1230" s="128" t="str">
        <f>VLOOKUP(source[[#This Row],[lending_product_transform]],[3]Mapping!$B$4:$C$37,2,0)</f>
        <v>[VDS] - Payday</v>
      </c>
      <c r="H1230" s="128" t="str">
        <f>VLOOKUP(source[[#This Row],[lending_product_transform]],[3]Mapping!$B$3:$D$37,3,0)</f>
        <v>payday</v>
      </c>
      <c r="I1230" s="135">
        <v>3223500000</v>
      </c>
    </row>
    <row r="1231" spans="1:9" x14ac:dyDescent="0.2">
      <c r="A1231" s="134">
        <v>45444</v>
      </c>
      <c r="B1231" s="135">
        <f>YEAR(source[[#This Row],[report_date]])</f>
        <v>2024</v>
      </c>
      <c r="C1231" s="136">
        <v>6</v>
      </c>
      <c r="D1231" s="136">
        <f t="shared" si="61"/>
        <v>22</v>
      </c>
      <c r="E1231" s="136">
        <f t="shared" si="62"/>
        <v>1</v>
      </c>
      <c r="F1231" s="128" t="s">
        <v>56</v>
      </c>
      <c r="G1231" s="128">
        <f>VLOOKUP(source[[#This Row],[lending_product_transform]],[3]Mapping!$B$4:$C$37,2,0)</f>
        <v>0</v>
      </c>
      <c r="H1231" s="128">
        <f>VLOOKUP(source[[#This Row],[lending_product_transform]],[3]Mapping!$B$3:$D$37,3,0)</f>
        <v>0</v>
      </c>
      <c r="I1231" s="135">
        <v>10530966249</v>
      </c>
    </row>
    <row r="1232" spans="1:9" x14ac:dyDescent="0.2">
      <c r="A1232" s="134">
        <v>45444</v>
      </c>
      <c r="B1232" s="135">
        <f>YEAR(source[[#This Row],[report_date]])</f>
        <v>2024</v>
      </c>
      <c r="C1232" s="136">
        <v>6</v>
      </c>
      <c r="D1232" s="136">
        <f t="shared" si="61"/>
        <v>22</v>
      </c>
      <c r="E1232" s="136">
        <f t="shared" si="62"/>
        <v>1</v>
      </c>
      <c r="F1232" s="128" t="s">
        <v>62</v>
      </c>
      <c r="G1232" s="128" t="str">
        <f>VLOOKUP(source[[#This Row],[lending_product_transform]],[3]Mapping!$B$4:$C$37,2,0)</f>
        <v>[VDS] - Paylater</v>
      </c>
      <c r="H1232" s="128" t="str">
        <f>VLOOKUP(source[[#This Row],[lending_product_transform]],[3]Mapping!$B$3:$D$37,3,0)</f>
        <v>paylater</v>
      </c>
      <c r="I1232" s="135">
        <v>29498921</v>
      </c>
    </row>
    <row r="1233" spans="1:9" x14ac:dyDescent="0.2">
      <c r="A1233" s="134">
        <v>45444</v>
      </c>
      <c r="B1233" s="135">
        <f>YEAR(source[[#This Row],[report_date]])</f>
        <v>2024</v>
      </c>
      <c r="C1233" s="136">
        <v>6</v>
      </c>
      <c r="D1233" s="136">
        <f t="shared" si="61"/>
        <v>22</v>
      </c>
      <c r="E1233" s="136">
        <f t="shared" si="62"/>
        <v>1</v>
      </c>
      <c r="F1233" s="128" t="s">
        <v>61</v>
      </c>
      <c r="G1233" s="128" t="str">
        <f>VLOOKUP(source[[#This Row],[lending_product_transform]],[3]Mapping!$B$4:$C$37,2,0)</f>
        <v>[VDS] - Payroll Payday</v>
      </c>
      <c r="H1233" s="128" t="str">
        <f>VLOOKUP(source[[#This Row],[lending_product_transform]],[3]Mapping!$B$3:$D$37,3,0)</f>
        <v>payday</v>
      </c>
      <c r="I1233" s="135">
        <v>73000000</v>
      </c>
    </row>
    <row r="1234" spans="1:9" x14ac:dyDescent="0.2">
      <c r="A1234" s="134">
        <v>45444</v>
      </c>
      <c r="B1234" s="135">
        <f>YEAR(source[[#This Row],[report_date]])</f>
        <v>2024</v>
      </c>
      <c r="C1234" s="136">
        <v>6</v>
      </c>
      <c r="D1234" s="136">
        <f t="shared" si="61"/>
        <v>22</v>
      </c>
      <c r="E1234" s="136">
        <f t="shared" si="62"/>
        <v>1</v>
      </c>
      <c r="F1234" s="128" t="s">
        <v>67</v>
      </c>
      <c r="G1234" s="128" t="str">
        <f>VLOOKUP(source[[#This Row],[lending_product_transform]],[3]Mapping!$B$4:$C$37,2,0)</f>
        <v>[Cake] - Overdraft</v>
      </c>
      <c r="H1234" s="128" t="str">
        <f>VLOOKUP(source[[#This Row],[lending_product_transform]],[3]Mapping!$B$3:$D$37,3,0)</f>
        <v>overdraft</v>
      </c>
      <c r="I1234" s="135">
        <v>3255437328</v>
      </c>
    </row>
    <row r="1235" spans="1:9" x14ac:dyDescent="0.2">
      <c r="A1235" s="134">
        <v>45444</v>
      </c>
      <c r="B1235" s="135">
        <f>YEAR(source[[#This Row],[report_date]])</f>
        <v>2024</v>
      </c>
      <c r="C1235" s="136">
        <v>6</v>
      </c>
      <c r="D1235" s="136">
        <f t="shared" si="61"/>
        <v>22</v>
      </c>
      <c r="E1235" s="136">
        <f t="shared" si="62"/>
        <v>1</v>
      </c>
      <c r="F1235" s="128" t="s">
        <v>206</v>
      </c>
      <c r="G1235" s="128" t="str">
        <f>VLOOKUP(source[[#This Row],[lending_product_transform]],[3]Mapping!$B$4:$C$37,2,0)</f>
        <v>[NGS] - Cashloan</v>
      </c>
      <c r="H1235" s="128" t="str">
        <f>VLOOKUP(source[[#This Row],[lending_product_transform]],[3]Mapping!$B$3:$D$37,3,0)</f>
        <v>cashloan</v>
      </c>
      <c r="I1235" s="135">
        <v>37450000</v>
      </c>
    </row>
    <row r="1236" spans="1:9" x14ac:dyDescent="0.2">
      <c r="A1236" s="134">
        <v>45445</v>
      </c>
      <c r="B1236" s="135">
        <f>YEAR(source[[#This Row],[report_date]])</f>
        <v>2024</v>
      </c>
      <c r="C1236" s="136">
        <v>6</v>
      </c>
      <c r="D1236" s="136">
        <f t="shared" si="61"/>
        <v>22</v>
      </c>
      <c r="E1236" s="136">
        <f t="shared" si="62"/>
        <v>2</v>
      </c>
      <c r="F1236" s="128" t="s">
        <v>206</v>
      </c>
      <c r="G1236" s="128" t="str">
        <f>VLOOKUP(source[[#This Row],[lending_product_transform]],[3]Mapping!$B$4:$C$37,2,0)</f>
        <v>[NGS] - Cashloan</v>
      </c>
      <c r="H1236" s="128" t="str">
        <f>VLOOKUP(source[[#This Row],[lending_product_transform]],[3]Mapping!$B$3:$D$37,3,0)</f>
        <v>cashloan</v>
      </c>
      <c r="I1236" s="135">
        <v>44940000</v>
      </c>
    </row>
    <row r="1237" spans="1:9" x14ac:dyDescent="0.2">
      <c r="A1237" s="134">
        <v>45445</v>
      </c>
      <c r="B1237" s="135">
        <f>YEAR(source[[#This Row],[report_date]])</f>
        <v>2024</v>
      </c>
      <c r="C1237" s="136">
        <v>6</v>
      </c>
      <c r="D1237" s="136">
        <f t="shared" si="61"/>
        <v>22</v>
      </c>
      <c r="E1237" s="136">
        <f t="shared" si="62"/>
        <v>2</v>
      </c>
      <c r="F1237" s="128" t="s">
        <v>19</v>
      </c>
      <c r="G1237" s="128" t="str">
        <f>VLOOKUP(source[[#This Row],[lending_product_transform]],[3]Mapping!$B$4:$C$37,2,0)</f>
        <v>[VDS] - Payday</v>
      </c>
      <c r="H1237" s="128" t="str">
        <f>VLOOKUP(source[[#This Row],[lending_product_transform]],[3]Mapping!$B$3:$D$37,3,0)</f>
        <v>payday</v>
      </c>
      <c r="I1237" s="135">
        <v>2579000000</v>
      </c>
    </row>
    <row r="1238" spans="1:9" x14ac:dyDescent="0.2">
      <c r="A1238" s="134">
        <v>45445</v>
      </c>
      <c r="B1238" s="135">
        <f>YEAR(source[[#This Row],[report_date]])</f>
        <v>2024</v>
      </c>
      <c r="C1238" s="136">
        <v>6</v>
      </c>
      <c r="D1238" s="136">
        <f t="shared" si="61"/>
        <v>22</v>
      </c>
      <c r="E1238" s="136">
        <f t="shared" si="62"/>
        <v>2</v>
      </c>
      <c r="F1238" s="128" t="s">
        <v>58</v>
      </c>
      <c r="G1238" s="128" t="str">
        <f>VLOOKUP(source[[#This Row],[lending_product_transform]],[3]Mapping!$B$4:$C$37,2,0)</f>
        <v>[VDS] - Payroll Cashloan</v>
      </c>
      <c r="H1238" s="128" t="str">
        <f>VLOOKUP(source[[#This Row],[lending_product_transform]],[3]Mapping!$B$3:$D$37,3,0)</f>
        <v>cashloan</v>
      </c>
      <c r="I1238" s="135">
        <v>0</v>
      </c>
    </row>
    <row r="1239" spans="1:9" x14ac:dyDescent="0.2">
      <c r="A1239" s="134">
        <v>45445</v>
      </c>
      <c r="B1239" s="135">
        <f>YEAR(source[[#This Row],[report_date]])</f>
        <v>2024</v>
      </c>
      <c r="C1239" s="136">
        <v>6</v>
      </c>
      <c r="D1239" s="136">
        <f t="shared" si="61"/>
        <v>22</v>
      </c>
      <c r="E1239" s="136">
        <f t="shared" si="62"/>
        <v>2</v>
      </c>
      <c r="F1239" s="128" t="s">
        <v>238</v>
      </c>
      <c r="G1239" s="128" t="str">
        <f>VLOOKUP(source[[#This Row],[lending_product_transform]],[3]Mapping!$B$4:$C$37,2,0)</f>
        <v>[VDS] - Cashloan LP</v>
      </c>
      <c r="H1239" s="128" t="str">
        <f>VLOOKUP(source[[#This Row],[lending_product_transform]],[3]Mapping!$B$3:$D$37,3,0)</f>
        <v>cashloan</v>
      </c>
      <c r="I1239" s="135">
        <v>48660000</v>
      </c>
    </row>
    <row r="1240" spans="1:9" x14ac:dyDescent="0.2">
      <c r="A1240" s="134">
        <v>45445</v>
      </c>
      <c r="B1240" s="135">
        <f>YEAR(source[[#This Row],[report_date]])</f>
        <v>2024</v>
      </c>
      <c r="C1240" s="136">
        <v>6</v>
      </c>
      <c r="D1240" s="136">
        <f t="shared" si="61"/>
        <v>22</v>
      </c>
      <c r="E1240" s="136">
        <f t="shared" si="62"/>
        <v>2</v>
      </c>
      <c r="F1240" s="128" t="s">
        <v>65</v>
      </c>
      <c r="G1240" s="128" t="str">
        <f>VLOOKUP(source[[#This Row],[lending_product_transform]],[3]Mapping!$B$4:$C$37,2,0)</f>
        <v>[BE] - Cashloan</v>
      </c>
      <c r="H1240" s="128" t="str">
        <f>VLOOKUP(source[[#This Row],[lending_product_transform]],[3]Mapping!$B$3:$D$37,3,0)</f>
        <v>cashloan</v>
      </c>
      <c r="I1240" s="135">
        <v>105000000</v>
      </c>
    </row>
    <row r="1241" spans="1:9" x14ac:dyDescent="0.2">
      <c r="A1241" s="134">
        <v>45445</v>
      </c>
      <c r="B1241" s="135">
        <f>YEAR(source[[#This Row],[report_date]])</f>
        <v>2024</v>
      </c>
      <c r="C1241" s="136">
        <v>6</v>
      </c>
      <c r="D1241" s="136">
        <f t="shared" si="61"/>
        <v>22</v>
      </c>
      <c r="E1241" s="136">
        <f t="shared" si="62"/>
        <v>2</v>
      </c>
      <c r="F1241" s="128" t="s">
        <v>62</v>
      </c>
      <c r="G1241" s="128" t="str">
        <f>VLOOKUP(source[[#This Row],[lending_product_transform]],[3]Mapping!$B$4:$C$37,2,0)</f>
        <v>[VDS] - Paylater</v>
      </c>
      <c r="H1241" s="128" t="str">
        <f>VLOOKUP(source[[#This Row],[lending_product_transform]],[3]Mapping!$B$3:$D$37,3,0)</f>
        <v>paylater</v>
      </c>
      <c r="I1241" s="135">
        <v>35509644</v>
      </c>
    </row>
    <row r="1242" spans="1:9" x14ac:dyDescent="0.2">
      <c r="A1242" s="134">
        <v>45445</v>
      </c>
      <c r="B1242" s="135">
        <f>YEAR(source[[#This Row],[report_date]])</f>
        <v>2024</v>
      </c>
      <c r="C1242" s="136">
        <v>6</v>
      </c>
      <c r="D1242" s="136">
        <f t="shared" si="61"/>
        <v>22</v>
      </c>
      <c r="E1242" s="136">
        <f t="shared" si="62"/>
        <v>2</v>
      </c>
      <c r="F1242" s="128" t="s">
        <v>56</v>
      </c>
      <c r="G1242" s="128">
        <f>VLOOKUP(source[[#This Row],[lending_product_transform]],[3]Mapping!$B$4:$C$37,2,0)</f>
        <v>0</v>
      </c>
      <c r="H1242" s="128">
        <f>VLOOKUP(source[[#This Row],[lending_product_transform]],[3]Mapping!$B$3:$D$37,3,0)</f>
        <v>0</v>
      </c>
      <c r="I1242" s="135">
        <v>8529377936</v>
      </c>
    </row>
    <row r="1243" spans="1:9" x14ac:dyDescent="0.2">
      <c r="A1243" s="134">
        <v>45445</v>
      </c>
      <c r="B1243" s="135">
        <f>YEAR(source[[#This Row],[report_date]])</f>
        <v>2024</v>
      </c>
      <c r="C1243" s="136">
        <v>6</v>
      </c>
      <c r="D1243" s="136">
        <f t="shared" si="61"/>
        <v>22</v>
      </c>
      <c r="E1243" s="136">
        <f t="shared" si="62"/>
        <v>2</v>
      </c>
      <c r="F1243" s="128" t="s">
        <v>239</v>
      </c>
      <c r="G1243" s="128" t="str">
        <f>VLOOKUP(source[[#This Row],[lending_product_transform]],[3]Mapping!$B$4:$C$37,2,0)</f>
        <v>[VDS] - Cashloan LP</v>
      </c>
      <c r="H1243" s="128" t="str">
        <f>VLOOKUP(source[[#This Row],[lending_product_transform]],[3]Mapping!$B$3:$D$37,3,0)</f>
        <v>cashloan</v>
      </c>
      <c r="I1243" s="135">
        <v>112160000</v>
      </c>
    </row>
    <row r="1244" spans="1:9" x14ac:dyDescent="0.2">
      <c r="A1244" s="134">
        <v>45445</v>
      </c>
      <c r="B1244" s="135">
        <f>YEAR(source[[#This Row],[report_date]])</f>
        <v>2024</v>
      </c>
      <c r="C1244" s="136">
        <v>6</v>
      </c>
      <c r="D1244" s="136">
        <f t="shared" si="61"/>
        <v>22</v>
      </c>
      <c r="E1244" s="136">
        <f t="shared" si="62"/>
        <v>2</v>
      </c>
      <c r="F1244" s="128" t="s">
        <v>61</v>
      </c>
      <c r="G1244" s="128" t="str">
        <f>VLOOKUP(source[[#This Row],[lending_product_transform]],[3]Mapping!$B$4:$C$37,2,0)</f>
        <v>[VDS] - Payroll Payday</v>
      </c>
      <c r="H1244" s="128" t="str">
        <f>VLOOKUP(source[[#This Row],[lending_product_transform]],[3]Mapping!$B$3:$D$37,3,0)</f>
        <v>payday</v>
      </c>
      <c r="I1244" s="135">
        <v>27000000</v>
      </c>
    </row>
    <row r="1245" spans="1:9" x14ac:dyDescent="0.2">
      <c r="A1245" s="134">
        <v>45445</v>
      </c>
      <c r="B1245" s="135">
        <f>YEAR(source[[#This Row],[report_date]])</f>
        <v>2024</v>
      </c>
      <c r="C1245" s="136">
        <v>6</v>
      </c>
      <c r="D1245" s="136">
        <f t="shared" si="61"/>
        <v>22</v>
      </c>
      <c r="E1245" s="136">
        <f t="shared" si="62"/>
        <v>2</v>
      </c>
      <c r="F1245" s="128" t="s">
        <v>11</v>
      </c>
      <c r="G1245" s="128" t="str">
        <f>VLOOKUP(source[[#This Row],[lending_product_transform]],[3]Mapping!$B$4:$C$37,2,0)</f>
        <v>[VDS] - Cashloan</v>
      </c>
      <c r="H1245" s="128" t="str">
        <f>VLOOKUP(source[[#This Row],[lending_product_transform]],[3]Mapping!$B$3:$D$37,3,0)</f>
        <v>cashloan</v>
      </c>
      <c r="I1245" s="135">
        <v>2912430000</v>
      </c>
    </row>
    <row r="1246" spans="1:9" x14ac:dyDescent="0.2">
      <c r="A1246" s="134">
        <v>45445</v>
      </c>
      <c r="B1246" s="135">
        <f>YEAR(source[[#This Row],[report_date]])</f>
        <v>2024</v>
      </c>
      <c r="C1246" s="136">
        <v>6</v>
      </c>
      <c r="D1246" s="136">
        <f t="shared" si="61"/>
        <v>22</v>
      </c>
      <c r="E1246" s="136">
        <f t="shared" si="62"/>
        <v>2</v>
      </c>
      <c r="F1246" s="128" t="s">
        <v>67</v>
      </c>
      <c r="G1246" s="128" t="str">
        <f>VLOOKUP(source[[#This Row],[lending_product_transform]],[3]Mapping!$B$4:$C$37,2,0)</f>
        <v>[Cake] - Overdraft</v>
      </c>
      <c r="H1246" s="128" t="str">
        <f>VLOOKUP(source[[#This Row],[lending_product_transform]],[3]Mapping!$B$3:$D$37,3,0)</f>
        <v>overdraft</v>
      </c>
      <c r="I1246" s="135">
        <v>2664678292</v>
      </c>
    </row>
    <row r="1247" spans="1:9" x14ac:dyDescent="0.2">
      <c r="A1247" s="134">
        <v>45446</v>
      </c>
      <c r="B1247" s="135">
        <f>YEAR(source[[#This Row],[report_date]])</f>
        <v>2024</v>
      </c>
      <c r="C1247" s="136">
        <v>6</v>
      </c>
      <c r="D1247" s="136">
        <f t="shared" si="61"/>
        <v>23</v>
      </c>
      <c r="E1247" s="136">
        <f t="shared" si="62"/>
        <v>3</v>
      </c>
      <c r="F1247" s="128" t="s">
        <v>62</v>
      </c>
      <c r="G1247" s="128" t="str">
        <f>VLOOKUP(source[[#This Row],[lending_product_transform]],[3]Mapping!$B$4:$C$37,2,0)</f>
        <v>[VDS] - Paylater</v>
      </c>
      <c r="H1247" s="128" t="str">
        <f>VLOOKUP(source[[#This Row],[lending_product_transform]],[3]Mapping!$B$3:$D$37,3,0)</f>
        <v>paylater</v>
      </c>
      <c r="I1247" s="135">
        <v>57665380</v>
      </c>
    </row>
    <row r="1248" spans="1:9" x14ac:dyDescent="0.2">
      <c r="A1248" s="134">
        <v>45446</v>
      </c>
      <c r="B1248" s="135">
        <f>YEAR(source[[#This Row],[report_date]])</f>
        <v>2024</v>
      </c>
      <c r="C1248" s="136">
        <v>6</v>
      </c>
      <c r="D1248" s="136">
        <f t="shared" si="61"/>
        <v>23</v>
      </c>
      <c r="E1248" s="136">
        <f t="shared" si="62"/>
        <v>3</v>
      </c>
      <c r="F1248" s="128" t="s">
        <v>206</v>
      </c>
      <c r="G1248" s="128" t="str">
        <f>VLOOKUP(source[[#This Row],[lending_product_transform]],[3]Mapping!$B$4:$C$37,2,0)</f>
        <v>[NGS] - Cashloan</v>
      </c>
      <c r="H1248" s="128" t="str">
        <f>VLOOKUP(source[[#This Row],[lending_product_transform]],[3]Mapping!$B$3:$D$37,3,0)</f>
        <v>cashloan</v>
      </c>
      <c r="I1248" s="135">
        <v>63130000</v>
      </c>
    </row>
    <row r="1249" spans="1:9" x14ac:dyDescent="0.2">
      <c r="A1249" s="134">
        <v>45446</v>
      </c>
      <c r="B1249" s="135">
        <f>YEAR(source[[#This Row],[report_date]])</f>
        <v>2024</v>
      </c>
      <c r="C1249" s="136">
        <v>6</v>
      </c>
      <c r="D1249" s="136">
        <f t="shared" si="61"/>
        <v>23</v>
      </c>
      <c r="E1249" s="136">
        <f t="shared" si="62"/>
        <v>3</v>
      </c>
      <c r="F1249" s="128" t="s">
        <v>61</v>
      </c>
      <c r="G1249" s="128" t="str">
        <f>VLOOKUP(source[[#This Row],[lending_product_transform]],[3]Mapping!$B$4:$C$37,2,0)</f>
        <v>[VDS] - Payroll Payday</v>
      </c>
      <c r="H1249" s="128" t="str">
        <f>VLOOKUP(source[[#This Row],[lending_product_transform]],[3]Mapping!$B$3:$D$37,3,0)</f>
        <v>payday</v>
      </c>
      <c r="I1249" s="135">
        <v>35000000</v>
      </c>
    </row>
    <row r="1250" spans="1:9" x14ac:dyDescent="0.2">
      <c r="A1250" s="134">
        <v>45446</v>
      </c>
      <c r="B1250" s="135">
        <f>YEAR(source[[#This Row],[report_date]])</f>
        <v>2024</v>
      </c>
      <c r="C1250" s="136">
        <v>6</v>
      </c>
      <c r="D1250" s="136">
        <f t="shared" si="61"/>
        <v>23</v>
      </c>
      <c r="E1250" s="136">
        <f t="shared" si="62"/>
        <v>3</v>
      </c>
      <c r="F1250" s="128" t="s">
        <v>67</v>
      </c>
      <c r="G1250" s="128" t="str">
        <f>VLOOKUP(source[[#This Row],[lending_product_transform]],[3]Mapping!$B$4:$C$37,2,0)</f>
        <v>[Cake] - Overdraft</v>
      </c>
      <c r="H1250" s="128" t="str">
        <f>VLOOKUP(source[[#This Row],[lending_product_transform]],[3]Mapping!$B$3:$D$37,3,0)</f>
        <v>overdraft</v>
      </c>
      <c r="I1250" s="135">
        <v>2851459569</v>
      </c>
    </row>
    <row r="1251" spans="1:9" x14ac:dyDescent="0.2">
      <c r="A1251" s="134">
        <v>45446</v>
      </c>
      <c r="B1251" s="135">
        <f>YEAR(source[[#This Row],[report_date]])</f>
        <v>2024</v>
      </c>
      <c r="C1251" s="136">
        <v>6</v>
      </c>
      <c r="D1251" s="136">
        <f t="shared" si="61"/>
        <v>23</v>
      </c>
      <c r="E1251" s="136">
        <f t="shared" si="62"/>
        <v>3</v>
      </c>
      <c r="F1251" s="128" t="s">
        <v>238</v>
      </c>
      <c r="G1251" s="128" t="str">
        <f>VLOOKUP(source[[#This Row],[lending_product_transform]],[3]Mapping!$B$4:$C$37,2,0)</f>
        <v>[VDS] - Cashloan LP</v>
      </c>
      <c r="H1251" s="128" t="str">
        <f>VLOOKUP(source[[#This Row],[lending_product_transform]],[3]Mapping!$B$3:$D$37,3,0)</f>
        <v>cashloan</v>
      </c>
      <c r="I1251" s="135">
        <v>0</v>
      </c>
    </row>
    <row r="1252" spans="1:9" x14ac:dyDescent="0.2">
      <c r="A1252" s="134">
        <v>45446</v>
      </c>
      <c r="B1252" s="135">
        <f>YEAR(source[[#This Row],[report_date]])</f>
        <v>2024</v>
      </c>
      <c r="C1252" s="136">
        <v>6</v>
      </c>
      <c r="D1252" s="136">
        <f t="shared" si="61"/>
        <v>23</v>
      </c>
      <c r="E1252" s="136">
        <f t="shared" si="62"/>
        <v>3</v>
      </c>
      <c r="F1252" s="128" t="s">
        <v>239</v>
      </c>
      <c r="G1252" s="128" t="str">
        <f>VLOOKUP(source[[#This Row],[lending_product_transform]],[3]Mapping!$B$4:$C$37,2,0)</f>
        <v>[VDS] - Cashloan LP</v>
      </c>
      <c r="H1252" s="128" t="str">
        <f>VLOOKUP(source[[#This Row],[lending_product_transform]],[3]Mapping!$B$3:$D$37,3,0)</f>
        <v>cashloan</v>
      </c>
      <c r="I1252" s="135">
        <v>97180000</v>
      </c>
    </row>
    <row r="1253" spans="1:9" x14ac:dyDescent="0.2">
      <c r="A1253" s="134">
        <v>45446</v>
      </c>
      <c r="B1253" s="135">
        <f>YEAR(source[[#This Row],[report_date]])</f>
        <v>2024</v>
      </c>
      <c r="C1253" s="136">
        <v>6</v>
      </c>
      <c r="D1253" s="136">
        <f t="shared" si="61"/>
        <v>23</v>
      </c>
      <c r="E1253" s="136">
        <f t="shared" si="62"/>
        <v>3</v>
      </c>
      <c r="F1253" s="128" t="s">
        <v>58</v>
      </c>
      <c r="G1253" s="128" t="str">
        <f>VLOOKUP(source[[#This Row],[lending_product_transform]],[3]Mapping!$B$4:$C$37,2,0)</f>
        <v>[VDS] - Payroll Cashloan</v>
      </c>
      <c r="H1253" s="128" t="str">
        <f>VLOOKUP(source[[#This Row],[lending_product_transform]],[3]Mapping!$B$3:$D$37,3,0)</f>
        <v>cashloan</v>
      </c>
      <c r="I1253" s="135">
        <v>62500000</v>
      </c>
    </row>
    <row r="1254" spans="1:9" x14ac:dyDescent="0.2">
      <c r="A1254" s="134">
        <v>45446</v>
      </c>
      <c r="B1254" s="135">
        <f>YEAR(source[[#This Row],[report_date]])</f>
        <v>2024</v>
      </c>
      <c r="C1254" s="136">
        <v>6</v>
      </c>
      <c r="D1254" s="136">
        <f t="shared" si="61"/>
        <v>23</v>
      </c>
      <c r="E1254" s="136">
        <f t="shared" si="62"/>
        <v>3</v>
      </c>
      <c r="F1254" s="128" t="s">
        <v>56</v>
      </c>
      <c r="G1254" s="128">
        <f>VLOOKUP(source[[#This Row],[lending_product_transform]],[3]Mapping!$B$4:$C$37,2,0)</f>
        <v>0</v>
      </c>
      <c r="H1254" s="128">
        <f>VLOOKUP(source[[#This Row],[lending_product_transform]],[3]Mapping!$B$3:$D$37,3,0)</f>
        <v>0</v>
      </c>
      <c r="I1254" s="135">
        <v>11780764949</v>
      </c>
    </row>
    <row r="1255" spans="1:9" x14ac:dyDescent="0.2">
      <c r="A1255" s="134">
        <v>45446</v>
      </c>
      <c r="B1255" s="135">
        <f>YEAR(source[[#This Row],[report_date]])</f>
        <v>2024</v>
      </c>
      <c r="C1255" s="136">
        <v>6</v>
      </c>
      <c r="D1255" s="136">
        <f t="shared" si="61"/>
        <v>23</v>
      </c>
      <c r="E1255" s="136">
        <f t="shared" si="62"/>
        <v>3</v>
      </c>
      <c r="F1255" s="128" t="s">
        <v>65</v>
      </c>
      <c r="G1255" s="128" t="str">
        <f>VLOOKUP(source[[#This Row],[lending_product_transform]],[3]Mapping!$B$4:$C$37,2,0)</f>
        <v>[BE] - Cashloan</v>
      </c>
      <c r="H1255" s="128" t="str">
        <f>VLOOKUP(source[[#This Row],[lending_product_transform]],[3]Mapping!$B$3:$D$37,3,0)</f>
        <v>cashloan</v>
      </c>
      <c r="I1255" s="135">
        <v>167000000</v>
      </c>
    </row>
    <row r="1256" spans="1:9" x14ac:dyDescent="0.2">
      <c r="A1256" s="134">
        <v>45446</v>
      </c>
      <c r="B1256" s="135">
        <f>YEAR(source[[#This Row],[report_date]])</f>
        <v>2024</v>
      </c>
      <c r="C1256" s="136">
        <v>6</v>
      </c>
      <c r="D1256" s="136">
        <f t="shared" si="61"/>
        <v>23</v>
      </c>
      <c r="E1256" s="136">
        <f t="shared" si="62"/>
        <v>3</v>
      </c>
      <c r="F1256" s="128" t="s">
        <v>11</v>
      </c>
      <c r="G1256" s="128" t="str">
        <f>VLOOKUP(source[[#This Row],[lending_product_transform]],[3]Mapping!$B$4:$C$37,2,0)</f>
        <v>[VDS] - Cashloan</v>
      </c>
      <c r="H1256" s="128" t="str">
        <f>VLOOKUP(source[[#This Row],[lending_product_transform]],[3]Mapping!$B$3:$D$37,3,0)</f>
        <v>cashloan</v>
      </c>
      <c r="I1256" s="135">
        <v>5082330000</v>
      </c>
    </row>
    <row r="1257" spans="1:9" x14ac:dyDescent="0.2">
      <c r="A1257" s="134">
        <v>45446</v>
      </c>
      <c r="B1257" s="135">
        <f>YEAR(source[[#This Row],[report_date]])</f>
        <v>2024</v>
      </c>
      <c r="C1257" s="136">
        <v>6</v>
      </c>
      <c r="D1257" s="136">
        <f t="shared" si="61"/>
        <v>23</v>
      </c>
      <c r="E1257" s="136">
        <f t="shared" si="62"/>
        <v>3</v>
      </c>
      <c r="F1257" s="128" t="s">
        <v>19</v>
      </c>
      <c r="G1257" s="128" t="str">
        <f>VLOOKUP(source[[#This Row],[lending_product_transform]],[3]Mapping!$B$4:$C$37,2,0)</f>
        <v>[VDS] - Payday</v>
      </c>
      <c r="H1257" s="128" t="str">
        <f>VLOOKUP(source[[#This Row],[lending_product_transform]],[3]Mapping!$B$3:$D$37,3,0)</f>
        <v>payday</v>
      </c>
      <c r="I1257" s="135">
        <v>3364500000</v>
      </c>
    </row>
    <row r="1258" spans="1:9" x14ac:dyDescent="0.2">
      <c r="A1258" s="134">
        <v>45447</v>
      </c>
      <c r="B1258" s="135">
        <f>YEAR(source[[#This Row],[report_date]])</f>
        <v>2024</v>
      </c>
      <c r="C1258" s="136">
        <v>6</v>
      </c>
      <c r="D1258" s="136">
        <f t="shared" si="61"/>
        <v>23</v>
      </c>
      <c r="E1258" s="136">
        <f t="shared" si="62"/>
        <v>4</v>
      </c>
      <c r="F1258" s="128" t="s">
        <v>239</v>
      </c>
      <c r="G1258" s="128" t="str">
        <f>VLOOKUP(source[[#This Row],[lending_product_transform]],[3]Mapping!$B$4:$C$37,2,0)</f>
        <v>[VDS] - Cashloan LP</v>
      </c>
      <c r="H1258" s="128" t="str">
        <f>VLOOKUP(source[[#This Row],[lending_product_transform]],[3]Mapping!$B$3:$D$37,3,0)</f>
        <v>cashloan</v>
      </c>
      <c r="I1258" s="135">
        <v>108070000</v>
      </c>
    </row>
    <row r="1259" spans="1:9" x14ac:dyDescent="0.2">
      <c r="A1259" s="134">
        <v>45447</v>
      </c>
      <c r="B1259" s="135">
        <f>YEAR(source[[#This Row],[report_date]])</f>
        <v>2024</v>
      </c>
      <c r="C1259" s="136">
        <v>6</v>
      </c>
      <c r="D1259" s="136">
        <f t="shared" si="61"/>
        <v>23</v>
      </c>
      <c r="E1259" s="136">
        <f t="shared" si="62"/>
        <v>4</v>
      </c>
      <c r="F1259" s="128" t="s">
        <v>62</v>
      </c>
      <c r="G1259" s="128" t="str">
        <f>VLOOKUP(source[[#This Row],[lending_product_transform]],[3]Mapping!$B$4:$C$37,2,0)</f>
        <v>[VDS] - Paylater</v>
      </c>
      <c r="H1259" s="128" t="str">
        <f>VLOOKUP(source[[#This Row],[lending_product_transform]],[3]Mapping!$B$3:$D$37,3,0)</f>
        <v>paylater</v>
      </c>
      <c r="I1259" s="135">
        <v>81077103</v>
      </c>
    </row>
    <row r="1260" spans="1:9" x14ac:dyDescent="0.2">
      <c r="A1260" s="134">
        <v>45447</v>
      </c>
      <c r="B1260" s="135">
        <f>YEAR(source[[#This Row],[report_date]])</f>
        <v>2024</v>
      </c>
      <c r="C1260" s="136">
        <v>6</v>
      </c>
      <c r="D1260" s="136">
        <f t="shared" si="61"/>
        <v>23</v>
      </c>
      <c r="E1260" s="136">
        <f t="shared" si="62"/>
        <v>4</v>
      </c>
      <c r="F1260" s="128" t="s">
        <v>19</v>
      </c>
      <c r="G1260" s="128" t="str">
        <f>VLOOKUP(source[[#This Row],[lending_product_transform]],[3]Mapping!$B$4:$C$37,2,0)</f>
        <v>[VDS] - Payday</v>
      </c>
      <c r="H1260" s="128" t="str">
        <f>VLOOKUP(source[[#This Row],[lending_product_transform]],[3]Mapping!$B$3:$D$37,3,0)</f>
        <v>payday</v>
      </c>
      <c r="I1260" s="135">
        <v>3177000000</v>
      </c>
    </row>
    <row r="1261" spans="1:9" x14ac:dyDescent="0.2">
      <c r="A1261" s="134">
        <v>45447</v>
      </c>
      <c r="B1261" s="135">
        <f>YEAR(source[[#This Row],[report_date]])</f>
        <v>2024</v>
      </c>
      <c r="C1261" s="136">
        <v>6</v>
      </c>
      <c r="D1261" s="136">
        <f t="shared" si="61"/>
        <v>23</v>
      </c>
      <c r="E1261" s="136">
        <f t="shared" si="62"/>
        <v>4</v>
      </c>
      <c r="F1261" s="128" t="s">
        <v>61</v>
      </c>
      <c r="G1261" s="128" t="str">
        <f>VLOOKUP(source[[#This Row],[lending_product_transform]],[3]Mapping!$B$4:$C$37,2,0)</f>
        <v>[VDS] - Payroll Payday</v>
      </c>
      <c r="H1261" s="128" t="str">
        <f>VLOOKUP(source[[#This Row],[lending_product_transform]],[3]Mapping!$B$3:$D$37,3,0)</f>
        <v>payday</v>
      </c>
      <c r="I1261" s="135">
        <v>15000000</v>
      </c>
    </row>
    <row r="1262" spans="1:9" x14ac:dyDescent="0.2">
      <c r="A1262" s="134">
        <v>45447</v>
      </c>
      <c r="B1262" s="135">
        <f>YEAR(source[[#This Row],[report_date]])</f>
        <v>2024</v>
      </c>
      <c r="C1262" s="136">
        <v>6</v>
      </c>
      <c r="D1262" s="136">
        <f t="shared" si="61"/>
        <v>23</v>
      </c>
      <c r="E1262" s="136">
        <f t="shared" si="62"/>
        <v>4</v>
      </c>
      <c r="F1262" s="128" t="s">
        <v>11</v>
      </c>
      <c r="G1262" s="128" t="str">
        <f>VLOOKUP(source[[#This Row],[lending_product_transform]],[3]Mapping!$B$4:$C$37,2,0)</f>
        <v>[VDS] - Cashloan</v>
      </c>
      <c r="H1262" s="128" t="str">
        <f>VLOOKUP(source[[#This Row],[lending_product_transform]],[3]Mapping!$B$3:$D$37,3,0)</f>
        <v>cashloan</v>
      </c>
      <c r="I1262" s="135">
        <v>5017700000</v>
      </c>
    </row>
    <row r="1263" spans="1:9" x14ac:dyDescent="0.2">
      <c r="A1263" s="134">
        <v>45447</v>
      </c>
      <c r="B1263" s="135">
        <f>YEAR(source[[#This Row],[report_date]])</f>
        <v>2024</v>
      </c>
      <c r="C1263" s="136">
        <v>6</v>
      </c>
      <c r="D1263" s="136">
        <f t="shared" si="61"/>
        <v>23</v>
      </c>
      <c r="E1263" s="136">
        <f t="shared" si="62"/>
        <v>4</v>
      </c>
      <c r="F1263" s="128" t="s">
        <v>56</v>
      </c>
      <c r="G1263" s="128">
        <f>VLOOKUP(source[[#This Row],[lending_product_transform]],[3]Mapping!$B$4:$C$37,2,0)</f>
        <v>0</v>
      </c>
      <c r="H1263" s="128">
        <f>VLOOKUP(source[[#This Row],[lending_product_transform]],[3]Mapping!$B$3:$D$37,3,0)</f>
        <v>0</v>
      </c>
      <c r="I1263" s="135">
        <v>11598870896</v>
      </c>
    </row>
    <row r="1264" spans="1:9" x14ac:dyDescent="0.2">
      <c r="A1264" s="134">
        <v>45447</v>
      </c>
      <c r="B1264" s="135">
        <f>YEAR(source[[#This Row],[report_date]])</f>
        <v>2024</v>
      </c>
      <c r="C1264" s="136">
        <v>6</v>
      </c>
      <c r="D1264" s="136">
        <f t="shared" si="61"/>
        <v>23</v>
      </c>
      <c r="E1264" s="136">
        <f t="shared" si="62"/>
        <v>4</v>
      </c>
      <c r="F1264" s="128" t="s">
        <v>206</v>
      </c>
      <c r="G1264" s="128" t="str">
        <f>VLOOKUP(source[[#This Row],[lending_product_transform]],[3]Mapping!$B$4:$C$37,2,0)</f>
        <v>[NGS] - Cashloan</v>
      </c>
      <c r="H1264" s="128" t="str">
        <f>VLOOKUP(source[[#This Row],[lending_product_transform]],[3]Mapping!$B$3:$D$37,3,0)</f>
        <v>cashloan</v>
      </c>
      <c r="I1264" s="135">
        <v>114490000</v>
      </c>
    </row>
    <row r="1265" spans="1:9" x14ac:dyDescent="0.2">
      <c r="A1265" s="134">
        <v>45447</v>
      </c>
      <c r="B1265" s="135">
        <f>YEAR(source[[#This Row],[report_date]])</f>
        <v>2024</v>
      </c>
      <c r="C1265" s="136">
        <v>6</v>
      </c>
      <c r="D1265" s="136">
        <f t="shared" si="61"/>
        <v>23</v>
      </c>
      <c r="E1265" s="136">
        <f t="shared" si="62"/>
        <v>4</v>
      </c>
      <c r="F1265" s="128" t="s">
        <v>65</v>
      </c>
      <c r="G1265" s="128" t="str">
        <f>VLOOKUP(source[[#This Row],[lending_product_transform]],[3]Mapping!$B$4:$C$37,2,0)</f>
        <v>[BE] - Cashloan</v>
      </c>
      <c r="H1265" s="128" t="str">
        <f>VLOOKUP(source[[#This Row],[lending_product_transform]],[3]Mapping!$B$3:$D$37,3,0)</f>
        <v>cashloan</v>
      </c>
      <c r="I1265" s="135">
        <v>246800000</v>
      </c>
    </row>
    <row r="1266" spans="1:9" x14ac:dyDescent="0.2">
      <c r="A1266" s="134">
        <v>45447</v>
      </c>
      <c r="B1266" s="135">
        <f>YEAR(source[[#This Row],[report_date]])</f>
        <v>2024</v>
      </c>
      <c r="C1266" s="136">
        <v>6</v>
      </c>
      <c r="D1266" s="136">
        <f t="shared" si="61"/>
        <v>23</v>
      </c>
      <c r="E1266" s="136">
        <f t="shared" si="62"/>
        <v>4</v>
      </c>
      <c r="F1266" s="128" t="s">
        <v>238</v>
      </c>
      <c r="G1266" s="128" t="str">
        <f>VLOOKUP(source[[#This Row],[lending_product_transform]],[3]Mapping!$B$4:$C$37,2,0)</f>
        <v>[VDS] - Cashloan LP</v>
      </c>
      <c r="H1266" s="128" t="str">
        <f>VLOOKUP(source[[#This Row],[lending_product_transform]],[3]Mapping!$B$3:$D$37,3,0)</f>
        <v>cashloan</v>
      </c>
      <c r="I1266" s="135">
        <v>0</v>
      </c>
    </row>
    <row r="1267" spans="1:9" x14ac:dyDescent="0.2">
      <c r="A1267" s="134">
        <v>45447</v>
      </c>
      <c r="B1267" s="135">
        <f>YEAR(source[[#This Row],[report_date]])</f>
        <v>2024</v>
      </c>
      <c r="C1267" s="136">
        <v>6</v>
      </c>
      <c r="D1267" s="136">
        <f t="shared" si="61"/>
        <v>23</v>
      </c>
      <c r="E1267" s="136">
        <f t="shared" si="62"/>
        <v>4</v>
      </c>
      <c r="F1267" s="128" t="s">
        <v>67</v>
      </c>
      <c r="G1267" s="128" t="str">
        <f>VLOOKUP(source[[#This Row],[lending_product_transform]],[3]Mapping!$B$4:$C$37,2,0)</f>
        <v>[Cake] - Overdraft</v>
      </c>
      <c r="H1267" s="128" t="str">
        <f>VLOOKUP(source[[#This Row],[lending_product_transform]],[3]Mapping!$B$3:$D$37,3,0)</f>
        <v>overdraft</v>
      </c>
      <c r="I1267" s="135">
        <v>2796733793</v>
      </c>
    </row>
    <row r="1268" spans="1:9" x14ac:dyDescent="0.2">
      <c r="A1268" s="134">
        <v>45447</v>
      </c>
      <c r="B1268" s="135">
        <f>YEAR(source[[#This Row],[report_date]])</f>
        <v>2024</v>
      </c>
      <c r="C1268" s="136">
        <v>6</v>
      </c>
      <c r="D1268" s="136">
        <f t="shared" si="61"/>
        <v>23</v>
      </c>
      <c r="E1268" s="136">
        <f t="shared" si="62"/>
        <v>4</v>
      </c>
      <c r="F1268" s="128" t="s">
        <v>58</v>
      </c>
      <c r="G1268" s="128" t="str">
        <f>VLOOKUP(source[[#This Row],[lending_product_transform]],[3]Mapping!$B$4:$C$37,2,0)</f>
        <v>[VDS] - Payroll Cashloan</v>
      </c>
      <c r="H1268" s="128" t="str">
        <f>VLOOKUP(source[[#This Row],[lending_product_transform]],[3]Mapping!$B$3:$D$37,3,0)</f>
        <v>cashloan</v>
      </c>
      <c r="I1268" s="135">
        <v>42000000</v>
      </c>
    </row>
    <row r="1269" spans="1:9" x14ac:dyDescent="0.2">
      <c r="A1269" s="134">
        <v>45448</v>
      </c>
      <c r="B1269" s="135">
        <f>YEAR(source[[#This Row],[report_date]])</f>
        <v>2024</v>
      </c>
      <c r="C1269" s="136">
        <v>6</v>
      </c>
      <c r="D1269" s="136">
        <f t="shared" si="61"/>
        <v>23</v>
      </c>
      <c r="E1269" s="136">
        <f t="shared" si="62"/>
        <v>5</v>
      </c>
      <c r="F1269" s="128" t="s">
        <v>239</v>
      </c>
      <c r="G1269" s="128" t="str">
        <f>VLOOKUP(source[[#This Row],[lending_product_transform]],[3]Mapping!$B$4:$C$37,2,0)</f>
        <v>[VDS] - Cashloan LP</v>
      </c>
      <c r="H1269" s="128" t="str">
        <f>VLOOKUP(source[[#This Row],[lending_product_transform]],[3]Mapping!$B$3:$D$37,3,0)</f>
        <v>cashloan</v>
      </c>
      <c r="I1269" s="135">
        <v>160860000</v>
      </c>
    </row>
    <row r="1270" spans="1:9" x14ac:dyDescent="0.2">
      <c r="A1270" s="134">
        <v>45448</v>
      </c>
      <c r="B1270" s="135">
        <f>YEAR(source[[#This Row],[report_date]])</f>
        <v>2024</v>
      </c>
      <c r="C1270" s="136">
        <v>6</v>
      </c>
      <c r="D1270" s="136">
        <f t="shared" si="61"/>
        <v>23</v>
      </c>
      <c r="E1270" s="136">
        <f t="shared" si="62"/>
        <v>5</v>
      </c>
      <c r="F1270" s="128" t="s">
        <v>238</v>
      </c>
      <c r="G1270" s="128" t="str">
        <f>VLOOKUP(source[[#This Row],[lending_product_transform]],[3]Mapping!$B$4:$C$37,2,0)</f>
        <v>[VDS] - Cashloan LP</v>
      </c>
      <c r="H1270" s="128" t="str">
        <f>VLOOKUP(source[[#This Row],[lending_product_transform]],[3]Mapping!$B$3:$D$37,3,0)</f>
        <v>cashloan</v>
      </c>
      <c r="I1270" s="135">
        <v>0</v>
      </c>
    </row>
    <row r="1271" spans="1:9" x14ac:dyDescent="0.2">
      <c r="A1271" s="134">
        <v>45448</v>
      </c>
      <c r="B1271" s="135">
        <f>YEAR(source[[#This Row],[report_date]])</f>
        <v>2024</v>
      </c>
      <c r="C1271" s="136">
        <v>6</v>
      </c>
      <c r="D1271" s="136">
        <f t="shared" si="61"/>
        <v>23</v>
      </c>
      <c r="E1271" s="136">
        <f t="shared" si="62"/>
        <v>5</v>
      </c>
      <c r="F1271" s="128" t="s">
        <v>61</v>
      </c>
      <c r="G1271" s="128" t="str">
        <f>VLOOKUP(source[[#This Row],[lending_product_transform]],[3]Mapping!$B$4:$C$37,2,0)</f>
        <v>[VDS] - Payroll Payday</v>
      </c>
      <c r="H1271" s="128" t="str">
        <f>VLOOKUP(source[[#This Row],[lending_product_transform]],[3]Mapping!$B$3:$D$37,3,0)</f>
        <v>payday</v>
      </c>
      <c r="I1271" s="135">
        <v>50000000</v>
      </c>
    </row>
    <row r="1272" spans="1:9" x14ac:dyDescent="0.2">
      <c r="A1272" s="134">
        <v>45448</v>
      </c>
      <c r="B1272" s="135">
        <f>YEAR(source[[#This Row],[report_date]])</f>
        <v>2024</v>
      </c>
      <c r="C1272" s="136">
        <v>6</v>
      </c>
      <c r="D1272" s="136">
        <f t="shared" si="61"/>
        <v>23</v>
      </c>
      <c r="E1272" s="136">
        <f t="shared" si="62"/>
        <v>5</v>
      </c>
      <c r="F1272" s="128" t="s">
        <v>56</v>
      </c>
      <c r="G1272" s="128">
        <f>VLOOKUP(source[[#This Row],[lending_product_transform]],[3]Mapping!$B$4:$C$37,2,0)</f>
        <v>0</v>
      </c>
      <c r="H1272" s="128">
        <f>VLOOKUP(source[[#This Row],[lending_product_transform]],[3]Mapping!$B$3:$D$37,3,0)</f>
        <v>0</v>
      </c>
      <c r="I1272" s="135">
        <v>11440221174</v>
      </c>
    </row>
    <row r="1273" spans="1:9" x14ac:dyDescent="0.2">
      <c r="A1273" s="134">
        <v>45448</v>
      </c>
      <c r="B1273" s="135">
        <f>YEAR(source[[#This Row],[report_date]])</f>
        <v>2024</v>
      </c>
      <c r="C1273" s="136">
        <v>6</v>
      </c>
      <c r="D1273" s="136">
        <f t="shared" si="61"/>
        <v>23</v>
      </c>
      <c r="E1273" s="136">
        <f t="shared" si="62"/>
        <v>5</v>
      </c>
      <c r="F1273" s="128" t="s">
        <v>62</v>
      </c>
      <c r="G1273" s="128" t="str">
        <f>VLOOKUP(source[[#This Row],[lending_product_transform]],[3]Mapping!$B$4:$C$37,2,0)</f>
        <v>[VDS] - Paylater</v>
      </c>
      <c r="H1273" s="128" t="str">
        <f>VLOOKUP(source[[#This Row],[lending_product_transform]],[3]Mapping!$B$3:$D$37,3,0)</f>
        <v>paylater</v>
      </c>
      <c r="I1273" s="135">
        <v>74148298</v>
      </c>
    </row>
    <row r="1274" spans="1:9" x14ac:dyDescent="0.2">
      <c r="A1274" s="134">
        <v>45448</v>
      </c>
      <c r="B1274" s="135">
        <f>YEAR(source[[#This Row],[report_date]])</f>
        <v>2024</v>
      </c>
      <c r="C1274" s="136">
        <v>6</v>
      </c>
      <c r="D1274" s="136">
        <f t="shared" si="61"/>
        <v>23</v>
      </c>
      <c r="E1274" s="136">
        <f t="shared" si="62"/>
        <v>5</v>
      </c>
      <c r="F1274" s="128" t="s">
        <v>58</v>
      </c>
      <c r="G1274" s="128" t="str">
        <f>VLOOKUP(source[[#This Row],[lending_product_transform]],[3]Mapping!$B$4:$C$37,2,0)</f>
        <v>[VDS] - Payroll Cashloan</v>
      </c>
      <c r="H1274" s="128" t="str">
        <f>VLOOKUP(source[[#This Row],[lending_product_transform]],[3]Mapping!$B$3:$D$37,3,0)</f>
        <v>cashloan</v>
      </c>
      <c r="I1274" s="135">
        <v>36750000</v>
      </c>
    </row>
    <row r="1275" spans="1:9" x14ac:dyDescent="0.2">
      <c r="A1275" s="134">
        <v>45448</v>
      </c>
      <c r="B1275" s="135">
        <f>YEAR(source[[#This Row],[report_date]])</f>
        <v>2024</v>
      </c>
      <c r="C1275" s="136">
        <v>6</v>
      </c>
      <c r="D1275" s="136">
        <f t="shared" si="61"/>
        <v>23</v>
      </c>
      <c r="E1275" s="136">
        <f t="shared" si="62"/>
        <v>5</v>
      </c>
      <c r="F1275" s="128" t="s">
        <v>19</v>
      </c>
      <c r="G1275" s="128" t="str">
        <f>VLOOKUP(source[[#This Row],[lending_product_transform]],[3]Mapping!$B$4:$C$37,2,0)</f>
        <v>[VDS] - Payday</v>
      </c>
      <c r="H1275" s="128" t="str">
        <f>VLOOKUP(source[[#This Row],[lending_product_transform]],[3]Mapping!$B$3:$D$37,3,0)</f>
        <v>payday</v>
      </c>
      <c r="I1275" s="135">
        <v>3573500000</v>
      </c>
    </row>
    <row r="1276" spans="1:9" x14ac:dyDescent="0.2">
      <c r="A1276" s="134">
        <v>45448</v>
      </c>
      <c r="B1276" s="135">
        <f>YEAR(source[[#This Row],[report_date]])</f>
        <v>2024</v>
      </c>
      <c r="C1276" s="136">
        <v>6</v>
      </c>
      <c r="D1276" s="136">
        <f t="shared" si="61"/>
        <v>23</v>
      </c>
      <c r="E1276" s="136">
        <f t="shared" si="62"/>
        <v>5</v>
      </c>
      <c r="F1276" s="128" t="s">
        <v>65</v>
      </c>
      <c r="G1276" s="128" t="str">
        <f>VLOOKUP(source[[#This Row],[lending_product_transform]],[3]Mapping!$B$4:$C$37,2,0)</f>
        <v>[BE] - Cashloan</v>
      </c>
      <c r="H1276" s="128" t="str">
        <f>VLOOKUP(source[[#This Row],[lending_product_transform]],[3]Mapping!$B$3:$D$37,3,0)</f>
        <v>cashloan</v>
      </c>
      <c r="I1276" s="135">
        <v>297150000</v>
      </c>
    </row>
    <row r="1277" spans="1:9" x14ac:dyDescent="0.2">
      <c r="A1277" s="134">
        <v>45448</v>
      </c>
      <c r="B1277" s="135">
        <f>YEAR(source[[#This Row],[report_date]])</f>
        <v>2024</v>
      </c>
      <c r="C1277" s="136">
        <v>6</v>
      </c>
      <c r="D1277" s="136">
        <f t="shared" si="61"/>
        <v>23</v>
      </c>
      <c r="E1277" s="136">
        <f t="shared" si="62"/>
        <v>5</v>
      </c>
      <c r="F1277" s="128" t="s">
        <v>206</v>
      </c>
      <c r="G1277" s="128" t="str">
        <f>VLOOKUP(source[[#This Row],[lending_product_transform]],[3]Mapping!$B$4:$C$37,2,0)</f>
        <v>[NGS] - Cashloan</v>
      </c>
      <c r="H1277" s="128" t="str">
        <f>VLOOKUP(source[[#This Row],[lending_product_transform]],[3]Mapping!$B$3:$D$37,3,0)</f>
        <v>cashloan</v>
      </c>
      <c r="I1277" s="135">
        <v>53500000</v>
      </c>
    </row>
    <row r="1278" spans="1:9" x14ac:dyDescent="0.2">
      <c r="A1278" s="134">
        <v>45448</v>
      </c>
      <c r="B1278" s="135">
        <f>YEAR(source[[#This Row],[report_date]])</f>
        <v>2024</v>
      </c>
      <c r="C1278" s="136">
        <v>6</v>
      </c>
      <c r="D1278" s="136">
        <f t="shared" si="61"/>
        <v>23</v>
      </c>
      <c r="E1278" s="136">
        <f t="shared" si="62"/>
        <v>5</v>
      </c>
      <c r="F1278" s="128" t="s">
        <v>67</v>
      </c>
      <c r="G1278" s="128" t="str">
        <f>VLOOKUP(source[[#This Row],[lending_product_transform]],[3]Mapping!$B$4:$C$37,2,0)</f>
        <v>[Cake] - Overdraft</v>
      </c>
      <c r="H1278" s="128" t="str">
        <f>VLOOKUP(source[[#This Row],[lending_product_transform]],[3]Mapping!$B$3:$D$37,3,0)</f>
        <v>overdraft</v>
      </c>
      <c r="I1278" s="135">
        <v>2386222876</v>
      </c>
    </row>
    <row r="1279" spans="1:9" x14ac:dyDescent="0.2">
      <c r="A1279" s="134">
        <v>45448</v>
      </c>
      <c r="B1279" s="135">
        <f>YEAR(source[[#This Row],[report_date]])</f>
        <v>2024</v>
      </c>
      <c r="C1279" s="136">
        <v>6</v>
      </c>
      <c r="D1279" s="136">
        <f t="shared" si="61"/>
        <v>23</v>
      </c>
      <c r="E1279" s="136">
        <f t="shared" si="62"/>
        <v>5</v>
      </c>
      <c r="F1279" s="128" t="s">
        <v>11</v>
      </c>
      <c r="G1279" s="128" t="str">
        <f>VLOOKUP(source[[#This Row],[lending_product_transform]],[3]Mapping!$B$4:$C$37,2,0)</f>
        <v>[VDS] - Cashloan</v>
      </c>
      <c r="H1279" s="128" t="str">
        <f>VLOOKUP(source[[#This Row],[lending_product_transform]],[3]Mapping!$B$3:$D$37,3,0)</f>
        <v>cashloan</v>
      </c>
      <c r="I1279" s="135">
        <v>4808090000</v>
      </c>
    </row>
    <row r="1280" spans="1:9" x14ac:dyDescent="0.2">
      <c r="A1280" s="134">
        <v>45449</v>
      </c>
      <c r="B1280" s="135">
        <f>YEAR(source[[#This Row],[report_date]])</f>
        <v>2024</v>
      </c>
      <c r="C1280" s="136">
        <v>6</v>
      </c>
      <c r="D1280" s="136">
        <f t="shared" si="61"/>
        <v>23</v>
      </c>
      <c r="E1280" s="136">
        <f t="shared" si="62"/>
        <v>6</v>
      </c>
      <c r="F1280" s="128" t="s">
        <v>62</v>
      </c>
      <c r="G1280" s="128" t="str">
        <f>VLOOKUP(source[[#This Row],[lending_product_transform]],[3]Mapping!$B$4:$C$37,2,0)</f>
        <v>[VDS] - Paylater</v>
      </c>
      <c r="H1280" s="128" t="str">
        <f>VLOOKUP(source[[#This Row],[lending_product_transform]],[3]Mapping!$B$3:$D$37,3,0)</f>
        <v>paylater</v>
      </c>
      <c r="I1280" s="135">
        <v>100728013</v>
      </c>
    </row>
    <row r="1281" spans="1:9" x14ac:dyDescent="0.2">
      <c r="A1281" s="134">
        <v>45449</v>
      </c>
      <c r="B1281" s="135">
        <f>YEAR(source[[#This Row],[report_date]])</f>
        <v>2024</v>
      </c>
      <c r="C1281" s="136">
        <v>6</v>
      </c>
      <c r="D1281" s="136">
        <f t="shared" si="61"/>
        <v>23</v>
      </c>
      <c r="E1281" s="136">
        <f t="shared" si="62"/>
        <v>6</v>
      </c>
      <c r="F1281" s="128" t="s">
        <v>11</v>
      </c>
      <c r="G1281" s="128" t="str">
        <f>VLOOKUP(source[[#This Row],[lending_product_transform]],[3]Mapping!$B$4:$C$37,2,0)</f>
        <v>[VDS] - Cashloan</v>
      </c>
      <c r="H1281" s="128" t="str">
        <f>VLOOKUP(source[[#This Row],[lending_product_transform]],[3]Mapping!$B$3:$D$37,3,0)</f>
        <v>cashloan</v>
      </c>
      <c r="I1281" s="135">
        <v>4168540000</v>
      </c>
    </row>
    <row r="1282" spans="1:9" x14ac:dyDescent="0.2">
      <c r="A1282" s="134">
        <v>45449</v>
      </c>
      <c r="B1282" s="135">
        <f>YEAR(source[[#This Row],[report_date]])</f>
        <v>2024</v>
      </c>
      <c r="C1282" s="136">
        <v>6</v>
      </c>
      <c r="D1282" s="136">
        <f t="shared" si="61"/>
        <v>23</v>
      </c>
      <c r="E1282" s="136">
        <f t="shared" si="62"/>
        <v>6</v>
      </c>
      <c r="F1282" s="128" t="s">
        <v>61</v>
      </c>
      <c r="G1282" s="128" t="str">
        <f>VLOOKUP(source[[#This Row],[lending_product_transform]],[3]Mapping!$B$4:$C$37,2,0)</f>
        <v>[VDS] - Payroll Payday</v>
      </c>
      <c r="H1282" s="128" t="str">
        <f>VLOOKUP(source[[#This Row],[lending_product_transform]],[3]Mapping!$B$3:$D$37,3,0)</f>
        <v>payday</v>
      </c>
      <c r="I1282" s="135">
        <v>31000000</v>
      </c>
    </row>
    <row r="1283" spans="1:9" x14ac:dyDescent="0.2">
      <c r="A1283" s="134">
        <v>45449</v>
      </c>
      <c r="B1283" s="135">
        <f>YEAR(source[[#This Row],[report_date]])</f>
        <v>2024</v>
      </c>
      <c r="C1283" s="136">
        <v>6</v>
      </c>
      <c r="D1283" s="136">
        <f t="shared" ref="D1283:D1346" si="63">WEEKNUM(A1283,2)</f>
        <v>23</v>
      </c>
      <c r="E1283" s="136">
        <f t="shared" ref="E1283:E1346" si="64">DAY(A1283)</f>
        <v>6</v>
      </c>
      <c r="F1283" s="128" t="s">
        <v>239</v>
      </c>
      <c r="G1283" s="128" t="str">
        <f>VLOOKUP(source[[#This Row],[lending_product_transform]],[3]Mapping!$B$4:$C$37,2,0)</f>
        <v>[VDS] - Cashloan LP</v>
      </c>
      <c r="H1283" s="128" t="str">
        <f>VLOOKUP(source[[#This Row],[lending_product_transform]],[3]Mapping!$B$3:$D$37,3,0)</f>
        <v>cashloan</v>
      </c>
      <c r="I1283" s="135">
        <v>172640000</v>
      </c>
    </row>
    <row r="1284" spans="1:9" x14ac:dyDescent="0.2">
      <c r="A1284" s="134">
        <v>45449</v>
      </c>
      <c r="B1284" s="135">
        <f>YEAR(source[[#This Row],[report_date]])</f>
        <v>2024</v>
      </c>
      <c r="C1284" s="136">
        <v>6</v>
      </c>
      <c r="D1284" s="136">
        <f t="shared" si="63"/>
        <v>23</v>
      </c>
      <c r="E1284" s="136">
        <f t="shared" si="64"/>
        <v>6</v>
      </c>
      <c r="F1284" s="128" t="s">
        <v>206</v>
      </c>
      <c r="G1284" s="128" t="str">
        <f>VLOOKUP(source[[#This Row],[lending_product_transform]],[3]Mapping!$B$4:$C$37,2,0)</f>
        <v>[NGS] - Cashloan</v>
      </c>
      <c r="H1284" s="128" t="str">
        <f>VLOOKUP(source[[#This Row],[lending_product_transform]],[3]Mapping!$B$3:$D$37,3,0)</f>
        <v>cashloan</v>
      </c>
      <c r="I1284" s="135">
        <v>199990000</v>
      </c>
    </row>
    <row r="1285" spans="1:9" x14ac:dyDescent="0.2">
      <c r="A1285" s="134">
        <v>45449</v>
      </c>
      <c r="B1285" s="135">
        <f>YEAR(source[[#This Row],[report_date]])</f>
        <v>2024</v>
      </c>
      <c r="C1285" s="136">
        <v>6</v>
      </c>
      <c r="D1285" s="136">
        <f t="shared" si="63"/>
        <v>23</v>
      </c>
      <c r="E1285" s="136">
        <f t="shared" si="64"/>
        <v>6</v>
      </c>
      <c r="F1285" s="128" t="s">
        <v>19</v>
      </c>
      <c r="G1285" s="128" t="str">
        <f>VLOOKUP(source[[#This Row],[lending_product_transform]],[3]Mapping!$B$4:$C$37,2,0)</f>
        <v>[VDS] - Payday</v>
      </c>
      <c r="H1285" s="128" t="str">
        <f>VLOOKUP(source[[#This Row],[lending_product_transform]],[3]Mapping!$B$3:$D$37,3,0)</f>
        <v>payday</v>
      </c>
      <c r="I1285" s="135">
        <v>3314500000</v>
      </c>
    </row>
    <row r="1286" spans="1:9" x14ac:dyDescent="0.2">
      <c r="A1286" s="134">
        <v>45449</v>
      </c>
      <c r="B1286" s="135">
        <f>YEAR(source[[#This Row],[report_date]])</f>
        <v>2024</v>
      </c>
      <c r="C1286" s="136">
        <v>6</v>
      </c>
      <c r="D1286" s="136">
        <f t="shared" si="63"/>
        <v>23</v>
      </c>
      <c r="E1286" s="136">
        <f t="shared" si="64"/>
        <v>6</v>
      </c>
      <c r="F1286" s="128" t="s">
        <v>58</v>
      </c>
      <c r="G1286" s="128" t="str">
        <f>VLOOKUP(source[[#This Row],[lending_product_transform]],[3]Mapping!$B$4:$C$37,2,0)</f>
        <v>[VDS] - Payroll Cashloan</v>
      </c>
      <c r="H1286" s="128" t="str">
        <f>VLOOKUP(source[[#This Row],[lending_product_transform]],[3]Mapping!$B$3:$D$37,3,0)</f>
        <v>cashloan</v>
      </c>
      <c r="I1286" s="135">
        <v>25200000</v>
      </c>
    </row>
    <row r="1287" spans="1:9" x14ac:dyDescent="0.2">
      <c r="A1287" s="134">
        <v>45449</v>
      </c>
      <c r="B1287" s="135">
        <f>YEAR(source[[#This Row],[report_date]])</f>
        <v>2024</v>
      </c>
      <c r="C1287" s="136">
        <v>6</v>
      </c>
      <c r="D1287" s="136">
        <f t="shared" si="63"/>
        <v>23</v>
      </c>
      <c r="E1287" s="136">
        <f t="shared" si="64"/>
        <v>6</v>
      </c>
      <c r="F1287" s="128" t="s">
        <v>238</v>
      </c>
      <c r="G1287" s="128" t="str">
        <f>VLOOKUP(source[[#This Row],[lending_product_transform]],[3]Mapping!$B$4:$C$37,2,0)</f>
        <v>[VDS] - Cashloan LP</v>
      </c>
      <c r="H1287" s="128" t="str">
        <f>VLOOKUP(source[[#This Row],[lending_product_transform]],[3]Mapping!$B$3:$D$37,3,0)</f>
        <v>cashloan</v>
      </c>
      <c r="I1287" s="135">
        <v>31030000</v>
      </c>
    </row>
    <row r="1288" spans="1:9" x14ac:dyDescent="0.2">
      <c r="A1288" s="134">
        <v>45449</v>
      </c>
      <c r="B1288" s="135">
        <f>YEAR(source[[#This Row],[report_date]])</f>
        <v>2024</v>
      </c>
      <c r="C1288" s="136">
        <v>6</v>
      </c>
      <c r="D1288" s="136">
        <f t="shared" si="63"/>
        <v>23</v>
      </c>
      <c r="E1288" s="136">
        <f t="shared" si="64"/>
        <v>6</v>
      </c>
      <c r="F1288" s="128" t="s">
        <v>56</v>
      </c>
      <c r="G1288" s="128">
        <f>VLOOKUP(source[[#This Row],[lending_product_transform]],[3]Mapping!$B$4:$C$37,2,0)</f>
        <v>0</v>
      </c>
      <c r="H1288" s="128">
        <f>VLOOKUP(source[[#This Row],[lending_product_transform]],[3]Mapping!$B$3:$D$37,3,0)</f>
        <v>0</v>
      </c>
      <c r="I1288" s="135">
        <v>10398537295</v>
      </c>
    </row>
    <row r="1289" spans="1:9" x14ac:dyDescent="0.2">
      <c r="A1289" s="134">
        <v>45449</v>
      </c>
      <c r="B1289" s="135">
        <f>YEAR(source[[#This Row],[report_date]])</f>
        <v>2024</v>
      </c>
      <c r="C1289" s="136">
        <v>6</v>
      </c>
      <c r="D1289" s="136">
        <f t="shared" si="63"/>
        <v>23</v>
      </c>
      <c r="E1289" s="136">
        <f t="shared" si="64"/>
        <v>6</v>
      </c>
      <c r="F1289" s="128" t="s">
        <v>65</v>
      </c>
      <c r="G1289" s="128" t="str">
        <f>VLOOKUP(source[[#This Row],[lending_product_transform]],[3]Mapping!$B$4:$C$37,2,0)</f>
        <v>[BE] - Cashloan</v>
      </c>
      <c r="H1289" s="128" t="str">
        <f>VLOOKUP(source[[#This Row],[lending_product_transform]],[3]Mapping!$B$3:$D$37,3,0)</f>
        <v>cashloan</v>
      </c>
      <c r="I1289" s="135">
        <v>236800000</v>
      </c>
    </row>
    <row r="1290" spans="1:9" x14ac:dyDescent="0.2">
      <c r="A1290" s="134">
        <v>45449</v>
      </c>
      <c r="B1290" s="135">
        <f>YEAR(source[[#This Row],[report_date]])</f>
        <v>2024</v>
      </c>
      <c r="C1290" s="136">
        <v>6</v>
      </c>
      <c r="D1290" s="136">
        <f t="shared" si="63"/>
        <v>23</v>
      </c>
      <c r="E1290" s="136">
        <f t="shared" si="64"/>
        <v>6</v>
      </c>
      <c r="F1290" s="128" t="s">
        <v>67</v>
      </c>
      <c r="G1290" s="128" t="str">
        <f>VLOOKUP(source[[#This Row],[lending_product_transform]],[3]Mapping!$B$4:$C$37,2,0)</f>
        <v>[Cake] - Overdraft</v>
      </c>
      <c r="H1290" s="128" t="str">
        <f>VLOOKUP(source[[#This Row],[lending_product_transform]],[3]Mapping!$B$3:$D$37,3,0)</f>
        <v>overdraft</v>
      </c>
      <c r="I1290" s="135">
        <v>2118109282</v>
      </c>
    </row>
    <row r="1291" spans="1:9" x14ac:dyDescent="0.2">
      <c r="A1291" s="134">
        <v>45450</v>
      </c>
      <c r="B1291" s="135">
        <f>YEAR(source[[#This Row],[report_date]])</f>
        <v>2024</v>
      </c>
      <c r="C1291" s="136">
        <v>6</v>
      </c>
      <c r="D1291" s="136">
        <f t="shared" si="63"/>
        <v>23</v>
      </c>
      <c r="E1291" s="136">
        <f t="shared" si="64"/>
        <v>7</v>
      </c>
      <c r="F1291" s="128" t="s">
        <v>19</v>
      </c>
      <c r="G1291" s="128" t="str">
        <f>VLOOKUP(source[[#This Row],[lending_product_transform]],[3]Mapping!$B$4:$C$37,2,0)</f>
        <v>[VDS] - Payday</v>
      </c>
      <c r="H1291" s="128" t="str">
        <f>VLOOKUP(source[[#This Row],[lending_product_transform]],[3]Mapping!$B$3:$D$37,3,0)</f>
        <v>payday</v>
      </c>
      <c r="I1291" s="135">
        <v>3018500000</v>
      </c>
    </row>
    <row r="1292" spans="1:9" x14ac:dyDescent="0.2">
      <c r="A1292" s="134">
        <v>45450</v>
      </c>
      <c r="B1292" s="135">
        <f>YEAR(source[[#This Row],[report_date]])</f>
        <v>2024</v>
      </c>
      <c r="C1292" s="136">
        <v>6</v>
      </c>
      <c r="D1292" s="136">
        <f t="shared" si="63"/>
        <v>23</v>
      </c>
      <c r="E1292" s="136">
        <f t="shared" si="64"/>
        <v>7</v>
      </c>
      <c r="F1292" s="128" t="s">
        <v>67</v>
      </c>
      <c r="G1292" s="128" t="str">
        <f>VLOOKUP(source[[#This Row],[lending_product_transform]],[3]Mapping!$B$4:$C$37,2,0)</f>
        <v>[Cake] - Overdraft</v>
      </c>
      <c r="H1292" s="128" t="str">
        <f>VLOOKUP(source[[#This Row],[lending_product_transform]],[3]Mapping!$B$3:$D$37,3,0)</f>
        <v>overdraft</v>
      </c>
      <c r="I1292" s="135">
        <v>1975387485</v>
      </c>
    </row>
    <row r="1293" spans="1:9" x14ac:dyDescent="0.2">
      <c r="A1293" s="134">
        <v>45450</v>
      </c>
      <c r="B1293" s="135">
        <f>YEAR(source[[#This Row],[report_date]])</f>
        <v>2024</v>
      </c>
      <c r="C1293" s="136">
        <v>6</v>
      </c>
      <c r="D1293" s="136">
        <f t="shared" si="63"/>
        <v>23</v>
      </c>
      <c r="E1293" s="136">
        <f t="shared" si="64"/>
        <v>7</v>
      </c>
      <c r="F1293" s="128" t="s">
        <v>206</v>
      </c>
      <c r="G1293" s="128" t="str">
        <f>VLOOKUP(source[[#This Row],[lending_product_transform]],[3]Mapping!$B$4:$C$37,2,0)</f>
        <v>[NGS] - Cashloan</v>
      </c>
      <c r="H1293" s="128" t="str">
        <f>VLOOKUP(source[[#This Row],[lending_product_transform]],[3]Mapping!$B$3:$D$37,3,0)</f>
        <v>cashloan</v>
      </c>
      <c r="I1293" s="135">
        <v>310300000</v>
      </c>
    </row>
    <row r="1294" spans="1:9" x14ac:dyDescent="0.2">
      <c r="A1294" s="134">
        <v>45450</v>
      </c>
      <c r="B1294" s="135">
        <f>YEAR(source[[#This Row],[report_date]])</f>
        <v>2024</v>
      </c>
      <c r="C1294" s="136">
        <v>6</v>
      </c>
      <c r="D1294" s="136">
        <f t="shared" si="63"/>
        <v>23</v>
      </c>
      <c r="E1294" s="136">
        <f t="shared" si="64"/>
        <v>7</v>
      </c>
      <c r="F1294" s="128" t="s">
        <v>238</v>
      </c>
      <c r="G1294" s="128" t="str">
        <f>VLOOKUP(source[[#This Row],[lending_product_transform]],[3]Mapping!$B$4:$C$37,2,0)</f>
        <v>[VDS] - Cashloan LP</v>
      </c>
      <c r="H1294" s="128" t="str">
        <f>VLOOKUP(source[[#This Row],[lending_product_transform]],[3]Mapping!$B$3:$D$37,3,0)</f>
        <v>cashloan</v>
      </c>
      <c r="I1294" s="135">
        <v>34420000</v>
      </c>
    </row>
    <row r="1295" spans="1:9" x14ac:dyDescent="0.2">
      <c r="A1295" s="134">
        <v>45450</v>
      </c>
      <c r="B1295" s="135">
        <f>YEAR(source[[#This Row],[report_date]])</f>
        <v>2024</v>
      </c>
      <c r="C1295" s="136">
        <v>6</v>
      </c>
      <c r="D1295" s="136">
        <f t="shared" si="63"/>
        <v>23</v>
      </c>
      <c r="E1295" s="136">
        <f t="shared" si="64"/>
        <v>7</v>
      </c>
      <c r="F1295" s="128" t="s">
        <v>65</v>
      </c>
      <c r="G1295" s="128" t="str">
        <f>VLOOKUP(source[[#This Row],[lending_product_transform]],[3]Mapping!$B$4:$C$37,2,0)</f>
        <v>[BE] - Cashloan</v>
      </c>
      <c r="H1295" s="128" t="str">
        <f>VLOOKUP(source[[#This Row],[lending_product_transform]],[3]Mapping!$B$3:$D$37,3,0)</f>
        <v>cashloan</v>
      </c>
      <c r="I1295" s="135">
        <v>92400000</v>
      </c>
    </row>
    <row r="1296" spans="1:9" x14ac:dyDescent="0.2">
      <c r="A1296" s="134">
        <v>45450</v>
      </c>
      <c r="B1296" s="135">
        <f>YEAR(source[[#This Row],[report_date]])</f>
        <v>2024</v>
      </c>
      <c r="C1296" s="136">
        <v>6</v>
      </c>
      <c r="D1296" s="136">
        <f t="shared" si="63"/>
        <v>23</v>
      </c>
      <c r="E1296" s="136">
        <f t="shared" si="64"/>
        <v>7</v>
      </c>
      <c r="F1296" s="128" t="s">
        <v>58</v>
      </c>
      <c r="G1296" s="128" t="str">
        <f>VLOOKUP(source[[#This Row],[lending_product_transform]],[3]Mapping!$B$4:$C$37,2,0)</f>
        <v>[VDS] - Payroll Cashloan</v>
      </c>
      <c r="H1296" s="128" t="str">
        <f>VLOOKUP(source[[#This Row],[lending_product_transform]],[3]Mapping!$B$3:$D$37,3,0)</f>
        <v>cashloan</v>
      </c>
      <c r="I1296" s="135">
        <v>10500000</v>
      </c>
    </row>
    <row r="1297" spans="1:9" x14ac:dyDescent="0.2">
      <c r="A1297" s="134">
        <v>45450</v>
      </c>
      <c r="B1297" s="135">
        <f>YEAR(source[[#This Row],[report_date]])</f>
        <v>2024</v>
      </c>
      <c r="C1297" s="136">
        <v>6</v>
      </c>
      <c r="D1297" s="136">
        <f t="shared" si="63"/>
        <v>23</v>
      </c>
      <c r="E1297" s="136">
        <f t="shared" si="64"/>
        <v>7</v>
      </c>
      <c r="F1297" s="128" t="s">
        <v>61</v>
      </c>
      <c r="G1297" s="128" t="str">
        <f>VLOOKUP(source[[#This Row],[lending_product_transform]],[3]Mapping!$B$4:$C$37,2,0)</f>
        <v>[VDS] - Payroll Payday</v>
      </c>
      <c r="H1297" s="128" t="str">
        <f>VLOOKUP(source[[#This Row],[lending_product_transform]],[3]Mapping!$B$3:$D$37,3,0)</f>
        <v>payday</v>
      </c>
      <c r="I1297" s="135">
        <v>42000000</v>
      </c>
    </row>
    <row r="1298" spans="1:9" x14ac:dyDescent="0.2">
      <c r="A1298" s="134">
        <v>45450</v>
      </c>
      <c r="B1298" s="135">
        <f>YEAR(source[[#This Row],[report_date]])</f>
        <v>2024</v>
      </c>
      <c r="C1298" s="136">
        <v>6</v>
      </c>
      <c r="D1298" s="136">
        <f t="shared" si="63"/>
        <v>23</v>
      </c>
      <c r="E1298" s="136">
        <f t="shared" si="64"/>
        <v>7</v>
      </c>
      <c r="F1298" s="128" t="s">
        <v>11</v>
      </c>
      <c r="G1298" s="128" t="str">
        <f>VLOOKUP(source[[#This Row],[lending_product_transform]],[3]Mapping!$B$4:$C$37,2,0)</f>
        <v>[VDS] - Cashloan</v>
      </c>
      <c r="H1298" s="128" t="str">
        <f>VLOOKUP(source[[#This Row],[lending_product_transform]],[3]Mapping!$B$3:$D$37,3,0)</f>
        <v>cashloan</v>
      </c>
      <c r="I1298" s="135">
        <v>4081160000</v>
      </c>
    </row>
    <row r="1299" spans="1:9" x14ac:dyDescent="0.2">
      <c r="A1299" s="134">
        <v>45450</v>
      </c>
      <c r="B1299" s="135">
        <f>YEAR(source[[#This Row],[report_date]])</f>
        <v>2024</v>
      </c>
      <c r="C1299" s="136">
        <v>6</v>
      </c>
      <c r="D1299" s="136">
        <f t="shared" si="63"/>
        <v>23</v>
      </c>
      <c r="E1299" s="136">
        <f t="shared" si="64"/>
        <v>7</v>
      </c>
      <c r="F1299" s="128" t="s">
        <v>56</v>
      </c>
      <c r="G1299" s="128">
        <f>VLOOKUP(source[[#This Row],[lending_product_transform]],[3]Mapping!$B$4:$C$37,2,0)</f>
        <v>0</v>
      </c>
      <c r="H1299" s="128">
        <f>VLOOKUP(source[[#This Row],[lending_product_transform]],[3]Mapping!$B$3:$D$37,3,0)</f>
        <v>0</v>
      </c>
      <c r="I1299" s="135">
        <v>9774769392</v>
      </c>
    </row>
    <row r="1300" spans="1:9" x14ac:dyDescent="0.2">
      <c r="A1300" s="134">
        <v>45450</v>
      </c>
      <c r="B1300" s="135">
        <f>YEAR(source[[#This Row],[report_date]])</f>
        <v>2024</v>
      </c>
      <c r="C1300" s="136">
        <v>6</v>
      </c>
      <c r="D1300" s="136">
        <f t="shared" si="63"/>
        <v>23</v>
      </c>
      <c r="E1300" s="136">
        <f t="shared" si="64"/>
        <v>7</v>
      </c>
      <c r="F1300" s="128" t="s">
        <v>62</v>
      </c>
      <c r="G1300" s="128" t="str">
        <f>VLOOKUP(source[[#This Row],[lending_product_transform]],[3]Mapping!$B$4:$C$37,2,0)</f>
        <v>[VDS] - Paylater</v>
      </c>
      <c r="H1300" s="128" t="str">
        <f>VLOOKUP(source[[#This Row],[lending_product_transform]],[3]Mapping!$B$3:$D$37,3,0)</f>
        <v>paylater</v>
      </c>
      <c r="I1300" s="135">
        <v>99521907</v>
      </c>
    </row>
    <row r="1301" spans="1:9" x14ac:dyDescent="0.2">
      <c r="A1301" s="134">
        <v>45450</v>
      </c>
      <c r="B1301" s="135">
        <f>YEAR(source[[#This Row],[report_date]])</f>
        <v>2024</v>
      </c>
      <c r="C1301" s="136">
        <v>6</v>
      </c>
      <c r="D1301" s="136">
        <f t="shared" si="63"/>
        <v>23</v>
      </c>
      <c r="E1301" s="136">
        <f t="shared" si="64"/>
        <v>7</v>
      </c>
      <c r="F1301" s="128" t="s">
        <v>239</v>
      </c>
      <c r="G1301" s="128" t="str">
        <f>VLOOKUP(source[[#This Row],[lending_product_transform]],[3]Mapping!$B$4:$C$37,2,0)</f>
        <v>[VDS] - Cashloan LP</v>
      </c>
      <c r="H1301" s="128" t="str">
        <f>VLOOKUP(source[[#This Row],[lending_product_transform]],[3]Mapping!$B$3:$D$37,3,0)</f>
        <v>cashloan</v>
      </c>
      <c r="I1301" s="135">
        <v>110580000</v>
      </c>
    </row>
    <row r="1302" spans="1:9" x14ac:dyDescent="0.2">
      <c r="A1302" s="134">
        <v>45451</v>
      </c>
      <c r="B1302" s="135">
        <f>YEAR(source[[#This Row],[report_date]])</f>
        <v>2024</v>
      </c>
      <c r="C1302" s="136">
        <v>6</v>
      </c>
      <c r="D1302" s="136">
        <f t="shared" si="63"/>
        <v>23</v>
      </c>
      <c r="E1302" s="136">
        <f t="shared" si="64"/>
        <v>8</v>
      </c>
      <c r="F1302" s="128" t="s">
        <v>19</v>
      </c>
      <c r="G1302" s="128" t="str">
        <f>VLOOKUP(source[[#This Row],[lending_product_transform]],[3]Mapping!$B$4:$C$37,2,0)</f>
        <v>[VDS] - Payday</v>
      </c>
      <c r="H1302" s="128" t="str">
        <f>VLOOKUP(source[[#This Row],[lending_product_transform]],[3]Mapping!$B$3:$D$37,3,0)</f>
        <v>payday</v>
      </c>
      <c r="I1302" s="135">
        <v>2730500000</v>
      </c>
    </row>
    <row r="1303" spans="1:9" x14ac:dyDescent="0.2">
      <c r="A1303" s="134">
        <v>45451</v>
      </c>
      <c r="B1303" s="135">
        <f>YEAR(source[[#This Row],[report_date]])</f>
        <v>2024</v>
      </c>
      <c r="C1303" s="136">
        <v>6</v>
      </c>
      <c r="D1303" s="136">
        <f t="shared" si="63"/>
        <v>23</v>
      </c>
      <c r="E1303" s="136">
        <f t="shared" si="64"/>
        <v>8</v>
      </c>
      <c r="F1303" s="128" t="s">
        <v>11</v>
      </c>
      <c r="G1303" s="128" t="str">
        <f>VLOOKUP(source[[#This Row],[lending_product_transform]],[3]Mapping!$B$4:$C$37,2,0)</f>
        <v>[VDS] - Cashloan</v>
      </c>
      <c r="H1303" s="128" t="str">
        <f>VLOOKUP(source[[#This Row],[lending_product_transform]],[3]Mapping!$B$3:$D$37,3,0)</f>
        <v>cashloan</v>
      </c>
      <c r="I1303" s="135">
        <v>4452720000</v>
      </c>
    </row>
    <row r="1304" spans="1:9" x14ac:dyDescent="0.2">
      <c r="A1304" s="134">
        <v>45451</v>
      </c>
      <c r="B1304" s="135">
        <f>YEAR(source[[#This Row],[report_date]])</f>
        <v>2024</v>
      </c>
      <c r="C1304" s="136">
        <v>6</v>
      </c>
      <c r="D1304" s="136">
        <f t="shared" si="63"/>
        <v>23</v>
      </c>
      <c r="E1304" s="136">
        <f t="shared" si="64"/>
        <v>8</v>
      </c>
      <c r="F1304" s="128" t="s">
        <v>67</v>
      </c>
      <c r="G1304" s="128" t="str">
        <f>VLOOKUP(source[[#This Row],[lending_product_transform]],[3]Mapping!$B$4:$C$37,2,0)</f>
        <v>[Cake] - Overdraft</v>
      </c>
      <c r="H1304" s="128" t="str">
        <f>VLOOKUP(source[[#This Row],[lending_product_transform]],[3]Mapping!$B$3:$D$37,3,0)</f>
        <v>overdraft</v>
      </c>
      <c r="I1304" s="135">
        <v>1817924991</v>
      </c>
    </row>
    <row r="1305" spans="1:9" x14ac:dyDescent="0.2">
      <c r="A1305" s="134">
        <v>45451</v>
      </c>
      <c r="B1305" s="135">
        <f>YEAR(source[[#This Row],[report_date]])</f>
        <v>2024</v>
      </c>
      <c r="C1305" s="136">
        <v>6</v>
      </c>
      <c r="D1305" s="136">
        <f t="shared" si="63"/>
        <v>23</v>
      </c>
      <c r="E1305" s="136">
        <f t="shared" si="64"/>
        <v>8</v>
      </c>
      <c r="F1305" s="128" t="s">
        <v>65</v>
      </c>
      <c r="G1305" s="128" t="str">
        <f>VLOOKUP(source[[#This Row],[lending_product_transform]],[3]Mapping!$B$4:$C$37,2,0)</f>
        <v>[BE] - Cashloan</v>
      </c>
      <c r="H1305" s="128" t="str">
        <f>VLOOKUP(source[[#This Row],[lending_product_transform]],[3]Mapping!$B$3:$D$37,3,0)</f>
        <v>cashloan</v>
      </c>
      <c r="I1305" s="135">
        <v>177600000</v>
      </c>
    </row>
    <row r="1306" spans="1:9" x14ac:dyDescent="0.2">
      <c r="A1306" s="134">
        <v>45451</v>
      </c>
      <c r="B1306" s="135">
        <f>YEAR(source[[#This Row],[report_date]])</f>
        <v>2024</v>
      </c>
      <c r="C1306" s="136">
        <v>6</v>
      </c>
      <c r="D1306" s="136">
        <f t="shared" si="63"/>
        <v>23</v>
      </c>
      <c r="E1306" s="136">
        <f t="shared" si="64"/>
        <v>8</v>
      </c>
      <c r="F1306" s="128" t="s">
        <v>56</v>
      </c>
      <c r="G1306" s="128">
        <f>VLOOKUP(source[[#This Row],[lending_product_transform]],[3]Mapping!$B$4:$C$37,2,0)</f>
        <v>0</v>
      </c>
      <c r="H1306" s="128">
        <f>VLOOKUP(source[[#This Row],[lending_product_transform]],[3]Mapping!$B$3:$D$37,3,0)</f>
        <v>0</v>
      </c>
      <c r="I1306" s="135">
        <v>9925566411</v>
      </c>
    </row>
    <row r="1307" spans="1:9" x14ac:dyDescent="0.2">
      <c r="A1307" s="134">
        <v>45451</v>
      </c>
      <c r="B1307" s="135">
        <f>YEAR(source[[#This Row],[report_date]])</f>
        <v>2024</v>
      </c>
      <c r="C1307" s="136">
        <v>6</v>
      </c>
      <c r="D1307" s="136">
        <f t="shared" si="63"/>
        <v>23</v>
      </c>
      <c r="E1307" s="136">
        <f t="shared" si="64"/>
        <v>8</v>
      </c>
      <c r="F1307" s="128" t="s">
        <v>61</v>
      </c>
      <c r="G1307" s="128" t="str">
        <f>VLOOKUP(source[[#This Row],[lending_product_transform]],[3]Mapping!$B$4:$C$37,2,0)</f>
        <v>[VDS] - Payroll Payday</v>
      </c>
      <c r="H1307" s="128" t="str">
        <f>VLOOKUP(source[[#This Row],[lending_product_transform]],[3]Mapping!$B$3:$D$37,3,0)</f>
        <v>payday</v>
      </c>
      <c r="I1307" s="135">
        <v>23000000</v>
      </c>
    </row>
    <row r="1308" spans="1:9" x14ac:dyDescent="0.2">
      <c r="A1308" s="134">
        <v>45451</v>
      </c>
      <c r="B1308" s="135">
        <f>YEAR(source[[#This Row],[report_date]])</f>
        <v>2024</v>
      </c>
      <c r="C1308" s="136">
        <v>6</v>
      </c>
      <c r="D1308" s="136">
        <f t="shared" si="63"/>
        <v>23</v>
      </c>
      <c r="E1308" s="136">
        <f t="shared" si="64"/>
        <v>8</v>
      </c>
      <c r="F1308" s="128" t="s">
        <v>239</v>
      </c>
      <c r="G1308" s="128" t="str">
        <f>VLOOKUP(source[[#This Row],[lending_product_transform]],[3]Mapping!$B$4:$C$37,2,0)</f>
        <v>[VDS] - Cashloan LP</v>
      </c>
      <c r="H1308" s="128" t="str">
        <f>VLOOKUP(source[[#This Row],[lending_product_transform]],[3]Mapping!$B$3:$D$37,3,0)</f>
        <v>cashloan</v>
      </c>
      <c r="I1308" s="135">
        <v>94900000</v>
      </c>
    </row>
    <row r="1309" spans="1:9" x14ac:dyDescent="0.2">
      <c r="A1309" s="134">
        <v>45451</v>
      </c>
      <c r="B1309" s="135">
        <f>YEAR(source[[#This Row],[report_date]])</f>
        <v>2024</v>
      </c>
      <c r="C1309" s="136">
        <v>6</v>
      </c>
      <c r="D1309" s="136">
        <f t="shared" si="63"/>
        <v>23</v>
      </c>
      <c r="E1309" s="136">
        <f t="shared" si="64"/>
        <v>8</v>
      </c>
      <c r="F1309" s="128" t="s">
        <v>58</v>
      </c>
      <c r="G1309" s="128" t="str">
        <f>VLOOKUP(source[[#This Row],[lending_product_transform]],[3]Mapping!$B$4:$C$37,2,0)</f>
        <v>[VDS] - Payroll Cashloan</v>
      </c>
      <c r="H1309" s="128" t="str">
        <f>VLOOKUP(source[[#This Row],[lending_product_transform]],[3]Mapping!$B$3:$D$37,3,0)</f>
        <v>cashloan</v>
      </c>
      <c r="I1309" s="135">
        <v>10500000</v>
      </c>
    </row>
    <row r="1310" spans="1:9" x14ac:dyDescent="0.2">
      <c r="A1310" s="134">
        <v>45451</v>
      </c>
      <c r="B1310" s="135">
        <f>YEAR(source[[#This Row],[report_date]])</f>
        <v>2024</v>
      </c>
      <c r="C1310" s="136">
        <v>6</v>
      </c>
      <c r="D1310" s="136">
        <f t="shared" si="63"/>
        <v>23</v>
      </c>
      <c r="E1310" s="136">
        <f t="shared" si="64"/>
        <v>8</v>
      </c>
      <c r="F1310" s="128" t="s">
        <v>238</v>
      </c>
      <c r="G1310" s="128" t="str">
        <f>VLOOKUP(source[[#This Row],[lending_product_transform]],[3]Mapping!$B$4:$C$37,2,0)</f>
        <v>[VDS] - Cashloan LP</v>
      </c>
      <c r="H1310" s="128" t="str">
        <f>VLOOKUP(source[[#This Row],[lending_product_transform]],[3]Mapping!$B$3:$D$37,3,0)</f>
        <v>cashloan</v>
      </c>
      <c r="I1310" s="135">
        <v>75970000</v>
      </c>
    </row>
    <row r="1311" spans="1:9" x14ac:dyDescent="0.2">
      <c r="A1311" s="134">
        <v>45451</v>
      </c>
      <c r="B1311" s="135">
        <f>YEAR(source[[#This Row],[report_date]])</f>
        <v>2024</v>
      </c>
      <c r="C1311" s="136">
        <v>6</v>
      </c>
      <c r="D1311" s="136">
        <f t="shared" si="63"/>
        <v>23</v>
      </c>
      <c r="E1311" s="136">
        <f t="shared" si="64"/>
        <v>8</v>
      </c>
      <c r="F1311" s="128" t="s">
        <v>206</v>
      </c>
      <c r="G1311" s="128" t="str">
        <f>VLOOKUP(source[[#This Row],[lending_product_transform]],[3]Mapping!$B$4:$C$37,2,0)</f>
        <v>[NGS] - Cashloan</v>
      </c>
      <c r="H1311" s="128" t="str">
        <f>VLOOKUP(source[[#This Row],[lending_product_transform]],[3]Mapping!$B$3:$D$37,3,0)</f>
        <v>cashloan</v>
      </c>
      <c r="I1311" s="135">
        <v>463310000</v>
      </c>
    </row>
    <row r="1312" spans="1:9" x14ac:dyDescent="0.2">
      <c r="A1312" s="134">
        <v>45451</v>
      </c>
      <c r="B1312" s="135">
        <f>YEAR(source[[#This Row],[report_date]])</f>
        <v>2024</v>
      </c>
      <c r="C1312" s="136">
        <v>6</v>
      </c>
      <c r="D1312" s="136">
        <f t="shared" si="63"/>
        <v>23</v>
      </c>
      <c r="E1312" s="136">
        <f t="shared" si="64"/>
        <v>8</v>
      </c>
      <c r="F1312" s="128" t="s">
        <v>62</v>
      </c>
      <c r="G1312" s="128" t="str">
        <f>VLOOKUP(source[[#This Row],[lending_product_transform]],[3]Mapping!$B$4:$C$37,2,0)</f>
        <v>[VDS] - Paylater</v>
      </c>
      <c r="H1312" s="128" t="str">
        <f>VLOOKUP(source[[#This Row],[lending_product_transform]],[3]Mapping!$B$3:$D$37,3,0)</f>
        <v>paylater</v>
      </c>
      <c r="I1312" s="135">
        <v>79141420</v>
      </c>
    </row>
    <row r="1313" spans="1:9" x14ac:dyDescent="0.2">
      <c r="A1313" s="134">
        <v>45452</v>
      </c>
      <c r="B1313" s="135">
        <f>YEAR(source[[#This Row],[report_date]])</f>
        <v>2024</v>
      </c>
      <c r="C1313" s="136">
        <v>6</v>
      </c>
      <c r="D1313" s="136">
        <f t="shared" si="63"/>
        <v>23</v>
      </c>
      <c r="E1313" s="136">
        <f t="shared" si="64"/>
        <v>9</v>
      </c>
      <c r="F1313" s="128" t="s">
        <v>206</v>
      </c>
      <c r="G1313" s="128" t="str">
        <f>VLOOKUP(source[[#This Row],[lending_product_transform]],[3]Mapping!$B$4:$C$37,2,0)</f>
        <v>[NGS] - Cashloan</v>
      </c>
      <c r="H1313" s="128" t="str">
        <f>VLOOKUP(source[[#This Row],[lending_product_transform]],[3]Mapping!$B$3:$D$37,3,0)</f>
        <v>cashloan</v>
      </c>
      <c r="I1313" s="135">
        <v>40660000</v>
      </c>
    </row>
    <row r="1314" spans="1:9" x14ac:dyDescent="0.2">
      <c r="A1314" s="134">
        <v>45452</v>
      </c>
      <c r="B1314" s="135">
        <f>YEAR(source[[#This Row],[report_date]])</f>
        <v>2024</v>
      </c>
      <c r="C1314" s="136">
        <v>6</v>
      </c>
      <c r="D1314" s="136">
        <f t="shared" si="63"/>
        <v>23</v>
      </c>
      <c r="E1314" s="136">
        <f t="shared" si="64"/>
        <v>9</v>
      </c>
      <c r="F1314" s="128" t="s">
        <v>58</v>
      </c>
      <c r="G1314" s="128" t="str">
        <f>VLOOKUP(source[[#This Row],[lending_product_transform]],[3]Mapping!$B$4:$C$37,2,0)</f>
        <v>[VDS] - Payroll Cashloan</v>
      </c>
      <c r="H1314" s="128" t="str">
        <f>VLOOKUP(source[[#This Row],[lending_product_transform]],[3]Mapping!$B$3:$D$37,3,0)</f>
        <v>cashloan</v>
      </c>
      <c r="I1314" s="135">
        <v>52500000</v>
      </c>
    </row>
    <row r="1315" spans="1:9" x14ac:dyDescent="0.2">
      <c r="A1315" s="134">
        <v>45452</v>
      </c>
      <c r="B1315" s="135">
        <f>YEAR(source[[#This Row],[report_date]])</f>
        <v>2024</v>
      </c>
      <c r="C1315" s="136">
        <v>6</v>
      </c>
      <c r="D1315" s="136">
        <f t="shared" si="63"/>
        <v>23</v>
      </c>
      <c r="E1315" s="136">
        <f t="shared" si="64"/>
        <v>9</v>
      </c>
      <c r="F1315" s="128" t="s">
        <v>62</v>
      </c>
      <c r="G1315" s="128" t="str">
        <f>VLOOKUP(source[[#This Row],[lending_product_transform]],[3]Mapping!$B$4:$C$37,2,0)</f>
        <v>[VDS] - Paylater</v>
      </c>
      <c r="H1315" s="128" t="str">
        <f>VLOOKUP(source[[#This Row],[lending_product_transform]],[3]Mapping!$B$3:$D$37,3,0)</f>
        <v>paylater</v>
      </c>
      <c r="I1315" s="135">
        <v>46261744</v>
      </c>
    </row>
    <row r="1316" spans="1:9" x14ac:dyDescent="0.2">
      <c r="A1316" s="134">
        <v>45452</v>
      </c>
      <c r="B1316" s="135">
        <f>YEAR(source[[#This Row],[report_date]])</f>
        <v>2024</v>
      </c>
      <c r="C1316" s="136">
        <v>6</v>
      </c>
      <c r="D1316" s="136">
        <f t="shared" si="63"/>
        <v>23</v>
      </c>
      <c r="E1316" s="136">
        <f t="shared" si="64"/>
        <v>9</v>
      </c>
      <c r="F1316" s="128" t="s">
        <v>56</v>
      </c>
      <c r="G1316" s="128">
        <f>VLOOKUP(source[[#This Row],[lending_product_transform]],[3]Mapping!$B$4:$C$37,2,0)</f>
        <v>0</v>
      </c>
      <c r="H1316" s="128">
        <f>VLOOKUP(source[[#This Row],[lending_product_transform]],[3]Mapping!$B$3:$D$37,3,0)</f>
        <v>0</v>
      </c>
      <c r="I1316" s="135">
        <v>8134430087</v>
      </c>
    </row>
    <row r="1317" spans="1:9" x14ac:dyDescent="0.2">
      <c r="A1317" s="134">
        <v>45452</v>
      </c>
      <c r="B1317" s="135">
        <f>YEAR(source[[#This Row],[report_date]])</f>
        <v>2024</v>
      </c>
      <c r="C1317" s="136">
        <v>6</v>
      </c>
      <c r="D1317" s="136">
        <f t="shared" si="63"/>
        <v>23</v>
      </c>
      <c r="E1317" s="136">
        <f t="shared" si="64"/>
        <v>9</v>
      </c>
      <c r="F1317" s="128" t="s">
        <v>61</v>
      </c>
      <c r="G1317" s="128" t="str">
        <f>VLOOKUP(source[[#This Row],[lending_product_transform]],[3]Mapping!$B$4:$C$37,2,0)</f>
        <v>[VDS] - Payroll Payday</v>
      </c>
      <c r="H1317" s="128" t="str">
        <f>VLOOKUP(source[[#This Row],[lending_product_transform]],[3]Mapping!$B$3:$D$37,3,0)</f>
        <v>payday</v>
      </c>
      <c r="I1317" s="135">
        <v>34000000</v>
      </c>
    </row>
    <row r="1318" spans="1:9" x14ac:dyDescent="0.2">
      <c r="A1318" s="134">
        <v>45452</v>
      </c>
      <c r="B1318" s="135">
        <f>YEAR(source[[#This Row],[report_date]])</f>
        <v>2024</v>
      </c>
      <c r="C1318" s="136">
        <v>6</v>
      </c>
      <c r="D1318" s="136">
        <f t="shared" si="63"/>
        <v>23</v>
      </c>
      <c r="E1318" s="136">
        <f t="shared" si="64"/>
        <v>9</v>
      </c>
      <c r="F1318" s="128" t="s">
        <v>65</v>
      </c>
      <c r="G1318" s="128" t="str">
        <f>VLOOKUP(source[[#This Row],[lending_product_transform]],[3]Mapping!$B$4:$C$37,2,0)</f>
        <v>[BE] - Cashloan</v>
      </c>
      <c r="H1318" s="128" t="str">
        <f>VLOOKUP(source[[#This Row],[lending_product_transform]],[3]Mapping!$B$3:$D$37,3,0)</f>
        <v>cashloan</v>
      </c>
      <c r="I1318" s="135">
        <v>131250000</v>
      </c>
    </row>
    <row r="1319" spans="1:9" x14ac:dyDescent="0.2">
      <c r="A1319" s="134">
        <v>45452</v>
      </c>
      <c r="B1319" s="135">
        <f>YEAR(source[[#This Row],[report_date]])</f>
        <v>2024</v>
      </c>
      <c r="C1319" s="136">
        <v>6</v>
      </c>
      <c r="D1319" s="136">
        <f t="shared" si="63"/>
        <v>23</v>
      </c>
      <c r="E1319" s="136">
        <f t="shared" si="64"/>
        <v>9</v>
      </c>
      <c r="F1319" s="128" t="s">
        <v>238</v>
      </c>
      <c r="G1319" s="128" t="str">
        <f>VLOOKUP(source[[#This Row],[lending_product_transform]],[3]Mapping!$B$4:$C$37,2,0)</f>
        <v>[VDS] - Cashloan LP</v>
      </c>
      <c r="H1319" s="128" t="str">
        <f>VLOOKUP(source[[#This Row],[lending_product_transform]],[3]Mapping!$B$3:$D$37,3,0)</f>
        <v>cashloan</v>
      </c>
      <c r="I1319" s="135">
        <v>21400000</v>
      </c>
    </row>
    <row r="1320" spans="1:9" x14ac:dyDescent="0.2">
      <c r="A1320" s="134">
        <v>45452</v>
      </c>
      <c r="B1320" s="135">
        <f>YEAR(source[[#This Row],[report_date]])</f>
        <v>2024</v>
      </c>
      <c r="C1320" s="136">
        <v>6</v>
      </c>
      <c r="D1320" s="136">
        <f t="shared" si="63"/>
        <v>23</v>
      </c>
      <c r="E1320" s="136">
        <f t="shared" si="64"/>
        <v>9</v>
      </c>
      <c r="F1320" s="128" t="s">
        <v>239</v>
      </c>
      <c r="G1320" s="128" t="str">
        <f>VLOOKUP(source[[#This Row],[lending_product_transform]],[3]Mapping!$B$4:$C$37,2,0)</f>
        <v>[VDS] - Cashloan LP</v>
      </c>
      <c r="H1320" s="128" t="str">
        <f>VLOOKUP(source[[#This Row],[lending_product_transform]],[3]Mapping!$B$3:$D$37,3,0)</f>
        <v>cashloan</v>
      </c>
      <c r="I1320" s="135">
        <v>121980000</v>
      </c>
    </row>
    <row r="1321" spans="1:9" x14ac:dyDescent="0.2">
      <c r="A1321" s="134">
        <v>45452</v>
      </c>
      <c r="B1321" s="135">
        <f>YEAR(source[[#This Row],[report_date]])</f>
        <v>2024</v>
      </c>
      <c r="C1321" s="136">
        <v>6</v>
      </c>
      <c r="D1321" s="136">
        <f t="shared" si="63"/>
        <v>23</v>
      </c>
      <c r="E1321" s="136">
        <f t="shared" si="64"/>
        <v>9</v>
      </c>
      <c r="F1321" s="128" t="s">
        <v>19</v>
      </c>
      <c r="G1321" s="128" t="str">
        <f>VLOOKUP(source[[#This Row],[lending_product_transform]],[3]Mapping!$B$4:$C$37,2,0)</f>
        <v>[VDS] - Payday</v>
      </c>
      <c r="H1321" s="128" t="str">
        <f>VLOOKUP(source[[#This Row],[lending_product_transform]],[3]Mapping!$B$3:$D$37,3,0)</f>
        <v>payday</v>
      </c>
      <c r="I1321" s="135">
        <v>2280500000</v>
      </c>
    </row>
    <row r="1322" spans="1:9" x14ac:dyDescent="0.2">
      <c r="A1322" s="134">
        <v>45452</v>
      </c>
      <c r="B1322" s="135">
        <f>YEAR(source[[#This Row],[report_date]])</f>
        <v>2024</v>
      </c>
      <c r="C1322" s="136">
        <v>6</v>
      </c>
      <c r="D1322" s="136">
        <f t="shared" si="63"/>
        <v>23</v>
      </c>
      <c r="E1322" s="136">
        <f t="shared" si="64"/>
        <v>9</v>
      </c>
      <c r="F1322" s="128" t="s">
        <v>67</v>
      </c>
      <c r="G1322" s="128" t="str">
        <f>VLOOKUP(source[[#This Row],[lending_product_transform]],[3]Mapping!$B$4:$C$37,2,0)</f>
        <v>[Cake] - Overdraft</v>
      </c>
      <c r="H1322" s="128" t="str">
        <f>VLOOKUP(source[[#This Row],[lending_product_transform]],[3]Mapping!$B$3:$D$37,3,0)</f>
        <v>overdraft</v>
      </c>
      <c r="I1322" s="135">
        <v>1888048343</v>
      </c>
    </row>
    <row r="1323" spans="1:9" x14ac:dyDescent="0.2">
      <c r="A1323" s="134">
        <v>45452</v>
      </c>
      <c r="B1323" s="135">
        <f>YEAR(source[[#This Row],[report_date]])</f>
        <v>2024</v>
      </c>
      <c r="C1323" s="136">
        <v>6</v>
      </c>
      <c r="D1323" s="136">
        <f t="shared" si="63"/>
        <v>23</v>
      </c>
      <c r="E1323" s="136">
        <f t="shared" si="64"/>
        <v>9</v>
      </c>
      <c r="F1323" s="128" t="s">
        <v>11</v>
      </c>
      <c r="G1323" s="128" t="str">
        <f>VLOOKUP(source[[#This Row],[lending_product_transform]],[3]Mapping!$B$4:$C$37,2,0)</f>
        <v>[VDS] - Cashloan</v>
      </c>
      <c r="H1323" s="128" t="str">
        <f>VLOOKUP(source[[#This Row],[lending_product_transform]],[3]Mapping!$B$3:$D$37,3,0)</f>
        <v>cashloan</v>
      </c>
      <c r="I1323" s="135">
        <v>3517830000</v>
      </c>
    </row>
    <row r="1324" spans="1:9" x14ac:dyDescent="0.2">
      <c r="A1324" s="134">
        <v>45453</v>
      </c>
      <c r="B1324" s="135">
        <f>YEAR(source[[#This Row],[report_date]])</f>
        <v>2024</v>
      </c>
      <c r="C1324" s="136">
        <v>6</v>
      </c>
      <c r="D1324" s="136">
        <f t="shared" si="63"/>
        <v>24</v>
      </c>
      <c r="E1324" s="136">
        <f t="shared" si="64"/>
        <v>10</v>
      </c>
      <c r="F1324" s="128" t="s">
        <v>11</v>
      </c>
      <c r="G1324" s="128" t="str">
        <f>VLOOKUP(source[[#This Row],[lending_product_transform]],[3]Mapping!$B$4:$C$37,2,0)</f>
        <v>[VDS] - Cashloan</v>
      </c>
      <c r="H1324" s="128" t="str">
        <f>VLOOKUP(source[[#This Row],[lending_product_transform]],[3]Mapping!$B$3:$D$37,3,0)</f>
        <v>cashloan</v>
      </c>
      <c r="I1324" s="135">
        <v>5257830000</v>
      </c>
    </row>
    <row r="1325" spans="1:9" x14ac:dyDescent="0.2">
      <c r="A1325" s="134">
        <v>45453</v>
      </c>
      <c r="B1325" s="135">
        <f>YEAR(source[[#This Row],[report_date]])</f>
        <v>2024</v>
      </c>
      <c r="C1325" s="136">
        <v>6</v>
      </c>
      <c r="D1325" s="136">
        <f t="shared" si="63"/>
        <v>24</v>
      </c>
      <c r="E1325" s="136">
        <f t="shared" si="64"/>
        <v>10</v>
      </c>
      <c r="F1325" s="128" t="s">
        <v>206</v>
      </c>
      <c r="G1325" s="128" t="str">
        <f>VLOOKUP(source[[#This Row],[lending_product_transform]],[3]Mapping!$B$4:$C$37,2,0)</f>
        <v>[NGS] - Cashloan</v>
      </c>
      <c r="H1325" s="128" t="str">
        <f>VLOOKUP(source[[#This Row],[lending_product_transform]],[3]Mapping!$B$3:$D$37,3,0)</f>
        <v>cashloan</v>
      </c>
      <c r="I1325" s="135">
        <v>512530000</v>
      </c>
    </row>
    <row r="1326" spans="1:9" x14ac:dyDescent="0.2">
      <c r="A1326" s="134">
        <v>45453</v>
      </c>
      <c r="B1326" s="135">
        <f>YEAR(source[[#This Row],[report_date]])</f>
        <v>2024</v>
      </c>
      <c r="C1326" s="136">
        <v>6</v>
      </c>
      <c r="D1326" s="136">
        <f t="shared" si="63"/>
        <v>24</v>
      </c>
      <c r="E1326" s="136">
        <f t="shared" si="64"/>
        <v>10</v>
      </c>
      <c r="F1326" s="128" t="s">
        <v>58</v>
      </c>
      <c r="G1326" s="128" t="str">
        <f>VLOOKUP(source[[#This Row],[lending_product_transform]],[3]Mapping!$B$4:$C$37,2,0)</f>
        <v>[VDS] - Payroll Cashloan</v>
      </c>
      <c r="H1326" s="128" t="str">
        <f>VLOOKUP(source[[#This Row],[lending_product_transform]],[3]Mapping!$B$3:$D$37,3,0)</f>
        <v>cashloan</v>
      </c>
      <c r="I1326" s="135">
        <v>10500000</v>
      </c>
    </row>
    <row r="1327" spans="1:9" x14ac:dyDescent="0.2">
      <c r="A1327" s="134">
        <v>45453</v>
      </c>
      <c r="B1327" s="135">
        <f>YEAR(source[[#This Row],[report_date]])</f>
        <v>2024</v>
      </c>
      <c r="C1327" s="136">
        <v>6</v>
      </c>
      <c r="D1327" s="136">
        <f t="shared" si="63"/>
        <v>24</v>
      </c>
      <c r="E1327" s="136">
        <f t="shared" si="64"/>
        <v>10</v>
      </c>
      <c r="F1327" s="128" t="s">
        <v>67</v>
      </c>
      <c r="G1327" s="128" t="str">
        <f>VLOOKUP(source[[#This Row],[lending_product_transform]],[3]Mapping!$B$4:$C$37,2,0)</f>
        <v>[Cake] - Overdraft</v>
      </c>
      <c r="H1327" s="128" t="str">
        <f>VLOOKUP(source[[#This Row],[lending_product_transform]],[3]Mapping!$B$3:$D$37,3,0)</f>
        <v>overdraft</v>
      </c>
      <c r="I1327" s="135">
        <v>2457935552</v>
      </c>
    </row>
    <row r="1328" spans="1:9" x14ac:dyDescent="0.2">
      <c r="A1328" s="134">
        <v>45453</v>
      </c>
      <c r="B1328" s="135">
        <f>YEAR(source[[#This Row],[report_date]])</f>
        <v>2024</v>
      </c>
      <c r="C1328" s="136">
        <v>6</v>
      </c>
      <c r="D1328" s="136">
        <f t="shared" si="63"/>
        <v>24</v>
      </c>
      <c r="E1328" s="136">
        <f t="shared" si="64"/>
        <v>10</v>
      </c>
      <c r="F1328" s="128" t="s">
        <v>239</v>
      </c>
      <c r="G1328" s="128" t="str">
        <f>VLOOKUP(source[[#This Row],[lending_product_transform]],[3]Mapping!$B$4:$C$37,2,0)</f>
        <v>[VDS] - Cashloan LP</v>
      </c>
      <c r="H1328" s="128" t="str">
        <f>VLOOKUP(source[[#This Row],[lending_product_transform]],[3]Mapping!$B$3:$D$37,3,0)</f>
        <v>cashloan</v>
      </c>
      <c r="I1328" s="135">
        <v>80250000</v>
      </c>
    </row>
    <row r="1329" spans="1:9" x14ac:dyDescent="0.2">
      <c r="A1329" s="134">
        <v>45453</v>
      </c>
      <c r="B1329" s="135">
        <f>YEAR(source[[#This Row],[report_date]])</f>
        <v>2024</v>
      </c>
      <c r="C1329" s="136">
        <v>6</v>
      </c>
      <c r="D1329" s="136">
        <f t="shared" si="63"/>
        <v>24</v>
      </c>
      <c r="E1329" s="136">
        <f t="shared" si="64"/>
        <v>10</v>
      </c>
      <c r="F1329" s="128" t="s">
        <v>62</v>
      </c>
      <c r="G1329" s="128" t="str">
        <f>VLOOKUP(source[[#This Row],[lending_product_transform]],[3]Mapping!$B$4:$C$37,2,0)</f>
        <v>[VDS] - Paylater</v>
      </c>
      <c r="H1329" s="128" t="str">
        <f>VLOOKUP(source[[#This Row],[lending_product_transform]],[3]Mapping!$B$3:$D$37,3,0)</f>
        <v>paylater</v>
      </c>
      <c r="I1329" s="135">
        <v>54929933</v>
      </c>
    </row>
    <row r="1330" spans="1:9" x14ac:dyDescent="0.2">
      <c r="A1330" s="134">
        <v>45453</v>
      </c>
      <c r="B1330" s="135">
        <f>YEAR(source[[#This Row],[report_date]])</f>
        <v>2024</v>
      </c>
      <c r="C1330" s="136">
        <v>6</v>
      </c>
      <c r="D1330" s="136">
        <f t="shared" si="63"/>
        <v>24</v>
      </c>
      <c r="E1330" s="136">
        <f t="shared" si="64"/>
        <v>10</v>
      </c>
      <c r="F1330" s="128" t="s">
        <v>61</v>
      </c>
      <c r="G1330" s="128" t="str">
        <f>VLOOKUP(source[[#This Row],[lending_product_transform]],[3]Mapping!$B$4:$C$37,2,0)</f>
        <v>[VDS] - Payroll Payday</v>
      </c>
      <c r="H1330" s="128" t="str">
        <f>VLOOKUP(source[[#This Row],[lending_product_transform]],[3]Mapping!$B$3:$D$37,3,0)</f>
        <v>payday</v>
      </c>
      <c r="I1330" s="135">
        <v>46000000</v>
      </c>
    </row>
    <row r="1331" spans="1:9" x14ac:dyDescent="0.2">
      <c r="A1331" s="134">
        <v>45453</v>
      </c>
      <c r="B1331" s="135">
        <f>YEAR(source[[#This Row],[report_date]])</f>
        <v>2024</v>
      </c>
      <c r="C1331" s="136">
        <v>6</v>
      </c>
      <c r="D1331" s="136">
        <f t="shared" si="63"/>
        <v>24</v>
      </c>
      <c r="E1331" s="136">
        <f t="shared" si="64"/>
        <v>10</v>
      </c>
      <c r="F1331" s="128" t="s">
        <v>19</v>
      </c>
      <c r="G1331" s="128" t="str">
        <f>VLOOKUP(source[[#This Row],[lending_product_transform]],[3]Mapping!$B$4:$C$37,2,0)</f>
        <v>[VDS] - Payday</v>
      </c>
      <c r="H1331" s="128" t="str">
        <f>VLOOKUP(source[[#This Row],[lending_product_transform]],[3]Mapping!$B$3:$D$37,3,0)</f>
        <v>payday</v>
      </c>
      <c r="I1331" s="135">
        <v>3705000000</v>
      </c>
    </row>
    <row r="1332" spans="1:9" x14ac:dyDescent="0.2">
      <c r="A1332" s="134">
        <v>45453</v>
      </c>
      <c r="B1332" s="135">
        <f>YEAR(source[[#This Row],[report_date]])</f>
        <v>2024</v>
      </c>
      <c r="C1332" s="136">
        <v>6</v>
      </c>
      <c r="D1332" s="136">
        <f t="shared" si="63"/>
        <v>24</v>
      </c>
      <c r="E1332" s="136">
        <f t="shared" si="64"/>
        <v>10</v>
      </c>
      <c r="F1332" s="128" t="s">
        <v>56</v>
      </c>
      <c r="G1332" s="128">
        <f>VLOOKUP(source[[#This Row],[lending_product_transform]],[3]Mapping!$B$4:$C$37,2,0)</f>
        <v>0</v>
      </c>
      <c r="H1332" s="128">
        <f>VLOOKUP(source[[#This Row],[lending_product_transform]],[3]Mapping!$B$3:$D$37,3,0)</f>
        <v>0</v>
      </c>
      <c r="I1332" s="135">
        <v>12336985485</v>
      </c>
    </row>
    <row r="1333" spans="1:9" x14ac:dyDescent="0.2">
      <c r="A1333" s="134">
        <v>45453</v>
      </c>
      <c r="B1333" s="135">
        <f>YEAR(source[[#This Row],[report_date]])</f>
        <v>2024</v>
      </c>
      <c r="C1333" s="136">
        <v>6</v>
      </c>
      <c r="D1333" s="136">
        <f t="shared" si="63"/>
        <v>24</v>
      </c>
      <c r="E1333" s="136">
        <f t="shared" si="64"/>
        <v>10</v>
      </c>
      <c r="F1333" s="128" t="s">
        <v>238</v>
      </c>
      <c r="G1333" s="128" t="str">
        <f>VLOOKUP(source[[#This Row],[lending_product_transform]],[3]Mapping!$B$4:$C$37,2,0)</f>
        <v>[VDS] - Cashloan LP</v>
      </c>
      <c r="H1333" s="128" t="str">
        <f>VLOOKUP(source[[#This Row],[lending_product_transform]],[3]Mapping!$B$3:$D$37,3,0)</f>
        <v>cashloan</v>
      </c>
      <c r="I1333" s="135">
        <v>51360000</v>
      </c>
    </row>
    <row r="1334" spans="1:9" x14ac:dyDescent="0.2">
      <c r="A1334" s="134">
        <v>45453</v>
      </c>
      <c r="B1334" s="135">
        <f>YEAR(source[[#This Row],[report_date]])</f>
        <v>2024</v>
      </c>
      <c r="C1334" s="136">
        <v>6</v>
      </c>
      <c r="D1334" s="136">
        <f t="shared" si="63"/>
        <v>24</v>
      </c>
      <c r="E1334" s="136">
        <f t="shared" si="64"/>
        <v>10</v>
      </c>
      <c r="F1334" s="128" t="s">
        <v>65</v>
      </c>
      <c r="G1334" s="128" t="str">
        <f>VLOOKUP(source[[#This Row],[lending_product_transform]],[3]Mapping!$B$4:$C$37,2,0)</f>
        <v>[BE] - Cashloan</v>
      </c>
      <c r="H1334" s="128" t="str">
        <f>VLOOKUP(source[[#This Row],[lending_product_transform]],[3]Mapping!$B$3:$D$37,3,0)</f>
        <v>cashloan</v>
      </c>
      <c r="I1334" s="135">
        <v>160650000</v>
      </c>
    </row>
    <row r="1335" spans="1:9" x14ac:dyDescent="0.2">
      <c r="A1335" s="134">
        <v>45454</v>
      </c>
      <c r="B1335" s="135">
        <f>YEAR(source[[#This Row],[report_date]])</f>
        <v>2024</v>
      </c>
      <c r="C1335" s="136">
        <v>6</v>
      </c>
      <c r="D1335" s="136">
        <f t="shared" si="63"/>
        <v>24</v>
      </c>
      <c r="E1335" s="136">
        <f t="shared" si="64"/>
        <v>11</v>
      </c>
      <c r="F1335" s="128" t="s">
        <v>65</v>
      </c>
      <c r="G1335" s="128" t="str">
        <f>VLOOKUP(source[[#This Row],[lending_product_transform]],[3]Mapping!$B$4:$C$37,2,0)</f>
        <v>[BE] - Cashloan</v>
      </c>
      <c r="H1335" s="128" t="str">
        <f>VLOOKUP(source[[#This Row],[lending_product_transform]],[3]Mapping!$B$3:$D$37,3,0)</f>
        <v>cashloan</v>
      </c>
      <c r="I1335" s="135">
        <v>278850000</v>
      </c>
    </row>
    <row r="1336" spans="1:9" x14ac:dyDescent="0.2">
      <c r="A1336" s="134">
        <v>45454</v>
      </c>
      <c r="B1336" s="135">
        <f>YEAR(source[[#This Row],[report_date]])</f>
        <v>2024</v>
      </c>
      <c r="C1336" s="136">
        <v>6</v>
      </c>
      <c r="D1336" s="136">
        <f t="shared" si="63"/>
        <v>24</v>
      </c>
      <c r="E1336" s="136">
        <f t="shared" si="64"/>
        <v>11</v>
      </c>
      <c r="F1336" s="128" t="s">
        <v>62</v>
      </c>
      <c r="G1336" s="128" t="str">
        <f>VLOOKUP(source[[#This Row],[lending_product_transform]],[3]Mapping!$B$4:$C$37,2,0)</f>
        <v>[VDS] - Paylater</v>
      </c>
      <c r="H1336" s="128" t="str">
        <f>VLOOKUP(source[[#This Row],[lending_product_transform]],[3]Mapping!$B$3:$D$37,3,0)</f>
        <v>paylater</v>
      </c>
      <c r="I1336" s="135">
        <v>64559975</v>
      </c>
    </row>
    <row r="1337" spans="1:9" x14ac:dyDescent="0.2">
      <c r="A1337" s="134">
        <v>45454</v>
      </c>
      <c r="B1337" s="135">
        <f>YEAR(source[[#This Row],[report_date]])</f>
        <v>2024</v>
      </c>
      <c r="C1337" s="136">
        <v>6</v>
      </c>
      <c r="D1337" s="136">
        <f t="shared" si="63"/>
        <v>24</v>
      </c>
      <c r="E1337" s="136">
        <f t="shared" si="64"/>
        <v>11</v>
      </c>
      <c r="F1337" s="128" t="s">
        <v>58</v>
      </c>
      <c r="G1337" s="128" t="str">
        <f>VLOOKUP(source[[#This Row],[lending_product_transform]],[3]Mapping!$B$4:$C$37,2,0)</f>
        <v>[VDS] - Payroll Cashloan</v>
      </c>
      <c r="H1337" s="128" t="str">
        <f>VLOOKUP(source[[#This Row],[lending_product_transform]],[3]Mapping!$B$3:$D$37,3,0)</f>
        <v>cashloan</v>
      </c>
      <c r="I1337" s="135">
        <v>0</v>
      </c>
    </row>
    <row r="1338" spans="1:9" x14ac:dyDescent="0.2">
      <c r="A1338" s="134">
        <v>45454</v>
      </c>
      <c r="B1338" s="135">
        <f>YEAR(source[[#This Row],[report_date]])</f>
        <v>2024</v>
      </c>
      <c r="C1338" s="136">
        <v>6</v>
      </c>
      <c r="D1338" s="136">
        <f t="shared" si="63"/>
        <v>24</v>
      </c>
      <c r="E1338" s="136">
        <f t="shared" si="64"/>
        <v>11</v>
      </c>
      <c r="F1338" s="128" t="s">
        <v>11</v>
      </c>
      <c r="G1338" s="128" t="str">
        <f>VLOOKUP(source[[#This Row],[lending_product_transform]],[3]Mapping!$B$4:$C$37,2,0)</f>
        <v>[VDS] - Cashloan</v>
      </c>
      <c r="H1338" s="128" t="str">
        <f>VLOOKUP(source[[#This Row],[lending_product_transform]],[3]Mapping!$B$3:$D$37,3,0)</f>
        <v>cashloan</v>
      </c>
      <c r="I1338" s="135">
        <v>4075270000</v>
      </c>
    </row>
    <row r="1339" spans="1:9" x14ac:dyDescent="0.2">
      <c r="A1339" s="134">
        <v>45454</v>
      </c>
      <c r="B1339" s="135">
        <f>YEAR(source[[#This Row],[report_date]])</f>
        <v>2024</v>
      </c>
      <c r="C1339" s="136">
        <v>6</v>
      </c>
      <c r="D1339" s="136">
        <f t="shared" si="63"/>
        <v>24</v>
      </c>
      <c r="E1339" s="136">
        <f t="shared" si="64"/>
        <v>11</v>
      </c>
      <c r="F1339" s="128" t="s">
        <v>206</v>
      </c>
      <c r="G1339" s="128" t="str">
        <f>VLOOKUP(source[[#This Row],[lending_product_transform]],[3]Mapping!$B$4:$C$37,2,0)</f>
        <v>[NGS] - Cashloan</v>
      </c>
      <c r="H1339" s="128" t="str">
        <f>VLOOKUP(source[[#This Row],[lending_product_transform]],[3]Mapping!$B$3:$D$37,3,0)</f>
        <v>cashloan</v>
      </c>
      <c r="I1339" s="135">
        <v>481500000</v>
      </c>
    </row>
    <row r="1340" spans="1:9" x14ac:dyDescent="0.2">
      <c r="A1340" s="134">
        <v>45454</v>
      </c>
      <c r="B1340" s="135">
        <f>YEAR(source[[#This Row],[report_date]])</f>
        <v>2024</v>
      </c>
      <c r="C1340" s="136">
        <v>6</v>
      </c>
      <c r="D1340" s="136">
        <f t="shared" si="63"/>
        <v>24</v>
      </c>
      <c r="E1340" s="136">
        <f t="shared" si="64"/>
        <v>11</v>
      </c>
      <c r="F1340" s="128" t="s">
        <v>56</v>
      </c>
      <c r="G1340" s="128">
        <f>VLOOKUP(source[[#This Row],[lending_product_transform]],[3]Mapping!$B$4:$C$37,2,0)</f>
        <v>0</v>
      </c>
      <c r="H1340" s="128">
        <f>VLOOKUP(source[[#This Row],[lending_product_transform]],[3]Mapping!$B$3:$D$37,3,0)</f>
        <v>0</v>
      </c>
      <c r="I1340" s="135">
        <v>10389817454</v>
      </c>
    </row>
    <row r="1341" spans="1:9" x14ac:dyDescent="0.2">
      <c r="A1341" s="134">
        <v>45454</v>
      </c>
      <c r="B1341" s="135">
        <f>YEAR(source[[#This Row],[report_date]])</f>
        <v>2024</v>
      </c>
      <c r="C1341" s="136">
        <v>6</v>
      </c>
      <c r="D1341" s="136">
        <f t="shared" si="63"/>
        <v>24</v>
      </c>
      <c r="E1341" s="136">
        <f t="shared" si="64"/>
        <v>11</v>
      </c>
      <c r="F1341" s="128" t="s">
        <v>61</v>
      </c>
      <c r="G1341" s="128" t="str">
        <f>VLOOKUP(source[[#This Row],[lending_product_transform]],[3]Mapping!$B$4:$C$37,2,0)</f>
        <v>[VDS] - Payroll Payday</v>
      </c>
      <c r="H1341" s="128" t="str">
        <f>VLOOKUP(source[[#This Row],[lending_product_transform]],[3]Mapping!$B$3:$D$37,3,0)</f>
        <v>payday</v>
      </c>
      <c r="I1341" s="135">
        <v>44000000</v>
      </c>
    </row>
    <row r="1342" spans="1:9" x14ac:dyDescent="0.2">
      <c r="A1342" s="134">
        <v>45454</v>
      </c>
      <c r="B1342" s="135">
        <f>YEAR(source[[#This Row],[report_date]])</f>
        <v>2024</v>
      </c>
      <c r="C1342" s="136">
        <v>6</v>
      </c>
      <c r="D1342" s="136">
        <f t="shared" si="63"/>
        <v>24</v>
      </c>
      <c r="E1342" s="136">
        <f t="shared" si="64"/>
        <v>11</v>
      </c>
      <c r="F1342" s="128" t="s">
        <v>238</v>
      </c>
      <c r="G1342" s="128" t="str">
        <f>VLOOKUP(source[[#This Row],[lending_product_transform]],[3]Mapping!$B$4:$C$37,2,0)</f>
        <v>[VDS] - Cashloan LP</v>
      </c>
      <c r="H1342" s="128" t="str">
        <f>VLOOKUP(source[[#This Row],[lending_product_transform]],[3]Mapping!$B$3:$D$37,3,0)</f>
        <v>cashloan</v>
      </c>
      <c r="I1342" s="135">
        <v>96300000</v>
      </c>
    </row>
    <row r="1343" spans="1:9" x14ac:dyDescent="0.2">
      <c r="A1343" s="134">
        <v>45454</v>
      </c>
      <c r="B1343" s="135">
        <f>YEAR(source[[#This Row],[report_date]])</f>
        <v>2024</v>
      </c>
      <c r="C1343" s="136">
        <v>6</v>
      </c>
      <c r="D1343" s="136">
        <f t="shared" si="63"/>
        <v>24</v>
      </c>
      <c r="E1343" s="136">
        <f t="shared" si="64"/>
        <v>11</v>
      </c>
      <c r="F1343" s="128" t="s">
        <v>67</v>
      </c>
      <c r="G1343" s="128" t="str">
        <f>VLOOKUP(source[[#This Row],[lending_product_transform]],[3]Mapping!$B$4:$C$37,2,0)</f>
        <v>[Cake] - Overdraft</v>
      </c>
      <c r="H1343" s="128" t="str">
        <f>VLOOKUP(source[[#This Row],[lending_product_transform]],[3]Mapping!$B$3:$D$37,3,0)</f>
        <v>overdraft</v>
      </c>
      <c r="I1343" s="135">
        <v>2048547479</v>
      </c>
    </row>
    <row r="1344" spans="1:9" x14ac:dyDescent="0.2">
      <c r="A1344" s="134">
        <v>45454</v>
      </c>
      <c r="B1344" s="135">
        <f>YEAR(source[[#This Row],[report_date]])</f>
        <v>2024</v>
      </c>
      <c r="C1344" s="136">
        <v>6</v>
      </c>
      <c r="D1344" s="136">
        <f t="shared" si="63"/>
        <v>24</v>
      </c>
      <c r="E1344" s="136">
        <f t="shared" si="64"/>
        <v>11</v>
      </c>
      <c r="F1344" s="128" t="s">
        <v>239</v>
      </c>
      <c r="G1344" s="128" t="str">
        <f>VLOOKUP(source[[#This Row],[lending_product_transform]],[3]Mapping!$B$4:$C$37,2,0)</f>
        <v>[VDS] - Cashloan LP</v>
      </c>
      <c r="H1344" s="128" t="str">
        <f>VLOOKUP(source[[#This Row],[lending_product_transform]],[3]Mapping!$B$3:$D$37,3,0)</f>
        <v>cashloan</v>
      </c>
      <c r="I1344" s="135">
        <v>136790000</v>
      </c>
    </row>
    <row r="1345" spans="1:9" x14ac:dyDescent="0.2">
      <c r="A1345" s="134">
        <v>45454</v>
      </c>
      <c r="B1345" s="135">
        <f>YEAR(source[[#This Row],[report_date]])</f>
        <v>2024</v>
      </c>
      <c r="C1345" s="136">
        <v>6</v>
      </c>
      <c r="D1345" s="136">
        <f t="shared" si="63"/>
        <v>24</v>
      </c>
      <c r="E1345" s="136">
        <f t="shared" si="64"/>
        <v>11</v>
      </c>
      <c r="F1345" s="128" t="s">
        <v>19</v>
      </c>
      <c r="G1345" s="128" t="str">
        <f>VLOOKUP(source[[#This Row],[lending_product_transform]],[3]Mapping!$B$4:$C$37,2,0)</f>
        <v>[VDS] - Payday</v>
      </c>
      <c r="H1345" s="128" t="str">
        <f>VLOOKUP(source[[#This Row],[lending_product_transform]],[3]Mapping!$B$3:$D$37,3,0)</f>
        <v>payday</v>
      </c>
      <c r="I1345" s="135">
        <v>3164000000</v>
      </c>
    </row>
    <row r="1346" spans="1:9" x14ac:dyDescent="0.2">
      <c r="A1346" s="134">
        <v>45455</v>
      </c>
      <c r="B1346" s="135">
        <f>YEAR(source[[#This Row],[report_date]])</f>
        <v>2024</v>
      </c>
      <c r="C1346" s="136">
        <v>6</v>
      </c>
      <c r="D1346" s="136">
        <f t="shared" si="63"/>
        <v>24</v>
      </c>
      <c r="E1346" s="136">
        <f t="shared" si="64"/>
        <v>12</v>
      </c>
      <c r="F1346" s="128" t="s">
        <v>238</v>
      </c>
      <c r="G1346" s="128" t="str">
        <f>VLOOKUP(source[[#This Row],[lending_product_transform]],[3]Mapping!$B$4:$C$37,2,0)</f>
        <v>[VDS] - Cashloan LP</v>
      </c>
      <c r="H1346" s="128" t="str">
        <f>VLOOKUP(source[[#This Row],[lending_product_transform]],[3]Mapping!$B$3:$D$37,3,0)</f>
        <v>cashloan</v>
      </c>
      <c r="I1346" s="135">
        <v>99180000</v>
      </c>
    </row>
    <row r="1347" spans="1:9" x14ac:dyDescent="0.2">
      <c r="A1347" s="134">
        <v>45455</v>
      </c>
      <c r="B1347" s="135">
        <f>YEAR(source[[#This Row],[report_date]])</f>
        <v>2024</v>
      </c>
      <c r="C1347" s="136">
        <v>6</v>
      </c>
      <c r="D1347" s="136">
        <f t="shared" ref="D1347:D1410" si="65">WEEKNUM(A1347,2)</f>
        <v>24</v>
      </c>
      <c r="E1347" s="136">
        <f t="shared" ref="E1347:E1410" si="66">DAY(A1347)</f>
        <v>12</v>
      </c>
      <c r="F1347" s="128" t="s">
        <v>19</v>
      </c>
      <c r="G1347" s="128" t="str">
        <f>VLOOKUP(source[[#This Row],[lending_product_transform]],[3]Mapping!$B$4:$C$37,2,0)</f>
        <v>[VDS] - Payday</v>
      </c>
      <c r="H1347" s="128" t="str">
        <f>VLOOKUP(source[[#This Row],[lending_product_transform]],[3]Mapping!$B$3:$D$37,3,0)</f>
        <v>payday</v>
      </c>
      <c r="I1347" s="135">
        <v>3044500000</v>
      </c>
    </row>
    <row r="1348" spans="1:9" x14ac:dyDescent="0.2">
      <c r="A1348" s="134">
        <v>45455</v>
      </c>
      <c r="B1348" s="135">
        <f>YEAR(source[[#This Row],[report_date]])</f>
        <v>2024</v>
      </c>
      <c r="C1348" s="136">
        <v>6</v>
      </c>
      <c r="D1348" s="136">
        <f t="shared" si="65"/>
        <v>24</v>
      </c>
      <c r="E1348" s="136">
        <f t="shared" si="66"/>
        <v>12</v>
      </c>
      <c r="F1348" s="128" t="s">
        <v>11</v>
      </c>
      <c r="G1348" s="128" t="str">
        <f>VLOOKUP(source[[#This Row],[lending_product_transform]],[3]Mapping!$B$4:$C$37,2,0)</f>
        <v>[VDS] - Cashloan</v>
      </c>
      <c r="H1348" s="128" t="str">
        <f>VLOOKUP(source[[#This Row],[lending_product_transform]],[3]Mapping!$B$3:$D$37,3,0)</f>
        <v>cashloan</v>
      </c>
      <c r="I1348" s="135">
        <v>4977530000</v>
      </c>
    </row>
    <row r="1349" spans="1:9" x14ac:dyDescent="0.2">
      <c r="A1349" s="134">
        <v>45455</v>
      </c>
      <c r="B1349" s="135">
        <f>YEAR(source[[#This Row],[report_date]])</f>
        <v>2024</v>
      </c>
      <c r="C1349" s="136">
        <v>6</v>
      </c>
      <c r="D1349" s="136">
        <f t="shared" si="65"/>
        <v>24</v>
      </c>
      <c r="E1349" s="136">
        <f t="shared" si="66"/>
        <v>12</v>
      </c>
      <c r="F1349" s="128" t="s">
        <v>62</v>
      </c>
      <c r="G1349" s="128" t="str">
        <f>VLOOKUP(source[[#This Row],[lending_product_transform]],[3]Mapping!$B$4:$C$37,2,0)</f>
        <v>[VDS] - Paylater</v>
      </c>
      <c r="H1349" s="128" t="str">
        <f>VLOOKUP(source[[#This Row],[lending_product_transform]],[3]Mapping!$B$3:$D$37,3,0)</f>
        <v>paylater</v>
      </c>
      <c r="I1349" s="135">
        <v>69442397</v>
      </c>
    </row>
    <row r="1350" spans="1:9" x14ac:dyDescent="0.2">
      <c r="A1350" s="134">
        <v>45455</v>
      </c>
      <c r="B1350" s="135">
        <f>YEAR(source[[#This Row],[report_date]])</f>
        <v>2024</v>
      </c>
      <c r="C1350" s="136">
        <v>6</v>
      </c>
      <c r="D1350" s="136">
        <f t="shared" si="65"/>
        <v>24</v>
      </c>
      <c r="E1350" s="136">
        <f t="shared" si="66"/>
        <v>12</v>
      </c>
      <c r="F1350" s="128" t="s">
        <v>65</v>
      </c>
      <c r="G1350" s="128" t="str">
        <f>VLOOKUP(source[[#This Row],[lending_product_transform]],[3]Mapping!$B$4:$C$37,2,0)</f>
        <v>[BE] - Cashloan</v>
      </c>
      <c r="H1350" s="128" t="str">
        <f>VLOOKUP(source[[#This Row],[lending_product_transform]],[3]Mapping!$B$3:$D$37,3,0)</f>
        <v>cashloan</v>
      </c>
      <c r="I1350" s="135">
        <v>400600000</v>
      </c>
    </row>
    <row r="1351" spans="1:9" x14ac:dyDescent="0.2">
      <c r="A1351" s="134">
        <v>45455</v>
      </c>
      <c r="B1351" s="135">
        <f>YEAR(source[[#This Row],[report_date]])</f>
        <v>2024</v>
      </c>
      <c r="C1351" s="136">
        <v>6</v>
      </c>
      <c r="D1351" s="136">
        <f t="shared" si="65"/>
        <v>24</v>
      </c>
      <c r="E1351" s="136">
        <f t="shared" si="66"/>
        <v>12</v>
      </c>
      <c r="F1351" s="128" t="s">
        <v>61</v>
      </c>
      <c r="G1351" s="128" t="str">
        <f>VLOOKUP(source[[#This Row],[lending_product_transform]],[3]Mapping!$B$4:$C$37,2,0)</f>
        <v>[VDS] - Payroll Payday</v>
      </c>
      <c r="H1351" s="128" t="str">
        <f>VLOOKUP(source[[#This Row],[lending_product_transform]],[3]Mapping!$B$3:$D$37,3,0)</f>
        <v>payday</v>
      </c>
      <c r="I1351" s="135">
        <v>24000000</v>
      </c>
    </row>
    <row r="1352" spans="1:9" x14ac:dyDescent="0.2">
      <c r="A1352" s="134">
        <v>45455</v>
      </c>
      <c r="B1352" s="135">
        <f>YEAR(source[[#This Row],[report_date]])</f>
        <v>2024</v>
      </c>
      <c r="C1352" s="136">
        <v>6</v>
      </c>
      <c r="D1352" s="136">
        <f t="shared" si="65"/>
        <v>24</v>
      </c>
      <c r="E1352" s="136">
        <f t="shared" si="66"/>
        <v>12</v>
      </c>
      <c r="F1352" s="128" t="s">
        <v>58</v>
      </c>
      <c r="G1352" s="128" t="str">
        <f>VLOOKUP(source[[#This Row],[lending_product_transform]],[3]Mapping!$B$4:$C$37,2,0)</f>
        <v>[VDS] - Payroll Cashloan</v>
      </c>
      <c r="H1352" s="128" t="str">
        <f>VLOOKUP(source[[#This Row],[lending_product_transform]],[3]Mapping!$B$3:$D$37,3,0)</f>
        <v>cashloan</v>
      </c>
      <c r="I1352" s="135">
        <v>42000000</v>
      </c>
    </row>
    <row r="1353" spans="1:9" x14ac:dyDescent="0.2">
      <c r="A1353" s="134">
        <v>45455</v>
      </c>
      <c r="B1353" s="135">
        <f>YEAR(source[[#This Row],[report_date]])</f>
        <v>2024</v>
      </c>
      <c r="C1353" s="136">
        <v>6</v>
      </c>
      <c r="D1353" s="136">
        <f t="shared" si="65"/>
        <v>24</v>
      </c>
      <c r="E1353" s="136">
        <f t="shared" si="66"/>
        <v>12</v>
      </c>
      <c r="F1353" s="128" t="s">
        <v>206</v>
      </c>
      <c r="G1353" s="128" t="str">
        <f>VLOOKUP(source[[#This Row],[lending_product_transform]],[3]Mapping!$B$4:$C$37,2,0)</f>
        <v>[NGS] - Cashloan</v>
      </c>
      <c r="H1353" s="128" t="str">
        <f>VLOOKUP(source[[#This Row],[lending_product_transform]],[3]Mapping!$B$3:$D$37,3,0)</f>
        <v>cashloan</v>
      </c>
      <c r="I1353" s="135">
        <v>585660000</v>
      </c>
    </row>
    <row r="1354" spans="1:9" x14ac:dyDescent="0.2">
      <c r="A1354" s="134">
        <v>45455</v>
      </c>
      <c r="B1354" s="135">
        <f>YEAR(source[[#This Row],[report_date]])</f>
        <v>2024</v>
      </c>
      <c r="C1354" s="136">
        <v>6</v>
      </c>
      <c r="D1354" s="136">
        <f t="shared" si="65"/>
        <v>24</v>
      </c>
      <c r="E1354" s="136">
        <f t="shared" si="66"/>
        <v>12</v>
      </c>
      <c r="F1354" s="128" t="s">
        <v>239</v>
      </c>
      <c r="G1354" s="128" t="str">
        <f>VLOOKUP(source[[#This Row],[lending_product_transform]],[3]Mapping!$B$4:$C$37,2,0)</f>
        <v>[VDS] - Cashloan LP</v>
      </c>
      <c r="H1354" s="128" t="str">
        <f>VLOOKUP(source[[#This Row],[lending_product_transform]],[3]Mapping!$B$3:$D$37,3,0)</f>
        <v>cashloan</v>
      </c>
      <c r="I1354" s="135">
        <v>195430000</v>
      </c>
    </row>
    <row r="1355" spans="1:9" x14ac:dyDescent="0.2">
      <c r="A1355" s="134">
        <v>45455</v>
      </c>
      <c r="B1355" s="135">
        <f>YEAR(source[[#This Row],[report_date]])</f>
        <v>2024</v>
      </c>
      <c r="C1355" s="136">
        <v>6</v>
      </c>
      <c r="D1355" s="136">
        <f t="shared" si="65"/>
        <v>24</v>
      </c>
      <c r="E1355" s="136">
        <f t="shared" si="66"/>
        <v>12</v>
      </c>
      <c r="F1355" s="128" t="s">
        <v>67</v>
      </c>
      <c r="G1355" s="128" t="str">
        <f>VLOOKUP(source[[#This Row],[lending_product_transform]],[3]Mapping!$B$4:$C$37,2,0)</f>
        <v>[Cake] - Overdraft</v>
      </c>
      <c r="H1355" s="128" t="str">
        <f>VLOOKUP(source[[#This Row],[lending_product_transform]],[3]Mapping!$B$3:$D$37,3,0)</f>
        <v>overdraft</v>
      </c>
      <c r="I1355" s="135">
        <v>2118529033</v>
      </c>
    </row>
    <row r="1356" spans="1:9" x14ac:dyDescent="0.2">
      <c r="A1356" s="134">
        <v>45455</v>
      </c>
      <c r="B1356" s="135">
        <f>YEAR(source[[#This Row],[report_date]])</f>
        <v>2024</v>
      </c>
      <c r="C1356" s="136">
        <v>6</v>
      </c>
      <c r="D1356" s="136">
        <f t="shared" si="65"/>
        <v>24</v>
      </c>
      <c r="E1356" s="136">
        <f t="shared" si="66"/>
        <v>12</v>
      </c>
      <c r="F1356" s="128" t="s">
        <v>56</v>
      </c>
      <c r="G1356" s="128">
        <f>VLOOKUP(source[[#This Row],[lending_product_transform]],[3]Mapping!$B$4:$C$37,2,0)</f>
        <v>0</v>
      </c>
      <c r="H1356" s="128">
        <f>VLOOKUP(source[[#This Row],[lending_product_transform]],[3]Mapping!$B$3:$D$37,3,0)</f>
        <v>0</v>
      </c>
      <c r="I1356" s="135">
        <v>11556871430</v>
      </c>
    </row>
    <row r="1357" spans="1:9" x14ac:dyDescent="0.2">
      <c r="A1357" s="134">
        <v>45456</v>
      </c>
      <c r="B1357" s="135">
        <f>YEAR(source[[#This Row],[report_date]])</f>
        <v>2024</v>
      </c>
      <c r="C1357" s="136">
        <v>6</v>
      </c>
      <c r="D1357" s="136">
        <f t="shared" si="65"/>
        <v>24</v>
      </c>
      <c r="E1357" s="136">
        <f t="shared" si="66"/>
        <v>13</v>
      </c>
      <c r="F1357" s="128" t="s">
        <v>66</v>
      </c>
      <c r="G1357" s="128" t="str">
        <f>VLOOKUP(source[[#This Row],[lending_product_transform]],[3]Mapping!$B$4:$C$37,2,0)</f>
        <v>[BE] - Paylater</v>
      </c>
      <c r="H1357" s="128" t="str">
        <f>VLOOKUP(source[[#This Row],[lending_product_transform]],[3]Mapping!$B$3:$D$37,3,0)</f>
        <v>paylater</v>
      </c>
      <c r="I1357" s="135">
        <v>2129700</v>
      </c>
    </row>
    <row r="1358" spans="1:9" x14ac:dyDescent="0.2">
      <c r="A1358" s="134">
        <v>45456</v>
      </c>
      <c r="B1358" s="135">
        <f>YEAR(source[[#This Row],[report_date]])</f>
        <v>2024</v>
      </c>
      <c r="C1358" s="136">
        <v>6</v>
      </c>
      <c r="D1358" s="136">
        <f t="shared" si="65"/>
        <v>24</v>
      </c>
      <c r="E1358" s="136">
        <f t="shared" si="66"/>
        <v>13</v>
      </c>
      <c r="F1358" s="128" t="s">
        <v>239</v>
      </c>
      <c r="G1358" s="128" t="str">
        <f>VLOOKUP(source[[#This Row],[lending_product_transform]],[3]Mapping!$B$4:$C$37,2,0)</f>
        <v>[VDS] - Cashloan LP</v>
      </c>
      <c r="H1358" s="128" t="str">
        <f>VLOOKUP(source[[#This Row],[lending_product_transform]],[3]Mapping!$B$3:$D$37,3,0)</f>
        <v>cashloan</v>
      </c>
      <c r="I1358" s="135">
        <v>127300000</v>
      </c>
    </row>
    <row r="1359" spans="1:9" x14ac:dyDescent="0.2">
      <c r="A1359" s="134">
        <v>45456</v>
      </c>
      <c r="B1359" s="135">
        <f>YEAR(source[[#This Row],[report_date]])</f>
        <v>2024</v>
      </c>
      <c r="C1359" s="136">
        <v>6</v>
      </c>
      <c r="D1359" s="136">
        <f t="shared" si="65"/>
        <v>24</v>
      </c>
      <c r="E1359" s="136">
        <f t="shared" si="66"/>
        <v>13</v>
      </c>
      <c r="F1359" s="128" t="s">
        <v>62</v>
      </c>
      <c r="G1359" s="128" t="str">
        <f>VLOOKUP(source[[#This Row],[lending_product_transform]],[3]Mapping!$B$4:$C$37,2,0)</f>
        <v>[VDS] - Paylater</v>
      </c>
      <c r="H1359" s="128" t="str">
        <f>VLOOKUP(source[[#This Row],[lending_product_transform]],[3]Mapping!$B$3:$D$37,3,0)</f>
        <v>paylater</v>
      </c>
      <c r="I1359" s="135">
        <v>76467996</v>
      </c>
    </row>
    <row r="1360" spans="1:9" x14ac:dyDescent="0.2">
      <c r="A1360" s="134">
        <v>45456</v>
      </c>
      <c r="B1360" s="135">
        <f>YEAR(source[[#This Row],[report_date]])</f>
        <v>2024</v>
      </c>
      <c r="C1360" s="136">
        <v>6</v>
      </c>
      <c r="D1360" s="136">
        <f t="shared" si="65"/>
        <v>24</v>
      </c>
      <c r="E1360" s="136">
        <f t="shared" si="66"/>
        <v>13</v>
      </c>
      <c r="F1360" s="128" t="s">
        <v>67</v>
      </c>
      <c r="G1360" s="128" t="str">
        <f>VLOOKUP(source[[#This Row],[lending_product_transform]],[3]Mapping!$B$4:$C$37,2,0)</f>
        <v>[Cake] - Overdraft</v>
      </c>
      <c r="H1360" s="128" t="str">
        <f>VLOOKUP(source[[#This Row],[lending_product_transform]],[3]Mapping!$B$3:$D$37,3,0)</f>
        <v>overdraft</v>
      </c>
      <c r="I1360" s="135">
        <v>2568552779</v>
      </c>
    </row>
    <row r="1361" spans="1:9" x14ac:dyDescent="0.2">
      <c r="A1361" s="134">
        <v>45456</v>
      </c>
      <c r="B1361" s="135">
        <f>YEAR(source[[#This Row],[report_date]])</f>
        <v>2024</v>
      </c>
      <c r="C1361" s="136">
        <v>6</v>
      </c>
      <c r="D1361" s="136">
        <f t="shared" si="65"/>
        <v>24</v>
      </c>
      <c r="E1361" s="136">
        <f t="shared" si="66"/>
        <v>13</v>
      </c>
      <c r="F1361" s="128" t="s">
        <v>65</v>
      </c>
      <c r="G1361" s="128" t="str">
        <f>VLOOKUP(source[[#This Row],[lending_product_transform]],[3]Mapping!$B$4:$C$37,2,0)</f>
        <v>[BE] - Cashloan</v>
      </c>
      <c r="H1361" s="128" t="str">
        <f>VLOOKUP(source[[#This Row],[lending_product_transform]],[3]Mapping!$B$3:$D$37,3,0)</f>
        <v>cashloan</v>
      </c>
      <c r="I1361" s="135">
        <v>303450000</v>
      </c>
    </row>
    <row r="1362" spans="1:9" x14ac:dyDescent="0.2">
      <c r="A1362" s="134">
        <v>45456</v>
      </c>
      <c r="B1362" s="135">
        <f>YEAR(source[[#This Row],[report_date]])</f>
        <v>2024</v>
      </c>
      <c r="C1362" s="136">
        <v>6</v>
      </c>
      <c r="D1362" s="136">
        <f t="shared" si="65"/>
        <v>24</v>
      </c>
      <c r="E1362" s="136">
        <f t="shared" si="66"/>
        <v>13</v>
      </c>
      <c r="F1362" s="128" t="s">
        <v>11</v>
      </c>
      <c r="G1362" s="128" t="str">
        <f>VLOOKUP(source[[#This Row],[lending_product_transform]],[3]Mapping!$B$4:$C$37,2,0)</f>
        <v>[VDS] - Cashloan</v>
      </c>
      <c r="H1362" s="128" t="str">
        <f>VLOOKUP(source[[#This Row],[lending_product_transform]],[3]Mapping!$B$3:$D$37,3,0)</f>
        <v>cashloan</v>
      </c>
      <c r="I1362" s="135">
        <v>4472390000</v>
      </c>
    </row>
    <row r="1363" spans="1:9" x14ac:dyDescent="0.2">
      <c r="A1363" s="134">
        <v>45456</v>
      </c>
      <c r="B1363" s="135">
        <f>YEAR(source[[#This Row],[report_date]])</f>
        <v>2024</v>
      </c>
      <c r="C1363" s="136">
        <v>6</v>
      </c>
      <c r="D1363" s="136">
        <f t="shared" si="65"/>
        <v>24</v>
      </c>
      <c r="E1363" s="136">
        <f t="shared" si="66"/>
        <v>13</v>
      </c>
      <c r="F1363" s="128" t="s">
        <v>238</v>
      </c>
      <c r="G1363" s="128" t="str">
        <f>VLOOKUP(source[[#This Row],[lending_product_transform]],[3]Mapping!$B$4:$C$37,2,0)</f>
        <v>[VDS] - Cashloan LP</v>
      </c>
      <c r="H1363" s="128" t="str">
        <f>VLOOKUP(source[[#This Row],[lending_product_transform]],[3]Mapping!$B$3:$D$37,3,0)</f>
        <v>cashloan</v>
      </c>
      <c r="I1363" s="135">
        <v>97370000</v>
      </c>
    </row>
    <row r="1364" spans="1:9" x14ac:dyDescent="0.2">
      <c r="A1364" s="134">
        <v>45456</v>
      </c>
      <c r="B1364" s="135">
        <f>YEAR(source[[#This Row],[report_date]])</f>
        <v>2024</v>
      </c>
      <c r="C1364" s="136">
        <v>6</v>
      </c>
      <c r="D1364" s="136">
        <f t="shared" si="65"/>
        <v>24</v>
      </c>
      <c r="E1364" s="136">
        <f t="shared" si="66"/>
        <v>13</v>
      </c>
      <c r="F1364" s="128" t="s">
        <v>61</v>
      </c>
      <c r="G1364" s="128" t="str">
        <f>VLOOKUP(source[[#This Row],[lending_product_transform]],[3]Mapping!$B$4:$C$37,2,0)</f>
        <v>[VDS] - Payroll Payday</v>
      </c>
      <c r="H1364" s="128" t="str">
        <f>VLOOKUP(source[[#This Row],[lending_product_transform]],[3]Mapping!$B$3:$D$37,3,0)</f>
        <v>payday</v>
      </c>
      <c r="I1364" s="135">
        <v>8000000</v>
      </c>
    </row>
    <row r="1365" spans="1:9" x14ac:dyDescent="0.2">
      <c r="A1365" s="134">
        <v>45456</v>
      </c>
      <c r="B1365" s="135">
        <f>YEAR(source[[#This Row],[report_date]])</f>
        <v>2024</v>
      </c>
      <c r="C1365" s="136">
        <v>6</v>
      </c>
      <c r="D1365" s="136">
        <f t="shared" si="65"/>
        <v>24</v>
      </c>
      <c r="E1365" s="136">
        <f t="shared" si="66"/>
        <v>13</v>
      </c>
      <c r="F1365" s="128" t="s">
        <v>56</v>
      </c>
      <c r="G1365" s="128">
        <f>VLOOKUP(source[[#This Row],[lending_product_transform]],[3]Mapping!$B$4:$C$37,2,0)</f>
        <v>0</v>
      </c>
      <c r="H1365" s="128">
        <f>VLOOKUP(source[[#This Row],[lending_product_transform]],[3]Mapping!$B$3:$D$37,3,0)</f>
        <v>0</v>
      </c>
      <c r="I1365" s="135">
        <v>11279630475</v>
      </c>
    </row>
    <row r="1366" spans="1:9" x14ac:dyDescent="0.2">
      <c r="A1366" s="134">
        <v>45456</v>
      </c>
      <c r="B1366" s="135">
        <f>YEAR(source[[#This Row],[report_date]])</f>
        <v>2024</v>
      </c>
      <c r="C1366" s="136">
        <v>6</v>
      </c>
      <c r="D1366" s="136">
        <f t="shared" si="65"/>
        <v>24</v>
      </c>
      <c r="E1366" s="136">
        <f t="shared" si="66"/>
        <v>13</v>
      </c>
      <c r="F1366" s="128" t="s">
        <v>58</v>
      </c>
      <c r="G1366" s="128" t="str">
        <f>VLOOKUP(source[[#This Row],[lending_product_transform]],[3]Mapping!$B$4:$C$37,2,0)</f>
        <v>[VDS] - Payroll Cashloan</v>
      </c>
      <c r="H1366" s="128" t="str">
        <f>VLOOKUP(source[[#This Row],[lending_product_transform]],[3]Mapping!$B$3:$D$37,3,0)</f>
        <v>cashloan</v>
      </c>
      <c r="I1366" s="135">
        <v>36750000</v>
      </c>
    </row>
    <row r="1367" spans="1:9" x14ac:dyDescent="0.2">
      <c r="A1367" s="134">
        <v>45456</v>
      </c>
      <c r="B1367" s="135">
        <f>YEAR(source[[#This Row],[report_date]])</f>
        <v>2024</v>
      </c>
      <c r="C1367" s="136">
        <v>6</v>
      </c>
      <c r="D1367" s="136">
        <f t="shared" si="65"/>
        <v>24</v>
      </c>
      <c r="E1367" s="136">
        <f t="shared" si="66"/>
        <v>13</v>
      </c>
      <c r="F1367" s="128" t="s">
        <v>206</v>
      </c>
      <c r="G1367" s="128" t="str">
        <f>VLOOKUP(source[[#This Row],[lending_product_transform]],[3]Mapping!$B$4:$C$37,2,0)</f>
        <v>[NGS] - Cashloan</v>
      </c>
      <c r="H1367" s="128" t="str">
        <f>VLOOKUP(source[[#This Row],[lending_product_transform]],[3]Mapping!$B$3:$D$37,3,0)</f>
        <v>cashloan</v>
      </c>
      <c r="I1367" s="135">
        <v>711220000</v>
      </c>
    </row>
    <row r="1368" spans="1:9" x14ac:dyDescent="0.2">
      <c r="A1368" s="134">
        <v>45456</v>
      </c>
      <c r="B1368" s="135">
        <f>YEAR(source[[#This Row],[report_date]])</f>
        <v>2024</v>
      </c>
      <c r="C1368" s="136">
        <v>6</v>
      </c>
      <c r="D1368" s="136">
        <f t="shared" si="65"/>
        <v>24</v>
      </c>
      <c r="E1368" s="136">
        <f t="shared" si="66"/>
        <v>13</v>
      </c>
      <c r="F1368" s="128" t="s">
        <v>19</v>
      </c>
      <c r="G1368" s="128" t="str">
        <f>VLOOKUP(source[[#This Row],[lending_product_transform]],[3]Mapping!$B$4:$C$37,2,0)</f>
        <v>[VDS] - Payday</v>
      </c>
      <c r="H1368" s="128" t="str">
        <f>VLOOKUP(source[[#This Row],[lending_product_transform]],[3]Mapping!$B$3:$D$37,3,0)</f>
        <v>payday</v>
      </c>
      <c r="I1368" s="135">
        <v>2876000000</v>
      </c>
    </row>
    <row r="1369" spans="1:9" x14ac:dyDescent="0.2">
      <c r="A1369" s="134">
        <v>45457</v>
      </c>
      <c r="B1369" s="135">
        <f>YEAR(source[[#This Row],[report_date]])</f>
        <v>2024</v>
      </c>
      <c r="C1369" s="136">
        <v>6</v>
      </c>
      <c r="D1369" s="136">
        <f t="shared" si="65"/>
        <v>24</v>
      </c>
      <c r="E1369" s="136">
        <f t="shared" si="66"/>
        <v>14</v>
      </c>
      <c r="F1369" s="128" t="s">
        <v>66</v>
      </c>
      <c r="G1369" s="128" t="str">
        <f>VLOOKUP(source[[#This Row],[lending_product_transform]],[3]Mapping!$B$4:$C$37,2,0)</f>
        <v>[BE] - Paylater</v>
      </c>
      <c r="H1369" s="128" t="str">
        <f>VLOOKUP(source[[#This Row],[lending_product_transform]],[3]Mapping!$B$3:$D$37,3,0)</f>
        <v>paylater</v>
      </c>
      <c r="I1369" s="135">
        <v>1219000</v>
      </c>
    </row>
    <row r="1370" spans="1:9" x14ac:dyDescent="0.2">
      <c r="A1370" s="134">
        <v>45457</v>
      </c>
      <c r="B1370" s="135">
        <f>YEAR(source[[#This Row],[report_date]])</f>
        <v>2024</v>
      </c>
      <c r="C1370" s="136">
        <v>6</v>
      </c>
      <c r="D1370" s="136">
        <f t="shared" si="65"/>
        <v>24</v>
      </c>
      <c r="E1370" s="136">
        <f t="shared" si="66"/>
        <v>14</v>
      </c>
      <c r="F1370" s="128" t="s">
        <v>239</v>
      </c>
      <c r="G1370" s="128" t="str">
        <f>VLOOKUP(source[[#This Row],[lending_product_transform]],[3]Mapping!$B$4:$C$37,2,0)</f>
        <v>[VDS] - Cashloan LP</v>
      </c>
      <c r="H1370" s="128" t="str">
        <f>VLOOKUP(source[[#This Row],[lending_product_transform]],[3]Mapping!$B$3:$D$37,3,0)</f>
        <v>cashloan</v>
      </c>
      <c r="I1370" s="135">
        <v>78060000</v>
      </c>
    </row>
    <row r="1371" spans="1:9" x14ac:dyDescent="0.2">
      <c r="A1371" s="134">
        <v>45457</v>
      </c>
      <c r="B1371" s="135">
        <f>YEAR(source[[#This Row],[report_date]])</f>
        <v>2024</v>
      </c>
      <c r="C1371" s="136">
        <v>6</v>
      </c>
      <c r="D1371" s="136">
        <f t="shared" si="65"/>
        <v>24</v>
      </c>
      <c r="E1371" s="136">
        <f t="shared" si="66"/>
        <v>14</v>
      </c>
      <c r="F1371" s="128" t="s">
        <v>206</v>
      </c>
      <c r="G1371" s="128" t="str">
        <f>VLOOKUP(source[[#This Row],[lending_product_transform]],[3]Mapping!$B$4:$C$37,2,0)</f>
        <v>[NGS] - Cashloan</v>
      </c>
      <c r="H1371" s="128" t="str">
        <f>VLOOKUP(source[[#This Row],[lending_product_transform]],[3]Mapping!$B$3:$D$37,3,0)</f>
        <v>cashloan</v>
      </c>
      <c r="I1371" s="135">
        <v>773770000</v>
      </c>
    </row>
    <row r="1372" spans="1:9" x14ac:dyDescent="0.2">
      <c r="A1372" s="134">
        <v>45457</v>
      </c>
      <c r="B1372" s="135">
        <f>YEAR(source[[#This Row],[report_date]])</f>
        <v>2024</v>
      </c>
      <c r="C1372" s="136">
        <v>6</v>
      </c>
      <c r="D1372" s="136">
        <f t="shared" si="65"/>
        <v>24</v>
      </c>
      <c r="E1372" s="136">
        <f t="shared" si="66"/>
        <v>14</v>
      </c>
      <c r="F1372" s="128" t="s">
        <v>56</v>
      </c>
      <c r="G1372" s="128">
        <f>VLOOKUP(source[[#This Row],[lending_product_transform]],[3]Mapping!$B$4:$C$37,2,0)</f>
        <v>0</v>
      </c>
      <c r="H1372" s="128">
        <f>VLOOKUP(source[[#This Row],[lending_product_transform]],[3]Mapping!$B$3:$D$37,3,0)</f>
        <v>0</v>
      </c>
      <c r="I1372" s="135">
        <v>11395618833</v>
      </c>
    </row>
    <row r="1373" spans="1:9" x14ac:dyDescent="0.2">
      <c r="A1373" s="134">
        <v>45457</v>
      </c>
      <c r="B1373" s="135">
        <f>YEAR(source[[#This Row],[report_date]])</f>
        <v>2024</v>
      </c>
      <c r="C1373" s="136">
        <v>6</v>
      </c>
      <c r="D1373" s="136">
        <f t="shared" si="65"/>
        <v>24</v>
      </c>
      <c r="E1373" s="136">
        <f t="shared" si="66"/>
        <v>14</v>
      </c>
      <c r="F1373" s="128" t="s">
        <v>67</v>
      </c>
      <c r="G1373" s="128" t="str">
        <f>VLOOKUP(source[[#This Row],[lending_product_transform]],[3]Mapping!$B$4:$C$37,2,0)</f>
        <v>[Cake] - Overdraft</v>
      </c>
      <c r="H1373" s="128" t="str">
        <f>VLOOKUP(source[[#This Row],[lending_product_transform]],[3]Mapping!$B$3:$D$37,3,0)</f>
        <v>overdraft</v>
      </c>
      <c r="I1373" s="135">
        <v>2516376316</v>
      </c>
    </row>
    <row r="1374" spans="1:9" x14ac:dyDescent="0.2">
      <c r="A1374" s="134">
        <v>45457</v>
      </c>
      <c r="B1374" s="135">
        <f>YEAR(source[[#This Row],[report_date]])</f>
        <v>2024</v>
      </c>
      <c r="C1374" s="136">
        <v>6</v>
      </c>
      <c r="D1374" s="136">
        <f t="shared" si="65"/>
        <v>24</v>
      </c>
      <c r="E1374" s="136">
        <f t="shared" si="66"/>
        <v>14</v>
      </c>
      <c r="F1374" s="128" t="s">
        <v>61</v>
      </c>
      <c r="G1374" s="128" t="str">
        <f>VLOOKUP(source[[#This Row],[lending_product_transform]],[3]Mapping!$B$4:$C$37,2,0)</f>
        <v>[VDS] - Payroll Payday</v>
      </c>
      <c r="H1374" s="128" t="str">
        <f>VLOOKUP(source[[#This Row],[lending_product_transform]],[3]Mapping!$B$3:$D$37,3,0)</f>
        <v>payday</v>
      </c>
      <c r="I1374" s="135">
        <v>29000000</v>
      </c>
    </row>
    <row r="1375" spans="1:9" x14ac:dyDescent="0.2">
      <c r="A1375" s="134">
        <v>45457</v>
      </c>
      <c r="B1375" s="135">
        <f>YEAR(source[[#This Row],[report_date]])</f>
        <v>2024</v>
      </c>
      <c r="C1375" s="136">
        <v>6</v>
      </c>
      <c r="D1375" s="136">
        <f t="shared" si="65"/>
        <v>24</v>
      </c>
      <c r="E1375" s="136">
        <f t="shared" si="66"/>
        <v>14</v>
      </c>
      <c r="F1375" s="128" t="s">
        <v>62</v>
      </c>
      <c r="G1375" s="128" t="str">
        <f>VLOOKUP(source[[#This Row],[lending_product_transform]],[3]Mapping!$B$4:$C$37,2,0)</f>
        <v>[VDS] - Paylater</v>
      </c>
      <c r="H1375" s="128" t="str">
        <f>VLOOKUP(source[[#This Row],[lending_product_transform]],[3]Mapping!$B$3:$D$37,3,0)</f>
        <v>paylater</v>
      </c>
      <c r="I1375" s="135">
        <v>75083517</v>
      </c>
    </row>
    <row r="1376" spans="1:9" x14ac:dyDescent="0.2">
      <c r="A1376" s="134">
        <v>45457</v>
      </c>
      <c r="B1376" s="135">
        <f>YEAR(source[[#This Row],[report_date]])</f>
        <v>2024</v>
      </c>
      <c r="C1376" s="136">
        <v>6</v>
      </c>
      <c r="D1376" s="136">
        <f t="shared" si="65"/>
        <v>24</v>
      </c>
      <c r="E1376" s="136">
        <f t="shared" si="66"/>
        <v>14</v>
      </c>
      <c r="F1376" s="128" t="s">
        <v>238</v>
      </c>
      <c r="G1376" s="128" t="str">
        <f>VLOOKUP(source[[#This Row],[lending_product_transform]],[3]Mapping!$B$4:$C$37,2,0)</f>
        <v>[VDS] - Cashloan LP</v>
      </c>
      <c r="H1376" s="128" t="str">
        <f>VLOOKUP(source[[#This Row],[lending_product_transform]],[3]Mapping!$B$3:$D$37,3,0)</f>
        <v>cashloan</v>
      </c>
      <c r="I1376" s="135">
        <v>65270000</v>
      </c>
    </row>
    <row r="1377" spans="1:9" x14ac:dyDescent="0.2">
      <c r="A1377" s="134">
        <v>45457</v>
      </c>
      <c r="B1377" s="135">
        <f>YEAR(source[[#This Row],[report_date]])</f>
        <v>2024</v>
      </c>
      <c r="C1377" s="136">
        <v>6</v>
      </c>
      <c r="D1377" s="136">
        <f t="shared" si="65"/>
        <v>24</v>
      </c>
      <c r="E1377" s="136">
        <f t="shared" si="66"/>
        <v>14</v>
      </c>
      <c r="F1377" s="128" t="s">
        <v>19</v>
      </c>
      <c r="G1377" s="128" t="str">
        <f>VLOOKUP(source[[#This Row],[lending_product_transform]],[3]Mapping!$B$4:$C$37,2,0)</f>
        <v>[VDS] - Payday</v>
      </c>
      <c r="H1377" s="128" t="str">
        <f>VLOOKUP(source[[#This Row],[lending_product_transform]],[3]Mapping!$B$3:$D$37,3,0)</f>
        <v>payday</v>
      </c>
      <c r="I1377" s="135">
        <v>3226500000</v>
      </c>
    </row>
    <row r="1378" spans="1:9" x14ac:dyDescent="0.2">
      <c r="A1378" s="134">
        <v>45457</v>
      </c>
      <c r="B1378" s="135">
        <f>YEAR(source[[#This Row],[report_date]])</f>
        <v>2024</v>
      </c>
      <c r="C1378" s="136">
        <v>6</v>
      </c>
      <c r="D1378" s="136">
        <f t="shared" si="65"/>
        <v>24</v>
      </c>
      <c r="E1378" s="136">
        <f t="shared" si="66"/>
        <v>14</v>
      </c>
      <c r="F1378" s="128" t="s">
        <v>65</v>
      </c>
      <c r="G1378" s="128" t="str">
        <f>VLOOKUP(source[[#This Row],[lending_product_transform]],[3]Mapping!$B$4:$C$37,2,0)</f>
        <v>[BE] - Cashloan</v>
      </c>
      <c r="H1378" s="128" t="str">
        <f>VLOOKUP(source[[#This Row],[lending_product_transform]],[3]Mapping!$B$3:$D$37,3,0)</f>
        <v>cashloan</v>
      </c>
      <c r="I1378" s="135">
        <v>155400000</v>
      </c>
    </row>
    <row r="1379" spans="1:9" x14ac:dyDescent="0.2">
      <c r="A1379" s="134">
        <v>45457</v>
      </c>
      <c r="B1379" s="135">
        <f>YEAR(source[[#This Row],[report_date]])</f>
        <v>2024</v>
      </c>
      <c r="C1379" s="136">
        <v>6</v>
      </c>
      <c r="D1379" s="136">
        <f t="shared" si="65"/>
        <v>24</v>
      </c>
      <c r="E1379" s="136">
        <f t="shared" si="66"/>
        <v>14</v>
      </c>
      <c r="F1379" s="128" t="s">
        <v>11</v>
      </c>
      <c r="G1379" s="128" t="str">
        <f>VLOOKUP(source[[#This Row],[lending_product_transform]],[3]Mapping!$B$4:$C$37,2,0)</f>
        <v>[VDS] - Cashloan</v>
      </c>
      <c r="H1379" s="128" t="str">
        <f>VLOOKUP(source[[#This Row],[lending_product_transform]],[3]Mapping!$B$3:$D$37,3,0)</f>
        <v>cashloan</v>
      </c>
      <c r="I1379" s="135">
        <v>4464440000</v>
      </c>
    </row>
    <row r="1380" spans="1:9" x14ac:dyDescent="0.2">
      <c r="A1380" s="134">
        <v>45457</v>
      </c>
      <c r="B1380" s="135">
        <f>YEAR(source[[#This Row],[report_date]])</f>
        <v>2024</v>
      </c>
      <c r="C1380" s="136">
        <v>6</v>
      </c>
      <c r="D1380" s="136">
        <f t="shared" si="65"/>
        <v>24</v>
      </c>
      <c r="E1380" s="136">
        <f t="shared" si="66"/>
        <v>14</v>
      </c>
      <c r="F1380" s="128" t="s">
        <v>58</v>
      </c>
      <c r="G1380" s="128" t="str">
        <f>VLOOKUP(source[[#This Row],[lending_product_transform]],[3]Mapping!$B$4:$C$37,2,0)</f>
        <v>[VDS] - Payroll Cashloan</v>
      </c>
      <c r="H1380" s="128" t="str">
        <f>VLOOKUP(source[[#This Row],[lending_product_transform]],[3]Mapping!$B$3:$D$37,3,0)</f>
        <v>cashloan</v>
      </c>
      <c r="I1380" s="135">
        <v>10500000</v>
      </c>
    </row>
    <row r="1381" spans="1:9" x14ac:dyDescent="0.2">
      <c r="A1381" s="134">
        <v>45458</v>
      </c>
      <c r="B1381" s="135">
        <f>YEAR(source[[#This Row],[report_date]])</f>
        <v>2024</v>
      </c>
      <c r="C1381" s="136">
        <v>6</v>
      </c>
      <c r="D1381" s="136">
        <f t="shared" si="65"/>
        <v>24</v>
      </c>
      <c r="E1381" s="136">
        <f t="shared" si="66"/>
        <v>15</v>
      </c>
      <c r="F1381" s="128" t="s">
        <v>239</v>
      </c>
      <c r="G1381" s="128" t="str">
        <f>VLOOKUP(source[[#This Row],[lending_product_transform]],[3]Mapping!$B$4:$C$37,2,0)</f>
        <v>[VDS] - Cashloan LP</v>
      </c>
      <c r="H1381" s="128" t="str">
        <f>VLOOKUP(source[[#This Row],[lending_product_transform]],[3]Mapping!$B$3:$D$37,3,0)</f>
        <v>cashloan</v>
      </c>
      <c r="I1381" s="135">
        <v>116860000</v>
      </c>
    </row>
    <row r="1382" spans="1:9" x14ac:dyDescent="0.2">
      <c r="A1382" s="134">
        <v>45458</v>
      </c>
      <c r="B1382" s="135">
        <f>YEAR(source[[#This Row],[report_date]])</f>
        <v>2024</v>
      </c>
      <c r="C1382" s="136">
        <v>6</v>
      </c>
      <c r="D1382" s="136">
        <f t="shared" si="65"/>
        <v>24</v>
      </c>
      <c r="E1382" s="136">
        <f t="shared" si="66"/>
        <v>15</v>
      </c>
      <c r="F1382" s="128" t="s">
        <v>65</v>
      </c>
      <c r="G1382" s="128" t="str">
        <f>VLOOKUP(source[[#This Row],[lending_product_transform]],[3]Mapping!$B$4:$C$37,2,0)</f>
        <v>[BE] - Cashloan</v>
      </c>
      <c r="H1382" s="128" t="str">
        <f>VLOOKUP(source[[#This Row],[lending_product_transform]],[3]Mapping!$B$3:$D$37,3,0)</f>
        <v>cashloan</v>
      </c>
      <c r="I1382" s="135">
        <v>211100000</v>
      </c>
    </row>
    <row r="1383" spans="1:9" x14ac:dyDescent="0.2">
      <c r="A1383" s="134">
        <v>45458</v>
      </c>
      <c r="B1383" s="135">
        <f>YEAR(source[[#This Row],[report_date]])</f>
        <v>2024</v>
      </c>
      <c r="C1383" s="136">
        <v>6</v>
      </c>
      <c r="D1383" s="136">
        <f t="shared" si="65"/>
        <v>24</v>
      </c>
      <c r="E1383" s="136">
        <f t="shared" si="66"/>
        <v>15</v>
      </c>
      <c r="F1383" s="128" t="s">
        <v>238</v>
      </c>
      <c r="G1383" s="128" t="str">
        <f>VLOOKUP(source[[#This Row],[lending_product_transform]],[3]Mapping!$B$4:$C$37,2,0)</f>
        <v>[VDS] - Cashloan LP</v>
      </c>
      <c r="H1383" s="128" t="str">
        <f>VLOOKUP(source[[#This Row],[lending_product_transform]],[3]Mapping!$B$3:$D$37,3,0)</f>
        <v>cashloan</v>
      </c>
      <c r="I1383" s="135">
        <v>61660000</v>
      </c>
    </row>
    <row r="1384" spans="1:9" x14ac:dyDescent="0.2">
      <c r="A1384" s="134">
        <v>45458</v>
      </c>
      <c r="B1384" s="135">
        <f>YEAR(source[[#This Row],[report_date]])</f>
        <v>2024</v>
      </c>
      <c r="C1384" s="136">
        <v>6</v>
      </c>
      <c r="D1384" s="136">
        <f t="shared" si="65"/>
        <v>24</v>
      </c>
      <c r="E1384" s="136">
        <f t="shared" si="66"/>
        <v>15</v>
      </c>
      <c r="F1384" s="128" t="s">
        <v>11</v>
      </c>
      <c r="G1384" s="128" t="str">
        <f>VLOOKUP(source[[#This Row],[lending_product_transform]],[3]Mapping!$B$4:$C$37,2,0)</f>
        <v>[VDS] - Cashloan</v>
      </c>
      <c r="H1384" s="128" t="str">
        <f>VLOOKUP(source[[#This Row],[lending_product_transform]],[3]Mapping!$B$3:$D$37,3,0)</f>
        <v>cashloan</v>
      </c>
      <c r="I1384" s="135">
        <v>4564080000</v>
      </c>
    </row>
    <row r="1385" spans="1:9" x14ac:dyDescent="0.2">
      <c r="A1385" s="134">
        <v>45458</v>
      </c>
      <c r="B1385" s="135">
        <f>YEAR(source[[#This Row],[report_date]])</f>
        <v>2024</v>
      </c>
      <c r="C1385" s="136">
        <v>6</v>
      </c>
      <c r="D1385" s="136">
        <f t="shared" si="65"/>
        <v>24</v>
      </c>
      <c r="E1385" s="136">
        <f t="shared" si="66"/>
        <v>15</v>
      </c>
      <c r="F1385" s="128" t="s">
        <v>61</v>
      </c>
      <c r="G1385" s="128" t="str">
        <f>VLOOKUP(source[[#This Row],[lending_product_transform]],[3]Mapping!$B$4:$C$37,2,0)</f>
        <v>[VDS] - Payroll Payday</v>
      </c>
      <c r="H1385" s="128" t="str">
        <f>VLOOKUP(source[[#This Row],[lending_product_transform]],[3]Mapping!$B$3:$D$37,3,0)</f>
        <v>payday</v>
      </c>
      <c r="I1385" s="135">
        <v>22000000</v>
      </c>
    </row>
    <row r="1386" spans="1:9" x14ac:dyDescent="0.2">
      <c r="A1386" s="134">
        <v>45458</v>
      </c>
      <c r="B1386" s="135">
        <f>YEAR(source[[#This Row],[report_date]])</f>
        <v>2024</v>
      </c>
      <c r="C1386" s="136">
        <v>6</v>
      </c>
      <c r="D1386" s="136">
        <f t="shared" si="65"/>
        <v>24</v>
      </c>
      <c r="E1386" s="136">
        <f t="shared" si="66"/>
        <v>15</v>
      </c>
      <c r="F1386" s="128" t="s">
        <v>56</v>
      </c>
      <c r="G1386" s="128">
        <f>VLOOKUP(source[[#This Row],[lending_product_transform]],[3]Mapping!$B$4:$C$37,2,0)</f>
        <v>0</v>
      </c>
      <c r="H1386" s="128">
        <f>VLOOKUP(source[[#This Row],[lending_product_transform]],[3]Mapping!$B$3:$D$37,3,0)</f>
        <v>0</v>
      </c>
      <c r="I1386" s="135">
        <v>10879268864</v>
      </c>
    </row>
    <row r="1387" spans="1:9" x14ac:dyDescent="0.2">
      <c r="A1387" s="134">
        <v>45458</v>
      </c>
      <c r="B1387" s="135">
        <f>YEAR(source[[#This Row],[report_date]])</f>
        <v>2024</v>
      </c>
      <c r="C1387" s="136">
        <v>6</v>
      </c>
      <c r="D1387" s="136">
        <f t="shared" si="65"/>
        <v>24</v>
      </c>
      <c r="E1387" s="136">
        <f t="shared" si="66"/>
        <v>15</v>
      </c>
      <c r="F1387" s="128" t="s">
        <v>62</v>
      </c>
      <c r="G1387" s="128" t="str">
        <f>VLOOKUP(source[[#This Row],[lending_product_transform]],[3]Mapping!$B$4:$C$37,2,0)</f>
        <v>[VDS] - Paylater</v>
      </c>
      <c r="H1387" s="128" t="str">
        <f>VLOOKUP(source[[#This Row],[lending_product_transform]],[3]Mapping!$B$3:$D$37,3,0)</f>
        <v>paylater</v>
      </c>
      <c r="I1387" s="135">
        <v>88678130</v>
      </c>
    </row>
    <row r="1388" spans="1:9" x14ac:dyDescent="0.2">
      <c r="A1388" s="134">
        <v>45458</v>
      </c>
      <c r="B1388" s="135">
        <f>YEAR(source[[#This Row],[report_date]])</f>
        <v>2024</v>
      </c>
      <c r="C1388" s="136">
        <v>6</v>
      </c>
      <c r="D1388" s="136">
        <f t="shared" si="65"/>
        <v>24</v>
      </c>
      <c r="E1388" s="136">
        <f t="shared" si="66"/>
        <v>15</v>
      </c>
      <c r="F1388" s="128" t="s">
        <v>66</v>
      </c>
      <c r="G1388" s="128" t="str">
        <f>VLOOKUP(source[[#This Row],[lending_product_transform]],[3]Mapping!$B$4:$C$37,2,0)</f>
        <v>[BE] - Paylater</v>
      </c>
      <c r="H1388" s="128" t="str">
        <f>VLOOKUP(source[[#This Row],[lending_product_transform]],[3]Mapping!$B$3:$D$37,3,0)</f>
        <v>paylater</v>
      </c>
      <c r="I1388" s="135">
        <v>138000</v>
      </c>
    </row>
    <row r="1389" spans="1:9" x14ac:dyDescent="0.2">
      <c r="A1389" s="134">
        <v>45458</v>
      </c>
      <c r="B1389" s="135">
        <f>YEAR(source[[#This Row],[report_date]])</f>
        <v>2024</v>
      </c>
      <c r="C1389" s="136">
        <v>6</v>
      </c>
      <c r="D1389" s="136">
        <f t="shared" si="65"/>
        <v>24</v>
      </c>
      <c r="E1389" s="136">
        <f t="shared" si="66"/>
        <v>15</v>
      </c>
      <c r="F1389" s="128" t="s">
        <v>19</v>
      </c>
      <c r="G1389" s="128" t="str">
        <f>VLOOKUP(source[[#This Row],[lending_product_transform]],[3]Mapping!$B$4:$C$37,2,0)</f>
        <v>[VDS] - Payday</v>
      </c>
      <c r="H1389" s="128" t="str">
        <f>VLOOKUP(source[[#This Row],[lending_product_transform]],[3]Mapping!$B$3:$D$37,3,0)</f>
        <v>payday</v>
      </c>
      <c r="I1389" s="135">
        <v>3021000000</v>
      </c>
    </row>
    <row r="1390" spans="1:9" x14ac:dyDescent="0.2">
      <c r="A1390" s="134">
        <v>45458</v>
      </c>
      <c r="B1390" s="135">
        <f>YEAR(source[[#This Row],[report_date]])</f>
        <v>2024</v>
      </c>
      <c r="C1390" s="136">
        <v>6</v>
      </c>
      <c r="D1390" s="136">
        <f t="shared" si="65"/>
        <v>24</v>
      </c>
      <c r="E1390" s="136">
        <f t="shared" si="66"/>
        <v>15</v>
      </c>
      <c r="F1390" s="128" t="s">
        <v>206</v>
      </c>
      <c r="G1390" s="128" t="str">
        <f>VLOOKUP(source[[#This Row],[lending_product_transform]],[3]Mapping!$B$4:$C$37,2,0)</f>
        <v>[NGS] - Cashloan</v>
      </c>
      <c r="H1390" s="128" t="str">
        <f>VLOOKUP(source[[#This Row],[lending_product_transform]],[3]Mapping!$B$3:$D$37,3,0)</f>
        <v>cashloan</v>
      </c>
      <c r="I1390" s="135">
        <v>721430000</v>
      </c>
    </row>
    <row r="1391" spans="1:9" x14ac:dyDescent="0.2">
      <c r="A1391" s="134">
        <v>45458</v>
      </c>
      <c r="B1391" s="135">
        <f>YEAR(source[[#This Row],[report_date]])</f>
        <v>2024</v>
      </c>
      <c r="C1391" s="136">
        <v>6</v>
      </c>
      <c r="D1391" s="136">
        <f t="shared" si="65"/>
        <v>24</v>
      </c>
      <c r="E1391" s="136">
        <f t="shared" si="66"/>
        <v>15</v>
      </c>
      <c r="F1391" s="128" t="s">
        <v>58</v>
      </c>
      <c r="G1391" s="128" t="str">
        <f>VLOOKUP(source[[#This Row],[lending_product_transform]],[3]Mapping!$B$4:$C$37,2,0)</f>
        <v>[VDS] - Payroll Cashloan</v>
      </c>
      <c r="H1391" s="128" t="str">
        <f>VLOOKUP(source[[#This Row],[lending_product_transform]],[3]Mapping!$B$3:$D$37,3,0)</f>
        <v>cashloan</v>
      </c>
      <c r="I1391" s="135">
        <v>24150000</v>
      </c>
    </row>
    <row r="1392" spans="1:9" x14ac:dyDescent="0.2">
      <c r="A1392" s="134">
        <v>45458</v>
      </c>
      <c r="B1392" s="135">
        <f>YEAR(source[[#This Row],[report_date]])</f>
        <v>2024</v>
      </c>
      <c r="C1392" s="136">
        <v>6</v>
      </c>
      <c r="D1392" s="136">
        <f t="shared" si="65"/>
        <v>24</v>
      </c>
      <c r="E1392" s="136">
        <f t="shared" si="66"/>
        <v>15</v>
      </c>
      <c r="F1392" s="128" t="s">
        <v>67</v>
      </c>
      <c r="G1392" s="128" t="str">
        <f>VLOOKUP(source[[#This Row],[lending_product_transform]],[3]Mapping!$B$4:$C$37,2,0)</f>
        <v>[Cake] - Overdraft</v>
      </c>
      <c r="H1392" s="128" t="str">
        <f>VLOOKUP(source[[#This Row],[lending_product_transform]],[3]Mapping!$B$3:$D$37,3,0)</f>
        <v>overdraft</v>
      </c>
      <c r="I1392" s="135">
        <v>2048172734</v>
      </c>
    </row>
    <row r="1393" spans="1:9" x14ac:dyDescent="0.2">
      <c r="A1393" s="134">
        <v>45459</v>
      </c>
      <c r="B1393" s="135">
        <f>YEAR(source[[#This Row],[report_date]])</f>
        <v>2024</v>
      </c>
      <c r="C1393" s="136">
        <v>6</v>
      </c>
      <c r="D1393" s="136">
        <f t="shared" si="65"/>
        <v>24</v>
      </c>
      <c r="E1393" s="136">
        <f t="shared" si="66"/>
        <v>16</v>
      </c>
      <c r="F1393" s="128" t="s">
        <v>67</v>
      </c>
      <c r="G1393" s="128" t="str">
        <f>VLOOKUP(source[[#This Row],[lending_product_transform]],[3]Mapping!$B$4:$C$37,2,0)</f>
        <v>[Cake] - Overdraft</v>
      </c>
      <c r="H1393" s="128" t="str">
        <f>VLOOKUP(source[[#This Row],[lending_product_transform]],[3]Mapping!$B$3:$D$37,3,0)</f>
        <v>overdraft</v>
      </c>
      <c r="I1393" s="135">
        <v>1794079018</v>
      </c>
    </row>
    <row r="1394" spans="1:9" x14ac:dyDescent="0.2">
      <c r="A1394" s="134">
        <v>45459</v>
      </c>
      <c r="B1394" s="135">
        <f>YEAR(source[[#This Row],[report_date]])</f>
        <v>2024</v>
      </c>
      <c r="C1394" s="136">
        <v>6</v>
      </c>
      <c r="D1394" s="136">
        <f t="shared" si="65"/>
        <v>24</v>
      </c>
      <c r="E1394" s="136">
        <f t="shared" si="66"/>
        <v>16</v>
      </c>
      <c r="F1394" s="128" t="s">
        <v>65</v>
      </c>
      <c r="G1394" s="128" t="str">
        <f>VLOOKUP(source[[#This Row],[lending_product_transform]],[3]Mapping!$B$4:$C$37,2,0)</f>
        <v>[BE] - Cashloan</v>
      </c>
      <c r="H1394" s="128" t="str">
        <f>VLOOKUP(source[[#This Row],[lending_product_transform]],[3]Mapping!$B$3:$D$37,3,0)</f>
        <v>cashloan</v>
      </c>
      <c r="I1394" s="135">
        <v>176400000</v>
      </c>
    </row>
    <row r="1395" spans="1:9" x14ac:dyDescent="0.2">
      <c r="A1395" s="134">
        <v>45459</v>
      </c>
      <c r="B1395" s="135">
        <f>YEAR(source[[#This Row],[report_date]])</f>
        <v>2024</v>
      </c>
      <c r="C1395" s="136">
        <v>6</v>
      </c>
      <c r="D1395" s="136">
        <f t="shared" si="65"/>
        <v>24</v>
      </c>
      <c r="E1395" s="136">
        <f t="shared" si="66"/>
        <v>16</v>
      </c>
      <c r="F1395" s="128" t="s">
        <v>206</v>
      </c>
      <c r="G1395" s="128" t="str">
        <f>VLOOKUP(source[[#This Row],[lending_product_transform]],[3]Mapping!$B$4:$C$37,2,0)</f>
        <v>[NGS] - Cashloan</v>
      </c>
      <c r="H1395" s="128" t="str">
        <f>VLOOKUP(source[[#This Row],[lending_product_transform]],[3]Mapping!$B$3:$D$37,3,0)</f>
        <v>cashloan</v>
      </c>
      <c r="I1395" s="135">
        <v>192600000</v>
      </c>
    </row>
    <row r="1396" spans="1:9" x14ac:dyDescent="0.2">
      <c r="A1396" s="134">
        <v>45459</v>
      </c>
      <c r="B1396" s="135">
        <f>YEAR(source[[#This Row],[report_date]])</f>
        <v>2024</v>
      </c>
      <c r="C1396" s="136">
        <v>6</v>
      </c>
      <c r="D1396" s="136">
        <f t="shared" si="65"/>
        <v>24</v>
      </c>
      <c r="E1396" s="136">
        <f t="shared" si="66"/>
        <v>16</v>
      </c>
      <c r="F1396" s="128" t="s">
        <v>19</v>
      </c>
      <c r="G1396" s="128" t="str">
        <f>VLOOKUP(source[[#This Row],[lending_product_transform]],[3]Mapping!$B$4:$C$37,2,0)</f>
        <v>[VDS] - Payday</v>
      </c>
      <c r="H1396" s="128" t="str">
        <f>VLOOKUP(source[[#This Row],[lending_product_transform]],[3]Mapping!$B$3:$D$37,3,0)</f>
        <v>payday</v>
      </c>
      <c r="I1396" s="135">
        <v>2587000000</v>
      </c>
    </row>
    <row r="1397" spans="1:9" x14ac:dyDescent="0.2">
      <c r="A1397" s="134">
        <v>45459</v>
      </c>
      <c r="B1397" s="135">
        <f>YEAR(source[[#This Row],[report_date]])</f>
        <v>2024</v>
      </c>
      <c r="C1397" s="136">
        <v>6</v>
      </c>
      <c r="D1397" s="136">
        <f t="shared" si="65"/>
        <v>24</v>
      </c>
      <c r="E1397" s="136">
        <f t="shared" si="66"/>
        <v>16</v>
      </c>
      <c r="F1397" s="128" t="s">
        <v>56</v>
      </c>
      <c r="G1397" s="128">
        <f>VLOOKUP(source[[#This Row],[lending_product_transform]],[3]Mapping!$B$4:$C$37,2,0)</f>
        <v>0</v>
      </c>
      <c r="H1397" s="128">
        <f>VLOOKUP(source[[#This Row],[lending_product_transform]],[3]Mapping!$B$3:$D$37,3,0)</f>
        <v>0</v>
      </c>
      <c r="I1397" s="135">
        <v>8821738237</v>
      </c>
    </row>
    <row r="1398" spans="1:9" x14ac:dyDescent="0.2">
      <c r="A1398" s="134">
        <v>45459</v>
      </c>
      <c r="B1398" s="135">
        <f>YEAR(source[[#This Row],[report_date]])</f>
        <v>2024</v>
      </c>
      <c r="C1398" s="136">
        <v>6</v>
      </c>
      <c r="D1398" s="136">
        <f t="shared" si="65"/>
        <v>24</v>
      </c>
      <c r="E1398" s="136">
        <f t="shared" si="66"/>
        <v>16</v>
      </c>
      <c r="F1398" s="128" t="s">
        <v>238</v>
      </c>
      <c r="G1398" s="128" t="str">
        <f>VLOOKUP(source[[#This Row],[lending_product_transform]],[3]Mapping!$B$4:$C$37,2,0)</f>
        <v>[VDS] - Cashloan LP</v>
      </c>
      <c r="H1398" s="128" t="str">
        <f>VLOOKUP(source[[#This Row],[lending_product_transform]],[3]Mapping!$B$3:$D$37,3,0)</f>
        <v>cashloan</v>
      </c>
      <c r="I1398" s="135">
        <v>58800000</v>
      </c>
    </row>
    <row r="1399" spans="1:9" x14ac:dyDescent="0.2">
      <c r="A1399" s="134">
        <v>45459</v>
      </c>
      <c r="B1399" s="135">
        <f>YEAR(source[[#This Row],[report_date]])</f>
        <v>2024</v>
      </c>
      <c r="C1399" s="136">
        <v>6</v>
      </c>
      <c r="D1399" s="136">
        <f t="shared" si="65"/>
        <v>24</v>
      </c>
      <c r="E1399" s="136">
        <f t="shared" si="66"/>
        <v>16</v>
      </c>
      <c r="F1399" s="128" t="s">
        <v>61</v>
      </c>
      <c r="G1399" s="128" t="str">
        <f>VLOOKUP(source[[#This Row],[lending_product_transform]],[3]Mapping!$B$4:$C$37,2,0)</f>
        <v>[VDS] - Payroll Payday</v>
      </c>
      <c r="H1399" s="128" t="str">
        <f>VLOOKUP(source[[#This Row],[lending_product_transform]],[3]Mapping!$B$3:$D$37,3,0)</f>
        <v>payday</v>
      </c>
      <c r="I1399" s="135">
        <v>15000000</v>
      </c>
    </row>
    <row r="1400" spans="1:9" x14ac:dyDescent="0.2">
      <c r="A1400" s="134">
        <v>45459</v>
      </c>
      <c r="B1400" s="135">
        <f>YEAR(source[[#This Row],[report_date]])</f>
        <v>2024</v>
      </c>
      <c r="C1400" s="136">
        <v>6</v>
      </c>
      <c r="D1400" s="136">
        <f t="shared" si="65"/>
        <v>24</v>
      </c>
      <c r="E1400" s="136">
        <f t="shared" si="66"/>
        <v>16</v>
      </c>
      <c r="F1400" s="128" t="s">
        <v>58</v>
      </c>
      <c r="G1400" s="128" t="str">
        <f>VLOOKUP(source[[#This Row],[lending_product_transform]],[3]Mapping!$B$4:$C$37,2,0)</f>
        <v>[VDS] - Payroll Cashloan</v>
      </c>
      <c r="H1400" s="128" t="str">
        <f>VLOOKUP(source[[#This Row],[lending_product_transform]],[3]Mapping!$B$3:$D$37,3,0)</f>
        <v>cashloan</v>
      </c>
      <c r="I1400" s="135">
        <v>10500000</v>
      </c>
    </row>
    <row r="1401" spans="1:9" x14ac:dyDescent="0.2">
      <c r="A1401" s="134">
        <v>45459</v>
      </c>
      <c r="B1401" s="135">
        <f>YEAR(source[[#This Row],[report_date]])</f>
        <v>2024</v>
      </c>
      <c r="C1401" s="136">
        <v>6</v>
      </c>
      <c r="D1401" s="136">
        <f t="shared" si="65"/>
        <v>24</v>
      </c>
      <c r="E1401" s="136">
        <f t="shared" si="66"/>
        <v>16</v>
      </c>
      <c r="F1401" s="128" t="s">
        <v>62</v>
      </c>
      <c r="G1401" s="128" t="str">
        <f>VLOOKUP(source[[#This Row],[lending_product_transform]],[3]Mapping!$B$4:$C$37,2,0)</f>
        <v>[VDS] - Paylater</v>
      </c>
      <c r="H1401" s="128" t="str">
        <f>VLOOKUP(source[[#This Row],[lending_product_transform]],[3]Mapping!$B$3:$D$37,3,0)</f>
        <v>paylater</v>
      </c>
      <c r="I1401" s="135">
        <v>79889219</v>
      </c>
    </row>
    <row r="1402" spans="1:9" x14ac:dyDescent="0.2">
      <c r="A1402" s="134">
        <v>45459</v>
      </c>
      <c r="B1402" s="135">
        <f>YEAR(source[[#This Row],[report_date]])</f>
        <v>2024</v>
      </c>
      <c r="C1402" s="136">
        <v>6</v>
      </c>
      <c r="D1402" s="136">
        <f t="shared" si="65"/>
        <v>24</v>
      </c>
      <c r="E1402" s="136">
        <f t="shared" si="66"/>
        <v>16</v>
      </c>
      <c r="F1402" s="128" t="s">
        <v>66</v>
      </c>
      <c r="G1402" s="128" t="str">
        <f>VLOOKUP(source[[#This Row],[lending_product_transform]],[3]Mapping!$B$4:$C$37,2,0)</f>
        <v>[BE] - Paylater</v>
      </c>
      <c r="H1402" s="128" t="str">
        <f>VLOOKUP(source[[#This Row],[lending_product_transform]],[3]Mapping!$B$3:$D$37,3,0)</f>
        <v>paylater</v>
      </c>
      <c r="I1402" s="135">
        <v>0</v>
      </c>
    </row>
    <row r="1403" spans="1:9" x14ac:dyDescent="0.2">
      <c r="A1403" s="134">
        <v>45459</v>
      </c>
      <c r="B1403" s="135">
        <f>YEAR(source[[#This Row],[report_date]])</f>
        <v>2024</v>
      </c>
      <c r="C1403" s="136">
        <v>6</v>
      </c>
      <c r="D1403" s="136">
        <f t="shared" si="65"/>
        <v>24</v>
      </c>
      <c r="E1403" s="136">
        <f t="shared" si="66"/>
        <v>16</v>
      </c>
      <c r="F1403" s="128" t="s">
        <v>11</v>
      </c>
      <c r="G1403" s="128" t="str">
        <f>VLOOKUP(source[[#This Row],[lending_product_transform]],[3]Mapping!$B$4:$C$37,2,0)</f>
        <v>[VDS] - Cashloan</v>
      </c>
      <c r="H1403" s="128" t="str">
        <f>VLOOKUP(source[[#This Row],[lending_product_transform]],[3]Mapping!$B$3:$D$37,3,0)</f>
        <v>cashloan</v>
      </c>
      <c r="I1403" s="135">
        <v>3846810000</v>
      </c>
    </row>
    <row r="1404" spans="1:9" x14ac:dyDescent="0.2">
      <c r="A1404" s="134">
        <v>45459</v>
      </c>
      <c r="B1404" s="135">
        <f>YEAR(source[[#This Row],[report_date]])</f>
        <v>2024</v>
      </c>
      <c r="C1404" s="136">
        <v>6</v>
      </c>
      <c r="D1404" s="136">
        <f t="shared" si="65"/>
        <v>24</v>
      </c>
      <c r="E1404" s="136">
        <f t="shared" si="66"/>
        <v>16</v>
      </c>
      <c r="F1404" s="128" t="s">
        <v>239</v>
      </c>
      <c r="G1404" s="128" t="str">
        <f>VLOOKUP(source[[#This Row],[lending_product_transform]],[3]Mapping!$B$4:$C$37,2,0)</f>
        <v>[VDS] - Cashloan LP</v>
      </c>
      <c r="H1404" s="128" t="str">
        <f>VLOOKUP(source[[#This Row],[lending_product_transform]],[3]Mapping!$B$3:$D$37,3,0)</f>
        <v>cashloan</v>
      </c>
      <c r="I1404" s="135">
        <v>60660000</v>
      </c>
    </row>
    <row r="1405" spans="1:9" x14ac:dyDescent="0.2">
      <c r="A1405" s="134">
        <v>45460</v>
      </c>
      <c r="B1405" s="135">
        <f>YEAR(source[[#This Row],[report_date]])</f>
        <v>2024</v>
      </c>
      <c r="C1405" s="136">
        <v>6</v>
      </c>
      <c r="D1405" s="136">
        <f t="shared" si="65"/>
        <v>25</v>
      </c>
      <c r="E1405" s="136">
        <f t="shared" si="66"/>
        <v>17</v>
      </c>
      <c r="F1405" s="128" t="s">
        <v>11</v>
      </c>
      <c r="G1405" s="128" t="str">
        <f>VLOOKUP(source[[#This Row],[lending_product_transform]],[3]Mapping!$B$4:$C$37,2,0)</f>
        <v>[VDS] - Cashloan</v>
      </c>
      <c r="H1405" s="128" t="str">
        <f>VLOOKUP(source[[#This Row],[lending_product_transform]],[3]Mapping!$B$3:$D$37,3,0)</f>
        <v>cashloan</v>
      </c>
      <c r="I1405" s="135">
        <v>5252480000</v>
      </c>
    </row>
    <row r="1406" spans="1:9" x14ac:dyDescent="0.2">
      <c r="A1406" s="134">
        <v>45460</v>
      </c>
      <c r="B1406" s="135">
        <f>YEAR(source[[#This Row],[report_date]])</f>
        <v>2024</v>
      </c>
      <c r="C1406" s="136">
        <v>6</v>
      </c>
      <c r="D1406" s="136">
        <f t="shared" si="65"/>
        <v>25</v>
      </c>
      <c r="E1406" s="136">
        <f t="shared" si="66"/>
        <v>17</v>
      </c>
      <c r="F1406" s="128" t="s">
        <v>67</v>
      </c>
      <c r="G1406" s="128" t="str">
        <f>VLOOKUP(source[[#This Row],[lending_product_transform]],[3]Mapping!$B$4:$C$37,2,0)</f>
        <v>[Cake] - Overdraft</v>
      </c>
      <c r="H1406" s="128" t="str">
        <f>VLOOKUP(source[[#This Row],[lending_product_transform]],[3]Mapping!$B$3:$D$37,3,0)</f>
        <v>overdraft</v>
      </c>
      <c r="I1406" s="135">
        <v>2589093258</v>
      </c>
    </row>
    <row r="1407" spans="1:9" x14ac:dyDescent="0.2">
      <c r="A1407" s="134">
        <v>45460</v>
      </c>
      <c r="B1407" s="135">
        <f>YEAR(source[[#This Row],[report_date]])</f>
        <v>2024</v>
      </c>
      <c r="C1407" s="136">
        <v>6</v>
      </c>
      <c r="D1407" s="136">
        <f t="shared" si="65"/>
        <v>25</v>
      </c>
      <c r="E1407" s="136">
        <f t="shared" si="66"/>
        <v>17</v>
      </c>
      <c r="F1407" s="128" t="s">
        <v>58</v>
      </c>
      <c r="G1407" s="128" t="str">
        <f>VLOOKUP(source[[#This Row],[lending_product_transform]],[3]Mapping!$B$4:$C$37,2,0)</f>
        <v>[VDS] - Payroll Cashloan</v>
      </c>
      <c r="H1407" s="128" t="str">
        <f>VLOOKUP(source[[#This Row],[lending_product_transform]],[3]Mapping!$B$3:$D$37,3,0)</f>
        <v>cashloan</v>
      </c>
      <c r="I1407" s="135">
        <v>46500000</v>
      </c>
    </row>
    <row r="1408" spans="1:9" x14ac:dyDescent="0.2">
      <c r="A1408" s="134">
        <v>45460</v>
      </c>
      <c r="B1408" s="135">
        <f>YEAR(source[[#This Row],[report_date]])</f>
        <v>2024</v>
      </c>
      <c r="C1408" s="136">
        <v>6</v>
      </c>
      <c r="D1408" s="136">
        <f t="shared" si="65"/>
        <v>25</v>
      </c>
      <c r="E1408" s="136">
        <f t="shared" si="66"/>
        <v>17</v>
      </c>
      <c r="F1408" s="128" t="s">
        <v>238</v>
      </c>
      <c r="G1408" s="128" t="str">
        <f>VLOOKUP(source[[#This Row],[lending_product_transform]],[3]Mapping!$B$4:$C$37,2,0)</f>
        <v>[VDS] - Cashloan LP</v>
      </c>
      <c r="H1408" s="128" t="str">
        <f>VLOOKUP(source[[#This Row],[lending_product_transform]],[3]Mapping!$B$3:$D$37,3,0)</f>
        <v>cashloan</v>
      </c>
      <c r="I1408" s="135">
        <v>0</v>
      </c>
    </row>
    <row r="1409" spans="1:9" x14ac:dyDescent="0.2">
      <c r="A1409" s="134">
        <v>45460</v>
      </c>
      <c r="B1409" s="135">
        <f>YEAR(source[[#This Row],[report_date]])</f>
        <v>2024</v>
      </c>
      <c r="C1409" s="136">
        <v>6</v>
      </c>
      <c r="D1409" s="136">
        <f t="shared" si="65"/>
        <v>25</v>
      </c>
      <c r="E1409" s="136">
        <f t="shared" si="66"/>
        <v>17</v>
      </c>
      <c r="F1409" s="128" t="s">
        <v>62</v>
      </c>
      <c r="G1409" s="128" t="str">
        <f>VLOOKUP(source[[#This Row],[lending_product_transform]],[3]Mapping!$B$4:$C$37,2,0)</f>
        <v>[VDS] - Paylater</v>
      </c>
      <c r="H1409" s="128" t="str">
        <f>VLOOKUP(source[[#This Row],[lending_product_transform]],[3]Mapping!$B$3:$D$37,3,0)</f>
        <v>paylater</v>
      </c>
      <c r="I1409" s="135">
        <v>117257026</v>
      </c>
    </row>
    <row r="1410" spans="1:9" x14ac:dyDescent="0.2">
      <c r="A1410" s="134">
        <v>45460</v>
      </c>
      <c r="B1410" s="135">
        <f>YEAR(source[[#This Row],[report_date]])</f>
        <v>2024</v>
      </c>
      <c r="C1410" s="136">
        <v>6</v>
      </c>
      <c r="D1410" s="136">
        <f t="shared" si="65"/>
        <v>25</v>
      </c>
      <c r="E1410" s="136">
        <f t="shared" si="66"/>
        <v>17</v>
      </c>
      <c r="F1410" s="128" t="s">
        <v>65</v>
      </c>
      <c r="G1410" s="128" t="str">
        <f>VLOOKUP(source[[#This Row],[lending_product_transform]],[3]Mapping!$B$4:$C$37,2,0)</f>
        <v>[BE] - Cashloan</v>
      </c>
      <c r="H1410" s="128" t="str">
        <f>VLOOKUP(source[[#This Row],[lending_product_transform]],[3]Mapping!$B$3:$D$37,3,0)</f>
        <v>cashloan</v>
      </c>
      <c r="I1410" s="135">
        <v>169450000</v>
      </c>
    </row>
    <row r="1411" spans="1:9" x14ac:dyDescent="0.2">
      <c r="A1411" s="134">
        <v>45460</v>
      </c>
      <c r="B1411" s="135">
        <f>YEAR(source[[#This Row],[report_date]])</f>
        <v>2024</v>
      </c>
      <c r="C1411" s="136">
        <v>6</v>
      </c>
      <c r="D1411" s="136">
        <f t="shared" ref="D1411:D1474" si="67">WEEKNUM(A1411,2)</f>
        <v>25</v>
      </c>
      <c r="E1411" s="136">
        <f t="shared" ref="E1411:E1474" si="68">DAY(A1411)</f>
        <v>17</v>
      </c>
      <c r="F1411" s="128" t="s">
        <v>61</v>
      </c>
      <c r="G1411" s="128" t="str">
        <f>VLOOKUP(source[[#This Row],[lending_product_transform]],[3]Mapping!$B$4:$C$37,2,0)</f>
        <v>[VDS] - Payroll Payday</v>
      </c>
      <c r="H1411" s="128" t="str">
        <f>VLOOKUP(source[[#This Row],[lending_product_transform]],[3]Mapping!$B$3:$D$37,3,0)</f>
        <v>payday</v>
      </c>
      <c r="I1411" s="135">
        <v>31000000</v>
      </c>
    </row>
    <row r="1412" spans="1:9" x14ac:dyDescent="0.2">
      <c r="A1412" s="134">
        <v>45460</v>
      </c>
      <c r="B1412" s="135">
        <f>YEAR(source[[#This Row],[report_date]])</f>
        <v>2024</v>
      </c>
      <c r="C1412" s="136">
        <v>6</v>
      </c>
      <c r="D1412" s="136">
        <f t="shared" si="67"/>
        <v>25</v>
      </c>
      <c r="E1412" s="136">
        <f t="shared" si="68"/>
        <v>17</v>
      </c>
      <c r="F1412" s="128" t="s">
        <v>56</v>
      </c>
      <c r="G1412" s="128">
        <f>VLOOKUP(source[[#This Row],[lending_product_transform]],[3]Mapping!$B$4:$C$37,2,0)</f>
        <v>0</v>
      </c>
      <c r="H1412" s="128">
        <f>VLOOKUP(source[[#This Row],[lending_product_transform]],[3]Mapping!$B$3:$D$37,3,0)</f>
        <v>0</v>
      </c>
      <c r="I1412" s="135">
        <v>12314630084</v>
      </c>
    </row>
    <row r="1413" spans="1:9" x14ac:dyDescent="0.2">
      <c r="A1413" s="134">
        <v>45460</v>
      </c>
      <c r="B1413" s="135">
        <f>YEAR(source[[#This Row],[report_date]])</f>
        <v>2024</v>
      </c>
      <c r="C1413" s="136">
        <v>6</v>
      </c>
      <c r="D1413" s="136">
        <f t="shared" si="67"/>
        <v>25</v>
      </c>
      <c r="E1413" s="136">
        <f t="shared" si="68"/>
        <v>17</v>
      </c>
      <c r="F1413" s="128" t="s">
        <v>66</v>
      </c>
      <c r="G1413" s="128" t="str">
        <f>VLOOKUP(source[[#This Row],[lending_product_transform]],[3]Mapping!$B$4:$C$37,2,0)</f>
        <v>[BE] - Paylater</v>
      </c>
      <c r="H1413" s="128" t="str">
        <f>VLOOKUP(source[[#This Row],[lending_product_transform]],[3]Mapping!$B$3:$D$37,3,0)</f>
        <v>paylater</v>
      </c>
      <c r="I1413" s="135">
        <v>359800</v>
      </c>
    </row>
    <row r="1414" spans="1:9" x14ac:dyDescent="0.2">
      <c r="A1414" s="134">
        <v>45460</v>
      </c>
      <c r="B1414" s="135">
        <f>YEAR(source[[#This Row],[report_date]])</f>
        <v>2024</v>
      </c>
      <c r="C1414" s="136">
        <v>6</v>
      </c>
      <c r="D1414" s="136">
        <f t="shared" si="67"/>
        <v>25</v>
      </c>
      <c r="E1414" s="136">
        <f t="shared" si="68"/>
        <v>17</v>
      </c>
      <c r="F1414" s="128" t="s">
        <v>239</v>
      </c>
      <c r="G1414" s="128" t="str">
        <f>VLOOKUP(source[[#This Row],[lending_product_transform]],[3]Mapping!$B$4:$C$37,2,0)</f>
        <v>[VDS] - Cashloan LP</v>
      </c>
      <c r="H1414" s="128" t="str">
        <f>VLOOKUP(source[[#This Row],[lending_product_transform]],[3]Mapping!$B$3:$D$37,3,0)</f>
        <v>cashloan</v>
      </c>
      <c r="I1414" s="135">
        <v>104110000</v>
      </c>
    </row>
    <row r="1415" spans="1:9" x14ac:dyDescent="0.2">
      <c r="A1415" s="134">
        <v>45460</v>
      </c>
      <c r="B1415" s="135">
        <f>YEAR(source[[#This Row],[report_date]])</f>
        <v>2024</v>
      </c>
      <c r="C1415" s="136">
        <v>6</v>
      </c>
      <c r="D1415" s="136">
        <f t="shared" si="67"/>
        <v>25</v>
      </c>
      <c r="E1415" s="136">
        <f t="shared" si="68"/>
        <v>17</v>
      </c>
      <c r="F1415" s="128" t="s">
        <v>19</v>
      </c>
      <c r="G1415" s="128" t="str">
        <f>VLOOKUP(source[[#This Row],[lending_product_transform]],[3]Mapping!$B$4:$C$37,2,0)</f>
        <v>[VDS] - Payday</v>
      </c>
      <c r="H1415" s="128" t="str">
        <f>VLOOKUP(source[[#This Row],[lending_product_transform]],[3]Mapping!$B$3:$D$37,3,0)</f>
        <v>payday</v>
      </c>
      <c r="I1415" s="135">
        <v>3165500000</v>
      </c>
    </row>
    <row r="1416" spans="1:9" x14ac:dyDescent="0.2">
      <c r="A1416" s="134">
        <v>45460</v>
      </c>
      <c r="B1416" s="135">
        <f>YEAR(source[[#This Row],[report_date]])</f>
        <v>2024</v>
      </c>
      <c r="C1416" s="136">
        <v>6</v>
      </c>
      <c r="D1416" s="136">
        <f t="shared" si="67"/>
        <v>25</v>
      </c>
      <c r="E1416" s="136">
        <f t="shared" si="68"/>
        <v>17</v>
      </c>
      <c r="F1416" s="128" t="s">
        <v>206</v>
      </c>
      <c r="G1416" s="128" t="str">
        <f>VLOOKUP(source[[#This Row],[lending_product_transform]],[3]Mapping!$B$4:$C$37,2,0)</f>
        <v>[NGS] - Cashloan</v>
      </c>
      <c r="H1416" s="128" t="str">
        <f>VLOOKUP(source[[#This Row],[lending_product_transform]],[3]Mapping!$B$3:$D$37,3,0)</f>
        <v>cashloan</v>
      </c>
      <c r="I1416" s="135">
        <v>838880000</v>
      </c>
    </row>
    <row r="1417" spans="1:9" x14ac:dyDescent="0.2">
      <c r="A1417" s="134">
        <v>45461</v>
      </c>
      <c r="B1417" s="135">
        <f>YEAR(source[[#This Row],[report_date]])</f>
        <v>2024</v>
      </c>
      <c r="C1417" s="136">
        <v>6</v>
      </c>
      <c r="D1417" s="136">
        <f t="shared" si="67"/>
        <v>25</v>
      </c>
      <c r="E1417" s="136">
        <f t="shared" si="68"/>
        <v>18</v>
      </c>
      <c r="F1417" s="128" t="s">
        <v>11</v>
      </c>
      <c r="G1417" s="128" t="str">
        <f>VLOOKUP(source[[#This Row],[lending_product_transform]],[3]Mapping!$B$4:$C$37,2,0)</f>
        <v>[VDS] - Cashloan</v>
      </c>
      <c r="H1417" s="128" t="str">
        <f>VLOOKUP(source[[#This Row],[lending_product_transform]],[3]Mapping!$B$3:$D$37,3,0)</f>
        <v>cashloan</v>
      </c>
      <c r="I1417" s="135">
        <v>6215520000</v>
      </c>
    </row>
    <row r="1418" spans="1:9" x14ac:dyDescent="0.2">
      <c r="A1418" s="134">
        <v>45461</v>
      </c>
      <c r="B1418" s="135">
        <f>YEAR(source[[#This Row],[report_date]])</f>
        <v>2024</v>
      </c>
      <c r="C1418" s="136">
        <v>6</v>
      </c>
      <c r="D1418" s="136">
        <f t="shared" si="67"/>
        <v>25</v>
      </c>
      <c r="E1418" s="136">
        <f t="shared" si="68"/>
        <v>18</v>
      </c>
      <c r="F1418" s="128" t="s">
        <v>239</v>
      </c>
      <c r="G1418" s="128" t="str">
        <f>VLOOKUP(source[[#This Row],[lending_product_transform]],[3]Mapping!$B$4:$C$37,2,0)</f>
        <v>[VDS] - Cashloan LP</v>
      </c>
      <c r="H1418" s="128" t="str">
        <f>VLOOKUP(source[[#This Row],[lending_product_transform]],[3]Mapping!$B$3:$D$37,3,0)</f>
        <v>cashloan</v>
      </c>
      <c r="I1418" s="135">
        <v>169840000</v>
      </c>
    </row>
    <row r="1419" spans="1:9" x14ac:dyDescent="0.2">
      <c r="A1419" s="134">
        <v>45461</v>
      </c>
      <c r="B1419" s="135">
        <f>YEAR(source[[#This Row],[report_date]])</f>
        <v>2024</v>
      </c>
      <c r="C1419" s="136">
        <v>6</v>
      </c>
      <c r="D1419" s="136">
        <f t="shared" si="67"/>
        <v>25</v>
      </c>
      <c r="E1419" s="136">
        <f t="shared" si="68"/>
        <v>18</v>
      </c>
      <c r="F1419" s="128" t="s">
        <v>206</v>
      </c>
      <c r="G1419" s="128" t="str">
        <f>VLOOKUP(source[[#This Row],[lending_product_transform]],[3]Mapping!$B$4:$C$37,2,0)</f>
        <v>[NGS] - Cashloan</v>
      </c>
      <c r="H1419" s="128" t="str">
        <f>VLOOKUP(source[[#This Row],[lending_product_transform]],[3]Mapping!$B$3:$D$37,3,0)</f>
        <v>cashloan</v>
      </c>
      <c r="I1419" s="135">
        <v>2550830000</v>
      </c>
    </row>
    <row r="1420" spans="1:9" x14ac:dyDescent="0.2">
      <c r="A1420" s="134">
        <v>45461</v>
      </c>
      <c r="B1420" s="135">
        <f>YEAR(source[[#This Row],[report_date]])</f>
        <v>2024</v>
      </c>
      <c r="C1420" s="136">
        <v>6</v>
      </c>
      <c r="D1420" s="136">
        <f t="shared" si="67"/>
        <v>25</v>
      </c>
      <c r="E1420" s="136">
        <f t="shared" si="68"/>
        <v>18</v>
      </c>
      <c r="F1420" s="128" t="s">
        <v>66</v>
      </c>
      <c r="G1420" s="128" t="str">
        <f>VLOOKUP(source[[#This Row],[lending_product_transform]],[3]Mapping!$B$4:$C$37,2,0)</f>
        <v>[BE] - Paylater</v>
      </c>
      <c r="H1420" s="128" t="str">
        <f>VLOOKUP(source[[#This Row],[lending_product_transform]],[3]Mapping!$B$3:$D$37,3,0)</f>
        <v>paylater</v>
      </c>
      <c r="I1420" s="135">
        <v>770990</v>
      </c>
    </row>
    <row r="1421" spans="1:9" x14ac:dyDescent="0.2">
      <c r="A1421" s="134">
        <v>45461</v>
      </c>
      <c r="B1421" s="135">
        <f>YEAR(source[[#This Row],[report_date]])</f>
        <v>2024</v>
      </c>
      <c r="C1421" s="136">
        <v>6</v>
      </c>
      <c r="D1421" s="136">
        <f t="shared" si="67"/>
        <v>25</v>
      </c>
      <c r="E1421" s="136">
        <f t="shared" si="68"/>
        <v>18</v>
      </c>
      <c r="F1421" s="128" t="s">
        <v>62</v>
      </c>
      <c r="G1421" s="128" t="str">
        <f>VLOOKUP(source[[#This Row],[lending_product_transform]],[3]Mapping!$B$4:$C$37,2,0)</f>
        <v>[VDS] - Paylater</v>
      </c>
      <c r="H1421" s="128" t="str">
        <f>VLOOKUP(source[[#This Row],[lending_product_transform]],[3]Mapping!$B$3:$D$37,3,0)</f>
        <v>paylater</v>
      </c>
      <c r="I1421" s="135">
        <v>111292560</v>
      </c>
    </row>
    <row r="1422" spans="1:9" x14ac:dyDescent="0.2">
      <c r="A1422" s="134">
        <v>45461</v>
      </c>
      <c r="B1422" s="135">
        <f>YEAR(source[[#This Row],[report_date]])</f>
        <v>2024</v>
      </c>
      <c r="C1422" s="136">
        <v>6</v>
      </c>
      <c r="D1422" s="136">
        <f t="shared" si="67"/>
        <v>25</v>
      </c>
      <c r="E1422" s="136">
        <f t="shared" si="68"/>
        <v>18</v>
      </c>
      <c r="F1422" s="128" t="s">
        <v>56</v>
      </c>
      <c r="G1422" s="128">
        <f>VLOOKUP(source[[#This Row],[lending_product_transform]],[3]Mapping!$B$4:$C$37,2,0)</f>
        <v>0</v>
      </c>
      <c r="H1422" s="128">
        <f>VLOOKUP(source[[#This Row],[lending_product_transform]],[3]Mapping!$B$3:$D$37,3,0)</f>
        <v>0</v>
      </c>
      <c r="I1422" s="135">
        <v>14523985483</v>
      </c>
    </row>
    <row r="1423" spans="1:9" x14ac:dyDescent="0.2">
      <c r="A1423" s="134">
        <v>45461</v>
      </c>
      <c r="B1423" s="135">
        <f>YEAR(source[[#This Row],[report_date]])</f>
        <v>2024</v>
      </c>
      <c r="C1423" s="136">
        <v>6</v>
      </c>
      <c r="D1423" s="136">
        <f t="shared" si="67"/>
        <v>25</v>
      </c>
      <c r="E1423" s="136">
        <f t="shared" si="68"/>
        <v>18</v>
      </c>
      <c r="F1423" s="128" t="s">
        <v>238</v>
      </c>
      <c r="G1423" s="128" t="str">
        <f>VLOOKUP(source[[#This Row],[lending_product_transform]],[3]Mapping!$B$4:$C$37,2,0)</f>
        <v>[VDS] - Cashloan LP</v>
      </c>
      <c r="H1423" s="128" t="str">
        <f>VLOOKUP(source[[#This Row],[lending_product_transform]],[3]Mapping!$B$3:$D$37,3,0)</f>
        <v>cashloan</v>
      </c>
      <c r="I1423" s="135">
        <v>0</v>
      </c>
    </row>
    <row r="1424" spans="1:9" x14ac:dyDescent="0.2">
      <c r="A1424" s="134">
        <v>45461</v>
      </c>
      <c r="B1424" s="135">
        <f>YEAR(source[[#This Row],[report_date]])</f>
        <v>2024</v>
      </c>
      <c r="C1424" s="136">
        <v>6</v>
      </c>
      <c r="D1424" s="136">
        <f t="shared" si="67"/>
        <v>25</v>
      </c>
      <c r="E1424" s="136">
        <f t="shared" si="68"/>
        <v>18</v>
      </c>
      <c r="F1424" s="128" t="s">
        <v>19</v>
      </c>
      <c r="G1424" s="128" t="str">
        <f>VLOOKUP(source[[#This Row],[lending_product_transform]],[3]Mapping!$B$4:$C$37,2,0)</f>
        <v>[VDS] - Payday</v>
      </c>
      <c r="H1424" s="128" t="str">
        <f>VLOOKUP(source[[#This Row],[lending_product_transform]],[3]Mapping!$B$3:$D$37,3,0)</f>
        <v>payday</v>
      </c>
      <c r="I1424" s="135">
        <v>3057000000</v>
      </c>
    </row>
    <row r="1425" spans="1:9" x14ac:dyDescent="0.2">
      <c r="A1425" s="134">
        <v>45461</v>
      </c>
      <c r="B1425" s="135">
        <f>YEAR(source[[#This Row],[report_date]])</f>
        <v>2024</v>
      </c>
      <c r="C1425" s="136">
        <v>6</v>
      </c>
      <c r="D1425" s="136">
        <f t="shared" si="67"/>
        <v>25</v>
      </c>
      <c r="E1425" s="136">
        <f t="shared" si="68"/>
        <v>18</v>
      </c>
      <c r="F1425" s="128" t="s">
        <v>61</v>
      </c>
      <c r="G1425" s="128" t="str">
        <f>VLOOKUP(source[[#This Row],[lending_product_transform]],[3]Mapping!$B$4:$C$37,2,0)</f>
        <v>[VDS] - Payroll Payday</v>
      </c>
      <c r="H1425" s="128" t="str">
        <f>VLOOKUP(source[[#This Row],[lending_product_transform]],[3]Mapping!$B$3:$D$37,3,0)</f>
        <v>payday</v>
      </c>
      <c r="I1425" s="135">
        <v>40000000</v>
      </c>
    </row>
    <row r="1426" spans="1:9" x14ac:dyDescent="0.2">
      <c r="A1426" s="134">
        <v>45461</v>
      </c>
      <c r="B1426" s="135">
        <f>YEAR(source[[#This Row],[report_date]])</f>
        <v>2024</v>
      </c>
      <c r="C1426" s="136">
        <v>6</v>
      </c>
      <c r="D1426" s="136">
        <f t="shared" si="67"/>
        <v>25</v>
      </c>
      <c r="E1426" s="136">
        <f t="shared" si="68"/>
        <v>18</v>
      </c>
      <c r="F1426" s="128" t="s">
        <v>58</v>
      </c>
      <c r="G1426" s="128" t="str">
        <f>VLOOKUP(source[[#This Row],[lending_product_transform]],[3]Mapping!$B$4:$C$37,2,0)</f>
        <v>[VDS] - Payroll Cashloan</v>
      </c>
      <c r="H1426" s="128" t="str">
        <f>VLOOKUP(source[[#This Row],[lending_product_transform]],[3]Mapping!$B$3:$D$37,3,0)</f>
        <v>cashloan</v>
      </c>
      <c r="I1426" s="135">
        <v>21000000</v>
      </c>
    </row>
    <row r="1427" spans="1:9" x14ac:dyDescent="0.2">
      <c r="A1427" s="134">
        <v>45461</v>
      </c>
      <c r="B1427" s="135">
        <f>YEAR(source[[#This Row],[report_date]])</f>
        <v>2024</v>
      </c>
      <c r="C1427" s="136">
        <v>6</v>
      </c>
      <c r="D1427" s="136">
        <f t="shared" si="67"/>
        <v>25</v>
      </c>
      <c r="E1427" s="136">
        <f t="shared" si="68"/>
        <v>18</v>
      </c>
      <c r="F1427" s="128" t="s">
        <v>67</v>
      </c>
      <c r="G1427" s="128" t="str">
        <f>VLOOKUP(source[[#This Row],[lending_product_transform]],[3]Mapping!$B$4:$C$37,2,0)</f>
        <v>[Cake] - Overdraft</v>
      </c>
      <c r="H1427" s="128" t="str">
        <f>VLOOKUP(source[[#This Row],[lending_product_transform]],[3]Mapping!$B$3:$D$37,3,0)</f>
        <v>overdraft</v>
      </c>
      <c r="I1427" s="135">
        <v>2161381933</v>
      </c>
    </row>
    <row r="1428" spans="1:9" x14ac:dyDescent="0.2">
      <c r="A1428" s="134">
        <v>45461</v>
      </c>
      <c r="B1428" s="135">
        <f>YEAR(source[[#This Row],[report_date]])</f>
        <v>2024</v>
      </c>
      <c r="C1428" s="136">
        <v>6</v>
      </c>
      <c r="D1428" s="136">
        <f t="shared" si="67"/>
        <v>25</v>
      </c>
      <c r="E1428" s="136">
        <f t="shared" si="68"/>
        <v>18</v>
      </c>
      <c r="F1428" s="128" t="s">
        <v>65</v>
      </c>
      <c r="G1428" s="128" t="str">
        <f>VLOOKUP(source[[#This Row],[lending_product_transform]],[3]Mapping!$B$4:$C$37,2,0)</f>
        <v>[BE] - Cashloan</v>
      </c>
      <c r="H1428" s="128" t="str">
        <f>VLOOKUP(source[[#This Row],[lending_product_transform]],[3]Mapping!$B$3:$D$37,3,0)</f>
        <v>cashloan</v>
      </c>
      <c r="I1428" s="135">
        <v>196350000</v>
      </c>
    </row>
    <row r="1429" spans="1:9" x14ac:dyDescent="0.2">
      <c r="A1429" s="134">
        <v>45462</v>
      </c>
      <c r="B1429" s="135">
        <f>YEAR(source[[#This Row],[report_date]])</f>
        <v>2024</v>
      </c>
      <c r="C1429" s="136">
        <v>6</v>
      </c>
      <c r="D1429" s="136">
        <f t="shared" si="67"/>
        <v>25</v>
      </c>
      <c r="E1429" s="136">
        <f t="shared" si="68"/>
        <v>19</v>
      </c>
      <c r="F1429" s="128" t="s">
        <v>19</v>
      </c>
      <c r="G1429" s="128" t="str">
        <f>VLOOKUP(source[[#This Row],[lending_product_transform]],[3]Mapping!$B$4:$C$37,2,0)</f>
        <v>[VDS] - Payday</v>
      </c>
      <c r="H1429" s="128" t="str">
        <f>VLOOKUP(source[[#This Row],[lending_product_transform]],[3]Mapping!$B$3:$D$37,3,0)</f>
        <v>payday</v>
      </c>
      <c r="I1429" s="135">
        <v>2851000000</v>
      </c>
    </row>
    <row r="1430" spans="1:9" x14ac:dyDescent="0.2">
      <c r="A1430" s="134">
        <v>45462</v>
      </c>
      <c r="B1430" s="135">
        <f>YEAR(source[[#This Row],[report_date]])</f>
        <v>2024</v>
      </c>
      <c r="C1430" s="136">
        <v>6</v>
      </c>
      <c r="D1430" s="136">
        <f t="shared" si="67"/>
        <v>25</v>
      </c>
      <c r="E1430" s="136">
        <f t="shared" si="68"/>
        <v>19</v>
      </c>
      <c r="F1430" s="128" t="s">
        <v>11</v>
      </c>
      <c r="G1430" s="128" t="str">
        <f>VLOOKUP(source[[#This Row],[lending_product_transform]],[3]Mapping!$B$4:$C$37,2,0)</f>
        <v>[VDS] - Cashloan</v>
      </c>
      <c r="H1430" s="128" t="str">
        <f>VLOOKUP(source[[#This Row],[lending_product_transform]],[3]Mapping!$B$3:$D$37,3,0)</f>
        <v>cashloan</v>
      </c>
      <c r="I1430" s="135">
        <v>5451400000</v>
      </c>
    </row>
    <row r="1431" spans="1:9" x14ac:dyDescent="0.2">
      <c r="A1431" s="134">
        <v>45462</v>
      </c>
      <c r="B1431" s="135">
        <f>YEAR(source[[#This Row],[report_date]])</f>
        <v>2024</v>
      </c>
      <c r="C1431" s="136">
        <v>6</v>
      </c>
      <c r="D1431" s="136">
        <f t="shared" si="67"/>
        <v>25</v>
      </c>
      <c r="E1431" s="136">
        <f t="shared" si="68"/>
        <v>19</v>
      </c>
      <c r="F1431" s="128" t="s">
        <v>238</v>
      </c>
      <c r="G1431" s="128" t="str">
        <f>VLOOKUP(source[[#This Row],[lending_product_transform]],[3]Mapping!$B$4:$C$37,2,0)</f>
        <v>[VDS] - Cashloan LP</v>
      </c>
      <c r="H1431" s="128" t="str">
        <f>VLOOKUP(source[[#This Row],[lending_product_transform]],[3]Mapping!$B$3:$D$37,3,0)</f>
        <v>cashloan</v>
      </c>
      <c r="I1431" s="135">
        <v>67220000</v>
      </c>
    </row>
    <row r="1432" spans="1:9" x14ac:dyDescent="0.2">
      <c r="A1432" s="134">
        <v>45462</v>
      </c>
      <c r="B1432" s="135">
        <f>YEAR(source[[#This Row],[report_date]])</f>
        <v>2024</v>
      </c>
      <c r="C1432" s="136">
        <v>6</v>
      </c>
      <c r="D1432" s="136">
        <f t="shared" si="67"/>
        <v>25</v>
      </c>
      <c r="E1432" s="136">
        <f t="shared" si="68"/>
        <v>19</v>
      </c>
      <c r="F1432" s="128" t="s">
        <v>67</v>
      </c>
      <c r="G1432" s="128" t="str">
        <f>VLOOKUP(source[[#This Row],[lending_product_transform]],[3]Mapping!$B$4:$C$37,2,0)</f>
        <v>[Cake] - Overdraft</v>
      </c>
      <c r="H1432" s="128" t="str">
        <f>VLOOKUP(source[[#This Row],[lending_product_transform]],[3]Mapping!$B$3:$D$37,3,0)</f>
        <v>overdraft</v>
      </c>
      <c r="I1432" s="135">
        <v>2143204581</v>
      </c>
    </row>
    <row r="1433" spans="1:9" x14ac:dyDescent="0.2">
      <c r="A1433" s="134">
        <v>45462</v>
      </c>
      <c r="B1433" s="135">
        <f>YEAR(source[[#This Row],[report_date]])</f>
        <v>2024</v>
      </c>
      <c r="C1433" s="136">
        <v>6</v>
      </c>
      <c r="D1433" s="136">
        <f t="shared" si="67"/>
        <v>25</v>
      </c>
      <c r="E1433" s="136">
        <f t="shared" si="68"/>
        <v>19</v>
      </c>
      <c r="F1433" s="128" t="s">
        <v>56</v>
      </c>
      <c r="G1433" s="128">
        <f>VLOOKUP(source[[#This Row],[lending_product_transform]],[3]Mapping!$B$4:$C$37,2,0)</f>
        <v>0</v>
      </c>
      <c r="H1433" s="128">
        <f>VLOOKUP(source[[#This Row],[lending_product_transform]],[3]Mapping!$B$3:$D$37,3,0)</f>
        <v>0</v>
      </c>
      <c r="I1433" s="135">
        <v>12277252661</v>
      </c>
    </row>
    <row r="1434" spans="1:9" x14ac:dyDescent="0.2">
      <c r="A1434" s="134">
        <v>45462</v>
      </c>
      <c r="B1434" s="135">
        <f>YEAR(source[[#This Row],[report_date]])</f>
        <v>2024</v>
      </c>
      <c r="C1434" s="136">
        <v>6</v>
      </c>
      <c r="D1434" s="136">
        <f t="shared" si="67"/>
        <v>25</v>
      </c>
      <c r="E1434" s="136">
        <f t="shared" si="68"/>
        <v>19</v>
      </c>
      <c r="F1434" s="128" t="s">
        <v>61</v>
      </c>
      <c r="G1434" s="128" t="str">
        <f>VLOOKUP(source[[#This Row],[lending_product_transform]],[3]Mapping!$B$4:$C$37,2,0)</f>
        <v>[VDS] - Payroll Payday</v>
      </c>
      <c r="H1434" s="128" t="str">
        <f>VLOOKUP(source[[#This Row],[lending_product_transform]],[3]Mapping!$B$3:$D$37,3,0)</f>
        <v>payday</v>
      </c>
      <c r="I1434" s="135">
        <v>22000000</v>
      </c>
    </row>
    <row r="1435" spans="1:9" x14ac:dyDescent="0.2">
      <c r="A1435" s="134">
        <v>45462</v>
      </c>
      <c r="B1435" s="135">
        <f>YEAR(source[[#This Row],[report_date]])</f>
        <v>2024</v>
      </c>
      <c r="C1435" s="136">
        <v>6</v>
      </c>
      <c r="D1435" s="136">
        <f t="shared" si="67"/>
        <v>25</v>
      </c>
      <c r="E1435" s="136">
        <f t="shared" si="68"/>
        <v>19</v>
      </c>
      <c r="F1435" s="128" t="s">
        <v>66</v>
      </c>
      <c r="G1435" s="128" t="str">
        <f>VLOOKUP(source[[#This Row],[lending_product_transform]],[3]Mapping!$B$4:$C$37,2,0)</f>
        <v>[BE] - Paylater</v>
      </c>
      <c r="H1435" s="128" t="str">
        <f>VLOOKUP(source[[#This Row],[lending_product_transform]],[3]Mapping!$B$3:$D$37,3,0)</f>
        <v>paylater</v>
      </c>
      <c r="I1435" s="135">
        <v>308000</v>
      </c>
    </row>
    <row r="1436" spans="1:9" x14ac:dyDescent="0.2">
      <c r="A1436" s="134">
        <v>45462</v>
      </c>
      <c r="B1436" s="135">
        <f>YEAR(source[[#This Row],[report_date]])</f>
        <v>2024</v>
      </c>
      <c r="C1436" s="136">
        <v>6</v>
      </c>
      <c r="D1436" s="136">
        <f t="shared" si="67"/>
        <v>25</v>
      </c>
      <c r="E1436" s="136">
        <f t="shared" si="68"/>
        <v>19</v>
      </c>
      <c r="F1436" s="128" t="s">
        <v>206</v>
      </c>
      <c r="G1436" s="128" t="str">
        <f>VLOOKUP(source[[#This Row],[lending_product_transform]],[3]Mapping!$B$4:$C$37,2,0)</f>
        <v>[NGS] - Cashloan</v>
      </c>
      <c r="H1436" s="128" t="str">
        <f>VLOOKUP(source[[#This Row],[lending_product_transform]],[3]Mapping!$B$3:$D$37,3,0)</f>
        <v>cashloan</v>
      </c>
      <c r="I1436" s="135">
        <v>1412000000</v>
      </c>
    </row>
    <row r="1437" spans="1:9" x14ac:dyDescent="0.2">
      <c r="A1437" s="134">
        <v>45462</v>
      </c>
      <c r="B1437" s="135">
        <f>YEAR(source[[#This Row],[report_date]])</f>
        <v>2024</v>
      </c>
      <c r="C1437" s="136">
        <v>6</v>
      </c>
      <c r="D1437" s="136">
        <f t="shared" si="67"/>
        <v>25</v>
      </c>
      <c r="E1437" s="136">
        <f t="shared" si="68"/>
        <v>19</v>
      </c>
      <c r="F1437" s="128" t="s">
        <v>239</v>
      </c>
      <c r="G1437" s="128" t="str">
        <f>VLOOKUP(source[[#This Row],[lending_product_transform]],[3]Mapping!$B$4:$C$37,2,0)</f>
        <v>[VDS] - Cashloan LP</v>
      </c>
      <c r="H1437" s="128" t="str">
        <f>VLOOKUP(source[[#This Row],[lending_product_transform]],[3]Mapping!$B$3:$D$37,3,0)</f>
        <v>cashloan</v>
      </c>
      <c r="I1437" s="135">
        <v>122490000</v>
      </c>
    </row>
    <row r="1438" spans="1:9" x14ac:dyDescent="0.2">
      <c r="A1438" s="134">
        <v>45462</v>
      </c>
      <c r="B1438" s="135">
        <f>YEAR(source[[#This Row],[report_date]])</f>
        <v>2024</v>
      </c>
      <c r="C1438" s="136">
        <v>6</v>
      </c>
      <c r="D1438" s="136">
        <f t="shared" si="67"/>
        <v>25</v>
      </c>
      <c r="E1438" s="136">
        <f t="shared" si="68"/>
        <v>19</v>
      </c>
      <c r="F1438" s="128" t="s">
        <v>62</v>
      </c>
      <c r="G1438" s="128" t="str">
        <f>VLOOKUP(source[[#This Row],[lending_product_transform]],[3]Mapping!$B$4:$C$37,2,0)</f>
        <v>[VDS] - Paylater</v>
      </c>
      <c r="H1438" s="128" t="str">
        <f>VLOOKUP(source[[#This Row],[lending_product_transform]],[3]Mapping!$B$3:$D$37,3,0)</f>
        <v>paylater</v>
      </c>
      <c r="I1438" s="135">
        <v>126780080</v>
      </c>
    </row>
    <row r="1439" spans="1:9" x14ac:dyDescent="0.2">
      <c r="A1439" s="134">
        <v>45462</v>
      </c>
      <c r="B1439" s="135">
        <f>YEAR(source[[#This Row],[report_date]])</f>
        <v>2024</v>
      </c>
      <c r="C1439" s="136">
        <v>6</v>
      </c>
      <c r="D1439" s="136">
        <f t="shared" si="67"/>
        <v>25</v>
      </c>
      <c r="E1439" s="136">
        <f t="shared" si="68"/>
        <v>19</v>
      </c>
      <c r="F1439" s="128" t="s">
        <v>65</v>
      </c>
      <c r="G1439" s="128" t="str">
        <f>VLOOKUP(source[[#This Row],[lending_product_transform]],[3]Mapping!$B$4:$C$37,2,0)</f>
        <v>[BE] - Cashloan</v>
      </c>
      <c r="H1439" s="128" t="str">
        <f>VLOOKUP(source[[#This Row],[lending_product_transform]],[3]Mapping!$B$3:$D$37,3,0)</f>
        <v>cashloan</v>
      </c>
      <c r="I1439" s="135">
        <v>50400000</v>
      </c>
    </row>
    <row r="1440" spans="1:9" x14ac:dyDescent="0.2">
      <c r="A1440" s="134">
        <v>45462</v>
      </c>
      <c r="B1440" s="135">
        <f>YEAR(source[[#This Row],[report_date]])</f>
        <v>2024</v>
      </c>
      <c r="C1440" s="136">
        <v>6</v>
      </c>
      <c r="D1440" s="136">
        <f t="shared" si="67"/>
        <v>25</v>
      </c>
      <c r="E1440" s="136">
        <f t="shared" si="68"/>
        <v>19</v>
      </c>
      <c r="F1440" s="128" t="s">
        <v>58</v>
      </c>
      <c r="G1440" s="128" t="str">
        <f>VLOOKUP(source[[#This Row],[lending_product_transform]],[3]Mapping!$B$4:$C$37,2,0)</f>
        <v>[VDS] - Payroll Cashloan</v>
      </c>
      <c r="H1440" s="128" t="str">
        <f>VLOOKUP(source[[#This Row],[lending_product_transform]],[3]Mapping!$B$3:$D$37,3,0)</f>
        <v>cashloan</v>
      </c>
      <c r="I1440" s="135">
        <v>30450000</v>
      </c>
    </row>
    <row r="1441" spans="1:9" x14ac:dyDescent="0.2">
      <c r="A1441" s="134">
        <v>45463</v>
      </c>
      <c r="B1441" s="135">
        <f>YEAR(source[[#This Row],[report_date]])</f>
        <v>2024</v>
      </c>
      <c r="C1441" s="136">
        <v>6</v>
      </c>
      <c r="D1441" s="136">
        <f t="shared" si="67"/>
        <v>25</v>
      </c>
      <c r="E1441" s="136">
        <f t="shared" si="68"/>
        <v>20</v>
      </c>
      <c r="F1441" s="128" t="s">
        <v>65</v>
      </c>
      <c r="G1441" s="128" t="str">
        <f>VLOOKUP(source[[#This Row],[lending_product_transform]],[3]Mapping!$B$4:$C$37,2,0)</f>
        <v>[BE] - Cashloan</v>
      </c>
      <c r="H1441" s="128" t="str">
        <f>VLOOKUP(source[[#This Row],[lending_product_transform]],[3]Mapping!$B$3:$D$37,3,0)</f>
        <v>cashloan</v>
      </c>
      <c r="I1441" s="135">
        <v>116550000</v>
      </c>
    </row>
    <row r="1442" spans="1:9" x14ac:dyDescent="0.2">
      <c r="A1442" s="134">
        <v>45463</v>
      </c>
      <c r="B1442" s="135">
        <f>YEAR(source[[#This Row],[report_date]])</f>
        <v>2024</v>
      </c>
      <c r="C1442" s="136">
        <v>6</v>
      </c>
      <c r="D1442" s="136">
        <f t="shared" si="67"/>
        <v>25</v>
      </c>
      <c r="E1442" s="136">
        <f t="shared" si="68"/>
        <v>20</v>
      </c>
      <c r="F1442" s="128" t="s">
        <v>11</v>
      </c>
      <c r="G1442" s="128" t="str">
        <f>VLOOKUP(source[[#This Row],[lending_product_transform]],[3]Mapping!$B$4:$C$37,2,0)</f>
        <v>[VDS] - Cashloan</v>
      </c>
      <c r="H1442" s="128" t="str">
        <f>VLOOKUP(source[[#This Row],[lending_product_transform]],[3]Mapping!$B$3:$D$37,3,0)</f>
        <v>cashloan</v>
      </c>
      <c r="I1442" s="135">
        <v>5897670000</v>
      </c>
    </row>
    <row r="1443" spans="1:9" x14ac:dyDescent="0.2">
      <c r="A1443" s="134">
        <v>45463</v>
      </c>
      <c r="B1443" s="135">
        <f>YEAR(source[[#This Row],[report_date]])</f>
        <v>2024</v>
      </c>
      <c r="C1443" s="136">
        <v>6</v>
      </c>
      <c r="D1443" s="136">
        <f t="shared" si="67"/>
        <v>25</v>
      </c>
      <c r="E1443" s="136">
        <f t="shared" si="68"/>
        <v>20</v>
      </c>
      <c r="F1443" s="128" t="s">
        <v>58</v>
      </c>
      <c r="G1443" s="128" t="str">
        <f>VLOOKUP(source[[#This Row],[lending_product_transform]],[3]Mapping!$B$4:$C$37,2,0)</f>
        <v>[VDS] - Payroll Cashloan</v>
      </c>
      <c r="H1443" s="128" t="str">
        <f>VLOOKUP(source[[#This Row],[lending_product_transform]],[3]Mapping!$B$3:$D$37,3,0)</f>
        <v>cashloan</v>
      </c>
      <c r="I1443" s="135">
        <v>21000000</v>
      </c>
    </row>
    <row r="1444" spans="1:9" x14ac:dyDescent="0.2">
      <c r="A1444" s="134">
        <v>45463</v>
      </c>
      <c r="B1444" s="135">
        <f>YEAR(source[[#This Row],[report_date]])</f>
        <v>2024</v>
      </c>
      <c r="C1444" s="136">
        <v>6</v>
      </c>
      <c r="D1444" s="136">
        <f t="shared" si="67"/>
        <v>25</v>
      </c>
      <c r="E1444" s="136">
        <f t="shared" si="68"/>
        <v>20</v>
      </c>
      <c r="F1444" s="128" t="s">
        <v>62</v>
      </c>
      <c r="G1444" s="128" t="str">
        <f>VLOOKUP(source[[#This Row],[lending_product_transform]],[3]Mapping!$B$4:$C$37,2,0)</f>
        <v>[VDS] - Paylater</v>
      </c>
      <c r="H1444" s="128" t="str">
        <f>VLOOKUP(source[[#This Row],[lending_product_transform]],[3]Mapping!$B$3:$D$37,3,0)</f>
        <v>paylater</v>
      </c>
      <c r="I1444" s="135">
        <v>124653104</v>
      </c>
    </row>
    <row r="1445" spans="1:9" x14ac:dyDescent="0.2">
      <c r="A1445" s="134">
        <v>45463</v>
      </c>
      <c r="B1445" s="135">
        <f>YEAR(source[[#This Row],[report_date]])</f>
        <v>2024</v>
      </c>
      <c r="C1445" s="136">
        <v>6</v>
      </c>
      <c r="D1445" s="136">
        <f t="shared" si="67"/>
        <v>25</v>
      </c>
      <c r="E1445" s="136">
        <f t="shared" si="68"/>
        <v>20</v>
      </c>
      <c r="F1445" s="128" t="s">
        <v>19</v>
      </c>
      <c r="G1445" s="128" t="str">
        <f>VLOOKUP(source[[#This Row],[lending_product_transform]],[3]Mapping!$B$4:$C$37,2,0)</f>
        <v>[VDS] - Payday</v>
      </c>
      <c r="H1445" s="128" t="str">
        <f>VLOOKUP(source[[#This Row],[lending_product_transform]],[3]Mapping!$B$3:$D$37,3,0)</f>
        <v>payday</v>
      </c>
      <c r="I1445" s="135">
        <v>3262000000</v>
      </c>
    </row>
    <row r="1446" spans="1:9" x14ac:dyDescent="0.2">
      <c r="A1446" s="134">
        <v>45463</v>
      </c>
      <c r="B1446" s="135">
        <f>YEAR(source[[#This Row],[report_date]])</f>
        <v>2024</v>
      </c>
      <c r="C1446" s="136">
        <v>6</v>
      </c>
      <c r="D1446" s="136">
        <f t="shared" si="67"/>
        <v>25</v>
      </c>
      <c r="E1446" s="136">
        <f t="shared" si="68"/>
        <v>20</v>
      </c>
      <c r="F1446" s="128" t="s">
        <v>67</v>
      </c>
      <c r="G1446" s="128" t="str">
        <f>VLOOKUP(source[[#This Row],[lending_product_transform]],[3]Mapping!$B$4:$C$37,2,0)</f>
        <v>[Cake] - Overdraft</v>
      </c>
      <c r="H1446" s="128" t="str">
        <f>VLOOKUP(source[[#This Row],[lending_product_transform]],[3]Mapping!$B$3:$D$37,3,0)</f>
        <v>overdraft</v>
      </c>
      <c r="I1446" s="135">
        <v>2519642733</v>
      </c>
    </row>
    <row r="1447" spans="1:9" x14ac:dyDescent="0.2">
      <c r="A1447" s="134">
        <v>45463</v>
      </c>
      <c r="B1447" s="135">
        <f>YEAR(source[[#This Row],[report_date]])</f>
        <v>2024</v>
      </c>
      <c r="C1447" s="136">
        <v>6</v>
      </c>
      <c r="D1447" s="136">
        <f t="shared" si="67"/>
        <v>25</v>
      </c>
      <c r="E1447" s="136">
        <f t="shared" si="68"/>
        <v>20</v>
      </c>
      <c r="F1447" s="128" t="s">
        <v>66</v>
      </c>
      <c r="G1447" s="128" t="str">
        <f>VLOOKUP(source[[#This Row],[lending_product_transform]],[3]Mapping!$B$4:$C$37,2,0)</f>
        <v>[BE] - Paylater</v>
      </c>
      <c r="H1447" s="128" t="str">
        <f>VLOOKUP(source[[#This Row],[lending_product_transform]],[3]Mapping!$B$3:$D$37,3,0)</f>
        <v>paylater</v>
      </c>
      <c r="I1447" s="135">
        <v>537000</v>
      </c>
    </row>
    <row r="1448" spans="1:9" x14ac:dyDescent="0.2">
      <c r="A1448" s="134">
        <v>45463</v>
      </c>
      <c r="B1448" s="135">
        <f>YEAR(source[[#This Row],[report_date]])</f>
        <v>2024</v>
      </c>
      <c r="C1448" s="136">
        <v>6</v>
      </c>
      <c r="D1448" s="136">
        <f t="shared" si="67"/>
        <v>25</v>
      </c>
      <c r="E1448" s="136">
        <f t="shared" si="68"/>
        <v>20</v>
      </c>
      <c r="F1448" s="128" t="s">
        <v>56</v>
      </c>
      <c r="G1448" s="128">
        <f>VLOOKUP(source[[#This Row],[lending_product_transform]],[3]Mapping!$B$4:$C$37,2,0)</f>
        <v>0</v>
      </c>
      <c r="H1448" s="128">
        <f>VLOOKUP(source[[#This Row],[lending_product_transform]],[3]Mapping!$B$3:$D$37,3,0)</f>
        <v>0</v>
      </c>
      <c r="I1448" s="135">
        <v>14323822837</v>
      </c>
    </row>
    <row r="1449" spans="1:9" x14ac:dyDescent="0.2">
      <c r="A1449" s="134">
        <v>45463</v>
      </c>
      <c r="B1449" s="135">
        <f>YEAR(source[[#This Row],[report_date]])</f>
        <v>2024</v>
      </c>
      <c r="C1449" s="136">
        <v>6</v>
      </c>
      <c r="D1449" s="136">
        <f t="shared" si="67"/>
        <v>25</v>
      </c>
      <c r="E1449" s="136">
        <f t="shared" si="68"/>
        <v>20</v>
      </c>
      <c r="F1449" s="128" t="s">
        <v>61</v>
      </c>
      <c r="G1449" s="128" t="str">
        <f>VLOOKUP(source[[#This Row],[lending_product_transform]],[3]Mapping!$B$4:$C$37,2,0)</f>
        <v>[VDS] - Payroll Payday</v>
      </c>
      <c r="H1449" s="128" t="str">
        <f>VLOOKUP(source[[#This Row],[lending_product_transform]],[3]Mapping!$B$3:$D$37,3,0)</f>
        <v>payday</v>
      </c>
      <c r="I1449" s="135">
        <v>33000000</v>
      </c>
    </row>
    <row r="1450" spans="1:9" x14ac:dyDescent="0.2">
      <c r="A1450" s="134">
        <v>45463</v>
      </c>
      <c r="B1450" s="135">
        <f>YEAR(source[[#This Row],[report_date]])</f>
        <v>2024</v>
      </c>
      <c r="C1450" s="136">
        <v>6</v>
      </c>
      <c r="D1450" s="136">
        <f t="shared" si="67"/>
        <v>25</v>
      </c>
      <c r="E1450" s="136">
        <f t="shared" si="68"/>
        <v>20</v>
      </c>
      <c r="F1450" s="128" t="s">
        <v>238</v>
      </c>
      <c r="G1450" s="128" t="str">
        <f>VLOOKUP(source[[#This Row],[lending_product_transform]],[3]Mapping!$B$4:$C$37,2,0)</f>
        <v>[VDS] - Cashloan LP</v>
      </c>
      <c r="H1450" s="128" t="str">
        <f>VLOOKUP(source[[#This Row],[lending_product_transform]],[3]Mapping!$B$3:$D$37,3,0)</f>
        <v>cashloan</v>
      </c>
      <c r="I1450" s="135">
        <v>21400000</v>
      </c>
    </row>
    <row r="1451" spans="1:9" x14ac:dyDescent="0.2">
      <c r="A1451" s="134">
        <v>45463</v>
      </c>
      <c r="B1451" s="135">
        <f>YEAR(source[[#This Row],[report_date]])</f>
        <v>2024</v>
      </c>
      <c r="C1451" s="136">
        <v>6</v>
      </c>
      <c r="D1451" s="136">
        <f t="shared" si="67"/>
        <v>25</v>
      </c>
      <c r="E1451" s="136">
        <f t="shared" si="68"/>
        <v>20</v>
      </c>
      <c r="F1451" s="128" t="s">
        <v>24</v>
      </c>
      <c r="G1451" s="128" t="str">
        <f>VLOOKUP(source[[#This Row],[lending_product_transform]],[3]Mapping!$B$4:$C$37,2,0)</f>
        <v>[Cake] - Cashloan</v>
      </c>
      <c r="H1451" s="128" t="str">
        <f>VLOOKUP(source[[#This Row],[lending_product_transform]],[3]Mapping!$B$3:$D$37,3,0)</f>
        <v>cashloan</v>
      </c>
      <c r="I1451" s="135">
        <v>721260000</v>
      </c>
    </row>
    <row r="1452" spans="1:9" x14ac:dyDescent="0.2">
      <c r="A1452" s="134">
        <v>45463</v>
      </c>
      <c r="B1452" s="135">
        <f>YEAR(source[[#This Row],[report_date]])</f>
        <v>2024</v>
      </c>
      <c r="C1452" s="136">
        <v>6</v>
      </c>
      <c r="D1452" s="136">
        <f t="shared" si="67"/>
        <v>25</v>
      </c>
      <c r="E1452" s="136">
        <f t="shared" si="68"/>
        <v>20</v>
      </c>
      <c r="F1452" s="128" t="s">
        <v>24</v>
      </c>
      <c r="G1452" s="128" t="str">
        <f>VLOOKUP(source[[#This Row],[lending_product_transform]],[3]Mapping!$B$4:$C$37,2,0)</f>
        <v>[Cake] - Cashloan</v>
      </c>
      <c r="H1452" s="128" t="str">
        <f>VLOOKUP(source[[#This Row],[lending_product_transform]],[3]Mapping!$B$3:$D$37,3,0)</f>
        <v>cashloan</v>
      </c>
      <c r="I1452" s="135">
        <v>184990000</v>
      </c>
    </row>
    <row r="1453" spans="1:9" x14ac:dyDescent="0.2">
      <c r="A1453" s="134">
        <v>45463</v>
      </c>
      <c r="B1453" s="135">
        <f>YEAR(source[[#This Row],[report_date]])</f>
        <v>2024</v>
      </c>
      <c r="C1453" s="136">
        <v>6</v>
      </c>
      <c r="D1453" s="136">
        <f t="shared" si="67"/>
        <v>25</v>
      </c>
      <c r="E1453" s="136">
        <f t="shared" si="68"/>
        <v>20</v>
      </c>
      <c r="F1453" s="128" t="s">
        <v>24</v>
      </c>
      <c r="G1453" s="128" t="str">
        <f>VLOOKUP(source[[#This Row],[lending_product_transform]],[3]Mapping!$B$4:$C$37,2,0)</f>
        <v>[Cake] - Cashloan</v>
      </c>
      <c r="H1453" s="128" t="str">
        <f>VLOOKUP(source[[#This Row],[lending_product_transform]],[3]Mapping!$B$3:$D$37,3,0)</f>
        <v>cashloan</v>
      </c>
      <c r="I1453" s="135">
        <v>1421120000</v>
      </c>
    </row>
    <row r="1454" spans="1:9" x14ac:dyDescent="0.2">
      <c r="A1454" s="134">
        <v>45464</v>
      </c>
      <c r="B1454" s="135">
        <f>YEAR(source[[#This Row],[report_date]])</f>
        <v>2024</v>
      </c>
      <c r="C1454" s="136">
        <v>6</v>
      </c>
      <c r="D1454" s="136">
        <f t="shared" si="67"/>
        <v>25</v>
      </c>
      <c r="E1454" s="136">
        <f t="shared" si="68"/>
        <v>21</v>
      </c>
      <c r="F1454" s="128" t="s">
        <v>24</v>
      </c>
      <c r="G1454" s="128" t="str">
        <f>VLOOKUP(source[[#This Row],[lending_product_transform]],[3]Mapping!$B$4:$C$37,2,0)</f>
        <v>[Cake] - Cashloan</v>
      </c>
      <c r="H1454" s="128" t="str">
        <f>VLOOKUP(source[[#This Row],[lending_product_transform]],[3]Mapping!$B$3:$D$37,3,0)</f>
        <v>cashloan</v>
      </c>
      <c r="I1454" s="135">
        <v>5273440000</v>
      </c>
    </row>
    <row r="1455" spans="1:9" x14ac:dyDescent="0.2">
      <c r="A1455" s="134">
        <v>45464</v>
      </c>
      <c r="B1455" s="135">
        <f>YEAR(source[[#This Row],[report_date]])</f>
        <v>2024</v>
      </c>
      <c r="C1455" s="136">
        <v>6</v>
      </c>
      <c r="D1455" s="136">
        <f t="shared" si="67"/>
        <v>25</v>
      </c>
      <c r="E1455" s="136">
        <f t="shared" si="68"/>
        <v>21</v>
      </c>
      <c r="F1455" s="128" t="s">
        <v>24</v>
      </c>
      <c r="G1455" s="128" t="str">
        <f>VLOOKUP(source[[#This Row],[lending_product_transform]],[3]Mapping!$B$4:$C$37,2,0)</f>
        <v>[Cake] - Cashloan</v>
      </c>
      <c r="H1455" s="128" t="str">
        <f>VLOOKUP(source[[#This Row],[lending_product_transform]],[3]Mapping!$B$3:$D$37,3,0)</f>
        <v>cashloan</v>
      </c>
      <c r="I1455" s="135">
        <v>993000</v>
      </c>
    </row>
    <row r="1456" spans="1:9" x14ac:dyDescent="0.2">
      <c r="A1456" s="134">
        <v>45464</v>
      </c>
      <c r="B1456" s="135">
        <f>YEAR(source[[#This Row],[report_date]])</f>
        <v>2024</v>
      </c>
      <c r="C1456" s="136">
        <v>6</v>
      </c>
      <c r="D1456" s="136">
        <f t="shared" si="67"/>
        <v>25</v>
      </c>
      <c r="E1456" s="136">
        <f t="shared" si="68"/>
        <v>21</v>
      </c>
      <c r="F1456" s="128" t="s">
        <v>24</v>
      </c>
      <c r="G1456" s="128" t="str">
        <f>VLOOKUP(source[[#This Row],[lending_product_transform]],[3]Mapping!$B$4:$C$37,2,0)</f>
        <v>[Cake] - Cashloan</v>
      </c>
      <c r="H1456" s="128" t="str">
        <f>VLOOKUP(source[[#This Row],[lending_product_transform]],[3]Mapping!$B$3:$D$37,3,0)</f>
        <v>cashloan</v>
      </c>
      <c r="I1456" s="135">
        <v>3203500000</v>
      </c>
    </row>
    <row r="1457" spans="1:9" x14ac:dyDescent="0.2">
      <c r="A1457" s="134">
        <v>45464</v>
      </c>
      <c r="B1457" s="135">
        <f>YEAR(source[[#This Row],[report_date]])</f>
        <v>2024</v>
      </c>
      <c r="C1457" s="136">
        <v>6</v>
      </c>
      <c r="D1457" s="136">
        <f t="shared" si="67"/>
        <v>25</v>
      </c>
      <c r="E1457" s="136">
        <f t="shared" si="68"/>
        <v>21</v>
      </c>
      <c r="F1457" s="128" t="s">
        <v>24</v>
      </c>
      <c r="G1457" s="128" t="str">
        <f>VLOOKUP(source[[#This Row],[lending_product_transform]],[3]Mapping!$B$4:$C$37,2,0)</f>
        <v>[Cake] - Cashloan</v>
      </c>
      <c r="H1457" s="128" t="str">
        <f>VLOOKUP(source[[#This Row],[lending_product_transform]],[3]Mapping!$B$3:$D$37,3,0)</f>
        <v>cashloan</v>
      </c>
      <c r="I1457" s="135">
        <v>609165000</v>
      </c>
    </row>
    <row r="1458" spans="1:9" x14ac:dyDescent="0.2">
      <c r="A1458" s="134">
        <v>45464</v>
      </c>
      <c r="B1458" s="135">
        <f>YEAR(source[[#This Row],[report_date]])</f>
        <v>2024</v>
      </c>
      <c r="C1458" s="136">
        <v>6</v>
      </c>
      <c r="D1458" s="136">
        <f t="shared" si="67"/>
        <v>25</v>
      </c>
      <c r="E1458" s="136">
        <f t="shared" si="68"/>
        <v>21</v>
      </c>
      <c r="F1458" s="128" t="s">
        <v>24</v>
      </c>
      <c r="G1458" s="128" t="str">
        <f>VLOOKUP(source[[#This Row],[lending_product_transform]],[3]Mapping!$B$4:$C$37,2,0)</f>
        <v>[Cake] - Cashloan</v>
      </c>
      <c r="H1458" s="128" t="str">
        <f>VLOOKUP(source[[#This Row],[lending_product_transform]],[3]Mapping!$B$3:$D$37,3,0)</f>
        <v>cashloan</v>
      </c>
      <c r="I1458" s="135">
        <v>20000000</v>
      </c>
    </row>
    <row r="1459" spans="1:9" x14ac:dyDescent="0.2">
      <c r="A1459" s="134">
        <v>45464</v>
      </c>
      <c r="B1459" s="135">
        <f>YEAR(source[[#This Row],[report_date]])</f>
        <v>2024</v>
      </c>
      <c r="C1459" s="136">
        <v>6</v>
      </c>
      <c r="D1459" s="136">
        <f t="shared" si="67"/>
        <v>25</v>
      </c>
      <c r="E1459" s="136">
        <f t="shared" si="68"/>
        <v>21</v>
      </c>
      <c r="F1459" s="128" t="s">
        <v>24</v>
      </c>
      <c r="G1459" s="128" t="str">
        <f>VLOOKUP(source[[#This Row],[lending_product_transform]],[3]Mapping!$B$4:$C$37,2,0)</f>
        <v>[Cake] - Cashloan</v>
      </c>
      <c r="H1459" s="128" t="str">
        <f>VLOOKUP(source[[#This Row],[lending_product_transform]],[3]Mapping!$B$3:$D$37,3,0)</f>
        <v>cashloan</v>
      </c>
      <c r="I1459" s="135">
        <v>180650000</v>
      </c>
    </row>
    <row r="1460" spans="1:9" x14ac:dyDescent="0.2">
      <c r="A1460" s="134">
        <v>45464</v>
      </c>
      <c r="B1460" s="135">
        <f>YEAR(source[[#This Row],[report_date]])</f>
        <v>2024</v>
      </c>
      <c r="C1460" s="136">
        <v>6</v>
      </c>
      <c r="D1460" s="136">
        <f t="shared" si="67"/>
        <v>25</v>
      </c>
      <c r="E1460" s="136">
        <f t="shared" si="68"/>
        <v>21</v>
      </c>
      <c r="F1460" s="128" t="s">
        <v>24</v>
      </c>
      <c r="G1460" s="128" t="str">
        <f>VLOOKUP(source[[#This Row],[lending_product_transform]],[3]Mapping!$B$4:$C$37,2,0)</f>
        <v>[Cake] - Cashloan</v>
      </c>
      <c r="H1460" s="128" t="str">
        <f>VLOOKUP(source[[#This Row],[lending_product_transform]],[3]Mapping!$B$3:$D$37,3,0)</f>
        <v>cashloan</v>
      </c>
      <c r="I1460" s="135">
        <v>212550000</v>
      </c>
    </row>
    <row r="1461" spans="1:9" x14ac:dyDescent="0.2">
      <c r="A1461" s="134">
        <v>45464</v>
      </c>
      <c r="B1461" s="135">
        <f>YEAR(source[[#This Row],[report_date]])</f>
        <v>2024</v>
      </c>
      <c r="C1461" s="136">
        <v>6</v>
      </c>
      <c r="D1461" s="136">
        <f t="shared" si="67"/>
        <v>25</v>
      </c>
      <c r="E1461" s="136">
        <f t="shared" si="68"/>
        <v>21</v>
      </c>
      <c r="F1461" s="128" t="s">
        <v>24</v>
      </c>
      <c r="G1461" s="128" t="str">
        <f>VLOOKUP(source[[#This Row],[lending_product_transform]],[3]Mapping!$B$4:$C$37,2,0)</f>
        <v>[Cake] - Cashloan</v>
      </c>
      <c r="H1461" s="128" t="str">
        <f>VLOOKUP(source[[#This Row],[lending_product_transform]],[3]Mapping!$B$3:$D$37,3,0)</f>
        <v>cashloan</v>
      </c>
      <c r="I1461" s="135">
        <v>16050000</v>
      </c>
    </row>
    <row r="1462" spans="1:9" x14ac:dyDescent="0.2">
      <c r="A1462" s="134">
        <v>45464</v>
      </c>
      <c r="B1462" s="135">
        <f>YEAR(source[[#This Row],[report_date]])</f>
        <v>2024</v>
      </c>
      <c r="C1462" s="136">
        <v>6</v>
      </c>
      <c r="D1462" s="136">
        <f t="shared" si="67"/>
        <v>25</v>
      </c>
      <c r="E1462" s="136">
        <f t="shared" si="68"/>
        <v>21</v>
      </c>
      <c r="F1462" s="128" t="s">
        <v>24</v>
      </c>
      <c r="G1462" s="128" t="str">
        <f>VLOOKUP(source[[#This Row],[lending_product_transform]],[3]Mapping!$B$4:$C$37,2,0)</f>
        <v>[Cake] - Cashloan</v>
      </c>
      <c r="H1462" s="128" t="str">
        <f>VLOOKUP(source[[#This Row],[lending_product_transform]],[3]Mapping!$B$3:$D$37,3,0)</f>
        <v>cashloan</v>
      </c>
      <c r="I1462" s="135">
        <v>13870235074</v>
      </c>
    </row>
    <row r="1463" spans="1:9" x14ac:dyDescent="0.2">
      <c r="A1463" s="134">
        <v>45464</v>
      </c>
      <c r="B1463" s="135">
        <f>YEAR(source[[#This Row],[report_date]])</f>
        <v>2024</v>
      </c>
      <c r="C1463" s="136">
        <v>6</v>
      </c>
      <c r="D1463" s="136">
        <f t="shared" si="67"/>
        <v>25</v>
      </c>
      <c r="E1463" s="136">
        <f t="shared" si="68"/>
        <v>21</v>
      </c>
      <c r="F1463" s="128" t="s">
        <v>24</v>
      </c>
      <c r="G1463" s="128" t="str">
        <f>VLOOKUP(source[[#This Row],[lending_product_transform]],[3]Mapping!$B$4:$C$37,2,0)</f>
        <v>[Cake] - Cashloan</v>
      </c>
      <c r="H1463" s="128" t="str">
        <f>VLOOKUP(source[[#This Row],[lending_product_transform]],[3]Mapping!$B$3:$D$37,3,0)</f>
        <v>cashloan</v>
      </c>
      <c r="I1463" s="135">
        <v>1501300000</v>
      </c>
    </row>
    <row r="1464" spans="1:9" x14ac:dyDescent="0.2">
      <c r="A1464" s="134">
        <v>45464</v>
      </c>
      <c r="B1464" s="135">
        <f>YEAR(source[[#This Row],[report_date]])</f>
        <v>2024</v>
      </c>
      <c r="C1464" s="136">
        <v>6</v>
      </c>
      <c r="D1464" s="136">
        <f t="shared" si="67"/>
        <v>25</v>
      </c>
      <c r="E1464" s="136">
        <f t="shared" si="68"/>
        <v>21</v>
      </c>
      <c r="F1464" s="128" t="s">
        <v>24</v>
      </c>
      <c r="G1464" s="128" t="str">
        <f>VLOOKUP(source[[#This Row],[lending_product_transform]],[3]Mapping!$B$4:$C$37,2,0)</f>
        <v>[Cake] - Cashloan</v>
      </c>
      <c r="H1464" s="128" t="str">
        <f>VLOOKUP(source[[#This Row],[lending_product_transform]],[3]Mapping!$B$3:$D$37,3,0)</f>
        <v>cashloan</v>
      </c>
      <c r="I1464" s="135">
        <v>127448635</v>
      </c>
    </row>
    <row r="1465" spans="1:9" x14ac:dyDescent="0.2">
      <c r="A1465" s="134">
        <v>45464</v>
      </c>
      <c r="B1465" s="135">
        <f>YEAR(source[[#This Row],[report_date]])</f>
        <v>2024</v>
      </c>
      <c r="C1465" s="136">
        <v>6</v>
      </c>
      <c r="D1465" s="136">
        <f t="shared" si="67"/>
        <v>25</v>
      </c>
      <c r="E1465" s="136">
        <f t="shared" si="68"/>
        <v>21</v>
      </c>
      <c r="F1465" s="128" t="s">
        <v>24</v>
      </c>
      <c r="G1465" s="128" t="str">
        <f>VLOOKUP(source[[#This Row],[lending_product_transform]],[3]Mapping!$B$4:$C$37,2,0)</f>
        <v>[Cake] - Cashloan</v>
      </c>
      <c r="H1465" s="128" t="str">
        <f>VLOOKUP(source[[#This Row],[lending_product_transform]],[3]Mapping!$B$3:$D$37,3,0)</f>
        <v>cashloan</v>
      </c>
      <c r="I1465" s="135">
        <v>2672638439</v>
      </c>
    </row>
    <row r="1466" spans="1:9" x14ac:dyDescent="0.2">
      <c r="A1466" s="134">
        <v>45464</v>
      </c>
      <c r="B1466" s="135">
        <f>YEAR(source[[#This Row],[report_date]])</f>
        <v>2024</v>
      </c>
      <c r="C1466" s="136">
        <v>6</v>
      </c>
      <c r="D1466" s="136">
        <f t="shared" si="67"/>
        <v>25</v>
      </c>
      <c r="E1466" s="136">
        <f t="shared" si="68"/>
        <v>21</v>
      </c>
      <c r="F1466" s="128" t="s">
        <v>24</v>
      </c>
      <c r="G1466" s="128" t="str">
        <f>VLOOKUP(source[[#This Row],[lending_product_transform]],[3]Mapping!$B$4:$C$37,2,0)</f>
        <v>[Cake] - Cashloan</v>
      </c>
      <c r="H1466" s="128" t="str">
        <f>VLOOKUP(source[[#This Row],[lending_product_transform]],[3]Mapping!$B$3:$D$37,3,0)</f>
        <v>cashloan</v>
      </c>
      <c r="I1466" s="135">
        <v>52500000</v>
      </c>
    </row>
    <row r="1467" spans="1:9" x14ac:dyDescent="0.2">
      <c r="A1467" s="134">
        <v>45465</v>
      </c>
      <c r="B1467" s="135">
        <f>YEAR(source[[#This Row],[report_date]])</f>
        <v>2024</v>
      </c>
      <c r="C1467" s="136">
        <v>6</v>
      </c>
      <c r="D1467" s="136">
        <f t="shared" si="67"/>
        <v>25</v>
      </c>
      <c r="E1467" s="136">
        <f t="shared" si="68"/>
        <v>22</v>
      </c>
      <c r="F1467" s="128" t="s">
        <v>24</v>
      </c>
      <c r="G1467" s="128" t="str">
        <f>VLOOKUP(source[[#This Row],[lending_product_transform]],[3]Mapping!$B$4:$C$37,2,0)</f>
        <v>[Cake] - Cashloan</v>
      </c>
      <c r="H1467" s="128" t="str">
        <f>VLOOKUP(source[[#This Row],[lending_product_transform]],[3]Mapping!$B$3:$D$37,3,0)</f>
        <v>cashloan</v>
      </c>
      <c r="I1467" s="135">
        <v>1989775929</v>
      </c>
    </row>
    <row r="1468" spans="1:9" x14ac:dyDescent="0.2">
      <c r="A1468" s="134">
        <v>45465</v>
      </c>
      <c r="B1468" s="135">
        <f>YEAR(source[[#This Row],[report_date]])</f>
        <v>2024</v>
      </c>
      <c r="C1468" s="136">
        <v>6</v>
      </c>
      <c r="D1468" s="136">
        <f t="shared" si="67"/>
        <v>25</v>
      </c>
      <c r="E1468" s="136">
        <f t="shared" si="68"/>
        <v>22</v>
      </c>
      <c r="F1468" s="128" t="s">
        <v>24</v>
      </c>
      <c r="G1468" s="128" t="str">
        <f>VLOOKUP(source[[#This Row],[lending_product_transform]],[3]Mapping!$B$4:$C$37,2,0)</f>
        <v>[Cake] - Cashloan</v>
      </c>
      <c r="H1468" s="128" t="str">
        <f>VLOOKUP(source[[#This Row],[lending_product_transform]],[3]Mapping!$B$3:$D$37,3,0)</f>
        <v>cashloan</v>
      </c>
      <c r="I1468" s="135">
        <v>3111000000</v>
      </c>
    </row>
    <row r="1469" spans="1:9" x14ac:dyDescent="0.2">
      <c r="A1469" s="134">
        <v>45465</v>
      </c>
      <c r="B1469" s="135">
        <f>YEAR(source[[#This Row],[report_date]])</f>
        <v>2024</v>
      </c>
      <c r="C1469" s="136">
        <v>6</v>
      </c>
      <c r="D1469" s="136">
        <f t="shared" si="67"/>
        <v>25</v>
      </c>
      <c r="E1469" s="136">
        <f t="shared" si="68"/>
        <v>22</v>
      </c>
      <c r="F1469" s="128" t="s">
        <v>24</v>
      </c>
      <c r="G1469" s="128" t="str">
        <f>VLOOKUP(source[[#This Row],[lending_product_transform]],[3]Mapping!$B$4:$C$37,2,0)</f>
        <v>[Cake] - Cashloan</v>
      </c>
      <c r="H1469" s="128" t="str">
        <f>VLOOKUP(source[[#This Row],[lending_product_transform]],[3]Mapping!$B$3:$D$37,3,0)</f>
        <v>cashloan</v>
      </c>
      <c r="I1469" s="135">
        <v>112740000</v>
      </c>
    </row>
    <row r="1470" spans="1:9" x14ac:dyDescent="0.2">
      <c r="A1470" s="134">
        <v>45465</v>
      </c>
      <c r="B1470" s="135">
        <f>YEAR(source[[#This Row],[report_date]])</f>
        <v>2024</v>
      </c>
      <c r="C1470" s="136">
        <v>6</v>
      </c>
      <c r="D1470" s="136">
        <f t="shared" si="67"/>
        <v>25</v>
      </c>
      <c r="E1470" s="136">
        <f t="shared" si="68"/>
        <v>22</v>
      </c>
      <c r="F1470" s="128" t="s">
        <v>24</v>
      </c>
      <c r="G1470" s="128" t="str">
        <f>VLOOKUP(source[[#This Row],[lending_product_transform]],[3]Mapping!$B$4:$C$37,2,0)</f>
        <v>[Cake] - Cashloan</v>
      </c>
      <c r="H1470" s="128" t="str">
        <f>VLOOKUP(source[[#This Row],[lending_product_transform]],[3]Mapping!$B$3:$D$37,3,0)</f>
        <v>cashloan</v>
      </c>
      <c r="I1470" s="135">
        <v>5149900000</v>
      </c>
    </row>
    <row r="1471" spans="1:9" x14ac:dyDescent="0.2">
      <c r="A1471" s="134">
        <v>45465</v>
      </c>
      <c r="B1471" s="135">
        <f>YEAR(source[[#This Row],[report_date]])</f>
        <v>2024</v>
      </c>
      <c r="C1471" s="136">
        <v>6</v>
      </c>
      <c r="D1471" s="136">
        <f t="shared" si="67"/>
        <v>25</v>
      </c>
      <c r="E1471" s="136">
        <f t="shared" si="68"/>
        <v>22</v>
      </c>
      <c r="F1471" s="128" t="s">
        <v>24</v>
      </c>
      <c r="G1471" s="128" t="str">
        <f>VLOOKUP(source[[#This Row],[lending_product_transform]],[3]Mapping!$B$4:$C$37,2,0)</f>
        <v>[Cake] - Cashloan</v>
      </c>
      <c r="H1471" s="128" t="str">
        <f>VLOOKUP(source[[#This Row],[lending_product_transform]],[3]Mapping!$B$3:$D$37,3,0)</f>
        <v>cashloan</v>
      </c>
      <c r="I1471" s="135">
        <v>1086050000</v>
      </c>
    </row>
    <row r="1472" spans="1:9" x14ac:dyDescent="0.2">
      <c r="A1472" s="134">
        <v>45465</v>
      </c>
      <c r="B1472" s="135">
        <f>YEAR(source[[#This Row],[report_date]])</f>
        <v>2024</v>
      </c>
      <c r="C1472" s="136">
        <v>6</v>
      </c>
      <c r="D1472" s="136">
        <f t="shared" si="67"/>
        <v>25</v>
      </c>
      <c r="E1472" s="136">
        <f t="shared" si="68"/>
        <v>22</v>
      </c>
      <c r="F1472" s="128" t="s">
        <v>24</v>
      </c>
      <c r="G1472" s="128" t="str">
        <f>VLOOKUP(source[[#This Row],[lending_product_transform]],[3]Mapping!$B$4:$C$37,2,0)</f>
        <v>[Cake] - Cashloan</v>
      </c>
      <c r="H1472" s="128" t="str">
        <f>VLOOKUP(source[[#This Row],[lending_product_transform]],[3]Mapping!$B$3:$D$37,3,0)</f>
        <v>cashloan</v>
      </c>
      <c r="I1472" s="135">
        <v>282850</v>
      </c>
    </row>
    <row r="1473" spans="1:9" x14ac:dyDescent="0.2">
      <c r="A1473" s="134">
        <v>45465</v>
      </c>
      <c r="B1473" s="135">
        <f>YEAR(source[[#This Row],[report_date]])</f>
        <v>2024</v>
      </c>
      <c r="C1473" s="136">
        <v>6</v>
      </c>
      <c r="D1473" s="136">
        <f t="shared" si="67"/>
        <v>25</v>
      </c>
      <c r="E1473" s="136">
        <f t="shared" si="68"/>
        <v>22</v>
      </c>
      <c r="F1473" s="128" t="s">
        <v>24</v>
      </c>
      <c r="G1473" s="128" t="str">
        <f>VLOOKUP(source[[#This Row],[lending_product_transform]],[3]Mapping!$B$4:$C$37,2,0)</f>
        <v>[Cake] - Cashloan</v>
      </c>
      <c r="H1473" s="128" t="str">
        <f>VLOOKUP(source[[#This Row],[lending_product_transform]],[3]Mapping!$B$3:$D$37,3,0)</f>
        <v>cashloan</v>
      </c>
      <c r="I1473" s="135">
        <v>2538805000</v>
      </c>
    </row>
    <row r="1474" spans="1:9" x14ac:dyDescent="0.2">
      <c r="A1474" s="134">
        <v>45465</v>
      </c>
      <c r="B1474" s="135">
        <f>YEAR(source[[#This Row],[report_date]])</f>
        <v>2024</v>
      </c>
      <c r="C1474" s="136">
        <v>6</v>
      </c>
      <c r="D1474" s="136">
        <f t="shared" si="67"/>
        <v>25</v>
      </c>
      <c r="E1474" s="136">
        <f t="shared" si="68"/>
        <v>22</v>
      </c>
      <c r="F1474" s="128" t="s">
        <v>24</v>
      </c>
      <c r="G1474" s="128" t="str">
        <f>VLOOKUP(source[[#This Row],[lending_product_transform]],[3]Mapping!$B$4:$C$37,2,0)</f>
        <v>[Cake] - Cashloan</v>
      </c>
      <c r="H1474" s="128" t="str">
        <f>VLOOKUP(source[[#This Row],[lending_product_transform]],[3]Mapping!$B$3:$D$37,3,0)</f>
        <v>cashloan</v>
      </c>
      <c r="I1474" s="135">
        <v>14448850634</v>
      </c>
    </row>
    <row r="1475" spans="1:9" x14ac:dyDescent="0.2">
      <c r="A1475" s="134">
        <v>45465</v>
      </c>
      <c r="B1475" s="135">
        <f>YEAR(source[[#This Row],[report_date]])</f>
        <v>2024</v>
      </c>
      <c r="C1475" s="136">
        <v>6</v>
      </c>
      <c r="D1475" s="136">
        <f t="shared" ref="D1475:D1538" si="69">WEEKNUM(A1475,2)</f>
        <v>25</v>
      </c>
      <c r="E1475" s="136">
        <f t="shared" ref="E1475:E1538" si="70">DAY(A1475)</f>
        <v>22</v>
      </c>
      <c r="F1475" s="128" t="s">
        <v>24</v>
      </c>
      <c r="G1475" s="128" t="str">
        <f>VLOOKUP(source[[#This Row],[lending_product_transform]],[3]Mapping!$B$4:$C$37,2,0)</f>
        <v>[Cake] - Cashloan</v>
      </c>
      <c r="H1475" s="128" t="str">
        <f>VLOOKUP(source[[#This Row],[lending_product_transform]],[3]Mapping!$B$3:$D$37,3,0)</f>
        <v>cashloan</v>
      </c>
      <c r="I1475" s="135">
        <v>21400000</v>
      </c>
    </row>
    <row r="1476" spans="1:9" x14ac:dyDescent="0.2">
      <c r="A1476" s="134">
        <v>45465</v>
      </c>
      <c r="B1476" s="135">
        <f>YEAR(source[[#This Row],[report_date]])</f>
        <v>2024</v>
      </c>
      <c r="C1476" s="136">
        <v>6</v>
      </c>
      <c r="D1476" s="136">
        <f t="shared" si="69"/>
        <v>25</v>
      </c>
      <c r="E1476" s="136">
        <f t="shared" si="70"/>
        <v>22</v>
      </c>
      <c r="F1476" s="128" t="s">
        <v>24</v>
      </c>
      <c r="G1476" s="128" t="str">
        <f>VLOOKUP(source[[#This Row],[lending_product_transform]],[3]Mapping!$B$4:$C$37,2,0)</f>
        <v>[Cake] - Cashloan</v>
      </c>
      <c r="H1476" s="128" t="str">
        <f>VLOOKUP(source[[#This Row],[lending_product_transform]],[3]Mapping!$B$3:$D$37,3,0)</f>
        <v>cashloan</v>
      </c>
      <c r="I1476" s="135">
        <v>50000000</v>
      </c>
    </row>
    <row r="1477" spans="1:9" x14ac:dyDescent="0.2">
      <c r="A1477" s="134">
        <v>45465</v>
      </c>
      <c r="B1477" s="135">
        <f>YEAR(source[[#This Row],[report_date]])</f>
        <v>2024</v>
      </c>
      <c r="C1477" s="136">
        <v>6</v>
      </c>
      <c r="D1477" s="136">
        <f t="shared" si="69"/>
        <v>25</v>
      </c>
      <c r="E1477" s="136">
        <f t="shared" si="70"/>
        <v>22</v>
      </c>
      <c r="F1477" s="128" t="s">
        <v>24</v>
      </c>
      <c r="G1477" s="128" t="str">
        <f>VLOOKUP(source[[#This Row],[lending_product_transform]],[3]Mapping!$B$4:$C$37,2,0)</f>
        <v>[Cake] - Cashloan</v>
      </c>
      <c r="H1477" s="128" t="str">
        <f>VLOOKUP(source[[#This Row],[lending_product_transform]],[3]Mapping!$B$3:$D$37,3,0)</f>
        <v>cashloan</v>
      </c>
      <c r="I1477" s="135">
        <v>106446855</v>
      </c>
    </row>
    <row r="1478" spans="1:9" x14ac:dyDescent="0.2">
      <c r="A1478" s="134">
        <v>45465</v>
      </c>
      <c r="B1478" s="135">
        <f>YEAR(source[[#This Row],[report_date]])</f>
        <v>2024</v>
      </c>
      <c r="C1478" s="136">
        <v>6</v>
      </c>
      <c r="D1478" s="136">
        <f t="shared" si="69"/>
        <v>25</v>
      </c>
      <c r="E1478" s="136">
        <f t="shared" si="70"/>
        <v>22</v>
      </c>
      <c r="F1478" s="128" t="s">
        <v>24</v>
      </c>
      <c r="G1478" s="128" t="str">
        <f>VLOOKUP(source[[#This Row],[lending_product_transform]],[3]Mapping!$B$4:$C$37,2,0)</f>
        <v>[Cake] - Cashloan</v>
      </c>
      <c r="H1478" s="128" t="str">
        <f>VLOOKUP(source[[#This Row],[lending_product_transform]],[3]Mapping!$B$3:$D$37,3,0)</f>
        <v>cashloan</v>
      </c>
      <c r="I1478" s="135">
        <v>54600000</v>
      </c>
    </row>
    <row r="1479" spans="1:9" x14ac:dyDescent="0.2">
      <c r="A1479" s="134">
        <v>45465</v>
      </c>
      <c r="B1479" s="135">
        <f>YEAR(source[[#This Row],[report_date]])</f>
        <v>2024</v>
      </c>
      <c r="C1479" s="136">
        <v>6</v>
      </c>
      <c r="D1479" s="136">
        <f t="shared" si="69"/>
        <v>25</v>
      </c>
      <c r="E1479" s="136">
        <f t="shared" si="70"/>
        <v>22</v>
      </c>
      <c r="F1479" s="128" t="s">
        <v>24</v>
      </c>
      <c r="G1479" s="128" t="str">
        <f>VLOOKUP(source[[#This Row],[lending_product_transform]],[3]Mapping!$B$4:$C$37,2,0)</f>
        <v>[Cake] - Cashloan</v>
      </c>
      <c r="H1479" s="128" t="str">
        <f>VLOOKUP(source[[#This Row],[lending_product_transform]],[3]Mapping!$B$3:$D$37,3,0)</f>
        <v>cashloan</v>
      </c>
      <c r="I1479" s="135">
        <v>227850000</v>
      </c>
    </row>
    <row r="1480" spans="1:9" x14ac:dyDescent="0.2">
      <c r="A1480" s="134">
        <v>45466</v>
      </c>
      <c r="B1480" s="135">
        <f>YEAR(source[[#This Row],[report_date]])</f>
        <v>2024</v>
      </c>
      <c r="C1480" s="136">
        <v>6</v>
      </c>
      <c r="D1480" s="136">
        <f t="shared" si="69"/>
        <v>25</v>
      </c>
      <c r="E1480" s="136">
        <f t="shared" si="70"/>
        <v>23</v>
      </c>
      <c r="F1480" s="128" t="s">
        <v>24</v>
      </c>
      <c r="G1480" s="128" t="str">
        <f>VLOOKUP(source[[#This Row],[lending_product_transform]],[3]Mapping!$B$4:$C$37,2,0)</f>
        <v>[Cake] - Cashloan</v>
      </c>
      <c r="H1480" s="128" t="str">
        <f>VLOOKUP(source[[#This Row],[lending_product_transform]],[3]Mapping!$B$3:$D$37,3,0)</f>
        <v>cashloan</v>
      </c>
      <c r="I1480" s="135">
        <v>52500000</v>
      </c>
    </row>
    <row r="1481" spans="1:9" x14ac:dyDescent="0.2">
      <c r="A1481" s="134">
        <v>45466</v>
      </c>
      <c r="B1481" s="135">
        <f>YEAR(source[[#This Row],[report_date]])</f>
        <v>2024</v>
      </c>
      <c r="C1481" s="136">
        <v>6</v>
      </c>
      <c r="D1481" s="136">
        <f t="shared" si="69"/>
        <v>25</v>
      </c>
      <c r="E1481" s="136">
        <f t="shared" si="70"/>
        <v>23</v>
      </c>
      <c r="F1481" s="128" t="s">
        <v>24</v>
      </c>
      <c r="G1481" s="128" t="str">
        <f>VLOOKUP(source[[#This Row],[lending_product_transform]],[3]Mapping!$B$4:$C$37,2,0)</f>
        <v>[Cake] - Cashloan</v>
      </c>
      <c r="H1481" s="128" t="str">
        <f>VLOOKUP(source[[#This Row],[lending_product_transform]],[3]Mapping!$B$3:$D$37,3,0)</f>
        <v>cashloan</v>
      </c>
      <c r="I1481" s="135">
        <v>120910000</v>
      </c>
    </row>
    <row r="1482" spans="1:9" x14ac:dyDescent="0.2">
      <c r="A1482" s="134">
        <v>45466</v>
      </c>
      <c r="B1482" s="135">
        <f>YEAR(source[[#This Row],[report_date]])</f>
        <v>2024</v>
      </c>
      <c r="C1482" s="136">
        <v>6</v>
      </c>
      <c r="D1482" s="136">
        <f t="shared" si="69"/>
        <v>25</v>
      </c>
      <c r="E1482" s="136">
        <f t="shared" si="70"/>
        <v>23</v>
      </c>
      <c r="F1482" s="128" t="s">
        <v>24</v>
      </c>
      <c r="G1482" s="128" t="str">
        <f>VLOOKUP(source[[#This Row],[lending_product_transform]],[3]Mapping!$B$4:$C$37,2,0)</f>
        <v>[Cake] - Cashloan</v>
      </c>
      <c r="H1482" s="128" t="str">
        <f>VLOOKUP(source[[#This Row],[lending_product_transform]],[3]Mapping!$B$3:$D$37,3,0)</f>
        <v>cashloan</v>
      </c>
      <c r="I1482" s="135">
        <v>0</v>
      </c>
    </row>
    <row r="1483" spans="1:9" x14ac:dyDescent="0.2">
      <c r="A1483" s="134">
        <v>45466</v>
      </c>
      <c r="B1483" s="135">
        <f>YEAR(source[[#This Row],[report_date]])</f>
        <v>2024</v>
      </c>
      <c r="C1483" s="136">
        <v>6</v>
      </c>
      <c r="D1483" s="136">
        <f t="shared" si="69"/>
        <v>25</v>
      </c>
      <c r="E1483" s="136">
        <f t="shared" si="70"/>
        <v>23</v>
      </c>
      <c r="F1483" s="128" t="s">
        <v>24</v>
      </c>
      <c r="G1483" s="128" t="str">
        <f>VLOOKUP(source[[#This Row],[lending_product_transform]],[3]Mapping!$B$4:$C$37,2,0)</f>
        <v>[Cake] - Cashloan</v>
      </c>
      <c r="H1483" s="128" t="str">
        <f>VLOOKUP(source[[#This Row],[lending_product_transform]],[3]Mapping!$B$3:$D$37,3,0)</f>
        <v>cashloan</v>
      </c>
      <c r="I1483" s="135">
        <v>4070010000</v>
      </c>
    </row>
    <row r="1484" spans="1:9" x14ac:dyDescent="0.2">
      <c r="A1484" s="134">
        <v>45466</v>
      </c>
      <c r="B1484" s="135">
        <f>YEAR(source[[#This Row],[report_date]])</f>
        <v>2024</v>
      </c>
      <c r="C1484" s="136">
        <v>6</v>
      </c>
      <c r="D1484" s="136">
        <f t="shared" si="69"/>
        <v>25</v>
      </c>
      <c r="E1484" s="136">
        <f t="shared" si="70"/>
        <v>23</v>
      </c>
      <c r="F1484" s="128" t="s">
        <v>24</v>
      </c>
      <c r="G1484" s="128" t="str">
        <f>VLOOKUP(source[[#This Row],[lending_product_transform]],[3]Mapping!$B$4:$C$37,2,0)</f>
        <v>[Cake] - Cashloan</v>
      </c>
      <c r="H1484" s="128" t="str">
        <f>VLOOKUP(source[[#This Row],[lending_product_transform]],[3]Mapping!$B$3:$D$37,3,0)</f>
        <v>cashloan</v>
      </c>
      <c r="I1484" s="135">
        <v>4415630000</v>
      </c>
    </row>
    <row r="1485" spans="1:9" x14ac:dyDescent="0.2">
      <c r="A1485" s="134">
        <v>45466</v>
      </c>
      <c r="B1485" s="135">
        <f>YEAR(source[[#This Row],[report_date]])</f>
        <v>2024</v>
      </c>
      <c r="C1485" s="136">
        <v>6</v>
      </c>
      <c r="D1485" s="136">
        <f t="shared" si="69"/>
        <v>25</v>
      </c>
      <c r="E1485" s="136">
        <f t="shared" si="70"/>
        <v>23</v>
      </c>
      <c r="F1485" s="128" t="s">
        <v>24</v>
      </c>
      <c r="G1485" s="128" t="str">
        <f>VLOOKUP(source[[#This Row],[lending_product_transform]],[3]Mapping!$B$4:$C$37,2,0)</f>
        <v>[Cake] - Cashloan</v>
      </c>
      <c r="H1485" s="128" t="str">
        <f>VLOOKUP(source[[#This Row],[lending_product_transform]],[3]Mapping!$B$3:$D$37,3,0)</f>
        <v>cashloan</v>
      </c>
      <c r="I1485" s="135">
        <v>1630683142</v>
      </c>
    </row>
    <row r="1486" spans="1:9" x14ac:dyDescent="0.2">
      <c r="A1486" s="134">
        <v>45466</v>
      </c>
      <c r="B1486" s="135">
        <f>YEAR(source[[#This Row],[report_date]])</f>
        <v>2024</v>
      </c>
      <c r="C1486" s="136">
        <v>6</v>
      </c>
      <c r="D1486" s="136">
        <f t="shared" si="69"/>
        <v>25</v>
      </c>
      <c r="E1486" s="136">
        <f t="shared" si="70"/>
        <v>23</v>
      </c>
      <c r="F1486" s="128" t="s">
        <v>24</v>
      </c>
      <c r="G1486" s="128" t="str">
        <f>VLOOKUP(source[[#This Row],[lending_product_transform]],[3]Mapping!$B$4:$C$37,2,0)</f>
        <v>[Cake] - Cashloan</v>
      </c>
      <c r="H1486" s="128" t="str">
        <f>VLOOKUP(source[[#This Row],[lending_product_transform]],[3]Mapping!$B$3:$D$37,3,0)</f>
        <v>cashloan</v>
      </c>
      <c r="I1486" s="135">
        <v>2567000000</v>
      </c>
    </row>
    <row r="1487" spans="1:9" x14ac:dyDescent="0.2">
      <c r="A1487" s="134">
        <v>45466</v>
      </c>
      <c r="B1487" s="135">
        <f>YEAR(source[[#This Row],[report_date]])</f>
        <v>2024</v>
      </c>
      <c r="C1487" s="136">
        <v>6</v>
      </c>
      <c r="D1487" s="136">
        <f t="shared" si="69"/>
        <v>25</v>
      </c>
      <c r="E1487" s="136">
        <f t="shared" si="70"/>
        <v>23</v>
      </c>
      <c r="F1487" s="128" t="s">
        <v>24</v>
      </c>
      <c r="G1487" s="128" t="str">
        <f>VLOOKUP(source[[#This Row],[lending_product_transform]],[3]Mapping!$B$4:$C$37,2,0)</f>
        <v>[Cake] - Cashloan</v>
      </c>
      <c r="H1487" s="128" t="str">
        <f>VLOOKUP(source[[#This Row],[lending_product_transform]],[3]Mapping!$B$3:$D$37,3,0)</f>
        <v>cashloan</v>
      </c>
      <c r="I1487" s="135">
        <v>99750000</v>
      </c>
    </row>
    <row r="1488" spans="1:9" x14ac:dyDescent="0.2">
      <c r="A1488" s="134">
        <v>45466</v>
      </c>
      <c r="B1488" s="135">
        <f>YEAR(source[[#This Row],[report_date]])</f>
        <v>2024</v>
      </c>
      <c r="C1488" s="136">
        <v>6</v>
      </c>
      <c r="D1488" s="136">
        <f t="shared" si="69"/>
        <v>25</v>
      </c>
      <c r="E1488" s="136">
        <f t="shared" si="70"/>
        <v>23</v>
      </c>
      <c r="F1488" s="128" t="s">
        <v>24</v>
      </c>
      <c r="G1488" s="128" t="str">
        <f>VLOOKUP(source[[#This Row],[lending_product_transform]],[3]Mapping!$B$4:$C$37,2,0)</f>
        <v>[Cake] - Cashloan</v>
      </c>
      <c r="H1488" s="128" t="str">
        <f>VLOOKUP(source[[#This Row],[lending_product_transform]],[3]Mapping!$B$3:$D$37,3,0)</f>
        <v>cashloan</v>
      </c>
      <c r="I1488" s="135">
        <v>428000</v>
      </c>
    </row>
    <row r="1489" spans="1:9" x14ac:dyDescent="0.2">
      <c r="A1489" s="134">
        <v>45466</v>
      </c>
      <c r="B1489" s="135">
        <f>YEAR(source[[#This Row],[report_date]])</f>
        <v>2024</v>
      </c>
      <c r="C1489" s="136">
        <v>6</v>
      </c>
      <c r="D1489" s="136">
        <f t="shared" si="69"/>
        <v>25</v>
      </c>
      <c r="E1489" s="136">
        <f t="shared" si="70"/>
        <v>23</v>
      </c>
      <c r="F1489" s="128" t="s">
        <v>24</v>
      </c>
      <c r="G1489" s="128" t="str">
        <f>VLOOKUP(source[[#This Row],[lending_product_transform]],[3]Mapping!$B$4:$C$37,2,0)</f>
        <v>[Cake] - Cashloan</v>
      </c>
      <c r="H1489" s="128" t="str">
        <f>VLOOKUP(source[[#This Row],[lending_product_transform]],[3]Mapping!$B$3:$D$37,3,0)</f>
        <v>cashloan</v>
      </c>
      <c r="I1489" s="135">
        <v>13161895562</v>
      </c>
    </row>
    <row r="1490" spans="1:9" x14ac:dyDescent="0.2">
      <c r="A1490" s="134">
        <v>45466</v>
      </c>
      <c r="B1490" s="135">
        <f>YEAR(source[[#This Row],[report_date]])</f>
        <v>2024</v>
      </c>
      <c r="C1490" s="136">
        <v>6</v>
      </c>
      <c r="D1490" s="136">
        <f t="shared" si="69"/>
        <v>25</v>
      </c>
      <c r="E1490" s="136">
        <f t="shared" si="70"/>
        <v>23</v>
      </c>
      <c r="F1490" s="128" t="s">
        <v>24</v>
      </c>
      <c r="G1490" s="128" t="str">
        <f>VLOOKUP(source[[#This Row],[lending_product_transform]],[3]Mapping!$B$4:$C$37,2,0)</f>
        <v>[Cake] - Cashloan</v>
      </c>
      <c r="H1490" s="128" t="str">
        <f>VLOOKUP(source[[#This Row],[lending_product_transform]],[3]Mapping!$B$3:$D$37,3,0)</f>
        <v>cashloan</v>
      </c>
      <c r="I1490" s="135">
        <v>71690000</v>
      </c>
    </row>
    <row r="1491" spans="1:9" x14ac:dyDescent="0.2">
      <c r="A1491" s="134">
        <v>45466</v>
      </c>
      <c r="B1491" s="135">
        <f>YEAR(source[[#This Row],[report_date]])</f>
        <v>2024</v>
      </c>
      <c r="C1491" s="136">
        <v>6</v>
      </c>
      <c r="D1491" s="136">
        <f t="shared" si="69"/>
        <v>25</v>
      </c>
      <c r="E1491" s="136">
        <f t="shared" si="70"/>
        <v>23</v>
      </c>
      <c r="F1491" s="128" t="s">
        <v>24</v>
      </c>
      <c r="G1491" s="128" t="str">
        <f>VLOOKUP(source[[#This Row],[lending_product_transform]],[3]Mapping!$B$4:$C$37,2,0)</f>
        <v>[Cake] - Cashloan</v>
      </c>
      <c r="H1491" s="128" t="str">
        <f>VLOOKUP(source[[#This Row],[lending_product_transform]],[3]Mapping!$B$3:$D$37,3,0)</f>
        <v>cashloan</v>
      </c>
      <c r="I1491" s="135">
        <v>40000000</v>
      </c>
    </row>
    <row r="1492" spans="1:9" x14ac:dyDescent="0.2">
      <c r="A1492" s="134">
        <v>45466</v>
      </c>
      <c r="B1492" s="135">
        <f>YEAR(source[[#This Row],[report_date]])</f>
        <v>2024</v>
      </c>
      <c r="C1492" s="136">
        <v>6</v>
      </c>
      <c r="D1492" s="136">
        <f t="shared" si="69"/>
        <v>25</v>
      </c>
      <c r="E1492" s="136">
        <f t="shared" si="70"/>
        <v>23</v>
      </c>
      <c r="F1492" s="128" t="s">
        <v>24</v>
      </c>
      <c r="G1492" s="128" t="str">
        <f>VLOOKUP(source[[#This Row],[lending_product_transform]],[3]Mapping!$B$4:$C$37,2,0)</f>
        <v>[Cake] - Cashloan</v>
      </c>
      <c r="H1492" s="128" t="str">
        <f>VLOOKUP(source[[#This Row],[lending_product_transform]],[3]Mapping!$B$3:$D$37,3,0)</f>
        <v>cashloan</v>
      </c>
      <c r="I1492" s="135">
        <v>93294420</v>
      </c>
    </row>
    <row r="1493" spans="1:9" x14ac:dyDescent="0.2">
      <c r="A1493" s="134">
        <v>45467</v>
      </c>
      <c r="B1493" s="135">
        <f>YEAR(source[[#This Row],[report_date]])</f>
        <v>2024</v>
      </c>
      <c r="C1493" s="136">
        <v>6</v>
      </c>
      <c r="D1493" s="136">
        <f t="shared" si="69"/>
        <v>26</v>
      </c>
      <c r="E1493" s="136">
        <f t="shared" si="70"/>
        <v>24</v>
      </c>
      <c r="F1493" s="128" t="s">
        <v>24</v>
      </c>
      <c r="G1493" s="128" t="str">
        <f>VLOOKUP(source[[#This Row],[lending_product_transform]],[3]Mapping!$B$4:$C$37,2,0)</f>
        <v>[Cake] - Cashloan</v>
      </c>
      <c r="H1493" s="128" t="str">
        <f>VLOOKUP(source[[#This Row],[lending_product_transform]],[3]Mapping!$B$3:$D$37,3,0)</f>
        <v>cashloan</v>
      </c>
      <c r="I1493" s="135">
        <v>84000000</v>
      </c>
    </row>
    <row r="1494" spans="1:9" x14ac:dyDescent="0.2">
      <c r="A1494" s="134">
        <v>45467</v>
      </c>
      <c r="B1494" s="135">
        <f>YEAR(source[[#This Row],[report_date]])</f>
        <v>2024</v>
      </c>
      <c r="C1494" s="136">
        <v>6</v>
      </c>
      <c r="D1494" s="136">
        <f t="shared" si="69"/>
        <v>26</v>
      </c>
      <c r="E1494" s="136">
        <f t="shared" si="70"/>
        <v>24</v>
      </c>
      <c r="F1494" s="128" t="s">
        <v>24</v>
      </c>
      <c r="G1494" s="128" t="str">
        <f>VLOOKUP(source[[#This Row],[lending_product_transform]],[3]Mapping!$B$4:$C$37,2,0)</f>
        <v>[Cake] - Cashloan</v>
      </c>
      <c r="H1494" s="128" t="str">
        <f>VLOOKUP(source[[#This Row],[lending_product_transform]],[3]Mapping!$B$3:$D$37,3,0)</f>
        <v>cashloan</v>
      </c>
      <c r="I1494" s="135">
        <v>6080920000</v>
      </c>
    </row>
    <row r="1495" spans="1:9" x14ac:dyDescent="0.2">
      <c r="A1495" s="134">
        <v>45467</v>
      </c>
      <c r="B1495" s="135">
        <f>YEAR(source[[#This Row],[report_date]])</f>
        <v>2024</v>
      </c>
      <c r="C1495" s="136">
        <v>6</v>
      </c>
      <c r="D1495" s="136">
        <f t="shared" si="69"/>
        <v>26</v>
      </c>
      <c r="E1495" s="136">
        <f t="shared" si="70"/>
        <v>24</v>
      </c>
      <c r="F1495" s="128" t="s">
        <v>24</v>
      </c>
      <c r="G1495" s="128" t="str">
        <f>VLOOKUP(source[[#This Row],[lending_product_transform]],[3]Mapping!$B$4:$C$37,2,0)</f>
        <v>[Cake] - Cashloan</v>
      </c>
      <c r="H1495" s="128" t="str">
        <f>VLOOKUP(source[[#This Row],[lending_product_transform]],[3]Mapping!$B$3:$D$37,3,0)</f>
        <v>cashloan</v>
      </c>
      <c r="I1495" s="135">
        <v>3285500000</v>
      </c>
    </row>
    <row r="1496" spans="1:9" x14ac:dyDescent="0.2">
      <c r="A1496" s="134">
        <v>45467</v>
      </c>
      <c r="B1496" s="135">
        <f>YEAR(source[[#This Row],[report_date]])</f>
        <v>2024</v>
      </c>
      <c r="C1496" s="136">
        <v>6</v>
      </c>
      <c r="D1496" s="136">
        <f t="shared" si="69"/>
        <v>26</v>
      </c>
      <c r="E1496" s="136">
        <f t="shared" si="70"/>
        <v>24</v>
      </c>
      <c r="F1496" s="128" t="s">
        <v>24</v>
      </c>
      <c r="G1496" s="128" t="str">
        <f>VLOOKUP(source[[#This Row],[lending_product_transform]],[3]Mapping!$B$4:$C$37,2,0)</f>
        <v>[Cake] - Cashloan</v>
      </c>
      <c r="H1496" s="128" t="str">
        <f>VLOOKUP(source[[#This Row],[lending_product_transform]],[3]Mapping!$B$3:$D$37,3,0)</f>
        <v>cashloan</v>
      </c>
      <c r="I1496" s="135">
        <v>2704764891</v>
      </c>
    </row>
    <row r="1497" spans="1:9" x14ac:dyDescent="0.2">
      <c r="A1497" s="134">
        <v>45467</v>
      </c>
      <c r="B1497" s="135">
        <f>YEAR(source[[#This Row],[report_date]])</f>
        <v>2024</v>
      </c>
      <c r="C1497" s="136">
        <v>6</v>
      </c>
      <c r="D1497" s="136">
        <f t="shared" si="69"/>
        <v>26</v>
      </c>
      <c r="E1497" s="136">
        <f t="shared" si="70"/>
        <v>24</v>
      </c>
      <c r="F1497" s="128" t="s">
        <v>24</v>
      </c>
      <c r="G1497" s="128" t="str">
        <f>VLOOKUP(source[[#This Row],[lending_product_transform]],[3]Mapping!$B$4:$C$37,2,0)</f>
        <v>[Cake] - Cashloan</v>
      </c>
      <c r="H1497" s="128" t="str">
        <f>VLOOKUP(source[[#This Row],[lending_product_transform]],[3]Mapping!$B$3:$D$37,3,0)</f>
        <v>cashloan</v>
      </c>
      <c r="I1497" s="135">
        <v>1306470000</v>
      </c>
    </row>
    <row r="1498" spans="1:9" x14ac:dyDescent="0.2">
      <c r="A1498" s="134">
        <v>45467</v>
      </c>
      <c r="B1498" s="135">
        <f>YEAR(source[[#This Row],[report_date]])</f>
        <v>2024</v>
      </c>
      <c r="C1498" s="136">
        <v>6</v>
      </c>
      <c r="D1498" s="136">
        <f t="shared" si="69"/>
        <v>26</v>
      </c>
      <c r="E1498" s="136">
        <f t="shared" si="70"/>
        <v>24</v>
      </c>
      <c r="F1498" s="128" t="s">
        <v>24</v>
      </c>
      <c r="G1498" s="128" t="str">
        <f>VLOOKUP(source[[#This Row],[lending_product_transform]],[3]Mapping!$B$4:$C$37,2,0)</f>
        <v>[Cake] - Cashloan</v>
      </c>
      <c r="H1498" s="128" t="str">
        <f>VLOOKUP(source[[#This Row],[lending_product_transform]],[3]Mapping!$B$3:$D$37,3,0)</f>
        <v>cashloan</v>
      </c>
      <c r="I1498" s="135">
        <v>37000000</v>
      </c>
    </row>
    <row r="1499" spans="1:9" x14ac:dyDescent="0.2">
      <c r="A1499" s="134">
        <v>45467</v>
      </c>
      <c r="B1499" s="135">
        <f>YEAR(source[[#This Row],[report_date]])</f>
        <v>2024</v>
      </c>
      <c r="C1499" s="136">
        <v>6</v>
      </c>
      <c r="D1499" s="136">
        <f t="shared" si="69"/>
        <v>26</v>
      </c>
      <c r="E1499" s="136">
        <f t="shared" si="70"/>
        <v>24</v>
      </c>
      <c r="F1499" s="128" t="s">
        <v>24</v>
      </c>
      <c r="G1499" s="128" t="str">
        <f>VLOOKUP(source[[#This Row],[lending_product_transform]],[3]Mapping!$B$4:$C$37,2,0)</f>
        <v>[Cake] - Cashloan</v>
      </c>
      <c r="H1499" s="128" t="str">
        <f>VLOOKUP(source[[#This Row],[lending_product_transform]],[3]Mapping!$B$3:$D$37,3,0)</f>
        <v>cashloan</v>
      </c>
      <c r="I1499" s="135">
        <v>27254899302</v>
      </c>
    </row>
    <row r="1500" spans="1:9" x14ac:dyDescent="0.2">
      <c r="A1500" s="134">
        <v>45467</v>
      </c>
      <c r="B1500" s="135">
        <f>YEAR(source[[#This Row],[report_date]])</f>
        <v>2024</v>
      </c>
      <c r="C1500" s="136">
        <v>6</v>
      </c>
      <c r="D1500" s="136">
        <f t="shared" si="69"/>
        <v>26</v>
      </c>
      <c r="E1500" s="136">
        <f t="shared" si="70"/>
        <v>24</v>
      </c>
      <c r="F1500" s="128" t="s">
        <v>24</v>
      </c>
      <c r="G1500" s="128" t="str">
        <f>VLOOKUP(source[[#This Row],[lending_product_transform]],[3]Mapping!$B$4:$C$37,2,0)</f>
        <v>[Cake] - Cashloan</v>
      </c>
      <c r="H1500" s="128" t="str">
        <f>VLOOKUP(source[[#This Row],[lending_product_transform]],[3]Mapping!$B$3:$D$37,3,0)</f>
        <v>cashloan</v>
      </c>
      <c r="I1500" s="135">
        <v>1164900</v>
      </c>
    </row>
    <row r="1501" spans="1:9" x14ac:dyDescent="0.2">
      <c r="A1501" s="134">
        <v>45467</v>
      </c>
      <c r="B1501" s="135">
        <f>YEAR(source[[#This Row],[report_date]])</f>
        <v>2024</v>
      </c>
      <c r="C1501" s="136">
        <v>6</v>
      </c>
      <c r="D1501" s="136">
        <f t="shared" si="69"/>
        <v>26</v>
      </c>
      <c r="E1501" s="136">
        <f t="shared" si="70"/>
        <v>24</v>
      </c>
      <c r="F1501" s="128" t="s">
        <v>24</v>
      </c>
      <c r="G1501" s="128" t="str">
        <f>VLOOKUP(source[[#This Row],[lending_product_transform]],[3]Mapping!$B$4:$C$37,2,0)</f>
        <v>[Cake] - Cashloan</v>
      </c>
      <c r="H1501" s="128" t="str">
        <f>VLOOKUP(source[[#This Row],[lending_product_transform]],[3]Mapping!$B$3:$D$37,3,0)</f>
        <v>cashloan</v>
      </c>
      <c r="I1501" s="135">
        <v>125560000</v>
      </c>
    </row>
    <row r="1502" spans="1:9" x14ac:dyDescent="0.2">
      <c r="A1502" s="134">
        <v>45467</v>
      </c>
      <c r="B1502" s="135">
        <f>YEAR(source[[#This Row],[report_date]])</f>
        <v>2024</v>
      </c>
      <c r="C1502" s="136">
        <v>6</v>
      </c>
      <c r="D1502" s="136">
        <f t="shared" si="69"/>
        <v>26</v>
      </c>
      <c r="E1502" s="136">
        <f t="shared" si="70"/>
        <v>24</v>
      </c>
      <c r="F1502" s="128" t="s">
        <v>24</v>
      </c>
      <c r="G1502" s="128" t="str">
        <f>VLOOKUP(source[[#This Row],[lending_product_transform]],[3]Mapping!$B$4:$C$37,2,0)</f>
        <v>[Cake] - Cashloan</v>
      </c>
      <c r="H1502" s="128" t="str">
        <f>VLOOKUP(source[[#This Row],[lending_product_transform]],[3]Mapping!$B$3:$D$37,3,0)</f>
        <v>cashloan</v>
      </c>
      <c r="I1502" s="135">
        <v>105249502</v>
      </c>
    </row>
    <row r="1503" spans="1:9" x14ac:dyDescent="0.2">
      <c r="A1503" s="134">
        <v>45467</v>
      </c>
      <c r="B1503" s="135">
        <f>YEAR(source[[#This Row],[report_date]])</f>
        <v>2024</v>
      </c>
      <c r="C1503" s="136">
        <v>6</v>
      </c>
      <c r="D1503" s="136">
        <f t="shared" si="69"/>
        <v>26</v>
      </c>
      <c r="E1503" s="136">
        <f t="shared" si="70"/>
        <v>24</v>
      </c>
      <c r="F1503" s="128" t="s">
        <v>24</v>
      </c>
      <c r="G1503" s="128" t="str">
        <f>VLOOKUP(source[[#This Row],[lending_product_transform]],[3]Mapping!$B$4:$C$37,2,0)</f>
        <v>[Cake] - Cashloan</v>
      </c>
      <c r="H1503" s="128" t="str">
        <f>VLOOKUP(source[[#This Row],[lending_product_transform]],[3]Mapping!$B$3:$D$37,3,0)</f>
        <v>cashloan</v>
      </c>
      <c r="I1503" s="135">
        <v>0</v>
      </c>
    </row>
    <row r="1504" spans="1:9" x14ac:dyDescent="0.2">
      <c r="A1504" s="134">
        <v>45467</v>
      </c>
      <c r="B1504" s="135">
        <f>YEAR(source[[#This Row],[report_date]])</f>
        <v>2024</v>
      </c>
      <c r="C1504" s="136">
        <v>6</v>
      </c>
      <c r="D1504" s="136">
        <f t="shared" si="69"/>
        <v>26</v>
      </c>
      <c r="E1504" s="136">
        <f t="shared" si="70"/>
        <v>24</v>
      </c>
      <c r="F1504" s="128" t="s">
        <v>24</v>
      </c>
      <c r="G1504" s="128" t="str">
        <f>VLOOKUP(source[[#This Row],[lending_product_transform]],[3]Mapping!$B$4:$C$37,2,0)</f>
        <v>[Cake] - Cashloan</v>
      </c>
      <c r="H1504" s="128" t="str">
        <f>VLOOKUP(source[[#This Row],[lending_product_transform]],[3]Mapping!$B$3:$D$37,3,0)</f>
        <v>cashloan</v>
      </c>
      <c r="I1504" s="135">
        <v>13418220009</v>
      </c>
    </row>
    <row r="1505" spans="1:9" x14ac:dyDescent="0.2">
      <c r="A1505" s="134">
        <v>45467</v>
      </c>
      <c r="B1505" s="135">
        <f>YEAR(source[[#This Row],[report_date]])</f>
        <v>2024</v>
      </c>
      <c r="C1505" s="136">
        <v>6</v>
      </c>
      <c r="D1505" s="136">
        <f t="shared" si="69"/>
        <v>26</v>
      </c>
      <c r="E1505" s="136">
        <f t="shared" si="70"/>
        <v>24</v>
      </c>
      <c r="F1505" s="128" t="s">
        <v>24</v>
      </c>
      <c r="G1505" s="128" t="str">
        <f>VLOOKUP(source[[#This Row],[lending_product_transform]],[3]Mapping!$B$4:$C$37,2,0)</f>
        <v>[Cake] - Cashloan</v>
      </c>
      <c r="H1505" s="128" t="str">
        <f>VLOOKUP(source[[#This Row],[lending_product_transform]],[3]Mapping!$B$3:$D$37,3,0)</f>
        <v>cashloan</v>
      </c>
      <c r="I1505" s="135">
        <v>106050000</v>
      </c>
    </row>
    <row r="1506" spans="1:9" x14ac:dyDescent="0.2">
      <c r="A1506" s="134">
        <v>45468</v>
      </c>
      <c r="B1506" s="135">
        <f>YEAR(source[[#This Row],[report_date]])</f>
        <v>2024</v>
      </c>
      <c r="C1506" s="136">
        <v>6</v>
      </c>
      <c r="D1506" s="136">
        <f t="shared" si="69"/>
        <v>26</v>
      </c>
      <c r="E1506" s="136">
        <f t="shared" si="70"/>
        <v>25</v>
      </c>
      <c r="F1506" s="128" t="s">
        <v>24</v>
      </c>
      <c r="G1506" s="128" t="str">
        <f>VLOOKUP(source[[#This Row],[lending_product_transform]],[3]Mapping!$B$4:$C$37,2,0)</f>
        <v>[Cake] - Cashloan</v>
      </c>
      <c r="H1506" s="128" t="str">
        <f>VLOOKUP(source[[#This Row],[lending_product_transform]],[3]Mapping!$B$3:$D$37,3,0)</f>
        <v>cashloan</v>
      </c>
      <c r="I1506" s="135">
        <v>8321579875</v>
      </c>
    </row>
    <row r="1507" spans="1:9" x14ac:dyDescent="0.2">
      <c r="A1507" s="134">
        <v>45468</v>
      </c>
      <c r="B1507" s="135">
        <f>YEAR(source[[#This Row],[report_date]])</f>
        <v>2024</v>
      </c>
      <c r="C1507" s="136">
        <v>6</v>
      </c>
      <c r="D1507" s="136">
        <f t="shared" si="69"/>
        <v>26</v>
      </c>
      <c r="E1507" s="136">
        <f t="shared" si="70"/>
        <v>25</v>
      </c>
      <c r="F1507" s="128" t="s">
        <v>24</v>
      </c>
      <c r="G1507" s="128" t="str">
        <f>VLOOKUP(source[[#This Row],[lending_product_transform]],[3]Mapping!$B$4:$C$37,2,0)</f>
        <v>[Cake] - Cashloan</v>
      </c>
      <c r="H1507" s="128" t="str">
        <f>VLOOKUP(source[[#This Row],[lending_product_transform]],[3]Mapping!$B$3:$D$37,3,0)</f>
        <v>cashloan</v>
      </c>
      <c r="I1507" s="135">
        <v>244000</v>
      </c>
    </row>
    <row r="1508" spans="1:9" x14ac:dyDescent="0.2">
      <c r="A1508" s="134">
        <v>45468</v>
      </c>
      <c r="B1508" s="135">
        <f>YEAR(source[[#This Row],[report_date]])</f>
        <v>2024</v>
      </c>
      <c r="C1508" s="136">
        <v>6</v>
      </c>
      <c r="D1508" s="136">
        <f t="shared" si="69"/>
        <v>26</v>
      </c>
      <c r="E1508" s="136">
        <f t="shared" si="70"/>
        <v>25</v>
      </c>
      <c r="F1508" s="128" t="s">
        <v>24</v>
      </c>
      <c r="G1508" s="128" t="str">
        <f>VLOOKUP(source[[#This Row],[lending_product_transform]],[3]Mapping!$B$4:$C$37,2,0)</f>
        <v>[Cake] - Cashloan</v>
      </c>
      <c r="H1508" s="128" t="str">
        <f>VLOOKUP(source[[#This Row],[lending_product_transform]],[3]Mapping!$B$3:$D$37,3,0)</f>
        <v>cashloan</v>
      </c>
      <c r="I1508" s="135">
        <v>59220000</v>
      </c>
    </row>
    <row r="1509" spans="1:9" x14ac:dyDescent="0.2">
      <c r="A1509" s="134">
        <v>45468</v>
      </c>
      <c r="B1509" s="135">
        <f>YEAR(source[[#This Row],[report_date]])</f>
        <v>2024</v>
      </c>
      <c r="C1509" s="136">
        <v>6</v>
      </c>
      <c r="D1509" s="136">
        <f t="shared" si="69"/>
        <v>26</v>
      </c>
      <c r="E1509" s="136">
        <f t="shared" si="70"/>
        <v>25</v>
      </c>
      <c r="F1509" s="128" t="s">
        <v>24</v>
      </c>
      <c r="G1509" s="128" t="str">
        <f>VLOOKUP(source[[#This Row],[lending_product_transform]],[3]Mapping!$B$4:$C$37,2,0)</f>
        <v>[Cake] - Cashloan</v>
      </c>
      <c r="H1509" s="128" t="str">
        <f>VLOOKUP(source[[#This Row],[lending_product_transform]],[3]Mapping!$B$3:$D$37,3,0)</f>
        <v>cashloan</v>
      </c>
      <c r="I1509" s="135">
        <v>31500000</v>
      </c>
    </row>
    <row r="1510" spans="1:9" x14ac:dyDescent="0.2">
      <c r="A1510" s="134">
        <v>45468</v>
      </c>
      <c r="B1510" s="135">
        <f>YEAR(source[[#This Row],[report_date]])</f>
        <v>2024</v>
      </c>
      <c r="C1510" s="136">
        <v>6</v>
      </c>
      <c r="D1510" s="136">
        <f t="shared" si="69"/>
        <v>26</v>
      </c>
      <c r="E1510" s="136">
        <f t="shared" si="70"/>
        <v>25</v>
      </c>
      <c r="F1510" s="128" t="s">
        <v>24</v>
      </c>
      <c r="G1510" s="128" t="str">
        <f>VLOOKUP(source[[#This Row],[lending_product_transform]],[3]Mapping!$B$4:$C$37,2,0)</f>
        <v>[Cake] - Cashloan</v>
      </c>
      <c r="H1510" s="128" t="str">
        <f>VLOOKUP(source[[#This Row],[lending_product_transform]],[3]Mapping!$B$3:$D$37,3,0)</f>
        <v>cashloan</v>
      </c>
      <c r="I1510" s="135">
        <v>2332115218</v>
      </c>
    </row>
    <row r="1511" spans="1:9" x14ac:dyDescent="0.2">
      <c r="A1511" s="134">
        <v>45468</v>
      </c>
      <c r="B1511" s="135">
        <f>YEAR(source[[#This Row],[report_date]])</f>
        <v>2024</v>
      </c>
      <c r="C1511" s="136">
        <v>6</v>
      </c>
      <c r="D1511" s="136">
        <f t="shared" si="69"/>
        <v>26</v>
      </c>
      <c r="E1511" s="136">
        <f t="shared" si="70"/>
        <v>25</v>
      </c>
      <c r="F1511" s="128" t="s">
        <v>24</v>
      </c>
      <c r="G1511" s="128" t="str">
        <f>VLOOKUP(source[[#This Row],[lending_product_transform]],[3]Mapping!$B$4:$C$37,2,0)</f>
        <v>[Cake] - Cashloan</v>
      </c>
      <c r="H1511" s="128" t="str">
        <f>VLOOKUP(source[[#This Row],[lending_product_transform]],[3]Mapping!$B$3:$D$37,3,0)</f>
        <v>cashloan</v>
      </c>
      <c r="I1511" s="135">
        <v>21688381584</v>
      </c>
    </row>
    <row r="1512" spans="1:9" x14ac:dyDescent="0.2">
      <c r="A1512" s="134">
        <v>45468</v>
      </c>
      <c r="B1512" s="135">
        <f>YEAR(source[[#This Row],[report_date]])</f>
        <v>2024</v>
      </c>
      <c r="C1512" s="136">
        <v>6</v>
      </c>
      <c r="D1512" s="136">
        <f t="shared" si="69"/>
        <v>26</v>
      </c>
      <c r="E1512" s="136">
        <f t="shared" si="70"/>
        <v>25</v>
      </c>
      <c r="F1512" s="128" t="s">
        <v>24</v>
      </c>
      <c r="G1512" s="128" t="str">
        <f>VLOOKUP(source[[#This Row],[lending_product_transform]],[3]Mapping!$B$4:$C$37,2,0)</f>
        <v>[Cake] - Cashloan</v>
      </c>
      <c r="H1512" s="128" t="str">
        <f>VLOOKUP(source[[#This Row],[lending_product_transform]],[3]Mapping!$B$3:$D$37,3,0)</f>
        <v>cashloan</v>
      </c>
      <c r="I1512" s="135">
        <v>6167770000</v>
      </c>
    </row>
    <row r="1513" spans="1:9" x14ac:dyDescent="0.2">
      <c r="A1513" s="134">
        <v>45468</v>
      </c>
      <c r="B1513" s="135">
        <f>YEAR(source[[#This Row],[report_date]])</f>
        <v>2024</v>
      </c>
      <c r="C1513" s="136">
        <v>6</v>
      </c>
      <c r="D1513" s="136">
        <f t="shared" si="69"/>
        <v>26</v>
      </c>
      <c r="E1513" s="136">
        <f t="shared" si="70"/>
        <v>25</v>
      </c>
      <c r="F1513" s="128" t="s">
        <v>24</v>
      </c>
      <c r="G1513" s="128" t="str">
        <f>VLOOKUP(source[[#This Row],[lending_product_transform]],[3]Mapping!$B$4:$C$37,2,0)</f>
        <v>[Cake] - Cashloan</v>
      </c>
      <c r="H1513" s="128" t="str">
        <f>VLOOKUP(source[[#This Row],[lending_product_transform]],[3]Mapping!$B$3:$D$37,3,0)</f>
        <v>cashloan</v>
      </c>
      <c r="I1513" s="135">
        <v>6420000</v>
      </c>
    </row>
    <row r="1514" spans="1:9" x14ac:dyDescent="0.2">
      <c r="A1514" s="134">
        <v>45468</v>
      </c>
      <c r="B1514" s="135">
        <f>YEAR(source[[#This Row],[report_date]])</f>
        <v>2024</v>
      </c>
      <c r="C1514" s="136">
        <v>6</v>
      </c>
      <c r="D1514" s="136">
        <f t="shared" si="69"/>
        <v>26</v>
      </c>
      <c r="E1514" s="136">
        <f t="shared" si="70"/>
        <v>25</v>
      </c>
      <c r="F1514" s="128" t="s">
        <v>24</v>
      </c>
      <c r="G1514" s="128" t="str">
        <f>VLOOKUP(source[[#This Row],[lending_product_transform]],[3]Mapping!$B$4:$C$37,2,0)</f>
        <v>[Cake] - Cashloan</v>
      </c>
      <c r="H1514" s="128" t="str">
        <f>VLOOKUP(source[[#This Row],[lending_product_transform]],[3]Mapping!$B$3:$D$37,3,0)</f>
        <v>cashloan</v>
      </c>
      <c r="I1514" s="135">
        <v>50000000</v>
      </c>
    </row>
    <row r="1515" spans="1:9" x14ac:dyDescent="0.2">
      <c r="A1515" s="134">
        <v>45468</v>
      </c>
      <c r="B1515" s="135">
        <f>YEAR(source[[#This Row],[report_date]])</f>
        <v>2024</v>
      </c>
      <c r="C1515" s="136">
        <v>6</v>
      </c>
      <c r="D1515" s="136">
        <f t="shared" si="69"/>
        <v>26</v>
      </c>
      <c r="E1515" s="136">
        <f t="shared" si="70"/>
        <v>25</v>
      </c>
      <c r="F1515" s="128" t="s">
        <v>24</v>
      </c>
      <c r="G1515" s="128" t="str">
        <f>VLOOKUP(source[[#This Row],[lending_product_transform]],[3]Mapping!$B$4:$C$37,2,0)</f>
        <v>[Cake] - Cashloan</v>
      </c>
      <c r="H1515" s="128" t="str">
        <f>VLOOKUP(source[[#This Row],[lending_product_transform]],[3]Mapping!$B$3:$D$37,3,0)</f>
        <v>cashloan</v>
      </c>
      <c r="I1515" s="135">
        <v>113192491</v>
      </c>
    </row>
    <row r="1516" spans="1:9" x14ac:dyDescent="0.2">
      <c r="A1516" s="134">
        <v>45468</v>
      </c>
      <c r="B1516" s="135">
        <f>YEAR(source[[#This Row],[report_date]])</f>
        <v>2024</v>
      </c>
      <c r="C1516" s="136">
        <v>6</v>
      </c>
      <c r="D1516" s="136">
        <f t="shared" si="69"/>
        <v>26</v>
      </c>
      <c r="E1516" s="136">
        <f t="shared" si="70"/>
        <v>25</v>
      </c>
      <c r="F1516" s="128" t="s">
        <v>24</v>
      </c>
      <c r="G1516" s="128" t="str">
        <f>VLOOKUP(source[[#This Row],[lending_product_transform]],[3]Mapping!$B$4:$C$37,2,0)</f>
        <v>[Cake] - Cashloan</v>
      </c>
      <c r="H1516" s="128" t="str">
        <f>VLOOKUP(source[[#This Row],[lending_product_transform]],[3]Mapping!$B$3:$D$37,3,0)</f>
        <v>cashloan</v>
      </c>
      <c r="I1516" s="135">
        <v>1263040000</v>
      </c>
    </row>
    <row r="1517" spans="1:9" x14ac:dyDescent="0.2">
      <c r="A1517" s="134">
        <v>45468</v>
      </c>
      <c r="B1517" s="135">
        <f>YEAR(source[[#This Row],[report_date]])</f>
        <v>2024</v>
      </c>
      <c r="C1517" s="136">
        <v>6</v>
      </c>
      <c r="D1517" s="136">
        <f t="shared" si="69"/>
        <v>26</v>
      </c>
      <c r="E1517" s="136">
        <f t="shared" si="70"/>
        <v>25</v>
      </c>
      <c r="F1517" s="128" t="s">
        <v>24</v>
      </c>
      <c r="G1517" s="128" t="str">
        <f>VLOOKUP(source[[#This Row],[lending_product_transform]],[3]Mapping!$B$4:$C$37,2,0)</f>
        <v>[Cake] - Cashloan</v>
      </c>
      <c r="H1517" s="128" t="str">
        <f>VLOOKUP(source[[#This Row],[lending_product_transform]],[3]Mapping!$B$3:$D$37,3,0)</f>
        <v>cashloan</v>
      </c>
      <c r="I1517" s="135">
        <v>3263500000</v>
      </c>
    </row>
    <row r="1518" spans="1:9" x14ac:dyDescent="0.2">
      <c r="A1518" s="134">
        <v>45468</v>
      </c>
      <c r="B1518" s="135">
        <f>YEAR(source[[#This Row],[report_date]])</f>
        <v>2024</v>
      </c>
      <c r="C1518" s="136">
        <v>6</v>
      </c>
      <c r="D1518" s="136">
        <f t="shared" si="69"/>
        <v>26</v>
      </c>
      <c r="E1518" s="136">
        <f t="shared" si="70"/>
        <v>25</v>
      </c>
      <c r="F1518" s="128" t="s">
        <v>24</v>
      </c>
      <c r="G1518" s="128" t="str">
        <f>VLOOKUP(source[[#This Row],[lending_product_transform]],[3]Mapping!$B$4:$C$37,2,0)</f>
        <v>[Cake] - Cashloan</v>
      </c>
      <c r="H1518" s="128" t="str">
        <f>VLOOKUP(source[[#This Row],[lending_product_transform]],[3]Mapping!$B$3:$D$37,3,0)</f>
        <v>cashloan</v>
      </c>
      <c r="I1518" s="135">
        <v>79800000</v>
      </c>
    </row>
    <row r="1519" spans="1:9" x14ac:dyDescent="0.2">
      <c r="A1519" s="134">
        <v>45469</v>
      </c>
      <c r="B1519" s="135">
        <f>YEAR(source[[#This Row],[report_date]])</f>
        <v>2024</v>
      </c>
      <c r="C1519" s="136">
        <v>6</v>
      </c>
      <c r="D1519" s="136">
        <f t="shared" si="69"/>
        <v>26</v>
      </c>
      <c r="E1519" s="136">
        <f t="shared" si="70"/>
        <v>26</v>
      </c>
      <c r="F1519" s="128" t="s">
        <v>24</v>
      </c>
      <c r="G1519" s="128" t="str">
        <f>VLOOKUP(source[[#This Row],[lending_product_transform]],[3]Mapping!$B$4:$C$37,2,0)</f>
        <v>[Cake] - Cashloan</v>
      </c>
      <c r="H1519" s="128" t="str">
        <f>VLOOKUP(source[[#This Row],[lending_product_transform]],[3]Mapping!$B$3:$D$37,3,0)</f>
        <v>cashloan</v>
      </c>
      <c r="I1519" s="135">
        <v>0</v>
      </c>
    </row>
    <row r="1520" spans="1:9" x14ac:dyDescent="0.2">
      <c r="A1520" s="134">
        <v>45469</v>
      </c>
      <c r="B1520" s="135">
        <f>YEAR(source[[#This Row],[report_date]])</f>
        <v>2024</v>
      </c>
      <c r="C1520" s="136">
        <v>6</v>
      </c>
      <c r="D1520" s="136">
        <f t="shared" si="69"/>
        <v>26</v>
      </c>
      <c r="E1520" s="136">
        <f t="shared" si="70"/>
        <v>26</v>
      </c>
      <c r="F1520" s="128" t="s">
        <v>24</v>
      </c>
      <c r="G1520" s="128" t="str">
        <f>VLOOKUP(source[[#This Row],[lending_product_transform]],[3]Mapping!$B$4:$C$37,2,0)</f>
        <v>[Cake] - Cashloan</v>
      </c>
      <c r="H1520" s="128" t="str">
        <f>VLOOKUP(source[[#This Row],[lending_product_transform]],[3]Mapping!$B$3:$D$37,3,0)</f>
        <v>cashloan</v>
      </c>
      <c r="I1520" s="135">
        <v>8705740000</v>
      </c>
    </row>
    <row r="1521" spans="1:9" x14ac:dyDescent="0.2">
      <c r="A1521" s="134">
        <v>45469</v>
      </c>
      <c r="B1521" s="135">
        <f>YEAR(source[[#This Row],[report_date]])</f>
        <v>2024</v>
      </c>
      <c r="C1521" s="136">
        <v>6</v>
      </c>
      <c r="D1521" s="136">
        <f t="shared" si="69"/>
        <v>26</v>
      </c>
      <c r="E1521" s="136">
        <f t="shared" si="70"/>
        <v>26</v>
      </c>
      <c r="F1521" s="128" t="s">
        <v>24</v>
      </c>
      <c r="G1521" s="128" t="str">
        <f>VLOOKUP(source[[#This Row],[lending_product_transform]],[3]Mapping!$B$4:$C$37,2,0)</f>
        <v>[Cake] - Cashloan</v>
      </c>
      <c r="H1521" s="128" t="str">
        <f>VLOOKUP(source[[#This Row],[lending_product_transform]],[3]Mapping!$B$3:$D$37,3,0)</f>
        <v>cashloan</v>
      </c>
      <c r="I1521" s="135">
        <v>39400000</v>
      </c>
    </row>
    <row r="1522" spans="1:9" x14ac:dyDescent="0.2">
      <c r="A1522" s="134">
        <v>45469</v>
      </c>
      <c r="B1522" s="135">
        <f>YEAR(source[[#This Row],[report_date]])</f>
        <v>2024</v>
      </c>
      <c r="C1522" s="136">
        <v>6</v>
      </c>
      <c r="D1522" s="136">
        <f t="shared" si="69"/>
        <v>26</v>
      </c>
      <c r="E1522" s="136">
        <f t="shared" si="70"/>
        <v>26</v>
      </c>
      <c r="F1522" s="128" t="s">
        <v>24</v>
      </c>
      <c r="G1522" s="128" t="str">
        <f>VLOOKUP(source[[#This Row],[lending_product_transform]],[3]Mapping!$B$4:$C$37,2,0)</f>
        <v>[Cake] - Cashloan</v>
      </c>
      <c r="H1522" s="128" t="str">
        <f>VLOOKUP(source[[#This Row],[lending_product_transform]],[3]Mapping!$B$3:$D$37,3,0)</f>
        <v>cashloan</v>
      </c>
      <c r="I1522" s="135">
        <v>83306867</v>
      </c>
    </row>
    <row r="1523" spans="1:9" x14ac:dyDescent="0.2">
      <c r="A1523" s="134">
        <v>45469</v>
      </c>
      <c r="B1523" s="135">
        <f>YEAR(source[[#This Row],[report_date]])</f>
        <v>2024</v>
      </c>
      <c r="C1523" s="136">
        <v>6</v>
      </c>
      <c r="D1523" s="136">
        <f t="shared" si="69"/>
        <v>26</v>
      </c>
      <c r="E1523" s="136">
        <f t="shared" si="70"/>
        <v>26</v>
      </c>
      <c r="F1523" s="128" t="s">
        <v>24</v>
      </c>
      <c r="G1523" s="128" t="str">
        <f>VLOOKUP(source[[#This Row],[lending_product_transform]],[3]Mapping!$B$4:$C$37,2,0)</f>
        <v>[Cake] - Cashloan</v>
      </c>
      <c r="H1523" s="128" t="str">
        <f>VLOOKUP(source[[#This Row],[lending_product_transform]],[3]Mapping!$B$3:$D$37,3,0)</f>
        <v>cashloan</v>
      </c>
      <c r="I1523" s="135">
        <v>78110000</v>
      </c>
    </row>
    <row r="1524" spans="1:9" x14ac:dyDescent="0.2">
      <c r="A1524" s="134">
        <v>45469</v>
      </c>
      <c r="B1524" s="135">
        <f>YEAR(source[[#This Row],[report_date]])</f>
        <v>2024</v>
      </c>
      <c r="C1524" s="136">
        <v>6</v>
      </c>
      <c r="D1524" s="136">
        <f t="shared" si="69"/>
        <v>26</v>
      </c>
      <c r="E1524" s="136">
        <f t="shared" si="70"/>
        <v>26</v>
      </c>
      <c r="F1524" s="128" t="s">
        <v>24</v>
      </c>
      <c r="G1524" s="128" t="str">
        <f>VLOOKUP(source[[#This Row],[lending_product_transform]],[3]Mapping!$B$4:$C$37,2,0)</f>
        <v>[Cake] - Cashloan</v>
      </c>
      <c r="H1524" s="128" t="str">
        <f>VLOOKUP(source[[#This Row],[lending_product_transform]],[3]Mapping!$B$3:$D$37,3,0)</f>
        <v>cashloan</v>
      </c>
      <c r="I1524" s="135">
        <v>22830917137</v>
      </c>
    </row>
    <row r="1525" spans="1:9" x14ac:dyDescent="0.2">
      <c r="A1525" s="134">
        <v>45469</v>
      </c>
      <c r="B1525" s="135">
        <f>YEAR(source[[#This Row],[report_date]])</f>
        <v>2024</v>
      </c>
      <c r="C1525" s="136">
        <v>6</v>
      </c>
      <c r="D1525" s="136">
        <f t="shared" si="69"/>
        <v>26</v>
      </c>
      <c r="E1525" s="136">
        <f t="shared" si="70"/>
        <v>26</v>
      </c>
      <c r="F1525" s="128" t="s">
        <v>24</v>
      </c>
      <c r="G1525" s="128" t="str">
        <f>VLOOKUP(source[[#This Row],[lending_product_transform]],[3]Mapping!$B$4:$C$37,2,0)</f>
        <v>[Cake] - Cashloan</v>
      </c>
      <c r="H1525" s="128" t="str">
        <f>VLOOKUP(source[[#This Row],[lending_product_transform]],[3]Mapping!$B$3:$D$37,3,0)</f>
        <v>cashloan</v>
      </c>
      <c r="I1525" s="135">
        <v>255700000</v>
      </c>
    </row>
    <row r="1526" spans="1:9" x14ac:dyDescent="0.2">
      <c r="A1526" s="134">
        <v>45469</v>
      </c>
      <c r="B1526" s="135">
        <f>YEAR(source[[#This Row],[report_date]])</f>
        <v>2024</v>
      </c>
      <c r="C1526" s="136">
        <v>6</v>
      </c>
      <c r="D1526" s="136">
        <f t="shared" si="69"/>
        <v>26</v>
      </c>
      <c r="E1526" s="136">
        <f t="shared" si="70"/>
        <v>26</v>
      </c>
      <c r="F1526" s="128" t="s">
        <v>24</v>
      </c>
      <c r="G1526" s="128" t="str">
        <f>VLOOKUP(source[[#This Row],[lending_product_transform]],[3]Mapping!$B$4:$C$37,2,0)</f>
        <v>[Cake] - Cashloan</v>
      </c>
      <c r="H1526" s="128" t="str">
        <f>VLOOKUP(source[[#This Row],[lending_product_transform]],[3]Mapping!$B$3:$D$37,3,0)</f>
        <v>cashloan</v>
      </c>
      <c r="I1526" s="135">
        <v>1448780000</v>
      </c>
    </row>
    <row r="1527" spans="1:9" x14ac:dyDescent="0.2">
      <c r="A1527" s="134">
        <v>45469</v>
      </c>
      <c r="B1527" s="135">
        <f>YEAR(source[[#This Row],[report_date]])</f>
        <v>2024</v>
      </c>
      <c r="C1527" s="136">
        <v>6</v>
      </c>
      <c r="D1527" s="136">
        <f t="shared" si="69"/>
        <v>26</v>
      </c>
      <c r="E1527" s="136">
        <f t="shared" si="70"/>
        <v>26</v>
      </c>
      <c r="F1527" s="128" t="s">
        <v>24</v>
      </c>
      <c r="G1527" s="128" t="str">
        <f>VLOOKUP(source[[#This Row],[lending_product_transform]],[3]Mapping!$B$4:$C$37,2,0)</f>
        <v>[Cake] - Cashloan</v>
      </c>
      <c r="H1527" s="128" t="str">
        <f>VLOOKUP(source[[#This Row],[lending_product_transform]],[3]Mapping!$B$3:$D$37,3,0)</f>
        <v>cashloan</v>
      </c>
      <c r="I1527" s="135">
        <v>1842450</v>
      </c>
    </row>
    <row r="1528" spans="1:9" x14ac:dyDescent="0.2">
      <c r="A1528" s="134">
        <v>45469</v>
      </c>
      <c r="B1528" s="135">
        <f>YEAR(source[[#This Row],[report_date]])</f>
        <v>2024</v>
      </c>
      <c r="C1528" s="136">
        <v>6</v>
      </c>
      <c r="D1528" s="136">
        <f t="shared" si="69"/>
        <v>26</v>
      </c>
      <c r="E1528" s="136">
        <f t="shared" si="70"/>
        <v>26</v>
      </c>
      <c r="F1528" s="128" t="s">
        <v>24</v>
      </c>
      <c r="G1528" s="128" t="str">
        <f>VLOOKUP(source[[#This Row],[lending_product_transform]],[3]Mapping!$B$4:$C$37,2,0)</f>
        <v>[Cake] - Cashloan</v>
      </c>
      <c r="H1528" s="128" t="str">
        <f>VLOOKUP(source[[#This Row],[lending_product_transform]],[3]Mapping!$B$3:$D$37,3,0)</f>
        <v>cashloan</v>
      </c>
      <c r="I1528" s="135">
        <v>96000000</v>
      </c>
    </row>
    <row r="1529" spans="1:9" x14ac:dyDescent="0.2">
      <c r="A1529" s="134">
        <v>45469</v>
      </c>
      <c r="B1529" s="135">
        <f>YEAR(source[[#This Row],[report_date]])</f>
        <v>2024</v>
      </c>
      <c r="C1529" s="136">
        <v>6</v>
      </c>
      <c r="D1529" s="136">
        <f t="shared" si="69"/>
        <v>26</v>
      </c>
      <c r="E1529" s="136">
        <f t="shared" si="70"/>
        <v>26</v>
      </c>
      <c r="F1529" s="128" t="s">
        <v>24</v>
      </c>
      <c r="G1529" s="128" t="str">
        <f>VLOOKUP(source[[#This Row],[lending_product_transform]],[3]Mapping!$B$4:$C$37,2,0)</f>
        <v>[Cake] - Cashloan</v>
      </c>
      <c r="H1529" s="128" t="str">
        <f>VLOOKUP(source[[#This Row],[lending_product_transform]],[3]Mapping!$B$3:$D$37,3,0)</f>
        <v>cashloan</v>
      </c>
      <c r="I1529" s="135">
        <v>3647500000</v>
      </c>
    </row>
    <row r="1530" spans="1:9" x14ac:dyDescent="0.2">
      <c r="A1530" s="134">
        <v>45469</v>
      </c>
      <c r="B1530" s="135">
        <f>YEAR(source[[#This Row],[report_date]])</f>
        <v>2024</v>
      </c>
      <c r="C1530" s="136">
        <v>6</v>
      </c>
      <c r="D1530" s="136">
        <f t="shared" si="69"/>
        <v>26</v>
      </c>
      <c r="E1530" s="136">
        <f t="shared" si="70"/>
        <v>26</v>
      </c>
      <c r="F1530" s="128" t="s">
        <v>24</v>
      </c>
      <c r="G1530" s="128" t="str">
        <f>VLOOKUP(source[[#This Row],[lending_product_transform]],[3]Mapping!$B$4:$C$37,2,0)</f>
        <v>[Cake] - Cashloan</v>
      </c>
      <c r="H1530" s="128" t="str">
        <f>VLOOKUP(source[[#This Row],[lending_product_transform]],[3]Mapping!$B$3:$D$37,3,0)</f>
        <v>cashloan</v>
      </c>
      <c r="I1530" s="135">
        <v>2607727820</v>
      </c>
    </row>
    <row r="1531" spans="1:9" x14ac:dyDescent="0.2">
      <c r="A1531" s="134">
        <v>45469</v>
      </c>
      <c r="B1531" s="135">
        <f>YEAR(source[[#This Row],[report_date]])</f>
        <v>2024</v>
      </c>
      <c r="C1531" s="136">
        <v>6</v>
      </c>
      <c r="D1531" s="136">
        <f t="shared" si="69"/>
        <v>26</v>
      </c>
      <c r="E1531" s="136">
        <f t="shared" si="70"/>
        <v>26</v>
      </c>
      <c r="F1531" s="128" t="s">
        <v>24</v>
      </c>
      <c r="G1531" s="128" t="str">
        <f>VLOOKUP(source[[#This Row],[lending_product_transform]],[3]Mapping!$B$4:$C$37,2,0)</f>
        <v>[Cake] - Cashloan</v>
      </c>
      <c r="H1531" s="128" t="str">
        <f>VLOOKUP(source[[#This Row],[lending_product_transform]],[3]Mapping!$B$3:$D$37,3,0)</f>
        <v>cashloan</v>
      </c>
      <c r="I1531" s="135">
        <v>5866810000</v>
      </c>
    </row>
    <row r="1532" spans="1:9" x14ac:dyDescent="0.2">
      <c r="A1532" s="134">
        <v>45470</v>
      </c>
      <c r="B1532" s="135">
        <f>YEAR(source[[#This Row],[report_date]])</f>
        <v>2024</v>
      </c>
      <c r="C1532" s="136">
        <v>6</v>
      </c>
      <c r="D1532" s="136">
        <f t="shared" si="69"/>
        <v>26</v>
      </c>
      <c r="E1532" s="136">
        <f t="shared" si="70"/>
        <v>27</v>
      </c>
      <c r="F1532" s="128" t="s">
        <v>24</v>
      </c>
      <c r="G1532" s="128" t="str">
        <f>VLOOKUP(source[[#This Row],[lending_product_transform]],[3]Mapping!$B$4:$C$37,2,0)</f>
        <v>[Cake] - Cashloan</v>
      </c>
      <c r="H1532" s="128" t="str">
        <f>VLOOKUP(source[[#This Row],[lending_product_transform]],[3]Mapping!$B$3:$D$37,3,0)</f>
        <v>cashloan</v>
      </c>
      <c r="I1532" s="135">
        <v>265650000</v>
      </c>
    </row>
    <row r="1533" spans="1:9" x14ac:dyDescent="0.2">
      <c r="A1533" s="134">
        <v>45470</v>
      </c>
      <c r="B1533" s="135">
        <f>YEAR(source[[#This Row],[report_date]])</f>
        <v>2024</v>
      </c>
      <c r="C1533" s="136">
        <v>6</v>
      </c>
      <c r="D1533" s="136">
        <f t="shared" si="69"/>
        <v>26</v>
      </c>
      <c r="E1533" s="136">
        <f t="shared" si="70"/>
        <v>27</v>
      </c>
      <c r="F1533" s="128" t="s">
        <v>24</v>
      </c>
      <c r="G1533" s="128" t="str">
        <f>VLOOKUP(source[[#This Row],[lending_product_transform]],[3]Mapping!$B$4:$C$37,2,0)</f>
        <v>[Cake] - Cashloan</v>
      </c>
      <c r="H1533" s="128" t="str">
        <f>VLOOKUP(source[[#This Row],[lending_product_transform]],[3]Mapping!$B$3:$D$37,3,0)</f>
        <v>cashloan</v>
      </c>
      <c r="I1533" s="135">
        <v>4726220000</v>
      </c>
    </row>
    <row r="1534" spans="1:9" x14ac:dyDescent="0.2">
      <c r="A1534" s="134">
        <v>45470</v>
      </c>
      <c r="B1534" s="135">
        <f>YEAR(source[[#This Row],[report_date]])</f>
        <v>2024</v>
      </c>
      <c r="C1534" s="136">
        <v>6</v>
      </c>
      <c r="D1534" s="136">
        <f t="shared" si="69"/>
        <v>26</v>
      </c>
      <c r="E1534" s="136">
        <f t="shared" si="70"/>
        <v>27</v>
      </c>
      <c r="F1534" s="128" t="s">
        <v>24</v>
      </c>
      <c r="G1534" s="128" t="str">
        <f>VLOOKUP(source[[#This Row],[lending_product_transform]],[3]Mapping!$B$4:$C$37,2,0)</f>
        <v>[Cake] - Cashloan</v>
      </c>
      <c r="H1534" s="128" t="str">
        <f>VLOOKUP(source[[#This Row],[lending_product_transform]],[3]Mapping!$B$3:$D$37,3,0)</f>
        <v>cashloan</v>
      </c>
      <c r="I1534" s="135">
        <v>9626130000</v>
      </c>
    </row>
    <row r="1535" spans="1:9" x14ac:dyDescent="0.2">
      <c r="A1535" s="134">
        <v>45470</v>
      </c>
      <c r="B1535" s="135">
        <f>YEAR(source[[#This Row],[report_date]])</f>
        <v>2024</v>
      </c>
      <c r="C1535" s="136">
        <v>6</v>
      </c>
      <c r="D1535" s="136">
        <f t="shared" si="69"/>
        <v>26</v>
      </c>
      <c r="E1535" s="136">
        <f t="shared" si="70"/>
        <v>27</v>
      </c>
      <c r="F1535" s="128" t="s">
        <v>24</v>
      </c>
      <c r="G1535" s="128" t="str">
        <f>VLOOKUP(source[[#This Row],[lending_product_transform]],[3]Mapping!$B$4:$C$37,2,0)</f>
        <v>[Cake] - Cashloan</v>
      </c>
      <c r="H1535" s="128" t="str">
        <f>VLOOKUP(source[[#This Row],[lending_product_transform]],[3]Mapping!$B$3:$D$37,3,0)</f>
        <v>cashloan</v>
      </c>
      <c r="I1535" s="135">
        <v>5965610</v>
      </c>
    </row>
    <row r="1536" spans="1:9" x14ac:dyDescent="0.2">
      <c r="A1536" s="134">
        <v>45470</v>
      </c>
      <c r="B1536" s="135">
        <f>YEAR(source[[#This Row],[report_date]])</f>
        <v>2024</v>
      </c>
      <c r="C1536" s="136">
        <v>6</v>
      </c>
      <c r="D1536" s="136">
        <f t="shared" si="69"/>
        <v>26</v>
      </c>
      <c r="E1536" s="136">
        <f t="shared" si="70"/>
        <v>27</v>
      </c>
      <c r="F1536" s="128" t="s">
        <v>24</v>
      </c>
      <c r="G1536" s="128" t="str">
        <f>VLOOKUP(source[[#This Row],[lending_product_transform]],[3]Mapping!$B$4:$C$37,2,0)</f>
        <v>[Cake] - Cashloan</v>
      </c>
      <c r="H1536" s="128" t="str">
        <f>VLOOKUP(source[[#This Row],[lending_product_transform]],[3]Mapping!$B$3:$D$37,3,0)</f>
        <v>cashloan</v>
      </c>
      <c r="I1536" s="135">
        <v>0</v>
      </c>
    </row>
    <row r="1537" spans="1:9" x14ac:dyDescent="0.2">
      <c r="A1537" s="134">
        <v>45470</v>
      </c>
      <c r="B1537" s="135">
        <f>YEAR(source[[#This Row],[report_date]])</f>
        <v>2024</v>
      </c>
      <c r="C1537" s="136">
        <v>6</v>
      </c>
      <c r="D1537" s="136">
        <f t="shared" si="69"/>
        <v>26</v>
      </c>
      <c r="E1537" s="136">
        <f t="shared" si="70"/>
        <v>27</v>
      </c>
      <c r="F1537" s="128" t="s">
        <v>24</v>
      </c>
      <c r="G1537" s="128" t="str">
        <f>VLOOKUP(source[[#This Row],[lending_product_transform]],[3]Mapping!$B$4:$C$37,2,0)</f>
        <v>[Cake] - Cashloan</v>
      </c>
      <c r="H1537" s="128" t="str">
        <f>VLOOKUP(source[[#This Row],[lending_product_transform]],[3]Mapping!$B$3:$D$37,3,0)</f>
        <v>cashloan</v>
      </c>
      <c r="I1537" s="135">
        <v>0</v>
      </c>
    </row>
    <row r="1538" spans="1:9" x14ac:dyDescent="0.2">
      <c r="A1538" s="134">
        <v>45470</v>
      </c>
      <c r="B1538" s="135">
        <f>YEAR(source[[#This Row],[report_date]])</f>
        <v>2024</v>
      </c>
      <c r="C1538" s="136">
        <v>6</v>
      </c>
      <c r="D1538" s="136">
        <f t="shared" si="69"/>
        <v>26</v>
      </c>
      <c r="E1538" s="136">
        <f t="shared" si="70"/>
        <v>27</v>
      </c>
      <c r="F1538" s="128" t="s">
        <v>24</v>
      </c>
      <c r="G1538" s="128" t="str">
        <f>VLOOKUP(source[[#This Row],[lending_product_transform]],[3]Mapping!$B$4:$C$37,2,0)</f>
        <v>[Cake] - Cashloan</v>
      </c>
      <c r="H1538" s="128" t="str">
        <f>VLOOKUP(source[[#This Row],[lending_product_transform]],[3]Mapping!$B$3:$D$37,3,0)</f>
        <v>cashloan</v>
      </c>
      <c r="I1538" s="135">
        <v>22392298410</v>
      </c>
    </row>
    <row r="1539" spans="1:9" x14ac:dyDescent="0.2">
      <c r="A1539" s="134">
        <v>45470</v>
      </c>
      <c r="B1539" s="135">
        <f>YEAR(source[[#This Row],[report_date]])</f>
        <v>2024</v>
      </c>
      <c r="C1539" s="136">
        <v>6</v>
      </c>
      <c r="D1539" s="136">
        <f t="shared" ref="D1539:D1602" si="71">WEEKNUM(A1539,2)</f>
        <v>26</v>
      </c>
      <c r="E1539" s="136">
        <f t="shared" ref="E1539:E1602" si="72">DAY(A1539)</f>
        <v>27</v>
      </c>
      <c r="F1539" s="128" t="s">
        <v>24</v>
      </c>
      <c r="G1539" s="128" t="str">
        <f>VLOOKUP(source[[#This Row],[lending_product_transform]],[3]Mapping!$B$4:$C$37,2,0)</f>
        <v>[Cake] - Cashloan</v>
      </c>
      <c r="H1539" s="128" t="str">
        <f>VLOOKUP(source[[#This Row],[lending_product_transform]],[3]Mapping!$B$3:$D$37,3,0)</f>
        <v>cashloan</v>
      </c>
      <c r="I1539" s="135">
        <v>1614630000</v>
      </c>
    </row>
    <row r="1540" spans="1:9" x14ac:dyDescent="0.2">
      <c r="A1540" s="134">
        <v>45470</v>
      </c>
      <c r="B1540" s="135">
        <f>YEAR(source[[#This Row],[report_date]])</f>
        <v>2024</v>
      </c>
      <c r="C1540" s="136">
        <v>6</v>
      </c>
      <c r="D1540" s="136">
        <f t="shared" si="71"/>
        <v>26</v>
      </c>
      <c r="E1540" s="136">
        <f t="shared" si="72"/>
        <v>27</v>
      </c>
      <c r="F1540" s="128" t="s">
        <v>24</v>
      </c>
      <c r="G1540" s="128" t="str">
        <f>VLOOKUP(source[[#This Row],[lending_product_transform]],[3]Mapping!$B$4:$C$37,2,0)</f>
        <v>[Cake] - Cashloan</v>
      </c>
      <c r="H1540" s="128" t="str">
        <f>VLOOKUP(source[[#This Row],[lending_product_transform]],[3]Mapping!$B$3:$D$37,3,0)</f>
        <v>cashloan</v>
      </c>
      <c r="I1540" s="135">
        <v>31500000</v>
      </c>
    </row>
    <row r="1541" spans="1:9" x14ac:dyDescent="0.2">
      <c r="A1541" s="134">
        <v>45470</v>
      </c>
      <c r="B1541" s="135">
        <f>YEAR(source[[#This Row],[report_date]])</f>
        <v>2024</v>
      </c>
      <c r="C1541" s="136">
        <v>6</v>
      </c>
      <c r="D1541" s="136">
        <f t="shared" si="71"/>
        <v>26</v>
      </c>
      <c r="E1541" s="136">
        <f t="shared" si="72"/>
        <v>27</v>
      </c>
      <c r="F1541" s="128" t="s">
        <v>24</v>
      </c>
      <c r="G1541" s="128" t="str">
        <f>VLOOKUP(source[[#This Row],[lending_product_transform]],[3]Mapping!$B$4:$C$37,2,0)</f>
        <v>[Cake] - Cashloan</v>
      </c>
      <c r="H1541" s="128" t="str">
        <f>VLOOKUP(source[[#This Row],[lending_product_transform]],[3]Mapping!$B$3:$D$37,3,0)</f>
        <v>cashloan</v>
      </c>
      <c r="I1541" s="135">
        <v>74630360</v>
      </c>
    </row>
    <row r="1542" spans="1:9" x14ac:dyDescent="0.2">
      <c r="A1542" s="134">
        <v>45470</v>
      </c>
      <c r="B1542" s="135">
        <f>YEAR(source[[#This Row],[report_date]])</f>
        <v>2024</v>
      </c>
      <c r="C1542" s="136">
        <v>6</v>
      </c>
      <c r="D1542" s="136">
        <f t="shared" si="71"/>
        <v>26</v>
      </c>
      <c r="E1542" s="136">
        <f t="shared" si="72"/>
        <v>27</v>
      </c>
      <c r="F1542" s="128" t="s">
        <v>24</v>
      </c>
      <c r="G1542" s="128" t="str">
        <f>VLOOKUP(source[[#This Row],[lending_product_transform]],[3]Mapping!$B$4:$C$37,2,0)</f>
        <v>[Cake] - Cashloan</v>
      </c>
      <c r="H1542" s="128" t="str">
        <f>VLOOKUP(source[[#This Row],[lending_product_transform]],[3]Mapping!$B$3:$D$37,3,0)</f>
        <v>cashloan</v>
      </c>
      <c r="I1542" s="135">
        <v>52000000</v>
      </c>
    </row>
    <row r="1543" spans="1:9" x14ac:dyDescent="0.2">
      <c r="A1543" s="134">
        <v>45470</v>
      </c>
      <c r="B1543" s="135">
        <f>YEAR(source[[#This Row],[report_date]])</f>
        <v>2024</v>
      </c>
      <c r="C1543" s="136">
        <v>6</v>
      </c>
      <c r="D1543" s="136">
        <f t="shared" si="71"/>
        <v>26</v>
      </c>
      <c r="E1543" s="136">
        <f t="shared" si="72"/>
        <v>27</v>
      </c>
      <c r="F1543" s="128" t="s">
        <v>24</v>
      </c>
      <c r="G1543" s="128" t="str">
        <f>VLOOKUP(source[[#This Row],[lending_product_transform]],[3]Mapping!$B$4:$C$37,2,0)</f>
        <v>[Cake] - Cashloan</v>
      </c>
      <c r="H1543" s="128" t="str">
        <f>VLOOKUP(source[[#This Row],[lending_product_transform]],[3]Mapping!$B$3:$D$37,3,0)</f>
        <v>cashloan</v>
      </c>
      <c r="I1543" s="135">
        <v>3346500000</v>
      </c>
    </row>
    <row r="1544" spans="1:9" x14ac:dyDescent="0.2">
      <c r="A1544" s="134">
        <v>45470</v>
      </c>
      <c r="B1544" s="135">
        <f>YEAR(source[[#This Row],[report_date]])</f>
        <v>2024</v>
      </c>
      <c r="C1544" s="136">
        <v>6</v>
      </c>
      <c r="D1544" s="136">
        <f t="shared" si="71"/>
        <v>26</v>
      </c>
      <c r="E1544" s="136">
        <f t="shared" si="72"/>
        <v>27</v>
      </c>
      <c r="F1544" s="128" t="s">
        <v>24</v>
      </c>
      <c r="G1544" s="128" t="str">
        <f>VLOOKUP(source[[#This Row],[lending_product_transform]],[3]Mapping!$B$4:$C$37,2,0)</f>
        <v>[Cake] - Cashloan</v>
      </c>
      <c r="H1544" s="128" t="str">
        <f>VLOOKUP(source[[#This Row],[lending_product_transform]],[3]Mapping!$B$3:$D$37,3,0)</f>
        <v>cashloan</v>
      </c>
      <c r="I1544" s="135">
        <v>2649072440</v>
      </c>
    </row>
    <row r="1545" spans="1:9" x14ac:dyDescent="0.2">
      <c r="A1545" s="134">
        <v>45471</v>
      </c>
      <c r="B1545" s="135">
        <f>YEAR(source[[#This Row],[report_date]])</f>
        <v>2024</v>
      </c>
      <c r="C1545" s="136">
        <v>6</v>
      </c>
      <c r="D1545" s="136">
        <f t="shared" si="71"/>
        <v>26</v>
      </c>
      <c r="E1545" s="136">
        <f t="shared" si="72"/>
        <v>28</v>
      </c>
      <c r="F1545" s="128" t="s">
        <v>24</v>
      </c>
      <c r="G1545" s="128" t="str">
        <f>VLOOKUP(source[[#This Row],[lending_product_transform]],[3]Mapping!$B$4:$C$37,2,0)</f>
        <v>[Cake] - Cashloan</v>
      </c>
      <c r="H1545" s="128" t="str">
        <f>VLOOKUP(source[[#This Row],[lending_product_transform]],[3]Mapping!$B$3:$D$37,3,0)</f>
        <v>cashloan</v>
      </c>
      <c r="I1545" s="135">
        <v>42000000</v>
      </c>
    </row>
    <row r="1546" spans="1:9" x14ac:dyDescent="0.2">
      <c r="A1546" s="134">
        <v>45471</v>
      </c>
      <c r="B1546" s="135">
        <f>YEAR(source[[#This Row],[report_date]])</f>
        <v>2024</v>
      </c>
      <c r="C1546" s="136">
        <v>6</v>
      </c>
      <c r="D1546" s="136">
        <f t="shared" si="71"/>
        <v>26</v>
      </c>
      <c r="E1546" s="136">
        <f t="shared" si="72"/>
        <v>28</v>
      </c>
      <c r="F1546" s="128" t="s">
        <v>24</v>
      </c>
      <c r="G1546" s="128" t="str">
        <f>VLOOKUP(source[[#This Row],[lending_product_transform]],[3]Mapping!$B$4:$C$37,2,0)</f>
        <v>[Cake] - Cashloan</v>
      </c>
      <c r="H1546" s="128" t="str">
        <f>VLOOKUP(source[[#This Row],[lending_product_transform]],[3]Mapping!$B$3:$D$37,3,0)</f>
        <v>cashloan</v>
      </c>
      <c r="I1546" s="135">
        <v>3553500000</v>
      </c>
    </row>
    <row r="1547" spans="1:9" x14ac:dyDescent="0.2">
      <c r="A1547" s="134">
        <v>45471</v>
      </c>
      <c r="B1547" s="135">
        <f>YEAR(source[[#This Row],[report_date]])</f>
        <v>2024</v>
      </c>
      <c r="C1547" s="136">
        <v>6</v>
      </c>
      <c r="D1547" s="136">
        <f t="shared" si="71"/>
        <v>26</v>
      </c>
      <c r="E1547" s="136">
        <f t="shared" si="72"/>
        <v>28</v>
      </c>
      <c r="F1547" s="128" t="s">
        <v>24</v>
      </c>
      <c r="G1547" s="128" t="str">
        <f>VLOOKUP(source[[#This Row],[lending_product_transform]],[3]Mapping!$B$4:$C$37,2,0)</f>
        <v>[Cake] - Cashloan</v>
      </c>
      <c r="H1547" s="128" t="str">
        <f>VLOOKUP(source[[#This Row],[lending_product_transform]],[3]Mapping!$B$3:$D$37,3,0)</f>
        <v>cashloan</v>
      </c>
      <c r="I1547" s="135">
        <v>2880060638</v>
      </c>
    </row>
    <row r="1548" spans="1:9" x14ac:dyDescent="0.2">
      <c r="A1548" s="134">
        <v>45471</v>
      </c>
      <c r="B1548" s="135">
        <f>YEAR(source[[#This Row],[report_date]])</f>
        <v>2024</v>
      </c>
      <c r="C1548" s="136">
        <v>6</v>
      </c>
      <c r="D1548" s="136">
        <f t="shared" si="71"/>
        <v>26</v>
      </c>
      <c r="E1548" s="136">
        <f t="shared" si="72"/>
        <v>28</v>
      </c>
      <c r="F1548" s="128" t="s">
        <v>24</v>
      </c>
      <c r="G1548" s="128" t="str">
        <f>VLOOKUP(source[[#This Row],[lending_product_transform]],[3]Mapping!$B$4:$C$37,2,0)</f>
        <v>[Cake] - Cashloan</v>
      </c>
      <c r="H1548" s="128" t="str">
        <f>VLOOKUP(source[[#This Row],[lending_product_transform]],[3]Mapping!$B$3:$D$37,3,0)</f>
        <v>cashloan</v>
      </c>
      <c r="I1548" s="135">
        <v>70350000</v>
      </c>
    </row>
    <row r="1549" spans="1:9" x14ac:dyDescent="0.2">
      <c r="A1549" s="134">
        <v>45471</v>
      </c>
      <c r="B1549" s="135">
        <f>YEAR(source[[#This Row],[report_date]])</f>
        <v>2024</v>
      </c>
      <c r="C1549" s="136">
        <v>6</v>
      </c>
      <c r="D1549" s="136">
        <f t="shared" si="71"/>
        <v>26</v>
      </c>
      <c r="E1549" s="136">
        <f t="shared" si="72"/>
        <v>28</v>
      </c>
      <c r="F1549" s="128" t="s">
        <v>24</v>
      </c>
      <c r="G1549" s="128" t="str">
        <f>VLOOKUP(source[[#This Row],[lending_product_transform]],[3]Mapping!$B$4:$C$37,2,0)</f>
        <v>[Cake] - Cashloan</v>
      </c>
      <c r="H1549" s="128" t="str">
        <f>VLOOKUP(source[[#This Row],[lending_product_transform]],[3]Mapping!$B$3:$D$37,3,0)</f>
        <v>cashloan</v>
      </c>
      <c r="I1549" s="135">
        <v>20077454021</v>
      </c>
    </row>
    <row r="1550" spans="1:9" x14ac:dyDescent="0.2">
      <c r="A1550" s="134">
        <v>45471</v>
      </c>
      <c r="B1550" s="135">
        <f>YEAR(source[[#This Row],[report_date]])</f>
        <v>2024</v>
      </c>
      <c r="C1550" s="136">
        <v>6</v>
      </c>
      <c r="D1550" s="136">
        <f t="shared" si="71"/>
        <v>26</v>
      </c>
      <c r="E1550" s="136">
        <f t="shared" si="72"/>
        <v>28</v>
      </c>
      <c r="F1550" s="128" t="s">
        <v>24</v>
      </c>
      <c r="G1550" s="128" t="str">
        <f>VLOOKUP(source[[#This Row],[lending_product_transform]],[3]Mapping!$B$4:$C$37,2,0)</f>
        <v>[Cake] - Cashloan</v>
      </c>
      <c r="H1550" s="128" t="str">
        <f>VLOOKUP(source[[#This Row],[lending_product_transform]],[3]Mapping!$B$3:$D$37,3,0)</f>
        <v>cashloan</v>
      </c>
      <c r="I1550" s="135">
        <v>6924780000</v>
      </c>
    </row>
    <row r="1551" spans="1:9" x14ac:dyDescent="0.2">
      <c r="A1551" s="134">
        <v>45471</v>
      </c>
      <c r="B1551" s="135">
        <f>YEAR(source[[#This Row],[report_date]])</f>
        <v>2024</v>
      </c>
      <c r="C1551" s="136">
        <v>6</v>
      </c>
      <c r="D1551" s="136">
        <f t="shared" si="71"/>
        <v>26</v>
      </c>
      <c r="E1551" s="136">
        <f t="shared" si="72"/>
        <v>28</v>
      </c>
      <c r="F1551" s="128" t="s">
        <v>24</v>
      </c>
      <c r="G1551" s="128" t="str">
        <f>VLOOKUP(source[[#This Row],[lending_product_transform]],[3]Mapping!$B$4:$C$37,2,0)</f>
        <v>[Cake] - Cashloan</v>
      </c>
      <c r="H1551" s="128" t="str">
        <f>VLOOKUP(source[[#This Row],[lending_product_transform]],[3]Mapping!$B$3:$D$37,3,0)</f>
        <v>cashloan</v>
      </c>
      <c r="I1551" s="135">
        <v>5110270000</v>
      </c>
    </row>
    <row r="1552" spans="1:9" x14ac:dyDescent="0.2">
      <c r="A1552" s="134">
        <v>45471</v>
      </c>
      <c r="B1552" s="135">
        <f>YEAR(source[[#This Row],[report_date]])</f>
        <v>2024</v>
      </c>
      <c r="C1552" s="136">
        <v>6</v>
      </c>
      <c r="D1552" s="136">
        <f t="shared" si="71"/>
        <v>26</v>
      </c>
      <c r="E1552" s="136">
        <f t="shared" si="72"/>
        <v>28</v>
      </c>
      <c r="F1552" s="128" t="s">
        <v>24</v>
      </c>
      <c r="G1552" s="128" t="str">
        <f>VLOOKUP(source[[#This Row],[lending_product_transform]],[3]Mapping!$B$4:$C$37,2,0)</f>
        <v>[Cake] - Cashloan</v>
      </c>
      <c r="H1552" s="128" t="str">
        <f>VLOOKUP(source[[#This Row],[lending_product_transform]],[3]Mapping!$B$3:$D$37,3,0)</f>
        <v>cashloan</v>
      </c>
      <c r="I1552" s="135">
        <v>59920000</v>
      </c>
    </row>
    <row r="1553" spans="1:9" x14ac:dyDescent="0.2">
      <c r="A1553" s="134">
        <v>45471</v>
      </c>
      <c r="B1553" s="135">
        <f>YEAR(source[[#This Row],[report_date]])</f>
        <v>2024</v>
      </c>
      <c r="C1553" s="136">
        <v>6</v>
      </c>
      <c r="D1553" s="136">
        <f t="shared" si="71"/>
        <v>26</v>
      </c>
      <c r="E1553" s="136">
        <f t="shared" si="72"/>
        <v>28</v>
      </c>
      <c r="F1553" s="128" t="s">
        <v>24</v>
      </c>
      <c r="G1553" s="128" t="str">
        <f>VLOOKUP(source[[#This Row],[lending_product_transform]],[3]Mapping!$B$4:$C$37,2,0)</f>
        <v>[Cake] - Cashloan</v>
      </c>
      <c r="H1553" s="128" t="str">
        <f>VLOOKUP(source[[#This Row],[lending_product_transform]],[3]Mapping!$B$3:$D$37,3,0)</f>
        <v>cashloan</v>
      </c>
      <c r="I1553" s="135">
        <v>26750000</v>
      </c>
    </row>
    <row r="1554" spans="1:9" x14ac:dyDescent="0.2">
      <c r="A1554" s="134">
        <v>45471</v>
      </c>
      <c r="B1554" s="135">
        <f>YEAR(source[[#This Row],[report_date]])</f>
        <v>2024</v>
      </c>
      <c r="C1554" s="136">
        <v>6</v>
      </c>
      <c r="D1554" s="136">
        <f t="shared" si="71"/>
        <v>26</v>
      </c>
      <c r="E1554" s="136">
        <f t="shared" si="72"/>
        <v>28</v>
      </c>
      <c r="F1554" s="128" t="s">
        <v>24</v>
      </c>
      <c r="G1554" s="128" t="str">
        <f>VLOOKUP(source[[#This Row],[lending_product_transform]],[3]Mapping!$B$4:$C$37,2,0)</f>
        <v>[Cake] - Cashloan</v>
      </c>
      <c r="H1554" s="128" t="str">
        <f>VLOOKUP(source[[#This Row],[lending_product_transform]],[3]Mapping!$B$3:$D$37,3,0)</f>
        <v>cashloan</v>
      </c>
      <c r="I1554" s="135">
        <v>36000000</v>
      </c>
    </row>
    <row r="1555" spans="1:9" x14ac:dyDescent="0.2">
      <c r="A1555" s="134">
        <v>45471</v>
      </c>
      <c r="B1555" s="135">
        <f>YEAR(source[[#This Row],[report_date]])</f>
        <v>2024</v>
      </c>
      <c r="C1555" s="136">
        <v>6</v>
      </c>
      <c r="D1555" s="136">
        <f t="shared" si="71"/>
        <v>26</v>
      </c>
      <c r="E1555" s="136">
        <f t="shared" si="72"/>
        <v>28</v>
      </c>
      <c r="F1555" s="128" t="s">
        <v>24</v>
      </c>
      <c r="G1555" s="128" t="str">
        <f>VLOOKUP(source[[#This Row],[lending_product_transform]],[3]Mapping!$B$4:$C$37,2,0)</f>
        <v>[Cake] - Cashloan</v>
      </c>
      <c r="H1555" s="128" t="str">
        <f>VLOOKUP(source[[#This Row],[lending_product_transform]],[3]Mapping!$B$3:$D$37,3,0)</f>
        <v>cashloan</v>
      </c>
      <c r="I1555" s="135">
        <v>77421353</v>
      </c>
    </row>
    <row r="1556" spans="1:9" x14ac:dyDescent="0.2">
      <c r="A1556" s="134">
        <v>45471</v>
      </c>
      <c r="B1556" s="135">
        <f>YEAR(source[[#This Row],[report_date]])</f>
        <v>2024</v>
      </c>
      <c r="C1556" s="136">
        <v>6</v>
      </c>
      <c r="D1556" s="136">
        <f t="shared" si="71"/>
        <v>26</v>
      </c>
      <c r="E1556" s="136">
        <f t="shared" si="72"/>
        <v>28</v>
      </c>
      <c r="F1556" s="128" t="s">
        <v>24</v>
      </c>
      <c r="G1556" s="128" t="str">
        <f>VLOOKUP(source[[#This Row],[lending_product_transform]],[3]Mapping!$B$4:$C$37,2,0)</f>
        <v>[Cake] - Cashloan</v>
      </c>
      <c r="H1556" s="128" t="str">
        <f>VLOOKUP(source[[#This Row],[lending_product_transform]],[3]Mapping!$B$3:$D$37,3,0)</f>
        <v>cashloan</v>
      </c>
      <c r="I1556" s="135">
        <v>9192030</v>
      </c>
    </row>
    <row r="1557" spans="1:9" x14ac:dyDescent="0.2">
      <c r="A1557" s="134">
        <v>45471</v>
      </c>
      <c r="B1557" s="135">
        <f>YEAR(source[[#This Row],[report_date]])</f>
        <v>2024</v>
      </c>
      <c r="C1557" s="136">
        <v>6</v>
      </c>
      <c r="D1557" s="136">
        <f t="shared" si="71"/>
        <v>26</v>
      </c>
      <c r="E1557" s="136">
        <f t="shared" si="72"/>
        <v>28</v>
      </c>
      <c r="F1557" s="128" t="s">
        <v>24</v>
      </c>
      <c r="G1557" s="128" t="str">
        <f>VLOOKUP(source[[#This Row],[lending_product_transform]],[3]Mapping!$B$4:$C$37,2,0)</f>
        <v>[Cake] - Cashloan</v>
      </c>
      <c r="H1557" s="128" t="str">
        <f>VLOOKUP(source[[#This Row],[lending_product_transform]],[3]Mapping!$B$3:$D$37,3,0)</f>
        <v>cashloan</v>
      </c>
      <c r="I1557" s="135">
        <v>1287210000</v>
      </c>
    </row>
    <row r="1558" spans="1:9" x14ac:dyDescent="0.2">
      <c r="A1558" s="134">
        <v>45472</v>
      </c>
      <c r="B1558" s="135">
        <f>YEAR(source[[#This Row],[report_date]])</f>
        <v>2024</v>
      </c>
      <c r="C1558" s="136">
        <v>6</v>
      </c>
      <c r="D1558" s="136">
        <f t="shared" si="71"/>
        <v>26</v>
      </c>
      <c r="E1558" s="136">
        <f t="shared" si="72"/>
        <v>29</v>
      </c>
      <c r="F1558" s="128" t="s">
        <v>24</v>
      </c>
      <c r="G1558" s="128" t="str">
        <f>VLOOKUP(source[[#This Row],[lending_product_transform]],[3]Mapping!$B$4:$C$37,2,0)</f>
        <v>[Cake] - Cashloan</v>
      </c>
      <c r="H1558" s="128" t="str">
        <f>VLOOKUP(source[[#This Row],[lending_product_transform]],[3]Mapping!$B$3:$D$37,3,0)</f>
        <v>cashloan</v>
      </c>
      <c r="I1558" s="135">
        <v>1200860000</v>
      </c>
    </row>
    <row r="1559" spans="1:9" x14ac:dyDescent="0.2">
      <c r="A1559" s="134">
        <v>45472</v>
      </c>
      <c r="B1559" s="135">
        <f>YEAR(source[[#This Row],[report_date]])</f>
        <v>2024</v>
      </c>
      <c r="C1559" s="136">
        <v>6</v>
      </c>
      <c r="D1559" s="136">
        <f t="shared" si="71"/>
        <v>26</v>
      </c>
      <c r="E1559" s="136">
        <f t="shared" si="72"/>
        <v>29</v>
      </c>
      <c r="F1559" s="128" t="s">
        <v>24</v>
      </c>
      <c r="G1559" s="128" t="str">
        <f>VLOOKUP(source[[#This Row],[lending_product_transform]],[3]Mapping!$B$4:$C$37,2,0)</f>
        <v>[Cake] - Cashloan</v>
      </c>
      <c r="H1559" s="128" t="str">
        <f>VLOOKUP(source[[#This Row],[lending_product_transform]],[3]Mapping!$B$3:$D$37,3,0)</f>
        <v>cashloan</v>
      </c>
      <c r="I1559" s="135">
        <v>77570376</v>
      </c>
    </row>
    <row r="1560" spans="1:9" x14ac:dyDescent="0.2">
      <c r="A1560" s="134">
        <v>45472</v>
      </c>
      <c r="B1560" s="135">
        <f>YEAR(source[[#This Row],[report_date]])</f>
        <v>2024</v>
      </c>
      <c r="C1560" s="136">
        <v>6</v>
      </c>
      <c r="D1560" s="136">
        <f t="shared" si="71"/>
        <v>26</v>
      </c>
      <c r="E1560" s="136">
        <f t="shared" si="72"/>
        <v>29</v>
      </c>
      <c r="F1560" s="128" t="s">
        <v>24</v>
      </c>
      <c r="G1560" s="128" t="str">
        <f>VLOOKUP(source[[#This Row],[lending_product_transform]],[3]Mapping!$B$4:$C$37,2,0)</f>
        <v>[Cake] - Cashloan</v>
      </c>
      <c r="H1560" s="128" t="str">
        <f>VLOOKUP(source[[#This Row],[lending_product_transform]],[3]Mapping!$B$3:$D$37,3,0)</f>
        <v>cashloan</v>
      </c>
      <c r="I1560" s="135">
        <v>5075100000</v>
      </c>
    </row>
    <row r="1561" spans="1:9" x14ac:dyDescent="0.2">
      <c r="A1561" s="134">
        <v>45472</v>
      </c>
      <c r="B1561" s="135">
        <f>YEAR(source[[#This Row],[report_date]])</f>
        <v>2024</v>
      </c>
      <c r="C1561" s="136">
        <v>6</v>
      </c>
      <c r="D1561" s="136">
        <f t="shared" si="71"/>
        <v>26</v>
      </c>
      <c r="E1561" s="136">
        <f t="shared" si="72"/>
        <v>29</v>
      </c>
      <c r="F1561" s="128" t="s">
        <v>24</v>
      </c>
      <c r="G1561" s="128" t="str">
        <f>VLOOKUP(source[[#This Row],[lending_product_transform]],[3]Mapping!$B$4:$C$37,2,0)</f>
        <v>[Cake] - Cashloan</v>
      </c>
      <c r="H1561" s="128" t="str">
        <f>VLOOKUP(source[[#This Row],[lending_product_transform]],[3]Mapping!$B$3:$D$37,3,0)</f>
        <v>cashloan</v>
      </c>
      <c r="I1561" s="135">
        <v>3177000000</v>
      </c>
    </row>
    <row r="1562" spans="1:9" x14ac:dyDescent="0.2">
      <c r="A1562" s="134">
        <v>45472</v>
      </c>
      <c r="B1562" s="135">
        <f>YEAR(source[[#This Row],[report_date]])</f>
        <v>2024</v>
      </c>
      <c r="C1562" s="136">
        <v>6</v>
      </c>
      <c r="D1562" s="136">
        <f t="shared" si="71"/>
        <v>26</v>
      </c>
      <c r="E1562" s="136">
        <f t="shared" si="72"/>
        <v>29</v>
      </c>
      <c r="F1562" s="128" t="s">
        <v>24</v>
      </c>
      <c r="G1562" s="128" t="str">
        <f>VLOOKUP(source[[#This Row],[lending_product_transform]],[3]Mapping!$B$4:$C$37,2,0)</f>
        <v>[Cake] - Cashloan</v>
      </c>
      <c r="H1562" s="128" t="str">
        <f>VLOOKUP(source[[#This Row],[lending_product_transform]],[3]Mapping!$B$3:$D$37,3,0)</f>
        <v>cashloan</v>
      </c>
      <c r="I1562" s="135">
        <v>20176928459</v>
      </c>
    </row>
    <row r="1563" spans="1:9" x14ac:dyDescent="0.2">
      <c r="A1563" s="134">
        <v>45472</v>
      </c>
      <c r="B1563" s="135">
        <f>YEAR(source[[#This Row],[report_date]])</f>
        <v>2024</v>
      </c>
      <c r="C1563" s="136">
        <v>6</v>
      </c>
      <c r="D1563" s="136">
        <f t="shared" si="71"/>
        <v>26</v>
      </c>
      <c r="E1563" s="136">
        <f t="shared" si="72"/>
        <v>29</v>
      </c>
      <c r="F1563" s="128" t="s">
        <v>24</v>
      </c>
      <c r="G1563" s="128" t="str">
        <f>VLOOKUP(source[[#This Row],[lending_product_transform]],[3]Mapping!$B$4:$C$37,2,0)</f>
        <v>[Cake] - Cashloan</v>
      </c>
      <c r="H1563" s="128" t="str">
        <f>VLOOKUP(source[[#This Row],[lending_product_transform]],[3]Mapping!$B$3:$D$37,3,0)</f>
        <v>cashloan</v>
      </c>
      <c r="I1563" s="135">
        <v>2806112903</v>
      </c>
    </row>
    <row r="1564" spans="1:9" x14ac:dyDescent="0.2">
      <c r="A1564" s="134">
        <v>45472</v>
      </c>
      <c r="B1564" s="135">
        <f>YEAR(source[[#This Row],[report_date]])</f>
        <v>2024</v>
      </c>
      <c r="C1564" s="136">
        <v>6</v>
      </c>
      <c r="D1564" s="136">
        <f t="shared" si="71"/>
        <v>26</v>
      </c>
      <c r="E1564" s="136">
        <f t="shared" si="72"/>
        <v>29</v>
      </c>
      <c r="F1564" s="128" t="s">
        <v>24</v>
      </c>
      <c r="G1564" s="128" t="str">
        <f>VLOOKUP(source[[#This Row],[lending_product_transform]],[3]Mapping!$B$4:$C$37,2,0)</f>
        <v>[Cake] - Cashloan</v>
      </c>
      <c r="H1564" s="128" t="str">
        <f>VLOOKUP(source[[#This Row],[lending_product_transform]],[3]Mapping!$B$3:$D$37,3,0)</f>
        <v>cashloan</v>
      </c>
      <c r="I1564" s="135">
        <v>122350000</v>
      </c>
    </row>
    <row r="1565" spans="1:9" x14ac:dyDescent="0.2">
      <c r="A1565" s="134">
        <v>45472</v>
      </c>
      <c r="B1565" s="135">
        <f>YEAR(source[[#This Row],[report_date]])</f>
        <v>2024</v>
      </c>
      <c r="C1565" s="136">
        <v>6</v>
      </c>
      <c r="D1565" s="136">
        <f t="shared" si="71"/>
        <v>26</v>
      </c>
      <c r="E1565" s="136">
        <f t="shared" si="72"/>
        <v>29</v>
      </c>
      <c r="F1565" s="128" t="s">
        <v>24</v>
      </c>
      <c r="G1565" s="128" t="str">
        <f>VLOOKUP(source[[#This Row],[lending_product_transform]],[3]Mapping!$B$4:$C$37,2,0)</f>
        <v>[Cake] - Cashloan</v>
      </c>
      <c r="H1565" s="128" t="str">
        <f>VLOOKUP(source[[#This Row],[lending_product_transform]],[3]Mapping!$B$3:$D$37,3,0)</f>
        <v>cashloan</v>
      </c>
      <c r="I1565" s="135">
        <v>0</v>
      </c>
    </row>
    <row r="1566" spans="1:9" x14ac:dyDescent="0.2">
      <c r="A1566" s="134">
        <v>45472</v>
      </c>
      <c r="B1566" s="135">
        <f>YEAR(source[[#This Row],[report_date]])</f>
        <v>2024</v>
      </c>
      <c r="C1566" s="136">
        <v>6</v>
      </c>
      <c r="D1566" s="136">
        <f t="shared" si="71"/>
        <v>26</v>
      </c>
      <c r="E1566" s="136">
        <f t="shared" si="72"/>
        <v>29</v>
      </c>
      <c r="F1566" s="128" t="s">
        <v>24</v>
      </c>
      <c r="G1566" s="128" t="str">
        <f>VLOOKUP(source[[#This Row],[lending_product_transform]],[3]Mapping!$B$4:$C$37,2,0)</f>
        <v>[Cake] - Cashloan</v>
      </c>
      <c r="H1566" s="128" t="str">
        <f>VLOOKUP(source[[#This Row],[lending_product_transform]],[3]Mapping!$B$3:$D$37,3,0)</f>
        <v>cashloan</v>
      </c>
      <c r="I1566" s="135">
        <v>7235250000</v>
      </c>
    </row>
    <row r="1567" spans="1:9" x14ac:dyDescent="0.2">
      <c r="A1567" s="134">
        <v>45472</v>
      </c>
      <c r="B1567" s="135">
        <f>YEAR(source[[#This Row],[report_date]])</f>
        <v>2024</v>
      </c>
      <c r="C1567" s="136">
        <v>6</v>
      </c>
      <c r="D1567" s="136">
        <f t="shared" si="71"/>
        <v>26</v>
      </c>
      <c r="E1567" s="136">
        <f t="shared" si="72"/>
        <v>29</v>
      </c>
      <c r="F1567" s="128" t="s">
        <v>24</v>
      </c>
      <c r="G1567" s="128" t="str">
        <f>VLOOKUP(source[[#This Row],[lending_product_transform]],[3]Mapping!$B$4:$C$37,2,0)</f>
        <v>[Cake] - Cashloan</v>
      </c>
      <c r="H1567" s="128" t="str">
        <f>VLOOKUP(source[[#This Row],[lending_product_transform]],[3]Mapping!$B$3:$D$37,3,0)</f>
        <v>cashloan</v>
      </c>
      <c r="I1567" s="135">
        <v>10135180</v>
      </c>
    </row>
    <row r="1568" spans="1:9" x14ac:dyDescent="0.2">
      <c r="A1568" s="134">
        <v>45472</v>
      </c>
      <c r="B1568" s="135">
        <f>YEAR(source[[#This Row],[report_date]])</f>
        <v>2024</v>
      </c>
      <c r="C1568" s="136">
        <v>6</v>
      </c>
      <c r="D1568" s="136">
        <f t="shared" si="71"/>
        <v>26</v>
      </c>
      <c r="E1568" s="136">
        <f t="shared" si="72"/>
        <v>29</v>
      </c>
      <c r="F1568" s="128" t="s">
        <v>24</v>
      </c>
      <c r="G1568" s="128" t="str">
        <f>VLOOKUP(source[[#This Row],[lending_product_transform]],[3]Mapping!$B$4:$C$37,2,0)</f>
        <v>[Cake] - Cashloan</v>
      </c>
      <c r="H1568" s="128" t="str">
        <f>VLOOKUP(source[[#This Row],[lending_product_transform]],[3]Mapping!$B$3:$D$37,3,0)</f>
        <v>cashloan</v>
      </c>
      <c r="I1568" s="135">
        <v>53750000</v>
      </c>
    </row>
    <row r="1569" spans="1:9" x14ac:dyDescent="0.2">
      <c r="A1569" s="134">
        <v>45472</v>
      </c>
      <c r="B1569" s="135">
        <f>YEAR(source[[#This Row],[report_date]])</f>
        <v>2024</v>
      </c>
      <c r="C1569" s="136">
        <v>6</v>
      </c>
      <c r="D1569" s="136">
        <f t="shared" si="71"/>
        <v>26</v>
      </c>
      <c r="E1569" s="136">
        <f t="shared" si="72"/>
        <v>29</v>
      </c>
      <c r="F1569" s="128" t="s">
        <v>24</v>
      </c>
      <c r="G1569" s="128" t="str">
        <f>VLOOKUP(source[[#This Row],[lending_product_transform]],[3]Mapping!$B$4:$C$37,2,0)</f>
        <v>[Cake] - Cashloan</v>
      </c>
      <c r="H1569" s="128" t="str">
        <f>VLOOKUP(source[[#This Row],[lending_product_transform]],[3]Mapping!$B$3:$D$37,3,0)</f>
        <v>cashloan</v>
      </c>
      <c r="I1569" s="135">
        <v>56000000</v>
      </c>
    </row>
    <row r="1570" spans="1:9" x14ac:dyDescent="0.2">
      <c r="A1570" s="134">
        <v>45472</v>
      </c>
      <c r="B1570" s="135">
        <f>YEAR(source[[#This Row],[report_date]])</f>
        <v>2024</v>
      </c>
      <c r="C1570" s="136">
        <v>6</v>
      </c>
      <c r="D1570" s="136">
        <f t="shared" si="71"/>
        <v>26</v>
      </c>
      <c r="E1570" s="136">
        <f t="shared" si="72"/>
        <v>29</v>
      </c>
      <c r="F1570" s="128" t="s">
        <v>24</v>
      </c>
      <c r="G1570" s="128" t="str">
        <f>VLOOKUP(source[[#This Row],[lending_product_transform]],[3]Mapping!$B$4:$C$37,2,0)</f>
        <v>[Cake] - Cashloan</v>
      </c>
      <c r="H1570" s="128" t="str">
        <f>VLOOKUP(source[[#This Row],[lending_product_transform]],[3]Mapping!$B$3:$D$37,3,0)</f>
        <v>cashloan</v>
      </c>
      <c r="I1570" s="135">
        <v>362800000</v>
      </c>
    </row>
    <row r="1571" spans="1:9" x14ac:dyDescent="0.2">
      <c r="A1571" s="134">
        <v>45473</v>
      </c>
      <c r="B1571" s="135">
        <f>YEAR(source[[#This Row],[report_date]])</f>
        <v>2024</v>
      </c>
      <c r="C1571" s="136">
        <v>6</v>
      </c>
      <c r="D1571" s="136">
        <f t="shared" si="71"/>
        <v>26</v>
      </c>
      <c r="E1571" s="136">
        <f t="shared" si="72"/>
        <v>30</v>
      </c>
      <c r="F1571" s="128" t="s">
        <v>24</v>
      </c>
      <c r="G1571" s="128" t="str">
        <f>VLOOKUP(source[[#This Row],[lending_product_transform]],[3]Mapping!$B$4:$C$37,2,0)</f>
        <v>[Cake] - Cashloan</v>
      </c>
      <c r="H1571" s="128" t="str">
        <f>VLOOKUP(source[[#This Row],[lending_product_transform]],[3]Mapping!$B$3:$D$37,3,0)</f>
        <v>cashloan</v>
      </c>
      <c r="I1571" s="135">
        <v>0</v>
      </c>
    </row>
    <row r="1572" spans="1:9" x14ac:dyDescent="0.2">
      <c r="A1572" s="134">
        <v>45473</v>
      </c>
      <c r="B1572" s="135">
        <f>YEAR(source[[#This Row],[report_date]])</f>
        <v>2024</v>
      </c>
      <c r="C1572" s="136">
        <v>6</v>
      </c>
      <c r="D1572" s="136">
        <f t="shared" si="71"/>
        <v>26</v>
      </c>
      <c r="E1572" s="136">
        <f t="shared" si="72"/>
        <v>30</v>
      </c>
      <c r="F1572" s="128" t="s">
        <v>24</v>
      </c>
      <c r="G1572" s="128" t="str">
        <f>VLOOKUP(source[[#This Row],[lending_product_transform]],[3]Mapping!$B$4:$C$37,2,0)</f>
        <v>[Cake] - Cashloan</v>
      </c>
      <c r="H1572" s="128" t="str">
        <f>VLOOKUP(source[[#This Row],[lending_product_transform]],[3]Mapping!$B$3:$D$37,3,0)</f>
        <v>cashloan</v>
      </c>
      <c r="I1572" s="135">
        <v>8357120</v>
      </c>
    </row>
    <row r="1573" spans="1:9" x14ac:dyDescent="0.2">
      <c r="A1573" s="134">
        <v>45473</v>
      </c>
      <c r="B1573" s="135">
        <f>YEAR(source[[#This Row],[report_date]])</f>
        <v>2024</v>
      </c>
      <c r="C1573" s="136">
        <v>6</v>
      </c>
      <c r="D1573" s="136">
        <f t="shared" si="71"/>
        <v>26</v>
      </c>
      <c r="E1573" s="136">
        <f t="shared" si="72"/>
        <v>30</v>
      </c>
      <c r="F1573" s="128" t="s">
        <v>24</v>
      </c>
      <c r="G1573" s="128" t="str">
        <f>VLOOKUP(source[[#This Row],[lending_product_transform]],[3]Mapping!$B$4:$C$37,2,0)</f>
        <v>[Cake] - Cashloan</v>
      </c>
      <c r="H1573" s="128" t="str">
        <f>VLOOKUP(source[[#This Row],[lending_product_transform]],[3]Mapping!$B$3:$D$37,3,0)</f>
        <v>cashloan</v>
      </c>
      <c r="I1573" s="135">
        <v>51000000</v>
      </c>
    </row>
    <row r="1574" spans="1:9" x14ac:dyDescent="0.2">
      <c r="A1574" s="134">
        <v>45473</v>
      </c>
      <c r="B1574" s="135">
        <f>YEAR(source[[#This Row],[report_date]])</f>
        <v>2024</v>
      </c>
      <c r="C1574" s="136">
        <v>6</v>
      </c>
      <c r="D1574" s="136">
        <f t="shared" si="71"/>
        <v>26</v>
      </c>
      <c r="E1574" s="136">
        <f t="shared" si="72"/>
        <v>30</v>
      </c>
      <c r="F1574" s="128" t="s">
        <v>24</v>
      </c>
      <c r="G1574" s="128" t="str">
        <f>VLOOKUP(source[[#This Row],[lending_product_transform]],[3]Mapping!$B$4:$C$37,2,0)</f>
        <v>[Cake] - Cashloan</v>
      </c>
      <c r="H1574" s="128" t="str">
        <f>VLOOKUP(source[[#This Row],[lending_product_transform]],[3]Mapping!$B$3:$D$37,3,0)</f>
        <v>cashloan</v>
      </c>
      <c r="I1574" s="135">
        <v>51380000</v>
      </c>
    </row>
    <row r="1575" spans="1:9" x14ac:dyDescent="0.2">
      <c r="A1575" s="134">
        <v>45473</v>
      </c>
      <c r="B1575" s="135">
        <f>YEAR(source[[#This Row],[report_date]])</f>
        <v>2024</v>
      </c>
      <c r="C1575" s="136">
        <v>6</v>
      </c>
      <c r="D1575" s="136">
        <f t="shared" si="71"/>
        <v>26</v>
      </c>
      <c r="E1575" s="136">
        <f t="shared" si="72"/>
        <v>30</v>
      </c>
      <c r="F1575" s="128" t="s">
        <v>24</v>
      </c>
      <c r="G1575" s="128" t="str">
        <f>VLOOKUP(source[[#This Row],[lending_product_transform]],[3]Mapping!$B$4:$C$37,2,0)</f>
        <v>[Cake] - Cashloan</v>
      </c>
      <c r="H1575" s="128" t="str">
        <f>VLOOKUP(source[[#This Row],[lending_product_transform]],[3]Mapping!$B$3:$D$37,3,0)</f>
        <v>cashloan</v>
      </c>
      <c r="I1575" s="135">
        <v>230050000</v>
      </c>
    </row>
    <row r="1576" spans="1:9" x14ac:dyDescent="0.2">
      <c r="A1576" s="134">
        <v>45473</v>
      </c>
      <c r="B1576" s="135">
        <f>YEAR(source[[#This Row],[report_date]])</f>
        <v>2024</v>
      </c>
      <c r="C1576" s="136">
        <v>6</v>
      </c>
      <c r="D1576" s="136">
        <f t="shared" si="71"/>
        <v>26</v>
      </c>
      <c r="E1576" s="136">
        <f t="shared" si="72"/>
        <v>30</v>
      </c>
      <c r="F1576" s="128" t="s">
        <v>24</v>
      </c>
      <c r="G1576" s="128" t="str">
        <f>VLOOKUP(source[[#This Row],[lending_product_transform]],[3]Mapping!$B$4:$C$37,2,0)</f>
        <v>[Cake] - Cashloan</v>
      </c>
      <c r="H1576" s="128" t="str">
        <f>VLOOKUP(source[[#This Row],[lending_product_transform]],[3]Mapping!$B$3:$D$37,3,0)</f>
        <v>cashloan</v>
      </c>
      <c r="I1576" s="135">
        <v>5564780000</v>
      </c>
    </row>
    <row r="1577" spans="1:9" x14ac:dyDescent="0.2">
      <c r="A1577" s="134">
        <v>45473</v>
      </c>
      <c r="B1577" s="135">
        <f>YEAR(source[[#This Row],[report_date]])</f>
        <v>2024</v>
      </c>
      <c r="C1577" s="136">
        <v>6</v>
      </c>
      <c r="D1577" s="136">
        <f t="shared" si="71"/>
        <v>26</v>
      </c>
      <c r="E1577" s="136">
        <f t="shared" si="72"/>
        <v>30</v>
      </c>
      <c r="F1577" s="128" t="s">
        <v>24</v>
      </c>
      <c r="G1577" s="128" t="str">
        <f>VLOOKUP(source[[#This Row],[lending_product_transform]],[3]Mapping!$B$4:$C$37,2,0)</f>
        <v>[Cake] - Cashloan</v>
      </c>
      <c r="H1577" s="128" t="str">
        <f>VLOOKUP(source[[#This Row],[lending_product_transform]],[3]Mapping!$B$3:$D$37,3,0)</f>
        <v>cashloan</v>
      </c>
      <c r="I1577" s="135">
        <v>71272041</v>
      </c>
    </row>
    <row r="1578" spans="1:9" x14ac:dyDescent="0.2">
      <c r="A1578" s="134">
        <v>45473</v>
      </c>
      <c r="B1578" s="135">
        <f>YEAR(source[[#This Row],[report_date]])</f>
        <v>2024</v>
      </c>
      <c r="C1578" s="136">
        <v>6</v>
      </c>
      <c r="D1578" s="136">
        <f t="shared" si="71"/>
        <v>26</v>
      </c>
      <c r="E1578" s="136">
        <f t="shared" si="72"/>
        <v>30</v>
      </c>
      <c r="F1578" s="128" t="s">
        <v>24</v>
      </c>
      <c r="G1578" s="128" t="str">
        <f>VLOOKUP(source[[#This Row],[lending_product_transform]],[3]Mapping!$B$4:$C$37,2,0)</f>
        <v>[Cake] - Cashloan</v>
      </c>
      <c r="H1578" s="128" t="str">
        <f>VLOOKUP(source[[#This Row],[lending_product_transform]],[3]Mapping!$B$3:$D$37,3,0)</f>
        <v>cashloan</v>
      </c>
      <c r="I1578" s="135">
        <v>2939500000</v>
      </c>
    </row>
    <row r="1579" spans="1:9" x14ac:dyDescent="0.2">
      <c r="A1579" s="134">
        <v>45473</v>
      </c>
      <c r="B1579" s="135">
        <f>YEAR(source[[#This Row],[report_date]])</f>
        <v>2024</v>
      </c>
      <c r="C1579" s="136">
        <v>6</v>
      </c>
      <c r="D1579" s="136">
        <f t="shared" si="71"/>
        <v>26</v>
      </c>
      <c r="E1579" s="136">
        <f t="shared" si="72"/>
        <v>30</v>
      </c>
      <c r="F1579" s="128" t="s">
        <v>24</v>
      </c>
      <c r="G1579" s="128" t="str">
        <f>VLOOKUP(source[[#This Row],[lending_product_transform]],[3]Mapping!$B$4:$C$37,2,0)</f>
        <v>[Cake] - Cashloan</v>
      </c>
      <c r="H1579" s="128" t="str">
        <f>VLOOKUP(source[[#This Row],[lending_product_transform]],[3]Mapping!$B$3:$D$37,3,0)</f>
        <v>cashloan</v>
      </c>
      <c r="I1579" s="135">
        <v>450500000</v>
      </c>
    </row>
    <row r="1580" spans="1:9" x14ac:dyDescent="0.2">
      <c r="A1580" s="134">
        <v>45473</v>
      </c>
      <c r="B1580" s="135">
        <f>YEAR(source[[#This Row],[report_date]])</f>
        <v>2024</v>
      </c>
      <c r="C1580" s="136">
        <v>6</v>
      </c>
      <c r="D1580" s="136">
        <f t="shared" si="71"/>
        <v>26</v>
      </c>
      <c r="E1580" s="136">
        <f t="shared" si="72"/>
        <v>30</v>
      </c>
      <c r="F1580" s="128" t="s">
        <v>24</v>
      </c>
      <c r="G1580" s="128" t="str">
        <f>VLOOKUP(source[[#This Row],[lending_product_transform]],[3]Mapping!$B$4:$C$37,2,0)</f>
        <v>[Cake] - Cashloan</v>
      </c>
      <c r="H1580" s="128" t="str">
        <f>VLOOKUP(source[[#This Row],[lending_product_transform]],[3]Mapping!$B$3:$D$37,3,0)</f>
        <v>cashloan</v>
      </c>
      <c r="I1580" s="135">
        <v>10500000</v>
      </c>
    </row>
    <row r="1581" spans="1:9" x14ac:dyDescent="0.2">
      <c r="A1581" s="134">
        <v>45473</v>
      </c>
      <c r="B1581" s="135">
        <f>YEAR(source[[#This Row],[report_date]])</f>
        <v>2024</v>
      </c>
      <c r="C1581" s="136">
        <v>6</v>
      </c>
      <c r="D1581" s="136">
        <f t="shared" si="71"/>
        <v>26</v>
      </c>
      <c r="E1581" s="136">
        <f t="shared" si="72"/>
        <v>30</v>
      </c>
      <c r="F1581" s="128" t="s">
        <v>24</v>
      </c>
      <c r="G1581" s="128" t="str">
        <f>VLOOKUP(source[[#This Row],[lending_product_transform]],[3]Mapping!$B$4:$C$37,2,0)</f>
        <v>[Cake] - Cashloan</v>
      </c>
      <c r="H1581" s="128" t="str">
        <f>VLOOKUP(source[[#This Row],[lending_product_transform]],[3]Mapping!$B$3:$D$37,3,0)</f>
        <v>cashloan</v>
      </c>
      <c r="I1581" s="135">
        <v>4497960000</v>
      </c>
    </row>
    <row r="1582" spans="1:9" x14ac:dyDescent="0.2">
      <c r="A1582" s="134">
        <v>45473</v>
      </c>
      <c r="B1582" s="135">
        <f>YEAR(source[[#This Row],[report_date]])</f>
        <v>2024</v>
      </c>
      <c r="C1582" s="136">
        <v>6</v>
      </c>
      <c r="D1582" s="136">
        <f t="shared" si="71"/>
        <v>26</v>
      </c>
      <c r="E1582" s="136">
        <f t="shared" si="72"/>
        <v>30</v>
      </c>
      <c r="F1582" s="128" t="s">
        <v>24</v>
      </c>
      <c r="G1582" s="128" t="str">
        <f>VLOOKUP(source[[#This Row],[lending_product_transform]],[3]Mapping!$B$4:$C$37,2,0)</f>
        <v>[Cake] - Cashloan</v>
      </c>
      <c r="H1582" s="128" t="str">
        <f>VLOOKUP(source[[#This Row],[lending_product_transform]],[3]Mapping!$B$3:$D$37,3,0)</f>
        <v>cashloan</v>
      </c>
      <c r="I1582" s="135">
        <v>2433875179</v>
      </c>
    </row>
    <row r="1583" spans="1:9" x14ac:dyDescent="0.2">
      <c r="A1583" s="134">
        <v>45473</v>
      </c>
      <c r="B1583" s="135">
        <f>YEAR(source[[#This Row],[report_date]])</f>
        <v>2024</v>
      </c>
      <c r="C1583" s="136">
        <v>6</v>
      </c>
      <c r="D1583" s="136">
        <f t="shared" si="71"/>
        <v>26</v>
      </c>
      <c r="E1583" s="136">
        <f t="shared" si="72"/>
        <v>30</v>
      </c>
      <c r="F1583" s="128" t="s">
        <v>24</v>
      </c>
      <c r="G1583" s="128" t="str">
        <f>VLOOKUP(source[[#This Row],[lending_product_transform]],[3]Mapping!$B$4:$C$37,2,0)</f>
        <v>[Cake] - Cashloan</v>
      </c>
      <c r="H1583" s="128" t="str">
        <f>VLOOKUP(source[[#This Row],[lending_product_transform]],[3]Mapping!$B$3:$D$37,3,0)</f>
        <v>cashloan</v>
      </c>
      <c r="I1583" s="135">
        <v>16309174340</v>
      </c>
    </row>
    <row r="1584" spans="1:9" x14ac:dyDescent="0.2">
      <c r="A1584" s="134">
        <v>45474</v>
      </c>
      <c r="B1584" s="135">
        <f>YEAR(source[[#This Row],[report_date]])</f>
        <v>2024</v>
      </c>
      <c r="C1584" s="136">
        <v>7</v>
      </c>
      <c r="D1584" s="136">
        <f t="shared" si="71"/>
        <v>27</v>
      </c>
      <c r="E1584" s="136">
        <f t="shared" si="72"/>
        <v>1</v>
      </c>
      <c r="F1584" s="128" t="s">
        <v>24</v>
      </c>
      <c r="G1584" s="128" t="str">
        <f>VLOOKUP(source[[#This Row],[lending_product_transform]],[3]Mapping!$B$4:$C$37,2,0)</f>
        <v>[Cake] - Cashloan</v>
      </c>
      <c r="H1584" s="128" t="str">
        <f>VLOOKUP(source[[#This Row],[lending_product_transform]],[3]Mapping!$B$3:$D$37,3,0)</f>
        <v>cashloan</v>
      </c>
      <c r="I1584" s="135">
        <v>83460000</v>
      </c>
    </row>
    <row r="1585" spans="1:9" x14ac:dyDescent="0.2">
      <c r="A1585" s="134">
        <v>45474</v>
      </c>
      <c r="B1585" s="135">
        <f>YEAR(source[[#This Row],[report_date]])</f>
        <v>2024</v>
      </c>
      <c r="C1585" s="136">
        <v>7</v>
      </c>
      <c r="D1585" s="136">
        <f t="shared" si="71"/>
        <v>27</v>
      </c>
      <c r="E1585" s="136">
        <f t="shared" si="72"/>
        <v>1</v>
      </c>
      <c r="F1585" s="128" t="s">
        <v>24</v>
      </c>
      <c r="G1585" s="128" t="str">
        <f>VLOOKUP(source[[#This Row],[lending_product_transform]],[3]Mapping!$B$4:$C$37,2,0)</f>
        <v>[Cake] - Cashloan</v>
      </c>
      <c r="H1585" s="128" t="str">
        <f>VLOOKUP(source[[#This Row],[lending_product_transform]],[3]Mapping!$B$3:$D$37,3,0)</f>
        <v>cashloan</v>
      </c>
      <c r="I1585" s="135">
        <v>306550000</v>
      </c>
    </row>
    <row r="1586" spans="1:9" x14ac:dyDescent="0.2">
      <c r="A1586" s="134">
        <v>45474</v>
      </c>
      <c r="B1586" s="135">
        <f>YEAR(source[[#This Row],[report_date]])</f>
        <v>2024</v>
      </c>
      <c r="C1586" s="136">
        <v>7</v>
      </c>
      <c r="D1586" s="136">
        <f t="shared" si="71"/>
        <v>27</v>
      </c>
      <c r="E1586" s="136">
        <f t="shared" si="72"/>
        <v>1</v>
      </c>
      <c r="F1586" s="128" t="s">
        <v>24</v>
      </c>
      <c r="G1586" s="128" t="str">
        <f>VLOOKUP(source[[#This Row],[lending_product_transform]],[3]Mapping!$B$4:$C$37,2,0)</f>
        <v>[Cake] - Cashloan</v>
      </c>
      <c r="H1586" s="128" t="str">
        <f>VLOOKUP(source[[#This Row],[lending_product_transform]],[3]Mapping!$B$3:$D$37,3,0)</f>
        <v>cashloan</v>
      </c>
      <c r="I1586" s="135">
        <v>76945556</v>
      </c>
    </row>
    <row r="1587" spans="1:9" x14ac:dyDescent="0.2">
      <c r="A1587" s="134">
        <v>45474</v>
      </c>
      <c r="B1587" s="135">
        <f>YEAR(source[[#This Row],[report_date]])</f>
        <v>2024</v>
      </c>
      <c r="C1587" s="136">
        <v>7</v>
      </c>
      <c r="D1587" s="136">
        <f t="shared" si="71"/>
        <v>27</v>
      </c>
      <c r="E1587" s="136">
        <f t="shared" si="72"/>
        <v>1</v>
      </c>
      <c r="F1587" s="128" t="s">
        <v>24</v>
      </c>
      <c r="G1587" s="128" t="str">
        <f>VLOOKUP(source[[#This Row],[lending_product_transform]],[3]Mapping!$B$4:$C$37,2,0)</f>
        <v>[Cake] - Cashloan</v>
      </c>
      <c r="H1587" s="128" t="str">
        <f>VLOOKUP(source[[#This Row],[lending_product_transform]],[3]Mapping!$B$3:$D$37,3,0)</f>
        <v>cashloan</v>
      </c>
      <c r="I1587" s="135">
        <v>3865000000</v>
      </c>
    </row>
    <row r="1588" spans="1:9" x14ac:dyDescent="0.2">
      <c r="A1588" s="134">
        <v>45474</v>
      </c>
      <c r="B1588" s="135">
        <f>YEAR(source[[#This Row],[report_date]])</f>
        <v>2024</v>
      </c>
      <c r="C1588" s="136">
        <v>7</v>
      </c>
      <c r="D1588" s="136">
        <f t="shared" si="71"/>
        <v>27</v>
      </c>
      <c r="E1588" s="136">
        <f t="shared" si="72"/>
        <v>1</v>
      </c>
      <c r="F1588" s="128" t="s">
        <v>24</v>
      </c>
      <c r="G1588" s="128" t="str">
        <f>VLOOKUP(source[[#This Row],[lending_product_transform]],[3]Mapping!$B$4:$C$37,2,0)</f>
        <v>[Cake] - Cashloan</v>
      </c>
      <c r="H1588" s="128" t="str">
        <f>VLOOKUP(source[[#This Row],[lending_product_transform]],[3]Mapping!$B$3:$D$37,3,0)</f>
        <v>cashloan</v>
      </c>
      <c r="I1588" s="135">
        <v>1288740000</v>
      </c>
    </row>
    <row r="1589" spans="1:9" x14ac:dyDescent="0.2">
      <c r="A1589" s="134">
        <v>45474</v>
      </c>
      <c r="B1589" s="135">
        <f>YEAR(source[[#This Row],[report_date]])</f>
        <v>2024</v>
      </c>
      <c r="C1589" s="136">
        <v>7</v>
      </c>
      <c r="D1589" s="136">
        <f t="shared" si="71"/>
        <v>27</v>
      </c>
      <c r="E1589" s="136">
        <f t="shared" si="72"/>
        <v>1</v>
      </c>
      <c r="F1589" s="128" t="s">
        <v>24</v>
      </c>
      <c r="G1589" s="128" t="str">
        <f>VLOOKUP(source[[#This Row],[lending_product_transform]],[3]Mapping!$B$4:$C$37,2,0)</f>
        <v>[Cake] - Cashloan</v>
      </c>
      <c r="H1589" s="128" t="str">
        <f>VLOOKUP(source[[#This Row],[lending_product_transform]],[3]Mapping!$B$3:$D$37,3,0)</f>
        <v>cashloan</v>
      </c>
      <c r="I1589" s="135">
        <v>6181640000</v>
      </c>
    </row>
    <row r="1590" spans="1:9" x14ac:dyDescent="0.2">
      <c r="A1590" s="134">
        <v>45474</v>
      </c>
      <c r="B1590" s="135">
        <f>YEAR(source[[#This Row],[report_date]])</f>
        <v>2024</v>
      </c>
      <c r="C1590" s="136">
        <v>7</v>
      </c>
      <c r="D1590" s="136">
        <f t="shared" si="71"/>
        <v>27</v>
      </c>
      <c r="E1590" s="136">
        <f t="shared" si="72"/>
        <v>1</v>
      </c>
      <c r="F1590" s="128" t="s">
        <v>24</v>
      </c>
      <c r="G1590" s="128" t="str">
        <f>VLOOKUP(source[[#This Row],[lending_product_transform]],[3]Mapping!$B$4:$C$37,2,0)</f>
        <v>[Cake] - Cashloan</v>
      </c>
      <c r="H1590" s="128" t="str">
        <f>VLOOKUP(source[[#This Row],[lending_product_transform]],[3]Mapping!$B$3:$D$37,3,0)</f>
        <v>cashloan</v>
      </c>
      <c r="I1590" s="135">
        <v>42000000</v>
      </c>
    </row>
    <row r="1591" spans="1:9" x14ac:dyDescent="0.2">
      <c r="A1591" s="134">
        <v>45474</v>
      </c>
      <c r="B1591" s="135">
        <f>YEAR(source[[#This Row],[report_date]])</f>
        <v>2024</v>
      </c>
      <c r="C1591" s="136">
        <v>7</v>
      </c>
      <c r="D1591" s="136">
        <f t="shared" si="71"/>
        <v>27</v>
      </c>
      <c r="E1591" s="136">
        <f t="shared" si="72"/>
        <v>1</v>
      </c>
      <c r="F1591" s="128" t="s">
        <v>24</v>
      </c>
      <c r="G1591" s="128" t="str">
        <f>VLOOKUP(source[[#This Row],[lending_product_transform]],[3]Mapping!$B$4:$C$37,2,0)</f>
        <v>[Cake] - Cashloan</v>
      </c>
      <c r="H1591" s="128" t="str">
        <f>VLOOKUP(source[[#This Row],[lending_product_transform]],[3]Mapping!$B$3:$D$37,3,0)</f>
        <v>cashloan</v>
      </c>
      <c r="I1591" s="135">
        <v>16050000</v>
      </c>
    </row>
    <row r="1592" spans="1:9" x14ac:dyDescent="0.2">
      <c r="A1592" s="134">
        <v>45474</v>
      </c>
      <c r="B1592" s="135">
        <f>YEAR(source[[#This Row],[report_date]])</f>
        <v>2024</v>
      </c>
      <c r="C1592" s="136">
        <v>7</v>
      </c>
      <c r="D1592" s="136">
        <f t="shared" si="71"/>
        <v>27</v>
      </c>
      <c r="E1592" s="136">
        <f t="shared" si="72"/>
        <v>1</v>
      </c>
      <c r="F1592" s="128" t="s">
        <v>24</v>
      </c>
      <c r="G1592" s="128" t="str">
        <f>VLOOKUP(source[[#This Row],[lending_product_transform]],[3]Mapping!$B$4:$C$37,2,0)</f>
        <v>[Cake] - Cashloan</v>
      </c>
      <c r="H1592" s="128" t="str">
        <f>VLOOKUP(source[[#This Row],[lending_product_transform]],[3]Mapping!$B$3:$D$37,3,0)</f>
        <v>cashloan</v>
      </c>
      <c r="I1592" s="135">
        <v>52000000</v>
      </c>
    </row>
    <row r="1593" spans="1:9" x14ac:dyDescent="0.2">
      <c r="A1593" s="134">
        <v>45474</v>
      </c>
      <c r="B1593" s="135">
        <f>YEAR(source[[#This Row],[report_date]])</f>
        <v>2024</v>
      </c>
      <c r="C1593" s="136">
        <v>7</v>
      </c>
      <c r="D1593" s="136">
        <f t="shared" si="71"/>
        <v>27</v>
      </c>
      <c r="E1593" s="136">
        <f t="shared" si="72"/>
        <v>1</v>
      </c>
      <c r="F1593" s="128" t="s">
        <v>24</v>
      </c>
      <c r="G1593" s="128" t="str">
        <f>VLOOKUP(source[[#This Row],[lending_product_transform]],[3]Mapping!$B$4:$C$37,2,0)</f>
        <v>[Cake] - Cashloan</v>
      </c>
      <c r="H1593" s="128" t="str">
        <f>VLOOKUP(source[[#This Row],[lending_product_transform]],[3]Mapping!$B$3:$D$37,3,0)</f>
        <v>cashloan</v>
      </c>
      <c r="I1593" s="135">
        <v>7348430000</v>
      </c>
    </row>
    <row r="1594" spans="1:9" x14ac:dyDescent="0.2">
      <c r="A1594" s="134">
        <v>45474</v>
      </c>
      <c r="B1594" s="135">
        <f>YEAR(source[[#This Row],[report_date]])</f>
        <v>2024</v>
      </c>
      <c r="C1594" s="136">
        <v>7</v>
      </c>
      <c r="D1594" s="136">
        <f t="shared" si="71"/>
        <v>27</v>
      </c>
      <c r="E1594" s="136">
        <f t="shared" si="72"/>
        <v>1</v>
      </c>
      <c r="F1594" s="128" t="s">
        <v>24</v>
      </c>
      <c r="G1594" s="128" t="str">
        <f>VLOOKUP(source[[#This Row],[lending_product_transform]],[3]Mapping!$B$4:$C$37,2,0)</f>
        <v>[Cake] - Cashloan</v>
      </c>
      <c r="H1594" s="128" t="str">
        <f>VLOOKUP(source[[#This Row],[lending_product_transform]],[3]Mapping!$B$3:$D$37,3,0)</f>
        <v>cashloan</v>
      </c>
      <c r="I1594" s="135">
        <v>4081557292</v>
      </c>
    </row>
    <row r="1595" spans="1:9" x14ac:dyDescent="0.2">
      <c r="A1595" s="134">
        <v>45474</v>
      </c>
      <c r="B1595" s="135">
        <f>YEAR(source[[#This Row],[report_date]])</f>
        <v>2024</v>
      </c>
      <c r="C1595" s="136">
        <v>7</v>
      </c>
      <c r="D1595" s="136">
        <f t="shared" si="71"/>
        <v>27</v>
      </c>
      <c r="E1595" s="136">
        <f t="shared" si="72"/>
        <v>1</v>
      </c>
      <c r="F1595" s="128" t="s">
        <v>24</v>
      </c>
      <c r="G1595" s="128" t="str">
        <f>VLOOKUP(source[[#This Row],[lending_product_transform]],[3]Mapping!$B$4:$C$37,2,0)</f>
        <v>[Cake] - Cashloan</v>
      </c>
      <c r="H1595" s="128" t="str">
        <f>VLOOKUP(source[[#This Row],[lending_product_transform]],[3]Mapping!$B$3:$D$37,3,0)</f>
        <v>cashloan</v>
      </c>
      <c r="I1595" s="135">
        <v>8938625</v>
      </c>
    </row>
    <row r="1596" spans="1:9" x14ac:dyDescent="0.2">
      <c r="A1596" s="134">
        <v>45475</v>
      </c>
      <c r="B1596" s="135">
        <f>YEAR(source[[#This Row],[report_date]])</f>
        <v>2024</v>
      </c>
      <c r="C1596" s="136">
        <v>7</v>
      </c>
      <c r="D1596" s="136">
        <f t="shared" si="71"/>
        <v>27</v>
      </c>
      <c r="E1596" s="136">
        <f t="shared" si="72"/>
        <v>2</v>
      </c>
      <c r="F1596" s="128" t="s">
        <v>24</v>
      </c>
      <c r="G1596" s="128" t="str">
        <f>VLOOKUP(source[[#This Row],[lending_product_transform]],[3]Mapping!$B$4:$C$37,2,0)</f>
        <v>[Cake] - Cashloan</v>
      </c>
      <c r="H1596" s="128" t="str">
        <f>VLOOKUP(source[[#This Row],[lending_product_transform]],[3]Mapping!$B$3:$D$37,3,0)</f>
        <v>cashloan</v>
      </c>
      <c r="I1596" s="135">
        <v>1501210000</v>
      </c>
    </row>
    <row r="1597" spans="1:9" x14ac:dyDescent="0.2">
      <c r="A1597" s="134">
        <v>45475</v>
      </c>
      <c r="B1597" s="135">
        <f>YEAR(source[[#This Row],[report_date]])</f>
        <v>2024</v>
      </c>
      <c r="C1597" s="136">
        <v>7</v>
      </c>
      <c r="D1597" s="136">
        <f t="shared" si="71"/>
        <v>27</v>
      </c>
      <c r="E1597" s="136">
        <f t="shared" si="72"/>
        <v>2</v>
      </c>
      <c r="F1597" s="128" t="s">
        <v>24</v>
      </c>
      <c r="G1597" s="128" t="str">
        <f>VLOOKUP(source[[#This Row],[lending_product_transform]],[3]Mapping!$B$4:$C$37,2,0)</f>
        <v>[Cake] - Cashloan</v>
      </c>
      <c r="H1597" s="128" t="str">
        <f>VLOOKUP(source[[#This Row],[lending_product_transform]],[3]Mapping!$B$3:$D$37,3,0)</f>
        <v>cashloan</v>
      </c>
      <c r="I1597" s="135">
        <v>32000000</v>
      </c>
    </row>
    <row r="1598" spans="1:9" x14ac:dyDescent="0.2">
      <c r="A1598" s="134">
        <v>45475</v>
      </c>
      <c r="B1598" s="135">
        <f>YEAR(source[[#This Row],[report_date]])</f>
        <v>2024</v>
      </c>
      <c r="C1598" s="136">
        <v>7</v>
      </c>
      <c r="D1598" s="136">
        <f t="shared" si="71"/>
        <v>27</v>
      </c>
      <c r="E1598" s="136">
        <f t="shared" si="72"/>
        <v>2</v>
      </c>
      <c r="F1598" s="128" t="s">
        <v>24</v>
      </c>
      <c r="G1598" s="128" t="str">
        <f>VLOOKUP(source[[#This Row],[lending_product_transform]],[3]Mapping!$B$4:$C$37,2,0)</f>
        <v>[Cake] - Cashloan</v>
      </c>
      <c r="H1598" s="128" t="str">
        <f>VLOOKUP(source[[#This Row],[lending_product_transform]],[3]Mapping!$B$3:$D$37,3,0)</f>
        <v>cashloan</v>
      </c>
      <c r="I1598" s="135">
        <v>3601000000</v>
      </c>
    </row>
    <row r="1599" spans="1:9" x14ac:dyDescent="0.2">
      <c r="A1599" s="134">
        <v>45475</v>
      </c>
      <c r="B1599" s="135">
        <f>YEAR(source[[#This Row],[report_date]])</f>
        <v>2024</v>
      </c>
      <c r="C1599" s="136">
        <v>7</v>
      </c>
      <c r="D1599" s="136">
        <f t="shared" si="71"/>
        <v>27</v>
      </c>
      <c r="E1599" s="136">
        <f t="shared" si="72"/>
        <v>2</v>
      </c>
      <c r="F1599" s="128" t="s">
        <v>24</v>
      </c>
      <c r="G1599" s="128" t="str">
        <f>VLOOKUP(source[[#This Row],[lending_product_transform]],[3]Mapping!$B$4:$C$37,2,0)</f>
        <v>[Cake] - Cashloan</v>
      </c>
      <c r="H1599" s="128" t="str">
        <f>VLOOKUP(source[[#This Row],[lending_product_transform]],[3]Mapping!$B$3:$D$37,3,0)</f>
        <v>cashloan</v>
      </c>
      <c r="I1599" s="135">
        <v>26250000</v>
      </c>
    </row>
    <row r="1600" spans="1:9" x14ac:dyDescent="0.2">
      <c r="A1600" s="134">
        <v>45475</v>
      </c>
      <c r="B1600" s="135">
        <f>YEAR(source[[#This Row],[report_date]])</f>
        <v>2024</v>
      </c>
      <c r="C1600" s="136">
        <v>7</v>
      </c>
      <c r="D1600" s="136">
        <f t="shared" si="71"/>
        <v>27</v>
      </c>
      <c r="E1600" s="136">
        <f t="shared" si="72"/>
        <v>2</v>
      </c>
      <c r="F1600" s="128" t="s">
        <v>24</v>
      </c>
      <c r="G1600" s="128" t="str">
        <f>VLOOKUP(source[[#This Row],[lending_product_transform]],[3]Mapping!$B$4:$C$37,2,0)</f>
        <v>[Cake] - Cashloan</v>
      </c>
      <c r="H1600" s="128" t="str">
        <f>VLOOKUP(source[[#This Row],[lending_product_transform]],[3]Mapping!$B$3:$D$37,3,0)</f>
        <v>cashloan</v>
      </c>
      <c r="I1600" s="135">
        <v>15000000</v>
      </c>
    </row>
    <row r="1601" spans="1:9" x14ac:dyDescent="0.2">
      <c r="A1601" s="134">
        <v>45475</v>
      </c>
      <c r="B1601" s="135">
        <f>YEAR(source[[#This Row],[report_date]])</f>
        <v>2024</v>
      </c>
      <c r="C1601" s="136">
        <v>7</v>
      </c>
      <c r="D1601" s="136">
        <f t="shared" si="71"/>
        <v>27</v>
      </c>
      <c r="E1601" s="136">
        <f t="shared" si="72"/>
        <v>2</v>
      </c>
      <c r="F1601" s="128" t="s">
        <v>24</v>
      </c>
      <c r="G1601" s="128" t="str">
        <f>VLOOKUP(source[[#This Row],[lending_product_transform]],[3]Mapping!$B$4:$C$37,2,0)</f>
        <v>[Cake] - Cashloan</v>
      </c>
      <c r="H1601" s="128" t="str">
        <f>VLOOKUP(source[[#This Row],[lending_product_transform]],[3]Mapping!$B$3:$D$37,3,0)</f>
        <v>cashloan</v>
      </c>
      <c r="I1601" s="135">
        <v>3728980619</v>
      </c>
    </row>
    <row r="1602" spans="1:9" x14ac:dyDescent="0.2">
      <c r="A1602" s="134">
        <v>45475</v>
      </c>
      <c r="B1602" s="135">
        <f>YEAR(source[[#This Row],[report_date]])</f>
        <v>2024</v>
      </c>
      <c r="C1602" s="136">
        <v>7</v>
      </c>
      <c r="D1602" s="136">
        <f t="shared" si="71"/>
        <v>27</v>
      </c>
      <c r="E1602" s="136">
        <f t="shared" si="72"/>
        <v>2</v>
      </c>
      <c r="F1602" s="128" t="s">
        <v>24</v>
      </c>
      <c r="G1602" s="128" t="str">
        <f>VLOOKUP(source[[#This Row],[lending_product_transform]],[3]Mapping!$B$4:$C$37,2,0)</f>
        <v>[Cake] - Cashloan</v>
      </c>
      <c r="H1602" s="128" t="str">
        <f>VLOOKUP(source[[#This Row],[lending_product_transform]],[3]Mapping!$B$3:$D$37,3,0)</f>
        <v>cashloan</v>
      </c>
      <c r="I1602" s="135">
        <v>94530000</v>
      </c>
    </row>
    <row r="1603" spans="1:9" x14ac:dyDescent="0.2">
      <c r="A1603" s="134">
        <v>45475</v>
      </c>
      <c r="B1603" s="135">
        <f>YEAR(source[[#This Row],[report_date]])</f>
        <v>2024</v>
      </c>
      <c r="C1603" s="136">
        <v>7</v>
      </c>
      <c r="D1603" s="136">
        <f t="shared" ref="D1603:D1666" si="73">WEEKNUM(A1603,2)</f>
        <v>27</v>
      </c>
      <c r="E1603" s="136">
        <f t="shared" ref="E1603:E1666" si="74">DAY(A1603)</f>
        <v>2</v>
      </c>
      <c r="F1603" s="128" t="s">
        <v>24</v>
      </c>
      <c r="G1603" s="128" t="str">
        <f>VLOOKUP(source[[#This Row],[lending_product_transform]],[3]Mapping!$B$4:$C$37,2,0)</f>
        <v>[Cake] - Cashloan</v>
      </c>
      <c r="H1603" s="128" t="str">
        <f>VLOOKUP(source[[#This Row],[lending_product_transform]],[3]Mapping!$B$3:$D$37,3,0)</f>
        <v>cashloan</v>
      </c>
      <c r="I1603" s="135">
        <v>4968960000</v>
      </c>
    </row>
    <row r="1604" spans="1:9" x14ac:dyDescent="0.2">
      <c r="A1604" s="134">
        <v>45475</v>
      </c>
      <c r="B1604" s="135">
        <f>YEAR(source[[#This Row],[report_date]])</f>
        <v>2024</v>
      </c>
      <c r="C1604" s="136">
        <v>7</v>
      </c>
      <c r="D1604" s="136">
        <f t="shared" si="73"/>
        <v>27</v>
      </c>
      <c r="E1604" s="136">
        <f t="shared" si="74"/>
        <v>2</v>
      </c>
      <c r="F1604" s="128" t="s">
        <v>24</v>
      </c>
      <c r="G1604" s="128" t="str">
        <f>VLOOKUP(source[[#This Row],[lending_product_transform]],[3]Mapping!$B$4:$C$37,2,0)</f>
        <v>[Cake] - Cashloan</v>
      </c>
      <c r="H1604" s="128" t="str">
        <f>VLOOKUP(source[[#This Row],[lending_product_transform]],[3]Mapping!$B$3:$D$37,3,0)</f>
        <v>cashloan</v>
      </c>
      <c r="I1604" s="135">
        <v>113264546</v>
      </c>
    </row>
    <row r="1605" spans="1:9" x14ac:dyDescent="0.2">
      <c r="A1605" s="134">
        <v>45475</v>
      </c>
      <c r="B1605" s="135">
        <f>YEAR(source[[#This Row],[report_date]])</f>
        <v>2024</v>
      </c>
      <c r="C1605" s="136">
        <v>7</v>
      </c>
      <c r="D1605" s="136">
        <f t="shared" si="73"/>
        <v>27</v>
      </c>
      <c r="E1605" s="136">
        <f t="shared" si="74"/>
        <v>2</v>
      </c>
      <c r="F1605" s="128" t="s">
        <v>24</v>
      </c>
      <c r="G1605" s="128" t="str">
        <f>VLOOKUP(source[[#This Row],[lending_product_transform]],[3]Mapping!$B$4:$C$37,2,0)</f>
        <v>[Cake] - Cashloan</v>
      </c>
      <c r="H1605" s="128" t="str">
        <f>VLOOKUP(source[[#This Row],[lending_product_transform]],[3]Mapping!$B$3:$D$37,3,0)</f>
        <v>cashloan</v>
      </c>
      <c r="I1605" s="135">
        <v>5351920000</v>
      </c>
    </row>
    <row r="1606" spans="1:9" x14ac:dyDescent="0.2">
      <c r="A1606" s="134">
        <v>45475</v>
      </c>
      <c r="B1606" s="135">
        <f>YEAR(source[[#This Row],[report_date]])</f>
        <v>2024</v>
      </c>
      <c r="C1606" s="136">
        <v>7</v>
      </c>
      <c r="D1606" s="136">
        <f t="shared" si="73"/>
        <v>27</v>
      </c>
      <c r="E1606" s="136">
        <f t="shared" si="74"/>
        <v>2</v>
      </c>
      <c r="F1606" s="128" t="s">
        <v>24</v>
      </c>
      <c r="G1606" s="128" t="str">
        <f>VLOOKUP(source[[#This Row],[lending_product_transform]],[3]Mapping!$B$4:$C$37,2,0)</f>
        <v>[Cake] - Cashloan</v>
      </c>
      <c r="H1606" s="128" t="str">
        <f>VLOOKUP(source[[#This Row],[lending_product_transform]],[3]Mapping!$B$3:$D$37,3,0)</f>
        <v>cashloan</v>
      </c>
      <c r="I1606" s="135">
        <v>12410620</v>
      </c>
    </row>
    <row r="1607" spans="1:9" x14ac:dyDescent="0.2">
      <c r="A1607" s="134">
        <v>45475</v>
      </c>
      <c r="B1607" s="135">
        <f>YEAR(source[[#This Row],[report_date]])</f>
        <v>2024</v>
      </c>
      <c r="C1607" s="136">
        <v>7</v>
      </c>
      <c r="D1607" s="136">
        <f t="shared" si="73"/>
        <v>27</v>
      </c>
      <c r="E1607" s="136">
        <f t="shared" si="74"/>
        <v>2</v>
      </c>
      <c r="F1607" s="128" t="s">
        <v>24</v>
      </c>
      <c r="G1607" s="128" t="str">
        <f>VLOOKUP(source[[#This Row],[lending_product_transform]],[3]Mapping!$B$4:$C$37,2,0)</f>
        <v>[Cake] - Cashloan</v>
      </c>
      <c r="H1607" s="128" t="str">
        <f>VLOOKUP(source[[#This Row],[lending_product_transform]],[3]Mapping!$B$3:$D$37,3,0)</f>
        <v>cashloan</v>
      </c>
      <c r="I1607" s="135">
        <v>201600000</v>
      </c>
    </row>
    <row r="1608" spans="1:9" x14ac:dyDescent="0.2">
      <c r="A1608" s="134">
        <v>45476</v>
      </c>
      <c r="B1608" s="135">
        <f>YEAR(source[[#This Row],[report_date]])</f>
        <v>2024</v>
      </c>
      <c r="C1608" s="136">
        <v>7</v>
      </c>
      <c r="D1608" s="136">
        <f t="shared" si="73"/>
        <v>27</v>
      </c>
      <c r="E1608" s="136">
        <f t="shared" si="74"/>
        <v>3</v>
      </c>
      <c r="F1608" s="128" t="s">
        <v>24</v>
      </c>
      <c r="G1608" s="128" t="str">
        <f>VLOOKUP(source[[#This Row],[lending_product_transform]],[3]Mapping!$B$4:$C$37,2,0)</f>
        <v>[Cake] - Cashloan</v>
      </c>
      <c r="H1608" s="128" t="str">
        <f>VLOOKUP(source[[#This Row],[lending_product_transform]],[3]Mapping!$B$3:$D$37,3,0)</f>
        <v>cashloan</v>
      </c>
      <c r="I1608" s="135">
        <v>29000000</v>
      </c>
    </row>
    <row r="1609" spans="1:9" x14ac:dyDescent="0.2">
      <c r="A1609" s="134">
        <v>45476</v>
      </c>
      <c r="B1609" s="135">
        <f>YEAR(source[[#This Row],[report_date]])</f>
        <v>2024</v>
      </c>
      <c r="C1609" s="136">
        <v>7</v>
      </c>
      <c r="D1609" s="136">
        <f t="shared" si="73"/>
        <v>27</v>
      </c>
      <c r="E1609" s="136">
        <f t="shared" si="74"/>
        <v>3</v>
      </c>
      <c r="F1609" s="128" t="s">
        <v>24</v>
      </c>
      <c r="G1609" s="128" t="str">
        <f>VLOOKUP(source[[#This Row],[lending_product_transform]],[3]Mapping!$B$4:$C$37,2,0)</f>
        <v>[Cake] - Cashloan</v>
      </c>
      <c r="H1609" s="128" t="str">
        <f>VLOOKUP(source[[#This Row],[lending_product_transform]],[3]Mapping!$B$3:$D$37,3,0)</f>
        <v>cashloan</v>
      </c>
      <c r="I1609" s="135">
        <v>3844500000</v>
      </c>
    </row>
    <row r="1610" spans="1:9" x14ac:dyDescent="0.2">
      <c r="A1610" s="134">
        <v>45476</v>
      </c>
      <c r="B1610" s="135">
        <f>YEAR(source[[#This Row],[report_date]])</f>
        <v>2024</v>
      </c>
      <c r="C1610" s="136">
        <v>7</v>
      </c>
      <c r="D1610" s="136">
        <f t="shared" si="73"/>
        <v>27</v>
      </c>
      <c r="E1610" s="136">
        <f t="shared" si="74"/>
        <v>3</v>
      </c>
      <c r="F1610" s="128" t="s">
        <v>24</v>
      </c>
      <c r="G1610" s="128" t="str">
        <f>VLOOKUP(source[[#This Row],[lending_product_transform]],[3]Mapping!$B$4:$C$37,2,0)</f>
        <v>[Cake] - Cashloan</v>
      </c>
      <c r="H1610" s="128" t="str">
        <f>VLOOKUP(source[[#This Row],[lending_product_transform]],[3]Mapping!$B$3:$D$37,3,0)</f>
        <v>cashloan</v>
      </c>
      <c r="I1610" s="135">
        <v>10500000</v>
      </c>
    </row>
    <row r="1611" spans="1:9" x14ac:dyDescent="0.2">
      <c r="A1611" s="134">
        <v>45476</v>
      </c>
      <c r="B1611" s="135">
        <f>YEAR(source[[#This Row],[report_date]])</f>
        <v>2024</v>
      </c>
      <c r="C1611" s="136">
        <v>7</v>
      </c>
      <c r="D1611" s="136">
        <f t="shared" si="73"/>
        <v>27</v>
      </c>
      <c r="E1611" s="136">
        <f t="shared" si="74"/>
        <v>3</v>
      </c>
      <c r="F1611" s="128" t="s">
        <v>24</v>
      </c>
      <c r="G1611" s="128" t="str">
        <f>VLOOKUP(source[[#This Row],[lending_product_transform]],[3]Mapping!$B$4:$C$37,2,0)</f>
        <v>[Cake] - Cashloan</v>
      </c>
      <c r="H1611" s="128" t="str">
        <f>VLOOKUP(source[[#This Row],[lending_product_transform]],[3]Mapping!$B$3:$D$37,3,0)</f>
        <v>cashloan</v>
      </c>
      <c r="I1611" s="135">
        <v>0</v>
      </c>
    </row>
    <row r="1612" spans="1:9" x14ac:dyDescent="0.2">
      <c r="A1612" s="134">
        <v>45476</v>
      </c>
      <c r="B1612" s="135">
        <f>YEAR(source[[#This Row],[report_date]])</f>
        <v>2024</v>
      </c>
      <c r="C1612" s="136">
        <v>7</v>
      </c>
      <c r="D1612" s="136">
        <f t="shared" si="73"/>
        <v>27</v>
      </c>
      <c r="E1612" s="136">
        <f t="shared" si="74"/>
        <v>3</v>
      </c>
      <c r="F1612" s="128" t="s">
        <v>24</v>
      </c>
      <c r="G1612" s="128" t="str">
        <f>VLOOKUP(source[[#This Row],[lending_product_transform]],[3]Mapping!$B$4:$C$37,2,0)</f>
        <v>[Cake] - Cashloan</v>
      </c>
      <c r="H1612" s="128" t="str">
        <f>VLOOKUP(source[[#This Row],[lending_product_transform]],[3]Mapping!$B$3:$D$37,3,0)</f>
        <v>cashloan</v>
      </c>
      <c r="I1612" s="135">
        <v>2285220000</v>
      </c>
    </row>
    <row r="1613" spans="1:9" x14ac:dyDescent="0.2">
      <c r="A1613" s="134">
        <v>45476</v>
      </c>
      <c r="B1613" s="135">
        <f>YEAR(source[[#This Row],[report_date]])</f>
        <v>2024</v>
      </c>
      <c r="C1613" s="136">
        <v>7</v>
      </c>
      <c r="D1613" s="136">
        <f t="shared" si="73"/>
        <v>27</v>
      </c>
      <c r="E1613" s="136">
        <f t="shared" si="74"/>
        <v>3</v>
      </c>
      <c r="F1613" s="128" t="s">
        <v>24</v>
      </c>
      <c r="G1613" s="128" t="str">
        <f>VLOOKUP(source[[#This Row],[lending_product_transform]],[3]Mapping!$B$4:$C$37,2,0)</f>
        <v>[Cake] - Cashloan</v>
      </c>
      <c r="H1613" s="128" t="str">
        <f>VLOOKUP(source[[#This Row],[lending_product_transform]],[3]Mapping!$B$3:$D$37,3,0)</f>
        <v>cashloan</v>
      </c>
      <c r="I1613" s="135">
        <v>8190450</v>
      </c>
    </row>
    <row r="1614" spans="1:9" x14ac:dyDescent="0.2">
      <c r="A1614" s="134">
        <v>45476</v>
      </c>
      <c r="B1614" s="135">
        <f>YEAR(source[[#This Row],[report_date]])</f>
        <v>2024</v>
      </c>
      <c r="C1614" s="136">
        <v>7</v>
      </c>
      <c r="D1614" s="136">
        <f t="shared" si="73"/>
        <v>27</v>
      </c>
      <c r="E1614" s="136">
        <f t="shared" si="74"/>
        <v>3</v>
      </c>
      <c r="F1614" s="128" t="s">
        <v>24</v>
      </c>
      <c r="G1614" s="128" t="str">
        <f>VLOOKUP(source[[#This Row],[lending_product_transform]],[3]Mapping!$B$4:$C$37,2,0)</f>
        <v>[Cake] - Cashloan</v>
      </c>
      <c r="H1614" s="128" t="str">
        <f>VLOOKUP(source[[#This Row],[lending_product_transform]],[3]Mapping!$B$3:$D$37,3,0)</f>
        <v>cashloan</v>
      </c>
      <c r="I1614" s="135">
        <v>5393440000</v>
      </c>
    </row>
    <row r="1615" spans="1:9" x14ac:dyDescent="0.2">
      <c r="A1615" s="134">
        <v>45476</v>
      </c>
      <c r="B1615" s="135">
        <f>YEAR(source[[#This Row],[report_date]])</f>
        <v>2024</v>
      </c>
      <c r="C1615" s="136">
        <v>7</v>
      </c>
      <c r="D1615" s="136">
        <f t="shared" si="73"/>
        <v>27</v>
      </c>
      <c r="E1615" s="136">
        <f t="shared" si="74"/>
        <v>3</v>
      </c>
      <c r="F1615" s="128" t="s">
        <v>24</v>
      </c>
      <c r="G1615" s="128" t="str">
        <f>VLOOKUP(source[[#This Row],[lending_product_transform]],[3]Mapping!$B$4:$C$37,2,0)</f>
        <v>[Cake] - Cashloan</v>
      </c>
      <c r="H1615" s="128" t="str">
        <f>VLOOKUP(source[[#This Row],[lending_product_transform]],[3]Mapping!$B$3:$D$37,3,0)</f>
        <v>cashloan</v>
      </c>
      <c r="I1615" s="135">
        <v>1134360000</v>
      </c>
    </row>
    <row r="1616" spans="1:9" x14ac:dyDescent="0.2">
      <c r="A1616" s="134">
        <v>45476</v>
      </c>
      <c r="B1616" s="135">
        <f>YEAR(source[[#This Row],[report_date]])</f>
        <v>2024</v>
      </c>
      <c r="C1616" s="136">
        <v>7</v>
      </c>
      <c r="D1616" s="136">
        <f t="shared" si="73"/>
        <v>27</v>
      </c>
      <c r="E1616" s="136">
        <f t="shared" si="74"/>
        <v>3</v>
      </c>
      <c r="F1616" s="128" t="s">
        <v>24</v>
      </c>
      <c r="G1616" s="128" t="str">
        <f>VLOOKUP(source[[#This Row],[lending_product_transform]],[3]Mapping!$B$4:$C$37,2,0)</f>
        <v>[Cake] - Cashloan</v>
      </c>
      <c r="H1616" s="128" t="str">
        <f>VLOOKUP(source[[#This Row],[lending_product_transform]],[3]Mapping!$B$3:$D$37,3,0)</f>
        <v>cashloan</v>
      </c>
      <c r="I1616" s="135">
        <v>59220000</v>
      </c>
    </row>
    <row r="1617" spans="1:9" x14ac:dyDescent="0.2">
      <c r="A1617" s="134">
        <v>45476</v>
      </c>
      <c r="B1617" s="135">
        <f>YEAR(source[[#This Row],[report_date]])</f>
        <v>2024</v>
      </c>
      <c r="C1617" s="136">
        <v>7</v>
      </c>
      <c r="D1617" s="136">
        <f t="shared" si="73"/>
        <v>27</v>
      </c>
      <c r="E1617" s="136">
        <f t="shared" si="74"/>
        <v>3</v>
      </c>
      <c r="F1617" s="128" t="s">
        <v>24</v>
      </c>
      <c r="G1617" s="128" t="str">
        <f>VLOOKUP(source[[#This Row],[lending_product_transform]],[3]Mapping!$B$4:$C$37,2,0)</f>
        <v>[Cake] - Cashloan</v>
      </c>
      <c r="H1617" s="128" t="str">
        <f>VLOOKUP(source[[#This Row],[lending_product_transform]],[3]Mapping!$B$3:$D$37,3,0)</f>
        <v>cashloan</v>
      </c>
      <c r="I1617" s="135">
        <v>131385786</v>
      </c>
    </row>
    <row r="1618" spans="1:9" x14ac:dyDescent="0.2">
      <c r="A1618" s="134">
        <v>45476</v>
      </c>
      <c r="B1618" s="135">
        <f>YEAR(source[[#This Row],[report_date]])</f>
        <v>2024</v>
      </c>
      <c r="C1618" s="136">
        <v>7</v>
      </c>
      <c r="D1618" s="136">
        <f t="shared" si="73"/>
        <v>27</v>
      </c>
      <c r="E1618" s="136">
        <f t="shared" si="74"/>
        <v>3</v>
      </c>
      <c r="F1618" s="128" t="s">
        <v>24</v>
      </c>
      <c r="G1618" s="128" t="str">
        <f>VLOOKUP(source[[#This Row],[lending_product_transform]],[3]Mapping!$B$4:$C$37,2,0)</f>
        <v>[Cake] - Cashloan</v>
      </c>
      <c r="H1618" s="128" t="str">
        <f>VLOOKUP(source[[#This Row],[lending_product_transform]],[3]Mapping!$B$3:$D$37,3,0)</f>
        <v>cashloan</v>
      </c>
      <c r="I1618" s="135">
        <v>201000000</v>
      </c>
    </row>
    <row r="1619" spans="1:9" x14ac:dyDescent="0.2">
      <c r="A1619" s="134">
        <v>45476</v>
      </c>
      <c r="B1619" s="135">
        <f>YEAR(source[[#This Row],[report_date]])</f>
        <v>2024</v>
      </c>
      <c r="C1619" s="136">
        <v>7</v>
      </c>
      <c r="D1619" s="136">
        <f t="shared" si="73"/>
        <v>27</v>
      </c>
      <c r="E1619" s="136">
        <f t="shared" si="74"/>
        <v>3</v>
      </c>
      <c r="F1619" s="128" t="s">
        <v>24</v>
      </c>
      <c r="G1619" s="128" t="str">
        <f>VLOOKUP(source[[#This Row],[lending_product_transform]],[3]Mapping!$B$4:$C$37,2,0)</f>
        <v>[Cake] - Cashloan</v>
      </c>
      <c r="H1619" s="128" t="str">
        <f>VLOOKUP(source[[#This Row],[lending_product_transform]],[3]Mapping!$B$3:$D$37,3,0)</f>
        <v>cashloan</v>
      </c>
      <c r="I1619" s="135">
        <v>3331904356</v>
      </c>
    </row>
    <row r="1620" spans="1:9" x14ac:dyDescent="0.2">
      <c r="A1620" s="134">
        <v>45477</v>
      </c>
      <c r="B1620" s="135">
        <f>YEAR(source[[#This Row],[report_date]])</f>
        <v>2024</v>
      </c>
      <c r="C1620" s="136">
        <v>7</v>
      </c>
      <c r="D1620" s="136">
        <f t="shared" si="73"/>
        <v>27</v>
      </c>
      <c r="E1620" s="136">
        <f t="shared" si="74"/>
        <v>4</v>
      </c>
      <c r="F1620" s="128" t="s">
        <v>24</v>
      </c>
      <c r="G1620" s="128" t="str">
        <f>VLOOKUP(source[[#This Row],[lending_product_transform]],[3]Mapping!$B$4:$C$37,2,0)</f>
        <v>[Cake] - Cashloan</v>
      </c>
      <c r="H1620" s="128" t="str">
        <f>VLOOKUP(source[[#This Row],[lending_product_transform]],[3]Mapping!$B$3:$D$37,3,0)</f>
        <v>cashloan</v>
      </c>
      <c r="I1620" s="135">
        <v>4805640000</v>
      </c>
    </row>
    <row r="1621" spans="1:9" x14ac:dyDescent="0.2">
      <c r="A1621" s="134">
        <v>45477</v>
      </c>
      <c r="B1621" s="135">
        <f>YEAR(source[[#This Row],[report_date]])</f>
        <v>2024</v>
      </c>
      <c r="C1621" s="136">
        <v>7</v>
      </c>
      <c r="D1621" s="136">
        <f t="shared" si="73"/>
        <v>27</v>
      </c>
      <c r="E1621" s="136">
        <f t="shared" si="74"/>
        <v>4</v>
      </c>
      <c r="F1621" s="128" t="s">
        <v>24</v>
      </c>
      <c r="G1621" s="128" t="str">
        <f>VLOOKUP(source[[#This Row],[lending_product_transform]],[3]Mapping!$B$4:$C$37,2,0)</f>
        <v>[Cake] - Cashloan</v>
      </c>
      <c r="H1621" s="128" t="str">
        <f>VLOOKUP(source[[#This Row],[lending_product_transform]],[3]Mapping!$B$3:$D$37,3,0)</f>
        <v>cashloan</v>
      </c>
      <c r="I1621" s="135">
        <v>3353640000</v>
      </c>
    </row>
    <row r="1622" spans="1:9" x14ac:dyDescent="0.2">
      <c r="A1622" s="134">
        <v>45477</v>
      </c>
      <c r="B1622" s="135">
        <f>YEAR(source[[#This Row],[report_date]])</f>
        <v>2024</v>
      </c>
      <c r="C1622" s="136">
        <v>7</v>
      </c>
      <c r="D1622" s="136">
        <f t="shared" si="73"/>
        <v>27</v>
      </c>
      <c r="E1622" s="136">
        <f t="shared" si="74"/>
        <v>4</v>
      </c>
      <c r="F1622" s="128" t="s">
        <v>24</v>
      </c>
      <c r="G1622" s="128" t="str">
        <f>VLOOKUP(source[[#This Row],[lending_product_transform]],[3]Mapping!$B$4:$C$37,2,0)</f>
        <v>[Cake] - Cashloan</v>
      </c>
      <c r="H1622" s="128" t="str">
        <f>VLOOKUP(source[[#This Row],[lending_product_transform]],[3]Mapping!$B$3:$D$37,3,0)</f>
        <v>cashloan</v>
      </c>
      <c r="I1622" s="135">
        <v>3243000000</v>
      </c>
    </row>
    <row r="1623" spans="1:9" x14ac:dyDescent="0.2">
      <c r="A1623" s="134">
        <v>45477</v>
      </c>
      <c r="B1623" s="135">
        <f>YEAR(source[[#This Row],[report_date]])</f>
        <v>2024</v>
      </c>
      <c r="C1623" s="136">
        <v>7</v>
      </c>
      <c r="D1623" s="136">
        <f t="shared" si="73"/>
        <v>27</v>
      </c>
      <c r="E1623" s="136">
        <f t="shared" si="74"/>
        <v>4</v>
      </c>
      <c r="F1623" s="128" t="s">
        <v>24</v>
      </c>
      <c r="G1623" s="128" t="str">
        <f>VLOOKUP(source[[#This Row],[lending_product_transform]],[3]Mapping!$B$4:$C$37,2,0)</f>
        <v>[Cake] - Cashloan</v>
      </c>
      <c r="H1623" s="128" t="str">
        <f>VLOOKUP(source[[#This Row],[lending_product_transform]],[3]Mapping!$B$3:$D$37,3,0)</f>
        <v>cashloan</v>
      </c>
      <c r="I1623" s="135">
        <v>71400000</v>
      </c>
    </row>
    <row r="1624" spans="1:9" x14ac:dyDescent="0.2">
      <c r="A1624" s="134">
        <v>45477</v>
      </c>
      <c r="B1624" s="135">
        <f>YEAR(source[[#This Row],[report_date]])</f>
        <v>2024</v>
      </c>
      <c r="C1624" s="136">
        <v>7</v>
      </c>
      <c r="D1624" s="136">
        <f t="shared" si="73"/>
        <v>27</v>
      </c>
      <c r="E1624" s="136">
        <f t="shared" si="74"/>
        <v>4</v>
      </c>
      <c r="F1624" s="128" t="s">
        <v>24</v>
      </c>
      <c r="G1624" s="128" t="str">
        <f>VLOOKUP(source[[#This Row],[lending_product_transform]],[3]Mapping!$B$4:$C$37,2,0)</f>
        <v>[Cake] - Cashloan</v>
      </c>
      <c r="H1624" s="128" t="str">
        <f>VLOOKUP(source[[#This Row],[lending_product_transform]],[3]Mapping!$B$3:$D$37,3,0)</f>
        <v>cashloan</v>
      </c>
      <c r="I1624" s="135">
        <v>3117791512</v>
      </c>
    </row>
    <row r="1625" spans="1:9" x14ac:dyDescent="0.2">
      <c r="A1625" s="134">
        <v>45477</v>
      </c>
      <c r="B1625" s="135">
        <f>YEAR(source[[#This Row],[report_date]])</f>
        <v>2024</v>
      </c>
      <c r="C1625" s="136">
        <v>7</v>
      </c>
      <c r="D1625" s="136">
        <f t="shared" si="73"/>
        <v>27</v>
      </c>
      <c r="E1625" s="136">
        <f t="shared" si="74"/>
        <v>4</v>
      </c>
      <c r="F1625" s="128" t="s">
        <v>24</v>
      </c>
      <c r="G1625" s="128" t="str">
        <f>VLOOKUP(source[[#This Row],[lending_product_transform]],[3]Mapping!$B$4:$C$37,2,0)</f>
        <v>[Cake] - Cashloan</v>
      </c>
      <c r="H1625" s="128" t="str">
        <f>VLOOKUP(source[[#This Row],[lending_product_transform]],[3]Mapping!$B$3:$D$37,3,0)</f>
        <v>cashloan</v>
      </c>
      <c r="I1625" s="135">
        <v>228400000</v>
      </c>
    </row>
    <row r="1626" spans="1:9" x14ac:dyDescent="0.2">
      <c r="A1626" s="134">
        <v>45477</v>
      </c>
      <c r="B1626" s="135">
        <f>YEAR(source[[#This Row],[report_date]])</f>
        <v>2024</v>
      </c>
      <c r="C1626" s="136">
        <v>7</v>
      </c>
      <c r="D1626" s="136">
        <f t="shared" si="73"/>
        <v>27</v>
      </c>
      <c r="E1626" s="136">
        <f t="shared" si="74"/>
        <v>4</v>
      </c>
      <c r="F1626" s="128" t="s">
        <v>24</v>
      </c>
      <c r="G1626" s="128" t="str">
        <f>VLOOKUP(source[[#This Row],[lending_product_transform]],[3]Mapping!$B$4:$C$37,2,0)</f>
        <v>[Cake] - Cashloan</v>
      </c>
      <c r="H1626" s="128" t="str">
        <f>VLOOKUP(source[[#This Row],[lending_product_transform]],[3]Mapping!$B$3:$D$37,3,0)</f>
        <v>cashloan</v>
      </c>
      <c r="I1626" s="135">
        <v>17120000</v>
      </c>
    </row>
    <row r="1627" spans="1:9" x14ac:dyDescent="0.2">
      <c r="A1627" s="134">
        <v>45477</v>
      </c>
      <c r="B1627" s="135">
        <f>YEAR(source[[#This Row],[report_date]])</f>
        <v>2024</v>
      </c>
      <c r="C1627" s="136">
        <v>7</v>
      </c>
      <c r="D1627" s="136">
        <f t="shared" si="73"/>
        <v>27</v>
      </c>
      <c r="E1627" s="136">
        <f t="shared" si="74"/>
        <v>4</v>
      </c>
      <c r="F1627" s="128" t="s">
        <v>24</v>
      </c>
      <c r="G1627" s="128" t="str">
        <f>VLOOKUP(source[[#This Row],[lending_product_transform]],[3]Mapping!$B$4:$C$37,2,0)</f>
        <v>[Cake] - Cashloan</v>
      </c>
      <c r="H1627" s="128" t="str">
        <f>VLOOKUP(source[[#This Row],[lending_product_transform]],[3]Mapping!$B$3:$D$37,3,0)</f>
        <v>cashloan</v>
      </c>
      <c r="I1627" s="135">
        <v>9847370</v>
      </c>
    </row>
    <row r="1628" spans="1:9" x14ac:dyDescent="0.2">
      <c r="A1628" s="134">
        <v>45477</v>
      </c>
      <c r="B1628" s="135">
        <f>YEAR(source[[#This Row],[report_date]])</f>
        <v>2024</v>
      </c>
      <c r="C1628" s="136">
        <v>7</v>
      </c>
      <c r="D1628" s="136">
        <f t="shared" si="73"/>
        <v>27</v>
      </c>
      <c r="E1628" s="136">
        <f t="shared" si="74"/>
        <v>4</v>
      </c>
      <c r="F1628" s="128" t="s">
        <v>24</v>
      </c>
      <c r="G1628" s="128" t="str">
        <f>VLOOKUP(source[[#This Row],[lending_product_transform]],[3]Mapping!$B$4:$C$37,2,0)</f>
        <v>[Cake] - Cashloan</v>
      </c>
      <c r="H1628" s="128" t="str">
        <f>VLOOKUP(source[[#This Row],[lending_product_transform]],[3]Mapping!$B$3:$D$37,3,0)</f>
        <v>cashloan</v>
      </c>
      <c r="I1628" s="135">
        <v>584220000</v>
      </c>
    </row>
    <row r="1629" spans="1:9" x14ac:dyDescent="0.2">
      <c r="A1629" s="134">
        <v>45477</v>
      </c>
      <c r="B1629" s="135">
        <f>YEAR(source[[#This Row],[report_date]])</f>
        <v>2024</v>
      </c>
      <c r="C1629" s="136">
        <v>7</v>
      </c>
      <c r="D1629" s="136">
        <f t="shared" si="73"/>
        <v>27</v>
      </c>
      <c r="E1629" s="136">
        <f t="shared" si="74"/>
        <v>4</v>
      </c>
      <c r="F1629" s="128" t="s">
        <v>24</v>
      </c>
      <c r="G1629" s="128" t="str">
        <f>VLOOKUP(source[[#This Row],[lending_product_transform]],[3]Mapping!$B$4:$C$37,2,0)</f>
        <v>[Cake] - Cashloan</v>
      </c>
      <c r="H1629" s="128" t="str">
        <f>VLOOKUP(source[[#This Row],[lending_product_transform]],[3]Mapping!$B$3:$D$37,3,0)</f>
        <v>cashloan</v>
      </c>
      <c r="I1629" s="135">
        <v>25000000</v>
      </c>
    </row>
    <row r="1630" spans="1:9" x14ac:dyDescent="0.2">
      <c r="A1630" s="134">
        <v>45477</v>
      </c>
      <c r="B1630" s="135">
        <f>YEAR(source[[#This Row],[report_date]])</f>
        <v>2024</v>
      </c>
      <c r="C1630" s="136">
        <v>7</v>
      </c>
      <c r="D1630" s="136">
        <f t="shared" si="73"/>
        <v>27</v>
      </c>
      <c r="E1630" s="136">
        <f t="shared" si="74"/>
        <v>4</v>
      </c>
      <c r="F1630" s="128" t="s">
        <v>24</v>
      </c>
      <c r="G1630" s="128" t="str">
        <f>VLOOKUP(source[[#This Row],[lending_product_transform]],[3]Mapping!$B$4:$C$37,2,0)</f>
        <v>[Cake] - Cashloan</v>
      </c>
      <c r="H1630" s="128" t="str">
        <f>VLOOKUP(source[[#This Row],[lending_product_transform]],[3]Mapping!$B$3:$D$37,3,0)</f>
        <v>cashloan</v>
      </c>
      <c r="I1630" s="135">
        <v>154844263</v>
      </c>
    </row>
    <row r="1631" spans="1:9" x14ac:dyDescent="0.2">
      <c r="A1631" s="134">
        <v>45477</v>
      </c>
      <c r="B1631" s="135">
        <f>YEAR(source[[#This Row],[report_date]])</f>
        <v>2024</v>
      </c>
      <c r="C1631" s="136">
        <v>7</v>
      </c>
      <c r="D1631" s="136">
        <f t="shared" si="73"/>
        <v>27</v>
      </c>
      <c r="E1631" s="136">
        <f t="shared" si="74"/>
        <v>4</v>
      </c>
      <c r="F1631" s="128" t="s">
        <v>24</v>
      </c>
      <c r="G1631" s="128" t="str">
        <f>VLOOKUP(source[[#This Row],[lending_product_transform]],[3]Mapping!$B$4:$C$37,2,0)</f>
        <v>[Cake] - Cashloan</v>
      </c>
      <c r="H1631" s="128" t="str">
        <f>VLOOKUP(source[[#This Row],[lending_product_transform]],[3]Mapping!$B$3:$D$37,3,0)</f>
        <v>cashloan</v>
      </c>
      <c r="I1631" s="135">
        <v>56660000</v>
      </c>
    </row>
    <row r="1632" spans="1:9" x14ac:dyDescent="0.2">
      <c r="A1632" s="134">
        <v>45478</v>
      </c>
      <c r="B1632" s="135">
        <f>YEAR(source[[#This Row],[report_date]])</f>
        <v>2024</v>
      </c>
      <c r="C1632" s="136">
        <v>7</v>
      </c>
      <c r="D1632" s="136">
        <f t="shared" si="73"/>
        <v>27</v>
      </c>
      <c r="E1632" s="136">
        <f t="shared" si="74"/>
        <v>5</v>
      </c>
      <c r="F1632" s="128" t="s">
        <v>24</v>
      </c>
      <c r="G1632" s="128" t="str">
        <f>VLOOKUP(source[[#This Row],[lending_product_transform]],[3]Mapping!$B$4:$C$37,2,0)</f>
        <v>[Cake] - Cashloan</v>
      </c>
      <c r="H1632" s="128" t="str">
        <f>VLOOKUP(source[[#This Row],[lending_product_transform]],[3]Mapping!$B$3:$D$37,3,0)</f>
        <v>cashloan</v>
      </c>
      <c r="I1632" s="135">
        <v>3788810482</v>
      </c>
    </row>
    <row r="1633" spans="1:9" x14ac:dyDescent="0.2">
      <c r="A1633" s="134">
        <v>45478</v>
      </c>
      <c r="B1633" s="135">
        <f>YEAR(source[[#This Row],[report_date]])</f>
        <v>2024</v>
      </c>
      <c r="C1633" s="136">
        <v>7</v>
      </c>
      <c r="D1633" s="136">
        <f t="shared" si="73"/>
        <v>27</v>
      </c>
      <c r="E1633" s="136">
        <f t="shared" si="74"/>
        <v>5</v>
      </c>
      <c r="F1633" s="128" t="s">
        <v>24</v>
      </c>
      <c r="G1633" s="128" t="str">
        <f>VLOOKUP(source[[#This Row],[lending_product_transform]],[3]Mapping!$B$4:$C$37,2,0)</f>
        <v>[Cake] - Cashloan</v>
      </c>
      <c r="H1633" s="128" t="str">
        <f>VLOOKUP(source[[#This Row],[lending_product_transform]],[3]Mapping!$B$3:$D$37,3,0)</f>
        <v>cashloan</v>
      </c>
      <c r="I1633" s="135">
        <v>173250000</v>
      </c>
    </row>
    <row r="1634" spans="1:9" x14ac:dyDescent="0.2">
      <c r="A1634" s="134">
        <v>45478</v>
      </c>
      <c r="B1634" s="135">
        <f>YEAR(source[[#This Row],[report_date]])</f>
        <v>2024</v>
      </c>
      <c r="C1634" s="136">
        <v>7</v>
      </c>
      <c r="D1634" s="136">
        <f t="shared" si="73"/>
        <v>27</v>
      </c>
      <c r="E1634" s="136">
        <f t="shared" si="74"/>
        <v>5</v>
      </c>
      <c r="F1634" s="128" t="s">
        <v>24</v>
      </c>
      <c r="G1634" s="128" t="str">
        <f>VLOOKUP(source[[#This Row],[lending_product_transform]],[3]Mapping!$B$4:$C$37,2,0)</f>
        <v>[Cake] - Cashloan</v>
      </c>
      <c r="H1634" s="128" t="str">
        <f>VLOOKUP(source[[#This Row],[lending_product_transform]],[3]Mapping!$B$3:$D$37,3,0)</f>
        <v>cashloan</v>
      </c>
      <c r="I1634" s="135">
        <v>96950000</v>
      </c>
    </row>
    <row r="1635" spans="1:9" x14ac:dyDescent="0.2">
      <c r="A1635" s="134">
        <v>45478</v>
      </c>
      <c r="B1635" s="135">
        <f>YEAR(source[[#This Row],[report_date]])</f>
        <v>2024</v>
      </c>
      <c r="C1635" s="136">
        <v>7</v>
      </c>
      <c r="D1635" s="136">
        <f t="shared" si="73"/>
        <v>27</v>
      </c>
      <c r="E1635" s="136">
        <f t="shared" si="74"/>
        <v>5</v>
      </c>
      <c r="F1635" s="128" t="s">
        <v>24</v>
      </c>
      <c r="G1635" s="128" t="str">
        <f>VLOOKUP(source[[#This Row],[lending_product_transform]],[3]Mapping!$B$4:$C$37,2,0)</f>
        <v>[Cake] - Cashloan</v>
      </c>
      <c r="H1635" s="128" t="str">
        <f>VLOOKUP(source[[#This Row],[lending_product_transform]],[3]Mapping!$B$3:$D$37,3,0)</f>
        <v>cashloan</v>
      </c>
      <c r="I1635" s="135">
        <v>42000000</v>
      </c>
    </row>
    <row r="1636" spans="1:9" x14ac:dyDescent="0.2">
      <c r="A1636" s="134">
        <v>45478</v>
      </c>
      <c r="B1636" s="135">
        <f>YEAR(source[[#This Row],[report_date]])</f>
        <v>2024</v>
      </c>
      <c r="C1636" s="136">
        <v>7</v>
      </c>
      <c r="D1636" s="136">
        <f t="shared" si="73"/>
        <v>27</v>
      </c>
      <c r="E1636" s="136">
        <f t="shared" si="74"/>
        <v>5</v>
      </c>
      <c r="F1636" s="128" t="s">
        <v>24</v>
      </c>
      <c r="G1636" s="128" t="str">
        <f>VLOOKUP(source[[#This Row],[lending_product_transform]],[3]Mapping!$B$4:$C$37,2,0)</f>
        <v>[Cake] - Cashloan</v>
      </c>
      <c r="H1636" s="128" t="str">
        <f>VLOOKUP(source[[#This Row],[lending_product_transform]],[3]Mapping!$B$3:$D$37,3,0)</f>
        <v>cashloan</v>
      </c>
      <c r="I1636" s="135">
        <v>5769270000</v>
      </c>
    </row>
    <row r="1637" spans="1:9" x14ac:dyDescent="0.2">
      <c r="A1637" s="134">
        <v>45478</v>
      </c>
      <c r="B1637" s="135">
        <f>YEAR(source[[#This Row],[report_date]])</f>
        <v>2024</v>
      </c>
      <c r="C1637" s="136">
        <v>7</v>
      </c>
      <c r="D1637" s="136">
        <f t="shared" si="73"/>
        <v>27</v>
      </c>
      <c r="E1637" s="136">
        <f t="shared" si="74"/>
        <v>5</v>
      </c>
      <c r="F1637" s="128" t="s">
        <v>24</v>
      </c>
      <c r="G1637" s="128" t="str">
        <f>VLOOKUP(source[[#This Row],[lending_product_transform]],[3]Mapping!$B$4:$C$37,2,0)</f>
        <v>[Cake] - Cashloan</v>
      </c>
      <c r="H1637" s="128" t="str">
        <f>VLOOKUP(source[[#This Row],[lending_product_transform]],[3]Mapping!$B$3:$D$37,3,0)</f>
        <v>cashloan</v>
      </c>
      <c r="I1637" s="135">
        <v>27000000</v>
      </c>
    </row>
    <row r="1638" spans="1:9" x14ac:dyDescent="0.2">
      <c r="A1638" s="134">
        <v>45478</v>
      </c>
      <c r="B1638" s="135">
        <f>YEAR(source[[#This Row],[report_date]])</f>
        <v>2024</v>
      </c>
      <c r="C1638" s="136">
        <v>7</v>
      </c>
      <c r="D1638" s="136">
        <f t="shared" si="73"/>
        <v>27</v>
      </c>
      <c r="E1638" s="136">
        <f t="shared" si="74"/>
        <v>5</v>
      </c>
      <c r="F1638" s="128" t="s">
        <v>24</v>
      </c>
      <c r="G1638" s="128" t="str">
        <f>VLOOKUP(source[[#This Row],[lending_product_transform]],[3]Mapping!$B$4:$C$37,2,0)</f>
        <v>[Cake] - Cashloan</v>
      </c>
      <c r="H1638" s="128" t="str">
        <f>VLOOKUP(source[[#This Row],[lending_product_transform]],[3]Mapping!$B$3:$D$37,3,0)</f>
        <v>cashloan</v>
      </c>
      <c r="I1638" s="135">
        <v>7723180000</v>
      </c>
    </row>
    <row r="1639" spans="1:9" x14ac:dyDescent="0.2">
      <c r="A1639" s="134">
        <v>45478</v>
      </c>
      <c r="B1639" s="135">
        <f>YEAR(source[[#This Row],[report_date]])</f>
        <v>2024</v>
      </c>
      <c r="C1639" s="136">
        <v>7</v>
      </c>
      <c r="D1639" s="136">
        <f t="shared" si="73"/>
        <v>27</v>
      </c>
      <c r="E1639" s="136">
        <f t="shared" si="74"/>
        <v>5</v>
      </c>
      <c r="F1639" s="128" t="s">
        <v>24</v>
      </c>
      <c r="G1639" s="128" t="str">
        <f>VLOOKUP(source[[#This Row],[lending_product_transform]],[3]Mapping!$B$4:$C$37,2,0)</f>
        <v>[Cake] - Cashloan</v>
      </c>
      <c r="H1639" s="128" t="str">
        <f>VLOOKUP(source[[#This Row],[lending_product_transform]],[3]Mapping!$B$3:$D$37,3,0)</f>
        <v>cashloan</v>
      </c>
      <c r="I1639" s="135">
        <v>11874890</v>
      </c>
    </row>
    <row r="1640" spans="1:9" x14ac:dyDescent="0.2">
      <c r="A1640" s="134">
        <v>45478</v>
      </c>
      <c r="B1640" s="135">
        <f>YEAR(source[[#This Row],[report_date]])</f>
        <v>2024</v>
      </c>
      <c r="C1640" s="136">
        <v>7</v>
      </c>
      <c r="D1640" s="136">
        <f t="shared" si="73"/>
        <v>27</v>
      </c>
      <c r="E1640" s="136">
        <f t="shared" si="74"/>
        <v>5</v>
      </c>
      <c r="F1640" s="128" t="s">
        <v>24</v>
      </c>
      <c r="G1640" s="128" t="str">
        <f>VLOOKUP(source[[#This Row],[lending_product_transform]],[3]Mapping!$B$4:$C$37,2,0)</f>
        <v>[Cake] - Cashloan</v>
      </c>
      <c r="H1640" s="128" t="str">
        <f>VLOOKUP(source[[#This Row],[lending_product_transform]],[3]Mapping!$B$3:$D$37,3,0)</f>
        <v>cashloan</v>
      </c>
      <c r="I1640" s="135">
        <v>1555780000</v>
      </c>
    </row>
    <row r="1641" spans="1:9" x14ac:dyDescent="0.2">
      <c r="A1641" s="134">
        <v>45478</v>
      </c>
      <c r="B1641" s="135">
        <f>YEAR(source[[#This Row],[report_date]])</f>
        <v>2024</v>
      </c>
      <c r="C1641" s="136">
        <v>7</v>
      </c>
      <c r="D1641" s="136">
        <f t="shared" si="73"/>
        <v>27</v>
      </c>
      <c r="E1641" s="136">
        <f t="shared" si="74"/>
        <v>5</v>
      </c>
      <c r="F1641" s="128" t="s">
        <v>24</v>
      </c>
      <c r="G1641" s="128" t="str">
        <f>VLOOKUP(source[[#This Row],[lending_product_transform]],[3]Mapping!$B$4:$C$37,2,0)</f>
        <v>[Cake] - Cashloan</v>
      </c>
      <c r="H1641" s="128" t="str">
        <f>VLOOKUP(source[[#This Row],[lending_product_transform]],[3]Mapping!$B$3:$D$37,3,0)</f>
        <v>cashloan</v>
      </c>
      <c r="I1641" s="135">
        <v>195000265</v>
      </c>
    </row>
    <row r="1642" spans="1:9" x14ac:dyDescent="0.2">
      <c r="A1642" s="134">
        <v>45478</v>
      </c>
      <c r="B1642" s="135">
        <f>YEAR(source[[#This Row],[report_date]])</f>
        <v>2024</v>
      </c>
      <c r="C1642" s="136">
        <v>7</v>
      </c>
      <c r="D1642" s="136">
        <f t="shared" si="73"/>
        <v>27</v>
      </c>
      <c r="E1642" s="136">
        <f t="shared" si="74"/>
        <v>5</v>
      </c>
      <c r="F1642" s="128" t="s">
        <v>24</v>
      </c>
      <c r="G1642" s="128" t="str">
        <f>VLOOKUP(source[[#This Row],[lending_product_transform]],[3]Mapping!$B$4:$C$37,2,0)</f>
        <v>[Cake] - Cashloan</v>
      </c>
      <c r="H1642" s="128" t="str">
        <f>VLOOKUP(source[[#This Row],[lending_product_transform]],[3]Mapping!$B$3:$D$37,3,0)</f>
        <v>cashloan</v>
      </c>
      <c r="I1642" s="135">
        <v>17120000</v>
      </c>
    </row>
    <row r="1643" spans="1:9" x14ac:dyDescent="0.2">
      <c r="A1643" s="134">
        <v>45478</v>
      </c>
      <c r="B1643" s="135">
        <f>YEAR(source[[#This Row],[report_date]])</f>
        <v>2024</v>
      </c>
      <c r="C1643" s="136">
        <v>7</v>
      </c>
      <c r="D1643" s="136">
        <f t="shared" si="73"/>
        <v>27</v>
      </c>
      <c r="E1643" s="136">
        <f t="shared" si="74"/>
        <v>5</v>
      </c>
      <c r="F1643" s="128" t="s">
        <v>24</v>
      </c>
      <c r="G1643" s="128" t="str">
        <f>VLOOKUP(source[[#This Row],[lending_product_transform]],[3]Mapping!$B$4:$C$37,2,0)</f>
        <v>[Cake] - Cashloan</v>
      </c>
      <c r="H1643" s="128" t="str">
        <f>VLOOKUP(source[[#This Row],[lending_product_transform]],[3]Mapping!$B$3:$D$37,3,0)</f>
        <v>cashloan</v>
      </c>
      <c r="I1643" s="135">
        <v>4600000000</v>
      </c>
    </row>
    <row r="1644" spans="1:9" x14ac:dyDescent="0.2">
      <c r="A1644" s="134">
        <v>45479</v>
      </c>
      <c r="B1644" s="135">
        <f>YEAR(source[[#This Row],[report_date]])</f>
        <v>2024</v>
      </c>
      <c r="C1644" s="136">
        <v>7</v>
      </c>
      <c r="D1644" s="136">
        <f t="shared" si="73"/>
        <v>27</v>
      </c>
      <c r="E1644" s="136">
        <f t="shared" si="74"/>
        <v>6</v>
      </c>
      <c r="F1644" s="128" t="s">
        <v>24</v>
      </c>
      <c r="G1644" s="128" t="str">
        <f>VLOOKUP(source[[#This Row],[lending_product_transform]],[3]Mapping!$B$4:$C$37,2,0)</f>
        <v>[Cake] - Cashloan</v>
      </c>
      <c r="H1644" s="128" t="str">
        <f>VLOOKUP(source[[#This Row],[lending_product_transform]],[3]Mapping!$B$3:$D$37,3,0)</f>
        <v>cashloan</v>
      </c>
      <c r="I1644" s="135">
        <v>3822500000</v>
      </c>
    </row>
    <row r="1645" spans="1:9" x14ac:dyDescent="0.2">
      <c r="A1645" s="134">
        <v>45479</v>
      </c>
      <c r="B1645" s="135">
        <f>YEAR(source[[#This Row],[report_date]])</f>
        <v>2024</v>
      </c>
      <c r="C1645" s="136">
        <v>7</v>
      </c>
      <c r="D1645" s="136">
        <f t="shared" si="73"/>
        <v>27</v>
      </c>
      <c r="E1645" s="136">
        <f t="shared" si="74"/>
        <v>6</v>
      </c>
      <c r="F1645" s="128" t="s">
        <v>24</v>
      </c>
      <c r="G1645" s="128" t="str">
        <f>VLOOKUP(source[[#This Row],[lending_product_transform]],[3]Mapping!$B$4:$C$37,2,0)</f>
        <v>[Cake] - Cashloan</v>
      </c>
      <c r="H1645" s="128" t="str">
        <f>VLOOKUP(source[[#This Row],[lending_product_transform]],[3]Mapping!$B$3:$D$37,3,0)</f>
        <v>cashloan</v>
      </c>
      <c r="I1645" s="135">
        <v>4380180000</v>
      </c>
    </row>
    <row r="1646" spans="1:9" x14ac:dyDescent="0.2">
      <c r="A1646" s="134">
        <v>45479</v>
      </c>
      <c r="B1646" s="135">
        <f>YEAR(source[[#This Row],[report_date]])</f>
        <v>2024</v>
      </c>
      <c r="C1646" s="136">
        <v>7</v>
      </c>
      <c r="D1646" s="136">
        <f t="shared" si="73"/>
        <v>27</v>
      </c>
      <c r="E1646" s="136">
        <f t="shared" si="74"/>
        <v>6</v>
      </c>
      <c r="F1646" s="128" t="s">
        <v>24</v>
      </c>
      <c r="G1646" s="128" t="str">
        <f>VLOOKUP(source[[#This Row],[lending_product_transform]],[3]Mapping!$B$4:$C$37,2,0)</f>
        <v>[Cake] - Cashloan</v>
      </c>
      <c r="H1646" s="128" t="str">
        <f>VLOOKUP(source[[#This Row],[lending_product_transform]],[3]Mapping!$B$3:$D$37,3,0)</f>
        <v>cashloan</v>
      </c>
      <c r="I1646" s="135">
        <v>2235724225</v>
      </c>
    </row>
    <row r="1647" spans="1:9" x14ac:dyDescent="0.2">
      <c r="A1647" s="134">
        <v>45479</v>
      </c>
      <c r="B1647" s="135">
        <f>YEAR(source[[#This Row],[report_date]])</f>
        <v>2024</v>
      </c>
      <c r="C1647" s="136">
        <v>7</v>
      </c>
      <c r="D1647" s="136">
        <f t="shared" si="73"/>
        <v>27</v>
      </c>
      <c r="E1647" s="136">
        <f t="shared" si="74"/>
        <v>6</v>
      </c>
      <c r="F1647" s="128" t="s">
        <v>24</v>
      </c>
      <c r="G1647" s="128" t="str">
        <f>VLOOKUP(source[[#This Row],[lending_product_transform]],[3]Mapping!$B$4:$C$37,2,0)</f>
        <v>[Cake] - Cashloan</v>
      </c>
      <c r="H1647" s="128" t="str">
        <f>VLOOKUP(source[[#This Row],[lending_product_transform]],[3]Mapping!$B$3:$D$37,3,0)</f>
        <v>cashloan</v>
      </c>
      <c r="I1647" s="135">
        <v>1701670000</v>
      </c>
    </row>
    <row r="1648" spans="1:9" x14ac:dyDescent="0.2">
      <c r="A1648" s="134">
        <v>45479</v>
      </c>
      <c r="B1648" s="135">
        <f>YEAR(source[[#This Row],[report_date]])</f>
        <v>2024</v>
      </c>
      <c r="C1648" s="136">
        <v>7</v>
      </c>
      <c r="D1648" s="136">
        <f t="shared" si="73"/>
        <v>27</v>
      </c>
      <c r="E1648" s="136">
        <f t="shared" si="74"/>
        <v>6</v>
      </c>
      <c r="F1648" s="128" t="s">
        <v>24</v>
      </c>
      <c r="G1648" s="128" t="str">
        <f>VLOOKUP(source[[#This Row],[lending_product_transform]],[3]Mapping!$B$4:$C$37,2,0)</f>
        <v>[Cake] - Cashloan</v>
      </c>
      <c r="H1648" s="128" t="str">
        <f>VLOOKUP(source[[#This Row],[lending_product_transform]],[3]Mapping!$B$3:$D$37,3,0)</f>
        <v>cashloan</v>
      </c>
      <c r="I1648" s="135">
        <v>109200000</v>
      </c>
    </row>
    <row r="1649" spans="1:9" x14ac:dyDescent="0.2">
      <c r="A1649" s="134">
        <v>45479</v>
      </c>
      <c r="B1649" s="135">
        <f>YEAR(source[[#This Row],[report_date]])</f>
        <v>2024</v>
      </c>
      <c r="C1649" s="136">
        <v>7</v>
      </c>
      <c r="D1649" s="136">
        <f t="shared" si="73"/>
        <v>27</v>
      </c>
      <c r="E1649" s="136">
        <f t="shared" si="74"/>
        <v>6</v>
      </c>
      <c r="F1649" s="128" t="s">
        <v>24</v>
      </c>
      <c r="G1649" s="128" t="str">
        <f>VLOOKUP(source[[#This Row],[lending_product_transform]],[3]Mapping!$B$4:$C$37,2,0)</f>
        <v>[Cake] - Cashloan</v>
      </c>
      <c r="H1649" s="128" t="str">
        <f>VLOOKUP(source[[#This Row],[lending_product_transform]],[3]Mapping!$B$3:$D$37,3,0)</f>
        <v>cashloan</v>
      </c>
      <c r="I1649" s="135">
        <v>159139090</v>
      </c>
    </row>
    <row r="1650" spans="1:9" x14ac:dyDescent="0.2">
      <c r="A1650" s="134">
        <v>45479</v>
      </c>
      <c r="B1650" s="135">
        <f>YEAR(source[[#This Row],[report_date]])</f>
        <v>2024</v>
      </c>
      <c r="C1650" s="136">
        <v>7</v>
      </c>
      <c r="D1650" s="136">
        <f t="shared" si="73"/>
        <v>27</v>
      </c>
      <c r="E1650" s="136">
        <f t="shared" si="74"/>
        <v>6</v>
      </c>
      <c r="F1650" s="128" t="s">
        <v>24</v>
      </c>
      <c r="G1650" s="128" t="str">
        <f>VLOOKUP(source[[#This Row],[lending_product_transform]],[3]Mapping!$B$4:$C$37,2,0)</f>
        <v>[Cake] - Cashloan</v>
      </c>
      <c r="H1650" s="128" t="str">
        <f>VLOOKUP(source[[#This Row],[lending_product_transform]],[3]Mapping!$B$3:$D$37,3,0)</f>
        <v>cashloan</v>
      </c>
      <c r="I1650" s="135">
        <v>49220000</v>
      </c>
    </row>
    <row r="1651" spans="1:9" x14ac:dyDescent="0.2">
      <c r="A1651" s="134">
        <v>45479</v>
      </c>
      <c r="B1651" s="135">
        <f>YEAR(source[[#This Row],[report_date]])</f>
        <v>2024</v>
      </c>
      <c r="C1651" s="136">
        <v>7</v>
      </c>
      <c r="D1651" s="136">
        <f t="shared" si="73"/>
        <v>27</v>
      </c>
      <c r="E1651" s="136">
        <f t="shared" si="74"/>
        <v>6</v>
      </c>
      <c r="F1651" s="128" t="s">
        <v>24</v>
      </c>
      <c r="G1651" s="128" t="str">
        <f>VLOOKUP(source[[#This Row],[lending_product_transform]],[3]Mapping!$B$4:$C$37,2,0)</f>
        <v>[Cake] - Cashloan</v>
      </c>
      <c r="H1651" s="128" t="str">
        <f>VLOOKUP(source[[#This Row],[lending_product_transform]],[3]Mapping!$B$3:$D$37,3,0)</f>
        <v>cashloan</v>
      </c>
      <c r="I1651" s="135">
        <v>33600000</v>
      </c>
    </row>
    <row r="1652" spans="1:9" x14ac:dyDescent="0.2">
      <c r="A1652" s="134">
        <v>45479</v>
      </c>
      <c r="B1652" s="135">
        <f>YEAR(source[[#This Row],[report_date]])</f>
        <v>2024</v>
      </c>
      <c r="C1652" s="136">
        <v>7</v>
      </c>
      <c r="D1652" s="136">
        <f t="shared" si="73"/>
        <v>27</v>
      </c>
      <c r="E1652" s="136">
        <f t="shared" si="74"/>
        <v>6</v>
      </c>
      <c r="F1652" s="128" t="s">
        <v>24</v>
      </c>
      <c r="G1652" s="128" t="str">
        <f>VLOOKUP(source[[#This Row],[lending_product_transform]],[3]Mapping!$B$4:$C$37,2,0)</f>
        <v>[Cake] - Cashloan</v>
      </c>
      <c r="H1652" s="128" t="str">
        <f>VLOOKUP(source[[#This Row],[lending_product_transform]],[3]Mapping!$B$3:$D$37,3,0)</f>
        <v>cashloan</v>
      </c>
      <c r="I1652" s="135">
        <v>6972950000</v>
      </c>
    </row>
    <row r="1653" spans="1:9" x14ac:dyDescent="0.2">
      <c r="A1653" s="134">
        <v>45479</v>
      </c>
      <c r="B1653" s="135">
        <f>YEAR(source[[#This Row],[report_date]])</f>
        <v>2024</v>
      </c>
      <c r="C1653" s="136">
        <v>7</v>
      </c>
      <c r="D1653" s="136">
        <f t="shared" si="73"/>
        <v>27</v>
      </c>
      <c r="E1653" s="136">
        <f t="shared" si="74"/>
        <v>6</v>
      </c>
      <c r="F1653" s="128" t="s">
        <v>24</v>
      </c>
      <c r="G1653" s="128" t="str">
        <f>VLOOKUP(source[[#This Row],[lending_product_transform]],[3]Mapping!$B$4:$C$37,2,0)</f>
        <v>[Cake] - Cashloan</v>
      </c>
      <c r="H1653" s="128" t="str">
        <f>VLOOKUP(source[[#This Row],[lending_product_transform]],[3]Mapping!$B$3:$D$37,3,0)</f>
        <v>cashloan</v>
      </c>
      <c r="I1653" s="135">
        <v>51000000</v>
      </c>
    </row>
    <row r="1654" spans="1:9" x14ac:dyDescent="0.2">
      <c r="A1654" s="134">
        <v>45479</v>
      </c>
      <c r="B1654" s="135">
        <f>YEAR(source[[#This Row],[report_date]])</f>
        <v>2024</v>
      </c>
      <c r="C1654" s="136">
        <v>7</v>
      </c>
      <c r="D1654" s="136">
        <f t="shared" si="73"/>
        <v>27</v>
      </c>
      <c r="E1654" s="136">
        <f t="shared" si="74"/>
        <v>6</v>
      </c>
      <c r="F1654" s="128" t="s">
        <v>24</v>
      </c>
      <c r="G1654" s="128" t="str">
        <f>VLOOKUP(source[[#This Row],[lending_product_transform]],[3]Mapping!$B$4:$C$37,2,0)</f>
        <v>[Cake] - Cashloan</v>
      </c>
      <c r="H1654" s="128" t="str">
        <f>VLOOKUP(source[[#This Row],[lending_product_transform]],[3]Mapping!$B$3:$D$37,3,0)</f>
        <v>cashloan</v>
      </c>
      <c r="I1654" s="135">
        <v>0</v>
      </c>
    </row>
    <row r="1655" spans="1:9" x14ac:dyDescent="0.2">
      <c r="A1655" s="134">
        <v>45479</v>
      </c>
      <c r="B1655" s="135">
        <f>YEAR(source[[#This Row],[report_date]])</f>
        <v>2024</v>
      </c>
      <c r="C1655" s="136">
        <v>7</v>
      </c>
      <c r="D1655" s="136">
        <f t="shared" si="73"/>
        <v>27</v>
      </c>
      <c r="E1655" s="136">
        <f t="shared" si="74"/>
        <v>6</v>
      </c>
      <c r="F1655" s="128" t="s">
        <v>24</v>
      </c>
      <c r="G1655" s="128" t="str">
        <f>VLOOKUP(source[[#This Row],[lending_product_transform]],[3]Mapping!$B$4:$C$37,2,0)</f>
        <v>[Cake] - Cashloan</v>
      </c>
      <c r="H1655" s="128" t="str">
        <f>VLOOKUP(source[[#This Row],[lending_product_transform]],[3]Mapping!$B$3:$D$37,3,0)</f>
        <v>cashloan</v>
      </c>
      <c r="I1655" s="135">
        <v>9143900</v>
      </c>
    </row>
    <row r="1656" spans="1:9" x14ac:dyDescent="0.2">
      <c r="A1656" s="134">
        <v>45480</v>
      </c>
      <c r="B1656" s="135">
        <f>YEAR(source[[#This Row],[report_date]])</f>
        <v>2024</v>
      </c>
      <c r="C1656" s="136">
        <v>7</v>
      </c>
      <c r="D1656" s="136">
        <f t="shared" si="73"/>
        <v>27</v>
      </c>
      <c r="E1656" s="136">
        <f t="shared" si="74"/>
        <v>7</v>
      </c>
      <c r="F1656" s="128" t="s">
        <v>24</v>
      </c>
      <c r="G1656" s="128" t="str">
        <f>VLOOKUP(source[[#This Row],[lending_product_transform]],[3]Mapping!$B$4:$C$37,2,0)</f>
        <v>[Cake] - Cashloan</v>
      </c>
      <c r="H1656" s="128" t="str">
        <f>VLOOKUP(source[[#This Row],[lending_product_transform]],[3]Mapping!$B$3:$D$37,3,0)</f>
        <v>cashloan</v>
      </c>
      <c r="I1656" s="135">
        <v>76270000</v>
      </c>
    </row>
    <row r="1657" spans="1:9" x14ac:dyDescent="0.2">
      <c r="A1657" s="134">
        <v>45480</v>
      </c>
      <c r="B1657" s="135">
        <f>YEAR(source[[#This Row],[report_date]])</f>
        <v>2024</v>
      </c>
      <c r="C1657" s="136">
        <v>7</v>
      </c>
      <c r="D1657" s="136">
        <f t="shared" si="73"/>
        <v>27</v>
      </c>
      <c r="E1657" s="136">
        <f t="shared" si="74"/>
        <v>7</v>
      </c>
      <c r="F1657" s="128" t="s">
        <v>24</v>
      </c>
      <c r="G1657" s="128" t="str">
        <f>VLOOKUP(source[[#This Row],[lending_product_transform]],[3]Mapping!$B$4:$C$37,2,0)</f>
        <v>[Cake] - Cashloan</v>
      </c>
      <c r="H1657" s="128" t="str">
        <f>VLOOKUP(source[[#This Row],[lending_product_transform]],[3]Mapping!$B$3:$D$37,3,0)</f>
        <v>cashloan</v>
      </c>
      <c r="I1657" s="135">
        <v>42000000</v>
      </c>
    </row>
    <row r="1658" spans="1:9" x14ac:dyDescent="0.2">
      <c r="A1658" s="134">
        <v>45480</v>
      </c>
      <c r="B1658" s="135">
        <f>YEAR(source[[#This Row],[report_date]])</f>
        <v>2024</v>
      </c>
      <c r="C1658" s="136">
        <v>7</v>
      </c>
      <c r="D1658" s="136">
        <f t="shared" si="73"/>
        <v>27</v>
      </c>
      <c r="E1658" s="136">
        <f t="shared" si="74"/>
        <v>7</v>
      </c>
      <c r="F1658" s="128" t="s">
        <v>24</v>
      </c>
      <c r="G1658" s="128" t="str">
        <f>VLOOKUP(source[[#This Row],[lending_product_transform]],[3]Mapping!$B$4:$C$37,2,0)</f>
        <v>[Cake] - Cashloan</v>
      </c>
      <c r="H1658" s="128" t="str">
        <f>VLOOKUP(source[[#This Row],[lending_product_transform]],[3]Mapping!$B$3:$D$37,3,0)</f>
        <v>cashloan</v>
      </c>
      <c r="I1658" s="135">
        <v>3717210000</v>
      </c>
    </row>
    <row r="1659" spans="1:9" x14ac:dyDescent="0.2">
      <c r="A1659" s="134">
        <v>45480</v>
      </c>
      <c r="B1659" s="135">
        <f>YEAR(source[[#This Row],[report_date]])</f>
        <v>2024</v>
      </c>
      <c r="C1659" s="136">
        <v>7</v>
      </c>
      <c r="D1659" s="136">
        <f t="shared" si="73"/>
        <v>27</v>
      </c>
      <c r="E1659" s="136">
        <f t="shared" si="74"/>
        <v>7</v>
      </c>
      <c r="F1659" s="128" t="s">
        <v>24</v>
      </c>
      <c r="G1659" s="128" t="str">
        <f>VLOOKUP(source[[#This Row],[lending_product_transform]],[3]Mapping!$B$4:$C$37,2,0)</f>
        <v>[Cake] - Cashloan</v>
      </c>
      <c r="H1659" s="128" t="str">
        <f>VLOOKUP(source[[#This Row],[lending_product_transform]],[3]Mapping!$B$3:$D$37,3,0)</f>
        <v>cashloan</v>
      </c>
      <c r="I1659" s="135">
        <v>0</v>
      </c>
    </row>
    <row r="1660" spans="1:9" x14ac:dyDescent="0.2">
      <c r="A1660" s="134">
        <v>45480</v>
      </c>
      <c r="B1660" s="135">
        <f>YEAR(source[[#This Row],[report_date]])</f>
        <v>2024</v>
      </c>
      <c r="C1660" s="136">
        <v>7</v>
      </c>
      <c r="D1660" s="136">
        <f t="shared" si="73"/>
        <v>27</v>
      </c>
      <c r="E1660" s="136">
        <f t="shared" si="74"/>
        <v>7</v>
      </c>
      <c r="F1660" s="128" t="s">
        <v>24</v>
      </c>
      <c r="G1660" s="128" t="str">
        <f>VLOOKUP(source[[#This Row],[lending_product_transform]],[3]Mapping!$B$4:$C$37,2,0)</f>
        <v>[Cake] - Cashloan</v>
      </c>
      <c r="H1660" s="128" t="str">
        <f>VLOOKUP(source[[#This Row],[lending_product_transform]],[3]Mapping!$B$3:$D$37,3,0)</f>
        <v>cashloan</v>
      </c>
      <c r="I1660" s="135">
        <v>176850000</v>
      </c>
    </row>
    <row r="1661" spans="1:9" x14ac:dyDescent="0.2">
      <c r="A1661" s="134">
        <v>45480</v>
      </c>
      <c r="B1661" s="135">
        <f>YEAR(source[[#This Row],[report_date]])</f>
        <v>2024</v>
      </c>
      <c r="C1661" s="136">
        <v>7</v>
      </c>
      <c r="D1661" s="136">
        <f t="shared" si="73"/>
        <v>27</v>
      </c>
      <c r="E1661" s="136">
        <f t="shared" si="74"/>
        <v>7</v>
      </c>
      <c r="F1661" s="128" t="s">
        <v>24</v>
      </c>
      <c r="G1661" s="128" t="str">
        <f>VLOOKUP(source[[#This Row],[lending_product_transform]],[3]Mapping!$B$4:$C$37,2,0)</f>
        <v>[Cake] - Cashloan</v>
      </c>
      <c r="H1661" s="128" t="str">
        <f>VLOOKUP(source[[#This Row],[lending_product_transform]],[3]Mapping!$B$3:$D$37,3,0)</f>
        <v>cashloan</v>
      </c>
      <c r="I1661" s="135">
        <v>10519900</v>
      </c>
    </row>
    <row r="1662" spans="1:9" x14ac:dyDescent="0.2">
      <c r="A1662" s="134">
        <v>45480</v>
      </c>
      <c r="B1662" s="135">
        <f>YEAR(source[[#This Row],[report_date]])</f>
        <v>2024</v>
      </c>
      <c r="C1662" s="136">
        <v>7</v>
      </c>
      <c r="D1662" s="136">
        <f t="shared" si="73"/>
        <v>27</v>
      </c>
      <c r="E1662" s="136">
        <f t="shared" si="74"/>
        <v>7</v>
      </c>
      <c r="F1662" s="128" t="s">
        <v>24</v>
      </c>
      <c r="G1662" s="128" t="str">
        <f>VLOOKUP(source[[#This Row],[lending_product_transform]],[3]Mapping!$B$4:$C$37,2,0)</f>
        <v>[Cake] - Cashloan</v>
      </c>
      <c r="H1662" s="128" t="str">
        <f>VLOOKUP(source[[#This Row],[lending_product_transform]],[3]Mapping!$B$3:$D$37,3,0)</f>
        <v>cashloan</v>
      </c>
      <c r="I1662" s="135">
        <v>6081390000</v>
      </c>
    </row>
    <row r="1663" spans="1:9" x14ac:dyDescent="0.2">
      <c r="A1663" s="134">
        <v>45480</v>
      </c>
      <c r="B1663" s="135">
        <f>YEAR(source[[#This Row],[report_date]])</f>
        <v>2024</v>
      </c>
      <c r="C1663" s="136">
        <v>7</v>
      </c>
      <c r="D1663" s="136">
        <f t="shared" si="73"/>
        <v>27</v>
      </c>
      <c r="E1663" s="136">
        <f t="shared" si="74"/>
        <v>7</v>
      </c>
      <c r="F1663" s="128" t="s">
        <v>24</v>
      </c>
      <c r="G1663" s="128" t="str">
        <f>VLOOKUP(source[[#This Row],[lending_product_transform]],[3]Mapping!$B$4:$C$37,2,0)</f>
        <v>[Cake] - Cashloan</v>
      </c>
      <c r="H1663" s="128" t="str">
        <f>VLOOKUP(source[[#This Row],[lending_product_transform]],[3]Mapping!$B$3:$D$37,3,0)</f>
        <v>cashloan</v>
      </c>
      <c r="I1663" s="135">
        <v>3382000000</v>
      </c>
    </row>
    <row r="1664" spans="1:9" x14ac:dyDescent="0.2">
      <c r="A1664" s="134">
        <v>45480</v>
      </c>
      <c r="B1664" s="135">
        <f>YEAR(source[[#This Row],[report_date]])</f>
        <v>2024</v>
      </c>
      <c r="C1664" s="136">
        <v>7</v>
      </c>
      <c r="D1664" s="136">
        <f t="shared" si="73"/>
        <v>27</v>
      </c>
      <c r="E1664" s="136">
        <f t="shared" si="74"/>
        <v>7</v>
      </c>
      <c r="F1664" s="128" t="s">
        <v>24</v>
      </c>
      <c r="G1664" s="128" t="str">
        <f>VLOOKUP(source[[#This Row],[lending_product_transform]],[3]Mapping!$B$4:$C$37,2,0)</f>
        <v>[Cake] - Cashloan</v>
      </c>
      <c r="H1664" s="128" t="str">
        <f>VLOOKUP(source[[#This Row],[lending_product_transform]],[3]Mapping!$B$3:$D$37,3,0)</f>
        <v>cashloan</v>
      </c>
      <c r="I1664" s="135">
        <v>2077816418</v>
      </c>
    </row>
    <row r="1665" spans="1:9" x14ac:dyDescent="0.2">
      <c r="A1665" s="134">
        <v>45480</v>
      </c>
      <c r="B1665" s="135">
        <f>YEAR(source[[#This Row],[report_date]])</f>
        <v>2024</v>
      </c>
      <c r="C1665" s="136">
        <v>7</v>
      </c>
      <c r="D1665" s="136">
        <f t="shared" si="73"/>
        <v>27</v>
      </c>
      <c r="E1665" s="136">
        <f t="shared" si="74"/>
        <v>7</v>
      </c>
      <c r="F1665" s="128" t="s">
        <v>24</v>
      </c>
      <c r="G1665" s="128" t="str">
        <f>VLOOKUP(source[[#This Row],[lending_product_transform]],[3]Mapping!$B$4:$C$37,2,0)</f>
        <v>[Cake] - Cashloan</v>
      </c>
      <c r="H1665" s="128" t="str">
        <f>VLOOKUP(source[[#This Row],[lending_product_transform]],[3]Mapping!$B$3:$D$37,3,0)</f>
        <v>cashloan</v>
      </c>
      <c r="I1665" s="135">
        <v>134465072</v>
      </c>
    </row>
    <row r="1666" spans="1:9" x14ac:dyDescent="0.2">
      <c r="A1666" s="134">
        <v>45480</v>
      </c>
      <c r="B1666" s="135">
        <f>YEAR(source[[#This Row],[report_date]])</f>
        <v>2024</v>
      </c>
      <c r="C1666" s="136">
        <v>7</v>
      </c>
      <c r="D1666" s="136">
        <f t="shared" si="73"/>
        <v>27</v>
      </c>
      <c r="E1666" s="136">
        <f t="shared" si="74"/>
        <v>7</v>
      </c>
      <c r="F1666" s="128" t="s">
        <v>24</v>
      </c>
      <c r="G1666" s="128" t="str">
        <f>VLOOKUP(source[[#This Row],[lending_product_transform]],[3]Mapping!$B$4:$C$37,2,0)</f>
        <v>[Cake] - Cashloan</v>
      </c>
      <c r="H1666" s="128" t="str">
        <f>VLOOKUP(source[[#This Row],[lending_product_transform]],[3]Mapping!$B$3:$D$37,3,0)</f>
        <v>cashloan</v>
      </c>
      <c r="I1666" s="135">
        <v>62000000</v>
      </c>
    </row>
    <row r="1667" spans="1:9" x14ac:dyDescent="0.2">
      <c r="A1667" s="134">
        <v>45480</v>
      </c>
      <c r="B1667" s="135">
        <f>YEAR(source[[#This Row],[report_date]])</f>
        <v>2024</v>
      </c>
      <c r="C1667" s="136">
        <v>7</v>
      </c>
      <c r="D1667" s="136">
        <f t="shared" ref="D1667:D1730" si="75">WEEKNUM(A1667,2)</f>
        <v>27</v>
      </c>
      <c r="E1667" s="136">
        <f t="shared" ref="E1667:E1730" si="76">DAY(A1667)</f>
        <v>7</v>
      </c>
      <c r="F1667" s="128" t="s">
        <v>24</v>
      </c>
      <c r="G1667" s="128" t="str">
        <f>VLOOKUP(source[[#This Row],[lending_product_transform]],[3]Mapping!$B$4:$C$37,2,0)</f>
        <v>[Cake] - Cashloan</v>
      </c>
      <c r="H1667" s="128" t="str">
        <f>VLOOKUP(source[[#This Row],[lending_product_transform]],[3]Mapping!$B$3:$D$37,3,0)</f>
        <v>cashloan</v>
      </c>
      <c r="I1667" s="135">
        <v>289970000</v>
      </c>
    </row>
    <row r="1668" spans="1:9" x14ac:dyDescent="0.2">
      <c r="A1668" s="134">
        <v>45481</v>
      </c>
      <c r="B1668" s="135">
        <f>YEAR(source[[#This Row],[report_date]])</f>
        <v>2024</v>
      </c>
      <c r="C1668" s="136">
        <v>7</v>
      </c>
      <c r="D1668" s="136">
        <f t="shared" si="75"/>
        <v>28</v>
      </c>
      <c r="E1668" s="136">
        <f t="shared" si="76"/>
        <v>8</v>
      </c>
      <c r="F1668" s="128" t="s">
        <v>24</v>
      </c>
      <c r="G1668" s="128" t="str">
        <f>VLOOKUP(source[[#This Row],[lending_product_transform]],[3]Mapping!$B$4:$C$37,2,0)</f>
        <v>[Cake] - Cashloan</v>
      </c>
      <c r="H1668" s="128" t="str">
        <f>VLOOKUP(source[[#This Row],[lending_product_transform]],[3]Mapping!$B$3:$D$37,3,0)</f>
        <v>cashloan</v>
      </c>
      <c r="I1668" s="135">
        <v>1762520000</v>
      </c>
    </row>
    <row r="1669" spans="1:9" x14ac:dyDescent="0.2">
      <c r="A1669" s="134">
        <v>45481</v>
      </c>
      <c r="B1669" s="135">
        <f>YEAR(source[[#This Row],[report_date]])</f>
        <v>2024</v>
      </c>
      <c r="C1669" s="136">
        <v>7</v>
      </c>
      <c r="D1669" s="136">
        <f t="shared" si="75"/>
        <v>28</v>
      </c>
      <c r="E1669" s="136">
        <f t="shared" si="76"/>
        <v>8</v>
      </c>
      <c r="F1669" s="128" t="s">
        <v>24</v>
      </c>
      <c r="G1669" s="128" t="str">
        <f>VLOOKUP(source[[#This Row],[lending_product_transform]],[3]Mapping!$B$4:$C$37,2,0)</f>
        <v>[Cake] - Cashloan</v>
      </c>
      <c r="H1669" s="128" t="str">
        <f>VLOOKUP(source[[#This Row],[lending_product_transform]],[3]Mapping!$B$3:$D$37,3,0)</f>
        <v>cashloan</v>
      </c>
      <c r="I1669" s="135">
        <v>3926500000</v>
      </c>
    </row>
    <row r="1670" spans="1:9" x14ac:dyDescent="0.2">
      <c r="A1670" s="134">
        <v>45481</v>
      </c>
      <c r="B1670" s="135">
        <f>YEAR(source[[#This Row],[report_date]])</f>
        <v>2024</v>
      </c>
      <c r="C1670" s="136">
        <v>7</v>
      </c>
      <c r="D1670" s="136">
        <f t="shared" si="75"/>
        <v>28</v>
      </c>
      <c r="E1670" s="136">
        <f t="shared" si="76"/>
        <v>8</v>
      </c>
      <c r="F1670" s="128" t="s">
        <v>24</v>
      </c>
      <c r="G1670" s="128" t="str">
        <f>VLOOKUP(source[[#This Row],[lending_product_transform]],[3]Mapping!$B$4:$C$37,2,0)</f>
        <v>[Cake] - Cashloan</v>
      </c>
      <c r="H1670" s="128" t="str">
        <f>VLOOKUP(source[[#This Row],[lending_product_transform]],[3]Mapping!$B$3:$D$37,3,0)</f>
        <v>cashloan</v>
      </c>
      <c r="I1670" s="135">
        <v>10015750</v>
      </c>
    </row>
    <row r="1671" spans="1:9" x14ac:dyDescent="0.2">
      <c r="A1671" s="134">
        <v>45481</v>
      </c>
      <c r="B1671" s="135">
        <f>YEAR(source[[#This Row],[report_date]])</f>
        <v>2024</v>
      </c>
      <c r="C1671" s="136">
        <v>7</v>
      </c>
      <c r="D1671" s="136">
        <f t="shared" si="75"/>
        <v>28</v>
      </c>
      <c r="E1671" s="136">
        <f t="shared" si="76"/>
        <v>8</v>
      </c>
      <c r="F1671" s="128" t="s">
        <v>24</v>
      </c>
      <c r="G1671" s="128" t="str">
        <f>VLOOKUP(source[[#This Row],[lending_product_transform]],[3]Mapping!$B$4:$C$37,2,0)</f>
        <v>[Cake] - Cashloan</v>
      </c>
      <c r="H1671" s="128" t="str">
        <f>VLOOKUP(source[[#This Row],[lending_product_transform]],[3]Mapping!$B$3:$D$37,3,0)</f>
        <v>cashloan</v>
      </c>
      <c r="I1671" s="135">
        <v>51500000</v>
      </c>
    </row>
    <row r="1672" spans="1:9" x14ac:dyDescent="0.2">
      <c r="A1672" s="134">
        <v>45481</v>
      </c>
      <c r="B1672" s="135">
        <f>YEAR(source[[#This Row],[report_date]])</f>
        <v>2024</v>
      </c>
      <c r="C1672" s="136">
        <v>7</v>
      </c>
      <c r="D1672" s="136">
        <f t="shared" si="75"/>
        <v>28</v>
      </c>
      <c r="E1672" s="136">
        <f t="shared" si="76"/>
        <v>8</v>
      </c>
      <c r="F1672" s="128" t="s">
        <v>24</v>
      </c>
      <c r="G1672" s="128" t="str">
        <f>VLOOKUP(source[[#This Row],[lending_product_transform]],[3]Mapping!$B$4:$C$37,2,0)</f>
        <v>[Cake] - Cashloan</v>
      </c>
      <c r="H1672" s="128" t="str">
        <f>VLOOKUP(source[[#This Row],[lending_product_transform]],[3]Mapping!$B$3:$D$37,3,0)</f>
        <v>cashloan</v>
      </c>
      <c r="I1672" s="135">
        <v>23000000</v>
      </c>
    </row>
    <row r="1673" spans="1:9" x14ac:dyDescent="0.2">
      <c r="A1673" s="134">
        <v>45481</v>
      </c>
      <c r="B1673" s="135">
        <f>YEAR(source[[#This Row],[report_date]])</f>
        <v>2024</v>
      </c>
      <c r="C1673" s="136">
        <v>7</v>
      </c>
      <c r="D1673" s="136">
        <f t="shared" si="75"/>
        <v>28</v>
      </c>
      <c r="E1673" s="136">
        <f t="shared" si="76"/>
        <v>8</v>
      </c>
      <c r="F1673" s="128" t="s">
        <v>24</v>
      </c>
      <c r="G1673" s="128" t="str">
        <f>VLOOKUP(source[[#This Row],[lending_product_transform]],[3]Mapping!$B$4:$C$37,2,0)</f>
        <v>[Cake] - Cashloan</v>
      </c>
      <c r="H1673" s="128" t="str">
        <f>VLOOKUP(source[[#This Row],[lending_product_transform]],[3]Mapping!$B$3:$D$37,3,0)</f>
        <v>cashloan</v>
      </c>
      <c r="I1673" s="135">
        <v>4945610000</v>
      </c>
    </row>
    <row r="1674" spans="1:9" x14ac:dyDescent="0.2">
      <c r="A1674" s="134">
        <v>45481</v>
      </c>
      <c r="B1674" s="135">
        <f>YEAR(source[[#This Row],[report_date]])</f>
        <v>2024</v>
      </c>
      <c r="C1674" s="136">
        <v>7</v>
      </c>
      <c r="D1674" s="136">
        <f t="shared" si="75"/>
        <v>28</v>
      </c>
      <c r="E1674" s="136">
        <f t="shared" si="76"/>
        <v>8</v>
      </c>
      <c r="F1674" s="128" t="s">
        <v>24</v>
      </c>
      <c r="G1674" s="128" t="str">
        <f>VLOOKUP(source[[#This Row],[lending_product_transform]],[3]Mapping!$B$4:$C$37,2,0)</f>
        <v>[Cake] - Cashloan</v>
      </c>
      <c r="H1674" s="128" t="str">
        <f>VLOOKUP(source[[#This Row],[lending_product_transform]],[3]Mapping!$B$3:$D$37,3,0)</f>
        <v>cashloan</v>
      </c>
      <c r="I1674" s="135">
        <v>3903700000</v>
      </c>
    </row>
    <row r="1675" spans="1:9" x14ac:dyDescent="0.2">
      <c r="A1675" s="134">
        <v>45481</v>
      </c>
      <c r="B1675" s="135">
        <f>YEAR(source[[#This Row],[report_date]])</f>
        <v>2024</v>
      </c>
      <c r="C1675" s="128">
        <v>7</v>
      </c>
      <c r="D1675" s="136">
        <f t="shared" si="75"/>
        <v>28</v>
      </c>
      <c r="E1675" s="136">
        <f t="shared" si="76"/>
        <v>8</v>
      </c>
      <c r="F1675" s="128" t="s">
        <v>24</v>
      </c>
      <c r="G1675" s="128" t="str">
        <f>VLOOKUP(source[[#This Row],[lending_product_transform]],[3]Mapping!$B$4:$C$37,2,0)</f>
        <v>[Cake] - Cashloan</v>
      </c>
      <c r="H1675" s="128" t="str">
        <f>VLOOKUP(source[[#This Row],[lending_product_transform]],[3]Mapping!$B$3:$D$37,3,0)</f>
        <v>cashloan</v>
      </c>
      <c r="I1675" s="135">
        <v>187800000</v>
      </c>
    </row>
    <row r="1676" spans="1:9" x14ac:dyDescent="0.2">
      <c r="A1676" s="134">
        <v>45481</v>
      </c>
      <c r="B1676" s="135">
        <f>YEAR(source[[#This Row],[report_date]])</f>
        <v>2024</v>
      </c>
      <c r="C1676" s="128">
        <v>7</v>
      </c>
      <c r="D1676" s="136">
        <f t="shared" si="75"/>
        <v>28</v>
      </c>
      <c r="E1676" s="136">
        <f t="shared" si="76"/>
        <v>8</v>
      </c>
      <c r="F1676" s="128" t="s">
        <v>24</v>
      </c>
      <c r="G1676" s="128" t="str">
        <f>VLOOKUP(source[[#This Row],[lending_product_transform]],[3]Mapping!$B$4:$C$37,2,0)</f>
        <v>[Cake] - Cashloan</v>
      </c>
      <c r="H1676" s="128" t="str">
        <f>VLOOKUP(source[[#This Row],[lending_product_transform]],[3]Mapping!$B$3:$D$37,3,0)</f>
        <v>cashloan</v>
      </c>
      <c r="I1676" s="135">
        <v>0</v>
      </c>
    </row>
    <row r="1677" spans="1:9" x14ac:dyDescent="0.2">
      <c r="A1677" s="134">
        <v>45481</v>
      </c>
      <c r="B1677" s="135">
        <f>YEAR(source[[#This Row],[report_date]])</f>
        <v>2024</v>
      </c>
      <c r="C1677" s="128">
        <v>7</v>
      </c>
      <c r="D1677" s="136">
        <f t="shared" si="75"/>
        <v>28</v>
      </c>
      <c r="E1677" s="136">
        <f t="shared" si="76"/>
        <v>8</v>
      </c>
      <c r="F1677" s="128" t="s">
        <v>24</v>
      </c>
      <c r="G1677" s="128" t="str">
        <f>VLOOKUP(source[[#This Row],[lending_product_transform]],[3]Mapping!$B$4:$C$37,2,0)</f>
        <v>[Cake] - Cashloan</v>
      </c>
      <c r="H1677" s="128" t="str">
        <f>VLOOKUP(source[[#This Row],[lending_product_transform]],[3]Mapping!$B$3:$D$37,3,0)</f>
        <v>cashloan</v>
      </c>
      <c r="I1677" s="135">
        <v>2818127396</v>
      </c>
    </row>
    <row r="1678" spans="1:9" x14ac:dyDescent="0.2">
      <c r="A1678" s="134">
        <v>45481</v>
      </c>
      <c r="B1678" s="135">
        <f>YEAR(source[[#This Row],[report_date]])</f>
        <v>2024</v>
      </c>
      <c r="C1678" s="128">
        <v>7</v>
      </c>
      <c r="D1678" s="136">
        <f t="shared" si="75"/>
        <v>28</v>
      </c>
      <c r="E1678" s="136">
        <f t="shared" si="76"/>
        <v>8</v>
      </c>
      <c r="F1678" s="128" t="s">
        <v>24</v>
      </c>
      <c r="G1678" s="128" t="str">
        <f>VLOOKUP(source[[#This Row],[lending_product_transform]],[3]Mapping!$B$4:$C$37,2,0)</f>
        <v>[Cake] - Cashloan</v>
      </c>
      <c r="H1678" s="128" t="str">
        <f>VLOOKUP(source[[#This Row],[lending_product_transform]],[3]Mapping!$B$3:$D$37,3,0)</f>
        <v>cashloan</v>
      </c>
      <c r="I1678" s="135">
        <v>85780000</v>
      </c>
    </row>
    <row r="1679" spans="1:9" x14ac:dyDescent="0.2">
      <c r="A1679" s="134">
        <v>45481</v>
      </c>
      <c r="B1679" s="135">
        <f>YEAR(source[[#This Row],[report_date]])</f>
        <v>2024</v>
      </c>
      <c r="C1679" s="128">
        <v>7</v>
      </c>
      <c r="D1679" s="136">
        <f t="shared" si="75"/>
        <v>28</v>
      </c>
      <c r="E1679" s="136">
        <f t="shared" si="76"/>
        <v>8</v>
      </c>
      <c r="F1679" s="128" t="s">
        <v>24</v>
      </c>
      <c r="G1679" s="128" t="str">
        <f>VLOOKUP(source[[#This Row],[lending_product_transform]],[3]Mapping!$B$4:$C$37,2,0)</f>
        <v>[Cake] - Cashloan</v>
      </c>
      <c r="H1679" s="128" t="str">
        <f>VLOOKUP(source[[#This Row],[lending_product_transform]],[3]Mapping!$B$3:$D$37,3,0)</f>
        <v>cashloan</v>
      </c>
      <c r="I1679" s="135">
        <v>143221238</v>
      </c>
    </row>
    <row r="1680" spans="1:9" x14ac:dyDescent="0.2">
      <c r="A1680" s="134">
        <v>45482</v>
      </c>
      <c r="B1680" s="135">
        <f>YEAR(source[[#This Row],[report_date]])</f>
        <v>2024</v>
      </c>
      <c r="C1680" s="128">
        <v>7</v>
      </c>
      <c r="D1680" s="136">
        <f t="shared" si="75"/>
        <v>28</v>
      </c>
      <c r="E1680" s="136">
        <f t="shared" si="76"/>
        <v>9</v>
      </c>
      <c r="F1680" s="128" t="s">
        <v>24</v>
      </c>
      <c r="G1680" s="128" t="str">
        <f>VLOOKUP(source[[#This Row],[lending_product_transform]],[3]Mapping!$B$4:$C$37,2,0)</f>
        <v>[Cake] - Cashloan</v>
      </c>
      <c r="H1680" s="128" t="str">
        <f>VLOOKUP(source[[#This Row],[lending_product_transform]],[3]Mapping!$B$3:$D$37,3,0)</f>
        <v>cashloan</v>
      </c>
      <c r="I1680" s="135">
        <v>12674650</v>
      </c>
    </row>
    <row r="1681" spans="1:9" x14ac:dyDescent="0.2">
      <c r="A1681" s="134">
        <v>45482</v>
      </c>
      <c r="B1681" s="135">
        <f>YEAR(source[[#This Row],[report_date]])</f>
        <v>2024</v>
      </c>
      <c r="C1681" s="128">
        <v>7</v>
      </c>
      <c r="D1681" s="136">
        <f t="shared" si="75"/>
        <v>28</v>
      </c>
      <c r="E1681" s="136">
        <f t="shared" si="76"/>
        <v>9</v>
      </c>
      <c r="F1681" s="128" t="s">
        <v>24</v>
      </c>
      <c r="G1681" s="128" t="str">
        <f>VLOOKUP(source[[#This Row],[lending_product_transform]],[3]Mapping!$B$4:$C$37,2,0)</f>
        <v>[Cake] - Cashloan</v>
      </c>
      <c r="H1681" s="128" t="str">
        <f>VLOOKUP(source[[#This Row],[lending_product_transform]],[3]Mapping!$B$3:$D$37,3,0)</f>
        <v>cashloan</v>
      </c>
      <c r="I1681" s="135">
        <v>67080000</v>
      </c>
    </row>
    <row r="1682" spans="1:9" x14ac:dyDescent="0.2">
      <c r="A1682" s="134">
        <v>45482</v>
      </c>
      <c r="B1682" s="135">
        <f>YEAR(source[[#This Row],[report_date]])</f>
        <v>2024</v>
      </c>
      <c r="C1682" s="128">
        <v>7</v>
      </c>
      <c r="D1682" s="136">
        <f t="shared" si="75"/>
        <v>28</v>
      </c>
      <c r="E1682" s="136">
        <f t="shared" si="76"/>
        <v>9</v>
      </c>
      <c r="F1682" s="128" t="s">
        <v>24</v>
      </c>
      <c r="G1682" s="128" t="str">
        <f>VLOOKUP(source[[#This Row],[lending_product_transform]],[3]Mapping!$B$4:$C$37,2,0)</f>
        <v>[Cake] - Cashloan</v>
      </c>
      <c r="H1682" s="128" t="str">
        <f>VLOOKUP(source[[#This Row],[lending_product_transform]],[3]Mapping!$B$3:$D$37,3,0)</f>
        <v>cashloan</v>
      </c>
      <c r="I1682" s="135">
        <v>10500000</v>
      </c>
    </row>
    <row r="1683" spans="1:9" x14ac:dyDescent="0.2">
      <c r="A1683" s="134">
        <v>45482</v>
      </c>
      <c r="B1683" s="135">
        <f>YEAR(source[[#This Row],[report_date]])</f>
        <v>2024</v>
      </c>
      <c r="C1683" s="128">
        <v>7</v>
      </c>
      <c r="D1683" s="136">
        <f t="shared" si="75"/>
        <v>28</v>
      </c>
      <c r="E1683" s="136">
        <f t="shared" si="76"/>
        <v>9</v>
      </c>
      <c r="F1683" s="128" t="s">
        <v>24</v>
      </c>
      <c r="G1683" s="128" t="str">
        <f>VLOOKUP(source[[#This Row],[lending_product_transform]],[3]Mapping!$B$4:$C$37,2,0)</f>
        <v>[Cake] - Cashloan</v>
      </c>
      <c r="H1683" s="128" t="str">
        <f>VLOOKUP(source[[#This Row],[lending_product_transform]],[3]Mapping!$B$3:$D$37,3,0)</f>
        <v>cashloan</v>
      </c>
      <c r="I1683" s="135">
        <v>207950000</v>
      </c>
    </row>
    <row r="1684" spans="1:9" x14ac:dyDescent="0.2">
      <c r="A1684" s="134">
        <v>45482</v>
      </c>
      <c r="B1684" s="135">
        <f>YEAR(source[[#This Row],[report_date]])</f>
        <v>2024</v>
      </c>
      <c r="C1684" s="128">
        <v>7</v>
      </c>
      <c r="D1684" s="136">
        <f t="shared" si="75"/>
        <v>28</v>
      </c>
      <c r="E1684" s="136">
        <f t="shared" si="76"/>
        <v>9</v>
      </c>
      <c r="F1684" s="128" t="s">
        <v>24</v>
      </c>
      <c r="G1684" s="128" t="str">
        <f>VLOOKUP(source[[#This Row],[lending_product_transform]],[3]Mapping!$B$4:$C$37,2,0)</f>
        <v>[Cake] - Cashloan</v>
      </c>
      <c r="H1684" s="128" t="str">
        <f>VLOOKUP(source[[#This Row],[lending_product_transform]],[3]Mapping!$B$3:$D$37,3,0)</f>
        <v>cashloan</v>
      </c>
      <c r="I1684" s="135">
        <v>3888090000</v>
      </c>
    </row>
    <row r="1685" spans="1:9" x14ac:dyDescent="0.2">
      <c r="A1685" s="134">
        <v>45482</v>
      </c>
      <c r="B1685" s="135">
        <f>YEAR(source[[#This Row],[report_date]])</f>
        <v>2024</v>
      </c>
      <c r="C1685" s="128">
        <v>7</v>
      </c>
      <c r="D1685" s="136">
        <f t="shared" si="75"/>
        <v>28</v>
      </c>
      <c r="E1685" s="136">
        <f t="shared" si="76"/>
        <v>9</v>
      </c>
      <c r="F1685" s="128" t="s">
        <v>24</v>
      </c>
      <c r="G1685" s="128" t="str">
        <f>VLOOKUP(source[[#This Row],[lending_product_transform]],[3]Mapping!$B$4:$C$37,2,0)</f>
        <v>[Cake] - Cashloan</v>
      </c>
      <c r="H1685" s="128" t="str">
        <f>VLOOKUP(source[[#This Row],[lending_product_transform]],[3]Mapping!$B$3:$D$37,3,0)</f>
        <v>cashloan</v>
      </c>
      <c r="I1685" s="135">
        <v>1590360000</v>
      </c>
    </row>
    <row r="1686" spans="1:9" x14ac:dyDescent="0.2">
      <c r="A1686" s="134">
        <v>45482</v>
      </c>
      <c r="B1686" s="135">
        <f>YEAR(source[[#This Row],[report_date]])</f>
        <v>2024</v>
      </c>
      <c r="C1686" s="128">
        <v>7</v>
      </c>
      <c r="D1686" s="136">
        <f t="shared" si="75"/>
        <v>28</v>
      </c>
      <c r="E1686" s="136">
        <f t="shared" si="76"/>
        <v>9</v>
      </c>
      <c r="F1686" s="128" t="s">
        <v>24</v>
      </c>
      <c r="G1686" s="128" t="str">
        <f>VLOOKUP(source[[#This Row],[lending_product_transform]],[3]Mapping!$B$4:$C$37,2,0)</f>
        <v>[Cake] - Cashloan</v>
      </c>
      <c r="H1686" s="128" t="str">
        <f>VLOOKUP(source[[#This Row],[lending_product_transform]],[3]Mapping!$B$3:$D$37,3,0)</f>
        <v>cashloan</v>
      </c>
      <c r="I1686" s="135">
        <v>181957213</v>
      </c>
    </row>
    <row r="1687" spans="1:9" x14ac:dyDescent="0.2">
      <c r="A1687" s="134">
        <v>45482</v>
      </c>
      <c r="B1687" s="135">
        <f>YEAR(source[[#This Row],[report_date]])</f>
        <v>2024</v>
      </c>
      <c r="C1687" s="128">
        <v>7</v>
      </c>
      <c r="D1687" s="136">
        <f t="shared" si="75"/>
        <v>28</v>
      </c>
      <c r="E1687" s="136">
        <f t="shared" si="76"/>
        <v>9</v>
      </c>
      <c r="F1687" s="128" t="s">
        <v>24</v>
      </c>
      <c r="G1687" s="128" t="str">
        <f>VLOOKUP(source[[#This Row],[lending_product_transform]],[3]Mapping!$B$4:$C$37,2,0)</f>
        <v>[Cake] - Cashloan</v>
      </c>
      <c r="H1687" s="128" t="str">
        <f>VLOOKUP(source[[#This Row],[lending_product_transform]],[3]Mapping!$B$3:$D$37,3,0)</f>
        <v>cashloan</v>
      </c>
      <c r="I1687" s="135">
        <v>2569048590</v>
      </c>
    </row>
    <row r="1688" spans="1:9" x14ac:dyDescent="0.2">
      <c r="A1688" s="134">
        <v>45482</v>
      </c>
      <c r="B1688" s="135">
        <f>YEAR(source[[#This Row],[report_date]])</f>
        <v>2024</v>
      </c>
      <c r="C1688" s="128">
        <v>7</v>
      </c>
      <c r="D1688" s="136">
        <f t="shared" si="75"/>
        <v>28</v>
      </c>
      <c r="E1688" s="136">
        <f t="shared" si="76"/>
        <v>9</v>
      </c>
      <c r="F1688" s="128" t="s">
        <v>24</v>
      </c>
      <c r="G1688" s="128" t="str">
        <f>VLOOKUP(source[[#This Row],[lending_product_transform]],[3]Mapping!$B$4:$C$37,2,0)</f>
        <v>[Cake] - Cashloan</v>
      </c>
      <c r="H1688" s="128" t="str">
        <f>VLOOKUP(source[[#This Row],[lending_product_transform]],[3]Mapping!$B$3:$D$37,3,0)</f>
        <v>cashloan</v>
      </c>
      <c r="I1688" s="135">
        <v>6477740000</v>
      </c>
    </row>
    <row r="1689" spans="1:9" x14ac:dyDescent="0.2">
      <c r="A1689" s="134">
        <v>45482</v>
      </c>
      <c r="B1689" s="135">
        <f>YEAR(source[[#This Row],[report_date]])</f>
        <v>2024</v>
      </c>
      <c r="C1689" s="128">
        <v>7</v>
      </c>
      <c r="D1689" s="136">
        <f t="shared" si="75"/>
        <v>28</v>
      </c>
      <c r="E1689" s="136">
        <f t="shared" si="76"/>
        <v>9</v>
      </c>
      <c r="F1689" s="128" t="s">
        <v>24</v>
      </c>
      <c r="G1689" s="128" t="str">
        <f>VLOOKUP(source[[#This Row],[lending_product_transform]],[3]Mapping!$B$4:$C$37,2,0)</f>
        <v>[Cake] - Cashloan</v>
      </c>
      <c r="H1689" s="128" t="str">
        <f>VLOOKUP(source[[#This Row],[lending_product_transform]],[3]Mapping!$B$3:$D$37,3,0)</f>
        <v>cashloan</v>
      </c>
      <c r="I1689" s="135">
        <v>3698000000</v>
      </c>
    </row>
    <row r="1690" spans="1:9" x14ac:dyDescent="0.2">
      <c r="A1690" s="134">
        <v>45482</v>
      </c>
      <c r="B1690" s="135">
        <f>YEAR(source[[#This Row],[report_date]])</f>
        <v>2024</v>
      </c>
      <c r="C1690" s="128">
        <v>7</v>
      </c>
      <c r="D1690" s="136">
        <f t="shared" si="75"/>
        <v>28</v>
      </c>
      <c r="E1690" s="136">
        <f t="shared" si="76"/>
        <v>9</v>
      </c>
      <c r="F1690" s="128" t="s">
        <v>24</v>
      </c>
      <c r="G1690" s="128" t="str">
        <f>VLOOKUP(source[[#This Row],[lending_product_transform]],[3]Mapping!$B$4:$C$37,2,0)</f>
        <v>[Cake] - Cashloan</v>
      </c>
      <c r="H1690" s="128" t="str">
        <f>VLOOKUP(source[[#This Row],[lending_product_transform]],[3]Mapping!$B$3:$D$37,3,0)</f>
        <v>cashloan</v>
      </c>
      <c r="I1690" s="135">
        <v>23120000</v>
      </c>
    </row>
    <row r="1691" spans="1:9" x14ac:dyDescent="0.2">
      <c r="A1691" s="134">
        <v>45482</v>
      </c>
      <c r="B1691" s="135">
        <f>YEAR(source[[#This Row],[report_date]])</f>
        <v>2024</v>
      </c>
      <c r="C1691" s="128">
        <v>7</v>
      </c>
      <c r="D1691" s="136">
        <f t="shared" si="75"/>
        <v>28</v>
      </c>
      <c r="E1691" s="136">
        <f t="shared" si="76"/>
        <v>9</v>
      </c>
      <c r="F1691" s="128" t="s">
        <v>24</v>
      </c>
      <c r="G1691" s="128" t="str">
        <f>VLOOKUP(source[[#This Row],[lending_product_transform]],[3]Mapping!$B$4:$C$37,2,0)</f>
        <v>[Cake] - Cashloan</v>
      </c>
      <c r="H1691" s="128" t="str">
        <f>VLOOKUP(source[[#This Row],[lending_product_transform]],[3]Mapping!$B$3:$D$37,3,0)</f>
        <v>cashloan</v>
      </c>
      <c r="I1691" s="135">
        <v>25000000</v>
      </c>
    </row>
    <row r="1692" spans="1:9" x14ac:dyDescent="0.2">
      <c r="A1692" s="134">
        <v>45483</v>
      </c>
      <c r="B1692" s="135">
        <f>YEAR(source[[#This Row],[report_date]])</f>
        <v>2024</v>
      </c>
      <c r="C1692" s="128">
        <v>7</v>
      </c>
      <c r="D1692" s="136">
        <f t="shared" si="75"/>
        <v>28</v>
      </c>
      <c r="E1692" s="136">
        <f t="shared" si="76"/>
        <v>10</v>
      </c>
      <c r="F1692" s="128" t="s">
        <v>24</v>
      </c>
      <c r="G1692" s="128" t="str">
        <f>VLOOKUP(source[[#This Row],[lending_product_transform]],[3]Mapping!$B$4:$C$37,2,0)</f>
        <v>[Cake] - Cashloan</v>
      </c>
      <c r="H1692" s="128" t="str">
        <f>VLOOKUP(source[[#This Row],[lending_product_transform]],[3]Mapping!$B$3:$D$37,3,0)</f>
        <v>cashloan</v>
      </c>
      <c r="I1692" s="135">
        <v>94750000</v>
      </c>
    </row>
    <row r="1693" spans="1:9" x14ac:dyDescent="0.2">
      <c r="A1693" s="134">
        <v>45483</v>
      </c>
      <c r="B1693" s="135">
        <f>YEAR(source[[#This Row],[report_date]])</f>
        <v>2024</v>
      </c>
      <c r="C1693" s="128">
        <v>7</v>
      </c>
      <c r="D1693" s="136">
        <f t="shared" si="75"/>
        <v>28</v>
      </c>
      <c r="E1693" s="136">
        <f t="shared" si="76"/>
        <v>10</v>
      </c>
      <c r="F1693" s="128" t="s">
        <v>24</v>
      </c>
      <c r="G1693" s="128" t="str">
        <f>VLOOKUP(source[[#This Row],[lending_product_transform]],[3]Mapping!$B$4:$C$37,2,0)</f>
        <v>[Cake] - Cashloan</v>
      </c>
      <c r="H1693" s="128" t="str">
        <f>VLOOKUP(source[[#This Row],[lending_product_transform]],[3]Mapping!$B$3:$D$37,3,0)</f>
        <v>cashloan</v>
      </c>
      <c r="I1693" s="135">
        <v>4407500000</v>
      </c>
    </row>
    <row r="1694" spans="1:9" x14ac:dyDescent="0.2">
      <c r="A1694" s="134">
        <v>45483</v>
      </c>
      <c r="B1694" s="135">
        <f>YEAR(source[[#This Row],[report_date]])</f>
        <v>2024</v>
      </c>
      <c r="C1694" s="128">
        <v>7</v>
      </c>
      <c r="D1694" s="136">
        <f t="shared" si="75"/>
        <v>28</v>
      </c>
      <c r="E1694" s="136">
        <f t="shared" si="76"/>
        <v>10</v>
      </c>
      <c r="F1694" s="128" t="s">
        <v>24</v>
      </c>
      <c r="G1694" s="128" t="str">
        <f>VLOOKUP(source[[#This Row],[lending_product_transform]],[3]Mapping!$B$4:$C$37,2,0)</f>
        <v>[Cake] - Cashloan</v>
      </c>
      <c r="H1694" s="128" t="str">
        <f>VLOOKUP(source[[#This Row],[lending_product_transform]],[3]Mapping!$B$3:$D$37,3,0)</f>
        <v>cashloan</v>
      </c>
      <c r="I1694" s="135">
        <v>4644210000</v>
      </c>
    </row>
    <row r="1695" spans="1:9" x14ac:dyDescent="0.2">
      <c r="A1695" s="134">
        <v>45483</v>
      </c>
      <c r="B1695" s="135">
        <f>YEAR(source[[#This Row],[report_date]])</f>
        <v>2024</v>
      </c>
      <c r="C1695" s="128">
        <v>7</v>
      </c>
      <c r="D1695" s="136">
        <f t="shared" si="75"/>
        <v>28</v>
      </c>
      <c r="E1695" s="136">
        <f t="shared" si="76"/>
        <v>10</v>
      </c>
      <c r="F1695" s="128" t="s">
        <v>24</v>
      </c>
      <c r="G1695" s="128" t="str">
        <f>VLOOKUP(source[[#This Row],[lending_product_transform]],[3]Mapping!$B$4:$C$37,2,0)</f>
        <v>[Cake] - Cashloan</v>
      </c>
      <c r="H1695" s="128" t="str">
        <f>VLOOKUP(source[[#This Row],[lending_product_transform]],[3]Mapping!$B$3:$D$37,3,0)</f>
        <v>cashloan</v>
      </c>
      <c r="I1695" s="135">
        <v>3712357674</v>
      </c>
    </row>
    <row r="1696" spans="1:9" x14ac:dyDescent="0.2">
      <c r="A1696" s="134">
        <v>45483</v>
      </c>
      <c r="B1696" s="135">
        <f>YEAR(source[[#This Row],[report_date]])</f>
        <v>2024</v>
      </c>
      <c r="C1696" s="128">
        <v>7</v>
      </c>
      <c r="D1696" s="136">
        <f t="shared" si="75"/>
        <v>28</v>
      </c>
      <c r="E1696" s="136">
        <f t="shared" si="76"/>
        <v>10</v>
      </c>
      <c r="F1696" s="128" t="s">
        <v>24</v>
      </c>
      <c r="G1696" s="128" t="str">
        <f>VLOOKUP(source[[#This Row],[lending_product_transform]],[3]Mapping!$B$4:$C$37,2,0)</f>
        <v>[Cake] - Cashloan</v>
      </c>
      <c r="H1696" s="128" t="str">
        <f>VLOOKUP(source[[#This Row],[lending_product_transform]],[3]Mapping!$B$3:$D$37,3,0)</f>
        <v>cashloan</v>
      </c>
      <c r="I1696" s="135">
        <v>6990570</v>
      </c>
    </row>
    <row r="1697" spans="1:9" x14ac:dyDescent="0.2">
      <c r="A1697" s="134">
        <v>45483</v>
      </c>
      <c r="B1697" s="135">
        <f>YEAR(source[[#This Row],[report_date]])</f>
        <v>2024</v>
      </c>
      <c r="C1697" s="128">
        <v>7</v>
      </c>
      <c r="D1697" s="136">
        <f t="shared" si="75"/>
        <v>28</v>
      </c>
      <c r="E1697" s="136">
        <f t="shared" si="76"/>
        <v>10</v>
      </c>
      <c r="F1697" s="128" t="s">
        <v>24</v>
      </c>
      <c r="G1697" s="128" t="str">
        <f>VLOOKUP(source[[#This Row],[lending_product_transform]],[3]Mapping!$B$4:$C$37,2,0)</f>
        <v>[Cake] - Cashloan</v>
      </c>
      <c r="H1697" s="128" t="str">
        <f>VLOOKUP(source[[#This Row],[lending_product_transform]],[3]Mapping!$B$3:$D$37,3,0)</f>
        <v>cashloan</v>
      </c>
      <c r="I1697" s="135">
        <v>27000000</v>
      </c>
    </row>
    <row r="1698" spans="1:9" x14ac:dyDescent="0.2">
      <c r="A1698" s="134">
        <v>45483</v>
      </c>
      <c r="B1698" s="135">
        <f>YEAR(source[[#This Row],[report_date]])</f>
        <v>2024</v>
      </c>
      <c r="C1698" s="128">
        <v>7</v>
      </c>
      <c r="D1698" s="136">
        <f t="shared" si="75"/>
        <v>28</v>
      </c>
      <c r="E1698" s="136">
        <f t="shared" si="76"/>
        <v>10</v>
      </c>
      <c r="F1698" s="128" t="s">
        <v>24</v>
      </c>
      <c r="G1698" s="128" t="str">
        <f>VLOOKUP(source[[#This Row],[lending_product_transform]],[3]Mapping!$B$4:$C$37,2,0)</f>
        <v>[Cake] - Cashloan</v>
      </c>
      <c r="H1698" s="128" t="str">
        <f>VLOOKUP(source[[#This Row],[lending_product_transform]],[3]Mapping!$B$3:$D$37,3,0)</f>
        <v>cashloan</v>
      </c>
      <c r="I1698" s="135">
        <v>42000000</v>
      </c>
    </row>
    <row r="1699" spans="1:9" x14ac:dyDescent="0.2">
      <c r="A1699" s="134">
        <v>45483</v>
      </c>
      <c r="B1699" s="135">
        <f>YEAR(source[[#This Row],[report_date]])</f>
        <v>2024</v>
      </c>
      <c r="C1699" s="128">
        <v>7</v>
      </c>
      <c r="D1699" s="136">
        <f t="shared" si="75"/>
        <v>28</v>
      </c>
      <c r="E1699" s="136">
        <f t="shared" si="76"/>
        <v>10</v>
      </c>
      <c r="F1699" s="128" t="s">
        <v>24</v>
      </c>
      <c r="G1699" s="128" t="str">
        <f>VLOOKUP(source[[#This Row],[lending_product_transform]],[3]Mapping!$B$4:$C$37,2,0)</f>
        <v>[Cake] - Cashloan</v>
      </c>
      <c r="H1699" s="128" t="str">
        <f>VLOOKUP(source[[#This Row],[lending_product_transform]],[3]Mapping!$B$3:$D$37,3,0)</f>
        <v>cashloan</v>
      </c>
      <c r="I1699" s="135">
        <v>151140000</v>
      </c>
    </row>
    <row r="1700" spans="1:9" x14ac:dyDescent="0.2">
      <c r="A1700" s="134">
        <v>45483</v>
      </c>
      <c r="B1700" s="135">
        <f>YEAR(source[[#This Row],[report_date]])</f>
        <v>2024</v>
      </c>
      <c r="C1700" s="128">
        <v>7</v>
      </c>
      <c r="D1700" s="136">
        <f t="shared" si="75"/>
        <v>28</v>
      </c>
      <c r="E1700" s="136">
        <f t="shared" si="76"/>
        <v>10</v>
      </c>
      <c r="F1700" s="128" t="s">
        <v>24</v>
      </c>
      <c r="G1700" s="128" t="str">
        <f>VLOOKUP(source[[#This Row],[lending_product_transform]],[3]Mapping!$B$4:$C$37,2,0)</f>
        <v>[Cake] - Cashloan</v>
      </c>
      <c r="H1700" s="128" t="str">
        <f>VLOOKUP(source[[#This Row],[lending_product_transform]],[3]Mapping!$B$3:$D$37,3,0)</f>
        <v>cashloan</v>
      </c>
      <c r="I1700" s="135">
        <v>160368653</v>
      </c>
    </row>
    <row r="1701" spans="1:9" x14ac:dyDescent="0.2">
      <c r="A1701" s="134">
        <v>45483</v>
      </c>
      <c r="B1701" s="135">
        <f>YEAR(source[[#This Row],[report_date]])</f>
        <v>2024</v>
      </c>
      <c r="C1701" s="128">
        <v>7</v>
      </c>
      <c r="D1701" s="136">
        <f t="shared" si="75"/>
        <v>28</v>
      </c>
      <c r="E1701" s="136">
        <f t="shared" si="76"/>
        <v>10</v>
      </c>
      <c r="F1701" s="128" t="s">
        <v>24</v>
      </c>
      <c r="G1701" s="128" t="str">
        <f>VLOOKUP(source[[#This Row],[lending_product_transform]],[3]Mapping!$B$4:$C$37,2,0)</f>
        <v>[Cake] - Cashloan</v>
      </c>
      <c r="H1701" s="128" t="str">
        <f>VLOOKUP(source[[#This Row],[lending_product_transform]],[3]Mapping!$B$3:$D$37,3,0)</f>
        <v>cashloan</v>
      </c>
      <c r="I1701" s="135">
        <v>6739510000</v>
      </c>
    </row>
    <row r="1702" spans="1:9" x14ac:dyDescent="0.2">
      <c r="A1702" s="134">
        <v>45483</v>
      </c>
      <c r="B1702" s="135">
        <f>YEAR(source[[#This Row],[report_date]])</f>
        <v>2024</v>
      </c>
      <c r="C1702" s="128">
        <v>7</v>
      </c>
      <c r="D1702" s="136">
        <f t="shared" si="75"/>
        <v>28</v>
      </c>
      <c r="E1702" s="136">
        <f t="shared" si="76"/>
        <v>10</v>
      </c>
      <c r="F1702" s="128" t="s">
        <v>24</v>
      </c>
      <c r="G1702" s="128" t="str">
        <f>VLOOKUP(source[[#This Row],[lending_product_transform]],[3]Mapping!$B$4:$C$37,2,0)</f>
        <v>[Cake] - Cashloan</v>
      </c>
      <c r="H1702" s="128" t="str">
        <f>VLOOKUP(source[[#This Row],[lending_product_transform]],[3]Mapping!$B$3:$D$37,3,0)</f>
        <v>cashloan</v>
      </c>
      <c r="I1702" s="135">
        <v>0</v>
      </c>
    </row>
    <row r="1703" spans="1:9" x14ac:dyDescent="0.2">
      <c r="A1703" s="134">
        <v>45483</v>
      </c>
      <c r="B1703" s="135">
        <f>YEAR(source[[#This Row],[report_date]])</f>
        <v>2024</v>
      </c>
      <c r="C1703" s="128">
        <v>7</v>
      </c>
      <c r="D1703" s="136">
        <f t="shared" si="75"/>
        <v>28</v>
      </c>
      <c r="E1703" s="136">
        <f t="shared" si="76"/>
        <v>10</v>
      </c>
      <c r="F1703" s="128" t="s">
        <v>24</v>
      </c>
      <c r="G1703" s="128" t="str">
        <f>VLOOKUP(source[[#This Row],[lending_product_transform]],[3]Mapping!$B$4:$C$37,2,0)</f>
        <v>[Cake] - Cashloan</v>
      </c>
      <c r="H1703" s="128" t="str">
        <f>VLOOKUP(source[[#This Row],[lending_product_transform]],[3]Mapping!$B$3:$D$37,3,0)</f>
        <v>cashloan</v>
      </c>
      <c r="I1703" s="135">
        <v>1838650000</v>
      </c>
    </row>
    <row r="1704" spans="1:9" x14ac:dyDescent="0.2">
      <c r="A1704" s="134">
        <v>45484</v>
      </c>
      <c r="B1704" s="135">
        <f>YEAR(source[[#This Row],[report_date]])</f>
        <v>2024</v>
      </c>
      <c r="C1704" s="128">
        <v>7</v>
      </c>
      <c r="D1704" s="136">
        <f t="shared" si="75"/>
        <v>28</v>
      </c>
      <c r="E1704" s="136">
        <f t="shared" si="76"/>
        <v>11</v>
      </c>
      <c r="F1704" s="128" t="s">
        <v>24</v>
      </c>
      <c r="G1704" s="128" t="str">
        <f>VLOOKUP(source[[#This Row],[lending_product_transform]],[3]Mapping!$B$4:$C$37,2,0)</f>
        <v>[Cake] - Cashloan</v>
      </c>
      <c r="H1704" s="128" t="str">
        <f>VLOOKUP(source[[#This Row],[lending_product_transform]],[3]Mapping!$B$3:$D$37,3,0)</f>
        <v>cashloan</v>
      </c>
      <c r="I1704" s="135">
        <v>9885399</v>
      </c>
    </row>
    <row r="1705" spans="1:9" x14ac:dyDescent="0.2">
      <c r="A1705" s="134">
        <v>45484</v>
      </c>
      <c r="B1705" s="135">
        <f>YEAR(source[[#This Row],[report_date]])</f>
        <v>2024</v>
      </c>
      <c r="C1705" s="128">
        <v>7</v>
      </c>
      <c r="D1705" s="136">
        <f t="shared" si="75"/>
        <v>28</v>
      </c>
      <c r="E1705" s="136">
        <f t="shared" si="76"/>
        <v>11</v>
      </c>
      <c r="F1705" s="128" t="s">
        <v>24</v>
      </c>
      <c r="G1705" s="128" t="str">
        <f>VLOOKUP(source[[#This Row],[lending_product_transform]],[3]Mapping!$B$4:$C$37,2,0)</f>
        <v>[Cake] - Cashloan</v>
      </c>
      <c r="H1705" s="128" t="str">
        <f>VLOOKUP(source[[#This Row],[lending_product_transform]],[3]Mapping!$B$3:$D$37,3,0)</f>
        <v>cashloan</v>
      </c>
      <c r="I1705" s="135">
        <v>2072070000</v>
      </c>
    </row>
    <row r="1706" spans="1:9" x14ac:dyDescent="0.2">
      <c r="A1706" s="134">
        <v>45484</v>
      </c>
      <c r="B1706" s="135">
        <f>YEAR(source[[#This Row],[report_date]])</f>
        <v>2024</v>
      </c>
      <c r="C1706" s="128">
        <v>7</v>
      </c>
      <c r="D1706" s="136">
        <f t="shared" si="75"/>
        <v>28</v>
      </c>
      <c r="E1706" s="136">
        <f t="shared" si="76"/>
        <v>11</v>
      </c>
      <c r="F1706" s="128" t="s">
        <v>24</v>
      </c>
      <c r="G1706" s="128" t="str">
        <f>VLOOKUP(source[[#This Row],[lending_product_transform]],[3]Mapping!$B$4:$C$37,2,0)</f>
        <v>[Cake] - Cashloan</v>
      </c>
      <c r="H1706" s="128" t="str">
        <f>VLOOKUP(source[[#This Row],[lending_product_transform]],[3]Mapping!$B$3:$D$37,3,0)</f>
        <v>cashloan</v>
      </c>
      <c r="I1706" s="135">
        <v>6361160000</v>
      </c>
    </row>
    <row r="1707" spans="1:9" x14ac:dyDescent="0.2">
      <c r="A1707" s="134">
        <v>45484</v>
      </c>
      <c r="B1707" s="135">
        <f>YEAR(source[[#This Row],[report_date]])</f>
        <v>2024</v>
      </c>
      <c r="C1707" s="128">
        <v>7</v>
      </c>
      <c r="D1707" s="136">
        <f t="shared" si="75"/>
        <v>28</v>
      </c>
      <c r="E1707" s="136">
        <f t="shared" si="76"/>
        <v>11</v>
      </c>
      <c r="F1707" s="128" t="s">
        <v>24</v>
      </c>
      <c r="G1707" s="128" t="str">
        <f>VLOOKUP(source[[#This Row],[lending_product_transform]],[3]Mapping!$B$4:$C$37,2,0)</f>
        <v>[Cake] - Cashloan</v>
      </c>
      <c r="H1707" s="128" t="str">
        <f>VLOOKUP(source[[#This Row],[lending_product_transform]],[3]Mapping!$B$3:$D$37,3,0)</f>
        <v>cashloan</v>
      </c>
      <c r="I1707" s="135">
        <v>52500000</v>
      </c>
    </row>
    <row r="1708" spans="1:9" x14ac:dyDescent="0.2">
      <c r="A1708" s="134">
        <v>45484</v>
      </c>
      <c r="B1708" s="135">
        <f>YEAR(source[[#This Row],[report_date]])</f>
        <v>2024</v>
      </c>
      <c r="C1708" s="128">
        <v>7</v>
      </c>
      <c r="D1708" s="136">
        <f t="shared" si="75"/>
        <v>28</v>
      </c>
      <c r="E1708" s="136">
        <f t="shared" si="76"/>
        <v>11</v>
      </c>
      <c r="F1708" s="128" t="s">
        <v>24</v>
      </c>
      <c r="G1708" s="128" t="str">
        <f>VLOOKUP(source[[#This Row],[lending_product_transform]],[3]Mapping!$B$4:$C$37,2,0)</f>
        <v>[Cake] - Cashloan</v>
      </c>
      <c r="H1708" s="128" t="str">
        <f>VLOOKUP(source[[#This Row],[lending_product_transform]],[3]Mapping!$B$3:$D$37,3,0)</f>
        <v>cashloan</v>
      </c>
      <c r="I1708" s="135">
        <v>3808500000</v>
      </c>
    </row>
    <row r="1709" spans="1:9" x14ac:dyDescent="0.2">
      <c r="A1709" s="134">
        <v>45484</v>
      </c>
      <c r="B1709" s="135">
        <f>YEAR(source[[#This Row],[report_date]])</f>
        <v>2024</v>
      </c>
      <c r="C1709" s="128">
        <v>7</v>
      </c>
      <c r="D1709" s="136">
        <f t="shared" si="75"/>
        <v>28</v>
      </c>
      <c r="E1709" s="136">
        <f t="shared" si="76"/>
        <v>11</v>
      </c>
      <c r="F1709" s="128" t="s">
        <v>24</v>
      </c>
      <c r="G1709" s="128" t="str">
        <f>VLOOKUP(source[[#This Row],[lending_product_transform]],[3]Mapping!$B$4:$C$37,2,0)</f>
        <v>[Cake] - Cashloan</v>
      </c>
      <c r="H1709" s="128" t="str">
        <f>VLOOKUP(source[[#This Row],[lending_product_transform]],[3]Mapping!$B$3:$D$37,3,0)</f>
        <v>cashloan</v>
      </c>
      <c r="I1709" s="135">
        <v>148792777</v>
      </c>
    </row>
    <row r="1710" spans="1:9" x14ac:dyDescent="0.2">
      <c r="A1710" s="134">
        <v>45484</v>
      </c>
      <c r="B1710" s="135">
        <f>YEAR(source[[#This Row],[report_date]])</f>
        <v>2024</v>
      </c>
      <c r="C1710" s="128">
        <v>7</v>
      </c>
      <c r="D1710" s="136">
        <f t="shared" si="75"/>
        <v>28</v>
      </c>
      <c r="E1710" s="136">
        <f t="shared" si="76"/>
        <v>11</v>
      </c>
      <c r="F1710" s="128" t="s">
        <v>24</v>
      </c>
      <c r="G1710" s="128" t="str">
        <f>VLOOKUP(source[[#This Row],[lending_product_transform]],[3]Mapping!$B$4:$C$37,2,0)</f>
        <v>[Cake] - Cashloan</v>
      </c>
      <c r="H1710" s="128" t="str">
        <f>VLOOKUP(source[[#This Row],[lending_product_transform]],[3]Mapping!$B$3:$D$37,3,0)</f>
        <v>cashloan</v>
      </c>
      <c r="I1710" s="135">
        <v>98700000</v>
      </c>
    </row>
    <row r="1711" spans="1:9" x14ac:dyDescent="0.2">
      <c r="A1711" s="134">
        <v>45484</v>
      </c>
      <c r="B1711" s="135">
        <f>YEAR(source[[#This Row],[report_date]])</f>
        <v>2024</v>
      </c>
      <c r="C1711" s="128">
        <v>7</v>
      </c>
      <c r="D1711" s="136">
        <f t="shared" si="75"/>
        <v>28</v>
      </c>
      <c r="E1711" s="136">
        <f t="shared" si="76"/>
        <v>11</v>
      </c>
      <c r="F1711" s="128" t="s">
        <v>24</v>
      </c>
      <c r="G1711" s="128" t="str">
        <f>VLOOKUP(source[[#This Row],[lending_product_transform]],[3]Mapping!$B$4:$C$37,2,0)</f>
        <v>[Cake] - Cashloan</v>
      </c>
      <c r="H1711" s="128" t="str">
        <f>VLOOKUP(source[[#This Row],[lending_product_transform]],[3]Mapping!$B$3:$D$37,3,0)</f>
        <v>cashloan</v>
      </c>
      <c r="I1711" s="135">
        <v>0</v>
      </c>
    </row>
    <row r="1712" spans="1:9" x14ac:dyDescent="0.2">
      <c r="A1712" s="134">
        <v>45484</v>
      </c>
      <c r="B1712" s="135">
        <f>YEAR(source[[#This Row],[report_date]])</f>
        <v>2024</v>
      </c>
      <c r="C1712" s="128">
        <v>7</v>
      </c>
      <c r="D1712" s="136">
        <f t="shared" si="75"/>
        <v>28</v>
      </c>
      <c r="E1712" s="136">
        <f t="shared" si="76"/>
        <v>11</v>
      </c>
      <c r="F1712" s="128" t="s">
        <v>24</v>
      </c>
      <c r="G1712" s="128" t="str">
        <f>VLOOKUP(source[[#This Row],[lending_product_transform]],[3]Mapping!$B$4:$C$37,2,0)</f>
        <v>[Cake] - Cashloan</v>
      </c>
      <c r="H1712" s="128" t="str">
        <f>VLOOKUP(source[[#This Row],[lending_product_transform]],[3]Mapping!$B$3:$D$37,3,0)</f>
        <v>cashloan</v>
      </c>
      <c r="I1712" s="135">
        <v>61000000</v>
      </c>
    </row>
    <row r="1713" spans="1:9" x14ac:dyDescent="0.2">
      <c r="A1713" s="134">
        <v>45484</v>
      </c>
      <c r="B1713" s="135">
        <f>YEAR(source[[#This Row],[report_date]])</f>
        <v>2024</v>
      </c>
      <c r="C1713" s="128">
        <v>7</v>
      </c>
      <c r="D1713" s="136">
        <f t="shared" si="75"/>
        <v>28</v>
      </c>
      <c r="E1713" s="136">
        <f t="shared" si="76"/>
        <v>11</v>
      </c>
      <c r="F1713" s="128" t="s">
        <v>24</v>
      </c>
      <c r="G1713" s="128" t="str">
        <f>VLOOKUP(source[[#This Row],[lending_product_transform]],[3]Mapping!$B$4:$C$37,2,0)</f>
        <v>[Cake] - Cashloan</v>
      </c>
      <c r="H1713" s="128" t="str">
        <f>VLOOKUP(source[[#This Row],[lending_product_transform]],[3]Mapping!$B$3:$D$37,3,0)</f>
        <v>cashloan</v>
      </c>
      <c r="I1713" s="135">
        <v>4426290000</v>
      </c>
    </row>
    <row r="1714" spans="1:9" x14ac:dyDescent="0.2">
      <c r="A1714" s="134">
        <v>45484</v>
      </c>
      <c r="B1714" s="135">
        <f>YEAR(source[[#This Row],[report_date]])</f>
        <v>2024</v>
      </c>
      <c r="C1714" s="128">
        <v>7</v>
      </c>
      <c r="D1714" s="136">
        <f t="shared" si="75"/>
        <v>28</v>
      </c>
      <c r="E1714" s="136">
        <f t="shared" si="76"/>
        <v>11</v>
      </c>
      <c r="F1714" s="128" t="s">
        <v>24</v>
      </c>
      <c r="G1714" s="128" t="str">
        <f>VLOOKUP(source[[#This Row],[lending_product_transform]],[3]Mapping!$B$4:$C$37,2,0)</f>
        <v>[Cake] - Cashloan</v>
      </c>
      <c r="H1714" s="128" t="str">
        <f>VLOOKUP(source[[#This Row],[lending_product_transform]],[3]Mapping!$B$3:$D$37,3,0)</f>
        <v>cashloan</v>
      </c>
      <c r="I1714" s="135">
        <v>2610710868</v>
      </c>
    </row>
    <row r="1715" spans="1:9" x14ac:dyDescent="0.2">
      <c r="A1715" s="134">
        <v>45484</v>
      </c>
      <c r="B1715" s="135">
        <f>YEAR(source[[#This Row],[report_date]])</f>
        <v>2024</v>
      </c>
      <c r="C1715" s="128">
        <v>7</v>
      </c>
      <c r="D1715" s="136">
        <f t="shared" si="75"/>
        <v>28</v>
      </c>
      <c r="E1715" s="136">
        <f t="shared" si="76"/>
        <v>11</v>
      </c>
      <c r="F1715" s="128" t="s">
        <v>24</v>
      </c>
      <c r="G1715" s="128" t="str">
        <f>VLOOKUP(source[[#This Row],[lending_product_transform]],[3]Mapping!$B$4:$C$37,2,0)</f>
        <v>[Cake] - Cashloan</v>
      </c>
      <c r="H1715" s="128" t="str">
        <f>VLOOKUP(source[[#This Row],[lending_product_transform]],[3]Mapping!$B$3:$D$37,3,0)</f>
        <v>cashloan</v>
      </c>
      <c r="I1715" s="135">
        <v>38520000</v>
      </c>
    </row>
    <row r="1716" spans="1:9" x14ac:dyDescent="0.2">
      <c r="A1716" s="134">
        <v>45485</v>
      </c>
      <c r="B1716" s="135">
        <f>YEAR(source[[#This Row],[report_date]])</f>
        <v>2024</v>
      </c>
      <c r="C1716" s="128">
        <v>7</v>
      </c>
      <c r="D1716" s="136">
        <f t="shared" si="75"/>
        <v>28</v>
      </c>
      <c r="E1716" s="136">
        <f t="shared" si="76"/>
        <v>12</v>
      </c>
      <c r="F1716" s="128" t="s">
        <v>24</v>
      </c>
      <c r="G1716" s="128" t="str">
        <f>VLOOKUP(source[[#This Row],[lending_product_transform]],[3]Mapping!$B$4:$C$37,2,0)</f>
        <v>[Cake] - Cashloan</v>
      </c>
      <c r="H1716" s="128" t="str">
        <f>VLOOKUP(source[[#This Row],[lending_product_transform]],[3]Mapping!$B$3:$D$37,3,0)</f>
        <v>cashloan</v>
      </c>
      <c r="I1716" s="135">
        <v>109200000</v>
      </c>
    </row>
    <row r="1717" spans="1:9" x14ac:dyDescent="0.2">
      <c r="A1717" s="134">
        <v>45485</v>
      </c>
      <c r="B1717" s="135">
        <f>YEAR(source[[#This Row],[report_date]])</f>
        <v>2024</v>
      </c>
      <c r="C1717" s="128">
        <v>7</v>
      </c>
      <c r="D1717" s="136">
        <f t="shared" si="75"/>
        <v>28</v>
      </c>
      <c r="E1717" s="136">
        <f t="shared" si="76"/>
        <v>12</v>
      </c>
      <c r="F1717" s="128" t="s">
        <v>24</v>
      </c>
      <c r="G1717" s="128" t="str">
        <f>VLOOKUP(source[[#This Row],[lending_product_transform]],[3]Mapping!$B$4:$C$37,2,0)</f>
        <v>[Cake] - Cashloan</v>
      </c>
      <c r="H1717" s="128" t="str">
        <f>VLOOKUP(source[[#This Row],[lending_product_transform]],[3]Mapping!$B$3:$D$37,3,0)</f>
        <v>cashloan</v>
      </c>
      <c r="I1717" s="135">
        <v>2468306245</v>
      </c>
    </row>
    <row r="1718" spans="1:9" x14ac:dyDescent="0.2">
      <c r="A1718" s="134">
        <v>45485</v>
      </c>
      <c r="B1718" s="135">
        <f>YEAR(source[[#This Row],[report_date]])</f>
        <v>2024</v>
      </c>
      <c r="C1718" s="128">
        <v>7</v>
      </c>
      <c r="D1718" s="136">
        <f t="shared" si="75"/>
        <v>28</v>
      </c>
      <c r="E1718" s="136">
        <f t="shared" si="76"/>
        <v>12</v>
      </c>
      <c r="F1718" s="128" t="s">
        <v>24</v>
      </c>
      <c r="G1718" s="128" t="str">
        <f>VLOOKUP(source[[#This Row],[lending_product_transform]],[3]Mapping!$B$4:$C$37,2,0)</f>
        <v>[Cake] - Cashloan</v>
      </c>
      <c r="H1718" s="128" t="str">
        <f>VLOOKUP(source[[#This Row],[lending_product_transform]],[3]Mapping!$B$3:$D$37,3,0)</f>
        <v>cashloan</v>
      </c>
      <c r="I1718" s="135">
        <v>144724081</v>
      </c>
    </row>
    <row r="1719" spans="1:9" x14ac:dyDescent="0.2">
      <c r="A1719" s="134">
        <v>45485</v>
      </c>
      <c r="B1719" s="135">
        <f>YEAR(source[[#This Row],[report_date]])</f>
        <v>2024</v>
      </c>
      <c r="C1719" s="128">
        <v>7</v>
      </c>
      <c r="D1719" s="136">
        <f t="shared" si="75"/>
        <v>28</v>
      </c>
      <c r="E1719" s="136">
        <f t="shared" si="76"/>
        <v>12</v>
      </c>
      <c r="F1719" s="128" t="s">
        <v>24</v>
      </c>
      <c r="G1719" s="128" t="str">
        <f>VLOOKUP(source[[#This Row],[lending_product_transform]],[3]Mapping!$B$4:$C$37,2,0)</f>
        <v>[Cake] - Cashloan</v>
      </c>
      <c r="H1719" s="128" t="str">
        <f>VLOOKUP(source[[#This Row],[lending_product_transform]],[3]Mapping!$B$3:$D$37,3,0)</f>
        <v>cashloan</v>
      </c>
      <c r="I1719" s="135">
        <v>53000000</v>
      </c>
    </row>
    <row r="1720" spans="1:9" x14ac:dyDescent="0.2">
      <c r="A1720" s="134">
        <v>45485</v>
      </c>
      <c r="B1720" s="135">
        <f>YEAR(source[[#This Row],[report_date]])</f>
        <v>2024</v>
      </c>
      <c r="C1720" s="128">
        <v>7</v>
      </c>
      <c r="D1720" s="136">
        <f t="shared" si="75"/>
        <v>28</v>
      </c>
      <c r="E1720" s="136">
        <f t="shared" si="76"/>
        <v>12</v>
      </c>
      <c r="F1720" s="128" t="s">
        <v>24</v>
      </c>
      <c r="G1720" s="128" t="str">
        <f>VLOOKUP(source[[#This Row],[lending_product_transform]],[3]Mapping!$B$4:$C$37,2,0)</f>
        <v>[Cake] - Cashloan</v>
      </c>
      <c r="H1720" s="128" t="str">
        <f>VLOOKUP(source[[#This Row],[lending_product_transform]],[3]Mapping!$B$3:$D$37,3,0)</f>
        <v>cashloan</v>
      </c>
      <c r="I1720" s="135">
        <v>4436950000</v>
      </c>
    </row>
    <row r="1721" spans="1:9" x14ac:dyDescent="0.2">
      <c r="A1721" s="134">
        <v>45485</v>
      </c>
      <c r="B1721" s="135">
        <f>YEAR(source[[#This Row],[report_date]])</f>
        <v>2024</v>
      </c>
      <c r="C1721" s="128">
        <v>7</v>
      </c>
      <c r="D1721" s="136">
        <f t="shared" si="75"/>
        <v>28</v>
      </c>
      <c r="E1721" s="136">
        <f t="shared" si="76"/>
        <v>12</v>
      </c>
      <c r="F1721" s="128" t="s">
        <v>24</v>
      </c>
      <c r="G1721" s="128" t="str">
        <f>VLOOKUP(source[[#This Row],[lending_product_transform]],[3]Mapping!$B$4:$C$37,2,0)</f>
        <v>[Cake] - Cashloan</v>
      </c>
      <c r="H1721" s="128" t="str">
        <f>VLOOKUP(source[[#This Row],[lending_product_transform]],[3]Mapping!$B$3:$D$37,3,0)</f>
        <v>cashloan</v>
      </c>
      <c r="I1721" s="135">
        <v>47450000</v>
      </c>
    </row>
    <row r="1722" spans="1:9" x14ac:dyDescent="0.2">
      <c r="A1722" s="134">
        <v>45485</v>
      </c>
      <c r="B1722" s="135">
        <f>YEAR(source[[#This Row],[report_date]])</f>
        <v>2024</v>
      </c>
      <c r="C1722" s="128">
        <v>7</v>
      </c>
      <c r="D1722" s="136">
        <f t="shared" si="75"/>
        <v>28</v>
      </c>
      <c r="E1722" s="136">
        <f t="shared" si="76"/>
        <v>12</v>
      </c>
      <c r="F1722" s="128" t="s">
        <v>24</v>
      </c>
      <c r="G1722" s="128" t="str">
        <f>VLOOKUP(source[[#This Row],[lending_product_transform]],[3]Mapping!$B$4:$C$37,2,0)</f>
        <v>[Cake] - Cashloan</v>
      </c>
      <c r="H1722" s="128" t="str">
        <f>VLOOKUP(source[[#This Row],[lending_product_transform]],[3]Mapping!$B$3:$D$37,3,0)</f>
        <v>cashloan</v>
      </c>
      <c r="I1722" s="135">
        <v>52500000</v>
      </c>
    </row>
    <row r="1723" spans="1:9" x14ac:dyDescent="0.2">
      <c r="A1723" s="134">
        <v>45485</v>
      </c>
      <c r="B1723" s="135">
        <f>YEAR(source[[#This Row],[report_date]])</f>
        <v>2024</v>
      </c>
      <c r="C1723" s="128">
        <v>7</v>
      </c>
      <c r="D1723" s="136">
        <f t="shared" si="75"/>
        <v>28</v>
      </c>
      <c r="E1723" s="136">
        <f t="shared" si="76"/>
        <v>12</v>
      </c>
      <c r="F1723" s="128" t="s">
        <v>24</v>
      </c>
      <c r="G1723" s="128" t="str">
        <f>VLOOKUP(source[[#This Row],[lending_product_transform]],[3]Mapping!$B$4:$C$37,2,0)</f>
        <v>[Cake] - Cashloan</v>
      </c>
      <c r="H1723" s="128" t="str">
        <f>VLOOKUP(source[[#This Row],[lending_product_transform]],[3]Mapping!$B$3:$D$37,3,0)</f>
        <v>cashloan</v>
      </c>
      <c r="I1723" s="135">
        <v>0</v>
      </c>
    </row>
    <row r="1724" spans="1:9" x14ac:dyDescent="0.2">
      <c r="A1724" s="134">
        <v>45485</v>
      </c>
      <c r="B1724" s="135">
        <f>YEAR(source[[#This Row],[report_date]])</f>
        <v>2024</v>
      </c>
      <c r="C1724" s="128">
        <v>7</v>
      </c>
      <c r="D1724" s="136">
        <f t="shared" si="75"/>
        <v>28</v>
      </c>
      <c r="E1724" s="136">
        <f t="shared" si="76"/>
        <v>12</v>
      </c>
      <c r="F1724" s="128" t="s">
        <v>24</v>
      </c>
      <c r="G1724" s="128" t="str">
        <f>VLOOKUP(source[[#This Row],[lending_product_transform]],[3]Mapping!$B$4:$C$37,2,0)</f>
        <v>[Cake] - Cashloan</v>
      </c>
      <c r="H1724" s="128" t="str">
        <f>VLOOKUP(source[[#This Row],[lending_product_transform]],[3]Mapping!$B$3:$D$37,3,0)</f>
        <v>cashloan</v>
      </c>
      <c r="I1724" s="135">
        <v>3774000000</v>
      </c>
    </row>
    <row r="1725" spans="1:9" x14ac:dyDescent="0.2">
      <c r="A1725" s="134">
        <v>45485</v>
      </c>
      <c r="B1725" s="135">
        <f>YEAR(source[[#This Row],[report_date]])</f>
        <v>2024</v>
      </c>
      <c r="C1725" s="128">
        <v>7</v>
      </c>
      <c r="D1725" s="136">
        <f t="shared" si="75"/>
        <v>28</v>
      </c>
      <c r="E1725" s="136">
        <f t="shared" si="76"/>
        <v>12</v>
      </c>
      <c r="F1725" s="128" t="s">
        <v>24</v>
      </c>
      <c r="G1725" s="128" t="str">
        <f>VLOOKUP(source[[#This Row],[lending_product_transform]],[3]Mapping!$B$4:$C$37,2,0)</f>
        <v>[Cake] - Cashloan</v>
      </c>
      <c r="H1725" s="128" t="str">
        <f>VLOOKUP(source[[#This Row],[lending_product_transform]],[3]Mapping!$B$3:$D$37,3,0)</f>
        <v>cashloan</v>
      </c>
      <c r="I1725" s="135">
        <v>2133580000</v>
      </c>
    </row>
    <row r="1726" spans="1:9" x14ac:dyDescent="0.2">
      <c r="A1726" s="134">
        <v>45485</v>
      </c>
      <c r="B1726" s="135">
        <f>YEAR(source[[#This Row],[report_date]])</f>
        <v>2024</v>
      </c>
      <c r="C1726" s="128">
        <v>7</v>
      </c>
      <c r="D1726" s="136">
        <f t="shared" si="75"/>
        <v>28</v>
      </c>
      <c r="E1726" s="136">
        <f t="shared" si="76"/>
        <v>12</v>
      </c>
      <c r="F1726" s="128" t="s">
        <v>24</v>
      </c>
      <c r="G1726" s="128" t="str">
        <f>VLOOKUP(source[[#This Row],[lending_product_transform]],[3]Mapping!$B$4:$C$37,2,0)</f>
        <v>[Cake] - Cashloan</v>
      </c>
      <c r="H1726" s="128" t="str">
        <f>VLOOKUP(source[[#This Row],[lending_product_transform]],[3]Mapping!$B$3:$D$37,3,0)</f>
        <v>cashloan</v>
      </c>
      <c r="I1726" s="135">
        <v>5457100000</v>
      </c>
    </row>
    <row r="1727" spans="1:9" x14ac:dyDescent="0.2">
      <c r="A1727" s="134">
        <v>45485</v>
      </c>
      <c r="B1727" s="135">
        <f>YEAR(source[[#This Row],[report_date]])</f>
        <v>2024</v>
      </c>
      <c r="C1727" s="128">
        <v>7</v>
      </c>
      <c r="D1727" s="136">
        <f t="shared" si="75"/>
        <v>28</v>
      </c>
      <c r="E1727" s="136">
        <f t="shared" si="76"/>
        <v>12</v>
      </c>
      <c r="F1727" s="128" t="s">
        <v>24</v>
      </c>
      <c r="G1727" s="128" t="str">
        <f>VLOOKUP(source[[#This Row],[lending_product_transform]],[3]Mapping!$B$4:$C$37,2,0)</f>
        <v>[Cake] - Cashloan</v>
      </c>
      <c r="H1727" s="128" t="str">
        <f>VLOOKUP(source[[#This Row],[lending_product_transform]],[3]Mapping!$B$3:$D$37,3,0)</f>
        <v>cashloan</v>
      </c>
      <c r="I1727" s="135">
        <v>7174600</v>
      </c>
    </row>
    <row r="1728" spans="1:9" x14ac:dyDescent="0.2">
      <c r="A1728" s="134">
        <v>45486</v>
      </c>
      <c r="B1728" s="135">
        <f>YEAR(source[[#This Row],[report_date]])</f>
        <v>2024</v>
      </c>
      <c r="C1728" s="128">
        <v>7</v>
      </c>
      <c r="D1728" s="136">
        <f t="shared" si="75"/>
        <v>28</v>
      </c>
      <c r="E1728" s="136">
        <f t="shared" si="76"/>
        <v>13</v>
      </c>
      <c r="F1728" s="128" t="s">
        <v>24</v>
      </c>
      <c r="G1728" s="128" t="str">
        <f>VLOOKUP(source[[#This Row],[lending_product_transform]],[3]Mapping!$B$4:$C$37,2,0)</f>
        <v>[Cake] - Cashloan</v>
      </c>
      <c r="H1728" s="128" t="str">
        <f>VLOOKUP(source[[#This Row],[lending_product_transform]],[3]Mapping!$B$3:$D$37,3,0)</f>
        <v>cashloan</v>
      </c>
      <c r="I1728" s="135">
        <v>3517000000</v>
      </c>
    </row>
    <row r="1729" spans="1:9" x14ac:dyDescent="0.2">
      <c r="A1729" s="134">
        <v>45486</v>
      </c>
      <c r="B1729" s="135">
        <f>YEAR(source[[#This Row],[report_date]])</f>
        <v>2024</v>
      </c>
      <c r="C1729" s="128">
        <v>7</v>
      </c>
      <c r="D1729" s="136">
        <f t="shared" si="75"/>
        <v>28</v>
      </c>
      <c r="E1729" s="136">
        <f t="shared" si="76"/>
        <v>13</v>
      </c>
      <c r="F1729" s="128" t="s">
        <v>24</v>
      </c>
      <c r="G1729" s="128" t="str">
        <f>VLOOKUP(source[[#This Row],[lending_product_transform]],[3]Mapping!$B$4:$C$37,2,0)</f>
        <v>[Cake] - Cashloan</v>
      </c>
      <c r="H1729" s="128" t="str">
        <f>VLOOKUP(source[[#This Row],[lending_product_transform]],[3]Mapping!$B$3:$D$37,3,0)</f>
        <v>cashloan</v>
      </c>
      <c r="I1729" s="135">
        <v>4494780000</v>
      </c>
    </row>
    <row r="1730" spans="1:9" x14ac:dyDescent="0.2">
      <c r="A1730" s="134">
        <v>45486</v>
      </c>
      <c r="B1730" s="135">
        <f>YEAR(source[[#This Row],[report_date]])</f>
        <v>2024</v>
      </c>
      <c r="C1730" s="128">
        <v>7</v>
      </c>
      <c r="D1730" s="136">
        <f t="shared" si="75"/>
        <v>28</v>
      </c>
      <c r="E1730" s="136">
        <f t="shared" si="76"/>
        <v>13</v>
      </c>
      <c r="F1730" s="128" t="s">
        <v>24</v>
      </c>
      <c r="G1730" s="128" t="str">
        <f>VLOOKUP(source[[#This Row],[lending_product_transform]],[3]Mapping!$B$4:$C$37,2,0)</f>
        <v>[Cake] - Cashloan</v>
      </c>
      <c r="H1730" s="128" t="str">
        <f>VLOOKUP(source[[#This Row],[lending_product_transform]],[3]Mapping!$B$3:$D$37,3,0)</f>
        <v>cashloan</v>
      </c>
      <c r="I1730" s="135">
        <v>1690600000</v>
      </c>
    </row>
    <row r="1731" spans="1:9" x14ac:dyDescent="0.2">
      <c r="A1731" s="134">
        <v>45486</v>
      </c>
      <c r="B1731" s="135">
        <f>YEAR(source[[#This Row],[report_date]])</f>
        <v>2024</v>
      </c>
      <c r="C1731" s="128">
        <v>7</v>
      </c>
      <c r="D1731" s="136">
        <f t="shared" ref="D1731:D1794" si="77">WEEKNUM(A1731,2)</f>
        <v>28</v>
      </c>
      <c r="E1731" s="136">
        <f t="shared" ref="E1731:E1794" si="78">DAY(A1731)</f>
        <v>13</v>
      </c>
      <c r="F1731" s="128" t="s">
        <v>24</v>
      </c>
      <c r="G1731" s="128" t="str">
        <f>VLOOKUP(source[[#This Row],[lending_product_transform]],[3]Mapping!$B$4:$C$37,2,0)</f>
        <v>[Cake] - Cashloan</v>
      </c>
      <c r="H1731" s="128" t="str">
        <f>VLOOKUP(source[[#This Row],[lending_product_transform]],[3]Mapping!$B$3:$D$37,3,0)</f>
        <v>cashloan</v>
      </c>
      <c r="I1731" s="135">
        <v>53500000</v>
      </c>
    </row>
    <row r="1732" spans="1:9" x14ac:dyDescent="0.2">
      <c r="A1732" s="134">
        <v>45486</v>
      </c>
      <c r="B1732" s="135">
        <f>YEAR(source[[#This Row],[report_date]])</f>
        <v>2024</v>
      </c>
      <c r="C1732" s="128">
        <v>7</v>
      </c>
      <c r="D1732" s="136">
        <f t="shared" si="77"/>
        <v>28</v>
      </c>
      <c r="E1732" s="136">
        <f t="shared" si="78"/>
        <v>13</v>
      </c>
      <c r="F1732" s="128" t="s">
        <v>24</v>
      </c>
      <c r="G1732" s="128" t="str">
        <f>VLOOKUP(source[[#This Row],[lending_product_transform]],[3]Mapping!$B$4:$C$37,2,0)</f>
        <v>[Cake] - Cashloan</v>
      </c>
      <c r="H1732" s="128" t="str">
        <f>VLOOKUP(source[[#This Row],[lending_product_transform]],[3]Mapping!$B$3:$D$37,3,0)</f>
        <v>cashloan</v>
      </c>
      <c r="I1732" s="135">
        <v>150300000</v>
      </c>
    </row>
    <row r="1733" spans="1:9" x14ac:dyDescent="0.2">
      <c r="A1733" s="134">
        <v>45486</v>
      </c>
      <c r="B1733" s="135">
        <f>YEAR(source[[#This Row],[report_date]])</f>
        <v>2024</v>
      </c>
      <c r="C1733" s="128">
        <v>7</v>
      </c>
      <c r="D1733" s="136">
        <f t="shared" si="77"/>
        <v>28</v>
      </c>
      <c r="E1733" s="136">
        <f t="shared" si="78"/>
        <v>13</v>
      </c>
      <c r="F1733" s="128" t="s">
        <v>24</v>
      </c>
      <c r="G1733" s="128" t="str">
        <f>VLOOKUP(source[[#This Row],[lending_product_transform]],[3]Mapping!$B$4:$C$37,2,0)</f>
        <v>[Cake] - Cashloan</v>
      </c>
      <c r="H1733" s="128" t="str">
        <f>VLOOKUP(source[[#This Row],[lending_product_transform]],[3]Mapping!$B$3:$D$37,3,0)</f>
        <v>cashloan</v>
      </c>
      <c r="I1733" s="135">
        <v>52550000</v>
      </c>
    </row>
    <row r="1734" spans="1:9" x14ac:dyDescent="0.2">
      <c r="A1734" s="134">
        <v>45486</v>
      </c>
      <c r="B1734" s="135">
        <f>YEAR(source[[#This Row],[report_date]])</f>
        <v>2024</v>
      </c>
      <c r="C1734" s="128">
        <v>7</v>
      </c>
      <c r="D1734" s="136">
        <f t="shared" si="77"/>
        <v>28</v>
      </c>
      <c r="E1734" s="136">
        <f t="shared" si="78"/>
        <v>13</v>
      </c>
      <c r="F1734" s="128" t="s">
        <v>24</v>
      </c>
      <c r="G1734" s="128" t="str">
        <f>VLOOKUP(source[[#This Row],[lending_product_transform]],[3]Mapping!$B$4:$C$37,2,0)</f>
        <v>[Cake] - Cashloan</v>
      </c>
      <c r="H1734" s="128" t="str">
        <f>VLOOKUP(source[[#This Row],[lending_product_transform]],[3]Mapping!$B$3:$D$37,3,0)</f>
        <v>cashloan</v>
      </c>
      <c r="I1734" s="135">
        <v>0</v>
      </c>
    </row>
    <row r="1735" spans="1:9" x14ac:dyDescent="0.2">
      <c r="A1735" s="134">
        <v>45486</v>
      </c>
      <c r="B1735" s="135">
        <f>YEAR(source[[#This Row],[report_date]])</f>
        <v>2024</v>
      </c>
      <c r="C1735" s="128">
        <v>7</v>
      </c>
      <c r="D1735" s="136">
        <f t="shared" si="77"/>
        <v>28</v>
      </c>
      <c r="E1735" s="136">
        <f t="shared" si="78"/>
        <v>13</v>
      </c>
      <c r="F1735" s="128" t="s">
        <v>24</v>
      </c>
      <c r="G1735" s="128" t="str">
        <f>VLOOKUP(source[[#This Row],[lending_product_transform]],[3]Mapping!$B$4:$C$37,2,0)</f>
        <v>[Cake] - Cashloan</v>
      </c>
      <c r="H1735" s="128" t="str">
        <f>VLOOKUP(source[[#This Row],[lending_product_transform]],[3]Mapping!$B$3:$D$37,3,0)</f>
        <v>cashloan</v>
      </c>
      <c r="I1735" s="135">
        <v>31000000</v>
      </c>
    </row>
    <row r="1736" spans="1:9" x14ac:dyDescent="0.2">
      <c r="A1736" s="134">
        <v>45486</v>
      </c>
      <c r="B1736" s="135">
        <f>YEAR(source[[#This Row],[report_date]])</f>
        <v>2024</v>
      </c>
      <c r="C1736" s="128">
        <v>7</v>
      </c>
      <c r="D1736" s="136">
        <f t="shared" si="77"/>
        <v>28</v>
      </c>
      <c r="E1736" s="136">
        <f t="shared" si="78"/>
        <v>13</v>
      </c>
      <c r="F1736" s="128" t="s">
        <v>24</v>
      </c>
      <c r="G1736" s="128" t="str">
        <f>VLOOKUP(source[[#This Row],[lending_product_transform]],[3]Mapping!$B$4:$C$37,2,0)</f>
        <v>[Cake] - Cashloan</v>
      </c>
      <c r="H1736" s="128" t="str">
        <f>VLOOKUP(source[[#This Row],[lending_product_transform]],[3]Mapping!$B$3:$D$37,3,0)</f>
        <v>cashloan</v>
      </c>
      <c r="I1736" s="135">
        <v>3547390000</v>
      </c>
    </row>
    <row r="1737" spans="1:9" x14ac:dyDescent="0.2">
      <c r="A1737" s="134">
        <v>45486</v>
      </c>
      <c r="B1737" s="135">
        <f>YEAR(source[[#This Row],[report_date]])</f>
        <v>2024</v>
      </c>
      <c r="C1737" s="128">
        <v>7</v>
      </c>
      <c r="D1737" s="136">
        <f t="shared" si="77"/>
        <v>28</v>
      </c>
      <c r="E1737" s="136">
        <f t="shared" si="78"/>
        <v>13</v>
      </c>
      <c r="F1737" s="128" t="s">
        <v>24</v>
      </c>
      <c r="G1737" s="128" t="str">
        <f>VLOOKUP(source[[#This Row],[lending_product_transform]],[3]Mapping!$B$4:$C$37,2,0)</f>
        <v>[Cake] - Cashloan</v>
      </c>
      <c r="H1737" s="128" t="str">
        <f>VLOOKUP(source[[#This Row],[lending_product_transform]],[3]Mapping!$B$3:$D$37,3,0)</f>
        <v>cashloan</v>
      </c>
      <c r="I1737" s="135">
        <v>139634692</v>
      </c>
    </row>
    <row r="1738" spans="1:9" x14ac:dyDescent="0.2">
      <c r="A1738" s="134">
        <v>45486</v>
      </c>
      <c r="B1738" s="135">
        <f>YEAR(source[[#This Row],[report_date]])</f>
        <v>2024</v>
      </c>
      <c r="C1738" s="128">
        <v>7</v>
      </c>
      <c r="D1738" s="136">
        <f t="shared" si="77"/>
        <v>28</v>
      </c>
      <c r="E1738" s="136">
        <f t="shared" si="78"/>
        <v>13</v>
      </c>
      <c r="F1738" s="128" t="s">
        <v>24</v>
      </c>
      <c r="G1738" s="128" t="str">
        <f>VLOOKUP(source[[#This Row],[lending_product_transform]],[3]Mapping!$B$4:$C$37,2,0)</f>
        <v>[Cake] - Cashloan</v>
      </c>
      <c r="H1738" s="128" t="str">
        <f>VLOOKUP(source[[#This Row],[lending_product_transform]],[3]Mapping!$B$3:$D$37,3,0)</f>
        <v>cashloan</v>
      </c>
      <c r="I1738" s="135">
        <v>1930942692</v>
      </c>
    </row>
    <row r="1739" spans="1:9" x14ac:dyDescent="0.2">
      <c r="A1739" s="134">
        <v>45486</v>
      </c>
      <c r="B1739" s="135">
        <f>YEAR(source[[#This Row],[report_date]])</f>
        <v>2024</v>
      </c>
      <c r="C1739" s="128">
        <v>7</v>
      </c>
      <c r="D1739" s="136">
        <f t="shared" si="77"/>
        <v>28</v>
      </c>
      <c r="E1739" s="136">
        <f t="shared" si="78"/>
        <v>13</v>
      </c>
      <c r="F1739" s="128" t="s">
        <v>24</v>
      </c>
      <c r="G1739" s="128" t="str">
        <f>VLOOKUP(source[[#This Row],[lending_product_transform]],[3]Mapping!$B$4:$C$37,2,0)</f>
        <v>[Cake] - Cashloan</v>
      </c>
      <c r="H1739" s="128" t="str">
        <f>VLOOKUP(source[[#This Row],[lending_product_transform]],[3]Mapping!$B$3:$D$37,3,0)</f>
        <v>cashloan</v>
      </c>
      <c r="I1739" s="135">
        <v>9374550</v>
      </c>
    </row>
    <row r="1740" spans="1:9" x14ac:dyDescent="0.2">
      <c r="A1740" s="134">
        <v>45487</v>
      </c>
      <c r="B1740" s="135">
        <f>YEAR(source[[#This Row],[report_date]])</f>
        <v>2024</v>
      </c>
      <c r="C1740" s="128">
        <v>7</v>
      </c>
      <c r="D1740" s="136">
        <f t="shared" si="77"/>
        <v>28</v>
      </c>
      <c r="E1740" s="136">
        <f t="shared" si="78"/>
        <v>14</v>
      </c>
      <c r="F1740" s="128" t="s">
        <v>24</v>
      </c>
      <c r="G1740" s="128" t="str">
        <f>VLOOKUP(source[[#This Row],[lending_product_transform]],[3]Mapping!$B$4:$C$37,2,0)</f>
        <v>[Cake] - Cashloan</v>
      </c>
      <c r="H1740" s="128" t="str">
        <f>VLOOKUP(source[[#This Row],[lending_product_transform]],[3]Mapping!$B$3:$D$37,3,0)</f>
        <v>cashloan</v>
      </c>
      <c r="I1740" s="135">
        <v>150960104</v>
      </c>
    </row>
    <row r="1741" spans="1:9" x14ac:dyDescent="0.2">
      <c r="A1741" s="134">
        <v>45487</v>
      </c>
      <c r="B1741" s="135">
        <f>YEAR(source[[#This Row],[report_date]])</f>
        <v>2024</v>
      </c>
      <c r="C1741" s="128">
        <v>7</v>
      </c>
      <c r="D1741" s="136">
        <f t="shared" si="77"/>
        <v>28</v>
      </c>
      <c r="E1741" s="136">
        <f t="shared" si="78"/>
        <v>14</v>
      </c>
      <c r="F1741" s="128" t="s">
        <v>24</v>
      </c>
      <c r="G1741" s="128" t="str">
        <f>VLOOKUP(source[[#This Row],[lending_product_transform]],[3]Mapping!$B$4:$C$37,2,0)</f>
        <v>[Cake] - Cashloan</v>
      </c>
      <c r="H1741" s="128" t="str">
        <f>VLOOKUP(source[[#This Row],[lending_product_transform]],[3]Mapping!$B$3:$D$37,3,0)</f>
        <v>cashloan</v>
      </c>
      <c r="I1741" s="135">
        <v>16285109</v>
      </c>
    </row>
    <row r="1742" spans="1:9" x14ac:dyDescent="0.2">
      <c r="A1742" s="134">
        <v>45487</v>
      </c>
      <c r="B1742" s="135">
        <f>YEAR(source[[#This Row],[report_date]])</f>
        <v>2024</v>
      </c>
      <c r="C1742" s="128">
        <v>7</v>
      </c>
      <c r="D1742" s="136">
        <f t="shared" si="77"/>
        <v>28</v>
      </c>
      <c r="E1742" s="136">
        <f t="shared" si="78"/>
        <v>14</v>
      </c>
      <c r="F1742" s="128" t="s">
        <v>24</v>
      </c>
      <c r="G1742" s="128" t="str">
        <f>VLOOKUP(source[[#This Row],[lending_product_transform]],[3]Mapping!$B$4:$C$37,2,0)</f>
        <v>[Cake] - Cashloan</v>
      </c>
      <c r="H1742" s="128" t="str">
        <f>VLOOKUP(source[[#This Row],[lending_product_transform]],[3]Mapping!$B$3:$D$37,3,0)</f>
        <v>cashloan</v>
      </c>
      <c r="I1742" s="135">
        <v>48000000</v>
      </c>
    </row>
    <row r="1743" spans="1:9" x14ac:dyDescent="0.2">
      <c r="A1743" s="134">
        <v>45487</v>
      </c>
      <c r="B1743" s="135">
        <f>YEAR(source[[#This Row],[report_date]])</f>
        <v>2024</v>
      </c>
      <c r="C1743" s="128">
        <v>7</v>
      </c>
      <c r="D1743" s="136">
        <f t="shared" si="77"/>
        <v>28</v>
      </c>
      <c r="E1743" s="136">
        <f t="shared" si="78"/>
        <v>14</v>
      </c>
      <c r="F1743" s="128" t="s">
        <v>24</v>
      </c>
      <c r="G1743" s="128" t="str">
        <f>VLOOKUP(source[[#This Row],[lending_product_transform]],[3]Mapping!$B$4:$C$37,2,0)</f>
        <v>[Cake] - Cashloan</v>
      </c>
      <c r="H1743" s="128" t="str">
        <f>VLOOKUP(source[[#This Row],[lending_product_transform]],[3]Mapping!$B$3:$D$37,3,0)</f>
        <v>cashloan</v>
      </c>
      <c r="I1743" s="135">
        <v>4840510000</v>
      </c>
    </row>
    <row r="1744" spans="1:9" x14ac:dyDescent="0.2">
      <c r="A1744" s="134">
        <v>45487</v>
      </c>
      <c r="B1744" s="135">
        <f>YEAR(source[[#This Row],[report_date]])</f>
        <v>2024</v>
      </c>
      <c r="C1744" s="128">
        <v>7</v>
      </c>
      <c r="D1744" s="136">
        <f t="shared" si="77"/>
        <v>28</v>
      </c>
      <c r="E1744" s="136">
        <f t="shared" si="78"/>
        <v>14</v>
      </c>
      <c r="F1744" s="128" t="s">
        <v>24</v>
      </c>
      <c r="G1744" s="128" t="str">
        <f>VLOOKUP(source[[#This Row],[lending_product_transform]],[3]Mapping!$B$4:$C$37,2,0)</f>
        <v>[Cake] - Cashloan</v>
      </c>
      <c r="H1744" s="128" t="str">
        <f>VLOOKUP(source[[#This Row],[lending_product_transform]],[3]Mapping!$B$3:$D$37,3,0)</f>
        <v>cashloan</v>
      </c>
      <c r="I1744" s="135">
        <v>21000000</v>
      </c>
    </row>
    <row r="1745" spans="1:9" x14ac:dyDescent="0.2">
      <c r="A1745" s="134">
        <v>45487</v>
      </c>
      <c r="B1745" s="135">
        <f>YEAR(source[[#This Row],[report_date]])</f>
        <v>2024</v>
      </c>
      <c r="C1745" s="128">
        <v>7</v>
      </c>
      <c r="D1745" s="136">
        <f t="shared" si="77"/>
        <v>28</v>
      </c>
      <c r="E1745" s="136">
        <f t="shared" si="78"/>
        <v>14</v>
      </c>
      <c r="F1745" s="128" t="s">
        <v>24</v>
      </c>
      <c r="G1745" s="128" t="str">
        <f>VLOOKUP(source[[#This Row],[lending_product_transform]],[3]Mapping!$B$4:$C$37,2,0)</f>
        <v>[Cake] - Cashloan</v>
      </c>
      <c r="H1745" s="128" t="str">
        <f>VLOOKUP(source[[#This Row],[lending_product_transform]],[3]Mapping!$B$3:$D$37,3,0)</f>
        <v>cashloan</v>
      </c>
      <c r="I1745" s="135">
        <v>3394500000</v>
      </c>
    </row>
    <row r="1746" spans="1:9" x14ac:dyDescent="0.2">
      <c r="A1746" s="134">
        <v>45487</v>
      </c>
      <c r="B1746" s="135">
        <f>YEAR(source[[#This Row],[report_date]])</f>
        <v>2024</v>
      </c>
      <c r="C1746" s="128">
        <v>7</v>
      </c>
      <c r="D1746" s="136">
        <f t="shared" si="77"/>
        <v>28</v>
      </c>
      <c r="E1746" s="136">
        <f t="shared" si="78"/>
        <v>14</v>
      </c>
      <c r="F1746" s="128" t="s">
        <v>24</v>
      </c>
      <c r="G1746" s="128" t="str">
        <f>VLOOKUP(source[[#This Row],[lending_product_transform]],[3]Mapping!$B$4:$C$37,2,0)</f>
        <v>[Cake] - Cashloan</v>
      </c>
      <c r="H1746" s="128" t="str">
        <f>VLOOKUP(source[[#This Row],[lending_product_transform]],[3]Mapping!$B$3:$D$37,3,0)</f>
        <v>cashloan</v>
      </c>
      <c r="I1746" s="135">
        <v>84000000</v>
      </c>
    </row>
    <row r="1747" spans="1:9" x14ac:dyDescent="0.2">
      <c r="A1747" s="134">
        <v>45487</v>
      </c>
      <c r="B1747" s="135">
        <f>YEAR(source[[#This Row],[report_date]])</f>
        <v>2024</v>
      </c>
      <c r="C1747" s="128">
        <v>7</v>
      </c>
      <c r="D1747" s="136">
        <f t="shared" si="77"/>
        <v>28</v>
      </c>
      <c r="E1747" s="136">
        <f t="shared" si="78"/>
        <v>14</v>
      </c>
      <c r="F1747" s="128" t="s">
        <v>24</v>
      </c>
      <c r="G1747" s="128" t="str">
        <f>VLOOKUP(source[[#This Row],[lending_product_transform]],[3]Mapping!$B$4:$C$37,2,0)</f>
        <v>[Cake] - Cashloan</v>
      </c>
      <c r="H1747" s="128" t="str">
        <f>VLOOKUP(source[[#This Row],[lending_product_transform]],[3]Mapping!$B$3:$D$37,3,0)</f>
        <v>cashloan</v>
      </c>
      <c r="I1747" s="135">
        <v>645180000</v>
      </c>
    </row>
    <row r="1748" spans="1:9" x14ac:dyDescent="0.2">
      <c r="A1748" s="134">
        <v>45487</v>
      </c>
      <c r="B1748" s="135">
        <f>YEAR(source[[#This Row],[report_date]])</f>
        <v>2024</v>
      </c>
      <c r="C1748" s="128">
        <v>7</v>
      </c>
      <c r="D1748" s="136">
        <f t="shared" si="77"/>
        <v>28</v>
      </c>
      <c r="E1748" s="136">
        <f t="shared" si="78"/>
        <v>14</v>
      </c>
      <c r="F1748" s="128" t="s">
        <v>24</v>
      </c>
      <c r="G1748" s="128" t="str">
        <f>VLOOKUP(source[[#This Row],[lending_product_transform]],[3]Mapping!$B$4:$C$37,2,0)</f>
        <v>[Cake] - Cashloan</v>
      </c>
      <c r="H1748" s="128" t="str">
        <f>VLOOKUP(source[[#This Row],[lending_product_transform]],[3]Mapping!$B$3:$D$37,3,0)</f>
        <v>cashloan</v>
      </c>
      <c r="I1748" s="135">
        <v>2303081443</v>
      </c>
    </row>
    <row r="1749" spans="1:9" x14ac:dyDescent="0.2">
      <c r="A1749" s="134">
        <v>45487</v>
      </c>
      <c r="B1749" s="135">
        <f>YEAR(source[[#This Row],[report_date]])</f>
        <v>2024</v>
      </c>
      <c r="C1749" s="128">
        <v>7</v>
      </c>
      <c r="D1749" s="136">
        <f t="shared" si="77"/>
        <v>28</v>
      </c>
      <c r="E1749" s="136">
        <f t="shared" si="78"/>
        <v>14</v>
      </c>
      <c r="F1749" s="128" t="s">
        <v>24</v>
      </c>
      <c r="G1749" s="128" t="str">
        <f>VLOOKUP(source[[#This Row],[lending_product_transform]],[3]Mapping!$B$4:$C$37,2,0)</f>
        <v>[Cake] - Cashloan</v>
      </c>
      <c r="H1749" s="128" t="str">
        <f>VLOOKUP(source[[#This Row],[lending_product_transform]],[3]Mapping!$B$3:$D$37,3,0)</f>
        <v>cashloan</v>
      </c>
      <c r="I1749" s="135">
        <v>24980000</v>
      </c>
    </row>
    <row r="1750" spans="1:9" x14ac:dyDescent="0.2">
      <c r="A1750" s="134">
        <v>45487</v>
      </c>
      <c r="B1750" s="135">
        <f>YEAR(source[[#This Row],[report_date]])</f>
        <v>2024</v>
      </c>
      <c r="C1750" s="128">
        <v>7</v>
      </c>
      <c r="D1750" s="136">
        <f t="shared" si="77"/>
        <v>28</v>
      </c>
      <c r="E1750" s="136">
        <f t="shared" si="78"/>
        <v>14</v>
      </c>
      <c r="F1750" s="128" t="s">
        <v>24</v>
      </c>
      <c r="G1750" s="128" t="str">
        <f>VLOOKUP(source[[#This Row],[lending_product_transform]],[3]Mapping!$B$4:$C$37,2,0)</f>
        <v>[Cake] - Cashloan</v>
      </c>
      <c r="H1750" s="128" t="str">
        <f>VLOOKUP(source[[#This Row],[lending_product_transform]],[3]Mapping!$B$3:$D$37,3,0)</f>
        <v>cashloan</v>
      </c>
      <c r="I1750" s="135">
        <v>0</v>
      </c>
    </row>
    <row r="1751" spans="1:9" x14ac:dyDescent="0.2">
      <c r="A1751" s="134">
        <v>45487</v>
      </c>
      <c r="B1751" s="135">
        <f>YEAR(source[[#This Row],[report_date]])</f>
        <v>2024</v>
      </c>
      <c r="C1751" s="128">
        <v>7</v>
      </c>
      <c r="D1751" s="136">
        <f t="shared" si="77"/>
        <v>28</v>
      </c>
      <c r="E1751" s="136">
        <f t="shared" si="78"/>
        <v>14</v>
      </c>
      <c r="F1751" s="128" t="s">
        <v>24</v>
      </c>
      <c r="G1751" s="128" t="str">
        <f>VLOOKUP(source[[#This Row],[lending_product_transform]],[3]Mapping!$B$4:$C$37,2,0)</f>
        <v>[Cake] - Cashloan</v>
      </c>
      <c r="H1751" s="128" t="str">
        <f>VLOOKUP(source[[#This Row],[lending_product_transform]],[3]Mapping!$B$3:$D$37,3,0)</f>
        <v>cashloan</v>
      </c>
      <c r="I1751" s="135">
        <v>3281880000</v>
      </c>
    </row>
    <row r="1752" spans="1:9" x14ac:dyDescent="0.2">
      <c r="A1752" s="134">
        <v>45488</v>
      </c>
      <c r="B1752" s="135">
        <f>YEAR(source[[#This Row],[report_date]])</f>
        <v>2024</v>
      </c>
      <c r="C1752" s="128">
        <v>7</v>
      </c>
      <c r="D1752" s="136">
        <f t="shared" si="77"/>
        <v>29</v>
      </c>
      <c r="E1752" s="136">
        <f t="shared" si="78"/>
        <v>15</v>
      </c>
      <c r="F1752" s="128" t="s">
        <v>24</v>
      </c>
      <c r="G1752" s="128" t="str">
        <f>VLOOKUP(source[[#This Row],[lending_product_transform]],[3]Mapping!$B$4:$C$37,2,0)</f>
        <v>[Cake] - Cashloan</v>
      </c>
      <c r="H1752" s="128" t="str">
        <f>VLOOKUP(source[[#This Row],[lending_product_transform]],[3]Mapping!$B$3:$D$37,3,0)</f>
        <v>cashloan</v>
      </c>
      <c r="I1752" s="135">
        <v>6710950000</v>
      </c>
    </row>
    <row r="1753" spans="1:9" x14ac:dyDescent="0.2">
      <c r="A1753" s="134">
        <v>45488</v>
      </c>
      <c r="B1753" s="135">
        <f>YEAR(source[[#This Row],[report_date]])</f>
        <v>2024</v>
      </c>
      <c r="C1753" s="128">
        <v>7</v>
      </c>
      <c r="D1753" s="136">
        <f t="shared" si="77"/>
        <v>29</v>
      </c>
      <c r="E1753" s="136">
        <f t="shared" si="78"/>
        <v>15</v>
      </c>
      <c r="F1753" s="128" t="s">
        <v>24</v>
      </c>
      <c r="G1753" s="128" t="str">
        <f>VLOOKUP(source[[#This Row],[lending_product_transform]],[3]Mapping!$B$4:$C$37,2,0)</f>
        <v>[Cake] - Cashloan</v>
      </c>
      <c r="H1753" s="128" t="str">
        <f>VLOOKUP(source[[#This Row],[lending_product_transform]],[3]Mapping!$B$3:$D$37,3,0)</f>
        <v>cashloan</v>
      </c>
      <c r="I1753" s="135">
        <v>1941350000</v>
      </c>
    </row>
    <row r="1754" spans="1:9" x14ac:dyDescent="0.2">
      <c r="A1754" s="134">
        <v>45488</v>
      </c>
      <c r="B1754" s="135">
        <f>YEAR(source[[#This Row],[report_date]])</f>
        <v>2024</v>
      </c>
      <c r="C1754" s="128">
        <v>7</v>
      </c>
      <c r="D1754" s="136">
        <f t="shared" si="77"/>
        <v>29</v>
      </c>
      <c r="E1754" s="136">
        <f t="shared" si="78"/>
        <v>15</v>
      </c>
      <c r="F1754" s="128" t="s">
        <v>24</v>
      </c>
      <c r="G1754" s="128" t="str">
        <f>VLOOKUP(source[[#This Row],[lending_product_transform]],[3]Mapping!$B$4:$C$37,2,0)</f>
        <v>[Cake] - Cashloan</v>
      </c>
      <c r="H1754" s="128" t="str">
        <f>VLOOKUP(source[[#This Row],[lending_product_transform]],[3]Mapping!$B$3:$D$37,3,0)</f>
        <v>cashloan</v>
      </c>
      <c r="I1754" s="135">
        <v>5358670000</v>
      </c>
    </row>
    <row r="1755" spans="1:9" x14ac:dyDescent="0.2">
      <c r="A1755" s="134">
        <v>45488</v>
      </c>
      <c r="B1755" s="135">
        <f>YEAR(source[[#This Row],[report_date]])</f>
        <v>2024</v>
      </c>
      <c r="C1755" s="128">
        <v>7</v>
      </c>
      <c r="D1755" s="136">
        <f t="shared" si="77"/>
        <v>29</v>
      </c>
      <c r="E1755" s="136">
        <f t="shared" si="78"/>
        <v>15</v>
      </c>
      <c r="F1755" s="128" t="s">
        <v>24</v>
      </c>
      <c r="G1755" s="128" t="str">
        <f>VLOOKUP(source[[#This Row],[lending_product_transform]],[3]Mapping!$B$4:$C$37,2,0)</f>
        <v>[Cake] - Cashloan</v>
      </c>
      <c r="H1755" s="128" t="str">
        <f>VLOOKUP(source[[#This Row],[lending_product_transform]],[3]Mapping!$B$3:$D$37,3,0)</f>
        <v>cashloan</v>
      </c>
      <c r="I1755" s="135">
        <v>84000000</v>
      </c>
    </row>
    <row r="1756" spans="1:9" x14ac:dyDescent="0.2">
      <c r="A1756" s="134">
        <v>45488</v>
      </c>
      <c r="B1756" s="135">
        <f>YEAR(source[[#This Row],[report_date]])</f>
        <v>2024</v>
      </c>
      <c r="C1756" s="128">
        <v>7</v>
      </c>
      <c r="D1756" s="136">
        <f t="shared" si="77"/>
        <v>29</v>
      </c>
      <c r="E1756" s="136">
        <f t="shared" si="78"/>
        <v>15</v>
      </c>
      <c r="F1756" s="128" t="s">
        <v>24</v>
      </c>
      <c r="G1756" s="128" t="str">
        <f>VLOOKUP(source[[#This Row],[lending_product_transform]],[3]Mapping!$B$4:$C$37,2,0)</f>
        <v>[Cake] - Cashloan</v>
      </c>
      <c r="H1756" s="128" t="str">
        <f>VLOOKUP(source[[#This Row],[lending_product_transform]],[3]Mapping!$B$3:$D$37,3,0)</f>
        <v>cashloan</v>
      </c>
      <c r="I1756" s="135">
        <v>46000000</v>
      </c>
    </row>
    <row r="1757" spans="1:9" x14ac:dyDescent="0.2">
      <c r="A1757" s="134">
        <v>45488</v>
      </c>
      <c r="B1757" s="135">
        <f>YEAR(source[[#This Row],[report_date]])</f>
        <v>2024</v>
      </c>
      <c r="C1757" s="128">
        <v>7</v>
      </c>
      <c r="D1757" s="136">
        <f t="shared" si="77"/>
        <v>29</v>
      </c>
      <c r="E1757" s="136">
        <f t="shared" si="78"/>
        <v>15</v>
      </c>
      <c r="F1757" s="128" t="s">
        <v>24</v>
      </c>
      <c r="G1757" s="128" t="str">
        <f>VLOOKUP(source[[#This Row],[lending_product_transform]],[3]Mapping!$B$4:$C$37,2,0)</f>
        <v>[Cake] - Cashloan</v>
      </c>
      <c r="H1757" s="128" t="str">
        <f>VLOOKUP(source[[#This Row],[lending_product_transform]],[3]Mapping!$B$3:$D$37,3,0)</f>
        <v>cashloan</v>
      </c>
      <c r="I1757" s="135">
        <v>115500000</v>
      </c>
    </row>
    <row r="1758" spans="1:9" x14ac:dyDescent="0.2">
      <c r="A1758" s="134">
        <v>45488</v>
      </c>
      <c r="B1758" s="135">
        <f>YEAR(source[[#This Row],[report_date]])</f>
        <v>2024</v>
      </c>
      <c r="C1758" s="128">
        <v>7</v>
      </c>
      <c r="D1758" s="136">
        <f t="shared" si="77"/>
        <v>29</v>
      </c>
      <c r="E1758" s="136">
        <f t="shared" si="78"/>
        <v>15</v>
      </c>
      <c r="F1758" s="128" t="s">
        <v>24</v>
      </c>
      <c r="G1758" s="128" t="str">
        <f>VLOOKUP(source[[#This Row],[lending_product_transform]],[3]Mapping!$B$4:$C$37,2,0)</f>
        <v>[Cake] - Cashloan</v>
      </c>
      <c r="H1758" s="128" t="str">
        <f>VLOOKUP(source[[#This Row],[lending_product_transform]],[3]Mapping!$B$3:$D$37,3,0)</f>
        <v>cashloan</v>
      </c>
      <c r="I1758" s="135">
        <v>4459500000</v>
      </c>
    </row>
    <row r="1759" spans="1:9" x14ac:dyDescent="0.2">
      <c r="A1759" s="134">
        <v>45488</v>
      </c>
      <c r="B1759" s="135">
        <f>YEAR(source[[#This Row],[report_date]])</f>
        <v>2024</v>
      </c>
      <c r="C1759" s="128">
        <v>7</v>
      </c>
      <c r="D1759" s="136">
        <f t="shared" si="77"/>
        <v>29</v>
      </c>
      <c r="E1759" s="136">
        <f t="shared" si="78"/>
        <v>15</v>
      </c>
      <c r="F1759" s="128" t="s">
        <v>24</v>
      </c>
      <c r="G1759" s="128" t="str">
        <f>VLOOKUP(source[[#This Row],[lending_product_transform]],[3]Mapping!$B$4:$C$37,2,0)</f>
        <v>[Cake] - Cashloan</v>
      </c>
      <c r="H1759" s="128" t="str">
        <f>VLOOKUP(source[[#This Row],[lending_product_transform]],[3]Mapping!$B$3:$D$37,3,0)</f>
        <v>cashloan</v>
      </c>
      <c r="I1759" s="135">
        <v>139225844</v>
      </c>
    </row>
    <row r="1760" spans="1:9" x14ac:dyDescent="0.2">
      <c r="A1760" s="134">
        <v>45488</v>
      </c>
      <c r="B1760" s="135">
        <f>YEAR(source[[#This Row],[report_date]])</f>
        <v>2024</v>
      </c>
      <c r="C1760" s="128">
        <v>7</v>
      </c>
      <c r="D1760" s="136">
        <f t="shared" si="77"/>
        <v>29</v>
      </c>
      <c r="E1760" s="136">
        <f t="shared" si="78"/>
        <v>15</v>
      </c>
      <c r="F1760" s="128" t="s">
        <v>24</v>
      </c>
      <c r="G1760" s="128" t="str">
        <f>VLOOKUP(source[[#This Row],[lending_product_transform]],[3]Mapping!$B$4:$C$37,2,0)</f>
        <v>[Cake] - Cashloan</v>
      </c>
      <c r="H1760" s="128" t="str">
        <f>VLOOKUP(source[[#This Row],[lending_product_transform]],[3]Mapping!$B$3:$D$37,3,0)</f>
        <v>cashloan</v>
      </c>
      <c r="I1760" s="135">
        <v>14980000</v>
      </c>
    </row>
    <row r="1761" spans="1:9" x14ac:dyDescent="0.2">
      <c r="A1761" s="134">
        <v>45488</v>
      </c>
      <c r="B1761" s="135">
        <f>YEAR(source[[#This Row],[report_date]])</f>
        <v>2024</v>
      </c>
      <c r="C1761" s="128">
        <v>7</v>
      </c>
      <c r="D1761" s="136">
        <f t="shared" si="77"/>
        <v>29</v>
      </c>
      <c r="E1761" s="136">
        <f t="shared" si="78"/>
        <v>15</v>
      </c>
      <c r="F1761" s="128" t="s">
        <v>24</v>
      </c>
      <c r="G1761" s="128" t="str">
        <f>VLOOKUP(source[[#This Row],[lending_product_transform]],[3]Mapping!$B$4:$C$37,2,0)</f>
        <v>[Cake] - Cashloan</v>
      </c>
      <c r="H1761" s="128" t="str">
        <f>VLOOKUP(source[[#This Row],[lending_product_transform]],[3]Mapping!$B$3:$D$37,3,0)</f>
        <v>cashloan</v>
      </c>
      <c r="I1761" s="135">
        <v>18000000</v>
      </c>
    </row>
    <row r="1762" spans="1:9" x14ac:dyDescent="0.2">
      <c r="A1762" s="134">
        <v>45488</v>
      </c>
      <c r="B1762" s="135">
        <f>YEAR(source[[#This Row],[report_date]])</f>
        <v>2024</v>
      </c>
      <c r="C1762" s="128">
        <v>7</v>
      </c>
      <c r="D1762" s="136">
        <f t="shared" si="77"/>
        <v>29</v>
      </c>
      <c r="E1762" s="136">
        <f t="shared" si="78"/>
        <v>15</v>
      </c>
      <c r="F1762" s="128" t="s">
        <v>24</v>
      </c>
      <c r="G1762" s="128" t="str">
        <f>VLOOKUP(source[[#This Row],[lending_product_transform]],[3]Mapping!$B$4:$C$37,2,0)</f>
        <v>[Cake] - Cashloan</v>
      </c>
      <c r="H1762" s="128" t="str">
        <f>VLOOKUP(source[[#This Row],[lending_product_transform]],[3]Mapping!$B$3:$D$37,3,0)</f>
        <v>cashloan</v>
      </c>
      <c r="I1762" s="135">
        <v>2823095065</v>
      </c>
    </row>
    <row r="1763" spans="1:9" x14ac:dyDescent="0.2">
      <c r="A1763" s="134">
        <v>45488</v>
      </c>
      <c r="B1763" s="135">
        <f>YEAR(source[[#This Row],[report_date]])</f>
        <v>2024</v>
      </c>
      <c r="C1763" s="128">
        <v>7</v>
      </c>
      <c r="D1763" s="136">
        <f t="shared" si="77"/>
        <v>29</v>
      </c>
      <c r="E1763" s="136">
        <f t="shared" si="78"/>
        <v>15</v>
      </c>
      <c r="F1763" s="128" t="s">
        <v>24</v>
      </c>
      <c r="G1763" s="128" t="str">
        <f>VLOOKUP(source[[#This Row],[lending_product_transform]],[3]Mapping!$B$4:$C$37,2,0)</f>
        <v>[Cake] - Cashloan</v>
      </c>
      <c r="H1763" s="128" t="str">
        <f>VLOOKUP(source[[#This Row],[lending_product_transform]],[3]Mapping!$B$3:$D$37,3,0)</f>
        <v>cashloan</v>
      </c>
      <c r="I1763" s="135">
        <v>17100450</v>
      </c>
    </row>
    <row r="1764" spans="1:9" x14ac:dyDescent="0.2">
      <c r="A1764" s="134">
        <v>45489</v>
      </c>
      <c r="B1764" s="135">
        <f>YEAR(source[[#This Row],[report_date]])</f>
        <v>2024</v>
      </c>
      <c r="C1764" s="128">
        <v>7</v>
      </c>
      <c r="D1764" s="136">
        <f t="shared" si="77"/>
        <v>29</v>
      </c>
      <c r="E1764" s="136">
        <f t="shared" si="78"/>
        <v>16</v>
      </c>
      <c r="F1764" s="128" t="s">
        <v>24</v>
      </c>
      <c r="G1764" s="128" t="str">
        <f>VLOOKUP(source[[#This Row],[lending_product_transform]],[3]Mapping!$B$4:$C$37,2,0)</f>
        <v>[Cake] - Cashloan</v>
      </c>
      <c r="H1764" s="128" t="str">
        <f>VLOOKUP(source[[#This Row],[lending_product_transform]],[3]Mapping!$B$3:$D$37,3,0)</f>
        <v>cashloan</v>
      </c>
      <c r="I1764" s="135">
        <v>2836260000</v>
      </c>
    </row>
    <row r="1765" spans="1:9" x14ac:dyDescent="0.2">
      <c r="A1765" s="134">
        <v>45489</v>
      </c>
      <c r="B1765" s="135">
        <f>YEAR(source[[#This Row],[report_date]])</f>
        <v>2024</v>
      </c>
      <c r="C1765" s="128">
        <v>7</v>
      </c>
      <c r="D1765" s="136">
        <f t="shared" si="77"/>
        <v>29</v>
      </c>
      <c r="E1765" s="136">
        <f t="shared" si="78"/>
        <v>16</v>
      </c>
      <c r="F1765" s="128" t="s">
        <v>24</v>
      </c>
      <c r="G1765" s="128" t="str">
        <f>VLOOKUP(source[[#This Row],[lending_product_transform]],[3]Mapping!$B$4:$C$37,2,0)</f>
        <v>[Cake] - Cashloan</v>
      </c>
      <c r="H1765" s="128" t="str">
        <f>VLOOKUP(source[[#This Row],[lending_product_transform]],[3]Mapping!$B$3:$D$37,3,0)</f>
        <v>cashloan</v>
      </c>
      <c r="I1765" s="135">
        <v>20267295</v>
      </c>
    </row>
    <row r="1766" spans="1:9" x14ac:dyDescent="0.2">
      <c r="A1766" s="134">
        <v>45489</v>
      </c>
      <c r="B1766" s="135">
        <f>YEAR(source[[#This Row],[report_date]])</f>
        <v>2024</v>
      </c>
      <c r="C1766" s="128">
        <v>7</v>
      </c>
      <c r="D1766" s="136">
        <f t="shared" si="77"/>
        <v>29</v>
      </c>
      <c r="E1766" s="136">
        <f t="shared" si="78"/>
        <v>16</v>
      </c>
      <c r="F1766" s="128" t="s">
        <v>24</v>
      </c>
      <c r="G1766" s="128" t="str">
        <f>VLOOKUP(source[[#This Row],[lending_product_transform]],[3]Mapping!$B$4:$C$37,2,0)</f>
        <v>[Cake] - Cashloan</v>
      </c>
      <c r="H1766" s="128" t="str">
        <f>VLOOKUP(source[[#This Row],[lending_product_transform]],[3]Mapping!$B$3:$D$37,3,0)</f>
        <v>cashloan</v>
      </c>
      <c r="I1766" s="135">
        <v>6031900000</v>
      </c>
    </row>
    <row r="1767" spans="1:9" x14ac:dyDescent="0.2">
      <c r="A1767" s="134">
        <v>45489</v>
      </c>
      <c r="B1767" s="135">
        <f>YEAR(source[[#This Row],[report_date]])</f>
        <v>2024</v>
      </c>
      <c r="C1767" s="128">
        <v>7</v>
      </c>
      <c r="D1767" s="136">
        <f t="shared" si="77"/>
        <v>29</v>
      </c>
      <c r="E1767" s="136">
        <f t="shared" si="78"/>
        <v>16</v>
      </c>
      <c r="F1767" s="128" t="s">
        <v>24</v>
      </c>
      <c r="G1767" s="128" t="str">
        <f>VLOOKUP(source[[#This Row],[lending_product_transform]],[3]Mapping!$B$4:$C$37,2,0)</f>
        <v>[Cake] - Cashloan</v>
      </c>
      <c r="H1767" s="128" t="str">
        <f>VLOOKUP(source[[#This Row],[lending_product_transform]],[3]Mapping!$B$3:$D$37,3,0)</f>
        <v>cashloan</v>
      </c>
      <c r="I1767" s="135">
        <v>122850000</v>
      </c>
    </row>
    <row r="1768" spans="1:9" x14ac:dyDescent="0.2">
      <c r="A1768" s="134">
        <v>45489</v>
      </c>
      <c r="B1768" s="135">
        <f>YEAR(source[[#This Row],[report_date]])</f>
        <v>2024</v>
      </c>
      <c r="C1768" s="128">
        <v>7</v>
      </c>
      <c r="D1768" s="136">
        <f t="shared" si="77"/>
        <v>29</v>
      </c>
      <c r="E1768" s="136">
        <f t="shared" si="78"/>
        <v>16</v>
      </c>
      <c r="F1768" s="128" t="s">
        <v>24</v>
      </c>
      <c r="G1768" s="128" t="str">
        <f>VLOOKUP(source[[#This Row],[lending_product_transform]],[3]Mapping!$B$4:$C$37,2,0)</f>
        <v>[Cake] - Cashloan</v>
      </c>
      <c r="H1768" s="128" t="str">
        <f>VLOOKUP(source[[#This Row],[lending_product_transform]],[3]Mapping!$B$3:$D$37,3,0)</f>
        <v>cashloan</v>
      </c>
      <c r="I1768" s="135">
        <v>0</v>
      </c>
    </row>
    <row r="1769" spans="1:9" x14ac:dyDescent="0.2">
      <c r="A1769" s="134">
        <v>45489</v>
      </c>
      <c r="B1769" s="135">
        <f>YEAR(source[[#This Row],[report_date]])</f>
        <v>2024</v>
      </c>
      <c r="C1769" s="128">
        <v>7</v>
      </c>
      <c r="D1769" s="136">
        <f t="shared" si="77"/>
        <v>29</v>
      </c>
      <c r="E1769" s="136">
        <f t="shared" si="78"/>
        <v>16</v>
      </c>
      <c r="F1769" s="128" t="s">
        <v>24</v>
      </c>
      <c r="G1769" s="128" t="str">
        <f>VLOOKUP(source[[#This Row],[lending_product_transform]],[3]Mapping!$B$4:$C$37,2,0)</f>
        <v>[Cake] - Cashloan</v>
      </c>
      <c r="H1769" s="128" t="str">
        <f>VLOOKUP(source[[#This Row],[lending_product_transform]],[3]Mapping!$B$3:$D$37,3,0)</f>
        <v>cashloan</v>
      </c>
      <c r="I1769" s="135">
        <v>66000000</v>
      </c>
    </row>
    <row r="1770" spans="1:9" x14ac:dyDescent="0.2">
      <c r="A1770" s="134">
        <v>45489</v>
      </c>
      <c r="B1770" s="135">
        <f>YEAR(source[[#This Row],[report_date]])</f>
        <v>2024</v>
      </c>
      <c r="C1770" s="128">
        <v>7</v>
      </c>
      <c r="D1770" s="136">
        <f t="shared" si="77"/>
        <v>29</v>
      </c>
      <c r="E1770" s="136">
        <f t="shared" si="78"/>
        <v>16</v>
      </c>
      <c r="F1770" s="128" t="s">
        <v>24</v>
      </c>
      <c r="G1770" s="128" t="str">
        <f>VLOOKUP(source[[#This Row],[lending_product_transform]],[3]Mapping!$B$4:$C$37,2,0)</f>
        <v>[Cake] - Cashloan</v>
      </c>
      <c r="H1770" s="128" t="str">
        <f>VLOOKUP(source[[#This Row],[lending_product_transform]],[3]Mapping!$B$3:$D$37,3,0)</f>
        <v>cashloan</v>
      </c>
      <c r="I1770" s="135">
        <v>85600000</v>
      </c>
    </row>
    <row r="1771" spans="1:9" x14ac:dyDescent="0.2">
      <c r="A1771" s="134">
        <v>45489</v>
      </c>
      <c r="B1771" s="135">
        <f>YEAR(source[[#This Row],[report_date]])</f>
        <v>2024</v>
      </c>
      <c r="C1771" s="128">
        <v>7</v>
      </c>
      <c r="D1771" s="136">
        <f t="shared" si="77"/>
        <v>29</v>
      </c>
      <c r="E1771" s="136">
        <f t="shared" si="78"/>
        <v>16</v>
      </c>
      <c r="F1771" s="128" t="s">
        <v>24</v>
      </c>
      <c r="G1771" s="128" t="str">
        <f>VLOOKUP(source[[#This Row],[lending_product_transform]],[3]Mapping!$B$4:$C$37,2,0)</f>
        <v>[Cake] - Cashloan</v>
      </c>
      <c r="H1771" s="128" t="str">
        <f>VLOOKUP(source[[#This Row],[lending_product_transform]],[3]Mapping!$B$3:$D$37,3,0)</f>
        <v>cashloan</v>
      </c>
      <c r="I1771" s="135">
        <v>2128293547</v>
      </c>
    </row>
    <row r="1772" spans="1:9" x14ac:dyDescent="0.2">
      <c r="A1772" s="134">
        <v>45489</v>
      </c>
      <c r="B1772" s="135">
        <f>YEAR(source[[#This Row],[report_date]])</f>
        <v>2024</v>
      </c>
      <c r="C1772" s="128">
        <v>7</v>
      </c>
      <c r="D1772" s="136">
        <f t="shared" si="77"/>
        <v>29</v>
      </c>
      <c r="E1772" s="136">
        <f t="shared" si="78"/>
        <v>16</v>
      </c>
      <c r="F1772" s="128" t="s">
        <v>24</v>
      </c>
      <c r="G1772" s="128" t="str">
        <f>VLOOKUP(source[[#This Row],[lending_product_transform]],[3]Mapping!$B$4:$C$37,2,0)</f>
        <v>[Cake] - Cashloan</v>
      </c>
      <c r="H1772" s="128" t="str">
        <f>VLOOKUP(source[[#This Row],[lending_product_transform]],[3]Mapping!$B$3:$D$37,3,0)</f>
        <v>cashloan</v>
      </c>
      <c r="I1772" s="135">
        <v>3683500000</v>
      </c>
    </row>
    <row r="1773" spans="1:9" x14ac:dyDescent="0.2">
      <c r="A1773" s="134">
        <v>45489</v>
      </c>
      <c r="B1773" s="135">
        <f>YEAR(source[[#This Row],[report_date]])</f>
        <v>2024</v>
      </c>
      <c r="C1773" s="128">
        <v>7</v>
      </c>
      <c r="D1773" s="136">
        <f t="shared" si="77"/>
        <v>29</v>
      </c>
      <c r="E1773" s="136">
        <f t="shared" si="78"/>
        <v>16</v>
      </c>
      <c r="F1773" s="128" t="s">
        <v>24</v>
      </c>
      <c r="G1773" s="128" t="str">
        <f>VLOOKUP(source[[#This Row],[lending_product_transform]],[3]Mapping!$B$4:$C$37,2,0)</f>
        <v>[Cake] - Cashloan</v>
      </c>
      <c r="H1773" s="128" t="str">
        <f>VLOOKUP(source[[#This Row],[lending_product_transform]],[3]Mapping!$B$3:$D$37,3,0)</f>
        <v>cashloan</v>
      </c>
      <c r="I1773" s="135">
        <v>2012290000</v>
      </c>
    </row>
    <row r="1774" spans="1:9" x14ac:dyDescent="0.2">
      <c r="A1774" s="134">
        <v>45489</v>
      </c>
      <c r="B1774" s="135">
        <f>YEAR(source[[#This Row],[report_date]])</f>
        <v>2024</v>
      </c>
      <c r="C1774" s="128">
        <v>7</v>
      </c>
      <c r="D1774" s="136">
        <f t="shared" si="77"/>
        <v>29</v>
      </c>
      <c r="E1774" s="136">
        <f t="shared" si="78"/>
        <v>16</v>
      </c>
      <c r="F1774" s="128" t="s">
        <v>24</v>
      </c>
      <c r="G1774" s="128" t="str">
        <f>VLOOKUP(source[[#This Row],[lending_product_transform]],[3]Mapping!$B$4:$C$37,2,0)</f>
        <v>[Cake] - Cashloan</v>
      </c>
      <c r="H1774" s="128" t="str">
        <f>VLOOKUP(source[[#This Row],[lending_product_transform]],[3]Mapping!$B$3:$D$37,3,0)</f>
        <v>cashloan</v>
      </c>
      <c r="I1774" s="135">
        <v>30500000</v>
      </c>
    </row>
    <row r="1775" spans="1:9" x14ac:dyDescent="0.2">
      <c r="A1775" s="134">
        <v>45489</v>
      </c>
      <c r="B1775" s="135">
        <f>YEAR(source[[#This Row],[report_date]])</f>
        <v>2024</v>
      </c>
      <c r="C1775" s="128">
        <v>7</v>
      </c>
      <c r="D1775" s="136">
        <f t="shared" si="77"/>
        <v>29</v>
      </c>
      <c r="E1775" s="136">
        <f t="shared" si="78"/>
        <v>16</v>
      </c>
      <c r="F1775" s="128" t="s">
        <v>24</v>
      </c>
      <c r="G1775" s="128" t="str">
        <f>VLOOKUP(source[[#This Row],[lending_product_transform]],[3]Mapping!$B$4:$C$37,2,0)</f>
        <v>[Cake] - Cashloan</v>
      </c>
      <c r="H1775" s="128" t="str">
        <f>VLOOKUP(source[[#This Row],[lending_product_transform]],[3]Mapping!$B$3:$D$37,3,0)</f>
        <v>cashloan</v>
      </c>
      <c r="I1775" s="135">
        <v>145346445</v>
      </c>
    </row>
    <row r="1776" spans="1:9" x14ac:dyDescent="0.2">
      <c r="A1776" s="134">
        <v>45490</v>
      </c>
      <c r="B1776" s="135">
        <f>YEAR(source[[#This Row],[report_date]])</f>
        <v>2024</v>
      </c>
      <c r="C1776" s="128">
        <v>7</v>
      </c>
      <c r="D1776" s="136">
        <f t="shared" si="77"/>
        <v>29</v>
      </c>
      <c r="E1776" s="136">
        <f t="shared" si="78"/>
        <v>17</v>
      </c>
      <c r="F1776" s="128" t="s">
        <v>24</v>
      </c>
      <c r="G1776" s="128" t="str">
        <f>VLOOKUP(source[[#This Row],[lending_product_transform]],[3]Mapping!$B$4:$C$37,2,0)</f>
        <v>[Cake] - Cashloan</v>
      </c>
      <c r="H1776" s="128" t="str">
        <f>VLOOKUP(source[[#This Row],[lending_product_transform]],[3]Mapping!$B$3:$D$37,3,0)</f>
        <v>cashloan</v>
      </c>
      <c r="I1776" s="135">
        <v>78850000</v>
      </c>
    </row>
    <row r="1777" spans="1:9" x14ac:dyDescent="0.2">
      <c r="A1777" s="134">
        <v>45490</v>
      </c>
      <c r="B1777" s="135">
        <f>YEAR(source[[#This Row],[report_date]])</f>
        <v>2024</v>
      </c>
      <c r="C1777" s="128">
        <v>7</v>
      </c>
      <c r="D1777" s="136">
        <f t="shared" si="77"/>
        <v>29</v>
      </c>
      <c r="E1777" s="136">
        <f t="shared" si="78"/>
        <v>17</v>
      </c>
      <c r="F1777" s="128" t="s">
        <v>24</v>
      </c>
      <c r="G1777" s="128" t="str">
        <f>VLOOKUP(source[[#This Row],[lending_product_transform]],[3]Mapping!$B$4:$C$37,2,0)</f>
        <v>[Cake] - Cashloan</v>
      </c>
      <c r="H1777" s="128" t="str">
        <f>VLOOKUP(source[[#This Row],[lending_product_transform]],[3]Mapping!$B$3:$D$37,3,0)</f>
        <v>cashloan</v>
      </c>
      <c r="I1777" s="135">
        <v>124950000</v>
      </c>
    </row>
    <row r="1778" spans="1:9" x14ac:dyDescent="0.2">
      <c r="A1778" s="134">
        <v>45490</v>
      </c>
      <c r="B1778" s="135">
        <f>YEAR(source[[#This Row],[report_date]])</f>
        <v>2024</v>
      </c>
      <c r="C1778" s="128">
        <v>7</v>
      </c>
      <c r="D1778" s="136">
        <f t="shared" si="77"/>
        <v>29</v>
      </c>
      <c r="E1778" s="136">
        <f t="shared" si="78"/>
        <v>17</v>
      </c>
      <c r="F1778" s="128" t="s">
        <v>24</v>
      </c>
      <c r="G1778" s="128" t="str">
        <f>VLOOKUP(source[[#This Row],[lending_product_transform]],[3]Mapping!$B$4:$C$37,2,0)</f>
        <v>[Cake] - Cashloan</v>
      </c>
      <c r="H1778" s="128" t="str">
        <f>VLOOKUP(source[[#This Row],[lending_product_transform]],[3]Mapping!$B$3:$D$37,3,0)</f>
        <v>cashloan</v>
      </c>
      <c r="I1778" s="135">
        <v>35000000</v>
      </c>
    </row>
    <row r="1779" spans="1:9" x14ac:dyDescent="0.2">
      <c r="A1779" s="134">
        <v>45490</v>
      </c>
      <c r="B1779" s="135">
        <f>YEAR(source[[#This Row],[report_date]])</f>
        <v>2024</v>
      </c>
      <c r="C1779" s="128">
        <v>7</v>
      </c>
      <c r="D1779" s="136">
        <f t="shared" si="77"/>
        <v>29</v>
      </c>
      <c r="E1779" s="136">
        <f t="shared" si="78"/>
        <v>17</v>
      </c>
      <c r="F1779" s="128" t="s">
        <v>24</v>
      </c>
      <c r="G1779" s="128" t="str">
        <f>VLOOKUP(source[[#This Row],[lending_product_transform]],[3]Mapping!$B$4:$C$37,2,0)</f>
        <v>[Cake] - Cashloan</v>
      </c>
      <c r="H1779" s="128" t="str">
        <f>VLOOKUP(source[[#This Row],[lending_product_transform]],[3]Mapping!$B$3:$D$37,3,0)</f>
        <v>cashloan</v>
      </c>
      <c r="I1779" s="135">
        <v>128517336</v>
      </c>
    </row>
    <row r="1780" spans="1:9" x14ac:dyDescent="0.2">
      <c r="A1780" s="134">
        <v>45490</v>
      </c>
      <c r="B1780" s="135">
        <f>YEAR(source[[#This Row],[report_date]])</f>
        <v>2024</v>
      </c>
      <c r="C1780" s="128">
        <v>7</v>
      </c>
      <c r="D1780" s="136">
        <f t="shared" si="77"/>
        <v>29</v>
      </c>
      <c r="E1780" s="136">
        <f t="shared" si="78"/>
        <v>17</v>
      </c>
      <c r="F1780" s="128" t="s">
        <v>24</v>
      </c>
      <c r="G1780" s="128" t="str">
        <f>VLOOKUP(source[[#This Row],[lending_product_transform]],[3]Mapping!$B$4:$C$37,2,0)</f>
        <v>[Cake] - Cashloan</v>
      </c>
      <c r="H1780" s="128" t="str">
        <f>VLOOKUP(source[[#This Row],[lending_product_transform]],[3]Mapping!$B$3:$D$37,3,0)</f>
        <v>cashloan</v>
      </c>
      <c r="I1780" s="135">
        <v>72750000</v>
      </c>
    </row>
    <row r="1781" spans="1:9" x14ac:dyDescent="0.2">
      <c r="A1781" s="134">
        <v>45490</v>
      </c>
      <c r="B1781" s="135">
        <f>YEAR(source[[#This Row],[report_date]])</f>
        <v>2024</v>
      </c>
      <c r="C1781" s="128">
        <v>7</v>
      </c>
      <c r="D1781" s="136">
        <f t="shared" si="77"/>
        <v>29</v>
      </c>
      <c r="E1781" s="136">
        <f t="shared" si="78"/>
        <v>17</v>
      </c>
      <c r="F1781" s="128" t="s">
        <v>24</v>
      </c>
      <c r="G1781" s="128" t="str">
        <f>VLOOKUP(source[[#This Row],[lending_product_transform]],[3]Mapping!$B$4:$C$37,2,0)</f>
        <v>[Cake] - Cashloan</v>
      </c>
      <c r="H1781" s="128" t="str">
        <f>VLOOKUP(source[[#This Row],[lending_product_transform]],[3]Mapping!$B$3:$D$37,3,0)</f>
        <v>cashloan</v>
      </c>
      <c r="I1781" s="135">
        <v>6420000</v>
      </c>
    </row>
    <row r="1782" spans="1:9" x14ac:dyDescent="0.2">
      <c r="A1782" s="134">
        <v>45490</v>
      </c>
      <c r="B1782" s="135">
        <f>YEAR(source[[#This Row],[report_date]])</f>
        <v>2024</v>
      </c>
      <c r="C1782" s="128">
        <v>7</v>
      </c>
      <c r="D1782" s="136">
        <f t="shared" si="77"/>
        <v>29</v>
      </c>
      <c r="E1782" s="136">
        <f t="shared" si="78"/>
        <v>17</v>
      </c>
      <c r="F1782" s="128" t="s">
        <v>24</v>
      </c>
      <c r="G1782" s="128" t="str">
        <f>VLOOKUP(source[[#This Row],[lending_product_transform]],[3]Mapping!$B$4:$C$37,2,0)</f>
        <v>[Cake] - Cashloan</v>
      </c>
      <c r="H1782" s="128" t="str">
        <f>VLOOKUP(source[[#This Row],[lending_product_transform]],[3]Mapping!$B$3:$D$37,3,0)</f>
        <v>cashloan</v>
      </c>
      <c r="I1782" s="135">
        <v>10828315</v>
      </c>
    </row>
    <row r="1783" spans="1:9" x14ac:dyDescent="0.2">
      <c r="A1783" s="134">
        <v>45490</v>
      </c>
      <c r="B1783" s="135">
        <f>YEAR(source[[#This Row],[report_date]])</f>
        <v>2024</v>
      </c>
      <c r="C1783" s="128">
        <v>7</v>
      </c>
      <c r="D1783" s="136">
        <f t="shared" si="77"/>
        <v>29</v>
      </c>
      <c r="E1783" s="136">
        <f t="shared" si="78"/>
        <v>17</v>
      </c>
      <c r="F1783" s="128" t="s">
        <v>24</v>
      </c>
      <c r="G1783" s="128" t="str">
        <f>VLOOKUP(source[[#This Row],[lending_product_transform]],[3]Mapping!$B$4:$C$37,2,0)</f>
        <v>[Cake] - Cashloan</v>
      </c>
      <c r="H1783" s="128" t="str">
        <f>VLOOKUP(source[[#This Row],[lending_product_transform]],[3]Mapping!$B$3:$D$37,3,0)</f>
        <v>cashloan</v>
      </c>
      <c r="I1783" s="135">
        <v>1924930000</v>
      </c>
    </row>
    <row r="1784" spans="1:9" x14ac:dyDescent="0.2">
      <c r="A1784" s="134">
        <v>45490</v>
      </c>
      <c r="B1784" s="135">
        <f>YEAR(source[[#This Row],[report_date]])</f>
        <v>2024</v>
      </c>
      <c r="C1784" s="128">
        <v>7</v>
      </c>
      <c r="D1784" s="136">
        <f t="shared" si="77"/>
        <v>29</v>
      </c>
      <c r="E1784" s="136">
        <f t="shared" si="78"/>
        <v>17</v>
      </c>
      <c r="F1784" s="128" t="s">
        <v>24</v>
      </c>
      <c r="G1784" s="128" t="str">
        <f>VLOOKUP(source[[#This Row],[lending_product_transform]],[3]Mapping!$B$4:$C$37,2,0)</f>
        <v>[Cake] - Cashloan</v>
      </c>
      <c r="H1784" s="128" t="str">
        <f>VLOOKUP(source[[#This Row],[lending_product_transform]],[3]Mapping!$B$3:$D$37,3,0)</f>
        <v>cashloan</v>
      </c>
      <c r="I1784" s="135">
        <v>3576000000</v>
      </c>
    </row>
    <row r="1785" spans="1:9" x14ac:dyDescent="0.2">
      <c r="A1785" s="134">
        <v>45490</v>
      </c>
      <c r="B1785" s="135">
        <f>YEAR(source[[#This Row],[report_date]])</f>
        <v>2024</v>
      </c>
      <c r="C1785" s="128">
        <v>7</v>
      </c>
      <c r="D1785" s="136">
        <f t="shared" si="77"/>
        <v>29</v>
      </c>
      <c r="E1785" s="136">
        <f t="shared" si="78"/>
        <v>17</v>
      </c>
      <c r="F1785" s="128" t="s">
        <v>24</v>
      </c>
      <c r="G1785" s="128" t="str">
        <f>VLOOKUP(source[[#This Row],[lending_product_transform]],[3]Mapping!$B$4:$C$37,2,0)</f>
        <v>[Cake] - Cashloan</v>
      </c>
      <c r="H1785" s="128" t="str">
        <f>VLOOKUP(source[[#This Row],[lending_product_transform]],[3]Mapping!$B$3:$D$37,3,0)</f>
        <v>cashloan</v>
      </c>
      <c r="I1785" s="135">
        <v>5384580000</v>
      </c>
    </row>
    <row r="1786" spans="1:9" x14ac:dyDescent="0.2">
      <c r="A1786" s="134">
        <v>45490</v>
      </c>
      <c r="B1786" s="135">
        <f>YEAR(source[[#This Row],[report_date]])</f>
        <v>2024</v>
      </c>
      <c r="C1786" s="128">
        <v>7</v>
      </c>
      <c r="D1786" s="136">
        <f t="shared" si="77"/>
        <v>29</v>
      </c>
      <c r="E1786" s="136">
        <f t="shared" si="78"/>
        <v>17</v>
      </c>
      <c r="F1786" s="128" t="s">
        <v>24</v>
      </c>
      <c r="G1786" s="128" t="str">
        <f>VLOOKUP(source[[#This Row],[lending_product_transform]],[3]Mapping!$B$4:$C$37,2,0)</f>
        <v>[Cake] - Cashloan</v>
      </c>
      <c r="H1786" s="128" t="str">
        <f>VLOOKUP(source[[#This Row],[lending_product_transform]],[3]Mapping!$B$3:$D$37,3,0)</f>
        <v>cashloan</v>
      </c>
      <c r="I1786" s="135">
        <v>2231225552</v>
      </c>
    </row>
    <row r="1787" spans="1:9" x14ac:dyDescent="0.2">
      <c r="A1787" s="134">
        <v>45490</v>
      </c>
      <c r="B1787" s="135">
        <f>YEAR(source[[#This Row],[report_date]])</f>
        <v>2024</v>
      </c>
      <c r="C1787" s="128">
        <v>7</v>
      </c>
      <c r="D1787" s="136">
        <f t="shared" si="77"/>
        <v>29</v>
      </c>
      <c r="E1787" s="136">
        <f t="shared" si="78"/>
        <v>17</v>
      </c>
      <c r="F1787" s="128" t="s">
        <v>24</v>
      </c>
      <c r="G1787" s="128" t="str">
        <f>VLOOKUP(source[[#This Row],[lending_product_transform]],[3]Mapping!$B$4:$C$37,2,0)</f>
        <v>[Cake] - Cashloan</v>
      </c>
      <c r="H1787" s="128" t="str">
        <f>VLOOKUP(source[[#This Row],[lending_product_transform]],[3]Mapping!$B$3:$D$37,3,0)</f>
        <v>cashloan</v>
      </c>
      <c r="I1787" s="135">
        <v>4858670000</v>
      </c>
    </row>
    <row r="1788" spans="1:9" x14ac:dyDescent="0.2">
      <c r="A1788" s="134">
        <v>45491</v>
      </c>
      <c r="B1788" s="135">
        <f>YEAR(source[[#This Row],[report_date]])</f>
        <v>2024</v>
      </c>
      <c r="C1788" s="128">
        <v>7</v>
      </c>
      <c r="D1788" s="136">
        <f t="shared" si="77"/>
        <v>29</v>
      </c>
      <c r="E1788" s="136">
        <f t="shared" si="78"/>
        <v>18</v>
      </c>
      <c r="F1788" s="128" t="s">
        <v>24</v>
      </c>
      <c r="G1788" s="128" t="str">
        <f>VLOOKUP(source[[#This Row],[lending_product_transform]],[3]Mapping!$B$4:$C$37,2,0)</f>
        <v>[Cake] - Cashloan</v>
      </c>
      <c r="H1788" s="128" t="str">
        <f>VLOOKUP(source[[#This Row],[lending_product_transform]],[3]Mapping!$B$3:$D$37,3,0)</f>
        <v>cashloan</v>
      </c>
      <c r="I1788" s="135">
        <v>56750000</v>
      </c>
    </row>
    <row r="1789" spans="1:9" x14ac:dyDescent="0.2">
      <c r="A1789" s="134">
        <v>45491</v>
      </c>
      <c r="B1789" s="135">
        <f>YEAR(source[[#This Row],[report_date]])</f>
        <v>2024</v>
      </c>
      <c r="C1789" s="128">
        <v>7</v>
      </c>
      <c r="D1789" s="136">
        <f t="shared" si="77"/>
        <v>29</v>
      </c>
      <c r="E1789" s="136">
        <f t="shared" si="78"/>
        <v>18</v>
      </c>
      <c r="F1789" s="128" t="s">
        <v>24</v>
      </c>
      <c r="G1789" s="128" t="str">
        <f>VLOOKUP(source[[#This Row],[lending_product_transform]],[3]Mapping!$B$4:$C$37,2,0)</f>
        <v>[Cake] - Cashloan</v>
      </c>
      <c r="H1789" s="128" t="str">
        <f>VLOOKUP(source[[#This Row],[lending_product_transform]],[3]Mapping!$B$3:$D$37,3,0)</f>
        <v>cashloan</v>
      </c>
      <c r="I1789" s="135">
        <v>60800000</v>
      </c>
    </row>
    <row r="1790" spans="1:9" x14ac:dyDescent="0.2">
      <c r="A1790" s="134">
        <v>45491</v>
      </c>
      <c r="B1790" s="135">
        <f>YEAR(source[[#This Row],[report_date]])</f>
        <v>2024</v>
      </c>
      <c r="C1790" s="128">
        <v>7</v>
      </c>
      <c r="D1790" s="136">
        <f t="shared" si="77"/>
        <v>29</v>
      </c>
      <c r="E1790" s="136">
        <f t="shared" si="78"/>
        <v>18</v>
      </c>
      <c r="F1790" s="128" t="s">
        <v>24</v>
      </c>
      <c r="G1790" s="128" t="str">
        <f>VLOOKUP(source[[#This Row],[lending_product_transform]],[3]Mapping!$B$4:$C$37,2,0)</f>
        <v>[Cake] - Cashloan</v>
      </c>
      <c r="H1790" s="128" t="str">
        <f>VLOOKUP(source[[#This Row],[lending_product_transform]],[3]Mapping!$B$3:$D$37,3,0)</f>
        <v>cashloan</v>
      </c>
      <c r="I1790" s="135">
        <v>4168970000</v>
      </c>
    </row>
    <row r="1791" spans="1:9" x14ac:dyDescent="0.2">
      <c r="A1791" s="134">
        <v>45491</v>
      </c>
      <c r="B1791" s="135">
        <f>YEAR(source[[#This Row],[report_date]])</f>
        <v>2024</v>
      </c>
      <c r="C1791" s="128">
        <v>7</v>
      </c>
      <c r="D1791" s="136">
        <f t="shared" si="77"/>
        <v>29</v>
      </c>
      <c r="E1791" s="136">
        <f t="shared" si="78"/>
        <v>18</v>
      </c>
      <c r="F1791" s="128" t="s">
        <v>24</v>
      </c>
      <c r="G1791" s="128" t="str">
        <f>VLOOKUP(source[[#This Row],[lending_product_transform]],[3]Mapping!$B$4:$C$37,2,0)</f>
        <v>[Cake] - Cashloan</v>
      </c>
      <c r="H1791" s="128" t="str">
        <f>VLOOKUP(source[[#This Row],[lending_product_transform]],[3]Mapping!$B$3:$D$37,3,0)</f>
        <v>cashloan</v>
      </c>
      <c r="I1791" s="135">
        <v>0</v>
      </c>
    </row>
    <row r="1792" spans="1:9" x14ac:dyDescent="0.2">
      <c r="A1792" s="134">
        <v>45491</v>
      </c>
      <c r="B1792" s="135">
        <f>YEAR(source[[#This Row],[report_date]])</f>
        <v>2024</v>
      </c>
      <c r="C1792" s="128">
        <v>7</v>
      </c>
      <c r="D1792" s="136">
        <f t="shared" si="77"/>
        <v>29</v>
      </c>
      <c r="E1792" s="136">
        <f t="shared" si="78"/>
        <v>18</v>
      </c>
      <c r="F1792" s="128" t="s">
        <v>24</v>
      </c>
      <c r="G1792" s="128" t="str">
        <f>VLOOKUP(source[[#This Row],[lending_product_transform]],[3]Mapping!$B$4:$C$37,2,0)</f>
        <v>[Cake] - Cashloan</v>
      </c>
      <c r="H1792" s="128" t="str">
        <f>VLOOKUP(source[[#This Row],[lending_product_transform]],[3]Mapping!$B$3:$D$37,3,0)</f>
        <v>cashloan</v>
      </c>
      <c r="I1792" s="135">
        <v>9022790</v>
      </c>
    </row>
    <row r="1793" spans="1:9" x14ac:dyDescent="0.2">
      <c r="A1793" s="134">
        <v>45491</v>
      </c>
      <c r="B1793" s="135">
        <f>YEAR(source[[#This Row],[report_date]])</f>
        <v>2024</v>
      </c>
      <c r="C1793" s="128">
        <v>7</v>
      </c>
      <c r="D1793" s="136">
        <f t="shared" si="77"/>
        <v>29</v>
      </c>
      <c r="E1793" s="136">
        <f t="shared" si="78"/>
        <v>18</v>
      </c>
      <c r="F1793" s="128" t="s">
        <v>24</v>
      </c>
      <c r="G1793" s="128" t="str">
        <f>VLOOKUP(source[[#This Row],[lending_product_transform]],[3]Mapping!$B$4:$C$37,2,0)</f>
        <v>[Cake] - Cashloan</v>
      </c>
      <c r="H1793" s="128" t="str">
        <f>VLOOKUP(source[[#This Row],[lending_product_transform]],[3]Mapping!$B$3:$D$37,3,0)</f>
        <v>cashloan</v>
      </c>
      <c r="I1793" s="135">
        <v>1873570000</v>
      </c>
    </row>
    <row r="1794" spans="1:9" x14ac:dyDescent="0.2">
      <c r="A1794" s="134">
        <v>45491</v>
      </c>
      <c r="B1794" s="135">
        <f>YEAR(source[[#This Row],[report_date]])</f>
        <v>2024</v>
      </c>
      <c r="C1794" s="128">
        <v>7</v>
      </c>
      <c r="D1794" s="136">
        <f t="shared" si="77"/>
        <v>29</v>
      </c>
      <c r="E1794" s="136">
        <f t="shared" si="78"/>
        <v>18</v>
      </c>
      <c r="F1794" s="128" t="s">
        <v>24</v>
      </c>
      <c r="G1794" s="128" t="str">
        <f>VLOOKUP(source[[#This Row],[lending_product_transform]],[3]Mapping!$B$4:$C$37,2,0)</f>
        <v>[Cake] - Cashloan</v>
      </c>
      <c r="H1794" s="128" t="str">
        <f>VLOOKUP(source[[#This Row],[lending_product_transform]],[3]Mapping!$B$3:$D$37,3,0)</f>
        <v>cashloan</v>
      </c>
      <c r="I1794" s="135">
        <v>433700000</v>
      </c>
    </row>
    <row r="1795" spans="1:9" x14ac:dyDescent="0.2">
      <c r="A1795" s="134">
        <v>45491</v>
      </c>
      <c r="B1795" s="135">
        <f>YEAR(source[[#This Row],[report_date]])</f>
        <v>2024</v>
      </c>
      <c r="C1795" s="128">
        <v>7</v>
      </c>
      <c r="D1795" s="136">
        <f t="shared" ref="D1795:D1858" si="79">WEEKNUM(A1795,2)</f>
        <v>29</v>
      </c>
      <c r="E1795" s="136">
        <f t="shared" ref="E1795:E1858" si="80">DAY(A1795)</f>
        <v>18</v>
      </c>
      <c r="F1795" s="128" t="s">
        <v>24</v>
      </c>
      <c r="G1795" s="128" t="str">
        <f>VLOOKUP(source[[#This Row],[lending_product_transform]],[3]Mapping!$B$4:$C$37,2,0)</f>
        <v>[Cake] - Cashloan</v>
      </c>
      <c r="H1795" s="128" t="str">
        <f>VLOOKUP(source[[#This Row],[lending_product_transform]],[3]Mapping!$B$3:$D$37,3,0)</f>
        <v>cashloan</v>
      </c>
      <c r="I1795" s="135">
        <v>2190605646</v>
      </c>
    </row>
    <row r="1796" spans="1:9" x14ac:dyDescent="0.2">
      <c r="A1796" s="134">
        <v>45491</v>
      </c>
      <c r="B1796" s="135">
        <f>YEAR(source[[#This Row],[report_date]])</f>
        <v>2024</v>
      </c>
      <c r="C1796" s="128">
        <v>7</v>
      </c>
      <c r="D1796" s="136">
        <f t="shared" si="79"/>
        <v>29</v>
      </c>
      <c r="E1796" s="136">
        <f t="shared" si="80"/>
        <v>18</v>
      </c>
      <c r="F1796" s="128" t="s">
        <v>24</v>
      </c>
      <c r="G1796" s="128" t="str">
        <f>VLOOKUP(source[[#This Row],[lending_product_transform]],[3]Mapping!$B$4:$C$37,2,0)</f>
        <v>[Cake] - Cashloan</v>
      </c>
      <c r="H1796" s="128" t="str">
        <f>VLOOKUP(source[[#This Row],[lending_product_transform]],[3]Mapping!$B$3:$D$37,3,0)</f>
        <v>cashloan</v>
      </c>
      <c r="I1796" s="135">
        <v>33000000</v>
      </c>
    </row>
    <row r="1797" spans="1:9" x14ac:dyDescent="0.2">
      <c r="A1797" s="134">
        <v>45491</v>
      </c>
      <c r="B1797" s="135">
        <f>YEAR(source[[#This Row],[report_date]])</f>
        <v>2024</v>
      </c>
      <c r="C1797" s="128">
        <v>7</v>
      </c>
      <c r="D1797" s="136">
        <f t="shared" si="79"/>
        <v>29</v>
      </c>
      <c r="E1797" s="136">
        <f t="shared" si="80"/>
        <v>18</v>
      </c>
      <c r="F1797" s="128" t="s">
        <v>24</v>
      </c>
      <c r="G1797" s="128" t="str">
        <f>VLOOKUP(source[[#This Row],[lending_product_transform]],[3]Mapping!$B$4:$C$37,2,0)</f>
        <v>[Cake] - Cashloan</v>
      </c>
      <c r="H1797" s="128" t="str">
        <f>VLOOKUP(source[[#This Row],[lending_product_transform]],[3]Mapping!$B$3:$D$37,3,0)</f>
        <v>cashloan</v>
      </c>
      <c r="I1797" s="135">
        <v>3498500000</v>
      </c>
    </row>
    <row r="1798" spans="1:9" x14ac:dyDescent="0.2">
      <c r="A1798" s="134">
        <v>45491</v>
      </c>
      <c r="B1798" s="135">
        <f>YEAR(source[[#This Row],[report_date]])</f>
        <v>2024</v>
      </c>
      <c r="C1798" s="128">
        <v>7</v>
      </c>
      <c r="D1798" s="136">
        <f t="shared" si="79"/>
        <v>29</v>
      </c>
      <c r="E1798" s="136">
        <f t="shared" si="80"/>
        <v>18</v>
      </c>
      <c r="F1798" s="128" t="s">
        <v>24</v>
      </c>
      <c r="G1798" s="128" t="str">
        <f>VLOOKUP(source[[#This Row],[lending_product_transform]],[3]Mapping!$B$4:$C$37,2,0)</f>
        <v>[Cake] - Cashloan</v>
      </c>
      <c r="H1798" s="128" t="str">
        <f>VLOOKUP(source[[#This Row],[lending_product_transform]],[3]Mapping!$B$3:$D$37,3,0)</f>
        <v>cashloan</v>
      </c>
      <c r="I1798" s="135">
        <v>157932849</v>
      </c>
    </row>
    <row r="1799" spans="1:9" x14ac:dyDescent="0.2">
      <c r="A1799" s="134">
        <v>45491</v>
      </c>
      <c r="B1799" s="135">
        <f>YEAR(source[[#This Row],[report_date]])</f>
        <v>2024</v>
      </c>
      <c r="C1799" s="128">
        <v>7</v>
      </c>
      <c r="D1799" s="136">
        <f t="shared" si="79"/>
        <v>29</v>
      </c>
      <c r="E1799" s="136">
        <f t="shared" si="80"/>
        <v>18</v>
      </c>
      <c r="F1799" s="128" t="s">
        <v>24</v>
      </c>
      <c r="G1799" s="128" t="str">
        <f>VLOOKUP(source[[#This Row],[lending_product_transform]],[3]Mapping!$B$4:$C$37,2,0)</f>
        <v>[Cake] - Cashloan</v>
      </c>
      <c r="H1799" s="128" t="str">
        <f>VLOOKUP(source[[#This Row],[lending_product_transform]],[3]Mapping!$B$3:$D$37,3,0)</f>
        <v>cashloan</v>
      </c>
      <c r="I1799" s="135">
        <v>4825660000</v>
      </c>
    </row>
    <row r="1800" spans="1:9" x14ac:dyDescent="0.2">
      <c r="A1800" s="134">
        <v>45492</v>
      </c>
      <c r="B1800" s="135">
        <f>YEAR(source[[#This Row],[report_date]])</f>
        <v>2024</v>
      </c>
      <c r="C1800" s="128">
        <v>7</v>
      </c>
      <c r="D1800" s="136">
        <f t="shared" si="79"/>
        <v>29</v>
      </c>
      <c r="E1800" s="136">
        <f t="shared" si="80"/>
        <v>19</v>
      </c>
      <c r="F1800" s="128" t="s">
        <v>24</v>
      </c>
      <c r="G1800" s="128" t="str">
        <f>VLOOKUP(source[[#This Row],[lending_product_transform]],[3]Mapping!$B$4:$C$37,2,0)</f>
        <v>[Cake] - Cashloan</v>
      </c>
      <c r="H1800" s="128" t="str">
        <f>VLOOKUP(source[[#This Row],[lending_product_transform]],[3]Mapping!$B$3:$D$37,3,0)</f>
        <v>cashloan</v>
      </c>
      <c r="I1800" s="135">
        <v>2117265272</v>
      </c>
    </row>
    <row r="1801" spans="1:9" x14ac:dyDescent="0.2">
      <c r="A1801" s="134">
        <v>45492</v>
      </c>
      <c r="B1801" s="135">
        <f>YEAR(source[[#This Row],[report_date]])</f>
        <v>2024</v>
      </c>
      <c r="C1801" s="128">
        <v>7</v>
      </c>
      <c r="D1801" s="136">
        <f t="shared" si="79"/>
        <v>29</v>
      </c>
      <c r="E1801" s="136">
        <f t="shared" si="80"/>
        <v>19</v>
      </c>
      <c r="F1801" s="128" t="s">
        <v>24</v>
      </c>
      <c r="G1801" s="128" t="str">
        <f>VLOOKUP(source[[#This Row],[lending_product_transform]],[3]Mapping!$B$4:$C$37,2,0)</f>
        <v>[Cake] - Cashloan</v>
      </c>
      <c r="H1801" s="128" t="str">
        <f>VLOOKUP(source[[#This Row],[lending_product_transform]],[3]Mapping!$B$3:$D$37,3,0)</f>
        <v>cashloan</v>
      </c>
      <c r="I1801" s="135">
        <v>4201050000</v>
      </c>
    </row>
    <row r="1802" spans="1:9" x14ac:dyDescent="0.2">
      <c r="A1802" s="134">
        <v>45492</v>
      </c>
      <c r="B1802" s="135">
        <f>YEAR(source[[#This Row],[report_date]])</f>
        <v>2024</v>
      </c>
      <c r="C1802" s="128">
        <v>7</v>
      </c>
      <c r="D1802" s="136">
        <f t="shared" si="79"/>
        <v>29</v>
      </c>
      <c r="E1802" s="136">
        <f t="shared" si="80"/>
        <v>19</v>
      </c>
      <c r="F1802" s="128" t="s">
        <v>24</v>
      </c>
      <c r="G1802" s="128" t="str">
        <f>VLOOKUP(source[[#This Row],[lending_product_transform]],[3]Mapping!$B$4:$C$37,2,0)</f>
        <v>[Cake] - Cashloan</v>
      </c>
      <c r="H1802" s="128" t="str">
        <f>VLOOKUP(source[[#This Row],[lending_product_transform]],[3]Mapping!$B$3:$D$37,3,0)</f>
        <v>cashloan</v>
      </c>
      <c r="I1802" s="135">
        <v>0</v>
      </c>
    </row>
    <row r="1803" spans="1:9" x14ac:dyDescent="0.2">
      <c r="A1803" s="134">
        <v>45492</v>
      </c>
      <c r="B1803" s="135">
        <f>YEAR(source[[#This Row],[report_date]])</f>
        <v>2024</v>
      </c>
      <c r="C1803" s="128">
        <v>7</v>
      </c>
      <c r="D1803" s="136">
        <f t="shared" si="79"/>
        <v>29</v>
      </c>
      <c r="E1803" s="136">
        <f t="shared" si="80"/>
        <v>19</v>
      </c>
      <c r="F1803" s="128" t="s">
        <v>24</v>
      </c>
      <c r="G1803" s="128" t="str">
        <f>VLOOKUP(source[[#This Row],[lending_product_transform]],[3]Mapping!$B$4:$C$37,2,0)</f>
        <v>[Cake] - Cashloan</v>
      </c>
      <c r="H1803" s="128" t="str">
        <f>VLOOKUP(source[[#This Row],[lending_product_transform]],[3]Mapping!$B$3:$D$37,3,0)</f>
        <v>cashloan</v>
      </c>
      <c r="I1803" s="135">
        <v>68250000</v>
      </c>
    </row>
    <row r="1804" spans="1:9" x14ac:dyDescent="0.2">
      <c r="A1804" s="134">
        <v>45492</v>
      </c>
      <c r="B1804" s="135">
        <f>YEAR(source[[#This Row],[report_date]])</f>
        <v>2024</v>
      </c>
      <c r="C1804" s="128">
        <v>7</v>
      </c>
      <c r="D1804" s="136">
        <f t="shared" si="79"/>
        <v>29</v>
      </c>
      <c r="E1804" s="136">
        <f t="shared" si="80"/>
        <v>19</v>
      </c>
      <c r="F1804" s="128" t="s">
        <v>24</v>
      </c>
      <c r="G1804" s="128" t="str">
        <f>VLOOKUP(source[[#This Row],[lending_product_transform]],[3]Mapping!$B$4:$C$37,2,0)</f>
        <v>[Cake] - Cashloan</v>
      </c>
      <c r="H1804" s="128" t="str">
        <f>VLOOKUP(source[[#This Row],[lending_product_transform]],[3]Mapping!$B$3:$D$37,3,0)</f>
        <v>cashloan</v>
      </c>
      <c r="I1804" s="135">
        <v>5094720000</v>
      </c>
    </row>
    <row r="1805" spans="1:9" x14ac:dyDescent="0.2">
      <c r="A1805" s="134">
        <v>45492</v>
      </c>
      <c r="B1805" s="135">
        <f>YEAR(source[[#This Row],[report_date]])</f>
        <v>2024</v>
      </c>
      <c r="C1805" s="128">
        <v>7</v>
      </c>
      <c r="D1805" s="136">
        <f t="shared" si="79"/>
        <v>29</v>
      </c>
      <c r="E1805" s="136">
        <f t="shared" si="80"/>
        <v>19</v>
      </c>
      <c r="F1805" s="128" t="s">
        <v>24</v>
      </c>
      <c r="G1805" s="128" t="str">
        <f>VLOOKUP(source[[#This Row],[lending_product_transform]],[3]Mapping!$B$4:$C$37,2,0)</f>
        <v>[Cake] - Cashloan</v>
      </c>
      <c r="H1805" s="128" t="str">
        <f>VLOOKUP(source[[#This Row],[lending_product_transform]],[3]Mapping!$B$3:$D$37,3,0)</f>
        <v>cashloan</v>
      </c>
      <c r="I1805" s="135">
        <v>3561500000</v>
      </c>
    </row>
    <row r="1806" spans="1:9" x14ac:dyDescent="0.2">
      <c r="A1806" s="134">
        <v>45492</v>
      </c>
      <c r="B1806" s="135">
        <f>YEAR(source[[#This Row],[report_date]])</f>
        <v>2024</v>
      </c>
      <c r="C1806" s="128">
        <v>7</v>
      </c>
      <c r="D1806" s="136">
        <f t="shared" si="79"/>
        <v>29</v>
      </c>
      <c r="E1806" s="136">
        <f t="shared" si="80"/>
        <v>19</v>
      </c>
      <c r="F1806" s="128" t="s">
        <v>24</v>
      </c>
      <c r="G1806" s="128" t="str">
        <f>VLOOKUP(source[[#This Row],[lending_product_transform]],[3]Mapping!$B$4:$C$37,2,0)</f>
        <v>[Cake] - Cashloan</v>
      </c>
      <c r="H1806" s="128" t="str">
        <f>VLOOKUP(source[[#This Row],[lending_product_transform]],[3]Mapping!$B$3:$D$37,3,0)</f>
        <v>cashloan</v>
      </c>
      <c r="I1806" s="135">
        <v>41000000</v>
      </c>
    </row>
    <row r="1807" spans="1:9" x14ac:dyDescent="0.2">
      <c r="A1807" s="134">
        <v>45492</v>
      </c>
      <c r="B1807" s="135">
        <f>YEAR(source[[#This Row],[report_date]])</f>
        <v>2024</v>
      </c>
      <c r="C1807" s="128">
        <v>7</v>
      </c>
      <c r="D1807" s="136">
        <f t="shared" si="79"/>
        <v>29</v>
      </c>
      <c r="E1807" s="136">
        <f t="shared" si="80"/>
        <v>19</v>
      </c>
      <c r="F1807" s="128" t="s">
        <v>24</v>
      </c>
      <c r="G1807" s="128" t="str">
        <f>VLOOKUP(source[[#This Row],[lending_product_transform]],[3]Mapping!$B$4:$C$37,2,0)</f>
        <v>[Cake] - Cashloan</v>
      </c>
      <c r="H1807" s="128" t="str">
        <f>VLOOKUP(source[[#This Row],[lending_product_transform]],[3]Mapping!$B$3:$D$37,3,0)</f>
        <v>cashloan</v>
      </c>
      <c r="I1807" s="135">
        <v>152653326</v>
      </c>
    </row>
    <row r="1808" spans="1:9" x14ac:dyDescent="0.2">
      <c r="A1808" s="134">
        <v>45492</v>
      </c>
      <c r="B1808" s="135">
        <f>YEAR(source[[#This Row],[report_date]])</f>
        <v>2024</v>
      </c>
      <c r="C1808" s="128">
        <v>7</v>
      </c>
      <c r="D1808" s="136">
        <f t="shared" si="79"/>
        <v>29</v>
      </c>
      <c r="E1808" s="136">
        <f t="shared" si="80"/>
        <v>19</v>
      </c>
      <c r="F1808" s="128" t="s">
        <v>24</v>
      </c>
      <c r="G1808" s="128" t="str">
        <f>VLOOKUP(source[[#This Row],[lending_product_transform]],[3]Mapping!$B$4:$C$37,2,0)</f>
        <v>[Cake] - Cashloan</v>
      </c>
      <c r="H1808" s="128" t="str">
        <f>VLOOKUP(source[[#This Row],[lending_product_transform]],[3]Mapping!$B$3:$D$37,3,0)</f>
        <v>cashloan</v>
      </c>
      <c r="I1808" s="135">
        <v>33170000</v>
      </c>
    </row>
    <row r="1809" spans="1:9" x14ac:dyDescent="0.2">
      <c r="A1809" s="134">
        <v>45492</v>
      </c>
      <c r="B1809" s="135">
        <f>YEAR(source[[#This Row],[report_date]])</f>
        <v>2024</v>
      </c>
      <c r="C1809" s="128">
        <v>7</v>
      </c>
      <c r="D1809" s="136">
        <f t="shared" si="79"/>
        <v>29</v>
      </c>
      <c r="E1809" s="136">
        <f t="shared" si="80"/>
        <v>19</v>
      </c>
      <c r="F1809" s="128" t="s">
        <v>24</v>
      </c>
      <c r="G1809" s="128" t="str">
        <f>VLOOKUP(source[[#This Row],[lending_product_transform]],[3]Mapping!$B$4:$C$37,2,0)</f>
        <v>[Cake] - Cashloan</v>
      </c>
      <c r="H1809" s="128" t="str">
        <f>VLOOKUP(source[[#This Row],[lending_product_transform]],[3]Mapping!$B$3:$D$37,3,0)</f>
        <v>cashloan</v>
      </c>
      <c r="I1809" s="135">
        <v>13405660</v>
      </c>
    </row>
    <row r="1810" spans="1:9" x14ac:dyDescent="0.2">
      <c r="A1810" s="134">
        <v>45492</v>
      </c>
      <c r="B1810" s="135">
        <f>YEAR(source[[#This Row],[report_date]])</f>
        <v>2024</v>
      </c>
      <c r="C1810" s="128">
        <v>7</v>
      </c>
      <c r="D1810" s="136">
        <f t="shared" si="79"/>
        <v>29</v>
      </c>
      <c r="E1810" s="136">
        <f t="shared" si="80"/>
        <v>19</v>
      </c>
      <c r="F1810" s="128" t="s">
        <v>24</v>
      </c>
      <c r="G1810" s="128" t="str">
        <f>VLOOKUP(source[[#This Row],[lending_product_transform]],[3]Mapping!$B$4:$C$37,2,0)</f>
        <v>[Cake] - Cashloan</v>
      </c>
      <c r="H1810" s="128" t="str">
        <f>VLOOKUP(source[[#This Row],[lending_product_transform]],[3]Mapping!$B$3:$D$37,3,0)</f>
        <v>cashloan</v>
      </c>
      <c r="I1810" s="135">
        <v>132300000</v>
      </c>
    </row>
    <row r="1811" spans="1:9" x14ac:dyDescent="0.2">
      <c r="A1811" s="134">
        <v>45492</v>
      </c>
      <c r="B1811" s="135">
        <f>YEAR(source[[#This Row],[report_date]])</f>
        <v>2024</v>
      </c>
      <c r="C1811" s="128">
        <v>7</v>
      </c>
      <c r="D1811" s="136">
        <f t="shared" si="79"/>
        <v>29</v>
      </c>
      <c r="E1811" s="136">
        <f t="shared" si="80"/>
        <v>19</v>
      </c>
      <c r="F1811" s="128" t="s">
        <v>24</v>
      </c>
      <c r="G1811" s="128" t="str">
        <f>VLOOKUP(source[[#This Row],[lending_product_transform]],[3]Mapping!$B$4:$C$37,2,0)</f>
        <v>[Cake] - Cashloan</v>
      </c>
      <c r="H1811" s="128" t="str">
        <f>VLOOKUP(source[[#This Row],[lending_product_transform]],[3]Mapping!$B$3:$D$37,3,0)</f>
        <v>cashloan</v>
      </c>
      <c r="I1811" s="135">
        <v>1837560000</v>
      </c>
    </row>
    <row r="1812" spans="1:9" x14ac:dyDescent="0.2">
      <c r="A1812" s="134">
        <v>45493</v>
      </c>
      <c r="B1812" s="135">
        <f>YEAR(source[[#This Row],[report_date]])</f>
        <v>2024</v>
      </c>
      <c r="C1812" s="128">
        <v>7</v>
      </c>
      <c r="D1812" s="136">
        <f t="shared" si="79"/>
        <v>29</v>
      </c>
      <c r="E1812" s="136">
        <f t="shared" si="80"/>
        <v>20</v>
      </c>
      <c r="F1812" s="128" t="s">
        <v>24</v>
      </c>
      <c r="G1812" s="128" t="str">
        <f>VLOOKUP(source[[#This Row],[lending_product_transform]],[3]Mapping!$B$4:$C$37,2,0)</f>
        <v>[Cake] - Cashloan</v>
      </c>
      <c r="H1812" s="128" t="str">
        <f>VLOOKUP(source[[#This Row],[lending_product_transform]],[3]Mapping!$B$3:$D$37,3,0)</f>
        <v>cashloan</v>
      </c>
      <c r="I1812" s="135">
        <v>4646480000</v>
      </c>
    </row>
    <row r="1813" spans="1:9" x14ac:dyDescent="0.2">
      <c r="A1813" s="134">
        <v>45493</v>
      </c>
      <c r="B1813" s="135">
        <f>YEAR(source[[#This Row],[report_date]])</f>
        <v>2024</v>
      </c>
      <c r="C1813" s="128">
        <v>7</v>
      </c>
      <c r="D1813" s="136">
        <f t="shared" si="79"/>
        <v>29</v>
      </c>
      <c r="E1813" s="136">
        <f t="shared" si="80"/>
        <v>20</v>
      </c>
      <c r="F1813" s="128" t="s">
        <v>24</v>
      </c>
      <c r="G1813" s="128" t="str">
        <f>VLOOKUP(source[[#This Row],[lending_product_transform]],[3]Mapping!$B$4:$C$37,2,0)</f>
        <v>[Cake] - Cashloan</v>
      </c>
      <c r="H1813" s="128" t="str">
        <f>VLOOKUP(source[[#This Row],[lending_product_transform]],[3]Mapping!$B$3:$D$37,3,0)</f>
        <v>cashloan</v>
      </c>
      <c r="I1813" s="135">
        <v>1545380000</v>
      </c>
    </row>
    <row r="1814" spans="1:9" x14ac:dyDescent="0.2">
      <c r="A1814" s="134">
        <v>45493</v>
      </c>
      <c r="B1814" s="135">
        <f>YEAR(source[[#This Row],[report_date]])</f>
        <v>2024</v>
      </c>
      <c r="C1814" s="128">
        <v>7</v>
      </c>
      <c r="D1814" s="136">
        <f t="shared" si="79"/>
        <v>29</v>
      </c>
      <c r="E1814" s="136">
        <f t="shared" si="80"/>
        <v>20</v>
      </c>
      <c r="F1814" s="128" t="s">
        <v>24</v>
      </c>
      <c r="G1814" s="128" t="str">
        <f>VLOOKUP(source[[#This Row],[lending_product_transform]],[3]Mapping!$B$4:$C$37,2,0)</f>
        <v>[Cake] - Cashloan</v>
      </c>
      <c r="H1814" s="128" t="str">
        <f>VLOOKUP(source[[#This Row],[lending_product_transform]],[3]Mapping!$B$3:$D$37,3,0)</f>
        <v>cashloan</v>
      </c>
      <c r="I1814" s="135">
        <v>138223219</v>
      </c>
    </row>
    <row r="1815" spans="1:9" x14ac:dyDescent="0.2">
      <c r="A1815" s="134">
        <v>45493</v>
      </c>
      <c r="B1815" s="135">
        <f>YEAR(source[[#This Row],[report_date]])</f>
        <v>2024</v>
      </c>
      <c r="C1815" s="128">
        <v>7</v>
      </c>
      <c r="D1815" s="136">
        <f t="shared" si="79"/>
        <v>29</v>
      </c>
      <c r="E1815" s="136">
        <f t="shared" si="80"/>
        <v>20</v>
      </c>
      <c r="F1815" s="128" t="s">
        <v>24</v>
      </c>
      <c r="G1815" s="128" t="str">
        <f>VLOOKUP(source[[#This Row],[lending_product_transform]],[3]Mapping!$B$4:$C$37,2,0)</f>
        <v>[Cake] - Cashloan</v>
      </c>
      <c r="H1815" s="128" t="str">
        <f>VLOOKUP(source[[#This Row],[lending_product_transform]],[3]Mapping!$B$3:$D$37,3,0)</f>
        <v>cashloan</v>
      </c>
      <c r="I1815" s="135">
        <v>4421280000</v>
      </c>
    </row>
    <row r="1816" spans="1:9" x14ac:dyDescent="0.2">
      <c r="A1816" s="134">
        <v>45493</v>
      </c>
      <c r="B1816" s="135">
        <f>YEAR(source[[#This Row],[report_date]])</f>
        <v>2024</v>
      </c>
      <c r="C1816" s="128">
        <v>7</v>
      </c>
      <c r="D1816" s="136">
        <f t="shared" si="79"/>
        <v>29</v>
      </c>
      <c r="E1816" s="136">
        <f t="shared" si="80"/>
        <v>20</v>
      </c>
      <c r="F1816" s="128" t="s">
        <v>24</v>
      </c>
      <c r="G1816" s="128" t="str">
        <f>VLOOKUP(source[[#This Row],[lending_product_transform]],[3]Mapping!$B$4:$C$37,2,0)</f>
        <v>[Cake] - Cashloan</v>
      </c>
      <c r="H1816" s="128" t="str">
        <f>VLOOKUP(source[[#This Row],[lending_product_transform]],[3]Mapping!$B$3:$D$37,3,0)</f>
        <v>cashloan</v>
      </c>
      <c r="I1816" s="135">
        <v>0</v>
      </c>
    </row>
    <row r="1817" spans="1:9" x14ac:dyDescent="0.2">
      <c r="A1817" s="134">
        <v>45493</v>
      </c>
      <c r="B1817" s="135">
        <f>YEAR(source[[#This Row],[report_date]])</f>
        <v>2024</v>
      </c>
      <c r="C1817" s="128">
        <v>7</v>
      </c>
      <c r="D1817" s="136">
        <f t="shared" si="79"/>
        <v>29</v>
      </c>
      <c r="E1817" s="136">
        <f t="shared" si="80"/>
        <v>20</v>
      </c>
      <c r="F1817" s="128" t="s">
        <v>24</v>
      </c>
      <c r="G1817" s="128" t="str">
        <f>VLOOKUP(source[[#This Row],[lending_product_transform]],[3]Mapping!$B$4:$C$37,2,0)</f>
        <v>[Cake] - Cashloan</v>
      </c>
      <c r="H1817" s="128" t="str">
        <f>VLOOKUP(source[[#This Row],[lending_product_transform]],[3]Mapping!$B$3:$D$37,3,0)</f>
        <v>cashloan</v>
      </c>
      <c r="I1817" s="135">
        <v>53500000</v>
      </c>
    </row>
    <row r="1818" spans="1:9" x14ac:dyDescent="0.2">
      <c r="A1818" s="134">
        <v>45493</v>
      </c>
      <c r="B1818" s="135">
        <f>YEAR(source[[#This Row],[report_date]])</f>
        <v>2024</v>
      </c>
      <c r="C1818" s="128">
        <v>7</v>
      </c>
      <c r="D1818" s="136">
        <f t="shared" si="79"/>
        <v>29</v>
      </c>
      <c r="E1818" s="136">
        <f t="shared" si="80"/>
        <v>20</v>
      </c>
      <c r="F1818" s="128" t="s">
        <v>24</v>
      </c>
      <c r="G1818" s="128" t="str">
        <f>VLOOKUP(source[[#This Row],[lending_product_transform]],[3]Mapping!$B$4:$C$37,2,0)</f>
        <v>[Cake] - Cashloan</v>
      </c>
      <c r="H1818" s="128" t="str">
        <f>VLOOKUP(source[[#This Row],[lending_product_transform]],[3]Mapping!$B$3:$D$37,3,0)</f>
        <v>cashloan</v>
      </c>
      <c r="I1818" s="135">
        <v>0</v>
      </c>
    </row>
    <row r="1819" spans="1:9" x14ac:dyDescent="0.2">
      <c r="A1819" s="134">
        <v>45493</v>
      </c>
      <c r="B1819" s="135">
        <f>YEAR(source[[#This Row],[report_date]])</f>
        <v>2024</v>
      </c>
      <c r="C1819" s="128">
        <v>7</v>
      </c>
      <c r="D1819" s="136">
        <f t="shared" si="79"/>
        <v>29</v>
      </c>
      <c r="E1819" s="136">
        <f t="shared" si="80"/>
        <v>20</v>
      </c>
      <c r="F1819" s="128" t="s">
        <v>24</v>
      </c>
      <c r="G1819" s="128" t="str">
        <f>VLOOKUP(source[[#This Row],[lending_product_transform]],[3]Mapping!$B$4:$C$37,2,0)</f>
        <v>[Cake] - Cashloan</v>
      </c>
      <c r="H1819" s="128" t="str">
        <f>VLOOKUP(source[[#This Row],[lending_product_transform]],[3]Mapping!$B$3:$D$37,3,0)</f>
        <v>cashloan</v>
      </c>
      <c r="I1819" s="135">
        <v>21000000</v>
      </c>
    </row>
    <row r="1820" spans="1:9" x14ac:dyDescent="0.2">
      <c r="A1820" s="134">
        <v>45493</v>
      </c>
      <c r="B1820" s="135">
        <f>YEAR(source[[#This Row],[report_date]])</f>
        <v>2024</v>
      </c>
      <c r="C1820" s="128">
        <v>7</v>
      </c>
      <c r="D1820" s="136">
        <f t="shared" si="79"/>
        <v>29</v>
      </c>
      <c r="E1820" s="136">
        <f t="shared" si="80"/>
        <v>20</v>
      </c>
      <c r="F1820" s="128" t="s">
        <v>24</v>
      </c>
      <c r="G1820" s="128" t="str">
        <f>VLOOKUP(source[[#This Row],[lending_product_transform]],[3]Mapping!$B$4:$C$37,2,0)</f>
        <v>[Cake] - Cashloan</v>
      </c>
      <c r="H1820" s="128" t="str">
        <f>VLOOKUP(source[[#This Row],[lending_product_transform]],[3]Mapping!$B$3:$D$37,3,0)</f>
        <v>cashloan</v>
      </c>
      <c r="I1820" s="135">
        <v>2068970344</v>
      </c>
    </row>
    <row r="1821" spans="1:9" x14ac:dyDescent="0.2">
      <c r="A1821" s="134">
        <v>45493</v>
      </c>
      <c r="B1821" s="135">
        <f>YEAR(source[[#This Row],[report_date]])</f>
        <v>2024</v>
      </c>
      <c r="C1821" s="128">
        <v>7</v>
      </c>
      <c r="D1821" s="136">
        <f t="shared" si="79"/>
        <v>29</v>
      </c>
      <c r="E1821" s="136">
        <f t="shared" si="80"/>
        <v>20</v>
      </c>
      <c r="F1821" s="128" t="s">
        <v>24</v>
      </c>
      <c r="G1821" s="128" t="str">
        <f>VLOOKUP(source[[#This Row],[lending_product_transform]],[3]Mapping!$B$4:$C$37,2,0)</f>
        <v>[Cake] - Cashloan</v>
      </c>
      <c r="H1821" s="128" t="str">
        <f>VLOOKUP(source[[#This Row],[lending_product_transform]],[3]Mapping!$B$3:$D$37,3,0)</f>
        <v>cashloan</v>
      </c>
      <c r="I1821" s="135">
        <v>10894670</v>
      </c>
    </row>
    <row r="1822" spans="1:9" x14ac:dyDescent="0.2">
      <c r="A1822" s="134">
        <v>45493</v>
      </c>
      <c r="B1822" s="135">
        <f>YEAR(source[[#This Row],[report_date]])</f>
        <v>2024</v>
      </c>
      <c r="C1822" s="128">
        <v>7</v>
      </c>
      <c r="D1822" s="136">
        <f t="shared" si="79"/>
        <v>29</v>
      </c>
      <c r="E1822" s="136">
        <f t="shared" si="80"/>
        <v>20</v>
      </c>
      <c r="F1822" s="128" t="s">
        <v>24</v>
      </c>
      <c r="G1822" s="128" t="str">
        <f>VLOOKUP(source[[#This Row],[lending_product_transform]],[3]Mapping!$B$4:$C$37,2,0)</f>
        <v>[Cake] - Cashloan</v>
      </c>
      <c r="H1822" s="128" t="str">
        <f>VLOOKUP(source[[#This Row],[lending_product_transform]],[3]Mapping!$B$3:$D$37,3,0)</f>
        <v>cashloan</v>
      </c>
      <c r="I1822" s="135">
        <v>161000000</v>
      </c>
    </row>
    <row r="1823" spans="1:9" x14ac:dyDescent="0.2">
      <c r="A1823" s="134">
        <v>45493</v>
      </c>
      <c r="B1823" s="135">
        <f>YEAR(source[[#This Row],[report_date]])</f>
        <v>2024</v>
      </c>
      <c r="C1823" s="128">
        <v>7</v>
      </c>
      <c r="D1823" s="136">
        <f t="shared" si="79"/>
        <v>29</v>
      </c>
      <c r="E1823" s="136">
        <f t="shared" si="80"/>
        <v>20</v>
      </c>
      <c r="F1823" s="128" t="s">
        <v>24</v>
      </c>
      <c r="G1823" s="128" t="str">
        <f>VLOOKUP(source[[#This Row],[lending_product_transform]],[3]Mapping!$B$4:$C$37,2,0)</f>
        <v>[Cake] - Cashloan</v>
      </c>
      <c r="H1823" s="128" t="str">
        <f>VLOOKUP(source[[#This Row],[lending_product_transform]],[3]Mapping!$B$3:$D$37,3,0)</f>
        <v>cashloan</v>
      </c>
      <c r="I1823" s="135">
        <v>3867500000</v>
      </c>
    </row>
    <row r="1824" spans="1:9" x14ac:dyDescent="0.2">
      <c r="A1824" s="134">
        <v>45494</v>
      </c>
      <c r="B1824" s="135">
        <f>YEAR(source[[#This Row],[report_date]])</f>
        <v>2024</v>
      </c>
      <c r="C1824" s="128">
        <v>7</v>
      </c>
      <c r="D1824" s="136">
        <f t="shared" si="79"/>
        <v>29</v>
      </c>
      <c r="E1824" s="136">
        <f t="shared" si="80"/>
        <v>21</v>
      </c>
      <c r="F1824" s="128" t="s">
        <v>24</v>
      </c>
      <c r="G1824" s="128" t="str">
        <f>VLOOKUP(source[[#This Row],[lending_product_transform]],[3]Mapping!$B$4:$C$37,2,0)</f>
        <v>[Cake] - Cashloan</v>
      </c>
      <c r="H1824" s="128" t="str">
        <f>VLOOKUP(source[[#This Row],[lending_product_transform]],[3]Mapping!$B$3:$D$37,3,0)</f>
        <v>cashloan</v>
      </c>
      <c r="I1824" s="135">
        <v>107100000</v>
      </c>
    </row>
    <row r="1825" spans="1:9" x14ac:dyDescent="0.2">
      <c r="A1825" s="134">
        <v>45494</v>
      </c>
      <c r="B1825" s="135">
        <f>YEAR(source[[#This Row],[report_date]])</f>
        <v>2024</v>
      </c>
      <c r="C1825" s="128">
        <v>7</v>
      </c>
      <c r="D1825" s="136">
        <f t="shared" si="79"/>
        <v>29</v>
      </c>
      <c r="E1825" s="136">
        <f t="shared" si="80"/>
        <v>21</v>
      </c>
      <c r="F1825" s="128" t="s">
        <v>24</v>
      </c>
      <c r="G1825" s="128" t="str">
        <f>VLOOKUP(source[[#This Row],[lending_product_transform]],[3]Mapping!$B$4:$C$37,2,0)</f>
        <v>[Cake] - Cashloan</v>
      </c>
      <c r="H1825" s="128" t="str">
        <f>VLOOKUP(source[[#This Row],[lending_product_transform]],[3]Mapping!$B$3:$D$37,3,0)</f>
        <v>cashloan</v>
      </c>
      <c r="I1825" s="135">
        <v>960160000</v>
      </c>
    </row>
    <row r="1826" spans="1:9" x14ac:dyDescent="0.2">
      <c r="A1826" s="134">
        <v>45494</v>
      </c>
      <c r="B1826" s="135">
        <f>YEAR(source[[#This Row],[report_date]])</f>
        <v>2024</v>
      </c>
      <c r="C1826" s="128">
        <v>7</v>
      </c>
      <c r="D1826" s="136">
        <f t="shared" si="79"/>
        <v>29</v>
      </c>
      <c r="E1826" s="136">
        <f t="shared" si="80"/>
        <v>21</v>
      </c>
      <c r="F1826" s="128" t="s">
        <v>24</v>
      </c>
      <c r="G1826" s="128" t="str">
        <f>VLOOKUP(source[[#This Row],[lending_product_transform]],[3]Mapping!$B$4:$C$37,2,0)</f>
        <v>[Cake] - Cashloan</v>
      </c>
      <c r="H1826" s="128" t="str">
        <f>VLOOKUP(source[[#This Row],[lending_product_transform]],[3]Mapping!$B$3:$D$37,3,0)</f>
        <v>cashloan</v>
      </c>
      <c r="I1826" s="135">
        <v>12703416</v>
      </c>
    </row>
    <row r="1827" spans="1:9" x14ac:dyDescent="0.2">
      <c r="A1827" s="134">
        <v>45494</v>
      </c>
      <c r="B1827" s="135">
        <f>YEAR(source[[#This Row],[report_date]])</f>
        <v>2024</v>
      </c>
      <c r="C1827" s="128">
        <v>7</v>
      </c>
      <c r="D1827" s="136">
        <f t="shared" si="79"/>
        <v>29</v>
      </c>
      <c r="E1827" s="136">
        <f t="shared" si="80"/>
        <v>21</v>
      </c>
      <c r="F1827" s="128" t="s">
        <v>24</v>
      </c>
      <c r="G1827" s="128" t="str">
        <f>VLOOKUP(source[[#This Row],[lending_product_transform]],[3]Mapping!$B$4:$C$37,2,0)</f>
        <v>[Cake] - Cashloan</v>
      </c>
      <c r="H1827" s="128" t="str">
        <f>VLOOKUP(source[[#This Row],[lending_product_transform]],[3]Mapping!$B$3:$D$37,3,0)</f>
        <v>cashloan</v>
      </c>
      <c r="I1827" s="135">
        <v>0</v>
      </c>
    </row>
    <row r="1828" spans="1:9" x14ac:dyDescent="0.2">
      <c r="A1828" s="134">
        <v>45494</v>
      </c>
      <c r="B1828" s="135">
        <f>YEAR(source[[#This Row],[report_date]])</f>
        <v>2024</v>
      </c>
      <c r="C1828" s="128">
        <v>7</v>
      </c>
      <c r="D1828" s="136">
        <f t="shared" si="79"/>
        <v>29</v>
      </c>
      <c r="E1828" s="136">
        <f t="shared" si="80"/>
        <v>21</v>
      </c>
      <c r="F1828" s="128" t="s">
        <v>24</v>
      </c>
      <c r="G1828" s="128" t="str">
        <f>VLOOKUP(source[[#This Row],[lending_product_transform]],[3]Mapping!$B$4:$C$37,2,0)</f>
        <v>[Cake] - Cashloan</v>
      </c>
      <c r="H1828" s="128" t="str">
        <f>VLOOKUP(source[[#This Row],[lending_product_transform]],[3]Mapping!$B$3:$D$37,3,0)</f>
        <v>cashloan</v>
      </c>
      <c r="I1828" s="135">
        <v>3745010000</v>
      </c>
    </row>
    <row r="1829" spans="1:9" x14ac:dyDescent="0.2">
      <c r="A1829" s="134">
        <v>45494</v>
      </c>
      <c r="B1829" s="135">
        <f>YEAR(source[[#This Row],[report_date]])</f>
        <v>2024</v>
      </c>
      <c r="C1829" s="128">
        <v>7</v>
      </c>
      <c r="D1829" s="136">
        <f t="shared" si="79"/>
        <v>29</v>
      </c>
      <c r="E1829" s="136">
        <f t="shared" si="80"/>
        <v>21</v>
      </c>
      <c r="F1829" s="128" t="s">
        <v>24</v>
      </c>
      <c r="G1829" s="128" t="str">
        <f>VLOOKUP(source[[#This Row],[lending_product_transform]],[3]Mapping!$B$4:$C$37,2,0)</f>
        <v>[Cake] - Cashloan</v>
      </c>
      <c r="H1829" s="128" t="str">
        <f>VLOOKUP(source[[#This Row],[lending_product_transform]],[3]Mapping!$B$3:$D$37,3,0)</f>
        <v>cashloan</v>
      </c>
      <c r="I1829" s="135">
        <v>80000000</v>
      </c>
    </row>
    <row r="1830" spans="1:9" x14ac:dyDescent="0.2">
      <c r="A1830" s="134">
        <v>45494</v>
      </c>
      <c r="B1830" s="135">
        <f>YEAR(source[[#This Row],[report_date]])</f>
        <v>2024</v>
      </c>
      <c r="C1830" s="128">
        <v>7</v>
      </c>
      <c r="D1830" s="136">
        <f t="shared" si="79"/>
        <v>29</v>
      </c>
      <c r="E1830" s="136">
        <f t="shared" si="80"/>
        <v>21</v>
      </c>
      <c r="F1830" s="128" t="s">
        <v>24</v>
      </c>
      <c r="G1830" s="128" t="str">
        <f>VLOOKUP(source[[#This Row],[lending_product_transform]],[3]Mapping!$B$4:$C$37,2,0)</f>
        <v>[Cake] - Cashloan</v>
      </c>
      <c r="H1830" s="128" t="str">
        <f>VLOOKUP(source[[#This Row],[lending_product_transform]],[3]Mapping!$B$3:$D$37,3,0)</f>
        <v>cashloan</v>
      </c>
      <c r="I1830" s="135">
        <v>97180000</v>
      </c>
    </row>
    <row r="1831" spans="1:9" x14ac:dyDescent="0.2">
      <c r="A1831" s="134">
        <v>45494</v>
      </c>
      <c r="B1831" s="135">
        <f>YEAR(source[[#This Row],[report_date]])</f>
        <v>2024</v>
      </c>
      <c r="C1831" s="128">
        <v>7</v>
      </c>
      <c r="D1831" s="136">
        <f t="shared" si="79"/>
        <v>29</v>
      </c>
      <c r="E1831" s="136">
        <f t="shared" si="80"/>
        <v>21</v>
      </c>
      <c r="F1831" s="128" t="s">
        <v>24</v>
      </c>
      <c r="G1831" s="128" t="str">
        <f>VLOOKUP(source[[#This Row],[lending_product_transform]],[3]Mapping!$B$4:$C$37,2,0)</f>
        <v>[Cake] - Cashloan</v>
      </c>
      <c r="H1831" s="128" t="str">
        <f>VLOOKUP(source[[#This Row],[lending_product_transform]],[3]Mapping!$B$3:$D$37,3,0)</f>
        <v>cashloan</v>
      </c>
      <c r="I1831" s="135">
        <v>3139000000</v>
      </c>
    </row>
    <row r="1832" spans="1:9" x14ac:dyDescent="0.2">
      <c r="A1832" s="134">
        <v>45494</v>
      </c>
      <c r="B1832" s="135">
        <f>YEAR(source[[#This Row],[report_date]])</f>
        <v>2024</v>
      </c>
      <c r="C1832" s="128">
        <v>7</v>
      </c>
      <c r="D1832" s="136">
        <f t="shared" si="79"/>
        <v>29</v>
      </c>
      <c r="E1832" s="136">
        <f t="shared" si="80"/>
        <v>21</v>
      </c>
      <c r="F1832" s="128" t="s">
        <v>24</v>
      </c>
      <c r="G1832" s="128" t="str">
        <f>VLOOKUP(source[[#This Row],[lending_product_transform]],[3]Mapping!$B$4:$C$37,2,0)</f>
        <v>[Cake] - Cashloan</v>
      </c>
      <c r="H1832" s="128" t="str">
        <f>VLOOKUP(source[[#This Row],[lending_product_transform]],[3]Mapping!$B$3:$D$37,3,0)</f>
        <v>cashloan</v>
      </c>
      <c r="I1832" s="135">
        <v>3950210000</v>
      </c>
    </row>
    <row r="1833" spans="1:9" x14ac:dyDescent="0.2">
      <c r="A1833" s="134">
        <v>45494</v>
      </c>
      <c r="B1833" s="135">
        <f>YEAR(source[[#This Row],[report_date]])</f>
        <v>2024</v>
      </c>
      <c r="C1833" s="128">
        <v>7</v>
      </c>
      <c r="D1833" s="136">
        <f t="shared" si="79"/>
        <v>29</v>
      </c>
      <c r="E1833" s="136">
        <f t="shared" si="80"/>
        <v>21</v>
      </c>
      <c r="F1833" s="128" t="s">
        <v>24</v>
      </c>
      <c r="G1833" s="128" t="str">
        <f>VLOOKUP(source[[#This Row],[lending_product_transform]],[3]Mapping!$B$4:$C$37,2,0)</f>
        <v>[Cake] - Cashloan</v>
      </c>
      <c r="H1833" s="128" t="str">
        <f>VLOOKUP(source[[#This Row],[lending_product_transform]],[3]Mapping!$B$3:$D$37,3,0)</f>
        <v>cashloan</v>
      </c>
      <c r="I1833" s="135">
        <v>70350000</v>
      </c>
    </row>
    <row r="1834" spans="1:9" x14ac:dyDescent="0.2">
      <c r="A1834" s="134">
        <v>45494</v>
      </c>
      <c r="B1834" s="135">
        <f>YEAR(source[[#This Row],[report_date]])</f>
        <v>2024</v>
      </c>
      <c r="C1834" s="128">
        <v>7</v>
      </c>
      <c r="D1834" s="136">
        <f t="shared" si="79"/>
        <v>29</v>
      </c>
      <c r="E1834" s="136">
        <f t="shared" si="80"/>
        <v>21</v>
      </c>
      <c r="F1834" s="128" t="s">
        <v>24</v>
      </c>
      <c r="G1834" s="128" t="str">
        <f>VLOOKUP(source[[#This Row],[lending_product_transform]],[3]Mapping!$B$4:$C$37,2,0)</f>
        <v>[Cake] - Cashloan</v>
      </c>
      <c r="H1834" s="128" t="str">
        <f>VLOOKUP(source[[#This Row],[lending_product_transform]],[3]Mapping!$B$3:$D$37,3,0)</f>
        <v>cashloan</v>
      </c>
      <c r="I1834" s="135">
        <v>1721068296</v>
      </c>
    </row>
    <row r="1835" spans="1:9" x14ac:dyDescent="0.2">
      <c r="A1835" s="134">
        <v>45494</v>
      </c>
      <c r="B1835" s="135">
        <f>YEAR(source[[#This Row],[report_date]])</f>
        <v>2024</v>
      </c>
      <c r="C1835" s="128">
        <v>7</v>
      </c>
      <c r="D1835" s="136">
        <f t="shared" si="79"/>
        <v>29</v>
      </c>
      <c r="E1835" s="136">
        <f t="shared" si="80"/>
        <v>21</v>
      </c>
      <c r="F1835" s="128" t="s">
        <v>24</v>
      </c>
      <c r="G1835" s="128" t="str">
        <f>VLOOKUP(source[[#This Row],[lending_product_transform]],[3]Mapping!$B$4:$C$37,2,0)</f>
        <v>[Cake] - Cashloan</v>
      </c>
      <c r="H1835" s="128" t="str">
        <f>VLOOKUP(source[[#This Row],[lending_product_transform]],[3]Mapping!$B$3:$D$37,3,0)</f>
        <v>cashloan</v>
      </c>
      <c r="I1835" s="135">
        <v>158575918</v>
      </c>
    </row>
    <row r="1836" spans="1:9" x14ac:dyDescent="0.2">
      <c r="A1836" s="134">
        <v>45495</v>
      </c>
      <c r="B1836" s="135">
        <f>YEAR(source[[#This Row],[report_date]])</f>
        <v>2024</v>
      </c>
      <c r="C1836" s="128">
        <v>7</v>
      </c>
      <c r="D1836" s="136">
        <f t="shared" si="79"/>
        <v>30</v>
      </c>
      <c r="E1836" s="136">
        <f t="shared" si="80"/>
        <v>22</v>
      </c>
      <c r="F1836" s="128" t="s">
        <v>24</v>
      </c>
      <c r="G1836" s="128" t="str">
        <f>VLOOKUP(source[[#This Row],[lending_product_transform]],[3]Mapping!$B$4:$C$37,2,0)</f>
        <v>[Cake] - Cashloan</v>
      </c>
      <c r="H1836" s="128" t="str">
        <f>VLOOKUP(source[[#This Row],[lending_product_transform]],[3]Mapping!$B$3:$D$37,3,0)</f>
        <v>cashloan</v>
      </c>
      <c r="I1836" s="135">
        <v>0</v>
      </c>
    </row>
    <row r="1837" spans="1:9" x14ac:dyDescent="0.2">
      <c r="A1837" s="134">
        <v>45495</v>
      </c>
      <c r="B1837" s="135">
        <f>YEAR(source[[#This Row],[report_date]])</f>
        <v>2024</v>
      </c>
      <c r="C1837" s="128">
        <v>7</v>
      </c>
      <c r="D1837" s="136">
        <f t="shared" si="79"/>
        <v>30</v>
      </c>
      <c r="E1837" s="136">
        <f t="shared" si="80"/>
        <v>22</v>
      </c>
      <c r="F1837" s="128" t="s">
        <v>24</v>
      </c>
      <c r="G1837" s="128" t="str">
        <f>VLOOKUP(source[[#This Row],[lending_product_transform]],[3]Mapping!$B$4:$C$37,2,0)</f>
        <v>[Cake] - Cashloan</v>
      </c>
      <c r="H1837" s="128" t="str">
        <f>VLOOKUP(source[[#This Row],[lending_product_transform]],[3]Mapping!$B$3:$D$37,3,0)</f>
        <v>cashloan</v>
      </c>
      <c r="I1837" s="135">
        <v>3720450000</v>
      </c>
    </row>
    <row r="1838" spans="1:9" x14ac:dyDescent="0.2">
      <c r="A1838" s="134">
        <v>45495</v>
      </c>
      <c r="B1838" s="135">
        <f>YEAR(source[[#This Row],[report_date]])</f>
        <v>2024</v>
      </c>
      <c r="C1838" s="128">
        <v>7</v>
      </c>
      <c r="D1838" s="136">
        <f t="shared" si="79"/>
        <v>30</v>
      </c>
      <c r="E1838" s="136">
        <f t="shared" si="80"/>
        <v>22</v>
      </c>
      <c r="F1838" s="128" t="s">
        <v>24</v>
      </c>
      <c r="G1838" s="128" t="str">
        <f>VLOOKUP(source[[#This Row],[lending_product_transform]],[3]Mapping!$B$4:$C$37,2,0)</f>
        <v>[Cake] - Cashloan</v>
      </c>
      <c r="H1838" s="128" t="str">
        <f>VLOOKUP(source[[#This Row],[lending_product_transform]],[3]Mapping!$B$3:$D$37,3,0)</f>
        <v>cashloan</v>
      </c>
      <c r="I1838" s="135">
        <v>163100000</v>
      </c>
    </row>
    <row r="1839" spans="1:9" x14ac:dyDescent="0.2">
      <c r="A1839" s="134">
        <v>45495</v>
      </c>
      <c r="B1839" s="135">
        <f>YEAR(source[[#This Row],[report_date]])</f>
        <v>2024</v>
      </c>
      <c r="C1839" s="128">
        <v>7</v>
      </c>
      <c r="D1839" s="136">
        <f t="shared" si="79"/>
        <v>30</v>
      </c>
      <c r="E1839" s="136">
        <f t="shared" si="80"/>
        <v>22</v>
      </c>
      <c r="F1839" s="128" t="s">
        <v>24</v>
      </c>
      <c r="G1839" s="128" t="str">
        <f>VLOOKUP(source[[#This Row],[lending_product_transform]],[3]Mapping!$B$4:$C$37,2,0)</f>
        <v>[Cake] - Cashloan</v>
      </c>
      <c r="H1839" s="128" t="str">
        <f>VLOOKUP(source[[#This Row],[lending_product_transform]],[3]Mapping!$B$3:$D$37,3,0)</f>
        <v>cashloan</v>
      </c>
      <c r="I1839" s="135">
        <v>83460000</v>
      </c>
    </row>
    <row r="1840" spans="1:9" x14ac:dyDescent="0.2">
      <c r="A1840" s="134">
        <v>45495</v>
      </c>
      <c r="B1840" s="135">
        <f>YEAR(source[[#This Row],[report_date]])</f>
        <v>2024</v>
      </c>
      <c r="C1840" s="128">
        <v>7</v>
      </c>
      <c r="D1840" s="136">
        <f t="shared" si="79"/>
        <v>30</v>
      </c>
      <c r="E1840" s="136">
        <f t="shared" si="80"/>
        <v>22</v>
      </c>
      <c r="F1840" s="128" t="s">
        <v>24</v>
      </c>
      <c r="G1840" s="128" t="str">
        <f>VLOOKUP(source[[#This Row],[lending_product_transform]],[3]Mapping!$B$4:$C$37,2,0)</f>
        <v>[Cake] - Cashloan</v>
      </c>
      <c r="H1840" s="128" t="str">
        <f>VLOOKUP(source[[#This Row],[lending_product_transform]],[3]Mapping!$B$3:$D$37,3,0)</f>
        <v>cashloan</v>
      </c>
      <c r="I1840" s="135">
        <v>2571930778</v>
      </c>
    </row>
    <row r="1841" spans="1:9" x14ac:dyDescent="0.2">
      <c r="A1841" s="134">
        <v>45495</v>
      </c>
      <c r="B1841" s="135">
        <f>YEAR(source[[#This Row],[report_date]])</f>
        <v>2024</v>
      </c>
      <c r="C1841" s="128">
        <v>7</v>
      </c>
      <c r="D1841" s="136">
        <f t="shared" si="79"/>
        <v>30</v>
      </c>
      <c r="E1841" s="136">
        <f t="shared" si="80"/>
        <v>22</v>
      </c>
      <c r="F1841" s="128" t="s">
        <v>24</v>
      </c>
      <c r="G1841" s="128" t="str">
        <f>VLOOKUP(source[[#This Row],[lending_product_transform]],[3]Mapping!$B$4:$C$37,2,0)</f>
        <v>[Cake] - Cashloan</v>
      </c>
      <c r="H1841" s="128" t="str">
        <f>VLOOKUP(source[[#This Row],[lending_product_transform]],[3]Mapping!$B$3:$D$37,3,0)</f>
        <v>cashloan</v>
      </c>
      <c r="I1841" s="135">
        <v>22000000</v>
      </c>
    </row>
    <row r="1842" spans="1:9" x14ac:dyDescent="0.2">
      <c r="A1842" s="134">
        <v>45495</v>
      </c>
      <c r="B1842" s="135">
        <f>YEAR(source[[#This Row],[report_date]])</f>
        <v>2024</v>
      </c>
      <c r="C1842" s="128">
        <v>7</v>
      </c>
      <c r="D1842" s="136">
        <f t="shared" si="79"/>
        <v>30</v>
      </c>
      <c r="E1842" s="136">
        <f t="shared" si="80"/>
        <v>22</v>
      </c>
      <c r="F1842" s="128" t="s">
        <v>24</v>
      </c>
      <c r="G1842" s="128" t="str">
        <f>VLOOKUP(source[[#This Row],[lending_product_transform]],[3]Mapping!$B$4:$C$37,2,0)</f>
        <v>[Cake] - Cashloan</v>
      </c>
      <c r="H1842" s="128" t="str">
        <f>VLOOKUP(source[[#This Row],[lending_product_transform]],[3]Mapping!$B$3:$D$37,3,0)</f>
        <v>cashloan</v>
      </c>
      <c r="I1842" s="135">
        <v>36750000</v>
      </c>
    </row>
    <row r="1843" spans="1:9" x14ac:dyDescent="0.2">
      <c r="A1843" s="134">
        <v>45495</v>
      </c>
      <c r="B1843" s="135">
        <f>YEAR(source[[#This Row],[report_date]])</f>
        <v>2024</v>
      </c>
      <c r="C1843" s="128">
        <v>7</v>
      </c>
      <c r="D1843" s="136">
        <f t="shared" si="79"/>
        <v>30</v>
      </c>
      <c r="E1843" s="136">
        <f t="shared" si="80"/>
        <v>22</v>
      </c>
      <c r="F1843" s="128" t="s">
        <v>24</v>
      </c>
      <c r="G1843" s="128" t="str">
        <f>VLOOKUP(source[[#This Row],[lending_product_transform]],[3]Mapping!$B$4:$C$37,2,0)</f>
        <v>[Cake] - Cashloan</v>
      </c>
      <c r="H1843" s="128" t="str">
        <f>VLOOKUP(source[[#This Row],[lending_product_transform]],[3]Mapping!$B$3:$D$37,3,0)</f>
        <v>cashloan</v>
      </c>
      <c r="I1843" s="135">
        <v>131678489</v>
      </c>
    </row>
    <row r="1844" spans="1:9" x14ac:dyDescent="0.2">
      <c r="A1844" s="134">
        <v>45495</v>
      </c>
      <c r="B1844" s="135">
        <f>YEAR(source[[#This Row],[report_date]])</f>
        <v>2024</v>
      </c>
      <c r="C1844" s="128">
        <v>7</v>
      </c>
      <c r="D1844" s="136">
        <f t="shared" si="79"/>
        <v>30</v>
      </c>
      <c r="E1844" s="136">
        <f t="shared" si="80"/>
        <v>22</v>
      </c>
      <c r="F1844" s="128" t="s">
        <v>24</v>
      </c>
      <c r="G1844" s="128" t="str">
        <f>VLOOKUP(source[[#This Row],[lending_product_transform]],[3]Mapping!$B$4:$C$37,2,0)</f>
        <v>[Cake] - Cashloan</v>
      </c>
      <c r="H1844" s="128" t="str">
        <f>VLOOKUP(source[[#This Row],[lending_product_transform]],[3]Mapping!$B$3:$D$37,3,0)</f>
        <v>cashloan</v>
      </c>
      <c r="I1844" s="135">
        <v>3913500000</v>
      </c>
    </row>
    <row r="1845" spans="1:9" x14ac:dyDescent="0.2">
      <c r="A1845" s="134">
        <v>45495</v>
      </c>
      <c r="B1845" s="135">
        <f>YEAR(source[[#This Row],[report_date]])</f>
        <v>2024</v>
      </c>
      <c r="C1845" s="128">
        <v>7</v>
      </c>
      <c r="D1845" s="136">
        <f t="shared" si="79"/>
        <v>30</v>
      </c>
      <c r="E1845" s="136">
        <f t="shared" si="80"/>
        <v>22</v>
      </c>
      <c r="F1845" s="128" t="s">
        <v>24</v>
      </c>
      <c r="G1845" s="128" t="str">
        <f>VLOOKUP(source[[#This Row],[lending_product_transform]],[3]Mapping!$B$4:$C$37,2,0)</f>
        <v>[Cake] - Cashloan</v>
      </c>
      <c r="H1845" s="128" t="str">
        <f>VLOOKUP(source[[#This Row],[lending_product_transform]],[3]Mapping!$B$3:$D$37,3,0)</f>
        <v>cashloan</v>
      </c>
      <c r="I1845" s="135">
        <v>5346920000</v>
      </c>
    </row>
    <row r="1846" spans="1:9" x14ac:dyDescent="0.2">
      <c r="A1846" s="134">
        <v>45495</v>
      </c>
      <c r="B1846" s="135">
        <f>YEAR(source[[#This Row],[report_date]])</f>
        <v>2024</v>
      </c>
      <c r="C1846" s="128">
        <v>7</v>
      </c>
      <c r="D1846" s="136">
        <f t="shared" si="79"/>
        <v>30</v>
      </c>
      <c r="E1846" s="136">
        <f t="shared" si="80"/>
        <v>22</v>
      </c>
      <c r="F1846" s="128" t="s">
        <v>24</v>
      </c>
      <c r="G1846" s="128" t="str">
        <f>VLOOKUP(source[[#This Row],[lending_product_transform]],[3]Mapping!$B$4:$C$37,2,0)</f>
        <v>[Cake] - Cashloan</v>
      </c>
      <c r="H1846" s="128" t="str">
        <f>VLOOKUP(source[[#This Row],[lending_product_transform]],[3]Mapping!$B$3:$D$37,3,0)</f>
        <v>cashloan</v>
      </c>
      <c r="I1846" s="135">
        <v>1866450000</v>
      </c>
    </row>
    <row r="1847" spans="1:9" x14ac:dyDescent="0.2">
      <c r="A1847" s="134">
        <v>45495</v>
      </c>
      <c r="B1847" s="135">
        <f>YEAR(source[[#This Row],[report_date]])</f>
        <v>2024</v>
      </c>
      <c r="C1847" s="128">
        <v>7</v>
      </c>
      <c r="D1847" s="136">
        <f t="shared" si="79"/>
        <v>30</v>
      </c>
      <c r="E1847" s="136">
        <f t="shared" si="80"/>
        <v>22</v>
      </c>
      <c r="F1847" s="128" t="s">
        <v>24</v>
      </c>
      <c r="G1847" s="128" t="str">
        <f>VLOOKUP(source[[#This Row],[lending_product_transform]],[3]Mapping!$B$4:$C$37,2,0)</f>
        <v>[Cake] - Cashloan</v>
      </c>
      <c r="H1847" s="128" t="str">
        <f>VLOOKUP(source[[#This Row],[lending_product_transform]],[3]Mapping!$B$3:$D$37,3,0)</f>
        <v>cashloan</v>
      </c>
      <c r="I1847" s="135">
        <v>10525050</v>
      </c>
    </row>
    <row r="1848" spans="1:9" x14ac:dyDescent="0.2">
      <c r="A1848" s="134">
        <v>45496</v>
      </c>
      <c r="B1848" s="135">
        <f>YEAR(source[[#This Row],[report_date]])</f>
        <v>2024</v>
      </c>
      <c r="C1848" s="128">
        <v>7</v>
      </c>
      <c r="D1848" s="136">
        <f t="shared" si="79"/>
        <v>30</v>
      </c>
      <c r="E1848" s="136">
        <f t="shared" si="80"/>
        <v>23</v>
      </c>
      <c r="F1848" s="128" t="s">
        <v>24</v>
      </c>
      <c r="G1848" s="128" t="str">
        <f>VLOOKUP(source[[#This Row],[lending_product_transform]],[3]Mapping!$B$4:$C$37,2,0)</f>
        <v>[Cake] - Cashloan</v>
      </c>
      <c r="H1848" s="128" t="str">
        <f>VLOOKUP(source[[#This Row],[lending_product_transform]],[3]Mapping!$B$3:$D$37,3,0)</f>
        <v>cashloan</v>
      </c>
      <c r="I1848" s="135">
        <v>2435350914</v>
      </c>
    </row>
    <row r="1849" spans="1:9" x14ac:dyDescent="0.2">
      <c r="A1849" s="134">
        <v>45496</v>
      </c>
      <c r="B1849" s="135">
        <f>YEAR(source[[#This Row],[report_date]])</f>
        <v>2024</v>
      </c>
      <c r="C1849" s="128">
        <v>7</v>
      </c>
      <c r="D1849" s="136">
        <f t="shared" si="79"/>
        <v>30</v>
      </c>
      <c r="E1849" s="136">
        <f t="shared" si="80"/>
        <v>23</v>
      </c>
      <c r="F1849" s="128" t="s">
        <v>24</v>
      </c>
      <c r="G1849" s="128" t="str">
        <f>VLOOKUP(source[[#This Row],[lending_product_transform]],[3]Mapping!$B$4:$C$37,2,0)</f>
        <v>[Cake] - Cashloan</v>
      </c>
      <c r="H1849" s="128" t="str">
        <f>VLOOKUP(source[[#This Row],[lending_product_transform]],[3]Mapping!$B$3:$D$37,3,0)</f>
        <v>cashloan</v>
      </c>
      <c r="I1849" s="135">
        <v>68000000</v>
      </c>
    </row>
    <row r="1850" spans="1:9" x14ac:dyDescent="0.2">
      <c r="A1850" s="134">
        <v>45496</v>
      </c>
      <c r="B1850" s="135">
        <f>YEAR(source[[#This Row],[report_date]])</f>
        <v>2024</v>
      </c>
      <c r="C1850" s="128">
        <v>7</v>
      </c>
      <c r="D1850" s="136">
        <f t="shared" si="79"/>
        <v>30</v>
      </c>
      <c r="E1850" s="136">
        <f t="shared" si="80"/>
        <v>23</v>
      </c>
      <c r="F1850" s="128" t="s">
        <v>24</v>
      </c>
      <c r="G1850" s="128" t="str">
        <f>VLOOKUP(source[[#This Row],[lending_product_transform]],[3]Mapping!$B$4:$C$37,2,0)</f>
        <v>[Cake] - Cashloan</v>
      </c>
      <c r="H1850" s="128" t="str">
        <f>VLOOKUP(source[[#This Row],[lending_product_transform]],[3]Mapping!$B$3:$D$37,3,0)</f>
        <v>cashloan</v>
      </c>
      <c r="I1850" s="135">
        <v>3292000000</v>
      </c>
    </row>
    <row r="1851" spans="1:9" x14ac:dyDescent="0.2">
      <c r="A1851" s="134">
        <v>45496</v>
      </c>
      <c r="B1851" s="135">
        <f>YEAR(source[[#This Row],[report_date]])</f>
        <v>2024</v>
      </c>
      <c r="C1851" s="128">
        <v>7</v>
      </c>
      <c r="D1851" s="136">
        <f t="shared" si="79"/>
        <v>30</v>
      </c>
      <c r="E1851" s="136">
        <f t="shared" si="80"/>
        <v>23</v>
      </c>
      <c r="F1851" s="128" t="s">
        <v>24</v>
      </c>
      <c r="G1851" s="128" t="str">
        <f>VLOOKUP(source[[#This Row],[lending_product_transform]],[3]Mapping!$B$4:$C$37,2,0)</f>
        <v>[Cake] - Cashloan</v>
      </c>
      <c r="H1851" s="128" t="str">
        <f>VLOOKUP(source[[#This Row],[lending_product_transform]],[3]Mapping!$B$3:$D$37,3,0)</f>
        <v>cashloan</v>
      </c>
      <c r="I1851" s="135">
        <v>0</v>
      </c>
    </row>
    <row r="1852" spans="1:9" x14ac:dyDescent="0.2">
      <c r="A1852" s="134">
        <v>45496</v>
      </c>
      <c r="B1852" s="135">
        <f>YEAR(source[[#This Row],[report_date]])</f>
        <v>2024</v>
      </c>
      <c r="C1852" s="128">
        <v>7</v>
      </c>
      <c r="D1852" s="136">
        <f t="shared" si="79"/>
        <v>30</v>
      </c>
      <c r="E1852" s="136">
        <f t="shared" si="80"/>
        <v>23</v>
      </c>
      <c r="F1852" s="128" t="s">
        <v>24</v>
      </c>
      <c r="G1852" s="128" t="str">
        <f>VLOOKUP(source[[#This Row],[lending_product_transform]],[3]Mapping!$B$4:$C$37,2,0)</f>
        <v>[Cake] - Cashloan</v>
      </c>
      <c r="H1852" s="128" t="str">
        <f>VLOOKUP(source[[#This Row],[lending_product_transform]],[3]Mapping!$B$3:$D$37,3,0)</f>
        <v>cashloan</v>
      </c>
      <c r="I1852" s="135">
        <v>30159214</v>
      </c>
    </row>
    <row r="1853" spans="1:9" x14ac:dyDescent="0.2">
      <c r="A1853" s="134">
        <v>45496</v>
      </c>
      <c r="B1853" s="135">
        <f>YEAR(source[[#This Row],[report_date]])</f>
        <v>2024</v>
      </c>
      <c r="C1853" s="128">
        <v>7</v>
      </c>
      <c r="D1853" s="136">
        <f t="shared" si="79"/>
        <v>30</v>
      </c>
      <c r="E1853" s="136">
        <f t="shared" si="80"/>
        <v>23</v>
      </c>
      <c r="F1853" s="128" t="s">
        <v>24</v>
      </c>
      <c r="G1853" s="128" t="str">
        <f>VLOOKUP(source[[#This Row],[lending_product_transform]],[3]Mapping!$B$4:$C$37,2,0)</f>
        <v>[Cake] - Cashloan</v>
      </c>
      <c r="H1853" s="128" t="str">
        <f>VLOOKUP(source[[#This Row],[lending_product_transform]],[3]Mapping!$B$3:$D$37,3,0)</f>
        <v>cashloan</v>
      </c>
      <c r="I1853" s="135">
        <v>1231570000</v>
      </c>
    </row>
    <row r="1854" spans="1:9" x14ac:dyDescent="0.2">
      <c r="A1854" s="134">
        <v>45496</v>
      </c>
      <c r="B1854" s="135">
        <f>YEAR(source[[#This Row],[report_date]])</f>
        <v>2024</v>
      </c>
      <c r="C1854" s="128">
        <v>7</v>
      </c>
      <c r="D1854" s="136">
        <f t="shared" si="79"/>
        <v>30</v>
      </c>
      <c r="E1854" s="136">
        <f t="shared" si="80"/>
        <v>23</v>
      </c>
      <c r="F1854" s="128" t="s">
        <v>24</v>
      </c>
      <c r="G1854" s="128" t="str">
        <f>VLOOKUP(source[[#This Row],[lending_product_transform]],[3]Mapping!$B$4:$C$37,2,0)</f>
        <v>[Cake] - Cashloan</v>
      </c>
      <c r="H1854" s="128" t="str">
        <f>VLOOKUP(source[[#This Row],[lending_product_transform]],[3]Mapping!$B$3:$D$37,3,0)</f>
        <v>cashloan</v>
      </c>
      <c r="I1854" s="135">
        <v>1803840000</v>
      </c>
    </row>
    <row r="1855" spans="1:9" x14ac:dyDescent="0.2">
      <c r="A1855" s="134">
        <v>45496</v>
      </c>
      <c r="B1855" s="135">
        <f>YEAR(source[[#This Row],[report_date]])</f>
        <v>2024</v>
      </c>
      <c r="C1855" s="128">
        <v>7</v>
      </c>
      <c r="D1855" s="136">
        <f t="shared" si="79"/>
        <v>30</v>
      </c>
      <c r="E1855" s="136">
        <f t="shared" si="80"/>
        <v>23</v>
      </c>
      <c r="F1855" s="128" t="s">
        <v>24</v>
      </c>
      <c r="G1855" s="128" t="str">
        <f>VLOOKUP(source[[#This Row],[lending_product_transform]],[3]Mapping!$B$4:$C$37,2,0)</f>
        <v>[Cake] - Cashloan</v>
      </c>
      <c r="H1855" s="128" t="str">
        <f>VLOOKUP(source[[#This Row],[lending_product_transform]],[3]Mapping!$B$3:$D$37,3,0)</f>
        <v>cashloan</v>
      </c>
      <c r="I1855" s="135">
        <v>127240658</v>
      </c>
    </row>
    <row r="1856" spans="1:9" x14ac:dyDescent="0.2">
      <c r="A1856" s="134">
        <v>45496</v>
      </c>
      <c r="B1856" s="135">
        <f>YEAR(source[[#This Row],[report_date]])</f>
        <v>2024</v>
      </c>
      <c r="C1856" s="128">
        <v>7</v>
      </c>
      <c r="D1856" s="136">
        <f t="shared" si="79"/>
        <v>30</v>
      </c>
      <c r="E1856" s="136">
        <f t="shared" si="80"/>
        <v>23</v>
      </c>
      <c r="F1856" s="128" t="s">
        <v>24</v>
      </c>
      <c r="G1856" s="128" t="str">
        <f>VLOOKUP(source[[#This Row],[lending_product_transform]],[3]Mapping!$B$4:$C$37,2,0)</f>
        <v>[Cake] - Cashloan</v>
      </c>
      <c r="H1856" s="128" t="str">
        <f>VLOOKUP(source[[#This Row],[lending_product_transform]],[3]Mapping!$B$3:$D$37,3,0)</f>
        <v>cashloan</v>
      </c>
      <c r="I1856" s="135">
        <v>44100000</v>
      </c>
    </row>
    <row r="1857" spans="1:9" x14ac:dyDescent="0.2">
      <c r="A1857" s="134">
        <v>45496</v>
      </c>
      <c r="B1857" s="135">
        <f>YEAR(source[[#This Row],[report_date]])</f>
        <v>2024</v>
      </c>
      <c r="C1857" s="128">
        <v>7</v>
      </c>
      <c r="D1857" s="136">
        <f t="shared" si="79"/>
        <v>30</v>
      </c>
      <c r="E1857" s="136">
        <f t="shared" si="80"/>
        <v>23</v>
      </c>
      <c r="F1857" s="128" t="s">
        <v>24</v>
      </c>
      <c r="G1857" s="128" t="str">
        <f>VLOOKUP(source[[#This Row],[lending_product_transform]],[3]Mapping!$B$4:$C$37,2,0)</f>
        <v>[Cake] - Cashloan</v>
      </c>
      <c r="H1857" s="128" t="str">
        <f>VLOOKUP(source[[#This Row],[lending_product_transform]],[3]Mapping!$B$3:$D$37,3,0)</f>
        <v>cashloan</v>
      </c>
      <c r="I1857" s="135">
        <v>166900000</v>
      </c>
    </row>
    <row r="1858" spans="1:9" x14ac:dyDescent="0.2">
      <c r="A1858" s="134">
        <v>45496</v>
      </c>
      <c r="B1858" s="135">
        <f>YEAR(source[[#This Row],[report_date]])</f>
        <v>2024</v>
      </c>
      <c r="C1858" s="128">
        <v>7</v>
      </c>
      <c r="D1858" s="136">
        <f t="shared" si="79"/>
        <v>30</v>
      </c>
      <c r="E1858" s="136">
        <f t="shared" si="80"/>
        <v>23</v>
      </c>
      <c r="F1858" s="128" t="s">
        <v>24</v>
      </c>
      <c r="G1858" s="128" t="str">
        <f>VLOOKUP(source[[#This Row],[lending_product_transform]],[3]Mapping!$B$4:$C$37,2,0)</f>
        <v>[Cake] - Cashloan</v>
      </c>
      <c r="H1858" s="128" t="str">
        <f>VLOOKUP(source[[#This Row],[lending_product_transform]],[3]Mapping!$B$3:$D$37,3,0)</f>
        <v>cashloan</v>
      </c>
      <c r="I1858" s="135">
        <v>117720000</v>
      </c>
    </row>
    <row r="1859" spans="1:9" x14ac:dyDescent="0.2">
      <c r="A1859" s="134">
        <v>45496</v>
      </c>
      <c r="B1859" s="135">
        <f>YEAR(source[[#This Row],[report_date]])</f>
        <v>2024</v>
      </c>
      <c r="C1859" s="128">
        <v>7</v>
      </c>
      <c r="D1859" s="136">
        <f t="shared" ref="D1859:D1922" si="81">WEEKNUM(A1859,2)</f>
        <v>30</v>
      </c>
      <c r="E1859" s="136">
        <f t="shared" ref="E1859:E1922" si="82">DAY(A1859)</f>
        <v>23</v>
      </c>
      <c r="F1859" s="128" t="s">
        <v>24</v>
      </c>
      <c r="G1859" s="128" t="str">
        <f>VLOOKUP(source[[#This Row],[lending_product_transform]],[3]Mapping!$B$4:$C$37,2,0)</f>
        <v>[Cake] - Cashloan</v>
      </c>
      <c r="H1859" s="128" t="str">
        <f>VLOOKUP(source[[#This Row],[lending_product_transform]],[3]Mapping!$B$3:$D$37,3,0)</f>
        <v>cashloan</v>
      </c>
      <c r="I1859" s="135">
        <v>4898300000</v>
      </c>
    </row>
    <row r="1860" spans="1:9" x14ac:dyDescent="0.2">
      <c r="A1860" s="134">
        <v>45497</v>
      </c>
      <c r="B1860" s="135">
        <f>YEAR(source[[#This Row],[report_date]])</f>
        <v>2024</v>
      </c>
      <c r="C1860" s="128">
        <v>7</v>
      </c>
      <c r="D1860" s="136">
        <f t="shared" si="81"/>
        <v>30</v>
      </c>
      <c r="E1860" s="136">
        <f t="shared" si="82"/>
        <v>24</v>
      </c>
      <c r="F1860" s="128" t="s">
        <v>24</v>
      </c>
      <c r="G1860" s="128" t="str">
        <f>VLOOKUP(source[[#This Row],[lending_product_transform]],[3]Mapping!$B$4:$C$37,2,0)</f>
        <v>[Cake] - Cashloan</v>
      </c>
      <c r="H1860" s="128" t="str">
        <f>VLOOKUP(source[[#This Row],[lending_product_transform]],[3]Mapping!$B$3:$D$37,3,0)</f>
        <v>cashloan</v>
      </c>
      <c r="I1860" s="135">
        <v>3713500000</v>
      </c>
    </row>
    <row r="1861" spans="1:9" x14ac:dyDescent="0.2">
      <c r="A1861" s="134">
        <v>45497</v>
      </c>
      <c r="B1861" s="135">
        <f>YEAR(source[[#This Row],[report_date]])</f>
        <v>2024</v>
      </c>
      <c r="C1861" s="128">
        <v>7</v>
      </c>
      <c r="D1861" s="136">
        <f t="shared" si="81"/>
        <v>30</v>
      </c>
      <c r="E1861" s="136">
        <f t="shared" si="82"/>
        <v>24</v>
      </c>
      <c r="F1861" s="128" t="s">
        <v>24</v>
      </c>
      <c r="G1861" s="128" t="str">
        <f>VLOOKUP(source[[#This Row],[lending_product_transform]],[3]Mapping!$B$4:$C$37,2,0)</f>
        <v>[Cake] - Cashloan</v>
      </c>
      <c r="H1861" s="128" t="str">
        <f>VLOOKUP(source[[#This Row],[lending_product_transform]],[3]Mapping!$B$3:$D$37,3,0)</f>
        <v>cashloan</v>
      </c>
      <c r="I1861" s="135">
        <v>4406610000</v>
      </c>
    </row>
    <row r="1862" spans="1:9" x14ac:dyDescent="0.2">
      <c r="A1862" s="134">
        <v>45497</v>
      </c>
      <c r="B1862" s="135">
        <f>YEAR(source[[#This Row],[report_date]])</f>
        <v>2024</v>
      </c>
      <c r="C1862" s="128">
        <v>7</v>
      </c>
      <c r="D1862" s="136">
        <f t="shared" si="81"/>
        <v>30</v>
      </c>
      <c r="E1862" s="136">
        <f t="shared" si="82"/>
        <v>24</v>
      </c>
      <c r="F1862" s="128" t="s">
        <v>24</v>
      </c>
      <c r="G1862" s="128" t="str">
        <f>VLOOKUP(source[[#This Row],[lending_product_transform]],[3]Mapping!$B$4:$C$37,2,0)</f>
        <v>[Cake] - Cashloan</v>
      </c>
      <c r="H1862" s="128" t="str">
        <f>VLOOKUP(source[[#This Row],[lending_product_transform]],[3]Mapping!$B$3:$D$37,3,0)</f>
        <v>cashloan</v>
      </c>
      <c r="I1862" s="135">
        <v>25099365</v>
      </c>
    </row>
    <row r="1863" spans="1:9" x14ac:dyDescent="0.2">
      <c r="A1863" s="134">
        <v>45497</v>
      </c>
      <c r="B1863" s="135">
        <f>YEAR(source[[#This Row],[report_date]])</f>
        <v>2024</v>
      </c>
      <c r="C1863" s="128">
        <v>7</v>
      </c>
      <c r="D1863" s="136">
        <f t="shared" si="81"/>
        <v>30</v>
      </c>
      <c r="E1863" s="136">
        <f t="shared" si="82"/>
        <v>24</v>
      </c>
      <c r="F1863" s="128" t="s">
        <v>24</v>
      </c>
      <c r="G1863" s="128" t="str">
        <f>VLOOKUP(source[[#This Row],[lending_product_transform]],[3]Mapping!$B$4:$C$37,2,0)</f>
        <v>[Cake] - Cashloan</v>
      </c>
      <c r="H1863" s="128" t="str">
        <f>VLOOKUP(source[[#This Row],[lending_product_transform]],[3]Mapping!$B$3:$D$37,3,0)</f>
        <v>cashloan</v>
      </c>
      <c r="I1863" s="135">
        <v>30500000</v>
      </c>
    </row>
    <row r="1864" spans="1:9" x14ac:dyDescent="0.2">
      <c r="A1864" s="134">
        <v>45497</v>
      </c>
      <c r="B1864" s="135">
        <f>YEAR(source[[#This Row],[report_date]])</f>
        <v>2024</v>
      </c>
      <c r="C1864" s="128">
        <v>7</v>
      </c>
      <c r="D1864" s="136">
        <f t="shared" si="81"/>
        <v>30</v>
      </c>
      <c r="E1864" s="136">
        <f t="shared" si="82"/>
        <v>24</v>
      </c>
      <c r="F1864" s="128" t="s">
        <v>24</v>
      </c>
      <c r="G1864" s="128" t="str">
        <f>VLOOKUP(source[[#This Row],[lending_product_transform]],[3]Mapping!$B$4:$C$37,2,0)</f>
        <v>[Cake] - Cashloan</v>
      </c>
      <c r="H1864" s="128" t="str">
        <f>VLOOKUP(source[[#This Row],[lending_product_transform]],[3]Mapping!$B$3:$D$37,3,0)</f>
        <v>cashloan</v>
      </c>
      <c r="I1864" s="135">
        <v>2701304333</v>
      </c>
    </row>
    <row r="1865" spans="1:9" x14ac:dyDescent="0.2">
      <c r="A1865" s="134">
        <v>45497</v>
      </c>
      <c r="B1865" s="135">
        <f>YEAR(source[[#This Row],[report_date]])</f>
        <v>2024</v>
      </c>
      <c r="C1865" s="128">
        <v>7</v>
      </c>
      <c r="D1865" s="136">
        <f t="shared" si="81"/>
        <v>30</v>
      </c>
      <c r="E1865" s="136">
        <f t="shared" si="82"/>
        <v>24</v>
      </c>
      <c r="F1865" s="128" t="s">
        <v>24</v>
      </c>
      <c r="G1865" s="128" t="str">
        <f>VLOOKUP(source[[#This Row],[lending_product_transform]],[3]Mapping!$B$4:$C$37,2,0)</f>
        <v>[Cake] - Cashloan</v>
      </c>
      <c r="H1865" s="128" t="str">
        <f>VLOOKUP(source[[#This Row],[lending_product_transform]],[3]Mapping!$B$3:$D$37,3,0)</f>
        <v>cashloan</v>
      </c>
      <c r="I1865" s="135">
        <v>145479476</v>
      </c>
    </row>
    <row r="1866" spans="1:9" x14ac:dyDescent="0.2">
      <c r="A1866" s="134">
        <v>45497</v>
      </c>
      <c r="B1866" s="135">
        <f>YEAR(source[[#This Row],[report_date]])</f>
        <v>2024</v>
      </c>
      <c r="C1866" s="128">
        <v>7</v>
      </c>
      <c r="D1866" s="136">
        <f t="shared" si="81"/>
        <v>30</v>
      </c>
      <c r="E1866" s="136">
        <f t="shared" si="82"/>
        <v>24</v>
      </c>
      <c r="F1866" s="128" t="s">
        <v>24</v>
      </c>
      <c r="G1866" s="128" t="str">
        <f>VLOOKUP(source[[#This Row],[lending_product_transform]],[3]Mapping!$B$4:$C$37,2,0)</f>
        <v>[Cake] - Cashloan</v>
      </c>
      <c r="H1866" s="128" t="str">
        <f>VLOOKUP(source[[#This Row],[lending_product_transform]],[3]Mapping!$B$3:$D$37,3,0)</f>
        <v>cashloan</v>
      </c>
      <c r="I1866" s="135">
        <v>17120000</v>
      </c>
    </row>
    <row r="1867" spans="1:9" x14ac:dyDescent="0.2">
      <c r="A1867" s="134">
        <v>45497</v>
      </c>
      <c r="B1867" s="135">
        <f>YEAR(source[[#This Row],[report_date]])</f>
        <v>2024</v>
      </c>
      <c r="C1867" s="128">
        <v>7</v>
      </c>
      <c r="D1867" s="136">
        <f t="shared" si="81"/>
        <v>30</v>
      </c>
      <c r="E1867" s="136">
        <f t="shared" si="82"/>
        <v>24</v>
      </c>
      <c r="F1867" s="128" t="s">
        <v>24</v>
      </c>
      <c r="G1867" s="128" t="str">
        <f>VLOOKUP(source[[#This Row],[lending_product_transform]],[3]Mapping!$B$4:$C$37,2,0)</f>
        <v>[Cake] - Cashloan</v>
      </c>
      <c r="H1867" s="128" t="str">
        <f>VLOOKUP(source[[#This Row],[lending_product_transform]],[3]Mapping!$B$3:$D$37,3,0)</f>
        <v>cashloan</v>
      </c>
      <c r="I1867" s="135">
        <v>73130000</v>
      </c>
    </row>
    <row r="1868" spans="1:9" x14ac:dyDescent="0.2">
      <c r="A1868" s="134">
        <v>45497</v>
      </c>
      <c r="B1868" s="135">
        <f>YEAR(source[[#This Row],[report_date]])</f>
        <v>2024</v>
      </c>
      <c r="C1868" s="128">
        <v>7</v>
      </c>
      <c r="D1868" s="136">
        <f t="shared" si="81"/>
        <v>30</v>
      </c>
      <c r="E1868" s="136">
        <f t="shared" si="82"/>
        <v>24</v>
      </c>
      <c r="F1868" s="128" t="s">
        <v>24</v>
      </c>
      <c r="G1868" s="128" t="str">
        <f>VLOOKUP(source[[#This Row],[lending_product_transform]],[3]Mapping!$B$4:$C$37,2,0)</f>
        <v>[Cake] - Cashloan</v>
      </c>
      <c r="H1868" s="128" t="str">
        <f>VLOOKUP(source[[#This Row],[lending_product_transform]],[3]Mapping!$B$3:$D$37,3,0)</f>
        <v>cashloan</v>
      </c>
      <c r="I1868" s="135">
        <v>379350000</v>
      </c>
    </row>
    <row r="1869" spans="1:9" x14ac:dyDescent="0.2">
      <c r="A1869" s="134">
        <v>45497</v>
      </c>
      <c r="B1869" s="135">
        <f>YEAR(source[[#This Row],[report_date]])</f>
        <v>2024</v>
      </c>
      <c r="C1869" s="128">
        <v>7</v>
      </c>
      <c r="D1869" s="136">
        <f t="shared" si="81"/>
        <v>30</v>
      </c>
      <c r="E1869" s="136">
        <f t="shared" si="82"/>
        <v>24</v>
      </c>
      <c r="F1869" s="128" t="s">
        <v>24</v>
      </c>
      <c r="G1869" s="128" t="str">
        <f>VLOOKUP(source[[#This Row],[lending_product_transform]],[3]Mapping!$B$4:$C$37,2,0)</f>
        <v>[Cake] - Cashloan</v>
      </c>
      <c r="H1869" s="128" t="str">
        <f>VLOOKUP(source[[#This Row],[lending_product_transform]],[3]Mapping!$B$3:$D$37,3,0)</f>
        <v>cashloan</v>
      </c>
      <c r="I1869" s="135">
        <v>2588010000</v>
      </c>
    </row>
    <row r="1870" spans="1:9" x14ac:dyDescent="0.2">
      <c r="A1870" s="134">
        <v>45497</v>
      </c>
      <c r="B1870" s="135">
        <f>YEAR(source[[#This Row],[report_date]])</f>
        <v>2024</v>
      </c>
      <c r="C1870" s="128">
        <v>7</v>
      </c>
      <c r="D1870" s="136">
        <f t="shared" si="81"/>
        <v>30</v>
      </c>
      <c r="E1870" s="136">
        <f t="shared" si="82"/>
        <v>24</v>
      </c>
      <c r="F1870" s="128" t="s">
        <v>24</v>
      </c>
      <c r="G1870" s="128" t="str">
        <f>VLOOKUP(source[[#This Row],[lending_product_transform]],[3]Mapping!$B$4:$C$37,2,0)</f>
        <v>[Cake] - Cashloan</v>
      </c>
      <c r="H1870" s="128" t="str">
        <f>VLOOKUP(source[[#This Row],[lending_product_transform]],[3]Mapping!$B$3:$D$37,3,0)</f>
        <v>cashloan</v>
      </c>
      <c r="I1870" s="135">
        <v>78000000</v>
      </c>
    </row>
    <row r="1871" spans="1:9" x14ac:dyDescent="0.2">
      <c r="A1871" s="134">
        <v>45497</v>
      </c>
      <c r="B1871" s="135">
        <f>YEAR(source[[#This Row],[report_date]])</f>
        <v>2024</v>
      </c>
      <c r="C1871" s="128">
        <v>7</v>
      </c>
      <c r="D1871" s="136">
        <f t="shared" si="81"/>
        <v>30</v>
      </c>
      <c r="E1871" s="136">
        <f t="shared" si="82"/>
        <v>24</v>
      </c>
      <c r="F1871" s="128" t="s">
        <v>24</v>
      </c>
      <c r="G1871" s="128" t="str">
        <f>VLOOKUP(source[[#This Row],[lending_product_transform]],[3]Mapping!$B$4:$C$37,2,0)</f>
        <v>[Cake] - Cashloan</v>
      </c>
      <c r="H1871" s="128" t="str">
        <f>VLOOKUP(source[[#This Row],[lending_product_transform]],[3]Mapping!$B$3:$D$37,3,0)</f>
        <v>cashloan</v>
      </c>
      <c r="I1871" s="135">
        <v>1388860000</v>
      </c>
    </row>
    <row r="1872" spans="1:9" x14ac:dyDescent="0.2">
      <c r="A1872" s="134">
        <v>45498</v>
      </c>
      <c r="B1872" s="135">
        <f>YEAR(source[[#This Row],[report_date]])</f>
        <v>2024</v>
      </c>
      <c r="C1872" s="128">
        <v>7</v>
      </c>
      <c r="D1872" s="136">
        <f t="shared" si="81"/>
        <v>30</v>
      </c>
      <c r="E1872" s="136">
        <f t="shared" si="82"/>
        <v>25</v>
      </c>
      <c r="F1872" s="128" t="s">
        <v>24</v>
      </c>
      <c r="G1872" s="128" t="str">
        <f>VLOOKUP(source[[#This Row],[lending_product_transform]],[3]Mapping!$B$4:$C$37,2,0)</f>
        <v>[Cake] - Cashloan</v>
      </c>
      <c r="H1872" s="128" t="str">
        <f>VLOOKUP(source[[#This Row],[lending_product_transform]],[3]Mapping!$B$3:$D$37,3,0)</f>
        <v>cashloan</v>
      </c>
      <c r="I1872" s="135">
        <v>1798110000</v>
      </c>
    </row>
    <row r="1873" spans="1:9" x14ac:dyDescent="0.2">
      <c r="A1873" s="134">
        <v>45498</v>
      </c>
      <c r="B1873" s="135">
        <f>YEAR(source[[#This Row],[report_date]])</f>
        <v>2024</v>
      </c>
      <c r="C1873" s="128">
        <v>7</v>
      </c>
      <c r="D1873" s="136">
        <f t="shared" si="81"/>
        <v>30</v>
      </c>
      <c r="E1873" s="136">
        <f t="shared" si="82"/>
        <v>25</v>
      </c>
      <c r="F1873" s="128" t="s">
        <v>24</v>
      </c>
      <c r="G1873" s="128" t="str">
        <f>VLOOKUP(source[[#This Row],[lending_product_transform]],[3]Mapping!$B$4:$C$37,2,0)</f>
        <v>[Cake] - Cashloan</v>
      </c>
      <c r="H1873" s="128" t="str">
        <f>VLOOKUP(source[[#This Row],[lending_product_transform]],[3]Mapping!$B$3:$D$37,3,0)</f>
        <v>cashloan</v>
      </c>
      <c r="I1873" s="135">
        <v>2060060000</v>
      </c>
    </row>
    <row r="1874" spans="1:9" x14ac:dyDescent="0.2">
      <c r="A1874" s="134">
        <v>45498</v>
      </c>
      <c r="B1874" s="135">
        <f>YEAR(source[[#This Row],[report_date]])</f>
        <v>2024</v>
      </c>
      <c r="C1874" s="128">
        <v>7</v>
      </c>
      <c r="D1874" s="136">
        <f t="shared" si="81"/>
        <v>30</v>
      </c>
      <c r="E1874" s="136">
        <f t="shared" si="82"/>
        <v>25</v>
      </c>
      <c r="F1874" s="128" t="s">
        <v>24</v>
      </c>
      <c r="G1874" s="128" t="str">
        <f>VLOOKUP(source[[#This Row],[lending_product_transform]],[3]Mapping!$B$4:$C$37,2,0)</f>
        <v>[Cake] - Cashloan</v>
      </c>
      <c r="H1874" s="128" t="str">
        <f>VLOOKUP(source[[#This Row],[lending_product_transform]],[3]Mapping!$B$3:$D$37,3,0)</f>
        <v>cashloan</v>
      </c>
      <c r="I1874" s="135">
        <v>0</v>
      </c>
    </row>
    <row r="1875" spans="1:9" x14ac:dyDescent="0.2">
      <c r="A1875" s="134">
        <v>45498</v>
      </c>
      <c r="B1875" s="135">
        <f>YEAR(source[[#This Row],[report_date]])</f>
        <v>2024</v>
      </c>
      <c r="C1875" s="128">
        <v>7</v>
      </c>
      <c r="D1875" s="136">
        <f t="shared" si="81"/>
        <v>30</v>
      </c>
      <c r="E1875" s="136">
        <f t="shared" si="82"/>
        <v>25</v>
      </c>
      <c r="F1875" s="128" t="s">
        <v>24</v>
      </c>
      <c r="G1875" s="128" t="str">
        <f>VLOOKUP(source[[#This Row],[lending_product_transform]],[3]Mapping!$B$4:$C$37,2,0)</f>
        <v>[Cake] - Cashloan</v>
      </c>
      <c r="H1875" s="128" t="str">
        <f>VLOOKUP(source[[#This Row],[lending_product_transform]],[3]Mapping!$B$3:$D$37,3,0)</f>
        <v>cashloan</v>
      </c>
      <c r="I1875" s="135">
        <v>31500000</v>
      </c>
    </row>
    <row r="1876" spans="1:9" x14ac:dyDescent="0.2">
      <c r="A1876" s="134">
        <v>45498</v>
      </c>
      <c r="B1876" s="135">
        <f>YEAR(source[[#This Row],[report_date]])</f>
        <v>2024</v>
      </c>
      <c r="C1876" s="128">
        <v>7</v>
      </c>
      <c r="D1876" s="136">
        <f t="shared" si="81"/>
        <v>30</v>
      </c>
      <c r="E1876" s="136">
        <f t="shared" si="82"/>
        <v>25</v>
      </c>
      <c r="F1876" s="128" t="s">
        <v>24</v>
      </c>
      <c r="G1876" s="128" t="str">
        <f>VLOOKUP(source[[#This Row],[lending_product_transform]],[3]Mapping!$B$4:$C$37,2,0)</f>
        <v>[Cake] - Cashloan</v>
      </c>
      <c r="H1876" s="128" t="str">
        <f>VLOOKUP(source[[#This Row],[lending_product_transform]],[3]Mapping!$B$3:$D$37,3,0)</f>
        <v>cashloan</v>
      </c>
      <c r="I1876" s="135">
        <v>17444360</v>
      </c>
    </row>
    <row r="1877" spans="1:9" x14ac:dyDescent="0.2">
      <c r="A1877" s="134">
        <v>45498</v>
      </c>
      <c r="B1877" s="135">
        <f>YEAR(source[[#This Row],[report_date]])</f>
        <v>2024</v>
      </c>
      <c r="C1877" s="128">
        <v>7</v>
      </c>
      <c r="D1877" s="136">
        <f t="shared" si="81"/>
        <v>30</v>
      </c>
      <c r="E1877" s="136">
        <f t="shared" si="82"/>
        <v>25</v>
      </c>
      <c r="F1877" s="128" t="s">
        <v>24</v>
      </c>
      <c r="G1877" s="128" t="str">
        <f>VLOOKUP(source[[#This Row],[lending_product_transform]],[3]Mapping!$B$4:$C$37,2,0)</f>
        <v>[Cake] - Cashloan</v>
      </c>
      <c r="H1877" s="128" t="str">
        <f>VLOOKUP(source[[#This Row],[lending_product_transform]],[3]Mapping!$B$3:$D$37,3,0)</f>
        <v>cashloan</v>
      </c>
      <c r="I1877" s="135">
        <v>122100000</v>
      </c>
    </row>
    <row r="1878" spans="1:9" x14ac:dyDescent="0.2">
      <c r="A1878" s="134">
        <v>45498</v>
      </c>
      <c r="B1878" s="135">
        <f>YEAR(source[[#This Row],[report_date]])</f>
        <v>2024</v>
      </c>
      <c r="C1878" s="128">
        <v>7</v>
      </c>
      <c r="D1878" s="136">
        <f t="shared" si="81"/>
        <v>30</v>
      </c>
      <c r="E1878" s="136">
        <f t="shared" si="82"/>
        <v>25</v>
      </c>
      <c r="F1878" s="128" t="s">
        <v>24</v>
      </c>
      <c r="G1878" s="128" t="str">
        <f>VLOOKUP(source[[#This Row],[lending_product_transform]],[3]Mapping!$B$4:$C$37,2,0)</f>
        <v>[Cake] - Cashloan</v>
      </c>
      <c r="H1878" s="128" t="str">
        <f>VLOOKUP(source[[#This Row],[lending_product_transform]],[3]Mapping!$B$3:$D$37,3,0)</f>
        <v>cashloan</v>
      </c>
      <c r="I1878" s="135">
        <v>64000000</v>
      </c>
    </row>
    <row r="1879" spans="1:9" x14ac:dyDescent="0.2">
      <c r="A1879" s="134">
        <v>45498</v>
      </c>
      <c r="B1879" s="135">
        <f>YEAR(source[[#This Row],[report_date]])</f>
        <v>2024</v>
      </c>
      <c r="C1879" s="128">
        <v>7</v>
      </c>
      <c r="D1879" s="136">
        <f t="shared" si="81"/>
        <v>30</v>
      </c>
      <c r="E1879" s="136">
        <f t="shared" si="82"/>
        <v>25</v>
      </c>
      <c r="F1879" s="128" t="s">
        <v>24</v>
      </c>
      <c r="G1879" s="128" t="str">
        <f>VLOOKUP(source[[#This Row],[lending_product_transform]],[3]Mapping!$B$4:$C$37,2,0)</f>
        <v>[Cake] - Cashloan</v>
      </c>
      <c r="H1879" s="128" t="str">
        <f>VLOOKUP(source[[#This Row],[lending_product_transform]],[3]Mapping!$B$3:$D$37,3,0)</f>
        <v>cashloan</v>
      </c>
      <c r="I1879" s="135">
        <v>36380000</v>
      </c>
    </row>
    <row r="1880" spans="1:9" x14ac:dyDescent="0.2">
      <c r="A1880" s="134">
        <v>45498</v>
      </c>
      <c r="B1880" s="135">
        <f>YEAR(source[[#This Row],[report_date]])</f>
        <v>2024</v>
      </c>
      <c r="C1880" s="128">
        <v>7</v>
      </c>
      <c r="D1880" s="136">
        <f t="shared" si="81"/>
        <v>30</v>
      </c>
      <c r="E1880" s="136">
        <f t="shared" si="82"/>
        <v>25</v>
      </c>
      <c r="F1880" s="128" t="s">
        <v>24</v>
      </c>
      <c r="G1880" s="128" t="str">
        <f>VLOOKUP(source[[#This Row],[lending_product_transform]],[3]Mapping!$B$4:$C$37,2,0)</f>
        <v>[Cake] - Cashloan</v>
      </c>
      <c r="H1880" s="128" t="str">
        <f>VLOOKUP(source[[#This Row],[lending_product_transform]],[3]Mapping!$B$3:$D$37,3,0)</f>
        <v>cashloan</v>
      </c>
      <c r="I1880" s="135">
        <v>2846138674</v>
      </c>
    </row>
    <row r="1881" spans="1:9" x14ac:dyDescent="0.2">
      <c r="A1881" s="134">
        <v>45498</v>
      </c>
      <c r="B1881" s="135">
        <f>YEAR(source[[#This Row],[report_date]])</f>
        <v>2024</v>
      </c>
      <c r="C1881" s="128">
        <v>7</v>
      </c>
      <c r="D1881" s="136">
        <f t="shared" si="81"/>
        <v>30</v>
      </c>
      <c r="E1881" s="136">
        <f t="shared" si="82"/>
        <v>25</v>
      </c>
      <c r="F1881" s="128" t="s">
        <v>24</v>
      </c>
      <c r="G1881" s="128" t="str">
        <f>VLOOKUP(source[[#This Row],[lending_product_transform]],[3]Mapping!$B$4:$C$37,2,0)</f>
        <v>[Cake] - Cashloan</v>
      </c>
      <c r="H1881" s="128" t="str">
        <f>VLOOKUP(source[[#This Row],[lending_product_transform]],[3]Mapping!$B$3:$D$37,3,0)</f>
        <v>cashloan</v>
      </c>
      <c r="I1881" s="135">
        <v>126943044</v>
      </c>
    </row>
    <row r="1882" spans="1:9" x14ac:dyDescent="0.2">
      <c r="A1882" s="134">
        <v>45498</v>
      </c>
      <c r="B1882" s="135">
        <f>YEAR(source[[#This Row],[report_date]])</f>
        <v>2024</v>
      </c>
      <c r="C1882" s="128">
        <v>7</v>
      </c>
      <c r="D1882" s="136">
        <f t="shared" si="81"/>
        <v>30</v>
      </c>
      <c r="E1882" s="136">
        <f t="shared" si="82"/>
        <v>25</v>
      </c>
      <c r="F1882" s="128" t="s">
        <v>24</v>
      </c>
      <c r="G1882" s="128" t="str">
        <f>VLOOKUP(source[[#This Row],[lending_product_transform]],[3]Mapping!$B$4:$C$37,2,0)</f>
        <v>[Cake] - Cashloan</v>
      </c>
      <c r="H1882" s="128" t="str">
        <f>VLOOKUP(source[[#This Row],[lending_product_transform]],[3]Mapping!$B$3:$D$37,3,0)</f>
        <v>cashloan</v>
      </c>
      <c r="I1882" s="135">
        <v>4960040000</v>
      </c>
    </row>
    <row r="1883" spans="1:9" x14ac:dyDescent="0.2">
      <c r="A1883" s="134">
        <v>45498</v>
      </c>
      <c r="B1883" s="135">
        <f>YEAR(source[[#This Row],[report_date]])</f>
        <v>2024</v>
      </c>
      <c r="C1883" s="128">
        <v>7</v>
      </c>
      <c r="D1883" s="136">
        <f t="shared" si="81"/>
        <v>30</v>
      </c>
      <c r="E1883" s="136">
        <f t="shared" si="82"/>
        <v>25</v>
      </c>
      <c r="F1883" s="128" t="s">
        <v>24</v>
      </c>
      <c r="G1883" s="128" t="str">
        <f>VLOOKUP(source[[#This Row],[lending_product_transform]],[3]Mapping!$B$4:$C$37,2,0)</f>
        <v>[Cake] - Cashloan</v>
      </c>
      <c r="H1883" s="128" t="str">
        <f>VLOOKUP(source[[#This Row],[lending_product_transform]],[3]Mapping!$B$3:$D$37,3,0)</f>
        <v>cashloan</v>
      </c>
      <c r="I1883" s="135">
        <v>3726500000</v>
      </c>
    </row>
    <row r="1884" spans="1:9" x14ac:dyDescent="0.2">
      <c r="A1884" s="134">
        <v>45499</v>
      </c>
      <c r="B1884" s="135">
        <f>YEAR(source[[#This Row],[report_date]])</f>
        <v>2024</v>
      </c>
      <c r="C1884" s="128">
        <v>7</v>
      </c>
      <c r="D1884" s="136">
        <f t="shared" si="81"/>
        <v>30</v>
      </c>
      <c r="E1884" s="136">
        <f t="shared" si="82"/>
        <v>26</v>
      </c>
      <c r="F1884" s="128" t="s">
        <v>24</v>
      </c>
      <c r="G1884" s="128" t="str">
        <f>VLOOKUP(source[[#This Row],[lending_product_transform]],[3]Mapping!$B$4:$C$37,2,0)</f>
        <v>[Cake] - Cashloan</v>
      </c>
      <c r="H1884" s="128" t="str">
        <f>VLOOKUP(source[[#This Row],[lending_product_transform]],[3]Mapping!$B$3:$D$37,3,0)</f>
        <v>cashloan</v>
      </c>
      <c r="I1884" s="135">
        <v>1943320000</v>
      </c>
    </row>
    <row r="1885" spans="1:9" x14ac:dyDescent="0.2">
      <c r="A1885" s="134">
        <v>45499</v>
      </c>
      <c r="B1885" s="135">
        <f>YEAR(source[[#This Row],[report_date]])</f>
        <v>2024</v>
      </c>
      <c r="C1885" s="128">
        <v>7</v>
      </c>
      <c r="D1885" s="136">
        <f t="shared" si="81"/>
        <v>30</v>
      </c>
      <c r="E1885" s="136">
        <f t="shared" si="82"/>
        <v>26</v>
      </c>
      <c r="F1885" s="128" t="s">
        <v>24</v>
      </c>
      <c r="G1885" s="128" t="str">
        <f>VLOOKUP(source[[#This Row],[lending_product_transform]],[3]Mapping!$B$4:$C$37,2,0)</f>
        <v>[Cake] - Cashloan</v>
      </c>
      <c r="H1885" s="128" t="str">
        <f>VLOOKUP(source[[#This Row],[lending_product_transform]],[3]Mapping!$B$3:$D$37,3,0)</f>
        <v>cashloan</v>
      </c>
      <c r="I1885" s="135">
        <v>26429843</v>
      </c>
    </row>
    <row r="1886" spans="1:9" x14ac:dyDescent="0.2">
      <c r="A1886" s="134">
        <v>45499</v>
      </c>
      <c r="B1886" s="135">
        <f>YEAR(source[[#This Row],[report_date]])</f>
        <v>2024</v>
      </c>
      <c r="C1886" s="128">
        <v>7</v>
      </c>
      <c r="D1886" s="136">
        <f t="shared" si="81"/>
        <v>30</v>
      </c>
      <c r="E1886" s="136">
        <f t="shared" si="82"/>
        <v>26</v>
      </c>
      <c r="F1886" s="128" t="s">
        <v>24</v>
      </c>
      <c r="G1886" s="128" t="str">
        <f>VLOOKUP(source[[#This Row],[lending_product_transform]],[3]Mapping!$B$4:$C$37,2,0)</f>
        <v>[Cake] - Cashloan</v>
      </c>
      <c r="H1886" s="128" t="str">
        <f>VLOOKUP(source[[#This Row],[lending_product_transform]],[3]Mapping!$B$3:$D$37,3,0)</f>
        <v>cashloan</v>
      </c>
      <c r="I1886" s="135">
        <v>106050000</v>
      </c>
    </row>
    <row r="1887" spans="1:9" x14ac:dyDescent="0.2">
      <c r="A1887" s="134">
        <v>45499</v>
      </c>
      <c r="B1887" s="135">
        <f>YEAR(source[[#This Row],[report_date]])</f>
        <v>2024</v>
      </c>
      <c r="C1887" s="128">
        <v>7</v>
      </c>
      <c r="D1887" s="136">
        <f t="shared" si="81"/>
        <v>30</v>
      </c>
      <c r="E1887" s="136">
        <f t="shared" si="82"/>
        <v>26</v>
      </c>
      <c r="F1887" s="128" t="s">
        <v>24</v>
      </c>
      <c r="G1887" s="128" t="str">
        <f>VLOOKUP(source[[#This Row],[lending_product_transform]],[3]Mapping!$B$4:$C$37,2,0)</f>
        <v>[Cake] - Cashloan</v>
      </c>
      <c r="H1887" s="128" t="str">
        <f>VLOOKUP(source[[#This Row],[lending_product_transform]],[3]Mapping!$B$3:$D$37,3,0)</f>
        <v>cashloan</v>
      </c>
      <c r="I1887" s="135">
        <v>127690262</v>
      </c>
    </row>
    <row r="1888" spans="1:9" x14ac:dyDescent="0.2">
      <c r="A1888" s="134">
        <v>45499</v>
      </c>
      <c r="B1888" s="135">
        <f>YEAR(source[[#This Row],[report_date]])</f>
        <v>2024</v>
      </c>
      <c r="C1888" s="128">
        <v>7</v>
      </c>
      <c r="D1888" s="136">
        <f t="shared" si="81"/>
        <v>30</v>
      </c>
      <c r="E1888" s="136">
        <f t="shared" si="82"/>
        <v>26</v>
      </c>
      <c r="F1888" s="128" t="s">
        <v>24</v>
      </c>
      <c r="G1888" s="128" t="str">
        <f>VLOOKUP(source[[#This Row],[lending_product_transform]],[3]Mapping!$B$4:$C$37,2,0)</f>
        <v>[Cake] - Cashloan</v>
      </c>
      <c r="H1888" s="128" t="str">
        <f>VLOOKUP(source[[#This Row],[lending_product_transform]],[3]Mapping!$B$3:$D$37,3,0)</f>
        <v>cashloan</v>
      </c>
      <c r="I1888" s="135">
        <v>28000000</v>
      </c>
    </row>
    <row r="1889" spans="1:9" x14ac:dyDescent="0.2">
      <c r="A1889" s="134">
        <v>45499</v>
      </c>
      <c r="B1889" s="135">
        <f>YEAR(source[[#This Row],[report_date]])</f>
        <v>2024</v>
      </c>
      <c r="C1889" s="128">
        <v>7</v>
      </c>
      <c r="D1889" s="136">
        <f t="shared" si="81"/>
        <v>30</v>
      </c>
      <c r="E1889" s="136">
        <f t="shared" si="82"/>
        <v>26</v>
      </c>
      <c r="F1889" s="128" t="s">
        <v>24</v>
      </c>
      <c r="G1889" s="128" t="str">
        <f>VLOOKUP(source[[#This Row],[lending_product_transform]],[3]Mapping!$B$4:$C$37,2,0)</f>
        <v>[Cake] - Cashloan</v>
      </c>
      <c r="H1889" s="128" t="str">
        <f>VLOOKUP(source[[#This Row],[lending_product_transform]],[3]Mapping!$B$3:$D$37,3,0)</f>
        <v>cashloan</v>
      </c>
      <c r="I1889" s="135">
        <v>3517000000</v>
      </c>
    </row>
    <row r="1890" spans="1:9" x14ac:dyDescent="0.2">
      <c r="A1890" s="134">
        <v>45499</v>
      </c>
      <c r="B1890" s="135">
        <f>YEAR(source[[#This Row],[report_date]])</f>
        <v>2024</v>
      </c>
      <c r="C1890" s="128">
        <v>7</v>
      </c>
      <c r="D1890" s="136">
        <f t="shared" si="81"/>
        <v>30</v>
      </c>
      <c r="E1890" s="136">
        <f t="shared" si="82"/>
        <v>26</v>
      </c>
      <c r="F1890" s="128" t="s">
        <v>24</v>
      </c>
      <c r="G1890" s="128" t="str">
        <f>VLOOKUP(source[[#This Row],[lending_product_transform]],[3]Mapping!$B$4:$C$37,2,0)</f>
        <v>[Cake] - Cashloan</v>
      </c>
      <c r="H1890" s="128" t="str">
        <f>VLOOKUP(source[[#This Row],[lending_product_transform]],[3]Mapping!$B$3:$D$37,3,0)</f>
        <v>cashloan</v>
      </c>
      <c r="I1890" s="135">
        <v>2143740000</v>
      </c>
    </row>
    <row r="1891" spans="1:9" x14ac:dyDescent="0.2">
      <c r="A1891" s="134">
        <v>45499</v>
      </c>
      <c r="B1891" s="135">
        <f>YEAR(source[[#This Row],[report_date]])</f>
        <v>2024</v>
      </c>
      <c r="C1891" s="128">
        <v>7</v>
      </c>
      <c r="D1891" s="136">
        <f t="shared" si="81"/>
        <v>30</v>
      </c>
      <c r="E1891" s="136">
        <f t="shared" si="82"/>
        <v>26</v>
      </c>
      <c r="F1891" s="128" t="s">
        <v>24</v>
      </c>
      <c r="G1891" s="128" t="str">
        <f>VLOOKUP(source[[#This Row],[lending_product_transform]],[3]Mapping!$B$4:$C$37,2,0)</f>
        <v>[Cake] - Cashloan</v>
      </c>
      <c r="H1891" s="128" t="str">
        <f>VLOOKUP(source[[#This Row],[lending_product_transform]],[3]Mapping!$B$3:$D$37,3,0)</f>
        <v>cashloan</v>
      </c>
      <c r="I1891" s="135">
        <v>0</v>
      </c>
    </row>
    <row r="1892" spans="1:9" x14ac:dyDescent="0.2">
      <c r="A1892" s="134">
        <v>45499</v>
      </c>
      <c r="B1892" s="135">
        <f>YEAR(source[[#This Row],[report_date]])</f>
        <v>2024</v>
      </c>
      <c r="C1892" s="128">
        <v>7</v>
      </c>
      <c r="D1892" s="136">
        <f t="shared" si="81"/>
        <v>30</v>
      </c>
      <c r="E1892" s="136">
        <f t="shared" si="82"/>
        <v>26</v>
      </c>
      <c r="F1892" s="128" t="s">
        <v>24</v>
      </c>
      <c r="G1892" s="128" t="str">
        <f>VLOOKUP(source[[#This Row],[lending_product_transform]],[3]Mapping!$B$4:$C$37,2,0)</f>
        <v>[Cake] - Cashloan</v>
      </c>
      <c r="H1892" s="128" t="str">
        <f>VLOOKUP(source[[#This Row],[lending_product_transform]],[3]Mapping!$B$3:$D$37,3,0)</f>
        <v>cashloan</v>
      </c>
      <c r="I1892" s="135">
        <v>19260000</v>
      </c>
    </row>
    <row r="1893" spans="1:9" x14ac:dyDescent="0.2">
      <c r="A1893" s="134">
        <v>45499</v>
      </c>
      <c r="B1893" s="135">
        <f>YEAR(source[[#This Row],[report_date]])</f>
        <v>2024</v>
      </c>
      <c r="C1893" s="128">
        <v>7</v>
      </c>
      <c r="D1893" s="136">
        <f t="shared" si="81"/>
        <v>30</v>
      </c>
      <c r="E1893" s="136">
        <f t="shared" si="82"/>
        <v>26</v>
      </c>
      <c r="F1893" s="128" t="s">
        <v>24</v>
      </c>
      <c r="G1893" s="128" t="str">
        <f>VLOOKUP(source[[#This Row],[lending_product_transform]],[3]Mapping!$B$4:$C$37,2,0)</f>
        <v>[Cake] - Cashloan</v>
      </c>
      <c r="H1893" s="128" t="str">
        <f>VLOOKUP(source[[#This Row],[lending_product_transform]],[3]Mapping!$B$3:$D$37,3,0)</f>
        <v>cashloan</v>
      </c>
      <c r="I1893" s="135">
        <v>15750000</v>
      </c>
    </row>
    <row r="1894" spans="1:9" x14ac:dyDescent="0.2">
      <c r="A1894" s="134">
        <v>45499</v>
      </c>
      <c r="B1894" s="135">
        <f>YEAR(source[[#This Row],[report_date]])</f>
        <v>2024</v>
      </c>
      <c r="C1894" s="128">
        <v>7</v>
      </c>
      <c r="D1894" s="136">
        <f t="shared" si="81"/>
        <v>30</v>
      </c>
      <c r="E1894" s="136">
        <f t="shared" si="82"/>
        <v>26</v>
      </c>
      <c r="F1894" s="128" t="s">
        <v>24</v>
      </c>
      <c r="G1894" s="128" t="str">
        <f>VLOOKUP(source[[#This Row],[lending_product_transform]],[3]Mapping!$B$4:$C$37,2,0)</f>
        <v>[Cake] - Cashloan</v>
      </c>
      <c r="H1894" s="128" t="str">
        <f>VLOOKUP(source[[#This Row],[lending_product_transform]],[3]Mapping!$B$3:$D$37,3,0)</f>
        <v>cashloan</v>
      </c>
      <c r="I1894" s="135">
        <v>2377981093</v>
      </c>
    </row>
    <row r="1895" spans="1:9" x14ac:dyDescent="0.2">
      <c r="A1895" s="134">
        <v>45499</v>
      </c>
      <c r="B1895" s="135">
        <f>YEAR(source[[#This Row],[report_date]])</f>
        <v>2024</v>
      </c>
      <c r="C1895" s="128">
        <v>7</v>
      </c>
      <c r="D1895" s="136">
        <f t="shared" si="81"/>
        <v>30</v>
      </c>
      <c r="E1895" s="136">
        <f t="shared" si="82"/>
        <v>26</v>
      </c>
      <c r="F1895" s="128" t="s">
        <v>24</v>
      </c>
      <c r="G1895" s="128" t="str">
        <f>VLOOKUP(source[[#This Row],[lending_product_transform]],[3]Mapping!$B$4:$C$37,2,0)</f>
        <v>[Cake] - Cashloan</v>
      </c>
      <c r="H1895" s="128" t="str">
        <f>VLOOKUP(source[[#This Row],[lending_product_transform]],[3]Mapping!$B$3:$D$37,3,0)</f>
        <v>cashloan</v>
      </c>
      <c r="I1895" s="135">
        <v>4463500000</v>
      </c>
    </row>
    <row r="1896" spans="1:9" x14ac:dyDescent="0.2">
      <c r="A1896" s="134">
        <v>45500</v>
      </c>
      <c r="B1896" s="135">
        <f>YEAR(source[[#This Row],[report_date]])</f>
        <v>2024</v>
      </c>
      <c r="C1896" s="128">
        <v>7</v>
      </c>
      <c r="D1896" s="136">
        <f t="shared" si="81"/>
        <v>30</v>
      </c>
      <c r="E1896" s="136">
        <f t="shared" si="82"/>
        <v>27</v>
      </c>
      <c r="F1896" s="128" t="s">
        <v>24</v>
      </c>
      <c r="G1896" s="128" t="str">
        <f>VLOOKUP(source[[#This Row],[lending_product_transform]],[3]Mapping!$B$4:$C$37,2,0)</f>
        <v>[Cake] - Cashloan</v>
      </c>
      <c r="H1896" s="128" t="str">
        <f>VLOOKUP(source[[#This Row],[lending_product_transform]],[3]Mapping!$B$3:$D$37,3,0)</f>
        <v>cashloan</v>
      </c>
      <c r="I1896" s="135">
        <v>80850000</v>
      </c>
    </row>
    <row r="1897" spans="1:9" x14ac:dyDescent="0.2">
      <c r="A1897" s="134">
        <v>45500</v>
      </c>
      <c r="B1897" s="135">
        <f>YEAR(source[[#This Row],[report_date]])</f>
        <v>2024</v>
      </c>
      <c r="C1897" s="128">
        <v>7</v>
      </c>
      <c r="D1897" s="136">
        <f t="shared" si="81"/>
        <v>30</v>
      </c>
      <c r="E1897" s="136">
        <f t="shared" si="82"/>
        <v>27</v>
      </c>
      <c r="F1897" s="128" t="s">
        <v>24</v>
      </c>
      <c r="G1897" s="128" t="str">
        <f>VLOOKUP(source[[#This Row],[lending_product_transform]],[3]Mapping!$B$4:$C$37,2,0)</f>
        <v>[Cake] - Cashloan</v>
      </c>
      <c r="H1897" s="128" t="str">
        <f>VLOOKUP(source[[#This Row],[lending_product_transform]],[3]Mapping!$B$3:$D$37,3,0)</f>
        <v>cashloan</v>
      </c>
      <c r="I1897" s="135">
        <v>1777002702</v>
      </c>
    </row>
    <row r="1898" spans="1:9" x14ac:dyDescent="0.2">
      <c r="A1898" s="134">
        <v>45500</v>
      </c>
      <c r="B1898" s="135">
        <f>YEAR(source[[#This Row],[report_date]])</f>
        <v>2024</v>
      </c>
      <c r="C1898" s="128">
        <v>7</v>
      </c>
      <c r="D1898" s="136">
        <f t="shared" si="81"/>
        <v>30</v>
      </c>
      <c r="E1898" s="136">
        <f t="shared" si="82"/>
        <v>27</v>
      </c>
      <c r="F1898" s="128" t="s">
        <v>24</v>
      </c>
      <c r="G1898" s="128" t="str">
        <f>VLOOKUP(source[[#This Row],[lending_product_transform]],[3]Mapping!$B$4:$C$37,2,0)</f>
        <v>[Cake] - Cashloan</v>
      </c>
      <c r="H1898" s="128" t="str">
        <f>VLOOKUP(source[[#This Row],[lending_product_transform]],[3]Mapping!$B$3:$D$37,3,0)</f>
        <v>cashloan</v>
      </c>
      <c r="I1898" s="135">
        <v>10700000</v>
      </c>
    </row>
    <row r="1899" spans="1:9" x14ac:dyDescent="0.2">
      <c r="A1899" s="134">
        <v>45500</v>
      </c>
      <c r="B1899" s="135">
        <f>YEAR(source[[#This Row],[report_date]])</f>
        <v>2024</v>
      </c>
      <c r="C1899" s="128">
        <v>7</v>
      </c>
      <c r="D1899" s="136">
        <f t="shared" si="81"/>
        <v>30</v>
      </c>
      <c r="E1899" s="136">
        <f t="shared" si="82"/>
        <v>27</v>
      </c>
      <c r="F1899" s="128" t="s">
        <v>24</v>
      </c>
      <c r="G1899" s="128" t="str">
        <f>VLOOKUP(source[[#This Row],[lending_product_transform]],[3]Mapping!$B$4:$C$37,2,0)</f>
        <v>[Cake] - Cashloan</v>
      </c>
      <c r="H1899" s="128" t="str">
        <f>VLOOKUP(source[[#This Row],[lending_product_transform]],[3]Mapping!$B$3:$D$37,3,0)</f>
        <v>cashloan</v>
      </c>
      <c r="I1899" s="135">
        <v>2080470000</v>
      </c>
    </row>
    <row r="1900" spans="1:9" x14ac:dyDescent="0.2">
      <c r="A1900" s="134">
        <v>45500</v>
      </c>
      <c r="B1900" s="135">
        <f>YEAR(source[[#This Row],[report_date]])</f>
        <v>2024</v>
      </c>
      <c r="C1900" s="128">
        <v>7</v>
      </c>
      <c r="D1900" s="136">
        <f t="shared" si="81"/>
        <v>30</v>
      </c>
      <c r="E1900" s="136">
        <f t="shared" si="82"/>
        <v>27</v>
      </c>
      <c r="F1900" s="128" t="s">
        <v>24</v>
      </c>
      <c r="G1900" s="128" t="str">
        <f>VLOOKUP(source[[#This Row],[lending_product_transform]],[3]Mapping!$B$4:$C$37,2,0)</f>
        <v>[Cake] - Cashloan</v>
      </c>
      <c r="H1900" s="128" t="str">
        <f>VLOOKUP(source[[#This Row],[lending_product_transform]],[3]Mapping!$B$3:$D$37,3,0)</f>
        <v>cashloan</v>
      </c>
      <c r="I1900" s="135">
        <v>76000000</v>
      </c>
    </row>
    <row r="1901" spans="1:9" x14ac:dyDescent="0.2">
      <c r="A1901" s="134">
        <v>45500</v>
      </c>
      <c r="B1901" s="135">
        <f>YEAR(source[[#This Row],[report_date]])</f>
        <v>2024</v>
      </c>
      <c r="C1901" s="128">
        <v>7</v>
      </c>
      <c r="D1901" s="136">
        <f t="shared" si="81"/>
        <v>30</v>
      </c>
      <c r="E1901" s="136">
        <f t="shared" si="82"/>
        <v>27</v>
      </c>
      <c r="F1901" s="128" t="s">
        <v>24</v>
      </c>
      <c r="G1901" s="128" t="str">
        <f>VLOOKUP(source[[#This Row],[lending_product_transform]],[3]Mapping!$B$4:$C$37,2,0)</f>
        <v>[Cake] - Cashloan</v>
      </c>
      <c r="H1901" s="128" t="str">
        <f>VLOOKUP(source[[#This Row],[lending_product_transform]],[3]Mapping!$B$3:$D$37,3,0)</f>
        <v>cashloan</v>
      </c>
      <c r="I1901" s="135">
        <v>3142500000</v>
      </c>
    </row>
    <row r="1902" spans="1:9" x14ac:dyDescent="0.2">
      <c r="A1902" s="134">
        <v>45500</v>
      </c>
      <c r="B1902" s="135">
        <f>YEAR(source[[#This Row],[report_date]])</f>
        <v>2024</v>
      </c>
      <c r="C1902" s="128">
        <v>7</v>
      </c>
      <c r="D1902" s="136">
        <f t="shared" si="81"/>
        <v>30</v>
      </c>
      <c r="E1902" s="136">
        <f t="shared" si="82"/>
        <v>27</v>
      </c>
      <c r="F1902" s="128" t="s">
        <v>24</v>
      </c>
      <c r="G1902" s="128" t="str">
        <f>VLOOKUP(source[[#This Row],[lending_product_transform]],[3]Mapping!$B$4:$C$37,2,0)</f>
        <v>[Cake] - Cashloan</v>
      </c>
      <c r="H1902" s="128" t="str">
        <f>VLOOKUP(source[[#This Row],[lending_product_transform]],[3]Mapping!$B$3:$D$37,3,0)</f>
        <v>cashloan</v>
      </c>
      <c r="I1902" s="135">
        <v>1986040000</v>
      </c>
    </row>
    <row r="1903" spans="1:9" x14ac:dyDescent="0.2">
      <c r="A1903" s="134">
        <v>45500</v>
      </c>
      <c r="B1903" s="135">
        <f>YEAR(source[[#This Row],[report_date]])</f>
        <v>2024</v>
      </c>
      <c r="C1903" s="128">
        <v>7</v>
      </c>
      <c r="D1903" s="136">
        <f t="shared" si="81"/>
        <v>30</v>
      </c>
      <c r="E1903" s="136">
        <f t="shared" si="82"/>
        <v>27</v>
      </c>
      <c r="F1903" s="128" t="s">
        <v>24</v>
      </c>
      <c r="G1903" s="128" t="str">
        <f>VLOOKUP(source[[#This Row],[lending_product_transform]],[3]Mapping!$B$4:$C$37,2,0)</f>
        <v>[Cake] - Cashloan</v>
      </c>
      <c r="H1903" s="128" t="str">
        <f>VLOOKUP(source[[#This Row],[lending_product_transform]],[3]Mapping!$B$3:$D$37,3,0)</f>
        <v>cashloan</v>
      </c>
      <c r="I1903" s="135">
        <v>121497473</v>
      </c>
    </row>
    <row r="1904" spans="1:9" x14ac:dyDescent="0.2">
      <c r="A1904" s="134">
        <v>45500</v>
      </c>
      <c r="B1904" s="135">
        <f>YEAR(source[[#This Row],[report_date]])</f>
        <v>2024</v>
      </c>
      <c r="C1904" s="128">
        <v>7</v>
      </c>
      <c r="D1904" s="136">
        <f t="shared" si="81"/>
        <v>30</v>
      </c>
      <c r="E1904" s="136">
        <f t="shared" si="82"/>
        <v>27</v>
      </c>
      <c r="F1904" s="128" t="s">
        <v>24</v>
      </c>
      <c r="G1904" s="128" t="str">
        <f>VLOOKUP(source[[#This Row],[lending_product_transform]],[3]Mapping!$B$4:$C$37,2,0)</f>
        <v>[Cake] - Cashloan</v>
      </c>
      <c r="H1904" s="128" t="str">
        <f>VLOOKUP(source[[#This Row],[lending_product_transform]],[3]Mapping!$B$3:$D$37,3,0)</f>
        <v>cashloan</v>
      </c>
      <c r="I1904" s="135">
        <v>31500000</v>
      </c>
    </row>
    <row r="1905" spans="1:9" x14ac:dyDescent="0.2">
      <c r="A1905" s="134">
        <v>45500</v>
      </c>
      <c r="B1905" s="135">
        <f>YEAR(source[[#This Row],[report_date]])</f>
        <v>2024</v>
      </c>
      <c r="C1905" s="128">
        <v>7</v>
      </c>
      <c r="D1905" s="136">
        <f t="shared" si="81"/>
        <v>30</v>
      </c>
      <c r="E1905" s="136">
        <f t="shared" si="82"/>
        <v>27</v>
      </c>
      <c r="F1905" s="128" t="s">
        <v>24</v>
      </c>
      <c r="G1905" s="128" t="str">
        <f>VLOOKUP(source[[#This Row],[lending_product_transform]],[3]Mapping!$B$4:$C$37,2,0)</f>
        <v>[Cake] - Cashloan</v>
      </c>
      <c r="H1905" s="128" t="str">
        <f>VLOOKUP(source[[#This Row],[lending_product_transform]],[3]Mapping!$B$3:$D$37,3,0)</f>
        <v>cashloan</v>
      </c>
      <c r="I1905" s="135">
        <v>30815077</v>
      </c>
    </row>
    <row r="1906" spans="1:9" x14ac:dyDescent="0.2">
      <c r="A1906" s="134">
        <v>45500</v>
      </c>
      <c r="B1906" s="135">
        <f>YEAR(source[[#This Row],[report_date]])</f>
        <v>2024</v>
      </c>
      <c r="C1906" s="128">
        <v>7</v>
      </c>
      <c r="D1906" s="136">
        <f t="shared" si="81"/>
        <v>30</v>
      </c>
      <c r="E1906" s="136">
        <f t="shared" si="82"/>
        <v>27</v>
      </c>
      <c r="F1906" s="128" t="s">
        <v>24</v>
      </c>
      <c r="G1906" s="128" t="str">
        <f>VLOOKUP(source[[#This Row],[lending_product_transform]],[3]Mapping!$B$4:$C$37,2,0)</f>
        <v>[Cake] - Cashloan</v>
      </c>
      <c r="H1906" s="128" t="str">
        <f>VLOOKUP(source[[#This Row],[lending_product_transform]],[3]Mapping!$B$3:$D$37,3,0)</f>
        <v>cashloan</v>
      </c>
      <c r="I1906" s="135">
        <v>4005940000</v>
      </c>
    </row>
    <row r="1907" spans="1:9" x14ac:dyDescent="0.2">
      <c r="A1907" s="134">
        <v>45500</v>
      </c>
      <c r="B1907" s="135">
        <f>YEAR(source[[#This Row],[report_date]])</f>
        <v>2024</v>
      </c>
      <c r="C1907" s="128">
        <v>7</v>
      </c>
      <c r="D1907" s="136">
        <f t="shared" si="81"/>
        <v>30</v>
      </c>
      <c r="E1907" s="136">
        <f t="shared" si="82"/>
        <v>27</v>
      </c>
      <c r="F1907" s="128" t="s">
        <v>24</v>
      </c>
      <c r="G1907" s="128" t="str">
        <f>VLOOKUP(source[[#This Row],[lending_product_transform]],[3]Mapping!$B$4:$C$37,2,0)</f>
        <v>[Cake] - Cashloan</v>
      </c>
      <c r="H1907" s="128" t="str">
        <f>VLOOKUP(source[[#This Row],[lending_product_transform]],[3]Mapping!$B$3:$D$37,3,0)</f>
        <v>cashloan</v>
      </c>
      <c r="I1907" s="135">
        <v>0</v>
      </c>
    </row>
    <row r="1908" spans="1:9" x14ac:dyDescent="0.2">
      <c r="A1908" s="134">
        <v>45501</v>
      </c>
      <c r="B1908" s="135">
        <f>YEAR(source[[#This Row],[report_date]])</f>
        <v>2024</v>
      </c>
      <c r="C1908" s="128">
        <v>7</v>
      </c>
      <c r="D1908" s="136">
        <f t="shared" si="81"/>
        <v>30</v>
      </c>
      <c r="E1908" s="136">
        <f t="shared" si="82"/>
        <v>28</v>
      </c>
      <c r="F1908" s="128" t="s">
        <v>24</v>
      </c>
      <c r="G1908" s="128" t="str">
        <f>VLOOKUP(source[[#This Row],[lending_product_transform]],[3]Mapping!$B$4:$C$37,2,0)</f>
        <v>[Cake] - Cashloan</v>
      </c>
      <c r="H1908" s="128" t="str">
        <f>VLOOKUP(source[[#This Row],[lending_product_transform]],[3]Mapping!$B$3:$D$37,3,0)</f>
        <v>cashloan</v>
      </c>
      <c r="I1908" s="135">
        <v>1877564120</v>
      </c>
    </row>
    <row r="1909" spans="1:9" x14ac:dyDescent="0.2">
      <c r="A1909" s="134">
        <v>45501</v>
      </c>
      <c r="B1909" s="135">
        <f>YEAR(source[[#This Row],[report_date]])</f>
        <v>2024</v>
      </c>
      <c r="C1909" s="128">
        <v>7</v>
      </c>
      <c r="D1909" s="136">
        <f t="shared" si="81"/>
        <v>30</v>
      </c>
      <c r="E1909" s="136">
        <f t="shared" si="82"/>
        <v>28</v>
      </c>
      <c r="F1909" s="128" t="s">
        <v>24</v>
      </c>
      <c r="G1909" s="128" t="str">
        <f>VLOOKUP(source[[#This Row],[lending_product_transform]],[3]Mapping!$B$4:$C$37,2,0)</f>
        <v>[Cake] - Cashloan</v>
      </c>
      <c r="H1909" s="128" t="str">
        <f>VLOOKUP(source[[#This Row],[lending_product_transform]],[3]Mapping!$B$3:$D$37,3,0)</f>
        <v>cashloan</v>
      </c>
      <c r="I1909" s="135">
        <v>161900000</v>
      </c>
    </row>
    <row r="1910" spans="1:9" x14ac:dyDescent="0.2">
      <c r="A1910" s="134">
        <v>45501</v>
      </c>
      <c r="B1910" s="135">
        <f>YEAR(source[[#This Row],[report_date]])</f>
        <v>2024</v>
      </c>
      <c r="C1910" s="128">
        <v>7</v>
      </c>
      <c r="D1910" s="136">
        <f t="shared" si="81"/>
        <v>30</v>
      </c>
      <c r="E1910" s="136">
        <f t="shared" si="82"/>
        <v>28</v>
      </c>
      <c r="F1910" s="128" t="s">
        <v>24</v>
      </c>
      <c r="G1910" s="128" t="str">
        <f>VLOOKUP(source[[#This Row],[lending_product_transform]],[3]Mapping!$B$4:$C$37,2,0)</f>
        <v>[Cake] - Cashloan</v>
      </c>
      <c r="H1910" s="128" t="str">
        <f>VLOOKUP(source[[#This Row],[lending_product_transform]],[3]Mapping!$B$3:$D$37,3,0)</f>
        <v>cashloan</v>
      </c>
      <c r="I1910" s="135">
        <v>26420000</v>
      </c>
    </row>
    <row r="1911" spans="1:9" x14ac:dyDescent="0.2">
      <c r="A1911" s="134">
        <v>45501</v>
      </c>
      <c r="B1911" s="135">
        <f>YEAR(source[[#This Row],[report_date]])</f>
        <v>2024</v>
      </c>
      <c r="C1911" s="128">
        <v>7</v>
      </c>
      <c r="D1911" s="136">
        <f t="shared" si="81"/>
        <v>30</v>
      </c>
      <c r="E1911" s="136">
        <f t="shared" si="82"/>
        <v>28</v>
      </c>
      <c r="F1911" s="128" t="s">
        <v>24</v>
      </c>
      <c r="G1911" s="128" t="str">
        <f>VLOOKUP(source[[#This Row],[lending_product_transform]],[3]Mapping!$B$4:$C$37,2,0)</f>
        <v>[Cake] - Cashloan</v>
      </c>
      <c r="H1911" s="128" t="str">
        <f>VLOOKUP(source[[#This Row],[lending_product_transform]],[3]Mapping!$B$3:$D$37,3,0)</f>
        <v>cashloan</v>
      </c>
      <c r="I1911" s="135">
        <v>31500000</v>
      </c>
    </row>
    <row r="1912" spans="1:9" x14ac:dyDescent="0.2">
      <c r="A1912" s="134">
        <v>45501</v>
      </c>
      <c r="B1912" s="135">
        <f>YEAR(source[[#This Row],[report_date]])</f>
        <v>2024</v>
      </c>
      <c r="C1912" s="128">
        <v>7</v>
      </c>
      <c r="D1912" s="136">
        <f t="shared" si="81"/>
        <v>30</v>
      </c>
      <c r="E1912" s="136">
        <f t="shared" si="82"/>
        <v>28</v>
      </c>
      <c r="F1912" s="128" t="s">
        <v>24</v>
      </c>
      <c r="G1912" s="128" t="str">
        <f>VLOOKUP(source[[#This Row],[lending_product_transform]],[3]Mapping!$B$4:$C$37,2,0)</f>
        <v>[Cake] - Cashloan</v>
      </c>
      <c r="H1912" s="128" t="str">
        <f>VLOOKUP(source[[#This Row],[lending_product_transform]],[3]Mapping!$B$3:$D$37,3,0)</f>
        <v>cashloan</v>
      </c>
      <c r="I1912" s="135">
        <v>25744120</v>
      </c>
    </row>
    <row r="1913" spans="1:9" x14ac:dyDescent="0.2">
      <c r="A1913" s="134">
        <v>45501</v>
      </c>
      <c r="B1913" s="135">
        <f>YEAR(source[[#This Row],[report_date]])</f>
        <v>2024</v>
      </c>
      <c r="C1913" s="128">
        <v>7</v>
      </c>
      <c r="D1913" s="136">
        <f t="shared" si="81"/>
        <v>30</v>
      </c>
      <c r="E1913" s="136">
        <f t="shared" si="82"/>
        <v>28</v>
      </c>
      <c r="F1913" s="128" t="s">
        <v>24</v>
      </c>
      <c r="G1913" s="128" t="str">
        <f>VLOOKUP(source[[#This Row],[lending_product_transform]],[3]Mapping!$B$4:$C$37,2,0)</f>
        <v>[Cake] - Cashloan</v>
      </c>
      <c r="H1913" s="128" t="str">
        <f>VLOOKUP(source[[#This Row],[lending_product_transform]],[3]Mapping!$B$3:$D$37,3,0)</f>
        <v>cashloan</v>
      </c>
      <c r="I1913" s="135">
        <v>10000000</v>
      </c>
    </row>
    <row r="1914" spans="1:9" x14ac:dyDescent="0.2">
      <c r="A1914" s="134">
        <v>45501</v>
      </c>
      <c r="B1914" s="135">
        <f>YEAR(source[[#This Row],[report_date]])</f>
        <v>2024</v>
      </c>
      <c r="C1914" s="128">
        <v>7</v>
      </c>
      <c r="D1914" s="136">
        <f t="shared" si="81"/>
        <v>30</v>
      </c>
      <c r="E1914" s="136">
        <f t="shared" si="82"/>
        <v>28</v>
      </c>
      <c r="F1914" s="128" t="s">
        <v>24</v>
      </c>
      <c r="G1914" s="128" t="str">
        <f>VLOOKUP(source[[#This Row],[lending_product_transform]],[3]Mapping!$B$4:$C$37,2,0)</f>
        <v>[Cake] - Cashloan</v>
      </c>
      <c r="H1914" s="128" t="str">
        <f>VLOOKUP(source[[#This Row],[lending_product_transform]],[3]Mapping!$B$3:$D$37,3,0)</f>
        <v>cashloan</v>
      </c>
      <c r="I1914" s="135">
        <v>968350000</v>
      </c>
    </row>
    <row r="1915" spans="1:9" x14ac:dyDescent="0.2">
      <c r="A1915" s="134">
        <v>45501</v>
      </c>
      <c r="B1915" s="135">
        <f>YEAR(source[[#This Row],[report_date]])</f>
        <v>2024</v>
      </c>
      <c r="C1915" s="128">
        <v>7</v>
      </c>
      <c r="D1915" s="136">
        <f t="shared" si="81"/>
        <v>30</v>
      </c>
      <c r="E1915" s="136">
        <f t="shared" si="82"/>
        <v>28</v>
      </c>
      <c r="F1915" s="128" t="s">
        <v>24</v>
      </c>
      <c r="G1915" s="128" t="str">
        <f>VLOOKUP(source[[#This Row],[lending_product_transform]],[3]Mapping!$B$4:$C$37,2,0)</f>
        <v>[Cake] - Cashloan</v>
      </c>
      <c r="H1915" s="128" t="str">
        <f>VLOOKUP(source[[#This Row],[lending_product_transform]],[3]Mapping!$B$3:$D$37,3,0)</f>
        <v>cashloan</v>
      </c>
      <c r="I1915" s="135">
        <v>3041500000</v>
      </c>
    </row>
    <row r="1916" spans="1:9" x14ac:dyDescent="0.2">
      <c r="A1916" s="134">
        <v>45501</v>
      </c>
      <c r="B1916" s="135">
        <f>YEAR(source[[#This Row],[report_date]])</f>
        <v>2024</v>
      </c>
      <c r="C1916" s="128">
        <v>7</v>
      </c>
      <c r="D1916" s="136">
        <f t="shared" si="81"/>
        <v>30</v>
      </c>
      <c r="E1916" s="136">
        <f t="shared" si="82"/>
        <v>28</v>
      </c>
      <c r="F1916" s="128" t="s">
        <v>24</v>
      </c>
      <c r="G1916" s="128" t="str">
        <f>VLOOKUP(source[[#This Row],[lending_product_transform]],[3]Mapping!$B$4:$C$37,2,0)</f>
        <v>[Cake] - Cashloan</v>
      </c>
      <c r="H1916" s="128" t="str">
        <f>VLOOKUP(source[[#This Row],[lending_product_transform]],[3]Mapping!$B$3:$D$37,3,0)</f>
        <v>cashloan</v>
      </c>
      <c r="I1916" s="135">
        <v>137865797</v>
      </c>
    </row>
    <row r="1917" spans="1:9" x14ac:dyDescent="0.2">
      <c r="A1917" s="134">
        <v>45501</v>
      </c>
      <c r="B1917" s="135">
        <f>YEAR(source[[#This Row],[report_date]])</f>
        <v>2024</v>
      </c>
      <c r="C1917" s="128">
        <v>7</v>
      </c>
      <c r="D1917" s="136">
        <f t="shared" si="81"/>
        <v>30</v>
      </c>
      <c r="E1917" s="136">
        <f t="shared" si="82"/>
        <v>28</v>
      </c>
      <c r="F1917" s="128" t="s">
        <v>24</v>
      </c>
      <c r="G1917" s="128" t="str">
        <f>VLOOKUP(source[[#This Row],[lending_product_transform]],[3]Mapping!$B$4:$C$37,2,0)</f>
        <v>[Cake] - Cashloan</v>
      </c>
      <c r="H1917" s="128" t="str">
        <f>VLOOKUP(source[[#This Row],[lending_product_transform]],[3]Mapping!$B$3:$D$37,3,0)</f>
        <v>cashloan</v>
      </c>
      <c r="I1917" s="135">
        <v>12000000</v>
      </c>
    </row>
    <row r="1918" spans="1:9" x14ac:dyDescent="0.2">
      <c r="A1918" s="134">
        <v>45501</v>
      </c>
      <c r="B1918" s="135">
        <f>YEAR(source[[#This Row],[report_date]])</f>
        <v>2024</v>
      </c>
      <c r="C1918" s="128">
        <v>7</v>
      </c>
      <c r="D1918" s="136">
        <f t="shared" si="81"/>
        <v>30</v>
      </c>
      <c r="E1918" s="136">
        <f t="shared" si="82"/>
        <v>28</v>
      </c>
      <c r="F1918" s="128" t="s">
        <v>24</v>
      </c>
      <c r="G1918" s="128" t="str">
        <f>VLOOKUP(source[[#This Row],[lending_product_transform]],[3]Mapping!$B$4:$C$37,2,0)</f>
        <v>[Cake] - Cashloan</v>
      </c>
      <c r="H1918" s="128" t="str">
        <f>VLOOKUP(source[[#This Row],[lending_product_transform]],[3]Mapping!$B$3:$D$37,3,0)</f>
        <v>cashloan</v>
      </c>
      <c r="I1918" s="135">
        <v>1762040000</v>
      </c>
    </row>
    <row r="1919" spans="1:9" x14ac:dyDescent="0.2">
      <c r="A1919" s="134">
        <v>45501</v>
      </c>
      <c r="B1919" s="135">
        <f>YEAR(source[[#This Row],[report_date]])</f>
        <v>2024</v>
      </c>
      <c r="C1919" s="128">
        <v>7</v>
      </c>
      <c r="D1919" s="136">
        <f t="shared" si="81"/>
        <v>30</v>
      </c>
      <c r="E1919" s="136">
        <f t="shared" si="82"/>
        <v>28</v>
      </c>
      <c r="F1919" s="128" t="s">
        <v>24</v>
      </c>
      <c r="G1919" s="128" t="str">
        <f>VLOOKUP(source[[#This Row],[lending_product_transform]],[3]Mapping!$B$4:$C$37,2,0)</f>
        <v>[Cake] - Cashloan</v>
      </c>
      <c r="H1919" s="128" t="str">
        <f>VLOOKUP(source[[#This Row],[lending_product_transform]],[3]Mapping!$B$3:$D$37,3,0)</f>
        <v>cashloan</v>
      </c>
      <c r="I1919" s="135">
        <v>3657320000</v>
      </c>
    </row>
    <row r="1920" spans="1:9" x14ac:dyDescent="0.2">
      <c r="A1920" s="134">
        <v>45502</v>
      </c>
      <c r="B1920" s="135">
        <f>YEAR(source[[#This Row],[report_date]])</f>
        <v>2024</v>
      </c>
      <c r="C1920" s="128">
        <v>7</v>
      </c>
      <c r="D1920" s="136">
        <f t="shared" si="81"/>
        <v>31</v>
      </c>
      <c r="E1920" s="136">
        <f t="shared" si="82"/>
        <v>29</v>
      </c>
      <c r="F1920" s="128" t="s">
        <v>24</v>
      </c>
      <c r="G1920" s="128" t="str">
        <f>VLOOKUP(source[[#This Row],[lending_product_transform]],[3]Mapping!$B$4:$C$37,2,0)</f>
        <v>[Cake] - Cashloan</v>
      </c>
      <c r="H1920" s="128" t="str">
        <f>VLOOKUP(source[[#This Row],[lending_product_transform]],[3]Mapping!$B$3:$D$37,3,0)</f>
        <v>cashloan</v>
      </c>
      <c r="I1920" s="135">
        <v>3530000000</v>
      </c>
    </row>
    <row r="1921" spans="1:9" x14ac:dyDescent="0.2">
      <c r="A1921" s="134">
        <v>45502</v>
      </c>
      <c r="B1921" s="135">
        <f>YEAR(source[[#This Row],[report_date]])</f>
        <v>2024</v>
      </c>
      <c r="C1921" s="128">
        <v>7</v>
      </c>
      <c r="D1921" s="136">
        <f t="shared" si="81"/>
        <v>31</v>
      </c>
      <c r="E1921" s="136">
        <f t="shared" si="82"/>
        <v>29</v>
      </c>
      <c r="F1921" s="128" t="s">
        <v>24</v>
      </c>
      <c r="G1921" s="128" t="str">
        <f>VLOOKUP(source[[#This Row],[lending_product_transform]],[3]Mapping!$B$4:$C$37,2,0)</f>
        <v>[Cake] - Cashloan</v>
      </c>
      <c r="H1921" s="128" t="str">
        <f>VLOOKUP(source[[#This Row],[lending_product_transform]],[3]Mapping!$B$3:$D$37,3,0)</f>
        <v>cashloan</v>
      </c>
      <c r="I1921" s="135">
        <v>87000000</v>
      </c>
    </row>
    <row r="1922" spans="1:9" x14ac:dyDescent="0.2">
      <c r="A1922" s="134">
        <v>45502</v>
      </c>
      <c r="B1922" s="135">
        <f>YEAR(source[[#This Row],[report_date]])</f>
        <v>2024</v>
      </c>
      <c r="C1922" s="128">
        <v>7</v>
      </c>
      <c r="D1922" s="136">
        <f t="shared" si="81"/>
        <v>31</v>
      </c>
      <c r="E1922" s="136">
        <f t="shared" si="82"/>
        <v>29</v>
      </c>
      <c r="F1922" s="128" t="s">
        <v>24</v>
      </c>
      <c r="G1922" s="128" t="str">
        <f>VLOOKUP(source[[#This Row],[lending_product_transform]],[3]Mapping!$B$4:$C$37,2,0)</f>
        <v>[Cake] - Cashloan</v>
      </c>
      <c r="H1922" s="128" t="str">
        <f>VLOOKUP(source[[#This Row],[lending_product_transform]],[3]Mapping!$B$3:$D$37,3,0)</f>
        <v>cashloan</v>
      </c>
      <c r="I1922" s="135">
        <v>4645080000</v>
      </c>
    </row>
    <row r="1923" spans="1:9" x14ac:dyDescent="0.2">
      <c r="A1923" s="134">
        <v>45502</v>
      </c>
      <c r="B1923" s="135">
        <f>YEAR(source[[#This Row],[report_date]])</f>
        <v>2024</v>
      </c>
      <c r="C1923" s="128">
        <v>7</v>
      </c>
      <c r="D1923" s="136">
        <f t="shared" ref="D1923:D1986" si="83">WEEKNUM(A1923,2)</f>
        <v>31</v>
      </c>
      <c r="E1923" s="136">
        <f t="shared" ref="E1923:E1986" si="84">DAY(A1923)</f>
        <v>29</v>
      </c>
      <c r="F1923" s="128" t="s">
        <v>24</v>
      </c>
      <c r="G1923" s="128" t="str">
        <f>VLOOKUP(source[[#This Row],[lending_product_transform]],[3]Mapping!$B$4:$C$37,2,0)</f>
        <v>[Cake] - Cashloan</v>
      </c>
      <c r="H1923" s="128" t="str">
        <f>VLOOKUP(source[[#This Row],[lending_product_transform]],[3]Mapping!$B$3:$D$37,3,0)</f>
        <v>cashloan</v>
      </c>
      <c r="I1923" s="135">
        <v>130034933</v>
      </c>
    </row>
    <row r="1924" spans="1:9" x14ac:dyDescent="0.2">
      <c r="A1924" s="134">
        <v>45502</v>
      </c>
      <c r="B1924" s="135">
        <f>YEAR(source[[#This Row],[report_date]])</f>
        <v>2024</v>
      </c>
      <c r="C1924" s="128">
        <v>7</v>
      </c>
      <c r="D1924" s="136">
        <f t="shared" si="83"/>
        <v>31</v>
      </c>
      <c r="E1924" s="136">
        <f t="shared" si="84"/>
        <v>29</v>
      </c>
      <c r="F1924" s="128" t="s">
        <v>24</v>
      </c>
      <c r="G1924" s="128" t="str">
        <f>VLOOKUP(source[[#This Row],[lending_product_transform]],[3]Mapping!$B$4:$C$37,2,0)</f>
        <v>[Cake] - Cashloan</v>
      </c>
      <c r="H1924" s="128" t="str">
        <f>VLOOKUP(source[[#This Row],[lending_product_transform]],[3]Mapping!$B$3:$D$37,3,0)</f>
        <v>cashloan</v>
      </c>
      <c r="I1924" s="135">
        <v>37450000</v>
      </c>
    </row>
    <row r="1925" spans="1:9" x14ac:dyDescent="0.2">
      <c r="A1925" s="134">
        <v>45502</v>
      </c>
      <c r="B1925" s="135">
        <f>YEAR(source[[#This Row],[report_date]])</f>
        <v>2024</v>
      </c>
      <c r="C1925" s="128">
        <v>7</v>
      </c>
      <c r="D1925" s="136">
        <f t="shared" si="83"/>
        <v>31</v>
      </c>
      <c r="E1925" s="136">
        <f t="shared" si="84"/>
        <v>29</v>
      </c>
      <c r="F1925" s="128" t="s">
        <v>24</v>
      </c>
      <c r="G1925" s="128" t="str">
        <f>VLOOKUP(source[[#This Row],[lending_product_transform]],[3]Mapping!$B$4:$C$37,2,0)</f>
        <v>[Cake] - Cashloan</v>
      </c>
      <c r="H1925" s="128" t="str">
        <f>VLOOKUP(source[[#This Row],[lending_product_transform]],[3]Mapping!$B$3:$D$37,3,0)</f>
        <v>cashloan</v>
      </c>
      <c r="I1925" s="135">
        <v>2529088864</v>
      </c>
    </row>
    <row r="1926" spans="1:9" x14ac:dyDescent="0.2">
      <c r="A1926" s="134">
        <v>45502</v>
      </c>
      <c r="B1926" s="135">
        <f>YEAR(source[[#This Row],[report_date]])</f>
        <v>2024</v>
      </c>
      <c r="C1926" s="128">
        <v>7</v>
      </c>
      <c r="D1926" s="136">
        <f t="shared" si="83"/>
        <v>31</v>
      </c>
      <c r="E1926" s="136">
        <f t="shared" si="84"/>
        <v>29</v>
      </c>
      <c r="F1926" s="128" t="s">
        <v>24</v>
      </c>
      <c r="G1926" s="128" t="str">
        <f>VLOOKUP(source[[#This Row],[lending_product_transform]],[3]Mapping!$B$4:$C$37,2,0)</f>
        <v>[Cake] - Cashloan</v>
      </c>
      <c r="H1926" s="128" t="str">
        <f>VLOOKUP(source[[#This Row],[lending_product_transform]],[3]Mapping!$B$3:$D$37,3,0)</f>
        <v>cashloan</v>
      </c>
      <c r="I1926" s="135">
        <v>24335824</v>
      </c>
    </row>
    <row r="1927" spans="1:9" x14ac:dyDescent="0.2">
      <c r="A1927" s="134">
        <v>45502</v>
      </c>
      <c r="B1927" s="135">
        <f>YEAR(source[[#This Row],[report_date]])</f>
        <v>2024</v>
      </c>
      <c r="C1927" s="128">
        <v>7</v>
      </c>
      <c r="D1927" s="136">
        <f t="shared" si="83"/>
        <v>31</v>
      </c>
      <c r="E1927" s="136">
        <f t="shared" si="84"/>
        <v>29</v>
      </c>
      <c r="F1927" s="128" t="s">
        <v>24</v>
      </c>
      <c r="G1927" s="128" t="str">
        <f>VLOOKUP(source[[#This Row],[lending_product_transform]],[3]Mapping!$B$4:$C$37,2,0)</f>
        <v>[Cake] - Cashloan</v>
      </c>
      <c r="H1927" s="128" t="str">
        <f>VLOOKUP(source[[#This Row],[lending_product_transform]],[3]Mapping!$B$3:$D$37,3,0)</f>
        <v>cashloan</v>
      </c>
      <c r="I1927" s="135">
        <v>18000000</v>
      </c>
    </row>
    <row r="1928" spans="1:9" x14ac:dyDescent="0.2">
      <c r="A1928" s="134">
        <v>45502</v>
      </c>
      <c r="B1928" s="135">
        <f>YEAR(source[[#This Row],[report_date]])</f>
        <v>2024</v>
      </c>
      <c r="C1928" s="128">
        <v>7</v>
      </c>
      <c r="D1928" s="136">
        <f t="shared" si="83"/>
        <v>31</v>
      </c>
      <c r="E1928" s="136">
        <f t="shared" si="84"/>
        <v>29</v>
      </c>
      <c r="F1928" s="128" t="s">
        <v>24</v>
      </c>
      <c r="G1928" s="128" t="str">
        <f>VLOOKUP(source[[#This Row],[lending_product_transform]],[3]Mapping!$B$4:$C$37,2,0)</f>
        <v>[Cake] - Cashloan</v>
      </c>
      <c r="H1928" s="128" t="str">
        <f>VLOOKUP(source[[#This Row],[lending_product_transform]],[3]Mapping!$B$3:$D$37,3,0)</f>
        <v>cashloan</v>
      </c>
      <c r="I1928" s="135">
        <v>1843980000</v>
      </c>
    </row>
    <row r="1929" spans="1:9" x14ac:dyDescent="0.2">
      <c r="A1929" s="134">
        <v>45502</v>
      </c>
      <c r="B1929" s="135">
        <f>YEAR(source[[#This Row],[report_date]])</f>
        <v>2024</v>
      </c>
      <c r="C1929" s="128">
        <v>7</v>
      </c>
      <c r="D1929" s="136">
        <f t="shared" si="83"/>
        <v>31</v>
      </c>
      <c r="E1929" s="136">
        <f t="shared" si="84"/>
        <v>29</v>
      </c>
      <c r="F1929" s="128" t="s">
        <v>24</v>
      </c>
      <c r="G1929" s="128" t="str">
        <f>VLOOKUP(source[[#This Row],[lending_product_transform]],[3]Mapping!$B$4:$C$37,2,0)</f>
        <v>[Cake] - Cashloan</v>
      </c>
      <c r="H1929" s="128" t="str">
        <f>VLOOKUP(source[[#This Row],[lending_product_transform]],[3]Mapping!$B$3:$D$37,3,0)</f>
        <v>cashloan</v>
      </c>
      <c r="I1929" s="135">
        <v>2043710000</v>
      </c>
    </row>
    <row r="1930" spans="1:9" x14ac:dyDescent="0.2">
      <c r="A1930" s="134">
        <v>45502</v>
      </c>
      <c r="B1930" s="135">
        <f>YEAR(source[[#This Row],[report_date]])</f>
        <v>2024</v>
      </c>
      <c r="C1930" s="128">
        <v>7</v>
      </c>
      <c r="D1930" s="136">
        <f t="shared" si="83"/>
        <v>31</v>
      </c>
      <c r="E1930" s="136">
        <f t="shared" si="84"/>
        <v>29</v>
      </c>
      <c r="F1930" s="128" t="s">
        <v>24</v>
      </c>
      <c r="G1930" s="128" t="str">
        <f>VLOOKUP(source[[#This Row],[lending_product_transform]],[3]Mapping!$B$4:$C$37,2,0)</f>
        <v>[Cake] - Cashloan</v>
      </c>
      <c r="H1930" s="128" t="str">
        <f>VLOOKUP(source[[#This Row],[lending_product_transform]],[3]Mapping!$B$3:$D$37,3,0)</f>
        <v>cashloan</v>
      </c>
      <c r="I1930" s="135">
        <v>0</v>
      </c>
    </row>
    <row r="1931" spans="1:9" x14ac:dyDescent="0.2">
      <c r="A1931" s="134">
        <v>45502</v>
      </c>
      <c r="B1931" s="135">
        <f>YEAR(source[[#This Row],[report_date]])</f>
        <v>2024</v>
      </c>
      <c r="C1931" s="128">
        <v>7</v>
      </c>
      <c r="D1931" s="136">
        <f t="shared" si="83"/>
        <v>31</v>
      </c>
      <c r="E1931" s="136">
        <f t="shared" si="84"/>
        <v>29</v>
      </c>
      <c r="F1931" s="128" t="s">
        <v>24</v>
      </c>
      <c r="G1931" s="128" t="str">
        <f>VLOOKUP(source[[#This Row],[lending_product_transform]],[3]Mapping!$B$4:$C$37,2,0)</f>
        <v>[Cake] - Cashloan</v>
      </c>
      <c r="H1931" s="128" t="str">
        <f>VLOOKUP(source[[#This Row],[lending_product_transform]],[3]Mapping!$B$3:$D$37,3,0)</f>
        <v>cashloan</v>
      </c>
      <c r="I1931" s="135">
        <v>117600000</v>
      </c>
    </row>
    <row r="1932" spans="1:9" x14ac:dyDescent="0.2">
      <c r="A1932" s="134">
        <v>45503</v>
      </c>
      <c r="B1932" s="135">
        <f>YEAR(source[[#This Row],[report_date]])</f>
        <v>2024</v>
      </c>
      <c r="C1932" s="128">
        <v>7</v>
      </c>
      <c r="D1932" s="136">
        <f t="shared" si="83"/>
        <v>31</v>
      </c>
      <c r="E1932" s="136">
        <f t="shared" si="84"/>
        <v>30</v>
      </c>
      <c r="F1932" s="128" t="s">
        <v>24</v>
      </c>
      <c r="G1932" s="128" t="str">
        <f>VLOOKUP(source[[#This Row],[lending_product_transform]],[3]Mapping!$B$4:$C$37,2,0)</f>
        <v>[Cake] - Cashloan</v>
      </c>
      <c r="H1932" s="128" t="str">
        <f>VLOOKUP(source[[#This Row],[lending_product_transform]],[3]Mapping!$B$3:$D$37,3,0)</f>
        <v>cashloan</v>
      </c>
      <c r="I1932" s="135">
        <v>14980000</v>
      </c>
    </row>
    <row r="1933" spans="1:9" x14ac:dyDescent="0.2">
      <c r="A1933" s="134">
        <v>45503</v>
      </c>
      <c r="B1933" s="135">
        <f>YEAR(source[[#This Row],[report_date]])</f>
        <v>2024</v>
      </c>
      <c r="C1933" s="128">
        <v>7</v>
      </c>
      <c r="D1933" s="136">
        <f t="shared" si="83"/>
        <v>31</v>
      </c>
      <c r="E1933" s="136">
        <f t="shared" si="84"/>
        <v>30</v>
      </c>
      <c r="F1933" s="128" t="s">
        <v>24</v>
      </c>
      <c r="G1933" s="128" t="str">
        <f>VLOOKUP(source[[#This Row],[lending_product_transform]],[3]Mapping!$B$4:$C$37,2,0)</f>
        <v>[Cake] - Cashloan</v>
      </c>
      <c r="H1933" s="128" t="str">
        <f>VLOOKUP(source[[#This Row],[lending_product_transform]],[3]Mapping!$B$3:$D$37,3,0)</f>
        <v>cashloan</v>
      </c>
      <c r="I1933" s="135">
        <v>132850000</v>
      </c>
    </row>
    <row r="1934" spans="1:9" x14ac:dyDescent="0.2">
      <c r="A1934" s="134">
        <v>45503</v>
      </c>
      <c r="B1934" s="135">
        <f>YEAR(source[[#This Row],[report_date]])</f>
        <v>2024</v>
      </c>
      <c r="C1934" s="128">
        <v>7</v>
      </c>
      <c r="D1934" s="136">
        <f t="shared" si="83"/>
        <v>31</v>
      </c>
      <c r="E1934" s="136">
        <f t="shared" si="84"/>
        <v>30</v>
      </c>
      <c r="F1934" s="128" t="s">
        <v>24</v>
      </c>
      <c r="G1934" s="128" t="str">
        <f>VLOOKUP(source[[#This Row],[lending_product_transform]],[3]Mapping!$B$4:$C$37,2,0)</f>
        <v>[Cake] - Cashloan</v>
      </c>
      <c r="H1934" s="128" t="str">
        <f>VLOOKUP(source[[#This Row],[lending_product_transform]],[3]Mapping!$B$3:$D$37,3,0)</f>
        <v>cashloan</v>
      </c>
      <c r="I1934" s="135">
        <v>77000000</v>
      </c>
    </row>
    <row r="1935" spans="1:9" x14ac:dyDescent="0.2">
      <c r="A1935" s="134">
        <v>45503</v>
      </c>
      <c r="B1935" s="135">
        <f>YEAR(source[[#This Row],[report_date]])</f>
        <v>2024</v>
      </c>
      <c r="C1935" s="128">
        <v>7</v>
      </c>
      <c r="D1935" s="136">
        <f t="shared" si="83"/>
        <v>31</v>
      </c>
      <c r="E1935" s="136">
        <f t="shared" si="84"/>
        <v>30</v>
      </c>
      <c r="F1935" s="128" t="s">
        <v>24</v>
      </c>
      <c r="G1935" s="128" t="str">
        <f>VLOOKUP(source[[#This Row],[lending_product_transform]],[3]Mapping!$B$4:$C$37,2,0)</f>
        <v>[Cake] - Cashloan</v>
      </c>
      <c r="H1935" s="128" t="str">
        <f>VLOOKUP(source[[#This Row],[lending_product_transform]],[3]Mapping!$B$3:$D$37,3,0)</f>
        <v>cashloan</v>
      </c>
      <c r="I1935" s="135">
        <v>3645500000</v>
      </c>
    </row>
    <row r="1936" spans="1:9" x14ac:dyDescent="0.2">
      <c r="A1936" s="134">
        <v>45503</v>
      </c>
      <c r="B1936" s="135">
        <f>YEAR(source[[#This Row],[report_date]])</f>
        <v>2024</v>
      </c>
      <c r="C1936" s="128">
        <v>7</v>
      </c>
      <c r="D1936" s="136">
        <f t="shared" si="83"/>
        <v>31</v>
      </c>
      <c r="E1936" s="136">
        <f t="shared" si="84"/>
        <v>30</v>
      </c>
      <c r="F1936" s="128" t="s">
        <v>24</v>
      </c>
      <c r="G1936" s="128" t="str">
        <f>VLOOKUP(source[[#This Row],[lending_product_transform]],[3]Mapping!$B$4:$C$37,2,0)</f>
        <v>[Cake] - Cashloan</v>
      </c>
      <c r="H1936" s="128" t="str">
        <f>VLOOKUP(source[[#This Row],[lending_product_transform]],[3]Mapping!$B$3:$D$37,3,0)</f>
        <v>cashloan</v>
      </c>
      <c r="I1936" s="135">
        <v>4537320000</v>
      </c>
    </row>
    <row r="1937" spans="1:9" x14ac:dyDescent="0.2">
      <c r="A1937" s="134">
        <v>45503</v>
      </c>
      <c r="B1937" s="135">
        <f>YEAR(source[[#This Row],[report_date]])</f>
        <v>2024</v>
      </c>
      <c r="C1937" s="128">
        <v>7</v>
      </c>
      <c r="D1937" s="136">
        <f t="shared" si="83"/>
        <v>31</v>
      </c>
      <c r="E1937" s="136">
        <f t="shared" si="84"/>
        <v>30</v>
      </c>
      <c r="F1937" s="128" t="s">
        <v>24</v>
      </c>
      <c r="G1937" s="128" t="str">
        <f>VLOOKUP(source[[#This Row],[lending_product_transform]],[3]Mapping!$B$4:$C$37,2,0)</f>
        <v>[Cake] - Cashloan</v>
      </c>
      <c r="H1937" s="128" t="str">
        <f>VLOOKUP(source[[#This Row],[lending_product_transform]],[3]Mapping!$B$3:$D$37,3,0)</f>
        <v>cashloan</v>
      </c>
      <c r="I1937" s="135">
        <v>27737197</v>
      </c>
    </row>
    <row r="1938" spans="1:9" x14ac:dyDescent="0.2">
      <c r="A1938" s="134">
        <v>45503</v>
      </c>
      <c r="B1938" s="135">
        <f>YEAR(source[[#This Row],[report_date]])</f>
        <v>2024</v>
      </c>
      <c r="C1938" s="128">
        <v>7</v>
      </c>
      <c r="D1938" s="136">
        <f t="shared" si="83"/>
        <v>31</v>
      </c>
      <c r="E1938" s="136">
        <f t="shared" si="84"/>
        <v>30</v>
      </c>
      <c r="F1938" s="128" t="s">
        <v>24</v>
      </c>
      <c r="G1938" s="128" t="str">
        <f>VLOOKUP(source[[#This Row],[lending_product_transform]],[3]Mapping!$B$4:$C$37,2,0)</f>
        <v>[Cake] - Cashloan</v>
      </c>
      <c r="H1938" s="128" t="str">
        <f>VLOOKUP(source[[#This Row],[lending_product_transform]],[3]Mapping!$B$3:$D$37,3,0)</f>
        <v>cashloan</v>
      </c>
      <c r="I1938" s="135">
        <v>125965486</v>
      </c>
    </row>
    <row r="1939" spans="1:9" x14ac:dyDescent="0.2">
      <c r="A1939" s="134">
        <v>45503</v>
      </c>
      <c r="B1939" s="135">
        <f>YEAR(source[[#This Row],[report_date]])</f>
        <v>2024</v>
      </c>
      <c r="C1939" s="128">
        <v>7</v>
      </c>
      <c r="D1939" s="136">
        <f t="shared" si="83"/>
        <v>31</v>
      </c>
      <c r="E1939" s="136">
        <f t="shared" si="84"/>
        <v>30</v>
      </c>
      <c r="F1939" s="128" t="s">
        <v>24</v>
      </c>
      <c r="G1939" s="128" t="str">
        <f>VLOOKUP(source[[#This Row],[lending_product_transform]],[3]Mapping!$B$4:$C$37,2,0)</f>
        <v>[Cake] - Cashloan</v>
      </c>
      <c r="H1939" s="128" t="str">
        <f>VLOOKUP(source[[#This Row],[lending_product_transform]],[3]Mapping!$B$3:$D$37,3,0)</f>
        <v>cashloan</v>
      </c>
      <c r="I1939" s="135">
        <v>1722360000</v>
      </c>
    </row>
    <row r="1940" spans="1:9" x14ac:dyDescent="0.2">
      <c r="A1940" s="134">
        <v>45503</v>
      </c>
      <c r="B1940" s="135">
        <f>YEAR(source[[#This Row],[report_date]])</f>
        <v>2024</v>
      </c>
      <c r="C1940" s="128">
        <v>7</v>
      </c>
      <c r="D1940" s="136">
        <f t="shared" si="83"/>
        <v>31</v>
      </c>
      <c r="E1940" s="136">
        <f t="shared" si="84"/>
        <v>30</v>
      </c>
      <c r="F1940" s="128" t="s">
        <v>24</v>
      </c>
      <c r="G1940" s="128" t="str">
        <f>VLOOKUP(source[[#This Row],[lending_product_transform]],[3]Mapping!$B$4:$C$37,2,0)</f>
        <v>[Cake] - Cashloan</v>
      </c>
      <c r="H1940" s="128" t="str">
        <f>VLOOKUP(source[[#This Row],[lending_product_transform]],[3]Mapping!$B$3:$D$37,3,0)</f>
        <v>cashloan</v>
      </c>
      <c r="I1940" s="135">
        <v>1941740000</v>
      </c>
    </row>
    <row r="1941" spans="1:9" x14ac:dyDescent="0.2">
      <c r="A1941" s="134">
        <v>45503</v>
      </c>
      <c r="B1941" s="135">
        <f>YEAR(source[[#This Row],[report_date]])</f>
        <v>2024</v>
      </c>
      <c r="C1941" s="128">
        <v>7</v>
      </c>
      <c r="D1941" s="136">
        <f t="shared" si="83"/>
        <v>31</v>
      </c>
      <c r="E1941" s="136">
        <f t="shared" si="84"/>
        <v>30</v>
      </c>
      <c r="F1941" s="128" t="s">
        <v>24</v>
      </c>
      <c r="G1941" s="128" t="str">
        <f>VLOOKUP(source[[#This Row],[lending_product_transform]],[3]Mapping!$B$4:$C$37,2,0)</f>
        <v>[Cake] - Cashloan</v>
      </c>
      <c r="H1941" s="128" t="str">
        <f>VLOOKUP(source[[#This Row],[lending_product_transform]],[3]Mapping!$B$3:$D$37,3,0)</f>
        <v>cashloan</v>
      </c>
      <c r="I1941" s="135">
        <v>2845676626</v>
      </c>
    </row>
    <row r="1942" spans="1:9" x14ac:dyDescent="0.2">
      <c r="A1942" s="134">
        <v>45503</v>
      </c>
      <c r="B1942" s="135">
        <f>YEAR(source[[#This Row],[report_date]])</f>
        <v>2024</v>
      </c>
      <c r="C1942" s="128">
        <v>7</v>
      </c>
      <c r="D1942" s="136">
        <f t="shared" si="83"/>
        <v>31</v>
      </c>
      <c r="E1942" s="136">
        <f t="shared" si="84"/>
        <v>30</v>
      </c>
      <c r="F1942" s="128" t="s">
        <v>24</v>
      </c>
      <c r="G1942" s="128" t="str">
        <f>VLOOKUP(source[[#This Row],[lending_product_transform]],[3]Mapping!$B$4:$C$37,2,0)</f>
        <v>[Cake] - Cashloan</v>
      </c>
      <c r="H1942" s="128" t="str">
        <f>VLOOKUP(source[[#This Row],[lending_product_transform]],[3]Mapping!$B$3:$D$37,3,0)</f>
        <v>cashloan</v>
      </c>
      <c r="I1942" s="135">
        <v>35000000</v>
      </c>
    </row>
    <row r="1943" spans="1:9" x14ac:dyDescent="0.2">
      <c r="A1943" s="134">
        <v>45503</v>
      </c>
      <c r="B1943" s="135">
        <f>YEAR(source[[#This Row],[report_date]])</f>
        <v>2024</v>
      </c>
      <c r="C1943" s="128">
        <v>7</v>
      </c>
      <c r="D1943" s="136">
        <f t="shared" si="83"/>
        <v>31</v>
      </c>
      <c r="E1943" s="136">
        <f t="shared" si="84"/>
        <v>30</v>
      </c>
      <c r="F1943" s="128" t="s">
        <v>24</v>
      </c>
      <c r="G1943" s="128" t="str">
        <f>VLOOKUP(source[[#This Row],[lending_product_transform]],[3]Mapping!$B$4:$C$37,2,0)</f>
        <v>[Cake] - Cashloan</v>
      </c>
      <c r="H1943" s="128" t="str">
        <f>VLOOKUP(source[[#This Row],[lending_product_transform]],[3]Mapping!$B$3:$D$37,3,0)</f>
        <v>cashloan</v>
      </c>
      <c r="I1943" s="135">
        <v>0</v>
      </c>
    </row>
    <row r="1944" spans="1:9" x14ac:dyDescent="0.2">
      <c r="A1944" s="134">
        <v>45504</v>
      </c>
      <c r="B1944" s="135">
        <f>YEAR(source[[#This Row],[report_date]])</f>
        <v>2024</v>
      </c>
      <c r="C1944" s="128">
        <v>7</v>
      </c>
      <c r="D1944" s="136">
        <f t="shared" si="83"/>
        <v>31</v>
      </c>
      <c r="E1944" s="136">
        <f t="shared" si="84"/>
        <v>31</v>
      </c>
      <c r="F1944" s="128" t="s">
        <v>24</v>
      </c>
      <c r="G1944" s="128" t="str">
        <f>VLOOKUP(source[[#This Row],[lending_product_transform]],[3]Mapping!$B$4:$C$37,2,0)</f>
        <v>[Cake] - Cashloan</v>
      </c>
      <c r="H1944" s="128" t="str">
        <f>VLOOKUP(source[[#This Row],[lending_product_transform]],[3]Mapping!$B$3:$D$37,3,0)</f>
        <v>cashloan</v>
      </c>
      <c r="I1944" s="135">
        <v>56000000</v>
      </c>
    </row>
    <row r="1945" spans="1:9" x14ac:dyDescent="0.2">
      <c r="A1945" s="134">
        <v>45504</v>
      </c>
      <c r="B1945" s="135">
        <f>YEAR(source[[#This Row],[report_date]])</f>
        <v>2024</v>
      </c>
      <c r="C1945" s="128">
        <v>7</v>
      </c>
      <c r="D1945" s="136">
        <f t="shared" si="83"/>
        <v>31</v>
      </c>
      <c r="E1945" s="136">
        <f t="shared" si="84"/>
        <v>31</v>
      </c>
      <c r="F1945" s="128" t="s">
        <v>24</v>
      </c>
      <c r="G1945" s="128" t="str">
        <f>VLOOKUP(source[[#This Row],[lending_product_transform]],[3]Mapping!$B$4:$C$37,2,0)</f>
        <v>[Cake] - Cashloan</v>
      </c>
      <c r="H1945" s="128" t="str">
        <f>VLOOKUP(source[[#This Row],[lending_product_transform]],[3]Mapping!$B$3:$D$37,3,0)</f>
        <v>cashloan</v>
      </c>
      <c r="I1945" s="135">
        <v>0</v>
      </c>
    </row>
    <row r="1946" spans="1:9" x14ac:dyDescent="0.2">
      <c r="A1946" s="134">
        <v>45504</v>
      </c>
      <c r="B1946" s="135">
        <f>YEAR(source[[#This Row],[report_date]])</f>
        <v>2024</v>
      </c>
      <c r="C1946" s="128">
        <v>7</v>
      </c>
      <c r="D1946" s="136">
        <f t="shared" si="83"/>
        <v>31</v>
      </c>
      <c r="E1946" s="136">
        <f t="shared" si="84"/>
        <v>31</v>
      </c>
      <c r="F1946" s="128" t="s">
        <v>24</v>
      </c>
      <c r="G1946" s="128" t="str">
        <f>VLOOKUP(source[[#This Row],[lending_product_transform]],[3]Mapping!$B$4:$C$37,2,0)</f>
        <v>[Cake] - Cashloan</v>
      </c>
      <c r="H1946" s="128" t="str">
        <f>VLOOKUP(source[[#This Row],[lending_product_transform]],[3]Mapping!$B$3:$D$37,3,0)</f>
        <v>cashloan</v>
      </c>
      <c r="I1946" s="135">
        <v>69640000</v>
      </c>
    </row>
    <row r="1947" spans="1:9" x14ac:dyDescent="0.2">
      <c r="A1947" s="134">
        <v>45504</v>
      </c>
      <c r="B1947" s="135">
        <f>YEAR(source[[#This Row],[report_date]])</f>
        <v>2024</v>
      </c>
      <c r="C1947" s="128">
        <v>7</v>
      </c>
      <c r="D1947" s="136">
        <f t="shared" si="83"/>
        <v>31</v>
      </c>
      <c r="E1947" s="136">
        <f t="shared" si="84"/>
        <v>31</v>
      </c>
      <c r="F1947" s="128" t="s">
        <v>24</v>
      </c>
      <c r="G1947" s="128" t="str">
        <f>VLOOKUP(source[[#This Row],[lending_product_transform]],[3]Mapping!$B$4:$C$37,2,0)</f>
        <v>[Cake] - Cashloan</v>
      </c>
      <c r="H1947" s="128" t="str">
        <f>VLOOKUP(source[[#This Row],[lending_product_transform]],[3]Mapping!$B$3:$D$37,3,0)</f>
        <v>cashloan</v>
      </c>
      <c r="I1947" s="135">
        <v>25972500</v>
      </c>
    </row>
    <row r="1948" spans="1:9" x14ac:dyDescent="0.2">
      <c r="A1948" s="134">
        <v>45504</v>
      </c>
      <c r="B1948" s="135">
        <f>YEAR(source[[#This Row],[report_date]])</f>
        <v>2024</v>
      </c>
      <c r="C1948" s="128">
        <v>7</v>
      </c>
      <c r="D1948" s="136">
        <f t="shared" si="83"/>
        <v>31</v>
      </c>
      <c r="E1948" s="136">
        <f t="shared" si="84"/>
        <v>31</v>
      </c>
      <c r="F1948" s="128" t="s">
        <v>24</v>
      </c>
      <c r="G1948" s="128" t="str">
        <f>VLOOKUP(source[[#This Row],[lending_product_transform]],[3]Mapping!$B$4:$C$37,2,0)</f>
        <v>[Cake] - Cashloan</v>
      </c>
      <c r="H1948" s="128" t="str">
        <f>VLOOKUP(source[[#This Row],[lending_product_transform]],[3]Mapping!$B$3:$D$37,3,0)</f>
        <v>cashloan</v>
      </c>
      <c r="I1948" s="135">
        <v>140835600</v>
      </c>
    </row>
    <row r="1949" spans="1:9" x14ac:dyDescent="0.2">
      <c r="A1949" s="134">
        <v>45504</v>
      </c>
      <c r="B1949" s="135">
        <f>YEAR(source[[#This Row],[report_date]])</f>
        <v>2024</v>
      </c>
      <c r="C1949" s="128">
        <v>7</v>
      </c>
      <c r="D1949" s="136">
        <f t="shared" si="83"/>
        <v>31</v>
      </c>
      <c r="E1949" s="136">
        <f t="shared" si="84"/>
        <v>31</v>
      </c>
      <c r="F1949" s="128" t="s">
        <v>24</v>
      </c>
      <c r="G1949" s="128" t="str">
        <f>VLOOKUP(source[[#This Row],[lending_product_transform]],[3]Mapping!$B$4:$C$37,2,0)</f>
        <v>[Cake] - Cashloan</v>
      </c>
      <c r="H1949" s="128" t="str">
        <f>VLOOKUP(source[[#This Row],[lending_product_transform]],[3]Mapping!$B$3:$D$37,3,0)</f>
        <v>cashloan</v>
      </c>
      <c r="I1949" s="135">
        <v>73500000</v>
      </c>
    </row>
    <row r="1950" spans="1:9" x14ac:dyDescent="0.2">
      <c r="A1950" s="134">
        <v>45504</v>
      </c>
      <c r="B1950" s="135">
        <f>YEAR(source[[#This Row],[report_date]])</f>
        <v>2024</v>
      </c>
      <c r="C1950" s="128">
        <v>7</v>
      </c>
      <c r="D1950" s="136">
        <f t="shared" si="83"/>
        <v>31</v>
      </c>
      <c r="E1950" s="136">
        <f t="shared" si="84"/>
        <v>31</v>
      </c>
      <c r="F1950" s="128" t="s">
        <v>24</v>
      </c>
      <c r="G1950" s="128" t="str">
        <f>VLOOKUP(source[[#This Row],[lending_product_transform]],[3]Mapping!$B$4:$C$37,2,0)</f>
        <v>[Cake] - Cashloan</v>
      </c>
      <c r="H1950" s="128" t="str">
        <f>VLOOKUP(source[[#This Row],[lending_product_transform]],[3]Mapping!$B$3:$D$37,3,0)</f>
        <v>cashloan</v>
      </c>
      <c r="I1950" s="135">
        <v>205800000</v>
      </c>
    </row>
    <row r="1951" spans="1:9" x14ac:dyDescent="0.2">
      <c r="A1951" s="134">
        <v>45504</v>
      </c>
      <c r="B1951" s="135">
        <f>YEAR(source[[#This Row],[report_date]])</f>
        <v>2024</v>
      </c>
      <c r="C1951" s="128">
        <v>7</v>
      </c>
      <c r="D1951" s="136">
        <f t="shared" si="83"/>
        <v>31</v>
      </c>
      <c r="E1951" s="136">
        <f t="shared" si="84"/>
        <v>31</v>
      </c>
      <c r="F1951" s="128" t="s">
        <v>24</v>
      </c>
      <c r="G1951" s="128" t="str">
        <f>VLOOKUP(source[[#This Row],[lending_product_transform]],[3]Mapping!$B$4:$C$37,2,0)</f>
        <v>[Cake] - Cashloan</v>
      </c>
      <c r="H1951" s="128" t="str">
        <f>VLOOKUP(source[[#This Row],[lending_product_transform]],[3]Mapping!$B$3:$D$37,3,0)</f>
        <v>cashloan</v>
      </c>
      <c r="I1951" s="135">
        <v>2163540000</v>
      </c>
    </row>
    <row r="1952" spans="1:9" x14ac:dyDescent="0.2">
      <c r="A1952" s="134">
        <v>45504</v>
      </c>
      <c r="B1952" s="135">
        <f>YEAR(source[[#This Row],[report_date]])</f>
        <v>2024</v>
      </c>
      <c r="C1952" s="128">
        <v>7</v>
      </c>
      <c r="D1952" s="136">
        <f t="shared" si="83"/>
        <v>31</v>
      </c>
      <c r="E1952" s="136">
        <f t="shared" si="84"/>
        <v>31</v>
      </c>
      <c r="F1952" s="128" t="s">
        <v>24</v>
      </c>
      <c r="G1952" s="128" t="str">
        <f>VLOOKUP(source[[#This Row],[lending_product_transform]],[3]Mapping!$B$4:$C$37,2,0)</f>
        <v>[Cake] - Cashloan</v>
      </c>
      <c r="H1952" s="128" t="str">
        <f>VLOOKUP(source[[#This Row],[lending_product_transform]],[3]Mapping!$B$3:$D$37,3,0)</f>
        <v>cashloan</v>
      </c>
      <c r="I1952" s="135">
        <v>1833610000</v>
      </c>
    </row>
    <row r="1953" spans="1:9" x14ac:dyDescent="0.2">
      <c r="A1953" s="134">
        <v>45504</v>
      </c>
      <c r="B1953" s="135">
        <f>YEAR(source[[#This Row],[report_date]])</f>
        <v>2024</v>
      </c>
      <c r="C1953" s="128">
        <v>7</v>
      </c>
      <c r="D1953" s="136">
        <f t="shared" si="83"/>
        <v>31</v>
      </c>
      <c r="E1953" s="136">
        <f t="shared" si="84"/>
        <v>31</v>
      </c>
      <c r="F1953" s="128" t="s">
        <v>24</v>
      </c>
      <c r="G1953" s="128" t="str">
        <f>VLOOKUP(source[[#This Row],[lending_product_transform]],[3]Mapping!$B$4:$C$37,2,0)</f>
        <v>[Cake] - Cashloan</v>
      </c>
      <c r="H1953" s="128" t="str">
        <f>VLOOKUP(source[[#This Row],[lending_product_transform]],[3]Mapping!$B$3:$D$37,3,0)</f>
        <v>cashloan</v>
      </c>
      <c r="I1953" s="135">
        <v>3811500000</v>
      </c>
    </row>
    <row r="1954" spans="1:9" x14ac:dyDescent="0.2">
      <c r="A1954" s="134">
        <v>45504</v>
      </c>
      <c r="B1954" s="135">
        <f>YEAR(source[[#This Row],[report_date]])</f>
        <v>2024</v>
      </c>
      <c r="C1954" s="128">
        <v>7</v>
      </c>
      <c r="D1954" s="136">
        <f t="shared" si="83"/>
        <v>31</v>
      </c>
      <c r="E1954" s="136">
        <f t="shared" si="84"/>
        <v>31</v>
      </c>
      <c r="F1954" s="128" t="s">
        <v>24</v>
      </c>
      <c r="G1954" s="128" t="str">
        <f>VLOOKUP(source[[#This Row],[lending_product_transform]],[3]Mapping!$B$4:$C$37,2,0)</f>
        <v>[Cake] - Cashloan</v>
      </c>
      <c r="H1954" s="128" t="str">
        <f>VLOOKUP(source[[#This Row],[lending_product_transform]],[3]Mapping!$B$3:$D$37,3,0)</f>
        <v>cashloan</v>
      </c>
      <c r="I1954" s="135">
        <v>2851335766</v>
      </c>
    </row>
    <row r="1955" spans="1:9" x14ac:dyDescent="0.2">
      <c r="A1955" s="134">
        <v>45504</v>
      </c>
      <c r="B1955" s="135">
        <f>YEAR(source[[#This Row],[report_date]])</f>
        <v>2024</v>
      </c>
      <c r="C1955" s="128">
        <v>7</v>
      </c>
      <c r="D1955" s="136">
        <f t="shared" si="83"/>
        <v>31</v>
      </c>
      <c r="E1955" s="136">
        <f t="shared" si="84"/>
        <v>31</v>
      </c>
      <c r="F1955" s="128" t="s">
        <v>24</v>
      </c>
      <c r="G1955" s="128" t="str">
        <f>VLOOKUP(source[[#This Row],[lending_product_transform]],[3]Mapping!$B$4:$C$37,2,0)</f>
        <v>[Cake] - Cashloan</v>
      </c>
      <c r="H1955" s="128" t="str">
        <f>VLOOKUP(source[[#This Row],[lending_product_transform]],[3]Mapping!$B$3:$D$37,3,0)</f>
        <v>cashloan</v>
      </c>
      <c r="I1955" s="135">
        <v>4674260000</v>
      </c>
    </row>
    <row r="1956" spans="1:9" x14ac:dyDescent="0.2">
      <c r="A1956" s="134">
        <v>45505</v>
      </c>
      <c r="B1956" s="135">
        <f>YEAR(source[[#This Row],[report_date]])</f>
        <v>2024</v>
      </c>
      <c r="C1956" s="128">
        <v>8</v>
      </c>
      <c r="D1956" s="136">
        <f t="shared" si="83"/>
        <v>31</v>
      </c>
      <c r="E1956" s="136">
        <f t="shared" si="84"/>
        <v>1</v>
      </c>
      <c r="F1956" s="128" t="s">
        <v>24</v>
      </c>
      <c r="G1956" s="128" t="str">
        <f>VLOOKUP(source[[#This Row],[lending_product_transform]],[3]Mapping!$B$4:$C$37,2,0)</f>
        <v>[Cake] - Cashloan</v>
      </c>
      <c r="H1956" s="128" t="str">
        <f>VLOOKUP(source[[#This Row],[lending_product_transform]],[3]Mapping!$B$3:$D$37,3,0)</f>
        <v>cashloan</v>
      </c>
      <c r="I1956" s="135">
        <v>4133500000</v>
      </c>
    </row>
    <row r="1957" spans="1:9" x14ac:dyDescent="0.2">
      <c r="A1957" s="134">
        <v>45505</v>
      </c>
      <c r="B1957" s="135">
        <f>YEAR(source[[#This Row],[report_date]])</f>
        <v>2024</v>
      </c>
      <c r="C1957" s="128">
        <v>8</v>
      </c>
      <c r="D1957" s="136">
        <f t="shared" si="83"/>
        <v>31</v>
      </c>
      <c r="E1957" s="136">
        <f t="shared" si="84"/>
        <v>1</v>
      </c>
      <c r="F1957" s="128" t="s">
        <v>24</v>
      </c>
      <c r="G1957" s="128" t="str">
        <f>VLOOKUP(source[[#This Row],[lending_product_transform]],[3]Mapping!$B$4:$C$37,2,0)</f>
        <v>[Cake] - Cashloan</v>
      </c>
      <c r="H1957" s="128" t="str">
        <f>VLOOKUP(source[[#This Row],[lending_product_transform]],[3]Mapping!$B$3:$D$37,3,0)</f>
        <v>cashloan</v>
      </c>
      <c r="I1957" s="135">
        <v>1704510000</v>
      </c>
    </row>
    <row r="1958" spans="1:9" x14ac:dyDescent="0.2">
      <c r="A1958" s="134">
        <v>45505</v>
      </c>
      <c r="B1958" s="135">
        <f>YEAR(source[[#This Row],[report_date]])</f>
        <v>2024</v>
      </c>
      <c r="C1958" s="128">
        <v>8</v>
      </c>
      <c r="D1958" s="136">
        <f t="shared" si="83"/>
        <v>31</v>
      </c>
      <c r="E1958" s="136">
        <f t="shared" si="84"/>
        <v>1</v>
      </c>
      <c r="F1958" s="128" t="s">
        <v>24</v>
      </c>
      <c r="G1958" s="128" t="str">
        <f>VLOOKUP(source[[#This Row],[lending_product_transform]],[3]Mapping!$B$4:$C$37,2,0)</f>
        <v>[Cake] - Cashloan</v>
      </c>
      <c r="H1958" s="128" t="str">
        <f>VLOOKUP(source[[#This Row],[lending_product_transform]],[3]Mapping!$B$3:$D$37,3,0)</f>
        <v>cashloan</v>
      </c>
      <c r="I1958" s="135">
        <v>179475954</v>
      </c>
    </row>
    <row r="1959" spans="1:9" x14ac:dyDescent="0.2">
      <c r="A1959" s="134">
        <v>45505</v>
      </c>
      <c r="B1959" s="135">
        <f>YEAR(source[[#This Row],[report_date]])</f>
        <v>2024</v>
      </c>
      <c r="C1959" s="128">
        <v>8</v>
      </c>
      <c r="D1959" s="136">
        <f t="shared" si="83"/>
        <v>31</v>
      </c>
      <c r="E1959" s="136">
        <f t="shared" si="84"/>
        <v>1</v>
      </c>
      <c r="F1959" s="128" t="s">
        <v>24</v>
      </c>
      <c r="G1959" s="128" t="str">
        <f>VLOOKUP(source[[#This Row],[lending_product_transform]],[3]Mapping!$B$4:$C$37,2,0)</f>
        <v>[Cake] - Cashloan</v>
      </c>
      <c r="H1959" s="128" t="str">
        <f>VLOOKUP(source[[#This Row],[lending_product_transform]],[3]Mapping!$B$3:$D$37,3,0)</f>
        <v>cashloan</v>
      </c>
      <c r="I1959" s="135">
        <v>4942760000</v>
      </c>
    </row>
    <row r="1960" spans="1:9" x14ac:dyDescent="0.2">
      <c r="A1960" s="134">
        <v>45505</v>
      </c>
      <c r="B1960" s="135">
        <f>YEAR(source[[#This Row],[report_date]])</f>
        <v>2024</v>
      </c>
      <c r="C1960" s="128">
        <v>8</v>
      </c>
      <c r="D1960" s="136">
        <f t="shared" si="83"/>
        <v>31</v>
      </c>
      <c r="E1960" s="136">
        <f t="shared" si="84"/>
        <v>1</v>
      </c>
      <c r="F1960" s="128" t="s">
        <v>24</v>
      </c>
      <c r="G1960" s="128" t="str">
        <f>VLOOKUP(source[[#This Row],[lending_product_transform]],[3]Mapping!$B$4:$C$37,2,0)</f>
        <v>[Cake] - Cashloan</v>
      </c>
      <c r="H1960" s="128" t="str">
        <f>VLOOKUP(source[[#This Row],[lending_product_transform]],[3]Mapping!$B$3:$D$37,3,0)</f>
        <v>cashloan</v>
      </c>
      <c r="I1960" s="135">
        <v>2054140000</v>
      </c>
    </row>
    <row r="1961" spans="1:9" x14ac:dyDescent="0.2">
      <c r="A1961" s="134">
        <v>45505</v>
      </c>
      <c r="B1961" s="135">
        <f>YEAR(source[[#This Row],[report_date]])</f>
        <v>2024</v>
      </c>
      <c r="C1961" s="128">
        <v>8</v>
      </c>
      <c r="D1961" s="136">
        <f t="shared" si="83"/>
        <v>31</v>
      </c>
      <c r="E1961" s="136">
        <f t="shared" si="84"/>
        <v>1</v>
      </c>
      <c r="F1961" s="128" t="s">
        <v>24</v>
      </c>
      <c r="G1961" s="128" t="str">
        <f>VLOOKUP(source[[#This Row],[lending_product_transform]],[3]Mapping!$B$4:$C$37,2,0)</f>
        <v>[Cake] - Cashloan</v>
      </c>
      <c r="H1961" s="128" t="str">
        <f>VLOOKUP(source[[#This Row],[lending_product_transform]],[3]Mapping!$B$3:$D$37,3,0)</f>
        <v>cashloan</v>
      </c>
      <c r="I1961" s="135">
        <v>4448879712</v>
      </c>
    </row>
    <row r="1962" spans="1:9" x14ac:dyDescent="0.2">
      <c r="A1962" s="134">
        <v>45505</v>
      </c>
      <c r="B1962" s="135">
        <f>YEAR(source[[#This Row],[report_date]])</f>
        <v>2024</v>
      </c>
      <c r="C1962" s="128">
        <v>8</v>
      </c>
      <c r="D1962" s="136">
        <f t="shared" si="83"/>
        <v>31</v>
      </c>
      <c r="E1962" s="136">
        <f t="shared" si="84"/>
        <v>1</v>
      </c>
      <c r="F1962" s="128" t="s">
        <v>24</v>
      </c>
      <c r="G1962" s="128" t="str">
        <f>VLOOKUP(source[[#This Row],[lending_product_transform]],[3]Mapping!$B$4:$C$37,2,0)</f>
        <v>[Cake] - Cashloan</v>
      </c>
      <c r="H1962" s="128" t="str">
        <f>VLOOKUP(source[[#This Row],[lending_product_transform]],[3]Mapping!$B$3:$D$37,3,0)</f>
        <v>cashloan</v>
      </c>
      <c r="I1962" s="135">
        <v>59000000</v>
      </c>
    </row>
    <row r="1963" spans="1:9" x14ac:dyDescent="0.2">
      <c r="A1963" s="134">
        <v>45505</v>
      </c>
      <c r="B1963" s="135">
        <f>YEAR(source[[#This Row],[report_date]])</f>
        <v>2024</v>
      </c>
      <c r="C1963" s="128">
        <v>8</v>
      </c>
      <c r="D1963" s="136">
        <f t="shared" si="83"/>
        <v>31</v>
      </c>
      <c r="E1963" s="136">
        <f t="shared" si="84"/>
        <v>1</v>
      </c>
      <c r="F1963" s="128" t="s">
        <v>24</v>
      </c>
      <c r="G1963" s="128" t="str">
        <f>VLOOKUP(source[[#This Row],[lending_product_transform]],[3]Mapping!$B$4:$C$37,2,0)</f>
        <v>[Cake] - Cashloan</v>
      </c>
      <c r="H1963" s="128" t="str">
        <f>VLOOKUP(source[[#This Row],[lending_product_transform]],[3]Mapping!$B$3:$D$37,3,0)</f>
        <v>cashloan</v>
      </c>
      <c r="I1963" s="135">
        <v>24879383</v>
      </c>
    </row>
    <row r="1964" spans="1:9" x14ac:dyDescent="0.2">
      <c r="A1964" s="134">
        <v>45505</v>
      </c>
      <c r="B1964" s="135">
        <f>YEAR(source[[#This Row],[report_date]])</f>
        <v>2024</v>
      </c>
      <c r="C1964" s="128">
        <v>8</v>
      </c>
      <c r="D1964" s="136">
        <f t="shared" si="83"/>
        <v>31</v>
      </c>
      <c r="E1964" s="136">
        <f t="shared" si="84"/>
        <v>1</v>
      </c>
      <c r="F1964" s="128" t="s">
        <v>24</v>
      </c>
      <c r="G1964" s="128" t="str">
        <f>VLOOKUP(source[[#This Row],[lending_product_transform]],[3]Mapping!$B$4:$C$37,2,0)</f>
        <v>[Cake] - Cashloan</v>
      </c>
      <c r="H1964" s="128" t="str">
        <f>VLOOKUP(source[[#This Row],[lending_product_transform]],[3]Mapping!$B$3:$D$37,3,0)</f>
        <v>cashloan</v>
      </c>
      <c r="I1964" s="135">
        <v>221550000</v>
      </c>
    </row>
    <row r="1965" spans="1:9" x14ac:dyDescent="0.2">
      <c r="A1965" s="134">
        <v>45505</v>
      </c>
      <c r="B1965" s="135">
        <f>YEAR(source[[#This Row],[report_date]])</f>
        <v>2024</v>
      </c>
      <c r="C1965" s="128">
        <v>8</v>
      </c>
      <c r="D1965" s="136">
        <f t="shared" si="83"/>
        <v>31</v>
      </c>
      <c r="E1965" s="136">
        <f t="shared" si="84"/>
        <v>1</v>
      </c>
      <c r="F1965" s="128" t="s">
        <v>24</v>
      </c>
      <c r="G1965" s="128" t="str">
        <f>VLOOKUP(source[[#This Row],[lending_product_transform]],[3]Mapping!$B$4:$C$37,2,0)</f>
        <v>[Cake] - Cashloan</v>
      </c>
      <c r="H1965" s="128" t="str">
        <f>VLOOKUP(source[[#This Row],[lending_product_transform]],[3]Mapping!$B$3:$D$37,3,0)</f>
        <v>cashloan</v>
      </c>
      <c r="I1965" s="135">
        <v>36380000</v>
      </c>
    </row>
    <row r="1966" spans="1:9" x14ac:dyDescent="0.2">
      <c r="A1966" s="134">
        <v>45505</v>
      </c>
      <c r="B1966" s="135">
        <f>YEAR(source[[#This Row],[report_date]])</f>
        <v>2024</v>
      </c>
      <c r="C1966" s="128">
        <v>8</v>
      </c>
      <c r="D1966" s="136">
        <f t="shared" si="83"/>
        <v>31</v>
      </c>
      <c r="E1966" s="136">
        <f t="shared" si="84"/>
        <v>1</v>
      </c>
      <c r="F1966" s="128" t="s">
        <v>24</v>
      </c>
      <c r="G1966" s="128" t="str">
        <f>VLOOKUP(source[[#This Row],[lending_product_transform]],[3]Mapping!$B$4:$C$37,2,0)</f>
        <v>[Cake] - Cashloan</v>
      </c>
      <c r="H1966" s="128" t="str">
        <f>VLOOKUP(source[[#This Row],[lending_product_transform]],[3]Mapping!$B$3:$D$37,3,0)</f>
        <v>cashloan</v>
      </c>
      <c r="I1966" s="135">
        <v>0</v>
      </c>
    </row>
    <row r="1967" spans="1:9" x14ac:dyDescent="0.2">
      <c r="A1967" s="134">
        <v>45505</v>
      </c>
      <c r="B1967" s="135">
        <f>YEAR(source[[#This Row],[report_date]])</f>
        <v>2024</v>
      </c>
      <c r="C1967" s="128">
        <v>8</v>
      </c>
      <c r="D1967" s="136">
        <f t="shared" si="83"/>
        <v>31</v>
      </c>
      <c r="E1967" s="136">
        <f t="shared" si="84"/>
        <v>1</v>
      </c>
      <c r="F1967" s="128" t="s">
        <v>24</v>
      </c>
      <c r="G1967" s="128" t="str">
        <f>VLOOKUP(source[[#This Row],[lending_product_transform]],[3]Mapping!$B$4:$C$37,2,0)</f>
        <v>[Cake] - Cashloan</v>
      </c>
      <c r="H1967" s="128" t="str">
        <f>VLOOKUP(source[[#This Row],[lending_product_transform]],[3]Mapping!$B$3:$D$37,3,0)</f>
        <v>cashloan</v>
      </c>
      <c r="I1967" s="135">
        <v>62250000</v>
      </c>
    </row>
    <row r="1968" spans="1:9" x14ac:dyDescent="0.2">
      <c r="A1968" s="134">
        <v>45505</v>
      </c>
      <c r="B1968" s="135">
        <f>YEAR(source[[#This Row],[report_date]])</f>
        <v>2024</v>
      </c>
      <c r="C1968" s="128">
        <v>8</v>
      </c>
      <c r="D1968" s="136">
        <f t="shared" si="83"/>
        <v>31</v>
      </c>
      <c r="E1968" s="136">
        <f t="shared" si="84"/>
        <v>1</v>
      </c>
      <c r="F1968" s="128" t="s">
        <v>24</v>
      </c>
      <c r="G1968" s="128" t="str">
        <f>VLOOKUP(source[[#This Row],[lending_product_transform]],[3]Mapping!$B$4:$C$37,2,0)</f>
        <v>[Cake] - Cashloan</v>
      </c>
      <c r="H1968" s="128" t="str">
        <f>VLOOKUP(source[[#This Row],[lending_product_transform]],[3]Mapping!$B$3:$D$37,3,0)</f>
        <v>cashloan</v>
      </c>
      <c r="I1968" s="135">
        <v>176086012</v>
      </c>
    </row>
    <row r="1969" spans="1:9" x14ac:dyDescent="0.2">
      <c r="A1969" s="134">
        <v>45506</v>
      </c>
      <c r="B1969" s="135">
        <f>YEAR(source[[#This Row],[report_date]])</f>
        <v>2024</v>
      </c>
      <c r="C1969" s="128">
        <v>8</v>
      </c>
      <c r="D1969" s="136">
        <f t="shared" si="83"/>
        <v>31</v>
      </c>
      <c r="E1969" s="136">
        <f t="shared" si="84"/>
        <v>2</v>
      </c>
      <c r="F1969" s="128" t="s">
        <v>24</v>
      </c>
      <c r="G1969" s="128" t="str">
        <f>VLOOKUP(source[[#This Row],[lending_product_transform]],[3]Mapping!$B$4:$C$37,2,0)</f>
        <v>[Cake] - Cashloan</v>
      </c>
      <c r="H1969" s="128" t="str">
        <f>VLOOKUP(source[[#This Row],[lending_product_transform]],[3]Mapping!$B$3:$D$37,3,0)</f>
        <v>cashloan</v>
      </c>
      <c r="I1969" s="135">
        <v>2188530000</v>
      </c>
    </row>
    <row r="1970" spans="1:9" x14ac:dyDescent="0.2">
      <c r="A1970" s="134">
        <v>45506</v>
      </c>
      <c r="B1970" s="135">
        <f>YEAR(source[[#This Row],[report_date]])</f>
        <v>2024</v>
      </c>
      <c r="C1970" s="128">
        <v>8</v>
      </c>
      <c r="D1970" s="136">
        <f t="shared" si="83"/>
        <v>31</v>
      </c>
      <c r="E1970" s="136">
        <f t="shared" si="84"/>
        <v>2</v>
      </c>
      <c r="F1970" s="128" t="s">
        <v>24</v>
      </c>
      <c r="G1970" s="128" t="str">
        <f>VLOOKUP(source[[#This Row],[lending_product_transform]],[3]Mapping!$B$4:$C$37,2,0)</f>
        <v>[Cake] - Cashloan</v>
      </c>
      <c r="H1970" s="128" t="str">
        <f>VLOOKUP(source[[#This Row],[lending_product_transform]],[3]Mapping!$B$3:$D$37,3,0)</f>
        <v>cashloan</v>
      </c>
      <c r="I1970" s="135">
        <v>0</v>
      </c>
    </row>
    <row r="1971" spans="1:9" x14ac:dyDescent="0.2">
      <c r="A1971" s="134">
        <v>45506</v>
      </c>
      <c r="B1971" s="135">
        <f>YEAR(source[[#This Row],[report_date]])</f>
        <v>2024</v>
      </c>
      <c r="C1971" s="128">
        <v>8</v>
      </c>
      <c r="D1971" s="136">
        <f t="shared" si="83"/>
        <v>31</v>
      </c>
      <c r="E1971" s="136">
        <f t="shared" si="84"/>
        <v>2</v>
      </c>
      <c r="F1971" s="128" t="s">
        <v>24</v>
      </c>
      <c r="G1971" s="128" t="str">
        <f>VLOOKUP(source[[#This Row],[lending_product_transform]],[3]Mapping!$B$4:$C$37,2,0)</f>
        <v>[Cake] - Cashloan</v>
      </c>
      <c r="H1971" s="128" t="str">
        <f>VLOOKUP(source[[#This Row],[lending_product_transform]],[3]Mapping!$B$3:$D$37,3,0)</f>
        <v>cashloan</v>
      </c>
      <c r="I1971" s="135">
        <v>4863960000</v>
      </c>
    </row>
    <row r="1972" spans="1:9" x14ac:dyDescent="0.2">
      <c r="A1972" s="134">
        <v>45506</v>
      </c>
      <c r="B1972" s="135">
        <f>YEAR(source[[#This Row],[report_date]])</f>
        <v>2024</v>
      </c>
      <c r="C1972" s="128">
        <v>8</v>
      </c>
      <c r="D1972" s="136">
        <f t="shared" si="83"/>
        <v>31</v>
      </c>
      <c r="E1972" s="136">
        <f t="shared" si="84"/>
        <v>2</v>
      </c>
      <c r="F1972" s="128" t="s">
        <v>24</v>
      </c>
      <c r="G1972" s="128" t="str">
        <f>VLOOKUP(source[[#This Row],[lending_product_transform]],[3]Mapping!$B$4:$C$37,2,0)</f>
        <v>[Cake] - Cashloan</v>
      </c>
      <c r="H1972" s="128" t="str">
        <f>VLOOKUP(source[[#This Row],[lending_product_transform]],[3]Mapping!$B$3:$D$37,3,0)</f>
        <v>cashloan</v>
      </c>
      <c r="I1972" s="135">
        <v>26000000</v>
      </c>
    </row>
    <row r="1973" spans="1:9" x14ac:dyDescent="0.2">
      <c r="A1973" s="134">
        <v>45506</v>
      </c>
      <c r="B1973" s="135">
        <f>YEAR(source[[#This Row],[report_date]])</f>
        <v>2024</v>
      </c>
      <c r="C1973" s="128">
        <v>8</v>
      </c>
      <c r="D1973" s="136">
        <f t="shared" si="83"/>
        <v>31</v>
      </c>
      <c r="E1973" s="136">
        <f t="shared" si="84"/>
        <v>2</v>
      </c>
      <c r="F1973" s="128" t="s">
        <v>24</v>
      </c>
      <c r="G1973" s="128" t="str">
        <f>VLOOKUP(source[[#This Row],[lending_product_transform]],[3]Mapping!$B$4:$C$37,2,0)</f>
        <v>[Cake] - Cashloan</v>
      </c>
      <c r="H1973" s="128" t="str">
        <f>VLOOKUP(source[[#This Row],[lending_product_transform]],[3]Mapping!$B$3:$D$37,3,0)</f>
        <v>cashloan</v>
      </c>
      <c r="I1973" s="135">
        <v>3765035529</v>
      </c>
    </row>
    <row r="1974" spans="1:9" x14ac:dyDescent="0.2">
      <c r="A1974" s="134">
        <v>45506</v>
      </c>
      <c r="B1974" s="135">
        <f>YEAR(source[[#This Row],[report_date]])</f>
        <v>2024</v>
      </c>
      <c r="C1974" s="128">
        <v>8</v>
      </c>
      <c r="D1974" s="136">
        <f t="shared" si="83"/>
        <v>31</v>
      </c>
      <c r="E1974" s="136">
        <f t="shared" si="84"/>
        <v>2</v>
      </c>
      <c r="F1974" s="128" t="s">
        <v>24</v>
      </c>
      <c r="G1974" s="128" t="str">
        <f>VLOOKUP(source[[#This Row],[lending_product_transform]],[3]Mapping!$B$4:$C$37,2,0)</f>
        <v>[Cake] - Cashloan</v>
      </c>
      <c r="H1974" s="128" t="str">
        <f>VLOOKUP(source[[#This Row],[lending_product_transform]],[3]Mapping!$B$3:$D$37,3,0)</f>
        <v>cashloan</v>
      </c>
      <c r="I1974" s="135">
        <v>1742260000</v>
      </c>
    </row>
    <row r="1975" spans="1:9" x14ac:dyDescent="0.2">
      <c r="A1975" s="134">
        <v>45506</v>
      </c>
      <c r="B1975" s="135">
        <f>YEAR(source[[#This Row],[report_date]])</f>
        <v>2024</v>
      </c>
      <c r="C1975" s="128">
        <v>8</v>
      </c>
      <c r="D1975" s="136">
        <f t="shared" si="83"/>
        <v>31</v>
      </c>
      <c r="E1975" s="136">
        <f t="shared" si="84"/>
        <v>2</v>
      </c>
      <c r="F1975" s="128" t="s">
        <v>24</v>
      </c>
      <c r="G1975" s="128" t="str">
        <f>VLOOKUP(source[[#This Row],[lending_product_transform]],[3]Mapping!$B$4:$C$37,2,0)</f>
        <v>[Cake] - Cashloan</v>
      </c>
      <c r="H1975" s="128" t="str">
        <f>VLOOKUP(source[[#This Row],[lending_product_transform]],[3]Mapping!$B$3:$D$37,3,0)</f>
        <v>cashloan</v>
      </c>
      <c r="I1975" s="135">
        <v>41500000</v>
      </c>
    </row>
    <row r="1976" spans="1:9" x14ac:dyDescent="0.2">
      <c r="A1976" s="134">
        <v>45506</v>
      </c>
      <c r="B1976" s="135">
        <f>YEAR(source[[#This Row],[report_date]])</f>
        <v>2024</v>
      </c>
      <c r="C1976" s="128">
        <v>8</v>
      </c>
      <c r="D1976" s="136">
        <f t="shared" si="83"/>
        <v>31</v>
      </c>
      <c r="E1976" s="136">
        <f t="shared" si="84"/>
        <v>2</v>
      </c>
      <c r="F1976" s="128" t="s">
        <v>24</v>
      </c>
      <c r="G1976" s="128" t="str">
        <f>VLOOKUP(source[[#This Row],[lending_product_transform]],[3]Mapping!$B$4:$C$37,2,0)</f>
        <v>[Cake] - Cashloan</v>
      </c>
      <c r="H1976" s="128" t="str">
        <f>VLOOKUP(source[[#This Row],[lending_product_transform]],[3]Mapping!$B$3:$D$37,3,0)</f>
        <v>cashloan</v>
      </c>
      <c r="I1976" s="135">
        <v>24420000</v>
      </c>
    </row>
    <row r="1977" spans="1:9" x14ac:dyDescent="0.2">
      <c r="A1977" s="134">
        <v>45506</v>
      </c>
      <c r="B1977" s="135">
        <f>YEAR(source[[#This Row],[report_date]])</f>
        <v>2024</v>
      </c>
      <c r="C1977" s="128">
        <v>8</v>
      </c>
      <c r="D1977" s="136">
        <f t="shared" si="83"/>
        <v>31</v>
      </c>
      <c r="E1977" s="136">
        <f t="shared" si="84"/>
        <v>2</v>
      </c>
      <c r="F1977" s="128" t="s">
        <v>24</v>
      </c>
      <c r="G1977" s="128" t="str">
        <f>VLOOKUP(source[[#This Row],[lending_product_transform]],[3]Mapping!$B$4:$C$37,2,0)</f>
        <v>[Cake] - Cashloan</v>
      </c>
      <c r="H1977" s="128" t="str">
        <f>VLOOKUP(source[[#This Row],[lending_product_transform]],[3]Mapping!$B$3:$D$37,3,0)</f>
        <v>cashloan</v>
      </c>
      <c r="I1977" s="135">
        <v>88200000</v>
      </c>
    </row>
    <row r="1978" spans="1:9" x14ac:dyDescent="0.2">
      <c r="A1978" s="134">
        <v>45506</v>
      </c>
      <c r="B1978" s="135">
        <f>YEAR(source[[#This Row],[report_date]])</f>
        <v>2024</v>
      </c>
      <c r="C1978" s="128">
        <v>8</v>
      </c>
      <c r="D1978" s="136">
        <f t="shared" si="83"/>
        <v>31</v>
      </c>
      <c r="E1978" s="136">
        <f t="shared" si="84"/>
        <v>2</v>
      </c>
      <c r="F1978" s="128" t="s">
        <v>24</v>
      </c>
      <c r="G1978" s="128" t="str">
        <f>VLOOKUP(source[[#This Row],[lending_product_transform]],[3]Mapping!$B$4:$C$37,2,0)</f>
        <v>[Cake] - Cashloan</v>
      </c>
      <c r="H1978" s="128" t="str">
        <f>VLOOKUP(source[[#This Row],[lending_product_transform]],[3]Mapping!$B$3:$D$37,3,0)</f>
        <v>cashloan</v>
      </c>
      <c r="I1978" s="135">
        <v>4106000000</v>
      </c>
    </row>
    <row r="1979" spans="1:9" x14ac:dyDescent="0.2">
      <c r="A1979" s="134">
        <v>45506</v>
      </c>
      <c r="B1979" s="135">
        <f>YEAR(source[[#This Row],[report_date]])</f>
        <v>2024</v>
      </c>
      <c r="C1979" s="128">
        <v>8</v>
      </c>
      <c r="D1979" s="136">
        <f t="shared" si="83"/>
        <v>31</v>
      </c>
      <c r="E1979" s="136">
        <f t="shared" si="84"/>
        <v>2</v>
      </c>
      <c r="F1979" s="128" t="s">
        <v>24</v>
      </c>
      <c r="G1979" s="128" t="str">
        <f>VLOOKUP(source[[#This Row],[lending_product_transform]],[3]Mapping!$B$4:$C$37,2,0)</f>
        <v>[Cake] - Cashloan</v>
      </c>
      <c r="H1979" s="128" t="str">
        <f>VLOOKUP(source[[#This Row],[lending_product_transform]],[3]Mapping!$B$3:$D$37,3,0)</f>
        <v>cashloan</v>
      </c>
      <c r="I1979" s="135">
        <v>30846700</v>
      </c>
    </row>
    <row r="1980" spans="1:9" x14ac:dyDescent="0.2">
      <c r="A1980" s="134">
        <v>45506</v>
      </c>
      <c r="B1980" s="135">
        <f>YEAR(source[[#This Row],[report_date]])</f>
        <v>2024</v>
      </c>
      <c r="C1980" s="128">
        <v>8</v>
      </c>
      <c r="D1980" s="136">
        <f t="shared" si="83"/>
        <v>31</v>
      </c>
      <c r="E1980" s="136">
        <f t="shared" si="84"/>
        <v>2</v>
      </c>
      <c r="F1980" s="128" t="s">
        <v>24</v>
      </c>
      <c r="G1980" s="128" t="str">
        <f>VLOOKUP(source[[#This Row],[lending_product_transform]],[3]Mapping!$B$4:$C$37,2,0)</f>
        <v>[Cake] - Cashloan</v>
      </c>
      <c r="H1980" s="128" t="str">
        <f>VLOOKUP(source[[#This Row],[lending_product_transform]],[3]Mapping!$B$3:$D$37,3,0)</f>
        <v>cashloan</v>
      </c>
      <c r="I1980" s="135">
        <v>3896000000</v>
      </c>
    </row>
    <row r="1981" spans="1:9" x14ac:dyDescent="0.2">
      <c r="A1981" s="134">
        <v>45506</v>
      </c>
      <c r="B1981" s="135">
        <f>YEAR(source[[#This Row],[report_date]])</f>
        <v>2024</v>
      </c>
      <c r="C1981" s="128">
        <v>8</v>
      </c>
      <c r="D1981" s="136">
        <f t="shared" si="83"/>
        <v>31</v>
      </c>
      <c r="E1981" s="136">
        <f t="shared" si="84"/>
        <v>2</v>
      </c>
      <c r="F1981" s="128" t="s">
        <v>24</v>
      </c>
      <c r="G1981" s="128" t="str">
        <f>VLOOKUP(source[[#This Row],[lending_product_transform]],[3]Mapping!$B$4:$C$37,2,0)</f>
        <v>[Cake] - Cashloan</v>
      </c>
      <c r="H1981" s="128" t="str">
        <f>VLOOKUP(source[[#This Row],[lending_product_transform]],[3]Mapping!$B$3:$D$37,3,0)</f>
        <v>cashloan</v>
      </c>
      <c r="I1981" s="135">
        <v>217104708</v>
      </c>
    </row>
    <row r="1982" spans="1:9" x14ac:dyDescent="0.2">
      <c r="A1982" s="134">
        <v>45507</v>
      </c>
      <c r="B1982" s="135">
        <f>YEAR(source[[#This Row],[report_date]])</f>
        <v>2024</v>
      </c>
      <c r="C1982" s="128">
        <v>8</v>
      </c>
      <c r="D1982" s="136">
        <f t="shared" si="83"/>
        <v>31</v>
      </c>
      <c r="E1982" s="136">
        <f t="shared" si="84"/>
        <v>3</v>
      </c>
      <c r="F1982" s="128" t="s">
        <v>24</v>
      </c>
      <c r="G1982" s="128" t="str">
        <f>VLOOKUP(source[[#This Row],[lending_product_transform]],[3]Mapping!$B$4:$C$37,2,0)</f>
        <v>[Cake] - Cashloan</v>
      </c>
      <c r="H1982" s="128" t="str">
        <f>VLOOKUP(source[[#This Row],[lending_product_transform]],[3]Mapping!$B$3:$D$37,3,0)</f>
        <v>cashloan</v>
      </c>
      <c r="I1982" s="135">
        <v>54000000</v>
      </c>
    </row>
    <row r="1983" spans="1:9" x14ac:dyDescent="0.2">
      <c r="A1983" s="134">
        <v>45507</v>
      </c>
      <c r="B1983" s="135">
        <f>YEAR(source[[#This Row],[report_date]])</f>
        <v>2024</v>
      </c>
      <c r="C1983" s="128">
        <v>8</v>
      </c>
      <c r="D1983" s="136">
        <f t="shared" si="83"/>
        <v>31</v>
      </c>
      <c r="E1983" s="136">
        <f t="shared" si="84"/>
        <v>3</v>
      </c>
      <c r="F1983" s="128" t="s">
        <v>24</v>
      </c>
      <c r="G1983" s="128" t="str">
        <f>VLOOKUP(source[[#This Row],[lending_product_transform]],[3]Mapping!$B$4:$C$37,2,0)</f>
        <v>[Cake] - Cashloan</v>
      </c>
      <c r="H1983" s="128" t="str">
        <f>VLOOKUP(source[[#This Row],[lending_product_transform]],[3]Mapping!$B$3:$D$37,3,0)</f>
        <v>cashloan</v>
      </c>
      <c r="I1983" s="135">
        <v>86100000</v>
      </c>
    </row>
    <row r="1984" spans="1:9" x14ac:dyDescent="0.2">
      <c r="A1984" s="134">
        <v>45507</v>
      </c>
      <c r="B1984" s="135">
        <f>YEAR(source[[#This Row],[report_date]])</f>
        <v>2024</v>
      </c>
      <c r="C1984" s="128">
        <v>8</v>
      </c>
      <c r="D1984" s="136">
        <f t="shared" si="83"/>
        <v>31</v>
      </c>
      <c r="E1984" s="136">
        <f t="shared" si="84"/>
        <v>3</v>
      </c>
      <c r="F1984" s="128" t="s">
        <v>24</v>
      </c>
      <c r="G1984" s="128" t="str">
        <f>VLOOKUP(source[[#This Row],[lending_product_transform]],[3]Mapping!$B$4:$C$37,2,0)</f>
        <v>[Cake] - Cashloan</v>
      </c>
      <c r="H1984" s="128" t="str">
        <f>VLOOKUP(source[[#This Row],[lending_product_transform]],[3]Mapping!$B$3:$D$37,3,0)</f>
        <v>cashloan</v>
      </c>
      <c r="I1984" s="135">
        <v>32833051</v>
      </c>
    </row>
    <row r="1985" spans="1:9" x14ac:dyDescent="0.2">
      <c r="A1985" s="134">
        <v>45507</v>
      </c>
      <c r="B1985" s="135">
        <f>YEAR(source[[#This Row],[report_date]])</f>
        <v>2024</v>
      </c>
      <c r="C1985" s="128">
        <v>8</v>
      </c>
      <c r="D1985" s="136">
        <f t="shared" si="83"/>
        <v>31</v>
      </c>
      <c r="E1985" s="136">
        <f t="shared" si="84"/>
        <v>3</v>
      </c>
      <c r="F1985" s="128" t="s">
        <v>24</v>
      </c>
      <c r="G1985" s="128" t="str">
        <f>VLOOKUP(source[[#This Row],[lending_product_transform]],[3]Mapping!$B$4:$C$37,2,0)</f>
        <v>[Cake] - Cashloan</v>
      </c>
      <c r="H1985" s="128" t="str">
        <f>VLOOKUP(source[[#This Row],[lending_product_transform]],[3]Mapping!$B$3:$D$37,3,0)</f>
        <v>cashloan</v>
      </c>
      <c r="I1985" s="135">
        <v>1512960000</v>
      </c>
    </row>
    <row r="1986" spans="1:9" x14ac:dyDescent="0.2">
      <c r="A1986" s="134">
        <v>45507</v>
      </c>
      <c r="B1986" s="135">
        <f>YEAR(source[[#This Row],[report_date]])</f>
        <v>2024</v>
      </c>
      <c r="C1986" s="128">
        <v>8</v>
      </c>
      <c r="D1986" s="136">
        <f t="shared" si="83"/>
        <v>31</v>
      </c>
      <c r="E1986" s="136">
        <f t="shared" si="84"/>
        <v>3</v>
      </c>
      <c r="F1986" s="128" t="s">
        <v>24</v>
      </c>
      <c r="G1986" s="128" t="str">
        <f>VLOOKUP(source[[#This Row],[lending_product_transform]],[3]Mapping!$B$4:$C$37,2,0)</f>
        <v>[Cake] - Cashloan</v>
      </c>
      <c r="H1986" s="128" t="str">
        <f>VLOOKUP(source[[#This Row],[lending_product_transform]],[3]Mapping!$B$3:$D$37,3,0)</f>
        <v>cashloan</v>
      </c>
      <c r="I1986" s="135">
        <v>42000000</v>
      </c>
    </row>
    <row r="1987" spans="1:9" x14ac:dyDescent="0.2">
      <c r="A1987" s="134">
        <v>45507</v>
      </c>
      <c r="B1987" s="135">
        <f>YEAR(source[[#This Row],[report_date]])</f>
        <v>2024</v>
      </c>
      <c r="C1987" s="128">
        <v>8</v>
      </c>
      <c r="D1987" s="136">
        <f t="shared" ref="D1987:D2050" si="85">WEEKNUM(A1987,2)</f>
        <v>31</v>
      </c>
      <c r="E1987" s="136">
        <f t="shared" ref="E1987:E2050" si="86">DAY(A1987)</f>
        <v>3</v>
      </c>
      <c r="F1987" s="128" t="s">
        <v>24</v>
      </c>
      <c r="G1987" s="128" t="str">
        <f>VLOOKUP(source[[#This Row],[lending_product_transform]],[3]Mapping!$B$4:$C$37,2,0)</f>
        <v>[Cake] - Cashloan</v>
      </c>
      <c r="H1987" s="128" t="str">
        <f>VLOOKUP(source[[#This Row],[lending_product_transform]],[3]Mapping!$B$3:$D$37,3,0)</f>
        <v>cashloan</v>
      </c>
      <c r="I1987" s="135">
        <v>4645030000</v>
      </c>
    </row>
    <row r="1988" spans="1:9" x14ac:dyDescent="0.2">
      <c r="A1988" s="134">
        <v>45507</v>
      </c>
      <c r="B1988" s="135">
        <f>YEAR(source[[#This Row],[report_date]])</f>
        <v>2024</v>
      </c>
      <c r="C1988" s="128">
        <v>8</v>
      </c>
      <c r="D1988" s="136">
        <f t="shared" si="85"/>
        <v>31</v>
      </c>
      <c r="E1988" s="136">
        <f t="shared" si="86"/>
        <v>3</v>
      </c>
      <c r="F1988" s="128" t="s">
        <v>24</v>
      </c>
      <c r="G1988" s="128" t="str">
        <f>VLOOKUP(source[[#This Row],[lending_product_transform]],[3]Mapping!$B$4:$C$37,2,0)</f>
        <v>[Cake] - Cashloan</v>
      </c>
      <c r="H1988" s="128" t="str">
        <f>VLOOKUP(source[[#This Row],[lending_product_transform]],[3]Mapping!$B$3:$D$37,3,0)</f>
        <v>cashloan</v>
      </c>
      <c r="I1988" s="135">
        <v>3013634506</v>
      </c>
    </row>
    <row r="1989" spans="1:9" x14ac:dyDescent="0.2">
      <c r="A1989" s="134">
        <v>45507</v>
      </c>
      <c r="B1989" s="135">
        <f>YEAR(source[[#This Row],[report_date]])</f>
        <v>2024</v>
      </c>
      <c r="C1989" s="128">
        <v>8</v>
      </c>
      <c r="D1989" s="136">
        <f t="shared" si="85"/>
        <v>31</v>
      </c>
      <c r="E1989" s="136">
        <f t="shared" si="86"/>
        <v>3</v>
      </c>
      <c r="F1989" s="128" t="s">
        <v>24</v>
      </c>
      <c r="G1989" s="128" t="str">
        <f>VLOOKUP(source[[#This Row],[lending_product_transform]],[3]Mapping!$B$4:$C$37,2,0)</f>
        <v>[Cake] - Cashloan</v>
      </c>
      <c r="H1989" s="128" t="str">
        <f>VLOOKUP(source[[#This Row],[lending_product_transform]],[3]Mapping!$B$3:$D$37,3,0)</f>
        <v>cashloan</v>
      </c>
      <c r="I1989" s="135">
        <v>0</v>
      </c>
    </row>
    <row r="1990" spans="1:9" x14ac:dyDescent="0.2">
      <c r="A1990" s="134">
        <v>45507</v>
      </c>
      <c r="B1990" s="135">
        <f>YEAR(source[[#This Row],[report_date]])</f>
        <v>2024</v>
      </c>
      <c r="C1990" s="128">
        <v>8</v>
      </c>
      <c r="D1990" s="136">
        <f t="shared" si="85"/>
        <v>31</v>
      </c>
      <c r="E1990" s="136">
        <f t="shared" si="86"/>
        <v>3</v>
      </c>
      <c r="F1990" s="128" t="s">
        <v>24</v>
      </c>
      <c r="G1990" s="128" t="str">
        <f>VLOOKUP(source[[#This Row],[lending_product_transform]],[3]Mapping!$B$4:$C$37,2,0)</f>
        <v>[Cake] - Cashloan</v>
      </c>
      <c r="H1990" s="128" t="str">
        <f>VLOOKUP(source[[#This Row],[lending_product_transform]],[3]Mapping!$B$3:$D$37,3,0)</f>
        <v>cashloan</v>
      </c>
      <c r="I1990" s="135">
        <v>21400000</v>
      </c>
    </row>
    <row r="1991" spans="1:9" x14ac:dyDescent="0.2">
      <c r="A1991" s="134">
        <v>45507</v>
      </c>
      <c r="B1991" s="135">
        <f>YEAR(source[[#This Row],[report_date]])</f>
        <v>2024</v>
      </c>
      <c r="C1991" s="128">
        <v>8</v>
      </c>
      <c r="D1991" s="136">
        <f t="shared" si="85"/>
        <v>31</v>
      </c>
      <c r="E1991" s="136">
        <f t="shared" si="86"/>
        <v>3</v>
      </c>
      <c r="F1991" s="128" t="s">
        <v>24</v>
      </c>
      <c r="G1991" s="128" t="str">
        <f>VLOOKUP(source[[#This Row],[lending_product_transform]],[3]Mapping!$B$4:$C$37,2,0)</f>
        <v>[Cake] - Cashloan</v>
      </c>
      <c r="H1991" s="128" t="str">
        <f>VLOOKUP(source[[#This Row],[lending_product_transform]],[3]Mapping!$B$3:$D$37,3,0)</f>
        <v>cashloan</v>
      </c>
      <c r="I1991" s="135">
        <v>1432560000</v>
      </c>
    </row>
    <row r="1992" spans="1:9" x14ac:dyDescent="0.2">
      <c r="A1992" s="134">
        <v>45508</v>
      </c>
      <c r="B1992" s="135">
        <f>YEAR(source[[#This Row],[report_date]])</f>
        <v>2024</v>
      </c>
      <c r="C1992" s="128">
        <v>8</v>
      </c>
      <c r="D1992" s="136">
        <f t="shared" si="85"/>
        <v>31</v>
      </c>
      <c r="E1992" s="136">
        <f t="shared" si="86"/>
        <v>4</v>
      </c>
      <c r="F1992" s="128" t="s">
        <v>24</v>
      </c>
      <c r="G1992" s="128" t="str">
        <f>VLOOKUP(source[[#This Row],[lending_product_transform]],[3]Mapping!$B$4:$C$37,2,0)</f>
        <v>[Cake] - Cashloan</v>
      </c>
      <c r="H1992" s="128" t="str">
        <f>VLOOKUP(source[[#This Row],[lending_product_transform]],[3]Mapping!$B$3:$D$37,3,0)</f>
        <v>cashloan</v>
      </c>
      <c r="I1992" s="135">
        <v>42800000</v>
      </c>
    </row>
    <row r="1993" spans="1:9" x14ac:dyDescent="0.2">
      <c r="A1993" s="134">
        <v>45508</v>
      </c>
      <c r="B1993" s="135">
        <f>YEAR(source[[#This Row],[report_date]])</f>
        <v>2024</v>
      </c>
      <c r="C1993" s="128">
        <v>8</v>
      </c>
      <c r="D1993" s="136">
        <f t="shared" si="85"/>
        <v>31</v>
      </c>
      <c r="E1993" s="136">
        <f t="shared" si="86"/>
        <v>4</v>
      </c>
      <c r="F1993" s="128" t="s">
        <v>24</v>
      </c>
      <c r="G1993" s="128" t="str">
        <f>VLOOKUP(source[[#This Row],[lending_product_transform]],[3]Mapping!$B$4:$C$37,2,0)</f>
        <v>[Cake] - Cashloan</v>
      </c>
      <c r="H1993" s="128" t="str">
        <f>VLOOKUP(source[[#This Row],[lending_product_transform]],[3]Mapping!$B$3:$D$37,3,0)</f>
        <v>cashloan</v>
      </c>
      <c r="I1993" s="135">
        <v>40069797</v>
      </c>
    </row>
    <row r="1994" spans="1:9" x14ac:dyDescent="0.2">
      <c r="A1994" s="134">
        <v>45508</v>
      </c>
      <c r="B1994" s="135">
        <f>YEAR(source[[#This Row],[report_date]])</f>
        <v>2024</v>
      </c>
      <c r="C1994" s="128">
        <v>8</v>
      </c>
      <c r="D1994" s="136">
        <f t="shared" si="85"/>
        <v>31</v>
      </c>
      <c r="E1994" s="136">
        <f t="shared" si="86"/>
        <v>4</v>
      </c>
      <c r="F1994" s="128" t="s">
        <v>24</v>
      </c>
      <c r="G1994" s="128" t="str">
        <f>VLOOKUP(source[[#This Row],[lending_product_transform]],[3]Mapping!$B$4:$C$37,2,0)</f>
        <v>[Cake] - Cashloan</v>
      </c>
      <c r="H1994" s="128" t="str">
        <f>VLOOKUP(source[[#This Row],[lending_product_transform]],[3]Mapping!$B$3:$D$37,3,0)</f>
        <v>cashloan</v>
      </c>
      <c r="I1994" s="135">
        <v>0</v>
      </c>
    </row>
    <row r="1995" spans="1:9" x14ac:dyDescent="0.2">
      <c r="A1995" s="134">
        <v>45508</v>
      </c>
      <c r="B1995" s="135">
        <f>YEAR(source[[#This Row],[report_date]])</f>
        <v>2024</v>
      </c>
      <c r="C1995" s="128">
        <v>8</v>
      </c>
      <c r="D1995" s="136">
        <f t="shared" si="85"/>
        <v>31</v>
      </c>
      <c r="E1995" s="136">
        <f t="shared" si="86"/>
        <v>4</v>
      </c>
      <c r="F1995" s="128" t="s">
        <v>24</v>
      </c>
      <c r="G1995" s="128" t="str">
        <f>VLOOKUP(source[[#This Row],[lending_product_transform]],[3]Mapping!$B$4:$C$37,2,0)</f>
        <v>[Cake] - Cashloan</v>
      </c>
      <c r="H1995" s="128" t="str">
        <f>VLOOKUP(source[[#This Row],[lending_product_transform]],[3]Mapping!$B$3:$D$37,3,0)</f>
        <v>cashloan</v>
      </c>
      <c r="I1995" s="135">
        <v>152200000</v>
      </c>
    </row>
    <row r="1996" spans="1:9" x14ac:dyDescent="0.2">
      <c r="A1996" s="134">
        <v>45508</v>
      </c>
      <c r="B1996" s="135">
        <f>YEAR(source[[#This Row],[report_date]])</f>
        <v>2024</v>
      </c>
      <c r="C1996" s="128">
        <v>8</v>
      </c>
      <c r="D1996" s="136">
        <f t="shared" si="85"/>
        <v>31</v>
      </c>
      <c r="E1996" s="136">
        <f t="shared" si="86"/>
        <v>4</v>
      </c>
      <c r="F1996" s="128" t="s">
        <v>24</v>
      </c>
      <c r="G1996" s="128" t="str">
        <f>VLOOKUP(source[[#This Row],[lending_product_transform]],[3]Mapping!$B$4:$C$37,2,0)</f>
        <v>[Cake] - Cashloan</v>
      </c>
      <c r="H1996" s="128" t="str">
        <f>VLOOKUP(source[[#This Row],[lending_product_transform]],[3]Mapping!$B$3:$D$37,3,0)</f>
        <v>cashloan</v>
      </c>
      <c r="I1996" s="135">
        <v>346103560</v>
      </c>
    </row>
    <row r="1997" spans="1:9" x14ac:dyDescent="0.2">
      <c r="A1997" s="134">
        <v>45508</v>
      </c>
      <c r="B1997" s="135">
        <f>YEAR(source[[#This Row],[report_date]])</f>
        <v>2024</v>
      </c>
      <c r="C1997" s="128">
        <v>8</v>
      </c>
      <c r="D1997" s="136">
        <f t="shared" si="85"/>
        <v>31</v>
      </c>
      <c r="E1997" s="136">
        <f t="shared" si="86"/>
        <v>4</v>
      </c>
      <c r="F1997" s="128" t="s">
        <v>24</v>
      </c>
      <c r="G1997" s="128" t="str">
        <f>VLOOKUP(source[[#This Row],[lending_product_transform]],[3]Mapping!$B$4:$C$37,2,0)</f>
        <v>[Cake] - Cashloan</v>
      </c>
      <c r="H1997" s="128" t="str">
        <f>VLOOKUP(source[[#This Row],[lending_product_transform]],[3]Mapping!$B$3:$D$37,3,0)</f>
        <v>cashloan</v>
      </c>
      <c r="I1997" s="135">
        <v>481150000</v>
      </c>
    </row>
    <row r="1998" spans="1:9" x14ac:dyDescent="0.2">
      <c r="A1998" s="134">
        <v>45508</v>
      </c>
      <c r="B1998" s="135">
        <f>YEAR(source[[#This Row],[report_date]])</f>
        <v>2024</v>
      </c>
      <c r="C1998" s="128">
        <v>8</v>
      </c>
      <c r="D1998" s="136">
        <f t="shared" si="85"/>
        <v>31</v>
      </c>
      <c r="E1998" s="136">
        <f t="shared" si="86"/>
        <v>4</v>
      </c>
      <c r="F1998" s="128" t="s">
        <v>24</v>
      </c>
      <c r="G1998" s="128" t="str">
        <f>VLOOKUP(source[[#This Row],[lending_product_transform]],[3]Mapping!$B$4:$C$37,2,0)</f>
        <v>[Cake] - Cashloan</v>
      </c>
      <c r="H1998" s="128" t="str">
        <f>VLOOKUP(source[[#This Row],[lending_product_transform]],[3]Mapping!$B$3:$D$37,3,0)</f>
        <v>cashloan</v>
      </c>
      <c r="I1998" s="135">
        <v>32000000</v>
      </c>
    </row>
    <row r="1999" spans="1:9" x14ac:dyDescent="0.2">
      <c r="A1999" s="134">
        <v>45508</v>
      </c>
      <c r="B1999" s="135">
        <f>YEAR(source[[#This Row],[report_date]])</f>
        <v>2024</v>
      </c>
      <c r="C1999" s="128">
        <v>8</v>
      </c>
      <c r="D1999" s="136">
        <f t="shared" si="85"/>
        <v>31</v>
      </c>
      <c r="E1999" s="136">
        <f t="shared" si="86"/>
        <v>4</v>
      </c>
      <c r="F1999" s="128" t="s">
        <v>24</v>
      </c>
      <c r="G1999" s="128" t="str">
        <f>VLOOKUP(source[[#This Row],[lending_product_transform]],[3]Mapping!$B$4:$C$37,2,0)</f>
        <v>[Cake] - Cashloan</v>
      </c>
      <c r="H1999" s="128" t="str">
        <f>VLOOKUP(source[[#This Row],[lending_product_transform]],[3]Mapping!$B$3:$D$37,3,0)</f>
        <v>cashloan</v>
      </c>
      <c r="I1999" s="135">
        <v>1535190000</v>
      </c>
    </row>
    <row r="2000" spans="1:9" x14ac:dyDescent="0.2">
      <c r="A2000" s="134">
        <v>45508</v>
      </c>
      <c r="B2000" s="135">
        <f>YEAR(source[[#This Row],[report_date]])</f>
        <v>2024</v>
      </c>
      <c r="C2000" s="128">
        <v>8</v>
      </c>
      <c r="D2000" s="136">
        <f t="shared" si="85"/>
        <v>31</v>
      </c>
      <c r="E2000" s="136">
        <f t="shared" si="86"/>
        <v>4</v>
      </c>
      <c r="F2000" s="128" t="s">
        <v>24</v>
      </c>
      <c r="G2000" s="128" t="str">
        <f>VLOOKUP(source[[#This Row],[lending_product_transform]],[3]Mapping!$B$4:$C$37,2,0)</f>
        <v>[Cake] - Cashloan</v>
      </c>
      <c r="H2000" s="128" t="str">
        <f>VLOOKUP(source[[#This Row],[lending_product_transform]],[3]Mapping!$B$3:$D$37,3,0)</f>
        <v>cashloan</v>
      </c>
      <c r="I2000" s="135">
        <v>30500000</v>
      </c>
    </row>
    <row r="2001" spans="1:9" x14ac:dyDescent="0.2">
      <c r="A2001" s="134">
        <v>45508</v>
      </c>
      <c r="B2001" s="135">
        <f>YEAR(source[[#This Row],[report_date]])</f>
        <v>2024</v>
      </c>
      <c r="C2001" s="128">
        <v>8</v>
      </c>
      <c r="D2001" s="136">
        <f t="shared" si="85"/>
        <v>31</v>
      </c>
      <c r="E2001" s="136">
        <f t="shared" si="86"/>
        <v>4</v>
      </c>
      <c r="F2001" s="128" t="s">
        <v>24</v>
      </c>
      <c r="G2001" s="128" t="str">
        <f>VLOOKUP(source[[#This Row],[lending_product_transform]],[3]Mapping!$B$4:$C$37,2,0)</f>
        <v>[Cake] - Cashloan</v>
      </c>
      <c r="H2001" s="128" t="str">
        <f>VLOOKUP(source[[#This Row],[lending_product_transform]],[3]Mapping!$B$3:$D$37,3,0)</f>
        <v>cashloan</v>
      </c>
      <c r="I2001" s="135">
        <v>3385500000</v>
      </c>
    </row>
    <row r="2002" spans="1:9" x14ac:dyDescent="0.2">
      <c r="A2002" s="134">
        <v>45508</v>
      </c>
      <c r="B2002" s="135">
        <f>YEAR(source[[#This Row],[report_date]])</f>
        <v>2024</v>
      </c>
      <c r="C2002" s="128">
        <v>8</v>
      </c>
      <c r="D2002" s="136">
        <f t="shared" si="85"/>
        <v>31</v>
      </c>
      <c r="E2002" s="136">
        <f t="shared" si="86"/>
        <v>4</v>
      </c>
      <c r="F2002" s="128" t="s">
        <v>24</v>
      </c>
      <c r="G2002" s="128" t="str">
        <f>VLOOKUP(source[[#This Row],[lending_product_transform]],[3]Mapping!$B$4:$C$37,2,0)</f>
        <v>[Cake] - Cashloan</v>
      </c>
      <c r="H2002" s="128" t="str">
        <f>VLOOKUP(source[[#This Row],[lending_product_transform]],[3]Mapping!$B$3:$D$37,3,0)</f>
        <v>cashloan</v>
      </c>
      <c r="I2002" s="135">
        <v>3993670000</v>
      </c>
    </row>
    <row r="2003" spans="1:9" x14ac:dyDescent="0.2">
      <c r="A2003" s="134">
        <v>45508</v>
      </c>
      <c r="B2003" s="135">
        <f>YEAR(source[[#This Row],[report_date]])</f>
        <v>2024</v>
      </c>
      <c r="C2003" s="128">
        <v>8</v>
      </c>
      <c r="D2003" s="136">
        <f t="shared" si="85"/>
        <v>31</v>
      </c>
      <c r="E2003" s="136">
        <f t="shared" si="86"/>
        <v>4</v>
      </c>
      <c r="F2003" s="128" t="s">
        <v>24</v>
      </c>
      <c r="G2003" s="128" t="str">
        <f>VLOOKUP(source[[#This Row],[lending_product_transform]],[3]Mapping!$B$4:$C$37,2,0)</f>
        <v>[Cake] - Cashloan</v>
      </c>
      <c r="H2003" s="128" t="str">
        <f>VLOOKUP(source[[#This Row],[lending_product_transform]],[3]Mapping!$B$3:$D$37,3,0)</f>
        <v>cashloan</v>
      </c>
      <c r="I2003" s="135">
        <v>2738288820</v>
      </c>
    </row>
    <row r="2004" spans="1:9" x14ac:dyDescent="0.2">
      <c r="A2004" s="134">
        <v>45509</v>
      </c>
      <c r="B2004" s="135">
        <f>YEAR(source[[#This Row],[report_date]])</f>
        <v>2024</v>
      </c>
      <c r="C2004" s="128">
        <f>MONTH(A2004)</f>
        <v>8</v>
      </c>
      <c r="D2004" s="136">
        <f t="shared" si="85"/>
        <v>32</v>
      </c>
      <c r="E2004" s="136">
        <f t="shared" si="86"/>
        <v>5</v>
      </c>
      <c r="F2004" s="128" t="s">
        <v>24</v>
      </c>
      <c r="G2004" s="128" t="str">
        <f>VLOOKUP(source[[#This Row],[lending_product_transform]],[3]Mapping!$B$4:$C$37,2,0)</f>
        <v>[Cake] - Cashloan</v>
      </c>
      <c r="H2004" s="128" t="str">
        <f>VLOOKUP(source[[#This Row],[lending_product_transform]],[3]Mapping!$B$3:$D$37,3,0)</f>
        <v>cashloan</v>
      </c>
      <c r="I2004" s="135">
        <v>1363550000</v>
      </c>
    </row>
    <row r="2005" spans="1:9" x14ac:dyDescent="0.2">
      <c r="A2005" s="134">
        <v>45509</v>
      </c>
      <c r="B2005" s="135">
        <f>YEAR(source[[#This Row],[report_date]])</f>
        <v>2024</v>
      </c>
      <c r="C2005" s="128">
        <f t="shared" ref="C2005:C2068" si="87">MONTH(A2005)</f>
        <v>8</v>
      </c>
      <c r="D2005" s="136">
        <f t="shared" si="85"/>
        <v>32</v>
      </c>
      <c r="E2005" s="136">
        <f t="shared" si="86"/>
        <v>5</v>
      </c>
      <c r="F2005" s="128" t="s">
        <v>24</v>
      </c>
      <c r="G2005" s="128" t="str">
        <f>VLOOKUP(source[[#This Row],[lending_product_transform]],[3]Mapping!$B$4:$C$37,2,0)</f>
        <v>[Cake] - Cashloan</v>
      </c>
      <c r="H2005" s="128" t="str">
        <f>VLOOKUP(source[[#This Row],[lending_product_transform]],[3]Mapping!$B$3:$D$37,3,0)</f>
        <v>cashloan</v>
      </c>
      <c r="I2005" s="135">
        <v>61000000</v>
      </c>
    </row>
    <row r="2006" spans="1:9" x14ac:dyDescent="0.2">
      <c r="A2006" s="134">
        <v>45509</v>
      </c>
      <c r="B2006" s="135">
        <f>YEAR(source[[#This Row],[report_date]])</f>
        <v>2024</v>
      </c>
      <c r="C2006" s="128">
        <f t="shared" si="87"/>
        <v>8</v>
      </c>
      <c r="D2006" s="136">
        <f t="shared" si="85"/>
        <v>32</v>
      </c>
      <c r="E2006" s="136">
        <f t="shared" si="86"/>
        <v>5</v>
      </c>
      <c r="F2006" s="128" t="s">
        <v>24</v>
      </c>
      <c r="G2006" s="128" t="str">
        <f>VLOOKUP(source[[#This Row],[lending_product_transform]],[3]Mapping!$B$4:$C$37,2,0)</f>
        <v>[Cake] - Cashloan</v>
      </c>
      <c r="H2006" s="128" t="str">
        <f>VLOOKUP(source[[#This Row],[lending_product_transform]],[3]Mapping!$B$3:$D$37,3,0)</f>
        <v>cashloan</v>
      </c>
      <c r="I2006" s="135">
        <v>39960000</v>
      </c>
    </row>
    <row r="2007" spans="1:9" x14ac:dyDescent="0.2">
      <c r="A2007" s="134">
        <v>45509</v>
      </c>
      <c r="B2007" s="135">
        <f>YEAR(source[[#This Row],[report_date]])</f>
        <v>2024</v>
      </c>
      <c r="C2007" s="128">
        <f t="shared" si="87"/>
        <v>8</v>
      </c>
      <c r="D2007" s="136">
        <f t="shared" si="85"/>
        <v>32</v>
      </c>
      <c r="E2007" s="136">
        <f t="shared" si="86"/>
        <v>5</v>
      </c>
      <c r="F2007" s="128" t="s">
        <v>24</v>
      </c>
      <c r="G2007" s="128" t="str">
        <f>VLOOKUP(source[[#This Row],[lending_product_transform]],[3]Mapping!$B$4:$C$37,2,0)</f>
        <v>[Cake] - Cashloan</v>
      </c>
      <c r="H2007" s="128" t="str">
        <f>VLOOKUP(source[[#This Row],[lending_product_transform]],[3]Mapping!$B$3:$D$37,3,0)</f>
        <v>cashloan</v>
      </c>
      <c r="I2007" s="135">
        <v>0</v>
      </c>
    </row>
    <row r="2008" spans="1:9" x14ac:dyDescent="0.2">
      <c r="A2008" s="134">
        <v>45509</v>
      </c>
      <c r="B2008" s="135">
        <f>YEAR(source[[#This Row],[report_date]])</f>
        <v>2024</v>
      </c>
      <c r="C2008" s="128">
        <f t="shared" si="87"/>
        <v>8</v>
      </c>
      <c r="D2008" s="136">
        <f t="shared" si="85"/>
        <v>32</v>
      </c>
      <c r="E2008" s="136">
        <f t="shared" si="86"/>
        <v>5</v>
      </c>
      <c r="F2008" s="128" t="s">
        <v>24</v>
      </c>
      <c r="G2008" s="128" t="str">
        <f>VLOOKUP(source[[#This Row],[lending_product_transform]],[3]Mapping!$B$4:$C$37,2,0)</f>
        <v>[Cake] - Cashloan</v>
      </c>
      <c r="H2008" s="128" t="str">
        <f>VLOOKUP(source[[#This Row],[lending_product_transform]],[3]Mapping!$B$3:$D$37,3,0)</f>
        <v>cashloan</v>
      </c>
      <c r="I2008" s="135">
        <v>6604450000</v>
      </c>
    </row>
    <row r="2009" spans="1:9" x14ac:dyDescent="0.2">
      <c r="A2009" s="134">
        <v>45509</v>
      </c>
      <c r="B2009" s="135">
        <f>YEAR(source[[#This Row],[report_date]])</f>
        <v>2024</v>
      </c>
      <c r="C2009" s="128">
        <f t="shared" si="87"/>
        <v>8</v>
      </c>
      <c r="D2009" s="136">
        <f t="shared" si="85"/>
        <v>32</v>
      </c>
      <c r="E2009" s="136">
        <f t="shared" si="86"/>
        <v>5</v>
      </c>
      <c r="F2009" s="128" t="s">
        <v>24</v>
      </c>
      <c r="G2009" s="128" t="str">
        <f>VLOOKUP(source[[#This Row],[lending_product_transform]],[3]Mapping!$B$4:$C$37,2,0)</f>
        <v>[Cake] - Cashloan</v>
      </c>
      <c r="H2009" s="128" t="str">
        <f>VLOOKUP(source[[#This Row],[lending_product_transform]],[3]Mapping!$B$3:$D$37,3,0)</f>
        <v>cashloan</v>
      </c>
      <c r="I2009" s="135">
        <v>163300000</v>
      </c>
    </row>
    <row r="2010" spans="1:9" x14ac:dyDescent="0.2">
      <c r="A2010" s="134">
        <v>45509</v>
      </c>
      <c r="B2010" s="135">
        <f>YEAR(source[[#This Row],[report_date]])</f>
        <v>2024</v>
      </c>
      <c r="C2010" s="128">
        <f t="shared" si="87"/>
        <v>8</v>
      </c>
      <c r="D2010" s="136">
        <f t="shared" si="85"/>
        <v>32</v>
      </c>
      <c r="E2010" s="136">
        <f t="shared" si="86"/>
        <v>5</v>
      </c>
      <c r="F2010" s="128" t="s">
        <v>24</v>
      </c>
      <c r="G2010" s="128" t="str">
        <f>VLOOKUP(source[[#This Row],[lending_product_transform]],[3]Mapping!$B$4:$C$37,2,0)</f>
        <v>[Cake] - Cashloan</v>
      </c>
      <c r="H2010" s="128" t="str">
        <f>VLOOKUP(source[[#This Row],[lending_product_transform]],[3]Mapping!$B$3:$D$37,3,0)</f>
        <v>cashloan</v>
      </c>
      <c r="I2010" s="135">
        <v>3874846777</v>
      </c>
    </row>
    <row r="2011" spans="1:9" x14ac:dyDescent="0.2">
      <c r="A2011" s="134">
        <v>45509</v>
      </c>
      <c r="B2011" s="135">
        <f>YEAR(source[[#This Row],[report_date]])</f>
        <v>2024</v>
      </c>
      <c r="C2011" s="128">
        <f t="shared" si="87"/>
        <v>8</v>
      </c>
      <c r="D2011" s="136">
        <f t="shared" si="85"/>
        <v>32</v>
      </c>
      <c r="E2011" s="136">
        <f t="shared" si="86"/>
        <v>5</v>
      </c>
      <c r="F2011" s="128" t="s">
        <v>24</v>
      </c>
      <c r="G2011" s="128" t="str">
        <f>VLOOKUP(source[[#This Row],[lending_product_transform]],[3]Mapping!$B$4:$C$37,2,0)</f>
        <v>[Cake] - Cashloan</v>
      </c>
      <c r="H2011" s="128" t="str">
        <f>VLOOKUP(source[[#This Row],[lending_product_transform]],[3]Mapping!$B$3:$D$37,3,0)</f>
        <v>cashloan</v>
      </c>
      <c r="I2011" s="135">
        <v>39201165</v>
      </c>
    </row>
    <row r="2012" spans="1:9" x14ac:dyDescent="0.2">
      <c r="A2012" s="134">
        <v>45509</v>
      </c>
      <c r="B2012" s="135">
        <f>YEAR(source[[#This Row],[report_date]])</f>
        <v>2024</v>
      </c>
      <c r="C2012" s="128">
        <f t="shared" si="87"/>
        <v>8</v>
      </c>
      <c r="D2012" s="136">
        <f t="shared" si="85"/>
        <v>32</v>
      </c>
      <c r="E2012" s="136">
        <f t="shared" si="86"/>
        <v>5</v>
      </c>
      <c r="F2012" s="128" t="s">
        <v>24</v>
      </c>
      <c r="G2012" s="128" t="str">
        <f>VLOOKUP(source[[#This Row],[lending_product_transform]],[3]Mapping!$B$4:$C$37,2,0)</f>
        <v>[Cake] - Cashloan</v>
      </c>
      <c r="H2012" s="128" t="str">
        <f>VLOOKUP(source[[#This Row],[lending_product_transform]],[3]Mapping!$B$3:$D$37,3,0)</f>
        <v>cashloan</v>
      </c>
      <c r="I2012" s="135">
        <v>33600000</v>
      </c>
    </row>
    <row r="2013" spans="1:9" x14ac:dyDescent="0.2">
      <c r="A2013" s="134">
        <v>45509</v>
      </c>
      <c r="B2013" s="135">
        <f>YEAR(source[[#This Row],[report_date]])</f>
        <v>2024</v>
      </c>
      <c r="C2013" s="128">
        <f t="shared" si="87"/>
        <v>8</v>
      </c>
      <c r="D2013" s="136">
        <f t="shared" si="85"/>
        <v>32</v>
      </c>
      <c r="E2013" s="136">
        <f t="shared" si="86"/>
        <v>5</v>
      </c>
      <c r="F2013" s="128" t="s">
        <v>24</v>
      </c>
      <c r="G2013" s="128" t="str">
        <f>VLOOKUP(source[[#This Row],[lending_product_transform]],[3]Mapping!$B$4:$C$37,2,0)</f>
        <v>[Cake] - Cashloan</v>
      </c>
      <c r="H2013" s="128" t="str">
        <f>VLOOKUP(source[[#This Row],[lending_product_transform]],[3]Mapping!$B$3:$D$37,3,0)</f>
        <v>cashloan</v>
      </c>
      <c r="I2013" s="135">
        <v>275345365</v>
      </c>
    </row>
    <row r="2014" spans="1:9" x14ac:dyDescent="0.2">
      <c r="A2014" s="134">
        <v>45509</v>
      </c>
      <c r="B2014" s="135">
        <f>YEAR(source[[#This Row],[report_date]])</f>
        <v>2024</v>
      </c>
      <c r="C2014" s="128">
        <f t="shared" si="87"/>
        <v>8</v>
      </c>
      <c r="D2014" s="136">
        <f t="shared" si="85"/>
        <v>32</v>
      </c>
      <c r="E2014" s="136">
        <f t="shared" si="86"/>
        <v>5</v>
      </c>
      <c r="F2014" s="128" t="s">
        <v>24</v>
      </c>
      <c r="G2014" s="128" t="str">
        <f>VLOOKUP(source[[#This Row],[lending_product_transform]],[3]Mapping!$B$4:$C$37,2,0)</f>
        <v>[Cake] - Cashloan</v>
      </c>
      <c r="H2014" s="128" t="str">
        <f>VLOOKUP(source[[#This Row],[lending_product_transform]],[3]Mapping!$B$3:$D$37,3,0)</f>
        <v>cashloan</v>
      </c>
      <c r="I2014" s="135">
        <v>19641763307</v>
      </c>
    </row>
    <row r="2015" spans="1:9" x14ac:dyDescent="0.2">
      <c r="A2015" s="134">
        <v>45509</v>
      </c>
      <c r="B2015" s="135">
        <f>YEAR(source[[#This Row],[report_date]])</f>
        <v>2024</v>
      </c>
      <c r="C2015" s="128">
        <f t="shared" si="87"/>
        <v>8</v>
      </c>
      <c r="D2015" s="136">
        <f t="shared" si="85"/>
        <v>32</v>
      </c>
      <c r="E2015" s="136">
        <f t="shared" si="86"/>
        <v>5</v>
      </c>
      <c r="F2015" s="128" t="s">
        <v>24</v>
      </c>
      <c r="G2015" s="128" t="str">
        <f>VLOOKUP(source[[#This Row],[lending_product_transform]],[3]Mapping!$B$4:$C$37,2,0)</f>
        <v>[Cake] - Cashloan</v>
      </c>
      <c r="H2015" s="128" t="str">
        <f>VLOOKUP(source[[#This Row],[lending_product_transform]],[3]Mapping!$B$3:$D$37,3,0)</f>
        <v>cashloan</v>
      </c>
      <c r="I2015" s="135">
        <v>4977000000</v>
      </c>
    </row>
    <row r="2016" spans="1:9" x14ac:dyDescent="0.2">
      <c r="A2016" s="134">
        <v>45509</v>
      </c>
      <c r="B2016" s="135">
        <f>YEAR(source[[#This Row],[report_date]])</f>
        <v>2024</v>
      </c>
      <c r="C2016" s="128">
        <f t="shared" si="87"/>
        <v>8</v>
      </c>
      <c r="D2016" s="136">
        <f t="shared" si="85"/>
        <v>32</v>
      </c>
      <c r="E2016" s="136">
        <f t="shared" si="86"/>
        <v>5</v>
      </c>
      <c r="F2016" s="128" t="s">
        <v>24</v>
      </c>
      <c r="G2016" s="128" t="str">
        <f>VLOOKUP(source[[#This Row],[lending_product_transform]],[3]Mapping!$B$4:$C$37,2,0)</f>
        <v>[Cake] - Cashloan</v>
      </c>
      <c r="H2016" s="128" t="str">
        <f>VLOOKUP(source[[#This Row],[lending_product_transform]],[3]Mapping!$B$3:$D$37,3,0)</f>
        <v>cashloan</v>
      </c>
      <c r="I2016" s="135">
        <v>2209510000</v>
      </c>
    </row>
    <row r="2017" spans="1:9" x14ac:dyDescent="0.2">
      <c r="A2017" s="134">
        <v>45510</v>
      </c>
      <c r="B2017" s="135">
        <f>YEAR(source[[#This Row],[report_date]])</f>
        <v>2024</v>
      </c>
      <c r="C2017" s="128">
        <f t="shared" si="87"/>
        <v>8</v>
      </c>
      <c r="D2017" s="136">
        <f t="shared" si="85"/>
        <v>32</v>
      </c>
      <c r="E2017" s="136">
        <f t="shared" si="86"/>
        <v>6</v>
      </c>
      <c r="F2017" s="128" t="s">
        <v>24</v>
      </c>
      <c r="G2017" s="128" t="str">
        <f>VLOOKUP(source[[#This Row],[lending_product_transform]],[3]Mapping!$B$4:$C$37,2,0)</f>
        <v>[Cake] - Cashloan</v>
      </c>
      <c r="H2017" s="128" t="str">
        <f>VLOOKUP(source[[#This Row],[lending_product_transform]],[3]Mapping!$B$3:$D$37,3,0)</f>
        <v>cashloan</v>
      </c>
      <c r="I2017" s="135">
        <v>69000000</v>
      </c>
    </row>
    <row r="2018" spans="1:9" x14ac:dyDescent="0.2">
      <c r="A2018" s="134">
        <v>45510</v>
      </c>
      <c r="B2018" s="135">
        <f>YEAR(source[[#This Row],[report_date]])</f>
        <v>2024</v>
      </c>
      <c r="C2018" s="128">
        <f t="shared" si="87"/>
        <v>8</v>
      </c>
      <c r="D2018" s="136">
        <f t="shared" si="85"/>
        <v>32</v>
      </c>
      <c r="E2018" s="136">
        <f t="shared" si="86"/>
        <v>6</v>
      </c>
      <c r="F2018" s="128" t="s">
        <v>24</v>
      </c>
      <c r="G2018" s="128" t="str">
        <f>VLOOKUP(source[[#This Row],[lending_product_transform]],[3]Mapping!$B$4:$C$37,2,0)</f>
        <v>[Cake] - Cashloan</v>
      </c>
      <c r="H2018" s="128" t="str">
        <f>VLOOKUP(source[[#This Row],[lending_product_transform]],[3]Mapping!$B$3:$D$37,3,0)</f>
        <v>cashloan</v>
      </c>
      <c r="I2018" s="135">
        <v>5511480000</v>
      </c>
    </row>
    <row r="2019" spans="1:9" x14ac:dyDescent="0.2">
      <c r="A2019" s="134">
        <v>45510</v>
      </c>
      <c r="B2019" s="135">
        <f>YEAR(source[[#This Row],[report_date]])</f>
        <v>2024</v>
      </c>
      <c r="C2019" s="128">
        <f t="shared" si="87"/>
        <v>8</v>
      </c>
      <c r="D2019" s="136">
        <f t="shared" si="85"/>
        <v>32</v>
      </c>
      <c r="E2019" s="136">
        <f t="shared" si="86"/>
        <v>6</v>
      </c>
      <c r="F2019" s="128" t="s">
        <v>24</v>
      </c>
      <c r="G2019" s="128" t="str">
        <f>VLOOKUP(source[[#This Row],[lending_product_transform]],[3]Mapping!$B$4:$C$37,2,0)</f>
        <v>[Cake] - Cashloan</v>
      </c>
      <c r="H2019" s="128" t="str">
        <f>VLOOKUP(source[[#This Row],[lending_product_transform]],[3]Mapping!$B$3:$D$37,3,0)</f>
        <v>cashloan</v>
      </c>
      <c r="I2019" s="135">
        <v>270090474</v>
      </c>
    </row>
    <row r="2020" spans="1:9" x14ac:dyDescent="0.2">
      <c r="A2020" s="134">
        <v>45510</v>
      </c>
      <c r="B2020" s="135">
        <f>YEAR(source[[#This Row],[report_date]])</f>
        <v>2024</v>
      </c>
      <c r="C2020" s="128">
        <f t="shared" si="87"/>
        <v>8</v>
      </c>
      <c r="D2020" s="136">
        <f t="shared" si="85"/>
        <v>32</v>
      </c>
      <c r="E2020" s="136">
        <f t="shared" si="86"/>
        <v>6</v>
      </c>
      <c r="F2020" s="128" t="s">
        <v>24</v>
      </c>
      <c r="G2020" s="128" t="str">
        <f>VLOOKUP(source[[#This Row],[lending_product_transform]],[3]Mapping!$B$4:$C$37,2,0)</f>
        <v>[Cake] - Cashloan</v>
      </c>
      <c r="H2020" s="128" t="str">
        <f>VLOOKUP(source[[#This Row],[lending_product_transform]],[3]Mapping!$B$3:$D$37,3,0)</f>
        <v>cashloan</v>
      </c>
      <c r="I2020" s="135">
        <v>225750000</v>
      </c>
    </row>
    <row r="2021" spans="1:9" x14ac:dyDescent="0.2">
      <c r="A2021" s="134">
        <v>45510</v>
      </c>
      <c r="B2021" s="135">
        <f>YEAR(source[[#This Row],[report_date]])</f>
        <v>2024</v>
      </c>
      <c r="C2021" s="128">
        <f t="shared" si="87"/>
        <v>8</v>
      </c>
      <c r="D2021" s="136">
        <f t="shared" si="85"/>
        <v>32</v>
      </c>
      <c r="E2021" s="136">
        <f t="shared" si="86"/>
        <v>6</v>
      </c>
      <c r="F2021" s="128" t="s">
        <v>24</v>
      </c>
      <c r="G2021" s="128" t="str">
        <f>VLOOKUP(source[[#This Row],[lending_product_transform]],[3]Mapping!$B$4:$C$37,2,0)</f>
        <v>[Cake] - Cashloan</v>
      </c>
      <c r="H2021" s="128" t="str">
        <f>VLOOKUP(source[[#This Row],[lending_product_transform]],[3]Mapping!$B$3:$D$37,3,0)</f>
        <v>cashloan</v>
      </c>
      <c r="I2021" s="135">
        <v>2573760000</v>
      </c>
    </row>
    <row r="2022" spans="1:9" x14ac:dyDescent="0.2">
      <c r="A2022" s="134">
        <v>45510</v>
      </c>
      <c r="B2022" s="135">
        <f>YEAR(source[[#This Row],[report_date]])</f>
        <v>2024</v>
      </c>
      <c r="C2022" s="128">
        <f t="shared" si="87"/>
        <v>8</v>
      </c>
      <c r="D2022" s="136">
        <f t="shared" si="85"/>
        <v>32</v>
      </c>
      <c r="E2022" s="136">
        <f t="shared" si="86"/>
        <v>6</v>
      </c>
      <c r="F2022" s="128" t="s">
        <v>24</v>
      </c>
      <c r="G2022" s="128" t="str">
        <f>VLOOKUP(source[[#This Row],[lending_product_transform]],[3]Mapping!$B$4:$C$37,2,0)</f>
        <v>[Cake] - Cashloan</v>
      </c>
      <c r="H2022" s="128" t="str">
        <f>VLOOKUP(source[[#This Row],[lending_product_transform]],[3]Mapping!$B$3:$D$37,3,0)</f>
        <v>cashloan</v>
      </c>
      <c r="I2022" s="135">
        <v>3893000000</v>
      </c>
    </row>
    <row r="2023" spans="1:9" x14ac:dyDescent="0.2">
      <c r="A2023" s="134">
        <v>45510</v>
      </c>
      <c r="B2023" s="135">
        <f>YEAR(source[[#This Row],[report_date]])</f>
        <v>2024</v>
      </c>
      <c r="C2023" s="128">
        <f t="shared" si="87"/>
        <v>8</v>
      </c>
      <c r="D2023" s="136">
        <f t="shared" si="85"/>
        <v>32</v>
      </c>
      <c r="E2023" s="136">
        <f t="shared" si="86"/>
        <v>6</v>
      </c>
      <c r="F2023" s="128" t="s">
        <v>24</v>
      </c>
      <c r="G2023" s="128" t="str">
        <f>VLOOKUP(source[[#This Row],[lending_product_transform]],[3]Mapping!$B$4:$C$37,2,0)</f>
        <v>[Cake] - Cashloan</v>
      </c>
      <c r="H2023" s="128" t="str">
        <f>VLOOKUP(source[[#This Row],[lending_product_transform]],[3]Mapping!$B$3:$D$37,3,0)</f>
        <v>cashloan</v>
      </c>
      <c r="I2023" s="135">
        <v>32935645</v>
      </c>
    </row>
    <row r="2024" spans="1:9" x14ac:dyDescent="0.2">
      <c r="A2024" s="134">
        <v>45510</v>
      </c>
      <c r="B2024" s="135">
        <f>YEAR(source[[#This Row],[report_date]])</f>
        <v>2024</v>
      </c>
      <c r="C2024" s="128">
        <f t="shared" si="87"/>
        <v>8</v>
      </c>
      <c r="D2024" s="136">
        <f t="shared" si="85"/>
        <v>32</v>
      </c>
      <c r="E2024" s="136">
        <f t="shared" si="86"/>
        <v>6</v>
      </c>
      <c r="F2024" s="128" t="s">
        <v>24</v>
      </c>
      <c r="G2024" s="128" t="str">
        <f>VLOOKUP(source[[#This Row],[lending_product_transform]],[3]Mapping!$B$4:$C$37,2,0)</f>
        <v>[Cake] - Cashloan</v>
      </c>
      <c r="H2024" s="128" t="str">
        <f>VLOOKUP(source[[#This Row],[lending_product_transform]],[3]Mapping!$B$3:$D$37,3,0)</f>
        <v>cashloan</v>
      </c>
      <c r="I2024" s="135">
        <v>16557294151</v>
      </c>
    </row>
    <row r="2025" spans="1:9" x14ac:dyDescent="0.2">
      <c r="A2025" s="134">
        <v>45510</v>
      </c>
      <c r="B2025" s="135">
        <f>YEAR(source[[#This Row],[report_date]])</f>
        <v>2024</v>
      </c>
      <c r="C2025" s="128">
        <f t="shared" si="87"/>
        <v>8</v>
      </c>
      <c r="D2025" s="136">
        <f t="shared" si="85"/>
        <v>32</v>
      </c>
      <c r="E2025" s="136">
        <f t="shared" si="86"/>
        <v>6</v>
      </c>
      <c r="F2025" s="128" t="s">
        <v>24</v>
      </c>
      <c r="G2025" s="128" t="str">
        <f>VLOOKUP(source[[#This Row],[lending_product_transform]],[3]Mapping!$B$4:$C$37,2,0)</f>
        <v>[Cake] - Cashloan</v>
      </c>
      <c r="H2025" s="128" t="str">
        <f>VLOOKUP(source[[#This Row],[lending_product_transform]],[3]Mapping!$B$3:$D$37,3,0)</f>
        <v>cashloan</v>
      </c>
      <c r="I2025" s="135">
        <v>18000000</v>
      </c>
    </row>
    <row r="2026" spans="1:9" x14ac:dyDescent="0.2">
      <c r="A2026" s="134">
        <v>45510</v>
      </c>
      <c r="B2026" s="135">
        <f>YEAR(source[[#This Row],[report_date]])</f>
        <v>2024</v>
      </c>
      <c r="C2026" s="128">
        <f t="shared" si="87"/>
        <v>8</v>
      </c>
      <c r="D2026" s="136">
        <f t="shared" si="85"/>
        <v>32</v>
      </c>
      <c r="E2026" s="136">
        <f t="shared" si="86"/>
        <v>6</v>
      </c>
      <c r="F2026" s="128" t="s">
        <v>24</v>
      </c>
      <c r="G2026" s="128" t="str">
        <f>VLOOKUP(source[[#This Row],[lending_product_transform]],[3]Mapping!$B$4:$C$37,2,0)</f>
        <v>[Cake] - Cashloan</v>
      </c>
      <c r="H2026" s="128" t="str">
        <f>VLOOKUP(source[[#This Row],[lending_product_transform]],[3]Mapping!$B$3:$D$37,3,0)</f>
        <v>cashloan</v>
      </c>
      <c r="I2026" s="135">
        <v>2801218032</v>
      </c>
    </row>
    <row r="2027" spans="1:9" x14ac:dyDescent="0.2">
      <c r="A2027" s="134">
        <v>45510</v>
      </c>
      <c r="B2027" s="135">
        <f>YEAR(source[[#This Row],[report_date]])</f>
        <v>2024</v>
      </c>
      <c r="C2027" s="128">
        <f t="shared" si="87"/>
        <v>8</v>
      </c>
      <c r="D2027" s="136">
        <f t="shared" si="85"/>
        <v>32</v>
      </c>
      <c r="E2027" s="136">
        <f t="shared" si="86"/>
        <v>6</v>
      </c>
      <c r="F2027" s="128" t="s">
        <v>24</v>
      </c>
      <c r="G2027" s="128" t="str">
        <f>VLOOKUP(source[[#This Row],[lending_product_transform]],[3]Mapping!$B$4:$C$37,2,0)</f>
        <v>[Cake] - Cashloan</v>
      </c>
      <c r="H2027" s="128" t="str">
        <f>VLOOKUP(source[[#This Row],[lending_product_transform]],[3]Mapping!$B$3:$D$37,3,0)</f>
        <v>cashloan</v>
      </c>
      <c r="I2027" s="135">
        <v>1067860000</v>
      </c>
    </row>
    <row r="2028" spans="1:9" x14ac:dyDescent="0.2">
      <c r="A2028" s="134">
        <v>45510</v>
      </c>
      <c r="B2028" s="135">
        <f>YEAR(source[[#This Row],[report_date]])</f>
        <v>2024</v>
      </c>
      <c r="C2028" s="128">
        <f t="shared" si="87"/>
        <v>8</v>
      </c>
      <c r="D2028" s="136">
        <f t="shared" si="85"/>
        <v>32</v>
      </c>
      <c r="E2028" s="136">
        <f t="shared" si="86"/>
        <v>6</v>
      </c>
      <c r="F2028" s="128" t="s">
        <v>24</v>
      </c>
      <c r="G2028" s="128" t="str">
        <f>VLOOKUP(source[[#This Row],[lending_product_transform]],[3]Mapping!$B$4:$C$37,2,0)</f>
        <v>[Cake] - Cashloan</v>
      </c>
      <c r="H2028" s="128" t="str">
        <f>VLOOKUP(source[[#This Row],[lending_product_transform]],[3]Mapping!$B$3:$D$37,3,0)</f>
        <v>cashloan</v>
      </c>
      <c r="I2028" s="135">
        <v>20700000</v>
      </c>
    </row>
    <row r="2029" spans="1:9" x14ac:dyDescent="0.2">
      <c r="A2029" s="134">
        <v>45510</v>
      </c>
      <c r="B2029" s="135">
        <f>YEAR(source[[#This Row],[report_date]])</f>
        <v>2024</v>
      </c>
      <c r="C2029" s="128">
        <f t="shared" si="87"/>
        <v>8</v>
      </c>
      <c r="D2029" s="136">
        <f t="shared" si="85"/>
        <v>32</v>
      </c>
      <c r="E2029" s="136">
        <f t="shared" si="86"/>
        <v>6</v>
      </c>
      <c r="F2029" s="128" t="s">
        <v>24</v>
      </c>
      <c r="G2029" s="128" t="str">
        <f>VLOOKUP(source[[#This Row],[lending_product_transform]],[3]Mapping!$B$4:$C$37,2,0)</f>
        <v>[Cake] - Cashloan</v>
      </c>
      <c r="H2029" s="128" t="str">
        <f>VLOOKUP(source[[#This Row],[lending_product_transform]],[3]Mapping!$B$3:$D$37,3,0)</f>
        <v>cashloan</v>
      </c>
      <c r="I2029" s="135">
        <v>73500000</v>
      </c>
    </row>
    <row r="2030" spans="1:9" x14ac:dyDescent="0.2">
      <c r="A2030" s="134">
        <v>45511</v>
      </c>
      <c r="B2030" s="135">
        <f>YEAR(source[[#This Row],[report_date]])</f>
        <v>2024</v>
      </c>
      <c r="C2030" s="128">
        <f t="shared" si="87"/>
        <v>8</v>
      </c>
      <c r="D2030" s="136">
        <f t="shared" si="85"/>
        <v>32</v>
      </c>
      <c r="E2030" s="136">
        <f t="shared" si="86"/>
        <v>7</v>
      </c>
      <c r="F2030" s="128" t="s">
        <v>24</v>
      </c>
      <c r="G2030" s="128" t="str">
        <f>VLOOKUP(source[[#This Row],[lending_product_transform]],[3]Mapping!$B$4:$C$37,2,0)</f>
        <v>[Cake] - Cashloan</v>
      </c>
      <c r="H2030" s="128" t="str">
        <f>VLOOKUP(source[[#This Row],[lending_product_transform]],[3]Mapping!$B$3:$D$37,3,0)</f>
        <v>cashloan</v>
      </c>
      <c r="I2030" s="135">
        <v>0</v>
      </c>
    </row>
    <row r="2031" spans="1:9" x14ac:dyDescent="0.2">
      <c r="A2031" s="134">
        <v>45511</v>
      </c>
      <c r="B2031" s="135">
        <f>YEAR(source[[#This Row],[report_date]])</f>
        <v>2024</v>
      </c>
      <c r="C2031" s="128">
        <f t="shared" si="87"/>
        <v>8</v>
      </c>
      <c r="D2031" s="136">
        <f t="shared" si="85"/>
        <v>32</v>
      </c>
      <c r="E2031" s="136">
        <f t="shared" si="86"/>
        <v>7</v>
      </c>
      <c r="F2031" s="128" t="s">
        <v>24</v>
      </c>
      <c r="G2031" s="128" t="str">
        <f>VLOOKUP(source[[#This Row],[lending_product_transform]],[3]Mapping!$B$4:$C$37,2,0)</f>
        <v>[Cake] - Cashloan</v>
      </c>
      <c r="H2031" s="128" t="str">
        <f>VLOOKUP(source[[#This Row],[lending_product_transform]],[3]Mapping!$B$3:$D$37,3,0)</f>
        <v>cashloan</v>
      </c>
      <c r="I2031" s="135">
        <v>36765833</v>
      </c>
    </row>
    <row r="2032" spans="1:9" x14ac:dyDescent="0.2">
      <c r="A2032" s="134">
        <v>45511</v>
      </c>
      <c r="B2032" s="135">
        <f>YEAR(source[[#This Row],[report_date]])</f>
        <v>2024</v>
      </c>
      <c r="C2032" s="128">
        <f t="shared" si="87"/>
        <v>8</v>
      </c>
      <c r="D2032" s="136">
        <f t="shared" si="85"/>
        <v>32</v>
      </c>
      <c r="E2032" s="136">
        <f t="shared" si="86"/>
        <v>7</v>
      </c>
      <c r="F2032" s="128" t="s">
        <v>24</v>
      </c>
      <c r="G2032" s="128" t="str">
        <f>VLOOKUP(source[[#This Row],[lending_product_transform]],[3]Mapping!$B$4:$C$37,2,0)</f>
        <v>[Cake] - Cashloan</v>
      </c>
      <c r="H2032" s="128" t="str">
        <f>VLOOKUP(source[[#This Row],[lending_product_transform]],[3]Mapping!$B$3:$D$37,3,0)</f>
        <v>cashloan</v>
      </c>
      <c r="I2032" s="135">
        <v>10700000</v>
      </c>
    </row>
    <row r="2033" spans="1:9" x14ac:dyDescent="0.2">
      <c r="A2033" s="134">
        <v>45511</v>
      </c>
      <c r="B2033" s="135">
        <f>YEAR(source[[#This Row],[report_date]])</f>
        <v>2024</v>
      </c>
      <c r="C2033" s="128">
        <f t="shared" si="87"/>
        <v>8</v>
      </c>
      <c r="D2033" s="136">
        <f t="shared" si="85"/>
        <v>32</v>
      </c>
      <c r="E2033" s="136">
        <f t="shared" si="86"/>
        <v>7</v>
      </c>
      <c r="F2033" s="128" t="s">
        <v>24</v>
      </c>
      <c r="G2033" s="128" t="str">
        <f>VLOOKUP(source[[#This Row],[lending_product_transform]],[3]Mapping!$B$4:$C$37,2,0)</f>
        <v>[Cake] - Cashloan</v>
      </c>
      <c r="H2033" s="128" t="str">
        <f>VLOOKUP(source[[#This Row],[lending_product_transform]],[3]Mapping!$B$3:$D$37,3,0)</f>
        <v>cashloan</v>
      </c>
      <c r="I2033" s="135">
        <v>67250000</v>
      </c>
    </row>
    <row r="2034" spans="1:9" x14ac:dyDescent="0.2">
      <c r="A2034" s="134">
        <v>45511</v>
      </c>
      <c r="B2034" s="135">
        <f>YEAR(source[[#This Row],[report_date]])</f>
        <v>2024</v>
      </c>
      <c r="C2034" s="128">
        <f t="shared" si="87"/>
        <v>8</v>
      </c>
      <c r="D2034" s="136">
        <f t="shared" si="85"/>
        <v>32</v>
      </c>
      <c r="E2034" s="136">
        <f t="shared" si="86"/>
        <v>7</v>
      </c>
      <c r="F2034" s="128" t="s">
        <v>24</v>
      </c>
      <c r="G2034" s="128" t="str">
        <f>VLOOKUP(source[[#This Row],[lending_product_transform]],[3]Mapping!$B$4:$C$37,2,0)</f>
        <v>[Cake] - Cashloan</v>
      </c>
      <c r="H2034" s="128" t="str">
        <f>VLOOKUP(source[[#This Row],[lending_product_transform]],[3]Mapping!$B$3:$D$37,3,0)</f>
        <v>cashloan</v>
      </c>
      <c r="I2034" s="135">
        <v>128000000</v>
      </c>
    </row>
    <row r="2035" spans="1:9" x14ac:dyDescent="0.2">
      <c r="A2035" s="134">
        <v>45511</v>
      </c>
      <c r="B2035" s="135">
        <f>YEAR(source[[#This Row],[report_date]])</f>
        <v>2024</v>
      </c>
      <c r="C2035" s="128">
        <f t="shared" si="87"/>
        <v>8</v>
      </c>
      <c r="D2035" s="136">
        <f t="shared" si="85"/>
        <v>32</v>
      </c>
      <c r="E2035" s="136">
        <f t="shared" si="86"/>
        <v>7</v>
      </c>
      <c r="F2035" s="128" t="s">
        <v>24</v>
      </c>
      <c r="G2035" s="128" t="str">
        <f>VLOOKUP(source[[#This Row],[lending_product_transform]],[3]Mapping!$B$4:$C$37,2,0)</f>
        <v>[Cake] - Cashloan</v>
      </c>
      <c r="H2035" s="128" t="str">
        <f>VLOOKUP(source[[#This Row],[lending_product_transform]],[3]Mapping!$B$3:$D$37,3,0)</f>
        <v>cashloan</v>
      </c>
      <c r="I2035" s="135">
        <v>1354210000</v>
      </c>
    </row>
    <row r="2036" spans="1:9" x14ac:dyDescent="0.2">
      <c r="A2036" s="134">
        <v>45511</v>
      </c>
      <c r="B2036" s="135">
        <f>YEAR(source[[#This Row],[report_date]])</f>
        <v>2024</v>
      </c>
      <c r="C2036" s="128">
        <f t="shared" si="87"/>
        <v>8</v>
      </c>
      <c r="D2036" s="136">
        <f t="shared" si="85"/>
        <v>32</v>
      </c>
      <c r="E2036" s="136">
        <f t="shared" si="86"/>
        <v>7</v>
      </c>
      <c r="F2036" s="128" t="s">
        <v>24</v>
      </c>
      <c r="G2036" s="128" t="str">
        <f>VLOOKUP(source[[#This Row],[lending_product_transform]],[3]Mapping!$B$4:$C$37,2,0)</f>
        <v>[Cake] - Cashloan</v>
      </c>
      <c r="H2036" s="128" t="str">
        <f>VLOOKUP(source[[#This Row],[lending_product_transform]],[3]Mapping!$B$3:$D$37,3,0)</f>
        <v>cashloan</v>
      </c>
      <c r="I2036" s="135">
        <v>3830000000</v>
      </c>
    </row>
    <row r="2037" spans="1:9" x14ac:dyDescent="0.2">
      <c r="A2037" s="134">
        <v>45511</v>
      </c>
      <c r="B2037" s="135">
        <f>YEAR(source[[#This Row],[report_date]])</f>
        <v>2024</v>
      </c>
      <c r="C2037" s="128">
        <f t="shared" si="87"/>
        <v>8</v>
      </c>
      <c r="D2037" s="136">
        <f t="shared" si="85"/>
        <v>32</v>
      </c>
      <c r="E2037" s="136">
        <f t="shared" si="86"/>
        <v>7</v>
      </c>
      <c r="F2037" s="128" t="s">
        <v>24</v>
      </c>
      <c r="G2037" s="128" t="str">
        <f>VLOOKUP(source[[#This Row],[lending_product_transform]],[3]Mapping!$B$4:$C$37,2,0)</f>
        <v>[Cake] - Cashloan</v>
      </c>
      <c r="H2037" s="128" t="str">
        <f>VLOOKUP(source[[#This Row],[lending_product_transform]],[3]Mapping!$B$3:$D$37,3,0)</f>
        <v>cashloan</v>
      </c>
      <c r="I2037" s="135">
        <v>2259544229</v>
      </c>
    </row>
    <row r="2038" spans="1:9" x14ac:dyDescent="0.2">
      <c r="A2038" s="134">
        <v>45511</v>
      </c>
      <c r="B2038" s="135">
        <f>YEAR(source[[#This Row],[report_date]])</f>
        <v>2024</v>
      </c>
      <c r="C2038" s="128">
        <f t="shared" si="87"/>
        <v>8</v>
      </c>
      <c r="D2038" s="136">
        <f t="shared" si="85"/>
        <v>32</v>
      </c>
      <c r="E2038" s="136">
        <f t="shared" si="86"/>
        <v>7</v>
      </c>
      <c r="F2038" s="128" t="s">
        <v>24</v>
      </c>
      <c r="G2038" s="128" t="str">
        <f>VLOOKUP(source[[#This Row],[lending_product_transform]],[3]Mapping!$B$4:$C$37,2,0)</f>
        <v>[Cake] - Cashloan</v>
      </c>
      <c r="H2038" s="128" t="str">
        <f>VLOOKUP(source[[#This Row],[lending_product_transform]],[3]Mapping!$B$3:$D$37,3,0)</f>
        <v>cashloan</v>
      </c>
      <c r="I2038" s="135">
        <v>5600060000</v>
      </c>
    </row>
    <row r="2039" spans="1:9" x14ac:dyDescent="0.2">
      <c r="A2039" s="134">
        <v>45511</v>
      </c>
      <c r="B2039" s="135">
        <f>YEAR(source[[#This Row],[report_date]])</f>
        <v>2024</v>
      </c>
      <c r="C2039" s="128">
        <f t="shared" si="87"/>
        <v>8</v>
      </c>
      <c r="D2039" s="136">
        <f t="shared" si="85"/>
        <v>32</v>
      </c>
      <c r="E2039" s="136">
        <f t="shared" si="86"/>
        <v>7</v>
      </c>
      <c r="F2039" s="128" t="s">
        <v>24</v>
      </c>
      <c r="G2039" s="128" t="str">
        <f>VLOOKUP(source[[#This Row],[lending_product_transform]],[3]Mapping!$B$4:$C$37,2,0)</f>
        <v>[Cake] - Cashloan</v>
      </c>
      <c r="H2039" s="128" t="str">
        <f>VLOOKUP(source[[#This Row],[lending_product_transform]],[3]Mapping!$B$3:$D$37,3,0)</f>
        <v>cashloan</v>
      </c>
      <c r="I2039" s="135">
        <v>246075081</v>
      </c>
    </row>
    <row r="2040" spans="1:9" x14ac:dyDescent="0.2">
      <c r="A2040" s="134">
        <v>45511</v>
      </c>
      <c r="B2040" s="135">
        <f>YEAR(source[[#This Row],[report_date]])</f>
        <v>2024</v>
      </c>
      <c r="C2040" s="128">
        <f t="shared" si="87"/>
        <v>8</v>
      </c>
      <c r="D2040" s="136">
        <f t="shared" si="85"/>
        <v>32</v>
      </c>
      <c r="E2040" s="136">
        <f t="shared" si="86"/>
        <v>7</v>
      </c>
      <c r="F2040" s="128" t="s">
        <v>24</v>
      </c>
      <c r="G2040" s="128" t="str">
        <f>VLOOKUP(source[[#This Row],[lending_product_transform]],[3]Mapping!$B$4:$C$37,2,0)</f>
        <v>[Cake] - Cashloan</v>
      </c>
      <c r="H2040" s="128" t="str">
        <f>VLOOKUP(source[[#This Row],[lending_product_transform]],[3]Mapping!$B$3:$D$37,3,0)</f>
        <v>cashloan</v>
      </c>
      <c r="I2040" s="135">
        <v>2464740000</v>
      </c>
    </row>
    <row r="2041" spans="1:9" x14ac:dyDescent="0.2">
      <c r="A2041" s="134">
        <v>45511</v>
      </c>
      <c r="B2041" s="135">
        <f>YEAR(source[[#This Row],[report_date]])</f>
        <v>2024</v>
      </c>
      <c r="C2041" s="128">
        <f t="shared" si="87"/>
        <v>8</v>
      </c>
      <c r="D2041" s="136">
        <f t="shared" si="85"/>
        <v>32</v>
      </c>
      <c r="E2041" s="136">
        <f t="shared" si="86"/>
        <v>7</v>
      </c>
      <c r="F2041" s="128" t="s">
        <v>24</v>
      </c>
      <c r="G2041" s="128" t="str">
        <f>VLOOKUP(source[[#This Row],[lending_product_transform]],[3]Mapping!$B$4:$C$37,2,0)</f>
        <v>[Cake] - Cashloan</v>
      </c>
      <c r="H2041" s="128" t="str">
        <f>VLOOKUP(source[[#This Row],[lending_product_transform]],[3]Mapping!$B$3:$D$37,3,0)</f>
        <v>cashloan</v>
      </c>
      <c r="I2041" s="135">
        <v>16111795143</v>
      </c>
    </row>
    <row r="2042" spans="1:9" x14ac:dyDescent="0.2">
      <c r="A2042" s="134">
        <v>45511</v>
      </c>
      <c r="B2042" s="135">
        <f>YEAR(source[[#This Row],[report_date]])</f>
        <v>2024</v>
      </c>
      <c r="C2042" s="128">
        <f t="shared" si="87"/>
        <v>8</v>
      </c>
      <c r="D2042" s="136">
        <f t="shared" si="85"/>
        <v>32</v>
      </c>
      <c r="E2042" s="136">
        <f t="shared" si="86"/>
        <v>7</v>
      </c>
      <c r="F2042" s="128" t="s">
        <v>24</v>
      </c>
      <c r="G2042" s="128" t="str">
        <f>VLOOKUP(source[[#This Row],[lending_product_transform]],[3]Mapping!$B$4:$C$37,2,0)</f>
        <v>[Cake] - Cashloan</v>
      </c>
      <c r="H2042" s="128" t="str">
        <f>VLOOKUP(source[[#This Row],[lending_product_transform]],[3]Mapping!$B$3:$D$37,3,0)</f>
        <v>cashloan</v>
      </c>
      <c r="I2042" s="135">
        <v>114450000</v>
      </c>
    </row>
    <row r="2043" spans="1:9" x14ac:dyDescent="0.2">
      <c r="A2043" s="134">
        <v>45512</v>
      </c>
      <c r="B2043" s="135">
        <f>YEAR(source[[#This Row],[report_date]])</f>
        <v>2024</v>
      </c>
      <c r="C2043" s="128">
        <f t="shared" si="87"/>
        <v>8</v>
      </c>
      <c r="D2043" s="136">
        <f t="shared" si="85"/>
        <v>32</v>
      </c>
      <c r="E2043" s="136">
        <f t="shared" si="86"/>
        <v>8</v>
      </c>
      <c r="F2043" s="128" t="s">
        <v>24</v>
      </c>
      <c r="G2043" s="128" t="str">
        <f>VLOOKUP(source[[#This Row],[lending_product_transform]],[3]Mapping!$B$4:$C$37,2,0)</f>
        <v>[Cake] - Cashloan</v>
      </c>
      <c r="H2043" s="128" t="str">
        <f>VLOOKUP(source[[#This Row],[lending_product_transform]],[3]Mapping!$B$3:$D$37,3,0)</f>
        <v>cashloan</v>
      </c>
      <c r="I2043" s="135">
        <v>229123338</v>
      </c>
    </row>
    <row r="2044" spans="1:9" x14ac:dyDescent="0.2">
      <c r="A2044" s="134">
        <v>45512</v>
      </c>
      <c r="B2044" s="135">
        <f>YEAR(source[[#This Row],[report_date]])</f>
        <v>2024</v>
      </c>
      <c r="C2044" s="128">
        <f t="shared" si="87"/>
        <v>8</v>
      </c>
      <c r="D2044" s="136">
        <f t="shared" si="85"/>
        <v>32</v>
      </c>
      <c r="E2044" s="136">
        <f t="shared" si="86"/>
        <v>8</v>
      </c>
      <c r="F2044" s="128" t="s">
        <v>24</v>
      </c>
      <c r="G2044" s="128" t="str">
        <f>VLOOKUP(source[[#This Row],[lending_product_transform]],[3]Mapping!$B$4:$C$37,2,0)</f>
        <v>[Cake] - Cashloan</v>
      </c>
      <c r="H2044" s="128" t="str">
        <f>VLOOKUP(source[[#This Row],[lending_product_transform]],[3]Mapping!$B$3:$D$37,3,0)</f>
        <v>cashloan</v>
      </c>
      <c r="I2044" s="135">
        <v>42000000</v>
      </c>
    </row>
    <row r="2045" spans="1:9" x14ac:dyDescent="0.2">
      <c r="A2045" s="134">
        <v>45512</v>
      </c>
      <c r="B2045" s="135">
        <f>YEAR(source[[#This Row],[report_date]])</f>
        <v>2024</v>
      </c>
      <c r="C2045" s="128">
        <f t="shared" si="87"/>
        <v>8</v>
      </c>
      <c r="D2045" s="136">
        <f t="shared" si="85"/>
        <v>32</v>
      </c>
      <c r="E2045" s="136">
        <f t="shared" si="86"/>
        <v>8</v>
      </c>
      <c r="F2045" s="128" t="s">
        <v>24</v>
      </c>
      <c r="G2045" s="128" t="str">
        <f>VLOOKUP(source[[#This Row],[lending_product_transform]],[3]Mapping!$B$4:$C$37,2,0)</f>
        <v>[Cake] - Cashloan</v>
      </c>
      <c r="H2045" s="128" t="str">
        <f>VLOOKUP(source[[#This Row],[lending_product_transform]],[3]Mapping!$B$3:$D$37,3,0)</f>
        <v>cashloan</v>
      </c>
      <c r="I2045" s="135">
        <v>46000000</v>
      </c>
    </row>
    <row r="2046" spans="1:9" x14ac:dyDescent="0.2">
      <c r="A2046" s="134">
        <v>45512</v>
      </c>
      <c r="B2046" s="135">
        <f>YEAR(source[[#This Row],[report_date]])</f>
        <v>2024</v>
      </c>
      <c r="C2046" s="128">
        <f t="shared" si="87"/>
        <v>8</v>
      </c>
      <c r="D2046" s="136">
        <f t="shared" si="85"/>
        <v>32</v>
      </c>
      <c r="E2046" s="136">
        <f t="shared" si="86"/>
        <v>8</v>
      </c>
      <c r="F2046" s="128" t="s">
        <v>24</v>
      </c>
      <c r="G2046" s="128" t="str">
        <f>VLOOKUP(source[[#This Row],[lending_product_transform]],[3]Mapping!$B$4:$C$37,2,0)</f>
        <v>[Cake] - Cashloan</v>
      </c>
      <c r="H2046" s="128" t="str">
        <f>VLOOKUP(source[[#This Row],[lending_product_transform]],[3]Mapping!$B$3:$D$37,3,0)</f>
        <v>cashloan</v>
      </c>
      <c r="I2046" s="135">
        <v>16416699609</v>
      </c>
    </row>
    <row r="2047" spans="1:9" x14ac:dyDescent="0.2">
      <c r="A2047" s="134">
        <v>45512</v>
      </c>
      <c r="B2047" s="135">
        <f>YEAR(source[[#This Row],[report_date]])</f>
        <v>2024</v>
      </c>
      <c r="C2047" s="128">
        <f t="shared" si="87"/>
        <v>8</v>
      </c>
      <c r="D2047" s="136">
        <f t="shared" si="85"/>
        <v>32</v>
      </c>
      <c r="E2047" s="136">
        <f t="shared" si="86"/>
        <v>8</v>
      </c>
      <c r="F2047" s="128" t="s">
        <v>24</v>
      </c>
      <c r="G2047" s="128" t="str">
        <f>VLOOKUP(source[[#This Row],[lending_product_transform]],[3]Mapping!$B$4:$C$37,2,0)</f>
        <v>[Cake] - Cashloan</v>
      </c>
      <c r="H2047" s="128" t="str">
        <f>VLOOKUP(source[[#This Row],[lending_product_transform]],[3]Mapping!$B$3:$D$37,3,0)</f>
        <v>cashloan</v>
      </c>
      <c r="I2047" s="135">
        <v>2807414989</v>
      </c>
    </row>
    <row r="2048" spans="1:9" x14ac:dyDescent="0.2">
      <c r="A2048" s="134">
        <v>45512</v>
      </c>
      <c r="B2048" s="135">
        <f>YEAR(source[[#This Row],[report_date]])</f>
        <v>2024</v>
      </c>
      <c r="C2048" s="128">
        <f t="shared" si="87"/>
        <v>8</v>
      </c>
      <c r="D2048" s="136">
        <f t="shared" si="85"/>
        <v>32</v>
      </c>
      <c r="E2048" s="136">
        <f t="shared" si="86"/>
        <v>8</v>
      </c>
      <c r="F2048" s="128" t="s">
        <v>24</v>
      </c>
      <c r="G2048" s="128" t="str">
        <f>VLOOKUP(source[[#This Row],[lending_product_transform]],[3]Mapping!$B$4:$C$37,2,0)</f>
        <v>[Cake] - Cashloan</v>
      </c>
      <c r="H2048" s="128" t="str">
        <f>VLOOKUP(source[[#This Row],[lending_product_transform]],[3]Mapping!$B$3:$D$37,3,0)</f>
        <v>cashloan</v>
      </c>
      <c r="I2048" s="135">
        <v>95550000</v>
      </c>
    </row>
    <row r="2049" spans="1:9" x14ac:dyDescent="0.2">
      <c r="A2049" s="134">
        <v>45512</v>
      </c>
      <c r="B2049" s="135">
        <f>YEAR(source[[#This Row],[report_date]])</f>
        <v>2024</v>
      </c>
      <c r="C2049" s="128">
        <f t="shared" si="87"/>
        <v>8</v>
      </c>
      <c r="D2049" s="136">
        <f t="shared" si="85"/>
        <v>32</v>
      </c>
      <c r="E2049" s="136">
        <f t="shared" si="86"/>
        <v>8</v>
      </c>
      <c r="F2049" s="128" t="s">
        <v>24</v>
      </c>
      <c r="G2049" s="128" t="str">
        <f>VLOOKUP(source[[#This Row],[lending_product_transform]],[3]Mapping!$B$4:$C$37,2,0)</f>
        <v>[Cake] - Cashloan</v>
      </c>
      <c r="H2049" s="128" t="str">
        <f>VLOOKUP(source[[#This Row],[lending_product_transform]],[3]Mapping!$B$3:$D$37,3,0)</f>
        <v>cashloan</v>
      </c>
      <c r="I2049" s="135">
        <v>4085000000</v>
      </c>
    </row>
    <row r="2050" spans="1:9" x14ac:dyDescent="0.2">
      <c r="A2050" s="134">
        <v>45512</v>
      </c>
      <c r="B2050" s="135">
        <f>YEAR(source[[#This Row],[report_date]])</f>
        <v>2024</v>
      </c>
      <c r="C2050" s="128">
        <f t="shared" si="87"/>
        <v>8</v>
      </c>
      <c r="D2050" s="136">
        <f t="shared" si="85"/>
        <v>32</v>
      </c>
      <c r="E2050" s="136">
        <f t="shared" si="86"/>
        <v>8</v>
      </c>
      <c r="F2050" s="128" t="s">
        <v>24</v>
      </c>
      <c r="G2050" s="128" t="str">
        <f>VLOOKUP(source[[#This Row],[lending_product_transform]],[3]Mapping!$B$4:$C$37,2,0)</f>
        <v>[Cake] - Cashloan</v>
      </c>
      <c r="H2050" s="128" t="str">
        <f>VLOOKUP(source[[#This Row],[lending_product_transform]],[3]Mapping!$B$3:$D$37,3,0)</f>
        <v>cashloan</v>
      </c>
      <c r="I2050" s="135">
        <v>5450640000</v>
      </c>
    </row>
    <row r="2051" spans="1:9" x14ac:dyDescent="0.2">
      <c r="A2051" s="134">
        <v>45512</v>
      </c>
      <c r="B2051" s="135">
        <f>YEAR(source[[#This Row],[report_date]])</f>
        <v>2024</v>
      </c>
      <c r="C2051" s="128">
        <f t="shared" si="87"/>
        <v>8</v>
      </c>
      <c r="D2051" s="136">
        <f t="shared" ref="D2051:D2114" si="88">WEEKNUM(A2051,2)</f>
        <v>32</v>
      </c>
      <c r="E2051" s="136">
        <f t="shared" ref="E2051:E2114" si="89">DAY(A2051)</f>
        <v>8</v>
      </c>
      <c r="F2051" s="128" t="s">
        <v>24</v>
      </c>
      <c r="G2051" s="128" t="str">
        <f>VLOOKUP(source[[#This Row],[lending_product_transform]],[3]Mapping!$B$4:$C$37,2,0)</f>
        <v>[Cake] - Cashloan</v>
      </c>
      <c r="H2051" s="128" t="str">
        <f>VLOOKUP(source[[#This Row],[lending_product_transform]],[3]Mapping!$B$3:$D$37,3,0)</f>
        <v>cashloan</v>
      </c>
      <c r="I2051" s="135">
        <v>2593360000</v>
      </c>
    </row>
    <row r="2052" spans="1:9" x14ac:dyDescent="0.2">
      <c r="A2052" s="134">
        <v>45512</v>
      </c>
      <c r="B2052" s="135">
        <f>YEAR(source[[#This Row],[report_date]])</f>
        <v>2024</v>
      </c>
      <c r="C2052" s="128">
        <f t="shared" si="87"/>
        <v>8</v>
      </c>
      <c r="D2052" s="136">
        <f t="shared" si="88"/>
        <v>32</v>
      </c>
      <c r="E2052" s="136">
        <f t="shared" si="89"/>
        <v>8</v>
      </c>
      <c r="F2052" s="128" t="s">
        <v>24</v>
      </c>
      <c r="G2052" s="128" t="str">
        <f>VLOOKUP(source[[#This Row],[lending_product_transform]],[3]Mapping!$B$4:$C$37,2,0)</f>
        <v>[Cake] - Cashloan</v>
      </c>
      <c r="H2052" s="128" t="str">
        <f>VLOOKUP(source[[#This Row],[lending_product_transform]],[3]Mapping!$B$3:$D$37,3,0)</f>
        <v>cashloan</v>
      </c>
      <c r="I2052" s="135">
        <v>26951282</v>
      </c>
    </row>
    <row r="2053" spans="1:9" x14ac:dyDescent="0.2">
      <c r="A2053" s="134">
        <v>45512</v>
      </c>
      <c r="B2053" s="135">
        <f>YEAR(source[[#This Row],[report_date]])</f>
        <v>2024</v>
      </c>
      <c r="C2053" s="128">
        <f t="shared" si="87"/>
        <v>8</v>
      </c>
      <c r="D2053" s="136">
        <f t="shared" si="88"/>
        <v>32</v>
      </c>
      <c r="E2053" s="136">
        <f t="shared" si="89"/>
        <v>8</v>
      </c>
      <c r="F2053" s="128" t="s">
        <v>24</v>
      </c>
      <c r="G2053" s="128" t="str">
        <f>VLOOKUP(source[[#This Row],[lending_product_transform]],[3]Mapping!$B$4:$C$37,2,0)</f>
        <v>[Cake] - Cashloan</v>
      </c>
      <c r="H2053" s="128" t="str">
        <f>VLOOKUP(source[[#This Row],[lending_product_transform]],[3]Mapping!$B$3:$D$37,3,0)</f>
        <v>cashloan</v>
      </c>
      <c r="I2053" s="135">
        <v>0</v>
      </c>
    </row>
    <row r="2054" spans="1:9" x14ac:dyDescent="0.2">
      <c r="A2054" s="134">
        <v>45512</v>
      </c>
      <c r="B2054" s="135">
        <f>YEAR(source[[#This Row],[report_date]])</f>
        <v>2024</v>
      </c>
      <c r="C2054" s="128">
        <f t="shared" si="87"/>
        <v>8</v>
      </c>
      <c r="D2054" s="136">
        <f t="shared" si="88"/>
        <v>32</v>
      </c>
      <c r="E2054" s="136">
        <f t="shared" si="89"/>
        <v>8</v>
      </c>
      <c r="F2054" s="128" t="s">
        <v>24</v>
      </c>
      <c r="G2054" s="128" t="str">
        <f>VLOOKUP(source[[#This Row],[lending_product_transform]],[3]Mapping!$B$4:$C$37,2,0)</f>
        <v>[Cake] - Cashloan</v>
      </c>
      <c r="H2054" s="128" t="str">
        <f>VLOOKUP(source[[#This Row],[lending_product_transform]],[3]Mapping!$B$3:$D$37,3,0)</f>
        <v>cashloan</v>
      </c>
      <c r="I2054" s="135">
        <v>0</v>
      </c>
    </row>
    <row r="2055" spans="1:9" x14ac:dyDescent="0.2">
      <c r="A2055" s="134">
        <v>45512</v>
      </c>
      <c r="B2055" s="135">
        <f>YEAR(source[[#This Row],[report_date]])</f>
        <v>2024</v>
      </c>
      <c r="C2055" s="128">
        <f t="shared" si="87"/>
        <v>8</v>
      </c>
      <c r="D2055" s="136">
        <f t="shared" si="88"/>
        <v>32</v>
      </c>
      <c r="E2055" s="136">
        <f t="shared" si="89"/>
        <v>8</v>
      </c>
      <c r="F2055" s="128" t="s">
        <v>24</v>
      </c>
      <c r="G2055" s="128" t="str">
        <f>VLOOKUP(source[[#This Row],[lending_product_transform]],[3]Mapping!$B$4:$C$37,2,0)</f>
        <v>[Cake] - Cashloan</v>
      </c>
      <c r="H2055" s="128" t="str">
        <f>VLOOKUP(source[[#This Row],[lending_product_transform]],[3]Mapping!$B$3:$D$37,3,0)</f>
        <v>cashloan</v>
      </c>
      <c r="I2055" s="135">
        <v>1040660000</v>
      </c>
    </row>
    <row r="2056" spans="1:9" x14ac:dyDescent="0.2">
      <c r="A2056" s="134">
        <v>45513</v>
      </c>
      <c r="B2056" s="135">
        <f>YEAR(source[[#This Row],[report_date]])</f>
        <v>2024</v>
      </c>
      <c r="C2056" s="128">
        <f t="shared" si="87"/>
        <v>8</v>
      </c>
      <c r="D2056" s="136">
        <f t="shared" si="88"/>
        <v>32</v>
      </c>
      <c r="E2056" s="136">
        <f t="shared" si="89"/>
        <v>9</v>
      </c>
      <c r="F2056" s="128" t="s">
        <v>24</v>
      </c>
      <c r="G2056" s="128" t="str">
        <f>VLOOKUP(source[[#This Row],[lending_product_transform]],[3]Mapping!$B$4:$C$37,2,0)</f>
        <v>[Cake] - Cashloan</v>
      </c>
      <c r="H2056" s="128" t="str">
        <f>VLOOKUP(source[[#This Row],[lending_product_transform]],[3]Mapping!$B$3:$D$37,3,0)</f>
        <v>cashloan</v>
      </c>
      <c r="I2056" s="135">
        <v>42000000</v>
      </c>
    </row>
    <row r="2057" spans="1:9" x14ac:dyDescent="0.2">
      <c r="A2057" s="134">
        <v>45513</v>
      </c>
      <c r="B2057" s="135">
        <f>YEAR(source[[#This Row],[report_date]])</f>
        <v>2024</v>
      </c>
      <c r="C2057" s="128">
        <f t="shared" si="87"/>
        <v>8</v>
      </c>
      <c r="D2057" s="136">
        <f t="shared" si="88"/>
        <v>32</v>
      </c>
      <c r="E2057" s="136">
        <f t="shared" si="89"/>
        <v>9</v>
      </c>
      <c r="F2057" s="128" t="s">
        <v>24</v>
      </c>
      <c r="G2057" s="128" t="str">
        <f>VLOOKUP(source[[#This Row],[lending_product_transform]],[3]Mapping!$B$4:$C$37,2,0)</f>
        <v>[Cake] - Cashloan</v>
      </c>
      <c r="H2057" s="128" t="str">
        <f>VLOOKUP(source[[#This Row],[lending_product_transform]],[3]Mapping!$B$3:$D$37,3,0)</f>
        <v>cashloan</v>
      </c>
      <c r="I2057" s="135">
        <v>2306520000</v>
      </c>
    </row>
    <row r="2058" spans="1:9" x14ac:dyDescent="0.2">
      <c r="A2058" s="134">
        <v>45513</v>
      </c>
      <c r="B2058" s="135">
        <f>YEAR(source[[#This Row],[report_date]])</f>
        <v>2024</v>
      </c>
      <c r="C2058" s="128">
        <f t="shared" si="87"/>
        <v>8</v>
      </c>
      <c r="D2058" s="136">
        <f t="shared" si="88"/>
        <v>32</v>
      </c>
      <c r="E2058" s="136">
        <f t="shared" si="89"/>
        <v>9</v>
      </c>
      <c r="F2058" s="128" t="s">
        <v>24</v>
      </c>
      <c r="G2058" s="128" t="str">
        <f>VLOOKUP(source[[#This Row],[lending_product_transform]],[3]Mapping!$B$4:$C$37,2,0)</f>
        <v>[Cake] - Cashloan</v>
      </c>
      <c r="H2058" s="128" t="str">
        <f>VLOOKUP(source[[#This Row],[lending_product_transform]],[3]Mapping!$B$3:$D$37,3,0)</f>
        <v>cashloan</v>
      </c>
      <c r="I2058" s="135">
        <v>6296150000</v>
      </c>
    </row>
    <row r="2059" spans="1:9" x14ac:dyDescent="0.2">
      <c r="A2059" s="134">
        <v>45513</v>
      </c>
      <c r="B2059" s="135">
        <f>YEAR(source[[#This Row],[report_date]])</f>
        <v>2024</v>
      </c>
      <c r="C2059" s="128">
        <f t="shared" si="87"/>
        <v>8</v>
      </c>
      <c r="D2059" s="136">
        <f t="shared" si="88"/>
        <v>32</v>
      </c>
      <c r="E2059" s="136">
        <f t="shared" si="89"/>
        <v>9</v>
      </c>
      <c r="F2059" s="128" t="s">
        <v>24</v>
      </c>
      <c r="G2059" s="128" t="str">
        <f>VLOOKUP(source[[#This Row],[lending_product_transform]],[3]Mapping!$B$4:$C$37,2,0)</f>
        <v>[Cake] - Cashloan</v>
      </c>
      <c r="H2059" s="128" t="str">
        <f>VLOOKUP(source[[#This Row],[lending_product_transform]],[3]Mapping!$B$3:$D$37,3,0)</f>
        <v>cashloan</v>
      </c>
      <c r="I2059" s="135">
        <v>2799906262</v>
      </c>
    </row>
    <row r="2060" spans="1:9" x14ac:dyDescent="0.2">
      <c r="A2060" s="134">
        <v>45513</v>
      </c>
      <c r="B2060" s="135">
        <f>YEAR(source[[#This Row],[report_date]])</f>
        <v>2024</v>
      </c>
      <c r="C2060" s="128">
        <f t="shared" si="87"/>
        <v>8</v>
      </c>
      <c r="D2060" s="136">
        <f t="shared" si="88"/>
        <v>32</v>
      </c>
      <c r="E2060" s="136">
        <f t="shared" si="89"/>
        <v>9</v>
      </c>
      <c r="F2060" s="128" t="s">
        <v>24</v>
      </c>
      <c r="G2060" s="128" t="str">
        <f>VLOOKUP(source[[#This Row],[lending_product_transform]],[3]Mapping!$B$4:$C$37,2,0)</f>
        <v>[Cake] - Cashloan</v>
      </c>
      <c r="H2060" s="128" t="str">
        <f>VLOOKUP(source[[#This Row],[lending_product_transform]],[3]Mapping!$B$3:$D$37,3,0)</f>
        <v>cashloan</v>
      </c>
      <c r="I2060" s="135">
        <v>69300000</v>
      </c>
    </row>
    <row r="2061" spans="1:9" x14ac:dyDescent="0.2">
      <c r="A2061" s="134">
        <v>45513</v>
      </c>
      <c r="B2061" s="135">
        <f>YEAR(source[[#This Row],[report_date]])</f>
        <v>2024</v>
      </c>
      <c r="C2061" s="128">
        <f t="shared" si="87"/>
        <v>8</v>
      </c>
      <c r="D2061" s="136">
        <f t="shared" si="88"/>
        <v>32</v>
      </c>
      <c r="E2061" s="136">
        <f t="shared" si="89"/>
        <v>9</v>
      </c>
      <c r="F2061" s="128" t="s">
        <v>24</v>
      </c>
      <c r="G2061" s="128" t="str">
        <f>VLOOKUP(source[[#This Row],[lending_product_transform]],[3]Mapping!$B$4:$C$37,2,0)</f>
        <v>[Cake] - Cashloan</v>
      </c>
      <c r="H2061" s="128" t="str">
        <f>VLOOKUP(source[[#This Row],[lending_product_transform]],[3]Mapping!$B$3:$D$37,3,0)</f>
        <v>cashloan</v>
      </c>
      <c r="I2061" s="135">
        <v>41095650</v>
      </c>
    </row>
    <row r="2062" spans="1:9" x14ac:dyDescent="0.2">
      <c r="A2062" s="134">
        <v>45513</v>
      </c>
      <c r="B2062" s="135">
        <f>YEAR(source[[#This Row],[report_date]])</f>
        <v>2024</v>
      </c>
      <c r="C2062" s="128">
        <f t="shared" si="87"/>
        <v>8</v>
      </c>
      <c r="D2062" s="136">
        <f t="shared" si="88"/>
        <v>32</v>
      </c>
      <c r="E2062" s="136">
        <f t="shared" si="89"/>
        <v>9</v>
      </c>
      <c r="F2062" s="128" t="s">
        <v>24</v>
      </c>
      <c r="G2062" s="128" t="str">
        <f>VLOOKUP(source[[#This Row],[lending_product_transform]],[3]Mapping!$B$4:$C$37,2,0)</f>
        <v>[Cake] - Cashloan</v>
      </c>
      <c r="H2062" s="128" t="str">
        <f>VLOOKUP(source[[#This Row],[lending_product_transform]],[3]Mapping!$B$3:$D$37,3,0)</f>
        <v>cashloan</v>
      </c>
      <c r="I2062" s="135">
        <v>4475500000</v>
      </c>
    </row>
    <row r="2063" spans="1:9" x14ac:dyDescent="0.2">
      <c r="A2063" s="134">
        <v>45513</v>
      </c>
      <c r="B2063" s="135">
        <f>YEAR(source[[#This Row],[report_date]])</f>
        <v>2024</v>
      </c>
      <c r="C2063" s="128">
        <f t="shared" si="87"/>
        <v>8</v>
      </c>
      <c r="D2063" s="136">
        <f t="shared" si="88"/>
        <v>32</v>
      </c>
      <c r="E2063" s="136">
        <f t="shared" si="89"/>
        <v>9</v>
      </c>
      <c r="F2063" s="128" t="s">
        <v>24</v>
      </c>
      <c r="G2063" s="128" t="str">
        <f>VLOOKUP(source[[#This Row],[lending_product_transform]],[3]Mapping!$B$4:$C$37,2,0)</f>
        <v>[Cake] - Cashloan</v>
      </c>
      <c r="H2063" s="128" t="str">
        <f>VLOOKUP(source[[#This Row],[lending_product_transform]],[3]Mapping!$B$3:$D$37,3,0)</f>
        <v>cashloan</v>
      </c>
      <c r="I2063" s="135">
        <v>72000000</v>
      </c>
    </row>
    <row r="2064" spans="1:9" x14ac:dyDescent="0.2">
      <c r="A2064" s="134">
        <v>45513</v>
      </c>
      <c r="B2064" s="135">
        <f>YEAR(source[[#This Row],[report_date]])</f>
        <v>2024</v>
      </c>
      <c r="C2064" s="128">
        <f t="shared" si="87"/>
        <v>8</v>
      </c>
      <c r="D2064" s="136">
        <f t="shared" si="88"/>
        <v>32</v>
      </c>
      <c r="E2064" s="136">
        <f t="shared" si="89"/>
        <v>9</v>
      </c>
      <c r="F2064" s="128" t="s">
        <v>24</v>
      </c>
      <c r="G2064" s="128" t="str">
        <f>VLOOKUP(source[[#This Row],[lending_product_transform]],[3]Mapping!$B$4:$C$37,2,0)</f>
        <v>[Cake] - Cashloan</v>
      </c>
      <c r="H2064" s="128" t="str">
        <f>VLOOKUP(source[[#This Row],[lending_product_transform]],[3]Mapping!$B$3:$D$37,3,0)</f>
        <v>cashloan</v>
      </c>
      <c r="I2064" s="135">
        <v>1245150000</v>
      </c>
    </row>
    <row r="2065" spans="1:9" x14ac:dyDescent="0.2">
      <c r="A2065" s="134">
        <v>45513</v>
      </c>
      <c r="B2065" s="135">
        <f>YEAR(source[[#This Row],[report_date]])</f>
        <v>2024</v>
      </c>
      <c r="C2065" s="128">
        <f t="shared" si="87"/>
        <v>8</v>
      </c>
      <c r="D2065" s="136">
        <f t="shared" si="88"/>
        <v>32</v>
      </c>
      <c r="E2065" s="136">
        <f t="shared" si="89"/>
        <v>9</v>
      </c>
      <c r="F2065" s="128" t="s">
        <v>24</v>
      </c>
      <c r="G2065" s="128" t="str">
        <f>VLOOKUP(source[[#This Row],[lending_product_transform]],[3]Mapping!$B$4:$C$37,2,0)</f>
        <v>[Cake] - Cashloan</v>
      </c>
      <c r="H2065" s="128" t="str">
        <f>VLOOKUP(source[[#This Row],[lending_product_transform]],[3]Mapping!$B$3:$D$37,3,0)</f>
        <v>cashloan</v>
      </c>
      <c r="I2065" s="135">
        <v>204083998</v>
      </c>
    </row>
    <row r="2066" spans="1:9" x14ac:dyDescent="0.2">
      <c r="A2066" s="134">
        <v>45513</v>
      </c>
      <c r="B2066" s="135">
        <f>YEAR(source[[#This Row],[report_date]])</f>
        <v>2024</v>
      </c>
      <c r="C2066" s="128">
        <f t="shared" si="87"/>
        <v>8</v>
      </c>
      <c r="D2066" s="136">
        <f t="shared" si="88"/>
        <v>32</v>
      </c>
      <c r="E2066" s="136">
        <f t="shared" si="89"/>
        <v>9</v>
      </c>
      <c r="F2066" s="128" t="s">
        <v>24</v>
      </c>
      <c r="G2066" s="128" t="str">
        <f>VLOOKUP(source[[#This Row],[lending_product_transform]],[3]Mapping!$B$4:$C$37,2,0)</f>
        <v>[Cake] - Cashloan</v>
      </c>
      <c r="H2066" s="128" t="str">
        <f>VLOOKUP(source[[#This Row],[lending_product_transform]],[3]Mapping!$B$3:$D$37,3,0)</f>
        <v>cashloan</v>
      </c>
      <c r="I2066" s="135">
        <v>0</v>
      </c>
    </row>
    <row r="2067" spans="1:9" x14ac:dyDescent="0.2">
      <c r="A2067" s="134">
        <v>45513</v>
      </c>
      <c r="B2067" s="135">
        <f>YEAR(source[[#This Row],[report_date]])</f>
        <v>2024</v>
      </c>
      <c r="C2067" s="128">
        <f t="shared" si="87"/>
        <v>8</v>
      </c>
      <c r="D2067" s="136">
        <f t="shared" si="88"/>
        <v>32</v>
      </c>
      <c r="E2067" s="136">
        <f t="shared" si="89"/>
        <v>9</v>
      </c>
      <c r="F2067" s="128" t="s">
        <v>24</v>
      </c>
      <c r="G2067" s="128" t="str">
        <f>VLOOKUP(source[[#This Row],[lending_product_transform]],[3]Mapping!$B$4:$C$37,2,0)</f>
        <v>[Cake] - Cashloan</v>
      </c>
      <c r="H2067" s="128" t="str">
        <f>VLOOKUP(source[[#This Row],[lending_product_transform]],[3]Mapping!$B$3:$D$37,3,0)</f>
        <v>cashloan</v>
      </c>
      <c r="I2067" s="135">
        <v>17560265910</v>
      </c>
    </row>
    <row r="2068" spans="1:9" x14ac:dyDescent="0.2">
      <c r="A2068" s="134">
        <v>45513</v>
      </c>
      <c r="B2068" s="135">
        <f>YEAR(source[[#This Row],[report_date]])</f>
        <v>2024</v>
      </c>
      <c r="C2068" s="128">
        <f t="shared" si="87"/>
        <v>8</v>
      </c>
      <c r="D2068" s="136">
        <f t="shared" si="88"/>
        <v>32</v>
      </c>
      <c r="E2068" s="136">
        <f t="shared" si="89"/>
        <v>9</v>
      </c>
      <c r="F2068" s="128" t="s">
        <v>24</v>
      </c>
      <c r="G2068" s="128" t="str">
        <f>VLOOKUP(source[[#This Row],[lending_product_transform]],[3]Mapping!$B$4:$C$37,2,0)</f>
        <v>[Cake] - Cashloan</v>
      </c>
      <c r="H2068" s="128" t="str">
        <f>VLOOKUP(source[[#This Row],[lending_product_transform]],[3]Mapping!$B$3:$D$37,3,0)</f>
        <v>cashloan</v>
      </c>
      <c r="I2068" s="135">
        <v>8560000</v>
      </c>
    </row>
    <row r="2069" spans="1:9" x14ac:dyDescent="0.2">
      <c r="A2069" s="134">
        <v>45514</v>
      </c>
      <c r="B2069" s="135">
        <f>YEAR(source[[#This Row],[report_date]])</f>
        <v>2024</v>
      </c>
      <c r="C2069" s="128">
        <f t="shared" ref="C2069:C2132" si="90">MONTH(A2069)</f>
        <v>8</v>
      </c>
      <c r="D2069" s="136">
        <f t="shared" si="88"/>
        <v>32</v>
      </c>
      <c r="E2069" s="136">
        <f t="shared" si="89"/>
        <v>10</v>
      </c>
      <c r="F2069" s="128" t="s">
        <v>24</v>
      </c>
      <c r="G2069" s="128" t="str">
        <f>VLOOKUP(source[[#This Row],[lending_product_transform]],[3]Mapping!$B$4:$C$37,2,0)</f>
        <v>[Cake] - Cashloan</v>
      </c>
      <c r="H2069" s="128" t="str">
        <f>VLOOKUP(source[[#This Row],[lending_product_transform]],[3]Mapping!$B$3:$D$37,3,0)</f>
        <v>cashloan</v>
      </c>
      <c r="I2069" s="135">
        <v>2506066767</v>
      </c>
    </row>
    <row r="2070" spans="1:9" x14ac:dyDescent="0.2">
      <c r="A2070" s="134">
        <v>45514</v>
      </c>
      <c r="B2070" s="135">
        <f>YEAR(source[[#This Row],[report_date]])</f>
        <v>2024</v>
      </c>
      <c r="C2070" s="128">
        <f t="shared" si="90"/>
        <v>8</v>
      </c>
      <c r="D2070" s="136">
        <f t="shared" si="88"/>
        <v>32</v>
      </c>
      <c r="E2070" s="136">
        <f t="shared" si="89"/>
        <v>10</v>
      </c>
      <c r="F2070" s="128" t="s">
        <v>24</v>
      </c>
      <c r="G2070" s="128" t="str">
        <f>VLOOKUP(source[[#This Row],[lending_product_transform]],[3]Mapping!$B$4:$C$37,2,0)</f>
        <v>[Cake] - Cashloan</v>
      </c>
      <c r="H2070" s="128" t="str">
        <f>VLOOKUP(source[[#This Row],[lending_product_transform]],[3]Mapping!$B$3:$D$37,3,0)</f>
        <v>cashloan</v>
      </c>
      <c r="I2070" s="135">
        <v>38667787</v>
      </c>
    </row>
    <row r="2071" spans="1:9" x14ac:dyDescent="0.2">
      <c r="A2071" s="134">
        <v>45514</v>
      </c>
      <c r="B2071" s="135">
        <f>YEAR(source[[#This Row],[report_date]])</f>
        <v>2024</v>
      </c>
      <c r="C2071" s="128">
        <f t="shared" si="90"/>
        <v>8</v>
      </c>
      <c r="D2071" s="136">
        <f t="shared" si="88"/>
        <v>32</v>
      </c>
      <c r="E2071" s="136">
        <f t="shared" si="89"/>
        <v>10</v>
      </c>
      <c r="F2071" s="128" t="s">
        <v>24</v>
      </c>
      <c r="G2071" s="128" t="str">
        <f>VLOOKUP(source[[#This Row],[lending_product_transform]],[3]Mapping!$B$4:$C$37,2,0)</f>
        <v>[Cake] - Cashloan</v>
      </c>
      <c r="H2071" s="128" t="str">
        <f>VLOOKUP(source[[#This Row],[lending_product_transform]],[3]Mapping!$B$3:$D$37,3,0)</f>
        <v>cashloan</v>
      </c>
      <c r="I2071" s="135">
        <v>40000000</v>
      </c>
    </row>
    <row r="2072" spans="1:9" x14ac:dyDescent="0.2">
      <c r="A2072" s="134">
        <v>45514</v>
      </c>
      <c r="B2072" s="135">
        <f>YEAR(source[[#This Row],[report_date]])</f>
        <v>2024</v>
      </c>
      <c r="C2072" s="128">
        <f t="shared" si="90"/>
        <v>8</v>
      </c>
      <c r="D2072" s="136">
        <f t="shared" si="88"/>
        <v>32</v>
      </c>
      <c r="E2072" s="136">
        <f t="shared" si="89"/>
        <v>10</v>
      </c>
      <c r="F2072" s="128" t="s">
        <v>24</v>
      </c>
      <c r="G2072" s="128" t="str">
        <f>VLOOKUP(source[[#This Row],[lending_product_transform]],[3]Mapping!$B$4:$C$37,2,0)</f>
        <v>[Cake] - Cashloan</v>
      </c>
      <c r="H2072" s="128" t="str">
        <f>VLOOKUP(source[[#This Row],[lending_product_transform]],[3]Mapping!$B$3:$D$37,3,0)</f>
        <v>cashloan</v>
      </c>
      <c r="I2072" s="135">
        <v>5790810000</v>
      </c>
    </row>
    <row r="2073" spans="1:9" x14ac:dyDescent="0.2">
      <c r="A2073" s="134">
        <v>45514</v>
      </c>
      <c r="B2073" s="135">
        <f>YEAR(source[[#This Row],[report_date]])</f>
        <v>2024</v>
      </c>
      <c r="C2073" s="128">
        <f t="shared" si="90"/>
        <v>8</v>
      </c>
      <c r="D2073" s="136">
        <f t="shared" si="88"/>
        <v>32</v>
      </c>
      <c r="E2073" s="136">
        <f t="shared" si="89"/>
        <v>10</v>
      </c>
      <c r="F2073" s="128" t="s">
        <v>24</v>
      </c>
      <c r="G2073" s="128" t="str">
        <f>VLOOKUP(source[[#This Row],[lending_product_transform]],[3]Mapping!$B$4:$C$37,2,0)</f>
        <v>[Cake] - Cashloan</v>
      </c>
      <c r="H2073" s="128" t="str">
        <f>VLOOKUP(source[[#This Row],[lending_product_transform]],[3]Mapping!$B$3:$D$37,3,0)</f>
        <v>cashloan</v>
      </c>
      <c r="I2073" s="135">
        <v>200087381</v>
      </c>
    </row>
    <row r="2074" spans="1:9" x14ac:dyDescent="0.2">
      <c r="A2074" s="134">
        <v>45514</v>
      </c>
      <c r="B2074" s="135">
        <f>YEAR(source[[#This Row],[report_date]])</f>
        <v>2024</v>
      </c>
      <c r="C2074" s="128">
        <f t="shared" si="90"/>
        <v>8</v>
      </c>
      <c r="D2074" s="136">
        <f t="shared" si="88"/>
        <v>32</v>
      </c>
      <c r="E2074" s="136">
        <f t="shared" si="89"/>
        <v>10</v>
      </c>
      <c r="F2074" s="128" t="s">
        <v>24</v>
      </c>
      <c r="G2074" s="128" t="str">
        <f>VLOOKUP(source[[#This Row],[lending_product_transform]],[3]Mapping!$B$4:$C$37,2,0)</f>
        <v>[Cake] - Cashloan</v>
      </c>
      <c r="H2074" s="128" t="str">
        <f>VLOOKUP(source[[#This Row],[lending_product_transform]],[3]Mapping!$B$3:$D$37,3,0)</f>
        <v>cashloan</v>
      </c>
      <c r="I2074" s="135">
        <v>0</v>
      </c>
    </row>
    <row r="2075" spans="1:9" x14ac:dyDescent="0.2">
      <c r="A2075" s="134">
        <v>45514</v>
      </c>
      <c r="B2075" s="135">
        <f>YEAR(source[[#This Row],[report_date]])</f>
        <v>2024</v>
      </c>
      <c r="C2075" s="128">
        <f t="shared" si="90"/>
        <v>8</v>
      </c>
      <c r="D2075" s="136">
        <f t="shared" si="88"/>
        <v>32</v>
      </c>
      <c r="E2075" s="136">
        <f t="shared" si="89"/>
        <v>10</v>
      </c>
      <c r="F2075" s="128" t="s">
        <v>24</v>
      </c>
      <c r="G2075" s="128" t="str">
        <f>VLOOKUP(source[[#This Row],[lending_product_transform]],[3]Mapping!$B$4:$C$37,2,0)</f>
        <v>[Cake] - Cashloan</v>
      </c>
      <c r="H2075" s="128" t="str">
        <f>VLOOKUP(source[[#This Row],[lending_product_transform]],[3]Mapping!$B$3:$D$37,3,0)</f>
        <v>cashloan</v>
      </c>
      <c r="I2075" s="135">
        <v>0</v>
      </c>
    </row>
    <row r="2076" spans="1:9" x14ac:dyDescent="0.2">
      <c r="A2076" s="134">
        <v>45514</v>
      </c>
      <c r="B2076" s="135">
        <f>YEAR(source[[#This Row],[report_date]])</f>
        <v>2024</v>
      </c>
      <c r="C2076" s="128">
        <f t="shared" si="90"/>
        <v>8</v>
      </c>
      <c r="D2076" s="136">
        <f t="shared" si="88"/>
        <v>32</v>
      </c>
      <c r="E2076" s="136">
        <f t="shared" si="89"/>
        <v>10</v>
      </c>
      <c r="F2076" s="128" t="s">
        <v>24</v>
      </c>
      <c r="G2076" s="128" t="str">
        <f>VLOOKUP(source[[#This Row],[lending_product_transform]],[3]Mapping!$B$4:$C$37,2,0)</f>
        <v>[Cake] - Cashloan</v>
      </c>
      <c r="H2076" s="128" t="str">
        <f>VLOOKUP(source[[#This Row],[lending_product_transform]],[3]Mapping!$B$3:$D$37,3,0)</f>
        <v>cashloan</v>
      </c>
      <c r="I2076" s="135">
        <v>44100000</v>
      </c>
    </row>
    <row r="2077" spans="1:9" x14ac:dyDescent="0.2">
      <c r="A2077" s="134">
        <v>45514</v>
      </c>
      <c r="B2077" s="135">
        <f>YEAR(source[[#This Row],[report_date]])</f>
        <v>2024</v>
      </c>
      <c r="C2077" s="128">
        <f t="shared" si="90"/>
        <v>8</v>
      </c>
      <c r="D2077" s="136">
        <f t="shared" si="88"/>
        <v>32</v>
      </c>
      <c r="E2077" s="136">
        <f t="shared" si="89"/>
        <v>10</v>
      </c>
      <c r="F2077" s="128" t="s">
        <v>24</v>
      </c>
      <c r="G2077" s="128" t="str">
        <f>VLOOKUP(source[[#This Row],[lending_product_transform]],[3]Mapping!$B$4:$C$37,2,0)</f>
        <v>[Cake] - Cashloan</v>
      </c>
      <c r="H2077" s="128" t="str">
        <f>VLOOKUP(source[[#This Row],[lending_product_transform]],[3]Mapping!$B$3:$D$37,3,0)</f>
        <v>cashloan</v>
      </c>
      <c r="I2077" s="135">
        <v>17380021935</v>
      </c>
    </row>
    <row r="2078" spans="1:9" x14ac:dyDescent="0.2">
      <c r="A2078" s="134">
        <v>45514</v>
      </c>
      <c r="B2078" s="135">
        <f>YEAR(source[[#This Row],[report_date]])</f>
        <v>2024</v>
      </c>
      <c r="C2078" s="128">
        <f t="shared" si="90"/>
        <v>8</v>
      </c>
      <c r="D2078" s="136">
        <f t="shared" si="88"/>
        <v>32</v>
      </c>
      <c r="E2078" s="136">
        <f t="shared" si="89"/>
        <v>10</v>
      </c>
      <c r="F2078" s="128" t="s">
        <v>24</v>
      </c>
      <c r="G2078" s="128" t="str">
        <f>VLOOKUP(source[[#This Row],[lending_product_transform]],[3]Mapping!$B$4:$C$37,2,0)</f>
        <v>[Cake] - Cashloan</v>
      </c>
      <c r="H2078" s="128" t="str">
        <f>VLOOKUP(source[[#This Row],[lending_product_transform]],[3]Mapping!$B$3:$D$37,3,0)</f>
        <v>cashloan</v>
      </c>
      <c r="I2078" s="135">
        <v>2618570000</v>
      </c>
    </row>
    <row r="2079" spans="1:9" x14ac:dyDescent="0.2">
      <c r="A2079" s="134">
        <v>45514</v>
      </c>
      <c r="B2079" s="135">
        <f>YEAR(source[[#This Row],[report_date]])</f>
        <v>2024</v>
      </c>
      <c r="C2079" s="128">
        <f t="shared" si="90"/>
        <v>8</v>
      </c>
      <c r="D2079" s="136">
        <f t="shared" si="88"/>
        <v>32</v>
      </c>
      <c r="E2079" s="136">
        <f t="shared" si="89"/>
        <v>10</v>
      </c>
      <c r="F2079" s="128" t="s">
        <v>24</v>
      </c>
      <c r="G2079" s="128" t="str">
        <f>VLOOKUP(source[[#This Row],[lending_product_transform]],[3]Mapping!$B$4:$C$37,2,0)</f>
        <v>[Cake] - Cashloan</v>
      </c>
      <c r="H2079" s="128" t="str">
        <f>VLOOKUP(source[[#This Row],[lending_product_transform]],[3]Mapping!$B$3:$D$37,3,0)</f>
        <v>cashloan</v>
      </c>
      <c r="I2079" s="135">
        <v>4537000000</v>
      </c>
    </row>
    <row r="2080" spans="1:9" x14ac:dyDescent="0.2">
      <c r="A2080" s="134">
        <v>45514</v>
      </c>
      <c r="B2080" s="135">
        <f>YEAR(source[[#This Row],[report_date]])</f>
        <v>2024</v>
      </c>
      <c r="C2080" s="128">
        <f t="shared" si="90"/>
        <v>8</v>
      </c>
      <c r="D2080" s="136">
        <f t="shared" si="88"/>
        <v>32</v>
      </c>
      <c r="E2080" s="136">
        <f t="shared" si="89"/>
        <v>10</v>
      </c>
      <c r="F2080" s="128" t="s">
        <v>24</v>
      </c>
      <c r="G2080" s="128" t="str">
        <f>VLOOKUP(source[[#This Row],[lending_product_transform]],[3]Mapping!$B$4:$C$37,2,0)</f>
        <v>[Cake] - Cashloan</v>
      </c>
      <c r="H2080" s="128" t="str">
        <f>VLOOKUP(source[[#This Row],[lending_product_transform]],[3]Mapping!$B$3:$D$37,3,0)</f>
        <v>cashloan</v>
      </c>
      <c r="I2080" s="135">
        <v>54600000</v>
      </c>
    </row>
    <row r="2081" spans="1:9" x14ac:dyDescent="0.2">
      <c r="A2081" s="134">
        <v>45514</v>
      </c>
      <c r="B2081" s="135">
        <f>YEAR(source[[#This Row],[report_date]])</f>
        <v>2024</v>
      </c>
      <c r="C2081" s="128">
        <f t="shared" si="90"/>
        <v>8</v>
      </c>
      <c r="D2081" s="136">
        <f t="shared" si="88"/>
        <v>32</v>
      </c>
      <c r="E2081" s="136">
        <f t="shared" si="89"/>
        <v>10</v>
      </c>
      <c r="F2081" s="128" t="s">
        <v>24</v>
      </c>
      <c r="G2081" s="128" t="str">
        <f>VLOOKUP(source[[#This Row],[lending_product_transform]],[3]Mapping!$B$4:$C$37,2,0)</f>
        <v>[Cake] - Cashloan</v>
      </c>
      <c r="H2081" s="128" t="str">
        <f>VLOOKUP(source[[#This Row],[lending_product_transform]],[3]Mapping!$B$3:$D$37,3,0)</f>
        <v>cashloan</v>
      </c>
      <c r="I2081" s="135">
        <v>1550120000</v>
      </c>
    </row>
    <row r="2082" spans="1:9" x14ac:dyDescent="0.2">
      <c r="A2082" s="134">
        <v>45515</v>
      </c>
      <c r="B2082" s="135">
        <f>YEAR(source[[#This Row],[report_date]])</f>
        <v>2024</v>
      </c>
      <c r="C2082" s="128">
        <f t="shared" si="90"/>
        <v>8</v>
      </c>
      <c r="D2082" s="136">
        <f t="shared" si="88"/>
        <v>32</v>
      </c>
      <c r="E2082" s="136">
        <f t="shared" si="89"/>
        <v>11</v>
      </c>
      <c r="F2082" s="128" t="s">
        <v>24</v>
      </c>
      <c r="G2082" s="128" t="str">
        <f>VLOOKUP(source[[#This Row],[lending_product_transform]],[3]Mapping!$B$4:$C$37,2,0)</f>
        <v>[Cake] - Cashloan</v>
      </c>
      <c r="H2082" s="128" t="str">
        <f>VLOOKUP(source[[#This Row],[lending_product_transform]],[3]Mapping!$B$3:$D$37,3,0)</f>
        <v>cashloan</v>
      </c>
      <c r="I2082" s="135">
        <v>12357492848</v>
      </c>
    </row>
    <row r="2083" spans="1:9" x14ac:dyDescent="0.2">
      <c r="A2083" s="134">
        <v>45515</v>
      </c>
      <c r="B2083" s="135">
        <f>YEAR(source[[#This Row],[report_date]])</f>
        <v>2024</v>
      </c>
      <c r="C2083" s="128">
        <f t="shared" si="90"/>
        <v>8</v>
      </c>
      <c r="D2083" s="136">
        <f t="shared" si="88"/>
        <v>32</v>
      </c>
      <c r="E2083" s="136">
        <f t="shared" si="89"/>
        <v>11</v>
      </c>
      <c r="F2083" s="128" t="s">
        <v>24</v>
      </c>
      <c r="G2083" s="128" t="str">
        <f>VLOOKUP(source[[#This Row],[lending_product_transform]],[3]Mapping!$B$4:$C$37,2,0)</f>
        <v>[Cake] - Cashloan</v>
      </c>
      <c r="H2083" s="128" t="str">
        <f>VLOOKUP(source[[#This Row],[lending_product_transform]],[3]Mapping!$B$3:$D$37,3,0)</f>
        <v>cashloan</v>
      </c>
      <c r="I2083" s="135">
        <v>31000000</v>
      </c>
    </row>
    <row r="2084" spans="1:9" x14ac:dyDescent="0.2">
      <c r="A2084" s="134">
        <v>45515</v>
      </c>
      <c r="B2084" s="135">
        <f>YEAR(source[[#This Row],[report_date]])</f>
        <v>2024</v>
      </c>
      <c r="C2084" s="128">
        <f t="shared" si="90"/>
        <v>8</v>
      </c>
      <c r="D2084" s="136">
        <f t="shared" si="88"/>
        <v>32</v>
      </c>
      <c r="E2084" s="136">
        <f t="shared" si="89"/>
        <v>11</v>
      </c>
      <c r="F2084" s="128" t="s">
        <v>24</v>
      </c>
      <c r="G2084" s="128" t="str">
        <f>VLOOKUP(source[[#This Row],[lending_product_transform]],[3]Mapping!$B$4:$C$37,2,0)</f>
        <v>[Cake] - Cashloan</v>
      </c>
      <c r="H2084" s="128" t="str">
        <f>VLOOKUP(source[[#This Row],[lending_product_transform]],[3]Mapping!$B$3:$D$37,3,0)</f>
        <v>cashloan</v>
      </c>
      <c r="I2084" s="135">
        <v>57750000</v>
      </c>
    </row>
    <row r="2085" spans="1:9" x14ac:dyDescent="0.2">
      <c r="A2085" s="134">
        <v>45515</v>
      </c>
      <c r="B2085" s="135">
        <f>YEAR(source[[#This Row],[report_date]])</f>
        <v>2024</v>
      </c>
      <c r="C2085" s="128">
        <f t="shared" si="90"/>
        <v>8</v>
      </c>
      <c r="D2085" s="136">
        <f t="shared" si="88"/>
        <v>32</v>
      </c>
      <c r="E2085" s="136">
        <f t="shared" si="89"/>
        <v>11</v>
      </c>
      <c r="F2085" s="128" t="s">
        <v>24</v>
      </c>
      <c r="G2085" s="128" t="str">
        <f>VLOOKUP(source[[#This Row],[lending_product_transform]],[3]Mapping!$B$4:$C$37,2,0)</f>
        <v>[Cake] - Cashloan</v>
      </c>
      <c r="H2085" s="128" t="str">
        <f>VLOOKUP(source[[#This Row],[lending_product_transform]],[3]Mapping!$B$3:$D$37,3,0)</f>
        <v>cashloan</v>
      </c>
      <c r="I2085" s="135">
        <v>1776650000</v>
      </c>
    </row>
    <row r="2086" spans="1:9" x14ac:dyDescent="0.2">
      <c r="A2086" s="134">
        <v>45515</v>
      </c>
      <c r="B2086" s="135">
        <f>YEAR(source[[#This Row],[report_date]])</f>
        <v>2024</v>
      </c>
      <c r="C2086" s="128">
        <f t="shared" si="90"/>
        <v>8</v>
      </c>
      <c r="D2086" s="136">
        <f t="shared" si="88"/>
        <v>32</v>
      </c>
      <c r="E2086" s="136">
        <f t="shared" si="89"/>
        <v>11</v>
      </c>
      <c r="F2086" s="128" t="s">
        <v>24</v>
      </c>
      <c r="G2086" s="128" t="str">
        <f>VLOOKUP(source[[#This Row],[lending_product_transform]],[3]Mapping!$B$4:$C$37,2,0)</f>
        <v>[Cake] - Cashloan</v>
      </c>
      <c r="H2086" s="128" t="str">
        <f>VLOOKUP(source[[#This Row],[lending_product_transform]],[3]Mapping!$B$3:$D$37,3,0)</f>
        <v>cashloan</v>
      </c>
      <c r="I2086" s="135">
        <v>136003530</v>
      </c>
    </row>
    <row r="2087" spans="1:9" x14ac:dyDescent="0.2">
      <c r="A2087" s="134">
        <v>45515</v>
      </c>
      <c r="B2087" s="135">
        <f>YEAR(source[[#This Row],[report_date]])</f>
        <v>2024</v>
      </c>
      <c r="C2087" s="128">
        <f t="shared" si="90"/>
        <v>8</v>
      </c>
      <c r="D2087" s="136">
        <f t="shared" si="88"/>
        <v>32</v>
      </c>
      <c r="E2087" s="136">
        <f t="shared" si="89"/>
        <v>11</v>
      </c>
      <c r="F2087" s="128" t="s">
        <v>24</v>
      </c>
      <c r="G2087" s="128" t="str">
        <f>VLOOKUP(source[[#This Row],[lending_product_transform]],[3]Mapping!$B$4:$C$37,2,0)</f>
        <v>[Cake] - Cashloan</v>
      </c>
      <c r="H2087" s="128" t="str">
        <f>VLOOKUP(source[[#This Row],[lending_product_transform]],[3]Mapping!$B$3:$D$37,3,0)</f>
        <v>cashloan</v>
      </c>
      <c r="I2087" s="135">
        <v>432280000</v>
      </c>
    </row>
    <row r="2088" spans="1:9" x14ac:dyDescent="0.2">
      <c r="A2088" s="134">
        <v>45515</v>
      </c>
      <c r="B2088" s="135">
        <f>YEAR(source[[#This Row],[report_date]])</f>
        <v>2024</v>
      </c>
      <c r="C2088" s="128">
        <f t="shared" si="90"/>
        <v>8</v>
      </c>
      <c r="D2088" s="136">
        <f t="shared" si="88"/>
        <v>32</v>
      </c>
      <c r="E2088" s="136">
        <f t="shared" si="89"/>
        <v>11</v>
      </c>
      <c r="F2088" s="128" t="s">
        <v>24</v>
      </c>
      <c r="G2088" s="128" t="str">
        <f>VLOOKUP(source[[#This Row],[lending_product_transform]],[3]Mapping!$B$4:$C$37,2,0)</f>
        <v>[Cake] - Cashloan</v>
      </c>
      <c r="H2088" s="128" t="str">
        <f>VLOOKUP(source[[#This Row],[lending_product_transform]],[3]Mapping!$B$3:$D$37,3,0)</f>
        <v>cashloan</v>
      </c>
      <c r="I2088" s="135">
        <v>46750000</v>
      </c>
    </row>
    <row r="2089" spans="1:9" x14ac:dyDescent="0.2">
      <c r="A2089" s="134">
        <v>45515</v>
      </c>
      <c r="B2089" s="135">
        <f>YEAR(source[[#This Row],[report_date]])</f>
        <v>2024</v>
      </c>
      <c r="C2089" s="128">
        <f t="shared" si="90"/>
        <v>8</v>
      </c>
      <c r="D2089" s="136">
        <f t="shared" si="88"/>
        <v>32</v>
      </c>
      <c r="E2089" s="136">
        <f t="shared" si="89"/>
        <v>11</v>
      </c>
      <c r="F2089" s="128" t="s">
        <v>24</v>
      </c>
      <c r="G2089" s="128" t="str">
        <f>VLOOKUP(source[[#This Row],[lending_product_transform]],[3]Mapping!$B$4:$C$37,2,0)</f>
        <v>[Cake] - Cashloan</v>
      </c>
      <c r="H2089" s="128" t="str">
        <f>VLOOKUP(source[[#This Row],[lending_product_transform]],[3]Mapping!$B$3:$D$37,3,0)</f>
        <v>cashloan</v>
      </c>
      <c r="I2089" s="135">
        <v>1769767742</v>
      </c>
    </row>
    <row r="2090" spans="1:9" x14ac:dyDescent="0.2">
      <c r="A2090" s="134">
        <v>45515</v>
      </c>
      <c r="B2090" s="135">
        <f>YEAR(source[[#This Row],[report_date]])</f>
        <v>2024</v>
      </c>
      <c r="C2090" s="128">
        <f t="shared" si="90"/>
        <v>8</v>
      </c>
      <c r="D2090" s="136">
        <f t="shared" si="88"/>
        <v>32</v>
      </c>
      <c r="E2090" s="136">
        <f t="shared" si="89"/>
        <v>11</v>
      </c>
      <c r="F2090" s="128" t="s">
        <v>24</v>
      </c>
      <c r="G2090" s="128" t="str">
        <f>VLOOKUP(source[[#This Row],[lending_product_transform]],[3]Mapping!$B$4:$C$37,2,0)</f>
        <v>[Cake] - Cashloan</v>
      </c>
      <c r="H2090" s="128" t="str">
        <f>VLOOKUP(source[[#This Row],[lending_product_transform]],[3]Mapping!$B$3:$D$37,3,0)</f>
        <v>cashloan</v>
      </c>
      <c r="I2090" s="135">
        <v>29461576</v>
      </c>
    </row>
    <row r="2091" spans="1:9" x14ac:dyDescent="0.2">
      <c r="A2091" s="134">
        <v>45515</v>
      </c>
      <c r="B2091" s="135">
        <f>YEAR(source[[#This Row],[report_date]])</f>
        <v>2024</v>
      </c>
      <c r="C2091" s="128">
        <f t="shared" si="90"/>
        <v>8</v>
      </c>
      <c r="D2091" s="136">
        <f t="shared" si="88"/>
        <v>32</v>
      </c>
      <c r="E2091" s="136">
        <f t="shared" si="89"/>
        <v>11</v>
      </c>
      <c r="F2091" s="128" t="s">
        <v>24</v>
      </c>
      <c r="G2091" s="128" t="str">
        <f>VLOOKUP(source[[#This Row],[lending_product_transform]],[3]Mapping!$B$4:$C$37,2,0)</f>
        <v>[Cake] - Cashloan</v>
      </c>
      <c r="H2091" s="128" t="str">
        <f>VLOOKUP(source[[#This Row],[lending_product_transform]],[3]Mapping!$B$3:$D$37,3,0)</f>
        <v>cashloan</v>
      </c>
      <c r="I2091" s="135">
        <v>3521500000</v>
      </c>
    </row>
    <row r="2092" spans="1:9" x14ac:dyDescent="0.2">
      <c r="A2092" s="134">
        <v>45515</v>
      </c>
      <c r="B2092" s="135">
        <f>YEAR(source[[#This Row],[report_date]])</f>
        <v>2024</v>
      </c>
      <c r="C2092" s="128">
        <f t="shared" si="90"/>
        <v>8</v>
      </c>
      <c r="D2092" s="136">
        <f t="shared" si="88"/>
        <v>32</v>
      </c>
      <c r="E2092" s="136">
        <f t="shared" si="89"/>
        <v>11</v>
      </c>
      <c r="F2092" s="128" t="s">
        <v>24</v>
      </c>
      <c r="G2092" s="128" t="str">
        <f>VLOOKUP(source[[#This Row],[lending_product_transform]],[3]Mapping!$B$4:$C$37,2,0)</f>
        <v>[Cake] - Cashloan</v>
      </c>
      <c r="H2092" s="128" t="str">
        <f>VLOOKUP(source[[#This Row],[lending_product_transform]],[3]Mapping!$B$3:$D$37,3,0)</f>
        <v>cashloan</v>
      </c>
      <c r="I2092" s="135">
        <v>0</v>
      </c>
    </row>
    <row r="2093" spans="1:9" x14ac:dyDescent="0.2">
      <c r="A2093" s="134">
        <v>45515</v>
      </c>
      <c r="B2093" s="135">
        <f>YEAR(source[[#This Row],[report_date]])</f>
        <v>2024</v>
      </c>
      <c r="C2093" s="128">
        <f t="shared" si="90"/>
        <v>8</v>
      </c>
      <c r="D2093" s="136">
        <f t="shared" si="88"/>
        <v>32</v>
      </c>
      <c r="E2093" s="136">
        <f t="shared" si="89"/>
        <v>11</v>
      </c>
      <c r="F2093" s="128" t="s">
        <v>24</v>
      </c>
      <c r="G2093" s="128" t="str">
        <f>VLOOKUP(source[[#This Row],[lending_product_transform]],[3]Mapping!$B$4:$C$37,2,0)</f>
        <v>[Cake] - Cashloan</v>
      </c>
      <c r="H2093" s="128" t="str">
        <f>VLOOKUP(source[[#This Row],[lending_product_transform]],[3]Mapping!$B$3:$D$37,3,0)</f>
        <v>cashloan</v>
      </c>
      <c r="I2093" s="135">
        <v>0</v>
      </c>
    </row>
    <row r="2094" spans="1:9" x14ac:dyDescent="0.2">
      <c r="A2094" s="134">
        <v>45515</v>
      </c>
      <c r="B2094" s="135">
        <f>YEAR(source[[#This Row],[report_date]])</f>
        <v>2024</v>
      </c>
      <c r="C2094" s="128">
        <f t="shared" si="90"/>
        <v>8</v>
      </c>
      <c r="D2094" s="136">
        <f t="shared" si="88"/>
        <v>32</v>
      </c>
      <c r="E2094" s="136">
        <f t="shared" si="89"/>
        <v>11</v>
      </c>
      <c r="F2094" s="128" t="s">
        <v>24</v>
      </c>
      <c r="G2094" s="128" t="str">
        <f>VLOOKUP(source[[#This Row],[lending_product_transform]],[3]Mapping!$B$4:$C$37,2,0)</f>
        <v>[Cake] - Cashloan</v>
      </c>
      <c r="H2094" s="128" t="str">
        <f>VLOOKUP(source[[#This Row],[lending_product_transform]],[3]Mapping!$B$3:$D$37,3,0)</f>
        <v>cashloan</v>
      </c>
      <c r="I2094" s="135">
        <v>4556330000</v>
      </c>
    </row>
    <row r="2095" spans="1:9" x14ac:dyDescent="0.2">
      <c r="A2095" s="134">
        <v>45516</v>
      </c>
      <c r="B2095" s="135">
        <f>YEAR(source[[#This Row],[report_date]])</f>
        <v>2024</v>
      </c>
      <c r="C2095" s="128">
        <f t="shared" si="90"/>
        <v>8</v>
      </c>
      <c r="D2095" s="136">
        <f t="shared" si="88"/>
        <v>33</v>
      </c>
      <c r="E2095" s="136">
        <f t="shared" si="89"/>
        <v>12</v>
      </c>
      <c r="F2095" s="128" t="s">
        <v>24</v>
      </c>
      <c r="G2095" s="128" t="str">
        <f>VLOOKUP(source[[#This Row],[lending_product_transform]],[3]Mapping!$B$4:$C$37,2,0)</f>
        <v>[Cake] - Cashloan</v>
      </c>
      <c r="H2095" s="128" t="str">
        <f>VLOOKUP(source[[#This Row],[lending_product_transform]],[3]Mapping!$B$3:$D$37,3,0)</f>
        <v>cashloan</v>
      </c>
      <c r="I2095" s="135">
        <v>2640230000</v>
      </c>
    </row>
    <row r="2096" spans="1:9" x14ac:dyDescent="0.2">
      <c r="A2096" s="134">
        <v>45516</v>
      </c>
      <c r="B2096" s="135">
        <f>YEAR(source[[#This Row],[report_date]])</f>
        <v>2024</v>
      </c>
      <c r="C2096" s="128">
        <f t="shared" si="90"/>
        <v>8</v>
      </c>
      <c r="D2096" s="136">
        <f t="shared" si="88"/>
        <v>33</v>
      </c>
      <c r="E2096" s="136">
        <f t="shared" si="89"/>
        <v>12</v>
      </c>
      <c r="F2096" s="128" t="s">
        <v>24</v>
      </c>
      <c r="G2096" s="128" t="str">
        <f>VLOOKUP(source[[#This Row],[lending_product_transform]],[3]Mapping!$B$4:$C$37,2,0)</f>
        <v>[Cake] - Cashloan</v>
      </c>
      <c r="H2096" s="128" t="str">
        <f>VLOOKUP(source[[#This Row],[lending_product_transform]],[3]Mapping!$B$3:$D$37,3,0)</f>
        <v>cashloan</v>
      </c>
      <c r="I2096" s="135">
        <v>2685094474</v>
      </c>
    </row>
    <row r="2097" spans="1:9" x14ac:dyDescent="0.2">
      <c r="A2097" s="134">
        <v>45516</v>
      </c>
      <c r="B2097" s="135">
        <f>YEAR(source[[#This Row],[report_date]])</f>
        <v>2024</v>
      </c>
      <c r="C2097" s="128">
        <f t="shared" si="90"/>
        <v>8</v>
      </c>
      <c r="D2097" s="136">
        <f t="shared" si="88"/>
        <v>33</v>
      </c>
      <c r="E2097" s="136">
        <f t="shared" si="89"/>
        <v>12</v>
      </c>
      <c r="F2097" s="128" t="s">
        <v>24</v>
      </c>
      <c r="G2097" s="128" t="str">
        <f>VLOOKUP(source[[#This Row],[lending_product_transform]],[3]Mapping!$B$4:$C$37,2,0)</f>
        <v>[Cake] - Cashloan</v>
      </c>
      <c r="H2097" s="128" t="str">
        <f>VLOOKUP(source[[#This Row],[lending_product_transform]],[3]Mapping!$B$3:$D$37,3,0)</f>
        <v>cashloan</v>
      </c>
      <c r="I2097" s="135">
        <v>6423030000</v>
      </c>
    </row>
    <row r="2098" spans="1:9" x14ac:dyDescent="0.2">
      <c r="A2098" s="134">
        <v>45516</v>
      </c>
      <c r="B2098" s="135">
        <f>YEAR(source[[#This Row],[report_date]])</f>
        <v>2024</v>
      </c>
      <c r="C2098" s="128">
        <f t="shared" si="90"/>
        <v>8</v>
      </c>
      <c r="D2098" s="136">
        <f t="shared" si="88"/>
        <v>33</v>
      </c>
      <c r="E2098" s="136">
        <f t="shared" si="89"/>
        <v>12</v>
      </c>
      <c r="F2098" s="128" t="s">
        <v>24</v>
      </c>
      <c r="G2098" s="128" t="str">
        <f>VLOOKUP(source[[#This Row],[lending_product_transform]],[3]Mapping!$B$4:$C$37,2,0)</f>
        <v>[Cake] - Cashloan</v>
      </c>
      <c r="H2098" s="128" t="str">
        <f>VLOOKUP(source[[#This Row],[lending_product_transform]],[3]Mapping!$B$3:$D$37,3,0)</f>
        <v>cashloan</v>
      </c>
      <c r="I2098" s="135">
        <v>0</v>
      </c>
    </row>
    <row r="2099" spans="1:9" x14ac:dyDescent="0.2">
      <c r="A2099" s="134">
        <v>45516</v>
      </c>
      <c r="B2099" s="135">
        <f>YEAR(source[[#This Row],[report_date]])</f>
        <v>2024</v>
      </c>
      <c r="C2099" s="128">
        <f t="shared" si="90"/>
        <v>8</v>
      </c>
      <c r="D2099" s="136">
        <f t="shared" si="88"/>
        <v>33</v>
      </c>
      <c r="E2099" s="136">
        <f t="shared" si="89"/>
        <v>12</v>
      </c>
      <c r="F2099" s="128" t="s">
        <v>24</v>
      </c>
      <c r="G2099" s="128" t="str">
        <f>VLOOKUP(source[[#This Row],[lending_product_transform]],[3]Mapping!$B$4:$C$37,2,0)</f>
        <v>[Cake] - Cashloan</v>
      </c>
      <c r="H2099" s="128" t="str">
        <f>VLOOKUP(source[[#This Row],[lending_product_transform]],[3]Mapping!$B$3:$D$37,3,0)</f>
        <v>cashloan</v>
      </c>
      <c r="I2099" s="135">
        <v>0</v>
      </c>
    </row>
    <row r="2100" spans="1:9" x14ac:dyDescent="0.2">
      <c r="A2100" s="134">
        <v>45516</v>
      </c>
      <c r="B2100" s="135">
        <f>YEAR(source[[#This Row],[report_date]])</f>
        <v>2024</v>
      </c>
      <c r="C2100" s="128">
        <f t="shared" si="90"/>
        <v>8</v>
      </c>
      <c r="D2100" s="136">
        <f t="shared" si="88"/>
        <v>33</v>
      </c>
      <c r="E2100" s="136">
        <f t="shared" si="89"/>
        <v>12</v>
      </c>
      <c r="F2100" s="128" t="s">
        <v>24</v>
      </c>
      <c r="G2100" s="128" t="str">
        <f>VLOOKUP(source[[#This Row],[lending_product_transform]],[3]Mapping!$B$4:$C$37,2,0)</f>
        <v>[Cake] - Cashloan</v>
      </c>
      <c r="H2100" s="128" t="str">
        <f>VLOOKUP(source[[#This Row],[lending_product_transform]],[3]Mapping!$B$3:$D$37,3,0)</f>
        <v>cashloan</v>
      </c>
      <c r="I2100" s="135">
        <v>18505530494</v>
      </c>
    </row>
    <row r="2101" spans="1:9" x14ac:dyDescent="0.2">
      <c r="A2101" s="134">
        <v>45516</v>
      </c>
      <c r="B2101" s="135">
        <f>YEAR(source[[#This Row],[report_date]])</f>
        <v>2024</v>
      </c>
      <c r="C2101" s="128">
        <f t="shared" si="90"/>
        <v>8</v>
      </c>
      <c r="D2101" s="136">
        <f t="shared" si="88"/>
        <v>33</v>
      </c>
      <c r="E2101" s="136">
        <f t="shared" si="89"/>
        <v>12</v>
      </c>
      <c r="F2101" s="128" t="s">
        <v>24</v>
      </c>
      <c r="G2101" s="128" t="str">
        <f>VLOOKUP(source[[#This Row],[lending_product_transform]],[3]Mapping!$B$4:$C$37,2,0)</f>
        <v>[Cake] - Cashloan</v>
      </c>
      <c r="H2101" s="128" t="str">
        <f>VLOOKUP(source[[#This Row],[lending_product_transform]],[3]Mapping!$B$3:$D$37,3,0)</f>
        <v>cashloan</v>
      </c>
      <c r="I2101" s="135">
        <v>4266000000</v>
      </c>
    </row>
    <row r="2102" spans="1:9" x14ac:dyDescent="0.2">
      <c r="A2102" s="134">
        <v>45516</v>
      </c>
      <c r="B2102" s="135">
        <f>YEAR(source[[#This Row],[report_date]])</f>
        <v>2024</v>
      </c>
      <c r="C2102" s="128">
        <f t="shared" si="90"/>
        <v>8</v>
      </c>
      <c r="D2102" s="136">
        <f t="shared" si="88"/>
        <v>33</v>
      </c>
      <c r="E2102" s="136">
        <f t="shared" si="89"/>
        <v>12</v>
      </c>
      <c r="F2102" s="128" t="s">
        <v>24</v>
      </c>
      <c r="G2102" s="128" t="str">
        <f>VLOOKUP(source[[#This Row],[lending_product_transform]],[3]Mapping!$B$4:$C$37,2,0)</f>
        <v>[Cake] - Cashloan</v>
      </c>
      <c r="H2102" s="128" t="str">
        <f>VLOOKUP(source[[#This Row],[lending_product_transform]],[3]Mapping!$B$3:$D$37,3,0)</f>
        <v>cashloan</v>
      </c>
      <c r="I2102" s="135">
        <v>36085229</v>
      </c>
    </row>
    <row r="2103" spans="1:9" x14ac:dyDescent="0.2">
      <c r="A2103" s="134">
        <v>45516</v>
      </c>
      <c r="B2103" s="135">
        <f>YEAR(source[[#This Row],[report_date]])</f>
        <v>2024</v>
      </c>
      <c r="C2103" s="128">
        <f t="shared" si="90"/>
        <v>8</v>
      </c>
      <c r="D2103" s="136">
        <f t="shared" si="88"/>
        <v>33</v>
      </c>
      <c r="E2103" s="136">
        <f t="shared" si="89"/>
        <v>12</v>
      </c>
      <c r="F2103" s="128" t="s">
        <v>24</v>
      </c>
      <c r="G2103" s="128" t="str">
        <f>VLOOKUP(source[[#This Row],[lending_product_transform]],[3]Mapping!$B$4:$C$37,2,0)</f>
        <v>[Cake] - Cashloan</v>
      </c>
      <c r="H2103" s="128" t="str">
        <f>VLOOKUP(source[[#This Row],[lending_product_transform]],[3]Mapping!$B$3:$D$37,3,0)</f>
        <v>cashloan</v>
      </c>
      <c r="I2103" s="135">
        <v>84000000</v>
      </c>
    </row>
    <row r="2104" spans="1:9" x14ac:dyDescent="0.2">
      <c r="A2104" s="134">
        <v>45516</v>
      </c>
      <c r="B2104" s="135">
        <f>YEAR(source[[#This Row],[report_date]])</f>
        <v>2024</v>
      </c>
      <c r="C2104" s="128">
        <f t="shared" si="90"/>
        <v>8</v>
      </c>
      <c r="D2104" s="136">
        <f t="shared" si="88"/>
        <v>33</v>
      </c>
      <c r="E2104" s="136">
        <f t="shared" si="89"/>
        <v>12</v>
      </c>
      <c r="F2104" s="128" t="s">
        <v>24</v>
      </c>
      <c r="G2104" s="128" t="str">
        <f>VLOOKUP(source[[#This Row],[lending_product_transform]],[3]Mapping!$B$4:$C$37,2,0)</f>
        <v>[Cake] - Cashloan</v>
      </c>
      <c r="H2104" s="128" t="str">
        <f>VLOOKUP(source[[#This Row],[lending_product_transform]],[3]Mapping!$B$3:$D$37,3,0)</f>
        <v>cashloan</v>
      </c>
      <c r="I2104" s="135">
        <v>219150791</v>
      </c>
    </row>
    <row r="2105" spans="1:9" x14ac:dyDescent="0.2">
      <c r="A2105" s="134">
        <v>45516</v>
      </c>
      <c r="B2105" s="135">
        <f>YEAR(source[[#This Row],[report_date]])</f>
        <v>2024</v>
      </c>
      <c r="C2105" s="128">
        <f t="shared" si="90"/>
        <v>8</v>
      </c>
      <c r="D2105" s="136">
        <f t="shared" si="88"/>
        <v>33</v>
      </c>
      <c r="E2105" s="136">
        <f t="shared" si="89"/>
        <v>12</v>
      </c>
      <c r="F2105" s="128" t="s">
        <v>24</v>
      </c>
      <c r="G2105" s="128" t="str">
        <f>VLOOKUP(source[[#This Row],[lending_product_transform]],[3]Mapping!$B$4:$C$37,2,0)</f>
        <v>[Cake] - Cashloan</v>
      </c>
      <c r="H2105" s="128" t="str">
        <f>VLOOKUP(source[[#This Row],[lending_product_transform]],[3]Mapping!$B$3:$D$37,3,0)</f>
        <v>cashloan</v>
      </c>
      <c r="I2105" s="135">
        <v>248850000</v>
      </c>
    </row>
    <row r="2106" spans="1:9" x14ac:dyDescent="0.2">
      <c r="A2106" s="134">
        <v>45516</v>
      </c>
      <c r="B2106" s="135">
        <f>YEAR(source[[#This Row],[report_date]])</f>
        <v>2024</v>
      </c>
      <c r="C2106" s="128">
        <f t="shared" si="90"/>
        <v>8</v>
      </c>
      <c r="D2106" s="136">
        <f t="shared" si="88"/>
        <v>33</v>
      </c>
      <c r="E2106" s="136">
        <f t="shared" si="89"/>
        <v>12</v>
      </c>
      <c r="F2106" s="128" t="s">
        <v>24</v>
      </c>
      <c r="G2106" s="128" t="str">
        <f>VLOOKUP(source[[#This Row],[lending_product_transform]],[3]Mapping!$B$4:$C$37,2,0)</f>
        <v>[Cake] - Cashloan</v>
      </c>
      <c r="H2106" s="128" t="str">
        <f>VLOOKUP(source[[#This Row],[lending_product_transform]],[3]Mapping!$B$3:$D$37,3,0)</f>
        <v>cashloan</v>
      </c>
      <c r="I2106" s="135">
        <v>21000000</v>
      </c>
    </row>
    <row r="2107" spans="1:9" x14ac:dyDescent="0.2">
      <c r="A2107" s="134">
        <v>45516</v>
      </c>
      <c r="B2107" s="135">
        <f>YEAR(source[[#This Row],[report_date]])</f>
        <v>2024</v>
      </c>
      <c r="C2107" s="128">
        <f t="shared" si="90"/>
        <v>8</v>
      </c>
      <c r="D2107" s="136">
        <f t="shared" si="88"/>
        <v>33</v>
      </c>
      <c r="E2107" s="136">
        <f t="shared" si="89"/>
        <v>12</v>
      </c>
      <c r="F2107" s="128" t="s">
        <v>24</v>
      </c>
      <c r="G2107" s="128" t="str">
        <f>VLOOKUP(source[[#This Row],[lending_product_transform]],[3]Mapping!$B$4:$C$37,2,0)</f>
        <v>[Cake] - Cashloan</v>
      </c>
      <c r="H2107" s="128" t="str">
        <f>VLOOKUP(source[[#This Row],[lending_product_transform]],[3]Mapping!$B$3:$D$37,3,0)</f>
        <v>cashloan</v>
      </c>
      <c r="I2107" s="135">
        <v>1882090000</v>
      </c>
    </row>
    <row r="2108" spans="1:9" x14ac:dyDescent="0.2">
      <c r="A2108" s="134">
        <v>45517</v>
      </c>
      <c r="B2108" s="135">
        <f>YEAR(source[[#This Row],[report_date]])</f>
        <v>2024</v>
      </c>
      <c r="C2108" s="128">
        <f t="shared" si="90"/>
        <v>8</v>
      </c>
      <c r="D2108" s="136">
        <f t="shared" si="88"/>
        <v>33</v>
      </c>
      <c r="E2108" s="136">
        <f t="shared" si="89"/>
        <v>13</v>
      </c>
      <c r="F2108" s="128" t="s">
        <v>24</v>
      </c>
      <c r="G2108" s="128" t="str">
        <f>VLOOKUP(source[[#This Row],[lending_product_transform]],[3]Mapping!$B$4:$C$37,2,0)</f>
        <v>[Cake] - Cashloan</v>
      </c>
      <c r="H2108" s="128" t="str">
        <f>VLOOKUP(source[[#This Row],[lending_product_transform]],[3]Mapping!$B$3:$D$37,3,0)</f>
        <v>cashloan</v>
      </c>
      <c r="I2108" s="135">
        <v>2777960000</v>
      </c>
    </row>
    <row r="2109" spans="1:9" x14ac:dyDescent="0.2">
      <c r="A2109" s="134">
        <v>45517</v>
      </c>
      <c r="B2109" s="135">
        <f>YEAR(source[[#This Row],[report_date]])</f>
        <v>2024</v>
      </c>
      <c r="C2109" s="128">
        <f t="shared" si="90"/>
        <v>8</v>
      </c>
      <c r="D2109" s="136">
        <f t="shared" si="88"/>
        <v>33</v>
      </c>
      <c r="E2109" s="136">
        <f t="shared" si="89"/>
        <v>13</v>
      </c>
      <c r="F2109" s="128" t="s">
        <v>24</v>
      </c>
      <c r="G2109" s="128" t="str">
        <f>VLOOKUP(source[[#This Row],[lending_product_transform]],[3]Mapping!$B$4:$C$37,2,0)</f>
        <v>[Cake] - Cashloan</v>
      </c>
      <c r="H2109" s="128" t="str">
        <f>VLOOKUP(source[[#This Row],[lending_product_transform]],[3]Mapping!$B$3:$D$37,3,0)</f>
        <v>cashloan</v>
      </c>
      <c r="I2109" s="135">
        <v>2612197570</v>
      </c>
    </row>
    <row r="2110" spans="1:9" x14ac:dyDescent="0.2">
      <c r="A2110" s="134">
        <v>45517</v>
      </c>
      <c r="B2110" s="135">
        <f>YEAR(source[[#This Row],[report_date]])</f>
        <v>2024</v>
      </c>
      <c r="C2110" s="128">
        <f t="shared" si="90"/>
        <v>8</v>
      </c>
      <c r="D2110" s="136">
        <f t="shared" si="88"/>
        <v>33</v>
      </c>
      <c r="E2110" s="136">
        <f t="shared" si="89"/>
        <v>13</v>
      </c>
      <c r="F2110" s="128" t="s">
        <v>24</v>
      </c>
      <c r="G2110" s="128" t="str">
        <f>VLOOKUP(source[[#This Row],[lending_product_transform]],[3]Mapping!$B$4:$C$37,2,0)</f>
        <v>[Cake] - Cashloan</v>
      </c>
      <c r="H2110" s="128" t="str">
        <f>VLOOKUP(source[[#This Row],[lending_product_transform]],[3]Mapping!$B$3:$D$37,3,0)</f>
        <v>cashloan</v>
      </c>
      <c r="I2110" s="135">
        <v>44660943</v>
      </c>
    </row>
    <row r="2111" spans="1:9" x14ac:dyDescent="0.2">
      <c r="A2111" s="134">
        <v>45517</v>
      </c>
      <c r="B2111" s="135">
        <f>YEAR(source[[#This Row],[report_date]])</f>
        <v>2024</v>
      </c>
      <c r="C2111" s="128">
        <f t="shared" si="90"/>
        <v>8</v>
      </c>
      <c r="D2111" s="136">
        <f t="shared" si="88"/>
        <v>33</v>
      </c>
      <c r="E2111" s="136">
        <f t="shared" si="89"/>
        <v>13</v>
      </c>
      <c r="F2111" s="128" t="s">
        <v>24</v>
      </c>
      <c r="G2111" s="128" t="str">
        <f>VLOOKUP(source[[#This Row],[lending_product_transform]],[3]Mapping!$B$4:$C$37,2,0)</f>
        <v>[Cake] - Cashloan</v>
      </c>
      <c r="H2111" s="128" t="str">
        <f>VLOOKUP(source[[#This Row],[lending_product_transform]],[3]Mapping!$B$3:$D$37,3,0)</f>
        <v>cashloan</v>
      </c>
      <c r="I2111" s="135">
        <v>3932000000</v>
      </c>
    </row>
    <row r="2112" spans="1:9" x14ac:dyDescent="0.2">
      <c r="A2112" s="134">
        <v>45517</v>
      </c>
      <c r="B2112" s="135">
        <f>YEAR(source[[#This Row],[report_date]])</f>
        <v>2024</v>
      </c>
      <c r="C2112" s="128">
        <f t="shared" si="90"/>
        <v>8</v>
      </c>
      <c r="D2112" s="136">
        <f t="shared" si="88"/>
        <v>33</v>
      </c>
      <c r="E2112" s="136">
        <f t="shared" si="89"/>
        <v>13</v>
      </c>
      <c r="F2112" s="128" t="s">
        <v>24</v>
      </c>
      <c r="G2112" s="128" t="str">
        <f>VLOOKUP(source[[#This Row],[lending_product_transform]],[3]Mapping!$B$4:$C$37,2,0)</f>
        <v>[Cake] - Cashloan</v>
      </c>
      <c r="H2112" s="128" t="str">
        <f>VLOOKUP(source[[#This Row],[lending_product_transform]],[3]Mapping!$B$3:$D$37,3,0)</f>
        <v>cashloan</v>
      </c>
      <c r="I2112" s="135">
        <v>17391434614</v>
      </c>
    </row>
    <row r="2113" spans="1:9" x14ac:dyDescent="0.2">
      <c r="A2113" s="134">
        <v>45517</v>
      </c>
      <c r="B2113" s="135">
        <f>YEAR(source[[#This Row],[report_date]])</f>
        <v>2024</v>
      </c>
      <c r="C2113" s="128">
        <f t="shared" si="90"/>
        <v>8</v>
      </c>
      <c r="D2113" s="136">
        <f t="shared" si="88"/>
        <v>33</v>
      </c>
      <c r="E2113" s="136">
        <f t="shared" si="89"/>
        <v>13</v>
      </c>
      <c r="F2113" s="128" t="s">
        <v>24</v>
      </c>
      <c r="G2113" s="128" t="str">
        <f>VLOOKUP(source[[#This Row],[lending_product_transform]],[3]Mapping!$B$4:$C$37,2,0)</f>
        <v>[Cake] - Cashloan</v>
      </c>
      <c r="H2113" s="128" t="str">
        <f>VLOOKUP(source[[#This Row],[lending_product_transform]],[3]Mapping!$B$3:$D$37,3,0)</f>
        <v>cashloan</v>
      </c>
      <c r="I2113" s="135">
        <v>0</v>
      </c>
    </row>
    <row r="2114" spans="1:9" x14ac:dyDescent="0.2">
      <c r="A2114" s="134">
        <v>45517</v>
      </c>
      <c r="B2114" s="135">
        <f>YEAR(source[[#This Row],[report_date]])</f>
        <v>2024</v>
      </c>
      <c r="C2114" s="128">
        <f t="shared" si="90"/>
        <v>8</v>
      </c>
      <c r="D2114" s="136">
        <f t="shared" si="88"/>
        <v>33</v>
      </c>
      <c r="E2114" s="136">
        <f t="shared" si="89"/>
        <v>13</v>
      </c>
      <c r="F2114" s="128" t="s">
        <v>24</v>
      </c>
      <c r="G2114" s="128" t="str">
        <f>VLOOKUP(source[[#This Row],[lending_product_transform]],[3]Mapping!$B$4:$C$37,2,0)</f>
        <v>[Cake] - Cashloan</v>
      </c>
      <c r="H2114" s="128" t="str">
        <f>VLOOKUP(source[[#This Row],[lending_product_transform]],[3]Mapping!$B$3:$D$37,3,0)</f>
        <v>cashloan</v>
      </c>
      <c r="I2114" s="135">
        <v>215936101</v>
      </c>
    </row>
    <row r="2115" spans="1:9" x14ac:dyDescent="0.2">
      <c r="A2115" s="134">
        <v>45517</v>
      </c>
      <c r="B2115" s="135">
        <f>YEAR(source[[#This Row],[report_date]])</f>
        <v>2024</v>
      </c>
      <c r="C2115" s="128">
        <f t="shared" si="90"/>
        <v>8</v>
      </c>
      <c r="D2115" s="136">
        <f t="shared" ref="D2115:D2178" si="91">WEEKNUM(A2115,2)</f>
        <v>33</v>
      </c>
      <c r="E2115" s="136">
        <f t="shared" ref="E2115:E2178" si="92">DAY(A2115)</f>
        <v>13</v>
      </c>
      <c r="F2115" s="128" t="s">
        <v>24</v>
      </c>
      <c r="G2115" s="128" t="str">
        <f>VLOOKUP(source[[#This Row],[lending_product_transform]],[3]Mapping!$B$4:$C$37,2,0)</f>
        <v>[Cake] - Cashloan</v>
      </c>
      <c r="H2115" s="128" t="str">
        <f>VLOOKUP(source[[#This Row],[lending_product_transform]],[3]Mapping!$B$3:$D$37,3,0)</f>
        <v>cashloan</v>
      </c>
      <c r="I2115" s="135">
        <v>21000000</v>
      </c>
    </row>
    <row r="2116" spans="1:9" x14ac:dyDescent="0.2">
      <c r="A2116" s="134">
        <v>45517</v>
      </c>
      <c r="B2116" s="135">
        <f>YEAR(source[[#This Row],[report_date]])</f>
        <v>2024</v>
      </c>
      <c r="C2116" s="128">
        <f t="shared" si="90"/>
        <v>8</v>
      </c>
      <c r="D2116" s="136">
        <f t="shared" si="91"/>
        <v>33</v>
      </c>
      <c r="E2116" s="136">
        <f t="shared" si="92"/>
        <v>13</v>
      </c>
      <c r="F2116" s="128" t="s">
        <v>24</v>
      </c>
      <c r="G2116" s="128" t="str">
        <f>VLOOKUP(source[[#This Row],[lending_product_transform]],[3]Mapping!$B$4:$C$37,2,0)</f>
        <v>[Cake] - Cashloan</v>
      </c>
      <c r="H2116" s="128" t="str">
        <f>VLOOKUP(source[[#This Row],[lending_product_transform]],[3]Mapping!$B$3:$D$37,3,0)</f>
        <v>cashloan</v>
      </c>
      <c r="I2116" s="135">
        <v>204300000</v>
      </c>
    </row>
    <row r="2117" spans="1:9" x14ac:dyDescent="0.2">
      <c r="A2117" s="134">
        <v>45517</v>
      </c>
      <c r="B2117" s="135">
        <f>YEAR(source[[#This Row],[report_date]])</f>
        <v>2024</v>
      </c>
      <c r="C2117" s="128">
        <f t="shared" si="90"/>
        <v>8</v>
      </c>
      <c r="D2117" s="136">
        <f t="shared" si="91"/>
        <v>33</v>
      </c>
      <c r="E2117" s="136">
        <f t="shared" si="92"/>
        <v>13</v>
      </c>
      <c r="F2117" s="128" t="s">
        <v>24</v>
      </c>
      <c r="G2117" s="128" t="str">
        <f>VLOOKUP(source[[#This Row],[lending_product_transform]],[3]Mapping!$B$4:$C$37,2,0)</f>
        <v>[Cake] - Cashloan</v>
      </c>
      <c r="H2117" s="128" t="str">
        <f>VLOOKUP(source[[#This Row],[lending_product_transform]],[3]Mapping!$B$3:$D$37,3,0)</f>
        <v>cashloan</v>
      </c>
      <c r="I2117" s="135">
        <v>30700000</v>
      </c>
    </row>
    <row r="2118" spans="1:9" x14ac:dyDescent="0.2">
      <c r="A2118" s="134">
        <v>45517</v>
      </c>
      <c r="B2118" s="135">
        <f>YEAR(source[[#This Row],[report_date]])</f>
        <v>2024</v>
      </c>
      <c r="C2118" s="128">
        <f t="shared" si="90"/>
        <v>8</v>
      </c>
      <c r="D2118" s="136">
        <f t="shared" si="91"/>
        <v>33</v>
      </c>
      <c r="E2118" s="136">
        <f t="shared" si="92"/>
        <v>13</v>
      </c>
      <c r="F2118" s="128" t="s">
        <v>24</v>
      </c>
      <c r="G2118" s="128" t="str">
        <f>VLOOKUP(source[[#This Row],[lending_product_transform]],[3]Mapping!$B$4:$C$37,2,0)</f>
        <v>[Cake] - Cashloan</v>
      </c>
      <c r="H2118" s="128" t="str">
        <f>VLOOKUP(source[[#This Row],[lending_product_transform]],[3]Mapping!$B$3:$D$37,3,0)</f>
        <v>cashloan</v>
      </c>
      <c r="I2118" s="135">
        <v>83000000</v>
      </c>
    </row>
    <row r="2119" spans="1:9" x14ac:dyDescent="0.2">
      <c r="A2119" s="134">
        <v>45517</v>
      </c>
      <c r="B2119" s="135">
        <f>YEAR(source[[#This Row],[report_date]])</f>
        <v>2024</v>
      </c>
      <c r="C2119" s="128">
        <f t="shared" si="90"/>
        <v>8</v>
      </c>
      <c r="D2119" s="136">
        <f t="shared" si="91"/>
        <v>33</v>
      </c>
      <c r="E2119" s="136">
        <f t="shared" si="92"/>
        <v>13</v>
      </c>
      <c r="F2119" s="128" t="s">
        <v>24</v>
      </c>
      <c r="G2119" s="128" t="str">
        <f>VLOOKUP(source[[#This Row],[lending_product_transform]],[3]Mapping!$B$4:$C$37,2,0)</f>
        <v>[Cake] - Cashloan</v>
      </c>
      <c r="H2119" s="128" t="str">
        <f>VLOOKUP(source[[#This Row],[lending_product_transform]],[3]Mapping!$B$3:$D$37,3,0)</f>
        <v>cashloan</v>
      </c>
      <c r="I2119" s="135">
        <v>2075840000</v>
      </c>
    </row>
    <row r="2120" spans="1:9" x14ac:dyDescent="0.2">
      <c r="A2120" s="134">
        <v>45517</v>
      </c>
      <c r="B2120" s="135">
        <f>YEAR(source[[#This Row],[report_date]])</f>
        <v>2024</v>
      </c>
      <c r="C2120" s="128">
        <f t="shared" si="90"/>
        <v>8</v>
      </c>
      <c r="D2120" s="136">
        <f t="shared" si="91"/>
        <v>33</v>
      </c>
      <c r="E2120" s="136">
        <f t="shared" si="92"/>
        <v>13</v>
      </c>
      <c r="F2120" s="128" t="s">
        <v>24</v>
      </c>
      <c r="G2120" s="128" t="str">
        <f>VLOOKUP(source[[#This Row],[lending_product_transform]],[3]Mapping!$B$4:$C$37,2,0)</f>
        <v>[Cake] - Cashloan</v>
      </c>
      <c r="H2120" s="128" t="str">
        <f>VLOOKUP(source[[#This Row],[lending_product_transform]],[3]Mapping!$B$3:$D$37,3,0)</f>
        <v>cashloan</v>
      </c>
      <c r="I2120" s="135">
        <v>5393840000</v>
      </c>
    </row>
    <row r="2121" spans="1:9" x14ac:dyDescent="0.2">
      <c r="A2121" s="134">
        <v>45518</v>
      </c>
      <c r="B2121" s="135">
        <f>YEAR(source[[#This Row],[report_date]])</f>
        <v>2024</v>
      </c>
      <c r="C2121" s="128">
        <f t="shared" si="90"/>
        <v>8</v>
      </c>
      <c r="D2121" s="136">
        <f t="shared" si="91"/>
        <v>33</v>
      </c>
      <c r="E2121" s="136">
        <f t="shared" si="92"/>
        <v>14</v>
      </c>
      <c r="F2121" s="128" t="s">
        <v>24</v>
      </c>
      <c r="G2121" s="128" t="str">
        <f>VLOOKUP(source[[#This Row],[lending_product_transform]],[3]Mapping!$B$4:$C$37,2,0)</f>
        <v>[Cake] - Cashloan</v>
      </c>
      <c r="H2121" s="128" t="str">
        <f>VLOOKUP(source[[#This Row],[lending_product_transform]],[3]Mapping!$B$3:$D$37,3,0)</f>
        <v>cashloan</v>
      </c>
      <c r="I2121" s="135">
        <v>2553470000</v>
      </c>
    </row>
    <row r="2122" spans="1:9" x14ac:dyDescent="0.2">
      <c r="A2122" s="134">
        <v>45518</v>
      </c>
      <c r="B2122" s="135">
        <f>YEAR(source[[#This Row],[report_date]])</f>
        <v>2024</v>
      </c>
      <c r="C2122" s="128">
        <f t="shared" si="90"/>
        <v>8</v>
      </c>
      <c r="D2122" s="136">
        <f t="shared" si="91"/>
        <v>33</v>
      </c>
      <c r="E2122" s="136">
        <f t="shared" si="92"/>
        <v>14</v>
      </c>
      <c r="F2122" s="128" t="s">
        <v>24</v>
      </c>
      <c r="G2122" s="128" t="str">
        <f>VLOOKUP(source[[#This Row],[lending_product_transform]],[3]Mapping!$B$4:$C$37,2,0)</f>
        <v>[Cake] - Cashloan</v>
      </c>
      <c r="H2122" s="128" t="str">
        <f>VLOOKUP(source[[#This Row],[lending_product_transform]],[3]Mapping!$B$3:$D$37,3,0)</f>
        <v>cashloan</v>
      </c>
      <c r="I2122" s="135">
        <v>2092920000</v>
      </c>
    </row>
    <row r="2123" spans="1:9" x14ac:dyDescent="0.2">
      <c r="A2123" s="134">
        <v>45518</v>
      </c>
      <c r="B2123" s="135">
        <f>YEAR(source[[#This Row],[report_date]])</f>
        <v>2024</v>
      </c>
      <c r="C2123" s="128">
        <f t="shared" si="90"/>
        <v>8</v>
      </c>
      <c r="D2123" s="136">
        <f t="shared" si="91"/>
        <v>33</v>
      </c>
      <c r="E2123" s="136">
        <f t="shared" si="92"/>
        <v>14</v>
      </c>
      <c r="F2123" s="128" t="s">
        <v>24</v>
      </c>
      <c r="G2123" s="128" t="str">
        <f>VLOOKUP(source[[#This Row],[lending_product_transform]],[3]Mapping!$B$4:$C$37,2,0)</f>
        <v>[Cake] - Cashloan</v>
      </c>
      <c r="H2123" s="128" t="str">
        <f>VLOOKUP(source[[#This Row],[lending_product_transform]],[3]Mapping!$B$3:$D$37,3,0)</f>
        <v>cashloan</v>
      </c>
      <c r="I2123" s="135">
        <v>219450000</v>
      </c>
    </row>
    <row r="2124" spans="1:9" x14ac:dyDescent="0.2">
      <c r="A2124" s="134">
        <v>45518</v>
      </c>
      <c r="B2124" s="135">
        <f>YEAR(source[[#This Row],[report_date]])</f>
        <v>2024</v>
      </c>
      <c r="C2124" s="128">
        <f t="shared" si="90"/>
        <v>8</v>
      </c>
      <c r="D2124" s="136">
        <f t="shared" si="91"/>
        <v>33</v>
      </c>
      <c r="E2124" s="136">
        <f t="shared" si="92"/>
        <v>14</v>
      </c>
      <c r="F2124" s="128" t="s">
        <v>24</v>
      </c>
      <c r="G2124" s="128" t="str">
        <f>VLOOKUP(source[[#This Row],[lending_product_transform]],[3]Mapping!$B$4:$C$37,2,0)</f>
        <v>[Cake] - Cashloan</v>
      </c>
      <c r="H2124" s="128" t="str">
        <f>VLOOKUP(source[[#This Row],[lending_product_transform]],[3]Mapping!$B$3:$D$37,3,0)</f>
        <v>cashloan</v>
      </c>
      <c r="I2124" s="135">
        <v>98700000</v>
      </c>
    </row>
    <row r="2125" spans="1:9" x14ac:dyDescent="0.2">
      <c r="A2125" s="134">
        <v>45518</v>
      </c>
      <c r="B2125" s="135">
        <f>YEAR(source[[#This Row],[report_date]])</f>
        <v>2024</v>
      </c>
      <c r="C2125" s="128">
        <f t="shared" si="90"/>
        <v>8</v>
      </c>
      <c r="D2125" s="136">
        <f t="shared" si="91"/>
        <v>33</v>
      </c>
      <c r="E2125" s="136">
        <f t="shared" si="92"/>
        <v>14</v>
      </c>
      <c r="F2125" s="128" t="s">
        <v>24</v>
      </c>
      <c r="G2125" s="128" t="str">
        <f>VLOOKUP(source[[#This Row],[lending_product_transform]],[3]Mapping!$B$4:$C$37,2,0)</f>
        <v>[Cake] - Cashloan</v>
      </c>
      <c r="H2125" s="128" t="str">
        <f>VLOOKUP(source[[#This Row],[lending_product_transform]],[3]Mapping!$B$3:$D$37,3,0)</f>
        <v>cashloan</v>
      </c>
      <c r="I2125" s="135">
        <v>38000000</v>
      </c>
    </row>
    <row r="2126" spans="1:9" x14ac:dyDescent="0.2">
      <c r="A2126" s="134">
        <v>45518</v>
      </c>
      <c r="B2126" s="135">
        <f>YEAR(source[[#This Row],[report_date]])</f>
        <v>2024</v>
      </c>
      <c r="C2126" s="128">
        <f t="shared" si="90"/>
        <v>8</v>
      </c>
      <c r="D2126" s="136">
        <f t="shared" si="91"/>
        <v>33</v>
      </c>
      <c r="E2126" s="136">
        <f t="shared" si="92"/>
        <v>14</v>
      </c>
      <c r="F2126" s="128" t="s">
        <v>24</v>
      </c>
      <c r="G2126" s="128" t="str">
        <f>VLOOKUP(source[[#This Row],[lending_product_transform]],[3]Mapping!$B$4:$C$37,2,0)</f>
        <v>[Cake] - Cashloan</v>
      </c>
      <c r="H2126" s="128" t="str">
        <f>VLOOKUP(source[[#This Row],[lending_product_transform]],[3]Mapping!$B$3:$D$37,3,0)</f>
        <v>cashloan</v>
      </c>
      <c r="I2126" s="135">
        <v>5845390000</v>
      </c>
    </row>
    <row r="2127" spans="1:9" x14ac:dyDescent="0.2">
      <c r="A2127" s="134">
        <v>45518</v>
      </c>
      <c r="B2127" s="135">
        <f>YEAR(source[[#This Row],[report_date]])</f>
        <v>2024</v>
      </c>
      <c r="C2127" s="128">
        <f t="shared" si="90"/>
        <v>8</v>
      </c>
      <c r="D2127" s="136">
        <f t="shared" si="91"/>
        <v>33</v>
      </c>
      <c r="E2127" s="136">
        <f t="shared" si="92"/>
        <v>14</v>
      </c>
      <c r="F2127" s="128" t="s">
        <v>24</v>
      </c>
      <c r="G2127" s="128" t="str">
        <f>VLOOKUP(source[[#This Row],[lending_product_transform]],[3]Mapping!$B$4:$C$37,2,0)</f>
        <v>[Cake] - Cashloan</v>
      </c>
      <c r="H2127" s="128" t="str">
        <f>VLOOKUP(source[[#This Row],[lending_product_transform]],[3]Mapping!$B$3:$D$37,3,0)</f>
        <v>cashloan</v>
      </c>
      <c r="I2127" s="135">
        <v>35845994</v>
      </c>
    </row>
    <row r="2128" spans="1:9" x14ac:dyDescent="0.2">
      <c r="A2128" s="134">
        <v>45518</v>
      </c>
      <c r="B2128" s="135">
        <f>YEAR(source[[#This Row],[report_date]])</f>
        <v>2024</v>
      </c>
      <c r="C2128" s="128">
        <f t="shared" si="90"/>
        <v>8</v>
      </c>
      <c r="D2128" s="136">
        <f t="shared" si="91"/>
        <v>33</v>
      </c>
      <c r="E2128" s="136">
        <f t="shared" si="92"/>
        <v>14</v>
      </c>
      <c r="F2128" s="128" t="s">
        <v>24</v>
      </c>
      <c r="G2128" s="128" t="str">
        <f>VLOOKUP(source[[#This Row],[lending_product_transform]],[3]Mapping!$B$4:$C$37,2,0)</f>
        <v>[Cake] - Cashloan</v>
      </c>
      <c r="H2128" s="128" t="str">
        <f>VLOOKUP(source[[#This Row],[lending_product_transform]],[3]Mapping!$B$3:$D$37,3,0)</f>
        <v>cashloan</v>
      </c>
      <c r="I2128" s="135">
        <v>17408859122</v>
      </c>
    </row>
    <row r="2129" spans="1:9" x14ac:dyDescent="0.2">
      <c r="A2129" s="134">
        <v>45518</v>
      </c>
      <c r="B2129" s="135">
        <f>YEAR(source[[#This Row],[report_date]])</f>
        <v>2024</v>
      </c>
      <c r="C2129" s="128">
        <f t="shared" si="90"/>
        <v>8</v>
      </c>
      <c r="D2129" s="136">
        <f t="shared" si="91"/>
        <v>33</v>
      </c>
      <c r="E2129" s="136">
        <f t="shared" si="92"/>
        <v>14</v>
      </c>
      <c r="F2129" s="128" t="s">
        <v>24</v>
      </c>
      <c r="G2129" s="128" t="str">
        <f>VLOOKUP(source[[#This Row],[lending_product_transform]],[3]Mapping!$B$4:$C$37,2,0)</f>
        <v>[Cake] - Cashloan</v>
      </c>
      <c r="H2129" s="128" t="str">
        <f>VLOOKUP(source[[#This Row],[lending_product_transform]],[3]Mapping!$B$3:$D$37,3,0)</f>
        <v>cashloan</v>
      </c>
      <c r="I2129" s="135">
        <v>0</v>
      </c>
    </row>
    <row r="2130" spans="1:9" x14ac:dyDescent="0.2">
      <c r="A2130" s="134">
        <v>45518</v>
      </c>
      <c r="B2130" s="135">
        <f>YEAR(source[[#This Row],[report_date]])</f>
        <v>2024</v>
      </c>
      <c r="C2130" s="128">
        <f t="shared" si="90"/>
        <v>8</v>
      </c>
      <c r="D2130" s="136">
        <f t="shared" si="91"/>
        <v>33</v>
      </c>
      <c r="E2130" s="136">
        <f t="shared" si="92"/>
        <v>14</v>
      </c>
      <c r="F2130" s="128" t="s">
        <v>24</v>
      </c>
      <c r="G2130" s="128" t="str">
        <f>VLOOKUP(source[[#This Row],[lending_product_transform]],[3]Mapping!$B$4:$C$37,2,0)</f>
        <v>[Cake] - Cashloan</v>
      </c>
      <c r="H2130" s="128" t="str">
        <f>VLOOKUP(source[[#This Row],[lending_product_transform]],[3]Mapping!$B$3:$D$37,3,0)</f>
        <v>cashloan</v>
      </c>
      <c r="I2130" s="135">
        <v>0</v>
      </c>
    </row>
    <row r="2131" spans="1:9" x14ac:dyDescent="0.2">
      <c r="A2131" s="134">
        <v>45518</v>
      </c>
      <c r="B2131" s="135">
        <f>YEAR(source[[#This Row],[report_date]])</f>
        <v>2024</v>
      </c>
      <c r="C2131" s="128">
        <f t="shared" si="90"/>
        <v>8</v>
      </c>
      <c r="D2131" s="136">
        <f t="shared" si="91"/>
        <v>33</v>
      </c>
      <c r="E2131" s="136">
        <f t="shared" si="92"/>
        <v>14</v>
      </c>
      <c r="F2131" s="128" t="s">
        <v>24</v>
      </c>
      <c r="G2131" s="128" t="str">
        <f>VLOOKUP(source[[#This Row],[lending_product_transform]],[3]Mapping!$B$4:$C$37,2,0)</f>
        <v>[Cake] - Cashloan</v>
      </c>
      <c r="H2131" s="128" t="str">
        <f>VLOOKUP(source[[#This Row],[lending_product_transform]],[3]Mapping!$B$3:$D$37,3,0)</f>
        <v>cashloan</v>
      </c>
      <c r="I2131" s="135">
        <v>2572566027</v>
      </c>
    </row>
    <row r="2132" spans="1:9" x14ac:dyDescent="0.2">
      <c r="A2132" s="134">
        <v>45518</v>
      </c>
      <c r="B2132" s="135">
        <f>YEAR(source[[#This Row],[report_date]])</f>
        <v>2024</v>
      </c>
      <c r="C2132" s="128">
        <f t="shared" si="90"/>
        <v>8</v>
      </c>
      <c r="D2132" s="136">
        <f t="shared" si="91"/>
        <v>33</v>
      </c>
      <c r="E2132" s="136">
        <f t="shared" si="92"/>
        <v>14</v>
      </c>
      <c r="F2132" s="128" t="s">
        <v>24</v>
      </c>
      <c r="G2132" s="128" t="str">
        <f>VLOOKUP(source[[#This Row],[lending_product_transform]],[3]Mapping!$B$4:$C$37,2,0)</f>
        <v>[Cake] - Cashloan</v>
      </c>
      <c r="H2132" s="128" t="str">
        <f>VLOOKUP(source[[#This Row],[lending_product_transform]],[3]Mapping!$B$3:$D$37,3,0)</f>
        <v>cashloan</v>
      </c>
      <c r="I2132" s="135">
        <v>3735000000</v>
      </c>
    </row>
    <row r="2133" spans="1:9" x14ac:dyDescent="0.2">
      <c r="A2133" s="134">
        <v>45518</v>
      </c>
      <c r="B2133" s="135">
        <f>YEAR(source[[#This Row],[report_date]])</f>
        <v>2024</v>
      </c>
      <c r="C2133" s="128">
        <f t="shared" ref="C2133:C2196" si="93">MONTH(A2133)</f>
        <v>8</v>
      </c>
      <c r="D2133" s="136">
        <f t="shared" si="91"/>
        <v>33</v>
      </c>
      <c r="E2133" s="136">
        <f t="shared" si="92"/>
        <v>14</v>
      </c>
      <c r="F2133" s="128" t="s">
        <v>24</v>
      </c>
      <c r="G2133" s="128" t="str">
        <f>VLOOKUP(source[[#This Row],[lending_product_transform]],[3]Mapping!$B$4:$C$37,2,0)</f>
        <v>[Cake] - Cashloan</v>
      </c>
      <c r="H2133" s="128" t="str">
        <f>VLOOKUP(source[[#This Row],[lending_product_transform]],[3]Mapping!$B$3:$D$37,3,0)</f>
        <v>cashloan</v>
      </c>
      <c r="I2133" s="135">
        <v>217517101</v>
      </c>
    </row>
    <row r="2134" spans="1:9" x14ac:dyDescent="0.2">
      <c r="A2134" s="134">
        <v>45519</v>
      </c>
      <c r="B2134" s="135">
        <f>YEAR(source[[#This Row],[report_date]])</f>
        <v>2024</v>
      </c>
      <c r="C2134" s="128">
        <f t="shared" si="93"/>
        <v>8</v>
      </c>
      <c r="D2134" s="136">
        <f t="shared" si="91"/>
        <v>33</v>
      </c>
      <c r="E2134" s="136">
        <f t="shared" si="92"/>
        <v>15</v>
      </c>
      <c r="F2134" s="128" t="s">
        <v>24</v>
      </c>
      <c r="G2134" s="128" t="str">
        <f>VLOOKUP(source[[#This Row],[lending_product_transform]],[3]Mapping!$B$4:$C$37,2,0)</f>
        <v>[Cake] - Cashloan</v>
      </c>
      <c r="H2134" s="128" t="str">
        <f>VLOOKUP(source[[#This Row],[lending_product_transform]],[3]Mapping!$B$3:$D$37,3,0)</f>
        <v>cashloan</v>
      </c>
      <c r="I2134" s="135">
        <v>2676440000</v>
      </c>
    </row>
    <row r="2135" spans="1:9" x14ac:dyDescent="0.2">
      <c r="A2135" s="134">
        <v>45519</v>
      </c>
      <c r="B2135" s="135">
        <f>YEAR(source[[#This Row],[report_date]])</f>
        <v>2024</v>
      </c>
      <c r="C2135" s="128">
        <f t="shared" si="93"/>
        <v>8</v>
      </c>
      <c r="D2135" s="136">
        <f t="shared" si="91"/>
        <v>33</v>
      </c>
      <c r="E2135" s="136">
        <f t="shared" si="92"/>
        <v>15</v>
      </c>
      <c r="F2135" s="128" t="s">
        <v>24</v>
      </c>
      <c r="G2135" s="128" t="str">
        <f>VLOOKUP(source[[#This Row],[lending_product_transform]],[3]Mapping!$B$4:$C$37,2,0)</f>
        <v>[Cake] - Cashloan</v>
      </c>
      <c r="H2135" s="128" t="str">
        <f>VLOOKUP(source[[#This Row],[lending_product_transform]],[3]Mapping!$B$3:$D$37,3,0)</f>
        <v>cashloan</v>
      </c>
      <c r="I2135" s="135">
        <v>0</v>
      </c>
    </row>
    <row r="2136" spans="1:9" x14ac:dyDescent="0.2">
      <c r="A2136" s="134">
        <v>45519</v>
      </c>
      <c r="B2136" s="135">
        <f>YEAR(source[[#This Row],[report_date]])</f>
        <v>2024</v>
      </c>
      <c r="C2136" s="128">
        <f t="shared" si="93"/>
        <v>8</v>
      </c>
      <c r="D2136" s="136">
        <f t="shared" si="91"/>
        <v>33</v>
      </c>
      <c r="E2136" s="136">
        <f t="shared" si="92"/>
        <v>15</v>
      </c>
      <c r="F2136" s="128" t="s">
        <v>24</v>
      </c>
      <c r="G2136" s="128" t="str">
        <f>VLOOKUP(source[[#This Row],[lending_product_transform]],[3]Mapping!$B$4:$C$37,2,0)</f>
        <v>[Cake] - Cashloan</v>
      </c>
      <c r="H2136" s="128" t="str">
        <f>VLOOKUP(source[[#This Row],[lending_product_transform]],[3]Mapping!$B$3:$D$37,3,0)</f>
        <v>cashloan</v>
      </c>
      <c r="I2136" s="135">
        <v>162750000</v>
      </c>
    </row>
    <row r="2137" spans="1:9" x14ac:dyDescent="0.2">
      <c r="A2137" s="134">
        <v>45519</v>
      </c>
      <c r="B2137" s="135">
        <f>YEAR(source[[#This Row],[report_date]])</f>
        <v>2024</v>
      </c>
      <c r="C2137" s="128">
        <f t="shared" si="93"/>
        <v>8</v>
      </c>
      <c r="D2137" s="136">
        <f t="shared" si="91"/>
        <v>33</v>
      </c>
      <c r="E2137" s="136">
        <f t="shared" si="92"/>
        <v>15</v>
      </c>
      <c r="F2137" s="128" t="s">
        <v>24</v>
      </c>
      <c r="G2137" s="128" t="str">
        <f>VLOOKUP(source[[#This Row],[lending_product_transform]],[3]Mapping!$B$4:$C$37,2,0)</f>
        <v>[Cake] - Cashloan</v>
      </c>
      <c r="H2137" s="128" t="str">
        <f>VLOOKUP(source[[#This Row],[lending_product_transform]],[3]Mapping!$B$3:$D$37,3,0)</f>
        <v>cashloan</v>
      </c>
      <c r="I2137" s="135">
        <v>38327326</v>
      </c>
    </row>
    <row r="2138" spans="1:9" x14ac:dyDescent="0.2">
      <c r="A2138" s="134">
        <v>45519</v>
      </c>
      <c r="B2138" s="135">
        <f>YEAR(source[[#This Row],[report_date]])</f>
        <v>2024</v>
      </c>
      <c r="C2138" s="128">
        <f t="shared" si="93"/>
        <v>8</v>
      </c>
      <c r="D2138" s="136">
        <f t="shared" si="91"/>
        <v>33</v>
      </c>
      <c r="E2138" s="136">
        <f t="shared" si="92"/>
        <v>15</v>
      </c>
      <c r="F2138" s="128" t="s">
        <v>24</v>
      </c>
      <c r="G2138" s="128" t="str">
        <f>VLOOKUP(source[[#This Row],[lending_product_transform]],[3]Mapping!$B$4:$C$37,2,0)</f>
        <v>[Cake] - Cashloan</v>
      </c>
      <c r="H2138" s="128" t="str">
        <f>VLOOKUP(source[[#This Row],[lending_product_transform]],[3]Mapping!$B$3:$D$37,3,0)</f>
        <v>cashloan</v>
      </c>
      <c r="I2138" s="135">
        <v>18143781145</v>
      </c>
    </row>
    <row r="2139" spans="1:9" x14ac:dyDescent="0.2">
      <c r="A2139" s="134">
        <v>45519</v>
      </c>
      <c r="B2139" s="135">
        <f>YEAR(source[[#This Row],[report_date]])</f>
        <v>2024</v>
      </c>
      <c r="C2139" s="128">
        <f t="shared" si="93"/>
        <v>8</v>
      </c>
      <c r="D2139" s="136">
        <f t="shared" si="91"/>
        <v>33</v>
      </c>
      <c r="E2139" s="136">
        <f t="shared" si="92"/>
        <v>15</v>
      </c>
      <c r="F2139" s="128" t="s">
        <v>24</v>
      </c>
      <c r="G2139" s="128" t="str">
        <f>VLOOKUP(source[[#This Row],[lending_product_transform]],[3]Mapping!$B$4:$C$37,2,0)</f>
        <v>[Cake] - Cashloan</v>
      </c>
      <c r="H2139" s="128" t="str">
        <f>VLOOKUP(source[[#This Row],[lending_product_transform]],[3]Mapping!$B$3:$D$37,3,0)</f>
        <v>cashloan</v>
      </c>
      <c r="I2139" s="135">
        <v>66000000</v>
      </c>
    </row>
    <row r="2140" spans="1:9" x14ac:dyDescent="0.2">
      <c r="A2140" s="134">
        <v>45519</v>
      </c>
      <c r="B2140" s="135">
        <f>YEAR(source[[#This Row],[report_date]])</f>
        <v>2024</v>
      </c>
      <c r="C2140" s="128">
        <f t="shared" si="93"/>
        <v>8</v>
      </c>
      <c r="D2140" s="136">
        <f t="shared" si="91"/>
        <v>33</v>
      </c>
      <c r="E2140" s="136">
        <f t="shared" si="92"/>
        <v>15</v>
      </c>
      <c r="F2140" s="128" t="s">
        <v>24</v>
      </c>
      <c r="G2140" s="128" t="str">
        <f>VLOOKUP(source[[#This Row],[lending_product_transform]],[3]Mapping!$B$4:$C$37,2,0)</f>
        <v>[Cake] - Cashloan</v>
      </c>
      <c r="H2140" s="128" t="str">
        <f>VLOOKUP(source[[#This Row],[lending_product_transform]],[3]Mapping!$B$3:$D$37,3,0)</f>
        <v>cashloan</v>
      </c>
      <c r="I2140" s="135">
        <v>4731000000</v>
      </c>
    </row>
    <row r="2141" spans="1:9" x14ac:dyDescent="0.2">
      <c r="A2141" s="134">
        <v>45519</v>
      </c>
      <c r="B2141" s="135">
        <f>YEAR(source[[#This Row],[report_date]])</f>
        <v>2024</v>
      </c>
      <c r="C2141" s="128">
        <f t="shared" si="93"/>
        <v>8</v>
      </c>
      <c r="D2141" s="136">
        <f t="shared" si="91"/>
        <v>33</v>
      </c>
      <c r="E2141" s="136">
        <f t="shared" si="92"/>
        <v>15</v>
      </c>
      <c r="F2141" s="128" t="s">
        <v>24</v>
      </c>
      <c r="G2141" s="128" t="str">
        <f>VLOOKUP(source[[#This Row],[lending_product_transform]],[3]Mapping!$B$4:$C$37,2,0)</f>
        <v>[Cake] - Cashloan</v>
      </c>
      <c r="H2141" s="128" t="str">
        <f>VLOOKUP(source[[#This Row],[lending_product_transform]],[3]Mapping!$B$3:$D$37,3,0)</f>
        <v>cashloan</v>
      </c>
      <c r="I2141" s="135">
        <v>2731039768</v>
      </c>
    </row>
    <row r="2142" spans="1:9" x14ac:dyDescent="0.2">
      <c r="A2142" s="134">
        <v>45519</v>
      </c>
      <c r="B2142" s="135">
        <f>YEAR(source[[#This Row],[report_date]])</f>
        <v>2024</v>
      </c>
      <c r="C2142" s="128">
        <f t="shared" si="93"/>
        <v>8</v>
      </c>
      <c r="D2142" s="136">
        <f t="shared" si="91"/>
        <v>33</v>
      </c>
      <c r="E2142" s="136">
        <f t="shared" si="92"/>
        <v>15</v>
      </c>
      <c r="F2142" s="128" t="s">
        <v>24</v>
      </c>
      <c r="G2142" s="128" t="str">
        <f>VLOOKUP(source[[#This Row],[lending_product_transform]],[3]Mapping!$B$4:$C$37,2,0)</f>
        <v>[Cake] - Cashloan</v>
      </c>
      <c r="H2142" s="128" t="str">
        <f>VLOOKUP(source[[#This Row],[lending_product_transform]],[3]Mapping!$B$3:$D$37,3,0)</f>
        <v>cashloan</v>
      </c>
      <c r="I2142" s="135">
        <v>207034051</v>
      </c>
    </row>
    <row r="2143" spans="1:9" x14ac:dyDescent="0.2">
      <c r="A2143" s="134">
        <v>45519</v>
      </c>
      <c r="B2143" s="135">
        <f>YEAR(source[[#This Row],[report_date]])</f>
        <v>2024</v>
      </c>
      <c r="C2143" s="128">
        <f t="shared" si="93"/>
        <v>8</v>
      </c>
      <c r="D2143" s="136">
        <f t="shared" si="91"/>
        <v>33</v>
      </c>
      <c r="E2143" s="136">
        <f t="shared" si="92"/>
        <v>15</v>
      </c>
      <c r="F2143" s="128" t="s">
        <v>24</v>
      </c>
      <c r="G2143" s="128" t="str">
        <f>VLOOKUP(source[[#This Row],[lending_product_transform]],[3]Mapping!$B$4:$C$37,2,0)</f>
        <v>[Cake] - Cashloan</v>
      </c>
      <c r="H2143" s="128" t="str">
        <f>VLOOKUP(source[[#This Row],[lending_product_transform]],[3]Mapping!$B$3:$D$37,3,0)</f>
        <v>cashloan</v>
      </c>
      <c r="I2143" s="135">
        <v>1485610000</v>
      </c>
    </row>
    <row r="2144" spans="1:9" x14ac:dyDescent="0.2">
      <c r="A2144" s="134">
        <v>45519</v>
      </c>
      <c r="B2144" s="135">
        <f>YEAR(source[[#This Row],[report_date]])</f>
        <v>2024</v>
      </c>
      <c r="C2144" s="128">
        <f t="shared" si="93"/>
        <v>8</v>
      </c>
      <c r="D2144" s="136">
        <f t="shared" si="91"/>
        <v>33</v>
      </c>
      <c r="E2144" s="136">
        <f t="shared" si="92"/>
        <v>15</v>
      </c>
      <c r="F2144" s="128" t="s">
        <v>24</v>
      </c>
      <c r="G2144" s="128" t="str">
        <f>VLOOKUP(source[[#This Row],[lending_product_transform]],[3]Mapping!$B$4:$C$37,2,0)</f>
        <v>[Cake] - Cashloan</v>
      </c>
      <c r="H2144" s="128" t="str">
        <f>VLOOKUP(source[[#This Row],[lending_product_transform]],[3]Mapping!$B$3:$D$37,3,0)</f>
        <v>cashloan</v>
      </c>
      <c r="I2144" s="135">
        <v>15000000</v>
      </c>
    </row>
    <row r="2145" spans="1:9" x14ac:dyDescent="0.2">
      <c r="A2145" s="134">
        <v>45519</v>
      </c>
      <c r="B2145" s="135">
        <f>YEAR(source[[#This Row],[report_date]])</f>
        <v>2024</v>
      </c>
      <c r="C2145" s="128">
        <f t="shared" si="93"/>
        <v>8</v>
      </c>
      <c r="D2145" s="136">
        <f t="shared" si="91"/>
        <v>33</v>
      </c>
      <c r="E2145" s="136">
        <f t="shared" si="92"/>
        <v>15</v>
      </c>
      <c r="F2145" s="128" t="s">
        <v>24</v>
      </c>
      <c r="G2145" s="128" t="str">
        <f>VLOOKUP(source[[#This Row],[lending_product_transform]],[3]Mapping!$B$4:$C$37,2,0)</f>
        <v>[Cake] - Cashloan</v>
      </c>
      <c r="H2145" s="128" t="str">
        <f>VLOOKUP(source[[#This Row],[lending_product_transform]],[3]Mapping!$B$3:$D$37,3,0)</f>
        <v>cashloan</v>
      </c>
      <c r="I2145" s="135">
        <v>63000000</v>
      </c>
    </row>
    <row r="2146" spans="1:9" x14ac:dyDescent="0.2">
      <c r="A2146" s="134">
        <v>45519</v>
      </c>
      <c r="B2146" s="135">
        <f>YEAR(source[[#This Row],[report_date]])</f>
        <v>2024</v>
      </c>
      <c r="C2146" s="128">
        <f t="shared" si="93"/>
        <v>8</v>
      </c>
      <c r="D2146" s="136">
        <f t="shared" si="91"/>
        <v>33</v>
      </c>
      <c r="E2146" s="136">
        <f t="shared" si="92"/>
        <v>15</v>
      </c>
      <c r="F2146" s="128" t="s">
        <v>24</v>
      </c>
      <c r="G2146" s="128" t="str">
        <f>VLOOKUP(source[[#This Row],[lending_product_transform]],[3]Mapping!$B$4:$C$37,2,0)</f>
        <v>[Cake] - Cashloan</v>
      </c>
      <c r="H2146" s="128" t="str">
        <f>VLOOKUP(source[[#This Row],[lending_product_transform]],[3]Mapping!$B$3:$D$37,3,0)</f>
        <v>cashloan</v>
      </c>
      <c r="I2146" s="135">
        <v>5967580000</v>
      </c>
    </row>
    <row r="2147" spans="1:9" x14ac:dyDescent="0.2">
      <c r="A2147" s="134">
        <v>45520</v>
      </c>
      <c r="B2147" s="135">
        <f>YEAR(source[[#This Row],[report_date]])</f>
        <v>2024</v>
      </c>
      <c r="C2147" s="128">
        <f t="shared" si="93"/>
        <v>8</v>
      </c>
      <c r="D2147" s="136">
        <f t="shared" si="91"/>
        <v>33</v>
      </c>
      <c r="E2147" s="136">
        <f t="shared" si="92"/>
        <v>16</v>
      </c>
      <c r="F2147" s="128" t="s">
        <v>24</v>
      </c>
      <c r="G2147" s="128" t="str">
        <f>VLOOKUP(source[[#This Row],[lending_product_transform]],[3]Mapping!$B$4:$C$37,2,0)</f>
        <v>[Cake] - Cashloan</v>
      </c>
      <c r="H2147" s="128" t="str">
        <f>VLOOKUP(source[[#This Row],[lending_product_transform]],[3]Mapping!$B$3:$D$37,3,0)</f>
        <v>cashloan</v>
      </c>
      <c r="I2147" s="135">
        <v>0</v>
      </c>
    </row>
    <row r="2148" spans="1:9" x14ac:dyDescent="0.2">
      <c r="A2148" s="134">
        <v>45520</v>
      </c>
      <c r="B2148" s="135">
        <f>YEAR(source[[#This Row],[report_date]])</f>
        <v>2024</v>
      </c>
      <c r="C2148" s="128">
        <f t="shared" si="93"/>
        <v>8</v>
      </c>
      <c r="D2148" s="136">
        <f t="shared" si="91"/>
        <v>33</v>
      </c>
      <c r="E2148" s="136">
        <f t="shared" si="92"/>
        <v>16</v>
      </c>
      <c r="F2148" s="128" t="s">
        <v>24</v>
      </c>
      <c r="G2148" s="128" t="str">
        <f>VLOOKUP(source[[#This Row],[lending_product_transform]],[3]Mapping!$B$4:$C$37,2,0)</f>
        <v>[Cake] - Cashloan</v>
      </c>
      <c r="H2148" s="128" t="str">
        <f>VLOOKUP(source[[#This Row],[lending_product_transform]],[3]Mapping!$B$3:$D$37,3,0)</f>
        <v>cashloan</v>
      </c>
      <c r="I2148" s="135">
        <v>121800000</v>
      </c>
    </row>
    <row r="2149" spans="1:9" x14ac:dyDescent="0.2">
      <c r="A2149" s="134">
        <v>45520</v>
      </c>
      <c r="B2149" s="135">
        <f>YEAR(source[[#This Row],[report_date]])</f>
        <v>2024</v>
      </c>
      <c r="C2149" s="128">
        <f t="shared" si="93"/>
        <v>8</v>
      </c>
      <c r="D2149" s="136">
        <f t="shared" si="91"/>
        <v>33</v>
      </c>
      <c r="E2149" s="136">
        <f t="shared" si="92"/>
        <v>16</v>
      </c>
      <c r="F2149" s="128" t="s">
        <v>24</v>
      </c>
      <c r="G2149" s="128" t="str">
        <f>VLOOKUP(source[[#This Row],[lending_product_transform]],[3]Mapping!$B$4:$C$37,2,0)</f>
        <v>[Cake] - Cashloan</v>
      </c>
      <c r="H2149" s="128" t="str">
        <f>VLOOKUP(source[[#This Row],[lending_product_transform]],[3]Mapping!$B$3:$D$37,3,0)</f>
        <v>cashloan</v>
      </c>
      <c r="I2149" s="135">
        <v>0</v>
      </c>
    </row>
    <row r="2150" spans="1:9" x14ac:dyDescent="0.2">
      <c r="A2150" s="134">
        <v>45520</v>
      </c>
      <c r="B2150" s="135">
        <f>YEAR(source[[#This Row],[report_date]])</f>
        <v>2024</v>
      </c>
      <c r="C2150" s="128">
        <f t="shared" si="93"/>
        <v>8</v>
      </c>
      <c r="D2150" s="136">
        <f t="shared" si="91"/>
        <v>33</v>
      </c>
      <c r="E2150" s="136">
        <f t="shared" si="92"/>
        <v>16</v>
      </c>
      <c r="F2150" s="128" t="s">
        <v>24</v>
      </c>
      <c r="G2150" s="128" t="str">
        <f>VLOOKUP(source[[#This Row],[lending_product_transform]],[3]Mapping!$B$4:$C$37,2,0)</f>
        <v>[Cake] - Cashloan</v>
      </c>
      <c r="H2150" s="128" t="str">
        <f>VLOOKUP(source[[#This Row],[lending_product_transform]],[3]Mapping!$B$3:$D$37,3,0)</f>
        <v>cashloan</v>
      </c>
      <c r="I2150" s="135">
        <v>42000000</v>
      </c>
    </row>
    <row r="2151" spans="1:9" x14ac:dyDescent="0.2">
      <c r="A2151" s="134">
        <v>45520</v>
      </c>
      <c r="B2151" s="135">
        <f>YEAR(source[[#This Row],[report_date]])</f>
        <v>2024</v>
      </c>
      <c r="C2151" s="128">
        <f t="shared" si="93"/>
        <v>8</v>
      </c>
      <c r="D2151" s="136">
        <f t="shared" si="91"/>
        <v>33</v>
      </c>
      <c r="E2151" s="136">
        <f t="shared" si="92"/>
        <v>16</v>
      </c>
      <c r="F2151" s="128" t="s">
        <v>24</v>
      </c>
      <c r="G2151" s="128" t="str">
        <f>VLOOKUP(source[[#This Row],[lending_product_transform]],[3]Mapping!$B$4:$C$37,2,0)</f>
        <v>[Cake] - Cashloan</v>
      </c>
      <c r="H2151" s="128" t="str">
        <f>VLOOKUP(source[[#This Row],[lending_product_transform]],[3]Mapping!$B$3:$D$37,3,0)</f>
        <v>cashloan</v>
      </c>
      <c r="I2151" s="135">
        <v>1207930000</v>
      </c>
    </row>
    <row r="2152" spans="1:9" x14ac:dyDescent="0.2">
      <c r="A2152" s="134">
        <v>45520</v>
      </c>
      <c r="B2152" s="135">
        <f>YEAR(source[[#This Row],[report_date]])</f>
        <v>2024</v>
      </c>
      <c r="C2152" s="128">
        <f t="shared" si="93"/>
        <v>8</v>
      </c>
      <c r="D2152" s="136">
        <f t="shared" si="91"/>
        <v>33</v>
      </c>
      <c r="E2152" s="136">
        <f t="shared" si="92"/>
        <v>16</v>
      </c>
      <c r="F2152" s="128" t="s">
        <v>24</v>
      </c>
      <c r="G2152" s="128" t="str">
        <f>VLOOKUP(source[[#This Row],[lending_product_transform]],[3]Mapping!$B$4:$C$37,2,0)</f>
        <v>[Cake] - Cashloan</v>
      </c>
      <c r="H2152" s="128" t="str">
        <f>VLOOKUP(source[[#This Row],[lending_product_transform]],[3]Mapping!$B$3:$D$37,3,0)</f>
        <v>cashloan</v>
      </c>
      <c r="I2152" s="135">
        <v>33000000</v>
      </c>
    </row>
    <row r="2153" spans="1:9" x14ac:dyDescent="0.2">
      <c r="A2153" s="134">
        <v>45520</v>
      </c>
      <c r="B2153" s="135">
        <f>YEAR(source[[#This Row],[report_date]])</f>
        <v>2024</v>
      </c>
      <c r="C2153" s="128">
        <f t="shared" si="93"/>
        <v>8</v>
      </c>
      <c r="D2153" s="136">
        <f t="shared" si="91"/>
        <v>33</v>
      </c>
      <c r="E2153" s="136">
        <f t="shared" si="92"/>
        <v>16</v>
      </c>
      <c r="F2153" s="128" t="s">
        <v>24</v>
      </c>
      <c r="G2153" s="128" t="str">
        <f>VLOOKUP(source[[#This Row],[lending_product_transform]],[3]Mapping!$B$4:$C$37,2,0)</f>
        <v>[Cake] - Cashloan</v>
      </c>
      <c r="H2153" s="128" t="str">
        <f>VLOOKUP(source[[#This Row],[lending_product_transform]],[3]Mapping!$B$3:$D$37,3,0)</f>
        <v>cashloan</v>
      </c>
      <c r="I2153" s="135">
        <v>2101900000</v>
      </c>
    </row>
    <row r="2154" spans="1:9" x14ac:dyDescent="0.2">
      <c r="A2154" s="134">
        <v>45520</v>
      </c>
      <c r="B2154" s="135">
        <f>YEAR(source[[#This Row],[report_date]])</f>
        <v>2024</v>
      </c>
      <c r="C2154" s="128">
        <f t="shared" si="93"/>
        <v>8</v>
      </c>
      <c r="D2154" s="136">
        <f t="shared" si="91"/>
        <v>33</v>
      </c>
      <c r="E2154" s="136">
        <f t="shared" si="92"/>
        <v>16</v>
      </c>
      <c r="F2154" s="128" t="s">
        <v>24</v>
      </c>
      <c r="G2154" s="128" t="str">
        <f>VLOOKUP(source[[#This Row],[lending_product_transform]],[3]Mapping!$B$4:$C$37,2,0)</f>
        <v>[Cake] - Cashloan</v>
      </c>
      <c r="H2154" s="128" t="str">
        <f>VLOOKUP(source[[#This Row],[lending_product_transform]],[3]Mapping!$B$3:$D$37,3,0)</f>
        <v>cashloan</v>
      </c>
      <c r="I2154" s="135">
        <v>7280970000</v>
      </c>
    </row>
    <row r="2155" spans="1:9" x14ac:dyDescent="0.2">
      <c r="A2155" s="134">
        <v>45520</v>
      </c>
      <c r="B2155" s="135">
        <f>YEAR(source[[#This Row],[report_date]])</f>
        <v>2024</v>
      </c>
      <c r="C2155" s="128">
        <f t="shared" si="93"/>
        <v>8</v>
      </c>
      <c r="D2155" s="136">
        <f t="shared" si="91"/>
        <v>33</v>
      </c>
      <c r="E2155" s="136">
        <f t="shared" si="92"/>
        <v>16</v>
      </c>
      <c r="F2155" s="128" t="s">
        <v>24</v>
      </c>
      <c r="G2155" s="128" t="str">
        <f>VLOOKUP(source[[#This Row],[lending_product_transform]],[3]Mapping!$B$4:$C$37,2,0)</f>
        <v>[Cake] - Cashloan</v>
      </c>
      <c r="H2155" s="128" t="str">
        <f>VLOOKUP(source[[#This Row],[lending_product_transform]],[3]Mapping!$B$3:$D$37,3,0)</f>
        <v>cashloan</v>
      </c>
      <c r="I2155" s="135">
        <v>17689868662</v>
      </c>
    </row>
    <row r="2156" spans="1:9" x14ac:dyDescent="0.2">
      <c r="A2156" s="134">
        <v>45520</v>
      </c>
      <c r="B2156" s="135">
        <f>YEAR(source[[#This Row],[report_date]])</f>
        <v>2024</v>
      </c>
      <c r="C2156" s="128">
        <f t="shared" si="93"/>
        <v>8</v>
      </c>
      <c r="D2156" s="136">
        <f t="shared" si="91"/>
        <v>33</v>
      </c>
      <c r="E2156" s="136">
        <f t="shared" si="92"/>
        <v>16</v>
      </c>
      <c r="F2156" s="128" t="s">
        <v>24</v>
      </c>
      <c r="G2156" s="128" t="str">
        <f>VLOOKUP(source[[#This Row],[lending_product_transform]],[3]Mapping!$B$4:$C$37,2,0)</f>
        <v>[Cake] - Cashloan</v>
      </c>
      <c r="H2156" s="128" t="str">
        <f>VLOOKUP(source[[#This Row],[lending_product_transform]],[3]Mapping!$B$3:$D$37,3,0)</f>
        <v>cashloan</v>
      </c>
      <c r="I2156" s="135">
        <v>4367500000</v>
      </c>
    </row>
    <row r="2157" spans="1:9" x14ac:dyDescent="0.2">
      <c r="A2157" s="134">
        <v>45520</v>
      </c>
      <c r="B2157" s="135">
        <f>YEAR(source[[#This Row],[report_date]])</f>
        <v>2024</v>
      </c>
      <c r="C2157" s="128">
        <f t="shared" si="93"/>
        <v>8</v>
      </c>
      <c r="D2157" s="136">
        <f t="shared" si="91"/>
        <v>33</v>
      </c>
      <c r="E2157" s="136">
        <f t="shared" si="92"/>
        <v>16</v>
      </c>
      <c r="F2157" s="128" t="s">
        <v>24</v>
      </c>
      <c r="G2157" s="128" t="str">
        <f>VLOOKUP(source[[#This Row],[lending_product_transform]],[3]Mapping!$B$4:$C$37,2,0)</f>
        <v>[Cake] - Cashloan</v>
      </c>
      <c r="H2157" s="128" t="str">
        <f>VLOOKUP(source[[#This Row],[lending_product_transform]],[3]Mapping!$B$3:$D$37,3,0)</f>
        <v>cashloan</v>
      </c>
      <c r="I2157" s="135">
        <v>41786768</v>
      </c>
    </row>
    <row r="2158" spans="1:9" x14ac:dyDescent="0.2">
      <c r="A2158" s="134">
        <v>45520</v>
      </c>
      <c r="B2158" s="135">
        <f>YEAR(source[[#This Row],[report_date]])</f>
        <v>2024</v>
      </c>
      <c r="C2158" s="128">
        <f t="shared" si="93"/>
        <v>8</v>
      </c>
      <c r="D2158" s="136">
        <f t="shared" si="91"/>
        <v>33</v>
      </c>
      <c r="E2158" s="136">
        <f t="shared" si="92"/>
        <v>16</v>
      </c>
      <c r="F2158" s="128" t="s">
        <v>24</v>
      </c>
      <c r="G2158" s="128" t="str">
        <f>VLOOKUP(source[[#This Row],[lending_product_transform]],[3]Mapping!$B$4:$C$37,2,0)</f>
        <v>[Cake] - Cashloan</v>
      </c>
      <c r="H2158" s="128" t="str">
        <f>VLOOKUP(source[[#This Row],[lending_product_transform]],[3]Mapping!$B$3:$D$37,3,0)</f>
        <v>cashloan</v>
      </c>
      <c r="I2158" s="135">
        <v>2285287750</v>
      </c>
    </row>
    <row r="2159" spans="1:9" x14ac:dyDescent="0.2">
      <c r="A2159" s="134">
        <v>45520</v>
      </c>
      <c r="B2159" s="135">
        <f>YEAR(source[[#This Row],[report_date]])</f>
        <v>2024</v>
      </c>
      <c r="C2159" s="128">
        <f t="shared" si="93"/>
        <v>8</v>
      </c>
      <c r="D2159" s="136">
        <f t="shared" si="91"/>
        <v>33</v>
      </c>
      <c r="E2159" s="136">
        <f t="shared" si="92"/>
        <v>16</v>
      </c>
      <c r="F2159" s="128" t="s">
        <v>24</v>
      </c>
      <c r="G2159" s="128" t="str">
        <f>VLOOKUP(source[[#This Row],[lending_product_transform]],[3]Mapping!$B$4:$C$37,2,0)</f>
        <v>[Cake] - Cashloan</v>
      </c>
      <c r="H2159" s="128" t="str">
        <f>VLOOKUP(source[[#This Row],[lending_product_transform]],[3]Mapping!$B$3:$D$37,3,0)</f>
        <v>cashloan</v>
      </c>
      <c r="I2159" s="135">
        <v>207694144</v>
      </c>
    </row>
    <row r="2160" spans="1:9" x14ac:dyDescent="0.2">
      <c r="A2160" s="134">
        <v>45521</v>
      </c>
      <c r="B2160" s="135">
        <f>YEAR(source[[#This Row],[report_date]])</f>
        <v>2024</v>
      </c>
      <c r="C2160" s="128">
        <f t="shared" si="93"/>
        <v>8</v>
      </c>
      <c r="D2160" s="136">
        <f t="shared" si="91"/>
        <v>33</v>
      </c>
      <c r="E2160" s="136">
        <f t="shared" si="92"/>
        <v>17</v>
      </c>
      <c r="F2160" s="128" t="s">
        <v>24</v>
      </c>
      <c r="G2160" s="128" t="str">
        <f>VLOOKUP(source[[#This Row],[lending_product_transform]],[3]Mapping!$B$4:$C$37,2,0)</f>
        <v>[Cake] - Cashloan</v>
      </c>
      <c r="H2160" s="128" t="str">
        <f>VLOOKUP(source[[#This Row],[lending_product_transform]],[3]Mapping!$B$3:$D$37,3,0)</f>
        <v>cashloan</v>
      </c>
      <c r="I2160" s="135">
        <v>0</v>
      </c>
    </row>
    <row r="2161" spans="1:9" x14ac:dyDescent="0.2">
      <c r="A2161" s="134">
        <v>45521</v>
      </c>
      <c r="B2161" s="135">
        <f>YEAR(source[[#This Row],[report_date]])</f>
        <v>2024</v>
      </c>
      <c r="C2161" s="128">
        <f t="shared" si="93"/>
        <v>8</v>
      </c>
      <c r="D2161" s="136">
        <f t="shared" si="91"/>
        <v>33</v>
      </c>
      <c r="E2161" s="136">
        <f t="shared" si="92"/>
        <v>17</v>
      </c>
      <c r="F2161" s="128" t="s">
        <v>24</v>
      </c>
      <c r="G2161" s="128" t="str">
        <f>VLOOKUP(source[[#This Row],[lending_product_transform]],[3]Mapping!$B$4:$C$37,2,0)</f>
        <v>[Cake] - Cashloan</v>
      </c>
      <c r="H2161" s="128" t="str">
        <f>VLOOKUP(source[[#This Row],[lending_product_transform]],[3]Mapping!$B$3:$D$37,3,0)</f>
        <v>cashloan</v>
      </c>
      <c r="I2161" s="135">
        <v>581400000</v>
      </c>
    </row>
    <row r="2162" spans="1:9" x14ac:dyDescent="0.2">
      <c r="A2162" s="134">
        <v>45521</v>
      </c>
      <c r="B2162" s="135">
        <f>YEAR(source[[#This Row],[report_date]])</f>
        <v>2024</v>
      </c>
      <c r="C2162" s="128">
        <f t="shared" si="93"/>
        <v>8</v>
      </c>
      <c r="D2162" s="136">
        <f t="shared" si="91"/>
        <v>33</v>
      </c>
      <c r="E2162" s="136">
        <f t="shared" si="92"/>
        <v>17</v>
      </c>
      <c r="F2162" s="128" t="s">
        <v>24</v>
      </c>
      <c r="G2162" s="128" t="str">
        <f>VLOOKUP(source[[#This Row],[lending_product_transform]],[3]Mapping!$B$4:$C$37,2,0)</f>
        <v>[Cake] - Cashloan</v>
      </c>
      <c r="H2162" s="128" t="str">
        <f>VLOOKUP(source[[#This Row],[lending_product_transform]],[3]Mapping!$B$3:$D$37,3,0)</f>
        <v>cashloan</v>
      </c>
      <c r="I2162" s="135">
        <v>2205517984</v>
      </c>
    </row>
    <row r="2163" spans="1:9" x14ac:dyDescent="0.2">
      <c r="A2163" s="134">
        <v>45521</v>
      </c>
      <c r="B2163" s="135">
        <f>YEAR(source[[#This Row],[report_date]])</f>
        <v>2024</v>
      </c>
      <c r="C2163" s="128">
        <f t="shared" si="93"/>
        <v>8</v>
      </c>
      <c r="D2163" s="136">
        <f t="shared" si="91"/>
        <v>33</v>
      </c>
      <c r="E2163" s="136">
        <f t="shared" si="92"/>
        <v>17</v>
      </c>
      <c r="F2163" s="128" t="s">
        <v>24</v>
      </c>
      <c r="G2163" s="128" t="str">
        <f>VLOOKUP(source[[#This Row],[lending_product_transform]],[3]Mapping!$B$4:$C$37,2,0)</f>
        <v>[Cake] - Cashloan</v>
      </c>
      <c r="H2163" s="128" t="str">
        <f>VLOOKUP(source[[#This Row],[lending_product_transform]],[3]Mapping!$B$3:$D$37,3,0)</f>
        <v>cashloan</v>
      </c>
      <c r="I2163" s="135">
        <v>25612445</v>
      </c>
    </row>
    <row r="2164" spans="1:9" x14ac:dyDescent="0.2">
      <c r="A2164" s="134">
        <v>45521</v>
      </c>
      <c r="B2164" s="135">
        <f>YEAR(source[[#This Row],[report_date]])</f>
        <v>2024</v>
      </c>
      <c r="C2164" s="128">
        <f t="shared" si="93"/>
        <v>8</v>
      </c>
      <c r="D2164" s="136">
        <f t="shared" si="91"/>
        <v>33</v>
      </c>
      <c r="E2164" s="136">
        <f t="shared" si="92"/>
        <v>17</v>
      </c>
      <c r="F2164" s="128" t="s">
        <v>24</v>
      </c>
      <c r="G2164" s="128" t="str">
        <f>VLOOKUP(source[[#This Row],[lending_product_transform]],[3]Mapping!$B$4:$C$37,2,0)</f>
        <v>[Cake] - Cashloan</v>
      </c>
      <c r="H2164" s="128" t="str">
        <f>VLOOKUP(source[[#This Row],[lending_product_transform]],[3]Mapping!$B$3:$D$37,3,0)</f>
        <v>cashloan</v>
      </c>
      <c r="I2164" s="135">
        <v>15033592785</v>
      </c>
    </row>
    <row r="2165" spans="1:9" x14ac:dyDescent="0.2">
      <c r="A2165" s="134">
        <v>45521</v>
      </c>
      <c r="B2165" s="135">
        <f>YEAR(source[[#This Row],[report_date]])</f>
        <v>2024</v>
      </c>
      <c r="C2165" s="128">
        <f t="shared" si="93"/>
        <v>8</v>
      </c>
      <c r="D2165" s="136">
        <f t="shared" si="91"/>
        <v>33</v>
      </c>
      <c r="E2165" s="136">
        <f t="shared" si="92"/>
        <v>17</v>
      </c>
      <c r="F2165" s="128" t="s">
        <v>24</v>
      </c>
      <c r="G2165" s="128" t="str">
        <f>VLOOKUP(source[[#This Row],[lending_product_transform]],[3]Mapping!$B$4:$C$37,2,0)</f>
        <v>[Cake] - Cashloan</v>
      </c>
      <c r="H2165" s="128" t="str">
        <f>VLOOKUP(source[[#This Row],[lending_product_transform]],[3]Mapping!$B$3:$D$37,3,0)</f>
        <v>cashloan</v>
      </c>
      <c r="I2165" s="135">
        <v>5991490000</v>
      </c>
    </row>
    <row r="2166" spans="1:9" x14ac:dyDescent="0.2">
      <c r="A2166" s="134">
        <v>45521</v>
      </c>
      <c r="B2166" s="135">
        <f>YEAR(source[[#This Row],[report_date]])</f>
        <v>2024</v>
      </c>
      <c r="C2166" s="128">
        <f t="shared" si="93"/>
        <v>8</v>
      </c>
      <c r="D2166" s="136">
        <f t="shared" si="91"/>
        <v>33</v>
      </c>
      <c r="E2166" s="136">
        <f t="shared" si="92"/>
        <v>17</v>
      </c>
      <c r="F2166" s="128" t="s">
        <v>24</v>
      </c>
      <c r="G2166" s="128" t="str">
        <f>VLOOKUP(source[[#This Row],[lending_product_transform]],[3]Mapping!$B$4:$C$37,2,0)</f>
        <v>[Cake] - Cashloan</v>
      </c>
      <c r="H2166" s="128" t="str">
        <f>VLOOKUP(source[[#This Row],[lending_product_transform]],[3]Mapping!$B$3:$D$37,3,0)</f>
        <v>cashloan</v>
      </c>
      <c r="I2166" s="135">
        <v>19260000</v>
      </c>
    </row>
    <row r="2167" spans="1:9" x14ac:dyDescent="0.2">
      <c r="A2167" s="134">
        <v>45521</v>
      </c>
      <c r="B2167" s="135">
        <f>YEAR(source[[#This Row],[report_date]])</f>
        <v>2024</v>
      </c>
      <c r="C2167" s="128">
        <f t="shared" si="93"/>
        <v>8</v>
      </c>
      <c r="D2167" s="136">
        <f t="shared" si="91"/>
        <v>33</v>
      </c>
      <c r="E2167" s="136">
        <f t="shared" si="92"/>
        <v>17</v>
      </c>
      <c r="F2167" s="128" t="s">
        <v>24</v>
      </c>
      <c r="G2167" s="128" t="str">
        <f>VLOOKUP(source[[#This Row],[lending_product_transform]],[3]Mapping!$B$4:$C$37,2,0)</f>
        <v>[Cake] - Cashloan</v>
      </c>
      <c r="H2167" s="128" t="str">
        <f>VLOOKUP(source[[#This Row],[lending_product_transform]],[3]Mapping!$B$3:$D$37,3,0)</f>
        <v>cashloan</v>
      </c>
      <c r="I2167" s="135">
        <v>2049680000</v>
      </c>
    </row>
    <row r="2168" spans="1:9" x14ac:dyDescent="0.2">
      <c r="A2168" s="134">
        <v>45521</v>
      </c>
      <c r="B2168" s="135">
        <f>YEAR(source[[#This Row],[report_date]])</f>
        <v>2024</v>
      </c>
      <c r="C2168" s="128">
        <f t="shared" si="93"/>
        <v>8</v>
      </c>
      <c r="D2168" s="136">
        <f t="shared" si="91"/>
        <v>33</v>
      </c>
      <c r="E2168" s="136">
        <f t="shared" si="92"/>
        <v>17</v>
      </c>
      <c r="F2168" s="128" t="s">
        <v>24</v>
      </c>
      <c r="G2168" s="128" t="str">
        <f>VLOOKUP(source[[#This Row],[lending_product_transform]],[3]Mapping!$B$4:$C$37,2,0)</f>
        <v>[Cake] - Cashloan</v>
      </c>
      <c r="H2168" s="128" t="str">
        <f>VLOOKUP(source[[#This Row],[lending_product_transform]],[3]Mapping!$B$3:$D$37,3,0)</f>
        <v>cashloan</v>
      </c>
      <c r="I2168" s="135">
        <v>0</v>
      </c>
    </row>
    <row r="2169" spans="1:9" x14ac:dyDescent="0.2">
      <c r="A2169" s="134">
        <v>45521</v>
      </c>
      <c r="B2169" s="135">
        <f>YEAR(source[[#This Row],[report_date]])</f>
        <v>2024</v>
      </c>
      <c r="C2169" s="128">
        <f t="shared" si="93"/>
        <v>8</v>
      </c>
      <c r="D2169" s="136">
        <f t="shared" si="91"/>
        <v>33</v>
      </c>
      <c r="E2169" s="136">
        <f t="shared" si="92"/>
        <v>17</v>
      </c>
      <c r="F2169" s="128" t="s">
        <v>24</v>
      </c>
      <c r="G2169" s="128" t="str">
        <f>VLOOKUP(source[[#This Row],[lending_product_transform]],[3]Mapping!$B$4:$C$37,2,0)</f>
        <v>[Cake] - Cashloan</v>
      </c>
      <c r="H2169" s="128" t="str">
        <f>VLOOKUP(source[[#This Row],[lending_product_transform]],[3]Mapping!$B$3:$D$37,3,0)</f>
        <v>cashloan</v>
      </c>
      <c r="I2169" s="135">
        <v>167032356</v>
      </c>
    </row>
    <row r="2170" spans="1:9" x14ac:dyDescent="0.2">
      <c r="A2170" s="134">
        <v>45521</v>
      </c>
      <c r="B2170" s="135">
        <f>YEAR(source[[#This Row],[report_date]])</f>
        <v>2024</v>
      </c>
      <c r="C2170" s="128">
        <f t="shared" si="93"/>
        <v>8</v>
      </c>
      <c r="D2170" s="136">
        <f t="shared" si="91"/>
        <v>33</v>
      </c>
      <c r="E2170" s="136">
        <f t="shared" si="92"/>
        <v>17</v>
      </c>
      <c r="F2170" s="128" t="s">
        <v>24</v>
      </c>
      <c r="G2170" s="128" t="str">
        <f>VLOOKUP(source[[#This Row],[lending_product_transform]],[3]Mapping!$B$4:$C$37,2,0)</f>
        <v>[Cake] - Cashloan</v>
      </c>
      <c r="H2170" s="128" t="str">
        <f>VLOOKUP(source[[#This Row],[lending_product_transform]],[3]Mapping!$B$3:$D$37,3,0)</f>
        <v>cashloan</v>
      </c>
      <c r="I2170" s="135">
        <v>46000000</v>
      </c>
    </row>
    <row r="2171" spans="1:9" x14ac:dyDescent="0.2">
      <c r="A2171" s="134">
        <v>45521</v>
      </c>
      <c r="B2171" s="135">
        <f>YEAR(source[[#This Row],[report_date]])</f>
        <v>2024</v>
      </c>
      <c r="C2171" s="128">
        <f t="shared" si="93"/>
        <v>8</v>
      </c>
      <c r="D2171" s="136">
        <f t="shared" si="91"/>
        <v>33</v>
      </c>
      <c r="E2171" s="136">
        <f t="shared" si="92"/>
        <v>17</v>
      </c>
      <c r="F2171" s="128" t="s">
        <v>24</v>
      </c>
      <c r="G2171" s="128" t="str">
        <f>VLOOKUP(source[[#This Row],[lending_product_transform]],[3]Mapping!$B$4:$C$37,2,0)</f>
        <v>[Cake] - Cashloan</v>
      </c>
      <c r="H2171" s="128" t="str">
        <f>VLOOKUP(source[[#This Row],[lending_product_transform]],[3]Mapping!$B$3:$D$37,3,0)</f>
        <v>cashloan</v>
      </c>
      <c r="I2171" s="135">
        <v>3861500000</v>
      </c>
    </row>
    <row r="2172" spans="1:9" x14ac:dyDescent="0.2">
      <c r="A2172" s="134">
        <v>45521</v>
      </c>
      <c r="B2172" s="135">
        <f>YEAR(source[[#This Row],[report_date]])</f>
        <v>2024</v>
      </c>
      <c r="C2172" s="128">
        <f t="shared" si="93"/>
        <v>8</v>
      </c>
      <c r="D2172" s="136">
        <f t="shared" si="91"/>
        <v>33</v>
      </c>
      <c r="E2172" s="136">
        <f t="shared" si="92"/>
        <v>17</v>
      </c>
      <c r="F2172" s="128" t="s">
        <v>24</v>
      </c>
      <c r="G2172" s="128" t="str">
        <f>VLOOKUP(source[[#This Row],[lending_product_transform]],[3]Mapping!$B$4:$C$37,2,0)</f>
        <v>[Cake] - Cashloan</v>
      </c>
      <c r="H2172" s="128" t="str">
        <f>VLOOKUP(source[[#This Row],[lending_product_transform]],[3]Mapping!$B$3:$D$37,3,0)</f>
        <v>cashloan</v>
      </c>
      <c r="I2172" s="135">
        <v>86100000</v>
      </c>
    </row>
    <row r="2173" spans="1:9" x14ac:dyDescent="0.2">
      <c r="A2173" s="134">
        <v>45522</v>
      </c>
      <c r="B2173" s="135">
        <f>YEAR(source[[#This Row],[report_date]])</f>
        <v>2024</v>
      </c>
      <c r="C2173" s="128">
        <f t="shared" si="93"/>
        <v>8</v>
      </c>
      <c r="D2173" s="136">
        <f t="shared" si="91"/>
        <v>33</v>
      </c>
      <c r="E2173" s="136">
        <f t="shared" si="92"/>
        <v>18</v>
      </c>
      <c r="F2173" s="128" t="s">
        <v>24</v>
      </c>
      <c r="G2173" s="128" t="str">
        <f>VLOOKUP(source[[#This Row],[lending_product_transform]],[3]Mapping!$B$4:$C$37,2,0)</f>
        <v>[Cake] - Cashloan</v>
      </c>
      <c r="H2173" s="128" t="str">
        <f>VLOOKUP(source[[#This Row],[lending_product_transform]],[3]Mapping!$B$3:$D$37,3,0)</f>
        <v>cashloan</v>
      </c>
      <c r="I2173" s="135">
        <v>65270000</v>
      </c>
    </row>
    <row r="2174" spans="1:9" x14ac:dyDescent="0.2">
      <c r="A2174" s="134">
        <v>45522</v>
      </c>
      <c r="B2174" s="135">
        <f>YEAR(source[[#This Row],[report_date]])</f>
        <v>2024</v>
      </c>
      <c r="C2174" s="128">
        <f t="shared" si="93"/>
        <v>8</v>
      </c>
      <c r="D2174" s="136">
        <f t="shared" si="91"/>
        <v>33</v>
      </c>
      <c r="E2174" s="136">
        <f t="shared" si="92"/>
        <v>18</v>
      </c>
      <c r="F2174" s="128" t="s">
        <v>24</v>
      </c>
      <c r="G2174" s="128" t="str">
        <f>VLOOKUP(source[[#This Row],[lending_product_transform]],[3]Mapping!$B$4:$C$37,2,0)</f>
        <v>[Cake] - Cashloan</v>
      </c>
      <c r="H2174" s="128" t="str">
        <f>VLOOKUP(source[[#This Row],[lending_product_transform]],[3]Mapping!$B$3:$D$37,3,0)</f>
        <v>cashloan</v>
      </c>
      <c r="I2174" s="135">
        <v>12888762026</v>
      </c>
    </row>
    <row r="2175" spans="1:9" x14ac:dyDescent="0.2">
      <c r="A2175" s="134">
        <v>45522</v>
      </c>
      <c r="B2175" s="135">
        <f>YEAR(source[[#This Row],[report_date]])</f>
        <v>2024</v>
      </c>
      <c r="C2175" s="128">
        <f t="shared" si="93"/>
        <v>8</v>
      </c>
      <c r="D2175" s="136">
        <f t="shared" si="91"/>
        <v>33</v>
      </c>
      <c r="E2175" s="136">
        <f t="shared" si="92"/>
        <v>18</v>
      </c>
      <c r="F2175" s="128" t="s">
        <v>24</v>
      </c>
      <c r="G2175" s="128" t="str">
        <f>VLOOKUP(source[[#This Row],[lending_product_transform]],[3]Mapping!$B$4:$C$37,2,0)</f>
        <v>[Cake] - Cashloan</v>
      </c>
      <c r="H2175" s="128" t="str">
        <f>VLOOKUP(source[[#This Row],[lending_product_transform]],[3]Mapping!$B$3:$D$37,3,0)</f>
        <v>cashloan</v>
      </c>
      <c r="I2175" s="135">
        <v>3330000000</v>
      </c>
    </row>
    <row r="2176" spans="1:9" x14ac:dyDescent="0.2">
      <c r="A2176" s="134">
        <v>45522</v>
      </c>
      <c r="B2176" s="135">
        <f>YEAR(source[[#This Row],[report_date]])</f>
        <v>2024</v>
      </c>
      <c r="C2176" s="128">
        <f t="shared" si="93"/>
        <v>8</v>
      </c>
      <c r="D2176" s="136">
        <f t="shared" si="91"/>
        <v>33</v>
      </c>
      <c r="E2176" s="136">
        <f t="shared" si="92"/>
        <v>18</v>
      </c>
      <c r="F2176" s="128" t="s">
        <v>24</v>
      </c>
      <c r="G2176" s="128" t="str">
        <f>VLOOKUP(source[[#This Row],[lending_product_transform]],[3]Mapping!$B$4:$C$37,2,0)</f>
        <v>[Cake] - Cashloan</v>
      </c>
      <c r="H2176" s="128" t="str">
        <f>VLOOKUP(source[[#This Row],[lending_product_transform]],[3]Mapping!$B$3:$D$37,3,0)</f>
        <v>cashloan</v>
      </c>
      <c r="I2176" s="135">
        <v>145144732</v>
      </c>
    </row>
    <row r="2177" spans="1:9" x14ac:dyDescent="0.2">
      <c r="A2177" s="134">
        <v>45522</v>
      </c>
      <c r="B2177" s="135">
        <f>YEAR(source[[#This Row],[report_date]])</f>
        <v>2024</v>
      </c>
      <c r="C2177" s="128">
        <f t="shared" si="93"/>
        <v>8</v>
      </c>
      <c r="D2177" s="136">
        <f t="shared" si="91"/>
        <v>33</v>
      </c>
      <c r="E2177" s="136">
        <f t="shared" si="92"/>
        <v>18</v>
      </c>
      <c r="F2177" s="128" t="s">
        <v>24</v>
      </c>
      <c r="G2177" s="128" t="str">
        <f>VLOOKUP(source[[#This Row],[lending_product_transform]],[3]Mapping!$B$4:$C$37,2,0)</f>
        <v>[Cake] - Cashloan</v>
      </c>
      <c r="H2177" s="128" t="str">
        <f>VLOOKUP(source[[#This Row],[lending_product_transform]],[3]Mapping!$B$3:$D$37,3,0)</f>
        <v>cashloan</v>
      </c>
      <c r="I2177" s="135">
        <v>2014866410</v>
      </c>
    </row>
    <row r="2178" spans="1:9" x14ac:dyDescent="0.2">
      <c r="A2178" s="134">
        <v>45522</v>
      </c>
      <c r="B2178" s="135">
        <f>YEAR(source[[#This Row],[report_date]])</f>
        <v>2024</v>
      </c>
      <c r="C2178" s="128">
        <f t="shared" si="93"/>
        <v>8</v>
      </c>
      <c r="D2178" s="136">
        <f t="shared" si="91"/>
        <v>33</v>
      </c>
      <c r="E2178" s="136">
        <f t="shared" si="92"/>
        <v>18</v>
      </c>
      <c r="F2178" s="128" t="s">
        <v>24</v>
      </c>
      <c r="G2178" s="128" t="str">
        <f>VLOOKUP(source[[#This Row],[lending_product_transform]],[3]Mapping!$B$4:$C$37,2,0)</f>
        <v>[Cake] - Cashloan</v>
      </c>
      <c r="H2178" s="128" t="str">
        <f>VLOOKUP(source[[#This Row],[lending_product_transform]],[3]Mapping!$B$3:$D$37,3,0)</f>
        <v>cashloan</v>
      </c>
      <c r="I2178" s="135">
        <v>5210210000</v>
      </c>
    </row>
    <row r="2179" spans="1:9" x14ac:dyDescent="0.2">
      <c r="A2179" s="134">
        <v>45522</v>
      </c>
      <c r="B2179" s="135">
        <f>YEAR(source[[#This Row],[report_date]])</f>
        <v>2024</v>
      </c>
      <c r="C2179" s="128">
        <f t="shared" si="93"/>
        <v>8</v>
      </c>
      <c r="D2179" s="136">
        <f t="shared" ref="D2179:D2242" si="94">WEEKNUM(A2179,2)</f>
        <v>33</v>
      </c>
      <c r="E2179" s="136">
        <f t="shared" ref="E2179:E2242" si="95">DAY(A2179)</f>
        <v>18</v>
      </c>
      <c r="F2179" s="128" t="s">
        <v>24</v>
      </c>
      <c r="G2179" s="128" t="str">
        <f>VLOOKUP(source[[#This Row],[lending_product_transform]],[3]Mapping!$B$4:$C$37,2,0)</f>
        <v>[Cake] - Cashloan</v>
      </c>
      <c r="H2179" s="128" t="str">
        <f>VLOOKUP(source[[#This Row],[lending_product_transform]],[3]Mapping!$B$3:$D$37,3,0)</f>
        <v>cashloan</v>
      </c>
      <c r="I2179" s="135">
        <v>39000000</v>
      </c>
    </row>
    <row r="2180" spans="1:9" x14ac:dyDescent="0.2">
      <c r="A2180" s="134">
        <v>45522</v>
      </c>
      <c r="B2180" s="135">
        <f>YEAR(source[[#This Row],[report_date]])</f>
        <v>2024</v>
      </c>
      <c r="C2180" s="128">
        <f t="shared" si="93"/>
        <v>8</v>
      </c>
      <c r="D2180" s="136">
        <f t="shared" si="94"/>
        <v>33</v>
      </c>
      <c r="E2180" s="136">
        <f t="shared" si="95"/>
        <v>18</v>
      </c>
      <c r="F2180" s="128" t="s">
        <v>24</v>
      </c>
      <c r="G2180" s="128" t="str">
        <f>VLOOKUP(source[[#This Row],[lending_product_transform]],[3]Mapping!$B$4:$C$37,2,0)</f>
        <v>[Cake] - Cashloan</v>
      </c>
      <c r="H2180" s="128" t="str">
        <f>VLOOKUP(source[[#This Row],[lending_product_transform]],[3]Mapping!$B$3:$D$37,3,0)</f>
        <v>cashloan</v>
      </c>
      <c r="I2180" s="135">
        <v>0</v>
      </c>
    </row>
    <row r="2181" spans="1:9" x14ac:dyDescent="0.2">
      <c r="A2181" s="134">
        <v>45522</v>
      </c>
      <c r="B2181" s="135">
        <f>YEAR(source[[#This Row],[report_date]])</f>
        <v>2024</v>
      </c>
      <c r="C2181" s="128">
        <f t="shared" si="93"/>
        <v>8</v>
      </c>
      <c r="D2181" s="136">
        <f t="shared" si="94"/>
        <v>33</v>
      </c>
      <c r="E2181" s="136">
        <f t="shared" si="95"/>
        <v>18</v>
      </c>
      <c r="F2181" s="128" t="s">
        <v>24</v>
      </c>
      <c r="G2181" s="128" t="str">
        <f>VLOOKUP(source[[#This Row],[lending_product_transform]],[3]Mapping!$B$4:$C$37,2,0)</f>
        <v>[Cake] - Cashloan</v>
      </c>
      <c r="H2181" s="128" t="str">
        <f>VLOOKUP(source[[#This Row],[lending_product_transform]],[3]Mapping!$B$3:$D$37,3,0)</f>
        <v>cashloan</v>
      </c>
      <c r="I2181" s="135">
        <v>90300000</v>
      </c>
    </row>
    <row r="2182" spans="1:9" x14ac:dyDescent="0.2">
      <c r="A2182" s="134">
        <v>45522</v>
      </c>
      <c r="B2182" s="135">
        <f>YEAR(source[[#This Row],[report_date]])</f>
        <v>2024</v>
      </c>
      <c r="C2182" s="128">
        <f t="shared" si="93"/>
        <v>8</v>
      </c>
      <c r="D2182" s="136">
        <f t="shared" si="94"/>
        <v>33</v>
      </c>
      <c r="E2182" s="136">
        <f t="shared" si="95"/>
        <v>18</v>
      </c>
      <c r="F2182" s="128" t="s">
        <v>24</v>
      </c>
      <c r="G2182" s="128" t="str">
        <f>VLOOKUP(source[[#This Row],[lending_product_transform]],[3]Mapping!$B$4:$C$37,2,0)</f>
        <v>[Cake] - Cashloan</v>
      </c>
      <c r="H2182" s="128" t="str">
        <f>VLOOKUP(source[[#This Row],[lending_product_transform]],[3]Mapping!$B$3:$D$37,3,0)</f>
        <v>cashloan</v>
      </c>
      <c r="I2182" s="135">
        <v>36750000</v>
      </c>
    </row>
    <row r="2183" spans="1:9" x14ac:dyDescent="0.2">
      <c r="A2183" s="134">
        <v>45522</v>
      </c>
      <c r="B2183" s="135">
        <f>YEAR(source[[#This Row],[report_date]])</f>
        <v>2024</v>
      </c>
      <c r="C2183" s="128">
        <f t="shared" si="93"/>
        <v>8</v>
      </c>
      <c r="D2183" s="136">
        <f t="shared" si="94"/>
        <v>33</v>
      </c>
      <c r="E2183" s="136">
        <f t="shared" si="95"/>
        <v>18</v>
      </c>
      <c r="F2183" s="128" t="s">
        <v>24</v>
      </c>
      <c r="G2183" s="128" t="str">
        <f>VLOOKUP(source[[#This Row],[lending_product_transform]],[3]Mapping!$B$4:$C$37,2,0)</f>
        <v>[Cake] - Cashloan</v>
      </c>
      <c r="H2183" s="128" t="str">
        <f>VLOOKUP(source[[#This Row],[lending_product_transform]],[3]Mapping!$B$3:$D$37,3,0)</f>
        <v>cashloan</v>
      </c>
      <c r="I2183" s="135">
        <v>31030000</v>
      </c>
    </row>
    <row r="2184" spans="1:9" x14ac:dyDescent="0.2">
      <c r="A2184" s="134">
        <v>45522</v>
      </c>
      <c r="B2184" s="135">
        <f>YEAR(source[[#This Row],[report_date]])</f>
        <v>2024</v>
      </c>
      <c r="C2184" s="128">
        <f t="shared" si="93"/>
        <v>8</v>
      </c>
      <c r="D2184" s="136">
        <f t="shared" si="94"/>
        <v>33</v>
      </c>
      <c r="E2184" s="136">
        <f t="shared" si="95"/>
        <v>18</v>
      </c>
      <c r="F2184" s="128" t="s">
        <v>24</v>
      </c>
      <c r="G2184" s="128" t="str">
        <f>VLOOKUP(source[[#This Row],[lending_product_transform]],[3]Mapping!$B$4:$C$37,2,0)</f>
        <v>[Cake] - Cashloan</v>
      </c>
      <c r="H2184" s="128" t="str">
        <f>VLOOKUP(source[[#This Row],[lending_product_transform]],[3]Mapping!$B$3:$D$37,3,0)</f>
        <v>cashloan</v>
      </c>
      <c r="I2184" s="135">
        <v>30880884</v>
      </c>
    </row>
    <row r="2185" spans="1:9" x14ac:dyDescent="0.2">
      <c r="A2185" s="134">
        <v>45522</v>
      </c>
      <c r="B2185" s="135">
        <f>YEAR(source[[#This Row],[report_date]])</f>
        <v>2024</v>
      </c>
      <c r="C2185" s="128">
        <f t="shared" si="93"/>
        <v>8</v>
      </c>
      <c r="D2185" s="136">
        <f t="shared" si="94"/>
        <v>33</v>
      </c>
      <c r="E2185" s="136">
        <f t="shared" si="95"/>
        <v>18</v>
      </c>
      <c r="F2185" s="128" t="s">
        <v>24</v>
      </c>
      <c r="G2185" s="128" t="str">
        <f>VLOOKUP(source[[#This Row],[lending_product_transform]],[3]Mapping!$B$4:$C$37,2,0)</f>
        <v>[Cake] - Cashloan</v>
      </c>
      <c r="H2185" s="128" t="str">
        <f>VLOOKUP(source[[#This Row],[lending_product_transform]],[3]Mapping!$B$3:$D$37,3,0)</f>
        <v>cashloan</v>
      </c>
      <c r="I2185" s="135">
        <v>1895310000</v>
      </c>
    </row>
    <row r="2186" spans="1:9" x14ac:dyDescent="0.2">
      <c r="A2186" s="170">
        <v>45529</v>
      </c>
      <c r="B2186" s="171">
        <f>YEAR(source[[#This Row],[report_date]])</f>
        <v>2024</v>
      </c>
      <c r="C2186" s="128">
        <f t="shared" si="93"/>
        <v>8</v>
      </c>
      <c r="D2186" s="136">
        <f t="shared" si="94"/>
        <v>34</v>
      </c>
      <c r="E2186" s="136">
        <f t="shared" si="95"/>
        <v>25</v>
      </c>
      <c r="F2186" s="128" t="s">
        <v>24</v>
      </c>
      <c r="G2186" s="128" t="str">
        <f>VLOOKUP(source[[#This Row],[lending_product_transform]],[3]Mapping!$B$4:$C$37,2,0)</f>
        <v>[Cake] - Cashloan</v>
      </c>
      <c r="H2186" s="128" t="str">
        <f>VLOOKUP(source[[#This Row],[lending_product_transform]],[3]Mapping!$B$3:$D$37,3,0)</f>
        <v>cashloan</v>
      </c>
      <c r="I2186" s="135">
        <v>42000000</v>
      </c>
    </row>
    <row r="2187" spans="1:9" x14ac:dyDescent="0.2">
      <c r="A2187" s="134">
        <v>45529</v>
      </c>
      <c r="B2187" s="135">
        <f>YEAR(source[[#This Row],[report_date]])</f>
        <v>2024</v>
      </c>
      <c r="C2187" s="128">
        <f t="shared" si="93"/>
        <v>8</v>
      </c>
      <c r="D2187" s="136">
        <f t="shared" si="94"/>
        <v>34</v>
      </c>
      <c r="E2187" s="136">
        <f t="shared" si="95"/>
        <v>25</v>
      </c>
      <c r="F2187" s="128" t="s">
        <v>24</v>
      </c>
      <c r="G2187" s="128" t="str">
        <f>VLOOKUP(source[[#This Row],[lending_product_transform]],[3]Mapping!$B$4:$C$37,2,0)</f>
        <v>[Cake] - Cashloan</v>
      </c>
      <c r="H2187" s="128" t="str">
        <f>VLOOKUP(source[[#This Row],[lending_product_transform]],[3]Mapping!$B$3:$D$37,3,0)</f>
        <v>cashloan</v>
      </c>
      <c r="I2187" s="135">
        <v>2512907741</v>
      </c>
    </row>
    <row r="2188" spans="1:9" x14ac:dyDescent="0.2">
      <c r="A2188" s="134">
        <v>45529</v>
      </c>
      <c r="B2188" s="135">
        <f>YEAR(source[[#This Row],[report_date]])</f>
        <v>2024</v>
      </c>
      <c r="C2188" s="128">
        <f t="shared" si="93"/>
        <v>8</v>
      </c>
      <c r="D2188" s="136">
        <f t="shared" si="94"/>
        <v>34</v>
      </c>
      <c r="E2188" s="136">
        <f t="shared" si="95"/>
        <v>25</v>
      </c>
      <c r="F2188" s="128" t="s">
        <v>24</v>
      </c>
      <c r="G2188" s="128" t="str">
        <f>VLOOKUP(source[[#This Row],[lending_product_transform]],[3]Mapping!$B$4:$C$37,2,0)</f>
        <v>[Cake] - Cashloan</v>
      </c>
      <c r="H2188" s="128" t="str">
        <f>VLOOKUP(source[[#This Row],[lending_product_transform]],[3]Mapping!$B$3:$D$37,3,0)</f>
        <v>cashloan</v>
      </c>
      <c r="I2188" s="135">
        <v>166150000</v>
      </c>
    </row>
    <row r="2189" spans="1:9" x14ac:dyDescent="0.2">
      <c r="A2189" s="134">
        <v>45529</v>
      </c>
      <c r="B2189" s="135">
        <f>YEAR(source[[#This Row],[report_date]])</f>
        <v>2024</v>
      </c>
      <c r="C2189" s="128">
        <f t="shared" si="93"/>
        <v>8</v>
      </c>
      <c r="D2189" s="136">
        <f t="shared" si="94"/>
        <v>34</v>
      </c>
      <c r="E2189" s="136">
        <f t="shared" si="95"/>
        <v>25</v>
      </c>
      <c r="F2189" s="128" t="s">
        <v>24</v>
      </c>
      <c r="G2189" s="128" t="str">
        <f>VLOOKUP(source[[#This Row],[lending_product_transform]],[3]Mapping!$B$4:$C$37,2,0)</f>
        <v>[Cake] - Cashloan</v>
      </c>
      <c r="H2189" s="128" t="str">
        <f>VLOOKUP(source[[#This Row],[lending_product_transform]],[3]Mapping!$B$3:$D$37,3,0)</f>
        <v>cashloan</v>
      </c>
      <c r="I2189" s="135">
        <v>7802820000</v>
      </c>
    </row>
    <row r="2190" spans="1:9" x14ac:dyDescent="0.2">
      <c r="A2190" s="134">
        <v>45529</v>
      </c>
      <c r="B2190" s="135">
        <f>YEAR(source[[#This Row],[report_date]])</f>
        <v>2024</v>
      </c>
      <c r="C2190" s="128">
        <f t="shared" si="93"/>
        <v>8</v>
      </c>
      <c r="D2190" s="136">
        <f t="shared" si="94"/>
        <v>34</v>
      </c>
      <c r="E2190" s="136">
        <f t="shared" si="95"/>
        <v>25</v>
      </c>
      <c r="F2190" s="128" t="s">
        <v>24</v>
      </c>
      <c r="G2190" s="128" t="str">
        <f>VLOOKUP(source[[#This Row],[lending_product_transform]],[3]Mapping!$B$4:$C$37,2,0)</f>
        <v>[Cake] - Cashloan</v>
      </c>
      <c r="H2190" s="128" t="str">
        <f>VLOOKUP(source[[#This Row],[lending_product_transform]],[3]Mapping!$B$3:$D$37,3,0)</f>
        <v>cashloan</v>
      </c>
      <c r="I2190" s="135">
        <v>24000000</v>
      </c>
    </row>
    <row r="2191" spans="1:9" x14ac:dyDescent="0.2">
      <c r="A2191" s="134">
        <v>45529</v>
      </c>
      <c r="B2191" s="135">
        <f>YEAR(source[[#This Row],[report_date]])</f>
        <v>2024</v>
      </c>
      <c r="C2191" s="128">
        <f t="shared" si="93"/>
        <v>8</v>
      </c>
      <c r="D2191" s="136">
        <f t="shared" si="94"/>
        <v>34</v>
      </c>
      <c r="E2191" s="136">
        <f t="shared" si="95"/>
        <v>25</v>
      </c>
      <c r="F2191" s="128" t="s">
        <v>24</v>
      </c>
      <c r="G2191" s="128" t="str">
        <f>VLOOKUP(source[[#This Row],[lending_product_transform]],[3]Mapping!$B$4:$C$37,2,0)</f>
        <v>[Cake] - Cashloan</v>
      </c>
      <c r="H2191" s="128" t="str">
        <f>VLOOKUP(source[[#This Row],[lending_product_transform]],[3]Mapping!$B$3:$D$37,3,0)</f>
        <v>cashloan</v>
      </c>
      <c r="I2191" s="135">
        <v>2491950000</v>
      </c>
    </row>
    <row r="2192" spans="1:9" x14ac:dyDescent="0.2">
      <c r="A2192" s="134">
        <v>45529</v>
      </c>
      <c r="B2192" s="135">
        <f>YEAR(source[[#This Row],[report_date]])</f>
        <v>2024</v>
      </c>
      <c r="C2192" s="128">
        <f t="shared" si="93"/>
        <v>8</v>
      </c>
      <c r="D2192" s="136">
        <f t="shared" si="94"/>
        <v>34</v>
      </c>
      <c r="E2192" s="136">
        <f t="shared" si="95"/>
        <v>25</v>
      </c>
      <c r="F2192" s="128" t="s">
        <v>24</v>
      </c>
      <c r="G2192" s="128" t="str">
        <f>VLOOKUP(source[[#This Row],[lending_product_transform]],[3]Mapping!$B$4:$C$37,2,0)</f>
        <v>[Cake] - Cashloan</v>
      </c>
      <c r="H2192" s="128" t="str">
        <f>VLOOKUP(source[[#This Row],[lending_product_transform]],[3]Mapping!$B$3:$D$37,3,0)</f>
        <v>cashloan</v>
      </c>
      <c r="I2192" s="135">
        <v>26593081</v>
      </c>
    </row>
    <row r="2193" spans="1:9" x14ac:dyDescent="0.2">
      <c r="A2193" s="134">
        <v>45529</v>
      </c>
      <c r="B2193" s="135">
        <f>YEAR(source[[#This Row],[report_date]])</f>
        <v>2024</v>
      </c>
      <c r="C2193" s="128">
        <f t="shared" si="93"/>
        <v>8</v>
      </c>
      <c r="D2193" s="136">
        <f t="shared" si="94"/>
        <v>34</v>
      </c>
      <c r="E2193" s="136">
        <f t="shared" si="95"/>
        <v>25</v>
      </c>
      <c r="F2193" s="128" t="s">
        <v>24</v>
      </c>
      <c r="G2193" s="128" t="str">
        <f>VLOOKUP(source[[#This Row],[lending_product_transform]],[3]Mapping!$B$4:$C$37,2,0)</f>
        <v>[Cake] - Cashloan</v>
      </c>
      <c r="H2193" s="128" t="str">
        <f>VLOOKUP(source[[#This Row],[lending_product_transform]],[3]Mapping!$B$3:$D$37,3,0)</f>
        <v>cashloan</v>
      </c>
      <c r="I2193" s="135">
        <v>4041500000</v>
      </c>
    </row>
    <row r="2194" spans="1:9" x14ac:dyDescent="0.2">
      <c r="A2194" s="134">
        <v>45529</v>
      </c>
      <c r="B2194" s="135">
        <f>YEAR(source[[#This Row],[report_date]])</f>
        <v>2024</v>
      </c>
      <c r="C2194" s="128">
        <f t="shared" si="93"/>
        <v>8</v>
      </c>
      <c r="D2194" s="136">
        <f t="shared" si="94"/>
        <v>34</v>
      </c>
      <c r="E2194" s="136">
        <f t="shared" si="95"/>
        <v>25</v>
      </c>
      <c r="F2194" s="128" t="s">
        <v>24</v>
      </c>
      <c r="G2194" s="128" t="str">
        <f>VLOOKUP(source[[#This Row],[lending_product_transform]],[3]Mapping!$B$4:$C$37,2,0)</f>
        <v>[Cake] - Cashloan</v>
      </c>
      <c r="H2194" s="128" t="str">
        <f>VLOOKUP(source[[#This Row],[lending_product_transform]],[3]Mapping!$B$3:$D$37,3,0)</f>
        <v>cashloan</v>
      </c>
      <c r="I2194" s="135">
        <v>936450000</v>
      </c>
    </row>
    <row r="2195" spans="1:9" x14ac:dyDescent="0.2">
      <c r="A2195" s="134">
        <v>45529</v>
      </c>
      <c r="B2195" s="135">
        <f>YEAR(source[[#This Row],[report_date]])</f>
        <v>2024</v>
      </c>
      <c r="C2195" s="128">
        <f t="shared" si="93"/>
        <v>8</v>
      </c>
      <c r="D2195" s="136">
        <f t="shared" si="94"/>
        <v>34</v>
      </c>
      <c r="E2195" s="136">
        <f t="shared" si="95"/>
        <v>25</v>
      </c>
      <c r="F2195" s="128" t="s">
        <v>24</v>
      </c>
      <c r="G2195" s="128" t="str">
        <f>VLOOKUP(source[[#This Row],[lending_product_transform]],[3]Mapping!$B$4:$C$37,2,0)</f>
        <v>[Cake] - Cashloan</v>
      </c>
      <c r="H2195" s="128" t="str">
        <f>VLOOKUP(source[[#This Row],[lending_product_transform]],[3]Mapping!$B$3:$D$37,3,0)</f>
        <v>cashloan</v>
      </c>
      <c r="I2195" s="135">
        <v>21400000</v>
      </c>
    </row>
    <row r="2196" spans="1:9" x14ac:dyDescent="0.2">
      <c r="A2196" s="134">
        <v>45529</v>
      </c>
      <c r="B2196" s="135">
        <f>YEAR(source[[#This Row],[report_date]])</f>
        <v>2024</v>
      </c>
      <c r="C2196" s="128">
        <f t="shared" si="93"/>
        <v>8</v>
      </c>
      <c r="D2196" s="136">
        <f t="shared" si="94"/>
        <v>34</v>
      </c>
      <c r="E2196" s="136">
        <f t="shared" si="95"/>
        <v>25</v>
      </c>
      <c r="F2196" s="128" t="s">
        <v>24</v>
      </c>
      <c r="G2196" s="128" t="str">
        <f>VLOOKUP(source[[#This Row],[lending_product_transform]],[3]Mapping!$B$4:$C$37,2,0)</f>
        <v>[Cake] - Cashloan</v>
      </c>
      <c r="H2196" s="128" t="str">
        <f>VLOOKUP(source[[#This Row],[lending_product_transform]],[3]Mapping!$B$3:$D$37,3,0)</f>
        <v>cashloan</v>
      </c>
      <c r="I2196" s="135">
        <v>188287818</v>
      </c>
    </row>
    <row r="2197" spans="1:9" x14ac:dyDescent="0.2">
      <c r="A2197" s="134">
        <v>45529</v>
      </c>
      <c r="B2197" s="135">
        <f>YEAR(source[[#This Row],[report_date]])</f>
        <v>2024</v>
      </c>
      <c r="C2197" s="128">
        <f t="shared" ref="C2197:C2260" si="96">MONTH(A2197)</f>
        <v>8</v>
      </c>
      <c r="D2197" s="136">
        <f t="shared" si="94"/>
        <v>34</v>
      </c>
      <c r="E2197" s="136">
        <f t="shared" si="95"/>
        <v>25</v>
      </c>
      <c r="F2197" s="128" t="s">
        <v>24</v>
      </c>
      <c r="G2197" s="128" t="str">
        <f>VLOOKUP(source[[#This Row],[lending_product_transform]],[3]Mapping!$B$4:$C$37,2,0)</f>
        <v>[Cake] - Cashloan</v>
      </c>
      <c r="H2197" s="128" t="str">
        <f>VLOOKUP(source[[#This Row],[lending_product_transform]],[3]Mapping!$B$3:$D$37,3,0)</f>
        <v>cashloan</v>
      </c>
      <c r="I2197" s="135">
        <v>0</v>
      </c>
    </row>
    <row r="2198" spans="1:9" x14ac:dyDescent="0.2">
      <c r="A2198" s="134">
        <v>45529</v>
      </c>
      <c r="B2198" s="135">
        <f>YEAR(source[[#This Row],[report_date]])</f>
        <v>2024</v>
      </c>
      <c r="C2198" s="128">
        <f t="shared" si="96"/>
        <v>8</v>
      </c>
      <c r="D2198" s="136">
        <f t="shared" si="94"/>
        <v>34</v>
      </c>
      <c r="E2198" s="136">
        <f t="shared" si="95"/>
        <v>25</v>
      </c>
      <c r="F2198" s="128" t="s">
        <v>24</v>
      </c>
      <c r="G2198" s="128" t="str">
        <f>VLOOKUP(source[[#This Row],[lending_product_transform]],[3]Mapping!$B$4:$C$37,2,0)</f>
        <v>[Cake] - Cashloan</v>
      </c>
      <c r="H2198" s="128" t="str">
        <f>VLOOKUP(source[[#This Row],[lending_product_transform]],[3]Mapping!$B$3:$D$37,3,0)</f>
        <v>cashloan</v>
      </c>
      <c r="I2198" s="135">
        <v>136500000</v>
      </c>
    </row>
    <row r="2199" spans="1:9" x14ac:dyDescent="0.2">
      <c r="A2199" s="134">
        <v>45529</v>
      </c>
      <c r="B2199" s="135">
        <f>YEAR(source[[#This Row],[report_date]])</f>
        <v>2024</v>
      </c>
      <c r="C2199" s="128">
        <f t="shared" si="96"/>
        <v>8</v>
      </c>
      <c r="D2199" s="136">
        <f t="shared" si="94"/>
        <v>34</v>
      </c>
      <c r="E2199" s="136">
        <f t="shared" si="95"/>
        <v>25</v>
      </c>
      <c r="F2199" s="128" t="s">
        <v>24</v>
      </c>
      <c r="G2199" s="128" t="str">
        <f>VLOOKUP(source[[#This Row],[lending_product_transform]],[3]Mapping!$B$4:$C$37,2,0)</f>
        <v>[Cake] - Cashloan</v>
      </c>
      <c r="H2199" s="128" t="str">
        <f>VLOOKUP(source[[#This Row],[lending_product_transform]],[3]Mapping!$B$3:$D$37,3,0)</f>
        <v>cashloan</v>
      </c>
      <c r="I2199" s="135">
        <v>58800000</v>
      </c>
    </row>
    <row r="2200" spans="1:9" x14ac:dyDescent="0.2">
      <c r="A2200" s="134">
        <v>45529</v>
      </c>
      <c r="B2200" s="135">
        <f>YEAR(source[[#This Row],[report_date]])</f>
        <v>2024</v>
      </c>
      <c r="C2200" s="128">
        <f t="shared" si="96"/>
        <v>8</v>
      </c>
      <c r="D2200" s="136">
        <f t="shared" si="94"/>
        <v>34</v>
      </c>
      <c r="E2200" s="136">
        <f t="shared" si="95"/>
        <v>25</v>
      </c>
      <c r="F2200" s="128" t="s">
        <v>24</v>
      </c>
      <c r="G2200" s="128" t="str">
        <f>VLOOKUP(source[[#This Row],[lending_product_transform]],[3]Mapping!$B$4:$C$37,2,0)</f>
        <v>[Cake] - Cashloan</v>
      </c>
      <c r="H2200" s="128" t="str">
        <f>VLOOKUP(source[[#This Row],[lending_product_transform]],[3]Mapping!$B$3:$D$37,3,0)</f>
        <v>cashloan</v>
      </c>
      <c r="I2200" s="135">
        <v>71000000</v>
      </c>
    </row>
    <row r="2201" spans="1:9" x14ac:dyDescent="0.2">
      <c r="A2201" s="134">
        <v>45529</v>
      </c>
      <c r="B2201" s="135">
        <f>YEAR(source[[#This Row],[report_date]])</f>
        <v>2024</v>
      </c>
      <c r="C2201" s="128">
        <f t="shared" si="96"/>
        <v>8</v>
      </c>
      <c r="D2201" s="136">
        <f t="shared" si="94"/>
        <v>34</v>
      </c>
      <c r="E2201" s="136">
        <f t="shared" si="95"/>
        <v>25</v>
      </c>
      <c r="F2201" s="128" t="s">
        <v>24</v>
      </c>
      <c r="G2201" s="128" t="str">
        <f>VLOOKUP(source[[#This Row],[lending_product_transform]],[3]Mapping!$B$4:$C$37,2,0)</f>
        <v>[Cake] - Cashloan</v>
      </c>
      <c r="H2201" s="128" t="str">
        <f>VLOOKUP(source[[#This Row],[lending_product_transform]],[3]Mapping!$B$3:$D$37,3,0)</f>
        <v>cashloan</v>
      </c>
      <c r="I2201" s="135">
        <v>21400000</v>
      </c>
    </row>
    <row r="2202" spans="1:9" x14ac:dyDescent="0.2">
      <c r="A2202" s="134">
        <v>45529</v>
      </c>
      <c r="B2202" s="135">
        <f>YEAR(source[[#This Row],[report_date]])</f>
        <v>2024</v>
      </c>
      <c r="C2202" s="128">
        <f t="shared" si="96"/>
        <v>8</v>
      </c>
      <c r="D2202" s="136">
        <f t="shared" si="94"/>
        <v>34</v>
      </c>
      <c r="E2202" s="136">
        <f t="shared" si="95"/>
        <v>25</v>
      </c>
      <c r="F2202" s="128" t="s">
        <v>24</v>
      </c>
      <c r="G2202" s="128" t="str">
        <f>VLOOKUP(source[[#This Row],[lending_product_transform]],[3]Mapping!$B$4:$C$37,2,0)</f>
        <v>[Cake] - Cashloan</v>
      </c>
      <c r="H2202" s="128" t="str">
        <f>VLOOKUP(source[[#This Row],[lending_product_transform]],[3]Mapping!$B$3:$D$37,3,0)</f>
        <v>cashloan</v>
      </c>
      <c r="I2202" s="135">
        <v>27120000</v>
      </c>
    </row>
    <row r="2203" spans="1:9" x14ac:dyDescent="0.2">
      <c r="A2203" s="134">
        <v>45529</v>
      </c>
      <c r="B2203" s="135">
        <f>YEAR(source[[#This Row],[report_date]])</f>
        <v>2024</v>
      </c>
      <c r="C2203" s="128">
        <f t="shared" si="96"/>
        <v>8</v>
      </c>
      <c r="D2203" s="136">
        <f t="shared" si="94"/>
        <v>34</v>
      </c>
      <c r="E2203" s="136">
        <f t="shared" si="95"/>
        <v>25</v>
      </c>
      <c r="F2203" s="128" t="s">
        <v>24</v>
      </c>
      <c r="G2203" s="128" t="str">
        <f>VLOOKUP(source[[#This Row],[lending_product_transform]],[3]Mapping!$B$4:$C$37,2,0)</f>
        <v>[Cake] - Cashloan</v>
      </c>
      <c r="H2203" s="128" t="str">
        <f>VLOOKUP(source[[#This Row],[lending_product_transform]],[3]Mapping!$B$3:$D$37,3,0)</f>
        <v>cashloan</v>
      </c>
      <c r="I2203" s="135">
        <v>20728155</v>
      </c>
    </row>
    <row r="2204" spans="1:9" x14ac:dyDescent="0.2">
      <c r="A2204" s="134">
        <v>45529</v>
      </c>
      <c r="B2204" s="135">
        <f>YEAR(source[[#This Row],[report_date]])</f>
        <v>2024</v>
      </c>
      <c r="C2204" s="128">
        <f t="shared" si="96"/>
        <v>8</v>
      </c>
      <c r="D2204" s="136">
        <f t="shared" si="94"/>
        <v>34</v>
      </c>
      <c r="E2204" s="136">
        <f t="shared" si="95"/>
        <v>25</v>
      </c>
      <c r="F2204" s="128" t="s">
        <v>24</v>
      </c>
      <c r="G2204" s="128" t="str">
        <f>VLOOKUP(source[[#This Row],[lending_product_transform]],[3]Mapping!$B$4:$C$37,2,0)</f>
        <v>[Cake] - Cashloan</v>
      </c>
      <c r="H2204" s="128" t="str">
        <f>VLOOKUP(source[[#This Row],[lending_product_transform]],[3]Mapping!$B$3:$D$37,3,0)</f>
        <v>cashloan</v>
      </c>
      <c r="I2204" s="135">
        <v>553190000</v>
      </c>
    </row>
    <row r="2205" spans="1:9" x14ac:dyDescent="0.2">
      <c r="A2205" s="134">
        <v>45529</v>
      </c>
      <c r="B2205" s="135">
        <f>YEAR(source[[#This Row],[report_date]])</f>
        <v>2024</v>
      </c>
      <c r="C2205" s="128">
        <f t="shared" si="96"/>
        <v>8</v>
      </c>
      <c r="D2205" s="136">
        <f t="shared" si="94"/>
        <v>34</v>
      </c>
      <c r="E2205" s="136">
        <f t="shared" si="95"/>
        <v>25</v>
      </c>
      <c r="F2205" s="128" t="s">
        <v>24</v>
      </c>
      <c r="G2205" s="128" t="str">
        <f>VLOOKUP(source[[#This Row],[lending_product_transform]],[3]Mapping!$B$4:$C$37,2,0)</f>
        <v>[Cake] - Cashloan</v>
      </c>
      <c r="H2205" s="128" t="str">
        <f>VLOOKUP(source[[#This Row],[lending_product_transform]],[3]Mapping!$B$3:$D$37,3,0)</f>
        <v>cashloan</v>
      </c>
      <c r="I2205" s="135">
        <v>2525067800</v>
      </c>
    </row>
    <row r="2206" spans="1:9" x14ac:dyDescent="0.2">
      <c r="A2206" s="134">
        <v>45529</v>
      </c>
      <c r="B2206" s="135">
        <f>YEAR(source[[#This Row],[report_date]])</f>
        <v>2024</v>
      </c>
      <c r="C2206" s="128">
        <f t="shared" si="96"/>
        <v>8</v>
      </c>
      <c r="D2206" s="136">
        <f t="shared" si="94"/>
        <v>34</v>
      </c>
      <c r="E2206" s="136">
        <f t="shared" si="95"/>
        <v>25</v>
      </c>
      <c r="F2206" s="128" t="s">
        <v>24</v>
      </c>
      <c r="G2206" s="128" t="str">
        <f>VLOOKUP(source[[#This Row],[lending_product_transform]],[3]Mapping!$B$4:$C$37,2,0)</f>
        <v>[Cake] - Cashloan</v>
      </c>
      <c r="H2206" s="128" t="str">
        <f>VLOOKUP(source[[#This Row],[lending_product_transform]],[3]Mapping!$B$3:$D$37,3,0)</f>
        <v>cashloan</v>
      </c>
      <c r="I2206" s="135">
        <v>178002653</v>
      </c>
    </row>
    <row r="2207" spans="1:9" x14ac:dyDescent="0.2">
      <c r="A2207" s="134">
        <v>45529</v>
      </c>
      <c r="B2207" s="135">
        <f>YEAR(source[[#This Row],[report_date]])</f>
        <v>2024</v>
      </c>
      <c r="C2207" s="128">
        <f t="shared" si="96"/>
        <v>8</v>
      </c>
      <c r="D2207" s="136">
        <f t="shared" si="94"/>
        <v>34</v>
      </c>
      <c r="E2207" s="136">
        <f t="shared" si="95"/>
        <v>25</v>
      </c>
      <c r="F2207" s="128" t="s">
        <v>24</v>
      </c>
      <c r="G2207" s="128" t="str">
        <f>VLOOKUP(source[[#This Row],[lending_product_transform]],[3]Mapping!$B$4:$C$37,2,0)</f>
        <v>[Cake] - Cashloan</v>
      </c>
      <c r="H2207" s="128" t="str">
        <f>VLOOKUP(source[[#This Row],[lending_product_transform]],[3]Mapping!$B$3:$D$37,3,0)</f>
        <v>cashloan</v>
      </c>
      <c r="I2207" s="135">
        <v>4244000000</v>
      </c>
    </row>
    <row r="2208" spans="1:9" x14ac:dyDescent="0.2">
      <c r="A2208" s="134">
        <v>45529</v>
      </c>
      <c r="B2208" s="135">
        <f>YEAR(source[[#This Row],[report_date]])</f>
        <v>2024</v>
      </c>
      <c r="C2208" s="128">
        <f t="shared" si="96"/>
        <v>8</v>
      </c>
      <c r="D2208" s="136">
        <f t="shared" si="94"/>
        <v>34</v>
      </c>
      <c r="E2208" s="136">
        <f t="shared" si="95"/>
        <v>25</v>
      </c>
      <c r="F2208" s="128" t="s">
        <v>24</v>
      </c>
      <c r="G2208" s="128" t="str">
        <f>VLOOKUP(source[[#This Row],[lending_product_transform]],[3]Mapping!$B$4:$C$37,2,0)</f>
        <v>[Cake] - Cashloan</v>
      </c>
      <c r="H2208" s="128" t="str">
        <f>VLOOKUP(source[[#This Row],[lending_product_transform]],[3]Mapping!$B$3:$D$37,3,0)</f>
        <v>cashloan</v>
      </c>
      <c r="I2208" s="135">
        <v>2575110000</v>
      </c>
    </row>
    <row r="2209" spans="1:9" x14ac:dyDescent="0.2">
      <c r="A2209" s="134">
        <v>45529</v>
      </c>
      <c r="B2209" s="135">
        <f>YEAR(source[[#This Row],[report_date]])</f>
        <v>2024</v>
      </c>
      <c r="C2209" s="128">
        <f t="shared" si="96"/>
        <v>8</v>
      </c>
      <c r="D2209" s="136">
        <f t="shared" si="94"/>
        <v>34</v>
      </c>
      <c r="E2209" s="136">
        <f t="shared" si="95"/>
        <v>25</v>
      </c>
      <c r="F2209" s="128" t="s">
        <v>24</v>
      </c>
      <c r="G2209" s="128" t="str">
        <f>VLOOKUP(source[[#This Row],[lending_product_transform]],[3]Mapping!$B$4:$C$37,2,0)</f>
        <v>[Cake] - Cashloan</v>
      </c>
      <c r="H2209" s="128" t="str">
        <f>VLOOKUP(source[[#This Row],[lending_product_transform]],[3]Mapping!$B$3:$D$37,3,0)</f>
        <v>cashloan</v>
      </c>
      <c r="I2209" s="135">
        <v>6911660000</v>
      </c>
    </row>
    <row r="2210" spans="1:9" x14ac:dyDescent="0.2">
      <c r="A2210" s="134">
        <v>45529</v>
      </c>
      <c r="B2210" s="135">
        <f>YEAR(source[[#This Row],[report_date]])</f>
        <v>2024</v>
      </c>
      <c r="C2210" s="128">
        <f t="shared" si="96"/>
        <v>8</v>
      </c>
      <c r="D2210" s="136">
        <f t="shared" si="94"/>
        <v>34</v>
      </c>
      <c r="E2210" s="136">
        <f t="shared" si="95"/>
        <v>25</v>
      </c>
      <c r="F2210" s="128" t="s">
        <v>24</v>
      </c>
      <c r="G2210" s="128" t="str">
        <f>VLOOKUP(source[[#This Row],[lending_product_transform]],[3]Mapping!$B$4:$C$37,2,0)</f>
        <v>[Cake] - Cashloan</v>
      </c>
      <c r="H2210" s="128" t="str">
        <f>VLOOKUP(source[[#This Row],[lending_product_transform]],[3]Mapping!$B$3:$D$37,3,0)</f>
        <v>cashloan</v>
      </c>
      <c r="I2210" s="135">
        <v>6175000000</v>
      </c>
    </row>
    <row r="2211" spans="1:9" x14ac:dyDescent="0.2">
      <c r="A2211" s="134">
        <v>45529</v>
      </c>
      <c r="B2211" s="135">
        <f>YEAR(source[[#This Row],[report_date]])</f>
        <v>2024</v>
      </c>
      <c r="C2211" s="128">
        <f t="shared" si="96"/>
        <v>8</v>
      </c>
      <c r="D2211" s="136">
        <f t="shared" si="94"/>
        <v>34</v>
      </c>
      <c r="E2211" s="136">
        <f t="shared" si="95"/>
        <v>25</v>
      </c>
      <c r="F2211" s="128" t="s">
        <v>24</v>
      </c>
      <c r="G2211" s="128" t="str">
        <f>VLOOKUP(source[[#This Row],[lending_product_transform]],[3]Mapping!$B$4:$C$37,2,0)</f>
        <v>[Cake] - Cashloan</v>
      </c>
      <c r="H2211" s="128" t="str">
        <f>VLOOKUP(source[[#This Row],[lending_product_transform]],[3]Mapping!$B$3:$D$37,3,0)</f>
        <v>cashloan</v>
      </c>
      <c r="I2211" s="135">
        <v>21400000</v>
      </c>
    </row>
    <row r="2212" spans="1:9" x14ac:dyDescent="0.2">
      <c r="A2212" s="134">
        <v>45529</v>
      </c>
      <c r="B2212" s="135">
        <f>YEAR(source[[#This Row],[report_date]])</f>
        <v>2024</v>
      </c>
      <c r="C2212" s="128">
        <f t="shared" si="96"/>
        <v>8</v>
      </c>
      <c r="D2212" s="136">
        <f t="shared" si="94"/>
        <v>34</v>
      </c>
      <c r="E2212" s="136">
        <f t="shared" si="95"/>
        <v>25</v>
      </c>
      <c r="F2212" s="128" t="s">
        <v>24</v>
      </c>
      <c r="G2212" s="128" t="str">
        <f>VLOOKUP(source[[#This Row],[lending_product_transform]],[3]Mapping!$B$4:$C$37,2,0)</f>
        <v>[Cake] - Cashloan</v>
      </c>
      <c r="H2212" s="128" t="str">
        <f>VLOOKUP(source[[#This Row],[lending_product_transform]],[3]Mapping!$B$3:$D$37,3,0)</f>
        <v>cashloan</v>
      </c>
      <c r="I2212" s="135">
        <v>100000000</v>
      </c>
    </row>
    <row r="2213" spans="1:9" x14ac:dyDescent="0.2">
      <c r="A2213" s="134">
        <v>45529</v>
      </c>
      <c r="B2213" s="135">
        <f>YEAR(source[[#This Row],[report_date]])</f>
        <v>2024</v>
      </c>
      <c r="C2213" s="128">
        <f t="shared" si="96"/>
        <v>8</v>
      </c>
      <c r="D2213" s="136">
        <f t="shared" si="94"/>
        <v>34</v>
      </c>
      <c r="E2213" s="136">
        <f t="shared" si="95"/>
        <v>25</v>
      </c>
      <c r="F2213" s="128" t="s">
        <v>24</v>
      </c>
      <c r="G2213" s="128" t="str">
        <f>VLOOKUP(source[[#This Row],[lending_product_transform]],[3]Mapping!$B$4:$C$37,2,0)</f>
        <v>[Cake] - Cashloan</v>
      </c>
      <c r="H2213" s="128" t="str">
        <f>VLOOKUP(source[[#This Row],[lending_product_transform]],[3]Mapping!$B$3:$D$37,3,0)</f>
        <v>cashloan</v>
      </c>
      <c r="I2213" s="135">
        <v>216579425</v>
      </c>
    </row>
    <row r="2214" spans="1:9" x14ac:dyDescent="0.2">
      <c r="A2214" s="134">
        <v>45529</v>
      </c>
      <c r="B2214" s="135">
        <f>YEAR(source[[#This Row],[report_date]])</f>
        <v>2024</v>
      </c>
      <c r="C2214" s="128">
        <f t="shared" si="96"/>
        <v>8</v>
      </c>
      <c r="D2214" s="136">
        <f t="shared" si="94"/>
        <v>34</v>
      </c>
      <c r="E2214" s="136">
        <f t="shared" si="95"/>
        <v>25</v>
      </c>
      <c r="F2214" s="128" t="s">
        <v>24</v>
      </c>
      <c r="G2214" s="128" t="str">
        <f>VLOOKUP(source[[#This Row],[lending_product_transform]],[3]Mapping!$B$4:$C$37,2,0)</f>
        <v>[Cake] - Cashloan</v>
      </c>
      <c r="H2214" s="128" t="str">
        <f>VLOOKUP(source[[#This Row],[lending_product_transform]],[3]Mapping!$B$3:$D$37,3,0)</f>
        <v>cashloan</v>
      </c>
      <c r="I2214" s="135">
        <v>2204170000</v>
      </c>
    </row>
    <row r="2215" spans="1:9" x14ac:dyDescent="0.2">
      <c r="A2215" s="134">
        <v>45529</v>
      </c>
      <c r="B2215" s="135">
        <f>YEAR(source[[#This Row],[report_date]])</f>
        <v>2024</v>
      </c>
      <c r="C2215" s="128">
        <f t="shared" si="96"/>
        <v>8</v>
      </c>
      <c r="D2215" s="136">
        <f t="shared" si="94"/>
        <v>34</v>
      </c>
      <c r="E2215" s="136">
        <f t="shared" si="95"/>
        <v>25</v>
      </c>
      <c r="F2215" s="128" t="s">
        <v>24</v>
      </c>
      <c r="G2215" s="128" t="str">
        <f>VLOOKUP(source[[#This Row],[lending_product_transform]],[3]Mapping!$B$4:$C$37,2,0)</f>
        <v>[Cake] - Cashloan</v>
      </c>
      <c r="H2215" s="128" t="str">
        <f>VLOOKUP(source[[#This Row],[lending_product_transform]],[3]Mapping!$B$3:$D$37,3,0)</f>
        <v>cashloan</v>
      </c>
      <c r="I2215" s="135">
        <v>19763175</v>
      </c>
    </row>
    <row r="2216" spans="1:9" x14ac:dyDescent="0.2">
      <c r="A2216" s="134">
        <v>45529</v>
      </c>
      <c r="B2216" s="135">
        <f>YEAR(source[[#This Row],[report_date]])</f>
        <v>2024</v>
      </c>
      <c r="C2216" s="128">
        <f t="shared" si="96"/>
        <v>8</v>
      </c>
      <c r="D2216" s="136">
        <f t="shared" si="94"/>
        <v>34</v>
      </c>
      <c r="E2216" s="136">
        <f t="shared" si="95"/>
        <v>25</v>
      </c>
      <c r="F2216" s="128" t="s">
        <v>24</v>
      </c>
      <c r="G2216" s="128" t="str">
        <f>VLOOKUP(source[[#This Row],[lending_product_transform]],[3]Mapping!$B$4:$C$37,2,0)</f>
        <v>[Cake] - Cashloan</v>
      </c>
      <c r="H2216" s="128" t="str">
        <f>VLOOKUP(source[[#This Row],[lending_product_transform]],[3]Mapping!$B$3:$D$37,3,0)</f>
        <v>cashloan</v>
      </c>
      <c r="I2216" s="135">
        <v>842090000</v>
      </c>
    </row>
    <row r="2217" spans="1:9" x14ac:dyDescent="0.2">
      <c r="A2217" s="134">
        <v>45529</v>
      </c>
      <c r="B2217" s="135">
        <f>YEAR(source[[#This Row],[report_date]])</f>
        <v>2024</v>
      </c>
      <c r="C2217" s="128">
        <f t="shared" si="96"/>
        <v>8</v>
      </c>
      <c r="D2217" s="136">
        <f t="shared" si="94"/>
        <v>34</v>
      </c>
      <c r="E2217" s="136">
        <f t="shared" si="95"/>
        <v>25</v>
      </c>
      <c r="F2217" s="128" t="s">
        <v>24</v>
      </c>
      <c r="G2217" s="128" t="str">
        <f>VLOOKUP(source[[#This Row],[lending_product_transform]],[3]Mapping!$B$4:$C$37,2,0)</f>
        <v>[Cake] - Cashloan</v>
      </c>
      <c r="H2217" s="128" t="str">
        <f>VLOOKUP(source[[#This Row],[lending_product_transform]],[3]Mapping!$B$3:$D$37,3,0)</f>
        <v>cashloan</v>
      </c>
      <c r="I2217" s="135">
        <v>2544794596</v>
      </c>
    </row>
    <row r="2218" spans="1:9" x14ac:dyDescent="0.2">
      <c r="A2218" s="134">
        <v>45529</v>
      </c>
      <c r="B2218" s="135">
        <f>YEAR(source[[#This Row],[report_date]])</f>
        <v>2024</v>
      </c>
      <c r="C2218" s="128">
        <f t="shared" si="96"/>
        <v>8</v>
      </c>
      <c r="D2218" s="136">
        <f t="shared" si="94"/>
        <v>34</v>
      </c>
      <c r="E2218" s="136">
        <f t="shared" si="95"/>
        <v>25</v>
      </c>
      <c r="F2218" s="128" t="s">
        <v>24</v>
      </c>
      <c r="G2218" s="128" t="str">
        <f>VLOOKUP(source[[#This Row],[lending_product_transform]],[3]Mapping!$B$4:$C$37,2,0)</f>
        <v>[Cake] - Cashloan</v>
      </c>
      <c r="H2218" s="128" t="str">
        <f>VLOOKUP(source[[#This Row],[lending_product_transform]],[3]Mapping!$B$3:$D$37,3,0)</f>
        <v>cashloan</v>
      </c>
      <c r="I2218" s="135">
        <v>197400000</v>
      </c>
    </row>
    <row r="2219" spans="1:9" x14ac:dyDescent="0.2">
      <c r="A2219" s="134">
        <v>45529</v>
      </c>
      <c r="B2219" s="135">
        <f>YEAR(source[[#This Row],[report_date]])</f>
        <v>2024</v>
      </c>
      <c r="C2219" s="128">
        <f t="shared" si="96"/>
        <v>8</v>
      </c>
      <c r="D2219" s="136">
        <f t="shared" si="94"/>
        <v>34</v>
      </c>
      <c r="E2219" s="136">
        <f t="shared" si="95"/>
        <v>25</v>
      </c>
      <c r="F2219" s="128" t="s">
        <v>24</v>
      </c>
      <c r="G2219" s="128" t="str">
        <f>VLOOKUP(source[[#This Row],[lending_product_transform]],[3]Mapping!$B$4:$C$37,2,0)</f>
        <v>[Cake] - Cashloan</v>
      </c>
      <c r="H2219" s="128" t="str">
        <f>VLOOKUP(source[[#This Row],[lending_product_transform]],[3]Mapping!$B$3:$D$37,3,0)</f>
        <v>cashloan</v>
      </c>
      <c r="I2219" s="135">
        <v>33600000</v>
      </c>
    </row>
    <row r="2220" spans="1:9" x14ac:dyDescent="0.2">
      <c r="A2220" s="134">
        <v>45529</v>
      </c>
      <c r="B2220" s="135">
        <f>YEAR(source[[#This Row],[report_date]])</f>
        <v>2024</v>
      </c>
      <c r="C2220" s="128">
        <f t="shared" si="96"/>
        <v>8</v>
      </c>
      <c r="D2220" s="136">
        <f t="shared" si="94"/>
        <v>34</v>
      </c>
      <c r="E2220" s="136">
        <f t="shared" si="95"/>
        <v>25</v>
      </c>
      <c r="F2220" s="128" t="s">
        <v>24</v>
      </c>
      <c r="G2220" s="128" t="str">
        <f>VLOOKUP(source[[#This Row],[lending_product_transform]],[3]Mapping!$B$4:$C$37,2,0)</f>
        <v>[Cake] - Cashloan</v>
      </c>
      <c r="H2220" s="128" t="str">
        <f>VLOOKUP(source[[#This Row],[lending_product_transform]],[3]Mapping!$B$3:$D$37,3,0)</f>
        <v>cashloan</v>
      </c>
      <c r="I2220" s="135">
        <v>4082000000</v>
      </c>
    </row>
    <row r="2221" spans="1:9" x14ac:dyDescent="0.2">
      <c r="A2221" s="134">
        <v>45529</v>
      </c>
      <c r="B2221" s="135">
        <f>YEAR(source[[#This Row],[report_date]])</f>
        <v>2024</v>
      </c>
      <c r="C2221" s="128">
        <f t="shared" si="96"/>
        <v>8</v>
      </c>
      <c r="D2221" s="136">
        <f t="shared" si="94"/>
        <v>34</v>
      </c>
      <c r="E2221" s="136">
        <f t="shared" si="95"/>
        <v>25</v>
      </c>
      <c r="F2221" s="128" t="s">
        <v>24</v>
      </c>
      <c r="G2221" s="128" t="str">
        <f>VLOOKUP(source[[#This Row],[lending_product_transform]],[3]Mapping!$B$4:$C$37,2,0)</f>
        <v>[Cake] - Cashloan</v>
      </c>
      <c r="H2221" s="128" t="str">
        <f>VLOOKUP(source[[#This Row],[lending_product_transform]],[3]Mapping!$B$3:$D$37,3,0)</f>
        <v>cashloan</v>
      </c>
      <c r="I2221" s="135">
        <v>0</v>
      </c>
    </row>
    <row r="2222" spans="1:9" x14ac:dyDescent="0.2">
      <c r="A2222" s="134">
        <v>45529</v>
      </c>
      <c r="B2222" s="135">
        <f>YEAR(source[[#This Row],[report_date]])</f>
        <v>2024</v>
      </c>
      <c r="C2222" s="128">
        <f t="shared" si="96"/>
        <v>8</v>
      </c>
      <c r="D2222" s="136">
        <f t="shared" si="94"/>
        <v>34</v>
      </c>
      <c r="E2222" s="136">
        <f t="shared" si="95"/>
        <v>25</v>
      </c>
      <c r="F2222" s="128" t="s">
        <v>24</v>
      </c>
      <c r="G2222" s="128" t="str">
        <f>VLOOKUP(source[[#This Row],[lending_product_transform]],[3]Mapping!$B$4:$C$37,2,0)</f>
        <v>[Cake] - Cashloan</v>
      </c>
      <c r="H2222" s="128" t="str">
        <f>VLOOKUP(source[[#This Row],[lending_product_transform]],[3]Mapping!$B$3:$D$37,3,0)</f>
        <v>cashloan</v>
      </c>
      <c r="I2222" s="135">
        <v>733200000</v>
      </c>
    </row>
    <row r="2223" spans="1:9" x14ac:dyDescent="0.2">
      <c r="A2223" s="134">
        <v>45529</v>
      </c>
      <c r="B2223" s="135">
        <f>YEAR(source[[#This Row],[report_date]])</f>
        <v>2024</v>
      </c>
      <c r="C2223" s="128">
        <f t="shared" si="96"/>
        <v>8</v>
      </c>
      <c r="D2223" s="136">
        <f t="shared" si="94"/>
        <v>34</v>
      </c>
      <c r="E2223" s="136">
        <f t="shared" si="95"/>
        <v>25</v>
      </c>
      <c r="F2223" s="128" t="s">
        <v>24</v>
      </c>
      <c r="G2223" s="128" t="str">
        <f>VLOOKUP(source[[#This Row],[lending_product_transform]],[3]Mapping!$B$4:$C$37,2,0)</f>
        <v>[Cake] - Cashloan</v>
      </c>
      <c r="H2223" s="128" t="str">
        <f>VLOOKUP(source[[#This Row],[lending_product_transform]],[3]Mapping!$B$3:$D$37,3,0)</f>
        <v>cashloan</v>
      </c>
      <c r="I2223" s="135">
        <v>85050000</v>
      </c>
    </row>
    <row r="2224" spans="1:9" x14ac:dyDescent="0.2">
      <c r="A2224" s="134">
        <v>45529</v>
      </c>
      <c r="B2224" s="135">
        <f>YEAR(source[[#This Row],[report_date]])</f>
        <v>2024</v>
      </c>
      <c r="C2224" s="128">
        <f t="shared" si="96"/>
        <v>8</v>
      </c>
      <c r="D2224" s="136">
        <f t="shared" si="94"/>
        <v>34</v>
      </c>
      <c r="E2224" s="136">
        <f t="shared" si="95"/>
        <v>25</v>
      </c>
      <c r="F2224" s="128" t="s">
        <v>24</v>
      </c>
      <c r="G2224" s="128" t="str">
        <f>VLOOKUP(source[[#This Row],[lending_product_transform]],[3]Mapping!$B$4:$C$37,2,0)</f>
        <v>[Cake] - Cashloan</v>
      </c>
      <c r="H2224" s="128" t="str">
        <f>VLOOKUP(source[[#This Row],[lending_product_transform]],[3]Mapping!$B$3:$D$37,3,0)</f>
        <v>cashloan</v>
      </c>
      <c r="I2224" s="135">
        <v>2561211381</v>
      </c>
    </row>
    <row r="2225" spans="1:9" x14ac:dyDescent="0.2">
      <c r="A2225" s="134">
        <v>45529</v>
      </c>
      <c r="B2225" s="135">
        <f>YEAR(source[[#This Row],[report_date]])</f>
        <v>2024</v>
      </c>
      <c r="C2225" s="128">
        <f t="shared" si="96"/>
        <v>8</v>
      </c>
      <c r="D2225" s="136">
        <f t="shared" si="94"/>
        <v>34</v>
      </c>
      <c r="E2225" s="136">
        <f t="shared" si="95"/>
        <v>25</v>
      </c>
      <c r="F2225" s="128" t="s">
        <v>24</v>
      </c>
      <c r="G2225" s="128" t="str">
        <f>VLOOKUP(source[[#This Row],[lending_product_transform]],[3]Mapping!$B$4:$C$37,2,0)</f>
        <v>[Cake] - Cashloan</v>
      </c>
      <c r="H2225" s="128" t="str">
        <f>VLOOKUP(source[[#This Row],[lending_product_transform]],[3]Mapping!$B$3:$D$37,3,0)</f>
        <v>cashloan</v>
      </c>
      <c r="I2225" s="135">
        <v>52000000</v>
      </c>
    </row>
    <row r="2226" spans="1:9" x14ac:dyDescent="0.2">
      <c r="A2226" s="134">
        <v>45529</v>
      </c>
      <c r="B2226" s="135">
        <f>YEAR(source[[#This Row],[report_date]])</f>
        <v>2024</v>
      </c>
      <c r="C2226" s="128">
        <f t="shared" si="96"/>
        <v>8</v>
      </c>
      <c r="D2226" s="136">
        <f t="shared" si="94"/>
        <v>34</v>
      </c>
      <c r="E2226" s="136">
        <f t="shared" si="95"/>
        <v>25</v>
      </c>
      <c r="F2226" s="128" t="s">
        <v>24</v>
      </c>
      <c r="G2226" s="128" t="str">
        <f>VLOOKUP(source[[#This Row],[lending_product_transform]],[3]Mapping!$B$4:$C$37,2,0)</f>
        <v>[Cake] - Cashloan</v>
      </c>
      <c r="H2226" s="128" t="str">
        <f>VLOOKUP(source[[#This Row],[lending_product_transform]],[3]Mapping!$B$3:$D$37,3,0)</f>
        <v>cashloan</v>
      </c>
      <c r="I2226" s="135">
        <v>2119920000</v>
      </c>
    </row>
    <row r="2227" spans="1:9" x14ac:dyDescent="0.2">
      <c r="A2227" s="134">
        <v>45529</v>
      </c>
      <c r="B2227" s="135">
        <f>YEAR(source[[#This Row],[report_date]])</f>
        <v>2024</v>
      </c>
      <c r="C2227" s="128">
        <f t="shared" si="96"/>
        <v>8</v>
      </c>
      <c r="D2227" s="136">
        <f t="shared" si="94"/>
        <v>34</v>
      </c>
      <c r="E2227" s="136">
        <f t="shared" si="95"/>
        <v>25</v>
      </c>
      <c r="F2227" s="128" t="s">
        <v>24</v>
      </c>
      <c r="G2227" s="128" t="str">
        <f>VLOOKUP(source[[#This Row],[lending_product_transform]],[3]Mapping!$B$4:$C$37,2,0)</f>
        <v>[Cake] - Cashloan</v>
      </c>
      <c r="H2227" s="128" t="str">
        <f>VLOOKUP(source[[#This Row],[lending_product_transform]],[3]Mapping!$B$3:$D$37,3,0)</f>
        <v>cashloan</v>
      </c>
      <c r="I2227" s="135">
        <v>25820695</v>
      </c>
    </row>
    <row r="2228" spans="1:9" x14ac:dyDescent="0.2">
      <c r="A2228" s="134">
        <v>45529</v>
      </c>
      <c r="B2228" s="135">
        <f>YEAR(source[[#This Row],[report_date]])</f>
        <v>2024</v>
      </c>
      <c r="C2228" s="128">
        <f t="shared" si="96"/>
        <v>8</v>
      </c>
      <c r="D2228" s="136">
        <f t="shared" si="94"/>
        <v>34</v>
      </c>
      <c r="E2228" s="136">
        <f t="shared" si="95"/>
        <v>25</v>
      </c>
      <c r="F2228" s="128" t="s">
        <v>24</v>
      </c>
      <c r="G2228" s="128" t="str">
        <f>VLOOKUP(source[[#This Row],[lending_product_transform]],[3]Mapping!$B$4:$C$37,2,0)</f>
        <v>[Cake] - Cashloan</v>
      </c>
      <c r="H2228" s="128" t="str">
        <f>VLOOKUP(source[[#This Row],[lending_product_transform]],[3]Mapping!$B$3:$D$37,3,0)</f>
        <v>cashloan</v>
      </c>
      <c r="I2228" s="135">
        <v>3958000000</v>
      </c>
    </row>
    <row r="2229" spans="1:9" x14ac:dyDescent="0.2">
      <c r="A2229" s="134">
        <v>45529</v>
      </c>
      <c r="B2229" s="135">
        <f>YEAR(source[[#This Row],[report_date]])</f>
        <v>2024</v>
      </c>
      <c r="C2229" s="128">
        <f t="shared" si="96"/>
        <v>8</v>
      </c>
      <c r="D2229" s="136">
        <f t="shared" si="94"/>
        <v>34</v>
      </c>
      <c r="E2229" s="136">
        <f t="shared" si="95"/>
        <v>25</v>
      </c>
      <c r="F2229" s="128" t="s">
        <v>24</v>
      </c>
      <c r="G2229" s="128" t="str">
        <f>VLOOKUP(source[[#This Row],[lending_product_transform]],[3]Mapping!$B$4:$C$37,2,0)</f>
        <v>[Cake] - Cashloan</v>
      </c>
      <c r="H2229" s="128" t="str">
        <f>VLOOKUP(source[[#This Row],[lending_product_transform]],[3]Mapping!$B$3:$D$37,3,0)</f>
        <v>cashloan</v>
      </c>
      <c r="I2229" s="135">
        <v>0</v>
      </c>
    </row>
    <row r="2230" spans="1:9" x14ac:dyDescent="0.2">
      <c r="A2230" s="134">
        <v>45529</v>
      </c>
      <c r="B2230" s="135">
        <f>YEAR(source[[#This Row],[report_date]])</f>
        <v>2024</v>
      </c>
      <c r="C2230" s="128">
        <f t="shared" si="96"/>
        <v>8</v>
      </c>
      <c r="D2230" s="136">
        <f t="shared" si="94"/>
        <v>34</v>
      </c>
      <c r="E2230" s="136">
        <f t="shared" si="95"/>
        <v>25</v>
      </c>
      <c r="F2230" s="128" t="s">
        <v>24</v>
      </c>
      <c r="G2230" s="128" t="str">
        <f>VLOOKUP(source[[#This Row],[lending_product_transform]],[3]Mapping!$B$4:$C$37,2,0)</f>
        <v>[Cake] - Cashloan</v>
      </c>
      <c r="H2230" s="128" t="str">
        <f>VLOOKUP(source[[#This Row],[lending_product_transform]],[3]Mapping!$B$3:$D$37,3,0)</f>
        <v>cashloan</v>
      </c>
      <c r="I2230" s="135">
        <v>182772869</v>
      </c>
    </row>
    <row r="2231" spans="1:9" x14ac:dyDescent="0.2">
      <c r="A2231" s="134">
        <v>45529</v>
      </c>
      <c r="B2231" s="135">
        <f>YEAR(source[[#This Row],[report_date]])</f>
        <v>2024</v>
      </c>
      <c r="C2231" s="128">
        <f t="shared" si="96"/>
        <v>8</v>
      </c>
      <c r="D2231" s="136">
        <f t="shared" si="94"/>
        <v>34</v>
      </c>
      <c r="E2231" s="136">
        <f t="shared" si="95"/>
        <v>25</v>
      </c>
      <c r="F2231" s="128" t="s">
        <v>24</v>
      </c>
      <c r="G2231" s="128" t="str">
        <f>VLOOKUP(source[[#This Row],[lending_product_transform]],[3]Mapping!$B$4:$C$37,2,0)</f>
        <v>[Cake] - Cashloan</v>
      </c>
      <c r="H2231" s="128" t="str">
        <f>VLOOKUP(source[[#This Row],[lending_product_transform]],[3]Mapping!$B$3:$D$37,3,0)</f>
        <v>cashloan</v>
      </c>
      <c r="I2231" s="135">
        <v>68250000</v>
      </c>
    </row>
    <row r="2232" spans="1:9" x14ac:dyDescent="0.2">
      <c r="A2232" s="134">
        <v>45529</v>
      </c>
      <c r="B2232" s="135">
        <f>YEAR(source[[#This Row],[report_date]])</f>
        <v>2024</v>
      </c>
      <c r="C2232" s="128">
        <f t="shared" si="96"/>
        <v>8</v>
      </c>
      <c r="D2232" s="136">
        <f t="shared" si="94"/>
        <v>34</v>
      </c>
      <c r="E2232" s="136">
        <f t="shared" si="95"/>
        <v>25</v>
      </c>
      <c r="F2232" s="128" t="s">
        <v>24</v>
      </c>
      <c r="G2232" s="128" t="str">
        <f>VLOOKUP(source[[#This Row],[lending_product_transform]],[3]Mapping!$B$4:$C$37,2,0)</f>
        <v>[Cake] - Cashloan</v>
      </c>
      <c r="H2232" s="128" t="str">
        <f>VLOOKUP(source[[#This Row],[lending_product_transform]],[3]Mapping!$B$3:$D$37,3,0)</f>
        <v>cashloan</v>
      </c>
      <c r="I2232" s="135">
        <v>20000000</v>
      </c>
    </row>
    <row r="2233" spans="1:9" x14ac:dyDescent="0.2">
      <c r="A2233" s="134">
        <v>45529</v>
      </c>
      <c r="B2233" s="135">
        <f>YEAR(source[[#This Row],[report_date]])</f>
        <v>2024</v>
      </c>
      <c r="C2233" s="128">
        <f t="shared" si="96"/>
        <v>8</v>
      </c>
      <c r="D2233" s="136">
        <f t="shared" si="94"/>
        <v>34</v>
      </c>
      <c r="E2233" s="136">
        <f t="shared" si="95"/>
        <v>25</v>
      </c>
      <c r="F2233" s="128" t="s">
        <v>24</v>
      </c>
      <c r="G2233" s="128" t="str">
        <f>VLOOKUP(source[[#This Row],[lending_product_transform]],[3]Mapping!$B$4:$C$37,2,0)</f>
        <v>[Cake] - Cashloan</v>
      </c>
      <c r="H2233" s="128" t="str">
        <f>VLOOKUP(source[[#This Row],[lending_product_transform]],[3]Mapping!$B$3:$D$37,3,0)</f>
        <v>cashloan</v>
      </c>
      <c r="I2233" s="135">
        <v>6001010000</v>
      </c>
    </row>
    <row r="2234" spans="1:9" x14ac:dyDescent="0.2">
      <c r="A2234" s="134">
        <v>45529</v>
      </c>
      <c r="B2234" s="135">
        <f>YEAR(source[[#This Row],[report_date]])</f>
        <v>2024</v>
      </c>
      <c r="C2234" s="128">
        <f t="shared" si="96"/>
        <v>8</v>
      </c>
      <c r="D2234" s="136">
        <f t="shared" si="94"/>
        <v>34</v>
      </c>
      <c r="E2234" s="136">
        <f t="shared" si="95"/>
        <v>25</v>
      </c>
      <c r="F2234" s="128" t="s">
        <v>24</v>
      </c>
      <c r="G2234" s="128" t="str">
        <f>VLOOKUP(source[[#This Row],[lending_product_transform]],[3]Mapping!$B$4:$C$37,2,0)</f>
        <v>[Cake] - Cashloan</v>
      </c>
      <c r="H2234" s="128" t="str">
        <f>VLOOKUP(source[[#This Row],[lending_product_transform]],[3]Mapping!$B$3:$D$37,3,0)</f>
        <v>cashloan</v>
      </c>
      <c r="I2234" s="135">
        <v>177789087</v>
      </c>
    </row>
    <row r="2235" spans="1:9" x14ac:dyDescent="0.2">
      <c r="A2235" s="134">
        <v>45529</v>
      </c>
      <c r="B2235" s="135">
        <f>YEAR(source[[#This Row],[report_date]])</f>
        <v>2024</v>
      </c>
      <c r="C2235" s="128">
        <f t="shared" si="96"/>
        <v>8</v>
      </c>
      <c r="D2235" s="136">
        <f t="shared" si="94"/>
        <v>34</v>
      </c>
      <c r="E2235" s="136">
        <f t="shared" si="95"/>
        <v>25</v>
      </c>
      <c r="F2235" s="128" t="s">
        <v>24</v>
      </c>
      <c r="G2235" s="128" t="str">
        <f>VLOOKUP(source[[#This Row],[lending_product_transform]],[3]Mapping!$B$4:$C$37,2,0)</f>
        <v>[Cake] - Cashloan</v>
      </c>
      <c r="H2235" s="128" t="str">
        <f>VLOOKUP(source[[#This Row],[lending_product_transform]],[3]Mapping!$B$3:$D$37,3,0)</f>
        <v>cashloan</v>
      </c>
      <c r="I2235" s="135">
        <v>21000000</v>
      </c>
    </row>
    <row r="2236" spans="1:9" x14ac:dyDescent="0.2">
      <c r="A2236" s="134">
        <v>45529</v>
      </c>
      <c r="B2236" s="135">
        <f>YEAR(source[[#This Row],[report_date]])</f>
        <v>2024</v>
      </c>
      <c r="C2236" s="128">
        <f t="shared" si="96"/>
        <v>8</v>
      </c>
      <c r="D2236" s="136">
        <f t="shared" si="94"/>
        <v>34</v>
      </c>
      <c r="E2236" s="136">
        <f t="shared" si="95"/>
        <v>25</v>
      </c>
      <c r="F2236" s="128" t="s">
        <v>24</v>
      </c>
      <c r="G2236" s="128" t="str">
        <f>VLOOKUP(source[[#This Row],[lending_product_transform]],[3]Mapping!$B$4:$C$37,2,0)</f>
        <v>[Cake] - Cashloan</v>
      </c>
      <c r="H2236" s="128" t="str">
        <f>VLOOKUP(source[[#This Row],[lending_product_transform]],[3]Mapping!$B$3:$D$37,3,0)</f>
        <v>cashloan</v>
      </c>
      <c r="I2236" s="135">
        <v>2386903058</v>
      </c>
    </row>
    <row r="2237" spans="1:9" x14ac:dyDescent="0.2">
      <c r="A2237" s="134">
        <v>45529</v>
      </c>
      <c r="B2237" s="135">
        <f>YEAR(source[[#This Row],[report_date]])</f>
        <v>2024</v>
      </c>
      <c r="C2237" s="128">
        <f t="shared" si="96"/>
        <v>8</v>
      </c>
      <c r="D2237" s="136">
        <f t="shared" si="94"/>
        <v>34</v>
      </c>
      <c r="E2237" s="136">
        <f t="shared" si="95"/>
        <v>25</v>
      </c>
      <c r="F2237" s="128" t="s">
        <v>24</v>
      </c>
      <c r="G2237" s="128" t="str">
        <f>VLOOKUP(source[[#This Row],[lending_product_transform]],[3]Mapping!$B$4:$C$37,2,0)</f>
        <v>[Cake] - Cashloan</v>
      </c>
      <c r="H2237" s="128" t="str">
        <f>VLOOKUP(source[[#This Row],[lending_product_transform]],[3]Mapping!$B$3:$D$37,3,0)</f>
        <v>cashloan</v>
      </c>
      <c r="I2237" s="135">
        <v>22470000</v>
      </c>
    </row>
    <row r="2238" spans="1:9" x14ac:dyDescent="0.2">
      <c r="A2238" s="134">
        <v>45529</v>
      </c>
      <c r="B2238" s="135">
        <f>YEAR(source[[#This Row],[report_date]])</f>
        <v>2024</v>
      </c>
      <c r="C2238" s="128">
        <f t="shared" si="96"/>
        <v>8</v>
      </c>
      <c r="D2238" s="136">
        <f t="shared" si="94"/>
        <v>34</v>
      </c>
      <c r="E2238" s="136">
        <f t="shared" si="95"/>
        <v>25</v>
      </c>
      <c r="F2238" s="128" t="s">
        <v>24</v>
      </c>
      <c r="G2238" s="128" t="str">
        <f>VLOOKUP(source[[#This Row],[lending_product_transform]],[3]Mapping!$B$4:$C$37,2,0)</f>
        <v>[Cake] - Cashloan</v>
      </c>
      <c r="H2238" s="128" t="str">
        <f>VLOOKUP(source[[#This Row],[lending_product_transform]],[3]Mapping!$B$3:$D$37,3,0)</f>
        <v>cashloan</v>
      </c>
      <c r="I2238" s="135">
        <v>0</v>
      </c>
    </row>
    <row r="2239" spans="1:9" x14ac:dyDescent="0.2">
      <c r="A2239" s="134">
        <v>45529</v>
      </c>
      <c r="B2239" s="135">
        <f>YEAR(source[[#This Row],[report_date]])</f>
        <v>2024</v>
      </c>
      <c r="C2239" s="128">
        <f t="shared" si="96"/>
        <v>8</v>
      </c>
      <c r="D2239" s="136">
        <f t="shared" si="94"/>
        <v>34</v>
      </c>
      <c r="E2239" s="136">
        <f t="shared" si="95"/>
        <v>25</v>
      </c>
      <c r="F2239" s="128" t="s">
        <v>24</v>
      </c>
      <c r="G2239" s="128" t="str">
        <f>VLOOKUP(source[[#This Row],[lending_product_transform]],[3]Mapping!$B$4:$C$37,2,0)</f>
        <v>[Cake] - Cashloan</v>
      </c>
      <c r="H2239" s="128" t="str">
        <f>VLOOKUP(source[[#This Row],[lending_product_transform]],[3]Mapping!$B$3:$D$37,3,0)</f>
        <v>cashloan</v>
      </c>
      <c r="I2239" s="135">
        <v>380920000</v>
      </c>
    </row>
    <row r="2240" spans="1:9" x14ac:dyDescent="0.2">
      <c r="A2240" s="134">
        <v>45529</v>
      </c>
      <c r="B2240" s="135">
        <f>YEAR(source[[#This Row],[report_date]])</f>
        <v>2024</v>
      </c>
      <c r="C2240" s="128">
        <f t="shared" si="96"/>
        <v>8</v>
      </c>
      <c r="D2240" s="136">
        <f t="shared" si="94"/>
        <v>34</v>
      </c>
      <c r="E2240" s="136">
        <f t="shared" si="95"/>
        <v>25</v>
      </c>
      <c r="F2240" s="128" t="s">
        <v>24</v>
      </c>
      <c r="G2240" s="128" t="str">
        <f>VLOOKUP(source[[#This Row],[lending_product_transform]],[3]Mapping!$B$4:$C$37,2,0)</f>
        <v>[Cake] - Cashloan</v>
      </c>
      <c r="H2240" s="128" t="str">
        <f>VLOOKUP(source[[#This Row],[lending_product_transform]],[3]Mapping!$B$3:$D$37,3,0)</f>
        <v>cashloan</v>
      </c>
      <c r="I2240" s="135">
        <v>75900000</v>
      </c>
    </row>
    <row r="2241" spans="1:9" x14ac:dyDescent="0.2">
      <c r="A2241" s="134">
        <v>45529</v>
      </c>
      <c r="B2241" s="135">
        <f>YEAR(source[[#This Row],[report_date]])</f>
        <v>2024</v>
      </c>
      <c r="C2241" s="128">
        <f t="shared" si="96"/>
        <v>8</v>
      </c>
      <c r="D2241" s="136">
        <f t="shared" si="94"/>
        <v>34</v>
      </c>
      <c r="E2241" s="136">
        <f t="shared" si="95"/>
        <v>25</v>
      </c>
      <c r="F2241" s="128" t="s">
        <v>24</v>
      </c>
      <c r="G2241" s="128" t="str">
        <f>VLOOKUP(source[[#This Row],[lending_product_transform]],[3]Mapping!$B$4:$C$37,2,0)</f>
        <v>[Cake] - Cashloan</v>
      </c>
      <c r="H2241" s="128" t="str">
        <f>VLOOKUP(source[[#This Row],[lending_product_transform]],[3]Mapping!$B$3:$D$37,3,0)</f>
        <v>cashloan</v>
      </c>
      <c r="I2241" s="135">
        <v>5874430000</v>
      </c>
    </row>
    <row r="2242" spans="1:9" x14ac:dyDescent="0.2">
      <c r="A2242" s="134">
        <v>45529</v>
      </c>
      <c r="B2242" s="135">
        <f>YEAR(source[[#This Row],[report_date]])</f>
        <v>2024</v>
      </c>
      <c r="C2242" s="128">
        <f t="shared" si="96"/>
        <v>8</v>
      </c>
      <c r="D2242" s="136">
        <f t="shared" si="94"/>
        <v>34</v>
      </c>
      <c r="E2242" s="136">
        <f t="shared" si="95"/>
        <v>25</v>
      </c>
      <c r="F2242" s="128" t="s">
        <v>24</v>
      </c>
      <c r="G2242" s="128" t="str">
        <f>VLOOKUP(source[[#This Row],[lending_product_transform]],[3]Mapping!$B$4:$C$37,2,0)</f>
        <v>[Cake] - Cashloan</v>
      </c>
      <c r="H2242" s="128" t="str">
        <f>VLOOKUP(source[[#This Row],[lending_product_transform]],[3]Mapping!$B$3:$D$37,3,0)</f>
        <v>cashloan</v>
      </c>
      <c r="I2242" s="135">
        <v>34839665</v>
      </c>
    </row>
    <row r="2243" spans="1:9" x14ac:dyDescent="0.2">
      <c r="A2243" s="134">
        <v>45529</v>
      </c>
      <c r="B2243" s="135">
        <f>YEAR(source[[#This Row],[report_date]])</f>
        <v>2024</v>
      </c>
      <c r="C2243" s="128">
        <f t="shared" si="96"/>
        <v>8</v>
      </c>
      <c r="D2243" s="136">
        <f t="shared" ref="D2243:D2306" si="97">WEEKNUM(A2243,2)</f>
        <v>34</v>
      </c>
      <c r="E2243" s="136">
        <f t="shared" ref="E2243:E2306" si="98">DAY(A2243)</f>
        <v>25</v>
      </c>
      <c r="F2243" s="128" t="s">
        <v>24</v>
      </c>
      <c r="G2243" s="128" t="str">
        <f>VLOOKUP(source[[#This Row],[lending_product_transform]],[3]Mapping!$B$4:$C$37,2,0)</f>
        <v>[Cake] - Cashloan</v>
      </c>
      <c r="H2243" s="128" t="str">
        <f>VLOOKUP(source[[#This Row],[lending_product_transform]],[3]Mapping!$B$3:$D$37,3,0)</f>
        <v>cashloan</v>
      </c>
      <c r="I2243" s="135">
        <v>2116550000</v>
      </c>
    </row>
    <row r="2244" spans="1:9" x14ac:dyDescent="0.2">
      <c r="A2244" s="134">
        <v>45529</v>
      </c>
      <c r="B2244" s="135">
        <f>YEAR(source[[#This Row],[report_date]])</f>
        <v>2024</v>
      </c>
      <c r="C2244" s="128">
        <f t="shared" si="96"/>
        <v>8</v>
      </c>
      <c r="D2244" s="136">
        <f t="shared" si="97"/>
        <v>34</v>
      </c>
      <c r="E2244" s="136">
        <f t="shared" si="98"/>
        <v>25</v>
      </c>
      <c r="F2244" s="128" t="s">
        <v>24</v>
      </c>
      <c r="G2244" s="128" t="str">
        <f>VLOOKUP(source[[#This Row],[lending_product_transform]],[3]Mapping!$B$4:$C$37,2,0)</f>
        <v>[Cake] - Cashloan</v>
      </c>
      <c r="H2244" s="128" t="str">
        <f>VLOOKUP(source[[#This Row],[lending_product_transform]],[3]Mapping!$B$3:$D$37,3,0)</f>
        <v>cashloan</v>
      </c>
      <c r="I2244" s="135">
        <v>3894000000</v>
      </c>
    </row>
    <row r="2245" spans="1:9" x14ac:dyDescent="0.2">
      <c r="A2245" s="134">
        <v>45529</v>
      </c>
      <c r="B2245" s="135">
        <f>YEAR(source[[#This Row],[report_date]])</f>
        <v>2024</v>
      </c>
      <c r="C2245" s="128">
        <f t="shared" si="96"/>
        <v>8</v>
      </c>
      <c r="D2245" s="136">
        <f t="shared" si="97"/>
        <v>34</v>
      </c>
      <c r="E2245" s="136">
        <f t="shared" si="98"/>
        <v>25</v>
      </c>
      <c r="F2245" s="128" t="s">
        <v>24</v>
      </c>
      <c r="G2245" s="128" t="str">
        <f>VLOOKUP(source[[#This Row],[lending_product_transform]],[3]Mapping!$B$4:$C$37,2,0)</f>
        <v>[Cake] - Cashloan</v>
      </c>
      <c r="H2245" s="128" t="str">
        <f>VLOOKUP(source[[#This Row],[lending_product_transform]],[3]Mapping!$B$3:$D$37,3,0)</f>
        <v>cashloan</v>
      </c>
      <c r="I2245" s="135">
        <v>46000000</v>
      </c>
    </row>
    <row r="2246" spans="1:9" x14ac:dyDescent="0.2">
      <c r="A2246" s="134">
        <v>45529</v>
      </c>
      <c r="B2246" s="135">
        <f>YEAR(source[[#This Row],[report_date]])</f>
        <v>2024</v>
      </c>
      <c r="C2246" s="128">
        <f t="shared" si="96"/>
        <v>8</v>
      </c>
      <c r="D2246" s="136">
        <f t="shared" si="97"/>
        <v>34</v>
      </c>
      <c r="E2246" s="136">
        <f t="shared" si="98"/>
        <v>25</v>
      </c>
      <c r="F2246" s="128" t="s">
        <v>24</v>
      </c>
      <c r="G2246" s="128" t="str">
        <f>VLOOKUP(source[[#This Row],[lending_product_transform]],[3]Mapping!$B$4:$C$37,2,0)</f>
        <v>[Cake] - Cashloan</v>
      </c>
      <c r="H2246" s="128" t="str">
        <f>VLOOKUP(source[[#This Row],[lending_product_transform]],[3]Mapping!$B$3:$D$37,3,0)</f>
        <v>cashloan</v>
      </c>
      <c r="I2246" s="135">
        <v>20000000</v>
      </c>
    </row>
    <row r="2247" spans="1:9" x14ac:dyDescent="0.2">
      <c r="A2247" s="134">
        <v>45529</v>
      </c>
      <c r="B2247" s="135">
        <f>YEAR(source[[#This Row],[report_date]])</f>
        <v>2024</v>
      </c>
      <c r="C2247" s="128">
        <f t="shared" si="96"/>
        <v>8</v>
      </c>
      <c r="D2247" s="136">
        <f t="shared" si="97"/>
        <v>34</v>
      </c>
      <c r="E2247" s="136">
        <f t="shared" si="98"/>
        <v>25</v>
      </c>
      <c r="F2247" s="128" t="s">
        <v>24</v>
      </c>
      <c r="G2247" s="128" t="str">
        <f>VLOOKUP(source[[#This Row],[lending_product_transform]],[3]Mapping!$B$4:$C$37,2,0)</f>
        <v>[Cake] - Cashloan</v>
      </c>
      <c r="H2247" s="128" t="str">
        <f>VLOOKUP(source[[#This Row],[lending_product_transform]],[3]Mapping!$B$3:$D$37,3,0)</f>
        <v>cashloan</v>
      </c>
      <c r="I2247" s="135">
        <v>32320883</v>
      </c>
    </row>
    <row r="2248" spans="1:9" x14ac:dyDescent="0.2">
      <c r="A2248" s="134">
        <v>45529</v>
      </c>
      <c r="B2248" s="135">
        <f>YEAR(source[[#This Row],[report_date]])</f>
        <v>2024</v>
      </c>
      <c r="C2248" s="128">
        <f t="shared" si="96"/>
        <v>8</v>
      </c>
      <c r="D2248" s="136">
        <f t="shared" si="97"/>
        <v>34</v>
      </c>
      <c r="E2248" s="136">
        <f t="shared" si="98"/>
        <v>25</v>
      </c>
      <c r="F2248" s="128" t="s">
        <v>24</v>
      </c>
      <c r="G2248" s="128" t="str">
        <f>VLOOKUP(source[[#This Row],[lending_product_transform]],[3]Mapping!$B$4:$C$37,2,0)</f>
        <v>[Cake] - Cashloan</v>
      </c>
      <c r="H2248" s="128" t="str">
        <f>VLOOKUP(source[[#This Row],[lending_product_transform]],[3]Mapping!$B$3:$D$37,3,0)</f>
        <v>cashloan</v>
      </c>
      <c r="I2248" s="135">
        <v>30450000</v>
      </c>
    </row>
    <row r="2249" spans="1:9" x14ac:dyDescent="0.2">
      <c r="A2249" s="134">
        <v>45529</v>
      </c>
      <c r="B2249" s="135">
        <f>YEAR(source[[#This Row],[report_date]])</f>
        <v>2024</v>
      </c>
      <c r="C2249" s="128">
        <f t="shared" si="96"/>
        <v>8</v>
      </c>
      <c r="D2249" s="136">
        <f t="shared" si="97"/>
        <v>34</v>
      </c>
      <c r="E2249" s="136">
        <f t="shared" si="98"/>
        <v>25</v>
      </c>
      <c r="F2249" s="128" t="s">
        <v>24</v>
      </c>
      <c r="G2249" s="128" t="str">
        <f>VLOOKUP(source[[#This Row],[lending_product_transform]],[3]Mapping!$B$4:$C$37,2,0)</f>
        <v>[Cake] - Cashloan</v>
      </c>
      <c r="H2249" s="128" t="str">
        <f>VLOOKUP(source[[#This Row],[lending_product_transform]],[3]Mapping!$B$3:$D$37,3,0)</f>
        <v>cashloan</v>
      </c>
      <c r="I2249" s="135">
        <v>31500000</v>
      </c>
    </row>
    <row r="2250" spans="1:9" x14ac:dyDescent="0.2">
      <c r="A2250" s="134">
        <v>45529</v>
      </c>
      <c r="B2250" s="135">
        <f>YEAR(source[[#This Row],[report_date]])</f>
        <v>2024</v>
      </c>
      <c r="C2250" s="128">
        <f t="shared" si="96"/>
        <v>8</v>
      </c>
      <c r="D2250" s="136">
        <f t="shared" si="97"/>
        <v>34</v>
      </c>
      <c r="E2250" s="136">
        <f t="shared" si="98"/>
        <v>25</v>
      </c>
      <c r="F2250" s="128" t="s">
        <v>24</v>
      </c>
      <c r="G2250" s="128" t="str">
        <f>VLOOKUP(source[[#This Row],[lending_product_transform]],[3]Mapping!$B$4:$C$37,2,0)</f>
        <v>[Cake] - Cashloan</v>
      </c>
      <c r="H2250" s="128" t="str">
        <f>VLOOKUP(source[[#This Row],[lending_product_transform]],[3]Mapping!$B$3:$D$37,3,0)</f>
        <v>cashloan</v>
      </c>
      <c r="I2250" s="135">
        <v>2616639245</v>
      </c>
    </row>
    <row r="2251" spans="1:9" x14ac:dyDescent="0.2">
      <c r="A2251" s="134">
        <v>45529</v>
      </c>
      <c r="B2251" s="135">
        <f>YEAR(source[[#This Row],[report_date]])</f>
        <v>2024</v>
      </c>
      <c r="C2251" s="128">
        <f t="shared" si="96"/>
        <v>8</v>
      </c>
      <c r="D2251" s="136">
        <f t="shared" si="97"/>
        <v>34</v>
      </c>
      <c r="E2251" s="136">
        <f t="shared" si="98"/>
        <v>25</v>
      </c>
      <c r="F2251" s="128" t="s">
        <v>24</v>
      </c>
      <c r="G2251" s="128" t="str">
        <f>VLOOKUP(source[[#This Row],[lending_product_transform]],[3]Mapping!$B$4:$C$37,2,0)</f>
        <v>[Cake] - Cashloan</v>
      </c>
      <c r="H2251" s="128" t="str">
        <f>VLOOKUP(source[[#This Row],[lending_product_transform]],[3]Mapping!$B$3:$D$37,3,0)</f>
        <v>cashloan</v>
      </c>
      <c r="I2251" s="135">
        <v>5655910000</v>
      </c>
    </row>
    <row r="2252" spans="1:9" x14ac:dyDescent="0.2">
      <c r="A2252" s="134">
        <v>45529</v>
      </c>
      <c r="B2252" s="135">
        <f>YEAR(source[[#This Row],[report_date]])</f>
        <v>2024</v>
      </c>
      <c r="C2252" s="128">
        <f t="shared" si="96"/>
        <v>8</v>
      </c>
      <c r="D2252" s="136">
        <f t="shared" si="97"/>
        <v>34</v>
      </c>
      <c r="E2252" s="136">
        <f t="shared" si="98"/>
        <v>25</v>
      </c>
      <c r="F2252" s="128" t="s">
        <v>24</v>
      </c>
      <c r="G2252" s="128" t="str">
        <f>VLOOKUP(source[[#This Row],[lending_product_transform]],[3]Mapping!$B$4:$C$37,2,0)</f>
        <v>[Cake] - Cashloan</v>
      </c>
      <c r="H2252" s="128" t="str">
        <f>VLOOKUP(source[[#This Row],[lending_product_transform]],[3]Mapping!$B$3:$D$37,3,0)</f>
        <v>cashloan</v>
      </c>
      <c r="I2252" s="135">
        <v>83000000</v>
      </c>
    </row>
    <row r="2253" spans="1:9" x14ac:dyDescent="0.2">
      <c r="A2253" s="134">
        <v>45529</v>
      </c>
      <c r="B2253" s="135">
        <f>YEAR(source[[#This Row],[report_date]])</f>
        <v>2024</v>
      </c>
      <c r="C2253" s="128">
        <f t="shared" si="96"/>
        <v>8</v>
      </c>
      <c r="D2253" s="136">
        <f t="shared" si="97"/>
        <v>34</v>
      </c>
      <c r="E2253" s="136">
        <f t="shared" si="98"/>
        <v>25</v>
      </c>
      <c r="F2253" s="128" t="s">
        <v>24</v>
      </c>
      <c r="G2253" s="128" t="str">
        <f>VLOOKUP(source[[#This Row],[lending_product_transform]],[3]Mapping!$B$4:$C$37,2,0)</f>
        <v>[Cake] - Cashloan</v>
      </c>
      <c r="H2253" s="128" t="str">
        <f>VLOOKUP(source[[#This Row],[lending_product_transform]],[3]Mapping!$B$3:$D$37,3,0)</f>
        <v>cashloan</v>
      </c>
      <c r="I2253" s="135">
        <v>21400000</v>
      </c>
    </row>
    <row r="2254" spans="1:9" x14ac:dyDescent="0.2">
      <c r="A2254" s="134">
        <v>45529</v>
      </c>
      <c r="B2254" s="135">
        <f>YEAR(source[[#This Row],[report_date]])</f>
        <v>2024</v>
      </c>
      <c r="C2254" s="128">
        <f t="shared" si="96"/>
        <v>8</v>
      </c>
      <c r="D2254" s="136">
        <f t="shared" si="97"/>
        <v>34</v>
      </c>
      <c r="E2254" s="136">
        <f t="shared" si="98"/>
        <v>25</v>
      </c>
      <c r="F2254" s="128" t="s">
        <v>24</v>
      </c>
      <c r="G2254" s="128" t="str">
        <f>VLOOKUP(source[[#This Row],[lending_product_transform]],[3]Mapping!$B$4:$C$37,2,0)</f>
        <v>[Cake] - Cashloan</v>
      </c>
      <c r="H2254" s="128" t="str">
        <f>VLOOKUP(source[[#This Row],[lending_product_transform]],[3]Mapping!$B$3:$D$37,3,0)</f>
        <v>cashloan</v>
      </c>
      <c r="I2254" s="135">
        <v>1962660000</v>
      </c>
    </row>
    <row r="2255" spans="1:9" x14ac:dyDescent="0.2">
      <c r="A2255" s="134">
        <v>45529</v>
      </c>
      <c r="B2255" s="135">
        <f>YEAR(source[[#This Row],[report_date]])</f>
        <v>2024</v>
      </c>
      <c r="C2255" s="128">
        <f t="shared" si="96"/>
        <v>8</v>
      </c>
      <c r="D2255" s="136">
        <f t="shared" si="97"/>
        <v>34</v>
      </c>
      <c r="E2255" s="136">
        <f t="shared" si="98"/>
        <v>25</v>
      </c>
      <c r="F2255" s="128" t="s">
        <v>24</v>
      </c>
      <c r="G2255" s="128" t="str">
        <f>VLOOKUP(source[[#This Row],[lending_product_transform]],[3]Mapping!$B$4:$C$37,2,0)</f>
        <v>[Cake] - Cashloan</v>
      </c>
      <c r="H2255" s="128" t="str">
        <f>VLOOKUP(source[[#This Row],[lending_product_transform]],[3]Mapping!$B$3:$D$37,3,0)</f>
        <v>cashloan</v>
      </c>
      <c r="I2255" s="135">
        <v>195810000</v>
      </c>
    </row>
    <row r="2256" spans="1:9" x14ac:dyDescent="0.2">
      <c r="A2256" s="134">
        <v>45529</v>
      </c>
      <c r="B2256" s="135">
        <f>YEAR(source[[#This Row],[report_date]])</f>
        <v>2024</v>
      </c>
      <c r="C2256" s="128">
        <f t="shared" si="96"/>
        <v>8</v>
      </c>
      <c r="D2256" s="136">
        <f t="shared" si="97"/>
        <v>34</v>
      </c>
      <c r="E2256" s="136">
        <f t="shared" si="98"/>
        <v>25</v>
      </c>
      <c r="F2256" s="128" t="s">
        <v>24</v>
      </c>
      <c r="G2256" s="128" t="str">
        <f>VLOOKUP(source[[#This Row],[lending_product_transform]],[3]Mapping!$B$4:$C$37,2,0)</f>
        <v>[Cake] - Cashloan</v>
      </c>
      <c r="H2256" s="128" t="str">
        <f>VLOOKUP(source[[#This Row],[lending_product_transform]],[3]Mapping!$B$3:$D$37,3,0)</f>
        <v>cashloan</v>
      </c>
      <c r="I2256" s="135">
        <v>3736500000</v>
      </c>
    </row>
    <row r="2257" spans="1:9" x14ac:dyDescent="0.2">
      <c r="A2257" s="134">
        <v>45529</v>
      </c>
      <c r="B2257" s="135">
        <f>YEAR(source[[#This Row],[report_date]])</f>
        <v>2024</v>
      </c>
      <c r="C2257" s="128">
        <f t="shared" si="96"/>
        <v>8</v>
      </c>
      <c r="D2257" s="136">
        <f t="shared" si="97"/>
        <v>34</v>
      </c>
      <c r="E2257" s="136">
        <f t="shared" si="98"/>
        <v>25</v>
      </c>
      <c r="F2257" s="128" t="s">
        <v>24</v>
      </c>
      <c r="G2257" s="128" t="str">
        <f>VLOOKUP(source[[#This Row],[lending_product_transform]],[3]Mapping!$B$4:$C$37,2,0)</f>
        <v>[Cake] - Cashloan</v>
      </c>
      <c r="H2257" s="128" t="str">
        <f>VLOOKUP(source[[#This Row],[lending_product_transform]],[3]Mapping!$B$3:$D$37,3,0)</f>
        <v>cashloan</v>
      </c>
      <c r="I2257" s="135">
        <v>150655403</v>
      </c>
    </row>
    <row r="2258" spans="1:9" x14ac:dyDescent="0.2">
      <c r="A2258" s="134">
        <v>45529</v>
      </c>
      <c r="B2258" s="135">
        <f>YEAR(source[[#This Row],[report_date]])</f>
        <v>2024</v>
      </c>
      <c r="C2258" s="128">
        <f t="shared" si="96"/>
        <v>8</v>
      </c>
      <c r="D2258" s="136">
        <f t="shared" si="97"/>
        <v>34</v>
      </c>
      <c r="E2258" s="136">
        <f t="shared" si="98"/>
        <v>25</v>
      </c>
      <c r="F2258" s="128" t="s">
        <v>24</v>
      </c>
      <c r="G2258" s="128" t="str">
        <f>VLOOKUP(source[[#This Row],[lending_product_transform]],[3]Mapping!$B$4:$C$37,2,0)</f>
        <v>[Cake] - Cashloan</v>
      </c>
      <c r="H2258" s="128" t="str">
        <f>VLOOKUP(source[[#This Row],[lending_product_transform]],[3]Mapping!$B$3:$D$37,3,0)</f>
        <v>cashloan</v>
      </c>
      <c r="I2258" s="135">
        <v>54000000</v>
      </c>
    </row>
    <row r="2259" spans="1:9" x14ac:dyDescent="0.2">
      <c r="A2259" s="134">
        <v>45529</v>
      </c>
      <c r="B2259" s="135">
        <f>YEAR(source[[#This Row],[report_date]])</f>
        <v>2024</v>
      </c>
      <c r="C2259" s="128">
        <f t="shared" si="96"/>
        <v>8</v>
      </c>
      <c r="D2259" s="136">
        <f t="shared" si="97"/>
        <v>34</v>
      </c>
      <c r="E2259" s="136">
        <f t="shared" si="98"/>
        <v>25</v>
      </c>
      <c r="F2259" s="128" t="s">
        <v>24</v>
      </c>
      <c r="G2259" s="128" t="str">
        <f>VLOOKUP(source[[#This Row],[lending_product_transform]],[3]Mapping!$B$4:$C$37,2,0)</f>
        <v>[Cake] - Cashloan</v>
      </c>
      <c r="H2259" s="128" t="str">
        <f>VLOOKUP(source[[#This Row],[lending_product_transform]],[3]Mapping!$B$3:$D$37,3,0)</f>
        <v>cashloan</v>
      </c>
      <c r="I2259" s="135">
        <v>66150000</v>
      </c>
    </row>
    <row r="2260" spans="1:9" x14ac:dyDescent="0.2">
      <c r="A2260" s="134">
        <v>45529</v>
      </c>
      <c r="B2260" s="135">
        <f>YEAR(source[[#This Row],[report_date]])</f>
        <v>2024</v>
      </c>
      <c r="C2260" s="128">
        <f t="shared" si="96"/>
        <v>8</v>
      </c>
      <c r="D2260" s="136">
        <f t="shared" si="97"/>
        <v>34</v>
      </c>
      <c r="E2260" s="136">
        <f t="shared" si="98"/>
        <v>25</v>
      </c>
      <c r="F2260" s="128" t="s">
        <v>24</v>
      </c>
      <c r="G2260" s="128" t="str">
        <f>VLOOKUP(source[[#This Row],[lending_product_transform]],[3]Mapping!$B$4:$C$37,2,0)</f>
        <v>[Cake] - Cashloan</v>
      </c>
      <c r="H2260" s="128" t="str">
        <f>VLOOKUP(source[[#This Row],[lending_product_transform]],[3]Mapping!$B$3:$D$37,3,0)</f>
        <v>cashloan</v>
      </c>
      <c r="I2260" s="135">
        <v>30304939</v>
      </c>
    </row>
    <row r="2261" spans="1:9" x14ac:dyDescent="0.2">
      <c r="A2261" s="134">
        <v>45529</v>
      </c>
      <c r="B2261" s="135">
        <f>YEAR(source[[#This Row],[report_date]])</f>
        <v>2024</v>
      </c>
      <c r="C2261" s="128">
        <f t="shared" ref="C2261:C2324" si="99">MONTH(A2261)</f>
        <v>8</v>
      </c>
      <c r="D2261" s="136">
        <f t="shared" si="97"/>
        <v>34</v>
      </c>
      <c r="E2261" s="136">
        <f t="shared" si="98"/>
        <v>25</v>
      </c>
      <c r="F2261" s="128" t="s">
        <v>24</v>
      </c>
      <c r="G2261" s="128" t="str">
        <f>VLOOKUP(source[[#This Row],[lending_product_transform]],[3]Mapping!$B$4:$C$37,2,0)</f>
        <v>[Cake] - Cashloan</v>
      </c>
      <c r="H2261" s="128" t="str">
        <f>VLOOKUP(source[[#This Row],[lending_product_transform]],[3]Mapping!$B$3:$D$37,3,0)</f>
        <v>cashloan</v>
      </c>
      <c r="I2261" s="135">
        <v>0</v>
      </c>
    </row>
    <row r="2262" spans="1:9" x14ac:dyDescent="0.2">
      <c r="A2262" s="134">
        <v>45529</v>
      </c>
      <c r="B2262" s="135">
        <f>YEAR(source[[#This Row],[report_date]])</f>
        <v>2024</v>
      </c>
      <c r="C2262" s="128">
        <f t="shared" si="99"/>
        <v>8</v>
      </c>
      <c r="D2262" s="136">
        <f t="shared" si="97"/>
        <v>34</v>
      </c>
      <c r="E2262" s="136">
        <f t="shared" si="98"/>
        <v>25</v>
      </c>
      <c r="F2262" s="128" t="s">
        <v>24</v>
      </c>
      <c r="G2262" s="128" t="str">
        <f>VLOOKUP(source[[#This Row],[lending_product_transform]],[3]Mapping!$B$4:$C$37,2,0)</f>
        <v>[Cake] - Cashloan</v>
      </c>
      <c r="H2262" s="128" t="str">
        <f>VLOOKUP(source[[#This Row],[lending_product_transform]],[3]Mapping!$B$3:$D$37,3,0)</f>
        <v>cashloan</v>
      </c>
      <c r="I2262" s="135">
        <v>1926810000</v>
      </c>
    </row>
    <row r="2263" spans="1:9" x14ac:dyDescent="0.2">
      <c r="A2263" s="134">
        <v>45529</v>
      </c>
      <c r="B2263" s="135">
        <f>YEAR(source[[#This Row],[report_date]])</f>
        <v>2024</v>
      </c>
      <c r="C2263" s="128">
        <f t="shared" si="99"/>
        <v>8</v>
      </c>
      <c r="D2263" s="136">
        <f t="shared" si="97"/>
        <v>34</v>
      </c>
      <c r="E2263" s="136">
        <f t="shared" si="98"/>
        <v>25</v>
      </c>
      <c r="F2263" s="128" t="s">
        <v>24</v>
      </c>
      <c r="G2263" s="128" t="str">
        <f>VLOOKUP(source[[#This Row],[lending_product_transform]],[3]Mapping!$B$4:$C$37,2,0)</f>
        <v>[Cake] - Cashloan</v>
      </c>
      <c r="H2263" s="128" t="str">
        <f>VLOOKUP(source[[#This Row],[lending_product_transform]],[3]Mapping!$B$3:$D$37,3,0)</f>
        <v>cashloan</v>
      </c>
      <c r="I2263" s="135">
        <v>29540000</v>
      </c>
    </row>
    <row r="2264" spans="1:9" x14ac:dyDescent="0.2">
      <c r="A2264" s="134">
        <v>45529</v>
      </c>
      <c r="B2264" s="135">
        <f>YEAR(source[[#This Row],[report_date]])</f>
        <v>2024</v>
      </c>
      <c r="C2264" s="128">
        <f t="shared" si="99"/>
        <v>8</v>
      </c>
      <c r="D2264" s="136">
        <f t="shared" si="97"/>
        <v>34</v>
      </c>
      <c r="E2264" s="136">
        <f t="shared" si="98"/>
        <v>25</v>
      </c>
      <c r="F2264" s="128" t="s">
        <v>24</v>
      </c>
      <c r="G2264" s="128" t="str">
        <f>VLOOKUP(source[[#This Row],[lending_product_transform]],[3]Mapping!$B$4:$C$37,2,0)</f>
        <v>[Cake] - Cashloan</v>
      </c>
      <c r="H2264" s="128" t="str">
        <f>VLOOKUP(source[[#This Row],[lending_product_transform]],[3]Mapping!$B$3:$D$37,3,0)</f>
        <v>cashloan</v>
      </c>
      <c r="I2264" s="135">
        <v>27820000</v>
      </c>
    </row>
    <row r="2265" spans="1:9" x14ac:dyDescent="0.2">
      <c r="A2265" s="134">
        <v>45529</v>
      </c>
      <c r="B2265" s="135">
        <f>YEAR(source[[#This Row],[report_date]])</f>
        <v>2024</v>
      </c>
      <c r="C2265" s="128">
        <f t="shared" si="99"/>
        <v>8</v>
      </c>
      <c r="D2265" s="136">
        <f t="shared" si="97"/>
        <v>34</v>
      </c>
      <c r="E2265" s="136">
        <f t="shared" si="98"/>
        <v>25</v>
      </c>
      <c r="F2265" s="128" t="s">
        <v>24</v>
      </c>
      <c r="G2265" s="128" t="str">
        <f>VLOOKUP(source[[#This Row],[lending_product_transform]],[3]Mapping!$B$4:$C$37,2,0)</f>
        <v>[Cake] - Cashloan</v>
      </c>
      <c r="H2265" s="128" t="str">
        <f>VLOOKUP(source[[#This Row],[lending_product_transform]],[3]Mapping!$B$3:$D$37,3,0)</f>
        <v>cashloan</v>
      </c>
      <c r="I2265" s="135">
        <v>187118446</v>
      </c>
    </row>
    <row r="2266" spans="1:9" x14ac:dyDescent="0.2">
      <c r="A2266" s="134">
        <v>45529</v>
      </c>
      <c r="B2266" s="135">
        <f>YEAR(source[[#This Row],[report_date]])</f>
        <v>2024</v>
      </c>
      <c r="C2266" s="128">
        <f t="shared" si="99"/>
        <v>8</v>
      </c>
      <c r="D2266" s="136">
        <f t="shared" si="97"/>
        <v>34</v>
      </c>
      <c r="E2266" s="136">
        <f t="shared" si="98"/>
        <v>25</v>
      </c>
      <c r="F2266" s="128" t="s">
        <v>24</v>
      </c>
      <c r="G2266" s="128" t="str">
        <f>VLOOKUP(source[[#This Row],[lending_product_transform]],[3]Mapping!$B$4:$C$37,2,0)</f>
        <v>[Cake] - Cashloan</v>
      </c>
      <c r="H2266" s="128" t="str">
        <f>VLOOKUP(source[[#This Row],[lending_product_transform]],[3]Mapping!$B$3:$D$37,3,0)</f>
        <v>cashloan</v>
      </c>
      <c r="I2266" s="135">
        <v>3378500000</v>
      </c>
    </row>
    <row r="2267" spans="1:9" x14ac:dyDescent="0.2">
      <c r="A2267" s="134">
        <v>45529</v>
      </c>
      <c r="B2267" s="135">
        <f>YEAR(source[[#This Row],[report_date]])</f>
        <v>2024</v>
      </c>
      <c r="C2267" s="128">
        <f t="shared" si="99"/>
        <v>8</v>
      </c>
      <c r="D2267" s="136">
        <f t="shared" si="97"/>
        <v>34</v>
      </c>
      <c r="E2267" s="136">
        <f t="shared" si="98"/>
        <v>25</v>
      </c>
      <c r="F2267" s="128" t="s">
        <v>24</v>
      </c>
      <c r="G2267" s="128" t="str">
        <f>VLOOKUP(source[[#This Row],[lending_product_transform]],[3]Mapping!$B$4:$C$37,2,0)</f>
        <v>[Cake] - Cashloan</v>
      </c>
      <c r="H2267" s="128" t="str">
        <f>VLOOKUP(source[[#This Row],[lending_product_transform]],[3]Mapping!$B$3:$D$37,3,0)</f>
        <v>cashloan</v>
      </c>
      <c r="I2267" s="135">
        <v>5362250000</v>
      </c>
    </row>
    <row r="2268" spans="1:9" x14ac:dyDescent="0.2">
      <c r="A2268" s="134">
        <v>45529</v>
      </c>
      <c r="B2268" s="135">
        <f>YEAR(source[[#This Row],[report_date]])</f>
        <v>2024</v>
      </c>
      <c r="C2268" s="128">
        <f t="shared" si="99"/>
        <v>8</v>
      </c>
      <c r="D2268" s="136">
        <f t="shared" si="97"/>
        <v>34</v>
      </c>
      <c r="E2268" s="136">
        <f t="shared" si="98"/>
        <v>25</v>
      </c>
      <c r="F2268" s="128" t="s">
        <v>24</v>
      </c>
      <c r="G2268" s="128" t="str">
        <f>VLOOKUP(source[[#This Row],[lending_product_transform]],[3]Mapping!$B$4:$C$37,2,0)</f>
        <v>[Cake] - Cashloan</v>
      </c>
      <c r="H2268" s="128" t="str">
        <f>VLOOKUP(source[[#This Row],[lending_product_transform]],[3]Mapping!$B$3:$D$37,3,0)</f>
        <v>cashloan</v>
      </c>
      <c r="I2268" s="135">
        <v>2267336692</v>
      </c>
    </row>
    <row r="2269" spans="1:9" x14ac:dyDescent="0.2">
      <c r="A2269" s="134">
        <v>45529</v>
      </c>
      <c r="B2269" s="135">
        <f>YEAR(source[[#This Row],[report_date]])</f>
        <v>2024</v>
      </c>
      <c r="C2269" s="128">
        <f t="shared" si="99"/>
        <v>8</v>
      </c>
      <c r="D2269" s="136">
        <f t="shared" si="97"/>
        <v>34</v>
      </c>
      <c r="E2269" s="136">
        <f t="shared" si="98"/>
        <v>25</v>
      </c>
      <c r="F2269" s="128" t="s">
        <v>24</v>
      </c>
      <c r="G2269" s="128" t="str">
        <f>VLOOKUP(source[[#This Row],[lending_product_transform]],[3]Mapping!$B$4:$C$37,2,0)</f>
        <v>[Cake] - Cashloan</v>
      </c>
      <c r="H2269" s="128" t="str">
        <f>VLOOKUP(source[[#This Row],[lending_product_transform]],[3]Mapping!$B$3:$D$37,3,0)</f>
        <v>cashloan</v>
      </c>
      <c r="I2269" s="135">
        <v>31500000</v>
      </c>
    </row>
    <row r="2270" spans="1:9" x14ac:dyDescent="0.2">
      <c r="A2270" s="134">
        <v>45530</v>
      </c>
      <c r="B2270" s="135">
        <f>YEAR(source[[#This Row],[report_date]])</f>
        <v>2024</v>
      </c>
      <c r="C2270" s="128">
        <f t="shared" si="99"/>
        <v>8</v>
      </c>
      <c r="D2270" s="136">
        <f t="shared" si="97"/>
        <v>35</v>
      </c>
      <c r="E2270" s="136">
        <f t="shared" si="98"/>
        <v>26</v>
      </c>
      <c r="F2270" s="128" t="s">
        <v>24</v>
      </c>
      <c r="G2270" s="128" t="str">
        <f>VLOOKUP(source[[#This Row],[lending_product_transform]],[3]Mapping!$B$4:$C$37,2,0)</f>
        <v>[Cake] - Cashloan</v>
      </c>
      <c r="H2270" s="128" t="str">
        <f>VLOOKUP(source[[#This Row],[lending_product_transform]],[3]Mapping!$B$3:$D$37,3,0)</f>
        <v>cashloan</v>
      </c>
      <c r="I2270" s="135">
        <v>2954824736</v>
      </c>
    </row>
    <row r="2271" spans="1:9" x14ac:dyDescent="0.2">
      <c r="A2271" s="134">
        <v>45530</v>
      </c>
      <c r="B2271" s="135">
        <f>YEAR(source[[#This Row],[report_date]])</f>
        <v>2024</v>
      </c>
      <c r="C2271" s="128">
        <f t="shared" si="99"/>
        <v>8</v>
      </c>
      <c r="D2271" s="136">
        <f t="shared" si="97"/>
        <v>35</v>
      </c>
      <c r="E2271" s="136">
        <f t="shared" si="98"/>
        <v>26</v>
      </c>
      <c r="F2271" s="128" t="s">
        <v>24</v>
      </c>
      <c r="G2271" s="128" t="str">
        <f>VLOOKUP(source[[#This Row],[lending_product_transform]],[3]Mapping!$B$4:$C$37,2,0)</f>
        <v>[Cake] - Cashloan</v>
      </c>
      <c r="H2271" s="128" t="str">
        <f>VLOOKUP(source[[#This Row],[lending_product_transform]],[3]Mapping!$B$3:$D$37,3,0)</f>
        <v>cashloan</v>
      </c>
      <c r="I2271" s="135">
        <v>112650000</v>
      </c>
    </row>
    <row r="2272" spans="1:9" x14ac:dyDescent="0.2">
      <c r="A2272" s="134">
        <v>45530</v>
      </c>
      <c r="B2272" s="135">
        <f>YEAR(source[[#This Row],[report_date]])</f>
        <v>2024</v>
      </c>
      <c r="C2272" s="128">
        <f t="shared" si="99"/>
        <v>8</v>
      </c>
      <c r="D2272" s="136">
        <f t="shared" si="97"/>
        <v>35</v>
      </c>
      <c r="E2272" s="136">
        <f t="shared" si="98"/>
        <v>26</v>
      </c>
      <c r="F2272" s="128" t="s">
        <v>24</v>
      </c>
      <c r="G2272" s="128" t="str">
        <f>VLOOKUP(source[[#This Row],[lending_product_transform]],[3]Mapping!$B$4:$C$37,2,0)</f>
        <v>[Cake] - Cashloan</v>
      </c>
      <c r="H2272" s="128" t="str">
        <f>VLOOKUP(source[[#This Row],[lending_product_transform]],[3]Mapping!$B$3:$D$37,3,0)</f>
        <v>cashloan</v>
      </c>
      <c r="I2272" s="135">
        <v>6285750000</v>
      </c>
    </row>
    <row r="2273" spans="1:9" x14ac:dyDescent="0.2">
      <c r="A2273" s="134">
        <v>45530</v>
      </c>
      <c r="B2273" s="135">
        <f>YEAR(source[[#This Row],[report_date]])</f>
        <v>2024</v>
      </c>
      <c r="C2273" s="128">
        <f t="shared" si="99"/>
        <v>8</v>
      </c>
      <c r="D2273" s="136">
        <f t="shared" si="97"/>
        <v>35</v>
      </c>
      <c r="E2273" s="136">
        <f t="shared" si="98"/>
        <v>26</v>
      </c>
      <c r="F2273" s="128" t="s">
        <v>24</v>
      </c>
      <c r="G2273" s="128" t="str">
        <f>VLOOKUP(source[[#This Row],[lending_product_transform]],[3]Mapping!$B$4:$C$37,2,0)</f>
        <v>[Cake] - Cashloan</v>
      </c>
      <c r="H2273" s="128" t="str">
        <f>VLOOKUP(source[[#This Row],[lending_product_transform]],[3]Mapping!$B$3:$D$37,3,0)</f>
        <v>cashloan</v>
      </c>
      <c r="I2273" s="135">
        <v>269640000</v>
      </c>
    </row>
    <row r="2274" spans="1:9" x14ac:dyDescent="0.2">
      <c r="A2274" s="134">
        <v>45530</v>
      </c>
      <c r="B2274" s="135">
        <f>YEAR(source[[#This Row],[report_date]])</f>
        <v>2024</v>
      </c>
      <c r="C2274" s="128">
        <f t="shared" si="99"/>
        <v>8</v>
      </c>
      <c r="D2274" s="136">
        <f t="shared" si="97"/>
        <v>35</v>
      </c>
      <c r="E2274" s="136">
        <f t="shared" si="98"/>
        <v>26</v>
      </c>
      <c r="F2274" s="128" t="s">
        <v>24</v>
      </c>
      <c r="G2274" s="128" t="str">
        <f>VLOOKUP(source[[#This Row],[lending_product_transform]],[3]Mapping!$B$4:$C$37,2,0)</f>
        <v>[Cake] - Cashloan</v>
      </c>
      <c r="H2274" s="128" t="str">
        <f>VLOOKUP(source[[#This Row],[lending_product_transform]],[3]Mapping!$B$3:$D$37,3,0)</f>
        <v>cashloan</v>
      </c>
      <c r="I2274" s="135">
        <v>10700000</v>
      </c>
    </row>
    <row r="2275" spans="1:9" x14ac:dyDescent="0.2">
      <c r="A2275" s="134">
        <v>45530</v>
      </c>
      <c r="B2275" s="135">
        <f>YEAR(source[[#This Row],[report_date]])</f>
        <v>2024</v>
      </c>
      <c r="C2275" s="128">
        <f t="shared" si="99"/>
        <v>8</v>
      </c>
      <c r="D2275" s="136">
        <f t="shared" si="97"/>
        <v>35</v>
      </c>
      <c r="E2275" s="136">
        <f t="shared" si="98"/>
        <v>26</v>
      </c>
      <c r="F2275" s="128" t="s">
        <v>24</v>
      </c>
      <c r="G2275" s="128" t="str">
        <f>VLOOKUP(source[[#This Row],[lending_product_transform]],[3]Mapping!$B$4:$C$37,2,0)</f>
        <v>[Cake] - Cashloan</v>
      </c>
      <c r="H2275" s="128" t="str">
        <f>VLOOKUP(source[[#This Row],[lending_product_transform]],[3]Mapping!$B$3:$D$37,3,0)</f>
        <v>cashloan</v>
      </c>
      <c r="I2275" s="135">
        <v>73000000</v>
      </c>
    </row>
    <row r="2276" spans="1:9" x14ac:dyDescent="0.2">
      <c r="A2276" s="134">
        <v>45530</v>
      </c>
      <c r="B2276" s="135">
        <f>YEAR(source[[#This Row],[report_date]])</f>
        <v>2024</v>
      </c>
      <c r="C2276" s="128">
        <f t="shared" si="99"/>
        <v>8</v>
      </c>
      <c r="D2276" s="136">
        <f t="shared" si="97"/>
        <v>35</v>
      </c>
      <c r="E2276" s="136">
        <f t="shared" si="98"/>
        <v>26</v>
      </c>
      <c r="F2276" s="128" t="s">
        <v>24</v>
      </c>
      <c r="G2276" s="128" t="str">
        <f>VLOOKUP(source[[#This Row],[lending_product_transform]],[3]Mapping!$B$4:$C$37,2,0)</f>
        <v>[Cake] - Cashloan</v>
      </c>
      <c r="H2276" s="128" t="str">
        <f>VLOOKUP(source[[#This Row],[lending_product_transform]],[3]Mapping!$B$3:$D$37,3,0)</f>
        <v>cashloan</v>
      </c>
      <c r="I2276" s="135">
        <v>0</v>
      </c>
    </row>
    <row r="2277" spans="1:9" x14ac:dyDescent="0.2">
      <c r="A2277" s="134">
        <v>45530</v>
      </c>
      <c r="B2277" s="135">
        <f>YEAR(source[[#This Row],[report_date]])</f>
        <v>2024</v>
      </c>
      <c r="C2277" s="128">
        <f t="shared" si="99"/>
        <v>8</v>
      </c>
      <c r="D2277" s="136">
        <f t="shared" si="97"/>
        <v>35</v>
      </c>
      <c r="E2277" s="136">
        <f t="shared" si="98"/>
        <v>26</v>
      </c>
      <c r="F2277" s="128" t="s">
        <v>24</v>
      </c>
      <c r="G2277" s="128" t="str">
        <f>VLOOKUP(source[[#This Row],[lending_product_transform]],[3]Mapping!$B$4:$C$37,2,0)</f>
        <v>[Cake] - Cashloan</v>
      </c>
      <c r="H2277" s="128" t="str">
        <f>VLOOKUP(source[[#This Row],[lending_product_transform]],[3]Mapping!$B$3:$D$37,3,0)</f>
        <v>cashloan</v>
      </c>
      <c r="I2277" s="135">
        <v>197855029</v>
      </c>
    </row>
    <row r="2278" spans="1:9" x14ac:dyDescent="0.2">
      <c r="A2278" s="134">
        <v>45530</v>
      </c>
      <c r="B2278" s="135">
        <f>YEAR(source[[#This Row],[report_date]])</f>
        <v>2024</v>
      </c>
      <c r="C2278" s="128">
        <f t="shared" si="99"/>
        <v>8</v>
      </c>
      <c r="D2278" s="136">
        <f t="shared" si="97"/>
        <v>35</v>
      </c>
      <c r="E2278" s="136">
        <f t="shared" si="98"/>
        <v>26</v>
      </c>
      <c r="F2278" s="128" t="s">
        <v>24</v>
      </c>
      <c r="G2278" s="128" t="str">
        <f>VLOOKUP(source[[#This Row],[lending_product_transform]],[3]Mapping!$B$4:$C$37,2,0)</f>
        <v>[Cake] - Cashloan</v>
      </c>
      <c r="H2278" s="128" t="str">
        <f>VLOOKUP(source[[#This Row],[lending_product_transform]],[3]Mapping!$B$3:$D$37,3,0)</f>
        <v>cashloan</v>
      </c>
      <c r="I2278" s="135">
        <v>2182150000</v>
      </c>
    </row>
    <row r="2279" spans="1:9" x14ac:dyDescent="0.2">
      <c r="A2279" s="134">
        <v>45530</v>
      </c>
      <c r="B2279" s="135">
        <f>YEAR(source[[#This Row],[report_date]])</f>
        <v>2024</v>
      </c>
      <c r="C2279" s="128">
        <f t="shared" si="99"/>
        <v>8</v>
      </c>
      <c r="D2279" s="136">
        <f t="shared" si="97"/>
        <v>35</v>
      </c>
      <c r="E2279" s="136">
        <f t="shared" si="98"/>
        <v>26</v>
      </c>
      <c r="F2279" s="128" t="s">
        <v>24</v>
      </c>
      <c r="G2279" s="128" t="str">
        <f>VLOOKUP(source[[#This Row],[lending_product_transform]],[3]Mapping!$B$4:$C$37,2,0)</f>
        <v>[Cake] - Cashloan</v>
      </c>
      <c r="H2279" s="128" t="str">
        <f>VLOOKUP(source[[#This Row],[lending_product_transform]],[3]Mapping!$B$3:$D$37,3,0)</f>
        <v>cashloan</v>
      </c>
      <c r="I2279" s="135">
        <v>21000000</v>
      </c>
    </row>
    <row r="2280" spans="1:9" x14ac:dyDescent="0.2">
      <c r="A2280" s="134">
        <v>45530</v>
      </c>
      <c r="B2280" s="135">
        <f>YEAR(source[[#This Row],[report_date]])</f>
        <v>2024</v>
      </c>
      <c r="C2280" s="128">
        <f t="shared" si="99"/>
        <v>8</v>
      </c>
      <c r="D2280" s="136">
        <f t="shared" si="97"/>
        <v>35</v>
      </c>
      <c r="E2280" s="136">
        <f t="shared" si="98"/>
        <v>26</v>
      </c>
      <c r="F2280" s="128" t="s">
        <v>24</v>
      </c>
      <c r="G2280" s="128" t="str">
        <f>VLOOKUP(source[[#This Row],[lending_product_transform]],[3]Mapping!$B$4:$C$37,2,0)</f>
        <v>[Cake] - Cashloan</v>
      </c>
      <c r="H2280" s="128" t="str">
        <f>VLOOKUP(source[[#This Row],[lending_product_transform]],[3]Mapping!$B$3:$D$37,3,0)</f>
        <v>cashloan</v>
      </c>
      <c r="I2280" s="135">
        <v>3837000000</v>
      </c>
    </row>
    <row r="2281" spans="1:9" x14ac:dyDescent="0.2">
      <c r="A2281" s="134">
        <v>45530</v>
      </c>
      <c r="B2281" s="135">
        <f>YEAR(source[[#This Row],[report_date]])</f>
        <v>2024</v>
      </c>
      <c r="C2281" s="128">
        <f t="shared" si="99"/>
        <v>8</v>
      </c>
      <c r="D2281" s="136">
        <f t="shared" si="97"/>
        <v>35</v>
      </c>
      <c r="E2281" s="136">
        <f t="shared" si="98"/>
        <v>26</v>
      </c>
      <c r="F2281" s="128" t="s">
        <v>24</v>
      </c>
      <c r="G2281" s="128" t="str">
        <f>VLOOKUP(source[[#This Row],[lending_product_transform]],[3]Mapping!$B$4:$C$37,2,0)</f>
        <v>[Cake] - Cashloan</v>
      </c>
      <c r="H2281" s="128" t="str">
        <f>VLOOKUP(source[[#This Row],[lending_product_transform]],[3]Mapping!$B$3:$D$37,3,0)</f>
        <v>cashloan</v>
      </c>
      <c r="I2281" s="135">
        <v>27263693</v>
      </c>
    </row>
    <row r="2282" spans="1:9" x14ac:dyDescent="0.2">
      <c r="A2282" s="134">
        <v>45530</v>
      </c>
      <c r="B2282" s="135">
        <f>YEAR(source[[#This Row],[report_date]])</f>
        <v>2024</v>
      </c>
      <c r="C2282" s="128">
        <f t="shared" si="99"/>
        <v>8</v>
      </c>
      <c r="D2282" s="136">
        <f t="shared" si="97"/>
        <v>35</v>
      </c>
      <c r="E2282" s="136">
        <f t="shared" si="98"/>
        <v>26</v>
      </c>
      <c r="F2282" s="128" t="s">
        <v>24</v>
      </c>
      <c r="G2282" s="128" t="str">
        <f>VLOOKUP(source[[#This Row],[lending_product_transform]],[3]Mapping!$B$4:$C$37,2,0)</f>
        <v>[Cake] - Cashloan</v>
      </c>
      <c r="H2282" s="128" t="str">
        <f>VLOOKUP(source[[#This Row],[lending_product_transform]],[3]Mapping!$B$3:$D$37,3,0)</f>
        <v>cashloan</v>
      </c>
      <c r="I2282" s="135">
        <v>15971833458</v>
      </c>
    </row>
    <row r="2283" spans="1:9" x14ac:dyDescent="0.2">
      <c r="A2283" s="134">
        <v>45531</v>
      </c>
      <c r="B2283" s="135">
        <f>YEAR(source[[#This Row],[report_date]])</f>
        <v>2024</v>
      </c>
      <c r="C2283" s="128">
        <f t="shared" si="99"/>
        <v>8</v>
      </c>
      <c r="D2283" s="136">
        <f t="shared" si="97"/>
        <v>35</v>
      </c>
      <c r="E2283" s="136">
        <f t="shared" si="98"/>
        <v>27</v>
      </c>
      <c r="F2283" s="128" t="s">
        <v>24</v>
      </c>
      <c r="G2283" s="128" t="str">
        <f>VLOOKUP(source[[#This Row],[lending_product_transform]],[3]Mapping!$B$4:$C$37,2,0)</f>
        <v>[Cake] - Cashloan</v>
      </c>
      <c r="H2283" s="128" t="str">
        <f>VLOOKUP(source[[#This Row],[lending_product_transform]],[3]Mapping!$B$3:$D$37,3,0)</f>
        <v>cashloan</v>
      </c>
      <c r="I2283" s="135">
        <v>70350000</v>
      </c>
    </row>
    <row r="2284" spans="1:9" x14ac:dyDescent="0.2">
      <c r="A2284" s="134">
        <v>45531</v>
      </c>
      <c r="B2284" s="135">
        <f>YEAR(source[[#This Row],[report_date]])</f>
        <v>2024</v>
      </c>
      <c r="C2284" s="128">
        <f t="shared" si="99"/>
        <v>8</v>
      </c>
      <c r="D2284" s="136">
        <f t="shared" si="97"/>
        <v>35</v>
      </c>
      <c r="E2284" s="136">
        <f t="shared" si="98"/>
        <v>27</v>
      </c>
      <c r="F2284" s="128" t="s">
        <v>24</v>
      </c>
      <c r="G2284" s="128" t="str">
        <f>VLOOKUP(source[[#This Row],[lending_product_transform]],[3]Mapping!$B$4:$C$37,2,0)</f>
        <v>[Cake] - Cashloan</v>
      </c>
      <c r="H2284" s="128" t="str">
        <f>VLOOKUP(source[[#This Row],[lending_product_transform]],[3]Mapping!$B$3:$D$37,3,0)</f>
        <v>cashloan</v>
      </c>
      <c r="I2284" s="135">
        <v>2622107807</v>
      </c>
    </row>
    <row r="2285" spans="1:9" x14ac:dyDescent="0.2">
      <c r="A2285" s="134">
        <v>45531</v>
      </c>
      <c r="B2285" s="135">
        <f>YEAR(source[[#This Row],[report_date]])</f>
        <v>2024</v>
      </c>
      <c r="C2285" s="128">
        <f t="shared" si="99"/>
        <v>8</v>
      </c>
      <c r="D2285" s="136">
        <f t="shared" si="97"/>
        <v>35</v>
      </c>
      <c r="E2285" s="136">
        <f t="shared" si="98"/>
        <v>27</v>
      </c>
      <c r="F2285" s="128" t="s">
        <v>24</v>
      </c>
      <c r="G2285" s="128" t="str">
        <f>VLOOKUP(source[[#This Row],[lending_product_transform]],[3]Mapping!$B$4:$C$37,2,0)</f>
        <v>[Cake] - Cashloan</v>
      </c>
      <c r="H2285" s="128" t="str">
        <f>VLOOKUP(source[[#This Row],[lending_product_transform]],[3]Mapping!$B$3:$D$37,3,0)</f>
        <v>cashloan</v>
      </c>
      <c r="I2285" s="135">
        <v>0</v>
      </c>
    </row>
    <row r="2286" spans="1:9" x14ac:dyDescent="0.2">
      <c r="A2286" s="134">
        <v>45531</v>
      </c>
      <c r="B2286" s="135">
        <f>YEAR(source[[#This Row],[report_date]])</f>
        <v>2024</v>
      </c>
      <c r="C2286" s="128">
        <f t="shared" si="99"/>
        <v>8</v>
      </c>
      <c r="D2286" s="136">
        <f t="shared" si="97"/>
        <v>35</v>
      </c>
      <c r="E2286" s="136">
        <f t="shared" si="98"/>
        <v>27</v>
      </c>
      <c r="F2286" s="128" t="s">
        <v>24</v>
      </c>
      <c r="G2286" s="128" t="str">
        <f>VLOOKUP(source[[#This Row],[lending_product_transform]],[3]Mapping!$B$4:$C$37,2,0)</f>
        <v>[Cake] - Cashloan</v>
      </c>
      <c r="H2286" s="128" t="str">
        <f>VLOOKUP(source[[#This Row],[lending_product_transform]],[3]Mapping!$B$3:$D$37,3,0)</f>
        <v>cashloan</v>
      </c>
      <c r="I2286" s="135">
        <v>15322783439</v>
      </c>
    </row>
    <row r="2287" spans="1:9" x14ac:dyDescent="0.2">
      <c r="A2287" s="134">
        <v>45531</v>
      </c>
      <c r="B2287" s="135">
        <f>YEAR(source[[#This Row],[report_date]])</f>
        <v>2024</v>
      </c>
      <c r="C2287" s="128">
        <f t="shared" si="99"/>
        <v>8</v>
      </c>
      <c r="D2287" s="136">
        <f t="shared" si="97"/>
        <v>35</v>
      </c>
      <c r="E2287" s="136">
        <f t="shared" si="98"/>
        <v>27</v>
      </c>
      <c r="F2287" s="128" t="s">
        <v>24</v>
      </c>
      <c r="G2287" s="128" t="str">
        <f>VLOOKUP(source[[#This Row],[lending_product_transform]],[3]Mapping!$B$4:$C$37,2,0)</f>
        <v>[Cake] - Cashloan</v>
      </c>
      <c r="H2287" s="128" t="str">
        <f>VLOOKUP(source[[#This Row],[lending_product_transform]],[3]Mapping!$B$3:$D$37,3,0)</f>
        <v>cashloan</v>
      </c>
      <c r="I2287" s="135">
        <v>6332220000</v>
      </c>
    </row>
    <row r="2288" spans="1:9" x14ac:dyDescent="0.2">
      <c r="A2288" s="134">
        <v>45531</v>
      </c>
      <c r="B2288" s="135">
        <f>YEAR(source[[#This Row],[report_date]])</f>
        <v>2024</v>
      </c>
      <c r="C2288" s="128">
        <f t="shared" si="99"/>
        <v>8</v>
      </c>
      <c r="D2288" s="136">
        <f t="shared" si="97"/>
        <v>35</v>
      </c>
      <c r="E2288" s="136">
        <f t="shared" si="98"/>
        <v>27</v>
      </c>
      <c r="F2288" s="128" t="s">
        <v>24</v>
      </c>
      <c r="G2288" s="128" t="str">
        <f>VLOOKUP(source[[#This Row],[lending_product_transform]],[3]Mapping!$B$4:$C$37,2,0)</f>
        <v>[Cake] - Cashloan</v>
      </c>
      <c r="H2288" s="128" t="str">
        <f>VLOOKUP(source[[#This Row],[lending_product_transform]],[3]Mapping!$B$3:$D$37,3,0)</f>
        <v>cashloan</v>
      </c>
      <c r="I2288" s="135">
        <v>87000000</v>
      </c>
    </row>
    <row r="2289" spans="1:9" x14ac:dyDescent="0.2">
      <c r="A2289" s="134">
        <v>45531</v>
      </c>
      <c r="B2289" s="135">
        <f>YEAR(source[[#This Row],[report_date]])</f>
        <v>2024</v>
      </c>
      <c r="C2289" s="128">
        <f t="shared" si="99"/>
        <v>8</v>
      </c>
      <c r="D2289" s="136">
        <f t="shared" si="97"/>
        <v>35</v>
      </c>
      <c r="E2289" s="136">
        <f t="shared" si="98"/>
        <v>27</v>
      </c>
      <c r="F2289" s="128" t="s">
        <v>24</v>
      </c>
      <c r="G2289" s="128" t="str">
        <f>VLOOKUP(source[[#This Row],[lending_product_transform]],[3]Mapping!$B$4:$C$37,2,0)</f>
        <v>[Cake] - Cashloan</v>
      </c>
      <c r="H2289" s="128" t="str">
        <f>VLOOKUP(source[[#This Row],[lending_product_transform]],[3]Mapping!$B$3:$D$37,3,0)</f>
        <v>cashloan</v>
      </c>
      <c r="I2289" s="135">
        <v>2254120000</v>
      </c>
    </row>
    <row r="2290" spans="1:9" x14ac:dyDescent="0.2">
      <c r="A2290" s="134">
        <v>45531</v>
      </c>
      <c r="B2290" s="135">
        <f>YEAR(source[[#This Row],[report_date]])</f>
        <v>2024</v>
      </c>
      <c r="C2290" s="128">
        <f t="shared" si="99"/>
        <v>8</v>
      </c>
      <c r="D2290" s="136">
        <f t="shared" si="97"/>
        <v>35</v>
      </c>
      <c r="E2290" s="136">
        <f t="shared" si="98"/>
        <v>27</v>
      </c>
      <c r="F2290" s="128" t="s">
        <v>24</v>
      </c>
      <c r="G2290" s="128" t="str">
        <f>VLOOKUP(source[[#This Row],[lending_product_transform]],[3]Mapping!$B$4:$C$37,2,0)</f>
        <v>[Cake] - Cashloan</v>
      </c>
      <c r="H2290" s="128" t="str">
        <f>VLOOKUP(source[[#This Row],[lending_product_transform]],[3]Mapping!$B$3:$D$37,3,0)</f>
        <v>cashloan</v>
      </c>
      <c r="I2290" s="135">
        <v>161645591</v>
      </c>
    </row>
    <row r="2291" spans="1:9" x14ac:dyDescent="0.2">
      <c r="A2291" s="134">
        <v>45531</v>
      </c>
      <c r="B2291" s="135">
        <f>YEAR(source[[#This Row],[report_date]])</f>
        <v>2024</v>
      </c>
      <c r="C2291" s="128">
        <f t="shared" si="99"/>
        <v>8</v>
      </c>
      <c r="D2291" s="136">
        <f t="shared" si="97"/>
        <v>35</v>
      </c>
      <c r="E2291" s="136">
        <f t="shared" si="98"/>
        <v>27</v>
      </c>
      <c r="F2291" s="128" t="s">
        <v>24</v>
      </c>
      <c r="G2291" s="128" t="str">
        <f>VLOOKUP(source[[#This Row],[lending_product_transform]],[3]Mapping!$B$4:$C$37,2,0)</f>
        <v>[Cake] - Cashloan</v>
      </c>
      <c r="H2291" s="128" t="str">
        <f>VLOOKUP(source[[#This Row],[lending_product_transform]],[3]Mapping!$B$3:$D$37,3,0)</f>
        <v>cashloan</v>
      </c>
      <c r="I2291" s="135">
        <v>0</v>
      </c>
    </row>
    <row r="2292" spans="1:9" x14ac:dyDescent="0.2">
      <c r="A2292" s="134">
        <v>45531</v>
      </c>
      <c r="B2292" s="135">
        <f>YEAR(source[[#This Row],[report_date]])</f>
        <v>2024</v>
      </c>
      <c r="C2292" s="128">
        <f t="shared" si="99"/>
        <v>8</v>
      </c>
      <c r="D2292" s="136">
        <f t="shared" si="97"/>
        <v>35</v>
      </c>
      <c r="E2292" s="136">
        <f t="shared" si="98"/>
        <v>27</v>
      </c>
      <c r="F2292" s="128" t="s">
        <v>24</v>
      </c>
      <c r="G2292" s="128" t="str">
        <f>VLOOKUP(source[[#This Row],[lending_product_transform]],[3]Mapping!$B$4:$C$37,2,0)</f>
        <v>[Cake] - Cashloan</v>
      </c>
      <c r="H2292" s="128" t="str">
        <f>VLOOKUP(source[[#This Row],[lending_product_transform]],[3]Mapping!$B$3:$D$37,3,0)</f>
        <v>cashloan</v>
      </c>
      <c r="I2292" s="135">
        <v>0</v>
      </c>
    </row>
    <row r="2293" spans="1:9" x14ac:dyDescent="0.2">
      <c r="A2293" s="134">
        <v>45531</v>
      </c>
      <c r="B2293" s="135">
        <f>YEAR(source[[#This Row],[report_date]])</f>
        <v>2024</v>
      </c>
      <c r="C2293" s="128">
        <f t="shared" si="99"/>
        <v>8</v>
      </c>
      <c r="D2293" s="136">
        <f t="shared" si="97"/>
        <v>35</v>
      </c>
      <c r="E2293" s="136">
        <f t="shared" si="98"/>
        <v>27</v>
      </c>
      <c r="F2293" s="128" t="s">
        <v>24</v>
      </c>
      <c r="G2293" s="128" t="str">
        <f>VLOOKUP(source[[#This Row],[lending_product_transform]],[3]Mapping!$B$4:$C$37,2,0)</f>
        <v>[Cake] - Cashloan</v>
      </c>
      <c r="H2293" s="128" t="str">
        <f>VLOOKUP(source[[#This Row],[lending_product_transform]],[3]Mapping!$B$3:$D$37,3,0)</f>
        <v>cashloan</v>
      </c>
      <c r="I2293" s="135">
        <v>3549500000</v>
      </c>
    </row>
    <row r="2294" spans="1:9" x14ac:dyDescent="0.2">
      <c r="A2294" s="134">
        <v>45531</v>
      </c>
      <c r="B2294" s="135">
        <f>YEAR(source[[#This Row],[report_date]])</f>
        <v>2024</v>
      </c>
      <c r="C2294" s="128">
        <f t="shared" si="99"/>
        <v>8</v>
      </c>
      <c r="D2294" s="136">
        <f t="shared" si="97"/>
        <v>35</v>
      </c>
      <c r="E2294" s="136">
        <f t="shared" si="98"/>
        <v>27</v>
      </c>
      <c r="F2294" s="128" t="s">
        <v>24</v>
      </c>
      <c r="G2294" s="128" t="str">
        <f>VLOOKUP(source[[#This Row],[lending_product_transform]],[3]Mapping!$B$4:$C$37,2,0)</f>
        <v>[Cake] - Cashloan</v>
      </c>
      <c r="H2294" s="128" t="str">
        <f>VLOOKUP(source[[#This Row],[lending_product_transform]],[3]Mapping!$B$3:$D$37,3,0)</f>
        <v>cashloan</v>
      </c>
      <c r="I2294" s="135">
        <v>29590041</v>
      </c>
    </row>
    <row r="2295" spans="1:9" x14ac:dyDescent="0.2">
      <c r="A2295" s="134">
        <v>45531</v>
      </c>
      <c r="B2295" s="135">
        <f>YEAR(source[[#This Row],[report_date]])</f>
        <v>2024</v>
      </c>
      <c r="C2295" s="128">
        <f t="shared" si="99"/>
        <v>8</v>
      </c>
      <c r="D2295" s="136">
        <f t="shared" si="97"/>
        <v>35</v>
      </c>
      <c r="E2295" s="136">
        <f t="shared" si="98"/>
        <v>27</v>
      </c>
      <c r="F2295" s="128" t="s">
        <v>24</v>
      </c>
      <c r="G2295" s="128" t="str">
        <f>VLOOKUP(source[[#This Row],[lending_product_transform]],[3]Mapping!$B$4:$C$37,2,0)</f>
        <v>[Cake] - Cashloan</v>
      </c>
      <c r="H2295" s="128" t="str">
        <f>VLOOKUP(source[[#This Row],[lending_product_transform]],[3]Mapping!$B$3:$D$37,3,0)</f>
        <v>cashloan</v>
      </c>
      <c r="I2295" s="135">
        <v>216250000</v>
      </c>
    </row>
    <row r="2296" spans="1:9" x14ac:dyDescent="0.2">
      <c r="A2296" s="134">
        <v>45532</v>
      </c>
      <c r="B2296" s="135">
        <f>YEAR(source[[#This Row],[report_date]])</f>
        <v>2024</v>
      </c>
      <c r="C2296" s="128">
        <f t="shared" si="99"/>
        <v>8</v>
      </c>
      <c r="D2296" s="136">
        <f t="shared" si="97"/>
        <v>35</v>
      </c>
      <c r="E2296" s="136">
        <f t="shared" si="98"/>
        <v>28</v>
      </c>
      <c r="F2296" s="128" t="s">
        <v>24</v>
      </c>
      <c r="G2296" s="128" t="str">
        <f>VLOOKUP(source[[#This Row],[lending_product_transform]],[3]Mapping!$B$4:$C$37,2,0)</f>
        <v>[Cake] - Cashloan</v>
      </c>
      <c r="H2296" s="128" t="str">
        <f>VLOOKUP(source[[#This Row],[lending_product_transform]],[3]Mapping!$B$3:$D$37,3,0)</f>
        <v>cashloan</v>
      </c>
      <c r="I2296" s="135">
        <v>27649044</v>
      </c>
    </row>
    <row r="2297" spans="1:9" x14ac:dyDescent="0.2">
      <c r="A2297" s="134">
        <v>45532</v>
      </c>
      <c r="B2297" s="135">
        <f>YEAR(source[[#This Row],[report_date]])</f>
        <v>2024</v>
      </c>
      <c r="C2297" s="128">
        <f t="shared" si="99"/>
        <v>8</v>
      </c>
      <c r="D2297" s="136">
        <f t="shared" si="97"/>
        <v>35</v>
      </c>
      <c r="E2297" s="136">
        <f t="shared" si="98"/>
        <v>28</v>
      </c>
      <c r="F2297" s="128" t="s">
        <v>24</v>
      </c>
      <c r="G2297" s="128" t="str">
        <f>VLOOKUP(source[[#This Row],[lending_product_transform]],[3]Mapping!$B$4:$C$37,2,0)</f>
        <v>[Cake] - Cashloan</v>
      </c>
      <c r="H2297" s="128" t="str">
        <f>VLOOKUP(source[[#This Row],[lending_product_transform]],[3]Mapping!$B$3:$D$37,3,0)</f>
        <v>cashloan</v>
      </c>
      <c r="I2297" s="135">
        <v>15471274773</v>
      </c>
    </row>
    <row r="2298" spans="1:9" x14ac:dyDescent="0.2">
      <c r="A2298" s="134">
        <v>45532</v>
      </c>
      <c r="B2298" s="135">
        <f>YEAR(source[[#This Row],[report_date]])</f>
        <v>2024</v>
      </c>
      <c r="C2298" s="128">
        <f t="shared" si="99"/>
        <v>8</v>
      </c>
      <c r="D2298" s="136">
        <f t="shared" si="97"/>
        <v>35</v>
      </c>
      <c r="E2298" s="136">
        <f t="shared" si="98"/>
        <v>28</v>
      </c>
      <c r="F2298" s="128" t="s">
        <v>24</v>
      </c>
      <c r="G2298" s="128" t="str">
        <f>VLOOKUP(source[[#This Row],[lending_product_transform]],[3]Mapping!$B$4:$C$37,2,0)</f>
        <v>[Cake] - Cashloan</v>
      </c>
      <c r="H2298" s="128" t="str">
        <f>VLOOKUP(source[[#This Row],[lending_product_transform]],[3]Mapping!$B$3:$D$37,3,0)</f>
        <v>cashloan</v>
      </c>
      <c r="I2298" s="135">
        <v>159856543</v>
      </c>
    </row>
    <row r="2299" spans="1:9" x14ac:dyDescent="0.2">
      <c r="A2299" s="134">
        <v>45532</v>
      </c>
      <c r="B2299" s="135">
        <f>YEAR(source[[#This Row],[report_date]])</f>
        <v>2024</v>
      </c>
      <c r="C2299" s="128">
        <f t="shared" si="99"/>
        <v>8</v>
      </c>
      <c r="D2299" s="136">
        <f t="shared" si="97"/>
        <v>35</v>
      </c>
      <c r="E2299" s="136">
        <f t="shared" si="98"/>
        <v>28</v>
      </c>
      <c r="F2299" s="128" t="s">
        <v>24</v>
      </c>
      <c r="G2299" s="128" t="str">
        <f>VLOOKUP(source[[#This Row],[lending_product_transform]],[3]Mapping!$B$4:$C$37,2,0)</f>
        <v>[Cake] - Cashloan</v>
      </c>
      <c r="H2299" s="128" t="str">
        <f>VLOOKUP(source[[#This Row],[lending_product_transform]],[3]Mapping!$B$3:$D$37,3,0)</f>
        <v>cashloan</v>
      </c>
      <c r="I2299" s="135">
        <v>29540000</v>
      </c>
    </row>
    <row r="2300" spans="1:9" x14ac:dyDescent="0.2">
      <c r="A2300" s="134">
        <v>45532</v>
      </c>
      <c r="B2300" s="135">
        <f>YEAR(source[[#This Row],[report_date]])</f>
        <v>2024</v>
      </c>
      <c r="C2300" s="128">
        <f t="shared" si="99"/>
        <v>8</v>
      </c>
      <c r="D2300" s="136">
        <f t="shared" si="97"/>
        <v>35</v>
      </c>
      <c r="E2300" s="136">
        <f t="shared" si="98"/>
        <v>28</v>
      </c>
      <c r="F2300" s="128" t="s">
        <v>24</v>
      </c>
      <c r="G2300" s="128" t="str">
        <f>VLOOKUP(source[[#This Row],[lending_product_transform]],[3]Mapping!$B$4:$C$37,2,0)</f>
        <v>[Cake] - Cashloan</v>
      </c>
      <c r="H2300" s="128" t="str">
        <f>VLOOKUP(source[[#This Row],[lending_product_transform]],[3]Mapping!$B$3:$D$37,3,0)</f>
        <v>cashloan</v>
      </c>
      <c r="I2300" s="135">
        <v>2744699186</v>
      </c>
    </row>
    <row r="2301" spans="1:9" x14ac:dyDescent="0.2">
      <c r="A2301" s="134">
        <v>45532</v>
      </c>
      <c r="B2301" s="135">
        <f>YEAR(source[[#This Row],[report_date]])</f>
        <v>2024</v>
      </c>
      <c r="C2301" s="128">
        <f t="shared" si="99"/>
        <v>8</v>
      </c>
      <c r="D2301" s="136">
        <f t="shared" si="97"/>
        <v>35</v>
      </c>
      <c r="E2301" s="136">
        <f t="shared" si="98"/>
        <v>28</v>
      </c>
      <c r="F2301" s="128" t="s">
        <v>24</v>
      </c>
      <c r="G2301" s="128" t="str">
        <f>VLOOKUP(source[[#This Row],[lending_product_transform]],[3]Mapping!$B$4:$C$37,2,0)</f>
        <v>[Cake] - Cashloan</v>
      </c>
      <c r="H2301" s="128" t="str">
        <f>VLOOKUP(source[[#This Row],[lending_product_transform]],[3]Mapping!$B$3:$D$37,3,0)</f>
        <v>cashloan</v>
      </c>
      <c r="I2301" s="135">
        <v>172270000</v>
      </c>
    </row>
    <row r="2302" spans="1:9" x14ac:dyDescent="0.2">
      <c r="A2302" s="134">
        <v>45532</v>
      </c>
      <c r="B2302" s="135">
        <f>YEAR(source[[#This Row],[report_date]])</f>
        <v>2024</v>
      </c>
      <c r="C2302" s="128">
        <f t="shared" si="99"/>
        <v>8</v>
      </c>
      <c r="D2302" s="136">
        <f t="shared" si="97"/>
        <v>35</v>
      </c>
      <c r="E2302" s="136">
        <f t="shared" si="98"/>
        <v>28</v>
      </c>
      <c r="F2302" s="128" t="s">
        <v>24</v>
      </c>
      <c r="G2302" s="128" t="str">
        <f>VLOOKUP(source[[#This Row],[lending_product_transform]],[3]Mapping!$B$4:$C$37,2,0)</f>
        <v>[Cake] - Cashloan</v>
      </c>
      <c r="H2302" s="128" t="str">
        <f>VLOOKUP(source[[#This Row],[lending_product_transform]],[3]Mapping!$B$3:$D$37,3,0)</f>
        <v>cashloan</v>
      </c>
      <c r="I2302" s="135">
        <v>393700000</v>
      </c>
    </row>
    <row r="2303" spans="1:9" x14ac:dyDescent="0.2">
      <c r="A2303" s="134">
        <v>45532</v>
      </c>
      <c r="B2303" s="135">
        <f>YEAR(source[[#This Row],[report_date]])</f>
        <v>2024</v>
      </c>
      <c r="C2303" s="128">
        <f t="shared" si="99"/>
        <v>8</v>
      </c>
      <c r="D2303" s="136">
        <f t="shared" si="97"/>
        <v>35</v>
      </c>
      <c r="E2303" s="136">
        <f t="shared" si="98"/>
        <v>28</v>
      </c>
      <c r="F2303" s="128" t="s">
        <v>24</v>
      </c>
      <c r="G2303" s="128" t="str">
        <f>VLOOKUP(source[[#This Row],[lending_product_transform]],[3]Mapping!$B$4:$C$37,2,0)</f>
        <v>[Cake] - Cashloan</v>
      </c>
      <c r="H2303" s="128" t="str">
        <f>VLOOKUP(source[[#This Row],[lending_product_transform]],[3]Mapping!$B$3:$D$37,3,0)</f>
        <v>cashloan</v>
      </c>
      <c r="I2303" s="135">
        <v>10500000</v>
      </c>
    </row>
    <row r="2304" spans="1:9" x14ac:dyDescent="0.2">
      <c r="A2304" s="134">
        <v>45532</v>
      </c>
      <c r="B2304" s="135">
        <f>YEAR(source[[#This Row],[report_date]])</f>
        <v>2024</v>
      </c>
      <c r="C2304" s="128">
        <f t="shared" si="99"/>
        <v>8</v>
      </c>
      <c r="D2304" s="136">
        <f t="shared" si="97"/>
        <v>35</v>
      </c>
      <c r="E2304" s="136">
        <f t="shared" si="98"/>
        <v>28</v>
      </c>
      <c r="F2304" s="128" t="s">
        <v>24</v>
      </c>
      <c r="G2304" s="128" t="str">
        <f>VLOOKUP(source[[#This Row],[lending_product_transform]],[3]Mapping!$B$4:$C$37,2,0)</f>
        <v>[Cake] - Cashloan</v>
      </c>
      <c r="H2304" s="128" t="str">
        <f>VLOOKUP(source[[#This Row],[lending_product_transform]],[3]Mapping!$B$3:$D$37,3,0)</f>
        <v>cashloan</v>
      </c>
      <c r="I2304" s="135">
        <v>3547500000</v>
      </c>
    </row>
    <row r="2305" spans="1:9" x14ac:dyDescent="0.2">
      <c r="A2305" s="134">
        <v>45532</v>
      </c>
      <c r="B2305" s="135">
        <f>YEAR(source[[#This Row],[report_date]])</f>
        <v>2024</v>
      </c>
      <c r="C2305" s="128">
        <f t="shared" si="99"/>
        <v>8</v>
      </c>
      <c r="D2305" s="136">
        <f t="shared" si="97"/>
        <v>35</v>
      </c>
      <c r="E2305" s="136">
        <f t="shared" si="98"/>
        <v>28</v>
      </c>
      <c r="F2305" s="128" t="s">
        <v>24</v>
      </c>
      <c r="G2305" s="128" t="str">
        <f>VLOOKUP(source[[#This Row],[lending_product_transform]],[3]Mapping!$B$4:$C$37,2,0)</f>
        <v>[Cake] - Cashloan</v>
      </c>
      <c r="H2305" s="128" t="str">
        <f>VLOOKUP(source[[#This Row],[lending_product_transform]],[3]Mapping!$B$3:$D$37,3,0)</f>
        <v>cashloan</v>
      </c>
      <c r="I2305" s="135">
        <v>2214780000</v>
      </c>
    </row>
    <row r="2306" spans="1:9" x14ac:dyDescent="0.2">
      <c r="A2306" s="134">
        <v>45532</v>
      </c>
      <c r="B2306" s="135">
        <f>YEAR(source[[#This Row],[report_date]])</f>
        <v>2024</v>
      </c>
      <c r="C2306" s="128">
        <f t="shared" si="99"/>
        <v>8</v>
      </c>
      <c r="D2306" s="136">
        <f t="shared" si="97"/>
        <v>35</v>
      </c>
      <c r="E2306" s="136">
        <f t="shared" si="98"/>
        <v>28</v>
      </c>
      <c r="F2306" s="128" t="s">
        <v>24</v>
      </c>
      <c r="G2306" s="128" t="str">
        <f>VLOOKUP(source[[#This Row],[lending_product_transform]],[3]Mapping!$B$4:$C$37,2,0)</f>
        <v>[Cake] - Cashloan</v>
      </c>
      <c r="H2306" s="128" t="str">
        <f>VLOOKUP(source[[#This Row],[lending_product_transform]],[3]Mapping!$B$3:$D$37,3,0)</f>
        <v>cashloan</v>
      </c>
      <c r="I2306" s="135">
        <v>64000000</v>
      </c>
    </row>
    <row r="2307" spans="1:9" x14ac:dyDescent="0.2">
      <c r="A2307" s="134">
        <v>45532</v>
      </c>
      <c r="B2307" s="135">
        <f>YEAR(source[[#This Row],[report_date]])</f>
        <v>2024</v>
      </c>
      <c r="C2307" s="128">
        <f t="shared" si="99"/>
        <v>8</v>
      </c>
      <c r="D2307" s="136">
        <f t="shared" ref="D2307:D2370" si="100">WEEKNUM(A2307,2)</f>
        <v>35</v>
      </c>
      <c r="E2307" s="136">
        <f t="shared" ref="E2307:E2370" si="101">DAY(A2307)</f>
        <v>28</v>
      </c>
      <c r="F2307" s="128" t="s">
        <v>24</v>
      </c>
      <c r="G2307" s="128" t="str">
        <f>VLOOKUP(source[[#This Row],[lending_product_transform]],[3]Mapping!$B$4:$C$37,2,0)</f>
        <v>[Cake] - Cashloan</v>
      </c>
      <c r="H2307" s="128" t="str">
        <f>VLOOKUP(source[[#This Row],[lending_product_transform]],[3]Mapping!$B$3:$D$37,3,0)</f>
        <v>cashloan</v>
      </c>
      <c r="I2307" s="135">
        <v>6106780000</v>
      </c>
    </row>
    <row r="2308" spans="1:9" x14ac:dyDescent="0.2">
      <c r="A2308" s="134">
        <v>45532</v>
      </c>
      <c r="B2308" s="135">
        <f>YEAR(source[[#This Row],[report_date]])</f>
        <v>2024</v>
      </c>
      <c r="C2308" s="128">
        <f t="shared" si="99"/>
        <v>8</v>
      </c>
      <c r="D2308" s="136">
        <f t="shared" si="100"/>
        <v>35</v>
      </c>
      <c r="E2308" s="136">
        <f t="shared" si="101"/>
        <v>28</v>
      </c>
      <c r="F2308" s="128" t="s">
        <v>24</v>
      </c>
      <c r="G2308" s="128" t="str">
        <f>VLOOKUP(source[[#This Row],[lending_product_transform]],[3]Mapping!$B$4:$C$37,2,0)</f>
        <v>[Cake] - Cashloan</v>
      </c>
      <c r="H2308" s="128" t="str">
        <f>VLOOKUP(source[[#This Row],[lending_product_transform]],[3]Mapping!$B$3:$D$37,3,0)</f>
        <v>cashloan</v>
      </c>
      <c r="I2308" s="135">
        <v>0</v>
      </c>
    </row>
    <row r="2309" spans="1:9" x14ac:dyDescent="0.2">
      <c r="A2309" s="134">
        <v>45533</v>
      </c>
      <c r="B2309" s="135">
        <f>YEAR(source[[#This Row],[report_date]])</f>
        <v>2024</v>
      </c>
      <c r="C2309" s="128">
        <f t="shared" si="99"/>
        <v>8</v>
      </c>
      <c r="D2309" s="136">
        <f t="shared" si="100"/>
        <v>35</v>
      </c>
      <c r="E2309" s="136">
        <f t="shared" si="101"/>
        <v>29</v>
      </c>
      <c r="F2309" s="128" t="s">
        <v>24</v>
      </c>
      <c r="G2309" s="128" t="str">
        <f>VLOOKUP(source[[#This Row],[lending_product_transform]],[3]Mapping!$B$4:$C$37,2,0)</f>
        <v>[Cake] - Cashloan</v>
      </c>
      <c r="H2309" s="128" t="str">
        <f>VLOOKUP(source[[#This Row],[lending_product_transform]],[3]Mapping!$B$3:$D$37,3,0)</f>
        <v>cashloan</v>
      </c>
      <c r="I2309" s="135">
        <v>15973496530</v>
      </c>
    </row>
    <row r="2310" spans="1:9" x14ac:dyDescent="0.2">
      <c r="A2310" s="134">
        <v>45533</v>
      </c>
      <c r="B2310" s="135">
        <f>YEAR(source[[#This Row],[report_date]])</f>
        <v>2024</v>
      </c>
      <c r="C2310" s="128">
        <f t="shared" si="99"/>
        <v>8</v>
      </c>
      <c r="D2310" s="136">
        <f t="shared" si="100"/>
        <v>35</v>
      </c>
      <c r="E2310" s="136">
        <f t="shared" si="101"/>
        <v>29</v>
      </c>
      <c r="F2310" s="128" t="s">
        <v>24</v>
      </c>
      <c r="G2310" s="128" t="str">
        <f>VLOOKUP(source[[#This Row],[lending_product_transform]],[3]Mapping!$B$4:$C$37,2,0)</f>
        <v>[Cake] - Cashloan</v>
      </c>
      <c r="H2310" s="128" t="str">
        <f>VLOOKUP(source[[#This Row],[lending_product_transform]],[3]Mapping!$B$3:$D$37,3,0)</f>
        <v>cashloan</v>
      </c>
      <c r="I2310" s="135">
        <v>43000000</v>
      </c>
    </row>
    <row r="2311" spans="1:9" x14ac:dyDescent="0.2">
      <c r="A2311" s="134">
        <v>45533</v>
      </c>
      <c r="B2311" s="135">
        <f>YEAR(source[[#This Row],[report_date]])</f>
        <v>2024</v>
      </c>
      <c r="C2311" s="128">
        <f t="shared" si="99"/>
        <v>8</v>
      </c>
      <c r="D2311" s="136">
        <f t="shared" si="100"/>
        <v>35</v>
      </c>
      <c r="E2311" s="136">
        <f t="shared" si="101"/>
        <v>29</v>
      </c>
      <c r="F2311" s="128" t="s">
        <v>24</v>
      </c>
      <c r="G2311" s="128" t="str">
        <f>VLOOKUP(source[[#This Row],[lending_product_transform]],[3]Mapping!$B$4:$C$37,2,0)</f>
        <v>[Cake] - Cashloan</v>
      </c>
      <c r="H2311" s="128" t="str">
        <f>VLOOKUP(source[[#This Row],[lending_product_transform]],[3]Mapping!$B$3:$D$37,3,0)</f>
        <v>cashloan</v>
      </c>
      <c r="I2311" s="135">
        <v>163456705</v>
      </c>
    </row>
    <row r="2312" spans="1:9" x14ac:dyDescent="0.2">
      <c r="A2312" s="134">
        <v>45533</v>
      </c>
      <c r="B2312" s="135">
        <f>YEAR(source[[#This Row],[report_date]])</f>
        <v>2024</v>
      </c>
      <c r="C2312" s="128">
        <f t="shared" si="99"/>
        <v>8</v>
      </c>
      <c r="D2312" s="136">
        <f t="shared" si="100"/>
        <v>35</v>
      </c>
      <c r="E2312" s="136">
        <f t="shared" si="101"/>
        <v>29</v>
      </c>
      <c r="F2312" s="128" t="s">
        <v>24</v>
      </c>
      <c r="G2312" s="128" t="str">
        <f>VLOOKUP(source[[#This Row],[lending_product_transform]],[3]Mapping!$B$4:$C$37,2,0)</f>
        <v>[Cake] - Cashloan</v>
      </c>
      <c r="H2312" s="128" t="str">
        <f>VLOOKUP(source[[#This Row],[lending_product_transform]],[3]Mapping!$B$3:$D$37,3,0)</f>
        <v>cashloan</v>
      </c>
      <c r="I2312" s="135">
        <v>3108274555</v>
      </c>
    </row>
    <row r="2313" spans="1:9" x14ac:dyDescent="0.2">
      <c r="A2313" s="134">
        <v>45533</v>
      </c>
      <c r="B2313" s="135">
        <f>YEAR(source[[#This Row],[report_date]])</f>
        <v>2024</v>
      </c>
      <c r="C2313" s="128">
        <f t="shared" si="99"/>
        <v>8</v>
      </c>
      <c r="D2313" s="136">
        <f t="shared" si="100"/>
        <v>35</v>
      </c>
      <c r="E2313" s="136">
        <f t="shared" si="101"/>
        <v>29</v>
      </c>
      <c r="F2313" s="128" t="s">
        <v>24</v>
      </c>
      <c r="G2313" s="128" t="str">
        <f>VLOOKUP(source[[#This Row],[lending_product_transform]],[3]Mapping!$B$4:$C$37,2,0)</f>
        <v>[Cake] - Cashloan</v>
      </c>
      <c r="H2313" s="128" t="str">
        <f>VLOOKUP(source[[#This Row],[lending_product_transform]],[3]Mapping!$B$3:$D$37,3,0)</f>
        <v>cashloan</v>
      </c>
      <c r="I2313" s="135">
        <v>6015420000</v>
      </c>
    </row>
    <row r="2314" spans="1:9" x14ac:dyDescent="0.2">
      <c r="A2314" s="134">
        <v>45533</v>
      </c>
      <c r="B2314" s="135">
        <f>YEAR(source[[#This Row],[report_date]])</f>
        <v>2024</v>
      </c>
      <c r="C2314" s="128">
        <f t="shared" si="99"/>
        <v>8</v>
      </c>
      <c r="D2314" s="136">
        <f t="shared" si="100"/>
        <v>35</v>
      </c>
      <c r="E2314" s="136">
        <f t="shared" si="101"/>
        <v>29</v>
      </c>
      <c r="F2314" s="128" t="s">
        <v>24</v>
      </c>
      <c r="G2314" s="128" t="str">
        <f>VLOOKUP(source[[#This Row],[lending_product_transform]],[3]Mapping!$B$4:$C$37,2,0)</f>
        <v>[Cake] - Cashloan</v>
      </c>
      <c r="H2314" s="128" t="str">
        <f>VLOOKUP(source[[#This Row],[lending_product_transform]],[3]Mapping!$B$3:$D$37,3,0)</f>
        <v>cashloan</v>
      </c>
      <c r="I2314" s="135">
        <v>6420000</v>
      </c>
    </row>
    <row r="2315" spans="1:9" x14ac:dyDescent="0.2">
      <c r="A2315" s="134">
        <v>45533</v>
      </c>
      <c r="B2315" s="135">
        <f>YEAR(source[[#This Row],[report_date]])</f>
        <v>2024</v>
      </c>
      <c r="C2315" s="128">
        <f t="shared" si="99"/>
        <v>8</v>
      </c>
      <c r="D2315" s="136">
        <f t="shared" si="100"/>
        <v>35</v>
      </c>
      <c r="E2315" s="136">
        <f t="shared" si="101"/>
        <v>29</v>
      </c>
      <c r="F2315" s="128" t="s">
        <v>24</v>
      </c>
      <c r="G2315" s="128" t="str">
        <f>VLOOKUP(source[[#This Row],[lending_product_transform]],[3]Mapping!$B$4:$C$37,2,0)</f>
        <v>[Cake] - Cashloan</v>
      </c>
      <c r="H2315" s="128" t="str">
        <f>VLOOKUP(source[[#This Row],[lending_product_transform]],[3]Mapping!$B$3:$D$37,3,0)</f>
        <v>cashloan</v>
      </c>
      <c r="I2315" s="135">
        <v>23255270</v>
      </c>
    </row>
    <row r="2316" spans="1:9" x14ac:dyDescent="0.2">
      <c r="A2316" s="134">
        <v>45533</v>
      </c>
      <c r="B2316" s="135">
        <f>YEAR(source[[#This Row],[report_date]])</f>
        <v>2024</v>
      </c>
      <c r="C2316" s="128">
        <f t="shared" si="99"/>
        <v>8</v>
      </c>
      <c r="D2316" s="136">
        <f t="shared" si="100"/>
        <v>35</v>
      </c>
      <c r="E2316" s="136">
        <f t="shared" si="101"/>
        <v>29</v>
      </c>
      <c r="F2316" s="128" t="s">
        <v>24</v>
      </c>
      <c r="G2316" s="128" t="str">
        <f>VLOOKUP(source[[#This Row],[lending_product_transform]],[3]Mapping!$B$4:$C$37,2,0)</f>
        <v>[Cake] - Cashloan</v>
      </c>
      <c r="H2316" s="128" t="str">
        <f>VLOOKUP(source[[#This Row],[lending_product_transform]],[3]Mapping!$B$3:$D$37,3,0)</f>
        <v>cashloan</v>
      </c>
      <c r="I2316" s="135">
        <v>255450000</v>
      </c>
    </row>
    <row r="2317" spans="1:9" x14ac:dyDescent="0.2">
      <c r="A2317" s="134">
        <v>45533</v>
      </c>
      <c r="B2317" s="135">
        <f>YEAR(source[[#This Row],[report_date]])</f>
        <v>2024</v>
      </c>
      <c r="C2317" s="128">
        <f t="shared" si="99"/>
        <v>8</v>
      </c>
      <c r="D2317" s="136">
        <f t="shared" si="100"/>
        <v>35</v>
      </c>
      <c r="E2317" s="136">
        <f t="shared" si="101"/>
        <v>29</v>
      </c>
      <c r="F2317" s="128" t="s">
        <v>24</v>
      </c>
      <c r="G2317" s="128" t="str">
        <f>VLOOKUP(source[[#This Row],[lending_product_transform]],[3]Mapping!$B$4:$C$37,2,0)</f>
        <v>[Cake] - Cashloan</v>
      </c>
      <c r="H2317" s="128" t="str">
        <f>VLOOKUP(source[[#This Row],[lending_product_transform]],[3]Mapping!$B$3:$D$37,3,0)</f>
        <v>cashloan</v>
      </c>
      <c r="I2317" s="135">
        <v>79180000</v>
      </c>
    </row>
    <row r="2318" spans="1:9" x14ac:dyDescent="0.2">
      <c r="A2318" s="134">
        <v>45533</v>
      </c>
      <c r="B2318" s="135">
        <f>YEAR(source[[#This Row],[report_date]])</f>
        <v>2024</v>
      </c>
      <c r="C2318" s="128">
        <f t="shared" si="99"/>
        <v>8</v>
      </c>
      <c r="D2318" s="136">
        <f t="shared" si="100"/>
        <v>35</v>
      </c>
      <c r="E2318" s="136">
        <f t="shared" si="101"/>
        <v>29</v>
      </c>
      <c r="F2318" s="128" t="s">
        <v>24</v>
      </c>
      <c r="G2318" s="128" t="str">
        <f>VLOOKUP(source[[#This Row],[lending_product_transform]],[3]Mapping!$B$4:$C$37,2,0)</f>
        <v>[Cake] - Cashloan</v>
      </c>
      <c r="H2318" s="128" t="str">
        <f>VLOOKUP(source[[#This Row],[lending_product_transform]],[3]Mapping!$B$3:$D$37,3,0)</f>
        <v>cashloan</v>
      </c>
      <c r="I2318" s="135">
        <v>2364790000</v>
      </c>
    </row>
    <row r="2319" spans="1:9" x14ac:dyDescent="0.2">
      <c r="A2319" s="134">
        <v>45533</v>
      </c>
      <c r="B2319" s="135">
        <f>YEAR(source[[#This Row],[report_date]])</f>
        <v>2024</v>
      </c>
      <c r="C2319" s="128">
        <f t="shared" si="99"/>
        <v>8</v>
      </c>
      <c r="D2319" s="136">
        <f t="shared" si="100"/>
        <v>35</v>
      </c>
      <c r="E2319" s="136">
        <f t="shared" si="101"/>
        <v>29</v>
      </c>
      <c r="F2319" s="128" t="s">
        <v>24</v>
      </c>
      <c r="G2319" s="128" t="str">
        <f>VLOOKUP(source[[#This Row],[lending_product_transform]],[3]Mapping!$B$4:$C$37,2,0)</f>
        <v>[Cake] - Cashloan</v>
      </c>
      <c r="H2319" s="128" t="str">
        <f>VLOOKUP(source[[#This Row],[lending_product_transform]],[3]Mapping!$B$3:$D$37,3,0)</f>
        <v>cashloan</v>
      </c>
      <c r="I2319" s="135">
        <v>3873000000</v>
      </c>
    </row>
    <row r="2320" spans="1:9" x14ac:dyDescent="0.2">
      <c r="A2320" s="134">
        <v>45533</v>
      </c>
      <c r="B2320" s="135">
        <f>YEAR(source[[#This Row],[report_date]])</f>
        <v>2024</v>
      </c>
      <c r="C2320" s="128">
        <f t="shared" si="99"/>
        <v>8</v>
      </c>
      <c r="D2320" s="136">
        <f t="shared" si="100"/>
        <v>35</v>
      </c>
      <c r="E2320" s="136">
        <f t="shared" si="101"/>
        <v>29</v>
      </c>
      <c r="F2320" s="128" t="s">
        <v>24</v>
      </c>
      <c r="G2320" s="128" t="str">
        <f>VLOOKUP(source[[#This Row],[lending_product_transform]],[3]Mapping!$B$4:$C$37,2,0)</f>
        <v>[Cake] - Cashloan</v>
      </c>
      <c r="H2320" s="128" t="str">
        <f>VLOOKUP(source[[#This Row],[lending_product_transform]],[3]Mapping!$B$3:$D$37,3,0)</f>
        <v>cashloan</v>
      </c>
      <c r="I2320" s="135">
        <v>0</v>
      </c>
    </row>
    <row r="2321" spans="1:9" x14ac:dyDescent="0.2">
      <c r="A2321" s="134">
        <v>45533</v>
      </c>
      <c r="B2321" s="135">
        <f>YEAR(source[[#This Row],[report_date]])</f>
        <v>2024</v>
      </c>
      <c r="C2321" s="128">
        <f t="shared" si="99"/>
        <v>8</v>
      </c>
      <c r="D2321" s="136">
        <f t="shared" si="100"/>
        <v>35</v>
      </c>
      <c r="E2321" s="136">
        <f t="shared" si="101"/>
        <v>29</v>
      </c>
      <c r="F2321" s="128" t="s">
        <v>24</v>
      </c>
      <c r="G2321" s="128" t="str">
        <f>VLOOKUP(source[[#This Row],[lending_product_transform]],[3]Mapping!$B$4:$C$37,2,0)</f>
        <v>[Cake] - Cashloan</v>
      </c>
      <c r="H2321" s="128" t="str">
        <f>VLOOKUP(source[[#This Row],[lending_product_transform]],[3]Mapping!$B$3:$D$37,3,0)</f>
        <v>cashloan</v>
      </c>
      <c r="I2321" s="135">
        <v>41250000</v>
      </c>
    </row>
    <row r="2322" spans="1:9" x14ac:dyDescent="0.2">
      <c r="A2322" s="134">
        <v>45534</v>
      </c>
      <c r="B2322" s="135">
        <f>YEAR(source[[#This Row],[report_date]])</f>
        <v>2024</v>
      </c>
      <c r="C2322" s="128">
        <f t="shared" si="99"/>
        <v>8</v>
      </c>
      <c r="D2322" s="136">
        <f t="shared" si="100"/>
        <v>35</v>
      </c>
      <c r="E2322" s="136">
        <f t="shared" si="101"/>
        <v>30</v>
      </c>
      <c r="F2322" s="128" t="s">
        <v>24</v>
      </c>
      <c r="G2322" s="128" t="str">
        <f>VLOOKUP(source[[#This Row],[lending_product_transform]],[3]Mapping!$B$4:$C$37,2,0)</f>
        <v>[Cake] - Cashloan</v>
      </c>
      <c r="H2322" s="128" t="str">
        <f>VLOOKUP(source[[#This Row],[lending_product_transform]],[3]Mapping!$B$3:$D$37,3,0)</f>
        <v>cashloan</v>
      </c>
      <c r="I2322" s="135">
        <v>103000000</v>
      </c>
    </row>
    <row r="2323" spans="1:9" x14ac:dyDescent="0.2">
      <c r="A2323" s="134">
        <v>45534</v>
      </c>
      <c r="B2323" s="135">
        <f>YEAR(source[[#This Row],[report_date]])</f>
        <v>2024</v>
      </c>
      <c r="C2323" s="128">
        <f t="shared" si="99"/>
        <v>8</v>
      </c>
      <c r="D2323" s="136">
        <f t="shared" si="100"/>
        <v>35</v>
      </c>
      <c r="E2323" s="136">
        <f t="shared" si="101"/>
        <v>30</v>
      </c>
      <c r="F2323" s="128" t="s">
        <v>24</v>
      </c>
      <c r="G2323" s="128" t="str">
        <f>VLOOKUP(source[[#This Row],[lending_product_transform]],[3]Mapping!$B$4:$C$37,2,0)</f>
        <v>[Cake] - Cashloan</v>
      </c>
      <c r="H2323" s="128" t="str">
        <f>VLOOKUP(source[[#This Row],[lending_product_transform]],[3]Mapping!$B$3:$D$37,3,0)</f>
        <v>cashloan</v>
      </c>
      <c r="I2323" s="135">
        <v>190906204</v>
      </c>
    </row>
    <row r="2324" spans="1:9" x14ac:dyDescent="0.2">
      <c r="A2324" s="134">
        <v>45534</v>
      </c>
      <c r="B2324" s="135">
        <f>YEAR(source[[#This Row],[report_date]])</f>
        <v>2024</v>
      </c>
      <c r="C2324" s="128">
        <f t="shared" si="99"/>
        <v>8</v>
      </c>
      <c r="D2324" s="136">
        <f t="shared" si="100"/>
        <v>35</v>
      </c>
      <c r="E2324" s="136">
        <f t="shared" si="101"/>
        <v>30</v>
      </c>
      <c r="F2324" s="128" t="s">
        <v>24</v>
      </c>
      <c r="G2324" s="128" t="str">
        <f>VLOOKUP(source[[#This Row],[lending_product_transform]],[3]Mapping!$B$4:$C$37,2,0)</f>
        <v>[Cake] - Cashloan</v>
      </c>
      <c r="H2324" s="128" t="str">
        <f>VLOOKUP(source[[#This Row],[lending_product_transform]],[3]Mapping!$B$3:$D$37,3,0)</f>
        <v>cashloan</v>
      </c>
      <c r="I2324" s="135">
        <v>4291500000</v>
      </c>
    </row>
    <row r="2325" spans="1:9" x14ac:dyDescent="0.2">
      <c r="A2325" s="134">
        <v>45534</v>
      </c>
      <c r="B2325" s="135">
        <f>YEAR(source[[#This Row],[report_date]])</f>
        <v>2024</v>
      </c>
      <c r="C2325" s="128">
        <f t="shared" ref="C2325:C2388" si="102">MONTH(A2325)</f>
        <v>8</v>
      </c>
      <c r="D2325" s="136">
        <f t="shared" si="100"/>
        <v>35</v>
      </c>
      <c r="E2325" s="136">
        <f t="shared" si="101"/>
        <v>30</v>
      </c>
      <c r="F2325" s="128" t="s">
        <v>24</v>
      </c>
      <c r="G2325" s="128" t="str">
        <f>VLOOKUP(source[[#This Row],[lending_product_transform]],[3]Mapping!$B$4:$C$37,2,0)</f>
        <v>[Cake] - Cashloan</v>
      </c>
      <c r="H2325" s="128" t="str">
        <f>VLOOKUP(source[[#This Row],[lending_product_transform]],[3]Mapping!$B$3:$D$37,3,0)</f>
        <v>cashloan</v>
      </c>
      <c r="I2325" s="135">
        <v>6435150000</v>
      </c>
    </row>
    <row r="2326" spans="1:9" x14ac:dyDescent="0.2">
      <c r="A2326" s="134">
        <v>45534</v>
      </c>
      <c r="B2326" s="135">
        <f>YEAR(source[[#This Row],[report_date]])</f>
        <v>2024</v>
      </c>
      <c r="C2326" s="128">
        <f t="shared" si="102"/>
        <v>8</v>
      </c>
      <c r="D2326" s="136">
        <f t="shared" si="100"/>
        <v>35</v>
      </c>
      <c r="E2326" s="136">
        <f t="shared" si="101"/>
        <v>30</v>
      </c>
      <c r="F2326" s="128" t="s">
        <v>24</v>
      </c>
      <c r="G2326" s="128" t="str">
        <f>VLOOKUP(source[[#This Row],[lending_product_transform]],[3]Mapping!$B$4:$C$37,2,0)</f>
        <v>[Cake] - Cashloan</v>
      </c>
      <c r="H2326" s="128" t="str">
        <f>VLOOKUP(source[[#This Row],[lending_product_transform]],[3]Mapping!$B$3:$D$37,3,0)</f>
        <v>cashloan</v>
      </c>
      <c r="I2326" s="135">
        <v>2183250000</v>
      </c>
    </row>
    <row r="2327" spans="1:9" x14ac:dyDescent="0.2">
      <c r="A2327" s="134">
        <v>45534</v>
      </c>
      <c r="B2327" s="135">
        <f>YEAR(source[[#This Row],[report_date]])</f>
        <v>2024</v>
      </c>
      <c r="C2327" s="128">
        <f t="shared" si="102"/>
        <v>8</v>
      </c>
      <c r="D2327" s="136">
        <f t="shared" si="100"/>
        <v>35</v>
      </c>
      <c r="E2327" s="136">
        <f t="shared" si="101"/>
        <v>30</v>
      </c>
      <c r="F2327" s="128" t="s">
        <v>24</v>
      </c>
      <c r="G2327" s="128" t="str">
        <f>VLOOKUP(source[[#This Row],[lending_product_transform]],[3]Mapping!$B$4:$C$37,2,0)</f>
        <v>[Cake] - Cashloan</v>
      </c>
      <c r="H2327" s="128" t="str">
        <f>VLOOKUP(source[[#This Row],[lending_product_transform]],[3]Mapping!$B$3:$D$37,3,0)</f>
        <v>cashloan</v>
      </c>
      <c r="I2327" s="135">
        <v>62060000</v>
      </c>
    </row>
    <row r="2328" spans="1:9" x14ac:dyDescent="0.2">
      <c r="A2328" s="134">
        <v>45534</v>
      </c>
      <c r="B2328" s="135">
        <f>YEAR(source[[#This Row],[report_date]])</f>
        <v>2024</v>
      </c>
      <c r="C2328" s="128">
        <f t="shared" si="102"/>
        <v>8</v>
      </c>
      <c r="D2328" s="136">
        <f t="shared" si="100"/>
        <v>35</v>
      </c>
      <c r="E2328" s="136">
        <f t="shared" si="101"/>
        <v>30</v>
      </c>
      <c r="F2328" s="128" t="s">
        <v>24</v>
      </c>
      <c r="G2328" s="128" t="str">
        <f>VLOOKUP(source[[#This Row],[lending_product_transform]],[3]Mapping!$B$4:$C$37,2,0)</f>
        <v>[Cake] - Cashloan</v>
      </c>
      <c r="H2328" s="128" t="str">
        <f>VLOOKUP(source[[#This Row],[lending_product_transform]],[3]Mapping!$B$3:$D$37,3,0)</f>
        <v>cashloan</v>
      </c>
      <c r="I2328" s="135">
        <v>0</v>
      </c>
    </row>
    <row r="2329" spans="1:9" x14ac:dyDescent="0.2">
      <c r="A2329" s="134">
        <v>45534</v>
      </c>
      <c r="B2329" s="135">
        <f>YEAR(source[[#This Row],[report_date]])</f>
        <v>2024</v>
      </c>
      <c r="C2329" s="128">
        <f t="shared" si="102"/>
        <v>8</v>
      </c>
      <c r="D2329" s="136">
        <f t="shared" si="100"/>
        <v>35</v>
      </c>
      <c r="E2329" s="136">
        <f t="shared" si="101"/>
        <v>30</v>
      </c>
      <c r="F2329" s="128" t="s">
        <v>24</v>
      </c>
      <c r="G2329" s="128" t="str">
        <f>VLOOKUP(source[[#This Row],[lending_product_transform]],[3]Mapping!$B$4:$C$37,2,0)</f>
        <v>[Cake] - Cashloan</v>
      </c>
      <c r="H2329" s="128" t="str">
        <f>VLOOKUP(source[[#This Row],[lending_product_transform]],[3]Mapping!$B$3:$D$37,3,0)</f>
        <v>cashloan</v>
      </c>
      <c r="I2329" s="135">
        <v>36740776</v>
      </c>
    </row>
    <row r="2330" spans="1:9" x14ac:dyDescent="0.2">
      <c r="A2330" s="134">
        <v>45534</v>
      </c>
      <c r="B2330" s="135">
        <f>YEAR(source[[#This Row],[report_date]])</f>
        <v>2024</v>
      </c>
      <c r="C2330" s="128">
        <f t="shared" si="102"/>
        <v>8</v>
      </c>
      <c r="D2330" s="136">
        <f t="shared" si="100"/>
        <v>35</v>
      </c>
      <c r="E2330" s="136">
        <f t="shared" si="101"/>
        <v>30</v>
      </c>
      <c r="F2330" s="128" t="s">
        <v>24</v>
      </c>
      <c r="G2330" s="128" t="str">
        <f>VLOOKUP(source[[#This Row],[lending_product_transform]],[3]Mapping!$B$4:$C$37,2,0)</f>
        <v>[Cake] - Cashloan</v>
      </c>
      <c r="H2330" s="128" t="str">
        <f>VLOOKUP(source[[#This Row],[lending_product_transform]],[3]Mapping!$B$3:$D$37,3,0)</f>
        <v>cashloan</v>
      </c>
      <c r="I2330" s="135">
        <v>126000000</v>
      </c>
    </row>
    <row r="2331" spans="1:9" x14ac:dyDescent="0.2">
      <c r="A2331" s="134">
        <v>45534</v>
      </c>
      <c r="B2331" s="135">
        <f>YEAR(source[[#This Row],[report_date]])</f>
        <v>2024</v>
      </c>
      <c r="C2331" s="128">
        <f t="shared" si="102"/>
        <v>8</v>
      </c>
      <c r="D2331" s="136">
        <f t="shared" si="100"/>
        <v>35</v>
      </c>
      <c r="E2331" s="136">
        <f t="shared" si="101"/>
        <v>30</v>
      </c>
      <c r="F2331" s="128" t="s">
        <v>24</v>
      </c>
      <c r="G2331" s="128" t="str">
        <f>VLOOKUP(source[[#This Row],[lending_product_transform]],[3]Mapping!$B$4:$C$37,2,0)</f>
        <v>[Cake] - Cashloan</v>
      </c>
      <c r="H2331" s="128" t="str">
        <f>VLOOKUP(source[[#This Row],[lending_product_transform]],[3]Mapping!$B$3:$D$37,3,0)</f>
        <v>cashloan</v>
      </c>
      <c r="I2331" s="135">
        <v>3435083083</v>
      </c>
    </row>
    <row r="2332" spans="1:9" x14ac:dyDescent="0.2">
      <c r="A2332" s="134">
        <v>45534</v>
      </c>
      <c r="B2332" s="135">
        <f>YEAR(source[[#This Row],[report_date]])</f>
        <v>2024</v>
      </c>
      <c r="C2332" s="128">
        <f t="shared" si="102"/>
        <v>8</v>
      </c>
      <c r="D2332" s="136">
        <f t="shared" si="100"/>
        <v>35</v>
      </c>
      <c r="E2332" s="136">
        <f t="shared" si="101"/>
        <v>30</v>
      </c>
      <c r="F2332" s="128" t="s">
        <v>24</v>
      </c>
      <c r="G2332" s="128" t="str">
        <f>VLOOKUP(source[[#This Row],[lending_product_transform]],[3]Mapping!$B$4:$C$37,2,0)</f>
        <v>[Cake] - Cashloan</v>
      </c>
      <c r="H2332" s="128" t="str">
        <f>VLOOKUP(source[[#This Row],[lending_product_transform]],[3]Mapping!$B$3:$D$37,3,0)</f>
        <v>cashloan</v>
      </c>
      <c r="I2332" s="135">
        <v>16906860063</v>
      </c>
    </row>
    <row r="2333" spans="1:9" x14ac:dyDescent="0.2">
      <c r="A2333" s="134">
        <v>45534</v>
      </c>
      <c r="B2333" s="135">
        <f>YEAR(source[[#This Row],[report_date]])</f>
        <v>2024</v>
      </c>
      <c r="C2333" s="128">
        <f t="shared" si="102"/>
        <v>8</v>
      </c>
      <c r="D2333" s="136">
        <f t="shared" si="100"/>
        <v>35</v>
      </c>
      <c r="E2333" s="136">
        <f t="shared" si="101"/>
        <v>30</v>
      </c>
      <c r="F2333" s="128" t="s">
        <v>24</v>
      </c>
      <c r="G2333" s="128" t="str">
        <f>VLOOKUP(source[[#This Row],[lending_product_transform]],[3]Mapping!$B$4:$C$37,2,0)</f>
        <v>[Cake] - Cashloan</v>
      </c>
      <c r="H2333" s="128" t="str">
        <f>VLOOKUP(source[[#This Row],[lending_product_transform]],[3]Mapping!$B$3:$D$37,3,0)</f>
        <v>cashloan</v>
      </c>
      <c r="I2333" s="135">
        <v>36750000</v>
      </c>
    </row>
    <row r="2334" spans="1:9" x14ac:dyDescent="0.2">
      <c r="A2334" s="134">
        <v>45534</v>
      </c>
      <c r="B2334" s="135">
        <f>YEAR(source[[#This Row],[report_date]])</f>
        <v>2024</v>
      </c>
      <c r="C2334" s="128">
        <f t="shared" si="102"/>
        <v>8</v>
      </c>
      <c r="D2334" s="136">
        <f t="shared" si="100"/>
        <v>35</v>
      </c>
      <c r="E2334" s="136">
        <f t="shared" si="101"/>
        <v>30</v>
      </c>
      <c r="F2334" s="128" t="s">
        <v>24</v>
      </c>
      <c r="G2334" s="128" t="str">
        <f>VLOOKUP(source[[#This Row],[lending_product_transform]],[3]Mapping!$B$4:$C$37,2,0)</f>
        <v>[Cake] - Cashloan</v>
      </c>
      <c r="H2334" s="128" t="str">
        <f>VLOOKUP(source[[#This Row],[lending_product_transform]],[3]Mapping!$B$3:$D$37,3,0)</f>
        <v>cashloan</v>
      </c>
      <c r="I2334" s="135">
        <v>6420000</v>
      </c>
    </row>
    <row r="2335" spans="1:9" x14ac:dyDescent="0.2">
      <c r="A2335" s="134">
        <v>45535</v>
      </c>
      <c r="B2335" s="135">
        <f>YEAR(source[[#This Row],[report_date]])</f>
        <v>2024</v>
      </c>
      <c r="C2335" s="128">
        <f t="shared" si="102"/>
        <v>8</v>
      </c>
      <c r="D2335" s="136">
        <f t="shared" si="100"/>
        <v>35</v>
      </c>
      <c r="E2335" s="136">
        <f t="shared" si="101"/>
        <v>31</v>
      </c>
      <c r="F2335" s="128" t="s">
        <v>24</v>
      </c>
      <c r="G2335" s="128" t="str">
        <f>VLOOKUP(source[[#This Row],[lending_product_transform]],[3]Mapping!$B$4:$C$37,2,0)</f>
        <v>[Cake] - Cashloan</v>
      </c>
      <c r="H2335" s="128" t="str">
        <f>VLOOKUP(source[[#This Row],[lending_product_transform]],[3]Mapping!$B$3:$D$37,3,0)</f>
        <v>cashloan</v>
      </c>
      <c r="I2335" s="135">
        <v>0</v>
      </c>
    </row>
    <row r="2336" spans="1:9" x14ac:dyDescent="0.2">
      <c r="A2336" s="134">
        <v>45535</v>
      </c>
      <c r="B2336" s="135">
        <f>YEAR(source[[#This Row],[report_date]])</f>
        <v>2024</v>
      </c>
      <c r="C2336" s="128">
        <f t="shared" si="102"/>
        <v>8</v>
      </c>
      <c r="D2336" s="136">
        <f t="shared" si="100"/>
        <v>35</v>
      </c>
      <c r="E2336" s="136">
        <f t="shared" si="101"/>
        <v>31</v>
      </c>
      <c r="F2336" s="128" t="s">
        <v>24</v>
      </c>
      <c r="G2336" s="128" t="str">
        <f>VLOOKUP(source[[#This Row],[lending_product_transform]],[3]Mapping!$B$4:$C$37,2,0)</f>
        <v>[Cake] - Cashloan</v>
      </c>
      <c r="H2336" s="128" t="str">
        <f>VLOOKUP(source[[#This Row],[lending_product_transform]],[3]Mapping!$B$3:$D$37,3,0)</f>
        <v>cashloan</v>
      </c>
      <c r="I2336" s="135">
        <v>5634400000</v>
      </c>
    </row>
    <row r="2337" spans="1:9" x14ac:dyDescent="0.2">
      <c r="A2337" s="134">
        <v>45535</v>
      </c>
      <c r="B2337" s="135">
        <f>YEAR(source[[#This Row],[report_date]])</f>
        <v>2024</v>
      </c>
      <c r="C2337" s="128">
        <f t="shared" si="102"/>
        <v>8</v>
      </c>
      <c r="D2337" s="136">
        <f t="shared" si="100"/>
        <v>35</v>
      </c>
      <c r="E2337" s="136">
        <f t="shared" si="101"/>
        <v>31</v>
      </c>
      <c r="F2337" s="128" t="s">
        <v>24</v>
      </c>
      <c r="G2337" s="128" t="str">
        <f>VLOOKUP(source[[#This Row],[lending_product_transform]],[3]Mapping!$B$4:$C$37,2,0)</f>
        <v>[Cake] - Cashloan</v>
      </c>
      <c r="H2337" s="128" t="str">
        <f>VLOOKUP(source[[#This Row],[lending_product_transform]],[3]Mapping!$B$3:$D$37,3,0)</f>
        <v>cashloan</v>
      </c>
      <c r="I2337" s="135">
        <v>31000000</v>
      </c>
    </row>
    <row r="2338" spans="1:9" x14ac:dyDescent="0.2">
      <c r="A2338" s="134">
        <v>45535</v>
      </c>
      <c r="B2338" s="135">
        <f>YEAR(source[[#This Row],[report_date]])</f>
        <v>2024</v>
      </c>
      <c r="C2338" s="128">
        <f t="shared" si="102"/>
        <v>8</v>
      </c>
      <c r="D2338" s="136">
        <f t="shared" si="100"/>
        <v>35</v>
      </c>
      <c r="E2338" s="136">
        <f t="shared" si="101"/>
        <v>31</v>
      </c>
      <c r="F2338" s="128" t="s">
        <v>24</v>
      </c>
      <c r="G2338" s="128" t="str">
        <f>VLOOKUP(source[[#This Row],[lending_product_transform]],[3]Mapping!$B$4:$C$37,2,0)</f>
        <v>[Cake] - Cashloan</v>
      </c>
      <c r="H2338" s="128" t="str">
        <f>VLOOKUP(source[[#This Row],[lending_product_transform]],[3]Mapping!$B$3:$D$37,3,0)</f>
        <v>cashloan</v>
      </c>
      <c r="I2338" s="135">
        <v>45597774</v>
      </c>
    </row>
    <row r="2339" spans="1:9" x14ac:dyDescent="0.2">
      <c r="A2339" s="134">
        <v>45535</v>
      </c>
      <c r="B2339" s="135">
        <f>YEAR(source[[#This Row],[report_date]])</f>
        <v>2024</v>
      </c>
      <c r="C2339" s="128">
        <f t="shared" si="102"/>
        <v>8</v>
      </c>
      <c r="D2339" s="136">
        <f t="shared" si="100"/>
        <v>35</v>
      </c>
      <c r="E2339" s="136">
        <f t="shared" si="101"/>
        <v>31</v>
      </c>
      <c r="F2339" s="128" t="s">
        <v>24</v>
      </c>
      <c r="G2339" s="128" t="str">
        <f>VLOOKUP(source[[#This Row],[lending_product_transform]],[3]Mapping!$B$4:$C$37,2,0)</f>
        <v>[Cake] - Cashloan</v>
      </c>
      <c r="H2339" s="128" t="str">
        <f>VLOOKUP(source[[#This Row],[lending_product_transform]],[3]Mapping!$B$3:$D$37,3,0)</f>
        <v>cashloan</v>
      </c>
      <c r="I2339" s="135">
        <v>31500000</v>
      </c>
    </row>
    <row r="2340" spans="1:9" x14ac:dyDescent="0.2">
      <c r="A2340" s="134">
        <v>45535</v>
      </c>
      <c r="B2340" s="135">
        <f>YEAR(source[[#This Row],[report_date]])</f>
        <v>2024</v>
      </c>
      <c r="C2340" s="128">
        <f t="shared" si="102"/>
        <v>8</v>
      </c>
      <c r="D2340" s="136">
        <f t="shared" si="100"/>
        <v>35</v>
      </c>
      <c r="E2340" s="136">
        <f t="shared" si="101"/>
        <v>31</v>
      </c>
      <c r="F2340" s="128" t="s">
        <v>24</v>
      </c>
      <c r="G2340" s="128" t="str">
        <f>VLOOKUP(source[[#This Row],[lending_product_transform]],[3]Mapping!$B$4:$C$37,2,0)</f>
        <v>[Cake] - Cashloan</v>
      </c>
      <c r="H2340" s="128" t="str">
        <f>VLOOKUP(source[[#This Row],[lending_product_transform]],[3]Mapping!$B$3:$D$37,3,0)</f>
        <v>cashloan</v>
      </c>
      <c r="I2340" s="135">
        <v>6420000</v>
      </c>
    </row>
    <row r="2341" spans="1:9" x14ac:dyDescent="0.2">
      <c r="A2341" s="134">
        <v>45535</v>
      </c>
      <c r="B2341" s="135">
        <f>YEAR(source[[#This Row],[report_date]])</f>
        <v>2024</v>
      </c>
      <c r="C2341" s="128">
        <f t="shared" si="102"/>
        <v>8</v>
      </c>
      <c r="D2341" s="136">
        <f t="shared" si="100"/>
        <v>35</v>
      </c>
      <c r="E2341" s="136">
        <f t="shared" si="101"/>
        <v>31</v>
      </c>
      <c r="F2341" s="128" t="s">
        <v>24</v>
      </c>
      <c r="G2341" s="128" t="str">
        <f>VLOOKUP(source[[#This Row],[lending_product_transform]],[3]Mapping!$B$4:$C$37,2,0)</f>
        <v>[Cake] - Cashloan</v>
      </c>
      <c r="H2341" s="128" t="str">
        <f>VLOOKUP(source[[#This Row],[lending_product_transform]],[3]Mapping!$B$3:$D$37,3,0)</f>
        <v>cashloan</v>
      </c>
      <c r="I2341" s="135">
        <v>42800000</v>
      </c>
    </row>
    <row r="2342" spans="1:9" x14ac:dyDescent="0.2">
      <c r="A2342" s="134">
        <v>45535</v>
      </c>
      <c r="B2342" s="135">
        <f>YEAR(source[[#This Row],[report_date]])</f>
        <v>2024</v>
      </c>
      <c r="C2342" s="128">
        <f t="shared" si="102"/>
        <v>8</v>
      </c>
      <c r="D2342" s="136">
        <f t="shared" si="100"/>
        <v>35</v>
      </c>
      <c r="E2342" s="136">
        <f t="shared" si="101"/>
        <v>31</v>
      </c>
      <c r="F2342" s="128" t="s">
        <v>24</v>
      </c>
      <c r="G2342" s="128" t="str">
        <f>VLOOKUP(source[[#This Row],[lending_product_transform]],[3]Mapping!$B$4:$C$37,2,0)</f>
        <v>[Cake] - Cashloan</v>
      </c>
      <c r="H2342" s="128" t="str">
        <f>VLOOKUP(source[[#This Row],[lending_product_transform]],[3]Mapping!$B$3:$D$37,3,0)</f>
        <v>cashloan</v>
      </c>
      <c r="I2342" s="135">
        <v>14508913012</v>
      </c>
    </row>
    <row r="2343" spans="1:9" x14ac:dyDescent="0.2">
      <c r="A2343" s="134">
        <v>45535</v>
      </c>
      <c r="B2343" s="135">
        <f>YEAR(source[[#This Row],[report_date]])</f>
        <v>2024</v>
      </c>
      <c r="C2343" s="128">
        <f t="shared" si="102"/>
        <v>8</v>
      </c>
      <c r="D2343" s="136">
        <f t="shared" si="100"/>
        <v>35</v>
      </c>
      <c r="E2343" s="136">
        <f t="shared" si="101"/>
        <v>31</v>
      </c>
      <c r="F2343" s="128" t="s">
        <v>24</v>
      </c>
      <c r="G2343" s="128" t="str">
        <f>VLOOKUP(source[[#This Row],[lending_product_transform]],[3]Mapping!$B$4:$C$37,2,0)</f>
        <v>[Cake] - Cashloan</v>
      </c>
      <c r="H2343" s="128" t="str">
        <f>VLOOKUP(source[[#This Row],[lending_product_transform]],[3]Mapping!$B$3:$D$37,3,0)</f>
        <v>cashloan</v>
      </c>
      <c r="I2343" s="135">
        <v>206500000</v>
      </c>
    </row>
    <row r="2344" spans="1:9" x14ac:dyDescent="0.2">
      <c r="A2344" s="134">
        <v>45535</v>
      </c>
      <c r="B2344" s="135">
        <f>YEAR(source[[#This Row],[report_date]])</f>
        <v>2024</v>
      </c>
      <c r="C2344" s="128">
        <f t="shared" si="102"/>
        <v>8</v>
      </c>
      <c r="D2344" s="136">
        <f t="shared" si="100"/>
        <v>35</v>
      </c>
      <c r="E2344" s="136">
        <f t="shared" si="101"/>
        <v>31</v>
      </c>
      <c r="F2344" s="128" t="s">
        <v>24</v>
      </c>
      <c r="G2344" s="128" t="str">
        <f>VLOOKUP(source[[#This Row],[lending_product_transform]],[3]Mapping!$B$4:$C$37,2,0)</f>
        <v>[Cake] - Cashloan</v>
      </c>
      <c r="H2344" s="128" t="str">
        <f>VLOOKUP(source[[#This Row],[lending_product_transform]],[3]Mapping!$B$3:$D$37,3,0)</f>
        <v>cashloan</v>
      </c>
      <c r="I2344" s="135">
        <v>167008073</v>
      </c>
    </row>
    <row r="2345" spans="1:9" x14ac:dyDescent="0.2">
      <c r="A2345" s="134">
        <v>45535</v>
      </c>
      <c r="B2345" s="135">
        <f>YEAR(source[[#This Row],[report_date]])</f>
        <v>2024</v>
      </c>
      <c r="C2345" s="128">
        <f t="shared" si="102"/>
        <v>8</v>
      </c>
      <c r="D2345" s="136">
        <f t="shared" si="100"/>
        <v>35</v>
      </c>
      <c r="E2345" s="136">
        <f t="shared" si="101"/>
        <v>31</v>
      </c>
      <c r="F2345" s="128" t="s">
        <v>24</v>
      </c>
      <c r="G2345" s="128" t="str">
        <f>VLOOKUP(source[[#This Row],[lending_product_transform]],[3]Mapping!$B$4:$C$37,2,0)</f>
        <v>[Cake] - Cashloan</v>
      </c>
      <c r="H2345" s="128" t="str">
        <f>VLOOKUP(source[[#This Row],[lending_product_transform]],[3]Mapping!$B$3:$D$37,3,0)</f>
        <v>cashloan</v>
      </c>
      <c r="I2345" s="135">
        <v>2550887165</v>
      </c>
    </row>
    <row r="2346" spans="1:9" x14ac:dyDescent="0.2">
      <c r="A2346" s="134">
        <v>45535</v>
      </c>
      <c r="B2346" s="135">
        <f>YEAR(source[[#This Row],[report_date]])</f>
        <v>2024</v>
      </c>
      <c r="C2346" s="128">
        <f t="shared" si="102"/>
        <v>8</v>
      </c>
      <c r="D2346" s="136">
        <f t="shared" si="100"/>
        <v>35</v>
      </c>
      <c r="E2346" s="136">
        <f t="shared" si="101"/>
        <v>31</v>
      </c>
      <c r="F2346" s="128" t="s">
        <v>24</v>
      </c>
      <c r="G2346" s="128" t="str">
        <f>VLOOKUP(source[[#This Row],[lending_product_transform]],[3]Mapping!$B$4:$C$37,2,0)</f>
        <v>[Cake] - Cashloan</v>
      </c>
      <c r="H2346" s="128" t="str">
        <f>VLOOKUP(source[[#This Row],[lending_product_transform]],[3]Mapping!$B$3:$D$37,3,0)</f>
        <v>cashloan</v>
      </c>
      <c r="I2346" s="135">
        <v>4114500000</v>
      </c>
    </row>
    <row r="2347" spans="1:9" x14ac:dyDescent="0.2">
      <c r="A2347" s="134">
        <v>45535</v>
      </c>
      <c r="B2347" s="135">
        <f>YEAR(source[[#This Row],[report_date]])</f>
        <v>2024</v>
      </c>
      <c r="C2347" s="128">
        <f t="shared" si="102"/>
        <v>8</v>
      </c>
      <c r="D2347" s="136">
        <f t="shared" si="100"/>
        <v>35</v>
      </c>
      <c r="E2347" s="136">
        <f t="shared" si="101"/>
        <v>31</v>
      </c>
      <c r="F2347" s="128" t="s">
        <v>24</v>
      </c>
      <c r="G2347" s="128" t="str">
        <f>VLOOKUP(source[[#This Row],[lending_product_transform]],[3]Mapping!$B$4:$C$37,2,0)</f>
        <v>[Cake] - Cashloan</v>
      </c>
      <c r="H2347" s="128" t="str">
        <f>VLOOKUP(source[[#This Row],[lending_product_transform]],[3]Mapping!$B$3:$D$37,3,0)</f>
        <v>cashloan</v>
      </c>
      <c r="I2347" s="135">
        <v>1678300000</v>
      </c>
    </row>
    <row r="2348" spans="1:9" x14ac:dyDescent="0.2">
      <c r="A2348" s="134">
        <v>45536</v>
      </c>
      <c r="B2348" s="135">
        <f>YEAR(source[[#This Row],[report_date]])</f>
        <v>2024</v>
      </c>
      <c r="C2348" s="128">
        <f t="shared" si="102"/>
        <v>9</v>
      </c>
      <c r="D2348" s="136">
        <f t="shared" si="100"/>
        <v>35</v>
      </c>
      <c r="E2348" s="136">
        <f t="shared" si="101"/>
        <v>1</v>
      </c>
      <c r="F2348" s="128" t="s">
        <v>24</v>
      </c>
      <c r="G2348" s="128" t="str">
        <f>VLOOKUP(source[[#This Row],[lending_product_transform]],[3]Mapping!$B$4:$C$37,2,0)</f>
        <v>[Cake] - Cashloan</v>
      </c>
      <c r="H2348" s="128" t="str">
        <f>VLOOKUP(source[[#This Row],[lending_product_transform]],[3]Mapping!$B$3:$D$37,3,0)</f>
        <v>cashloan</v>
      </c>
      <c r="I2348" s="135"/>
    </row>
    <row r="2349" spans="1:9" x14ac:dyDescent="0.2">
      <c r="A2349" s="134">
        <v>45536</v>
      </c>
      <c r="B2349" s="135">
        <f>YEAR(source[[#This Row],[report_date]])</f>
        <v>2024</v>
      </c>
      <c r="C2349" s="128">
        <f t="shared" si="102"/>
        <v>9</v>
      </c>
      <c r="D2349" s="136">
        <f t="shared" si="100"/>
        <v>35</v>
      </c>
      <c r="E2349" s="136">
        <f t="shared" si="101"/>
        <v>1</v>
      </c>
      <c r="F2349" s="128" t="s">
        <v>24</v>
      </c>
      <c r="G2349" s="128" t="str">
        <f>VLOOKUP(source[[#This Row],[lending_product_transform]],[3]Mapping!$B$4:$C$37,2,0)</f>
        <v>[Cake] - Cashloan</v>
      </c>
      <c r="H2349" s="128" t="str">
        <f>VLOOKUP(source[[#This Row],[lending_product_transform]],[3]Mapping!$B$3:$D$37,3,0)</f>
        <v>cashloan</v>
      </c>
      <c r="I2349" s="135">
        <v>77750000</v>
      </c>
    </row>
    <row r="2350" spans="1:9" x14ac:dyDescent="0.2">
      <c r="A2350" s="134">
        <v>45536</v>
      </c>
      <c r="B2350" s="135">
        <f>YEAR(source[[#This Row],[report_date]])</f>
        <v>2024</v>
      </c>
      <c r="C2350" s="128">
        <f t="shared" si="102"/>
        <v>9</v>
      </c>
      <c r="D2350" s="136">
        <f t="shared" si="100"/>
        <v>35</v>
      </c>
      <c r="E2350" s="136">
        <f t="shared" si="101"/>
        <v>1</v>
      </c>
      <c r="F2350" s="128" t="s">
        <v>24</v>
      </c>
      <c r="G2350" s="128" t="str">
        <f>VLOOKUP(source[[#This Row],[lending_product_transform]],[3]Mapping!$B$4:$C$37,2,0)</f>
        <v>[Cake] - Cashloan</v>
      </c>
      <c r="H2350" s="128" t="str">
        <f>VLOOKUP(source[[#This Row],[lending_product_transform]],[3]Mapping!$B$3:$D$37,3,0)</f>
        <v>cashloan</v>
      </c>
      <c r="I2350" s="135">
        <v>7490000</v>
      </c>
    </row>
    <row r="2351" spans="1:9" x14ac:dyDescent="0.2">
      <c r="A2351" s="134">
        <v>45536</v>
      </c>
      <c r="B2351" s="135">
        <f>YEAR(source[[#This Row],[report_date]])</f>
        <v>2024</v>
      </c>
      <c r="C2351" s="128">
        <f t="shared" si="102"/>
        <v>9</v>
      </c>
      <c r="D2351" s="136">
        <f t="shared" si="100"/>
        <v>35</v>
      </c>
      <c r="E2351" s="136">
        <f t="shared" si="101"/>
        <v>1</v>
      </c>
      <c r="F2351" s="128" t="s">
        <v>24</v>
      </c>
      <c r="G2351" s="128" t="str">
        <f>VLOOKUP(source[[#This Row],[lending_product_transform]],[3]Mapping!$B$4:$C$37,2,0)</f>
        <v>[Cake] - Cashloan</v>
      </c>
      <c r="H2351" s="128" t="str">
        <f>VLOOKUP(source[[#This Row],[lending_product_transform]],[3]Mapping!$B$3:$D$37,3,0)</f>
        <v>cashloan</v>
      </c>
      <c r="I2351" s="135">
        <v>0</v>
      </c>
    </row>
    <row r="2352" spans="1:9" x14ac:dyDescent="0.2">
      <c r="A2352" s="134">
        <v>45536</v>
      </c>
      <c r="B2352" s="135">
        <f>YEAR(source[[#This Row],[report_date]])</f>
        <v>2024</v>
      </c>
      <c r="C2352" s="128">
        <f t="shared" si="102"/>
        <v>9</v>
      </c>
      <c r="D2352" s="136">
        <f t="shared" si="100"/>
        <v>35</v>
      </c>
      <c r="E2352" s="136">
        <f t="shared" si="101"/>
        <v>1</v>
      </c>
      <c r="F2352" s="128" t="s">
        <v>24</v>
      </c>
      <c r="G2352" s="128" t="str">
        <f>VLOOKUP(source[[#This Row],[lending_product_transform]],[3]Mapping!$B$4:$C$37,2,0)</f>
        <v>[Cake] - Cashloan</v>
      </c>
      <c r="H2352" s="128" t="str">
        <f>VLOOKUP(source[[#This Row],[lending_product_transform]],[3]Mapping!$B$3:$D$37,3,0)</f>
        <v>cashloan</v>
      </c>
      <c r="I2352" s="135">
        <v>0</v>
      </c>
    </row>
    <row r="2353" spans="1:9" x14ac:dyDescent="0.2">
      <c r="A2353" s="134">
        <v>45536</v>
      </c>
      <c r="B2353" s="135">
        <f>YEAR(source[[#This Row],[report_date]])</f>
        <v>2024</v>
      </c>
      <c r="C2353" s="128">
        <f t="shared" si="102"/>
        <v>9</v>
      </c>
      <c r="D2353" s="136">
        <f t="shared" si="100"/>
        <v>35</v>
      </c>
      <c r="E2353" s="136">
        <f t="shared" si="101"/>
        <v>1</v>
      </c>
      <c r="F2353" s="128" t="s">
        <v>24</v>
      </c>
      <c r="G2353" s="128" t="str">
        <f>VLOOKUP(source[[#This Row],[lending_product_transform]],[3]Mapping!$B$4:$C$37,2,0)</f>
        <v>[Cake] - Cashloan</v>
      </c>
      <c r="H2353" s="128" t="str">
        <f>VLOOKUP(source[[#This Row],[lending_product_transform]],[3]Mapping!$B$3:$D$37,3,0)</f>
        <v>cashloan</v>
      </c>
      <c r="I2353" s="135">
        <v>75600000</v>
      </c>
    </row>
    <row r="2354" spans="1:9" x14ac:dyDescent="0.2">
      <c r="A2354" s="134">
        <v>45536</v>
      </c>
      <c r="B2354" s="135">
        <f>YEAR(source[[#This Row],[report_date]])</f>
        <v>2024</v>
      </c>
      <c r="C2354" s="128">
        <f t="shared" si="102"/>
        <v>9</v>
      </c>
      <c r="D2354" s="136">
        <f t="shared" si="100"/>
        <v>35</v>
      </c>
      <c r="E2354" s="136">
        <f t="shared" si="101"/>
        <v>1</v>
      </c>
      <c r="F2354" s="128" t="s">
        <v>24</v>
      </c>
      <c r="G2354" s="128" t="str">
        <f>VLOOKUP(source[[#This Row],[lending_product_transform]],[3]Mapping!$B$4:$C$37,2,0)</f>
        <v>[Cake] - Cashloan</v>
      </c>
      <c r="H2354" s="128" t="str">
        <f>VLOOKUP(source[[#This Row],[lending_product_transform]],[3]Mapping!$B$3:$D$37,3,0)</f>
        <v>cashloan</v>
      </c>
      <c r="I2354" s="135">
        <v>207376518</v>
      </c>
    </row>
    <row r="2355" spans="1:9" x14ac:dyDescent="0.2">
      <c r="A2355" s="134">
        <v>45536</v>
      </c>
      <c r="B2355" s="135">
        <f>YEAR(source[[#This Row],[report_date]])</f>
        <v>2024</v>
      </c>
      <c r="C2355" s="128">
        <f t="shared" si="102"/>
        <v>9</v>
      </c>
      <c r="D2355" s="136">
        <f t="shared" si="100"/>
        <v>35</v>
      </c>
      <c r="E2355" s="136">
        <f t="shared" si="101"/>
        <v>1</v>
      </c>
      <c r="F2355" s="128" t="s">
        <v>24</v>
      </c>
      <c r="G2355" s="128" t="str">
        <f>VLOOKUP(source[[#This Row],[lending_product_transform]],[3]Mapping!$B$4:$C$37,2,0)</f>
        <v>[Cake] - Cashloan</v>
      </c>
      <c r="H2355" s="128" t="str">
        <f>VLOOKUP(source[[#This Row],[lending_product_transform]],[3]Mapping!$B$3:$D$37,3,0)</f>
        <v>cashloan</v>
      </c>
      <c r="I2355" s="135">
        <v>63000000</v>
      </c>
    </row>
    <row r="2356" spans="1:9" x14ac:dyDescent="0.2">
      <c r="A2356" s="134">
        <v>45536</v>
      </c>
      <c r="B2356" s="135">
        <f>YEAR(source[[#This Row],[report_date]])</f>
        <v>2024</v>
      </c>
      <c r="C2356" s="128">
        <f t="shared" si="102"/>
        <v>9</v>
      </c>
      <c r="D2356" s="136">
        <f t="shared" si="100"/>
        <v>35</v>
      </c>
      <c r="E2356" s="136">
        <f t="shared" si="101"/>
        <v>1</v>
      </c>
      <c r="F2356" s="128" t="s">
        <v>24</v>
      </c>
      <c r="G2356" s="128" t="str">
        <f>VLOOKUP(source[[#This Row],[lending_product_transform]],[3]Mapping!$B$4:$C$37,2,0)</f>
        <v>[Cake] - Cashloan</v>
      </c>
      <c r="H2356" s="128" t="str">
        <f>VLOOKUP(source[[#This Row],[lending_product_transform]],[3]Mapping!$B$3:$D$37,3,0)</f>
        <v>cashloan</v>
      </c>
      <c r="I2356" s="135">
        <v>37735728</v>
      </c>
    </row>
    <row r="2357" spans="1:9" x14ac:dyDescent="0.2">
      <c r="A2357" s="134">
        <v>45536</v>
      </c>
      <c r="B2357" s="135">
        <f>YEAR(source[[#This Row],[report_date]])</f>
        <v>2024</v>
      </c>
      <c r="C2357" s="128">
        <f t="shared" si="102"/>
        <v>9</v>
      </c>
      <c r="D2357" s="136">
        <f t="shared" si="100"/>
        <v>35</v>
      </c>
      <c r="E2357" s="136">
        <f t="shared" si="101"/>
        <v>1</v>
      </c>
      <c r="F2357" s="128" t="s">
        <v>24</v>
      </c>
      <c r="G2357" s="128" t="str">
        <f>VLOOKUP(source[[#This Row],[lending_product_transform]],[3]Mapping!$B$4:$C$37,2,0)</f>
        <v>[Cake] - Cashloan</v>
      </c>
      <c r="H2357" s="128" t="str">
        <f>VLOOKUP(source[[#This Row],[lending_product_transform]],[3]Mapping!$B$3:$D$37,3,0)</f>
        <v>cashloan</v>
      </c>
      <c r="I2357" s="135">
        <v>1889280000</v>
      </c>
    </row>
    <row r="2358" spans="1:9" x14ac:dyDescent="0.2">
      <c r="A2358" s="134">
        <v>45536</v>
      </c>
      <c r="B2358" s="135">
        <f>YEAR(source[[#This Row],[report_date]])</f>
        <v>2024</v>
      </c>
      <c r="C2358" s="128">
        <f t="shared" si="102"/>
        <v>9</v>
      </c>
      <c r="D2358" s="136">
        <f t="shared" si="100"/>
        <v>35</v>
      </c>
      <c r="E2358" s="136">
        <f t="shared" si="101"/>
        <v>1</v>
      </c>
      <c r="F2358" s="128" t="s">
        <v>24</v>
      </c>
      <c r="G2358" s="128" t="str">
        <f>VLOOKUP(source[[#This Row],[lending_product_transform]],[3]Mapping!$B$4:$C$37,2,0)</f>
        <v>[Cake] - Cashloan</v>
      </c>
      <c r="H2358" s="128" t="str">
        <f>VLOOKUP(source[[#This Row],[lending_product_transform]],[3]Mapping!$B$3:$D$37,3,0)</f>
        <v>cashloan</v>
      </c>
      <c r="I2358" s="135">
        <v>3748500000</v>
      </c>
    </row>
    <row r="2359" spans="1:9" x14ac:dyDescent="0.2">
      <c r="A2359" s="134">
        <v>45536</v>
      </c>
      <c r="B2359" s="135">
        <f>YEAR(source[[#This Row],[report_date]])</f>
        <v>2024</v>
      </c>
      <c r="C2359" s="128">
        <f t="shared" si="102"/>
        <v>9</v>
      </c>
      <c r="D2359" s="136">
        <f t="shared" si="100"/>
        <v>35</v>
      </c>
      <c r="E2359" s="136">
        <f t="shared" si="101"/>
        <v>1</v>
      </c>
      <c r="F2359" s="128" t="s">
        <v>24</v>
      </c>
      <c r="G2359" s="128" t="str">
        <f>VLOOKUP(source[[#This Row],[lending_product_transform]],[3]Mapping!$B$4:$C$37,2,0)</f>
        <v>[Cake] - Cashloan</v>
      </c>
      <c r="H2359" s="128" t="str">
        <f>VLOOKUP(source[[#This Row],[lending_product_transform]],[3]Mapping!$B$3:$D$37,3,0)</f>
        <v>cashloan</v>
      </c>
      <c r="I2359" s="135">
        <v>4018778982</v>
      </c>
    </row>
    <row r="2360" spans="1:9" x14ac:dyDescent="0.2">
      <c r="A2360" s="134">
        <v>45536</v>
      </c>
      <c r="B2360" s="135">
        <f>YEAR(source[[#This Row],[report_date]])</f>
        <v>2024</v>
      </c>
      <c r="C2360" s="128">
        <f t="shared" si="102"/>
        <v>9</v>
      </c>
      <c r="D2360" s="136">
        <f t="shared" si="100"/>
        <v>35</v>
      </c>
      <c r="E2360" s="136">
        <f t="shared" si="101"/>
        <v>1</v>
      </c>
      <c r="F2360" s="128" t="s">
        <v>24</v>
      </c>
      <c r="G2360" s="128" t="str">
        <f>VLOOKUP(source[[#This Row],[lending_product_transform]],[3]Mapping!$B$4:$C$37,2,0)</f>
        <v>[Cake] - Cashloan</v>
      </c>
      <c r="H2360" s="128" t="str">
        <f>VLOOKUP(source[[#This Row],[lending_product_transform]],[3]Mapping!$B$3:$D$37,3,0)</f>
        <v>cashloan</v>
      </c>
      <c r="I2360" s="135">
        <v>5218720000</v>
      </c>
    </row>
    <row r="2361" spans="1:9" x14ac:dyDescent="0.2">
      <c r="A2361" s="134">
        <v>45537</v>
      </c>
      <c r="B2361" s="135">
        <f>YEAR(source[[#This Row],[report_date]])</f>
        <v>2024</v>
      </c>
      <c r="C2361" s="128">
        <f t="shared" si="102"/>
        <v>9</v>
      </c>
      <c r="D2361" s="136">
        <f t="shared" si="100"/>
        <v>36</v>
      </c>
      <c r="E2361" s="136">
        <f t="shared" si="101"/>
        <v>2</v>
      </c>
      <c r="F2361" s="128" t="s">
        <v>24</v>
      </c>
      <c r="G2361" s="128" t="str">
        <f>VLOOKUP(source[[#This Row],[lending_product_transform]],[3]Mapping!$B$4:$C$37,2,0)</f>
        <v>[Cake] - Cashloan</v>
      </c>
      <c r="H2361" s="128" t="str">
        <f>VLOOKUP(source[[#This Row],[lending_product_transform]],[3]Mapping!$B$3:$D$37,3,0)</f>
        <v>cashloan</v>
      </c>
      <c r="I2361" s="135"/>
    </row>
    <row r="2362" spans="1:9" x14ac:dyDescent="0.2">
      <c r="A2362" s="134">
        <v>45537</v>
      </c>
      <c r="B2362" s="135">
        <f>YEAR(source[[#This Row],[report_date]])</f>
        <v>2024</v>
      </c>
      <c r="C2362" s="128">
        <f t="shared" si="102"/>
        <v>9</v>
      </c>
      <c r="D2362" s="136">
        <f t="shared" si="100"/>
        <v>36</v>
      </c>
      <c r="E2362" s="136">
        <f t="shared" si="101"/>
        <v>2</v>
      </c>
      <c r="F2362" s="128" t="s">
        <v>24</v>
      </c>
      <c r="G2362" s="128" t="str">
        <f>VLOOKUP(source[[#This Row],[lending_product_transform]],[3]Mapping!$B$4:$C$37,2,0)</f>
        <v>[Cake] - Cashloan</v>
      </c>
      <c r="H2362" s="128" t="str">
        <f>VLOOKUP(source[[#This Row],[lending_product_transform]],[3]Mapping!$B$3:$D$37,3,0)</f>
        <v>cashloan</v>
      </c>
      <c r="I2362" s="135">
        <v>181623144</v>
      </c>
    </row>
    <row r="2363" spans="1:9" x14ac:dyDescent="0.2">
      <c r="A2363" s="134">
        <v>45537</v>
      </c>
      <c r="B2363" s="135">
        <f>YEAR(source[[#This Row],[report_date]])</f>
        <v>2024</v>
      </c>
      <c r="C2363" s="128">
        <f t="shared" si="102"/>
        <v>9</v>
      </c>
      <c r="D2363" s="136">
        <f t="shared" si="100"/>
        <v>36</v>
      </c>
      <c r="E2363" s="136">
        <f t="shared" si="101"/>
        <v>2</v>
      </c>
      <c r="F2363" s="128" t="s">
        <v>24</v>
      </c>
      <c r="G2363" s="128" t="str">
        <f>VLOOKUP(source[[#This Row],[lending_product_transform]],[3]Mapping!$B$4:$C$37,2,0)</f>
        <v>[Cake] - Cashloan</v>
      </c>
      <c r="H2363" s="128" t="str">
        <f>VLOOKUP(source[[#This Row],[lending_product_transform]],[3]Mapping!$B$3:$D$37,3,0)</f>
        <v>cashloan</v>
      </c>
      <c r="I2363" s="135">
        <v>3069738364</v>
      </c>
    </row>
    <row r="2364" spans="1:9" x14ac:dyDescent="0.2">
      <c r="A2364" s="134">
        <v>45537</v>
      </c>
      <c r="B2364" s="135">
        <f>YEAR(source[[#This Row],[report_date]])</f>
        <v>2024</v>
      </c>
      <c r="C2364" s="128">
        <f t="shared" si="102"/>
        <v>9</v>
      </c>
      <c r="D2364" s="136">
        <f t="shared" si="100"/>
        <v>36</v>
      </c>
      <c r="E2364" s="136">
        <f t="shared" si="101"/>
        <v>2</v>
      </c>
      <c r="F2364" s="128" t="s">
        <v>24</v>
      </c>
      <c r="G2364" s="128" t="str">
        <f>VLOOKUP(source[[#This Row],[lending_product_transform]],[3]Mapping!$B$4:$C$37,2,0)</f>
        <v>[Cake] - Cashloan</v>
      </c>
      <c r="H2364" s="128" t="str">
        <f>VLOOKUP(source[[#This Row],[lending_product_transform]],[3]Mapping!$B$3:$D$37,3,0)</f>
        <v>cashloan</v>
      </c>
      <c r="I2364" s="135">
        <v>4823500000</v>
      </c>
    </row>
    <row r="2365" spans="1:9" x14ac:dyDescent="0.2">
      <c r="A2365" s="134">
        <v>45537</v>
      </c>
      <c r="B2365" s="135">
        <f>YEAR(source[[#This Row],[report_date]])</f>
        <v>2024</v>
      </c>
      <c r="C2365" s="128">
        <f t="shared" si="102"/>
        <v>9</v>
      </c>
      <c r="D2365" s="136">
        <f t="shared" si="100"/>
        <v>36</v>
      </c>
      <c r="E2365" s="136">
        <f t="shared" si="101"/>
        <v>2</v>
      </c>
      <c r="F2365" s="128" t="s">
        <v>24</v>
      </c>
      <c r="G2365" s="128" t="str">
        <f>VLOOKUP(source[[#This Row],[lending_product_transform]],[3]Mapping!$B$4:$C$37,2,0)</f>
        <v>[Cake] - Cashloan</v>
      </c>
      <c r="H2365" s="128" t="str">
        <f>VLOOKUP(source[[#This Row],[lending_product_transform]],[3]Mapping!$B$3:$D$37,3,0)</f>
        <v>cashloan</v>
      </c>
      <c r="I2365" s="135">
        <v>46010000</v>
      </c>
    </row>
    <row r="2366" spans="1:9" x14ac:dyDescent="0.2">
      <c r="A2366" s="134">
        <v>45537</v>
      </c>
      <c r="B2366" s="135">
        <f>YEAR(source[[#This Row],[report_date]])</f>
        <v>2024</v>
      </c>
      <c r="C2366" s="128">
        <f t="shared" si="102"/>
        <v>9</v>
      </c>
      <c r="D2366" s="136">
        <f t="shared" si="100"/>
        <v>36</v>
      </c>
      <c r="E2366" s="136">
        <f t="shared" si="101"/>
        <v>2</v>
      </c>
      <c r="F2366" s="128" t="s">
        <v>24</v>
      </c>
      <c r="G2366" s="128" t="str">
        <f>VLOOKUP(source[[#This Row],[lending_product_transform]],[3]Mapping!$B$4:$C$37,2,0)</f>
        <v>[Cake] - Cashloan</v>
      </c>
      <c r="H2366" s="128" t="str">
        <f>VLOOKUP(source[[#This Row],[lending_product_transform]],[3]Mapping!$B$3:$D$37,3,0)</f>
        <v>cashloan</v>
      </c>
      <c r="I2366" s="135">
        <v>93500000</v>
      </c>
    </row>
    <row r="2367" spans="1:9" x14ac:dyDescent="0.2">
      <c r="A2367" s="134">
        <v>45537</v>
      </c>
      <c r="B2367" s="135">
        <f>YEAR(source[[#This Row],[report_date]])</f>
        <v>2024</v>
      </c>
      <c r="C2367" s="128">
        <f t="shared" si="102"/>
        <v>9</v>
      </c>
      <c r="D2367" s="136">
        <f t="shared" si="100"/>
        <v>36</v>
      </c>
      <c r="E2367" s="136">
        <f t="shared" si="101"/>
        <v>2</v>
      </c>
      <c r="F2367" s="128" t="s">
        <v>24</v>
      </c>
      <c r="G2367" s="128" t="str">
        <f>VLOOKUP(source[[#This Row],[lending_product_transform]],[3]Mapping!$B$4:$C$37,2,0)</f>
        <v>[Cake] - Cashloan</v>
      </c>
      <c r="H2367" s="128" t="str">
        <f>VLOOKUP(source[[#This Row],[lending_product_transform]],[3]Mapping!$B$3:$D$37,3,0)</f>
        <v>cashloan</v>
      </c>
      <c r="I2367" s="135">
        <v>6420000</v>
      </c>
    </row>
    <row r="2368" spans="1:9" x14ac:dyDescent="0.2">
      <c r="A2368" s="134">
        <v>45537</v>
      </c>
      <c r="B2368" s="135">
        <f>YEAR(source[[#This Row],[report_date]])</f>
        <v>2024</v>
      </c>
      <c r="C2368" s="128">
        <f t="shared" si="102"/>
        <v>9</v>
      </c>
      <c r="D2368" s="136">
        <f t="shared" si="100"/>
        <v>36</v>
      </c>
      <c r="E2368" s="136">
        <f t="shared" si="101"/>
        <v>2</v>
      </c>
      <c r="F2368" s="128" t="s">
        <v>24</v>
      </c>
      <c r="G2368" s="128" t="str">
        <f>VLOOKUP(source[[#This Row],[lending_product_transform]],[3]Mapping!$B$4:$C$37,2,0)</f>
        <v>[Cake] - Cashloan</v>
      </c>
      <c r="H2368" s="128" t="str">
        <f>VLOOKUP(source[[#This Row],[lending_product_transform]],[3]Mapping!$B$3:$D$37,3,0)</f>
        <v>cashloan</v>
      </c>
      <c r="I2368" s="135">
        <v>31500000</v>
      </c>
    </row>
    <row r="2369" spans="1:9" x14ac:dyDescent="0.2">
      <c r="A2369" s="134">
        <v>45537</v>
      </c>
      <c r="B2369" s="135">
        <f>YEAR(source[[#This Row],[report_date]])</f>
        <v>2024</v>
      </c>
      <c r="C2369" s="128">
        <f t="shared" si="102"/>
        <v>9</v>
      </c>
      <c r="D2369" s="136">
        <f t="shared" si="100"/>
        <v>36</v>
      </c>
      <c r="E2369" s="136">
        <f t="shared" si="101"/>
        <v>2</v>
      </c>
      <c r="F2369" s="128" t="s">
        <v>24</v>
      </c>
      <c r="G2369" s="128" t="str">
        <f>VLOOKUP(source[[#This Row],[lending_product_transform]],[3]Mapping!$B$4:$C$37,2,0)</f>
        <v>[Cake] - Cashloan</v>
      </c>
      <c r="H2369" s="128" t="str">
        <f>VLOOKUP(source[[#This Row],[lending_product_transform]],[3]Mapping!$B$3:$D$37,3,0)</f>
        <v>cashloan</v>
      </c>
      <c r="I2369" s="135">
        <v>39000000</v>
      </c>
    </row>
    <row r="2370" spans="1:9" x14ac:dyDescent="0.2">
      <c r="A2370" s="134">
        <v>45537</v>
      </c>
      <c r="B2370" s="135">
        <f>YEAR(source[[#This Row],[report_date]])</f>
        <v>2024</v>
      </c>
      <c r="C2370" s="128">
        <f t="shared" si="102"/>
        <v>9</v>
      </c>
      <c r="D2370" s="136">
        <f t="shared" si="100"/>
        <v>36</v>
      </c>
      <c r="E2370" s="136">
        <f t="shared" si="101"/>
        <v>2</v>
      </c>
      <c r="F2370" s="128" t="s">
        <v>24</v>
      </c>
      <c r="G2370" s="128" t="str">
        <f>VLOOKUP(source[[#This Row],[lending_product_transform]],[3]Mapping!$B$4:$C$37,2,0)</f>
        <v>[Cake] - Cashloan</v>
      </c>
      <c r="H2370" s="128" t="str">
        <f>VLOOKUP(source[[#This Row],[lending_product_transform]],[3]Mapping!$B$3:$D$37,3,0)</f>
        <v>cashloan</v>
      </c>
      <c r="I2370" s="135">
        <v>22050000</v>
      </c>
    </row>
    <row r="2371" spans="1:9" x14ac:dyDescent="0.2">
      <c r="A2371" s="134">
        <v>45537</v>
      </c>
      <c r="B2371" s="135">
        <f>YEAR(source[[#This Row],[report_date]])</f>
        <v>2024</v>
      </c>
      <c r="C2371" s="128">
        <f t="shared" si="102"/>
        <v>9</v>
      </c>
      <c r="D2371" s="136">
        <f t="shared" ref="D2371:D2434" si="103">WEEKNUM(A2371,2)</f>
        <v>36</v>
      </c>
      <c r="E2371" s="136">
        <f t="shared" ref="E2371:E2434" si="104">DAY(A2371)</f>
        <v>2</v>
      </c>
      <c r="F2371" s="128" t="s">
        <v>24</v>
      </c>
      <c r="G2371" s="128" t="str">
        <f>VLOOKUP(source[[#This Row],[lending_product_transform]],[3]Mapping!$B$4:$C$37,2,0)</f>
        <v>[Cake] - Cashloan</v>
      </c>
      <c r="H2371" s="128" t="str">
        <f>VLOOKUP(source[[#This Row],[lending_product_transform]],[3]Mapping!$B$3:$D$37,3,0)</f>
        <v>cashloan</v>
      </c>
      <c r="I2371" s="135">
        <v>3036500000</v>
      </c>
    </row>
    <row r="2372" spans="1:9" x14ac:dyDescent="0.2">
      <c r="A2372" s="134">
        <v>45537</v>
      </c>
      <c r="B2372" s="135">
        <f>YEAR(source[[#This Row],[report_date]])</f>
        <v>2024</v>
      </c>
      <c r="C2372" s="128">
        <f t="shared" si="102"/>
        <v>9</v>
      </c>
      <c r="D2372" s="136">
        <f t="shared" si="103"/>
        <v>36</v>
      </c>
      <c r="E2372" s="136">
        <f t="shared" si="104"/>
        <v>2</v>
      </c>
      <c r="F2372" s="128" t="s">
        <v>24</v>
      </c>
      <c r="G2372" s="128" t="str">
        <f>VLOOKUP(source[[#This Row],[lending_product_transform]],[3]Mapping!$B$4:$C$37,2,0)</f>
        <v>[Cake] - Cashloan</v>
      </c>
      <c r="H2372" s="128" t="str">
        <f>VLOOKUP(source[[#This Row],[lending_product_transform]],[3]Mapping!$B$3:$D$37,3,0)</f>
        <v>cashloan</v>
      </c>
      <c r="I2372" s="135">
        <v>1764220000</v>
      </c>
    </row>
    <row r="2373" spans="1:9" x14ac:dyDescent="0.2">
      <c r="A2373" s="134">
        <v>45537</v>
      </c>
      <c r="B2373" s="135">
        <f>YEAR(source[[#This Row],[report_date]])</f>
        <v>2024</v>
      </c>
      <c r="C2373" s="128">
        <f t="shared" si="102"/>
        <v>9</v>
      </c>
      <c r="D2373" s="136">
        <f t="shared" si="103"/>
        <v>36</v>
      </c>
      <c r="E2373" s="136">
        <f t="shared" si="104"/>
        <v>2</v>
      </c>
      <c r="F2373" s="128" t="s">
        <v>24</v>
      </c>
      <c r="G2373" s="128" t="str">
        <f>VLOOKUP(source[[#This Row],[lending_product_transform]],[3]Mapping!$B$4:$C$37,2,0)</f>
        <v>[Cake] - Cashloan</v>
      </c>
      <c r="H2373" s="128" t="str">
        <f>VLOOKUP(source[[#This Row],[lending_product_transform]],[3]Mapping!$B$3:$D$37,3,0)</f>
        <v>cashloan</v>
      </c>
      <c r="I2373" s="135">
        <v>38644951</v>
      </c>
    </row>
    <row r="2374" spans="1:9" x14ac:dyDescent="0.2">
      <c r="A2374" s="134">
        <v>45538</v>
      </c>
      <c r="B2374" s="135">
        <f>YEAR(source[[#This Row],[report_date]])</f>
        <v>2024</v>
      </c>
      <c r="C2374" s="128">
        <f t="shared" si="102"/>
        <v>9</v>
      </c>
      <c r="D2374" s="136">
        <f t="shared" si="103"/>
        <v>36</v>
      </c>
      <c r="E2374" s="136">
        <f t="shared" si="104"/>
        <v>3</v>
      </c>
      <c r="F2374" s="128" t="s">
        <v>24</v>
      </c>
      <c r="G2374" s="128" t="str">
        <f>VLOOKUP(source[[#This Row],[lending_product_transform]],[3]Mapping!$B$4:$C$37,2,0)</f>
        <v>[Cake] - Cashloan</v>
      </c>
      <c r="H2374" s="128" t="str">
        <f>VLOOKUP(source[[#This Row],[lending_product_transform]],[3]Mapping!$B$3:$D$37,3,0)</f>
        <v>cashloan</v>
      </c>
      <c r="I2374" s="135">
        <v>15248125042</v>
      </c>
    </row>
    <row r="2375" spans="1:9" x14ac:dyDescent="0.2">
      <c r="A2375" s="134">
        <v>45538</v>
      </c>
      <c r="B2375" s="135">
        <f>YEAR(source[[#This Row],[report_date]])</f>
        <v>2024</v>
      </c>
      <c r="C2375" s="128">
        <f t="shared" si="102"/>
        <v>9</v>
      </c>
      <c r="D2375" s="136">
        <f t="shared" si="103"/>
        <v>36</v>
      </c>
      <c r="E2375" s="136">
        <f t="shared" si="104"/>
        <v>3</v>
      </c>
      <c r="F2375" s="128" t="s">
        <v>24</v>
      </c>
      <c r="G2375" s="128" t="str">
        <f>VLOOKUP(source[[#This Row],[lending_product_transform]],[3]Mapping!$B$4:$C$37,2,0)</f>
        <v>[Cake] - Cashloan</v>
      </c>
      <c r="H2375" s="128" t="str">
        <f>VLOOKUP(source[[#This Row],[lending_product_transform]],[3]Mapping!$B$3:$D$37,3,0)</f>
        <v>cashloan</v>
      </c>
      <c r="I2375" s="135">
        <v>0</v>
      </c>
    </row>
    <row r="2376" spans="1:9" x14ac:dyDescent="0.2">
      <c r="A2376" s="134">
        <v>45538</v>
      </c>
      <c r="B2376" s="135">
        <f>YEAR(source[[#This Row],[report_date]])</f>
        <v>2024</v>
      </c>
      <c r="C2376" s="128">
        <f t="shared" si="102"/>
        <v>9</v>
      </c>
      <c r="D2376" s="136">
        <f t="shared" si="103"/>
        <v>36</v>
      </c>
      <c r="E2376" s="136">
        <f t="shared" si="104"/>
        <v>3</v>
      </c>
      <c r="F2376" s="128" t="s">
        <v>24</v>
      </c>
      <c r="G2376" s="128" t="str">
        <f>VLOOKUP(source[[#This Row],[lending_product_transform]],[3]Mapping!$B$4:$C$37,2,0)</f>
        <v>[Cake] - Cashloan</v>
      </c>
      <c r="H2376" s="128" t="str">
        <f>VLOOKUP(source[[#This Row],[lending_product_transform]],[3]Mapping!$B$3:$D$37,3,0)</f>
        <v>cashloan</v>
      </c>
      <c r="I2376" s="135">
        <v>6369230000</v>
      </c>
    </row>
    <row r="2377" spans="1:9" x14ac:dyDescent="0.2">
      <c r="A2377" s="134">
        <v>45538</v>
      </c>
      <c r="B2377" s="135">
        <f>YEAR(source[[#This Row],[report_date]])</f>
        <v>2024</v>
      </c>
      <c r="C2377" s="128">
        <f t="shared" si="102"/>
        <v>9</v>
      </c>
      <c r="D2377" s="136">
        <f t="shared" si="103"/>
        <v>36</v>
      </c>
      <c r="E2377" s="136">
        <f t="shared" si="104"/>
        <v>3</v>
      </c>
      <c r="F2377" s="128" t="s">
        <v>24</v>
      </c>
      <c r="G2377" s="128" t="str">
        <f>VLOOKUP(source[[#This Row],[lending_product_transform]],[3]Mapping!$B$4:$C$37,2,0)</f>
        <v>[Cake] - Cashloan</v>
      </c>
      <c r="H2377" s="128" t="str">
        <f>VLOOKUP(source[[#This Row],[lending_product_transform]],[3]Mapping!$B$3:$D$37,3,0)</f>
        <v>cashloan</v>
      </c>
      <c r="I2377" s="135">
        <v>2807514631</v>
      </c>
    </row>
    <row r="2378" spans="1:9" x14ac:dyDescent="0.2">
      <c r="A2378" s="134">
        <v>45538</v>
      </c>
      <c r="B2378" s="135">
        <f>YEAR(source[[#This Row],[report_date]])</f>
        <v>2024</v>
      </c>
      <c r="C2378" s="128">
        <f t="shared" si="102"/>
        <v>9</v>
      </c>
      <c r="D2378" s="136">
        <f t="shared" si="103"/>
        <v>36</v>
      </c>
      <c r="E2378" s="136">
        <f t="shared" si="104"/>
        <v>3</v>
      </c>
      <c r="F2378" s="128" t="s">
        <v>24</v>
      </c>
      <c r="G2378" s="128" t="str">
        <f>VLOOKUP(source[[#This Row],[lending_product_transform]],[3]Mapping!$B$4:$C$37,2,0)</f>
        <v>[Cake] - Cashloan</v>
      </c>
      <c r="H2378" s="128" t="str">
        <f>VLOOKUP(source[[#This Row],[lending_product_transform]],[3]Mapping!$B$3:$D$37,3,0)</f>
        <v>cashloan</v>
      </c>
      <c r="I2378" s="135">
        <v>1978650000</v>
      </c>
    </row>
    <row r="2379" spans="1:9" x14ac:dyDescent="0.2">
      <c r="A2379" s="134">
        <v>45538</v>
      </c>
      <c r="B2379" s="135">
        <f>YEAR(source[[#This Row],[report_date]])</f>
        <v>2024</v>
      </c>
      <c r="C2379" s="128">
        <f t="shared" si="102"/>
        <v>9</v>
      </c>
      <c r="D2379" s="136">
        <f t="shared" si="103"/>
        <v>36</v>
      </c>
      <c r="E2379" s="136">
        <f t="shared" si="104"/>
        <v>3</v>
      </c>
      <c r="F2379" s="128" t="s">
        <v>24</v>
      </c>
      <c r="G2379" s="128" t="str">
        <f>VLOOKUP(source[[#This Row],[lending_product_transform]],[3]Mapping!$B$4:$C$37,2,0)</f>
        <v>[Cake] - Cashloan</v>
      </c>
      <c r="H2379" s="128" t="str">
        <f>VLOOKUP(source[[#This Row],[lending_product_transform]],[3]Mapping!$B$3:$D$37,3,0)</f>
        <v>cashloan</v>
      </c>
      <c r="I2379" s="135">
        <v>274373699</v>
      </c>
    </row>
    <row r="2380" spans="1:9" x14ac:dyDescent="0.2">
      <c r="A2380" s="134">
        <v>45538</v>
      </c>
      <c r="B2380" s="135">
        <f>YEAR(source[[#This Row],[report_date]])</f>
        <v>2024</v>
      </c>
      <c r="C2380" s="128">
        <f t="shared" si="102"/>
        <v>9</v>
      </c>
      <c r="D2380" s="136">
        <f t="shared" si="103"/>
        <v>36</v>
      </c>
      <c r="E2380" s="136">
        <f t="shared" si="104"/>
        <v>3</v>
      </c>
      <c r="F2380" s="128" t="s">
        <v>24</v>
      </c>
      <c r="G2380" s="128" t="str">
        <f>VLOOKUP(source[[#This Row],[lending_product_transform]],[3]Mapping!$B$4:$C$37,2,0)</f>
        <v>[Cake] - Cashloan</v>
      </c>
      <c r="H2380" s="128" t="str">
        <f>VLOOKUP(source[[#This Row],[lending_product_transform]],[3]Mapping!$B$3:$D$37,3,0)</f>
        <v>cashloan</v>
      </c>
      <c r="I2380" s="135">
        <v>32420000</v>
      </c>
    </row>
    <row r="2381" spans="1:9" x14ac:dyDescent="0.2">
      <c r="A2381" s="134">
        <v>45538</v>
      </c>
      <c r="B2381" s="135">
        <f>YEAR(source[[#This Row],[report_date]])</f>
        <v>2024</v>
      </c>
      <c r="C2381" s="128">
        <f t="shared" si="102"/>
        <v>9</v>
      </c>
      <c r="D2381" s="136">
        <f t="shared" si="103"/>
        <v>36</v>
      </c>
      <c r="E2381" s="136">
        <f t="shared" si="104"/>
        <v>3</v>
      </c>
      <c r="F2381" s="128" t="s">
        <v>24</v>
      </c>
      <c r="G2381" s="128" t="str">
        <f>VLOOKUP(source[[#This Row],[lending_product_transform]],[3]Mapping!$B$4:$C$37,2,0)</f>
        <v>[Cake] - Cashloan</v>
      </c>
      <c r="H2381" s="128" t="str">
        <f>VLOOKUP(source[[#This Row],[lending_product_transform]],[3]Mapping!$B$3:$D$37,3,0)</f>
        <v>cashloan</v>
      </c>
      <c r="I2381" s="135">
        <v>77200000</v>
      </c>
    </row>
    <row r="2382" spans="1:9" x14ac:dyDescent="0.2">
      <c r="A2382" s="134">
        <v>45538</v>
      </c>
      <c r="B2382" s="135">
        <f>YEAR(source[[#This Row],[report_date]])</f>
        <v>2024</v>
      </c>
      <c r="C2382" s="128">
        <f t="shared" si="102"/>
        <v>9</v>
      </c>
      <c r="D2382" s="136">
        <f t="shared" si="103"/>
        <v>36</v>
      </c>
      <c r="E2382" s="136">
        <f t="shared" si="104"/>
        <v>3</v>
      </c>
      <c r="F2382" s="128" t="s">
        <v>24</v>
      </c>
      <c r="G2382" s="128" t="str">
        <f>VLOOKUP(source[[#This Row],[lending_product_transform]],[3]Mapping!$B$4:$C$37,2,0)</f>
        <v>[Cake] - Cashloan</v>
      </c>
      <c r="H2382" s="128" t="str">
        <f>VLOOKUP(source[[#This Row],[lending_product_transform]],[3]Mapping!$B$3:$D$37,3,0)</f>
        <v>cashloan</v>
      </c>
      <c r="I2382" s="135">
        <v>3558500000</v>
      </c>
    </row>
    <row r="2383" spans="1:9" x14ac:dyDescent="0.2">
      <c r="A2383" s="134">
        <v>45538</v>
      </c>
      <c r="B2383" s="135">
        <f>YEAR(source[[#This Row],[report_date]])</f>
        <v>2024</v>
      </c>
      <c r="C2383" s="128">
        <f t="shared" si="102"/>
        <v>9</v>
      </c>
      <c r="D2383" s="136">
        <f t="shared" si="103"/>
        <v>36</v>
      </c>
      <c r="E2383" s="136">
        <f t="shared" si="104"/>
        <v>3</v>
      </c>
      <c r="F2383" s="128" t="s">
        <v>24</v>
      </c>
      <c r="G2383" s="128" t="str">
        <f>VLOOKUP(source[[#This Row],[lending_product_transform]],[3]Mapping!$B$4:$C$37,2,0)</f>
        <v>[Cake] - Cashloan</v>
      </c>
      <c r="H2383" s="128" t="str">
        <f>VLOOKUP(source[[#This Row],[lending_product_transform]],[3]Mapping!$B$3:$D$37,3,0)</f>
        <v>cashloan</v>
      </c>
      <c r="I2383" s="135">
        <v>32236712</v>
      </c>
    </row>
    <row r="2384" spans="1:9" x14ac:dyDescent="0.2">
      <c r="A2384" s="134">
        <v>45538</v>
      </c>
      <c r="B2384" s="135">
        <f>YEAR(source[[#This Row],[report_date]])</f>
        <v>2024</v>
      </c>
      <c r="C2384" s="128">
        <f t="shared" si="102"/>
        <v>9</v>
      </c>
      <c r="D2384" s="136">
        <f t="shared" si="103"/>
        <v>36</v>
      </c>
      <c r="E2384" s="136">
        <f t="shared" si="104"/>
        <v>3</v>
      </c>
      <c r="F2384" s="128" t="s">
        <v>24</v>
      </c>
      <c r="G2384" s="128" t="str">
        <f>VLOOKUP(source[[#This Row],[lending_product_transform]],[3]Mapping!$B$4:$C$37,2,0)</f>
        <v>[Cake] - Cashloan</v>
      </c>
      <c r="H2384" s="128" t="str">
        <f>VLOOKUP(source[[#This Row],[lending_product_transform]],[3]Mapping!$B$3:$D$37,3,0)</f>
        <v>cashloan</v>
      </c>
      <c r="I2384" s="135">
        <v>42000000</v>
      </c>
    </row>
    <row r="2385" spans="1:9" x14ac:dyDescent="0.2">
      <c r="A2385" s="134">
        <v>45538</v>
      </c>
      <c r="B2385" s="135">
        <f>YEAR(source[[#This Row],[report_date]])</f>
        <v>2024</v>
      </c>
      <c r="C2385" s="128">
        <f t="shared" si="102"/>
        <v>9</v>
      </c>
      <c r="D2385" s="136">
        <f t="shared" si="103"/>
        <v>36</v>
      </c>
      <c r="E2385" s="136">
        <f t="shared" si="104"/>
        <v>3</v>
      </c>
      <c r="F2385" s="128" t="s">
        <v>24</v>
      </c>
      <c r="G2385" s="128" t="str">
        <f>VLOOKUP(source[[#This Row],[lending_product_transform]],[3]Mapping!$B$4:$C$37,2,0)</f>
        <v>[Cake] - Cashloan</v>
      </c>
      <c r="H2385" s="128" t="str">
        <f>VLOOKUP(source[[#This Row],[lending_product_transform]],[3]Mapping!$B$3:$D$37,3,0)</f>
        <v>cashloan</v>
      </c>
      <c r="I2385" s="135">
        <v>76000000</v>
      </c>
    </row>
    <row r="2386" spans="1:9" x14ac:dyDescent="0.2">
      <c r="A2386" s="134">
        <v>45538</v>
      </c>
      <c r="B2386" s="135">
        <f>YEAR(source[[#This Row],[report_date]])</f>
        <v>2024</v>
      </c>
      <c r="C2386" s="128">
        <f t="shared" si="102"/>
        <v>9</v>
      </c>
      <c r="D2386" s="136">
        <f t="shared" si="103"/>
        <v>36</v>
      </c>
      <c r="E2386" s="136">
        <f t="shared" si="104"/>
        <v>3</v>
      </c>
      <c r="F2386" s="128" t="s">
        <v>24</v>
      </c>
      <c r="G2386" s="128" t="str">
        <f>VLOOKUP(source[[#This Row],[lending_product_transform]],[3]Mapping!$B$4:$C$37,2,0)</f>
        <v>[Cake] - Cashloan</v>
      </c>
      <c r="H2386" s="128" t="str">
        <f>VLOOKUP(source[[#This Row],[lending_product_transform]],[3]Mapping!$B$3:$D$37,3,0)</f>
        <v>cashloan</v>
      </c>
      <c r="I2386" s="135">
        <v>0</v>
      </c>
    </row>
    <row r="2387" spans="1:9" x14ac:dyDescent="0.2">
      <c r="A2387" s="134">
        <v>45539</v>
      </c>
      <c r="B2387" s="135">
        <f>YEAR(source[[#This Row],[report_date]])</f>
        <v>2024</v>
      </c>
      <c r="C2387" s="128">
        <f t="shared" si="102"/>
        <v>9</v>
      </c>
      <c r="D2387" s="136">
        <f t="shared" si="103"/>
        <v>36</v>
      </c>
      <c r="E2387" s="136">
        <f t="shared" si="104"/>
        <v>4</v>
      </c>
      <c r="F2387" s="128" t="s">
        <v>24</v>
      </c>
      <c r="G2387" s="128" t="str">
        <f>VLOOKUP(source[[#This Row],[lending_product_transform]],[3]Mapping!$B$4:$C$37,2,0)</f>
        <v>[Cake] - Cashloan</v>
      </c>
      <c r="H2387" s="128" t="str">
        <f>VLOOKUP(source[[#This Row],[lending_product_transform]],[3]Mapping!$B$3:$D$37,3,0)</f>
        <v>cashloan</v>
      </c>
      <c r="I2387" s="135">
        <v>0</v>
      </c>
    </row>
    <row r="2388" spans="1:9" x14ac:dyDescent="0.2">
      <c r="A2388" s="134">
        <v>45539</v>
      </c>
      <c r="B2388" s="135">
        <f>YEAR(source[[#This Row],[report_date]])</f>
        <v>2024</v>
      </c>
      <c r="C2388" s="128">
        <f t="shared" si="102"/>
        <v>9</v>
      </c>
      <c r="D2388" s="136">
        <f t="shared" si="103"/>
        <v>36</v>
      </c>
      <c r="E2388" s="136">
        <f t="shared" si="104"/>
        <v>4</v>
      </c>
      <c r="F2388" s="128" t="s">
        <v>24</v>
      </c>
      <c r="G2388" s="128" t="str">
        <f>VLOOKUP(source[[#This Row],[lending_product_transform]],[3]Mapping!$B$4:$C$37,2,0)</f>
        <v>[Cake] - Cashloan</v>
      </c>
      <c r="H2388" s="128" t="str">
        <f>VLOOKUP(source[[#This Row],[lending_product_transform]],[3]Mapping!$B$3:$D$37,3,0)</f>
        <v>cashloan</v>
      </c>
      <c r="I2388" s="135">
        <v>4573773276</v>
      </c>
    </row>
    <row r="2389" spans="1:9" x14ac:dyDescent="0.2">
      <c r="A2389" s="134">
        <v>45539</v>
      </c>
      <c r="B2389" s="135">
        <f>YEAR(source[[#This Row],[report_date]])</f>
        <v>2024</v>
      </c>
      <c r="C2389" s="128">
        <f t="shared" ref="C2389:C2452" si="105">MONTH(A2389)</f>
        <v>9</v>
      </c>
      <c r="D2389" s="136">
        <f t="shared" si="103"/>
        <v>36</v>
      </c>
      <c r="E2389" s="136">
        <f t="shared" si="104"/>
        <v>4</v>
      </c>
      <c r="F2389" s="128" t="s">
        <v>24</v>
      </c>
      <c r="G2389" s="128" t="str">
        <f>VLOOKUP(source[[#This Row],[lending_product_transform]],[3]Mapping!$B$4:$C$37,2,0)</f>
        <v>[Cake] - Cashloan</v>
      </c>
      <c r="H2389" s="128" t="str">
        <f>VLOOKUP(source[[#This Row],[lending_product_transform]],[3]Mapping!$B$3:$D$37,3,0)</f>
        <v>cashloan</v>
      </c>
      <c r="I2389" s="135">
        <v>21054219546</v>
      </c>
    </row>
    <row r="2390" spans="1:9" x14ac:dyDescent="0.2">
      <c r="A2390" s="134">
        <v>45539</v>
      </c>
      <c r="B2390" s="135">
        <f>YEAR(source[[#This Row],[report_date]])</f>
        <v>2024</v>
      </c>
      <c r="C2390" s="128">
        <f t="shared" si="105"/>
        <v>9</v>
      </c>
      <c r="D2390" s="136">
        <f t="shared" si="103"/>
        <v>36</v>
      </c>
      <c r="E2390" s="136">
        <f t="shared" si="104"/>
        <v>4</v>
      </c>
      <c r="F2390" s="128" t="s">
        <v>24</v>
      </c>
      <c r="G2390" s="128" t="str">
        <f>VLOOKUP(source[[#This Row],[lending_product_transform]],[3]Mapping!$B$4:$C$37,2,0)</f>
        <v>[Cake] - Cashloan</v>
      </c>
      <c r="H2390" s="128" t="str">
        <f>VLOOKUP(source[[#This Row],[lending_product_transform]],[3]Mapping!$B$3:$D$37,3,0)</f>
        <v>cashloan</v>
      </c>
      <c r="I2390" s="135">
        <v>10500000</v>
      </c>
    </row>
    <row r="2391" spans="1:9" x14ac:dyDescent="0.2">
      <c r="A2391" s="134">
        <v>45539</v>
      </c>
      <c r="B2391" s="135">
        <f>YEAR(source[[#This Row],[report_date]])</f>
        <v>2024</v>
      </c>
      <c r="C2391" s="128">
        <f t="shared" si="105"/>
        <v>9</v>
      </c>
      <c r="D2391" s="136">
        <f t="shared" si="103"/>
        <v>36</v>
      </c>
      <c r="E2391" s="136">
        <f t="shared" si="104"/>
        <v>4</v>
      </c>
      <c r="F2391" s="128" t="s">
        <v>24</v>
      </c>
      <c r="G2391" s="128" t="str">
        <f>VLOOKUP(source[[#This Row],[lending_product_transform]],[3]Mapping!$B$4:$C$37,2,0)</f>
        <v>[Cake] - Cashloan</v>
      </c>
      <c r="H2391" s="128" t="str">
        <f>VLOOKUP(source[[#This Row],[lending_product_transform]],[3]Mapping!$B$3:$D$37,3,0)</f>
        <v>cashloan</v>
      </c>
      <c r="I2391" s="135">
        <v>5224000000</v>
      </c>
    </row>
    <row r="2392" spans="1:9" x14ac:dyDescent="0.2">
      <c r="A2392" s="134">
        <v>45539</v>
      </c>
      <c r="B2392" s="135">
        <f>YEAR(source[[#This Row],[report_date]])</f>
        <v>2024</v>
      </c>
      <c r="C2392" s="128">
        <f t="shared" si="105"/>
        <v>9</v>
      </c>
      <c r="D2392" s="136">
        <f t="shared" si="103"/>
        <v>36</v>
      </c>
      <c r="E2392" s="136">
        <f t="shared" si="104"/>
        <v>4</v>
      </c>
      <c r="F2392" s="128" t="s">
        <v>24</v>
      </c>
      <c r="G2392" s="128" t="str">
        <f>VLOOKUP(source[[#This Row],[lending_product_transform]],[3]Mapping!$B$4:$C$37,2,0)</f>
        <v>[Cake] - Cashloan</v>
      </c>
      <c r="H2392" s="128" t="str">
        <f>VLOOKUP(source[[#This Row],[lending_product_transform]],[3]Mapping!$B$3:$D$37,3,0)</f>
        <v>cashloan</v>
      </c>
      <c r="I2392" s="135">
        <v>7840770000</v>
      </c>
    </row>
    <row r="2393" spans="1:9" x14ac:dyDescent="0.2">
      <c r="A2393" s="134">
        <v>45539</v>
      </c>
      <c r="B2393" s="135">
        <f>YEAR(source[[#This Row],[report_date]])</f>
        <v>2024</v>
      </c>
      <c r="C2393" s="128">
        <f t="shared" si="105"/>
        <v>9</v>
      </c>
      <c r="D2393" s="136">
        <f t="shared" si="103"/>
        <v>36</v>
      </c>
      <c r="E2393" s="136">
        <f t="shared" si="104"/>
        <v>4</v>
      </c>
      <c r="F2393" s="128" t="s">
        <v>24</v>
      </c>
      <c r="G2393" s="128" t="str">
        <f>VLOOKUP(source[[#This Row],[lending_product_transform]],[3]Mapping!$B$4:$C$37,2,0)</f>
        <v>[Cake] - Cashloan</v>
      </c>
      <c r="H2393" s="128" t="str">
        <f>VLOOKUP(source[[#This Row],[lending_product_transform]],[3]Mapping!$B$3:$D$37,3,0)</f>
        <v>cashloan</v>
      </c>
      <c r="I2393" s="135">
        <v>10700000</v>
      </c>
    </row>
    <row r="2394" spans="1:9" x14ac:dyDescent="0.2">
      <c r="A2394" s="134">
        <v>45539</v>
      </c>
      <c r="B2394" s="135">
        <f>YEAR(source[[#This Row],[report_date]])</f>
        <v>2024</v>
      </c>
      <c r="C2394" s="128">
        <f t="shared" si="105"/>
        <v>9</v>
      </c>
      <c r="D2394" s="136">
        <f t="shared" si="103"/>
        <v>36</v>
      </c>
      <c r="E2394" s="136">
        <f t="shared" si="104"/>
        <v>4</v>
      </c>
      <c r="F2394" s="128" t="s">
        <v>24</v>
      </c>
      <c r="G2394" s="128" t="str">
        <f>VLOOKUP(source[[#This Row],[lending_product_transform]],[3]Mapping!$B$4:$C$37,2,0)</f>
        <v>[Cake] - Cashloan</v>
      </c>
      <c r="H2394" s="128" t="str">
        <f>VLOOKUP(source[[#This Row],[lending_product_transform]],[3]Mapping!$B$3:$D$37,3,0)</f>
        <v>cashloan</v>
      </c>
      <c r="I2394" s="135">
        <v>2614880000</v>
      </c>
    </row>
    <row r="2395" spans="1:9" x14ac:dyDescent="0.2">
      <c r="A2395" s="134">
        <v>45539</v>
      </c>
      <c r="B2395" s="135">
        <f>YEAR(source[[#This Row],[report_date]])</f>
        <v>2024</v>
      </c>
      <c r="C2395" s="128">
        <f t="shared" si="105"/>
        <v>9</v>
      </c>
      <c r="D2395" s="136">
        <f t="shared" si="103"/>
        <v>36</v>
      </c>
      <c r="E2395" s="136">
        <f t="shared" si="104"/>
        <v>4</v>
      </c>
      <c r="F2395" s="128" t="s">
        <v>24</v>
      </c>
      <c r="G2395" s="128" t="str">
        <f>VLOOKUP(source[[#This Row],[lending_product_transform]],[3]Mapping!$B$4:$C$37,2,0)</f>
        <v>[Cake] - Cashloan</v>
      </c>
      <c r="H2395" s="128" t="str">
        <f>VLOOKUP(source[[#This Row],[lending_product_transform]],[3]Mapping!$B$3:$D$37,3,0)</f>
        <v>cashloan</v>
      </c>
      <c r="I2395" s="135">
        <v>425600160</v>
      </c>
    </row>
    <row r="2396" spans="1:9" x14ac:dyDescent="0.2">
      <c r="A2396" s="134">
        <v>45539</v>
      </c>
      <c r="B2396" s="135">
        <f>YEAR(source[[#This Row],[report_date]])</f>
        <v>2024</v>
      </c>
      <c r="C2396" s="128">
        <f t="shared" si="105"/>
        <v>9</v>
      </c>
      <c r="D2396" s="136">
        <f t="shared" si="103"/>
        <v>36</v>
      </c>
      <c r="E2396" s="136">
        <f t="shared" si="104"/>
        <v>4</v>
      </c>
      <c r="F2396" s="128" t="s">
        <v>24</v>
      </c>
      <c r="G2396" s="128" t="str">
        <f>VLOOKUP(source[[#This Row],[lending_product_transform]],[3]Mapping!$B$4:$C$37,2,0)</f>
        <v>[Cake] - Cashloan</v>
      </c>
      <c r="H2396" s="128" t="str">
        <f>VLOOKUP(source[[#This Row],[lending_product_transform]],[3]Mapping!$B$3:$D$37,3,0)</f>
        <v>cashloan</v>
      </c>
      <c r="I2396" s="135">
        <v>64686110</v>
      </c>
    </row>
    <row r="2397" spans="1:9" x14ac:dyDescent="0.2">
      <c r="A2397" s="134">
        <v>45539</v>
      </c>
      <c r="B2397" s="135">
        <f>YEAR(source[[#This Row],[report_date]])</f>
        <v>2024</v>
      </c>
      <c r="C2397" s="128">
        <f t="shared" si="105"/>
        <v>9</v>
      </c>
      <c r="D2397" s="136">
        <f t="shared" si="103"/>
        <v>36</v>
      </c>
      <c r="E2397" s="136">
        <f t="shared" si="104"/>
        <v>4</v>
      </c>
      <c r="F2397" s="128" t="s">
        <v>24</v>
      </c>
      <c r="G2397" s="128" t="str">
        <f>VLOOKUP(source[[#This Row],[lending_product_transform]],[3]Mapping!$B$4:$C$37,2,0)</f>
        <v>[Cake] - Cashloan</v>
      </c>
      <c r="H2397" s="128" t="str">
        <f>VLOOKUP(source[[#This Row],[lending_product_transform]],[3]Mapping!$B$3:$D$37,3,0)</f>
        <v>cashloan</v>
      </c>
      <c r="I2397" s="135">
        <v>165700000</v>
      </c>
    </row>
    <row r="2398" spans="1:9" x14ac:dyDescent="0.2">
      <c r="A2398" s="134">
        <v>45539</v>
      </c>
      <c r="B2398" s="135">
        <f>YEAR(source[[#This Row],[report_date]])</f>
        <v>2024</v>
      </c>
      <c r="C2398" s="128">
        <f t="shared" si="105"/>
        <v>9</v>
      </c>
      <c r="D2398" s="136">
        <f t="shared" si="103"/>
        <v>36</v>
      </c>
      <c r="E2398" s="136">
        <f t="shared" si="104"/>
        <v>4</v>
      </c>
      <c r="F2398" s="128" t="s">
        <v>24</v>
      </c>
      <c r="G2398" s="128" t="str">
        <f>VLOOKUP(source[[#This Row],[lending_product_transform]],[3]Mapping!$B$4:$C$37,2,0)</f>
        <v>[Cake] - Cashloan</v>
      </c>
      <c r="H2398" s="128" t="str">
        <f>VLOOKUP(source[[#This Row],[lending_product_transform]],[3]Mapping!$B$3:$D$37,3,0)</f>
        <v>cashloan</v>
      </c>
      <c r="I2398" s="135">
        <v>24610000</v>
      </c>
    </row>
    <row r="2399" spans="1:9" x14ac:dyDescent="0.2">
      <c r="A2399" s="134">
        <v>45539</v>
      </c>
      <c r="B2399" s="135">
        <f>YEAR(source[[#This Row],[report_date]])</f>
        <v>2024</v>
      </c>
      <c r="C2399" s="128">
        <f t="shared" si="105"/>
        <v>9</v>
      </c>
      <c r="D2399" s="136">
        <f t="shared" si="103"/>
        <v>36</v>
      </c>
      <c r="E2399" s="136">
        <f t="shared" si="104"/>
        <v>4</v>
      </c>
      <c r="F2399" s="128" t="s">
        <v>24</v>
      </c>
      <c r="G2399" s="128" t="str">
        <f>VLOOKUP(source[[#This Row],[lending_product_transform]],[3]Mapping!$B$4:$C$37,2,0)</f>
        <v>[Cake] - Cashloan</v>
      </c>
      <c r="H2399" s="128" t="str">
        <f>VLOOKUP(source[[#This Row],[lending_product_transform]],[3]Mapping!$B$3:$D$37,3,0)</f>
        <v>cashloan</v>
      </c>
      <c r="I2399" s="135">
        <v>99000000</v>
      </c>
    </row>
    <row r="2400" spans="1:9" x14ac:dyDescent="0.2">
      <c r="A2400" s="134">
        <v>45540</v>
      </c>
      <c r="B2400" s="135">
        <f>YEAR(source[[#This Row],[report_date]])</f>
        <v>2024</v>
      </c>
      <c r="C2400" s="128">
        <f t="shared" si="105"/>
        <v>9</v>
      </c>
      <c r="D2400" s="136">
        <f t="shared" si="103"/>
        <v>36</v>
      </c>
      <c r="E2400" s="136">
        <f t="shared" si="104"/>
        <v>5</v>
      </c>
      <c r="F2400" s="128" t="s">
        <v>24</v>
      </c>
      <c r="G2400" s="128" t="str">
        <f>VLOOKUP(source[[#This Row],[lending_product_transform]],[3]Mapping!$B$4:$C$37,2,0)</f>
        <v>[Cake] - Cashloan</v>
      </c>
      <c r="H2400" s="128" t="str">
        <f>VLOOKUP(source[[#This Row],[lending_product_transform]],[3]Mapping!$B$3:$D$37,3,0)</f>
        <v>cashloan</v>
      </c>
      <c r="I2400" s="135">
        <v>2902100000</v>
      </c>
    </row>
    <row r="2401" spans="1:9" x14ac:dyDescent="0.2">
      <c r="A2401" s="134">
        <v>45540</v>
      </c>
      <c r="B2401" s="135">
        <f>YEAR(source[[#This Row],[report_date]])</f>
        <v>2024</v>
      </c>
      <c r="C2401" s="128">
        <f t="shared" si="105"/>
        <v>9</v>
      </c>
      <c r="D2401" s="136">
        <f t="shared" si="103"/>
        <v>36</v>
      </c>
      <c r="E2401" s="136">
        <f t="shared" si="104"/>
        <v>5</v>
      </c>
      <c r="F2401" s="128" t="s">
        <v>24</v>
      </c>
      <c r="G2401" s="128" t="str">
        <f>VLOOKUP(source[[#This Row],[lending_product_transform]],[3]Mapping!$B$4:$C$37,2,0)</f>
        <v>[Cake] - Cashloan</v>
      </c>
      <c r="H2401" s="128" t="str">
        <f>VLOOKUP(source[[#This Row],[lending_product_transform]],[3]Mapping!$B$3:$D$37,3,0)</f>
        <v>cashloan</v>
      </c>
      <c r="I2401" s="135">
        <v>360246204</v>
      </c>
    </row>
    <row r="2402" spans="1:9" x14ac:dyDescent="0.2">
      <c r="A2402" s="134">
        <v>45540</v>
      </c>
      <c r="B2402" s="135">
        <f>YEAR(source[[#This Row],[report_date]])</f>
        <v>2024</v>
      </c>
      <c r="C2402" s="128">
        <f t="shared" si="105"/>
        <v>9</v>
      </c>
      <c r="D2402" s="136">
        <f t="shared" si="103"/>
        <v>36</v>
      </c>
      <c r="E2402" s="136">
        <f t="shared" si="104"/>
        <v>5</v>
      </c>
      <c r="F2402" s="128" t="s">
        <v>24</v>
      </c>
      <c r="G2402" s="128" t="str">
        <f>VLOOKUP(source[[#This Row],[lending_product_transform]],[3]Mapping!$B$4:$C$37,2,0)</f>
        <v>[Cake] - Cashloan</v>
      </c>
      <c r="H2402" s="128" t="str">
        <f>VLOOKUP(source[[#This Row],[lending_product_transform]],[3]Mapping!$B$3:$D$37,3,0)</f>
        <v>cashloan</v>
      </c>
      <c r="I2402" s="135">
        <v>27820000</v>
      </c>
    </row>
    <row r="2403" spans="1:9" x14ac:dyDescent="0.2">
      <c r="A2403" s="134">
        <v>45540</v>
      </c>
      <c r="B2403" s="135">
        <f>YEAR(source[[#This Row],[report_date]])</f>
        <v>2024</v>
      </c>
      <c r="C2403" s="128">
        <f t="shared" si="105"/>
        <v>9</v>
      </c>
      <c r="D2403" s="136">
        <f t="shared" si="103"/>
        <v>36</v>
      </c>
      <c r="E2403" s="136">
        <f t="shared" si="104"/>
        <v>5</v>
      </c>
      <c r="F2403" s="128" t="s">
        <v>24</v>
      </c>
      <c r="G2403" s="128" t="str">
        <f>VLOOKUP(source[[#This Row],[lending_product_transform]],[3]Mapping!$B$4:$C$37,2,0)</f>
        <v>[Cake] - Cashloan</v>
      </c>
      <c r="H2403" s="128" t="str">
        <f>VLOOKUP(source[[#This Row],[lending_product_transform]],[3]Mapping!$B$3:$D$37,3,0)</f>
        <v>cashloan</v>
      </c>
      <c r="I2403" s="135">
        <v>18736012565</v>
      </c>
    </row>
    <row r="2404" spans="1:9" x14ac:dyDescent="0.2">
      <c r="A2404" s="134">
        <v>45540</v>
      </c>
      <c r="B2404" s="135">
        <f>YEAR(source[[#This Row],[report_date]])</f>
        <v>2024</v>
      </c>
      <c r="C2404" s="128">
        <f t="shared" si="105"/>
        <v>9</v>
      </c>
      <c r="D2404" s="136">
        <f t="shared" si="103"/>
        <v>36</v>
      </c>
      <c r="E2404" s="136">
        <f t="shared" si="104"/>
        <v>5</v>
      </c>
      <c r="F2404" s="128" t="s">
        <v>24</v>
      </c>
      <c r="G2404" s="128" t="str">
        <f>VLOOKUP(source[[#This Row],[lending_product_transform]],[3]Mapping!$B$4:$C$37,2,0)</f>
        <v>[Cake] - Cashloan</v>
      </c>
      <c r="H2404" s="128" t="str">
        <f>VLOOKUP(source[[#This Row],[lending_product_transform]],[3]Mapping!$B$3:$D$37,3,0)</f>
        <v>cashloan</v>
      </c>
      <c r="I2404" s="135">
        <v>44100000</v>
      </c>
    </row>
    <row r="2405" spans="1:9" x14ac:dyDescent="0.2">
      <c r="A2405" s="134">
        <v>45540</v>
      </c>
      <c r="B2405" s="135">
        <f>YEAR(source[[#This Row],[report_date]])</f>
        <v>2024</v>
      </c>
      <c r="C2405" s="128">
        <f t="shared" si="105"/>
        <v>9</v>
      </c>
      <c r="D2405" s="136">
        <f t="shared" si="103"/>
        <v>36</v>
      </c>
      <c r="E2405" s="136">
        <f t="shared" si="104"/>
        <v>5</v>
      </c>
      <c r="F2405" s="128" t="s">
        <v>24</v>
      </c>
      <c r="G2405" s="128" t="str">
        <f>VLOOKUP(source[[#This Row],[lending_product_transform]],[3]Mapping!$B$4:$C$37,2,0)</f>
        <v>[Cake] - Cashloan</v>
      </c>
      <c r="H2405" s="128" t="str">
        <f>VLOOKUP(source[[#This Row],[lending_product_transform]],[3]Mapping!$B$3:$D$37,3,0)</f>
        <v>cashloan</v>
      </c>
      <c r="I2405" s="135">
        <v>69894223</v>
      </c>
    </row>
    <row r="2406" spans="1:9" x14ac:dyDescent="0.2">
      <c r="A2406" s="134">
        <v>45540</v>
      </c>
      <c r="B2406" s="135">
        <f>YEAR(source[[#This Row],[report_date]])</f>
        <v>2024</v>
      </c>
      <c r="C2406" s="128">
        <f t="shared" si="105"/>
        <v>9</v>
      </c>
      <c r="D2406" s="136">
        <f t="shared" si="103"/>
        <v>36</v>
      </c>
      <c r="E2406" s="136">
        <f t="shared" si="104"/>
        <v>5</v>
      </c>
      <c r="F2406" s="128" t="s">
        <v>24</v>
      </c>
      <c r="G2406" s="128" t="str">
        <f>VLOOKUP(source[[#This Row],[lending_product_transform]],[3]Mapping!$B$4:$C$37,2,0)</f>
        <v>[Cake] - Cashloan</v>
      </c>
      <c r="H2406" s="128" t="str">
        <f>VLOOKUP(source[[#This Row],[lending_product_transform]],[3]Mapping!$B$3:$D$37,3,0)</f>
        <v>cashloan</v>
      </c>
      <c r="I2406" s="135">
        <v>0</v>
      </c>
    </row>
    <row r="2407" spans="1:9" x14ac:dyDescent="0.2">
      <c r="A2407" s="134">
        <v>45540</v>
      </c>
      <c r="B2407" s="135">
        <f>YEAR(source[[#This Row],[report_date]])</f>
        <v>2024</v>
      </c>
      <c r="C2407" s="128">
        <f t="shared" si="105"/>
        <v>9</v>
      </c>
      <c r="D2407" s="136">
        <f t="shared" si="103"/>
        <v>36</v>
      </c>
      <c r="E2407" s="136">
        <f t="shared" si="104"/>
        <v>5</v>
      </c>
      <c r="F2407" s="128" t="s">
        <v>24</v>
      </c>
      <c r="G2407" s="128" t="str">
        <f>VLOOKUP(source[[#This Row],[lending_product_transform]],[3]Mapping!$B$4:$C$37,2,0)</f>
        <v>[Cake] - Cashloan</v>
      </c>
      <c r="H2407" s="128" t="str">
        <f>VLOOKUP(source[[#This Row],[lending_product_transform]],[3]Mapping!$B$3:$D$37,3,0)</f>
        <v>cashloan</v>
      </c>
      <c r="I2407" s="135">
        <v>40950000</v>
      </c>
    </row>
    <row r="2408" spans="1:9" x14ac:dyDescent="0.2">
      <c r="A2408" s="134">
        <v>45540</v>
      </c>
      <c r="B2408" s="135">
        <f>YEAR(source[[#This Row],[report_date]])</f>
        <v>2024</v>
      </c>
      <c r="C2408" s="128">
        <f t="shared" si="105"/>
        <v>9</v>
      </c>
      <c r="D2408" s="136">
        <f t="shared" si="103"/>
        <v>36</v>
      </c>
      <c r="E2408" s="136">
        <f t="shared" si="104"/>
        <v>5</v>
      </c>
      <c r="F2408" s="128" t="s">
        <v>24</v>
      </c>
      <c r="G2408" s="128" t="str">
        <f>VLOOKUP(source[[#This Row],[lending_product_transform]],[3]Mapping!$B$4:$C$37,2,0)</f>
        <v>[Cake] - Cashloan</v>
      </c>
      <c r="H2408" s="128" t="str">
        <f>VLOOKUP(source[[#This Row],[lending_product_transform]],[3]Mapping!$B$3:$D$37,3,0)</f>
        <v>cashloan</v>
      </c>
      <c r="I2408" s="135">
        <v>7985830000</v>
      </c>
    </row>
    <row r="2409" spans="1:9" x14ac:dyDescent="0.2">
      <c r="A2409" s="134">
        <v>45540</v>
      </c>
      <c r="B2409" s="135">
        <f>YEAR(source[[#This Row],[report_date]])</f>
        <v>2024</v>
      </c>
      <c r="C2409" s="128">
        <f t="shared" si="105"/>
        <v>9</v>
      </c>
      <c r="D2409" s="136">
        <f t="shared" si="103"/>
        <v>36</v>
      </c>
      <c r="E2409" s="136">
        <f t="shared" si="104"/>
        <v>5</v>
      </c>
      <c r="F2409" s="128" t="s">
        <v>24</v>
      </c>
      <c r="G2409" s="128" t="str">
        <f>VLOOKUP(source[[#This Row],[lending_product_transform]],[3]Mapping!$B$4:$C$37,2,0)</f>
        <v>[Cake] - Cashloan</v>
      </c>
      <c r="H2409" s="128" t="str">
        <f>VLOOKUP(source[[#This Row],[lending_product_transform]],[3]Mapping!$B$3:$D$37,3,0)</f>
        <v>cashloan</v>
      </c>
      <c r="I2409" s="135">
        <v>92000000</v>
      </c>
    </row>
    <row r="2410" spans="1:9" x14ac:dyDescent="0.2">
      <c r="A2410" s="134">
        <v>45540</v>
      </c>
      <c r="B2410" s="135">
        <f>YEAR(source[[#This Row],[report_date]])</f>
        <v>2024</v>
      </c>
      <c r="C2410" s="128">
        <f t="shared" si="105"/>
        <v>9</v>
      </c>
      <c r="D2410" s="136">
        <f t="shared" si="103"/>
        <v>36</v>
      </c>
      <c r="E2410" s="136">
        <f t="shared" si="104"/>
        <v>5</v>
      </c>
      <c r="F2410" s="128" t="s">
        <v>24</v>
      </c>
      <c r="G2410" s="128" t="str">
        <f>VLOOKUP(source[[#This Row],[lending_product_transform]],[3]Mapping!$B$4:$C$37,2,0)</f>
        <v>[Cake] - Cashloan</v>
      </c>
      <c r="H2410" s="128" t="str">
        <f>VLOOKUP(source[[#This Row],[lending_product_transform]],[3]Mapping!$B$3:$D$37,3,0)</f>
        <v>cashloan</v>
      </c>
      <c r="I2410" s="135">
        <v>2951500000</v>
      </c>
    </row>
    <row r="2411" spans="1:9" x14ac:dyDescent="0.2">
      <c r="A2411" s="134">
        <v>45540</v>
      </c>
      <c r="B2411" s="135">
        <f>YEAR(source[[#This Row],[report_date]])</f>
        <v>2024</v>
      </c>
      <c r="C2411" s="128">
        <f t="shared" si="105"/>
        <v>9</v>
      </c>
      <c r="D2411" s="136">
        <f t="shared" si="103"/>
        <v>36</v>
      </c>
      <c r="E2411" s="136">
        <f t="shared" si="104"/>
        <v>5</v>
      </c>
      <c r="F2411" s="128" t="s">
        <v>24</v>
      </c>
      <c r="G2411" s="128" t="str">
        <f>VLOOKUP(source[[#This Row],[lending_product_transform]],[3]Mapping!$B$4:$C$37,2,0)</f>
        <v>[Cake] - Cashloan</v>
      </c>
      <c r="H2411" s="128" t="str">
        <f>VLOOKUP(source[[#This Row],[lending_product_transform]],[3]Mapping!$B$3:$D$37,3,0)</f>
        <v>cashloan</v>
      </c>
      <c r="I2411" s="135">
        <v>4198572138</v>
      </c>
    </row>
    <row r="2412" spans="1:9" x14ac:dyDescent="0.2">
      <c r="A2412" s="134">
        <v>45540</v>
      </c>
      <c r="B2412" s="135">
        <f>YEAR(source[[#This Row],[report_date]])</f>
        <v>2024</v>
      </c>
      <c r="C2412" s="128">
        <f t="shared" si="105"/>
        <v>9</v>
      </c>
      <c r="D2412" s="136">
        <f t="shared" si="103"/>
        <v>36</v>
      </c>
      <c r="E2412" s="136">
        <f t="shared" si="104"/>
        <v>5</v>
      </c>
      <c r="F2412" s="128" t="s">
        <v>24</v>
      </c>
      <c r="G2412" s="128" t="str">
        <f>VLOOKUP(source[[#This Row],[lending_product_transform]],[3]Mapping!$B$4:$C$37,2,0)</f>
        <v>[Cake] - Cashloan</v>
      </c>
      <c r="H2412" s="128" t="str">
        <f>VLOOKUP(source[[#This Row],[lending_product_transform]],[3]Mapping!$B$3:$D$37,3,0)</f>
        <v>cashloan</v>
      </c>
      <c r="I2412" s="135">
        <v>63000000</v>
      </c>
    </row>
    <row r="2413" spans="1:9" x14ac:dyDescent="0.2">
      <c r="A2413" s="134">
        <v>45541</v>
      </c>
      <c r="B2413" s="135">
        <f>YEAR(source[[#This Row],[report_date]])</f>
        <v>2024</v>
      </c>
      <c r="C2413" s="128">
        <f t="shared" si="105"/>
        <v>9</v>
      </c>
      <c r="D2413" s="136">
        <f t="shared" si="103"/>
        <v>36</v>
      </c>
      <c r="E2413" s="136">
        <f t="shared" si="104"/>
        <v>6</v>
      </c>
      <c r="F2413" s="128" t="s">
        <v>24</v>
      </c>
      <c r="G2413" s="128" t="str">
        <f>VLOOKUP(source[[#This Row],[lending_product_transform]],[3]Mapping!$B$4:$C$37,2,0)</f>
        <v>[Cake] - Cashloan</v>
      </c>
      <c r="H2413" s="128" t="str">
        <f>VLOOKUP(source[[#This Row],[lending_product_transform]],[3]Mapping!$B$3:$D$37,3,0)</f>
        <v>cashloan</v>
      </c>
      <c r="I2413" s="135">
        <v>56750000</v>
      </c>
    </row>
    <row r="2414" spans="1:9" x14ac:dyDescent="0.2">
      <c r="A2414" s="134">
        <v>45541</v>
      </c>
      <c r="B2414" s="135">
        <f>YEAR(source[[#This Row],[report_date]])</f>
        <v>2024</v>
      </c>
      <c r="C2414" s="128">
        <f t="shared" si="105"/>
        <v>9</v>
      </c>
      <c r="D2414" s="136">
        <f t="shared" si="103"/>
        <v>36</v>
      </c>
      <c r="E2414" s="136">
        <f t="shared" si="104"/>
        <v>6</v>
      </c>
      <c r="F2414" s="128" t="s">
        <v>24</v>
      </c>
      <c r="G2414" s="128" t="str">
        <f>VLOOKUP(source[[#This Row],[lending_product_transform]],[3]Mapping!$B$4:$C$37,2,0)</f>
        <v>[Cake] - Cashloan</v>
      </c>
      <c r="H2414" s="128" t="str">
        <f>VLOOKUP(source[[#This Row],[lending_product_transform]],[3]Mapping!$B$3:$D$37,3,0)</f>
        <v>cashloan</v>
      </c>
      <c r="I2414" s="135">
        <v>12000000</v>
      </c>
    </row>
    <row r="2415" spans="1:9" x14ac:dyDescent="0.2">
      <c r="A2415" s="134">
        <v>45541</v>
      </c>
      <c r="B2415" s="135">
        <f>YEAR(source[[#This Row],[report_date]])</f>
        <v>2024</v>
      </c>
      <c r="C2415" s="128">
        <f t="shared" si="105"/>
        <v>9</v>
      </c>
      <c r="D2415" s="136">
        <f t="shared" si="103"/>
        <v>36</v>
      </c>
      <c r="E2415" s="136">
        <f t="shared" si="104"/>
        <v>6</v>
      </c>
      <c r="F2415" s="128" t="s">
        <v>24</v>
      </c>
      <c r="G2415" s="128" t="str">
        <f>VLOOKUP(source[[#This Row],[lending_product_transform]],[3]Mapping!$B$4:$C$37,2,0)</f>
        <v>[Cake] - Cashloan</v>
      </c>
      <c r="H2415" s="128" t="str">
        <f>VLOOKUP(source[[#This Row],[lending_product_transform]],[3]Mapping!$B$3:$D$37,3,0)</f>
        <v>cashloan</v>
      </c>
      <c r="I2415" s="135">
        <v>3488000000</v>
      </c>
    </row>
    <row r="2416" spans="1:9" x14ac:dyDescent="0.2">
      <c r="A2416" s="134">
        <v>45541</v>
      </c>
      <c r="B2416" s="135">
        <f>YEAR(source[[#This Row],[report_date]])</f>
        <v>2024</v>
      </c>
      <c r="C2416" s="128">
        <f t="shared" si="105"/>
        <v>9</v>
      </c>
      <c r="D2416" s="136">
        <f t="shared" si="103"/>
        <v>36</v>
      </c>
      <c r="E2416" s="136">
        <f t="shared" si="104"/>
        <v>6</v>
      </c>
      <c r="F2416" s="128" t="s">
        <v>24</v>
      </c>
      <c r="G2416" s="128" t="str">
        <f>VLOOKUP(source[[#This Row],[lending_product_transform]],[3]Mapping!$B$4:$C$37,2,0)</f>
        <v>[Cake] - Cashloan</v>
      </c>
      <c r="H2416" s="128" t="str">
        <f>VLOOKUP(source[[#This Row],[lending_product_transform]],[3]Mapping!$B$3:$D$37,3,0)</f>
        <v>cashloan</v>
      </c>
      <c r="I2416" s="135">
        <v>2879426720</v>
      </c>
    </row>
    <row r="2417" spans="1:9" x14ac:dyDescent="0.2">
      <c r="A2417" s="134">
        <v>45541</v>
      </c>
      <c r="B2417" s="135">
        <f>YEAR(source[[#This Row],[report_date]])</f>
        <v>2024</v>
      </c>
      <c r="C2417" s="128">
        <f t="shared" si="105"/>
        <v>9</v>
      </c>
      <c r="D2417" s="136">
        <f t="shared" si="103"/>
        <v>36</v>
      </c>
      <c r="E2417" s="136">
        <f t="shared" si="104"/>
        <v>6</v>
      </c>
      <c r="F2417" s="128" t="s">
        <v>24</v>
      </c>
      <c r="G2417" s="128" t="str">
        <f>VLOOKUP(source[[#This Row],[lending_product_transform]],[3]Mapping!$B$4:$C$37,2,0)</f>
        <v>[Cake] - Cashloan</v>
      </c>
      <c r="H2417" s="128" t="str">
        <f>VLOOKUP(source[[#This Row],[lending_product_transform]],[3]Mapping!$B$3:$D$37,3,0)</f>
        <v>cashloan</v>
      </c>
      <c r="I2417" s="135">
        <v>7457480000</v>
      </c>
    </row>
    <row r="2418" spans="1:9" x14ac:dyDescent="0.2">
      <c r="A2418" s="134">
        <v>45541</v>
      </c>
      <c r="B2418" s="135">
        <f>YEAR(source[[#This Row],[report_date]])</f>
        <v>2024</v>
      </c>
      <c r="C2418" s="128">
        <f t="shared" si="105"/>
        <v>9</v>
      </c>
      <c r="D2418" s="136">
        <f t="shared" si="103"/>
        <v>36</v>
      </c>
      <c r="E2418" s="136">
        <f t="shared" si="104"/>
        <v>6</v>
      </c>
      <c r="F2418" s="128" t="s">
        <v>24</v>
      </c>
      <c r="G2418" s="128" t="str">
        <f>VLOOKUP(source[[#This Row],[lending_product_transform]],[3]Mapping!$B$4:$C$37,2,0)</f>
        <v>[Cake] - Cashloan</v>
      </c>
      <c r="H2418" s="128" t="str">
        <f>VLOOKUP(source[[#This Row],[lending_product_transform]],[3]Mapping!$B$3:$D$37,3,0)</f>
        <v>cashloan</v>
      </c>
      <c r="I2418" s="135">
        <v>16606045526</v>
      </c>
    </row>
    <row r="2419" spans="1:9" x14ac:dyDescent="0.2">
      <c r="A2419" s="134">
        <v>45541</v>
      </c>
      <c r="B2419" s="135">
        <f>YEAR(source[[#This Row],[report_date]])</f>
        <v>2024</v>
      </c>
      <c r="C2419" s="128">
        <f t="shared" si="105"/>
        <v>9</v>
      </c>
      <c r="D2419" s="136">
        <f t="shared" si="103"/>
        <v>36</v>
      </c>
      <c r="E2419" s="136">
        <f t="shared" si="104"/>
        <v>6</v>
      </c>
      <c r="F2419" s="128" t="s">
        <v>24</v>
      </c>
      <c r="G2419" s="128" t="str">
        <f>VLOOKUP(source[[#This Row],[lending_product_transform]],[3]Mapping!$B$4:$C$37,2,0)</f>
        <v>[Cake] - Cashloan</v>
      </c>
      <c r="H2419" s="128" t="str">
        <f>VLOOKUP(source[[#This Row],[lending_product_transform]],[3]Mapping!$B$3:$D$37,3,0)</f>
        <v>cashloan</v>
      </c>
      <c r="I2419" s="135">
        <v>310872408</v>
      </c>
    </row>
    <row r="2420" spans="1:9" x14ac:dyDescent="0.2">
      <c r="A2420" s="134">
        <v>45541</v>
      </c>
      <c r="B2420" s="135">
        <f>YEAR(source[[#This Row],[report_date]])</f>
        <v>2024</v>
      </c>
      <c r="C2420" s="128">
        <f t="shared" si="105"/>
        <v>9</v>
      </c>
      <c r="D2420" s="136">
        <f t="shared" si="103"/>
        <v>36</v>
      </c>
      <c r="E2420" s="136">
        <f t="shared" si="104"/>
        <v>6</v>
      </c>
      <c r="F2420" s="128" t="s">
        <v>24</v>
      </c>
      <c r="G2420" s="128" t="str">
        <f>VLOOKUP(source[[#This Row],[lending_product_transform]],[3]Mapping!$B$4:$C$37,2,0)</f>
        <v>[Cake] - Cashloan</v>
      </c>
      <c r="H2420" s="128" t="str">
        <f>VLOOKUP(source[[#This Row],[lending_product_transform]],[3]Mapping!$B$3:$D$37,3,0)</f>
        <v>cashloan</v>
      </c>
      <c r="I2420" s="135">
        <v>10700000</v>
      </c>
    </row>
    <row r="2421" spans="1:9" x14ac:dyDescent="0.2">
      <c r="A2421" s="134">
        <v>45541</v>
      </c>
      <c r="B2421" s="135">
        <f>YEAR(source[[#This Row],[report_date]])</f>
        <v>2024</v>
      </c>
      <c r="C2421" s="128">
        <f t="shared" si="105"/>
        <v>9</v>
      </c>
      <c r="D2421" s="136">
        <f t="shared" si="103"/>
        <v>36</v>
      </c>
      <c r="E2421" s="136">
        <f t="shared" si="104"/>
        <v>6</v>
      </c>
      <c r="F2421" s="128" t="s">
        <v>24</v>
      </c>
      <c r="G2421" s="128" t="str">
        <f>VLOOKUP(source[[#This Row],[lending_product_transform]],[3]Mapping!$B$4:$C$37,2,0)</f>
        <v>[Cake] - Cashloan</v>
      </c>
      <c r="H2421" s="128" t="str">
        <f>VLOOKUP(source[[#This Row],[lending_product_transform]],[3]Mapping!$B$3:$D$37,3,0)</f>
        <v>cashloan</v>
      </c>
      <c r="I2421" s="135">
        <v>54216398</v>
      </c>
    </row>
    <row r="2422" spans="1:9" x14ac:dyDescent="0.2">
      <c r="A2422" s="134">
        <v>45541</v>
      </c>
      <c r="B2422" s="135">
        <f>YEAR(source[[#This Row],[report_date]])</f>
        <v>2024</v>
      </c>
      <c r="C2422" s="128">
        <f t="shared" si="105"/>
        <v>9</v>
      </c>
      <c r="D2422" s="136">
        <f t="shared" si="103"/>
        <v>36</v>
      </c>
      <c r="E2422" s="136">
        <f t="shared" si="104"/>
        <v>6</v>
      </c>
      <c r="F2422" s="128" t="s">
        <v>24</v>
      </c>
      <c r="G2422" s="128" t="str">
        <f>VLOOKUP(source[[#This Row],[lending_product_transform]],[3]Mapping!$B$4:$C$37,2,0)</f>
        <v>[Cake] - Cashloan</v>
      </c>
      <c r="H2422" s="128" t="str">
        <f>VLOOKUP(source[[#This Row],[lending_product_transform]],[3]Mapping!$B$3:$D$37,3,0)</f>
        <v>cashloan</v>
      </c>
      <c r="I2422" s="135">
        <v>46000000</v>
      </c>
    </row>
    <row r="2423" spans="1:9" x14ac:dyDescent="0.2">
      <c r="A2423" s="134">
        <v>45541</v>
      </c>
      <c r="B2423" s="135">
        <f>YEAR(source[[#This Row],[report_date]])</f>
        <v>2024</v>
      </c>
      <c r="C2423" s="128">
        <f t="shared" si="105"/>
        <v>9</v>
      </c>
      <c r="D2423" s="136">
        <f t="shared" si="103"/>
        <v>36</v>
      </c>
      <c r="E2423" s="136">
        <f t="shared" si="104"/>
        <v>6</v>
      </c>
      <c r="F2423" s="128" t="s">
        <v>24</v>
      </c>
      <c r="G2423" s="128" t="str">
        <f>VLOOKUP(source[[#This Row],[lending_product_transform]],[3]Mapping!$B$4:$C$37,2,0)</f>
        <v>[Cake] - Cashloan</v>
      </c>
      <c r="H2423" s="128" t="str">
        <f>VLOOKUP(source[[#This Row],[lending_product_transform]],[3]Mapping!$B$3:$D$37,3,0)</f>
        <v>cashloan</v>
      </c>
      <c r="I2423" s="135">
        <v>0</v>
      </c>
    </row>
    <row r="2424" spans="1:9" x14ac:dyDescent="0.2">
      <c r="A2424" s="134">
        <v>45541</v>
      </c>
      <c r="B2424" s="135">
        <f>YEAR(source[[#This Row],[report_date]])</f>
        <v>2024</v>
      </c>
      <c r="C2424" s="128">
        <f t="shared" si="105"/>
        <v>9</v>
      </c>
      <c r="D2424" s="136">
        <f t="shared" si="103"/>
        <v>36</v>
      </c>
      <c r="E2424" s="136">
        <f t="shared" si="104"/>
        <v>6</v>
      </c>
      <c r="F2424" s="128" t="s">
        <v>24</v>
      </c>
      <c r="G2424" s="128" t="str">
        <f>VLOOKUP(source[[#This Row],[lending_product_transform]],[3]Mapping!$B$4:$C$37,2,0)</f>
        <v>[Cake] - Cashloan</v>
      </c>
      <c r="H2424" s="128" t="str">
        <f>VLOOKUP(source[[#This Row],[lending_product_transform]],[3]Mapping!$B$3:$D$37,3,0)</f>
        <v>cashloan</v>
      </c>
      <c r="I2424" s="135">
        <v>68550000</v>
      </c>
    </row>
    <row r="2425" spans="1:9" x14ac:dyDescent="0.2">
      <c r="A2425" s="134">
        <v>45541</v>
      </c>
      <c r="B2425" s="135">
        <f>YEAR(source[[#This Row],[report_date]])</f>
        <v>2024</v>
      </c>
      <c r="C2425" s="128">
        <f t="shared" si="105"/>
        <v>9</v>
      </c>
      <c r="D2425" s="136">
        <f t="shared" si="103"/>
        <v>36</v>
      </c>
      <c r="E2425" s="136">
        <f t="shared" si="104"/>
        <v>6</v>
      </c>
      <c r="F2425" s="128" t="s">
        <v>24</v>
      </c>
      <c r="G2425" s="128" t="str">
        <f>VLOOKUP(source[[#This Row],[lending_product_transform]],[3]Mapping!$B$4:$C$37,2,0)</f>
        <v>[Cake] - Cashloan</v>
      </c>
      <c r="H2425" s="128" t="str">
        <f>VLOOKUP(source[[#This Row],[lending_product_transform]],[3]Mapping!$B$3:$D$37,3,0)</f>
        <v>cashloan</v>
      </c>
      <c r="I2425" s="135">
        <v>2222050000</v>
      </c>
    </row>
    <row r="2426" spans="1:9" x14ac:dyDescent="0.2">
      <c r="A2426" s="134">
        <v>45542</v>
      </c>
      <c r="B2426" s="135">
        <f>YEAR(source[[#This Row],[report_date]])</f>
        <v>2024</v>
      </c>
      <c r="C2426" s="128">
        <f t="shared" si="105"/>
        <v>9</v>
      </c>
      <c r="D2426" s="136">
        <f t="shared" si="103"/>
        <v>36</v>
      </c>
      <c r="E2426" s="136">
        <f t="shared" si="104"/>
        <v>7</v>
      </c>
      <c r="F2426" s="128" t="s">
        <v>24</v>
      </c>
      <c r="G2426" s="128" t="str">
        <f>VLOOKUP(source[[#This Row],[lending_product_transform]],[3]Mapping!$B$4:$C$37,2,0)</f>
        <v>[Cake] - Cashloan</v>
      </c>
      <c r="H2426" s="128" t="str">
        <f>VLOOKUP(source[[#This Row],[lending_product_transform]],[3]Mapping!$B$3:$D$37,3,0)</f>
        <v>cashloan</v>
      </c>
      <c r="I2426" s="135">
        <v>46274728</v>
      </c>
    </row>
    <row r="2427" spans="1:9" x14ac:dyDescent="0.2">
      <c r="A2427" s="134">
        <v>45542</v>
      </c>
      <c r="B2427" s="135">
        <f>YEAR(source[[#This Row],[report_date]])</f>
        <v>2024</v>
      </c>
      <c r="C2427" s="128">
        <f t="shared" si="105"/>
        <v>9</v>
      </c>
      <c r="D2427" s="136">
        <f t="shared" si="103"/>
        <v>36</v>
      </c>
      <c r="E2427" s="136">
        <f t="shared" si="104"/>
        <v>7</v>
      </c>
      <c r="F2427" s="128" t="s">
        <v>24</v>
      </c>
      <c r="G2427" s="128" t="str">
        <f>VLOOKUP(source[[#This Row],[lending_product_transform]],[3]Mapping!$B$4:$C$37,2,0)</f>
        <v>[Cake] - Cashloan</v>
      </c>
      <c r="H2427" s="128" t="str">
        <f>VLOOKUP(source[[#This Row],[lending_product_transform]],[3]Mapping!$B$3:$D$37,3,0)</f>
        <v>cashloan</v>
      </c>
      <c r="I2427" s="135">
        <v>234377308</v>
      </c>
    </row>
    <row r="2428" spans="1:9" x14ac:dyDescent="0.2">
      <c r="A2428" s="134">
        <v>45542</v>
      </c>
      <c r="B2428" s="135">
        <f>YEAR(source[[#This Row],[report_date]])</f>
        <v>2024</v>
      </c>
      <c r="C2428" s="128">
        <f t="shared" si="105"/>
        <v>9</v>
      </c>
      <c r="D2428" s="136">
        <f t="shared" si="103"/>
        <v>36</v>
      </c>
      <c r="E2428" s="136">
        <f t="shared" si="104"/>
        <v>7</v>
      </c>
      <c r="F2428" s="128" t="s">
        <v>24</v>
      </c>
      <c r="G2428" s="128" t="str">
        <f>VLOOKUP(source[[#This Row],[lending_product_transform]],[3]Mapping!$B$4:$C$37,2,0)</f>
        <v>[Cake] - Cashloan</v>
      </c>
      <c r="H2428" s="128" t="str">
        <f>VLOOKUP(source[[#This Row],[lending_product_transform]],[3]Mapping!$B$3:$D$37,3,0)</f>
        <v>cashloan</v>
      </c>
      <c r="I2428" s="135">
        <v>12000000</v>
      </c>
    </row>
    <row r="2429" spans="1:9" x14ac:dyDescent="0.2">
      <c r="A2429" s="134">
        <v>45542</v>
      </c>
      <c r="B2429" s="135">
        <f>YEAR(source[[#This Row],[report_date]])</f>
        <v>2024</v>
      </c>
      <c r="C2429" s="128">
        <f t="shared" si="105"/>
        <v>9</v>
      </c>
      <c r="D2429" s="136">
        <f t="shared" si="103"/>
        <v>36</v>
      </c>
      <c r="E2429" s="136">
        <f t="shared" si="104"/>
        <v>7</v>
      </c>
      <c r="F2429" s="128" t="s">
        <v>24</v>
      </c>
      <c r="G2429" s="128" t="str">
        <f>VLOOKUP(source[[#This Row],[lending_product_transform]],[3]Mapping!$B$4:$C$37,2,0)</f>
        <v>[Cake] - Cashloan</v>
      </c>
      <c r="H2429" s="128" t="str">
        <f>VLOOKUP(source[[#This Row],[lending_product_transform]],[3]Mapping!$B$3:$D$37,3,0)</f>
        <v>cashloan</v>
      </c>
      <c r="I2429" s="135">
        <v>1874890000</v>
      </c>
    </row>
    <row r="2430" spans="1:9" x14ac:dyDescent="0.2">
      <c r="A2430" s="134">
        <v>45542</v>
      </c>
      <c r="B2430" s="135">
        <f>YEAR(source[[#This Row],[report_date]])</f>
        <v>2024</v>
      </c>
      <c r="C2430" s="128">
        <f t="shared" si="105"/>
        <v>9</v>
      </c>
      <c r="D2430" s="136">
        <f t="shared" si="103"/>
        <v>36</v>
      </c>
      <c r="E2430" s="136">
        <f t="shared" si="104"/>
        <v>7</v>
      </c>
      <c r="F2430" s="128" t="s">
        <v>24</v>
      </c>
      <c r="G2430" s="128" t="str">
        <f>VLOOKUP(source[[#This Row],[lending_product_transform]],[3]Mapping!$B$4:$C$37,2,0)</f>
        <v>[Cake] - Cashloan</v>
      </c>
      <c r="H2430" s="128" t="str">
        <f>VLOOKUP(source[[#This Row],[lending_product_transform]],[3]Mapping!$B$3:$D$37,3,0)</f>
        <v>cashloan</v>
      </c>
      <c r="I2430" s="135">
        <v>21400000</v>
      </c>
    </row>
    <row r="2431" spans="1:9" x14ac:dyDescent="0.2">
      <c r="A2431" s="134">
        <v>45542</v>
      </c>
      <c r="B2431" s="135">
        <f>YEAR(source[[#This Row],[report_date]])</f>
        <v>2024</v>
      </c>
      <c r="C2431" s="128">
        <f t="shared" si="105"/>
        <v>9</v>
      </c>
      <c r="D2431" s="136">
        <f t="shared" si="103"/>
        <v>36</v>
      </c>
      <c r="E2431" s="136">
        <f t="shared" si="104"/>
        <v>7</v>
      </c>
      <c r="F2431" s="128" t="s">
        <v>24</v>
      </c>
      <c r="G2431" s="128" t="str">
        <f>VLOOKUP(source[[#This Row],[lending_product_transform]],[3]Mapping!$B$4:$C$37,2,0)</f>
        <v>[Cake] - Cashloan</v>
      </c>
      <c r="H2431" s="128" t="str">
        <f>VLOOKUP(source[[#This Row],[lending_product_transform]],[3]Mapping!$B$3:$D$37,3,0)</f>
        <v>cashloan</v>
      </c>
      <c r="I2431" s="135">
        <v>5931830000</v>
      </c>
    </row>
    <row r="2432" spans="1:9" x14ac:dyDescent="0.2">
      <c r="A2432" s="134">
        <v>45542</v>
      </c>
      <c r="B2432" s="135">
        <f>YEAR(source[[#This Row],[report_date]])</f>
        <v>2024</v>
      </c>
      <c r="C2432" s="128">
        <f t="shared" si="105"/>
        <v>9</v>
      </c>
      <c r="D2432" s="136">
        <f t="shared" si="103"/>
        <v>36</v>
      </c>
      <c r="E2432" s="136">
        <f t="shared" si="104"/>
        <v>7</v>
      </c>
      <c r="F2432" s="128" t="s">
        <v>24</v>
      </c>
      <c r="G2432" s="128" t="str">
        <f>VLOOKUP(source[[#This Row],[lending_product_transform]],[3]Mapping!$B$4:$C$37,2,0)</f>
        <v>[Cake] - Cashloan</v>
      </c>
      <c r="H2432" s="128" t="str">
        <f>VLOOKUP(source[[#This Row],[lending_product_transform]],[3]Mapping!$B$3:$D$37,3,0)</f>
        <v>cashloan</v>
      </c>
      <c r="I2432" s="135">
        <v>14366110903</v>
      </c>
    </row>
    <row r="2433" spans="1:9" x14ac:dyDescent="0.2">
      <c r="A2433" s="134">
        <v>45542</v>
      </c>
      <c r="B2433" s="135">
        <f>YEAR(source[[#This Row],[report_date]])</f>
        <v>2024</v>
      </c>
      <c r="C2433" s="128">
        <f t="shared" si="105"/>
        <v>9</v>
      </c>
      <c r="D2433" s="136">
        <f t="shared" si="103"/>
        <v>36</v>
      </c>
      <c r="E2433" s="136">
        <f t="shared" si="104"/>
        <v>7</v>
      </c>
      <c r="F2433" s="128" t="s">
        <v>24</v>
      </c>
      <c r="G2433" s="128" t="str">
        <f>VLOOKUP(source[[#This Row],[lending_product_transform]],[3]Mapping!$B$4:$C$37,2,0)</f>
        <v>[Cake] - Cashloan</v>
      </c>
      <c r="H2433" s="128" t="str">
        <f>VLOOKUP(source[[#This Row],[lending_product_transform]],[3]Mapping!$B$3:$D$37,3,0)</f>
        <v>cashloan</v>
      </c>
      <c r="I2433" s="135">
        <v>36750000</v>
      </c>
    </row>
    <row r="2434" spans="1:9" x14ac:dyDescent="0.2">
      <c r="A2434" s="134">
        <v>45542</v>
      </c>
      <c r="B2434" s="135">
        <f>YEAR(source[[#This Row],[report_date]])</f>
        <v>2024</v>
      </c>
      <c r="C2434" s="128">
        <f t="shared" si="105"/>
        <v>9</v>
      </c>
      <c r="D2434" s="136">
        <f t="shared" si="103"/>
        <v>36</v>
      </c>
      <c r="E2434" s="136">
        <f t="shared" si="104"/>
        <v>7</v>
      </c>
      <c r="F2434" s="128" t="s">
        <v>24</v>
      </c>
      <c r="G2434" s="128" t="str">
        <f>VLOOKUP(source[[#This Row],[lending_product_transform]],[3]Mapping!$B$4:$C$37,2,0)</f>
        <v>[Cake] - Cashloan</v>
      </c>
      <c r="H2434" s="128" t="str">
        <f>VLOOKUP(source[[#This Row],[lending_product_transform]],[3]Mapping!$B$3:$D$37,3,0)</f>
        <v>cashloan</v>
      </c>
      <c r="I2434" s="135">
        <v>0</v>
      </c>
    </row>
    <row r="2435" spans="1:9" x14ac:dyDescent="0.2">
      <c r="A2435" s="134">
        <v>45542</v>
      </c>
      <c r="B2435" s="135">
        <f>YEAR(source[[#This Row],[report_date]])</f>
        <v>2024</v>
      </c>
      <c r="C2435" s="128">
        <f t="shared" si="105"/>
        <v>9</v>
      </c>
      <c r="D2435" s="136">
        <f t="shared" ref="D2435:D2498" si="106">WEEKNUM(A2435,2)</f>
        <v>36</v>
      </c>
      <c r="E2435" s="136">
        <f t="shared" ref="E2435:E2498" si="107">DAY(A2435)</f>
        <v>7</v>
      </c>
      <c r="F2435" s="128" t="s">
        <v>24</v>
      </c>
      <c r="G2435" s="128" t="str">
        <f>VLOOKUP(source[[#This Row],[lending_product_transform]],[3]Mapping!$B$4:$C$37,2,0)</f>
        <v>[Cake] - Cashloan</v>
      </c>
      <c r="H2435" s="128" t="str">
        <f>VLOOKUP(source[[#This Row],[lending_product_transform]],[3]Mapping!$B$3:$D$37,3,0)</f>
        <v>cashloan</v>
      </c>
      <c r="I2435" s="135">
        <v>2178088867</v>
      </c>
    </row>
    <row r="2436" spans="1:9" x14ac:dyDescent="0.2">
      <c r="A2436" s="134">
        <v>45542</v>
      </c>
      <c r="B2436" s="135">
        <f>YEAR(source[[#This Row],[report_date]])</f>
        <v>2024</v>
      </c>
      <c r="C2436" s="128">
        <f t="shared" si="105"/>
        <v>9</v>
      </c>
      <c r="D2436" s="136">
        <f t="shared" si="106"/>
        <v>36</v>
      </c>
      <c r="E2436" s="136">
        <f t="shared" si="107"/>
        <v>7</v>
      </c>
      <c r="F2436" s="128" t="s">
        <v>24</v>
      </c>
      <c r="G2436" s="128" t="str">
        <f>VLOOKUP(source[[#This Row],[lending_product_transform]],[3]Mapping!$B$4:$C$37,2,0)</f>
        <v>[Cake] - Cashloan</v>
      </c>
      <c r="H2436" s="128" t="str">
        <f>VLOOKUP(source[[#This Row],[lending_product_transform]],[3]Mapping!$B$3:$D$37,3,0)</f>
        <v>cashloan</v>
      </c>
      <c r="I2436" s="135">
        <v>3897500000</v>
      </c>
    </row>
    <row r="2437" spans="1:9" x14ac:dyDescent="0.2">
      <c r="A2437" s="134">
        <v>45542</v>
      </c>
      <c r="B2437" s="135">
        <f>YEAR(source[[#This Row],[report_date]])</f>
        <v>2024</v>
      </c>
      <c r="C2437" s="128">
        <f t="shared" si="105"/>
        <v>9</v>
      </c>
      <c r="D2437" s="136">
        <f t="shared" si="106"/>
        <v>36</v>
      </c>
      <c r="E2437" s="136">
        <f t="shared" si="107"/>
        <v>7</v>
      </c>
      <c r="F2437" s="128" t="s">
        <v>24</v>
      </c>
      <c r="G2437" s="128" t="str">
        <f>VLOOKUP(source[[#This Row],[lending_product_transform]],[3]Mapping!$B$4:$C$37,2,0)</f>
        <v>[Cake] - Cashloan</v>
      </c>
      <c r="H2437" s="128" t="str">
        <f>VLOOKUP(source[[#This Row],[lending_product_transform]],[3]Mapping!$B$3:$D$37,3,0)</f>
        <v>cashloan</v>
      </c>
      <c r="I2437" s="135">
        <v>42000000</v>
      </c>
    </row>
    <row r="2438" spans="1:9" x14ac:dyDescent="0.2">
      <c r="A2438" s="134">
        <v>45542</v>
      </c>
      <c r="B2438" s="135">
        <f>YEAR(source[[#This Row],[report_date]])</f>
        <v>2024</v>
      </c>
      <c r="C2438" s="128">
        <f t="shared" si="105"/>
        <v>9</v>
      </c>
      <c r="D2438" s="136">
        <f t="shared" si="106"/>
        <v>36</v>
      </c>
      <c r="E2438" s="136">
        <f t="shared" si="107"/>
        <v>7</v>
      </c>
      <c r="F2438" s="128" t="s">
        <v>24</v>
      </c>
      <c r="G2438" s="128" t="str">
        <f>VLOOKUP(source[[#This Row],[lending_product_transform]],[3]Mapping!$B$4:$C$37,2,0)</f>
        <v>[Cake] - Cashloan</v>
      </c>
      <c r="H2438" s="128" t="str">
        <f>VLOOKUP(source[[#This Row],[lending_product_transform]],[3]Mapping!$B$3:$D$37,3,0)</f>
        <v>cashloan</v>
      </c>
      <c r="I2438" s="135">
        <v>91000000</v>
      </c>
    </row>
    <row r="2439" spans="1:9" x14ac:dyDescent="0.2">
      <c r="A2439" s="134">
        <v>45543</v>
      </c>
      <c r="B2439" s="135">
        <f>YEAR(source[[#This Row],[report_date]])</f>
        <v>2024</v>
      </c>
      <c r="C2439" s="128">
        <f t="shared" si="105"/>
        <v>9</v>
      </c>
      <c r="D2439" s="136">
        <f t="shared" si="106"/>
        <v>36</v>
      </c>
      <c r="E2439" s="136">
        <f t="shared" si="107"/>
        <v>8</v>
      </c>
      <c r="F2439" s="128" t="s">
        <v>24</v>
      </c>
      <c r="G2439" s="128" t="str">
        <f>VLOOKUP(source[[#This Row],[lending_product_transform]],[3]Mapping!$B$4:$C$37,2,0)</f>
        <v>[Cake] - Cashloan</v>
      </c>
      <c r="H2439" s="128" t="str">
        <f>VLOOKUP(source[[#This Row],[lending_product_transform]],[3]Mapping!$B$3:$D$37,3,0)</f>
        <v>cashloan</v>
      </c>
      <c r="I2439" s="135">
        <v>42000000</v>
      </c>
    </row>
    <row r="2440" spans="1:9" x14ac:dyDescent="0.2">
      <c r="A2440" s="134">
        <v>45543</v>
      </c>
      <c r="B2440" s="135">
        <f>YEAR(source[[#This Row],[report_date]])</f>
        <v>2024</v>
      </c>
      <c r="C2440" s="128">
        <f t="shared" si="105"/>
        <v>9</v>
      </c>
      <c r="D2440" s="136">
        <f t="shared" si="106"/>
        <v>36</v>
      </c>
      <c r="E2440" s="136">
        <f t="shared" si="107"/>
        <v>8</v>
      </c>
      <c r="F2440" s="128" t="s">
        <v>24</v>
      </c>
      <c r="G2440" s="128" t="str">
        <f>VLOOKUP(source[[#This Row],[lending_product_transform]],[3]Mapping!$B$4:$C$37,2,0)</f>
        <v>[Cake] - Cashloan</v>
      </c>
      <c r="H2440" s="128" t="str">
        <f>VLOOKUP(source[[#This Row],[lending_product_transform]],[3]Mapping!$B$3:$D$37,3,0)</f>
        <v>cashloan</v>
      </c>
      <c r="I2440" s="135">
        <v>0</v>
      </c>
    </row>
    <row r="2441" spans="1:9" x14ac:dyDescent="0.2">
      <c r="A2441" s="134">
        <v>45543</v>
      </c>
      <c r="B2441" s="135">
        <f>YEAR(source[[#This Row],[report_date]])</f>
        <v>2024</v>
      </c>
      <c r="C2441" s="128">
        <f t="shared" si="105"/>
        <v>9</v>
      </c>
      <c r="D2441" s="136">
        <f t="shared" si="106"/>
        <v>36</v>
      </c>
      <c r="E2441" s="136">
        <f t="shared" si="107"/>
        <v>8</v>
      </c>
      <c r="F2441" s="128" t="s">
        <v>24</v>
      </c>
      <c r="G2441" s="128" t="str">
        <f>VLOOKUP(source[[#This Row],[lending_product_transform]],[3]Mapping!$B$4:$C$37,2,0)</f>
        <v>[Cake] - Cashloan</v>
      </c>
      <c r="H2441" s="128" t="str">
        <f>VLOOKUP(source[[#This Row],[lending_product_transform]],[3]Mapping!$B$3:$D$37,3,0)</f>
        <v>cashloan</v>
      </c>
      <c r="I2441" s="135">
        <v>0</v>
      </c>
    </row>
    <row r="2442" spans="1:9" x14ac:dyDescent="0.2">
      <c r="A2442" s="134">
        <v>45543</v>
      </c>
      <c r="B2442" s="135">
        <f>YEAR(source[[#This Row],[report_date]])</f>
        <v>2024</v>
      </c>
      <c r="C2442" s="128">
        <f t="shared" si="105"/>
        <v>9</v>
      </c>
      <c r="D2442" s="136">
        <f t="shared" si="106"/>
        <v>36</v>
      </c>
      <c r="E2442" s="136">
        <f t="shared" si="107"/>
        <v>8</v>
      </c>
      <c r="F2442" s="128" t="s">
        <v>24</v>
      </c>
      <c r="G2442" s="128" t="str">
        <f>VLOOKUP(source[[#This Row],[lending_product_transform]],[3]Mapping!$B$4:$C$37,2,0)</f>
        <v>[Cake] - Cashloan</v>
      </c>
      <c r="H2442" s="128" t="str">
        <f>VLOOKUP(source[[#This Row],[lending_product_transform]],[3]Mapping!$B$3:$D$37,3,0)</f>
        <v>cashloan</v>
      </c>
      <c r="I2442" s="135">
        <v>4965160000</v>
      </c>
    </row>
    <row r="2443" spans="1:9" x14ac:dyDescent="0.2">
      <c r="A2443" s="134">
        <v>45543</v>
      </c>
      <c r="B2443" s="135">
        <f>YEAR(source[[#This Row],[report_date]])</f>
        <v>2024</v>
      </c>
      <c r="C2443" s="128">
        <f t="shared" si="105"/>
        <v>9</v>
      </c>
      <c r="D2443" s="136">
        <f t="shared" si="106"/>
        <v>36</v>
      </c>
      <c r="E2443" s="136">
        <f t="shared" si="107"/>
        <v>8</v>
      </c>
      <c r="F2443" s="128" t="s">
        <v>24</v>
      </c>
      <c r="G2443" s="128" t="str">
        <f>VLOOKUP(source[[#This Row],[lending_product_transform]],[3]Mapping!$B$4:$C$37,2,0)</f>
        <v>[Cake] - Cashloan</v>
      </c>
      <c r="H2443" s="128" t="str">
        <f>VLOOKUP(source[[#This Row],[lending_product_transform]],[3]Mapping!$B$3:$D$37,3,0)</f>
        <v>cashloan</v>
      </c>
      <c r="I2443" s="135">
        <v>3457500000</v>
      </c>
    </row>
    <row r="2444" spans="1:9" x14ac:dyDescent="0.2">
      <c r="A2444" s="134">
        <v>45543</v>
      </c>
      <c r="B2444" s="135">
        <f>YEAR(source[[#This Row],[report_date]])</f>
        <v>2024</v>
      </c>
      <c r="C2444" s="128">
        <f t="shared" si="105"/>
        <v>9</v>
      </c>
      <c r="D2444" s="136">
        <f t="shared" si="106"/>
        <v>36</v>
      </c>
      <c r="E2444" s="136">
        <f t="shared" si="107"/>
        <v>8</v>
      </c>
      <c r="F2444" s="128" t="s">
        <v>24</v>
      </c>
      <c r="G2444" s="128" t="str">
        <f>VLOOKUP(source[[#This Row],[lending_product_transform]],[3]Mapping!$B$4:$C$37,2,0)</f>
        <v>[Cake] - Cashloan</v>
      </c>
      <c r="H2444" s="128" t="str">
        <f>VLOOKUP(source[[#This Row],[lending_product_transform]],[3]Mapping!$B$3:$D$37,3,0)</f>
        <v>cashloan</v>
      </c>
      <c r="I2444" s="135">
        <v>48325142</v>
      </c>
    </row>
    <row r="2445" spans="1:9" x14ac:dyDescent="0.2">
      <c r="A2445" s="134">
        <v>45543</v>
      </c>
      <c r="B2445" s="135">
        <f>YEAR(source[[#This Row],[report_date]])</f>
        <v>2024</v>
      </c>
      <c r="C2445" s="128">
        <f t="shared" si="105"/>
        <v>9</v>
      </c>
      <c r="D2445" s="136">
        <f t="shared" si="106"/>
        <v>36</v>
      </c>
      <c r="E2445" s="136">
        <f t="shared" si="107"/>
        <v>8</v>
      </c>
      <c r="F2445" s="128" t="s">
        <v>24</v>
      </c>
      <c r="G2445" s="128" t="str">
        <f>VLOOKUP(source[[#This Row],[lending_product_transform]],[3]Mapping!$B$4:$C$37,2,0)</f>
        <v>[Cake] - Cashloan</v>
      </c>
      <c r="H2445" s="128" t="str">
        <f>VLOOKUP(source[[#This Row],[lending_product_transform]],[3]Mapping!$B$3:$D$37,3,0)</f>
        <v>cashloan</v>
      </c>
      <c r="I2445" s="135">
        <v>0</v>
      </c>
    </row>
    <row r="2446" spans="1:9" x14ac:dyDescent="0.2">
      <c r="A2446" s="134">
        <v>45543</v>
      </c>
      <c r="B2446" s="135">
        <f>YEAR(source[[#This Row],[report_date]])</f>
        <v>2024</v>
      </c>
      <c r="C2446" s="128">
        <f t="shared" si="105"/>
        <v>9</v>
      </c>
      <c r="D2446" s="136">
        <f t="shared" si="106"/>
        <v>36</v>
      </c>
      <c r="E2446" s="136">
        <f t="shared" si="107"/>
        <v>8</v>
      </c>
      <c r="F2446" s="128" t="s">
        <v>24</v>
      </c>
      <c r="G2446" s="128" t="str">
        <f>VLOOKUP(source[[#This Row],[lending_product_transform]],[3]Mapping!$B$4:$C$37,2,0)</f>
        <v>[Cake] - Cashloan</v>
      </c>
      <c r="H2446" s="128" t="str">
        <f>VLOOKUP(source[[#This Row],[lending_product_transform]],[3]Mapping!$B$3:$D$37,3,0)</f>
        <v>cashloan</v>
      </c>
      <c r="I2446" s="135">
        <v>12786457111</v>
      </c>
    </row>
    <row r="2447" spans="1:9" x14ac:dyDescent="0.2">
      <c r="A2447" s="134">
        <v>45543</v>
      </c>
      <c r="B2447" s="135">
        <f>YEAR(source[[#This Row],[report_date]])</f>
        <v>2024</v>
      </c>
      <c r="C2447" s="128">
        <f t="shared" si="105"/>
        <v>9</v>
      </c>
      <c r="D2447" s="136">
        <f t="shared" si="106"/>
        <v>36</v>
      </c>
      <c r="E2447" s="136">
        <f t="shared" si="107"/>
        <v>8</v>
      </c>
      <c r="F2447" s="128" t="s">
        <v>24</v>
      </c>
      <c r="G2447" s="128" t="str">
        <f>VLOOKUP(source[[#This Row],[lending_product_transform]],[3]Mapping!$B$4:$C$37,2,0)</f>
        <v>[Cake] - Cashloan</v>
      </c>
      <c r="H2447" s="128" t="str">
        <f>VLOOKUP(source[[#This Row],[lending_product_transform]],[3]Mapping!$B$3:$D$37,3,0)</f>
        <v>cashloan</v>
      </c>
      <c r="I2447" s="135">
        <v>73000000</v>
      </c>
    </row>
    <row r="2448" spans="1:9" x14ac:dyDescent="0.2">
      <c r="A2448" s="134">
        <v>45543</v>
      </c>
      <c r="B2448" s="135">
        <f>YEAR(source[[#This Row],[report_date]])</f>
        <v>2024</v>
      </c>
      <c r="C2448" s="128">
        <f t="shared" si="105"/>
        <v>9</v>
      </c>
      <c r="D2448" s="136">
        <f t="shared" si="106"/>
        <v>36</v>
      </c>
      <c r="E2448" s="136">
        <f t="shared" si="107"/>
        <v>8</v>
      </c>
      <c r="F2448" s="128" t="s">
        <v>24</v>
      </c>
      <c r="G2448" s="128" t="str">
        <f>VLOOKUP(source[[#This Row],[lending_product_transform]],[3]Mapping!$B$4:$C$37,2,0)</f>
        <v>[Cake] - Cashloan</v>
      </c>
      <c r="H2448" s="128" t="str">
        <f>VLOOKUP(source[[#This Row],[lending_product_transform]],[3]Mapping!$B$3:$D$37,3,0)</f>
        <v>cashloan</v>
      </c>
      <c r="I2448" s="135">
        <v>1494010000</v>
      </c>
    </row>
    <row r="2449" spans="1:9" x14ac:dyDescent="0.2">
      <c r="A2449" s="134">
        <v>45543</v>
      </c>
      <c r="B2449" s="135">
        <f>YEAR(source[[#This Row],[report_date]])</f>
        <v>2024</v>
      </c>
      <c r="C2449" s="128">
        <f t="shared" si="105"/>
        <v>9</v>
      </c>
      <c r="D2449" s="136">
        <f t="shared" si="106"/>
        <v>36</v>
      </c>
      <c r="E2449" s="136">
        <f t="shared" si="107"/>
        <v>8</v>
      </c>
      <c r="F2449" s="128" t="s">
        <v>24</v>
      </c>
      <c r="G2449" s="128" t="str">
        <f>VLOOKUP(source[[#This Row],[lending_product_transform]],[3]Mapping!$B$4:$C$37,2,0)</f>
        <v>[Cake] - Cashloan</v>
      </c>
      <c r="H2449" s="128" t="str">
        <f>VLOOKUP(source[[#This Row],[lending_product_transform]],[3]Mapping!$B$3:$D$37,3,0)</f>
        <v>cashloan</v>
      </c>
      <c r="I2449" s="135">
        <v>44000000</v>
      </c>
    </row>
    <row r="2450" spans="1:9" x14ac:dyDescent="0.2">
      <c r="A2450" s="134">
        <v>45543</v>
      </c>
      <c r="B2450" s="135">
        <f>YEAR(source[[#This Row],[report_date]])</f>
        <v>2024</v>
      </c>
      <c r="C2450" s="128">
        <f t="shared" si="105"/>
        <v>9</v>
      </c>
      <c r="D2450" s="136">
        <f t="shared" si="106"/>
        <v>36</v>
      </c>
      <c r="E2450" s="136">
        <f t="shared" si="107"/>
        <v>8</v>
      </c>
      <c r="F2450" s="128" t="s">
        <v>24</v>
      </c>
      <c r="G2450" s="128" t="str">
        <f>VLOOKUP(source[[#This Row],[lending_product_transform]],[3]Mapping!$B$4:$C$37,2,0)</f>
        <v>[Cake] - Cashloan</v>
      </c>
      <c r="H2450" s="128" t="str">
        <f>VLOOKUP(source[[#This Row],[lending_product_transform]],[3]Mapping!$B$3:$D$37,3,0)</f>
        <v>cashloan</v>
      </c>
      <c r="I2450" s="135">
        <v>156447824</v>
      </c>
    </row>
    <row r="2451" spans="1:9" x14ac:dyDescent="0.2">
      <c r="A2451" s="134">
        <v>45543</v>
      </c>
      <c r="B2451" s="135">
        <f>YEAR(source[[#This Row],[report_date]])</f>
        <v>2024</v>
      </c>
      <c r="C2451" s="128">
        <f t="shared" si="105"/>
        <v>9</v>
      </c>
      <c r="D2451" s="136">
        <f t="shared" si="106"/>
        <v>36</v>
      </c>
      <c r="E2451" s="136">
        <f t="shared" si="107"/>
        <v>8</v>
      </c>
      <c r="F2451" s="128" t="s">
        <v>24</v>
      </c>
      <c r="G2451" s="128" t="str">
        <f>VLOOKUP(source[[#This Row],[lending_product_transform]],[3]Mapping!$B$4:$C$37,2,0)</f>
        <v>[Cake] - Cashloan</v>
      </c>
      <c r="H2451" s="128" t="str">
        <f>VLOOKUP(source[[#This Row],[lending_product_transform]],[3]Mapping!$B$3:$D$37,3,0)</f>
        <v>cashloan</v>
      </c>
      <c r="I2451" s="135">
        <v>2506014145</v>
      </c>
    </row>
    <row r="2452" spans="1:9" x14ac:dyDescent="0.2">
      <c r="A2452" s="134">
        <v>45544</v>
      </c>
      <c r="B2452" s="135">
        <f>YEAR(source[[#This Row],[report_date]])</f>
        <v>2024</v>
      </c>
      <c r="C2452" s="128">
        <f t="shared" si="105"/>
        <v>9</v>
      </c>
      <c r="D2452" s="136">
        <f t="shared" si="106"/>
        <v>37</v>
      </c>
      <c r="E2452" s="136">
        <f t="shared" si="107"/>
        <v>9</v>
      </c>
      <c r="F2452" s="137" t="s">
        <v>24</v>
      </c>
      <c r="G2452" s="128" t="str">
        <f>VLOOKUP(source[[#This Row],[lending_product_transform]],[3]Mapping!$B$4:$C$37,2,0)</f>
        <v>[Cake] - Cashloan</v>
      </c>
      <c r="H2452" s="128" t="str">
        <f>VLOOKUP(source[[#This Row],[lending_product_transform]],[3]Mapping!$B$3:$D$37,3,0)</f>
        <v>cashloan</v>
      </c>
      <c r="I2452" s="135">
        <v>17416469127</v>
      </c>
    </row>
    <row r="2453" spans="1:9" x14ac:dyDescent="0.2">
      <c r="A2453" s="134">
        <v>45544</v>
      </c>
      <c r="B2453" s="135">
        <f>YEAR(source[[#This Row],[report_date]])</f>
        <v>2024</v>
      </c>
      <c r="C2453" s="128">
        <f t="shared" ref="C2453:C2516" si="108">MONTH(A2453)</f>
        <v>9</v>
      </c>
      <c r="D2453" s="136">
        <f t="shared" si="106"/>
        <v>37</v>
      </c>
      <c r="E2453" s="136">
        <f t="shared" si="107"/>
        <v>9</v>
      </c>
      <c r="F2453" s="137" t="s">
        <v>24</v>
      </c>
      <c r="G2453" s="128" t="str">
        <f>VLOOKUP(source[[#This Row],[lending_product_transform]],[3]Mapping!$B$4:$C$37,2,0)</f>
        <v>[Cake] - Cashloan</v>
      </c>
      <c r="H2453" s="128" t="str">
        <f>VLOOKUP(source[[#This Row],[lending_product_transform]],[3]Mapping!$B$3:$D$37,3,0)</f>
        <v>cashloan</v>
      </c>
      <c r="I2453" s="135">
        <v>32100000</v>
      </c>
    </row>
    <row r="2454" spans="1:9" x14ac:dyDescent="0.2">
      <c r="A2454" s="134">
        <v>45544</v>
      </c>
      <c r="B2454" s="135">
        <f>YEAR(source[[#This Row],[report_date]])</f>
        <v>2024</v>
      </c>
      <c r="C2454" s="128">
        <f t="shared" si="108"/>
        <v>9</v>
      </c>
      <c r="D2454" s="136">
        <f t="shared" si="106"/>
        <v>37</v>
      </c>
      <c r="E2454" s="136">
        <f t="shared" si="107"/>
        <v>9</v>
      </c>
      <c r="F2454" s="137" t="s">
        <v>24</v>
      </c>
      <c r="G2454" s="128" t="str">
        <f>VLOOKUP(source[[#This Row],[lending_product_transform]],[3]Mapping!$B$4:$C$37,2,0)</f>
        <v>[Cake] - Cashloan</v>
      </c>
      <c r="H2454" s="128" t="str">
        <f>VLOOKUP(source[[#This Row],[lending_product_transform]],[3]Mapping!$B$3:$D$37,3,0)</f>
        <v>cashloan</v>
      </c>
      <c r="I2454" s="135">
        <v>2182070000</v>
      </c>
    </row>
    <row r="2455" spans="1:9" x14ac:dyDescent="0.2">
      <c r="A2455" s="134">
        <v>45544</v>
      </c>
      <c r="B2455" s="135">
        <f>YEAR(source[[#This Row],[report_date]])</f>
        <v>2024</v>
      </c>
      <c r="C2455" s="128">
        <f t="shared" si="108"/>
        <v>9</v>
      </c>
      <c r="D2455" s="136">
        <f t="shared" si="106"/>
        <v>37</v>
      </c>
      <c r="E2455" s="136">
        <f t="shared" si="107"/>
        <v>9</v>
      </c>
      <c r="F2455" s="137" t="s">
        <v>24</v>
      </c>
      <c r="G2455" s="128" t="str">
        <f>VLOOKUP(source[[#This Row],[lending_product_transform]],[3]Mapping!$B$4:$C$37,2,0)</f>
        <v>[Cake] - Cashloan</v>
      </c>
      <c r="H2455" s="128" t="str">
        <f>VLOOKUP(source[[#This Row],[lending_product_transform]],[3]Mapping!$B$3:$D$37,3,0)</f>
        <v>cashloan</v>
      </c>
      <c r="I2455" s="135">
        <v>82000000</v>
      </c>
    </row>
    <row r="2456" spans="1:9" x14ac:dyDescent="0.2">
      <c r="A2456" s="134">
        <v>45544</v>
      </c>
      <c r="B2456" s="135">
        <f>YEAR(source[[#This Row],[report_date]])</f>
        <v>2024</v>
      </c>
      <c r="C2456" s="128">
        <f t="shared" si="108"/>
        <v>9</v>
      </c>
      <c r="D2456" s="136">
        <f t="shared" si="106"/>
        <v>37</v>
      </c>
      <c r="E2456" s="136">
        <f t="shared" si="107"/>
        <v>9</v>
      </c>
      <c r="F2456" s="137" t="s">
        <v>24</v>
      </c>
      <c r="G2456" s="128" t="str">
        <f>VLOOKUP(source[[#This Row],[lending_product_transform]],[3]Mapping!$B$4:$C$37,2,0)</f>
        <v>[Cake] - Cashloan</v>
      </c>
      <c r="H2456" s="128" t="str">
        <f>VLOOKUP(source[[#This Row],[lending_product_transform]],[3]Mapping!$B$3:$D$37,3,0)</f>
        <v>cashloan</v>
      </c>
      <c r="I2456" s="135">
        <v>97000000</v>
      </c>
    </row>
    <row r="2457" spans="1:9" x14ac:dyDescent="0.2">
      <c r="A2457" s="134">
        <v>45544</v>
      </c>
      <c r="B2457" s="135">
        <f>YEAR(source[[#This Row],[report_date]])</f>
        <v>2024</v>
      </c>
      <c r="C2457" s="128">
        <f t="shared" si="108"/>
        <v>9</v>
      </c>
      <c r="D2457" s="136">
        <f t="shared" si="106"/>
        <v>37</v>
      </c>
      <c r="E2457" s="136">
        <f t="shared" si="107"/>
        <v>9</v>
      </c>
      <c r="F2457" s="137" t="s">
        <v>24</v>
      </c>
      <c r="G2457" s="128" t="str">
        <f>VLOOKUP(source[[#This Row],[lending_product_transform]],[3]Mapping!$B$4:$C$37,2,0)</f>
        <v>[Cake] - Cashloan</v>
      </c>
      <c r="H2457" s="128" t="str">
        <f>VLOOKUP(source[[#This Row],[lending_product_transform]],[3]Mapping!$B$3:$D$37,3,0)</f>
        <v>cashloan</v>
      </c>
      <c r="I2457" s="135">
        <v>0</v>
      </c>
    </row>
    <row r="2458" spans="1:9" x14ac:dyDescent="0.2">
      <c r="A2458" s="134">
        <v>45544</v>
      </c>
      <c r="B2458" s="135">
        <f>YEAR(source[[#This Row],[report_date]])</f>
        <v>2024</v>
      </c>
      <c r="C2458" s="128">
        <f t="shared" si="108"/>
        <v>9</v>
      </c>
      <c r="D2458" s="136">
        <f t="shared" si="106"/>
        <v>37</v>
      </c>
      <c r="E2458" s="136">
        <f t="shared" si="107"/>
        <v>9</v>
      </c>
      <c r="F2458" s="137" t="s">
        <v>24</v>
      </c>
      <c r="G2458" s="128" t="str">
        <f>VLOOKUP(source[[#This Row],[lending_product_transform]],[3]Mapping!$B$4:$C$37,2,0)</f>
        <v>[Cake] - Cashloan</v>
      </c>
      <c r="H2458" s="128" t="str">
        <f>VLOOKUP(source[[#This Row],[lending_product_transform]],[3]Mapping!$B$3:$D$37,3,0)</f>
        <v>cashloan</v>
      </c>
      <c r="I2458" s="135">
        <v>4436000000</v>
      </c>
    </row>
    <row r="2459" spans="1:9" x14ac:dyDescent="0.2">
      <c r="A2459" s="134">
        <v>45544</v>
      </c>
      <c r="B2459" s="135">
        <f>YEAR(source[[#This Row],[report_date]])</f>
        <v>2024</v>
      </c>
      <c r="C2459" s="128">
        <f t="shared" si="108"/>
        <v>9</v>
      </c>
      <c r="D2459" s="136">
        <f t="shared" si="106"/>
        <v>37</v>
      </c>
      <c r="E2459" s="136">
        <f t="shared" si="107"/>
        <v>9</v>
      </c>
      <c r="F2459" s="137" t="s">
        <v>24</v>
      </c>
      <c r="G2459" s="128" t="str">
        <f>VLOOKUP(source[[#This Row],[lending_product_transform]],[3]Mapping!$B$4:$C$37,2,0)</f>
        <v>[Cake] - Cashloan</v>
      </c>
      <c r="H2459" s="128" t="str">
        <f>VLOOKUP(source[[#This Row],[lending_product_transform]],[3]Mapping!$B$3:$D$37,3,0)</f>
        <v>cashloan</v>
      </c>
      <c r="I2459" s="135">
        <v>42000000</v>
      </c>
    </row>
    <row r="2460" spans="1:9" x14ac:dyDescent="0.2">
      <c r="A2460" s="134">
        <v>45544</v>
      </c>
      <c r="B2460" s="135">
        <f>YEAR(source[[#This Row],[report_date]])</f>
        <v>2024</v>
      </c>
      <c r="C2460" s="128">
        <f t="shared" si="108"/>
        <v>9</v>
      </c>
      <c r="D2460" s="136">
        <f t="shared" si="106"/>
        <v>37</v>
      </c>
      <c r="E2460" s="136">
        <f t="shared" si="107"/>
        <v>9</v>
      </c>
      <c r="F2460" s="137" t="s">
        <v>24</v>
      </c>
      <c r="G2460" s="128" t="str">
        <f>VLOOKUP(source[[#This Row],[lending_product_transform]],[3]Mapping!$B$4:$C$37,2,0)</f>
        <v>[Cake] - Cashloan</v>
      </c>
      <c r="H2460" s="128" t="str">
        <f>VLOOKUP(source[[#This Row],[lending_product_transform]],[3]Mapping!$B$3:$D$37,3,0)</f>
        <v>cashloan</v>
      </c>
      <c r="I2460" s="135">
        <v>0</v>
      </c>
    </row>
    <row r="2461" spans="1:9" x14ac:dyDescent="0.2">
      <c r="A2461" s="134">
        <v>45544</v>
      </c>
      <c r="B2461" s="135">
        <f>YEAR(source[[#This Row],[report_date]])</f>
        <v>2024</v>
      </c>
      <c r="C2461" s="128">
        <f t="shared" si="108"/>
        <v>9</v>
      </c>
      <c r="D2461" s="136">
        <f t="shared" si="106"/>
        <v>37</v>
      </c>
      <c r="E2461" s="136">
        <f t="shared" si="107"/>
        <v>9</v>
      </c>
      <c r="F2461" s="137" t="s">
        <v>24</v>
      </c>
      <c r="G2461" s="128" t="str">
        <f>VLOOKUP(source[[#This Row],[lending_product_transform]],[3]Mapping!$B$4:$C$37,2,0)</f>
        <v>[Cake] - Cashloan</v>
      </c>
      <c r="H2461" s="128" t="str">
        <f>VLOOKUP(source[[#This Row],[lending_product_transform]],[3]Mapping!$B$3:$D$37,3,0)</f>
        <v>cashloan</v>
      </c>
      <c r="I2461" s="135">
        <v>3487622641</v>
      </c>
    </row>
    <row r="2462" spans="1:9" x14ac:dyDescent="0.2">
      <c r="A2462" s="134">
        <v>45544</v>
      </c>
      <c r="B2462" s="135">
        <f>YEAR(source[[#This Row],[report_date]])</f>
        <v>2024</v>
      </c>
      <c r="C2462" s="128">
        <f t="shared" si="108"/>
        <v>9</v>
      </c>
      <c r="D2462" s="136">
        <f t="shared" si="106"/>
        <v>37</v>
      </c>
      <c r="E2462" s="136">
        <f t="shared" si="107"/>
        <v>9</v>
      </c>
      <c r="F2462" s="137" t="s">
        <v>24</v>
      </c>
      <c r="G2462" s="128" t="str">
        <f>VLOOKUP(source[[#This Row],[lending_product_transform]],[3]Mapping!$B$4:$C$37,2,0)</f>
        <v>[Cake] - Cashloan</v>
      </c>
      <c r="H2462" s="128" t="str">
        <f>VLOOKUP(source[[#This Row],[lending_product_transform]],[3]Mapping!$B$3:$D$37,3,0)</f>
        <v>cashloan</v>
      </c>
      <c r="I2462" s="135">
        <v>44663034</v>
      </c>
    </row>
    <row r="2463" spans="1:9" x14ac:dyDescent="0.2">
      <c r="A2463" s="134">
        <v>45544</v>
      </c>
      <c r="B2463" s="135">
        <f>YEAR(source[[#This Row],[report_date]])</f>
        <v>2024</v>
      </c>
      <c r="C2463" s="128">
        <f t="shared" si="108"/>
        <v>9</v>
      </c>
      <c r="D2463" s="136">
        <f t="shared" si="106"/>
        <v>37</v>
      </c>
      <c r="E2463" s="136">
        <f t="shared" si="107"/>
        <v>9</v>
      </c>
      <c r="F2463" s="137" t="s">
        <v>24</v>
      </c>
      <c r="G2463" s="128" t="str">
        <f>VLOOKUP(source[[#This Row],[lending_product_transform]],[3]Mapping!$B$4:$C$37,2,0)</f>
        <v>[Cake] - Cashloan</v>
      </c>
      <c r="H2463" s="128" t="str">
        <f>VLOOKUP(source[[#This Row],[lending_product_transform]],[3]Mapping!$B$3:$D$37,3,0)</f>
        <v>cashloan</v>
      </c>
      <c r="I2463" s="135">
        <v>6743310000</v>
      </c>
    </row>
    <row r="2464" spans="1:9" x14ac:dyDescent="0.2">
      <c r="A2464" s="134">
        <v>45544</v>
      </c>
      <c r="B2464" s="135">
        <f>YEAR(source[[#This Row],[report_date]])</f>
        <v>2024</v>
      </c>
      <c r="C2464" s="128">
        <f t="shared" si="108"/>
        <v>9</v>
      </c>
      <c r="D2464" s="136">
        <f t="shared" si="106"/>
        <v>37</v>
      </c>
      <c r="E2464" s="136">
        <f t="shared" si="107"/>
        <v>9</v>
      </c>
      <c r="F2464" s="137" t="s">
        <v>24</v>
      </c>
      <c r="G2464" s="128" t="str">
        <f>VLOOKUP(source[[#This Row],[lending_product_transform]],[3]Mapping!$B$4:$C$37,2,0)</f>
        <v>[Cake] - Cashloan</v>
      </c>
      <c r="H2464" s="128" t="str">
        <f>VLOOKUP(source[[#This Row],[lending_product_transform]],[3]Mapping!$B$3:$D$37,3,0)</f>
        <v>cashloan</v>
      </c>
      <c r="I2464" s="135">
        <v>269703452</v>
      </c>
    </row>
    <row r="2465" spans="1:9" x14ac:dyDescent="0.2">
      <c r="A2465" s="134">
        <v>45545</v>
      </c>
      <c r="B2465" s="135">
        <f>YEAR(source[[#This Row],[report_date]])</f>
        <v>2024</v>
      </c>
      <c r="C2465" s="128">
        <f t="shared" si="108"/>
        <v>9</v>
      </c>
      <c r="D2465" s="136">
        <f t="shared" si="106"/>
        <v>37</v>
      </c>
      <c r="E2465" s="136">
        <f t="shared" si="107"/>
        <v>10</v>
      </c>
      <c r="F2465" s="137" t="s">
        <v>24</v>
      </c>
      <c r="G2465" s="128" t="str">
        <f>VLOOKUP(source[[#This Row],[lending_product_transform]],[3]Mapping!$B$4:$C$37,2,0)</f>
        <v>[Cake] - Cashloan</v>
      </c>
      <c r="H2465" s="128" t="str">
        <f>VLOOKUP(source[[#This Row],[lending_product_transform]],[3]Mapping!$B$3:$D$37,3,0)</f>
        <v>cashloan</v>
      </c>
      <c r="I2465" s="135">
        <v>18379938781</v>
      </c>
    </row>
    <row r="2466" spans="1:9" x14ac:dyDescent="0.2">
      <c r="A2466" s="134">
        <v>45545</v>
      </c>
      <c r="B2466" s="135">
        <f>YEAR(source[[#This Row],[report_date]])</f>
        <v>2024</v>
      </c>
      <c r="C2466" s="128">
        <f t="shared" si="108"/>
        <v>9</v>
      </c>
      <c r="D2466" s="136">
        <f t="shared" si="106"/>
        <v>37</v>
      </c>
      <c r="E2466" s="136">
        <f t="shared" si="107"/>
        <v>10</v>
      </c>
      <c r="F2466" s="137" t="s">
        <v>24</v>
      </c>
      <c r="G2466" s="128" t="str">
        <f>VLOOKUP(source[[#This Row],[lending_product_transform]],[3]Mapping!$B$4:$C$37,2,0)</f>
        <v>[Cake] - Cashloan</v>
      </c>
      <c r="H2466" s="128" t="str">
        <f>VLOOKUP(source[[#This Row],[lending_product_transform]],[3]Mapping!$B$3:$D$37,3,0)</f>
        <v>cashloan</v>
      </c>
      <c r="I2466" s="135">
        <v>45403481</v>
      </c>
    </row>
    <row r="2467" spans="1:9" x14ac:dyDescent="0.2">
      <c r="A2467" s="134">
        <v>45545</v>
      </c>
      <c r="B2467" s="135">
        <f>YEAR(source[[#This Row],[report_date]])</f>
        <v>2024</v>
      </c>
      <c r="C2467" s="128">
        <f t="shared" si="108"/>
        <v>9</v>
      </c>
      <c r="D2467" s="136">
        <f t="shared" si="106"/>
        <v>37</v>
      </c>
      <c r="E2467" s="136">
        <f t="shared" si="107"/>
        <v>10</v>
      </c>
      <c r="F2467" s="137" t="s">
        <v>24</v>
      </c>
      <c r="G2467" s="128" t="str">
        <f>VLOOKUP(source[[#This Row],[lending_product_transform]],[3]Mapping!$B$4:$C$37,2,0)</f>
        <v>[Cake] - Cashloan</v>
      </c>
      <c r="H2467" s="128" t="str">
        <f>VLOOKUP(source[[#This Row],[lending_product_transform]],[3]Mapping!$B$3:$D$37,3,0)</f>
        <v>cashloan</v>
      </c>
      <c r="I2467" s="135">
        <v>6420000</v>
      </c>
    </row>
    <row r="2468" spans="1:9" x14ac:dyDescent="0.2">
      <c r="A2468" s="134">
        <v>45545</v>
      </c>
      <c r="B2468" s="135">
        <f>YEAR(source[[#This Row],[report_date]])</f>
        <v>2024</v>
      </c>
      <c r="C2468" s="128">
        <f t="shared" si="108"/>
        <v>9</v>
      </c>
      <c r="D2468" s="136">
        <f t="shared" si="106"/>
        <v>37</v>
      </c>
      <c r="E2468" s="136">
        <f t="shared" si="107"/>
        <v>10</v>
      </c>
      <c r="F2468" s="137" t="s">
        <v>24</v>
      </c>
      <c r="G2468" s="128" t="str">
        <f>VLOOKUP(source[[#This Row],[lending_product_transform]],[3]Mapping!$B$4:$C$37,2,0)</f>
        <v>[Cake] - Cashloan</v>
      </c>
      <c r="H2468" s="128" t="str">
        <f>VLOOKUP(source[[#This Row],[lending_product_transform]],[3]Mapping!$B$3:$D$37,3,0)</f>
        <v>cashloan</v>
      </c>
      <c r="I2468" s="135">
        <v>140000000</v>
      </c>
    </row>
    <row r="2469" spans="1:9" x14ac:dyDescent="0.2">
      <c r="A2469" s="134">
        <v>45545</v>
      </c>
      <c r="B2469" s="135">
        <f>YEAR(source[[#This Row],[report_date]])</f>
        <v>2024</v>
      </c>
      <c r="C2469" s="128">
        <f t="shared" si="108"/>
        <v>9</v>
      </c>
      <c r="D2469" s="136">
        <f t="shared" si="106"/>
        <v>37</v>
      </c>
      <c r="E2469" s="136">
        <f t="shared" si="107"/>
        <v>10</v>
      </c>
      <c r="F2469" s="137" t="s">
        <v>24</v>
      </c>
      <c r="G2469" s="128" t="str">
        <f>VLOOKUP(source[[#This Row],[lending_product_transform]],[3]Mapping!$B$4:$C$37,2,0)</f>
        <v>[Cake] - Cashloan</v>
      </c>
      <c r="H2469" s="128" t="str">
        <f>VLOOKUP(source[[#This Row],[lending_product_transform]],[3]Mapping!$B$3:$D$37,3,0)</f>
        <v>cashloan</v>
      </c>
      <c r="I2469" s="135">
        <v>0</v>
      </c>
    </row>
    <row r="2470" spans="1:9" x14ac:dyDescent="0.2">
      <c r="A2470" s="134">
        <v>45545</v>
      </c>
      <c r="B2470" s="135">
        <f>YEAR(source[[#This Row],[report_date]])</f>
        <v>2024</v>
      </c>
      <c r="C2470" s="128">
        <f t="shared" si="108"/>
        <v>9</v>
      </c>
      <c r="D2470" s="136">
        <f t="shared" si="106"/>
        <v>37</v>
      </c>
      <c r="E2470" s="136">
        <f t="shared" si="107"/>
        <v>10</v>
      </c>
      <c r="F2470" s="137" t="s">
        <v>24</v>
      </c>
      <c r="G2470" s="128" t="str">
        <f>VLOOKUP(source[[#This Row],[lending_product_transform]],[3]Mapping!$B$4:$C$37,2,0)</f>
        <v>[Cake] - Cashloan</v>
      </c>
      <c r="H2470" s="128" t="str">
        <f>VLOOKUP(source[[#This Row],[lending_product_transform]],[3]Mapping!$B$3:$D$37,3,0)</f>
        <v>cashloan</v>
      </c>
      <c r="I2470" s="135">
        <v>238654927</v>
      </c>
    </row>
    <row r="2471" spans="1:9" x14ac:dyDescent="0.2">
      <c r="A2471" s="134">
        <v>45545</v>
      </c>
      <c r="B2471" s="135">
        <f>YEAR(source[[#This Row],[report_date]])</f>
        <v>2024</v>
      </c>
      <c r="C2471" s="128">
        <f t="shared" si="108"/>
        <v>9</v>
      </c>
      <c r="D2471" s="136">
        <f t="shared" si="106"/>
        <v>37</v>
      </c>
      <c r="E2471" s="136">
        <f t="shared" si="107"/>
        <v>10</v>
      </c>
      <c r="F2471" s="137" t="s">
        <v>24</v>
      </c>
      <c r="G2471" s="128" t="str">
        <f>VLOOKUP(source[[#This Row],[lending_product_transform]],[3]Mapping!$B$4:$C$37,2,0)</f>
        <v>[Cake] - Cashloan</v>
      </c>
      <c r="H2471" s="128" t="str">
        <f>VLOOKUP(source[[#This Row],[lending_product_transform]],[3]Mapping!$B$3:$D$37,3,0)</f>
        <v>cashloan</v>
      </c>
      <c r="I2471" s="135">
        <v>73000000</v>
      </c>
    </row>
    <row r="2472" spans="1:9" x14ac:dyDescent="0.2">
      <c r="A2472" s="134">
        <v>45545</v>
      </c>
      <c r="B2472" s="135">
        <f>YEAR(source[[#This Row],[report_date]])</f>
        <v>2024</v>
      </c>
      <c r="C2472" s="128">
        <f t="shared" si="108"/>
        <v>9</v>
      </c>
      <c r="D2472" s="136">
        <f t="shared" si="106"/>
        <v>37</v>
      </c>
      <c r="E2472" s="136">
        <f t="shared" si="107"/>
        <v>10</v>
      </c>
      <c r="F2472" s="137" t="s">
        <v>24</v>
      </c>
      <c r="G2472" s="128" t="str">
        <f>VLOOKUP(source[[#This Row],[lending_product_transform]],[3]Mapping!$B$4:$C$37,2,0)</f>
        <v>[Cake] - Cashloan</v>
      </c>
      <c r="H2472" s="128" t="str">
        <f>VLOOKUP(source[[#This Row],[lending_product_transform]],[3]Mapping!$B$3:$D$37,3,0)</f>
        <v>cashloan</v>
      </c>
      <c r="I2472" s="135">
        <v>3221580373</v>
      </c>
    </row>
    <row r="2473" spans="1:9" x14ac:dyDescent="0.2">
      <c r="A2473" s="134">
        <v>45545</v>
      </c>
      <c r="B2473" s="135">
        <f>YEAR(source[[#This Row],[report_date]])</f>
        <v>2024</v>
      </c>
      <c r="C2473" s="128">
        <f t="shared" si="108"/>
        <v>9</v>
      </c>
      <c r="D2473" s="136">
        <f t="shared" si="106"/>
        <v>37</v>
      </c>
      <c r="E2473" s="136">
        <f t="shared" si="107"/>
        <v>10</v>
      </c>
      <c r="F2473" s="137" t="s">
        <v>24</v>
      </c>
      <c r="G2473" s="128" t="str">
        <f>VLOOKUP(source[[#This Row],[lending_product_transform]],[3]Mapping!$B$4:$C$37,2,0)</f>
        <v>[Cake] - Cashloan</v>
      </c>
      <c r="H2473" s="128" t="str">
        <f>VLOOKUP(source[[#This Row],[lending_product_transform]],[3]Mapping!$B$3:$D$37,3,0)</f>
        <v>cashloan</v>
      </c>
      <c r="I2473" s="135">
        <v>79000000</v>
      </c>
    </row>
    <row r="2474" spans="1:9" x14ac:dyDescent="0.2">
      <c r="A2474" s="134">
        <v>45545</v>
      </c>
      <c r="B2474" s="135">
        <f>YEAR(source[[#This Row],[report_date]])</f>
        <v>2024</v>
      </c>
      <c r="C2474" s="128">
        <f t="shared" si="108"/>
        <v>9</v>
      </c>
      <c r="D2474" s="136">
        <f t="shared" si="106"/>
        <v>37</v>
      </c>
      <c r="E2474" s="136">
        <f t="shared" si="107"/>
        <v>10</v>
      </c>
      <c r="F2474" s="137" t="s">
        <v>24</v>
      </c>
      <c r="G2474" s="128" t="str">
        <f>VLOOKUP(source[[#This Row],[lending_product_transform]],[3]Mapping!$B$4:$C$37,2,0)</f>
        <v>[Cake] - Cashloan</v>
      </c>
      <c r="H2474" s="128" t="str">
        <f>VLOOKUP(source[[#This Row],[lending_product_transform]],[3]Mapping!$B$3:$D$37,3,0)</f>
        <v>cashloan</v>
      </c>
      <c r="I2474" s="135">
        <v>21400000</v>
      </c>
    </row>
    <row r="2475" spans="1:9" x14ac:dyDescent="0.2">
      <c r="A2475" s="134">
        <v>45545</v>
      </c>
      <c r="B2475" s="135">
        <f>YEAR(source[[#This Row],[report_date]])</f>
        <v>2024</v>
      </c>
      <c r="C2475" s="128">
        <f t="shared" si="108"/>
        <v>9</v>
      </c>
      <c r="D2475" s="136">
        <f t="shared" si="106"/>
        <v>37</v>
      </c>
      <c r="E2475" s="136">
        <f t="shared" si="107"/>
        <v>10</v>
      </c>
      <c r="F2475" s="137" t="s">
        <v>24</v>
      </c>
      <c r="G2475" s="128" t="str">
        <f>VLOOKUP(source[[#This Row],[lending_product_transform]],[3]Mapping!$B$4:$C$37,2,0)</f>
        <v>[Cake] - Cashloan</v>
      </c>
      <c r="H2475" s="128" t="str">
        <f>VLOOKUP(source[[#This Row],[lending_product_transform]],[3]Mapping!$B$3:$D$37,3,0)</f>
        <v>cashloan</v>
      </c>
      <c r="I2475" s="135">
        <v>5598000000</v>
      </c>
    </row>
    <row r="2476" spans="1:9" x14ac:dyDescent="0.2">
      <c r="A2476" s="134">
        <v>45545</v>
      </c>
      <c r="B2476" s="135">
        <f>YEAR(source[[#This Row],[report_date]])</f>
        <v>2024</v>
      </c>
      <c r="C2476" s="128">
        <f t="shared" si="108"/>
        <v>9</v>
      </c>
      <c r="D2476" s="136">
        <f t="shared" si="106"/>
        <v>37</v>
      </c>
      <c r="E2476" s="136">
        <f t="shared" si="107"/>
        <v>10</v>
      </c>
      <c r="F2476" s="137" t="s">
        <v>24</v>
      </c>
      <c r="G2476" s="128" t="str">
        <f>VLOOKUP(source[[#This Row],[lending_product_transform]],[3]Mapping!$B$4:$C$37,2,0)</f>
        <v>[Cake] - Cashloan</v>
      </c>
      <c r="H2476" s="128" t="str">
        <f>VLOOKUP(source[[#This Row],[lending_product_transform]],[3]Mapping!$B$3:$D$37,3,0)</f>
        <v>cashloan</v>
      </c>
      <c r="I2476" s="135">
        <v>6611980000</v>
      </c>
    </row>
    <row r="2477" spans="1:9" x14ac:dyDescent="0.2">
      <c r="A2477" s="134">
        <v>45545</v>
      </c>
      <c r="B2477" s="135">
        <f>YEAR(source[[#This Row],[report_date]])</f>
        <v>2024</v>
      </c>
      <c r="C2477" s="128">
        <f t="shared" si="108"/>
        <v>9</v>
      </c>
      <c r="D2477" s="136">
        <f t="shared" si="106"/>
        <v>37</v>
      </c>
      <c r="E2477" s="136">
        <f t="shared" si="107"/>
        <v>10</v>
      </c>
      <c r="F2477" s="137" t="s">
        <v>24</v>
      </c>
      <c r="G2477" s="128" t="str">
        <f>VLOOKUP(source[[#This Row],[lending_product_transform]],[3]Mapping!$B$4:$C$37,2,0)</f>
        <v>[Cake] - Cashloan</v>
      </c>
      <c r="H2477" s="128" t="str">
        <f>VLOOKUP(source[[#This Row],[lending_product_transform]],[3]Mapping!$B$3:$D$37,3,0)</f>
        <v>cashloan</v>
      </c>
      <c r="I2477" s="135">
        <v>2344500000</v>
      </c>
    </row>
    <row r="2478" spans="1:9" x14ac:dyDescent="0.2">
      <c r="A2478" s="134">
        <v>45546</v>
      </c>
      <c r="B2478" s="135">
        <f>YEAR(source[[#This Row],[report_date]])</f>
        <v>2024</v>
      </c>
      <c r="C2478" s="128">
        <f t="shared" si="108"/>
        <v>9</v>
      </c>
      <c r="D2478" s="136">
        <f t="shared" si="106"/>
        <v>37</v>
      </c>
      <c r="E2478" s="136">
        <f t="shared" si="107"/>
        <v>11</v>
      </c>
      <c r="F2478" s="137" t="s">
        <v>24</v>
      </c>
      <c r="G2478" s="128" t="str">
        <f>VLOOKUP(source[[#This Row],[lending_product_transform]],[3]Mapping!$B$4:$C$37,2,0)</f>
        <v>[Cake] - Cashloan</v>
      </c>
      <c r="H2478" s="128" t="str">
        <f>VLOOKUP(source[[#This Row],[lending_product_transform]],[3]Mapping!$B$3:$D$37,3,0)</f>
        <v>cashloan</v>
      </c>
      <c r="I2478" s="135">
        <v>6420000</v>
      </c>
    </row>
    <row r="2479" spans="1:9" x14ac:dyDescent="0.2">
      <c r="A2479" s="134">
        <v>45546</v>
      </c>
      <c r="B2479" s="135">
        <f>YEAR(source[[#This Row],[report_date]])</f>
        <v>2024</v>
      </c>
      <c r="C2479" s="128">
        <f t="shared" si="108"/>
        <v>9</v>
      </c>
      <c r="D2479" s="136">
        <f t="shared" si="106"/>
        <v>37</v>
      </c>
      <c r="E2479" s="136">
        <f t="shared" si="107"/>
        <v>11</v>
      </c>
      <c r="F2479" s="137" t="s">
        <v>24</v>
      </c>
      <c r="G2479" s="128" t="str">
        <f>VLOOKUP(source[[#This Row],[lending_product_transform]],[3]Mapping!$B$4:$C$37,2,0)</f>
        <v>[Cake] - Cashloan</v>
      </c>
      <c r="H2479" s="128" t="str">
        <f>VLOOKUP(source[[#This Row],[lending_product_transform]],[3]Mapping!$B$3:$D$37,3,0)</f>
        <v>cashloan</v>
      </c>
      <c r="I2479" s="135">
        <v>28000000</v>
      </c>
    </row>
    <row r="2480" spans="1:9" x14ac:dyDescent="0.2">
      <c r="A2480" s="134">
        <v>45546</v>
      </c>
      <c r="B2480" s="135">
        <f>YEAR(source[[#This Row],[report_date]])</f>
        <v>2024</v>
      </c>
      <c r="C2480" s="128">
        <f t="shared" si="108"/>
        <v>9</v>
      </c>
      <c r="D2480" s="136">
        <f t="shared" si="106"/>
        <v>37</v>
      </c>
      <c r="E2480" s="136">
        <f t="shared" si="107"/>
        <v>11</v>
      </c>
      <c r="F2480" s="137" t="s">
        <v>24</v>
      </c>
      <c r="G2480" s="128" t="str">
        <f>VLOOKUP(source[[#This Row],[lending_product_transform]],[3]Mapping!$B$4:$C$37,2,0)</f>
        <v>[Cake] - Cashloan</v>
      </c>
      <c r="H2480" s="128" t="str">
        <f>VLOOKUP(source[[#This Row],[lending_product_transform]],[3]Mapping!$B$3:$D$37,3,0)</f>
        <v>cashloan</v>
      </c>
      <c r="I2480" s="135">
        <v>32664785</v>
      </c>
    </row>
    <row r="2481" spans="1:9" x14ac:dyDescent="0.2">
      <c r="A2481" s="134">
        <v>45546</v>
      </c>
      <c r="B2481" s="135">
        <f>YEAR(source[[#This Row],[report_date]])</f>
        <v>2024</v>
      </c>
      <c r="C2481" s="128">
        <f t="shared" si="108"/>
        <v>9</v>
      </c>
      <c r="D2481" s="136">
        <f t="shared" si="106"/>
        <v>37</v>
      </c>
      <c r="E2481" s="136">
        <f t="shared" si="107"/>
        <v>11</v>
      </c>
      <c r="F2481" s="137" t="s">
        <v>24</v>
      </c>
      <c r="G2481" s="128" t="str">
        <f>VLOOKUP(source[[#This Row],[lending_product_transform]],[3]Mapping!$B$4:$C$37,2,0)</f>
        <v>[Cake] - Cashloan</v>
      </c>
      <c r="H2481" s="128" t="str">
        <f>VLOOKUP(source[[#This Row],[lending_product_transform]],[3]Mapping!$B$3:$D$37,3,0)</f>
        <v>cashloan</v>
      </c>
      <c r="I2481" s="135">
        <v>31500000</v>
      </c>
    </row>
    <row r="2482" spans="1:9" x14ac:dyDescent="0.2">
      <c r="A2482" s="134">
        <v>45546</v>
      </c>
      <c r="B2482" s="135">
        <f>YEAR(source[[#This Row],[report_date]])</f>
        <v>2024</v>
      </c>
      <c r="C2482" s="128">
        <f t="shared" si="108"/>
        <v>9</v>
      </c>
      <c r="D2482" s="136">
        <f t="shared" si="106"/>
        <v>37</v>
      </c>
      <c r="E2482" s="136">
        <f t="shared" si="107"/>
        <v>11</v>
      </c>
      <c r="F2482" s="137" t="s">
        <v>24</v>
      </c>
      <c r="G2482" s="128" t="str">
        <f>VLOOKUP(source[[#This Row],[lending_product_transform]],[3]Mapping!$B$4:$C$37,2,0)</f>
        <v>[Cake] - Cashloan</v>
      </c>
      <c r="H2482" s="128" t="str">
        <f>VLOOKUP(source[[#This Row],[lending_product_transform]],[3]Mapping!$B$3:$D$37,3,0)</f>
        <v>cashloan</v>
      </c>
      <c r="I2482" s="135">
        <v>23000000</v>
      </c>
    </row>
    <row r="2483" spans="1:9" x14ac:dyDescent="0.2">
      <c r="A2483" s="134">
        <v>45546</v>
      </c>
      <c r="B2483" s="135">
        <f>YEAR(source[[#This Row],[report_date]])</f>
        <v>2024</v>
      </c>
      <c r="C2483" s="128">
        <f t="shared" si="108"/>
        <v>9</v>
      </c>
      <c r="D2483" s="136">
        <f t="shared" si="106"/>
        <v>37</v>
      </c>
      <c r="E2483" s="136">
        <f t="shared" si="107"/>
        <v>11</v>
      </c>
      <c r="F2483" s="137" t="s">
        <v>24</v>
      </c>
      <c r="G2483" s="128" t="str">
        <f>VLOOKUP(source[[#This Row],[lending_product_transform]],[3]Mapping!$B$4:$C$37,2,0)</f>
        <v>[Cake] - Cashloan</v>
      </c>
      <c r="H2483" s="128" t="str">
        <f>VLOOKUP(source[[#This Row],[lending_product_transform]],[3]Mapping!$B$3:$D$37,3,0)</f>
        <v>cashloan</v>
      </c>
      <c r="I2483" s="135">
        <v>0</v>
      </c>
    </row>
    <row r="2484" spans="1:9" x14ac:dyDescent="0.2">
      <c r="A2484" s="134">
        <v>45546</v>
      </c>
      <c r="B2484" s="135">
        <f>YEAR(source[[#This Row],[report_date]])</f>
        <v>2024</v>
      </c>
      <c r="C2484" s="128">
        <f t="shared" si="108"/>
        <v>9</v>
      </c>
      <c r="D2484" s="136">
        <f t="shared" si="106"/>
        <v>37</v>
      </c>
      <c r="E2484" s="136">
        <f t="shared" si="107"/>
        <v>11</v>
      </c>
      <c r="F2484" s="137" t="s">
        <v>24</v>
      </c>
      <c r="G2484" s="128" t="str">
        <f>VLOOKUP(source[[#This Row],[lending_product_transform]],[3]Mapping!$B$4:$C$37,2,0)</f>
        <v>[Cake] - Cashloan</v>
      </c>
      <c r="H2484" s="128" t="str">
        <f>VLOOKUP(source[[#This Row],[lending_product_transform]],[3]Mapping!$B$3:$D$37,3,0)</f>
        <v>cashloan</v>
      </c>
      <c r="I2484" s="135">
        <v>149000000</v>
      </c>
    </row>
    <row r="2485" spans="1:9" x14ac:dyDescent="0.2">
      <c r="A2485" s="134">
        <v>45546</v>
      </c>
      <c r="B2485" s="135">
        <f>YEAR(source[[#This Row],[report_date]])</f>
        <v>2024</v>
      </c>
      <c r="C2485" s="128">
        <f t="shared" si="108"/>
        <v>9</v>
      </c>
      <c r="D2485" s="136">
        <f t="shared" si="106"/>
        <v>37</v>
      </c>
      <c r="E2485" s="136">
        <f t="shared" si="107"/>
        <v>11</v>
      </c>
      <c r="F2485" s="137" t="s">
        <v>24</v>
      </c>
      <c r="G2485" s="128" t="str">
        <f>VLOOKUP(source[[#This Row],[lending_product_transform]],[3]Mapping!$B$4:$C$37,2,0)</f>
        <v>[Cake] - Cashloan</v>
      </c>
      <c r="H2485" s="128" t="str">
        <f>VLOOKUP(source[[#This Row],[lending_product_transform]],[3]Mapping!$B$3:$D$37,3,0)</f>
        <v>cashloan</v>
      </c>
      <c r="I2485" s="135">
        <v>5945860000</v>
      </c>
    </row>
    <row r="2486" spans="1:9" x14ac:dyDescent="0.2">
      <c r="A2486" s="134">
        <v>45546</v>
      </c>
      <c r="B2486" s="135">
        <f>YEAR(source[[#This Row],[report_date]])</f>
        <v>2024</v>
      </c>
      <c r="C2486" s="128">
        <f t="shared" si="108"/>
        <v>9</v>
      </c>
      <c r="D2486" s="136">
        <f t="shared" si="106"/>
        <v>37</v>
      </c>
      <c r="E2486" s="136">
        <f t="shared" si="107"/>
        <v>11</v>
      </c>
      <c r="F2486" s="137" t="s">
        <v>24</v>
      </c>
      <c r="G2486" s="128" t="str">
        <f>VLOOKUP(source[[#This Row],[lending_product_transform]],[3]Mapping!$B$4:$C$37,2,0)</f>
        <v>[Cake] - Cashloan</v>
      </c>
      <c r="H2486" s="128" t="str">
        <f>VLOOKUP(source[[#This Row],[lending_product_transform]],[3]Mapping!$B$3:$D$37,3,0)</f>
        <v>cashloan</v>
      </c>
      <c r="I2486" s="135">
        <v>4268500000</v>
      </c>
    </row>
    <row r="2487" spans="1:9" x14ac:dyDescent="0.2">
      <c r="A2487" s="134">
        <v>45546</v>
      </c>
      <c r="B2487" s="135">
        <f>YEAR(source[[#This Row],[report_date]])</f>
        <v>2024</v>
      </c>
      <c r="C2487" s="128">
        <f t="shared" si="108"/>
        <v>9</v>
      </c>
      <c r="D2487" s="136">
        <f t="shared" si="106"/>
        <v>37</v>
      </c>
      <c r="E2487" s="136">
        <f t="shared" si="107"/>
        <v>11</v>
      </c>
      <c r="F2487" s="137" t="s">
        <v>24</v>
      </c>
      <c r="G2487" s="128" t="str">
        <f>VLOOKUP(source[[#This Row],[lending_product_transform]],[3]Mapping!$B$4:$C$37,2,0)</f>
        <v>[Cake] - Cashloan</v>
      </c>
      <c r="H2487" s="128" t="str">
        <f>VLOOKUP(source[[#This Row],[lending_product_transform]],[3]Mapping!$B$3:$D$37,3,0)</f>
        <v>cashloan</v>
      </c>
      <c r="I2487" s="135">
        <v>2638375612</v>
      </c>
    </row>
    <row r="2488" spans="1:9" x14ac:dyDescent="0.2">
      <c r="A2488" s="134">
        <v>45546</v>
      </c>
      <c r="B2488" s="135">
        <f>YEAR(source[[#This Row],[report_date]])</f>
        <v>2024</v>
      </c>
      <c r="C2488" s="128">
        <f t="shared" si="108"/>
        <v>9</v>
      </c>
      <c r="D2488" s="136">
        <f t="shared" si="106"/>
        <v>37</v>
      </c>
      <c r="E2488" s="136">
        <f t="shared" si="107"/>
        <v>11</v>
      </c>
      <c r="F2488" s="137" t="s">
        <v>24</v>
      </c>
      <c r="G2488" s="128" t="str">
        <f>VLOOKUP(source[[#This Row],[lending_product_transform]],[3]Mapping!$B$4:$C$37,2,0)</f>
        <v>[Cake] - Cashloan</v>
      </c>
      <c r="H2488" s="128" t="str">
        <f>VLOOKUP(source[[#This Row],[lending_product_transform]],[3]Mapping!$B$3:$D$37,3,0)</f>
        <v>cashloan</v>
      </c>
      <c r="I2488" s="135">
        <v>207767994</v>
      </c>
    </row>
    <row r="2489" spans="1:9" x14ac:dyDescent="0.2">
      <c r="A2489" s="134">
        <v>45546</v>
      </c>
      <c r="B2489" s="135">
        <f>YEAR(source[[#This Row],[report_date]])</f>
        <v>2024</v>
      </c>
      <c r="C2489" s="128">
        <f t="shared" si="108"/>
        <v>9</v>
      </c>
      <c r="D2489" s="136">
        <f t="shared" si="106"/>
        <v>37</v>
      </c>
      <c r="E2489" s="136">
        <f t="shared" si="107"/>
        <v>11</v>
      </c>
      <c r="F2489" s="137" t="s">
        <v>24</v>
      </c>
      <c r="G2489" s="128" t="str">
        <f>VLOOKUP(source[[#This Row],[lending_product_transform]],[3]Mapping!$B$4:$C$37,2,0)</f>
        <v>[Cake] - Cashloan</v>
      </c>
      <c r="H2489" s="128" t="str">
        <f>VLOOKUP(source[[#This Row],[lending_product_transform]],[3]Mapping!$B$3:$D$37,3,0)</f>
        <v>cashloan</v>
      </c>
      <c r="I2489" s="135">
        <v>2144440000</v>
      </c>
    </row>
    <row r="2490" spans="1:9" x14ac:dyDescent="0.2">
      <c r="A2490" s="134">
        <v>45546</v>
      </c>
      <c r="B2490" s="135">
        <f>YEAR(source[[#This Row],[report_date]])</f>
        <v>2024</v>
      </c>
      <c r="C2490" s="128">
        <f t="shared" si="108"/>
        <v>9</v>
      </c>
      <c r="D2490" s="136">
        <f t="shared" si="106"/>
        <v>37</v>
      </c>
      <c r="E2490" s="136">
        <f t="shared" si="107"/>
        <v>11</v>
      </c>
      <c r="F2490" s="137" t="s">
        <v>24</v>
      </c>
      <c r="G2490" s="128" t="str">
        <f>VLOOKUP(source[[#This Row],[lending_product_transform]],[3]Mapping!$B$4:$C$37,2,0)</f>
        <v>[Cake] - Cashloan</v>
      </c>
      <c r="H2490" s="128" t="str">
        <f>VLOOKUP(source[[#This Row],[lending_product_transform]],[3]Mapping!$B$3:$D$37,3,0)</f>
        <v>cashloan</v>
      </c>
      <c r="I2490" s="135">
        <v>15475528391</v>
      </c>
    </row>
    <row r="2491" spans="1:9" x14ac:dyDescent="0.2">
      <c r="A2491" s="134">
        <v>45547</v>
      </c>
      <c r="B2491" s="135">
        <f>YEAR(source[[#This Row],[report_date]])</f>
        <v>2024</v>
      </c>
      <c r="C2491" s="128">
        <f t="shared" si="108"/>
        <v>9</v>
      </c>
      <c r="D2491" s="136">
        <f t="shared" si="106"/>
        <v>37</v>
      </c>
      <c r="E2491" s="136">
        <f t="shared" si="107"/>
        <v>12</v>
      </c>
      <c r="F2491" s="137" t="s">
        <v>24</v>
      </c>
      <c r="G2491" s="128" t="str">
        <f>VLOOKUP(source[[#This Row],[lending_product_transform]],[3]Mapping!$B$4:$C$37,2,0)</f>
        <v>[Cake] - Cashloan</v>
      </c>
      <c r="H2491" s="128" t="str">
        <f>VLOOKUP(source[[#This Row],[lending_product_transform]],[3]Mapping!$B$3:$D$37,3,0)</f>
        <v>cashloan</v>
      </c>
      <c r="I2491" s="135">
        <v>32065959</v>
      </c>
    </row>
    <row r="2492" spans="1:9" x14ac:dyDescent="0.2">
      <c r="A2492" s="134">
        <v>45547</v>
      </c>
      <c r="B2492" s="135">
        <f>YEAR(source[[#This Row],[report_date]])</f>
        <v>2024</v>
      </c>
      <c r="C2492" s="128">
        <f t="shared" si="108"/>
        <v>9</v>
      </c>
      <c r="D2492" s="136">
        <f t="shared" si="106"/>
        <v>37</v>
      </c>
      <c r="E2492" s="136">
        <f t="shared" si="107"/>
        <v>12</v>
      </c>
      <c r="F2492" s="137" t="s">
        <v>24</v>
      </c>
      <c r="G2492" s="128" t="str">
        <f>VLOOKUP(source[[#This Row],[lending_product_transform]],[3]Mapping!$B$4:$C$37,2,0)</f>
        <v>[Cake] - Cashloan</v>
      </c>
      <c r="H2492" s="128" t="str">
        <f>VLOOKUP(source[[#This Row],[lending_product_transform]],[3]Mapping!$B$3:$D$37,3,0)</f>
        <v>cashloan</v>
      </c>
      <c r="I2492" s="135">
        <v>0</v>
      </c>
    </row>
    <row r="2493" spans="1:9" x14ac:dyDescent="0.2">
      <c r="A2493" s="134">
        <v>45547</v>
      </c>
      <c r="B2493" s="135">
        <f>YEAR(source[[#This Row],[report_date]])</f>
        <v>2024</v>
      </c>
      <c r="C2493" s="128">
        <f t="shared" si="108"/>
        <v>9</v>
      </c>
      <c r="D2493" s="136">
        <f t="shared" si="106"/>
        <v>37</v>
      </c>
      <c r="E2493" s="136">
        <f t="shared" si="107"/>
        <v>12</v>
      </c>
      <c r="F2493" s="137" t="s">
        <v>24</v>
      </c>
      <c r="G2493" s="128" t="str">
        <f>VLOOKUP(source[[#This Row],[lending_product_transform]],[3]Mapping!$B$4:$C$37,2,0)</f>
        <v>[Cake] - Cashloan</v>
      </c>
      <c r="H2493" s="128" t="str">
        <f>VLOOKUP(source[[#This Row],[lending_product_transform]],[3]Mapping!$B$3:$D$37,3,0)</f>
        <v>cashloan</v>
      </c>
      <c r="I2493" s="135">
        <v>14793881138</v>
      </c>
    </row>
    <row r="2494" spans="1:9" x14ac:dyDescent="0.2">
      <c r="A2494" s="134">
        <v>45547</v>
      </c>
      <c r="B2494" s="135">
        <f>YEAR(source[[#This Row],[report_date]])</f>
        <v>2024</v>
      </c>
      <c r="C2494" s="128">
        <f t="shared" si="108"/>
        <v>9</v>
      </c>
      <c r="D2494" s="136">
        <f t="shared" si="106"/>
        <v>37</v>
      </c>
      <c r="E2494" s="136">
        <f t="shared" si="107"/>
        <v>12</v>
      </c>
      <c r="F2494" s="137" t="s">
        <v>24</v>
      </c>
      <c r="G2494" s="128" t="str">
        <f>VLOOKUP(source[[#This Row],[lending_product_transform]],[3]Mapping!$B$4:$C$37,2,0)</f>
        <v>[Cake] - Cashloan</v>
      </c>
      <c r="H2494" s="128" t="str">
        <f>VLOOKUP(source[[#This Row],[lending_product_transform]],[3]Mapping!$B$3:$D$37,3,0)</f>
        <v>cashloan</v>
      </c>
      <c r="I2494" s="135">
        <v>4242500000</v>
      </c>
    </row>
    <row r="2495" spans="1:9" x14ac:dyDescent="0.2">
      <c r="A2495" s="134">
        <v>45547</v>
      </c>
      <c r="B2495" s="135">
        <f>YEAR(source[[#This Row],[report_date]])</f>
        <v>2024</v>
      </c>
      <c r="C2495" s="128">
        <f t="shared" si="108"/>
        <v>9</v>
      </c>
      <c r="D2495" s="136">
        <f t="shared" si="106"/>
        <v>37</v>
      </c>
      <c r="E2495" s="136">
        <f t="shared" si="107"/>
        <v>12</v>
      </c>
      <c r="F2495" s="137" t="s">
        <v>24</v>
      </c>
      <c r="G2495" s="128" t="str">
        <f>VLOOKUP(source[[#This Row],[lending_product_transform]],[3]Mapping!$B$4:$C$37,2,0)</f>
        <v>[Cake] - Cashloan</v>
      </c>
      <c r="H2495" s="128" t="str">
        <f>VLOOKUP(source[[#This Row],[lending_product_transform]],[3]Mapping!$B$3:$D$37,3,0)</f>
        <v>cashloan</v>
      </c>
      <c r="I2495" s="135">
        <v>0</v>
      </c>
    </row>
    <row r="2496" spans="1:9" x14ac:dyDescent="0.2">
      <c r="A2496" s="134">
        <v>45547</v>
      </c>
      <c r="B2496" s="135">
        <f>YEAR(source[[#This Row],[report_date]])</f>
        <v>2024</v>
      </c>
      <c r="C2496" s="128">
        <f t="shared" si="108"/>
        <v>9</v>
      </c>
      <c r="D2496" s="136">
        <f t="shared" si="106"/>
        <v>37</v>
      </c>
      <c r="E2496" s="136">
        <f t="shared" si="107"/>
        <v>12</v>
      </c>
      <c r="F2496" s="137" t="s">
        <v>24</v>
      </c>
      <c r="G2496" s="128" t="str">
        <f>VLOOKUP(source[[#This Row],[lending_product_transform]],[3]Mapping!$B$4:$C$37,2,0)</f>
        <v>[Cake] - Cashloan</v>
      </c>
      <c r="H2496" s="128" t="str">
        <f>VLOOKUP(source[[#This Row],[lending_product_transform]],[3]Mapping!$B$3:$D$37,3,0)</f>
        <v>cashloan</v>
      </c>
      <c r="I2496" s="135">
        <v>57800000</v>
      </c>
    </row>
    <row r="2497" spans="1:9" x14ac:dyDescent="0.2">
      <c r="A2497" s="134">
        <v>45547</v>
      </c>
      <c r="B2497" s="135">
        <f>YEAR(source[[#This Row],[report_date]])</f>
        <v>2024</v>
      </c>
      <c r="C2497" s="128">
        <f t="shared" si="108"/>
        <v>9</v>
      </c>
      <c r="D2497" s="136">
        <f t="shared" si="106"/>
        <v>37</v>
      </c>
      <c r="E2497" s="136">
        <f t="shared" si="107"/>
        <v>12</v>
      </c>
      <c r="F2497" s="137" t="s">
        <v>24</v>
      </c>
      <c r="G2497" s="128" t="str">
        <f>VLOOKUP(source[[#This Row],[lending_product_transform]],[3]Mapping!$B$4:$C$37,2,0)</f>
        <v>[Cake] - Cashloan</v>
      </c>
      <c r="H2497" s="128" t="str">
        <f>VLOOKUP(source[[#This Row],[lending_product_transform]],[3]Mapping!$B$3:$D$37,3,0)</f>
        <v>cashloan</v>
      </c>
      <c r="I2497" s="135">
        <v>26250000</v>
      </c>
    </row>
    <row r="2498" spans="1:9" x14ac:dyDescent="0.2">
      <c r="A2498" s="134">
        <v>45547</v>
      </c>
      <c r="B2498" s="135">
        <f>YEAR(source[[#This Row],[report_date]])</f>
        <v>2024</v>
      </c>
      <c r="C2498" s="128">
        <f t="shared" si="108"/>
        <v>9</v>
      </c>
      <c r="D2498" s="136">
        <f t="shared" si="106"/>
        <v>37</v>
      </c>
      <c r="E2498" s="136">
        <f t="shared" si="107"/>
        <v>12</v>
      </c>
      <c r="F2498" s="137" t="s">
        <v>24</v>
      </c>
      <c r="G2498" s="128" t="str">
        <f>VLOOKUP(source[[#This Row],[lending_product_transform]],[3]Mapping!$B$4:$C$37,2,0)</f>
        <v>[Cake] - Cashloan</v>
      </c>
      <c r="H2498" s="128" t="str">
        <f>VLOOKUP(source[[#This Row],[lending_product_transform]],[3]Mapping!$B$3:$D$37,3,0)</f>
        <v>cashloan</v>
      </c>
      <c r="I2498" s="135">
        <v>179562371</v>
      </c>
    </row>
    <row r="2499" spans="1:9" x14ac:dyDescent="0.2">
      <c r="A2499" s="134">
        <v>45547</v>
      </c>
      <c r="B2499" s="135">
        <f>YEAR(source[[#This Row],[report_date]])</f>
        <v>2024</v>
      </c>
      <c r="C2499" s="128">
        <f t="shared" si="108"/>
        <v>9</v>
      </c>
      <c r="D2499" s="136">
        <f t="shared" ref="D2499:D2562" si="109">WEEKNUM(A2499,2)</f>
        <v>37</v>
      </c>
      <c r="E2499" s="136">
        <f t="shared" ref="E2499:E2562" si="110">DAY(A2499)</f>
        <v>12</v>
      </c>
      <c r="F2499" s="137" t="s">
        <v>24</v>
      </c>
      <c r="G2499" s="128" t="str">
        <f>VLOOKUP(source[[#This Row],[lending_product_transform]],[3]Mapping!$B$4:$C$37,2,0)</f>
        <v>[Cake] - Cashloan</v>
      </c>
      <c r="H2499" s="128" t="str">
        <f>VLOOKUP(source[[#This Row],[lending_product_transform]],[3]Mapping!$B$3:$D$37,3,0)</f>
        <v>cashloan</v>
      </c>
      <c r="I2499" s="135">
        <v>23000000</v>
      </c>
    </row>
    <row r="2500" spans="1:9" x14ac:dyDescent="0.2">
      <c r="A2500" s="134">
        <v>45547</v>
      </c>
      <c r="B2500" s="135">
        <f>YEAR(source[[#This Row],[report_date]])</f>
        <v>2024</v>
      </c>
      <c r="C2500" s="128">
        <f t="shared" si="108"/>
        <v>9</v>
      </c>
      <c r="D2500" s="136">
        <f t="shared" si="109"/>
        <v>37</v>
      </c>
      <c r="E2500" s="136">
        <f t="shared" si="110"/>
        <v>12</v>
      </c>
      <c r="F2500" s="137" t="s">
        <v>24</v>
      </c>
      <c r="G2500" s="128" t="str">
        <f>VLOOKUP(source[[#This Row],[lending_product_transform]],[3]Mapping!$B$4:$C$37,2,0)</f>
        <v>[Cake] - Cashloan</v>
      </c>
      <c r="H2500" s="128" t="str">
        <f>VLOOKUP(source[[#This Row],[lending_product_transform]],[3]Mapping!$B$3:$D$37,3,0)</f>
        <v>cashloan</v>
      </c>
      <c r="I2500" s="135">
        <v>2732272808</v>
      </c>
    </row>
    <row r="2501" spans="1:9" x14ac:dyDescent="0.2">
      <c r="A2501" s="134">
        <v>45547</v>
      </c>
      <c r="B2501" s="135">
        <f>YEAR(source[[#This Row],[report_date]])</f>
        <v>2024</v>
      </c>
      <c r="C2501" s="128">
        <f t="shared" si="108"/>
        <v>9</v>
      </c>
      <c r="D2501" s="136">
        <f t="shared" si="109"/>
        <v>37</v>
      </c>
      <c r="E2501" s="136">
        <f t="shared" si="110"/>
        <v>12</v>
      </c>
      <c r="F2501" s="137" t="s">
        <v>24</v>
      </c>
      <c r="G2501" s="128" t="str">
        <f>VLOOKUP(source[[#This Row],[lending_product_transform]],[3]Mapping!$B$4:$C$37,2,0)</f>
        <v>[Cake] - Cashloan</v>
      </c>
      <c r="H2501" s="128" t="str">
        <f>VLOOKUP(source[[#This Row],[lending_product_transform]],[3]Mapping!$B$3:$D$37,3,0)</f>
        <v>cashloan</v>
      </c>
      <c r="I2501" s="135">
        <v>5549390000</v>
      </c>
    </row>
    <row r="2502" spans="1:9" x14ac:dyDescent="0.2">
      <c r="A2502" s="134">
        <v>45547</v>
      </c>
      <c r="B2502" s="135">
        <f>YEAR(source[[#This Row],[report_date]])</f>
        <v>2024</v>
      </c>
      <c r="C2502" s="128">
        <f t="shared" si="108"/>
        <v>9</v>
      </c>
      <c r="D2502" s="136">
        <f t="shared" si="109"/>
        <v>37</v>
      </c>
      <c r="E2502" s="136">
        <f t="shared" si="110"/>
        <v>12</v>
      </c>
      <c r="F2502" s="137" t="s">
        <v>24</v>
      </c>
      <c r="G2502" s="128" t="str">
        <f>VLOOKUP(source[[#This Row],[lending_product_transform]],[3]Mapping!$B$4:$C$37,2,0)</f>
        <v>[Cake] - Cashloan</v>
      </c>
      <c r="H2502" s="128" t="str">
        <f>VLOOKUP(source[[#This Row],[lending_product_transform]],[3]Mapping!$B$3:$D$37,3,0)</f>
        <v>cashloan</v>
      </c>
      <c r="I2502" s="135">
        <v>63000000</v>
      </c>
    </row>
    <row r="2503" spans="1:9" x14ac:dyDescent="0.2">
      <c r="A2503" s="134">
        <v>45547</v>
      </c>
      <c r="B2503" s="135">
        <f>YEAR(source[[#This Row],[report_date]])</f>
        <v>2024</v>
      </c>
      <c r="C2503" s="128">
        <f t="shared" si="108"/>
        <v>9</v>
      </c>
      <c r="D2503" s="136">
        <f t="shared" si="109"/>
        <v>37</v>
      </c>
      <c r="E2503" s="136">
        <f t="shared" si="110"/>
        <v>12</v>
      </c>
      <c r="F2503" s="137" t="s">
        <v>24</v>
      </c>
      <c r="G2503" s="128" t="str">
        <f>VLOOKUP(source[[#This Row],[lending_product_transform]],[3]Mapping!$B$4:$C$37,2,0)</f>
        <v>[Cake] - Cashloan</v>
      </c>
      <c r="H2503" s="128" t="str">
        <f>VLOOKUP(source[[#This Row],[lending_product_transform]],[3]Mapping!$B$3:$D$37,3,0)</f>
        <v>cashloan</v>
      </c>
      <c r="I2503" s="135">
        <v>1888040000</v>
      </c>
    </row>
    <row r="2504" spans="1:9" x14ac:dyDescent="0.2">
      <c r="A2504" s="134">
        <v>45548</v>
      </c>
      <c r="B2504" s="135">
        <f>YEAR(source[[#This Row],[report_date]])</f>
        <v>2024</v>
      </c>
      <c r="C2504" s="128">
        <f t="shared" si="108"/>
        <v>9</v>
      </c>
      <c r="D2504" s="136">
        <f t="shared" si="109"/>
        <v>37</v>
      </c>
      <c r="E2504" s="136">
        <f t="shared" si="110"/>
        <v>13</v>
      </c>
      <c r="F2504" s="137" t="s">
        <v>24</v>
      </c>
      <c r="G2504" s="128" t="str">
        <f>VLOOKUP(source[[#This Row],[lending_product_transform]],[3]Mapping!$B$4:$C$37,2,0)</f>
        <v>[Cake] - Cashloan</v>
      </c>
      <c r="H2504" s="128" t="str">
        <f>VLOOKUP(source[[#This Row],[lending_product_transform]],[3]Mapping!$B$3:$D$37,3,0)</f>
        <v>cashloan</v>
      </c>
      <c r="I2504" s="135">
        <v>82950000</v>
      </c>
    </row>
    <row r="2505" spans="1:9" x14ac:dyDescent="0.2">
      <c r="A2505" s="134">
        <v>45548</v>
      </c>
      <c r="B2505" s="135">
        <f>YEAR(source[[#This Row],[report_date]])</f>
        <v>2024</v>
      </c>
      <c r="C2505" s="128">
        <f t="shared" si="108"/>
        <v>9</v>
      </c>
      <c r="D2505" s="136">
        <f t="shared" si="109"/>
        <v>37</v>
      </c>
      <c r="E2505" s="136">
        <f t="shared" si="110"/>
        <v>13</v>
      </c>
      <c r="F2505" s="137" t="s">
        <v>24</v>
      </c>
      <c r="G2505" s="128" t="str">
        <f>VLOOKUP(source[[#This Row],[lending_product_transform]],[3]Mapping!$B$4:$C$37,2,0)</f>
        <v>[Cake] - Cashloan</v>
      </c>
      <c r="H2505" s="128" t="str">
        <f>VLOOKUP(source[[#This Row],[lending_product_transform]],[3]Mapping!$B$3:$D$37,3,0)</f>
        <v>cashloan</v>
      </c>
      <c r="I2505" s="135">
        <v>0</v>
      </c>
    </row>
    <row r="2506" spans="1:9" x14ac:dyDescent="0.2">
      <c r="A2506" s="134">
        <v>45548</v>
      </c>
      <c r="B2506" s="135">
        <f>YEAR(source[[#This Row],[report_date]])</f>
        <v>2024</v>
      </c>
      <c r="C2506" s="128">
        <f t="shared" si="108"/>
        <v>9</v>
      </c>
      <c r="D2506" s="136">
        <f t="shared" si="109"/>
        <v>37</v>
      </c>
      <c r="E2506" s="136">
        <f t="shared" si="110"/>
        <v>13</v>
      </c>
      <c r="F2506" s="137" t="s">
        <v>24</v>
      </c>
      <c r="G2506" s="128" t="str">
        <f>VLOOKUP(source[[#This Row],[lending_product_transform]],[3]Mapping!$B$4:$C$37,2,0)</f>
        <v>[Cake] - Cashloan</v>
      </c>
      <c r="H2506" s="128" t="str">
        <f>VLOOKUP(source[[#This Row],[lending_product_transform]],[3]Mapping!$B$3:$D$37,3,0)</f>
        <v>cashloan</v>
      </c>
      <c r="I2506" s="135">
        <v>5923360000</v>
      </c>
    </row>
    <row r="2507" spans="1:9" x14ac:dyDescent="0.2">
      <c r="A2507" s="134">
        <v>45548</v>
      </c>
      <c r="B2507" s="135">
        <f>YEAR(source[[#This Row],[report_date]])</f>
        <v>2024</v>
      </c>
      <c r="C2507" s="128">
        <f t="shared" si="108"/>
        <v>9</v>
      </c>
      <c r="D2507" s="136">
        <f t="shared" si="109"/>
        <v>37</v>
      </c>
      <c r="E2507" s="136">
        <f t="shared" si="110"/>
        <v>13</v>
      </c>
      <c r="F2507" s="137" t="s">
        <v>24</v>
      </c>
      <c r="G2507" s="128" t="str">
        <f>VLOOKUP(source[[#This Row],[lending_product_transform]],[3]Mapping!$B$4:$C$37,2,0)</f>
        <v>[Cake] - Cashloan</v>
      </c>
      <c r="H2507" s="128" t="str">
        <f>VLOOKUP(source[[#This Row],[lending_product_transform]],[3]Mapping!$B$3:$D$37,3,0)</f>
        <v>cashloan</v>
      </c>
      <c r="I2507" s="135">
        <v>2256200000</v>
      </c>
    </row>
    <row r="2508" spans="1:9" x14ac:dyDescent="0.2">
      <c r="A2508" s="134">
        <v>45548</v>
      </c>
      <c r="B2508" s="135">
        <f>YEAR(source[[#This Row],[report_date]])</f>
        <v>2024</v>
      </c>
      <c r="C2508" s="128">
        <f t="shared" si="108"/>
        <v>9</v>
      </c>
      <c r="D2508" s="136">
        <f t="shared" si="109"/>
        <v>37</v>
      </c>
      <c r="E2508" s="136">
        <f t="shared" si="110"/>
        <v>13</v>
      </c>
      <c r="F2508" s="137" t="s">
        <v>24</v>
      </c>
      <c r="G2508" s="128" t="str">
        <f>VLOOKUP(source[[#This Row],[lending_product_transform]],[3]Mapping!$B$4:$C$37,2,0)</f>
        <v>[Cake] - Cashloan</v>
      </c>
      <c r="H2508" s="128" t="str">
        <f>VLOOKUP(source[[#This Row],[lending_product_transform]],[3]Mapping!$B$3:$D$37,3,0)</f>
        <v>cashloan</v>
      </c>
      <c r="I2508" s="135">
        <v>0</v>
      </c>
    </row>
    <row r="2509" spans="1:9" x14ac:dyDescent="0.2">
      <c r="A2509" s="134">
        <v>45548</v>
      </c>
      <c r="B2509" s="135">
        <f>YEAR(source[[#This Row],[report_date]])</f>
        <v>2024</v>
      </c>
      <c r="C2509" s="128">
        <f t="shared" si="108"/>
        <v>9</v>
      </c>
      <c r="D2509" s="136">
        <f t="shared" si="109"/>
        <v>37</v>
      </c>
      <c r="E2509" s="136">
        <f t="shared" si="110"/>
        <v>13</v>
      </c>
      <c r="F2509" s="137" t="s">
        <v>24</v>
      </c>
      <c r="G2509" s="128" t="str">
        <f>VLOOKUP(source[[#This Row],[lending_product_transform]],[3]Mapping!$B$4:$C$37,2,0)</f>
        <v>[Cake] - Cashloan</v>
      </c>
      <c r="H2509" s="128" t="str">
        <f>VLOOKUP(source[[#This Row],[lending_product_transform]],[3]Mapping!$B$3:$D$37,3,0)</f>
        <v>cashloan</v>
      </c>
      <c r="I2509" s="135">
        <v>15455802088</v>
      </c>
    </row>
    <row r="2510" spans="1:9" x14ac:dyDescent="0.2">
      <c r="A2510" s="134">
        <v>45548</v>
      </c>
      <c r="B2510" s="135">
        <f>YEAR(source[[#This Row],[report_date]])</f>
        <v>2024</v>
      </c>
      <c r="C2510" s="128">
        <f t="shared" si="108"/>
        <v>9</v>
      </c>
      <c r="D2510" s="136">
        <f t="shared" si="109"/>
        <v>37</v>
      </c>
      <c r="E2510" s="136">
        <f t="shared" si="110"/>
        <v>13</v>
      </c>
      <c r="F2510" s="137" t="s">
        <v>24</v>
      </c>
      <c r="G2510" s="128" t="str">
        <f>VLOOKUP(source[[#This Row],[lending_product_transform]],[3]Mapping!$B$4:$C$37,2,0)</f>
        <v>[Cake] - Cashloan</v>
      </c>
      <c r="H2510" s="128" t="str">
        <f>VLOOKUP(source[[#This Row],[lending_product_transform]],[3]Mapping!$B$3:$D$37,3,0)</f>
        <v>cashloan</v>
      </c>
      <c r="I2510" s="135">
        <v>11000000</v>
      </c>
    </row>
    <row r="2511" spans="1:9" x14ac:dyDescent="0.2">
      <c r="A2511" s="134">
        <v>45548</v>
      </c>
      <c r="B2511" s="135">
        <f>YEAR(source[[#This Row],[report_date]])</f>
        <v>2024</v>
      </c>
      <c r="C2511" s="128">
        <f t="shared" si="108"/>
        <v>9</v>
      </c>
      <c r="D2511" s="136">
        <f t="shared" si="109"/>
        <v>37</v>
      </c>
      <c r="E2511" s="136">
        <f t="shared" si="110"/>
        <v>13</v>
      </c>
      <c r="F2511" s="137" t="s">
        <v>24</v>
      </c>
      <c r="G2511" s="128" t="str">
        <f>VLOOKUP(source[[#This Row],[lending_product_transform]],[3]Mapping!$B$4:$C$37,2,0)</f>
        <v>[Cake] - Cashloan</v>
      </c>
      <c r="H2511" s="128" t="str">
        <f>VLOOKUP(source[[#This Row],[lending_product_transform]],[3]Mapping!$B$3:$D$37,3,0)</f>
        <v>cashloan</v>
      </c>
      <c r="I2511" s="135">
        <v>0</v>
      </c>
    </row>
    <row r="2512" spans="1:9" x14ac:dyDescent="0.2">
      <c r="A2512" s="134">
        <v>45548</v>
      </c>
      <c r="B2512" s="135">
        <f>YEAR(source[[#This Row],[report_date]])</f>
        <v>2024</v>
      </c>
      <c r="C2512" s="128">
        <f t="shared" si="108"/>
        <v>9</v>
      </c>
      <c r="D2512" s="136">
        <f t="shared" si="109"/>
        <v>37</v>
      </c>
      <c r="E2512" s="136">
        <f t="shared" si="110"/>
        <v>13</v>
      </c>
      <c r="F2512" s="137" t="s">
        <v>24</v>
      </c>
      <c r="G2512" s="128" t="str">
        <f>VLOOKUP(source[[#This Row],[lending_product_transform]],[3]Mapping!$B$4:$C$37,2,0)</f>
        <v>[Cake] - Cashloan</v>
      </c>
      <c r="H2512" s="128" t="str">
        <f>VLOOKUP(source[[#This Row],[lending_product_transform]],[3]Mapping!$B$3:$D$37,3,0)</f>
        <v>cashloan</v>
      </c>
      <c r="I2512" s="135">
        <v>192664417</v>
      </c>
    </row>
    <row r="2513" spans="1:9" x14ac:dyDescent="0.2">
      <c r="A2513" s="134">
        <v>45548</v>
      </c>
      <c r="B2513" s="135">
        <f>YEAR(source[[#This Row],[report_date]])</f>
        <v>2024</v>
      </c>
      <c r="C2513" s="128">
        <f t="shared" si="108"/>
        <v>9</v>
      </c>
      <c r="D2513" s="136">
        <f t="shared" si="109"/>
        <v>37</v>
      </c>
      <c r="E2513" s="136">
        <f t="shared" si="110"/>
        <v>13</v>
      </c>
      <c r="F2513" s="137" t="s">
        <v>24</v>
      </c>
      <c r="G2513" s="128" t="str">
        <f>VLOOKUP(source[[#This Row],[lending_product_transform]],[3]Mapping!$B$4:$C$37,2,0)</f>
        <v>[Cake] - Cashloan</v>
      </c>
      <c r="H2513" s="128" t="str">
        <f>VLOOKUP(source[[#This Row],[lending_product_transform]],[3]Mapping!$B$3:$D$37,3,0)</f>
        <v>cashloan</v>
      </c>
      <c r="I2513" s="135">
        <v>26173438</v>
      </c>
    </row>
    <row r="2514" spans="1:9" x14ac:dyDescent="0.2">
      <c r="A2514" s="134">
        <v>45548</v>
      </c>
      <c r="B2514" s="135">
        <f>YEAR(source[[#This Row],[report_date]])</f>
        <v>2024</v>
      </c>
      <c r="C2514" s="128">
        <f t="shared" si="108"/>
        <v>9</v>
      </c>
      <c r="D2514" s="136">
        <f t="shared" si="109"/>
        <v>37</v>
      </c>
      <c r="E2514" s="136">
        <f t="shared" si="110"/>
        <v>13</v>
      </c>
      <c r="F2514" s="137" t="s">
        <v>24</v>
      </c>
      <c r="G2514" s="128" t="str">
        <f>VLOOKUP(source[[#This Row],[lending_product_transform]],[3]Mapping!$B$4:$C$37,2,0)</f>
        <v>[Cake] - Cashloan</v>
      </c>
      <c r="H2514" s="128" t="str">
        <f>VLOOKUP(source[[#This Row],[lending_product_transform]],[3]Mapping!$B$3:$D$37,3,0)</f>
        <v>cashloan</v>
      </c>
      <c r="I2514" s="135">
        <v>4137000000</v>
      </c>
    </row>
    <row r="2515" spans="1:9" x14ac:dyDescent="0.2">
      <c r="A2515" s="134">
        <v>45548</v>
      </c>
      <c r="B2515" s="135">
        <f>YEAR(source[[#This Row],[report_date]])</f>
        <v>2024</v>
      </c>
      <c r="C2515" s="128">
        <f t="shared" si="108"/>
        <v>9</v>
      </c>
      <c r="D2515" s="136">
        <f t="shared" si="109"/>
        <v>37</v>
      </c>
      <c r="E2515" s="136">
        <f t="shared" si="110"/>
        <v>13</v>
      </c>
      <c r="F2515" s="137" t="s">
        <v>24</v>
      </c>
      <c r="G2515" s="128" t="str">
        <f>VLOOKUP(source[[#This Row],[lending_product_transform]],[3]Mapping!$B$4:$C$37,2,0)</f>
        <v>[Cake] - Cashloan</v>
      </c>
      <c r="H2515" s="128" t="str">
        <f>VLOOKUP(source[[#This Row],[lending_product_transform]],[3]Mapping!$B$3:$D$37,3,0)</f>
        <v>cashloan</v>
      </c>
      <c r="I2515" s="135">
        <v>0</v>
      </c>
    </row>
    <row r="2516" spans="1:9" x14ac:dyDescent="0.2">
      <c r="A2516" s="134">
        <v>45548</v>
      </c>
      <c r="B2516" s="135">
        <f>YEAR(source[[#This Row],[report_date]])</f>
        <v>2024</v>
      </c>
      <c r="C2516" s="128">
        <f t="shared" si="108"/>
        <v>9</v>
      </c>
      <c r="D2516" s="136">
        <f t="shared" si="109"/>
        <v>37</v>
      </c>
      <c r="E2516" s="136">
        <f t="shared" si="110"/>
        <v>13</v>
      </c>
      <c r="F2516" s="137" t="s">
        <v>24</v>
      </c>
      <c r="G2516" s="128" t="str">
        <f>VLOOKUP(source[[#This Row],[lending_product_transform]],[3]Mapping!$B$4:$C$37,2,0)</f>
        <v>[Cake] - Cashloan</v>
      </c>
      <c r="H2516" s="128" t="str">
        <f>VLOOKUP(source[[#This Row],[lending_product_transform]],[3]Mapping!$B$3:$D$37,3,0)</f>
        <v>cashloan</v>
      </c>
      <c r="I2516" s="135">
        <v>2826454233</v>
      </c>
    </row>
    <row r="2517" spans="1:9" x14ac:dyDescent="0.2">
      <c r="A2517" s="134">
        <v>45549</v>
      </c>
      <c r="B2517" s="135">
        <f>YEAR(source[[#This Row],[report_date]])</f>
        <v>2024</v>
      </c>
      <c r="C2517" s="128">
        <f t="shared" ref="C2517:C2580" si="111">MONTH(A2517)</f>
        <v>9</v>
      </c>
      <c r="D2517" s="136">
        <f t="shared" si="109"/>
        <v>37</v>
      </c>
      <c r="E2517" s="136">
        <f t="shared" si="110"/>
        <v>14</v>
      </c>
      <c r="F2517" s="137" t="s">
        <v>24</v>
      </c>
      <c r="G2517" s="128" t="str">
        <f>VLOOKUP(source[[#This Row],[lending_product_transform]],[3]Mapping!$B$4:$C$37,2,0)</f>
        <v>[Cake] - Cashloan</v>
      </c>
      <c r="H2517" s="128" t="str">
        <f>VLOOKUP(source[[#This Row],[lending_product_transform]],[3]Mapping!$B$3:$D$37,3,0)</f>
        <v>cashloan</v>
      </c>
      <c r="I2517" s="135">
        <v>14258269311</v>
      </c>
    </row>
    <row r="2518" spans="1:9" x14ac:dyDescent="0.2">
      <c r="A2518" s="134">
        <v>45549</v>
      </c>
      <c r="B2518" s="135">
        <f>YEAR(source[[#This Row],[report_date]])</f>
        <v>2024</v>
      </c>
      <c r="C2518" s="128">
        <f t="shared" si="111"/>
        <v>9</v>
      </c>
      <c r="D2518" s="136">
        <f t="shared" si="109"/>
        <v>37</v>
      </c>
      <c r="E2518" s="136">
        <f t="shared" si="110"/>
        <v>14</v>
      </c>
      <c r="F2518" s="137" t="s">
        <v>24</v>
      </c>
      <c r="G2518" s="128" t="str">
        <f>VLOOKUP(source[[#This Row],[lending_product_transform]],[3]Mapping!$B$4:$C$37,2,0)</f>
        <v>[Cake] - Cashloan</v>
      </c>
      <c r="H2518" s="128" t="str">
        <f>VLOOKUP(source[[#This Row],[lending_product_transform]],[3]Mapping!$B$3:$D$37,3,0)</f>
        <v>cashloan</v>
      </c>
      <c r="I2518" s="135">
        <v>4116000000</v>
      </c>
    </row>
    <row r="2519" spans="1:9" x14ac:dyDescent="0.2">
      <c r="A2519" s="134">
        <v>45549</v>
      </c>
      <c r="B2519" s="135">
        <f>YEAR(source[[#This Row],[report_date]])</f>
        <v>2024</v>
      </c>
      <c r="C2519" s="128">
        <f t="shared" si="111"/>
        <v>9</v>
      </c>
      <c r="D2519" s="136">
        <f t="shared" si="109"/>
        <v>37</v>
      </c>
      <c r="E2519" s="136">
        <f t="shared" si="110"/>
        <v>14</v>
      </c>
      <c r="F2519" s="137" t="s">
        <v>24</v>
      </c>
      <c r="G2519" s="128" t="str">
        <f>VLOOKUP(source[[#This Row],[lending_product_transform]],[3]Mapping!$B$4:$C$37,2,0)</f>
        <v>[Cake] - Cashloan</v>
      </c>
      <c r="H2519" s="128" t="str">
        <f>VLOOKUP(source[[#This Row],[lending_product_transform]],[3]Mapping!$B$3:$D$37,3,0)</f>
        <v>cashloan</v>
      </c>
      <c r="I2519" s="135">
        <v>26250000</v>
      </c>
    </row>
    <row r="2520" spans="1:9" x14ac:dyDescent="0.2">
      <c r="A2520" s="134">
        <v>45549</v>
      </c>
      <c r="B2520" s="135">
        <f>YEAR(source[[#This Row],[report_date]])</f>
        <v>2024</v>
      </c>
      <c r="C2520" s="128">
        <f t="shared" si="111"/>
        <v>9</v>
      </c>
      <c r="D2520" s="136">
        <f t="shared" si="109"/>
        <v>37</v>
      </c>
      <c r="E2520" s="136">
        <f t="shared" si="110"/>
        <v>14</v>
      </c>
      <c r="F2520" s="137" t="s">
        <v>24</v>
      </c>
      <c r="G2520" s="128" t="str">
        <f>VLOOKUP(source[[#This Row],[lending_product_transform]],[3]Mapping!$B$4:$C$37,2,0)</f>
        <v>[Cake] - Cashloan</v>
      </c>
      <c r="H2520" s="128" t="str">
        <f>VLOOKUP(source[[#This Row],[lending_product_transform]],[3]Mapping!$B$3:$D$37,3,0)</f>
        <v>cashloan</v>
      </c>
      <c r="I2520" s="135">
        <v>1904020000</v>
      </c>
    </row>
    <row r="2521" spans="1:9" x14ac:dyDescent="0.2">
      <c r="A2521" s="134">
        <v>45549</v>
      </c>
      <c r="B2521" s="135">
        <f>YEAR(source[[#This Row],[report_date]])</f>
        <v>2024</v>
      </c>
      <c r="C2521" s="128">
        <f t="shared" si="111"/>
        <v>9</v>
      </c>
      <c r="D2521" s="136">
        <f t="shared" si="109"/>
        <v>37</v>
      </c>
      <c r="E2521" s="136">
        <f t="shared" si="110"/>
        <v>14</v>
      </c>
      <c r="F2521" s="137" t="s">
        <v>24</v>
      </c>
      <c r="G2521" s="128" t="str">
        <f>VLOOKUP(source[[#This Row],[lending_product_transform]],[3]Mapping!$B$4:$C$37,2,0)</f>
        <v>[Cake] - Cashloan</v>
      </c>
      <c r="H2521" s="128" t="str">
        <f>VLOOKUP(source[[#This Row],[lending_product_transform]],[3]Mapping!$B$3:$D$37,3,0)</f>
        <v>cashloan</v>
      </c>
      <c r="I2521" s="135">
        <v>213989710</v>
      </c>
    </row>
    <row r="2522" spans="1:9" x14ac:dyDescent="0.2">
      <c r="A2522" s="134">
        <v>45549</v>
      </c>
      <c r="B2522" s="135">
        <f>YEAR(source[[#This Row],[report_date]])</f>
        <v>2024</v>
      </c>
      <c r="C2522" s="128">
        <f t="shared" si="111"/>
        <v>9</v>
      </c>
      <c r="D2522" s="136">
        <f t="shared" si="109"/>
        <v>37</v>
      </c>
      <c r="E2522" s="136">
        <f t="shared" si="110"/>
        <v>14</v>
      </c>
      <c r="F2522" s="137" t="s">
        <v>24</v>
      </c>
      <c r="G2522" s="128" t="str">
        <f>VLOOKUP(source[[#This Row],[lending_product_transform]],[3]Mapping!$B$4:$C$37,2,0)</f>
        <v>[Cake] - Cashloan</v>
      </c>
      <c r="H2522" s="128" t="str">
        <f>VLOOKUP(source[[#This Row],[lending_product_transform]],[3]Mapping!$B$3:$D$37,3,0)</f>
        <v>cashloan</v>
      </c>
      <c r="I2522" s="135">
        <v>0</v>
      </c>
    </row>
    <row r="2523" spans="1:9" x14ac:dyDescent="0.2">
      <c r="A2523" s="134">
        <v>45549</v>
      </c>
      <c r="B2523" s="135">
        <f>YEAR(source[[#This Row],[report_date]])</f>
        <v>2024</v>
      </c>
      <c r="C2523" s="128">
        <f t="shared" si="111"/>
        <v>9</v>
      </c>
      <c r="D2523" s="136">
        <f t="shared" si="109"/>
        <v>37</v>
      </c>
      <c r="E2523" s="136">
        <f t="shared" si="110"/>
        <v>14</v>
      </c>
      <c r="F2523" s="137" t="s">
        <v>24</v>
      </c>
      <c r="G2523" s="128" t="str">
        <f>VLOOKUP(source[[#This Row],[lending_product_transform]],[3]Mapping!$B$4:$C$37,2,0)</f>
        <v>[Cake] - Cashloan</v>
      </c>
      <c r="H2523" s="128" t="str">
        <f>VLOOKUP(source[[#This Row],[lending_product_transform]],[3]Mapping!$B$3:$D$37,3,0)</f>
        <v>cashloan</v>
      </c>
      <c r="I2523" s="135">
        <v>2703255668</v>
      </c>
    </row>
    <row r="2524" spans="1:9" x14ac:dyDescent="0.2">
      <c r="A2524" s="134">
        <v>45549</v>
      </c>
      <c r="B2524" s="135">
        <f>YEAR(source[[#This Row],[report_date]])</f>
        <v>2024</v>
      </c>
      <c r="C2524" s="128">
        <f t="shared" si="111"/>
        <v>9</v>
      </c>
      <c r="D2524" s="136">
        <f t="shared" si="109"/>
        <v>37</v>
      </c>
      <c r="E2524" s="136">
        <f t="shared" si="110"/>
        <v>14</v>
      </c>
      <c r="F2524" s="137" t="s">
        <v>24</v>
      </c>
      <c r="G2524" s="128" t="str">
        <f>VLOOKUP(source[[#This Row],[lending_product_transform]],[3]Mapping!$B$4:$C$37,2,0)</f>
        <v>[Cake] - Cashloan</v>
      </c>
      <c r="H2524" s="128" t="str">
        <f>VLOOKUP(source[[#This Row],[lending_product_transform]],[3]Mapping!$B$3:$D$37,3,0)</f>
        <v>cashloan</v>
      </c>
      <c r="I2524" s="135">
        <v>5084660000</v>
      </c>
    </row>
    <row r="2525" spans="1:9" x14ac:dyDescent="0.2">
      <c r="A2525" s="134">
        <v>45549</v>
      </c>
      <c r="B2525" s="135">
        <f>YEAR(source[[#This Row],[report_date]])</f>
        <v>2024</v>
      </c>
      <c r="C2525" s="128">
        <f t="shared" si="111"/>
        <v>9</v>
      </c>
      <c r="D2525" s="136">
        <f t="shared" si="109"/>
        <v>37</v>
      </c>
      <c r="E2525" s="136">
        <f t="shared" si="110"/>
        <v>14</v>
      </c>
      <c r="F2525" s="137" t="s">
        <v>24</v>
      </c>
      <c r="G2525" s="128" t="str">
        <f>VLOOKUP(source[[#This Row],[lending_product_transform]],[3]Mapping!$B$4:$C$37,2,0)</f>
        <v>[Cake] - Cashloan</v>
      </c>
      <c r="H2525" s="128" t="str">
        <f>VLOOKUP(source[[#This Row],[lending_product_transform]],[3]Mapping!$B$3:$D$37,3,0)</f>
        <v>cashloan</v>
      </c>
      <c r="I2525" s="135">
        <v>7490000</v>
      </c>
    </row>
    <row r="2526" spans="1:9" x14ac:dyDescent="0.2">
      <c r="A2526" s="134">
        <v>45549</v>
      </c>
      <c r="B2526" s="135">
        <f>YEAR(source[[#This Row],[report_date]])</f>
        <v>2024</v>
      </c>
      <c r="C2526" s="128">
        <f t="shared" si="111"/>
        <v>9</v>
      </c>
      <c r="D2526" s="136">
        <f t="shared" si="109"/>
        <v>37</v>
      </c>
      <c r="E2526" s="136">
        <f t="shared" si="110"/>
        <v>14</v>
      </c>
      <c r="F2526" s="137" t="s">
        <v>24</v>
      </c>
      <c r="G2526" s="128" t="str">
        <f>VLOOKUP(source[[#This Row],[lending_product_transform]],[3]Mapping!$B$4:$C$37,2,0)</f>
        <v>[Cake] - Cashloan</v>
      </c>
      <c r="H2526" s="128" t="str">
        <f>VLOOKUP(source[[#This Row],[lending_product_transform]],[3]Mapping!$B$3:$D$37,3,0)</f>
        <v>cashloan</v>
      </c>
      <c r="I2526" s="135">
        <v>31453933</v>
      </c>
    </row>
    <row r="2527" spans="1:9" x14ac:dyDescent="0.2">
      <c r="A2527" s="134">
        <v>45549</v>
      </c>
      <c r="B2527" s="135">
        <f>YEAR(source[[#This Row],[report_date]])</f>
        <v>2024</v>
      </c>
      <c r="C2527" s="128">
        <f t="shared" si="111"/>
        <v>9</v>
      </c>
      <c r="D2527" s="136">
        <f t="shared" si="109"/>
        <v>37</v>
      </c>
      <c r="E2527" s="136">
        <f t="shared" si="110"/>
        <v>14</v>
      </c>
      <c r="F2527" s="137" t="s">
        <v>24</v>
      </c>
      <c r="G2527" s="128" t="str">
        <f>VLOOKUP(source[[#This Row],[lending_product_transform]],[3]Mapping!$B$4:$C$37,2,0)</f>
        <v>[Cake] - Cashloan</v>
      </c>
      <c r="H2527" s="128" t="str">
        <f>VLOOKUP(source[[#This Row],[lending_product_transform]],[3]Mapping!$B$3:$D$37,3,0)</f>
        <v>cashloan</v>
      </c>
      <c r="I2527" s="135">
        <v>14000000</v>
      </c>
    </row>
    <row r="2528" spans="1:9" x14ac:dyDescent="0.2">
      <c r="A2528" s="134">
        <v>45549</v>
      </c>
      <c r="B2528" s="135">
        <f>YEAR(source[[#This Row],[report_date]])</f>
        <v>2024</v>
      </c>
      <c r="C2528" s="128">
        <f t="shared" si="111"/>
        <v>9</v>
      </c>
      <c r="D2528" s="136">
        <f t="shared" si="109"/>
        <v>37</v>
      </c>
      <c r="E2528" s="136">
        <f t="shared" si="110"/>
        <v>14</v>
      </c>
      <c r="F2528" s="137" t="s">
        <v>24</v>
      </c>
      <c r="G2528" s="128" t="str">
        <f>VLOOKUP(source[[#This Row],[lending_product_transform]],[3]Mapping!$B$4:$C$37,2,0)</f>
        <v>[Cake] - Cashloan</v>
      </c>
      <c r="H2528" s="128" t="str">
        <f>VLOOKUP(source[[#This Row],[lending_product_transform]],[3]Mapping!$B$3:$D$37,3,0)</f>
        <v>cashloan</v>
      </c>
      <c r="I2528" s="135">
        <v>157150000</v>
      </c>
    </row>
    <row r="2529" spans="1:9" x14ac:dyDescent="0.2">
      <c r="A2529" s="134">
        <v>45549</v>
      </c>
      <c r="B2529" s="135">
        <f>YEAR(source[[#This Row],[report_date]])</f>
        <v>2024</v>
      </c>
      <c r="C2529" s="128">
        <f t="shared" si="111"/>
        <v>9</v>
      </c>
      <c r="D2529" s="136">
        <f t="shared" si="109"/>
        <v>37</v>
      </c>
      <c r="E2529" s="136">
        <f t="shared" si="110"/>
        <v>14</v>
      </c>
      <c r="F2529" s="137" t="s">
        <v>24</v>
      </c>
      <c r="G2529" s="128" t="str">
        <f>VLOOKUP(source[[#This Row],[lending_product_transform]],[3]Mapping!$B$4:$C$37,2,0)</f>
        <v>[Cake] - Cashloan</v>
      </c>
      <c r="H2529" s="128" t="str">
        <f>VLOOKUP(source[[#This Row],[lending_product_transform]],[3]Mapping!$B$3:$D$37,3,0)</f>
        <v>cashloan</v>
      </c>
      <c r="I2529" s="135">
        <v>0</v>
      </c>
    </row>
    <row r="2530" spans="1:9" x14ac:dyDescent="0.2">
      <c r="A2530" s="134">
        <v>45550</v>
      </c>
      <c r="B2530" s="135">
        <f>YEAR(source[[#This Row],[report_date]])</f>
        <v>2024</v>
      </c>
      <c r="C2530" s="128">
        <f t="shared" si="111"/>
        <v>9</v>
      </c>
      <c r="D2530" s="136">
        <f t="shared" si="109"/>
        <v>37</v>
      </c>
      <c r="E2530" s="136">
        <f t="shared" si="110"/>
        <v>15</v>
      </c>
      <c r="F2530" s="137" t="s">
        <v>24</v>
      </c>
      <c r="G2530" s="128" t="str">
        <f>VLOOKUP(source[[#This Row],[lending_product_transform]],[3]Mapping!$B$4:$C$37,2,0)</f>
        <v>[Cake] - Cashloan</v>
      </c>
      <c r="H2530" s="128" t="str">
        <f>VLOOKUP(source[[#This Row],[lending_product_transform]],[3]Mapping!$B$3:$D$37,3,0)</f>
        <v>cashloan</v>
      </c>
      <c r="I2530" s="135">
        <v>5785480000</v>
      </c>
    </row>
    <row r="2531" spans="1:9" x14ac:dyDescent="0.2">
      <c r="A2531" s="134">
        <v>45550</v>
      </c>
      <c r="B2531" s="135">
        <f>YEAR(source[[#This Row],[report_date]])</f>
        <v>2024</v>
      </c>
      <c r="C2531" s="128">
        <f t="shared" si="111"/>
        <v>9</v>
      </c>
      <c r="D2531" s="136">
        <f t="shared" si="109"/>
        <v>37</v>
      </c>
      <c r="E2531" s="136">
        <f t="shared" si="110"/>
        <v>15</v>
      </c>
      <c r="F2531" s="137" t="s">
        <v>24</v>
      </c>
      <c r="G2531" s="128" t="str">
        <f>VLOOKUP(source[[#This Row],[lending_product_transform]],[3]Mapping!$B$4:$C$37,2,0)</f>
        <v>[Cake] - Cashloan</v>
      </c>
      <c r="H2531" s="128" t="str">
        <f>VLOOKUP(source[[#This Row],[lending_product_transform]],[3]Mapping!$B$3:$D$37,3,0)</f>
        <v>cashloan</v>
      </c>
      <c r="I2531" s="135">
        <v>21400000</v>
      </c>
    </row>
    <row r="2532" spans="1:9" x14ac:dyDescent="0.2">
      <c r="A2532" s="134">
        <v>45550</v>
      </c>
      <c r="B2532" s="135">
        <f>YEAR(source[[#This Row],[report_date]])</f>
        <v>2024</v>
      </c>
      <c r="C2532" s="128">
        <f t="shared" si="111"/>
        <v>9</v>
      </c>
      <c r="D2532" s="136">
        <f t="shared" si="109"/>
        <v>37</v>
      </c>
      <c r="E2532" s="136">
        <f t="shared" si="110"/>
        <v>15</v>
      </c>
      <c r="F2532" s="137" t="s">
        <v>24</v>
      </c>
      <c r="G2532" s="128" t="str">
        <f>VLOOKUP(source[[#This Row],[lending_product_transform]],[3]Mapping!$B$4:$C$37,2,0)</f>
        <v>[Cake] - Cashloan</v>
      </c>
      <c r="H2532" s="128" t="str">
        <f>VLOOKUP(source[[#This Row],[lending_product_transform]],[3]Mapping!$B$3:$D$37,3,0)</f>
        <v>cashloan</v>
      </c>
      <c r="I2532" s="135">
        <v>4058000000</v>
      </c>
    </row>
    <row r="2533" spans="1:9" x14ac:dyDescent="0.2">
      <c r="A2533" s="134">
        <v>45550</v>
      </c>
      <c r="B2533" s="135">
        <f>YEAR(source[[#This Row],[report_date]])</f>
        <v>2024</v>
      </c>
      <c r="C2533" s="128">
        <f t="shared" si="111"/>
        <v>9</v>
      </c>
      <c r="D2533" s="136">
        <f t="shared" si="109"/>
        <v>37</v>
      </c>
      <c r="E2533" s="136">
        <f t="shared" si="110"/>
        <v>15</v>
      </c>
      <c r="F2533" s="137" t="s">
        <v>24</v>
      </c>
      <c r="G2533" s="128" t="str">
        <f>VLOOKUP(source[[#This Row],[lending_product_transform]],[3]Mapping!$B$4:$C$37,2,0)</f>
        <v>[Cake] - Cashloan</v>
      </c>
      <c r="H2533" s="128" t="str">
        <f>VLOOKUP(source[[#This Row],[lending_product_transform]],[3]Mapping!$B$3:$D$37,3,0)</f>
        <v>cashloan</v>
      </c>
      <c r="I2533" s="135">
        <v>196909568</v>
      </c>
    </row>
    <row r="2534" spans="1:9" x14ac:dyDescent="0.2">
      <c r="A2534" s="134">
        <v>45550</v>
      </c>
      <c r="B2534" s="135">
        <f>YEAR(source[[#This Row],[report_date]])</f>
        <v>2024</v>
      </c>
      <c r="C2534" s="128">
        <f t="shared" si="111"/>
        <v>9</v>
      </c>
      <c r="D2534" s="136">
        <f t="shared" si="109"/>
        <v>37</v>
      </c>
      <c r="E2534" s="136">
        <f t="shared" si="110"/>
        <v>15</v>
      </c>
      <c r="F2534" s="137" t="s">
        <v>24</v>
      </c>
      <c r="G2534" s="128" t="str">
        <f>VLOOKUP(source[[#This Row],[lending_product_transform]],[3]Mapping!$B$4:$C$37,2,0)</f>
        <v>[Cake] - Cashloan</v>
      </c>
      <c r="H2534" s="128" t="str">
        <f>VLOOKUP(source[[#This Row],[lending_product_transform]],[3]Mapping!$B$3:$D$37,3,0)</f>
        <v>cashloan</v>
      </c>
      <c r="I2534" s="135">
        <v>94500000</v>
      </c>
    </row>
    <row r="2535" spans="1:9" x14ac:dyDescent="0.2">
      <c r="A2535" s="134">
        <v>45550</v>
      </c>
      <c r="B2535" s="135">
        <f>YEAR(source[[#This Row],[report_date]])</f>
        <v>2024</v>
      </c>
      <c r="C2535" s="128">
        <f t="shared" si="111"/>
        <v>9</v>
      </c>
      <c r="D2535" s="136">
        <f t="shared" si="109"/>
        <v>37</v>
      </c>
      <c r="E2535" s="136">
        <f t="shared" si="110"/>
        <v>15</v>
      </c>
      <c r="F2535" s="137" t="s">
        <v>24</v>
      </c>
      <c r="G2535" s="128" t="str">
        <f>VLOOKUP(source[[#This Row],[lending_product_transform]],[3]Mapping!$B$4:$C$37,2,0)</f>
        <v>[Cake] - Cashloan</v>
      </c>
      <c r="H2535" s="128" t="str">
        <f>VLOOKUP(source[[#This Row],[lending_product_transform]],[3]Mapping!$B$3:$D$37,3,0)</f>
        <v>cashloan</v>
      </c>
      <c r="I2535" s="135">
        <v>38007483</v>
      </c>
    </row>
    <row r="2536" spans="1:9" x14ac:dyDescent="0.2">
      <c r="A2536" s="134">
        <v>45550</v>
      </c>
      <c r="B2536" s="135">
        <f>YEAR(source[[#This Row],[report_date]])</f>
        <v>2024</v>
      </c>
      <c r="C2536" s="128">
        <f t="shared" si="111"/>
        <v>9</v>
      </c>
      <c r="D2536" s="136">
        <f t="shared" si="109"/>
        <v>37</v>
      </c>
      <c r="E2536" s="136">
        <f t="shared" si="110"/>
        <v>15</v>
      </c>
      <c r="F2536" s="137" t="s">
        <v>24</v>
      </c>
      <c r="G2536" s="128" t="str">
        <f>VLOOKUP(source[[#This Row],[lending_product_transform]],[3]Mapping!$B$4:$C$37,2,0)</f>
        <v>[Cake] - Cashloan</v>
      </c>
      <c r="H2536" s="128" t="str">
        <f>VLOOKUP(source[[#This Row],[lending_product_transform]],[3]Mapping!$B$3:$D$37,3,0)</f>
        <v>cashloan</v>
      </c>
      <c r="I2536" s="135">
        <v>2784114016</v>
      </c>
    </row>
    <row r="2537" spans="1:9" x14ac:dyDescent="0.2">
      <c r="A2537" s="134">
        <v>45550</v>
      </c>
      <c r="B2537" s="135">
        <f>YEAR(source[[#This Row],[report_date]])</f>
        <v>2024</v>
      </c>
      <c r="C2537" s="128">
        <f t="shared" si="111"/>
        <v>9</v>
      </c>
      <c r="D2537" s="136">
        <f t="shared" si="109"/>
        <v>37</v>
      </c>
      <c r="E2537" s="136">
        <f t="shared" si="110"/>
        <v>15</v>
      </c>
      <c r="F2537" s="137" t="s">
        <v>24</v>
      </c>
      <c r="G2537" s="128" t="str">
        <f>VLOOKUP(source[[#This Row],[lending_product_transform]],[3]Mapping!$B$4:$C$37,2,0)</f>
        <v>[Cake] - Cashloan</v>
      </c>
      <c r="H2537" s="128" t="str">
        <f>VLOOKUP(source[[#This Row],[lending_product_transform]],[3]Mapping!$B$3:$D$37,3,0)</f>
        <v>cashloan</v>
      </c>
      <c r="I2537" s="135">
        <v>14980001067</v>
      </c>
    </row>
    <row r="2538" spans="1:9" x14ac:dyDescent="0.2">
      <c r="A2538" s="134">
        <v>45550</v>
      </c>
      <c r="B2538" s="135">
        <f>YEAR(source[[#This Row],[report_date]])</f>
        <v>2024</v>
      </c>
      <c r="C2538" s="128">
        <f t="shared" si="111"/>
        <v>9</v>
      </c>
      <c r="D2538" s="136">
        <f t="shared" si="109"/>
        <v>37</v>
      </c>
      <c r="E2538" s="136">
        <f t="shared" si="110"/>
        <v>15</v>
      </c>
      <c r="F2538" s="137" t="s">
        <v>24</v>
      </c>
      <c r="G2538" s="128" t="str">
        <f>VLOOKUP(source[[#This Row],[lending_product_transform]],[3]Mapping!$B$4:$C$37,2,0)</f>
        <v>[Cake] - Cashloan</v>
      </c>
      <c r="H2538" s="128" t="str">
        <f>VLOOKUP(source[[#This Row],[lending_product_transform]],[3]Mapping!$B$3:$D$37,3,0)</f>
        <v>cashloan</v>
      </c>
      <c r="I2538" s="135">
        <v>0</v>
      </c>
    </row>
    <row r="2539" spans="1:9" x14ac:dyDescent="0.2">
      <c r="A2539" s="134">
        <v>45550</v>
      </c>
      <c r="B2539" s="135">
        <f>YEAR(source[[#This Row],[report_date]])</f>
        <v>2024</v>
      </c>
      <c r="C2539" s="128">
        <f t="shared" si="111"/>
        <v>9</v>
      </c>
      <c r="D2539" s="136">
        <f t="shared" si="109"/>
        <v>37</v>
      </c>
      <c r="E2539" s="136">
        <f t="shared" si="110"/>
        <v>15</v>
      </c>
      <c r="F2539" s="137" t="s">
        <v>24</v>
      </c>
      <c r="G2539" s="128" t="str">
        <f>VLOOKUP(source[[#This Row],[lending_product_transform]],[3]Mapping!$B$4:$C$37,2,0)</f>
        <v>[Cake] - Cashloan</v>
      </c>
      <c r="H2539" s="128" t="str">
        <f>VLOOKUP(source[[#This Row],[lending_product_transform]],[3]Mapping!$B$3:$D$37,3,0)</f>
        <v>cashloan</v>
      </c>
      <c r="I2539" s="135">
        <v>1898890000</v>
      </c>
    </row>
    <row r="2540" spans="1:9" x14ac:dyDescent="0.2">
      <c r="A2540" s="134">
        <v>45550</v>
      </c>
      <c r="B2540" s="135">
        <f>YEAR(source[[#This Row],[report_date]])</f>
        <v>2024</v>
      </c>
      <c r="C2540" s="128">
        <f t="shared" si="111"/>
        <v>9</v>
      </c>
      <c r="D2540" s="136">
        <f t="shared" si="109"/>
        <v>37</v>
      </c>
      <c r="E2540" s="136">
        <f t="shared" si="110"/>
        <v>15</v>
      </c>
      <c r="F2540" s="137" t="s">
        <v>24</v>
      </c>
      <c r="G2540" s="128" t="str">
        <f>VLOOKUP(source[[#This Row],[lending_product_transform]],[3]Mapping!$B$4:$C$37,2,0)</f>
        <v>[Cake] - Cashloan</v>
      </c>
      <c r="H2540" s="128" t="str">
        <f>VLOOKUP(source[[#This Row],[lending_product_transform]],[3]Mapping!$B$3:$D$37,3,0)</f>
        <v>cashloan</v>
      </c>
      <c r="I2540" s="135">
        <v>32000000</v>
      </c>
    </row>
    <row r="2541" spans="1:9" x14ac:dyDescent="0.2">
      <c r="A2541" s="134">
        <v>45550</v>
      </c>
      <c r="B2541" s="135">
        <f>YEAR(source[[#This Row],[report_date]])</f>
        <v>2024</v>
      </c>
      <c r="C2541" s="128">
        <f t="shared" si="111"/>
        <v>9</v>
      </c>
      <c r="D2541" s="136">
        <f t="shared" si="109"/>
        <v>37</v>
      </c>
      <c r="E2541" s="136">
        <f t="shared" si="110"/>
        <v>15</v>
      </c>
      <c r="F2541" s="137" t="s">
        <v>24</v>
      </c>
      <c r="G2541" s="128" t="str">
        <f>VLOOKUP(source[[#This Row],[lending_product_transform]],[3]Mapping!$B$4:$C$37,2,0)</f>
        <v>[Cake] - Cashloan</v>
      </c>
      <c r="H2541" s="128" t="str">
        <f>VLOOKUP(source[[#This Row],[lending_product_transform]],[3]Mapping!$B$3:$D$37,3,0)</f>
        <v>cashloan</v>
      </c>
      <c r="I2541" s="135">
        <v>70700000</v>
      </c>
    </row>
    <row r="2542" spans="1:9" x14ac:dyDescent="0.2">
      <c r="A2542" s="134">
        <v>45550</v>
      </c>
      <c r="B2542" s="135">
        <f>YEAR(source[[#This Row],[report_date]])</f>
        <v>2024</v>
      </c>
      <c r="C2542" s="128">
        <f t="shared" si="111"/>
        <v>9</v>
      </c>
      <c r="D2542" s="136">
        <f t="shared" si="109"/>
        <v>37</v>
      </c>
      <c r="E2542" s="136">
        <f t="shared" si="110"/>
        <v>15</v>
      </c>
      <c r="F2542" s="137" t="s">
        <v>24</v>
      </c>
      <c r="G2542" s="128" t="str">
        <f>VLOOKUP(source[[#This Row],[lending_product_transform]],[3]Mapping!$B$4:$C$37,2,0)</f>
        <v>[Cake] - Cashloan</v>
      </c>
      <c r="H2542" s="128" t="str">
        <f>VLOOKUP(source[[#This Row],[lending_product_transform]],[3]Mapping!$B$3:$D$37,3,0)</f>
        <v>cashloan</v>
      </c>
      <c r="I2542" s="135">
        <v>0</v>
      </c>
    </row>
    <row r="2543" spans="1:9" x14ac:dyDescent="0.2">
      <c r="A2543" s="134">
        <v>45551</v>
      </c>
      <c r="B2543" s="135">
        <f>YEAR(source[[#This Row],[report_date]])</f>
        <v>2024</v>
      </c>
      <c r="C2543" s="128">
        <f t="shared" si="111"/>
        <v>9</v>
      </c>
      <c r="D2543" s="136">
        <f t="shared" si="109"/>
        <v>38</v>
      </c>
      <c r="E2543" s="136">
        <f t="shared" si="110"/>
        <v>16</v>
      </c>
      <c r="F2543" s="128" t="s">
        <v>24</v>
      </c>
      <c r="G2543" s="128" t="str">
        <f>VLOOKUP(source[[#This Row],[lending_product_transform]],[3]Mapping!$B$4:$C$37,2,0)</f>
        <v>[Cake] - Cashloan</v>
      </c>
      <c r="H2543" s="128" t="str">
        <f>VLOOKUP(source[[#This Row],[lending_product_transform]],[3]Mapping!$B$3:$D$37,3,0)</f>
        <v>cashloan</v>
      </c>
      <c r="I2543" s="135">
        <v>2345310000</v>
      </c>
    </row>
    <row r="2544" spans="1:9" x14ac:dyDescent="0.2">
      <c r="A2544" s="134">
        <v>45551</v>
      </c>
      <c r="B2544" s="135">
        <f>YEAR(source[[#This Row],[report_date]])</f>
        <v>2024</v>
      </c>
      <c r="C2544" s="128">
        <f t="shared" si="111"/>
        <v>9</v>
      </c>
      <c r="D2544" s="136">
        <f t="shared" si="109"/>
        <v>38</v>
      </c>
      <c r="E2544" s="136">
        <f t="shared" si="110"/>
        <v>16</v>
      </c>
      <c r="F2544" s="128" t="s">
        <v>24</v>
      </c>
      <c r="G2544" s="128" t="str">
        <f>VLOOKUP(source[[#This Row],[lending_product_transform]],[3]Mapping!$B$4:$C$37,2,0)</f>
        <v>[Cake] - Cashloan</v>
      </c>
      <c r="H2544" s="128" t="str">
        <f>VLOOKUP(source[[#This Row],[lending_product_transform]],[3]Mapping!$B$3:$D$37,3,0)</f>
        <v>cashloan</v>
      </c>
      <c r="I2544" s="135">
        <v>236626423</v>
      </c>
    </row>
    <row r="2545" spans="1:9" x14ac:dyDescent="0.2">
      <c r="A2545" s="134">
        <v>45551</v>
      </c>
      <c r="B2545" s="135">
        <f>YEAR(source[[#This Row],[report_date]])</f>
        <v>2024</v>
      </c>
      <c r="C2545" s="128">
        <f t="shared" si="111"/>
        <v>9</v>
      </c>
      <c r="D2545" s="136">
        <f t="shared" si="109"/>
        <v>38</v>
      </c>
      <c r="E2545" s="136">
        <f t="shared" si="110"/>
        <v>16</v>
      </c>
      <c r="F2545" s="128" t="s">
        <v>24</v>
      </c>
      <c r="G2545" s="128" t="str">
        <f>VLOOKUP(source[[#This Row],[lending_product_transform]],[3]Mapping!$B$4:$C$37,2,0)</f>
        <v>[Cake] - Cashloan</v>
      </c>
      <c r="H2545" s="128" t="str">
        <f>VLOOKUP(source[[#This Row],[lending_product_transform]],[3]Mapping!$B$3:$D$37,3,0)</f>
        <v>cashloan</v>
      </c>
      <c r="I2545" s="135">
        <v>6493940000</v>
      </c>
    </row>
    <row r="2546" spans="1:9" x14ac:dyDescent="0.2">
      <c r="A2546" s="134">
        <v>45551</v>
      </c>
      <c r="B2546" s="135">
        <f>YEAR(source[[#This Row],[report_date]])</f>
        <v>2024</v>
      </c>
      <c r="C2546" s="128">
        <f t="shared" si="111"/>
        <v>9</v>
      </c>
      <c r="D2546" s="136">
        <f t="shared" si="109"/>
        <v>38</v>
      </c>
      <c r="E2546" s="136">
        <f t="shared" si="110"/>
        <v>16</v>
      </c>
      <c r="F2546" s="128" t="s">
        <v>24</v>
      </c>
      <c r="G2546" s="128" t="str">
        <f>VLOOKUP(source[[#This Row],[lending_product_transform]],[3]Mapping!$B$4:$C$37,2,0)</f>
        <v>[Cake] - Cashloan</v>
      </c>
      <c r="H2546" s="128" t="str">
        <f>VLOOKUP(source[[#This Row],[lending_product_transform]],[3]Mapping!$B$3:$D$37,3,0)</f>
        <v>cashloan</v>
      </c>
      <c r="I2546" s="135">
        <v>78750000</v>
      </c>
    </row>
    <row r="2547" spans="1:9" x14ac:dyDescent="0.2">
      <c r="A2547" s="134">
        <v>45551</v>
      </c>
      <c r="B2547" s="135">
        <f>YEAR(source[[#This Row],[report_date]])</f>
        <v>2024</v>
      </c>
      <c r="C2547" s="128">
        <f t="shared" si="111"/>
        <v>9</v>
      </c>
      <c r="D2547" s="136">
        <f t="shared" si="109"/>
        <v>38</v>
      </c>
      <c r="E2547" s="136">
        <f t="shared" si="110"/>
        <v>16</v>
      </c>
      <c r="F2547" s="128" t="s">
        <v>24</v>
      </c>
      <c r="G2547" s="128" t="str">
        <f>VLOOKUP(source[[#This Row],[lending_product_transform]],[3]Mapping!$B$4:$C$37,2,0)</f>
        <v>[Cake] - Cashloan</v>
      </c>
      <c r="H2547" s="128" t="str">
        <f>VLOOKUP(source[[#This Row],[lending_product_transform]],[3]Mapping!$B$3:$D$37,3,0)</f>
        <v>cashloan</v>
      </c>
      <c r="I2547" s="135">
        <v>124950000</v>
      </c>
    </row>
    <row r="2548" spans="1:9" x14ac:dyDescent="0.2">
      <c r="A2548" s="134">
        <v>45551</v>
      </c>
      <c r="B2548" s="135">
        <f>YEAR(source[[#This Row],[report_date]])</f>
        <v>2024</v>
      </c>
      <c r="C2548" s="128">
        <f t="shared" si="111"/>
        <v>9</v>
      </c>
      <c r="D2548" s="136">
        <f t="shared" si="109"/>
        <v>38</v>
      </c>
      <c r="E2548" s="136">
        <f t="shared" si="110"/>
        <v>16</v>
      </c>
      <c r="F2548" s="128" t="s">
        <v>24</v>
      </c>
      <c r="G2548" s="128" t="str">
        <f>VLOOKUP(source[[#This Row],[lending_product_transform]],[3]Mapping!$B$4:$C$37,2,0)</f>
        <v>[Cake] - Cashloan</v>
      </c>
      <c r="H2548" s="128" t="str">
        <f>VLOOKUP(source[[#This Row],[lending_product_transform]],[3]Mapping!$B$3:$D$37,3,0)</f>
        <v>cashloan</v>
      </c>
      <c r="I2548" s="135">
        <v>28840000</v>
      </c>
    </row>
    <row r="2549" spans="1:9" x14ac:dyDescent="0.2">
      <c r="A2549" s="134">
        <v>45551</v>
      </c>
      <c r="B2549" s="135">
        <f>YEAR(source[[#This Row],[report_date]])</f>
        <v>2024</v>
      </c>
      <c r="C2549" s="128">
        <f t="shared" si="111"/>
        <v>9</v>
      </c>
      <c r="D2549" s="136">
        <f t="shared" si="109"/>
        <v>38</v>
      </c>
      <c r="E2549" s="136">
        <f t="shared" si="110"/>
        <v>16</v>
      </c>
      <c r="F2549" s="128" t="s">
        <v>24</v>
      </c>
      <c r="G2549" s="128" t="str">
        <f>VLOOKUP(source[[#This Row],[lending_product_transform]],[3]Mapping!$B$4:$C$37,2,0)</f>
        <v>[Cake] - Cashloan</v>
      </c>
      <c r="H2549" s="128" t="str">
        <f>VLOOKUP(source[[#This Row],[lending_product_transform]],[3]Mapping!$B$3:$D$37,3,0)</f>
        <v>cashloan</v>
      </c>
      <c r="I2549" s="135">
        <v>3000000</v>
      </c>
    </row>
    <row r="2550" spans="1:9" x14ac:dyDescent="0.2">
      <c r="A2550" s="134">
        <v>45551</v>
      </c>
      <c r="B2550" s="135">
        <f>YEAR(source[[#This Row],[report_date]])</f>
        <v>2024</v>
      </c>
      <c r="C2550" s="128">
        <f t="shared" si="111"/>
        <v>9</v>
      </c>
      <c r="D2550" s="136">
        <f t="shared" si="109"/>
        <v>38</v>
      </c>
      <c r="E2550" s="136">
        <f t="shared" si="110"/>
        <v>16</v>
      </c>
      <c r="F2550" s="128" t="s">
        <v>24</v>
      </c>
      <c r="G2550" s="128" t="str">
        <f>VLOOKUP(source[[#This Row],[lending_product_transform]],[3]Mapping!$B$4:$C$37,2,0)</f>
        <v>[Cake] - Cashloan</v>
      </c>
      <c r="H2550" s="128" t="str">
        <f>VLOOKUP(source[[#This Row],[lending_product_transform]],[3]Mapping!$B$3:$D$37,3,0)</f>
        <v>cashloan</v>
      </c>
      <c r="I2550" s="135">
        <v>0</v>
      </c>
    </row>
    <row r="2551" spans="1:9" x14ac:dyDescent="0.2">
      <c r="A2551" s="134">
        <v>45551</v>
      </c>
      <c r="B2551" s="135">
        <f>YEAR(source[[#This Row],[report_date]])</f>
        <v>2024</v>
      </c>
      <c r="C2551" s="128">
        <f t="shared" si="111"/>
        <v>9</v>
      </c>
      <c r="D2551" s="136">
        <f t="shared" si="109"/>
        <v>38</v>
      </c>
      <c r="E2551" s="136">
        <f t="shared" si="110"/>
        <v>16</v>
      </c>
      <c r="F2551" s="128" t="s">
        <v>24</v>
      </c>
      <c r="G2551" s="128" t="str">
        <f>VLOOKUP(source[[#This Row],[lending_product_transform]],[3]Mapping!$B$4:$C$37,2,0)</f>
        <v>[Cake] - Cashloan</v>
      </c>
      <c r="H2551" s="128" t="str">
        <f>VLOOKUP(source[[#This Row],[lending_product_transform]],[3]Mapping!$B$3:$D$37,3,0)</f>
        <v>cashloan</v>
      </c>
      <c r="I2551" s="135">
        <v>4733000000</v>
      </c>
    </row>
    <row r="2552" spans="1:9" x14ac:dyDescent="0.2">
      <c r="A2552" s="134">
        <v>45551</v>
      </c>
      <c r="B2552" s="135">
        <f>YEAR(source[[#This Row],[report_date]])</f>
        <v>2024</v>
      </c>
      <c r="C2552" s="128">
        <f t="shared" si="111"/>
        <v>9</v>
      </c>
      <c r="D2552" s="136">
        <f t="shared" si="109"/>
        <v>38</v>
      </c>
      <c r="E2552" s="136">
        <f t="shared" si="110"/>
        <v>16</v>
      </c>
      <c r="F2552" s="128" t="s">
        <v>24</v>
      </c>
      <c r="G2552" s="128" t="str">
        <f>VLOOKUP(source[[#This Row],[lending_product_transform]],[3]Mapping!$B$4:$C$37,2,0)</f>
        <v>[Cake] - Cashloan</v>
      </c>
      <c r="H2552" s="128" t="str">
        <f>VLOOKUP(source[[#This Row],[lending_product_transform]],[3]Mapping!$B$3:$D$37,3,0)</f>
        <v>cashloan</v>
      </c>
      <c r="I2552" s="135">
        <v>6000000</v>
      </c>
    </row>
    <row r="2553" spans="1:9" x14ac:dyDescent="0.2">
      <c r="A2553" s="134">
        <v>45551</v>
      </c>
      <c r="B2553" s="135">
        <f>YEAR(source[[#This Row],[report_date]])</f>
        <v>2024</v>
      </c>
      <c r="C2553" s="128">
        <f t="shared" si="111"/>
        <v>9</v>
      </c>
      <c r="D2553" s="136">
        <f t="shared" si="109"/>
        <v>38</v>
      </c>
      <c r="E2553" s="136">
        <f t="shared" si="110"/>
        <v>16</v>
      </c>
      <c r="F2553" s="128" t="s">
        <v>24</v>
      </c>
      <c r="G2553" s="128" t="str">
        <f>VLOOKUP(source[[#This Row],[lending_product_transform]],[3]Mapping!$B$4:$C$37,2,0)</f>
        <v>[Cake] - Cashloan</v>
      </c>
      <c r="H2553" s="128" t="str">
        <f>VLOOKUP(source[[#This Row],[lending_product_transform]],[3]Mapping!$B$3:$D$37,3,0)</f>
        <v>cashloan</v>
      </c>
      <c r="I2553" s="135">
        <v>16989837852</v>
      </c>
    </row>
    <row r="2554" spans="1:9" x14ac:dyDescent="0.2">
      <c r="A2554" s="134">
        <v>45551</v>
      </c>
      <c r="B2554" s="135">
        <f>YEAR(source[[#This Row],[report_date]])</f>
        <v>2024</v>
      </c>
      <c r="C2554" s="128">
        <f t="shared" si="111"/>
        <v>9</v>
      </c>
      <c r="D2554" s="136">
        <f t="shared" si="109"/>
        <v>38</v>
      </c>
      <c r="E2554" s="136">
        <f t="shared" si="110"/>
        <v>16</v>
      </c>
      <c r="F2554" s="128" t="s">
        <v>24</v>
      </c>
      <c r="G2554" s="128" t="str">
        <f>VLOOKUP(source[[#This Row],[lending_product_transform]],[3]Mapping!$B$4:$C$37,2,0)</f>
        <v>[Cake] - Cashloan</v>
      </c>
      <c r="H2554" s="128" t="str">
        <f>VLOOKUP(source[[#This Row],[lending_product_transform]],[3]Mapping!$B$3:$D$37,3,0)</f>
        <v>cashloan</v>
      </c>
      <c r="I2554" s="135">
        <v>36389302</v>
      </c>
    </row>
    <row r="2555" spans="1:9" x14ac:dyDescent="0.2">
      <c r="A2555" s="134">
        <v>45551</v>
      </c>
      <c r="B2555" s="135">
        <f>YEAR(source[[#This Row],[report_date]])</f>
        <v>2024</v>
      </c>
      <c r="C2555" s="128">
        <f t="shared" si="111"/>
        <v>9</v>
      </c>
      <c r="D2555" s="136">
        <f t="shared" si="109"/>
        <v>38</v>
      </c>
      <c r="E2555" s="136">
        <f t="shared" si="110"/>
        <v>16</v>
      </c>
      <c r="F2555" s="128" t="s">
        <v>24</v>
      </c>
      <c r="G2555" s="128" t="str">
        <f>VLOOKUP(source[[#This Row],[lending_product_transform]],[3]Mapping!$B$4:$C$37,2,0)</f>
        <v>[Cake] - Cashloan</v>
      </c>
      <c r="H2555" s="128" t="str">
        <f>VLOOKUP(source[[#This Row],[lending_product_transform]],[3]Mapping!$B$3:$D$37,3,0)</f>
        <v>cashloan</v>
      </c>
      <c r="I2555" s="135">
        <v>2903032127</v>
      </c>
    </row>
    <row r="2556" spans="1:9" x14ac:dyDescent="0.2">
      <c r="A2556" s="134">
        <v>45552</v>
      </c>
      <c r="B2556" s="135">
        <f>YEAR(source[[#This Row],[report_date]])</f>
        <v>2024</v>
      </c>
      <c r="C2556" s="128">
        <f t="shared" si="111"/>
        <v>9</v>
      </c>
      <c r="D2556" s="136">
        <f t="shared" si="109"/>
        <v>38</v>
      </c>
      <c r="E2556" s="136">
        <f t="shared" si="110"/>
        <v>17</v>
      </c>
      <c r="F2556" s="128" t="s">
        <v>24</v>
      </c>
      <c r="G2556" s="128" t="str">
        <f>VLOOKUP(source[[#This Row],[lending_product_transform]],[3]Mapping!$B$4:$C$37,2,0)</f>
        <v>[Cake] - Cashloan</v>
      </c>
      <c r="H2556" s="128" t="str">
        <f>VLOOKUP(source[[#This Row],[lending_product_transform]],[3]Mapping!$B$3:$D$37,3,0)</f>
        <v>cashloan</v>
      </c>
      <c r="I2556" s="135">
        <v>0</v>
      </c>
    </row>
    <row r="2557" spans="1:9" x14ac:dyDescent="0.2">
      <c r="A2557" s="134">
        <v>45552</v>
      </c>
      <c r="B2557" s="135">
        <f>YEAR(source[[#This Row],[report_date]])</f>
        <v>2024</v>
      </c>
      <c r="C2557" s="128">
        <f t="shared" si="111"/>
        <v>9</v>
      </c>
      <c r="D2557" s="136">
        <f t="shared" si="109"/>
        <v>38</v>
      </c>
      <c r="E2557" s="136">
        <f t="shared" si="110"/>
        <v>17</v>
      </c>
      <c r="F2557" s="128" t="s">
        <v>24</v>
      </c>
      <c r="G2557" s="128" t="str">
        <f>VLOOKUP(source[[#This Row],[lending_product_transform]],[3]Mapping!$B$4:$C$37,2,0)</f>
        <v>[Cake] - Cashloan</v>
      </c>
      <c r="H2557" s="128" t="str">
        <f>VLOOKUP(source[[#This Row],[lending_product_transform]],[3]Mapping!$B$3:$D$37,3,0)</f>
        <v>cashloan</v>
      </c>
      <c r="I2557" s="135">
        <v>177359459</v>
      </c>
    </row>
    <row r="2558" spans="1:9" x14ac:dyDescent="0.2">
      <c r="A2558" s="134">
        <v>45552</v>
      </c>
      <c r="B2558" s="135">
        <f>YEAR(source[[#This Row],[report_date]])</f>
        <v>2024</v>
      </c>
      <c r="C2558" s="128">
        <f t="shared" si="111"/>
        <v>9</v>
      </c>
      <c r="D2558" s="136">
        <f t="shared" si="109"/>
        <v>38</v>
      </c>
      <c r="E2558" s="136">
        <f t="shared" si="110"/>
        <v>17</v>
      </c>
      <c r="F2558" s="128" t="s">
        <v>24</v>
      </c>
      <c r="G2558" s="128" t="str">
        <f>VLOOKUP(source[[#This Row],[lending_product_transform]],[3]Mapping!$B$4:$C$37,2,0)</f>
        <v>[Cake] - Cashloan</v>
      </c>
      <c r="H2558" s="128" t="str">
        <f>VLOOKUP(source[[#This Row],[lending_product_transform]],[3]Mapping!$B$3:$D$37,3,0)</f>
        <v>cashloan</v>
      </c>
      <c r="I2558" s="135">
        <v>4206500000</v>
      </c>
    </row>
    <row r="2559" spans="1:9" x14ac:dyDescent="0.2">
      <c r="A2559" s="134">
        <v>45552</v>
      </c>
      <c r="B2559" s="135">
        <f>YEAR(source[[#This Row],[report_date]])</f>
        <v>2024</v>
      </c>
      <c r="C2559" s="128">
        <f t="shared" si="111"/>
        <v>9</v>
      </c>
      <c r="D2559" s="136">
        <f t="shared" si="109"/>
        <v>38</v>
      </c>
      <c r="E2559" s="136">
        <f t="shared" si="110"/>
        <v>17</v>
      </c>
      <c r="F2559" s="128" t="s">
        <v>24</v>
      </c>
      <c r="G2559" s="128" t="str">
        <f>VLOOKUP(source[[#This Row],[lending_product_transform]],[3]Mapping!$B$4:$C$37,2,0)</f>
        <v>[Cake] - Cashloan</v>
      </c>
      <c r="H2559" s="128" t="str">
        <f>VLOOKUP(source[[#This Row],[lending_product_transform]],[3]Mapping!$B$3:$D$37,3,0)</f>
        <v>cashloan</v>
      </c>
      <c r="I2559" s="135">
        <v>18751606046</v>
      </c>
    </row>
    <row r="2560" spans="1:9" x14ac:dyDescent="0.2">
      <c r="A2560" s="134">
        <v>45552</v>
      </c>
      <c r="B2560" s="135">
        <f>YEAR(source[[#This Row],[report_date]])</f>
        <v>2024</v>
      </c>
      <c r="C2560" s="128">
        <f t="shared" si="111"/>
        <v>9</v>
      </c>
      <c r="D2560" s="136">
        <f t="shared" si="109"/>
        <v>38</v>
      </c>
      <c r="E2560" s="136">
        <f t="shared" si="110"/>
        <v>17</v>
      </c>
      <c r="F2560" s="128" t="s">
        <v>24</v>
      </c>
      <c r="G2560" s="128" t="str">
        <f>VLOOKUP(source[[#This Row],[lending_product_transform]],[3]Mapping!$B$4:$C$37,2,0)</f>
        <v>[Cake] - Cashloan</v>
      </c>
      <c r="H2560" s="128" t="str">
        <f>VLOOKUP(source[[#This Row],[lending_product_transform]],[3]Mapping!$B$3:$D$37,3,0)</f>
        <v>cashloan</v>
      </c>
      <c r="I2560" s="135">
        <v>0</v>
      </c>
    </row>
    <row r="2561" spans="1:9" x14ac:dyDescent="0.2">
      <c r="A2561" s="134">
        <v>45552</v>
      </c>
      <c r="B2561" s="135">
        <f>YEAR(source[[#This Row],[report_date]])</f>
        <v>2024</v>
      </c>
      <c r="C2561" s="128">
        <f t="shared" si="111"/>
        <v>9</v>
      </c>
      <c r="D2561" s="136">
        <f t="shared" si="109"/>
        <v>38</v>
      </c>
      <c r="E2561" s="136">
        <f t="shared" si="110"/>
        <v>17</v>
      </c>
      <c r="F2561" s="128" t="s">
        <v>24</v>
      </c>
      <c r="G2561" s="128" t="str">
        <f>VLOOKUP(source[[#This Row],[lending_product_transform]],[3]Mapping!$B$4:$C$37,2,0)</f>
        <v>[Cake] - Cashloan</v>
      </c>
      <c r="H2561" s="128" t="str">
        <f>VLOOKUP(source[[#This Row],[lending_product_transform]],[3]Mapping!$B$3:$D$37,3,0)</f>
        <v>cashloan</v>
      </c>
      <c r="I2561" s="135">
        <v>2310080000</v>
      </c>
    </row>
    <row r="2562" spans="1:9" x14ac:dyDescent="0.2">
      <c r="A2562" s="134">
        <v>45552</v>
      </c>
      <c r="B2562" s="135">
        <f>YEAR(source[[#This Row],[report_date]])</f>
        <v>2024</v>
      </c>
      <c r="C2562" s="128">
        <f t="shared" si="111"/>
        <v>9</v>
      </c>
      <c r="D2562" s="136">
        <f t="shared" si="109"/>
        <v>38</v>
      </c>
      <c r="E2562" s="136">
        <f t="shared" si="110"/>
        <v>17</v>
      </c>
      <c r="F2562" s="128" t="s">
        <v>24</v>
      </c>
      <c r="G2562" s="128" t="str">
        <f>VLOOKUP(source[[#This Row],[lending_product_transform]],[3]Mapping!$B$4:$C$37,2,0)</f>
        <v>[Cake] - Cashloan</v>
      </c>
      <c r="H2562" s="128" t="str">
        <f>VLOOKUP(source[[#This Row],[lending_product_transform]],[3]Mapping!$B$3:$D$37,3,0)</f>
        <v>cashloan</v>
      </c>
      <c r="I2562" s="135">
        <v>0</v>
      </c>
    </row>
    <row r="2563" spans="1:9" x14ac:dyDescent="0.2">
      <c r="A2563" s="134">
        <v>45552</v>
      </c>
      <c r="B2563" s="135">
        <f>YEAR(source[[#This Row],[report_date]])</f>
        <v>2024</v>
      </c>
      <c r="C2563" s="128">
        <f t="shared" si="111"/>
        <v>9</v>
      </c>
      <c r="D2563" s="136">
        <f t="shared" ref="D2563:D2626" si="112">WEEKNUM(A2563,2)</f>
        <v>38</v>
      </c>
      <c r="E2563" s="136">
        <f t="shared" ref="E2563:E2626" si="113">DAY(A2563)</f>
        <v>17</v>
      </c>
      <c r="F2563" s="128" t="s">
        <v>24</v>
      </c>
      <c r="G2563" s="128" t="str">
        <f>VLOOKUP(source[[#This Row],[lending_product_transform]],[3]Mapping!$B$4:$C$37,2,0)</f>
        <v>[Cake] - Cashloan</v>
      </c>
      <c r="H2563" s="128" t="str">
        <f>VLOOKUP(source[[#This Row],[lending_product_transform]],[3]Mapping!$B$3:$D$37,3,0)</f>
        <v>cashloan</v>
      </c>
      <c r="I2563" s="135">
        <v>67250000</v>
      </c>
    </row>
    <row r="2564" spans="1:9" x14ac:dyDescent="0.2">
      <c r="A2564" s="134">
        <v>45552</v>
      </c>
      <c r="B2564" s="135">
        <f>YEAR(source[[#This Row],[report_date]])</f>
        <v>2024</v>
      </c>
      <c r="C2564" s="128">
        <f t="shared" si="111"/>
        <v>9</v>
      </c>
      <c r="D2564" s="136">
        <f t="shared" si="112"/>
        <v>38</v>
      </c>
      <c r="E2564" s="136">
        <f t="shared" si="113"/>
        <v>17</v>
      </c>
      <c r="F2564" s="128" t="s">
        <v>24</v>
      </c>
      <c r="G2564" s="128" t="str">
        <f>VLOOKUP(source[[#This Row],[lending_product_transform]],[3]Mapping!$B$4:$C$37,2,0)</f>
        <v>[Cake] - Cashloan</v>
      </c>
      <c r="H2564" s="128" t="str">
        <f>VLOOKUP(source[[#This Row],[lending_product_transform]],[3]Mapping!$B$3:$D$37,3,0)</f>
        <v>cashloan</v>
      </c>
      <c r="I2564" s="135">
        <v>30231920</v>
      </c>
    </row>
    <row r="2565" spans="1:9" x14ac:dyDescent="0.2">
      <c r="A2565" s="134">
        <v>45552</v>
      </c>
      <c r="B2565" s="135">
        <f>YEAR(source[[#This Row],[report_date]])</f>
        <v>2024</v>
      </c>
      <c r="C2565" s="128">
        <f t="shared" si="111"/>
        <v>9</v>
      </c>
      <c r="D2565" s="136">
        <f t="shared" si="112"/>
        <v>38</v>
      </c>
      <c r="E2565" s="136">
        <f t="shared" si="113"/>
        <v>17</v>
      </c>
      <c r="F2565" s="128" t="s">
        <v>24</v>
      </c>
      <c r="G2565" s="128" t="str">
        <f>VLOOKUP(source[[#This Row],[lending_product_transform]],[3]Mapping!$B$4:$C$37,2,0)</f>
        <v>[Cake] - Cashloan</v>
      </c>
      <c r="H2565" s="128" t="str">
        <f>VLOOKUP(source[[#This Row],[lending_product_transform]],[3]Mapping!$B$3:$D$37,3,0)</f>
        <v>cashloan</v>
      </c>
      <c r="I2565" s="135">
        <v>2836904667</v>
      </c>
    </row>
    <row r="2566" spans="1:9" x14ac:dyDescent="0.2">
      <c r="A2566" s="134">
        <v>45552</v>
      </c>
      <c r="B2566" s="135">
        <f>YEAR(source[[#This Row],[report_date]])</f>
        <v>2024</v>
      </c>
      <c r="C2566" s="128">
        <f t="shared" si="111"/>
        <v>9</v>
      </c>
      <c r="D2566" s="136">
        <f t="shared" si="112"/>
        <v>38</v>
      </c>
      <c r="E2566" s="136">
        <f t="shared" si="113"/>
        <v>17</v>
      </c>
      <c r="F2566" s="128" t="s">
        <v>24</v>
      </c>
      <c r="G2566" s="128" t="str">
        <f>VLOOKUP(source[[#This Row],[lending_product_transform]],[3]Mapping!$B$4:$C$37,2,0)</f>
        <v>[Cake] - Cashloan</v>
      </c>
      <c r="H2566" s="128" t="str">
        <f>VLOOKUP(source[[#This Row],[lending_product_transform]],[3]Mapping!$B$3:$D$37,3,0)</f>
        <v>cashloan</v>
      </c>
      <c r="I2566" s="135">
        <v>122550000</v>
      </c>
    </row>
    <row r="2567" spans="1:9" x14ac:dyDescent="0.2">
      <c r="A2567" s="134">
        <v>45552</v>
      </c>
      <c r="B2567" s="135">
        <f>YEAR(source[[#This Row],[report_date]])</f>
        <v>2024</v>
      </c>
      <c r="C2567" s="128">
        <f t="shared" si="111"/>
        <v>9</v>
      </c>
      <c r="D2567" s="136">
        <f t="shared" si="112"/>
        <v>38</v>
      </c>
      <c r="E2567" s="136">
        <f t="shared" si="113"/>
        <v>17</v>
      </c>
      <c r="F2567" s="128" t="s">
        <v>24</v>
      </c>
      <c r="G2567" s="128" t="str">
        <f>VLOOKUP(source[[#This Row],[lending_product_transform]],[3]Mapping!$B$4:$C$37,2,0)</f>
        <v>[Cake] - Cashloan</v>
      </c>
      <c r="H2567" s="128" t="str">
        <f>VLOOKUP(source[[#This Row],[lending_product_transform]],[3]Mapping!$B$3:$D$37,3,0)</f>
        <v>cashloan</v>
      </c>
      <c r="I2567" s="135">
        <v>8974730000</v>
      </c>
    </row>
    <row r="2568" spans="1:9" x14ac:dyDescent="0.2">
      <c r="A2568" s="134">
        <v>45552</v>
      </c>
      <c r="B2568" s="135">
        <f>YEAR(source[[#This Row],[report_date]])</f>
        <v>2024</v>
      </c>
      <c r="C2568" s="128">
        <f t="shared" si="111"/>
        <v>9</v>
      </c>
      <c r="D2568" s="136">
        <f t="shared" si="112"/>
        <v>38</v>
      </c>
      <c r="E2568" s="136">
        <f t="shared" si="113"/>
        <v>17</v>
      </c>
      <c r="F2568" s="128" t="s">
        <v>24</v>
      </c>
      <c r="G2568" s="128" t="str">
        <f>VLOOKUP(source[[#This Row],[lending_product_transform]],[3]Mapping!$B$4:$C$37,2,0)</f>
        <v>[Cake] - Cashloan</v>
      </c>
      <c r="H2568" s="128" t="str">
        <f>VLOOKUP(source[[#This Row],[lending_product_transform]],[3]Mapping!$B$3:$D$37,3,0)</f>
        <v>cashloan</v>
      </c>
      <c r="I2568" s="135">
        <v>26000000</v>
      </c>
    </row>
    <row r="2569" spans="1:9" x14ac:dyDescent="0.2">
      <c r="A2569" s="134">
        <v>45553</v>
      </c>
      <c r="B2569" s="135">
        <f>YEAR(source[[#This Row],[report_date]])</f>
        <v>2024</v>
      </c>
      <c r="C2569" s="128">
        <f t="shared" si="111"/>
        <v>9</v>
      </c>
      <c r="D2569" s="136">
        <f t="shared" si="112"/>
        <v>38</v>
      </c>
      <c r="E2569" s="136">
        <f t="shared" si="113"/>
        <v>18</v>
      </c>
      <c r="F2569" s="128" t="s">
        <v>24</v>
      </c>
      <c r="G2569" s="128" t="str">
        <f>VLOOKUP(source[[#This Row],[lending_product_transform]],[3]Mapping!$B$4:$C$37,2,0)</f>
        <v>[Cake] - Cashloan</v>
      </c>
      <c r="H2569" s="128" t="str">
        <f>VLOOKUP(source[[#This Row],[lending_product_transform]],[3]Mapping!$B$3:$D$37,3,0)</f>
        <v>cashloan</v>
      </c>
      <c r="I2569" s="135">
        <v>0</v>
      </c>
    </row>
    <row r="2570" spans="1:9" x14ac:dyDescent="0.2">
      <c r="A2570" s="134">
        <v>45553</v>
      </c>
      <c r="B2570" s="135">
        <f>YEAR(source[[#This Row],[report_date]])</f>
        <v>2024</v>
      </c>
      <c r="C2570" s="128">
        <f t="shared" si="111"/>
        <v>9</v>
      </c>
      <c r="D2570" s="136">
        <f t="shared" si="112"/>
        <v>38</v>
      </c>
      <c r="E2570" s="136">
        <f t="shared" si="113"/>
        <v>18</v>
      </c>
      <c r="F2570" s="128" t="s">
        <v>24</v>
      </c>
      <c r="G2570" s="128" t="str">
        <f>VLOOKUP(source[[#This Row],[lending_product_transform]],[3]Mapping!$B$4:$C$37,2,0)</f>
        <v>[Cake] - Cashloan</v>
      </c>
      <c r="H2570" s="128" t="str">
        <f>VLOOKUP(source[[#This Row],[lending_product_transform]],[3]Mapping!$B$3:$D$37,3,0)</f>
        <v>cashloan</v>
      </c>
      <c r="I2570" s="135">
        <v>9446570000</v>
      </c>
    </row>
    <row r="2571" spans="1:9" x14ac:dyDescent="0.2">
      <c r="A2571" s="134">
        <v>45553</v>
      </c>
      <c r="B2571" s="135">
        <f>YEAR(source[[#This Row],[report_date]])</f>
        <v>2024</v>
      </c>
      <c r="C2571" s="128">
        <f t="shared" si="111"/>
        <v>9</v>
      </c>
      <c r="D2571" s="136">
        <f t="shared" si="112"/>
        <v>38</v>
      </c>
      <c r="E2571" s="136">
        <f t="shared" si="113"/>
        <v>18</v>
      </c>
      <c r="F2571" s="128" t="s">
        <v>24</v>
      </c>
      <c r="G2571" s="128" t="str">
        <f>VLOOKUP(source[[#This Row],[lending_product_transform]],[3]Mapping!$B$4:$C$37,2,0)</f>
        <v>[Cake] - Cashloan</v>
      </c>
      <c r="H2571" s="128" t="str">
        <f>VLOOKUP(source[[#This Row],[lending_product_transform]],[3]Mapping!$B$3:$D$37,3,0)</f>
        <v>cashloan</v>
      </c>
      <c r="I2571" s="135">
        <v>58850000</v>
      </c>
    </row>
    <row r="2572" spans="1:9" x14ac:dyDescent="0.2">
      <c r="A2572" s="134">
        <v>45553</v>
      </c>
      <c r="B2572" s="135">
        <f>YEAR(source[[#This Row],[report_date]])</f>
        <v>2024</v>
      </c>
      <c r="C2572" s="128">
        <f t="shared" si="111"/>
        <v>9</v>
      </c>
      <c r="D2572" s="136">
        <f t="shared" si="112"/>
        <v>38</v>
      </c>
      <c r="E2572" s="136">
        <f t="shared" si="113"/>
        <v>18</v>
      </c>
      <c r="F2572" s="128" t="s">
        <v>24</v>
      </c>
      <c r="G2572" s="128" t="str">
        <f>VLOOKUP(source[[#This Row],[lending_product_transform]],[3]Mapping!$B$4:$C$37,2,0)</f>
        <v>[Cake] - Cashloan</v>
      </c>
      <c r="H2572" s="128" t="str">
        <f>VLOOKUP(source[[#This Row],[lending_product_transform]],[3]Mapping!$B$3:$D$37,3,0)</f>
        <v>cashloan</v>
      </c>
      <c r="I2572" s="135">
        <v>16000000</v>
      </c>
    </row>
    <row r="2573" spans="1:9" x14ac:dyDescent="0.2">
      <c r="A2573" s="134">
        <v>45553</v>
      </c>
      <c r="B2573" s="135">
        <f>YEAR(source[[#This Row],[report_date]])</f>
        <v>2024</v>
      </c>
      <c r="C2573" s="128">
        <f t="shared" si="111"/>
        <v>9</v>
      </c>
      <c r="D2573" s="136">
        <f t="shared" si="112"/>
        <v>38</v>
      </c>
      <c r="E2573" s="136">
        <f t="shared" si="113"/>
        <v>18</v>
      </c>
      <c r="F2573" s="128" t="s">
        <v>24</v>
      </c>
      <c r="G2573" s="128" t="str">
        <f>VLOOKUP(source[[#This Row],[lending_product_transform]],[3]Mapping!$B$4:$C$37,2,0)</f>
        <v>[Cake] - Cashloan</v>
      </c>
      <c r="H2573" s="128" t="str">
        <f>VLOOKUP(source[[#This Row],[lending_product_transform]],[3]Mapping!$B$3:$D$37,3,0)</f>
        <v>cashloan</v>
      </c>
      <c r="I2573" s="135">
        <v>4144000000</v>
      </c>
    </row>
    <row r="2574" spans="1:9" x14ac:dyDescent="0.2">
      <c r="A2574" s="134">
        <v>45553</v>
      </c>
      <c r="B2574" s="135">
        <f>YEAR(source[[#This Row],[report_date]])</f>
        <v>2024</v>
      </c>
      <c r="C2574" s="128">
        <f t="shared" si="111"/>
        <v>9</v>
      </c>
      <c r="D2574" s="136">
        <f t="shared" si="112"/>
        <v>38</v>
      </c>
      <c r="E2574" s="136">
        <f t="shared" si="113"/>
        <v>18</v>
      </c>
      <c r="F2574" s="128" t="s">
        <v>24</v>
      </c>
      <c r="G2574" s="128" t="str">
        <f>VLOOKUP(source[[#This Row],[lending_product_transform]],[3]Mapping!$B$4:$C$37,2,0)</f>
        <v>[Cake] - Cashloan</v>
      </c>
      <c r="H2574" s="128" t="str">
        <f>VLOOKUP(source[[#This Row],[lending_product_transform]],[3]Mapping!$B$3:$D$37,3,0)</f>
        <v>cashloan</v>
      </c>
      <c r="I2574" s="135">
        <v>174740894</v>
      </c>
    </row>
    <row r="2575" spans="1:9" x14ac:dyDescent="0.2">
      <c r="A2575" s="134">
        <v>45553</v>
      </c>
      <c r="B2575" s="135">
        <f>YEAR(source[[#This Row],[report_date]])</f>
        <v>2024</v>
      </c>
      <c r="C2575" s="128">
        <f t="shared" si="111"/>
        <v>9</v>
      </c>
      <c r="D2575" s="136">
        <f t="shared" si="112"/>
        <v>38</v>
      </c>
      <c r="E2575" s="136">
        <f t="shared" si="113"/>
        <v>18</v>
      </c>
      <c r="F2575" s="128" t="s">
        <v>24</v>
      </c>
      <c r="G2575" s="128" t="str">
        <f>VLOOKUP(source[[#This Row],[lending_product_transform]],[3]Mapping!$B$4:$C$37,2,0)</f>
        <v>[Cake] - Cashloan</v>
      </c>
      <c r="H2575" s="128" t="str">
        <f>VLOOKUP(source[[#This Row],[lending_product_transform]],[3]Mapping!$B$3:$D$37,3,0)</f>
        <v>cashloan</v>
      </c>
      <c r="I2575" s="135">
        <v>2175600000</v>
      </c>
    </row>
    <row r="2576" spans="1:9" x14ac:dyDescent="0.2">
      <c r="A2576" s="134">
        <v>45553</v>
      </c>
      <c r="B2576" s="135">
        <f>YEAR(source[[#This Row],[report_date]])</f>
        <v>2024</v>
      </c>
      <c r="C2576" s="128">
        <f t="shared" si="111"/>
        <v>9</v>
      </c>
      <c r="D2576" s="136">
        <f t="shared" si="112"/>
        <v>38</v>
      </c>
      <c r="E2576" s="136">
        <f t="shared" si="113"/>
        <v>18</v>
      </c>
      <c r="F2576" s="128" t="s">
        <v>24</v>
      </c>
      <c r="G2576" s="128" t="str">
        <f>VLOOKUP(source[[#This Row],[lending_product_transform]],[3]Mapping!$B$4:$C$37,2,0)</f>
        <v>[Cake] - Cashloan</v>
      </c>
      <c r="H2576" s="128" t="str">
        <f>VLOOKUP(source[[#This Row],[lending_product_transform]],[3]Mapping!$B$3:$D$37,3,0)</f>
        <v>cashloan</v>
      </c>
      <c r="I2576" s="135">
        <v>34419160</v>
      </c>
    </row>
    <row r="2577" spans="1:9" x14ac:dyDescent="0.2">
      <c r="A2577" s="134">
        <v>45553</v>
      </c>
      <c r="B2577" s="135">
        <f>YEAR(source[[#This Row],[report_date]])</f>
        <v>2024</v>
      </c>
      <c r="C2577" s="128">
        <f t="shared" si="111"/>
        <v>9</v>
      </c>
      <c r="D2577" s="136">
        <f t="shared" si="112"/>
        <v>38</v>
      </c>
      <c r="E2577" s="136">
        <f t="shared" si="113"/>
        <v>18</v>
      </c>
      <c r="F2577" s="128" t="s">
        <v>24</v>
      </c>
      <c r="G2577" s="128" t="str">
        <f>VLOOKUP(source[[#This Row],[lending_product_transform]],[3]Mapping!$B$4:$C$37,2,0)</f>
        <v>[Cake] - Cashloan</v>
      </c>
      <c r="H2577" s="128" t="str">
        <f>VLOOKUP(source[[#This Row],[lending_product_transform]],[3]Mapping!$B$3:$D$37,3,0)</f>
        <v>cashloan</v>
      </c>
      <c r="I2577" s="135">
        <v>2688272211</v>
      </c>
    </row>
    <row r="2578" spans="1:9" x14ac:dyDescent="0.2">
      <c r="A2578" s="134">
        <v>45553</v>
      </c>
      <c r="B2578" s="135">
        <f>YEAR(source[[#This Row],[report_date]])</f>
        <v>2024</v>
      </c>
      <c r="C2578" s="128">
        <f t="shared" si="111"/>
        <v>9</v>
      </c>
      <c r="D2578" s="136">
        <f t="shared" si="112"/>
        <v>38</v>
      </c>
      <c r="E2578" s="136">
        <f t="shared" si="113"/>
        <v>18</v>
      </c>
      <c r="F2578" s="128" t="s">
        <v>24</v>
      </c>
      <c r="G2578" s="128" t="str">
        <f>VLOOKUP(source[[#This Row],[lending_product_transform]],[3]Mapping!$B$4:$C$37,2,0)</f>
        <v>[Cake] - Cashloan</v>
      </c>
      <c r="H2578" s="128" t="str">
        <f>VLOOKUP(source[[#This Row],[lending_product_transform]],[3]Mapping!$B$3:$D$37,3,0)</f>
        <v>cashloan</v>
      </c>
      <c r="I2578" s="135">
        <v>85600000</v>
      </c>
    </row>
    <row r="2579" spans="1:9" x14ac:dyDescent="0.2">
      <c r="A2579" s="134">
        <v>45553</v>
      </c>
      <c r="B2579" s="135">
        <f>YEAR(source[[#This Row],[report_date]])</f>
        <v>2024</v>
      </c>
      <c r="C2579" s="128">
        <f t="shared" si="111"/>
        <v>9</v>
      </c>
      <c r="D2579" s="136">
        <f t="shared" si="112"/>
        <v>38</v>
      </c>
      <c r="E2579" s="136">
        <f t="shared" si="113"/>
        <v>18</v>
      </c>
      <c r="F2579" s="128" t="s">
        <v>24</v>
      </c>
      <c r="G2579" s="128" t="str">
        <f>VLOOKUP(source[[#This Row],[lending_product_transform]],[3]Mapping!$B$4:$C$37,2,0)</f>
        <v>[Cake] - Cashloan</v>
      </c>
      <c r="H2579" s="128" t="str">
        <f>VLOOKUP(source[[#This Row],[lending_product_transform]],[3]Mapping!$B$3:$D$37,3,0)</f>
        <v>cashloan</v>
      </c>
      <c r="I2579" s="135">
        <v>18845052265</v>
      </c>
    </row>
    <row r="2580" spans="1:9" x14ac:dyDescent="0.2">
      <c r="A2580" s="134">
        <v>45553</v>
      </c>
      <c r="B2580" s="135">
        <f>YEAR(source[[#This Row],[report_date]])</f>
        <v>2024</v>
      </c>
      <c r="C2580" s="128">
        <f t="shared" si="111"/>
        <v>9</v>
      </c>
      <c r="D2580" s="136">
        <f t="shared" si="112"/>
        <v>38</v>
      </c>
      <c r="E2580" s="136">
        <f t="shared" si="113"/>
        <v>18</v>
      </c>
      <c r="F2580" s="128" t="s">
        <v>24</v>
      </c>
      <c r="G2580" s="128" t="str">
        <f>VLOOKUP(source[[#This Row],[lending_product_transform]],[3]Mapping!$B$4:$C$37,2,0)</f>
        <v>[Cake] - Cashloan</v>
      </c>
      <c r="H2580" s="128" t="str">
        <f>VLOOKUP(source[[#This Row],[lending_product_transform]],[3]Mapping!$B$3:$D$37,3,0)</f>
        <v>cashloan</v>
      </c>
      <c r="I2580" s="135">
        <v>21000000</v>
      </c>
    </row>
    <row r="2581" spans="1:9" x14ac:dyDescent="0.2">
      <c r="A2581" s="134">
        <v>45553</v>
      </c>
      <c r="B2581" s="135">
        <f>YEAR(source[[#This Row],[report_date]])</f>
        <v>2024</v>
      </c>
      <c r="C2581" s="128">
        <f t="shared" ref="C2581:C2644" si="114">MONTH(A2581)</f>
        <v>9</v>
      </c>
      <c r="D2581" s="136">
        <f t="shared" si="112"/>
        <v>38</v>
      </c>
      <c r="E2581" s="136">
        <f t="shared" si="113"/>
        <v>18</v>
      </c>
      <c r="F2581" s="128" t="s">
        <v>24</v>
      </c>
      <c r="G2581" s="128" t="str">
        <f>VLOOKUP(source[[#This Row],[lending_product_transform]],[3]Mapping!$B$4:$C$37,2,0)</f>
        <v>[Cake] - Cashloan</v>
      </c>
      <c r="H2581" s="128" t="str">
        <f>VLOOKUP(source[[#This Row],[lending_product_transform]],[3]Mapping!$B$3:$D$37,3,0)</f>
        <v>cashloan</v>
      </c>
      <c r="I2581" s="135">
        <v>0</v>
      </c>
    </row>
    <row r="2582" spans="1:9" x14ac:dyDescent="0.2">
      <c r="A2582" s="134">
        <v>45554</v>
      </c>
      <c r="B2582" s="135">
        <f>YEAR(source[[#This Row],[report_date]])</f>
        <v>2024</v>
      </c>
      <c r="C2582" s="128">
        <f t="shared" si="114"/>
        <v>9</v>
      </c>
      <c r="D2582" s="136">
        <f t="shared" si="112"/>
        <v>38</v>
      </c>
      <c r="E2582" s="136">
        <f t="shared" si="113"/>
        <v>19</v>
      </c>
      <c r="F2582" s="128" t="s">
        <v>24</v>
      </c>
      <c r="G2582" s="128" t="str">
        <f>VLOOKUP(source[[#This Row],[lending_product_transform]],[3]Mapping!$B$4:$C$37,2,0)</f>
        <v>[Cake] - Cashloan</v>
      </c>
      <c r="H2582" s="128" t="str">
        <f>VLOOKUP(source[[#This Row],[lending_product_transform]],[3]Mapping!$B$3:$D$37,3,0)</f>
        <v>cashloan</v>
      </c>
      <c r="I2582" s="135">
        <v>0</v>
      </c>
    </row>
    <row r="2583" spans="1:9" x14ac:dyDescent="0.2">
      <c r="A2583" s="134">
        <v>45554</v>
      </c>
      <c r="B2583" s="135">
        <f>YEAR(source[[#This Row],[report_date]])</f>
        <v>2024</v>
      </c>
      <c r="C2583" s="128">
        <f t="shared" si="114"/>
        <v>9</v>
      </c>
      <c r="D2583" s="136">
        <f t="shared" si="112"/>
        <v>38</v>
      </c>
      <c r="E2583" s="136">
        <f t="shared" si="113"/>
        <v>19</v>
      </c>
      <c r="F2583" s="128" t="s">
        <v>24</v>
      </c>
      <c r="G2583" s="128" t="str">
        <f>VLOOKUP(source[[#This Row],[lending_product_transform]],[3]Mapping!$B$4:$C$37,2,0)</f>
        <v>[Cake] - Cashloan</v>
      </c>
      <c r="H2583" s="128" t="str">
        <f>VLOOKUP(source[[#This Row],[lending_product_transform]],[3]Mapping!$B$3:$D$37,3,0)</f>
        <v>cashloan</v>
      </c>
      <c r="I2583" s="135">
        <v>178671263</v>
      </c>
    </row>
    <row r="2584" spans="1:9" x14ac:dyDescent="0.2">
      <c r="A2584" s="134">
        <v>45554</v>
      </c>
      <c r="B2584" s="135">
        <f>YEAR(source[[#This Row],[report_date]])</f>
        <v>2024</v>
      </c>
      <c r="C2584" s="128">
        <f t="shared" si="114"/>
        <v>9</v>
      </c>
      <c r="D2584" s="136">
        <f t="shared" si="112"/>
        <v>38</v>
      </c>
      <c r="E2584" s="136">
        <f t="shared" si="113"/>
        <v>19</v>
      </c>
      <c r="F2584" s="128" t="s">
        <v>24</v>
      </c>
      <c r="G2584" s="128" t="str">
        <f>VLOOKUP(source[[#This Row],[lending_product_transform]],[3]Mapping!$B$4:$C$37,2,0)</f>
        <v>[Cake] - Cashloan</v>
      </c>
      <c r="H2584" s="128" t="str">
        <f>VLOOKUP(source[[#This Row],[lending_product_transform]],[3]Mapping!$B$3:$D$37,3,0)</f>
        <v>cashloan</v>
      </c>
      <c r="I2584" s="135">
        <v>6000000</v>
      </c>
    </row>
    <row r="2585" spans="1:9" x14ac:dyDescent="0.2">
      <c r="A2585" s="134">
        <v>45554</v>
      </c>
      <c r="B2585" s="135">
        <f>YEAR(source[[#This Row],[report_date]])</f>
        <v>2024</v>
      </c>
      <c r="C2585" s="128">
        <f t="shared" si="114"/>
        <v>9</v>
      </c>
      <c r="D2585" s="136">
        <f t="shared" si="112"/>
        <v>38</v>
      </c>
      <c r="E2585" s="136">
        <f t="shared" si="113"/>
        <v>19</v>
      </c>
      <c r="F2585" s="128" t="s">
        <v>24</v>
      </c>
      <c r="G2585" s="128" t="str">
        <f>VLOOKUP(source[[#This Row],[lending_product_transform]],[3]Mapping!$B$4:$C$37,2,0)</f>
        <v>[Cake] - Cashloan</v>
      </c>
      <c r="H2585" s="128" t="str">
        <f>VLOOKUP(source[[#This Row],[lending_product_transform]],[3]Mapping!$B$3:$D$37,3,0)</f>
        <v>cashloan</v>
      </c>
      <c r="I2585" s="135">
        <v>2843777174</v>
      </c>
    </row>
    <row r="2586" spans="1:9" x14ac:dyDescent="0.2">
      <c r="A2586" s="134">
        <v>45554</v>
      </c>
      <c r="B2586" s="135">
        <f>YEAR(source[[#This Row],[report_date]])</f>
        <v>2024</v>
      </c>
      <c r="C2586" s="128">
        <f t="shared" si="114"/>
        <v>9</v>
      </c>
      <c r="D2586" s="136">
        <f t="shared" si="112"/>
        <v>38</v>
      </c>
      <c r="E2586" s="136">
        <f t="shared" si="113"/>
        <v>19</v>
      </c>
      <c r="F2586" s="128" t="s">
        <v>24</v>
      </c>
      <c r="G2586" s="128" t="str">
        <f>VLOOKUP(source[[#This Row],[lending_product_transform]],[3]Mapping!$B$4:$C$37,2,0)</f>
        <v>[Cake] - Cashloan</v>
      </c>
      <c r="H2586" s="128" t="str">
        <f>VLOOKUP(source[[#This Row],[lending_product_transform]],[3]Mapping!$B$3:$D$37,3,0)</f>
        <v>cashloan</v>
      </c>
      <c r="I2586" s="135">
        <v>19680295187</v>
      </c>
    </row>
    <row r="2587" spans="1:9" x14ac:dyDescent="0.2">
      <c r="A2587" s="134">
        <v>45554</v>
      </c>
      <c r="B2587" s="135">
        <f>YEAR(source[[#This Row],[report_date]])</f>
        <v>2024</v>
      </c>
      <c r="C2587" s="128">
        <f t="shared" si="114"/>
        <v>9</v>
      </c>
      <c r="D2587" s="136">
        <f t="shared" si="112"/>
        <v>38</v>
      </c>
      <c r="E2587" s="136">
        <f t="shared" si="113"/>
        <v>19</v>
      </c>
      <c r="F2587" s="128" t="s">
        <v>24</v>
      </c>
      <c r="G2587" s="128" t="str">
        <f>VLOOKUP(source[[#This Row],[lending_product_transform]],[3]Mapping!$B$4:$C$37,2,0)</f>
        <v>[Cake] - Cashloan</v>
      </c>
      <c r="H2587" s="128" t="str">
        <f>VLOOKUP(source[[#This Row],[lending_product_transform]],[3]Mapping!$B$3:$D$37,3,0)</f>
        <v>cashloan</v>
      </c>
      <c r="I2587" s="135">
        <v>10700000</v>
      </c>
    </row>
    <row r="2588" spans="1:9" x14ac:dyDescent="0.2">
      <c r="A2588" s="134">
        <v>45554</v>
      </c>
      <c r="B2588" s="135">
        <f>YEAR(source[[#This Row],[report_date]])</f>
        <v>2024</v>
      </c>
      <c r="C2588" s="128">
        <f t="shared" si="114"/>
        <v>9</v>
      </c>
      <c r="D2588" s="136">
        <f t="shared" si="112"/>
        <v>38</v>
      </c>
      <c r="E2588" s="136">
        <f t="shared" si="113"/>
        <v>19</v>
      </c>
      <c r="F2588" s="128" t="s">
        <v>24</v>
      </c>
      <c r="G2588" s="128" t="str">
        <f>VLOOKUP(source[[#This Row],[lending_product_transform]],[3]Mapping!$B$4:$C$37,2,0)</f>
        <v>[Cake] - Cashloan</v>
      </c>
      <c r="H2588" s="128" t="str">
        <f>VLOOKUP(source[[#This Row],[lending_product_transform]],[3]Mapping!$B$3:$D$37,3,0)</f>
        <v>cashloan</v>
      </c>
      <c r="I2588" s="135">
        <v>42000000</v>
      </c>
    </row>
    <row r="2589" spans="1:9" x14ac:dyDescent="0.2">
      <c r="A2589" s="134">
        <v>45554</v>
      </c>
      <c r="B2589" s="135">
        <f>YEAR(source[[#This Row],[report_date]])</f>
        <v>2024</v>
      </c>
      <c r="C2589" s="128">
        <f t="shared" si="114"/>
        <v>9</v>
      </c>
      <c r="D2589" s="136">
        <f t="shared" si="112"/>
        <v>38</v>
      </c>
      <c r="E2589" s="136">
        <f t="shared" si="113"/>
        <v>19</v>
      </c>
      <c r="F2589" s="128" t="s">
        <v>24</v>
      </c>
      <c r="G2589" s="128" t="str">
        <f>VLOOKUP(source[[#This Row],[lending_product_transform]],[3]Mapping!$B$4:$C$37,2,0)</f>
        <v>[Cake] - Cashloan</v>
      </c>
      <c r="H2589" s="128" t="str">
        <f>VLOOKUP(source[[#This Row],[lending_product_transform]],[3]Mapping!$B$3:$D$37,3,0)</f>
        <v>cashloan</v>
      </c>
      <c r="I2589" s="135">
        <v>4098500000</v>
      </c>
    </row>
    <row r="2590" spans="1:9" x14ac:dyDescent="0.2">
      <c r="A2590" s="134">
        <v>45554</v>
      </c>
      <c r="B2590" s="135">
        <f>YEAR(source[[#This Row],[report_date]])</f>
        <v>2024</v>
      </c>
      <c r="C2590" s="128">
        <f t="shared" si="114"/>
        <v>9</v>
      </c>
      <c r="D2590" s="136">
        <f t="shared" si="112"/>
        <v>38</v>
      </c>
      <c r="E2590" s="136">
        <f t="shared" si="113"/>
        <v>19</v>
      </c>
      <c r="F2590" s="128" t="s">
        <v>24</v>
      </c>
      <c r="G2590" s="128" t="str">
        <f>VLOOKUP(source[[#This Row],[lending_product_transform]],[3]Mapping!$B$4:$C$37,2,0)</f>
        <v>[Cake] - Cashloan</v>
      </c>
      <c r="H2590" s="128" t="str">
        <f>VLOOKUP(source[[#This Row],[lending_product_transform]],[3]Mapping!$B$3:$D$37,3,0)</f>
        <v>cashloan</v>
      </c>
      <c r="I2590" s="135">
        <v>33336750</v>
      </c>
    </row>
    <row r="2591" spans="1:9" x14ac:dyDescent="0.2">
      <c r="A2591" s="134">
        <v>45554</v>
      </c>
      <c r="B2591" s="135">
        <f>YEAR(source[[#This Row],[report_date]])</f>
        <v>2024</v>
      </c>
      <c r="C2591" s="128">
        <f t="shared" si="114"/>
        <v>9</v>
      </c>
      <c r="D2591" s="136">
        <f t="shared" si="112"/>
        <v>38</v>
      </c>
      <c r="E2591" s="136">
        <f t="shared" si="113"/>
        <v>19</v>
      </c>
      <c r="F2591" s="128" t="s">
        <v>24</v>
      </c>
      <c r="G2591" s="128" t="str">
        <f>VLOOKUP(source[[#This Row],[lending_product_transform]],[3]Mapping!$B$4:$C$37,2,0)</f>
        <v>[Cake] - Cashloan</v>
      </c>
      <c r="H2591" s="128" t="str">
        <f>VLOOKUP(source[[#This Row],[lending_product_transform]],[3]Mapping!$B$3:$D$37,3,0)</f>
        <v>cashloan</v>
      </c>
      <c r="I2591" s="135">
        <v>2463570000</v>
      </c>
    </row>
    <row r="2592" spans="1:9" x14ac:dyDescent="0.2">
      <c r="A2592" s="134">
        <v>45554</v>
      </c>
      <c r="B2592" s="135">
        <f>YEAR(source[[#This Row],[report_date]])</f>
        <v>2024</v>
      </c>
      <c r="C2592" s="128">
        <f t="shared" si="114"/>
        <v>9</v>
      </c>
      <c r="D2592" s="136">
        <f t="shared" si="112"/>
        <v>38</v>
      </c>
      <c r="E2592" s="136">
        <f t="shared" si="113"/>
        <v>19</v>
      </c>
      <c r="F2592" s="128" t="s">
        <v>24</v>
      </c>
      <c r="G2592" s="128" t="str">
        <f>VLOOKUP(source[[#This Row],[lending_product_transform]],[3]Mapping!$B$4:$C$37,2,0)</f>
        <v>[Cake] - Cashloan</v>
      </c>
      <c r="H2592" s="128" t="str">
        <f>VLOOKUP(source[[#This Row],[lending_product_transform]],[3]Mapping!$B$3:$D$37,3,0)</f>
        <v>cashloan</v>
      </c>
      <c r="I2592" s="135">
        <v>23100000</v>
      </c>
    </row>
    <row r="2593" spans="1:9" x14ac:dyDescent="0.2">
      <c r="A2593" s="134">
        <v>45554</v>
      </c>
      <c r="B2593" s="135">
        <f>YEAR(source[[#This Row],[report_date]])</f>
        <v>2024</v>
      </c>
      <c r="C2593" s="128">
        <f t="shared" si="114"/>
        <v>9</v>
      </c>
      <c r="D2593" s="136">
        <f t="shared" si="112"/>
        <v>38</v>
      </c>
      <c r="E2593" s="136">
        <f t="shared" si="113"/>
        <v>19</v>
      </c>
      <c r="F2593" s="128" t="s">
        <v>24</v>
      </c>
      <c r="G2593" s="128" t="str">
        <f>VLOOKUP(source[[#This Row],[lending_product_transform]],[3]Mapping!$B$4:$C$37,2,0)</f>
        <v>[Cake] - Cashloan</v>
      </c>
      <c r="H2593" s="128" t="str">
        <f>VLOOKUP(source[[#This Row],[lending_product_transform]],[3]Mapping!$B$3:$D$37,3,0)</f>
        <v>cashloan</v>
      </c>
      <c r="I2593" s="135">
        <v>10000000</v>
      </c>
    </row>
    <row r="2594" spans="1:9" x14ac:dyDescent="0.2">
      <c r="A2594" s="134">
        <v>45554</v>
      </c>
      <c r="B2594" s="135">
        <f>YEAR(source[[#This Row],[report_date]])</f>
        <v>2024</v>
      </c>
      <c r="C2594" s="128">
        <f t="shared" si="114"/>
        <v>9</v>
      </c>
      <c r="D2594" s="136">
        <f t="shared" si="112"/>
        <v>38</v>
      </c>
      <c r="E2594" s="136">
        <f t="shared" si="113"/>
        <v>19</v>
      </c>
      <c r="F2594" s="128" t="s">
        <v>24</v>
      </c>
      <c r="G2594" s="128" t="str">
        <f>VLOOKUP(source[[#This Row],[lending_product_transform]],[3]Mapping!$B$4:$C$37,2,0)</f>
        <v>[Cake] - Cashloan</v>
      </c>
      <c r="H2594" s="128" t="str">
        <f>VLOOKUP(source[[#This Row],[lending_product_transform]],[3]Mapping!$B$3:$D$37,3,0)</f>
        <v>cashloan</v>
      </c>
      <c r="I2594" s="135">
        <v>9970640000</v>
      </c>
    </row>
    <row r="2595" spans="1:9" x14ac:dyDescent="0.2">
      <c r="A2595" s="134">
        <v>45555</v>
      </c>
      <c r="B2595" s="135">
        <f>YEAR(source[[#This Row],[report_date]])</f>
        <v>2024</v>
      </c>
      <c r="C2595" s="128">
        <f t="shared" si="114"/>
        <v>9</v>
      </c>
      <c r="D2595" s="136">
        <f t="shared" si="112"/>
        <v>38</v>
      </c>
      <c r="E2595" s="136">
        <f t="shared" si="113"/>
        <v>20</v>
      </c>
      <c r="F2595" s="128" t="s">
        <v>24</v>
      </c>
      <c r="G2595" s="128" t="str">
        <f>VLOOKUP(source[[#This Row],[lending_product_transform]],[3]Mapping!$B$4:$C$37,2,0)</f>
        <v>[Cake] - Cashloan</v>
      </c>
      <c r="H2595" s="128" t="str">
        <f>VLOOKUP(source[[#This Row],[lending_product_transform]],[3]Mapping!$B$3:$D$37,3,0)</f>
        <v>cashloan</v>
      </c>
      <c r="I2595" s="135">
        <v>0</v>
      </c>
    </row>
    <row r="2596" spans="1:9" x14ac:dyDescent="0.2">
      <c r="A2596" s="134">
        <v>45555</v>
      </c>
      <c r="B2596" s="135">
        <f>YEAR(source[[#This Row],[report_date]])</f>
        <v>2024</v>
      </c>
      <c r="C2596" s="128">
        <f t="shared" si="114"/>
        <v>9</v>
      </c>
      <c r="D2596" s="136">
        <f t="shared" si="112"/>
        <v>38</v>
      </c>
      <c r="E2596" s="136">
        <f t="shared" si="113"/>
        <v>20</v>
      </c>
      <c r="F2596" s="128" t="s">
        <v>24</v>
      </c>
      <c r="G2596" s="128" t="str">
        <f>VLOOKUP(source[[#This Row],[lending_product_transform]],[3]Mapping!$B$4:$C$37,2,0)</f>
        <v>[Cake] - Cashloan</v>
      </c>
      <c r="H2596" s="128" t="str">
        <f>VLOOKUP(source[[#This Row],[lending_product_transform]],[3]Mapping!$B$3:$D$37,3,0)</f>
        <v>cashloan</v>
      </c>
      <c r="I2596" s="135">
        <v>2891760000</v>
      </c>
    </row>
    <row r="2597" spans="1:9" x14ac:dyDescent="0.2">
      <c r="A2597" s="134">
        <v>45555</v>
      </c>
      <c r="B2597" s="135">
        <f>YEAR(source[[#This Row],[report_date]])</f>
        <v>2024</v>
      </c>
      <c r="C2597" s="128">
        <f t="shared" si="114"/>
        <v>9</v>
      </c>
      <c r="D2597" s="136">
        <f t="shared" si="112"/>
        <v>38</v>
      </c>
      <c r="E2597" s="136">
        <f t="shared" si="113"/>
        <v>20</v>
      </c>
      <c r="F2597" s="128" t="s">
        <v>24</v>
      </c>
      <c r="G2597" s="128" t="str">
        <f>VLOOKUP(source[[#This Row],[lending_product_transform]],[3]Mapping!$B$4:$C$37,2,0)</f>
        <v>[Cake] - Cashloan</v>
      </c>
      <c r="H2597" s="128" t="str">
        <f>VLOOKUP(source[[#This Row],[lending_product_transform]],[3]Mapping!$B$3:$D$37,3,0)</f>
        <v>cashloan</v>
      </c>
      <c r="I2597" s="135">
        <v>116550000</v>
      </c>
    </row>
    <row r="2598" spans="1:9" x14ac:dyDescent="0.2">
      <c r="A2598" s="134">
        <v>45555</v>
      </c>
      <c r="B2598" s="135">
        <f>YEAR(source[[#This Row],[report_date]])</f>
        <v>2024</v>
      </c>
      <c r="C2598" s="128">
        <f t="shared" si="114"/>
        <v>9</v>
      </c>
      <c r="D2598" s="136">
        <f t="shared" si="112"/>
        <v>38</v>
      </c>
      <c r="E2598" s="136">
        <f t="shared" si="113"/>
        <v>20</v>
      </c>
      <c r="F2598" s="128" t="s">
        <v>24</v>
      </c>
      <c r="G2598" s="128" t="str">
        <f>VLOOKUP(source[[#This Row],[lending_product_transform]],[3]Mapping!$B$4:$C$37,2,0)</f>
        <v>[Cake] - Cashloan</v>
      </c>
      <c r="H2598" s="128" t="str">
        <f>VLOOKUP(source[[#This Row],[lending_product_transform]],[3]Mapping!$B$3:$D$37,3,0)</f>
        <v>cashloan</v>
      </c>
      <c r="I2598" s="135">
        <v>19686490130</v>
      </c>
    </row>
    <row r="2599" spans="1:9" x14ac:dyDescent="0.2">
      <c r="A2599" s="134">
        <v>45555</v>
      </c>
      <c r="B2599" s="135">
        <f>YEAR(source[[#This Row],[report_date]])</f>
        <v>2024</v>
      </c>
      <c r="C2599" s="128">
        <f t="shared" si="114"/>
        <v>9</v>
      </c>
      <c r="D2599" s="136">
        <f t="shared" si="112"/>
        <v>38</v>
      </c>
      <c r="E2599" s="136">
        <f t="shared" si="113"/>
        <v>20</v>
      </c>
      <c r="F2599" s="128" t="s">
        <v>24</v>
      </c>
      <c r="G2599" s="128" t="str">
        <f>VLOOKUP(source[[#This Row],[lending_product_transform]],[3]Mapping!$B$4:$C$37,2,0)</f>
        <v>[Cake] - Cashloan</v>
      </c>
      <c r="H2599" s="128" t="str">
        <f>VLOOKUP(source[[#This Row],[lending_product_transform]],[3]Mapping!$B$3:$D$37,3,0)</f>
        <v>cashloan</v>
      </c>
      <c r="I2599" s="135">
        <v>2926954139</v>
      </c>
    </row>
    <row r="2600" spans="1:9" x14ac:dyDescent="0.2">
      <c r="A2600" s="134">
        <v>45555</v>
      </c>
      <c r="B2600" s="135">
        <f>YEAR(source[[#This Row],[report_date]])</f>
        <v>2024</v>
      </c>
      <c r="C2600" s="128">
        <f t="shared" si="114"/>
        <v>9</v>
      </c>
      <c r="D2600" s="136">
        <f t="shared" si="112"/>
        <v>38</v>
      </c>
      <c r="E2600" s="136">
        <f t="shared" si="113"/>
        <v>20</v>
      </c>
      <c r="F2600" s="128" t="s">
        <v>24</v>
      </c>
      <c r="G2600" s="128" t="str">
        <f>VLOOKUP(source[[#This Row],[lending_product_transform]],[3]Mapping!$B$4:$C$37,2,0)</f>
        <v>[Cake] - Cashloan</v>
      </c>
      <c r="H2600" s="128" t="str">
        <f>VLOOKUP(source[[#This Row],[lending_product_transform]],[3]Mapping!$B$3:$D$37,3,0)</f>
        <v>cashloan</v>
      </c>
      <c r="I2600" s="135">
        <v>0</v>
      </c>
    </row>
    <row r="2601" spans="1:9" x14ac:dyDescent="0.2">
      <c r="A2601" s="134">
        <v>45555</v>
      </c>
      <c r="B2601" s="135">
        <f>YEAR(source[[#This Row],[report_date]])</f>
        <v>2024</v>
      </c>
      <c r="C2601" s="128">
        <f t="shared" si="114"/>
        <v>9</v>
      </c>
      <c r="D2601" s="136">
        <f t="shared" si="112"/>
        <v>38</v>
      </c>
      <c r="E2601" s="136">
        <f t="shared" si="113"/>
        <v>20</v>
      </c>
      <c r="F2601" s="128" t="s">
        <v>24</v>
      </c>
      <c r="G2601" s="128" t="str">
        <f>VLOOKUP(source[[#This Row],[lending_product_transform]],[3]Mapping!$B$4:$C$37,2,0)</f>
        <v>[Cake] - Cashloan</v>
      </c>
      <c r="H2601" s="128" t="str">
        <f>VLOOKUP(source[[#This Row],[lending_product_transform]],[3]Mapping!$B$3:$D$37,3,0)</f>
        <v>cashloan</v>
      </c>
      <c r="I2601" s="135">
        <v>57000000</v>
      </c>
    </row>
    <row r="2602" spans="1:9" x14ac:dyDescent="0.2">
      <c r="A2602" s="134">
        <v>45555</v>
      </c>
      <c r="B2602" s="135">
        <f>YEAR(source[[#This Row],[report_date]])</f>
        <v>2024</v>
      </c>
      <c r="C2602" s="128">
        <f t="shared" si="114"/>
        <v>9</v>
      </c>
      <c r="D2602" s="136">
        <f t="shared" si="112"/>
        <v>38</v>
      </c>
      <c r="E2602" s="136">
        <f t="shared" si="113"/>
        <v>20</v>
      </c>
      <c r="F2602" s="128" t="s">
        <v>24</v>
      </c>
      <c r="G2602" s="128" t="str">
        <f>VLOOKUP(source[[#This Row],[lending_product_transform]],[3]Mapping!$B$4:$C$37,2,0)</f>
        <v>[Cake] - Cashloan</v>
      </c>
      <c r="H2602" s="128" t="str">
        <f>VLOOKUP(source[[#This Row],[lending_product_transform]],[3]Mapping!$B$3:$D$37,3,0)</f>
        <v>cashloan</v>
      </c>
      <c r="I2602" s="135">
        <v>171927742</v>
      </c>
    </row>
    <row r="2603" spans="1:9" x14ac:dyDescent="0.2">
      <c r="A2603" s="134">
        <v>45555</v>
      </c>
      <c r="B2603" s="135">
        <f>YEAR(source[[#This Row],[report_date]])</f>
        <v>2024</v>
      </c>
      <c r="C2603" s="128">
        <f t="shared" si="114"/>
        <v>9</v>
      </c>
      <c r="D2603" s="136">
        <f t="shared" si="112"/>
        <v>38</v>
      </c>
      <c r="E2603" s="136">
        <f t="shared" si="113"/>
        <v>20</v>
      </c>
      <c r="F2603" s="128" t="s">
        <v>24</v>
      </c>
      <c r="G2603" s="128" t="str">
        <f>VLOOKUP(source[[#This Row],[lending_product_transform]],[3]Mapping!$B$4:$C$37,2,0)</f>
        <v>[Cake] - Cashloan</v>
      </c>
      <c r="H2603" s="128" t="str">
        <f>VLOOKUP(source[[#This Row],[lending_product_transform]],[3]Mapping!$B$3:$D$37,3,0)</f>
        <v>cashloan</v>
      </c>
      <c r="I2603" s="135">
        <v>33128249</v>
      </c>
    </row>
    <row r="2604" spans="1:9" x14ac:dyDescent="0.2">
      <c r="A2604" s="134">
        <v>45555</v>
      </c>
      <c r="B2604" s="135">
        <f>YEAR(source[[#This Row],[report_date]])</f>
        <v>2024</v>
      </c>
      <c r="C2604" s="128">
        <f t="shared" si="114"/>
        <v>9</v>
      </c>
      <c r="D2604" s="136">
        <f t="shared" si="112"/>
        <v>38</v>
      </c>
      <c r="E2604" s="136">
        <f t="shared" si="113"/>
        <v>20</v>
      </c>
      <c r="F2604" s="128" t="s">
        <v>24</v>
      </c>
      <c r="G2604" s="128" t="str">
        <f>VLOOKUP(source[[#This Row],[lending_product_transform]],[3]Mapping!$B$4:$C$37,2,0)</f>
        <v>[Cake] - Cashloan</v>
      </c>
      <c r="H2604" s="128" t="str">
        <f>VLOOKUP(source[[#This Row],[lending_product_transform]],[3]Mapping!$B$3:$D$37,3,0)</f>
        <v>cashloan</v>
      </c>
      <c r="I2604" s="135">
        <v>4262000000</v>
      </c>
    </row>
    <row r="2605" spans="1:9" x14ac:dyDescent="0.2">
      <c r="A2605" s="134">
        <v>45555</v>
      </c>
      <c r="B2605" s="135">
        <f>YEAR(source[[#This Row],[report_date]])</f>
        <v>2024</v>
      </c>
      <c r="C2605" s="128">
        <f t="shared" si="114"/>
        <v>9</v>
      </c>
      <c r="D2605" s="136">
        <f t="shared" si="112"/>
        <v>38</v>
      </c>
      <c r="E2605" s="136">
        <f t="shared" si="113"/>
        <v>20</v>
      </c>
      <c r="F2605" s="128" t="s">
        <v>24</v>
      </c>
      <c r="G2605" s="128" t="str">
        <f>VLOOKUP(source[[#This Row],[lending_product_transform]],[3]Mapping!$B$4:$C$37,2,0)</f>
        <v>[Cake] - Cashloan</v>
      </c>
      <c r="H2605" s="128" t="str">
        <f>VLOOKUP(source[[#This Row],[lending_product_transform]],[3]Mapping!$B$3:$D$37,3,0)</f>
        <v>cashloan</v>
      </c>
      <c r="I2605" s="135">
        <v>0</v>
      </c>
    </row>
    <row r="2606" spans="1:9" x14ac:dyDescent="0.2">
      <c r="A2606" s="134">
        <v>45555</v>
      </c>
      <c r="B2606" s="135">
        <f>YEAR(source[[#This Row],[report_date]])</f>
        <v>2024</v>
      </c>
      <c r="C2606" s="128">
        <f t="shared" si="114"/>
        <v>9</v>
      </c>
      <c r="D2606" s="136">
        <f t="shared" si="112"/>
        <v>38</v>
      </c>
      <c r="E2606" s="136">
        <f t="shared" si="113"/>
        <v>20</v>
      </c>
      <c r="F2606" s="128" t="s">
        <v>24</v>
      </c>
      <c r="G2606" s="128" t="str">
        <f>VLOOKUP(source[[#This Row],[lending_product_transform]],[3]Mapping!$B$4:$C$37,2,0)</f>
        <v>[Cake] - Cashloan</v>
      </c>
      <c r="H2606" s="128" t="str">
        <f>VLOOKUP(source[[#This Row],[lending_product_transform]],[3]Mapping!$B$3:$D$37,3,0)</f>
        <v>cashloan</v>
      </c>
      <c r="I2606" s="135">
        <v>0</v>
      </c>
    </row>
    <row r="2607" spans="1:9" x14ac:dyDescent="0.2">
      <c r="A2607" s="134">
        <v>45555</v>
      </c>
      <c r="B2607" s="135">
        <f>YEAR(source[[#This Row],[report_date]])</f>
        <v>2024</v>
      </c>
      <c r="C2607" s="128">
        <f t="shared" si="114"/>
        <v>9</v>
      </c>
      <c r="D2607" s="136">
        <f t="shared" si="112"/>
        <v>38</v>
      </c>
      <c r="E2607" s="136">
        <f t="shared" si="113"/>
        <v>20</v>
      </c>
      <c r="F2607" s="128" t="s">
        <v>24</v>
      </c>
      <c r="G2607" s="128" t="str">
        <f>VLOOKUP(source[[#This Row],[lending_product_transform]],[3]Mapping!$B$4:$C$37,2,0)</f>
        <v>[Cake] - Cashloan</v>
      </c>
      <c r="H2607" s="128" t="str">
        <f>VLOOKUP(source[[#This Row],[lending_product_transform]],[3]Mapping!$B$3:$D$37,3,0)</f>
        <v>cashloan</v>
      </c>
      <c r="I2607" s="135">
        <v>9227170000</v>
      </c>
    </row>
    <row r="2608" spans="1:9" x14ac:dyDescent="0.2">
      <c r="A2608" s="134">
        <v>45556</v>
      </c>
      <c r="B2608" s="135">
        <f>YEAR(source[[#This Row],[report_date]])</f>
        <v>2024</v>
      </c>
      <c r="C2608" s="128">
        <f t="shared" si="114"/>
        <v>9</v>
      </c>
      <c r="D2608" s="136">
        <f t="shared" si="112"/>
        <v>38</v>
      </c>
      <c r="E2608" s="136">
        <f t="shared" si="113"/>
        <v>21</v>
      </c>
      <c r="F2608" s="128" t="s">
        <v>24</v>
      </c>
      <c r="G2608" s="128" t="str">
        <f>VLOOKUP(source[[#This Row],[lending_product_transform]],[3]Mapping!$B$4:$C$37,2,0)</f>
        <v>[Cake] - Cashloan</v>
      </c>
      <c r="H2608" s="128" t="str">
        <f>VLOOKUP(source[[#This Row],[lending_product_transform]],[3]Mapping!$B$3:$D$37,3,0)</f>
        <v>cashloan</v>
      </c>
      <c r="I2608" s="135">
        <v>41000000</v>
      </c>
    </row>
    <row r="2609" spans="1:9" x14ac:dyDescent="0.2">
      <c r="A2609" s="134">
        <v>45556</v>
      </c>
      <c r="B2609" s="135">
        <f>YEAR(source[[#This Row],[report_date]])</f>
        <v>2024</v>
      </c>
      <c r="C2609" s="128">
        <f t="shared" si="114"/>
        <v>9</v>
      </c>
      <c r="D2609" s="136">
        <f t="shared" si="112"/>
        <v>38</v>
      </c>
      <c r="E2609" s="136">
        <f t="shared" si="113"/>
        <v>21</v>
      </c>
      <c r="F2609" s="128" t="s">
        <v>24</v>
      </c>
      <c r="G2609" s="128" t="str">
        <f>VLOOKUP(source[[#This Row],[lending_product_transform]],[3]Mapping!$B$4:$C$37,2,0)</f>
        <v>[Cake] - Cashloan</v>
      </c>
      <c r="H2609" s="128" t="str">
        <f>VLOOKUP(source[[#This Row],[lending_product_transform]],[3]Mapping!$B$3:$D$37,3,0)</f>
        <v>cashloan</v>
      </c>
      <c r="I2609" s="135">
        <v>18134400831</v>
      </c>
    </row>
    <row r="2610" spans="1:9" x14ac:dyDescent="0.2">
      <c r="A2610" s="134">
        <v>45556</v>
      </c>
      <c r="B2610" s="135">
        <f>YEAR(source[[#This Row],[report_date]])</f>
        <v>2024</v>
      </c>
      <c r="C2610" s="128">
        <f t="shared" si="114"/>
        <v>9</v>
      </c>
      <c r="D2610" s="136">
        <f t="shared" si="112"/>
        <v>38</v>
      </c>
      <c r="E2610" s="136">
        <f t="shared" si="113"/>
        <v>21</v>
      </c>
      <c r="F2610" s="128" t="s">
        <v>24</v>
      </c>
      <c r="G2610" s="128" t="str">
        <f>VLOOKUP(source[[#This Row],[lending_product_transform]],[3]Mapping!$B$4:$C$37,2,0)</f>
        <v>[Cake] - Cashloan</v>
      </c>
      <c r="H2610" s="128" t="str">
        <f>VLOOKUP(source[[#This Row],[lending_product_transform]],[3]Mapping!$B$3:$D$37,3,0)</f>
        <v>cashloan</v>
      </c>
      <c r="I2610" s="135">
        <v>2475222254</v>
      </c>
    </row>
    <row r="2611" spans="1:9" x14ac:dyDescent="0.2">
      <c r="A2611" s="134">
        <v>45556</v>
      </c>
      <c r="B2611" s="135">
        <f>YEAR(source[[#This Row],[report_date]])</f>
        <v>2024</v>
      </c>
      <c r="C2611" s="128">
        <f t="shared" si="114"/>
        <v>9</v>
      </c>
      <c r="D2611" s="136">
        <f t="shared" si="112"/>
        <v>38</v>
      </c>
      <c r="E2611" s="136">
        <f t="shared" si="113"/>
        <v>21</v>
      </c>
      <c r="F2611" s="128" t="s">
        <v>24</v>
      </c>
      <c r="G2611" s="128" t="str">
        <f>VLOOKUP(source[[#This Row],[lending_product_transform]],[3]Mapping!$B$4:$C$37,2,0)</f>
        <v>[Cake] - Cashloan</v>
      </c>
      <c r="H2611" s="128" t="str">
        <f>VLOOKUP(source[[#This Row],[lending_product_transform]],[3]Mapping!$B$3:$D$37,3,0)</f>
        <v>cashloan</v>
      </c>
      <c r="I2611" s="135">
        <v>0</v>
      </c>
    </row>
    <row r="2612" spans="1:9" x14ac:dyDescent="0.2">
      <c r="A2612" s="134">
        <v>45556</v>
      </c>
      <c r="B2612" s="135">
        <f>YEAR(source[[#This Row],[report_date]])</f>
        <v>2024</v>
      </c>
      <c r="C2612" s="128">
        <f t="shared" si="114"/>
        <v>9</v>
      </c>
      <c r="D2612" s="136">
        <f t="shared" si="112"/>
        <v>38</v>
      </c>
      <c r="E2612" s="136">
        <f t="shared" si="113"/>
        <v>21</v>
      </c>
      <c r="F2612" s="128" t="s">
        <v>24</v>
      </c>
      <c r="G2612" s="128" t="str">
        <f>VLOOKUP(source[[#This Row],[lending_product_transform]],[3]Mapping!$B$4:$C$37,2,0)</f>
        <v>[Cake] - Cashloan</v>
      </c>
      <c r="H2612" s="128" t="str">
        <f>VLOOKUP(source[[#This Row],[lending_product_transform]],[3]Mapping!$B$3:$D$37,3,0)</f>
        <v>cashloan</v>
      </c>
      <c r="I2612" s="135">
        <v>30294246</v>
      </c>
    </row>
    <row r="2613" spans="1:9" x14ac:dyDescent="0.2">
      <c r="A2613" s="134">
        <v>45556</v>
      </c>
      <c r="B2613" s="135">
        <f>YEAR(source[[#This Row],[report_date]])</f>
        <v>2024</v>
      </c>
      <c r="C2613" s="128">
        <f t="shared" si="114"/>
        <v>9</v>
      </c>
      <c r="D2613" s="136">
        <f t="shared" si="112"/>
        <v>38</v>
      </c>
      <c r="E2613" s="136">
        <f t="shared" si="113"/>
        <v>21</v>
      </c>
      <c r="F2613" s="128" t="s">
        <v>24</v>
      </c>
      <c r="G2613" s="128" t="str">
        <f>VLOOKUP(source[[#This Row],[lending_product_transform]],[3]Mapping!$B$4:$C$37,2,0)</f>
        <v>[Cake] - Cashloan</v>
      </c>
      <c r="H2613" s="128" t="str">
        <f>VLOOKUP(source[[#This Row],[lending_product_transform]],[3]Mapping!$B$3:$D$37,3,0)</f>
        <v>cashloan</v>
      </c>
      <c r="I2613" s="135">
        <v>3997500000</v>
      </c>
    </row>
    <row r="2614" spans="1:9" x14ac:dyDescent="0.2">
      <c r="A2614" s="134">
        <v>45556</v>
      </c>
      <c r="B2614" s="135">
        <f>YEAR(source[[#This Row],[report_date]])</f>
        <v>2024</v>
      </c>
      <c r="C2614" s="128">
        <f t="shared" si="114"/>
        <v>9</v>
      </c>
      <c r="D2614" s="136">
        <f t="shared" si="112"/>
        <v>38</v>
      </c>
      <c r="E2614" s="136">
        <f t="shared" si="113"/>
        <v>21</v>
      </c>
      <c r="F2614" s="128" t="s">
        <v>24</v>
      </c>
      <c r="G2614" s="128" t="str">
        <f>VLOOKUP(source[[#This Row],[lending_product_transform]],[3]Mapping!$B$4:$C$37,2,0)</f>
        <v>[Cake] - Cashloan</v>
      </c>
      <c r="H2614" s="128" t="str">
        <f>VLOOKUP(source[[#This Row],[lending_product_transform]],[3]Mapping!$B$3:$D$37,3,0)</f>
        <v>cashloan</v>
      </c>
      <c r="I2614" s="135">
        <v>193424331</v>
      </c>
    </row>
    <row r="2615" spans="1:9" x14ac:dyDescent="0.2">
      <c r="A2615" s="134">
        <v>45556</v>
      </c>
      <c r="B2615" s="135">
        <f>YEAR(source[[#This Row],[report_date]])</f>
        <v>2024</v>
      </c>
      <c r="C2615" s="128">
        <f t="shared" si="114"/>
        <v>9</v>
      </c>
      <c r="D2615" s="136">
        <f t="shared" si="112"/>
        <v>38</v>
      </c>
      <c r="E2615" s="136">
        <f t="shared" si="113"/>
        <v>21</v>
      </c>
      <c r="F2615" s="128" t="s">
        <v>24</v>
      </c>
      <c r="G2615" s="128" t="str">
        <f>VLOOKUP(source[[#This Row],[lending_product_transform]],[3]Mapping!$B$4:$C$37,2,0)</f>
        <v>[Cake] - Cashloan</v>
      </c>
      <c r="H2615" s="128" t="str">
        <f>VLOOKUP(source[[#This Row],[lending_product_transform]],[3]Mapping!$B$3:$D$37,3,0)</f>
        <v>cashloan</v>
      </c>
      <c r="I2615" s="135">
        <v>2866960000</v>
      </c>
    </row>
    <row r="2616" spans="1:9" x14ac:dyDescent="0.2">
      <c r="A2616" s="134">
        <v>45556</v>
      </c>
      <c r="B2616" s="135">
        <f>YEAR(source[[#This Row],[report_date]])</f>
        <v>2024</v>
      </c>
      <c r="C2616" s="128">
        <f t="shared" si="114"/>
        <v>9</v>
      </c>
      <c r="D2616" s="136">
        <f t="shared" si="112"/>
        <v>38</v>
      </c>
      <c r="E2616" s="136">
        <f t="shared" si="113"/>
        <v>21</v>
      </c>
      <c r="F2616" s="128" t="s">
        <v>24</v>
      </c>
      <c r="G2616" s="128" t="str">
        <f>VLOOKUP(source[[#This Row],[lending_product_transform]],[3]Mapping!$B$4:$C$37,2,0)</f>
        <v>[Cake] - Cashloan</v>
      </c>
      <c r="H2616" s="128" t="str">
        <f>VLOOKUP(source[[#This Row],[lending_product_transform]],[3]Mapping!$B$3:$D$37,3,0)</f>
        <v>cashloan</v>
      </c>
      <c r="I2616" s="135">
        <v>54100000</v>
      </c>
    </row>
    <row r="2617" spans="1:9" x14ac:dyDescent="0.2">
      <c r="A2617" s="134">
        <v>45556</v>
      </c>
      <c r="B2617" s="135">
        <f>YEAR(source[[#This Row],[report_date]])</f>
        <v>2024</v>
      </c>
      <c r="C2617" s="128">
        <f t="shared" si="114"/>
        <v>9</v>
      </c>
      <c r="D2617" s="136">
        <f t="shared" si="112"/>
        <v>38</v>
      </c>
      <c r="E2617" s="136">
        <f t="shared" si="113"/>
        <v>21</v>
      </c>
      <c r="F2617" s="128" t="s">
        <v>24</v>
      </c>
      <c r="G2617" s="128" t="str">
        <f>VLOOKUP(source[[#This Row],[lending_product_transform]],[3]Mapping!$B$4:$C$37,2,0)</f>
        <v>[Cake] - Cashloan</v>
      </c>
      <c r="H2617" s="128" t="str">
        <f>VLOOKUP(source[[#This Row],[lending_product_transform]],[3]Mapping!$B$3:$D$37,3,0)</f>
        <v>cashloan</v>
      </c>
      <c r="I2617" s="135">
        <v>0</v>
      </c>
    </row>
    <row r="2618" spans="1:9" x14ac:dyDescent="0.2">
      <c r="A2618" s="134">
        <v>45556</v>
      </c>
      <c r="B2618" s="135">
        <f>YEAR(source[[#This Row],[report_date]])</f>
        <v>2024</v>
      </c>
      <c r="C2618" s="128">
        <f t="shared" si="114"/>
        <v>9</v>
      </c>
      <c r="D2618" s="136">
        <f t="shared" si="112"/>
        <v>38</v>
      </c>
      <c r="E2618" s="136">
        <f t="shared" si="113"/>
        <v>21</v>
      </c>
      <c r="F2618" s="128" t="s">
        <v>24</v>
      </c>
      <c r="G2618" s="128" t="str">
        <f>VLOOKUP(source[[#This Row],[lending_product_transform]],[3]Mapping!$B$4:$C$37,2,0)</f>
        <v>[Cake] - Cashloan</v>
      </c>
      <c r="H2618" s="128" t="str">
        <f>VLOOKUP(source[[#This Row],[lending_product_transform]],[3]Mapping!$B$3:$D$37,3,0)</f>
        <v>cashloan</v>
      </c>
      <c r="I2618" s="135">
        <v>47250000</v>
      </c>
    </row>
    <row r="2619" spans="1:9" x14ac:dyDescent="0.2">
      <c r="A2619" s="134">
        <v>45556</v>
      </c>
      <c r="B2619" s="135">
        <f>YEAR(source[[#This Row],[report_date]])</f>
        <v>2024</v>
      </c>
      <c r="C2619" s="128">
        <f t="shared" si="114"/>
        <v>9</v>
      </c>
      <c r="D2619" s="136">
        <f t="shared" si="112"/>
        <v>38</v>
      </c>
      <c r="E2619" s="136">
        <f t="shared" si="113"/>
        <v>21</v>
      </c>
      <c r="F2619" s="128" t="s">
        <v>24</v>
      </c>
      <c r="G2619" s="128" t="str">
        <f>VLOOKUP(source[[#This Row],[lending_product_transform]],[3]Mapping!$B$4:$C$37,2,0)</f>
        <v>[Cake] - Cashloan</v>
      </c>
      <c r="H2619" s="128" t="str">
        <f>VLOOKUP(source[[#This Row],[lending_product_transform]],[3]Mapping!$B$3:$D$37,3,0)</f>
        <v>cashloan</v>
      </c>
      <c r="I2619" s="135">
        <v>0</v>
      </c>
    </row>
    <row r="2620" spans="1:9" x14ac:dyDescent="0.2">
      <c r="A2620" s="134">
        <v>45556</v>
      </c>
      <c r="B2620" s="135">
        <f>YEAR(source[[#This Row],[report_date]])</f>
        <v>2024</v>
      </c>
      <c r="C2620" s="128">
        <f t="shared" si="114"/>
        <v>9</v>
      </c>
      <c r="D2620" s="136">
        <f t="shared" si="112"/>
        <v>38</v>
      </c>
      <c r="E2620" s="136">
        <f t="shared" si="113"/>
        <v>21</v>
      </c>
      <c r="F2620" s="128" t="s">
        <v>24</v>
      </c>
      <c r="G2620" s="128" t="str">
        <f>VLOOKUP(source[[#This Row],[lending_product_transform]],[3]Mapping!$B$4:$C$37,2,0)</f>
        <v>[Cake] - Cashloan</v>
      </c>
      <c r="H2620" s="128" t="str">
        <f>VLOOKUP(source[[#This Row],[lending_product_transform]],[3]Mapping!$B$3:$D$37,3,0)</f>
        <v>cashloan</v>
      </c>
      <c r="I2620" s="135">
        <v>8428650000</v>
      </c>
    </row>
    <row r="2621" spans="1:9" x14ac:dyDescent="0.2">
      <c r="A2621" s="134">
        <v>45557</v>
      </c>
      <c r="B2621" s="135">
        <f>YEAR(source[[#This Row],[report_date]])</f>
        <v>2024</v>
      </c>
      <c r="C2621" s="128">
        <f t="shared" si="114"/>
        <v>9</v>
      </c>
      <c r="D2621" s="136">
        <f t="shared" si="112"/>
        <v>38</v>
      </c>
      <c r="E2621" s="136">
        <f t="shared" si="113"/>
        <v>22</v>
      </c>
      <c r="F2621" s="128" t="s">
        <v>24</v>
      </c>
      <c r="G2621" s="128" t="str">
        <f>VLOOKUP(source[[#This Row],[lending_product_transform]],[3]Mapping!$B$4:$C$37,2,0)</f>
        <v>[Cake] - Cashloan</v>
      </c>
      <c r="H2621" s="128" t="str">
        <f>VLOOKUP(source[[#This Row],[lending_product_transform]],[3]Mapping!$B$3:$D$37,3,0)</f>
        <v>cashloan</v>
      </c>
      <c r="I2621" s="135">
        <v>17270401237</v>
      </c>
    </row>
    <row r="2622" spans="1:9" x14ac:dyDescent="0.2">
      <c r="A2622" s="134">
        <v>45557</v>
      </c>
      <c r="B2622" s="135">
        <f>YEAR(source[[#This Row],[report_date]])</f>
        <v>2024</v>
      </c>
      <c r="C2622" s="128">
        <f t="shared" si="114"/>
        <v>9</v>
      </c>
      <c r="D2622" s="136">
        <f t="shared" si="112"/>
        <v>38</v>
      </c>
      <c r="E2622" s="136">
        <f t="shared" si="113"/>
        <v>22</v>
      </c>
      <c r="F2622" s="128" t="s">
        <v>24</v>
      </c>
      <c r="G2622" s="128" t="str">
        <f>VLOOKUP(source[[#This Row],[lending_product_transform]],[3]Mapping!$B$4:$C$37,2,0)</f>
        <v>[Cake] - Cashloan</v>
      </c>
      <c r="H2622" s="128" t="str">
        <f>VLOOKUP(source[[#This Row],[lending_product_transform]],[3]Mapping!$B$3:$D$37,3,0)</f>
        <v>cashloan</v>
      </c>
      <c r="I2622" s="135">
        <v>114000000</v>
      </c>
    </row>
    <row r="2623" spans="1:9" x14ac:dyDescent="0.2">
      <c r="A2623" s="134">
        <v>45557</v>
      </c>
      <c r="B2623" s="135">
        <f>YEAR(source[[#This Row],[report_date]])</f>
        <v>2024</v>
      </c>
      <c r="C2623" s="128">
        <f t="shared" si="114"/>
        <v>9</v>
      </c>
      <c r="D2623" s="136">
        <f t="shared" si="112"/>
        <v>38</v>
      </c>
      <c r="E2623" s="136">
        <f t="shared" si="113"/>
        <v>22</v>
      </c>
      <c r="F2623" s="128" t="s">
        <v>24</v>
      </c>
      <c r="G2623" s="128" t="str">
        <f>VLOOKUP(source[[#This Row],[lending_product_transform]],[3]Mapping!$B$4:$C$37,2,0)</f>
        <v>[Cake] - Cashloan</v>
      </c>
      <c r="H2623" s="128" t="str">
        <f>VLOOKUP(source[[#This Row],[lending_product_transform]],[3]Mapping!$B$3:$D$37,3,0)</f>
        <v>cashloan</v>
      </c>
      <c r="I2623" s="135">
        <v>188026862</v>
      </c>
    </row>
    <row r="2624" spans="1:9" x14ac:dyDescent="0.2">
      <c r="A2624" s="134">
        <v>45557</v>
      </c>
      <c r="B2624" s="135">
        <f>YEAR(source[[#This Row],[report_date]])</f>
        <v>2024</v>
      </c>
      <c r="C2624" s="128">
        <f t="shared" si="114"/>
        <v>9</v>
      </c>
      <c r="D2624" s="136">
        <f t="shared" si="112"/>
        <v>38</v>
      </c>
      <c r="E2624" s="136">
        <f t="shared" si="113"/>
        <v>22</v>
      </c>
      <c r="F2624" s="128" t="s">
        <v>24</v>
      </c>
      <c r="G2624" s="128" t="str">
        <f>VLOOKUP(source[[#This Row],[lending_product_transform]],[3]Mapping!$B$4:$C$37,2,0)</f>
        <v>[Cake] - Cashloan</v>
      </c>
      <c r="H2624" s="128" t="str">
        <f>VLOOKUP(source[[#This Row],[lending_product_transform]],[3]Mapping!$B$3:$D$37,3,0)</f>
        <v>cashloan</v>
      </c>
      <c r="I2624" s="135">
        <v>0</v>
      </c>
    </row>
    <row r="2625" spans="1:9" x14ac:dyDescent="0.2">
      <c r="A2625" s="134">
        <v>45557</v>
      </c>
      <c r="B2625" s="135">
        <f>YEAR(source[[#This Row],[report_date]])</f>
        <v>2024</v>
      </c>
      <c r="C2625" s="128">
        <f t="shared" si="114"/>
        <v>9</v>
      </c>
      <c r="D2625" s="136">
        <f t="shared" si="112"/>
        <v>38</v>
      </c>
      <c r="E2625" s="136">
        <f t="shared" si="113"/>
        <v>22</v>
      </c>
      <c r="F2625" s="128" t="s">
        <v>24</v>
      </c>
      <c r="G2625" s="128" t="str">
        <f>VLOOKUP(source[[#This Row],[lending_product_transform]],[3]Mapping!$B$4:$C$37,2,0)</f>
        <v>[Cake] - Cashloan</v>
      </c>
      <c r="H2625" s="128" t="str">
        <f>VLOOKUP(source[[#This Row],[lending_product_transform]],[3]Mapping!$B$3:$D$37,3,0)</f>
        <v>cashloan</v>
      </c>
      <c r="I2625" s="135">
        <v>8160370000</v>
      </c>
    </row>
    <row r="2626" spans="1:9" x14ac:dyDescent="0.2">
      <c r="A2626" s="134">
        <v>45557</v>
      </c>
      <c r="B2626" s="135">
        <f>YEAR(source[[#This Row],[report_date]])</f>
        <v>2024</v>
      </c>
      <c r="C2626" s="128">
        <f t="shared" si="114"/>
        <v>9</v>
      </c>
      <c r="D2626" s="136">
        <f t="shared" si="112"/>
        <v>38</v>
      </c>
      <c r="E2626" s="136">
        <f t="shared" si="113"/>
        <v>22</v>
      </c>
      <c r="F2626" s="128" t="s">
        <v>24</v>
      </c>
      <c r="G2626" s="128" t="str">
        <f>VLOOKUP(source[[#This Row],[lending_product_transform]],[3]Mapping!$B$4:$C$37,2,0)</f>
        <v>[Cake] - Cashloan</v>
      </c>
      <c r="H2626" s="128" t="str">
        <f>VLOOKUP(source[[#This Row],[lending_product_transform]],[3]Mapping!$B$3:$D$37,3,0)</f>
        <v>cashloan</v>
      </c>
      <c r="I2626" s="135">
        <v>2680160000</v>
      </c>
    </row>
    <row r="2627" spans="1:9" x14ac:dyDescent="0.2">
      <c r="A2627" s="134">
        <v>45557</v>
      </c>
      <c r="B2627" s="135">
        <f>YEAR(source[[#This Row],[report_date]])</f>
        <v>2024</v>
      </c>
      <c r="C2627" s="128">
        <f t="shared" si="114"/>
        <v>9</v>
      </c>
      <c r="D2627" s="136">
        <f t="shared" ref="D2627:D2690" si="115">WEEKNUM(A2627,2)</f>
        <v>38</v>
      </c>
      <c r="E2627" s="136">
        <f t="shared" ref="E2627:E2690" si="116">DAY(A2627)</f>
        <v>22</v>
      </c>
      <c r="F2627" s="128" t="s">
        <v>24</v>
      </c>
      <c r="G2627" s="128" t="str">
        <f>VLOOKUP(source[[#This Row],[lending_product_transform]],[3]Mapping!$B$4:$C$37,2,0)</f>
        <v>[Cake] - Cashloan</v>
      </c>
      <c r="H2627" s="128" t="str">
        <f>VLOOKUP(source[[#This Row],[lending_product_transform]],[3]Mapping!$B$3:$D$37,3,0)</f>
        <v>cashloan</v>
      </c>
      <c r="I2627" s="135">
        <v>3682000000</v>
      </c>
    </row>
    <row r="2628" spans="1:9" x14ac:dyDescent="0.2">
      <c r="A2628" s="134">
        <v>45557</v>
      </c>
      <c r="B2628" s="135">
        <f>YEAR(source[[#This Row],[report_date]])</f>
        <v>2024</v>
      </c>
      <c r="C2628" s="128">
        <f t="shared" si="114"/>
        <v>9</v>
      </c>
      <c r="D2628" s="136">
        <f t="shared" si="115"/>
        <v>38</v>
      </c>
      <c r="E2628" s="136">
        <f t="shared" si="116"/>
        <v>22</v>
      </c>
      <c r="F2628" s="128" t="s">
        <v>24</v>
      </c>
      <c r="G2628" s="128" t="str">
        <f>VLOOKUP(source[[#This Row],[lending_product_transform]],[3]Mapping!$B$4:$C$37,2,0)</f>
        <v>[Cake] - Cashloan</v>
      </c>
      <c r="H2628" s="128" t="str">
        <f>VLOOKUP(source[[#This Row],[lending_product_transform]],[3]Mapping!$B$3:$D$37,3,0)</f>
        <v>cashloan</v>
      </c>
      <c r="I2628" s="135">
        <v>33423155</v>
      </c>
    </row>
    <row r="2629" spans="1:9" x14ac:dyDescent="0.2">
      <c r="A2629" s="134">
        <v>45557</v>
      </c>
      <c r="B2629" s="135">
        <f>YEAR(source[[#This Row],[report_date]])</f>
        <v>2024</v>
      </c>
      <c r="C2629" s="128">
        <f t="shared" si="114"/>
        <v>9</v>
      </c>
      <c r="D2629" s="136">
        <f t="shared" si="115"/>
        <v>38</v>
      </c>
      <c r="E2629" s="136">
        <f t="shared" si="116"/>
        <v>22</v>
      </c>
      <c r="F2629" s="128" t="s">
        <v>24</v>
      </c>
      <c r="G2629" s="128" t="str">
        <f>VLOOKUP(source[[#This Row],[lending_product_transform]],[3]Mapping!$B$4:$C$37,2,0)</f>
        <v>[Cake] - Cashloan</v>
      </c>
      <c r="H2629" s="128" t="str">
        <f>VLOOKUP(source[[#This Row],[lending_product_transform]],[3]Mapping!$B$3:$D$37,3,0)</f>
        <v>cashloan</v>
      </c>
      <c r="I2629" s="135">
        <v>42000000</v>
      </c>
    </row>
    <row r="2630" spans="1:9" x14ac:dyDescent="0.2">
      <c r="A2630" s="134">
        <v>45557</v>
      </c>
      <c r="B2630" s="135">
        <f>YEAR(source[[#This Row],[report_date]])</f>
        <v>2024</v>
      </c>
      <c r="C2630" s="128">
        <f t="shared" si="114"/>
        <v>9</v>
      </c>
      <c r="D2630" s="136">
        <f t="shared" si="115"/>
        <v>38</v>
      </c>
      <c r="E2630" s="136">
        <f t="shared" si="116"/>
        <v>22</v>
      </c>
      <c r="F2630" s="128" t="s">
        <v>24</v>
      </c>
      <c r="G2630" s="128" t="str">
        <f>VLOOKUP(source[[#This Row],[lending_product_transform]],[3]Mapping!$B$4:$C$37,2,0)</f>
        <v>[Cake] - Cashloan</v>
      </c>
      <c r="H2630" s="128" t="str">
        <f>VLOOKUP(source[[#This Row],[lending_product_transform]],[3]Mapping!$B$3:$D$37,3,0)</f>
        <v>cashloan</v>
      </c>
      <c r="I2630" s="135">
        <v>26250000</v>
      </c>
    </row>
    <row r="2631" spans="1:9" x14ac:dyDescent="0.2">
      <c r="A2631" s="134">
        <v>45557</v>
      </c>
      <c r="B2631" s="135">
        <f>YEAR(source[[#This Row],[report_date]])</f>
        <v>2024</v>
      </c>
      <c r="C2631" s="128">
        <f t="shared" si="114"/>
        <v>9</v>
      </c>
      <c r="D2631" s="136">
        <f t="shared" si="115"/>
        <v>38</v>
      </c>
      <c r="E2631" s="136">
        <f t="shared" si="116"/>
        <v>22</v>
      </c>
      <c r="F2631" s="128" t="s">
        <v>24</v>
      </c>
      <c r="G2631" s="128" t="str">
        <f>VLOOKUP(source[[#This Row],[lending_product_transform]],[3]Mapping!$B$4:$C$37,2,0)</f>
        <v>[Cake] - Cashloan</v>
      </c>
      <c r="H2631" s="128" t="str">
        <f>VLOOKUP(source[[#This Row],[lending_product_transform]],[3]Mapping!$B$3:$D$37,3,0)</f>
        <v>cashloan</v>
      </c>
      <c r="I2631" s="135">
        <v>22700000</v>
      </c>
    </row>
    <row r="2632" spans="1:9" x14ac:dyDescent="0.2">
      <c r="A2632" s="134">
        <v>45557</v>
      </c>
      <c r="B2632" s="135">
        <f>YEAR(source[[#This Row],[report_date]])</f>
        <v>2024</v>
      </c>
      <c r="C2632" s="128">
        <f t="shared" si="114"/>
        <v>9</v>
      </c>
      <c r="D2632" s="136">
        <f t="shared" si="115"/>
        <v>38</v>
      </c>
      <c r="E2632" s="136">
        <f t="shared" si="116"/>
        <v>22</v>
      </c>
      <c r="F2632" s="128" t="s">
        <v>24</v>
      </c>
      <c r="G2632" s="128" t="str">
        <f>VLOOKUP(source[[#This Row],[lending_product_transform]],[3]Mapping!$B$4:$C$37,2,0)</f>
        <v>[Cake] - Cashloan</v>
      </c>
      <c r="H2632" s="128" t="str">
        <f>VLOOKUP(source[[#This Row],[lending_product_transform]],[3]Mapping!$B$3:$D$37,3,0)</f>
        <v>cashloan</v>
      </c>
      <c r="I2632" s="135">
        <v>0</v>
      </c>
    </row>
    <row r="2633" spans="1:9" x14ac:dyDescent="0.2">
      <c r="A2633" s="134">
        <v>45557</v>
      </c>
      <c r="B2633" s="135">
        <f>YEAR(source[[#This Row],[report_date]])</f>
        <v>2024</v>
      </c>
      <c r="C2633" s="128">
        <f t="shared" si="114"/>
        <v>9</v>
      </c>
      <c r="D2633" s="136">
        <f t="shared" si="115"/>
        <v>38</v>
      </c>
      <c r="E2633" s="136">
        <f t="shared" si="116"/>
        <v>22</v>
      </c>
      <c r="F2633" s="128" t="s">
        <v>24</v>
      </c>
      <c r="G2633" s="128" t="str">
        <f>VLOOKUP(source[[#This Row],[lending_product_transform]],[3]Mapping!$B$4:$C$37,2,0)</f>
        <v>[Cake] - Cashloan</v>
      </c>
      <c r="H2633" s="128" t="str">
        <f>VLOOKUP(source[[#This Row],[lending_product_transform]],[3]Mapping!$B$3:$D$37,3,0)</f>
        <v>cashloan</v>
      </c>
      <c r="I2633" s="135">
        <v>2321471220</v>
      </c>
    </row>
    <row r="2634" spans="1:9" x14ac:dyDescent="0.2">
      <c r="A2634" s="134">
        <v>45558</v>
      </c>
      <c r="B2634" s="135">
        <f>YEAR(source[[#This Row],[report_date]])</f>
        <v>2024</v>
      </c>
      <c r="C2634" s="128">
        <f t="shared" si="114"/>
        <v>9</v>
      </c>
      <c r="D2634" s="136">
        <f t="shared" si="115"/>
        <v>39</v>
      </c>
      <c r="E2634" s="136">
        <f t="shared" si="116"/>
        <v>23</v>
      </c>
      <c r="F2634" s="128" t="s">
        <v>24</v>
      </c>
      <c r="G2634" s="128" t="str">
        <f>VLOOKUP(source[[#This Row],[lending_product_transform]],[3]Mapping!$B$4:$C$37,2,0)</f>
        <v>[Cake] - Cashloan</v>
      </c>
      <c r="H2634" s="128" t="str">
        <f>VLOOKUP(source[[#This Row],[lending_product_transform]],[3]Mapping!$B$3:$D$37,3,0)</f>
        <v>cashloan</v>
      </c>
      <c r="I2634" s="135">
        <v>0</v>
      </c>
    </row>
    <row r="2635" spans="1:9" x14ac:dyDescent="0.2">
      <c r="A2635" s="134">
        <v>45558</v>
      </c>
      <c r="B2635" s="135">
        <f>YEAR(source[[#This Row],[report_date]])</f>
        <v>2024</v>
      </c>
      <c r="C2635" s="128">
        <f t="shared" si="114"/>
        <v>9</v>
      </c>
      <c r="D2635" s="136">
        <f t="shared" si="115"/>
        <v>39</v>
      </c>
      <c r="E2635" s="136">
        <f t="shared" si="116"/>
        <v>23</v>
      </c>
      <c r="F2635" s="128" t="s">
        <v>24</v>
      </c>
      <c r="G2635" s="128" t="str">
        <f>VLOOKUP(source[[#This Row],[lending_product_transform]],[3]Mapping!$B$4:$C$37,2,0)</f>
        <v>[Cake] - Cashloan</v>
      </c>
      <c r="H2635" s="128" t="str">
        <f>VLOOKUP(source[[#This Row],[lending_product_transform]],[3]Mapping!$B$3:$D$37,3,0)</f>
        <v>cashloan</v>
      </c>
      <c r="I2635" s="135">
        <v>21437265259</v>
      </c>
    </row>
    <row r="2636" spans="1:9" x14ac:dyDescent="0.2">
      <c r="A2636" s="134">
        <v>45558</v>
      </c>
      <c r="B2636" s="135">
        <f>YEAR(source[[#This Row],[report_date]])</f>
        <v>2024</v>
      </c>
      <c r="C2636" s="128">
        <f t="shared" si="114"/>
        <v>9</v>
      </c>
      <c r="D2636" s="136">
        <f t="shared" si="115"/>
        <v>39</v>
      </c>
      <c r="E2636" s="136">
        <f t="shared" si="116"/>
        <v>23</v>
      </c>
      <c r="F2636" s="128" t="s">
        <v>24</v>
      </c>
      <c r="G2636" s="128" t="str">
        <f>VLOOKUP(source[[#This Row],[lending_product_transform]],[3]Mapping!$B$4:$C$37,2,0)</f>
        <v>[Cake] - Cashloan</v>
      </c>
      <c r="H2636" s="128" t="str">
        <f>VLOOKUP(source[[#This Row],[lending_product_transform]],[3]Mapping!$B$3:$D$37,3,0)</f>
        <v>cashloan</v>
      </c>
      <c r="I2636" s="135">
        <v>3019488342</v>
      </c>
    </row>
    <row r="2637" spans="1:9" x14ac:dyDescent="0.2">
      <c r="A2637" s="134">
        <v>45558</v>
      </c>
      <c r="B2637" s="135">
        <f>YEAR(source[[#This Row],[report_date]])</f>
        <v>2024</v>
      </c>
      <c r="C2637" s="128">
        <f t="shared" si="114"/>
        <v>9</v>
      </c>
      <c r="D2637" s="136">
        <f t="shared" si="115"/>
        <v>39</v>
      </c>
      <c r="E2637" s="136">
        <f t="shared" si="116"/>
        <v>23</v>
      </c>
      <c r="F2637" s="128" t="s">
        <v>24</v>
      </c>
      <c r="G2637" s="128" t="str">
        <f>VLOOKUP(source[[#This Row],[lending_product_transform]],[3]Mapping!$B$4:$C$37,2,0)</f>
        <v>[Cake] - Cashloan</v>
      </c>
      <c r="H2637" s="128" t="str">
        <f>VLOOKUP(source[[#This Row],[lending_product_transform]],[3]Mapping!$B$3:$D$37,3,0)</f>
        <v>cashloan</v>
      </c>
      <c r="I2637" s="135">
        <v>24184846</v>
      </c>
    </row>
    <row r="2638" spans="1:9" x14ac:dyDescent="0.2">
      <c r="A2638" s="134">
        <v>45558</v>
      </c>
      <c r="B2638" s="135">
        <f>YEAR(source[[#This Row],[report_date]])</f>
        <v>2024</v>
      </c>
      <c r="C2638" s="128">
        <f t="shared" si="114"/>
        <v>9</v>
      </c>
      <c r="D2638" s="136">
        <f t="shared" si="115"/>
        <v>39</v>
      </c>
      <c r="E2638" s="136">
        <f t="shared" si="116"/>
        <v>23</v>
      </c>
      <c r="F2638" s="128" t="s">
        <v>24</v>
      </c>
      <c r="G2638" s="128" t="str">
        <f>VLOOKUP(source[[#This Row],[lending_product_transform]],[3]Mapping!$B$4:$C$37,2,0)</f>
        <v>[Cake] - Cashloan</v>
      </c>
      <c r="H2638" s="128" t="str">
        <f>VLOOKUP(source[[#This Row],[lending_product_transform]],[3]Mapping!$B$3:$D$37,3,0)</f>
        <v>cashloan</v>
      </c>
      <c r="I2638" s="135">
        <v>3737840000</v>
      </c>
    </row>
    <row r="2639" spans="1:9" x14ac:dyDescent="0.2">
      <c r="A2639" s="134">
        <v>45558</v>
      </c>
      <c r="B2639" s="135">
        <f>YEAR(source[[#This Row],[report_date]])</f>
        <v>2024</v>
      </c>
      <c r="C2639" s="128">
        <f t="shared" si="114"/>
        <v>9</v>
      </c>
      <c r="D2639" s="136">
        <f t="shared" si="115"/>
        <v>39</v>
      </c>
      <c r="E2639" s="136">
        <f t="shared" si="116"/>
        <v>23</v>
      </c>
      <c r="F2639" s="128" t="s">
        <v>24</v>
      </c>
      <c r="G2639" s="128" t="str">
        <f>VLOOKUP(source[[#This Row],[lending_product_transform]],[3]Mapping!$B$4:$C$37,2,0)</f>
        <v>[Cake] - Cashloan</v>
      </c>
      <c r="H2639" s="128" t="str">
        <f>VLOOKUP(source[[#This Row],[lending_product_transform]],[3]Mapping!$B$3:$D$37,3,0)</f>
        <v>cashloan</v>
      </c>
      <c r="I2639" s="135">
        <v>7490000</v>
      </c>
    </row>
    <row r="2640" spans="1:9" x14ac:dyDescent="0.2">
      <c r="A2640" s="134">
        <v>45558</v>
      </c>
      <c r="B2640" s="135">
        <f>YEAR(source[[#This Row],[report_date]])</f>
        <v>2024</v>
      </c>
      <c r="C2640" s="128">
        <f t="shared" si="114"/>
        <v>9</v>
      </c>
      <c r="D2640" s="136">
        <f t="shared" si="115"/>
        <v>39</v>
      </c>
      <c r="E2640" s="136">
        <f t="shared" si="116"/>
        <v>23</v>
      </c>
      <c r="F2640" s="128" t="s">
        <v>24</v>
      </c>
      <c r="G2640" s="128" t="str">
        <f>VLOOKUP(source[[#This Row],[lending_product_transform]],[3]Mapping!$B$4:$C$37,2,0)</f>
        <v>[Cake] - Cashloan</v>
      </c>
      <c r="H2640" s="128" t="str">
        <f>VLOOKUP(source[[#This Row],[lending_product_transform]],[3]Mapping!$B$3:$D$37,3,0)</f>
        <v>cashloan</v>
      </c>
      <c r="I2640" s="135">
        <v>65000000</v>
      </c>
    </row>
    <row r="2641" spans="1:9" x14ac:dyDescent="0.2">
      <c r="A2641" s="134">
        <v>45558</v>
      </c>
      <c r="B2641" s="135">
        <f>YEAR(source[[#This Row],[report_date]])</f>
        <v>2024</v>
      </c>
      <c r="C2641" s="128">
        <f t="shared" si="114"/>
        <v>9</v>
      </c>
      <c r="D2641" s="136">
        <f t="shared" si="115"/>
        <v>39</v>
      </c>
      <c r="E2641" s="136">
        <f t="shared" si="116"/>
        <v>23</v>
      </c>
      <c r="F2641" s="128" t="s">
        <v>24</v>
      </c>
      <c r="G2641" s="128" t="str">
        <f>VLOOKUP(source[[#This Row],[lending_product_transform]],[3]Mapping!$B$4:$C$37,2,0)</f>
        <v>[Cake] - Cashloan</v>
      </c>
      <c r="H2641" s="128" t="str">
        <f>VLOOKUP(source[[#This Row],[lending_product_transform]],[3]Mapping!$B$3:$D$37,3,0)</f>
        <v>cashloan</v>
      </c>
      <c r="I2641" s="135">
        <v>49350000</v>
      </c>
    </row>
    <row r="2642" spans="1:9" x14ac:dyDescent="0.2">
      <c r="A2642" s="134">
        <v>45558</v>
      </c>
      <c r="B2642" s="135">
        <f>YEAR(source[[#This Row],[report_date]])</f>
        <v>2024</v>
      </c>
      <c r="C2642" s="128">
        <f t="shared" si="114"/>
        <v>9</v>
      </c>
      <c r="D2642" s="136">
        <f t="shared" si="115"/>
        <v>39</v>
      </c>
      <c r="E2642" s="136">
        <f t="shared" si="116"/>
        <v>23</v>
      </c>
      <c r="F2642" s="128" t="s">
        <v>24</v>
      </c>
      <c r="G2642" s="128" t="str">
        <f>VLOOKUP(source[[#This Row],[lending_product_transform]],[3]Mapping!$B$4:$C$37,2,0)</f>
        <v>[Cake] - Cashloan</v>
      </c>
      <c r="H2642" s="128" t="str">
        <f>VLOOKUP(source[[#This Row],[lending_product_transform]],[3]Mapping!$B$3:$D$37,3,0)</f>
        <v>cashloan</v>
      </c>
      <c r="I2642" s="135">
        <v>202150000</v>
      </c>
    </row>
    <row r="2643" spans="1:9" x14ac:dyDescent="0.2">
      <c r="A2643" s="134">
        <v>45558</v>
      </c>
      <c r="B2643" s="135">
        <f>YEAR(source[[#This Row],[report_date]])</f>
        <v>2024</v>
      </c>
      <c r="C2643" s="128">
        <f t="shared" si="114"/>
        <v>9</v>
      </c>
      <c r="D2643" s="136">
        <f t="shared" si="115"/>
        <v>39</v>
      </c>
      <c r="E2643" s="136">
        <f t="shared" si="116"/>
        <v>23</v>
      </c>
      <c r="F2643" s="128" t="s">
        <v>24</v>
      </c>
      <c r="G2643" s="128" t="str">
        <f>VLOOKUP(source[[#This Row],[lending_product_transform]],[3]Mapping!$B$4:$C$37,2,0)</f>
        <v>[Cake] - Cashloan</v>
      </c>
      <c r="H2643" s="128" t="str">
        <f>VLOOKUP(source[[#This Row],[lending_product_transform]],[3]Mapping!$B$3:$D$37,3,0)</f>
        <v>cashloan</v>
      </c>
      <c r="I2643" s="135">
        <v>0</v>
      </c>
    </row>
    <row r="2644" spans="1:9" x14ac:dyDescent="0.2">
      <c r="A2644" s="134">
        <v>45558</v>
      </c>
      <c r="B2644" s="135">
        <f>YEAR(source[[#This Row],[report_date]])</f>
        <v>2024</v>
      </c>
      <c r="C2644" s="128">
        <f t="shared" si="114"/>
        <v>9</v>
      </c>
      <c r="D2644" s="136">
        <f t="shared" si="115"/>
        <v>39</v>
      </c>
      <c r="E2644" s="136">
        <f t="shared" si="116"/>
        <v>23</v>
      </c>
      <c r="F2644" s="128" t="s">
        <v>24</v>
      </c>
      <c r="G2644" s="128" t="str">
        <f>VLOOKUP(source[[#This Row],[lending_product_transform]],[3]Mapping!$B$4:$C$37,2,0)</f>
        <v>[Cake] - Cashloan</v>
      </c>
      <c r="H2644" s="128" t="str">
        <f>VLOOKUP(source[[#This Row],[lending_product_transform]],[3]Mapping!$B$3:$D$37,3,0)</f>
        <v>cashloan</v>
      </c>
      <c r="I2644" s="135">
        <v>194882071</v>
      </c>
    </row>
    <row r="2645" spans="1:9" x14ac:dyDescent="0.2">
      <c r="A2645" s="134">
        <v>45558</v>
      </c>
      <c r="B2645" s="135">
        <f>YEAR(source[[#This Row],[report_date]])</f>
        <v>2024</v>
      </c>
      <c r="C2645" s="128">
        <f t="shared" ref="C2645:C2708" si="117">MONTH(A2645)</f>
        <v>9</v>
      </c>
      <c r="D2645" s="136">
        <f t="shared" si="115"/>
        <v>39</v>
      </c>
      <c r="E2645" s="136">
        <f t="shared" si="116"/>
        <v>23</v>
      </c>
      <c r="F2645" s="128" t="s">
        <v>24</v>
      </c>
      <c r="G2645" s="128" t="str">
        <f>VLOOKUP(source[[#This Row],[lending_product_transform]],[3]Mapping!$B$4:$C$37,2,0)</f>
        <v>[Cake] - Cashloan</v>
      </c>
      <c r="H2645" s="128" t="str">
        <f>VLOOKUP(source[[#This Row],[lending_product_transform]],[3]Mapping!$B$3:$D$37,3,0)</f>
        <v>cashloan</v>
      </c>
      <c r="I2645" s="135">
        <v>4285500000</v>
      </c>
    </row>
    <row r="2646" spans="1:9" x14ac:dyDescent="0.2">
      <c r="A2646" s="134">
        <v>45558</v>
      </c>
      <c r="B2646" s="135">
        <f>YEAR(source[[#This Row],[report_date]])</f>
        <v>2024</v>
      </c>
      <c r="C2646" s="128">
        <f t="shared" si="117"/>
        <v>9</v>
      </c>
      <c r="D2646" s="136">
        <f t="shared" si="115"/>
        <v>39</v>
      </c>
      <c r="E2646" s="136">
        <f t="shared" si="116"/>
        <v>23</v>
      </c>
      <c r="F2646" s="128" t="s">
        <v>24</v>
      </c>
      <c r="G2646" s="128" t="str">
        <f>VLOOKUP(source[[#This Row],[lending_product_transform]],[3]Mapping!$B$4:$C$37,2,0)</f>
        <v>[Cake] - Cashloan</v>
      </c>
      <c r="H2646" s="128" t="str">
        <f>VLOOKUP(source[[#This Row],[lending_product_transform]],[3]Mapping!$B$3:$D$37,3,0)</f>
        <v>cashloan</v>
      </c>
      <c r="I2646" s="135">
        <v>9851380000</v>
      </c>
    </row>
    <row r="2647" spans="1:9" x14ac:dyDescent="0.2">
      <c r="A2647" s="134">
        <v>45559</v>
      </c>
      <c r="B2647" s="135">
        <f>YEAR(source[[#This Row],[report_date]])</f>
        <v>2024</v>
      </c>
      <c r="C2647" s="128">
        <f t="shared" si="117"/>
        <v>9</v>
      </c>
      <c r="D2647" s="136">
        <f t="shared" si="115"/>
        <v>39</v>
      </c>
      <c r="E2647" s="136">
        <f t="shared" si="116"/>
        <v>24</v>
      </c>
      <c r="F2647" s="128" t="s">
        <v>24</v>
      </c>
      <c r="G2647" s="128" t="str">
        <f>VLOOKUP(source[[#This Row],[lending_product_transform]],[3]Mapping!$B$4:$C$37,2,0)</f>
        <v>[Cake] - Cashloan</v>
      </c>
      <c r="H2647" s="128" t="str">
        <f>VLOOKUP(source[[#This Row],[lending_product_transform]],[3]Mapping!$B$3:$D$37,3,0)</f>
        <v>cashloan</v>
      </c>
      <c r="I2647" s="135">
        <v>167747940</v>
      </c>
    </row>
    <row r="2648" spans="1:9" x14ac:dyDescent="0.2">
      <c r="A2648" s="134">
        <v>45559</v>
      </c>
      <c r="B2648" s="135">
        <f>YEAR(source[[#This Row],[report_date]])</f>
        <v>2024</v>
      </c>
      <c r="C2648" s="128">
        <f t="shared" si="117"/>
        <v>9</v>
      </c>
      <c r="D2648" s="136">
        <f t="shared" si="115"/>
        <v>39</v>
      </c>
      <c r="E2648" s="136">
        <f t="shared" si="116"/>
        <v>24</v>
      </c>
      <c r="F2648" s="128" t="s">
        <v>24</v>
      </c>
      <c r="G2648" s="128" t="str">
        <f>VLOOKUP(source[[#This Row],[lending_product_transform]],[3]Mapping!$B$4:$C$37,2,0)</f>
        <v>[Cake] - Cashloan</v>
      </c>
      <c r="H2648" s="128" t="str">
        <f>VLOOKUP(source[[#This Row],[lending_product_transform]],[3]Mapping!$B$3:$D$37,3,0)</f>
        <v>cashloan</v>
      </c>
      <c r="I2648" s="135">
        <v>31181404</v>
      </c>
    </row>
    <row r="2649" spans="1:9" x14ac:dyDescent="0.2">
      <c r="A2649" s="134">
        <v>45559</v>
      </c>
      <c r="B2649" s="135">
        <f>YEAR(source[[#This Row],[report_date]])</f>
        <v>2024</v>
      </c>
      <c r="C2649" s="128">
        <f t="shared" si="117"/>
        <v>9</v>
      </c>
      <c r="D2649" s="136">
        <f t="shared" si="115"/>
        <v>39</v>
      </c>
      <c r="E2649" s="136">
        <f t="shared" si="116"/>
        <v>24</v>
      </c>
      <c r="F2649" s="128" t="s">
        <v>24</v>
      </c>
      <c r="G2649" s="128" t="str">
        <f>VLOOKUP(source[[#This Row],[lending_product_transform]],[3]Mapping!$B$4:$C$37,2,0)</f>
        <v>[Cake] - Cashloan</v>
      </c>
      <c r="H2649" s="128" t="str">
        <f>VLOOKUP(source[[#This Row],[lending_product_transform]],[3]Mapping!$B$3:$D$37,3,0)</f>
        <v>cashloan</v>
      </c>
      <c r="I2649" s="135">
        <v>106050000</v>
      </c>
    </row>
    <row r="2650" spans="1:9" x14ac:dyDescent="0.2">
      <c r="A2650" s="134">
        <v>45559</v>
      </c>
      <c r="B2650" s="135">
        <f>YEAR(source[[#This Row],[report_date]])</f>
        <v>2024</v>
      </c>
      <c r="C2650" s="128">
        <f t="shared" si="117"/>
        <v>9</v>
      </c>
      <c r="D2650" s="136">
        <f t="shared" si="115"/>
        <v>39</v>
      </c>
      <c r="E2650" s="136">
        <f t="shared" si="116"/>
        <v>24</v>
      </c>
      <c r="F2650" s="128" t="s">
        <v>24</v>
      </c>
      <c r="G2650" s="128" t="str">
        <f>VLOOKUP(source[[#This Row],[lending_product_transform]],[3]Mapping!$B$4:$C$37,2,0)</f>
        <v>[Cake] - Cashloan</v>
      </c>
      <c r="H2650" s="128" t="str">
        <f>VLOOKUP(source[[#This Row],[lending_product_transform]],[3]Mapping!$B$3:$D$37,3,0)</f>
        <v>cashloan</v>
      </c>
      <c r="I2650" s="135">
        <v>9052980000</v>
      </c>
    </row>
    <row r="2651" spans="1:9" x14ac:dyDescent="0.2">
      <c r="A2651" s="134">
        <v>45559</v>
      </c>
      <c r="B2651" s="135">
        <f>YEAR(source[[#This Row],[report_date]])</f>
        <v>2024</v>
      </c>
      <c r="C2651" s="128">
        <f t="shared" si="117"/>
        <v>9</v>
      </c>
      <c r="D2651" s="136">
        <f t="shared" si="115"/>
        <v>39</v>
      </c>
      <c r="E2651" s="136">
        <f t="shared" si="116"/>
        <v>24</v>
      </c>
      <c r="F2651" s="128" t="s">
        <v>24</v>
      </c>
      <c r="G2651" s="128" t="str">
        <f>VLOOKUP(source[[#This Row],[lending_product_transform]],[3]Mapping!$B$4:$C$37,2,0)</f>
        <v>[Cake] - Cashloan</v>
      </c>
      <c r="H2651" s="128" t="str">
        <f>VLOOKUP(source[[#This Row],[lending_product_transform]],[3]Mapping!$B$3:$D$37,3,0)</f>
        <v>cashloan</v>
      </c>
      <c r="I2651" s="135">
        <v>19709192635</v>
      </c>
    </row>
    <row r="2652" spans="1:9" x14ac:dyDescent="0.2">
      <c r="A2652" s="134">
        <v>45559</v>
      </c>
      <c r="B2652" s="135">
        <f>YEAR(source[[#This Row],[report_date]])</f>
        <v>2024</v>
      </c>
      <c r="C2652" s="128">
        <f t="shared" si="117"/>
        <v>9</v>
      </c>
      <c r="D2652" s="136">
        <f t="shared" si="115"/>
        <v>39</v>
      </c>
      <c r="E2652" s="136">
        <f t="shared" si="116"/>
        <v>24</v>
      </c>
      <c r="F2652" s="128" t="s">
        <v>24</v>
      </c>
      <c r="G2652" s="128" t="str">
        <f>VLOOKUP(source[[#This Row],[lending_product_transform]],[3]Mapping!$B$4:$C$37,2,0)</f>
        <v>[Cake] - Cashloan</v>
      </c>
      <c r="H2652" s="128" t="str">
        <f>VLOOKUP(source[[#This Row],[lending_product_transform]],[3]Mapping!$B$3:$D$37,3,0)</f>
        <v>cashloan</v>
      </c>
      <c r="I2652" s="135">
        <v>3219733291</v>
      </c>
    </row>
    <row r="2653" spans="1:9" x14ac:dyDescent="0.2">
      <c r="A2653" s="134">
        <v>45559</v>
      </c>
      <c r="B2653" s="135">
        <f>YEAR(source[[#This Row],[report_date]])</f>
        <v>2024</v>
      </c>
      <c r="C2653" s="128">
        <f t="shared" si="117"/>
        <v>9</v>
      </c>
      <c r="D2653" s="136">
        <f t="shared" si="115"/>
        <v>39</v>
      </c>
      <c r="E2653" s="136">
        <f t="shared" si="116"/>
        <v>24</v>
      </c>
      <c r="F2653" s="128" t="s">
        <v>24</v>
      </c>
      <c r="G2653" s="128" t="str">
        <f>VLOOKUP(source[[#This Row],[lending_product_transform]],[3]Mapping!$B$4:$C$37,2,0)</f>
        <v>[Cake] - Cashloan</v>
      </c>
      <c r="H2653" s="128" t="str">
        <f>VLOOKUP(source[[#This Row],[lending_product_transform]],[3]Mapping!$B$3:$D$37,3,0)</f>
        <v>cashloan</v>
      </c>
      <c r="I2653" s="135">
        <v>180500000</v>
      </c>
    </row>
    <row r="2654" spans="1:9" x14ac:dyDescent="0.2">
      <c r="A2654" s="134">
        <v>45559</v>
      </c>
      <c r="B2654" s="135">
        <f>YEAR(source[[#This Row],[report_date]])</f>
        <v>2024</v>
      </c>
      <c r="C2654" s="128">
        <f t="shared" si="117"/>
        <v>9</v>
      </c>
      <c r="D2654" s="136">
        <f t="shared" si="115"/>
        <v>39</v>
      </c>
      <c r="E2654" s="136">
        <f t="shared" si="116"/>
        <v>24</v>
      </c>
      <c r="F2654" s="128" t="s">
        <v>24</v>
      </c>
      <c r="G2654" s="128" t="str">
        <f>VLOOKUP(source[[#This Row],[lending_product_transform]],[3]Mapping!$B$4:$C$37,2,0)</f>
        <v>[Cake] - Cashloan</v>
      </c>
      <c r="H2654" s="128" t="str">
        <f>VLOOKUP(source[[#This Row],[lending_product_transform]],[3]Mapping!$B$3:$D$37,3,0)</f>
        <v>cashloan</v>
      </c>
      <c r="I2654" s="135">
        <v>0</v>
      </c>
    </row>
    <row r="2655" spans="1:9" x14ac:dyDescent="0.2">
      <c r="A2655" s="134">
        <v>45559</v>
      </c>
      <c r="B2655" s="135">
        <f>YEAR(source[[#This Row],[report_date]])</f>
        <v>2024</v>
      </c>
      <c r="C2655" s="128">
        <f t="shared" si="117"/>
        <v>9</v>
      </c>
      <c r="D2655" s="136">
        <f t="shared" si="115"/>
        <v>39</v>
      </c>
      <c r="E2655" s="136">
        <f t="shared" si="116"/>
        <v>24</v>
      </c>
      <c r="F2655" s="128" t="s">
        <v>24</v>
      </c>
      <c r="G2655" s="128" t="str">
        <f>VLOOKUP(source[[#This Row],[lending_product_transform]],[3]Mapping!$B$4:$C$37,2,0)</f>
        <v>[Cake] - Cashloan</v>
      </c>
      <c r="H2655" s="128" t="str">
        <f>VLOOKUP(source[[#This Row],[lending_product_transform]],[3]Mapping!$B$3:$D$37,3,0)</f>
        <v>cashloan</v>
      </c>
      <c r="I2655" s="135">
        <v>6420000</v>
      </c>
    </row>
    <row r="2656" spans="1:9" x14ac:dyDescent="0.2">
      <c r="A2656" s="134">
        <v>45559</v>
      </c>
      <c r="B2656" s="135">
        <f>YEAR(source[[#This Row],[report_date]])</f>
        <v>2024</v>
      </c>
      <c r="C2656" s="128">
        <f t="shared" si="117"/>
        <v>9</v>
      </c>
      <c r="D2656" s="136">
        <f t="shared" si="115"/>
        <v>39</v>
      </c>
      <c r="E2656" s="136">
        <f t="shared" si="116"/>
        <v>24</v>
      </c>
      <c r="F2656" s="128" t="s">
        <v>24</v>
      </c>
      <c r="G2656" s="128" t="str">
        <f>VLOOKUP(source[[#This Row],[lending_product_transform]],[3]Mapping!$B$4:$C$37,2,0)</f>
        <v>[Cake] - Cashloan</v>
      </c>
      <c r="H2656" s="128" t="str">
        <f>VLOOKUP(source[[#This Row],[lending_product_transform]],[3]Mapping!$B$3:$D$37,3,0)</f>
        <v>cashloan</v>
      </c>
      <c r="I2656" s="135">
        <v>38000000</v>
      </c>
    </row>
    <row r="2657" spans="1:9" x14ac:dyDescent="0.2">
      <c r="A2657" s="134">
        <v>45559</v>
      </c>
      <c r="B2657" s="135">
        <f>YEAR(source[[#This Row],[report_date]])</f>
        <v>2024</v>
      </c>
      <c r="C2657" s="128">
        <f t="shared" si="117"/>
        <v>9</v>
      </c>
      <c r="D2657" s="136">
        <f t="shared" si="115"/>
        <v>39</v>
      </c>
      <c r="E2657" s="136">
        <f t="shared" si="116"/>
        <v>24</v>
      </c>
      <c r="F2657" s="128" t="s">
        <v>24</v>
      </c>
      <c r="G2657" s="128" t="str">
        <f>VLOOKUP(source[[#This Row],[lending_product_transform]],[3]Mapping!$B$4:$C$37,2,0)</f>
        <v>[Cake] - Cashloan</v>
      </c>
      <c r="H2657" s="128" t="str">
        <f>VLOOKUP(source[[#This Row],[lending_product_transform]],[3]Mapping!$B$3:$D$37,3,0)</f>
        <v>cashloan</v>
      </c>
      <c r="I2657" s="135">
        <v>75600000</v>
      </c>
    </row>
    <row r="2658" spans="1:9" x14ac:dyDescent="0.2">
      <c r="A2658" s="134">
        <v>45559</v>
      </c>
      <c r="B2658" s="135">
        <f>YEAR(source[[#This Row],[report_date]])</f>
        <v>2024</v>
      </c>
      <c r="C2658" s="128">
        <f t="shared" si="117"/>
        <v>9</v>
      </c>
      <c r="D2658" s="136">
        <f t="shared" si="115"/>
        <v>39</v>
      </c>
      <c r="E2658" s="136">
        <f t="shared" si="116"/>
        <v>24</v>
      </c>
      <c r="F2658" s="128" t="s">
        <v>24</v>
      </c>
      <c r="G2658" s="128" t="str">
        <f>VLOOKUP(source[[#This Row],[lending_product_transform]],[3]Mapping!$B$4:$C$37,2,0)</f>
        <v>[Cake] - Cashloan</v>
      </c>
      <c r="H2658" s="128" t="str">
        <f>VLOOKUP(source[[#This Row],[lending_product_transform]],[3]Mapping!$B$3:$D$37,3,0)</f>
        <v>cashloan</v>
      </c>
      <c r="I2658" s="135">
        <v>3572000000</v>
      </c>
    </row>
    <row r="2659" spans="1:9" x14ac:dyDescent="0.2">
      <c r="A2659" s="134">
        <v>45559</v>
      </c>
      <c r="B2659" s="135">
        <f>YEAR(source[[#This Row],[report_date]])</f>
        <v>2024</v>
      </c>
      <c r="C2659" s="128">
        <f t="shared" si="117"/>
        <v>9</v>
      </c>
      <c r="D2659" s="136">
        <f t="shared" si="115"/>
        <v>39</v>
      </c>
      <c r="E2659" s="136">
        <f t="shared" si="116"/>
        <v>24</v>
      </c>
      <c r="F2659" s="128" t="s">
        <v>24</v>
      </c>
      <c r="G2659" s="128" t="str">
        <f>VLOOKUP(source[[#This Row],[lending_product_transform]],[3]Mapping!$B$4:$C$37,2,0)</f>
        <v>[Cake] - Cashloan</v>
      </c>
      <c r="H2659" s="128" t="str">
        <f>VLOOKUP(source[[#This Row],[lending_product_transform]],[3]Mapping!$B$3:$D$37,3,0)</f>
        <v>cashloan</v>
      </c>
      <c r="I2659" s="135">
        <v>3258980000</v>
      </c>
    </row>
    <row r="2660" spans="1:9" x14ac:dyDescent="0.2">
      <c r="A2660" s="134">
        <v>45560</v>
      </c>
      <c r="B2660" s="135">
        <f>YEAR(source[[#This Row],[report_date]])</f>
        <v>2024</v>
      </c>
      <c r="C2660" s="128">
        <f t="shared" si="117"/>
        <v>9</v>
      </c>
      <c r="D2660" s="136">
        <f t="shared" si="115"/>
        <v>39</v>
      </c>
      <c r="E2660" s="136">
        <f t="shared" si="116"/>
        <v>25</v>
      </c>
      <c r="F2660" s="128" t="s">
        <v>24</v>
      </c>
      <c r="G2660" s="128" t="str">
        <f>VLOOKUP(source[[#This Row],[lending_product_transform]],[3]Mapping!$B$4:$C$37,2,0)</f>
        <v>[Cake] - Cashloan</v>
      </c>
      <c r="H2660" s="128" t="str">
        <f>VLOOKUP(source[[#This Row],[lending_product_transform]],[3]Mapping!$B$3:$D$37,3,0)</f>
        <v>cashloan</v>
      </c>
      <c r="I2660" s="135">
        <v>259650000</v>
      </c>
    </row>
    <row r="2661" spans="1:9" x14ac:dyDescent="0.2">
      <c r="A2661" s="134">
        <v>45560</v>
      </c>
      <c r="B2661" s="135">
        <f>YEAR(source[[#This Row],[report_date]])</f>
        <v>2024</v>
      </c>
      <c r="C2661" s="128">
        <f t="shared" si="117"/>
        <v>9</v>
      </c>
      <c r="D2661" s="136">
        <f t="shared" si="115"/>
        <v>39</v>
      </c>
      <c r="E2661" s="136">
        <f t="shared" si="116"/>
        <v>25</v>
      </c>
      <c r="F2661" s="128" t="s">
        <v>24</v>
      </c>
      <c r="G2661" s="128" t="str">
        <f>VLOOKUP(source[[#This Row],[lending_product_transform]],[3]Mapping!$B$4:$C$37,2,0)</f>
        <v>[Cake] - Cashloan</v>
      </c>
      <c r="H2661" s="128" t="str">
        <f>VLOOKUP(source[[#This Row],[lending_product_transform]],[3]Mapping!$B$3:$D$37,3,0)</f>
        <v>cashloan</v>
      </c>
      <c r="I2661" s="135">
        <v>0</v>
      </c>
    </row>
    <row r="2662" spans="1:9" x14ac:dyDescent="0.2">
      <c r="A2662" s="134">
        <v>45560</v>
      </c>
      <c r="B2662" s="135">
        <f>YEAR(source[[#This Row],[report_date]])</f>
        <v>2024</v>
      </c>
      <c r="C2662" s="128">
        <f t="shared" si="117"/>
        <v>9</v>
      </c>
      <c r="D2662" s="136">
        <f t="shared" si="115"/>
        <v>39</v>
      </c>
      <c r="E2662" s="136">
        <f t="shared" si="116"/>
        <v>25</v>
      </c>
      <c r="F2662" s="128" t="s">
        <v>24</v>
      </c>
      <c r="G2662" s="128" t="str">
        <f>VLOOKUP(source[[#This Row],[lending_product_transform]],[3]Mapping!$B$4:$C$37,2,0)</f>
        <v>[Cake] - Cashloan</v>
      </c>
      <c r="H2662" s="128" t="str">
        <f>VLOOKUP(source[[#This Row],[lending_product_transform]],[3]Mapping!$B$3:$D$37,3,0)</f>
        <v>cashloan</v>
      </c>
      <c r="I2662" s="135">
        <v>3089110000</v>
      </c>
    </row>
    <row r="2663" spans="1:9" x14ac:dyDescent="0.2">
      <c r="A2663" s="134">
        <v>45560</v>
      </c>
      <c r="B2663" s="135">
        <f>YEAR(source[[#This Row],[report_date]])</f>
        <v>2024</v>
      </c>
      <c r="C2663" s="128">
        <f t="shared" si="117"/>
        <v>9</v>
      </c>
      <c r="D2663" s="136">
        <f t="shared" si="115"/>
        <v>39</v>
      </c>
      <c r="E2663" s="136">
        <f t="shared" si="116"/>
        <v>25</v>
      </c>
      <c r="F2663" s="128" t="s">
        <v>24</v>
      </c>
      <c r="G2663" s="128" t="str">
        <f>VLOOKUP(source[[#This Row],[lending_product_transform]],[3]Mapping!$B$4:$C$37,2,0)</f>
        <v>[Cake] - Cashloan</v>
      </c>
      <c r="H2663" s="128" t="str">
        <f>VLOOKUP(source[[#This Row],[lending_product_transform]],[3]Mapping!$B$3:$D$37,3,0)</f>
        <v>cashloan</v>
      </c>
      <c r="I2663" s="135">
        <v>25680000</v>
      </c>
    </row>
    <row r="2664" spans="1:9" x14ac:dyDescent="0.2">
      <c r="A2664" s="134">
        <v>45560</v>
      </c>
      <c r="B2664" s="135">
        <f>YEAR(source[[#This Row],[report_date]])</f>
        <v>2024</v>
      </c>
      <c r="C2664" s="128">
        <f t="shared" si="117"/>
        <v>9</v>
      </c>
      <c r="D2664" s="136">
        <f t="shared" si="115"/>
        <v>39</v>
      </c>
      <c r="E2664" s="136">
        <f t="shared" si="116"/>
        <v>25</v>
      </c>
      <c r="F2664" s="128" t="s">
        <v>24</v>
      </c>
      <c r="G2664" s="128" t="str">
        <f>VLOOKUP(source[[#This Row],[lending_product_transform]],[3]Mapping!$B$4:$C$37,2,0)</f>
        <v>[Cake] - Cashloan</v>
      </c>
      <c r="H2664" s="128" t="str">
        <f>VLOOKUP(source[[#This Row],[lending_product_transform]],[3]Mapping!$B$3:$D$37,3,0)</f>
        <v>cashloan</v>
      </c>
      <c r="I2664" s="135">
        <v>52500000</v>
      </c>
    </row>
    <row r="2665" spans="1:9" x14ac:dyDescent="0.2">
      <c r="A2665" s="134">
        <v>45560</v>
      </c>
      <c r="B2665" s="135">
        <f>YEAR(source[[#This Row],[report_date]])</f>
        <v>2024</v>
      </c>
      <c r="C2665" s="128">
        <f t="shared" si="117"/>
        <v>9</v>
      </c>
      <c r="D2665" s="136">
        <f t="shared" si="115"/>
        <v>39</v>
      </c>
      <c r="E2665" s="136">
        <f t="shared" si="116"/>
        <v>25</v>
      </c>
      <c r="F2665" s="128" t="s">
        <v>24</v>
      </c>
      <c r="G2665" s="128" t="str">
        <f>VLOOKUP(source[[#This Row],[lending_product_transform]],[3]Mapping!$B$4:$C$37,2,0)</f>
        <v>[Cake] - Cashloan</v>
      </c>
      <c r="H2665" s="128" t="str">
        <f>VLOOKUP(source[[#This Row],[lending_product_transform]],[3]Mapping!$B$3:$D$37,3,0)</f>
        <v>cashloan</v>
      </c>
      <c r="I2665" s="135">
        <v>2907957430</v>
      </c>
    </row>
    <row r="2666" spans="1:9" x14ac:dyDescent="0.2">
      <c r="A2666" s="134">
        <v>45560</v>
      </c>
      <c r="B2666" s="135">
        <f>YEAR(source[[#This Row],[report_date]])</f>
        <v>2024</v>
      </c>
      <c r="C2666" s="128">
        <f t="shared" si="117"/>
        <v>9</v>
      </c>
      <c r="D2666" s="136">
        <f t="shared" si="115"/>
        <v>39</v>
      </c>
      <c r="E2666" s="136">
        <f t="shared" si="116"/>
        <v>25</v>
      </c>
      <c r="F2666" s="128" t="s">
        <v>24</v>
      </c>
      <c r="G2666" s="128" t="str">
        <f>VLOOKUP(source[[#This Row],[lending_product_transform]],[3]Mapping!$B$4:$C$37,2,0)</f>
        <v>[Cake] - Cashloan</v>
      </c>
      <c r="H2666" s="128" t="str">
        <f>VLOOKUP(source[[#This Row],[lending_product_transform]],[3]Mapping!$B$3:$D$37,3,0)</f>
        <v>cashloan</v>
      </c>
      <c r="I2666" s="135">
        <v>19438187510</v>
      </c>
    </row>
    <row r="2667" spans="1:9" x14ac:dyDescent="0.2">
      <c r="A2667" s="134">
        <v>45560</v>
      </c>
      <c r="B2667" s="135">
        <f>YEAR(source[[#This Row],[report_date]])</f>
        <v>2024</v>
      </c>
      <c r="C2667" s="128">
        <f t="shared" si="117"/>
        <v>9</v>
      </c>
      <c r="D2667" s="136">
        <f t="shared" si="115"/>
        <v>39</v>
      </c>
      <c r="E2667" s="136">
        <f t="shared" si="116"/>
        <v>25</v>
      </c>
      <c r="F2667" s="128" t="s">
        <v>24</v>
      </c>
      <c r="G2667" s="128" t="str">
        <f>VLOOKUP(source[[#This Row],[lending_product_transform]],[3]Mapping!$B$4:$C$37,2,0)</f>
        <v>[Cake] - Cashloan</v>
      </c>
      <c r="H2667" s="128" t="str">
        <f>VLOOKUP(source[[#This Row],[lending_product_transform]],[3]Mapping!$B$3:$D$37,3,0)</f>
        <v>cashloan</v>
      </c>
      <c r="I2667" s="135">
        <v>8534550000</v>
      </c>
    </row>
    <row r="2668" spans="1:9" x14ac:dyDescent="0.2">
      <c r="A2668" s="134">
        <v>45560</v>
      </c>
      <c r="B2668" s="135">
        <f>YEAR(source[[#This Row],[report_date]])</f>
        <v>2024</v>
      </c>
      <c r="C2668" s="128">
        <f t="shared" si="117"/>
        <v>9</v>
      </c>
      <c r="D2668" s="136">
        <f t="shared" si="115"/>
        <v>39</v>
      </c>
      <c r="E2668" s="136">
        <f t="shared" si="116"/>
        <v>25</v>
      </c>
      <c r="F2668" s="128" t="s">
        <v>24</v>
      </c>
      <c r="G2668" s="128" t="str">
        <f>VLOOKUP(source[[#This Row],[lending_product_transform]],[3]Mapping!$B$4:$C$37,2,0)</f>
        <v>[Cake] - Cashloan</v>
      </c>
      <c r="H2668" s="128" t="str">
        <f>VLOOKUP(source[[#This Row],[lending_product_transform]],[3]Mapping!$B$3:$D$37,3,0)</f>
        <v>cashloan</v>
      </c>
      <c r="I2668" s="135">
        <v>64000000</v>
      </c>
    </row>
    <row r="2669" spans="1:9" x14ac:dyDescent="0.2">
      <c r="A2669" s="134">
        <v>45560</v>
      </c>
      <c r="B2669" s="135">
        <f>YEAR(source[[#This Row],[report_date]])</f>
        <v>2024</v>
      </c>
      <c r="C2669" s="128">
        <f t="shared" si="117"/>
        <v>9</v>
      </c>
      <c r="D2669" s="136">
        <f t="shared" si="115"/>
        <v>39</v>
      </c>
      <c r="E2669" s="136">
        <f t="shared" si="116"/>
        <v>25</v>
      </c>
      <c r="F2669" s="128" t="s">
        <v>24</v>
      </c>
      <c r="G2669" s="128" t="str">
        <f>VLOOKUP(source[[#This Row],[lending_product_transform]],[3]Mapping!$B$4:$C$37,2,0)</f>
        <v>[Cake] - Cashloan</v>
      </c>
      <c r="H2669" s="128" t="str">
        <f>VLOOKUP(source[[#This Row],[lending_product_transform]],[3]Mapping!$B$3:$D$37,3,0)</f>
        <v>cashloan</v>
      </c>
      <c r="I2669" s="135">
        <v>4149000000</v>
      </c>
    </row>
    <row r="2670" spans="1:9" x14ac:dyDescent="0.2">
      <c r="A2670" s="134">
        <v>45560</v>
      </c>
      <c r="B2670" s="135">
        <f>YEAR(source[[#This Row],[report_date]])</f>
        <v>2024</v>
      </c>
      <c r="C2670" s="128">
        <f t="shared" si="117"/>
        <v>9</v>
      </c>
      <c r="D2670" s="136">
        <f t="shared" si="115"/>
        <v>39</v>
      </c>
      <c r="E2670" s="136">
        <f t="shared" si="116"/>
        <v>25</v>
      </c>
      <c r="F2670" s="128" t="s">
        <v>24</v>
      </c>
      <c r="G2670" s="128" t="str">
        <f>VLOOKUP(source[[#This Row],[lending_product_transform]],[3]Mapping!$B$4:$C$37,2,0)</f>
        <v>[Cake] - Cashloan</v>
      </c>
      <c r="H2670" s="128" t="str">
        <f>VLOOKUP(source[[#This Row],[lending_product_transform]],[3]Mapping!$B$3:$D$37,3,0)</f>
        <v>cashloan</v>
      </c>
      <c r="I2670" s="135">
        <v>169643926</v>
      </c>
    </row>
    <row r="2671" spans="1:9" x14ac:dyDescent="0.2">
      <c r="A2671" s="134">
        <v>45560</v>
      </c>
      <c r="B2671" s="135">
        <f>YEAR(source[[#This Row],[report_date]])</f>
        <v>2024</v>
      </c>
      <c r="C2671" s="128">
        <f t="shared" si="117"/>
        <v>9</v>
      </c>
      <c r="D2671" s="136">
        <f t="shared" si="115"/>
        <v>39</v>
      </c>
      <c r="E2671" s="136">
        <f t="shared" si="116"/>
        <v>25</v>
      </c>
      <c r="F2671" s="128" t="s">
        <v>24</v>
      </c>
      <c r="G2671" s="128" t="str">
        <f>VLOOKUP(source[[#This Row],[lending_product_transform]],[3]Mapping!$B$4:$C$37,2,0)</f>
        <v>[Cake] - Cashloan</v>
      </c>
      <c r="H2671" s="128" t="str">
        <f>VLOOKUP(source[[#This Row],[lending_product_transform]],[3]Mapping!$B$3:$D$37,3,0)</f>
        <v>cashloan</v>
      </c>
      <c r="I2671" s="135">
        <v>145890000</v>
      </c>
    </row>
    <row r="2672" spans="1:9" x14ac:dyDescent="0.2">
      <c r="A2672" s="134">
        <v>45560</v>
      </c>
      <c r="B2672" s="135">
        <f>YEAR(source[[#This Row],[report_date]])</f>
        <v>2024</v>
      </c>
      <c r="C2672" s="128">
        <f t="shared" si="117"/>
        <v>9</v>
      </c>
      <c r="D2672" s="136">
        <f t="shared" si="115"/>
        <v>39</v>
      </c>
      <c r="E2672" s="136">
        <f t="shared" si="116"/>
        <v>25</v>
      </c>
      <c r="F2672" s="128" t="s">
        <v>24</v>
      </c>
      <c r="G2672" s="128" t="str">
        <f>VLOOKUP(source[[#This Row],[lending_product_transform]],[3]Mapping!$B$4:$C$37,2,0)</f>
        <v>[Cake] - Cashloan</v>
      </c>
      <c r="H2672" s="128" t="str">
        <f>VLOOKUP(source[[#This Row],[lending_product_transform]],[3]Mapping!$B$3:$D$37,3,0)</f>
        <v>cashloan</v>
      </c>
      <c r="I2672" s="135">
        <v>40206154</v>
      </c>
    </row>
    <row r="2673" spans="1:9" x14ac:dyDescent="0.2">
      <c r="A2673" s="134">
        <v>45561</v>
      </c>
      <c r="B2673" s="135">
        <f>YEAR(source[[#This Row],[report_date]])</f>
        <v>2024</v>
      </c>
      <c r="C2673" s="128">
        <f t="shared" si="117"/>
        <v>9</v>
      </c>
      <c r="D2673" s="136">
        <f t="shared" si="115"/>
        <v>39</v>
      </c>
      <c r="E2673" s="136">
        <f t="shared" si="116"/>
        <v>26</v>
      </c>
      <c r="F2673" s="128" t="s">
        <v>24</v>
      </c>
      <c r="G2673" s="128" t="str">
        <f>VLOOKUP(source[[#This Row],[lending_product_transform]],[3]Mapping!$B$4:$C$37,2,0)</f>
        <v>[Cake] - Cashloan</v>
      </c>
      <c r="H2673" s="128" t="str">
        <f>VLOOKUP(source[[#This Row],[lending_product_transform]],[3]Mapping!$B$3:$D$37,3,0)</f>
        <v>cashloan</v>
      </c>
      <c r="I2673" s="135">
        <v>192571944</v>
      </c>
    </row>
    <row r="2674" spans="1:9" x14ac:dyDescent="0.2">
      <c r="A2674" s="134">
        <v>45561</v>
      </c>
      <c r="B2674" s="135">
        <f>YEAR(source[[#This Row],[report_date]])</f>
        <v>2024</v>
      </c>
      <c r="C2674" s="128">
        <f t="shared" si="117"/>
        <v>9</v>
      </c>
      <c r="D2674" s="136">
        <f t="shared" si="115"/>
        <v>39</v>
      </c>
      <c r="E2674" s="136">
        <f t="shared" si="116"/>
        <v>26</v>
      </c>
      <c r="F2674" s="128" t="s">
        <v>24</v>
      </c>
      <c r="G2674" s="128" t="str">
        <f>VLOOKUP(source[[#This Row],[lending_product_transform]],[3]Mapping!$B$4:$C$37,2,0)</f>
        <v>[Cake] - Cashloan</v>
      </c>
      <c r="H2674" s="128" t="str">
        <f>VLOOKUP(source[[#This Row],[lending_product_transform]],[3]Mapping!$B$3:$D$37,3,0)</f>
        <v>cashloan</v>
      </c>
      <c r="I2674" s="135">
        <v>32165487</v>
      </c>
    </row>
    <row r="2675" spans="1:9" x14ac:dyDescent="0.2">
      <c r="A2675" s="134">
        <v>45561</v>
      </c>
      <c r="B2675" s="135">
        <f>YEAR(source[[#This Row],[report_date]])</f>
        <v>2024</v>
      </c>
      <c r="C2675" s="128">
        <f t="shared" si="117"/>
        <v>9</v>
      </c>
      <c r="D2675" s="136">
        <f t="shared" si="115"/>
        <v>39</v>
      </c>
      <c r="E2675" s="136">
        <f t="shared" si="116"/>
        <v>26</v>
      </c>
      <c r="F2675" s="128" t="s">
        <v>24</v>
      </c>
      <c r="G2675" s="128" t="str">
        <f>VLOOKUP(source[[#This Row],[lending_product_transform]],[3]Mapping!$B$4:$C$37,2,0)</f>
        <v>[Cake] - Cashloan</v>
      </c>
      <c r="H2675" s="128" t="str">
        <f>VLOOKUP(source[[#This Row],[lending_product_transform]],[3]Mapping!$B$3:$D$37,3,0)</f>
        <v>cashloan</v>
      </c>
      <c r="I2675" s="135">
        <v>56660000</v>
      </c>
    </row>
    <row r="2676" spans="1:9" x14ac:dyDescent="0.2">
      <c r="A2676" s="134">
        <v>45561</v>
      </c>
      <c r="B2676" s="135">
        <f>YEAR(source[[#This Row],[report_date]])</f>
        <v>2024</v>
      </c>
      <c r="C2676" s="128">
        <f t="shared" si="117"/>
        <v>9</v>
      </c>
      <c r="D2676" s="136">
        <f t="shared" si="115"/>
        <v>39</v>
      </c>
      <c r="E2676" s="136">
        <f t="shared" si="116"/>
        <v>26</v>
      </c>
      <c r="F2676" s="128" t="s">
        <v>24</v>
      </c>
      <c r="G2676" s="128" t="str">
        <f>VLOOKUP(source[[#This Row],[lending_product_transform]],[3]Mapping!$B$4:$C$37,2,0)</f>
        <v>[Cake] - Cashloan</v>
      </c>
      <c r="H2676" s="128" t="str">
        <f>VLOOKUP(source[[#This Row],[lending_product_transform]],[3]Mapping!$B$3:$D$37,3,0)</f>
        <v>cashloan</v>
      </c>
      <c r="I2676" s="135">
        <v>7839290000</v>
      </c>
    </row>
    <row r="2677" spans="1:9" x14ac:dyDescent="0.2">
      <c r="A2677" s="134">
        <v>45561</v>
      </c>
      <c r="B2677" s="135">
        <f>YEAR(source[[#This Row],[report_date]])</f>
        <v>2024</v>
      </c>
      <c r="C2677" s="128">
        <f t="shared" si="117"/>
        <v>9</v>
      </c>
      <c r="D2677" s="136">
        <f t="shared" si="115"/>
        <v>39</v>
      </c>
      <c r="E2677" s="136">
        <f t="shared" si="116"/>
        <v>26</v>
      </c>
      <c r="F2677" s="128" t="s">
        <v>24</v>
      </c>
      <c r="G2677" s="128" t="str">
        <f>VLOOKUP(source[[#This Row],[lending_product_transform]],[3]Mapping!$B$4:$C$37,2,0)</f>
        <v>[Cake] - Cashloan</v>
      </c>
      <c r="H2677" s="128" t="str">
        <f>VLOOKUP(source[[#This Row],[lending_product_transform]],[3]Mapping!$B$3:$D$37,3,0)</f>
        <v>cashloan</v>
      </c>
      <c r="I2677" s="135">
        <v>3941500000</v>
      </c>
    </row>
    <row r="2678" spans="1:9" x14ac:dyDescent="0.2">
      <c r="A2678" s="134">
        <v>45561</v>
      </c>
      <c r="B2678" s="135">
        <f>YEAR(source[[#This Row],[report_date]])</f>
        <v>2024</v>
      </c>
      <c r="C2678" s="128">
        <f t="shared" si="117"/>
        <v>9</v>
      </c>
      <c r="D2678" s="136">
        <f t="shared" si="115"/>
        <v>39</v>
      </c>
      <c r="E2678" s="136">
        <f t="shared" si="116"/>
        <v>26</v>
      </c>
      <c r="F2678" s="128" t="s">
        <v>24</v>
      </c>
      <c r="G2678" s="128" t="str">
        <f>VLOOKUP(source[[#This Row],[lending_product_transform]],[3]Mapping!$B$4:$C$37,2,0)</f>
        <v>[Cake] - Cashloan</v>
      </c>
      <c r="H2678" s="128" t="str">
        <f>VLOOKUP(source[[#This Row],[lending_product_transform]],[3]Mapping!$B$3:$D$37,3,0)</f>
        <v>cashloan</v>
      </c>
      <c r="I2678" s="135">
        <v>3879240000</v>
      </c>
    </row>
    <row r="2679" spans="1:9" x14ac:dyDescent="0.2">
      <c r="A2679" s="134">
        <v>45561</v>
      </c>
      <c r="B2679" s="135">
        <f>YEAR(source[[#This Row],[report_date]])</f>
        <v>2024</v>
      </c>
      <c r="C2679" s="128">
        <f t="shared" si="117"/>
        <v>9</v>
      </c>
      <c r="D2679" s="136">
        <f t="shared" si="115"/>
        <v>39</v>
      </c>
      <c r="E2679" s="136">
        <f t="shared" si="116"/>
        <v>26</v>
      </c>
      <c r="F2679" s="128" t="s">
        <v>24</v>
      </c>
      <c r="G2679" s="128" t="str">
        <f>VLOOKUP(source[[#This Row],[lending_product_transform]],[3]Mapping!$B$4:$C$37,2,0)</f>
        <v>[Cake] - Cashloan</v>
      </c>
      <c r="H2679" s="128" t="str">
        <f>VLOOKUP(source[[#This Row],[lending_product_transform]],[3]Mapping!$B$3:$D$37,3,0)</f>
        <v>cashloan</v>
      </c>
      <c r="I2679" s="135">
        <v>62000000</v>
      </c>
    </row>
    <row r="2680" spans="1:9" x14ac:dyDescent="0.2">
      <c r="A2680" s="134">
        <v>45561</v>
      </c>
      <c r="B2680" s="135">
        <f>YEAR(source[[#This Row],[report_date]])</f>
        <v>2024</v>
      </c>
      <c r="C2680" s="128">
        <f t="shared" si="117"/>
        <v>9</v>
      </c>
      <c r="D2680" s="136">
        <f t="shared" si="115"/>
        <v>39</v>
      </c>
      <c r="E2680" s="136">
        <f t="shared" si="116"/>
        <v>26</v>
      </c>
      <c r="F2680" s="128" t="s">
        <v>24</v>
      </c>
      <c r="G2680" s="128" t="str">
        <f>VLOOKUP(source[[#This Row],[lending_product_transform]],[3]Mapping!$B$4:$C$37,2,0)</f>
        <v>[Cake] - Cashloan</v>
      </c>
      <c r="H2680" s="128" t="str">
        <f>VLOOKUP(source[[#This Row],[lending_product_transform]],[3]Mapping!$B$3:$D$37,3,0)</f>
        <v>cashloan</v>
      </c>
      <c r="I2680" s="135">
        <v>52000000</v>
      </c>
    </row>
    <row r="2681" spans="1:9" x14ac:dyDescent="0.2">
      <c r="A2681" s="134">
        <v>45561</v>
      </c>
      <c r="B2681" s="135">
        <f>YEAR(source[[#This Row],[report_date]])</f>
        <v>2024</v>
      </c>
      <c r="C2681" s="128">
        <f t="shared" si="117"/>
        <v>9</v>
      </c>
      <c r="D2681" s="136">
        <f t="shared" si="115"/>
        <v>39</v>
      </c>
      <c r="E2681" s="136">
        <f t="shared" si="116"/>
        <v>26</v>
      </c>
      <c r="F2681" s="128" t="s">
        <v>24</v>
      </c>
      <c r="G2681" s="128" t="str">
        <f>VLOOKUP(source[[#This Row],[lending_product_transform]],[3]Mapping!$B$4:$C$37,2,0)</f>
        <v>[Cake] - Cashloan</v>
      </c>
      <c r="H2681" s="128" t="str">
        <f>VLOOKUP(source[[#This Row],[lending_product_transform]],[3]Mapping!$B$3:$D$37,3,0)</f>
        <v>cashloan</v>
      </c>
      <c r="I2681" s="135">
        <v>0</v>
      </c>
    </row>
    <row r="2682" spans="1:9" x14ac:dyDescent="0.2">
      <c r="A2682" s="134">
        <v>45561</v>
      </c>
      <c r="B2682" s="135">
        <f>YEAR(source[[#This Row],[report_date]])</f>
        <v>2024</v>
      </c>
      <c r="C2682" s="128">
        <f t="shared" si="117"/>
        <v>9</v>
      </c>
      <c r="D2682" s="136">
        <f t="shared" si="115"/>
        <v>39</v>
      </c>
      <c r="E2682" s="136">
        <f t="shared" si="116"/>
        <v>26</v>
      </c>
      <c r="F2682" s="128" t="s">
        <v>24</v>
      </c>
      <c r="G2682" s="128" t="str">
        <f>VLOOKUP(source[[#This Row],[lending_product_transform]],[3]Mapping!$B$4:$C$37,2,0)</f>
        <v>[Cake] - Cashloan</v>
      </c>
      <c r="H2682" s="128" t="str">
        <f>VLOOKUP(source[[#This Row],[lending_product_transform]],[3]Mapping!$B$3:$D$37,3,0)</f>
        <v>cashloan</v>
      </c>
      <c r="I2682" s="135">
        <v>111750000</v>
      </c>
    </row>
    <row r="2683" spans="1:9" x14ac:dyDescent="0.2">
      <c r="A2683" s="134">
        <v>45561</v>
      </c>
      <c r="B2683" s="135">
        <f>YEAR(source[[#This Row],[report_date]])</f>
        <v>2024</v>
      </c>
      <c r="C2683" s="128">
        <f t="shared" si="117"/>
        <v>9</v>
      </c>
      <c r="D2683" s="136">
        <f t="shared" si="115"/>
        <v>39</v>
      </c>
      <c r="E2683" s="136">
        <f t="shared" si="116"/>
        <v>26</v>
      </c>
      <c r="F2683" s="128" t="s">
        <v>24</v>
      </c>
      <c r="G2683" s="128" t="str">
        <f>VLOOKUP(source[[#This Row],[lending_product_transform]],[3]Mapping!$B$4:$C$37,2,0)</f>
        <v>[Cake] - Cashloan</v>
      </c>
      <c r="H2683" s="128" t="str">
        <f>VLOOKUP(source[[#This Row],[lending_product_transform]],[3]Mapping!$B$3:$D$37,3,0)</f>
        <v>cashloan</v>
      </c>
      <c r="I2683" s="135">
        <v>19150642375</v>
      </c>
    </row>
    <row r="2684" spans="1:9" x14ac:dyDescent="0.2">
      <c r="A2684" s="134">
        <v>45561</v>
      </c>
      <c r="B2684" s="135">
        <f>YEAR(source[[#This Row],[report_date]])</f>
        <v>2024</v>
      </c>
      <c r="C2684" s="128">
        <f t="shared" si="117"/>
        <v>9</v>
      </c>
      <c r="D2684" s="136">
        <f t="shared" si="115"/>
        <v>39</v>
      </c>
      <c r="E2684" s="136">
        <f t="shared" si="116"/>
        <v>26</v>
      </c>
      <c r="F2684" s="128" t="s">
        <v>24</v>
      </c>
      <c r="G2684" s="128" t="str">
        <f>VLOOKUP(source[[#This Row],[lending_product_transform]],[3]Mapping!$B$4:$C$37,2,0)</f>
        <v>[Cake] - Cashloan</v>
      </c>
      <c r="H2684" s="128" t="str">
        <f>VLOOKUP(source[[#This Row],[lending_product_transform]],[3]Mapping!$B$3:$D$37,3,0)</f>
        <v>cashloan</v>
      </c>
      <c r="I2684" s="135">
        <v>2983464944</v>
      </c>
    </row>
    <row r="2685" spans="1:9" x14ac:dyDescent="0.2">
      <c r="A2685" s="134">
        <v>45561</v>
      </c>
      <c r="B2685" s="135">
        <f>YEAR(source[[#This Row],[report_date]])</f>
        <v>2024</v>
      </c>
      <c r="C2685" s="128">
        <f t="shared" si="117"/>
        <v>9</v>
      </c>
      <c r="D2685" s="136">
        <f t="shared" si="115"/>
        <v>39</v>
      </c>
      <c r="E2685" s="136">
        <f t="shared" si="116"/>
        <v>26</v>
      </c>
      <c r="F2685" s="128" t="s">
        <v>24</v>
      </c>
      <c r="G2685" s="128" t="str">
        <f>VLOOKUP(source[[#This Row],[lending_product_transform]],[3]Mapping!$B$4:$C$37,2,0)</f>
        <v>[Cake] - Cashloan</v>
      </c>
      <c r="H2685" s="128" t="str">
        <f>VLOOKUP(source[[#This Row],[lending_product_transform]],[3]Mapping!$B$3:$D$37,3,0)</f>
        <v>cashloan</v>
      </c>
      <c r="I2685" s="135">
        <v>0</v>
      </c>
    </row>
    <row r="2686" spans="1:9" x14ac:dyDescent="0.2">
      <c r="A2686" s="134">
        <v>45562</v>
      </c>
      <c r="B2686" s="135">
        <f>YEAR(source[[#This Row],[report_date]])</f>
        <v>2024</v>
      </c>
      <c r="C2686" s="128">
        <f t="shared" si="117"/>
        <v>9</v>
      </c>
      <c r="D2686" s="136">
        <f t="shared" si="115"/>
        <v>39</v>
      </c>
      <c r="E2686" s="136">
        <f t="shared" si="116"/>
        <v>27</v>
      </c>
      <c r="F2686" s="128" t="s">
        <v>24</v>
      </c>
      <c r="G2686" s="128" t="str">
        <f>VLOOKUP(source[[#This Row],[lending_product_transform]],[3]Mapping!$B$4:$C$37,2,0)</f>
        <v>[Cake] - Cashloan</v>
      </c>
      <c r="H2686" s="128" t="str">
        <f>VLOOKUP(source[[#This Row],[lending_product_transform]],[3]Mapping!$B$3:$D$37,3,0)</f>
        <v>cashloan</v>
      </c>
      <c r="I2686" s="135">
        <v>3917500000</v>
      </c>
    </row>
    <row r="2687" spans="1:9" x14ac:dyDescent="0.2">
      <c r="A2687" s="134">
        <v>45562</v>
      </c>
      <c r="B2687" s="135">
        <f>YEAR(source[[#This Row],[report_date]])</f>
        <v>2024</v>
      </c>
      <c r="C2687" s="128">
        <f t="shared" si="117"/>
        <v>9</v>
      </c>
      <c r="D2687" s="136">
        <f t="shared" si="115"/>
        <v>39</v>
      </c>
      <c r="E2687" s="136">
        <f t="shared" si="116"/>
        <v>27</v>
      </c>
      <c r="F2687" s="128" t="s">
        <v>24</v>
      </c>
      <c r="G2687" s="128" t="str">
        <f>VLOOKUP(source[[#This Row],[lending_product_transform]],[3]Mapping!$B$4:$C$37,2,0)</f>
        <v>[Cake] - Cashloan</v>
      </c>
      <c r="H2687" s="128" t="str">
        <f>VLOOKUP(source[[#This Row],[lending_product_transform]],[3]Mapping!$B$3:$D$37,3,0)</f>
        <v>cashloan</v>
      </c>
      <c r="I2687" s="135">
        <v>90000000</v>
      </c>
    </row>
    <row r="2688" spans="1:9" x14ac:dyDescent="0.2">
      <c r="A2688" s="134">
        <v>45562</v>
      </c>
      <c r="B2688" s="135">
        <f>YEAR(source[[#This Row],[report_date]])</f>
        <v>2024</v>
      </c>
      <c r="C2688" s="128">
        <f t="shared" si="117"/>
        <v>9</v>
      </c>
      <c r="D2688" s="136">
        <f t="shared" si="115"/>
        <v>39</v>
      </c>
      <c r="E2688" s="136">
        <f t="shared" si="116"/>
        <v>27</v>
      </c>
      <c r="F2688" s="128" t="s">
        <v>24</v>
      </c>
      <c r="G2688" s="128" t="str">
        <f>VLOOKUP(source[[#This Row],[lending_product_transform]],[3]Mapping!$B$4:$C$37,2,0)</f>
        <v>[Cake] - Cashloan</v>
      </c>
      <c r="H2688" s="128" t="str">
        <f>VLOOKUP(source[[#This Row],[lending_product_transform]],[3]Mapping!$B$3:$D$37,3,0)</f>
        <v>cashloan</v>
      </c>
      <c r="I2688" s="135">
        <v>0</v>
      </c>
    </row>
    <row r="2689" spans="1:9" x14ac:dyDescent="0.2">
      <c r="A2689" s="134">
        <v>45562</v>
      </c>
      <c r="B2689" s="135">
        <f>YEAR(source[[#This Row],[report_date]])</f>
        <v>2024</v>
      </c>
      <c r="C2689" s="128">
        <f t="shared" si="117"/>
        <v>9</v>
      </c>
      <c r="D2689" s="136">
        <f t="shared" si="115"/>
        <v>39</v>
      </c>
      <c r="E2689" s="136">
        <f t="shared" si="116"/>
        <v>27</v>
      </c>
      <c r="F2689" s="128" t="s">
        <v>24</v>
      </c>
      <c r="G2689" s="128" t="str">
        <f>VLOOKUP(source[[#This Row],[lending_product_transform]],[3]Mapping!$B$4:$C$37,2,0)</f>
        <v>[Cake] - Cashloan</v>
      </c>
      <c r="H2689" s="128" t="str">
        <f>VLOOKUP(source[[#This Row],[lending_product_transform]],[3]Mapping!$B$3:$D$37,3,0)</f>
        <v>cashloan</v>
      </c>
      <c r="I2689" s="135">
        <v>34240000</v>
      </c>
    </row>
    <row r="2690" spans="1:9" x14ac:dyDescent="0.2">
      <c r="A2690" s="134">
        <v>45562</v>
      </c>
      <c r="B2690" s="135">
        <f>YEAR(source[[#This Row],[report_date]])</f>
        <v>2024</v>
      </c>
      <c r="C2690" s="128">
        <f t="shared" si="117"/>
        <v>9</v>
      </c>
      <c r="D2690" s="136">
        <f t="shared" si="115"/>
        <v>39</v>
      </c>
      <c r="E2690" s="136">
        <f t="shared" si="116"/>
        <v>27</v>
      </c>
      <c r="F2690" s="128" t="s">
        <v>24</v>
      </c>
      <c r="G2690" s="128" t="str">
        <f>VLOOKUP(source[[#This Row],[lending_product_transform]],[3]Mapping!$B$4:$C$37,2,0)</f>
        <v>[Cake] - Cashloan</v>
      </c>
      <c r="H2690" s="128" t="str">
        <f>VLOOKUP(source[[#This Row],[lending_product_transform]],[3]Mapping!$B$3:$D$37,3,0)</f>
        <v>cashloan</v>
      </c>
      <c r="I2690" s="135">
        <v>171218451</v>
      </c>
    </row>
    <row r="2691" spans="1:9" x14ac:dyDescent="0.2">
      <c r="A2691" s="134">
        <v>45562</v>
      </c>
      <c r="B2691" s="135">
        <f>YEAR(source[[#This Row],[report_date]])</f>
        <v>2024</v>
      </c>
      <c r="C2691" s="128">
        <f t="shared" si="117"/>
        <v>9</v>
      </c>
      <c r="D2691" s="136">
        <f t="shared" ref="D2691:D2754" si="118">WEEKNUM(A2691,2)</f>
        <v>39</v>
      </c>
      <c r="E2691" s="136">
        <f t="shared" ref="E2691:E2754" si="119">DAY(A2691)</f>
        <v>27</v>
      </c>
      <c r="F2691" s="128" t="s">
        <v>24</v>
      </c>
      <c r="G2691" s="128" t="str">
        <f>VLOOKUP(source[[#This Row],[lending_product_transform]],[3]Mapping!$B$4:$C$37,2,0)</f>
        <v>[Cake] - Cashloan</v>
      </c>
      <c r="H2691" s="128" t="str">
        <f>VLOOKUP(source[[#This Row],[lending_product_transform]],[3]Mapping!$B$3:$D$37,3,0)</f>
        <v>cashloan</v>
      </c>
      <c r="I2691" s="135">
        <v>3228626280</v>
      </c>
    </row>
    <row r="2692" spans="1:9" x14ac:dyDescent="0.2">
      <c r="A2692" s="134">
        <v>45562</v>
      </c>
      <c r="B2692" s="135">
        <f>YEAR(source[[#This Row],[report_date]])</f>
        <v>2024</v>
      </c>
      <c r="C2692" s="128">
        <f t="shared" si="117"/>
        <v>9</v>
      </c>
      <c r="D2692" s="136">
        <f t="shared" si="118"/>
        <v>39</v>
      </c>
      <c r="E2692" s="136">
        <f t="shared" si="119"/>
        <v>27</v>
      </c>
      <c r="F2692" s="128" t="s">
        <v>24</v>
      </c>
      <c r="G2692" s="128" t="str">
        <f>VLOOKUP(source[[#This Row],[lending_product_transform]],[3]Mapping!$B$4:$C$37,2,0)</f>
        <v>[Cake] - Cashloan</v>
      </c>
      <c r="H2692" s="128" t="str">
        <f>VLOOKUP(source[[#This Row],[lending_product_transform]],[3]Mapping!$B$3:$D$37,3,0)</f>
        <v>cashloan</v>
      </c>
      <c r="I2692" s="135">
        <v>7096030000</v>
      </c>
    </row>
    <row r="2693" spans="1:9" x14ac:dyDescent="0.2">
      <c r="A2693" s="134">
        <v>45562</v>
      </c>
      <c r="B2693" s="135">
        <f>YEAR(source[[#This Row],[report_date]])</f>
        <v>2024</v>
      </c>
      <c r="C2693" s="128">
        <f t="shared" si="117"/>
        <v>9</v>
      </c>
      <c r="D2693" s="136">
        <f t="shared" si="118"/>
        <v>39</v>
      </c>
      <c r="E2693" s="136">
        <f t="shared" si="119"/>
        <v>27</v>
      </c>
      <c r="F2693" s="128" t="s">
        <v>24</v>
      </c>
      <c r="G2693" s="128" t="str">
        <f>VLOOKUP(source[[#This Row],[lending_product_transform]],[3]Mapping!$B$4:$C$37,2,0)</f>
        <v>[Cake] - Cashloan</v>
      </c>
      <c r="H2693" s="128" t="str">
        <f>VLOOKUP(source[[#This Row],[lending_product_transform]],[3]Mapping!$B$3:$D$37,3,0)</f>
        <v>cashloan</v>
      </c>
      <c r="I2693" s="135">
        <v>3628920000</v>
      </c>
    </row>
    <row r="2694" spans="1:9" x14ac:dyDescent="0.2">
      <c r="A2694" s="134">
        <v>45562</v>
      </c>
      <c r="B2694" s="135">
        <f>YEAR(source[[#This Row],[report_date]])</f>
        <v>2024</v>
      </c>
      <c r="C2694" s="128">
        <f t="shared" si="117"/>
        <v>9</v>
      </c>
      <c r="D2694" s="136">
        <f t="shared" si="118"/>
        <v>39</v>
      </c>
      <c r="E2694" s="136">
        <f t="shared" si="119"/>
        <v>27</v>
      </c>
      <c r="F2694" s="128" t="s">
        <v>24</v>
      </c>
      <c r="G2694" s="128" t="str">
        <f>VLOOKUP(source[[#This Row],[lending_product_transform]],[3]Mapping!$B$4:$C$37,2,0)</f>
        <v>[Cake] - Cashloan</v>
      </c>
      <c r="H2694" s="128" t="str">
        <f>VLOOKUP(source[[#This Row],[lending_product_transform]],[3]Mapping!$B$3:$D$37,3,0)</f>
        <v>cashloan</v>
      </c>
      <c r="I2694" s="135">
        <v>37206742</v>
      </c>
    </row>
    <row r="2695" spans="1:9" x14ac:dyDescent="0.2">
      <c r="A2695" s="134">
        <v>45562</v>
      </c>
      <c r="B2695" s="135">
        <f>YEAR(source[[#This Row],[report_date]])</f>
        <v>2024</v>
      </c>
      <c r="C2695" s="128">
        <f t="shared" si="117"/>
        <v>9</v>
      </c>
      <c r="D2695" s="136">
        <f t="shared" si="118"/>
        <v>39</v>
      </c>
      <c r="E2695" s="136">
        <f t="shared" si="119"/>
        <v>27</v>
      </c>
      <c r="F2695" s="128" t="s">
        <v>24</v>
      </c>
      <c r="G2695" s="128" t="str">
        <f>VLOOKUP(source[[#This Row],[lending_product_transform]],[3]Mapping!$B$4:$C$37,2,0)</f>
        <v>[Cake] - Cashloan</v>
      </c>
      <c r="H2695" s="128" t="str">
        <f>VLOOKUP(source[[#This Row],[lending_product_transform]],[3]Mapping!$B$3:$D$37,3,0)</f>
        <v>cashloan</v>
      </c>
      <c r="I2695" s="135">
        <v>31500000</v>
      </c>
    </row>
    <row r="2696" spans="1:9" x14ac:dyDescent="0.2">
      <c r="A2696" s="134">
        <v>45562</v>
      </c>
      <c r="B2696" s="135">
        <f>YEAR(source[[#This Row],[report_date]])</f>
        <v>2024</v>
      </c>
      <c r="C2696" s="128">
        <f t="shared" si="117"/>
        <v>9</v>
      </c>
      <c r="D2696" s="136">
        <f t="shared" si="118"/>
        <v>39</v>
      </c>
      <c r="E2696" s="136">
        <f t="shared" si="119"/>
        <v>27</v>
      </c>
      <c r="F2696" s="128" t="s">
        <v>24</v>
      </c>
      <c r="G2696" s="128" t="str">
        <f>VLOOKUP(source[[#This Row],[lending_product_transform]],[3]Mapping!$B$4:$C$37,2,0)</f>
        <v>[Cake] - Cashloan</v>
      </c>
      <c r="H2696" s="128" t="str">
        <f>VLOOKUP(source[[#This Row],[lending_product_transform]],[3]Mapping!$B$3:$D$37,3,0)</f>
        <v>cashloan</v>
      </c>
      <c r="I2696" s="135">
        <v>0</v>
      </c>
    </row>
    <row r="2697" spans="1:9" x14ac:dyDescent="0.2">
      <c r="A2697" s="134">
        <v>45562</v>
      </c>
      <c r="B2697" s="135">
        <f>YEAR(source[[#This Row],[report_date]])</f>
        <v>2024</v>
      </c>
      <c r="C2697" s="128">
        <f t="shared" si="117"/>
        <v>9</v>
      </c>
      <c r="D2697" s="136">
        <f t="shared" si="118"/>
        <v>39</v>
      </c>
      <c r="E2697" s="136">
        <f t="shared" si="119"/>
        <v>27</v>
      </c>
      <c r="F2697" s="128" t="s">
        <v>24</v>
      </c>
      <c r="G2697" s="128" t="str">
        <f>VLOOKUP(source[[#This Row],[lending_product_transform]],[3]Mapping!$B$4:$C$37,2,0)</f>
        <v>[Cake] - Cashloan</v>
      </c>
      <c r="H2697" s="128" t="str">
        <f>VLOOKUP(source[[#This Row],[lending_product_transform]],[3]Mapping!$B$3:$D$37,3,0)</f>
        <v>cashloan</v>
      </c>
      <c r="I2697" s="135">
        <v>18256641473</v>
      </c>
    </row>
    <row r="2698" spans="1:9" x14ac:dyDescent="0.2">
      <c r="A2698" s="134">
        <v>45562</v>
      </c>
      <c r="B2698" s="135">
        <f>YEAR(source[[#This Row],[report_date]])</f>
        <v>2024</v>
      </c>
      <c r="C2698" s="128">
        <f t="shared" si="117"/>
        <v>9</v>
      </c>
      <c r="D2698" s="136">
        <f t="shared" si="118"/>
        <v>39</v>
      </c>
      <c r="E2698" s="136">
        <f t="shared" si="119"/>
        <v>27</v>
      </c>
      <c r="F2698" s="128" t="s">
        <v>24</v>
      </c>
      <c r="G2698" s="128" t="str">
        <f>VLOOKUP(source[[#This Row],[lending_product_transform]],[3]Mapping!$B$4:$C$37,2,0)</f>
        <v>[Cake] - Cashloan</v>
      </c>
      <c r="H2698" s="128" t="str">
        <f>VLOOKUP(source[[#This Row],[lending_product_transform]],[3]Mapping!$B$3:$D$37,3,0)</f>
        <v>cashloan</v>
      </c>
      <c r="I2698" s="135">
        <v>21400000</v>
      </c>
    </row>
    <row r="2699" spans="1:9" x14ac:dyDescent="0.2">
      <c r="A2699" s="134">
        <v>45563</v>
      </c>
      <c r="B2699" s="135">
        <f>YEAR(source[[#This Row],[report_date]])</f>
        <v>2024</v>
      </c>
      <c r="C2699" s="128">
        <f t="shared" si="117"/>
        <v>9</v>
      </c>
      <c r="D2699" s="136">
        <f t="shared" si="118"/>
        <v>39</v>
      </c>
      <c r="E2699" s="136">
        <f t="shared" si="119"/>
        <v>28</v>
      </c>
      <c r="F2699" s="128" t="s">
        <v>24</v>
      </c>
      <c r="G2699" s="128" t="str">
        <f>VLOOKUP(source[[#This Row],[lending_product_transform]],[3]Mapping!$B$4:$C$37,2,0)</f>
        <v>[Cake] - Cashloan</v>
      </c>
      <c r="H2699" s="128" t="str">
        <f>VLOOKUP(source[[#This Row],[lending_product_transform]],[3]Mapping!$B$3:$D$37,3,0)</f>
        <v>cashloan</v>
      </c>
      <c r="I2699" s="135">
        <v>21400000</v>
      </c>
    </row>
    <row r="2700" spans="1:9" x14ac:dyDescent="0.2">
      <c r="A2700" s="134">
        <v>45563</v>
      </c>
      <c r="B2700" s="135">
        <f>YEAR(source[[#This Row],[report_date]])</f>
        <v>2024</v>
      </c>
      <c r="C2700" s="128">
        <f t="shared" si="117"/>
        <v>9</v>
      </c>
      <c r="D2700" s="136">
        <f t="shared" si="118"/>
        <v>39</v>
      </c>
      <c r="E2700" s="136">
        <f t="shared" si="119"/>
        <v>28</v>
      </c>
      <c r="F2700" s="128" t="s">
        <v>24</v>
      </c>
      <c r="G2700" s="128" t="str">
        <f>VLOOKUP(source[[#This Row],[lending_product_transform]],[3]Mapping!$B$4:$C$37,2,0)</f>
        <v>[Cake] - Cashloan</v>
      </c>
      <c r="H2700" s="128" t="str">
        <f>VLOOKUP(source[[#This Row],[lending_product_transform]],[3]Mapping!$B$3:$D$37,3,0)</f>
        <v>cashloan</v>
      </c>
      <c r="I2700" s="135">
        <v>0</v>
      </c>
    </row>
    <row r="2701" spans="1:9" x14ac:dyDescent="0.2">
      <c r="A2701" s="134">
        <v>45563</v>
      </c>
      <c r="B2701" s="135">
        <f>YEAR(source[[#This Row],[report_date]])</f>
        <v>2024</v>
      </c>
      <c r="C2701" s="128">
        <f t="shared" si="117"/>
        <v>9</v>
      </c>
      <c r="D2701" s="136">
        <f t="shared" si="118"/>
        <v>39</v>
      </c>
      <c r="E2701" s="136">
        <f t="shared" si="119"/>
        <v>28</v>
      </c>
      <c r="F2701" s="128" t="s">
        <v>24</v>
      </c>
      <c r="G2701" s="128" t="str">
        <f>VLOOKUP(source[[#This Row],[lending_product_transform]],[3]Mapping!$B$4:$C$37,2,0)</f>
        <v>[Cake] - Cashloan</v>
      </c>
      <c r="H2701" s="128" t="str">
        <f>VLOOKUP(source[[#This Row],[lending_product_transform]],[3]Mapping!$B$3:$D$37,3,0)</f>
        <v>cashloan</v>
      </c>
      <c r="I2701" s="135">
        <v>3167431937</v>
      </c>
    </row>
    <row r="2702" spans="1:9" x14ac:dyDescent="0.2">
      <c r="A2702" s="134">
        <v>45563</v>
      </c>
      <c r="B2702" s="135">
        <f>YEAR(source[[#This Row],[report_date]])</f>
        <v>2024</v>
      </c>
      <c r="C2702" s="128">
        <f t="shared" si="117"/>
        <v>9</v>
      </c>
      <c r="D2702" s="136">
        <f t="shared" si="118"/>
        <v>39</v>
      </c>
      <c r="E2702" s="136">
        <f t="shared" si="119"/>
        <v>28</v>
      </c>
      <c r="F2702" s="128" t="s">
        <v>24</v>
      </c>
      <c r="G2702" s="128" t="str">
        <f>VLOOKUP(source[[#This Row],[lending_product_transform]],[3]Mapping!$B$4:$C$37,2,0)</f>
        <v>[Cake] - Cashloan</v>
      </c>
      <c r="H2702" s="128" t="str">
        <f>VLOOKUP(source[[#This Row],[lending_product_transform]],[3]Mapping!$B$3:$D$37,3,0)</f>
        <v>cashloan</v>
      </c>
      <c r="I2702" s="135">
        <v>51450000</v>
      </c>
    </row>
    <row r="2703" spans="1:9" x14ac:dyDescent="0.2">
      <c r="A2703" s="134">
        <v>45563</v>
      </c>
      <c r="B2703" s="135">
        <f>YEAR(source[[#This Row],[report_date]])</f>
        <v>2024</v>
      </c>
      <c r="C2703" s="128">
        <f t="shared" si="117"/>
        <v>9</v>
      </c>
      <c r="D2703" s="136">
        <f t="shared" si="118"/>
        <v>39</v>
      </c>
      <c r="E2703" s="136">
        <f t="shared" si="119"/>
        <v>28</v>
      </c>
      <c r="F2703" s="128" t="s">
        <v>24</v>
      </c>
      <c r="G2703" s="128" t="str">
        <f>VLOOKUP(source[[#This Row],[lending_product_transform]],[3]Mapping!$B$4:$C$37,2,0)</f>
        <v>[Cake] - Cashloan</v>
      </c>
      <c r="H2703" s="128" t="str">
        <f>VLOOKUP(source[[#This Row],[lending_product_transform]],[3]Mapping!$B$3:$D$37,3,0)</f>
        <v>cashloan</v>
      </c>
      <c r="I2703" s="135">
        <v>6946690000</v>
      </c>
    </row>
    <row r="2704" spans="1:9" x14ac:dyDescent="0.2">
      <c r="A2704" s="134">
        <v>45563</v>
      </c>
      <c r="B2704" s="135">
        <f>YEAR(source[[#This Row],[report_date]])</f>
        <v>2024</v>
      </c>
      <c r="C2704" s="128">
        <f t="shared" si="117"/>
        <v>9</v>
      </c>
      <c r="D2704" s="136">
        <f t="shared" si="118"/>
        <v>39</v>
      </c>
      <c r="E2704" s="136">
        <f t="shared" si="119"/>
        <v>28</v>
      </c>
      <c r="F2704" s="128" t="s">
        <v>24</v>
      </c>
      <c r="G2704" s="128" t="str">
        <f>VLOOKUP(source[[#This Row],[lending_product_transform]],[3]Mapping!$B$4:$C$37,2,0)</f>
        <v>[Cake] - Cashloan</v>
      </c>
      <c r="H2704" s="128" t="str">
        <f>VLOOKUP(source[[#This Row],[lending_product_transform]],[3]Mapping!$B$3:$D$37,3,0)</f>
        <v>cashloan</v>
      </c>
      <c r="I2704" s="135">
        <v>84000000</v>
      </c>
    </row>
    <row r="2705" spans="1:9" x14ac:dyDescent="0.2">
      <c r="A2705" s="134">
        <v>45563</v>
      </c>
      <c r="B2705" s="135">
        <f>YEAR(source[[#This Row],[report_date]])</f>
        <v>2024</v>
      </c>
      <c r="C2705" s="128">
        <f t="shared" si="117"/>
        <v>9</v>
      </c>
      <c r="D2705" s="136">
        <f t="shared" si="118"/>
        <v>39</v>
      </c>
      <c r="E2705" s="136">
        <f t="shared" si="119"/>
        <v>28</v>
      </c>
      <c r="F2705" s="128" t="s">
        <v>24</v>
      </c>
      <c r="G2705" s="128" t="str">
        <f>VLOOKUP(source[[#This Row],[lending_product_transform]],[3]Mapping!$B$4:$C$37,2,0)</f>
        <v>[Cake] - Cashloan</v>
      </c>
      <c r="H2705" s="128" t="str">
        <f>VLOOKUP(source[[#This Row],[lending_product_transform]],[3]Mapping!$B$3:$D$37,3,0)</f>
        <v>cashloan</v>
      </c>
      <c r="I2705" s="135">
        <v>3170070000</v>
      </c>
    </row>
    <row r="2706" spans="1:9" x14ac:dyDescent="0.2">
      <c r="A2706" s="134">
        <v>45563</v>
      </c>
      <c r="B2706" s="135">
        <f>YEAR(source[[#This Row],[report_date]])</f>
        <v>2024</v>
      </c>
      <c r="C2706" s="128">
        <f t="shared" si="117"/>
        <v>9</v>
      </c>
      <c r="D2706" s="136">
        <f t="shared" si="118"/>
        <v>39</v>
      </c>
      <c r="E2706" s="136">
        <f t="shared" si="119"/>
        <v>28</v>
      </c>
      <c r="F2706" s="128" t="s">
        <v>24</v>
      </c>
      <c r="G2706" s="128" t="str">
        <f>VLOOKUP(source[[#This Row],[lending_product_transform]],[3]Mapping!$B$4:$C$37,2,0)</f>
        <v>[Cake] - Cashloan</v>
      </c>
      <c r="H2706" s="128" t="str">
        <f>VLOOKUP(source[[#This Row],[lending_product_transform]],[3]Mapping!$B$3:$D$37,3,0)</f>
        <v>cashloan</v>
      </c>
      <c r="I2706" s="135">
        <v>40671170</v>
      </c>
    </row>
    <row r="2707" spans="1:9" x14ac:dyDescent="0.2">
      <c r="A2707" s="134">
        <v>45563</v>
      </c>
      <c r="B2707" s="135">
        <f>YEAR(source[[#This Row],[report_date]])</f>
        <v>2024</v>
      </c>
      <c r="C2707" s="128">
        <f t="shared" si="117"/>
        <v>9</v>
      </c>
      <c r="D2707" s="136">
        <f t="shared" si="118"/>
        <v>39</v>
      </c>
      <c r="E2707" s="136">
        <f t="shared" si="119"/>
        <v>28</v>
      </c>
      <c r="F2707" s="128" t="s">
        <v>24</v>
      </c>
      <c r="G2707" s="128" t="str">
        <f>VLOOKUP(source[[#This Row],[lending_product_transform]],[3]Mapping!$B$4:$C$37,2,0)</f>
        <v>[Cake] - Cashloan</v>
      </c>
      <c r="H2707" s="128" t="str">
        <f>VLOOKUP(source[[#This Row],[lending_product_transform]],[3]Mapping!$B$3:$D$37,3,0)</f>
        <v>cashloan</v>
      </c>
      <c r="I2707" s="135">
        <v>36750000</v>
      </c>
    </row>
    <row r="2708" spans="1:9" x14ac:dyDescent="0.2">
      <c r="A2708" s="134">
        <v>45563</v>
      </c>
      <c r="B2708" s="135">
        <f>YEAR(source[[#This Row],[report_date]])</f>
        <v>2024</v>
      </c>
      <c r="C2708" s="128">
        <f t="shared" si="117"/>
        <v>9</v>
      </c>
      <c r="D2708" s="136">
        <f t="shared" si="118"/>
        <v>39</v>
      </c>
      <c r="E2708" s="136">
        <f t="shared" si="119"/>
        <v>28</v>
      </c>
      <c r="F2708" s="128" t="s">
        <v>24</v>
      </c>
      <c r="G2708" s="128" t="str">
        <f>VLOOKUP(source[[#This Row],[lending_product_transform]],[3]Mapping!$B$4:$C$37,2,0)</f>
        <v>[Cake] - Cashloan</v>
      </c>
      <c r="H2708" s="128" t="str">
        <f>VLOOKUP(source[[#This Row],[lending_product_transform]],[3]Mapping!$B$3:$D$37,3,0)</f>
        <v>cashloan</v>
      </c>
      <c r="I2708" s="135">
        <v>3792000000</v>
      </c>
    </row>
    <row r="2709" spans="1:9" x14ac:dyDescent="0.2">
      <c r="A2709" s="134">
        <v>45563</v>
      </c>
      <c r="B2709" s="135">
        <f>YEAR(source[[#This Row],[report_date]])</f>
        <v>2024</v>
      </c>
      <c r="C2709" s="128">
        <f t="shared" ref="C2709:C2772" si="120">MONTH(A2709)</f>
        <v>9</v>
      </c>
      <c r="D2709" s="136">
        <f t="shared" si="118"/>
        <v>39</v>
      </c>
      <c r="E2709" s="136">
        <f t="shared" si="119"/>
        <v>28</v>
      </c>
      <c r="F2709" s="128" t="s">
        <v>24</v>
      </c>
      <c r="G2709" s="128" t="str">
        <f>VLOOKUP(source[[#This Row],[lending_product_transform]],[3]Mapping!$B$4:$C$37,2,0)</f>
        <v>[Cake] - Cashloan</v>
      </c>
      <c r="H2709" s="128" t="str">
        <f>VLOOKUP(source[[#This Row],[lending_product_transform]],[3]Mapping!$B$3:$D$37,3,0)</f>
        <v>cashloan</v>
      </c>
      <c r="I2709" s="135">
        <v>183231020</v>
      </c>
    </row>
    <row r="2710" spans="1:9" x14ac:dyDescent="0.2">
      <c r="A2710" s="134">
        <v>45563</v>
      </c>
      <c r="B2710" s="135">
        <f>YEAR(source[[#This Row],[report_date]])</f>
        <v>2024</v>
      </c>
      <c r="C2710" s="128">
        <f t="shared" si="120"/>
        <v>9</v>
      </c>
      <c r="D2710" s="136">
        <f t="shared" si="118"/>
        <v>39</v>
      </c>
      <c r="E2710" s="136">
        <f t="shared" si="119"/>
        <v>28</v>
      </c>
      <c r="F2710" s="128" t="s">
        <v>24</v>
      </c>
      <c r="G2710" s="128" t="str">
        <f>VLOOKUP(source[[#This Row],[lending_product_transform]],[3]Mapping!$B$4:$C$37,2,0)</f>
        <v>[Cake] - Cashloan</v>
      </c>
      <c r="H2710" s="128" t="str">
        <f>VLOOKUP(source[[#This Row],[lending_product_transform]],[3]Mapping!$B$3:$D$37,3,0)</f>
        <v>cashloan</v>
      </c>
      <c r="I2710" s="135">
        <v>17500114127</v>
      </c>
    </row>
    <row r="2711" spans="1:9" x14ac:dyDescent="0.2">
      <c r="A2711" s="134">
        <v>45563</v>
      </c>
      <c r="B2711" s="135">
        <f>YEAR(source[[#This Row],[report_date]])</f>
        <v>2024</v>
      </c>
      <c r="C2711" s="128">
        <f t="shared" si="120"/>
        <v>9</v>
      </c>
      <c r="D2711" s="136">
        <f t="shared" si="118"/>
        <v>39</v>
      </c>
      <c r="E2711" s="136">
        <f t="shared" si="119"/>
        <v>28</v>
      </c>
      <c r="F2711" s="128" t="s">
        <v>24</v>
      </c>
      <c r="G2711" s="128" t="str">
        <f>VLOOKUP(source[[#This Row],[lending_product_transform]],[3]Mapping!$B$4:$C$37,2,0)</f>
        <v>[Cake] - Cashloan</v>
      </c>
      <c r="H2711" s="128" t="str">
        <f>VLOOKUP(source[[#This Row],[lending_product_transform]],[3]Mapping!$B$3:$D$37,3,0)</f>
        <v>cashloan</v>
      </c>
      <c r="I2711" s="135">
        <v>6420000</v>
      </c>
    </row>
    <row r="2712" spans="1:9" x14ac:dyDescent="0.2">
      <c r="A2712" s="134">
        <v>45564</v>
      </c>
      <c r="B2712" s="135">
        <f>YEAR(source[[#This Row],[report_date]])</f>
        <v>2024</v>
      </c>
      <c r="C2712" s="128">
        <f t="shared" si="120"/>
        <v>9</v>
      </c>
      <c r="D2712" s="136">
        <f t="shared" si="118"/>
        <v>39</v>
      </c>
      <c r="E2712" s="136">
        <f t="shared" si="119"/>
        <v>29</v>
      </c>
      <c r="F2712" s="128" t="s">
        <v>24</v>
      </c>
      <c r="G2712" s="128" t="str">
        <f>VLOOKUP(source[[#This Row],[lending_product_transform]],[3]Mapping!$B$4:$C$37,2,0)</f>
        <v>[Cake] - Cashloan</v>
      </c>
      <c r="H2712" s="128" t="str">
        <f>VLOOKUP(source[[#This Row],[lending_product_transform]],[3]Mapping!$B$3:$D$37,3,0)</f>
        <v>cashloan</v>
      </c>
      <c r="I2712" s="135">
        <v>15765590835</v>
      </c>
    </row>
    <row r="2713" spans="1:9" x14ac:dyDescent="0.2">
      <c r="A2713" s="134">
        <v>45564</v>
      </c>
      <c r="B2713" s="135">
        <f>YEAR(source[[#This Row],[report_date]])</f>
        <v>2024</v>
      </c>
      <c r="C2713" s="128">
        <f t="shared" si="120"/>
        <v>9</v>
      </c>
      <c r="D2713" s="136">
        <f t="shared" si="118"/>
        <v>39</v>
      </c>
      <c r="E2713" s="136">
        <f t="shared" si="119"/>
        <v>29</v>
      </c>
      <c r="F2713" s="128" t="s">
        <v>24</v>
      </c>
      <c r="G2713" s="128" t="str">
        <f>VLOOKUP(source[[#This Row],[lending_product_transform]],[3]Mapping!$B$4:$C$37,2,0)</f>
        <v>[Cake] - Cashloan</v>
      </c>
      <c r="H2713" s="128" t="str">
        <f>VLOOKUP(source[[#This Row],[lending_product_transform]],[3]Mapping!$B$3:$D$37,3,0)</f>
        <v>cashloan</v>
      </c>
      <c r="I2713" s="135">
        <v>3416500000</v>
      </c>
    </row>
    <row r="2714" spans="1:9" x14ac:dyDescent="0.2">
      <c r="A2714" s="134">
        <v>45564</v>
      </c>
      <c r="B2714" s="135">
        <f>YEAR(source[[#This Row],[report_date]])</f>
        <v>2024</v>
      </c>
      <c r="C2714" s="128">
        <f t="shared" si="120"/>
        <v>9</v>
      </c>
      <c r="D2714" s="136">
        <f t="shared" si="118"/>
        <v>39</v>
      </c>
      <c r="E2714" s="136">
        <f t="shared" si="119"/>
        <v>29</v>
      </c>
      <c r="F2714" s="128" t="s">
        <v>24</v>
      </c>
      <c r="G2714" s="128" t="str">
        <f>VLOOKUP(source[[#This Row],[lending_product_transform]],[3]Mapping!$B$4:$C$37,2,0)</f>
        <v>[Cake] - Cashloan</v>
      </c>
      <c r="H2714" s="128" t="str">
        <f>VLOOKUP(source[[#This Row],[lending_product_transform]],[3]Mapping!$B$3:$D$37,3,0)</f>
        <v>cashloan</v>
      </c>
      <c r="I2714" s="135">
        <v>2793333037</v>
      </c>
    </row>
    <row r="2715" spans="1:9" x14ac:dyDescent="0.2">
      <c r="A2715" s="134">
        <v>45564</v>
      </c>
      <c r="B2715" s="135">
        <f>YEAR(source[[#This Row],[report_date]])</f>
        <v>2024</v>
      </c>
      <c r="C2715" s="128">
        <f t="shared" si="120"/>
        <v>9</v>
      </c>
      <c r="D2715" s="136">
        <f t="shared" si="118"/>
        <v>39</v>
      </c>
      <c r="E2715" s="136">
        <f t="shared" si="119"/>
        <v>29</v>
      </c>
      <c r="F2715" s="128" t="s">
        <v>24</v>
      </c>
      <c r="G2715" s="128" t="str">
        <f>VLOOKUP(source[[#This Row],[lending_product_transform]],[3]Mapping!$B$4:$C$37,2,0)</f>
        <v>[Cake] - Cashloan</v>
      </c>
      <c r="H2715" s="128" t="str">
        <f>VLOOKUP(source[[#This Row],[lending_product_transform]],[3]Mapping!$B$3:$D$37,3,0)</f>
        <v>cashloan</v>
      </c>
      <c r="I2715" s="135">
        <v>36275602</v>
      </c>
    </row>
    <row r="2716" spans="1:9" x14ac:dyDescent="0.2">
      <c r="A2716" s="134">
        <v>45564</v>
      </c>
      <c r="B2716" s="135">
        <f>YEAR(source[[#This Row],[report_date]])</f>
        <v>2024</v>
      </c>
      <c r="C2716" s="128">
        <f t="shared" si="120"/>
        <v>9</v>
      </c>
      <c r="D2716" s="136">
        <f t="shared" si="118"/>
        <v>39</v>
      </c>
      <c r="E2716" s="136">
        <f t="shared" si="119"/>
        <v>29</v>
      </c>
      <c r="F2716" s="128" t="s">
        <v>24</v>
      </c>
      <c r="G2716" s="128" t="str">
        <f>VLOOKUP(source[[#This Row],[lending_product_transform]],[3]Mapping!$B$4:$C$37,2,0)</f>
        <v>[Cake] - Cashloan</v>
      </c>
      <c r="H2716" s="128" t="str">
        <f>VLOOKUP(source[[#This Row],[lending_product_transform]],[3]Mapping!$B$3:$D$37,3,0)</f>
        <v>cashloan</v>
      </c>
      <c r="I2716" s="135">
        <v>26250000</v>
      </c>
    </row>
    <row r="2717" spans="1:9" x14ac:dyDescent="0.2">
      <c r="A2717" s="134">
        <v>45564</v>
      </c>
      <c r="B2717" s="135">
        <f>YEAR(source[[#This Row],[report_date]])</f>
        <v>2024</v>
      </c>
      <c r="C2717" s="128">
        <f t="shared" si="120"/>
        <v>9</v>
      </c>
      <c r="D2717" s="136">
        <f t="shared" si="118"/>
        <v>39</v>
      </c>
      <c r="E2717" s="136">
        <f t="shared" si="119"/>
        <v>29</v>
      </c>
      <c r="F2717" s="128" t="s">
        <v>24</v>
      </c>
      <c r="G2717" s="128" t="str">
        <f>VLOOKUP(source[[#This Row],[lending_product_transform]],[3]Mapping!$B$4:$C$37,2,0)</f>
        <v>[Cake] - Cashloan</v>
      </c>
      <c r="H2717" s="128" t="str">
        <f>VLOOKUP(source[[#This Row],[lending_product_transform]],[3]Mapping!$B$3:$D$37,3,0)</f>
        <v>cashloan</v>
      </c>
      <c r="I2717" s="135">
        <v>0</v>
      </c>
    </row>
    <row r="2718" spans="1:9" x14ac:dyDescent="0.2">
      <c r="A2718" s="134">
        <v>45564</v>
      </c>
      <c r="B2718" s="135">
        <f>YEAR(source[[#This Row],[report_date]])</f>
        <v>2024</v>
      </c>
      <c r="C2718" s="128">
        <f t="shared" si="120"/>
        <v>9</v>
      </c>
      <c r="D2718" s="136">
        <f t="shared" si="118"/>
        <v>39</v>
      </c>
      <c r="E2718" s="136">
        <f t="shared" si="119"/>
        <v>29</v>
      </c>
      <c r="F2718" s="128" t="s">
        <v>24</v>
      </c>
      <c r="G2718" s="128" t="str">
        <f>VLOOKUP(source[[#This Row],[lending_product_transform]],[3]Mapping!$B$4:$C$37,2,0)</f>
        <v>[Cake] - Cashloan</v>
      </c>
      <c r="H2718" s="128" t="str">
        <f>VLOOKUP(source[[#This Row],[lending_product_transform]],[3]Mapping!$B$3:$D$37,3,0)</f>
        <v>cashloan</v>
      </c>
      <c r="I2718" s="135">
        <v>48150000</v>
      </c>
    </row>
    <row r="2719" spans="1:9" x14ac:dyDescent="0.2">
      <c r="A2719" s="134">
        <v>45564</v>
      </c>
      <c r="B2719" s="135">
        <f>YEAR(source[[#This Row],[report_date]])</f>
        <v>2024</v>
      </c>
      <c r="C2719" s="128">
        <f t="shared" si="120"/>
        <v>9</v>
      </c>
      <c r="D2719" s="136">
        <f t="shared" si="118"/>
        <v>39</v>
      </c>
      <c r="E2719" s="136">
        <f t="shared" si="119"/>
        <v>29</v>
      </c>
      <c r="F2719" s="128" t="s">
        <v>24</v>
      </c>
      <c r="G2719" s="128" t="str">
        <f>VLOOKUP(source[[#This Row],[lending_product_transform]],[3]Mapping!$B$4:$C$37,2,0)</f>
        <v>[Cake] - Cashloan</v>
      </c>
      <c r="H2719" s="128" t="str">
        <f>VLOOKUP(source[[#This Row],[lending_product_transform]],[3]Mapping!$B$3:$D$37,3,0)</f>
        <v>cashloan</v>
      </c>
      <c r="I2719" s="135">
        <v>71000000</v>
      </c>
    </row>
    <row r="2720" spans="1:9" x14ac:dyDescent="0.2">
      <c r="A2720" s="134">
        <v>45564</v>
      </c>
      <c r="B2720" s="135">
        <f>YEAR(source[[#This Row],[report_date]])</f>
        <v>2024</v>
      </c>
      <c r="C2720" s="128">
        <f t="shared" si="120"/>
        <v>9</v>
      </c>
      <c r="D2720" s="136">
        <f t="shared" si="118"/>
        <v>39</v>
      </c>
      <c r="E2720" s="136">
        <f t="shared" si="119"/>
        <v>29</v>
      </c>
      <c r="F2720" s="128" t="s">
        <v>24</v>
      </c>
      <c r="G2720" s="128" t="str">
        <f>VLOOKUP(source[[#This Row],[lending_product_transform]],[3]Mapping!$B$4:$C$37,2,0)</f>
        <v>[Cake] - Cashloan</v>
      </c>
      <c r="H2720" s="128" t="str">
        <f>VLOOKUP(source[[#This Row],[lending_product_transform]],[3]Mapping!$B$3:$D$37,3,0)</f>
        <v>cashloan</v>
      </c>
      <c r="I2720" s="135">
        <v>10500000</v>
      </c>
    </row>
    <row r="2721" spans="1:9" x14ac:dyDescent="0.2">
      <c r="A2721" s="134">
        <v>45564</v>
      </c>
      <c r="B2721" s="135">
        <f>YEAR(source[[#This Row],[report_date]])</f>
        <v>2024</v>
      </c>
      <c r="C2721" s="128">
        <f t="shared" si="120"/>
        <v>9</v>
      </c>
      <c r="D2721" s="136">
        <f t="shared" si="118"/>
        <v>39</v>
      </c>
      <c r="E2721" s="136">
        <f t="shared" si="119"/>
        <v>29</v>
      </c>
      <c r="F2721" s="128" t="s">
        <v>24</v>
      </c>
      <c r="G2721" s="128" t="str">
        <f>VLOOKUP(source[[#This Row],[lending_product_transform]],[3]Mapping!$B$4:$C$37,2,0)</f>
        <v>[Cake] - Cashloan</v>
      </c>
      <c r="H2721" s="128" t="str">
        <f>VLOOKUP(source[[#This Row],[lending_product_transform]],[3]Mapping!$B$3:$D$37,3,0)</f>
        <v>cashloan</v>
      </c>
      <c r="I2721" s="135">
        <v>0</v>
      </c>
    </row>
    <row r="2722" spans="1:9" x14ac:dyDescent="0.2">
      <c r="A2722" s="134">
        <v>45564</v>
      </c>
      <c r="B2722" s="135">
        <f>YEAR(source[[#This Row],[report_date]])</f>
        <v>2024</v>
      </c>
      <c r="C2722" s="128">
        <f t="shared" si="120"/>
        <v>9</v>
      </c>
      <c r="D2722" s="136">
        <f t="shared" si="118"/>
        <v>39</v>
      </c>
      <c r="E2722" s="136">
        <f t="shared" si="119"/>
        <v>29</v>
      </c>
      <c r="F2722" s="128" t="s">
        <v>24</v>
      </c>
      <c r="G2722" s="128" t="str">
        <f>VLOOKUP(source[[#This Row],[lending_product_transform]],[3]Mapping!$B$4:$C$37,2,0)</f>
        <v>[Cake] - Cashloan</v>
      </c>
      <c r="H2722" s="128" t="str">
        <f>VLOOKUP(source[[#This Row],[lending_product_transform]],[3]Mapping!$B$3:$D$37,3,0)</f>
        <v>cashloan</v>
      </c>
      <c r="I2722" s="135">
        <v>175022196</v>
      </c>
    </row>
    <row r="2723" spans="1:9" x14ac:dyDescent="0.2">
      <c r="A2723" s="134">
        <v>45564</v>
      </c>
      <c r="B2723" s="135">
        <f>YEAR(source[[#This Row],[report_date]])</f>
        <v>2024</v>
      </c>
      <c r="C2723" s="128">
        <f t="shared" si="120"/>
        <v>9</v>
      </c>
      <c r="D2723" s="136">
        <f t="shared" si="118"/>
        <v>39</v>
      </c>
      <c r="E2723" s="136">
        <f t="shared" si="119"/>
        <v>29</v>
      </c>
      <c r="F2723" s="128" t="s">
        <v>24</v>
      </c>
      <c r="G2723" s="128" t="str">
        <f>VLOOKUP(source[[#This Row],[lending_product_transform]],[3]Mapping!$B$4:$C$37,2,0)</f>
        <v>[Cake] - Cashloan</v>
      </c>
      <c r="H2723" s="128" t="str">
        <f>VLOOKUP(source[[#This Row],[lending_product_transform]],[3]Mapping!$B$3:$D$37,3,0)</f>
        <v>cashloan</v>
      </c>
      <c r="I2723" s="135">
        <v>2688240000</v>
      </c>
    </row>
    <row r="2724" spans="1:9" x14ac:dyDescent="0.2">
      <c r="A2724" s="134">
        <v>45564</v>
      </c>
      <c r="B2724" s="135">
        <f>YEAR(source[[#This Row],[report_date]])</f>
        <v>2024</v>
      </c>
      <c r="C2724" s="128">
        <f t="shared" si="120"/>
        <v>9</v>
      </c>
      <c r="D2724" s="136">
        <f t="shared" si="118"/>
        <v>39</v>
      </c>
      <c r="E2724" s="136">
        <f t="shared" si="119"/>
        <v>29</v>
      </c>
      <c r="F2724" s="128" t="s">
        <v>24</v>
      </c>
      <c r="G2724" s="128" t="str">
        <f>VLOOKUP(source[[#This Row],[lending_product_transform]],[3]Mapping!$B$4:$C$37,2,0)</f>
        <v>[Cake] - Cashloan</v>
      </c>
      <c r="H2724" s="128" t="str">
        <f>VLOOKUP(source[[#This Row],[lending_product_transform]],[3]Mapping!$B$3:$D$37,3,0)</f>
        <v>cashloan</v>
      </c>
      <c r="I2724" s="135">
        <v>6500320000</v>
      </c>
    </row>
    <row r="2725" spans="1:9" x14ac:dyDescent="0.2">
      <c r="A2725" s="134">
        <v>45565</v>
      </c>
      <c r="B2725" s="135">
        <f>YEAR(source[[#This Row],[report_date]])</f>
        <v>2024</v>
      </c>
      <c r="C2725" s="128">
        <f t="shared" si="120"/>
        <v>9</v>
      </c>
      <c r="D2725" s="136">
        <f t="shared" si="118"/>
        <v>40</v>
      </c>
      <c r="E2725" s="136">
        <f t="shared" si="119"/>
        <v>30</v>
      </c>
      <c r="F2725" s="137" t="s">
        <v>24</v>
      </c>
      <c r="G2725" s="128" t="str">
        <f>VLOOKUP(source[[#This Row],[lending_product_transform]],[3]Mapping!$B$4:$C$37,2,0)</f>
        <v>[Cake] - Cashloan</v>
      </c>
      <c r="H2725" s="128" t="str">
        <f>VLOOKUP(source[[#This Row],[lending_product_transform]],[3]Mapping!$B$3:$D$37,3,0)</f>
        <v>cashloan</v>
      </c>
      <c r="I2725" s="143">
        <v>75600000</v>
      </c>
    </row>
    <row r="2726" spans="1:9" x14ac:dyDescent="0.2">
      <c r="A2726" s="134">
        <v>45565</v>
      </c>
      <c r="B2726" s="135">
        <f>YEAR(source[[#This Row],[report_date]])</f>
        <v>2024</v>
      </c>
      <c r="C2726" s="128">
        <f t="shared" si="120"/>
        <v>9</v>
      </c>
      <c r="D2726" s="136">
        <f t="shared" si="118"/>
        <v>40</v>
      </c>
      <c r="E2726" s="136">
        <f t="shared" si="119"/>
        <v>30</v>
      </c>
      <c r="F2726" s="137" t="s">
        <v>24</v>
      </c>
      <c r="G2726" s="128" t="str">
        <f>VLOOKUP(source[[#This Row],[lending_product_transform]],[3]Mapping!$B$4:$C$37,2,0)</f>
        <v>[Cake] - Cashloan</v>
      </c>
      <c r="H2726" s="128" t="str">
        <f>VLOOKUP(source[[#This Row],[lending_product_transform]],[3]Mapping!$B$3:$D$37,3,0)</f>
        <v>cashloan</v>
      </c>
      <c r="I2726" s="143">
        <v>194349994</v>
      </c>
    </row>
    <row r="2727" spans="1:9" x14ac:dyDescent="0.2">
      <c r="A2727" s="134">
        <v>45565</v>
      </c>
      <c r="B2727" s="135">
        <f>YEAR(source[[#This Row],[report_date]])</f>
        <v>2024</v>
      </c>
      <c r="C2727" s="128">
        <f t="shared" si="120"/>
        <v>9</v>
      </c>
      <c r="D2727" s="136">
        <f t="shared" si="118"/>
        <v>40</v>
      </c>
      <c r="E2727" s="136">
        <f t="shared" si="119"/>
        <v>30</v>
      </c>
      <c r="F2727" s="137" t="s">
        <v>24</v>
      </c>
      <c r="G2727" s="128" t="str">
        <f>VLOOKUP(source[[#This Row],[lending_product_transform]],[3]Mapping!$B$4:$C$37,2,0)</f>
        <v>[Cake] - Cashloan</v>
      </c>
      <c r="H2727" s="128" t="str">
        <f>VLOOKUP(source[[#This Row],[lending_product_transform]],[3]Mapping!$B$3:$D$37,3,0)</f>
        <v>cashloan</v>
      </c>
      <c r="I2727" s="143">
        <v>32312203</v>
      </c>
    </row>
    <row r="2728" spans="1:9" x14ac:dyDescent="0.2">
      <c r="A2728" s="134">
        <v>45565</v>
      </c>
      <c r="B2728" s="135">
        <f>YEAR(source[[#This Row],[report_date]])</f>
        <v>2024</v>
      </c>
      <c r="C2728" s="128">
        <f t="shared" si="120"/>
        <v>9</v>
      </c>
      <c r="D2728" s="136">
        <f t="shared" si="118"/>
        <v>40</v>
      </c>
      <c r="E2728" s="136">
        <f t="shared" si="119"/>
        <v>30</v>
      </c>
      <c r="F2728" s="137" t="s">
        <v>24</v>
      </c>
      <c r="G2728" s="128" t="str">
        <f>VLOOKUP(source[[#This Row],[lending_product_transform]],[3]Mapping!$B$4:$C$37,2,0)</f>
        <v>[Cake] - Cashloan</v>
      </c>
      <c r="H2728" s="128" t="str">
        <f>VLOOKUP(source[[#This Row],[lending_product_transform]],[3]Mapping!$B$3:$D$37,3,0)</f>
        <v>cashloan</v>
      </c>
      <c r="I2728" s="143">
        <v>9113780000</v>
      </c>
    </row>
    <row r="2729" spans="1:9" x14ac:dyDescent="0.2">
      <c r="A2729" s="134">
        <v>45565</v>
      </c>
      <c r="B2729" s="135">
        <f>YEAR(source[[#This Row],[report_date]])</f>
        <v>2024</v>
      </c>
      <c r="C2729" s="128">
        <f t="shared" si="120"/>
        <v>9</v>
      </c>
      <c r="D2729" s="136">
        <f t="shared" si="118"/>
        <v>40</v>
      </c>
      <c r="E2729" s="136">
        <f t="shared" si="119"/>
        <v>30</v>
      </c>
      <c r="F2729" s="137" t="s">
        <v>24</v>
      </c>
      <c r="G2729" s="128" t="str">
        <f>VLOOKUP(source[[#This Row],[lending_product_transform]],[3]Mapping!$B$4:$C$37,2,0)</f>
        <v>[Cake] - Cashloan</v>
      </c>
      <c r="H2729" s="128" t="str">
        <f>VLOOKUP(source[[#This Row],[lending_product_transform]],[3]Mapping!$B$3:$D$37,3,0)</f>
        <v>cashloan</v>
      </c>
      <c r="I2729" s="143">
        <v>4239000000</v>
      </c>
    </row>
    <row r="2730" spans="1:9" x14ac:dyDescent="0.2">
      <c r="A2730" s="134">
        <v>45565</v>
      </c>
      <c r="B2730" s="135">
        <f>YEAR(source[[#This Row],[report_date]])</f>
        <v>2024</v>
      </c>
      <c r="C2730" s="128">
        <f t="shared" si="120"/>
        <v>9</v>
      </c>
      <c r="D2730" s="136">
        <f t="shared" si="118"/>
        <v>40</v>
      </c>
      <c r="E2730" s="136">
        <f t="shared" si="119"/>
        <v>30</v>
      </c>
      <c r="F2730" s="137" t="s">
        <v>24</v>
      </c>
      <c r="G2730" s="128" t="str">
        <f>VLOOKUP(source[[#This Row],[lending_product_transform]],[3]Mapping!$B$4:$C$37,2,0)</f>
        <v>[Cake] - Cashloan</v>
      </c>
      <c r="H2730" s="128" t="str">
        <f>VLOOKUP(source[[#This Row],[lending_product_transform]],[3]Mapping!$B$3:$D$37,3,0)</f>
        <v>cashloan</v>
      </c>
      <c r="I2730" s="143">
        <v>27820000</v>
      </c>
    </row>
    <row r="2731" spans="1:9" x14ac:dyDescent="0.2">
      <c r="A2731" s="134">
        <v>45565</v>
      </c>
      <c r="B2731" s="135">
        <f>YEAR(source[[#This Row],[report_date]])</f>
        <v>2024</v>
      </c>
      <c r="C2731" s="128">
        <f t="shared" si="120"/>
        <v>9</v>
      </c>
      <c r="D2731" s="136">
        <f t="shared" si="118"/>
        <v>40</v>
      </c>
      <c r="E2731" s="136">
        <f t="shared" si="119"/>
        <v>30</v>
      </c>
      <c r="F2731" s="137" t="s">
        <v>24</v>
      </c>
      <c r="G2731" s="128" t="str">
        <f>VLOOKUP(source[[#This Row],[lending_product_transform]],[3]Mapping!$B$4:$C$37,2,0)</f>
        <v>[Cake] - Cashloan</v>
      </c>
      <c r="H2731" s="128" t="str">
        <f>VLOOKUP(source[[#This Row],[lending_product_transform]],[3]Mapping!$B$3:$D$37,3,0)</f>
        <v>cashloan</v>
      </c>
      <c r="I2731" s="143">
        <v>54000000</v>
      </c>
    </row>
    <row r="2732" spans="1:9" x14ac:dyDescent="0.2">
      <c r="A2732" s="134">
        <v>45565</v>
      </c>
      <c r="B2732" s="135">
        <f>YEAR(source[[#This Row],[report_date]])</f>
        <v>2024</v>
      </c>
      <c r="C2732" s="128">
        <f t="shared" si="120"/>
        <v>9</v>
      </c>
      <c r="D2732" s="136">
        <f t="shared" si="118"/>
        <v>40</v>
      </c>
      <c r="E2732" s="136">
        <f t="shared" si="119"/>
        <v>30</v>
      </c>
      <c r="F2732" s="137" t="s">
        <v>24</v>
      </c>
      <c r="G2732" s="128" t="str">
        <f>VLOOKUP(source[[#This Row],[lending_product_transform]],[3]Mapping!$B$4:$C$37,2,0)</f>
        <v>[Cake] - Cashloan</v>
      </c>
      <c r="H2732" s="128" t="str">
        <f>VLOOKUP(source[[#This Row],[lending_product_transform]],[3]Mapping!$B$3:$D$37,3,0)</f>
        <v>cashloan</v>
      </c>
      <c r="I2732" s="143">
        <v>4118375050</v>
      </c>
    </row>
    <row r="2733" spans="1:9" x14ac:dyDescent="0.2">
      <c r="A2733" s="134">
        <v>45565</v>
      </c>
      <c r="B2733" s="135">
        <f>YEAR(source[[#This Row],[report_date]])</f>
        <v>2024</v>
      </c>
      <c r="C2733" s="128">
        <f t="shared" si="120"/>
        <v>9</v>
      </c>
      <c r="D2733" s="136">
        <f t="shared" si="118"/>
        <v>40</v>
      </c>
      <c r="E2733" s="136">
        <f t="shared" si="119"/>
        <v>30</v>
      </c>
      <c r="F2733" s="137" t="s">
        <v>24</v>
      </c>
      <c r="G2733" s="128" t="str">
        <f>VLOOKUP(source[[#This Row],[lending_product_transform]],[3]Mapping!$B$4:$C$37,2,0)</f>
        <v>[Cake] - Cashloan</v>
      </c>
      <c r="H2733" s="128" t="str">
        <f>VLOOKUP(source[[#This Row],[lending_product_transform]],[3]Mapping!$B$3:$D$37,3,0)</f>
        <v>cashloan</v>
      </c>
      <c r="I2733" s="143">
        <v>0</v>
      </c>
    </row>
    <row r="2734" spans="1:9" x14ac:dyDescent="0.2">
      <c r="A2734" s="134">
        <v>45565</v>
      </c>
      <c r="B2734" s="135">
        <f>YEAR(source[[#This Row],[report_date]])</f>
        <v>2024</v>
      </c>
      <c r="C2734" s="128">
        <f t="shared" si="120"/>
        <v>9</v>
      </c>
      <c r="D2734" s="136">
        <f t="shared" si="118"/>
        <v>40</v>
      </c>
      <c r="E2734" s="136">
        <f t="shared" si="119"/>
        <v>30</v>
      </c>
      <c r="F2734" s="137" t="s">
        <v>24</v>
      </c>
      <c r="G2734" s="128" t="str">
        <f>VLOOKUP(source[[#This Row],[lending_product_transform]],[3]Mapping!$B$4:$C$37,2,0)</f>
        <v>[Cake] - Cashloan</v>
      </c>
      <c r="H2734" s="128" t="str">
        <f>VLOOKUP(source[[#This Row],[lending_product_transform]],[3]Mapping!$B$3:$D$37,3,0)</f>
        <v>cashloan</v>
      </c>
      <c r="I2734" s="143">
        <v>107100000</v>
      </c>
    </row>
    <row r="2735" spans="1:9" x14ac:dyDescent="0.2">
      <c r="A2735" s="134">
        <v>45565</v>
      </c>
      <c r="B2735" s="135">
        <f>YEAR(source[[#This Row],[report_date]])</f>
        <v>2024</v>
      </c>
      <c r="C2735" s="128">
        <f t="shared" si="120"/>
        <v>9</v>
      </c>
      <c r="D2735" s="136">
        <f t="shared" si="118"/>
        <v>40</v>
      </c>
      <c r="E2735" s="136">
        <f t="shared" si="119"/>
        <v>30</v>
      </c>
      <c r="F2735" s="137" t="s">
        <v>24</v>
      </c>
      <c r="G2735" s="128" t="str">
        <f>VLOOKUP(source[[#This Row],[lending_product_transform]],[3]Mapping!$B$4:$C$37,2,0)</f>
        <v>[Cake] - Cashloan</v>
      </c>
      <c r="H2735" s="128" t="str">
        <f>VLOOKUP(source[[#This Row],[lending_product_transform]],[3]Mapping!$B$3:$D$37,3,0)</f>
        <v>cashloan</v>
      </c>
      <c r="I2735" s="143">
        <v>0</v>
      </c>
    </row>
    <row r="2736" spans="1:9" x14ac:dyDescent="0.2">
      <c r="A2736" s="134">
        <v>45565</v>
      </c>
      <c r="B2736" s="135">
        <f>YEAR(source[[#This Row],[report_date]])</f>
        <v>2024</v>
      </c>
      <c r="C2736" s="128">
        <f t="shared" si="120"/>
        <v>9</v>
      </c>
      <c r="D2736" s="136">
        <f t="shared" si="118"/>
        <v>40</v>
      </c>
      <c r="E2736" s="136">
        <f t="shared" si="119"/>
        <v>30</v>
      </c>
      <c r="F2736" s="137" t="s">
        <v>24</v>
      </c>
      <c r="G2736" s="128" t="str">
        <f>VLOOKUP(source[[#This Row],[lending_product_transform]],[3]Mapping!$B$4:$C$37,2,0)</f>
        <v>[Cake] - Cashloan</v>
      </c>
      <c r="H2736" s="128" t="str">
        <f>VLOOKUP(source[[#This Row],[lending_product_transform]],[3]Mapping!$B$3:$D$37,3,0)</f>
        <v>cashloan</v>
      </c>
      <c r="I2736" s="143">
        <v>4161760000</v>
      </c>
    </row>
    <row r="2737" spans="1:9" x14ac:dyDescent="0.2">
      <c r="A2737" s="134">
        <v>45566</v>
      </c>
      <c r="B2737" s="135">
        <f>YEAR(source[[#This Row],[report_date]])</f>
        <v>2024</v>
      </c>
      <c r="C2737" s="128">
        <f t="shared" si="120"/>
        <v>10</v>
      </c>
      <c r="D2737" s="136">
        <f t="shared" si="118"/>
        <v>40</v>
      </c>
      <c r="E2737" s="136">
        <f t="shared" si="119"/>
        <v>1</v>
      </c>
      <c r="F2737" s="137" t="s">
        <v>24</v>
      </c>
      <c r="G2737" s="128" t="str">
        <f>VLOOKUP(source[[#This Row],[lending_product_transform]],[3]Mapping!$B$4:$C$37,2,0)</f>
        <v>[Cake] - Cashloan</v>
      </c>
      <c r="H2737" s="128" t="str">
        <f>VLOOKUP(source[[#This Row],[lending_product_transform]],[3]Mapping!$B$3:$D$37,3,0)</f>
        <v>cashloan</v>
      </c>
      <c r="I2737" s="143">
        <v>79000000</v>
      </c>
    </row>
    <row r="2738" spans="1:9" x14ac:dyDescent="0.2">
      <c r="A2738" s="134">
        <v>45566</v>
      </c>
      <c r="B2738" s="135">
        <f>YEAR(source[[#This Row],[report_date]])</f>
        <v>2024</v>
      </c>
      <c r="C2738" s="128">
        <f t="shared" si="120"/>
        <v>10</v>
      </c>
      <c r="D2738" s="136">
        <f t="shared" si="118"/>
        <v>40</v>
      </c>
      <c r="E2738" s="136">
        <f t="shared" si="119"/>
        <v>1</v>
      </c>
      <c r="F2738" s="137" t="s">
        <v>24</v>
      </c>
      <c r="G2738" s="128" t="str">
        <f>VLOOKUP(source[[#This Row],[lending_product_transform]],[3]Mapping!$B$4:$C$37,2,0)</f>
        <v>[Cake] - Cashloan</v>
      </c>
      <c r="H2738" s="128" t="str">
        <f>VLOOKUP(source[[#This Row],[lending_product_transform]],[3]Mapping!$B$3:$D$37,3,0)</f>
        <v>cashloan</v>
      </c>
      <c r="I2738" s="143">
        <v>92700000</v>
      </c>
    </row>
    <row r="2739" spans="1:9" x14ac:dyDescent="0.2">
      <c r="A2739" s="134">
        <v>45566</v>
      </c>
      <c r="B2739" s="135">
        <f>YEAR(source[[#This Row],[report_date]])</f>
        <v>2024</v>
      </c>
      <c r="C2739" s="128">
        <f t="shared" si="120"/>
        <v>10</v>
      </c>
      <c r="D2739" s="136">
        <f t="shared" si="118"/>
        <v>40</v>
      </c>
      <c r="E2739" s="136">
        <f t="shared" si="119"/>
        <v>1</v>
      </c>
      <c r="F2739" s="137" t="s">
        <v>24</v>
      </c>
      <c r="G2739" s="128" t="str">
        <f>VLOOKUP(source[[#This Row],[lending_product_transform]],[3]Mapping!$B$4:$C$37,2,0)</f>
        <v>[Cake] - Cashloan</v>
      </c>
      <c r="H2739" s="128" t="str">
        <f>VLOOKUP(source[[#This Row],[lending_product_transform]],[3]Mapping!$B$3:$D$37,3,0)</f>
        <v>cashloan</v>
      </c>
      <c r="I2739" s="143">
        <v>0</v>
      </c>
    </row>
    <row r="2740" spans="1:9" x14ac:dyDescent="0.2">
      <c r="A2740" s="134">
        <v>45566</v>
      </c>
      <c r="B2740" s="135">
        <f>YEAR(source[[#This Row],[report_date]])</f>
        <v>2024</v>
      </c>
      <c r="C2740" s="128">
        <f t="shared" si="120"/>
        <v>10</v>
      </c>
      <c r="D2740" s="136">
        <f t="shared" si="118"/>
        <v>40</v>
      </c>
      <c r="E2740" s="136">
        <f t="shared" si="119"/>
        <v>1</v>
      </c>
      <c r="F2740" s="137" t="s">
        <v>24</v>
      </c>
      <c r="G2740" s="128" t="str">
        <f>VLOOKUP(source[[#This Row],[lending_product_transform]],[3]Mapping!$B$4:$C$37,2,0)</f>
        <v>[Cake] - Cashloan</v>
      </c>
      <c r="H2740" s="128" t="str">
        <f>VLOOKUP(source[[#This Row],[lending_product_transform]],[3]Mapping!$B$3:$D$37,3,0)</f>
        <v>cashloan</v>
      </c>
      <c r="I2740" s="143">
        <v>5657744784</v>
      </c>
    </row>
    <row r="2741" spans="1:9" x14ac:dyDescent="0.2">
      <c r="A2741" s="134">
        <v>45566</v>
      </c>
      <c r="B2741" s="135">
        <f>YEAR(source[[#This Row],[report_date]])</f>
        <v>2024</v>
      </c>
      <c r="C2741" s="128">
        <f t="shared" si="120"/>
        <v>10</v>
      </c>
      <c r="D2741" s="136">
        <f t="shared" si="118"/>
        <v>40</v>
      </c>
      <c r="E2741" s="136">
        <f t="shared" si="119"/>
        <v>1</v>
      </c>
      <c r="F2741" s="137" t="s">
        <v>24</v>
      </c>
      <c r="G2741" s="128" t="str">
        <f>VLOOKUP(source[[#This Row],[lending_product_transform]],[3]Mapping!$B$4:$C$37,2,0)</f>
        <v>[Cake] - Cashloan</v>
      </c>
      <c r="H2741" s="128" t="str">
        <f>VLOOKUP(source[[#This Row],[lending_product_transform]],[3]Mapping!$B$3:$D$37,3,0)</f>
        <v>cashloan</v>
      </c>
      <c r="I2741" s="143">
        <v>4068960000</v>
      </c>
    </row>
    <row r="2742" spans="1:9" x14ac:dyDescent="0.2">
      <c r="A2742" s="134">
        <v>45566</v>
      </c>
      <c r="B2742" s="135">
        <f>YEAR(source[[#This Row],[report_date]])</f>
        <v>2024</v>
      </c>
      <c r="C2742" s="128">
        <f t="shared" si="120"/>
        <v>10</v>
      </c>
      <c r="D2742" s="136">
        <f t="shared" si="118"/>
        <v>40</v>
      </c>
      <c r="E2742" s="136">
        <f t="shared" si="119"/>
        <v>1</v>
      </c>
      <c r="F2742" s="137" t="s">
        <v>24</v>
      </c>
      <c r="G2742" s="128" t="str">
        <f>VLOOKUP(source[[#This Row],[lending_product_transform]],[3]Mapping!$B$4:$C$37,2,0)</f>
        <v>[Cake] - Cashloan</v>
      </c>
      <c r="H2742" s="128" t="str">
        <f>VLOOKUP(source[[#This Row],[lending_product_transform]],[3]Mapping!$B$3:$D$37,3,0)</f>
        <v>cashloan</v>
      </c>
      <c r="I2742" s="143">
        <v>29540000</v>
      </c>
    </row>
    <row r="2743" spans="1:9" x14ac:dyDescent="0.2">
      <c r="A2743" s="134">
        <v>45566</v>
      </c>
      <c r="B2743" s="135">
        <f>YEAR(source[[#This Row],[report_date]])</f>
        <v>2024</v>
      </c>
      <c r="C2743" s="128">
        <f t="shared" si="120"/>
        <v>10</v>
      </c>
      <c r="D2743" s="136">
        <f t="shared" si="118"/>
        <v>40</v>
      </c>
      <c r="E2743" s="136">
        <f t="shared" si="119"/>
        <v>1</v>
      </c>
      <c r="F2743" s="137" t="s">
        <v>24</v>
      </c>
      <c r="G2743" s="128" t="str">
        <f>VLOOKUP(source[[#This Row],[lending_product_transform]],[3]Mapping!$B$4:$C$37,2,0)</f>
        <v>[Cake] - Cashloan</v>
      </c>
      <c r="H2743" s="128" t="str">
        <f>VLOOKUP(source[[#This Row],[lending_product_transform]],[3]Mapping!$B$3:$D$37,3,0)</f>
        <v>cashloan</v>
      </c>
      <c r="I2743" s="143">
        <v>8229370000</v>
      </c>
    </row>
    <row r="2744" spans="1:9" x14ac:dyDescent="0.2">
      <c r="A2744" s="134">
        <v>45566</v>
      </c>
      <c r="B2744" s="135">
        <f>YEAR(source[[#This Row],[report_date]])</f>
        <v>2024</v>
      </c>
      <c r="C2744" s="128">
        <f t="shared" si="120"/>
        <v>10</v>
      </c>
      <c r="D2744" s="136">
        <f t="shared" si="118"/>
        <v>40</v>
      </c>
      <c r="E2744" s="136">
        <f t="shared" si="119"/>
        <v>1</v>
      </c>
      <c r="F2744" s="137" t="s">
        <v>24</v>
      </c>
      <c r="G2744" s="128" t="str">
        <f>VLOOKUP(source[[#This Row],[lending_product_transform]],[3]Mapping!$B$4:$C$37,2,0)</f>
        <v>[Cake] - Cashloan</v>
      </c>
      <c r="H2744" s="128" t="str">
        <f>VLOOKUP(source[[#This Row],[lending_product_transform]],[3]Mapping!$B$3:$D$37,3,0)</f>
        <v>cashloan</v>
      </c>
      <c r="I2744" s="143">
        <v>4779500000</v>
      </c>
    </row>
    <row r="2745" spans="1:9" x14ac:dyDescent="0.2">
      <c r="A2745" s="134">
        <v>45566</v>
      </c>
      <c r="B2745" s="135">
        <f>YEAR(source[[#This Row],[report_date]])</f>
        <v>2024</v>
      </c>
      <c r="C2745" s="128">
        <f t="shared" si="120"/>
        <v>10</v>
      </c>
      <c r="D2745" s="136">
        <f t="shared" si="118"/>
        <v>40</v>
      </c>
      <c r="E2745" s="136">
        <f t="shared" si="119"/>
        <v>1</v>
      </c>
      <c r="F2745" s="137" t="s">
        <v>24</v>
      </c>
      <c r="G2745" s="128" t="str">
        <f>VLOOKUP(source[[#This Row],[lending_product_transform]],[3]Mapping!$B$4:$C$37,2,0)</f>
        <v>[Cake] - Cashloan</v>
      </c>
      <c r="H2745" s="128" t="str">
        <f>VLOOKUP(source[[#This Row],[lending_product_transform]],[3]Mapping!$B$3:$D$37,3,0)</f>
        <v>cashloan</v>
      </c>
      <c r="I2745" s="143">
        <v>246816337</v>
      </c>
    </row>
    <row r="2746" spans="1:9" x14ac:dyDescent="0.2">
      <c r="A2746" s="134">
        <v>45566</v>
      </c>
      <c r="B2746" s="135">
        <f>YEAR(source[[#This Row],[report_date]])</f>
        <v>2024</v>
      </c>
      <c r="C2746" s="128">
        <f t="shared" si="120"/>
        <v>10</v>
      </c>
      <c r="D2746" s="136">
        <f t="shared" si="118"/>
        <v>40</v>
      </c>
      <c r="E2746" s="136">
        <f t="shared" si="119"/>
        <v>1</v>
      </c>
      <c r="F2746" s="137" t="s">
        <v>24</v>
      </c>
      <c r="G2746" s="128" t="str">
        <f>VLOOKUP(source[[#This Row],[lending_product_transform]],[3]Mapping!$B$4:$C$37,2,0)</f>
        <v>[Cake] - Cashloan</v>
      </c>
      <c r="H2746" s="128" t="str">
        <f>VLOOKUP(source[[#This Row],[lending_product_transform]],[3]Mapping!$B$3:$D$37,3,0)</f>
        <v>cashloan</v>
      </c>
      <c r="I2746" s="143">
        <v>41070702</v>
      </c>
    </row>
    <row r="2747" spans="1:9" x14ac:dyDescent="0.2">
      <c r="A2747" s="134">
        <v>45566</v>
      </c>
      <c r="B2747" s="135">
        <f>YEAR(source[[#This Row],[report_date]])</f>
        <v>2024</v>
      </c>
      <c r="C2747" s="128">
        <f t="shared" si="120"/>
        <v>10</v>
      </c>
      <c r="D2747" s="136">
        <f t="shared" si="118"/>
        <v>40</v>
      </c>
      <c r="E2747" s="136">
        <f t="shared" si="119"/>
        <v>1</v>
      </c>
      <c r="F2747" s="137" t="s">
        <v>24</v>
      </c>
      <c r="G2747" s="128" t="str">
        <f>VLOOKUP(source[[#This Row],[lending_product_transform]],[3]Mapping!$B$4:$C$37,2,0)</f>
        <v>[Cake] - Cashloan</v>
      </c>
      <c r="H2747" s="128" t="str">
        <f>VLOOKUP(source[[#This Row],[lending_product_transform]],[3]Mapping!$B$3:$D$37,3,0)</f>
        <v>cashloan</v>
      </c>
      <c r="I2747" s="143">
        <v>0</v>
      </c>
    </row>
    <row r="2748" spans="1:9" x14ac:dyDescent="0.2">
      <c r="A2748" s="134">
        <v>45566</v>
      </c>
      <c r="B2748" s="135">
        <f>YEAR(source[[#This Row],[report_date]])</f>
        <v>2024</v>
      </c>
      <c r="C2748" s="128">
        <f t="shared" si="120"/>
        <v>10</v>
      </c>
      <c r="D2748" s="136">
        <f t="shared" si="118"/>
        <v>40</v>
      </c>
      <c r="E2748" s="136">
        <f t="shared" si="119"/>
        <v>1</v>
      </c>
      <c r="F2748" s="137" t="s">
        <v>24</v>
      </c>
      <c r="G2748" s="128" t="str">
        <f>VLOOKUP(source[[#This Row],[lending_product_transform]],[3]Mapping!$B$4:$C$37,2,0)</f>
        <v>[Cake] - Cashloan</v>
      </c>
      <c r="H2748" s="128" t="str">
        <f>VLOOKUP(source[[#This Row],[lending_product_transform]],[3]Mapping!$B$3:$D$37,3,0)</f>
        <v>cashloan</v>
      </c>
      <c r="I2748" s="143">
        <v>31500000</v>
      </c>
    </row>
    <row r="2749" spans="1:9" x14ac:dyDescent="0.2">
      <c r="A2749" s="134">
        <v>45567</v>
      </c>
      <c r="B2749" s="135">
        <f>YEAR(source[[#This Row],[report_date]])</f>
        <v>2024</v>
      </c>
      <c r="C2749" s="128">
        <f t="shared" si="120"/>
        <v>10</v>
      </c>
      <c r="D2749" s="136">
        <f t="shared" si="118"/>
        <v>40</v>
      </c>
      <c r="E2749" s="136">
        <f t="shared" si="119"/>
        <v>2</v>
      </c>
      <c r="F2749" s="137" t="s">
        <v>24</v>
      </c>
      <c r="G2749" s="128" t="str">
        <f>VLOOKUP(source[[#This Row],[lending_product_transform]],[3]Mapping!$B$4:$C$37,2,0)</f>
        <v>[Cake] - Cashloan</v>
      </c>
      <c r="H2749" s="128" t="str">
        <f>VLOOKUP(source[[#This Row],[lending_product_transform]],[3]Mapping!$B$3:$D$37,3,0)</f>
        <v>cashloan</v>
      </c>
      <c r="I2749" s="143">
        <v>30000</v>
      </c>
    </row>
    <row r="2750" spans="1:9" x14ac:dyDescent="0.2">
      <c r="A2750" s="134">
        <v>45567</v>
      </c>
      <c r="B2750" s="135">
        <f>YEAR(source[[#This Row],[report_date]])</f>
        <v>2024</v>
      </c>
      <c r="C2750" s="128">
        <f t="shared" si="120"/>
        <v>10</v>
      </c>
      <c r="D2750" s="136">
        <f t="shared" si="118"/>
        <v>40</v>
      </c>
      <c r="E2750" s="136">
        <f t="shared" si="119"/>
        <v>2</v>
      </c>
      <c r="F2750" s="137" t="s">
        <v>24</v>
      </c>
      <c r="G2750" s="128" t="str">
        <f>VLOOKUP(source[[#This Row],[lending_product_transform]],[3]Mapping!$B$4:$C$37,2,0)</f>
        <v>[Cake] - Cashloan</v>
      </c>
      <c r="H2750" s="128" t="str">
        <f>VLOOKUP(source[[#This Row],[lending_product_transform]],[3]Mapping!$B$3:$D$37,3,0)</f>
        <v>cashloan</v>
      </c>
      <c r="I2750" s="143">
        <v>0</v>
      </c>
    </row>
    <row r="2751" spans="1:9" x14ac:dyDescent="0.2">
      <c r="A2751" s="134">
        <v>45567</v>
      </c>
      <c r="B2751" s="135">
        <f>YEAR(source[[#This Row],[report_date]])</f>
        <v>2024</v>
      </c>
      <c r="C2751" s="128">
        <f t="shared" si="120"/>
        <v>10</v>
      </c>
      <c r="D2751" s="136">
        <f t="shared" si="118"/>
        <v>40</v>
      </c>
      <c r="E2751" s="136">
        <f t="shared" si="119"/>
        <v>2</v>
      </c>
      <c r="F2751" s="137" t="s">
        <v>24</v>
      </c>
      <c r="G2751" s="128" t="str">
        <f>VLOOKUP(source[[#This Row],[lending_product_transform]],[3]Mapping!$B$4:$C$37,2,0)</f>
        <v>[Cake] - Cashloan</v>
      </c>
      <c r="H2751" s="128" t="str">
        <f>VLOOKUP(source[[#This Row],[lending_product_transform]],[3]Mapping!$B$3:$D$37,3,0)</f>
        <v>cashloan</v>
      </c>
      <c r="I2751" s="143">
        <v>39459713</v>
      </c>
    </row>
    <row r="2752" spans="1:9" x14ac:dyDescent="0.2">
      <c r="A2752" s="134">
        <v>45567</v>
      </c>
      <c r="B2752" s="135">
        <f>YEAR(source[[#This Row],[report_date]])</f>
        <v>2024</v>
      </c>
      <c r="C2752" s="128">
        <f t="shared" si="120"/>
        <v>10</v>
      </c>
      <c r="D2752" s="136">
        <f t="shared" si="118"/>
        <v>40</v>
      </c>
      <c r="E2752" s="136">
        <f t="shared" si="119"/>
        <v>2</v>
      </c>
      <c r="F2752" s="137" t="s">
        <v>24</v>
      </c>
      <c r="G2752" s="128" t="str">
        <f>VLOOKUP(source[[#This Row],[lending_product_transform]],[3]Mapping!$B$4:$C$37,2,0)</f>
        <v>[Cake] - Cashloan</v>
      </c>
      <c r="H2752" s="128" t="str">
        <f>VLOOKUP(source[[#This Row],[lending_product_transform]],[3]Mapping!$B$3:$D$37,3,0)</f>
        <v>cashloan</v>
      </c>
      <c r="I2752" s="143">
        <v>75000000</v>
      </c>
    </row>
    <row r="2753" spans="1:9" x14ac:dyDescent="0.2">
      <c r="A2753" s="134">
        <v>45567</v>
      </c>
      <c r="B2753" s="135">
        <f>YEAR(source[[#This Row],[report_date]])</f>
        <v>2024</v>
      </c>
      <c r="C2753" s="128">
        <f t="shared" si="120"/>
        <v>10</v>
      </c>
      <c r="D2753" s="136">
        <f t="shared" si="118"/>
        <v>40</v>
      </c>
      <c r="E2753" s="136">
        <f t="shared" si="119"/>
        <v>2</v>
      </c>
      <c r="F2753" s="137" t="s">
        <v>24</v>
      </c>
      <c r="G2753" s="128" t="str">
        <f>VLOOKUP(source[[#This Row],[lending_product_transform]],[3]Mapping!$B$4:$C$37,2,0)</f>
        <v>[Cake] - Cashloan</v>
      </c>
      <c r="H2753" s="128" t="str">
        <f>VLOOKUP(source[[#This Row],[lending_product_transform]],[3]Mapping!$B$3:$D$37,3,0)</f>
        <v>cashloan</v>
      </c>
      <c r="I2753" s="143">
        <v>80850000</v>
      </c>
    </row>
    <row r="2754" spans="1:9" x14ac:dyDescent="0.2">
      <c r="A2754" s="134">
        <v>45567</v>
      </c>
      <c r="B2754" s="135">
        <f>YEAR(source[[#This Row],[report_date]])</f>
        <v>2024</v>
      </c>
      <c r="C2754" s="128">
        <f t="shared" si="120"/>
        <v>10</v>
      </c>
      <c r="D2754" s="136">
        <f t="shared" si="118"/>
        <v>40</v>
      </c>
      <c r="E2754" s="136">
        <f t="shared" si="119"/>
        <v>2</v>
      </c>
      <c r="F2754" s="137" t="s">
        <v>24</v>
      </c>
      <c r="G2754" s="128" t="str">
        <f>VLOOKUP(source[[#This Row],[lending_product_transform]],[3]Mapping!$B$4:$C$37,2,0)</f>
        <v>[Cake] - Cashloan</v>
      </c>
      <c r="H2754" s="128" t="str">
        <f>VLOOKUP(source[[#This Row],[lending_product_transform]],[3]Mapping!$B$3:$D$37,3,0)</f>
        <v>cashloan</v>
      </c>
      <c r="I2754" s="143">
        <v>0</v>
      </c>
    </row>
    <row r="2755" spans="1:9" x14ac:dyDescent="0.2">
      <c r="A2755" s="134">
        <v>45567</v>
      </c>
      <c r="B2755" s="135">
        <f>YEAR(source[[#This Row],[report_date]])</f>
        <v>2024</v>
      </c>
      <c r="C2755" s="128">
        <f t="shared" si="120"/>
        <v>10</v>
      </c>
      <c r="D2755" s="136">
        <f t="shared" ref="D2755:D2818" si="121">WEEKNUM(A2755,2)</f>
        <v>40</v>
      </c>
      <c r="E2755" s="136">
        <f t="shared" ref="E2755:E2818" si="122">DAY(A2755)</f>
        <v>2</v>
      </c>
      <c r="F2755" s="137" t="s">
        <v>24</v>
      </c>
      <c r="G2755" s="128" t="str">
        <f>VLOOKUP(source[[#This Row],[lending_product_transform]],[3]Mapping!$B$4:$C$37,2,0)</f>
        <v>[Cake] - Cashloan</v>
      </c>
      <c r="H2755" s="128" t="str">
        <f>VLOOKUP(source[[#This Row],[lending_product_transform]],[3]Mapping!$B$3:$D$37,3,0)</f>
        <v>cashloan</v>
      </c>
      <c r="I2755" s="143">
        <v>8669410000</v>
      </c>
    </row>
    <row r="2756" spans="1:9" x14ac:dyDescent="0.2">
      <c r="A2756" s="134">
        <v>45567</v>
      </c>
      <c r="B2756" s="135">
        <f>YEAR(source[[#This Row],[report_date]])</f>
        <v>2024</v>
      </c>
      <c r="C2756" s="128">
        <f t="shared" si="120"/>
        <v>10</v>
      </c>
      <c r="D2756" s="136">
        <f t="shared" si="121"/>
        <v>40</v>
      </c>
      <c r="E2756" s="136">
        <f t="shared" si="122"/>
        <v>2</v>
      </c>
      <c r="F2756" s="137" t="s">
        <v>24</v>
      </c>
      <c r="G2756" s="128" t="str">
        <f>VLOOKUP(source[[#This Row],[lending_product_transform]],[3]Mapping!$B$4:$C$37,2,0)</f>
        <v>[Cake] - Cashloan</v>
      </c>
      <c r="H2756" s="128" t="str">
        <f>VLOOKUP(source[[#This Row],[lending_product_transform]],[3]Mapping!$B$3:$D$37,3,0)</f>
        <v>cashloan</v>
      </c>
      <c r="I2756" s="143">
        <v>4493000000</v>
      </c>
    </row>
    <row r="2757" spans="1:9" x14ac:dyDescent="0.2">
      <c r="A2757" s="134">
        <v>45567</v>
      </c>
      <c r="B2757" s="135">
        <f>YEAR(source[[#This Row],[report_date]])</f>
        <v>2024</v>
      </c>
      <c r="C2757" s="128">
        <f t="shared" si="120"/>
        <v>10</v>
      </c>
      <c r="D2757" s="136">
        <f t="shared" si="121"/>
        <v>40</v>
      </c>
      <c r="E2757" s="136">
        <f t="shared" si="122"/>
        <v>2</v>
      </c>
      <c r="F2757" s="137" t="s">
        <v>24</v>
      </c>
      <c r="G2757" s="128" t="str">
        <f>VLOOKUP(source[[#This Row],[lending_product_transform]],[3]Mapping!$B$4:$C$37,2,0)</f>
        <v>[Cake] - Cashloan</v>
      </c>
      <c r="H2757" s="128" t="str">
        <f>VLOOKUP(source[[#This Row],[lending_product_transform]],[3]Mapping!$B$3:$D$37,3,0)</f>
        <v>cashloan</v>
      </c>
      <c r="I2757" s="143">
        <v>239162861</v>
      </c>
    </row>
    <row r="2758" spans="1:9" x14ac:dyDescent="0.2">
      <c r="A2758" s="134">
        <v>45567</v>
      </c>
      <c r="B2758" s="135">
        <f>YEAR(source[[#This Row],[report_date]])</f>
        <v>2024</v>
      </c>
      <c r="C2758" s="128">
        <f t="shared" si="120"/>
        <v>10</v>
      </c>
      <c r="D2758" s="136">
        <f t="shared" si="121"/>
        <v>40</v>
      </c>
      <c r="E2758" s="136">
        <f t="shared" si="122"/>
        <v>2</v>
      </c>
      <c r="F2758" s="137" t="s">
        <v>24</v>
      </c>
      <c r="G2758" s="128" t="str">
        <f>VLOOKUP(source[[#This Row],[lending_product_transform]],[3]Mapping!$B$4:$C$37,2,0)</f>
        <v>[Cake] - Cashloan</v>
      </c>
      <c r="H2758" s="128" t="str">
        <f>VLOOKUP(source[[#This Row],[lending_product_transform]],[3]Mapping!$B$3:$D$37,3,0)</f>
        <v>cashloan</v>
      </c>
      <c r="I2758" s="143">
        <v>259450000</v>
      </c>
    </row>
    <row r="2759" spans="1:9" x14ac:dyDescent="0.2">
      <c r="A2759" s="134">
        <v>45567</v>
      </c>
      <c r="B2759" s="135">
        <f>YEAR(source[[#This Row],[report_date]])</f>
        <v>2024</v>
      </c>
      <c r="C2759" s="128">
        <f t="shared" si="120"/>
        <v>10</v>
      </c>
      <c r="D2759" s="136">
        <f t="shared" si="121"/>
        <v>40</v>
      </c>
      <c r="E2759" s="136">
        <f t="shared" si="122"/>
        <v>2</v>
      </c>
      <c r="F2759" s="137" t="s">
        <v>24</v>
      </c>
      <c r="G2759" s="128" t="str">
        <f>VLOOKUP(source[[#This Row],[lending_product_transform]],[3]Mapping!$B$4:$C$37,2,0)</f>
        <v>[Cake] - Cashloan</v>
      </c>
      <c r="H2759" s="128" t="str">
        <f>VLOOKUP(source[[#This Row],[lending_product_transform]],[3]Mapping!$B$3:$D$37,3,0)</f>
        <v>cashloan</v>
      </c>
      <c r="I2759" s="143">
        <v>3411330000</v>
      </c>
    </row>
    <row r="2760" spans="1:9" x14ac:dyDescent="0.2">
      <c r="A2760" s="134">
        <v>45567</v>
      </c>
      <c r="B2760" s="135">
        <f>YEAR(source[[#This Row],[report_date]])</f>
        <v>2024</v>
      </c>
      <c r="C2760" s="128">
        <f t="shared" si="120"/>
        <v>10</v>
      </c>
      <c r="D2760" s="136">
        <f t="shared" si="121"/>
        <v>40</v>
      </c>
      <c r="E2760" s="136">
        <f t="shared" si="122"/>
        <v>2</v>
      </c>
      <c r="F2760" s="137" t="s">
        <v>24</v>
      </c>
      <c r="G2760" s="128" t="str">
        <f>VLOOKUP(source[[#This Row],[lending_product_transform]],[3]Mapping!$B$4:$C$37,2,0)</f>
        <v>[Cake] - Cashloan</v>
      </c>
      <c r="H2760" s="128" t="str">
        <f>VLOOKUP(source[[#This Row],[lending_product_transform]],[3]Mapping!$B$3:$D$37,3,0)</f>
        <v>cashloan</v>
      </c>
      <c r="I2760" s="143">
        <v>22470000</v>
      </c>
    </row>
    <row r="2761" spans="1:9" x14ac:dyDescent="0.2">
      <c r="A2761" s="134">
        <v>45567</v>
      </c>
      <c r="B2761" s="135">
        <f>YEAR(source[[#This Row],[report_date]])</f>
        <v>2024</v>
      </c>
      <c r="C2761" s="128">
        <f t="shared" si="120"/>
        <v>10</v>
      </c>
      <c r="D2761" s="136">
        <f t="shared" si="121"/>
        <v>40</v>
      </c>
      <c r="E2761" s="136">
        <f t="shared" si="122"/>
        <v>2</v>
      </c>
      <c r="F2761" s="137" t="s">
        <v>24</v>
      </c>
      <c r="G2761" s="128" t="str">
        <f>VLOOKUP(source[[#This Row],[lending_product_transform]],[3]Mapping!$B$4:$C$37,2,0)</f>
        <v>[Cake] - Cashloan</v>
      </c>
      <c r="H2761" s="128" t="str">
        <f>VLOOKUP(source[[#This Row],[lending_product_transform]],[3]Mapping!$B$3:$D$37,3,0)</f>
        <v>cashloan</v>
      </c>
      <c r="I2761" s="143">
        <v>4844123637</v>
      </c>
    </row>
    <row r="2762" spans="1:9" x14ac:dyDescent="0.2">
      <c r="A2762" s="134">
        <v>45568</v>
      </c>
      <c r="B2762" s="135">
        <f>YEAR(source[[#This Row],[report_date]])</f>
        <v>2024</v>
      </c>
      <c r="C2762" s="128">
        <f t="shared" si="120"/>
        <v>10</v>
      </c>
      <c r="D2762" s="136">
        <f t="shared" si="121"/>
        <v>40</v>
      </c>
      <c r="E2762" s="136">
        <f t="shared" si="122"/>
        <v>3</v>
      </c>
      <c r="F2762" s="137" t="s">
        <v>24</v>
      </c>
      <c r="G2762" s="128" t="str">
        <f>VLOOKUP(source[[#This Row],[lending_product_transform]],[3]Mapping!$B$4:$C$37,2,0)</f>
        <v>[Cake] - Cashloan</v>
      </c>
      <c r="H2762" s="128" t="str">
        <f>VLOOKUP(source[[#This Row],[lending_product_transform]],[3]Mapping!$B$3:$D$37,3,0)</f>
        <v>cashloan</v>
      </c>
      <c r="I2762" s="143">
        <v>84000000</v>
      </c>
    </row>
    <row r="2763" spans="1:9" x14ac:dyDescent="0.2">
      <c r="A2763" s="134">
        <v>45568</v>
      </c>
      <c r="B2763" s="135">
        <f>YEAR(source[[#This Row],[report_date]])</f>
        <v>2024</v>
      </c>
      <c r="C2763" s="128">
        <f t="shared" si="120"/>
        <v>10</v>
      </c>
      <c r="D2763" s="136">
        <f t="shared" si="121"/>
        <v>40</v>
      </c>
      <c r="E2763" s="136">
        <f t="shared" si="122"/>
        <v>3</v>
      </c>
      <c r="F2763" s="137" t="s">
        <v>24</v>
      </c>
      <c r="G2763" s="128" t="str">
        <f>VLOOKUP(source[[#This Row],[lending_product_transform]],[3]Mapping!$B$4:$C$37,2,0)</f>
        <v>[Cake] - Cashloan</v>
      </c>
      <c r="H2763" s="128" t="str">
        <f>VLOOKUP(source[[#This Row],[lending_product_transform]],[3]Mapping!$B$3:$D$37,3,0)</f>
        <v>cashloan</v>
      </c>
      <c r="I2763" s="143">
        <v>34000</v>
      </c>
    </row>
    <row r="2764" spans="1:9" x14ac:dyDescent="0.2">
      <c r="A2764" s="134">
        <v>45568</v>
      </c>
      <c r="B2764" s="135">
        <f>YEAR(source[[#This Row],[report_date]])</f>
        <v>2024</v>
      </c>
      <c r="C2764" s="128">
        <f t="shared" si="120"/>
        <v>10</v>
      </c>
      <c r="D2764" s="136">
        <f t="shared" si="121"/>
        <v>40</v>
      </c>
      <c r="E2764" s="136">
        <f t="shared" si="122"/>
        <v>3</v>
      </c>
      <c r="F2764" s="137" t="s">
        <v>24</v>
      </c>
      <c r="G2764" s="128" t="str">
        <f>VLOOKUP(source[[#This Row],[lending_product_transform]],[3]Mapping!$B$4:$C$37,2,0)</f>
        <v>[Cake] - Cashloan</v>
      </c>
      <c r="H2764" s="128" t="str">
        <f>VLOOKUP(source[[#This Row],[lending_product_transform]],[3]Mapping!$B$3:$D$37,3,0)</f>
        <v>cashloan</v>
      </c>
      <c r="I2764" s="143">
        <v>4126750000</v>
      </c>
    </row>
    <row r="2765" spans="1:9" x14ac:dyDescent="0.2">
      <c r="A2765" s="134">
        <v>45568</v>
      </c>
      <c r="B2765" s="135">
        <f>YEAR(source[[#This Row],[report_date]])</f>
        <v>2024</v>
      </c>
      <c r="C2765" s="128">
        <f t="shared" si="120"/>
        <v>10</v>
      </c>
      <c r="D2765" s="136">
        <f t="shared" si="121"/>
        <v>40</v>
      </c>
      <c r="E2765" s="136">
        <f t="shared" si="122"/>
        <v>3</v>
      </c>
      <c r="F2765" s="137" t="s">
        <v>24</v>
      </c>
      <c r="G2765" s="128" t="str">
        <f>VLOOKUP(source[[#This Row],[lending_product_transform]],[3]Mapping!$B$4:$C$37,2,0)</f>
        <v>[Cake] - Cashloan</v>
      </c>
      <c r="H2765" s="128" t="str">
        <f>VLOOKUP(source[[#This Row],[lending_product_transform]],[3]Mapping!$B$3:$D$37,3,0)</f>
        <v>cashloan</v>
      </c>
      <c r="I2765" s="143">
        <v>44000000</v>
      </c>
    </row>
    <row r="2766" spans="1:9" x14ac:dyDescent="0.2">
      <c r="A2766" s="134">
        <v>45568</v>
      </c>
      <c r="B2766" s="135">
        <f>YEAR(source[[#This Row],[report_date]])</f>
        <v>2024</v>
      </c>
      <c r="C2766" s="128">
        <f t="shared" si="120"/>
        <v>10</v>
      </c>
      <c r="D2766" s="136">
        <f t="shared" si="121"/>
        <v>40</v>
      </c>
      <c r="E2766" s="136">
        <f t="shared" si="122"/>
        <v>3</v>
      </c>
      <c r="F2766" s="137" t="s">
        <v>24</v>
      </c>
      <c r="G2766" s="128" t="str">
        <f>VLOOKUP(source[[#This Row],[lending_product_transform]],[3]Mapping!$B$4:$C$37,2,0)</f>
        <v>[Cake] - Cashloan</v>
      </c>
      <c r="H2766" s="128" t="str">
        <f>VLOOKUP(source[[#This Row],[lending_product_transform]],[3]Mapping!$B$3:$D$37,3,0)</f>
        <v>cashloan</v>
      </c>
      <c r="I2766" s="143">
        <v>3744730369</v>
      </c>
    </row>
    <row r="2767" spans="1:9" x14ac:dyDescent="0.2">
      <c r="A2767" s="134">
        <v>45568</v>
      </c>
      <c r="B2767" s="135">
        <f>YEAR(source[[#This Row],[report_date]])</f>
        <v>2024</v>
      </c>
      <c r="C2767" s="128">
        <f t="shared" si="120"/>
        <v>10</v>
      </c>
      <c r="D2767" s="136">
        <f t="shared" si="121"/>
        <v>40</v>
      </c>
      <c r="E2767" s="136">
        <f t="shared" si="122"/>
        <v>3</v>
      </c>
      <c r="F2767" s="137" t="s">
        <v>24</v>
      </c>
      <c r="G2767" s="128" t="str">
        <f>VLOOKUP(source[[#This Row],[lending_product_transform]],[3]Mapping!$B$4:$C$37,2,0)</f>
        <v>[Cake] - Cashloan</v>
      </c>
      <c r="H2767" s="128" t="str">
        <f>VLOOKUP(source[[#This Row],[lending_product_transform]],[3]Mapping!$B$3:$D$37,3,0)</f>
        <v>cashloan</v>
      </c>
      <c r="I2767" s="143">
        <v>49592899</v>
      </c>
    </row>
    <row r="2768" spans="1:9" x14ac:dyDescent="0.2">
      <c r="A2768" s="134">
        <v>45568</v>
      </c>
      <c r="B2768" s="135">
        <f>YEAR(source[[#This Row],[report_date]])</f>
        <v>2024</v>
      </c>
      <c r="C2768" s="128">
        <f t="shared" si="120"/>
        <v>10</v>
      </c>
      <c r="D2768" s="136">
        <f t="shared" si="121"/>
        <v>40</v>
      </c>
      <c r="E2768" s="136">
        <f t="shared" si="122"/>
        <v>3</v>
      </c>
      <c r="F2768" s="137" t="s">
        <v>24</v>
      </c>
      <c r="G2768" s="128" t="str">
        <f>VLOOKUP(source[[#This Row],[lending_product_transform]],[3]Mapping!$B$4:$C$37,2,0)</f>
        <v>[Cake] - Cashloan</v>
      </c>
      <c r="H2768" s="128" t="str">
        <f>VLOOKUP(source[[#This Row],[lending_product_transform]],[3]Mapping!$B$3:$D$37,3,0)</f>
        <v>cashloan</v>
      </c>
      <c r="I2768" s="143">
        <v>0</v>
      </c>
    </row>
    <row r="2769" spans="1:9" x14ac:dyDescent="0.2">
      <c r="A2769" s="134">
        <v>45568</v>
      </c>
      <c r="B2769" s="135">
        <f>YEAR(source[[#This Row],[report_date]])</f>
        <v>2024</v>
      </c>
      <c r="C2769" s="128">
        <f t="shared" si="120"/>
        <v>10</v>
      </c>
      <c r="D2769" s="136">
        <f t="shared" si="121"/>
        <v>40</v>
      </c>
      <c r="E2769" s="136">
        <f t="shared" si="122"/>
        <v>3</v>
      </c>
      <c r="F2769" s="137" t="s">
        <v>24</v>
      </c>
      <c r="G2769" s="128" t="str">
        <f>VLOOKUP(source[[#This Row],[lending_product_transform]],[3]Mapping!$B$4:$C$37,2,0)</f>
        <v>[Cake] - Cashloan</v>
      </c>
      <c r="H2769" s="128" t="str">
        <f>VLOOKUP(source[[#This Row],[lending_product_transform]],[3]Mapping!$B$3:$D$37,3,0)</f>
        <v>cashloan</v>
      </c>
      <c r="I2769" s="143">
        <v>7496820000</v>
      </c>
    </row>
    <row r="2770" spans="1:9" x14ac:dyDescent="0.2">
      <c r="A2770" s="134">
        <v>45568</v>
      </c>
      <c r="B2770" s="135">
        <f>YEAR(source[[#This Row],[report_date]])</f>
        <v>2024</v>
      </c>
      <c r="C2770" s="128">
        <f t="shared" si="120"/>
        <v>10</v>
      </c>
      <c r="D2770" s="136">
        <f t="shared" si="121"/>
        <v>40</v>
      </c>
      <c r="E2770" s="136">
        <f t="shared" si="122"/>
        <v>3</v>
      </c>
      <c r="F2770" s="137" t="s">
        <v>24</v>
      </c>
      <c r="G2770" s="128" t="str">
        <f>VLOOKUP(source[[#This Row],[lending_product_transform]],[3]Mapping!$B$4:$C$37,2,0)</f>
        <v>[Cake] - Cashloan</v>
      </c>
      <c r="H2770" s="128" t="str">
        <f>VLOOKUP(source[[#This Row],[lending_product_transform]],[3]Mapping!$B$3:$D$37,3,0)</f>
        <v>cashloan</v>
      </c>
      <c r="I2770" s="143">
        <v>0</v>
      </c>
    </row>
    <row r="2771" spans="1:9" x14ac:dyDescent="0.2">
      <c r="A2771" s="134">
        <v>45568</v>
      </c>
      <c r="B2771" s="135">
        <f>YEAR(source[[#This Row],[report_date]])</f>
        <v>2024</v>
      </c>
      <c r="C2771" s="128">
        <f t="shared" si="120"/>
        <v>10</v>
      </c>
      <c r="D2771" s="136">
        <f t="shared" si="121"/>
        <v>40</v>
      </c>
      <c r="E2771" s="136">
        <f t="shared" si="122"/>
        <v>3</v>
      </c>
      <c r="F2771" s="137" t="s">
        <v>24</v>
      </c>
      <c r="G2771" s="128" t="str">
        <f>VLOOKUP(source[[#This Row],[lending_product_transform]],[3]Mapping!$B$4:$C$37,2,0)</f>
        <v>[Cake] - Cashloan</v>
      </c>
      <c r="H2771" s="128" t="str">
        <f>VLOOKUP(source[[#This Row],[lending_product_transform]],[3]Mapping!$B$3:$D$37,3,0)</f>
        <v>cashloan</v>
      </c>
      <c r="I2771" s="143">
        <v>6420000</v>
      </c>
    </row>
    <row r="2772" spans="1:9" x14ac:dyDescent="0.2">
      <c r="A2772" s="134">
        <v>45568</v>
      </c>
      <c r="B2772" s="135">
        <f>YEAR(source[[#This Row],[report_date]])</f>
        <v>2024</v>
      </c>
      <c r="C2772" s="128">
        <f t="shared" si="120"/>
        <v>10</v>
      </c>
      <c r="D2772" s="136">
        <f t="shared" si="121"/>
        <v>40</v>
      </c>
      <c r="E2772" s="136">
        <f t="shared" si="122"/>
        <v>3</v>
      </c>
      <c r="F2772" s="137" t="s">
        <v>24</v>
      </c>
      <c r="G2772" s="128" t="str">
        <f>VLOOKUP(source[[#This Row],[lending_product_transform]],[3]Mapping!$B$4:$C$37,2,0)</f>
        <v>[Cake] - Cashloan</v>
      </c>
      <c r="H2772" s="128" t="str">
        <f>VLOOKUP(source[[#This Row],[lending_product_transform]],[3]Mapping!$B$3:$D$37,3,0)</f>
        <v>cashloan</v>
      </c>
      <c r="I2772" s="143">
        <v>115500000</v>
      </c>
    </row>
    <row r="2773" spans="1:9" x14ac:dyDescent="0.2">
      <c r="A2773" s="134">
        <v>45568</v>
      </c>
      <c r="B2773" s="135">
        <f>YEAR(source[[#This Row],[report_date]])</f>
        <v>2024</v>
      </c>
      <c r="C2773" s="128">
        <f t="shared" ref="C2773:C2836" si="123">MONTH(A2773)</f>
        <v>10</v>
      </c>
      <c r="D2773" s="136">
        <f t="shared" si="121"/>
        <v>40</v>
      </c>
      <c r="E2773" s="136">
        <f t="shared" si="122"/>
        <v>3</v>
      </c>
      <c r="F2773" s="137" t="s">
        <v>24</v>
      </c>
      <c r="G2773" s="128" t="str">
        <f>VLOOKUP(source[[#This Row],[lending_product_transform]],[3]Mapping!$B$4:$C$37,2,0)</f>
        <v>[Cake] - Cashloan</v>
      </c>
      <c r="H2773" s="128" t="str">
        <f>VLOOKUP(source[[#This Row],[lending_product_transform]],[3]Mapping!$B$3:$D$37,3,0)</f>
        <v>cashloan</v>
      </c>
      <c r="I2773" s="143">
        <v>284719543</v>
      </c>
    </row>
    <row r="2774" spans="1:9" x14ac:dyDescent="0.2">
      <c r="A2774" s="134">
        <v>45568</v>
      </c>
      <c r="B2774" s="135">
        <f>YEAR(source[[#This Row],[report_date]])</f>
        <v>2024</v>
      </c>
      <c r="C2774" s="128">
        <f t="shared" si="123"/>
        <v>10</v>
      </c>
      <c r="D2774" s="136">
        <f t="shared" si="121"/>
        <v>40</v>
      </c>
      <c r="E2774" s="136">
        <f t="shared" si="122"/>
        <v>3</v>
      </c>
      <c r="F2774" s="137" t="s">
        <v>24</v>
      </c>
      <c r="G2774" s="128" t="str">
        <f>VLOOKUP(source[[#This Row],[lending_product_transform]],[3]Mapping!$B$4:$C$37,2,0)</f>
        <v>[Cake] - Cashloan</v>
      </c>
      <c r="H2774" s="128" t="str">
        <f>VLOOKUP(source[[#This Row],[lending_product_transform]],[3]Mapping!$B$3:$D$37,3,0)</f>
        <v>cashloan</v>
      </c>
      <c r="I2774" s="143">
        <v>3936000000</v>
      </c>
    </row>
    <row r="2775" spans="1:9" x14ac:dyDescent="0.2">
      <c r="A2775" s="134">
        <v>45569</v>
      </c>
      <c r="B2775" s="135">
        <f>YEAR(source[[#This Row],[report_date]])</f>
        <v>2024</v>
      </c>
      <c r="C2775" s="128">
        <f t="shared" si="123"/>
        <v>10</v>
      </c>
      <c r="D2775" s="136">
        <f t="shared" si="121"/>
        <v>40</v>
      </c>
      <c r="E2775" s="136">
        <f t="shared" si="122"/>
        <v>4</v>
      </c>
      <c r="F2775" s="137" t="s">
        <v>24</v>
      </c>
      <c r="G2775" s="128" t="str">
        <f>VLOOKUP(source[[#This Row],[lending_product_transform]],[3]Mapping!$B$4:$C$37,2,0)</f>
        <v>[Cake] - Cashloan</v>
      </c>
      <c r="H2775" s="128" t="str">
        <f>VLOOKUP(source[[#This Row],[lending_product_transform]],[3]Mapping!$B$3:$D$37,3,0)</f>
        <v>cashloan</v>
      </c>
      <c r="I2775" s="143">
        <v>38000</v>
      </c>
    </row>
    <row r="2776" spans="1:9" x14ac:dyDescent="0.2">
      <c r="A2776" s="134">
        <v>45569</v>
      </c>
      <c r="B2776" s="135">
        <f>YEAR(source[[#This Row],[report_date]])</f>
        <v>2024</v>
      </c>
      <c r="C2776" s="128">
        <f t="shared" si="123"/>
        <v>10</v>
      </c>
      <c r="D2776" s="136">
        <f t="shared" si="121"/>
        <v>40</v>
      </c>
      <c r="E2776" s="136">
        <f t="shared" si="122"/>
        <v>4</v>
      </c>
      <c r="F2776" s="137" t="s">
        <v>24</v>
      </c>
      <c r="G2776" s="128" t="str">
        <f>VLOOKUP(source[[#This Row],[lending_product_transform]],[3]Mapping!$B$4:$C$37,2,0)</f>
        <v>[Cake] - Cashloan</v>
      </c>
      <c r="H2776" s="128" t="str">
        <f>VLOOKUP(source[[#This Row],[lending_product_transform]],[3]Mapping!$B$3:$D$37,3,0)</f>
        <v>cashloan</v>
      </c>
      <c r="I2776" s="143">
        <v>35000000</v>
      </c>
    </row>
    <row r="2777" spans="1:9" x14ac:dyDescent="0.2">
      <c r="A2777" s="134">
        <v>45569</v>
      </c>
      <c r="B2777" s="135">
        <f>YEAR(source[[#This Row],[report_date]])</f>
        <v>2024</v>
      </c>
      <c r="C2777" s="128">
        <f t="shared" si="123"/>
        <v>10</v>
      </c>
      <c r="D2777" s="136">
        <f t="shared" si="121"/>
        <v>40</v>
      </c>
      <c r="E2777" s="136">
        <f t="shared" si="122"/>
        <v>4</v>
      </c>
      <c r="F2777" s="137" t="s">
        <v>24</v>
      </c>
      <c r="G2777" s="128" t="str">
        <f>VLOOKUP(source[[#This Row],[lending_product_transform]],[3]Mapping!$B$4:$C$37,2,0)</f>
        <v>[Cake] - Cashloan</v>
      </c>
      <c r="H2777" s="128" t="str">
        <f>VLOOKUP(source[[#This Row],[lending_product_transform]],[3]Mapping!$B$3:$D$37,3,0)</f>
        <v>cashloan</v>
      </c>
      <c r="I2777" s="143">
        <v>4345110000</v>
      </c>
    </row>
    <row r="2778" spans="1:9" x14ac:dyDescent="0.2">
      <c r="A2778" s="134">
        <v>45569</v>
      </c>
      <c r="B2778" s="135">
        <f>YEAR(source[[#This Row],[report_date]])</f>
        <v>2024</v>
      </c>
      <c r="C2778" s="128">
        <f t="shared" si="123"/>
        <v>10</v>
      </c>
      <c r="D2778" s="136">
        <f t="shared" si="121"/>
        <v>40</v>
      </c>
      <c r="E2778" s="136">
        <f t="shared" si="122"/>
        <v>4</v>
      </c>
      <c r="F2778" s="137" t="s">
        <v>24</v>
      </c>
      <c r="G2778" s="128" t="str">
        <f>VLOOKUP(source[[#This Row],[lending_product_transform]],[3]Mapping!$B$4:$C$37,2,0)</f>
        <v>[Cake] - Cashloan</v>
      </c>
      <c r="H2778" s="128" t="str">
        <f>VLOOKUP(source[[#This Row],[lending_product_transform]],[3]Mapping!$B$3:$D$37,3,0)</f>
        <v>cashloan</v>
      </c>
      <c r="I2778" s="143">
        <v>4289500000</v>
      </c>
    </row>
    <row r="2779" spans="1:9" x14ac:dyDescent="0.2">
      <c r="A2779" s="134">
        <v>45569</v>
      </c>
      <c r="B2779" s="135">
        <f>YEAR(source[[#This Row],[report_date]])</f>
        <v>2024</v>
      </c>
      <c r="C2779" s="128">
        <f t="shared" si="123"/>
        <v>10</v>
      </c>
      <c r="D2779" s="136">
        <f t="shared" si="121"/>
        <v>40</v>
      </c>
      <c r="E2779" s="136">
        <f t="shared" si="122"/>
        <v>4</v>
      </c>
      <c r="F2779" s="137" t="s">
        <v>24</v>
      </c>
      <c r="G2779" s="128" t="str">
        <f>VLOOKUP(source[[#This Row],[lending_product_transform]],[3]Mapping!$B$4:$C$37,2,0)</f>
        <v>[Cake] - Cashloan</v>
      </c>
      <c r="H2779" s="128" t="str">
        <f>VLOOKUP(source[[#This Row],[lending_product_transform]],[3]Mapping!$B$3:$D$37,3,0)</f>
        <v>cashloan</v>
      </c>
      <c r="I2779" s="143">
        <v>10700000</v>
      </c>
    </row>
    <row r="2780" spans="1:9" x14ac:dyDescent="0.2">
      <c r="A2780" s="134">
        <v>45569</v>
      </c>
      <c r="B2780" s="135">
        <f>YEAR(source[[#This Row],[report_date]])</f>
        <v>2024</v>
      </c>
      <c r="C2780" s="128">
        <f t="shared" si="123"/>
        <v>10</v>
      </c>
      <c r="D2780" s="136">
        <f t="shared" si="121"/>
        <v>40</v>
      </c>
      <c r="E2780" s="136">
        <f t="shared" si="122"/>
        <v>4</v>
      </c>
      <c r="F2780" s="137" t="s">
        <v>24</v>
      </c>
      <c r="G2780" s="128" t="str">
        <f>VLOOKUP(source[[#This Row],[lending_product_transform]],[3]Mapping!$B$4:$C$37,2,0)</f>
        <v>[Cake] - Cashloan</v>
      </c>
      <c r="H2780" s="128" t="str">
        <f>VLOOKUP(source[[#This Row],[lending_product_transform]],[3]Mapping!$B$3:$D$37,3,0)</f>
        <v>cashloan</v>
      </c>
      <c r="I2780" s="143">
        <v>0</v>
      </c>
    </row>
    <row r="2781" spans="1:9" x14ac:dyDescent="0.2">
      <c r="A2781" s="134">
        <v>45569</v>
      </c>
      <c r="B2781" s="135">
        <f>YEAR(source[[#This Row],[report_date]])</f>
        <v>2024</v>
      </c>
      <c r="C2781" s="128">
        <f t="shared" si="123"/>
        <v>10</v>
      </c>
      <c r="D2781" s="136">
        <f t="shared" si="121"/>
        <v>40</v>
      </c>
      <c r="E2781" s="136">
        <f t="shared" si="122"/>
        <v>4</v>
      </c>
      <c r="F2781" s="137" t="s">
        <v>24</v>
      </c>
      <c r="G2781" s="128" t="str">
        <f>VLOOKUP(source[[#This Row],[lending_product_transform]],[3]Mapping!$B$4:$C$37,2,0)</f>
        <v>[Cake] - Cashloan</v>
      </c>
      <c r="H2781" s="128" t="str">
        <f>VLOOKUP(source[[#This Row],[lending_product_transform]],[3]Mapping!$B$3:$D$37,3,0)</f>
        <v>cashloan</v>
      </c>
      <c r="I2781" s="143">
        <v>3996046624</v>
      </c>
    </row>
    <row r="2782" spans="1:9" x14ac:dyDescent="0.2">
      <c r="A2782" s="134">
        <v>45569</v>
      </c>
      <c r="B2782" s="135">
        <f>YEAR(source[[#This Row],[report_date]])</f>
        <v>2024</v>
      </c>
      <c r="C2782" s="128">
        <f t="shared" si="123"/>
        <v>10</v>
      </c>
      <c r="D2782" s="136">
        <f t="shared" si="121"/>
        <v>40</v>
      </c>
      <c r="E2782" s="136">
        <f t="shared" si="122"/>
        <v>4</v>
      </c>
      <c r="F2782" s="137" t="s">
        <v>24</v>
      </c>
      <c r="G2782" s="128" t="str">
        <f>VLOOKUP(source[[#This Row],[lending_product_transform]],[3]Mapping!$B$4:$C$37,2,0)</f>
        <v>[Cake] - Cashloan</v>
      </c>
      <c r="H2782" s="128" t="str">
        <f>VLOOKUP(source[[#This Row],[lending_product_transform]],[3]Mapping!$B$3:$D$37,3,0)</f>
        <v>cashloan</v>
      </c>
      <c r="I2782" s="143">
        <v>27820000</v>
      </c>
    </row>
    <row r="2783" spans="1:9" x14ac:dyDescent="0.2">
      <c r="A2783" s="134">
        <v>45569</v>
      </c>
      <c r="B2783" s="135">
        <f>YEAR(source[[#This Row],[report_date]])</f>
        <v>2024</v>
      </c>
      <c r="C2783" s="128">
        <f t="shared" si="123"/>
        <v>10</v>
      </c>
      <c r="D2783" s="136">
        <f t="shared" si="121"/>
        <v>40</v>
      </c>
      <c r="E2783" s="136">
        <f t="shared" si="122"/>
        <v>4</v>
      </c>
      <c r="F2783" s="137" t="s">
        <v>24</v>
      </c>
      <c r="G2783" s="128" t="str">
        <f>VLOOKUP(source[[#This Row],[lending_product_transform]],[3]Mapping!$B$4:$C$37,2,0)</f>
        <v>[Cake] - Cashloan</v>
      </c>
      <c r="H2783" s="128" t="str">
        <f>VLOOKUP(source[[#This Row],[lending_product_transform]],[3]Mapping!$B$3:$D$37,3,0)</f>
        <v>cashloan</v>
      </c>
      <c r="I2783" s="143">
        <v>51500000</v>
      </c>
    </row>
    <row r="2784" spans="1:9" x14ac:dyDescent="0.2">
      <c r="A2784" s="134">
        <v>45569</v>
      </c>
      <c r="B2784" s="135">
        <f>YEAR(source[[#This Row],[report_date]])</f>
        <v>2024</v>
      </c>
      <c r="C2784" s="128">
        <f t="shared" si="123"/>
        <v>10</v>
      </c>
      <c r="D2784" s="136">
        <f t="shared" si="121"/>
        <v>40</v>
      </c>
      <c r="E2784" s="136">
        <f t="shared" si="122"/>
        <v>4</v>
      </c>
      <c r="F2784" s="137" t="s">
        <v>24</v>
      </c>
      <c r="G2784" s="128" t="str">
        <f>VLOOKUP(source[[#This Row],[lending_product_transform]],[3]Mapping!$B$4:$C$37,2,0)</f>
        <v>[Cake] - Cashloan</v>
      </c>
      <c r="H2784" s="128" t="str">
        <f>VLOOKUP(source[[#This Row],[lending_product_transform]],[3]Mapping!$B$3:$D$37,3,0)</f>
        <v>cashloan</v>
      </c>
      <c r="I2784" s="143">
        <v>57825964</v>
      </c>
    </row>
    <row r="2785" spans="1:9" x14ac:dyDescent="0.2">
      <c r="A2785" s="134">
        <v>45569</v>
      </c>
      <c r="B2785" s="135">
        <f>YEAR(source[[#This Row],[report_date]])</f>
        <v>2024</v>
      </c>
      <c r="C2785" s="128">
        <f t="shared" si="123"/>
        <v>10</v>
      </c>
      <c r="D2785" s="136">
        <f t="shared" si="121"/>
        <v>40</v>
      </c>
      <c r="E2785" s="136">
        <f t="shared" si="122"/>
        <v>4</v>
      </c>
      <c r="F2785" s="137" t="s">
        <v>24</v>
      </c>
      <c r="G2785" s="128" t="str">
        <f>VLOOKUP(source[[#This Row],[lending_product_transform]],[3]Mapping!$B$4:$C$37,2,0)</f>
        <v>[Cake] - Cashloan</v>
      </c>
      <c r="H2785" s="128" t="str">
        <f>VLOOKUP(source[[#This Row],[lending_product_transform]],[3]Mapping!$B$3:$D$37,3,0)</f>
        <v>cashloan</v>
      </c>
      <c r="I2785" s="143">
        <v>304830544</v>
      </c>
    </row>
    <row r="2786" spans="1:9" x14ac:dyDescent="0.2">
      <c r="A2786" s="134">
        <v>45569</v>
      </c>
      <c r="B2786" s="135">
        <f>YEAR(source[[#This Row],[report_date]])</f>
        <v>2024</v>
      </c>
      <c r="C2786" s="128">
        <f t="shared" si="123"/>
        <v>10</v>
      </c>
      <c r="D2786" s="136">
        <f t="shared" si="121"/>
        <v>40</v>
      </c>
      <c r="E2786" s="136">
        <f t="shared" si="122"/>
        <v>4</v>
      </c>
      <c r="F2786" s="137" t="s">
        <v>24</v>
      </c>
      <c r="G2786" s="128" t="str">
        <f>VLOOKUP(source[[#This Row],[lending_product_transform]],[3]Mapping!$B$4:$C$37,2,0)</f>
        <v>[Cake] - Cashloan</v>
      </c>
      <c r="H2786" s="128" t="str">
        <f>VLOOKUP(source[[#This Row],[lending_product_transform]],[3]Mapping!$B$3:$D$37,3,0)</f>
        <v>cashloan</v>
      </c>
      <c r="I2786" s="143">
        <v>42000000</v>
      </c>
    </row>
    <row r="2787" spans="1:9" x14ac:dyDescent="0.2">
      <c r="A2787" s="134">
        <v>45569</v>
      </c>
      <c r="B2787" s="135">
        <f>YEAR(source[[#This Row],[report_date]])</f>
        <v>2024</v>
      </c>
      <c r="C2787" s="128">
        <f t="shared" si="123"/>
        <v>10</v>
      </c>
      <c r="D2787" s="136">
        <f t="shared" si="121"/>
        <v>40</v>
      </c>
      <c r="E2787" s="136">
        <f t="shared" si="122"/>
        <v>4</v>
      </c>
      <c r="F2787" s="137" t="s">
        <v>24</v>
      </c>
      <c r="G2787" s="128" t="str">
        <f>VLOOKUP(source[[#This Row],[lending_product_transform]],[3]Mapping!$B$4:$C$37,2,0)</f>
        <v>[Cake] - Cashloan</v>
      </c>
      <c r="H2787" s="128" t="str">
        <f>VLOOKUP(source[[#This Row],[lending_product_transform]],[3]Mapping!$B$3:$D$37,3,0)</f>
        <v>cashloan</v>
      </c>
      <c r="I2787" s="143">
        <v>7375490000</v>
      </c>
    </row>
    <row r="2788" spans="1:9" x14ac:dyDescent="0.2">
      <c r="A2788" s="134">
        <v>45570</v>
      </c>
      <c r="B2788" s="135">
        <f>YEAR(source[[#This Row],[report_date]])</f>
        <v>2024</v>
      </c>
      <c r="C2788" s="128">
        <f t="shared" si="123"/>
        <v>10</v>
      </c>
      <c r="D2788" s="136">
        <f t="shared" si="121"/>
        <v>40</v>
      </c>
      <c r="E2788" s="136">
        <f t="shared" si="122"/>
        <v>5</v>
      </c>
      <c r="F2788" s="137" t="s">
        <v>24</v>
      </c>
      <c r="G2788" s="128" t="str">
        <f>VLOOKUP(source[[#This Row],[lending_product_transform]],[3]Mapping!$B$4:$C$37,2,0)</f>
        <v>[Cake] - Cashloan</v>
      </c>
      <c r="H2788" s="128" t="str">
        <f>VLOOKUP(source[[#This Row],[lending_product_transform]],[3]Mapping!$B$3:$D$37,3,0)</f>
        <v>cashloan</v>
      </c>
      <c r="I2788" s="143">
        <v>10500000</v>
      </c>
    </row>
    <row r="2789" spans="1:9" x14ac:dyDescent="0.2">
      <c r="A2789" s="134">
        <v>45570</v>
      </c>
      <c r="B2789" s="135">
        <f>YEAR(source[[#This Row],[report_date]])</f>
        <v>2024</v>
      </c>
      <c r="C2789" s="128">
        <f t="shared" si="123"/>
        <v>10</v>
      </c>
      <c r="D2789" s="136">
        <f t="shared" si="121"/>
        <v>40</v>
      </c>
      <c r="E2789" s="136">
        <f t="shared" si="122"/>
        <v>5</v>
      </c>
      <c r="F2789" s="137" t="s">
        <v>24</v>
      </c>
      <c r="G2789" s="128" t="str">
        <f>VLOOKUP(source[[#This Row],[lending_product_transform]],[3]Mapping!$B$4:$C$37,2,0)</f>
        <v>[Cake] - Cashloan</v>
      </c>
      <c r="H2789" s="128" t="str">
        <f>VLOOKUP(source[[#This Row],[lending_product_transform]],[3]Mapping!$B$3:$D$37,3,0)</f>
        <v>cashloan</v>
      </c>
      <c r="I2789" s="143">
        <v>4362500000</v>
      </c>
    </row>
    <row r="2790" spans="1:9" x14ac:dyDescent="0.2">
      <c r="A2790" s="134">
        <v>45570</v>
      </c>
      <c r="B2790" s="135">
        <f>YEAR(source[[#This Row],[report_date]])</f>
        <v>2024</v>
      </c>
      <c r="C2790" s="128">
        <f t="shared" si="123"/>
        <v>10</v>
      </c>
      <c r="D2790" s="136">
        <f t="shared" si="121"/>
        <v>40</v>
      </c>
      <c r="E2790" s="136">
        <f t="shared" si="122"/>
        <v>5</v>
      </c>
      <c r="F2790" s="137" t="s">
        <v>24</v>
      </c>
      <c r="G2790" s="128" t="str">
        <f>VLOOKUP(source[[#This Row],[lending_product_transform]],[3]Mapping!$B$4:$C$37,2,0)</f>
        <v>[Cake] - Cashloan</v>
      </c>
      <c r="H2790" s="128" t="str">
        <f>VLOOKUP(source[[#This Row],[lending_product_transform]],[3]Mapping!$B$3:$D$37,3,0)</f>
        <v>cashloan</v>
      </c>
      <c r="I2790" s="143">
        <v>18190000</v>
      </c>
    </row>
    <row r="2791" spans="1:9" x14ac:dyDescent="0.2">
      <c r="A2791" s="134">
        <v>45570</v>
      </c>
      <c r="B2791" s="135">
        <f>YEAR(source[[#This Row],[report_date]])</f>
        <v>2024</v>
      </c>
      <c r="C2791" s="128">
        <f t="shared" si="123"/>
        <v>10</v>
      </c>
      <c r="D2791" s="136">
        <f t="shared" si="121"/>
        <v>40</v>
      </c>
      <c r="E2791" s="136">
        <f t="shared" si="122"/>
        <v>5</v>
      </c>
      <c r="F2791" s="137" t="s">
        <v>24</v>
      </c>
      <c r="G2791" s="128" t="str">
        <f>VLOOKUP(source[[#This Row],[lending_product_transform]],[3]Mapping!$B$4:$C$37,2,0)</f>
        <v>[Cake] - Cashloan</v>
      </c>
      <c r="H2791" s="128" t="str">
        <f>VLOOKUP(source[[#This Row],[lending_product_transform]],[3]Mapping!$B$3:$D$37,3,0)</f>
        <v>cashloan</v>
      </c>
      <c r="I2791" s="143">
        <v>3555549597</v>
      </c>
    </row>
    <row r="2792" spans="1:9" x14ac:dyDescent="0.2">
      <c r="A2792" s="134">
        <v>45570</v>
      </c>
      <c r="B2792" s="135">
        <f>YEAR(source[[#This Row],[report_date]])</f>
        <v>2024</v>
      </c>
      <c r="C2792" s="128">
        <f t="shared" si="123"/>
        <v>10</v>
      </c>
      <c r="D2792" s="136">
        <f t="shared" si="121"/>
        <v>40</v>
      </c>
      <c r="E2792" s="136">
        <f t="shared" si="122"/>
        <v>5</v>
      </c>
      <c r="F2792" s="137" t="s">
        <v>24</v>
      </c>
      <c r="G2792" s="128" t="str">
        <f>VLOOKUP(source[[#This Row],[lending_product_transform]],[3]Mapping!$B$4:$C$37,2,0)</f>
        <v>[Cake] - Cashloan</v>
      </c>
      <c r="H2792" s="128" t="str">
        <f>VLOOKUP(source[[#This Row],[lending_product_transform]],[3]Mapping!$B$3:$D$37,3,0)</f>
        <v>cashloan</v>
      </c>
      <c r="I2792" s="143">
        <v>0</v>
      </c>
    </row>
    <row r="2793" spans="1:9" x14ac:dyDescent="0.2">
      <c r="A2793" s="134">
        <v>45570</v>
      </c>
      <c r="B2793" s="135">
        <f>YEAR(source[[#This Row],[report_date]])</f>
        <v>2024</v>
      </c>
      <c r="C2793" s="128">
        <f t="shared" si="123"/>
        <v>10</v>
      </c>
      <c r="D2793" s="136">
        <f t="shared" si="121"/>
        <v>40</v>
      </c>
      <c r="E2793" s="136">
        <f t="shared" si="122"/>
        <v>5</v>
      </c>
      <c r="F2793" s="137" t="s">
        <v>24</v>
      </c>
      <c r="G2793" s="128" t="str">
        <f>VLOOKUP(source[[#This Row],[lending_product_transform]],[3]Mapping!$B$4:$C$37,2,0)</f>
        <v>[Cake] - Cashloan</v>
      </c>
      <c r="H2793" s="128" t="str">
        <f>VLOOKUP(source[[#This Row],[lending_product_transform]],[3]Mapping!$B$3:$D$37,3,0)</f>
        <v>cashloan</v>
      </c>
      <c r="I2793" s="143">
        <v>57000000</v>
      </c>
    </row>
    <row r="2794" spans="1:9" x14ac:dyDescent="0.2">
      <c r="A2794" s="134">
        <v>45570</v>
      </c>
      <c r="B2794" s="135">
        <f>YEAR(source[[#This Row],[report_date]])</f>
        <v>2024</v>
      </c>
      <c r="C2794" s="128">
        <f t="shared" si="123"/>
        <v>10</v>
      </c>
      <c r="D2794" s="136">
        <f t="shared" si="121"/>
        <v>40</v>
      </c>
      <c r="E2794" s="136">
        <f t="shared" si="122"/>
        <v>5</v>
      </c>
      <c r="F2794" s="137" t="s">
        <v>24</v>
      </c>
      <c r="G2794" s="128" t="str">
        <f>VLOOKUP(source[[#This Row],[lending_product_transform]],[3]Mapping!$B$4:$C$37,2,0)</f>
        <v>[Cake] - Cashloan</v>
      </c>
      <c r="H2794" s="128" t="str">
        <f>VLOOKUP(source[[#This Row],[lending_product_transform]],[3]Mapping!$B$3:$D$37,3,0)</f>
        <v>cashloan</v>
      </c>
      <c r="I2794" s="143">
        <v>0</v>
      </c>
    </row>
    <row r="2795" spans="1:9" x14ac:dyDescent="0.2">
      <c r="A2795" s="134">
        <v>45570</v>
      </c>
      <c r="B2795" s="135">
        <f>YEAR(source[[#This Row],[report_date]])</f>
        <v>2024</v>
      </c>
      <c r="C2795" s="128">
        <f t="shared" si="123"/>
        <v>10</v>
      </c>
      <c r="D2795" s="136">
        <f t="shared" si="121"/>
        <v>40</v>
      </c>
      <c r="E2795" s="136">
        <f t="shared" si="122"/>
        <v>5</v>
      </c>
      <c r="F2795" s="137" t="s">
        <v>24</v>
      </c>
      <c r="G2795" s="128" t="str">
        <f>VLOOKUP(source[[#This Row],[lending_product_transform]],[3]Mapping!$B$4:$C$37,2,0)</f>
        <v>[Cake] - Cashloan</v>
      </c>
      <c r="H2795" s="128" t="str">
        <f>VLOOKUP(source[[#This Row],[lending_product_transform]],[3]Mapping!$B$3:$D$37,3,0)</f>
        <v>cashloan</v>
      </c>
      <c r="I2795" s="143">
        <v>7153210000</v>
      </c>
    </row>
    <row r="2796" spans="1:9" x14ac:dyDescent="0.2">
      <c r="A2796" s="134">
        <v>45570</v>
      </c>
      <c r="B2796" s="135">
        <f>YEAR(source[[#This Row],[report_date]])</f>
        <v>2024</v>
      </c>
      <c r="C2796" s="128">
        <f t="shared" si="123"/>
        <v>10</v>
      </c>
      <c r="D2796" s="136">
        <f t="shared" si="121"/>
        <v>40</v>
      </c>
      <c r="E2796" s="136">
        <f t="shared" si="122"/>
        <v>5</v>
      </c>
      <c r="F2796" s="137" t="s">
        <v>24</v>
      </c>
      <c r="G2796" s="128" t="str">
        <f>VLOOKUP(source[[#This Row],[lending_product_transform]],[3]Mapping!$B$4:$C$37,2,0)</f>
        <v>[Cake] - Cashloan</v>
      </c>
      <c r="H2796" s="128" t="str">
        <f>VLOOKUP(source[[#This Row],[lending_product_transform]],[3]Mapping!$B$3:$D$37,3,0)</f>
        <v>cashloan</v>
      </c>
      <c r="I2796" s="143">
        <v>478550379</v>
      </c>
    </row>
    <row r="2797" spans="1:9" x14ac:dyDescent="0.2">
      <c r="A2797" s="134">
        <v>45570</v>
      </c>
      <c r="B2797" s="135">
        <f>YEAR(source[[#This Row],[report_date]])</f>
        <v>2024</v>
      </c>
      <c r="C2797" s="128">
        <f t="shared" si="123"/>
        <v>10</v>
      </c>
      <c r="D2797" s="136">
        <f t="shared" si="121"/>
        <v>40</v>
      </c>
      <c r="E2797" s="136">
        <f t="shared" si="122"/>
        <v>5</v>
      </c>
      <c r="F2797" s="137" t="s">
        <v>24</v>
      </c>
      <c r="G2797" s="128" t="str">
        <f>VLOOKUP(source[[#This Row],[lending_product_transform]],[3]Mapping!$B$4:$C$37,2,0)</f>
        <v>[Cake] - Cashloan</v>
      </c>
      <c r="H2797" s="128" t="str">
        <f>VLOOKUP(source[[#This Row],[lending_product_transform]],[3]Mapping!$B$3:$D$37,3,0)</f>
        <v>cashloan</v>
      </c>
      <c r="I2797" s="143">
        <v>80061142</v>
      </c>
    </row>
    <row r="2798" spans="1:9" x14ac:dyDescent="0.2">
      <c r="A2798" s="134">
        <v>45570</v>
      </c>
      <c r="B2798" s="135">
        <f>YEAR(source[[#This Row],[report_date]])</f>
        <v>2024</v>
      </c>
      <c r="C2798" s="128">
        <f t="shared" si="123"/>
        <v>10</v>
      </c>
      <c r="D2798" s="136">
        <f t="shared" si="121"/>
        <v>40</v>
      </c>
      <c r="E2798" s="136">
        <f t="shared" si="122"/>
        <v>5</v>
      </c>
      <c r="F2798" s="137" t="s">
        <v>24</v>
      </c>
      <c r="G2798" s="128" t="str">
        <f>VLOOKUP(source[[#This Row],[lending_product_transform]],[3]Mapping!$B$4:$C$37,2,0)</f>
        <v>[Cake] - Cashloan</v>
      </c>
      <c r="H2798" s="128" t="str">
        <f>VLOOKUP(source[[#This Row],[lending_product_transform]],[3]Mapping!$B$3:$D$37,3,0)</f>
        <v>cashloan</v>
      </c>
      <c r="I2798" s="143">
        <v>42000000</v>
      </c>
    </row>
    <row r="2799" spans="1:9" x14ac:dyDescent="0.2">
      <c r="A2799" s="134">
        <v>45570</v>
      </c>
      <c r="B2799" s="135">
        <f>YEAR(source[[#This Row],[report_date]])</f>
        <v>2024</v>
      </c>
      <c r="C2799" s="128">
        <f t="shared" si="123"/>
        <v>10</v>
      </c>
      <c r="D2799" s="136">
        <f t="shared" si="121"/>
        <v>40</v>
      </c>
      <c r="E2799" s="136">
        <f t="shared" si="122"/>
        <v>5</v>
      </c>
      <c r="F2799" s="137" t="s">
        <v>24</v>
      </c>
      <c r="G2799" s="128" t="str">
        <f>VLOOKUP(source[[#This Row],[lending_product_transform]],[3]Mapping!$B$4:$C$37,2,0)</f>
        <v>[Cake] - Cashloan</v>
      </c>
      <c r="H2799" s="128" t="str">
        <f>VLOOKUP(source[[#This Row],[lending_product_transform]],[3]Mapping!$B$3:$D$37,3,0)</f>
        <v>cashloan</v>
      </c>
      <c r="I2799" s="143">
        <v>4153870000</v>
      </c>
    </row>
    <row r="2800" spans="1:9" x14ac:dyDescent="0.2">
      <c r="A2800" s="134">
        <v>45570</v>
      </c>
      <c r="B2800" s="135">
        <f>YEAR(source[[#This Row],[report_date]])</f>
        <v>2024</v>
      </c>
      <c r="C2800" s="128">
        <f t="shared" si="123"/>
        <v>10</v>
      </c>
      <c r="D2800" s="136">
        <f t="shared" si="121"/>
        <v>40</v>
      </c>
      <c r="E2800" s="136">
        <f t="shared" si="122"/>
        <v>5</v>
      </c>
      <c r="F2800" s="137" t="s">
        <v>24</v>
      </c>
      <c r="G2800" s="128" t="str">
        <f>VLOOKUP(source[[#This Row],[lending_product_transform]],[3]Mapping!$B$4:$C$37,2,0)</f>
        <v>[Cake] - Cashloan</v>
      </c>
      <c r="H2800" s="128" t="str">
        <f>VLOOKUP(source[[#This Row],[lending_product_transform]],[3]Mapping!$B$3:$D$37,3,0)</f>
        <v>cashloan</v>
      </c>
      <c r="I2800" s="143">
        <v>22700000</v>
      </c>
    </row>
    <row r="2801" spans="1:9" x14ac:dyDescent="0.2">
      <c r="A2801" s="134">
        <v>45571</v>
      </c>
      <c r="B2801" s="135">
        <f>YEAR(source[[#This Row],[report_date]])</f>
        <v>2024</v>
      </c>
      <c r="C2801" s="128">
        <f t="shared" si="123"/>
        <v>10</v>
      </c>
      <c r="D2801" s="136">
        <f t="shared" si="121"/>
        <v>40</v>
      </c>
      <c r="E2801" s="136">
        <f t="shared" si="122"/>
        <v>6</v>
      </c>
      <c r="F2801" s="137" t="s">
        <v>24</v>
      </c>
      <c r="G2801" s="128" t="str">
        <f>VLOOKUP(source[[#This Row],[lending_product_transform]],[3]Mapping!$B$4:$C$37,2,0)</f>
        <v>[Cake] - Cashloan</v>
      </c>
      <c r="H2801" s="128" t="str">
        <f>VLOOKUP(source[[#This Row],[lending_product_transform]],[3]Mapping!$B$3:$D$37,3,0)</f>
        <v>cashloan</v>
      </c>
      <c r="I2801" s="143">
        <v>0</v>
      </c>
    </row>
    <row r="2802" spans="1:9" x14ac:dyDescent="0.2">
      <c r="A2802" s="134">
        <v>45571</v>
      </c>
      <c r="B2802" s="135">
        <f>YEAR(source[[#This Row],[report_date]])</f>
        <v>2024</v>
      </c>
      <c r="C2802" s="128">
        <f t="shared" si="123"/>
        <v>10</v>
      </c>
      <c r="D2802" s="136">
        <f t="shared" si="121"/>
        <v>40</v>
      </c>
      <c r="E2802" s="136">
        <f t="shared" si="122"/>
        <v>6</v>
      </c>
      <c r="F2802" s="137" t="s">
        <v>24</v>
      </c>
      <c r="G2802" s="128" t="str">
        <f>VLOOKUP(source[[#This Row],[lending_product_transform]],[3]Mapping!$B$4:$C$37,2,0)</f>
        <v>[Cake] - Cashloan</v>
      </c>
      <c r="H2802" s="128" t="str">
        <f>VLOOKUP(source[[#This Row],[lending_product_transform]],[3]Mapping!$B$3:$D$37,3,0)</f>
        <v>cashloan</v>
      </c>
      <c r="I2802" s="143">
        <v>47000000</v>
      </c>
    </row>
    <row r="2803" spans="1:9" x14ac:dyDescent="0.2">
      <c r="A2803" s="134">
        <v>45571</v>
      </c>
      <c r="B2803" s="135">
        <f>YEAR(source[[#This Row],[report_date]])</f>
        <v>2024</v>
      </c>
      <c r="C2803" s="128">
        <f t="shared" si="123"/>
        <v>10</v>
      </c>
      <c r="D2803" s="136">
        <f t="shared" si="121"/>
        <v>40</v>
      </c>
      <c r="E2803" s="136">
        <f t="shared" si="122"/>
        <v>6</v>
      </c>
      <c r="F2803" s="137" t="s">
        <v>24</v>
      </c>
      <c r="G2803" s="128" t="str">
        <f>VLOOKUP(source[[#This Row],[lending_product_transform]],[3]Mapping!$B$4:$C$37,2,0)</f>
        <v>[Cake] - Cashloan</v>
      </c>
      <c r="H2803" s="128" t="str">
        <f>VLOOKUP(source[[#This Row],[lending_product_transform]],[3]Mapping!$B$3:$D$37,3,0)</f>
        <v>cashloan</v>
      </c>
      <c r="I2803" s="143">
        <v>3526000000</v>
      </c>
    </row>
    <row r="2804" spans="1:9" x14ac:dyDescent="0.2">
      <c r="A2804" s="134">
        <v>45571</v>
      </c>
      <c r="B2804" s="135">
        <f>YEAR(source[[#This Row],[report_date]])</f>
        <v>2024</v>
      </c>
      <c r="C2804" s="128">
        <f t="shared" si="123"/>
        <v>10</v>
      </c>
      <c r="D2804" s="136">
        <f t="shared" si="121"/>
        <v>40</v>
      </c>
      <c r="E2804" s="136">
        <f t="shared" si="122"/>
        <v>6</v>
      </c>
      <c r="F2804" s="137" t="s">
        <v>24</v>
      </c>
      <c r="G2804" s="128" t="str">
        <f>VLOOKUP(source[[#This Row],[lending_product_transform]],[3]Mapping!$B$4:$C$37,2,0)</f>
        <v>[Cake] - Cashloan</v>
      </c>
      <c r="H2804" s="128" t="str">
        <f>VLOOKUP(source[[#This Row],[lending_product_transform]],[3]Mapping!$B$3:$D$37,3,0)</f>
        <v>cashloan</v>
      </c>
      <c r="I2804" s="143">
        <v>0</v>
      </c>
    </row>
    <row r="2805" spans="1:9" x14ac:dyDescent="0.2">
      <c r="A2805" s="134">
        <v>45571</v>
      </c>
      <c r="B2805" s="135">
        <f>YEAR(source[[#This Row],[report_date]])</f>
        <v>2024</v>
      </c>
      <c r="C2805" s="128">
        <f t="shared" si="123"/>
        <v>10</v>
      </c>
      <c r="D2805" s="136">
        <f t="shared" si="121"/>
        <v>40</v>
      </c>
      <c r="E2805" s="136">
        <f t="shared" si="122"/>
        <v>6</v>
      </c>
      <c r="F2805" s="137" t="s">
        <v>24</v>
      </c>
      <c r="G2805" s="128" t="str">
        <f>VLOOKUP(source[[#This Row],[lending_product_transform]],[3]Mapping!$B$4:$C$37,2,0)</f>
        <v>[Cake] - Cashloan</v>
      </c>
      <c r="H2805" s="128" t="str">
        <f>VLOOKUP(source[[#This Row],[lending_product_transform]],[3]Mapping!$B$3:$D$37,3,0)</f>
        <v>cashloan</v>
      </c>
      <c r="I2805" s="143">
        <v>0</v>
      </c>
    </row>
    <row r="2806" spans="1:9" x14ac:dyDescent="0.2">
      <c r="A2806" s="134">
        <v>45571</v>
      </c>
      <c r="B2806" s="135">
        <f>YEAR(source[[#This Row],[report_date]])</f>
        <v>2024</v>
      </c>
      <c r="C2806" s="128">
        <f t="shared" si="123"/>
        <v>10</v>
      </c>
      <c r="D2806" s="136">
        <f t="shared" si="121"/>
        <v>40</v>
      </c>
      <c r="E2806" s="136">
        <f t="shared" si="122"/>
        <v>6</v>
      </c>
      <c r="F2806" s="137" t="s">
        <v>24</v>
      </c>
      <c r="G2806" s="128" t="str">
        <f>VLOOKUP(source[[#This Row],[lending_product_transform]],[3]Mapping!$B$4:$C$37,2,0)</f>
        <v>[Cake] - Cashloan</v>
      </c>
      <c r="H2806" s="128" t="str">
        <f>VLOOKUP(source[[#This Row],[lending_product_transform]],[3]Mapping!$B$3:$D$37,3,0)</f>
        <v>cashloan</v>
      </c>
      <c r="I2806" s="143">
        <v>79074752</v>
      </c>
    </row>
    <row r="2807" spans="1:9" x14ac:dyDescent="0.2">
      <c r="A2807" s="134">
        <v>45571</v>
      </c>
      <c r="B2807" s="135">
        <f>YEAR(source[[#This Row],[report_date]])</f>
        <v>2024</v>
      </c>
      <c r="C2807" s="128">
        <f t="shared" si="123"/>
        <v>10</v>
      </c>
      <c r="D2807" s="136">
        <f t="shared" si="121"/>
        <v>40</v>
      </c>
      <c r="E2807" s="136">
        <f t="shared" si="122"/>
        <v>6</v>
      </c>
      <c r="F2807" s="137" t="s">
        <v>24</v>
      </c>
      <c r="G2807" s="128" t="str">
        <f>VLOOKUP(source[[#This Row],[lending_product_transform]],[3]Mapping!$B$4:$C$37,2,0)</f>
        <v>[Cake] - Cashloan</v>
      </c>
      <c r="H2807" s="128" t="str">
        <f>VLOOKUP(source[[#This Row],[lending_product_transform]],[3]Mapping!$B$3:$D$37,3,0)</f>
        <v>cashloan</v>
      </c>
      <c r="I2807" s="143">
        <v>21000000</v>
      </c>
    </row>
    <row r="2808" spans="1:9" x14ac:dyDescent="0.2">
      <c r="A2808" s="134">
        <v>45571</v>
      </c>
      <c r="B2808" s="135">
        <f>YEAR(source[[#This Row],[report_date]])</f>
        <v>2024</v>
      </c>
      <c r="C2808" s="128">
        <f t="shared" si="123"/>
        <v>10</v>
      </c>
      <c r="D2808" s="136">
        <f t="shared" si="121"/>
        <v>40</v>
      </c>
      <c r="E2808" s="136">
        <f t="shared" si="122"/>
        <v>6</v>
      </c>
      <c r="F2808" s="137" t="s">
        <v>24</v>
      </c>
      <c r="G2808" s="128" t="str">
        <f>VLOOKUP(source[[#This Row],[lending_product_transform]],[3]Mapping!$B$4:$C$37,2,0)</f>
        <v>[Cake] - Cashloan</v>
      </c>
      <c r="H2808" s="128" t="str">
        <f>VLOOKUP(source[[#This Row],[lending_product_transform]],[3]Mapping!$B$3:$D$37,3,0)</f>
        <v>cashloan</v>
      </c>
      <c r="I2808" s="143">
        <v>0</v>
      </c>
    </row>
    <row r="2809" spans="1:9" x14ac:dyDescent="0.2">
      <c r="A2809" s="134">
        <v>45571</v>
      </c>
      <c r="B2809" s="135">
        <f>YEAR(source[[#This Row],[report_date]])</f>
        <v>2024</v>
      </c>
      <c r="C2809" s="128">
        <f t="shared" si="123"/>
        <v>10</v>
      </c>
      <c r="D2809" s="136">
        <f t="shared" si="121"/>
        <v>40</v>
      </c>
      <c r="E2809" s="136">
        <f t="shared" si="122"/>
        <v>6</v>
      </c>
      <c r="F2809" s="137" t="s">
        <v>24</v>
      </c>
      <c r="G2809" s="128" t="str">
        <f>VLOOKUP(source[[#This Row],[lending_product_transform]],[3]Mapping!$B$4:$C$37,2,0)</f>
        <v>[Cake] - Cashloan</v>
      </c>
      <c r="H2809" s="128" t="str">
        <f>VLOOKUP(source[[#This Row],[lending_product_transform]],[3]Mapping!$B$3:$D$37,3,0)</f>
        <v>cashloan</v>
      </c>
      <c r="I2809" s="143">
        <v>42800000</v>
      </c>
    </row>
    <row r="2810" spans="1:9" x14ac:dyDescent="0.2">
      <c r="A2810" s="134">
        <v>45571</v>
      </c>
      <c r="B2810" s="135">
        <f>YEAR(source[[#This Row],[report_date]])</f>
        <v>2024</v>
      </c>
      <c r="C2810" s="128">
        <f t="shared" si="123"/>
        <v>10</v>
      </c>
      <c r="D2810" s="136">
        <f t="shared" si="121"/>
        <v>40</v>
      </c>
      <c r="E2810" s="136">
        <f t="shared" si="122"/>
        <v>6</v>
      </c>
      <c r="F2810" s="137" t="s">
        <v>24</v>
      </c>
      <c r="G2810" s="128" t="str">
        <f>VLOOKUP(source[[#This Row],[lending_product_transform]],[3]Mapping!$B$4:$C$37,2,0)</f>
        <v>[Cake] - Cashloan</v>
      </c>
      <c r="H2810" s="128" t="str">
        <f>VLOOKUP(source[[#This Row],[lending_product_transform]],[3]Mapping!$B$3:$D$37,3,0)</f>
        <v>cashloan</v>
      </c>
      <c r="I2810" s="143">
        <v>3075836334</v>
      </c>
    </row>
    <row r="2811" spans="1:9" x14ac:dyDescent="0.2">
      <c r="A2811" s="134">
        <v>45571</v>
      </c>
      <c r="B2811" s="135">
        <f>YEAR(source[[#This Row],[report_date]])</f>
        <v>2024</v>
      </c>
      <c r="C2811" s="128">
        <f t="shared" si="123"/>
        <v>10</v>
      </c>
      <c r="D2811" s="136">
        <f t="shared" si="121"/>
        <v>40</v>
      </c>
      <c r="E2811" s="136">
        <f t="shared" si="122"/>
        <v>6</v>
      </c>
      <c r="F2811" s="137" t="s">
        <v>24</v>
      </c>
      <c r="G2811" s="128" t="str">
        <f>VLOOKUP(source[[#This Row],[lending_product_transform]],[3]Mapping!$B$4:$C$37,2,0)</f>
        <v>[Cake] - Cashloan</v>
      </c>
      <c r="H2811" s="128" t="str">
        <f>VLOOKUP(source[[#This Row],[lending_product_transform]],[3]Mapping!$B$3:$D$37,3,0)</f>
        <v>cashloan</v>
      </c>
      <c r="I2811" s="143">
        <v>6586630000</v>
      </c>
    </row>
    <row r="2812" spans="1:9" x14ac:dyDescent="0.2">
      <c r="A2812" s="134">
        <v>45571</v>
      </c>
      <c r="B2812" s="135">
        <f>YEAR(source[[#This Row],[report_date]])</f>
        <v>2024</v>
      </c>
      <c r="C2812" s="128">
        <f t="shared" si="123"/>
        <v>10</v>
      </c>
      <c r="D2812" s="136">
        <f t="shared" si="121"/>
        <v>40</v>
      </c>
      <c r="E2812" s="136">
        <f t="shared" si="122"/>
        <v>6</v>
      </c>
      <c r="F2812" s="137" t="s">
        <v>24</v>
      </c>
      <c r="G2812" s="128" t="str">
        <f>VLOOKUP(source[[#This Row],[lending_product_transform]],[3]Mapping!$B$4:$C$37,2,0)</f>
        <v>[Cake] - Cashloan</v>
      </c>
      <c r="H2812" s="128" t="str">
        <f>VLOOKUP(source[[#This Row],[lending_product_transform]],[3]Mapping!$B$3:$D$37,3,0)</f>
        <v>cashloan</v>
      </c>
      <c r="I2812" s="143">
        <v>336267812</v>
      </c>
    </row>
    <row r="2813" spans="1:9" x14ac:dyDescent="0.2">
      <c r="A2813" s="134">
        <v>45571</v>
      </c>
      <c r="B2813" s="135">
        <f>YEAR(source[[#This Row],[report_date]])</f>
        <v>2024</v>
      </c>
      <c r="C2813" s="128">
        <f t="shared" si="123"/>
        <v>10</v>
      </c>
      <c r="D2813" s="136">
        <f t="shared" si="121"/>
        <v>40</v>
      </c>
      <c r="E2813" s="136">
        <f t="shared" si="122"/>
        <v>6</v>
      </c>
      <c r="F2813" s="137" t="s">
        <v>24</v>
      </c>
      <c r="G2813" s="128" t="str">
        <f>VLOOKUP(source[[#This Row],[lending_product_transform]],[3]Mapping!$B$4:$C$37,2,0)</f>
        <v>[Cake] - Cashloan</v>
      </c>
      <c r="H2813" s="128" t="str">
        <f>VLOOKUP(source[[#This Row],[lending_product_transform]],[3]Mapping!$B$3:$D$37,3,0)</f>
        <v>cashloan</v>
      </c>
      <c r="I2813" s="143">
        <v>2970270000</v>
      </c>
    </row>
    <row r="2814" spans="1:9" x14ac:dyDescent="0.2">
      <c r="A2814" s="172">
        <v>45572</v>
      </c>
      <c r="B2814" s="143">
        <f>YEAR(source[[#This Row],[report_date]])</f>
        <v>2024</v>
      </c>
      <c r="C2814" s="128">
        <f t="shared" si="123"/>
        <v>10</v>
      </c>
      <c r="D2814" s="136">
        <f t="shared" si="121"/>
        <v>41</v>
      </c>
      <c r="E2814" s="136">
        <f t="shared" si="122"/>
        <v>7</v>
      </c>
      <c r="F2814" s="137" t="s">
        <v>24</v>
      </c>
      <c r="G2814" s="128" t="str">
        <f>VLOOKUP(source[[#This Row],[lending_product_transform]],[3]Mapping!$B$4:$C$37,2,0)</f>
        <v>[Cake] - Cashloan</v>
      </c>
      <c r="H2814" s="128" t="str">
        <f>VLOOKUP(source[[#This Row],[lending_product_transform]],[3]Mapping!$B$3:$D$37,3,0)</f>
        <v>cashloan</v>
      </c>
      <c r="I2814" s="143">
        <v>22393830824</v>
      </c>
    </row>
    <row r="2815" spans="1:9" x14ac:dyDescent="0.2">
      <c r="A2815" s="172">
        <v>45572</v>
      </c>
      <c r="B2815" s="143">
        <f>YEAR(source[[#This Row],[report_date]])</f>
        <v>2024</v>
      </c>
      <c r="C2815" s="128">
        <f t="shared" si="123"/>
        <v>10</v>
      </c>
      <c r="D2815" s="136">
        <f t="shared" si="121"/>
        <v>41</v>
      </c>
      <c r="E2815" s="136">
        <f t="shared" si="122"/>
        <v>7</v>
      </c>
      <c r="F2815" s="137" t="s">
        <v>24</v>
      </c>
      <c r="G2815" s="128" t="str">
        <f>VLOOKUP(source[[#This Row],[lending_product_transform]],[3]Mapping!$B$4:$C$37,2,0)</f>
        <v>[Cake] - Cashloan</v>
      </c>
      <c r="H2815" s="128" t="str">
        <f>VLOOKUP(source[[#This Row],[lending_product_transform]],[3]Mapping!$B$3:$D$37,3,0)</f>
        <v>cashloan</v>
      </c>
      <c r="I2815" s="143">
        <v>4908500000</v>
      </c>
    </row>
    <row r="2816" spans="1:9" x14ac:dyDescent="0.2">
      <c r="A2816" s="172">
        <v>45572</v>
      </c>
      <c r="B2816" s="143">
        <f>YEAR(source[[#This Row],[report_date]])</f>
        <v>2024</v>
      </c>
      <c r="C2816" s="128">
        <f t="shared" si="123"/>
        <v>10</v>
      </c>
      <c r="D2816" s="136">
        <f t="shared" si="121"/>
        <v>41</v>
      </c>
      <c r="E2816" s="136">
        <f t="shared" si="122"/>
        <v>7</v>
      </c>
      <c r="F2816" s="137" t="s">
        <v>24</v>
      </c>
      <c r="G2816" s="128" t="str">
        <f>VLOOKUP(source[[#This Row],[lending_product_transform]],[3]Mapping!$B$4:$C$37,2,0)</f>
        <v>[Cake] - Cashloan</v>
      </c>
      <c r="H2816" s="128" t="str">
        <f>VLOOKUP(source[[#This Row],[lending_product_transform]],[3]Mapping!$B$3:$D$37,3,0)</f>
        <v>cashloan</v>
      </c>
      <c r="I2816" s="143">
        <v>9096980000</v>
      </c>
    </row>
    <row r="2817" spans="1:9" x14ac:dyDescent="0.2">
      <c r="A2817" s="172">
        <v>45572</v>
      </c>
      <c r="B2817" s="143">
        <f>YEAR(source[[#This Row],[report_date]])</f>
        <v>2024</v>
      </c>
      <c r="C2817" s="128">
        <f t="shared" si="123"/>
        <v>10</v>
      </c>
      <c r="D2817" s="136">
        <f t="shared" si="121"/>
        <v>41</v>
      </c>
      <c r="E2817" s="136">
        <f t="shared" si="122"/>
        <v>7</v>
      </c>
      <c r="F2817" s="137" t="s">
        <v>24</v>
      </c>
      <c r="G2817" s="128" t="str">
        <f>VLOOKUP(source[[#This Row],[lending_product_transform]],[3]Mapping!$B$4:$C$37,2,0)</f>
        <v>[Cake] - Cashloan</v>
      </c>
      <c r="H2817" s="128" t="str">
        <f>VLOOKUP(source[[#This Row],[lending_product_transform]],[3]Mapping!$B$3:$D$37,3,0)</f>
        <v>cashloan</v>
      </c>
      <c r="I2817" s="143">
        <v>3818290000</v>
      </c>
    </row>
    <row r="2818" spans="1:9" x14ac:dyDescent="0.2">
      <c r="A2818" s="172">
        <v>45572</v>
      </c>
      <c r="B2818" s="143">
        <f>YEAR(source[[#This Row],[report_date]])</f>
        <v>2024</v>
      </c>
      <c r="C2818" s="128">
        <f t="shared" si="123"/>
        <v>10</v>
      </c>
      <c r="D2818" s="136">
        <f t="shared" si="121"/>
        <v>41</v>
      </c>
      <c r="E2818" s="136">
        <f t="shared" si="122"/>
        <v>7</v>
      </c>
      <c r="F2818" s="137" t="s">
        <v>24</v>
      </c>
      <c r="G2818" s="128" t="str">
        <f>VLOOKUP(source[[#This Row],[lending_product_transform]],[3]Mapping!$B$4:$C$37,2,0)</f>
        <v>[Cake] - Cashloan</v>
      </c>
      <c r="H2818" s="128" t="str">
        <f>VLOOKUP(source[[#This Row],[lending_product_transform]],[3]Mapping!$B$3:$D$37,3,0)</f>
        <v>cashloan</v>
      </c>
      <c r="I2818" s="143">
        <v>100000</v>
      </c>
    </row>
    <row r="2819" spans="1:9" x14ac:dyDescent="0.2">
      <c r="A2819" s="172">
        <v>45572</v>
      </c>
      <c r="B2819" s="143">
        <f>YEAR(source[[#This Row],[report_date]])</f>
        <v>2024</v>
      </c>
      <c r="C2819" s="128">
        <f t="shared" si="123"/>
        <v>10</v>
      </c>
      <c r="D2819" s="136">
        <f t="shared" ref="D2819:D2882" si="124">WEEKNUM(A2819,2)</f>
        <v>41</v>
      </c>
      <c r="E2819" s="136">
        <f t="shared" ref="E2819:E2882" si="125">DAY(A2819)</f>
        <v>7</v>
      </c>
      <c r="F2819" s="137" t="s">
        <v>24</v>
      </c>
      <c r="G2819" s="128" t="str">
        <f>VLOOKUP(source[[#This Row],[lending_product_transform]],[3]Mapping!$B$4:$C$37,2,0)</f>
        <v>[Cake] - Cashloan</v>
      </c>
      <c r="H2819" s="128" t="str">
        <f>VLOOKUP(source[[#This Row],[lending_product_transform]],[3]Mapping!$B$3:$D$37,3,0)</f>
        <v>cashloan</v>
      </c>
      <c r="I2819" s="143">
        <v>33000000</v>
      </c>
    </row>
    <row r="2820" spans="1:9" x14ac:dyDescent="0.2">
      <c r="A2820" s="172">
        <v>45572</v>
      </c>
      <c r="B2820" s="143">
        <f>YEAR(source[[#This Row],[report_date]])</f>
        <v>2024</v>
      </c>
      <c r="C2820" s="128">
        <f t="shared" si="123"/>
        <v>10</v>
      </c>
      <c r="D2820" s="136">
        <f t="shared" si="124"/>
        <v>41</v>
      </c>
      <c r="E2820" s="136">
        <f t="shared" si="125"/>
        <v>7</v>
      </c>
      <c r="F2820" s="137" t="s">
        <v>24</v>
      </c>
      <c r="G2820" s="128" t="str">
        <f>VLOOKUP(source[[#This Row],[lending_product_transform]],[3]Mapping!$B$4:$C$37,2,0)</f>
        <v>[Cake] - Cashloan</v>
      </c>
      <c r="H2820" s="128" t="str">
        <f>VLOOKUP(source[[#This Row],[lending_product_transform]],[3]Mapping!$B$3:$D$37,3,0)</f>
        <v>cashloan</v>
      </c>
      <c r="I2820" s="143">
        <v>0</v>
      </c>
    </row>
    <row r="2821" spans="1:9" x14ac:dyDescent="0.2">
      <c r="A2821" s="172">
        <v>45572</v>
      </c>
      <c r="B2821" s="143">
        <f>YEAR(source[[#This Row],[report_date]])</f>
        <v>2024</v>
      </c>
      <c r="C2821" s="128">
        <f t="shared" si="123"/>
        <v>10</v>
      </c>
      <c r="D2821" s="136">
        <f t="shared" si="124"/>
        <v>41</v>
      </c>
      <c r="E2821" s="136">
        <f t="shared" si="125"/>
        <v>7</v>
      </c>
      <c r="F2821" s="137" t="s">
        <v>24</v>
      </c>
      <c r="G2821" s="128" t="str">
        <f>VLOOKUP(source[[#This Row],[lending_product_transform]],[3]Mapping!$B$4:$C$37,2,0)</f>
        <v>[Cake] - Cashloan</v>
      </c>
      <c r="H2821" s="128" t="str">
        <f>VLOOKUP(source[[#This Row],[lending_product_transform]],[3]Mapping!$B$3:$D$37,3,0)</f>
        <v>cashloan</v>
      </c>
      <c r="I2821" s="143">
        <v>27820000</v>
      </c>
    </row>
    <row r="2822" spans="1:9" x14ac:dyDescent="0.2">
      <c r="A2822" s="172">
        <v>45572</v>
      </c>
      <c r="B2822" s="143">
        <f>YEAR(source[[#This Row],[report_date]])</f>
        <v>2024</v>
      </c>
      <c r="C2822" s="128">
        <f t="shared" si="123"/>
        <v>10</v>
      </c>
      <c r="D2822" s="136">
        <f t="shared" si="124"/>
        <v>41</v>
      </c>
      <c r="E2822" s="136">
        <f t="shared" si="125"/>
        <v>7</v>
      </c>
      <c r="F2822" s="137" t="s">
        <v>24</v>
      </c>
      <c r="G2822" s="128" t="str">
        <f>VLOOKUP(source[[#This Row],[lending_product_transform]],[3]Mapping!$B$4:$C$37,2,0)</f>
        <v>[Cake] - Cashloan</v>
      </c>
      <c r="H2822" s="128" t="str">
        <f>VLOOKUP(source[[#This Row],[lending_product_transform]],[3]Mapping!$B$3:$D$37,3,0)</f>
        <v>cashloan</v>
      </c>
      <c r="I2822" s="143">
        <v>69379751</v>
      </c>
    </row>
    <row r="2823" spans="1:9" x14ac:dyDescent="0.2">
      <c r="A2823" s="172">
        <v>45572</v>
      </c>
      <c r="B2823" s="143">
        <f>YEAR(source[[#This Row],[report_date]])</f>
        <v>2024</v>
      </c>
      <c r="C2823" s="128">
        <f t="shared" si="123"/>
        <v>10</v>
      </c>
      <c r="D2823" s="136">
        <f t="shared" si="124"/>
        <v>41</v>
      </c>
      <c r="E2823" s="136">
        <f t="shared" si="125"/>
        <v>7</v>
      </c>
      <c r="F2823" s="137" t="s">
        <v>24</v>
      </c>
      <c r="G2823" s="128" t="str">
        <f>VLOOKUP(source[[#This Row],[lending_product_transform]],[3]Mapping!$B$4:$C$37,2,0)</f>
        <v>[Cake] - Cashloan</v>
      </c>
      <c r="H2823" s="128" t="str">
        <f>VLOOKUP(source[[#This Row],[lending_product_transform]],[3]Mapping!$B$3:$D$37,3,0)</f>
        <v>cashloan</v>
      </c>
      <c r="I2823" s="143">
        <v>3837175385</v>
      </c>
    </row>
    <row r="2824" spans="1:9" x14ac:dyDescent="0.2">
      <c r="A2824" s="172">
        <v>45572</v>
      </c>
      <c r="B2824" s="143">
        <f>YEAR(source[[#This Row],[report_date]])</f>
        <v>2024</v>
      </c>
      <c r="C2824" s="128">
        <f t="shared" si="123"/>
        <v>10</v>
      </c>
      <c r="D2824" s="136">
        <f t="shared" si="124"/>
        <v>41</v>
      </c>
      <c r="E2824" s="136">
        <f t="shared" si="125"/>
        <v>7</v>
      </c>
      <c r="F2824" s="137" t="s">
        <v>24</v>
      </c>
      <c r="G2824" s="128" t="str">
        <f>VLOOKUP(source[[#This Row],[lending_product_transform]],[3]Mapping!$B$4:$C$37,2,0)</f>
        <v>[Cake] - Cashloan</v>
      </c>
      <c r="H2824" s="128" t="str">
        <f>VLOOKUP(source[[#This Row],[lending_product_transform]],[3]Mapping!$B$3:$D$37,3,0)</f>
        <v>cashloan</v>
      </c>
      <c r="I2824" s="143">
        <v>0</v>
      </c>
    </row>
    <row r="2825" spans="1:9" x14ac:dyDescent="0.2">
      <c r="A2825" s="172">
        <v>45572</v>
      </c>
      <c r="B2825" s="143">
        <f>YEAR(source[[#This Row],[report_date]])</f>
        <v>2024</v>
      </c>
      <c r="C2825" s="128">
        <f t="shared" si="123"/>
        <v>10</v>
      </c>
      <c r="D2825" s="136">
        <f t="shared" si="124"/>
        <v>41</v>
      </c>
      <c r="E2825" s="136">
        <f t="shared" si="125"/>
        <v>7</v>
      </c>
      <c r="F2825" s="137" t="s">
        <v>24</v>
      </c>
      <c r="G2825" s="128" t="str">
        <f>VLOOKUP(source[[#This Row],[lending_product_transform]],[3]Mapping!$B$4:$C$37,2,0)</f>
        <v>[Cake] - Cashloan</v>
      </c>
      <c r="H2825" s="128" t="str">
        <f>VLOOKUP(source[[#This Row],[lending_product_transform]],[3]Mapping!$B$3:$D$37,3,0)</f>
        <v>cashloan</v>
      </c>
      <c r="I2825" s="143">
        <v>132600000</v>
      </c>
    </row>
    <row r="2826" spans="1:9" x14ac:dyDescent="0.2">
      <c r="A2826" s="172">
        <v>45572</v>
      </c>
      <c r="B2826" s="143">
        <f>YEAR(source[[#This Row],[report_date]])</f>
        <v>2024</v>
      </c>
      <c r="C2826" s="128">
        <f t="shared" si="123"/>
        <v>10</v>
      </c>
      <c r="D2826" s="136">
        <f t="shared" si="124"/>
        <v>41</v>
      </c>
      <c r="E2826" s="136">
        <f t="shared" si="125"/>
        <v>7</v>
      </c>
      <c r="F2826" s="137" t="s">
        <v>24</v>
      </c>
      <c r="G2826" s="128" t="str">
        <f>VLOOKUP(source[[#This Row],[lending_product_transform]],[3]Mapping!$B$4:$C$37,2,0)</f>
        <v>[Cake] - Cashloan</v>
      </c>
      <c r="H2826" s="128" t="str">
        <f>VLOOKUP(source[[#This Row],[lending_product_transform]],[3]Mapping!$B$3:$D$37,3,0)</f>
        <v>cashloan</v>
      </c>
      <c r="I2826" s="143">
        <v>73500000</v>
      </c>
    </row>
    <row r="2827" spans="1:9" x14ac:dyDescent="0.2">
      <c r="A2827" s="172">
        <v>45572</v>
      </c>
      <c r="B2827" s="143">
        <f>YEAR(source[[#This Row],[report_date]])</f>
        <v>2024</v>
      </c>
      <c r="C2827" s="128">
        <f t="shared" si="123"/>
        <v>10</v>
      </c>
      <c r="D2827" s="136">
        <f t="shared" si="124"/>
        <v>41</v>
      </c>
      <c r="E2827" s="136">
        <f t="shared" si="125"/>
        <v>7</v>
      </c>
      <c r="F2827" s="137" t="s">
        <v>24</v>
      </c>
      <c r="G2827" s="128" t="str">
        <f>VLOOKUP(source[[#This Row],[lending_product_transform]],[3]Mapping!$B$4:$C$37,2,0)</f>
        <v>[Cake] - Cashloan</v>
      </c>
      <c r="H2827" s="128" t="str">
        <f>VLOOKUP(source[[#This Row],[lending_product_transform]],[3]Mapping!$B$3:$D$37,3,0)</f>
        <v>cashloan</v>
      </c>
      <c r="I2827" s="143">
        <v>396485688</v>
      </c>
    </row>
    <row r="2828" spans="1:9" x14ac:dyDescent="0.2">
      <c r="A2828" s="172">
        <v>45573</v>
      </c>
      <c r="B2828" s="143">
        <f>YEAR(source[[#This Row],[report_date]])</f>
        <v>2024</v>
      </c>
      <c r="C2828" s="128">
        <f t="shared" si="123"/>
        <v>10</v>
      </c>
      <c r="D2828" s="136">
        <f t="shared" si="124"/>
        <v>41</v>
      </c>
      <c r="E2828" s="136">
        <f t="shared" si="125"/>
        <v>8</v>
      </c>
      <c r="F2828" s="137" t="s">
        <v>24</v>
      </c>
      <c r="G2828" s="128" t="str">
        <f>VLOOKUP(source[[#This Row],[lending_product_transform]],[3]Mapping!$B$4:$C$37,2,0)</f>
        <v>[Cake] - Cashloan</v>
      </c>
      <c r="H2828" s="128" t="str">
        <f>VLOOKUP(source[[#This Row],[lending_product_transform]],[3]Mapping!$B$3:$D$37,3,0)</f>
        <v>cashloan</v>
      </c>
      <c r="I2828" s="143">
        <v>10500000</v>
      </c>
    </row>
    <row r="2829" spans="1:9" x14ac:dyDescent="0.2">
      <c r="A2829" s="172">
        <v>45573</v>
      </c>
      <c r="B2829" s="143">
        <f>YEAR(source[[#This Row],[report_date]])</f>
        <v>2024</v>
      </c>
      <c r="C2829" s="128">
        <f t="shared" si="123"/>
        <v>10</v>
      </c>
      <c r="D2829" s="136">
        <f t="shared" si="124"/>
        <v>41</v>
      </c>
      <c r="E2829" s="136">
        <f t="shared" si="125"/>
        <v>8</v>
      </c>
      <c r="F2829" s="137" t="s">
        <v>24</v>
      </c>
      <c r="G2829" s="128" t="str">
        <f>VLOOKUP(source[[#This Row],[lending_product_transform]],[3]Mapping!$B$4:$C$37,2,0)</f>
        <v>[Cake] - Cashloan</v>
      </c>
      <c r="H2829" s="128" t="str">
        <f>VLOOKUP(source[[#This Row],[lending_product_transform]],[3]Mapping!$B$3:$D$37,3,0)</f>
        <v>cashloan</v>
      </c>
      <c r="I2829" s="143">
        <v>62000000</v>
      </c>
    </row>
    <row r="2830" spans="1:9" x14ac:dyDescent="0.2">
      <c r="A2830" s="172">
        <v>45573</v>
      </c>
      <c r="B2830" s="143">
        <f>YEAR(source[[#This Row],[report_date]])</f>
        <v>2024</v>
      </c>
      <c r="C2830" s="128">
        <f t="shared" si="123"/>
        <v>10</v>
      </c>
      <c r="D2830" s="136">
        <f t="shared" si="124"/>
        <v>41</v>
      </c>
      <c r="E2830" s="136">
        <f t="shared" si="125"/>
        <v>8</v>
      </c>
      <c r="F2830" s="137" t="s">
        <v>24</v>
      </c>
      <c r="G2830" s="128" t="str">
        <f>VLOOKUP(source[[#This Row],[lending_product_transform]],[3]Mapping!$B$4:$C$37,2,0)</f>
        <v>[Cake] - Cashloan</v>
      </c>
      <c r="H2830" s="128" t="str">
        <f>VLOOKUP(source[[#This Row],[lending_product_transform]],[3]Mapping!$B$3:$D$37,3,0)</f>
        <v>cashloan</v>
      </c>
      <c r="I2830" s="143">
        <v>33050</v>
      </c>
    </row>
    <row r="2831" spans="1:9" x14ac:dyDescent="0.2">
      <c r="A2831" s="172">
        <v>45573</v>
      </c>
      <c r="B2831" s="143">
        <f>YEAR(source[[#This Row],[report_date]])</f>
        <v>2024</v>
      </c>
      <c r="C2831" s="128">
        <f t="shared" si="123"/>
        <v>10</v>
      </c>
      <c r="D2831" s="136">
        <f t="shared" si="124"/>
        <v>41</v>
      </c>
      <c r="E2831" s="136">
        <f t="shared" si="125"/>
        <v>8</v>
      </c>
      <c r="F2831" s="137" t="s">
        <v>24</v>
      </c>
      <c r="G2831" s="128" t="str">
        <f>VLOOKUP(source[[#This Row],[lending_product_transform]],[3]Mapping!$B$4:$C$37,2,0)</f>
        <v>[Cake] - Cashloan</v>
      </c>
      <c r="H2831" s="128" t="str">
        <f>VLOOKUP(source[[#This Row],[lending_product_transform]],[3]Mapping!$B$3:$D$37,3,0)</f>
        <v>cashloan</v>
      </c>
      <c r="I2831" s="143">
        <v>65270000</v>
      </c>
    </row>
    <row r="2832" spans="1:9" x14ac:dyDescent="0.2">
      <c r="A2832" s="172">
        <v>45573</v>
      </c>
      <c r="B2832" s="143">
        <f>YEAR(source[[#This Row],[report_date]])</f>
        <v>2024</v>
      </c>
      <c r="C2832" s="128">
        <f t="shared" si="123"/>
        <v>10</v>
      </c>
      <c r="D2832" s="136">
        <f t="shared" si="124"/>
        <v>41</v>
      </c>
      <c r="E2832" s="136">
        <f t="shared" si="125"/>
        <v>8</v>
      </c>
      <c r="F2832" s="137" t="s">
        <v>24</v>
      </c>
      <c r="G2832" s="128" t="str">
        <f>VLOOKUP(source[[#This Row],[lending_product_transform]],[3]Mapping!$B$4:$C$37,2,0)</f>
        <v>[Cake] - Cashloan</v>
      </c>
      <c r="H2832" s="128" t="str">
        <f>VLOOKUP(source[[#This Row],[lending_product_transform]],[3]Mapping!$B$3:$D$37,3,0)</f>
        <v>cashloan</v>
      </c>
      <c r="I2832" s="143">
        <v>0</v>
      </c>
    </row>
    <row r="2833" spans="1:9" x14ac:dyDescent="0.2">
      <c r="A2833" s="172">
        <v>45573</v>
      </c>
      <c r="B2833" s="143">
        <f>YEAR(source[[#This Row],[report_date]])</f>
        <v>2024</v>
      </c>
      <c r="C2833" s="128">
        <f t="shared" si="123"/>
        <v>10</v>
      </c>
      <c r="D2833" s="136">
        <f t="shared" si="124"/>
        <v>41</v>
      </c>
      <c r="E2833" s="136">
        <f t="shared" si="125"/>
        <v>8</v>
      </c>
      <c r="F2833" s="137" t="s">
        <v>24</v>
      </c>
      <c r="G2833" s="128" t="str">
        <f>VLOOKUP(source[[#This Row],[lending_product_transform]],[3]Mapping!$B$4:$C$37,2,0)</f>
        <v>[Cake] - Cashloan</v>
      </c>
      <c r="H2833" s="128" t="str">
        <f>VLOOKUP(source[[#This Row],[lending_product_transform]],[3]Mapping!$B$3:$D$37,3,0)</f>
        <v>cashloan</v>
      </c>
      <c r="I2833" s="143">
        <v>20436775269</v>
      </c>
    </row>
    <row r="2834" spans="1:9" x14ac:dyDescent="0.2">
      <c r="A2834" s="172">
        <v>45573</v>
      </c>
      <c r="B2834" s="143">
        <f>YEAR(source[[#This Row],[report_date]])</f>
        <v>2024</v>
      </c>
      <c r="C2834" s="128">
        <f t="shared" si="123"/>
        <v>10</v>
      </c>
      <c r="D2834" s="136">
        <f t="shared" si="124"/>
        <v>41</v>
      </c>
      <c r="E2834" s="136">
        <f t="shared" si="125"/>
        <v>8</v>
      </c>
      <c r="F2834" s="137" t="s">
        <v>24</v>
      </c>
      <c r="G2834" s="128" t="str">
        <f>VLOOKUP(source[[#This Row],[lending_product_transform]],[3]Mapping!$B$4:$C$37,2,0)</f>
        <v>[Cake] - Cashloan</v>
      </c>
      <c r="H2834" s="128" t="str">
        <f>VLOOKUP(source[[#This Row],[lending_product_transform]],[3]Mapping!$B$3:$D$37,3,0)</f>
        <v>cashloan</v>
      </c>
      <c r="I2834" s="143">
        <v>330089066</v>
      </c>
    </row>
    <row r="2835" spans="1:9" x14ac:dyDescent="0.2">
      <c r="A2835" s="172">
        <v>45573</v>
      </c>
      <c r="B2835" s="143">
        <f>YEAR(source[[#This Row],[report_date]])</f>
        <v>2024</v>
      </c>
      <c r="C2835" s="128">
        <f t="shared" si="123"/>
        <v>10</v>
      </c>
      <c r="D2835" s="136">
        <f t="shared" si="124"/>
        <v>41</v>
      </c>
      <c r="E2835" s="136">
        <f t="shared" si="125"/>
        <v>8</v>
      </c>
      <c r="F2835" s="137" t="s">
        <v>24</v>
      </c>
      <c r="G2835" s="128" t="str">
        <f>VLOOKUP(source[[#This Row],[lending_product_transform]],[3]Mapping!$B$4:$C$37,2,0)</f>
        <v>[Cake] - Cashloan</v>
      </c>
      <c r="H2835" s="128" t="str">
        <f>VLOOKUP(source[[#This Row],[lending_product_transform]],[3]Mapping!$B$3:$D$37,3,0)</f>
        <v>cashloan</v>
      </c>
      <c r="I2835" s="143">
        <v>8537240000</v>
      </c>
    </row>
    <row r="2836" spans="1:9" x14ac:dyDescent="0.2">
      <c r="A2836" s="172">
        <v>45573</v>
      </c>
      <c r="B2836" s="143">
        <f>YEAR(source[[#This Row],[report_date]])</f>
        <v>2024</v>
      </c>
      <c r="C2836" s="128">
        <f t="shared" si="123"/>
        <v>10</v>
      </c>
      <c r="D2836" s="136">
        <f t="shared" si="124"/>
        <v>41</v>
      </c>
      <c r="E2836" s="136">
        <f t="shared" si="125"/>
        <v>8</v>
      </c>
      <c r="F2836" s="137" t="s">
        <v>24</v>
      </c>
      <c r="G2836" s="128" t="str">
        <f>VLOOKUP(source[[#This Row],[lending_product_transform]],[3]Mapping!$B$4:$C$37,2,0)</f>
        <v>[Cake] - Cashloan</v>
      </c>
      <c r="H2836" s="128" t="str">
        <f>VLOOKUP(source[[#This Row],[lending_product_transform]],[3]Mapping!$B$3:$D$37,3,0)</f>
        <v>cashloan</v>
      </c>
      <c r="I2836" s="143">
        <v>62799503</v>
      </c>
    </row>
    <row r="2837" spans="1:9" x14ac:dyDescent="0.2">
      <c r="A2837" s="172">
        <v>45573</v>
      </c>
      <c r="B2837" s="143">
        <f>YEAR(source[[#This Row],[report_date]])</f>
        <v>2024</v>
      </c>
      <c r="C2837" s="128">
        <f t="shared" ref="C2837:C2900" si="126">MONTH(A2837)</f>
        <v>10</v>
      </c>
      <c r="D2837" s="136">
        <f t="shared" si="124"/>
        <v>41</v>
      </c>
      <c r="E2837" s="136">
        <f t="shared" si="125"/>
        <v>8</v>
      </c>
      <c r="F2837" s="137" t="s">
        <v>24</v>
      </c>
      <c r="G2837" s="128" t="str">
        <f>VLOOKUP(source[[#This Row],[lending_product_transform]],[3]Mapping!$B$4:$C$37,2,0)</f>
        <v>[Cake] - Cashloan</v>
      </c>
      <c r="H2837" s="128" t="str">
        <f>VLOOKUP(source[[#This Row],[lending_product_transform]],[3]Mapping!$B$3:$D$37,3,0)</f>
        <v>cashloan</v>
      </c>
      <c r="I2837" s="143">
        <v>69920000</v>
      </c>
    </row>
    <row r="2838" spans="1:9" x14ac:dyDescent="0.2">
      <c r="A2838" s="172">
        <v>45573</v>
      </c>
      <c r="B2838" s="143">
        <f>YEAR(source[[#This Row],[report_date]])</f>
        <v>2024</v>
      </c>
      <c r="C2838" s="128">
        <f t="shared" si="126"/>
        <v>10</v>
      </c>
      <c r="D2838" s="136">
        <f t="shared" si="124"/>
        <v>41</v>
      </c>
      <c r="E2838" s="136">
        <f t="shared" si="125"/>
        <v>8</v>
      </c>
      <c r="F2838" s="137" t="s">
        <v>24</v>
      </c>
      <c r="G2838" s="128" t="str">
        <f>VLOOKUP(source[[#This Row],[lending_product_transform]],[3]Mapping!$B$4:$C$37,2,0)</f>
        <v>[Cake] - Cashloan</v>
      </c>
      <c r="H2838" s="128" t="str">
        <f>VLOOKUP(source[[#This Row],[lending_product_transform]],[3]Mapping!$B$3:$D$37,3,0)</f>
        <v>cashloan</v>
      </c>
      <c r="I2838" s="143">
        <v>3475010000</v>
      </c>
    </row>
    <row r="2839" spans="1:9" x14ac:dyDescent="0.2">
      <c r="A2839" s="172">
        <v>45573</v>
      </c>
      <c r="B2839" s="143">
        <f>YEAR(source[[#This Row],[report_date]])</f>
        <v>2024</v>
      </c>
      <c r="C2839" s="128">
        <f t="shared" si="126"/>
        <v>10</v>
      </c>
      <c r="D2839" s="136">
        <f t="shared" si="124"/>
        <v>41</v>
      </c>
      <c r="E2839" s="136">
        <f t="shared" si="125"/>
        <v>8</v>
      </c>
      <c r="F2839" s="137" t="s">
        <v>24</v>
      </c>
      <c r="G2839" s="128" t="str">
        <f>VLOOKUP(source[[#This Row],[lending_product_transform]],[3]Mapping!$B$4:$C$37,2,0)</f>
        <v>[Cake] - Cashloan</v>
      </c>
      <c r="H2839" s="128" t="str">
        <f>VLOOKUP(source[[#This Row],[lending_product_transform]],[3]Mapping!$B$3:$D$37,3,0)</f>
        <v>cashloan</v>
      </c>
      <c r="I2839" s="143">
        <v>4333000000</v>
      </c>
    </row>
    <row r="2840" spans="1:9" x14ac:dyDescent="0.2">
      <c r="A2840" s="172">
        <v>45573</v>
      </c>
      <c r="B2840" s="143">
        <f>YEAR(source[[#This Row],[report_date]])</f>
        <v>2024</v>
      </c>
      <c r="C2840" s="128">
        <f t="shared" si="126"/>
        <v>10</v>
      </c>
      <c r="D2840" s="136">
        <f t="shared" si="124"/>
        <v>41</v>
      </c>
      <c r="E2840" s="136">
        <f t="shared" si="125"/>
        <v>8</v>
      </c>
      <c r="F2840" s="137" t="s">
        <v>24</v>
      </c>
      <c r="G2840" s="128" t="str">
        <f>VLOOKUP(source[[#This Row],[lending_product_transform]],[3]Mapping!$B$4:$C$37,2,0)</f>
        <v>[Cake] - Cashloan</v>
      </c>
      <c r="H2840" s="128" t="str">
        <f>VLOOKUP(source[[#This Row],[lending_product_transform]],[3]Mapping!$B$3:$D$37,3,0)</f>
        <v>cashloan</v>
      </c>
      <c r="I2840" s="143">
        <v>138400000</v>
      </c>
    </row>
    <row r="2841" spans="1:9" x14ac:dyDescent="0.2">
      <c r="A2841" s="172">
        <v>45573</v>
      </c>
      <c r="B2841" s="143">
        <f>YEAR(source[[#This Row],[report_date]])</f>
        <v>2024</v>
      </c>
      <c r="C2841" s="128">
        <f t="shared" si="126"/>
        <v>10</v>
      </c>
      <c r="D2841" s="136">
        <f t="shared" si="124"/>
        <v>41</v>
      </c>
      <c r="E2841" s="136">
        <f t="shared" si="125"/>
        <v>8</v>
      </c>
      <c r="F2841" s="137" t="s">
        <v>24</v>
      </c>
      <c r="G2841" s="128" t="str">
        <f>VLOOKUP(source[[#This Row],[lending_product_transform]],[3]Mapping!$B$4:$C$37,2,0)</f>
        <v>[Cake] - Cashloan</v>
      </c>
      <c r="H2841" s="128" t="str">
        <f>VLOOKUP(source[[#This Row],[lending_product_transform]],[3]Mapping!$B$3:$D$37,3,0)</f>
        <v>cashloan</v>
      </c>
      <c r="I2841" s="143">
        <v>3352513650</v>
      </c>
    </row>
    <row r="2842" spans="1:9" x14ac:dyDescent="0.2">
      <c r="A2842" s="172">
        <v>45574</v>
      </c>
      <c r="B2842" s="143">
        <f>YEAR(source[[#This Row],[report_date]])</f>
        <v>2024</v>
      </c>
      <c r="C2842" s="128">
        <f t="shared" si="126"/>
        <v>10</v>
      </c>
      <c r="D2842" s="136">
        <f t="shared" si="124"/>
        <v>41</v>
      </c>
      <c r="E2842" s="136">
        <f t="shared" si="125"/>
        <v>9</v>
      </c>
      <c r="F2842" s="137" t="s">
        <v>24</v>
      </c>
      <c r="G2842" s="128" t="str">
        <f>VLOOKUP(source[[#This Row],[lending_product_transform]],[3]Mapping!$B$4:$C$37,2,0)</f>
        <v>[Cake] - Cashloan</v>
      </c>
      <c r="H2842" s="128" t="str">
        <f>VLOOKUP(source[[#This Row],[lending_product_transform]],[3]Mapping!$B$3:$D$37,3,0)</f>
        <v>cashloan</v>
      </c>
      <c r="I2842" s="143">
        <v>3261476163</v>
      </c>
    </row>
    <row r="2843" spans="1:9" x14ac:dyDescent="0.2">
      <c r="A2843" s="172">
        <v>45574</v>
      </c>
      <c r="B2843" s="143">
        <f>YEAR(source[[#This Row],[report_date]])</f>
        <v>2024</v>
      </c>
      <c r="C2843" s="128">
        <f t="shared" si="126"/>
        <v>10</v>
      </c>
      <c r="D2843" s="136">
        <f t="shared" si="124"/>
        <v>41</v>
      </c>
      <c r="E2843" s="136">
        <f t="shared" si="125"/>
        <v>9</v>
      </c>
      <c r="F2843" s="137" t="s">
        <v>24</v>
      </c>
      <c r="G2843" s="128" t="str">
        <f>VLOOKUP(source[[#This Row],[lending_product_transform]],[3]Mapping!$B$4:$C$37,2,0)</f>
        <v>[Cake] - Cashloan</v>
      </c>
      <c r="H2843" s="128" t="str">
        <f>VLOOKUP(source[[#This Row],[lending_product_transform]],[3]Mapping!$B$3:$D$37,3,0)</f>
        <v>cashloan</v>
      </c>
      <c r="I2843" s="143">
        <v>76500000</v>
      </c>
    </row>
    <row r="2844" spans="1:9" x14ac:dyDescent="0.2">
      <c r="A2844" s="172">
        <v>45574</v>
      </c>
      <c r="B2844" s="143">
        <f>YEAR(source[[#This Row],[report_date]])</f>
        <v>2024</v>
      </c>
      <c r="C2844" s="128">
        <f t="shared" si="126"/>
        <v>10</v>
      </c>
      <c r="D2844" s="136">
        <f t="shared" si="124"/>
        <v>41</v>
      </c>
      <c r="E2844" s="136">
        <f t="shared" si="125"/>
        <v>9</v>
      </c>
      <c r="F2844" s="137" t="s">
        <v>24</v>
      </c>
      <c r="G2844" s="128" t="str">
        <f>VLOOKUP(source[[#This Row],[lending_product_transform]],[3]Mapping!$B$4:$C$37,2,0)</f>
        <v>[Cake] - Cashloan</v>
      </c>
      <c r="H2844" s="128" t="str">
        <f>VLOOKUP(source[[#This Row],[lending_product_transform]],[3]Mapping!$B$3:$D$37,3,0)</f>
        <v>cashloan</v>
      </c>
      <c r="I2844" s="143">
        <v>20342777528</v>
      </c>
    </row>
    <row r="2845" spans="1:9" x14ac:dyDescent="0.2">
      <c r="A2845" s="172">
        <v>45574</v>
      </c>
      <c r="B2845" s="143">
        <f>YEAR(source[[#This Row],[report_date]])</f>
        <v>2024</v>
      </c>
      <c r="C2845" s="128">
        <f t="shared" si="126"/>
        <v>10</v>
      </c>
      <c r="D2845" s="136">
        <f t="shared" si="124"/>
        <v>41</v>
      </c>
      <c r="E2845" s="136">
        <f t="shared" si="125"/>
        <v>9</v>
      </c>
      <c r="F2845" s="137" t="s">
        <v>24</v>
      </c>
      <c r="G2845" s="128" t="str">
        <f>VLOOKUP(source[[#This Row],[lending_product_transform]],[3]Mapping!$B$4:$C$37,2,0)</f>
        <v>[Cake] - Cashloan</v>
      </c>
      <c r="H2845" s="128" t="str">
        <f>VLOOKUP(source[[#This Row],[lending_product_transform]],[3]Mapping!$B$3:$D$37,3,0)</f>
        <v>cashloan</v>
      </c>
      <c r="I2845" s="143">
        <v>0</v>
      </c>
    </row>
    <row r="2846" spans="1:9" x14ac:dyDescent="0.2">
      <c r="A2846" s="172">
        <v>45574</v>
      </c>
      <c r="B2846" s="143">
        <f>YEAR(source[[#This Row],[report_date]])</f>
        <v>2024</v>
      </c>
      <c r="C2846" s="128">
        <f t="shared" si="126"/>
        <v>10</v>
      </c>
      <c r="D2846" s="136">
        <f t="shared" si="124"/>
        <v>41</v>
      </c>
      <c r="E2846" s="136">
        <f t="shared" si="125"/>
        <v>9</v>
      </c>
      <c r="F2846" s="137" t="s">
        <v>24</v>
      </c>
      <c r="G2846" s="128" t="str">
        <f>VLOOKUP(source[[#This Row],[lending_product_transform]],[3]Mapping!$B$4:$C$37,2,0)</f>
        <v>[Cake] - Cashloan</v>
      </c>
      <c r="H2846" s="128" t="str">
        <f>VLOOKUP(source[[#This Row],[lending_product_transform]],[3]Mapping!$B$3:$D$37,3,0)</f>
        <v>cashloan</v>
      </c>
      <c r="I2846" s="143">
        <v>280910839</v>
      </c>
    </row>
    <row r="2847" spans="1:9" x14ac:dyDescent="0.2">
      <c r="A2847" s="172">
        <v>45574</v>
      </c>
      <c r="B2847" s="143">
        <f>YEAR(source[[#This Row],[report_date]])</f>
        <v>2024</v>
      </c>
      <c r="C2847" s="128">
        <f t="shared" si="126"/>
        <v>10</v>
      </c>
      <c r="D2847" s="136">
        <f t="shared" si="124"/>
        <v>41</v>
      </c>
      <c r="E2847" s="136">
        <f t="shared" si="125"/>
        <v>9</v>
      </c>
      <c r="F2847" s="137" t="s">
        <v>24</v>
      </c>
      <c r="G2847" s="128" t="str">
        <f>VLOOKUP(source[[#This Row],[lending_product_transform]],[3]Mapping!$B$4:$C$37,2,0)</f>
        <v>[Cake] - Cashloan</v>
      </c>
      <c r="H2847" s="128" t="str">
        <f>VLOOKUP(source[[#This Row],[lending_product_transform]],[3]Mapping!$B$3:$D$37,3,0)</f>
        <v>cashloan</v>
      </c>
      <c r="I2847" s="143">
        <v>64050000</v>
      </c>
    </row>
    <row r="2848" spans="1:9" x14ac:dyDescent="0.2">
      <c r="A2848" s="172">
        <v>45574</v>
      </c>
      <c r="B2848" s="143">
        <f>YEAR(source[[#This Row],[report_date]])</f>
        <v>2024</v>
      </c>
      <c r="C2848" s="128">
        <f t="shared" si="126"/>
        <v>10</v>
      </c>
      <c r="D2848" s="136">
        <f t="shared" si="124"/>
        <v>41</v>
      </c>
      <c r="E2848" s="136">
        <f t="shared" si="125"/>
        <v>9</v>
      </c>
      <c r="F2848" s="137" t="s">
        <v>24</v>
      </c>
      <c r="G2848" s="128" t="str">
        <f>VLOOKUP(source[[#This Row],[lending_product_transform]],[3]Mapping!$B$4:$C$37,2,0)</f>
        <v>[Cake] - Cashloan</v>
      </c>
      <c r="H2848" s="128" t="str">
        <f>VLOOKUP(source[[#This Row],[lending_product_transform]],[3]Mapping!$B$3:$D$37,3,0)</f>
        <v>cashloan</v>
      </c>
      <c r="I2848" s="143">
        <v>0</v>
      </c>
    </row>
    <row r="2849" spans="1:9" x14ac:dyDescent="0.2">
      <c r="A2849" s="172">
        <v>45574</v>
      </c>
      <c r="B2849" s="143">
        <f>YEAR(source[[#This Row],[report_date]])</f>
        <v>2024</v>
      </c>
      <c r="C2849" s="128">
        <f t="shared" si="126"/>
        <v>10</v>
      </c>
      <c r="D2849" s="136">
        <f t="shared" si="124"/>
        <v>41</v>
      </c>
      <c r="E2849" s="136">
        <f t="shared" si="125"/>
        <v>9</v>
      </c>
      <c r="F2849" s="137" t="s">
        <v>24</v>
      </c>
      <c r="G2849" s="128" t="str">
        <f>VLOOKUP(source[[#This Row],[lending_product_transform]],[3]Mapping!$B$4:$C$37,2,0)</f>
        <v>[Cake] - Cashloan</v>
      </c>
      <c r="H2849" s="128" t="str">
        <f>VLOOKUP(source[[#This Row],[lending_product_transform]],[3]Mapping!$B$3:$D$37,3,0)</f>
        <v>cashloan</v>
      </c>
      <c r="I2849" s="143">
        <v>53350526</v>
      </c>
    </row>
    <row r="2850" spans="1:9" x14ac:dyDescent="0.2">
      <c r="A2850" s="172">
        <v>45574</v>
      </c>
      <c r="B2850" s="143">
        <f>YEAR(source[[#This Row],[report_date]])</f>
        <v>2024</v>
      </c>
      <c r="C2850" s="128">
        <f t="shared" si="126"/>
        <v>10</v>
      </c>
      <c r="D2850" s="136">
        <f t="shared" si="124"/>
        <v>41</v>
      </c>
      <c r="E2850" s="136">
        <f t="shared" si="125"/>
        <v>9</v>
      </c>
      <c r="F2850" s="137" t="s">
        <v>24</v>
      </c>
      <c r="G2850" s="128" t="str">
        <f>VLOOKUP(source[[#This Row],[lending_product_transform]],[3]Mapping!$B$4:$C$37,2,0)</f>
        <v>[Cake] - Cashloan</v>
      </c>
      <c r="H2850" s="128" t="str">
        <f>VLOOKUP(source[[#This Row],[lending_product_transform]],[3]Mapping!$B$3:$D$37,3,0)</f>
        <v>cashloan</v>
      </c>
      <c r="I2850" s="143">
        <v>31400000</v>
      </c>
    </row>
    <row r="2851" spans="1:9" x14ac:dyDescent="0.2">
      <c r="A2851" s="172">
        <v>45574</v>
      </c>
      <c r="B2851" s="143">
        <f>YEAR(source[[#This Row],[report_date]])</f>
        <v>2024</v>
      </c>
      <c r="C2851" s="128">
        <f t="shared" si="126"/>
        <v>10</v>
      </c>
      <c r="D2851" s="136">
        <f t="shared" si="124"/>
        <v>41</v>
      </c>
      <c r="E2851" s="136">
        <f t="shared" si="125"/>
        <v>9</v>
      </c>
      <c r="F2851" s="137" t="s">
        <v>24</v>
      </c>
      <c r="G2851" s="128" t="str">
        <f>VLOOKUP(source[[#This Row],[lending_product_transform]],[3]Mapping!$B$4:$C$37,2,0)</f>
        <v>[Cake] - Cashloan</v>
      </c>
      <c r="H2851" s="128" t="str">
        <f>VLOOKUP(source[[#This Row],[lending_product_transform]],[3]Mapping!$B$3:$D$37,3,0)</f>
        <v>cashloan</v>
      </c>
      <c r="I2851" s="143">
        <v>0</v>
      </c>
    </row>
    <row r="2852" spans="1:9" x14ac:dyDescent="0.2">
      <c r="A2852" s="172">
        <v>45574</v>
      </c>
      <c r="B2852" s="143">
        <f>YEAR(source[[#This Row],[report_date]])</f>
        <v>2024</v>
      </c>
      <c r="C2852" s="128">
        <f t="shared" si="126"/>
        <v>10</v>
      </c>
      <c r="D2852" s="136">
        <f t="shared" si="124"/>
        <v>41</v>
      </c>
      <c r="E2852" s="136">
        <f t="shared" si="125"/>
        <v>9</v>
      </c>
      <c r="F2852" s="137" t="s">
        <v>24</v>
      </c>
      <c r="G2852" s="128" t="str">
        <f>VLOOKUP(source[[#This Row],[lending_product_transform]],[3]Mapping!$B$4:$C$37,2,0)</f>
        <v>[Cake] - Cashloan</v>
      </c>
      <c r="H2852" s="128" t="str">
        <f>VLOOKUP(source[[#This Row],[lending_product_transform]],[3]Mapping!$B$3:$D$37,3,0)</f>
        <v>cashloan</v>
      </c>
      <c r="I2852" s="143">
        <v>65270000</v>
      </c>
    </row>
    <row r="2853" spans="1:9" x14ac:dyDescent="0.2">
      <c r="A2853" s="172">
        <v>45574</v>
      </c>
      <c r="B2853" s="143">
        <f>YEAR(source[[#This Row],[report_date]])</f>
        <v>2024</v>
      </c>
      <c r="C2853" s="128">
        <f t="shared" si="126"/>
        <v>10</v>
      </c>
      <c r="D2853" s="136">
        <f t="shared" si="124"/>
        <v>41</v>
      </c>
      <c r="E2853" s="136">
        <f t="shared" si="125"/>
        <v>9</v>
      </c>
      <c r="F2853" s="137" t="s">
        <v>24</v>
      </c>
      <c r="G2853" s="128" t="str">
        <f>VLOOKUP(source[[#This Row],[lending_product_transform]],[3]Mapping!$B$4:$C$37,2,0)</f>
        <v>[Cake] - Cashloan</v>
      </c>
      <c r="H2853" s="128" t="str">
        <f>VLOOKUP(source[[#This Row],[lending_product_transform]],[3]Mapping!$B$3:$D$37,3,0)</f>
        <v>cashloan</v>
      </c>
      <c r="I2853" s="143">
        <v>8084500000</v>
      </c>
    </row>
    <row r="2854" spans="1:9" x14ac:dyDescent="0.2">
      <c r="A2854" s="172">
        <v>45574</v>
      </c>
      <c r="B2854" s="143">
        <f>YEAR(source[[#This Row],[report_date]])</f>
        <v>2024</v>
      </c>
      <c r="C2854" s="128">
        <f t="shared" si="126"/>
        <v>10</v>
      </c>
      <c r="D2854" s="136">
        <f t="shared" si="124"/>
        <v>41</v>
      </c>
      <c r="E2854" s="136">
        <f t="shared" si="125"/>
        <v>9</v>
      </c>
      <c r="F2854" s="137" t="s">
        <v>24</v>
      </c>
      <c r="G2854" s="128" t="str">
        <f>VLOOKUP(source[[#This Row],[lending_product_transform]],[3]Mapping!$B$4:$C$37,2,0)</f>
        <v>[Cake] - Cashloan</v>
      </c>
      <c r="H2854" s="128" t="str">
        <f>VLOOKUP(source[[#This Row],[lending_product_transform]],[3]Mapping!$B$3:$D$37,3,0)</f>
        <v>cashloan</v>
      </c>
      <c r="I2854" s="143">
        <v>4214820000</v>
      </c>
    </row>
    <row r="2855" spans="1:9" x14ac:dyDescent="0.2">
      <c r="A2855" s="172">
        <v>45574</v>
      </c>
      <c r="B2855" s="143">
        <f>YEAR(source[[#This Row],[report_date]])</f>
        <v>2024</v>
      </c>
      <c r="C2855" s="128">
        <f t="shared" si="126"/>
        <v>10</v>
      </c>
      <c r="D2855" s="136">
        <f t="shared" si="124"/>
        <v>41</v>
      </c>
      <c r="E2855" s="136">
        <f t="shared" si="125"/>
        <v>9</v>
      </c>
      <c r="F2855" s="137" t="s">
        <v>24</v>
      </c>
      <c r="G2855" s="128" t="str">
        <f>VLOOKUP(source[[#This Row],[lending_product_transform]],[3]Mapping!$B$4:$C$37,2,0)</f>
        <v>[Cake] - Cashloan</v>
      </c>
      <c r="H2855" s="128" t="str">
        <f>VLOOKUP(source[[#This Row],[lending_product_transform]],[3]Mapping!$B$3:$D$37,3,0)</f>
        <v>cashloan</v>
      </c>
      <c r="I2855" s="143">
        <v>4210500000</v>
      </c>
    </row>
    <row r="2856" spans="1:9" x14ac:dyDescent="0.2">
      <c r="A2856" s="172">
        <v>45575</v>
      </c>
      <c r="B2856" s="143">
        <f>YEAR(source[[#This Row],[report_date]])</f>
        <v>2024</v>
      </c>
      <c r="C2856" s="128">
        <f t="shared" si="126"/>
        <v>10</v>
      </c>
      <c r="D2856" s="136">
        <f t="shared" si="124"/>
        <v>41</v>
      </c>
      <c r="E2856" s="136">
        <f t="shared" si="125"/>
        <v>10</v>
      </c>
      <c r="F2856" s="137" t="s">
        <v>24</v>
      </c>
      <c r="G2856" s="128" t="str">
        <f>VLOOKUP(source[[#This Row],[lending_product_transform]],[3]Mapping!$B$4:$C$37,2,0)</f>
        <v>[Cake] - Cashloan</v>
      </c>
      <c r="H2856" s="128" t="str">
        <f>VLOOKUP(source[[#This Row],[lending_product_transform]],[3]Mapping!$B$3:$D$37,3,0)</f>
        <v>cashloan</v>
      </c>
      <c r="I2856" s="143">
        <v>0</v>
      </c>
    </row>
    <row r="2857" spans="1:9" x14ac:dyDescent="0.2">
      <c r="A2857" s="172">
        <v>45575</v>
      </c>
      <c r="B2857" s="143">
        <f>YEAR(source[[#This Row],[report_date]])</f>
        <v>2024</v>
      </c>
      <c r="C2857" s="128">
        <f t="shared" si="126"/>
        <v>10</v>
      </c>
      <c r="D2857" s="136">
        <f t="shared" si="124"/>
        <v>41</v>
      </c>
      <c r="E2857" s="136">
        <f t="shared" si="125"/>
        <v>10</v>
      </c>
      <c r="F2857" s="137" t="s">
        <v>24</v>
      </c>
      <c r="G2857" s="128" t="str">
        <f>VLOOKUP(source[[#This Row],[lending_product_transform]],[3]Mapping!$B$4:$C$37,2,0)</f>
        <v>[Cake] - Cashloan</v>
      </c>
      <c r="H2857" s="128" t="str">
        <f>VLOOKUP(source[[#This Row],[lending_product_transform]],[3]Mapping!$B$3:$D$37,3,0)</f>
        <v>cashloan</v>
      </c>
      <c r="I2857" s="143">
        <v>259237720</v>
      </c>
    </row>
    <row r="2858" spans="1:9" x14ac:dyDescent="0.2">
      <c r="A2858" s="172">
        <v>45575</v>
      </c>
      <c r="B2858" s="143">
        <f>YEAR(source[[#This Row],[report_date]])</f>
        <v>2024</v>
      </c>
      <c r="C2858" s="128">
        <f t="shared" si="126"/>
        <v>10</v>
      </c>
      <c r="D2858" s="136">
        <f t="shared" si="124"/>
        <v>41</v>
      </c>
      <c r="E2858" s="136">
        <f t="shared" si="125"/>
        <v>10</v>
      </c>
      <c r="F2858" s="137" t="s">
        <v>24</v>
      </c>
      <c r="G2858" s="128" t="str">
        <f>VLOOKUP(source[[#This Row],[lending_product_transform]],[3]Mapping!$B$4:$C$37,2,0)</f>
        <v>[Cake] - Cashloan</v>
      </c>
      <c r="H2858" s="128" t="str">
        <f>VLOOKUP(source[[#This Row],[lending_product_transform]],[3]Mapping!$B$3:$D$37,3,0)</f>
        <v>cashloan</v>
      </c>
      <c r="I2858" s="143">
        <v>53455178</v>
      </c>
    </row>
    <row r="2859" spans="1:9" x14ac:dyDescent="0.2">
      <c r="A2859" s="172">
        <v>45575</v>
      </c>
      <c r="B2859" s="143">
        <f>YEAR(source[[#This Row],[report_date]])</f>
        <v>2024</v>
      </c>
      <c r="C2859" s="128">
        <f t="shared" si="126"/>
        <v>10</v>
      </c>
      <c r="D2859" s="136">
        <f t="shared" si="124"/>
        <v>41</v>
      </c>
      <c r="E2859" s="136">
        <f t="shared" si="125"/>
        <v>10</v>
      </c>
      <c r="F2859" s="137" t="s">
        <v>24</v>
      </c>
      <c r="G2859" s="128" t="str">
        <f>VLOOKUP(source[[#This Row],[lending_product_transform]],[3]Mapping!$B$4:$C$37,2,0)</f>
        <v>[Cake] - Cashloan</v>
      </c>
      <c r="H2859" s="128" t="str">
        <f>VLOOKUP(source[[#This Row],[lending_product_transform]],[3]Mapping!$B$3:$D$37,3,0)</f>
        <v>cashloan</v>
      </c>
      <c r="I2859" s="143">
        <v>3970042557</v>
      </c>
    </row>
    <row r="2860" spans="1:9" x14ac:dyDescent="0.2">
      <c r="A2860" s="172">
        <v>45575</v>
      </c>
      <c r="B2860" s="143">
        <f>YEAR(source[[#This Row],[report_date]])</f>
        <v>2024</v>
      </c>
      <c r="C2860" s="128">
        <f t="shared" si="126"/>
        <v>10</v>
      </c>
      <c r="D2860" s="136">
        <f t="shared" si="124"/>
        <v>41</v>
      </c>
      <c r="E2860" s="136">
        <f t="shared" si="125"/>
        <v>10</v>
      </c>
      <c r="F2860" s="137" t="s">
        <v>24</v>
      </c>
      <c r="G2860" s="128" t="str">
        <f>VLOOKUP(source[[#This Row],[lending_product_transform]],[3]Mapping!$B$4:$C$37,2,0)</f>
        <v>[Cake] - Cashloan</v>
      </c>
      <c r="H2860" s="128" t="str">
        <f>VLOOKUP(source[[#This Row],[lending_product_transform]],[3]Mapping!$B$3:$D$37,3,0)</f>
        <v>cashloan</v>
      </c>
      <c r="I2860" s="143">
        <v>8020900000</v>
      </c>
    </row>
    <row r="2861" spans="1:9" x14ac:dyDescent="0.2">
      <c r="A2861" s="172">
        <v>45575</v>
      </c>
      <c r="B2861" s="143">
        <f>YEAR(source[[#This Row],[report_date]])</f>
        <v>2024</v>
      </c>
      <c r="C2861" s="128">
        <f t="shared" si="126"/>
        <v>10</v>
      </c>
      <c r="D2861" s="136">
        <f t="shared" si="124"/>
        <v>41</v>
      </c>
      <c r="E2861" s="136">
        <f t="shared" si="125"/>
        <v>10</v>
      </c>
      <c r="F2861" s="137" t="s">
        <v>24</v>
      </c>
      <c r="G2861" s="128" t="str">
        <f>VLOOKUP(source[[#This Row],[lending_product_transform]],[3]Mapping!$B$4:$C$37,2,0)</f>
        <v>[Cake] - Cashloan</v>
      </c>
      <c r="H2861" s="128" t="str">
        <f>VLOOKUP(source[[#This Row],[lending_product_transform]],[3]Mapping!$B$3:$D$37,3,0)</f>
        <v>cashloan</v>
      </c>
      <c r="I2861" s="143">
        <v>5404500000</v>
      </c>
    </row>
    <row r="2862" spans="1:9" x14ac:dyDescent="0.2">
      <c r="A2862" s="172">
        <v>45575</v>
      </c>
      <c r="B2862" s="143">
        <f>YEAR(source[[#This Row],[report_date]])</f>
        <v>2024</v>
      </c>
      <c r="C2862" s="128">
        <f t="shared" si="126"/>
        <v>10</v>
      </c>
      <c r="D2862" s="136">
        <f t="shared" si="124"/>
        <v>41</v>
      </c>
      <c r="E2862" s="136">
        <f t="shared" si="125"/>
        <v>10</v>
      </c>
      <c r="F2862" s="137" t="s">
        <v>24</v>
      </c>
      <c r="G2862" s="128" t="str">
        <f>VLOOKUP(source[[#This Row],[lending_product_transform]],[3]Mapping!$B$4:$C$37,2,0)</f>
        <v>[Cake] - Cashloan</v>
      </c>
      <c r="H2862" s="128" t="str">
        <f>VLOOKUP(source[[#This Row],[lending_product_transform]],[3]Mapping!$B$3:$D$37,3,0)</f>
        <v>cashloan</v>
      </c>
      <c r="I2862" s="143">
        <v>114500000</v>
      </c>
    </row>
    <row r="2863" spans="1:9" x14ac:dyDescent="0.2">
      <c r="A2863" s="172">
        <v>45575</v>
      </c>
      <c r="B2863" s="143">
        <f>YEAR(source[[#This Row],[report_date]])</f>
        <v>2024</v>
      </c>
      <c r="C2863" s="128">
        <f t="shared" si="126"/>
        <v>10</v>
      </c>
      <c r="D2863" s="136">
        <f t="shared" si="124"/>
        <v>41</v>
      </c>
      <c r="E2863" s="136">
        <f t="shared" si="125"/>
        <v>10</v>
      </c>
      <c r="F2863" s="137" t="s">
        <v>24</v>
      </c>
      <c r="G2863" s="128" t="str">
        <f>VLOOKUP(source[[#This Row],[lending_product_transform]],[3]Mapping!$B$4:$C$37,2,0)</f>
        <v>[Cake] - Cashloan</v>
      </c>
      <c r="H2863" s="128" t="str">
        <f>VLOOKUP(source[[#This Row],[lending_product_transform]],[3]Mapping!$B$3:$D$37,3,0)</f>
        <v>cashloan</v>
      </c>
      <c r="I2863" s="143">
        <v>22470000</v>
      </c>
    </row>
    <row r="2864" spans="1:9" x14ac:dyDescent="0.2">
      <c r="A2864" s="172">
        <v>45575</v>
      </c>
      <c r="B2864" s="143">
        <f>YEAR(source[[#This Row],[report_date]])</f>
        <v>2024</v>
      </c>
      <c r="C2864" s="128">
        <f t="shared" si="126"/>
        <v>10</v>
      </c>
      <c r="D2864" s="136">
        <f t="shared" si="124"/>
        <v>41</v>
      </c>
      <c r="E2864" s="136">
        <f t="shared" si="125"/>
        <v>10</v>
      </c>
      <c r="F2864" s="137" t="s">
        <v>24</v>
      </c>
      <c r="G2864" s="128" t="str">
        <f>VLOOKUP(source[[#This Row],[lending_product_transform]],[3]Mapping!$B$4:$C$37,2,0)</f>
        <v>[Cake] - Cashloan</v>
      </c>
      <c r="H2864" s="128" t="str">
        <f>VLOOKUP(source[[#This Row],[lending_product_transform]],[3]Mapping!$B$3:$D$37,3,0)</f>
        <v>cashloan</v>
      </c>
      <c r="I2864" s="143">
        <v>52800000</v>
      </c>
    </row>
    <row r="2865" spans="1:9" x14ac:dyDescent="0.2">
      <c r="A2865" s="172">
        <v>45575</v>
      </c>
      <c r="B2865" s="143">
        <f>YEAR(source[[#This Row],[report_date]])</f>
        <v>2024</v>
      </c>
      <c r="C2865" s="128">
        <f t="shared" si="126"/>
        <v>10</v>
      </c>
      <c r="D2865" s="136">
        <f t="shared" si="124"/>
        <v>41</v>
      </c>
      <c r="E2865" s="136">
        <f t="shared" si="125"/>
        <v>10</v>
      </c>
      <c r="F2865" s="137" t="s">
        <v>24</v>
      </c>
      <c r="G2865" s="128" t="str">
        <f>VLOOKUP(source[[#This Row],[lending_product_transform]],[3]Mapping!$B$4:$C$37,2,0)</f>
        <v>[Cake] - Cashloan</v>
      </c>
      <c r="H2865" s="128" t="str">
        <f>VLOOKUP(source[[#This Row],[lending_product_transform]],[3]Mapping!$B$3:$D$37,3,0)</f>
        <v>cashloan</v>
      </c>
      <c r="I2865" s="143">
        <v>5000</v>
      </c>
    </row>
    <row r="2866" spans="1:9" x14ac:dyDescent="0.2">
      <c r="A2866" s="172">
        <v>45575</v>
      </c>
      <c r="B2866" s="143">
        <f>YEAR(source[[#This Row],[report_date]])</f>
        <v>2024</v>
      </c>
      <c r="C2866" s="128">
        <f t="shared" si="126"/>
        <v>10</v>
      </c>
      <c r="D2866" s="136">
        <f t="shared" si="124"/>
        <v>41</v>
      </c>
      <c r="E2866" s="136">
        <f t="shared" si="125"/>
        <v>10</v>
      </c>
      <c r="F2866" s="137" t="s">
        <v>24</v>
      </c>
      <c r="G2866" s="128" t="str">
        <f>VLOOKUP(source[[#This Row],[lending_product_transform]],[3]Mapping!$B$4:$C$37,2,0)</f>
        <v>[Cake] - Cashloan</v>
      </c>
      <c r="H2866" s="128" t="str">
        <f>VLOOKUP(source[[#This Row],[lending_product_transform]],[3]Mapping!$B$3:$D$37,3,0)</f>
        <v>cashloan</v>
      </c>
      <c r="I2866" s="143">
        <v>74850000</v>
      </c>
    </row>
    <row r="2867" spans="1:9" x14ac:dyDescent="0.2">
      <c r="A2867" s="172">
        <v>45575</v>
      </c>
      <c r="B2867" s="143">
        <f>YEAR(source[[#This Row],[report_date]])</f>
        <v>2024</v>
      </c>
      <c r="C2867" s="128">
        <f t="shared" si="126"/>
        <v>10</v>
      </c>
      <c r="D2867" s="136">
        <f t="shared" si="124"/>
        <v>41</v>
      </c>
      <c r="E2867" s="136">
        <f t="shared" si="125"/>
        <v>10</v>
      </c>
      <c r="F2867" s="137" t="s">
        <v>24</v>
      </c>
      <c r="G2867" s="128" t="str">
        <f>VLOOKUP(source[[#This Row],[lending_product_transform]],[3]Mapping!$B$4:$C$37,2,0)</f>
        <v>[Cake] - Cashloan</v>
      </c>
      <c r="H2867" s="128" t="str">
        <f>VLOOKUP(source[[#This Row],[lending_product_transform]],[3]Mapping!$B$3:$D$37,3,0)</f>
        <v>cashloan</v>
      </c>
      <c r="I2867" s="143">
        <v>8560000</v>
      </c>
    </row>
    <row r="2868" spans="1:9" x14ac:dyDescent="0.2">
      <c r="A2868" s="172">
        <v>45575</v>
      </c>
      <c r="B2868" s="143">
        <f>YEAR(source[[#This Row],[report_date]])</f>
        <v>2024</v>
      </c>
      <c r="C2868" s="128">
        <f t="shared" si="126"/>
        <v>10</v>
      </c>
      <c r="D2868" s="136">
        <f t="shared" si="124"/>
        <v>41</v>
      </c>
      <c r="E2868" s="136">
        <f t="shared" si="125"/>
        <v>10</v>
      </c>
      <c r="F2868" s="137" t="s">
        <v>24</v>
      </c>
      <c r="G2868" s="128" t="str">
        <f>VLOOKUP(source[[#This Row],[lending_product_transform]],[3]Mapping!$B$4:$C$37,2,0)</f>
        <v>[Cake] - Cashloan</v>
      </c>
      <c r="H2868" s="128" t="str">
        <f>VLOOKUP(source[[#This Row],[lending_product_transform]],[3]Mapping!$B$3:$D$37,3,0)</f>
        <v>cashloan</v>
      </c>
      <c r="I2868" s="143">
        <v>95000000</v>
      </c>
    </row>
    <row r="2869" spans="1:9" x14ac:dyDescent="0.2">
      <c r="A2869" s="172">
        <v>45575</v>
      </c>
      <c r="B2869" s="143">
        <f>YEAR(source[[#This Row],[report_date]])</f>
        <v>2024</v>
      </c>
      <c r="C2869" s="128">
        <f t="shared" si="126"/>
        <v>10</v>
      </c>
      <c r="D2869" s="136">
        <f t="shared" si="124"/>
        <v>41</v>
      </c>
      <c r="E2869" s="136">
        <f t="shared" si="125"/>
        <v>10</v>
      </c>
      <c r="F2869" s="137" t="s">
        <v>24</v>
      </c>
      <c r="G2869" s="128" t="str">
        <f>VLOOKUP(source[[#This Row],[lending_product_transform]],[3]Mapping!$B$4:$C$37,2,0)</f>
        <v>[Cake] - Cashloan</v>
      </c>
      <c r="H2869" s="128" t="str">
        <f>VLOOKUP(source[[#This Row],[lending_product_transform]],[3]Mapping!$B$3:$D$37,3,0)</f>
        <v>cashloan</v>
      </c>
      <c r="I2869" s="143">
        <v>21848320455</v>
      </c>
    </row>
    <row r="2870" spans="1:9" x14ac:dyDescent="0.2">
      <c r="A2870" s="172">
        <v>45575</v>
      </c>
      <c r="B2870" s="143">
        <f>YEAR(source[[#This Row],[report_date]])</f>
        <v>2024</v>
      </c>
      <c r="C2870" s="128">
        <f t="shared" si="126"/>
        <v>10</v>
      </c>
      <c r="D2870" s="136">
        <f t="shared" si="124"/>
        <v>41</v>
      </c>
      <c r="E2870" s="136">
        <f t="shared" si="125"/>
        <v>10</v>
      </c>
      <c r="F2870" s="137" t="s">
        <v>24</v>
      </c>
      <c r="G2870" s="128" t="str">
        <f>VLOOKUP(source[[#This Row],[lending_product_transform]],[3]Mapping!$B$4:$C$37,2,0)</f>
        <v>[Cake] - Cashloan</v>
      </c>
      <c r="H2870" s="128" t="str">
        <f>VLOOKUP(source[[#This Row],[lending_product_transform]],[3]Mapping!$B$3:$D$37,3,0)</f>
        <v>cashloan</v>
      </c>
      <c r="I2870" s="143">
        <v>3772000000</v>
      </c>
    </row>
    <row r="2871" spans="1:9" x14ac:dyDescent="0.2">
      <c r="A2871" s="172">
        <v>45576</v>
      </c>
      <c r="B2871" s="143">
        <f>YEAR(source[[#This Row],[report_date]])</f>
        <v>2024</v>
      </c>
      <c r="C2871" s="128">
        <f t="shared" si="126"/>
        <v>10</v>
      </c>
      <c r="D2871" s="136">
        <f t="shared" si="124"/>
        <v>41</v>
      </c>
      <c r="E2871" s="136">
        <f t="shared" si="125"/>
        <v>11</v>
      </c>
      <c r="F2871" s="137" t="s">
        <v>24</v>
      </c>
      <c r="G2871" s="128" t="str">
        <f>VLOOKUP(source[[#This Row],[lending_product_transform]],[3]Mapping!$B$4:$C$37,2,0)</f>
        <v>[Cake] - Cashloan</v>
      </c>
      <c r="H2871" s="128" t="str">
        <f>VLOOKUP(source[[#This Row],[lending_product_transform]],[3]Mapping!$B$3:$D$37,3,0)</f>
        <v>cashloan</v>
      </c>
      <c r="I2871" s="143">
        <v>53080000</v>
      </c>
    </row>
    <row r="2872" spans="1:9" x14ac:dyDescent="0.2">
      <c r="A2872" s="172">
        <v>45576</v>
      </c>
      <c r="B2872" s="143">
        <f>YEAR(source[[#This Row],[report_date]])</f>
        <v>2024</v>
      </c>
      <c r="C2872" s="128">
        <f t="shared" si="126"/>
        <v>10</v>
      </c>
      <c r="D2872" s="136">
        <f t="shared" si="124"/>
        <v>41</v>
      </c>
      <c r="E2872" s="136">
        <f t="shared" si="125"/>
        <v>11</v>
      </c>
      <c r="F2872" s="137" t="s">
        <v>24</v>
      </c>
      <c r="G2872" s="128" t="str">
        <f>VLOOKUP(source[[#This Row],[lending_product_transform]],[3]Mapping!$B$4:$C$37,2,0)</f>
        <v>[Cake] - Cashloan</v>
      </c>
      <c r="H2872" s="128" t="str">
        <f>VLOOKUP(source[[#This Row],[lending_product_transform]],[3]Mapping!$B$3:$D$37,3,0)</f>
        <v>cashloan</v>
      </c>
      <c r="I2872" s="143">
        <v>7538700000</v>
      </c>
    </row>
    <row r="2873" spans="1:9" x14ac:dyDescent="0.2">
      <c r="A2873" s="172">
        <v>45576</v>
      </c>
      <c r="B2873" s="143">
        <f>YEAR(source[[#This Row],[report_date]])</f>
        <v>2024</v>
      </c>
      <c r="C2873" s="128">
        <f t="shared" si="126"/>
        <v>10</v>
      </c>
      <c r="D2873" s="136">
        <f t="shared" si="124"/>
        <v>41</v>
      </c>
      <c r="E2873" s="136">
        <f t="shared" si="125"/>
        <v>11</v>
      </c>
      <c r="F2873" s="137" t="s">
        <v>24</v>
      </c>
      <c r="G2873" s="128" t="str">
        <f>VLOOKUP(source[[#This Row],[lending_product_transform]],[3]Mapping!$B$4:$C$37,2,0)</f>
        <v>[Cake] - Cashloan</v>
      </c>
      <c r="H2873" s="128" t="str">
        <f>VLOOKUP(source[[#This Row],[lending_product_transform]],[3]Mapping!$B$3:$D$37,3,0)</f>
        <v>cashloan</v>
      </c>
      <c r="I2873" s="143">
        <v>3024005346</v>
      </c>
    </row>
    <row r="2874" spans="1:9" x14ac:dyDescent="0.2">
      <c r="A2874" s="172">
        <v>45576</v>
      </c>
      <c r="B2874" s="143">
        <f>YEAR(source[[#This Row],[report_date]])</f>
        <v>2024</v>
      </c>
      <c r="C2874" s="128">
        <f t="shared" si="126"/>
        <v>10</v>
      </c>
      <c r="D2874" s="136">
        <f t="shared" si="124"/>
        <v>41</v>
      </c>
      <c r="E2874" s="136">
        <f t="shared" si="125"/>
        <v>11</v>
      </c>
      <c r="F2874" s="137" t="s">
        <v>24</v>
      </c>
      <c r="G2874" s="128" t="str">
        <f>VLOOKUP(source[[#This Row],[lending_product_transform]],[3]Mapping!$B$4:$C$37,2,0)</f>
        <v>[Cake] - Cashloan</v>
      </c>
      <c r="H2874" s="128" t="str">
        <f>VLOOKUP(source[[#This Row],[lending_product_transform]],[3]Mapping!$B$3:$D$37,3,0)</f>
        <v>cashloan</v>
      </c>
      <c r="I2874" s="143">
        <v>4422500000</v>
      </c>
    </row>
    <row r="2875" spans="1:9" x14ac:dyDescent="0.2">
      <c r="A2875" s="172">
        <v>45576</v>
      </c>
      <c r="B2875" s="143">
        <f>YEAR(source[[#This Row],[report_date]])</f>
        <v>2024</v>
      </c>
      <c r="C2875" s="128">
        <f t="shared" si="126"/>
        <v>10</v>
      </c>
      <c r="D2875" s="136">
        <f t="shared" si="124"/>
        <v>41</v>
      </c>
      <c r="E2875" s="136">
        <f t="shared" si="125"/>
        <v>11</v>
      </c>
      <c r="F2875" s="137" t="s">
        <v>24</v>
      </c>
      <c r="G2875" s="128" t="str">
        <f>VLOOKUP(source[[#This Row],[lending_product_transform]],[3]Mapping!$B$4:$C$37,2,0)</f>
        <v>[Cake] - Cashloan</v>
      </c>
      <c r="H2875" s="128" t="str">
        <f>VLOOKUP(source[[#This Row],[lending_product_transform]],[3]Mapping!$B$3:$D$37,3,0)</f>
        <v>cashloan</v>
      </c>
      <c r="I2875" s="143">
        <v>44297829</v>
      </c>
    </row>
    <row r="2876" spans="1:9" x14ac:dyDescent="0.2">
      <c r="A2876" s="172">
        <v>45576</v>
      </c>
      <c r="B2876" s="143">
        <f>YEAR(source[[#This Row],[report_date]])</f>
        <v>2024</v>
      </c>
      <c r="C2876" s="128">
        <f t="shared" si="126"/>
        <v>10</v>
      </c>
      <c r="D2876" s="136">
        <f t="shared" si="124"/>
        <v>41</v>
      </c>
      <c r="E2876" s="136">
        <f t="shared" si="125"/>
        <v>11</v>
      </c>
      <c r="F2876" s="137" t="s">
        <v>24</v>
      </c>
      <c r="G2876" s="128" t="str">
        <f>VLOOKUP(source[[#This Row],[lending_product_transform]],[3]Mapping!$B$4:$C$37,2,0)</f>
        <v>[Cake] - Cashloan</v>
      </c>
      <c r="H2876" s="128" t="str">
        <f>VLOOKUP(source[[#This Row],[lending_product_transform]],[3]Mapping!$B$3:$D$37,3,0)</f>
        <v>cashloan</v>
      </c>
      <c r="I2876" s="143">
        <v>293416649</v>
      </c>
    </row>
    <row r="2877" spans="1:9" x14ac:dyDescent="0.2">
      <c r="A2877" s="172">
        <v>45576</v>
      </c>
      <c r="B2877" s="143">
        <f>YEAR(source[[#This Row],[report_date]])</f>
        <v>2024</v>
      </c>
      <c r="C2877" s="128">
        <f t="shared" si="126"/>
        <v>10</v>
      </c>
      <c r="D2877" s="136">
        <f t="shared" si="124"/>
        <v>41</v>
      </c>
      <c r="E2877" s="136">
        <f t="shared" si="125"/>
        <v>11</v>
      </c>
      <c r="F2877" s="137" t="s">
        <v>24</v>
      </c>
      <c r="G2877" s="128" t="str">
        <f>VLOOKUP(source[[#This Row],[lending_product_transform]],[3]Mapping!$B$4:$C$37,2,0)</f>
        <v>[Cake] - Cashloan</v>
      </c>
      <c r="H2877" s="128" t="str">
        <f>VLOOKUP(source[[#This Row],[lending_product_transform]],[3]Mapping!$B$3:$D$37,3,0)</f>
        <v>cashloan</v>
      </c>
      <c r="I2877" s="143">
        <v>18967808124</v>
      </c>
    </row>
    <row r="2878" spans="1:9" x14ac:dyDescent="0.2">
      <c r="A2878" s="172">
        <v>45576</v>
      </c>
      <c r="B2878" s="143">
        <f>YEAR(source[[#This Row],[report_date]])</f>
        <v>2024</v>
      </c>
      <c r="C2878" s="128">
        <f t="shared" si="126"/>
        <v>10</v>
      </c>
      <c r="D2878" s="136">
        <f t="shared" si="124"/>
        <v>41</v>
      </c>
      <c r="E2878" s="136">
        <f t="shared" si="125"/>
        <v>11</v>
      </c>
      <c r="F2878" s="137" t="s">
        <v>24</v>
      </c>
      <c r="G2878" s="128" t="str">
        <f>VLOOKUP(source[[#This Row],[lending_product_transform]],[3]Mapping!$B$4:$C$37,2,0)</f>
        <v>[Cake] - Cashloan</v>
      </c>
      <c r="H2878" s="128" t="str">
        <f>VLOOKUP(source[[#This Row],[lending_product_transform]],[3]Mapping!$B$3:$D$37,3,0)</f>
        <v>cashloan</v>
      </c>
      <c r="I2878" s="143">
        <v>3476200000</v>
      </c>
    </row>
    <row r="2879" spans="1:9" x14ac:dyDescent="0.2">
      <c r="A2879" s="172">
        <v>45576</v>
      </c>
      <c r="B2879" s="143">
        <f>YEAR(source[[#This Row],[report_date]])</f>
        <v>2024</v>
      </c>
      <c r="C2879" s="128">
        <f t="shared" si="126"/>
        <v>10</v>
      </c>
      <c r="D2879" s="136">
        <f t="shared" si="124"/>
        <v>41</v>
      </c>
      <c r="E2879" s="136">
        <f t="shared" si="125"/>
        <v>11</v>
      </c>
      <c r="F2879" s="137" t="s">
        <v>24</v>
      </c>
      <c r="G2879" s="128" t="str">
        <f>VLOOKUP(source[[#This Row],[lending_product_transform]],[3]Mapping!$B$4:$C$37,2,0)</f>
        <v>[Cake] - Cashloan</v>
      </c>
      <c r="H2879" s="128" t="str">
        <f>VLOOKUP(source[[#This Row],[lending_product_transform]],[3]Mapping!$B$3:$D$37,3,0)</f>
        <v>cashloan</v>
      </c>
      <c r="I2879" s="143">
        <v>32100000</v>
      </c>
    </row>
    <row r="2880" spans="1:9" x14ac:dyDescent="0.2">
      <c r="A2880" s="172">
        <v>45576</v>
      </c>
      <c r="B2880" s="143">
        <f>YEAR(source[[#This Row],[report_date]])</f>
        <v>2024</v>
      </c>
      <c r="C2880" s="128">
        <f t="shared" si="126"/>
        <v>10</v>
      </c>
      <c r="D2880" s="136">
        <f t="shared" si="124"/>
        <v>41</v>
      </c>
      <c r="E2880" s="136">
        <f t="shared" si="125"/>
        <v>11</v>
      </c>
      <c r="F2880" s="137" t="s">
        <v>24</v>
      </c>
      <c r="G2880" s="128" t="str">
        <f>VLOOKUP(source[[#This Row],[lending_product_transform]],[3]Mapping!$B$4:$C$37,2,0)</f>
        <v>[Cake] - Cashloan</v>
      </c>
      <c r="H2880" s="128" t="str">
        <f>VLOOKUP(source[[#This Row],[lending_product_transform]],[3]Mapping!$B$3:$D$37,3,0)</f>
        <v>cashloan</v>
      </c>
      <c r="I2880" s="143">
        <v>8300</v>
      </c>
    </row>
    <row r="2881" spans="1:9" x14ac:dyDescent="0.2">
      <c r="A2881" s="172">
        <v>45576</v>
      </c>
      <c r="B2881" s="143">
        <f>YEAR(source[[#This Row],[report_date]])</f>
        <v>2024</v>
      </c>
      <c r="C2881" s="128">
        <f t="shared" si="126"/>
        <v>10</v>
      </c>
      <c r="D2881" s="136">
        <f t="shared" si="124"/>
        <v>41</v>
      </c>
      <c r="E2881" s="136">
        <f t="shared" si="125"/>
        <v>11</v>
      </c>
      <c r="F2881" s="137" t="s">
        <v>24</v>
      </c>
      <c r="G2881" s="128" t="str">
        <f>VLOOKUP(source[[#This Row],[lending_product_transform]],[3]Mapping!$B$4:$C$37,2,0)</f>
        <v>[Cake] - Cashloan</v>
      </c>
      <c r="H2881" s="128" t="str">
        <f>VLOOKUP(source[[#This Row],[lending_product_transform]],[3]Mapping!$B$3:$D$37,3,0)</f>
        <v>cashloan</v>
      </c>
      <c r="I2881" s="143">
        <v>8000000</v>
      </c>
    </row>
    <row r="2882" spans="1:9" x14ac:dyDescent="0.2">
      <c r="A2882" s="172">
        <v>45576</v>
      </c>
      <c r="B2882" s="143">
        <f>YEAR(source[[#This Row],[report_date]])</f>
        <v>2024</v>
      </c>
      <c r="C2882" s="128">
        <f t="shared" si="126"/>
        <v>10</v>
      </c>
      <c r="D2882" s="136">
        <f t="shared" si="124"/>
        <v>41</v>
      </c>
      <c r="E2882" s="136">
        <f t="shared" si="125"/>
        <v>11</v>
      </c>
      <c r="F2882" s="137" t="s">
        <v>24</v>
      </c>
      <c r="G2882" s="128" t="str">
        <f>VLOOKUP(source[[#This Row],[lending_product_transform]],[3]Mapping!$B$4:$C$37,2,0)</f>
        <v>[Cake] - Cashloan</v>
      </c>
      <c r="H2882" s="128" t="str">
        <f>VLOOKUP(source[[#This Row],[lending_product_transform]],[3]Mapping!$B$3:$D$37,3,0)</f>
        <v>cashloan</v>
      </c>
      <c r="I2882" s="143">
        <v>50000000</v>
      </c>
    </row>
    <row r="2883" spans="1:9" x14ac:dyDescent="0.2">
      <c r="A2883" s="172">
        <v>45576</v>
      </c>
      <c r="B2883" s="143">
        <f>YEAR(source[[#This Row],[report_date]])</f>
        <v>2024</v>
      </c>
      <c r="C2883" s="128">
        <f t="shared" si="126"/>
        <v>10</v>
      </c>
      <c r="D2883" s="136">
        <f t="shared" ref="D2883:D2946" si="127">WEEKNUM(A2883,2)</f>
        <v>41</v>
      </c>
      <c r="E2883" s="136">
        <f t="shared" ref="E2883:E2915" si="128">DAY(A2883)</f>
        <v>11</v>
      </c>
      <c r="F2883" s="137" t="s">
        <v>24</v>
      </c>
      <c r="G2883" s="128" t="str">
        <f>VLOOKUP(source[[#This Row],[lending_product_transform]],[3]Mapping!$B$4:$C$37,2,0)</f>
        <v>[Cake] - Cashloan</v>
      </c>
      <c r="H2883" s="128" t="str">
        <f>VLOOKUP(source[[#This Row],[lending_product_transform]],[3]Mapping!$B$3:$D$37,3,0)</f>
        <v>cashloan</v>
      </c>
      <c r="I2883" s="143">
        <v>10500000</v>
      </c>
    </row>
    <row r="2884" spans="1:9" x14ac:dyDescent="0.2">
      <c r="A2884" s="172">
        <v>45576</v>
      </c>
      <c r="B2884" s="143">
        <f>YEAR(source[[#This Row],[report_date]])</f>
        <v>2024</v>
      </c>
      <c r="C2884" s="128">
        <f t="shared" si="126"/>
        <v>10</v>
      </c>
      <c r="D2884" s="136">
        <f t="shared" si="127"/>
        <v>41</v>
      </c>
      <c r="E2884" s="136">
        <f t="shared" si="128"/>
        <v>11</v>
      </c>
      <c r="F2884" s="137" t="s">
        <v>24</v>
      </c>
      <c r="G2884" s="128" t="str">
        <f>VLOOKUP(source[[#This Row],[lending_product_transform]],[3]Mapping!$B$4:$C$37,2,0)</f>
        <v>[Cake] - Cashloan</v>
      </c>
      <c r="H2884" s="128" t="str">
        <f>VLOOKUP(source[[#This Row],[lending_product_transform]],[3]Mapping!$B$3:$D$37,3,0)</f>
        <v>cashloan</v>
      </c>
      <c r="I2884" s="143">
        <v>0</v>
      </c>
    </row>
    <row r="2885" spans="1:9" x14ac:dyDescent="0.2">
      <c r="A2885" s="172">
        <v>45576</v>
      </c>
      <c r="B2885" s="143">
        <f>YEAR(source[[#This Row],[report_date]])</f>
        <v>2024</v>
      </c>
      <c r="C2885" s="128">
        <f t="shared" si="126"/>
        <v>10</v>
      </c>
      <c r="D2885" s="136">
        <f t="shared" si="127"/>
        <v>41</v>
      </c>
      <c r="E2885" s="136">
        <f t="shared" si="128"/>
        <v>11</v>
      </c>
      <c r="F2885" s="137" t="s">
        <v>24</v>
      </c>
      <c r="G2885" s="128" t="str">
        <f>VLOOKUP(source[[#This Row],[lending_product_transform]],[3]Mapping!$B$4:$C$37,2,0)</f>
        <v>[Cake] - Cashloan</v>
      </c>
      <c r="H2885" s="128" t="str">
        <f>VLOOKUP(source[[#This Row],[lending_product_transform]],[3]Mapping!$B$3:$D$37,3,0)</f>
        <v>cashloan</v>
      </c>
      <c r="I2885" s="143">
        <v>15000000</v>
      </c>
    </row>
    <row r="2886" spans="1:9" x14ac:dyDescent="0.2">
      <c r="A2886" s="172">
        <v>45577</v>
      </c>
      <c r="B2886" s="143">
        <f>YEAR(source[[#This Row],[report_date]])</f>
        <v>2024</v>
      </c>
      <c r="C2886" s="128">
        <f t="shared" si="126"/>
        <v>10</v>
      </c>
      <c r="D2886" s="136">
        <f t="shared" si="127"/>
        <v>41</v>
      </c>
      <c r="E2886" s="136">
        <f t="shared" si="128"/>
        <v>12</v>
      </c>
      <c r="F2886" s="137" t="s">
        <v>24</v>
      </c>
      <c r="G2886" s="128" t="str">
        <f>VLOOKUP(source[[#This Row],[lending_product_transform]],[3]Mapping!$B$4:$C$37,2,0)</f>
        <v>[Cake] - Cashloan</v>
      </c>
      <c r="H2886" s="128" t="str">
        <f>VLOOKUP(source[[#This Row],[lending_product_transform]],[3]Mapping!$B$3:$D$37,3,0)</f>
        <v>cashloan</v>
      </c>
      <c r="I2886" s="143">
        <v>0</v>
      </c>
    </row>
    <row r="2887" spans="1:9" x14ac:dyDescent="0.2">
      <c r="A2887" s="172">
        <v>45577</v>
      </c>
      <c r="B2887" s="143">
        <f>YEAR(source[[#This Row],[report_date]])</f>
        <v>2024</v>
      </c>
      <c r="C2887" s="128">
        <f t="shared" si="126"/>
        <v>10</v>
      </c>
      <c r="D2887" s="136">
        <f t="shared" si="127"/>
        <v>41</v>
      </c>
      <c r="E2887" s="136">
        <f t="shared" si="128"/>
        <v>12</v>
      </c>
      <c r="F2887" s="137" t="s">
        <v>24</v>
      </c>
      <c r="G2887" s="128" t="str">
        <f>VLOOKUP(source[[#This Row],[lending_product_transform]],[3]Mapping!$B$4:$C$37,2,0)</f>
        <v>[Cake] - Cashloan</v>
      </c>
      <c r="H2887" s="128" t="str">
        <f>VLOOKUP(source[[#This Row],[lending_product_transform]],[3]Mapping!$B$3:$D$37,3,0)</f>
        <v>cashloan</v>
      </c>
      <c r="I2887" s="143">
        <v>18772745715</v>
      </c>
    </row>
    <row r="2888" spans="1:9" x14ac:dyDescent="0.2">
      <c r="A2888" s="172">
        <v>45577</v>
      </c>
      <c r="B2888" s="143">
        <f>YEAR(source[[#This Row],[report_date]])</f>
        <v>2024</v>
      </c>
      <c r="C2888" s="128">
        <f t="shared" si="126"/>
        <v>10</v>
      </c>
      <c r="D2888" s="136">
        <f t="shared" si="127"/>
        <v>41</v>
      </c>
      <c r="E2888" s="136">
        <f t="shared" si="128"/>
        <v>12</v>
      </c>
      <c r="F2888" s="137" t="s">
        <v>24</v>
      </c>
      <c r="G2888" s="128" t="str">
        <f>VLOOKUP(source[[#This Row],[lending_product_transform]],[3]Mapping!$B$4:$C$37,2,0)</f>
        <v>[Cake] - Cashloan</v>
      </c>
      <c r="H2888" s="128" t="str">
        <f>VLOOKUP(source[[#This Row],[lending_product_transform]],[3]Mapping!$B$3:$D$37,3,0)</f>
        <v>cashloan</v>
      </c>
      <c r="I2888" s="143">
        <v>3222050000</v>
      </c>
    </row>
    <row r="2889" spans="1:9" x14ac:dyDescent="0.2">
      <c r="A2889" s="172">
        <v>45577</v>
      </c>
      <c r="B2889" s="143">
        <f>YEAR(source[[#This Row],[report_date]])</f>
        <v>2024</v>
      </c>
      <c r="C2889" s="128">
        <f t="shared" si="126"/>
        <v>10</v>
      </c>
      <c r="D2889" s="136">
        <f t="shared" si="127"/>
        <v>41</v>
      </c>
      <c r="E2889" s="136">
        <f t="shared" si="128"/>
        <v>12</v>
      </c>
      <c r="F2889" s="137" t="s">
        <v>24</v>
      </c>
      <c r="G2889" s="128" t="str">
        <f>VLOOKUP(source[[#This Row],[lending_product_transform]],[3]Mapping!$B$4:$C$37,2,0)</f>
        <v>[Cake] - Cashloan</v>
      </c>
      <c r="H2889" s="128" t="str">
        <f>VLOOKUP(source[[#This Row],[lending_product_transform]],[3]Mapping!$B$3:$D$37,3,0)</f>
        <v>cashloan</v>
      </c>
      <c r="I2889" s="143">
        <v>3028013912</v>
      </c>
    </row>
    <row r="2890" spans="1:9" x14ac:dyDescent="0.2">
      <c r="A2890" s="172">
        <v>45577</v>
      </c>
      <c r="B2890" s="143">
        <f>YEAR(source[[#This Row],[report_date]])</f>
        <v>2024</v>
      </c>
      <c r="C2890" s="128">
        <f t="shared" si="126"/>
        <v>10</v>
      </c>
      <c r="D2890" s="136">
        <f t="shared" si="127"/>
        <v>41</v>
      </c>
      <c r="E2890" s="136">
        <f t="shared" si="128"/>
        <v>12</v>
      </c>
      <c r="F2890" s="137" t="s">
        <v>24</v>
      </c>
      <c r="G2890" s="128" t="str">
        <f>VLOOKUP(source[[#This Row],[lending_product_transform]],[3]Mapping!$B$4:$C$37,2,0)</f>
        <v>[Cake] - Cashloan</v>
      </c>
      <c r="H2890" s="128" t="str">
        <f>VLOOKUP(source[[#This Row],[lending_product_transform]],[3]Mapping!$B$3:$D$37,3,0)</f>
        <v>cashloan</v>
      </c>
      <c r="I2890" s="143">
        <v>48000000</v>
      </c>
    </row>
    <row r="2891" spans="1:9" x14ac:dyDescent="0.2">
      <c r="A2891" s="172">
        <v>45577</v>
      </c>
      <c r="B2891" s="143">
        <f>YEAR(source[[#This Row],[report_date]])</f>
        <v>2024</v>
      </c>
      <c r="C2891" s="128">
        <f t="shared" si="126"/>
        <v>10</v>
      </c>
      <c r="D2891" s="136">
        <f t="shared" si="127"/>
        <v>41</v>
      </c>
      <c r="E2891" s="136">
        <f t="shared" si="128"/>
        <v>12</v>
      </c>
      <c r="F2891" s="137" t="s">
        <v>24</v>
      </c>
      <c r="G2891" s="128" t="str">
        <f>VLOOKUP(source[[#This Row],[lending_product_transform]],[3]Mapping!$B$4:$C$37,2,0)</f>
        <v>[Cake] - Cashloan</v>
      </c>
      <c r="H2891" s="128" t="str">
        <f>VLOOKUP(source[[#This Row],[lending_product_transform]],[3]Mapping!$B$3:$D$37,3,0)</f>
        <v>cashloan</v>
      </c>
      <c r="I2891" s="143">
        <v>7824150000</v>
      </c>
    </row>
    <row r="2892" spans="1:9" x14ac:dyDescent="0.2">
      <c r="A2892" s="172">
        <v>45577</v>
      </c>
      <c r="B2892" s="143">
        <f>YEAR(source[[#This Row],[report_date]])</f>
        <v>2024</v>
      </c>
      <c r="C2892" s="128">
        <f t="shared" si="126"/>
        <v>10</v>
      </c>
      <c r="D2892" s="136">
        <f t="shared" si="127"/>
        <v>41</v>
      </c>
      <c r="E2892" s="136">
        <f t="shared" si="128"/>
        <v>12</v>
      </c>
      <c r="F2892" s="137" t="s">
        <v>24</v>
      </c>
      <c r="G2892" s="128" t="str">
        <f>VLOOKUP(source[[#This Row],[lending_product_transform]],[3]Mapping!$B$4:$C$37,2,0)</f>
        <v>[Cake] - Cashloan</v>
      </c>
      <c r="H2892" s="128" t="str">
        <f>VLOOKUP(source[[#This Row],[lending_product_transform]],[3]Mapping!$B$3:$D$37,3,0)</f>
        <v>cashloan</v>
      </c>
      <c r="I2892" s="143">
        <v>224510008</v>
      </c>
    </row>
    <row r="2893" spans="1:9" x14ac:dyDescent="0.2">
      <c r="A2893" s="172">
        <v>45577</v>
      </c>
      <c r="B2893" s="143">
        <f>YEAR(source[[#This Row],[report_date]])</f>
        <v>2024</v>
      </c>
      <c r="C2893" s="128">
        <f t="shared" si="126"/>
        <v>10</v>
      </c>
      <c r="D2893" s="136">
        <f t="shared" si="127"/>
        <v>41</v>
      </c>
      <c r="E2893" s="136">
        <f t="shared" si="128"/>
        <v>12</v>
      </c>
      <c r="F2893" s="137" t="s">
        <v>24</v>
      </c>
      <c r="G2893" s="128" t="str">
        <f>VLOOKUP(source[[#This Row],[lending_product_transform]],[3]Mapping!$B$4:$C$37,2,0)</f>
        <v>[Cake] - Cashloan</v>
      </c>
      <c r="H2893" s="128" t="str">
        <f>VLOOKUP(source[[#This Row],[lending_product_transform]],[3]Mapping!$B$3:$D$37,3,0)</f>
        <v>cashloan</v>
      </c>
      <c r="I2893" s="143">
        <v>52131795</v>
      </c>
    </row>
    <row r="2894" spans="1:9" x14ac:dyDescent="0.2">
      <c r="A2894" s="172">
        <v>45577</v>
      </c>
      <c r="B2894" s="143">
        <f>YEAR(source[[#This Row],[report_date]])</f>
        <v>2024</v>
      </c>
      <c r="C2894" s="128">
        <f t="shared" si="126"/>
        <v>10</v>
      </c>
      <c r="D2894" s="136">
        <f t="shared" si="127"/>
        <v>41</v>
      </c>
      <c r="E2894" s="136">
        <f t="shared" si="128"/>
        <v>12</v>
      </c>
      <c r="F2894" s="137" t="s">
        <v>24</v>
      </c>
      <c r="G2894" s="128" t="str">
        <f>VLOOKUP(source[[#This Row],[lending_product_transform]],[3]Mapping!$B$4:$C$37,2,0)</f>
        <v>[Cake] - Cashloan</v>
      </c>
      <c r="H2894" s="128" t="str">
        <f>VLOOKUP(source[[#This Row],[lending_product_transform]],[3]Mapping!$B$3:$D$37,3,0)</f>
        <v>cashloan</v>
      </c>
      <c r="I2894" s="143">
        <v>0</v>
      </c>
    </row>
    <row r="2895" spans="1:9" x14ac:dyDescent="0.2">
      <c r="A2895" s="172">
        <v>45577</v>
      </c>
      <c r="B2895" s="143">
        <f>YEAR(source[[#This Row],[report_date]])</f>
        <v>2024</v>
      </c>
      <c r="C2895" s="128">
        <f t="shared" si="126"/>
        <v>10</v>
      </c>
      <c r="D2895" s="136">
        <f t="shared" si="127"/>
        <v>41</v>
      </c>
      <c r="E2895" s="136">
        <f t="shared" si="128"/>
        <v>12</v>
      </c>
      <c r="F2895" s="137" t="s">
        <v>24</v>
      </c>
      <c r="G2895" s="128" t="str">
        <f>VLOOKUP(source[[#This Row],[lending_product_transform]],[3]Mapping!$B$4:$C$37,2,0)</f>
        <v>[Cake] - Cashloan</v>
      </c>
      <c r="H2895" s="128" t="str">
        <f>VLOOKUP(source[[#This Row],[lending_product_transform]],[3]Mapping!$B$3:$D$37,3,0)</f>
        <v>cashloan</v>
      </c>
      <c r="I2895" s="143">
        <v>10700000</v>
      </c>
    </row>
    <row r="2896" spans="1:9" x14ac:dyDescent="0.2">
      <c r="A2896" s="172">
        <v>45577</v>
      </c>
      <c r="B2896" s="143">
        <f>YEAR(source[[#This Row],[report_date]])</f>
        <v>2024</v>
      </c>
      <c r="C2896" s="128">
        <f t="shared" si="126"/>
        <v>10</v>
      </c>
      <c r="D2896" s="136">
        <f t="shared" si="127"/>
        <v>41</v>
      </c>
      <c r="E2896" s="136">
        <f t="shared" si="128"/>
        <v>12</v>
      </c>
      <c r="F2896" s="137" t="s">
        <v>24</v>
      </c>
      <c r="G2896" s="128" t="str">
        <f>VLOOKUP(source[[#This Row],[lending_product_transform]],[3]Mapping!$B$4:$C$37,2,0)</f>
        <v>[Cake] - Cashloan</v>
      </c>
      <c r="H2896" s="128" t="str">
        <f>VLOOKUP(source[[#This Row],[lending_product_transform]],[3]Mapping!$B$3:$D$37,3,0)</f>
        <v>cashloan</v>
      </c>
      <c r="I2896" s="143">
        <v>63000000</v>
      </c>
    </row>
    <row r="2897" spans="1:9" x14ac:dyDescent="0.2">
      <c r="A2897" s="172">
        <v>45577</v>
      </c>
      <c r="B2897" s="143">
        <f>YEAR(source[[#This Row],[report_date]])</f>
        <v>2024</v>
      </c>
      <c r="C2897" s="128">
        <f t="shared" si="126"/>
        <v>10</v>
      </c>
      <c r="D2897" s="136">
        <f t="shared" si="127"/>
        <v>41</v>
      </c>
      <c r="E2897" s="136">
        <f t="shared" si="128"/>
        <v>12</v>
      </c>
      <c r="F2897" s="137" t="s">
        <v>24</v>
      </c>
      <c r="G2897" s="128" t="str">
        <f>VLOOKUP(source[[#This Row],[lending_product_transform]],[3]Mapping!$B$4:$C$37,2,0)</f>
        <v>[Cake] - Cashloan</v>
      </c>
      <c r="H2897" s="128" t="str">
        <f>VLOOKUP(source[[#This Row],[lending_product_transform]],[3]Mapping!$B$3:$D$37,3,0)</f>
        <v>cashloan</v>
      </c>
      <c r="I2897" s="143">
        <v>12840000</v>
      </c>
    </row>
    <row r="2898" spans="1:9" x14ac:dyDescent="0.2">
      <c r="A2898" s="172">
        <v>45577</v>
      </c>
      <c r="B2898" s="143">
        <f>YEAR(source[[#This Row],[report_date]])</f>
        <v>2024</v>
      </c>
      <c r="C2898" s="128">
        <f t="shared" si="126"/>
        <v>10</v>
      </c>
      <c r="D2898" s="136">
        <f t="shared" si="127"/>
        <v>41</v>
      </c>
      <c r="E2898" s="136">
        <f t="shared" si="128"/>
        <v>12</v>
      </c>
      <c r="F2898" s="137" t="s">
        <v>24</v>
      </c>
      <c r="G2898" s="128" t="str">
        <f>VLOOKUP(source[[#This Row],[lending_product_transform]],[3]Mapping!$B$4:$C$37,2,0)</f>
        <v>[Cake] - Cashloan</v>
      </c>
      <c r="H2898" s="128" t="str">
        <f>VLOOKUP(source[[#This Row],[lending_product_transform]],[3]Mapping!$B$3:$D$37,3,0)</f>
        <v>cashloan</v>
      </c>
      <c r="I2898" s="143">
        <v>148350000</v>
      </c>
    </row>
    <row r="2899" spans="1:9" x14ac:dyDescent="0.2">
      <c r="A2899" s="172">
        <v>45577</v>
      </c>
      <c r="B2899" s="143">
        <f>YEAR(source[[#This Row],[report_date]])</f>
        <v>2024</v>
      </c>
      <c r="C2899" s="128">
        <f t="shared" si="126"/>
        <v>10</v>
      </c>
      <c r="D2899" s="136">
        <f t="shared" si="127"/>
        <v>41</v>
      </c>
      <c r="E2899" s="136">
        <f t="shared" si="128"/>
        <v>12</v>
      </c>
      <c r="F2899" s="137" t="s">
        <v>24</v>
      </c>
      <c r="G2899" s="128" t="str">
        <f>VLOOKUP(source[[#This Row],[lending_product_transform]],[3]Mapping!$B$4:$C$37,2,0)</f>
        <v>[Cake] - Cashloan</v>
      </c>
      <c r="H2899" s="128" t="str">
        <f>VLOOKUP(source[[#This Row],[lending_product_transform]],[3]Mapping!$B$3:$D$37,3,0)</f>
        <v>cashloan</v>
      </c>
      <c r="I2899" s="143">
        <v>4139000000</v>
      </c>
    </row>
    <row r="2900" spans="1:9" x14ac:dyDescent="0.2">
      <c r="A2900" s="172">
        <v>45577</v>
      </c>
      <c r="B2900" s="143">
        <f>YEAR(source[[#This Row],[report_date]])</f>
        <v>2024</v>
      </c>
      <c r="C2900" s="128">
        <f t="shared" si="126"/>
        <v>10</v>
      </c>
      <c r="D2900" s="136">
        <f t="shared" si="127"/>
        <v>41</v>
      </c>
      <c r="E2900" s="136">
        <f t="shared" si="128"/>
        <v>12</v>
      </c>
      <c r="F2900" s="137" t="s">
        <v>24</v>
      </c>
      <c r="G2900" s="128" t="str">
        <f>VLOOKUP(source[[#This Row],[lending_product_transform]],[3]Mapping!$B$4:$C$37,2,0)</f>
        <v>[Cake] - Cashloan</v>
      </c>
      <c r="H2900" s="128" t="str">
        <f>VLOOKUP(source[[#This Row],[lending_product_transform]],[3]Mapping!$B$3:$D$37,3,0)</f>
        <v>cashloan</v>
      </c>
      <c r="I2900" s="143">
        <v>0</v>
      </c>
    </row>
    <row r="2901" spans="1:9" x14ac:dyDescent="0.2">
      <c r="A2901" s="172">
        <v>45578</v>
      </c>
      <c r="B2901" s="143">
        <f>YEAR(source[[#This Row],[report_date]])</f>
        <v>2024</v>
      </c>
      <c r="C2901" s="128">
        <f t="shared" ref="C2901:C2915" si="129">MONTH(A2901)</f>
        <v>10</v>
      </c>
      <c r="D2901" s="136">
        <f t="shared" si="127"/>
        <v>41</v>
      </c>
      <c r="E2901" s="136">
        <f t="shared" si="128"/>
        <v>13</v>
      </c>
      <c r="F2901" s="137" t="s">
        <v>24</v>
      </c>
      <c r="G2901" s="128" t="str">
        <f>VLOOKUP(source[[#This Row],[lending_product_transform]],[3]Mapping!$B$4:$C$37,2,0)</f>
        <v>[Cake] - Cashloan</v>
      </c>
      <c r="H2901" s="128" t="str">
        <f>VLOOKUP(source[[#This Row],[lending_product_transform]],[3]Mapping!$B$3:$D$37,3,0)</f>
        <v>cashloan</v>
      </c>
      <c r="I2901" s="143">
        <v>0</v>
      </c>
    </row>
    <row r="2902" spans="1:9" x14ac:dyDescent="0.2">
      <c r="A2902" s="172">
        <v>45578</v>
      </c>
      <c r="B2902" s="143">
        <f>YEAR(source[[#This Row],[report_date]])</f>
        <v>2024</v>
      </c>
      <c r="C2902" s="128">
        <f t="shared" si="129"/>
        <v>10</v>
      </c>
      <c r="D2902" s="136">
        <f t="shared" si="127"/>
        <v>41</v>
      </c>
      <c r="E2902" s="136">
        <f t="shared" si="128"/>
        <v>13</v>
      </c>
      <c r="F2902" s="137" t="s">
        <v>24</v>
      </c>
      <c r="G2902" s="128" t="str">
        <f>VLOOKUP(source[[#This Row],[lending_product_transform]],[3]Mapping!$B$4:$C$37,2,0)</f>
        <v>[Cake] - Cashloan</v>
      </c>
      <c r="H2902" s="128" t="str">
        <f>VLOOKUP(source[[#This Row],[lending_product_transform]],[3]Mapping!$B$3:$D$37,3,0)</f>
        <v>cashloan</v>
      </c>
      <c r="I2902" s="143">
        <v>16871890988</v>
      </c>
    </row>
    <row r="2903" spans="1:9" x14ac:dyDescent="0.2">
      <c r="A2903" s="172">
        <v>45578</v>
      </c>
      <c r="B2903" s="143">
        <f>YEAR(source[[#This Row],[report_date]])</f>
        <v>2024</v>
      </c>
      <c r="C2903" s="128">
        <f t="shared" si="129"/>
        <v>10</v>
      </c>
      <c r="D2903" s="136">
        <f t="shared" si="127"/>
        <v>41</v>
      </c>
      <c r="E2903" s="136">
        <f t="shared" si="128"/>
        <v>13</v>
      </c>
      <c r="F2903" s="137" t="s">
        <v>24</v>
      </c>
      <c r="G2903" s="128" t="str">
        <f>VLOOKUP(source[[#This Row],[lending_product_transform]],[3]Mapping!$B$4:$C$37,2,0)</f>
        <v>[Cake] - Cashloan</v>
      </c>
      <c r="H2903" s="128" t="str">
        <f>VLOOKUP(source[[#This Row],[lending_product_transform]],[3]Mapping!$B$3:$D$37,3,0)</f>
        <v>cashloan</v>
      </c>
      <c r="I2903" s="143">
        <v>7490000</v>
      </c>
    </row>
    <row r="2904" spans="1:9" x14ac:dyDescent="0.2">
      <c r="A2904" s="172">
        <v>45578</v>
      </c>
      <c r="B2904" s="143">
        <f>YEAR(source[[#This Row],[report_date]])</f>
        <v>2024</v>
      </c>
      <c r="C2904" s="128">
        <f t="shared" si="129"/>
        <v>10</v>
      </c>
      <c r="D2904" s="136">
        <f t="shared" si="127"/>
        <v>41</v>
      </c>
      <c r="E2904" s="136">
        <f t="shared" si="128"/>
        <v>13</v>
      </c>
      <c r="F2904" s="137" t="s">
        <v>24</v>
      </c>
      <c r="G2904" s="128" t="str">
        <f>VLOOKUP(source[[#This Row],[lending_product_transform]],[3]Mapping!$B$4:$C$37,2,0)</f>
        <v>[Cake] - Cashloan</v>
      </c>
      <c r="H2904" s="128" t="str">
        <f>VLOOKUP(source[[#This Row],[lending_product_transform]],[3]Mapping!$B$3:$D$37,3,0)</f>
        <v>cashloan</v>
      </c>
      <c r="I2904" s="143">
        <v>57877659</v>
      </c>
    </row>
    <row r="2905" spans="1:9" x14ac:dyDescent="0.2">
      <c r="A2905" s="172">
        <v>45578</v>
      </c>
      <c r="B2905" s="143">
        <f>YEAR(source[[#This Row],[report_date]])</f>
        <v>2024</v>
      </c>
      <c r="C2905" s="128">
        <f t="shared" si="129"/>
        <v>10</v>
      </c>
      <c r="D2905" s="136">
        <f t="shared" si="127"/>
        <v>41</v>
      </c>
      <c r="E2905" s="136">
        <f t="shared" si="128"/>
        <v>13</v>
      </c>
      <c r="F2905" s="137" t="s">
        <v>24</v>
      </c>
      <c r="G2905" s="128" t="str">
        <f>VLOOKUP(source[[#This Row],[lending_product_transform]],[3]Mapping!$B$4:$C$37,2,0)</f>
        <v>[Cake] - Cashloan</v>
      </c>
      <c r="H2905" s="128" t="str">
        <f>VLOOKUP(source[[#This Row],[lending_product_transform]],[3]Mapping!$B$3:$D$37,3,0)</f>
        <v>cashloan</v>
      </c>
      <c r="I2905" s="143">
        <v>58000000</v>
      </c>
    </row>
    <row r="2906" spans="1:9" x14ac:dyDescent="0.2">
      <c r="A2906" s="172">
        <v>45578</v>
      </c>
      <c r="B2906" s="143">
        <f>YEAR(source[[#This Row],[report_date]])</f>
        <v>2024</v>
      </c>
      <c r="C2906" s="128">
        <f t="shared" si="129"/>
        <v>10</v>
      </c>
      <c r="D2906" s="136">
        <f t="shared" si="127"/>
        <v>41</v>
      </c>
      <c r="E2906" s="136">
        <f t="shared" si="128"/>
        <v>13</v>
      </c>
      <c r="F2906" s="137" t="s">
        <v>24</v>
      </c>
      <c r="G2906" s="128" t="str">
        <f>VLOOKUP(source[[#This Row],[lending_product_transform]],[3]Mapping!$B$4:$C$37,2,0)</f>
        <v>[Cake] - Cashloan</v>
      </c>
      <c r="H2906" s="128" t="str">
        <f>VLOOKUP(source[[#This Row],[lending_product_transform]],[3]Mapping!$B$3:$D$37,3,0)</f>
        <v>cashloan</v>
      </c>
      <c r="I2906" s="143">
        <v>0</v>
      </c>
    </row>
    <row r="2907" spans="1:9" x14ac:dyDescent="0.2">
      <c r="A2907" s="172">
        <v>45578</v>
      </c>
      <c r="B2907" s="143">
        <f>YEAR(source[[#This Row],[report_date]])</f>
        <v>2024</v>
      </c>
      <c r="C2907" s="128">
        <f t="shared" si="129"/>
        <v>10</v>
      </c>
      <c r="D2907" s="136">
        <f t="shared" si="127"/>
        <v>41</v>
      </c>
      <c r="E2907" s="136">
        <f t="shared" si="128"/>
        <v>13</v>
      </c>
      <c r="F2907" s="137" t="s">
        <v>24</v>
      </c>
      <c r="G2907" s="128" t="str">
        <f>VLOOKUP(source[[#This Row],[lending_product_transform]],[3]Mapping!$B$4:$C$37,2,0)</f>
        <v>[Cake] - Cashloan</v>
      </c>
      <c r="H2907" s="128" t="str">
        <f>VLOOKUP(source[[#This Row],[lending_product_transform]],[3]Mapping!$B$3:$D$37,3,0)</f>
        <v>cashloan</v>
      </c>
      <c r="I2907" s="143">
        <v>3242000000</v>
      </c>
    </row>
    <row r="2908" spans="1:9" x14ac:dyDescent="0.2">
      <c r="A2908" s="172">
        <v>45578</v>
      </c>
      <c r="B2908" s="143">
        <f>YEAR(source[[#This Row],[report_date]])</f>
        <v>2024</v>
      </c>
      <c r="C2908" s="128">
        <f t="shared" si="129"/>
        <v>10</v>
      </c>
      <c r="D2908" s="136">
        <f t="shared" si="127"/>
        <v>41</v>
      </c>
      <c r="E2908" s="136">
        <f t="shared" si="128"/>
        <v>13</v>
      </c>
      <c r="F2908" s="137" t="s">
        <v>24</v>
      </c>
      <c r="G2908" s="128" t="str">
        <f>VLOOKUP(source[[#This Row],[lending_product_transform]],[3]Mapping!$B$4:$C$37,2,0)</f>
        <v>[Cake] - Cashloan</v>
      </c>
      <c r="H2908" s="128" t="str">
        <f>VLOOKUP(source[[#This Row],[lending_product_transform]],[3]Mapping!$B$3:$D$37,3,0)</f>
        <v>cashloan</v>
      </c>
      <c r="I2908" s="143">
        <v>2516802464</v>
      </c>
    </row>
    <row r="2909" spans="1:9" x14ac:dyDescent="0.2">
      <c r="A2909" s="172">
        <v>45578</v>
      </c>
      <c r="B2909" s="143">
        <f>YEAR(source[[#This Row],[report_date]])</f>
        <v>2024</v>
      </c>
      <c r="C2909" s="128">
        <f t="shared" si="129"/>
        <v>10</v>
      </c>
      <c r="D2909" s="136">
        <f t="shared" si="127"/>
        <v>41</v>
      </c>
      <c r="E2909" s="136">
        <f t="shared" si="128"/>
        <v>13</v>
      </c>
      <c r="F2909" s="137" t="s">
        <v>24</v>
      </c>
      <c r="G2909" s="128" t="str">
        <f>VLOOKUP(source[[#This Row],[lending_product_transform]],[3]Mapping!$B$4:$C$37,2,0)</f>
        <v>[Cake] - Cashloan</v>
      </c>
      <c r="H2909" s="128" t="str">
        <f>VLOOKUP(source[[#This Row],[lending_product_transform]],[3]Mapping!$B$3:$D$37,3,0)</f>
        <v>cashloan</v>
      </c>
      <c r="I2909" s="143">
        <v>20000000</v>
      </c>
    </row>
    <row r="2910" spans="1:9" x14ac:dyDescent="0.2">
      <c r="A2910" s="172">
        <v>45578</v>
      </c>
      <c r="B2910" s="143">
        <f>YEAR(source[[#This Row],[report_date]])</f>
        <v>2024</v>
      </c>
      <c r="C2910" s="128">
        <f t="shared" si="129"/>
        <v>10</v>
      </c>
      <c r="D2910" s="136">
        <f t="shared" si="127"/>
        <v>41</v>
      </c>
      <c r="E2910" s="136">
        <f t="shared" si="128"/>
        <v>13</v>
      </c>
      <c r="F2910" s="137" t="s">
        <v>24</v>
      </c>
      <c r="G2910" s="128" t="str">
        <f>VLOOKUP(source[[#This Row],[lending_product_transform]],[3]Mapping!$B$4:$C$37,2,0)</f>
        <v>[Cake] - Cashloan</v>
      </c>
      <c r="H2910" s="128" t="str">
        <f>VLOOKUP(source[[#This Row],[lending_product_transform]],[3]Mapping!$B$3:$D$37,3,0)</f>
        <v>cashloan</v>
      </c>
      <c r="I2910" s="143">
        <v>28350000</v>
      </c>
    </row>
    <row r="2911" spans="1:9" x14ac:dyDescent="0.2">
      <c r="A2911" s="172">
        <v>45578</v>
      </c>
      <c r="B2911" s="143">
        <f>YEAR(source[[#This Row],[report_date]])</f>
        <v>2024</v>
      </c>
      <c r="C2911" s="128">
        <f t="shared" si="129"/>
        <v>10</v>
      </c>
      <c r="D2911" s="136">
        <f t="shared" si="127"/>
        <v>41</v>
      </c>
      <c r="E2911" s="136">
        <f t="shared" si="128"/>
        <v>13</v>
      </c>
      <c r="F2911" s="137" t="s">
        <v>24</v>
      </c>
      <c r="G2911" s="128" t="str">
        <f>VLOOKUP(source[[#This Row],[lending_product_transform]],[3]Mapping!$B$4:$C$37,2,0)</f>
        <v>[Cake] - Cashloan</v>
      </c>
      <c r="H2911" s="128" t="str">
        <f>VLOOKUP(source[[#This Row],[lending_product_transform]],[3]Mapping!$B$3:$D$37,3,0)</f>
        <v>cashloan</v>
      </c>
      <c r="I2911" s="143">
        <v>231730865</v>
      </c>
    </row>
    <row r="2912" spans="1:9" x14ac:dyDescent="0.2">
      <c r="A2912" s="172">
        <v>45578</v>
      </c>
      <c r="B2912" s="143">
        <f>YEAR(source[[#This Row],[report_date]])</f>
        <v>2024</v>
      </c>
      <c r="C2912" s="128">
        <f t="shared" si="129"/>
        <v>10</v>
      </c>
      <c r="D2912" s="136">
        <f t="shared" si="127"/>
        <v>41</v>
      </c>
      <c r="E2912" s="136">
        <f t="shared" si="128"/>
        <v>13</v>
      </c>
      <c r="F2912" s="137" t="s">
        <v>24</v>
      </c>
      <c r="G2912" s="128" t="str">
        <f>VLOOKUP(source[[#This Row],[lending_product_transform]],[3]Mapping!$B$4:$C$37,2,0)</f>
        <v>[Cake] - Cashloan</v>
      </c>
      <c r="H2912" s="128" t="str">
        <f>VLOOKUP(source[[#This Row],[lending_product_transform]],[3]Mapping!$B$3:$D$37,3,0)</f>
        <v>cashloan</v>
      </c>
      <c r="I2912" s="143">
        <v>53500000</v>
      </c>
    </row>
    <row r="2913" spans="1:9" x14ac:dyDescent="0.2">
      <c r="A2913" s="172">
        <v>45578</v>
      </c>
      <c r="B2913" s="143">
        <f>YEAR(source[[#This Row],[report_date]])</f>
        <v>2024</v>
      </c>
      <c r="C2913" s="128">
        <f t="shared" si="129"/>
        <v>10</v>
      </c>
      <c r="D2913" s="136">
        <f t="shared" si="127"/>
        <v>41</v>
      </c>
      <c r="E2913" s="136">
        <f t="shared" si="128"/>
        <v>13</v>
      </c>
      <c r="F2913" s="137" t="s">
        <v>24</v>
      </c>
      <c r="G2913" s="128" t="str">
        <f>VLOOKUP(source[[#This Row],[lending_product_transform]],[3]Mapping!$B$4:$C$37,2,0)</f>
        <v>[Cake] - Cashloan</v>
      </c>
      <c r="H2913" s="128" t="str">
        <f>VLOOKUP(source[[#This Row],[lending_product_transform]],[3]Mapping!$B$3:$D$37,3,0)</f>
        <v>cashloan</v>
      </c>
      <c r="I2913" s="143">
        <v>70620000</v>
      </c>
    </row>
    <row r="2914" spans="1:9" x14ac:dyDescent="0.2">
      <c r="A2914" s="172">
        <v>45578</v>
      </c>
      <c r="B2914" s="143">
        <f>YEAR(source[[#This Row],[report_date]])</f>
        <v>2024</v>
      </c>
      <c r="C2914" s="128">
        <f t="shared" si="129"/>
        <v>10</v>
      </c>
      <c r="D2914" s="136">
        <f t="shared" si="127"/>
        <v>41</v>
      </c>
      <c r="E2914" s="136">
        <f t="shared" si="128"/>
        <v>13</v>
      </c>
      <c r="F2914" s="137" t="s">
        <v>24</v>
      </c>
      <c r="G2914" s="128" t="str">
        <f>VLOOKUP(source[[#This Row],[lending_product_transform]],[3]Mapping!$B$4:$C$37,2,0)</f>
        <v>[Cake] - Cashloan</v>
      </c>
      <c r="H2914" s="128" t="str">
        <f>VLOOKUP(source[[#This Row],[lending_product_transform]],[3]Mapping!$B$3:$D$37,3,0)</f>
        <v>cashloan</v>
      </c>
      <c r="I2914" s="143">
        <v>6984020000</v>
      </c>
    </row>
    <row r="2915" spans="1:9" x14ac:dyDescent="0.2">
      <c r="A2915" s="172">
        <v>45578</v>
      </c>
      <c r="B2915" s="143">
        <f>YEAR(source[[#This Row],[report_date]])</f>
        <v>2024</v>
      </c>
      <c r="C2915" s="128">
        <f t="shared" si="129"/>
        <v>10</v>
      </c>
      <c r="D2915" s="136">
        <f t="shared" si="127"/>
        <v>41</v>
      </c>
      <c r="E2915" s="136">
        <f t="shared" si="128"/>
        <v>13</v>
      </c>
      <c r="F2915" s="137" t="s">
        <v>24</v>
      </c>
      <c r="G2915" s="128" t="str">
        <f>VLOOKUP(source[[#This Row],[lending_product_transform]],[3]Mapping!$B$4:$C$37,2,0)</f>
        <v>[Cake] - Cashloan</v>
      </c>
      <c r="H2915" s="128" t="str">
        <f>VLOOKUP(source[[#This Row],[lending_product_transform]],[3]Mapping!$B$3:$D$37,3,0)</f>
        <v>cashloan</v>
      </c>
      <c r="I2915" s="143">
        <v>3601500000</v>
      </c>
    </row>
    <row r="2916" spans="1:9" x14ac:dyDescent="0.2">
      <c r="A2916" s="134">
        <v>45579</v>
      </c>
      <c r="B2916" s="135">
        <f>YEAR(source[[#This Row],[report_date]])</f>
        <v>2024</v>
      </c>
      <c r="C2916" s="128">
        <f>MONTH(A2916)</f>
        <v>10</v>
      </c>
      <c r="D2916" s="136">
        <f t="shared" si="127"/>
        <v>42</v>
      </c>
      <c r="E2916" s="136">
        <f>DAY(A2916)</f>
        <v>14</v>
      </c>
      <c r="F2916" s="137" t="s">
        <v>24</v>
      </c>
      <c r="G2916" s="128" t="str">
        <f>VLOOKUP(source[[#This Row],[lending_product_transform]],[3]Mapping!$B$4:$C$37,2,0)</f>
        <v>[Cake] - Cashloan</v>
      </c>
      <c r="H2916" s="128" t="str">
        <f>VLOOKUP(source[[#This Row],[lending_product_transform]],[3]Mapping!$B$3:$D$37,3,0)</f>
        <v>cashloan</v>
      </c>
      <c r="I2916" s="143">
        <v>3633460000</v>
      </c>
    </row>
    <row r="2917" spans="1:9" x14ac:dyDescent="0.2">
      <c r="A2917" s="134">
        <v>45579</v>
      </c>
      <c r="B2917" s="135">
        <f>YEAR(source[[#This Row],[report_date]])</f>
        <v>2024</v>
      </c>
      <c r="C2917" s="128">
        <f t="shared" ref="C2917:C2980" si="130">MONTH(A2917)</f>
        <v>10</v>
      </c>
      <c r="D2917" s="136">
        <f t="shared" si="127"/>
        <v>42</v>
      </c>
      <c r="E2917" s="136">
        <f t="shared" ref="E2917:E2980" si="131">DAY(A2917)</f>
        <v>14</v>
      </c>
      <c r="F2917" s="137" t="s">
        <v>24</v>
      </c>
      <c r="G2917" s="128" t="str">
        <f>VLOOKUP(source[[#This Row],[lending_product_transform]],[3]Mapping!$B$4:$C$37,2,0)</f>
        <v>[Cake] - Cashloan</v>
      </c>
      <c r="H2917" s="128" t="str">
        <f>VLOOKUP(source[[#This Row],[lending_product_transform]],[3]Mapping!$B$3:$D$37,3,0)</f>
        <v>cashloan</v>
      </c>
      <c r="I2917" s="143">
        <v>4250500000</v>
      </c>
    </row>
    <row r="2918" spans="1:9" x14ac:dyDescent="0.2">
      <c r="A2918" s="134">
        <v>45579</v>
      </c>
      <c r="B2918" s="135">
        <f>YEAR(source[[#This Row],[report_date]])</f>
        <v>2024</v>
      </c>
      <c r="C2918" s="128">
        <f t="shared" si="130"/>
        <v>10</v>
      </c>
      <c r="D2918" s="136">
        <f t="shared" si="127"/>
        <v>42</v>
      </c>
      <c r="E2918" s="136">
        <f t="shared" si="131"/>
        <v>14</v>
      </c>
      <c r="F2918" s="137" t="s">
        <v>24</v>
      </c>
      <c r="G2918" s="128" t="str">
        <f>VLOOKUP(source[[#This Row],[lending_product_transform]],[3]Mapping!$B$4:$C$37,2,0)</f>
        <v>[Cake] - Cashloan</v>
      </c>
      <c r="H2918" s="128" t="str">
        <f>VLOOKUP(source[[#This Row],[lending_product_transform]],[3]Mapping!$B$3:$D$37,3,0)</f>
        <v>cashloan</v>
      </c>
      <c r="I2918" s="143">
        <v>18000000</v>
      </c>
    </row>
    <row r="2919" spans="1:9" x14ac:dyDescent="0.2">
      <c r="A2919" s="134">
        <v>45579</v>
      </c>
      <c r="B2919" s="135">
        <f>YEAR(source[[#This Row],[report_date]])</f>
        <v>2024</v>
      </c>
      <c r="C2919" s="128">
        <f t="shared" si="130"/>
        <v>10</v>
      </c>
      <c r="D2919" s="136">
        <f t="shared" si="127"/>
        <v>42</v>
      </c>
      <c r="E2919" s="136">
        <f t="shared" si="131"/>
        <v>14</v>
      </c>
      <c r="F2919" s="137" t="s">
        <v>24</v>
      </c>
      <c r="G2919" s="128" t="str">
        <f>VLOOKUP(source[[#This Row],[lending_product_transform]],[3]Mapping!$B$4:$C$37,2,0)</f>
        <v>[Cake] - Cashloan</v>
      </c>
      <c r="H2919" s="128" t="str">
        <f>VLOOKUP(source[[#This Row],[lending_product_transform]],[3]Mapping!$B$3:$D$37,3,0)</f>
        <v>cashloan</v>
      </c>
      <c r="I2919" s="143">
        <v>0</v>
      </c>
    </row>
    <row r="2920" spans="1:9" x14ac:dyDescent="0.2">
      <c r="A2920" s="134">
        <v>45579</v>
      </c>
      <c r="B2920" s="135">
        <f>YEAR(source[[#This Row],[report_date]])</f>
        <v>2024</v>
      </c>
      <c r="C2920" s="128">
        <f t="shared" si="130"/>
        <v>10</v>
      </c>
      <c r="D2920" s="136">
        <f t="shared" si="127"/>
        <v>42</v>
      </c>
      <c r="E2920" s="136">
        <f t="shared" si="131"/>
        <v>14</v>
      </c>
      <c r="F2920" s="137" t="s">
        <v>24</v>
      </c>
      <c r="G2920" s="128" t="str">
        <f>VLOOKUP(source[[#This Row],[lending_product_transform]],[3]Mapping!$B$4:$C$37,2,0)</f>
        <v>[Cake] - Cashloan</v>
      </c>
      <c r="H2920" s="128" t="str">
        <f>VLOOKUP(source[[#This Row],[lending_product_transform]],[3]Mapping!$B$3:$D$37,3,0)</f>
        <v>cashloan</v>
      </c>
      <c r="I2920" s="143">
        <v>3796717664</v>
      </c>
    </row>
    <row r="2921" spans="1:9" x14ac:dyDescent="0.2">
      <c r="A2921" s="134">
        <v>45579</v>
      </c>
      <c r="B2921" s="135">
        <f>YEAR(source[[#This Row],[report_date]])</f>
        <v>2024</v>
      </c>
      <c r="C2921" s="128">
        <f t="shared" si="130"/>
        <v>10</v>
      </c>
      <c r="D2921" s="136">
        <f t="shared" si="127"/>
        <v>42</v>
      </c>
      <c r="E2921" s="136">
        <f t="shared" si="131"/>
        <v>14</v>
      </c>
      <c r="F2921" s="137" t="s">
        <v>24</v>
      </c>
      <c r="G2921" s="128" t="str">
        <f>VLOOKUP(source[[#This Row],[lending_product_transform]],[3]Mapping!$B$4:$C$37,2,0)</f>
        <v>[Cake] - Cashloan</v>
      </c>
      <c r="H2921" s="128" t="str">
        <f>VLOOKUP(source[[#This Row],[lending_product_transform]],[3]Mapping!$B$3:$D$37,3,0)</f>
        <v>cashloan</v>
      </c>
      <c r="I2921" s="143">
        <v>53510291</v>
      </c>
    </row>
    <row r="2922" spans="1:9" x14ac:dyDescent="0.2">
      <c r="A2922" s="134">
        <v>45579</v>
      </c>
      <c r="B2922" s="135">
        <f>YEAR(source[[#This Row],[report_date]])</f>
        <v>2024</v>
      </c>
      <c r="C2922" s="128">
        <f t="shared" si="130"/>
        <v>10</v>
      </c>
      <c r="D2922" s="136">
        <f t="shared" si="127"/>
        <v>42</v>
      </c>
      <c r="E2922" s="136">
        <f t="shared" si="131"/>
        <v>14</v>
      </c>
      <c r="F2922" s="137" t="s">
        <v>24</v>
      </c>
      <c r="G2922" s="128" t="str">
        <f>VLOOKUP(source[[#This Row],[lending_product_transform]],[3]Mapping!$B$4:$C$37,2,0)</f>
        <v>[Cake] - Cashloan</v>
      </c>
      <c r="H2922" s="128" t="str">
        <f>VLOOKUP(source[[#This Row],[lending_product_transform]],[3]Mapping!$B$3:$D$37,3,0)</f>
        <v>cashloan</v>
      </c>
      <c r="I2922" s="143">
        <v>26750000</v>
      </c>
    </row>
    <row r="2923" spans="1:9" x14ac:dyDescent="0.2">
      <c r="A2923" s="134">
        <v>45579</v>
      </c>
      <c r="B2923" s="135">
        <f>YEAR(source[[#This Row],[report_date]])</f>
        <v>2024</v>
      </c>
      <c r="C2923" s="128">
        <f t="shared" si="130"/>
        <v>10</v>
      </c>
      <c r="D2923" s="136">
        <f t="shared" si="127"/>
        <v>42</v>
      </c>
      <c r="E2923" s="136">
        <f t="shared" si="131"/>
        <v>14</v>
      </c>
      <c r="F2923" s="137" t="s">
        <v>24</v>
      </c>
      <c r="G2923" s="128" t="str">
        <f>VLOOKUP(source[[#This Row],[lending_product_transform]],[3]Mapping!$B$4:$C$37,2,0)</f>
        <v>[Cake] - Cashloan</v>
      </c>
      <c r="H2923" s="128" t="str">
        <f>VLOOKUP(source[[#This Row],[lending_product_transform]],[3]Mapping!$B$3:$D$37,3,0)</f>
        <v>cashloan</v>
      </c>
      <c r="I2923" s="143">
        <v>66150000</v>
      </c>
    </row>
    <row r="2924" spans="1:9" x14ac:dyDescent="0.2">
      <c r="A2924" s="134">
        <v>45579</v>
      </c>
      <c r="B2924" s="135">
        <f>YEAR(source[[#This Row],[report_date]])</f>
        <v>2024</v>
      </c>
      <c r="C2924" s="128">
        <f t="shared" si="130"/>
        <v>10</v>
      </c>
      <c r="D2924" s="136">
        <f t="shared" si="127"/>
        <v>42</v>
      </c>
      <c r="E2924" s="136">
        <f t="shared" si="131"/>
        <v>14</v>
      </c>
      <c r="F2924" s="137" t="s">
        <v>24</v>
      </c>
      <c r="G2924" s="128" t="str">
        <f>VLOOKUP(source[[#This Row],[lending_product_transform]],[3]Mapping!$B$4:$C$37,2,0)</f>
        <v>[Cake] - Cashloan</v>
      </c>
      <c r="H2924" s="128" t="str">
        <f>VLOOKUP(source[[#This Row],[lending_product_transform]],[3]Mapping!$B$3:$D$37,3,0)</f>
        <v>cashloan</v>
      </c>
      <c r="I2924" s="143">
        <v>8854990000</v>
      </c>
    </row>
    <row r="2925" spans="1:9" x14ac:dyDescent="0.2">
      <c r="A2925" s="134">
        <v>45579</v>
      </c>
      <c r="B2925" s="135">
        <f>YEAR(source[[#This Row],[report_date]])</f>
        <v>2024</v>
      </c>
      <c r="C2925" s="128">
        <f t="shared" si="130"/>
        <v>10</v>
      </c>
      <c r="D2925" s="136">
        <f t="shared" si="127"/>
        <v>42</v>
      </c>
      <c r="E2925" s="136">
        <f t="shared" si="131"/>
        <v>14</v>
      </c>
      <c r="F2925" s="137" t="s">
        <v>24</v>
      </c>
      <c r="G2925" s="128" t="str">
        <f>VLOOKUP(source[[#This Row],[lending_product_transform]],[3]Mapping!$B$4:$C$37,2,0)</f>
        <v>[Cake] - Cashloan</v>
      </c>
      <c r="H2925" s="128" t="str">
        <f>VLOOKUP(source[[#This Row],[lending_product_transform]],[3]Mapping!$B$3:$D$37,3,0)</f>
        <v>cashloan</v>
      </c>
      <c r="I2925" s="143">
        <v>10000000</v>
      </c>
    </row>
    <row r="2926" spans="1:9" x14ac:dyDescent="0.2">
      <c r="A2926" s="134">
        <v>45579</v>
      </c>
      <c r="B2926" s="135">
        <f>YEAR(source[[#This Row],[report_date]])</f>
        <v>2024</v>
      </c>
      <c r="C2926" s="128">
        <f t="shared" si="130"/>
        <v>10</v>
      </c>
      <c r="D2926" s="136">
        <f t="shared" si="127"/>
        <v>42</v>
      </c>
      <c r="E2926" s="136">
        <f t="shared" si="131"/>
        <v>14</v>
      </c>
      <c r="F2926" s="137" t="s">
        <v>24</v>
      </c>
      <c r="G2926" s="128" t="str">
        <f>VLOOKUP(source[[#This Row],[lending_product_transform]],[3]Mapping!$B$4:$C$37,2,0)</f>
        <v>[Cake] - Cashloan</v>
      </c>
      <c r="H2926" s="128" t="str">
        <f>VLOOKUP(source[[#This Row],[lending_product_transform]],[3]Mapping!$B$3:$D$37,3,0)</f>
        <v>cashloan</v>
      </c>
      <c r="I2926" s="143">
        <v>165930000</v>
      </c>
    </row>
    <row r="2927" spans="1:9" x14ac:dyDescent="0.2">
      <c r="A2927" s="134">
        <v>45579</v>
      </c>
      <c r="B2927" s="135">
        <f>YEAR(source[[#This Row],[report_date]])</f>
        <v>2024</v>
      </c>
      <c r="C2927" s="128">
        <f t="shared" si="130"/>
        <v>10</v>
      </c>
      <c r="D2927" s="136">
        <f t="shared" si="127"/>
        <v>42</v>
      </c>
      <c r="E2927" s="136">
        <f t="shared" si="131"/>
        <v>14</v>
      </c>
      <c r="F2927" s="137" t="s">
        <v>24</v>
      </c>
      <c r="G2927" s="128" t="str">
        <f>VLOOKUP(source[[#This Row],[lending_product_transform]],[3]Mapping!$B$4:$C$37,2,0)</f>
        <v>[Cake] - Cashloan</v>
      </c>
      <c r="H2927" s="128" t="str">
        <f>VLOOKUP(source[[#This Row],[lending_product_transform]],[3]Mapping!$B$3:$D$37,3,0)</f>
        <v>cashloan</v>
      </c>
      <c r="I2927" s="143">
        <v>228768666</v>
      </c>
    </row>
    <row r="2928" spans="1:9" x14ac:dyDescent="0.2">
      <c r="A2928" s="134">
        <v>45579</v>
      </c>
      <c r="B2928" s="135">
        <f>YEAR(source[[#This Row],[report_date]])</f>
        <v>2024</v>
      </c>
      <c r="C2928" s="128">
        <f t="shared" si="130"/>
        <v>10</v>
      </c>
      <c r="D2928" s="136">
        <f t="shared" si="127"/>
        <v>42</v>
      </c>
      <c r="E2928" s="136">
        <f t="shared" si="131"/>
        <v>14</v>
      </c>
      <c r="F2928" s="137" t="s">
        <v>24</v>
      </c>
      <c r="G2928" s="128" t="str">
        <f>VLOOKUP(source[[#This Row],[lending_product_transform]],[3]Mapping!$B$4:$C$37,2,0)</f>
        <v>[Cake] - Cashloan</v>
      </c>
      <c r="H2928" s="128" t="str">
        <f>VLOOKUP(source[[#This Row],[lending_product_transform]],[3]Mapping!$B$3:$D$37,3,0)</f>
        <v>cashloan</v>
      </c>
      <c r="I2928" s="143">
        <v>0</v>
      </c>
    </row>
    <row r="2929" spans="1:9" x14ac:dyDescent="0.2">
      <c r="A2929" s="134">
        <v>45579</v>
      </c>
      <c r="B2929" s="135">
        <f>YEAR(source[[#This Row],[report_date]])</f>
        <v>2024</v>
      </c>
      <c r="C2929" s="128">
        <f t="shared" si="130"/>
        <v>10</v>
      </c>
      <c r="D2929" s="136">
        <f t="shared" si="127"/>
        <v>42</v>
      </c>
      <c r="E2929" s="136">
        <f t="shared" si="131"/>
        <v>14</v>
      </c>
      <c r="F2929" s="137" t="s">
        <v>24</v>
      </c>
      <c r="G2929" s="128" t="str">
        <f>VLOOKUP(source[[#This Row],[lending_product_transform]],[3]Mapping!$B$4:$C$37,2,0)</f>
        <v>[Cake] - Cashloan</v>
      </c>
      <c r="H2929" s="128" t="str">
        <f>VLOOKUP(source[[#This Row],[lending_product_transform]],[3]Mapping!$B$3:$D$37,3,0)</f>
        <v>cashloan</v>
      </c>
      <c r="I2929" s="143">
        <v>31500000</v>
      </c>
    </row>
    <row r="2930" spans="1:9" x14ac:dyDescent="0.2">
      <c r="A2930" s="134">
        <v>45580</v>
      </c>
      <c r="B2930" s="135">
        <f>YEAR(source[[#This Row],[report_date]])</f>
        <v>2024</v>
      </c>
      <c r="C2930" s="128">
        <f t="shared" si="130"/>
        <v>10</v>
      </c>
      <c r="D2930" s="136">
        <f t="shared" si="127"/>
        <v>42</v>
      </c>
      <c r="E2930" s="136">
        <f t="shared" si="131"/>
        <v>15</v>
      </c>
      <c r="F2930" s="137" t="s">
        <v>24</v>
      </c>
      <c r="G2930" s="128" t="str">
        <f>VLOOKUP(source[[#This Row],[lending_product_transform]],[3]Mapping!$B$4:$C$37,2,0)</f>
        <v>[Cake] - Cashloan</v>
      </c>
      <c r="H2930" s="128" t="str">
        <f>VLOOKUP(source[[#This Row],[lending_product_transform]],[3]Mapping!$B$3:$D$37,3,0)</f>
        <v>cashloan</v>
      </c>
      <c r="I2930" s="143">
        <v>4882500000</v>
      </c>
    </row>
    <row r="2931" spans="1:9" x14ac:dyDescent="0.2">
      <c r="A2931" s="134">
        <v>45580</v>
      </c>
      <c r="B2931" s="135">
        <f>YEAR(source[[#This Row],[report_date]])</f>
        <v>2024</v>
      </c>
      <c r="C2931" s="128">
        <f t="shared" si="130"/>
        <v>10</v>
      </c>
      <c r="D2931" s="136">
        <f t="shared" si="127"/>
        <v>42</v>
      </c>
      <c r="E2931" s="136">
        <f t="shared" si="131"/>
        <v>15</v>
      </c>
      <c r="F2931" s="137" t="s">
        <v>24</v>
      </c>
      <c r="G2931" s="128" t="str">
        <f>VLOOKUP(source[[#This Row],[lending_product_transform]],[3]Mapping!$B$4:$C$37,2,0)</f>
        <v>[Cake] - Cashloan</v>
      </c>
      <c r="H2931" s="128" t="str">
        <f>VLOOKUP(source[[#This Row],[lending_product_transform]],[3]Mapping!$B$3:$D$37,3,0)</f>
        <v>cashloan</v>
      </c>
      <c r="I2931" s="143">
        <v>71000000</v>
      </c>
    </row>
    <row r="2932" spans="1:9" x14ac:dyDescent="0.2">
      <c r="A2932" s="134">
        <v>45580</v>
      </c>
      <c r="B2932" s="135">
        <f>YEAR(source[[#This Row],[report_date]])</f>
        <v>2024</v>
      </c>
      <c r="C2932" s="128">
        <f t="shared" si="130"/>
        <v>10</v>
      </c>
      <c r="D2932" s="136">
        <f t="shared" si="127"/>
        <v>42</v>
      </c>
      <c r="E2932" s="136">
        <f t="shared" si="131"/>
        <v>15</v>
      </c>
      <c r="F2932" s="137" t="s">
        <v>24</v>
      </c>
      <c r="G2932" s="128" t="str">
        <f>VLOOKUP(source[[#This Row],[lending_product_transform]],[3]Mapping!$B$4:$C$37,2,0)</f>
        <v>[Cake] - Cashloan</v>
      </c>
      <c r="H2932" s="128" t="str">
        <f>VLOOKUP(source[[#This Row],[lending_product_transform]],[3]Mapping!$B$3:$D$37,3,0)</f>
        <v>cashloan</v>
      </c>
      <c r="I2932" s="143">
        <v>21400000</v>
      </c>
    </row>
    <row r="2933" spans="1:9" x14ac:dyDescent="0.2">
      <c r="A2933" s="134">
        <v>45580</v>
      </c>
      <c r="B2933" s="135">
        <f>YEAR(source[[#This Row],[report_date]])</f>
        <v>2024</v>
      </c>
      <c r="C2933" s="128">
        <f t="shared" si="130"/>
        <v>10</v>
      </c>
      <c r="D2933" s="136">
        <f t="shared" si="127"/>
        <v>42</v>
      </c>
      <c r="E2933" s="136">
        <f t="shared" si="131"/>
        <v>15</v>
      </c>
      <c r="F2933" s="137" t="s">
        <v>24</v>
      </c>
      <c r="G2933" s="128" t="str">
        <f>VLOOKUP(source[[#This Row],[lending_product_transform]],[3]Mapping!$B$4:$C$37,2,0)</f>
        <v>[Cake] - Cashloan</v>
      </c>
      <c r="H2933" s="128" t="str">
        <f>VLOOKUP(source[[#This Row],[lending_product_transform]],[3]Mapping!$B$3:$D$37,3,0)</f>
        <v>cashloan</v>
      </c>
      <c r="I2933" s="143">
        <v>0</v>
      </c>
    </row>
    <row r="2934" spans="1:9" x14ac:dyDescent="0.2">
      <c r="A2934" s="134">
        <v>45580</v>
      </c>
      <c r="B2934" s="135">
        <f>YEAR(source[[#This Row],[report_date]])</f>
        <v>2024</v>
      </c>
      <c r="C2934" s="128">
        <f t="shared" si="130"/>
        <v>10</v>
      </c>
      <c r="D2934" s="136">
        <f t="shared" si="127"/>
        <v>42</v>
      </c>
      <c r="E2934" s="136">
        <f t="shared" si="131"/>
        <v>15</v>
      </c>
      <c r="F2934" s="137" t="s">
        <v>24</v>
      </c>
      <c r="G2934" s="128" t="str">
        <f>VLOOKUP(source[[#This Row],[lending_product_transform]],[3]Mapping!$B$4:$C$37,2,0)</f>
        <v>[Cake] - Cashloan</v>
      </c>
      <c r="H2934" s="128" t="str">
        <f>VLOOKUP(source[[#This Row],[lending_product_transform]],[3]Mapping!$B$3:$D$37,3,0)</f>
        <v>cashloan</v>
      </c>
      <c r="I2934" s="143">
        <v>46000000</v>
      </c>
    </row>
    <row r="2935" spans="1:9" x14ac:dyDescent="0.2">
      <c r="A2935" s="134">
        <v>45580</v>
      </c>
      <c r="B2935" s="135">
        <f>YEAR(source[[#This Row],[report_date]])</f>
        <v>2024</v>
      </c>
      <c r="C2935" s="128">
        <f t="shared" si="130"/>
        <v>10</v>
      </c>
      <c r="D2935" s="136">
        <f t="shared" si="127"/>
        <v>42</v>
      </c>
      <c r="E2935" s="136">
        <f t="shared" si="131"/>
        <v>15</v>
      </c>
      <c r="F2935" s="137" t="s">
        <v>24</v>
      </c>
      <c r="G2935" s="128" t="str">
        <f>VLOOKUP(source[[#This Row],[lending_product_transform]],[3]Mapping!$B$4:$C$37,2,0)</f>
        <v>[Cake] - Cashloan</v>
      </c>
      <c r="H2935" s="128" t="str">
        <f>VLOOKUP(source[[#This Row],[lending_product_transform]],[3]Mapping!$B$3:$D$37,3,0)</f>
        <v>cashloan</v>
      </c>
      <c r="I2935" s="143">
        <v>37820000</v>
      </c>
    </row>
    <row r="2936" spans="1:9" x14ac:dyDescent="0.2">
      <c r="A2936" s="134">
        <v>45580</v>
      </c>
      <c r="B2936" s="135">
        <f>YEAR(source[[#This Row],[report_date]])</f>
        <v>2024</v>
      </c>
      <c r="C2936" s="128">
        <f t="shared" si="130"/>
        <v>10</v>
      </c>
      <c r="D2936" s="136">
        <f t="shared" si="127"/>
        <v>42</v>
      </c>
      <c r="E2936" s="136">
        <f t="shared" si="131"/>
        <v>15</v>
      </c>
      <c r="F2936" s="137" t="s">
        <v>24</v>
      </c>
      <c r="G2936" s="128" t="str">
        <f>VLOOKUP(source[[#This Row],[lending_product_transform]],[3]Mapping!$B$4:$C$37,2,0)</f>
        <v>[Cake] - Cashloan</v>
      </c>
      <c r="H2936" s="128" t="str">
        <f>VLOOKUP(source[[#This Row],[lending_product_transform]],[3]Mapping!$B$3:$D$37,3,0)</f>
        <v>cashloan</v>
      </c>
      <c r="I2936" s="143">
        <v>4056070284</v>
      </c>
    </row>
    <row r="2937" spans="1:9" x14ac:dyDescent="0.2">
      <c r="A2937" s="134">
        <v>45580</v>
      </c>
      <c r="B2937" s="135">
        <f>YEAR(source[[#This Row],[report_date]])</f>
        <v>2024</v>
      </c>
      <c r="C2937" s="128">
        <f t="shared" si="130"/>
        <v>10</v>
      </c>
      <c r="D2937" s="136">
        <f t="shared" si="127"/>
        <v>42</v>
      </c>
      <c r="E2937" s="136">
        <f t="shared" si="131"/>
        <v>15</v>
      </c>
      <c r="F2937" s="137" t="s">
        <v>24</v>
      </c>
      <c r="G2937" s="128" t="str">
        <f>VLOOKUP(source[[#This Row],[lending_product_transform]],[3]Mapping!$B$4:$C$37,2,0)</f>
        <v>[Cake] - Cashloan</v>
      </c>
      <c r="H2937" s="128" t="str">
        <f>VLOOKUP(source[[#This Row],[lending_product_transform]],[3]Mapping!$B$3:$D$37,3,0)</f>
        <v>cashloan</v>
      </c>
      <c r="I2937" s="143">
        <v>0</v>
      </c>
    </row>
    <row r="2938" spans="1:9" x14ac:dyDescent="0.2">
      <c r="A2938" s="134">
        <v>45580</v>
      </c>
      <c r="B2938" s="135">
        <f>YEAR(source[[#This Row],[report_date]])</f>
        <v>2024</v>
      </c>
      <c r="C2938" s="128">
        <f t="shared" si="130"/>
        <v>10</v>
      </c>
      <c r="D2938" s="136">
        <f t="shared" si="127"/>
        <v>42</v>
      </c>
      <c r="E2938" s="136">
        <f t="shared" si="131"/>
        <v>15</v>
      </c>
      <c r="F2938" s="137" t="s">
        <v>24</v>
      </c>
      <c r="G2938" s="128" t="str">
        <f>VLOOKUP(source[[#This Row],[lending_product_transform]],[3]Mapping!$B$4:$C$37,2,0)</f>
        <v>[Cake] - Cashloan</v>
      </c>
      <c r="H2938" s="128" t="str">
        <f>VLOOKUP(source[[#This Row],[lending_product_transform]],[3]Mapping!$B$3:$D$37,3,0)</f>
        <v>cashloan</v>
      </c>
      <c r="I2938" s="143">
        <v>8997190000</v>
      </c>
    </row>
    <row r="2939" spans="1:9" x14ac:dyDescent="0.2">
      <c r="A2939" s="134">
        <v>45580</v>
      </c>
      <c r="B2939" s="135">
        <f>YEAR(source[[#This Row],[report_date]])</f>
        <v>2024</v>
      </c>
      <c r="C2939" s="128">
        <f t="shared" si="130"/>
        <v>10</v>
      </c>
      <c r="D2939" s="136">
        <f t="shared" si="127"/>
        <v>42</v>
      </c>
      <c r="E2939" s="136">
        <f t="shared" si="131"/>
        <v>15</v>
      </c>
      <c r="F2939" s="137" t="s">
        <v>24</v>
      </c>
      <c r="G2939" s="128" t="str">
        <f>VLOOKUP(source[[#This Row],[lending_product_transform]],[3]Mapping!$B$4:$C$37,2,0)</f>
        <v>[Cake] - Cashloan</v>
      </c>
      <c r="H2939" s="128" t="str">
        <f>VLOOKUP(source[[#This Row],[lending_product_transform]],[3]Mapping!$B$3:$D$37,3,0)</f>
        <v>cashloan</v>
      </c>
      <c r="I2939" s="143">
        <v>239740931</v>
      </c>
    </row>
    <row r="2940" spans="1:9" x14ac:dyDescent="0.2">
      <c r="A2940" s="134">
        <v>45580</v>
      </c>
      <c r="B2940" s="135">
        <f>YEAR(source[[#This Row],[report_date]])</f>
        <v>2024</v>
      </c>
      <c r="C2940" s="128">
        <f t="shared" si="130"/>
        <v>10</v>
      </c>
      <c r="D2940" s="136">
        <f t="shared" si="127"/>
        <v>42</v>
      </c>
      <c r="E2940" s="136">
        <f t="shared" si="131"/>
        <v>15</v>
      </c>
      <c r="F2940" s="137" t="s">
        <v>24</v>
      </c>
      <c r="G2940" s="128" t="str">
        <f>VLOOKUP(source[[#This Row],[lending_product_transform]],[3]Mapping!$B$4:$C$37,2,0)</f>
        <v>[Cake] - Cashloan</v>
      </c>
      <c r="H2940" s="128" t="str">
        <f>VLOOKUP(source[[#This Row],[lending_product_transform]],[3]Mapping!$B$3:$D$37,3,0)</f>
        <v>cashloan</v>
      </c>
      <c r="I2940" s="143">
        <v>0</v>
      </c>
    </row>
    <row r="2941" spans="1:9" x14ac:dyDescent="0.2">
      <c r="A2941" s="134">
        <v>45580</v>
      </c>
      <c r="B2941" s="135">
        <f>YEAR(source[[#This Row],[report_date]])</f>
        <v>2024</v>
      </c>
      <c r="C2941" s="128">
        <f t="shared" si="130"/>
        <v>10</v>
      </c>
      <c r="D2941" s="136">
        <f t="shared" si="127"/>
        <v>42</v>
      </c>
      <c r="E2941" s="136">
        <f t="shared" si="131"/>
        <v>15</v>
      </c>
      <c r="F2941" s="137" t="s">
        <v>24</v>
      </c>
      <c r="G2941" s="128" t="str">
        <f>VLOOKUP(source[[#This Row],[lending_product_transform]],[3]Mapping!$B$4:$C$37,2,0)</f>
        <v>[Cake] - Cashloan</v>
      </c>
      <c r="H2941" s="128" t="str">
        <f>VLOOKUP(source[[#This Row],[lending_product_transform]],[3]Mapping!$B$3:$D$37,3,0)</f>
        <v>cashloan</v>
      </c>
      <c r="I2941" s="143">
        <v>46685454</v>
      </c>
    </row>
    <row r="2942" spans="1:9" x14ac:dyDescent="0.2">
      <c r="A2942" s="134">
        <v>45580</v>
      </c>
      <c r="B2942" s="135">
        <f>YEAR(source[[#This Row],[report_date]])</f>
        <v>2024</v>
      </c>
      <c r="C2942" s="128">
        <f t="shared" si="130"/>
        <v>10</v>
      </c>
      <c r="D2942" s="136">
        <f t="shared" si="127"/>
        <v>42</v>
      </c>
      <c r="E2942" s="136">
        <f t="shared" si="131"/>
        <v>15</v>
      </c>
      <c r="F2942" s="137" t="s">
        <v>24</v>
      </c>
      <c r="G2942" s="128" t="str">
        <f>VLOOKUP(source[[#This Row],[lending_product_transform]],[3]Mapping!$B$4:$C$37,2,0)</f>
        <v>[Cake] - Cashloan</v>
      </c>
      <c r="H2942" s="128" t="str">
        <f>VLOOKUP(source[[#This Row],[lending_product_transform]],[3]Mapping!$B$3:$D$37,3,0)</f>
        <v>cashloan</v>
      </c>
      <c r="I2942" s="143">
        <v>98750000</v>
      </c>
    </row>
    <row r="2943" spans="1:9" x14ac:dyDescent="0.2">
      <c r="A2943" s="134">
        <v>45580</v>
      </c>
      <c r="B2943" s="135">
        <f>YEAR(source[[#This Row],[report_date]])</f>
        <v>2024</v>
      </c>
      <c r="C2943" s="128">
        <f t="shared" si="130"/>
        <v>10</v>
      </c>
      <c r="D2943" s="136">
        <f t="shared" si="127"/>
        <v>42</v>
      </c>
      <c r="E2943" s="136">
        <f t="shared" si="131"/>
        <v>15</v>
      </c>
      <c r="F2943" s="137" t="s">
        <v>24</v>
      </c>
      <c r="G2943" s="128" t="str">
        <f>VLOOKUP(source[[#This Row],[lending_product_transform]],[3]Mapping!$B$4:$C$37,2,0)</f>
        <v>[Cake] - Cashloan</v>
      </c>
      <c r="H2943" s="128" t="str">
        <f>VLOOKUP(source[[#This Row],[lending_product_transform]],[3]Mapping!$B$3:$D$37,3,0)</f>
        <v>cashloan</v>
      </c>
      <c r="I2943" s="143">
        <v>3907370000</v>
      </c>
    </row>
    <row r="2944" spans="1:9" x14ac:dyDescent="0.2">
      <c r="A2944" s="134">
        <v>45581</v>
      </c>
      <c r="B2944" s="135">
        <f>YEAR(source[[#This Row],[report_date]])</f>
        <v>2024</v>
      </c>
      <c r="C2944" s="128">
        <f t="shared" si="130"/>
        <v>10</v>
      </c>
      <c r="D2944" s="136">
        <f t="shared" si="127"/>
        <v>42</v>
      </c>
      <c r="E2944" s="136">
        <f t="shared" si="131"/>
        <v>16</v>
      </c>
      <c r="F2944" s="137" t="s">
        <v>24</v>
      </c>
      <c r="G2944" s="128" t="str">
        <f>VLOOKUP(source[[#This Row],[lending_product_transform]],[3]Mapping!$B$4:$C$37,2,0)</f>
        <v>[Cake] - Cashloan</v>
      </c>
      <c r="H2944" s="128" t="str">
        <f>VLOOKUP(source[[#This Row],[lending_product_transform]],[3]Mapping!$B$3:$D$37,3,0)</f>
        <v>cashloan</v>
      </c>
      <c r="I2944" s="143">
        <v>3220466756</v>
      </c>
    </row>
    <row r="2945" spans="1:9" x14ac:dyDescent="0.2">
      <c r="A2945" s="134">
        <v>45581</v>
      </c>
      <c r="B2945" s="135">
        <f>YEAR(source[[#This Row],[report_date]])</f>
        <v>2024</v>
      </c>
      <c r="C2945" s="128">
        <f t="shared" si="130"/>
        <v>10</v>
      </c>
      <c r="D2945" s="136">
        <f t="shared" si="127"/>
        <v>42</v>
      </c>
      <c r="E2945" s="136">
        <f t="shared" si="131"/>
        <v>16</v>
      </c>
      <c r="F2945" s="137" t="s">
        <v>24</v>
      </c>
      <c r="G2945" s="128" t="str">
        <f>VLOOKUP(source[[#This Row],[lending_product_transform]],[3]Mapping!$B$4:$C$37,2,0)</f>
        <v>[Cake] - Cashloan</v>
      </c>
      <c r="H2945" s="128" t="str">
        <f>VLOOKUP(source[[#This Row],[lending_product_transform]],[3]Mapping!$B$3:$D$37,3,0)</f>
        <v>cashloan</v>
      </c>
      <c r="I2945" s="143">
        <v>57820000</v>
      </c>
    </row>
    <row r="2946" spans="1:9" x14ac:dyDescent="0.2">
      <c r="A2946" s="134">
        <v>45581</v>
      </c>
      <c r="B2946" s="135">
        <f>YEAR(source[[#This Row],[report_date]])</f>
        <v>2024</v>
      </c>
      <c r="C2946" s="128">
        <f t="shared" si="130"/>
        <v>10</v>
      </c>
      <c r="D2946" s="136">
        <f t="shared" si="127"/>
        <v>42</v>
      </c>
      <c r="E2946" s="136">
        <f t="shared" si="131"/>
        <v>16</v>
      </c>
      <c r="F2946" s="137" t="s">
        <v>24</v>
      </c>
      <c r="G2946" s="128" t="str">
        <f>VLOOKUP(source[[#This Row],[lending_product_transform]],[3]Mapping!$B$4:$C$37,2,0)</f>
        <v>[Cake] - Cashloan</v>
      </c>
      <c r="H2946" s="128" t="str">
        <f>VLOOKUP(source[[#This Row],[lending_product_transform]],[3]Mapping!$B$3:$D$37,3,0)</f>
        <v>cashloan</v>
      </c>
      <c r="I2946" s="143">
        <v>3695940000</v>
      </c>
    </row>
    <row r="2947" spans="1:9" x14ac:dyDescent="0.2">
      <c r="A2947" s="134">
        <v>45581</v>
      </c>
      <c r="B2947" s="135">
        <f>YEAR(source[[#This Row],[report_date]])</f>
        <v>2024</v>
      </c>
      <c r="C2947" s="128">
        <f t="shared" si="130"/>
        <v>10</v>
      </c>
      <c r="D2947" s="136">
        <f t="shared" ref="D2947:D3010" si="132">WEEKNUM(A2947,2)</f>
        <v>42</v>
      </c>
      <c r="E2947" s="136">
        <f t="shared" si="131"/>
        <v>16</v>
      </c>
      <c r="F2947" s="137" t="s">
        <v>24</v>
      </c>
      <c r="G2947" s="128" t="str">
        <f>VLOOKUP(source[[#This Row],[lending_product_transform]],[3]Mapping!$B$4:$C$37,2,0)</f>
        <v>[Cake] - Cashloan</v>
      </c>
      <c r="H2947" s="128" t="str">
        <f>VLOOKUP(source[[#This Row],[lending_product_transform]],[3]Mapping!$B$3:$D$37,3,0)</f>
        <v>cashloan</v>
      </c>
      <c r="I2947" s="143">
        <v>10700000</v>
      </c>
    </row>
    <row r="2948" spans="1:9" x14ac:dyDescent="0.2">
      <c r="A2948" s="134">
        <v>45581</v>
      </c>
      <c r="B2948" s="135">
        <f>YEAR(source[[#This Row],[report_date]])</f>
        <v>2024</v>
      </c>
      <c r="C2948" s="128">
        <f t="shared" si="130"/>
        <v>10</v>
      </c>
      <c r="D2948" s="136">
        <f t="shared" si="132"/>
        <v>42</v>
      </c>
      <c r="E2948" s="136">
        <f t="shared" si="131"/>
        <v>16</v>
      </c>
      <c r="F2948" s="137" t="s">
        <v>24</v>
      </c>
      <c r="G2948" s="128" t="str">
        <f>VLOOKUP(source[[#This Row],[lending_product_transform]],[3]Mapping!$B$4:$C$37,2,0)</f>
        <v>[Cake] - Cashloan</v>
      </c>
      <c r="H2948" s="128" t="str">
        <f>VLOOKUP(source[[#This Row],[lending_product_transform]],[3]Mapping!$B$3:$D$37,3,0)</f>
        <v>cashloan</v>
      </c>
      <c r="I2948" s="143">
        <v>0</v>
      </c>
    </row>
    <row r="2949" spans="1:9" x14ac:dyDescent="0.2">
      <c r="A2949" s="134">
        <v>45581</v>
      </c>
      <c r="B2949" s="135">
        <f>YEAR(source[[#This Row],[report_date]])</f>
        <v>2024</v>
      </c>
      <c r="C2949" s="128">
        <f t="shared" si="130"/>
        <v>10</v>
      </c>
      <c r="D2949" s="136">
        <f t="shared" si="132"/>
        <v>42</v>
      </c>
      <c r="E2949" s="136">
        <f t="shared" si="131"/>
        <v>16</v>
      </c>
      <c r="F2949" s="137" t="s">
        <v>24</v>
      </c>
      <c r="G2949" s="128" t="str">
        <f>VLOOKUP(source[[#This Row],[lending_product_transform]],[3]Mapping!$B$4:$C$37,2,0)</f>
        <v>[Cake] - Cashloan</v>
      </c>
      <c r="H2949" s="128" t="str">
        <f>VLOOKUP(source[[#This Row],[lending_product_transform]],[3]Mapping!$B$3:$D$37,3,0)</f>
        <v>cashloan</v>
      </c>
      <c r="I2949" s="143">
        <v>10000000</v>
      </c>
    </row>
    <row r="2950" spans="1:9" x14ac:dyDescent="0.2">
      <c r="A2950" s="134">
        <v>45581</v>
      </c>
      <c r="B2950" s="135">
        <f>YEAR(source[[#This Row],[report_date]])</f>
        <v>2024</v>
      </c>
      <c r="C2950" s="128">
        <f t="shared" si="130"/>
        <v>10</v>
      </c>
      <c r="D2950" s="136">
        <f t="shared" si="132"/>
        <v>42</v>
      </c>
      <c r="E2950" s="136">
        <f t="shared" si="131"/>
        <v>16</v>
      </c>
      <c r="F2950" s="137" t="s">
        <v>24</v>
      </c>
      <c r="G2950" s="128" t="str">
        <f>VLOOKUP(source[[#This Row],[lending_product_transform]],[3]Mapping!$B$4:$C$37,2,0)</f>
        <v>[Cake] - Cashloan</v>
      </c>
      <c r="H2950" s="128" t="str">
        <f>VLOOKUP(source[[#This Row],[lending_product_transform]],[3]Mapping!$B$3:$D$37,3,0)</f>
        <v>cashloan</v>
      </c>
      <c r="I2950" s="143">
        <v>7857700000</v>
      </c>
    </row>
    <row r="2951" spans="1:9" x14ac:dyDescent="0.2">
      <c r="A2951" s="134">
        <v>45581</v>
      </c>
      <c r="B2951" s="135">
        <f>YEAR(source[[#This Row],[report_date]])</f>
        <v>2024</v>
      </c>
      <c r="C2951" s="128">
        <f t="shared" si="130"/>
        <v>10</v>
      </c>
      <c r="D2951" s="136">
        <f t="shared" si="132"/>
        <v>42</v>
      </c>
      <c r="E2951" s="136">
        <f t="shared" si="131"/>
        <v>16</v>
      </c>
      <c r="F2951" s="137" t="s">
        <v>24</v>
      </c>
      <c r="G2951" s="128" t="str">
        <f>VLOOKUP(source[[#This Row],[lending_product_transform]],[3]Mapping!$B$4:$C$37,2,0)</f>
        <v>[Cake] - Cashloan</v>
      </c>
      <c r="H2951" s="128" t="str">
        <f>VLOOKUP(source[[#This Row],[lending_product_transform]],[3]Mapping!$B$3:$D$37,3,0)</f>
        <v>cashloan</v>
      </c>
      <c r="I2951" s="143">
        <v>4917000000</v>
      </c>
    </row>
    <row r="2952" spans="1:9" x14ac:dyDescent="0.2">
      <c r="A2952" s="134">
        <v>45581</v>
      </c>
      <c r="B2952" s="135">
        <f>YEAR(source[[#This Row],[report_date]])</f>
        <v>2024</v>
      </c>
      <c r="C2952" s="128">
        <f t="shared" si="130"/>
        <v>10</v>
      </c>
      <c r="D2952" s="136">
        <f t="shared" si="132"/>
        <v>42</v>
      </c>
      <c r="E2952" s="136">
        <f t="shared" si="131"/>
        <v>16</v>
      </c>
      <c r="F2952" s="137" t="s">
        <v>24</v>
      </c>
      <c r="G2952" s="128" t="str">
        <f>VLOOKUP(source[[#This Row],[lending_product_transform]],[3]Mapping!$B$4:$C$37,2,0)</f>
        <v>[Cake] - Cashloan</v>
      </c>
      <c r="H2952" s="128" t="str">
        <f>VLOOKUP(source[[#This Row],[lending_product_transform]],[3]Mapping!$B$3:$D$37,3,0)</f>
        <v>cashloan</v>
      </c>
      <c r="I2952" s="143">
        <v>4000000</v>
      </c>
    </row>
    <row r="2953" spans="1:9" x14ac:dyDescent="0.2">
      <c r="A2953" s="134">
        <v>45581</v>
      </c>
      <c r="B2953" s="135">
        <f>YEAR(source[[#This Row],[report_date]])</f>
        <v>2024</v>
      </c>
      <c r="C2953" s="128">
        <f t="shared" si="130"/>
        <v>10</v>
      </c>
      <c r="D2953" s="136">
        <f t="shared" si="132"/>
        <v>42</v>
      </c>
      <c r="E2953" s="136">
        <f t="shared" si="131"/>
        <v>16</v>
      </c>
      <c r="F2953" s="137" t="s">
        <v>24</v>
      </c>
      <c r="G2953" s="128" t="str">
        <f>VLOOKUP(source[[#This Row],[lending_product_transform]],[3]Mapping!$B$4:$C$37,2,0)</f>
        <v>[Cake] - Cashloan</v>
      </c>
      <c r="H2953" s="128" t="str">
        <f>VLOOKUP(source[[#This Row],[lending_product_transform]],[3]Mapping!$B$3:$D$37,3,0)</f>
        <v>cashloan</v>
      </c>
      <c r="I2953" s="143">
        <v>41691268</v>
      </c>
    </row>
    <row r="2954" spans="1:9" x14ac:dyDescent="0.2">
      <c r="A2954" s="134">
        <v>45581</v>
      </c>
      <c r="B2954" s="135">
        <f>YEAR(source[[#This Row],[report_date]])</f>
        <v>2024</v>
      </c>
      <c r="C2954" s="128">
        <f t="shared" si="130"/>
        <v>10</v>
      </c>
      <c r="D2954" s="136">
        <f t="shared" si="132"/>
        <v>42</v>
      </c>
      <c r="E2954" s="136">
        <f t="shared" si="131"/>
        <v>16</v>
      </c>
      <c r="F2954" s="137" t="s">
        <v>24</v>
      </c>
      <c r="G2954" s="128" t="str">
        <f>VLOOKUP(source[[#This Row],[lending_product_transform]],[3]Mapping!$B$4:$C$37,2,0)</f>
        <v>[Cake] - Cashloan</v>
      </c>
      <c r="H2954" s="128" t="str">
        <f>VLOOKUP(source[[#This Row],[lending_product_transform]],[3]Mapping!$B$3:$D$37,3,0)</f>
        <v>cashloan</v>
      </c>
      <c r="I2954" s="143">
        <v>0</v>
      </c>
    </row>
    <row r="2955" spans="1:9" x14ac:dyDescent="0.2">
      <c r="A2955" s="134">
        <v>45581</v>
      </c>
      <c r="B2955" s="135">
        <f>YEAR(source[[#This Row],[report_date]])</f>
        <v>2024</v>
      </c>
      <c r="C2955" s="128">
        <f t="shared" si="130"/>
        <v>10</v>
      </c>
      <c r="D2955" s="136">
        <f t="shared" si="132"/>
        <v>42</v>
      </c>
      <c r="E2955" s="136">
        <f t="shared" si="131"/>
        <v>16</v>
      </c>
      <c r="F2955" s="137" t="s">
        <v>24</v>
      </c>
      <c r="G2955" s="128" t="str">
        <f>VLOOKUP(source[[#This Row],[lending_product_transform]],[3]Mapping!$B$4:$C$37,2,0)</f>
        <v>[Cake] - Cashloan</v>
      </c>
      <c r="H2955" s="128" t="str">
        <f>VLOOKUP(source[[#This Row],[lending_product_transform]],[3]Mapping!$B$3:$D$37,3,0)</f>
        <v>cashloan</v>
      </c>
      <c r="I2955" s="143">
        <v>0</v>
      </c>
    </row>
    <row r="2956" spans="1:9" x14ac:dyDescent="0.2">
      <c r="A2956" s="134">
        <v>45581</v>
      </c>
      <c r="B2956" s="135">
        <f>YEAR(source[[#This Row],[report_date]])</f>
        <v>2024</v>
      </c>
      <c r="C2956" s="128">
        <f t="shared" si="130"/>
        <v>10</v>
      </c>
      <c r="D2956" s="136">
        <f t="shared" si="132"/>
        <v>42</v>
      </c>
      <c r="E2956" s="136">
        <f t="shared" si="131"/>
        <v>16</v>
      </c>
      <c r="F2956" s="137" t="s">
        <v>24</v>
      </c>
      <c r="G2956" s="128" t="str">
        <f>VLOOKUP(source[[#This Row],[lending_product_transform]],[3]Mapping!$B$4:$C$37,2,0)</f>
        <v>[Cake] - Cashloan</v>
      </c>
      <c r="H2956" s="128" t="str">
        <f>VLOOKUP(source[[#This Row],[lending_product_transform]],[3]Mapping!$B$3:$D$37,3,0)</f>
        <v>cashloan</v>
      </c>
      <c r="I2956" s="143">
        <v>10500000</v>
      </c>
    </row>
    <row r="2957" spans="1:9" x14ac:dyDescent="0.2">
      <c r="A2957" s="134">
        <v>45581</v>
      </c>
      <c r="B2957" s="135">
        <f>YEAR(source[[#This Row],[report_date]])</f>
        <v>2024</v>
      </c>
      <c r="C2957" s="128">
        <f t="shared" si="130"/>
        <v>10</v>
      </c>
      <c r="D2957" s="136">
        <f t="shared" si="132"/>
        <v>42</v>
      </c>
      <c r="E2957" s="136">
        <f t="shared" si="131"/>
        <v>16</v>
      </c>
      <c r="F2957" s="137" t="s">
        <v>24</v>
      </c>
      <c r="G2957" s="128" t="str">
        <f>VLOOKUP(source[[#This Row],[lending_product_transform]],[3]Mapping!$B$4:$C$37,2,0)</f>
        <v>[Cake] - Cashloan</v>
      </c>
      <c r="H2957" s="128" t="str">
        <f>VLOOKUP(source[[#This Row],[lending_product_transform]],[3]Mapping!$B$3:$D$37,3,0)</f>
        <v>cashloan</v>
      </c>
      <c r="I2957" s="143">
        <v>262804168</v>
      </c>
    </row>
    <row r="2958" spans="1:9" x14ac:dyDescent="0.2">
      <c r="A2958" s="134">
        <v>45582</v>
      </c>
      <c r="B2958" s="135">
        <f>YEAR(source[[#This Row],[report_date]])</f>
        <v>2024</v>
      </c>
      <c r="C2958" s="128">
        <f t="shared" si="130"/>
        <v>10</v>
      </c>
      <c r="D2958" s="136">
        <f t="shared" si="132"/>
        <v>42</v>
      </c>
      <c r="E2958" s="136">
        <f t="shared" si="131"/>
        <v>17</v>
      </c>
      <c r="F2958" s="137" t="s">
        <v>24</v>
      </c>
      <c r="G2958" s="128" t="str">
        <f>VLOOKUP(source[[#This Row],[lending_product_transform]],[3]Mapping!$B$4:$C$37,2,0)</f>
        <v>[Cake] - Cashloan</v>
      </c>
      <c r="H2958" s="128" t="str">
        <f>VLOOKUP(source[[#This Row],[lending_product_transform]],[3]Mapping!$B$3:$D$37,3,0)</f>
        <v>cashloan</v>
      </c>
      <c r="I2958" s="143">
        <v>30500000</v>
      </c>
    </row>
    <row r="2959" spans="1:9" x14ac:dyDescent="0.2">
      <c r="A2959" s="134">
        <v>45582</v>
      </c>
      <c r="B2959" s="135">
        <f>YEAR(source[[#This Row],[report_date]])</f>
        <v>2024</v>
      </c>
      <c r="C2959" s="128">
        <f t="shared" si="130"/>
        <v>10</v>
      </c>
      <c r="D2959" s="136">
        <f t="shared" si="132"/>
        <v>42</v>
      </c>
      <c r="E2959" s="136">
        <f t="shared" si="131"/>
        <v>17</v>
      </c>
      <c r="F2959" s="137" t="s">
        <v>24</v>
      </c>
      <c r="G2959" s="128" t="str">
        <f>VLOOKUP(source[[#This Row],[lending_product_transform]],[3]Mapping!$B$4:$C$37,2,0)</f>
        <v>[Cake] - Cashloan</v>
      </c>
      <c r="H2959" s="128" t="str">
        <f>VLOOKUP(source[[#This Row],[lending_product_transform]],[3]Mapping!$B$3:$D$37,3,0)</f>
        <v>cashloan</v>
      </c>
      <c r="I2959" s="143">
        <v>386736787</v>
      </c>
    </row>
    <row r="2960" spans="1:9" x14ac:dyDescent="0.2">
      <c r="A2960" s="134">
        <v>45582</v>
      </c>
      <c r="B2960" s="135">
        <f>YEAR(source[[#This Row],[report_date]])</f>
        <v>2024</v>
      </c>
      <c r="C2960" s="128">
        <f t="shared" si="130"/>
        <v>10</v>
      </c>
      <c r="D2960" s="136">
        <f t="shared" si="132"/>
        <v>42</v>
      </c>
      <c r="E2960" s="136">
        <f t="shared" si="131"/>
        <v>17</v>
      </c>
      <c r="F2960" s="137" t="s">
        <v>24</v>
      </c>
      <c r="G2960" s="128" t="str">
        <f>VLOOKUP(source[[#This Row],[lending_product_transform]],[3]Mapping!$B$4:$C$37,2,0)</f>
        <v>[Cake] - Cashloan</v>
      </c>
      <c r="H2960" s="128" t="str">
        <f>VLOOKUP(source[[#This Row],[lending_product_transform]],[3]Mapping!$B$3:$D$37,3,0)</f>
        <v>cashloan</v>
      </c>
      <c r="I2960" s="143">
        <v>36750000</v>
      </c>
    </row>
    <row r="2961" spans="1:9" x14ac:dyDescent="0.2">
      <c r="A2961" s="134">
        <v>45582</v>
      </c>
      <c r="B2961" s="135">
        <f>YEAR(source[[#This Row],[report_date]])</f>
        <v>2024</v>
      </c>
      <c r="C2961" s="128">
        <f t="shared" si="130"/>
        <v>10</v>
      </c>
      <c r="D2961" s="136">
        <f t="shared" si="132"/>
        <v>42</v>
      </c>
      <c r="E2961" s="136">
        <f t="shared" si="131"/>
        <v>17</v>
      </c>
      <c r="F2961" s="137" t="s">
        <v>24</v>
      </c>
      <c r="G2961" s="128" t="str">
        <f>VLOOKUP(source[[#This Row],[lending_product_transform]],[3]Mapping!$B$4:$C$37,2,0)</f>
        <v>[Cake] - Cashloan</v>
      </c>
      <c r="H2961" s="128" t="str">
        <f>VLOOKUP(source[[#This Row],[lending_product_transform]],[3]Mapping!$B$3:$D$37,3,0)</f>
        <v>cashloan</v>
      </c>
      <c r="I2961" s="143">
        <v>19260000</v>
      </c>
    </row>
    <row r="2962" spans="1:9" x14ac:dyDescent="0.2">
      <c r="A2962" s="134">
        <v>45582</v>
      </c>
      <c r="B2962" s="135">
        <f>YEAR(source[[#This Row],[report_date]])</f>
        <v>2024</v>
      </c>
      <c r="C2962" s="128">
        <f t="shared" si="130"/>
        <v>10</v>
      </c>
      <c r="D2962" s="136">
        <f t="shared" si="132"/>
        <v>42</v>
      </c>
      <c r="E2962" s="136">
        <f t="shared" si="131"/>
        <v>17</v>
      </c>
      <c r="F2962" s="137" t="s">
        <v>24</v>
      </c>
      <c r="G2962" s="128" t="str">
        <f>VLOOKUP(source[[#This Row],[lending_product_transform]],[3]Mapping!$B$4:$C$37,2,0)</f>
        <v>[Cake] - Cashloan</v>
      </c>
      <c r="H2962" s="128" t="str">
        <f>VLOOKUP(source[[#This Row],[lending_product_transform]],[3]Mapping!$B$3:$D$37,3,0)</f>
        <v>cashloan</v>
      </c>
      <c r="I2962" s="143">
        <v>2802876864</v>
      </c>
    </row>
    <row r="2963" spans="1:9" x14ac:dyDescent="0.2">
      <c r="A2963" s="134">
        <v>45582</v>
      </c>
      <c r="B2963" s="135">
        <f>YEAR(source[[#This Row],[report_date]])</f>
        <v>2024</v>
      </c>
      <c r="C2963" s="128">
        <f t="shared" si="130"/>
        <v>10</v>
      </c>
      <c r="D2963" s="136">
        <f t="shared" si="132"/>
        <v>42</v>
      </c>
      <c r="E2963" s="136">
        <f t="shared" si="131"/>
        <v>17</v>
      </c>
      <c r="F2963" s="137" t="s">
        <v>24</v>
      </c>
      <c r="G2963" s="128" t="str">
        <f>VLOOKUP(source[[#This Row],[lending_product_transform]],[3]Mapping!$B$4:$C$37,2,0)</f>
        <v>[Cake] - Cashloan</v>
      </c>
      <c r="H2963" s="128" t="str">
        <f>VLOOKUP(source[[#This Row],[lending_product_transform]],[3]Mapping!$B$3:$D$37,3,0)</f>
        <v>cashloan</v>
      </c>
      <c r="I2963" s="143">
        <v>0</v>
      </c>
    </row>
    <row r="2964" spans="1:9" x14ac:dyDescent="0.2">
      <c r="A2964" s="134">
        <v>45582</v>
      </c>
      <c r="B2964" s="135">
        <f>YEAR(source[[#This Row],[report_date]])</f>
        <v>2024</v>
      </c>
      <c r="C2964" s="128">
        <f t="shared" si="130"/>
        <v>10</v>
      </c>
      <c r="D2964" s="136">
        <f t="shared" si="132"/>
        <v>42</v>
      </c>
      <c r="E2964" s="136">
        <f t="shared" si="131"/>
        <v>17</v>
      </c>
      <c r="F2964" s="137" t="s">
        <v>24</v>
      </c>
      <c r="G2964" s="128" t="str">
        <f>VLOOKUP(source[[#This Row],[lending_product_transform]],[3]Mapping!$B$4:$C$37,2,0)</f>
        <v>[Cake] - Cashloan</v>
      </c>
      <c r="H2964" s="128" t="str">
        <f>VLOOKUP(source[[#This Row],[lending_product_transform]],[3]Mapping!$B$3:$D$37,3,0)</f>
        <v>cashloan</v>
      </c>
      <c r="I2964" s="143">
        <v>31000000</v>
      </c>
    </row>
    <row r="2965" spans="1:9" x14ac:dyDescent="0.2">
      <c r="A2965" s="134">
        <v>45582</v>
      </c>
      <c r="B2965" s="135">
        <f>YEAR(source[[#This Row],[report_date]])</f>
        <v>2024</v>
      </c>
      <c r="C2965" s="128">
        <f t="shared" si="130"/>
        <v>10</v>
      </c>
      <c r="D2965" s="136">
        <f t="shared" si="132"/>
        <v>42</v>
      </c>
      <c r="E2965" s="136">
        <f t="shared" si="131"/>
        <v>17</v>
      </c>
      <c r="F2965" s="137" t="s">
        <v>24</v>
      </c>
      <c r="G2965" s="128" t="str">
        <f>VLOOKUP(source[[#This Row],[lending_product_transform]],[3]Mapping!$B$4:$C$37,2,0)</f>
        <v>[Cake] - Cashloan</v>
      </c>
      <c r="H2965" s="128" t="str">
        <f>VLOOKUP(source[[#This Row],[lending_product_transform]],[3]Mapping!$B$3:$D$37,3,0)</f>
        <v>cashloan</v>
      </c>
      <c r="I2965" s="143">
        <v>3611540000</v>
      </c>
    </row>
    <row r="2966" spans="1:9" x14ac:dyDescent="0.2">
      <c r="A2966" s="134">
        <v>45582</v>
      </c>
      <c r="B2966" s="135">
        <f>YEAR(source[[#This Row],[report_date]])</f>
        <v>2024</v>
      </c>
      <c r="C2966" s="128">
        <f t="shared" si="130"/>
        <v>10</v>
      </c>
      <c r="D2966" s="136">
        <f t="shared" si="132"/>
        <v>42</v>
      </c>
      <c r="E2966" s="136">
        <f t="shared" si="131"/>
        <v>17</v>
      </c>
      <c r="F2966" s="137" t="s">
        <v>24</v>
      </c>
      <c r="G2966" s="128" t="str">
        <f>VLOOKUP(source[[#This Row],[lending_product_transform]],[3]Mapping!$B$4:$C$37,2,0)</f>
        <v>[Cake] - Cashloan</v>
      </c>
      <c r="H2966" s="128" t="str">
        <f>VLOOKUP(source[[#This Row],[lending_product_transform]],[3]Mapping!$B$3:$D$37,3,0)</f>
        <v>cashloan</v>
      </c>
      <c r="I2966" s="143">
        <v>8364080000</v>
      </c>
    </row>
    <row r="2967" spans="1:9" x14ac:dyDescent="0.2">
      <c r="A2967" s="134">
        <v>45582</v>
      </c>
      <c r="B2967" s="135">
        <f>YEAR(source[[#This Row],[report_date]])</f>
        <v>2024</v>
      </c>
      <c r="C2967" s="128">
        <f t="shared" si="130"/>
        <v>10</v>
      </c>
      <c r="D2967" s="136">
        <f t="shared" si="132"/>
        <v>42</v>
      </c>
      <c r="E2967" s="136">
        <f t="shared" si="131"/>
        <v>17</v>
      </c>
      <c r="F2967" s="137" t="s">
        <v>24</v>
      </c>
      <c r="G2967" s="128" t="str">
        <f>VLOOKUP(source[[#This Row],[lending_product_transform]],[3]Mapping!$B$4:$C$37,2,0)</f>
        <v>[Cake] - Cashloan</v>
      </c>
      <c r="H2967" s="128" t="str">
        <f>VLOOKUP(source[[#This Row],[lending_product_transform]],[3]Mapping!$B$3:$D$37,3,0)</f>
        <v>cashloan</v>
      </c>
      <c r="I2967" s="143">
        <v>4731000000</v>
      </c>
    </row>
    <row r="2968" spans="1:9" x14ac:dyDescent="0.2">
      <c r="A2968" s="134">
        <v>45582</v>
      </c>
      <c r="B2968" s="135">
        <f>YEAR(source[[#This Row],[report_date]])</f>
        <v>2024</v>
      </c>
      <c r="C2968" s="128">
        <f t="shared" si="130"/>
        <v>10</v>
      </c>
      <c r="D2968" s="136">
        <f t="shared" si="132"/>
        <v>42</v>
      </c>
      <c r="E2968" s="136">
        <f t="shared" si="131"/>
        <v>17</v>
      </c>
      <c r="F2968" s="137" t="s">
        <v>24</v>
      </c>
      <c r="G2968" s="128" t="str">
        <f>VLOOKUP(source[[#This Row],[lending_product_transform]],[3]Mapping!$B$4:$C$37,2,0)</f>
        <v>[Cake] - Cashloan</v>
      </c>
      <c r="H2968" s="128" t="str">
        <f>VLOOKUP(source[[#This Row],[lending_product_transform]],[3]Mapping!$B$3:$D$37,3,0)</f>
        <v>cashloan</v>
      </c>
      <c r="I2968" s="143">
        <v>0</v>
      </c>
    </row>
    <row r="2969" spans="1:9" x14ac:dyDescent="0.2">
      <c r="A2969" s="134">
        <v>45582</v>
      </c>
      <c r="B2969" s="135">
        <f>YEAR(source[[#This Row],[report_date]])</f>
        <v>2024</v>
      </c>
      <c r="C2969" s="128">
        <f t="shared" si="130"/>
        <v>10</v>
      </c>
      <c r="D2969" s="136">
        <f t="shared" si="132"/>
        <v>42</v>
      </c>
      <c r="E2969" s="136">
        <f t="shared" si="131"/>
        <v>17</v>
      </c>
      <c r="F2969" s="137" t="s">
        <v>24</v>
      </c>
      <c r="G2969" s="128" t="str">
        <f>VLOOKUP(source[[#This Row],[lending_product_transform]],[3]Mapping!$B$4:$C$37,2,0)</f>
        <v>[Cake] - Cashloan</v>
      </c>
      <c r="H2969" s="128" t="str">
        <f>VLOOKUP(source[[#This Row],[lending_product_transform]],[3]Mapping!$B$3:$D$37,3,0)</f>
        <v>cashloan</v>
      </c>
      <c r="I2969" s="143">
        <v>20000000</v>
      </c>
    </row>
    <row r="2970" spans="1:9" x14ac:dyDescent="0.2">
      <c r="A2970" s="134">
        <v>45582</v>
      </c>
      <c r="B2970" s="135">
        <f>YEAR(source[[#This Row],[report_date]])</f>
        <v>2024</v>
      </c>
      <c r="C2970" s="128">
        <f t="shared" si="130"/>
        <v>10</v>
      </c>
      <c r="D2970" s="136">
        <f t="shared" si="132"/>
        <v>42</v>
      </c>
      <c r="E2970" s="136">
        <f t="shared" si="131"/>
        <v>17</v>
      </c>
      <c r="F2970" s="137" t="s">
        <v>24</v>
      </c>
      <c r="G2970" s="128" t="str">
        <f>VLOOKUP(source[[#This Row],[lending_product_transform]],[3]Mapping!$B$4:$C$37,2,0)</f>
        <v>[Cake] - Cashloan</v>
      </c>
      <c r="H2970" s="128" t="str">
        <f>VLOOKUP(source[[#This Row],[lending_product_transform]],[3]Mapping!$B$3:$D$37,3,0)</f>
        <v>cashloan</v>
      </c>
      <c r="I2970" s="143">
        <v>36179581</v>
      </c>
    </row>
    <row r="2971" spans="1:9" x14ac:dyDescent="0.2">
      <c r="A2971" s="134">
        <v>45582</v>
      </c>
      <c r="B2971" s="135">
        <f>YEAR(source[[#This Row],[report_date]])</f>
        <v>2024</v>
      </c>
      <c r="C2971" s="128">
        <f t="shared" si="130"/>
        <v>10</v>
      </c>
      <c r="D2971" s="136">
        <f t="shared" si="132"/>
        <v>42</v>
      </c>
      <c r="E2971" s="136">
        <f t="shared" si="131"/>
        <v>17</v>
      </c>
      <c r="F2971" s="137" t="s">
        <v>24</v>
      </c>
      <c r="G2971" s="128" t="str">
        <f>VLOOKUP(source[[#This Row],[lending_product_transform]],[3]Mapping!$B$4:$C$37,2,0)</f>
        <v>[Cake] - Cashloan</v>
      </c>
      <c r="H2971" s="128" t="str">
        <f>VLOOKUP(source[[#This Row],[lending_product_transform]],[3]Mapping!$B$3:$D$37,3,0)</f>
        <v>cashloan</v>
      </c>
      <c r="I2971" s="143">
        <v>13650000</v>
      </c>
    </row>
    <row r="2972" spans="1:9" x14ac:dyDescent="0.2">
      <c r="A2972" s="134">
        <v>45583</v>
      </c>
      <c r="B2972" s="135">
        <f>YEAR(source[[#This Row],[report_date]])</f>
        <v>2024</v>
      </c>
      <c r="C2972" s="128">
        <f t="shared" si="130"/>
        <v>10</v>
      </c>
      <c r="D2972" s="136">
        <f t="shared" si="132"/>
        <v>42</v>
      </c>
      <c r="E2972" s="136">
        <f t="shared" si="131"/>
        <v>18</v>
      </c>
      <c r="F2972" s="137" t="s">
        <v>24</v>
      </c>
      <c r="G2972" s="128" t="str">
        <f>VLOOKUP(source[[#This Row],[lending_product_transform]],[3]Mapping!$B$4:$C$37,2,0)</f>
        <v>[Cake] - Cashloan</v>
      </c>
      <c r="H2972" s="128" t="str">
        <f>VLOOKUP(source[[#This Row],[lending_product_transform]],[3]Mapping!$B$3:$D$37,3,0)</f>
        <v>cashloan</v>
      </c>
      <c r="I2972" s="143">
        <v>21000000</v>
      </c>
    </row>
    <row r="2973" spans="1:9" x14ac:dyDescent="0.2">
      <c r="A2973" s="134">
        <v>45583</v>
      </c>
      <c r="B2973" s="135">
        <f>YEAR(source[[#This Row],[report_date]])</f>
        <v>2024</v>
      </c>
      <c r="C2973" s="128">
        <f t="shared" si="130"/>
        <v>10</v>
      </c>
      <c r="D2973" s="136">
        <f t="shared" si="132"/>
        <v>42</v>
      </c>
      <c r="E2973" s="136">
        <f t="shared" si="131"/>
        <v>18</v>
      </c>
      <c r="F2973" s="137" t="s">
        <v>24</v>
      </c>
      <c r="G2973" s="128" t="str">
        <f>VLOOKUP(source[[#This Row],[lending_product_transform]],[3]Mapping!$B$4:$C$37,2,0)</f>
        <v>[Cake] - Cashloan</v>
      </c>
      <c r="H2973" s="128" t="str">
        <f>VLOOKUP(source[[#This Row],[lending_product_transform]],[3]Mapping!$B$3:$D$37,3,0)</f>
        <v>cashloan</v>
      </c>
      <c r="I2973" s="143">
        <v>0</v>
      </c>
    </row>
    <row r="2974" spans="1:9" x14ac:dyDescent="0.2">
      <c r="A2974" s="134">
        <v>45583</v>
      </c>
      <c r="B2974" s="135">
        <f>YEAR(source[[#This Row],[report_date]])</f>
        <v>2024</v>
      </c>
      <c r="C2974" s="128">
        <f t="shared" si="130"/>
        <v>10</v>
      </c>
      <c r="D2974" s="136">
        <f t="shared" si="132"/>
        <v>42</v>
      </c>
      <c r="E2974" s="136">
        <f t="shared" si="131"/>
        <v>18</v>
      </c>
      <c r="F2974" s="137" t="s">
        <v>24</v>
      </c>
      <c r="G2974" s="128" t="str">
        <f>VLOOKUP(source[[#This Row],[lending_product_transform]],[3]Mapping!$B$4:$C$37,2,0)</f>
        <v>[Cake] - Cashloan</v>
      </c>
      <c r="H2974" s="128" t="str">
        <f>VLOOKUP(source[[#This Row],[lending_product_transform]],[3]Mapping!$B$3:$D$37,3,0)</f>
        <v>cashloan</v>
      </c>
      <c r="I2974" s="143">
        <v>31500000</v>
      </c>
    </row>
    <row r="2975" spans="1:9" x14ac:dyDescent="0.2">
      <c r="A2975" s="134">
        <v>45583</v>
      </c>
      <c r="B2975" s="135">
        <f>YEAR(source[[#This Row],[report_date]])</f>
        <v>2024</v>
      </c>
      <c r="C2975" s="128">
        <f t="shared" si="130"/>
        <v>10</v>
      </c>
      <c r="D2975" s="136">
        <f t="shared" si="132"/>
        <v>42</v>
      </c>
      <c r="E2975" s="136">
        <f t="shared" si="131"/>
        <v>18</v>
      </c>
      <c r="F2975" s="137" t="s">
        <v>24</v>
      </c>
      <c r="G2975" s="128" t="str">
        <f>VLOOKUP(source[[#This Row],[lending_product_transform]],[3]Mapping!$B$4:$C$37,2,0)</f>
        <v>[Cake] - Cashloan</v>
      </c>
      <c r="H2975" s="128" t="str">
        <f>VLOOKUP(source[[#This Row],[lending_product_transform]],[3]Mapping!$B$3:$D$37,3,0)</f>
        <v>cashloan</v>
      </c>
      <c r="I2975" s="143">
        <v>70620000</v>
      </c>
    </row>
    <row r="2976" spans="1:9" x14ac:dyDescent="0.2">
      <c r="A2976" s="134">
        <v>45583</v>
      </c>
      <c r="B2976" s="135">
        <f>YEAR(source[[#This Row],[report_date]])</f>
        <v>2024</v>
      </c>
      <c r="C2976" s="128">
        <f t="shared" si="130"/>
        <v>10</v>
      </c>
      <c r="D2976" s="136">
        <f t="shared" si="132"/>
        <v>42</v>
      </c>
      <c r="E2976" s="136">
        <f t="shared" si="131"/>
        <v>18</v>
      </c>
      <c r="F2976" s="137" t="s">
        <v>24</v>
      </c>
      <c r="G2976" s="128" t="str">
        <f>VLOOKUP(source[[#This Row],[lending_product_transform]],[3]Mapping!$B$4:$C$37,2,0)</f>
        <v>[Cake] - Cashloan</v>
      </c>
      <c r="H2976" s="128" t="str">
        <f>VLOOKUP(source[[#This Row],[lending_product_transform]],[3]Mapping!$B$3:$D$37,3,0)</f>
        <v>cashloan</v>
      </c>
      <c r="I2976" s="143">
        <v>0</v>
      </c>
    </row>
    <row r="2977" spans="1:9" x14ac:dyDescent="0.2">
      <c r="A2977" s="134">
        <v>45583</v>
      </c>
      <c r="B2977" s="135">
        <f>YEAR(source[[#This Row],[report_date]])</f>
        <v>2024</v>
      </c>
      <c r="C2977" s="128">
        <f t="shared" si="130"/>
        <v>10</v>
      </c>
      <c r="D2977" s="136">
        <f t="shared" si="132"/>
        <v>42</v>
      </c>
      <c r="E2977" s="136">
        <f t="shared" si="131"/>
        <v>18</v>
      </c>
      <c r="F2977" s="137" t="s">
        <v>24</v>
      </c>
      <c r="G2977" s="128" t="str">
        <f>VLOOKUP(source[[#This Row],[lending_product_transform]],[3]Mapping!$B$4:$C$37,2,0)</f>
        <v>[Cake] - Cashloan</v>
      </c>
      <c r="H2977" s="128" t="str">
        <f>VLOOKUP(source[[#This Row],[lending_product_transform]],[3]Mapping!$B$3:$D$37,3,0)</f>
        <v>cashloan</v>
      </c>
      <c r="I2977" s="143">
        <v>4401500000</v>
      </c>
    </row>
    <row r="2978" spans="1:9" x14ac:dyDescent="0.2">
      <c r="A2978" s="134">
        <v>45583</v>
      </c>
      <c r="B2978" s="135">
        <f>YEAR(source[[#This Row],[report_date]])</f>
        <v>2024</v>
      </c>
      <c r="C2978" s="128">
        <f t="shared" si="130"/>
        <v>10</v>
      </c>
      <c r="D2978" s="136">
        <f t="shared" si="132"/>
        <v>42</v>
      </c>
      <c r="E2978" s="136">
        <f t="shared" si="131"/>
        <v>18</v>
      </c>
      <c r="F2978" s="137" t="s">
        <v>24</v>
      </c>
      <c r="G2978" s="128" t="str">
        <f>VLOOKUP(source[[#This Row],[lending_product_transform]],[3]Mapping!$B$4:$C$37,2,0)</f>
        <v>[Cake] - Cashloan</v>
      </c>
      <c r="H2978" s="128" t="str">
        <f>VLOOKUP(source[[#This Row],[lending_product_transform]],[3]Mapping!$B$3:$D$37,3,0)</f>
        <v>cashloan</v>
      </c>
      <c r="I2978" s="143">
        <v>307556045</v>
      </c>
    </row>
    <row r="2979" spans="1:9" x14ac:dyDescent="0.2">
      <c r="A2979" s="134">
        <v>45583</v>
      </c>
      <c r="B2979" s="135">
        <f>YEAR(source[[#This Row],[report_date]])</f>
        <v>2024</v>
      </c>
      <c r="C2979" s="128">
        <f t="shared" si="130"/>
        <v>10</v>
      </c>
      <c r="D2979" s="136">
        <f t="shared" si="132"/>
        <v>42</v>
      </c>
      <c r="E2979" s="136">
        <f t="shared" si="131"/>
        <v>18</v>
      </c>
      <c r="F2979" s="137" t="s">
        <v>24</v>
      </c>
      <c r="G2979" s="128" t="str">
        <f>VLOOKUP(source[[#This Row],[lending_product_transform]],[3]Mapping!$B$4:$C$37,2,0)</f>
        <v>[Cake] - Cashloan</v>
      </c>
      <c r="H2979" s="128" t="str">
        <f>VLOOKUP(source[[#This Row],[lending_product_transform]],[3]Mapping!$B$3:$D$37,3,0)</f>
        <v>cashloan</v>
      </c>
      <c r="I2979" s="143">
        <v>12840000</v>
      </c>
    </row>
    <row r="2980" spans="1:9" x14ac:dyDescent="0.2">
      <c r="A2980" s="134">
        <v>45583</v>
      </c>
      <c r="B2980" s="135">
        <f>YEAR(source[[#This Row],[report_date]])</f>
        <v>2024</v>
      </c>
      <c r="C2980" s="128">
        <f t="shared" si="130"/>
        <v>10</v>
      </c>
      <c r="D2980" s="136">
        <f t="shared" si="132"/>
        <v>42</v>
      </c>
      <c r="E2980" s="136">
        <f t="shared" si="131"/>
        <v>18</v>
      </c>
      <c r="F2980" s="137" t="s">
        <v>24</v>
      </c>
      <c r="G2980" s="128" t="str">
        <f>VLOOKUP(source[[#This Row],[lending_product_transform]],[3]Mapping!$B$4:$C$37,2,0)</f>
        <v>[Cake] - Cashloan</v>
      </c>
      <c r="H2980" s="128" t="str">
        <f>VLOOKUP(source[[#This Row],[lending_product_transform]],[3]Mapping!$B$3:$D$37,3,0)</f>
        <v>cashloan</v>
      </c>
      <c r="I2980" s="143">
        <v>78000000</v>
      </c>
    </row>
    <row r="2981" spans="1:9" x14ac:dyDescent="0.2">
      <c r="A2981" s="134">
        <v>45583</v>
      </c>
      <c r="B2981" s="135">
        <f>YEAR(source[[#This Row],[report_date]])</f>
        <v>2024</v>
      </c>
      <c r="C2981" s="128">
        <f t="shared" ref="C2981:C3044" si="133">MONTH(A2981)</f>
        <v>10</v>
      </c>
      <c r="D2981" s="136">
        <f t="shared" si="132"/>
        <v>42</v>
      </c>
      <c r="E2981" s="136">
        <f t="shared" ref="E2981:E3044" si="134">DAY(A2981)</f>
        <v>18</v>
      </c>
      <c r="F2981" s="137" t="s">
        <v>24</v>
      </c>
      <c r="G2981" s="128" t="str">
        <f>VLOOKUP(source[[#This Row],[lending_product_transform]],[3]Mapping!$B$4:$C$37,2,0)</f>
        <v>[Cake] - Cashloan</v>
      </c>
      <c r="H2981" s="128" t="str">
        <f>VLOOKUP(source[[#This Row],[lending_product_transform]],[3]Mapping!$B$3:$D$37,3,0)</f>
        <v>cashloan</v>
      </c>
      <c r="I2981" s="143">
        <v>8549010000</v>
      </c>
    </row>
    <row r="2982" spans="1:9" x14ac:dyDescent="0.2">
      <c r="A2982" s="134">
        <v>45583</v>
      </c>
      <c r="B2982" s="135">
        <f>YEAR(source[[#This Row],[report_date]])</f>
        <v>2024</v>
      </c>
      <c r="C2982" s="128">
        <f t="shared" si="133"/>
        <v>10</v>
      </c>
      <c r="D2982" s="136">
        <f t="shared" si="132"/>
        <v>42</v>
      </c>
      <c r="E2982" s="136">
        <f t="shared" si="134"/>
        <v>18</v>
      </c>
      <c r="F2982" s="137" t="s">
        <v>24</v>
      </c>
      <c r="G2982" s="128" t="str">
        <f>VLOOKUP(source[[#This Row],[lending_product_transform]],[3]Mapping!$B$4:$C$37,2,0)</f>
        <v>[Cake] - Cashloan</v>
      </c>
      <c r="H2982" s="128" t="str">
        <f>VLOOKUP(source[[#This Row],[lending_product_transform]],[3]Mapping!$B$3:$D$37,3,0)</f>
        <v>cashloan</v>
      </c>
      <c r="I2982" s="143">
        <v>3338290000</v>
      </c>
    </row>
    <row r="2983" spans="1:9" x14ac:dyDescent="0.2">
      <c r="A2983" s="134">
        <v>45583</v>
      </c>
      <c r="B2983" s="135">
        <f>YEAR(source[[#This Row],[report_date]])</f>
        <v>2024</v>
      </c>
      <c r="C2983" s="128">
        <f t="shared" si="133"/>
        <v>10</v>
      </c>
      <c r="D2983" s="136">
        <f t="shared" si="132"/>
        <v>42</v>
      </c>
      <c r="E2983" s="136">
        <f t="shared" si="134"/>
        <v>18</v>
      </c>
      <c r="F2983" s="137" t="s">
        <v>24</v>
      </c>
      <c r="G2983" s="128" t="str">
        <f>VLOOKUP(source[[#This Row],[lending_product_transform]],[3]Mapping!$B$4:$C$37,2,0)</f>
        <v>[Cake] - Cashloan</v>
      </c>
      <c r="H2983" s="128" t="str">
        <f>VLOOKUP(source[[#This Row],[lending_product_transform]],[3]Mapping!$B$3:$D$37,3,0)</f>
        <v>cashloan</v>
      </c>
      <c r="I2983" s="143">
        <v>3009403693</v>
      </c>
    </row>
    <row r="2984" spans="1:9" x14ac:dyDescent="0.2">
      <c r="A2984" s="134">
        <v>45583</v>
      </c>
      <c r="B2984" s="135">
        <f>YEAR(source[[#This Row],[report_date]])</f>
        <v>2024</v>
      </c>
      <c r="C2984" s="128">
        <f t="shared" si="133"/>
        <v>10</v>
      </c>
      <c r="D2984" s="136">
        <f t="shared" si="132"/>
        <v>42</v>
      </c>
      <c r="E2984" s="136">
        <f t="shared" si="134"/>
        <v>18</v>
      </c>
      <c r="F2984" s="137" t="s">
        <v>24</v>
      </c>
      <c r="G2984" s="128" t="str">
        <f>VLOOKUP(source[[#This Row],[lending_product_transform]],[3]Mapping!$B$4:$C$37,2,0)</f>
        <v>[Cake] - Cashloan</v>
      </c>
      <c r="H2984" s="128" t="str">
        <f>VLOOKUP(source[[#This Row],[lending_product_transform]],[3]Mapping!$B$3:$D$37,3,0)</f>
        <v>cashloan</v>
      </c>
      <c r="I2984" s="143">
        <v>0</v>
      </c>
    </row>
    <row r="2985" spans="1:9" x14ac:dyDescent="0.2">
      <c r="A2985" s="134">
        <v>45583</v>
      </c>
      <c r="B2985" s="135">
        <f>YEAR(source[[#This Row],[report_date]])</f>
        <v>2024</v>
      </c>
      <c r="C2985" s="128">
        <f t="shared" si="133"/>
        <v>10</v>
      </c>
      <c r="D2985" s="136">
        <f t="shared" si="132"/>
        <v>42</v>
      </c>
      <c r="E2985" s="136">
        <f t="shared" si="134"/>
        <v>18</v>
      </c>
      <c r="F2985" s="137" t="s">
        <v>24</v>
      </c>
      <c r="G2985" s="128" t="str">
        <f>VLOOKUP(source[[#This Row],[lending_product_transform]],[3]Mapping!$B$4:$C$37,2,0)</f>
        <v>[Cake] - Cashloan</v>
      </c>
      <c r="H2985" s="128" t="str">
        <f>VLOOKUP(source[[#This Row],[lending_product_transform]],[3]Mapping!$B$3:$D$37,3,0)</f>
        <v>cashloan</v>
      </c>
      <c r="I2985" s="143">
        <v>43633368</v>
      </c>
    </row>
    <row r="2986" spans="1:9" x14ac:dyDescent="0.2">
      <c r="A2986" s="134">
        <v>45584</v>
      </c>
      <c r="B2986" s="135">
        <f>YEAR(source[[#This Row],[report_date]])</f>
        <v>2024</v>
      </c>
      <c r="C2986" s="128">
        <f t="shared" si="133"/>
        <v>10</v>
      </c>
      <c r="D2986" s="136">
        <f t="shared" si="132"/>
        <v>42</v>
      </c>
      <c r="E2986" s="136">
        <f t="shared" si="134"/>
        <v>19</v>
      </c>
      <c r="F2986" s="137" t="s">
        <v>24</v>
      </c>
      <c r="G2986" s="128" t="str">
        <f>VLOOKUP(source[[#This Row],[lending_product_transform]],[3]Mapping!$B$4:$C$37,2,0)</f>
        <v>[Cake] - Cashloan</v>
      </c>
      <c r="H2986" s="128" t="str">
        <f>VLOOKUP(source[[#This Row],[lending_product_transform]],[3]Mapping!$B$3:$D$37,3,0)</f>
        <v>cashloan</v>
      </c>
      <c r="I2986" s="143">
        <v>49301437</v>
      </c>
    </row>
    <row r="2987" spans="1:9" x14ac:dyDescent="0.2">
      <c r="A2987" s="134">
        <v>45584</v>
      </c>
      <c r="B2987" s="135">
        <f>YEAR(source[[#This Row],[report_date]])</f>
        <v>2024</v>
      </c>
      <c r="C2987" s="128">
        <f t="shared" si="133"/>
        <v>10</v>
      </c>
      <c r="D2987" s="136">
        <f t="shared" si="132"/>
        <v>42</v>
      </c>
      <c r="E2987" s="136">
        <f t="shared" si="134"/>
        <v>19</v>
      </c>
      <c r="F2987" s="137" t="s">
        <v>24</v>
      </c>
      <c r="G2987" s="128" t="str">
        <f>VLOOKUP(source[[#This Row],[lending_product_transform]],[3]Mapping!$B$4:$C$37,2,0)</f>
        <v>[Cake] - Cashloan</v>
      </c>
      <c r="H2987" s="128" t="str">
        <f>VLOOKUP(source[[#This Row],[lending_product_transform]],[3]Mapping!$B$3:$D$37,3,0)</f>
        <v>cashloan</v>
      </c>
      <c r="I2987" s="143">
        <v>27820000</v>
      </c>
    </row>
    <row r="2988" spans="1:9" x14ac:dyDescent="0.2">
      <c r="A2988" s="134">
        <v>45584</v>
      </c>
      <c r="B2988" s="135">
        <f>YEAR(source[[#This Row],[report_date]])</f>
        <v>2024</v>
      </c>
      <c r="C2988" s="128">
        <f t="shared" si="133"/>
        <v>10</v>
      </c>
      <c r="D2988" s="136">
        <f t="shared" si="132"/>
        <v>42</v>
      </c>
      <c r="E2988" s="136">
        <f t="shared" si="134"/>
        <v>19</v>
      </c>
      <c r="F2988" s="137" t="s">
        <v>24</v>
      </c>
      <c r="G2988" s="128" t="str">
        <f>VLOOKUP(source[[#This Row],[lending_product_transform]],[3]Mapping!$B$4:$C$37,2,0)</f>
        <v>[Cake] - Cashloan</v>
      </c>
      <c r="H2988" s="128" t="str">
        <f>VLOOKUP(source[[#This Row],[lending_product_transform]],[3]Mapping!$B$3:$D$37,3,0)</f>
        <v>cashloan</v>
      </c>
      <c r="I2988" s="143">
        <v>0</v>
      </c>
    </row>
    <row r="2989" spans="1:9" x14ac:dyDescent="0.2">
      <c r="A2989" s="134">
        <v>45584</v>
      </c>
      <c r="B2989" s="135">
        <f>YEAR(source[[#This Row],[report_date]])</f>
        <v>2024</v>
      </c>
      <c r="C2989" s="128">
        <f t="shared" si="133"/>
        <v>10</v>
      </c>
      <c r="D2989" s="136">
        <f t="shared" si="132"/>
        <v>42</v>
      </c>
      <c r="E2989" s="136">
        <f t="shared" si="134"/>
        <v>19</v>
      </c>
      <c r="F2989" s="137" t="s">
        <v>24</v>
      </c>
      <c r="G2989" s="128" t="str">
        <f>VLOOKUP(source[[#This Row],[lending_product_transform]],[3]Mapping!$B$4:$C$37,2,0)</f>
        <v>[Cake] - Cashloan</v>
      </c>
      <c r="H2989" s="128" t="str">
        <f>VLOOKUP(source[[#This Row],[lending_product_transform]],[3]Mapping!$B$3:$D$37,3,0)</f>
        <v>cashloan</v>
      </c>
      <c r="I2989" s="143">
        <v>0</v>
      </c>
    </row>
    <row r="2990" spans="1:9" x14ac:dyDescent="0.2">
      <c r="A2990" s="134">
        <v>45584</v>
      </c>
      <c r="B2990" s="135">
        <f>YEAR(source[[#This Row],[report_date]])</f>
        <v>2024</v>
      </c>
      <c r="C2990" s="128">
        <f t="shared" si="133"/>
        <v>10</v>
      </c>
      <c r="D2990" s="136">
        <f t="shared" si="132"/>
        <v>42</v>
      </c>
      <c r="E2990" s="136">
        <f t="shared" si="134"/>
        <v>19</v>
      </c>
      <c r="F2990" s="137" t="s">
        <v>24</v>
      </c>
      <c r="G2990" s="128" t="str">
        <f>VLOOKUP(source[[#This Row],[lending_product_transform]],[3]Mapping!$B$4:$C$37,2,0)</f>
        <v>[Cake] - Cashloan</v>
      </c>
      <c r="H2990" s="128" t="str">
        <f>VLOOKUP(source[[#This Row],[lending_product_transform]],[3]Mapping!$B$3:$D$37,3,0)</f>
        <v>cashloan</v>
      </c>
      <c r="I2990" s="143">
        <v>3178390000</v>
      </c>
    </row>
    <row r="2991" spans="1:9" x14ac:dyDescent="0.2">
      <c r="A2991" s="134">
        <v>45584</v>
      </c>
      <c r="B2991" s="135">
        <f>YEAR(source[[#This Row],[report_date]])</f>
        <v>2024</v>
      </c>
      <c r="C2991" s="128">
        <f t="shared" si="133"/>
        <v>10</v>
      </c>
      <c r="D2991" s="136">
        <f t="shared" si="132"/>
        <v>42</v>
      </c>
      <c r="E2991" s="136">
        <f t="shared" si="134"/>
        <v>19</v>
      </c>
      <c r="F2991" s="137" t="s">
        <v>24</v>
      </c>
      <c r="G2991" s="128" t="str">
        <f>VLOOKUP(source[[#This Row],[lending_product_transform]],[3]Mapping!$B$4:$C$37,2,0)</f>
        <v>[Cake] - Cashloan</v>
      </c>
      <c r="H2991" s="128" t="str">
        <f>VLOOKUP(source[[#This Row],[lending_product_transform]],[3]Mapping!$B$3:$D$37,3,0)</f>
        <v>cashloan</v>
      </c>
      <c r="I2991" s="143">
        <v>333906331</v>
      </c>
    </row>
    <row r="2992" spans="1:9" x14ac:dyDescent="0.2">
      <c r="A2992" s="134">
        <v>45584</v>
      </c>
      <c r="B2992" s="135">
        <f>YEAR(source[[#This Row],[report_date]])</f>
        <v>2024</v>
      </c>
      <c r="C2992" s="128">
        <f t="shared" si="133"/>
        <v>10</v>
      </c>
      <c r="D2992" s="136">
        <f t="shared" si="132"/>
        <v>42</v>
      </c>
      <c r="E2992" s="136">
        <f t="shared" si="134"/>
        <v>19</v>
      </c>
      <c r="F2992" s="137" t="s">
        <v>24</v>
      </c>
      <c r="G2992" s="128" t="str">
        <f>VLOOKUP(source[[#This Row],[lending_product_transform]],[3]Mapping!$B$4:$C$37,2,0)</f>
        <v>[Cake] - Cashloan</v>
      </c>
      <c r="H2992" s="128" t="str">
        <f>VLOOKUP(source[[#This Row],[lending_product_transform]],[3]Mapping!$B$3:$D$37,3,0)</f>
        <v>cashloan</v>
      </c>
      <c r="I2992" s="143">
        <v>12840000</v>
      </c>
    </row>
    <row r="2993" spans="1:9" x14ac:dyDescent="0.2">
      <c r="A2993" s="134">
        <v>45584</v>
      </c>
      <c r="B2993" s="135">
        <f>YEAR(source[[#This Row],[report_date]])</f>
        <v>2024</v>
      </c>
      <c r="C2993" s="128">
        <f t="shared" si="133"/>
        <v>10</v>
      </c>
      <c r="D2993" s="136">
        <f t="shared" si="132"/>
        <v>42</v>
      </c>
      <c r="E2993" s="136">
        <f t="shared" si="134"/>
        <v>19</v>
      </c>
      <c r="F2993" s="137" t="s">
        <v>24</v>
      </c>
      <c r="G2993" s="128" t="str">
        <f>VLOOKUP(source[[#This Row],[lending_product_transform]],[3]Mapping!$B$4:$C$37,2,0)</f>
        <v>[Cake] - Cashloan</v>
      </c>
      <c r="H2993" s="128" t="str">
        <f>VLOOKUP(source[[#This Row],[lending_product_transform]],[3]Mapping!$B$3:$D$37,3,0)</f>
        <v>cashloan</v>
      </c>
      <c r="I2993" s="143">
        <v>15000000</v>
      </c>
    </row>
    <row r="2994" spans="1:9" x14ac:dyDescent="0.2">
      <c r="A2994" s="134">
        <v>45584</v>
      </c>
      <c r="B2994" s="135">
        <f>YEAR(source[[#This Row],[report_date]])</f>
        <v>2024</v>
      </c>
      <c r="C2994" s="128">
        <f t="shared" si="133"/>
        <v>10</v>
      </c>
      <c r="D2994" s="136">
        <f t="shared" si="132"/>
        <v>42</v>
      </c>
      <c r="E2994" s="136">
        <f t="shared" si="134"/>
        <v>19</v>
      </c>
      <c r="F2994" s="137" t="s">
        <v>24</v>
      </c>
      <c r="G2994" s="128" t="str">
        <f>VLOOKUP(source[[#This Row],[lending_product_transform]],[3]Mapping!$B$4:$C$37,2,0)</f>
        <v>[Cake] - Cashloan</v>
      </c>
      <c r="H2994" s="128" t="str">
        <f>VLOOKUP(source[[#This Row],[lending_product_transform]],[3]Mapping!$B$3:$D$37,3,0)</f>
        <v>cashloan</v>
      </c>
      <c r="I2994" s="143">
        <v>0</v>
      </c>
    </row>
    <row r="2995" spans="1:9" x14ac:dyDescent="0.2">
      <c r="A2995" s="134">
        <v>45584</v>
      </c>
      <c r="B2995" s="135">
        <f>YEAR(source[[#This Row],[report_date]])</f>
        <v>2024</v>
      </c>
      <c r="C2995" s="128">
        <f t="shared" si="133"/>
        <v>10</v>
      </c>
      <c r="D2995" s="136">
        <f t="shared" si="132"/>
        <v>42</v>
      </c>
      <c r="E2995" s="136">
        <f t="shared" si="134"/>
        <v>19</v>
      </c>
      <c r="F2995" s="137" t="s">
        <v>24</v>
      </c>
      <c r="G2995" s="128" t="str">
        <f>VLOOKUP(source[[#This Row],[lending_product_transform]],[3]Mapping!$B$4:$C$37,2,0)</f>
        <v>[Cake] - Cashloan</v>
      </c>
      <c r="H2995" s="128" t="str">
        <f>VLOOKUP(source[[#This Row],[lending_product_transform]],[3]Mapping!$B$3:$D$37,3,0)</f>
        <v>cashloan</v>
      </c>
      <c r="I2995" s="143">
        <v>103950000</v>
      </c>
    </row>
    <row r="2996" spans="1:9" x14ac:dyDescent="0.2">
      <c r="A2996" s="134">
        <v>45584</v>
      </c>
      <c r="B2996" s="135">
        <f>YEAR(source[[#This Row],[report_date]])</f>
        <v>2024</v>
      </c>
      <c r="C2996" s="128">
        <f t="shared" si="133"/>
        <v>10</v>
      </c>
      <c r="D2996" s="136">
        <f t="shared" si="132"/>
        <v>42</v>
      </c>
      <c r="E2996" s="136">
        <f t="shared" si="134"/>
        <v>19</v>
      </c>
      <c r="F2996" s="137" t="s">
        <v>24</v>
      </c>
      <c r="G2996" s="128" t="str">
        <f>VLOOKUP(source[[#This Row],[lending_product_transform]],[3]Mapping!$B$4:$C$37,2,0)</f>
        <v>[Cake] - Cashloan</v>
      </c>
      <c r="H2996" s="128" t="str">
        <f>VLOOKUP(source[[#This Row],[lending_product_transform]],[3]Mapping!$B$3:$D$37,3,0)</f>
        <v>cashloan</v>
      </c>
      <c r="I2996" s="143">
        <v>4646000000</v>
      </c>
    </row>
    <row r="2997" spans="1:9" x14ac:dyDescent="0.2">
      <c r="A2997" s="134">
        <v>45584</v>
      </c>
      <c r="B2997" s="135">
        <f>YEAR(source[[#This Row],[report_date]])</f>
        <v>2024</v>
      </c>
      <c r="C2997" s="128">
        <f t="shared" si="133"/>
        <v>10</v>
      </c>
      <c r="D2997" s="136">
        <f t="shared" si="132"/>
        <v>42</v>
      </c>
      <c r="E2997" s="136">
        <f t="shared" si="134"/>
        <v>19</v>
      </c>
      <c r="F2997" s="137" t="s">
        <v>24</v>
      </c>
      <c r="G2997" s="128" t="str">
        <f>VLOOKUP(source[[#This Row],[lending_product_transform]],[3]Mapping!$B$4:$C$37,2,0)</f>
        <v>[Cake] - Cashloan</v>
      </c>
      <c r="H2997" s="128" t="str">
        <f>VLOOKUP(source[[#This Row],[lending_product_transform]],[3]Mapping!$B$3:$D$37,3,0)</f>
        <v>cashloan</v>
      </c>
      <c r="I2997" s="143">
        <v>8499280000</v>
      </c>
    </row>
    <row r="2998" spans="1:9" x14ac:dyDescent="0.2">
      <c r="A2998" s="134">
        <v>45584</v>
      </c>
      <c r="B2998" s="135">
        <f>YEAR(source[[#This Row],[report_date]])</f>
        <v>2024</v>
      </c>
      <c r="C2998" s="128">
        <f t="shared" si="133"/>
        <v>10</v>
      </c>
      <c r="D2998" s="136">
        <f t="shared" si="132"/>
        <v>42</v>
      </c>
      <c r="E2998" s="136">
        <f t="shared" si="134"/>
        <v>19</v>
      </c>
      <c r="F2998" s="137" t="s">
        <v>24</v>
      </c>
      <c r="G2998" s="128" t="str">
        <f>VLOOKUP(source[[#This Row],[lending_product_transform]],[3]Mapping!$B$4:$C$37,2,0)</f>
        <v>[Cake] - Cashloan</v>
      </c>
      <c r="H2998" s="128" t="str">
        <f>VLOOKUP(source[[#This Row],[lending_product_transform]],[3]Mapping!$B$3:$D$37,3,0)</f>
        <v>cashloan</v>
      </c>
      <c r="I2998" s="143">
        <v>2846412817</v>
      </c>
    </row>
    <row r="2999" spans="1:9" x14ac:dyDescent="0.2">
      <c r="A2999" s="134">
        <v>45584</v>
      </c>
      <c r="B2999" s="135">
        <f>YEAR(source[[#This Row],[report_date]])</f>
        <v>2024</v>
      </c>
      <c r="C2999" s="128">
        <f t="shared" si="133"/>
        <v>10</v>
      </c>
      <c r="D2999" s="136">
        <f t="shared" si="132"/>
        <v>42</v>
      </c>
      <c r="E2999" s="136">
        <f t="shared" si="134"/>
        <v>19</v>
      </c>
      <c r="F2999" s="137" t="s">
        <v>24</v>
      </c>
      <c r="G2999" s="128" t="str">
        <f>VLOOKUP(source[[#This Row],[lending_product_transform]],[3]Mapping!$B$4:$C$37,2,0)</f>
        <v>[Cake] - Cashloan</v>
      </c>
      <c r="H2999" s="128" t="str">
        <f>VLOOKUP(source[[#This Row],[lending_product_transform]],[3]Mapping!$B$3:$D$37,3,0)</f>
        <v>cashloan</v>
      </c>
      <c r="I2999" s="143">
        <v>6420000</v>
      </c>
    </row>
    <row r="3000" spans="1:9" x14ac:dyDescent="0.2">
      <c r="A3000" s="134">
        <v>45585</v>
      </c>
      <c r="B3000" s="135">
        <f>YEAR(source[[#This Row],[report_date]])</f>
        <v>2024</v>
      </c>
      <c r="C3000" s="128">
        <f t="shared" si="133"/>
        <v>10</v>
      </c>
      <c r="D3000" s="136">
        <f t="shared" si="132"/>
        <v>42</v>
      </c>
      <c r="E3000" s="136">
        <f t="shared" si="134"/>
        <v>20</v>
      </c>
      <c r="F3000" s="137" t="s">
        <v>24</v>
      </c>
      <c r="G3000" s="128" t="str">
        <f>VLOOKUP(source[[#This Row],[lending_product_transform]],[3]Mapping!$B$4:$C$37,2,0)</f>
        <v>[Cake] - Cashloan</v>
      </c>
      <c r="H3000" s="128" t="str">
        <f>VLOOKUP(source[[#This Row],[lending_product_transform]],[3]Mapping!$B$3:$D$37,3,0)</f>
        <v>cashloan</v>
      </c>
      <c r="I3000" s="143">
        <v>0</v>
      </c>
    </row>
    <row r="3001" spans="1:9" x14ac:dyDescent="0.2">
      <c r="A3001" s="134">
        <v>45585</v>
      </c>
      <c r="B3001" s="135">
        <f>YEAR(source[[#This Row],[report_date]])</f>
        <v>2024</v>
      </c>
      <c r="C3001" s="128">
        <f t="shared" si="133"/>
        <v>10</v>
      </c>
      <c r="D3001" s="136">
        <f t="shared" si="132"/>
        <v>42</v>
      </c>
      <c r="E3001" s="136">
        <f t="shared" si="134"/>
        <v>20</v>
      </c>
      <c r="F3001" s="137" t="s">
        <v>24</v>
      </c>
      <c r="G3001" s="128" t="str">
        <f>VLOOKUP(source[[#This Row],[lending_product_transform]],[3]Mapping!$B$4:$C$37,2,0)</f>
        <v>[Cake] - Cashloan</v>
      </c>
      <c r="H3001" s="128" t="str">
        <f>VLOOKUP(source[[#This Row],[lending_product_transform]],[3]Mapping!$B$3:$D$37,3,0)</f>
        <v>cashloan</v>
      </c>
      <c r="I3001" s="143">
        <v>0</v>
      </c>
    </row>
    <row r="3002" spans="1:9" x14ac:dyDescent="0.2">
      <c r="A3002" s="134">
        <v>45585</v>
      </c>
      <c r="B3002" s="135">
        <f>YEAR(source[[#This Row],[report_date]])</f>
        <v>2024</v>
      </c>
      <c r="C3002" s="128">
        <f t="shared" si="133"/>
        <v>10</v>
      </c>
      <c r="D3002" s="136">
        <f t="shared" si="132"/>
        <v>42</v>
      </c>
      <c r="E3002" s="136">
        <f t="shared" si="134"/>
        <v>20</v>
      </c>
      <c r="F3002" s="137" t="s">
        <v>24</v>
      </c>
      <c r="G3002" s="128" t="str">
        <f>VLOOKUP(source[[#This Row],[lending_product_transform]],[3]Mapping!$B$4:$C$37,2,0)</f>
        <v>[Cake] - Cashloan</v>
      </c>
      <c r="H3002" s="128" t="str">
        <f>VLOOKUP(source[[#This Row],[lending_product_transform]],[3]Mapping!$B$3:$D$37,3,0)</f>
        <v>cashloan</v>
      </c>
      <c r="I3002" s="143">
        <v>2936509666</v>
      </c>
    </row>
    <row r="3003" spans="1:9" x14ac:dyDescent="0.2">
      <c r="A3003" s="134">
        <v>45585</v>
      </c>
      <c r="B3003" s="135">
        <f>YEAR(source[[#This Row],[report_date]])</f>
        <v>2024</v>
      </c>
      <c r="C3003" s="128">
        <f t="shared" si="133"/>
        <v>10</v>
      </c>
      <c r="D3003" s="136">
        <f t="shared" si="132"/>
        <v>42</v>
      </c>
      <c r="E3003" s="136">
        <f t="shared" si="134"/>
        <v>20</v>
      </c>
      <c r="F3003" s="137" t="s">
        <v>24</v>
      </c>
      <c r="G3003" s="128" t="str">
        <f>VLOOKUP(source[[#This Row],[lending_product_transform]],[3]Mapping!$B$4:$C$37,2,0)</f>
        <v>[Cake] - Cashloan</v>
      </c>
      <c r="H3003" s="128" t="str">
        <f>VLOOKUP(source[[#This Row],[lending_product_transform]],[3]Mapping!$B$3:$D$37,3,0)</f>
        <v>cashloan</v>
      </c>
      <c r="I3003" s="143">
        <v>31500000</v>
      </c>
    </row>
    <row r="3004" spans="1:9" x14ac:dyDescent="0.2">
      <c r="A3004" s="134">
        <v>45585</v>
      </c>
      <c r="B3004" s="135">
        <f>YEAR(source[[#This Row],[report_date]])</f>
        <v>2024</v>
      </c>
      <c r="C3004" s="128">
        <f t="shared" si="133"/>
        <v>10</v>
      </c>
      <c r="D3004" s="136">
        <f t="shared" si="132"/>
        <v>42</v>
      </c>
      <c r="E3004" s="136">
        <f t="shared" si="134"/>
        <v>20</v>
      </c>
      <c r="F3004" s="137" t="s">
        <v>24</v>
      </c>
      <c r="G3004" s="128" t="str">
        <f>VLOOKUP(source[[#This Row],[lending_product_transform]],[3]Mapping!$B$4:$C$37,2,0)</f>
        <v>[Cake] - Cashloan</v>
      </c>
      <c r="H3004" s="128" t="str">
        <f>VLOOKUP(source[[#This Row],[lending_product_transform]],[3]Mapping!$B$3:$D$37,3,0)</f>
        <v>cashloan</v>
      </c>
      <c r="I3004" s="143">
        <v>60493446</v>
      </c>
    </row>
    <row r="3005" spans="1:9" x14ac:dyDescent="0.2">
      <c r="A3005" s="134">
        <v>45585</v>
      </c>
      <c r="B3005" s="135">
        <f>YEAR(source[[#This Row],[report_date]])</f>
        <v>2024</v>
      </c>
      <c r="C3005" s="128">
        <f t="shared" si="133"/>
        <v>10</v>
      </c>
      <c r="D3005" s="136">
        <f t="shared" si="132"/>
        <v>42</v>
      </c>
      <c r="E3005" s="136">
        <f t="shared" si="134"/>
        <v>20</v>
      </c>
      <c r="F3005" s="137" t="s">
        <v>24</v>
      </c>
      <c r="G3005" s="128" t="str">
        <f>VLOOKUP(source[[#This Row],[lending_product_transform]],[3]Mapping!$B$4:$C$37,2,0)</f>
        <v>[Cake] - Cashloan</v>
      </c>
      <c r="H3005" s="128" t="str">
        <f>VLOOKUP(source[[#This Row],[lending_product_transform]],[3]Mapping!$B$3:$D$37,3,0)</f>
        <v>cashloan</v>
      </c>
      <c r="I3005" s="143">
        <v>6420000</v>
      </c>
    </row>
    <row r="3006" spans="1:9" x14ac:dyDescent="0.2">
      <c r="A3006" s="134">
        <v>45585</v>
      </c>
      <c r="B3006" s="135">
        <f>YEAR(source[[#This Row],[report_date]])</f>
        <v>2024</v>
      </c>
      <c r="C3006" s="128">
        <f t="shared" si="133"/>
        <v>10</v>
      </c>
      <c r="D3006" s="136">
        <f t="shared" si="132"/>
        <v>42</v>
      </c>
      <c r="E3006" s="136">
        <f t="shared" si="134"/>
        <v>20</v>
      </c>
      <c r="F3006" s="137" t="s">
        <v>24</v>
      </c>
      <c r="G3006" s="128" t="str">
        <f>VLOOKUP(source[[#This Row],[lending_product_transform]],[3]Mapping!$B$4:$C$37,2,0)</f>
        <v>[Cake] - Cashloan</v>
      </c>
      <c r="H3006" s="128" t="str">
        <f>VLOOKUP(source[[#This Row],[lending_product_transform]],[3]Mapping!$B$3:$D$37,3,0)</f>
        <v>cashloan</v>
      </c>
      <c r="I3006" s="143">
        <v>35000000</v>
      </c>
    </row>
    <row r="3007" spans="1:9" x14ac:dyDescent="0.2">
      <c r="A3007" s="134">
        <v>45585</v>
      </c>
      <c r="B3007" s="135">
        <f>YEAR(source[[#This Row],[report_date]])</f>
        <v>2024</v>
      </c>
      <c r="C3007" s="128">
        <f t="shared" si="133"/>
        <v>10</v>
      </c>
      <c r="D3007" s="136">
        <f t="shared" si="132"/>
        <v>42</v>
      </c>
      <c r="E3007" s="136">
        <f t="shared" si="134"/>
        <v>20</v>
      </c>
      <c r="F3007" s="137" t="s">
        <v>24</v>
      </c>
      <c r="G3007" s="128" t="str">
        <f>VLOOKUP(source[[#This Row],[lending_product_transform]],[3]Mapping!$B$4:$C$37,2,0)</f>
        <v>[Cake] - Cashloan</v>
      </c>
      <c r="H3007" s="128" t="str">
        <f>VLOOKUP(source[[#This Row],[lending_product_transform]],[3]Mapping!$B$3:$D$37,3,0)</f>
        <v>cashloan</v>
      </c>
      <c r="I3007" s="143">
        <v>0</v>
      </c>
    </row>
    <row r="3008" spans="1:9" x14ac:dyDescent="0.2">
      <c r="A3008" s="134">
        <v>45585</v>
      </c>
      <c r="B3008" s="135">
        <f>YEAR(source[[#This Row],[report_date]])</f>
        <v>2024</v>
      </c>
      <c r="C3008" s="128">
        <f t="shared" si="133"/>
        <v>10</v>
      </c>
      <c r="D3008" s="136">
        <f t="shared" si="132"/>
        <v>42</v>
      </c>
      <c r="E3008" s="136">
        <f t="shared" si="134"/>
        <v>20</v>
      </c>
      <c r="F3008" s="137" t="s">
        <v>24</v>
      </c>
      <c r="G3008" s="128" t="str">
        <f>VLOOKUP(source[[#This Row],[lending_product_transform]],[3]Mapping!$B$4:$C$37,2,0)</f>
        <v>[Cake] - Cashloan</v>
      </c>
      <c r="H3008" s="128" t="str">
        <f>VLOOKUP(source[[#This Row],[lending_product_transform]],[3]Mapping!$B$3:$D$37,3,0)</f>
        <v>cashloan</v>
      </c>
      <c r="I3008" s="143">
        <v>37680000</v>
      </c>
    </row>
    <row r="3009" spans="1:9" x14ac:dyDescent="0.2">
      <c r="A3009" s="134">
        <v>45585</v>
      </c>
      <c r="B3009" s="135">
        <f>YEAR(source[[#This Row],[report_date]])</f>
        <v>2024</v>
      </c>
      <c r="C3009" s="128">
        <f t="shared" si="133"/>
        <v>10</v>
      </c>
      <c r="D3009" s="136">
        <f t="shared" si="132"/>
        <v>42</v>
      </c>
      <c r="E3009" s="136">
        <f t="shared" si="134"/>
        <v>20</v>
      </c>
      <c r="F3009" s="137" t="s">
        <v>24</v>
      </c>
      <c r="G3009" s="128" t="str">
        <f>VLOOKUP(source[[#This Row],[lending_product_transform]],[3]Mapping!$B$4:$C$37,2,0)</f>
        <v>[Cake] - Cashloan</v>
      </c>
      <c r="H3009" s="128" t="str">
        <f>VLOOKUP(source[[#This Row],[lending_product_transform]],[3]Mapping!$B$3:$D$37,3,0)</f>
        <v>cashloan</v>
      </c>
      <c r="I3009" s="143">
        <v>48520000</v>
      </c>
    </row>
    <row r="3010" spans="1:9" x14ac:dyDescent="0.2">
      <c r="A3010" s="134">
        <v>45585</v>
      </c>
      <c r="B3010" s="135">
        <f>YEAR(source[[#This Row],[report_date]])</f>
        <v>2024</v>
      </c>
      <c r="C3010" s="128">
        <f t="shared" si="133"/>
        <v>10</v>
      </c>
      <c r="D3010" s="136">
        <f t="shared" si="132"/>
        <v>42</v>
      </c>
      <c r="E3010" s="136">
        <f t="shared" si="134"/>
        <v>20</v>
      </c>
      <c r="F3010" s="137" t="s">
        <v>24</v>
      </c>
      <c r="G3010" s="128" t="str">
        <f>VLOOKUP(source[[#This Row],[lending_product_transform]],[3]Mapping!$B$4:$C$37,2,0)</f>
        <v>[Cake] - Cashloan</v>
      </c>
      <c r="H3010" s="128" t="str">
        <f>VLOOKUP(source[[#This Row],[lending_product_transform]],[3]Mapping!$B$3:$D$37,3,0)</f>
        <v>cashloan</v>
      </c>
      <c r="I3010" s="143">
        <v>3064790000</v>
      </c>
    </row>
    <row r="3011" spans="1:9" x14ac:dyDescent="0.2">
      <c r="A3011" s="134">
        <v>45585</v>
      </c>
      <c r="B3011" s="135">
        <f>YEAR(source[[#This Row],[report_date]])</f>
        <v>2024</v>
      </c>
      <c r="C3011" s="128">
        <f t="shared" si="133"/>
        <v>10</v>
      </c>
      <c r="D3011" s="136">
        <f t="shared" ref="D3011:D3074" si="135">WEEKNUM(A3011,2)</f>
        <v>42</v>
      </c>
      <c r="E3011" s="136">
        <f t="shared" si="134"/>
        <v>20</v>
      </c>
      <c r="F3011" s="137" t="s">
        <v>24</v>
      </c>
      <c r="G3011" s="128" t="str">
        <f>VLOOKUP(source[[#This Row],[lending_product_transform]],[3]Mapping!$B$4:$C$37,2,0)</f>
        <v>[Cake] - Cashloan</v>
      </c>
      <c r="H3011" s="128" t="str">
        <f>VLOOKUP(source[[#This Row],[lending_product_transform]],[3]Mapping!$B$3:$D$37,3,0)</f>
        <v>cashloan</v>
      </c>
      <c r="I3011" s="143">
        <v>276830642</v>
      </c>
    </row>
    <row r="3012" spans="1:9" x14ac:dyDescent="0.2">
      <c r="A3012" s="134">
        <v>45585</v>
      </c>
      <c r="B3012" s="135">
        <f>YEAR(source[[#This Row],[report_date]])</f>
        <v>2024</v>
      </c>
      <c r="C3012" s="128">
        <f t="shared" si="133"/>
        <v>10</v>
      </c>
      <c r="D3012" s="136">
        <f t="shared" si="135"/>
        <v>42</v>
      </c>
      <c r="E3012" s="136">
        <f t="shared" si="134"/>
        <v>20</v>
      </c>
      <c r="F3012" s="137" t="s">
        <v>24</v>
      </c>
      <c r="G3012" s="128" t="str">
        <f>VLOOKUP(source[[#This Row],[lending_product_transform]],[3]Mapping!$B$4:$C$37,2,0)</f>
        <v>[Cake] - Cashloan</v>
      </c>
      <c r="H3012" s="128" t="str">
        <f>VLOOKUP(source[[#This Row],[lending_product_transform]],[3]Mapping!$B$3:$D$37,3,0)</f>
        <v>cashloan</v>
      </c>
      <c r="I3012" s="143">
        <v>7318570000</v>
      </c>
    </row>
    <row r="3013" spans="1:9" x14ac:dyDescent="0.2">
      <c r="A3013" s="134">
        <v>45585</v>
      </c>
      <c r="B3013" s="135">
        <f>YEAR(source[[#This Row],[report_date]])</f>
        <v>2024</v>
      </c>
      <c r="C3013" s="128">
        <f t="shared" si="133"/>
        <v>10</v>
      </c>
      <c r="D3013" s="136">
        <f t="shared" si="135"/>
        <v>42</v>
      </c>
      <c r="E3013" s="136">
        <f t="shared" si="134"/>
        <v>20</v>
      </c>
      <c r="F3013" s="137" t="s">
        <v>24</v>
      </c>
      <c r="G3013" s="128" t="str">
        <f>VLOOKUP(source[[#This Row],[lending_product_transform]],[3]Mapping!$B$4:$C$37,2,0)</f>
        <v>[Cake] - Cashloan</v>
      </c>
      <c r="H3013" s="128" t="str">
        <f>VLOOKUP(source[[#This Row],[lending_product_transform]],[3]Mapping!$B$3:$D$37,3,0)</f>
        <v>cashloan</v>
      </c>
      <c r="I3013" s="143">
        <v>4293500000</v>
      </c>
    </row>
    <row r="3014" spans="1:9" x14ac:dyDescent="0.2">
      <c r="A3014" s="134">
        <v>45586</v>
      </c>
      <c r="B3014" s="135">
        <f>YEAR(source[[#This Row],[report_date]])</f>
        <v>2024</v>
      </c>
      <c r="C3014" s="128">
        <f t="shared" si="133"/>
        <v>10</v>
      </c>
      <c r="D3014" s="136">
        <f t="shared" si="135"/>
        <v>43</v>
      </c>
      <c r="E3014" s="136">
        <f t="shared" si="134"/>
        <v>21</v>
      </c>
      <c r="F3014" s="137" t="s">
        <v>24</v>
      </c>
      <c r="G3014" s="128" t="str">
        <f>VLOOKUP(source[[#This Row],[lending_product_transform]],[3]Mapping!$B$4:$C$37,2,0)</f>
        <v>[Cake] - Cashloan</v>
      </c>
      <c r="H3014" s="128" t="str">
        <f>VLOOKUP(source[[#This Row],[lending_product_transform]],[3]Mapping!$B$3:$D$37,3,0)</f>
        <v>cashloan</v>
      </c>
      <c r="I3014" s="143">
        <v>0</v>
      </c>
    </row>
    <row r="3015" spans="1:9" x14ac:dyDescent="0.2">
      <c r="A3015" s="134">
        <v>45586</v>
      </c>
      <c r="B3015" s="135">
        <f>YEAR(source[[#This Row],[report_date]])</f>
        <v>2024</v>
      </c>
      <c r="C3015" s="128">
        <f t="shared" si="133"/>
        <v>10</v>
      </c>
      <c r="D3015" s="136">
        <f t="shared" si="135"/>
        <v>43</v>
      </c>
      <c r="E3015" s="136">
        <f t="shared" si="134"/>
        <v>21</v>
      </c>
      <c r="F3015" s="137" t="s">
        <v>24</v>
      </c>
      <c r="G3015" s="128" t="str">
        <f>VLOOKUP(source[[#This Row],[lending_product_transform]],[3]Mapping!$B$4:$C$37,2,0)</f>
        <v>[Cake] - Cashloan</v>
      </c>
      <c r="H3015" s="128" t="str">
        <f>VLOOKUP(source[[#This Row],[lending_product_transform]],[3]Mapping!$B$3:$D$37,3,0)</f>
        <v>cashloan</v>
      </c>
      <c r="I3015" s="143">
        <v>8566110000</v>
      </c>
    </row>
    <row r="3016" spans="1:9" x14ac:dyDescent="0.2">
      <c r="A3016" s="134">
        <v>45586</v>
      </c>
      <c r="B3016" s="135">
        <f>YEAR(source[[#This Row],[report_date]])</f>
        <v>2024</v>
      </c>
      <c r="C3016" s="128">
        <f t="shared" si="133"/>
        <v>10</v>
      </c>
      <c r="D3016" s="136">
        <f t="shared" si="135"/>
        <v>43</v>
      </c>
      <c r="E3016" s="136">
        <f t="shared" si="134"/>
        <v>21</v>
      </c>
      <c r="F3016" s="137" t="s">
        <v>24</v>
      </c>
      <c r="G3016" s="128" t="str">
        <f>VLOOKUP(source[[#This Row],[lending_product_transform]],[3]Mapping!$B$4:$C$37,2,0)</f>
        <v>[Cake] - Cashloan</v>
      </c>
      <c r="H3016" s="128" t="str">
        <f>VLOOKUP(source[[#This Row],[lending_product_transform]],[3]Mapping!$B$3:$D$37,3,0)</f>
        <v>cashloan</v>
      </c>
      <c r="I3016" s="143">
        <v>24000000</v>
      </c>
    </row>
    <row r="3017" spans="1:9" x14ac:dyDescent="0.2">
      <c r="A3017" s="134">
        <v>45586</v>
      </c>
      <c r="B3017" s="135">
        <f>YEAR(source[[#This Row],[report_date]])</f>
        <v>2024</v>
      </c>
      <c r="C3017" s="128">
        <f t="shared" si="133"/>
        <v>10</v>
      </c>
      <c r="D3017" s="136">
        <f t="shared" si="135"/>
        <v>43</v>
      </c>
      <c r="E3017" s="136">
        <f t="shared" si="134"/>
        <v>21</v>
      </c>
      <c r="F3017" s="137" t="s">
        <v>24</v>
      </c>
      <c r="G3017" s="128" t="str">
        <f>VLOOKUP(source[[#This Row],[lending_product_transform]],[3]Mapping!$B$4:$C$37,2,0)</f>
        <v>[Cake] - Cashloan</v>
      </c>
      <c r="H3017" s="128" t="str">
        <f>VLOOKUP(source[[#This Row],[lending_product_transform]],[3]Mapping!$B$3:$D$37,3,0)</f>
        <v>cashloan</v>
      </c>
      <c r="I3017" s="143">
        <v>0</v>
      </c>
    </row>
    <row r="3018" spans="1:9" x14ac:dyDescent="0.2">
      <c r="A3018" s="134">
        <v>45586</v>
      </c>
      <c r="B3018" s="135">
        <f>YEAR(source[[#This Row],[report_date]])</f>
        <v>2024</v>
      </c>
      <c r="C3018" s="128">
        <f t="shared" si="133"/>
        <v>10</v>
      </c>
      <c r="D3018" s="136">
        <f t="shared" si="135"/>
        <v>43</v>
      </c>
      <c r="E3018" s="136">
        <f t="shared" si="134"/>
        <v>21</v>
      </c>
      <c r="F3018" s="137" t="s">
        <v>24</v>
      </c>
      <c r="G3018" s="128" t="str">
        <f>VLOOKUP(source[[#This Row],[lending_product_transform]],[3]Mapping!$B$4:$C$37,2,0)</f>
        <v>[Cake] - Cashloan</v>
      </c>
      <c r="H3018" s="128" t="str">
        <f>VLOOKUP(source[[#This Row],[lending_product_transform]],[3]Mapping!$B$3:$D$37,3,0)</f>
        <v>cashloan</v>
      </c>
      <c r="I3018" s="143">
        <v>10700000</v>
      </c>
    </row>
    <row r="3019" spans="1:9" x14ac:dyDescent="0.2">
      <c r="A3019" s="134">
        <v>45586</v>
      </c>
      <c r="B3019" s="135">
        <f>YEAR(source[[#This Row],[report_date]])</f>
        <v>2024</v>
      </c>
      <c r="C3019" s="128">
        <f t="shared" si="133"/>
        <v>10</v>
      </c>
      <c r="D3019" s="136">
        <f t="shared" si="135"/>
        <v>43</v>
      </c>
      <c r="E3019" s="136">
        <f t="shared" si="134"/>
        <v>21</v>
      </c>
      <c r="F3019" s="137" t="s">
        <v>24</v>
      </c>
      <c r="G3019" s="128" t="str">
        <f>VLOOKUP(source[[#This Row],[lending_product_transform]],[3]Mapping!$B$4:$C$37,2,0)</f>
        <v>[Cake] - Cashloan</v>
      </c>
      <c r="H3019" s="128" t="str">
        <f>VLOOKUP(source[[#This Row],[lending_product_transform]],[3]Mapping!$B$3:$D$37,3,0)</f>
        <v>cashloan</v>
      </c>
      <c r="I3019" s="143">
        <v>1607810000</v>
      </c>
    </row>
    <row r="3020" spans="1:9" x14ac:dyDescent="0.2">
      <c r="A3020" s="134">
        <v>45586</v>
      </c>
      <c r="B3020" s="135">
        <f>YEAR(source[[#This Row],[report_date]])</f>
        <v>2024</v>
      </c>
      <c r="C3020" s="128">
        <f t="shared" si="133"/>
        <v>10</v>
      </c>
      <c r="D3020" s="136">
        <f t="shared" si="135"/>
        <v>43</v>
      </c>
      <c r="E3020" s="136">
        <f t="shared" si="134"/>
        <v>21</v>
      </c>
      <c r="F3020" s="137" t="s">
        <v>24</v>
      </c>
      <c r="G3020" s="128" t="str">
        <f>VLOOKUP(source[[#This Row],[lending_product_transform]],[3]Mapping!$B$4:$C$37,2,0)</f>
        <v>[Cake] - Cashloan</v>
      </c>
      <c r="H3020" s="128" t="str">
        <f>VLOOKUP(source[[#This Row],[lending_product_transform]],[3]Mapping!$B$3:$D$37,3,0)</f>
        <v>cashloan</v>
      </c>
      <c r="I3020" s="143">
        <v>0</v>
      </c>
    </row>
    <row r="3021" spans="1:9" x14ac:dyDescent="0.2">
      <c r="A3021" s="134">
        <v>45586</v>
      </c>
      <c r="B3021" s="135">
        <f>YEAR(source[[#This Row],[report_date]])</f>
        <v>2024</v>
      </c>
      <c r="C3021" s="128">
        <f t="shared" si="133"/>
        <v>10</v>
      </c>
      <c r="D3021" s="136">
        <f t="shared" si="135"/>
        <v>43</v>
      </c>
      <c r="E3021" s="136">
        <f t="shared" si="134"/>
        <v>21</v>
      </c>
      <c r="F3021" s="137" t="s">
        <v>24</v>
      </c>
      <c r="G3021" s="128" t="str">
        <f>VLOOKUP(source[[#This Row],[lending_product_transform]],[3]Mapping!$B$4:$C$37,2,0)</f>
        <v>[Cake] - Cashloan</v>
      </c>
      <c r="H3021" s="128" t="str">
        <f>VLOOKUP(source[[#This Row],[lending_product_transform]],[3]Mapping!$B$3:$D$37,3,0)</f>
        <v>cashloan</v>
      </c>
      <c r="I3021" s="143">
        <v>46377289</v>
      </c>
    </row>
    <row r="3022" spans="1:9" x14ac:dyDescent="0.2">
      <c r="A3022" s="134">
        <v>45586</v>
      </c>
      <c r="B3022" s="135">
        <f>YEAR(source[[#This Row],[report_date]])</f>
        <v>2024</v>
      </c>
      <c r="C3022" s="128">
        <f t="shared" si="133"/>
        <v>10</v>
      </c>
      <c r="D3022" s="136">
        <f t="shared" si="135"/>
        <v>43</v>
      </c>
      <c r="E3022" s="136">
        <f t="shared" si="134"/>
        <v>21</v>
      </c>
      <c r="F3022" s="137" t="s">
        <v>24</v>
      </c>
      <c r="G3022" s="128" t="str">
        <f>VLOOKUP(source[[#This Row],[lending_product_transform]],[3]Mapping!$B$4:$C$37,2,0)</f>
        <v>[Cake] - Cashloan</v>
      </c>
      <c r="H3022" s="128" t="str">
        <f>VLOOKUP(source[[#This Row],[lending_product_transform]],[3]Mapping!$B$3:$D$37,3,0)</f>
        <v>cashloan</v>
      </c>
      <c r="I3022" s="143">
        <v>363870763</v>
      </c>
    </row>
    <row r="3023" spans="1:9" x14ac:dyDescent="0.2">
      <c r="A3023" s="134">
        <v>45586</v>
      </c>
      <c r="B3023" s="135">
        <f>YEAR(source[[#This Row],[report_date]])</f>
        <v>2024</v>
      </c>
      <c r="C3023" s="128">
        <f t="shared" si="133"/>
        <v>10</v>
      </c>
      <c r="D3023" s="136">
        <f t="shared" si="135"/>
        <v>43</v>
      </c>
      <c r="E3023" s="136">
        <f t="shared" si="134"/>
        <v>21</v>
      </c>
      <c r="F3023" s="137" t="s">
        <v>24</v>
      </c>
      <c r="G3023" s="128" t="str">
        <f>VLOOKUP(source[[#This Row],[lending_product_transform]],[3]Mapping!$B$4:$C$37,2,0)</f>
        <v>[Cake] - Cashloan</v>
      </c>
      <c r="H3023" s="128" t="str">
        <f>VLOOKUP(source[[#This Row],[lending_product_transform]],[3]Mapping!$B$3:$D$37,3,0)</f>
        <v>cashloan</v>
      </c>
      <c r="I3023" s="143">
        <v>3545992383</v>
      </c>
    </row>
    <row r="3024" spans="1:9" x14ac:dyDescent="0.2">
      <c r="A3024" s="134">
        <v>45586</v>
      </c>
      <c r="B3024" s="135">
        <f>YEAR(source[[#This Row],[report_date]])</f>
        <v>2024</v>
      </c>
      <c r="C3024" s="128">
        <f t="shared" si="133"/>
        <v>10</v>
      </c>
      <c r="D3024" s="136">
        <f t="shared" si="135"/>
        <v>43</v>
      </c>
      <c r="E3024" s="136">
        <f t="shared" si="134"/>
        <v>21</v>
      </c>
      <c r="F3024" s="137" t="s">
        <v>24</v>
      </c>
      <c r="G3024" s="128" t="str">
        <f>VLOOKUP(source[[#This Row],[lending_product_transform]],[3]Mapping!$B$4:$C$37,2,0)</f>
        <v>[Cake] - Cashloan</v>
      </c>
      <c r="H3024" s="128" t="str">
        <f>VLOOKUP(source[[#This Row],[lending_product_transform]],[3]Mapping!$B$3:$D$37,3,0)</f>
        <v>cashloan</v>
      </c>
      <c r="I3024" s="143">
        <v>45150000</v>
      </c>
    </row>
    <row r="3025" spans="1:9" x14ac:dyDescent="0.2">
      <c r="A3025" s="134">
        <v>45586</v>
      </c>
      <c r="B3025" s="135">
        <f>YEAR(source[[#This Row],[report_date]])</f>
        <v>2024</v>
      </c>
      <c r="C3025" s="128">
        <f t="shared" si="133"/>
        <v>10</v>
      </c>
      <c r="D3025" s="136">
        <f t="shared" si="135"/>
        <v>43</v>
      </c>
      <c r="E3025" s="136">
        <f t="shared" si="134"/>
        <v>21</v>
      </c>
      <c r="F3025" s="137" t="s">
        <v>24</v>
      </c>
      <c r="G3025" s="128" t="str">
        <f>VLOOKUP(source[[#This Row],[lending_product_transform]],[3]Mapping!$B$4:$C$37,2,0)</f>
        <v>[Cake] - Cashloan</v>
      </c>
      <c r="H3025" s="128" t="str">
        <f>VLOOKUP(source[[#This Row],[lending_product_transform]],[3]Mapping!$B$3:$D$37,3,0)</f>
        <v>cashloan</v>
      </c>
      <c r="I3025" s="143">
        <v>30450000</v>
      </c>
    </row>
    <row r="3026" spans="1:9" x14ac:dyDescent="0.2">
      <c r="A3026" s="134">
        <v>45586</v>
      </c>
      <c r="B3026" s="135">
        <f>YEAR(source[[#This Row],[report_date]])</f>
        <v>2024</v>
      </c>
      <c r="C3026" s="128">
        <f t="shared" si="133"/>
        <v>10</v>
      </c>
      <c r="D3026" s="136">
        <f t="shared" si="135"/>
        <v>43</v>
      </c>
      <c r="E3026" s="136">
        <f t="shared" si="134"/>
        <v>21</v>
      </c>
      <c r="F3026" s="137" t="s">
        <v>24</v>
      </c>
      <c r="G3026" s="128" t="str">
        <f>VLOOKUP(source[[#This Row],[lending_product_transform]],[3]Mapping!$B$4:$C$37,2,0)</f>
        <v>[Cake] - Cashloan</v>
      </c>
      <c r="H3026" s="128" t="str">
        <f>VLOOKUP(source[[#This Row],[lending_product_transform]],[3]Mapping!$B$3:$D$37,3,0)</f>
        <v>cashloan</v>
      </c>
      <c r="I3026" s="143">
        <v>4081000000</v>
      </c>
    </row>
    <row r="3027" spans="1:9" x14ac:dyDescent="0.2">
      <c r="A3027" s="134">
        <v>45586</v>
      </c>
      <c r="B3027" s="135">
        <f>YEAR(source[[#This Row],[report_date]])</f>
        <v>2024</v>
      </c>
      <c r="C3027" s="128">
        <f t="shared" si="133"/>
        <v>10</v>
      </c>
      <c r="D3027" s="136">
        <f t="shared" si="135"/>
        <v>43</v>
      </c>
      <c r="E3027" s="136">
        <f t="shared" si="134"/>
        <v>21</v>
      </c>
      <c r="F3027" s="137" t="s">
        <v>24</v>
      </c>
      <c r="G3027" s="128" t="str">
        <f>VLOOKUP(source[[#This Row],[lending_product_transform]],[3]Mapping!$B$4:$C$37,2,0)</f>
        <v>[Cake] - Cashloan</v>
      </c>
      <c r="H3027" s="128" t="str">
        <f>VLOOKUP(source[[#This Row],[lending_product_transform]],[3]Mapping!$B$3:$D$37,3,0)</f>
        <v>cashloan</v>
      </c>
      <c r="I3027" s="143">
        <v>72760000</v>
      </c>
    </row>
    <row r="3028" spans="1:9" x14ac:dyDescent="0.2">
      <c r="A3028" s="134">
        <v>45587</v>
      </c>
      <c r="B3028" s="135">
        <f>YEAR(source[[#This Row],[report_date]])</f>
        <v>2024</v>
      </c>
      <c r="C3028" s="128">
        <f t="shared" si="133"/>
        <v>10</v>
      </c>
      <c r="D3028" s="136">
        <f t="shared" si="135"/>
        <v>43</v>
      </c>
      <c r="E3028" s="136">
        <f t="shared" si="134"/>
        <v>22</v>
      </c>
      <c r="F3028" s="137" t="s">
        <v>24</v>
      </c>
      <c r="G3028" s="128" t="str">
        <f>VLOOKUP(source[[#This Row],[lending_product_transform]],[3]Mapping!$B$4:$C$37,2,0)</f>
        <v>[Cake] - Cashloan</v>
      </c>
      <c r="H3028" s="128" t="str">
        <f>VLOOKUP(source[[#This Row],[lending_product_transform]],[3]Mapping!$B$3:$D$37,3,0)</f>
        <v>cashloan</v>
      </c>
      <c r="I3028" s="143">
        <v>307454014</v>
      </c>
    </row>
    <row r="3029" spans="1:9" x14ac:dyDescent="0.2">
      <c r="A3029" s="134">
        <v>45587</v>
      </c>
      <c r="B3029" s="135">
        <f>YEAR(source[[#This Row],[report_date]])</f>
        <v>2024</v>
      </c>
      <c r="C3029" s="128">
        <f t="shared" si="133"/>
        <v>10</v>
      </c>
      <c r="D3029" s="136">
        <f t="shared" si="135"/>
        <v>43</v>
      </c>
      <c r="E3029" s="136">
        <f t="shared" si="134"/>
        <v>22</v>
      </c>
      <c r="F3029" s="137" t="s">
        <v>24</v>
      </c>
      <c r="G3029" s="128" t="str">
        <f>VLOOKUP(source[[#This Row],[lending_product_transform]],[3]Mapping!$B$4:$C$37,2,0)</f>
        <v>[Cake] - Cashloan</v>
      </c>
      <c r="H3029" s="128" t="str">
        <f>VLOOKUP(source[[#This Row],[lending_product_transform]],[3]Mapping!$B$3:$D$37,3,0)</f>
        <v>cashloan</v>
      </c>
      <c r="I3029" s="143">
        <v>38812912</v>
      </c>
    </row>
    <row r="3030" spans="1:9" x14ac:dyDescent="0.2">
      <c r="A3030" s="134">
        <v>45587</v>
      </c>
      <c r="B3030" s="135">
        <f>YEAR(source[[#This Row],[report_date]])</f>
        <v>2024</v>
      </c>
      <c r="C3030" s="128">
        <f t="shared" si="133"/>
        <v>10</v>
      </c>
      <c r="D3030" s="136">
        <f t="shared" si="135"/>
        <v>43</v>
      </c>
      <c r="E3030" s="136">
        <f t="shared" si="134"/>
        <v>22</v>
      </c>
      <c r="F3030" s="137" t="s">
        <v>24</v>
      </c>
      <c r="G3030" s="128" t="str">
        <f>VLOOKUP(source[[#This Row],[lending_product_transform]],[3]Mapping!$B$4:$C$37,2,0)</f>
        <v>[Cake] - Cashloan</v>
      </c>
      <c r="H3030" s="128" t="str">
        <f>VLOOKUP(source[[#This Row],[lending_product_transform]],[3]Mapping!$B$3:$D$37,3,0)</f>
        <v>cashloan</v>
      </c>
      <c r="I3030" s="143">
        <v>3140135365</v>
      </c>
    </row>
    <row r="3031" spans="1:9" x14ac:dyDescent="0.2">
      <c r="A3031" s="134">
        <v>45587</v>
      </c>
      <c r="B3031" s="135">
        <f>YEAR(source[[#This Row],[report_date]])</f>
        <v>2024</v>
      </c>
      <c r="C3031" s="128">
        <f t="shared" si="133"/>
        <v>10</v>
      </c>
      <c r="D3031" s="136">
        <f t="shared" si="135"/>
        <v>43</v>
      </c>
      <c r="E3031" s="136">
        <f t="shared" si="134"/>
        <v>22</v>
      </c>
      <c r="F3031" s="137" t="s">
        <v>24</v>
      </c>
      <c r="G3031" s="128" t="str">
        <f>VLOOKUP(source[[#This Row],[lending_product_transform]],[3]Mapping!$B$4:$C$37,2,0)</f>
        <v>[Cake] - Cashloan</v>
      </c>
      <c r="H3031" s="128" t="str">
        <f>VLOOKUP(source[[#This Row],[lending_product_transform]],[3]Mapping!$B$3:$D$37,3,0)</f>
        <v>cashloan</v>
      </c>
      <c r="I3031" s="143">
        <v>0</v>
      </c>
    </row>
    <row r="3032" spans="1:9" x14ac:dyDescent="0.2">
      <c r="A3032" s="134">
        <v>45587</v>
      </c>
      <c r="B3032" s="135">
        <f>YEAR(source[[#This Row],[report_date]])</f>
        <v>2024</v>
      </c>
      <c r="C3032" s="128">
        <f t="shared" si="133"/>
        <v>10</v>
      </c>
      <c r="D3032" s="136">
        <f t="shared" si="135"/>
        <v>43</v>
      </c>
      <c r="E3032" s="136">
        <f t="shared" si="134"/>
        <v>22</v>
      </c>
      <c r="F3032" s="137" t="s">
        <v>24</v>
      </c>
      <c r="G3032" s="128" t="str">
        <f>VLOOKUP(source[[#This Row],[lending_product_transform]],[3]Mapping!$B$4:$C$37,2,0)</f>
        <v>[Cake] - Cashloan</v>
      </c>
      <c r="H3032" s="128" t="str">
        <f>VLOOKUP(source[[#This Row],[lending_product_transform]],[3]Mapping!$B$3:$D$37,3,0)</f>
        <v>cashloan</v>
      </c>
      <c r="I3032" s="143">
        <v>0</v>
      </c>
    </row>
    <row r="3033" spans="1:9" x14ac:dyDescent="0.2">
      <c r="A3033" s="134">
        <v>45587</v>
      </c>
      <c r="B3033" s="135">
        <f>YEAR(source[[#This Row],[report_date]])</f>
        <v>2024</v>
      </c>
      <c r="C3033" s="128">
        <f t="shared" si="133"/>
        <v>10</v>
      </c>
      <c r="D3033" s="136">
        <f t="shared" si="135"/>
        <v>43</v>
      </c>
      <c r="E3033" s="136">
        <f t="shared" si="134"/>
        <v>22</v>
      </c>
      <c r="F3033" s="137" t="s">
        <v>24</v>
      </c>
      <c r="G3033" s="128" t="str">
        <f>VLOOKUP(source[[#This Row],[lending_product_transform]],[3]Mapping!$B$4:$C$37,2,0)</f>
        <v>[Cake] - Cashloan</v>
      </c>
      <c r="H3033" s="128" t="str">
        <f>VLOOKUP(source[[#This Row],[lending_product_transform]],[3]Mapping!$B$3:$D$37,3,0)</f>
        <v>cashloan</v>
      </c>
      <c r="I3033" s="143">
        <v>8061310000</v>
      </c>
    </row>
    <row r="3034" spans="1:9" x14ac:dyDescent="0.2">
      <c r="A3034" s="134">
        <v>45587</v>
      </c>
      <c r="B3034" s="135">
        <f>YEAR(source[[#This Row],[report_date]])</f>
        <v>2024</v>
      </c>
      <c r="C3034" s="128">
        <f t="shared" si="133"/>
        <v>10</v>
      </c>
      <c r="D3034" s="136">
        <f t="shared" si="135"/>
        <v>43</v>
      </c>
      <c r="E3034" s="136">
        <f t="shared" si="134"/>
        <v>22</v>
      </c>
      <c r="F3034" s="137" t="s">
        <v>24</v>
      </c>
      <c r="G3034" s="128" t="str">
        <f>VLOOKUP(source[[#This Row],[lending_product_transform]],[3]Mapping!$B$4:$C$37,2,0)</f>
        <v>[Cake] - Cashloan</v>
      </c>
      <c r="H3034" s="128" t="str">
        <f>VLOOKUP(source[[#This Row],[lending_product_transform]],[3]Mapping!$B$3:$D$37,3,0)</f>
        <v>cashloan</v>
      </c>
      <c r="I3034" s="143">
        <v>98440000</v>
      </c>
    </row>
    <row r="3035" spans="1:9" x14ac:dyDescent="0.2">
      <c r="A3035" s="134">
        <v>45587</v>
      </c>
      <c r="B3035" s="135">
        <f>YEAR(source[[#This Row],[report_date]])</f>
        <v>2024</v>
      </c>
      <c r="C3035" s="128">
        <f t="shared" si="133"/>
        <v>10</v>
      </c>
      <c r="D3035" s="136">
        <f t="shared" si="135"/>
        <v>43</v>
      </c>
      <c r="E3035" s="136">
        <f t="shared" si="134"/>
        <v>22</v>
      </c>
      <c r="F3035" s="137" t="s">
        <v>24</v>
      </c>
      <c r="G3035" s="128" t="str">
        <f>VLOOKUP(source[[#This Row],[lending_product_transform]],[3]Mapping!$B$4:$C$37,2,0)</f>
        <v>[Cake] - Cashloan</v>
      </c>
      <c r="H3035" s="128" t="str">
        <f>VLOOKUP(source[[#This Row],[lending_product_transform]],[3]Mapping!$B$3:$D$37,3,0)</f>
        <v>cashloan</v>
      </c>
      <c r="I3035" s="143">
        <v>3998500000</v>
      </c>
    </row>
    <row r="3036" spans="1:9" x14ac:dyDescent="0.2">
      <c r="A3036" s="134">
        <v>45587</v>
      </c>
      <c r="B3036" s="135">
        <f>YEAR(source[[#This Row],[report_date]])</f>
        <v>2024</v>
      </c>
      <c r="C3036" s="128">
        <f t="shared" si="133"/>
        <v>10</v>
      </c>
      <c r="D3036" s="136">
        <f t="shared" si="135"/>
        <v>43</v>
      </c>
      <c r="E3036" s="136">
        <f t="shared" si="134"/>
        <v>22</v>
      </c>
      <c r="F3036" s="137" t="s">
        <v>24</v>
      </c>
      <c r="G3036" s="128" t="str">
        <f>VLOOKUP(source[[#This Row],[lending_product_transform]],[3]Mapping!$B$4:$C$37,2,0)</f>
        <v>[Cake] - Cashloan</v>
      </c>
      <c r="H3036" s="128" t="str">
        <f>VLOOKUP(source[[#This Row],[lending_product_transform]],[3]Mapping!$B$3:$D$37,3,0)</f>
        <v>cashloan</v>
      </c>
      <c r="I3036" s="143">
        <v>59540000</v>
      </c>
    </row>
    <row r="3037" spans="1:9" x14ac:dyDescent="0.2">
      <c r="A3037" s="134">
        <v>45587</v>
      </c>
      <c r="B3037" s="135">
        <f>YEAR(source[[#This Row],[report_date]])</f>
        <v>2024</v>
      </c>
      <c r="C3037" s="128">
        <f t="shared" si="133"/>
        <v>10</v>
      </c>
      <c r="D3037" s="136">
        <f t="shared" si="135"/>
        <v>43</v>
      </c>
      <c r="E3037" s="136">
        <f t="shared" si="134"/>
        <v>22</v>
      </c>
      <c r="F3037" s="137" t="s">
        <v>24</v>
      </c>
      <c r="G3037" s="128" t="str">
        <f>VLOOKUP(source[[#This Row],[lending_product_transform]],[3]Mapping!$B$4:$C$37,2,0)</f>
        <v>[Cake] - Cashloan</v>
      </c>
      <c r="H3037" s="128" t="str">
        <f>VLOOKUP(source[[#This Row],[lending_product_transform]],[3]Mapping!$B$3:$D$37,3,0)</f>
        <v>cashloan</v>
      </c>
      <c r="I3037" s="143">
        <v>49000000</v>
      </c>
    </row>
    <row r="3038" spans="1:9" x14ac:dyDescent="0.2">
      <c r="A3038" s="134">
        <v>45587</v>
      </c>
      <c r="B3038" s="135">
        <f>YEAR(source[[#This Row],[report_date]])</f>
        <v>2024</v>
      </c>
      <c r="C3038" s="128">
        <f t="shared" si="133"/>
        <v>10</v>
      </c>
      <c r="D3038" s="136">
        <f t="shared" si="135"/>
        <v>43</v>
      </c>
      <c r="E3038" s="136">
        <f t="shared" si="134"/>
        <v>22</v>
      </c>
      <c r="F3038" s="137" t="s">
        <v>24</v>
      </c>
      <c r="G3038" s="128" t="str">
        <f>VLOOKUP(source[[#This Row],[lending_product_transform]],[3]Mapping!$B$4:$C$37,2,0)</f>
        <v>[Cake] - Cashloan</v>
      </c>
      <c r="H3038" s="128" t="str">
        <f>VLOOKUP(source[[#This Row],[lending_product_transform]],[3]Mapping!$B$3:$D$37,3,0)</f>
        <v>cashloan</v>
      </c>
      <c r="I3038" s="143">
        <v>0</v>
      </c>
    </row>
    <row r="3039" spans="1:9" x14ac:dyDescent="0.2">
      <c r="A3039" s="134">
        <v>45587</v>
      </c>
      <c r="B3039" s="135">
        <f>YEAR(source[[#This Row],[report_date]])</f>
        <v>2024</v>
      </c>
      <c r="C3039" s="128">
        <f t="shared" si="133"/>
        <v>10</v>
      </c>
      <c r="D3039" s="136">
        <f t="shared" si="135"/>
        <v>43</v>
      </c>
      <c r="E3039" s="136">
        <f t="shared" si="134"/>
        <v>22</v>
      </c>
      <c r="F3039" s="137" t="s">
        <v>24</v>
      </c>
      <c r="G3039" s="128" t="str">
        <f>VLOOKUP(source[[#This Row],[lending_product_transform]],[3]Mapping!$B$4:$C$37,2,0)</f>
        <v>[Cake] - Cashloan</v>
      </c>
      <c r="H3039" s="128" t="str">
        <f>VLOOKUP(source[[#This Row],[lending_product_transform]],[3]Mapping!$B$3:$D$37,3,0)</f>
        <v>cashloan</v>
      </c>
      <c r="I3039" s="143">
        <v>2195140000</v>
      </c>
    </row>
    <row r="3040" spans="1:9" x14ac:dyDescent="0.2">
      <c r="A3040" s="134">
        <v>45587</v>
      </c>
      <c r="B3040" s="135">
        <f>YEAR(source[[#This Row],[report_date]])</f>
        <v>2024</v>
      </c>
      <c r="C3040" s="128">
        <f t="shared" si="133"/>
        <v>10</v>
      </c>
      <c r="D3040" s="136">
        <f t="shared" si="135"/>
        <v>43</v>
      </c>
      <c r="E3040" s="136">
        <f t="shared" si="134"/>
        <v>22</v>
      </c>
      <c r="F3040" s="137" t="s">
        <v>24</v>
      </c>
      <c r="G3040" s="128" t="str">
        <f>VLOOKUP(source[[#This Row],[lending_product_transform]],[3]Mapping!$B$4:$C$37,2,0)</f>
        <v>[Cake] - Cashloan</v>
      </c>
      <c r="H3040" s="128" t="str">
        <f>VLOOKUP(source[[#This Row],[lending_product_transform]],[3]Mapping!$B$3:$D$37,3,0)</f>
        <v>cashloan</v>
      </c>
      <c r="I3040" s="143">
        <v>53550000</v>
      </c>
    </row>
    <row r="3041" spans="1:9" x14ac:dyDescent="0.2">
      <c r="A3041" s="134">
        <v>45587</v>
      </c>
      <c r="B3041" s="135">
        <f>YEAR(source[[#This Row],[report_date]])</f>
        <v>2024</v>
      </c>
      <c r="C3041" s="128">
        <f t="shared" si="133"/>
        <v>10</v>
      </c>
      <c r="D3041" s="136">
        <f t="shared" si="135"/>
        <v>43</v>
      </c>
      <c r="E3041" s="136">
        <f t="shared" si="134"/>
        <v>22</v>
      </c>
      <c r="F3041" s="137" t="s">
        <v>24</v>
      </c>
      <c r="G3041" s="128" t="str">
        <f>VLOOKUP(source[[#This Row],[lending_product_transform]],[3]Mapping!$B$4:$C$37,2,0)</f>
        <v>[Cake] - Cashloan</v>
      </c>
      <c r="H3041" s="128" t="str">
        <f>VLOOKUP(source[[#This Row],[lending_product_transform]],[3]Mapping!$B$3:$D$37,3,0)</f>
        <v>cashloan</v>
      </c>
      <c r="I3041" s="143">
        <v>31500000</v>
      </c>
    </row>
    <row r="3042" spans="1:9" x14ac:dyDescent="0.2">
      <c r="A3042" s="134">
        <v>45588</v>
      </c>
      <c r="B3042" s="135">
        <f>YEAR(source[[#This Row],[report_date]])</f>
        <v>2024</v>
      </c>
      <c r="C3042" s="128">
        <f t="shared" si="133"/>
        <v>10</v>
      </c>
      <c r="D3042" s="136">
        <f t="shared" si="135"/>
        <v>43</v>
      </c>
      <c r="E3042" s="136">
        <f t="shared" si="134"/>
        <v>23</v>
      </c>
      <c r="F3042" s="137" t="s">
        <v>24</v>
      </c>
      <c r="G3042" s="128" t="str">
        <f>VLOOKUP(source[[#This Row],[lending_product_transform]],[3]Mapping!$B$4:$C$37,2,0)</f>
        <v>[Cake] - Cashloan</v>
      </c>
      <c r="H3042" s="128" t="str">
        <f>VLOOKUP(source[[#This Row],[lending_product_transform]],[3]Mapping!$B$3:$D$37,3,0)</f>
        <v>cashloan</v>
      </c>
      <c r="I3042" s="143">
        <v>4135320000</v>
      </c>
    </row>
    <row r="3043" spans="1:9" x14ac:dyDescent="0.2">
      <c r="A3043" s="134">
        <v>45588</v>
      </c>
      <c r="B3043" s="135">
        <f>YEAR(source[[#This Row],[report_date]])</f>
        <v>2024</v>
      </c>
      <c r="C3043" s="128">
        <f t="shared" si="133"/>
        <v>10</v>
      </c>
      <c r="D3043" s="136">
        <f t="shared" si="135"/>
        <v>43</v>
      </c>
      <c r="E3043" s="136">
        <f t="shared" si="134"/>
        <v>23</v>
      </c>
      <c r="F3043" s="137" t="s">
        <v>24</v>
      </c>
      <c r="G3043" s="128" t="str">
        <f>VLOOKUP(source[[#This Row],[lending_product_transform]],[3]Mapping!$B$4:$C$37,2,0)</f>
        <v>[Cake] - Cashloan</v>
      </c>
      <c r="H3043" s="128" t="str">
        <f>VLOOKUP(source[[#This Row],[lending_product_transform]],[3]Mapping!$B$3:$D$37,3,0)</f>
        <v>cashloan</v>
      </c>
      <c r="I3043" s="143">
        <v>27820000</v>
      </c>
    </row>
    <row r="3044" spans="1:9" x14ac:dyDescent="0.2">
      <c r="A3044" s="134">
        <v>45588</v>
      </c>
      <c r="B3044" s="135">
        <f>YEAR(source[[#This Row],[report_date]])</f>
        <v>2024</v>
      </c>
      <c r="C3044" s="128">
        <f t="shared" si="133"/>
        <v>10</v>
      </c>
      <c r="D3044" s="136">
        <f t="shared" si="135"/>
        <v>43</v>
      </c>
      <c r="E3044" s="136">
        <f t="shared" si="134"/>
        <v>23</v>
      </c>
      <c r="F3044" s="137" t="s">
        <v>24</v>
      </c>
      <c r="G3044" s="128" t="str">
        <f>VLOOKUP(source[[#This Row],[lending_product_transform]],[3]Mapping!$B$4:$C$37,2,0)</f>
        <v>[Cake] - Cashloan</v>
      </c>
      <c r="H3044" s="128" t="str">
        <f>VLOOKUP(source[[#This Row],[lending_product_transform]],[3]Mapping!$B$3:$D$37,3,0)</f>
        <v>cashloan</v>
      </c>
      <c r="I3044" s="143">
        <v>8854990000</v>
      </c>
    </row>
    <row r="3045" spans="1:9" x14ac:dyDescent="0.2">
      <c r="A3045" s="134">
        <v>45588</v>
      </c>
      <c r="B3045" s="135">
        <f>YEAR(source[[#This Row],[report_date]])</f>
        <v>2024</v>
      </c>
      <c r="C3045" s="128">
        <f t="shared" ref="C3045:C3108" si="136">MONTH(A3045)</f>
        <v>10</v>
      </c>
      <c r="D3045" s="136">
        <f t="shared" si="135"/>
        <v>43</v>
      </c>
      <c r="E3045" s="136">
        <f t="shared" ref="E3045:E3108" si="137">DAY(A3045)</f>
        <v>23</v>
      </c>
      <c r="F3045" s="137" t="s">
        <v>24</v>
      </c>
      <c r="G3045" s="128" t="str">
        <f>VLOOKUP(source[[#This Row],[lending_product_transform]],[3]Mapping!$B$4:$C$37,2,0)</f>
        <v>[Cake] - Cashloan</v>
      </c>
      <c r="H3045" s="128" t="str">
        <f>VLOOKUP(source[[#This Row],[lending_product_transform]],[3]Mapping!$B$3:$D$37,3,0)</f>
        <v>cashloan</v>
      </c>
      <c r="I3045" s="143">
        <v>156560000</v>
      </c>
    </row>
    <row r="3046" spans="1:9" x14ac:dyDescent="0.2">
      <c r="A3046" s="134">
        <v>45588</v>
      </c>
      <c r="B3046" s="135">
        <f>YEAR(source[[#This Row],[report_date]])</f>
        <v>2024</v>
      </c>
      <c r="C3046" s="128">
        <f t="shared" si="136"/>
        <v>10</v>
      </c>
      <c r="D3046" s="136">
        <f t="shared" si="135"/>
        <v>43</v>
      </c>
      <c r="E3046" s="136">
        <f t="shared" si="137"/>
        <v>23</v>
      </c>
      <c r="F3046" s="137" t="s">
        <v>24</v>
      </c>
      <c r="G3046" s="128" t="str">
        <f>VLOOKUP(source[[#This Row],[lending_product_transform]],[3]Mapping!$B$4:$C$37,2,0)</f>
        <v>[Cake] - Cashloan</v>
      </c>
      <c r="H3046" s="128" t="str">
        <f>VLOOKUP(source[[#This Row],[lending_product_transform]],[3]Mapping!$B$3:$D$37,3,0)</f>
        <v>cashloan</v>
      </c>
      <c r="I3046" s="143">
        <v>10000</v>
      </c>
    </row>
    <row r="3047" spans="1:9" x14ac:dyDescent="0.2">
      <c r="A3047" s="134">
        <v>45588</v>
      </c>
      <c r="B3047" s="135">
        <f>YEAR(source[[#This Row],[report_date]])</f>
        <v>2024</v>
      </c>
      <c r="C3047" s="128">
        <f t="shared" si="136"/>
        <v>10</v>
      </c>
      <c r="D3047" s="136">
        <f t="shared" si="135"/>
        <v>43</v>
      </c>
      <c r="E3047" s="136">
        <f t="shared" si="137"/>
        <v>23</v>
      </c>
      <c r="F3047" s="137" t="s">
        <v>24</v>
      </c>
      <c r="G3047" s="128" t="str">
        <f>VLOOKUP(source[[#This Row],[lending_product_transform]],[3]Mapping!$B$4:$C$37,2,0)</f>
        <v>[Cake] - Cashloan</v>
      </c>
      <c r="H3047" s="128" t="str">
        <f>VLOOKUP(source[[#This Row],[lending_product_transform]],[3]Mapping!$B$3:$D$37,3,0)</f>
        <v>cashloan</v>
      </c>
      <c r="I3047" s="143">
        <v>44037609</v>
      </c>
    </row>
    <row r="3048" spans="1:9" x14ac:dyDescent="0.2">
      <c r="A3048" s="134">
        <v>45588</v>
      </c>
      <c r="B3048" s="135">
        <f>YEAR(source[[#This Row],[report_date]])</f>
        <v>2024</v>
      </c>
      <c r="C3048" s="128">
        <f t="shared" si="136"/>
        <v>10</v>
      </c>
      <c r="D3048" s="136">
        <f t="shared" si="135"/>
        <v>43</v>
      </c>
      <c r="E3048" s="136">
        <f t="shared" si="137"/>
        <v>23</v>
      </c>
      <c r="F3048" s="137" t="s">
        <v>24</v>
      </c>
      <c r="G3048" s="128" t="str">
        <f>VLOOKUP(source[[#This Row],[lending_product_transform]],[3]Mapping!$B$4:$C$37,2,0)</f>
        <v>[Cake] - Cashloan</v>
      </c>
      <c r="H3048" s="128" t="str">
        <f>VLOOKUP(source[[#This Row],[lending_product_transform]],[3]Mapping!$B$3:$D$37,3,0)</f>
        <v>cashloan</v>
      </c>
      <c r="I3048" s="143">
        <v>0</v>
      </c>
    </row>
    <row r="3049" spans="1:9" x14ac:dyDescent="0.2">
      <c r="A3049" s="134">
        <v>45588</v>
      </c>
      <c r="B3049" s="135">
        <f>YEAR(source[[#This Row],[report_date]])</f>
        <v>2024</v>
      </c>
      <c r="C3049" s="128">
        <f t="shared" si="136"/>
        <v>10</v>
      </c>
      <c r="D3049" s="136">
        <f t="shared" si="135"/>
        <v>43</v>
      </c>
      <c r="E3049" s="136">
        <f t="shared" si="137"/>
        <v>23</v>
      </c>
      <c r="F3049" s="137" t="s">
        <v>24</v>
      </c>
      <c r="G3049" s="128" t="str">
        <f>VLOOKUP(source[[#This Row],[lending_product_transform]],[3]Mapping!$B$4:$C$37,2,0)</f>
        <v>[Cake] - Cashloan</v>
      </c>
      <c r="H3049" s="128" t="str">
        <f>VLOOKUP(source[[#This Row],[lending_product_transform]],[3]Mapping!$B$3:$D$37,3,0)</f>
        <v>cashloan</v>
      </c>
      <c r="I3049" s="143">
        <v>96290000</v>
      </c>
    </row>
    <row r="3050" spans="1:9" x14ac:dyDescent="0.2">
      <c r="A3050" s="134">
        <v>45588</v>
      </c>
      <c r="B3050" s="135">
        <f>YEAR(source[[#This Row],[report_date]])</f>
        <v>2024</v>
      </c>
      <c r="C3050" s="128">
        <f t="shared" si="136"/>
        <v>10</v>
      </c>
      <c r="D3050" s="136">
        <f t="shared" si="135"/>
        <v>43</v>
      </c>
      <c r="E3050" s="136">
        <f t="shared" si="137"/>
        <v>23</v>
      </c>
      <c r="F3050" s="137" t="s">
        <v>24</v>
      </c>
      <c r="G3050" s="128" t="str">
        <f>VLOOKUP(source[[#This Row],[lending_product_transform]],[3]Mapping!$B$4:$C$37,2,0)</f>
        <v>[Cake] - Cashloan</v>
      </c>
      <c r="H3050" s="128" t="str">
        <f>VLOOKUP(source[[#This Row],[lending_product_transform]],[3]Mapping!$B$3:$D$37,3,0)</f>
        <v>cashloan</v>
      </c>
      <c r="I3050" s="143">
        <v>3071888567</v>
      </c>
    </row>
    <row r="3051" spans="1:9" x14ac:dyDescent="0.2">
      <c r="A3051" s="134">
        <v>45588</v>
      </c>
      <c r="B3051" s="135">
        <f>YEAR(source[[#This Row],[report_date]])</f>
        <v>2024</v>
      </c>
      <c r="C3051" s="128">
        <f t="shared" si="136"/>
        <v>10</v>
      </c>
      <c r="D3051" s="136">
        <f t="shared" si="135"/>
        <v>43</v>
      </c>
      <c r="E3051" s="136">
        <f t="shared" si="137"/>
        <v>23</v>
      </c>
      <c r="F3051" s="137" t="s">
        <v>24</v>
      </c>
      <c r="G3051" s="128" t="str">
        <f>VLOOKUP(source[[#This Row],[lending_product_transform]],[3]Mapping!$B$4:$C$37,2,0)</f>
        <v>[Cake] - Cashloan</v>
      </c>
      <c r="H3051" s="128" t="str">
        <f>VLOOKUP(source[[#This Row],[lending_product_transform]],[3]Mapping!$B$3:$D$37,3,0)</f>
        <v>cashloan</v>
      </c>
      <c r="I3051" s="143">
        <v>4166000000</v>
      </c>
    </row>
    <row r="3052" spans="1:9" x14ac:dyDescent="0.2">
      <c r="A3052" s="134">
        <v>45588</v>
      </c>
      <c r="B3052" s="135">
        <f>YEAR(source[[#This Row],[report_date]])</f>
        <v>2024</v>
      </c>
      <c r="C3052" s="128">
        <f t="shared" si="136"/>
        <v>10</v>
      </c>
      <c r="D3052" s="136">
        <f t="shared" si="135"/>
        <v>43</v>
      </c>
      <c r="E3052" s="136">
        <f t="shared" si="137"/>
        <v>23</v>
      </c>
      <c r="F3052" s="137" t="s">
        <v>24</v>
      </c>
      <c r="G3052" s="128" t="str">
        <f>VLOOKUP(source[[#This Row],[lending_product_transform]],[3]Mapping!$B$4:$C$37,2,0)</f>
        <v>[Cake] - Cashloan</v>
      </c>
      <c r="H3052" s="128" t="str">
        <f>VLOOKUP(source[[#This Row],[lending_product_transform]],[3]Mapping!$B$3:$D$37,3,0)</f>
        <v>cashloan</v>
      </c>
      <c r="I3052" s="143">
        <v>258181947</v>
      </c>
    </row>
    <row r="3053" spans="1:9" x14ac:dyDescent="0.2">
      <c r="A3053" s="134">
        <v>45588</v>
      </c>
      <c r="B3053" s="135">
        <f>YEAR(source[[#This Row],[report_date]])</f>
        <v>2024</v>
      </c>
      <c r="C3053" s="128">
        <f t="shared" si="136"/>
        <v>10</v>
      </c>
      <c r="D3053" s="136">
        <f t="shared" si="135"/>
        <v>43</v>
      </c>
      <c r="E3053" s="136">
        <f t="shared" si="137"/>
        <v>23</v>
      </c>
      <c r="F3053" s="137" t="s">
        <v>24</v>
      </c>
      <c r="G3053" s="128" t="str">
        <f>VLOOKUP(source[[#This Row],[lending_product_transform]],[3]Mapping!$B$4:$C$37,2,0)</f>
        <v>[Cake] - Cashloan</v>
      </c>
      <c r="H3053" s="128" t="str">
        <f>VLOOKUP(source[[#This Row],[lending_product_transform]],[3]Mapping!$B$3:$D$37,3,0)</f>
        <v>cashloan</v>
      </c>
      <c r="I3053" s="143">
        <v>72000000</v>
      </c>
    </row>
    <row r="3054" spans="1:9" x14ac:dyDescent="0.2">
      <c r="A3054" s="134">
        <v>45588</v>
      </c>
      <c r="B3054" s="135">
        <f>YEAR(source[[#This Row],[report_date]])</f>
        <v>2024</v>
      </c>
      <c r="C3054" s="128">
        <f t="shared" si="136"/>
        <v>10</v>
      </c>
      <c r="D3054" s="136">
        <f t="shared" si="135"/>
        <v>43</v>
      </c>
      <c r="E3054" s="136">
        <f t="shared" si="137"/>
        <v>23</v>
      </c>
      <c r="F3054" s="137" t="s">
        <v>24</v>
      </c>
      <c r="G3054" s="128" t="str">
        <f>VLOOKUP(source[[#This Row],[lending_product_transform]],[3]Mapping!$B$4:$C$37,2,0)</f>
        <v>[Cake] - Cashloan</v>
      </c>
      <c r="H3054" s="128" t="str">
        <f>VLOOKUP(source[[#This Row],[lending_product_transform]],[3]Mapping!$B$3:$D$37,3,0)</f>
        <v>cashloan</v>
      </c>
      <c r="I3054" s="143">
        <v>61200000</v>
      </c>
    </row>
    <row r="3055" spans="1:9" x14ac:dyDescent="0.2">
      <c r="A3055" s="134">
        <v>45588</v>
      </c>
      <c r="B3055" s="135">
        <f>YEAR(source[[#This Row],[report_date]])</f>
        <v>2024</v>
      </c>
      <c r="C3055" s="128">
        <f t="shared" si="136"/>
        <v>10</v>
      </c>
      <c r="D3055" s="136">
        <f t="shared" si="135"/>
        <v>43</v>
      </c>
      <c r="E3055" s="136">
        <f t="shared" si="137"/>
        <v>23</v>
      </c>
      <c r="F3055" s="137" t="s">
        <v>24</v>
      </c>
      <c r="G3055" s="128" t="str">
        <f>VLOOKUP(source[[#This Row],[lending_product_transform]],[3]Mapping!$B$4:$C$37,2,0)</f>
        <v>[Cake] - Cashloan</v>
      </c>
      <c r="H3055" s="128" t="str">
        <f>VLOOKUP(source[[#This Row],[lending_product_transform]],[3]Mapping!$B$3:$D$37,3,0)</f>
        <v>cashloan</v>
      </c>
      <c r="I3055" s="143">
        <v>63000000</v>
      </c>
    </row>
    <row r="3056" spans="1:9" x14ac:dyDescent="0.2">
      <c r="A3056" s="134">
        <v>45589</v>
      </c>
      <c r="B3056" s="135">
        <f>YEAR(source[[#This Row],[report_date]])</f>
        <v>2024</v>
      </c>
      <c r="C3056" s="128">
        <f t="shared" si="136"/>
        <v>10</v>
      </c>
      <c r="D3056" s="136">
        <f t="shared" si="135"/>
        <v>43</v>
      </c>
      <c r="E3056" s="136">
        <f t="shared" si="137"/>
        <v>24</v>
      </c>
      <c r="F3056" s="137" t="s">
        <v>24</v>
      </c>
      <c r="G3056" s="128" t="str">
        <f>VLOOKUP(source[[#This Row],[lending_product_transform]],[3]Mapping!$B$4:$C$37,2,0)</f>
        <v>[Cake] - Cashloan</v>
      </c>
      <c r="H3056" s="128" t="str">
        <f>VLOOKUP(source[[#This Row],[lending_product_transform]],[3]Mapping!$B$3:$D$37,3,0)</f>
        <v>cashloan</v>
      </c>
      <c r="I3056" s="143">
        <v>7201440000</v>
      </c>
    </row>
    <row r="3057" spans="1:9" x14ac:dyDescent="0.2">
      <c r="A3057" s="134">
        <v>45589</v>
      </c>
      <c r="B3057" s="135">
        <f>YEAR(source[[#This Row],[report_date]])</f>
        <v>2024</v>
      </c>
      <c r="C3057" s="128">
        <f t="shared" si="136"/>
        <v>10</v>
      </c>
      <c r="D3057" s="136">
        <f t="shared" si="135"/>
        <v>43</v>
      </c>
      <c r="E3057" s="136">
        <f t="shared" si="137"/>
        <v>24</v>
      </c>
      <c r="F3057" s="137" t="s">
        <v>24</v>
      </c>
      <c r="G3057" s="128" t="str">
        <f>VLOOKUP(source[[#This Row],[lending_product_transform]],[3]Mapping!$B$4:$C$37,2,0)</f>
        <v>[Cake] - Cashloan</v>
      </c>
      <c r="H3057" s="128" t="str">
        <f>VLOOKUP(source[[#This Row],[lending_product_transform]],[3]Mapping!$B$3:$D$37,3,0)</f>
        <v>cashloan</v>
      </c>
      <c r="I3057" s="143">
        <v>95460000</v>
      </c>
    </row>
    <row r="3058" spans="1:9" x14ac:dyDescent="0.2">
      <c r="A3058" s="134">
        <v>45589</v>
      </c>
      <c r="B3058" s="135">
        <f>YEAR(source[[#This Row],[report_date]])</f>
        <v>2024</v>
      </c>
      <c r="C3058" s="128">
        <f t="shared" si="136"/>
        <v>10</v>
      </c>
      <c r="D3058" s="136">
        <f t="shared" si="135"/>
        <v>43</v>
      </c>
      <c r="E3058" s="136">
        <f t="shared" si="137"/>
        <v>24</v>
      </c>
      <c r="F3058" s="137" t="s">
        <v>24</v>
      </c>
      <c r="G3058" s="128" t="str">
        <f>VLOOKUP(source[[#This Row],[lending_product_transform]],[3]Mapping!$B$4:$C$37,2,0)</f>
        <v>[Cake] - Cashloan</v>
      </c>
      <c r="H3058" s="128" t="str">
        <f>VLOOKUP(source[[#This Row],[lending_product_transform]],[3]Mapping!$B$3:$D$37,3,0)</f>
        <v>cashloan</v>
      </c>
      <c r="I3058" s="143">
        <v>21000000</v>
      </c>
    </row>
    <row r="3059" spans="1:9" x14ac:dyDescent="0.2">
      <c r="A3059" s="134">
        <v>45589</v>
      </c>
      <c r="B3059" s="135">
        <f>YEAR(source[[#This Row],[report_date]])</f>
        <v>2024</v>
      </c>
      <c r="C3059" s="128">
        <f t="shared" si="136"/>
        <v>10</v>
      </c>
      <c r="D3059" s="136">
        <f t="shared" si="135"/>
        <v>43</v>
      </c>
      <c r="E3059" s="136">
        <f t="shared" si="137"/>
        <v>24</v>
      </c>
      <c r="F3059" s="137" t="s">
        <v>24</v>
      </c>
      <c r="G3059" s="128" t="str">
        <f>VLOOKUP(source[[#This Row],[lending_product_transform]],[3]Mapping!$B$4:$C$37,2,0)</f>
        <v>[Cake] - Cashloan</v>
      </c>
      <c r="H3059" s="128" t="str">
        <f>VLOOKUP(source[[#This Row],[lending_product_transform]],[3]Mapping!$B$3:$D$37,3,0)</f>
        <v>cashloan</v>
      </c>
      <c r="I3059" s="143">
        <v>119090000</v>
      </c>
    </row>
    <row r="3060" spans="1:9" x14ac:dyDescent="0.2">
      <c r="A3060" s="134">
        <v>45589</v>
      </c>
      <c r="B3060" s="135">
        <f>YEAR(source[[#This Row],[report_date]])</f>
        <v>2024</v>
      </c>
      <c r="C3060" s="128">
        <f t="shared" si="136"/>
        <v>10</v>
      </c>
      <c r="D3060" s="136">
        <f t="shared" si="135"/>
        <v>43</v>
      </c>
      <c r="E3060" s="136">
        <f t="shared" si="137"/>
        <v>24</v>
      </c>
      <c r="F3060" s="137" t="s">
        <v>24</v>
      </c>
      <c r="G3060" s="128" t="str">
        <f>VLOOKUP(source[[#This Row],[lending_product_transform]],[3]Mapping!$B$4:$C$37,2,0)</f>
        <v>[Cake] - Cashloan</v>
      </c>
      <c r="H3060" s="128" t="str">
        <f>VLOOKUP(source[[#This Row],[lending_product_transform]],[3]Mapping!$B$3:$D$37,3,0)</f>
        <v>cashloan</v>
      </c>
      <c r="I3060" s="143">
        <v>3876000000</v>
      </c>
    </row>
    <row r="3061" spans="1:9" x14ac:dyDescent="0.2">
      <c r="A3061" s="134">
        <v>45589</v>
      </c>
      <c r="B3061" s="135">
        <f>YEAR(source[[#This Row],[report_date]])</f>
        <v>2024</v>
      </c>
      <c r="C3061" s="128">
        <f t="shared" si="136"/>
        <v>10</v>
      </c>
      <c r="D3061" s="136">
        <f t="shared" si="135"/>
        <v>43</v>
      </c>
      <c r="E3061" s="136">
        <f t="shared" si="137"/>
        <v>24</v>
      </c>
      <c r="F3061" s="137" t="s">
        <v>24</v>
      </c>
      <c r="G3061" s="128" t="str">
        <f>VLOOKUP(source[[#This Row],[lending_product_transform]],[3]Mapping!$B$4:$C$37,2,0)</f>
        <v>[Cake] - Cashloan</v>
      </c>
      <c r="H3061" s="128" t="str">
        <f>VLOOKUP(source[[#This Row],[lending_product_transform]],[3]Mapping!$B$3:$D$37,3,0)</f>
        <v>cashloan</v>
      </c>
      <c r="I3061" s="143">
        <v>36750000</v>
      </c>
    </row>
    <row r="3062" spans="1:9" x14ac:dyDescent="0.2">
      <c r="A3062" s="134">
        <v>45589</v>
      </c>
      <c r="B3062" s="135">
        <f>YEAR(source[[#This Row],[report_date]])</f>
        <v>2024</v>
      </c>
      <c r="C3062" s="128">
        <f t="shared" si="136"/>
        <v>10</v>
      </c>
      <c r="D3062" s="136">
        <f t="shared" si="135"/>
        <v>43</v>
      </c>
      <c r="E3062" s="136">
        <f t="shared" si="137"/>
        <v>24</v>
      </c>
      <c r="F3062" s="137" t="s">
        <v>24</v>
      </c>
      <c r="G3062" s="128" t="str">
        <f>VLOOKUP(source[[#This Row],[lending_product_transform]],[3]Mapping!$B$4:$C$37,2,0)</f>
        <v>[Cake] - Cashloan</v>
      </c>
      <c r="H3062" s="128" t="str">
        <f>VLOOKUP(source[[#This Row],[lending_product_transform]],[3]Mapping!$B$3:$D$37,3,0)</f>
        <v>cashloan</v>
      </c>
      <c r="I3062" s="143">
        <v>346532803</v>
      </c>
    </row>
    <row r="3063" spans="1:9" x14ac:dyDescent="0.2">
      <c r="A3063" s="134">
        <v>45589</v>
      </c>
      <c r="B3063" s="135">
        <f>YEAR(source[[#This Row],[report_date]])</f>
        <v>2024</v>
      </c>
      <c r="C3063" s="128">
        <f t="shared" si="136"/>
        <v>10</v>
      </c>
      <c r="D3063" s="136">
        <f t="shared" si="135"/>
        <v>43</v>
      </c>
      <c r="E3063" s="136">
        <f t="shared" si="137"/>
        <v>24</v>
      </c>
      <c r="F3063" s="137" t="s">
        <v>24</v>
      </c>
      <c r="G3063" s="128" t="str">
        <f>VLOOKUP(source[[#This Row],[lending_product_transform]],[3]Mapping!$B$4:$C$37,2,0)</f>
        <v>[Cake] - Cashloan</v>
      </c>
      <c r="H3063" s="128" t="str">
        <f>VLOOKUP(source[[#This Row],[lending_product_transform]],[3]Mapping!$B$3:$D$37,3,0)</f>
        <v>cashloan</v>
      </c>
      <c r="I3063" s="143">
        <v>0</v>
      </c>
    </row>
    <row r="3064" spans="1:9" x14ac:dyDescent="0.2">
      <c r="A3064" s="134">
        <v>45589</v>
      </c>
      <c r="B3064" s="135">
        <f>YEAR(source[[#This Row],[report_date]])</f>
        <v>2024</v>
      </c>
      <c r="C3064" s="128">
        <f t="shared" si="136"/>
        <v>10</v>
      </c>
      <c r="D3064" s="136">
        <f t="shared" si="135"/>
        <v>43</v>
      </c>
      <c r="E3064" s="136">
        <f t="shared" si="137"/>
        <v>24</v>
      </c>
      <c r="F3064" s="137" t="s">
        <v>24</v>
      </c>
      <c r="G3064" s="128" t="str">
        <f>VLOOKUP(source[[#This Row],[lending_product_transform]],[3]Mapping!$B$4:$C$37,2,0)</f>
        <v>[Cake] - Cashloan</v>
      </c>
      <c r="H3064" s="128" t="str">
        <f>VLOOKUP(source[[#This Row],[lending_product_transform]],[3]Mapping!$B$3:$D$37,3,0)</f>
        <v>cashloan</v>
      </c>
      <c r="I3064" s="143">
        <v>40000</v>
      </c>
    </row>
    <row r="3065" spans="1:9" x14ac:dyDescent="0.2">
      <c r="A3065" s="134">
        <v>45589</v>
      </c>
      <c r="B3065" s="135">
        <f>YEAR(source[[#This Row],[report_date]])</f>
        <v>2024</v>
      </c>
      <c r="C3065" s="128">
        <f t="shared" si="136"/>
        <v>10</v>
      </c>
      <c r="D3065" s="136">
        <f t="shared" si="135"/>
        <v>43</v>
      </c>
      <c r="E3065" s="136">
        <f t="shared" si="137"/>
        <v>24</v>
      </c>
      <c r="F3065" s="137" t="s">
        <v>24</v>
      </c>
      <c r="G3065" s="128" t="str">
        <f>VLOOKUP(source[[#This Row],[lending_product_transform]],[3]Mapping!$B$4:$C$37,2,0)</f>
        <v>[Cake] - Cashloan</v>
      </c>
      <c r="H3065" s="128" t="str">
        <f>VLOOKUP(source[[#This Row],[lending_product_transform]],[3]Mapping!$B$3:$D$37,3,0)</f>
        <v>cashloan</v>
      </c>
      <c r="I3065" s="143">
        <v>43172817</v>
      </c>
    </row>
    <row r="3066" spans="1:9" x14ac:dyDescent="0.2">
      <c r="A3066" s="134">
        <v>45589</v>
      </c>
      <c r="B3066" s="135">
        <f>YEAR(source[[#This Row],[report_date]])</f>
        <v>2024</v>
      </c>
      <c r="C3066" s="128">
        <f t="shared" si="136"/>
        <v>10</v>
      </c>
      <c r="D3066" s="136">
        <f t="shared" si="135"/>
        <v>43</v>
      </c>
      <c r="E3066" s="136">
        <f t="shared" si="137"/>
        <v>24</v>
      </c>
      <c r="F3066" s="137" t="s">
        <v>24</v>
      </c>
      <c r="G3066" s="128" t="str">
        <f>VLOOKUP(source[[#This Row],[lending_product_transform]],[3]Mapping!$B$4:$C$37,2,0)</f>
        <v>[Cake] - Cashloan</v>
      </c>
      <c r="H3066" s="128" t="str">
        <f>VLOOKUP(source[[#This Row],[lending_product_transform]],[3]Mapping!$B$3:$D$37,3,0)</f>
        <v>cashloan</v>
      </c>
      <c r="I3066" s="143">
        <v>3770260000</v>
      </c>
    </row>
    <row r="3067" spans="1:9" x14ac:dyDescent="0.2">
      <c r="A3067" s="134">
        <v>45589</v>
      </c>
      <c r="B3067" s="135">
        <f>YEAR(source[[#This Row],[report_date]])</f>
        <v>2024</v>
      </c>
      <c r="C3067" s="128">
        <f t="shared" si="136"/>
        <v>10</v>
      </c>
      <c r="D3067" s="136">
        <f t="shared" si="135"/>
        <v>43</v>
      </c>
      <c r="E3067" s="136">
        <f t="shared" si="137"/>
        <v>24</v>
      </c>
      <c r="F3067" s="137" t="s">
        <v>24</v>
      </c>
      <c r="G3067" s="128" t="str">
        <f>VLOOKUP(source[[#This Row],[lending_product_transform]],[3]Mapping!$B$4:$C$37,2,0)</f>
        <v>[Cake] - Cashloan</v>
      </c>
      <c r="H3067" s="128" t="str">
        <f>VLOOKUP(source[[#This Row],[lending_product_transform]],[3]Mapping!$B$3:$D$37,3,0)</f>
        <v>cashloan</v>
      </c>
      <c r="I3067" s="143">
        <v>43000000</v>
      </c>
    </row>
    <row r="3068" spans="1:9" x14ac:dyDescent="0.2">
      <c r="A3068" s="134">
        <v>45589</v>
      </c>
      <c r="B3068" s="135">
        <f>YEAR(source[[#This Row],[report_date]])</f>
        <v>2024</v>
      </c>
      <c r="C3068" s="128">
        <f t="shared" si="136"/>
        <v>10</v>
      </c>
      <c r="D3068" s="136">
        <f t="shared" si="135"/>
        <v>43</v>
      </c>
      <c r="E3068" s="136">
        <f t="shared" si="137"/>
        <v>24</v>
      </c>
      <c r="F3068" s="137" t="s">
        <v>24</v>
      </c>
      <c r="G3068" s="128" t="str">
        <f>VLOOKUP(source[[#This Row],[lending_product_transform]],[3]Mapping!$B$4:$C$37,2,0)</f>
        <v>[Cake] - Cashloan</v>
      </c>
      <c r="H3068" s="128" t="str">
        <f>VLOOKUP(source[[#This Row],[lending_product_transform]],[3]Mapping!$B$3:$D$37,3,0)</f>
        <v>cashloan</v>
      </c>
      <c r="I3068" s="143">
        <v>0</v>
      </c>
    </row>
    <row r="3069" spans="1:9" x14ac:dyDescent="0.2">
      <c r="A3069" s="134">
        <v>45589</v>
      </c>
      <c r="B3069" s="135">
        <f>YEAR(source[[#This Row],[report_date]])</f>
        <v>2024</v>
      </c>
      <c r="C3069" s="128">
        <f t="shared" si="136"/>
        <v>10</v>
      </c>
      <c r="D3069" s="136">
        <f t="shared" si="135"/>
        <v>43</v>
      </c>
      <c r="E3069" s="136">
        <f t="shared" si="137"/>
        <v>24</v>
      </c>
      <c r="F3069" s="137" t="s">
        <v>24</v>
      </c>
      <c r="G3069" s="128" t="str">
        <f>VLOOKUP(source[[#This Row],[lending_product_transform]],[3]Mapping!$B$4:$C$37,2,0)</f>
        <v>[Cake] - Cashloan</v>
      </c>
      <c r="H3069" s="128" t="str">
        <f>VLOOKUP(source[[#This Row],[lending_product_transform]],[3]Mapping!$B$3:$D$37,3,0)</f>
        <v>cashloan</v>
      </c>
      <c r="I3069" s="143">
        <v>2641340633</v>
      </c>
    </row>
    <row r="3070" spans="1:9" x14ac:dyDescent="0.2">
      <c r="A3070" s="134">
        <v>45590</v>
      </c>
      <c r="B3070" s="135">
        <f>YEAR(source[[#This Row],[report_date]])</f>
        <v>2024</v>
      </c>
      <c r="C3070" s="128">
        <f t="shared" si="136"/>
        <v>10</v>
      </c>
      <c r="D3070" s="136">
        <f t="shared" si="135"/>
        <v>43</v>
      </c>
      <c r="E3070" s="136">
        <f t="shared" si="137"/>
        <v>25</v>
      </c>
      <c r="F3070" s="137" t="s">
        <v>24</v>
      </c>
      <c r="G3070" s="128" t="str">
        <f>VLOOKUP(source[[#This Row],[lending_product_transform]],[3]Mapping!$B$4:$C$37,2,0)</f>
        <v>[Cake] - Cashloan</v>
      </c>
      <c r="H3070" s="128" t="str">
        <f>VLOOKUP(source[[#This Row],[lending_product_transform]],[3]Mapping!$B$3:$D$37,3,0)</f>
        <v>cashloan</v>
      </c>
      <c r="I3070" s="143">
        <v>0</v>
      </c>
    </row>
    <row r="3071" spans="1:9" x14ac:dyDescent="0.2">
      <c r="A3071" s="134">
        <v>45590</v>
      </c>
      <c r="B3071" s="135">
        <f>YEAR(source[[#This Row],[report_date]])</f>
        <v>2024</v>
      </c>
      <c r="C3071" s="128">
        <f t="shared" si="136"/>
        <v>10</v>
      </c>
      <c r="D3071" s="136">
        <f t="shared" si="135"/>
        <v>43</v>
      </c>
      <c r="E3071" s="136">
        <f t="shared" si="137"/>
        <v>25</v>
      </c>
      <c r="F3071" s="137" t="s">
        <v>24</v>
      </c>
      <c r="G3071" s="128" t="str">
        <f>VLOOKUP(source[[#This Row],[lending_product_transform]],[3]Mapping!$B$4:$C$37,2,0)</f>
        <v>[Cake] - Cashloan</v>
      </c>
      <c r="H3071" s="128" t="str">
        <f>VLOOKUP(source[[#This Row],[lending_product_transform]],[3]Mapping!$B$3:$D$37,3,0)</f>
        <v>cashloan</v>
      </c>
      <c r="I3071" s="143">
        <v>165090000</v>
      </c>
    </row>
    <row r="3072" spans="1:9" x14ac:dyDescent="0.2">
      <c r="A3072" s="134">
        <v>45590</v>
      </c>
      <c r="B3072" s="135">
        <f>YEAR(source[[#This Row],[report_date]])</f>
        <v>2024</v>
      </c>
      <c r="C3072" s="128">
        <f t="shared" si="136"/>
        <v>10</v>
      </c>
      <c r="D3072" s="136">
        <f t="shared" si="135"/>
        <v>43</v>
      </c>
      <c r="E3072" s="136">
        <f t="shared" si="137"/>
        <v>25</v>
      </c>
      <c r="F3072" s="137" t="s">
        <v>24</v>
      </c>
      <c r="G3072" s="128" t="str">
        <f>VLOOKUP(source[[#This Row],[lending_product_transform]],[3]Mapping!$B$4:$C$37,2,0)</f>
        <v>[Cake] - Cashloan</v>
      </c>
      <c r="H3072" s="128" t="str">
        <f>VLOOKUP(source[[#This Row],[lending_product_transform]],[3]Mapping!$B$3:$D$37,3,0)</f>
        <v>cashloan</v>
      </c>
      <c r="I3072" s="143">
        <v>6074690000</v>
      </c>
    </row>
    <row r="3073" spans="1:9" x14ac:dyDescent="0.2">
      <c r="A3073" s="134">
        <v>45590</v>
      </c>
      <c r="B3073" s="135">
        <f>YEAR(source[[#This Row],[report_date]])</f>
        <v>2024</v>
      </c>
      <c r="C3073" s="128">
        <f t="shared" si="136"/>
        <v>10</v>
      </c>
      <c r="D3073" s="136">
        <f t="shared" si="135"/>
        <v>43</v>
      </c>
      <c r="E3073" s="136">
        <f t="shared" si="137"/>
        <v>25</v>
      </c>
      <c r="F3073" s="137" t="s">
        <v>24</v>
      </c>
      <c r="G3073" s="128" t="str">
        <f>VLOOKUP(source[[#This Row],[lending_product_transform]],[3]Mapping!$B$4:$C$37,2,0)</f>
        <v>[Cake] - Cashloan</v>
      </c>
      <c r="H3073" s="128" t="str">
        <f>VLOOKUP(source[[#This Row],[lending_product_transform]],[3]Mapping!$B$3:$D$37,3,0)</f>
        <v>cashloan</v>
      </c>
      <c r="I3073" s="143">
        <v>101000000</v>
      </c>
    </row>
    <row r="3074" spans="1:9" x14ac:dyDescent="0.2">
      <c r="A3074" s="134">
        <v>45590</v>
      </c>
      <c r="B3074" s="135">
        <f>YEAR(source[[#This Row],[report_date]])</f>
        <v>2024</v>
      </c>
      <c r="C3074" s="128">
        <f t="shared" si="136"/>
        <v>10</v>
      </c>
      <c r="D3074" s="136">
        <f t="shared" si="135"/>
        <v>43</v>
      </c>
      <c r="E3074" s="136">
        <f t="shared" si="137"/>
        <v>25</v>
      </c>
      <c r="F3074" s="137" t="s">
        <v>24</v>
      </c>
      <c r="G3074" s="128" t="str">
        <f>VLOOKUP(source[[#This Row],[lending_product_transform]],[3]Mapping!$B$4:$C$37,2,0)</f>
        <v>[Cake] - Cashloan</v>
      </c>
      <c r="H3074" s="128" t="str">
        <f>VLOOKUP(source[[#This Row],[lending_product_transform]],[3]Mapping!$B$3:$D$37,3,0)</f>
        <v>cashloan</v>
      </c>
      <c r="I3074" s="143">
        <v>20000</v>
      </c>
    </row>
    <row r="3075" spans="1:9" x14ac:dyDescent="0.2">
      <c r="A3075" s="134">
        <v>45590</v>
      </c>
      <c r="B3075" s="135">
        <f>YEAR(source[[#This Row],[report_date]])</f>
        <v>2024</v>
      </c>
      <c r="C3075" s="128">
        <f t="shared" si="136"/>
        <v>10</v>
      </c>
      <c r="D3075" s="136">
        <f t="shared" ref="D3075:D3138" si="138">WEEKNUM(A3075,2)</f>
        <v>43</v>
      </c>
      <c r="E3075" s="136">
        <f t="shared" si="137"/>
        <v>25</v>
      </c>
      <c r="F3075" s="137" t="s">
        <v>24</v>
      </c>
      <c r="G3075" s="128" t="str">
        <f>VLOOKUP(source[[#This Row],[lending_product_transform]],[3]Mapping!$B$4:$C$37,2,0)</f>
        <v>[Cake] - Cashloan</v>
      </c>
      <c r="H3075" s="128" t="str">
        <f>VLOOKUP(source[[#This Row],[lending_product_transform]],[3]Mapping!$B$3:$D$37,3,0)</f>
        <v>cashloan</v>
      </c>
      <c r="I3075" s="143">
        <v>10700000</v>
      </c>
    </row>
    <row r="3076" spans="1:9" x14ac:dyDescent="0.2">
      <c r="A3076" s="134">
        <v>45590</v>
      </c>
      <c r="B3076" s="135">
        <f>YEAR(source[[#This Row],[report_date]])</f>
        <v>2024</v>
      </c>
      <c r="C3076" s="128">
        <f t="shared" si="136"/>
        <v>10</v>
      </c>
      <c r="D3076" s="136">
        <f t="shared" si="138"/>
        <v>43</v>
      </c>
      <c r="E3076" s="136">
        <f t="shared" si="137"/>
        <v>25</v>
      </c>
      <c r="F3076" s="137" t="s">
        <v>24</v>
      </c>
      <c r="G3076" s="128" t="str">
        <f>VLOOKUP(source[[#This Row],[lending_product_transform]],[3]Mapping!$B$4:$C$37,2,0)</f>
        <v>[Cake] - Cashloan</v>
      </c>
      <c r="H3076" s="128" t="str">
        <f>VLOOKUP(source[[#This Row],[lending_product_transform]],[3]Mapping!$B$3:$D$37,3,0)</f>
        <v>cashloan</v>
      </c>
      <c r="I3076" s="143">
        <v>49220000</v>
      </c>
    </row>
    <row r="3077" spans="1:9" x14ac:dyDescent="0.2">
      <c r="A3077" s="134">
        <v>45590</v>
      </c>
      <c r="B3077" s="135">
        <f>YEAR(source[[#This Row],[report_date]])</f>
        <v>2024</v>
      </c>
      <c r="C3077" s="128">
        <f t="shared" si="136"/>
        <v>10</v>
      </c>
      <c r="D3077" s="136">
        <f t="shared" si="138"/>
        <v>43</v>
      </c>
      <c r="E3077" s="136">
        <f t="shared" si="137"/>
        <v>25</v>
      </c>
      <c r="F3077" s="137" t="s">
        <v>24</v>
      </c>
      <c r="G3077" s="128" t="str">
        <f>VLOOKUP(source[[#This Row],[lending_product_transform]],[3]Mapping!$B$4:$C$37,2,0)</f>
        <v>[Cake] - Cashloan</v>
      </c>
      <c r="H3077" s="128" t="str">
        <f>VLOOKUP(source[[#This Row],[lending_product_transform]],[3]Mapping!$B$3:$D$37,3,0)</f>
        <v>cashloan</v>
      </c>
      <c r="I3077" s="143">
        <v>43904328</v>
      </c>
    </row>
    <row r="3078" spans="1:9" x14ac:dyDescent="0.2">
      <c r="A3078" s="134">
        <v>45590</v>
      </c>
      <c r="B3078" s="135">
        <f>YEAR(source[[#This Row],[report_date]])</f>
        <v>2024</v>
      </c>
      <c r="C3078" s="128">
        <f t="shared" si="136"/>
        <v>10</v>
      </c>
      <c r="D3078" s="136">
        <f t="shared" si="138"/>
        <v>43</v>
      </c>
      <c r="E3078" s="136">
        <f t="shared" si="137"/>
        <v>25</v>
      </c>
      <c r="F3078" s="137" t="s">
        <v>24</v>
      </c>
      <c r="G3078" s="128" t="str">
        <f>VLOOKUP(source[[#This Row],[lending_product_transform]],[3]Mapping!$B$4:$C$37,2,0)</f>
        <v>[Cake] - Cashloan</v>
      </c>
      <c r="H3078" s="128" t="str">
        <f>VLOOKUP(source[[#This Row],[lending_product_transform]],[3]Mapping!$B$3:$D$37,3,0)</f>
        <v>cashloan</v>
      </c>
      <c r="I3078" s="143">
        <v>311668904</v>
      </c>
    </row>
    <row r="3079" spans="1:9" x14ac:dyDescent="0.2">
      <c r="A3079" s="134">
        <v>45590</v>
      </c>
      <c r="B3079" s="135">
        <f>YEAR(source[[#This Row],[report_date]])</f>
        <v>2024</v>
      </c>
      <c r="C3079" s="128">
        <f t="shared" si="136"/>
        <v>10</v>
      </c>
      <c r="D3079" s="136">
        <f t="shared" si="138"/>
        <v>43</v>
      </c>
      <c r="E3079" s="136">
        <f t="shared" si="137"/>
        <v>25</v>
      </c>
      <c r="F3079" s="137" t="s">
        <v>24</v>
      </c>
      <c r="G3079" s="128" t="str">
        <f>VLOOKUP(source[[#This Row],[lending_product_transform]],[3]Mapping!$B$4:$C$37,2,0)</f>
        <v>[Cake] - Cashloan</v>
      </c>
      <c r="H3079" s="128" t="str">
        <f>VLOOKUP(source[[#This Row],[lending_product_transform]],[3]Mapping!$B$3:$D$37,3,0)</f>
        <v>cashloan</v>
      </c>
      <c r="I3079" s="143">
        <v>4260000000</v>
      </c>
    </row>
    <row r="3080" spans="1:9" x14ac:dyDescent="0.2">
      <c r="A3080" s="134">
        <v>45590</v>
      </c>
      <c r="B3080" s="135">
        <f>YEAR(source[[#This Row],[report_date]])</f>
        <v>2024</v>
      </c>
      <c r="C3080" s="128">
        <f t="shared" si="136"/>
        <v>10</v>
      </c>
      <c r="D3080" s="136">
        <f t="shared" si="138"/>
        <v>43</v>
      </c>
      <c r="E3080" s="136">
        <f t="shared" si="137"/>
        <v>25</v>
      </c>
      <c r="F3080" s="137" t="s">
        <v>24</v>
      </c>
      <c r="G3080" s="128" t="str">
        <f>VLOOKUP(source[[#This Row],[lending_product_transform]],[3]Mapping!$B$4:$C$37,2,0)</f>
        <v>[Cake] - Cashloan</v>
      </c>
      <c r="H3080" s="128" t="str">
        <f>VLOOKUP(source[[#This Row],[lending_product_transform]],[3]Mapping!$B$3:$D$37,3,0)</f>
        <v>cashloan</v>
      </c>
      <c r="I3080" s="143">
        <v>4157460000</v>
      </c>
    </row>
    <row r="3081" spans="1:9" x14ac:dyDescent="0.2">
      <c r="A3081" s="134">
        <v>45590</v>
      </c>
      <c r="B3081" s="135">
        <f>YEAR(source[[#This Row],[report_date]])</f>
        <v>2024</v>
      </c>
      <c r="C3081" s="128">
        <f t="shared" si="136"/>
        <v>10</v>
      </c>
      <c r="D3081" s="136">
        <f t="shared" si="138"/>
        <v>43</v>
      </c>
      <c r="E3081" s="136">
        <f t="shared" si="137"/>
        <v>25</v>
      </c>
      <c r="F3081" s="137" t="s">
        <v>24</v>
      </c>
      <c r="G3081" s="128" t="str">
        <f>VLOOKUP(source[[#This Row],[lending_product_transform]],[3]Mapping!$B$4:$C$37,2,0)</f>
        <v>[Cake] - Cashloan</v>
      </c>
      <c r="H3081" s="128" t="str">
        <f>VLOOKUP(source[[#This Row],[lending_product_transform]],[3]Mapping!$B$3:$D$37,3,0)</f>
        <v>cashloan</v>
      </c>
      <c r="I3081" s="143">
        <v>0</v>
      </c>
    </row>
    <row r="3082" spans="1:9" x14ac:dyDescent="0.2">
      <c r="A3082" s="134">
        <v>45590</v>
      </c>
      <c r="B3082" s="135">
        <f>YEAR(source[[#This Row],[report_date]])</f>
        <v>2024</v>
      </c>
      <c r="C3082" s="128">
        <f t="shared" si="136"/>
        <v>10</v>
      </c>
      <c r="D3082" s="136">
        <f t="shared" si="138"/>
        <v>43</v>
      </c>
      <c r="E3082" s="136">
        <f t="shared" si="137"/>
        <v>25</v>
      </c>
      <c r="F3082" s="137" t="s">
        <v>24</v>
      </c>
      <c r="G3082" s="128" t="str">
        <f>VLOOKUP(source[[#This Row],[lending_product_transform]],[3]Mapping!$B$4:$C$37,2,0)</f>
        <v>[Cake] - Cashloan</v>
      </c>
      <c r="H3082" s="128" t="str">
        <f>VLOOKUP(source[[#This Row],[lending_product_transform]],[3]Mapping!$B$3:$D$37,3,0)</f>
        <v>cashloan</v>
      </c>
      <c r="I3082" s="143">
        <v>67500000</v>
      </c>
    </row>
    <row r="3083" spans="1:9" x14ac:dyDescent="0.2">
      <c r="A3083" s="134">
        <v>45590</v>
      </c>
      <c r="B3083" s="135">
        <f>YEAR(source[[#This Row],[report_date]])</f>
        <v>2024</v>
      </c>
      <c r="C3083" s="128">
        <f t="shared" si="136"/>
        <v>10</v>
      </c>
      <c r="D3083" s="136">
        <f t="shared" si="138"/>
        <v>43</v>
      </c>
      <c r="E3083" s="136">
        <f t="shared" si="137"/>
        <v>25</v>
      </c>
      <c r="F3083" s="137" t="s">
        <v>24</v>
      </c>
      <c r="G3083" s="128" t="str">
        <f>VLOOKUP(source[[#This Row],[lending_product_transform]],[3]Mapping!$B$4:$C$37,2,0)</f>
        <v>[Cake] - Cashloan</v>
      </c>
      <c r="H3083" s="128" t="str">
        <f>VLOOKUP(source[[#This Row],[lending_product_transform]],[3]Mapping!$B$3:$D$37,3,0)</f>
        <v>cashloan</v>
      </c>
      <c r="I3083" s="143">
        <v>3313590098</v>
      </c>
    </row>
    <row r="3084" spans="1:9" x14ac:dyDescent="0.2">
      <c r="A3084" s="134">
        <v>45591</v>
      </c>
      <c r="B3084" s="135">
        <f>YEAR(source[[#This Row],[report_date]])</f>
        <v>2024</v>
      </c>
      <c r="C3084" s="128">
        <f t="shared" si="136"/>
        <v>10</v>
      </c>
      <c r="D3084" s="136">
        <f t="shared" si="138"/>
        <v>43</v>
      </c>
      <c r="E3084" s="136">
        <f t="shared" si="137"/>
        <v>26</v>
      </c>
      <c r="F3084" s="137" t="s">
        <v>24</v>
      </c>
      <c r="G3084" s="128" t="str">
        <f>VLOOKUP(source[[#This Row],[lending_product_transform]],[3]Mapping!$B$4:$C$37,2,0)</f>
        <v>[Cake] - Cashloan</v>
      </c>
      <c r="H3084" s="128" t="str">
        <f>VLOOKUP(source[[#This Row],[lending_product_transform]],[3]Mapping!$B$3:$D$37,3,0)</f>
        <v>cashloan</v>
      </c>
      <c r="I3084" s="143">
        <v>3225340000</v>
      </c>
    </row>
    <row r="3085" spans="1:9" x14ac:dyDescent="0.2">
      <c r="A3085" s="134">
        <v>45591</v>
      </c>
      <c r="B3085" s="135">
        <f>YEAR(source[[#This Row],[report_date]])</f>
        <v>2024</v>
      </c>
      <c r="C3085" s="128">
        <f t="shared" si="136"/>
        <v>10</v>
      </c>
      <c r="D3085" s="136">
        <f t="shared" si="138"/>
        <v>43</v>
      </c>
      <c r="E3085" s="136">
        <f t="shared" si="137"/>
        <v>26</v>
      </c>
      <c r="F3085" s="137" t="s">
        <v>24</v>
      </c>
      <c r="G3085" s="128" t="str">
        <f>VLOOKUP(source[[#This Row],[lending_product_transform]],[3]Mapping!$B$4:$C$37,2,0)</f>
        <v>[Cake] - Cashloan</v>
      </c>
      <c r="H3085" s="128" t="str">
        <f>VLOOKUP(source[[#This Row],[lending_product_transform]],[3]Mapping!$B$3:$D$37,3,0)</f>
        <v>cashloan</v>
      </c>
      <c r="I3085" s="143">
        <v>3792000000</v>
      </c>
    </row>
    <row r="3086" spans="1:9" x14ac:dyDescent="0.2">
      <c r="A3086" s="134">
        <v>45591</v>
      </c>
      <c r="B3086" s="135">
        <f>YEAR(source[[#This Row],[report_date]])</f>
        <v>2024</v>
      </c>
      <c r="C3086" s="128">
        <f t="shared" si="136"/>
        <v>10</v>
      </c>
      <c r="D3086" s="136">
        <f t="shared" si="138"/>
        <v>43</v>
      </c>
      <c r="E3086" s="136">
        <f t="shared" si="137"/>
        <v>26</v>
      </c>
      <c r="F3086" s="137" t="s">
        <v>24</v>
      </c>
      <c r="G3086" s="128" t="str">
        <f>VLOOKUP(source[[#This Row],[lending_product_transform]],[3]Mapping!$B$4:$C$37,2,0)</f>
        <v>[Cake] - Cashloan</v>
      </c>
      <c r="H3086" s="128" t="str">
        <f>VLOOKUP(source[[#This Row],[lending_product_transform]],[3]Mapping!$B$3:$D$37,3,0)</f>
        <v>cashloan</v>
      </c>
      <c r="I3086" s="143">
        <v>4662510000</v>
      </c>
    </row>
    <row r="3087" spans="1:9" x14ac:dyDescent="0.2">
      <c r="A3087" s="134">
        <v>45591</v>
      </c>
      <c r="B3087" s="135">
        <f>YEAR(source[[#This Row],[report_date]])</f>
        <v>2024</v>
      </c>
      <c r="C3087" s="128">
        <f t="shared" si="136"/>
        <v>10</v>
      </c>
      <c r="D3087" s="136">
        <f t="shared" si="138"/>
        <v>43</v>
      </c>
      <c r="E3087" s="136">
        <f t="shared" si="137"/>
        <v>26</v>
      </c>
      <c r="F3087" s="137" t="s">
        <v>24</v>
      </c>
      <c r="G3087" s="128" t="str">
        <f>VLOOKUP(source[[#This Row],[lending_product_transform]],[3]Mapping!$B$4:$C$37,2,0)</f>
        <v>[Cake] - Cashloan</v>
      </c>
      <c r="H3087" s="128" t="str">
        <f>VLOOKUP(source[[#This Row],[lending_product_transform]],[3]Mapping!$B$3:$D$37,3,0)</f>
        <v>cashloan</v>
      </c>
      <c r="I3087" s="143">
        <v>2720533274</v>
      </c>
    </row>
    <row r="3088" spans="1:9" x14ac:dyDescent="0.2">
      <c r="A3088" s="134">
        <v>45591</v>
      </c>
      <c r="B3088" s="135">
        <f>YEAR(source[[#This Row],[report_date]])</f>
        <v>2024</v>
      </c>
      <c r="C3088" s="128">
        <f t="shared" si="136"/>
        <v>10</v>
      </c>
      <c r="D3088" s="136">
        <f t="shared" si="138"/>
        <v>43</v>
      </c>
      <c r="E3088" s="136">
        <f t="shared" si="137"/>
        <v>26</v>
      </c>
      <c r="F3088" s="137" t="s">
        <v>24</v>
      </c>
      <c r="G3088" s="128" t="str">
        <f>VLOOKUP(source[[#This Row],[lending_product_transform]],[3]Mapping!$B$4:$C$37,2,0)</f>
        <v>[Cake] - Cashloan</v>
      </c>
      <c r="H3088" s="128" t="str">
        <f>VLOOKUP(source[[#This Row],[lending_product_transform]],[3]Mapping!$B$3:$D$37,3,0)</f>
        <v>cashloan</v>
      </c>
      <c r="I3088" s="143">
        <v>50000000</v>
      </c>
    </row>
    <row r="3089" spans="1:9" x14ac:dyDescent="0.2">
      <c r="A3089" s="134">
        <v>45591</v>
      </c>
      <c r="B3089" s="135">
        <f>YEAR(source[[#This Row],[report_date]])</f>
        <v>2024</v>
      </c>
      <c r="C3089" s="128">
        <f t="shared" si="136"/>
        <v>10</v>
      </c>
      <c r="D3089" s="136">
        <f t="shared" si="138"/>
        <v>43</v>
      </c>
      <c r="E3089" s="136">
        <f t="shared" si="137"/>
        <v>26</v>
      </c>
      <c r="F3089" s="137" t="s">
        <v>24</v>
      </c>
      <c r="G3089" s="128" t="str">
        <f>VLOOKUP(source[[#This Row],[lending_product_transform]],[3]Mapping!$B$4:$C$37,2,0)</f>
        <v>[Cake] - Cashloan</v>
      </c>
      <c r="H3089" s="128" t="str">
        <f>VLOOKUP(source[[#This Row],[lending_product_transform]],[3]Mapping!$B$3:$D$37,3,0)</f>
        <v>cashloan</v>
      </c>
      <c r="I3089" s="143">
        <v>0</v>
      </c>
    </row>
    <row r="3090" spans="1:9" x14ac:dyDescent="0.2">
      <c r="A3090" s="134">
        <v>45591</v>
      </c>
      <c r="B3090" s="135">
        <f>YEAR(source[[#This Row],[report_date]])</f>
        <v>2024</v>
      </c>
      <c r="C3090" s="128">
        <f t="shared" si="136"/>
        <v>10</v>
      </c>
      <c r="D3090" s="136">
        <f t="shared" si="138"/>
        <v>43</v>
      </c>
      <c r="E3090" s="136">
        <f t="shared" si="137"/>
        <v>26</v>
      </c>
      <c r="F3090" s="137" t="s">
        <v>24</v>
      </c>
      <c r="G3090" s="128" t="str">
        <f>VLOOKUP(source[[#This Row],[lending_product_transform]],[3]Mapping!$B$4:$C$37,2,0)</f>
        <v>[Cake] - Cashloan</v>
      </c>
      <c r="H3090" s="128" t="str">
        <f>VLOOKUP(source[[#This Row],[lending_product_transform]],[3]Mapping!$B$3:$D$37,3,0)</f>
        <v>cashloan</v>
      </c>
      <c r="I3090" s="143">
        <v>94940000</v>
      </c>
    </row>
    <row r="3091" spans="1:9" x14ac:dyDescent="0.2">
      <c r="A3091" s="134">
        <v>45591</v>
      </c>
      <c r="B3091" s="135">
        <f>YEAR(source[[#This Row],[report_date]])</f>
        <v>2024</v>
      </c>
      <c r="C3091" s="128">
        <f t="shared" si="136"/>
        <v>10</v>
      </c>
      <c r="D3091" s="136">
        <f t="shared" si="138"/>
        <v>43</v>
      </c>
      <c r="E3091" s="136">
        <f t="shared" si="137"/>
        <v>26</v>
      </c>
      <c r="F3091" s="137" t="s">
        <v>24</v>
      </c>
      <c r="G3091" s="128" t="str">
        <f>VLOOKUP(source[[#This Row],[lending_product_transform]],[3]Mapping!$B$4:$C$37,2,0)</f>
        <v>[Cake] - Cashloan</v>
      </c>
      <c r="H3091" s="128" t="str">
        <f>VLOOKUP(source[[#This Row],[lending_product_transform]],[3]Mapping!$B$3:$D$37,3,0)</f>
        <v>cashloan</v>
      </c>
      <c r="I3091" s="143">
        <v>51068519</v>
      </c>
    </row>
    <row r="3092" spans="1:9" x14ac:dyDescent="0.2">
      <c r="A3092" s="134">
        <v>45591</v>
      </c>
      <c r="B3092" s="135">
        <f>YEAR(source[[#This Row],[report_date]])</f>
        <v>2024</v>
      </c>
      <c r="C3092" s="128">
        <f t="shared" si="136"/>
        <v>10</v>
      </c>
      <c r="D3092" s="136">
        <f t="shared" si="138"/>
        <v>43</v>
      </c>
      <c r="E3092" s="136">
        <f t="shared" si="137"/>
        <v>26</v>
      </c>
      <c r="F3092" s="137" t="s">
        <v>24</v>
      </c>
      <c r="G3092" s="128" t="str">
        <f>VLOOKUP(source[[#This Row],[lending_product_transform]],[3]Mapping!$B$4:$C$37,2,0)</f>
        <v>[Cake] - Cashloan</v>
      </c>
      <c r="H3092" s="128" t="str">
        <f>VLOOKUP(source[[#This Row],[lending_product_transform]],[3]Mapping!$B$3:$D$37,3,0)</f>
        <v>cashloan</v>
      </c>
      <c r="I3092" s="143">
        <v>312308692</v>
      </c>
    </row>
    <row r="3093" spans="1:9" x14ac:dyDescent="0.2">
      <c r="A3093" s="134">
        <v>45591</v>
      </c>
      <c r="B3093" s="135">
        <f>YEAR(source[[#This Row],[report_date]])</f>
        <v>2024</v>
      </c>
      <c r="C3093" s="128">
        <f t="shared" si="136"/>
        <v>10</v>
      </c>
      <c r="D3093" s="136">
        <f t="shared" si="138"/>
        <v>43</v>
      </c>
      <c r="E3093" s="136">
        <f t="shared" si="137"/>
        <v>26</v>
      </c>
      <c r="F3093" s="137" t="s">
        <v>24</v>
      </c>
      <c r="G3093" s="128" t="str">
        <f>VLOOKUP(source[[#This Row],[lending_product_transform]],[3]Mapping!$B$4:$C$37,2,0)</f>
        <v>[Cake] - Cashloan</v>
      </c>
      <c r="H3093" s="128" t="str">
        <f>VLOOKUP(source[[#This Row],[lending_product_transform]],[3]Mapping!$B$3:$D$37,3,0)</f>
        <v>cashloan</v>
      </c>
      <c r="I3093" s="143">
        <v>102020000</v>
      </c>
    </row>
    <row r="3094" spans="1:9" x14ac:dyDescent="0.2">
      <c r="A3094" s="134">
        <v>45591</v>
      </c>
      <c r="B3094" s="135">
        <f>YEAR(source[[#This Row],[report_date]])</f>
        <v>2024</v>
      </c>
      <c r="C3094" s="128">
        <f t="shared" si="136"/>
        <v>10</v>
      </c>
      <c r="D3094" s="136">
        <f t="shared" si="138"/>
        <v>43</v>
      </c>
      <c r="E3094" s="136">
        <f t="shared" si="137"/>
        <v>26</v>
      </c>
      <c r="F3094" s="137" t="s">
        <v>24</v>
      </c>
      <c r="G3094" s="128" t="str">
        <f>VLOOKUP(source[[#This Row],[lending_product_transform]],[3]Mapping!$B$4:$C$37,2,0)</f>
        <v>[Cake] - Cashloan</v>
      </c>
      <c r="H3094" s="128" t="str">
        <f>VLOOKUP(source[[#This Row],[lending_product_transform]],[3]Mapping!$B$3:$D$37,3,0)</f>
        <v>cashloan</v>
      </c>
      <c r="I3094" s="143">
        <v>31500000</v>
      </c>
    </row>
    <row r="3095" spans="1:9" x14ac:dyDescent="0.2">
      <c r="A3095" s="134">
        <v>45591</v>
      </c>
      <c r="B3095" s="135">
        <f>YEAR(source[[#This Row],[report_date]])</f>
        <v>2024</v>
      </c>
      <c r="C3095" s="128">
        <f t="shared" si="136"/>
        <v>10</v>
      </c>
      <c r="D3095" s="136">
        <f t="shared" si="138"/>
        <v>43</v>
      </c>
      <c r="E3095" s="136">
        <f t="shared" si="137"/>
        <v>26</v>
      </c>
      <c r="F3095" s="137" t="s">
        <v>24</v>
      </c>
      <c r="G3095" s="128" t="str">
        <f>VLOOKUP(source[[#This Row],[lending_product_transform]],[3]Mapping!$B$4:$C$37,2,0)</f>
        <v>[Cake] - Cashloan</v>
      </c>
      <c r="H3095" s="128" t="str">
        <f>VLOOKUP(source[[#This Row],[lending_product_transform]],[3]Mapping!$B$3:$D$37,3,0)</f>
        <v>cashloan</v>
      </c>
      <c r="I3095" s="143">
        <v>73500000</v>
      </c>
    </row>
    <row r="3096" spans="1:9" x14ac:dyDescent="0.2">
      <c r="A3096" s="134">
        <v>45591</v>
      </c>
      <c r="B3096" s="135">
        <f>YEAR(source[[#This Row],[report_date]])</f>
        <v>2024</v>
      </c>
      <c r="C3096" s="128">
        <f t="shared" si="136"/>
        <v>10</v>
      </c>
      <c r="D3096" s="136">
        <f t="shared" si="138"/>
        <v>43</v>
      </c>
      <c r="E3096" s="136">
        <f t="shared" si="137"/>
        <v>26</v>
      </c>
      <c r="F3096" s="137" t="s">
        <v>24</v>
      </c>
      <c r="G3096" s="128" t="str">
        <f>VLOOKUP(source[[#This Row],[lending_product_transform]],[3]Mapping!$B$4:$C$37,2,0)</f>
        <v>[Cake] - Cashloan</v>
      </c>
      <c r="H3096" s="128" t="str">
        <f>VLOOKUP(source[[#This Row],[lending_product_transform]],[3]Mapping!$B$3:$D$37,3,0)</f>
        <v>cashloan</v>
      </c>
      <c r="I3096" s="143">
        <v>0</v>
      </c>
    </row>
    <row r="3097" spans="1:9" x14ac:dyDescent="0.2">
      <c r="A3097" s="134">
        <v>45591</v>
      </c>
      <c r="B3097" s="135">
        <f>YEAR(source[[#This Row],[report_date]])</f>
        <v>2024</v>
      </c>
      <c r="C3097" s="128">
        <f t="shared" si="136"/>
        <v>10</v>
      </c>
      <c r="D3097" s="136">
        <f t="shared" si="138"/>
        <v>43</v>
      </c>
      <c r="E3097" s="136">
        <f t="shared" si="137"/>
        <v>26</v>
      </c>
      <c r="F3097" s="137" t="s">
        <v>24</v>
      </c>
      <c r="G3097" s="128" t="str">
        <f>VLOOKUP(source[[#This Row],[lending_product_transform]],[3]Mapping!$B$4:$C$37,2,0)</f>
        <v>[Cake] - Cashloan</v>
      </c>
      <c r="H3097" s="128" t="str">
        <f>VLOOKUP(source[[#This Row],[lending_product_transform]],[3]Mapping!$B$3:$D$37,3,0)</f>
        <v>cashloan</v>
      </c>
      <c r="I3097" s="143">
        <v>0</v>
      </c>
    </row>
    <row r="3098" spans="1:9" x14ac:dyDescent="0.2">
      <c r="A3098" s="134">
        <v>45592</v>
      </c>
      <c r="B3098" s="135">
        <f>YEAR(source[[#This Row],[report_date]])</f>
        <v>2024</v>
      </c>
      <c r="C3098" s="128">
        <f t="shared" si="136"/>
        <v>10</v>
      </c>
      <c r="D3098" s="136">
        <f t="shared" si="138"/>
        <v>43</v>
      </c>
      <c r="E3098" s="136">
        <f t="shared" si="137"/>
        <v>27</v>
      </c>
      <c r="F3098" s="137" t="s">
        <v>24</v>
      </c>
      <c r="G3098" s="128" t="str">
        <f>VLOOKUP(source[[#This Row],[lending_product_transform]],[3]Mapping!$B$4:$C$37,2,0)</f>
        <v>[Cake] - Cashloan</v>
      </c>
      <c r="H3098" s="128" t="str">
        <f>VLOOKUP(source[[#This Row],[lending_product_transform]],[3]Mapping!$B$3:$D$37,3,0)</f>
        <v>cashloan</v>
      </c>
      <c r="I3098" s="143">
        <v>10500000</v>
      </c>
    </row>
    <row r="3099" spans="1:9" x14ac:dyDescent="0.2">
      <c r="A3099" s="134">
        <v>45592</v>
      </c>
      <c r="B3099" s="135">
        <f>YEAR(source[[#This Row],[report_date]])</f>
        <v>2024</v>
      </c>
      <c r="C3099" s="128">
        <f t="shared" si="136"/>
        <v>10</v>
      </c>
      <c r="D3099" s="136">
        <f t="shared" si="138"/>
        <v>43</v>
      </c>
      <c r="E3099" s="136">
        <f t="shared" si="137"/>
        <v>27</v>
      </c>
      <c r="F3099" s="137" t="s">
        <v>24</v>
      </c>
      <c r="G3099" s="128" t="str">
        <f>VLOOKUP(source[[#This Row],[lending_product_transform]],[3]Mapping!$B$4:$C$37,2,0)</f>
        <v>[Cake] - Cashloan</v>
      </c>
      <c r="H3099" s="128" t="str">
        <f>VLOOKUP(source[[#This Row],[lending_product_transform]],[3]Mapping!$B$3:$D$37,3,0)</f>
        <v>cashloan</v>
      </c>
      <c r="I3099" s="143">
        <v>56750000</v>
      </c>
    </row>
    <row r="3100" spans="1:9" x14ac:dyDescent="0.2">
      <c r="A3100" s="134">
        <v>45592</v>
      </c>
      <c r="B3100" s="135">
        <f>YEAR(source[[#This Row],[report_date]])</f>
        <v>2024</v>
      </c>
      <c r="C3100" s="128">
        <f t="shared" si="136"/>
        <v>10</v>
      </c>
      <c r="D3100" s="136">
        <f t="shared" si="138"/>
        <v>43</v>
      </c>
      <c r="E3100" s="136">
        <f t="shared" si="137"/>
        <v>27</v>
      </c>
      <c r="F3100" s="137" t="s">
        <v>24</v>
      </c>
      <c r="G3100" s="128" t="str">
        <f>VLOOKUP(source[[#This Row],[lending_product_transform]],[3]Mapping!$B$4:$C$37,2,0)</f>
        <v>[Cake] - Cashloan</v>
      </c>
      <c r="H3100" s="128" t="str">
        <f>VLOOKUP(source[[#This Row],[lending_product_transform]],[3]Mapping!$B$3:$D$37,3,0)</f>
        <v>cashloan</v>
      </c>
      <c r="I3100" s="143">
        <v>3782500000</v>
      </c>
    </row>
    <row r="3101" spans="1:9" x14ac:dyDescent="0.2">
      <c r="A3101" s="134">
        <v>45592</v>
      </c>
      <c r="B3101" s="135">
        <f>YEAR(source[[#This Row],[report_date]])</f>
        <v>2024</v>
      </c>
      <c r="C3101" s="128">
        <f t="shared" si="136"/>
        <v>10</v>
      </c>
      <c r="D3101" s="136">
        <f t="shared" si="138"/>
        <v>43</v>
      </c>
      <c r="E3101" s="136">
        <f t="shared" si="137"/>
        <v>27</v>
      </c>
      <c r="F3101" s="137" t="s">
        <v>24</v>
      </c>
      <c r="G3101" s="128" t="str">
        <f>VLOOKUP(source[[#This Row],[lending_product_transform]],[3]Mapping!$B$4:$C$37,2,0)</f>
        <v>[Cake] - Cashloan</v>
      </c>
      <c r="H3101" s="128" t="str">
        <f>VLOOKUP(source[[#This Row],[lending_product_transform]],[3]Mapping!$B$3:$D$37,3,0)</f>
        <v>cashloan</v>
      </c>
      <c r="I3101" s="143">
        <v>72100000</v>
      </c>
    </row>
    <row r="3102" spans="1:9" x14ac:dyDescent="0.2">
      <c r="A3102" s="134">
        <v>45592</v>
      </c>
      <c r="B3102" s="135">
        <f>YEAR(source[[#This Row],[report_date]])</f>
        <v>2024</v>
      </c>
      <c r="C3102" s="128">
        <f t="shared" si="136"/>
        <v>10</v>
      </c>
      <c r="D3102" s="136">
        <f t="shared" si="138"/>
        <v>43</v>
      </c>
      <c r="E3102" s="136">
        <f t="shared" si="137"/>
        <v>27</v>
      </c>
      <c r="F3102" s="137" t="s">
        <v>24</v>
      </c>
      <c r="G3102" s="128" t="str">
        <f>VLOOKUP(source[[#This Row],[lending_product_transform]],[3]Mapping!$B$4:$C$37,2,0)</f>
        <v>[Cake] - Cashloan</v>
      </c>
      <c r="H3102" s="128" t="str">
        <f>VLOOKUP(source[[#This Row],[lending_product_transform]],[3]Mapping!$B$3:$D$37,3,0)</f>
        <v>cashloan</v>
      </c>
      <c r="I3102" s="143">
        <v>4626730000</v>
      </c>
    </row>
    <row r="3103" spans="1:9" x14ac:dyDescent="0.2">
      <c r="A3103" s="134">
        <v>45592</v>
      </c>
      <c r="B3103" s="135">
        <f>YEAR(source[[#This Row],[report_date]])</f>
        <v>2024</v>
      </c>
      <c r="C3103" s="128">
        <f t="shared" si="136"/>
        <v>10</v>
      </c>
      <c r="D3103" s="136">
        <f t="shared" si="138"/>
        <v>43</v>
      </c>
      <c r="E3103" s="136">
        <f t="shared" si="137"/>
        <v>27</v>
      </c>
      <c r="F3103" s="137" t="s">
        <v>24</v>
      </c>
      <c r="G3103" s="128" t="str">
        <f>VLOOKUP(source[[#This Row],[lending_product_transform]],[3]Mapping!$B$4:$C$37,2,0)</f>
        <v>[Cake] - Cashloan</v>
      </c>
      <c r="H3103" s="128" t="str">
        <f>VLOOKUP(source[[#This Row],[lending_product_transform]],[3]Mapping!$B$3:$D$37,3,0)</f>
        <v>cashloan</v>
      </c>
      <c r="I3103" s="143">
        <v>0</v>
      </c>
    </row>
    <row r="3104" spans="1:9" x14ac:dyDescent="0.2">
      <c r="A3104" s="134">
        <v>45592</v>
      </c>
      <c r="B3104" s="135">
        <f>YEAR(source[[#This Row],[report_date]])</f>
        <v>2024</v>
      </c>
      <c r="C3104" s="128">
        <f t="shared" si="136"/>
        <v>10</v>
      </c>
      <c r="D3104" s="136">
        <f t="shared" si="138"/>
        <v>43</v>
      </c>
      <c r="E3104" s="136">
        <f t="shared" si="137"/>
        <v>27</v>
      </c>
      <c r="F3104" s="137" t="s">
        <v>24</v>
      </c>
      <c r="G3104" s="128" t="str">
        <f>VLOOKUP(source[[#This Row],[lending_product_transform]],[3]Mapping!$B$4:$C$37,2,0)</f>
        <v>[Cake] - Cashloan</v>
      </c>
      <c r="H3104" s="128" t="str">
        <f>VLOOKUP(source[[#This Row],[lending_product_transform]],[3]Mapping!$B$3:$D$37,3,0)</f>
        <v>cashloan</v>
      </c>
      <c r="I3104" s="143">
        <v>122370000</v>
      </c>
    </row>
    <row r="3105" spans="1:9" x14ac:dyDescent="0.2">
      <c r="A3105" s="134">
        <v>45592</v>
      </c>
      <c r="B3105" s="135">
        <f>YEAR(source[[#This Row],[report_date]])</f>
        <v>2024</v>
      </c>
      <c r="C3105" s="128">
        <f t="shared" si="136"/>
        <v>10</v>
      </c>
      <c r="D3105" s="136">
        <f t="shared" si="138"/>
        <v>43</v>
      </c>
      <c r="E3105" s="136">
        <f t="shared" si="137"/>
        <v>27</v>
      </c>
      <c r="F3105" s="137" t="s">
        <v>24</v>
      </c>
      <c r="G3105" s="128" t="str">
        <f>VLOOKUP(source[[#This Row],[lending_product_transform]],[3]Mapping!$B$4:$C$37,2,0)</f>
        <v>[Cake] - Cashloan</v>
      </c>
      <c r="H3105" s="128" t="str">
        <f>VLOOKUP(source[[#This Row],[lending_product_transform]],[3]Mapping!$B$3:$D$37,3,0)</f>
        <v>cashloan</v>
      </c>
      <c r="I3105" s="143">
        <v>0</v>
      </c>
    </row>
    <row r="3106" spans="1:9" x14ac:dyDescent="0.2">
      <c r="A3106" s="134">
        <v>45592</v>
      </c>
      <c r="B3106" s="135">
        <f>YEAR(source[[#This Row],[report_date]])</f>
        <v>2024</v>
      </c>
      <c r="C3106" s="128">
        <f t="shared" si="136"/>
        <v>10</v>
      </c>
      <c r="D3106" s="136">
        <f t="shared" si="138"/>
        <v>43</v>
      </c>
      <c r="E3106" s="136">
        <f t="shared" si="137"/>
        <v>27</v>
      </c>
      <c r="F3106" s="137" t="s">
        <v>24</v>
      </c>
      <c r="G3106" s="128" t="str">
        <f>VLOOKUP(source[[#This Row],[lending_product_transform]],[3]Mapping!$B$4:$C$37,2,0)</f>
        <v>[Cake] - Cashloan</v>
      </c>
      <c r="H3106" s="128" t="str">
        <f>VLOOKUP(source[[#This Row],[lending_product_transform]],[3]Mapping!$B$3:$D$37,3,0)</f>
        <v>cashloan</v>
      </c>
      <c r="I3106" s="143">
        <v>60428535</v>
      </c>
    </row>
    <row r="3107" spans="1:9" x14ac:dyDescent="0.2">
      <c r="A3107" s="134">
        <v>45592</v>
      </c>
      <c r="B3107" s="135">
        <f>YEAR(source[[#This Row],[report_date]])</f>
        <v>2024</v>
      </c>
      <c r="C3107" s="128">
        <f t="shared" si="136"/>
        <v>10</v>
      </c>
      <c r="D3107" s="136">
        <f t="shared" si="138"/>
        <v>43</v>
      </c>
      <c r="E3107" s="136">
        <f t="shared" si="137"/>
        <v>27</v>
      </c>
      <c r="F3107" s="137" t="s">
        <v>24</v>
      </c>
      <c r="G3107" s="128" t="str">
        <f>VLOOKUP(source[[#This Row],[lending_product_transform]],[3]Mapping!$B$4:$C$37,2,0)</f>
        <v>[Cake] - Cashloan</v>
      </c>
      <c r="H3107" s="128" t="str">
        <f>VLOOKUP(source[[#This Row],[lending_product_transform]],[3]Mapping!$B$3:$D$37,3,0)</f>
        <v>cashloan</v>
      </c>
      <c r="I3107" s="143">
        <v>51000000</v>
      </c>
    </row>
    <row r="3108" spans="1:9" x14ac:dyDescent="0.2">
      <c r="A3108" s="134">
        <v>45592</v>
      </c>
      <c r="B3108" s="135">
        <f>YEAR(source[[#This Row],[report_date]])</f>
        <v>2024</v>
      </c>
      <c r="C3108" s="128">
        <f t="shared" si="136"/>
        <v>10</v>
      </c>
      <c r="D3108" s="136">
        <f t="shared" si="138"/>
        <v>43</v>
      </c>
      <c r="E3108" s="136">
        <f t="shared" si="137"/>
        <v>27</v>
      </c>
      <c r="F3108" s="137" t="s">
        <v>24</v>
      </c>
      <c r="G3108" s="128" t="str">
        <f>VLOOKUP(source[[#This Row],[lending_product_transform]],[3]Mapping!$B$4:$C$37,2,0)</f>
        <v>[Cake] - Cashloan</v>
      </c>
      <c r="H3108" s="128" t="str">
        <f>VLOOKUP(source[[#This Row],[lending_product_transform]],[3]Mapping!$B$3:$D$37,3,0)</f>
        <v>cashloan</v>
      </c>
      <c r="I3108" s="143">
        <v>0</v>
      </c>
    </row>
    <row r="3109" spans="1:9" x14ac:dyDescent="0.2">
      <c r="A3109" s="134">
        <v>45592</v>
      </c>
      <c r="B3109" s="135">
        <f>YEAR(source[[#This Row],[report_date]])</f>
        <v>2024</v>
      </c>
      <c r="C3109" s="128">
        <f t="shared" ref="C3109:C3169" si="139">MONTH(A3109)</f>
        <v>10</v>
      </c>
      <c r="D3109" s="136">
        <f t="shared" si="138"/>
        <v>43</v>
      </c>
      <c r="E3109" s="136">
        <f t="shared" ref="E3109:E3169" si="140">DAY(A3109)</f>
        <v>27</v>
      </c>
      <c r="F3109" s="137" t="s">
        <v>24</v>
      </c>
      <c r="G3109" s="128" t="str">
        <f>VLOOKUP(source[[#This Row],[lending_product_transform]],[3]Mapping!$B$4:$C$37,2,0)</f>
        <v>[Cake] - Cashloan</v>
      </c>
      <c r="H3109" s="128" t="str">
        <f>VLOOKUP(source[[#This Row],[lending_product_transform]],[3]Mapping!$B$3:$D$37,3,0)</f>
        <v>cashloan</v>
      </c>
      <c r="I3109" s="143">
        <v>2949547990</v>
      </c>
    </row>
    <row r="3110" spans="1:9" x14ac:dyDescent="0.2">
      <c r="A3110" s="134">
        <v>45592</v>
      </c>
      <c r="B3110" s="135">
        <f>YEAR(source[[#This Row],[report_date]])</f>
        <v>2024</v>
      </c>
      <c r="C3110" s="128">
        <f t="shared" si="139"/>
        <v>10</v>
      </c>
      <c r="D3110" s="136">
        <f t="shared" si="138"/>
        <v>43</v>
      </c>
      <c r="E3110" s="136">
        <f t="shared" si="140"/>
        <v>27</v>
      </c>
      <c r="F3110" s="137" t="s">
        <v>24</v>
      </c>
      <c r="G3110" s="128" t="str">
        <f>VLOOKUP(source[[#This Row],[lending_product_transform]],[3]Mapping!$B$4:$C$37,2,0)</f>
        <v>[Cake] - Cashloan</v>
      </c>
      <c r="H3110" s="128" t="str">
        <f>VLOOKUP(source[[#This Row],[lending_product_transform]],[3]Mapping!$B$3:$D$37,3,0)</f>
        <v>cashloan</v>
      </c>
      <c r="I3110" s="143">
        <v>286676536</v>
      </c>
    </row>
    <row r="3111" spans="1:9" x14ac:dyDescent="0.2">
      <c r="A3111" s="134">
        <v>45592</v>
      </c>
      <c r="B3111" s="135">
        <f>YEAR(source[[#This Row],[report_date]])</f>
        <v>2024</v>
      </c>
      <c r="C3111" s="128">
        <f t="shared" si="139"/>
        <v>10</v>
      </c>
      <c r="D3111" s="136">
        <f t="shared" si="138"/>
        <v>43</v>
      </c>
      <c r="E3111" s="136">
        <f t="shared" si="140"/>
        <v>27</v>
      </c>
      <c r="F3111" s="137" t="s">
        <v>24</v>
      </c>
      <c r="G3111" s="128" t="str">
        <f>VLOOKUP(source[[#This Row],[lending_product_transform]],[3]Mapping!$B$4:$C$37,2,0)</f>
        <v>[Cake] - Cashloan</v>
      </c>
      <c r="H3111" s="128" t="str">
        <f>VLOOKUP(source[[#This Row],[lending_product_transform]],[3]Mapping!$B$3:$D$37,3,0)</f>
        <v>cashloan</v>
      </c>
      <c r="I3111" s="143">
        <v>3089700000</v>
      </c>
    </row>
    <row r="3112" spans="1:9" x14ac:dyDescent="0.2">
      <c r="A3112" s="134">
        <v>45593</v>
      </c>
      <c r="B3112" s="135">
        <f>YEAR(source[[#This Row],[report_date]])</f>
        <v>2024</v>
      </c>
      <c r="C3112" s="128">
        <f t="shared" si="139"/>
        <v>10</v>
      </c>
      <c r="D3112" s="136">
        <f t="shared" si="138"/>
        <v>44</v>
      </c>
      <c r="E3112" s="136">
        <f t="shared" si="140"/>
        <v>28</v>
      </c>
      <c r="F3112" s="137" t="s">
        <v>24</v>
      </c>
      <c r="G3112" s="128" t="str">
        <f>VLOOKUP(source[[#This Row],[lending_product_transform]],[3]Mapping!$B$4:$C$37,2,0)</f>
        <v>[Cake] - Cashloan</v>
      </c>
      <c r="H3112" s="128" t="str">
        <f>VLOOKUP(source[[#This Row],[lending_product_transform]],[3]Mapping!$B$3:$D$37,3,0)</f>
        <v>cashloan</v>
      </c>
      <c r="I3112" s="143">
        <v>311926906</v>
      </c>
    </row>
    <row r="3113" spans="1:9" x14ac:dyDescent="0.2">
      <c r="A3113" s="134">
        <v>45593</v>
      </c>
      <c r="B3113" s="135">
        <f>YEAR(source[[#This Row],[report_date]])</f>
        <v>2024</v>
      </c>
      <c r="C3113" s="128">
        <f t="shared" si="139"/>
        <v>10</v>
      </c>
      <c r="D3113" s="136">
        <f t="shared" si="138"/>
        <v>44</v>
      </c>
      <c r="E3113" s="136">
        <f t="shared" si="140"/>
        <v>28</v>
      </c>
      <c r="F3113" s="137" t="s">
        <v>24</v>
      </c>
      <c r="G3113" s="128" t="str">
        <f>VLOOKUP(source[[#This Row],[lending_product_transform]],[3]Mapping!$B$4:$C$37,2,0)</f>
        <v>[Cake] - Cashloan</v>
      </c>
      <c r="H3113" s="128" t="str">
        <f>VLOOKUP(source[[#This Row],[lending_product_transform]],[3]Mapping!$B$3:$D$37,3,0)</f>
        <v>cashloan</v>
      </c>
      <c r="I3113" s="143">
        <v>10000</v>
      </c>
    </row>
    <row r="3114" spans="1:9" x14ac:dyDescent="0.2">
      <c r="A3114" s="134">
        <v>45593</v>
      </c>
      <c r="B3114" s="135">
        <f>YEAR(source[[#This Row],[report_date]])</f>
        <v>2024</v>
      </c>
      <c r="C3114" s="128">
        <f t="shared" si="139"/>
        <v>10</v>
      </c>
      <c r="D3114" s="136">
        <f t="shared" si="138"/>
        <v>44</v>
      </c>
      <c r="E3114" s="136">
        <f t="shared" si="140"/>
        <v>28</v>
      </c>
      <c r="F3114" s="137" t="s">
        <v>24</v>
      </c>
      <c r="G3114" s="128" t="str">
        <f>VLOOKUP(source[[#This Row],[lending_product_transform]],[3]Mapping!$B$4:$C$37,2,0)</f>
        <v>[Cake] - Cashloan</v>
      </c>
      <c r="H3114" s="128" t="str">
        <f>VLOOKUP(source[[#This Row],[lending_product_transform]],[3]Mapping!$B$3:$D$37,3,0)</f>
        <v>cashloan</v>
      </c>
      <c r="I3114" s="143">
        <v>3791000000</v>
      </c>
    </row>
    <row r="3115" spans="1:9" x14ac:dyDescent="0.2">
      <c r="A3115" s="134">
        <v>45593</v>
      </c>
      <c r="B3115" s="135">
        <f>YEAR(source[[#This Row],[report_date]])</f>
        <v>2024</v>
      </c>
      <c r="C3115" s="128">
        <f t="shared" si="139"/>
        <v>10</v>
      </c>
      <c r="D3115" s="136">
        <f t="shared" si="138"/>
        <v>44</v>
      </c>
      <c r="E3115" s="136">
        <f t="shared" si="140"/>
        <v>28</v>
      </c>
      <c r="F3115" s="137" t="s">
        <v>24</v>
      </c>
      <c r="G3115" s="128" t="str">
        <f>VLOOKUP(source[[#This Row],[lending_product_transform]],[3]Mapping!$B$4:$C$37,2,0)</f>
        <v>[Cake] - Cashloan</v>
      </c>
      <c r="H3115" s="128" t="str">
        <f>VLOOKUP(source[[#This Row],[lending_product_transform]],[3]Mapping!$B$3:$D$37,3,0)</f>
        <v>cashloan</v>
      </c>
      <c r="I3115" s="143">
        <v>10700000</v>
      </c>
    </row>
    <row r="3116" spans="1:9" x14ac:dyDescent="0.2">
      <c r="A3116" s="134">
        <v>45593</v>
      </c>
      <c r="B3116" s="135">
        <f>YEAR(source[[#This Row],[report_date]])</f>
        <v>2024</v>
      </c>
      <c r="C3116" s="128">
        <f t="shared" si="139"/>
        <v>10</v>
      </c>
      <c r="D3116" s="136">
        <f t="shared" si="138"/>
        <v>44</v>
      </c>
      <c r="E3116" s="136">
        <f t="shared" si="140"/>
        <v>28</v>
      </c>
      <c r="F3116" s="137" t="s">
        <v>24</v>
      </c>
      <c r="G3116" s="128" t="str">
        <f>VLOOKUP(source[[#This Row],[lending_product_transform]],[3]Mapping!$B$4:$C$37,2,0)</f>
        <v>[Cake] - Cashloan</v>
      </c>
      <c r="H3116" s="128" t="str">
        <f>VLOOKUP(source[[#This Row],[lending_product_transform]],[3]Mapping!$B$3:$D$37,3,0)</f>
        <v>cashloan</v>
      </c>
      <c r="I3116" s="143">
        <v>126530000</v>
      </c>
    </row>
    <row r="3117" spans="1:9" x14ac:dyDescent="0.2">
      <c r="A3117" s="134">
        <v>45593</v>
      </c>
      <c r="B3117" s="135">
        <f>YEAR(source[[#This Row],[report_date]])</f>
        <v>2024</v>
      </c>
      <c r="C3117" s="128">
        <f t="shared" si="139"/>
        <v>10</v>
      </c>
      <c r="D3117" s="136">
        <f t="shared" si="138"/>
        <v>44</v>
      </c>
      <c r="E3117" s="136">
        <f t="shared" si="140"/>
        <v>28</v>
      </c>
      <c r="F3117" s="137" t="s">
        <v>24</v>
      </c>
      <c r="G3117" s="128" t="str">
        <f>VLOOKUP(source[[#This Row],[lending_product_transform]],[3]Mapping!$B$4:$C$37,2,0)</f>
        <v>[Cake] - Cashloan</v>
      </c>
      <c r="H3117" s="128" t="str">
        <f>VLOOKUP(source[[#This Row],[lending_product_transform]],[3]Mapping!$B$3:$D$37,3,0)</f>
        <v>cashloan</v>
      </c>
      <c r="I3117" s="143">
        <v>127250000</v>
      </c>
    </row>
    <row r="3118" spans="1:9" x14ac:dyDescent="0.2">
      <c r="A3118" s="134">
        <v>45593</v>
      </c>
      <c r="B3118" s="135">
        <f>YEAR(source[[#This Row],[report_date]])</f>
        <v>2024</v>
      </c>
      <c r="C3118" s="128">
        <f t="shared" si="139"/>
        <v>10</v>
      </c>
      <c r="D3118" s="136">
        <f t="shared" si="138"/>
        <v>44</v>
      </c>
      <c r="E3118" s="136">
        <f t="shared" si="140"/>
        <v>28</v>
      </c>
      <c r="F3118" s="137" t="s">
        <v>24</v>
      </c>
      <c r="G3118" s="128" t="str">
        <f>VLOOKUP(source[[#This Row],[lending_product_transform]],[3]Mapping!$B$4:$C$37,2,0)</f>
        <v>[Cake] - Cashloan</v>
      </c>
      <c r="H3118" s="128" t="str">
        <f>VLOOKUP(source[[#This Row],[lending_product_transform]],[3]Mapping!$B$3:$D$37,3,0)</f>
        <v>cashloan</v>
      </c>
      <c r="I3118" s="143">
        <v>0</v>
      </c>
    </row>
    <row r="3119" spans="1:9" x14ac:dyDescent="0.2">
      <c r="A3119" s="134">
        <v>45593</v>
      </c>
      <c r="B3119" s="135">
        <f>YEAR(source[[#This Row],[report_date]])</f>
        <v>2024</v>
      </c>
      <c r="C3119" s="128">
        <f t="shared" si="139"/>
        <v>10</v>
      </c>
      <c r="D3119" s="136">
        <f t="shared" si="138"/>
        <v>44</v>
      </c>
      <c r="E3119" s="136">
        <f t="shared" si="140"/>
        <v>28</v>
      </c>
      <c r="F3119" s="137" t="s">
        <v>24</v>
      </c>
      <c r="G3119" s="128" t="str">
        <f>VLOOKUP(source[[#This Row],[lending_product_transform]],[3]Mapping!$B$4:$C$37,2,0)</f>
        <v>[Cake] - Cashloan</v>
      </c>
      <c r="H3119" s="128" t="str">
        <f>VLOOKUP(source[[#This Row],[lending_product_transform]],[3]Mapping!$B$3:$D$37,3,0)</f>
        <v>cashloan</v>
      </c>
      <c r="I3119" s="143">
        <v>77000000</v>
      </c>
    </row>
    <row r="3120" spans="1:9" x14ac:dyDescent="0.2">
      <c r="A3120" s="134">
        <v>45593</v>
      </c>
      <c r="B3120" s="135">
        <f>YEAR(source[[#This Row],[report_date]])</f>
        <v>2024</v>
      </c>
      <c r="C3120" s="128">
        <f t="shared" si="139"/>
        <v>10</v>
      </c>
      <c r="D3120" s="136">
        <f t="shared" si="138"/>
        <v>44</v>
      </c>
      <c r="E3120" s="136">
        <f t="shared" si="140"/>
        <v>28</v>
      </c>
      <c r="F3120" s="137" t="s">
        <v>24</v>
      </c>
      <c r="G3120" s="128" t="str">
        <f>VLOOKUP(source[[#This Row],[lending_product_transform]],[3]Mapping!$B$4:$C$37,2,0)</f>
        <v>[Cake] - Cashloan</v>
      </c>
      <c r="H3120" s="128" t="str">
        <f>VLOOKUP(source[[#This Row],[lending_product_transform]],[3]Mapping!$B$3:$D$37,3,0)</f>
        <v>cashloan</v>
      </c>
      <c r="I3120" s="143">
        <v>55840640</v>
      </c>
    </row>
    <row r="3121" spans="1:9" x14ac:dyDescent="0.2">
      <c r="A3121" s="134">
        <v>45593</v>
      </c>
      <c r="B3121" s="135">
        <f>YEAR(source[[#This Row],[report_date]])</f>
        <v>2024</v>
      </c>
      <c r="C3121" s="128">
        <f t="shared" si="139"/>
        <v>10</v>
      </c>
      <c r="D3121" s="136">
        <f t="shared" si="138"/>
        <v>44</v>
      </c>
      <c r="E3121" s="136">
        <f t="shared" si="140"/>
        <v>28</v>
      </c>
      <c r="F3121" s="137" t="s">
        <v>24</v>
      </c>
      <c r="G3121" s="128" t="str">
        <f>VLOOKUP(source[[#This Row],[lending_product_transform]],[3]Mapping!$B$4:$C$37,2,0)</f>
        <v>[Cake] - Cashloan</v>
      </c>
      <c r="H3121" s="128" t="str">
        <f>VLOOKUP(source[[#This Row],[lending_product_transform]],[3]Mapping!$B$3:$D$37,3,0)</f>
        <v>cashloan</v>
      </c>
      <c r="I3121" s="143">
        <v>5499250000</v>
      </c>
    </row>
    <row r="3122" spans="1:9" x14ac:dyDescent="0.2">
      <c r="A3122" s="134">
        <v>45593</v>
      </c>
      <c r="B3122" s="135">
        <f>YEAR(source[[#This Row],[report_date]])</f>
        <v>2024</v>
      </c>
      <c r="C3122" s="128">
        <f t="shared" si="139"/>
        <v>10</v>
      </c>
      <c r="D3122" s="136">
        <f t="shared" si="138"/>
        <v>44</v>
      </c>
      <c r="E3122" s="136">
        <f t="shared" si="140"/>
        <v>28</v>
      </c>
      <c r="F3122" s="137" t="s">
        <v>24</v>
      </c>
      <c r="G3122" s="128" t="str">
        <f>VLOOKUP(source[[#This Row],[lending_product_transform]],[3]Mapping!$B$4:$C$37,2,0)</f>
        <v>[Cake] - Cashloan</v>
      </c>
      <c r="H3122" s="128" t="str">
        <f>VLOOKUP(source[[#This Row],[lending_product_transform]],[3]Mapping!$B$3:$D$37,3,0)</f>
        <v>cashloan</v>
      </c>
      <c r="I3122" s="143">
        <v>3274510000</v>
      </c>
    </row>
    <row r="3123" spans="1:9" x14ac:dyDescent="0.2">
      <c r="A3123" s="134">
        <v>45593</v>
      </c>
      <c r="B3123" s="135">
        <f>YEAR(source[[#This Row],[report_date]])</f>
        <v>2024</v>
      </c>
      <c r="C3123" s="128">
        <f t="shared" si="139"/>
        <v>10</v>
      </c>
      <c r="D3123" s="136">
        <f t="shared" si="138"/>
        <v>44</v>
      </c>
      <c r="E3123" s="136">
        <f t="shared" si="140"/>
        <v>28</v>
      </c>
      <c r="F3123" s="137" t="s">
        <v>24</v>
      </c>
      <c r="G3123" s="128" t="str">
        <f>VLOOKUP(source[[#This Row],[lending_product_transform]],[3]Mapping!$B$4:$C$37,2,0)</f>
        <v>[Cake] - Cashloan</v>
      </c>
      <c r="H3123" s="128" t="str">
        <f>VLOOKUP(source[[#This Row],[lending_product_transform]],[3]Mapping!$B$3:$D$37,3,0)</f>
        <v>cashloan</v>
      </c>
      <c r="I3123" s="143">
        <v>10500000</v>
      </c>
    </row>
    <row r="3124" spans="1:9" x14ac:dyDescent="0.2">
      <c r="A3124" s="134">
        <v>45593</v>
      </c>
      <c r="B3124" s="135">
        <f>YEAR(source[[#This Row],[report_date]])</f>
        <v>2024</v>
      </c>
      <c r="C3124" s="128">
        <f t="shared" si="139"/>
        <v>10</v>
      </c>
      <c r="D3124" s="136">
        <f t="shared" si="138"/>
        <v>44</v>
      </c>
      <c r="E3124" s="136">
        <f t="shared" si="140"/>
        <v>28</v>
      </c>
      <c r="F3124" s="137" t="s">
        <v>24</v>
      </c>
      <c r="G3124" s="128" t="str">
        <f>VLOOKUP(source[[#This Row],[lending_product_transform]],[3]Mapping!$B$4:$C$37,2,0)</f>
        <v>[Cake] - Cashloan</v>
      </c>
      <c r="H3124" s="128" t="str">
        <f>VLOOKUP(source[[#This Row],[lending_product_transform]],[3]Mapping!$B$3:$D$37,3,0)</f>
        <v>cashloan</v>
      </c>
      <c r="I3124" s="143">
        <v>41000000</v>
      </c>
    </row>
    <row r="3125" spans="1:9" x14ac:dyDescent="0.2">
      <c r="A3125" s="134">
        <v>45593</v>
      </c>
      <c r="B3125" s="135">
        <f>YEAR(source[[#This Row],[report_date]])</f>
        <v>2024</v>
      </c>
      <c r="C3125" s="128">
        <f t="shared" si="139"/>
        <v>10</v>
      </c>
      <c r="D3125" s="136">
        <f t="shared" si="138"/>
        <v>44</v>
      </c>
      <c r="E3125" s="136">
        <f t="shared" si="140"/>
        <v>28</v>
      </c>
      <c r="F3125" s="137" t="s">
        <v>24</v>
      </c>
      <c r="G3125" s="128" t="str">
        <f>VLOOKUP(source[[#This Row],[lending_product_transform]],[3]Mapping!$B$4:$C$37,2,0)</f>
        <v>[Cake] - Cashloan</v>
      </c>
      <c r="H3125" s="128" t="str">
        <f>VLOOKUP(source[[#This Row],[lending_product_transform]],[3]Mapping!$B$3:$D$37,3,0)</f>
        <v>cashloan</v>
      </c>
      <c r="I3125" s="143">
        <v>2777585315</v>
      </c>
    </row>
    <row r="3126" spans="1:9" x14ac:dyDescent="0.2">
      <c r="A3126" s="134">
        <v>45594</v>
      </c>
      <c r="B3126" s="135">
        <f>YEAR(source[[#This Row],[report_date]])</f>
        <v>2024</v>
      </c>
      <c r="C3126" s="128">
        <f t="shared" si="139"/>
        <v>10</v>
      </c>
      <c r="D3126" s="136">
        <f t="shared" si="138"/>
        <v>44</v>
      </c>
      <c r="E3126" s="136">
        <f t="shared" si="140"/>
        <v>29</v>
      </c>
      <c r="F3126" s="137" t="s">
        <v>24</v>
      </c>
      <c r="G3126" s="128" t="str">
        <f>VLOOKUP(source[[#This Row],[lending_product_transform]],[3]Mapping!$B$4:$C$37,2,0)</f>
        <v>[Cake] - Cashloan</v>
      </c>
      <c r="H3126" s="128" t="str">
        <f>VLOOKUP(source[[#This Row],[lending_product_transform]],[3]Mapping!$B$3:$D$37,3,0)</f>
        <v>cashloan</v>
      </c>
      <c r="I3126" s="143">
        <v>79800000</v>
      </c>
    </row>
    <row r="3127" spans="1:9" x14ac:dyDescent="0.2">
      <c r="A3127" s="134">
        <v>45594</v>
      </c>
      <c r="B3127" s="135">
        <f>YEAR(source[[#This Row],[report_date]])</f>
        <v>2024</v>
      </c>
      <c r="C3127" s="128">
        <f t="shared" si="139"/>
        <v>10</v>
      </c>
      <c r="D3127" s="136">
        <f t="shared" si="138"/>
        <v>44</v>
      </c>
      <c r="E3127" s="136">
        <f t="shared" si="140"/>
        <v>29</v>
      </c>
      <c r="F3127" s="137" t="s">
        <v>24</v>
      </c>
      <c r="G3127" s="128" t="str">
        <f>VLOOKUP(source[[#This Row],[lending_product_transform]],[3]Mapping!$B$4:$C$37,2,0)</f>
        <v>[Cake] - Cashloan</v>
      </c>
      <c r="H3127" s="128" t="str">
        <f>VLOOKUP(source[[#This Row],[lending_product_transform]],[3]Mapping!$B$3:$D$37,3,0)</f>
        <v>cashloan</v>
      </c>
      <c r="I3127" s="143">
        <v>52435769</v>
      </c>
    </row>
    <row r="3128" spans="1:9" x14ac:dyDescent="0.2">
      <c r="A3128" s="134">
        <v>45594</v>
      </c>
      <c r="B3128" s="135">
        <f>YEAR(source[[#This Row],[report_date]])</f>
        <v>2024</v>
      </c>
      <c r="C3128" s="128">
        <f t="shared" si="139"/>
        <v>10</v>
      </c>
      <c r="D3128" s="136">
        <f t="shared" si="138"/>
        <v>44</v>
      </c>
      <c r="E3128" s="136">
        <f t="shared" si="140"/>
        <v>29</v>
      </c>
      <c r="F3128" s="137" t="s">
        <v>24</v>
      </c>
      <c r="G3128" s="128" t="str">
        <f>VLOOKUP(source[[#This Row],[lending_product_transform]],[3]Mapping!$B$4:$C$37,2,0)</f>
        <v>[Cake] - Cashloan</v>
      </c>
      <c r="H3128" s="128" t="str">
        <f>VLOOKUP(source[[#This Row],[lending_product_transform]],[3]Mapping!$B$3:$D$37,3,0)</f>
        <v>cashloan</v>
      </c>
      <c r="I3128" s="143">
        <v>83000000</v>
      </c>
    </row>
    <row r="3129" spans="1:9" x14ac:dyDescent="0.2">
      <c r="A3129" s="134">
        <v>45594</v>
      </c>
      <c r="B3129" s="135">
        <f>YEAR(source[[#This Row],[report_date]])</f>
        <v>2024</v>
      </c>
      <c r="C3129" s="128">
        <f t="shared" si="139"/>
        <v>10</v>
      </c>
      <c r="D3129" s="136">
        <f t="shared" si="138"/>
        <v>44</v>
      </c>
      <c r="E3129" s="136">
        <f t="shared" si="140"/>
        <v>29</v>
      </c>
      <c r="F3129" s="137" t="s">
        <v>24</v>
      </c>
      <c r="G3129" s="128" t="str">
        <f>VLOOKUP(source[[#This Row],[lending_product_transform]],[3]Mapping!$B$4:$C$37,2,0)</f>
        <v>[Cake] - Cashloan</v>
      </c>
      <c r="H3129" s="128" t="str">
        <f>VLOOKUP(source[[#This Row],[lending_product_transform]],[3]Mapping!$B$3:$D$37,3,0)</f>
        <v>cashloan</v>
      </c>
      <c r="I3129" s="143">
        <v>4126250000</v>
      </c>
    </row>
    <row r="3130" spans="1:9" x14ac:dyDescent="0.2">
      <c r="A3130" s="134">
        <v>45594</v>
      </c>
      <c r="B3130" s="135">
        <f>YEAR(source[[#This Row],[report_date]])</f>
        <v>2024</v>
      </c>
      <c r="C3130" s="128">
        <f t="shared" si="139"/>
        <v>10</v>
      </c>
      <c r="D3130" s="136">
        <f t="shared" si="138"/>
        <v>44</v>
      </c>
      <c r="E3130" s="136">
        <f t="shared" si="140"/>
        <v>29</v>
      </c>
      <c r="F3130" s="137" t="s">
        <v>24</v>
      </c>
      <c r="G3130" s="128" t="str">
        <f>VLOOKUP(source[[#This Row],[lending_product_transform]],[3]Mapping!$B$4:$C$37,2,0)</f>
        <v>[Cake] - Cashloan</v>
      </c>
      <c r="H3130" s="128" t="str">
        <f>VLOOKUP(source[[#This Row],[lending_product_transform]],[3]Mapping!$B$3:$D$37,3,0)</f>
        <v>cashloan</v>
      </c>
      <c r="I3130" s="143">
        <v>0</v>
      </c>
    </row>
    <row r="3131" spans="1:9" x14ac:dyDescent="0.2">
      <c r="A3131" s="134">
        <v>45594</v>
      </c>
      <c r="B3131" s="135">
        <f>YEAR(source[[#This Row],[report_date]])</f>
        <v>2024</v>
      </c>
      <c r="C3131" s="128">
        <f t="shared" si="139"/>
        <v>10</v>
      </c>
      <c r="D3131" s="136">
        <f t="shared" si="138"/>
        <v>44</v>
      </c>
      <c r="E3131" s="136">
        <f t="shared" si="140"/>
        <v>29</v>
      </c>
      <c r="F3131" s="137" t="s">
        <v>24</v>
      </c>
      <c r="G3131" s="128" t="str">
        <f>VLOOKUP(source[[#This Row],[lending_product_transform]],[3]Mapping!$B$4:$C$37,2,0)</f>
        <v>[Cake] - Cashloan</v>
      </c>
      <c r="H3131" s="128" t="str">
        <f>VLOOKUP(source[[#This Row],[lending_product_transform]],[3]Mapping!$B$3:$D$37,3,0)</f>
        <v>cashloan</v>
      </c>
      <c r="I3131" s="143">
        <v>15000000</v>
      </c>
    </row>
    <row r="3132" spans="1:9" x14ac:dyDescent="0.2">
      <c r="A3132" s="134">
        <v>45594</v>
      </c>
      <c r="B3132" s="135">
        <f>YEAR(source[[#This Row],[report_date]])</f>
        <v>2024</v>
      </c>
      <c r="C3132" s="128">
        <f t="shared" si="139"/>
        <v>10</v>
      </c>
      <c r="D3132" s="136">
        <f t="shared" si="138"/>
        <v>44</v>
      </c>
      <c r="E3132" s="136">
        <f t="shared" si="140"/>
        <v>29</v>
      </c>
      <c r="F3132" s="137" t="s">
        <v>24</v>
      </c>
      <c r="G3132" s="128" t="str">
        <f>VLOOKUP(source[[#This Row],[lending_product_transform]],[3]Mapping!$B$4:$C$37,2,0)</f>
        <v>[Cake] - Cashloan</v>
      </c>
      <c r="H3132" s="128" t="str">
        <f>VLOOKUP(source[[#This Row],[lending_product_transform]],[3]Mapping!$B$3:$D$37,3,0)</f>
        <v>cashloan</v>
      </c>
      <c r="I3132" s="143">
        <v>3458000000</v>
      </c>
    </row>
    <row r="3133" spans="1:9" x14ac:dyDescent="0.2">
      <c r="A3133" s="134">
        <v>45594</v>
      </c>
      <c r="B3133" s="135">
        <f>YEAR(source[[#This Row],[report_date]])</f>
        <v>2024</v>
      </c>
      <c r="C3133" s="128">
        <f t="shared" si="139"/>
        <v>10</v>
      </c>
      <c r="D3133" s="136">
        <f t="shared" si="138"/>
        <v>44</v>
      </c>
      <c r="E3133" s="136">
        <f t="shared" si="140"/>
        <v>29</v>
      </c>
      <c r="F3133" s="137" t="s">
        <v>24</v>
      </c>
      <c r="G3133" s="128" t="str">
        <f>VLOOKUP(source[[#This Row],[lending_product_transform]],[3]Mapping!$B$4:$C$37,2,0)</f>
        <v>[Cake] - Cashloan</v>
      </c>
      <c r="H3133" s="128" t="str">
        <f>VLOOKUP(source[[#This Row],[lending_product_transform]],[3]Mapping!$B$3:$D$37,3,0)</f>
        <v>cashloan</v>
      </c>
      <c r="I3133" s="143">
        <v>275572391</v>
      </c>
    </row>
    <row r="3134" spans="1:9" x14ac:dyDescent="0.2">
      <c r="A3134" s="134">
        <v>45594</v>
      </c>
      <c r="B3134" s="135">
        <f>YEAR(source[[#This Row],[report_date]])</f>
        <v>2024</v>
      </c>
      <c r="C3134" s="128">
        <f t="shared" si="139"/>
        <v>10</v>
      </c>
      <c r="D3134" s="136">
        <f t="shared" si="138"/>
        <v>44</v>
      </c>
      <c r="E3134" s="136">
        <f t="shared" si="140"/>
        <v>29</v>
      </c>
      <c r="F3134" s="137" t="s">
        <v>24</v>
      </c>
      <c r="G3134" s="128" t="str">
        <f>VLOOKUP(source[[#This Row],[lending_product_transform]],[3]Mapping!$B$4:$C$37,2,0)</f>
        <v>[Cake] - Cashloan</v>
      </c>
      <c r="H3134" s="128" t="str">
        <f>VLOOKUP(source[[#This Row],[lending_product_transform]],[3]Mapping!$B$3:$D$37,3,0)</f>
        <v>cashloan</v>
      </c>
      <c r="I3134" s="143">
        <v>73500000</v>
      </c>
    </row>
    <row r="3135" spans="1:9" x14ac:dyDescent="0.2">
      <c r="A3135" s="134">
        <v>45594</v>
      </c>
      <c r="B3135" s="135">
        <f>YEAR(source[[#This Row],[report_date]])</f>
        <v>2024</v>
      </c>
      <c r="C3135" s="128">
        <f t="shared" si="139"/>
        <v>10</v>
      </c>
      <c r="D3135" s="136">
        <f t="shared" si="138"/>
        <v>44</v>
      </c>
      <c r="E3135" s="136">
        <f t="shared" si="140"/>
        <v>29</v>
      </c>
      <c r="F3135" s="137" t="s">
        <v>24</v>
      </c>
      <c r="G3135" s="128" t="str">
        <f>VLOOKUP(source[[#This Row],[lending_product_transform]],[3]Mapping!$B$4:$C$37,2,0)</f>
        <v>[Cake] - Cashloan</v>
      </c>
      <c r="H3135" s="128" t="str">
        <f>VLOOKUP(source[[#This Row],[lending_product_transform]],[3]Mapping!$B$3:$D$37,3,0)</f>
        <v>cashloan</v>
      </c>
      <c r="I3135" s="143">
        <v>41000000</v>
      </c>
    </row>
    <row r="3136" spans="1:9" x14ac:dyDescent="0.2">
      <c r="A3136" s="134">
        <v>45594</v>
      </c>
      <c r="B3136" s="135">
        <f>YEAR(source[[#This Row],[report_date]])</f>
        <v>2024</v>
      </c>
      <c r="C3136" s="128">
        <f t="shared" si="139"/>
        <v>10</v>
      </c>
      <c r="D3136" s="136">
        <f t="shared" si="138"/>
        <v>44</v>
      </c>
      <c r="E3136" s="136">
        <f t="shared" si="140"/>
        <v>29</v>
      </c>
      <c r="F3136" s="137" t="s">
        <v>24</v>
      </c>
      <c r="G3136" s="128" t="str">
        <f>VLOOKUP(source[[#This Row],[lending_product_transform]],[3]Mapping!$B$4:$C$37,2,0)</f>
        <v>[Cake] - Cashloan</v>
      </c>
      <c r="H3136" s="128" t="str">
        <f>VLOOKUP(source[[#This Row],[lending_product_transform]],[3]Mapping!$B$3:$D$37,3,0)</f>
        <v>cashloan</v>
      </c>
      <c r="I3136" s="143">
        <v>3238427560</v>
      </c>
    </row>
    <row r="3137" spans="1:9" x14ac:dyDescent="0.2">
      <c r="A3137" s="134">
        <v>45594</v>
      </c>
      <c r="B3137" s="135">
        <f>YEAR(source[[#This Row],[report_date]])</f>
        <v>2024</v>
      </c>
      <c r="C3137" s="128">
        <f t="shared" si="139"/>
        <v>10</v>
      </c>
      <c r="D3137" s="136">
        <f t="shared" si="138"/>
        <v>44</v>
      </c>
      <c r="E3137" s="136">
        <f t="shared" si="140"/>
        <v>29</v>
      </c>
      <c r="F3137" s="137" t="s">
        <v>24</v>
      </c>
      <c r="G3137" s="128" t="str">
        <f>VLOOKUP(source[[#This Row],[lending_product_transform]],[3]Mapping!$B$4:$C$37,2,0)</f>
        <v>[Cake] - Cashloan</v>
      </c>
      <c r="H3137" s="128" t="str">
        <f>VLOOKUP(source[[#This Row],[lending_product_transform]],[3]Mapping!$B$3:$D$37,3,0)</f>
        <v>cashloan</v>
      </c>
      <c r="I3137" s="143">
        <v>175140000</v>
      </c>
    </row>
    <row r="3138" spans="1:9" x14ac:dyDescent="0.2">
      <c r="A3138" s="134">
        <v>45594</v>
      </c>
      <c r="B3138" s="135">
        <f>YEAR(source[[#This Row],[report_date]])</f>
        <v>2024</v>
      </c>
      <c r="C3138" s="128">
        <f t="shared" si="139"/>
        <v>10</v>
      </c>
      <c r="D3138" s="136">
        <f t="shared" si="138"/>
        <v>44</v>
      </c>
      <c r="E3138" s="136">
        <f t="shared" si="140"/>
        <v>29</v>
      </c>
      <c r="F3138" s="137" t="s">
        <v>24</v>
      </c>
      <c r="G3138" s="128" t="str">
        <f>VLOOKUP(source[[#This Row],[lending_product_transform]],[3]Mapping!$B$4:$C$37,2,0)</f>
        <v>[Cake] - Cashloan</v>
      </c>
      <c r="H3138" s="128" t="str">
        <f>VLOOKUP(source[[#This Row],[lending_product_transform]],[3]Mapping!$B$3:$D$37,3,0)</f>
        <v>cashloan</v>
      </c>
      <c r="I3138" s="143">
        <v>0</v>
      </c>
    </row>
    <row r="3139" spans="1:9" x14ac:dyDescent="0.2">
      <c r="A3139" s="134">
        <v>45594</v>
      </c>
      <c r="B3139" s="135">
        <f>YEAR(source[[#This Row],[report_date]])</f>
        <v>2024</v>
      </c>
      <c r="C3139" s="128">
        <f t="shared" si="139"/>
        <v>10</v>
      </c>
      <c r="D3139" s="136">
        <f t="shared" ref="D3139:D3202" si="141">WEEKNUM(A3139,2)</f>
        <v>44</v>
      </c>
      <c r="E3139" s="136">
        <f t="shared" si="140"/>
        <v>29</v>
      </c>
      <c r="F3139" s="137" t="s">
        <v>24</v>
      </c>
      <c r="G3139" s="128" t="str">
        <f>VLOOKUP(source[[#This Row],[lending_product_transform]],[3]Mapping!$B$4:$C$37,2,0)</f>
        <v>[Cake] - Cashloan</v>
      </c>
      <c r="H3139" s="128" t="str">
        <f>VLOOKUP(source[[#This Row],[lending_product_transform]],[3]Mapping!$B$3:$D$37,3,0)</f>
        <v>cashloan</v>
      </c>
      <c r="I3139" s="143">
        <v>6089530000</v>
      </c>
    </row>
    <row r="3140" spans="1:9" x14ac:dyDescent="0.2">
      <c r="A3140" s="134">
        <v>45595</v>
      </c>
      <c r="B3140" s="135">
        <f>YEAR(source[[#This Row],[report_date]])</f>
        <v>2024</v>
      </c>
      <c r="C3140" s="128">
        <f t="shared" si="139"/>
        <v>10</v>
      </c>
      <c r="D3140" s="136">
        <f t="shared" si="141"/>
        <v>44</v>
      </c>
      <c r="E3140" s="136">
        <f t="shared" si="140"/>
        <v>30</v>
      </c>
      <c r="F3140" s="137" t="s">
        <v>24</v>
      </c>
      <c r="G3140" s="128" t="str">
        <f>VLOOKUP(source[[#This Row],[lending_product_transform]],[3]Mapping!$B$4:$C$37,2,0)</f>
        <v>[Cake] - Cashloan</v>
      </c>
      <c r="H3140" s="128" t="str">
        <f>VLOOKUP(source[[#This Row],[lending_product_transform]],[3]Mapping!$B$3:$D$37,3,0)</f>
        <v>cashloan</v>
      </c>
      <c r="I3140" s="143">
        <v>311154360</v>
      </c>
    </row>
    <row r="3141" spans="1:9" x14ac:dyDescent="0.2">
      <c r="A3141" s="134">
        <v>45595</v>
      </c>
      <c r="B3141" s="135">
        <f>YEAR(source[[#This Row],[report_date]])</f>
        <v>2024</v>
      </c>
      <c r="C3141" s="128">
        <f t="shared" si="139"/>
        <v>10</v>
      </c>
      <c r="D3141" s="136">
        <f t="shared" si="141"/>
        <v>44</v>
      </c>
      <c r="E3141" s="136">
        <f t="shared" si="140"/>
        <v>30</v>
      </c>
      <c r="F3141" s="137" t="s">
        <v>24</v>
      </c>
      <c r="G3141" s="128" t="str">
        <f>VLOOKUP(source[[#This Row],[lending_product_transform]],[3]Mapping!$B$4:$C$37,2,0)</f>
        <v>[Cake] - Cashloan</v>
      </c>
      <c r="H3141" s="128" t="str">
        <f>VLOOKUP(source[[#This Row],[lending_product_transform]],[3]Mapping!$B$3:$D$37,3,0)</f>
        <v>cashloan</v>
      </c>
      <c r="I3141" s="143">
        <v>80250000</v>
      </c>
    </row>
    <row r="3142" spans="1:9" x14ac:dyDescent="0.2">
      <c r="A3142" s="134">
        <v>45595</v>
      </c>
      <c r="B3142" s="135">
        <f>YEAR(source[[#This Row],[report_date]])</f>
        <v>2024</v>
      </c>
      <c r="C3142" s="128">
        <f t="shared" si="139"/>
        <v>10</v>
      </c>
      <c r="D3142" s="136">
        <f t="shared" si="141"/>
        <v>44</v>
      </c>
      <c r="E3142" s="136">
        <f t="shared" si="140"/>
        <v>30</v>
      </c>
      <c r="F3142" s="137" t="s">
        <v>24</v>
      </c>
      <c r="G3142" s="128" t="str">
        <f>VLOOKUP(source[[#This Row],[lending_product_transform]],[3]Mapping!$B$4:$C$37,2,0)</f>
        <v>[Cake] - Cashloan</v>
      </c>
      <c r="H3142" s="128" t="str">
        <f>VLOOKUP(source[[#This Row],[lending_product_transform]],[3]Mapping!$B$3:$D$37,3,0)</f>
        <v>cashloan</v>
      </c>
      <c r="I3142" s="143">
        <v>62000000</v>
      </c>
    </row>
    <row r="3143" spans="1:9" x14ac:dyDescent="0.2">
      <c r="A3143" s="134">
        <v>45595</v>
      </c>
      <c r="B3143" s="135">
        <f>YEAR(source[[#This Row],[report_date]])</f>
        <v>2024</v>
      </c>
      <c r="C3143" s="128">
        <f t="shared" si="139"/>
        <v>10</v>
      </c>
      <c r="D3143" s="136">
        <f t="shared" si="141"/>
        <v>44</v>
      </c>
      <c r="E3143" s="136">
        <f t="shared" si="140"/>
        <v>30</v>
      </c>
      <c r="F3143" s="137" t="s">
        <v>24</v>
      </c>
      <c r="G3143" s="128" t="str">
        <f>VLOOKUP(source[[#This Row],[lending_product_transform]],[3]Mapping!$B$4:$C$37,2,0)</f>
        <v>[Cake] - Cashloan</v>
      </c>
      <c r="H3143" s="128" t="str">
        <f>VLOOKUP(source[[#This Row],[lending_product_transform]],[3]Mapping!$B$3:$D$37,3,0)</f>
        <v>cashloan</v>
      </c>
      <c r="I3143" s="143">
        <v>66000</v>
      </c>
    </row>
    <row r="3144" spans="1:9" x14ac:dyDescent="0.2">
      <c r="A3144" s="134">
        <v>45595</v>
      </c>
      <c r="B3144" s="135">
        <f>YEAR(source[[#This Row],[report_date]])</f>
        <v>2024</v>
      </c>
      <c r="C3144" s="128">
        <f t="shared" si="139"/>
        <v>10</v>
      </c>
      <c r="D3144" s="136">
        <f t="shared" si="141"/>
        <v>44</v>
      </c>
      <c r="E3144" s="136">
        <f t="shared" si="140"/>
        <v>30</v>
      </c>
      <c r="F3144" s="137" t="s">
        <v>24</v>
      </c>
      <c r="G3144" s="128" t="str">
        <f>VLOOKUP(source[[#This Row],[lending_product_transform]],[3]Mapping!$B$4:$C$37,2,0)</f>
        <v>[Cake] - Cashloan</v>
      </c>
      <c r="H3144" s="128" t="str">
        <f>VLOOKUP(source[[#This Row],[lending_product_transform]],[3]Mapping!$B$3:$D$37,3,0)</f>
        <v>cashloan</v>
      </c>
      <c r="I3144" s="143">
        <v>195490000</v>
      </c>
    </row>
    <row r="3145" spans="1:9" x14ac:dyDescent="0.2">
      <c r="A3145" s="134">
        <v>45595</v>
      </c>
      <c r="B3145" s="135">
        <f>YEAR(source[[#This Row],[report_date]])</f>
        <v>2024</v>
      </c>
      <c r="C3145" s="128">
        <f t="shared" si="139"/>
        <v>10</v>
      </c>
      <c r="D3145" s="136">
        <f t="shared" si="141"/>
        <v>44</v>
      </c>
      <c r="E3145" s="136">
        <f t="shared" si="140"/>
        <v>30</v>
      </c>
      <c r="F3145" s="137" t="s">
        <v>24</v>
      </c>
      <c r="G3145" s="128" t="str">
        <f>VLOOKUP(source[[#This Row],[lending_product_transform]],[3]Mapping!$B$4:$C$37,2,0)</f>
        <v>[Cake] - Cashloan</v>
      </c>
      <c r="H3145" s="128" t="str">
        <f>VLOOKUP(source[[#This Row],[lending_product_transform]],[3]Mapping!$B$3:$D$37,3,0)</f>
        <v>cashloan</v>
      </c>
      <c r="I3145" s="143">
        <v>0</v>
      </c>
    </row>
    <row r="3146" spans="1:9" x14ac:dyDescent="0.2">
      <c r="A3146" s="134">
        <v>45595</v>
      </c>
      <c r="B3146" s="135">
        <f>YEAR(source[[#This Row],[report_date]])</f>
        <v>2024</v>
      </c>
      <c r="C3146" s="128">
        <f t="shared" si="139"/>
        <v>10</v>
      </c>
      <c r="D3146" s="136">
        <f t="shared" si="141"/>
        <v>44</v>
      </c>
      <c r="E3146" s="136">
        <f t="shared" si="140"/>
        <v>30</v>
      </c>
      <c r="F3146" s="137" t="s">
        <v>24</v>
      </c>
      <c r="G3146" s="128" t="str">
        <f>VLOOKUP(source[[#This Row],[lending_product_transform]],[3]Mapping!$B$4:$C$37,2,0)</f>
        <v>[Cake] - Cashloan</v>
      </c>
      <c r="H3146" s="128" t="str">
        <f>VLOOKUP(source[[#This Row],[lending_product_transform]],[3]Mapping!$B$3:$D$37,3,0)</f>
        <v>cashloan</v>
      </c>
      <c r="I3146" s="143">
        <v>0</v>
      </c>
    </row>
    <row r="3147" spans="1:9" x14ac:dyDescent="0.2">
      <c r="A3147" s="134">
        <v>45595</v>
      </c>
      <c r="B3147" s="135">
        <f>YEAR(source[[#This Row],[report_date]])</f>
        <v>2024</v>
      </c>
      <c r="C3147" s="128">
        <f t="shared" si="139"/>
        <v>10</v>
      </c>
      <c r="D3147" s="136">
        <f t="shared" si="141"/>
        <v>44</v>
      </c>
      <c r="E3147" s="136">
        <f t="shared" si="140"/>
        <v>30</v>
      </c>
      <c r="F3147" s="137" t="s">
        <v>24</v>
      </c>
      <c r="G3147" s="128" t="str">
        <f>VLOOKUP(source[[#This Row],[lending_product_transform]],[3]Mapping!$B$4:$C$37,2,0)</f>
        <v>[Cake] - Cashloan</v>
      </c>
      <c r="H3147" s="128" t="str">
        <f>VLOOKUP(source[[#This Row],[lending_product_transform]],[3]Mapping!$B$3:$D$37,3,0)</f>
        <v>cashloan</v>
      </c>
      <c r="I3147" s="143">
        <v>56000000</v>
      </c>
    </row>
    <row r="3148" spans="1:9" x14ac:dyDescent="0.2">
      <c r="A3148" s="134">
        <v>45595</v>
      </c>
      <c r="B3148" s="135">
        <f>YEAR(source[[#This Row],[report_date]])</f>
        <v>2024</v>
      </c>
      <c r="C3148" s="128">
        <f t="shared" si="139"/>
        <v>10</v>
      </c>
      <c r="D3148" s="136">
        <f t="shared" si="141"/>
        <v>44</v>
      </c>
      <c r="E3148" s="136">
        <f t="shared" si="140"/>
        <v>30</v>
      </c>
      <c r="F3148" s="137" t="s">
        <v>24</v>
      </c>
      <c r="G3148" s="128" t="str">
        <f>VLOOKUP(source[[#This Row],[lending_product_transform]],[3]Mapping!$B$4:$C$37,2,0)</f>
        <v>[Cake] - Cashloan</v>
      </c>
      <c r="H3148" s="128" t="str">
        <f>VLOOKUP(source[[#This Row],[lending_product_transform]],[3]Mapping!$B$3:$D$37,3,0)</f>
        <v>cashloan</v>
      </c>
      <c r="I3148" s="143">
        <v>4806330000</v>
      </c>
    </row>
    <row r="3149" spans="1:9" x14ac:dyDescent="0.2">
      <c r="A3149" s="134">
        <v>45595</v>
      </c>
      <c r="B3149" s="135">
        <f>YEAR(source[[#This Row],[report_date]])</f>
        <v>2024</v>
      </c>
      <c r="C3149" s="128">
        <f t="shared" si="139"/>
        <v>10</v>
      </c>
      <c r="D3149" s="136">
        <f t="shared" si="141"/>
        <v>44</v>
      </c>
      <c r="E3149" s="136">
        <f t="shared" si="140"/>
        <v>30</v>
      </c>
      <c r="F3149" s="137" t="s">
        <v>24</v>
      </c>
      <c r="G3149" s="128" t="str">
        <f>VLOOKUP(source[[#This Row],[lending_product_transform]],[3]Mapping!$B$4:$C$37,2,0)</f>
        <v>[Cake] - Cashloan</v>
      </c>
      <c r="H3149" s="128" t="str">
        <f>VLOOKUP(source[[#This Row],[lending_product_transform]],[3]Mapping!$B$3:$D$37,3,0)</f>
        <v>cashloan</v>
      </c>
      <c r="I3149" s="143">
        <v>3949500000</v>
      </c>
    </row>
    <row r="3150" spans="1:9" x14ac:dyDescent="0.2">
      <c r="A3150" s="134">
        <v>45595</v>
      </c>
      <c r="B3150" s="135">
        <f>YEAR(source[[#This Row],[report_date]])</f>
        <v>2024</v>
      </c>
      <c r="C3150" s="128">
        <f t="shared" si="139"/>
        <v>10</v>
      </c>
      <c r="D3150" s="136">
        <f t="shared" si="141"/>
        <v>44</v>
      </c>
      <c r="E3150" s="136">
        <f t="shared" si="140"/>
        <v>30</v>
      </c>
      <c r="F3150" s="137" t="s">
        <v>24</v>
      </c>
      <c r="G3150" s="128" t="str">
        <f>VLOOKUP(source[[#This Row],[lending_product_transform]],[3]Mapping!$B$4:$C$37,2,0)</f>
        <v>[Cake] - Cashloan</v>
      </c>
      <c r="H3150" s="128" t="str">
        <f>VLOOKUP(source[[#This Row],[lending_product_transform]],[3]Mapping!$B$3:$D$37,3,0)</f>
        <v>cashloan</v>
      </c>
      <c r="I3150" s="143">
        <v>3434092682</v>
      </c>
    </row>
    <row r="3151" spans="1:9" x14ac:dyDescent="0.2">
      <c r="A3151" s="134">
        <v>45595</v>
      </c>
      <c r="B3151" s="135">
        <f>YEAR(source[[#This Row],[report_date]])</f>
        <v>2024</v>
      </c>
      <c r="C3151" s="128">
        <f t="shared" si="139"/>
        <v>10</v>
      </c>
      <c r="D3151" s="136">
        <f t="shared" si="141"/>
        <v>44</v>
      </c>
      <c r="E3151" s="136">
        <f t="shared" si="140"/>
        <v>30</v>
      </c>
      <c r="F3151" s="137" t="s">
        <v>24</v>
      </c>
      <c r="G3151" s="128" t="str">
        <f>VLOOKUP(source[[#This Row],[lending_product_transform]],[3]Mapping!$B$4:$C$37,2,0)</f>
        <v>[Cake] - Cashloan</v>
      </c>
      <c r="H3151" s="128" t="str">
        <f>VLOOKUP(source[[#This Row],[lending_product_transform]],[3]Mapping!$B$3:$D$37,3,0)</f>
        <v>cashloan</v>
      </c>
      <c r="I3151" s="143">
        <v>46819934</v>
      </c>
    </row>
    <row r="3152" spans="1:9" x14ac:dyDescent="0.2">
      <c r="A3152" s="134">
        <v>45595</v>
      </c>
      <c r="B3152" s="135">
        <f>YEAR(source[[#This Row],[report_date]])</f>
        <v>2024</v>
      </c>
      <c r="C3152" s="128">
        <f t="shared" si="139"/>
        <v>10</v>
      </c>
      <c r="D3152" s="136">
        <f t="shared" si="141"/>
        <v>44</v>
      </c>
      <c r="E3152" s="136">
        <f t="shared" si="140"/>
        <v>30</v>
      </c>
      <c r="F3152" s="137" t="s">
        <v>24</v>
      </c>
      <c r="G3152" s="128" t="str">
        <f>VLOOKUP(source[[#This Row],[lending_product_transform]],[3]Mapping!$B$4:$C$37,2,0)</f>
        <v>[Cake] - Cashloan</v>
      </c>
      <c r="H3152" s="128" t="str">
        <f>VLOOKUP(source[[#This Row],[lending_product_transform]],[3]Mapping!$B$3:$D$37,3,0)</f>
        <v>cashloan</v>
      </c>
      <c r="I3152" s="143">
        <v>73500000</v>
      </c>
    </row>
    <row r="3153" spans="1:9" x14ac:dyDescent="0.2">
      <c r="A3153" s="134">
        <v>45595</v>
      </c>
      <c r="B3153" s="135">
        <f>YEAR(source[[#This Row],[report_date]])</f>
        <v>2024</v>
      </c>
      <c r="C3153" s="128">
        <f t="shared" si="139"/>
        <v>10</v>
      </c>
      <c r="D3153" s="136">
        <f t="shared" si="141"/>
        <v>44</v>
      </c>
      <c r="E3153" s="136">
        <f t="shared" si="140"/>
        <v>30</v>
      </c>
      <c r="F3153" s="137" t="s">
        <v>24</v>
      </c>
      <c r="G3153" s="128" t="str">
        <f>VLOOKUP(source[[#This Row],[lending_product_transform]],[3]Mapping!$B$4:$C$37,2,0)</f>
        <v>[Cake] - Cashloan</v>
      </c>
      <c r="H3153" s="128" t="str">
        <f>VLOOKUP(source[[#This Row],[lending_product_transform]],[3]Mapping!$B$3:$D$37,3,0)</f>
        <v>cashloan</v>
      </c>
      <c r="I3153" s="143">
        <v>5598280000</v>
      </c>
    </row>
    <row r="3154" spans="1:9" x14ac:dyDescent="0.2">
      <c r="A3154" s="134">
        <v>45596</v>
      </c>
      <c r="B3154" s="135">
        <f>YEAR(source[[#This Row],[report_date]])</f>
        <v>2024</v>
      </c>
      <c r="C3154" s="128">
        <f t="shared" si="139"/>
        <v>10</v>
      </c>
      <c r="D3154" s="136">
        <f t="shared" si="141"/>
        <v>44</v>
      </c>
      <c r="E3154" s="136">
        <f t="shared" si="140"/>
        <v>31</v>
      </c>
      <c r="F3154" s="137" t="s">
        <v>24</v>
      </c>
      <c r="G3154" s="128" t="str">
        <f>VLOOKUP(source[[#This Row],[lending_product_transform]],[3]Mapping!$B$4:$C$37,2,0)</f>
        <v>[Cake] - Cashloan</v>
      </c>
      <c r="H3154" s="128" t="str">
        <f>VLOOKUP(source[[#This Row],[lending_product_transform]],[3]Mapping!$B$3:$D$37,3,0)</f>
        <v>cashloan</v>
      </c>
      <c r="I3154" s="143">
        <v>60900000</v>
      </c>
    </row>
    <row r="3155" spans="1:9" x14ac:dyDescent="0.2">
      <c r="A3155" s="134">
        <v>45596</v>
      </c>
      <c r="B3155" s="135">
        <f>YEAR(source[[#This Row],[report_date]])</f>
        <v>2024</v>
      </c>
      <c r="C3155" s="128">
        <f t="shared" si="139"/>
        <v>10</v>
      </c>
      <c r="D3155" s="136">
        <f t="shared" si="141"/>
        <v>44</v>
      </c>
      <c r="E3155" s="136">
        <f t="shared" si="140"/>
        <v>31</v>
      </c>
      <c r="F3155" s="137" t="s">
        <v>24</v>
      </c>
      <c r="G3155" s="128" t="str">
        <f>VLOOKUP(source[[#This Row],[lending_product_transform]],[3]Mapping!$B$4:$C$37,2,0)</f>
        <v>[Cake] - Cashloan</v>
      </c>
      <c r="H3155" s="128" t="str">
        <f>VLOOKUP(source[[#This Row],[lending_product_transform]],[3]Mapping!$B$3:$D$37,3,0)</f>
        <v>cashloan</v>
      </c>
      <c r="I3155" s="143">
        <v>328420000</v>
      </c>
    </row>
    <row r="3156" spans="1:9" x14ac:dyDescent="0.2">
      <c r="A3156" s="134">
        <v>45596</v>
      </c>
      <c r="B3156" s="135">
        <f>YEAR(source[[#This Row],[report_date]])</f>
        <v>2024</v>
      </c>
      <c r="C3156" s="128">
        <f t="shared" si="139"/>
        <v>10</v>
      </c>
      <c r="D3156" s="136">
        <f t="shared" si="141"/>
        <v>44</v>
      </c>
      <c r="E3156" s="136">
        <f t="shared" si="140"/>
        <v>31</v>
      </c>
      <c r="F3156" s="137" t="s">
        <v>24</v>
      </c>
      <c r="G3156" s="128" t="str">
        <f>VLOOKUP(source[[#This Row],[lending_product_transform]],[3]Mapping!$B$4:$C$37,2,0)</f>
        <v>[Cake] - Cashloan</v>
      </c>
      <c r="H3156" s="128" t="str">
        <f>VLOOKUP(source[[#This Row],[lending_product_transform]],[3]Mapping!$B$3:$D$37,3,0)</f>
        <v>cashloan</v>
      </c>
      <c r="I3156" s="143">
        <v>65150000</v>
      </c>
    </row>
    <row r="3157" spans="1:9" x14ac:dyDescent="0.2">
      <c r="A3157" s="134">
        <v>45596</v>
      </c>
      <c r="B3157" s="135">
        <f>YEAR(source[[#This Row],[report_date]])</f>
        <v>2024</v>
      </c>
      <c r="C3157" s="128">
        <f t="shared" si="139"/>
        <v>10</v>
      </c>
      <c r="D3157" s="136">
        <f t="shared" si="141"/>
        <v>44</v>
      </c>
      <c r="E3157" s="136">
        <f t="shared" si="140"/>
        <v>31</v>
      </c>
      <c r="F3157" s="137" t="s">
        <v>24</v>
      </c>
      <c r="G3157" s="128" t="str">
        <f>VLOOKUP(source[[#This Row],[lending_product_transform]],[3]Mapping!$B$4:$C$37,2,0)</f>
        <v>[Cake] - Cashloan</v>
      </c>
      <c r="H3157" s="128" t="str">
        <f>VLOOKUP(source[[#This Row],[lending_product_transform]],[3]Mapping!$B$3:$D$37,3,0)</f>
        <v>cashloan</v>
      </c>
      <c r="I3157" s="143">
        <v>288101325</v>
      </c>
    </row>
    <row r="3158" spans="1:9" x14ac:dyDescent="0.2">
      <c r="A3158" s="134">
        <v>45596</v>
      </c>
      <c r="B3158" s="135">
        <f>YEAR(source[[#This Row],[report_date]])</f>
        <v>2024</v>
      </c>
      <c r="C3158" s="128">
        <f t="shared" si="139"/>
        <v>10</v>
      </c>
      <c r="D3158" s="136">
        <f t="shared" si="141"/>
        <v>44</v>
      </c>
      <c r="E3158" s="136">
        <f t="shared" si="140"/>
        <v>31</v>
      </c>
      <c r="F3158" s="137" t="s">
        <v>24</v>
      </c>
      <c r="G3158" s="128" t="str">
        <f>VLOOKUP(source[[#This Row],[lending_product_transform]],[3]Mapping!$B$4:$C$37,2,0)</f>
        <v>[Cake] - Cashloan</v>
      </c>
      <c r="H3158" s="128" t="str">
        <f>VLOOKUP(source[[#This Row],[lending_product_transform]],[3]Mapping!$B$3:$D$37,3,0)</f>
        <v>cashloan</v>
      </c>
      <c r="I3158" s="143">
        <v>53306201</v>
      </c>
    </row>
    <row r="3159" spans="1:9" x14ac:dyDescent="0.2">
      <c r="A3159" s="134">
        <v>45596</v>
      </c>
      <c r="B3159" s="135">
        <f>YEAR(source[[#This Row],[report_date]])</f>
        <v>2024</v>
      </c>
      <c r="C3159" s="128">
        <f t="shared" si="139"/>
        <v>10</v>
      </c>
      <c r="D3159" s="136">
        <f t="shared" si="141"/>
        <v>44</v>
      </c>
      <c r="E3159" s="136">
        <f t="shared" si="140"/>
        <v>31</v>
      </c>
      <c r="F3159" s="137" t="s">
        <v>24</v>
      </c>
      <c r="G3159" s="128" t="str">
        <f>VLOOKUP(source[[#This Row],[lending_product_transform]],[3]Mapping!$B$4:$C$37,2,0)</f>
        <v>[Cake] - Cashloan</v>
      </c>
      <c r="H3159" s="128" t="str">
        <f>VLOOKUP(source[[#This Row],[lending_product_transform]],[3]Mapping!$B$3:$D$37,3,0)</f>
        <v>cashloan</v>
      </c>
      <c r="I3159" s="143">
        <v>4450600000</v>
      </c>
    </row>
    <row r="3160" spans="1:9" x14ac:dyDescent="0.2">
      <c r="A3160" s="134">
        <v>45596</v>
      </c>
      <c r="B3160" s="135">
        <f>YEAR(source[[#This Row],[report_date]])</f>
        <v>2024</v>
      </c>
      <c r="C3160" s="128">
        <f t="shared" si="139"/>
        <v>10</v>
      </c>
      <c r="D3160" s="136">
        <f t="shared" si="141"/>
        <v>44</v>
      </c>
      <c r="E3160" s="136">
        <f t="shared" si="140"/>
        <v>31</v>
      </c>
      <c r="F3160" s="137" t="s">
        <v>24</v>
      </c>
      <c r="G3160" s="128" t="str">
        <f>VLOOKUP(source[[#This Row],[lending_product_transform]],[3]Mapping!$B$4:$C$37,2,0)</f>
        <v>[Cake] - Cashloan</v>
      </c>
      <c r="H3160" s="128" t="str">
        <f>VLOOKUP(source[[#This Row],[lending_product_transform]],[3]Mapping!$B$3:$D$37,3,0)</f>
        <v>cashloan</v>
      </c>
      <c r="I3160" s="143">
        <v>0</v>
      </c>
    </row>
    <row r="3161" spans="1:9" x14ac:dyDescent="0.2">
      <c r="A3161" s="134">
        <v>45596</v>
      </c>
      <c r="B3161" s="135">
        <f>YEAR(source[[#This Row],[report_date]])</f>
        <v>2024</v>
      </c>
      <c r="C3161" s="128">
        <f t="shared" si="139"/>
        <v>10</v>
      </c>
      <c r="D3161" s="136">
        <f t="shared" si="141"/>
        <v>44</v>
      </c>
      <c r="E3161" s="136">
        <f t="shared" si="140"/>
        <v>31</v>
      </c>
      <c r="F3161" s="137" t="s">
        <v>24</v>
      </c>
      <c r="G3161" s="128" t="str">
        <f>VLOOKUP(source[[#This Row],[lending_product_transform]],[3]Mapping!$B$4:$C$37,2,0)</f>
        <v>[Cake] - Cashloan</v>
      </c>
      <c r="H3161" s="128" t="str">
        <f>VLOOKUP(source[[#This Row],[lending_product_transform]],[3]Mapping!$B$3:$D$37,3,0)</f>
        <v>cashloan</v>
      </c>
      <c r="I3161" s="143">
        <v>12000</v>
      </c>
    </row>
    <row r="3162" spans="1:9" x14ac:dyDescent="0.2">
      <c r="A3162" s="134">
        <v>45596</v>
      </c>
      <c r="B3162" s="135">
        <f>YEAR(source[[#This Row],[report_date]])</f>
        <v>2024</v>
      </c>
      <c r="C3162" s="128">
        <f t="shared" si="139"/>
        <v>10</v>
      </c>
      <c r="D3162" s="136">
        <f t="shared" si="141"/>
        <v>44</v>
      </c>
      <c r="E3162" s="136">
        <f t="shared" si="140"/>
        <v>31</v>
      </c>
      <c r="F3162" s="137" t="s">
        <v>24</v>
      </c>
      <c r="G3162" s="128" t="str">
        <f>VLOOKUP(source[[#This Row],[lending_product_transform]],[3]Mapping!$B$4:$C$37,2,0)</f>
        <v>[Cake] - Cashloan</v>
      </c>
      <c r="H3162" s="128" t="str">
        <f>VLOOKUP(source[[#This Row],[lending_product_transform]],[3]Mapping!$B$3:$D$37,3,0)</f>
        <v>cashloan</v>
      </c>
      <c r="I3162" s="143">
        <v>3948052108</v>
      </c>
    </row>
    <row r="3163" spans="1:9" x14ac:dyDescent="0.2">
      <c r="A3163" s="134">
        <v>45596</v>
      </c>
      <c r="B3163" s="135">
        <f>YEAR(source[[#This Row],[report_date]])</f>
        <v>2024</v>
      </c>
      <c r="C3163" s="128">
        <f t="shared" si="139"/>
        <v>10</v>
      </c>
      <c r="D3163" s="136">
        <f t="shared" si="141"/>
        <v>44</v>
      </c>
      <c r="E3163" s="136">
        <f t="shared" si="140"/>
        <v>31</v>
      </c>
      <c r="F3163" s="137" t="s">
        <v>24</v>
      </c>
      <c r="G3163" s="128" t="str">
        <f>VLOOKUP(source[[#This Row],[lending_product_transform]],[3]Mapping!$B$4:$C$37,2,0)</f>
        <v>[Cake] - Cashloan</v>
      </c>
      <c r="H3163" s="128" t="str">
        <f>VLOOKUP(source[[#This Row],[lending_product_transform]],[3]Mapping!$B$3:$D$37,3,0)</f>
        <v>cashloan</v>
      </c>
      <c r="I3163" s="143">
        <v>5491700000</v>
      </c>
    </row>
    <row r="3164" spans="1:9" x14ac:dyDescent="0.2">
      <c r="A3164" s="134">
        <v>45596</v>
      </c>
      <c r="B3164" s="135">
        <f>YEAR(source[[#This Row],[report_date]])</f>
        <v>2024</v>
      </c>
      <c r="C3164" s="128">
        <f t="shared" si="139"/>
        <v>10</v>
      </c>
      <c r="D3164" s="136">
        <f t="shared" si="141"/>
        <v>44</v>
      </c>
      <c r="E3164" s="136">
        <f t="shared" si="140"/>
        <v>31</v>
      </c>
      <c r="F3164" s="137" t="s">
        <v>24</v>
      </c>
      <c r="G3164" s="128" t="str">
        <f>VLOOKUP(source[[#This Row],[lending_product_transform]],[3]Mapping!$B$4:$C$37,2,0)</f>
        <v>[Cake] - Cashloan</v>
      </c>
      <c r="H3164" s="128" t="str">
        <f>VLOOKUP(source[[#This Row],[lending_product_transform]],[3]Mapping!$B$3:$D$37,3,0)</f>
        <v>cashloan</v>
      </c>
      <c r="I3164" s="143">
        <v>20000000</v>
      </c>
    </row>
    <row r="3165" spans="1:9" x14ac:dyDescent="0.2">
      <c r="A3165" s="134">
        <v>45596</v>
      </c>
      <c r="B3165" s="135">
        <f>YEAR(source[[#This Row],[report_date]])</f>
        <v>2024</v>
      </c>
      <c r="C3165" s="128">
        <f t="shared" si="139"/>
        <v>10</v>
      </c>
      <c r="D3165" s="136">
        <f t="shared" si="141"/>
        <v>44</v>
      </c>
      <c r="E3165" s="136">
        <f t="shared" si="140"/>
        <v>31</v>
      </c>
      <c r="F3165" s="137" t="s">
        <v>24</v>
      </c>
      <c r="G3165" s="128" t="str">
        <f>VLOOKUP(source[[#This Row],[lending_product_transform]],[3]Mapping!$B$4:$C$37,2,0)</f>
        <v>[Cake] - Cashloan</v>
      </c>
      <c r="H3165" s="128" t="str">
        <f>VLOOKUP(source[[#This Row],[lending_product_transform]],[3]Mapping!$B$3:$D$37,3,0)</f>
        <v>cashloan</v>
      </c>
      <c r="I3165" s="143">
        <v>55220000</v>
      </c>
    </row>
    <row r="3166" spans="1:9" x14ac:dyDescent="0.2">
      <c r="A3166" s="134">
        <v>45596</v>
      </c>
      <c r="B3166" s="135">
        <f>YEAR(source[[#This Row],[report_date]])</f>
        <v>2024</v>
      </c>
      <c r="C3166" s="128">
        <f t="shared" si="139"/>
        <v>10</v>
      </c>
      <c r="D3166" s="136">
        <f t="shared" si="141"/>
        <v>44</v>
      </c>
      <c r="E3166" s="136">
        <f t="shared" si="140"/>
        <v>31</v>
      </c>
      <c r="F3166" s="137" t="s">
        <v>24</v>
      </c>
      <c r="G3166" s="128" t="str">
        <f>VLOOKUP(source[[#This Row],[lending_product_transform]],[3]Mapping!$B$4:$C$37,2,0)</f>
        <v>[Cake] - Cashloan</v>
      </c>
      <c r="H3166" s="128" t="str">
        <f>VLOOKUP(source[[#This Row],[lending_product_transform]],[3]Mapping!$B$3:$D$37,3,0)</f>
        <v>cashloan</v>
      </c>
      <c r="I3166" s="143">
        <v>20000000</v>
      </c>
    </row>
    <row r="3167" spans="1:9" x14ac:dyDescent="0.2">
      <c r="A3167" s="134">
        <v>45596</v>
      </c>
      <c r="B3167" s="135">
        <f>YEAR(source[[#This Row],[report_date]])</f>
        <v>2024</v>
      </c>
      <c r="C3167" s="128">
        <f t="shared" si="139"/>
        <v>10</v>
      </c>
      <c r="D3167" s="136">
        <f t="shared" si="141"/>
        <v>44</v>
      </c>
      <c r="E3167" s="136">
        <f t="shared" si="140"/>
        <v>31</v>
      </c>
      <c r="F3167" s="137" t="s">
        <v>24</v>
      </c>
      <c r="G3167" s="128" t="str">
        <f>VLOOKUP(source[[#This Row],[lending_product_transform]],[3]Mapping!$B$4:$C$37,2,0)</f>
        <v>[Cake] - Cashloan</v>
      </c>
      <c r="H3167" s="128" t="str">
        <f>VLOOKUP(source[[#This Row],[lending_product_transform]],[3]Mapping!$B$3:$D$37,3,0)</f>
        <v>cashloan</v>
      </c>
      <c r="I3167" s="143">
        <v>0</v>
      </c>
    </row>
    <row r="3168" spans="1:9" x14ac:dyDescent="0.2">
      <c r="A3168" s="134">
        <v>45596</v>
      </c>
      <c r="B3168" s="135">
        <f>YEAR(source[[#This Row],[report_date]])</f>
        <v>2024</v>
      </c>
      <c r="C3168" s="128">
        <f t="shared" si="139"/>
        <v>10</v>
      </c>
      <c r="D3168" s="136">
        <f t="shared" si="141"/>
        <v>44</v>
      </c>
      <c r="E3168" s="136">
        <f t="shared" si="140"/>
        <v>31</v>
      </c>
      <c r="F3168" s="137" t="s">
        <v>24</v>
      </c>
      <c r="G3168" s="128" t="str">
        <f>VLOOKUP(source[[#This Row],[lending_product_transform]],[3]Mapping!$B$4:$C$37,2,0)</f>
        <v>[Cake] - Cashloan</v>
      </c>
      <c r="H3168" s="128" t="str">
        <f>VLOOKUP(source[[#This Row],[lending_product_transform]],[3]Mapping!$B$3:$D$37,3,0)</f>
        <v>cashloan</v>
      </c>
      <c r="I3168" s="143">
        <v>43000000</v>
      </c>
    </row>
    <row r="3169" spans="1:9" x14ac:dyDescent="0.2">
      <c r="A3169" s="134">
        <v>45596</v>
      </c>
      <c r="B3169" s="135">
        <f>YEAR(source[[#This Row],[report_date]])</f>
        <v>2024</v>
      </c>
      <c r="C3169" s="128">
        <f t="shared" si="139"/>
        <v>10</v>
      </c>
      <c r="D3169" s="136">
        <f t="shared" si="141"/>
        <v>44</v>
      </c>
      <c r="E3169" s="136">
        <f t="shared" si="140"/>
        <v>31</v>
      </c>
      <c r="F3169" s="137" t="s">
        <v>24</v>
      </c>
      <c r="G3169" s="128" t="str">
        <f>VLOOKUP(source[[#This Row],[lending_product_transform]],[3]Mapping!$B$4:$C$37,2,0)</f>
        <v>[Cake] - Cashloan</v>
      </c>
      <c r="H3169" s="128" t="str">
        <f>VLOOKUP(source[[#This Row],[lending_product_transform]],[3]Mapping!$B$3:$D$37,3,0)</f>
        <v>cashloan</v>
      </c>
      <c r="I3169" s="143">
        <v>4355000000</v>
      </c>
    </row>
    <row r="3170" spans="1:9" x14ac:dyDescent="0.2">
      <c r="A3170" s="172">
        <v>45597</v>
      </c>
      <c r="B3170" s="143">
        <f>YEAR(source[[#This Row],[report_date]])</f>
        <v>2024</v>
      </c>
      <c r="C3170" s="128">
        <f>MONTH(A3170)</f>
        <v>11</v>
      </c>
      <c r="D3170" s="136">
        <f t="shared" si="141"/>
        <v>44</v>
      </c>
      <c r="E3170" s="136">
        <f>DAY(A3170)</f>
        <v>1</v>
      </c>
      <c r="F3170" s="137" t="s">
        <v>24</v>
      </c>
      <c r="G3170" s="128" t="str">
        <f>VLOOKUP(source[[#This Row],[lending_product_transform]],[3]Mapping!$B$4:$C$37,2,0)</f>
        <v>[Cake] - Cashloan</v>
      </c>
      <c r="H3170" s="128" t="str">
        <f>VLOOKUP(source[[#This Row],[lending_product_transform]],[3]Mapping!$B$3:$D$37,3,0)</f>
        <v>cashloan</v>
      </c>
      <c r="I3170" s="143">
        <v>72128740</v>
      </c>
    </row>
    <row r="3171" spans="1:9" x14ac:dyDescent="0.2">
      <c r="A3171" s="172">
        <v>45597</v>
      </c>
      <c r="B3171" s="143">
        <f>YEAR(source[[#This Row],[report_date]])</f>
        <v>2024</v>
      </c>
      <c r="C3171" s="128">
        <f t="shared" ref="C3171:C3234" si="142">MONTH(A3171)</f>
        <v>11</v>
      </c>
      <c r="D3171" s="136">
        <f t="shared" si="141"/>
        <v>44</v>
      </c>
      <c r="E3171" s="136">
        <f t="shared" ref="E3171:E3234" si="143">DAY(A3171)</f>
        <v>1</v>
      </c>
      <c r="F3171" s="137" t="s">
        <v>24</v>
      </c>
      <c r="G3171" s="128" t="str">
        <f>VLOOKUP(source[[#This Row],[lending_product_transform]],[3]Mapping!$B$4:$C$37,2,0)</f>
        <v>[Cake] - Cashloan</v>
      </c>
      <c r="H3171" s="128" t="str">
        <f>VLOOKUP(source[[#This Row],[lending_product_transform]],[3]Mapping!$B$3:$D$37,3,0)</f>
        <v>cashloan</v>
      </c>
      <c r="I3171" s="143">
        <v>4424630000</v>
      </c>
    </row>
    <row r="3172" spans="1:9" x14ac:dyDescent="0.2">
      <c r="A3172" s="172">
        <v>45597</v>
      </c>
      <c r="B3172" s="143">
        <f>YEAR(source[[#This Row],[report_date]])</f>
        <v>2024</v>
      </c>
      <c r="C3172" s="128">
        <f t="shared" si="142"/>
        <v>11</v>
      </c>
      <c r="D3172" s="136">
        <f t="shared" si="141"/>
        <v>44</v>
      </c>
      <c r="E3172" s="136">
        <f t="shared" si="143"/>
        <v>1</v>
      </c>
      <c r="F3172" s="137" t="s">
        <v>24</v>
      </c>
      <c r="G3172" s="128" t="str">
        <f>VLOOKUP(source[[#This Row],[lending_product_transform]],[3]Mapping!$B$4:$C$37,2,0)</f>
        <v>[Cake] - Cashloan</v>
      </c>
      <c r="H3172" s="128" t="str">
        <f>VLOOKUP(source[[#This Row],[lending_product_transform]],[3]Mapping!$B$3:$D$37,3,0)</f>
        <v>cashloan</v>
      </c>
      <c r="I3172" s="143">
        <v>397240483</v>
      </c>
    </row>
    <row r="3173" spans="1:9" x14ac:dyDescent="0.2">
      <c r="A3173" s="172">
        <v>45597</v>
      </c>
      <c r="B3173" s="143">
        <f>YEAR(source[[#This Row],[report_date]])</f>
        <v>2024</v>
      </c>
      <c r="C3173" s="128">
        <f t="shared" si="142"/>
        <v>11</v>
      </c>
      <c r="D3173" s="136">
        <f t="shared" si="141"/>
        <v>44</v>
      </c>
      <c r="E3173" s="136">
        <f t="shared" si="143"/>
        <v>1</v>
      </c>
      <c r="F3173" s="137" t="s">
        <v>24</v>
      </c>
      <c r="G3173" s="128" t="str">
        <f>VLOOKUP(source[[#This Row],[lending_product_transform]],[3]Mapping!$B$4:$C$37,2,0)</f>
        <v>[Cake] - Cashloan</v>
      </c>
      <c r="H3173" s="128" t="str">
        <f>VLOOKUP(source[[#This Row],[lending_product_transform]],[3]Mapping!$B$3:$D$37,3,0)</f>
        <v>cashloan</v>
      </c>
      <c r="I3173" s="143">
        <v>20000000</v>
      </c>
    </row>
    <row r="3174" spans="1:9" x14ac:dyDescent="0.2">
      <c r="A3174" s="172">
        <v>45597</v>
      </c>
      <c r="B3174" s="143">
        <f>YEAR(source[[#This Row],[report_date]])</f>
        <v>2024</v>
      </c>
      <c r="C3174" s="128">
        <f t="shared" si="142"/>
        <v>11</v>
      </c>
      <c r="D3174" s="136">
        <f t="shared" si="141"/>
        <v>44</v>
      </c>
      <c r="E3174" s="136">
        <f t="shared" si="143"/>
        <v>1</v>
      </c>
      <c r="F3174" s="137" t="s">
        <v>24</v>
      </c>
      <c r="G3174" s="128" t="str">
        <f>VLOOKUP(source[[#This Row],[lending_product_transform]],[3]Mapping!$B$4:$C$37,2,0)</f>
        <v>[Cake] - Cashloan</v>
      </c>
      <c r="H3174" s="128" t="str">
        <f>VLOOKUP(source[[#This Row],[lending_product_transform]],[3]Mapping!$B$3:$D$37,3,0)</f>
        <v>cashloan</v>
      </c>
      <c r="I3174" s="143">
        <v>23000000</v>
      </c>
    </row>
    <row r="3175" spans="1:9" x14ac:dyDescent="0.2">
      <c r="A3175" s="172">
        <v>45597</v>
      </c>
      <c r="B3175" s="143">
        <f>YEAR(source[[#This Row],[report_date]])</f>
        <v>2024</v>
      </c>
      <c r="C3175" s="128">
        <f t="shared" si="142"/>
        <v>11</v>
      </c>
      <c r="D3175" s="136">
        <f t="shared" si="141"/>
        <v>44</v>
      </c>
      <c r="E3175" s="136">
        <f t="shared" si="143"/>
        <v>1</v>
      </c>
      <c r="F3175" s="137" t="s">
        <v>24</v>
      </c>
      <c r="G3175" s="128" t="str">
        <f>VLOOKUP(source[[#This Row],[lending_product_transform]],[3]Mapping!$B$4:$C$37,2,0)</f>
        <v>[Cake] - Cashloan</v>
      </c>
      <c r="H3175" s="128" t="str">
        <f>VLOOKUP(source[[#This Row],[lending_product_transform]],[3]Mapping!$B$3:$D$37,3,0)</f>
        <v>cashloan</v>
      </c>
      <c r="I3175" s="143">
        <v>3843500000</v>
      </c>
    </row>
    <row r="3176" spans="1:9" x14ac:dyDescent="0.2">
      <c r="A3176" s="172">
        <v>45597</v>
      </c>
      <c r="B3176" s="143">
        <f>YEAR(source[[#This Row],[report_date]])</f>
        <v>2024</v>
      </c>
      <c r="C3176" s="128">
        <f t="shared" si="142"/>
        <v>11</v>
      </c>
      <c r="D3176" s="136">
        <f t="shared" si="141"/>
        <v>44</v>
      </c>
      <c r="E3176" s="136">
        <f t="shared" si="143"/>
        <v>1</v>
      </c>
      <c r="F3176" s="137" t="s">
        <v>24</v>
      </c>
      <c r="G3176" s="128" t="str">
        <f>VLOOKUP(source[[#This Row],[lending_product_transform]],[3]Mapping!$B$4:$C$37,2,0)</f>
        <v>[Cake] - Cashloan</v>
      </c>
      <c r="H3176" s="128" t="str">
        <f>VLOOKUP(source[[#This Row],[lending_product_transform]],[3]Mapping!$B$3:$D$37,3,0)</f>
        <v>cashloan</v>
      </c>
      <c r="I3176" s="143">
        <v>5123210000</v>
      </c>
    </row>
    <row r="3177" spans="1:9" x14ac:dyDescent="0.2">
      <c r="A3177" s="172">
        <v>45597</v>
      </c>
      <c r="B3177" s="143">
        <f>YEAR(source[[#This Row],[report_date]])</f>
        <v>2024</v>
      </c>
      <c r="C3177" s="128">
        <f t="shared" si="142"/>
        <v>11</v>
      </c>
      <c r="D3177" s="136">
        <f t="shared" si="141"/>
        <v>44</v>
      </c>
      <c r="E3177" s="136">
        <f t="shared" si="143"/>
        <v>1</v>
      </c>
      <c r="F3177" s="137" t="s">
        <v>24</v>
      </c>
      <c r="G3177" s="128" t="str">
        <f>VLOOKUP(source[[#This Row],[lending_product_transform]],[3]Mapping!$B$4:$C$37,2,0)</f>
        <v>[Cake] - Cashloan</v>
      </c>
      <c r="H3177" s="128" t="str">
        <f>VLOOKUP(source[[#This Row],[lending_product_transform]],[3]Mapping!$B$3:$D$37,3,0)</f>
        <v>cashloan</v>
      </c>
      <c r="I3177" s="143">
        <v>5890083935</v>
      </c>
    </row>
    <row r="3178" spans="1:9" x14ac:dyDescent="0.2">
      <c r="A3178" s="172">
        <v>45597</v>
      </c>
      <c r="B3178" s="143">
        <f>YEAR(source[[#This Row],[report_date]])</f>
        <v>2024</v>
      </c>
      <c r="C3178" s="128">
        <f t="shared" si="142"/>
        <v>11</v>
      </c>
      <c r="D3178" s="136">
        <f t="shared" si="141"/>
        <v>44</v>
      </c>
      <c r="E3178" s="136">
        <f t="shared" si="143"/>
        <v>1</v>
      </c>
      <c r="F3178" s="137" t="s">
        <v>24</v>
      </c>
      <c r="G3178" s="128" t="str">
        <f>VLOOKUP(source[[#This Row],[lending_product_transform]],[3]Mapping!$B$4:$C$37,2,0)</f>
        <v>[Cake] - Cashloan</v>
      </c>
      <c r="H3178" s="128" t="str">
        <f>VLOOKUP(source[[#This Row],[lending_product_transform]],[3]Mapping!$B$3:$D$37,3,0)</f>
        <v>cashloan</v>
      </c>
      <c r="I3178" s="143">
        <v>0</v>
      </c>
    </row>
    <row r="3179" spans="1:9" x14ac:dyDescent="0.2">
      <c r="A3179" s="172">
        <v>45597</v>
      </c>
      <c r="B3179" s="143">
        <f>YEAR(source[[#This Row],[report_date]])</f>
        <v>2024</v>
      </c>
      <c r="C3179" s="128">
        <f t="shared" si="142"/>
        <v>11</v>
      </c>
      <c r="D3179" s="136">
        <f t="shared" si="141"/>
        <v>44</v>
      </c>
      <c r="E3179" s="136">
        <f t="shared" si="143"/>
        <v>1</v>
      </c>
      <c r="F3179" s="137" t="s">
        <v>24</v>
      </c>
      <c r="G3179" s="128" t="str">
        <f>VLOOKUP(source[[#This Row],[lending_product_transform]],[3]Mapping!$B$4:$C$37,2,0)</f>
        <v>[Cake] - Cashloan</v>
      </c>
      <c r="H3179" s="128" t="str">
        <f>VLOOKUP(source[[#This Row],[lending_product_transform]],[3]Mapping!$B$3:$D$37,3,0)</f>
        <v>cashloan</v>
      </c>
      <c r="I3179" s="143">
        <v>15240</v>
      </c>
    </row>
    <row r="3180" spans="1:9" x14ac:dyDescent="0.2">
      <c r="A3180" s="172">
        <v>45597</v>
      </c>
      <c r="B3180" s="143">
        <f>YEAR(source[[#This Row],[report_date]])</f>
        <v>2024</v>
      </c>
      <c r="C3180" s="128">
        <f t="shared" si="142"/>
        <v>11</v>
      </c>
      <c r="D3180" s="136">
        <f t="shared" si="141"/>
        <v>44</v>
      </c>
      <c r="E3180" s="136">
        <f t="shared" si="143"/>
        <v>1</v>
      </c>
      <c r="F3180" s="137" t="s">
        <v>24</v>
      </c>
      <c r="G3180" s="128" t="str">
        <f>VLOOKUP(source[[#This Row],[lending_product_transform]],[3]Mapping!$B$4:$C$37,2,0)</f>
        <v>[Cake] - Cashloan</v>
      </c>
      <c r="H3180" s="128" t="str">
        <f>VLOOKUP(source[[#This Row],[lending_product_transform]],[3]Mapping!$B$3:$D$37,3,0)</f>
        <v>cashloan</v>
      </c>
      <c r="I3180" s="143">
        <v>6420000</v>
      </c>
    </row>
    <row r="3181" spans="1:9" x14ac:dyDescent="0.2">
      <c r="A3181" s="172">
        <v>45597</v>
      </c>
      <c r="B3181" s="143">
        <f>YEAR(source[[#This Row],[report_date]])</f>
        <v>2024</v>
      </c>
      <c r="C3181" s="128">
        <f t="shared" si="142"/>
        <v>11</v>
      </c>
      <c r="D3181" s="136">
        <f t="shared" si="141"/>
        <v>44</v>
      </c>
      <c r="E3181" s="136">
        <f t="shared" si="143"/>
        <v>1</v>
      </c>
      <c r="F3181" s="137" t="s">
        <v>24</v>
      </c>
      <c r="G3181" s="128" t="str">
        <f>VLOOKUP(source[[#This Row],[lending_product_transform]],[3]Mapping!$B$4:$C$37,2,0)</f>
        <v>[Cake] - Cashloan</v>
      </c>
      <c r="H3181" s="128" t="str">
        <f>VLOOKUP(source[[#This Row],[lending_product_transform]],[3]Mapping!$B$3:$D$37,3,0)</f>
        <v>cashloan</v>
      </c>
      <c r="I3181" s="143">
        <v>31400000</v>
      </c>
    </row>
    <row r="3182" spans="1:9" x14ac:dyDescent="0.2">
      <c r="A3182" s="172">
        <v>45597</v>
      </c>
      <c r="B3182" s="143">
        <f>YEAR(source[[#This Row],[report_date]])</f>
        <v>2024</v>
      </c>
      <c r="C3182" s="128">
        <f t="shared" si="142"/>
        <v>11</v>
      </c>
      <c r="D3182" s="136">
        <f t="shared" si="141"/>
        <v>44</v>
      </c>
      <c r="E3182" s="136">
        <f t="shared" si="143"/>
        <v>1</v>
      </c>
      <c r="F3182" s="137" t="s">
        <v>24</v>
      </c>
      <c r="G3182" s="128" t="str">
        <f>VLOOKUP(source[[#This Row],[lending_product_transform]],[3]Mapping!$B$4:$C$37,2,0)</f>
        <v>[Cake] - Cashloan</v>
      </c>
      <c r="H3182" s="128" t="str">
        <f>VLOOKUP(source[[#This Row],[lending_product_transform]],[3]Mapping!$B$3:$D$37,3,0)</f>
        <v>cashloan</v>
      </c>
      <c r="I3182" s="143">
        <v>21000000</v>
      </c>
    </row>
    <row r="3183" spans="1:9" x14ac:dyDescent="0.2">
      <c r="A3183" s="172">
        <v>45597</v>
      </c>
      <c r="B3183" s="143">
        <f>YEAR(source[[#This Row],[report_date]])</f>
        <v>2024</v>
      </c>
      <c r="C3183" s="128">
        <f t="shared" si="142"/>
        <v>11</v>
      </c>
      <c r="D3183" s="136">
        <f t="shared" si="141"/>
        <v>44</v>
      </c>
      <c r="E3183" s="136">
        <f t="shared" si="143"/>
        <v>1</v>
      </c>
      <c r="F3183" s="137" t="s">
        <v>24</v>
      </c>
      <c r="G3183" s="128" t="str">
        <f>VLOOKUP(source[[#This Row],[lending_product_transform]],[3]Mapping!$B$4:$C$37,2,0)</f>
        <v>[Cake] - Cashloan</v>
      </c>
      <c r="H3183" s="128" t="str">
        <f>VLOOKUP(source[[#This Row],[lending_product_transform]],[3]Mapping!$B$3:$D$37,3,0)</f>
        <v>cashloan</v>
      </c>
      <c r="I3183" s="143">
        <v>46750000</v>
      </c>
    </row>
    <row r="3184" spans="1:9" x14ac:dyDescent="0.2">
      <c r="A3184" s="172">
        <v>45597</v>
      </c>
      <c r="B3184" s="143">
        <f>YEAR(source[[#This Row],[report_date]])</f>
        <v>2024</v>
      </c>
      <c r="C3184" s="128">
        <f t="shared" si="142"/>
        <v>11</v>
      </c>
      <c r="D3184" s="136">
        <f t="shared" si="141"/>
        <v>44</v>
      </c>
      <c r="E3184" s="136">
        <f t="shared" si="143"/>
        <v>1</v>
      </c>
      <c r="F3184" s="137" t="s">
        <v>24</v>
      </c>
      <c r="G3184" s="128" t="str">
        <f>VLOOKUP(source[[#This Row],[lending_product_transform]],[3]Mapping!$B$4:$C$37,2,0)</f>
        <v>[Cake] - Cashloan</v>
      </c>
      <c r="H3184" s="128" t="str">
        <f>VLOOKUP(source[[#This Row],[lending_product_transform]],[3]Mapping!$B$3:$D$37,3,0)</f>
        <v>cashloan</v>
      </c>
      <c r="I3184" s="143">
        <v>40660000</v>
      </c>
    </row>
    <row r="3185" spans="1:9" x14ac:dyDescent="0.2">
      <c r="A3185" s="172">
        <v>45597</v>
      </c>
      <c r="B3185" s="143">
        <f>YEAR(source[[#This Row],[report_date]])</f>
        <v>2024</v>
      </c>
      <c r="C3185" s="128">
        <f t="shared" si="142"/>
        <v>11</v>
      </c>
      <c r="D3185" s="136">
        <f t="shared" si="141"/>
        <v>44</v>
      </c>
      <c r="E3185" s="136">
        <f t="shared" si="143"/>
        <v>1</v>
      </c>
      <c r="F3185" s="137" t="s">
        <v>24</v>
      </c>
      <c r="G3185" s="128" t="str">
        <f>VLOOKUP(source[[#This Row],[lending_product_transform]],[3]Mapping!$B$4:$C$37,2,0)</f>
        <v>[Cake] - Cashloan</v>
      </c>
      <c r="H3185" s="128" t="str">
        <f>VLOOKUP(source[[#This Row],[lending_product_transform]],[3]Mapping!$B$3:$D$37,3,0)</f>
        <v>cashloan</v>
      </c>
      <c r="I3185" s="143">
        <v>366440000</v>
      </c>
    </row>
    <row r="3186" spans="1:9" x14ac:dyDescent="0.2">
      <c r="A3186" s="172">
        <v>45598</v>
      </c>
      <c r="B3186" s="143">
        <f>YEAR(source[[#This Row],[report_date]])</f>
        <v>2024</v>
      </c>
      <c r="C3186" s="128">
        <f t="shared" si="142"/>
        <v>11</v>
      </c>
      <c r="D3186" s="136">
        <f t="shared" si="141"/>
        <v>44</v>
      </c>
      <c r="E3186" s="136">
        <f t="shared" si="143"/>
        <v>2</v>
      </c>
      <c r="F3186" s="137" t="s">
        <v>24</v>
      </c>
      <c r="G3186" s="128" t="str">
        <f>VLOOKUP(source[[#This Row],[lending_product_transform]],[3]Mapping!$B$4:$C$37,2,0)</f>
        <v>[Cake] - Cashloan</v>
      </c>
      <c r="H3186" s="128" t="str">
        <f>VLOOKUP(source[[#This Row],[lending_product_transform]],[3]Mapping!$B$3:$D$37,3,0)</f>
        <v>cashloan</v>
      </c>
      <c r="I3186" s="143">
        <v>78110000</v>
      </c>
    </row>
    <row r="3187" spans="1:9" x14ac:dyDescent="0.2">
      <c r="A3187" s="172">
        <v>45598</v>
      </c>
      <c r="B3187" s="143">
        <f>YEAR(source[[#This Row],[report_date]])</f>
        <v>2024</v>
      </c>
      <c r="C3187" s="128">
        <f t="shared" si="142"/>
        <v>11</v>
      </c>
      <c r="D3187" s="136">
        <f t="shared" si="141"/>
        <v>44</v>
      </c>
      <c r="E3187" s="136">
        <f t="shared" si="143"/>
        <v>2</v>
      </c>
      <c r="F3187" s="137" t="s">
        <v>24</v>
      </c>
      <c r="G3187" s="128" t="str">
        <f>VLOOKUP(source[[#This Row],[lending_product_transform]],[3]Mapping!$B$4:$C$37,2,0)</f>
        <v>[Cake] - Cashloan</v>
      </c>
      <c r="H3187" s="128" t="str">
        <f>VLOOKUP(source[[#This Row],[lending_product_transform]],[3]Mapping!$B$3:$D$37,3,0)</f>
        <v>cashloan</v>
      </c>
      <c r="I3187" s="143">
        <v>63597986</v>
      </c>
    </row>
    <row r="3188" spans="1:9" x14ac:dyDescent="0.2">
      <c r="A3188" s="172">
        <v>45598</v>
      </c>
      <c r="B3188" s="143">
        <f>YEAR(source[[#This Row],[report_date]])</f>
        <v>2024</v>
      </c>
      <c r="C3188" s="128">
        <f t="shared" si="142"/>
        <v>11</v>
      </c>
      <c r="D3188" s="136">
        <f t="shared" si="141"/>
        <v>44</v>
      </c>
      <c r="E3188" s="136">
        <f t="shared" si="143"/>
        <v>2</v>
      </c>
      <c r="F3188" s="137" t="s">
        <v>24</v>
      </c>
      <c r="G3188" s="128" t="str">
        <f>VLOOKUP(source[[#This Row],[lending_product_transform]],[3]Mapping!$B$4:$C$37,2,0)</f>
        <v>[Cake] - Cashloan</v>
      </c>
      <c r="H3188" s="128" t="str">
        <f>VLOOKUP(source[[#This Row],[lending_product_transform]],[3]Mapping!$B$3:$D$37,3,0)</f>
        <v>cashloan</v>
      </c>
      <c r="I3188" s="143">
        <v>120250000</v>
      </c>
    </row>
    <row r="3189" spans="1:9" x14ac:dyDescent="0.2">
      <c r="A3189" s="134">
        <v>45598</v>
      </c>
      <c r="B3189" s="135">
        <f>YEAR(source[[#This Row],[report_date]])</f>
        <v>2024</v>
      </c>
      <c r="C3189" s="128">
        <f t="shared" si="142"/>
        <v>11</v>
      </c>
      <c r="D3189" s="136">
        <f t="shared" si="141"/>
        <v>44</v>
      </c>
      <c r="E3189" s="136">
        <f t="shared" si="143"/>
        <v>2</v>
      </c>
      <c r="F3189" s="137" t="s">
        <v>24</v>
      </c>
      <c r="G3189" s="128" t="str">
        <f>VLOOKUP(source[[#This Row],[lending_product_transform]],[3]Mapping!$B$4:$C$37,2,0)</f>
        <v>[Cake] - Cashloan</v>
      </c>
      <c r="H3189" s="128" t="str">
        <f>VLOOKUP(source[[#This Row],[lending_product_transform]],[3]Mapping!$B$3:$D$37,3,0)</f>
        <v>cashloan</v>
      </c>
      <c r="I3189" s="143">
        <v>0</v>
      </c>
    </row>
    <row r="3190" spans="1:9" x14ac:dyDescent="0.2">
      <c r="A3190" s="134">
        <v>45598</v>
      </c>
      <c r="B3190" s="135">
        <f>YEAR(source[[#This Row],[report_date]])</f>
        <v>2024</v>
      </c>
      <c r="C3190" s="128">
        <f t="shared" si="142"/>
        <v>11</v>
      </c>
      <c r="D3190" s="136">
        <f t="shared" si="141"/>
        <v>44</v>
      </c>
      <c r="E3190" s="136">
        <f t="shared" si="143"/>
        <v>2</v>
      </c>
      <c r="F3190" s="137" t="s">
        <v>24</v>
      </c>
      <c r="G3190" s="128" t="str">
        <f>VLOOKUP(source[[#This Row],[lending_product_transform]],[3]Mapping!$B$4:$C$37,2,0)</f>
        <v>[Cake] - Cashloan</v>
      </c>
      <c r="H3190" s="128" t="str">
        <f>VLOOKUP(source[[#This Row],[lending_product_transform]],[3]Mapping!$B$3:$D$37,3,0)</f>
        <v>cashloan</v>
      </c>
      <c r="I3190" s="143">
        <v>63000000</v>
      </c>
    </row>
    <row r="3191" spans="1:9" x14ac:dyDescent="0.2">
      <c r="A3191" s="134">
        <v>45598</v>
      </c>
      <c r="B3191" s="135">
        <f>YEAR(source[[#This Row],[report_date]])</f>
        <v>2024</v>
      </c>
      <c r="C3191" s="128">
        <f t="shared" si="142"/>
        <v>11</v>
      </c>
      <c r="D3191" s="136">
        <f t="shared" si="141"/>
        <v>44</v>
      </c>
      <c r="E3191" s="136">
        <f t="shared" si="143"/>
        <v>2</v>
      </c>
      <c r="F3191" s="137" t="s">
        <v>24</v>
      </c>
      <c r="G3191" s="128" t="str">
        <f>VLOOKUP(source[[#This Row],[lending_product_transform]],[3]Mapping!$B$4:$C$37,2,0)</f>
        <v>[Cake] - Cashloan</v>
      </c>
      <c r="H3191" s="128" t="str">
        <f>VLOOKUP(source[[#This Row],[lending_product_transform]],[3]Mapping!$B$3:$D$37,3,0)</f>
        <v>cashloan</v>
      </c>
      <c r="I3191" s="143">
        <v>0</v>
      </c>
    </row>
    <row r="3192" spans="1:9" x14ac:dyDescent="0.2">
      <c r="A3192" s="134">
        <v>45598</v>
      </c>
      <c r="B3192" s="135">
        <f>YEAR(source[[#This Row],[report_date]])</f>
        <v>2024</v>
      </c>
      <c r="C3192" s="128">
        <f t="shared" si="142"/>
        <v>11</v>
      </c>
      <c r="D3192" s="136">
        <f t="shared" si="141"/>
        <v>44</v>
      </c>
      <c r="E3192" s="136">
        <f t="shared" si="143"/>
        <v>2</v>
      </c>
      <c r="F3192" s="137" t="s">
        <v>24</v>
      </c>
      <c r="G3192" s="128" t="str">
        <f>VLOOKUP(source[[#This Row],[lending_product_transform]],[3]Mapping!$B$4:$C$37,2,0)</f>
        <v>[Cake] - Cashloan</v>
      </c>
      <c r="H3192" s="128" t="str">
        <f>VLOOKUP(source[[#This Row],[lending_product_transform]],[3]Mapping!$B$3:$D$37,3,0)</f>
        <v>cashloan</v>
      </c>
      <c r="I3192" s="143">
        <v>16050000</v>
      </c>
    </row>
    <row r="3193" spans="1:9" x14ac:dyDescent="0.2">
      <c r="A3193" s="134">
        <v>45598</v>
      </c>
      <c r="B3193" s="135">
        <f>YEAR(source[[#This Row],[report_date]])</f>
        <v>2024</v>
      </c>
      <c r="C3193" s="128">
        <f t="shared" si="142"/>
        <v>11</v>
      </c>
      <c r="D3193" s="136">
        <f t="shared" si="141"/>
        <v>44</v>
      </c>
      <c r="E3193" s="136">
        <f t="shared" si="143"/>
        <v>2</v>
      </c>
      <c r="F3193" s="137" t="s">
        <v>24</v>
      </c>
      <c r="G3193" s="128" t="str">
        <f>VLOOKUP(source[[#This Row],[lending_product_transform]],[3]Mapping!$B$4:$C$37,2,0)</f>
        <v>[Cake] - Cashloan</v>
      </c>
      <c r="H3193" s="128" t="str">
        <f>VLOOKUP(source[[#This Row],[lending_product_transform]],[3]Mapping!$B$3:$D$37,3,0)</f>
        <v>cashloan</v>
      </c>
      <c r="I3193" s="143">
        <v>0</v>
      </c>
    </row>
    <row r="3194" spans="1:9" x14ac:dyDescent="0.2">
      <c r="A3194" s="134">
        <v>45598</v>
      </c>
      <c r="B3194" s="135">
        <f>YEAR(source[[#This Row],[report_date]])</f>
        <v>2024</v>
      </c>
      <c r="C3194" s="128">
        <f t="shared" si="142"/>
        <v>11</v>
      </c>
      <c r="D3194" s="136">
        <f t="shared" si="141"/>
        <v>44</v>
      </c>
      <c r="E3194" s="136">
        <f t="shared" si="143"/>
        <v>2</v>
      </c>
      <c r="F3194" s="137" t="s">
        <v>24</v>
      </c>
      <c r="G3194" s="128" t="str">
        <f>VLOOKUP(source[[#This Row],[lending_product_transform]],[3]Mapping!$B$4:$C$37,2,0)</f>
        <v>[Cake] - Cashloan</v>
      </c>
      <c r="H3194" s="128" t="str">
        <f>VLOOKUP(source[[#This Row],[lending_product_transform]],[3]Mapping!$B$3:$D$37,3,0)</f>
        <v>cashloan</v>
      </c>
      <c r="I3194" s="143">
        <v>4521156693</v>
      </c>
    </row>
    <row r="3195" spans="1:9" x14ac:dyDescent="0.2">
      <c r="A3195" s="134">
        <v>45598</v>
      </c>
      <c r="B3195" s="135">
        <f>YEAR(source[[#This Row],[report_date]])</f>
        <v>2024</v>
      </c>
      <c r="C3195" s="128">
        <f t="shared" si="142"/>
        <v>11</v>
      </c>
      <c r="D3195" s="136">
        <f t="shared" si="141"/>
        <v>44</v>
      </c>
      <c r="E3195" s="136">
        <f t="shared" si="143"/>
        <v>2</v>
      </c>
      <c r="F3195" s="137" t="s">
        <v>24</v>
      </c>
      <c r="G3195" s="128" t="str">
        <f>VLOOKUP(source[[#This Row],[lending_product_transform]],[3]Mapping!$B$4:$C$37,2,0)</f>
        <v>[Cake] - Cashloan</v>
      </c>
      <c r="H3195" s="128" t="str">
        <f>VLOOKUP(source[[#This Row],[lending_product_transform]],[3]Mapping!$B$3:$D$37,3,0)</f>
        <v>cashloan</v>
      </c>
      <c r="I3195" s="143">
        <v>0</v>
      </c>
    </row>
    <row r="3196" spans="1:9" x14ac:dyDescent="0.2">
      <c r="A3196" s="134">
        <v>45598</v>
      </c>
      <c r="B3196" s="135">
        <f>YEAR(source[[#This Row],[report_date]])</f>
        <v>2024</v>
      </c>
      <c r="C3196" s="128">
        <f t="shared" si="142"/>
        <v>11</v>
      </c>
      <c r="D3196" s="136">
        <f t="shared" si="141"/>
        <v>44</v>
      </c>
      <c r="E3196" s="136">
        <f t="shared" si="143"/>
        <v>2</v>
      </c>
      <c r="F3196" s="137" t="s">
        <v>24</v>
      </c>
      <c r="G3196" s="128" t="str">
        <f>VLOOKUP(source[[#This Row],[lending_product_transform]],[3]Mapping!$B$4:$C$37,2,0)</f>
        <v>[Cake] - Cashloan</v>
      </c>
      <c r="H3196" s="128" t="str">
        <f>VLOOKUP(source[[#This Row],[lending_product_transform]],[3]Mapping!$B$3:$D$37,3,0)</f>
        <v>cashloan</v>
      </c>
      <c r="I3196" s="143">
        <v>3826000000</v>
      </c>
    </row>
    <row r="3197" spans="1:9" x14ac:dyDescent="0.2">
      <c r="A3197" s="134">
        <v>45598</v>
      </c>
      <c r="B3197" s="135">
        <f>YEAR(source[[#This Row],[report_date]])</f>
        <v>2024</v>
      </c>
      <c r="C3197" s="128">
        <f t="shared" si="142"/>
        <v>11</v>
      </c>
      <c r="D3197" s="136">
        <f t="shared" si="141"/>
        <v>44</v>
      </c>
      <c r="E3197" s="136">
        <f t="shared" si="143"/>
        <v>2</v>
      </c>
      <c r="F3197" s="137" t="s">
        <v>24</v>
      </c>
      <c r="G3197" s="128" t="str">
        <f>VLOOKUP(source[[#This Row],[lending_product_transform]],[3]Mapping!$B$4:$C$37,2,0)</f>
        <v>[Cake] - Cashloan</v>
      </c>
      <c r="H3197" s="128" t="str">
        <f>VLOOKUP(source[[#This Row],[lending_product_transform]],[3]Mapping!$B$3:$D$37,3,0)</f>
        <v>cashloan</v>
      </c>
      <c r="I3197" s="143">
        <v>5423500000</v>
      </c>
    </row>
    <row r="3198" spans="1:9" x14ac:dyDescent="0.2">
      <c r="A3198" s="134">
        <v>45598</v>
      </c>
      <c r="B3198" s="135">
        <f>YEAR(source[[#This Row],[report_date]])</f>
        <v>2024</v>
      </c>
      <c r="C3198" s="128">
        <f t="shared" si="142"/>
        <v>11</v>
      </c>
      <c r="D3198" s="136">
        <f t="shared" si="141"/>
        <v>44</v>
      </c>
      <c r="E3198" s="136">
        <f t="shared" si="143"/>
        <v>2</v>
      </c>
      <c r="F3198" s="137" t="s">
        <v>24</v>
      </c>
      <c r="G3198" s="128" t="str">
        <f>VLOOKUP(source[[#This Row],[lending_product_transform]],[3]Mapping!$B$4:$C$37,2,0)</f>
        <v>[Cake] - Cashloan</v>
      </c>
      <c r="H3198" s="128" t="str">
        <f>VLOOKUP(source[[#This Row],[lending_product_transform]],[3]Mapping!$B$3:$D$37,3,0)</f>
        <v>cashloan</v>
      </c>
      <c r="I3198" s="143">
        <v>41000000</v>
      </c>
    </row>
    <row r="3199" spans="1:9" x14ac:dyDescent="0.2">
      <c r="A3199" s="134">
        <v>45598</v>
      </c>
      <c r="B3199" s="135">
        <f>YEAR(source[[#This Row],[report_date]])</f>
        <v>2024</v>
      </c>
      <c r="C3199" s="128">
        <f t="shared" si="142"/>
        <v>11</v>
      </c>
      <c r="D3199" s="136">
        <f t="shared" si="141"/>
        <v>44</v>
      </c>
      <c r="E3199" s="136">
        <f t="shared" si="143"/>
        <v>2</v>
      </c>
      <c r="F3199" s="137" t="s">
        <v>24</v>
      </c>
      <c r="G3199" s="128" t="str">
        <f>VLOOKUP(source[[#This Row],[lending_product_transform]],[3]Mapping!$B$4:$C$37,2,0)</f>
        <v>[Cake] - Cashloan</v>
      </c>
      <c r="H3199" s="128" t="str">
        <f>VLOOKUP(source[[#This Row],[lending_product_transform]],[3]Mapping!$B$3:$D$37,3,0)</f>
        <v>cashloan</v>
      </c>
      <c r="I3199" s="143">
        <v>376911765</v>
      </c>
    </row>
    <row r="3200" spans="1:9" x14ac:dyDescent="0.2">
      <c r="A3200" s="134">
        <v>45598</v>
      </c>
      <c r="B3200" s="135">
        <f>YEAR(source[[#This Row],[report_date]])</f>
        <v>2024</v>
      </c>
      <c r="C3200" s="128">
        <f t="shared" si="142"/>
        <v>11</v>
      </c>
      <c r="D3200" s="136">
        <f t="shared" si="141"/>
        <v>44</v>
      </c>
      <c r="E3200" s="136">
        <f t="shared" si="143"/>
        <v>2</v>
      </c>
      <c r="F3200" s="137" t="s">
        <v>24</v>
      </c>
      <c r="G3200" s="128" t="str">
        <f>VLOOKUP(source[[#This Row],[lending_product_transform]],[3]Mapping!$B$4:$C$37,2,0)</f>
        <v>[Cake] - Cashloan</v>
      </c>
      <c r="H3200" s="128" t="str">
        <f>VLOOKUP(source[[#This Row],[lending_product_transform]],[3]Mapping!$B$3:$D$37,3,0)</f>
        <v>cashloan</v>
      </c>
      <c r="I3200" s="143">
        <v>3668320000</v>
      </c>
    </row>
    <row r="3201" spans="1:9" x14ac:dyDescent="0.2">
      <c r="A3201" s="134">
        <v>45598</v>
      </c>
      <c r="B3201" s="135">
        <f>YEAR(source[[#This Row],[report_date]])</f>
        <v>2024</v>
      </c>
      <c r="C3201" s="128">
        <f t="shared" si="142"/>
        <v>11</v>
      </c>
      <c r="D3201" s="136">
        <f t="shared" si="141"/>
        <v>44</v>
      </c>
      <c r="E3201" s="136">
        <f t="shared" si="143"/>
        <v>2</v>
      </c>
      <c r="F3201" s="137" t="s">
        <v>24</v>
      </c>
      <c r="G3201" s="128" t="str">
        <f>VLOOKUP(source[[#This Row],[lending_product_transform]],[3]Mapping!$B$4:$C$37,2,0)</f>
        <v>[Cake] - Cashloan</v>
      </c>
      <c r="H3201" s="128" t="str">
        <f>VLOOKUP(source[[#This Row],[lending_product_transform]],[3]Mapping!$B$3:$D$37,3,0)</f>
        <v>cashloan</v>
      </c>
      <c r="I3201" s="143">
        <v>363210000</v>
      </c>
    </row>
    <row r="3202" spans="1:9" x14ac:dyDescent="0.2">
      <c r="A3202" s="134">
        <v>45599</v>
      </c>
      <c r="B3202" s="135">
        <f>YEAR(source[[#This Row],[report_date]])</f>
        <v>2024</v>
      </c>
      <c r="C3202" s="128">
        <f t="shared" si="142"/>
        <v>11</v>
      </c>
      <c r="D3202" s="136">
        <f t="shared" si="141"/>
        <v>44</v>
      </c>
      <c r="E3202" s="136">
        <f t="shared" si="143"/>
        <v>3</v>
      </c>
      <c r="F3202" s="137" t="s">
        <v>24</v>
      </c>
      <c r="G3202" s="128" t="str">
        <f>VLOOKUP(source[[#This Row],[lending_product_transform]],[3]Mapping!$B$4:$C$37,2,0)</f>
        <v>[Cake] - Cashloan</v>
      </c>
      <c r="H3202" s="128" t="str">
        <f>VLOOKUP(source[[#This Row],[lending_product_transform]],[3]Mapping!$B$3:$D$37,3,0)</f>
        <v>cashloan</v>
      </c>
      <c r="I3202" s="143">
        <v>52000000</v>
      </c>
    </row>
    <row r="3203" spans="1:9" x14ac:dyDescent="0.2">
      <c r="A3203" s="134">
        <v>45599</v>
      </c>
      <c r="B3203" s="135">
        <f>YEAR(source[[#This Row],[report_date]])</f>
        <v>2024</v>
      </c>
      <c r="C3203" s="128">
        <f t="shared" si="142"/>
        <v>11</v>
      </c>
      <c r="D3203" s="136">
        <f t="shared" ref="D3203:D3266" si="144">WEEKNUM(A3203,2)</f>
        <v>44</v>
      </c>
      <c r="E3203" s="136">
        <f t="shared" si="143"/>
        <v>3</v>
      </c>
      <c r="F3203" s="137" t="s">
        <v>24</v>
      </c>
      <c r="G3203" s="128" t="str">
        <f>VLOOKUP(source[[#This Row],[lending_product_transform]],[3]Mapping!$B$4:$C$37,2,0)</f>
        <v>[Cake] - Cashloan</v>
      </c>
      <c r="H3203" s="128" t="str">
        <f>VLOOKUP(source[[#This Row],[lending_product_transform]],[3]Mapping!$B$3:$D$37,3,0)</f>
        <v>cashloan</v>
      </c>
      <c r="I3203" s="143">
        <v>21400000</v>
      </c>
    </row>
    <row r="3204" spans="1:9" x14ac:dyDescent="0.2">
      <c r="A3204" s="134">
        <v>45599</v>
      </c>
      <c r="B3204" s="135">
        <f>YEAR(source[[#This Row],[report_date]])</f>
        <v>2024</v>
      </c>
      <c r="C3204" s="128">
        <f t="shared" si="142"/>
        <v>11</v>
      </c>
      <c r="D3204" s="136">
        <f t="shared" si="144"/>
        <v>44</v>
      </c>
      <c r="E3204" s="136">
        <f t="shared" si="143"/>
        <v>3</v>
      </c>
      <c r="F3204" s="137" t="s">
        <v>24</v>
      </c>
      <c r="G3204" s="128" t="str">
        <f>VLOOKUP(source[[#This Row],[lending_product_transform]],[3]Mapping!$B$4:$C$37,2,0)</f>
        <v>[Cake] - Cashloan</v>
      </c>
      <c r="H3204" s="128" t="str">
        <f>VLOOKUP(source[[#This Row],[lending_product_transform]],[3]Mapping!$B$3:$D$37,3,0)</f>
        <v>cashloan</v>
      </c>
      <c r="I3204" s="143">
        <v>474010000</v>
      </c>
    </row>
    <row r="3205" spans="1:9" x14ac:dyDescent="0.2">
      <c r="A3205" s="134">
        <v>45599</v>
      </c>
      <c r="B3205" s="135">
        <f>YEAR(source[[#This Row],[report_date]])</f>
        <v>2024</v>
      </c>
      <c r="C3205" s="128">
        <f t="shared" si="142"/>
        <v>11</v>
      </c>
      <c r="D3205" s="136">
        <f t="shared" si="144"/>
        <v>44</v>
      </c>
      <c r="E3205" s="136">
        <f t="shared" si="143"/>
        <v>3</v>
      </c>
      <c r="F3205" s="137" t="s">
        <v>24</v>
      </c>
      <c r="G3205" s="128" t="str">
        <f>VLOOKUP(source[[#This Row],[lending_product_transform]],[3]Mapping!$B$4:$C$37,2,0)</f>
        <v>[Cake] - Cashloan</v>
      </c>
      <c r="H3205" s="128" t="str">
        <f>VLOOKUP(source[[#This Row],[lending_product_transform]],[3]Mapping!$B$3:$D$37,3,0)</f>
        <v>cashloan</v>
      </c>
      <c r="I3205" s="143">
        <v>0</v>
      </c>
    </row>
    <row r="3206" spans="1:9" x14ac:dyDescent="0.2">
      <c r="A3206" s="134">
        <v>45599</v>
      </c>
      <c r="B3206" s="135">
        <f>YEAR(source[[#This Row],[report_date]])</f>
        <v>2024</v>
      </c>
      <c r="C3206" s="128">
        <f t="shared" si="142"/>
        <v>11</v>
      </c>
      <c r="D3206" s="136">
        <f t="shared" si="144"/>
        <v>44</v>
      </c>
      <c r="E3206" s="136">
        <f t="shared" si="143"/>
        <v>3</v>
      </c>
      <c r="F3206" s="137" t="s">
        <v>24</v>
      </c>
      <c r="G3206" s="128" t="str">
        <f>VLOOKUP(source[[#This Row],[lending_product_transform]],[3]Mapping!$B$4:$C$37,2,0)</f>
        <v>[Cake] - Cashloan</v>
      </c>
      <c r="H3206" s="128" t="str">
        <f>VLOOKUP(source[[#This Row],[lending_product_transform]],[3]Mapping!$B$3:$D$37,3,0)</f>
        <v>cashloan</v>
      </c>
      <c r="I3206" s="143">
        <v>0</v>
      </c>
    </row>
    <row r="3207" spans="1:9" x14ac:dyDescent="0.2">
      <c r="A3207" s="134">
        <v>45599</v>
      </c>
      <c r="B3207" s="135">
        <f>YEAR(source[[#This Row],[report_date]])</f>
        <v>2024</v>
      </c>
      <c r="C3207" s="128">
        <f t="shared" si="142"/>
        <v>11</v>
      </c>
      <c r="D3207" s="136">
        <f t="shared" si="144"/>
        <v>44</v>
      </c>
      <c r="E3207" s="136">
        <f t="shared" si="143"/>
        <v>3</v>
      </c>
      <c r="F3207" s="137" t="s">
        <v>24</v>
      </c>
      <c r="G3207" s="128" t="str">
        <f>VLOOKUP(source[[#This Row],[lending_product_transform]],[3]Mapping!$B$4:$C$37,2,0)</f>
        <v>[Cake] - Cashloan</v>
      </c>
      <c r="H3207" s="128" t="str">
        <f>VLOOKUP(source[[#This Row],[lending_product_transform]],[3]Mapping!$B$3:$D$37,3,0)</f>
        <v>cashloan</v>
      </c>
      <c r="I3207" s="143">
        <v>0</v>
      </c>
    </row>
    <row r="3208" spans="1:9" x14ac:dyDescent="0.2">
      <c r="A3208" s="134">
        <v>45599</v>
      </c>
      <c r="B3208" s="135">
        <f>YEAR(source[[#This Row],[report_date]])</f>
        <v>2024</v>
      </c>
      <c r="C3208" s="128">
        <f t="shared" si="142"/>
        <v>11</v>
      </c>
      <c r="D3208" s="136">
        <f t="shared" si="144"/>
        <v>44</v>
      </c>
      <c r="E3208" s="136">
        <f t="shared" si="143"/>
        <v>3</v>
      </c>
      <c r="F3208" s="137" t="s">
        <v>24</v>
      </c>
      <c r="G3208" s="128" t="str">
        <f>VLOOKUP(source[[#This Row],[lending_product_transform]],[3]Mapping!$B$4:$C$37,2,0)</f>
        <v>[Cake] - Cashloan</v>
      </c>
      <c r="H3208" s="128" t="str">
        <f>VLOOKUP(source[[#This Row],[lending_product_transform]],[3]Mapping!$B$3:$D$37,3,0)</f>
        <v>cashloan</v>
      </c>
      <c r="I3208" s="143">
        <v>60000000</v>
      </c>
    </row>
    <row r="3209" spans="1:9" x14ac:dyDescent="0.2">
      <c r="A3209" s="134">
        <v>45599</v>
      </c>
      <c r="B3209" s="135">
        <f>YEAR(source[[#This Row],[report_date]])</f>
        <v>2024</v>
      </c>
      <c r="C3209" s="128">
        <f t="shared" si="142"/>
        <v>11</v>
      </c>
      <c r="D3209" s="136">
        <f t="shared" si="144"/>
        <v>44</v>
      </c>
      <c r="E3209" s="136">
        <f t="shared" si="143"/>
        <v>3</v>
      </c>
      <c r="F3209" s="137" t="s">
        <v>24</v>
      </c>
      <c r="G3209" s="128" t="str">
        <f>VLOOKUP(source[[#This Row],[lending_product_transform]],[3]Mapping!$B$4:$C$37,2,0)</f>
        <v>[Cake] - Cashloan</v>
      </c>
      <c r="H3209" s="128" t="str">
        <f>VLOOKUP(source[[#This Row],[lending_product_transform]],[3]Mapping!$B$3:$D$37,3,0)</f>
        <v>cashloan</v>
      </c>
      <c r="I3209" s="143">
        <v>79920000</v>
      </c>
    </row>
    <row r="3210" spans="1:9" x14ac:dyDescent="0.2">
      <c r="A3210" s="134">
        <v>45599</v>
      </c>
      <c r="B3210" s="135">
        <f>YEAR(source[[#This Row],[report_date]])</f>
        <v>2024</v>
      </c>
      <c r="C3210" s="128">
        <f t="shared" si="142"/>
        <v>11</v>
      </c>
      <c r="D3210" s="136">
        <f t="shared" si="144"/>
        <v>44</v>
      </c>
      <c r="E3210" s="136">
        <f t="shared" si="143"/>
        <v>3</v>
      </c>
      <c r="F3210" s="137" t="s">
        <v>24</v>
      </c>
      <c r="G3210" s="128" t="str">
        <f>VLOOKUP(source[[#This Row],[lending_product_transform]],[3]Mapping!$B$4:$C$37,2,0)</f>
        <v>[Cake] - Cashloan</v>
      </c>
      <c r="H3210" s="128" t="str">
        <f>VLOOKUP(source[[#This Row],[lending_product_transform]],[3]Mapping!$B$3:$D$37,3,0)</f>
        <v>cashloan</v>
      </c>
      <c r="I3210" s="143">
        <v>3896500000</v>
      </c>
    </row>
    <row r="3211" spans="1:9" x14ac:dyDescent="0.2">
      <c r="A3211" s="134">
        <v>45599</v>
      </c>
      <c r="B3211" s="135">
        <f>YEAR(source[[#This Row],[report_date]])</f>
        <v>2024</v>
      </c>
      <c r="C3211" s="128">
        <f t="shared" si="142"/>
        <v>11</v>
      </c>
      <c r="D3211" s="136">
        <f t="shared" si="144"/>
        <v>44</v>
      </c>
      <c r="E3211" s="136">
        <f t="shared" si="143"/>
        <v>3</v>
      </c>
      <c r="F3211" s="137" t="s">
        <v>24</v>
      </c>
      <c r="G3211" s="128" t="str">
        <f>VLOOKUP(source[[#This Row],[lending_product_transform]],[3]Mapping!$B$4:$C$37,2,0)</f>
        <v>[Cake] - Cashloan</v>
      </c>
      <c r="H3211" s="128" t="str">
        <f>VLOOKUP(source[[#This Row],[lending_product_transform]],[3]Mapping!$B$3:$D$37,3,0)</f>
        <v>cashloan</v>
      </c>
      <c r="I3211" s="143">
        <v>437681972</v>
      </c>
    </row>
    <row r="3212" spans="1:9" x14ac:dyDescent="0.2">
      <c r="A3212" s="134">
        <v>45599</v>
      </c>
      <c r="B3212" s="135">
        <f>YEAR(source[[#This Row],[report_date]])</f>
        <v>2024</v>
      </c>
      <c r="C3212" s="128">
        <f t="shared" si="142"/>
        <v>11</v>
      </c>
      <c r="D3212" s="136">
        <f t="shared" si="144"/>
        <v>44</v>
      </c>
      <c r="E3212" s="136">
        <f t="shared" si="143"/>
        <v>3</v>
      </c>
      <c r="F3212" s="137" t="s">
        <v>24</v>
      </c>
      <c r="G3212" s="128" t="str">
        <f>VLOOKUP(source[[#This Row],[lending_product_transform]],[3]Mapping!$B$4:$C$37,2,0)</f>
        <v>[Cake] - Cashloan</v>
      </c>
      <c r="H3212" s="128" t="str">
        <f>VLOOKUP(source[[#This Row],[lending_product_transform]],[3]Mapping!$B$3:$D$37,3,0)</f>
        <v>cashloan</v>
      </c>
      <c r="I3212" s="143">
        <v>0</v>
      </c>
    </row>
    <row r="3213" spans="1:9" x14ac:dyDescent="0.2">
      <c r="A3213" s="134">
        <v>45599</v>
      </c>
      <c r="B3213" s="135">
        <f>YEAR(source[[#This Row],[report_date]])</f>
        <v>2024</v>
      </c>
      <c r="C3213" s="128">
        <f t="shared" si="142"/>
        <v>11</v>
      </c>
      <c r="D3213" s="136">
        <f t="shared" si="144"/>
        <v>44</v>
      </c>
      <c r="E3213" s="136">
        <f t="shared" si="143"/>
        <v>3</v>
      </c>
      <c r="F3213" s="137" t="s">
        <v>24</v>
      </c>
      <c r="G3213" s="128" t="str">
        <f>VLOOKUP(source[[#This Row],[lending_product_transform]],[3]Mapping!$B$4:$C$37,2,0)</f>
        <v>[Cake] - Cashloan</v>
      </c>
      <c r="H3213" s="128" t="str">
        <f>VLOOKUP(source[[#This Row],[lending_product_transform]],[3]Mapping!$B$3:$D$37,3,0)</f>
        <v>cashloan</v>
      </c>
      <c r="I3213" s="143">
        <v>4963520000</v>
      </c>
    </row>
    <row r="3214" spans="1:9" x14ac:dyDescent="0.2">
      <c r="A3214" s="134">
        <v>45599</v>
      </c>
      <c r="B3214" s="135">
        <f>YEAR(source[[#This Row],[report_date]])</f>
        <v>2024</v>
      </c>
      <c r="C3214" s="128">
        <f t="shared" si="142"/>
        <v>11</v>
      </c>
      <c r="D3214" s="136">
        <f t="shared" si="144"/>
        <v>44</v>
      </c>
      <c r="E3214" s="136">
        <f t="shared" si="143"/>
        <v>3</v>
      </c>
      <c r="F3214" s="137" t="s">
        <v>24</v>
      </c>
      <c r="G3214" s="128" t="str">
        <f>VLOOKUP(source[[#This Row],[lending_product_transform]],[3]Mapping!$B$4:$C$37,2,0)</f>
        <v>[Cake] - Cashloan</v>
      </c>
      <c r="H3214" s="128" t="str">
        <f>VLOOKUP(source[[#This Row],[lending_product_transform]],[3]Mapping!$B$3:$D$37,3,0)</f>
        <v>cashloan</v>
      </c>
      <c r="I3214" s="143">
        <v>75651751</v>
      </c>
    </row>
    <row r="3215" spans="1:9" x14ac:dyDescent="0.2">
      <c r="A3215" s="134">
        <v>45599</v>
      </c>
      <c r="B3215" s="135">
        <f>YEAR(source[[#This Row],[report_date]])</f>
        <v>2024</v>
      </c>
      <c r="C3215" s="128">
        <f t="shared" si="142"/>
        <v>11</v>
      </c>
      <c r="D3215" s="136">
        <f t="shared" si="144"/>
        <v>44</v>
      </c>
      <c r="E3215" s="136">
        <f t="shared" si="143"/>
        <v>3</v>
      </c>
      <c r="F3215" s="137" t="s">
        <v>24</v>
      </c>
      <c r="G3215" s="128" t="str">
        <f>VLOOKUP(source[[#This Row],[lending_product_transform]],[3]Mapping!$B$4:$C$37,2,0)</f>
        <v>[Cake] - Cashloan</v>
      </c>
      <c r="H3215" s="128" t="str">
        <f>VLOOKUP(source[[#This Row],[lending_product_transform]],[3]Mapping!$B$3:$D$37,3,0)</f>
        <v>cashloan</v>
      </c>
      <c r="I3215" s="143">
        <v>3758390000</v>
      </c>
    </row>
    <row r="3216" spans="1:9" x14ac:dyDescent="0.2">
      <c r="A3216" s="134">
        <v>45599</v>
      </c>
      <c r="B3216" s="135">
        <f>YEAR(source[[#This Row],[report_date]])</f>
        <v>2024</v>
      </c>
      <c r="C3216" s="128">
        <f t="shared" si="142"/>
        <v>11</v>
      </c>
      <c r="D3216" s="136">
        <f t="shared" si="144"/>
        <v>44</v>
      </c>
      <c r="E3216" s="136">
        <f t="shared" si="143"/>
        <v>3</v>
      </c>
      <c r="F3216" s="137" t="s">
        <v>24</v>
      </c>
      <c r="G3216" s="128" t="str">
        <f>VLOOKUP(source[[#This Row],[lending_product_transform]],[3]Mapping!$B$4:$C$37,2,0)</f>
        <v>[Cake] - Cashloan</v>
      </c>
      <c r="H3216" s="128" t="str">
        <f>VLOOKUP(source[[#This Row],[lending_product_transform]],[3]Mapping!$B$3:$D$37,3,0)</f>
        <v>cashloan</v>
      </c>
      <c r="I3216" s="143">
        <v>3399202352</v>
      </c>
    </row>
    <row r="3217" spans="1:9" x14ac:dyDescent="0.2">
      <c r="A3217" s="134">
        <v>45599</v>
      </c>
      <c r="B3217" s="135">
        <f>YEAR(source[[#This Row],[report_date]])</f>
        <v>2024</v>
      </c>
      <c r="C3217" s="128">
        <f t="shared" si="142"/>
        <v>11</v>
      </c>
      <c r="D3217" s="136">
        <f t="shared" si="144"/>
        <v>44</v>
      </c>
      <c r="E3217" s="136">
        <f t="shared" si="143"/>
        <v>3</v>
      </c>
      <c r="F3217" s="137" t="s">
        <v>24</v>
      </c>
      <c r="G3217" s="128" t="str">
        <f>VLOOKUP(source[[#This Row],[lending_product_transform]],[3]Mapping!$B$4:$C$37,2,0)</f>
        <v>[Cake] - Cashloan</v>
      </c>
      <c r="H3217" s="128" t="str">
        <f>VLOOKUP(source[[#This Row],[lending_product_transform]],[3]Mapping!$B$3:$D$37,3,0)</f>
        <v>cashloan</v>
      </c>
      <c r="I3217" s="143">
        <v>0</v>
      </c>
    </row>
    <row r="3218" spans="1:9" x14ac:dyDescent="0.2">
      <c r="A3218" s="134">
        <v>45600</v>
      </c>
      <c r="B3218" s="135">
        <f>YEAR(source[[#This Row],[report_date]])</f>
        <v>2024</v>
      </c>
      <c r="C3218" s="128">
        <f t="shared" si="142"/>
        <v>11</v>
      </c>
      <c r="D3218" s="136">
        <f t="shared" si="144"/>
        <v>45</v>
      </c>
      <c r="E3218" s="136">
        <f t="shared" si="143"/>
        <v>4</v>
      </c>
      <c r="F3218" s="137" t="s">
        <v>24</v>
      </c>
      <c r="G3218" s="128" t="str">
        <f>VLOOKUP(source[[#This Row],[lending_product_transform]],[3]Mapping!$B$4:$C$37,2,0)</f>
        <v>[Cake] - Cashloan</v>
      </c>
      <c r="H3218" s="128" t="str">
        <f>VLOOKUP(source[[#This Row],[lending_product_transform]],[3]Mapping!$B$3:$D$37,3,0)</f>
        <v>cashloan</v>
      </c>
      <c r="I3218" s="143">
        <v>16050000</v>
      </c>
    </row>
    <row r="3219" spans="1:9" x14ac:dyDescent="0.2">
      <c r="A3219" s="134">
        <v>45600</v>
      </c>
      <c r="B3219" s="135">
        <f>YEAR(source[[#This Row],[report_date]])</f>
        <v>2024</v>
      </c>
      <c r="C3219" s="128">
        <f t="shared" si="142"/>
        <v>11</v>
      </c>
      <c r="D3219" s="136">
        <f t="shared" si="144"/>
        <v>45</v>
      </c>
      <c r="E3219" s="136">
        <f t="shared" si="143"/>
        <v>4</v>
      </c>
      <c r="F3219" s="137" t="s">
        <v>24</v>
      </c>
      <c r="G3219" s="128" t="str">
        <f>VLOOKUP(source[[#This Row],[lending_product_transform]],[3]Mapping!$B$4:$C$37,2,0)</f>
        <v>[Cake] - Cashloan</v>
      </c>
      <c r="H3219" s="128" t="str">
        <f>VLOOKUP(source[[#This Row],[lending_product_transform]],[3]Mapping!$B$3:$D$37,3,0)</f>
        <v>cashloan</v>
      </c>
      <c r="I3219" s="143">
        <v>350610000</v>
      </c>
    </row>
    <row r="3220" spans="1:9" x14ac:dyDescent="0.2">
      <c r="A3220" s="134">
        <v>45600</v>
      </c>
      <c r="B3220" s="135">
        <f>YEAR(source[[#This Row],[report_date]])</f>
        <v>2024</v>
      </c>
      <c r="C3220" s="128">
        <f t="shared" si="142"/>
        <v>11</v>
      </c>
      <c r="D3220" s="136">
        <f t="shared" si="144"/>
        <v>45</v>
      </c>
      <c r="E3220" s="136">
        <f t="shared" si="143"/>
        <v>4</v>
      </c>
      <c r="F3220" s="137" t="s">
        <v>24</v>
      </c>
      <c r="G3220" s="128" t="str">
        <f>VLOOKUP(source[[#This Row],[lending_product_transform]],[3]Mapping!$B$4:$C$37,2,0)</f>
        <v>[Cake] - Cashloan</v>
      </c>
      <c r="H3220" s="128" t="str">
        <f>VLOOKUP(source[[#This Row],[lending_product_transform]],[3]Mapping!$B$3:$D$37,3,0)</f>
        <v>cashloan</v>
      </c>
      <c r="I3220" s="143">
        <v>594523663</v>
      </c>
    </row>
    <row r="3221" spans="1:9" x14ac:dyDescent="0.2">
      <c r="A3221" s="134">
        <v>45600</v>
      </c>
      <c r="B3221" s="135">
        <f>YEAR(source[[#This Row],[report_date]])</f>
        <v>2024</v>
      </c>
      <c r="C3221" s="128">
        <f t="shared" si="142"/>
        <v>11</v>
      </c>
      <c r="D3221" s="136">
        <f t="shared" si="144"/>
        <v>45</v>
      </c>
      <c r="E3221" s="136">
        <f t="shared" si="143"/>
        <v>4</v>
      </c>
      <c r="F3221" s="137" t="s">
        <v>24</v>
      </c>
      <c r="G3221" s="128" t="str">
        <f>VLOOKUP(source[[#This Row],[lending_product_transform]],[3]Mapping!$B$4:$C$37,2,0)</f>
        <v>[Cake] - Cashloan</v>
      </c>
      <c r="H3221" s="128" t="str">
        <f>VLOOKUP(source[[#This Row],[lending_product_transform]],[3]Mapping!$B$3:$D$37,3,0)</f>
        <v>cashloan</v>
      </c>
      <c r="I3221" s="143">
        <v>108150000</v>
      </c>
    </row>
    <row r="3222" spans="1:9" x14ac:dyDescent="0.2">
      <c r="A3222" s="134">
        <v>45600</v>
      </c>
      <c r="B3222" s="135">
        <f>YEAR(source[[#This Row],[report_date]])</f>
        <v>2024</v>
      </c>
      <c r="C3222" s="128">
        <f t="shared" si="142"/>
        <v>11</v>
      </c>
      <c r="D3222" s="136">
        <f t="shared" si="144"/>
        <v>45</v>
      </c>
      <c r="E3222" s="136">
        <f t="shared" si="143"/>
        <v>4</v>
      </c>
      <c r="F3222" s="137" t="s">
        <v>24</v>
      </c>
      <c r="G3222" s="128" t="str">
        <f>VLOOKUP(source[[#This Row],[lending_product_transform]],[3]Mapping!$B$4:$C$37,2,0)</f>
        <v>[Cake] - Cashloan</v>
      </c>
      <c r="H3222" s="128" t="str">
        <f>VLOOKUP(source[[#This Row],[lending_product_transform]],[3]Mapping!$B$3:$D$37,3,0)</f>
        <v>cashloan</v>
      </c>
      <c r="I3222" s="143">
        <v>5046602882</v>
      </c>
    </row>
    <row r="3223" spans="1:9" x14ac:dyDescent="0.2">
      <c r="A3223" s="134">
        <v>45600</v>
      </c>
      <c r="B3223" s="135">
        <f>YEAR(source[[#This Row],[report_date]])</f>
        <v>2024</v>
      </c>
      <c r="C3223" s="128">
        <f t="shared" si="142"/>
        <v>11</v>
      </c>
      <c r="D3223" s="136">
        <f t="shared" si="144"/>
        <v>45</v>
      </c>
      <c r="E3223" s="136">
        <f t="shared" si="143"/>
        <v>4</v>
      </c>
      <c r="F3223" s="137" t="s">
        <v>24</v>
      </c>
      <c r="G3223" s="128" t="str">
        <f>VLOOKUP(source[[#This Row],[lending_product_transform]],[3]Mapping!$B$4:$C$37,2,0)</f>
        <v>[Cake] - Cashloan</v>
      </c>
      <c r="H3223" s="128" t="str">
        <f>VLOOKUP(source[[#This Row],[lending_product_transform]],[3]Mapping!$B$3:$D$37,3,0)</f>
        <v>cashloan</v>
      </c>
      <c r="I3223" s="143">
        <v>232601</v>
      </c>
    </row>
    <row r="3224" spans="1:9" x14ac:dyDescent="0.2">
      <c r="A3224" s="134">
        <v>45600</v>
      </c>
      <c r="B3224" s="135">
        <f>YEAR(source[[#This Row],[report_date]])</f>
        <v>2024</v>
      </c>
      <c r="C3224" s="128">
        <f t="shared" si="142"/>
        <v>11</v>
      </c>
      <c r="D3224" s="136">
        <f t="shared" si="144"/>
        <v>45</v>
      </c>
      <c r="E3224" s="136">
        <f t="shared" si="143"/>
        <v>4</v>
      </c>
      <c r="F3224" s="137" t="s">
        <v>24</v>
      </c>
      <c r="G3224" s="128" t="str">
        <f>VLOOKUP(source[[#This Row],[lending_product_transform]],[3]Mapping!$B$4:$C$37,2,0)</f>
        <v>[Cake] - Cashloan</v>
      </c>
      <c r="H3224" s="128" t="str">
        <f>VLOOKUP(source[[#This Row],[lending_product_transform]],[3]Mapping!$B$3:$D$37,3,0)</f>
        <v>cashloan</v>
      </c>
      <c r="I3224" s="143">
        <v>0</v>
      </c>
    </row>
    <row r="3225" spans="1:9" x14ac:dyDescent="0.2">
      <c r="A3225" s="134">
        <v>45600</v>
      </c>
      <c r="B3225" s="135">
        <f>YEAR(source[[#This Row],[report_date]])</f>
        <v>2024</v>
      </c>
      <c r="C3225" s="128">
        <f t="shared" si="142"/>
        <v>11</v>
      </c>
      <c r="D3225" s="136">
        <f t="shared" si="144"/>
        <v>45</v>
      </c>
      <c r="E3225" s="136">
        <f t="shared" si="143"/>
        <v>4</v>
      </c>
      <c r="F3225" s="137" t="s">
        <v>24</v>
      </c>
      <c r="G3225" s="128" t="str">
        <f>VLOOKUP(source[[#This Row],[lending_product_transform]],[3]Mapping!$B$4:$C$37,2,0)</f>
        <v>[Cake] - Cashloan</v>
      </c>
      <c r="H3225" s="128" t="str">
        <f>VLOOKUP(source[[#This Row],[lending_product_transform]],[3]Mapping!$B$3:$D$37,3,0)</f>
        <v>cashloan</v>
      </c>
      <c r="I3225" s="143">
        <v>0</v>
      </c>
    </row>
    <row r="3226" spans="1:9" x14ac:dyDescent="0.2">
      <c r="A3226" s="134">
        <v>45600</v>
      </c>
      <c r="B3226" s="135">
        <f>YEAR(source[[#This Row],[report_date]])</f>
        <v>2024</v>
      </c>
      <c r="C3226" s="128">
        <f t="shared" si="142"/>
        <v>11</v>
      </c>
      <c r="D3226" s="136">
        <f t="shared" si="144"/>
        <v>45</v>
      </c>
      <c r="E3226" s="136">
        <f t="shared" si="143"/>
        <v>4</v>
      </c>
      <c r="F3226" s="137" t="s">
        <v>24</v>
      </c>
      <c r="G3226" s="128" t="str">
        <f>VLOOKUP(source[[#This Row],[lending_product_transform]],[3]Mapping!$B$4:$C$37,2,0)</f>
        <v>[Cake] - Cashloan</v>
      </c>
      <c r="H3226" s="128" t="str">
        <f>VLOOKUP(source[[#This Row],[lending_product_transform]],[3]Mapping!$B$3:$D$37,3,0)</f>
        <v>cashloan</v>
      </c>
      <c r="I3226" s="143">
        <v>4615500000</v>
      </c>
    </row>
    <row r="3227" spans="1:9" x14ac:dyDescent="0.2">
      <c r="A3227" s="134">
        <v>45600</v>
      </c>
      <c r="B3227" s="135">
        <f>YEAR(source[[#This Row],[report_date]])</f>
        <v>2024</v>
      </c>
      <c r="C3227" s="128">
        <f t="shared" si="142"/>
        <v>11</v>
      </c>
      <c r="D3227" s="136">
        <f t="shared" si="144"/>
        <v>45</v>
      </c>
      <c r="E3227" s="136">
        <f t="shared" si="143"/>
        <v>4</v>
      </c>
      <c r="F3227" s="137" t="s">
        <v>24</v>
      </c>
      <c r="G3227" s="128" t="str">
        <f>VLOOKUP(source[[#This Row],[lending_product_transform]],[3]Mapping!$B$4:$C$37,2,0)</f>
        <v>[Cake] - Cashloan</v>
      </c>
      <c r="H3227" s="128" t="str">
        <f>VLOOKUP(source[[#This Row],[lending_product_transform]],[3]Mapping!$B$3:$D$37,3,0)</f>
        <v>cashloan</v>
      </c>
      <c r="I3227" s="143">
        <v>5290480000</v>
      </c>
    </row>
    <row r="3228" spans="1:9" x14ac:dyDescent="0.2">
      <c r="A3228" s="134">
        <v>45600</v>
      </c>
      <c r="B3228" s="135">
        <f>YEAR(source[[#This Row],[report_date]])</f>
        <v>2024</v>
      </c>
      <c r="C3228" s="128">
        <f t="shared" si="142"/>
        <v>11</v>
      </c>
      <c r="D3228" s="136">
        <f t="shared" si="144"/>
        <v>45</v>
      </c>
      <c r="E3228" s="136">
        <f t="shared" si="143"/>
        <v>4</v>
      </c>
      <c r="F3228" s="137" t="s">
        <v>24</v>
      </c>
      <c r="G3228" s="128" t="str">
        <f>VLOOKUP(source[[#This Row],[lending_product_transform]],[3]Mapping!$B$4:$C$37,2,0)</f>
        <v>[Cake] - Cashloan</v>
      </c>
      <c r="H3228" s="128" t="str">
        <f>VLOOKUP(source[[#This Row],[lending_product_transform]],[3]Mapping!$B$3:$D$37,3,0)</f>
        <v>cashloan</v>
      </c>
      <c r="I3228" s="143">
        <v>49220000</v>
      </c>
    </row>
    <row r="3229" spans="1:9" x14ac:dyDescent="0.2">
      <c r="A3229" s="134">
        <v>45600</v>
      </c>
      <c r="B3229" s="135">
        <f>YEAR(source[[#This Row],[report_date]])</f>
        <v>2024</v>
      </c>
      <c r="C3229" s="128">
        <f t="shared" si="142"/>
        <v>11</v>
      </c>
      <c r="D3229" s="136">
        <f t="shared" si="144"/>
        <v>45</v>
      </c>
      <c r="E3229" s="136">
        <f t="shared" si="143"/>
        <v>4</v>
      </c>
      <c r="F3229" s="137" t="s">
        <v>24</v>
      </c>
      <c r="G3229" s="128" t="str">
        <f>VLOOKUP(source[[#This Row],[lending_product_transform]],[3]Mapping!$B$4:$C$37,2,0)</f>
        <v>[Cake] - Cashloan</v>
      </c>
      <c r="H3229" s="128" t="str">
        <f>VLOOKUP(source[[#This Row],[lending_product_transform]],[3]Mapping!$B$3:$D$37,3,0)</f>
        <v>cashloan</v>
      </c>
      <c r="I3229" s="143">
        <v>7390680000</v>
      </c>
    </row>
    <row r="3230" spans="1:9" x14ac:dyDescent="0.2">
      <c r="A3230" s="134">
        <v>45600</v>
      </c>
      <c r="B3230" s="135">
        <f>YEAR(source[[#This Row],[report_date]])</f>
        <v>2024</v>
      </c>
      <c r="C3230" s="128">
        <f t="shared" si="142"/>
        <v>11</v>
      </c>
      <c r="D3230" s="136">
        <f t="shared" si="144"/>
        <v>45</v>
      </c>
      <c r="E3230" s="136">
        <f t="shared" si="143"/>
        <v>4</v>
      </c>
      <c r="F3230" s="137" t="s">
        <v>24</v>
      </c>
      <c r="G3230" s="128" t="str">
        <f>VLOOKUP(source[[#This Row],[lending_product_transform]],[3]Mapping!$B$4:$C$37,2,0)</f>
        <v>[Cake] - Cashloan</v>
      </c>
      <c r="H3230" s="128" t="str">
        <f>VLOOKUP(source[[#This Row],[lending_product_transform]],[3]Mapping!$B$3:$D$37,3,0)</f>
        <v>cashloan</v>
      </c>
      <c r="I3230" s="143">
        <v>56000000</v>
      </c>
    </row>
    <row r="3231" spans="1:9" x14ac:dyDescent="0.2">
      <c r="A3231" s="134">
        <v>45600</v>
      </c>
      <c r="B3231" s="135">
        <f>YEAR(source[[#This Row],[report_date]])</f>
        <v>2024</v>
      </c>
      <c r="C3231" s="128">
        <f t="shared" si="142"/>
        <v>11</v>
      </c>
      <c r="D3231" s="136">
        <f t="shared" si="144"/>
        <v>45</v>
      </c>
      <c r="E3231" s="136">
        <f t="shared" si="143"/>
        <v>4</v>
      </c>
      <c r="F3231" s="137" t="s">
        <v>24</v>
      </c>
      <c r="G3231" s="128" t="str">
        <f>VLOOKUP(source[[#This Row],[lending_product_transform]],[3]Mapping!$B$4:$C$37,2,0)</f>
        <v>[Cake] - Cashloan</v>
      </c>
      <c r="H3231" s="128" t="str">
        <f>VLOOKUP(source[[#This Row],[lending_product_transform]],[3]Mapping!$B$3:$D$37,3,0)</f>
        <v>cashloan</v>
      </c>
      <c r="I3231" s="143">
        <v>124579998</v>
      </c>
    </row>
    <row r="3232" spans="1:9" x14ac:dyDescent="0.2">
      <c r="A3232" s="134">
        <v>45600</v>
      </c>
      <c r="B3232" s="135">
        <f>YEAR(source[[#This Row],[report_date]])</f>
        <v>2024</v>
      </c>
      <c r="C3232" s="128">
        <f t="shared" si="142"/>
        <v>11</v>
      </c>
      <c r="D3232" s="136">
        <f t="shared" si="144"/>
        <v>45</v>
      </c>
      <c r="E3232" s="136">
        <f t="shared" si="143"/>
        <v>4</v>
      </c>
      <c r="F3232" s="137" t="s">
        <v>24</v>
      </c>
      <c r="G3232" s="128" t="str">
        <f>VLOOKUP(source[[#This Row],[lending_product_transform]],[3]Mapping!$B$4:$C$37,2,0)</f>
        <v>[Cake] - Cashloan</v>
      </c>
      <c r="H3232" s="128" t="str">
        <f>VLOOKUP(source[[#This Row],[lending_product_transform]],[3]Mapping!$B$3:$D$37,3,0)</f>
        <v>cashloan</v>
      </c>
      <c r="I3232" s="143">
        <v>46420000</v>
      </c>
    </row>
    <row r="3233" spans="1:9" x14ac:dyDescent="0.2">
      <c r="A3233" s="134">
        <v>45600</v>
      </c>
      <c r="B3233" s="135">
        <f>YEAR(source[[#This Row],[report_date]])</f>
        <v>2024</v>
      </c>
      <c r="C3233" s="128">
        <f t="shared" si="142"/>
        <v>11</v>
      </c>
      <c r="D3233" s="136">
        <f t="shared" si="144"/>
        <v>45</v>
      </c>
      <c r="E3233" s="136">
        <f t="shared" si="143"/>
        <v>4</v>
      </c>
      <c r="F3233" s="137" t="s">
        <v>24</v>
      </c>
      <c r="G3233" s="128" t="str">
        <f>VLOOKUP(source[[#This Row],[lending_product_transform]],[3]Mapping!$B$4:$C$37,2,0)</f>
        <v>[Cake] - Cashloan</v>
      </c>
      <c r="H3233" s="128" t="str">
        <f>VLOOKUP(source[[#This Row],[lending_product_transform]],[3]Mapping!$B$3:$D$37,3,0)</f>
        <v>cashloan</v>
      </c>
      <c r="I3233" s="143">
        <v>89250000</v>
      </c>
    </row>
    <row r="3234" spans="1:9" x14ac:dyDescent="0.2">
      <c r="A3234" s="134">
        <v>45601</v>
      </c>
      <c r="B3234" s="135">
        <f>YEAR(source[[#This Row],[report_date]])</f>
        <v>2024</v>
      </c>
      <c r="C3234" s="128">
        <f t="shared" si="142"/>
        <v>11</v>
      </c>
      <c r="D3234" s="136">
        <f t="shared" si="144"/>
        <v>45</v>
      </c>
      <c r="E3234" s="136">
        <f t="shared" si="143"/>
        <v>5</v>
      </c>
      <c r="F3234" s="137" t="s">
        <v>24</v>
      </c>
      <c r="G3234" s="128" t="str">
        <f>VLOOKUP(source[[#This Row],[lending_product_transform]],[3]Mapping!$B$4:$C$37,2,0)</f>
        <v>[Cake] - Cashloan</v>
      </c>
      <c r="H3234" s="128" t="str">
        <f>VLOOKUP(source[[#This Row],[lending_product_transform]],[3]Mapping!$B$3:$D$37,3,0)</f>
        <v>cashloan</v>
      </c>
      <c r="I3234" s="143">
        <v>56050000</v>
      </c>
    </row>
    <row r="3235" spans="1:9" x14ac:dyDescent="0.2">
      <c r="A3235" s="134">
        <v>45601</v>
      </c>
      <c r="B3235" s="135">
        <f>YEAR(source[[#This Row],[report_date]])</f>
        <v>2024</v>
      </c>
      <c r="C3235" s="128">
        <f t="shared" ref="C3235:C3298" si="145">MONTH(A3235)</f>
        <v>11</v>
      </c>
      <c r="D3235" s="136">
        <f t="shared" si="144"/>
        <v>45</v>
      </c>
      <c r="E3235" s="136">
        <f t="shared" ref="E3235:E3298" si="146">DAY(A3235)</f>
        <v>5</v>
      </c>
      <c r="F3235" s="137" t="s">
        <v>24</v>
      </c>
      <c r="G3235" s="128" t="str">
        <f>VLOOKUP(source[[#This Row],[lending_product_transform]],[3]Mapping!$B$4:$C$37,2,0)</f>
        <v>[Cake] - Cashloan</v>
      </c>
      <c r="H3235" s="128" t="str">
        <f>VLOOKUP(source[[#This Row],[lending_product_transform]],[3]Mapping!$B$3:$D$37,3,0)</f>
        <v>cashloan</v>
      </c>
      <c r="I3235" s="143">
        <v>5263490000</v>
      </c>
    </row>
    <row r="3236" spans="1:9" x14ac:dyDescent="0.2">
      <c r="A3236" s="134">
        <v>45601</v>
      </c>
      <c r="B3236" s="135">
        <f>YEAR(source[[#This Row],[report_date]])</f>
        <v>2024</v>
      </c>
      <c r="C3236" s="128">
        <f t="shared" si="145"/>
        <v>11</v>
      </c>
      <c r="D3236" s="136">
        <f t="shared" si="144"/>
        <v>45</v>
      </c>
      <c r="E3236" s="136">
        <f t="shared" si="146"/>
        <v>5</v>
      </c>
      <c r="F3236" s="137" t="s">
        <v>24</v>
      </c>
      <c r="G3236" s="128" t="str">
        <f>VLOOKUP(source[[#This Row],[lending_product_transform]],[3]Mapping!$B$4:$C$37,2,0)</f>
        <v>[Cake] - Cashloan</v>
      </c>
      <c r="H3236" s="128" t="str">
        <f>VLOOKUP(source[[#This Row],[lending_product_transform]],[3]Mapping!$B$3:$D$37,3,0)</f>
        <v>cashloan</v>
      </c>
      <c r="I3236" s="143">
        <v>31400000</v>
      </c>
    </row>
    <row r="3237" spans="1:9" x14ac:dyDescent="0.2">
      <c r="A3237" s="134">
        <v>45601</v>
      </c>
      <c r="B3237" s="135">
        <f>YEAR(source[[#This Row],[report_date]])</f>
        <v>2024</v>
      </c>
      <c r="C3237" s="128">
        <f t="shared" si="145"/>
        <v>11</v>
      </c>
      <c r="D3237" s="136">
        <f t="shared" si="144"/>
        <v>45</v>
      </c>
      <c r="E3237" s="136">
        <f t="shared" si="146"/>
        <v>5</v>
      </c>
      <c r="F3237" s="137" t="s">
        <v>24</v>
      </c>
      <c r="G3237" s="128" t="str">
        <f>VLOOKUP(source[[#This Row],[lending_product_transform]],[3]Mapping!$B$4:$C$37,2,0)</f>
        <v>[Cake] - Cashloan</v>
      </c>
      <c r="H3237" s="128" t="str">
        <f>VLOOKUP(source[[#This Row],[lending_product_transform]],[3]Mapping!$B$3:$D$37,3,0)</f>
        <v>cashloan</v>
      </c>
      <c r="I3237" s="143">
        <v>172640000</v>
      </c>
    </row>
    <row r="3238" spans="1:9" x14ac:dyDescent="0.2">
      <c r="A3238" s="134">
        <v>45601</v>
      </c>
      <c r="B3238" s="135">
        <f>YEAR(source[[#This Row],[report_date]])</f>
        <v>2024</v>
      </c>
      <c r="C3238" s="128">
        <f t="shared" si="145"/>
        <v>11</v>
      </c>
      <c r="D3238" s="136">
        <f t="shared" si="144"/>
        <v>45</v>
      </c>
      <c r="E3238" s="136">
        <f t="shared" si="146"/>
        <v>5</v>
      </c>
      <c r="F3238" s="137" t="s">
        <v>24</v>
      </c>
      <c r="G3238" s="128" t="str">
        <f>VLOOKUP(source[[#This Row],[lending_product_transform]],[3]Mapping!$B$4:$C$37,2,0)</f>
        <v>[Cake] - Cashloan</v>
      </c>
      <c r="H3238" s="128" t="str">
        <f>VLOOKUP(source[[#This Row],[lending_product_transform]],[3]Mapping!$B$3:$D$37,3,0)</f>
        <v>cashloan</v>
      </c>
      <c r="I3238" s="143">
        <v>4456354905</v>
      </c>
    </row>
    <row r="3239" spans="1:9" x14ac:dyDescent="0.2">
      <c r="A3239" s="134">
        <v>45601</v>
      </c>
      <c r="B3239" s="135">
        <f>YEAR(source[[#This Row],[report_date]])</f>
        <v>2024</v>
      </c>
      <c r="C3239" s="128">
        <f t="shared" si="145"/>
        <v>11</v>
      </c>
      <c r="D3239" s="136">
        <f t="shared" si="144"/>
        <v>45</v>
      </c>
      <c r="E3239" s="136">
        <f t="shared" si="146"/>
        <v>5</v>
      </c>
      <c r="F3239" s="137" t="s">
        <v>24</v>
      </c>
      <c r="G3239" s="128" t="str">
        <f>VLOOKUP(source[[#This Row],[lending_product_transform]],[3]Mapping!$B$4:$C$37,2,0)</f>
        <v>[Cake] - Cashloan</v>
      </c>
      <c r="H3239" s="128" t="str">
        <f>VLOOKUP(source[[#This Row],[lending_product_transform]],[3]Mapping!$B$3:$D$37,3,0)</f>
        <v>cashloan</v>
      </c>
      <c r="I3239" s="143">
        <v>0</v>
      </c>
    </row>
    <row r="3240" spans="1:9" x14ac:dyDescent="0.2">
      <c r="A3240" s="134">
        <v>45601</v>
      </c>
      <c r="B3240" s="135">
        <f>YEAR(source[[#This Row],[report_date]])</f>
        <v>2024</v>
      </c>
      <c r="C3240" s="128">
        <f t="shared" si="145"/>
        <v>11</v>
      </c>
      <c r="D3240" s="136">
        <f t="shared" si="144"/>
        <v>45</v>
      </c>
      <c r="E3240" s="136">
        <f t="shared" si="146"/>
        <v>5</v>
      </c>
      <c r="F3240" s="137" t="s">
        <v>24</v>
      </c>
      <c r="G3240" s="128" t="str">
        <f>VLOOKUP(source[[#This Row],[lending_product_transform]],[3]Mapping!$B$4:$C$37,2,0)</f>
        <v>[Cake] - Cashloan</v>
      </c>
      <c r="H3240" s="128" t="str">
        <f>VLOOKUP(source[[#This Row],[lending_product_transform]],[3]Mapping!$B$3:$D$37,3,0)</f>
        <v>cashloan</v>
      </c>
      <c r="I3240" s="143">
        <v>221101</v>
      </c>
    </row>
    <row r="3241" spans="1:9" x14ac:dyDescent="0.2">
      <c r="A3241" s="134">
        <v>45601</v>
      </c>
      <c r="B3241" s="135">
        <f>YEAR(source[[#This Row],[report_date]])</f>
        <v>2024</v>
      </c>
      <c r="C3241" s="128">
        <f t="shared" si="145"/>
        <v>11</v>
      </c>
      <c r="D3241" s="136">
        <f t="shared" si="144"/>
        <v>45</v>
      </c>
      <c r="E3241" s="136">
        <f t="shared" si="146"/>
        <v>5</v>
      </c>
      <c r="F3241" s="137" t="s">
        <v>24</v>
      </c>
      <c r="G3241" s="128" t="str">
        <f>VLOOKUP(source[[#This Row],[lending_product_transform]],[3]Mapping!$B$4:$C$37,2,0)</f>
        <v>[Cake] - Cashloan</v>
      </c>
      <c r="H3241" s="128" t="str">
        <f>VLOOKUP(source[[#This Row],[lending_product_transform]],[3]Mapping!$B$3:$D$37,3,0)</f>
        <v>cashloan</v>
      </c>
      <c r="I3241" s="143">
        <v>6997160000</v>
      </c>
    </row>
    <row r="3242" spans="1:9" x14ac:dyDescent="0.2">
      <c r="A3242" s="134">
        <v>45601</v>
      </c>
      <c r="B3242" s="135">
        <f>YEAR(source[[#This Row],[report_date]])</f>
        <v>2024</v>
      </c>
      <c r="C3242" s="128">
        <f t="shared" si="145"/>
        <v>11</v>
      </c>
      <c r="D3242" s="136">
        <f t="shared" si="144"/>
        <v>45</v>
      </c>
      <c r="E3242" s="136">
        <f t="shared" si="146"/>
        <v>5</v>
      </c>
      <c r="F3242" s="137" t="s">
        <v>24</v>
      </c>
      <c r="G3242" s="128" t="str">
        <f>VLOOKUP(source[[#This Row],[lending_product_transform]],[3]Mapping!$B$4:$C$37,2,0)</f>
        <v>[Cake] - Cashloan</v>
      </c>
      <c r="H3242" s="128" t="str">
        <f>VLOOKUP(source[[#This Row],[lending_product_transform]],[3]Mapping!$B$3:$D$37,3,0)</f>
        <v>cashloan</v>
      </c>
      <c r="I3242" s="143">
        <v>52100000</v>
      </c>
    </row>
    <row r="3243" spans="1:9" x14ac:dyDescent="0.2">
      <c r="A3243" s="134">
        <v>45601</v>
      </c>
      <c r="B3243" s="135">
        <f>YEAR(source[[#This Row],[report_date]])</f>
        <v>2024</v>
      </c>
      <c r="C3243" s="128">
        <f t="shared" si="145"/>
        <v>11</v>
      </c>
      <c r="D3243" s="136">
        <f t="shared" si="144"/>
        <v>45</v>
      </c>
      <c r="E3243" s="136">
        <f t="shared" si="146"/>
        <v>5</v>
      </c>
      <c r="F3243" s="137" t="s">
        <v>24</v>
      </c>
      <c r="G3243" s="128" t="str">
        <f>VLOOKUP(source[[#This Row],[lending_product_transform]],[3]Mapping!$B$4:$C$37,2,0)</f>
        <v>[Cake] - Cashloan</v>
      </c>
      <c r="H3243" s="128" t="str">
        <f>VLOOKUP(source[[#This Row],[lending_product_transform]],[3]Mapping!$B$3:$D$37,3,0)</f>
        <v>cashloan</v>
      </c>
      <c r="I3243" s="143">
        <v>0</v>
      </c>
    </row>
    <row r="3244" spans="1:9" x14ac:dyDescent="0.2">
      <c r="A3244" s="134">
        <v>45601</v>
      </c>
      <c r="B3244" s="135">
        <f>YEAR(source[[#This Row],[report_date]])</f>
        <v>2024</v>
      </c>
      <c r="C3244" s="128">
        <f t="shared" si="145"/>
        <v>11</v>
      </c>
      <c r="D3244" s="136">
        <f t="shared" si="144"/>
        <v>45</v>
      </c>
      <c r="E3244" s="136">
        <f t="shared" si="146"/>
        <v>5</v>
      </c>
      <c r="F3244" s="137" t="s">
        <v>24</v>
      </c>
      <c r="G3244" s="128" t="str">
        <f>VLOOKUP(source[[#This Row],[lending_product_transform]],[3]Mapping!$B$4:$C$37,2,0)</f>
        <v>[Cake] - Cashloan</v>
      </c>
      <c r="H3244" s="128" t="str">
        <f>VLOOKUP(source[[#This Row],[lending_product_transform]],[3]Mapping!$B$3:$D$37,3,0)</f>
        <v>cashloan</v>
      </c>
      <c r="I3244" s="143">
        <v>651345155</v>
      </c>
    </row>
    <row r="3245" spans="1:9" x14ac:dyDescent="0.2">
      <c r="A3245" s="134">
        <v>45601</v>
      </c>
      <c r="B3245" s="135">
        <f>YEAR(source[[#This Row],[report_date]])</f>
        <v>2024</v>
      </c>
      <c r="C3245" s="128">
        <f t="shared" si="145"/>
        <v>11</v>
      </c>
      <c r="D3245" s="136">
        <f t="shared" si="144"/>
        <v>45</v>
      </c>
      <c r="E3245" s="136">
        <f t="shared" si="146"/>
        <v>5</v>
      </c>
      <c r="F3245" s="137" t="s">
        <v>24</v>
      </c>
      <c r="G3245" s="128" t="str">
        <f>VLOOKUP(source[[#This Row],[lending_product_transform]],[3]Mapping!$B$4:$C$37,2,0)</f>
        <v>[Cake] - Cashloan</v>
      </c>
      <c r="H3245" s="128" t="str">
        <f>VLOOKUP(source[[#This Row],[lending_product_transform]],[3]Mapping!$B$3:$D$37,3,0)</f>
        <v>cashloan</v>
      </c>
      <c r="I3245" s="143">
        <v>4439500000</v>
      </c>
    </row>
    <row r="3246" spans="1:9" x14ac:dyDescent="0.2">
      <c r="A3246" s="134">
        <v>45601</v>
      </c>
      <c r="B3246" s="135">
        <f>YEAR(source[[#This Row],[report_date]])</f>
        <v>2024</v>
      </c>
      <c r="C3246" s="128">
        <f t="shared" si="145"/>
        <v>11</v>
      </c>
      <c r="D3246" s="136">
        <f t="shared" si="144"/>
        <v>45</v>
      </c>
      <c r="E3246" s="136">
        <f t="shared" si="146"/>
        <v>5</v>
      </c>
      <c r="F3246" s="137" t="s">
        <v>24</v>
      </c>
      <c r="G3246" s="128" t="str">
        <f>VLOOKUP(source[[#This Row],[lending_product_transform]],[3]Mapping!$B$4:$C$37,2,0)</f>
        <v>[Cake] - Cashloan</v>
      </c>
      <c r="H3246" s="128" t="str">
        <f>VLOOKUP(source[[#This Row],[lending_product_transform]],[3]Mapping!$B$3:$D$37,3,0)</f>
        <v>cashloan</v>
      </c>
      <c r="I3246" s="143">
        <v>123911105</v>
      </c>
    </row>
    <row r="3247" spans="1:9" x14ac:dyDescent="0.2">
      <c r="A3247" s="134">
        <v>45601</v>
      </c>
      <c r="B3247" s="135">
        <f>YEAR(source[[#This Row],[report_date]])</f>
        <v>2024</v>
      </c>
      <c r="C3247" s="128">
        <f t="shared" si="145"/>
        <v>11</v>
      </c>
      <c r="D3247" s="136">
        <f t="shared" si="144"/>
        <v>45</v>
      </c>
      <c r="E3247" s="136">
        <f t="shared" si="146"/>
        <v>5</v>
      </c>
      <c r="F3247" s="137" t="s">
        <v>24</v>
      </c>
      <c r="G3247" s="128" t="str">
        <f>VLOOKUP(source[[#This Row],[lending_product_transform]],[3]Mapping!$B$4:$C$37,2,0)</f>
        <v>[Cake] - Cashloan</v>
      </c>
      <c r="H3247" s="128" t="str">
        <f>VLOOKUP(source[[#This Row],[lending_product_transform]],[3]Mapping!$B$3:$D$37,3,0)</f>
        <v>cashloan</v>
      </c>
      <c r="I3247" s="143">
        <v>70000000</v>
      </c>
    </row>
    <row r="3248" spans="1:9" x14ac:dyDescent="0.2">
      <c r="A3248" s="134">
        <v>45601</v>
      </c>
      <c r="B3248" s="135">
        <f>YEAR(source[[#This Row],[report_date]])</f>
        <v>2024</v>
      </c>
      <c r="C3248" s="128">
        <f t="shared" si="145"/>
        <v>11</v>
      </c>
      <c r="D3248" s="136">
        <f t="shared" si="144"/>
        <v>45</v>
      </c>
      <c r="E3248" s="136">
        <f t="shared" si="146"/>
        <v>5</v>
      </c>
      <c r="F3248" s="137" t="s">
        <v>24</v>
      </c>
      <c r="G3248" s="128" t="str">
        <f>VLOOKUP(source[[#This Row],[lending_product_transform]],[3]Mapping!$B$4:$C$37,2,0)</f>
        <v>[Cake] - Cashloan</v>
      </c>
      <c r="H3248" s="128" t="str">
        <f>VLOOKUP(source[[#This Row],[lending_product_transform]],[3]Mapping!$B$3:$D$37,3,0)</f>
        <v>cashloan</v>
      </c>
      <c r="I3248" s="143">
        <v>56700000</v>
      </c>
    </row>
    <row r="3249" spans="1:9" x14ac:dyDescent="0.2">
      <c r="A3249" s="134">
        <v>45601</v>
      </c>
      <c r="B3249" s="135">
        <f>YEAR(source[[#This Row],[report_date]])</f>
        <v>2024</v>
      </c>
      <c r="C3249" s="128">
        <f t="shared" si="145"/>
        <v>11</v>
      </c>
      <c r="D3249" s="136">
        <f t="shared" si="144"/>
        <v>45</v>
      </c>
      <c r="E3249" s="136">
        <f t="shared" si="146"/>
        <v>5</v>
      </c>
      <c r="F3249" s="137" t="s">
        <v>24</v>
      </c>
      <c r="G3249" s="128" t="str">
        <f>VLOOKUP(source[[#This Row],[lending_product_transform]],[3]Mapping!$B$4:$C$37,2,0)</f>
        <v>[Cake] - Cashloan</v>
      </c>
      <c r="H3249" s="128" t="str">
        <f>VLOOKUP(source[[#This Row],[lending_product_transform]],[3]Mapping!$B$3:$D$37,3,0)</f>
        <v>cashloan</v>
      </c>
      <c r="I3249" s="143">
        <v>115600000</v>
      </c>
    </row>
    <row r="3250" spans="1:9" x14ac:dyDescent="0.2">
      <c r="A3250" s="134">
        <v>45602</v>
      </c>
      <c r="B3250" s="135">
        <f>YEAR(source[[#This Row],[report_date]])</f>
        <v>2024</v>
      </c>
      <c r="C3250" s="128">
        <f t="shared" si="145"/>
        <v>11</v>
      </c>
      <c r="D3250" s="136">
        <f t="shared" si="144"/>
        <v>45</v>
      </c>
      <c r="E3250" s="136">
        <f t="shared" si="146"/>
        <v>6</v>
      </c>
      <c r="F3250" s="137" t="s">
        <v>24</v>
      </c>
      <c r="G3250" s="128" t="str">
        <f>VLOOKUP(source[[#This Row],[lending_product_transform]],[3]Mapping!$B$4:$C$37,2,0)</f>
        <v>[Cake] - Cashloan</v>
      </c>
      <c r="H3250" s="128" t="str">
        <f>VLOOKUP(source[[#This Row],[lending_product_transform]],[3]Mapping!$B$3:$D$37,3,0)</f>
        <v>cashloan</v>
      </c>
      <c r="I3250" s="143">
        <v>112612595</v>
      </c>
    </row>
    <row r="3251" spans="1:9" x14ac:dyDescent="0.2">
      <c r="A3251" s="134">
        <v>45602</v>
      </c>
      <c r="B3251" s="135">
        <f>YEAR(source[[#This Row],[report_date]])</f>
        <v>2024</v>
      </c>
      <c r="C3251" s="128">
        <f t="shared" si="145"/>
        <v>11</v>
      </c>
      <c r="D3251" s="136">
        <f t="shared" si="144"/>
        <v>45</v>
      </c>
      <c r="E3251" s="136">
        <f t="shared" si="146"/>
        <v>6</v>
      </c>
      <c r="F3251" s="137" t="s">
        <v>24</v>
      </c>
      <c r="G3251" s="128" t="str">
        <f>VLOOKUP(source[[#This Row],[lending_product_transform]],[3]Mapping!$B$4:$C$37,2,0)</f>
        <v>[Cake] - Cashloan</v>
      </c>
      <c r="H3251" s="128" t="str">
        <f>VLOOKUP(source[[#This Row],[lending_product_transform]],[3]Mapping!$B$3:$D$37,3,0)</f>
        <v>cashloan</v>
      </c>
      <c r="I3251" s="143">
        <v>29000000</v>
      </c>
    </row>
    <row r="3252" spans="1:9" x14ac:dyDescent="0.2">
      <c r="A3252" s="134">
        <v>45602</v>
      </c>
      <c r="B3252" s="135">
        <f>YEAR(source[[#This Row],[report_date]])</f>
        <v>2024</v>
      </c>
      <c r="C3252" s="128">
        <f t="shared" si="145"/>
        <v>11</v>
      </c>
      <c r="D3252" s="136">
        <f t="shared" si="144"/>
        <v>45</v>
      </c>
      <c r="E3252" s="136">
        <f t="shared" si="146"/>
        <v>6</v>
      </c>
      <c r="F3252" s="137" t="s">
        <v>24</v>
      </c>
      <c r="G3252" s="128" t="str">
        <f>VLOOKUP(source[[#This Row],[lending_product_transform]],[3]Mapping!$B$4:$C$37,2,0)</f>
        <v>[Cake] - Cashloan</v>
      </c>
      <c r="H3252" s="128" t="str">
        <f>VLOOKUP(source[[#This Row],[lending_product_transform]],[3]Mapping!$B$3:$D$37,3,0)</f>
        <v>cashloan</v>
      </c>
      <c r="I3252" s="143">
        <v>4973030000</v>
      </c>
    </row>
    <row r="3253" spans="1:9" x14ac:dyDescent="0.2">
      <c r="A3253" s="134">
        <v>45602</v>
      </c>
      <c r="B3253" s="135">
        <f>YEAR(source[[#This Row],[report_date]])</f>
        <v>2024</v>
      </c>
      <c r="C3253" s="128">
        <f t="shared" si="145"/>
        <v>11</v>
      </c>
      <c r="D3253" s="136">
        <f t="shared" si="144"/>
        <v>45</v>
      </c>
      <c r="E3253" s="136">
        <f t="shared" si="146"/>
        <v>6</v>
      </c>
      <c r="F3253" s="137" t="s">
        <v>24</v>
      </c>
      <c r="G3253" s="128" t="str">
        <f>VLOOKUP(source[[#This Row],[lending_product_transform]],[3]Mapping!$B$4:$C$37,2,0)</f>
        <v>[Cake] - Cashloan</v>
      </c>
      <c r="H3253" s="128" t="str">
        <f>VLOOKUP(source[[#This Row],[lending_product_transform]],[3]Mapping!$B$3:$D$37,3,0)</f>
        <v>cashloan</v>
      </c>
      <c r="I3253" s="143">
        <v>501372720</v>
      </c>
    </row>
    <row r="3254" spans="1:9" x14ac:dyDescent="0.2">
      <c r="A3254" s="134">
        <v>45602</v>
      </c>
      <c r="B3254" s="135">
        <f>YEAR(source[[#This Row],[report_date]])</f>
        <v>2024</v>
      </c>
      <c r="C3254" s="128">
        <f t="shared" si="145"/>
        <v>11</v>
      </c>
      <c r="D3254" s="136">
        <f t="shared" si="144"/>
        <v>45</v>
      </c>
      <c r="E3254" s="136">
        <f t="shared" si="146"/>
        <v>6</v>
      </c>
      <c r="F3254" s="137" t="s">
        <v>24</v>
      </c>
      <c r="G3254" s="128" t="str">
        <f>VLOOKUP(source[[#This Row],[lending_product_transform]],[3]Mapping!$B$4:$C$37,2,0)</f>
        <v>[Cake] - Cashloan</v>
      </c>
      <c r="H3254" s="128" t="str">
        <f>VLOOKUP(source[[#This Row],[lending_product_transform]],[3]Mapping!$B$3:$D$37,3,0)</f>
        <v>cashloan</v>
      </c>
      <c r="I3254" s="143">
        <v>52500000</v>
      </c>
    </row>
    <row r="3255" spans="1:9" x14ac:dyDescent="0.2">
      <c r="A3255" s="134">
        <v>45602</v>
      </c>
      <c r="B3255" s="135">
        <f>YEAR(source[[#This Row],[report_date]])</f>
        <v>2024</v>
      </c>
      <c r="C3255" s="128">
        <f t="shared" si="145"/>
        <v>11</v>
      </c>
      <c r="D3255" s="136">
        <f t="shared" si="144"/>
        <v>45</v>
      </c>
      <c r="E3255" s="136">
        <f t="shared" si="146"/>
        <v>6</v>
      </c>
      <c r="F3255" s="137" t="s">
        <v>24</v>
      </c>
      <c r="G3255" s="128" t="str">
        <f>VLOOKUP(source[[#This Row],[lending_product_transform]],[3]Mapping!$B$4:$C$37,2,0)</f>
        <v>[Cake] - Cashloan</v>
      </c>
      <c r="H3255" s="128" t="str">
        <f>VLOOKUP(source[[#This Row],[lending_product_transform]],[3]Mapping!$B$3:$D$37,3,0)</f>
        <v>cashloan</v>
      </c>
      <c r="I3255" s="143">
        <v>74550000</v>
      </c>
    </row>
    <row r="3256" spans="1:9" x14ac:dyDescent="0.2">
      <c r="A3256" s="134">
        <v>45602</v>
      </c>
      <c r="B3256" s="135">
        <f>YEAR(source[[#This Row],[report_date]])</f>
        <v>2024</v>
      </c>
      <c r="C3256" s="128">
        <f t="shared" si="145"/>
        <v>11</v>
      </c>
      <c r="D3256" s="136">
        <f t="shared" si="144"/>
        <v>45</v>
      </c>
      <c r="E3256" s="136">
        <f t="shared" si="146"/>
        <v>6</v>
      </c>
      <c r="F3256" s="137" t="s">
        <v>24</v>
      </c>
      <c r="G3256" s="128" t="str">
        <f>VLOOKUP(source[[#This Row],[lending_product_transform]],[3]Mapping!$B$4:$C$37,2,0)</f>
        <v>[Cake] - Cashloan</v>
      </c>
      <c r="H3256" s="128" t="str">
        <f>VLOOKUP(source[[#This Row],[lending_product_transform]],[3]Mapping!$B$3:$D$37,3,0)</f>
        <v>cashloan</v>
      </c>
      <c r="I3256" s="143">
        <v>4266000000</v>
      </c>
    </row>
    <row r="3257" spans="1:9" x14ac:dyDescent="0.2">
      <c r="A3257" s="134">
        <v>45602</v>
      </c>
      <c r="B3257" s="135">
        <f>YEAR(source[[#This Row],[report_date]])</f>
        <v>2024</v>
      </c>
      <c r="C3257" s="128">
        <f t="shared" si="145"/>
        <v>11</v>
      </c>
      <c r="D3257" s="136">
        <f t="shared" si="144"/>
        <v>45</v>
      </c>
      <c r="E3257" s="136">
        <f t="shared" si="146"/>
        <v>6</v>
      </c>
      <c r="F3257" s="137" t="s">
        <v>24</v>
      </c>
      <c r="G3257" s="128" t="str">
        <f>VLOOKUP(source[[#This Row],[lending_product_transform]],[3]Mapping!$B$4:$C$37,2,0)</f>
        <v>[Cake] - Cashloan</v>
      </c>
      <c r="H3257" s="128" t="str">
        <f>VLOOKUP(source[[#This Row],[lending_product_transform]],[3]Mapping!$B$3:$D$37,3,0)</f>
        <v>cashloan</v>
      </c>
      <c r="I3257" s="143">
        <v>6946640000</v>
      </c>
    </row>
    <row r="3258" spans="1:9" x14ac:dyDescent="0.2">
      <c r="A3258" s="134">
        <v>45602</v>
      </c>
      <c r="B3258" s="135">
        <f>YEAR(source[[#This Row],[report_date]])</f>
        <v>2024</v>
      </c>
      <c r="C3258" s="128">
        <f t="shared" si="145"/>
        <v>11</v>
      </c>
      <c r="D3258" s="136">
        <f t="shared" si="144"/>
        <v>45</v>
      </c>
      <c r="E3258" s="136">
        <f t="shared" si="146"/>
        <v>6</v>
      </c>
      <c r="F3258" s="137" t="s">
        <v>24</v>
      </c>
      <c r="G3258" s="128" t="str">
        <f>VLOOKUP(source[[#This Row],[lending_product_transform]],[3]Mapping!$B$4:$C$37,2,0)</f>
        <v>[Cake] - Cashloan</v>
      </c>
      <c r="H3258" s="128" t="str">
        <f>VLOOKUP(source[[#This Row],[lending_product_transform]],[3]Mapping!$B$3:$D$37,3,0)</f>
        <v>cashloan</v>
      </c>
      <c r="I3258" s="143">
        <v>0</v>
      </c>
    </row>
    <row r="3259" spans="1:9" x14ac:dyDescent="0.2">
      <c r="A3259" s="134">
        <v>45602</v>
      </c>
      <c r="B3259" s="135">
        <f>YEAR(source[[#This Row],[report_date]])</f>
        <v>2024</v>
      </c>
      <c r="C3259" s="128">
        <f t="shared" si="145"/>
        <v>11</v>
      </c>
      <c r="D3259" s="136">
        <f t="shared" si="144"/>
        <v>45</v>
      </c>
      <c r="E3259" s="136">
        <f t="shared" si="146"/>
        <v>6</v>
      </c>
      <c r="F3259" s="137" t="s">
        <v>24</v>
      </c>
      <c r="G3259" s="128" t="str">
        <f>VLOOKUP(source[[#This Row],[lending_product_transform]],[3]Mapping!$B$4:$C$37,2,0)</f>
        <v>[Cake] - Cashloan</v>
      </c>
      <c r="H3259" s="128" t="str">
        <f>VLOOKUP(source[[#This Row],[lending_product_transform]],[3]Mapping!$B$3:$D$37,3,0)</f>
        <v>cashloan</v>
      </c>
      <c r="I3259" s="143">
        <v>866503</v>
      </c>
    </row>
    <row r="3260" spans="1:9" x14ac:dyDescent="0.2">
      <c r="A3260" s="134">
        <v>45602</v>
      </c>
      <c r="B3260" s="135">
        <f>YEAR(source[[#This Row],[report_date]])</f>
        <v>2024</v>
      </c>
      <c r="C3260" s="128">
        <f t="shared" si="145"/>
        <v>11</v>
      </c>
      <c r="D3260" s="136">
        <f t="shared" si="144"/>
        <v>45</v>
      </c>
      <c r="E3260" s="136">
        <f t="shared" si="146"/>
        <v>6</v>
      </c>
      <c r="F3260" s="137" t="s">
        <v>24</v>
      </c>
      <c r="G3260" s="128" t="str">
        <f>VLOOKUP(source[[#This Row],[lending_product_transform]],[3]Mapping!$B$4:$C$37,2,0)</f>
        <v>[Cake] - Cashloan</v>
      </c>
      <c r="H3260" s="128" t="str">
        <f>VLOOKUP(source[[#This Row],[lending_product_transform]],[3]Mapping!$B$3:$D$37,3,0)</f>
        <v>cashloan</v>
      </c>
      <c r="I3260" s="143">
        <v>241460000</v>
      </c>
    </row>
    <row r="3261" spans="1:9" x14ac:dyDescent="0.2">
      <c r="A3261" s="134">
        <v>45602</v>
      </c>
      <c r="B3261" s="135">
        <f>YEAR(source[[#This Row],[report_date]])</f>
        <v>2024</v>
      </c>
      <c r="C3261" s="128">
        <f t="shared" si="145"/>
        <v>11</v>
      </c>
      <c r="D3261" s="136">
        <f t="shared" si="144"/>
        <v>45</v>
      </c>
      <c r="E3261" s="136">
        <f t="shared" si="146"/>
        <v>6</v>
      </c>
      <c r="F3261" s="137" t="s">
        <v>24</v>
      </c>
      <c r="G3261" s="128" t="str">
        <f>VLOOKUP(source[[#This Row],[lending_product_transform]],[3]Mapping!$B$4:$C$37,2,0)</f>
        <v>[Cake] - Cashloan</v>
      </c>
      <c r="H3261" s="128" t="str">
        <f>VLOOKUP(source[[#This Row],[lending_product_transform]],[3]Mapping!$B$3:$D$37,3,0)</f>
        <v>cashloan</v>
      </c>
      <c r="I3261" s="143">
        <v>3643657657</v>
      </c>
    </row>
    <row r="3262" spans="1:9" x14ac:dyDescent="0.2">
      <c r="A3262" s="134">
        <v>45602</v>
      </c>
      <c r="B3262" s="135">
        <f>YEAR(source[[#This Row],[report_date]])</f>
        <v>2024</v>
      </c>
      <c r="C3262" s="128">
        <f t="shared" si="145"/>
        <v>11</v>
      </c>
      <c r="D3262" s="136">
        <f t="shared" si="144"/>
        <v>45</v>
      </c>
      <c r="E3262" s="136">
        <f t="shared" si="146"/>
        <v>6</v>
      </c>
      <c r="F3262" s="137" t="s">
        <v>24</v>
      </c>
      <c r="G3262" s="128" t="str">
        <f>VLOOKUP(source[[#This Row],[lending_product_transform]],[3]Mapping!$B$4:$C$37,2,0)</f>
        <v>[Cake] - Cashloan</v>
      </c>
      <c r="H3262" s="128" t="str">
        <f>VLOOKUP(source[[#This Row],[lending_product_transform]],[3]Mapping!$B$3:$D$37,3,0)</f>
        <v>cashloan</v>
      </c>
      <c r="I3262" s="143">
        <v>0</v>
      </c>
    </row>
    <row r="3263" spans="1:9" x14ac:dyDescent="0.2">
      <c r="A3263" s="134">
        <v>45602</v>
      </c>
      <c r="B3263" s="135">
        <f>YEAR(source[[#This Row],[report_date]])</f>
        <v>2024</v>
      </c>
      <c r="C3263" s="128">
        <f t="shared" si="145"/>
        <v>11</v>
      </c>
      <c r="D3263" s="136">
        <f t="shared" si="144"/>
        <v>45</v>
      </c>
      <c r="E3263" s="136">
        <f t="shared" si="146"/>
        <v>6</v>
      </c>
      <c r="F3263" s="137" t="s">
        <v>24</v>
      </c>
      <c r="G3263" s="128" t="str">
        <f>VLOOKUP(source[[#This Row],[lending_product_transform]],[3]Mapping!$B$4:$C$37,2,0)</f>
        <v>[Cake] - Cashloan</v>
      </c>
      <c r="H3263" s="128" t="str">
        <f>VLOOKUP(source[[#This Row],[lending_product_transform]],[3]Mapping!$B$3:$D$37,3,0)</f>
        <v>cashloan</v>
      </c>
      <c r="I3263" s="143">
        <v>6420000</v>
      </c>
    </row>
    <row r="3264" spans="1:9" x14ac:dyDescent="0.2">
      <c r="A3264" s="134">
        <v>45602</v>
      </c>
      <c r="B3264" s="135">
        <f>YEAR(source[[#This Row],[report_date]])</f>
        <v>2024</v>
      </c>
      <c r="C3264" s="128">
        <f t="shared" si="145"/>
        <v>11</v>
      </c>
      <c r="D3264" s="136">
        <f t="shared" si="144"/>
        <v>45</v>
      </c>
      <c r="E3264" s="136">
        <f t="shared" si="146"/>
        <v>6</v>
      </c>
      <c r="F3264" s="137" t="s">
        <v>24</v>
      </c>
      <c r="G3264" s="128" t="str">
        <f>VLOOKUP(source[[#This Row],[lending_product_transform]],[3]Mapping!$B$4:$C$37,2,0)</f>
        <v>[Cake] - Cashloan</v>
      </c>
      <c r="H3264" s="128" t="str">
        <f>VLOOKUP(source[[#This Row],[lending_product_transform]],[3]Mapping!$B$3:$D$37,3,0)</f>
        <v>cashloan</v>
      </c>
      <c r="I3264" s="143">
        <v>37030000</v>
      </c>
    </row>
    <row r="3265" spans="1:9" x14ac:dyDescent="0.2">
      <c r="A3265" s="134">
        <v>45602</v>
      </c>
      <c r="B3265" s="135">
        <f>YEAR(source[[#This Row],[report_date]])</f>
        <v>2024</v>
      </c>
      <c r="C3265" s="128">
        <f t="shared" si="145"/>
        <v>11</v>
      </c>
      <c r="D3265" s="136">
        <f t="shared" si="144"/>
        <v>45</v>
      </c>
      <c r="E3265" s="136">
        <f t="shared" si="146"/>
        <v>6</v>
      </c>
      <c r="F3265" s="137" t="s">
        <v>24</v>
      </c>
      <c r="G3265" s="128" t="str">
        <f>VLOOKUP(source[[#This Row],[lending_product_transform]],[3]Mapping!$B$4:$C$37,2,0)</f>
        <v>[Cake] - Cashloan</v>
      </c>
      <c r="H3265" s="128" t="str">
        <f>VLOOKUP(source[[#This Row],[lending_product_transform]],[3]Mapping!$B$3:$D$37,3,0)</f>
        <v>cashloan</v>
      </c>
      <c r="I3265" s="143">
        <v>0</v>
      </c>
    </row>
    <row r="3266" spans="1:9" x14ac:dyDescent="0.2">
      <c r="A3266" s="134">
        <v>45603</v>
      </c>
      <c r="B3266" s="135">
        <f>YEAR(source[[#This Row],[report_date]])</f>
        <v>2024</v>
      </c>
      <c r="C3266" s="128">
        <f t="shared" si="145"/>
        <v>11</v>
      </c>
      <c r="D3266" s="136">
        <f t="shared" si="144"/>
        <v>45</v>
      </c>
      <c r="E3266" s="136">
        <f t="shared" si="146"/>
        <v>7</v>
      </c>
      <c r="F3266" s="137" t="s">
        <v>24</v>
      </c>
      <c r="G3266" s="128" t="str">
        <f>VLOOKUP(source[[#This Row],[lending_product_transform]],[3]Mapping!$B$4:$C$37,2,0)</f>
        <v>[Cake] - Cashloan</v>
      </c>
      <c r="H3266" s="128" t="str">
        <f>VLOOKUP(source[[#This Row],[lending_product_transform]],[3]Mapping!$B$3:$D$37,3,0)</f>
        <v>cashloan</v>
      </c>
      <c r="I3266" s="143">
        <v>6564280000</v>
      </c>
    </row>
    <row r="3267" spans="1:9" x14ac:dyDescent="0.2">
      <c r="A3267" s="134">
        <v>45603</v>
      </c>
      <c r="B3267" s="135">
        <f>YEAR(source[[#This Row],[report_date]])</f>
        <v>2024</v>
      </c>
      <c r="C3267" s="128">
        <f t="shared" si="145"/>
        <v>11</v>
      </c>
      <c r="D3267" s="136">
        <f t="shared" ref="D3267:D3330" si="147">WEEKNUM(A3267,2)</f>
        <v>45</v>
      </c>
      <c r="E3267" s="136">
        <f t="shared" si="146"/>
        <v>7</v>
      </c>
      <c r="F3267" s="137" t="s">
        <v>24</v>
      </c>
      <c r="G3267" s="128" t="str">
        <f>VLOOKUP(source[[#This Row],[lending_product_transform]],[3]Mapping!$B$4:$C$37,2,0)</f>
        <v>[Cake] - Cashloan</v>
      </c>
      <c r="H3267" s="128" t="str">
        <f>VLOOKUP(source[[#This Row],[lending_product_transform]],[3]Mapping!$B$3:$D$37,3,0)</f>
        <v>cashloan</v>
      </c>
      <c r="I3267" s="143">
        <v>81900000</v>
      </c>
    </row>
    <row r="3268" spans="1:9" x14ac:dyDescent="0.2">
      <c r="A3268" s="134">
        <v>45603</v>
      </c>
      <c r="B3268" s="135">
        <f>YEAR(source[[#This Row],[report_date]])</f>
        <v>2024</v>
      </c>
      <c r="C3268" s="128">
        <f t="shared" si="145"/>
        <v>11</v>
      </c>
      <c r="D3268" s="136">
        <f t="shared" si="147"/>
        <v>45</v>
      </c>
      <c r="E3268" s="136">
        <f t="shared" si="146"/>
        <v>7</v>
      </c>
      <c r="F3268" s="137" t="s">
        <v>24</v>
      </c>
      <c r="G3268" s="128" t="str">
        <f>VLOOKUP(source[[#This Row],[lending_product_transform]],[3]Mapping!$B$4:$C$37,2,0)</f>
        <v>[Cake] - Cashloan</v>
      </c>
      <c r="H3268" s="128" t="str">
        <f>VLOOKUP(source[[#This Row],[lending_product_transform]],[3]Mapping!$B$3:$D$37,3,0)</f>
        <v>cashloan</v>
      </c>
      <c r="I3268" s="143">
        <v>30500000</v>
      </c>
    </row>
    <row r="3269" spans="1:9" x14ac:dyDescent="0.2">
      <c r="A3269" s="134">
        <v>45603</v>
      </c>
      <c r="B3269" s="135">
        <f>YEAR(source[[#This Row],[report_date]])</f>
        <v>2024</v>
      </c>
      <c r="C3269" s="128">
        <f t="shared" si="145"/>
        <v>11</v>
      </c>
      <c r="D3269" s="136">
        <f t="shared" si="147"/>
        <v>45</v>
      </c>
      <c r="E3269" s="136">
        <f t="shared" si="146"/>
        <v>7</v>
      </c>
      <c r="F3269" s="137" t="s">
        <v>24</v>
      </c>
      <c r="G3269" s="128" t="str">
        <f>VLOOKUP(source[[#This Row],[lending_product_transform]],[3]Mapping!$B$4:$C$37,2,0)</f>
        <v>[Cake] - Cashloan</v>
      </c>
      <c r="H3269" s="128" t="str">
        <f>VLOOKUP(source[[#This Row],[lending_product_transform]],[3]Mapping!$B$3:$D$37,3,0)</f>
        <v>cashloan</v>
      </c>
      <c r="I3269" s="143">
        <v>16050000</v>
      </c>
    </row>
    <row r="3270" spans="1:9" x14ac:dyDescent="0.2">
      <c r="A3270" s="134">
        <v>45603</v>
      </c>
      <c r="B3270" s="135">
        <f>YEAR(source[[#This Row],[report_date]])</f>
        <v>2024</v>
      </c>
      <c r="C3270" s="128">
        <f t="shared" si="145"/>
        <v>11</v>
      </c>
      <c r="D3270" s="136">
        <f t="shared" si="147"/>
        <v>45</v>
      </c>
      <c r="E3270" s="136">
        <f t="shared" si="146"/>
        <v>7</v>
      </c>
      <c r="F3270" s="137" t="s">
        <v>24</v>
      </c>
      <c r="G3270" s="128" t="str">
        <f>VLOOKUP(source[[#This Row],[lending_product_transform]],[3]Mapping!$B$4:$C$37,2,0)</f>
        <v>[Cake] - Cashloan</v>
      </c>
      <c r="H3270" s="128" t="str">
        <f>VLOOKUP(source[[#This Row],[lending_product_transform]],[3]Mapping!$B$3:$D$37,3,0)</f>
        <v>cashloan</v>
      </c>
      <c r="I3270" s="143">
        <v>30000</v>
      </c>
    </row>
    <row r="3271" spans="1:9" x14ac:dyDescent="0.2">
      <c r="A3271" s="134">
        <v>45603</v>
      </c>
      <c r="B3271" s="135">
        <f>YEAR(source[[#This Row],[report_date]])</f>
        <v>2024</v>
      </c>
      <c r="C3271" s="128">
        <f t="shared" si="145"/>
        <v>11</v>
      </c>
      <c r="D3271" s="136">
        <f t="shared" si="147"/>
        <v>45</v>
      </c>
      <c r="E3271" s="136">
        <f t="shared" si="146"/>
        <v>7</v>
      </c>
      <c r="F3271" s="137" t="s">
        <v>24</v>
      </c>
      <c r="G3271" s="128" t="str">
        <f>VLOOKUP(source[[#This Row],[lending_product_transform]],[3]Mapping!$B$4:$C$37,2,0)</f>
        <v>[Cake] - Cashloan</v>
      </c>
      <c r="H3271" s="128" t="str">
        <f>VLOOKUP(source[[#This Row],[lending_product_transform]],[3]Mapping!$B$3:$D$37,3,0)</f>
        <v>cashloan</v>
      </c>
      <c r="I3271" s="143">
        <v>0</v>
      </c>
    </row>
    <row r="3272" spans="1:9" x14ac:dyDescent="0.2">
      <c r="A3272" s="134">
        <v>45603</v>
      </c>
      <c r="B3272" s="135">
        <f>YEAR(source[[#This Row],[report_date]])</f>
        <v>2024</v>
      </c>
      <c r="C3272" s="128">
        <f t="shared" si="145"/>
        <v>11</v>
      </c>
      <c r="D3272" s="136">
        <f t="shared" si="147"/>
        <v>45</v>
      </c>
      <c r="E3272" s="136">
        <f t="shared" si="146"/>
        <v>7</v>
      </c>
      <c r="F3272" s="137" t="s">
        <v>24</v>
      </c>
      <c r="G3272" s="128" t="str">
        <f>VLOOKUP(source[[#This Row],[lending_product_transform]],[3]Mapping!$B$4:$C$37,2,0)</f>
        <v>[Cake] - Cashloan</v>
      </c>
      <c r="H3272" s="128" t="str">
        <f>VLOOKUP(source[[#This Row],[lending_product_transform]],[3]Mapping!$B$3:$D$37,3,0)</f>
        <v>cashloan</v>
      </c>
      <c r="I3272" s="143">
        <v>326510000</v>
      </c>
    </row>
    <row r="3273" spans="1:9" x14ac:dyDescent="0.2">
      <c r="A3273" s="134">
        <v>45603</v>
      </c>
      <c r="B3273" s="135">
        <f>YEAR(source[[#This Row],[report_date]])</f>
        <v>2024</v>
      </c>
      <c r="C3273" s="128">
        <f t="shared" si="145"/>
        <v>11</v>
      </c>
      <c r="D3273" s="136">
        <f t="shared" si="147"/>
        <v>45</v>
      </c>
      <c r="E3273" s="136">
        <f t="shared" si="146"/>
        <v>7</v>
      </c>
      <c r="F3273" s="137" t="s">
        <v>24</v>
      </c>
      <c r="G3273" s="128" t="str">
        <f>VLOOKUP(source[[#This Row],[lending_product_transform]],[3]Mapping!$B$4:$C$37,2,0)</f>
        <v>[Cake] - Cashloan</v>
      </c>
      <c r="H3273" s="128" t="str">
        <f>VLOOKUP(source[[#This Row],[lending_product_transform]],[3]Mapping!$B$3:$D$37,3,0)</f>
        <v>cashloan</v>
      </c>
      <c r="I3273" s="143">
        <v>479752175</v>
      </c>
    </row>
    <row r="3274" spans="1:9" x14ac:dyDescent="0.2">
      <c r="A3274" s="134">
        <v>45603</v>
      </c>
      <c r="B3274" s="135">
        <f>YEAR(source[[#This Row],[report_date]])</f>
        <v>2024</v>
      </c>
      <c r="C3274" s="128">
        <f t="shared" si="145"/>
        <v>11</v>
      </c>
      <c r="D3274" s="136">
        <f t="shared" si="147"/>
        <v>45</v>
      </c>
      <c r="E3274" s="136">
        <f t="shared" si="146"/>
        <v>7</v>
      </c>
      <c r="F3274" s="137" t="s">
        <v>24</v>
      </c>
      <c r="G3274" s="128" t="str">
        <f>VLOOKUP(source[[#This Row],[lending_product_transform]],[3]Mapping!$B$4:$C$37,2,0)</f>
        <v>[Cake] - Cashloan</v>
      </c>
      <c r="H3274" s="128" t="str">
        <f>VLOOKUP(source[[#This Row],[lending_product_transform]],[3]Mapping!$B$3:$D$37,3,0)</f>
        <v>cashloan</v>
      </c>
      <c r="I3274" s="143">
        <v>229350000</v>
      </c>
    </row>
    <row r="3275" spans="1:9" x14ac:dyDescent="0.2">
      <c r="A3275" s="134">
        <v>45603</v>
      </c>
      <c r="B3275" s="135">
        <f>YEAR(source[[#This Row],[report_date]])</f>
        <v>2024</v>
      </c>
      <c r="C3275" s="128">
        <f t="shared" si="145"/>
        <v>11</v>
      </c>
      <c r="D3275" s="136">
        <f t="shared" si="147"/>
        <v>45</v>
      </c>
      <c r="E3275" s="136">
        <f t="shared" si="146"/>
        <v>7</v>
      </c>
      <c r="F3275" s="137" t="s">
        <v>24</v>
      </c>
      <c r="G3275" s="128" t="str">
        <f>VLOOKUP(source[[#This Row],[lending_product_transform]],[3]Mapping!$B$4:$C$37,2,0)</f>
        <v>[Cake] - Cashloan</v>
      </c>
      <c r="H3275" s="128" t="str">
        <f>VLOOKUP(source[[#This Row],[lending_product_transform]],[3]Mapping!$B$3:$D$37,3,0)</f>
        <v>cashloan</v>
      </c>
      <c r="I3275" s="143">
        <v>0</v>
      </c>
    </row>
    <row r="3276" spans="1:9" x14ac:dyDescent="0.2">
      <c r="A3276" s="134">
        <v>45603</v>
      </c>
      <c r="B3276" s="135">
        <f>YEAR(source[[#This Row],[report_date]])</f>
        <v>2024</v>
      </c>
      <c r="C3276" s="128">
        <f t="shared" si="145"/>
        <v>11</v>
      </c>
      <c r="D3276" s="136">
        <f t="shared" si="147"/>
        <v>45</v>
      </c>
      <c r="E3276" s="136">
        <f t="shared" si="146"/>
        <v>7</v>
      </c>
      <c r="F3276" s="137" t="s">
        <v>24</v>
      </c>
      <c r="G3276" s="128" t="str">
        <f>VLOOKUP(source[[#This Row],[lending_product_transform]],[3]Mapping!$B$4:$C$37,2,0)</f>
        <v>[Cake] - Cashloan</v>
      </c>
      <c r="H3276" s="128" t="str">
        <f>VLOOKUP(source[[#This Row],[lending_product_transform]],[3]Mapping!$B$3:$D$37,3,0)</f>
        <v>cashloan</v>
      </c>
      <c r="I3276" s="143">
        <v>44960000</v>
      </c>
    </row>
    <row r="3277" spans="1:9" x14ac:dyDescent="0.2">
      <c r="A3277" s="134">
        <v>45603</v>
      </c>
      <c r="B3277" s="135">
        <f>YEAR(source[[#This Row],[report_date]])</f>
        <v>2024</v>
      </c>
      <c r="C3277" s="128">
        <f t="shared" si="145"/>
        <v>11</v>
      </c>
      <c r="D3277" s="136">
        <f t="shared" si="147"/>
        <v>45</v>
      </c>
      <c r="E3277" s="136">
        <f t="shared" si="146"/>
        <v>7</v>
      </c>
      <c r="F3277" s="137" t="s">
        <v>24</v>
      </c>
      <c r="G3277" s="128" t="str">
        <f>VLOOKUP(source[[#This Row],[lending_product_transform]],[3]Mapping!$B$4:$C$37,2,0)</f>
        <v>[Cake] - Cashloan</v>
      </c>
      <c r="H3277" s="128" t="str">
        <f>VLOOKUP(source[[#This Row],[lending_product_transform]],[3]Mapping!$B$3:$D$37,3,0)</f>
        <v>cashloan</v>
      </c>
      <c r="I3277" s="143">
        <v>28000000</v>
      </c>
    </row>
    <row r="3278" spans="1:9" x14ac:dyDescent="0.2">
      <c r="A3278" s="134">
        <v>45603</v>
      </c>
      <c r="B3278" s="135">
        <f>YEAR(source[[#This Row],[report_date]])</f>
        <v>2024</v>
      </c>
      <c r="C3278" s="128">
        <f t="shared" si="145"/>
        <v>11</v>
      </c>
      <c r="D3278" s="136">
        <f t="shared" si="147"/>
        <v>45</v>
      </c>
      <c r="E3278" s="136">
        <f t="shared" si="146"/>
        <v>7</v>
      </c>
      <c r="F3278" s="137" t="s">
        <v>24</v>
      </c>
      <c r="G3278" s="128" t="str">
        <f>VLOOKUP(source[[#This Row],[lending_product_transform]],[3]Mapping!$B$4:$C$37,2,0)</f>
        <v>[Cake] - Cashloan</v>
      </c>
      <c r="H3278" s="128" t="str">
        <f>VLOOKUP(source[[#This Row],[lending_product_transform]],[3]Mapping!$B$3:$D$37,3,0)</f>
        <v>cashloan</v>
      </c>
      <c r="I3278" s="143">
        <v>5207550000</v>
      </c>
    </row>
    <row r="3279" spans="1:9" x14ac:dyDescent="0.2">
      <c r="A3279" s="134">
        <v>45603</v>
      </c>
      <c r="B3279" s="135">
        <f>YEAR(source[[#This Row],[report_date]])</f>
        <v>2024</v>
      </c>
      <c r="C3279" s="128">
        <f t="shared" si="145"/>
        <v>11</v>
      </c>
      <c r="D3279" s="136">
        <f t="shared" si="147"/>
        <v>45</v>
      </c>
      <c r="E3279" s="136">
        <f t="shared" si="146"/>
        <v>7</v>
      </c>
      <c r="F3279" s="137" t="s">
        <v>24</v>
      </c>
      <c r="G3279" s="128" t="str">
        <f>VLOOKUP(source[[#This Row],[lending_product_transform]],[3]Mapping!$B$4:$C$37,2,0)</f>
        <v>[Cake] - Cashloan</v>
      </c>
      <c r="H3279" s="128" t="str">
        <f>VLOOKUP(source[[#This Row],[lending_product_transform]],[3]Mapping!$B$3:$D$37,3,0)</f>
        <v>cashloan</v>
      </c>
      <c r="I3279" s="143">
        <v>3348507551</v>
      </c>
    </row>
    <row r="3280" spans="1:9" x14ac:dyDescent="0.2">
      <c r="A3280" s="134">
        <v>45603</v>
      </c>
      <c r="B3280" s="135">
        <f>YEAR(source[[#This Row],[report_date]])</f>
        <v>2024</v>
      </c>
      <c r="C3280" s="128">
        <f t="shared" si="145"/>
        <v>11</v>
      </c>
      <c r="D3280" s="136">
        <f t="shared" si="147"/>
        <v>45</v>
      </c>
      <c r="E3280" s="136">
        <f t="shared" si="146"/>
        <v>7</v>
      </c>
      <c r="F3280" s="137" t="s">
        <v>24</v>
      </c>
      <c r="G3280" s="128" t="str">
        <f>VLOOKUP(source[[#This Row],[lending_product_transform]],[3]Mapping!$B$4:$C$37,2,0)</f>
        <v>[Cake] - Cashloan</v>
      </c>
      <c r="H3280" s="128" t="str">
        <f>VLOOKUP(source[[#This Row],[lending_product_transform]],[3]Mapping!$B$3:$D$37,3,0)</f>
        <v>cashloan</v>
      </c>
      <c r="I3280" s="143">
        <v>83256670</v>
      </c>
    </row>
    <row r="3281" spans="1:9" x14ac:dyDescent="0.2">
      <c r="A3281" s="134">
        <v>45603</v>
      </c>
      <c r="B3281" s="135">
        <f>YEAR(source[[#This Row],[report_date]])</f>
        <v>2024</v>
      </c>
      <c r="C3281" s="128">
        <f t="shared" si="145"/>
        <v>11</v>
      </c>
      <c r="D3281" s="136">
        <f t="shared" si="147"/>
        <v>45</v>
      </c>
      <c r="E3281" s="136">
        <f t="shared" si="146"/>
        <v>7</v>
      </c>
      <c r="F3281" s="137" t="s">
        <v>24</v>
      </c>
      <c r="G3281" s="128" t="str">
        <f>VLOOKUP(source[[#This Row],[lending_product_transform]],[3]Mapping!$B$4:$C$37,2,0)</f>
        <v>[Cake] - Cashloan</v>
      </c>
      <c r="H3281" s="128" t="str">
        <f>VLOOKUP(source[[#This Row],[lending_product_transform]],[3]Mapping!$B$3:$D$37,3,0)</f>
        <v>cashloan</v>
      </c>
      <c r="I3281" s="143">
        <v>4404500000</v>
      </c>
    </row>
    <row r="3282" spans="1:9" x14ac:dyDescent="0.2">
      <c r="A3282" s="134">
        <v>45604</v>
      </c>
      <c r="B3282" s="135">
        <f>YEAR(source[[#This Row],[report_date]])</f>
        <v>2024</v>
      </c>
      <c r="C3282" s="128">
        <f t="shared" si="145"/>
        <v>11</v>
      </c>
      <c r="D3282" s="136">
        <f t="shared" si="147"/>
        <v>45</v>
      </c>
      <c r="E3282" s="136">
        <f t="shared" si="146"/>
        <v>8</v>
      </c>
      <c r="F3282" s="137" t="s">
        <v>24</v>
      </c>
      <c r="G3282" s="128" t="str">
        <f>VLOOKUP(source[[#This Row],[lending_product_transform]],[3]Mapping!$B$4:$C$37,2,0)</f>
        <v>[Cake] - Cashloan</v>
      </c>
      <c r="H3282" s="128" t="str">
        <f>VLOOKUP(source[[#This Row],[lending_product_transform]],[3]Mapping!$B$3:$D$37,3,0)</f>
        <v>cashloan</v>
      </c>
      <c r="I3282" s="143">
        <v>4719000000</v>
      </c>
    </row>
    <row r="3283" spans="1:9" x14ac:dyDescent="0.2">
      <c r="A3283" s="134">
        <v>45604</v>
      </c>
      <c r="B3283" s="135">
        <f>YEAR(source[[#This Row],[report_date]])</f>
        <v>2024</v>
      </c>
      <c r="C3283" s="128">
        <f t="shared" si="145"/>
        <v>11</v>
      </c>
      <c r="D3283" s="136">
        <f t="shared" si="147"/>
        <v>45</v>
      </c>
      <c r="E3283" s="136">
        <f t="shared" si="146"/>
        <v>8</v>
      </c>
      <c r="F3283" s="137" t="s">
        <v>24</v>
      </c>
      <c r="G3283" s="128" t="str">
        <f>VLOOKUP(source[[#This Row],[lending_product_transform]],[3]Mapping!$B$4:$C$37,2,0)</f>
        <v>[Cake] - Cashloan</v>
      </c>
      <c r="H3283" s="128" t="str">
        <f>VLOOKUP(source[[#This Row],[lending_product_transform]],[3]Mapping!$B$3:$D$37,3,0)</f>
        <v>cashloan</v>
      </c>
      <c r="I3283" s="143">
        <v>25500000</v>
      </c>
    </row>
    <row r="3284" spans="1:9" x14ac:dyDescent="0.2">
      <c r="A3284" s="134">
        <v>45604</v>
      </c>
      <c r="B3284" s="135">
        <f>YEAR(source[[#This Row],[report_date]])</f>
        <v>2024</v>
      </c>
      <c r="C3284" s="128">
        <f t="shared" si="145"/>
        <v>11</v>
      </c>
      <c r="D3284" s="136">
        <f t="shared" si="147"/>
        <v>45</v>
      </c>
      <c r="E3284" s="136">
        <f t="shared" si="146"/>
        <v>8</v>
      </c>
      <c r="F3284" s="137" t="s">
        <v>24</v>
      </c>
      <c r="G3284" s="128" t="str">
        <f>VLOOKUP(source[[#This Row],[lending_product_transform]],[3]Mapping!$B$4:$C$37,2,0)</f>
        <v>[Cake] - Cashloan</v>
      </c>
      <c r="H3284" s="128" t="str">
        <f>VLOOKUP(source[[#This Row],[lending_product_transform]],[3]Mapping!$B$3:$D$37,3,0)</f>
        <v>cashloan</v>
      </c>
      <c r="I3284" s="143">
        <v>0</v>
      </c>
    </row>
    <row r="3285" spans="1:9" x14ac:dyDescent="0.2">
      <c r="A3285" s="134">
        <v>45604</v>
      </c>
      <c r="B3285" s="135">
        <f>YEAR(source[[#This Row],[report_date]])</f>
        <v>2024</v>
      </c>
      <c r="C3285" s="128">
        <f t="shared" si="145"/>
        <v>11</v>
      </c>
      <c r="D3285" s="136">
        <f t="shared" si="147"/>
        <v>45</v>
      </c>
      <c r="E3285" s="136">
        <f t="shared" si="146"/>
        <v>8</v>
      </c>
      <c r="F3285" s="137" t="s">
        <v>24</v>
      </c>
      <c r="G3285" s="128" t="str">
        <f>VLOOKUP(source[[#This Row],[lending_product_transform]],[3]Mapping!$B$4:$C$37,2,0)</f>
        <v>[Cake] - Cashloan</v>
      </c>
      <c r="H3285" s="128" t="str">
        <f>VLOOKUP(source[[#This Row],[lending_product_transform]],[3]Mapping!$B$3:$D$37,3,0)</f>
        <v>cashloan</v>
      </c>
      <c r="I3285" s="143">
        <v>10000000</v>
      </c>
    </row>
    <row r="3286" spans="1:9" x14ac:dyDescent="0.2">
      <c r="A3286" s="134">
        <v>45604</v>
      </c>
      <c r="B3286" s="135">
        <f>YEAR(source[[#This Row],[report_date]])</f>
        <v>2024</v>
      </c>
      <c r="C3286" s="128">
        <f t="shared" si="145"/>
        <v>11</v>
      </c>
      <c r="D3286" s="136">
        <f t="shared" si="147"/>
        <v>45</v>
      </c>
      <c r="E3286" s="136">
        <f t="shared" si="146"/>
        <v>8</v>
      </c>
      <c r="F3286" s="137" t="s">
        <v>24</v>
      </c>
      <c r="G3286" s="128" t="str">
        <f>VLOOKUP(source[[#This Row],[lending_product_transform]],[3]Mapping!$B$4:$C$37,2,0)</f>
        <v>[Cake] - Cashloan</v>
      </c>
      <c r="H3286" s="128" t="str">
        <f>VLOOKUP(source[[#This Row],[lending_product_transform]],[3]Mapping!$B$3:$D$37,3,0)</f>
        <v>cashloan</v>
      </c>
      <c r="I3286" s="143">
        <v>41500000</v>
      </c>
    </row>
    <row r="3287" spans="1:9" x14ac:dyDescent="0.2">
      <c r="A3287" s="134">
        <v>45604</v>
      </c>
      <c r="B3287" s="135">
        <f>YEAR(source[[#This Row],[report_date]])</f>
        <v>2024</v>
      </c>
      <c r="C3287" s="128">
        <f t="shared" si="145"/>
        <v>11</v>
      </c>
      <c r="D3287" s="136">
        <f t="shared" si="147"/>
        <v>45</v>
      </c>
      <c r="E3287" s="136">
        <f t="shared" si="146"/>
        <v>8</v>
      </c>
      <c r="F3287" s="137" t="s">
        <v>24</v>
      </c>
      <c r="G3287" s="128" t="str">
        <f>VLOOKUP(source[[#This Row],[lending_product_transform]],[3]Mapping!$B$4:$C$37,2,0)</f>
        <v>[Cake] - Cashloan</v>
      </c>
      <c r="H3287" s="128" t="str">
        <f>VLOOKUP(source[[#This Row],[lending_product_transform]],[3]Mapping!$B$3:$D$37,3,0)</f>
        <v>cashloan</v>
      </c>
      <c r="I3287" s="143">
        <v>0</v>
      </c>
    </row>
    <row r="3288" spans="1:9" x14ac:dyDescent="0.2">
      <c r="A3288" s="134">
        <v>45604</v>
      </c>
      <c r="B3288" s="135">
        <f>YEAR(source[[#This Row],[report_date]])</f>
        <v>2024</v>
      </c>
      <c r="C3288" s="128">
        <f t="shared" si="145"/>
        <v>11</v>
      </c>
      <c r="D3288" s="136">
        <f t="shared" si="147"/>
        <v>45</v>
      </c>
      <c r="E3288" s="136">
        <f t="shared" si="146"/>
        <v>8</v>
      </c>
      <c r="F3288" s="137" t="s">
        <v>24</v>
      </c>
      <c r="G3288" s="128" t="str">
        <f>VLOOKUP(source[[#This Row],[lending_product_transform]],[3]Mapping!$B$4:$C$37,2,0)</f>
        <v>[Cake] - Cashloan</v>
      </c>
      <c r="H3288" s="128" t="str">
        <f>VLOOKUP(source[[#This Row],[lending_product_transform]],[3]Mapping!$B$3:$D$37,3,0)</f>
        <v>cashloan</v>
      </c>
      <c r="I3288" s="143">
        <v>3493586848</v>
      </c>
    </row>
    <row r="3289" spans="1:9" x14ac:dyDescent="0.2">
      <c r="A3289" s="134">
        <v>45604</v>
      </c>
      <c r="B3289" s="135">
        <f>YEAR(source[[#This Row],[report_date]])</f>
        <v>2024</v>
      </c>
      <c r="C3289" s="128">
        <f t="shared" si="145"/>
        <v>11</v>
      </c>
      <c r="D3289" s="136">
        <f t="shared" si="147"/>
        <v>45</v>
      </c>
      <c r="E3289" s="136">
        <f t="shared" si="146"/>
        <v>8</v>
      </c>
      <c r="F3289" s="137" t="s">
        <v>24</v>
      </c>
      <c r="G3289" s="128" t="str">
        <f>VLOOKUP(source[[#This Row],[lending_product_transform]],[3]Mapping!$B$4:$C$37,2,0)</f>
        <v>[Cake] - Cashloan</v>
      </c>
      <c r="H3289" s="128" t="str">
        <f>VLOOKUP(source[[#This Row],[lending_product_transform]],[3]Mapping!$B$3:$D$37,3,0)</f>
        <v>cashloan</v>
      </c>
      <c r="I3289" s="143">
        <v>4058970000</v>
      </c>
    </row>
    <row r="3290" spans="1:9" x14ac:dyDescent="0.2">
      <c r="A3290" s="134">
        <v>45604</v>
      </c>
      <c r="B3290" s="135">
        <f>YEAR(source[[#This Row],[report_date]])</f>
        <v>2024</v>
      </c>
      <c r="C3290" s="128">
        <f t="shared" si="145"/>
        <v>11</v>
      </c>
      <c r="D3290" s="136">
        <f t="shared" si="147"/>
        <v>45</v>
      </c>
      <c r="E3290" s="136">
        <f t="shared" si="146"/>
        <v>8</v>
      </c>
      <c r="F3290" s="137" t="s">
        <v>24</v>
      </c>
      <c r="G3290" s="128" t="str">
        <f>VLOOKUP(source[[#This Row],[lending_product_transform]],[3]Mapping!$B$4:$C$37,2,0)</f>
        <v>[Cake] - Cashloan</v>
      </c>
      <c r="H3290" s="128" t="str">
        <f>VLOOKUP(source[[#This Row],[lending_product_transform]],[3]Mapping!$B$3:$D$37,3,0)</f>
        <v>cashloan</v>
      </c>
      <c r="I3290" s="143">
        <v>289360000</v>
      </c>
    </row>
    <row r="3291" spans="1:9" x14ac:dyDescent="0.2">
      <c r="A3291" s="134">
        <v>45604</v>
      </c>
      <c r="B3291" s="135">
        <f>YEAR(source[[#This Row],[report_date]])</f>
        <v>2024</v>
      </c>
      <c r="C3291" s="128">
        <f t="shared" si="145"/>
        <v>11</v>
      </c>
      <c r="D3291" s="136">
        <f t="shared" si="147"/>
        <v>45</v>
      </c>
      <c r="E3291" s="136">
        <f t="shared" si="146"/>
        <v>8</v>
      </c>
      <c r="F3291" s="137" t="s">
        <v>24</v>
      </c>
      <c r="G3291" s="128" t="str">
        <f>VLOOKUP(source[[#This Row],[lending_product_transform]],[3]Mapping!$B$4:$C$37,2,0)</f>
        <v>[Cake] - Cashloan</v>
      </c>
      <c r="H3291" s="128" t="str">
        <f>VLOOKUP(source[[#This Row],[lending_product_transform]],[3]Mapping!$B$3:$D$37,3,0)</f>
        <v>cashloan</v>
      </c>
      <c r="I3291" s="143">
        <v>3519000</v>
      </c>
    </row>
    <row r="3292" spans="1:9" x14ac:dyDescent="0.2">
      <c r="A3292" s="134">
        <v>45604</v>
      </c>
      <c r="B3292" s="135">
        <f>YEAR(source[[#This Row],[report_date]])</f>
        <v>2024</v>
      </c>
      <c r="C3292" s="128">
        <f t="shared" si="145"/>
        <v>11</v>
      </c>
      <c r="D3292" s="136">
        <f t="shared" si="147"/>
        <v>45</v>
      </c>
      <c r="E3292" s="136">
        <f t="shared" si="146"/>
        <v>8</v>
      </c>
      <c r="F3292" s="137" t="s">
        <v>24</v>
      </c>
      <c r="G3292" s="128" t="str">
        <f>VLOOKUP(source[[#This Row],[lending_product_transform]],[3]Mapping!$B$4:$C$37,2,0)</f>
        <v>[Cake] - Cashloan</v>
      </c>
      <c r="H3292" s="128" t="str">
        <f>VLOOKUP(source[[#This Row],[lending_product_transform]],[3]Mapping!$B$3:$D$37,3,0)</f>
        <v>cashloan</v>
      </c>
      <c r="I3292" s="143">
        <v>77780000</v>
      </c>
    </row>
    <row r="3293" spans="1:9" x14ac:dyDescent="0.2">
      <c r="A3293" s="134">
        <v>45604</v>
      </c>
      <c r="B3293" s="135">
        <f>YEAR(source[[#This Row],[report_date]])</f>
        <v>2024</v>
      </c>
      <c r="C3293" s="128">
        <f t="shared" si="145"/>
        <v>11</v>
      </c>
      <c r="D3293" s="136">
        <f t="shared" si="147"/>
        <v>45</v>
      </c>
      <c r="E3293" s="136">
        <f t="shared" si="146"/>
        <v>8</v>
      </c>
      <c r="F3293" s="137" t="s">
        <v>24</v>
      </c>
      <c r="G3293" s="128" t="str">
        <f>VLOOKUP(source[[#This Row],[lending_product_transform]],[3]Mapping!$B$4:$C$37,2,0)</f>
        <v>[Cake] - Cashloan</v>
      </c>
      <c r="H3293" s="128" t="str">
        <f>VLOOKUP(source[[#This Row],[lending_product_transform]],[3]Mapping!$B$3:$D$37,3,0)</f>
        <v>cashloan</v>
      </c>
      <c r="I3293" s="143">
        <v>21400000</v>
      </c>
    </row>
    <row r="3294" spans="1:9" x14ac:dyDescent="0.2">
      <c r="A3294" s="134">
        <v>45604</v>
      </c>
      <c r="B3294" s="135">
        <f>YEAR(source[[#This Row],[report_date]])</f>
        <v>2024</v>
      </c>
      <c r="C3294" s="128">
        <f t="shared" si="145"/>
        <v>11</v>
      </c>
      <c r="D3294" s="136">
        <f t="shared" si="147"/>
        <v>45</v>
      </c>
      <c r="E3294" s="136">
        <f t="shared" si="146"/>
        <v>8</v>
      </c>
      <c r="F3294" s="137" t="s">
        <v>24</v>
      </c>
      <c r="G3294" s="128" t="str">
        <f>VLOOKUP(source[[#This Row],[lending_product_transform]],[3]Mapping!$B$4:$C$37,2,0)</f>
        <v>[Cake] - Cashloan</v>
      </c>
      <c r="H3294" s="128" t="str">
        <f>VLOOKUP(source[[#This Row],[lending_product_transform]],[3]Mapping!$B$3:$D$37,3,0)</f>
        <v>cashloan</v>
      </c>
      <c r="I3294" s="143">
        <v>98000000</v>
      </c>
    </row>
    <row r="3295" spans="1:9" x14ac:dyDescent="0.2">
      <c r="A3295" s="134">
        <v>45604</v>
      </c>
      <c r="B3295" s="135">
        <f>YEAR(source[[#This Row],[report_date]])</f>
        <v>2024</v>
      </c>
      <c r="C3295" s="128">
        <f t="shared" si="145"/>
        <v>11</v>
      </c>
      <c r="D3295" s="136">
        <f t="shared" si="147"/>
        <v>45</v>
      </c>
      <c r="E3295" s="136">
        <f t="shared" si="146"/>
        <v>8</v>
      </c>
      <c r="F3295" s="137" t="s">
        <v>24</v>
      </c>
      <c r="G3295" s="128" t="str">
        <f>VLOOKUP(source[[#This Row],[lending_product_transform]],[3]Mapping!$B$4:$C$37,2,0)</f>
        <v>[Cake] - Cashloan</v>
      </c>
      <c r="H3295" s="128" t="str">
        <f>VLOOKUP(source[[#This Row],[lending_product_transform]],[3]Mapping!$B$3:$D$37,3,0)</f>
        <v>cashloan</v>
      </c>
      <c r="I3295" s="143">
        <v>431856956</v>
      </c>
    </row>
    <row r="3296" spans="1:9" x14ac:dyDescent="0.2">
      <c r="A3296" s="134">
        <v>45604</v>
      </c>
      <c r="B3296" s="135">
        <f>YEAR(source[[#This Row],[report_date]])</f>
        <v>2024</v>
      </c>
      <c r="C3296" s="128">
        <f t="shared" si="145"/>
        <v>11</v>
      </c>
      <c r="D3296" s="136">
        <f t="shared" si="147"/>
        <v>45</v>
      </c>
      <c r="E3296" s="136">
        <f t="shared" si="146"/>
        <v>8</v>
      </c>
      <c r="F3296" s="137" t="s">
        <v>24</v>
      </c>
      <c r="G3296" s="128" t="str">
        <f>VLOOKUP(source[[#This Row],[lending_product_transform]],[3]Mapping!$B$4:$C$37,2,0)</f>
        <v>[Cake] - Cashloan</v>
      </c>
      <c r="H3296" s="128" t="str">
        <f>VLOOKUP(source[[#This Row],[lending_product_transform]],[3]Mapping!$B$3:$D$37,3,0)</f>
        <v>cashloan</v>
      </c>
      <c r="I3296" s="143">
        <v>6599730000</v>
      </c>
    </row>
    <row r="3297" spans="1:9" x14ac:dyDescent="0.2">
      <c r="A3297" s="134">
        <v>45604</v>
      </c>
      <c r="B3297" s="135">
        <f>YEAR(source[[#This Row],[report_date]])</f>
        <v>2024</v>
      </c>
      <c r="C3297" s="128">
        <f t="shared" si="145"/>
        <v>11</v>
      </c>
      <c r="D3297" s="136">
        <f t="shared" si="147"/>
        <v>45</v>
      </c>
      <c r="E3297" s="136">
        <f t="shared" si="146"/>
        <v>8</v>
      </c>
      <c r="F3297" s="137" t="s">
        <v>24</v>
      </c>
      <c r="G3297" s="128" t="str">
        <f>VLOOKUP(source[[#This Row],[lending_product_transform]],[3]Mapping!$B$4:$C$37,2,0)</f>
        <v>[Cake] - Cashloan</v>
      </c>
      <c r="H3297" s="128" t="str">
        <f>VLOOKUP(source[[#This Row],[lending_product_transform]],[3]Mapping!$B$3:$D$37,3,0)</f>
        <v>cashloan</v>
      </c>
      <c r="I3297" s="143">
        <v>83353047</v>
      </c>
    </row>
    <row r="3298" spans="1:9" x14ac:dyDescent="0.2">
      <c r="A3298" s="134">
        <v>45605</v>
      </c>
      <c r="B3298" s="135">
        <f>YEAR(source[[#This Row],[report_date]])</f>
        <v>2024</v>
      </c>
      <c r="C3298" s="128">
        <f t="shared" si="145"/>
        <v>11</v>
      </c>
      <c r="D3298" s="136">
        <f t="shared" si="147"/>
        <v>45</v>
      </c>
      <c r="E3298" s="136">
        <f t="shared" si="146"/>
        <v>9</v>
      </c>
      <c r="F3298" s="137" t="s">
        <v>24</v>
      </c>
      <c r="G3298" s="128" t="str">
        <f>VLOOKUP(source[[#This Row],[lending_product_transform]],[3]Mapping!$B$4:$C$37,2,0)</f>
        <v>[Cake] - Cashloan</v>
      </c>
      <c r="H3298" s="128" t="str">
        <f>VLOOKUP(source[[#This Row],[lending_product_transform]],[3]Mapping!$B$3:$D$37,3,0)</f>
        <v>cashloan</v>
      </c>
      <c r="I3298" s="143">
        <v>51500000</v>
      </c>
    </row>
    <row r="3299" spans="1:9" x14ac:dyDescent="0.2">
      <c r="A3299" s="134">
        <v>45605</v>
      </c>
      <c r="B3299" s="135">
        <f>YEAR(source[[#This Row],[report_date]])</f>
        <v>2024</v>
      </c>
      <c r="C3299" s="128">
        <f t="shared" ref="C3299:C3328" si="148">MONTH(A3299)</f>
        <v>11</v>
      </c>
      <c r="D3299" s="136">
        <f t="shared" si="147"/>
        <v>45</v>
      </c>
      <c r="E3299" s="136">
        <f t="shared" ref="E3299:E3328" si="149">DAY(A3299)</f>
        <v>9</v>
      </c>
      <c r="F3299" s="137" t="s">
        <v>24</v>
      </c>
      <c r="G3299" s="128" t="str">
        <f>VLOOKUP(source[[#This Row],[lending_product_transform]],[3]Mapping!$B$4:$C$37,2,0)</f>
        <v>[Cake] - Cashloan</v>
      </c>
      <c r="H3299" s="128" t="str">
        <f>VLOOKUP(source[[#This Row],[lending_product_transform]],[3]Mapping!$B$3:$D$37,3,0)</f>
        <v>cashloan</v>
      </c>
      <c r="I3299" s="143">
        <v>72956798</v>
      </c>
    </row>
    <row r="3300" spans="1:9" x14ac:dyDescent="0.2">
      <c r="A3300" s="134">
        <v>45605</v>
      </c>
      <c r="B3300" s="135">
        <f>YEAR(source[[#This Row],[report_date]])</f>
        <v>2024</v>
      </c>
      <c r="C3300" s="128">
        <f t="shared" si="148"/>
        <v>11</v>
      </c>
      <c r="D3300" s="136">
        <f t="shared" si="147"/>
        <v>45</v>
      </c>
      <c r="E3300" s="136">
        <f t="shared" si="149"/>
        <v>9</v>
      </c>
      <c r="F3300" s="137" t="s">
        <v>24</v>
      </c>
      <c r="G3300" s="128" t="str">
        <f>VLOOKUP(source[[#This Row],[lending_product_transform]],[3]Mapping!$B$4:$C$37,2,0)</f>
        <v>[Cake] - Cashloan</v>
      </c>
      <c r="H3300" s="128" t="str">
        <f>VLOOKUP(source[[#This Row],[lending_product_transform]],[3]Mapping!$B$3:$D$37,3,0)</f>
        <v>cashloan</v>
      </c>
      <c r="I3300" s="143">
        <v>42000000</v>
      </c>
    </row>
    <row r="3301" spans="1:9" x14ac:dyDescent="0.2">
      <c r="A3301" s="134">
        <v>45605</v>
      </c>
      <c r="B3301" s="135">
        <f>YEAR(source[[#This Row],[report_date]])</f>
        <v>2024</v>
      </c>
      <c r="C3301" s="128">
        <f t="shared" si="148"/>
        <v>11</v>
      </c>
      <c r="D3301" s="136">
        <f t="shared" si="147"/>
        <v>45</v>
      </c>
      <c r="E3301" s="136">
        <f t="shared" si="149"/>
        <v>9</v>
      </c>
      <c r="F3301" s="137" t="s">
        <v>24</v>
      </c>
      <c r="G3301" s="128" t="str">
        <f>VLOOKUP(source[[#This Row],[lending_product_transform]],[3]Mapping!$B$4:$C$37,2,0)</f>
        <v>[Cake] - Cashloan</v>
      </c>
      <c r="H3301" s="128" t="str">
        <f>VLOOKUP(source[[#This Row],[lending_product_transform]],[3]Mapping!$B$3:$D$37,3,0)</f>
        <v>cashloan</v>
      </c>
      <c r="I3301" s="143">
        <v>50000000</v>
      </c>
    </row>
    <row r="3302" spans="1:9" x14ac:dyDescent="0.2">
      <c r="A3302" s="134">
        <v>45605</v>
      </c>
      <c r="B3302" s="135">
        <f>YEAR(source[[#This Row],[report_date]])</f>
        <v>2024</v>
      </c>
      <c r="C3302" s="128">
        <f t="shared" si="148"/>
        <v>11</v>
      </c>
      <c r="D3302" s="136">
        <f t="shared" si="147"/>
        <v>45</v>
      </c>
      <c r="E3302" s="136">
        <f t="shared" si="149"/>
        <v>9</v>
      </c>
      <c r="F3302" s="137" t="s">
        <v>24</v>
      </c>
      <c r="G3302" s="128" t="str">
        <f>VLOOKUP(source[[#This Row],[lending_product_transform]],[3]Mapping!$B$4:$C$37,2,0)</f>
        <v>[Cake] - Cashloan</v>
      </c>
      <c r="H3302" s="128" t="str">
        <f>VLOOKUP(source[[#This Row],[lending_product_transform]],[3]Mapping!$B$3:$D$37,3,0)</f>
        <v>cashloan</v>
      </c>
      <c r="I3302" s="143">
        <v>6131870000</v>
      </c>
    </row>
    <row r="3303" spans="1:9" x14ac:dyDescent="0.2">
      <c r="A3303" s="134">
        <v>45605</v>
      </c>
      <c r="B3303" s="135">
        <f>YEAR(source[[#This Row],[report_date]])</f>
        <v>2024</v>
      </c>
      <c r="C3303" s="128">
        <f t="shared" si="148"/>
        <v>11</v>
      </c>
      <c r="D3303" s="136">
        <f t="shared" si="147"/>
        <v>45</v>
      </c>
      <c r="E3303" s="136">
        <f t="shared" si="149"/>
        <v>9</v>
      </c>
      <c r="F3303" s="137" t="s">
        <v>24</v>
      </c>
      <c r="G3303" s="128" t="str">
        <f>VLOOKUP(source[[#This Row],[lending_product_transform]],[3]Mapping!$B$4:$C$37,2,0)</f>
        <v>[Cake] - Cashloan</v>
      </c>
      <c r="H3303" s="128" t="str">
        <f>VLOOKUP(source[[#This Row],[lending_product_transform]],[3]Mapping!$B$3:$D$37,3,0)</f>
        <v>cashloan</v>
      </c>
      <c r="I3303" s="143">
        <v>4177980000</v>
      </c>
    </row>
    <row r="3304" spans="1:9" x14ac:dyDescent="0.2">
      <c r="A3304" s="134">
        <v>45605</v>
      </c>
      <c r="B3304" s="135">
        <f>YEAR(source[[#This Row],[report_date]])</f>
        <v>2024</v>
      </c>
      <c r="C3304" s="128">
        <f t="shared" si="148"/>
        <v>11</v>
      </c>
      <c r="D3304" s="136">
        <f t="shared" si="147"/>
        <v>45</v>
      </c>
      <c r="E3304" s="136">
        <f t="shared" si="149"/>
        <v>9</v>
      </c>
      <c r="F3304" s="137" t="s">
        <v>24</v>
      </c>
      <c r="G3304" s="128" t="str">
        <f>VLOOKUP(source[[#This Row],[lending_product_transform]],[3]Mapping!$B$4:$C$37,2,0)</f>
        <v>[Cake] - Cashloan</v>
      </c>
      <c r="H3304" s="128" t="str">
        <f>VLOOKUP(source[[#This Row],[lending_product_transform]],[3]Mapping!$B$3:$D$37,3,0)</f>
        <v>cashloan</v>
      </c>
      <c r="I3304" s="143">
        <v>270103</v>
      </c>
    </row>
    <row r="3305" spans="1:9" x14ac:dyDescent="0.2">
      <c r="A3305" s="134">
        <v>45605</v>
      </c>
      <c r="B3305" s="135">
        <f>YEAR(source[[#This Row],[report_date]])</f>
        <v>2024</v>
      </c>
      <c r="C3305" s="128">
        <f t="shared" si="148"/>
        <v>11</v>
      </c>
      <c r="D3305" s="136">
        <f t="shared" si="147"/>
        <v>45</v>
      </c>
      <c r="E3305" s="136">
        <f t="shared" si="149"/>
        <v>9</v>
      </c>
      <c r="F3305" s="137" t="s">
        <v>24</v>
      </c>
      <c r="G3305" s="128" t="str">
        <f>VLOOKUP(source[[#This Row],[lending_product_transform]],[3]Mapping!$B$4:$C$37,2,0)</f>
        <v>[Cake] - Cashloan</v>
      </c>
      <c r="H3305" s="128" t="str">
        <f>VLOOKUP(source[[#This Row],[lending_product_transform]],[3]Mapping!$B$3:$D$37,3,0)</f>
        <v>cashloan</v>
      </c>
      <c r="I3305" s="143">
        <v>414533616</v>
      </c>
    </row>
    <row r="3306" spans="1:9" x14ac:dyDescent="0.2">
      <c r="A3306" s="134">
        <v>45605</v>
      </c>
      <c r="B3306" s="135">
        <f>YEAR(source[[#This Row],[report_date]])</f>
        <v>2024</v>
      </c>
      <c r="C3306" s="128">
        <f t="shared" si="148"/>
        <v>11</v>
      </c>
      <c r="D3306" s="136">
        <f t="shared" si="147"/>
        <v>45</v>
      </c>
      <c r="E3306" s="136">
        <f t="shared" si="149"/>
        <v>9</v>
      </c>
      <c r="F3306" s="137" t="s">
        <v>24</v>
      </c>
      <c r="G3306" s="128" t="str">
        <f>VLOOKUP(source[[#This Row],[lending_product_transform]],[3]Mapping!$B$4:$C$37,2,0)</f>
        <v>[Cake] - Cashloan</v>
      </c>
      <c r="H3306" s="128" t="str">
        <f>VLOOKUP(source[[#This Row],[lending_product_transform]],[3]Mapping!$B$3:$D$37,3,0)</f>
        <v>cashloan</v>
      </c>
      <c r="I3306" s="143">
        <v>4232000000</v>
      </c>
    </row>
    <row r="3307" spans="1:9" x14ac:dyDescent="0.2">
      <c r="A3307" s="134">
        <v>45605</v>
      </c>
      <c r="B3307" s="135">
        <f>YEAR(source[[#This Row],[report_date]])</f>
        <v>2024</v>
      </c>
      <c r="C3307" s="128">
        <f t="shared" si="148"/>
        <v>11</v>
      </c>
      <c r="D3307" s="136">
        <f t="shared" si="147"/>
        <v>45</v>
      </c>
      <c r="E3307" s="136">
        <f t="shared" si="149"/>
        <v>9</v>
      </c>
      <c r="F3307" s="137" t="s">
        <v>24</v>
      </c>
      <c r="G3307" s="128" t="str">
        <f>VLOOKUP(source[[#This Row],[lending_product_transform]],[3]Mapping!$B$4:$C$37,2,0)</f>
        <v>[Cake] - Cashloan</v>
      </c>
      <c r="H3307" s="128" t="str">
        <f>VLOOKUP(source[[#This Row],[lending_product_transform]],[3]Mapping!$B$3:$D$37,3,0)</f>
        <v>cashloan</v>
      </c>
      <c r="I3307" s="143">
        <v>563600</v>
      </c>
    </row>
    <row r="3308" spans="1:9" x14ac:dyDescent="0.2">
      <c r="A3308" s="134">
        <v>45605</v>
      </c>
      <c r="B3308" s="135">
        <f>YEAR(source[[#This Row],[report_date]])</f>
        <v>2024</v>
      </c>
      <c r="C3308" s="128">
        <f t="shared" si="148"/>
        <v>11</v>
      </c>
      <c r="D3308" s="136">
        <f t="shared" si="147"/>
        <v>45</v>
      </c>
      <c r="E3308" s="136">
        <f t="shared" si="149"/>
        <v>9</v>
      </c>
      <c r="F3308" s="137" t="s">
        <v>24</v>
      </c>
      <c r="G3308" s="128" t="str">
        <f>VLOOKUP(source[[#This Row],[lending_product_transform]],[3]Mapping!$B$4:$C$37,2,0)</f>
        <v>[Cake] - Cashloan</v>
      </c>
      <c r="H3308" s="128" t="str">
        <f>VLOOKUP(source[[#This Row],[lending_product_transform]],[3]Mapping!$B$3:$D$37,3,0)</f>
        <v>cashloan</v>
      </c>
      <c r="I3308" s="143">
        <v>270080000</v>
      </c>
    </row>
    <row r="3309" spans="1:9" x14ac:dyDescent="0.2">
      <c r="A3309" s="134">
        <v>45605</v>
      </c>
      <c r="B3309" s="135">
        <f>YEAR(source[[#This Row],[report_date]])</f>
        <v>2024</v>
      </c>
      <c r="C3309" s="128">
        <f t="shared" si="148"/>
        <v>11</v>
      </c>
      <c r="D3309" s="136">
        <f t="shared" si="147"/>
        <v>45</v>
      </c>
      <c r="E3309" s="136">
        <f t="shared" si="149"/>
        <v>9</v>
      </c>
      <c r="F3309" s="137" t="s">
        <v>24</v>
      </c>
      <c r="G3309" s="128" t="str">
        <f>VLOOKUP(source[[#This Row],[lending_product_transform]],[3]Mapping!$B$4:$C$37,2,0)</f>
        <v>[Cake] - Cashloan</v>
      </c>
      <c r="H3309" s="128" t="str">
        <f>VLOOKUP(source[[#This Row],[lending_product_transform]],[3]Mapping!$B$3:$D$37,3,0)</f>
        <v>cashloan</v>
      </c>
      <c r="I3309" s="143">
        <v>0</v>
      </c>
    </row>
    <row r="3310" spans="1:9" x14ac:dyDescent="0.2">
      <c r="A3310" s="134">
        <v>45605</v>
      </c>
      <c r="B3310" s="135">
        <f>YEAR(source[[#This Row],[report_date]])</f>
        <v>2024</v>
      </c>
      <c r="C3310" s="128">
        <f t="shared" si="148"/>
        <v>11</v>
      </c>
      <c r="D3310" s="136">
        <f t="shared" si="147"/>
        <v>45</v>
      </c>
      <c r="E3310" s="136">
        <f t="shared" si="149"/>
        <v>9</v>
      </c>
      <c r="F3310" s="137" t="s">
        <v>24</v>
      </c>
      <c r="G3310" s="128" t="str">
        <f>VLOOKUP(source[[#This Row],[lending_product_transform]],[3]Mapping!$B$4:$C$37,2,0)</f>
        <v>[Cake] - Cashloan</v>
      </c>
      <c r="H3310" s="128" t="str">
        <f>VLOOKUP(source[[#This Row],[lending_product_transform]],[3]Mapping!$B$3:$D$37,3,0)</f>
        <v>cashloan</v>
      </c>
      <c r="I3310" s="143">
        <v>3332907050</v>
      </c>
    </row>
    <row r="3311" spans="1:9" x14ac:dyDescent="0.2">
      <c r="A3311" s="134">
        <v>45605</v>
      </c>
      <c r="B3311" s="135">
        <f>YEAR(source[[#This Row],[report_date]])</f>
        <v>2024</v>
      </c>
      <c r="C3311" s="128">
        <f t="shared" si="148"/>
        <v>11</v>
      </c>
      <c r="D3311" s="136">
        <f t="shared" si="147"/>
        <v>45</v>
      </c>
      <c r="E3311" s="136">
        <f t="shared" si="149"/>
        <v>9</v>
      </c>
      <c r="F3311" s="137" t="s">
        <v>24</v>
      </c>
      <c r="G3311" s="128" t="str">
        <f>VLOOKUP(source[[#This Row],[lending_product_transform]],[3]Mapping!$B$4:$C$37,2,0)</f>
        <v>[Cake] - Cashloan</v>
      </c>
      <c r="H3311" s="128" t="str">
        <f>VLOOKUP(source[[#This Row],[lending_product_transform]],[3]Mapping!$B$3:$D$37,3,0)</f>
        <v>cashloan</v>
      </c>
      <c r="I3311" s="143">
        <v>32840000</v>
      </c>
    </row>
    <row r="3312" spans="1:9" x14ac:dyDescent="0.2">
      <c r="A3312" s="134">
        <v>45605</v>
      </c>
      <c r="B3312" s="135">
        <f>YEAR(source[[#This Row],[report_date]])</f>
        <v>2024</v>
      </c>
      <c r="C3312" s="128">
        <f t="shared" si="148"/>
        <v>11</v>
      </c>
      <c r="D3312" s="136">
        <f t="shared" si="147"/>
        <v>45</v>
      </c>
      <c r="E3312" s="136">
        <f t="shared" si="149"/>
        <v>9</v>
      </c>
      <c r="F3312" s="137" t="s">
        <v>24</v>
      </c>
      <c r="G3312" s="128" t="str">
        <f>VLOOKUP(source[[#This Row],[lending_product_transform]],[3]Mapping!$B$4:$C$37,2,0)</f>
        <v>[Cake] - Cashloan</v>
      </c>
      <c r="H3312" s="128" t="str">
        <f>VLOOKUP(source[[#This Row],[lending_product_transform]],[3]Mapping!$B$3:$D$37,3,0)</f>
        <v>cashloan</v>
      </c>
      <c r="I3312" s="143">
        <v>82060000</v>
      </c>
    </row>
    <row r="3313" spans="1:9" x14ac:dyDescent="0.2">
      <c r="A3313" s="134">
        <v>45605</v>
      </c>
      <c r="B3313" s="135">
        <f>YEAR(source[[#This Row],[report_date]])</f>
        <v>2024</v>
      </c>
      <c r="C3313" s="128">
        <f t="shared" si="148"/>
        <v>11</v>
      </c>
      <c r="D3313" s="136">
        <f t="shared" si="147"/>
        <v>45</v>
      </c>
      <c r="E3313" s="136">
        <f t="shared" si="149"/>
        <v>9</v>
      </c>
      <c r="F3313" s="137" t="s">
        <v>24</v>
      </c>
      <c r="G3313" s="128" t="str">
        <f>VLOOKUP(source[[#This Row],[lending_product_transform]],[3]Mapping!$B$4:$C$37,2,0)</f>
        <v>[Cake] - Cashloan</v>
      </c>
      <c r="H3313" s="128" t="str">
        <f>VLOOKUP(source[[#This Row],[lending_product_transform]],[3]Mapping!$B$3:$D$37,3,0)</f>
        <v>cashloan</v>
      </c>
      <c r="I3313" s="143">
        <v>7000000</v>
      </c>
    </row>
    <row r="3314" spans="1:9" x14ac:dyDescent="0.2">
      <c r="A3314" s="134">
        <v>45606</v>
      </c>
      <c r="B3314" s="135">
        <f>YEAR(source[[#This Row],[report_date]])</f>
        <v>2024</v>
      </c>
      <c r="C3314" s="128">
        <f t="shared" si="148"/>
        <v>11</v>
      </c>
      <c r="D3314" s="136">
        <f t="shared" si="147"/>
        <v>45</v>
      </c>
      <c r="E3314" s="136">
        <f t="shared" si="149"/>
        <v>10</v>
      </c>
      <c r="F3314" s="137" t="s">
        <v>24</v>
      </c>
      <c r="G3314" s="128" t="str">
        <f>VLOOKUP(source[[#This Row],[lending_product_transform]],[3]Mapping!$B$4:$C$37,2,0)</f>
        <v>[Cake] - Cashloan</v>
      </c>
      <c r="H3314" s="128" t="str">
        <f>VLOOKUP(source[[#This Row],[lending_product_transform]],[3]Mapping!$B$3:$D$37,3,0)</f>
        <v>cashloan</v>
      </c>
      <c r="I3314" s="143">
        <v>0</v>
      </c>
    </row>
    <row r="3315" spans="1:9" x14ac:dyDescent="0.2">
      <c r="A3315" s="134">
        <v>45606</v>
      </c>
      <c r="B3315" s="135">
        <f>YEAR(source[[#This Row],[report_date]])</f>
        <v>2024</v>
      </c>
      <c r="C3315" s="128">
        <f t="shared" si="148"/>
        <v>11</v>
      </c>
      <c r="D3315" s="136">
        <f t="shared" si="147"/>
        <v>45</v>
      </c>
      <c r="E3315" s="136">
        <f t="shared" si="149"/>
        <v>10</v>
      </c>
      <c r="F3315" s="137" t="s">
        <v>24</v>
      </c>
      <c r="G3315" s="128" t="str">
        <f>VLOOKUP(source[[#This Row],[lending_product_transform]],[3]Mapping!$B$4:$C$37,2,0)</f>
        <v>[Cake] - Cashloan</v>
      </c>
      <c r="H3315" s="128" t="str">
        <f>VLOOKUP(source[[#This Row],[lending_product_transform]],[3]Mapping!$B$3:$D$37,3,0)</f>
        <v>cashloan</v>
      </c>
      <c r="I3315" s="143">
        <v>0</v>
      </c>
    </row>
    <row r="3316" spans="1:9" x14ac:dyDescent="0.2">
      <c r="A3316" s="134">
        <v>45606</v>
      </c>
      <c r="B3316" s="135">
        <f>YEAR(source[[#This Row],[report_date]])</f>
        <v>2024</v>
      </c>
      <c r="C3316" s="128">
        <f t="shared" si="148"/>
        <v>11</v>
      </c>
      <c r="D3316" s="136">
        <f t="shared" si="147"/>
        <v>45</v>
      </c>
      <c r="E3316" s="136">
        <f t="shared" si="149"/>
        <v>10</v>
      </c>
      <c r="F3316" s="137" t="s">
        <v>24</v>
      </c>
      <c r="G3316" s="128" t="str">
        <f>VLOOKUP(source[[#This Row],[lending_product_transform]],[3]Mapping!$B$4:$C$37,2,0)</f>
        <v>[Cake] - Cashloan</v>
      </c>
      <c r="H3316" s="128" t="str">
        <f>VLOOKUP(source[[#This Row],[lending_product_transform]],[3]Mapping!$B$3:$D$37,3,0)</f>
        <v>cashloan</v>
      </c>
      <c r="I3316" s="143">
        <v>67000000</v>
      </c>
    </row>
    <row r="3317" spans="1:9" x14ac:dyDescent="0.2">
      <c r="A3317" s="134">
        <v>45606</v>
      </c>
      <c r="B3317" s="135">
        <f>YEAR(source[[#This Row],[report_date]])</f>
        <v>2024</v>
      </c>
      <c r="C3317" s="128">
        <f t="shared" si="148"/>
        <v>11</v>
      </c>
      <c r="D3317" s="136">
        <f t="shared" si="147"/>
        <v>45</v>
      </c>
      <c r="E3317" s="136">
        <f t="shared" si="149"/>
        <v>10</v>
      </c>
      <c r="F3317" s="137" t="s">
        <v>24</v>
      </c>
      <c r="G3317" s="128" t="str">
        <f>VLOOKUP(source[[#This Row],[lending_product_transform]],[3]Mapping!$B$4:$C$37,2,0)</f>
        <v>[Cake] - Cashloan</v>
      </c>
      <c r="H3317" s="128" t="str">
        <f>VLOOKUP(source[[#This Row],[lending_product_transform]],[3]Mapping!$B$3:$D$37,3,0)</f>
        <v>cashloan</v>
      </c>
      <c r="I3317" s="143">
        <v>0</v>
      </c>
    </row>
    <row r="3318" spans="1:9" x14ac:dyDescent="0.2">
      <c r="A3318" s="134">
        <v>45606</v>
      </c>
      <c r="B3318" s="135">
        <f>YEAR(source[[#This Row],[report_date]])</f>
        <v>2024</v>
      </c>
      <c r="C3318" s="128">
        <f t="shared" si="148"/>
        <v>11</v>
      </c>
      <c r="D3318" s="136">
        <f t="shared" si="147"/>
        <v>45</v>
      </c>
      <c r="E3318" s="136">
        <f t="shared" si="149"/>
        <v>10</v>
      </c>
      <c r="F3318" s="137" t="s">
        <v>24</v>
      </c>
      <c r="G3318" s="128" t="str">
        <f>VLOOKUP(source[[#This Row],[lending_product_transform]],[3]Mapping!$B$4:$C$37,2,0)</f>
        <v>[Cake] - Cashloan</v>
      </c>
      <c r="H3318" s="128" t="str">
        <f>VLOOKUP(source[[#This Row],[lending_product_transform]],[3]Mapping!$B$3:$D$37,3,0)</f>
        <v>cashloan</v>
      </c>
      <c r="I3318" s="143">
        <v>75608707</v>
      </c>
    </row>
    <row r="3319" spans="1:9" x14ac:dyDescent="0.2">
      <c r="A3319" s="134">
        <v>45606</v>
      </c>
      <c r="B3319" s="135">
        <f>YEAR(source[[#This Row],[report_date]])</f>
        <v>2024</v>
      </c>
      <c r="C3319" s="128">
        <f t="shared" si="148"/>
        <v>11</v>
      </c>
      <c r="D3319" s="136">
        <f t="shared" si="147"/>
        <v>45</v>
      </c>
      <c r="E3319" s="136">
        <f t="shared" si="149"/>
        <v>10</v>
      </c>
      <c r="F3319" s="137" t="s">
        <v>24</v>
      </c>
      <c r="G3319" s="128" t="str">
        <f>VLOOKUP(source[[#This Row],[lending_product_transform]],[3]Mapping!$B$4:$C$37,2,0)</f>
        <v>[Cake] - Cashloan</v>
      </c>
      <c r="H3319" s="128" t="str">
        <f>VLOOKUP(source[[#This Row],[lending_product_transform]],[3]Mapping!$B$3:$D$37,3,0)</f>
        <v>cashloan</v>
      </c>
      <c r="I3319" s="143">
        <v>4113000000</v>
      </c>
    </row>
    <row r="3320" spans="1:9" x14ac:dyDescent="0.2">
      <c r="A3320" s="134">
        <v>45606</v>
      </c>
      <c r="B3320" s="135">
        <f>YEAR(source[[#This Row],[report_date]])</f>
        <v>2024</v>
      </c>
      <c r="C3320" s="128">
        <f t="shared" si="148"/>
        <v>11</v>
      </c>
      <c r="D3320" s="136">
        <f t="shared" si="147"/>
        <v>45</v>
      </c>
      <c r="E3320" s="136">
        <f t="shared" si="149"/>
        <v>10</v>
      </c>
      <c r="F3320" s="137" t="s">
        <v>24</v>
      </c>
      <c r="G3320" s="128" t="str">
        <f>VLOOKUP(source[[#This Row],[lending_product_transform]],[3]Mapping!$B$4:$C$37,2,0)</f>
        <v>[Cake] - Cashloan</v>
      </c>
      <c r="H3320" s="128" t="str">
        <f>VLOOKUP(source[[#This Row],[lending_product_transform]],[3]Mapping!$B$3:$D$37,3,0)</f>
        <v>cashloan</v>
      </c>
      <c r="I3320" s="143">
        <v>33120000</v>
      </c>
    </row>
    <row r="3321" spans="1:9" x14ac:dyDescent="0.2">
      <c r="A3321" s="134">
        <v>45606</v>
      </c>
      <c r="B3321" s="135">
        <f>YEAR(source[[#This Row],[report_date]])</f>
        <v>2024</v>
      </c>
      <c r="C3321" s="128">
        <f t="shared" si="148"/>
        <v>11</v>
      </c>
      <c r="D3321" s="136">
        <f t="shared" si="147"/>
        <v>45</v>
      </c>
      <c r="E3321" s="136">
        <f t="shared" si="149"/>
        <v>10</v>
      </c>
      <c r="F3321" s="137" t="s">
        <v>24</v>
      </c>
      <c r="G3321" s="128" t="str">
        <f>VLOOKUP(source[[#This Row],[lending_product_transform]],[3]Mapping!$B$4:$C$37,2,0)</f>
        <v>[Cake] - Cashloan</v>
      </c>
      <c r="H3321" s="128" t="str">
        <f>VLOOKUP(source[[#This Row],[lending_product_transform]],[3]Mapping!$B$3:$D$37,3,0)</f>
        <v>cashloan</v>
      </c>
      <c r="I3321" s="143">
        <v>4525300000</v>
      </c>
    </row>
    <row r="3322" spans="1:9" x14ac:dyDescent="0.2">
      <c r="A3322" s="134">
        <v>45606</v>
      </c>
      <c r="B3322" s="135">
        <f>YEAR(source[[#This Row],[report_date]])</f>
        <v>2024</v>
      </c>
      <c r="C3322" s="128">
        <f t="shared" si="148"/>
        <v>11</v>
      </c>
      <c r="D3322" s="136">
        <f t="shared" si="147"/>
        <v>45</v>
      </c>
      <c r="E3322" s="136">
        <f t="shared" si="149"/>
        <v>10</v>
      </c>
      <c r="F3322" s="137" t="s">
        <v>24</v>
      </c>
      <c r="G3322" s="128" t="str">
        <f>VLOOKUP(source[[#This Row],[lending_product_transform]],[3]Mapping!$B$4:$C$37,2,0)</f>
        <v>[Cake] - Cashloan</v>
      </c>
      <c r="H3322" s="128" t="str">
        <f>VLOOKUP(source[[#This Row],[lending_product_transform]],[3]Mapping!$B$3:$D$37,3,0)</f>
        <v>cashloan</v>
      </c>
      <c r="I3322" s="143">
        <v>0</v>
      </c>
    </row>
    <row r="3323" spans="1:9" x14ac:dyDescent="0.2">
      <c r="A3323" s="134">
        <v>45606</v>
      </c>
      <c r="B3323" s="135">
        <f>YEAR(source[[#This Row],[report_date]])</f>
        <v>2024</v>
      </c>
      <c r="C3323" s="128">
        <f t="shared" si="148"/>
        <v>11</v>
      </c>
      <c r="D3323" s="136">
        <f t="shared" si="147"/>
        <v>45</v>
      </c>
      <c r="E3323" s="136">
        <f t="shared" si="149"/>
        <v>10</v>
      </c>
      <c r="F3323" s="137" t="s">
        <v>24</v>
      </c>
      <c r="G3323" s="128" t="str">
        <f>VLOOKUP(source[[#This Row],[lending_product_transform]],[3]Mapping!$B$4:$C$37,2,0)</f>
        <v>[Cake] - Cashloan</v>
      </c>
      <c r="H3323" s="128" t="str">
        <f>VLOOKUP(source[[#This Row],[lending_product_transform]],[3]Mapping!$B$3:$D$37,3,0)</f>
        <v>cashloan</v>
      </c>
      <c r="I3323" s="143">
        <v>342957491</v>
      </c>
    </row>
    <row r="3324" spans="1:9" x14ac:dyDescent="0.2">
      <c r="A3324" s="134">
        <v>45606</v>
      </c>
      <c r="B3324" s="135">
        <f>YEAR(source[[#This Row],[report_date]])</f>
        <v>2024</v>
      </c>
      <c r="C3324" s="128">
        <f t="shared" si="148"/>
        <v>11</v>
      </c>
      <c r="D3324" s="136">
        <f t="shared" si="147"/>
        <v>45</v>
      </c>
      <c r="E3324" s="136">
        <f t="shared" si="149"/>
        <v>10</v>
      </c>
      <c r="F3324" s="137" t="s">
        <v>24</v>
      </c>
      <c r="G3324" s="128" t="str">
        <f>VLOOKUP(source[[#This Row],[lending_product_transform]],[3]Mapping!$B$4:$C$37,2,0)</f>
        <v>[Cake] - Cashloan</v>
      </c>
      <c r="H3324" s="128" t="str">
        <f>VLOOKUP(source[[#This Row],[lending_product_transform]],[3]Mapping!$B$3:$D$37,3,0)</f>
        <v>cashloan</v>
      </c>
      <c r="I3324" s="143">
        <v>280980000</v>
      </c>
    </row>
    <row r="3325" spans="1:9" x14ac:dyDescent="0.2">
      <c r="A3325" s="134">
        <v>45606</v>
      </c>
      <c r="B3325" s="135">
        <f>YEAR(source[[#This Row],[report_date]])</f>
        <v>2024</v>
      </c>
      <c r="C3325" s="128">
        <f t="shared" si="148"/>
        <v>11</v>
      </c>
      <c r="D3325" s="136">
        <f t="shared" si="147"/>
        <v>45</v>
      </c>
      <c r="E3325" s="136">
        <f t="shared" si="149"/>
        <v>10</v>
      </c>
      <c r="F3325" s="137" t="s">
        <v>24</v>
      </c>
      <c r="G3325" s="128" t="str">
        <f>VLOOKUP(source[[#This Row],[lending_product_transform]],[3]Mapping!$B$4:$C$37,2,0)</f>
        <v>[Cake] - Cashloan</v>
      </c>
      <c r="H3325" s="128" t="str">
        <f>VLOOKUP(source[[#This Row],[lending_product_transform]],[3]Mapping!$B$3:$D$37,3,0)</f>
        <v>cashloan</v>
      </c>
      <c r="I3325" s="143">
        <v>0</v>
      </c>
    </row>
    <row r="3326" spans="1:9" x14ac:dyDescent="0.2">
      <c r="A3326" s="134">
        <v>45606</v>
      </c>
      <c r="B3326" s="135">
        <f>YEAR(source[[#This Row],[report_date]])</f>
        <v>2024</v>
      </c>
      <c r="C3326" s="128">
        <f t="shared" si="148"/>
        <v>11</v>
      </c>
      <c r="D3326" s="136">
        <f t="shared" si="147"/>
        <v>45</v>
      </c>
      <c r="E3326" s="136">
        <f t="shared" si="149"/>
        <v>10</v>
      </c>
      <c r="F3326" s="137" t="s">
        <v>24</v>
      </c>
      <c r="G3326" s="128" t="str">
        <f>VLOOKUP(source[[#This Row],[lending_product_transform]],[3]Mapping!$B$4:$C$37,2,0)</f>
        <v>[Cake] - Cashloan</v>
      </c>
      <c r="H3326" s="128" t="str">
        <f>VLOOKUP(source[[#This Row],[lending_product_transform]],[3]Mapping!$B$3:$D$37,3,0)</f>
        <v>cashloan</v>
      </c>
      <c r="I3326" s="143">
        <v>0</v>
      </c>
    </row>
    <row r="3327" spans="1:9" x14ac:dyDescent="0.2">
      <c r="A3327" s="134">
        <v>45606</v>
      </c>
      <c r="B3327" s="135">
        <f>YEAR(source[[#This Row],[report_date]])</f>
        <v>2024</v>
      </c>
      <c r="C3327" s="128">
        <f t="shared" si="148"/>
        <v>11</v>
      </c>
      <c r="D3327" s="136">
        <f t="shared" si="147"/>
        <v>45</v>
      </c>
      <c r="E3327" s="136">
        <f t="shared" si="149"/>
        <v>10</v>
      </c>
      <c r="F3327" s="137" t="s">
        <v>24</v>
      </c>
      <c r="G3327" s="128" t="str">
        <f>VLOOKUP(source[[#This Row],[lending_product_transform]],[3]Mapping!$B$4:$C$37,2,0)</f>
        <v>[Cake] - Cashloan</v>
      </c>
      <c r="H3327" s="128" t="str">
        <f>VLOOKUP(source[[#This Row],[lending_product_transform]],[3]Mapping!$B$3:$D$37,3,0)</f>
        <v>cashloan</v>
      </c>
      <c r="I3327" s="143">
        <v>3407987482</v>
      </c>
    </row>
    <row r="3328" spans="1:9" x14ac:dyDescent="0.2">
      <c r="A3328" s="134">
        <v>45606</v>
      </c>
      <c r="B3328" s="135">
        <f>YEAR(source[[#This Row],[report_date]])</f>
        <v>2024</v>
      </c>
      <c r="C3328" s="128">
        <f t="shared" si="148"/>
        <v>11</v>
      </c>
      <c r="D3328" s="136">
        <f t="shared" si="147"/>
        <v>45</v>
      </c>
      <c r="E3328" s="136">
        <f t="shared" si="149"/>
        <v>10</v>
      </c>
      <c r="F3328" s="137" t="s">
        <v>24</v>
      </c>
      <c r="G3328" s="128" t="str">
        <f>VLOOKUP(source[[#This Row],[lending_product_transform]],[3]Mapping!$B$4:$C$37,2,0)</f>
        <v>[Cake] - Cashloan</v>
      </c>
      <c r="H3328" s="128" t="str">
        <f>VLOOKUP(source[[#This Row],[lending_product_transform]],[3]Mapping!$B$3:$D$37,3,0)</f>
        <v>cashloan</v>
      </c>
      <c r="I3328" s="143">
        <v>0</v>
      </c>
    </row>
    <row r="3329" spans="1:9" x14ac:dyDescent="0.2">
      <c r="A3329" s="134">
        <v>45606</v>
      </c>
      <c r="B3329" s="135">
        <f>YEAR(source[[#This Row],[report_date]])</f>
        <v>2024</v>
      </c>
      <c r="C3329" s="128">
        <f>MONTH(A3329)</f>
        <v>11</v>
      </c>
      <c r="D3329" s="136">
        <f t="shared" si="147"/>
        <v>45</v>
      </c>
      <c r="E3329" s="136">
        <f>DAY(A3329)</f>
        <v>10</v>
      </c>
      <c r="F3329" s="137" t="s">
        <v>24</v>
      </c>
      <c r="G3329" s="128" t="str">
        <f>VLOOKUP(source[[#This Row],[lending_product_transform]],[3]Mapping!$B$4:$C$37,2,0)</f>
        <v>[Cake] - Cashloan</v>
      </c>
      <c r="H3329" s="128" t="str">
        <f>VLOOKUP(source[[#This Row],[lending_product_transform]],[3]Mapping!$B$3:$D$37,3,0)</f>
        <v>cashloan</v>
      </c>
      <c r="I3329" s="143">
        <v>5725010000</v>
      </c>
    </row>
    <row r="3330" spans="1:9" x14ac:dyDescent="0.2">
      <c r="A3330" s="134">
        <v>45607</v>
      </c>
      <c r="B3330" s="135">
        <f>YEAR(source[[#This Row],[report_date]])</f>
        <v>2024</v>
      </c>
      <c r="C3330" s="128">
        <f t="shared" ref="C3330:C3393" si="150">MONTH(A3330)</f>
        <v>11</v>
      </c>
      <c r="D3330" s="136">
        <f t="shared" si="147"/>
        <v>46</v>
      </c>
      <c r="E3330" s="136">
        <f t="shared" ref="E3330:E3393" si="151">DAY(A3330)</f>
        <v>11</v>
      </c>
      <c r="F3330" s="137" t="s">
        <v>24</v>
      </c>
      <c r="G3330" s="128" t="str">
        <f>VLOOKUP(source[[#This Row],[lending_product_transform]],[3]Mapping!$B$4:$C$37,2,0)</f>
        <v>[Cake] - Cashloan</v>
      </c>
      <c r="H3330" s="128" t="str">
        <f>VLOOKUP(source[[#This Row],[lending_product_transform]],[3]Mapping!$B$3:$D$37,3,0)</f>
        <v>cashloan</v>
      </c>
      <c r="I3330" s="143">
        <v>45150000</v>
      </c>
    </row>
    <row r="3331" spans="1:9" x14ac:dyDescent="0.2">
      <c r="A3331" s="134">
        <v>45607</v>
      </c>
      <c r="B3331" s="135">
        <f>YEAR(source[[#This Row],[report_date]])</f>
        <v>2024</v>
      </c>
      <c r="C3331" s="128">
        <f t="shared" si="150"/>
        <v>11</v>
      </c>
      <c r="D3331" s="136">
        <f t="shared" ref="D3331:D3394" si="152">WEEKNUM(A3331,2)</f>
        <v>46</v>
      </c>
      <c r="E3331" s="136">
        <f t="shared" si="151"/>
        <v>11</v>
      </c>
      <c r="F3331" s="137" t="s">
        <v>24</v>
      </c>
      <c r="G3331" s="128" t="str">
        <f>VLOOKUP(source[[#This Row],[lending_product_transform]],[3]Mapping!$B$4:$C$37,2,0)</f>
        <v>[Cake] - Cashloan</v>
      </c>
      <c r="H3331" s="128" t="str">
        <f>VLOOKUP(source[[#This Row],[lending_product_transform]],[3]Mapping!$B$3:$D$37,3,0)</f>
        <v>cashloan</v>
      </c>
      <c r="I3331" s="143">
        <v>124900000</v>
      </c>
    </row>
    <row r="3332" spans="1:9" x14ac:dyDescent="0.2">
      <c r="A3332" s="134">
        <v>45607</v>
      </c>
      <c r="B3332" s="135">
        <f>YEAR(source[[#This Row],[report_date]])</f>
        <v>2024</v>
      </c>
      <c r="C3332" s="128">
        <f t="shared" si="150"/>
        <v>11</v>
      </c>
      <c r="D3332" s="136">
        <f t="shared" si="152"/>
        <v>46</v>
      </c>
      <c r="E3332" s="136">
        <f t="shared" si="151"/>
        <v>11</v>
      </c>
      <c r="F3332" s="137" t="s">
        <v>24</v>
      </c>
      <c r="G3332" s="128" t="str">
        <f>VLOOKUP(source[[#This Row],[lending_product_transform]],[3]Mapping!$B$4:$C$37,2,0)</f>
        <v>[Cake] - Cashloan</v>
      </c>
      <c r="H3332" s="128" t="str">
        <f>VLOOKUP(source[[#This Row],[lending_product_transform]],[3]Mapping!$B$3:$D$37,3,0)</f>
        <v>cashloan</v>
      </c>
      <c r="I3332" s="143">
        <v>5202610000</v>
      </c>
    </row>
    <row r="3333" spans="1:9" x14ac:dyDescent="0.2">
      <c r="A3333" s="134">
        <v>45607</v>
      </c>
      <c r="B3333" s="135">
        <f>YEAR(source[[#This Row],[report_date]])</f>
        <v>2024</v>
      </c>
      <c r="C3333" s="128">
        <f t="shared" si="150"/>
        <v>11</v>
      </c>
      <c r="D3333" s="136">
        <f t="shared" si="152"/>
        <v>46</v>
      </c>
      <c r="E3333" s="136">
        <f t="shared" si="151"/>
        <v>11</v>
      </c>
      <c r="F3333" s="137" t="s">
        <v>24</v>
      </c>
      <c r="G3333" s="128" t="str">
        <f>VLOOKUP(source[[#This Row],[lending_product_transform]],[3]Mapping!$B$4:$C$37,2,0)</f>
        <v>[Cake] - Cashloan</v>
      </c>
      <c r="H3333" s="128" t="str">
        <f>VLOOKUP(source[[#This Row],[lending_product_transform]],[3]Mapping!$B$3:$D$37,3,0)</f>
        <v>cashloan</v>
      </c>
      <c r="I3333" s="143">
        <v>373570000</v>
      </c>
    </row>
    <row r="3334" spans="1:9" x14ac:dyDescent="0.2">
      <c r="A3334" s="134">
        <v>45607</v>
      </c>
      <c r="B3334" s="135">
        <f>YEAR(source[[#This Row],[report_date]])</f>
        <v>2024</v>
      </c>
      <c r="C3334" s="128">
        <f t="shared" si="150"/>
        <v>11</v>
      </c>
      <c r="D3334" s="136">
        <f t="shared" si="152"/>
        <v>46</v>
      </c>
      <c r="E3334" s="136">
        <f t="shared" si="151"/>
        <v>11</v>
      </c>
      <c r="F3334" s="137" t="s">
        <v>24</v>
      </c>
      <c r="G3334" s="128" t="str">
        <f>VLOOKUP(source[[#This Row],[lending_product_transform]],[3]Mapping!$B$4:$C$37,2,0)</f>
        <v>[Cake] - Cashloan</v>
      </c>
      <c r="H3334" s="128" t="str">
        <f>VLOOKUP(source[[#This Row],[lending_product_transform]],[3]Mapping!$B$3:$D$37,3,0)</f>
        <v>cashloan</v>
      </c>
      <c r="I3334" s="143">
        <v>4052591034</v>
      </c>
    </row>
    <row r="3335" spans="1:9" x14ac:dyDescent="0.2">
      <c r="A3335" s="134">
        <v>45607</v>
      </c>
      <c r="B3335" s="135">
        <f>YEAR(source[[#This Row],[report_date]])</f>
        <v>2024</v>
      </c>
      <c r="C3335" s="128">
        <f t="shared" si="150"/>
        <v>11</v>
      </c>
      <c r="D3335" s="136">
        <f t="shared" si="152"/>
        <v>46</v>
      </c>
      <c r="E3335" s="136">
        <f t="shared" si="151"/>
        <v>11</v>
      </c>
      <c r="F3335" s="137" t="s">
        <v>24</v>
      </c>
      <c r="G3335" s="128" t="str">
        <f>VLOOKUP(source[[#This Row],[lending_product_transform]],[3]Mapping!$B$4:$C$37,2,0)</f>
        <v>[Cake] - Cashloan</v>
      </c>
      <c r="H3335" s="128" t="str">
        <f>VLOOKUP(source[[#This Row],[lending_product_transform]],[3]Mapping!$B$3:$D$37,3,0)</f>
        <v>cashloan</v>
      </c>
      <c r="I3335" s="143">
        <v>4000</v>
      </c>
    </row>
    <row r="3336" spans="1:9" x14ac:dyDescent="0.2">
      <c r="A3336" s="134">
        <v>45607</v>
      </c>
      <c r="B3336" s="135">
        <f>YEAR(source[[#This Row],[report_date]])</f>
        <v>2024</v>
      </c>
      <c r="C3336" s="128">
        <f t="shared" si="150"/>
        <v>11</v>
      </c>
      <c r="D3336" s="136">
        <f t="shared" si="152"/>
        <v>46</v>
      </c>
      <c r="E3336" s="136">
        <f t="shared" si="151"/>
        <v>11</v>
      </c>
      <c r="F3336" s="137" t="s">
        <v>24</v>
      </c>
      <c r="G3336" s="128" t="str">
        <f>VLOOKUP(source[[#This Row],[lending_product_transform]],[3]Mapping!$B$4:$C$37,2,0)</f>
        <v>[Cake] - Cashloan</v>
      </c>
      <c r="H3336" s="128" t="str">
        <f>VLOOKUP(source[[#This Row],[lending_product_transform]],[3]Mapping!$B$3:$D$37,3,0)</f>
        <v>cashloan</v>
      </c>
      <c r="I3336" s="143">
        <v>0</v>
      </c>
    </row>
    <row r="3337" spans="1:9" x14ac:dyDescent="0.2">
      <c r="A3337" s="134">
        <v>45607</v>
      </c>
      <c r="B3337" s="135">
        <f>YEAR(source[[#This Row],[report_date]])</f>
        <v>2024</v>
      </c>
      <c r="C3337" s="128">
        <f t="shared" si="150"/>
        <v>11</v>
      </c>
      <c r="D3337" s="136">
        <f t="shared" si="152"/>
        <v>46</v>
      </c>
      <c r="E3337" s="136">
        <f t="shared" si="151"/>
        <v>11</v>
      </c>
      <c r="F3337" s="137" t="s">
        <v>24</v>
      </c>
      <c r="G3337" s="128" t="str">
        <f>VLOOKUP(source[[#This Row],[lending_product_transform]],[3]Mapping!$B$4:$C$37,2,0)</f>
        <v>[Cake] - Cashloan</v>
      </c>
      <c r="H3337" s="128" t="str">
        <f>VLOOKUP(source[[#This Row],[lending_product_transform]],[3]Mapping!$B$3:$D$37,3,0)</f>
        <v>cashloan</v>
      </c>
      <c r="I3337" s="143">
        <v>70550432</v>
      </c>
    </row>
    <row r="3338" spans="1:9" x14ac:dyDescent="0.2">
      <c r="A3338" s="134">
        <v>45607</v>
      </c>
      <c r="B3338" s="135">
        <f>YEAR(source[[#This Row],[report_date]])</f>
        <v>2024</v>
      </c>
      <c r="C3338" s="128">
        <f t="shared" si="150"/>
        <v>11</v>
      </c>
      <c r="D3338" s="136">
        <f t="shared" si="152"/>
        <v>46</v>
      </c>
      <c r="E3338" s="136">
        <f t="shared" si="151"/>
        <v>11</v>
      </c>
      <c r="F3338" s="137" t="s">
        <v>24</v>
      </c>
      <c r="G3338" s="128" t="str">
        <f>VLOOKUP(source[[#This Row],[lending_product_transform]],[3]Mapping!$B$4:$C$37,2,0)</f>
        <v>[Cake] - Cashloan</v>
      </c>
      <c r="H3338" s="128" t="str">
        <f>VLOOKUP(source[[#This Row],[lending_product_transform]],[3]Mapping!$B$3:$D$37,3,0)</f>
        <v>cashloan</v>
      </c>
      <c r="I3338" s="143">
        <v>7622310000</v>
      </c>
    </row>
    <row r="3339" spans="1:9" x14ac:dyDescent="0.2">
      <c r="A3339" s="134">
        <v>45607</v>
      </c>
      <c r="B3339" s="135">
        <f>YEAR(source[[#This Row],[report_date]])</f>
        <v>2024</v>
      </c>
      <c r="C3339" s="128">
        <f t="shared" si="150"/>
        <v>11</v>
      </c>
      <c r="D3339" s="136">
        <f t="shared" si="152"/>
        <v>46</v>
      </c>
      <c r="E3339" s="136">
        <f t="shared" si="151"/>
        <v>11</v>
      </c>
      <c r="F3339" s="137" t="s">
        <v>24</v>
      </c>
      <c r="G3339" s="128" t="str">
        <f>VLOOKUP(source[[#This Row],[lending_product_transform]],[3]Mapping!$B$4:$C$37,2,0)</f>
        <v>[Cake] - Cashloan</v>
      </c>
      <c r="H3339" s="128" t="str">
        <f>VLOOKUP(source[[#This Row],[lending_product_transform]],[3]Mapping!$B$3:$D$37,3,0)</f>
        <v>cashloan</v>
      </c>
      <c r="I3339" s="143">
        <v>18190000</v>
      </c>
    </row>
    <row r="3340" spans="1:9" x14ac:dyDescent="0.2">
      <c r="A3340" s="134">
        <v>45607</v>
      </c>
      <c r="B3340" s="135">
        <f>YEAR(source[[#This Row],[report_date]])</f>
        <v>2024</v>
      </c>
      <c r="C3340" s="128">
        <f t="shared" si="150"/>
        <v>11</v>
      </c>
      <c r="D3340" s="136">
        <f t="shared" si="152"/>
        <v>46</v>
      </c>
      <c r="E3340" s="136">
        <f t="shared" si="151"/>
        <v>11</v>
      </c>
      <c r="F3340" s="137" t="s">
        <v>24</v>
      </c>
      <c r="G3340" s="128" t="str">
        <f>VLOOKUP(source[[#This Row],[lending_product_transform]],[3]Mapping!$B$4:$C$37,2,0)</f>
        <v>[Cake] - Cashloan</v>
      </c>
      <c r="H3340" s="128" t="str">
        <f>VLOOKUP(source[[#This Row],[lending_product_transform]],[3]Mapping!$B$3:$D$37,3,0)</f>
        <v>cashloan</v>
      </c>
      <c r="I3340" s="143">
        <v>62000000</v>
      </c>
    </row>
    <row r="3341" spans="1:9" x14ac:dyDescent="0.2">
      <c r="A3341" s="134">
        <v>45607</v>
      </c>
      <c r="B3341" s="135">
        <f>YEAR(source[[#This Row],[report_date]])</f>
        <v>2024</v>
      </c>
      <c r="C3341" s="128">
        <f t="shared" si="150"/>
        <v>11</v>
      </c>
      <c r="D3341" s="136">
        <f t="shared" si="152"/>
        <v>46</v>
      </c>
      <c r="E3341" s="136">
        <f t="shared" si="151"/>
        <v>11</v>
      </c>
      <c r="F3341" s="137" t="s">
        <v>24</v>
      </c>
      <c r="G3341" s="128" t="str">
        <f>VLOOKUP(source[[#This Row],[lending_product_transform]],[3]Mapping!$B$4:$C$37,2,0)</f>
        <v>[Cake] - Cashloan</v>
      </c>
      <c r="H3341" s="128" t="str">
        <f>VLOOKUP(source[[#This Row],[lending_product_transform]],[3]Mapping!$B$3:$D$37,3,0)</f>
        <v>cashloan</v>
      </c>
      <c r="I3341" s="143">
        <v>376438672</v>
      </c>
    </row>
    <row r="3342" spans="1:9" x14ac:dyDescent="0.2">
      <c r="A3342" s="134">
        <v>45607</v>
      </c>
      <c r="B3342" s="135">
        <f>YEAR(source[[#This Row],[report_date]])</f>
        <v>2024</v>
      </c>
      <c r="C3342" s="128">
        <f t="shared" si="150"/>
        <v>11</v>
      </c>
      <c r="D3342" s="136">
        <f t="shared" si="152"/>
        <v>46</v>
      </c>
      <c r="E3342" s="136">
        <f t="shared" si="151"/>
        <v>11</v>
      </c>
      <c r="F3342" s="137" t="s">
        <v>24</v>
      </c>
      <c r="G3342" s="128" t="str">
        <f>VLOOKUP(source[[#This Row],[lending_product_transform]],[3]Mapping!$B$4:$C$37,2,0)</f>
        <v>[Cake] - Cashloan</v>
      </c>
      <c r="H3342" s="128" t="str">
        <f>VLOOKUP(source[[#This Row],[lending_product_transform]],[3]Mapping!$B$3:$D$37,3,0)</f>
        <v>cashloan</v>
      </c>
      <c r="I3342" s="143">
        <v>0</v>
      </c>
    </row>
    <row r="3343" spans="1:9" x14ac:dyDescent="0.2">
      <c r="A3343" s="134">
        <v>45607</v>
      </c>
      <c r="B3343" s="135">
        <f>YEAR(source[[#This Row],[report_date]])</f>
        <v>2024</v>
      </c>
      <c r="C3343" s="128">
        <f t="shared" si="150"/>
        <v>11</v>
      </c>
      <c r="D3343" s="136">
        <f t="shared" si="152"/>
        <v>46</v>
      </c>
      <c r="E3343" s="136">
        <f t="shared" si="151"/>
        <v>11</v>
      </c>
      <c r="F3343" s="137" t="s">
        <v>24</v>
      </c>
      <c r="G3343" s="128" t="str">
        <f>VLOOKUP(source[[#This Row],[lending_product_transform]],[3]Mapping!$B$4:$C$37,2,0)</f>
        <v>[Cake] - Cashloan</v>
      </c>
      <c r="H3343" s="128" t="str">
        <f>VLOOKUP(source[[#This Row],[lending_product_transform]],[3]Mapping!$B$3:$D$37,3,0)</f>
        <v>cashloan</v>
      </c>
      <c r="I3343" s="143">
        <v>20500000</v>
      </c>
    </row>
    <row r="3344" spans="1:9" x14ac:dyDescent="0.2">
      <c r="A3344" s="134">
        <v>45607</v>
      </c>
      <c r="B3344" s="135">
        <f>YEAR(source[[#This Row],[report_date]])</f>
        <v>2024</v>
      </c>
      <c r="C3344" s="128">
        <f t="shared" si="150"/>
        <v>11</v>
      </c>
      <c r="D3344" s="136">
        <f t="shared" si="152"/>
        <v>46</v>
      </c>
      <c r="E3344" s="136">
        <f t="shared" si="151"/>
        <v>11</v>
      </c>
      <c r="F3344" s="137" t="s">
        <v>24</v>
      </c>
      <c r="G3344" s="128" t="str">
        <f>VLOOKUP(source[[#This Row],[lending_product_transform]],[3]Mapping!$B$4:$C$37,2,0)</f>
        <v>[Cake] - Cashloan</v>
      </c>
      <c r="H3344" s="128" t="str">
        <f>VLOOKUP(source[[#This Row],[lending_product_transform]],[3]Mapping!$B$3:$D$37,3,0)</f>
        <v>cashloan</v>
      </c>
      <c r="I3344" s="143">
        <v>18420000</v>
      </c>
    </row>
    <row r="3345" spans="1:9" x14ac:dyDescent="0.2">
      <c r="A3345" s="134">
        <v>45607</v>
      </c>
      <c r="B3345" s="135">
        <f>YEAR(source[[#This Row],[report_date]])</f>
        <v>2024</v>
      </c>
      <c r="C3345" s="128">
        <f t="shared" si="150"/>
        <v>11</v>
      </c>
      <c r="D3345" s="136">
        <f t="shared" si="152"/>
        <v>46</v>
      </c>
      <c r="E3345" s="136">
        <f t="shared" si="151"/>
        <v>11</v>
      </c>
      <c r="F3345" s="137" t="s">
        <v>24</v>
      </c>
      <c r="G3345" s="128" t="str">
        <f>VLOOKUP(source[[#This Row],[lending_product_transform]],[3]Mapping!$B$4:$C$37,2,0)</f>
        <v>[Cake] - Cashloan</v>
      </c>
      <c r="H3345" s="128" t="str">
        <f>VLOOKUP(source[[#This Row],[lending_product_transform]],[3]Mapping!$B$3:$D$37,3,0)</f>
        <v>cashloan</v>
      </c>
      <c r="I3345" s="143">
        <v>4831000000</v>
      </c>
    </row>
    <row r="3346" spans="1:9" x14ac:dyDescent="0.2">
      <c r="A3346" s="134">
        <v>45608</v>
      </c>
      <c r="B3346" s="135">
        <f>YEAR(source[[#This Row],[report_date]])</f>
        <v>2024</v>
      </c>
      <c r="C3346" s="128">
        <f t="shared" si="150"/>
        <v>11</v>
      </c>
      <c r="D3346" s="136">
        <f t="shared" si="152"/>
        <v>46</v>
      </c>
      <c r="E3346" s="136">
        <f t="shared" si="151"/>
        <v>12</v>
      </c>
      <c r="F3346" s="137" t="s">
        <v>24</v>
      </c>
      <c r="G3346" s="128" t="str">
        <f>VLOOKUP(source[[#This Row],[lending_product_transform]],[3]Mapping!$B$4:$C$37,2,0)</f>
        <v>[Cake] - Cashloan</v>
      </c>
      <c r="H3346" s="128" t="str">
        <f>VLOOKUP(source[[#This Row],[lending_product_transform]],[3]Mapping!$B$3:$D$37,3,0)</f>
        <v>cashloan</v>
      </c>
      <c r="I3346" s="143">
        <v>390738034</v>
      </c>
    </row>
    <row r="3347" spans="1:9" x14ac:dyDescent="0.2">
      <c r="A3347" s="134">
        <v>45608</v>
      </c>
      <c r="B3347" s="135">
        <f>YEAR(source[[#This Row],[report_date]])</f>
        <v>2024</v>
      </c>
      <c r="C3347" s="128">
        <f t="shared" si="150"/>
        <v>11</v>
      </c>
      <c r="D3347" s="136">
        <f t="shared" si="152"/>
        <v>46</v>
      </c>
      <c r="E3347" s="136">
        <f t="shared" si="151"/>
        <v>12</v>
      </c>
      <c r="F3347" s="137" t="s">
        <v>24</v>
      </c>
      <c r="G3347" s="128" t="str">
        <f>VLOOKUP(source[[#This Row],[lending_product_transform]],[3]Mapping!$B$4:$C$37,2,0)</f>
        <v>[Cake] - Cashloan</v>
      </c>
      <c r="H3347" s="128" t="str">
        <f>VLOOKUP(source[[#This Row],[lending_product_transform]],[3]Mapping!$B$3:$D$37,3,0)</f>
        <v>cashloan</v>
      </c>
      <c r="I3347" s="143">
        <v>120160000</v>
      </c>
    </row>
    <row r="3348" spans="1:9" x14ac:dyDescent="0.2">
      <c r="A3348" s="134">
        <v>45608</v>
      </c>
      <c r="B3348" s="135">
        <f>YEAR(source[[#This Row],[report_date]])</f>
        <v>2024</v>
      </c>
      <c r="C3348" s="128">
        <f t="shared" si="150"/>
        <v>11</v>
      </c>
      <c r="D3348" s="136">
        <f t="shared" si="152"/>
        <v>46</v>
      </c>
      <c r="E3348" s="136">
        <f t="shared" si="151"/>
        <v>12</v>
      </c>
      <c r="F3348" s="137" t="s">
        <v>24</v>
      </c>
      <c r="G3348" s="128" t="str">
        <f>VLOOKUP(source[[#This Row],[lending_product_transform]],[3]Mapping!$B$4:$C$37,2,0)</f>
        <v>[Cake] - Cashloan</v>
      </c>
      <c r="H3348" s="128" t="str">
        <f>VLOOKUP(source[[#This Row],[lending_product_transform]],[3]Mapping!$B$3:$D$37,3,0)</f>
        <v>cashloan</v>
      </c>
      <c r="I3348" s="143">
        <v>0</v>
      </c>
    </row>
    <row r="3349" spans="1:9" x14ac:dyDescent="0.2">
      <c r="A3349" s="134">
        <v>45608</v>
      </c>
      <c r="B3349" s="135">
        <f>YEAR(source[[#This Row],[report_date]])</f>
        <v>2024</v>
      </c>
      <c r="C3349" s="128">
        <f t="shared" si="150"/>
        <v>11</v>
      </c>
      <c r="D3349" s="136">
        <f t="shared" si="152"/>
        <v>46</v>
      </c>
      <c r="E3349" s="136">
        <f t="shared" si="151"/>
        <v>12</v>
      </c>
      <c r="F3349" s="137" t="s">
        <v>24</v>
      </c>
      <c r="G3349" s="128" t="str">
        <f>VLOOKUP(source[[#This Row],[lending_product_transform]],[3]Mapping!$B$4:$C$37,2,0)</f>
        <v>[Cake] - Cashloan</v>
      </c>
      <c r="H3349" s="128" t="str">
        <f>VLOOKUP(source[[#This Row],[lending_product_transform]],[3]Mapping!$B$3:$D$37,3,0)</f>
        <v>cashloan</v>
      </c>
      <c r="I3349" s="143">
        <v>4815230000</v>
      </c>
    </row>
    <row r="3350" spans="1:9" x14ac:dyDescent="0.2">
      <c r="A3350" s="134">
        <v>45608</v>
      </c>
      <c r="B3350" s="135">
        <f>YEAR(source[[#This Row],[report_date]])</f>
        <v>2024</v>
      </c>
      <c r="C3350" s="128">
        <f t="shared" si="150"/>
        <v>11</v>
      </c>
      <c r="D3350" s="136">
        <f t="shared" si="152"/>
        <v>46</v>
      </c>
      <c r="E3350" s="136">
        <f t="shared" si="151"/>
        <v>12</v>
      </c>
      <c r="F3350" s="137" t="s">
        <v>24</v>
      </c>
      <c r="G3350" s="128" t="str">
        <f>VLOOKUP(source[[#This Row],[lending_product_transform]],[3]Mapping!$B$4:$C$37,2,0)</f>
        <v>[Cake] - Cashloan</v>
      </c>
      <c r="H3350" s="128" t="str">
        <f>VLOOKUP(source[[#This Row],[lending_product_transform]],[3]Mapping!$B$3:$D$37,3,0)</f>
        <v>cashloan</v>
      </c>
      <c r="I3350" s="143">
        <v>0</v>
      </c>
    </row>
    <row r="3351" spans="1:9" x14ac:dyDescent="0.2">
      <c r="A3351" s="134">
        <v>45608</v>
      </c>
      <c r="B3351" s="135">
        <f>YEAR(source[[#This Row],[report_date]])</f>
        <v>2024</v>
      </c>
      <c r="C3351" s="128">
        <f t="shared" si="150"/>
        <v>11</v>
      </c>
      <c r="D3351" s="136">
        <f t="shared" si="152"/>
        <v>46</v>
      </c>
      <c r="E3351" s="136">
        <f t="shared" si="151"/>
        <v>12</v>
      </c>
      <c r="F3351" s="137" t="s">
        <v>24</v>
      </c>
      <c r="G3351" s="128" t="str">
        <f>VLOOKUP(source[[#This Row],[lending_product_transform]],[3]Mapping!$B$4:$C$37,2,0)</f>
        <v>[Cake] - Cashloan</v>
      </c>
      <c r="H3351" s="128" t="str">
        <f>VLOOKUP(source[[#This Row],[lending_product_transform]],[3]Mapping!$B$3:$D$37,3,0)</f>
        <v>cashloan</v>
      </c>
      <c r="I3351" s="143">
        <v>65779283</v>
      </c>
    </row>
    <row r="3352" spans="1:9" x14ac:dyDescent="0.2">
      <c r="A3352" s="134">
        <v>45608</v>
      </c>
      <c r="B3352" s="135">
        <f>YEAR(source[[#This Row],[report_date]])</f>
        <v>2024</v>
      </c>
      <c r="C3352" s="128">
        <f t="shared" si="150"/>
        <v>11</v>
      </c>
      <c r="D3352" s="136">
        <f t="shared" si="152"/>
        <v>46</v>
      </c>
      <c r="E3352" s="136">
        <f t="shared" si="151"/>
        <v>12</v>
      </c>
      <c r="F3352" s="137" t="s">
        <v>24</v>
      </c>
      <c r="G3352" s="128" t="str">
        <f>VLOOKUP(source[[#This Row],[lending_product_transform]],[3]Mapping!$B$4:$C$37,2,0)</f>
        <v>[Cake] - Cashloan</v>
      </c>
      <c r="H3352" s="128" t="str">
        <f>VLOOKUP(source[[#This Row],[lending_product_transform]],[3]Mapping!$B$3:$D$37,3,0)</f>
        <v>cashloan</v>
      </c>
      <c r="I3352" s="143">
        <v>4194500000</v>
      </c>
    </row>
    <row r="3353" spans="1:9" x14ac:dyDescent="0.2">
      <c r="A3353" s="134">
        <v>45608</v>
      </c>
      <c r="B3353" s="135">
        <f>YEAR(source[[#This Row],[report_date]])</f>
        <v>2024</v>
      </c>
      <c r="C3353" s="128">
        <f t="shared" si="150"/>
        <v>11</v>
      </c>
      <c r="D3353" s="136">
        <f t="shared" si="152"/>
        <v>46</v>
      </c>
      <c r="E3353" s="136">
        <f t="shared" si="151"/>
        <v>12</v>
      </c>
      <c r="F3353" s="137" t="s">
        <v>24</v>
      </c>
      <c r="G3353" s="128" t="str">
        <f>VLOOKUP(source[[#This Row],[lending_product_transform]],[3]Mapping!$B$4:$C$37,2,0)</f>
        <v>[Cake] - Cashloan</v>
      </c>
      <c r="H3353" s="128" t="str">
        <f>VLOOKUP(source[[#This Row],[lending_product_transform]],[3]Mapping!$B$3:$D$37,3,0)</f>
        <v>cashloan</v>
      </c>
      <c r="I3353" s="143">
        <v>7474590000</v>
      </c>
    </row>
    <row r="3354" spans="1:9" x14ac:dyDescent="0.2">
      <c r="A3354" s="134">
        <v>45608</v>
      </c>
      <c r="B3354" s="135">
        <f>YEAR(source[[#This Row],[report_date]])</f>
        <v>2024</v>
      </c>
      <c r="C3354" s="128">
        <f t="shared" si="150"/>
        <v>11</v>
      </c>
      <c r="D3354" s="136">
        <f t="shared" si="152"/>
        <v>46</v>
      </c>
      <c r="E3354" s="136">
        <f t="shared" si="151"/>
        <v>12</v>
      </c>
      <c r="F3354" s="137" t="s">
        <v>24</v>
      </c>
      <c r="G3354" s="128" t="str">
        <f>VLOOKUP(source[[#This Row],[lending_product_transform]],[3]Mapping!$B$4:$C$37,2,0)</f>
        <v>[Cake] - Cashloan</v>
      </c>
      <c r="H3354" s="128" t="str">
        <f>VLOOKUP(source[[#This Row],[lending_product_transform]],[3]Mapping!$B$3:$D$37,3,0)</f>
        <v>cashloan</v>
      </c>
      <c r="I3354" s="143">
        <v>0</v>
      </c>
    </row>
    <row r="3355" spans="1:9" x14ac:dyDescent="0.2">
      <c r="A3355" s="134">
        <v>45608</v>
      </c>
      <c r="B3355" s="135">
        <f>YEAR(source[[#This Row],[report_date]])</f>
        <v>2024</v>
      </c>
      <c r="C3355" s="128">
        <f t="shared" si="150"/>
        <v>11</v>
      </c>
      <c r="D3355" s="136">
        <f t="shared" si="152"/>
        <v>46</v>
      </c>
      <c r="E3355" s="136">
        <f t="shared" si="151"/>
        <v>12</v>
      </c>
      <c r="F3355" s="137" t="s">
        <v>24</v>
      </c>
      <c r="G3355" s="128" t="str">
        <f>VLOOKUP(source[[#This Row],[lending_product_transform]],[3]Mapping!$B$4:$C$37,2,0)</f>
        <v>[Cake] - Cashloan</v>
      </c>
      <c r="H3355" s="128" t="str">
        <f>VLOOKUP(source[[#This Row],[lending_product_transform]],[3]Mapping!$B$3:$D$37,3,0)</f>
        <v>cashloan</v>
      </c>
      <c r="I3355" s="143">
        <v>0</v>
      </c>
    </row>
    <row r="3356" spans="1:9" x14ac:dyDescent="0.2">
      <c r="A3356" s="134">
        <v>45608</v>
      </c>
      <c r="B3356" s="135">
        <f>YEAR(source[[#This Row],[report_date]])</f>
        <v>2024</v>
      </c>
      <c r="C3356" s="128">
        <f t="shared" si="150"/>
        <v>11</v>
      </c>
      <c r="D3356" s="136">
        <f t="shared" si="152"/>
        <v>46</v>
      </c>
      <c r="E3356" s="136">
        <f t="shared" si="151"/>
        <v>12</v>
      </c>
      <c r="F3356" s="137" t="s">
        <v>24</v>
      </c>
      <c r="G3356" s="128" t="str">
        <f>VLOOKUP(source[[#This Row],[lending_product_transform]],[3]Mapping!$B$4:$C$37,2,0)</f>
        <v>[Cake] - Cashloan</v>
      </c>
      <c r="H3356" s="128" t="str">
        <f>VLOOKUP(source[[#This Row],[lending_product_transform]],[3]Mapping!$B$3:$D$37,3,0)</f>
        <v>cashloan</v>
      </c>
      <c r="I3356" s="143">
        <v>0</v>
      </c>
    </row>
    <row r="3357" spans="1:9" x14ac:dyDescent="0.2">
      <c r="A3357" s="134">
        <v>45608</v>
      </c>
      <c r="B3357" s="135">
        <f>YEAR(source[[#This Row],[report_date]])</f>
        <v>2024</v>
      </c>
      <c r="C3357" s="128">
        <f t="shared" si="150"/>
        <v>11</v>
      </c>
      <c r="D3357" s="136">
        <f t="shared" si="152"/>
        <v>46</v>
      </c>
      <c r="E3357" s="136">
        <f t="shared" si="151"/>
        <v>12</v>
      </c>
      <c r="F3357" s="137" t="s">
        <v>24</v>
      </c>
      <c r="G3357" s="128" t="str">
        <f>VLOOKUP(source[[#This Row],[lending_product_transform]],[3]Mapping!$B$4:$C$37,2,0)</f>
        <v>[Cake] - Cashloan</v>
      </c>
      <c r="H3357" s="128" t="str">
        <f>VLOOKUP(source[[#This Row],[lending_product_transform]],[3]Mapping!$B$3:$D$37,3,0)</f>
        <v>cashloan</v>
      </c>
      <c r="I3357" s="143">
        <v>392580000</v>
      </c>
    </row>
    <row r="3358" spans="1:9" x14ac:dyDescent="0.2">
      <c r="A3358" s="134">
        <v>45608</v>
      </c>
      <c r="B3358" s="135">
        <f>YEAR(source[[#This Row],[report_date]])</f>
        <v>2024</v>
      </c>
      <c r="C3358" s="128">
        <f t="shared" si="150"/>
        <v>11</v>
      </c>
      <c r="D3358" s="136">
        <f t="shared" si="152"/>
        <v>46</v>
      </c>
      <c r="E3358" s="136">
        <f t="shared" si="151"/>
        <v>12</v>
      </c>
      <c r="F3358" s="137" t="s">
        <v>24</v>
      </c>
      <c r="G3358" s="128" t="str">
        <f>VLOOKUP(source[[#This Row],[lending_product_transform]],[3]Mapping!$B$4:$C$37,2,0)</f>
        <v>[Cake] - Cashloan</v>
      </c>
      <c r="H3358" s="128" t="str">
        <f>VLOOKUP(source[[#This Row],[lending_product_transform]],[3]Mapping!$B$3:$D$37,3,0)</f>
        <v>cashloan</v>
      </c>
      <c r="I3358" s="143">
        <v>3274783840</v>
      </c>
    </row>
    <row r="3359" spans="1:9" x14ac:dyDescent="0.2">
      <c r="A3359" s="134">
        <v>45608</v>
      </c>
      <c r="B3359" s="135">
        <f>YEAR(source[[#This Row],[report_date]])</f>
        <v>2024</v>
      </c>
      <c r="C3359" s="128">
        <f t="shared" si="150"/>
        <v>11</v>
      </c>
      <c r="D3359" s="136">
        <f t="shared" si="152"/>
        <v>46</v>
      </c>
      <c r="E3359" s="136">
        <f t="shared" si="151"/>
        <v>12</v>
      </c>
      <c r="F3359" s="137" t="s">
        <v>24</v>
      </c>
      <c r="G3359" s="128" t="str">
        <f>VLOOKUP(source[[#This Row],[lending_product_transform]],[3]Mapping!$B$4:$C$37,2,0)</f>
        <v>[Cake] - Cashloan</v>
      </c>
      <c r="H3359" s="128" t="str">
        <f>VLOOKUP(source[[#This Row],[lending_product_transform]],[3]Mapping!$B$3:$D$37,3,0)</f>
        <v>cashloan</v>
      </c>
      <c r="I3359" s="143">
        <v>75000000</v>
      </c>
    </row>
    <row r="3360" spans="1:9" x14ac:dyDescent="0.2">
      <c r="A3360" s="134">
        <v>45608</v>
      </c>
      <c r="B3360" s="135">
        <f>YEAR(source[[#This Row],[report_date]])</f>
        <v>2024</v>
      </c>
      <c r="C3360" s="128">
        <f t="shared" si="150"/>
        <v>11</v>
      </c>
      <c r="D3360" s="136">
        <f t="shared" si="152"/>
        <v>46</v>
      </c>
      <c r="E3360" s="136">
        <f t="shared" si="151"/>
        <v>12</v>
      </c>
      <c r="F3360" s="137" t="s">
        <v>24</v>
      </c>
      <c r="G3360" s="128" t="str">
        <f>VLOOKUP(source[[#This Row],[lending_product_transform]],[3]Mapping!$B$4:$C$37,2,0)</f>
        <v>[Cake] - Cashloan</v>
      </c>
      <c r="H3360" s="128" t="str">
        <f>VLOOKUP(source[[#This Row],[lending_product_transform]],[3]Mapping!$B$3:$D$37,3,0)</f>
        <v>cashloan</v>
      </c>
      <c r="I3360" s="143">
        <v>112850000</v>
      </c>
    </row>
    <row r="3361" spans="1:9" x14ac:dyDescent="0.2">
      <c r="A3361" s="134">
        <v>45608</v>
      </c>
      <c r="B3361" s="135">
        <f>YEAR(source[[#This Row],[report_date]])</f>
        <v>2024</v>
      </c>
      <c r="C3361" s="128">
        <f t="shared" si="150"/>
        <v>11</v>
      </c>
      <c r="D3361" s="136">
        <f t="shared" si="152"/>
        <v>46</v>
      </c>
      <c r="E3361" s="136">
        <f t="shared" si="151"/>
        <v>12</v>
      </c>
      <c r="F3361" s="137" t="s">
        <v>24</v>
      </c>
      <c r="G3361" s="128" t="str">
        <f>VLOOKUP(source[[#This Row],[lending_product_transform]],[3]Mapping!$B$4:$C$37,2,0)</f>
        <v>[Cake] - Cashloan</v>
      </c>
      <c r="H3361" s="128" t="str">
        <f>VLOOKUP(source[[#This Row],[lending_product_transform]],[3]Mapping!$B$3:$D$37,3,0)</f>
        <v>cashloan</v>
      </c>
      <c r="I3361" s="143">
        <v>126650000</v>
      </c>
    </row>
    <row r="3362" spans="1:9" x14ac:dyDescent="0.2">
      <c r="A3362" s="134">
        <v>45609</v>
      </c>
      <c r="B3362" s="135">
        <f>YEAR(source[[#This Row],[report_date]])</f>
        <v>2024</v>
      </c>
      <c r="C3362" s="128">
        <f t="shared" si="150"/>
        <v>11</v>
      </c>
      <c r="D3362" s="136">
        <f t="shared" si="152"/>
        <v>46</v>
      </c>
      <c r="E3362" s="136">
        <f t="shared" si="151"/>
        <v>13</v>
      </c>
      <c r="F3362" s="137" t="s">
        <v>24</v>
      </c>
      <c r="G3362" s="128" t="str">
        <f>VLOOKUP(source[[#This Row],[lending_product_transform]],[3]Mapping!$B$4:$C$37,2,0)</f>
        <v>[Cake] - Cashloan</v>
      </c>
      <c r="H3362" s="128" t="str">
        <f>VLOOKUP(source[[#This Row],[lending_product_transform]],[3]Mapping!$B$3:$D$37,3,0)</f>
        <v>cashloan</v>
      </c>
      <c r="I3362" s="143">
        <v>0</v>
      </c>
    </row>
    <row r="3363" spans="1:9" x14ac:dyDescent="0.2">
      <c r="A3363" s="134">
        <v>45609</v>
      </c>
      <c r="B3363" s="135">
        <f>YEAR(source[[#This Row],[report_date]])</f>
        <v>2024</v>
      </c>
      <c r="C3363" s="128">
        <f t="shared" si="150"/>
        <v>11</v>
      </c>
      <c r="D3363" s="136">
        <f t="shared" si="152"/>
        <v>46</v>
      </c>
      <c r="E3363" s="136">
        <f t="shared" si="151"/>
        <v>13</v>
      </c>
      <c r="F3363" s="137" t="s">
        <v>24</v>
      </c>
      <c r="G3363" s="128" t="str">
        <f>VLOOKUP(source[[#This Row],[lending_product_transform]],[3]Mapping!$B$4:$C$37,2,0)</f>
        <v>[Cake] - Cashloan</v>
      </c>
      <c r="H3363" s="128" t="str">
        <f>VLOOKUP(source[[#This Row],[lending_product_transform]],[3]Mapping!$B$3:$D$37,3,0)</f>
        <v>cashloan</v>
      </c>
      <c r="I3363" s="143">
        <v>3562501805</v>
      </c>
    </row>
    <row r="3364" spans="1:9" x14ac:dyDescent="0.2">
      <c r="A3364" s="134">
        <v>45609</v>
      </c>
      <c r="B3364" s="135">
        <f>YEAR(source[[#This Row],[report_date]])</f>
        <v>2024</v>
      </c>
      <c r="C3364" s="128">
        <f t="shared" si="150"/>
        <v>11</v>
      </c>
      <c r="D3364" s="136">
        <f t="shared" si="152"/>
        <v>46</v>
      </c>
      <c r="E3364" s="136">
        <f t="shared" si="151"/>
        <v>13</v>
      </c>
      <c r="F3364" s="137" t="s">
        <v>24</v>
      </c>
      <c r="G3364" s="128" t="str">
        <f>VLOOKUP(source[[#This Row],[lending_product_transform]],[3]Mapping!$B$4:$C$37,2,0)</f>
        <v>[Cake] - Cashloan</v>
      </c>
      <c r="H3364" s="128" t="str">
        <f>VLOOKUP(source[[#This Row],[lending_product_transform]],[3]Mapping!$B$3:$D$37,3,0)</f>
        <v>cashloan</v>
      </c>
      <c r="I3364" s="143">
        <v>379108119</v>
      </c>
    </row>
    <row r="3365" spans="1:9" x14ac:dyDescent="0.2">
      <c r="A3365" s="134">
        <v>45609</v>
      </c>
      <c r="B3365" s="135">
        <f>YEAR(source[[#This Row],[report_date]])</f>
        <v>2024</v>
      </c>
      <c r="C3365" s="128">
        <f t="shared" si="150"/>
        <v>11</v>
      </c>
      <c r="D3365" s="136">
        <f t="shared" si="152"/>
        <v>46</v>
      </c>
      <c r="E3365" s="136">
        <f t="shared" si="151"/>
        <v>13</v>
      </c>
      <c r="F3365" s="137" t="s">
        <v>24</v>
      </c>
      <c r="G3365" s="128" t="str">
        <f>VLOOKUP(source[[#This Row],[lending_product_transform]],[3]Mapping!$B$4:$C$37,2,0)</f>
        <v>[Cake] - Cashloan</v>
      </c>
      <c r="H3365" s="128" t="str">
        <f>VLOOKUP(source[[#This Row],[lending_product_transform]],[3]Mapping!$B$3:$D$37,3,0)</f>
        <v>cashloan</v>
      </c>
      <c r="I3365" s="143">
        <v>0</v>
      </c>
    </row>
    <row r="3366" spans="1:9" x14ac:dyDescent="0.2">
      <c r="A3366" s="134">
        <v>45609</v>
      </c>
      <c r="B3366" s="135">
        <f>YEAR(source[[#This Row],[report_date]])</f>
        <v>2024</v>
      </c>
      <c r="C3366" s="128">
        <f t="shared" si="150"/>
        <v>11</v>
      </c>
      <c r="D3366" s="136">
        <f t="shared" si="152"/>
        <v>46</v>
      </c>
      <c r="E3366" s="136">
        <f t="shared" si="151"/>
        <v>13</v>
      </c>
      <c r="F3366" s="137" t="s">
        <v>24</v>
      </c>
      <c r="G3366" s="128" t="str">
        <f>VLOOKUP(source[[#This Row],[lending_product_transform]],[3]Mapping!$B$4:$C$37,2,0)</f>
        <v>[Cake] - Cashloan</v>
      </c>
      <c r="H3366" s="128" t="str">
        <f>VLOOKUP(source[[#This Row],[lending_product_transform]],[3]Mapping!$B$3:$D$37,3,0)</f>
        <v>cashloan</v>
      </c>
      <c r="I3366" s="143">
        <v>0</v>
      </c>
    </row>
    <row r="3367" spans="1:9" x14ac:dyDescent="0.2">
      <c r="A3367" s="134">
        <v>45609</v>
      </c>
      <c r="B3367" s="135">
        <f>YEAR(source[[#This Row],[report_date]])</f>
        <v>2024</v>
      </c>
      <c r="C3367" s="128">
        <f t="shared" si="150"/>
        <v>11</v>
      </c>
      <c r="D3367" s="136">
        <f t="shared" si="152"/>
        <v>46</v>
      </c>
      <c r="E3367" s="136">
        <f t="shared" si="151"/>
        <v>13</v>
      </c>
      <c r="F3367" s="137" t="s">
        <v>24</v>
      </c>
      <c r="G3367" s="128" t="str">
        <f>VLOOKUP(source[[#This Row],[lending_product_transform]],[3]Mapping!$B$4:$C$37,2,0)</f>
        <v>[Cake] - Cashloan</v>
      </c>
      <c r="H3367" s="128" t="str">
        <f>VLOOKUP(source[[#This Row],[lending_product_transform]],[3]Mapping!$B$3:$D$37,3,0)</f>
        <v>cashloan</v>
      </c>
      <c r="I3367" s="143">
        <v>0</v>
      </c>
    </row>
    <row r="3368" spans="1:9" x14ac:dyDescent="0.2">
      <c r="A3368" s="134">
        <v>45609</v>
      </c>
      <c r="B3368" s="135">
        <f>YEAR(source[[#This Row],[report_date]])</f>
        <v>2024</v>
      </c>
      <c r="C3368" s="128">
        <f t="shared" si="150"/>
        <v>11</v>
      </c>
      <c r="D3368" s="136">
        <f t="shared" si="152"/>
        <v>46</v>
      </c>
      <c r="E3368" s="136">
        <f t="shared" si="151"/>
        <v>13</v>
      </c>
      <c r="F3368" s="137" t="s">
        <v>24</v>
      </c>
      <c r="G3368" s="128" t="str">
        <f>VLOOKUP(source[[#This Row],[lending_product_transform]],[3]Mapping!$B$4:$C$37,2,0)</f>
        <v>[Cake] - Cashloan</v>
      </c>
      <c r="H3368" s="128" t="str">
        <f>VLOOKUP(source[[#This Row],[lending_product_transform]],[3]Mapping!$B$3:$D$37,3,0)</f>
        <v>cashloan</v>
      </c>
      <c r="I3368" s="143">
        <v>46500000</v>
      </c>
    </row>
    <row r="3369" spans="1:9" x14ac:dyDescent="0.2">
      <c r="A3369" s="134">
        <v>45609</v>
      </c>
      <c r="B3369" s="135">
        <f>YEAR(source[[#This Row],[report_date]])</f>
        <v>2024</v>
      </c>
      <c r="C3369" s="128">
        <f t="shared" si="150"/>
        <v>11</v>
      </c>
      <c r="D3369" s="136">
        <f t="shared" si="152"/>
        <v>46</v>
      </c>
      <c r="E3369" s="136">
        <f t="shared" si="151"/>
        <v>13</v>
      </c>
      <c r="F3369" s="137" t="s">
        <v>24</v>
      </c>
      <c r="G3369" s="128" t="str">
        <f>VLOOKUP(source[[#This Row],[lending_product_transform]],[3]Mapping!$B$4:$C$37,2,0)</f>
        <v>[Cake] - Cashloan</v>
      </c>
      <c r="H3369" s="128" t="str">
        <f>VLOOKUP(source[[#This Row],[lending_product_transform]],[3]Mapping!$B$3:$D$37,3,0)</f>
        <v>cashloan</v>
      </c>
      <c r="I3369" s="143">
        <v>60081328</v>
      </c>
    </row>
    <row r="3370" spans="1:9" x14ac:dyDescent="0.2">
      <c r="A3370" s="134">
        <v>45609</v>
      </c>
      <c r="B3370" s="135">
        <f>YEAR(source[[#This Row],[report_date]])</f>
        <v>2024</v>
      </c>
      <c r="C3370" s="128">
        <f t="shared" si="150"/>
        <v>11</v>
      </c>
      <c r="D3370" s="136">
        <f t="shared" si="152"/>
        <v>46</v>
      </c>
      <c r="E3370" s="136">
        <f t="shared" si="151"/>
        <v>13</v>
      </c>
      <c r="F3370" s="137" t="s">
        <v>24</v>
      </c>
      <c r="G3370" s="128" t="str">
        <f>VLOOKUP(source[[#This Row],[lending_product_transform]],[3]Mapping!$B$4:$C$37,2,0)</f>
        <v>[Cake] - Cashloan</v>
      </c>
      <c r="H3370" s="128" t="str">
        <f>VLOOKUP(source[[#This Row],[lending_product_transform]],[3]Mapping!$B$3:$D$37,3,0)</f>
        <v>cashloan</v>
      </c>
      <c r="I3370" s="143">
        <v>4064000000</v>
      </c>
    </row>
    <row r="3371" spans="1:9" x14ac:dyDescent="0.2">
      <c r="A3371" s="134">
        <v>45609</v>
      </c>
      <c r="B3371" s="135">
        <f>YEAR(source[[#This Row],[report_date]])</f>
        <v>2024</v>
      </c>
      <c r="C3371" s="128">
        <f t="shared" si="150"/>
        <v>11</v>
      </c>
      <c r="D3371" s="136">
        <f t="shared" si="152"/>
        <v>46</v>
      </c>
      <c r="E3371" s="136">
        <f t="shared" si="151"/>
        <v>13</v>
      </c>
      <c r="F3371" s="137" t="s">
        <v>24</v>
      </c>
      <c r="G3371" s="128" t="str">
        <f>VLOOKUP(source[[#This Row],[lending_product_transform]],[3]Mapping!$B$4:$C$37,2,0)</f>
        <v>[Cake] - Cashloan</v>
      </c>
      <c r="H3371" s="128" t="str">
        <f>VLOOKUP(source[[#This Row],[lending_product_transform]],[3]Mapping!$B$3:$D$37,3,0)</f>
        <v>cashloan</v>
      </c>
      <c r="I3371" s="143">
        <v>7080540000</v>
      </c>
    </row>
    <row r="3372" spans="1:9" x14ac:dyDescent="0.2">
      <c r="A3372" s="134">
        <v>45609</v>
      </c>
      <c r="B3372" s="135">
        <f>YEAR(source[[#This Row],[report_date]])</f>
        <v>2024</v>
      </c>
      <c r="C3372" s="128">
        <f t="shared" si="150"/>
        <v>11</v>
      </c>
      <c r="D3372" s="136">
        <f t="shared" si="152"/>
        <v>46</v>
      </c>
      <c r="E3372" s="136">
        <f t="shared" si="151"/>
        <v>13</v>
      </c>
      <c r="F3372" s="137" t="s">
        <v>24</v>
      </c>
      <c r="G3372" s="128" t="str">
        <f>VLOOKUP(source[[#This Row],[lending_product_transform]],[3]Mapping!$B$4:$C$37,2,0)</f>
        <v>[Cake] - Cashloan</v>
      </c>
      <c r="H3372" s="128" t="str">
        <f>VLOOKUP(source[[#This Row],[lending_product_transform]],[3]Mapping!$B$3:$D$37,3,0)</f>
        <v>cashloan</v>
      </c>
      <c r="I3372" s="143">
        <v>4690690000</v>
      </c>
    </row>
    <row r="3373" spans="1:9" x14ac:dyDescent="0.2">
      <c r="A3373" s="134">
        <v>45609</v>
      </c>
      <c r="B3373" s="135">
        <f>YEAR(source[[#This Row],[report_date]])</f>
        <v>2024</v>
      </c>
      <c r="C3373" s="128">
        <f t="shared" si="150"/>
        <v>11</v>
      </c>
      <c r="D3373" s="136">
        <f t="shared" si="152"/>
        <v>46</v>
      </c>
      <c r="E3373" s="136">
        <f t="shared" si="151"/>
        <v>13</v>
      </c>
      <c r="F3373" s="137" t="s">
        <v>24</v>
      </c>
      <c r="G3373" s="128" t="str">
        <f>VLOOKUP(source[[#This Row],[lending_product_transform]],[3]Mapping!$B$4:$C$37,2,0)</f>
        <v>[Cake] - Cashloan</v>
      </c>
      <c r="H3373" s="128" t="str">
        <f>VLOOKUP(source[[#This Row],[lending_product_transform]],[3]Mapping!$B$3:$D$37,3,0)</f>
        <v>cashloan</v>
      </c>
      <c r="I3373" s="143">
        <v>0</v>
      </c>
    </row>
    <row r="3374" spans="1:9" x14ac:dyDescent="0.2">
      <c r="A3374" s="134">
        <v>45609</v>
      </c>
      <c r="B3374" s="135">
        <f>YEAR(source[[#This Row],[report_date]])</f>
        <v>2024</v>
      </c>
      <c r="C3374" s="128">
        <f t="shared" si="150"/>
        <v>11</v>
      </c>
      <c r="D3374" s="136">
        <f t="shared" si="152"/>
        <v>46</v>
      </c>
      <c r="E3374" s="136">
        <f t="shared" si="151"/>
        <v>13</v>
      </c>
      <c r="F3374" s="137" t="s">
        <v>24</v>
      </c>
      <c r="G3374" s="128" t="str">
        <f>VLOOKUP(source[[#This Row],[lending_product_transform]],[3]Mapping!$B$4:$C$37,2,0)</f>
        <v>[Cake] - Cashloan</v>
      </c>
      <c r="H3374" s="128" t="str">
        <f>VLOOKUP(source[[#This Row],[lending_product_transform]],[3]Mapping!$B$3:$D$37,3,0)</f>
        <v>cashloan</v>
      </c>
      <c r="I3374" s="143">
        <v>146960000</v>
      </c>
    </row>
    <row r="3375" spans="1:9" x14ac:dyDescent="0.2">
      <c r="A3375" s="134">
        <v>45609</v>
      </c>
      <c r="B3375" s="135">
        <f>YEAR(source[[#This Row],[report_date]])</f>
        <v>2024</v>
      </c>
      <c r="C3375" s="128">
        <f t="shared" si="150"/>
        <v>11</v>
      </c>
      <c r="D3375" s="136">
        <f t="shared" si="152"/>
        <v>46</v>
      </c>
      <c r="E3375" s="136">
        <f t="shared" si="151"/>
        <v>13</v>
      </c>
      <c r="F3375" s="137" t="s">
        <v>24</v>
      </c>
      <c r="G3375" s="128" t="str">
        <f>VLOOKUP(source[[#This Row],[lending_product_transform]],[3]Mapping!$B$4:$C$37,2,0)</f>
        <v>[Cake] - Cashloan</v>
      </c>
      <c r="H3375" s="128" t="str">
        <f>VLOOKUP(source[[#This Row],[lending_product_transform]],[3]Mapping!$B$3:$D$37,3,0)</f>
        <v>cashloan</v>
      </c>
      <c r="I3375" s="143">
        <v>21400000</v>
      </c>
    </row>
    <row r="3376" spans="1:9" x14ac:dyDescent="0.2">
      <c r="A3376" s="134">
        <v>45609</v>
      </c>
      <c r="B3376" s="135">
        <f>YEAR(source[[#This Row],[report_date]])</f>
        <v>2024</v>
      </c>
      <c r="C3376" s="128">
        <f t="shared" si="150"/>
        <v>11</v>
      </c>
      <c r="D3376" s="136">
        <f t="shared" si="152"/>
        <v>46</v>
      </c>
      <c r="E3376" s="136">
        <f t="shared" si="151"/>
        <v>13</v>
      </c>
      <c r="F3376" s="137" t="s">
        <v>24</v>
      </c>
      <c r="G3376" s="128" t="str">
        <f>VLOOKUP(source[[#This Row],[lending_product_transform]],[3]Mapping!$B$4:$C$37,2,0)</f>
        <v>[Cake] - Cashloan</v>
      </c>
      <c r="H3376" s="128" t="str">
        <f>VLOOKUP(source[[#This Row],[lending_product_transform]],[3]Mapping!$B$3:$D$37,3,0)</f>
        <v>cashloan</v>
      </c>
      <c r="I3376" s="143">
        <v>48000000</v>
      </c>
    </row>
    <row r="3377" spans="1:9" x14ac:dyDescent="0.2">
      <c r="A3377" s="134">
        <v>45609</v>
      </c>
      <c r="B3377" s="135">
        <f>YEAR(source[[#This Row],[report_date]])</f>
        <v>2024</v>
      </c>
      <c r="C3377" s="128">
        <f t="shared" si="150"/>
        <v>11</v>
      </c>
      <c r="D3377" s="136">
        <f t="shared" si="152"/>
        <v>46</v>
      </c>
      <c r="E3377" s="136">
        <f t="shared" si="151"/>
        <v>13</v>
      </c>
      <c r="F3377" s="137" t="s">
        <v>24</v>
      </c>
      <c r="G3377" s="128" t="str">
        <f>VLOOKUP(source[[#This Row],[lending_product_transform]],[3]Mapping!$B$4:$C$37,2,0)</f>
        <v>[Cake] - Cashloan</v>
      </c>
      <c r="H3377" s="128" t="str">
        <f>VLOOKUP(source[[#This Row],[lending_product_transform]],[3]Mapping!$B$3:$D$37,3,0)</f>
        <v>cashloan</v>
      </c>
      <c r="I3377" s="143">
        <v>325590000</v>
      </c>
    </row>
    <row r="3378" spans="1:9" x14ac:dyDescent="0.2">
      <c r="A3378" s="134">
        <v>45610</v>
      </c>
      <c r="B3378" s="135">
        <f>YEAR(source[[#This Row],[report_date]])</f>
        <v>2024</v>
      </c>
      <c r="C3378" s="128">
        <f t="shared" si="150"/>
        <v>11</v>
      </c>
      <c r="D3378" s="136">
        <f t="shared" si="152"/>
        <v>46</v>
      </c>
      <c r="E3378" s="136">
        <f t="shared" si="151"/>
        <v>14</v>
      </c>
      <c r="F3378" s="137" t="s">
        <v>24</v>
      </c>
      <c r="G3378" s="128" t="str">
        <f>VLOOKUP(source[[#This Row],[lending_product_transform]],[3]Mapping!$B$4:$C$37,2,0)</f>
        <v>[Cake] - Cashloan</v>
      </c>
      <c r="H3378" s="128" t="str">
        <f>VLOOKUP(source[[#This Row],[lending_product_transform]],[3]Mapping!$B$3:$D$37,3,0)</f>
        <v>cashloan</v>
      </c>
      <c r="I3378" s="143">
        <v>20000000</v>
      </c>
    </row>
    <row r="3379" spans="1:9" x14ac:dyDescent="0.2">
      <c r="A3379" s="134">
        <v>45610</v>
      </c>
      <c r="B3379" s="135">
        <f>YEAR(source[[#This Row],[report_date]])</f>
        <v>2024</v>
      </c>
      <c r="C3379" s="128">
        <f t="shared" si="150"/>
        <v>11</v>
      </c>
      <c r="D3379" s="136">
        <f t="shared" si="152"/>
        <v>46</v>
      </c>
      <c r="E3379" s="136">
        <f t="shared" si="151"/>
        <v>14</v>
      </c>
      <c r="F3379" s="137" t="s">
        <v>24</v>
      </c>
      <c r="G3379" s="128" t="str">
        <f>VLOOKUP(source[[#This Row],[lending_product_transform]],[3]Mapping!$B$4:$C$37,2,0)</f>
        <v>[Cake] - Cashloan</v>
      </c>
      <c r="H3379" s="128" t="str">
        <f>VLOOKUP(source[[#This Row],[lending_product_transform]],[3]Mapping!$B$3:$D$37,3,0)</f>
        <v>cashloan</v>
      </c>
      <c r="I3379" s="143">
        <v>31500000</v>
      </c>
    </row>
    <row r="3380" spans="1:9" x14ac:dyDescent="0.2">
      <c r="A3380" s="134">
        <v>45610</v>
      </c>
      <c r="B3380" s="135">
        <f>YEAR(source[[#This Row],[report_date]])</f>
        <v>2024</v>
      </c>
      <c r="C3380" s="128">
        <f t="shared" si="150"/>
        <v>11</v>
      </c>
      <c r="D3380" s="136">
        <f t="shared" si="152"/>
        <v>46</v>
      </c>
      <c r="E3380" s="136">
        <f t="shared" si="151"/>
        <v>14</v>
      </c>
      <c r="F3380" s="137" t="s">
        <v>24</v>
      </c>
      <c r="G3380" s="128" t="str">
        <f>VLOOKUP(source[[#This Row],[lending_product_transform]],[3]Mapping!$B$4:$C$37,2,0)</f>
        <v>[Cake] - Cashloan</v>
      </c>
      <c r="H3380" s="128" t="str">
        <f>VLOOKUP(source[[#This Row],[lending_product_transform]],[3]Mapping!$B$3:$D$37,3,0)</f>
        <v>cashloan</v>
      </c>
      <c r="I3380" s="143">
        <v>4693550000</v>
      </c>
    </row>
    <row r="3381" spans="1:9" x14ac:dyDescent="0.2">
      <c r="A3381" s="134">
        <v>45610</v>
      </c>
      <c r="B3381" s="135">
        <f>YEAR(source[[#This Row],[report_date]])</f>
        <v>2024</v>
      </c>
      <c r="C3381" s="128">
        <f t="shared" si="150"/>
        <v>11</v>
      </c>
      <c r="D3381" s="136">
        <f t="shared" si="152"/>
        <v>46</v>
      </c>
      <c r="E3381" s="136">
        <f t="shared" si="151"/>
        <v>14</v>
      </c>
      <c r="F3381" s="137" t="s">
        <v>24</v>
      </c>
      <c r="G3381" s="128" t="str">
        <f>VLOOKUP(source[[#This Row],[lending_product_transform]],[3]Mapping!$B$4:$C$37,2,0)</f>
        <v>[Cake] - Cashloan</v>
      </c>
      <c r="H3381" s="128" t="str">
        <f>VLOOKUP(source[[#This Row],[lending_product_transform]],[3]Mapping!$B$3:$D$37,3,0)</f>
        <v>cashloan</v>
      </c>
      <c r="I3381" s="143">
        <v>355076983</v>
      </c>
    </row>
    <row r="3382" spans="1:9" x14ac:dyDescent="0.2">
      <c r="A3382" s="134">
        <v>45610</v>
      </c>
      <c r="B3382" s="135">
        <f>YEAR(source[[#This Row],[report_date]])</f>
        <v>2024</v>
      </c>
      <c r="C3382" s="128">
        <f t="shared" si="150"/>
        <v>11</v>
      </c>
      <c r="D3382" s="136">
        <f t="shared" si="152"/>
        <v>46</v>
      </c>
      <c r="E3382" s="136">
        <f t="shared" si="151"/>
        <v>14</v>
      </c>
      <c r="F3382" s="137" t="s">
        <v>24</v>
      </c>
      <c r="G3382" s="128" t="str">
        <f>VLOOKUP(source[[#This Row],[lending_product_transform]],[3]Mapping!$B$4:$C$37,2,0)</f>
        <v>[Cake] - Cashloan</v>
      </c>
      <c r="H3382" s="128" t="str">
        <f>VLOOKUP(source[[#This Row],[lending_product_transform]],[3]Mapping!$B$3:$D$37,3,0)</f>
        <v>cashloan</v>
      </c>
      <c r="I3382" s="143">
        <v>54000</v>
      </c>
    </row>
    <row r="3383" spans="1:9" x14ac:dyDescent="0.2">
      <c r="A3383" s="134">
        <v>45610</v>
      </c>
      <c r="B3383" s="135">
        <f>YEAR(source[[#This Row],[report_date]])</f>
        <v>2024</v>
      </c>
      <c r="C3383" s="128">
        <f t="shared" si="150"/>
        <v>11</v>
      </c>
      <c r="D3383" s="136">
        <f t="shared" si="152"/>
        <v>46</v>
      </c>
      <c r="E3383" s="136">
        <f t="shared" si="151"/>
        <v>14</v>
      </c>
      <c r="F3383" s="137" t="s">
        <v>24</v>
      </c>
      <c r="G3383" s="128" t="str">
        <f>VLOOKUP(source[[#This Row],[lending_product_transform]],[3]Mapping!$B$4:$C$37,2,0)</f>
        <v>[Cake] - Cashloan</v>
      </c>
      <c r="H3383" s="128" t="str">
        <f>VLOOKUP(source[[#This Row],[lending_product_transform]],[3]Mapping!$B$3:$D$37,3,0)</f>
        <v>cashloan</v>
      </c>
      <c r="I3383" s="143">
        <v>360520000</v>
      </c>
    </row>
    <row r="3384" spans="1:9" x14ac:dyDescent="0.2">
      <c r="A3384" s="134">
        <v>45610</v>
      </c>
      <c r="B3384" s="135">
        <f>YEAR(source[[#This Row],[report_date]])</f>
        <v>2024</v>
      </c>
      <c r="C3384" s="128">
        <f t="shared" si="150"/>
        <v>11</v>
      </c>
      <c r="D3384" s="136">
        <f t="shared" si="152"/>
        <v>46</v>
      </c>
      <c r="E3384" s="136">
        <f t="shared" si="151"/>
        <v>14</v>
      </c>
      <c r="F3384" s="137" t="s">
        <v>24</v>
      </c>
      <c r="G3384" s="128" t="str">
        <f>VLOOKUP(source[[#This Row],[lending_product_transform]],[3]Mapping!$B$4:$C$37,2,0)</f>
        <v>[Cake] - Cashloan</v>
      </c>
      <c r="H3384" s="128" t="str">
        <f>VLOOKUP(source[[#This Row],[lending_product_transform]],[3]Mapping!$B$3:$D$37,3,0)</f>
        <v>cashloan</v>
      </c>
      <c r="I3384" s="143">
        <v>3128609342</v>
      </c>
    </row>
    <row r="3385" spans="1:9" x14ac:dyDescent="0.2">
      <c r="A3385" s="134">
        <v>45610</v>
      </c>
      <c r="B3385" s="135">
        <f>YEAR(source[[#This Row],[report_date]])</f>
        <v>2024</v>
      </c>
      <c r="C3385" s="128">
        <f t="shared" si="150"/>
        <v>11</v>
      </c>
      <c r="D3385" s="136">
        <f t="shared" si="152"/>
        <v>46</v>
      </c>
      <c r="E3385" s="136">
        <f t="shared" si="151"/>
        <v>14</v>
      </c>
      <c r="F3385" s="137" t="s">
        <v>24</v>
      </c>
      <c r="G3385" s="128" t="str">
        <f>VLOOKUP(source[[#This Row],[lending_product_transform]],[3]Mapping!$B$4:$C$37,2,0)</f>
        <v>[Cake] - Cashloan</v>
      </c>
      <c r="H3385" s="128" t="str">
        <f>VLOOKUP(source[[#This Row],[lending_product_transform]],[3]Mapping!$B$3:$D$37,3,0)</f>
        <v>cashloan</v>
      </c>
      <c r="I3385" s="143">
        <v>0</v>
      </c>
    </row>
    <row r="3386" spans="1:9" x14ac:dyDescent="0.2">
      <c r="A3386" s="134">
        <v>45610</v>
      </c>
      <c r="B3386" s="135">
        <f>YEAR(source[[#This Row],[report_date]])</f>
        <v>2024</v>
      </c>
      <c r="C3386" s="128">
        <f t="shared" si="150"/>
        <v>11</v>
      </c>
      <c r="D3386" s="136">
        <f t="shared" si="152"/>
        <v>46</v>
      </c>
      <c r="E3386" s="136">
        <f t="shared" si="151"/>
        <v>14</v>
      </c>
      <c r="F3386" s="137" t="s">
        <v>24</v>
      </c>
      <c r="G3386" s="128" t="str">
        <f>VLOOKUP(source[[#This Row],[lending_product_transform]],[3]Mapping!$B$4:$C$37,2,0)</f>
        <v>[Cake] - Cashloan</v>
      </c>
      <c r="H3386" s="128" t="str">
        <f>VLOOKUP(source[[#This Row],[lending_product_transform]],[3]Mapping!$B$3:$D$37,3,0)</f>
        <v>cashloan</v>
      </c>
      <c r="I3386" s="143">
        <v>4150000000</v>
      </c>
    </row>
    <row r="3387" spans="1:9" x14ac:dyDescent="0.2">
      <c r="A3387" s="134">
        <v>45610</v>
      </c>
      <c r="B3387" s="135">
        <f>YEAR(source[[#This Row],[report_date]])</f>
        <v>2024</v>
      </c>
      <c r="C3387" s="128">
        <f t="shared" si="150"/>
        <v>11</v>
      </c>
      <c r="D3387" s="136">
        <f t="shared" si="152"/>
        <v>46</v>
      </c>
      <c r="E3387" s="136">
        <f t="shared" si="151"/>
        <v>14</v>
      </c>
      <c r="F3387" s="137" t="s">
        <v>24</v>
      </c>
      <c r="G3387" s="128" t="str">
        <f>VLOOKUP(source[[#This Row],[lending_product_transform]],[3]Mapping!$B$4:$C$37,2,0)</f>
        <v>[Cake] - Cashloan</v>
      </c>
      <c r="H3387" s="128" t="str">
        <f>VLOOKUP(source[[#This Row],[lending_product_transform]],[3]Mapping!$B$3:$D$37,3,0)</f>
        <v>cashloan</v>
      </c>
      <c r="I3387" s="143">
        <v>59121871</v>
      </c>
    </row>
    <row r="3388" spans="1:9" x14ac:dyDescent="0.2">
      <c r="A3388" s="134">
        <v>45610</v>
      </c>
      <c r="B3388" s="135">
        <f>YEAR(source[[#This Row],[report_date]])</f>
        <v>2024</v>
      </c>
      <c r="C3388" s="128">
        <f t="shared" si="150"/>
        <v>11</v>
      </c>
      <c r="D3388" s="136">
        <f t="shared" si="152"/>
        <v>46</v>
      </c>
      <c r="E3388" s="136">
        <f t="shared" si="151"/>
        <v>14</v>
      </c>
      <c r="F3388" s="137" t="s">
        <v>24</v>
      </c>
      <c r="G3388" s="128" t="str">
        <f>VLOOKUP(source[[#This Row],[lending_product_transform]],[3]Mapping!$B$4:$C$37,2,0)</f>
        <v>[Cake] - Cashloan</v>
      </c>
      <c r="H3388" s="128" t="str">
        <f>VLOOKUP(source[[#This Row],[lending_product_transform]],[3]Mapping!$B$3:$D$37,3,0)</f>
        <v>cashloan</v>
      </c>
      <c r="I3388" s="143">
        <v>0</v>
      </c>
    </row>
    <row r="3389" spans="1:9" x14ac:dyDescent="0.2">
      <c r="A3389" s="134">
        <v>45610</v>
      </c>
      <c r="B3389" s="135">
        <f>YEAR(source[[#This Row],[report_date]])</f>
        <v>2024</v>
      </c>
      <c r="C3389" s="128">
        <f t="shared" si="150"/>
        <v>11</v>
      </c>
      <c r="D3389" s="136">
        <f t="shared" si="152"/>
        <v>46</v>
      </c>
      <c r="E3389" s="136">
        <f t="shared" si="151"/>
        <v>14</v>
      </c>
      <c r="F3389" s="137" t="s">
        <v>24</v>
      </c>
      <c r="G3389" s="128" t="str">
        <f>VLOOKUP(source[[#This Row],[lending_product_transform]],[3]Mapping!$B$4:$C$37,2,0)</f>
        <v>[Cake] - Cashloan</v>
      </c>
      <c r="H3389" s="128" t="str">
        <f>VLOOKUP(source[[#This Row],[lending_product_transform]],[3]Mapping!$B$3:$D$37,3,0)</f>
        <v>cashloan</v>
      </c>
      <c r="I3389" s="143">
        <v>6833200000</v>
      </c>
    </row>
    <row r="3390" spans="1:9" x14ac:dyDescent="0.2">
      <c r="A3390" s="134">
        <v>45610</v>
      </c>
      <c r="B3390" s="135">
        <f>YEAR(source[[#This Row],[report_date]])</f>
        <v>2024</v>
      </c>
      <c r="C3390" s="128">
        <f t="shared" si="150"/>
        <v>11</v>
      </c>
      <c r="D3390" s="136">
        <f t="shared" si="152"/>
        <v>46</v>
      </c>
      <c r="E3390" s="136">
        <f t="shared" si="151"/>
        <v>14</v>
      </c>
      <c r="F3390" s="137" t="s">
        <v>24</v>
      </c>
      <c r="G3390" s="128" t="str">
        <f>VLOOKUP(source[[#This Row],[lending_product_transform]],[3]Mapping!$B$4:$C$37,2,0)</f>
        <v>[Cake] - Cashloan</v>
      </c>
      <c r="H3390" s="128" t="str">
        <f>VLOOKUP(source[[#This Row],[lending_product_transform]],[3]Mapping!$B$3:$D$37,3,0)</f>
        <v>cashloan</v>
      </c>
      <c r="I3390" s="143">
        <v>29000000</v>
      </c>
    </row>
    <row r="3391" spans="1:9" x14ac:dyDescent="0.2">
      <c r="A3391" s="134">
        <v>45610</v>
      </c>
      <c r="B3391" s="135">
        <f>YEAR(source[[#This Row],[report_date]])</f>
        <v>2024</v>
      </c>
      <c r="C3391" s="128">
        <f t="shared" si="150"/>
        <v>11</v>
      </c>
      <c r="D3391" s="136">
        <f t="shared" si="152"/>
        <v>46</v>
      </c>
      <c r="E3391" s="136">
        <f t="shared" si="151"/>
        <v>14</v>
      </c>
      <c r="F3391" s="137" t="s">
        <v>24</v>
      </c>
      <c r="G3391" s="128" t="str">
        <f>VLOOKUP(source[[#This Row],[lending_product_transform]],[3]Mapping!$B$4:$C$37,2,0)</f>
        <v>[Cake] - Cashloan</v>
      </c>
      <c r="H3391" s="128" t="str">
        <f>VLOOKUP(source[[#This Row],[lending_product_transform]],[3]Mapping!$B$3:$D$37,3,0)</f>
        <v>cashloan</v>
      </c>
      <c r="I3391" s="143">
        <v>10700000</v>
      </c>
    </row>
    <row r="3392" spans="1:9" x14ac:dyDescent="0.2">
      <c r="A3392" s="134">
        <v>45610</v>
      </c>
      <c r="B3392" s="135">
        <f>YEAR(source[[#This Row],[report_date]])</f>
        <v>2024</v>
      </c>
      <c r="C3392" s="128">
        <f t="shared" si="150"/>
        <v>11</v>
      </c>
      <c r="D3392" s="136">
        <f t="shared" si="152"/>
        <v>46</v>
      </c>
      <c r="E3392" s="136">
        <f t="shared" si="151"/>
        <v>14</v>
      </c>
      <c r="F3392" s="137" t="s">
        <v>24</v>
      </c>
      <c r="G3392" s="128" t="str">
        <f>VLOOKUP(source[[#This Row],[lending_product_transform]],[3]Mapping!$B$4:$C$37,2,0)</f>
        <v>[Cake] - Cashloan</v>
      </c>
      <c r="H3392" s="128" t="str">
        <f>VLOOKUP(source[[#This Row],[lending_product_transform]],[3]Mapping!$B$3:$D$37,3,0)</f>
        <v>cashloan</v>
      </c>
      <c r="I3392" s="143">
        <v>189060000</v>
      </c>
    </row>
    <row r="3393" spans="1:9" x14ac:dyDescent="0.2">
      <c r="A3393" s="134">
        <v>45610</v>
      </c>
      <c r="B3393" s="135">
        <f>YEAR(source[[#This Row],[report_date]])</f>
        <v>2024</v>
      </c>
      <c r="C3393" s="128">
        <f t="shared" si="150"/>
        <v>11</v>
      </c>
      <c r="D3393" s="136">
        <f t="shared" si="152"/>
        <v>46</v>
      </c>
      <c r="E3393" s="136">
        <f t="shared" si="151"/>
        <v>14</v>
      </c>
      <c r="F3393" s="137" t="s">
        <v>24</v>
      </c>
      <c r="G3393" s="128" t="str">
        <f>VLOOKUP(source[[#This Row],[lending_product_transform]],[3]Mapping!$B$4:$C$37,2,0)</f>
        <v>[Cake] - Cashloan</v>
      </c>
      <c r="H3393" s="128" t="str">
        <f>VLOOKUP(source[[#This Row],[lending_product_transform]],[3]Mapping!$B$3:$D$37,3,0)</f>
        <v>cashloan</v>
      </c>
      <c r="I3393" s="143">
        <v>0</v>
      </c>
    </row>
    <row r="3394" spans="1:9" x14ac:dyDescent="0.2">
      <c r="A3394" s="134">
        <v>45611</v>
      </c>
      <c r="B3394" s="135">
        <f>YEAR(source[[#This Row],[report_date]])</f>
        <v>2024</v>
      </c>
      <c r="C3394" s="128">
        <f t="shared" ref="C3394:C3457" si="153">MONTH(A3394)</f>
        <v>11</v>
      </c>
      <c r="D3394" s="136">
        <f t="shared" si="152"/>
        <v>46</v>
      </c>
      <c r="E3394" s="136">
        <f t="shared" ref="E3394:E3457" si="154">DAY(A3394)</f>
        <v>15</v>
      </c>
      <c r="F3394" s="137" t="s">
        <v>24</v>
      </c>
      <c r="G3394" s="128" t="str">
        <f>VLOOKUP(source[[#This Row],[lending_product_transform]],[3]Mapping!$B$4:$C$37,2,0)</f>
        <v>[Cake] - Cashloan</v>
      </c>
      <c r="H3394" s="128" t="str">
        <f>VLOOKUP(source[[#This Row],[lending_product_transform]],[3]Mapping!$B$3:$D$37,3,0)</f>
        <v>cashloan</v>
      </c>
      <c r="I3394" s="143">
        <v>59218815</v>
      </c>
    </row>
    <row r="3395" spans="1:9" x14ac:dyDescent="0.2">
      <c r="A3395" s="134">
        <v>45611</v>
      </c>
      <c r="B3395" s="135">
        <f>YEAR(source[[#This Row],[report_date]])</f>
        <v>2024</v>
      </c>
      <c r="C3395" s="128">
        <f t="shared" si="153"/>
        <v>11</v>
      </c>
      <c r="D3395" s="136">
        <f t="shared" ref="D3395:D3458" si="155">WEEKNUM(A3395,2)</f>
        <v>46</v>
      </c>
      <c r="E3395" s="136">
        <f t="shared" si="154"/>
        <v>15</v>
      </c>
      <c r="F3395" s="137" t="s">
        <v>24</v>
      </c>
      <c r="G3395" s="128" t="str">
        <f>VLOOKUP(source[[#This Row],[lending_product_transform]],[3]Mapping!$B$4:$C$37,2,0)</f>
        <v>[Cake] - Cashloan</v>
      </c>
      <c r="H3395" s="128" t="str">
        <f>VLOOKUP(source[[#This Row],[lending_product_transform]],[3]Mapping!$B$3:$D$37,3,0)</f>
        <v>cashloan</v>
      </c>
      <c r="I3395" s="143">
        <v>363025364</v>
      </c>
    </row>
    <row r="3396" spans="1:9" x14ac:dyDescent="0.2">
      <c r="A3396" s="134">
        <v>45611</v>
      </c>
      <c r="B3396" s="135">
        <f>YEAR(source[[#This Row],[report_date]])</f>
        <v>2024</v>
      </c>
      <c r="C3396" s="128">
        <f t="shared" si="153"/>
        <v>11</v>
      </c>
      <c r="D3396" s="136">
        <f t="shared" si="155"/>
        <v>46</v>
      </c>
      <c r="E3396" s="136">
        <f t="shared" si="154"/>
        <v>15</v>
      </c>
      <c r="F3396" s="137" t="s">
        <v>24</v>
      </c>
      <c r="G3396" s="128" t="str">
        <f>VLOOKUP(source[[#This Row],[lending_product_transform]],[3]Mapping!$B$4:$C$37,2,0)</f>
        <v>[Cake] - Cashloan</v>
      </c>
      <c r="H3396" s="128" t="str">
        <f>VLOOKUP(source[[#This Row],[lending_product_transform]],[3]Mapping!$B$3:$D$37,3,0)</f>
        <v>cashloan</v>
      </c>
      <c r="I3396" s="143">
        <v>0</v>
      </c>
    </row>
    <row r="3397" spans="1:9" x14ac:dyDescent="0.2">
      <c r="A3397" s="134">
        <v>45611</v>
      </c>
      <c r="B3397" s="135">
        <f>YEAR(source[[#This Row],[report_date]])</f>
        <v>2024</v>
      </c>
      <c r="C3397" s="128">
        <f t="shared" si="153"/>
        <v>11</v>
      </c>
      <c r="D3397" s="136">
        <f t="shared" si="155"/>
        <v>46</v>
      </c>
      <c r="E3397" s="136">
        <f t="shared" si="154"/>
        <v>15</v>
      </c>
      <c r="F3397" s="137" t="s">
        <v>24</v>
      </c>
      <c r="G3397" s="128" t="str">
        <f>VLOOKUP(source[[#This Row],[lending_product_transform]],[3]Mapping!$B$4:$C$37,2,0)</f>
        <v>[Cake] - Cashloan</v>
      </c>
      <c r="H3397" s="128" t="str">
        <f>VLOOKUP(source[[#This Row],[lending_product_transform]],[3]Mapping!$B$3:$D$37,3,0)</f>
        <v>cashloan</v>
      </c>
      <c r="I3397" s="143">
        <v>0</v>
      </c>
    </row>
    <row r="3398" spans="1:9" x14ac:dyDescent="0.2">
      <c r="A3398" s="134">
        <v>45611</v>
      </c>
      <c r="B3398" s="135">
        <f>YEAR(source[[#This Row],[report_date]])</f>
        <v>2024</v>
      </c>
      <c r="C3398" s="128">
        <f t="shared" si="153"/>
        <v>11</v>
      </c>
      <c r="D3398" s="136">
        <f t="shared" si="155"/>
        <v>46</v>
      </c>
      <c r="E3398" s="136">
        <f t="shared" si="154"/>
        <v>15</v>
      </c>
      <c r="F3398" s="137" t="s">
        <v>24</v>
      </c>
      <c r="G3398" s="128" t="str">
        <f>VLOOKUP(source[[#This Row],[lending_product_transform]],[3]Mapping!$B$4:$C$37,2,0)</f>
        <v>[Cake] - Cashloan</v>
      </c>
      <c r="H3398" s="128" t="str">
        <f>VLOOKUP(source[[#This Row],[lending_product_transform]],[3]Mapping!$B$3:$D$37,3,0)</f>
        <v>cashloan</v>
      </c>
      <c r="I3398" s="143">
        <v>5208760000</v>
      </c>
    </row>
    <row r="3399" spans="1:9" x14ac:dyDescent="0.2">
      <c r="A3399" s="134">
        <v>45611</v>
      </c>
      <c r="B3399" s="135">
        <f>YEAR(source[[#This Row],[report_date]])</f>
        <v>2024</v>
      </c>
      <c r="C3399" s="128">
        <f t="shared" si="153"/>
        <v>11</v>
      </c>
      <c r="D3399" s="136">
        <f t="shared" si="155"/>
        <v>46</v>
      </c>
      <c r="E3399" s="136">
        <f t="shared" si="154"/>
        <v>15</v>
      </c>
      <c r="F3399" s="137" t="s">
        <v>24</v>
      </c>
      <c r="G3399" s="128" t="str">
        <f>VLOOKUP(source[[#This Row],[lending_product_transform]],[3]Mapping!$B$4:$C$37,2,0)</f>
        <v>[Cake] - Cashloan</v>
      </c>
      <c r="H3399" s="128" t="str">
        <f>VLOOKUP(source[[#This Row],[lending_product_transform]],[3]Mapping!$B$3:$D$37,3,0)</f>
        <v>cashloan</v>
      </c>
      <c r="I3399" s="143">
        <v>4812000000</v>
      </c>
    </row>
    <row r="3400" spans="1:9" x14ac:dyDescent="0.2">
      <c r="A3400" s="134">
        <v>45611</v>
      </c>
      <c r="B3400" s="135">
        <f>YEAR(source[[#This Row],[report_date]])</f>
        <v>2024</v>
      </c>
      <c r="C3400" s="128">
        <f t="shared" si="153"/>
        <v>11</v>
      </c>
      <c r="D3400" s="136">
        <f t="shared" si="155"/>
        <v>46</v>
      </c>
      <c r="E3400" s="136">
        <f t="shared" si="154"/>
        <v>15</v>
      </c>
      <c r="F3400" s="137" t="s">
        <v>24</v>
      </c>
      <c r="G3400" s="128" t="str">
        <f>VLOOKUP(source[[#This Row],[lending_product_transform]],[3]Mapping!$B$4:$C$37,2,0)</f>
        <v>[Cake] - Cashloan</v>
      </c>
      <c r="H3400" s="128" t="str">
        <f>VLOOKUP(source[[#This Row],[lending_product_transform]],[3]Mapping!$B$3:$D$37,3,0)</f>
        <v>cashloan</v>
      </c>
      <c r="I3400" s="143">
        <v>77000000</v>
      </c>
    </row>
    <row r="3401" spans="1:9" x14ac:dyDescent="0.2">
      <c r="A3401" s="134">
        <v>45611</v>
      </c>
      <c r="B3401" s="135">
        <f>YEAR(source[[#This Row],[report_date]])</f>
        <v>2024</v>
      </c>
      <c r="C3401" s="128">
        <f t="shared" si="153"/>
        <v>11</v>
      </c>
      <c r="D3401" s="136">
        <f t="shared" si="155"/>
        <v>46</v>
      </c>
      <c r="E3401" s="136">
        <f t="shared" si="154"/>
        <v>15</v>
      </c>
      <c r="F3401" s="137" t="s">
        <v>24</v>
      </c>
      <c r="G3401" s="128" t="str">
        <f>VLOOKUP(source[[#This Row],[lending_product_transform]],[3]Mapping!$B$4:$C$37,2,0)</f>
        <v>[Cake] - Cashloan</v>
      </c>
      <c r="H3401" s="128" t="str">
        <f>VLOOKUP(source[[#This Row],[lending_product_transform]],[3]Mapping!$B$3:$D$37,3,0)</f>
        <v>cashloan</v>
      </c>
      <c r="I3401" s="143">
        <v>412380000</v>
      </c>
    </row>
    <row r="3402" spans="1:9" x14ac:dyDescent="0.2">
      <c r="A3402" s="134">
        <v>45611</v>
      </c>
      <c r="B3402" s="135">
        <f>YEAR(source[[#This Row],[report_date]])</f>
        <v>2024</v>
      </c>
      <c r="C3402" s="128">
        <f t="shared" si="153"/>
        <v>11</v>
      </c>
      <c r="D3402" s="136">
        <f t="shared" si="155"/>
        <v>46</v>
      </c>
      <c r="E3402" s="136">
        <f t="shared" si="154"/>
        <v>15</v>
      </c>
      <c r="F3402" s="137" t="s">
        <v>24</v>
      </c>
      <c r="G3402" s="128" t="str">
        <f>VLOOKUP(source[[#This Row],[lending_product_transform]],[3]Mapping!$B$4:$C$37,2,0)</f>
        <v>[Cake] - Cashloan</v>
      </c>
      <c r="H3402" s="128" t="str">
        <f>VLOOKUP(source[[#This Row],[lending_product_transform]],[3]Mapping!$B$3:$D$37,3,0)</f>
        <v>cashloan</v>
      </c>
      <c r="I3402" s="143">
        <v>3728959833</v>
      </c>
    </row>
    <row r="3403" spans="1:9" x14ac:dyDescent="0.2">
      <c r="A3403" s="134">
        <v>45611</v>
      </c>
      <c r="B3403" s="135">
        <f>YEAR(source[[#This Row],[report_date]])</f>
        <v>2024</v>
      </c>
      <c r="C3403" s="128">
        <f t="shared" si="153"/>
        <v>11</v>
      </c>
      <c r="D3403" s="136">
        <f t="shared" si="155"/>
        <v>46</v>
      </c>
      <c r="E3403" s="136">
        <f t="shared" si="154"/>
        <v>15</v>
      </c>
      <c r="F3403" s="137" t="s">
        <v>24</v>
      </c>
      <c r="G3403" s="128" t="str">
        <f>VLOOKUP(source[[#This Row],[lending_product_transform]],[3]Mapping!$B$4:$C$37,2,0)</f>
        <v>[Cake] - Cashloan</v>
      </c>
      <c r="H3403" s="128" t="str">
        <f>VLOOKUP(source[[#This Row],[lending_product_transform]],[3]Mapping!$B$3:$D$37,3,0)</f>
        <v>cashloan</v>
      </c>
      <c r="I3403" s="143">
        <v>52500000</v>
      </c>
    </row>
    <row r="3404" spans="1:9" x14ac:dyDescent="0.2">
      <c r="A3404" s="134">
        <v>45611</v>
      </c>
      <c r="B3404" s="135">
        <f>YEAR(source[[#This Row],[report_date]])</f>
        <v>2024</v>
      </c>
      <c r="C3404" s="128">
        <f t="shared" si="153"/>
        <v>11</v>
      </c>
      <c r="D3404" s="136">
        <f t="shared" si="155"/>
        <v>46</v>
      </c>
      <c r="E3404" s="136">
        <f t="shared" si="154"/>
        <v>15</v>
      </c>
      <c r="F3404" s="137" t="s">
        <v>24</v>
      </c>
      <c r="G3404" s="128" t="str">
        <f>VLOOKUP(source[[#This Row],[lending_product_transform]],[3]Mapping!$B$4:$C$37,2,0)</f>
        <v>[Cake] - Cashloan</v>
      </c>
      <c r="H3404" s="128" t="str">
        <f>VLOOKUP(source[[#This Row],[lending_product_transform]],[3]Mapping!$B$3:$D$37,3,0)</f>
        <v>cashloan</v>
      </c>
      <c r="I3404" s="143">
        <v>0</v>
      </c>
    </row>
    <row r="3405" spans="1:9" x14ac:dyDescent="0.2">
      <c r="A3405" s="134">
        <v>45611</v>
      </c>
      <c r="B3405" s="135">
        <f>YEAR(source[[#This Row],[report_date]])</f>
        <v>2024</v>
      </c>
      <c r="C3405" s="128">
        <f t="shared" si="153"/>
        <v>11</v>
      </c>
      <c r="D3405" s="136">
        <f t="shared" si="155"/>
        <v>46</v>
      </c>
      <c r="E3405" s="136">
        <f t="shared" si="154"/>
        <v>15</v>
      </c>
      <c r="F3405" s="137" t="s">
        <v>24</v>
      </c>
      <c r="G3405" s="128" t="str">
        <f>VLOOKUP(source[[#This Row],[lending_product_transform]],[3]Mapping!$B$4:$C$37,2,0)</f>
        <v>[Cake] - Cashloan</v>
      </c>
      <c r="H3405" s="128" t="str">
        <f>VLOOKUP(source[[#This Row],[lending_product_transform]],[3]Mapping!$B$3:$D$37,3,0)</f>
        <v>cashloan</v>
      </c>
      <c r="I3405" s="143">
        <v>100250000</v>
      </c>
    </row>
    <row r="3406" spans="1:9" x14ac:dyDescent="0.2">
      <c r="A3406" s="134">
        <v>45611</v>
      </c>
      <c r="B3406" s="135">
        <f>YEAR(source[[#This Row],[report_date]])</f>
        <v>2024</v>
      </c>
      <c r="C3406" s="128">
        <f t="shared" si="153"/>
        <v>11</v>
      </c>
      <c r="D3406" s="136">
        <f t="shared" si="155"/>
        <v>46</v>
      </c>
      <c r="E3406" s="136">
        <f t="shared" si="154"/>
        <v>15</v>
      </c>
      <c r="F3406" s="137" t="s">
        <v>24</v>
      </c>
      <c r="G3406" s="128" t="str">
        <f>VLOOKUP(source[[#This Row],[lending_product_transform]],[3]Mapping!$B$4:$C$37,2,0)</f>
        <v>[Cake] - Cashloan</v>
      </c>
      <c r="H3406" s="128" t="str">
        <f>VLOOKUP(source[[#This Row],[lending_product_transform]],[3]Mapping!$B$3:$D$37,3,0)</f>
        <v>cashloan</v>
      </c>
      <c r="I3406" s="143">
        <v>41400000</v>
      </c>
    </row>
    <row r="3407" spans="1:9" x14ac:dyDescent="0.2">
      <c r="A3407" s="134">
        <v>45611</v>
      </c>
      <c r="B3407" s="135">
        <f>YEAR(source[[#This Row],[report_date]])</f>
        <v>2024</v>
      </c>
      <c r="C3407" s="128">
        <f t="shared" si="153"/>
        <v>11</v>
      </c>
      <c r="D3407" s="136">
        <f t="shared" si="155"/>
        <v>46</v>
      </c>
      <c r="E3407" s="136">
        <f t="shared" si="154"/>
        <v>15</v>
      </c>
      <c r="F3407" s="137" t="s">
        <v>24</v>
      </c>
      <c r="G3407" s="128" t="str">
        <f>VLOOKUP(source[[#This Row],[lending_product_transform]],[3]Mapping!$B$4:$C$37,2,0)</f>
        <v>[Cake] - Cashloan</v>
      </c>
      <c r="H3407" s="128" t="str">
        <f>VLOOKUP(source[[#This Row],[lending_product_transform]],[3]Mapping!$B$3:$D$37,3,0)</f>
        <v>cashloan</v>
      </c>
      <c r="I3407" s="143">
        <v>6844330000</v>
      </c>
    </row>
    <row r="3408" spans="1:9" x14ac:dyDescent="0.2">
      <c r="A3408" s="134">
        <v>45611</v>
      </c>
      <c r="B3408" s="135">
        <f>YEAR(source[[#This Row],[report_date]])</f>
        <v>2024</v>
      </c>
      <c r="C3408" s="128">
        <f t="shared" si="153"/>
        <v>11</v>
      </c>
      <c r="D3408" s="136">
        <f t="shared" si="155"/>
        <v>46</v>
      </c>
      <c r="E3408" s="136">
        <f t="shared" si="154"/>
        <v>15</v>
      </c>
      <c r="F3408" s="137" t="s">
        <v>24</v>
      </c>
      <c r="G3408" s="128" t="str">
        <f>VLOOKUP(source[[#This Row],[lending_product_transform]],[3]Mapping!$B$4:$C$37,2,0)</f>
        <v>[Cake] - Cashloan</v>
      </c>
      <c r="H3408" s="128" t="str">
        <f>VLOOKUP(source[[#This Row],[lending_product_transform]],[3]Mapping!$B$3:$D$37,3,0)</f>
        <v>cashloan</v>
      </c>
      <c r="I3408" s="143">
        <v>21400000</v>
      </c>
    </row>
    <row r="3409" spans="1:9" x14ac:dyDescent="0.2">
      <c r="A3409" s="134">
        <v>45611</v>
      </c>
      <c r="B3409" s="135">
        <f>YEAR(source[[#This Row],[report_date]])</f>
        <v>2024</v>
      </c>
      <c r="C3409" s="128">
        <f t="shared" si="153"/>
        <v>11</v>
      </c>
      <c r="D3409" s="136">
        <f t="shared" si="155"/>
        <v>46</v>
      </c>
      <c r="E3409" s="136">
        <f t="shared" si="154"/>
        <v>15</v>
      </c>
      <c r="F3409" s="137" t="s">
        <v>24</v>
      </c>
      <c r="G3409" s="128" t="str">
        <f>VLOOKUP(source[[#This Row],[lending_product_transform]],[3]Mapping!$B$4:$C$37,2,0)</f>
        <v>[Cake] - Cashloan</v>
      </c>
      <c r="H3409" s="128" t="str">
        <f>VLOOKUP(source[[#This Row],[lending_product_transform]],[3]Mapping!$B$3:$D$37,3,0)</f>
        <v>cashloan</v>
      </c>
      <c r="I3409" s="143">
        <v>10000</v>
      </c>
    </row>
    <row r="3410" spans="1:9" x14ac:dyDescent="0.2">
      <c r="A3410" s="134">
        <v>45612</v>
      </c>
      <c r="B3410" s="135">
        <f>YEAR(source[[#This Row],[report_date]])</f>
        <v>2024</v>
      </c>
      <c r="C3410" s="128">
        <f t="shared" si="153"/>
        <v>11</v>
      </c>
      <c r="D3410" s="136">
        <f t="shared" si="155"/>
        <v>46</v>
      </c>
      <c r="E3410" s="136">
        <f t="shared" si="154"/>
        <v>16</v>
      </c>
      <c r="F3410" s="137" t="s">
        <v>24</v>
      </c>
      <c r="G3410" s="128" t="str">
        <f>VLOOKUP(source[[#This Row],[lending_product_transform]],[3]Mapping!$B$4:$C$37,2,0)</f>
        <v>[Cake] - Cashloan</v>
      </c>
      <c r="H3410" s="128" t="str">
        <f>VLOOKUP(source[[#This Row],[lending_product_transform]],[3]Mapping!$B$3:$D$37,3,0)</f>
        <v>cashloan</v>
      </c>
      <c r="I3410" s="143">
        <v>279110000</v>
      </c>
    </row>
    <row r="3411" spans="1:9" x14ac:dyDescent="0.2">
      <c r="A3411" s="134">
        <v>45612</v>
      </c>
      <c r="B3411" s="135">
        <f>YEAR(source[[#This Row],[report_date]])</f>
        <v>2024</v>
      </c>
      <c r="C3411" s="128">
        <f t="shared" si="153"/>
        <v>11</v>
      </c>
      <c r="D3411" s="136">
        <f t="shared" si="155"/>
        <v>46</v>
      </c>
      <c r="E3411" s="136">
        <f t="shared" si="154"/>
        <v>16</v>
      </c>
      <c r="F3411" s="137" t="s">
        <v>24</v>
      </c>
      <c r="G3411" s="128" t="str">
        <f>VLOOKUP(source[[#This Row],[lending_product_transform]],[3]Mapping!$B$4:$C$37,2,0)</f>
        <v>[Cake] - Cashloan</v>
      </c>
      <c r="H3411" s="128" t="str">
        <f>VLOOKUP(source[[#This Row],[lending_product_transform]],[3]Mapping!$B$3:$D$37,3,0)</f>
        <v>cashloan</v>
      </c>
      <c r="I3411" s="143">
        <v>33000000</v>
      </c>
    </row>
    <row r="3412" spans="1:9" x14ac:dyDescent="0.2">
      <c r="A3412" s="134">
        <v>45612</v>
      </c>
      <c r="B3412" s="135">
        <f>YEAR(source[[#This Row],[report_date]])</f>
        <v>2024</v>
      </c>
      <c r="C3412" s="128">
        <f t="shared" si="153"/>
        <v>11</v>
      </c>
      <c r="D3412" s="136">
        <f t="shared" si="155"/>
        <v>46</v>
      </c>
      <c r="E3412" s="136">
        <f t="shared" si="154"/>
        <v>16</v>
      </c>
      <c r="F3412" s="137" t="s">
        <v>24</v>
      </c>
      <c r="G3412" s="128" t="str">
        <f>VLOOKUP(source[[#This Row],[lending_product_transform]],[3]Mapping!$B$4:$C$37,2,0)</f>
        <v>[Cake] - Cashloan</v>
      </c>
      <c r="H3412" s="128" t="str">
        <f>VLOOKUP(source[[#This Row],[lending_product_transform]],[3]Mapping!$B$3:$D$37,3,0)</f>
        <v>cashloan</v>
      </c>
      <c r="I3412" s="143">
        <v>3878800000</v>
      </c>
    </row>
    <row r="3413" spans="1:9" x14ac:dyDescent="0.2">
      <c r="A3413" s="134">
        <v>45612</v>
      </c>
      <c r="B3413" s="135">
        <f>YEAR(source[[#This Row],[report_date]])</f>
        <v>2024</v>
      </c>
      <c r="C3413" s="128">
        <f t="shared" si="153"/>
        <v>11</v>
      </c>
      <c r="D3413" s="136">
        <f t="shared" si="155"/>
        <v>46</v>
      </c>
      <c r="E3413" s="136">
        <f t="shared" si="154"/>
        <v>16</v>
      </c>
      <c r="F3413" s="137" t="s">
        <v>24</v>
      </c>
      <c r="G3413" s="128" t="str">
        <f>VLOOKUP(source[[#This Row],[lending_product_transform]],[3]Mapping!$B$4:$C$37,2,0)</f>
        <v>[Cake] - Cashloan</v>
      </c>
      <c r="H3413" s="128" t="str">
        <f>VLOOKUP(source[[#This Row],[lending_product_transform]],[3]Mapping!$B$3:$D$37,3,0)</f>
        <v>cashloan</v>
      </c>
      <c r="I3413" s="143">
        <v>3276245470</v>
      </c>
    </row>
    <row r="3414" spans="1:9" x14ac:dyDescent="0.2">
      <c r="A3414" s="134">
        <v>45612</v>
      </c>
      <c r="B3414" s="135">
        <f>YEAR(source[[#This Row],[report_date]])</f>
        <v>2024</v>
      </c>
      <c r="C3414" s="128">
        <f t="shared" si="153"/>
        <v>11</v>
      </c>
      <c r="D3414" s="136">
        <f t="shared" si="155"/>
        <v>46</v>
      </c>
      <c r="E3414" s="136">
        <f t="shared" si="154"/>
        <v>16</v>
      </c>
      <c r="F3414" s="137" t="s">
        <v>24</v>
      </c>
      <c r="G3414" s="128" t="str">
        <f>VLOOKUP(source[[#This Row],[lending_product_transform]],[3]Mapping!$B$4:$C$37,2,0)</f>
        <v>[Cake] - Cashloan</v>
      </c>
      <c r="H3414" s="128" t="str">
        <f>VLOOKUP(source[[#This Row],[lending_product_transform]],[3]Mapping!$B$3:$D$37,3,0)</f>
        <v>cashloan</v>
      </c>
      <c r="I3414" s="143">
        <v>0</v>
      </c>
    </row>
    <row r="3415" spans="1:9" x14ac:dyDescent="0.2">
      <c r="A3415" s="134">
        <v>45612</v>
      </c>
      <c r="B3415" s="135">
        <f>YEAR(source[[#This Row],[report_date]])</f>
        <v>2024</v>
      </c>
      <c r="C3415" s="128">
        <f t="shared" si="153"/>
        <v>11</v>
      </c>
      <c r="D3415" s="136">
        <f t="shared" si="155"/>
        <v>46</v>
      </c>
      <c r="E3415" s="136">
        <f t="shared" si="154"/>
        <v>16</v>
      </c>
      <c r="F3415" s="137" t="s">
        <v>24</v>
      </c>
      <c r="G3415" s="128" t="str">
        <f>VLOOKUP(source[[#This Row],[lending_product_transform]],[3]Mapping!$B$4:$C$37,2,0)</f>
        <v>[Cake] - Cashloan</v>
      </c>
      <c r="H3415" s="128" t="str">
        <f>VLOOKUP(source[[#This Row],[lending_product_transform]],[3]Mapping!$B$3:$D$37,3,0)</f>
        <v>cashloan</v>
      </c>
      <c r="I3415" s="143">
        <v>4208500000</v>
      </c>
    </row>
    <row r="3416" spans="1:9" x14ac:dyDescent="0.2">
      <c r="A3416" s="134">
        <v>45612</v>
      </c>
      <c r="B3416" s="135">
        <f>YEAR(source[[#This Row],[report_date]])</f>
        <v>2024</v>
      </c>
      <c r="C3416" s="128">
        <f t="shared" si="153"/>
        <v>11</v>
      </c>
      <c r="D3416" s="136">
        <f t="shared" si="155"/>
        <v>46</v>
      </c>
      <c r="E3416" s="136">
        <f t="shared" si="154"/>
        <v>16</v>
      </c>
      <c r="F3416" s="137" t="s">
        <v>24</v>
      </c>
      <c r="G3416" s="128" t="str">
        <f>VLOOKUP(source[[#This Row],[lending_product_transform]],[3]Mapping!$B$4:$C$37,2,0)</f>
        <v>[Cake] - Cashloan</v>
      </c>
      <c r="H3416" s="128" t="str">
        <f>VLOOKUP(source[[#This Row],[lending_product_transform]],[3]Mapping!$B$3:$D$37,3,0)</f>
        <v>cashloan</v>
      </c>
      <c r="I3416" s="143">
        <v>10700000</v>
      </c>
    </row>
    <row r="3417" spans="1:9" x14ac:dyDescent="0.2">
      <c r="A3417" s="134">
        <v>45612</v>
      </c>
      <c r="B3417" s="135">
        <f>YEAR(source[[#This Row],[report_date]])</f>
        <v>2024</v>
      </c>
      <c r="C3417" s="128">
        <f t="shared" si="153"/>
        <v>11</v>
      </c>
      <c r="D3417" s="136">
        <f t="shared" si="155"/>
        <v>46</v>
      </c>
      <c r="E3417" s="136">
        <f t="shared" si="154"/>
        <v>16</v>
      </c>
      <c r="F3417" s="137" t="s">
        <v>24</v>
      </c>
      <c r="G3417" s="128" t="str">
        <f>VLOOKUP(source[[#This Row],[lending_product_transform]],[3]Mapping!$B$4:$C$37,2,0)</f>
        <v>[Cake] - Cashloan</v>
      </c>
      <c r="H3417" s="128" t="str">
        <f>VLOOKUP(source[[#This Row],[lending_product_transform]],[3]Mapping!$B$3:$D$37,3,0)</f>
        <v>cashloan</v>
      </c>
      <c r="I3417" s="143">
        <v>0</v>
      </c>
    </row>
    <row r="3418" spans="1:9" x14ac:dyDescent="0.2">
      <c r="A3418" s="134">
        <v>45612</v>
      </c>
      <c r="B3418" s="135">
        <f>YEAR(source[[#This Row],[report_date]])</f>
        <v>2024</v>
      </c>
      <c r="C3418" s="128">
        <f t="shared" si="153"/>
        <v>11</v>
      </c>
      <c r="D3418" s="136">
        <f t="shared" si="155"/>
        <v>46</v>
      </c>
      <c r="E3418" s="136">
        <f t="shared" si="154"/>
        <v>16</v>
      </c>
      <c r="F3418" s="137" t="s">
        <v>24</v>
      </c>
      <c r="G3418" s="128" t="str">
        <f>VLOOKUP(source[[#This Row],[lending_product_transform]],[3]Mapping!$B$4:$C$37,2,0)</f>
        <v>[Cake] - Cashloan</v>
      </c>
      <c r="H3418" s="128" t="str">
        <f>VLOOKUP(source[[#This Row],[lending_product_transform]],[3]Mapping!$B$3:$D$37,3,0)</f>
        <v>cashloan</v>
      </c>
      <c r="I3418" s="143">
        <v>0</v>
      </c>
    </row>
    <row r="3419" spans="1:9" x14ac:dyDescent="0.2">
      <c r="A3419" s="134">
        <v>45612</v>
      </c>
      <c r="B3419" s="135">
        <f>YEAR(source[[#This Row],[report_date]])</f>
        <v>2024</v>
      </c>
      <c r="C3419" s="128">
        <f t="shared" si="153"/>
        <v>11</v>
      </c>
      <c r="D3419" s="136">
        <f t="shared" si="155"/>
        <v>46</v>
      </c>
      <c r="E3419" s="136">
        <f t="shared" si="154"/>
        <v>16</v>
      </c>
      <c r="F3419" s="137" t="s">
        <v>24</v>
      </c>
      <c r="G3419" s="128" t="str">
        <f>VLOOKUP(source[[#This Row],[lending_product_transform]],[3]Mapping!$B$4:$C$37,2,0)</f>
        <v>[Cake] - Cashloan</v>
      </c>
      <c r="H3419" s="128" t="str">
        <f>VLOOKUP(source[[#This Row],[lending_product_transform]],[3]Mapping!$B$3:$D$37,3,0)</f>
        <v>cashloan</v>
      </c>
      <c r="I3419" s="143">
        <v>63000000</v>
      </c>
    </row>
    <row r="3420" spans="1:9" x14ac:dyDescent="0.2">
      <c r="A3420" s="134">
        <v>45612</v>
      </c>
      <c r="B3420" s="135">
        <f>YEAR(source[[#This Row],[report_date]])</f>
        <v>2024</v>
      </c>
      <c r="C3420" s="128">
        <f t="shared" si="153"/>
        <v>11</v>
      </c>
      <c r="D3420" s="136">
        <f t="shared" si="155"/>
        <v>46</v>
      </c>
      <c r="E3420" s="136">
        <f t="shared" si="154"/>
        <v>16</v>
      </c>
      <c r="F3420" s="137" t="s">
        <v>24</v>
      </c>
      <c r="G3420" s="128" t="str">
        <f>VLOOKUP(source[[#This Row],[lending_product_transform]],[3]Mapping!$B$4:$C$37,2,0)</f>
        <v>[Cake] - Cashloan</v>
      </c>
      <c r="H3420" s="128" t="str">
        <f>VLOOKUP(source[[#This Row],[lending_product_transform]],[3]Mapping!$B$3:$D$37,3,0)</f>
        <v>cashloan</v>
      </c>
      <c r="I3420" s="143">
        <v>16700000</v>
      </c>
    </row>
    <row r="3421" spans="1:9" x14ac:dyDescent="0.2">
      <c r="A3421" s="134">
        <v>45612</v>
      </c>
      <c r="B3421" s="135">
        <f>YEAR(source[[#This Row],[report_date]])</f>
        <v>2024</v>
      </c>
      <c r="C3421" s="128">
        <f t="shared" si="153"/>
        <v>11</v>
      </c>
      <c r="D3421" s="136">
        <f t="shared" si="155"/>
        <v>46</v>
      </c>
      <c r="E3421" s="136">
        <f t="shared" si="154"/>
        <v>16</v>
      </c>
      <c r="F3421" s="137" t="s">
        <v>24</v>
      </c>
      <c r="G3421" s="128" t="str">
        <f>VLOOKUP(source[[#This Row],[lending_product_transform]],[3]Mapping!$B$4:$C$37,2,0)</f>
        <v>[Cake] - Cashloan</v>
      </c>
      <c r="H3421" s="128" t="str">
        <f>VLOOKUP(source[[#This Row],[lending_product_transform]],[3]Mapping!$B$3:$D$37,3,0)</f>
        <v>cashloan</v>
      </c>
      <c r="I3421" s="143">
        <v>84970000</v>
      </c>
    </row>
    <row r="3422" spans="1:9" x14ac:dyDescent="0.2">
      <c r="A3422" s="134">
        <v>45612</v>
      </c>
      <c r="B3422" s="135">
        <f>YEAR(source[[#This Row],[report_date]])</f>
        <v>2024</v>
      </c>
      <c r="C3422" s="128">
        <f t="shared" si="153"/>
        <v>11</v>
      </c>
      <c r="D3422" s="136">
        <f t="shared" si="155"/>
        <v>46</v>
      </c>
      <c r="E3422" s="136">
        <f t="shared" si="154"/>
        <v>16</v>
      </c>
      <c r="F3422" s="137" t="s">
        <v>24</v>
      </c>
      <c r="G3422" s="128" t="str">
        <f>VLOOKUP(source[[#This Row],[lending_product_transform]],[3]Mapping!$B$4:$C$37,2,0)</f>
        <v>[Cake] - Cashloan</v>
      </c>
      <c r="H3422" s="128" t="str">
        <f>VLOOKUP(source[[#This Row],[lending_product_transform]],[3]Mapping!$B$3:$D$37,3,0)</f>
        <v>cashloan</v>
      </c>
      <c r="I3422" s="143">
        <v>341810796</v>
      </c>
    </row>
    <row r="3423" spans="1:9" x14ac:dyDescent="0.2">
      <c r="A3423" s="134">
        <v>45612</v>
      </c>
      <c r="B3423" s="135">
        <f>YEAR(source[[#This Row],[report_date]])</f>
        <v>2024</v>
      </c>
      <c r="C3423" s="128">
        <f t="shared" si="153"/>
        <v>11</v>
      </c>
      <c r="D3423" s="136">
        <f t="shared" si="155"/>
        <v>46</v>
      </c>
      <c r="E3423" s="136">
        <f t="shared" si="154"/>
        <v>16</v>
      </c>
      <c r="F3423" s="137" t="s">
        <v>24</v>
      </c>
      <c r="G3423" s="128" t="str">
        <f>VLOOKUP(source[[#This Row],[lending_product_transform]],[3]Mapping!$B$4:$C$37,2,0)</f>
        <v>[Cake] - Cashloan</v>
      </c>
      <c r="H3423" s="128" t="str">
        <f>VLOOKUP(source[[#This Row],[lending_product_transform]],[3]Mapping!$B$3:$D$37,3,0)</f>
        <v>cashloan</v>
      </c>
      <c r="I3423" s="143">
        <v>61498390</v>
      </c>
    </row>
    <row r="3424" spans="1:9" x14ac:dyDescent="0.2">
      <c r="A3424" s="134">
        <v>45612</v>
      </c>
      <c r="B3424" s="135">
        <f>YEAR(source[[#This Row],[report_date]])</f>
        <v>2024</v>
      </c>
      <c r="C3424" s="128">
        <f t="shared" si="153"/>
        <v>11</v>
      </c>
      <c r="D3424" s="136">
        <f t="shared" si="155"/>
        <v>46</v>
      </c>
      <c r="E3424" s="136">
        <f t="shared" si="154"/>
        <v>16</v>
      </c>
      <c r="F3424" s="137" t="s">
        <v>24</v>
      </c>
      <c r="G3424" s="128" t="str">
        <f>VLOOKUP(source[[#This Row],[lending_product_transform]],[3]Mapping!$B$4:$C$37,2,0)</f>
        <v>[Cake] - Cashloan</v>
      </c>
      <c r="H3424" s="128" t="str">
        <f>VLOOKUP(source[[#This Row],[lending_product_transform]],[3]Mapping!$B$3:$D$37,3,0)</f>
        <v>cashloan</v>
      </c>
      <c r="I3424" s="143">
        <v>0</v>
      </c>
    </row>
    <row r="3425" spans="1:9" x14ac:dyDescent="0.2">
      <c r="A3425" s="134">
        <v>45612</v>
      </c>
      <c r="B3425" s="135">
        <f>YEAR(source[[#This Row],[report_date]])</f>
        <v>2024</v>
      </c>
      <c r="C3425" s="128">
        <f t="shared" si="153"/>
        <v>11</v>
      </c>
      <c r="D3425" s="136">
        <f t="shared" si="155"/>
        <v>46</v>
      </c>
      <c r="E3425" s="136">
        <f t="shared" si="154"/>
        <v>16</v>
      </c>
      <c r="F3425" s="137" t="s">
        <v>24</v>
      </c>
      <c r="G3425" s="128" t="str">
        <f>VLOOKUP(source[[#This Row],[lending_product_transform]],[3]Mapping!$B$4:$C$37,2,0)</f>
        <v>[Cake] - Cashloan</v>
      </c>
      <c r="H3425" s="128" t="str">
        <f>VLOOKUP(source[[#This Row],[lending_product_transform]],[3]Mapping!$B$3:$D$37,3,0)</f>
        <v>cashloan</v>
      </c>
      <c r="I3425" s="143">
        <v>5780130000</v>
      </c>
    </row>
    <row r="3426" spans="1:9" x14ac:dyDescent="0.2">
      <c r="A3426" s="134">
        <v>45613</v>
      </c>
      <c r="B3426" s="135">
        <f>YEAR(source[[#This Row],[report_date]])</f>
        <v>2024</v>
      </c>
      <c r="C3426" s="128">
        <f t="shared" si="153"/>
        <v>11</v>
      </c>
      <c r="D3426" s="136">
        <f t="shared" si="155"/>
        <v>46</v>
      </c>
      <c r="E3426" s="136">
        <f t="shared" si="154"/>
        <v>17</v>
      </c>
      <c r="F3426" s="137" t="s">
        <v>24</v>
      </c>
      <c r="G3426" s="128" t="str">
        <f>VLOOKUP(source[[#This Row],[lending_product_transform]],[3]Mapping!$B$4:$C$37,2,0)</f>
        <v>[Cake] - Cashloan</v>
      </c>
      <c r="H3426" s="128" t="str">
        <f>VLOOKUP(source[[#This Row],[lending_product_transform]],[3]Mapping!$B$3:$D$37,3,0)</f>
        <v>cashloan</v>
      </c>
      <c r="I3426" s="143">
        <v>0</v>
      </c>
    </row>
    <row r="3427" spans="1:9" x14ac:dyDescent="0.2">
      <c r="A3427" s="134">
        <v>45613</v>
      </c>
      <c r="B3427" s="135">
        <f>YEAR(source[[#This Row],[report_date]])</f>
        <v>2024</v>
      </c>
      <c r="C3427" s="128">
        <f t="shared" si="153"/>
        <v>11</v>
      </c>
      <c r="D3427" s="136">
        <f t="shared" si="155"/>
        <v>46</v>
      </c>
      <c r="E3427" s="136">
        <f t="shared" si="154"/>
        <v>17</v>
      </c>
      <c r="F3427" s="137" t="s">
        <v>24</v>
      </c>
      <c r="G3427" s="128" t="str">
        <f>VLOOKUP(source[[#This Row],[lending_product_transform]],[3]Mapping!$B$4:$C$37,2,0)</f>
        <v>[Cake] - Cashloan</v>
      </c>
      <c r="H3427" s="128" t="str">
        <f>VLOOKUP(source[[#This Row],[lending_product_transform]],[3]Mapping!$B$3:$D$37,3,0)</f>
        <v>cashloan</v>
      </c>
      <c r="I3427" s="143">
        <v>5579090000</v>
      </c>
    </row>
    <row r="3428" spans="1:9" x14ac:dyDescent="0.2">
      <c r="A3428" s="134">
        <v>45613</v>
      </c>
      <c r="B3428" s="135">
        <f>YEAR(source[[#This Row],[report_date]])</f>
        <v>2024</v>
      </c>
      <c r="C3428" s="128">
        <f t="shared" si="153"/>
        <v>11</v>
      </c>
      <c r="D3428" s="136">
        <f t="shared" si="155"/>
        <v>46</v>
      </c>
      <c r="E3428" s="136">
        <f t="shared" si="154"/>
        <v>17</v>
      </c>
      <c r="F3428" s="137" t="s">
        <v>24</v>
      </c>
      <c r="G3428" s="128" t="str">
        <f>VLOOKUP(source[[#This Row],[lending_product_transform]],[3]Mapping!$B$4:$C$37,2,0)</f>
        <v>[Cake] - Cashloan</v>
      </c>
      <c r="H3428" s="128" t="str">
        <f>VLOOKUP(source[[#This Row],[lending_product_transform]],[3]Mapping!$B$3:$D$37,3,0)</f>
        <v>cashloan</v>
      </c>
      <c r="I3428" s="143">
        <v>0</v>
      </c>
    </row>
    <row r="3429" spans="1:9" x14ac:dyDescent="0.2">
      <c r="A3429" s="134">
        <v>45613</v>
      </c>
      <c r="B3429" s="135">
        <f>YEAR(source[[#This Row],[report_date]])</f>
        <v>2024</v>
      </c>
      <c r="C3429" s="128">
        <f t="shared" si="153"/>
        <v>11</v>
      </c>
      <c r="D3429" s="136">
        <f t="shared" si="155"/>
        <v>46</v>
      </c>
      <c r="E3429" s="136">
        <f t="shared" si="154"/>
        <v>17</v>
      </c>
      <c r="F3429" s="137" t="s">
        <v>24</v>
      </c>
      <c r="G3429" s="128" t="str">
        <f>VLOOKUP(source[[#This Row],[lending_product_transform]],[3]Mapping!$B$4:$C$37,2,0)</f>
        <v>[Cake] - Cashloan</v>
      </c>
      <c r="H3429" s="128" t="str">
        <f>VLOOKUP(source[[#This Row],[lending_product_transform]],[3]Mapping!$B$3:$D$37,3,0)</f>
        <v>cashloan</v>
      </c>
      <c r="I3429" s="143">
        <v>608790000</v>
      </c>
    </row>
    <row r="3430" spans="1:9" x14ac:dyDescent="0.2">
      <c r="A3430" s="134">
        <v>45613</v>
      </c>
      <c r="B3430" s="135">
        <f>YEAR(source[[#This Row],[report_date]])</f>
        <v>2024</v>
      </c>
      <c r="C3430" s="128">
        <f t="shared" si="153"/>
        <v>11</v>
      </c>
      <c r="D3430" s="136">
        <f t="shared" si="155"/>
        <v>46</v>
      </c>
      <c r="E3430" s="136">
        <f t="shared" si="154"/>
        <v>17</v>
      </c>
      <c r="F3430" s="137" t="s">
        <v>24</v>
      </c>
      <c r="G3430" s="128" t="str">
        <f>VLOOKUP(source[[#This Row],[lending_product_transform]],[3]Mapping!$B$4:$C$37,2,0)</f>
        <v>[Cake] - Cashloan</v>
      </c>
      <c r="H3430" s="128" t="str">
        <f>VLOOKUP(source[[#This Row],[lending_product_transform]],[3]Mapping!$B$3:$D$37,3,0)</f>
        <v>cashloan</v>
      </c>
      <c r="I3430" s="143">
        <v>2754065183</v>
      </c>
    </row>
    <row r="3431" spans="1:9" x14ac:dyDescent="0.2">
      <c r="A3431" s="134">
        <v>45613</v>
      </c>
      <c r="B3431" s="135">
        <f>YEAR(source[[#This Row],[report_date]])</f>
        <v>2024</v>
      </c>
      <c r="C3431" s="128">
        <f t="shared" si="153"/>
        <v>11</v>
      </c>
      <c r="D3431" s="136">
        <f t="shared" si="155"/>
        <v>46</v>
      </c>
      <c r="E3431" s="136">
        <f t="shared" si="154"/>
        <v>17</v>
      </c>
      <c r="F3431" s="137" t="s">
        <v>24</v>
      </c>
      <c r="G3431" s="128" t="str">
        <f>VLOOKUP(source[[#This Row],[lending_product_transform]],[3]Mapping!$B$4:$C$37,2,0)</f>
        <v>[Cake] - Cashloan</v>
      </c>
      <c r="H3431" s="128" t="str">
        <f>VLOOKUP(source[[#This Row],[lending_product_transform]],[3]Mapping!$B$3:$D$37,3,0)</f>
        <v>cashloan</v>
      </c>
      <c r="I3431" s="143">
        <v>44000000</v>
      </c>
    </row>
    <row r="3432" spans="1:9" x14ac:dyDescent="0.2">
      <c r="A3432" s="134">
        <v>45613</v>
      </c>
      <c r="B3432" s="135">
        <f>YEAR(source[[#This Row],[report_date]])</f>
        <v>2024</v>
      </c>
      <c r="C3432" s="128">
        <f t="shared" si="153"/>
        <v>11</v>
      </c>
      <c r="D3432" s="136">
        <f t="shared" si="155"/>
        <v>46</v>
      </c>
      <c r="E3432" s="136">
        <f t="shared" si="154"/>
        <v>17</v>
      </c>
      <c r="F3432" s="137" t="s">
        <v>24</v>
      </c>
      <c r="G3432" s="128" t="str">
        <f>VLOOKUP(source[[#This Row],[lending_product_transform]],[3]Mapping!$B$4:$C$37,2,0)</f>
        <v>[Cake] - Cashloan</v>
      </c>
      <c r="H3432" s="128" t="str">
        <f>VLOOKUP(source[[#This Row],[lending_product_transform]],[3]Mapping!$B$3:$D$37,3,0)</f>
        <v>cashloan</v>
      </c>
      <c r="I3432" s="143">
        <v>274619566</v>
      </c>
    </row>
    <row r="3433" spans="1:9" x14ac:dyDescent="0.2">
      <c r="A3433" s="134">
        <v>45613</v>
      </c>
      <c r="B3433" s="135">
        <f>YEAR(source[[#This Row],[report_date]])</f>
        <v>2024</v>
      </c>
      <c r="C3433" s="128">
        <f t="shared" si="153"/>
        <v>11</v>
      </c>
      <c r="D3433" s="136">
        <f t="shared" si="155"/>
        <v>46</v>
      </c>
      <c r="E3433" s="136">
        <f t="shared" si="154"/>
        <v>17</v>
      </c>
      <c r="F3433" s="137" t="s">
        <v>24</v>
      </c>
      <c r="G3433" s="128" t="str">
        <f>VLOOKUP(source[[#This Row],[lending_product_transform]],[3]Mapping!$B$4:$C$37,2,0)</f>
        <v>[Cake] - Cashloan</v>
      </c>
      <c r="H3433" s="128" t="str">
        <f>VLOOKUP(source[[#This Row],[lending_product_transform]],[3]Mapping!$B$3:$D$37,3,0)</f>
        <v>cashloan</v>
      </c>
      <c r="I3433" s="143">
        <v>0</v>
      </c>
    </row>
    <row r="3434" spans="1:9" x14ac:dyDescent="0.2">
      <c r="A3434" s="134">
        <v>45613</v>
      </c>
      <c r="B3434" s="135">
        <f>YEAR(source[[#This Row],[report_date]])</f>
        <v>2024</v>
      </c>
      <c r="C3434" s="128">
        <f t="shared" si="153"/>
        <v>11</v>
      </c>
      <c r="D3434" s="136">
        <f t="shared" si="155"/>
        <v>46</v>
      </c>
      <c r="E3434" s="136">
        <f t="shared" si="154"/>
        <v>17</v>
      </c>
      <c r="F3434" s="137" t="s">
        <v>24</v>
      </c>
      <c r="G3434" s="128" t="str">
        <f>VLOOKUP(source[[#This Row],[lending_product_transform]],[3]Mapping!$B$4:$C$37,2,0)</f>
        <v>[Cake] - Cashloan</v>
      </c>
      <c r="H3434" s="128" t="str">
        <f>VLOOKUP(source[[#This Row],[lending_product_transform]],[3]Mapping!$B$3:$D$37,3,0)</f>
        <v>cashloan</v>
      </c>
      <c r="I3434" s="143">
        <v>21400000</v>
      </c>
    </row>
    <row r="3435" spans="1:9" x14ac:dyDescent="0.2">
      <c r="A3435" s="134">
        <v>45613</v>
      </c>
      <c r="B3435" s="135">
        <f>YEAR(source[[#This Row],[report_date]])</f>
        <v>2024</v>
      </c>
      <c r="C3435" s="128">
        <f t="shared" si="153"/>
        <v>11</v>
      </c>
      <c r="D3435" s="136">
        <f t="shared" si="155"/>
        <v>46</v>
      </c>
      <c r="E3435" s="136">
        <f t="shared" si="154"/>
        <v>17</v>
      </c>
      <c r="F3435" s="137" t="s">
        <v>24</v>
      </c>
      <c r="G3435" s="128" t="str">
        <f>VLOOKUP(source[[#This Row],[lending_product_transform]],[3]Mapping!$B$4:$C$37,2,0)</f>
        <v>[Cake] - Cashloan</v>
      </c>
      <c r="H3435" s="128" t="str">
        <f>VLOOKUP(source[[#This Row],[lending_product_transform]],[3]Mapping!$B$3:$D$37,3,0)</f>
        <v>cashloan</v>
      </c>
      <c r="I3435" s="143">
        <v>69920000</v>
      </c>
    </row>
    <row r="3436" spans="1:9" x14ac:dyDescent="0.2">
      <c r="A3436" s="134">
        <v>45613</v>
      </c>
      <c r="B3436" s="135">
        <f>YEAR(source[[#This Row],[report_date]])</f>
        <v>2024</v>
      </c>
      <c r="C3436" s="128">
        <f t="shared" si="153"/>
        <v>11</v>
      </c>
      <c r="D3436" s="136">
        <f t="shared" si="155"/>
        <v>46</v>
      </c>
      <c r="E3436" s="136">
        <f t="shared" si="154"/>
        <v>17</v>
      </c>
      <c r="F3436" s="137" t="s">
        <v>24</v>
      </c>
      <c r="G3436" s="128" t="str">
        <f>VLOOKUP(source[[#This Row],[lending_product_transform]],[3]Mapping!$B$4:$C$37,2,0)</f>
        <v>[Cake] - Cashloan</v>
      </c>
      <c r="H3436" s="128" t="str">
        <f>VLOOKUP(source[[#This Row],[lending_product_transform]],[3]Mapping!$B$3:$D$37,3,0)</f>
        <v>cashloan</v>
      </c>
      <c r="I3436" s="143">
        <v>0</v>
      </c>
    </row>
    <row r="3437" spans="1:9" x14ac:dyDescent="0.2">
      <c r="A3437" s="134">
        <v>45613</v>
      </c>
      <c r="B3437" s="135">
        <f>YEAR(source[[#This Row],[report_date]])</f>
        <v>2024</v>
      </c>
      <c r="C3437" s="128">
        <f t="shared" si="153"/>
        <v>11</v>
      </c>
      <c r="D3437" s="136">
        <f t="shared" si="155"/>
        <v>46</v>
      </c>
      <c r="E3437" s="136">
        <f t="shared" si="154"/>
        <v>17</v>
      </c>
      <c r="F3437" s="137" t="s">
        <v>24</v>
      </c>
      <c r="G3437" s="128" t="str">
        <f>VLOOKUP(source[[#This Row],[lending_product_transform]],[3]Mapping!$B$4:$C$37,2,0)</f>
        <v>[Cake] - Cashloan</v>
      </c>
      <c r="H3437" s="128" t="str">
        <f>VLOOKUP(source[[#This Row],[lending_product_transform]],[3]Mapping!$B$3:$D$37,3,0)</f>
        <v>cashloan</v>
      </c>
      <c r="I3437" s="143">
        <v>49884376</v>
      </c>
    </row>
    <row r="3438" spans="1:9" x14ac:dyDescent="0.2">
      <c r="A3438" s="134">
        <v>45613</v>
      </c>
      <c r="B3438" s="135">
        <f>YEAR(source[[#This Row],[report_date]])</f>
        <v>2024</v>
      </c>
      <c r="C3438" s="128">
        <f t="shared" si="153"/>
        <v>11</v>
      </c>
      <c r="D3438" s="136">
        <f t="shared" si="155"/>
        <v>46</v>
      </c>
      <c r="E3438" s="136">
        <f t="shared" si="154"/>
        <v>17</v>
      </c>
      <c r="F3438" s="137" t="s">
        <v>24</v>
      </c>
      <c r="G3438" s="128" t="str">
        <f>VLOOKUP(source[[#This Row],[lending_product_transform]],[3]Mapping!$B$4:$C$37,2,0)</f>
        <v>[Cake] - Cashloan</v>
      </c>
      <c r="H3438" s="128" t="str">
        <f>VLOOKUP(source[[#This Row],[lending_product_transform]],[3]Mapping!$B$3:$D$37,3,0)</f>
        <v>cashloan</v>
      </c>
      <c r="I3438" s="143">
        <v>3883500000</v>
      </c>
    </row>
    <row r="3439" spans="1:9" x14ac:dyDescent="0.2">
      <c r="A3439" s="134">
        <v>45613</v>
      </c>
      <c r="B3439" s="135">
        <f>YEAR(source[[#This Row],[report_date]])</f>
        <v>2024</v>
      </c>
      <c r="C3439" s="128">
        <f t="shared" si="153"/>
        <v>11</v>
      </c>
      <c r="D3439" s="136">
        <f t="shared" si="155"/>
        <v>46</v>
      </c>
      <c r="E3439" s="136">
        <f t="shared" si="154"/>
        <v>17</v>
      </c>
      <c r="F3439" s="137" t="s">
        <v>24</v>
      </c>
      <c r="G3439" s="128" t="str">
        <f>VLOOKUP(source[[#This Row],[lending_product_transform]],[3]Mapping!$B$4:$C$37,2,0)</f>
        <v>[Cake] - Cashloan</v>
      </c>
      <c r="H3439" s="128" t="str">
        <f>VLOOKUP(source[[#This Row],[lending_product_transform]],[3]Mapping!$B$3:$D$37,3,0)</f>
        <v>cashloan</v>
      </c>
      <c r="I3439" s="143">
        <v>0</v>
      </c>
    </row>
    <row r="3440" spans="1:9" x14ac:dyDescent="0.2">
      <c r="A3440" s="134">
        <v>45613</v>
      </c>
      <c r="B3440" s="135">
        <f>YEAR(source[[#This Row],[report_date]])</f>
        <v>2024</v>
      </c>
      <c r="C3440" s="128">
        <f t="shared" si="153"/>
        <v>11</v>
      </c>
      <c r="D3440" s="136">
        <f t="shared" si="155"/>
        <v>46</v>
      </c>
      <c r="E3440" s="136">
        <f t="shared" si="154"/>
        <v>17</v>
      </c>
      <c r="F3440" s="137" t="s">
        <v>24</v>
      </c>
      <c r="G3440" s="128" t="str">
        <f>VLOOKUP(source[[#This Row],[lending_product_transform]],[3]Mapping!$B$4:$C$37,2,0)</f>
        <v>[Cake] - Cashloan</v>
      </c>
      <c r="H3440" s="128" t="str">
        <f>VLOOKUP(source[[#This Row],[lending_product_transform]],[3]Mapping!$B$3:$D$37,3,0)</f>
        <v>cashloan</v>
      </c>
      <c r="I3440" s="143">
        <v>3867930000</v>
      </c>
    </row>
    <row r="3441" spans="1:9" x14ac:dyDescent="0.2">
      <c r="A3441" s="134">
        <v>45613</v>
      </c>
      <c r="B3441" s="135">
        <f>YEAR(source[[#This Row],[report_date]])</f>
        <v>2024</v>
      </c>
      <c r="C3441" s="128">
        <f t="shared" si="153"/>
        <v>11</v>
      </c>
      <c r="D3441" s="136">
        <f t="shared" si="155"/>
        <v>46</v>
      </c>
      <c r="E3441" s="136">
        <f t="shared" si="154"/>
        <v>17</v>
      </c>
      <c r="F3441" s="137" t="s">
        <v>24</v>
      </c>
      <c r="G3441" s="128" t="str">
        <f>VLOOKUP(source[[#This Row],[lending_product_transform]],[3]Mapping!$B$4:$C$37,2,0)</f>
        <v>[Cake] - Cashloan</v>
      </c>
      <c r="H3441" s="128" t="str">
        <f>VLOOKUP(source[[#This Row],[lending_product_transform]],[3]Mapping!$B$3:$D$37,3,0)</f>
        <v>cashloan</v>
      </c>
      <c r="I3441" s="143">
        <v>21000000</v>
      </c>
    </row>
    <row r="3442" spans="1:9" x14ac:dyDescent="0.2">
      <c r="A3442" s="134">
        <v>45614</v>
      </c>
      <c r="B3442" s="135">
        <f>YEAR(source[[#This Row],[report_date]])</f>
        <v>2024</v>
      </c>
      <c r="C3442" s="128">
        <f t="shared" si="153"/>
        <v>11</v>
      </c>
      <c r="D3442" s="136">
        <f t="shared" si="155"/>
        <v>47</v>
      </c>
      <c r="E3442" s="136">
        <f t="shared" si="154"/>
        <v>18</v>
      </c>
      <c r="F3442" s="137" t="s">
        <v>24</v>
      </c>
      <c r="G3442" s="128" t="str">
        <f>VLOOKUP(source[[#This Row],[lending_product_transform]],[3]Mapping!$B$4:$C$37,2,0)</f>
        <v>[Cake] - Cashloan</v>
      </c>
      <c r="H3442" s="128" t="str">
        <f>VLOOKUP(source[[#This Row],[lending_product_transform]],[3]Mapping!$B$3:$D$37,3,0)</f>
        <v>cashloan</v>
      </c>
      <c r="I3442" s="143">
        <v>0</v>
      </c>
    </row>
    <row r="3443" spans="1:9" x14ac:dyDescent="0.2">
      <c r="A3443" s="134">
        <v>45614</v>
      </c>
      <c r="B3443" s="135">
        <f>YEAR(source[[#This Row],[report_date]])</f>
        <v>2024</v>
      </c>
      <c r="C3443" s="128">
        <f t="shared" si="153"/>
        <v>11</v>
      </c>
      <c r="D3443" s="136">
        <f t="shared" si="155"/>
        <v>47</v>
      </c>
      <c r="E3443" s="136">
        <f t="shared" si="154"/>
        <v>18</v>
      </c>
      <c r="F3443" s="137" t="s">
        <v>24</v>
      </c>
      <c r="G3443" s="128" t="str">
        <f>VLOOKUP(source[[#This Row],[lending_product_transform]],[3]Mapping!$B$4:$C$37,2,0)</f>
        <v>[Cake] - Cashloan</v>
      </c>
      <c r="H3443" s="128" t="str">
        <f>VLOOKUP(source[[#This Row],[lending_product_transform]],[3]Mapping!$B$3:$D$37,3,0)</f>
        <v>cashloan</v>
      </c>
      <c r="I3443" s="143">
        <v>0</v>
      </c>
    </row>
    <row r="3444" spans="1:9" x14ac:dyDescent="0.2">
      <c r="A3444" s="134">
        <v>45614</v>
      </c>
      <c r="B3444" s="135">
        <f>YEAR(source[[#This Row],[report_date]])</f>
        <v>2024</v>
      </c>
      <c r="C3444" s="128">
        <f t="shared" si="153"/>
        <v>11</v>
      </c>
      <c r="D3444" s="136">
        <f t="shared" si="155"/>
        <v>47</v>
      </c>
      <c r="E3444" s="136">
        <f t="shared" si="154"/>
        <v>18</v>
      </c>
      <c r="F3444" s="137" t="s">
        <v>24</v>
      </c>
      <c r="G3444" s="128" t="str">
        <f>VLOOKUP(source[[#This Row],[lending_product_transform]],[3]Mapping!$B$4:$C$37,2,0)</f>
        <v>[Cake] - Cashloan</v>
      </c>
      <c r="H3444" s="128" t="str">
        <f>VLOOKUP(source[[#This Row],[lending_product_transform]],[3]Mapping!$B$3:$D$37,3,0)</f>
        <v>cashloan</v>
      </c>
      <c r="I3444" s="143">
        <v>3405724713</v>
      </c>
    </row>
    <row r="3445" spans="1:9" x14ac:dyDescent="0.2">
      <c r="A3445" s="134">
        <v>45614</v>
      </c>
      <c r="B3445" s="135">
        <f>YEAR(source[[#This Row],[report_date]])</f>
        <v>2024</v>
      </c>
      <c r="C3445" s="128">
        <f t="shared" si="153"/>
        <v>11</v>
      </c>
      <c r="D3445" s="136">
        <f t="shared" si="155"/>
        <v>47</v>
      </c>
      <c r="E3445" s="136">
        <f t="shared" si="154"/>
        <v>18</v>
      </c>
      <c r="F3445" s="137" t="s">
        <v>24</v>
      </c>
      <c r="G3445" s="128" t="str">
        <f>VLOOKUP(source[[#This Row],[lending_product_transform]],[3]Mapping!$B$4:$C$37,2,0)</f>
        <v>[Cake] - Cashloan</v>
      </c>
      <c r="H3445" s="128" t="str">
        <f>VLOOKUP(source[[#This Row],[lending_product_transform]],[3]Mapping!$B$3:$D$37,3,0)</f>
        <v>cashloan</v>
      </c>
      <c r="I3445" s="143">
        <v>68965950</v>
      </c>
    </row>
    <row r="3446" spans="1:9" x14ac:dyDescent="0.2">
      <c r="A3446" s="134">
        <v>45614</v>
      </c>
      <c r="B3446" s="135">
        <f>YEAR(source[[#This Row],[report_date]])</f>
        <v>2024</v>
      </c>
      <c r="C3446" s="128">
        <f t="shared" si="153"/>
        <v>11</v>
      </c>
      <c r="D3446" s="136">
        <f t="shared" si="155"/>
        <v>47</v>
      </c>
      <c r="E3446" s="136">
        <f t="shared" si="154"/>
        <v>18</v>
      </c>
      <c r="F3446" s="137" t="s">
        <v>24</v>
      </c>
      <c r="G3446" s="128" t="str">
        <f>VLOOKUP(source[[#This Row],[lending_product_transform]],[3]Mapping!$B$4:$C$37,2,0)</f>
        <v>[Cake] - Cashloan</v>
      </c>
      <c r="H3446" s="128" t="str">
        <f>VLOOKUP(source[[#This Row],[lending_product_transform]],[3]Mapping!$B$3:$D$37,3,0)</f>
        <v>cashloan</v>
      </c>
      <c r="I3446" s="143">
        <v>71450000</v>
      </c>
    </row>
    <row r="3447" spans="1:9" x14ac:dyDescent="0.2">
      <c r="A3447" s="134">
        <v>45614</v>
      </c>
      <c r="B3447" s="135">
        <f>YEAR(source[[#This Row],[report_date]])</f>
        <v>2024</v>
      </c>
      <c r="C3447" s="128">
        <f t="shared" si="153"/>
        <v>11</v>
      </c>
      <c r="D3447" s="136">
        <f t="shared" si="155"/>
        <v>47</v>
      </c>
      <c r="E3447" s="136">
        <f t="shared" si="154"/>
        <v>18</v>
      </c>
      <c r="F3447" s="137" t="s">
        <v>24</v>
      </c>
      <c r="G3447" s="128" t="str">
        <f>VLOOKUP(source[[#This Row],[lending_product_transform]],[3]Mapping!$B$4:$C$37,2,0)</f>
        <v>[Cake] - Cashloan</v>
      </c>
      <c r="H3447" s="128" t="str">
        <f>VLOOKUP(source[[#This Row],[lending_product_transform]],[3]Mapping!$B$3:$D$37,3,0)</f>
        <v>cashloan</v>
      </c>
      <c r="I3447" s="143">
        <v>5000000</v>
      </c>
    </row>
    <row r="3448" spans="1:9" x14ac:dyDescent="0.2">
      <c r="A3448" s="134">
        <v>45614</v>
      </c>
      <c r="B3448" s="135">
        <f>YEAR(source[[#This Row],[report_date]])</f>
        <v>2024</v>
      </c>
      <c r="C3448" s="128">
        <f t="shared" si="153"/>
        <v>11</v>
      </c>
      <c r="D3448" s="136">
        <f t="shared" si="155"/>
        <v>47</v>
      </c>
      <c r="E3448" s="136">
        <f t="shared" si="154"/>
        <v>18</v>
      </c>
      <c r="F3448" s="137" t="s">
        <v>24</v>
      </c>
      <c r="G3448" s="128" t="str">
        <f>VLOOKUP(source[[#This Row],[lending_product_transform]],[3]Mapping!$B$4:$C$37,2,0)</f>
        <v>[Cake] - Cashloan</v>
      </c>
      <c r="H3448" s="128" t="str">
        <f>VLOOKUP(source[[#This Row],[lending_product_transform]],[3]Mapping!$B$3:$D$37,3,0)</f>
        <v>cashloan</v>
      </c>
      <c r="I3448" s="143">
        <v>0</v>
      </c>
    </row>
    <row r="3449" spans="1:9" x14ac:dyDescent="0.2">
      <c r="A3449" s="134">
        <v>45614</v>
      </c>
      <c r="B3449" s="135">
        <f>YEAR(source[[#This Row],[report_date]])</f>
        <v>2024</v>
      </c>
      <c r="C3449" s="128">
        <f t="shared" si="153"/>
        <v>11</v>
      </c>
      <c r="D3449" s="136">
        <f t="shared" si="155"/>
        <v>47</v>
      </c>
      <c r="E3449" s="136">
        <f t="shared" si="154"/>
        <v>18</v>
      </c>
      <c r="F3449" s="137" t="s">
        <v>24</v>
      </c>
      <c r="G3449" s="128" t="str">
        <f>VLOOKUP(source[[#This Row],[lending_product_transform]],[3]Mapping!$B$4:$C$37,2,0)</f>
        <v>[Cake] - Cashloan</v>
      </c>
      <c r="H3449" s="128" t="str">
        <f>VLOOKUP(source[[#This Row],[lending_product_transform]],[3]Mapping!$B$3:$D$37,3,0)</f>
        <v>cashloan</v>
      </c>
      <c r="I3449" s="143">
        <v>4391500000</v>
      </c>
    </row>
    <row r="3450" spans="1:9" x14ac:dyDescent="0.2">
      <c r="A3450" s="134">
        <v>45614</v>
      </c>
      <c r="B3450" s="135">
        <f>YEAR(source[[#This Row],[report_date]])</f>
        <v>2024</v>
      </c>
      <c r="C3450" s="128">
        <f t="shared" si="153"/>
        <v>11</v>
      </c>
      <c r="D3450" s="136">
        <f t="shared" si="155"/>
        <v>47</v>
      </c>
      <c r="E3450" s="136">
        <f t="shared" si="154"/>
        <v>18</v>
      </c>
      <c r="F3450" s="137" t="s">
        <v>24</v>
      </c>
      <c r="G3450" s="128" t="str">
        <f>VLOOKUP(source[[#This Row],[lending_product_transform]],[3]Mapping!$B$4:$C$37,2,0)</f>
        <v>[Cake] - Cashloan</v>
      </c>
      <c r="H3450" s="128" t="str">
        <f>VLOOKUP(source[[#This Row],[lending_product_transform]],[3]Mapping!$B$3:$D$37,3,0)</f>
        <v>cashloan</v>
      </c>
      <c r="I3450" s="143">
        <v>0</v>
      </c>
    </row>
    <row r="3451" spans="1:9" x14ac:dyDescent="0.2">
      <c r="A3451" s="134">
        <v>45614</v>
      </c>
      <c r="B3451" s="135">
        <f>YEAR(source[[#This Row],[report_date]])</f>
        <v>2024</v>
      </c>
      <c r="C3451" s="128">
        <f t="shared" si="153"/>
        <v>11</v>
      </c>
      <c r="D3451" s="136">
        <f t="shared" si="155"/>
        <v>47</v>
      </c>
      <c r="E3451" s="136">
        <f t="shared" si="154"/>
        <v>18</v>
      </c>
      <c r="F3451" s="137" t="s">
        <v>24</v>
      </c>
      <c r="G3451" s="128" t="str">
        <f>VLOOKUP(source[[#This Row],[lending_product_transform]],[3]Mapping!$B$4:$C$37,2,0)</f>
        <v>[Cake] - Cashloan</v>
      </c>
      <c r="H3451" s="128" t="str">
        <f>VLOOKUP(source[[#This Row],[lending_product_transform]],[3]Mapping!$B$3:$D$37,3,0)</f>
        <v>cashloan</v>
      </c>
      <c r="I3451" s="143">
        <v>311628124</v>
      </c>
    </row>
    <row r="3452" spans="1:9" x14ac:dyDescent="0.2">
      <c r="A3452" s="134">
        <v>45614</v>
      </c>
      <c r="B3452" s="135">
        <f>YEAR(source[[#This Row],[report_date]])</f>
        <v>2024</v>
      </c>
      <c r="C3452" s="128">
        <f t="shared" si="153"/>
        <v>11</v>
      </c>
      <c r="D3452" s="136">
        <f t="shared" si="155"/>
        <v>47</v>
      </c>
      <c r="E3452" s="136">
        <f t="shared" si="154"/>
        <v>18</v>
      </c>
      <c r="F3452" s="137" t="s">
        <v>24</v>
      </c>
      <c r="G3452" s="128" t="str">
        <f>VLOOKUP(source[[#This Row],[lending_product_transform]],[3]Mapping!$B$4:$C$37,2,0)</f>
        <v>[Cake] - Cashloan</v>
      </c>
      <c r="H3452" s="128" t="str">
        <f>VLOOKUP(source[[#This Row],[lending_product_transform]],[3]Mapping!$B$3:$D$37,3,0)</f>
        <v>cashloan</v>
      </c>
      <c r="I3452" s="143">
        <v>441990000</v>
      </c>
    </row>
    <row r="3453" spans="1:9" x14ac:dyDescent="0.2">
      <c r="A3453" s="134">
        <v>45614</v>
      </c>
      <c r="B3453" s="135">
        <f>YEAR(source[[#This Row],[report_date]])</f>
        <v>2024</v>
      </c>
      <c r="C3453" s="128">
        <f t="shared" si="153"/>
        <v>11</v>
      </c>
      <c r="D3453" s="136">
        <f t="shared" si="155"/>
        <v>47</v>
      </c>
      <c r="E3453" s="136">
        <f t="shared" si="154"/>
        <v>18</v>
      </c>
      <c r="F3453" s="137" t="s">
        <v>24</v>
      </c>
      <c r="G3453" s="128" t="str">
        <f>VLOOKUP(source[[#This Row],[lending_product_transform]],[3]Mapping!$B$4:$C$37,2,0)</f>
        <v>[Cake] - Cashloan</v>
      </c>
      <c r="H3453" s="128" t="str">
        <f>VLOOKUP(source[[#This Row],[lending_product_transform]],[3]Mapping!$B$3:$D$37,3,0)</f>
        <v>cashloan</v>
      </c>
      <c r="I3453" s="143">
        <v>206631307</v>
      </c>
    </row>
    <row r="3454" spans="1:9" x14ac:dyDescent="0.2">
      <c r="A3454" s="134">
        <v>45614</v>
      </c>
      <c r="B3454" s="135">
        <f>YEAR(source[[#This Row],[report_date]])</f>
        <v>2024</v>
      </c>
      <c r="C3454" s="128">
        <f t="shared" si="153"/>
        <v>11</v>
      </c>
      <c r="D3454" s="136">
        <f t="shared" si="155"/>
        <v>47</v>
      </c>
      <c r="E3454" s="136">
        <f t="shared" si="154"/>
        <v>18</v>
      </c>
      <c r="F3454" s="137" t="s">
        <v>24</v>
      </c>
      <c r="G3454" s="128" t="str">
        <f>VLOOKUP(source[[#This Row],[lending_product_transform]],[3]Mapping!$B$4:$C$37,2,0)</f>
        <v>[Cake] - Cashloan</v>
      </c>
      <c r="H3454" s="128" t="str">
        <f>VLOOKUP(source[[#This Row],[lending_product_transform]],[3]Mapping!$B$3:$D$37,3,0)</f>
        <v>cashloan</v>
      </c>
      <c r="I3454" s="143">
        <v>16050000</v>
      </c>
    </row>
    <row r="3455" spans="1:9" x14ac:dyDescent="0.2">
      <c r="A3455" s="134">
        <v>45614</v>
      </c>
      <c r="B3455" s="135">
        <f>YEAR(source[[#This Row],[report_date]])</f>
        <v>2024</v>
      </c>
      <c r="C3455" s="128">
        <f t="shared" si="153"/>
        <v>11</v>
      </c>
      <c r="D3455" s="136">
        <f t="shared" si="155"/>
        <v>47</v>
      </c>
      <c r="E3455" s="136">
        <f t="shared" si="154"/>
        <v>18</v>
      </c>
      <c r="F3455" s="137" t="s">
        <v>24</v>
      </c>
      <c r="G3455" s="128" t="str">
        <f>VLOOKUP(source[[#This Row],[lending_product_transform]],[3]Mapping!$B$4:$C$37,2,0)</f>
        <v>[Cake] - Cashloan</v>
      </c>
      <c r="H3455" s="128" t="str">
        <f>VLOOKUP(source[[#This Row],[lending_product_transform]],[3]Mapping!$B$3:$D$37,3,0)</f>
        <v>cashloan</v>
      </c>
      <c r="I3455" s="143">
        <v>4851130000</v>
      </c>
    </row>
    <row r="3456" spans="1:9" x14ac:dyDescent="0.2">
      <c r="A3456" s="134">
        <v>45614</v>
      </c>
      <c r="B3456" s="135">
        <f>YEAR(source[[#This Row],[report_date]])</f>
        <v>2024</v>
      </c>
      <c r="C3456" s="128">
        <f t="shared" si="153"/>
        <v>11</v>
      </c>
      <c r="D3456" s="136">
        <f t="shared" si="155"/>
        <v>47</v>
      </c>
      <c r="E3456" s="136">
        <f t="shared" si="154"/>
        <v>18</v>
      </c>
      <c r="F3456" s="137" t="s">
        <v>24</v>
      </c>
      <c r="G3456" s="128" t="str">
        <f>VLOOKUP(source[[#This Row],[lending_product_transform]],[3]Mapping!$B$4:$C$37,2,0)</f>
        <v>[Cake] - Cashloan</v>
      </c>
      <c r="H3456" s="128" t="str">
        <f>VLOOKUP(source[[#This Row],[lending_product_transform]],[3]Mapping!$B$3:$D$37,3,0)</f>
        <v>cashloan</v>
      </c>
      <c r="I3456" s="143">
        <v>7273280000</v>
      </c>
    </row>
    <row r="3457" spans="1:9" x14ac:dyDescent="0.2">
      <c r="A3457" s="134">
        <v>45614</v>
      </c>
      <c r="B3457" s="135">
        <f>YEAR(source[[#This Row],[report_date]])</f>
        <v>2024</v>
      </c>
      <c r="C3457" s="128">
        <f t="shared" si="153"/>
        <v>11</v>
      </c>
      <c r="D3457" s="136">
        <f t="shared" si="155"/>
        <v>47</v>
      </c>
      <c r="E3457" s="136">
        <f t="shared" si="154"/>
        <v>18</v>
      </c>
      <c r="F3457" s="137" t="s">
        <v>24</v>
      </c>
      <c r="G3457" s="128" t="str">
        <f>VLOOKUP(source[[#This Row],[lending_product_transform]],[3]Mapping!$B$4:$C$37,2,0)</f>
        <v>[Cake] - Cashloan</v>
      </c>
      <c r="H3457" s="128" t="str">
        <f>VLOOKUP(source[[#This Row],[lending_product_transform]],[3]Mapping!$B$3:$D$37,3,0)</f>
        <v>cashloan</v>
      </c>
      <c r="I3457" s="143">
        <v>67000000</v>
      </c>
    </row>
    <row r="3458" spans="1:9" x14ac:dyDescent="0.2">
      <c r="A3458" s="134">
        <v>45614</v>
      </c>
      <c r="B3458" s="135">
        <f>YEAR(source[[#This Row],[report_date]])</f>
        <v>2024</v>
      </c>
      <c r="C3458" s="128">
        <f t="shared" ref="C3458:C3521" si="156">MONTH(A3458)</f>
        <v>11</v>
      </c>
      <c r="D3458" s="136">
        <f t="shared" si="155"/>
        <v>47</v>
      </c>
      <c r="E3458" s="136">
        <f t="shared" ref="E3458:E3521" si="157">DAY(A3458)</f>
        <v>18</v>
      </c>
      <c r="F3458" s="137" t="s">
        <v>24</v>
      </c>
      <c r="G3458" s="128" t="str">
        <f>VLOOKUP(source[[#This Row],[lending_product_transform]],[3]Mapping!$B$4:$C$37,2,0)</f>
        <v>[Cake] - Cashloan</v>
      </c>
      <c r="H3458" s="128" t="str">
        <f>VLOOKUP(source[[#This Row],[lending_product_transform]],[3]Mapping!$B$3:$D$37,3,0)</f>
        <v>cashloan</v>
      </c>
      <c r="I3458" s="143">
        <v>66380000</v>
      </c>
    </row>
    <row r="3459" spans="1:9" x14ac:dyDescent="0.2">
      <c r="A3459" s="134">
        <v>45615</v>
      </c>
      <c r="B3459" s="135">
        <f>YEAR(source[[#This Row],[report_date]])</f>
        <v>2024</v>
      </c>
      <c r="C3459" s="128">
        <f t="shared" si="156"/>
        <v>11</v>
      </c>
      <c r="D3459" s="136">
        <f t="shared" ref="D3459:D3522" si="158">WEEKNUM(A3459,2)</f>
        <v>47</v>
      </c>
      <c r="E3459" s="136">
        <f t="shared" si="157"/>
        <v>19</v>
      </c>
      <c r="F3459" s="137" t="s">
        <v>24</v>
      </c>
      <c r="G3459" s="128" t="str">
        <f>VLOOKUP(source[[#This Row],[lending_product_transform]],[3]Mapping!$B$4:$C$37,2,0)</f>
        <v>[Cake] - Cashloan</v>
      </c>
      <c r="H3459" s="128" t="str">
        <f>VLOOKUP(source[[#This Row],[lending_product_transform]],[3]Mapping!$B$3:$D$37,3,0)</f>
        <v>cashloan</v>
      </c>
      <c r="I3459" s="143">
        <v>0</v>
      </c>
    </row>
    <row r="3460" spans="1:9" x14ac:dyDescent="0.2">
      <c r="A3460" s="134">
        <v>45615</v>
      </c>
      <c r="B3460" s="135">
        <f>YEAR(source[[#This Row],[report_date]])</f>
        <v>2024</v>
      </c>
      <c r="C3460" s="128">
        <f t="shared" si="156"/>
        <v>11</v>
      </c>
      <c r="D3460" s="136">
        <f t="shared" si="158"/>
        <v>47</v>
      </c>
      <c r="E3460" s="136">
        <f t="shared" si="157"/>
        <v>19</v>
      </c>
      <c r="F3460" s="137" t="s">
        <v>24</v>
      </c>
      <c r="G3460" s="128" t="str">
        <f>VLOOKUP(source[[#This Row],[lending_product_transform]],[3]Mapping!$B$4:$C$37,2,0)</f>
        <v>[Cake] - Cashloan</v>
      </c>
      <c r="H3460" s="128" t="str">
        <f>VLOOKUP(source[[#This Row],[lending_product_transform]],[3]Mapping!$B$3:$D$37,3,0)</f>
        <v>cashloan</v>
      </c>
      <c r="I3460" s="143">
        <v>33600000</v>
      </c>
    </row>
    <row r="3461" spans="1:9" x14ac:dyDescent="0.2">
      <c r="A3461" s="134">
        <v>45615</v>
      </c>
      <c r="B3461" s="135">
        <f>YEAR(source[[#This Row],[report_date]])</f>
        <v>2024</v>
      </c>
      <c r="C3461" s="128">
        <f t="shared" si="156"/>
        <v>11</v>
      </c>
      <c r="D3461" s="136">
        <f t="shared" si="158"/>
        <v>47</v>
      </c>
      <c r="E3461" s="136">
        <f t="shared" si="157"/>
        <v>19</v>
      </c>
      <c r="F3461" s="137" t="s">
        <v>24</v>
      </c>
      <c r="G3461" s="128" t="str">
        <f>VLOOKUP(source[[#This Row],[lending_product_transform]],[3]Mapping!$B$4:$C$37,2,0)</f>
        <v>[Cake] - Cashloan</v>
      </c>
      <c r="H3461" s="128" t="str">
        <f>VLOOKUP(source[[#This Row],[lending_product_transform]],[3]Mapping!$B$3:$D$37,3,0)</f>
        <v>cashloan</v>
      </c>
      <c r="I3461" s="143">
        <v>0</v>
      </c>
    </row>
    <row r="3462" spans="1:9" x14ac:dyDescent="0.2">
      <c r="A3462" s="134">
        <v>45615</v>
      </c>
      <c r="B3462" s="135">
        <f>YEAR(source[[#This Row],[report_date]])</f>
        <v>2024</v>
      </c>
      <c r="C3462" s="128">
        <f t="shared" si="156"/>
        <v>11</v>
      </c>
      <c r="D3462" s="136">
        <f t="shared" si="158"/>
        <v>47</v>
      </c>
      <c r="E3462" s="136">
        <f t="shared" si="157"/>
        <v>19</v>
      </c>
      <c r="F3462" s="137" t="s">
        <v>24</v>
      </c>
      <c r="G3462" s="128" t="str">
        <f>VLOOKUP(source[[#This Row],[lending_product_transform]],[3]Mapping!$B$4:$C$37,2,0)</f>
        <v>[Cake] - Cashloan</v>
      </c>
      <c r="H3462" s="128" t="str">
        <f>VLOOKUP(source[[#This Row],[lending_product_transform]],[3]Mapping!$B$3:$D$37,3,0)</f>
        <v>cashloan</v>
      </c>
      <c r="I3462" s="143">
        <v>343540581</v>
      </c>
    </row>
    <row r="3463" spans="1:9" x14ac:dyDescent="0.2">
      <c r="A3463" s="134">
        <v>45615</v>
      </c>
      <c r="B3463" s="135">
        <f>YEAR(source[[#This Row],[report_date]])</f>
        <v>2024</v>
      </c>
      <c r="C3463" s="128">
        <f t="shared" si="156"/>
        <v>11</v>
      </c>
      <c r="D3463" s="136">
        <f t="shared" si="158"/>
        <v>47</v>
      </c>
      <c r="E3463" s="136">
        <f t="shared" si="157"/>
        <v>19</v>
      </c>
      <c r="F3463" s="137" t="s">
        <v>24</v>
      </c>
      <c r="G3463" s="128" t="str">
        <f>VLOOKUP(source[[#This Row],[lending_product_transform]],[3]Mapping!$B$4:$C$37,2,0)</f>
        <v>[Cake] - Cashloan</v>
      </c>
      <c r="H3463" s="128" t="str">
        <f>VLOOKUP(source[[#This Row],[lending_product_transform]],[3]Mapping!$B$3:$D$37,3,0)</f>
        <v>cashloan</v>
      </c>
      <c r="I3463" s="143">
        <v>5000000</v>
      </c>
    </row>
    <row r="3464" spans="1:9" x14ac:dyDescent="0.2">
      <c r="A3464" s="134">
        <v>45615</v>
      </c>
      <c r="B3464" s="135">
        <f>YEAR(source[[#This Row],[report_date]])</f>
        <v>2024</v>
      </c>
      <c r="C3464" s="128">
        <f t="shared" si="156"/>
        <v>11</v>
      </c>
      <c r="D3464" s="136">
        <f t="shared" si="158"/>
        <v>47</v>
      </c>
      <c r="E3464" s="136">
        <f t="shared" si="157"/>
        <v>19</v>
      </c>
      <c r="F3464" s="137" t="s">
        <v>24</v>
      </c>
      <c r="G3464" s="128" t="str">
        <f>VLOOKUP(source[[#This Row],[lending_product_transform]],[3]Mapping!$B$4:$C$37,2,0)</f>
        <v>[Cake] - Cashloan</v>
      </c>
      <c r="H3464" s="128" t="str">
        <f>VLOOKUP(source[[#This Row],[lending_product_transform]],[3]Mapping!$B$3:$D$37,3,0)</f>
        <v>cashloan</v>
      </c>
      <c r="I3464" s="143">
        <v>265830000</v>
      </c>
    </row>
    <row r="3465" spans="1:9" x14ac:dyDescent="0.2">
      <c r="A3465" s="134">
        <v>45615</v>
      </c>
      <c r="B3465" s="135">
        <f>YEAR(source[[#This Row],[report_date]])</f>
        <v>2024</v>
      </c>
      <c r="C3465" s="128">
        <f t="shared" si="156"/>
        <v>11</v>
      </c>
      <c r="D3465" s="136">
        <f t="shared" si="158"/>
        <v>47</v>
      </c>
      <c r="E3465" s="136">
        <f t="shared" si="157"/>
        <v>19</v>
      </c>
      <c r="F3465" s="137" t="s">
        <v>24</v>
      </c>
      <c r="G3465" s="128" t="str">
        <f>VLOOKUP(source[[#This Row],[lending_product_transform]],[3]Mapping!$B$4:$C$37,2,0)</f>
        <v>[Cake] - Cashloan</v>
      </c>
      <c r="H3465" s="128" t="str">
        <f>VLOOKUP(source[[#This Row],[lending_product_transform]],[3]Mapping!$B$3:$D$37,3,0)</f>
        <v>cashloan</v>
      </c>
      <c r="I3465" s="143">
        <v>62722826</v>
      </c>
    </row>
    <row r="3466" spans="1:9" x14ac:dyDescent="0.2">
      <c r="A3466" s="134">
        <v>45615</v>
      </c>
      <c r="B3466" s="135">
        <f>YEAR(source[[#This Row],[report_date]])</f>
        <v>2024</v>
      </c>
      <c r="C3466" s="128">
        <f t="shared" si="156"/>
        <v>11</v>
      </c>
      <c r="D3466" s="136">
        <f t="shared" si="158"/>
        <v>47</v>
      </c>
      <c r="E3466" s="136">
        <f t="shared" si="157"/>
        <v>19</v>
      </c>
      <c r="F3466" s="137" t="s">
        <v>24</v>
      </c>
      <c r="G3466" s="128" t="str">
        <f>VLOOKUP(source[[#This Row],[lending_product_transform]],[3]Mapping!$B$4:$C$37,2,0)</f>
        <v>[Cake] - Cashloan</v>
      </c>
      <c r="H3466" s="128" t="str">
        <f>VLOOKUP(source[[#This Row],[lending_product_transform]],[3]Mapping!$B$3:$D$37,3,0)</f>
        <v>cashloan</v>
      </c>
      <c r="I3466" s="143">
        <v>3921000000</v>
      </c>
    </row>
    <row r="3467" spans="1:9" x14ac:dyDescent="0.2">
      <c r="A3467" s="134">
        <v>45615</v>
      </c>
      <c r="B3467" s="135">
        <f>YEAR(source[[#This Row],[report_date]])</f>
        <v>2024</v>
      </c>
      <c r="C3467" s="128">
        <f t="shared" si="156"/>
        <v>11</v>
      </c>
      <c r="D3467" s="136">
        <f t="shared" si="158"/>
        <v>47</v>
      </c>
      <c r="E3467" s="136">
        <f t="shared" si="157"/>
        <v>19</v>
      </c>
      <c r="F3467" s="137" t="s">
        <v>24</v>
      </c>
      <c r="G3467" s="128" t="str">
        <f>VLOOKUP(source[[#This Row],[lending_product_transform]],[3]Mapping!$B$4:$C$37,2,0)</f>
        <v>[Cake] - Cashloan</v>
      </c>
      <c r="H3467" s="128" t="str">
        <f>VLOOKUP(source[[#This Row],[lending_product_transform]],[3]Mapping!$B$3:$D$37,3,0)</f>
        <v>cashloan</v>
      </c>
      <c r="I3467" s="143">
        <v>3210615730</v>
      </c>
    </row>
    <row r="3468" spans="1:9" x14ac:dyDescent="0.2">
      <c r="A3468" s="134">
        <v>45615</v>
      </c>
      <c r="B3468" s="135">
        <f>YEAR(source[[#This Row],[report_date]])</f>
        <v>2024</v>
      </c>
      <c r="C3468" s="128">
        <f t="shared" si="156"/>
        <v>11</v>
      </c>
      <c r="D3468" s="136">
        <f t="shared" si="158"/>
        <v>47</v>
      </c>
      <c r="E3468" s="136">
        <f t="shared" si="157"/>
        <v>19</v>
      </c>
      <c r="F3468" s="137" t="s">
        <v>24</v>
      </c>
      <c r="G3468" s="128" t="str">
        <f>VLOOKUP(source[[#This Row],[lending_product_transform]],[3]Mapping!$B$4:$C$37,2,0)</f>
        <v>[Cake] - Cashloan</v>
      </c>
      <c r="H3468" s="128" t="str">
        <f>VLOOKUP(source[[#This Row],[lending_product_transform]],[3]Mapping!$B$3:$D$37,3,0)</f>
        <v>cashloan</v>
      </c>
      <c r="I3468" s="143">
        <v>0</v>
      </c>
    </row>
    <row r="3469" spans="1:9" x14ac:dyDescent="0.2">
      <c r="A3469" s="134">
        <v>45615</v>
      </c>
      <c r="B3469" s="135">
        <f>YEAR(source[[#This Row],[report_date]])</f>
        <v>2024</v>
      </c>
      <c r="C3469" s="128">
        <f t="shared" si="156"/>
        <v>11</v>
      </c>
      <c r="D3469" s="136">
        <f t="shared" si="158"/>
        <v>47</v>
      </c>
      <c r="E3469" s="136">
        <f t="shared" si="157"/>
        <v>19</v>
      </c>
      <c r="F3469" s="137" t="s">
        <v>24</v>
      </c>
      <c r="G3469" s="128" t="str">
        <f>VLOOKUP(source[[#This Row],[lending_product_transform]],[3]Mapping!$B$4:$C$37,2,0)</f>
        <v>[Cake] - Cashloan</v>
      </c>
      <c r="H3469" s="128" t="str">
        <f>VLOOKUP(source[[#This Row],[lending_product_transform]],[3]Mapping!$B$3:$D$37,3,0)</f>
        <v>cashloan</v>
      </c>
      <c r="I3469" s="143">
        <v>4949460000</v>
      </c>
    </row>
    <row r="3470" spans="1:9" x14ac:dyDescent="0.2">
      <c r="A3470" s="134">
        <v>45615</v>
      </c>
      <c r="B3470" s="135">
        <f>YEAR(source[[#This Row],[report_date]])</f>
        <v>2024</v>
      </c>
      <c r="C3470" s="128">
        <f t="shared" si="156"/>
        <v>11</v>
      </c>
      <c r="D3470" s="136">
        <f t="shared" si="158"/>
        <v>47</v>
      </c>
      <c r="E3470" s="136">
        <f t="shared" si="157"/>
        <v>19</v>
      </c>
      <c r="F3470" s="137" t="s">
        <v>24</v>
      </c>
      <c r="G3470" s="128" t="str">
        <f>VLOOKUP(source[[#This Row],[lending_product_transform]],[3]Mapping!$B$4:$C$37,2,0)</f>
        <v>[Cake] - Cashloan</v>
      </c>
      <c r="H3470" s="128" t="str">
        <f>VLOOKUP(source[[#This Row],[lending_product_transform]],[3]Mapping!$B$3:$D$37,3,0)</f>
        <v>cashloan</v>
      </c>
      <c r="I3470" s="143">
        <v>7049750000</v>
      </c>
    </row>
    <row r="3471" spans="1:9" x14ac:dyDescent="0.2">
      <c r="A3471" s="134">
        <v>45615</v>
      </c>
      <c r="B3471" s="135">
        <f>YEAR(source[[#This Row],[report_date]])</f>
        <v>2024</v>
      </c>
      <c r="C3471" s="128">
        <f t="shared" si="156"/>
        <v>11</v>
      </c>
      <c r="D3471" s="136">
        <f t="shared" si="158"/>
        <v>47</v>
      </c>
      <c r="E3471" s="136">
        <f t="shared" si="157"/>
        <v>19</v>
      </c>
      <c r="F3471" s="137" t="s">
        <v>24</v>
      </c>
      <c r="G3471" s="128" t="str">
        <f>VLOOKUP(source[[#This Row],[lending_product_transform]],[3]Mapping!$B$4:$C$37,2,0)</f>
        <v>[Cake] - Cashloan</v>
      </c>
      <c r="H3471" s="128" t="str">
        <f>VLOOKUP(source[[#This Row],[lending_product_transform]],[3]Mapping!$B$3:$D$37,3,0)</f>
        <v>cashloan</v>
      </c>
      <c r="I3471" s="143">
        <v>288751469</v>
      </c>
    </row>
    <row r="3472" spans="1:9" x14ac:dyDescent="0.2">
      <c r="A3472" s="134">
        <v>45615</v>
      </c>
      <c r="B3472" s="135">
        <f>YEAR(source[[#This Row],[report_date]])</f>
        <v>2024</v>
      </c>
      <c r="C3472" s="128">
        <f t="shared" si="156"/>
        <v>11</v>
      </c>
      <c r="D3472" s="136">
        <f t="shared" si="158"/>
        <v>47</v>
      </c>
      <c r="E3472" s="136">
        <f t="shared" si="157"/>
        <v>19</v>
      </c>
      <c r="F3472" s="137" t="s">
        <v>24</v>
      </c>
      <c r="G3472" s="128" t="str">
        <f>VLOOKUP(source[[#This Row],[lending_product_transform]],[3]Mapping!$B$4:$C$37,2,0)</f>
        <v>[Cake] - Cashloan</v>
      </c>
      <c r="H3472" s="128" t="str">
        <f>VLOOKUP(source[[#This Row],[lending_product_transform]],[3]Mapping!$B$3:$D$37,3,0)</f>
        <v>cashloan</v>
      </c>
      <c r="I3472" s="143">
        <v>40000000</v>
      </c>
    </row>
    <row r="3473" spans="1:9" x14ac:dyDescent="0.2">
      <c r="A3473" s="134">
        <v>45615</v>
      </c>
      <c r="B3473" s="135">
        <f>YEAR(source[[#This Row],[report_date]])</f>
        <v>2024</v>
      </c>
      <c r="C3473" s="128">
        <f t="shared" si="156"/>
        <v>11</v>
      </c>
      <c r="D3473" s="136">
        <f t="shared" si="158"/>
        <v>47</v>
      </c>
      <c r="E3473" s="136">
        <f t="shared" si="157"/>
        <v>19</v>
      </c>
      <c r="F3473" s="137" t="s">
        <v>24</v>
      </c>
      <c r="G3473" s="128" t="str">
        <f>VLOOKUP(source[[#This Row],[lending_product_transform]],[3]Mapping!$B$4:$C$37,2,0)</f>
        <v>[Cake] - Cashloan</v>
      </c>
      <c r="H3473" s="128" t="str">
        <f>VLOOKUP(source[[#This Row],[lending_product_transform]],[3]Mapping!$B$3:$D$37,3,0)</f>
        <v>cashloan</v>
      </c>
      <c r="I3473" s="143">
        <v>32100000</v>
      </c>
    </row>
    <row r="3474" spans="1:9" x14ac:dyDescent="0.2">
      <c r="A3474" s="134">
        <v>45615</v>
      </c>
      <c r="B3474" s="135">
        <f>YEAR(source[[#This Row],[report_date]])</f>
        <v>2024</v>
      </c>
      <c r="C3474" s="128">
        <f t="shared" si="156"/>
        <v>11</v>
      </c>
      <c r="D3474" s="136">
        <f t="shared" si="158"/>
        <v>47</v>
      </c>
      <c r="E3474" s="136">
        <f t="shared" si="157"/>
        <v>19</v>
      </c>
      <c r="F3474" s="137" t="s">
        <v>24</v>
      </c>
      <c r="G3474" s="128" t="str">
        <f>VLOOKUP(source[[#This Row],[lending_product_transform]],[3]Mapping!$B$4:$C$37,2,0)</f>
        <v>[Cake] - Cashloan</v>
      </c>
      <c r="H3474" s="128" t="str">
        <f>VLOOKUP(source[[#This Row],[lending_product_transform]],[3]Mapping!$B$3:$D$37,3,0)</f>
        <v>cashloan</v>
      </c>
      <c r="I3474" s="143">
        <v>100600000</v>
      </c>
    </row>
    <row r="3475" spans="1:9" x14ac:dyDescent="0.2">
      <c r="A3475" s="134">
        <v>45615</v>
      </c>
      <c r="B3475" s="135">
        <f>YEAR(source[[#This Row],[report_date]])</f>
        <v>2024</v>
      </c>
      <c r="C3475" s="128">
        <f t="shared" si="156"/>
        <v>11</v>
      </c>
      <c r="D3475" s="136">
        <f t="shared" si="158"/>
        <v>47</v>
      </c>
      <c r="E3475" s="136">
        <f t="shared" si="157"/>
        <v>19</v>
      </c>
      <c r="F3475" s="137" t="s">
        <v>24</v>
      </c>
      <c r="G3475" s="128" t="str">
        <f>VLOOKUP(source[[#This Row],[lending_product_transform]],[3]Mapping!$B$4:$C$37,2,0)</f>
        <v>[Cake] - Cashloan</v>
      </c>
      <c r="H3475" s="128" t="str">
        <f>VLOOKUP(source[[#This Row],[lending_product_transform]],[3]Mapping!$B$3:$D$37,3,0)</f>
        <v>cashloan</v>
      </c>
      <c r="I3475" s="143">
        <v>21400000</v>
      </c>
    </row>
    <row r="3476" spans="1:9" x14ac:dyDescent="0.2">
      <c r="A3476" s="134">
        <v>45616</v>
      </c>
      <c r="B3476" s="135">
        <f>YEAR(source[[#This Row],[report_date]])</f>
        <v>2024</v>
      </c>
      <c r="C3476" s="128">
        <f t="shared" si="156"/>
        <v>11</v>
      </c>
      <c r="D3476" s="136">
        <f t="shared" si="158"/>
        <v>47</v>
      </c>
      <c r="E3476" s="136">
        <f t="shared" si="157"/>
        <v>20</v>
      </c>
      <c r="F3476" s="137" t="s">
        <v>24</v>
      </c>
      <c r="G3476" s="128" t="str">
        <f>VLOOKUP(source[[#This Row],[lending_product_transform]],[3]Mapping!$B$4:$C$37,2,0)</f>
        <v>[Cake] - Cashloan</v>
      </c>
      <c r="H3476" s="128" t="str">
        <f>VLOOKUP(source[[#This Row],[lending_product_transform]],[3]Mapping!$B$3:$D$37,3,0)</f>
        <v>cashloan</v>
      </c>
      <c r="I3476" s="143">
        <v>6685750000</v>
      </c>
    </row>
    <row r="3477" spans="1:9" x14ac:dyDescent="0.2">
      <c r="A3477" s="134">
        <v>45616</v>
      </c>
      <c r="B3477" s="135">
        <f>YEAR(source[[#This Row],[report_date]])</f>
        <v>2024</v>
      </c>
      <c r="C3477" s="128">
        <f t="shared" si="156"/>
        <v>11</v>
      </c>
      <c r="D3477" s="136">
        <f t="shared" si="158"/>
        <v>47</v>
      </c>
      <c r="E3477" s="136">
        <f t="shared" si="157"/>
        <v>20</v>
      </c>
      <c r="F3477" s="137" t="s">
        <v>24</v>
      </c>
      <c r="G3477" s="128" t="str">
        <f>VLOOKUP(source[[#This Row],[lending_product_transform]],[3]Mapping!$B$4:$C$37,2,0)</f>
        <v>[Cake] - Cashloan</v>
      </c>
      <c r="H3477" s="128" t="str">
        <f>VLOOKUP(source[[#This Row],[lending_product_transform]],[3]Mapping!$B$3:$D$37,3,0)</f>
        <v>cashloan</v>
      </c>
      <c r="I3477" s="143">
        <v>33170000</v>
      </c>
    </row>
    <row r="3478" spans="1:9" x14ac:dyDescent="0.2">
      <c r="A3478" s="134">
        <v>45616</v>
      </c>
      <c r="B3478" s="135">
        <f>YEAR(source[[#This Row],[report_date]])</f>
        <v>2024</v>
      </c>
      <c r="C3478" s="128">
        <f t="shared" si="156"/>
        <v>11</v>
      </c>
      <c r="D3478" s="136">
        <f t="shared" si="158"/>
        <v>47</v>
      </c>
      <c r="E3478" s="136">
        <f t="shared" si="157"/>
        <v>20</v>
      </c>
      <c r="F3478" s="137" t="s">
        <v>24</v>
      </c>
      <c r="G3478" s="128" t="str">
        <f>VLOOKUP(source[[#This Row],[lending_product_transform]],[3]Mapping!$B$4:$C$37,2,0)</f>
        <v>[Cake] - Cashloan</v>
      </c>
      <c r="H3478" s="128" t="str">
        <f>VLOOKUP(source[[#This Row],[lending_product_transform]],[3]Mapping!$B$3:$D$37,3,0)</f>
        <v>cashloan</v>
      </c>
      <c r="I3478" s="143">
        <v>0</v>
      </c>
    </row>
    <row r="3479" spans="1:9" x14ac:dyDescent="0.2">
      <c r="A3479" s="134">
        <v>45616</v>
      </c>
      <c r="B3479" s="135">
        <f>YEAR(source[[#This Row],[report_date]])</f>
        <v>2024</v>
      </c>
      <c r="C3479" s="128">
        <f t="shared" si="156"/>
        <v>11</v>
      </c>
      <c r="D3479" s="136">
        <f t="shared" si="158"/>
        <v>47</v>
      </c>
      <c r="E3479" s="136">
        <f t="shared" si="157"/>
        <v>20</v>
      </c>
      <c r="F3479" s="137" t="s">
        <v>24</v>
      </c>
      <c r="G3479" s="128" t="str">
        <f>VLOOKUP(source[[#This Row],[lending_product_transform]],[3]Mapping!$B$4:$C$37,2,0)</f>
        <v>[Cake] - Cashloan</v>
      </c>
      <c r="H3479" s="128" t="str">
        <f>VLOOKUP(source[[#This Row],[lending_product_transform]],[3]Mapping!$B$3:$D$37,3,0)</f>
        <v>cashloan</v>
      </c>
      <c r="I3479" s="143">
        <v>0</v>
      </c>
    </row>
    <row r="3480" spans="1:9" x14ac:dyDescent="0.2">
      <c r="A3480" s="134">
        <v>45616</v>
      </c>
      <c r="B3480" s="135">
        <f>YEAR(source[[#This Row],[report_date]])</f>
        <v>2024</v>
      </c>
      <c r="C3480" s="128">
        <f t="shared" si="156"/>
        <v>11</v>
      </c>
      <c r="D3480" s="136">
        <f t="shared" si="158"/>
        <v>47</v>
      </c>
      <c r="E3480" s="136">
        <f t="shared" si="157"/>
        <v>20</v>
      </c>
      <c r="F3480" s="137" t="s">
        <v>24</v>
      </c>
      <c r="G3480" s="128" t="str">
        <f>VLOOKUP(source[[#This Row],[lending_product_transform]],[3]Mapping!$B$4:$C$37,2,0)</f>
        <v>[Cake] - Cashloan</v>
      </c>
      <c r="H3480" s="128" t="str">
        <f>VLOOKUP(source[[#This Row],[lending_product_transform]],[3]Mapping!$B$3:$D$37,3,0)</f>
        <v>cashloan</v>
      </c>
      <c r="I3480" s="143">
        <v>316097106</v>
      </c>
    </row>
    <row r="3481" spans="1:9" x14ac:dyDescent="0.2">
      <c r="A3481" s="134">
        <v>45616</v>
      </c>
      <c r="B3481" s="135">
        <f>YEAR(source[[#This Row],[report_date]])</f>
        <v>2024</v>
      </c>
      <c r="C3481" s="128">
        <f t="shared" si="156"/>
        <v>11</v>
      </c>
      <c r="D3481" s="136">
        <f t="shared" si="158"/>
        <v>47</v>
      </c>
      <c r="E3481" s="136">
        <f t="shared" si="157"/>
        <v>20</v>
      </c>
      <c r="F3481" s="137" t="s">
        <v>24</v>
      </c>
      <c r="G3481" s="128" t="str">
        <f>VLOOKUP(source[[#This Row],[lending_product_transform]],[3]Mapping!$B$4:$C$37,2,0)</f>
        <v>[Cake] - Cashloan</v>
      </c>
      <c r="H3481" s="128" t="str">
        <f>VLOOKUP(source[[#This Row],[lending_product_transform]],[3]Mapping!$B$3:$D$37,3,0)</f>
        <v>cashloan</v>
      </c>
      <c r="I3481" s="143">
        <v>21000000</v>
      </c>
    </row>
    <row r="3482" spans="1:9" x14ac:dyDescent="0.2">
      <c r="A3482" s="134">
        <v>45616</v>
      </c>
      <c r="B3482" s="135">
        <f>YEAR(source[[#This Row],[report_date]])</f>
        <v>2024</v>
      </c>
      <c r="C3482" s="128">
        <f t="shared" si="156"/>
        <v>11</v>
      </c>
      <c r="D3482" s="136">
        <f t="shared" si="158"/>
        <v>47</v>
      </c>
      <c r="E3482" s="136">
        <f t="shared" si="157"/>
        <v>20</v>
      </c>
      <c r="F3482" s="137" t="s">
        <v>24</v>
      </c>
      <c r="G3482" s="128" t="str">
        <f>VLOOKUP(source[[#This Row],[lending_product_transform]],[3]Mapping!$B$4:$C$37,2,0)</f>
        <v>[Cake] - Cashloan</v>
      </c>
      <c r="H3482" s="128" t="str">
        <f>VLOOKUP(source[[#This Row],[lending_product_transform]],[3]Mapping!$B$3:$D$37,3,0)</f>
        <v>cashloan</v>
      </c>
      <c r="I3482" s="143">
        <v>3955000000</v>
      </c>
    </row>
    <row r="3483" spans="1:9" x14ac:dyDescent="0.2">
      <c r="A3483" s="134">
        <v>45616</v>
      </c>
      <c r="B3483" s="135">
        <f>YEAR(source[[#This Row],[report_date]])</f>
        <v>2024</v>
      </c>
      <c r="C3483" s="128">
        <f t="shared" si="156"/>
        <v>11</v>
      </c>
      <c r="D3483" s="136">
        <f t="shared" si="158"/>
        <v>47</v>
      </c>
      <c r="E3483" s="136">
        <f t="shared" si="157"/>
        <v>20</v>
      </c>
      <c r="F3483" s="137" t="s">
        <v>24</v>
      </c>
      <c r="G3483" s="128" t="str">
        <f>VLOOKUP(source[[#This Row],[lending_product_transform]],[3]Mapping!$B$4:$C$37,2,0)</f>
        <v>[Cake] - Cashloan</v>
      </c>
      <c r="H3483" s="128" t="str">
        <f>VLOOKUP(source[[#This Row],[lending_product_transform]],[3]Mapping!$B$3:$D$37,3,0)</f>
        <v>cashloan</v>
      </c>
      <c r="I3483" s="143">
        <v>65687319</v>
      </c>
    </row>
    <row r="3484" spans="1:9" x14ac:dyDescent="0.2">
      <c r="A3484" s="134">
        <v>45616</v>
      </c>
      <c r="B3484" s="135">
        <f>YEAR(source[[#This Row],[report_date]])</f>
        <v>2024</v>
      </c>
      <c r="C3484" s="128">
        <f t="shared" si="156"/>
        <v>11</v>
      </c>
      <c r="D3484" s="136">
        <f t="shared" si="158"/>
        <v>47</v>
      </c>
      <c r="E3484" s="136">
        <f t="shared" si="157"/>
        <v>20</v>
      </c>
      <c r="F3484" s="137" t="s">
        <v>24</v>
      </c>
      <c r="G3484" s="128" t="str">
        <f>VLOOKUP(source[[#This Row],[lending_product_transform]],[3]Mapping!$B$4:$C$37,2,0)</f>
        <v>[Cake] - Cashloan</v>
      </c>
      <c r="H3484" s="128" t="str">
        <f>VLOOKUP(source[[#This Row],[lending_product_transform]],[3]Mapping!$B$3:$D$37,3,0)</f>
        <v>cashloan</v>
      </c>
      <c r="I3484" s="143">
        <v>213357944</v>
      </c>
    </row>
    <row r="3485" spans="1:9" x14ac:dyDescent="0.2">
      <c r="A3485" s="134">
        <v>45616</v>
      </c>
      <c r="B3485" s="135">
        <f>YEAR(source[[#This Row],[report_date]])</f>
        <v>2024</v>
      </c>
      <c r="C3485" s="128">
        <f t="shared" si="156"/>
        <v>11</v>
      </c>
      <c r="D3485" s="136">
        <f t="shared" si="158"/>
        <v>47</v>
      </c>
      <c r="E3485" s="136">
        <f t="shared" si="157"/>
        <v>20</v>
      </c>
      <c r="F3485" s="137" t="s">
        <v>24</v>
      </c>
      <c r="G3485" s="128" t="str">
        <f>VLOOKUP(source[[#This Row],[lending_product_transform]],[3]Mapping!$B$4:$C$37,2,0)</f>
        <v>[Cake] - Cashloan</v>
      </c>
      <c r="H3485" s="128" t="str">
        <f>VLOOKUP(source[[#This Row],[lending_product_transform]],[3]Mapping!$B$3:$D$37,3,0)</f>
        <v>cashloan</v>
      </c>
      <c r="I3485" s="143">
        <v>0</v>
      </c>
    </row>
    <row r="3486" spans="1:9" x14ac:dyDescent="0.2">
      <c r="A3486" s="134">
        <v>45616</v>
      </c>
      <c r="B3486" s="135">
        <f>YEAR(source[[#This Row],[report_date]])</f>
        <v>2024</v>
      </c>
      <c r="C3486" s="128">
        <f t="shared" si="156"/>
        <v>11</v>
      </c>
      <c r="D3486" s="136">
        <f t="shared" si="158"/>
        <v>47</v>
      </c>
      <c r="E3486" s="136">
        <f t="shared" si="157"/>
        <v>20</v>
      </c>
      <c r="F3486" s="137" t="s">
        <v>24</v>
      </c>
      <c r="G3486" s="128" t="str">
        <f>VLOOKUP(source[[#This Row],[lending_product_transform]],[3]Mapping!$B$4:$C$37,2,0)</f>
        <v>[Cake] - Cashloan</v>
      </c>
      <c r="H3486" s="128" t="str">
        <f>VLOOKUP(source[[#This Row],[lending_product_transform]],[3]Mapping!$B$3:$D$37,3,0)</f>
        <v>cashloan</v>
      </c>
      <c r="I3486" s="143">
        <v>4421750000</v>
      </c>
    </row>
    <row r="3487" spans="1:9" x14ac:dyDescent="0.2">
      <c r="A3487" s="134">
        <v>45616</v>
      </c>
      <c r="B3487" s="135">
        <f>YEAR(source[[#This Row],[report_date]])</f>
        <v>2024</v>
      </c>
      <c r="C3487" s="128">
        <f t="shared" si="156"/>
        <v>11</v>
      </c>
      <c r="D3487" s="136">
        <f t="shared" si="158"/>
        <v>47</v>
      </c>
      <c r="E3487" s="136">
        <f t="shared" si="157"/>
        <v>20</v>
      </c>
      <c r="F3487" s="137" t="s">
        <v>24</v>
      </c>
      <c r="G3487" s="128" t="str">
        <f>VLOOKUP(source[[#This Row],[lending_product_transform]],[3]Mapping!$B$4:$C$37,2,0)</f>
        <v>[Cake] - Cashloan</v>
      </c>
      <c r="H3487" s="128" t="str">
        <f>VLOOKUP(source[[#This Row],[lending_product_transform]],[3]Mapping!$B$3:$D$37,3,0)</f>
        <v>cashloan</v>
      </c>
      <c r="I3487" s="143">
        <v>265010000</v>
      </c>
    </row>
    <row r="3488" spans="1:9" x14ac:dyDescent="0.2">
      <c r="A3488" s="134">
        <v>45616</v>
      </c>
      <c r="B3488" s="135">
        <f>YEAR(source[[#This Row],[report_date]])</f>
        <v>2024</v>
      </c>
      <c r="C3488" s="128">
        <f t="shared" si="156"/>
        <v>11</v>
      </c>
      <c r="D3488" s="136">
        <f t="shared" si="158"/>
        <v>47</v>
      </c>
      <c r="E3488" s="136">
        <f t="shared" si="157"/>
        <v>20</v>
      </c>
      <c r="F3488" s="137" t="s">
        <v>24</v>
      </c>
      <c r="G3488" s="128" t="str">
        <f>VLOOKUP(source[[#This Row],[lending_product_transform]],[3]Mapping!$B$4:$C$37,2,0)</f>
        <v>[Cake] - Cashloan</v>
      </c>
      <c r="H3488" s="128" t="str">
        <f>VLOOKUP(source[[#This Row],[lending_product_transform]],[3]Mapping!$B$3:$D$37,3,0)</f>
        <v>cashloan</v>
      </c>
      <c r="I3488" s="143">
        <v>3181441230</v>
      </c>
    </row>
    <row r="3489" spans="1:9" x14ac:dyDescent="0.2">
      <c r="A3489" s="134">
        <v>45616</v>
      </c>
      <c r="B3489" s="135">
        <f>YEAR(source[[#This Row],[report_date]])</f>
        <v>2024</v>
      </c>
      <c r="C3489" s="128">
        <f t="shared" si="156"/>
        <v>11</v>
      </c>
      <c r="D3489" s="136">
        <f t="shared" si="158"/>
        <v>47</v>
      </c>
      <c r="E3489" s="136">
        <f t="shared" si="157"/>
        <v>20</v>
      </c>
      <c r="F3489" s="137" t="s">
        <v>24</v>
      </c>
      <c r="G3489" s="128" t="str">
        <f>VLOOKUP(source[[#This Row],[lending_product_transform]],[3]Mapping!$B$4:$C$37,2,0)</f>
        <v>[Cake] - Cashloan</v>
      </c>
      <c r="H3489" s="128" t="str">
        <f>VLOOKUP(source[[#This Row],[lending_product_transform]],[3]Mapping!$B$3:$D$37,3,0)</f>
        <v>cashloan</v>
      </c>
      <c r="I3489" s="143">
        <v>39000000</v>
      </c>
    </row>
    <row r="3490" spans="1:9" x14ac:dyDescent="0.2">
      <c r="A3490" s="134">
        <v>45616</v>
      </c>
      <c r="B3490" s="135">
        <f>YEAR(source[[#This Row],[report_date]])</f>
        <v>2024</v>
      </c>
      <c r="C3490" s="128">
        <f t="shared" si="156"/>
        <v>11</v>
      </c>
      <c r="D3490" s="136">
        <f t="shared" si="158"/>
        <v>47</v>
      </c>
      <c r="E3490" s="136">
        <f t="shared" si="157"/>
        <v>20</v>
      </c>
      <c r="F3490" s="137" t="s">
        <v>24</v>
      </c>
      <c r="G3490" s="128" t="str">
        <f>VLOOKUP(source[[#This Row],[lending_product_transform]],[3]Mapping!$B$4:$C$37,2,0)</f>
        <v>[Cake] - Cashloan</v>
      </c>
      <c r="H3490" s="128" t="str">
        <f>VLOOKUP(source[[#This Row],[lending_product_transform]],[3]Mapping!$B$3:$D$37,3,0)</f>
        <v>cashloan</v>
      </c>
      <c r="I3490" s="143">
        <v>10700000</v>
      </c>
    </row>
    <row r="3491" spans="1:9" x14ac:dyDescent="0.2">
      <c r="A3491" s="134">
        <v>45616</v>
      </c>
      <c r="B3491" s="135">
        <f>YEAR(source[[#This Row],[report_date]])</f>
        <v>2024</v>
      </c>
      <c r="C3491" s="128">
        <f t="shared" si="156"/>
        <v>11</v>
      </c>
      <c r="D3491" s="136">
        <f t="shared" si="158"/>
        <v>47</v>
      </c>
      <c r="E3491" s="136">
        <f t="shared" si="157"/>
        <v>20</v>
      </c>
      <c r="F3491" s="137" t="s">
        <v>24</v>
      </c>
      <c r="G3491" s="128" t="str">
        <f>VLOOKUP(source[[#This Row],[lending_product_transform]],[3]Mapping!$B$4:$C$37,2,0)</f>
        <v>[Cake] - Cashloan</v>
      </c>
      <c r="H3491" s="128" t="str">
        <f>VLOOKUP(source[[#This Row],[lending_product_transform]],[3]Mapping!$B$3:$D$37,3,0)</f>
        <v>cashloan</v>
      </c>
      <c r="I3491" s="143">
        <v>21400000</v>
      </c>
    </row>
    <row r="3492" spans="1:9" x14ac:dyDescent="0.2">
      <c r="A3492" s="134">
        <v>45616</v>
      </c>
      <c r="B3492" s="135">
        <f>YEAR(source[[#This Row],[report_date]])</f>
        <v>2024</v>
      </c>
      <c r="C3492" s="128">
        <f t="shared" si="156"/>
        <v>11</v>
      </c>
      <c r="D3492" s="136">
        <f t="shared" si="158"/>
        <v>47</v>
      </c>
      <c r="E3492" s="136">
        <f t="shared" si="157"/>
        <v>20</v>
      </c>
      <c r="F3492" s="137" t="s">
        <v>24</v>
      </c>
      <c r="G3492" s="128" t="str">
        <f>VLOOKUP(source[[#This Row],[lending_product_transform]],[3]Mapping!$B$4:$C$37,2,0)</f>
        <v>[Cake] - Cashloan</v>
      </c>
      <c r="H3492" s="128" t="str">
        <f>VLOOKUP(source[[#This Row],[lending_product_transform]],[3]Mapping!$B$3:$D$37,3,0)</f>
        <v>cashloan</v>
      </c>
      <c r="I3492" s="143">
        <v>41000000</v>
      </c>
    </row>
    <row r="3493" spans="1:9" x14ac:dyDescent="0.2">
      <c r="A3493" s="134">
        <v>45617</v>
      </c>
      <c r="B3493" s="135">
        <f>YEAR(source[[#This Row],[report_date]])</f>
        <v>2024</v>
      </c>
      <c r="C3493" s="128">
        <f t="shared" si="156"/>
        <v>11</v>
      </c>
      <c r="D3493" s="136">
        <f t="shared" si="158"/>
        <v>47</v>
      </c>
      <c r="E3493" s="136">
        <f t="shared" si="157"/>
        <v>21</v>
      </c>
      <c r="F3493" s="137" t="s">
        <v>24</v>
      </c>
      <c r="G3493" s="128" t="str">
        <f>VLOOKUP(source[[#This Row],[lending_product_transform]],[3]Mapping!$B$4:$C$37,2,0)</f>
        <v>[Cake] - Cashloan</v>
      </c>
      <c r="H3493" s="128" t="str">
        <f>VLOOKUP(source[[#This Row],[lending_product_transform]],[3]Mapping!$B$3:$D$37,3,0)</f>
        <v>cashloan</v>
      </c>
      <c r="I3493" s="143">
        <v>4530340000</v>
      </c>
    </row>
    <row r="3494" spans="1:9" x14ac:dyDescent="0.2">
      <c r="A3494" s="134">
        <v>45617</v>
      </c>
      <c r="B3494" s="135">
        <f>YEAR(source[[#This Row],[report_date]])</f>
        <v>2024</v>
      </c>
      <c r="C3494" s="128">
        <f t="shared" si="156"/>
        <v>11</v>
      </c>
      <c r="D3494" s="136">
        <f t="shared" si="158"/>
        <v>47</v>
      </c>
      <c r="E3494" s="136">
        <f t="shared" si="157"/>
        <v>21</v>
      </c>
      <c r="F3494" s="137" t="s">
        <v>24</v>
      </c>
      <c r="G3494" s="128" t="str">
        <f>VLOOKUP(source[[#This Row],[lending_product_transform]],[3]Mapping!$B$4:$C$37,2,0)</f>
        <v>[Cake] - Cashloan</v>
      </c>
      <c r="H3494" s="128" t="str">
        <f>VLOOKUP(source[[#This Row],[lending_product_transform]],[3]Mapping!$B$3:$D$37,3,0)</f>
        <v>cashloan</v>
      </c>
      <c r="I3494" s="143">
        <v>29900000</v>
      </c>
    </row>
    <row r="3495" spans="1:9" x14ac:dyDescent="0.2">
      <c r="A3495" s="134">
        <v>45617</v>
      </c>
      <c r="B3495" s="135">
        <f>YEAR(source[[#This Row],[report_date]])</f>
        <v>2024</v>
      </c>
      <c r="C3495" s="128">
        <f t="shared" si="156"/>
        <v>11</v>
      </c>
      <c r="D3495" s="136">
        <f t="shared" si="158"/>
        <v>47</v>
      </c>
      <c r="E3495" s="136">
        <f t="shared" si="157"/>
        <v>21</v>
      </c>
      <c r="F3495" s="137" t="s">
        <v>24</v>
      </c>
      <c r="G3495" s="128" t="str">
        <f>VLOOKUP(source[[#This Row],[lending_product_transform]],[3]Mapping!$B$4:$C$37,2,0)</f>
        <v>[Cake] - Cashloan</v>
      </c>
      <c r="H3495" s="128" t="str">
        <f>VLOOKUP(source[[#This Row],[lending_product_transform]],[3]Mapping!$B$3:$D$37,3,0)</f>
        <v>cashloan</v>
      </c>
      <c r="I3495" s="143">
        <v>3436723841</v>
      </c>
    </row>
    <row r="3496" spans="1:9" x14ac:dyDescent="0.2">
      <c r="A3496" s="134">
        <v>45617</v>
      </c>
      <c r="B3496" s="135">
        <f>YEAR(source[[#This Row],[report_date]])</f>
        <v>2024</v>
      </c>
      <c r="C3496" s="128">
        <f t="shared" si="156"/>
        <v>11</v>
      </c>
      <c r="D3496" s="136">
        <f t="shared" si="158"/>
        <v>47</v>
      </c>
      <c r="E3496" s="136">
        <f t="shared" si="157"/>
        <v>21</v>
      </c>
      <c r="F3496" s="137" t="s">
        <v>24</v>
      </c>
      <c r="G3496" s="128" t="str">
        <f>VLOOKUP(source[[#This Row],[lending_product_transform]],[3]Mapping!$B$4:$C$37,2,0)</f>
        <v>[Cake] - Cashloan</v>
      </c>
      <c r="H3496" s="128" t="str">
        <f>VLOOKUP(source[[#This Row],[lending_product_transform]],[3]Mapping!$B$3:$D$37,3,0)</f>
        <v>cashloan</v>
      </c>
      <c r="I3496" s="143">
        <v>6138230000</v>
      </c>
    </row>
    <row r="3497" spans="1:9" x14ac:dyDescent="0.2">
      <c r="A3497" s="134">
        <v>45617</v>
      </c>
      <c r="B3497" s="135">
        <f>YEAR(source[[#This Row],[report_date]])</f>
        <v>2024</v>
      </c>
      <c r="C3497" s="128">
        <f t="shared" si="156"/>
        <v>11</v>
      </c>
      <c r="D3497" s="136">
        <f t="shared" si="158"/>
        <v>47</v>
      </c>
      <c r="E3497" s="136">
        <f t="shared" si="157"/>
        <v>21</v>
      </c>
      <c r="F3497" s="137" t="s">
        <v>24</v>
      </c>
      <c r="G3497" s="128" t="str">
        <f>VLOOKUP(source[[#This Row],[lending_product_transform]],[3]Mapping!$B$4:$C$37,2,0)</f>
        <v>[Cake] - Cashloan</v>
      </c>
      <c r="H3497" s="128" t="str">
        <f>VLOOKUP(source[[#This Row],[lending_product_transform]],[3]Mapping!$B$3:$D$37,3,0)</f>
        <v>cashloan</v>
      </c>
      <c r="I3497" s="143">
        <v>44000000</v>
      </c>
    </row>
    <row r="3498" spans="1:9" x14ac:dyDescent="0.2">
      <c r="A3498" s="134">
        <v>45617</v>
      </c>
      <c r="B3498" s="135">
        <f>YEAR(source[[#This Row],[report_date]])</f>
        <v>2024</v>
      </c>
      <c r="C3498" s="128">
        <f t="shared" si="156"/>
        <v>11</v>
      </c>
      <c r="D3498" s="136">
        <f t="shared" si="158"/>
        <v>47</v>
      </c>
      <c r="E3498" s="136">
        <f t="shared" si="157"/>
        <v>21</v>
      </c>
      <c r="F3498" s="137" t="s">
        <v>24</v>
      </c>
      <c r="G3498" s="128" t="str">
        <f>VLOOKUP(source[[#This Row],[lending_product_transform]],[3]Mapping!$B$4:$C$37,2,0)</f>
        <v>[Cake] - Cashloan</v>
      </c>
      <c r="H3498" s="128" t="str">
        <f>VLOOKUP(source[[#This Row],[lending_product_transform]],[3]Mapping!$B$3:$D$37,3,0)</f>
        <v>cashloan</v>
      </c>
      <c r="I3498" s="143">
        <v>183953900</v>
      </c>
    </row>
    <row r="3499" spans="1:9" x14ac:dyDescent="0.2">
      <c r="A3499" s="134">
        <v>45617</v>
      </c>
      <c r="B3499" s="135">
        <f>YEAR(source[[#This Row],[report_date]])</f>
        <v>2024</v>
      </c>
      <c r="C3499" s="128">
        <f t="shared" si="156"/>
        <v>11</v>
      </c>
      <c r="D3499" s="136">
        <f t="shared" si="158"/>
        <v>47</v>
      </c>
      <c r="E3499" s="136">
        <f t="shared" si="157"/>
        <v>21</v>
      </c>
      <c r="F3499" s="137" t="s">
        <v>24</v>
      </c>
      <c r="G3499" s="128" t="str">
        <f>VLOOKUP(source[[#This Row],[lending_product_transform]],[3]Mapping!$B$4:$C$37,2,0)</f>
        <v>[Cake] - Cashloan</v>
      </c>
      <c r="H3499" s="128" t="str">
        <f>VLOOKUP(source[[#This Row],[lending_product_transform]],[3]Mapping!$B$3:$D$37,3,0)</f>
        <v>cashloan</v>
      </c>
      <c r="I3499" s="143">
        <v>0</v>
      </c>
    </row>
    <row r="3500" spans="1:9" x14ac:dyDescent="0.2">
      <c r="A3500" s="134">
        <v>45617</v>
      </c>
      <c r="B3500" s="135">
        <f>YEAR(source[[#This Row],[report_date]])</f>
        <v>2024</v>
      </c>
      <c r="C3500" s="128">
        <f t="shared" si="156"/>
        <v>11</v>
      </c>
      <c r="D3500" s="136">
        <f t="shared" si="158"/>
        <v>47</v>
      </c>
      <c r="E3500" s="136">
        <f t="shared" si="157"/>
        <v>21</v>
      </c>
      <c r="F3500" s="137" t="s">
        <v>24</v>
      </c>
      <c r="G3500" s="128" t="str">
        <f>VLOOKUP(source[[#This Row],[lending_product_transform]],[3]Mapping!$B$4:$C$37,2,0)</f>
        <v>[Cake] - Cashloan</v>
      </c>
      <c r="H3500" s="128" t="str">
        <f>VLOOKUP(source[[#This Row],[lending_product_transform]],[3]Mapping!$B$3:$D$37,3,0)</f>
        <v>cashloan</v>
      </c>
      <c r="I3500" s="143">
        <v>89202580</v>
      </c>
    </row>
    <row r="3501" spans="1:9" x14ac:dyDescent="0.2">
      <c r="A3501" s="134">
        <v>45617</v>
      </c>
      <c r="B3501" s="135">
        <f>YEAR(source[[#This Row],[report_date]])</f>
        <v>2024</v>
      </c>
      <c r="C3501" s="128">
        <f t="shared" si="156"/>
        <v>11</v>
      </c>
      <c r="D3501" s="136">
        <f t="shared" si="158"/>
        <v>47</v>
      </c>
      <c r="E3501" s="136">
        <f t="shared" si="157"/>
        <v>21</v>
      </c>
      <c r="F3501" s="137" t="s">
        <v>24</v>
      </c>
      <c r="G3501" s="128" t="str">
        <f>VLOOKUP(source[[#This Row],[lending_product_transform]],[3]Mapping!$B$4:$C$37,2,0)</f>
        <v>[Cake] - Cashloan</v>
      </c>
      <c r="H3501" s="128" t="str">
        <f>VLOOKUP(source[[#This Row],[lending_product_transform]],[3]Mapping!$B$3:$D$37,3,0)</f>
        <v>cashloan</v>
      </c>
      <c r="I3501" s="143">
        <v>0</v>
      </c>
    </row>
    <row r="3502" spans="1:9" x14ac:dyDescent="0.2">
      <c r="A3502" s="134">
        <v>45617</v>
      </c>
      <c r="B3502" s="135">
        <f>YEAR(source[[#This Row],[report_date]])</f>
        <v>2024</v>
      </c>
      <c r="C3502" s="128">
        <f t="shared" si="156"/>
        <v>11</v>
      </c>
      <c r="D3502" s="136">
        <f t="shared" si="158"/>
        <v>47</v>
      </c>
      <c r="E3502" s="136">
        <f t="shared" si="157"/>
        <v>21</v>
      </c>
      <c r="F3502" s="137" t="s">
        <v>24</v>
      </c>
      <c r="G3502" s="128" t="str">
        <f>VLOOKUP(source[[#This Row],[lending_product_transform]],[3]Mapping!$B$4:$C$37,2,0)</f>
        <v>[Cake] - Cashloan</v>
      </c>
      <c r="H3502" s="128" t="str">
        <f>VLOOKUP(source[[#This Row],[lending_product_transform]],[3]Mapping!$B$3:$D$37,3,0)</f>
        <v>cashloan</v>
      </c>
      <c r="I3502" s="143">
        <v>190000</v>
      </c>
    </row>
    <row r="3503" spans="1:9" x14ac:dyDescent="0.2">
      <c r="A3503" s="134">
        <v>45617</v>
      </c>
      <c r="B3503" s="135">
        <f>YEAR(source[[#This Row],[report_date]])</f>
        <v>2024</v>
      </c>
      <c r="C3503" s="128">
        <f t="shared" si="156"/>
        <v>11</v>
      </c>
      <c r="D3503" s="136">
        <f t="shared" si="158"/>
        <v>47</v>
      </c>
      <c r="E3503" s="136">
        <f t="shared" si="157"/>
        <v>21</v>
      </c>
      <c r="F3503" s="137" t="s">
        <v>24</v>
      </c>
      <c r="G3503" s="128" t="str">
        <f>VLOOKUP(source[[#This Row],[lending_product_transform]],[3]Mapping!$B$4:$C$37,2,0)</f>
        <v>[Cake] - Cashloan</v>
      </c>
      <c r="H3503" s="128" t="str">
        <f>VLOOKUP(source[[#This Row],[lending_product_transform]],[3]Mapping!$B$3:$D$37,3,0)</f>
        <v>cashloan</v>
      </c>
      <c r="I3503" s="143">
        <v>4033500000</v>
      </c>
    </row>
    <row r="3504" spans="1:9" x14ac:dyDescent="0.2">
      <c r="A3504" s="134">
        <v>45617</v>
      </c>
      <c r="B3504" s="135">
        <f>YEAR(source[[#This Row],[report_date]])</f>
        <v>2024</v>
      </c>
      <c r="C3504" s="128">
        <f t="shared" si="156"/>
        <v>11</v>
      </c>
      <c r="D3504" s="136">
        <f t="shared" si="158"/>
        <v>47</v>
      </c>
      <c r="E3504" s="136">
        <f t="shared" si="157"/>
        <v>21</v>
      </c>
      <c r="F3504" s="137" t="s">
        <v>24</v>
      </c>
      <c r="G3504" s="128" t="str">
        <f>VLOOKUP(source[[#This Row],[lending_product_transform]],[3]Mapping!$B$4:$C$37,2,0)</f>
        <v>[Cake] - Cashloan</v>
      </c>
      <c r="H3504" s="128" t="str">
        <f>VLOOKUP(source[[#This Row],[lending_product_transform]],[3]Mapping!$B$3:$D$37,3,0)</f>
        <v>cashloan</v>
      </c>
      <c r="I3504" s="143">
        <v>192750000</v>
      </c>
    </row>
    <row r="3505" spans="1:9" x14ac:dyDescent="0.2">
      <c r="A3505" s="134">
        <v>45617</v>
      </c>
      <c r="B3505" s="135">
        <f>YEAR(source[[#This Row],[report_date]])</f>
        <v>2024</v>
      </c>
      <c r="C3505" s="128">
        <f t="shared" si="156"/>
        <v>11</v>
      </c>
      <c r="D3505" s="136">
        <f t="shared" si="158"/>
        <v>47</v>
      </c>
      <c r="E3505" s="136">
        <f t="shared" si="157"/>
        <v>21</v>
      </c>
      <c r="F3505" s="137" t="s">
        <v>24</v>
      </c>
      <c r="G3505" s="128" t="str">
        <f>VLOOKUP(source[[#This Row],[lending_product_transform]],[3]Mapping!$B$4:$C$37,2,0)</f>
        <v>[Cake] - Cashloan</v>
      </c>
      <c r="H3505" s="128" t="str">
        <f>VLOOKUP(source[[#This Row],[lending_product_transform]],[3]Mapping!$B$3:$D$37,3,0)</f>
        <v>cashloan</v>
      </c>
      <c r="I3505" s="143">
        <v>354048543</v>
      </c>
    </row>
    <row r="3506" spans="1:9" x14ac:dyDescent="0.2">
      <c r="A3506" s="134">
        <v>45617</v>
      </c>
      <c r="B3506" s="135">
        <f>YEAR(source[[#This Row],[report_date]])</f>
        <v>2024</v>
      </c>
      <c r="C3506" s="128">
        <f t="shared" si="156"/>
        <v>11</v>
      </c>
      <c r="D3506" s="136">
        <f t="shared" si="158"/>
        <v>47</v>
      </c>
      <c r="E3506" s="136">
        <f t="shared" si="157"/>
        <v>21</v>
      </c>
      <c r="F3506" s="137" t="s">
        <v>24</v>
      </c>
      <c r="G3506" s="128" t="str">
        <f>VLOOKUP(source[[#This Row],[lending_product_transform]],[3]Mapping!$B$4:$C$37,2,0)</f>
        <v>[Cake] - Cashloan</v>
      </c>
      <c r="H3506" s="128" t="str">
        <f>VLOOKUP(source[[#This Row],[lending_product_transform]],[3]Mapping!$B$3:$D$37,3,0)</f>
        <v>cashloan</v>
      </c>
      <c r="I3506" s="143">
        <v>92670000</v>
      </c>
    </row>
    <row r="3507" spans="1:9" x14ac:dyDescent="0.2">
      <c r="A3507" s="134">
        <v>45617</v>
      </c>
      <c r="B3507" s="135">
        <f>YEAR(source[[#This Row],[report_date]])</f>
        <v>2024</v>
      </c>
      <c r="C3507" s="128">
        <f t="shared" si="156"/>
        <v>11</v>
      </c>
      <c r="D3507" s="136">
        <f t="shared" si="158"/>
        <v>47</v>
      </c>
      <c r="E3507" s="136">
        <f t="shared" si="157"/>
        <v>21</v>
      </c>
      <c r="F3507" s="137" t="s">
        <v>24</v>
      </c>
      <c r="G3507" s="128" t="str">
        <f>VLOOKUP(source[[#This Row],[lending_product_transform]],[3]Mapping!$B$4:$C$37,2,0)</f>
        <v>[Cake] - Cashloan</v>
      </c>
      <c r="H3507" s="128" t="str">
        <f>VLOOKUP(source[[#This Row],[lending_product_transform]],[3]Mapping!$B$3:$D$37,3,0)</f>
        <v>cashloan</v>
      </c>
      <c r="I3507" s="143">
        <v>0</v>
      </c>
    </row>
    <row r="3508" spans="1:9" x14ac:dyDescent="0.2">
      <c r="A3508" s="134">
        <v>45617</v>
      </c>
      <c r="B3508" s="135">
        <f>YEAR(source[[#This Row],[report_date]])</f>
        <v>2024</v>
      </c>
      <c r="C3508" s="128">
        <f t="shared" si="156"/>
        <v>11</v>
      </c>
      <c r="D3508" s="136">
        <f t="shared" si="158"/>
        <v>47</v>
      </c>
      <c r="E3508" s="136">
        <f t="shared" si="157"/>
        <v>21</v>
      </c>
      <c r="F3508" s="137" t="s">
        <v>24</v>
      </c>
      <c r="G3508" s="128" t="str">
        <f>VLOOKUP(source[[#This Row],[lending_product_transform]],[3]Mapping!$B$4:$C$37,2,0)</f>
        <v>[Cake] - Cashloan</v>
      </c>
      <c r="H3508" s="128" t="str">
        <f>VLOOKUP(source[[#This Row],[lending_product_transform]],[3]Mapping!$B$3:$D$37,3,0)</f>
        <v>cashloan</v>
      </c>
      <c r="I3508" s="143">
        <v>56750000</v>
      </c>
    </row>
    <row r="3509" spans="1:9" x14ac:dyDescent="0.2">
      <c r="A3509" s="134">
        <v>45617</v>
      </c>
      <c r="B3509" s="135">
        <f>YEAR(source[[#This Row],[report_date]])</f>
        <v>2024</v>
      </c>
      <c r="C3509" s="128">
        <f t="shared" si="156"/>
        <v>11</v>
      </c>
      <c r="D3509" s="136">
        <f t="shared" si="158"/>
        <v>47</v>
      </c>
      <c r="E3509" s="136">
        <f t="shared" si="157"/>
        <v>21</v>
      </c>
      <c r="F3509" s="137" t="s">
        <v>24</v>
      </c>
      <c r="G3509" s="128" t="str">
        <f>VLOOKUP(source[[#This Row],[lending_product_transform]],[3]Mapping!$B$4:$C$37,2,0)</f>
        <v>[Cake] - Cashloan</v>
      </c>
      <c r="H3509" s="128" t="str">
        <f>VLOOKUP(source[[#This Row],[lending_product_transform]],[3]Mapping!$B$3:$D$37,3,0)</f>
        <v>cashloan</v>
      </c>
      <c r="I3509" s="143">
        <v>60800000</v>
      </c>
    </row>
    <row r="3510" spans="1:9" x14ac:dyDescent="0.2">
      <c r="A3510" s="134">
        <v>45618</v>
      </c>
      <c r="B3510" s="135">
        <f>YEAR(source[[#This Row],[report_date]])</f>
        <v>2024</v>
      </c>
      <c r="C3510" s="128">
        <f t="shared" si="156"/>
        <v>11</v>
      </c>
      <c r="D3510" s="136">
        <f t="shared" si="158"/>
        <v>47</v>
      </c>
      <c r="E3510" s="136">
        <f t="shared" si="157"/>
        <v>22</v>
      </c>
      <c r="F3510" s="137" t="s">
        <v>24</v>
      </c>
      <c r="G3510" s="128" t="str">
        <f>VLOOKUP(source[[#This Row],[lending_product_transform]],[3]Mapping!$B$4:$C$37,2,0)</f>
        <v>[Cake] - Cashloan</v>
      </c>
      <c r="H3510" s="128" t="str">
        <f>VLOOKUP(source[[#This Row],[lending_product_transform]],[3]Mapping!$B$3:$D$37,3,0)</f>
        <v>cashloan</v>
      </c>
      <c r="I3510" s="143">
        <v>120094644</v>
      </c>
    </row>
    <row r="3511" spans="1:9" x14ac:dyDescent="0.2">
      <c r="A3511" s="134">
        <v>45618</v>
      </c>
      <c r="B3511" s="135">
        <f>YEAR(source[[#This Row],[report_date]])</f>
        <v>2024</v>
      </c>
      <c r="C3511" s="128">
        <f t="shared" si="156"/>
        <v>11</v>
      </c>
      <c r="D3511" s="136">
        <f t="shared" si="158"/>
        <v>47</v>
      </c>
      <c r="E3511" s="136">
        <f t="shared" si="157"/>
        <v>22</v>
      </c>
      <c r="F3511" s="137" t="s">
        <v>24</v>
      </c>
      <c r="G3511" s="128" t="str">
        <f>VLOOKUP(source[[#This Row],[lending_product_transform]],[3]Mapping!$B$4:$C$37,2,0)</f>
        <v>[Cake] - Cashloan</v>
      </c>
      <c r="H3511" s="128" t="str">
        <f>VLOOKUP(source[[#This Row],[lending_product_transform]],[3]Mapping!$B$3:$D$37,3,0)</f>
        <v>cashloan</v>
      </c>
      <c r="I3511" s="143">
        <v>0</v>
      </c>
    </row>
    <row r="3512" spans="1:9" x14ac:dyDescent="0.2">
      <c r="A3512" s="134">
        <v>45618</v>
      </c>
      <c r="B3512" s="135">
        <f>YEAR(source[[#This Row],[report_date]])</f>
        <v>2024</v>
      </c>
      <c r="C3512" s="128">
        <f t="shared" si="156"/>
        <v>11</v>
      </c>
      <c r="D3512" s="136">
        <f t="shared" si="158"/>
        <v>47</v>
      </c>
      <c r="E3512" s="136">
        <f t="shared" si="157"/>
        <v>22</v>
      </c>
      <c r="F3512" s="137" t="s">
        <v>24</v>
      </c>
      <c r="G3512" s="128" t="str">
        <f>VLOOKUP(source[[#This Row],[lending_product_transform]],[3]Mapping!$B$4:$C$37,2,0)</f>
        <v>[Cake] - Cashloan</v>
      </c>
      <c r="H3512" s="128" t="str">
        <f>VLOOKUP(source[[#This Row],[lending_product_transform]],[3]Mapping!$B$3:$D$37,3,0)</f>
        <v>cashloan</v>
      </c>
      <c r="I3512" s="143">
        <v>77722463</v>
      </c>
    </row>
    <row r="3513" spans="1:9" x14ac:dyDescent="0.2">
      <c r="A3513" s="134">
        <v>45618</v>
      </c>
      <c r="B3513" s="135">
        <f>YEAR(source[[#This Row],[report_date]])</f>
        <v>2024</v>
      </c>
      <c r="C3513" s="128">
        <f t="shared" si="156"/>
        <v>11</v>
      </c>
      <c r="D3513" s="136">
        <f t="shared" si="158"/>
        <v>47</v>
      </c>
      <c r="E3513" s="136">
        <f t="shared" si="157"/>
        <v>22</v>
      </c>
      <c r="F3513" s="137" t="s">
        <v>24</v>
      </c>
      <c r="G3513" s="128" t="str">
        <f>VLOOKUP(source[[#This Row],[lending_product_transform]],[3]Mapping!$B$4:$C$37,2,0)</f>
        <v>[Cake] - Cashloan</v>
      </c>
      <c r="H3513" s="128" t="str">
        <f>VLOOKUP(source[[#This Row],[lending_product_transform]],[3]Mapping!$B$3:$D$37,3,0)</f>
        <v>cashloan</v>
      </c>
      <c r="I3513" s="143">
        <v>21400000</v>
      </c>
    </row>
    <row r="3514" spans="1:9" x14ac:dyDescent="0.2">
      <c r="A3514" s="134">
        <v>45618</v>
      </c>
      <c r="B3514" s="135">
        <f>YEAR(source[[#This Row],[report_date]])</f>
        <v>2024</v>
      </c>
      <c r="C3514" s="128">
        <f t="shared" si="156"/>
        <v>11</v>
      </c>
      <c r="D3514" s="136">
        <f t="shared" si="158"/>
        <v>47</v>
      </c>
      <c r="E3514" s="136">
        <f t="shared" si="157"/>
        <v>22</v>
      </c>
      <c r="F3514" s="137" t="s">
        <v>24</v>
      </c>
      <c r="G3514" s="128" t="str">
        <f>VLOOKUP(source[[#This Row],[lending_product_transform]],[3]Mapping!$B$4:$C$37,2,0)</f>
        <v>[Cake] - Cashloan</v>
      </c>
      <c r="H3514" s="128" t="str">
        <f>VLOOKUP(source[[#This Row],[lending_product_transform]],[3]Mapping!$B$3:$D$37,3,0)</f>
        <v>cashloan</v>
      </c>
      <c r="I3514" s="143">
        <v>3549782561</v>
      </c>
    </row>
    <row r="3515" spans="1:9" x14ac:dyDescent="0.2">
      <c r="A3515" s="134">
        <v>45618</v>
      </c>
      <c r="B3515" s="135">
        <f>YEAR(source[[#This Row],[report_date]])</f>
        <v>2024</v>
      </c>
      <c r="C3515" s="128">
        <f t="shared" si="156"/>
        <v>11</v>
      </c>
      <c r="D3515" s="136">
        <f t="shared" si="158"/>
        <v>47</v>
      </c>
      <c r="E3515" s="136">
        <f t="shared" si="157"/>
        <v>22</v>
      </c>
      <c r="F3515" s="137" t="s">
        <v>24</v>
      </c>
      <c r="G3515" s="128" t="str">
        <f>VLOOKUP(source[[#This Row],[lending_product_transform]],[3]Mapping!$B$4:$C$37,2,0)</f>
        <v>[Cake] - Cashloan</v>
      </c>
      <c r="H3515" s="128" t="str">
        <f>VLOOKUP(source[[#This Row],[lending_product_transform]],[3]Mapping!$B$3:$D$37,3,0)</f>
        <v>cashloan</v>
      </c>
      <c r="I3515" s="143">
        <v>27400000</v>
      </c>
    </row>
    <row r="3516" spans="1:9" x14ac:dyDescent="0.2">
      <c r="A3516" s="134">
        <v>45618</v>
      </c>
      <c r="B3516" s="135">
        <f>YEAR(source[[#This Row],[report_date]])</f>
        <v>2024</v>
      </c>
      <c r="C3516" s="128">
        <f t="shared" si="156"/>
        <v>11</v>
      </c>
      <c r="D3516" s="136">
        <f t="shared" si="158"/>
        <v>47</v>
      </c>
      <c r="E3516" s="136">
        <f t="shared" si="157"/>
        <v>22</v>
      </c>
      <c r="F3516" s="137" t="s">
        <v>24</v>
      </c>
      <c r="G3516" s="128" t="str">
        <f>VLOOKUP(source[[#This Row],[lending_product_transform]],[3]Mapping!$B$4:$C$37,2,0)</f>
        <v>[Cake] - Cashloan</v>
      </c>
      <c r="H3516" s="128" t="str">
        <f>VLOOKUP(source[[#This Row],[lending_product_transform]],[3]Mapping!$B$3:$D$37,3,0)</f>
        <v>cashloan</v>
      </c>
      <c r="I3516" s="143">
        <v>52500000</v>
      </c>
    </row>
    <row r="3517" spans="1:9" x14ac:dyDescent="0.2">
      <c r="A3517" s="134">
        <v>45618</v>
      </c>
      <c r="B3517" s="135">
        <f>YEAR(source[[#This Row],[report_date]])</f>
        <v>2024</v>
      </c>
      <c r="C3517" s="128">
        <f t="shared" si="156"/>
        <v>11</v>
      </c>
      <c r="D3517" s="136">
        <f t="shared" si="158"/>
        <v>47</v>
      </c>
      <c r="E3517" s="136">
        <f t="shared" si="157"/>
        <v>22</v>
      </c>
      <c r="F3517" s="137" t="s">
        <v>24</v>
      </c>
      <c r="G3517" s="128" t="str">
        <f>VLOOKUP(source[[#This Row],[lending_product_transform]],[3]Mapping!$B$4:$C$37,2,0)</f>
        <v>[Cake] - Cashloan</v>
      </c>
      <c r="H3517" s="128" t="str">
        <f>VLOOKUP(source[[#This Row],[lending_product_transform]],[3]Mapping!$B$3:$D$37,3,0)</f>
        <v>cashloan</v>
      </c>
      <c r="I3517" s="143">
        <v>63800000</v>
      </c>
    </row>
    <row r="3518" spans="1:9" x14ac:dyDescent="0.2">
      <c r="A3518" s="134">
        <v>45618</v>
      </c>
      <c r="B3518" s="135">
        <f>YEAR(source[[#This Row],[report_date]])</f>
        <v>2024</v>
      </c>
      <c r="C3518" s="128">
        <f t="shared" si="156"/>
        <v>11</v>
      </c>
      <c r="D3518" s="136">
        <f t="shared" si="158"/>
        <v>47</v>
      </c>
      <c r="E3518" s="136">
        <f t="shared" si="157"/>
        <v>22</v>
      </c>
      <c r="F3518" s="137" t="s">
        <v>24</v>
      </c>
      <c r="G3518" s="128" t="str">
        <f>VLOOKUP(source[[#This Row],[lending_product_transform]],[3]Mapping!$B$4:$C$37,2,0)</f>
        <v>[Cake] - Cashloan</v>
      </c>
      <c r="H3518" s="128" t="str">
        <f>VLOOKUP(source[[#This Row],[lending_product_transform]],[3]Mapping!$B$3:$D$37,3,0)</f>
        <v>cashloan</v>
      </c>
      <c r="I3518" s="143">
        <v>307896883</v>
      </c>
    </row>
    <row r="3519" spans="1:9" x14ac:dyDescent="0.2">
      <c r="A3519" s="134">
        <v>45618</v>
      </c>
      <c r="B3519" s="135">
        <f>YEAR(source[[#This Row],[report_date]])</f>
        <v>2024</v>
      </c>
      <c r="C3519" s="128">
        <f t="shared" si="156"/>
        <v>11</v>
      </c>
      <c r="D3519" s="136">
        <f t="shared" si="158"/>
        <v>47</v>
      </c>
      <c r="E3519" s="136">
        <f t="shared" si="157"/>
        <v>22</v>
      </c>
      <c r="F3519" s="137" t="s">
        <v>24</v>
      </c>
      <c r="G3519" s="128" t="str">
        <f>VLOOKUP(source[[#This Row],[lending_product_transform]],[3]Mapping!$B$4:$C$37,2,0)</f>
        <v>[Cake] - Cashloan</v>
      </c>
      <c r="H3519" s="128" t="str">
        <f>VLOOKUP(source[[#This Row],[lending_product_transform]],[3]Mapping!$B$3:$D$37,3,0)</f>
        <v>cashloan</v>
      </c>
      <c r="I3519" s="143">
        <v>0</v>
      </c>
    </row>
    <row r="3520" spans="1:9" x14ac:dyDescent="0.2">
      <c r="A3520" s="134">
        <v>45618</v>
      </c>
      <c r="B3520" s="135">
        <f>YEAR(source[[#This Row],[report_date]])</f>
        <v>2024</v>
      </c>
      <c r="C3520" s="128">
        <f t="shared" si="156"/>
        <v>11</v>
      </c>
      <c r="D3520" s="136">
        <f t="shared" si="158"/>
        <v>47</v>
      </c>
      <c r="E3520" s="136">
        <f t="shared" si="157"/>
        <v>22</v>
      </c>
      <c r="F3520" s="137" t="s">
        <v>24</v>
      </c>
      <c r="G3520" s="128" t="str">
        <f>VLOOKUP(source[[#This Row],[lending_product_transform]],[3]Mapping!$B$4:$C$37,2,0)</f>
        <v>[Cake] - Cashloan</v>
      </c>
      <c r="H3520" s="128" t="str">
        <f>VLOOKUP(source[[#This Row],[lending_product_transform]],[3]Mapping!$B$3:$D$37,3,0)</f>
        <v>cashloan</v>
      </c>
      <c r="I3520" s="143">
        <v>0</v>
      </c>
    </row>
    <row r="3521" spans="1:9" x14ac:dyDescent="0.2">
      <c r="A3521" s="134">
        <v>45618</v>
      </c>
      <c r="B3521" s="135">
        <f>YEAR(source[[#This Row],[report_date]])</f>
        <v>2024</v>
      </c>
      <c r="C3521" s="128">
        <f t="shared" si="156"/>
        <v>11</v>
      </c>
      <c r="D3521" s="136">
        <f t="shared" si="158"/>
        <v>47</v>
      </c>
      <c r="E3521" s="136">
        <f t="shared" si="157"/>
        <v>22</v>
      </c>
      <c r="F3521" s="137" t="s">
        <v>24</v>
      </c>
      <c r="G3521" s="128" t="str">
        <f>VLOOKUP(source[[#This Row],[lending_product_transform]],[3]Mapping!$B$4:$C$37,2,0)</f>
        <v>[Cake] - Cashloan</v>
      </c>
      <c r="H3521" s="128" t="str">
        <f>VLOOKUP(source[[#This Row],[lending_product_transform]],[3]Mapping!$B$3:$D$37,3,0)</f>
        <v>cashloan</v>
      </c>
      <c r="I3521" s="143">
        <v>293170000</v>
      </c>
    </row>
    <row r="3522" spans="1:9" x14ac:dyDescent="0.2">
      <c r="A3522" s="134">
        <v>45618</v>
      </c>
      <c r="B3522" s="135">
        <f>YEAR(source[[#This Row],[report_date]])</f>
        <v>2024</v>
      </c>
      <c r="C3522" s="128">
        <f t="shared" ref="C3522:C3585" si="159">MONTH(A3522)</f>
        <v>11</v>
      </c>
      <c r="D3522" s="136">
        <f t="shared" si="158"/>
        <v>47</v>
      </c>
      <c r="E3522" s="136">
        <f t="shared" ref="E3522:E3585" si="160">DAY(A3522)</f>
        <v>22</v>
      </c>
      <c r="F3522" s="137" t="s">
        <v>24</v>
      </c>
      <c r="G3522" s="128" t="str">
        <f>VLOOKUP(source[[#This Row],[lending_product_transform]],[3]Mapping!$B$4:$C$37,2,0)</f>
        <v>[Cake] - Cashloan</v>
      </c>
      <c r="H3522" s="128" t="str">
        <f>VLOOKUP(source[[#This Row],[lending_product_transform]],[3]Mapping!$B$3:$D$37,3,0)</f>
        <v>cashloan</v>
      </c>
      <c r="I3522" s="143">
        <v>0</v>
      </c>
    </row>
    <row r="3523" spans="1:9" x14ac:dyDescent="0.2">
      <c r="A3523" s="134">
        <v>45618</v>
      </c>
      <c r="B3523" s="135">
        <f>YEAR(source[[#This Row],[report_date]])</f>
        <v>2024</v>
      </c>
      <c r="C3523" s="128">
        <f t="shared" si="159"/>
        <v>11</v>
      </c>
      <c r="D3523" s="136">
        <f t="shared" ref="D3523:D3586" si="161">WEEKNUM(A3523,2)</f>
        <v>47</v>
      </c>
      <c r="E3523" s="136">
        <f t="shared" si="160"/>
        <v>22</v>
      </c>
      <c r="F3523" s="137" t="s">
        <v>24</v>
      </c>
      <c r="G3523" s="128" t="str">
        <f>VLOOKUP(source[[#This Row],[lending_product_transform]],[3]Mapping!$B$4:$C$37,2,0)</f>
        <v>[Cake] - Cashloan</v>
      </c>
      <c r="H3523" s="128" t="str">
        <f>VLOOKUP(source[[#This Row],[lending_product_transform]],[3]Mapping!$B$3:$D$37,3,0)</f>
        <v>cashloan</v>
      </c>
      <c r="I3523" s="143">
        <v>3833000000</v>
      </c>
    </row>
    <row r="3524" spans="1:9" x14ac:dyDescent="0.2">
      <c r="A3524" s="134">
        <v>45618</v>
      </c>
      <c r="B3524" s="135">
        <f>YEAR(source[[#This Row],[report_date]])</f>
        <v>2024</v>
      </c>
      <c r="C3524" s="128">
        <f t="shared" si="159"/>
        <v>11</v>
      </c>
      <c r="D3524" s="136">
        <f t="shared" si="161"/>
        <v>47</v>
      </c>
      <c r="E3524" s="136">
        <f t="shared" si="160"/>
        <v>22</v>
      </c>
      <c r="F3524" s="137" t="s">
        <v>24</v>
      </c>
      <c r="G3524" s="128" t="str">
        <f>VLOOKUP(source[[#This Row],[lending_product_transform]],[3]Mapping!$B$4:$C$37,2,0)</f>
        <v>[Cake] - Cashloan</v>
      </c>
      <c r="H3524" s="128" t="str">
        <f>VLOOKUP(source[[#This Row],[lending_product_transform]],[3]Mapping!$B$3:$D$37,3,0)</f>
        <v>cashloan</v>
      </c>
      <c r="I3524" s="143">
        <v>6916440000</v>
      </c>
    </row>
    <row r="3525" spans="1:9" x14ac:dyDescent="0.2">
      <c r="A3525" s="134">
        <v>45618</v>
      </c>
      <c r="B3525" s="135">
        <f>YEAR(source[[#This Row],[report_date]])</f>
        <v>2024</v>
      </c>
      <c r="C3525" s="128">
        <f t="shared" si="159"/>
        <v>11</v>
      </c>
      <c r="D3525" s="136">
        <f t="shared" si="161"/>
        <v>47</v>
      </c>
      <c r="E3525" s="136">
        <f t="shared" si="160"/>
        <v>22</v>
      </c>
      <c r="F3525" s="137" t="s">
        <v>24</v>
      </c>
      <c r="G3525" s="128" t="str">
        <f>VLOOKUP(source[[#This Row],[lending_product_transform]],[3]Mapping!$B$4:$C$37,2,0)</f>
        <v>[Cake] - Cashloan</v>
      </c>
      <c r="H3525" s="128" t="str">
        <f>VLOOKUP(source[[#This Row],[lending_product_transform]],[3]Mapping!$B$3:$D$37,3,0)</f>
        <v>cashloan</v>
      </c>
      <c r="I3525" s="143">
        <v>46000000</v>
      </c>
    </row>
    <row r="3526" spans="1:9" x14ac:dyDescent="0.2">
      <c r="A3526" s="134">
        <v>45618</v>
      </c>
      <c r="B3526" s="135">
        <f>YEAR(source[[#This Row],[report_date]])</f>
        <v>2024</v>
      </c>
      <c r="C3526" s="128">
        <f t="shared" si="159"/>
        <v>11</v>
      </c>
      <c r="D3526" s="136">
        <f t="shared" si="161"/>
        <v>47</v>
      </c>
      <c r="E3526" s="136">
        <f t="shared" si="160"/>
        <v>22</v>
      </c>
      <c r="F3526" s="137" t="s">
        <v>24</v>
      </c>
      <c r="G3526" s="128" t="str">
        <f>VLOOKUP(source[[#This Row],[lending_product_transform]],[3]Mapping!$B$4:$C$37,2,0)</f>
        <v>[Cake] - Cashloan</v>
      </c>
      <c r="H3526" s="128" t="str">
        <f>VLOOKUP(source[[#This Row],[lending_product_transform]],[3]Mapping!$B$3:$D$37,3,0)</f>
        <v>cashloan</v>
      </c>
      <c r="I3526" s="143">
        <v>4752530000</v>
      </c>
    </row>
    <row r="3527" spans="1:9" x14ac:dyDescent="0.2">
      <c r="A3527" s="134">
        <v>45619</v>
      </c>
      <c r="B3527" s="135">
        <f>YEAR(source[[#This Row],[report_date]])</f>
        <v>2024</v>
      </c>
      <c r="C3527" s="128">
        <f t="shared" si="159"/>
        <v>11</v>
      </c>
      <c r="D3527" s="136">
        <f t="shared" si="161"/>
        <v>47</v>
      </c>
      <c r="E3527" s="136">
        <f t="shared" si="160"/>
        <v>23</v>
      </c>
      <c r="F3527" s="137" t="s">
        <v>24</v>
      </c>
      <c r="G3527" s="128" t="str">
        <f>VLOOKUP(source[[#This Row],[lending_product_transform]],[3]Mapping!$B$4:$C$37,2,0)</f>
        <v>[Cake] - Cashloan</v>
      </c>
      <c r="H3527" s="128" t="str">
        <f>VLOOKUP(source[[#This Row],[lending_product_transform]],[3]Mapping!$B$3:$D$37,3,0)</f>
        <v>cashloan</v>
      </c>
      <c r="I3527" s="143">
        <v>0</v>
      </c>
    </row>
    <row r="3528" spans="1:9" x14ac:dyDescent="0.2">
      <c r="A3528" s="134">
        <v>45619</v>
      </c>
      <c r="B3528" s="135">
        <f>YEAR(source[[#This Row],[report_date]])</f>
        <v>2024</v>
      </c>
      <c r="C3528" s="128">
        <f t="shared" si="159"/>
        <v>11</v>
      </c>
      <c r="D3528" s="136">
        <f t="shared" si="161"/>
        <v>47</v>
      </c>
      <c r="E3528" s="136">
        <f t="shared" si="160"/>
        <v>23</v>
      </c>
      <c r="F3528" s="137" t="s">
        <v>24</v>
      </c>
      <c r="G3528" s="128" t="str">
        <f>VLOOKUP(source[[#This Row],[lending_product_transform]],[3]Mapping!$B$4:$C$37,2,0)</f>
        <v>[Cake] - Cashloan</v>
      </c>
      <c r="H3528" s="128" t="str">
        <f>VLOOKUP(source[[#This Row],[lending_product_transform]],[3]Mapping!$B$3:$D$37,3,0)</f>
        <v>cashloan</v>
      </c>
      <c r="I3528" s="143">
        <v>76990000</v>
      </c>
    </row>
    <row r="3529" spans="1:9" x14ac:dyDescent="0.2">
      <c r="A3529" s="134">
        <v>45619</v>
      </c>
      <c r="B3529" s="135">
        <f>YEAR(source[[#This Row],[report_date]])</f>
        <v>2024</v>
      </c>
      <c r="C3529" s="128">
        <f t="shared" si="159"/>
        <v>11</v>
      </c>
      <c r="D3529" s="136">
        <f t="shared" si="161"/>
        <v>47</v>
      </c>
      <c r="E3529" s="136">
        <f t="shared" si="160"/>
        <v>23</v>
      </c>
      <c r="F3529" s="137" t="s">
        <v>24</v>
      </c>
      <c r="G3529" s="128" t="str">
        <f>VLOOKUP(source[[#This Row],[lending_product_transform]],[3]Mapping!$B$4:$C$37,2,0)</f>
        <v>[Cake] - Cashloan</v>
      </c>
      <c r="H3529" s="128" t="str">
        <f>VLOOKUP(source[[#This Row],[lending_product_transform]],[3]Mapping!$B$3:$D$37,3,0)</f>
        <v>cashloan</v>
      </c>
      <c r="I3529" s="143">
        <v>428410000</v>
      </c>
    </row>
    <row r="3530" spans="1:9" x14ac:dyDescent="0.2">
      <c r="A3530" s="134">
        <v>45619</v>
      </c>
      <c r="B3530" s="135">
        <f>YEAR(source[[#This Row],[report_date]])</f>
        <v>2024</v>
      </c>
      <c r="C3530" s="128">
        <f t="shared" si="159"/>
        <v>11</v>
      </c>
      <c r="D3530" s="136">
        <f t="shared" si="161"/>
        <v>47</v>
      </c>
      <c r="E3530" s="136">
        <f t="shared" si="160"/>
        <v>23</v>
      </c>
      <c r="F3530" s="137" t="s">
        <v>24</v>
      </c>
      <c r="G3530" s="128" t="str">
        <f>VLOOKUP(source[[#This Row],[lending_product_transform]],[3]Mapping!$B$4:$C$37,2,0)</f>
        <v>[Cake] - Cashloan</v>
      </c>
      <c r="H3530" s="128" t="str">
        <f>VLOOKUP(source[[#This Row],[lending_product_transform]],[3]Mapping!$B$3:$D$37,3,0)</f>
        <v>cashloan</v>
      </c>
      <c r="I3530" s="143">
        <v>0</v>
      </c>
    </row>
    <row r="3531" spans="1:9" x14ac:dyDescent="0.2">
      <c r="A3531" s="134">
        <v>45619</v>
      </c>
      <c r="B3531" s="135">
        <f>YEAR(source[[#This Row],[report_date]])</f>
        <v>2024</v>
      </c>
      <c r="C3531" s="128">
        <f t="shared" si="159"/>
        <v>11</v>
      </c>
      <c r="D3531" s="136">
        <f t="shared" si="161"/>
        <v>47</v>
      </c>
      <c r="E3531" s="136">
        <f t="shared" si="160"/>
        <v>23</v>
      </c>
      <c r="F3531" s="137" t="s">
        <v>24</v>
      </c>
      <c r="G3531" s="128" t="str">
        <f>VLOOKUP(source[[#This Row],[lending_product_transform]],[3]Mapping!$B$4:$C$37,2,0)</f>
        <v>[Cake] - Cashloan</v>
      </c>
      <c r="H3531" s="128" t="str">
        <f>VLOOKUP(source[[#This Row],[lending_product_transform]],[3]Mapping!$B$3:$D$37,3,0)</f>
        <v>cashloan</v>
      </c>
      <c r="I3531" s="143">
        <v>0</v>
      </c>
    </row>
    <row r="3532" spans="1:9" x14ac:dyDescent="0.2">
      <c r="A3532" s="134">
        <v>45619</v>
      </c>
      <c r="B3532" s="135">
        <f>YEAR(source[[#This Row],[report_date]])</f>
        <v>2024</v>
      </c>
      <c r="C3532" s="128">
        <f t="shared" si="159"/>
        <v>11</v>
      </c>
      <c r="D3532" s="136">
        <f t="shared" si="161"/>
        <v>47</v>
      </c>
      <c r="E3532" s="136">
        <f t="shared" si="160"/>
        <v>23</v>
      </c>
      <c r="F3532" s="137" t="s">
        <v>24</v>
      </c>
      <c r="G3532" s="128" t="str">
        <f>VLOOKUP(source[[#This Row],[lending_product_transform]],[3]Mapping!$B$4:$C$37,2,0)</f>
        <v>[Cake] - Cashloan</v>
      </c>
      <c r="H3532" s="128" t="str">
        <f>VLOOKUP(source[[#This Row],[lending_product_transform]],[3]Mapping!$B$3:$D$37,3,0)</f>
        <v>cashloan</v>
      </c>
      <c r="I3532" s="143">
        <v>49220000</v>
      </c>
    </row>
    <row r="3533" spans="1:9" x14ac:dyDescent="0.2">
      <c r="A3533" s="134">
        <v>45619</v>
      </c>
      <c r="B3533" s="135">
        <f>YEAR(source[[#This Row],[report_date]])</f>
        <v>2024</v>
      </c>
      <c r="C3533" s="128">
        <f t="shared" si="159"/>
        <v>11</v>
      </c>
      <c r="D3533" s="136">
        <f t="shared" si="161"/>
        <v>47</v>
      </c>
      <c r="E3533" s="136">
        <f t="shared" si="160"/>
        <v>23</v>
      </c>
      <c r="F3533" s="137" t="s">
        <v>24</v>
      </c>
      <c r="G3533" s="128" t="str">
        <f>VLOOKUP(source[[#This Row],[lending_product_transform]],[3]Mapping!$B$4:$C$37,2,0)</f>
        <v>[Cake] - Cashloan</v>
      </c>
      <c r="H3533" s="128" t="str">
        <f>VLOOKUP(source[[#This Row],[lending_product_transform]],[3]Mapping!$B$3:$D$37,3,0)</f>
        <v>cashloan</v>
      </c>
      <c r="I3533" s="143">
        <v>0</v>
      </c>
    </row>
    <row r="3534" spans="1:9" x14ac:dyDescent="0.2">
      <c r="A3534" s="134">
        <v>45619</v>
      </c>
      <c r="B3534" s="135">
        <f>YEAR(source[[#This Row],[report_date]])</f>
        <v>2024</v>
      </c>
      <c r="C3534" s="128">
        <f t="shared" si="159"/>
        <v>11</v>
      </c>
      <c r="D3534" s="136">
        <f t="shared" si="161"/>
        <v>47</v>
      </c>
      <c r="E3534" s="136">
        <f t="shared" si="160"/>
        <v>23</v>
      </c>
      <c r="F3534" s="137" t="s">
        <v>24</v>
      </c>
      <c r="G3534" s="128" t="str">
        <f>VLOOKUP(source[[#This Row],[lending_product_transform]],[3]Mapping!$B$4:$C$37,2,0)</f>
        <v>[Cake] - Cashloan</v>
      </c>
      <c r="H3534" s="128" t="str">
        <f>VLOOKUP(source[[#This Row],[lending_product_transform]],[3]Mapping!$B$3:$D$37,3,0)</f>
        <v>cashloan</v>
      </c>
      <c r="I3534" s="143">
        <v>124149900</v>
      </c>
    </row>
    <row r="3535" spans="1:9" x14ac:dyDescent="0.2">
      <c r="A3535" s="134">
        <v>45619</v>
      </c>
      <c r="B3535" s="135">
        <f>YEAR(source[[#This Row],[report_date]])</f>
        <v>2024</v>
      </c>
      <c r="C3535" s="128">
        <f t="shared" si="159"/>
        <v>11</v>
      </c>
      <c r="D3535" s="136">
        <f t="shared" si="161"/>
        <v>47</v>
      </c>
      <c r="E3535" s="136">
        <f t="shared" si="160"/>
        <v>23</v>
      </c>
      <c r="F3535" s="137" t="s">
        <v>24</v>
      </c>
      <c r="G3535" s="128" t="str">
        <f>VLOOKUP(source[[#This Row],[lending_product_transform]],[3]Mapping!$B$4:$C$37,2,0)</f>
        <v>[Cake] - Cashloan</v>
      </c>
      <c r="H3535" s="128" t="str">
        <f>VLOOKUP(source[[#This Row],[lending_product_transform]],[3]Mapping!$B$3:$D$37,3,0)</f>
        <v>cashloan</v>
      </c>
      <c r="I3535" s="143">
        <v>6108700000</v>
      </c>
    </row>
    <row r="3536" spans="1:9" x14ac:dyDescent="0.2">
      <c r="A3536" s="134">
        <v>45619</v>
      </c>
      <c r="B3536" s="135">
        <f>YEAR(source[[#This Row],[report_date]])</f>
        <v>2024</v>
      </c>
      <c r="C3536" s="128">
        <f t="shared" si="159"/>
        <v>11</v>
      </c>
      <c r="D3536" s="136">
        <f t="shared" si="161"/>
        <v>47</v>
      </c>
      <c r="E3536" s="136">
        <f t="shared" si="160"/>
        <v>23</v>
      </c>
      <c r="F3536" s="137" t="s">
        <v>24</v>
      </c>
      <c r="G3536" s="128" t="str">
        <f>VLOOKUP(source[[#This Row],[lending_product_transform]],[3]Mapping!$B$4:$C$37,2,0)</f>
        <v>[Cake] - Cashloan</v>
      </c>
      <c r="H3536" s="128" t="str">
        <f>VLOOKUP(source[[#This Row],[lending_product_transform]],[3]Mapping!$B$3:$D$37,3,0)</f>
        <v>cashloan</v>
      </c>
      <c r="I3536" s="143">
        <v>3717000000</v>
      </c>
    </row>
    <row r="3537" spans="1:9" x14ac:dyDescent="0.2">
      <c r="A3537" s="134">
        <v>45619</v>
      </c>
      <c r="B3537" s="135">
        <f>YEAR(source[[#This Row],[report_date]])</f>
        <v>2024</v>
      </c>
      <c r="C3537" s="128">
        <f t="shared" si="159"/>
        <v>11</v>
      </c>
      <c r="D3537" s="136">
        <f t="shared" si="161"/>
        <v>47</v>
      </c>
      <c r="E3537" s="136">
        <f t="shared" si="160"/>
        <v>23</v>
      </c>
      <c r="F3537" s="137" t="s">
        <v>24</v>
      </c>
      <c r="G3537" s="128" t="str">
        <f>VLOOKUP(source[[#This Row],[lending_product_transform]],[3]Mapping!$B$4:$C$37,2,0)</f>
        <v>[Cake] - Cashloan</v>
      </c>
      <c r="H3537" s="128" t="str">
        <f>VLOOKUP(source[[#This Row],[lending_product_transform]],[3]Mapping!$B$3:$D$37,3,0)</f>
        <v>cashloan</v>
      </c>
      <c r="I3537" s="143">
        <v>10500000</v>
      </c>
    </row>
    <row r="3538" spans="1:9" x14ac:dyDescent="0.2">
      <c r="A3538" s="134">
        <v>45619</v>
      </c>
      <c r="B3538" s="135">
        <f>YEAR(source[[#This Row],[report_date]])</f>
        <v>2024</v>
      </c>
      <c r="C3538" s="128">
        <f t="shared" si="159"/>
        <v>11</v>
      </c>
      <c r="D3538" s="136">
        <f t="shared" si="161"/>
        <v>47</v>
      </c>
      <c r="E3538" s="136">
        <f t="shared" si="160"/>
        <v>23</v>
      </c>
      <c r="F3538" s="137" t="s">
        <v>24</v>
      </c>
      <c r="G3538" s="128" t="str">
        <f>VLOOKUP(source[[#This Row],[lending_product_transform]],[3]Mapping!$B$4:$C$37,2,0)</f>
        <v>[Cake] - Cashloan</v>
      </c>
      <c r="H3538" s="128" t="str">
        <f>VLOOKUP(source[[#This Row],[lending_product_transform]],[3]Mapping!$B$3:$D$37,3,0)</f>
        <v>cashloan</v>
      </c>
      <c r="I3538" s="143">
        <v>254992948</v>
      </c>
    </row>
    <row r="3539" spans="1:9" x14ac:dyDescent="0.2">
      <c r="A3539" s="134">
        <v>45619</v>
      </c>
      <c r="B3539" s="135">
        <f>YEAR(source[[#This Row],[report_date]])</f>
        <v>2024</v>
      </c>
      <c r="C3539" s="128">
        <f t="shared" si="159"/>
        <v>11</v>
      </c>
      <c r="D3539" s="136">
        <f t="shared" si="161"/>
        <v>47</v>
      </c>
      <c r="E3539" s="136">
        <f t="shared" si="160"/>
        <v>23</v>
      </c>
      <c r="F3539" s="137" t="s">
        <v>24</v>
      </c>
      <c r="G3539" s="128" t="str">
        <f>VLOOKUP(source[[#This Row],[lending_product_transform]],[3]Mapping!$B$4:$C$37,2,0)</f>
        <v>[Cake] - Cashloan</v>
      </c>
      <c r="H3539" s="128" t="str">
        <f>VLOOKUP(source[[#This Row],[lending_product_transform]],[3]Mapping!$B$3:$D$37,3,0)</f>
        <v>cashloan</v>
      </c>
      <c r="I3539" s="143">
        <v>0</v>
      </c>
    </row>
    <row r="3540" spans="1:9" x14ac:dyDescent="0.2">
      <c r="A3540" s="134">
        <v>45619</v>
      </c>
      <c r="B3540" s="135">
        <f>YEAR(source[[#This Row],[report_date]])</f>
        <v>2024</v>
      </c>
      <c r="C3540" s="128">
        <f t="shared" si="159"/>
        <v>11</v>
      </c>
      <c r="D3540" s="136">
        <f t="shared" si="161"/>
        <v>47</v>
      </c>
      <c r="E3540" s="136">
        <f t="shared" si="160"/>
        <v>23</v>
      </c>
      <c r="F3540" s="137" t="s">
        <v>24</v>
      </c>
      <c r="G3540" s="128" t="str">
        <f>VLOOKUP(source[[#This Row],[lending_product_transform]],[3]Mapping!$B$4:$C$37,2,0)</f>
        <v>[Cake] - Cashloan</v>
      </c>
      <c r="H3540" s="128" t="str">
        <f>VLOOKUP(source[[#This Row],[lending_product_transform]],[3]Mapping!$B$3:$D$37,3,0)</f>
        <v>cashloan</v>
      </c>
      <c r="I3540" s="143">
        <v>4324200000</v>
      </c>
    </row>
    <row r="3541" spans="1:9" x14ac:dyDescent="0.2">
      <c r="A3541" s="134">
        <v>45619</v>
      </c>
      <c r="B3541" s="135">
        <f>YEAR(source[[#This Row],[report_date]])</f>
        <v>2024</v>
      </c>
      <c r="C3541" s="128">
        <f t="shared" si="159"/>
        <v>11</v>
      </c>
      <c r="D3541" s="136">
        <f t="shared" si="161"/>
        <v>47</v>
      </c>
      <c r="E3541" s="136">
        <f t="shared" si="160"/>
        <v>23</v>
      </c>
      <c r="F3541" s="137" t="s">
        <v>24</v>
      </c>
      <c r="G3541" s="128" t="str">
        <f>VLOOKUP(source[[#This Row],[lending_product_transform]],[3]Mapping!$B$4:$C$37,2,0)</f>
        <v>[Cake] - Cashloan</v>
      </c>
      <c r="H3541" s="128" t="str">
        <f>VLOOKUP(source[[#This Row],[lending_product_transform]],[3]Mapping!$B$3:$D$37,3,0)</f>
        <v>cashloan</v>
      </c>
      <c r="I3541" s="143">
        <v>88000466</v>
      </c>
    </row>
    <row r="3542" spans="1:9" x14ac:dyDescent="0.2">
      <c r="A3542" s="134">
        <v>45619</v>
      </c>
      <c r="B3542" s="135">
        <f>YEAR(source[[#This Row],[report_date]])</f>
        <v>2024</v>
      </c>
      <c r="C3542" s="128">
        <f t="shared" si="159"/>
        <v>11</v>
      </c>
      <c r="D3542" s="136">
        <f t="shared" si="161"/>
        <v>47</v>
      </c>
      <c r="E3542" s="136">
        <f t="shared" si="160"/>
        <v>23</v>
      </c>
      <c r="F3542" s="137" t="s">
        <v>24</v>
      </c>
      <c r="G3542" s="128" t="str">
        <f>VLOOKUP(source[[#This Row],[lending_product_transform]],[3]Mapping!$B$4:$C$37,2,0)</f>
        <v>[Cake] - Cashloan</v>
      </c>
      <c r="H3542" s="128" t="str">
        <f>VLOOKUP(source[[#This Row],[lending_product_transform]],[3]Mapping!$B$3:$D$37,3,0)</f>
        <v>cashloan</v>
      </c>
      <c r="I3542" s="143">
        <v>2890718049</v>
      </c>
    </row>
    <row r="3543" spans="1:9" x14ac:dyDescent="0.2">
      <c r="A3543" s="134">
        <v>45619</v>
      </c>
      <c r="B3543" s="135">
        <f>YEAR(source[[#This Row],[report_date]])</f>
        <v>2024</v>
      </c>
      <c r="C3543" s="128">
        <f t="shared" si="159"/>
        <v>11</v>
      </c>
      <c r="D3543" s="136">
        <f t="shared" si="161"/>
        <v>47</v>
      </c>
      <c r="E3543" s="136">
        <f t="shared" si="160"/>
        <v>23</v>
      </c>
      <c r="F3543" s="137" t="s">
        <v>24</v>
      </c>
      <c r="G3543" s="128" t="str">
        <f>VLOOKUP(source[[#This Row],[lending_product_transform]],[3]Mapping!$B$4:$C$37,2,0)</f>
        <v>[Cake] - Cashloan</v>
      </c>
      <c r="H3543" s="128" t="str">
        <f>VLOOKUP(source[[#This Row],[lending_product_transform]],[3]Mapping!$B$3:$D$37,3,0)</f>
        <v>cashloan</v>
      </c>
      <c r="I3543" s="143">
        <v>74000000</v>
      </c>
    </row>
    <row r="3544" spans="1:9" x14ac:dyDescent="0.2">
      <c r="A3544" s="134">
        <v>45620</v>
      </c>
      <c r="B3544" s="135">
        <f>YEAR(source[[#This Row],[report_date]])</f>
        <v>2024</v>
      </c>
      <c r="C3544" s="128">
        <f t="shared" si="159"/>
        <v>11</v>
      </c>
      <c r="D3544" s="136">
        <f t="shared" si="161"/>
        <v>47</v>
      </c>
      <c r="E3544" s="136">
        <f t="shared" si="160"/>
        <v>24</v>
      </c>
      <c r="F3544" s="137" t="s">
        <v>24</v>
      </c>
      <c r="G3544" s="128" t="str">
        <f>VLOOKUP(source[[#This Row],[lending_product_transform]],[3]Mapping!$B$4:$C$37,2,0)</f>
        <v>[Cake] - Cashloan</v>
      </c>
      <c r="H3544" s="128" t="str">
        <f>VLOOKUP(source[[#This Row],[lending_product_transform]],[3]Mapping!$B$3:$D$37,3,0)</f>
        <v>cashloan</v>
      </c>
      <c r="I3544" s="143">
        <v>20000000</v>
      </c>
    </row>
    <row r="3545" spans="1:9" x14ac:dyDescent="0.2">
      <c r="A3545" s="134">
        <v>45620</v>
      </c>
      <c r="B3545" s="135">
        <f>YEAR(source[[#This Row],[report_date]])</f>
        <v>2024</v>
      </c>
      <c r="C3545" s="128">
        <f t="shared" si="159"/>
        <v>11</v>
      </c>
      <c r="D3545" s="136">
        <f t="shared" si="161"/>
        <v>47</v>
      </c>
      <c r="E3545" s="136">
        <f t="shared" si="160"/>
        <v>24</v>
      </c>
      <c r="F3545" s="137" t="s">
        <v>24</v>
      </c>
      <c r="G3545" s="128" t="str">
        <f>VLOOKUP(source[[#This Row],[lending_product_transform]],[3]Mapping!$B$4:$C$37,2,0)</f>
        <v>[Cake] - Cashloan</v>
      </c>
      <c r="H3545" s="128" t="str">
        <f>VLOOKUP(source[[#This Row],[lending_product_transform]],[3]Mapping!$B$3:$D$37,3,0)</f>
        <v>cashloan</v>
      </c>
      <c r="I3545" s="143">
        <v>0</v>
      </c>
    </row>
    <row r="3546" spans="1:9" x14ac:dyDescent="0.2">
      <c r="A3546" s="134">
        <v>45620</v>
      </c>
      <c r="B3546" s="135">
        <f>YEAR(source[[#This Row],[report_date]])</f>
        <v>2024</v>
      </c>
      <c r="C3546" s="128">
        <f t="shared" si="159"/>
        <v>11</v>
      </c>
      <c r="D3546" s="136">
        <f t="shared" si="161"/>
        <v>47</v>
      </c>
      <c r="E3546" s="136">
        <f t="shared" si="160"/>
        <v>24</v>
      </c>
      <c r="F3546" s="137" t="s">
        <v>24</v>
      </c>
      <c r="G3546" s="128" t="str">
        <f>VLOOKUP(source[[#This Row],[lending_product_transform]],[3]Mapping!$B$4:$C$37,2,0)</f>
        <v>[Cake] - Cashloan</v>
      </c>
      <c r="H3546" s="128" t="str">
        <f>VLOOKUP(source[[#This Row],[lending_product_transform]],[3]Mapping!$B$3:$D$37,3,0)</f>
        <v>cashloan</v>
      </c>
      <c r="I3546" s="143">
        <v>0</v>
      </c>
    </row>
    <row r="3547" spans="1:9" x14ac:dyDescent="0.2">
      <c r="A3547" s="134">
        <v>45620</v>
      </c>
      <c r="B3547" s="135">
        <f>YEAR(source[[#This Row],[report_date]])</f>
        <v>2024</v>
      </c>
      <c r="C3547" s="128">
        <f t="shared" si="159"/>
        <v>11</v>
      </c>
      <c r="D3547" s="136">
        <f t="shared" si="161"/>
        <v>47</v>
      </c>
      <c r="E3547" s="136">
        <f t="shared" si="160"/>
        <v>24</v>
      </c>
      <c r="F3547" s="137" t="s">
        <v>24</v>
      </c>
      <c r="G3547" s="128" t="str">
        <f>VLOOKUP(source[[#This Row],[lending_product_transform]],[3]Mapping!$B$4:$C$37,2,0)</f>
        <v>[Cake] - Cashloan</v>
      </c>
      <c r="H3547" s="128" t="str">
        <f>VLOOKUP(source[[#This Row],[lending_product_transform]],[3]Mapping!$B$3:$D$37,3,0)</f>
        <v>cashloan</v>
      </c>
      <c r="I3547" s="143">
        <v>3267490000</v>
      </c>
    </row>
    <row r="3548" spans="1:9" x14ac:dyDescent="0.2">
      <c r="A3548" s="134">
        <v>45620</v>
      </c>
      <c r="B3548" s="135">
        <f>YEAR(source[[#This Row],[report_date]])</f>
        <v>2024</v>
      </c>
      <c r="C3548" s="128">
        <f t="shared" si="159"/>
        <v>11</v>
      </c>
      <c r="D3548" s="136">
        <f t="shared" si="161"/>
        <v>47</v>
      </c>
      <c r="E3548" s="136">
        <f t="shared" si="160"/>
        <v>24</v>
      </c>
      <c r="F3548" s="137" t="s">
        <v>24</v>
      </c>
      <c r="G3548" s="128" t="str">
        <f>VLOOKUP(source[[#This Row],[lending_product_transform]],[3]Mapping!$B$4:$C$37,2,0)</f>
        <v>[Cake] - Cashloan</v>
      </c>
      <c r="H3548" s="128" t="str">
        <f>VLOOKUP(source[[#This Row],[lending_product_transform]],[3]Mapping!$B$3:$D$37,3,0)</f>
        <v>cashloan</v>
      </c>
      <c r="I3548" s="143">
        <v>0</v>
      </c>
    </row>
    <row r="3549" spans="1:9" x14ac:dyDescent="0.2">
      <c r="A3549" s="134">
        <v>45620</v>
      </c>
      <c r="B3549" s="135">
        <f>YEAR(source[[#This Row],[report_date]])</f>
        <v>2024</v>
      </c>
      <c r="C3549" s="128">
        <f t="shared" si="159"/>
        <v>11</v>
      </c>
      <c r="D3549" s="136">
        <f t="shared" si="161"/>
        <v>47</v>
      </c>
      <c r="E3549" s="136">
        <f t="shared" si="160"/>
        <v>24</v>
      </c>
      <c r="F3549" s="137" t="s">
        <v>24</v>
      </c>
      <c r="G3549" s="128" t="str">
        <f>VLOOKUP(source[[#This Row],[lending_product_transform]],[3]Mapping!$B$4:$C$37,2,0)</f>
        <v>[Cake] - Cashloan</v>
      </c>
      <c r="H3549" s="128" t="str">
        <f>VLOOKUP(source[[#This Row],[lending_product_transform]],[3]Mapping!$B$3:$D$37,3,0)</f>
        <v>cashloan</v>
      </c>
      <c r="I3549" s="143">
        <v>0</v>
      </c>
    </row>
    <row r="3550" spans="1:9" x14ac:dyDescent="0.2">
      <c r="A3550" s="134">
        <v>45620</v>
      </c>
      <c r="B3550" s="135">
        <f>YEAR(source[[#This Row],[report_date]])</f>
        <v>2024</v>
      </c>
      <c r="C3550" s="128">
        <f t="shared" si="159"/>
        <v>11</v>
      </c>
      <c r="D3550" s="136">
        <f t="shared" si="161"/>
        <v>47</v>
      </c>
      <c r="E3550" s="136">
        <f t="shared" si="160"/>
        <v>24</v>
      </c>
      <c r="F3550" s="137" t="s">
        <v>24</v>
      </c>
      <c r="G3550" s="128" t="str">
        <f>VLOOKUP(source[[#This Row],[lending_product_transform]],[3]Mapping!$B$4:$C$37,2,0)</f>
        <v>[Cake] - Cashloan</v>
      </c>
      <c r="H3550" s="128" t="str">
        <f>VLOOKUP(source[[#This Row],[lending_product_transform]],[3]Mapping!$B$3:$D$37,3,0)</f>
        <v>cashloan</v>
      </c>
      <c r="I3550" s="143">
        <v>52447499</v>
      </c>
    </row>
    <row r="3551" spans="1:9" x14ac:dyDescent="0.2">
      <c r="A3551" s="134">
        <v>45620</v>
      </c>
      <c r="B3551" s="135">
        <f>YEAR(source[[#This Row],[report_date]])</f>
        <v>2024</v>
      </c>
      <c r="C3551" s="128">
        <f t="shared" si="159"/>
        <v>11</v>
      </c>
      <c r="D3551" s="136">
        <f t="shared" si="161"/>
        <v>47</v>
      </c>
      <c r="E3551" s="136">
        <f t="shared" si="160"/>
        <v>24</v>
      </c>
      <c r="F3551" s="137" t="s">
        <v>24</v>
      </c>
      <c r="G3551" s="128" t="str">
        <f>VLOOKUP(source[[#This Row],[lending_product_transform]],[3]Mapping!$B$4:$C$37,2,0)</f>
        <v>[Cake] - Cashloan</v>
      </c>
      <c r="H3551" s="128" t="str">
        <f>VLOOKUP(source[[#This Row],[lending_product_transform]],[3]Mapping!$B$3:$D$37,3,0)</f>
        <v>cashloan</v>
      </c>
      <c r="I3551" s="143">
        <v>268114542</v>
      </c>
    </row>
    <row r="3552" spans="1:9" x14ac:dyDescent="0.2">
      <c r="A3552" s="134">
        <v>45620</v>
      </c>
      <c r="B3552" s="135">
        <f>YEAR(source[[#This Row],[report_date]])</f>
        <v>2024</v>
      </c>
      <c r="C3552" s="128">
        <f t="shared" si="159"/>
        <v>11</v>
      </c>
      <c r="D3552" s="136">
        <f t="shared" si="161"/>
        <v>47</v>
      </c>
      <c r="E3552" s="136">
        <f t="shared" si="160"/>
        <v>24</v>
      </c>
      <c r="F3552" s="137" t="s">
        <v>24</v>
      </c>
      <c r="G3552" s="128" t="str">
        <f>VLOOKUP(source[[#This Row],[lending_product_transform]],[3]Mapping!$B$4:$C$37,2,0)</f>
        <v>[Cake] - Cashloan</v>
      </c>
      <c r="H3552" s="128" t="str">
        <f>VLOOKUP(source[[#This Row],[lending_product_transform]],[3]Mapping!$B$3:$D$37,3,0)</f>
        <v>cashloan</v>
      </c>
      <c r="I3552" s="143">
        <v>238510000</v>
      </c>
    </row>
    <row r="3553" spans="1:9" x14ac:dyDescent="0.2">
      <c r="A3553" s="134">
        <v>45620</v>
      </c>
      <c r="B3553" s="135">
        <f>YEAR(source[[#This Row],[report_date]])</f>
        <v>2024</v>
      </c>
      <c r="C3553" s="128">
        <f t="shared" si="159"/>
        <v>11</v>
      </c>
      <c r="D3553" s="136">
        <f t="shared" si="161"/>
        <v>47</v>
      </c>
      <c r="E3553" s="136">
        <f t="shared" si="160"/>
        <v>24</v>
      </c>
      <c r="F3553" s="137" t="s">
        <v>24</v>
      </c>
      <c r="G3553" s="128" t="str">
        <f>VLOOKUP(source[[#This Row],[lending_product_transform]],[3]Mapping!$B$4:$C$37,2,0)</f>
        <v>[Cake] - Cashloan</v>
      </c>
      <c r="H3553" s="128" t="str">
        <f>VLOOKUP(source[[#This Row],[lending_product_transform]],[3]Mapping!$B$3:$D$37,3,0)</f>
        <v>cashloan</v>
      </c>
      <c r="I3553" s="143">
        <v>40000000</v>
      </c>
    </row>
    <row r="3554" spans="1:9" x14ac:dyDescent="0.2">
      <c r="A3554" s="134">
        <v>45620</v>
      </c>
      <c r="B3554" s="135">
        <f>YEAR(source[[#This Row],[report_date]])</f>
        <v>2024</v>
      </c>
      <c r="C3554" s="128">
        <f t="shared" si="159"/>
        <v>11</v>
      </c>
      <c r="D3554" s="136">
        <f t="shared" si="161"/>
        <v>47</v>
      </c>
      <c r="E3554" s="136">
        <f t="shared" si="160"/>
        <v>24</v>
      </c>
      <c r="F3554" s="137" t="s">
        <v>24</v>
      </c>
      <c r="G3554" s="128" t="str">
        <f>VLOOKUP(source[[#This Row],[lending_product_transform]],[3]Mapping!$B$4:$C$37,2,0)</f>
        <v>[Cake] - Cashloan</v>
      </c>
      <c r="H3554" s="128" t="str">
        <f>VLOOKUP(source[[#This Row],[lending_product_transform]],[3]Mapping!$B$3:$D$37,3,0)</f>
        <v>cashloan</v>
      </c>
      <c r="I3554" s="143">
        <v>57894698</v>
      </c>
    </row>
    <row r="3555" spans="1:9" x14ac:dyDescent="0.2">
      <c r="A3555" s="134">
        <v>45620</v>
      </c>
      <c r="B3555" s="135">
        <f>YEAR(source[[#This Row],[report_date]])</f>
        <v>2024</v>
      </c>
      <c r="C3555" s="128">
        <f t="shared" si="159"/>
        <v>11</v>
      </c>
      <c r="D3555" s="136">
        <f t="shared" si="161"/>
        <v>47</v>
      </c>
      <c r="E3555" s="136">
        <f t="shared" si="160"/>
        <v>24</v>
      </c>
      <c r="F3555" s="137" t="s">
        <v>24</v>
      </c>
      <c r="G3555" s="128" t="str">
        <f>VLOOKUP(source[[#This Row],[lending_product_transform]],[3]Mapping!$B$4:$C$37,2,0)</f>
        <v>[Cake] - Cashloan</v>
      </c>
      <c r="H3555" s="128" t="str">
        <f>VLOOKUP(source[[#This Row],[lending_product_transform]],[3]Mapping!$B$3:$D$37,3,0)</f>
        <v>cashloan</v>
      </c>
      <c r="I3555" s="143">
        <v>1949000000</v>
      </c>
    </row>
    <row r="3556" spans="1:9" x14ac:dyDescent="0.2">
      <c r="A3556" s="134">
        <v>45620</v>
      </c>
      <c r="B3556" s="135">
        <f>YEAR(source[[#This Row],[report_date]])</f>
        <v>2024</v>
      </c>
      <c r="C3556" s="128">
        <f t="shared" si="159"/>
        <v>11</v>
      </c>
      <c r="D3556" s="136">
        <f t="shared" si="161"/>
        <v>47</v>
      </c>
      <c r="E3556" s="136">
        <f t="shared" si="160"/>
        <v>24</v>
      </c>
      <c r="F3556" s="137" t="s">
        <v>24</v>
      </c>
      <c r="G3556" s="128" t="str">
        <f>VLOOKUP(source[[#This Row],[lending_product_transform]],[3]Mapping!$B$4:$C$37,2,0)</f>
        <v>[Cake] - Cashloan</v>
      </c>
      <c r="H3556" s="128" t="str">
        <f>VLOOKUP(source[[#This Row],[lending_product_transform]],[3]Mapping!$B$3:$D$37,3,0)</f>
        <v>cashloan</v>
      </c>
      <c r="I3556" s="143">
        <v>21000000</v>
      </c>
    </row>
    <row r="3557" spans="1:9" x14ac:dyDescent="0.2">
      <c r="A3557" s="134">
        <v>45620</v>
      </c>
      <c r="B3557" s="135">
        <f>YEAR(source[[#This Row],[report_date]])</f>
        <v>2024</v>
      </c>
      <c r="C3557" s="128">
        <f t="shared" si="159"/>
        <v>11</v>
      </c>
      <c r="D3557" s="136">
        <f t="shared" si="161"/>
        <v>47</v>
      </c>
      <c r="E3557" s="136">
        <f t="shared" si="160"/>
        <v>24</v>
      </c>
      <c r="F3557" s="137" t="s">
        <v>24</v>
      </c>
      <c r="G3557" s="128" t="str">
        <f>VLOOKUP(source[[#This Row],[lending_product_transform]],[3]Mapping!$B$4:$C$37,2,0)</f>
        <v>[Cake] - Cashloan</v>
      </c>
      <c r="H3557" s="128" t="str">
        <f>VLOOKUP(source[[#This Row],[lending_product_transform]],[3]Mapping!$B$3:$D$37,3,0)</f>
        <v>cashloan</v>
      </c>
      <c r="I3557" s="143">
        <v>0</v>
      </c>
    </row>
    <row r="3558" spans="1:9" x14ac:dyDescent="0.2">
      <c r="A3558" s="134">
        <v>45620</v>
      </c>
      <c r="B3558" s="135">
        <f>YEAR(source[[#This Row],[report_date]])</f>
        <v>2024</v>
      </c>
      <c r="C3558" s="128">
        <f t="shared" si="159"/>
        <v>11</v>
      </c>
      <c r="D3558" s="136">
        <f t="shared" si="161"/>
        <v>47</v>
      </c>
      <c r="E3558" s="136">
        <f t="shared" si="160"/>
        <v>24</v>
      </c>
      <c r="F3558" s="137" t="s">
        <v>24</v>
      </c>
      <c r="G3558" s="128" t="str">
        <f>VLOOKUP(source[[#This Row],[lending_product_transform]],[3]Mapping!$B$4:$C$37,2,0)</f>
        <v>[Cake] - Cashloan</v>
      </c>
      <c r="H3558" s="128" t="str">
        <f>VLOOKUP(source[[#This Row],[lending_product_transform]],[3]Mapping!$B$3:$D$37,3,0)</f>
        <v>cashloan</v>
      </c>
      <c r="I3558" s="143">
        <v>2074750000</v>
      </c>
    </row>
    <row r="3559" spans="1:9" x14ac:dyDescent="0.2">
      <c r="A3559" s="134">
        <v>45620</v>
      </c>
      <c r="B3559" s="135">
        <f>YEAR(source[[#This Row],[report_date]])</f>
        <v>2024</v>
      </c>
      <c r="C3559" s="128">
        <f t="shared" si="159"/>
        <v>11</v>
      </c>
      <c r="D3559" s="136">
        <f t="shared" si="161"/>
        <v>47</v>
      </c>
      <c r="E3559" s="136">
        <f t="shared" si="160"/>
        <v>24</v>
      </c>
      <c r="F3559" s="137" t="s">
        <v>24</v>
      </c>
      <c r="G3559" s="128" t="str">
        <f>VLOOKUP(source[[#This Row],[lending_product_transform]],[3]Mapping!$B$4:$C$37,2,0)</f>
        <v>[Cake] - Cashloan</v>
      </c>
      <c r="H3559" s="128" t="str">
        <f>VLOOKUP(source[[#This Row],[lending_product_transform]],[3]Mapping!$B$3:$D$37,3,0)</f>
        <v>cashloan</v>
      </c>
      <c r="I3559" s="143">
        <v>32470000</v>
      </c>
    </row>
    <row r="3560" spans="1:9" x14ac:dyDescent="0.2">
      <c r="A3560" s="134">
        <v>45620</v>
      </c>
      <c r="B3560" s="135">
        <f>YEAR(source[[#This Row],[report_date]])</f>
        <v>2024</v>
      </c>
      <c r="C3560" s="128">
        <f t="shared" si="159"/>
        <v>11</v>
      </c>
      <c r="D3560" s="136">
        <f t="shared" si="161"/>
        <v>47</v>
      </c>
      <c r="E3560" s="136">
        <f t="shared" si="160"/>
        <v>24</v>
      </c>
      <c r="F3560" s="137" t="s">
        <v>24</v>
      </c>
      <c r="G3560" s="128" t="str">
        <f>VLOOKUP(source[[#This Row],[lending_product_transform]],[3]Mapping!$B$4:$C$37,2,0)</f>
        <v>[Cake] - Cashloan</v>
      </c>
      <c r="H3560" s="128" t="str">
        <f>VLOOKUP(source[[#This Row],[lending_product_transform]],[3]Mapping!$B$3:$D$37,3,0)</f>
        <v>cashloan</v>
      </c>
      <c r="I3560" s="143">
        <v>2312398101</v>
      </c>
    </row>
    <row r="3561" spans="1:9" x14ac:dyDescent="0.2">
      <c r="A3561" s="134">
        <v>45621</v>
      </c>
      <c r="B3561" s="135">
        <f>YEAR(source[[#This Row],[report_date]])</f>
        <v>2024</v>
      </c>
      <c r="C3561" s="128">
        <f t="shared" si="159"/>
        <v>11</v>
      </c>
      <c r="D3561" s="136">
        <f t="shared" si="161"/>
        <v>48</v>
      </c>
      <c r="E3561" s="136">
        <f t="shared" si="160"/>
        <v>25</v>
      </c>
      <c r="F3561" s="137" t="s">
        <v>24</v>
      </c>
      <c r="G3561" s="128" t="str">
        <f>VLOOKUP(source[[#This Row],[lending_product_transform]],[3]Mapping!$B$4:$C$37,2,0)</f>
        <v>[Cake] - Cashloan</v>
      </c>
      <c r="H3561" s="128" t="str">
        <f>VLOOKUP(source[[#This Row],[lending_product_transform]],[3]Mapping!$B$3:$D$37,3,0)</f>
        <v>cashloan</v>
      </c>
      <c r="I3561" s="143">
        <v>270986226</v>
      </c>
    </row>
    <row r="3562" spans="1:9" x14ac:dyDescent="0.2">
      <c r="A3562" s="134">
        <v>45621</v>
      </c>
      <c r="B3562" s="135">
        <f>YEAR(source[[#This Row],[report_date]])</f>
        <v>2024</v>
      </c>
      <c r="C3562" s="128">
        <f t="shared" si="159"/>
        <v>11</v>
      </c>
      <c r="D3562" s="136">
        <f t="shared" si="161"/>
        <v>48</v>
      </c>
      <c r="E3562" s="136">
        <f t="shared" si="160"/>
        <v>25</v>
      </c>
      <c r="F3562" s="137" t="s">
        <v>24</v>
      </c>
      <c r="G3562" s="128" t="str">
        <f>VLOOKUP(source[[#This Row],[lending_product_transform]],[3]Mapping!$B$4:$C$37,2,0)</f>
        <v>[Cake] - Cashloan</v>
      </c>
      <c r="H3562" s="128" t="str">
        <f>VLOOKUP(source[[#This Row],[lending_product_transform]],[3]Mapping!$B$3:$D$37,3,0)</f>
        <v>cashloan</v>
      </c>
      <c r="I3562" s="143">
        <v>3993870000</v>
      </c>
    </row>
    <row r="3563" spans="1:9" x14ac:dyDescent="0.2">
      <c r="A3563" s="134">
        <v>45621</v>
      </c>
      <c r="B3563" s="135">
        <f>YEAR(source[[#This Row],[report_date]])</f>
        <v>2024</v>
      </c>
      <c r="C3563" s="128">
        <f t="shared" si="159"/>
        <v>11</v>
      </c>
      <c r="D3563" s="136">
        <f t="shared" si="161"/>
        <v>48</v>
      </c>
      <c r="E3563" s="136">
        <f t="shared" si="160"/>
        <v>25</v>
      </c>
      <c r="F3563" s="137" t="s">
        <v>24</v>
      </c>
      <c r="G3563" s="128" t="str">
        <f>VLOOKUP(source[[#This Row],[lending_product_transform]],[3]Mapping!$B$4:$C$37,2,0)</f>
        <v>[Cake] - Cashloan</v>
      </c>
      <c r="H3563" s="128" t="str">
        <f>VLOOKUP(source[[#This Row],[lending_product_transform]],[3]Mapping!$B$3:$D$37,3,0)</f>
        <v>cashloan</v>
      </c>
      <c r="I3563" s="143">
        <v>2208500000</v>
      </c>
    </row>
    <row r="3564" spans="1:9" x14ac:dyDescent="0.2">
      <c r="A3564" s="134">
        <v>45621</v>
      </c>
      <c r="B3564" s="135">
        <f>YEAR(source[[#This Row],[report_date]])</f>
        <v>2024</v>
      </c>
      <c r="C3564" s="128">
        <f t="shared" si="159"/>
        <v>11</v>
      </c>
      <c r="D3564" s="136">
        <f t="shared" si="161"/>
        <v>48</v>
      </c>
      <c r="E3564" s="136">
        <f t="shared" si="160"/>
        <v>25</v>
      </c>
      <c r="F3564" s="137" t="s">
        <v>24</v>
      </c>
      <c r="G3564" s="128" t="str">
        <f>VLOOKUP(source[[#This Row],[lending_product_transform]],[3]Mapping!$B$4:$C$37,2,0)</f>
        <v>[Cake] - Cashloan</v>
      </c>
      <c r="H3564" s="128" t="str">
        <f>VLOOKUP(source[[#This Row],[lending_product_transform]],[3]Mapping!$B$3:$D$37,3,0)</f>
        <v>cashloan</v>
      </c>
      <c r="I3564" s="143">
        <v>0</v>
      </c>
    </row>
    <row r="3565" spans="1:9" x14ac:dyDescent="0.2">
      <c r="A3565" s="134">
        <v>45621</v>
      </c>
      <c r="B3565" s="135">
        <f>YEAR(source[[#This Row],[report_date]])</f>
        <v>2024</v>
      </c>
      <c r="C3565" s="128">
        <f t="shared" si="159"/>
        <v>11</v>
      </c>
      <c r="D3565" s="136">
        <f t="shared" si="161"/>
        <v>48</v>
      </c>
      <c r="E3565" s="136">
        <f t="shared" si="160"/>
        <v>25</v>
      </c>
      <c r="F3565" s="137" t="s">
        <v>24</v>
      </c>
      <c r="G3565" s="128" t="str">
        <f>VLOOKUP(source[[#This Row],[lending_product_transform]],[3]Mapping!$B$4:$C$37,2,0)</f>
        <v>[Cake] - Cashloan</v>
      </c>
      <c r="H3565" s="128" t="str">
        <f>VLOOKUP(source[[#This Row],[lending_product_transform]],[3]Mapping!$B$3:$D$37,3,0)</f>
        <v>cashloan</v>
      </c>
      <c r="I3565" s="143">
        <v>228970000</v>
      </c>
    </row>
    <row r="3566" spans="1:9" x14ac:dyDescent="0.2">
      <c r="A3566" s="134">
        <v>45621</v>
      </c>
      <c r="B3566" s="135">
        <f>YEAR(source[[#This Row],[report_date]])</f>
        <v>2024</v>
      </c>
      <c r="C3566" s="128">
        <f t="shared" si="159"/>
        <v>11</v>
      </c>
      <c r="D3566" s="136">
        <f t="shared" si="161"/>
        <v>48</v>
      </c>
      <c r="E3566" s="136">
        <f t="shared" si="160"/>
        <v>25</v>
      </c>
      <c r="F3566" s="137" t="s">
        <v>24</v>
      </c>
      <c r="G3566" s="128" t="str">
        <f>VLOOKUP(source[[#This Row],[lending_product_transform]],[3]Mapping!$B$4:$C$37,2,0)</f>
        <v>[Cake] - Cashloan</v>
      </c>
      <c r="H3566" s="128" t="str">
        <f>VLOOKUP(source[[#This Row],[lending_product_transform]],[3]Mapping!$B$3:$D$37,3,0)</f>
        <v>cashloan</v>
      </c>
      <c r="I3566" s="143">
        <v>31000000</v>
      </c>
    </row>
    <row r="3567" spans="1:9" x14ac:dyDescent="0.2">
      <c r="A3567" s="134">
        <v>45621</v>
      </c>
      <c r="B3567" s="135">
        <f>YEAR(source[[#This Row],[report_date]])</f>
        <v>2024</v>
      </c>
      <c r="C3567" s="128">
        <f t="shared" si="159"/>
        <v>11</v>
      </c>
      <c r="D3567" s="136">
        <f t="shared" si="161"/>
        <v>48</v>
      </c>
      <c r="E3567" s="136">
        <f t="shared" si="160"/>
        <v>25</v>
      </c>
      <c r="F3567" s="137" t="s">
        <v>24</v>
      </c>
      <c r="G3567" s="128" t="str">
        <f>VLOOKUP(source[[#This Row],[lending_product_transform]],[3]Mapping!$B$4:$C$37,2,0)</f>
        <v>[Cake] - Cashloan</v>
      </c>
      <c r="H3567" s="128" t="str">
        <f>VLOOKUP(source[[#This Row],[lending_product_transform]],[3]Mapping!$B$3:$D$37,3,0)</f>
        <v>cashloan</v>
      </c>
      <c r="I3567" s="143">
        <v>0</v>
      </c>
    </row>
    <row r="3568" spans="1:9" x14ac:dyDescent="0.2">
      <c r="A3568" s="134">
        <v>45621</v>
      </c>
      <c r="B3568" s="135">
        <f>YEAR(source[[#This Row],[report_date]])</f>
        <v>2024</v>
      </c>
      <c r="C3568" s="128">
        <f t="shared" si="159"/>
        <v>11</v>
      </c>
      <c r="D3568" s="136">
        <f t="shared" si="161"/>
        <v>48</v>
      </c>
      <c r="E3568" s="136">
        <f t="shared" si="160"/>
        <v>25</v>
      </c>
      <c r="F3568" s="137" t="s">
        <v>24</v>
      </c>
      <c r="G3568" s="128" t="str">
        <f>VLOOKUP(source[[#This Row],[lending_product_transform]],[3]Mapping!$B$4:$C$37,2,0)</f>
        <v>[Cake] - Cashloan</v>
      </c>
      <c r="H3568" s="128" t="str">
        <f>VLOOKUP(source[[#This Row],[lending_product_transform]],[3]Mapping!$B$3:$D$37,3,0)</f>
        <v>cashloan</v>
      </c>
      <c r="I3568" s="143">
        <v>63036153</v>
      </c>
    </row>
    <row r="3569" spans="1:9" x14ac:dyDescent="0.2">
      <c r="A3569" s="134">
        <v>45621</v>
      </c>
      <c r="B3569" s="135">
        <f>YEAR(source[[#This Row],[report_date]])</f>
        <v>2024</v>
      </c>
      <c r="C3569" s="128">
        <f t="shared" si="159"/>
        <v>11</v>
      </c>
      <c r="D3569" s="136">
        <f t="shared" si="161"/>
        <v>48</v>
      </c>
      <c r="E3569" s="136">
        <f t="shared" si="160"/>
        <v>25</v>
      </c>
      <c r="F3569" s="137" t="s">
        <v>24</v>
      </c>
      <c r="G3569" s="128" t="str">
        <f>VLOOKUP(source[[#This Row],[lending_product_transform]],[3]Mapping!$B$4:$C$37,2,0)</f>
        <v>[Cake] - Cashloan</v>
      </c>
      <c r="H3569" s="128" t="str">
        <f>VLOOKUP(source[[#This Row],[lending_product_transform]],[3]Mapping!$B$3:$D$37,3,0)</f>
        <v>cashloan</v>
      </c>
      <c r="I3569" s="143">
        <v>3192289232</v>
      </c>
    </row>
    <row r="3570" spans="1:9" x14ac:dyDescent="0.2">
      <c r="A3570" s="134">
        <v>45621</v>
      </c>
      <c r="B3570" s="135">
        <f>YEAR(source[[#This Row],[report_date]])</f>
        <v>2024</v>
      </c>
      <c r="C3570" s="128">
        <f t="shared" si="159"/>
        <v>11</v>
      </c>
      <c r="D3570" s="136">
        <f t="shared" si="161"/>
        <v>48</v>
      </c>
      <c r="E3570" s="136">
        <f t="shared" si="160"/>
        <v>25</v>
      </c>
      <c r="F3570" s="137" t="s">
        <v>24</v>
      </c>
      <c r="G3570" s="128" t="str">
        <f>VLOOKUP(source[[#This Row],[lending_product_transform]],[3]Mapping!$B$4:$C$37,2,0)</f>
        <v>[Cake] - Cashloan</v>
      </c>
      <c r="H3570" s="128" t="str">
        <f>VLOOKUP(source[[#This Row],[lending_product_transform]],[3]Mapping!$B$3:$D$37,3,0)</f>
        <v>cashloan</v>
      </c>
      <c r="I3570" s="143">
        <v>0</v>
      </c>
    </row>
    <row r="3571" spans="1:9" x14ac:dyDescent="0.2">
      <c r="A3571" s="134">
        <v>45621</v>
      </c>
      <c r="B3571" s="135">
        <f>YEAR(source[[#This Row],[report_date]])</f>
        <v>2024</v>
      </c>
      <c r="C3571" s="128">
        <f t="shared" si="159"/>
        <v>11</v>
      </c>
      <c r="D3571" s="136">
        <f t="shared" si="161"/>
        <v>48</v>
      </c>
      <c r="E3571" s="136">
        <f t="shared" si="160"/>
        <v>25</v>
      </c>
      <c r="F3571" s="137" t="s">
        <v>24</v>
      </c>
      <c r="G3571" s="128" t="str">
        <f>VLOOKUP(source[[#This Row],[lending_product_transform]],[3]Mapping!$B$4:$C$37,2,0)</f>
        <v>[Cake] - Cashloan</v>
      </c>
      <c r="H3571" s="128" t="str">
        <f>VLOOKUP(source[[#This Row],[lending_product_transform]],[3]Mapping!$B$3:$D$37,3,0)</f>
        <v>cashloan</v>
      </c>
      <c r="I3571" s="143">
        <v>5000000</v>
      </c>
    </row>
    <row r="3572" spans="1:9" x14ac:dyDescent="0.2">
      <c r="A3572" s="134">
        <v>45621</v>
      </c>
      <c r="B3572" s="135">
        <f>YEAR(source[[#This Row],[report_date]])</f>
        <v>2024</v>
      </c>
      <c r="C3572" s="128">
        <f t="shared" si="159"/>
        <v>11</v>
      </c>
      <c r="D3572" s="136">
        <f t="shared" si="161"/>
        <v>48</v>
      </c>
      <c r="E3572" s="136">
        <f t="shared" si="160"/>
        <v>25</v>
      </c>
      <c r="F3572" s="137" t="s">
        <v>24</v>
      </c>
      <c r="G3572" s="128" t="str">
        <f>VLOOKUP(source[[#This Row],[lending_product_transform]],[3]Mapping!$B$4:$C$37,2,0)</f>
        <v>[Cake] - Cashloan</v>
      </c>
      <c r="H3572" s="128" t="str">
        <f>VLOOKUP(source[[#This Row],[lending_product_transform]],[3]Mapping!$B$3:$D$37,3,0)</f>
        <v>cashloan</v>
      </c>
      <c r="I3572" s="143">
        <v>0</v>
      </c>
    </row>
    <row r="3573" spans="1:9" x14ac:dyDescent="0.2">
      <c r="A3573" s="134">
        <v>45621</v>
      </c>
      <c r="B3573" s="135">
        <f>YEAR(source[[#This Row],[report_date]])</f>
        <v>2024</v>
      </c>
      <c r="C3573" s="128">
        <f t="shared" si="159"/>
        <v>11</v>
      </c>
      <c r="D3573" s="136">
        <f t="shared" si="161"/>
        <v>48</v>
      </c>
      <c r="E3573" s="136">
        <f t="shared" si="160"/>
        <v>25</v>
      </c>
      <c r="F3573" s="137" t="s">
        <v>24</v>
      </c>
      <c r="G3573" s="128" t="str">
        <f>VLOOKUP(source[[#This Row],[lending_product_transform]],[3]Mapping!$B$4:$C$37,2,0)</f>
        <v>[Cake] - Cashloan</v>
      </c>
      <c r="H3573" s="128" t="str">
        <f>VLOOKUP(source[[#This Row],[lending_product_transform]],[3]Mapping!$B$3:$D$37,3,0)</f>
        <v>cashloan</v>
      </c>
      <c r="I3573" s="143">
        <v>107000000</v>
      </c>
    </row>
    <row r="3574" spans="1:9" x14ac:dyDescent="0.2">
      <c r="A3574" s="134">
        <v>45621</v>
      </c>
      <c r="B3574" s="135">
        <f>YEAR(source[[#This Row],[report_date]])</f>
        <v>2024</v>
      </c>
      <c r="C3574" s="128">
        <f t="shared" si="159"/>
        <v>11</v>
      </c>
      <c r="D3574" s="136">
        <f t="shared" si="161"/>
        <v>48</v>
      </c>
      <c r="E3574" s="136">
        <f t="shared" si="160"/>
        <v>25</v>
      </c>
      <c r="F3574" s="137" t="s">
        <v>24</v>
      </c>
      <c r="G3574" s="128" t="str">
        <f>VLOOKUP(source[[#This Row],[lending_product_transform]],[3]Mapping!$B$4:$C$37,2,0)</f>
        <v>[Cake] - Cashloan</v>
      </c>
      <c r="H3574" s="128" t="str">
        <f>VLOOKUP(source[[#This Row],[lending_product_transform]],[3]Mapping!$B$3:$D$37,3,0)</f>
        <v>cashloan</v>
      </c>
      <c r="I3574" s="143">
        <v>31500000</v>
      </c>
    </row>
    <row r="3575" spans="1:9" x14ac:dyDescent="0.2">
      <c r="A3575" s="134">
        <v>45621</v>
      </c>
      <c r="B3575" s="135">
        <f>YEAR(source[[#This Row],[report_date]])</f>
        <v>2024</v>
      </c>
      <c r="C3575" s="128">
        <f t="shared" si="159"/>
        <v>11</v>
      </c>
      <c r="D3575" s="136">
        <f t="shared" si="161"/>
        <v>48</v>
      </c>
      <c r="E3575" s="136">
        <f t="shared" si="160"/>
        <v>25</v>
      </c>
      <c r="F3575" s="137" t="s">
        <v>24</v>
      </c>
      <c r="G3575" s="128" t="str">
        <f>VLOOKUP(source[[#This Row],[lending_product_transform]],[3]Mapping!$B$4:$C$37,2,0)</f>
        <v>[Cake] - Cashloan</v>
      </c>
      <c r="H3575" s="128" t="str">
        <f>VLOOKUP(source[[#This Row],[lending_product_transform]],[3]Mapping!$B$3:$D$37,3,0)</f>
        <v>cashloan</v>
      </c>
      <c r="I3575" s="143">
        <v>21000000</v>
      </c>
    </row>
    <row r="3576" spans="1:9" x14ac:dyDescent="0.2">
      <c r="A3576" s="134">
        <v>45621</v>
      </c>
      <c r="B3576" s="135">
        <f>YEAR(source[[#This Row],[report_date]])</f>
        <v>2024</v>
      </c>
      <c r="C3576" s="128">
        <f t="shared" si="159"/>
        <v>11</v>
      </c>
      <c r="D3576" s="136">
        <f t="shared" si="161"/>
        <v>48</v>
      </c>
      <c r="E3576" s="136">
        <f t="shared" si="160"/>
        <v>25</v>
      </c>
      <c r="F3576" s="137" t="s">
        <v>24</v>
      </c>
      <c r="G3576" s="128" t="str">
        <f>VLOOKUP(source[[#This Row],[lending_product_transform]],[3]Mapping!$B$4:$C$37,2,0)</f>
        <v>[Cake] - Cashloan</v>
      </c>
      <c r="H3576" s="128" t="str">
        <f>VLOOKUP(source[[#This Row],[lending_product_transform]],[3]Mapping!$B$3:$D$37,3,0)</f>
        <v>cashloan</v>
      </c>
      <c r="I3576" s="143">
        <v>61967565</v>
      </c>
    </row>
    <row r="3577" spans="1:9" x14ac:dyDescent="0.2">
      <c r="A3577" s="134">
        <v>45621</v>
      </c>
      <c r="B3577" s="135">
        <f>YEAR(source[[#This Row],[report_date]])</f>
        <v>2024</v>
      </c>
      <c r="C3577" s="128">
        <f t="shared" si="159"/>
        <v>11</v>
      </c>
      <c r="D3577" s="136">
        <f t="shared" si="161"/>
        <v>48</v>
      </c>
      <c r="E3577" s="136">
        <f t="shared" si="160"/>
        <v>25</v>
      </c>
      <c r="F3577" s="137" t="s">
        <v>24</v>
      </c>
      <c r="G3577" s="128" t="str">
        <f>VLOOKUP(source[[#This Row],[lending_product_transform]],[3]Mapping!$B$4:$C$37,2,0)</f>
        <v>[Cake] - Cashloan</v>
      </c>
      <c r="H3577" s="128" t="str">
        <f>VLOOKUP(source[[#This Row],[lending_product_transform]],[3]Mapping!$B$3:$D$37,3,0)</f>
        <v>cashloan</v>
      </c>
      <c r="I3577" s="143">
        <v>1992750000</v>
      </c>
    </row>
    <row r="3578" spans="1:9" x14ac:dyDescent="0.2">
      <c r="A3578" s="134">
        <v>45622</v>
      </c>
      <c r="B3578" s="135">
        <f>YEAR(source[[#This Row],[report_date]])</f>
        <v>2024</v>
      </c>
      <c r="C3578" s="128">
        <f t="shared" si="159"/>
        <v>11</v>
      </c>
      <c r="D3578" s="136">
        <f t="shared" si="161"/>
        <v>48</v>
      </c>
      <c r="E3578" s="136">
        <f t="shared" si="160"/>
        <v>26</v>
      </c>
      <c r="F3578" s="137" t="s">
        <v>24</v>
      </c>
      <c r="G3578" s="128" t="str">
        <f>VLOOKUP(source[[#This Row],[lending_product_transform]],[3]Mapping!$B$4:$C$37,2,0)</f>
        <v>[Cake] - Cashloan</v>
      </c>
      <c r="H3578" s="128" t="str">
        <f>VLOOKUP(source[[#This Row],[lending_product_transform]],[3]Mapping!$B$3:$D$37,3,0)</f>
        <v>cashloan</v>
      </c>
      <c r="I3578" s="143">
        <v>5372500000</v>
      </c>
    </row>
    <row r="3579" spans="1:9" x14ac:dyDescent="0.2">
      <c r="A3579" s="134">
        <v>45622</v>
      </c>
      <c r="B3579" s="135">
        <f>YEAR(source[[#This Row],[report_date]])</f>
        <v>2024</v>
      </c>
      <c r="C3579" s="128">
        <f t="shared" si="159"/>
        <v>11</v>
      </c>
      <c r="D3579" s="136">
        <f t="shared" si="161"/>
        <v>48</v>
      </c>
      <c r="E3579" s="136">
        <f t="shared" si="160"/>
        <v>26</v>
      </c>
      <c r="F3579" s="137" t="s">
        <v>24</v>
      </c>
      <c r="G3579" s="128" t="str">
        <f>VLOOKUP(source[[#This Row],[lending_product_transform]],[3]Mapping!$B$4:$C$37,2,0)</f>
        <v>[Cake] - Cashloan</v>
      </c>
      <c r="H3579" s="128" t="str">
        <f>VLOOKUP(source[[#This Row],[lending_product_transform]],[3]Mapping!$B$3:$D$37,3,0)</f>
        <v>cashloan</v>
      </c>
      <c r="I3579" s="143">
        <v>5431420000</v>
      </c>
    </row>
    <row r="3580" spans="1:9" x14ac:dyDescent="0.2">
      <c r="A3580" s="134">
        <v>45622</v>
      </c>
      <c r="B3580" s="135">
        <f>YEAR(source[[#This Row],[report_date]])</f>
        <v>2024</v>
      </c>
      <c r="C3580" s="128">
        <f t="shared" si="159"/>
        <v>11</v>
      </c>
      <c r="D3580" s="136">
        <f t="shared" si="161"/>
        <v>48</v>
      </c>
      <c r="E3580" s="136">
        <f t="shared" si="160"/>
        <v>26</v>
      </c>
      <c r="F3580" s="137" t="s">
        <v>24</v>
      </c>
      <c r="G3580" s="128" t="str">
        <f>VLOOKUP(source[[#This Row],[lending_product_transform]],[3]Mapping!$B$4:$C$37,2,0)</f>
        <v>[Cake] - Cashloan</v>
      </c>
      <c r="H3580" s="128" t="str">
        <f>VLOOKUP(source[[#This Row],[lending_product_transform]],[3]Mapping!$B$3:$D$37,3,0)</f>
        <v>cashloan</v>
      </c>
      <c r="I3580" s="143">
        <v>0</v>
      </c>
    </row>
    <row r="3581" spans="1:9" x14ac:dyDescent="0.2">
      <c r="A3581" s="134">
        <v>45622</v>
      </c>
      <c r="B3581" s="135">
        <f>YEAR(source[[#This Row],[report_date]])</f>
        <v>2024</v>
      </c>
      <c r="C3581" s="128">
        <f t="shared" si="159"/>
        <v>11</v>
      </c>
      <c r="D3581" s="136">
        <f t="shared" si="161"/>
        <v>48</v>
      </c>
      <c r="E3581" s="136">
        <f t="shared" si="160"/>
        <v>26</v>
      </c>
      <c r="F3581" s="137" t="s">
        <v>24</v>
      </c>
      <c r="G3581" s="128" t="str">
        <f>VLOOKUP(source[[#This Row],[lending_product_transform]],[3]Mapping!$B$4:$C$37,2,0)</f>
        <v>[Cake] - Cashloan</v>
      </c>
      <c r="H3581" s="128" t="str">
        <f>VLOOKUP(source[[#This Row],[lending_product_transform]],[3]Mapping!$B$3:$D$37,3,0)</f>
        <v>cashloan</v>
      </c>
      <c r="I3581" s="143">
        <v>64594217</v>
      </c>
    </row>
    <row r="3582" spans="1:9" x14ac:dyDescent="0.2">
      <c r="A3582" s="134">
        <v>45622</v>
      </c>
      <c r="B3582" s="135">
        <f>YEAR(source[[#This Row],[report_date]])</f>
        <v>2024</v>
      </c>
      <c r="C3582" s="128">
        <f t="shared" si="159"/>
        <v>11</v>
      </c>
      <c r="D3582" s="136">
        <f t="shared" si="161"/>
        <v>48</v>
      </c>
      <c r="E3582" s="136">
        <f t="shared" si="160"/>
        <v>26</v>
      </c>
      <c r="F3582" s="137" t="s">
        <v>24</v>
      </c>
      <c r="G3582" s="128" t="str">
        <f>VLOOKUP(source[[#This Row],[lending_product_transform]],[3]Mapping!$B$4:$C$37,2,0)</f>
        <v>[Cake] - Cashloan</v>
      </c>
      <c r="H3582" s="128" t="str">
        <f>VLOOKUP(source[[#This Row],[lending_product_transform]],[3]Mapping!$B$3:$D$37,3,0)</f>
        <v>cashloan</v>
      </c>
      <c r="I3582" s="143">
        <v>271776577</v>
      </c>
    </row>
    <row r="3583" spans="1:9" x14ac:dyDescent="0.2">
      <c r="A3583" s="134">
        <v>45622</v>
      </c>
      <c r="B3583" s="135">
        <f>YEAR(source[[#This Row],[report_date]])</f>
        <v>2024</v>
      </c>
      <c r="C3583" s="128">
        <f t="shared" si="159"/>
        <v>11</v>
      </c>
      <c r="D3583" s="136">
        <f t="shared" si="161"/>
        <v>48</v>
      </c>
      <c r="E3583" s="136">
        <f t="shared" si="160"/>
        <v>26</v>
      </c>
      <c r="F3583" s="137" t="s">
        <v>24</v>
      </c>
      <c r="G3583" s="128" t="str">
        <f>VLOOKUP(source[[#This Row],[lending_product_transform]],[3]Mapping!$B$4:$C$37,2,0)</f>
        <v>[Cake] - Cashloan</v>
      </c>
      <c r="H3583" s="128" t="str">
        <f>VLOOKUP(source[[#This Row],[lending_product_transform]],[3]Mapping!$B$3:$D$37,3,0)</f>
        <v>cashloan</v>
      </c>
      <c r="I3583" s="143">
        <v>65000000</v>
      </c>
    </row>
    <row r="3584" spans="1:9" x14ac:dyDescent="0.2">
      <c r="A3584" s="134">
        <v>45622</v>
      </c>
      <c r="B3584" s="135">
        <f>YEAR(source[[#This Row],[report_date]])</f>
        <v>2024</v>
      </c>
      <c r="C3584" s="128">
        <f t="shared" si="159"/>
        <v>11</v>
      </c>
      <c r="D3584" s="136">
        <f t="shared" si="161"/>
        <v>48</v>
      </c>
      <c r="E3584" s="136">
        <f t="shared" si="160"/>
        <v>26</v>
      </c>
      <c r="F3584" s="137" t="s">
        <v>24</v>
      </c>
      <c r="G3584" s="128" t="str">
        <f>VLOOKUP(source[[#This Row],[lending_product_transform]],[3]Mapping!$B$4:$C$37,2,0)</f>
        <v>[Cake] - Cashloan</v>
      </c>
      <c r="H3584" s="128" t="str">
        <f>VLOOKUP(source[[#This Row],[lending_product_transform]],[3]Mapping!$B$3:$D$37,3,0)</f>
        <v>cashloan</v>
      </c>
      <c r="I3584" s="143">
        <v>2887000000</v>
      </c>
    </row>
    <row r="3585" spans="1:9" x14ac:dyDescent="0.2">
      <c r="A3585" s="134">
        <v>45622</v>
      </c>
      <c r="B3585" s="135">
        <f>YEAR(source[[#This Row],[report_date]])</f>
        <v>2024</v>
      </c>
      <c r="C3585" s="128">
        <f t="shared" si="159"/>
        <v>11</v>
      </c>
      <c r="D3585" s="136">
        <f t="shared" si="161"/>
        <v>48</v>
      </c>
      <c r="E3585" s="136">
        <f t="shared" si="160"/>
        <v>26</v>
      </c>
      <c r="F3585" s="137" t="s">
        <v>24</v>
      </c>
      <c r="G3585" s="128" t="str">
        <f>VLOOKUP(source[[#This Row],[lending_product_transform]],[3]Mapping!$B$4:$C$37,2,0)</f>
        <v>[Cake] - Cashloan</v>
      </c>
      <c r="H3585" s="128" t="str">
        <f>VLOOKUP(source[[#This Row],[lending_product_transform]],[3]Mapping!$B$3:$D$37,3,0)</f>
        <v>cashloan</v>
      </c>
      <c r="I3585" s="143">
        <v>72364521</v>
      </c>
    </row>
    <row r="3586" spans="1:9" x14ac:dyDescent="0.2">
      <c r="A3586" s="134">
        <v>45622</v>
      </c>
      <c r="B3586" s="135">
        <f>YEAR(source[[#This Row],[report_date]])</f>
        <v>2024</v>
      </c>
      <c r="C3586" s="128">
        <f t="shared" ref="C3586:C3649" si="162">MONTH(A3586)</f>
        <v>11</v>
      </c>
      <c r="D3586" s="136">
        <f t="shared" si="161"/>
        <v>48</v>
      </c>
      <c r="E3586" s="136">
        <f t="shared" ref="E3586:E3649" si="163">DAY(A3586)</f>
        <v>26</v>
      </c>
      <c r="F3586" s="137" t="s">
        <v>24</v>
      </c>
      <c r="G3586" s="128" t="str">
        <f>VLOOKUP(source[[#This Row],[lending_product_transform]],[3]Mapping!$B$4:$C$37,2,0)</f>
        <v>[Cake] - Cashloan</v>
      </c>
      <c r="H3586" s="128" t="str">
        <f>VLOOKUP(source[[#This Row],[lending_product_transform]],[3]Mapping!$B$3:$D$37,3,0)</f>
        <v>cashloan</v>
      </c>
      <c r="I3586" s="143">
        <v>2999705092</v>
      </c>
    </row>
    <row r="3587" spans="1:9" x14ac:dyDescent="0.2">
      <c r="A3587" s="134">
        <v>45622</v>
      </c>
      <c r="B3587" s="135">
        <f>YEAR(source[[#This Row],[report_date]])</f>
        <v>2024</v>
      </c>
      <c r="C3587" s="128">
        <f t="shared" si="162"/>
        <v>11</v>
      </c>
      <c r="D3587" s="136">
        <f t="shared" ref="D3587:D3650" si="164">WEEKNUM(A3587,2)</f>
        <v>48</v>
      </c>
      <c r="E3587" s="136">
        <f t="shared" si="163"/>
        <v>26</v>
      </c>
      <c r="F3587" s="137" t="s">
        <v>24</v>
      </c>
      <c r="G3587" s="128" t="str">
        <f>VLOOKUP(source[[#This Row],[lending_product_transform]],[3]Mapping!$B$4:$C$37,2,0)</f>
        <v>[Cake] - Cashloan</v>
      </c>
      <c r="H3587" s="128" t="str">
        <f>VLOOKUP(source[[#This Row],[lending_product_transform]],[3]Mapping!$B$3:$D$37,3,0)</f>
        <v>cashloan</v>
      </c>
      <c r="I3587" s="143">
        <v>0</v>
      </c>
    </row>
    <row r="3588" spans="1:9" x14ac:dyDescent="0.2">
      <c r="A3588" s="134">
        <v>45622</v>
      </c>
      <c r="B3588" s="135">
        <f>YEAR(source[[#This Row],[report_date]])</f>
        <v>2024</v>
      </c>
      <c r="C3588" s="128">
        <f t="shared" si="162"/>
        <v>11</v>
      </c>
      <c r="D3588" s="136">
        <f t="shared" si="164"/>
        <v>48</v>
      </c>
      <c r="E3588" s="136">
        <f t="shared" si="163"/>
        <v>26</v>
      </c>
      <c r="F3588" s="137" t="s">
        <v>24</v>
      </c>
      <c r="G3588" s="128" t="str">
        <f>VLOOKUP(source[[#This Row],[lending_product_transform]],[3]Mapping!$B$4:$C$37,2,0)</f>
        <v>[Cake] - Cashloan</v>
      </c>
      <c r="H3588" s="128" t="str">
        <f>VLOOKUP(source[[#This Row],[lending_product_transform]],[3]Mapping!$B$3:$D$37,3,0)</f>
        <v>cashloan</v>
      </c>
      <c r="I3588" s="143">
        <v>0</v>
      </c>
    </row>
    <row r="3589" spans="1:9" x14ac:dyDescent="0.2">
      <c r="A3589" s="134">
        <v>45622</v>
      </c>
      <c r="B3589" s="135">
        <f>YEAR(source[[#This Row],[report_date]])</f>
        <v>2024</v>
      </c>
      <c r="C3589" s="128">
        <f t="shared" si="162"/>
        <v>11</v>
      </c>
      <c r="D3589" s="136">
        <f t="shared" si="164"/>
        <v>48</v>
      </c>
      <c r="E3589" s="136">
        <f t="shared" si="163"/>
        <v>26</v>
      </c>
      <c r="F3589" s="137" t="s">
        <v>24</v>
      </c>
      <c r="G3589" s="128" t="str">
        <f>VLOOKUP(source[[#This Row],[lending_product_transform]],[3]Mapping!$B$4:$C$37,2,0)</f>
        <v>[Cake] - Cashloan</v>
      </c>
      <c r="H3589" s="128" t="str">
        <f>VLOOKUP(source[[#This Row],[lending_product_transform]],[3]Mapping!$B$3:$D$37,3,0)</f>
        <v>cashloan</v>
      </c>
      <c r="I3589" s="143">
        <v>21000000</v>
      </c>
    </row>
    <row r="3590" spans="1:9" x14ac:dyDescent="0.2">
      <c r="A3590" s="134">
        <v>45622</v>
      </c>
      <c r="B3590" s="135">
        <f>YEAR(source[[#This Row],[report_date]])</f>
        <v>2024</v>
      </c>
      <c r="C3590" s="128">
        <f t="shared" si="162"/>
        <v>11</v>
      </c>
      <c r="D3590" s="136">
        <f t="shared" si="164"/>
        <v>48</v>
      </c>
      <c r="E3590" s="136">
        <f t="shared" si="163"/>
        <v>26</v>
      </c>
      <c r="F3590" s="137" t="s">
        <v>24</v>
      </c>
      <c r="G3590" s="128" t="str">
        <f>VLOOKUP(source[[#This Row],[lending_product_transform]],[3]Mapping!$B$4:$C$37,2,0)</f>
        <v>[Cake] - Cashloan</v>
      </c>
      <c r="H3590" s="128" t="str">
        <f>VLOOKUP(source[[#This Row],[lending_product_transform]],[3]Mapping!$B$3:$D$37,3,0)</f>
        <v>cashloan</v>
      </c>
      <c r="I3590" s="143">
        <v>13910000</v>
      </c>
    </row>
    <row r="3591" spans="1:9" x14ac:dyDescent="0.2">
      <c r="A3591" s="134">
        <v>45622</v>
      </c>
      <c r="B3591" s="135">
        <f>YEAR(source[[#This Row],[report_date]])</f>
        <v>2024</v>
      </c>
      <c r="C3591" s="128">
        <f t="shared" si="162"/>
        <v>11</v>
      </c>
      <c r="D3591" s="136">
        <f t="shared" si="164"/>
        <v>48</v>
      </c>
      <c r="E3591" s="136">
        <f t="shared" si="163"/>
        <v>26</v>
      </c>
      <c r="F3591" s="137" t="s">
        <v>24</v>
      </c>
      <c r="G3591" s="128" t="str">
        <f>VLOOKUP(source[[#This Row],[lending_product_transform]],[3]Mapping!$B$4:$C$37,2,0)</f>
        <v>[Cake] - Cashloan</v>
      </c>
      <c r="H3591" s="128" t="str">
        <f>VLOOKUP(source[[#This Row],[lending_product_transform]],[3]Mapping!$B$3:$D$37,3,0)</f>
        <v>cashloan</v>
      </c>
      <c r="I3591" s="143">
        <v>305620000</v>
      </c>
    </row>
    <row r="3592" spans="1:9" x14ac:dyDescent="0.2">
      <c r="A3592" s="134">
        <v>45622</v>
      </c>
      <c r="B3592" s="135">
        <f>YEAR(source[[#This Row],[report_date]])</f>
        <v>2024</v>
      </c>
      <c r="C3592" s="128">
        <f t="shared" si="162"/>
        <v>11</v>
      </c>
      <c r="D3592" s="136">
        <f t="shared" si="164"/>
        <v>48</v>
      </c>
      <c r="E3592" s="136">
        <f t="shared" si="163"/>
        <v>26</v>
      </c>
      <c r="F3592" s="137" t="s">
        <v>24</v>
      </c>
      <c r="G3592" s="128" t="str">
        <f>VLOOKUP(source[[#This Row],[lending_product_transform]],[3]Mapping!$B$4:$C$37,2,0)</f>
        <v>[Cake] - Cashloan</v>
      </c>
      <c r="H3592" s="128" t="str">
        <f>VLOOKUP(source[[#This Row],[lending_product_transform]],[3]Mapping!$B$3:$D$37,3,0)</f>
        <v>cashloan</v>
      </c>
      <c r="I3592" s="143">
        <v>10700000</v>
      </c>
    </row>
    <row r="3593" spans="1:9" x14ac:dyDescent="0.2">
      <c r="A3593" s="134">
        <v>45622</v>
      </c>
      <c r="B3593" s="135">
        <f>YEAR(source[[#This Row],[report_date]])</f>
        <v>2024</v>
      </c>
      <c r="C3593" s="128">
        <f t="shared" si="162"/>
        <v>11</v>
      </c>
      <c r="D3593" s="136">
        <f t="shared" si="164"/>
        <v>48</v>
      </c>
      <c r="E3593" s="136">
        <f t="shared" si="163"/>
        <v>26</v>
      </c>
      <c r="F3593" s="137" t="s">
        <v>24</v>
      </c>
      <c r="G3593" s="128" t="str">
        <f>VLOOKUP(source[[#This Row],[lending_product_transform]],[3]Mapping!$B$4:$C$37,2,0)</f>
        <v>[Cake] - Cashloan</v>
      </c>
      <c r="H3593" s="128" t="str">
        <f>VLOOKUP(source[[#This Row],[lending_product_transform]],[3]Mapping!$B$3:$D$37,3,0)</f>
        <v>cashloan</v>
      </c>
      <c r="I3593" s="143">
        <v>145520000</v>
      </c>
    </row>
    <row r="3594" spans="1:9" x14ac:dyDescent="0.2">
      <c r="A3594" s="134">
        <v>45622</v>
      </c>
      <c r="B3594" s="135">
        <f>YEAR(source[[#This Row],[report_date]])</f>
        <v>2024</v>
      </c>
      <c r="C3594" s="128">
        <f t="shared" si="162"/>
        <v>11</v>
      </c>
      <c r="D3594" s="136">
        <f t="shared" si="164"/>
        <v>48</v>
      </c>
      <c r="E3594" s="136">
        <f t="shared" si="163"/>
        <v>26</v>
      </c>
      <c r="F3594" s="137" t="s">
        <v>24</v>
      </c>
      <c r="G3594" s="128" t="str">
        <f>VLOOKUP(source[[#This Row],[lending_product_transform]],[3]Mapping!$B$4:$C$37,2,0)</f>
        <v>[Cake] - Cashloan</v>
      </c>
      <c r="H3594" s="128" t="str">
        <f>VLOOKUP(source[[#This Row],[lending_product_transform]],[3]Mapping!$B$3:$D$37,3,0)</f>
        <v>cashloan</v>
      </c>
      <c r="I3594" s="143">
        <v>21000000</v>
      </c>
    </row>
    <row r="3595" spans="1:9" x14ac:dyDescent="0.2">
      <c r="A3595" s="134">
        <v>45623</v>
      </c>
      <c r="B3595" s="135">
        <f>YEAR(source[[#This Row],[report_date]])</f>
        <v>2024</v>
      </c>
      <c r="C3595" s="128">
        <f t="shared" si="162"/>
        <v>11</v>
      </c>
      <c r="D3595" s="136">
        <f t="shared" si="164"/>
        <v>48</v>
      </c>
      <c r="E3595" s="136">
        <f t="shared" si="163"/>
        <v>27</v>
      </c>
      <c r="F3595" s="137" t="s">
        <v>24</v>
      </c>
      <c r="G3595" s="128" t="str">
        <f>VLOOKUP(source[[#This Row],[lending_product_transform]],[3]Mapping!$B$4:$C$37,2,0)</f>
        <v>[Cake] - Cashloan</v>
      </c>
      <c r="H3595" s="128" t="str">
        <f>VLOOKUP(source[[#This Row],[lending_product_transform]],[3]Mapping!$B$3:$D$37,3,0)</f>
        <v>cashloan</v>
      </c>
      <c r="I3595" s="143">
        <v>189700</v>
      </c>
    </row>
    <row r="3596" spans="1:9" x14ac:dyDescent="0.2">
      <c r="A3596" s="134">
        <v>45623</v>
      </c>
      <c r="B3596" s="135">
        <f>YEAR(source[[#This Row],[report_date]])</f>
        <v>2024</v>
      </c>
      <c r="C3596" s="128">
        <f t="shared" si="162"/>
        <v>11</v>
      </c>
      <c r="D3596" s="136">
        <f t="shared" si="164"/>
        <v>48</v>
      </c>
      <c r="E3596" s="136">
        <f t="shared" si="163"/>
        <v>27</v>
      </c>
      <c r="F3596" s="137" t="s">
        <v>24</v>
      </c>
      <c r="G3596" s="128" t="str">
        <f>VLOOKUP(source[[#This Row],[lending_product_transform]],[3]Mapping!$B$4:$C$37,2,0)</f>
        <v>[Cake] - Cashloan</v>
      </c>
      <c r="H3596" s="128" t="str">
        <f>VLOOKUP(source[[#This Row],[lending_product_transform]],[3]Mapping!$B$3:$D$37,3,0)</f>
        <v>cashloan</v>
      </c>
      <c r="I3596" s="143">
        <v>0</v>
      </c>
    </row>
    <row r="3597" spans="1:9" x14ac:dyDescent="0.2">
      <c r="A3597" s="134">
        <v>45623</v>
      </c>
      <c r="B3597" s="135">
        <f>YEAR(source[[#This Row],[report_date]])</f>
        <v>2024</v>
      </c>
      <c r="C3597" s="128">
        <f t="shared" si="162"/>
        <v>11</v>
      </c>
      <c r="D3597" s="136">
        <f t="shared" si="164"/>
        <v>48</v>
      </c>
      <c r="E3597" s="136">
        <f t="shared" si="163"/>
        <v>27</v>
      </c>
      <c r="F3597" s="137" t="s">
        <v>24</v>
      </c>
      <c r="G3597" s="128" t="str">
        <f>VLOOKUP(source[[#This Row],[lending_product_transform]],[3]Mapping!$B$4:$C$37,2,0)</f>
        <v>[Cake] - Cashloan</v>
      </c>
      <c r="H3597" s="128" t="str">
        <f>VLOOKUP(source[[#This Row],[lending_product_transform]],[3]Mapping!$B$3:$D$37,3,0)</f>
        <v>cashloan</v>
      </c>
      <c r="I3597" s="143">
        <v>263982693</v>
      </c>
    </row>
    <row r="3598" spans="1:9" x14ac:dyDescent="0.2">
      <c r="A3598" s="134">
        <v>45623</v>
      </c>
      <c r="B3598" s="135">
        <f>YEAR(source[[#This Row],[report_date]])</f>
        <v>2024</v>
      </c>
      <c r="C3598" s="128">
        <f t="shared" si="162"/>
        <v>11</v>
      </c>
      <c r="D3598" s="136">
        <f t="shared" si="164"/>
        <v>48</v>
      </c>
      <c r="E3598" s="136">
        <f t="shared" si="163"/>
        <v>27</v>
      </c>
      <c r="F3598" s="137" t="s">
        <v>24</v>
      </c>
      <c r="G3598" s="128" t="str">
        <f>VLOOKUP(source[[#This Row],[lending_product_transform]],[3]Mapping!$B$4:$C$37,2,0)</f>
        <v>[Cake] - Cashloan</v>
      </c>
      <c r="H3598" s="128" t="str">
        <f>VLOOKUP(source[[#This Row],[lending_product_transform]],[3]Mapping!$B$3:$D$37,3,0)</f>
        <v>cashloan</v>
      </c>
      <c r="I3598" s="143">
        <v>57750000</v>
      </c>
    </row>
    <row r="3599" spans="1:9" x14ac:dyDescent="0.2">
      <c r="A3599" s="134">
        <v>45623</v>
      </c>
      <c r="B3599" s="135">
        <f>YEAR(source[[#This Row],[report_date]])</f>
        <v>2024</v>
      </c>
      <c r="C3599" s="128">
        <f t="shared" si="162"/>
        <v>11</v>
      </c>
      <c r="D3599" s="136">
        <f t="shared" si="164"/>
        <v>48</v>
      </c>
      <c r="E3599" s="136">
        <f t="shared" si="163"/>
        <v>27</v>
      </c>
      <c r="F3599" s="137" t="s">
        <v>24</v>
      </c>
      <c r="G3599" s="128" t="str">
        <f>VLOOKUP(source[[#This Row],[lending_product_transform]],[3]Mapping!$B$4:$C$37,2,0)</f>
        <v>[Cake] - Cashloan</v>
      </c>
      <c r="H3599" s="128" t="str">
        <f>VLOOKUP(source[[#This Row],[lending_product_transform]],[3]Mapping!$B$3:$D$37,3,0)</f>
        <v>cashloan</v>
      </c>
      <c r="I3599" s="143">
        <v>28000000</v>
      </c>
    </row>
    <row r="3600" spans="1:9" x14ac:dyDescent="0.2">
      <c r="A3600" s="134">
        <v>45623</v>
      </c>
      <c r="B3600" s="135">
        <f>YEAR(source[[#This Row],[report_date]])</f>
        <v>2024</v>
      </c>
      <c r="C3600" s="128">
        <f t="shared" si="162"/>
        <v>11</v>
      </c>
      <c r="D3600" s="136">
        <f t="shared" si="164"/>
        <v>48</v>
      </c>
      <c r="E3600" s="136">
        <f t="shared" si="163"/>
        <v>27</v>
      </c>
      <c r="F3600" s="137" t="s">
        <v>24</v>
      </c>
      <c r="G3600" s="128" t="str">
        <f>VLOOKUP(source[[#This Row],[lending_product_transform]],[3]Mapping!$B$4:$C$37,2,0)</f>
        <v>[Cake] - Cashloan</v>
      </c>
      <c r="H3600" s="128" t="str">
        <f>VLOOKUP(source[[#This Row],[lending_product_transform]],[3]Mapping!$B$3:$D$37,3,0)</f>
        <v>cashloan</v>
      </c>
      <c r="I3600" s="143">
        <v>0</v>
      </c>
    </row>
    <row r="3601" spans="1:9" x14ac:dyDescent="0.2">
      <c r="A3601" s="134">
        <v>45623</v>
      </c>
      <c r="B3601" s="135">
        <f>YEAR(source[[#This Row],[report_date]])</f>
        <v>2024</v>
      </c>
      <c r="C3601" s="128">
        <f t="shared" si="162"/>
        <v>11</v>
      </c>
      <c r="D3601" s="136">
        <f t="shared" si="164"/>
        <v>48</v>
      </c>
      <c r="E3601" s="136">
        <f t="shared" si="163"/>
        <v>27</v>
      </c>
      <c r="F3601" s="137" t="s">
        <v>24</v>
      </c>
      <c r="G3601" s="128" t="str">
        <f>VLOOKUP(source[[#This Row],[lending_product_transform]],[3]Mapping!$B$4:$C$37,2,0)</f>
        <v>[Cake] - Cashloan</v>
      </c>
      <c r="H3601" s="128" t="str">
        <f>VLOOKUP(source[[#This Row],[lending_product_transform]],[3]Mapping!$B$3:$D$37,3,0)</f>
        <v>cashloan</v>
      </c>
      <c r="I3601" s="143">
        <v>2737738700</v>
      </c>
    </row>
    <row r="3602" spans="1:9" x14ac:dyDescent="0.2">
      <c r="A3602" s="134">
        <v>45623</v>
      </c>
      <c r="B3602" s="135">
        <f>YEAR(source[[#This Row],[report_date]])</f>
        <v>2024</v>
      </c>
      <c r="C3602" s="128">
        <f t="shared" si="162"/>
        <v>11</v>
      </c>
      <c r="D3602" s="136">
        <f t="shared" si="164"/>
        <v>48</v>
      </c>
      <c r="E3602" s="136">
        <f t="shared" si="163"/>
        <v>27</v>
      </c>
      <c r="F3602" s="137" t="s">
        <v>24</v>
      </c>
      <c r="G3602" s="128" t="str">
        <f>VLOOKUP(source[[#This Row],[lending_product_transform]],[3]Mapping!$B$4:$C$37,2,0)</f>
        <v>[Cake] - Cashloan</v>
      </c>
      <c r="H3602" s="128" t="str">
        <f>VLOOKUP(source[[#This Row],[lending_product_transform]],[3]Mapping!$B$3:$D$37,3,0)</f>
        <v>cashloan</v>
      </c>
      <c r="I3602" s="143">
        <v>260930000</v>
      </c>
    </row>
    <row r="3603" spans="1:9" x14ac:dyDescent="0.2">
      <c r="A3603" s="134">
        <v>45623</v>
      </c>
      <c r="B3603" s="135">
        <f>YEAR(source[[#This Row],[report_date]])</f>
        <v>2024</v>
      </c>
      <c r="C3603" s="128">
        <f t="shared" si="162"/>
        <v>11</v>
      </c>
      <c r="D3603" s="136">
        <f t="shared" si="164"/>
        <v>48</v>
      </c>
      <c r="E3603" s="136">
        <f t="shared" si="163"/>
        <v>27</v>
      </c>
      <c r="F3603" s="137" t="s">
        <v>24</v>
      </c>
      <c r="G3603" s="128" t="str">
        <f>VLOOKUP(source[[#This Row],[lending_product_transform]],[3]Mapping!$B$4:$C$37,2,0)</f>
        <v>[Cake] - Cashloan</v>
      </c>
      <c r="H3603" s="128" t="str">
        <f>VLOOKUP(source[[#This Row],[lending_product_transform]],[3]Mapping!$B$3:$D$37,3,0)</f>
        <v>cashloan</v>
      </c>
      <c r="I3603" s="143">
        <v>74200000</v>
      </c>
    </row>
    <row r="3604" spans="1:9" x14ac:dyDescent="0.2">
      <c r="A3604" s="134">
        <v>45623</v>
      </c>
      <c r="B3604" s="135">
        <f>YEAR(source[[#This Row],[report_date]])</f>
        <v>2024</v>
      </c>
      <c r="C3604" s="128">
        <f t="shared" si="162"/>
        <v>11</v>
      </c>
      <c r="D3604" s="136">
        <f t="shared" si="164"/>
        <v>48</v>
      </c>
      <c r="E3604" s="136">
        <f t="shared" si="163"/>
        <v>27</v>
      </c>
      <c r="F3604" s="137" t="s">
        <v>24</v>
      </c>
      <c r="G3604" s="128" t="str">
        <f>VLOOKUP(source[[#This Row],[lending_product_transform]],[3]Mapping!$B$4:$C$37,2,0)</f>
        <v>[Cake] - Cashloan</v>
      </c>
      <c r="H3604" s="128" t="str">
        <f>VLOOKUP(source[[#This Row],[lending_product_transform]],[3]Mapping!$B$3:$D$37,3,0)</f>
        <v>cashloan</v>
      </c>
      <c r="I3604" s="143">
        <v>16050000</v>
      </c>
    </row>
    <row r="3605" spans="1:9" x14ac:dyDescent="0.2">
      <c r="A3605" s="134">
        <v>45623</v>
      </c>
      <c r="B3605" s="135">
        <f>YEAR(source[[#This Row],[report_date]])</f>
        <v>2024</v>
      </c>
      <c r="C3605" s="128">
        <f t="shared" si="162"/>
        <v>11</v>
      </c>
      <c r="D3605" s="136">
        <f t="shared" si="164"/>
        <v>48</v>
      </c>
      <c r="E3605" s="136">
        <f t="shared" si="163"/>
        <v>27</v>
      </c>
      <c r="F3605" s="137" t="s">
        <v>24</v>
      </c>
      <c r="G3605" s="128" t="str">
        <f>VLOOKUP(source[[#This Row],[lending_product_transform]],[3]Mapping!$B$4:$C$37,2,0)</f>
        <v>[Cake] - Cashloan</v>
      </c>
      <c r="H3605" s="128" t="str">
        <f>VLOOKUP(source[[#This Row],[lending_product_transform]],[3]Mapping!$B$3:$D$37,3,0)</f>
        <v>cashloan</v>
      </c>
      <c r="I3605" s="143">
        <v>12840000</v>
      </c>
    </row>
    <row r="3606" spans="1:9" x14ac:dyDescent="0.2">
      <c r="A3606" s="134">
        <v>45623</v>
      </c>
      <c r="B3606" s="135">
        <f>YEAR(source[[#This Row],[report_date]])</f>
        <v>2024</v>
      </c>
      <c r="C3606" s="128">
        <f t="shared" si="162"/>
        <v>11</v>
      </c>
      <c r="D3606" s="136">
        <f t="shared" si="164"/>
        <v>48</v>
      </c>
      <c r="E3606" s="136">
        <f t="shared" si="163"/>
        <v>27</v>
      </c>
      <c r="F3606" s="137" t="s">
        <v>24</v>
      </c>
      <c r="G3606" s="128" t="str">
        <f>VLOOKUP(source[[#This Row],[lending_product_transform]],[3]Mapping!$B$4:$C$37,2,0)</f>
        <v>[Cake] - Cashloan</v>
      </c>
      <c r="H3606" s="128" t="str">
        <f>VLOOKUP(source[[#This Row],[lending_product_transform]],[3]Mapping!$B$3:$D$37,3,0)</f>
        <v>cashloan</v>
      </c>
      <c r="I3606" s="143">
        <v>92254219</v>
      </c>
    </row>
    <row r="3607" spans="1:9" x14ac:dyDescent="0.2">
      <c r="A3607" s="134">
        <v>45623</v>
      </c>
      <c r="B3607" s="135">
        <f>YEAR(source[[#This Row],[report_date]])</f>
        <v>2024</v>
      </c>
      <c r="C3607" s="128">
        <f t="shared" si="162"/>
        <v>11</v>
      </c>
      <c r="D3607" s="136">
        <f t="shared" si="164"/>
        <v>48</v>
      </c>
      <c r="E3607" s="136">
        <f t="shared" si="163"/>
        <v>27</v>
      </c>
      <c r="F3607" s="137" t="s">
        <v>24</v>
      </c>
      <c r="G3607" s="128" t="str">
        <f>VLOOKUP(source[[#This Row],[lending_product_transform]],[3]Mapping!$B$4:$C$37,2,0)</f>
        <v>[Cake] - Cashloan</v>
      </c>
      <c r="H3607" s="128" t="str">
        <f>VLOOKUP(source[[#This Row],[lending_product_transform]],[3]Mapping!$B$3:$D$37,3,0)</f>
        <v>cashloan</v>
      </c>
      <c r="I3607" s="143">
        <v>6321430000</v>
      </c>
    </row>
    <row r="3608" spans="1:9" x14ac:dyDescent="0.2">
      <c r="A3608" s="134">
        <v>45623</v>
      </c>
      <c r="B3608" s="135">
        <f>YEAR(source[[#This Row],[report_date]])</f>
        <v>2024</v>
      </c>
      <c r="C3608" s="128">
        <f t="shared" si="162"/>
        <v>11</v>
      </c>
      <c r="D3608" s="136">
        <f t="shared" si="164"/>
        <v>48</v>
      </c>
      <c r="E3608" s="136">
        <f t="shared" si="163"/>
        <v>27</v>
      </c>
      <c r="F3608" s="137" t="s">
        <v>24</v>
      </c>
      <c r="G3608" s="128" t="str">
        <f>VLOOKUP(source[[#This Row],[lending_product_transform]],[3]Mapping!$B$4:$C$37,2,0)</f>
        <v>[Cake] - Cashloan</v>
      </c>
      <c r="H3608" s="128" t="str">
        <f>VLOOKUP(source[[#This Row],[lending_product_transform]],[3]Mapping!$B$3:$D$37,3,0)</f>
        <v>cashloan</v>
      </c>
      <c r="I3608" s="143">
        <v>3252500000</v>
      </c>
    </row>
    <row r="3609" spans="1:9" x14ac:dyDescent="0.2">
      <c r="A3609" s="134">
        <v>45623</v>
      </c>
      <c r="B3609" s="135">
        <f>YEAR(source[[#This Row],[report_date]])</f>
        <v>2024</v>
      </c>
      <c r="C3609" s="128">
        <f t="shared" si="162"/>
        <v>11</v>
      </c>
      <c r="D3609" s="136">
        <f t="shared" si="164"/>
        <v>48</v>
      </c>
      <c r="E3609" s="136">
        <f t="shared" si="163"/>
        <v>27</v>
      </c>
      <c r="F3609" s="137" t="s">
        <v>24</v>
      </c>
      <c r="G3609" s="128" t="str">
        <f>VLOOKUP(source[[#This Row],[lending_product_transform]],[3]Mapping!$B$4:$C$37,2,0)</f>
        <v>[Cake] - Cashloan</v>
      </c>
      <c r="H3609" s="128" t="str">
        <f>VLOOKUP(source[[#This Row],[lending_product_transform]],[3]Mapping!$B$3:$D$37,3,0)</f>
        <v>cashloan</v>
      </c>
      <c r="I3609" s="143">
        <v>0</v>
      </c>
    </row>
    <row r="3610" spans="1:9" x14ac:dyDescent="0.2">
      <c r="A3610" s="134">
        <v>45623</v>
      </c>
      <c r="B3610" s="135">
        <f>YEAR(source[[#This Row],[report_date]])</f>
        <v>2024</v>
      </c>
      <c r="C3610" s="128">
        <f t="shared" si="162"/>
        <v>11</v>
      </c>
      <c r="D3610" s="136">
        <f t="shared" si="164"/>
        <v>48</v>
      </c>
      <c r="E3610" s="136">
        <f t="shared" si="163"/>
        <v>27</v>
      </c>
      <c r="F3610" s="137" t="s">
        <v>24</v>
      </c>
      <c r="G3610" s="128" t="str">
        <f>VLOOKUP(source[[#This Row],[lending_product_transform]],[3]Mapping!$B$4:$C$37,2,0)</f>
        <v>[Cake] - Cashloan</v>
      </c>
      <c r="H3610" s="128" t="str">
        <f>VLOOKUP(source[[#This Row],[lending_product_transform]],[3]Mapping!$B$3:$D$37,3,0)</f>
        <v>cashloan</v>
      </c>
      <c r="I3610" s="143">
        <v>87109299</v>
      </c>
    </row>
    <row r="3611" spans="1:9" x14ac:dyDescent="0.2">
      <c r="A3611" s="134">
        <v>45623</v>
      </c>
      <c r="B3611" s="135">
        <f>YEAR(source[[#This Row],[report_date]])</f>
        <v>2024</v>
      </c>
      <c r="C3611" s="128">
        <f t="shared" si="162"/>
        <v>11</v>
      </c>
      <c r="D3611" s="136">
        <f t="shared" si="164"/>
        <v>48</v>
      </c>
      <c r="E3611" s="136">
        <f t="shared" si="163"/>
        <v>27</v>
      </c>
      <c r="F3611" s="137" t="s">
        <v>24</v>
      </c>
      <c r="G3611" s="128" t="str">
        <f>VLOOKUP(source[[#This Row],[lending_product_transform]],[3]Mapping!$B$4:$C$37,2,0)</f>
        <v>[Cake] - Cashloan</v>
      </c>
      <c r="H3611" s="128" t="str">
        <f>VLOOKUP(source[[#This Row],[lending_product_transform]],[3]Mapping!$B$3:$D$37,3,0)</f>
        <v>cashloan</v>
      </c>
      <c r="I3611" s="143">
        <v>4384050000</v>
      </c>
    </row>
    <row r="3612" spans="1:9" x14ac:dyDescent="0.2">
      <c r="A3612" s="134">
        <v>45624</v>
      </c>
      <c r="B3612" s="135">
        <f>YEAR(source[[#This Row],[report_date]])</f>
        <v>2024</v>
      </c>
      <c r="C3612" s="128">
        <f t="shared" si="162"/>
        <v>11</v>
      </c>
      <c r="D3612" s="136">
        <f t="shared" si="164"/>
        <v>48</v>
      </c>
      <c r="E3612" s="136">
        <f t="shared" si="163"/>
        <v>28</v>
      </c>
      <c r="F3612" s="137" t="s">
        <v>24</v>
      </c>
      <c r="G3612" s="128" t="str">
        <f>VLOOKUP(source[[#This Row],[lending_product_transform]],[3]Mapping!$B$4:$C$37,2,0)</f>
        <v>[Cake] - Cashloan</v>
      </c>
      <c r="H3612" s="128" t="str">
        <f>VLOOKUP(source[[#This Row],[lending_product_transform]],[3]Mapping!$B$3:$D$37,3,0)</f>
        <v>cashloan</v>
      </c>
      <c r="I3612" s="143">
        <v>306807682</v>
      </c>
    </row>
    <row r="3613" spans="1:9" x14ac:dyDescent="0.2">
      <c r="A3613" s="134">
        <v>45624</v>
      </c>
      <c r="B3613" s="135">
        <f>YEAR(source[[#This Row],[report_date]])</f>
        <v>2024</v>
      </c>
      <c r="C3613" s="128">
        <f t="shared" si="162"/>
        <v>11</v>
      </c>
      <c r="D3613" s="136">
        <f t="shared" si="164"/>
        <v>48</v>
      </c>
      <c r="E3613" s="136">
        <f t="shared" si="163"/>
        <v>28</v>
      </c>
      <c r="F3613" s="137" t="s">
        <v>24</v>
      </c>
      <c r="G3613" s="128" t="str">
        <f>VLOOKUP(source[[#This Row],[lending_product_transform]],[3]Mapping!$B$4:$C$37,2,0)</f>
        <v>[Cake] - Cashloan</v>
      </c>
      <c r="H3613" s="128" t="str">
        <f>VLOOKUP(source[[#This Row],[lending_product_transform]],[3]Mapping!$B$3:$D$37,3,0)</f>
        <v>cashloan</v>
      </c>
      <c r="I3613" s="143">
        <v>6228440000</v>
      </c>
    </row>
    <row r="3614" spans="1:9" x14ac:dyDescent="0.2">
      <c r="A3614" s="134">
        <v>45624</v>
      </c>
      <c r="B3614" s="135">
        <f>YEAR(source[[#This Row],[report_date]])</f>
        <v>2024</v>
      </c>
      <c r="C3614" s="128">
        <f t="shared" si="162"/>
        <v>11</v>
      </c>
      <c r="D3614" s="136">
        <f t="shared" si="164"/>
        <v>48</v>
      </c>
      <c r="E3614" s="136">
        <f t="shared" si="163"/>
        <v>28</v>
      </c>
      <c r="F3614" s="137" t="s">
        <v>24</v>
      </c>
      <c r="G3614" s="128" t="str">
        <f>VLOOKUP(source[[#This Row],[lending_product_transform]],[3]Mapping!$B$4:$C$37,2,0)</f>
        <v>[Cake] - Cashloan</v>
      </c>
      <c r="H3614" s="128" t="str">
        <f>VLOOKUP(source[[#This Row],[lending_product_transform]],[3]Mapping!$B$3:$D$37,3,0)</f>
        <v>cashloan</v>
      </c>
      <c r="I3614" s="143">
        <v>71000000</v>
      </c>
    </row>
    <row r="3615" spans="1:9" x14ac:dyDescent="0.2">
      <c r="A3615" s="134">
        <v>45624</v>
      </c>
      <c r="B3615" s="135">
        <f>YEAR(source[[#This Row],[report_date]])</f>
        <v>2024</v>
      </c>
      <c r="C3615" s="128">
        <f t="shared" si="162"/>
        <v>11</v>
      </c>
      <c r="D3615" s="136">
        <f t="shared" si="164"/>
        <v>48</v>
      </c>
      <c r="E3615" s="136">
        <f t="shared" si="163"/>
        <v>28</v>
      </c>
      <c r="F3615" s="137" t="s">
        <v>24</v>
      </c>
      <c r="G3615" s="128" t="str">
        <f>VLOOKUP(source[[#This Row],[lending_product_transform]],[3]Mapping!$B$4:$C$37,2,0)</f>
        <v>[Cake] - Cashloan</v>
      </c>
      <c r="H3615" s="128" t="str">
        <f>VLOOKUP(source[[#This Row],[lending_product_transform]],[3]Mapping!$B$3:$D$37,3,0)</f>
        <v>cashloan</v>
      </c>
      <c r="I3615" s="143">
        <v>405280000</v>
      </c>
    </row>
    <row r="3616" spans="1:9" x14ac:dyDescent="0.2">
      <c r="A3616" s="134">
        <v>45624</v>
      </c>
      <c r="B3616" s="135">
        <f>YEAR(source[[#This Row],[report_date]])</f>
        <v>2024</v>
      </c>
      <c r="C3616" s="128">
        <f t="shared" si="162"/>
        <v>11</v>
      </c>
      <c r="D3616" s="136">
        <f t="shared" si="164"/>
        <v>48</v>
      </c>
      <c r="E3616" s="136">
        <f t="shared" si="163"/>
        <v>28</v>
      </c>
      <c r="F3616" s="137" t="s">
        <v>24</v>
      </c>
      <c r="G3616" s="128" t="str">
        <f>VLOOKUP(source[[#This Row],[lending_product_transform]],[3]Mapping!$B$4:$C$37,2,0)</f>
        <v>[Cake] - Cashloan</v>
      </c>
      <c r="H3616" s="128" t="str">
        <f>VLOOKUP(source[[#This Row],[lending_product_transform]],[3]Mapping!$B$3:$D$37,3,0)</f>
        <v>cashloan</v>
      </c>
      <c r="I3616" s="143">
        <v>5116000000</v>
      </c>
    </row>
    <row r="3617" spans="1:9" x14ac:dyDescent="0.2">
      <c r="A3617" s="134">
        <v>45624</v>
      </c>
      <c r="B3617" s="135">
        <f>YEAR(source[[#This Row],[report_date]])</f>
        <v>2024</v>
      </c>
      <c r="C3617" s="128">
        <f t="shared" si="162"/>
        <v>11</v>
      </c>
      <c r="D3617" s="136">
        <f t="shared" si="164"/>
        <v>48</v>
      </c>
      <c r="E3617" s="136">
        <f t="shared" si="163"/>
        <v>28</v>
      </c>
      <c r="F3617" s="137" t="s">
        <v>24</v>
      </c>
      <c r="G3617" s="128" t="str">
        <f>VLOOKUP(source[[#This Row],[lending_product_transform]],[3]Mapping!$B$4:$C$37,2,0)</f>
        <v>[Cake] - Cashloan</v>
      </c>
      <c r="H3617" s="128" t="str">
        <f>VLOOKUP(source[[#This Row],[lending_product_transform]],[3]Mapping!$B$3:$D$37,3,0)</f>
        <v>cashloan</v>
      </c>
      <c r="I3617" s="143">
        <v>5235360000</v>
      </c>
    </row>
    <row r="3618" spans="1:9" x14ac:dyDescent="0.2">
      <c r="A3618" s="134">
        <v>45624</v>
      </c>
      <c r="B3618" s="135">
        <f>YEAR(source[[#This Row],[report_date]])</f>
        <v>2024</v>
      </c>
      <c r="C3618" s="128">
        <f t="shared" si="162"/>
        <v>11</v>
      </c>
      <c r="D3618" s="136">
        <f t="shared" si="164"/>
        <v>48</v>
      </c>
      <c r="E3618" s="136">
        <f t="shared" si="163"/>
        <v>28</v>
      </c>
      <c r="F3618" s="137" t="s">
        <v>24</v>
      </c>
      <c r="G3618" s="128" t="str">
        <f>VLOOKUP(source[[#This Row],[lending_product_transform]],[3]Mapping!$B$4:$C$37,2,0)</f>
        <v>[Cake] - Cashloan</v>
      </c>
      <c r="H3618" s="128" t="str">
        <f>VLOOKUP(source[[#This Row],[lending_product_transform]],[3]Mapping!$B$3:$D$37,3,0)</f>
        <v>cashloan</v>
      </c>
      <c r="I3618" s="143">
        <v>0</v>
      </c>
    </row>
    <row r="3619" spans="1:9" x14ac:dyDescent="0.2">
      <c r="A3619" s="134">
        <v>45624</v>
      </c>
      <c r="B3619" s="135">
        <f>YEAR(source[[#This Row],[report_date]])</f>
        <v>2024</v>
      </c>
      <c r="C3619" s="128">
        <f t="shared" si="162"/>
        <v>11</v>
      </c>
      <c r="D3619" s="136">
        <f t="shared" si="164"/>
        <v>48</v>
      </c>
      <c r="E3619" s="136">
        <f t="shared" si="163"/>
        <v>28</v>
      </c>
      <c r="F3619" s="137" t="s">
        <v>24</v>
      </c>
      <c r="G3619" s="128" t="str">
        <f>VLOOKUP(source[[#This Row],[lending_product_transform]],[3]Mapping!$B$4:$C$37,2,0)</f>
        <v>[Cake] - Cashloan</v>
      </c>
      <c r="H3619" s="128" t="str">
        <f>VLOOKUP(source[[#This Row],[lending_product_transform]],[3]Mapping!$B$3:$D$37,3,0)</f>
        <v>cashloan</v>
      </c>
      <c r="I3619" s="143">
        <v>834000</v>
      </c>
    </row>
    <row r="3620" spans="1:9" x14ac:dyDescent="0.2">
      <c r="A3620" s="134">
        <v>45624</v>
      </c>
      <c r="B3620" s="135">
        <f>YEAR(source[[#This Row],[report_date]])</f>
        <v>2024</v>
      </c>
      <c r="C3620" s="128">
        <f t="shared" si="162"/>
        <v>11</v>
      </c>
      <c r="D3620" s="136">
        <f t="shared" si="164"/>
        <v>48</v>
      </c>
      <c r="E3620" s="136">
        <f t="shared" si="163"/>
        <v>28</v>
      </c>
      <c r="F3620" s="137" t="s">
        <v>24</v>
      </c>
      <c r="G3620" s="128" t="str">
        <f>VLOOKUP(source[[#This Row],[lending_product_transform]],[3]Mapping!$B$4:$C$37,2,0)</f>
        <v>[Cake] - Cashloan</v>
      </c>
      <c r="H3620" s="128" t="str">
        <f>VLOOKUP(source[[#This Row],[lending_product_transform]],[3]Mapping!$B$3:$D$37,3,0)</f>
        <v>cashloan</v>
      </c>
      <c r="I3620" s="143">
        <v>32550000</v>
      </c>
    </row>
    <row r="3621" spans="1:9" x14ac:dyDescent="0.2">
      <c r="A3621" s="134">
        <v>45624</v>
      </c>
      <c r="B3621" s="135">
        <f>YEAR(source[[#This Row],[report_date]])</f>
        <v>2024</v>
      </c>
      <c r="C3621" s="128">
        <f t="shared" si="162"/>
        <v>11</v>
      </c>
      <c r="D3621" s="136">
        <f t="shared" si="164"/>
        <v>48</v>
      </c>
      <c r="E3621" s="136">
        <f t="shared" si="163"/>
        <v>28</v>
      </c>
      <c r="F3621" s="137" t="s">
        <v>24</v>
      </c>
      <c r="G3621" s="128" t="str">
        <f>VLOOKUP(source[[#This Row],[lending_product_transform]],[3]Mapping!$B$4:$C$37,2,0)</f>
        <v>[Cake] - Cashloan</v>
      </c>
      <c r="H3621" s="128" t="str">
        <f>VLOOKUP(source[[#This Row],[lending_product_transform]],[3]Mapping!$B$3:$D$37,3,0)</f>
        <v>cashloan</v>
      </c>
      <c r="I3621" s="143">
        <v>78673757</v>
      </c>
    </row>
    <row r="3622" spans="1:9" x14ac:dyDescent="0.2">
      <c r="A3622" s="134">
        <v>45624</v>
      </c>
      <c r="B3622" s="135">
        <f>YEAR(source[[#This Row],[report_date]])</f>
        <v>2024</v>
      </c>
      <c r="C3622" s="128">
        <f t="shared" si="162"/>
        <v>11</v>
      </c>
      <c r="D3622" s="136">
        <f t="shared" si="164"/>
        <v>48</v>
      </c>
      <c r="E3622" s="136">
        <f t="shared" si="163"/>
        <v>28</v>
      </c>
      <c r="F3622" s="137" t="s">
        <v>24</v>
      </c>
      <c r="G3622" s="128" t="str">
        <f>VLOOKUP(source[[#This Row],[lending_product_transform]],[3]Mapping!$B$4:$C$37,2,0)</f>
        <v>[Cake] - Cashloan</v>
      </c>
      <c r="H3622" s="128" t="str">
        <f>VLOOKUP(source[[#This Row],[lending_product_transform]],[3]Mapping!$B$3:$D$37,3,0)</f>
        <v>cashloan</v>
      </c>
      <c r="I3622" s="143">
        <v>90500429</v>
      </c>
    </row>
    <row r="3623" spans="1:9" x14ac:dyDescent="0.2">
      <c r="A3623" s="134">
        <v>45624</v>
      </c>
      <c r="B3623" s="135">
        <f>YEAR(source[[#This Row],[report_date]])</f>
        <v>2024</v>
      </c>
      <c r="C3623" s="128">
        <f t="shared" si="162"/>
        <v>11</v>
      </c>
      <c r="D3623" s="136">
        <f t="shared" si="164"/>
        <v>48</v>
      </c>
      <c r="E3623" s="136">
        <f t="shared" si="163"/>
        <v>28</v>
      </c>
      <c r="F3623" s="137" t="s">
        <v>24</v>
      </c>
      <c r="G3623" s="128" t="str">
        <f>VLOOKUP(source[[#This Row],[lending_product_transform]],[3]Mapping!$B$4:$C$37,2,0)</f>
        <v>[Cake] - Cashloan</v>
      </c>
      <c r="H3623" s="128" t="str">
        <f>VLOOKUP(source[[#This Row],[lending_product_transform]],[3]Mapping!$B$3:$D$37,3,0)</f>
        <v>cashloan</v>
      </c>
      <c r="I3623" s="143">
        <v>78850000</v>
      </c>
    </row>
    <row r="3624" spans="1:9" x14ac:dyDescent="0.2">
      <c r="A3624" s="134">
        <v>45624</v>
      </c>
      <c r="B3624" s="135">
        <f>YEAR(source[[#This Row],[report_date]])</f>
        <v>2024</v>
      </c>
      <c r="C3624" s="128">
        <f t="shared" si="162"/>
        <v>11</v>
      </c>
      <c r="D3624" s="136">
        <f t="shared" si="164"/>
        <v>48</v>
      </c>
      <c r="E3624" s="136">
        <f t="shared" si="163"/>
        <v>28</v>
      </c>
      <c r="F3624" s="137" t="s">
        <v>24</v>
      </c>
      <c r="G3624" s="128" t="str">
        <f>VLOOKUP(source[[#This Row],[lending_product_transform]],[3]Mapping!$B$4:$C$37,2,0)</f>
        <v>[Cake] - Cashloan</v>
      </c>
      <c r="H3624" s="128" t="str">
        <f>VLOOKUP(source[[#This Row],[lending_product_transform]],[3]Mapping!$B$3:$D$37,3,0)</f>
        <v>cashloan</v>
      </c>
      <c r="I3624" s="143">
        <v>0</v>
      </c>
    </row>
    <row r="3625" spans="1:9" x14ac:dyDescent="0.2">
      <c r="A3625" s="134">
        <v>45624</v>
      </c>
      <c r="B3625" s="135">
        <f>YEAR(source[[#This Row],[report_date]])</f>
        <v>2024</v>
      </c>
      <c r="C3625" s="128">
        <f t="shared" si="162"/>
        <v>11</v>
      </c>
      <c r="D3625" s="136">
        <f t="shared" si="164"/>
        <v>48</v>
      </c>
      <c r="E3625" s="136">
        <f t="shared" si="163"/>
        <v>28</v>
      </c>
      <c r="F3625" s="137" t="s">
        <v>24</v>
      </c>
      <c r="G3625" s="128" t="str">
        <f>VLOOKUP(source[[#This Row],[lending_product_transform]],[3]Mapping!$B$4:$C$37,2,0)</f>
        <v>[Cake] - Cashloan</v>
      </c>
      <c r="H3625" s="128" t="str">
        <f>VLOOKUP(source[[#This Row],[lending_product_transform]],[3]Mapping!$B$3:$D$37,3,0)</f>
        <v>cashloan</v>
      </c>
      <c r="I3625" s="143">
        <v>145520000</v>
      </c>
    </row>
    <row r="3626" spans="1:9" x14ac:dyDescent="0.2">
      <c r="A3626" s="134">
        <v>45624</v>
      </c>
      <c r="B3626" s="135">
        <f>YEAR(source[[#This Row],[report_date]])</f>
        <v>2024</v>
      </c>
      <c r="C3626" s="128">
        <f t="shared" si="162"/>
        <v>11</v>
      </c>
      <c r="D3626" s="136">
        <f t="shared" si="164"/>
        <v>48</v>
      </c>
      <c r="E3626" s="136">
        <f t="shared" si="163"/>
        <v>28</v>
      </c>
      <c r="F3626" s="137" t="s">
        <v>24</v>
      </c>
      <c r="G3626" s="128" t="str">
        <f>VLOOKUP(source[[#This Row],[lending_product_transform]],[3]Mapping!$B$4:$C$37,2,0)</f>
        <v>[Cake] - Cashloan</v>
      </c>
      <c r="H3626" s="128" t="str">
        <f>VLOOKUP(source[[#This Row],[lending_product_transform]],[3]Mapping!$B$3:$D$37,3,0)</f>
        <v>cashloan</v>
      </c>
      <c r="I3626" s="143">
        <v>3292175345</v>
      </c>
    </row>
    <row r="3627" spans="1:9" x14ac:dyDescent="0.2">
      <c r="A3627" s="134">
        <v>45624</v>
      </c>
      <c r="B3627" s="135">
        <f>YEAR(source[[#This Row],[report_date]])</f>
        <v>2024</v>
      </c>
      <c r="C3627" s="128">
        <f t="shared" si="162"/>
        <v>11</v>
      </c>
      <c r="D3627" s="136">
        <f t="shared" si="164"/>
        <v>48</v>
      </c>
      <c r="E3627" s="136">
        <f t="shared" si="163"/>
        <v>28</v>
      </c>
      <c r="F3627" s="137" t="s">
        <v>24</v>
      </c>
      <c r="G3627" s="128" t="str">
        <f>VLOOKUP(source[[#This Row],[lending_product_transform]],[3]Mapping!$B$4:$C$37,2,0)</f>
        <v>[Cake] - Cashloan</v>
      </c>
      <c r="H3627" s="128" t="str">
        <f>VLOOKUP(source[[#This Row],[lending_product_transform]],[3]Mapping!$B$3:$D$37,3,0)</f>
        <v>cashloan</v>
      </c>
      <c r="I3627" s="143">
        <v>31500000</v>
      </c>
    </row>
    <row r="3628" spans="1:9" x14ac:dyDescent="0.2">
      <c r="A3628" s="134">
        <v>45624</v>
      </c>
      <c r="B3628" s="135">
        <f>YEAR(source[[#This Row],[report_date]])</f>
        <v>2024</v>
      </c>
      <c r="C3628" s="128">
        <f t="shared" si="162"/>
        <v>11</v>
      </c>
      <c r="D3628" s="136">
        <f t="shared" si="164"/>
        <v>48</v>
      </c>
      <c r="E3628" s="136">
        <f t="shared" si="163"/>
        <v>28</v>
      </c>
      <c r="F3628" s="137" t="s">
        <v>24</v>
      </c>
      <c r="G3628" s="128" t="str">
        <f>VLOOKUP(source[[#This Row],[lending_product_transform]],[3]Mapping!$B$4:$C$37,2,0)</f>
        <v>[Cake] - Cashloan</v>
      </c>
      <c r="H3628" s="128" t="str">
        <f>VLOOKUP(source[[#This Row],[lending_product_transform]],[3]Mapping!$B$3:$D$37,3,0)</f>
        <v>cashloan</v>
      </c>
      <c r="I3628" s="143">
        <v>0</v>
      </c>
    </row>
    <row r="3629" spans="1:9" x14ac:dyDescent="0.2">
      <c r="A3629" s="134">
        <v>45625</v>
      </c>
      <c r="B3629" s="135">
        <f>YEAR(source[[#This Row],[report_date]])</f>
        <v>2024</v>
      </c>
      <c r="C3629" s="128">
        <f t="shared" si="162"/>
        <v>11</v>
      </c>
      <c r="D3629" s="136">
        <f t="shared" si="164"/>
        <v>48</v>
      </c>
      <c r="E3629" s="136">
        <f t="shared" si="163"/>
        <v>29</v>
      </c>
      <c r="F3629" s="137" t="s">
        <v>24</v>
      </c>
      <c r="G3629" s="128" t="str">
        <f>VLOOKUP(source[[#This Row],[lending_product_transform]],[3]Mapping!$B$4:$C$37,2,0)</f>
        <v>[Cake] - Cashloan</v>
      </c>
      <c r="H3629" s="128" t="str">
        <f>VLOOKUP(source[[#This Row],[lending_product_transform]],[3]Mapping!$B$3:$D$37,3,0)</f>
        <v>cashloan</v>
      </c>
      <c r="I3629" s="143">
        <v>33000000</v>
      </c>
    </row>
    <row r="3630" spans="1:9" x14ac:dyDescent="0.2">
      <c r="A3630" s="134">
        <v>45625</v>
      </c>
      <c r="B3630" s="135">
        <f>YEAR(source[[#This Row],[report_date]])</f>
        <v>2024</v>
      </c>
      <c r="C3630" s="128">
        <f t="shared" si="162"/>
        <v>11</v>
      </c>
      <c r="D3630" s="136">
        <f t="shared" si="164"/>
        <v>48</v>
      </c>
      <c r="E3630" s="136">
        <f t="shared" si="163"/>
        <v>29</v>
      </c>
      <c r="F3630" s="137" t="s">
        <v>24</v>
      </c>
      <c r="G3630" s="128" t="str">
        <f>VLOOKUP(source[[#This Row],[lending_product_transform]],[3]Mapping!$B$4:$C$37,2,0)</f>
        <v>[Cake] - Cashloan</v>
      </c>
      <c r="H3630" s="128" t="str">
        <f>VLOOKUP(source[[#This Row],[lending_product_transform]],[3]Mapping!$B$3:$D$37,3,0)</f>
        <v>cashloan</v>
      </c>
      <c r="I3630" s="143">
        <v>15750000</v>
      </c>
    </row>
    <row r="3631" spans="1:9" x14ac:dyDescent="0.2">
      <c r="A3631" s="134">
        <v>45625</v>
      </c>
      <c r="B3631" s="135">
        <f>YEAR(source[[#This Row],[report_date]])</f>
        <v>2024</v>
      </c>
      <c r="C3631" s="128">
        <f t="shared" si="162"/>
        <v>11</v>
      </c>
      <c r="D3631" s="136">
        <f t="shared" si="164"/>
        <v>48</v>
      </c>
      <c r="E3631" s="136">
        <f t="shared" si="163"/>
        <v>29</v>
      </c>
      <c r="F3631" s="137" t="s">
        <v>24</v>
      </c>
      <c r="G3631" s="128" t="str">
        <f>VLOOKUP(source[[#This Row],[lending_product_transform]],[3]Mapping!$B$4:$C$37,2,0)</f>
        <v>[Cake] - Cashloan</v>
      </c>
      <c r="H3631" s="128" t="str">
        <f>VLOOKUP(source[[#This Row],[lending_product_transform]],[3]Mapping!$B$3:$D$37,3,0)</f>
        <v>cashloan</v>
      </c>
      <c r="I3631" s="143">
        <v>109200000</v>
      </c>
    </row>
    <row r="3632" spans="1:9" x14ac:dyDescent="0.2">
      <c r="A3632" s="134">
        <v>45625</v>
      </c>
      <c r="B3632" s="135">
        <f>YEAR(source[[#This Row],[report_date]])</f>
        <v>2024</v>
      </c>
      <c r="C3632" s="128">
        <f t="shared" si="162"/>
        <v>11</v>
      </c>
      <c r="D3632" s="136">
        <f t="shared" si="164"/>
        <v>48</v>
      </c>
      <c r="E3632" s="136">
        <f t="shared" si="163"/>
        <v>29</v>
      </c>
      <c r="F3632" s="137" t="s">
        <v>24</v>
      </c>
      <c r="G3632" s="128" t="str">
        <f>VLOOKUP(source[[#This Row],[lending_product_transform]],[3]Mapping!$B$4:$C$37,2,0)</f>
        <v>[Cake] - Cashloan</v>
      </c>
      <c r="H3632" s="128" t="str">
        <f>VLOOKUP(source[[#This Row],[lending_product_transform]],[3]Mapping!$B$3:$D$37,3,0)</f>
        <v>cashloan</v>
      </c>
      <c r="I3632" s="143">
        <v>69575644</v>
      </c>
    </row>
    <row r="3633" spans="1:9" x14ac:dyDescent="0.2">
      <c r="A3633" s="134">
        <v>45625</v>
      </c>
      <c r="B3633" s="135">
        <f>YEAR(source[[#This Row],[report_date]])</f>
        <v>2024</v>
      </c>
      <c r="C3633" s="128">
        <f t="shared" si="162"/>
        <v>11</v>
      </c>
      <c r="D3633" s="136">
        <f t="shared" si="164"/>
        <v>48</v>
      </c>
      <c r="E3633" s="136">
        <f t="shared" si="163"/>
        <v>29</v>
      </c>
      <c r="F3633" s="137" t="s">
        <v>24</v>
      </c>
      <c r="G3633" s="128" t="str">
        <f>VLOOKUP(source[[#This Row],[lending_product_transform]],[3]Mapping!$B$4:$C$37,2,0)</f>
        <v>[Cake] - Cashloan</v>
      </c>
      <c r="H3633" s="128" t="str">
        <f>VLOOKUP(source[[#This Row],[lending_product_transform]],[3]Mapping!$B$3:$D$37,3,0)</f>
        <v>cashloan</v>
      </c>
      <c r="I3633" s="143">
        <v>4376490000</v>
      </c>
    </row>
    <row r="3634" spans="1:9" x14ac:dyDescent="0.2">
      <c r="A3634" s="134">
        <v>45625</v>
      </c>
      <c r="B3634" s="135">
        <f>YEAR(source[[#This Row],[report_date]])</f>
        <v>2024</v>
      </c>
      <c r="C3634" s="128">
        <f t="shared" si="162"/>
        <v>11</v>
      </c>
      <c r="D3634" s="136">
        <f t="shared" si="164"/>
        <v>48</v>
      </c>
      <c r="E3634" s="136">
        <f t="shared" si="163"/>
        <v>29</v>
      </c>
      <c r="F3634" s="137" t="s">
        <v>24</v>
      </c>
      <c r="G3634" s="128" t="str">
        <f>VLOOKUP(source[[#This Row],[lending_product_transform]],[3]Mapping!$B$4:$C$37,2,0)</f>
        <v>[Cake] - Cashloan</v>
      </c>
      <c r="H3634" s="128" t="str">
        <f>VLOOKUP(source[[#This Row],[lending_product_transform]],[3]Mapping!$B$3:$D$37,3,0)</f>
        <v>cashloan</v>
      </c>
      <c r="I3634" s="143">
        <v>39900</v>
      </c>
    </row>
    <row r="3635" spans="1:9" x14ac:dyDescent="0.2">
      <c r="A3635" s="134">
        <v>45625</v>
      </c>
      <c r="B3635" s="135">
        <f>YEAR(source[[#This Row],[report_date]])</f>
        <v>2024</v>
      </c>
      <c r="C3635" s="128">
        <f t="shared" si="162"/>
        <v>11</v>
      </c>
      <c r="D3635" s="136">
        <f t="shared" si="164"/>
        <v>48</v>
      </c>
      <c r="E3635" s="136">
        <f t="shared" si="163"/>
        <v>29</v>
      </c>
      <c r="F3635" s="137" t="s">
        <v>24</v>
      </c>
      <c r="G3635" s="128" t="str">
        <f>VLOOKUP(source[[#This Row],[lending_product_transform]],[3]Mapping!$B$4:$C$37,2,0)</f>
        <v>[Cake] - Cashloan</v>
      </c>
      <c r="H3635" s="128" t="str">
        <f>VLOOKUP(source[[#This Row],[lending_product_transform]],[3]Mapping!$B$3:$D$37,3,0)</f>
        <v>cashloan</v>
      </c>
      <c r="I3635" s="143">
        <v>115500000</v>
      </c>
    </row>
    <row r="3636" spans="1:9" x14ac:dyDescent="0.2">
      <c r="A3636" s="134">
        <v>45625</v>
      </c>
      <c r="B3636" s="135">
        <f>YEAR(source[[#This Row],[report_date]])</f>
        <v>2024</v>
      </c>
      <c r="C3636" s="128">
        <f t="shared" si="162"/>
        <v>11</v>
      </c>
      <c r="D3636" s="136">
        <f t="shared" si="164"/>
        <v>48</v>
      </c>
      <c r="E3636" s="136">
        <f t="shared" si="163"/>
        <v>29</v>
      </c>
      <c r="F3636" s="137" t="s">
        <v>24</v>
      </c>
      <c r="G3636" s="128" t="str">
        <f>VLOOKUP(source[[#This Row],[lending_product_transform]],[3]Mapping!$B$4:$C$37,2,0)</f>
        <v>[Cake] - Cashloan</v>
      </c>
      <c r="H3636" s="128" t="str">
        <f>VLOOKUP(source[[#This Row],[lending_product_transform]],[3]Mapping!$B$3:$D$37,3,0)</f>
        <v>cashloan</v>
      </c>
      <c r="I3636" s="143">
        <v>5958770000</v>
      </c>
    </row>
    <row r="3637" spans="1:9" x14ac:dyDescent="0.2">
      <c r="A3637" s="134">
        <v>45625</v>
      </c>
      <c r="B3637" s="135">
        <f>YEAR(source[[#This Row],[report_date]])</f>
        <v>2024</v>
      </c>
      <c r="C3637" s="128">
        <f t="shared" si="162"/>
        <v>11</v>
      </c>
      <c r="D3637" s="136">
        <f t="shared" si="164"/>
        <v>48</v>
      </c>
      <c r="E3637" s="136">
        <f t="shared" si="163"/>
        <v>29</v>
      </c>
      <c r="F3637" s="137" t="s">
        <v>24</v>
      </c>
      <c r="G3637" s="128" t="str">
        <f>VLOOKUP(source[[#This Row],[lending_product_transform]],[3]Mapping!$B$4:$C$37,2,0)</f>
        <v>[Cake] - Cashloan</v>
      </c>
      <c r="H3637" s="128" t="str">
        <f>VLOOKUP(source[[#This Row],[lending_product_transform]],[3]Mapping!$B$3:$D$37,3,0)</f>
        <v>cashloan</v>
      </c>
      <c r="I3637" s="143">
        <v>0</v>
      </c>
    </row>
    <row r="3638" spans="1:9" x14ac:dyDescent="0.2">
      <c r="A3638" s="134">
        <v>45625</v>
      </c>
      <c r="B3638" s="135">
        <f>YEAR(source[[#This Row],[report_date]])</f>
        <v>2024</v>
      </c>
      <c r="C3638" s="128">
        <f t="shared" si="162"/>
        <v>11</v>
      </c>
      <c r="D3638" s="136">
        <f t="shared" si="164"/>
        <v>48</v>
      </c>
      <c r="E3638" s="136">
        <f t="shared" si="163"/>
        <v>29</v>
      </c>
      <c r="F3638" s="137" t="s">
        <v>24</v>
      </c>
      <c r="G3638" s="128" t="str">
        <f>VLOOKUP(source[[#This Row],[lending_product_transform]],[3]Mapping!$B$4:$C$37,2,0)</f>
        <v>[Cake] - Cashloan</v>
      </c>
      <c r="H3638" s="128" t="str">
        <f>VLOOKUP(source[[#This Row],[lending_product_transform]],[3]Mapping!$B$3:$D$37,3,0)</f>
        <v>cashloan</v>
      </c>
      <c r="I3638" s="143">
        <v>0</v>
      </c>
    </row>
    <row r="3639" spans="1:9" x14ac:dyDescent="0.2">
      <c r="A3639" s="134">
        <v>45625</v>
      </c>
      <c r="B3639" s="135">
        <f>YEAR(source[[#This Row],[report_date]])</f>
        <v>2024</v>
      </c>
      <c r="C3639" s="128">
        <f t="shared" si="162"/>
        <v>11</v>
      </c>
      <c r="D3639" s="136">
        <f t="shared" si="164"/>
        <v>48</v>
      </c>
      <c r="E3639" s="136">
        <f t="shared" si="163"/>
        <v>29</v>
      </c>
      <c r="F3639" s="137" t="s">
        <v>24</v>
      </c>
      <c r="G3639" s="128" t="str">
        <f>VLOOKUP(source[[#This Row],[lending_product_transform]],[3]Mapping!$B$4:$C$37,2,0)</f>
        <v>[Cake] - Cashloan</v>
      </c>
      <c r="H3639" s="128" t="str">
        <f>VLOOKUP(source[[#This Row],[lending_product_transform]],[3]Mapping!$B$3:$D$37,3,0)</f>
        <v>cashloan</v>
      </c>
      <c r="I3639" s="143">
        <v>0</v>
      </c>
    </row>
    <row r="3640" spans="1:9" x14ac:dyDescent="0.2">
      <c r="A3640" s="134">
        <v>45625</v>
      </c>
      <c r="B3640" s="135">
        <f>YEAR(source[[#This Row],[report_date]])</f>
        <v>2024</v>
      </c>
      <c r="C3640" s="128">
        <f t="shared" si="162"/>
        <v>11</v>
      </c>
      <c r="D3640" s="136">
        <f t="shared" si="164"/>
        <v>48</v>
      </c>
      <c r="E3640" s="136">
        <f t="shared" si="163"/>
        <v>29</v>
      </c>
      <c r="F3640" s="137" t="s">
        <v>24</v>
      </c>
      <c r="G3640" s="128" t="str">
        <f>VLOOKUP(source[[#This Row],[lending_product_transform]],[3]Mapping!$B$4:$C$37,2,0)</f>
        <v>[Cake] - Cashloan</v>
      </c>
      <c r="H3640" s="128" t="str">
        <f>VLOOKUP(source[[#This Row],[lending_product_transform]],[3]Mapping!$B$3:$D$37,3,0)</f>
        <v>cashloan</v>
      </c>
      <c r="I3640" s="143">
        <v>278425724</v>
      </c>
    </row>
    <row r="3641" spans="1:9" x14ac:dyDescent="0.2">
      <c r="A3641" s="134">
        <v>45625</v>
      </c>
      <c r="B3641" s="135">
        <f>YEAR(source[[#This Row],[report_date]])</f>
        <v>2024</v>
      </c>
      <c r="C3641" s="128">
        <f t="shared" si="162"/>
        <v>11</v>
      </c>
      <c r="D3641" s="136">
        <f t="shared" si="164"/>
        <v>48</v>
      </c>
      <c r="E3641" s="136">
        <f t="shared" si="163"/>
        <v>29</v>
      </c>
      <c r="F3641" s="137" t="s">
        <v>24</v>
      </c>
      <c r="G3641" s="128" t="str">
        <f>VLOOKUP(source[[#This Row],[lending_product_transform]],[3]Mapping!$B$4:$C$37,2,0)</f>
        <v>[Cake] - Cashloan</v>
      </c>
      <c r="H3641" s="128" t="str">
        <f>VLOOKUP(source[[#This Row],[lending_product_transform]],[3]Mapping!$B$3:$D$37,3,0)</f>
        <v>cashloan</v>
      </c>
      <c r="I3641" s="143">
        <v>160860000</v>
      </c>
    </row>
    <row r="3642" spans="1:9" x14ac:dyDescent="0.2">
      <c r="A3642" s="134">
        <v>45625</v>
      </c>
      <c r="B3642" s="135">
        <f>YEAR(source[[#This Row],[report_date]])</f>
        <v>2024</v>
      </c>
      <c r="C3642" s="128">
        <f t="shared" si="162"/>
        <v>11</v>
      </c>
      <c r="D3642" s="136">
        <f t="shared" si="164"/>
        <v>48</v>
      </c>
      <c r="E3642" s="136">
        <f t="shared" si="163"/>
        <v>29</v>
      </c>
      <c r="F3642" s="137" t="s">
        <v>24</v>
      </c>
      <c r="G3642" s="128" t="str">
        <f>VLOOKUP(source[[#This Row],[lending_product_transform]],[3]Mapping!$B$4:$C$37,2,0)</f>
        <v>[Cake] - Cashloan</v>
      </c>
      <c r="H3642" s="128" t="str">
        <f>VLOOKUP(source[[#This Row],[lending_product_transform]],[3]Mapping!$B$3:$D$37,3,0)</f>
        <v>cashloan</v>
      </c>
      <c r="I3642" s="143">
        <v>0</v>
      </c>
    </row>
    <row r="3643" spans="1:9" x14ac:dyDescent="0.2">
      <c r="A3643" s="134">
        <v>45625</v>
      </c>
      <c r="B3643" s="135">
        <f>YEAR(source[[#This Row],[report_date]])</f>
        <v>2024</v>
      </c>
      <c r="C3643" s="128">
        <f t="shared" si="162"/>
        <v>11</v>
      </c>
      <c r="D3643" s="136">
        <f t="shared" si="164"/>
        <v>48</v>
      </c>
      <c r="E3643" s="136">
        <f t="shared" si="163"/>
        <v>29</v>
      </c>
      <c r="F3643" s="137" t="s">
        <v>24</v>
      </c>
      <c r="G3643" s="128" t="str">
        <f>VLOOKUP(source[[#This Row],[lending_product_transform]],[3]Mapping!$B$4:$C$37,2,0)</f>
        <v>[Cake] - Cashloan</v>
      </c>
      <c r="H3643" s="128" t="str">
        <f>VLOOKUP(source[[#This Row],[lending_product_transform]],[3]Mapping!$B$3:$D$37,3,0)</f>
        <v>cashloan</v>
      </c>
      <c r="I3643" s="143">
        <v>79086669</v>
      </c>
    </row>
    <row r="3644" spans="1:9" x14ac:dyDescent="0.2">
      <c r="A3644" s="134">
        <v>45625</v>
      </c>
      <c r="B3644" s="135">
        <f>YEAR(source[[#This Row],[report_date]])</f>
        <v>2024</v>
      </c>
      <c r="C3644" s="128">
        <f t="shared" si="162"/>
        <v>11</v>
      </c>
      <c r="D3644" s="136">
        <f t="shared" si="164"/>
        <v>48</v>
      </c>
      <c r="E3644" s="136">
        <f t="shared" si="163"/>
        <v>29</v>
      </c>
      <c r="F3644" s="137" t="s">
        <v>24</v>
      </c>
      <c r="G3644" s="128" t="str">
        <f>VLOOKUP(source[[#This Row],[lending_product_transform]],[3]Mapping!$B$4:$C$37,2,0)</f>
        <v>[Cake] - Cashloan</v>
      </c>
      <c r="H3644" s="128" t="str">
        <f>VLOOKUP(source[[#This Row],[lending_product_transform]],[3]Mapping!$B$3:$D$37,3,0)</f>
        <v>cashloan</v>
      </c>
      <c r="I3644" s="143">
        <v>5055500000</v>
      </c>
    </row>
    <row r="3645" spans="1:9" x14ac:dyDescent="0.2">
      <c r="A3645" s="134">
        <v>45625</v>
      </c>
      <c r="B3645" s="135">
        <f>YEAR(source[[#This Row],[report_date]])</f>
        <v>2024</v>
      </c>
      <c r="C3645" s="128">
        <f t="shared" si="162"/>
        <v>11</v>
      </c>
      <c r="D3645" s="136">
        <f t="shared" si="164"/>
        <v>48</v>
      </c>
      <c r="E3645" s="136">
        <f t="shared" si="163"/>
        <v>29</v>
      </c>
      <c r="F3645" s="137" t="s">
        <v>24</v>
      </c>
      <c r="G3645" s="128" t="str">
        <f>VLOOKUP(source[[#This Row],[lending_product_transform]],[3]Mapping!$B$4:$C$37,2,0)</f>
        <v>[Cake] - Cashloan</v>
      </c>
      <c r="H3645" s="128" t="str">
        <f>VLOOKUP(source[[#This Row],[lending_product_transform]],[3]Mapping!$B$3:$D$37,3,0)</f>
        <v>cashloan</v>
      </c>
      <c r="I3645" s="143">
        <v>3395569428</v>
      </c>
    </row>
    <row r="3646" spans="1:9" x14ac:dyDescent="0.2">
      <c r="A3646" s="134">
        <v>45626</v>
      </c>
      <c r="B3646" s="135">
        <f>YEAR(source[[#This Row],[report_date]])</f>
        <v>2024</v>
      </c>
      <c r="C3646" s="128">
        <f t="shared" si="162"/>
        <v>11</v>
      </c>
      <c r="D3646" s="136">
        <f t="shared" si="164"/>
        <v>48</v>
      </c>
      <c r="E3646" s="136">
        <f t="shared" si="163"/>
        <v>30</v>
      </c>
      <c r="F3646" s="137" t="s">
        <v>24</v>
      </c>
      <c r="G3646" s="128" t="str">
        <f>VLOOKUP(source[[#This Row],[lending_product_transform]],[3]Mapping!$B$4:$C$37,2,0)</f>
        <v>[Cake] - Cashloan</v>
      </c>
      <c r="H3646" s="128" t="str">
        <f>VLOOKUP(source[[#This Row],[lending_product_transform]],[3]Mapping!$B$3:$D$37,3,0)</f>
        <v>cashloan</v>
      </c>
      <c r="I3646" s="143">
        <v>62000000</v>
      </c>
    </row>
    <row r="3647" spans="1:9" x14ac:dyDescent="0.2">
      <c r="A3647" s="134">
        <v>45626</v>
      </c>
      <c r="B3647" s="135">
        <f>YEAR(source[[#This Row],[report_date]])</f>
        <v>2024</v>
      </c>
      <c r="C3647" s="128">
        <f t="shared" si="162"/>
        <v>11</v>
      </c>
      <c r="D3647" s="136">
        <f t="shared" si="164"/>
        <v>48</v>
      </c>
      <c r="E3647" s="136">
        <f t="shared" si="163"/>
        <v>30</v>
      </c>
      <c r="F3647" s="137" t="s">
        <v>24</v>
      </c>
      <c r="G3647" s="128" t="str">
        <f>VLOOKUP(source[[#This Row],[lending_product_transform]],[3]Mapping!$B$4:$C$37,2,0)</f>
        <v>[Cake] - Cashloan</v>
      </c>
      <c r="H3647" s="128" t="str">
        <f>VLOOKUP(source[[#This Row],[lending_product_transform]],[3]Mapping!$B$3:$D$37,3,0)</f>
        <v>cashloan</v>
      </c>
      <c r="I3647" s="143">
        <v>3754871271</v>
      </c>
    </row>
    <row r="3648" spans="1:9" x14ac:dyDescent="0.2">
      <c r="A3648" s="134">
        <v>45626</v>
      </c>
      <c r="B3648" s="135">
        <f>YEAR(source[[#This Row],[report_date]])</f>
        <v>2024</v>
      </c>
      <c r="C3648" s="128">
        <f t="shared" si="162"/>
        <v>11</v>
      </c>
      <c r="D3648" s="136">
        <f t="shared" si="164"/>
        <v>48</v>
      </c>
      <c r="E3648" s="136">
        <f t="shared" si="163"/>
        <v>30</v>
      </c>
      <c r="F3648" s="137" t="s">
        <v>24</v>
      </c>
      <c r="G3648" s="128" t="str">
        <f>VLOOKUP(source[[#This Row],[lending_product_transform]],[3]Mapping!$B$4:$C$37,2,0)</f>
        <v>[Cake] - Cashloan</v>
      </c>
      <c r="H3648" s="128" t="str">
        <f>VLOOKUP(source[[#This Row],[lending_product_transform]],[3]Mapping!$B$3:$D$37,3,0)</f>
        <v>cashloan</v>
      </c>
      <c r="I3648" s="143">
        <v>0</v>
      </c>
    </row>
    <row r="3649" spans="1:9" x14ac:dyDescent="0.2">
      <c r="A3649" s="134">
        <v>45626</v>
      </c>
      <c r="B3649" s="135">
        <f>YEAR(source[[#This Row],[report_date]])</f>
        <v>2024</v>
      </c>
      <c r="C3649" s="128">
        <f t="shared" si="162"/>
        <v>11</v>
      </c>
      <c r="D3649" s="136">
        <f t="shared" si="164"/>
        <v>48</v>
      </c>
      <c r="E3649" s="136">
        <f t="shared" si="163"/>
        <v>30</v>
      </c>
      <c r="F3649" s="137" t="s">
        <v>24</v>
      </c>
      <c r="G3649" s="128" t="str">
        <f>VLOOKUP(source[[#This Row],[lending_product_transform]],[3]Mapping!$B$4:$C$37,2,0)</f>
        <v>[Cake] - Cashloan</v>
      </c>
      <c r="H3649" s="128" t="str">
        <f>VLOOKUP(source[[#This Row],[lending_product_transform]],[3]Mapping!$B$3:$D$37,3,0)</f>
        <v>cashloan</v>
      </c>
      <c r="I3649" s="143">
        <v>73000000</v>
      </c>
    </row>
    <row r="3650" spans="1:9" x14ac:dyDescent="0.2">
      <c r="A3650" s="134">
        <v>45626</v>
      </c>
      <c r="B3650" s="135">
        <f>YEAR(source[[#This Row],[report_date]])</f>
        <v>2024</v>
      </c>
      <c r="C3650" s="128">
        <f t="shared" ref="C3650:C3713" si="165">MONTH(A3650)</f>
        <v>11</v>
      </c>
      <c r="D3650" s="136">
        <f t="shared" si="164"/>
        <v>48</v>
      </c>
      <c r="E3650" s="136">
        <f t="shared" ref="E3650:E3713" si="166">DAY(A3650)</f>
        <v>30</v>
      </c>
      <c r="F3650" s="137" t="s">
        <v>24</v>
      </c>
      <c r="G3650" s="128" t="str">
        <f>VLOOKUP(source[[#This Row],[lending_product_transform]],[3]Mapping!$B$4:$C$37,2,0)</f>
        <v>[Cake] - Cashloan</v>
      </c>
      <c r="H3650" s="128" t="str">
        <f>VLOOKUP(source[[#This Row],[lending_product_transform]],[3]Mapping!$B$3:$D$37,3,0)</f>
        <v>cashloan</v>
      </c>
      <c r="I3650" s="143">
        <v>0</v>
      </c>
    </row>
    <row r="3651" spans="1:9" x14ac:dyDescent="0.2">
      <c r="A3651" s="134">
        <v>45626</v>
      </c>
      <c r="B3651" s="135">
        <f>YEAR(source[[#This Row],[report_date]])</f>
        <v>2024</v>
      </c>
      <c r="C3651" s="128">
        <f t="shared" si="165"/>
        <v>11</v>
      </c>
      <c r="D3651" s="136">
        <f t="shared" ref="D3651:D3714" si="167">WEEKNUM(A3651,2)</f>
        <v>48</v>
      </c>
      <c r="E3651" s="136">
        <f t="shared" si="166"/>
        <v>30</v>
      </c>
      <c r="F3651" s="137" t="s">
        <v>24</v>
      </c>
      <c r="G3651" s="128" t="str">
        <f>VLOOKUP(source[[#This Row],[lending_product_transform]],[3]Mapping!$B$4:$C$37,2,0)</f>
        <v>[Cake] - Cashloan</v>
      </c>
      <c r="H3651" s="128" t="str">
        <f>VLOOKUP(source[[#This Row],[lending_product_transform]],[3]Mapping!$B$3:$D$37,3,0)</f>
        <v>cashloan</v>
      </c>
      <c r="I3651" s="143">
        <v>314470000</v>
      </c>
    </row>
    <row r="3652" spans="1:9" x14ac:dyDescent="0.2">
      <c r="A3652" s="134">
        <v>45626</v>
      </c>
      <c r="B3652" s="135">
        <f>YEAR(source[[#This Row],[report_date]])</f>
        <v>2024</v>
      </c>
      <c r="C3652" s="128">
        <f t="shared" si="165"/>
        <v>11</v>
      </c>
      <c r="D3652" s="136">
        <f t="shared" si="167"/>
        <v>48</v>
      </c>
      <c r="E3652" s="136">
        <f t="shared" si="166"/>
        <v>30</v>
      </c>
      <c r="F3652" s="137" t="s">
        <v>24</v>
      </c>
      <c r="G3652" s="128" t="str">
        <f>VLOOKUP(source[[#This Row],[lending_product_transform]],[3]Mapping!$B$4:$C$37,2,0)</f>
        <v>[Cake] - Cashloan</v>
      </c>
      <c r="H3652" s="128" t="str">
        <f>VLOOKUP(source[[#This Row],[lending_product_transform]],[3]Mapping!$B$3:$D$37,3,0)</f>
        <v>cashloan</v>
      </c>
      <c r="I3652" s="143">
        <v>0</v>
      </c>
    </row>
    <row r="3653" spans="1:9" x14ac:dyDescent="0.2">
      <c r="A3653" s="134">
        <v>45626</v>
      </c>
      <c r="B3653" s="135">
        <f>YEAR(source[[#This Row],[report_date]])</f>
        <v>2024</v>
      </c>
      <c r="C3653" s="128">
        <f t="shared" si="165"/>
        <v>11</v>
      </c>
      <c r="D3653" s="136">
        <f t="shared" si="167"/>
        <v>48</v>
      </c>
      <c r="E3653" s="136">
        <f t="shared" si="166"/>
        <v>30</v>
      </c>
      <c r="F3653" s="137" t="s">
        <v>24</v>
      </c>
      <c r="G3653" s="128" t="str">
        <f>VLOOKUP(source[[#This Row],[lending_product_transform]],[3]Mapping!$B$4:$C$37,2,0)</f>
        <v>[Cake] - Cashloan</v>
      </c>
      <c r="H3653" s="128" t="str">
        <f>VLOOKUP(source[[#This Row],[lending_product_transform]],[3]Mapping!$B$3:$D$37,3,0)</f>
        <v>cashloan</v>
      </c>
      <c r="I3653" s="143">
        <v>28350000</v>
      </c>
    </row>
    <row r="3654" spans="1:9" x14ac:dyDescent="0.2">
      <c r="A3654" s="134">
        <v>45626</v>
      </c>
      <c r="B3654" s="135">
        <f>YEAR(source[[#This Row],[report_date]])</f>
        <v>2024</v>
      </c>
      <c r="C3654" s="128">
        <f t="shared" si="165"/>
        <v>11</v>
      </c>
      <c r="D3654" s="136">
        <f t="shared" si="167"/>
        <v>48</v>
      </c>
      <c r="E3654" s="136">
        <f t="shared" si="166"/>
        <v>30</v>
      </c>
      <c r="F3654" s="137" t="s">
        <v>24</v>
      </c>
      <c r="G3654" s="128" t="str">
        <f>VLOOKUP(source[[#This Row],[lending_product_transform]],[3]Mapping!$B$4:$C$37,2,0)</f>
        <v>[Cake] - Cashloan</v>
      </c>
      <c r="H3654" s="128" t="str">
        <f>VLOOKUP(source[[#This Row],[lending_product_transform]],[3]Mapping!$B$3:$D$37,3,0)</f>
        <v>cashloan</v>
      </c>
      <c r="I3654" s="143">
        <v>6420000</v>
      </c>
    </row>
    <row r="3655" spans="1:9" x14ac:dyDescent="0.2">
      <c r="A3655" s="134">
        <v>45626</v>
      </c>
      <c r="B3655" s="135">
        <f>YEAR(source[[#This Row],[report_date]])</f>
        <v>2024</v>
      </c>
      <c r="C3655" s="128">
        <f t="shared" si="165"/>
        <v>11</v>
      </c>
      <c r="D3655" s="136">
        <f t="shared" si="167"/>
        <v>48</v>
      </c>
      <c r="E3655" s="136">
        <f t="shared" si="166"/>
        <v>30</v>
      </c>
      <c r="F3655" s="137" t="s">
        <v>24</v>
      </c>
      <c r="G3655" s="128" t="str">
        <f>VLOOKUP(source[[#This Row],[lending_product_transform]],[3]Mapping!$B$4:$C$37,2,0)</f>
        <v>[Cake] - Cashloan</v>
      </c>
      <c r="H3655" s="128" t="str">
        <f>VLOOKUP(source[[#This Row],[lending_product_transform]],[3]Mapping!$B$3:$D$37,3,0)</f>
        <v>cashloan</v>
      </c>
      <c r="I3655" s="143">
        <v>80250000</v>
      </c>
    </row>
    <row r="3656" spans="1:9" x14ac:dyDescent="0.2">
      <c r="A3656" s="134">
        <v>45626</v>
      </c>
      <c r="B3656" s="135">
        <f>YEAR(source[[#This Row],[report_date]])</f>
        <v>2024</v>
      </c>
      <c r="C3656" s="128">
        <f t="shared" si="165"/>
        <v>11</v>
      </c>
      <c r="D3656" s="136">
        <f t="shared" si="167"/>
        <v>48</v>
      </c>
      <c r="E3656" s="136">
        <f t="shared" si="166"/>
        <v>30</v>
      </c>
      <c r="F3656" s="137" t="s">
        <v>24</v>
      </c>
      <c r="G3656" s="128" t="str">
        <f>VLOOKUP(source[[#This Row],[lending_product_transform]],[3]Mapping!$B$4:$C$37,2,0)</f>
        <v>[Cake] - Cashloan</v>
      </c>
      <c r="H3656" s="128" t="str">
        <f>VLOOKUP(source[[#This Row],[lending_product_transform]],[3]Mapping!$B$3:$D$37,3,0)</f>
        <v>cashloan</v>
      </c>
      <c r="I3656" s="143">
        <v>21400000</v>
      </c>
    </row>
    <row r="3657" spans="1:9" x14ac:dyDescent="0.2">
      <c r="A3657" s="134">
        <v>45626</v>
      </c>
      <c r="B3657" s="135">
        <f>YEAR(source[[#This Row],[report_date]])</f>
        <v>2024</v>
      </c>
      <c r="C3657" s="128">
        <f t="shared" si="165"/>
        <v>11</v>
      </c>
      <c r="D3657" s="136">
        <f t="shared" si="167"/>
        <v>48</v>
      </c>
      <c r="E3657" s="136">
        <f t="shared" si="166"/>
        <v>30</v>
      </c>
      <c r="F3657" s="137" t="s">
        <v>24</v>
      </c>
      <c r="G3657" s="128" t="str">
        <f>VLOOKUP(source[[#This Row],[lending_product_transform]],[3]Mapping!$B$4:$C$37,2,0)</f>
        <v>[Cake] - Cashloan</v>
      </c>
      <c r="H3657" s="128" t="str">
        <f>VLOOKUP(source[[#This Row],[lending_product_transform]],[3]Mapping!$B$3:$D$37,3,0)</f>
        <v>cashloan</v>
      </c>
      <c r="I3657" s="143">
        <v>4722770000</v>
      </c>
    </row>
    <row r="3658" spans="1:9" x14ac:dyDescent="0.2">
      <c r="A3658" s="134">
        <v>45626</v>
      </c>
      <c r="B3658" s="135">
        <f>YEAR(source[[#This Row],[report_date]])</f>
        <v>2024</v>
      </c>
      <c r="C3658" s="128">
        <f t="shared" si="165"/>
        <v>11</v>
      </c>
      <c r="D3658" s="136">
        <f t="shared" si="167"/>
        <v>48</v>
      </c>
      <c r="E3658" s="136">
        <f t="shared" si="166"/>
        <v>30</v>
      </c>
      <c r="F3658" s="137" t="s">
        <v>24</v>
      </c>
      <c r="G3658" s="128" t="str">
        <f>VLOOKUP(source[[#This Row],[lending_product_transform]],[3]Mapping!$B$4:$C$37,2,0)</f>
        <v>[Cake] - Cashloan</v>
      </c>
      <c r="H3658" s="128" t="str">
        <f>VLOOKUP(source[[#This Row],[lending_product_transform]],[3]Mapping!$B$3:$D$37,3,0)</f>
        <v>cashloan</v>
      </c>
      <c r="I3658" s="143">
        <v>5799780000</v>
      </c>
    </row>
    <row r="3659" spans="1:9" x14ac:dyDescent="0.2">
      <c r="A3659" s="134">
        <v>45626</v>
      </c>
      <c r="B3659" s="135">
        <f>YEAR(source[[#This Row],[report_date]])</f>
        <v>2024</v>
      </c>
      <c r="C3659" s="128">
        <f t="shared" si="165"/>
        <v>11</v>
      </c>
      <c r="D3659" s="136">
        <f t="shared" si="167"/>
        <v>48</v>
      </c>
      <c r="E3659" s="136">
        <f t="shared" si="166"/>
        <v>30</v>
      </c>
      <c r="F3659" s="137" t="s">
        <v>24</v>
      </c>
      <c r="G3659" s="128" t="str">
        <f>VLOOKUP(source[[#This Row],[lending_product_transform]],[3]Mapping!$B$4:$C$37,2,0)</f>
        <v>[Cake] - Cashloan</v>
      </c>
      <c r="H3659" s="128" t="str">
        <f>VLOOKUP(source[[#This Row],[lending_product_transform]],[3]Mapping!$B$3:$D$37,3,0)</f>
        <v>cashloan</v>
      </c>
      <c r="I3659" s="143">
        <v>5580500000</v>
      </c>
    </row>
    <row r="3660" spans="1:9" x14ac:dyDescent="0.2">
      <c r="A3660" s="134">
        <v>45626</v>
      </c>
      <c r="B3660" s="135">
        <f>YEAR(source[[#This Row],[report_date]])</f>
        <v>2024</v>
      </c>
      <c r="C3660" s="128">
        <f t="shared" si="165"/>
        <v>11</v>
      </c>
      <c r="D3660" s="136">
        <f t="shared" si="167"/>
        <v>48</v>
      </c>
      <c r="E3660" s="136">
        <f t="shared" si="166"/>
        <v>30</v>
      </c>
      <c r="F3660" s="137" t="s">
        <v>24</v>
      </c>
      <c r="G3660" s="128" t="str">
        <f>VLOOKUP(source[[#This Row],[lending_product_transform]],[3]Mapping!$B$4:$C$37,2,0)</f>
        <v>[Cake] - Cashloan</v>
      </c>
      <c r="H3660" s="128" t="str">
        <f>VLOOKUP(source[[#This Row],[lending_product_transform]],[3]Mapping!$B$3:$D$37,3,0)</f>
        <v>cashloan</v>
      </c>
      <c r="I3660" s="143">
        <v>89338915</v>
      </c>
    </row>
    <row r="3661" spans="1:9" x14ac:dyDescent="0.2">
      <c r="A3661" s="134">
        <v>45626</v>
      </c>
      <c r="B3661" s="135">
        <f>YEAR(source[[#This Row],[report_date]])</f>
        <v>2024</v>
      </c>
      <c r="C3661" s="128">
        <f t="shared" si="165"/>
        <v>11</v>
      </c>
      <c r="D3661" s="136">
        <f t="shared" si="167"/>
        <v>48</v>
      </c>
      <c r="E3661" s="136">
        <f t="shared" si="166"/>
        <v>30</v>
      </c>
      <c r="F3661" s="137" t="s">
        <v>24</v>
      </c>
      <c r="G3661" s="128" t="str">
        <f>VLOOKUP(source[[#This Row],[lending_product_transform]],[3]Mapping!$B$4:$C$37,2,0)</f>
        <v>[Cake] - Cashloan</v>
      </c>
      <c r="H3661" s="128" t="str">
        <f>VLOOKUP(source[[#This Row],[lending_product_transform]],[3]Mapping!$B$3:$D$37,3,0)</f>
        <v>cashloan</v>
      </c>
      <c r="I3661" s="143">
        <v>287079268</v>
      </c>
    </row>
    <row r="3662" spans="1:9" x14ac:dyDescent="0.2">
      <c r="A3662" s="134">
        <v>45626</v>
      </c>
      <c r="B3662" s="135">
        <f>YEAR(source[[#This Row],[report_date]])</f>
        <v>2024</v>
      </c>
      <c r="C3662" s="128">
        <f t="shared" si="165"/>
        <v>11</v>
      </c>
      <c r="D3662" s="136">
        <f t="shared" si="167"/>
        <v>48</v>
      </c>
      <c r="E3662" s="136">
        <f t="shared" si="166"/>
        <v>30</v>
      </c>
      <c r="F3662" s="137" t="s">
        <v>24</v>
      </c>
      <c r="G3662" s="128" t="str">
        <f>VLOOKUP(source[[#This Row],[lending_product_transform]],[3]Mapping!$B$4:$C$37,2,0)</f>
        <v>[Cake] - Cashloan</v>
      </c>
      <c r="H3662" s="128" t="str">
        <f>VLOOKUP(source[[#This Row],[lending_product_transform]],[3]Mapping!$B$3:$D$37,3,0)</f>
        <v>cashloan</v>
      </c>
      <c r="I3662" s="143">
        <v>65075923</v>
      </c>
    </row>
    <row r="3663" spans="1:9" x14ac:dyDescent="0.2">
      <c r="A3663" s="134">
        <v>45627</v>
      </c>
      <c r="B3663" s="135">
        <f>YEAR(source[[#This Row],[report_date]])</f>
        <v>2024</v>
      </c>
      <c r="C3663" s="128">
        <f t="shared" si="165"/>
        <v>12</v>
      </c>
      <c r="D3663" s="136">
        <f t="shared" si="167"/>
        <v>48</v>
      </c>
      <c r="E3663" s="136">
        <f t="shared" si="166"/>
        <v>1</v>
      </c>
      <c r="F3663" s="137" t="s">
        <v>24</v>
      </c>
      <c r="G3663" s="128" t="str">
        <f>VLOOKUP(source[[#This Row],[lending_product_transform]],[3]Mapping!$B$4:$C$37,2,0)</f>
        <v>[Cake] - Cashloan</v>
      </c>
      <c r="H3663" s="128" t="str">
        <f>VLOOKUP(source[[#This Row],[lending_product_transform]],[3]Mapping!$B$3:$D$37,3,0)</f>
        <v>cashloan</v>
      </c>
      <c r="I3663" s="143">
        <v>0</v>
      </c>
    </row>
    <row r="3664" spans="1:9" x14ac:dyDescent="0.2">
      <c r="A3664" s="134">
        <v>45627</v>
      </c>
      <c r="B3664" s="135">
        <f>YEAR(source[[#This Row],[report_date]])</f>
        <v>2024</v>
      </c>
      <c r="C3664" s="128">
        <f t="shared" si="165"/>
        <v>12</v>
      </c>
      <c r="D3664" s="136">
        <f t="shared" si="167"/>
        <v>48</v>
      </c>
      <c r="E3664" s="136">
        <f t="shared" si="166"/>
        <v>1</v>
      </c>
      <c r="F3664" s="137" t="s">
        <v>24</v>
      </c>
      <c r="G3664" s="128" t="str">
        <f>VLOOKUP(source[[#This Row],[lending_product_transform]],[3]Mapping!$B$4:$C$37,2,0)</f>
        <v>[Cake] - Cashloan</v>
      </c>
      <c r="H3664" s="128" t="str">
        <f>VLOOKUP(source[[#This Row],[lending_product_transform]],[3]Mapping!$B$3:$D$37,3,0)</f>
        <v>cashloan</v>
      </c>
      <c r="I3664" s="143">
        <v>13000000</v>
      </c>
    </row>
    <row r="3665" spans="1:9" x14ac:dyDescent="0.2">
      <c r="A3665" s="134">
        <v>45627</v>
      </c>
      <c r="B3665" s="135">
        <f>YEAR(source[[#This Row],[report_date]])</f>
        <v>2024</v>
      </c>
      <c r="C3665" s="128">
        <f t="shared" si="165"/>
        <v>12</v>
      </c>
      <c r="D3665" s="136">
        <f t="shared" si="167"/>
        <v>48</v>
      </c>
      <c r="E3665" s="136">
        <f t="shared" si="166"/>
        <v>1</v>
      </c>
      <c r="F3665" s="137" t="s">
        <v>24</v>
      </c>
      <c r="G3665" s="128" t="str">
        <f>VLOOKUP(source[[#This Row],[lending_product_transform]],[3]Mapping!$B$4:$C$37,2,0)</f>
        <v>[Cake] - Cashloan</v>
      </c>
      <c r="H3665" s="128" t="str">
        <f>VLOOKUP(source[[#This Row],[lending_product_transform]],[3]Mapping!$B$3:$D$37,3,0)</f>
        <v>cashloan</v>
      </c>
      <c r="I3665" s="143">
        <v>305530000</v>
      </c>
    </row>
    <row r="3666" spans="1:9" x14ac:dyDescent="0.2">
      <c r="A3666" s="134">
        <v>45627</v>
      </c>
      <c r="B3666" s="135">
        <f>YEAR(source[[#This Row],[report_date]])</f>
        <v>2024</v>
      </c>
      <c r="C3666" s="128">
        <f t="shared" si="165"/>
        <v>12</v>
      </c>
      <c r="D3666" s="136">
        <f t="shared" si="167"/>
        <v>48</v>
      </c>
      <c r="E3666" s="136">
        <f t="shared" si="166"/>
        <v>1</v>
      </c>
      <c r="F3666" s="137" t="s">
        <v>24</v>
      </c>
      <c r="G3666" s="128" t="str">
        <f>VLOOKUP(source[[#This Row],[lending_product_transform]],[3]Mapping!$B$4:$C$37,2,0)</f>
        <v>[Cake] - Cashloan</v>
      </c>
      <c r="H3666" s="128" t="str">
        <f>VLOOKUP(source[[#This Row],[lending_product_transform]],[3]Mapping!$B$3:$D$37,3,0)</f>
        <v>cashloan</v>
      </c>
      <c r="I3666" s="143">
        <v>89222440</v>
      </c>
    </row>
    <row r="3667" spans="1:9" x14ac:dyDescent="0.2">
      <c r="A3667" s="134">
        <v>45627</v>
      </c>
      <c r="B3667" s="135">
        <f>YEAR(source[[#This Row],[report_date]])</f>
        <v>2024</v>
      </c>
      <c r="C3667" s="128">
        <f t="shared" si="165"/>
        <v>12</v>
      </c>
      <c r="D3667" s="136">
        <f t="shared" si="167"/>
        <v>48</v>
      </c>
      <c r="E3667" s="136">
        <f t="shared" si="166"/>
        <v>1</v>
      </c>
      <c r="F3667" s="137" t="s">
        <v>24</v>
      </c>
      <c r="G3667" s="128" t="str">
        <f>VLOOKUP(source[[#This Row],[lending_product_transform]],[3]Mapping!$B$4:$C$37,2,0)</f>
        <v>[Cake] - Cashloan</v>
      </c>
      <c r="H3667" s="128" t="str">
        <f>VLOOKUP(source[[#This Row],[lending_product_transform]],[3]Mapping!$B$3:$D$37,3,0)</f>
        <v>cashloan</v>
      </c>
      <c r="I3667" s="143">
        <v>397400440</v>
      </c>
    </row>
    <row r="3668" spans="1:9" x14ac:dyDescent="0.2">
      <c r="A3668" s="134">
        <v>45627</v>
      </c>
      <c r="B3668" s="135">
        <f>YEAR(source[[#This Row],[report_date]])</f>
        <v>2024</v>
      </c>
      <c r="C3668" s="128">
        <f t="shared" si="165"/>
        <v>12</v>
      </c>
      <c r="D3668" s="136">
        <f t="shared" si="167"/>
        <v>48</v>
      </c>
      <c r="E3668" s="136">
        <f t="shared" si="166"/>
        <v>1</v>
      </c>
      <c r="F3668" s="137" t="s">
        <v>24</v>
      </c>
      <c r="G3668" s="128" t="str">
        <f>VLOOKUP(source[[#This Row],[lending_product_transform]],[3]Mapping!$B$4:$C$37,2,0)</f>
        <v>[Cake] - Cashloan</v>
      </c>
      <c r="H3668" s="128" t="str">
        <f>VLOOKUP(source[[#This Row],[lending_product_transform]],[3]Mapping!$B$3:$D$37,3,0)</f>
        <v>cashloan</v>
      </c>
      <c r="I3668" s="143">
        <v>5005690000</v>
      </c>
    </row>
    <row r="3669" spans="1:9" x14ac:dyDescent="0.2">
      <c r="A3669" s="134">
        <v>45627</v>
      </c>
      <c r="B3669" s="135">
        <f>YEAR(source[[#This Row],[report_date]])</f>
        <v>2024</v>
      </c>
      <c r="C3669" s="128">
        <f t="shared" si="165"/>
        <v>12</v>
      </c>
      <c r="D3669" s="136">
        <f t="shared" si="167"/>
        <v>48</v>
      </c>
      <c r="E3669" s="136">
        <f t="shared" si="166"/>
        <v>1</v>
      </c>
      <c r="F3669" s="137" t="s">
        <v>24</v>
      </c>
      <c r="G3669" s="128" t="str">
        <f>VLOOKUP(source[[#This Row],[lending_product_transform]],[3]Mapping!$B$4:$C$37,2,0)</f>
        <v>[Cake] - Cashloan</v>
      </c>
      <c r="H3669" s="128" t="str">
        <f>VLOOKUP(source[[#This Row],[lending_product_transform]],[3]Mapping!$B$3:$D$37,3,0)</f>
        <v>cashloan</v>
      </c>
      <c r="I3669" s="143">
        <v>50400000</v>
      </c>
    </row>
    <row r="3670" spans="1:9" x14ac:dyDescent="0.2">
      <c r="A3670" s="134">
        <v>45627</v>
      </c>
      <c r="B3670" s="135">
        <f>YEAR(source[[#This Row],[report_date]])</f>
        <v>2024</v>
      </c>
      <c r="C3670" s="128">
        <f t="shared" si="165"/>
        <v>12</v>
      </c>
      <c r="D3670" s="136">
        <f t="shared" si="167"/>
        <v>48</v>
      </c>
      <c r="E3670" s="136">
        <f t="shared" si="166"/>
        <v>1</v>
      </c>
      <c r="F3670" s="137" t="s">
        <v>24</v>
      </c>
      <c r="G3670" s="128" t="str">
        <f>VLOOKUP(source[[#This Row],[lending_product_transform]],[3]Mapping!$B$4:$C$37,2,0)</f>
        <v>[Cake] - Cashloan</v>
      </c>
      <c r="H3670" s="128" t="str">
        <f>VLOOKUP(source[[#This Row],[lending_product_transform]],[3]Mapping!$B$3:$D$37,3,0)</f>
        <v>cashloan</v>
      </c>
      <c r="I3670" s="143">
        <v>0</v>
      </c>
    </row>
    <row r="3671" spans="1:9" x14ac:dyDescent="0.2">
      <c r="A3671" s="134">
        <v>45627</v>
      </c>
      <c r="B3671" s="135">
        <f>YEAR(source[[#This Row],[report_date]])</f>
        <v>2024</v>
      </c>
      <c r="C3671" s="128">
        <f t="shared" si="165"/>
        <v>12</v>
      </c>
      <c r="D3671" s="136">
        <f t="shared" si="167"/>
        <v>48</v>
      </c>
      <c r="E3671" s="136">
        <f t="shared" si="166"/>
        <v>1</v>
      </c>
      <c r="F3671" s="137" t="s">
        <v>24</v>
      </c>
      <c r="G3671" s="128" t="str">
        <f>VLOOKUP(source[[#This Row],[lending_product_transform]],[3]Mapping!$B$4:$C$37,2,0)</f>
        <v>[Cake] - Cashloan</v>
      </c>
      <c r="H3671" s="128" t="str">
        <f>VLOOKUP(source[[#This Row],[lending_product_transform]],[3]Mapping!$B$3:$D$37,3,0)</f>
        <v>cashloan</v>
      </c>
      <c r="I3671" s="143">
        <v>3635855</v>
      </c>
    </row>
    <row r="3672" spans="1:9" x14ac:dyDescent="0.2">
      <c r="A3672" s="134">
        <v>45627</v>
      </c>
      <c r="B3672" s="135">
        <f>YEAR(source[[#This Row],[report_date]])</f>
        <v>2024</v>
      </c>
      <c r="C3672" s="128">
        <f t="shared" si="165"/>
        <v>12</v>
      </c>
      <c r="D3672" s="136">
        <f t="shared" si="167"/>
        <v>48</v>
      </c>
      <c r="E3672" s="136">
        <f t="shared" si="166"/>
        <v>1</v>
      </c>
      <c r="F3672" s="137" t="s">
        <v>24</v>
      </c>
      <c r="G3672" s="128" t="str">
        <f>VLOOKUP(source[[#This Row],[lending_product_transform]],[3]Mapping!$B$4:$C$37,2,0)</f>
        <v>[Cake] - Cashloan</v>
      </c>
      <c r="H3672" s="128" t="str">
        <f>VLOOKUP(source[[#This Row],[lending_product_transform]],[3]Mapping!$B$3:$D$37,3,0)</f>
        <v>cashloan</v>
      </c>
      <c r="I3672" s="143">
        <v>4352440000</v>
      </c>
    </row>
    <row r="3673" spans="1:9" x14ac:dyDescent="0.2">
      <c r="A3673" s="134">
        <v>45627</v>
      </c>
      <c r="B3673" s="135">
        <f>YEAR(source[[#This Row],[report_date]])</f>
        <v>2024</v>
      </c>
      <c r="C3673" s="128">
        <f t="shared" si="165"/>
        <v>12</v>
      </c>
      <c r="D3673" s="136">
        <f t="shared" si="167"/>
        <v>48</v>
      </c>
      <c r="E3673" s="136">
        <f t="shared" si="166"/>
        <v>1</v>
      </c>
      <c r="F3673" s="137" t="s">
        <v>24</v>
      </c>
      <c r="G3673" s="128" t="str">
        <f>VLOOKUP(source[[#This Row],[lending_product_transform]],[3]Mapping!$B$4:$C$37,2,0)</f>
        <v>[Cake] - Cashloan</v>
      </c>
      <c r="H3673" s="128" t="str">
        <f>VLOOKUP(source[[#This Row],[lending_product_transform]],[3]Mapping!$B$3:$D$37,3,0)</f>
        <v>cashloan</v>
      </c>
      <c r="I3673" s="143">
        <v>0</v>
      </c>
    </row>
    <row r="3674" spans="1:9" x14ac:dyDescent="0.2">
      <c r="A3674" s="134">
        <v>45627</v>
      </c>
      <c r="B3674" s="135">
        <f>YEAR(source[[#This Row],[report_date]])</f>
        <v>2024</v>
      </c>
      <c r="C3674" s="128">
        <f t="shared" si="165"/>
        <v>12</v>
      </c>
      <c r="D3674" s="136">
        <f t="shared" si="167"/>
        <v>48</v>
      </c>
      <c r="E3674" s="136">
        <f t="shared" si="166"/>
        <v>1</v>
      </c>
      <c r="F3674" s="137" t="s">
        <v>24</v>
      </c>
      <c r="G3674" s="128" t="str">
        <f>VLOOKUP(source[[#This Row],[lending_product_transform]],[3]Mapping!$B$4:$C$37,2,0)</f>
        <v>[Cake] - Cashloan</v>
      </c>
      <c r="H3674" s="128" t="str">
        <f>VLOOKUP(source[[#This Row],[lending_product_transform]],[3]Mapping!$B$3:$D$37,3,0)</f>
        <v>cashloan</v>
      </c>
      <c r="I3674" s="143">
        <v>125190000</v>
      </c>
    </row>
    <row r="3675" spans="1:9" x14ac:dyDescent="0.2">
      <c r="A3675" s="134">
        <v>45627</v>
      </c>
      <c r="B3675" s="135">
        <f>YEAR(source[[#This Row],[report_date]])</f>
        <v>2024</v>
      </c>
      <c r="C3675" s="128">
        <f t="shared" si="165"/>
        <v>12</v>
      </c>
      <c r="D3675" s="136">
        <f t="shared" si="167"/>
        <v>48</v>
      </c>
      <c r="E3675" s="136">
        <f t="shared" si="166"/>
        <v>1</v>
      </c>
      <c r="F3675" s="137" t="s">
        <v>24</v>
      </c>
      <c r="G3675" s="128" t="str">
        <f>VLOOKUP(source[[#This Row],[lending_product_transform]],[3]Mapping!$B$4:$C$37,2,0)</f>
        <v>[Cake] - Cashloan</v>
      </c>
      <c r="H3675" s="128" t="str">
        <f>VLOOKUP(source[[#This Row],[lending_product_transform]],[3]Mapping!$B$3:$D$37,3,0)</f>
        <v>cashloan</v>
      </c>
      <c r="I3675" s="143">
        <v>0</v>
      </c>
    </row>
    <row r="3676" spans="1:9" x14ac:dyDescent="0.2">
      <c r="A3676" s="134">
        <v>45627</v>
      </c>
      <c r="B3676" s="135">
        <f>YEAR(source[[#This Row],[report_date]])</f>
        <v>2024</v>
      </c>
      <c r="C3676" s="128">
        <f t="shared" si="165"/>
        <v>12</v>
      </c>
      <c r="D3676" s="136">
        <f t="shared" si="167"/>
        <v>48</v>
      </c>
      <c r="E3676" s="136">
        <f t="shared" si="166"/>
        <v>1</v>
      </c>
      <c r="F3676" s="137" t="s">
        <v>24</v>
      </c>
      <c r="G3676" s="128" t="str">
        <f>VLOOKUP(source[[#This Row],[lending_product_transform]],[3]Mapping!$B$4:$C$37,2,0)</f>
        <v>[Cake] - Cashloan</v>
      </c>
      <c r="H3676" s="128" t="str">
        <f>VLOOKUP(source[[#This Row],[lending_product_transform]],[3]Mapping!$B$3:$D$37,3,0)</f>
        <v>cashloan</v>
      </c>
      <c r="I3676" s="143">
        <v>109570028</v>
      </c>
    </row>
    <row r="3677" spans="1:9" x14ac:dyDescent="0.2">
      <c r="A3677" s="134">
        <v>45627</v>
      </c>
      <c r="B3677" s="135">
        <f>YEAR(source[[#This Row],[report_date]])</f>
        <v>2024</v>
      </c>
      <c r="C3677" s="128">
        <f t="shared" si="165"/>
        <v>12</v>
      </c>
      <c r="D3677" s="136">
        <f t="shared" si="167"/>
        <v>48</v>
      </c>
      <c r="E3677" s="136">
        <f t="shared" si="166"/>
        <v>1</v>
      </c>
      <c r="F3677" s="137" t="s">
        <v>24</v>
      </c>
      <c r="G3677" s="128" t="str">
        <f>VLOOKUP(source[[#This Row],[lending_product_transform]],[3]Mapping!$B$4:$C$37,2,0)</f>
        <v>[Cake] - Cashloan</v>
      </c>
      <c r="H3677" s="128" t="str">
        <f>VLOOKUP(source[[#This Row],[lending_product_transform]],[3]Mapping!$B$3:$D$37,3,0)</f>
        <v>cashloan</v>
      </c>
      <c r="I3677" s="143">
        <v>10700000</v>
      </c>
    </row>
    <row r="3678" spans="1:9" x14ac:dyDescent="0.2">
      <c r="A3678" s="134">
        <v>45627</v>
      </c>
      <c r="B3678" s="135">
        <f>YEAR(source[[#This Row],[report_date]])</f>
        <v>2024</v>
      </c>
      <c r="C3678" s="128">
        <f t="shared" si="165"/>
        <v>12</v>
      </c>
      <c r="D3678" s="136">
        <f t="shared" si="167"/>
        <v>48</v>
      </c>
      <c r="E3678" s="136">
        <f t="shared" si="166"/>
        <v>1</v>
      </c>
      <c r="F3678" s="137" t="s">
        <v>24</v>
      </c>
      <c r="G3678" s="128" t="str">
        <f>VLOOKUP(source[[#This Row],[lending_product_transform]],[3]Mapping!$B$4:$C$37,2,0)</f>
        <v>[Cake] - Cashloan</v>
      </c>
      <c r="H3678" s="128" t="str">
        <f>VLOOKUP(source[[#This Row],[lending_product_transform]],[3]Mapping!$B$3:$D$37,3,0)</f>
        <v>cashloan</v>
      </c>
      <c r="I3678" s="143">
        <v>5474000000</v>
      </c>
    </row>
    <row r="3679" spans="1:9" x14ac:dyDescent="0.2">
      <c r="A3679" s="134">
        <v>45627</v>
      </c>
      <c r="B3679" s="135">
        <f>YEAR(source[[#This Row],[report_date]])</f>
        <v>2024</v>
      </c>
      <c r="C3679" s="128">
        <f t="shared" si="165"/>
        <v>12</v>
      </c>
      <c r="D3679" s="136">
        <f t="shared" si="167"/>
        <v>48</v>
      </c>
      <c r="E3679" s="136">
        <f t="shared" si="166"/>
        <v>1</v>
      </c>
      <c r="F3679" s="137" t="s">
        <v>24</v>
      </c>
      <c r="G3679" s="128" t="str">
        <f>VLOOKUP(source[[#This Row],[lending_product_transform]],[3]Mapping!$B$4:$C$37,2,0)</f>
        <v>[Cake] - Cashloan</v>
      </c>
      <c r="H3679" s="128" t="str">
        <f>VLOOKUP(source[[#This Row],[lending_product_transform]],[3]Mapping!$B$3:$D$37,3,0)</f>
        <v>cashloan</v>
      </c>
      <c r="I3679" s="143">
        <v>4943460703</v>
      </c>
    </row>
    <row r="3680" spans="1:9" x14ac:dyDescent="0.2">
      <c r="A3680" s="134">
        <v>45628</v>
      </c>
      <c r="B3680" s="135">
        <f>YEAR(source[[#This Row],[report_date]])</f>
        <v>2024</v>
      </c>
      <c r="C3680" s="128">
        <f t="shared" si="165"/>
        <v>12</v>
      </c>
      <c r="D3680" s="136">
        <f t="shared" si="167"/>
        <v>49</v>
      </c>
      <c r="E3680" s="136">
        <f t="shared" si="166"/>
        <v>2</v>
      </c>
      <c r="F3680" s="128" t="s">
        <v>24</v>
      </c>
      <c r="G3680" s="128" t="str">
        <f>VLOOKUP(source[[#This Row],[lending_product_transform]],[3]Mapping!$B$4:$C$37,2,0)</f>
        <v>[Cake] - Cashloan</v>
      </c>
      <c r="H3680" s="128" t="str">
        <f>VLOOKUP(source[[#This Row],[lending_product_transform]],[3]Mapping!$B$3:$D$37,3,0)</f>
        <v>cashloan</v>
      </c>
      <c r="I3680" s="135">
        <v>6799890000</v>
      </c>
    </row>
    <row r="3681" spans="1:9" x14ac:dyDescent="0.2">
      <c r="A3681" s="134">
        <v>45628</v>
      </c>
      <c r="B3681" s="135">
        <f>YEAR(source[[#This Row],[report_date]])</f>
        <v>2024</v>
      </c>
      <c r="C3681" s="128">
        <f t="shared" si="165"/>
        <v>12</v>
      </c>
      <c r="D3681" s="136">
        <f t="shared" si="167"/>
        <v>49</v>
      </c>
      <c r="E3681" s="136">
        <f t="shared" si="166"/>
        <v>2</v>
      </c>
      <c r="F3681" s="128" t="s">
        <v>24</v>
      </c>
      <c r="G3681" s="128" t="str">
        <f>VLOOKUP(source[[#This Row],[lending_product_transform]],[3]Mapping!$B$4:$C$37,2,0)</f>
        <v>[Cake] - Cashloan</v>
      </c>
      <c r="H3681" s="128" t="str">
        <f>VLOOKUP(source[[#This Row],[lending_product_transform]],[3]Mapping!$B$3:$D$37,3,0)</f>
        <v>cashloan</v>
      </c>
      <c r="I3681" s="135">
        <v>92829401</v>
      </c>
    </row>
    <row r="3682" spans="1:9" x14ac:dyDescent="0.2">
      <c r="A3682" s="134">
        <v>45628</v>
      </c>
      <c r="B3682" s="135">
        <f>YEAR(source[[#This Row],[report_date]])</f>
        <v>2024</v>
      </c>
      <c r="C3682" s="128">
        <f t="shared" si="165"/>
        <v>12</v>
      </c>
      <c r="D3682" s="136">
        <f t="shared" si="167"/>
        <v>49</v>
      </c>
      <c r="E3682" s="136">
        <f t="shared" si="166"/>
        <v>2</v>
      </c>
      <c r="F3682" s="128" t="s">
        <v>24</v>
      </c>
      <c r="G3682" s="128" t="str">
        <f>VLOOKUP(source[[#This Row],[lending_product_transform]],[3]Mapping!$B$4:$C$37,2,0)</f>
        <v>[Cake] - Cashloan</v>
      </c>
      <c r="H3682" s="128" t="str">
        <f>VLOOKUP(source[[#This Row],[lending_product_transform]],[3]Mapping!$B$3:$D$37,3,0)</f>
        <v>cashloan</v>
      </c>
      <c r="I3682" s="135">
        <v>118707946</v>
      </c>
    </row>
    <row r="3683" spans="1:9" x14ac:dyDescent="0.2">
      <c r="A3683" s="134">
        <v>45628</v>
      </c>
      <c r="B3683" s="135">
        <f>YEAR(source[[#This Row],[report_date]])</f>
        <v>2024</v>
      </c>
      <c r="C3683" s="128">
        <f t="shared" si="165"/>
        <v>12</v>
      </c>
      <c r="D3683" s="136">
        <f t="shared" si="167"/>
        <v>49</v>
      </c>
      <c r="E3683" s="136">
        <f t="shared" si="166"/>
        <v>2</v>
      </c>
      <c r="F3683" s="128" t="s">
        <v>24</v>
      </c>
      <c r="G3683" s="128" t="str">
        <f>VLOOKUP(source[[#This Row],[lending_product_transform]],[3]Mapping!$B$4:$C$37,2,0)</f>
        <v>[Cake] - Cashloan</v>
      </c>
      <c r="H3683" s="128" t="str">
        <f>VLOOKUP(source[[#This Row],[lending_product_transform]],[3]Mapping!$B$3:$D$37,3,0)</f>
        <v>cashloan</v>
      </c>
      <c r="I3683" s="135">
        <v>96600000</v>
      </c>
    </row>
    <row r="3684" spans="1:9" x14ac:dyDescent="0.2">
      <c r="A3684" s="134">
        <v>45628</v>
      </c>
      <c r="B3684" s="135">
        <f>YEAR(source[[#This Row],[report_date]])</f>
        <v>2024</v>
      </c>
      <c r="C3684" s="128">
        <f t="shared" si="165"/>
        <v>12</v>
      </c>
      <c r="D3684" s="136">
        <f t="shared" si="167"/>
        <v>49</v>
      </c>
      <c r="E3684" s="136">
        <f t="shared" si="166"/>
        <v>2</v>
      </c>
      <c r="F3684" s="128" t="s">
        <v>24</v>
      </c>
      <c r="G3684" s="128" t="str">
        <f>VLOOKUP(source[[#This Row],[lending_product_transform]],[3]Mapping!$B$4:$C$37,2,0)</f>
        <v>[Cake] - Cashloan</v>
      </c>
      <c r="H3684" s="128" t="str">
        <f>VLOOKUP(source[[#This Row],[lending_product_transform]],[3]Mapping!$B$3:$D$37,3,0)</f>
        <v>cashloan</v>
      </c>
      <c r="I3684" s="135">
        <v>30700000</v>
      </c>
    </row>
    <row r="3685" spans="1:9" x14ac:dyDescent="0.2">
      <c r="A3685" s="134">
        <v>45628</v>
      </c>
      <c r="B3685" s="135">
        <f>YEAR(source[[#This Row],[report_date]])</f>
        <v>2024</v>
      </c>
      <c r="C3685" s="128">
        <f t="shared" si="165"/>
        <v>12</v>
      </c>
      <c r="D3685" s="136">
        <f t="shared" si="167"/>
        <v>49</v>
      </c>
      <c r="E3685" s="136">
        <f t="shared" si="166"/>
        <v>2</v>
      </c>
      <c r="F3685" s="128" t="s">
        <v>24</v>
      </c>
      <c r="G3685" s="128" t="str">
        <f>VLOOKUP(source[[#This Row],[lending_product_transform]],[3]Mapping!$B$4:$C$37,2,0)</f>
        <v>[Cake] - Cashloan</v>
      </c>
      <c r="H3685" s="128" t="str">
        <f>VLOOKUP(source[[#This Row],[lending_product_transform]],[3]Mapping!$B$3:$D$37,3,0)</f>
        <v>cashloan</v>
      </c>
      <c r="I3685" s="135">
        <v>7688808</v>
      </c>
    </row>
    <row r="3686" spans="1:9" x14ac:dyDescent="0.2">
      <c r="A3686" s="134">
        <v>45628</v>
      </c>
      <c r="B3686" s="135">
        <f>YEAR(source[[#This Row],[report_date]])</f>
        <v>2024</v>
      </c>
      <c r="C3686" s="128">
        <f t="shared" si="165"/>
        <v>12</v>
      </c>
      <c r="D3686" s="136">
        <f t="shared" si="167"/>
        <v>49</v>
      </c>
      <c r="E3686" s="136">
        <f t="shared" si="166"/>
        <v>2</v>
      </c>
      <c r="F3686" s="128" t="s">
        <v>24</v>
      </c>
      <c r="G3686" s="128" t="str">
        <f>VLOOKUP(source[[#This Row],[lending_product_transform]],[3]Mapping!$B$4:$C$37,2,0)</f>
        <v>[Cake] - Cashloan</v>
      </c>
      <c r="H3686" s="128" t="str">
        <f>VLOOKUP(source[[#This Row],[lending_product_transform]],[3]Mapping!$B$3:$D$37,3,0)</f>
        <v>cashloan</v>
      </c>
      <c r="I3686" s="135">
        <v>0</v>
      </c>
    </row>
    <row r="3687" spans="1:9" x14ac:dyDescent="0.2">
      <c r="A3687" s="134">
        <v>45628</v>
      </c>
      <c r="B3687" s="135">
        <f>YEAR(source[[#This Row],[report_date]])</f>
        <v>2024</v>
      </c>
      <c r="C3687" s="128">
        <f t="shared" si="165"/>
        <v>12</v>
      </c>
      <c r="D3687" s="136">
        <f t="shared" si="167"/>
        <v>49</v>
      </c>
      <c r="E3687" s="136">
        <f t="shared" si="166"/>
        <v>2</v>
      </c>
      <c r="F3687" s="128" t="s">
        <v>24</v>
      </c>
      <c r="G3687" s="128" t="str">
        <f>VLOOKUP(source[[#This Row],[lending_product_transform]],[3]Mapping!$B$4:$C$37,2,0)</f>
        <v>[Cake] - Cashloan</v>
      </c>
      <c r="H3687" s="128" t="str">
        <f>VLOOKUP(source[[#This Row],[lending_product_transform]],[3]Mapping!$B$3:$D$37,3,0)</f>
        <v>cashloan</v>
      </c>
      <c r="I3687" s="135">
        <v>5565500000</v>
      </c>
    </row>
    <row r="3688" spans="1:9" x14ac:dyDescent="0.2">
      <c r="A3688" s="134">
        <v>45628</v>
      </c>
      <c r="B3688" s="135">
        <f>YEAR(source[[#This Row],[report_date]])</f>
        <v>2024</v>
      </c>
      <c r="C3688" s="128">
        <f t="shared" si="165"/>
        <v>12</v>
      </c>
      <c r="D3688" s="136">
        <f t="shared" si="167"/>
        <v>49</v>
      </c>
      <c r="E3688" s="136">
        <f t="shared" si="166"/>
        <v>2</v>
      </c>
      <c r="F3688" s="128" t="s">
        <v>24</v>
      </c>
      <c r="G3688" s="128" t="str">
        <f>VLOOKUP(source[[#This Row],[lending_product_transform]],[3]Mapping!$B$4:$C$37,2,0)</f>
        <v>[Cake] - Cashloan</v>
      </c>
      <c r="H3688" s="128" t="str">
        <f>VLOOKUP(source[[#This Row],[lending_product_transform]],[3]Mapping!$B$3:$D$37,3,0)</f>
        <v>cashloan</v>
      </c>
      <c r="I3688" s="135">
        <v>84000000</v>
      </c>
    </row>
    <row r="3689" spans="1:9" x14ac:dyDescent="0.2">
      <c r="A3689" s="134">
        <v>45628</v>
      </c>
      <c r="B3689" s="135">
        <f>YEAR(source[[#This Row],[report_date]])</f>
        <v>2024</v>
      </c>
      <c r="C3689" s="128">
        <f t="shared" si="165"/>
        <v>12</v>
      </c>
      <c r="D3689" s="136">
        <f t="shared" si="167"/>
        <v>49</v>
      </c>
      <c r="E3689" s="136">
        <f t="shared" si="166"/>
        <v>2</v>
      </c>
      <c r="F3689" s="128" t="s">
        <v>24</v>
      </c>
      <c r="G3689" s="128" t="str">
        <f>VLOOKUP(source[[#This Row],[lending_product_transform]],[3]Mapping!$B$4:$C$37,2,0)</f>
        <v>[Cake] - Cashloan</v>
      </c>
      <c r="H3689" s="128" t="str">
        <f>VLOOKUP(source[[#This Row],[lending_product_transform]],[3]Mapping!$B$3:$D$37,3,0)</f>
        <v>cashloan</v>
      </c>
      <c r="I3689" s="135">
        <v>329090000</v>
      </c>
    </row>
    <row r="3690" spans="1:9" x14ac:dyDescent="0.2">
      <c r="A3690" s="134">
        <v>45628</v>
      </c>
      <c r="B3690" s="135">
        <f>YEAR(source[[#This Row],[report_date]])</f>
        <v>2024</v>
      </c>
      <c r="C3690" s="128">
        <f t="shared" si="165"/>
        <v>12</v>
      </c>
      <c r="D3690" s="136">
        <f t="shared" si="167"/>
        <v>49</v>
      </c>
      <c r="E3690" s="136">
        <f t="shared" si="166"/>
        <v>2</v>
      </c>
      <c r="F3690" s="128" t="s">
        <v>24</v>
      </c>
      <c r="G3690" s="128" t="str">
        <f>VLOOKUP(source[[#This Row],[lending_product_transform]],[3]Mapping!$B$4:$C$37,2,0)</f>
        <v>[Cake] - Cashloan</v>
      </c>
      <c r="H3690" s="128" t="str">
        <f>VLOOKUP(source[[#This Row],[lending_product_transform]],[3]Mapping!$B$3:$D$37,3,0)</f>
        <v>cashloan</v>
      </c>
      <c r="I3690" s="135">
        <v>389762230</v>
      </c>
    </row>
    <row r="3691" spans="1:9" x14ac:dyDescent="0.2">
      <c r="A3691" s="134">
        <v>45628</v>
      </c>
      <c r="B3691" s="135">
        <f>YEAR(source[[#This Row],[report_date]])</f>
        <v>2024</v>
      </c>
      <c r="C3691" s="128">
        <f t="shared" si="165"/>
        <v>12</v>
      </c>
      <c r="D3691" s="136">
        <f t="shared" si="167"/>
        <v>49</v>
      </c>
      <c r="E3691" s="136">
        <f t="shared" si="166"/>
        <v>2</v>
      </c>
      <c r="F3691" s="128" t="s">
        <v>24</v>
      </c>
      <c r="G3691" s="128" t="str">
        <f>VLOOKUP(source[[#This Row],[lending_product_transform]],[3]Mapping!$B$4:$C$37,2,0)</f>
        <v>[Cake] - Cashloan</v>
      </c>
      <c r="H3691" s="128" t="str">
        <f>VLOOKUP(source[[#This Row],[lending_product_transform]],[3]Mapping!$B$3:$D$37,3,0)</f>
        <v>cashloan</v>
      </c>
      <c r="I3691" s="135">
        <v>91000000</v>
      </c>
    </row>
    <row r="3692" spans="1:9" x14ac:dyDescent="0.2">
      <c r="A3692" s="134">
        <v>45628</v>
      </c>
      <c r="B3692" s="135">
        <f>YEAR(source[[#This Row],[report_date]])</f>
        <v>2024</v>
      </c>
      <c r="C3692" s="128">
        <f t="shared" si="165"/>
        <v>12</v>
      </c>
      <c r="D3692" s="136">
        <f t="shared" si="167"/>
        <v>49</v>
      </c>
      <c r="E3692" s="136">
        <f t="shared" si="166"/>
        <v>2</v>
      </c>
      <c r="F3692" s="128" t="s">
        <v>24</v>
      </c>
      <c r="G3692" s="128" t="str">
        <f>VLOOKUP(source[[#This Row],[lending_product_transform]],[3]Mapping!$B$4:$C$37,2,0)</f>
        <v>[Cake] - Cashloan</v>
      </c>
      <c r="H3692" s="128" t="str">
        <f>VLOOKUP(source[[#This Row],[lending_product_transform]],[3]Mapping!$B$3:$D$37,3,0)</f>
        <v>cashloan</v>
      </c>
      <c r="I3692" s="135">
        <v>21400000</v>
      </c>
    </row>
    <row r="3693" spans="1:9" x14ac:dyDescent="0.2">
      <c r="A3693" s="134">
        <v>45628</v>
      </c>
      <c r="B3693" s="135">
        <f>YEAR(source[[#This Row],[report_date]])</f>
        <v>2024</v>
      </c>
      <c r="C3693" s="128">
        <f t="shared" si="165"/>
        <v>12</v>
      </c>
      <c r="D3693" s="136">
        <f t="shared" si="167"/>
        <v>49</v>
      </c>
      <c r="E3693" s="136">
        <f t="shared" si="166"/>
        <v>2</v>
      </c>
      <c r="F3693" s="128" t="s">
        <v>24</v>
      </c>
      <c r="G3693" s="128" t="str">
        <f>VLOOKUP(source[[#This Row],[lending_product_transform]],[3]Mapping!$B$4:$C$37,2,0)</f>
        <v>[Cake] - Cashloan</v>
      </c>
      <c r="H3693" s="128" t="str">
        <f>VLOOKUP(source[[#This Row],[lending_product_transform]],[3]Mapping!$B$3:$D$37,3,0)</f>
        <v>cashloan</v>
      </c>
      <c r="I3693" s="135">
        <v>56010000</v>
      </c>
    </row>
    <row r="3694" spans="1:9" x14ac:dyDescent="0.2">
      <c r="A3694" s="134">
        <v>45628</v>
      </c>
      <c r="B3694" s="135">
        <f>YEAR(source[[#This Row],[report_date]])</f>
        <v>2024</v>
      </c>
      <c r="C3694" s="128">
        <f t="shared" si="165"/>
        <v>12</v>
      </c>
      <c r="D3694" s="136">
        <f t="shared" si="167"/>
        <v>49</v>
      </c>
      <c r="E3694" s="136">
        <f t="shared" si="166"/>
        <v>2</v>
      </c>
      <c r="F3694" s="128" t="s">
        <v>24</v>
      </c>
      <c r="G3694" s="128" t="str">
        <f>VLOOKUP(source[[#This Row],[lending_product_transform]],[3]Mapping!$B$4:$C$37,2,0)</f>
        <v>[Cake] - Cashloan</v>
      </c>
      <c r="H3694" s="128" t="str">
        <f>VLOOKUP(source[[#This Row],[lending_product_transform]],[3]Mapping!$B$3:$D$37,3,0)</f>
        <v>cashloan</v>
      </c>
      <c r="I3694" s="135">
        <v>0</v>
      </c>
    </row>
    <row r="3695" spans="1:9" x14ac:dyDescent="0.2">
      <c r="A3695" s="134">
        <v>45628</v>
      </c>
      <c r="B3695" s="135">
        <f>YEAR(source[[#This Row],[report_date]])</f>
        <v>2024</v>
      </c>
      <c r="C3695" s="128">
        <f t="shared" si="165"/>
        <v>12</v>
      </c>
      <c r="D3695" s="136">
        <f t="shared" si="167"/>
        <v>49</v>
      </c>
      <c r="E3695" s="136">
        <f t="shared" si="166"/>
        <v>2</v>
      </c>
      <c r="F3695" s="128" t="s">
        <v>24</v>
      </c>
      <c r="G3695" s="128" t="str">
        <f>VLOOKUP(source[[#This Row],[lending_product_transform]],[3]Mapping!$B$4:$C$37,2,0)</f>
        <v>[Cake] - Cashloan</v>
      </c>
      <c r="H3695" s="128" t="str">
        <f>VLOOKUP(source[[#This Row],[lending_product_transform]],[3]Mapping!$B$3:$D$37,3,0)</f>
        <v>cashloan</v>
      </c>
      <c r="I3695" s="135">
        <v>5011230000</v>
      </c>
    </row>
    <row r="3696" spans="1:9" x14ac:dyDescent="0.2">
      <c r="A3696" s="134">
        <v>45628</v>
      </c>
      <c r="B3696" s="135">
        <f>YEAR(source[[#This Row],[report_date]])</f>
        <v>2024</v>
      </c>
      <c r="C3696" s="128">
        <f t="shared" si="165"/>
        <v>12</v>
      </c>
      <c r="D3696" s="136">
        <f t="shared" si="167"/>
        <v>49</v>
      </c>
      <c r="E3696" s="136">
        <f t="shared" si="166"/>
        <v>2</v>
      </c>
      <c r="F3696" s="128" t="s">
        <v>24</v>
      </c>
      <c r="G3696" s="128" t="str">
        <f>VLOOKUP(source[[#This Row],[lending_product_transform]],[3]Mapping!$B$4:$C$37,2,0)</f>
        <v>[Cake] - Cashloan</v>
      </c>
      <c r="H3696" s="128" t="str">
        <f>VLOOKUP(source[[#This Row],[lending_product_transform]],[3]Mapping!$B$3:$D$37,3,0)</f>
        <v>cashloan</v>
      </c>
      <c r="I3696" s="135">
        <v>5017667162</v>
      </c>
    </row>
    <row r="3697" spans="1:9" x14ac:dyDescent="0.2">
      <c r="A3697" s="134">
        <v>45629</v>
      </c>
      <c r="B3697" s="135">
        <f>YEAR(source[[#This Row],[report_date]])</f>
        <v>2024</v>
      </c>
      <c r="C3697" s="128">
        <f t="shared" si="165"/>
        <v>12</v>
      </c>
      <c r="D3697" s="136">
        <f t="shared" si="167"/>
        <v>49</v>
      </c>
      <c r="E3697" s="136">
        <f t="shared" si="166"/>
        <v>3</v>
      </c>
      <c r="F3697" s="128" t="s">
        <v>24</v>
      </c>
      <c r="G3697" s="128" t="str">
        <f>VLOOKUP(source[[#This Row],[lending_product_transform]],[3]Mapping!$B$4:$C$37,2,0)</f>
        <v>[Cake] - Cashloan</v>
      </c>
      <c r="H3697" s="128" t="str">
        <f>VLOOKUP(source[[#This Row],[lending_product_transform]],[3]Mapping!$B$3:$D$37,3,0)</f>
        <v>cashloan</v>
      </c>
      <c r="I3697" s="135">
        <v>52000000</v>
      </c>
    </row>
    <row r="3698" spans="1:9" x14ac:dyDescent="0.2">
      <c r="A3698" s="134">
        <v>45629</v>
      </c>
      <c r="B3698" s="135">
        <f>YEAR(source[[#This Row],[report_date]])</f>
        <v>2024</v>
      </c>
      <c r="C3698" s="128">
        <f t="shared" si="165"/>
        <v>12</v>
      </c>
      <c r="D3698" s="136">
        <f t="shared" si="167"/>
        <v>49</v>
      </c>
      <c r="E3698" s="136">
        <f t="shared" si="166"/>
        <v>3</v>
      </c>
      <c r="F3698" s="128" t="s">
        <v>24</v>
      </c>
      <c r="G3698" s="128" t="str">
        <f>VLOOKUP(source[[#This Row],[lending_product_transform]],[3]Mapping!$B$4:$C$37,2,0)</f>
        <v>[Cake] - Cashloan</v>
      </c>
      <c r="H3698" s="128" t="str">
        <f>VLOOKUP(source[[#This Row],[lending_product_transform]],[3]Mapping!$B$3:$D$37,3,0)</f>
        <v>cashloan</v>
      </c>
      <c r="I3698" s="135">
        <v>132158699</v>
      </c>
    </row>
    <row r="3699" spans="1:9" x14ac:dyDescent="0.2">
      <c r="A3699" s="134">
        <v>45629</v>
      </c>
      <c r="B3699" s="135">
        <f>YEAR(source[[#This Row],[report_date]])</f>
        <v>2024</v>
      </c>
      <c r="C3699" s="128">
        <f t="shared" si="165"/>
        <v>12</v>
      </c>
      <c r="D3699" s="136">
        <f t="shared" si="167"/>
        <v>49</v>
      </c>
      <c r="E3699" s="136">
        <f t="shared" si="166"/>
        <v>3</v>
      </c>
      <c r="F3699" s="128" t="s">
        <v>24</v>
      </c>
      <c r="G3699" s="128" t="str">
        <f>VLOOKUP(source[[#This Row],[lending_product_transform]],[3]Mapping!$B$4:$C$37,2,0)</f>
        <v>[Cake] - Cashloan</v>
      </c>
      <c r="H3699" s="128" t="str">
        <f>VLOOKUP(source[[#This Row],[lending_product_transform]],[3]Mapping!$B$3:$D$37,3,0)</f>
        <v>cashloan</v>
      </c>
      <c r="I3699" s="135">
        <v>70000000</v>
      </c>
    </row>
    <row r="3700" spans="1:9" x14ac:dyDescent="0.2">
      <c r="A3700" s="134">
        <v>45629</v>
      </c>
      <c r="B3700" s="135">
        <f>YEAR(source[[#This Row],[report_date]])</f>
        <v>2024</v>
      </c>
      <c r="C3700" s="128">
        <f t="shared" si="165"/>
        <v>12</v>
      </c>
      <c r="D3700" s="136">
        <f t="shared" si="167"/>
        <v>49</v>
      </c>
      <c r="E3700" s="136">
        <f t="shared" si="166"/>
        <v>3</v>
      </c>
      <c r="F3700" s="128" t="s">
        <v>24</v>
      </c>
      <c r="G3700" s="128" t="str">
        <f>VLOOKUP(source[[#This Row],[lending_product_transform]],[3]Mapping!$B$4:$C$37,2,0)</f>
        <v>[Cake] - Cashloan</v>
      </c>
      <c r="H3700" s="128" t="str">
        <f>VLOOKUP(source[[#This Row],[lending_product_transform]],[3]Mapping!$B$3:$D$37,3,0)</f>
        <v>cashloan</v>
      </c>
      <c r="I3700" s="135">
        <v>0</v>
      </c>
    </row>
    <row r="3701" spans="1:9" x14ac:dyDescent="0.2">
      <c r="A3701" s="134">
        <v>45629</v>
      </c>
      <c r="B3701" s="135">
        <f>YEAR(source[[#This Row],[report_date]])</f>
        <v>2024</v>
      </c>
      <c r="C3701" s="128">
        <f t="shared" si="165"/>
        <v>12</v>
      </c>
      <c r="D3701" s="136">
        <f t="shared" si="167"/>
        <v>49</v>
      </c>
      <c r="E3701" s="136">
        <f t="shared" si="166"/>
        <v>3</v>
      </c>
      <c r="F3701" s="128" t="s">
        <v>24</v>
      </c>
      <c r="G3701" s="128" t="str">
        <f>VLOOKUP(source[[#This Row],[lending_product_transform]],[3]Mapping!$B$4:$C$37,2,0)</f>
        <v>[Cake] - Cashloan</v>
      </c>
      <c r="H3701" s="128" t="str">
        <f>VLOOKUP(source[[#This Row],[lending_product_transform]],[3]Mapping!$B$3:$D$37,3,0)</f>
        <v>cashloan</v>
      </c>
      <c r="I3701" s="135">
        <v>20000000</v>
      </c>
    </row>
    <row r="3702" spans="1:9" x14ac:dyDescent="0.2">
      <c r="A3702" s="134">
        <v>45629</v>
      </c>
      <c r="B3702" s="135">
        <f>YEAR(source[[#This Row],[report_date]])</f>
        <v>2024</v>
      </c>
      <c r="C3702" s="128">
        <f t="shared" si="165"/>
        <v>12</v>
      </c>
      <c r="D3702" s="136">
        <f t="shared" si="167"/>
        <v>49</v>
      </c>
      <c r="E3702" s="136">
        <f t="shared" si="166"/>
        <v>3</v>
      </c>
      <c r="F3702" s="128" t="s">
        <v>24</v>
      </c>
      <c r="G3702" s="128" t="str">
        <f>VLOOKUP(source[[#This Row],[lending_product_transform]],[3]Mapping!$B$4:$C$37,2,0)</f>
        <v>[Cake] - Cashloan</v>
      </c>
      <c r="H3702" s="128" t="str">
        <f>VLOOKUP(source[[#This Row],[lending_product_transform]],[3]Mapping!$B$3:$D$37,3,0)</f>
        <v>cashloan</v>
      </c>
      <c r="I3702" s="135">
        <v>21400000</v>
      </c>
    </row>
    <row r="3703" spans="1:9" x14ac:dyDescent="0.2">
      <c r="A3703" s="134">
        <v>45629</v>
      </c>
      <c r="B3703" s="135">
        <f>YEAR(source[[#This Row],[report_date]])</f>
        <v>2024</v>
      </c>
      <c r="C3703" s="128">
        <f t="shared" si="165"/>
        <v>12</v>
      </c>
      <c r="D3703" s="136">
        <f t="shared" si="167"/>
        <v>49</v>
      </c>
      <c r="E3703" s="136">
        <f t="shared" si="166"/>
        <v>3</v>
      </c>
      <c r="F3703" s="128" t="s">
        <v>24</v>
      </c>
      <c r="G3703" s="128" t="str">
        <f>VLOOKUP(source[[#This Row],[lending_product_transform]],[3]Mapping!$B$4:$C$37,2,0)</f>
        <v>[Cake] - Cashloan</v>
      </c>
      <c r="H3703" s="128" t="str">
        <f>VLOOKUP(source[[#This Row],[lending_product_transform]],[3]Mapping!$B$3:$D$37,3,0)</f>
        <v>cashloan</v>
      </c>
      <c r="I3703" s="135">
        <v>94805933</v>
      </c>
    </row>
    <row r="3704" spans="1:9" x14ac:dyDescent="0.2">
      <c r="A3704" s="134">
        <v>45629</v>
      </c>
      <c r="B3704" s="135">
        <f>YEAR(source[[#This Row],[report_date]])</f>
        <v>2024</v>
      </c>
      <c r="C3704" s="128">
        <f t="shared" si="165"/>
        <v>12</v>
      </c>
      <c r="D3704" s="136">
        <f t="shared" si="167"/>
        <v>49</v>
      </c>
      <c r="E3704" s="136">
        <f t="shared" si="166"/>
        <v>3</v>
      </c>
      <c r="F3704" s="128" t="s">
        <v>24</v>
      </c>
      <c r="G3704" s="128" t="str">
        <f>VLOOKUP(source[[#This Row],[lending_product_transform]],[3]Mapping!$B$4:$C$37,2,0)</f>
        <v>[Cake] - Cashloan</v>
      </c>
      <c r="H3704" s="128" t="str">
        <f>VLOOKUP(source[[#This Row],[lending_product_transform]],[3]Mapping!$B$3:$D$37,3,0)</f>
        <v>cashloan</v>
      </c>
      <c r="I3704" s="135">
        <v>14085595</v>
      </c>
    </row>
    <row r="3705" spans="1:9" x14ac:dyDescent="0.2">
      <c r="A3705" s="134">
        <v>45629</v>
      </c>
      <c r="B3705" s="135">
        <f>YEAR(source[[#This Row],[report_date]])</f>
        <v>2024</v>
      </c>
      <c r="C3705" s="128">
        <f t="shared" si="165"/>
        <v>12</v>
      </c>
      <c r="D3705" s="136">
        <f t="shared" si="167"/>
        <v>49</v>
      </c>
      <c r="E3705" s="136">
        <f t="shared" si="166"/>
        <v>3</v>
      </c>
      <c r="F3705" s="128" t="s">
        <v>24</v>
      </c>
      <c r="G3705" s="128" t="str">
        <f>VLOOKUP(source[[#This Row],[lending_product_transform]],[3]Mapping!$B$4:$C$37,2,0)</f>
        <v>[Cake] - Cashloan</v>
      </c>
      <c r="H3705" s="128" t="str">
        <f>VLOOKUP(source[[#This Row],[lending_product_transform]],[3]Mapping!$B$3:$D$37,3,0)</f>
        <v>cashloan</v>
      </c>
      <c r="I3705" s="135">
        <v>23100000</v>
      </c>
    </row>
    <row r="3706" spans="1:9" x14ac:dyDescent="0.2">
      <c r="A3706" s="134">
        <v>45629</v>
      </c>
      <c r="B3706" s="135">
        <f>YEAR(source[[#This Row],[report_date]])</f>
        <v>2024</v>
      </c>
      <c r="C3706" s="128">
        <f t="shared" si="165"/>
        <v>12</v>
      </c>
      <c r="D3706" s="136">
        <f t="shared" si="167"/>
        <v>49</v>
      </c>
      <c r="E3706" s="136">
        <f t="shared" si="166"/>
        <v>3</v>
      </c>
      <c r="F3706" s="128" t="s">
        <v>24</v>
      </c>
      <c r="G3706" s="128" t="str">
        <f>VLOOKUP(source[[#This Row],[lending_product_transform]],[3]Mapping!$B$4:$C$37,2,0)</f>
        <v>[Cake] - Cashloan</v>
      </c>
      <c r="H3706" s="128" t="str">
        <f>VLOOKUP(source[[#This Row],[lending_product_transform]],[3]Mapping!$B$3:$D$37,3,0)</f>
        <v>cashloan</v>
      </c>
      <c r="I3706" s="135">
        <v>6053500000</v>
      </c>
    </row>
    <row r="3707" spans="1:9" x14ac:dyDescent="0.2">
      <c r="A3707" s="134">
        <v>45629</v>
      </c>
      <c r="B3707" s="135">
        <f>YEAR(source[[#This Row],[report_date]])</f>
        <v>2024</v>
      </c>
      <c r="C3707" s="128">
        <f t="shared" si="165"/>
        <v>12</v>
      </c>
      <c r="D3707" s="136">
        <f t="shared" si="167"/>
        <v>49</v>
      </c>
      <c r="E3707" s="136">
        <f t="shared" si="166"/>
        <v>3</v>
      </c>
      <c r="F3707" s="128" t="s">
        <v>24</v>
      </c>
      <c r="G3707" s="128" t="str">
        <f>VLOOKUP(source[[#This Row],[lending_product_transform]],[3]Mapping!$B$4:$C$37,2,0)</f>
        <v>[Cake] - Cashloan</v>
      </c>
      <c r="H3707" s="128" t="str">
        <f>VLOOKUP(source[[#This Row],[lending_product_transform]],[3]Mapping!$B$3:$D$37,3,0)</f>
        <v>cashloan</v>
      </c>
      <c r="I3707" s="135">
        <v>4249564125</v>
      </c>
    </row>
    <row r="3708" spans="1:9" x14ac:dyDescent="0.2">
      <c r="A3708" s="134">
        <v>45629</v>
      </c>
      <c r="B3708" s="135">
        <f>YEAR(source[[#This Row],[report_date]])</f>
        <v>2024</v>
      </c>
      <c r="C3708" s="128">
        <f t="shared" si="165"/>
        <v>12</v>
      </c>
      <c r="D3708" s="136">
        <f t="shared" si="167"/>
        <v>49</v>
      </c>
      <c r="E3708" s="136">
        <f t="shared" si="166"/>
        <v>3</v>
      </c>
      <c r="F3708" s="128" t="s">
        <v>24</v>
      </c>
      <c r="G3708" s="128" t="str">
        <f>VLOOKUP(source[[#This Row],[lending_product_transform]],[3]Mapping!$B$4:$C$37,2,0)</f>
        <v>[Cake] - Cashloan</v>
      </c>
      <c r="H3708" s="128" t="str">
        <f>VLOOKUP(source[[#This Row],[lending_product_transform]],[3]Mapping!$B$3:$D$37,3,0)</f>
        <v>cashloan</v>
      </c>
      <c r="I3708" s="135">
        <v>115600000</v>
      </c>
    </row>
    <row r="3709" spans="1:9" x14ac:dyDescent="0.2">
      <c r="A3709" s="134">
        <v>45629</v>
      </c>
      <c r="B3709" s="135">
        <f>YEAR(source[[#This Row],[report_date]])</f>
        <v>2024</v>
      </c>
      <c r="C3709" s="128">
        <f t="shared" si="165"/>
        <v>12</v>
      </c>
      <c r="D3709" s="136">
        <f t="shared" si="167"/>
        <v>49</v>
      </c>
      <c r="E3709" s="136">
        <f t="shared" si="166"/>
        <v>3</v>
      </c>
      <c r="F3709" s="128" t="s">
        <v>24</v>
      </c>
      <c r="G3709" s="128" t="str">
        <f>VLOOKUP(source[[#This Row],[lending_product_transform]],[3]Mapping!$B$4:$C$37,2,0)</f>
        <v>[Cake] - Cashloan</v>
      </c>
      <c r="H3709" s="128" t="str">
        <f>VLOOKUP(source[[#This Row],[lending_product_transform]],[3]Mapping!$B$3:$D$37,3,0)</f>
        <v>cashloan</v>
      </c>
      <c r="I3709" s="135">
        <v>0</v>
      </c>
    </row>
    <row r="3710" spans="1:9" x14ac:dyDescent="0.2">
      <c r="A3710" s="134">
        <v>45629</v>
      </c>
      <c r="B3710" s="135">
        <f>YEAR(source[[#This Row],[report_date]])</f>
        <v>2024</v>
      </c>
      <c r="C3710" s="128">
        <f t="shared" si="165"/>
        <v>12</v>
      </c>
      <c r="D3710" s="136">
        <f t="shared" si="167"/>
        <v>49</v>
      </c>
      <c r="E3710" s="136">
        <f t="shared" si="166"/>
        <v>3</v>
      </c>
      <c r="F3710" s="128" t="s">
        <v>24</v>
      </c>
      <c r="G3710" s="128" t="str">
        <f>VLOOKUP(source[[#This Row],[lending_product_transform]],[3]Mapping!$B$4:$C$37,2,0)</f>
        <v>[Cake] - Cashloan</v>
      </c>
      <c r="H3710" s="128" t="str">
        <f>VLOOKUP(source[[#This Row],[lending_product_transform]],[3]Mapping!$B$3:$D$37,3,0)</f>
        <v>cashloan</v>
      </c>
      <c r="I3710" s="135">
        <v>5619530000</v>
      </c>
    </row>
    <row r="3711" spans="1:9" x14ac:dyDescent="0.2">
      <c r="A3711" s="134">
        <v>45629</v>
      </c>
      <c r="B3711" s="135">
        <f>YEAR(source[[#This Row],[report_date]])</f>
        <v>2024</v>
      </c>
      <c r="C3711" s="128">
        <f t="shared" si="165"/>
        <v>12</v>
      </c>
      <c r="D3711" s="136">
        <f t="shared" si="167"/>
        <v>49</v>
      </c>
      <c r="E3711" s="136">
        <f t="shared" si="166"/>
        <v>3</v>
      </c>
      <c r="F3711" s="128" t="s">
        <v>24</v>
      </c>
      <c r="G3711" s="128" t="str">
        <f>VLOOKUP(source[[#This Row],[lending_product_transform]],[3]Mapping!$B$4:$C$37,2,0)</f>
        <v>[Cake] - Cashloan</v>
      </c>
      <c r="H3711" s="128" t="str">
        <f>VLOOKUP(source[[#This Row],[lending_product_transform]],[3]Mapping!$B$3:$D$37,3,0)</f>
        <v>cashloan</v>
      </c>
      <c r="I3711" s="135">
        <v>362960000</v>
      </c>
    </row>
    <row r="3712" spans="1:9" x14ac:dyDescent="0.2">
      <c r="A3712" s="134">
        <v>45629</v>
      </c>
      <c r="B3712" s="135">
        <f>YEAR(source[[#This Row],[report_date]])</f>
        <v>2024</v>
      </c>
      <c r="C3712" s="128">
        <f t="shared" si="165"/>
        <v>12</v>
      </c>
      <c r="D3712" s="136">
        <f t="shared" si="167"/>
        <v>49</v>
      </c>
      <c r="E3712" s="136">
        <f t="shared" si="166"/>
        <v>3</v>
      </c>
      <c r="F3712" s="128" t="s">
        <v>24</v>
      </c>
      <c r="G3712" s="128" t="str">
        <f>VLOOKUP(source[[#This Row],[lending_product_transform]],[3]Mapping!$B$4:$C$37,2,0)</f>
        <v>[Cake] - Cashloan</v>
      </c>
      <c r="H3712" s="128" t="str">
        <f>VLOOKUP(source[[#This Row],[lending_product_transform]],[3]Mapping!$B$3:$D$37,3,0)</f>
        <v>cashloan</v>
      </c>
      <c r="I3712" s="135">
        <v>489355831</v>
      </c>
    </row>
    <row r="3713" spans="1:9" x14ac:dyDescent="0.2">
      <c r="A3713" s="134">
        <v>45629</v>
      </c>
      <c r="B3713" s="135">
        <f>YEAR(source[[#This Row],[report_date]])</f>
        <v>2024</v>
      </c>
      <c r="C3713" s="128">
        <f t="shared" si="165"/>
        <v>12</v>
      </c>
      <c r="D3713" s="136">
        <f t="shared" si="167"/>
        <v>49</v>
      </c>
      <c r="E3713" s="136">
        <f t="shared" si="166"/>
        <v>3</v>
      </c>
      <c r="F3713" s="128" t="s">
        <v>24</v>
      </c>
      <c r="G3713" s="128" t="str">
        <f>VLOOKUP(source[[#This Row],[lending_product_transform]],[3]Mapping!$B$4:$C$37,2,0)</f>
        <v>[Cake] - Cashloan</v>
      </c>
      <c r="H3713" s="128" t="str">
        <f>VLOOKUP(source[[#This Row],[lending_product_transform]],[3]Mapping!$B$3:$D$37,3,0)</f>
        <v>cashloan</v>
      </c>
      <c r="I3713" s="135">
        <v>7115300000</v>
      </c>
    </row>
    <row r="3714" spans="1:9" x14ac:dyDescent="0.2">
      <c r="A3714" s="134">
        <v>45630</v>
      </c>
      <c r="B3714" s="135">
        <f>YEAR(source[[#This Row],[report_date]])</f>
        <v>2024</v>
      </c>
      <c r="C3714" s="128">
        <f t="shared" ref="C3714:C3777" si="168">MONTH(A3714)</f>
        <v>12</v>
      </c>
      <c r="D3714" s="136">
        <f t="shared" si="167"/>
        <v>49</v>
      </c>
      <c r="E3714" s="136">
        <f t="shared" ref="E3714:E3777" si="169">DAY(A3714)</f>
        <v>4</v>
      </c>
      <c r="F3714" s="128" t="s">
        <v>24</v>
      </c>
      <c r="G3714" s="128" t="str">
        <f>VLOOKUP(source[[#This Row],[lending_product_transform]],[3]Mapping!$B$4:$C$37,2,0)</f>
        <v>[Cake] - Cashloan</v>
      </c>
      <c r="H3714" s="128" t="str">
        <f>VLOOKUP(source[[#This Row],[lending_product_transform]],[3]Mapping!$B$3:$D$37,3,0)</f>
        <v>cashloan</v>
      </c>
      <c r="I3714" s="135">
        <v>15750000</v>
      </c>
    </row>
    <row r="3715" spans="1:9" x14ac:dyDescent="0.2">
      <c r="A3715" s="134">
        <v>45630</v>
      </c>
      <c r="B3715" s="135">
        <f>YEAR(source[[#This Row],[report_date]])</f>
        <v>2024</v>
      </c>
      <c r="C3715" s="128">
        <f t="shared" si="168"/>
        <v>12</v>
      </c>
      <c r="D3715" s="136">
        <f t="shared" ref="D3715:D3778" si="170">WEEKNUM(A3715,2)</f>
        <v>49</v>
      </c>
      <c r="E3715" s="136">
        <f t="shared" si="169"/>
        <v>4</v>
      </c>
      <c r="F3715" s="128" t="s">
        <v>24</v>
      </c>
      <c r="G3715" s="128" t="str">
        <f>VLOOKUP(source[[#This Row],[lending_product_transform]],[3]Mapping!$B$4:$C$37,2,0)</f>
        <v>[Cake] - Cashloan</v>
      </c>
      <c r="H3715" s="128" t="str">
        <f>VLOOKUP(source[[#This Row],[lending_product_transform]],[3]Mapping!$B$3:$D$37,3,0)</f>
        <v>cashloan</v>
      </c>
      <c r="I3715" s="135">
        <v>10000000</v>
      </c>
    </row>
    <row r="3716" spans="1:9" x14ac:dyDescent="0.2">
      <c r="A3716" s="134">
        <v>45630</v>
      </c>
      <c r="B3716" s="135">
        <f>YEAR(source[[#This Row],[report_date]])</f>
        <v>2024</v>
      </c>
      <c r="C3716" s="128">
        <f t="shared" si="168"/>
        <v>12</v>
      </c>
      <c r="D3716" s="136">
        <f t="shared" si="170"/>
        <v>49</v>
      </c>
      <c r="E3716" s="136">
        <f t="shared" si="169"/>
        <v>4</v>
      </c>
      <c r="F3716" s="128" t="s">
        <v>24</v>
      </c>
      <c r="G3716" s="128" t="str">
        <f>VLOOKUP(source[[#This Row],[lending_product_transform]],[3]Mapping!$B$4:$C$37,2,0)</f>
        <v>[Cake] - Cashloan</v>
      </c>
      <c r="H3716" s="128" t="str">
        <f>VLOOKUP(source[[#This Row],[lending_product_transform]],[3]Mapping!$B$3:$D$37,3,0)</f>
        <v>cashloan</v>
      </c>
      <c r="I3716" s="135">
        <v>0</v>
      </c>
    </row>
    <row r="3717" spans="1:9" x14ac:dyDescent="0.2">
      <c r="A3717" s="134">
        <v>45630</v>
      </c>
      <c r="B3717" s="135">
        <f>YEAR(source[[#This Row],[report_date]])</f>
        <v>2024</v>
      </c>
      <c r="C3717" s="128">
        <f t="shared" si="168"/>
        <v>12</v>
      </c>
      <c r="D3717" s="136">
        <f t="shared" si="170"/>
        <v>49</v>
      </c>
      <c r="E3717" s="136">
        <f t="shared" si="169"/>
        <v>4</v>
      </c>
      <c r="F3717" s="128" t="s">
        <v>24</v>
      </c>
      <c r="G3717" s="128" t="str">
        <f>VLOOKUP(source[[#This Row],[lending_product_transform]],[3]Mapping!$B$4:$C$37,2,0)</f>
        <v>[Cake] - Cashloan</v>
      </c>
      <c r="H3717" s="128" t="str">
        <f>VLOOKUP(source[[#This Row],[lending_product_transform]],[3]Mapping!$B$3:$D$37,3,0)</f>
        <v>cashloan</v>
      </c>
      <c r="I3717" s="135">
        <v>11997776</v>
      </c>
    </row>
    <row r="3718" spans="1:9" x14ac:dyDescent="0.2">
      <c r="A3718" s="134">
        <v>45630</v>
      </c>
      <c r="B3718" s="135">
        <f>YEAR(source[[#This Row],[report_date]])</f>
        <v>2024</v>
      </c>
      <c r="C3718" s="128">
        <f t="shared" si="168"/>
        <v>12</v>
      </c>
      <c r="D3718" s="136">
        <f t="shared" si="170"/>
        <v>49</v>
      </c>
      <c r="E3718" s="136">
        <f t="shared" si="169"/>
        <v>4</v>
      </c>
      <c r="F3718" s="128" t="s">
        <v>24</v>
      </c>
      <c r="G3718" s="128" t="str">
        <f>VLOOKUP(source[[#This Row],[lending_product_transform]],[3]Mapping!$B$4:$C$37,2,0)</f>
        <v>[Cake] - Cashloan</v>
      </c>
      <c r="H3718" s="128" t="str">
        <f>VLOOKUP(source[[#This Row],[lending_product_transform]],[3]Mapping!$B$3:$D$37,3,0)</f>
        <v>cashloan</v>
      </c>
      <c r="I3718" s="135">
        <v>6367520000</v>
      </c>
    </row>
    <row r="3719" spans="1:9" x14ac:dyDescent="0.2">
      <c r="A3719" s="134">
        <v>45630</v>
      </c>
      <c r="B3719" s="135">
        <f>YEAR(source[[#This Row],[report_date]])</f>
        <v>2024</v>
      </c>
      <c r="C3719" s="128">
        <f t="shared" si="168"/>
        <v>12</v>
      </c>
      <c r="D3719" s="136">
        <f t="shared" si="170"/>
        <v>49</v>
      </c>
      <c r="E3719" s="136">
        <f t="shared" si="169"/>
        <v>4</v>
      </c>
      <c r="F3719" s="128" t="s">
        <v>24</v>
      </c>
      <c r="G3719" s="128" t="str">
        <f>VLOOKUP(source[[#This Row],[lending_product_transform]],[3]Mapping!$B$4:$C$37,2,0)</f>
        <v>[Cake] - Cashloan</v>
      </c>
      <c r="H3719" s="128" t="str">
        <f>VLOOKUP(source[[#This Row],[lending_product_transform]],[3]Mapping!$B$3:$D$37,3,0)</f>
        <v>cashloan</v>
      </c>
      <c r="I3719" s="135">
        <v>59920000</v>
      </c>
    </row>
    <row r="3720" spans="1:9" x14ac:dyDescent="0.2">
      <c r="A3720" s="134">
        <v>45630</v>
      </c>
      <c r="B3720" s="135">
        <f>YEAR(source[[#This Row],[report_date]])</f>
        <v>2024</v>
      </c>
      <c r="C3720" s="128">
        <f t="shared" si="168"/>
        <v>12</v>
      </c>
      <c r="D3720" s="136">
        <f t="shared" si="170"/>
        <v>49</v>
      </c>
      <c r="E3720" s="136">
        <f t="shared" si="169"/>
        <v>4</v>
      </c>
      <c r="F3720" s="128" t="s">
        <v>24</v>
      </c>
      <c r="G3720" s="128" t="str">
        <f>VLOOKUP(source[[#This Row],[lending_product_transform]],[3]Mapping!$B$4:$C$37,2,0)</f>
        <v>[Cake] - Cashloan</v>
      </c>
      <c r="H3720" s="128" t="str">
        <f>VLOOKUP(source[[#This Row],[lending_product_transform]],[3]Mapping!$B$3:$D$37,3,0)</f>
        <v>cashloan</v>
      </c>
      <c r="I3720" s="135">
        <v>136898041</v>
      </c>
    </row>
    <row r="3721" spans="1:9" x14ac:dyDescent="0.2">
      <c r="A3721" s="134">
        <v>45630</v>
      </c>
      <c r="B3721" s="135">
        <f>YEAR(source[[#This Row],[report_date]])</f>
        <v>2024</v>
      </c>
      <c r="C3721" s="128">
        <f t="shared" si="168"/>
        <v>12</v>
      </c>
      <c r="D3721" s="136">
        <f t="shared" si="170"/>
        <v>49</v>
      </c>
      <c r="E3721" s="136">
        <f t="shared" si="169"/>
        <v>4</v>
      </c>
      <c r="F3721" s="128" t="s">
        <v>24</v>
      </c>
      <c r="G3721" s="128" t="str">
        <f>VLOOKUP(source[[#This Row],[lending_product_transform]],[3]Mapping!$B$4:$C$37,2,0)</f>
        <v>[Cake] - Cashloan</v>
      </c>
      <c r="H3721" s="128" t="str">
        <f>VLOOKUP(source[[#This Row],[lending_product_transform]],[3]Mapping!$B$3:$D$37,3,0)</f>
        <v>cashloan</v>
      </c>
      <c r="I3721" s="135">
        <v>54940000</v>
      </c>
    </row>
    <row r="3722" spans="1:9" x14ac:dyDescent="0.2">
      <c r="A3722" s="134">
        <v>45630</v>
      </c>
      <c r="B3722" s="135">
        <f>YEAR(source[[#This Row],[report_date]])</f>
        <v>2024</v>
      </c>
      <c r="C3722" s="128">
        <f t="shared" si="168"/>
        <v>12</v>
      </c>
      <c r="D3722" s="136">
        <f t="shared" si="170"/>
        <v>49</v>
      </c>
      <c r="E3722" s="136">
        <f t="shared" si="169"/>
        <v>4</v>
      </c>
      <c r="F3722" s="128" t="s">
        <v>24</v>
      </c>
      <c r="G3722" s="128" t="str">
        <f>VLOOKUP(source[[#This Row],[lending_product_transform]],[3]Mapping!$B$4:$C$37,2,0)</f>
        <v>[Cake] - Cashloan</v>
      </c>
      <c r="H3722" s="128" t="str">
        <f>VLOOKUP(source[[#This Row],[lending_product_transform]],[3]Mapping!$B$3:$D$37,3,0)</f>
        <v>cashloan</v>
      </c>
      <c r="I3722" s="135">
        <v>0</v>
      </c>
    </row>
    <row r="3723" spans="1:9" x14ac:dyDescent="0.2">
      <c r="A3723" s="134">
        <v>45630</v>
      </c>
      <c r="B3723" s="135">
        <f>YEAR(source[[#This Row],[report_date]])</f>
        <v>2024</v>
      </c>
      <c r="C3723" s="128">
        <f t="shared" si="168"/>
        <v>12</v>
      </c>
      <c r="D3723" s="136">
        <f t="shared" si="170"/>
        <v>49</v>
      </c>
      <c r="E3723" s="136">
        <f t="shared" si="169"/>
        <v>4</v>
      </c>
      <c r="F3723" s="128" t="s">
        <v>24</v>
      </c>
      <c r="G3723" s="128" t="str">
        <f>VLOOKUP(source[[#This Row],[lending_product_transform]],[3]Mapping!$B$4:$C$37,2,0)</f>
        <v>[Cake] - Cashloan</v>
      </c>
      <c r="H3723" s="128" t="str">
        <f>VLOOKUP(source[[#This Row],[lending_product_transform]],[3]Mapping!$B$3:$D$37,3,0)</f>
        <v>cashloan</v>
      </c>
      <c r="I3723" s="135">
        <v>4590730307</v>
      </c>
    </row>
    <row r="3724" spans="1:9" x14ac:dyDescent="0.2">
      <c r="A3724" s="134">
        <v>45630</v>
      </c>
      <c r="B3724" s="135">
        <f>YEAR(source[[#This Row],[report_date]])</f>
        <v>2024</v>
      </c>
      <c r="C3724" s="128">
        <f t="shared" si="168"/>
        <v>12</v>
      </c>
      <c r="D3724" s="136">
        <f t="shared" si="170"/>
        <v>49</v>
      </c>
      <c r="E3724" s="136">
        <f t="shared" si="169"/>
        <v>4</v>
      </c>
      <c r="F3724" s="128" t="s">
        <v>24</v>
      </c>
      <c r="G3724" s="128" t="str">
        <f>VLOOKUP(source[[#This Row],[lending_product_transform]],[3]Mapping!$B$4:$C$37,2,0)</f>
        <v>[Cake] - Cashloan</v>
      </c>
      <c r="H3724" s="128" t="str">
        <f>VLOOKUP(source[[#This Row],[lending_product_transform]],[3]Mapping!$B$3:$D$37,3,0)</f>
        <v>cashloan</v>
      </c>
      <c r="I3724" s="135">
        <v>301720000</v>
      </c>
    </row>
    <row r="3725" spans="1:9" x14ac:dyDescent="0.2">
      <c r="A3725" s="134">
        <v>45630</v>
      </c>
      <c r="B3725" s="135">
        <f>YEAR(source[[#This Row],[report_date]])</f>
        <v>2024</v>
      </c>
      <c r="C3725" s="128">
        <f t="shared" si="168"/>
        <v>12</v>
      </c>
      <c r="D3725" s="136">
        <f t="shared" si="170"/>
        <v>49</v>
      </c>
      <c r="E3725" s="136">
        <f t="shared" si="169"/>
        <v>4</v>
      </c>
      <c r="F3725" s="128" t="s">
        <v>24</v>
      </c>
      <c r="G3725" s="128" t="str">
        <f>VLOOKUP(source[[#This Row],[lending_product_transform]],[3]Mapping!$B$4:$C$37,2,0)</f>
        <v>[Cake] - Cashloan</v>
      </c>
      <c r="H3725" s="128" t="str">
        <f>VLOOKUP(source[[#This Row],[lending_product_transform]],[3]Mapping!$B$3:$D$37,3,0)</f>
        <v>cashloan</v>
      </c>
      <c r="I3725" s="135">
        <v>5570570000</v>
      </c>
    </row>
    <row r="3726" spans="1:9" x14ac:dyDescent="0.2">
      <c r="A3726" s="134">
        <v>45630</v>
      </c>
      <c r="B3726" s="135">
        <f>YEAR(source[[#This Row],[report_date]])</f>
        <v>2024</v>
      </c>
      <c r="C3726" s="128">
        <f t="shared" si="168"/>
        <v>12</v>
      </c>
      <c r="D3726" s="136">
        <f t="shared" si="170"/>
        <v>49</v>
      </c>
      <c r="E3726" s="136">
        <f t="shared" si="169"/>
        <v>4</v>
      </c>
      <c r="F3726" s="128" t="s">
        <v>24</v>
      </c>
      <c r="G3726" s="128" t="str">
        <f>VLOOKUP(source[[#This Row],[lending_product_transform]],[3]Mapping!$B$4:$C$37,2,0)</f>
        <v>[Cake] - Cashloan</v>
      </c>
      <c r="H3726" s="128" t="str">
        <f>VLOOKUP(source[[#This Row],[lending_product_transform]],[3]Mapping!$B$3:$D$37,3,0)</f>
        <v>cashloan</v>
      </c>
      <c r="I3726" s="135">
        <v>0</v>
      </c>
    </row>
    <row r="3727" spans="1:9" x14ac:dyDescent="0.2">
      <c r="A3727" s="134">
        <v>45630</v>
      </c>
      <c r="B3727" s="135">
        <f>YEAR(source[[#This Row],[report_date]])</f>
        <v>2024</v>
      </c>
      <c r="C3727" s="128">
        <f t="shared" si="168"/>
        <v>12</v>
      </c>
      <c r="D3727" s="136">
        <f t="shared" si="170"/>
        <v>49</v>
      </c>
      <c r="E3727" s="136">
        <f t="shared" si="169"/>
        <v>4</v>
      </c>
      <c r="F3727" s="128" t="s">
        <v>24</v>
      </c>
      <c r="G3727" s="128" t="str">
        <f>VLOOKUP(source[[#This Row],[lending_product_transform]],[3]Mapping!$B$4:$C$37,2,0)</f>
        <v>[Cake] - Cashloan</v>
      </c>
      <c r="H3727" s="128" t="str">
        <f>VLOOKUP(source[[#This Row],[lending_product_transform]],[3]Mapping!$B$3:$D$37,3,0)</f>
        <v>cashloan</v>
      </c>
      <c r="I3727" s="135">
        <v>512962898</v>
      </c>
    </row>
    <row r="3728" spans="1:9" x14ac:dyDescent="0.2">
      <c r="A3728" s="134">
        <v>45630</v>
      </c>
      <c r="B3728" s="135">
        <f>YEAR(source[[#This Row],[report_date]])</f>
        <v>2024</v>
      </c>
      <c r="C3728" s="128">
        <f t="shared" si="168"/>
        <v>12</v>
      </c>
      <c r="D3728" s="136">
        <f t="shared" si="170"/>
        <v>49</v>
      </c>
      <c r="E3728" s="136">
        <f t="shared" si="169"/>
        <v>4</v>
      </c>
      <c r="F3728" s="128" t="s">
        <v>24</v>
      </c>
      <c r="G3728" s="128" t="str">
        <f>VLOOKUP(source[[#This Row],[lending_product_transform]],[3]Mapping!$B$4:$C$37,2,0)</f>
        <v>[Cake] - Cashloan</v>
      </c>
      <c r="H3728" s="128" t="str">
        <f>VLOOKUP(source[[#This Row],[lending_product_transform]],[3]Mapping!$B$3:$D$37,3,0)</f>
        <v>cashloan</v>
      </c>
      <c r="I3728" s="135">
        <v>44000000</v>
      </c>
    </row>
    <row r="3729" spans="1:9" x14ac:dyDescent="0.2">
      <c r="A3729" s="134">
        <v>45630</v>
      </c>
      <c r="B3729" s="135">
        <f>YEAR(source[[#This Row],[report_date]])</f>
        <v>2024</v>
      </c>
      <c r="C3729" s="128">
        <f t="shared" si="168"/>
        <v>12</v>
      </c>
      <c r="D3729" s="136">
        <f t="shared" si="170"/>
        <v>49</v>
      </c>
      <c r="E3729" s="136">
        <f t="shared" si="169"/>
        <v>4</v>
      </c>
      <c r="F3729" s="128" t="s">
        <v>24</v>
      </c>
      <c r="G3729" s="128" t="str">
        <f>VLOOKUP(source[[#This Row],[lending_product_transform]],[3]Mapping!$B$4:$C$37,2,0)</f>
        <v>[Cake] - Cashloan</v>
      </c>
      <c r="H3729" s="128" t="str">
        <f>VLOOKUP(source[[#This Row],[lending_product_transform]],[3]Mapping!$B$3:$D$37,3,0)</f>
        <v>cashloan</v>
      </c>
      <c r="I3729" s="135">
        <v>158394979</v>
      </c>
    </row>
    <row r="3730" spans="1:9" x14ac:dyDescent="0.2">
      <c r="A3730" s="134">
        <v>45630</v>
      </c>
      <c r="B3730" s="135">
        <f>YEAR(source[[#This Row],[report_date]])</f>
        <v>2024</v>
      </c>
      <c r="C3730" s="128">
        <f t="shared" si="168"/>
        <v>12</v>
      </c>
      <c r="D3730" s="136">
        <f t="shared" si="170"/>
        <v>49</v>
      </c>
      <c r="E3730" s="136">
        <f t="shared" si="169"/>
        <v>4</v>
      </c>
      <c r="F3730" s="128" t="s">
        <v>24</v>
      </c>
      <c r="G3730" s="128" t="str">
        <f>VLOOKUP(source[[#This Row],[lending_product_transform]],[3]Mapping!$B$4:$C$37,2,0)</f>
        <v>[Cake] - Cashloan</v>
      </c>
      <c r="H3730" s="128" t="str">
        <f>VLOOKUP(source[[#This Row],[lending_product_transform]],[3]Mapping!$B$3:$D$37,3,0)</f>
        <v>cashloan</v>
      </c>
      <c r="I3730" s="135">
        <v>0</v>
      </c>
    </row>
    <row r="3731" spans="1:9" x14ac:dyDescent="0.2">
      <c r="A3731" s="134">
        <v>45630</v>
      </c>
      <c r="B3731" s="135">
        <f>YEAR(source[[#This Row],[report_date]])</f>
        <v>2024</v>
      </c>
      <c r="C3731" s="128">
        <f t="shared" si="168"/>
        <v>12</v>
      </c>
      <c r="D3731" s="136">
        <f t="shared" si="170"/>
        <v>49</v>
      </c>
      <c r="E3731" s="136">
        <f t="shared" si="169"/>
        <v>4</v>
      </c>
      <c r="F3731" s="128" t="s">
        <v>24</v>
      </c>
      <c r="G3731" s="128" t="str">
        <f>VLOOKUP(source[[#This Row],[lending_product_transform]],[3]Mapping!$B$4:$C$37,2,0)</f>
        <v>[Cake] - Cashloan</v>
      </c>
      <c r="H3731" s="128" t="str">
        <f>VLOOKUP(source[[#This Row],[lending_product_transform]],[3]Mapping!$B$3:$D$37,3,0)</f>
        <v>cashloan</v>
      </c>
      <c r="I3731" s="135">
        <v>6317000000</v>
      </c>
    </row>
    <row r="3732" spans="1:9" x14ac:dyDescent="0.2">
      <c r="A3732" s="134">
        <v>45631</v>
      </c>
      <c r="B3732" s="135">
        <f>YEAR(source[[#This Row],[report_date]])</f>
        <v>2024</v>
      </c>
      <c r="C3732" s="128">
        <f t="shared" si="168"/>
        <v>12</v>
      </c>
      <c r="D3732" s="136">
        <f t="shared" si="170"/>
        <v>49</v>
      </c>
      <c r="E3732" s="136">
        <f t="shared" si="169"/>
        <v>5</v>
      </c>
      <c r="F3732" s="128" t="s">
        <v>24</v>
      </c>
      <c r="G3732" s="128" t="str">
        <f>VLOOKUP(source[[#This Row],[lending_product_transform]],[3]Mapping!$B$4:$C$37,2,0)</f>
        <v>[Cake] - Cashloan</v>
      </c>
      <c r="H3732" s="128" t="str">
        <f>VLOOKUP(source[[#This Row],[lending_product_transform]],[3]Mapping!$B$3:$D$37,3,0)</f>
        <v>cashloan</v>
      </c>
      <c r="I3732" s="135">
        <v>34000000</v>
      </c>
    </row>
    <row r="3733" spans="1:9" x14ac:dyDescent="0.2">
      <c r="A3733" s="134">
        <v>45631</v>
      </c>
      <c r="B3733" s="135">
        <f>YEAR(source[[#This Row],[report_date]])</f>
        <v>2024</v>
      </c>
      <c r="C3733" s="128">
        <f t="shared" si="168"/>
        <v>12</v>
      </c>
      <c r="D3733" s="136">
        <f t="shared" si="170"/>
        <v>49</v>
      </c>
      <c r="E3733" s="136">
        <f t="shared" si="169"/>
        <v>5</v>
      </c>
      <c r="F3733" s="128" t="s">
        <v>24</v>
      </c>
      <c r="G3733" s="128" t="str">
        <f>VLOOKUP(source[[#This Row],[lending_product_transform]],[3]Mapping!$B$4:$C$37,2,0)</f>
        <v>[Cake] - Cashloan</v>
      </c>
      <c r="H3733" s="128" t="str">
        <f>VLOOKUP(source[[#This Row],[lending_product_transform]],[3]Mapping!$B$3:$D$37,3,0)</f>
        <v>cashloan</v>
      </c>
      <c r="I3733" s="135">
        <v>250360000</v>
      </c>
    </row>
    <row r="3734" spans="1:9" x14ac:dyDescent="0.2">
      <c r="A3734" s="134">
        <v>45631</v>
      </c>
      <c r="B3734" s="135">
        <f>YEAR(source[[#This Row],[report_date]])</f>
        <v>2024</v>
      </c>
      <c r="C3734" s="128">
        <f t="shared" si="168"/>
        <v>12</v>
      </c>
      <c r="D3734" s="136">
        <f t="shared" si="170"/>
        <v>49</v>
      </c>
      <c r="E3734" s="136">
        <f t="shared" si="169"/>
        <v>5</v>
      </c>
      <c r="F3734" s="128" t="s">
        <v>24</v>
      </c>
      <c r="G3734" s="128" t="str">
        <f>VLOOKUP(source[[#This Row],[lending_product_transform]],[3]Mapping!$B$4:$C$37,2,0)</f>
        <v>[Cake] - Cashloan</v>
      </c>
      <c r="H3734" s="128" t="str">
        <f>VLOOKUP(source[[#This Row],[lending_product_transform]],[3]Mapping!$B$3:$D$37,3,0)</f>
        <v>cashloan</v>
      </c>
      <c r="I3734" s="135">
        <v>37000000</v>
      </c>
    </row>
    <row r="3735" spans="1:9" x14ac:dyDescent="0.2">
      <c r="A3735" s="134">
        <v>45631</v>
      </c>
      <c r="B3735" s="135">
        <f>YEAR(source[[#This Row],[report_date]])</f>
        <v>2024</v>
      </c>
      <c r="C3735" s="128">
        <f t="shared" si="168"/>
        <v>12</v>
      </c>
      <c r="D3735" s="136">
        <f t="shared" si="170"/>
        <v>49</v>
      </c>
      <c r="E3735" s="136">
        <f t="shared" si="169"/>
        <v>5</v>
      </c>
      <c r="F3735" s="128" t="s">
        <v>24</v>
      </c>
      <c r="G3735" s="128" t="str">
        <f>VLOOKUP(source[[#This Row],[lending_product_transform]],[3]Mapping!$B$4:$C$37,2,0)</f>
        <v>[Cake] - Cashloan</v>
      </c>
      <c r="H3735" s="128" t="str">
        <f>VLOOKUP(source[[#This Row],[lending_product_transform]],[3]Mapping!$B$3:$D$37,3,0)</f>
        <v>cashloan</v>
      </c>
      <c r="I3735" s="135">
        <v>0</v>
      </c>
    </row>
    <row r="3736" spans="1:9" x14ac:dyDescent="0.2">
      <c r="A3736" s="134">
        <v>45631</v>
      </c>
      <c r="B3736" s="135">
        <f>YEAR(source[[#This Row],[report_date]])</f>
        <v>2024</v>
      </c>
      <c r="C3736" s="128">
        <f t="shared" si="168"/>
        <v>12</v>
      </c>
      <c r="D3736" s="136">
        <f t="shared" si="170"/>
        <v>49</v>
      </c>
      <c r="E3736" s="136">
        <f t="shared" si="169"/>
        <v>5</v>
      </c>
      <c r="F3736" s="128" t="s">
        <v>24</v>
      </c>
      <c r="G3736" s="128" t="str">
        <f>VLOOKUP(source[[#This Row],[lending_product_transform]],[3]Mapping!$B$4:$C$37,2,0)</f>
        <v>[Cake] - Cashloan</v>
      </c>
      <c r="H3736" s="128" t="str">
        <f>VLOOKUP(source[[#This Row],[lending_product_transform]],[3]Mapping!$B$3:$D$37,3,0)</f>
        <v>cashloan</v>
      </c>
      <c r="I3736" s="135">
        <v>0</v>
      </c>
    </row>
    <row r="3737" spans="1:9" x14ac:dyDescent="0.2">
      <c r="A3737" s="134">
        <v>45631</v>
      </c>
      <c r="B3737" s="135">
        <f>YEAR(source[[#This Row],[report_date]])</f>
        <v>2024</v>
      </c>
      <c r="C3737" s="128">
        <f t="shared" si="168"/>
        <v>12</v>
      </c>
      <c r="D3737" s="136">
        <f t="shared" si="170"/>
        <v>49</v>
      </c>
      <c r="E3737" s="136">
        <f t="shared" si="169"/>
        <v>5</v>
      </c>
      <c r="F3737" s="128" t="s">
        <v>24</v>
      </c>
      <c r="G3737" s="128" t="str">
        <f>VLOOKUP(source[[#This Row],[lending_product_transform]],[3]Mapping!$B$4:$C$37,2,0)</f>
        <v>[Cake] - Cashloan</v>
      </c>
      <c r="H3737" s="128" t="str">
        <f>VLOOKUP(source[[#This Row],[lending_product_transform]],[3]Mapping!$B$3:$D$37,3,0)</f>
        <v>cashloan</v>
      </c>
      <c r="I3737" s="135">
        <v>220094902</v>
      </c>
    </row>
    <row r="3738" spans="1:9" x14ac:dyDescent="0.2">
      <c r="A3738" s="134">
        <v>45631</v>
      </c>
      <c r="B3738" s="135">
        <f>YEAR(source[[#This Row],[report_date]])</f>
        <v>2024</v>
      </c>
      <c r="C3738" s="128">
        <f t="shared" si="168"/>
        <v>12</v>
      </c>
      <c r="D3738" s="136">
        <f t="shared" si="170"/>
        <v>49</v>
      </c>
      <c r="E3738" s="136">
        <f t="shared" si="169"/>
        <v>5</v>
      </c>
      <c r="F3738" s="128" t="s">
        <v>24</v>
      </c>
      <c r="G3738" s="128" t="str">
        <f>VLOOKUP(source[[#This Row],[lending_product_transform]],[3]Mapping!$B$4:$C$37,2,0)</f>
        <v>[Cake] - Cashloan</v>
      </c>
      <c r="H3738" s="128" t="str">
        <f>VLOOKUP(source[[#This Row],[lending_product_transform]],[3]Mapping!$B$3:$D$37,3,0)</f>
        <v>cashloan</v>
      </c>
      <c r="I3738" s="135">
        <v>34851783</v>
      </c>
    </row>
    <row r="3739" spans="1:9" x14ac:dyDescent="0.2">
      <c r="A3739" s="134">
        <v>45631</v>
      </c>
      <c r="B3739" s="135">
        <f>YEAR(source[[#This Row],[report_date]])</f>
        <v>2024</v>
      </c>
      <c r="C3739" s="128">
        <f t="shared" si="168"/>
        <v>12</v>
      </c>
      <c r="D3739" s="136">
        <f t="shared" si="170"/>
        <v>49</v>
      </c>
      <c r="E3739" s="136">
        <f t="shared" si="169"/>
        <v>5</v>
      </c>
      <c r="F3739" s="128" t="s">
        <v>24</v>
      </c>
      <c r="G3739" s="128" t="str">
        <f>VLOOKUP(source[[#This Row],[lending_product_transform]],[3]Mapping!$B$4:$C$37,2,0)</f>
        <v>[Cake] - Cashloan</v>
      </c>
      <c r="H3739" s="128" t="str">
        <f>VLOOKUP(source[[#This Row],[lending_product_transform]],[3]Mapping!$B$3:$D$37,3,0)</f>
        <v>cashloan</v>
      </c>
      <c r="I3739" s="135">
        <v>5008346171</v>
      </c>
    </row>
    <row r="3740" spans="1:9" x14ac:dyDescent="0.2">
      <c r="A3740" s="134">
        <v>45631</v>
      </c>
      <c r="B3740" s="135">
        <f>YEAR(source[[#This Row],[report_date]])</f>
        <v>2024</v>
      </c>
      <c r="C3740" s="128">
        <f t="shared" si="168"/>
        <v>12</v>
      </c>
      <c r="D3740" s="136">
        <f t="shared" si="170"/>
        <v>49</v>
      </c>
      <c r="E3740" s="136">
        <f t="shared" si="169"/>
        <v>5</v>
      </c>
      <c r="F3740" s="128" t="s">
        <v>24</v>
      </c>
      <c r="G3740" s="128" t="str">
        <f>VLOOKUP(source[[#This Row],[lending_product_transform]],[3]Mapping!$B$4:$C$37,2,0)</f>
        <v>[Cake] - Cashloan</v>
      </c>
      <c r="H3740" s="128" t="str">
        <f>VLOOKUP(source[[#This Row],[lending_product_transform]],[3]Mapping!$B$3:$D$37,3,0)</f>
        <v>cashloan</v>
      </c>
      <c r="I3740" s="135">
        <v>224846251</v>
      </c>
    </row>
    <row r="3741" spans="1:9" x14ac:dyDescent="0.2">
      <c r="A3741" s="134">
        <v>45631</v>
      </c>
      <c r="B3741" s="135">
        <f>YEAR(source[[#This Row],[report_date]])</f>
        <v>2024</v>
      </c>
      <c r="C3741" s="128">
        <f t="shared" si="168"/>
        <v>12</v>
      </c>
      <c r="D3741" s="136">
        <f t="shared" si="170"/>
        <v>49</v>
      </c>
      <c r="E3741" s="136">
        <f t="shared" si="169"/>
        <v>5</v>
      </c>
      <c r="F3741" s="128" t="s">
        <v>24</v>
      </c>
      <c r="G3741" s="128" t="str">
        <f>VLOOKUP(source[[#This Row],[lending_product_transform]],[3]Mapping!$B$4:$C$37,2,0)</f>
        <v>[Cake] - Cashloan</v>
      </c>
      <c r="H3741" s="128" t="str">
        <f>VLOOKUP(source[[#This Row],[lending_product_transform]],[3]Mapping!$B$3:$D$37,3,0)</f>
        <v>cashloan</v>
      </c>
      <c r="I3741" s="135">
        <v>31500000</v>
      </c>
    </row>
    <row r="3742" spans="1:9" x14ac:dyDescent="0.2">
      <c r="A3742" s="134">
        <v>45631</v>
      </c>
      <c r="B3742" s="135">
        <f>YEAR(source[[#This Row],[report_date]])</f>
        <v>2024</v>
      </c>
      <c r="C3742" s="128">
        <f t="shared" si="168"/>
        <v>12</v>
      </c>
      <c r="D3742" s="136">
        <f t="shared" si="170"/>
        <v>49</v>
      </c>
      <c r="E3742" s="136">
        <f t="shared" si="169"/>
        <v>5</v>
      </c>
      <c r="F3742" s="128" t="s">
        <v>24</v>
      </c>
      <c r="G3742" s="128" t="str">
        <f>VLOOKUP(source[[#This Row],[lending_product_transform]],[3]Mapping!$B$4:$C$37,2,0)</f>
        <v>[Cake] - Cashloan</v>
      </c>
      <c r="H3742" s="128" t="str">
        <f>VLOOKUP(source[[#This Row],[lending_product_transform]],[3]Mapping!$B$3:$D$37,3,0)</f>
        <v>cashloan</v>
      </c>
      <c r="I3742" s="135">
        <v>767109555</v>
      </c>
    </row>
    <row r="3743" spans="1:9" x14ac:dyDescent="0.2">
      <c r="A3743" s="134">
        <v>45631</v>
      </c>
      <c r="B3743" s="135">
        <f>YEAR(source[[#This Row],[report_date]])</f>
        <v>2024</v>
      </c>
      <c r="C3743" s="128">
        <f t="shared" si="168"/>
        <v>12</v>
      </c>
      <c r="D3743" s="136">
        <f t="shared" si="170"/>
        <v>49</v>
      </c>
      <c r="E3743" s="136">
        <f t="shared" si="169"/>
        <v>5</v>
      </c>
      <c r="F3743" s="128" t="s">
        <v>24</v>
      </c>
      <c r="G3743" s="128" t="str">
        <f>VLOOKUP(source[[#This Row],[lending_product_transform]],[3]Mapping!$B$4:$C$37,2,0)</f>
        <v>[Cake] - Cashloan</v>
      </c>
      <c r="H3743" s="128" t="str">
        <f>VLOOKUP(source[[#This Row],[lending_product_transform]],[3]Mapping!$B$3:$D$37,3,0)</f>
        <v>cashloan</v>
      </c>
      <c r="I3743" s="135">
        <v>10700000</v>
      </c>
    </row>
    <row r="3744" spans="1:9" x14ac:dyDescent="0.2">
      <c r="A3744" s="134">
        <v>45631</v>
      </c>
      <c r="B3744" s="135">
        <f>YEAR(source[[#This Row],[report_date]])</f>
        <v>2024</v>
      </c>
      <c r="C3744" s="128">
        <f t="shared" si="168"/>
        <v>12</v>
      </c>
      <c r="D3744" s="136">
        <f t="shared" si="170"/>
        <v>49</v>
      </c>
      <c r="E3744" s="136">
        <f t="shared" si="169"/>
        <v>5</v>
      </c>
      <c r="F3744" s="128" t="s">
        <v>24</v>
      </c>
      <c r="G3744" s="128" t="str">
        <f>VLOOKUP(source[[#This Row],[lending_product_transform]],[3]Mapping!$B$4:$C$37,2,0)</f>
        <v>[Cake] - Cashloan</v>
      </c>
      <c r="H3744" s="128" t="str">
        <f>VLOOKUP(source[[#This Row],[lending_product_transform]],[3]Mapping!$B$3:$D$37,3,0)</f>
        <v>cashloan</v>
      </c>
      <c r="I3744" s="135">
        <v>155520000</v>
      </c>
    </row>
    <row r="3745" spans="1:9" x14ac:dyDescent="0.2">
      <c r="A3745" s="134">
        <v>45631</v>
      </c>
      <c r="B3745" s="135">
        <f>YEAR(source[[#This Row],[report_date]])</f>
        <v>2024</v>
      </c>
      <c r="C3745" s="128">
        <f t="shared" si="168"/>
        <v>12</v>
      </c>
      <c r="D3745" s="136">
        <f t="shared" si="170"/>
        <v>49</v>
      </c>
      <c r="E3745" s="136">
        <f t="shared" si="169"/>
        <v>5</v>
      </c>
      <c r="F3745" s="128" t="s">
        <v>24</v>
      </c>
      <c r="G3745" s="128" t="str">
        <f>VLOOKUP(source[[#This Row],[lending_product_transform]],[3]Mapping!$B$4:$C$37,2,0)</f>
        <v>[Cake] - Cashloan</v>
      </c>
      <c r="H3745" s="128" t="str">
        <f>VLOOKUP(source[[#This Row],[lending_product_transform]],[3]Mapping!$B$3:$D$37,3,0)</f>
        <v>cashloan</v>
      </c>
      <c r="I3745" s="135">
        <v>21400000</v>
      </c>
    </row>
    <row r="3746" spans="1:9" x14ac:dyDescent="0.2">
      <c r="A3746" s="134">
        <v>45631</v>
      </c>
      <c r="B3746" s="135">
        <f>YEAR(source[[#This Row],[report_date]])</f>
        <v>2024</v>
      </c>
      <c r="C3746" s="128">
        <f t="shared" si="168"/>
        <v>12</v>
      </c>
      <c r="D3746" s="136">
        <f t="shared" si="170"/>
        <v>49</v>
      </c>
      <c r="E3746" s="136">
        <f t="shared" si="169"/>
        <v>5</v>
      </c>
      <c r="F3746" s="128" t="s">
        <v>24</v>
      </c>
      <c r="G3746" s="128" t="str">
        <f>VLOOKUP(source[[#This Row],[lending_product_transform]],[3]Mapping!$B$4:$C$37,2,0)</f>
        <v>[Cake] - Cashloan</v>
      </c>
      <c r="H3746" s="128" t="str">
        <f>VLOOKUP(source[[#This Row],[lending_product_transform]],[3]Mapping!$B$3:$D$37,3,0)</f>
        <v>cashloan</v>
      </c>
      <c r="I3746" s="135">
        <v>0</v>
      </c>
    </row>
    <row r="3747" spans="1:9" x14ac:dyDescent="0.2">
      <c r="A3747" s="134">
        <v>45631</v>
      </c>
      <c r="B3747" s="135">
        <f>YEAR(source[[#This Row],[report_date]])</f>
        <v>2024</v>
      </c>
      <c r="C3747" s="128">
        <f t="shared" si="168"/>
        <v>12</v>
      </c>
      <c r="D3747" s="136">
        <f t="shared" si="170"/>
        <v>49</v>
      </c>
      <c r="E3747" s="136">
        <f t="shared" si="169"/>
        <v>5</v>
      </c>
      <c r="F3747" s="128" t="s">
        <v>24</v>
      </c>
      <c r="G3747" s="128" t="str">
        <f>VLOOKUP(source[[#This Row],[lending_product_transform]],[3]Mapping!$B$4:$C$37,2,0)</f>
        <v>[Cake] - Cashloan</v>
      </c>
      <c r="H3747" s="128" t="str">
        <f>VLOOKUP(source[[#This Row],[lending_product_transform]],[3]Mapping!$B$3:$D$37,3,0)</f>
        <v>cashloan</v>
      </c>
      <c r="I3747" s="135">
        <v>7100540000</v>
      </c>
    </row>
    <row r="3748" spans="1:9" x14ac:dyDescent="0.2">
      <c r="A3748" s="134">
        <v>45631</v>
      </c>
      <c r="B3748" s="135">
        <f>YEAR(source[[#This Row],[report_date]])</f>
        <v>2024</v>
      </c>
      <c r="C3748" s="128">
        <f t="shared" si="168"/>
        <v>12</v>
      </c>
      <c r="D3748" s="136">
        <f t="shared" si="170"/>
        <v>49</v>
      </c>
      <c r="E3748" s="136">
        <f t="shared" si="169"/>
        <v>5</v>
      </c>
      <c r="F3748" s="128" t="s">
        <v>24</v>
      </c>
      <c r="G3748" s="128" t="str">
        <f>VLOOKUP(source[[#This Row],[lending_product_transform]],[3]Mapping!$B$4:$C$37,2,0)</f>
        <v>[Cake] - Cashloan</v>
      </c>
      <c r="H3748" s="128" t="str">
        <f>VLOOKUP(source[[#This Row],[lending_product_transform]],[3]Mapping!$B$3:$D$37,3,0)</f>
        <v>cashloan</v>
      </c>
      <c r="I3748" s="135">
        <v>6704500000</v>
      </c>
    </row>
    <row r="3749" spans="1:9" x14ac:dyDescent="0.2">
      <c r="A3749" s="134">
        <v>45631</v>
      </c>
      <c r="B3749" s="135">
        <f>YEAR(source[[#This Row],[report_date]])</f>
        <v>2024</v>
      </c>
      <c r="C3749" s="128">
        <f t="shared" si="168"/>
        <v>12</v>
      </c>
      <c r="D3749" s="136">
        <f t="shared" si="170"/>
        <v>49</v>
      </c>
      <c r="E3749" s="136">
        <f t="shared" si="169"/>
        <v>5</v>
      </c>
      <c r="F3749" s="128" t="s">
        <v>24</v>
      </c>
      <c r="G3749" s="128" t="str">
        <f>VLOOKUP(source[[#This Row],[lending_product_transform]],[3]Mapping!$B$4:$C$37,2,0)</f>
        <v>[Cake] - Cashloan</v>
      </c>
      <c r="H3749" s="128" t="str">
        <f>VLOOKUP(source[[#This Row],[lending_product_transform]],[3]Mapping!$B$3:$D$37,3,0)</f>
        <v>cashloan</v>
      </c>
      <c r="I3749" s="135">
        <v>6647230000</v>
      </c>
    </row>
    <row r="3750" spans="1:9" x14ac:dyDescent="0.2">
      <c r="A3750" s="134">
        <v>45632</v>
      </c>
      <c r="B3750" s="135">
        <f>YEAR(source[[#This Row],[report_date]])</f>
        <v>2024</v>
      </c>
      <c r="C3750" s="128">
        <f t="shared" si="168"/>
        <v>12</v>
      </c>
      <c r="D3750" s="136">
        <f t="shared" si="170"/>
        <v>49</v>
      </c>
      <c r="E3750" s="136">
        <f t="shared" si="169"/>
        <v>6</v>
      </c>
      <c r="F3750" s="128" t="s">
        <v>24</v>
      </c>
      <c r="G3750" s="128" t="str">
        <f>VLOOKUP(source[[#This Row],[lending_product_transform]],[3]Mapping!$B$4:$C$37,2,0)</f>
        <v>[Cake] - Cashloan</v>
      </c>
      <c r="H3750" s="128" t="str">
        <f>VLOOKUP(source[[#This Row],[lending_product_transform]],[3]Mapping!$B$3:$D$37,3,0)</f>
        <v>cashloan</v>
      </c>
      <c r="I3750" s="135">
        <v>0</v>
      </c>
    </row>
    <row r="3751" spans="1:9" x14ac:dyDescent="0.2">
      <c r="A3751" s="134">
        <v>45632</v>
      </c>
      <c r="B3751" s="135">
        <f>YEAR(source[[#This Row],[report_date]])</f>
        <v>2024</v>
      </c>
      <c r="C3751" s="128">
        <f t="shared" si="168"/>
        <v>12</v>
      </c>
      <c r="D3751" s="136">
        <f t="shared" si="170"/>
        <v>49</v>
      </c>
      <c r="E3751" s="136">
        <f t="shared" si="169"/>
        <v>6</v>
      </c>
      <c r="F3751" s="128" t="s">
        <v>24</v>
      </c>
      <c r="G3751" s="128" t="str">
        <f>VLOOKUP(source[[#This Row],[lending_product_transform]],[3]Mapping!$B$4:$C$37,2,0)</f>
        <v>[Cake] - Cashloan</v>
      </c>
      <c r="H3751" s="128" t="str">
        <f>VLOOKUP(source[[#This Row],[lending_product_transform]],[3]Mapping!$B$3:$D$37,3,0)</f>
        <v>cashloan</v>
      </c>
      <c r="I3751" s="135">
        <v>4885860000</v>
      </c>
    </row>
    <row r="3752" spans="1:9" x14ac:dyDescent="0.2">
      <c r="A3752" s="134">
        <v>45632</v>
      </c>
      <c r="B3752" s="135">
        <f>YEAR(source[[#This Row],[report_date]])</f>
        <v>2024</v>
      </c>
      <c r="C3752" s="128">
        <f t="shared" si="168"/>
        <v>12</v>
      </c>
      <c r="D3752" s="136">
        <f t="shared" si="170"/>
        <v>49</v>
      </c>
      <c r="E3752" s="136">
        <f t="shared" si="169"/>
        <v>6</v>
      </c>
      <c r="F3752" s="128" t="s">
        <v>24</v>
      </c>
      <c r="G3752" s="128" t="str">
        <f>VLOOKUP(source[[#This Row],[lending_product_transform]],[3]Mapping!$B$4:$C$37,2,0)</f>
        <v>[Cake] - Cashloan</v>
      </c>
      <c r="H3752" s="128" t="str">
        <f>VLOOKUP(source[[#This Row],[lending_product_transform]],[3]Mapping!$B$3:$D$37,3,0)</f>
        <v>cashloan</v>
      </c>
      <c r="I3752" s="135">
        <v>0</v>
      </c>
    </row>
    <row r="3753" spans="1:9" x14ac:dyDescent="0.2">
      <c r="A3753" s="134">
        <v>45632</v>
      </c>
      <c r="B3753" s="135">
        <f>YEAR(source[[#This Row],[report_date]])</f>
        <v>2024</v>
      </c>
      <c r="C3753" s="128">
        <f t="shared" si="168"/>
        <v>12</v>
      </c>
      <c r="D3753" s="136">
        <f t="shared" si="170"/>
        <v>49</v>
      </c>
      <c r="E3753" s="136">
        <f t="shared" si="169"/>
        <v>6</v>
      </c>
      <c r="F3753" s="128" t="s">
        <v>24</v>
      </c>
      <c r="G3753" s="128" t="str">
        <f>VLOOKUP(source[[#This Row],[lending_product_transform]],[3]Mapping!$B$4:$C$37,2,0)</f>
        <v>[Cake] - Cashloan</v>
      </c>
      <c r="H3753" s="128" t="str">
        <f>VLOOKUP(source[[#This Row],[lending_product_transform]],[3]Mapping!$B$3:$D$37,3,0)</f>
        <v>cashloan</v>
      </c>
      <c r="I3753" s="135">
        <v>35000000</v>
      </c>
    </row>
    <row r="3754" spans="1:9" x14ac:dyDescent="0.2">
      <c r="A3754" s="134">
        <v>45632</v>
      </c>
      <c r="B3754" s="135">
        <f>YEAR(source[[#This Row],[report_date]])</f>
        <v>2024</v>
      </c>
      <c r="C3754" s="128">
        <f t="shared" si="168"/>
        <v>12</v>
      </c>
      <c r="D3754" s="136">
        <f t="shared" si="170"/>
        <v>49</v>
      </c>
      <c r="E3754" s="136">
        <f t="shared" si="169"/>
        <v>6</v>
      </c>
      <c r="F3754" s="128" t="s">
        <v>24</v>
      </c>
      <c r="G3754" s="128" t="str">
        <f>VLOOKUP(source[[#This Row],[lending_product_transform]],[3]Mapping!$B$4:$C$37,2,0)</f>
        <v>[Cake] - Cashloan</v>
      </c>
      <c r="H3754" s="128" t="str">
        <f>VLOOKUP(source[[#This Row],[lending_product_transform]],[3]Mapping!$B$3:$D$37,3,0)</f>
        <v>cashloan</v>
      </c>
      <c r="I3754" s="135">
        <v>21000000</v>
      </c>
    </row>
    <row r="3755" spans="1:9" x14ac:dyDescent="0.2">
      <c r="A3755" s="134">
        <v>45632</v>
      </c>
      <c r="B3755" s="135">
        <f>YEAR(source[[#This Row],[report_date]])</f>
        <v>2024</v>
      </c>
      <c r="C3755" s="128">
        <f t="shared" si="168"/>
        <v>12</v>
      </c>
      <c r="D3755" s="136">
        <f t="shared" si="170"/>
        <v>49</v>
      </c>
      <c r="E3755" s="136">
        <f t="shared" si="169"/>
        <v>6</v>
      </c>
      <c r="F3755" s="128" t="s">
        <v>24</v>
      </c>
      <c r="G3755" s="128" t="str">
        <f>VLOOKUP(source[[#This Row],[lending_product_transform]],[3]Mapping!$B$4:$C$37,2,0)</f>
        <v>[Cake] - Cashloan</v>
      </c>
      <c r="H3755" s="128" t="str">
        <f>VLOOKUP(source[[#This Row],[lending_product_transform]],[3]Mapping!$B$3:$D$37,3,0)</f>
        <v>cashloan</v>
      </c>
      <c r="I3755" s="135">
        <v>4414960000</v>
      </c>
    </row>
    <row r="3756" spans="1:9" x14ac:dyDescent="0.2">
      <c r="A3756" s="134">
        <v>45632</v>
      </c>
      <c r="B3756" s="135">
        <f>YEAR(source[[#This Row],[report_date]])</f>
        <v>2024</v>
      </c>
      <c r="C3756" s="128">
        <f t="shared" si="168"/>
        <v>12</v>
      </c>
      <c r="D3756" s="136">
        <f t="shared" si="170"/>
        <v>49</v>
      </c>
      <c r="E3756" s="136">
        <f t="shared" si="169"/>
        <v>6</v>
      </c>
      <c r="F3756" s="128" t="s">
        <v>24</v>
      </c>
      <c r="G3756" s="128" t="str">
        <f>VLOOKUP(source[[#This Row],[lending_product_transform]],[3]Mapping!$B$4:$C$37,2,0)</f>
        <v>[Cake] - Cashloan</v>
      </c>
      <c r="H3756" s="128" t="str">
        <f>VLOOKUP(source[[#This Row],[lending_product_transform]],[3]Mapping!$B$3:$D$37,3,0)</f>
        <v>cashloan</v>
      </c>
      <c r="I3756" s="135">
        <v>67311496</v>
      </c>
    </row>
    <row r="3757" spans="1:9" x14ac:dyDescent="0.2">
      <c r="A3757" s="134">
        <v>45632</v>
      </c>
      <c r="B3757" s="135">
        <f>YEAR(source[[#This Row],[report_date]])</f>
        <v>2024</v>
      </c>
      <c r="C3757" s="128">
        <f t="shared" si="168"/>
        <v>12</v>
      </c>
      <c r="D3757" s="136">
        <f t="shared" si="170"/>
        <v>49</v>
      </c>
      <c r="E3757" s="136">
        <f t="shared" si="169"/>
        <v>6</v>
      </c>
      <c r="F3757" s="128" t="s">
        <v>24</v>
      </c>
      <c r="G3757" s="128" t="str">
        <f>VLOOKUP(source[[#This Row],[lending_product_transform]],[3]Mapping!$B$4:$C$37,2,0)</f>
        <v>[Cake] - Cashloan</v>
      </c>
      <c r="H3757" s="128" t="str">
        <f>VLOOKUP(source[[#This Row],[lending_product_transform]],[3]Mapping!$B$3:$D$37,3,0)</f>
        <v>cashloan</v>
      </c>
      <c r="I3757" s="135">
        <v>0</v>
      </c>
    </row>
    <row r="3758" spans="1:9" x14ac:dyDescent="0.2">
      <c r="A3758" s="134">
        <v>45632</v>
      </c>
      <c r="B3758" s="135">
        <f>YEAR(source[[#This Row],[report_date]])</f>
        <v>2024</v>
      </c>
      <c r="C3758" s="128">
        <f t="shared" si="168"/>
        <v>12</v>
      </c>
      <c r="D3758" s="136">
        <f t="shared" si="170"/>
        <v>49</v>
      </c>
      <c r="E3758" s="136">
        <f t="shared" si="169"/>
        <v>6</v>
      </c>
      <c r="F3758" s="128" t="s">
        <v>24</v>
      </c>
      <c r="G3758" s="128" t="str">
        <f>VLOOKUP(source[[#This Row],[lending_product_transform]],[3]Mapping!$B$4:$C$37,2,0)</f>
        <v>[Cake] - Cashloan</v>
      </c>
      <c r="H3758" s="128" t="str">
        <f>VLOOKUP(source[[#This Row],[lending_product_transform]],[3]Mapping!$B$3:$D$37,3,0)</f>
        <v>cashloan</v>
      </c>
      <c r="I3758" s="135">
        <v>6179000000</v>
      </c>
    </row>
    <row r="3759" spans="1:9" x14ac:dyDescent="0.2">
      <c r="A3759" s="134">
        <v>45632</v>
      </c>
      <c r="B3759" s="135">
        <f>YEAR(source[[#This Row],[report_date]])</f>
        <v>2024</v>
      </c>
      <c r="C3759" s="128">
        <f t="shared" si="168"/>
        <v>12</v>
      </c>
      <c r="D3759" s="136">
        <f t="shared" si="170"/>
        <v>49</v>
      </c>
      <c r="E3759" s="136">
        <f t="shared" si="169"/>
        <v>6</v>
      </c>
      <c r="F3759" s="128" t="s">
        <v>24</v>
      </c>
      <c r="G3759" s="128" t="str">
        <f>VLOOKUP(source[[#This Row],[lending_product_transform]],[3]Mapping!$B$4:$C$37,2,0)</f>
        <v>[Cake] - Cashloan</v>
      </c>
      <c r="H3759" s="128" t="str">
        <f>VLOOKUP(source[[#This Row],[lending_product_transform]],[3]Mapping!$B$3:$D$37,3,0)</f>
        <v>cashloan</v>
      </c>
      <c r="I3759" s="135">
        <v>0</v>
      </c>
    </row>
    <row r="3760" spans="1:9" x14ac:dyDescent="0.2">
      <c r="A3760" s="134">
        <v>45632</v>
      </c>
      <c r="B3760" s="135">
        <f>YEAR(source[[#This Row],[report_date]])</f>
        <v>2024</v>
      </c>
      <c r="C3760" s="128">
        <f t="shared" si="168"/>
        <v>12</v>
      </c>
      <c r="D3760" s="136">
        <f t="shared" si="170"/>
        <v>49</v>
      </c>
      <c r="E3760" s="136">
        <f t="shared" si="169"/>
        <v>6</v>
      </c>
      <c r="F3760" s="128" t="s">
        <v>24</v>
      </c>
      <c r="G3760" s="128" t="str">
        <f>VLOOKUP(source[[#This Row],[lending_product_transform]],[3]Mapping!$B$4:$C$37,2,0)</f>
        <v>[Cake] - Cashloan</v>
      </c>
      <c r="H3760" s="128" t="str">
        <f>VLOOKUP(source[[#This Row],[lending_product_transform]],[3]Mapping!$B$3:$D$37,3,0)</f>
        <v>cashloan</v>
      </c>
      <c r="I3760" s="135">
        <v>97740000</v>
      </c>
    </row>
    <row r="3761" spans="1:9" x14ac:dyDescent="0.2">
      <c r="A3761" s="134">
        <v>45632</v>
      </c>
      <c r="B3761" s="135">
        <f>YEAR(source[[#This Row],[report_date]])</f>
        <v>2024</v>
      </c>
      <c r="C3761" s="128">
        <f t="shared" si="168"/>
        <v>12</v>
      </c>
      <c r="D3761" s="136">
        <f t="shared" si="170"/>
        <v>49</v>
      </c>
      <c r="E3761" s="136">
        <f t="shared" si="169"/>
        <v>6</v>
      </c>
      <c r="F3761" s="128" t="s">
        <v>24</v>
      </c>
      <c r="G3761" s="128" t="str">
        <f>VLOOKUP(source[[#This Row],[lending_product_transform]],[3]Mapping!$B$4:$C$37,2,0)</f>
        <v>[Cake] - Cashloan</v>
      </c>
      <c r="H3761" s="128" t="str">
        <f>VLOOKUP(source[[#This Row],[lending_product_transform]],[3]Mapping!$B$3:$D$37,3,0)</f>
        <v>cashloan</v>
      </c>
      <c r="I3761" s="135">
        <v>0</v>
      </c>
    </row>
    <row r="3762" spans="1:9" x14ac:dyDescent="0.2">
      <c r="A3762" s="134">
        <v>45632</v>
      </c>
      <c r="B3762" s="135">
        <f>YEAR(source[[#This Row],[report_date]])</f>
        <v>2024</v>
      </c>
      <c r="C3762" s="128">
        <f t="shared" si="168"/>
        <v>12</v>
      </c>
      <c r="D3762" s="136">
        <f t="shared" si="170"/>
        <v>49</v>
      </c>
      <c r="E3762" s="136">
        <f t="shared" si="169"/>
        <v>6</v>
      </c>
      <c r="F3762" s="128" t="s">
        <v>24</v>
      </c>
      <c r="G3762" s="128" t="str">
        <f>VLOOKUP(source[[#This Row],[lending_product_transform]],[3]Mapping!$B$4:$C$37,2,0)</f>
        <v>[Cake] - Cashloan</v>
      </c>
      <c r="H3762" s="128" t="str">
        <f>VLOOKUP(source[[#This Row],[lending_product_transform]],[3]Mapping!$B$3:$D$37,3,0)</f>
        <v>cashloan</v>
      </c>
      <c r="I3762" s="135">
        <v>0</v>
      </c>
    </row>
    <row r="3763" spans="1:9" x14ac:dyDescent="0.2">
      <c r="A3763" s="134">
        <v>45632</v>
      </c>
      <c r="B3763" s="135">
        <f>YEAR(source[[#This Row],[report_date]])</f>
        <v>2024</v>
      </c>
      <c r="C3763" s="128">
        <f t="shared" si="168"/>
        <v>12</v>
      </c>
      <c r="D3763" s="136">
        <f t="shared" si="170"/>
        <v>49</v>
      </c>
      <c r="E3763" s="136">
        <f t="shared" si="169"/>
        <v>6</v>
      </c>
      <c r="F3763" s="128" t="s">
        <v>24</v>
      </c>
      <c r="G3763" s="128" t="str">
        <f>VLOOKUP(source[[#This Row],[lending_product_transform]],[3]Mapping!$B$4:$C$37,2,0)</f>
        <v>[Cake] - Cashloan</v>
      </c>
      <c r="H3763" s="128" t="str">
        <f>VLOOKUP(source[[#This Row],[lending_product_transform]],[3]Mapping!$B$3:$D$37,3,0)</f>
        <v>cashloan</v>
      </c>
      <c r="I3763" s="135">
        <v>167709387</v>
      </c>
    </row>
    <row r="3764" spans="1:9" x14ac:dyDescent="0.2">
      <c r="A3764" s="134">
        <v>45632</v>
      </c>
      <c r="B3764" s="135">
        <f>YEAR(source[[#This Row],[report_date]])</f>
        <v>2024</v>
      </c>
      <c r="C3764" s="128">
        <f t="shared" si="168"/>
        <v>12</v>
      </c>
      <c r="D3764" s="136">
        <f t="shared" si="170"/>
        <v>49</v>
      </c>
      <c r="E3764" s="136">
        <f t="shared" si="169"/>
        <v>6</v>
      </c>
      <c r="F3764" s="128" t="s">
        <v>24</v>
      </c>
      <c r="G3764" s="128" t="str">
        <f>VLOOKUP(source[[#This Row],[lending_product_transform]],[3]Mapping!$B$4:$C$37,2,0)</f>
        <v>[Cake] - Cashloan</v>
      </c>
      <c r="H3764" s="128" t="str">
        <f>VLOOKUP(source[[#This Row],[lending_product_transform]],[3]Mapping!$B$3:$D$37,3,0)</f>
        <v>cashloan</v>
      </c>
      <c r="I3764" s="135">
        <v>634489346</v>
      </c>
    </row>
    <row r="3765" spans="1:9" x14ac:dyDescent="0.2">
      <c r="A3765" s="134">
        <v>45632</v>
      </c>
      <c r="B3765" s="135">
        <f>YEAR(source[[#This Row],[report_date]])</f>
        <v>2024</v>
      </c>
      <c r="C3765" s="128">
        <f t="shared" si="168"/>
        <v>12</v>
      </c>
      <c r="D3765" s="136">
        <f t="shared" si="170"/>
        <v>49</v>
      </c>
      <c r="E3765" s="136">
        <f t="shared" si="169"/>
        <v>6</v>
      </c>
      <c r="F3765" s="128" t="s">
        <v>24</v>
      </c>
      <c r="G3765" s="128" t="str">
        <f>VLOOKUP(source[[#This Row],[lending_product_transform]],[3]Mapping!$B$4:$C$37,2,0)</f>
        <v>[Cake] - Cashloan</v>
      </c>
      <c r="H3765" s="128" t="str">
        <f>VLOOKUP(source[[#This Row],[lending_product_transform]],[3]Mapping!$B$3:$D$37,3,0)</f>
        <v>cashloan</v>
      </c>
      <c r="I3765" s="135">
        <v>256714615</v>
      </c>
    </row>
    <row r="3766" spans="1:9" x14ac:dyDescent="0.2">
      <c r="A3766" s="134">
        <v>45632</v>
      </c>
      <c r="B3766" s="135">
        <f>YEAR(source[[#This Row],[report_date]])</f>
        <v>2024</v>
      </c>
      <c r="C3766" s="128">
        <f t="shared" si="168"/>
        <v>12</v>
      </c>
      <c r="D3766" s="136">
        <f t="shared" si="170"/>
        <v>49</v>
      </c>
      <c r="E3766" s="136">
        <f t="shared" si="169"/>
        <v>6</v>
      </c>
      <c r="F3766" s="128" t="s">
        <v>24</v>
      </c>
      <c r="G3766" s="128" t="str">
        <f>VLOOKUP(source[[#This Row],[lending_product_transform]],[3]Mapping!$B$4:$C$37,2,0)</f>
        <v>[Cake] - Cashloan</v>
      </c>
      <c r="H3766" s="128" t="str">
        <f>VLOOKUP(source[[#This Row],[lending_product_transform]],[3]Mapping!$B$3:$D$37,3,0)</f>
        <v>cashloan</v>
      </c>
      <c r="I3766" s="135">
        <v>3688396128</v>
      </c>
    </row>
    <row r="3767" spans="1:9" x14ac:dyDescent="0.2">
      <c r="A3767" s="134">
        <v>45632</v>
      </c>
      <c r="B3767" s="135">
        <f>YEAR(source[[#This Row],[report_date]])</f>
        <v>2024</v>
      </c>
      <c r="C3767" s="128">
        <f t="shared" si="168"/>
        <v>12</v>
      </c>
      <c r="D3767" s="136">
        <f t="shared" si="170"/>
        <v>49</v>
      </c>
      <c r="E3767" s="136">
        <f t="shared" si="169"/>
        <v>6</v>
      </c>
      <c r="F3767" s="128" t="s">
        <v>24</v>
      </c>
      <c r="G3767" s="128" t="str">
        <f>VLOOKUP(source[[#This Row],[lending_product_transform]],[3]Mapping!$B$4:$C$37,2,0)</f>
        <v>[Cake] - Cashloan</v>
      </c>
      <c r="H3767" s="128" t="str">
        <f>VLOOKUP(source[[#This Row],[lending_product_transform]],[3]Mapping!$B$3:$D$37,3,0)</f>
        <v>cashloan</v>
      </c>
      <c r="I3767" s="135">
        <v>345310000</v>
      </c>
    </row>
    <row r="3768" spans="1:9" x14ac:dyDescent="0.2">
      <c r="A3768" s="134">
        <v>45633</v>
      </c>
      <c r="B3768" s="135">
        <f>YEAR(source[[#This Row],[report_date]])</f>
        <v>2024</v>
      </c>
      <c r="C3768" s="128">
        <f t="shared" si="168"/>
        <v>12</v>
      </c>
      <c r="D3768" s="136">
        <f t="shared" si="170"/>
        <v>49</v>
      </c>
      <c r="E3768" s="136">
        <f t="shared" si="169"/>
        <v>7</v>
      </c>
      <c r="F3768" s="128" t="s">
        <v>24</v>
      </c>
      <c r="G3768" s="128" t="str">
        <f>VLOOKUP(source[[#This Row],[lending_product_transform]],[3]Mapping!$B$4:$C$37,2,0)</f>
        <v>[Cake] - Cashloan</v>
      </c>
      <c r="H3768" s="128" t="str">
        <f>VLOOKUP(source[[#This Row],[lending_product_transform]],[3]Mapping!$B$3:$D$37,3,0)</f>
        <v>cashloan</v>
      </c>
      <c r="I3768" s="135">
        <v>3375508852</v>
      </c>
    </row>
    <row r="3769" spans="1:9" x14ac:dyDescent="0.2">
      <c r="A3769" s="134">
        <v>45633</v>
      </c>
      <c r="B3769" s="135">
        <f>YEAR(source[[#This Row],[report_date]])</f>
        <v>2024</v>
      </c>
      <c r="C3769" s="128">
        <f t="shared" si="168"/>
        <v>12</v>
      </c>
      <c r="D3769" s="136">
        <f t="shared" si="170"/>
        <v>49</v>
      </c>
      <c r="E3769" s="136">
        <f t="shared" si="169"/>
        <v>7</v>
      </c>
      <c r="F3769" s="128" t="s">
        <v>24</v>
      </c>
      <c r="G3769" s="128" t="str">
        <f>VLOOKUP(source[[#This Row],[lending_product_transform]],[3]Mapping!$B$4:$C$37,2,0)</f>
        <v>[Cake] - Cashloan</v>
      </c>
      <c r="H3769" s="128" t="str">
        <f>VLOOKUP(source[[#This Row],[lending_product_transform]],[3]Mapping!$B$3:$D$37,3,0)</f>
        <v>cashloan</v>
      </c>
      <c r="I3769" s="135">
        <v>5588860000</v>
      </c>
    </row>
    <row r="3770" spans="1:9" x14ac:dyDescent="0.2">
      <c r="A3770" s="134">
        <v>45633</v>
      </c>
      <c r="B3770" s="135">
        <f>YEAR(source[[#This Row],[report_date]])</f>
        <v>2024</v>
      </c>
      <c r="C3770" s="128">
        <f t="shared" si="168"/>
        <v>12</v>
      </c>
      <c r="D3770" s="136">
        <f t="shared" si="170"/>
        <v>49</v>
      </c>
      <c r="E3770" s="136">
        <f t="shared" si="169"/>
        <v>7</v>
      </c>
      <c r="F3770" s="128" t="s">
        <v>24</v>
      </c>
      <c r="G3770" s="128" t="str">
        <f>VLOOKUP(source[[#This Row],[lending_product_transform]],[3]Mapping!$B$4:$C$37,2,0)</f>
        <v>[Cake] - Cashloan</v>
      </c>
      <c r="H3770" s="128" t="str">
        <f>VLOOKUP(source[[#This Row],[lending_product_transform]],[3]Mapping!$B$3:$D$37,3,0)</f>
        <v>cashloan</v>
      </c>
      <c r="I3770" s="135">
        <v>117370000</v>
      </c>
    </row>
    <row r="3771" spans="1:9" x14ac:dyDescent="0.2">
      <c r="A3771" s="134">
        <v>45633</v>
      </c>
      <c r="B3771" s="135">
        <f>YEAR(source[[#This Row],[report_date]])</f>
        <v>2024</v>
      </c>
      <c r="C3771" s="128">
        <f t="shared" si="168"/>
        <v>12</v>
      </c>
      <c r="D3771" s="136">
        <f t="shared" si="170"/>
        <v>49</v>
      </c>
      <c r="E3771" s="136">
        <f t="shared" si="169"/>
        <v>7</v>
      </c>
      <c r="F3771" s="128" t="s">
        <v>24</v>
      </c>
      <c r="G3771" s="128" t="str">
        <f>VLOOKUP(source[[#This Row],[lending_product_transform]],[3]Mapping!$B$4:$C$37,2,0)</f>
        <v>[Cake] - Cashloan</v>
      </c>
      <c r="H3771" s="128" t="str">
        <f>VLOOKUP(source[[#This Row],[lending_product_transform]],[3]Mapping!$B$3:$D$37,3,0)</f>
        <v>cashloan</v>
      </c>
      <c r="I3771" s="135">
        <v>95698016</v>
      </c>
    </row>
    <row r="3772" spans="1:9" x14ac:dyDescent="0.2">
      <c r="A3772" s="134">
        <v>45633</v>
      </c>
      <c r="B3772" s="135">
        <f>YEAR(source[[#This Row],[report_date]])</f>
        <v>2024</v>
      </c>
      <c r="C3772" s="128">
        <f t="shared" si="168"/>
        <v>12</v>
      </c>
      <c r="D3772" s="136">
        <f t="shared" si="170"/>
        <v>49</v>
      </c>
      <c r="E3772" s="136">
        <f t="shared" si="169"/>
        <v>7</v>
      </c>
      <c r="F3772" s="128" t="s">
        <v>24</v>
      </c>
      <c r="G3772" s="128" t="str">
        <f>VLOOKUP(source[[#This Row],[lending_product_transform]],[3]Mapping!$B$4:$C$37,2,0)</f>
        <v>[Cake] - Cashloan</v>
      </c>
      <c r="H3772" s="128" t="str">
        <f>VLOOKUP(source[[#This Row],[lending_product_transform]],[3]Mapping!$B$3:$D$37,3,0)</f>
        <v>cashloan</v>
      </c>
      <c r="I3772" s="135">
        <v>10500000</v>
      </c>
    </row>
    <row r="3773" spans="1:9" x14ac:dyDescent="0.2">
      <c r="A3773" s="134">
        <v>45633</v>
      </c>
      <c r="B3773" s="135">
        <f>YEAR(source[[#This Row],[report_date]])</f>
        <v>2024</v>
      </c>
      <c r="C3773" s="128">
        <f t="shared" si="168"/>
        <v>12</v>
      </c>
      <c r="D3773" s="136">
        <f t="shared" si="170"/>
        <v>49</v>
      </c>
      <c r="E3773" s="136">
        <f t="shared" si="169"/>
        <v>7</v>
      </c>
      <c r="F3773" s="128" t="s">
        <v>24</v>
      </c>
      <c r="G3773" s="128" t="str">
        <f>VLOOKUP(source[[#This Row],[lending_product_transform]],[3]Mapping!$B$4:$C$37,2,0)</f>
        <v>[Cake] - Cashloan</v>
      </c>
      <c r="H3773" s="128" t="str">
        <f>VLOOKUP(source[[#This Row],[lending_product_transform]],[3]Mapping!$B$3:$D$37,3,0)</f>
        <v>cashloan</v>
      </c>
      <c r="I3773" s="135">
        <v>0</v>
      </c>
    </row>
    <row r="3774" spans="1:9" x14ac:dyDescent="0.2">
      <c r="A3774" s="134">
        <v>45633</v>
      </c>
      <c r="B3774" s="135">
        <f>YEAR(source[[#This Row],[report_date]])</f>
        <v>2024</v>
      </c>
      <c r="C3774" s="128">
        <f t="shared" si="168"/>
        <v>12</v>
      </c>
      <c r="D3774" s="136">
        <f t="shared" si="170"/>
        <v>49</v>
      </c>
      <c r="E3774" s="136">
        <f t="shared" si="169"/>
        <v>7</v>
      </c>
      <c r="F3774" s="128" t="s">
        <v>24</v>
      </c>
      <c r="G3774" s="128" t="str">
        <f>VLOOKUP(source[[#This Row],[lending_product_transform]],[3]Mapping!$B$4:$C$37,2,0)</f>
        <v>[Cake] - Cashloan</v>
      </c>
      <c r="H3774" s="128" t="str">
        <f>VLOOKUP(source[[#This Row],[lending_product_transform]],[3]Mapping!$B$3:$D$37,3,0)</f>
        <v>cashloan</v>
      </c>
      <c r="I3774" s="135">
        <v>10700000</v>
      </c>
    </row>
    <row r="3775" spans="1:9" x14ac:dyDescent="0.2">
      <c r="A3775" s="134">
        <v>45633</v>
      </c>
      <c r="B3775" s="135">
        <f>YEAR(source[[#This Row],[report_date]])</f>
        <v>2024</v>
      </c>
      <c r="C3775" s="128">
        <f t="shared" si="168"/>
        <v>12</v>
      </c>
      <c r="D3775" s="136">
        <f t="shared" si="170"/>
        <v>49</v>
      </c>
      <c r="E3775" s="136">
        <f t="shared" si="169"/>
        <v>7</v>
      </c>
      <c r="F3775" s="128" t="s">
        <v>24</v>
      </c>
      <c r="G3775" s="128" t="str">
        <f>VLOOKUP(source[[#This Row],[lending_product_transform]],[3]Mapping!$B$4:$C$37,2,0)</f>
        <v>[Cake] - Cashloan</v>
      </c>
      <c r="H3775" s="128" t="str">
        <f>VLOOKUP(source[[#This Row],[lending_product_transform]],[3]Mapping!$B$3:$D$37,3,0)</f>
        <v>cashloan</v>
      </c>
      <c r="I3775" s="135">
        <v>6631500000</v>
      </c>
    </row>
    <row r="3776" spans="1:9" x14ac:dyDescent="0.2">
      <c r="A3776" s="134">
        <v>45633</v>
      </c>
      <c r="B3776" s="135">
        <f>YEAR(source[[#This Row],[report_date]])</f>
        <v>2024</v>
      </c>
      <c r="C3776" s="128">
        <f t="shared" si="168"/>
        <v>12</v>
      </c>
      <c r="D3776" s="136">
        <f t="shared" si="170"/>
        <v>49</v>
      </c>
      <c r="E3776" s="136">
        <f t="shared" si="169"/>
        <v>7</v>
      </c>
      <c r="F3776" s="128" t="s">
        <v>24</v>
      </c>
      <c r="G3776" s="128" t="str">
        <f>VLOOKUP(source[[#This Row],[lending_product_transform]],[3]Mapping!$B$4:$C$37,2,0)</f>
        <v>[Cake] - Cashloan</v>
      </c>
      <c r="H3776" s="128" t="str">
        <f>VLOOKUP(source[[#This Row],[lending_product_transform]],[3]Mapping!$B$3:$D$37,3,0)</f>
        <v>cashloan</v>
      </c>
      <c r="I3776" s="135">
        <v>66255858</v>
      </c>
    </row>
    <row r="3777" spans="1:9" x14ac:dyDescent="0.2">
      <c r="A3777" s="134">
        <v>45633</v>
      </c>
      <c r="B3777" s="135">
        <f>YEAR(source[[#This Row],[report_date]])</f>
        <v>2024</v>
      </c>
      <c r="C3777" s="128">
        <f t="shared" si="168"/>
        <v>12</v>
      </c>
      <c r="D3777" s="136">
        <f t="shared" si="170"/>
        <v>49</v>
      </c>
      <c r="E3777" s="136">
        <f t="shared" si="169"/>
        <v>7</v>
      </c>
      <c r="F3777" s="128" t="s">
        <v>24</v>
      </c>
      <c r="G3777" s="128" t="str">
        <f>VLOOKUP(source[[#This Row],[lending_product_transform]],[3]Mapping!$B$4:$C$37,2,0)</f>
        <v>[Cake] - Cashloan</v>
      </c>
      <c r="H3777" s="128" t="str">
        <f>VLOOKUP(source[[#This Row],[lending_product_transform]],[3]Mapping!$B$3:$D$37,3,0)</f>
        <v>cashloan</v>
      </c>
      <c r="I3777" s="135">
        <v>174712857</v>
      </c>
    </row>
    <row r="3778" spans="1:9" x14ac:dyDescent="0.2">
      <c r="A3778" s="134">
        <v>45633</v>
      </c>
      <c r="B3778" s="135">
        <f>YEAR(source[[#This Row],[report_date]])</f>
        <v>2024</v>
      </c>
      <c r="C3778" s="128">
        <f t="shared" ref="C3778:C3803" si="171">MONTH(A3778)</f>
        <v>12</v>
      </c>
      <c r="D3778" s="136">
        <f t="shared" si="170"/>
        <v>49</v>
      </c>
      <c r="E3778" s="136">
        <f t="shared" ref="E3778:E3803" si="172">DAY(A3778)</f>
        <v>7</v>
      </c>
      <c r="F3778" s="128" t="s">
        <v>24</v>
      </c>
      <c r="G3778" s="128" t="str">
        <f>VLOOKUP(source[[#This Row],[lending_product_transform]],[3]Mapping!$B$4:$C$37,2,0)</f>
        <v>[Cake] - Cashloan</v>
      </c>
      <c r="H3778" s="128" t="str">
        <f>VLOOKUP(source[[#This Row],[lending_product_transform]],[3]Mapping!$B$3:$D$37,3,0)</f>
        <v>cashloan</v>
      </c>
      <c r="I3778" s="135">
        <v>505503394</v>
      </c>
    </row>
    <row r="3779" spans="1:9" x14ac:dyDescent="0.2">
      <c r="A3779" s="134">
        <v>45633</v>
      </c>
      <c r="B3779" s="135">
        <f>YEAR(source[[#This Row],[report_date]])</f>
        <v>2024</v>
      </c>
      <c r="C3779" s="128">
        <f t="shared" si="171"/>
        <v>12</v>
      </c>
      <c r="D3779" s="136">
        <f t="shared" ref="D3779:D3842" si="173">WEEKNUM(A3779,2)</f>
        <v>49</v>
      </c>
      <c r="E3779" s="136">
        <f t="shared" si="172"/>
        <v>7</v>
      </c>
      <c r="F3779" s="128" t="s">
        <v>24</v>
      </c>
      <c r="G3779" s="128" t="str">
        <f>VLOOKUP(source[[#This Row],[lending_product_transform]],[3]Mapping!$B$4:$C$37,2,0)</f>
        <v>[Cake] - Cashloan</v>
      </c>
      <c r="H3779" s="128" t="str">
        <f>VLOOKUP(source[[#This Row],[lending_product_transform]],[3]Mapping!$B$3:$D$37,3,0)</f>
        <v>cashloan</v>
      </c>
      <c r="I3779" s="135">
        <v>15000000</v>
      </c>
    </row>
    <row r="3780" spans="1:9" x14ac:dyDescent="0.2">
      <c r="A3780" s="134">
        <v>45633</v>
      </c>
      <c r="B3780" s="135">
        <f>YEAR(source[[#This Row],[report_date]])</f>
        <v>2024</v>
      </c>
      <c r="C3780" s="128">
        <f t="shared" si="171"/>
        <v>12</v>
      </c>
      <c r="D3780" s="136">
        <f t="shared" si="173"/>
        <v>49</v>
      </c>
      <c r="E3780" s="136">
        <f t="shared" si="172"/>
        <v>7</v>
      </c>
      <c r="F3780" s="128" t="s">
        <v>24</v>
      </c>
      <c r="G3780" s="128" t="str">
        <f>VLOOKUP(source[[#This Row],[lending_product_transform]],[3]Mapping!$B$4:$C$37,2,0)</f>
        <v>[Cake] - Cashloan</v>
      </c>
      <c r="H3780" s="128" t="str">
        <f>VLOOKUP(source[[#This Row],[lending_product_transform]],[3]Mapping!$B$3:$D$37,3,0)</f>
        <v>cashloan</v>
      </c>
      <c r="I3780" s="135">
        <v>16050000</v>
      </c>
    </row>
    <row r="3781" spans="1:9" x14ac:dyDescent="0.2">
      <c r="A3781" s="134">
        <v>45633</v>
      </c>
      <c r="B3781" s="135">
        <f>YEAR(source[[#This Row],[report_date]])</f>
        <v>2024</v>
      </c>
      <c r="C3781" s="128">
        <f t="shared" si="171"/>
        <v>12</v>
      </c>
      <c r="D3781" s="136">
        <f t="shared" si="173"/>
        <v>49</v>
      </c>
      <c r="E3781" s="136">
        <f t="shared" si="172"/>
        <v>7</v>
      </c>
      <c r="F3781" s="128" t="s">
        <v>24</v>
      </c>
      <c r="G3781" s="128" t="str">
        <f>VLOOKUP(source[[#This Row],[lending_product_transform]],[3]Mapping!$B$4:$C$37,2,0)</f>
        <v>[Cake] - Cashloan</v>
      </c>
      <c r="H3781" s="128" t="str">
        <f>VLOOKUP(source[[#This Row],[lending_product_transform]],[3]Mapping!$B$3:$D$37,3,0)</f>
        <v>cashloan</v>
      </c>
      <c r="I3781" s="135">
        <v>446530000</v>
      </c>
    </row>
    <row r="3782" spans="1:9" x14ac:dyDescent="0.2">
      <c r="A3782" s="134">
        <v>45633</v>
      </c>
      <c r="B3782" s="135">
        <f>YEAR(source[[#This Row],[report_date]])</f>
        <v>2024</v>
      </c>
      <c r="C3782" s="128">
        <f t="shared" si="171"/>
        <v>12</v>
      </c>
      <c r="D3782" s="136">
        <f t="shared" si="173"/>
        <v>49</v>
      </c>
      <c r="E3782" s="136">
        <f t="shared" si="172"/>
        <v>7</v>
      </c>
      <c r="F3782" s="128" t="s">
        <v>24</v>
      </c>
      <c r="G3782" s="128" t="str">
        <f>VLOOKUP(source[[#This Row],[lending_product_transform]],[3]Mapping!$B$4:$C$37,2,0)</f>
        <v>[Cake] - Cashloan</v>
      </c>
      <c r="H3782" s="128" t="str">
        <f>VLOOKUP(source[[#This Row],[lending_product_transform]],[3]Mapping!$B$3:$D$37,3,0)</f>
        <v>cashloan</v>
      </c>
      <c r="I3782" s="135">
        <v>0</v>
      </c>
    </row>
    <row r="3783" spans="1:9" x14ac:dyDescent="0.2">
      <c r="A3783" s="134">
        <v>45633</v>
      </c>
      <c r="B3783" s="135">
        <f>YEAR(source[[#This Row],[report_date]])</f>
        <v>2024</v>
      </c>
      <c r="C3783" s="128">
        <f t="shared" si="171"/>
        <v>12</v>
      </c>
      <c r="D3783" s="136">
        <f t="shared" si="173"/>
        <v>49</v>
      </c>
      <c r="E3783" s="136">
        <f t="shared" si="172"/>
        <v>7</v>
      </c>
      <c r="F3783" s="128" t="s">
        <v>24</v>
      </c>
      <c r="G3783" s="128" t="str">
        <f>VLOOKUP(source[[#This Row],[lending_product_transform]],[3]Mapping!$B$4:$C$37,2,0)</f>
        <v>[Cake] - Cashloan</v>
      </c>
      <c r="H3783" s="128" t="str">
        <f>VLOOKUP(source[[#This Row],[lending_product_transform]],[3]Mapping!$B$3:$D$37,3,0)</f>
        <v>cashloan</v>
      </c>
      <c r="I3783" s="135">
        <v>45000000</v>
      </c>
    </row>
    <row r="3784" spans="1:9" x14ac:dyDescent="0.2">
      <c r="A3784" s="134">
        <v>45633</v>
      </c>
      <c r="B3784" s="135">
        <f>YEAR(source[[#This Row],[report_date]])</f>
        <v>2024</v>
      </c>
      <c r="C3784" s="128">
        <f t="shared" si="171"/>
        <v>12</v>
      </c>
      <c r="D3784" s="136">
        <f t="shared" si="173"/>
        <v>49</v>
      </c>
      <c r="E3784" s="136">
        <f t="shared" si="172"/>
        <v>7</v>
      </c>
      <c r="F3784" s="128" t="s">
        <v>24</v>
      </c>
      <c r="G3784" s="128" t="str">
        <f>VLOOKUP(source[[#This Row],[lending_product_transform]],[3]Mapping!$B$4:$C$37,2,0)</f>
        <v>[Cake] - Cashloan</v>
      </c>
      <c r="H3784" s="128" t="str">
        <f>VLOOKUP(source[[#This Row],[lending_product_transform]],[3]Mapping!$B$3:$D$37,3,0)</f>
        <v>cashloan</v>
      </c>
      <c r="I3784" s="135">
        <v>0</v>
      </c>
    </row>
    <row r="3785" spans="1:9" x14ac:dyDescent="0.2">
      <c r="A3785" s="134">
        <v>45633</v>
      </c>
      <c r="B3785" s="135">
        <f>YEAR(source[[#This Row],[report_date]])</f>
        <v>2024</v>
      </c>
      <c r="C3785" s="128">
        <f t="shared" si="171"/>
        <v>12</v>
      </c>
      <c r="D3785" s="136">
        <f t="shared" si="173"/>
        <v>49</v>
      </c>
      <c r="E3785" s="136">
        <f t="shared" si="172"/>
        <v>7</v>
      </c>
      <c r="F3785" s="128" t="s">
        <v>24</v>
      </c>
      <c r="G3785" s="128" t="str">
        <f>VLOOKUP(source[[#This Row],[lending_product_transform]],[3]Mapping!$B$4:$C$37,2,0)</f>
        <v>[Cake] - Cashloan</v>
      </c>
      <c r="H3785" s="128" t="str">
        <f>VLOOKUP(source[[#This Row],[lending_product_transform]],[3]Mapping!$B$3:$D$37,3,0)</f>
        <v>cashloan</v>
      </c>
      <c r="I3785" s="135">
        <v>2828690000</v>
      </c>
    </row>
    <row r="3786" spans="1:9" x14ac:dyDescent="0.2">
      <c r="A3786" s="134">
        <v>45634</v>
      </c>
      <c r="B3786" s="135">
        <f>YEAR(source[[#This Row],[report_date]])</f>
        <v>2024</v>
      </c>
      <c r="C3786" s="128">
        <f t="shared" si="171"/>
        <v>12</v>
      </c>
      <c r="D3786" s="136">
        <f t="shared" si="173"/>
        <v>49</v>
      </c>
      <c r="E3786" s="136">
        <f t="shared" si="172"/>
        <v>8</v>
      </c>
      <c r="F3786" s="128" t="s">
        <v>24</v>
      </c>
      <c r="G3786" s="128" t="str">
        <f>VLOOKUP(source[[#This Row],[lending_product_transform]],[3]Mapping!$B$4:$C$37,2,0)</f>
        <v>[Cake] - Cashloan</v>
      </c>
      <c r="H3786" s="128" t="str">
        <f>VLOOKUP(source[[#This Row],[lending_product_transform]],[3]Mapping!$B$3:$D$37,3,0)</f>
        <v>cashloan</v>
      </c>
      <c r="I3786" s="135">
        <v>0</v>
      </c>
    </row>
    <row r="3787" spans="1:9" x14ac:dyDescent="0.2">
      <c r="A3787" s="134">
        <v>45634</v>
      </c>
      <c r="B3787" s="135">
        <f>YEAR(source[[#This Row],[report_date]])</f>
        <v>2024</v>
      </c>
      <c r="C3787" s="128">
        <f t="shared" si="171"/>
        <v>12</v>
      </c>
      <c r="D3787" s="136">
        <f t="shared" si="173"/>
        <v>49</v>
      </c>
      <c r="E3787" s="136">
        <f t="shared" si="172"/>
        <v>8</v>
      </c>
      <c r="F3787" s="128" t="s">
        <v>24</v>
      </c>
      <c r="G3787" s="128" t="str">
        <f>VLOOKUP(source[[#This Row],[lending_product_transform]],[3]Mapping!$B$4:$C$37,2,0)</f>
        <v>[Cake] - Cashloan</v>
      </c>
      <c r="H3787" s="128" t="str">
        <f>VLOOKUP(source[[#This Row],[lending_product_transform]],[3]Mapping!$B$3:$D$37,3,0)</f>
        <v>cashloan</v>
      </c>
      <c r="I3787" s="135">
        <v>5044420000</v>
      </c>
    </row>
    <row r="3788" spans="1:9" x14ac:dyDescent="0.2">
      <c r="A3788" s="134">
        <v>45634</v>
      </c>
      <c r="B3788" s="135">
        <f>YEAR(source[[#This Row],[report_date]])</f>
        <v>2024</v>
      </c>
      <c r="C3788" s="128">
        <f t="shared" si="171"/>
        <v>12</v>
      </c>
      <c r="D3788" s="136">
        <f t="shared" si="173"/>
        <v>49</v>
      </c>
      <c r="E3788" s="136">
        <f t="shared" si="172"/>
        <v>8</v>
      </c>
      <c r="F3788" s="128" t="s">
        <v>24</v>
      </c>
      <c r="G3788" s="128" t="str">
        <f>VLOOKUP(source[[#This Row],[lending_product_transform]],[3]Mapping!$B$4:$C$37,2,0)</f>
        <v>[Cake] - Cashloan</v>
      </c>
      <c r="H3788" s="128" t="str">
        <f>VLOOKUP(source[[#This Row],[lending_product_transform]],[3]Mapping!$B$3:$D$37,3,0)</f>
        <v>cashloan</v>
      </c>
      <c r="I3788" s="135">
        <v>21400000</v>
      </c>
    </row>
    <row r="3789" spans="1:9" x14ac:dyDescent="0.2">
      <c r="A3789" s="134">
        <v>45634</v>
      </c>
      <c r="B3789" s="135">
        <f>YEAR(source[[#This Row],[report_date]])</f>
        <v>2024</v>
      </c>
      <c r="C3789" s="128">
        <f t="shared" si="171"/>
        <v>12</v>
      </c>
      <c r="D3789" s="136">
        <f t="shared" si="173"/>
        <v>49</v>
      </c>
      <c r="E3789" s="136">
        <f t="shared" si="172"/>
        <v>8</v>
      </c>
      <c r="F3789" s="128" t="s">
        <v>24</v>
      </c>
      <c r="G3789" s="128" t="str">
        <f>VLOOKUP(source[[#This Row],[lending_product_transform]],[3]Mapping!$B$4:$C$37,2,0)</f>
        <v>[Cake] - Cashloan</v>
      </c>
      <c r="H3789" s="128" t="str">
        <f>VLOOKUP(source[[#This Row],[lending_product_transform]],[3]Mapping!$B$3:$D$37,3,0)</f>
        <v>cashloan</v>
      </c>
      <c r="I3789" s="135">
        <v>371590283</v>
      </c>
    </row>
    <row r="3790" spans="1:9" x14ac:dyDescent="0.2">
      <c r="A3790" s="134">
        <v>45634</v>
      </c>
      <c r="B3790" s="135">
        <f>YEAR(source[[#This Row],[report_date]])</f>
        <v>2024</v>
      </c>
      <c r="C3790" s="128">
        <f t="shared" si="171"/>
        <v>12</v>
      </c>
      <c r="D3790" s="136">
        <f t="shared" si="173"/>
        <v>49</v>
      </c>
      <c r="E3790" s="136">
        <f t="shared" si="172"/>
        <v>8</v>
      </c>
      <c r="F3790" s="128" t="s">
        <v>24</v>
      </c>
      <c r="G3790" s="128" t="str">
        <f>VLOOKUP(source[[#This Row],[lending_product_transform]],[3]Mapping!$B$4:$C$37,2,0)</f>
        <v>[Cake] - Cashloan</v>
      </c>
      <c r="H3790" s="128" t="str">
        <f>VLOOKUP(source[[#This Row],[lending_product_transform]],[3]Mapping!$B$3:$D$37,3,0)</f>
        <v>cashloan</v>
      </c>
      <c r="I3790" s="135">
        <v>21400000</v>
      </c>
    </row>
    <row r="3791" spans="1:9" x14ac:dyDescent="0.2">
      <c r="A3791" s="134">
        <v>45634</v>
      </c>
      <c r="B3791" s="135">
        <f>YEAR(source[[#This Row],[report_date]])</f>
        <v>2024</v>
      </c>
      <c r="C3791" s="128">
        <f t="shared" si="171"/>
        <v>12</v>
      </c>
      <c r="D3791" s="136">
        <f t="shared" si="173"/>
        <v>49</v>
      </c>
      <c r="E3791" s="136">
        <f t="shared" si="172"/>
        <v>8</v>
      </c>
      <c r="F3791" s="128" t="s">
        <v>24</v>
      </c>
      <c r="G3791" s="128" t="str">
        <f>VLOOKUP(source[[#This Row],[lending_product_transform]],[3]Mapping!$B$4:$C$37,2,0)</f>
        <v>[Cake] - Cashloan</v>
      </c>
      <c r="H3791" s="128" t="str">
        <f>VLOOKUP(source[[#This Row],[lending_product_transform]],[3]Mapping!$B$3:$D$37,3,0)</f>
        <v>cashloan</v>
      </c>
      <c r="I3791" s="135">
        <v>110950000</v>
      </c>
    </row>
    <row r="3792" spans="1:9" x14ac:dyDescent="0.2">
      <c r="A3792" s="134">
        <v>45634</v>
      </c>
      <c r="B3792" s="135">
        <f>YEAR(source[[#This Row],[report_date]])</f>
        <v>2024</v>
      </c>
      <c r="C3792" s="128">
        <f t="shared" si="171"/>
        <v>12</v>
      </c>
      <c r="D3792" s="136">
        <f t="shared" si="173"/>
        <v>49</v>
      </c>
      <c r="E3792" s="136">
        <f t="shared" si="172"/>
        <v>8</v>
      </c>
      <c r="F3792" s="128" t="s">
        <v>24</v>
      </c>
      <c r="G3792" s="128" t="str">
        <f>VLOOKUP(source[[#This Row],[lending_product_transform]],[3]Mapping!$B$4:$C$37,2,0)</f>
        <v>[Cake] - Cashloan</v>
      </c>
      <c r="H3792" s="128" t="str">
        <f>VLOOKUP(source[[#This Row],[lending_product_transform]],[3]Mapping!$B$3:$D$37,3,0)</f>
        <v>cashloan</v>
      </c>
      <c r="I3792" s="135">
        <v>3256173470</v>
      </c>
    </row>
    <row r="3793" spans="1:9" x14ac:dyDescent="0.2">
      <c r="A3793" s="134">
        <v>45634</v>
      </c>
      <c r="B3793" s="135">
        <f>YEAR(source[[#This Row],[report_date]])</f>
        <v>2024</v>
      </c>
      <c r="C3793" s="128">
        <f t="shared" si="171"/>
        <v>12</v>
      </c>
      <c r="D3793" s="136">
        <f t="shared" si="173"/>
        <v>49</v>
      </c>
      <c r="E3793" s="136">
        <f t="shared" si="172"/>
        <v>8</v>
      </c>
      <c r="F3793" s="128" t="s">
        <v>24</v>
      </c>
      <c r="G3793" s="128" t="str">
        <f>VLOOKUP(source[[#This Row],[lending_product_transform]],[3]Mapping!$B$4:$C$37,2,0)</f>
        <v>[Cake] - Cashloan</v>
      </c>
      <c r="H3793" s="128" t="str">
        <f>VLOOKUP(source[[#This Row],[lending_product_transform]],[3]Mapping!$B$3:$D$37,3,0)</f>
        <v>cashloan</v>
      </c>
      <c r="I3793" s="135">
        <v>1561530000</v>
      </c>
    </row>
    <row r="3794" spans="1:9" x14ac:dyDescent="0.2">
      <c r="A3794" s="134">
        <v>45634</v>
      </c>
      <c r="B3794" s="135">
        <f>YEAR(source[[#This Row],[report_date]])</f>
        <v>2024</v>
      </c>
      <c r="C3794" s="128">
        <f t="shared" si="171"/>
        <v>12</v>
      </c>
      <c r="D3794" s="136">
        <f t="shared" si="173"/>
        <v>49</v>
      </c>
      <c r="E3794" s="136">
        <f t="shared" si="172"/>
        <v>8</v>
      </c>
      <c r="F3794" s="128" t="s">
        <v>24</v>
      </c>
      <c r="G3794" s="128" t="str">
        <f>VLOOKUP(source[[#This Row],[lending_product_transform]],[3]Mapping!$B$4:$C$37,2,0)</f>
        <v>[Cake] - Cashloan</v>
      </c>
      <c r="H3794" s="128" t="str">
        <f>VLOOKUP(source[[#This Row],[lending_product_transform]],[3]Mapping!$B$3:$D$37,3,0)</f>
        <v>cashloan</v>
      </c>
      <c r="I3794" s="135">
        <v>88405215</v>
      </c>
    </row>
    <row r="3795" spans="1:9" x14ac:dyDescent="0.2">
      <c r="A3795" s="134">
        <v>45634</v>
      </c>
      <c r="B3795" s="135">
        <f>YEAR(source[[#This Row],[report_date]])</f>
        <v>2024</v>
      </c>
      <c r="C3795" s="128">
        <f t="shared" si="171"/>
        <v>12</v>
      </c>
      <c r="D3795" s="136">
        <f t="shared" si="173"/>
        <v>49</v>
      </c>
      <c r="E3795" s="136">
        <f t="shared" si="172"/>
        <v>8</v>
      </c>
      <c r="F3795" s="128" t="s">
        <v>24</v>
      </c>
      <c r="G3795" s="128" t="str">
        <f>VLOOKUP(source[[#This Row],[lending_product_transform]],[3]Mapping!$B$4:$C$37,2,0)</f>
        <v>[Cake] - Cashloan</v>
      </c>
      <c r="H3795" s="128" t="str">
        <f>VLOOKUP(source[[#This Row],[lending_product_transform]],[3]Mapping!$B$3:$D$37,3,0)</f>
        <v>cashloan</v>
      </c>
      <c r="I3795" s="135">
        <v>5611500000</v>
      </c>
    </row>
    <row r="3796" spans="1:9" x14ac:dyDescent="0.2">
      <c r="A3796" s="134">
        <v>45634</v>
      </c>
      <c r="B3796" s="135">
        <f>YEAR(source[[#This Row],[report_date]])</f>
        <v>2024</v>
      </c>
      <c r="C3796" s="128">
        <f t="shared" si="171"/>
        <v>12</v>
      </c>
      <c r="D3796" s="136">
        <f t="shared" si="173"/>
        <v>49</v>
      </c>
      <c r="E3796" s="136">
        <f t="shared" si="172"/>
        <v>8</v>
      </c>
      <c r="F3796" s="128" t="s">
        <v>24</v>
      </c>
      <c r="G3796" s="128" t="str">
        <f>VLOOKUP(source[[#This Row],[lending_product_transform]],[3]Mapping!$B$4:$C$37,2,0)</f>
        <v>[Cake] - Cashloan</v>
      </c>
      <c r="H3796" s="128" t="str">
        <f>VLOOKUP(source[[#This Row],[lending_product_transform]],[3]Mapping!$B$3:$D$37,3,0)</f>
        <v>cashloan</v>
      </c>
      <c r="I3796" s="135">
        <v>44148198</v>
      </c>
    </row>
    <row r="3797" spans="1:9" x14ac:dyDescent="0.2">
      <c r="A3797" s="134">
        <v>45634</v>
      </c>
      <c r="B3797" s="135">
        <f>YEAR(source[[#This Row],[report_date]])</f>
        <v>2024</v>
      </c>
      <c r="C3797" s="128">
        <f t="shared" si="171"/>
        <v>12</v>
      </c>
      <c r="D3797" s="136">
        <f t="shared" si="173"/>
        <v>49</v>
      </c>
      <c r="E3797" s="136">
        <f t="shared" si="172"/>
        <v>8</v>
      </c>
      <c r="F3797" s="128" t="s">
        <v>24</v>
      </c>
      <c r="G3797" s="128" t="str">
        <f>VLOOKUP(source[[#This Row],[lending_product_transform]],[3]Mapping!$B$4:$C$37,2,0)</f>
        <v>[Cake] - Cashloan</v>
      </c>
      <c r="H3797" s="128" t="str">
        <f>VLOOKUP(source[[#This Row],[lending_product_transform]],[3]Mapping!$B$3:$D$37,3,0)</f>
        <v>cashloan</v>
      </c>
      <c r="I3797" s="135">
        <v>10500000</v>
      </c>
    </row>
    <row r="3798" spans="1:9" x14ac:dyDescent="0.2">
      <c r="A3798" s="134">
        <v>45634</v>
      </c>
      <c r="B3798" s="135">
        <f>YEAR(source[[#This Row],[report_date]])</f>
        <v>2024</v>
      </c>
      <c r="C3798" s="128">
        <f t="shared" si="171"/>
        <v>12</v>
      </c>
      <c r="D3798" s="136">
        <f t="shared" si="173"/>
        <v>49</v>
      </c>
      <c r="E3798" s="136">
        <f t="shared" si="172"/>
        <v>8</v>
      </c>
      <c r="F3798" s="128" t="s">
        <v>24</v>
      </c>
      <c r="G3798" s="128" t="str">
        <f>VLOOKUP(source[[#This Row],[lending_product_transform]],[3]Mapping!$B$4:$C$37,2,0)</f>
        <v>[Cake] - Cashloan</v>
      </c>
      <c r="H3798" s="128" t="str">
        <f>VLOOKUP(source[[#This Row],[lending_product_transform]],[3]Mapping!$B$3:$D$37,3,0)</f>
        <v>cashloan</v>
      </c>
      <c r="I3798" s="135">
        <v>36750000</v>
      </c>
    </row>
    <row r="3799" spans="1:9" x14ac:dyDescent="0.2">
      <c r="A3799" s="134">
        <v>45634</v>
      </c>
      <c r="B3799" s="135">
        <f>YEAR(source[[#This Row],[report_date]])</f>
        <v>2024</v>
      </c>
      <c r="C3799" s="128">
        <f t="shared" si="171"/>
        <v>12</v>
      </c>
      <c r="D3799" s="136">
        <f t="shared" si="173"/>
        <v>49</v>
      </c>
      <c r="E3799" s="136">
        <f t="shared" si="172"/>
        <v>8</v>
      </c>
      <c r="F3799" s="128" t="s">
        <v>24</v>
      </c>
      <c r="G3799" s="128" t="str">
        <f>VLOOKUP(source[[#This Row],[lending_product_transform]],[3]Mapping!$B$4:$C$37,2,0)</f>
        <v>[Cake] - Cashloan</v>
      </c>
      <c r="H3799" s="128" t="str">
        <f>VLOOKUP(source[[#This Row],[lending_product_transform]],[3]Mapping!$B$3:$D$37,3,0)</f>
        <v>cashloan</v>
      </c>
      <c r="I3799" s="135">
        <v>31000000</v>
      </c>
    </row>
    <row r="3800" spans="1:9" x14ac:dyDescent="0.2">
      <c r="A3800" s="134">
        <v>45634</v>
      </c>
      <c r="B3800" s="135">
        <f>YEAR(source[[#This Row],[report_date]])</f>
        <v>2024</v>
      </c>
      <c r="C3800" s="128">
        <f t="shared" si="171"/>
        <v>12</v>
      </c>
      <c r="D3800" s="136">
        <f t="shared" si="173"/>
        <v>49</v>
      </c>
      <c r="E3800" s="136">
        <f t="shared" si="172"/>
        <v>8</v>
      </c>
      <c r="F3800" s="128" t="s">
        <v>24</v>
      </c>
      <c r="G3800" s="128" t="str">
        <f>VLOOKUP(source[[#This Row],[lending_product_transform]],[3]Mapping!$B$4:$C$37,2,0)</f>
        <v>[Cake] - Cashloan</v>
      </c>
      <c r="H3800" s="128" t="str">
        <f>VLOOKUP(source[[#This Row],[lending_product_transform]],[3]Mapping!$B$3:$D$37,3,0)</f>
        <v>cashloan</v>
      </c>
      <c r="I3800" s="135">
        <v>153396739</v>
      </c>
    </row>
    <row r="3801" spans="1:9" x14ac:dyDescent="0.2">
      <c r="A3801" s="134">
        <v>45634</v>
      </c>
      <c r="B3801" s="135">
        <f>YEAR(source[[#This Row],[report_date]])</f>
        <v>2024</v>
      </c>
      <c r="C3801" s="128">
        <f t="shared" si="171"/>
        <v>12</v>
      </c>
      <c r="D3801" s="136">
        <f t="shared" si="173"/>
        <v>49</v>
      </c>
      <c r="E3801" s="136">
        <f t="shared" si="172"/>
        <v>8</v>
      </c>
      <c r="F3801" s="128" t="s">
        <v>24</v>
      </c>
      <c r="G3801" s="128" t="str">
        <f>VLOOKUP(source[[#This Row],[lending_product_transform]],[3]Mapping!$B$4:$C$37,2,0)</f>
        <v>[Cake] - Cashloan</v>
      </c>
      <c r="H3801" s="128" t="str">
        <f>VLOOKUP(source[[#This Row],[lending_product_transform]],[3]Mapping!$B$3:$D$37,3,0)</f>
        <v>cashloan</v>
      </c>
      <c r="I3801" s="135">
        <v>333190000</v>
      </c>
    </row>
    <row r="3802" spans="1:9" x14ac:dyDescent="0.2">
      <c r="A3802" s="134">
        <v>45634</v>
      </c>
      <c r="B3802" s="135">
        <f>YEAR(source[[#This Row],[report_date]])</f>
        <v>2024</v>
      </c>
      <c r="C3802" s="128">
        <f t="shared" si="171"/>
        <v>12</v>
      </c>
      <c r="D3802" s="136">
        <f t="shared" si="173"/>
        <v>49</v>
      </c>
      <c r="E3802" s="136">
        <f t="shared" si="172"/>
        <v>8</v>
      </c>
      <c r="F3802" s="128" t="s">
        <v>24</v>
      </c>
      <c r="G3802" s="128" t="str">
        <f>VLOOKUP(source[[#This Row],[lending_product_transform]],[3]Mapping!$B$4:$C$37,2,0)</f>
        <v>[Cake] - Cashloan</v>
      </c>
      <c r="H3802" s="128" t="str">
        <f>VLOOKUP(source[[#This Row],[lending_product_transform]],[3]Mapping!$B$3:$D$37,3,0)</f>
        <v>cashloan</v>
      </c>
      <c r="I3802" s="135">
        <v>0</v>
      </c>
    </row>
    <row r="3803" spans="1:9" x14ac:dyDescent="0.2">
      <c r="A3803" s="134">
        <v>45634</v>
      </c>
      <c r="B3803" s="135">
        <f>YEAR(source[[#This Row],[report_date]])</f>
        <v>2024</v>
      </c>
      <c r="C3803" s="128">
        <f t="shared" si="171"/>
        <v>12</v>
      </c>
      <c r="D3803" s="136">
        <f t="shared" si="173"/>
        <v>49</v>
      </c>
      <c r="E3803" s="136">
        <f t="shared" si="172"/>
        <v>8</v>
      </c>
      <c r="F3803" s="128" t="s">
        <v>24</v>
      </c>
      <c r="G3803" s="128" t="str">
        <f>VLOOKUP(source[[#This Row],[lending_product_transform]],[3]Mapping!$B$4:$C$37,2,0)</f>
        <v>[Cake] - Cashloan</v>
      </c>
      <c r="H3803" s="128" t="str">
        <f>VLOOKUP(source[[#This Row],[lending_product_transform]],[3]Mapping!$B$3:$D$37,3,0)</f>
        <v>cashloan</v>
      </c>
      <c r="I3803" s="135">
        <v>0</v>
      </c>
    </row>
    <row r="3804" spans="1:9" x14ac:dyDescent="0.2">
      <c r="A3804" s="134">
        <v>45635</v>
      </c>
      <c r="B3804" s="135">
        <f>YEAR(source[[#This Row],[report_date]])</f>
        <v>2024</v>
      </c>
      <c r="C3804" s="128">
        <f>MONTH(A3804)</f>
        <v>12</v>
      </c>
      <c r="D3804" s="136">
        <f t="shared" si="173"/>
        <v>50</v>
      </c>
      <c r="E3804" s="136">
        <f>DAY(A3804)</f>
        <v>9</v>
      </c>
      <c r="F3804" s="137" t="s">
        <v>24</v>
      </c>
      <c r="G3804" s="128" t="str">
        <f>VLOOKUP(source[[#This Row],[lending_product_transform]],[3]Mapping!$B$4:$C$37,2,0)</f>
        <v>[Cake] - Cashloan</v>
      </c>
      <c r="H3804" s="128" t="str">
        <f>VLOOKUP(source[[#This Row],[lending_product_transform]],[3]Mapping!$B$3:$D$37,3,0)</f>
        <v>cashloan</v>
      </c>
      <c r="I3804" s="143">
        <v>42000000</v>
      </c>
    </row>
    <row r="3805" spans="1:9" x14ac:dyDescent="0.2">
      <c r="A3805" s="134">
        <v>45635</v>
      </c>
      <c r="B3805" s="135">
        <f>YEAR(source[[#This Row],[report_date]])</f>
        <v>2024</v>
      </c>
      <c r="C3805" s="128">
        <f t="shared" ref="C3805:C3868" si="174">MONTH(A3805)</f>
        <v>12</v>
      </c>
      <c r="D3805" s="136">
        <f t="shared" si="173"/>
        <v>50</v>
      </c>
      <c r="E3805" s="136">
        <f t="shared" ref="E3805:E3868" si="175">DAY(A3805)</f>
        <v>9</v>
      </c>
      <c r="F3805" s="137" t="s">
        <v>24</v>
      </c>
      <c r="G3805" s="128" t="str">
        <f>VLOOKUP(source[[#This Row],[lending_product_transform]],[3]Mapping!$B$4:$C$37,2,0)</f>
        <v>[Cake] - Cashloan</v>
      </c>
      <c r="H3805" s="128" t="str">
        <f>VLOOKUP(source[[#This Row],[lending_product_transform]],[3]Mapping!$B$3:$D$37,3,0)</f>
        <v>cashloan</v>
      </c>
      <c r="I3805" s="143">
        <v>6351000000</v>
      </c>
    </row>
    <row r="3806" spans="1:9" x14ac:dyDescent="0.2">
      <c r="A3806" s="134">
        <v>45635</v>
      </c>
      <c r="B3806" s="135">
        <f>YEAR(source[[#This Row],[report_date]])</f>
        <v>2024</v>
      </c>
      <c r="C3806" s="128">
        <f t="shared" si="174"/>
        <v>12</v>
      </c>
      <c r="D3806" s="136">
        <f t="shared" si="173"/>
        <v>50</v>
      </c>
      <c r="E3806" s="136">
        <f t="shared" si="175"/>
        <v>9</v>
      </c>
      <c r="F3806" s="137" t="s">
        <v>24</v>
      </c>
      <c r="G3806" s="128" t="str">
        <f>VLOOKUP(source[[#This Row],[lending_product_transform]],[3]Mapping!$B$4:$C$37,2,0)</f>
        <v>[Cake] - Cashloan</v>
      </c>
      <c r="H3806" s="128" t="str">
        <f>VLOOKUP(source[[#This Row],[lending_product_transform]],[3]Mapping!$B$3:$D$37,3,0)</f>
        <v>cashloan</v>
      </c>
      <c r="I3806" s="143">
        <v>411402465</v>
      </c>
    </row>
    <row r="3807" spans="1:9" x14ac:dyDescent="0.2">
      <c r="A3807" s="134">
        <v>45635</v>
      </c>
      <c r="B3807" s="135">
        <f>YEAR(source[[#This Row],[report_date]])</f>
        <v>2024</v>
      </c>
      <c r="C3807" s="128">
        <f t="shared" si="174"/>
        <v>12</v>
      </c>
      <c r="D3807" s="136">
        <f t="shared" si="173"/>
        <v>50</v>
      </c>
      <c r="E3807" s="136">
        <f t="shared" si="175"/>
        <v>9</v>
      </c>
      <c r="F3807" s="137" t="s">
        <v>24</v>
      </c>
      <c r="G3807" s="128" t="str">
        <f>VLOOKUP(source[[#This Row],[lending_product_transform]],[3]Mapping!$B$4:$C$37,2,0)</f>
        <v>[Cake] - Cashloan</v>
      </c>
      <c r="H3807" s="128" t="str">
        <f>VLOOKUP(source[[#This Row],[lending_product_transform]],[3]Mapping!$B$3:$D$37,3,0)</f>
        <v>cashloan</v>
      </c>
      <c r="I3807" s="143">
        <v>90028322</v>
      </c>
    </row>
    <row r="3808" spans="1:9" x14ac:dyDescent="0.2">
      <c r="A3808" s="134">
        <v>45635</v>
      </c>
      <c r="B3808" s="135">
        <f>YEAR(source[[#This Row],[report_date]])</f>
        <v>2024</v>
      </c>
      <c r="C3808" s="128">
        <f t="shared" si="174"/>
        <v>12</v>
      </c>
      <c r="D3808" s="136">
        <f t="shared" si="173"/>
        <v>50</v>
      </c>
      <c r="E3808" s="136">
        <f t="shared" si="175"/>
        <v>9</v>
      </c>
      <c r="F3808" s="137" t="s">
        <v>24</v>
      </c>
      <c r="G3808" s="128" t="str">
        <f>VLOOKUP(source[[#This Row],[lending_product_transform]],[3]Mapping!$B$4:$C$37,2,0)</f>
        <v>[Cake] - Cashloan</v>
      </c>
      <c r="H3808" s="128" t="str">
        <f>VLOOKUP(source[[#This Row],[lending_product_transform]],[3]Mapping!$B$3:$D$37,3,0)</f>
        <v>cashloan</v>
      </c>
      <c r="I3808" s="143">
        <v>18000000</v>
      </c>
    </row>
    <row r="3809" spans="1:9" x14ac:dyDescent="0.2">
      <c r="A3809" s="134">
        <v>45635</v>
      </c>
      <c r="B3809" s="135">
        <f>YEAR(source[[#This Row],[report_date]])</f>
        <v>2024</v>
      </c>
      <c r="C3809" s="128">
        <f t="shared" si="174"/>
        <v>12</v>
      </c>
      <c r="D3809" s="136">
        <f t="shared" si="173"/>
        <v>50</v>
      </c>
      <c r="E3809" s="136">
        <f t="shared" si="175"/>
        <v>9</v>
      </c>
      <c r="F3809" s="137" t="s">
        <v>24</v>
      </c>
      <c r="G3809" s="128" t="str">
        <f>VLOOKUP(source[[#This Row],[lending_product_transform]],[3]Mapping!$B$4:$C$37,2,0)</f>
        <v>[Cake] - Cashloan</v>
      </c>
      <c r="H3809" s="128" t="str">
        <f>VLOOKUP(source[[#This Row],[lending_product_transform]],[3]Mapping!$B$3:$D$37,3,0)</f>
        <v>cashloan</v>
      </c>
      <c r="I3809" s="143">
        <v>4158200000</v>
      </c>
    </row>
    <row r="3810" spans="1:9" x14ac:dyDescent="0.2">
      <c r="A3810" s="134">
        <v>45635</v>
      </c>
      <c r="B3810" s="135">
        <f>YEAR(source[[#This Row],[report_date]])</f>
        <v>2024</v>
      </c>
      <c r="C3810" s="128">
        <f t="shared" si="174"/>
        <v>12</v>
      </c>
      <c r="D3810" s="136">
        <f t="shared" si="173"/>
        <v>50</v>
      </c>
      <c r="E3810" s="136">
        <f t="shared" si="175"/>
        <v>9</v>
      </c>
      <c r="F3810" s="137" t="s">
        <v>24</v>
      </c>
      <c r="G3810" s="128" t="str">
        <f>VLOOKUP(source[[#This Row],[lending_product_transform]],[3]Mapping!$B$4:$C$37,2,0)</f>
        <v>[Cake] - Cashloan</v>
      </c>
      <c r="H3810" s="128" t="str">
        <f>VLOOKUP(source[[#This Row],[lending_product_transform]],[3]Mapping!$B$3:$D$37,3,0)</f>
        <v>cashloan</v>
      </c>
      <c r="I3810" s="143">
        <v>0</v>
      </c>
    </row>
    <row r="3811" spans="1:9" x14ac:dyDescent="0.2">
      <c r="A3811" s="134">
        <v>45635</v>
      </c>
      <c r="B3811" s="135">
        <f>YEAR(source[[#This Row],[report_date]])</f>
        <v>2024</v>
      </c>
      <c r="C3811" s="128">
        <f t="shared" si="174"/>
        <v>12</v>
      </c>
      <c r="D3811" s="136">
        <f t="shared" si="173"/>
        <v>50</v>
      </c>
      <c r="E3811" s="136">
        <f t="shared" si="175"/>
        <v>9</v>
      </c>
      <c r="F3811" s="137" t="s">
        <v>24</v>
      </c>
      <c r="G3811" s="128" t="str">
        <f>VLOOKUP(source[[#This Row],[lending_product_transform]],[3]Mapping!$B$4:$C$37,2,0)</f>
        <v>[Cake] - Cashloan</v>
      </c>
      <c r="H3811" s="128" t="str">
        <f>VLOOKUP(source[[#This Row],[lending_product_transform]],[3]Mapping!$B$3:$D$37,3,0)</f>
        <v>cashloan</v>
      </c>
      <c r="I3811" s="143">
        <v>0</v>
      </c>
    </row>
    <row r="3812" spans="1:9" x14ac:dyDescent="0.2">
      <c r="A3812" s="134">
        <v>45635</v>
      </c>
      <c r="B3812" s="135">
        <f>YEAR(source[[#This Row],[report_date]])</f>
        <v>2024</v>
      </c>
      <c r="C3812" s="128">
        <f t="shared" si="174"/>
        <v>12</v>
      </c>
      <c r="D3812" s="136">
        <f t="shared" si="173"/>
        <v>50</v>
      </c>
      <c r="E3812" s="136">
        <f t="shared" si="175"/>
        <v>9</v>
      </c>
      <c r="F3812" s="137" t="s">
        <v>24</v>
      </c>
      <c r="G3812" s="128" t="str">
        <f>VLOOKUP(source[[#This Row],[lending_product_transform]],[3]Mapping!$B$4:$C$37,2,0)</f>
        <v>[Cake] - Cashloan</v>
      </c>
      <c r="H3812" s="128" t="str">
        <f>VLOOKUP(source[[#This Row],[lending_product_transform]],[3]Mapping!$B$3:$D$37,3,0)</f>
        <v>cashloan</v>
      </c>
      <c r="I3812" s="143">
        <v>60000000</v>
      </c>
    </row>
    <row r="3813" spans="1:9" x14ac:dyDescent="0.2">
      <c r="A3813" s="134">
        <v>45635</v>
      </c>
      <c r="B3813" s="135">
        <f>YEAR(source[[#This Row],[report_date]])</f>
        <v>2024</v>
      </c>
      <c r="C3813" s="128">
        <f t="shared" si="174"/>
        <v>12</v>
      </c>
      <c r="D3813" s="136">
        <f t="shared" si="173"/>
        <v>50</v>
      </c>
      <c r="E3813" s="136">
        <f t="shared" si="175"/>
        <v>9</v>
      </c>
      <c r="F3813" s="137" t="s">
        <v>24</v>
      </c>
      <c r="G3813" s="128" t="str">
        <f>VLOOKUP(source[[#This Row],[lending_product_transform]],[3]Mapping!$B$4:$C$37,2,0)</f>
        <v>[Cake] - Cashloan</v>
      </c>
      <c r="H3813" s="128" t="str">
        <f>VLOOKUP(source[[#This Row],[lending_product_transform]],[3]Mapping!$B$3:$D$37,3,0)</f>
        <v>cashloan</v>
      </c>
      <c r="I3813" s="143">
        <v>3884822436</v>
      </c>
    </row>
    <row r="3814" spans="1:9" x14ac:dyDescent="0.2">
      <c r="A3814" s="134">
        <v>45635</v>
      </c>
      <c r="B3814" s="135">
        <f>YEAR(source[[#This Row],[report_date]])</f>
        <v>2024</v>
      </c>
      <c r="C3814" s="128">
        <f t="shared" si="174"/>
        <v>12</v>
      </c>
      <c r="D3814" s="136">
        <f t="shared" si="173"/>
        <v>50</v>
      </c>
      <c r="E3814" s="136">
        <f t="shared" si="175"/>
        <v>9</v>
      </c>
      <c r="F3814" s="137" t="s">
        <v>24</v>
      </c>
      <c r="G3814" s="128" t="str">
        <f>VLOOKUP(source[[#This Row],[lending_product_transform]],[3]Mapping!$B$4:$C$37,2,0)</f>
        <v>[Cake] - Cashloan</v>
      </c>
      <c r="H3814" s="128" t="str">
        <f>VLOOKUP(source[[#This Row],[lending_product_transform]],[3]Mapping!$B$3:$D$37,3,0)</f>
        <v>cashloan</v>
      </c>
      <c r="I3814" s="143">
        <v>6964410000</v>
      </c>
    </row>
    <row r="3815" spans="1:9" x14ac:dyDescent="0.2">
      <c r="A3815" s="134">
        <v>45635</v>
      </c>
      <c r="B3815" s="135">
        <f>YEAR(source[[#This Row],[report_date]])</f>
        <v>2024</v>
      </c>
      <c r="C3815" s="128">
        <f t="shared" si="174"/>
        <v>12</v>
      </c>
      <c r="D3815" s="136">
        <f t="shared" si="173"/>
        <v>50</v>
      </c>
      <c r="E3815" s="136">
        <f t="shared" si="175"/>
        <v>9</v>
      </c>
      <c r="F3815" s="137" t="s">
        <v>24</v>
      </c>
      <c r="G3815" s="128" t="str">
        <f>VLOOKUP(source[[#This Row],[lending_product_transform]],[3]Mapping!$B$4:$C$37,2,0)</f>
        <v>[Cake] - Cashloan</v>
      </c>
      <c r="H3815" s="128" t="str">
        <f>VLOOKUP(source[[#This Row],[lending_product_transform]],[3]Mapping!$B$3:$D$37,3,0)</f>
        <v>cashloan</v>
      </c>
      <c r="I3815" s="143">
        <v>519470000</v>
      </c>
    </row>
    <row r="3816" spans="1:9" x14ac:dyDescent="0.2">
      <c r="A3816" s="134">
        <v>45635</v>
      </c>
      <c r="B3816" s="135">
        <f>YEAR(source[[#This Row],[report_date]])</f>
        <v>2024</v>
      </c>
      <c r="C3816" s="128">
        <f t="shared" si="174"/>
        <v>12</v>
      </c>
      <c r="D3816" s="136">
        <f t="shared" si="173"/>
        <v>50</v>
      </c>
      <c r="E3816" s="136">
        <f t="shared" si="175"/>
        <v>9</v>
      </c>
      <c r="F3816" s="137" t="s">
        <v>24</v>
      </c>
      <c r="G3816" s="128" t="str">
        <f>VLOOKUP(source[[#This Row],[lending_product_transform]],[3]Mapping!$B$4:$C$37,2,0)</f>
        <v>[Cake] - Cashloan</v>
      </c>
      <c r="H3816" s="128" t="str">
        <f>VLOOKUP(source[[#This Row],[lending_product_transform]],[3]Mapping!$B$3:$D$37,3,0)</f>
        <v>cashloan</v>
      </c>
      <c r="I3816" s="143">
        <v>37935360</v>
      </c>
    </row>
    <row r="3817" spans="1:9" x14ac:dyDescent="0.2">
      <c r="A3817" s="134">
        <v>45635</v>
      </c>
      <c r="B3817" s="135">
        <f>YEAR(source[[#This Row],[report_date]])</f>
        <v>2024</v>
      </c>
      <c r="C3817" s="128">
        <f t="shared" si="174"/>
        <v>12</v>
      </c>
      <c r="D3817" s="136">
        <f t="shared" si="173"/>
        <v>50</v>
      </c>
      <c r="E3817" s="136">
        <f t="shared" si="175"/>
        <v>9</v>
      </c>
      <c r="F3817" s="137" t="s">
        <v>24</v>
      </c>
      <c r="G3817" s="128" t="str">
        <f>VLOOKUP(source[[#This Row],[lending_product_transform]],[3]Mapping!$B$4:$C$37,2,0)</f>
        <v>[Cake] - Cashloan</v>
      </c>
      <c r="H3817" s="128" t="str">
        <f>VLOOKUP(source[[#This Row],[lending_product_transform]],[3]Mapping!$B$3:$D$37,3,0)</f>
        <v>cashloan</v>
      </c>
      <c r="I3817" s="143">
        <v>185597502</v>
      </c>
    </row>
    <row r="3818" spans="1:9" x14ac:dyDescent="0.2">
      <c r="A3818" s="134">
        <v>45635</v>
      </c>
      <c r="B3818" s="135">
        <f>YEAR(source[[#This Row],[report_date]])</f>
        <v>2024</v>
      </c>
      <c r="C3818" s="128">
        <f t="shared" si="174"/>
        <v>12</v>
      </c>
      <c r="D3818" s="136">
        <f t="shared" si="173"/>
        <v>50</v>
      </c>
      <c r="E3818" s="136">
        <f t="shared" si="175"/>
        <v>9</v>
      </c>
      <c r="F3818" s="137" t="s">
        <v>24</v>
      </c>
      <c r="G3818" s="128" t="str">
        <f>VLOOKUP(source[[#This Row],[lending_product_transform]],[3]Mapping!$B$4:$C$37,2,0)</f>
        <v>[Cake] - Cashloan</v>
      </c>
      <c r="H3818" s="128" t="str">
        <f>VLOOKUP(source[[#This Row],[lending_product_transform]],[3]Mapping!$B$3:$D$37,3,0)</f>
        <v>cashloan</v>
      </c>
      <c r="I3818" s="143">
        <v>0</v>
      </c>
    </row>
    <row r="3819" spans="1:9" x14ac:dyDescent="0.2">
      <c r="A3819" s="134">
        <v>45635</v>
      </c>
      <c r="B3819" s="135">
        <f>YEAR(source[[#This Row],[report_date]])</f>
        <v>2024</v>
      </c>
      <c r="C3819" s="128">
        <f t="shared" si="174"/>
        <v>12</v>
      </c>
      <c r="D3819" s="136">
        <f t="shared" si="173"/>
        <v>50</v>
      </c>
      <c r="E3819" s="136">
        <f t="shared" si="175"/>
        <v>9</v>
      </c>
      <c r="F3819" s="137" t="s">
        <v>24</v>
      </c>
      <c r="G3819" s="128" t="str">
        <f>VLOOKUP(source[[#This Row],[lending_product_transform]],[3]Mapping!$B$4:$C$37,2,0)</f>
        <v>[Cake] - Cashloan</v>
      </c>
      <c r="H3819" s="128" t="str">
        <f>VLOOKUP(source[[#This Row],[lending_product_transform]],[3]Mapping!$B$3:$D$37,3,0)</f>
        <v>cashloan</v>
      </c>
      <c r="I3819" s="143">
        <v>0</v>
      </c>
    </row>
    <row r="3820" spans="1:9" x14ac:dyDescent="0.2">
      <c r="A3820" s="134">
        <v>45635</v>
      </c>
      <c r="B3820" s="135">
        <f>YEAR(source[[#This Row],[report_date]])</f>
        <v>2024</v>
      </c>
      <c r="C3820" s="128">
        <f t="shared" si="174"/>
        <v>12</v>
      </c>
      <c r="D3820" s="136">
        <f t="shared" si="173"/>
        <v>50</v>
      </c>
      <c r="E3820" s="136">
        <f t="shared" si="175"/>
        <v>9</v>
      </c>
      <c r="F3820" s="137" t="s">
        <v>24</v>
      </c>
      <c r="G3820" s="128" t="str">
        <f>VLOOKUP(source[[#This Row],[lending_product_transform]],[3]Mapping!$B$4:$C$37,2,0)</f>
        <v>[Cake] - Cashloan</v>
      </c>
      <c r="H3820" s="128" t="str">
        <f>VLOOKUP(source[[#This Row],[lending_product_transform]],[3]Mapping!$B$3:$D$37,3,0)</f>
        <v>cashloan</v>
      </c>
      <c r="I3820" s="143">
        <v>42800000</v>
      </c>
    </row>
    <row r="3821" spans="1:9" x14ac:dyDescent="0.2">
      <c r="A3821" s="134">
        <v>45635</v>
      </c>
      <c r="B3821" s="135">
        <f>YEAR(source[[#This Row],[report_date]])</f>
        <v>2024</v>
      </c>
      <c r="C3821" s="128">
        <f t="shared" si="174"/>
        <v>12</v>
      </c>
      <c r="D3821" s="136">
        <f t="shared" si="173"/>
        <v>50</v>
      </c>
      <c r="E3821" s="136">
        <f t="shared" si="175"/>
        <v>9</v>
      </c>
      <c r="F3821" s="137" t="s">
        <v>24</v>
      </c>
      <c r="G3821" s="128" t="str">
        <f>VLOOKUP(source[[#This Row],[lending_product_transform]],[3]Mapping!$B$4:$C$37,2,0)</f>
        <v>[Cake] - Cashloan</v>
      </c>
      <c r="H3821" s="128" t="str">
        <f>VLOOKUP(source[[#This Row],[lending_product_transform]],[3]Mapping!$B$3:$D$37,3,0)</f>
        <v>cashloan</v>
      </c>
      <c r="I3821" s="143">
        <v>85970000</v>
      </c>
    </row>
    <row r="3822" spans="1:9" x14ac:dyDescent="0.2">
      <c r="A3822" s="134">
        <v>45636</v>
      </c>
      <c r="B3822" s="135">
        <f>YEAR(source[[#This Row],[report_date]])</f>
        <v>2024</v>
      </c>
      <c r="C3822" s="128">
        <f t="shared" si="174"/>
        <v>12</v>
      </c>
      <c r="D3822" s="136">
        <f t="shared" si="173"/>
        <v>50</v>
      </c>
      <c r="E3822" s="136">
        <f t="shared" si="175"/>
        <v>10</v>
      </c>
      <c r="F3822" s="137" t="s">
        <v>24</v>
      </c>
      <c r="G3822" s="128" t="str">
        <f>VLOOKUP(source[[#This Row],[lending_product_transform]],[3]Mapping!$B$4:$C$37,2,0)</f>
        <v>[Cake] - Cashloan</v>
      </c>
      <c r="H3822" s="128" t="str">
        <f>VLOOKUP(source[[#This Row],[lending_product_transform]],[3]Mapping!$B$3:$D$37,3,0)</f>
        <v>cashloan</v>
      </c>
      <c r="I3822" s="143">
        <v>0</v>
      </c>
    </row>
    <row r="3823" spans="1:9" x14ac:dyDescent="0.2">
      <c r="A3823" s="134">
        <v>45636</v>
      </c>
      <c r="B3823" s="135">
        <f>YEAR(source[[#This Row],[report_date]])</f>
        <v>2024</v>
      </c>
      <c r="C3823" s="128">
        <f t="shared" si="174"/>
        <v>12</v>
      </c>
      <c r="D3823" s="136">
        <f t="shared" si="173"/>
        <v>50</v>
      </c>
      <c r="E3823" s="136">
        <f t="shared" si="175"/>
        <v>10</v>
      </c>
      <c r="F3823" s="137" t="s">
        <v>24</v>
      </c>
      <c r="G3823" s="128" t="str">
        <f>VLOOKUP(source[[#This Row],[lending_product_transform]],[3]Mapping!$B$4:$C$37,2,0)</f>
        <v>[Cake] - Cashloan</v>
      </c>
      <c r="H3823" s="128" t="str">
        <f>VLOOKUP(source[[#This Row],[lending_product_transform]],[3]Mapping!$B$3:$D$37,3,0)</f>
        <v>cashloan</v>
      </c>
      <c r="I3823" s="143">
        <v>0</v>
      </c>
    </row>
    <row r="3824" spans="1:9" x14ac:dyDescent="0.2">
      <c r="A3824" s="134">
        <v>45636</v>
      </c>
      <c r="B3824" s="135">
        <f>YEAR(source[[#This Row],[report_date]])</f>
        <v>2024</v>
      </c>
      <c r="C3824" s="128">
        <f t="shared" si="174"/>
        <v>12</v>
      </c>
      <c r="D3824" s="136">
        <f t="shared" si="173"/>
        <v>50</v>
      </c>
      <c r="E3824" s="136">
        <f t="shared" si="175"/>
        <v>10</v>
      </c>
      <c r="F3824" s="137" t="s">
        <v>24</v>
      </c>
      <c r="G3824" s="128" t="str">
        <f>VLOOKUP(source[[#This Row],[lending_product_transform]],[3]Mapping!$B$4:$C$37,2,0)</f>
        <v>[Cake] - Cashloan</v>
      </c>
      <c r="H3824" s="128" t="str">
        <f>VLOOKUP(source[[#This Row],[lending_product_transform]],[3]Mapping!$B$3:$D$37,3,0)</f>
        <v>cashloan</v>
      </c>
      <c r="I3824" s="143">
        <v>69865728</v>
      </c>
    </row>
    <row r="3825" spans="1:9" x14ac:dyDescent="0.2">
      <c r="A3825" s="134">
        <v>45636</v>
      </c>
      <c r="B3825" s="135">
        <f>YEAR(source[[#This Row],[report_date]])</f>
        <v>2024</v>
      </c>
      <c r="C3825" s="128">
        <f t="shared" si="174"/>
        <v>12</v>
      </c>
      <c r="D3825" s="136">
        <f t="shared" si="173"/>
        <v>50</v>
      </c>
      <c r="E3825" s="136">
        <f t="shared" si="175"/>
        <v>10</v>
      </c>
      <c r="F3825" s="137" t="s">
        <v>24</v>
      </c>
      <c r="G3825" s="128" t="str">
        <f>VLOOKUP(source[[#This Row],[lending_product_transform]],[3]Mapping!$B$4:$C$37,2,0)</f>
        <v>[Cake] - Cashloan</v>
      </c>
      <c r="H3825" s="128" t="str">
        <f>VLOOKUP(source[[#This Row],[lending_product_transform]],[3]Mapping!$B$3:$D$37,3,0)</f>
        <v>cashloan</v>
      </c>
      <c r="I3825" s="143">
        <v>6999500000</v>
      </c>
    </row>
    <row r="3826" spans="1:9" x14ac:dyDescent="0.2">
      <c r="A3826" s="134">
        <v>45636</v>
      </c>
      <c r="B3826" s="135">
        <f>YEAR(source[[#This Row],[report_date]])</f>
        <v>2024</v>
      </c>
      <c r="C3826" s="128">
        <f t="shared" si="174"/>
        <v>12</v>
      </c>
      <c r="D3826" s="136">
        <f t="shared" si="173"/>
        <v>50</v>
      </c>
      <c r="E3826" s="136">
        <f t="shared" si="175"/>
        <v>10</v>
      </c>
      <c r="F3826" s="137" t="s">
        <v>24</v>
      </c>
      <c r="G3826" s="128" t="str">
        <f>VLOOKUP(source[[#This Row],[lending_product_transform]],[3]Mapping!$B$4:$C$37,2,0)</f>
        <v>[Cake] - Cashloan</v>
      </c>
      <c r="H3826" s="128" t="str">
        <f>VLOOKUP(source[[#This Row],[lending_product_transform]],[3]Mapping!$B$3:$D$37,3,0)</f>
        <v>cashloan</v>
      </c>
      <c r="I3826" s="143">
        <v>41000000</v>
      </c>
    </row>
    <row r="3827" spans="1:9" x14ac:dyDescent="0.2">
      <c r="A3827" s="134">
        <v>45636</v>
      </c>
      <c r="B3827" s="135">
        <f>YEAR(source[[#This Row],[report_date]])</f>
        <v>2024</v>
      </c>
      <c r="C3827" s="128">
        <f t="shared" si="174"/>
        <v>12</v>
      </c>
      <c r="D3827" s="136">
        <f t="shared" si="173"/>
        <v>50</v>
      </c>
      <c r="E3827" s="136">
        <f t="shared" si="175"/>
        <v>10</v>
      </c>
      <c r="F3827" s="137" t="s">
        <v>24</v>
      </c>
      <c r="G3827" s="128" t="str">
        <f>VLOOKUP(source[[#This Row],[lending_product_transform]],[3]Mapping!$B$4:$C$37,2,0)</f>
        <v>[Cake] - Cashloan</v>
      </c>
      <c r="H3827" s="128" t="str">
        <f>VLOOKUP(source[[#This Row],[lending_product_transform]],[3]Mapping!$B$3:$D$37,3,0)</f>
        <v>cashloan</v>
      </c>
      <c r="I3827" s="143">
        <v>5411800000</v>
      </c>
    </row>
    <row r="3828" spans="1:9" x14ac:dyDescent="0.2">
      <c r="A3828" s="134">
        <v>45636</v>
      </c>
      <c r="B3828" s="135">
        <f>YEAR(source[[#This Row],[report_date]])</f>
        <v>2024</v>
      </c>
      <c r="C3828" s="128">
        <f t="shared" si="174"/>
        <v>12</v>
      </c>
      <c r="D3828" s="136">
        <f t="shared" si="173"/>
        <v>50</v>
      </c>
      <c r="E3828" s="136">
        <f t="shared" si="175"/>
        <v>10</v>
      </c>
      <c r="F3828" s="137" t="s">
        <v>24</v>
      </c>
      <c r="G3828" s="128" t="str">
        <f>VLOOKUP(source[[#This Row],[lending_product_transform]],[3]Mapping!$B$4:$C$37,2,0)</f>
        <v>[Cake] - Cashloan</v>
      </c>
      <c r="H3828" s="128" t="str">
        <f>VLOOKUP(source[[#This Row],[lending_product_transform]],[3]Mapping!$B$3:$D$37,3,0)</f>
        <v>cashloan</v>
      </c>
      <c r="I3828" s="143">
        <v>170880000</v>
      </c>
    </row>
    <row r="3829" spans="1:9" x14ac:dyDescent="0.2">
      <c r="A3829" s="134">
        <v>45636</v>
      </c>
      <c r="B3829" s="135">
        <f>YEAR(source[[#This Row],[report_date]])</f>
        <v>2024</v>
      </c>
      <c r="C3829" s="128">
        <f t="shared" si="174"/>
        <v>12</v>
      </c>
      <c r="D3829" s="136">
        <f t="shared" si="173"/>
        <v>50</v>
      </c>
      <c r="E3829" s="136">
        <f t="shared" si="175"/>
        <v>10</v>
      </c>
      <c r="F3829" s="137" t="s">
        <v>24</v>
      </c>
      <c r="G3829" s="128" t="str">
        <f>VLOOKUP(source[[#This Row],[lending_product_transform]],[3]Mapping!$B$4:$C$37,2,0)</f>
        <v>[Cake] - Cashloan</v>
      </c>
      <c r="H3829" s="128" t="str">
        <f>VLOOKUP(source[[#This Row],[lending_product_transform]],[3]Mapping!$B$3:$D$37,3,0)</f>
        <v>cashloan</v>
      </c>
      <c r="I3829" s="143">
        <v>481772069</v>
      </c>
    </row>
    <row r="3830" spans="1:9" x14ac:dyDescent="0.2">
      <c r="A3830" s="134">
        <v>45636</v>
      </c>
      <c r="B3830" s="135">
        <f>YEAR(source[[#This Row],[report_date]])</f>
        <v>2024</v>
      </c>
      <c r="C3830" s="128">
        <f t="shared" si="174"/>
        <v>12</v>
      </c>
      <c r="D3830" s="136">
        <f t="shared" si="173"/>
        <v>50</v>
      </c>
      <c r="E3830" s="136">
        <f t="shared" si="175"/>
        <v>10</v>
      </c>
      <c r="F3830" s="137" t="s">
        <v>24</v>
      </c>
      <c r="G3830" s="128" t="str">
        <f>VLOOKUP(source[[#This Row],[lending_product_transform]],[3]Mapping!$B$4:$C$37,2,0)</f>
        <v>[Cake] - Cashloan</v>
      </c>
      <c r="H3830" s="128" t="str">
        <f>VLOOKUP(source[[#This Row],[lending_product_transform]],[3]Mapping!$B$3:$D$37,3,0)</f>
        <v>cashloan</v>
      </c>
      <c r="I3830" s="143">
        <v>436320000</v>
      </c>
    </row>
    <row r="3831" spans="1:9" x14ac:dyDescent="0.2">
      <c r="A3831" s="134">
        <v>45636</v>
      </c>
      <c r="B3831" s="135">
        <f>YEAR(source[[#This Row],[report_date]])</f>
        <v>2024</v>
      </c>
      <c r="C3831" s="128">
        <f t="shared" si="174"/>
        <v>12</v>
      </c>
      <c r="D3831" s="136">
        <f t="shared" si="173"/>
        <v>50</v>
      </c>
      <c r="E3831" s="136">
        <f t="shared" si="175"/>
        <v>10</v>
      </c>
      <c r="F3831" s="137" t="s">
        <v>24</v>
      </c>
      <c r="G3831" s="128" t="str">
        <f>VLOOKUP(source[[#This Row],[lending_product_transform]],[3]Mapping!$B$4:$C$37,2,0)</f>
        <v>[Cake] - Cashloan</v>
      </c>
      <c r="H3831" s="128" t="str">
        <f>VLOOKUP(source[[#This Row],[lending_product_transform]],[3]Mapping!$B$3:$D$37,3,0)</f>
        <v>cashloan</v>
      </c>
      <c r="I3831" s="143">
        <v>0</v>
      </c>
    </row>
    <row r="3832" spans="1:9" x14ac:dyDescent="0.2">
      <c r="A3832" s="134">
        <v>45636</v>
      </c>
      <c r="B3832" s="135">
        <f>YEAR(source[[#This Row],[report_date]])</f>
        <v>2024</v>
      </c>
      <c r="C3832" s="128">
        <f t="shared" si="174"/>
        <v>12</v>
      </c>
      <c r="D3832" s="136">
        <f t="shared" si="173"/>
        <v>50</v>
      </c>
      <c r="E3832" s="136">
        <f t="shared" si="175"/>
        <v>10</v>
      </c>
      <c r="F3832" s="137" t="s">
        <v>24</v>
      </c>
      <c r="G3832" s="128" t="str">
        <f>VLOOKUP(source[[#This Row],[lending_product_transform]],[3]Mapping!$B$4:$C$37,2,0)</f>
        <v>[Cake] - Cashloan</v>
      </c>
      <c r="H3832" s="128" t="str">
        <f>VLOOKUP(source[[#This Row],[lending_product_transform]],[3]Mapping!$B$3:$D$37,3,0)</f>
        <v>cashloan</v>
      </c>
      <c r="I3832" s="143">
        <v>45341228</v>
      </c>
    </row>
    <row r="3833" spans="1:9" x14ac:dyDescent="0.2">
      <c r="A3833" s="134">
        <v>45636</v>
      </c>
      <c r="B3833" s="135">
        <f>YEAR(source[[#This Row],[report_date]])</f>
        <v>2024</v>
      </c>
      <c r="C3833" s="128">
        <f t="shared" si="174"/>
        <v>12</v>
      </c>
      <c r="D3833" s="136">
        <f t="shared" si="173"/>
        <v>50</v>
      </c>
      <c r="E3833" s="136">
        <f t="shared" si="175"/>
        <v>10</v>
      </c>
      <c r="F3833" s="137" t="s">
        <v>24</v>
      </c>
      <c r="G3833" s="128" t="str">
        <f>VLOOKUP(source[[#This Row],[lending_product_transform]],[3]Mapping!$B$4:$C$37,2,0)</f>
        <v>[Cake] - Cashloan</v>
      </c>
      <c r="H3833" s="128" t="str">
        <f>VLOOKUP(source[[#This Row],[lending_product_transform]],[3]Mapping!$B$3:$D$37,3,0)</f>
        <v>cashloan</v>
      </c>
      <c r="I3833" s="143">
        <v>0</v>
      </c>
    </row>
    <row r="3834" spans="1:9" x14ac:dyDescent="0.2">
      <c r="A3834" s="134">
        <v>45636</v>
      </c>
      <c r="B3834" s="135">
        <f>YEAR(source[[#This Row],[report_date]])</f>
        <v>2024</v>
      </c>
      <c r="C3834" s="128">
        <f t="shared" si="174"/>
        <v>12</v>
      </c>
      <c r="D3834" s="136">
        <f t="shared" si="173"/>
        <v>50</v>
      </c>
      <c r="E3834" s="136">
        <f t="shared" si="175"/>
        <v>10</v>
      </c>
      <c r="F3834" s="137" t="s">
        <v>24</v>
      </c>
      <c r="G3834" s="128" t="str">
        <f>VLOOKUP(source[[#This Row],[lending_product_transform]],[3]Mapping!$B$4:$C$37,2,0)</f>
        <v>[Cake] - Cashloan</v>
      </c>
      <c r="H3834" s="128" t="str">
        <f>VLOOKUP(source[[#This Row],[lending_product_transform]],[3]Mapping!$B$3:$D$37,3,0)</f>
        <v>cashloan</v>
      </c>
      <c r="I3834" s="143">
        <v>4119506757</v>
      </c>
    </row>
    <row r="3835" spans="1:9" x14ac:dyDescent="0.2">
      <c r="A3835" s="134">
        <v>45636</v>
      </c>
      <c r="B3835" s="135">
        <f>YEAR(source[[#This Row],[report_date]])</f>
        <v>2024</v>
      </c>
      <c r="C3835" s="128">
        <f t="shared" si="174"/>
        <v>12</v>
      </c>
      <c r="D3835" s="136">
        <f t="shared" si="173"/>
        <v>50</v>
      </c>
      <c r="E3835" s="136">
        <f t="shared" si="175"/>
        <v>10</v>
      </c>
      <c r="F3835" s="137" t="s">
        <v>24</v>
      </c>
      <c r="G3835" s="128" t="str">
        <f>VLOOKUP(source[[#This Row],[lending_product_transform]],[3]Mapping!$B$4:$C$37,2,0)</f>
        <v>[Cake] - Cashloan</v>
      </c>
      <c r="H3835" s="128" t="str">
        <f>VLOOKUP(source[[#This Row],[lending_product_transform]],[3]Mapping!$B$3:$D$37,3,0)</f>
        <v>cashloan</v>
      </c>
      <c r="I3835" s="143">
        <v>21000000</v>
      </c>
    </row>
    <row r="3836" spans="1:9" x14ac:dyDescent="0.2">
      <c r="A3836" s="134">
        <v>45636</v>
      </c>
      <c r="B3836" s="135">
        <f>YEAR(source[[#This Row],[report_date]])</f>
        <v>2024</v>
      </c>
      <c r="C3836" s="128">
        <f t="shared" si="174"/>
        <v>12</v>
      </c>
      <c r="D3836" s="136">
        <f t="shared" si="173"/>
        <v>50</v>
      </c>
      <c r="E3836" s="136">
        <f t="shared" si="175"/>
        <v>10</v>
      </c>
      <c r="F3836" s="137" t="s">
        <v>24</v>
      </c>
      <c r="G3836" s="128" t="str">
        <f>VLOOKUP(source[[#This Row],[lending_product_transform]],[3]Mapping!$B$4:$C$37,2,0)</f>
        <v>[Cake] - Cashloan</v>
      </c>
      <c r="H3836" s="128" t="str">
        <f>VLOOKUP(source[[#This Row],[lending_product_transform]],[3]Mapping!$B$3:$D$37,3,0)</f>
        <v>cashloan</v>
      </c>
      <c r="I3836" s="143">
        <v>6807600000</v>
      </c>
    </row>
    <row r="3837" spans="1:9" x14ac:dyDescent="0.2">
      <c r="A3837" s="134">
        <v>45636</v>
      </c>
      <c r="B3837" s="135">
        <f>YEAR(source[[#This Row],[report_date]])</f>
        <v>2024</v>
      </c>
      <c r="C3837" s="128">
        <f t="shared" si="174"/>
        <v>12</v>
      </c>
      <c r="D3837" s="136">
        <f t="shared" si="173"/>
        <v>50</v>
      </c>
      <c r="E3837" s="136">
        <f t="shared" si="175"/>
        <v>10</v>
      </c>
      <c r="F3837" s="137" t="s">
        <v>24</v>
      </c>
      <c r="G3837" s="128" t="str">
        <f>VLOOKUP(source[[#This Row],[lending_product_transform]],[3]Mapping!$B$4:$C$37,2,0)</f>
        <v>[Cake] - Cashloan</v>
      </c>
      <c r="H3837" s="128" t="str">
        <f>VLOOKUP(source[[#This Row],[lending_product_transform]],[3]Mapping!$B$3:$D$37,3,0)</f>
        <v>cashloan</v>
      </c>
      <c r="I3837" s="143">
        <v>149487147</v>
      </c>
    </row>
    <row r="3838" spans="1:9" x14ac:dyDescent="0.2">
      <c r="A3838" s="134">
        <v>45636</v>
      </c>
      <c r="B3838" s="135">
        <f>YEAR(source[[#This Row],[report_date]])</f>
        <v>2024</v>
      </c>
      <c r="C3838" s="128">
        <f t="shared" si="174"/>
        <v>12</v>
      </c>
      <c r="D3838" s="136">
        <f t="shared" si="173"/>
        <v>50</v>
      </c>
      <c r="E3838" s="136">
        <f t="shared" si="175"/>
        <v>10</v>
      </c>
      <c r="F3838" s="137" t="s">
        <v>24</v>
      </c>
      <c r="G3838" s="128" t="str">
        <f>VLOOKUP(source[[#This Row],[lending_product_transform]],[3]Mapping!$B$4:$C$37,2,0)</f>
        <v>[Cake] - Cashloan</v>
      </c>
      <c r="H3838" s="128" t="str">
        <f>VLOOKUP(source[[#This Row],[lending_product_transform]],[3]Mapping!$B$3:$D$37,3,0)</f>
        <v>cashloan</v>
      </c>
      <c r="I3838" s="143">
        <v>6420000</v>
      </c>
    </row>
    <row r="3839" spans="1:9" x14ac:dyDescent="0.2">
      <c r="A3839" s="134">
        <v>45636</v>
      </c>
      <c r="B3839" s="135">
        <f>YEAR(source[[#This Row],[report_date]])</f>
        <v>2024</v>
      </c>
      <c r="C3839" s="128">
        <f t="shared" si="174"/>
        <v>12</v>
      </c>
      <c r="D3839" s="136">
        <f t="shared" si="173"/>
        <v>50</v>
      </c>
      <c r="E3839" s="136">
        <f t="shared" si="175"/>
        <v>10</v>
      </c>
      <c r="F3839" s="137" t="s">
        <v>24</v>
      </c>
      <c r="G3839" s="128" t="str">
        <f>VLOOKUP(source[[#This Row],[lending_product_transform]],[3]Mapping!$B$4:$C$37,2,0)</f>
        <v>[Cake] - Cashloan</v>
      </c>
      <c r="H3839" s="128" t="str">
        <f>VLOOKUP(source[[#This Row],[lending_product_transform]],[3]Mapping!$B$3:$D$37,3,0)</f>
        <v>cashloan</v>
      </c>
      <c r="I3839" s="143">
        <v>53500000</v>
      </c>
    </row>
    <row r="3840" spans="1:9" x14ac:dyDescent="0.2">
      <c r="A3840" s="134">
        <v>45637</v>
      </c>
      <c r="B3840" s="135">
        <f>YEAR(source[[#This Row],[report_date]])</f>
        <v>2024</v>
      </c>
      <c r="C3840" s="128">
        <f t="shared" si="174"/>
        <v>12</v>
      </c>
      <c r="D3840" s="136">
        <f t="shared" si="173"/>
        <v>50</v>
      </c>
      <c r="E3840" s="136">
        <f t="shared" si="175"/>
        <v>11</v>
      </c>
      <c r="F3840" s="137" t="s">
        <v>24</v>
      </c>
      <c r="G3840" s="128" t="str">
        <f>VLOOKUP(source[[#This Row],[lending_product_transform]],[3]Mapping!$B$4:$C$37,2,0)</f>
        <v>[Cake] - Cashloan</v>
      </c>
      <c r="H3840" s="128" t="str">
        <f>VLOOKUP(source[[#This Row],[lending_product_transform]],[3]Mapping!$B$3:$D$37,3,0)</f>
        <v>cashloan</v>
      </c>
      <c r="I3840" s="143">
        <v>462200000</v>
      </c>
    </row>
    <row r="3841" spans="1:9" x14ac:dyDescent="0.2">
      <c r="A3841" s="134">
        <v>45637</v>
      </c>
      <c r="B3841" s="135">
        <f>YEAR(source[[#This Row],[report_date]])</f>
        <v>2024</v>
      </c>
      <c r="C3841" s="128">
        <f t="shared" si="174"/>
        <v>12</v>
      </c>
      <c r="D3841" s="136">
        <f t="shared" si="173"/>
        <v>50</v>
      </c>
      <c r="E3841" s="136">
        <f t="shared" si="175"/>
        <v>11</v>
      </c>
      <c r="F3841" s="137" t="s">
        <v>24</v>
      </c>
      <c r="G3841" s="128" t="str">
        <f>VLOOKUP(source[[#This Row],[lending_product_transform]],[3]Mapping!$B$4:$C$37,2,0)</f>
        <v>[Cake] - Cashloan</v>
      </c>
      <c r="H3841" s="128" t="str">
        <f>VLOOKUP(source[[#This Row],[lending_product_transform]],[3]Mapping!$B$3:$D$37,3,0)</f>
        <v>cashloan</v>
      </c>
      <c r="I3841" s="143">
        <v>6596020000</v>
      </c>
    </row>
    <row r="3842" spans="1:9" x14ac:dyDescent="0.2">
      <c r="A3842" s="134">
        <v>45637</v>
      </c>
      <c r="B3842" s="135">
        <f>YEAR(source[[#This Row],[report_date]])</f>
        <v>2024</v>
      </c>
      <c r="C3842" s="128">
        <f t="shared" si="174"/>
        <v>12</v>
      </c>
      <c r="D3842" s="136">
        <f t="shared" si="173"/>
        <v>50</v>
      </c>
      <c r="E3842" s="136">
        <f t="shared" si="175"/>
        <v>11</v>
      </c>
      <c r="F3842" s="137" t="s">
        <v>24</v>
      </c>
      <c r="G3842" s="128" t="str">
        <f>VLOOKUP(source[[#This Row],[lending_product_transform]],[3]Mapping!$B$4:$C$37,2,0)</f>
        <v>[Cake] - Cashloan</v>
      </c>
      <c r="H3842" s="128" t="str">
        <f>VLOOKUP(source[[#This Row],[lending_product_transform]],[3]Mapping!$B$3:$D$37,3,0)</f>
        <v>cashloan</v>
      </c>
      <c r="I3842" s="143">
        <v>418179754</v>
      </c>
    </row>
    <row r="3843" spans="1:9" x14ac:dyDescent="0.2">
      <c r="A3843" s="134">
        <v>45637</v>
      </c>
      <c r="B3843" s="135">
        <f>YEAR(source[[#This Row],[report_date]])</f>
        <v>2024</v>
      </c>
      <c r="C3843" s="128">
        <f t="shared" si="174"/>
        <v>12</v>
      </c>
      <c r="D3843" s="136">
        <f t="shared" ref="D3843:D3906" si="176">WEEKNUM(A3843,2)</f>
        <v>50</v>
      </c>
      <c r="E3843" s="136">
        <f t="shared" si="175"/>
        <v>11</v>
      </c>
      <c r="F3843" s="137" t="s">
        <v>24</v>
      </c>
      <c r="G3843" s="128" t="str">
        <f>VLOOKUP(source[[#This Row],[lending_product_transform]],[3]Mapping!$B$4:$C$37,2,0)</f>
        <v>[Cake] - Cashloan</v>
      </c>
      <c r="H3843" s="128" t="str">
        <f>VLOOKUP(source[[#This Row],[lending_product_transform]],[3]Mapping!$B$3:$D$37,3,0)</f>
        <v>cashloan</v>
      </c>
      <c r="I3843" s="143">
        <v>33106072</v>
      </c>
    </row>
    <row r="3844" spans="1:9" x14ac:dyDescent="0.2">
      <c r="A3844" s="134">
        <v>45637</v>
      </c>
      <c r="B3844" s="135">
        <f>YEAR(source[[#This Row],[report_date]])</f>
        <v>2024</v>
      </c>
      <c r="C3844" s="128">
        <f t="shared" si="174"/>
        <v>12</v>
      </c>
      <c r="D3844" s="136">
        <f t="shared" si="176"/>
        <v>50</v>
      </c>
      <c r="E3844" s="136">
        <f t="shared" si="175"/>
        <v>11</v>
      </c>
      <c r="F3844" s="137" t="s">
        <v>24</v>
      </c>
      <c r="G3844" s="128" t="str">
        <f>VLOOKUP(source[[#This Row],[lending_product_transform]],[3]Mapping!$B$4:$C$37,2,0)</f>
        <v>[Cake] - Cashloan</v>
      </c>
      <c r="H3844" s="128" t="str">
        <f>VLOOKUP(source[[#This Row],[lending_product_transform]],[3]Mapping!$B$3:$D$37,3,0)</f>
        <v>cashloan</v>
      </c>
      <c r="I3844" s="143">
        <v>0</v>
      </c>
    </row>
    <row r="3845" spans="1:9" x14ac:dyDescent="0.2">
      <c r="A3845" s="134">
        <v>45637</v>
      </c>
      <c r="B3845" s="135">
        <f>YEAR(source[[#This Row],[report_date]])</f>
        <v>2024</v>
      </c>
      <c r="C3845" s="128">
        <f t="shared" si="174"/>
        <v>12</v>
      </c>
      <c r="D3845" s="136">
        <f t="shared" si="176"/>
        <v>50</v>
      </c>
      <c r="E3845" s="136">
        <f t="shared" si="175"/>
        <v>11</v>
      </c>
      <c r="F3845" s="137" t="s">
        <v>24</v>
      </c>
      <c r="G3845" s="128" t="str">
        <f>VLOOKUP(source[[#This Row],[lending_product_transform]],[3]Mapping!$B$4:$C$37,2,0)</f>
        <v>[Cake] - Cashloan</v>
      </c>
      <c r="H3845" s="128" t="str">
        <f>VLOOKUP(source[[#This Row],[lending_product_transform]],[3]Mapping!$B$3:$D$37,3,0)</f>
        <v>cashloan</v>
      </c>
      <c r="I3845" s="143">
        <v>6783500000</v>
      </c>
    </row>
    <row r="3846" spans="1:9" x14ac:dyDescent="0.2">
      <c r="A3846" s="134">
        <v>45637</v>
      </c>
      <c r="B3846" s="135">
        <f>YEAR(source[[#This Row],[report_date]])</f>
        <v>2024</v>
      </c>
      <c r="C3846" s="128">
        <f t="shared" si="174"/>
        <v>12</v>
      </c>
      <c r="D3846" s="136">
        <f t="shared" si="176"/>
        <v>50</v>
      </c>
      <c r="E3846" s="136">
        <f t="shared" si="175"/>
        <v>11</v>
      </c>
      <c r="F3846" s="137" t="s">
        <v>24</v>
      </c>
      <c r="G3846" s="128" t="str">
        <f>VLOOKUP(source[[#This Row],[lending_product_transform]],[3]Mapping!$B$4:$C$37,2,0)</f>
        <v>[Cake] - Cashloan</v>
      </c>
      <c r="H3846" s="128" t="str">
        <f>VLOOKUP(source[[#This Row],[lending_product_transform]],[3]Mapping!$B$3:$D$37,3,0)</f>
        <v>cashloan</v>
      </c>
      <c r="I3846" s="143">
        <v>64000000</v>
      </c>
    </row>
    <row r="3847" spans="1:9" x14ac:dyDescent="0.2">
      <c r="A3847" s="134">
        <v>45637</v>
      </c>
      <c r="B3847" s="135">
        <f>YEAR(source[[#This Row],[report_date]])</f>
        <v>2024</v>
      </c>
      <c r="C3847" s="128">
        <f t="shared" si="174"/>
        <v>12</v>
      </c>
      <c r="D3847" s="136">
        <f t="shared" si="176"/>
        <v>50</v>
      </c>
      <c r="E3847" s="136">
        <f t="shared" si="175"/>
        <v>11</v>
      </c>
      <c r="F3847" s="137" t="s">
        <v>24</v>
      </c>
      <c r="G3847" s="128" t="str">
        <f>VLOOKUP(source[[#This Row],[lending_product_transform]],[3]Mapping!$B$4:$C$37,2,0)</f>
        <v>[Cake] - Cashloan</v>
      </c>
      <c r="H3847" s="128" t="str">
        <f>VLOOKUP(source[[#This Row],[lending_product_transform]],[3]Mapping!$B$3:$D$37,3,0)</f>
        <v>cashloan</v>
      </c>
      <c r="I3847" s="143">
        <v>5784330000</v>
      </c>
    </row>
    <row r="3848" spans="1:9" x14ac:dyDescent="0.2">
      <c r="A3848" s="134">
        <v>45637</v>
      </c>
      <c r="B3848" s="135">
        <f>YEAR(source[[#This Row],[report_date]])</f>
        <v>2024</v>
      </c>
      <c r="C3848" s="128">
        <f t="shared" si="174"/>
        <v>12</v>
      </c>
      <c r="D3848" s="136">
        <f t="shared" si="176"/>
        <v>50</v>
      </c>
      <c r="E3848" s="136">
        <f t="shared" si="175"/>
        <v>11</v>
      </c>
      <c r="F3848" s="137" t="s">
        <v>24</v>
      </c>
      <c r="G3848" s="128" t="str">
        <f>VLOOKUP(source[[#This Row],[lending_product_transform]],[3]Mapping!$B$4:$C$37,2,0)</f>
        <v>[Cake] - Cashloan</v>
      </c>
      <c r="H3848" s="128" t="str">
        <f>VLOOKUP(source[[#This Row],[lending_product_transform]],[3]Mapping!$B$3:$D$37,3,0)</f>
        <v>cashloan</v>
      </c>
      <c r="I3848" s="143">
        <v>36750000</v>
      </c>
    </row>
    <row r="3849" spans="1:9" x14ac:dyDescent="0.2">
      <c r="A3849" s="134">
        <v>45637</v>
      </c>
      <c r="B3849" s="135">
        <f>YEAR(source[[#This Row],[report_date]])</f>
        <v>2024</v>
      </c>
      <c r="C3849" s="128">
        <f t="shared" si="174"/>
        <v>12</v>
      </c>
      <c r="D3849" s="136">
        <f t="shared" si="176"/>
        <v>50</v>
      </c>
      <c r="E3849" s="136">
        <f t="shared" si="175"/>
        <v>11</v>
      </c>
      <c r="F3849" s="137" t="s">
        <v>24</v>
      </c>
      <c r="G3849" s="128" t="str">
        <f>VLOOKUP(source[[#This Row],[lending_product_transform]],[3]Mapping!$B$4:$C$37,2,0)</f>
        <v>[Cake] - Cashloan</v>
      </c>
      <c r="H3849" s="128" t="str">
        <f>VLOOKUP(source[[#This Row],[lending_product_transform]],[3]Mapping!$B$3:$D$37,3,0)</f>
        <v>cashloan</v>
      </c>
      <c r="I3849" s="143">
        <v>293070000</v>
      </c>
    </row>
    <row r="3850" spans="1:9" x14ac:dyDescent="0.2">
      <c r="A3850" s="134">
        <v>45637</v>
      </c>
      <c r="B3850" s="135">
        <f>YEAR(source[[#This Row],[report_date]])</f>
        <v>2024</v>
      </c>
      <c r="C3850" s="128">
        <f t="shared" si="174"/>
        <v>12</v>
      </c>
      <c r="D3850" s="136">
        <f t="shared" si="176"/>
        <v>50</v>
      </c>
      <c r="E3850" s="136">
        <f t="shared" si="175"/>
        <v>11</v>
      </c>
      <c r="F3850" s="137" t="s">
        <v>24</v>
      </c>
      <c r="G3850" s="128" t="str">
        <f>VLOOKUP(source[[#This Row],[lending_product_transform]],[3]Mapping!$B$4:$C$37,2,0)</f>
        <v>[Cake] - Cashloan</v>
      </c>
      <c r="H3850" s="128" t="str">
        <f>VLOOKUP(source[[#This Row],[lending_product_transform]],[3]Mapping!$B$3:$D$37,3,0)</f>
        <v>cashloan</v>
      </c>
      <c r="I3850" s="143">
        <v>0</v>
      </c>
    </row>
    <row r="3851" spans="1:9" x14ac:dyDescent="0.2">
      <c r="A3851" s="134">
        <v>45637</v>
      </c>
      <c r="B3851" s="135">
        <f>YEAR(source[[#This Row],[report_date]])</f>
        <v>2024</v>
      </c>
      <c r="C3851" s="128">
        <f t="shared" si="174"/>
        <v>12</v>
      </c>
      <c r="D3851" s="136">
        <f t="shared" si="176"/>
        <v>50</v>
      </c>
      <c r="E3851" s="136">
        <f t="shared" si="175"/>
        <v>11</v>
      </c>
      <c r="F3851" s="137" t="s">
        <v>24</v>
      </c>
      <c r="G3851" s="128" t="str">
        <f>VLOOKUP(source[[#This Row],[lending_product_transform]],[3]Mapping!$B$4:$C$37,2,0)</f>
        <v>[Cake] - Cashloan</v>
      </c>
      <c r="H3851" s="128" t="str">
        <f>VLOOKUP(source[[#This Row],[lending_product_transform]],[3]Mapping!$B$3:$D$37,3,0)</f>
        <v>cashloan</v>
      </c>
      <c r="I3851" s="143">
        <v>0</v>
      </c>
    </row>
    <row r="3852" spans="1:9" x14ac:dyDescent="0.2">
      <c r="A3852" s="134">
        <v>45637</v>
      </c>
      <c r="B3852" s="135">
        <f>YEAR(source[[#This Row],[report_date]])</f>
        <v>2024</v>
      </c>
      <c r="C3852" s="128">
        <f t="shared" si="174"/>
        <v>12</v>
      </c>
      <c r="D3852" s="136">
        <f t="shared" si="176"/>
        <v>50</v>
      </c>
      <c r="E3852" s="136">
        <f t="shared" si="175"/>
        <v>11</v>
      </c>
      <c r="F3852" s="137" t="s">
        <v>24</v>
      </c>
      <c r="G3852" s="128" t="str">
        <f>VLOOKUP(source[[#This Row],[lending_product_transform]],[3]Mapping!$B$4:$C$37,2,0)</f>
        <v>[Cake] - Cashloan</v>
      </c>
      <c r="H3852" s="128" t="str">
        <f>VLOOKUP(source[[#This Row],[lending_product_transform]],[3]Mapping!$B$3:$D$37,3,0)</f>
        <v>cashloan</v>
      </c>
      <c r="I3852" s="143">
        <v>10700000</v>
      </c>
    </row>
    <row r="3853" spans="1:9" x14ac:dyDescent="0.2">
      <c r="A3853" s="134">
        <v>45637</v>
      </c>
      <c r="B3853" s="135">
        <f>YEAR(source[[#This Row],[report_date]])</f>
        <v>2024</v>
      </c>
      <c r="C3853" s="128">
        <f t="shared" si="174"/>
        <v>12</v>
      </c>
      <c r="D3853" s="136">
        <f t="shared" si="176"/>
        <v>50</v>
      </c>
      <c r="E3853" s="136">
        <f t="shared" si="175"/>
        <v>11</v>
      </c>
      <c r="F3853" s="137" t="s">
        <v>24</v>
      </c>
      <c r="G3853" s="128" t="str">
        <f>VLOOKUP(source[[#This Row],[lending_product_transform]],[3]Mapping!$B$4:$C$37,2,0)</f>
        <v>[Cake] - Cashloan</v>
      </c>
      <c r="H3853" s="128" t="str">
        <f>VLOOKUP(source[[#This Row],[lending_product_transform]],[3]Mapping!$B$3:$D$37,3,0)</f>
        <v>cashloan</v>
      </c>
      <c r="I3853" s="143">
        <v>64200000</v>
      </c>
    </row>
    <row r="3854" spans="1:9" x14ac:dyDescent="0.2">
      <c r="A3854" s="134">
        <v>45637</v>
      </c>
      <c r="B3854" s="135">
        <f>YEAR(source[[#This Row],[report_date]])</f>
        <v>2024</v>
      </c>
      <c r="C3854" s="128">
        <f t="shared" si="174"/>
        <v>12</v>
      </c>
      <c r="D3854" s="136">
        <f t="shared" si="176"/>
        <v>50</v>
      </c>
      <c r="E3854" s="136">
        <f t="shared" si="175"/>
        <v>11</v>
      </c>
      <c r="F3854" s="137" t="s">
        <v>24</v>
      </c>
      <c r="G3854" s="128" t="str">
        <f>VLOOKUP(source[[#This Row],[lending_product_transform]],[3]Mapping!$B$4:$C$37,2,0)</f>
        <v>[Cake] - Cashloan</v>
      </c>
      <c r="H3854" s="128" t="str">
        <f>VLOOKUP(source[[#This Row],[lending_product_transform]],[3]Mapping!$B$3:$D$37,3,0)</f>
        <v>cashloan</v>
      </c>
      <c r="I3854" s="143">
        <v>142792933</v>
      </c>
    </row>
    <row r="3855" spans="1:9" x14ac:dyDescent="0.2">
      <c r="A3855" s="134">
        <v>45637</v>
      </c>
      <c r="B3855" s="135">
        <f>YEAR(source[[#This Row],[report_date]])</f>
        <v>2024</v>
      </c>
      <c r="C3855" s="128">
        <f t="shared" si="174"/>
        <v>12</v>
      </c>
      <c r="D3855" s="136">
        <f t="shared" si="176"/>
        <v>50</v>
      </c>
      <c r="E3855" s="136">
        <f t="shared" si="175"/>
        <v>11</v>
      </c>
      <c r="F3855" s="137" t="s">
        <v>24</v>
      </c>
      <c r="G3855" s="128" t="str">
        <f>VLOOKUP(source[[#This Row],[lending_product_transform]],[3]Mapping!$B$4:$C$37,2,0)</f>
        <v>[Cake] - Cashloan</v>
      </c>
      <c r="H3855" s="128" t="str">
        <f>VLOOKUP(source[[#This Row],[lending_product_transform]],[3]Mapping!$B$3:$D$37,3,0)</f>
        <v>cashloan</v>
      </c>
      <c r="I3855" s="143">
        <v>3202358238</v>
      </c>
    </row>
    <row r="3856" spans="1:9" x14ac:dyDescent="0.2">
      <c r="A3856" s="134">
        <v>45637</v>
      </c>
      <c r="B3856" s="135">
        <f>YEAR(source[[#This Row],[report_date]])</f>
        <v>2024</v>
      </c>
      <c r="C3856" s="128">
        <f t="shared" si="174"/>
        <v>12</v>
      </c>
      <c r="D3856" s="136">
        <f t="shared" si="176"/>
        <v>50</v>
      </c>
      <c r="E3856" s="136">
        <f t="shared" si="175"/>
        <v>11</v>
      </c>
      <c r="F3856" s="137" t="s">
        <v>24</v>
      </c>
      <c r="G3856" s="128" t="str">
        <f>VLOOKUP(source[[#This Row],[lending_product_transform]],[3]Mapping!$B$4:$C$37,2,0)</f>
        <v>[Cake] - Cashloan</v>
      </c>
      <c r="H3856" s="128" t="str">
        <f>VLOOKUP(source[[#This Row],[lending_product_transform]],[3]Mapping!$B$3:$D$37,3,0)</f>
        <v>cashloan</v>
      </c>
      <c r="I3856" s="143">
        <v>92174485</v>
      </c>
    </row>
    <row r="3857" spans="1:9" x14ac:dyDescent="0.2">
      <c r="A3857" s="134">
        <v>45637</v>
      </c>
      <c r="B3857" s="135">
        <f>YEAR(source[[#This Row],[report_date]])</f>
        <v>2024</v>
      </c>
      <c r="C3857" s="128">
        <f t="shared" si="174"/>
        <v>12</v>
      </c>
      <c r="D3857" s="136">
        <f t="shared" si="176"/>
        <v>50</v>
      </c>
      <c r="E3857" s="136">
        <f t="shared" si="175"/>
        <v>11</v>
      </c>
      <c r="F3857" s="137" t="s">
        <v>24</v>
      </c>
      <c r="G3857" s="128" t="str">
        <f>VLOOKUP(source[[#This Row],[lending_product_transform]],[3]Mapping!$B$4:$C$37,2,0)</f>
        <v>[Cake] - Cashloan</v>
      </c>
      <c r="H3857" s="128" t="str">
        <f>VLOOKUP(source[[#This Row],[lending_product_transform]],[3]Mapping!$B$3:$D$37,3,0)</f>
        <v>cashloan</v>
      </c>
      <c r="I3857" s="143">
        <v>0</v>
      </c>
    </row>
    <row r="3858" spans="1:9" x14ac:dyDescent="0.2">
      <c r="A3858" s="134">
        <v>45638</v>
      </c>
      <c r="B3858" s="135">
        <f>YEAR(source[[#This Row],[report_date]])</f>
        <v>2024</v>
      </c>
      <c r="C3858" s="128">
        <f t="shared" si="174"/>
        <v>12</v>
      </c>
      <c r="D3858" s="136">
        <f t="shared" si="176"/>
        <v>50</v>
      </c>
      <c r="E3858" s="136">
        <f t="shared" si="175"/>
        <v>12</v>
      </c>
      <c r="F3858" s="137" t="s">
        <v>24</v>
      </c>
      <c r="G3858" s="128" t="str">
        <f>VLOOKUP(source[[#This Row],[lending_product_transform]],[3]Mapping!$B$4:$C$37,2,0)</f>
        <v>[Cake] - Cashloan</v>
      </c>
      <c r="H3858" s="128" t="str">
        <f>VLOOKUP(source[[#This Row],[lending_product_transform]],[3]Mapping!$B$3:$D$37,3,0)</f>
        <v>cashloan</v>
      </c>
      <c r="I3858" s="143">
        <v>451390000</v>
      </c>
    </row>
    <row r="3859" spans="1:9" x14ac:dyDescent="0.2">
      <c r="A3859" s="134">
        <v>45638</v>
      </c>
      <c r="B3859" s="135">
        <f>YEAR(source[[#This Row],[report_date]])</f>
        <v>2024</v>
      </c>
      <c r="C3859" s="128">
        <f t="shared" si="174"/>
        <v>12</v>
      </c>
      <c r="D3859" s="136">
        <f t="shared" si="176"/>
        <v>50</v>
      </c>
      <c r="E3859" s="136">
        <f t="shared" si="175"/>
        <v>12</v>
      </c>
      <c r="F3859" s="137" t="s">
        <v>24</v>
      </c>
      <c r="G3859" s="128" t="str">
        <f>VLOOKUP(source[[#This Row],[lending_product_transform]],[3]Mapping!$B$4:$C$37,2,0)</f>
        <v>[Cake] - Cashloan</v>
      </c>
      <c r="H3859" s="128" t="str">
        <f>VLOOKUP(source[[#This Row],[lending_product_transform]],[3]Mapping!$B$3:$D$37,3,0)</f>
        <v>cashloan</v>
      </c>
      <c r="I3859" s="143">
        <v>6247960000</v>
      </c>
    </row>
    <row r="3860" spans="1:9" x14ac:dyDescent="0.2">
      <c r="A3860" s="134">
        <v>45638</v>
      </c>
      <c r="B3860" s="135">
        <f>YEAR(source[[#This Row],[report_date]])</f>
        <v>2024</v>
      </c>
      <c r="C3860" s="128">
        <f t="shared" si="174"/>
        <v>12</v>
      </c>
      <c r="D3860" s="136">
        <f t="shared" si="176"/>
        <v>50</v>
      </c>
      <c r="E3860" s="136">
        <f t="shared" si="175"/>
        <v>12</v>
      </c>
      <c r="F3860" s="137" t="s">
        <v>24</v>
      </c>
      <c r="G3860" s="128" t="str">
        <f>VLOOKUP(source[[#This Row],[lending_product_transform]],[3]Mapping!$B$4:$C$37,2,0)</f>
        <v>[Cake] - Cashloan</v>
      </c>
      <c r="H3860" s="128" t="str">
        <f>VLOOKUP(source[[#This Row],[lending_product_transform]],[3]Mapping!$B$3:$D$37,3,0)</f>
        <v>cashloan</v>
      </c>
      <c r="I3860" s="143">
        <v>38000000</v>
      </c>
    </row>
    <row r="3861" spans="1:9" x14ac:dyDescent="0.2">
      <c r="A3861" s="134">
        <v>45638</v>
      </c>
      <c r="B3861" s="135">
        <f>YEAR(source[[#This Row],[report_date]])</f>
        <v>2024</v>
      </c>
      <c r="C3861" s="128">
        <f t="shared" si="174"/>
        <v>12</v>
      </c>
      <c r="D3861" s="136">
        <f t="shared" si="176"/>
        <v>50</v>
      </c>
      <c r="E3861" s="136">
        <f t="shared" si="175"/>
        <v>12</v>
      </c>
      <c r="F3861" s="137" t="s">
        <v>24</v>
      </c>
      <c r="G3861" s="128" t="str">
        <f>VLOOKUP(source[[#This Row],[lending_product_transform]],[3]Mapping!$B$4:$C$37,2,0)</f>
        <v>[Cake] - Cashloan</v>
      </c>
      <c r="H3861" s="128" t="str">
        <f>VLOOKUP(source[[#This Row],[lending_product_transform]],[3]Mapping!$B$3:$D$37,3,0)</f>
        <v>cashloan</v>
      </c>
      <c r="I3861" s="143">
        <v>10500000</v>
      </c>
    </row>
    <row r="3862" spans="1:9" x14ac:dyDescent="0.2">
      <c r="A3862" s="134">
        <v>45638</v>
      </c>
      <c r="B3862" s="135">
        <f>YEAR(source[[#This Row],[report_date]])</f>
        <v>2024</v>
      </c>
      <c r="C3862" s="128">
        <f t="shared" si="174"/>
        <v>12</v>
      </c>
      <c r="D3862" s="136">
        <f t="shared" si="176"/>
        <v>50</v>
      </c>
      <c r="E3862" s="136">
        <f t="shared" si="175"/>
        <v>12</v>
      </c>
      <c r="F3862" s="137" t="s">
        <v>24</v>
      </c>
      <c r="G3862" s="128" t="str">
        <f>VLOOKUP(source[[#This Row],[lending_product_transform]],[3]Mapping!$B$4:$C$37,2,0)</f>
        <v>[Cake] - Cashloan</v>
      </c>
      <c r="H3862" s="128" t="str">
        <f>VLOOKUP(source[[#This Row],[lending_product_transform]],[3]Mapping!$B$3:$D$37,3,0)</f>
        <v>cashloan</v>
      </c>
      <c r="I3862" s="143">
        <v>5465810000</v>
      </c>
    </row>
    <row r="3863" spans="1:9" x14ac:dyDescent="0.2">
      <c r="A3863" s="134">
        <v>45638</v>
      </c>
      <c r="B3863" s="135">
        <f>YEAR(source[[#This Row],[report_date]])</f>
        <v>2024</v>
      </c>
      <c r="C3863" s="128">
        <f t="shared" si="174"/>
        <v>12</v>
      </c>
      <c r="D3863" s="136">
        <f t="shared" si="176"/>
        <v>50</v>
      </c>
      <c r="E3863" s="136">
        <f t="shared" si="175"/>
        <v>12</v>
      </c>
      <c r="F3863" s="137" t="s">
        <v>24</v>
      </c>
      <c r="G3863" s="128" t="str">
        <f>VLOOKUP(source[[#This Row],[lending_product_transform]],[3]Mapping!$B$4:$C$37,2,0)</f>
        <v>[Cake] - Cashloan</v>
      </c>
      <c r="H3863" s="128" t="str">
        <f>VLOOKUP(source[[#This Row],[lending_product_transform]],[3]Mapping!$B$3:$D$37,3,0)</f>
        <v>cashloan</v>
      </c>
      <c r="I3863" s="143">
        <v>3350878277</v>
      </c>
    </row>
    <row r="3864" spans="1:9" x14ac:dyDescent="0.2">
      <c r="A3864" s="134">
        <v>45638</v>
      </c>
      <c r="B3864" s="135">
        <f>YEAR(source[[#This Row],[report_date]])</f>
        <v>2024</v>
      </c>
      <c r="C3864" s="128">
        <f t="shared" si="174"/>
        <v>12</v>
      </c>
      <c r="D3864" s="136">
        <f t="shared" si="176"/>
        <v>50</v>
      </c>
      <c r="E3864" s="136">
        <f t="shared" si="175"/>
        <v>12</v>
      </c>
      <c r="F3864" s="137" t="s">
        <v>24</v>
      </c>
      <c r="G3864" s="128" t="str">
        <f>VLOOKUP(source[[#This Row],[lending_product_transform]],[3]Mapping!$B$4:$C$37,2,0)</f>
        <v>[Cake] - Cashloan</v>
      </c>
      <c r="H3864" s="128" t="str">
        <f>VLOOKUP(source[[#This Row],[lending_product_transform]],[3]Mapping!$B$3:$D$37,3,0)</f>
        <v>cashloan</v>
      </c>
      <c r="I3864" s="143">
        <v>188690000</v>
      </c>
    </row>
    <row r="3865" spans="1:9" x14ac:dyDescent="0.2">
      <c r="A3865" s="134">
        <v>45638</v>
      </c>
      <c r="B3865" s="135">
        <f>YEAR(source[[#This Row],[report_date]])</f>
        <v>2024</v>
      </c>
      <c r="C3865" s="128">
        <f t="shared" si="174"/>
        <v>12</v>
      </c>
      <c r="D3865" s="136">
        <f t="shared" si="176"/>
        <v>50</v>
      </c>
      <c r="E3865" s="136">
        <f t="shared" si="175"/>
        <v>12</v>
      </c>
      <c r="F3865" s="137" t="s">
        <v>24</v>
      </c>
      <c r="G3865" s="128" t="str">
        <f>VLOOKUP(source[[#This Row],[lending_product_transform]],[3]Mapping!$B$4:$C$37,2,0)</f>
        <v>[Cake] - Cashloan</v>
      </c>
      <c r="H3865" s="128" t="str">
        <f>VLOOKUP(source[[#This Row],[lending_product_transform]],[3]Mapping!$B$3:$D$37,3,0)</f>
        <v>cashloan</v>
      </c>
      <c r="I3865" s="143">
        <v>0</v>
      </c>
    </row>
    <row r="3866" spans="1:9" x14ac:dyDescent="0.2">
      <c r="A3866" s="134">
        <v>45638</v>
      </c>
      <c r="B3866" s="135">
        <f>YEAR(source[[#This Row],[report_date]])</f>
        <v>2024</v>
      </c>
      <c r="C3866" s="128">
        <f t="shared" si="174"/>
        <v>12</v>
      </c>
      <c r="D3866" s="136">
        <f t="shared" si="176"/>
        <v>50</v>
      </c>
      <c r="E3866" s="136">
        <f t="shared" si="175"/>
        <v>12</v>
      </c>
      <c r="F3866" s="137" t="s">
        <v>24</v>
      </c>
      <c r="G3866" s="128" t="str">
        <f>VLOOKUP(source[[#This Row],[lending_product_transform]],[3]Mapping!$B$4:$C$37,2,0)</f>
        <v>[Cake] - Cashloan</v>
      </c>
      <c r="H3866" s="128" t="str">
        <f>VLOOKUP(source[[#This Row],[lending_product_transform]],[3]Mapping!$B$3:$D$37,3,0)</f>
        <v>cashloan</v>
      </c>
      <c r="I3866" s="143">
        <v>23192044</v>
      </c>
    </row>
    <row r="3867" spans="1:9" x14ac:dyDescent="0.2">
      <c r="A3867" s="134">
        <v>45638</v>
      </c>
      <c r="B3867" s="135">
        <f>YEAR(source[[#This Row],[report_date]])</f>
        <v>2024</v>
      </c>
      <c r="C3867" s="128">
        <f t="shared" si="174"/>
        <v>12</v>
      </c>
      <c r="D3867" s="136">
        <f t="shared" si="176"/>
        <v>50</v>
      </c>
      <c r="E3867" s="136">
        <f t="shared" si="175"/>
        <v>12</v>
      </c>
      <c r="F3867" s="137" t="s">
        <v>24</v>
      </c>
      <c r="G3867" s="128" t="str">
        <f>VLOOKUP(source[[#This Row],[lending_product_transform]],[3]Mapping!$B$4:$C$37,2,0)</f>
        <v>[Cake] - Cashloan</v>
      </c>
      <c r="H3867" s="128" t="str">
        <f>VLOOKUP(source[[#This Row],[lending_product_transform]],[3]Mapping!$B$3:$D$37,3,0)</f>
        <v>cashloan</v>
      </c>
      <c r="I3867" s="143">
        <v>0</v>
      </c>
    </row>
    <row r="3868" spans="1:9" x14ac:dyDescent="0.2">
      <c r="A3868" s="134">
        <v>45638</v>
      </c>
      <c r="B3868" s="135">
        <f>YEAR(source[[#This Row],[report_date]])</f>
        <v>2024</v>
      </c>
      <c r="C3868" s="128">
        <f t="shared" si="174"/>
        <v>12</v>
      </c>
      <c r="D3868" s="136">
        <f t="shared" si="176"/>
        <v>50</v>
      </c>
      <c r="E3868" s="136">
        <f t="shared" si="175"/>
        <v>12</v>
      </c>
      <c r="F3868" s="137" t="s">
        <v>24</v>
      </c>
      <c r="G3868" s="128" t="str">
        <f>VLOOKUP(source[[#This Row],[lending_product_transform]],[3]Mapping!$B$4:$C$37,2,0)</f>
        <v>[Cake] - Cashloan</v>
      </c>
      <c r="H3868" s="128" t="str">
        <f>VLOOKUP(source[[#This Row],[lending_product_transform]],[3]Mapping!$B$3:$D$37,3,0)</f>
        <v>cashloan</v>
      </c>
      <c r="I3868" s="143">
        <v>0</v>
      </c>
    </row>
    <row r="3869" spans="1:9" x14ac:dyDescent="0.2">
      <c r="A3869" s="134">
        <v>45638</v>
      </c>
      <c r="B3869" s="135">
        <f>YEAR(source[[#This Row],[report_date]])</f>
        <v>2024</v>
      </c>
      <c r="C3869" s="128">
        <f t="shared" ref="C3869:C3932" si="177">MONTH(A3869)</f>
        <v>12</v>
      </c>
      <c r="D3869" s="136">
        <f t="shared" si="176"/>
        <v>50</v>
      </c>
      <c r="E3869" s="136">
        <f t="shared" ref="E3869:E3932" si="178">DAY(A3869)</f>
        <v>12</v>
      </c>
      <c r="F3869" s="137" t="s">
        <v>24</v>
      </c>
      <c r="G3869" s="128" t="str">
        <f>VLOOKUP(source[[#This Row],[lending_product_transform]],[3]Mapping!$B$4:$C$37,2,0)</f>
        <v>[Cake] - Cashloan</v>
      </c>
      <c r="H3869" s="128" t="str">
        <f>VLOOKUP(source[[#This Row],[lending_product_transform]],[3]Mapping!$B$3:$D$37,3,0)</f>
        <v>cashloan</v>
      </c>
      <c r="I3869" s="143">
        <v>21400000</v>
      </c>
    </row>
    <row r="3870" spans="1:9" x14ac:dyDescent="0.2">
      <c r="A3870" s="134">
        <v>45638</v>
      </c>
      <c r="B3870" s="135">
        <f>YEAR(source[[#This Row],[report_date]])</f>
        <v>2024</v>
      </c>
      <c r="C3870" s="128">
        <f t="shared" si="177"/>
        <v>12</v>
      </c>
      <c r="D3870" s="136">
        <f t="shared" si="176"/>
        <v>50</v>
      </c>
      <c r="E3870" s="136">
        <f t="shared" si="178"/>
        <v>12</v>
      </c>
      <c r="F3870" s="137" t="s">
        <v>24</v>
      </c>
      <c r="G3870" s="128" t="str">
        <f>VLOOKUP(source[[#This Row],[lending_product_transform]],[3]Mapping!$B$4:$C$37,2,0)</f>
        <v>[Cake] - Cashloan</v>
      </c>
      <c r="H3870" s="128" t="str">
        <f>VLOOKUP(source[[#This Row],[lending_product_transform]],[3]Mapping!$B$3:$D$37,3,0)</f>
        <v>cashloan</v>
      </c>
      <c r="I3870" s="143">
        <v>53500000</v>
      </c>
    </row>
    <row r="3871" spans="1:9" x14ac:dyDescent="0.2">
      <c r="A3871" s="134">
        <v>45638</v>
      </c>
      <c r="B3871" s="135">
        <f>YEAR(source[[#This Row],[report_date]])</f>
        <v>2024</v>
      </c>
      <c r="C3871" s="128">
        <f t="shared" si="177"/>
        <v>12</v>
      </c>
      <c r="D3871" s="136">
        <f t="shared" si="176"/>
        <v>50</v>
      </c>
      <c r="E3871" s="136">
        <f t="shared" si="178"/>
        <v>12</v>
      </c>
      <c r="F3871" s="137" t="s">
        <v>24</v>
      </c>
      <c r="G3871" s="128" t="str">
        <f>VLOOKUP(source[[#This Row],[lending_product_transform]],[3]Mapping!$B$4:$C$37,2,0)</f>
        <v>[Cake] - Cashloan</v>
      </c>
      <c r="H3871" s="128" t="str">
        <f>VLOOKUP(source[[#This Row],[lending_product_transform]],[3]Mapping!$B$3:$D$37,3,0)</f>
        <v>cashloan</v>
      </c>
      <c r="I3871" s="143">
        <v>30600000</v>
      </c>
    </row>
    <row r="3872" spans="1:9" x14ac:dyDescent="0.2">
      <c r="A3872" s="134">
        <v>45638</v>
      </c>
      <c r="B3872" s="135">
        <f>YEAR(source[[#This Row],[report_date]])</f>
        <v>2024</v>
      </c>
      <c r="C3872" s="128">
        <f t="shared" si="177"/>
        <v>12</v>
      </c>
      <c r="D3872" s="136">
        <f t="shared" si="176"/>
        <v>50</v>
      </c>
      <c r="E3872" s="136">
        <f t="shared" si="178"/>
        <v>12</v>
      </c>
      <c r="F3872" s="137" t="s">
        <v>24</v>
      </c>
      <c r="G3872" s="128" t="str">
        <f>VLOOKUP(source[[#This Row],[lending_product_transform]],[3]Mapping!$B$4:$C$37,2,0)</f>
        <v>[Cake] - Cashloan</v>
      </c>
      <c r="H3872" s="128" t="str">
        <f>VLOOKUP(source[[#This Row],[lending_product_transform]],[3]Mapping!$B$3:$D$37,3,0)</f>
        <v>cashloan</v>
      </c>
      <c r="I3872" s="143">
        <v>6412000000</v>
      </c>
    </row>
    <row r="3873" spans="1:9" x14ac:dyDescent="0.2">
      <c r="A3873" s="134">
        <v>45638</v>
      </c>
      <c r="B3873" s="135">
        <f>YEAR(source[[#This Row],[report_date]])</f>
        <v>2024</v>
      </c>
      <c r="C3873" s="128">
        <f t="shared" si="177"/>
        <v>12</v>
      </c>
      <c r="D3873" s="136">
        <f t="shared" si="176"/>
        <v>50</v>
      </c>
      <c r="E3873" s="136">
        <f t="shared" si="178"/>
        <v>12</v>
      </c>
      <c r="F3873" s="137" t="s">
        <v>24</v>
      </c>
      <c r="G3873" s="128" t="str">
        <f>VLOOKUP(source[[#This Row],[lending_product_transform]],[3]Mapping!$B$4:$C$37,2,0)</f>
        <v>[Cake] - Cashloan</v>
      </c>
      <c r="H3873" s="128" t="str">
        <f>VLOOKUP(source[[#This Row],[lending_product_transform]],[3]Mapping!$B$3:$D$37,3,0)</f>
        <v>cashloan</v>
      </c>
      <c r="I3873" s="143">
        <v>133304959</v>
      </c>
    </row>
    <row r="3874" spans="1:9" x14ac:dyDescent="0.2">
      <c r="A3874" s="134">
        <v>45638</v>
      </c>
      <c r="B3874" s="135">
        <f>YEAR(source[[#This Row],[report_date]])</f>
        <v>2024</v>
      </c>
      <c r="C3874" s="128">
        <f t="shared" si="177"/>
        <v>12</v>
      </c>
      <c r="D3874" s="136">
        <f t="shared" si="176"/>
        <v>50</v>
      </c>
      <c r="E3874" s="136">
        <f t="shared" si="178"/>
        <v>12</v>
      </c>
      <c r="F3874" s="137" t="s">
        <v>24</v>
      </c>
      <c r="G3874" s="128" t="str">
        <f>VLOOKUP(source[[#This Row],[lending_product_transform]],[3]Mapping!$B$4:$C$37,2,0)</f>
        <v>[Cake] - Cashloan</v>
      </c>
      <c r="H3874" s="128" t="str">
        <f>VLOOKUP(source[[#This Row],[lending_product_transform]],[3]Mapping!$B$3:$D$37,3,0)</f>
        <v>cashloan</v>
      </c>
      <c r="I3874" s="143">
        <v>392607041</v>
      </c>
    </row>
    <row r="3875" spans="1:9" x14ac:dyDescent="0.2">
      <c r="A3875" s="134">
        <v>45638</v>
      </c>
      <c r="B3875" s="135">
        <f>YEAR(source[[#This Row],[report_date]])</f>
        <v>2024</v>
      </c>
      <c r="C3875" s="128">
        <f t="shared" si="177"/>
        <v>12</v>
      </c>
      <c r="D3875" s="136">
        <f t="shared" si="176"/>
        <v>50</v>
      </c>
      <c r="E3875" s="136">
        <f t="shared" si="178"/>
        <v>12</v>
      </c>
      <c r="F3875" s="137" t="s">
        <v>24</v>
      </c>
      <c r="G3875" s="128" t="str">
        <f>VLOOKUP(source[[#This Row],[lending_product_transform]],[3]Mapping!$B$4:$C$37,2,0)</f>
        <v>[Cake] - Cashloan</v>
      </c>
      <c r="H3875" s="128" t="str">
        <f>VLOOKUP(source[[#This Row],[lending_product_transform]],[3]Mapping!$B$3:$D$37,3,0)</f>
        <v>cashloan</v>
      </c>
      <c r="I3875" s="143">
        <v>65902214</v>
      </c>
    </row>
    <row r="3876" spans="1:9" x14ac:dyDescent="0.2">
      <c r="A3876" s="134">
        <v>45639</v>
      </c>
      <c r="B3876" s="135">
        <f>YEAR(source[[#This Row],[report_date]])</f>
        <v>2024</v>
      </c>
      <c r="C3876" s="128">
        <f t="shared" si="177"/>
        <v>12</v>
      </c>
      <c r="D3876" s="136">
        <f t="shared" si="176"/>
        <v>50</v>
      </c>
      <c r="E3876" s="136">
        <f t="shared" si="178"/>
        <v>13</v>
      </c>
      <c r="F3876" s="137" t="s">
        <v>24</v>
      </c>
      <c r="G3876" s="128" t="str">
        <f>VLOOKUP(source[[#This Row],[lending_product_transform]],[3]Mapping!$B$4:$C$37,2,0)</f>
        <v>[Cake] - Cashloan</v>
      </c>
      <c r="H3876" s="128" t="str">
        <f>VLOOKUP(source[[#This Row],[lending_product_transform]],[3]Mapping!$B$3:$D$37,3,0)</f>
        <v>cashloan</v>
      </c>
      <c r="I3876" s="143">
        <v>165739821</v>
      </c>
    </row>
    <row r="3877" spans="1:9" x14ac:dyDescent="0.2">
      <c r="A3877" s="134">
        <v>45639</v>
      </c>
      <c r="B3877" s="135">
        <f>YEAR(source[[#This Row],[report_date]])</f>
        <v>2024</v>
      </c>
      <c r="C3877" s="128">
        <f t="shared" si="177"/>
        <v>12</v>
      </c>
      <c r="D3877" s="136">
        <f t="shared" si="176"/>
        <v>50</v>
      </c>
      <c r="E3877" s="136">
        <f t="shared" si="178"/>
        <v>13</v>
      </c>
      <c r="F3877" s="137" t="s">
        <v>24</v>
      </c>
      <c r="G3877" s="128" t="str">
        <f>VLOOKUP(source[[#This Row],[lending_product_transform]],[3]Mapping!$B$4:$C$37,2,0)</f>
        <v>[Cake] - Cashloan</v>
      </c>
      <c r="H3877" s="128" t="str">
        <f>VLOOKUP(source[[#This Row],[lending_product_transform]],[3]Mapping!$B$3:$D$37,3,0)</f>
        <v>cashloan</v>
      </c>
      <c r="I3877" s="143">
        <v>33000000</v>
      </c>
    </row>
    <row r="3878" spans="1:9" x14ac:dyDescent="0.2">
      <c r="A3878" s="134">
        <v>45639</v>
      </c>
      <c r="B3878" s="135">
        <f>YEAR(source[[#This Row],[report_date]])</f>
        <v>2024</v>
      </c>
      <c r="C3878" s="128">
        <f t="shared" si="177"/>
        <v>12</v>
      </c>
      <c r="D3878" s="136">
        <f t="shared" si="176"/>
        <v>50</v>
      </c>
      <c r="E3878" s="136">
        <f t="shared" si="178"/>
        <v>13</v>
      </c>
      <c r="F3878" s="137" t="s">
        <v>24</v>
      </c>
      <c r="G3878" s="128" t="str">
        <f>VLOOKUP(source[[#This Row],[lending_product_transform]],[3]Mapping!$B$4:$C$37,2,0)</f>
        <v>[Cake] - Cashloan</v>
      </c>
      <c r="H3878" s="128" t="str">
        <f>VLOOKUP(source[[#This Row],[lending_product_transform]],[3]Mapping!$B$3:$D$37,3,0)</f>
        <v>cashloan</v>
      </c>
      <c r="I3878" s="143">
        <v>312500000</v>
      </c>
    </row>
    <row r="3879" spans="1:9" x14ac:dyDescent="0.2">
      <c r="A3879" s="134">
        <v>45639</v>
      </c>
      <c r="B3879" s="135">
        <f>YEAR(source[[#This Row],[report_date]])</f>
        <v>2024</v>
      </c>
      <c r="C3879" s="128">
        <f t="shared" si="177"/>
        <v>12</v>
      </c>
      <c r="D3879" s="136">
        <f t="shared" si="176"/>
        <v>50</v>
      </c>
      <c r="E3879" s="136">
        <f t="shared" si="178"/>
        <v>13</v>
      </c>
      <c r="F3879" s="137" t="s">
        <v>24</v>
      </c>
      <c r="G3879" s="128" t="str">
        <f>VLOOKUP(source[[#This Row],[lending_product_transform]],[3]Mapping!$B$4:$C$37,2,0)</f>
        <v>[Cake] - Cashloan</v>
      </c>
      <c r="H3879" s="128" t="str">
        <f>VLOOKUP(source[[#This Row],[lending_product_transform]],[3]Mapping!$B$3:$D$37,3,0)</f>
        <v>cashloan</v>
      </c>
      <c r="I3879" s="143">
        <v>6166000000</v>
      </c>
    </row>
    <row r="3880" spans="1:9" x14ac:dyDescent="0.2">
      <c r="A3880" s="134">
        <v>45639</v>
      </c>
      <c r="B3880" s="135">
        <f>YEAR(source[[#This Row],[report_date]])</f>
        <v>2024</v>
      </c>
      <c r="C3880" s="128">
        <f t="shared" si="177"/>
        <v>12</v>
      </c>
      <c r="D3880" s="136">
        <f t="shared" si="176"/>
        <v>50</v>
      </c>
      <c r="E3880" s="136">
        <f t="shared" si="178"/>
        <v>13</v>
      </c>
      <c r="F3880" s="137" t="s">
        <v>24</v>
      </c>
      <c r="G3880" s="128" t="str">
        <f>VLOOKUP(source[[#This Row],[lending_product_transform]],[3]Mapping!$B$4:$C$37,2,0)</f>
        <v>[Cake] - Cashloan</v>
      </c>
      <c r="H3880" s="128" t="str">
        <f>VLOOKUP(source[[#This Row],[lending_product_transform]],[3]Mapping!$B$3:$D$37,3,0)</f>
        <v>cashloan</v>
      </c>
      <c r="I3880" s="143">
        <v>36000000</v>
      </c>
    </row>
    <row r="3881" spans="1:9" x14ac:dyDescent="0.2">
      <c r="A3881" s="134">
        <v>45639</v>
      </c>
      <c r="B3881" s="135">
        <f>YEAR(source[[#This Row],[report_date]])</f>
        <v>2024</v>
      </c>
      <c r="C3881" s="128">
        <f t="shared" si="177"/>
        <v>12</v>
      </c>
      <c r="D3881" s="136">
        <f t="shared" si="176"/>
        <v>50</v>
      </c>
      <c r="E3881" s="136">
        <f t="shared" si="178"/>
        <v>13</v>
      </c>
      <c r="F3881" s="137" t="s">
        <v>24</v>
      </c>
      <c r="G3881" s="128" t="str">
        <f>VLOOKUP(source[[#This Row],[lending_product_transform]],[3]Mapping!$B$4:$C$37,2,0)</f>
        <v>[Cake] - Cashloan</v>
      </c>
      <c r="H3881" s="128" t="str">
        <f>VLOOKUP(source[[#This Row],[lending_product_transform]],[3]Mapping!$B$3:$D$37,3,0)</f>
        <v>cashloan</v>
      </c>
      <c r="I3881" s="143">
        <v>67267621</v>
      </c>
    </row>
    <row r="3882" spans="1:9" x14ac:dyDescent="0.2">
      <c r="A3882" s="134">
        <v>45639</v>
      </c>
      <c r="B3882" s="135">
        <f>YEAR(source[[#This Row],[report_date]])</f>
        <v>2024</v>
      </c>
      <c r="C3882" s="128">
        <f t="shared" si="177"/>
        <v>12</v>
      </c>
      <c r="D3882" s="136">
        <f t="shared" si="176"/>
        <v>50</v>
      </c>
      <c r="E3882" s="136">
        <f t="shared" si="178"/>
        <v>13</v>
      </c>
      <c r="F3882" s="137" t="s">
        <v>24</v>
      </c>
      <c r="G3882" s="128" t="str">
        <f>VLOOKUP(source[[#This Row],[lending_product_transform]],[3]Mapping!$B$4:$C$37,2,0)</f>
        <v>[Cake] - Cashloan</v>
      </c>
      <c r="H3882" s="128" t="str">
        <f>VLOOKUP(source[[#This Row],[lending_product_transform]],[3]Mapping!$B$3:$D$37,3,0)</f>
        <v>cashloan</v>
      </c>
      <c r="I3882" s="143">
        <v>49350000</v>
      </c>
    </row>
    <row r="3883" spans="1:9" x14ac:dyDescent="0.2">
      <c r="A3883" s="134">
        <v>45639</v>
      </c>
      <c r="B3883" s="135">
        <f>YEAR(source[[#This Row],[report_date]])</f>
        <v>2024</v>
      </c>
      <c r="C3883" s="128">
        <f t="shared" si="177"/>
        <v>12</v>
      </c>
      <c r="D3883" s="136">
        <f t="shared" si="176"/>
        <v>50</v>
      </c>
      <c r="E3883" s="136">
        <f t="shared" si="178"/>
        <v>13</v>
      </c>
      <c r="F3883" s="137" t="s">
        <v>24</v>
      </c>
      <c r="G3883" s="128" t="str">
        <f>VLOOKUP(source[[#This Row],[lending_product_transform]],[3]Mapping!$B$4:$C$37,2,0)</f>
        <v>[Cake] - Cashloan</v>
      </c>
      <c r="H3883" s="128" t="str">
        <f>VLOOKUP(source[[#This Row],[lending_product_transform]],[3]Mapping!$B$3:$D$37,3,0)</f>
        <v>cashloan</v>
      </c>
      <c r="I3883" s="143">
        <v>323566230</v>
      </c>
    </row>
    <row r="3884" spans="1:9" x14ac:dyDescent="0.2">
      <c r="A3884" s="134">
        <v>45639</v>
      </c>
      <c r="B3884" s="135">
        <f>YEAR(source[[#This Row],[report_date]])</f>
        <v>2024</v>
      </c>
      <c r="C3884" s="128">
        <f t="shared" si="177"/>
        <v>12</v>
      </c>
      <c r="D3884" s="136">
        <f t="shared" si="176"/>
        <v>50</v>
      </c>
      <c r="E3884" s="136">
        <f t="shared" si="178"/>
        <v>13</v>
      </c>
      <c r="F3884" s="137" t="s">
        <v>24</v>
      </c>
      <c r="G3884" s="128" t="str">
        <f>VLOOKUP(source[[#This Row],[lending_product_transform]],[3]Mapping!$B$4:$C$37,2,0)</f>
        <v>[Cake] - Cashloan</v>
      </c>
      <c r="H3884" s="128" t="str">
        <f>VLOOKUP(source[[#This Row],[lending_product_transform]],[3]Mapping!$B$3:$D$37,3,0)</f>
        <v>cashloan</v>
      </c>
      <c r="I3884" s="143">
        <v>5989300000</v>
      </c>
    </row>
    <row r="3885" spans="1:9" x14ac:dyDescent="0.2">
      <c r="A3885" s="134">
        <v>45639</v>
      </c>
      <c r="B3885" s="135">
        <f>YEAR(source[[#This Row],[report_date]])</f>
        <v>2024</v>
      </c>
      <c r="C3885" s="128">
        <f t="shared" si="177"/>
        <v>12</v>
      </c>
      <c r="D3885" s="136">
        <f t="shared" si="176"/>
        <v>50</v>
      </c>
      <c r="E3885" s="136">
        <f t="shared" si="178"/>
        <v>13</v>
      </c>
      <c r="F3885" s="137" t="s">
        <v>24</v>
      </c>
      <c r="G3885" s="128" t="str">
        <f>VLOOKUP(source[[#This Row],[lending_product_transform]],[3]Mapping!$B$4:$C$37,2,0)</f>
        <v>[Cake] - Cashloan</v>
      </c>
      <c r="H3885" s="128" t="str">
        <f>VLOOKUP(source[[#This Row],[lending_product_transform]],[3]Mapping!$B$3:$D$37,3,0)</f>
        <v>cashloan</v>
      </c>
      <c r="I3885" s="143">
        <v>204900000</v>
      </c>
    </row>
    <row r="3886" spans="1:9" x14ac:dyDescent="0.2">
      <c r="A3886" s="134">
        <v>45639</v>
      </c>
      <c r="B3886" s="135">
        <f>YEAR(source[[#This Row],[report_date]])</f>
        <v>2024</v>
      </c>
      <c r="C3886" s="128">
        <f t="shared" si="177"/>
        <v>12</v>
      </c>
      <c r="D3886" s="136">
        <f t="shared" si="176"/>
        <v>50</v>
      </c>
      <c r="E3886" s="136">
        <f t="shared" si="178"/>
        <v>13</v>
      </c>
      <c r="F3886" s="137" t="s">
        <v>24</v>
      </c>
      <c r="G3886" s="128" t="str">
        <f>VLOOKUP(source[[#This Row],[lending_product_transform]],[3]Mapping!$B$4:$C$37,2,0)</f>
        <v>[Cake] - Cashloan</v>
      </c>
      <c r="H3886" s="128" t="str">
        <f>VLOOKUP(source[[#This Row],[lending_product_transform]],[3]Mapping!$B$3:$D$37,3,0)</f>
        <v>cashloan</v>
      </c>
      <c r="I3886" s="143">
        <v>0</v>
      </c>
    </row>
    <row r="3887" spans="1:9" x14ac:dyDescent="0.2">
      <c r="A3887" s="134">
        <v>45639</v>
      </c>
      <c r="B3887" s="135">
        <f>YEAR(source[[#This Row],[report_date]])</f>
        <v>2024</v>
      </c>
      <c r="C3887" s="128">
        <f t="shared" si="177"/>
        <v>12</v>
      </c>
      <c r="D3887" s="136">
        <f t="shared" si="176"/>
        <v>50</v>
      </c>
      <c r="E3887" s="136">
        <f t="shared" si="178"/>
        <v>13</v>
      </c>
      <c r="F3887" s="137" t="s">
        <v>24</v>
      </c>
      <c r="G3887" s="128" t="str">
        <f>VLOOKUP(source[[#This Row],[lending_product_transform]],[3]Mapping!$B$4:$C$37,2,0)</f>
        <v>[Cake] - Cashloan</v>
      </c>
      <c r="H3887" s="128" t="str">
        <f>VLOOKUP(source[[#This Row],[lending_product_transform]],[3]Mapping!$B$3:$D$37,3,0)</f>
        <v>cashloan</v>
      </c>
      <c r="I3887" s="143">
        <v>0</v>
      </c>
    </row>
    <row r="3888" spans="1:9" x14ac:dyDescent="0.2">
      <c r="A3888" s="134">
        <v>45639</v>
      </c>
      <c r="B3888" s="135">
        <f>YEAR(source[[#This Row],[report_date]])</f>
        <v>2024</v>
      </c>
      <c r="C3888" s="128">
        <f t="shared" si="177"/>
        <v>12</v>
      </c>
      <c r="D3888" s="136">
        <f t="shared" si="176"/>
        <v>50</v>
      </c>
      <c r="E3888" s="136">
        <f t="shared" si="178"/>
        <v>13</v>
      </c>
      <c r="F3888" s="137" t="s">
        <v>24</v>
      </c>
      <c r="G3888" s="128" t="str">
        <f>VLOOKUP(source[[#This Row],[lending_product_transform]],[3]Mapping!$B$4:$C$37,2,0)</f>
        <v>[Cake] - Cashloan</v>
      </c>
      <c r="H3888" s="128" t="str">
        <f>VLOOKUP(source[[#This Row],[lending_product_transform]],[3]Mapping!$B$3:$D$37,3,0)</f>
        <v>cashloan</v>
      </c>
      <c r="I3888" s="143">
        <v>29991326</v>
      </c>
    </row>
    <row r="3889" spans="1:9" x14ac:dyDescent="0.2">
      <c r="A3889" s="134">
        <v>45639</v>
      </c>
      <c r="B3889" s="135">
        <f>YEAR(source[[#This Row],[report_date]])</f>
        <v>2024</v>
      </c>
      <c r="C3889" s="128">
        <f t="shared" si="177"/>
        <v>12</v>
      </c>
      <c r="D3889" s="136">
        <f t="shared" si="176"/>
        <v>50</v>
      </c>
      <c r="E3889" s="136">
        <f t="shared" si="178"/>
        <v>13</v>
      </c>
      <c r="F3889" s="137" t="s">
        <v>24</v>
      </c>
      <c r="G3889" s="128" t="str">
        <f>VLOOKUP(source[[#This Row],[lending_product_transform]],[3]Mapping!$B$4:$C$37,2,0)</f>
        <v>[Cake] - Cashloan</v>
      </c>
      <c r="H3889" s="128" t="str">
        <f>VLOOKUP(source[[#This Row],[lending_product_transform]],[3]Mapping!$B$3:$D$37,3,0)</f>
        <v>cashloan</v>
      </c>
      <c r="I3889" s="143">
        <v>43750000</v>
      </c>
    </row>
    <row r="3890" spans="1:9" x14ac:dyDescent="0.2">
      <c r="A3890" s="134">
        <v>45639</v>
      </c>
      <c r="B3890" s="135">
        <f>YEAR(source[[#This Row],[report_date]])</f>
        <v>2024</v>
      </c>
      <c r="C3890" s="128">
        <f t="shared" si="177"/>
        <v>12</v>
      </c>
      <c r="D3890" s="136">
        <f t="shared" si="176"/>
        <v>50</v>
      </c>
      <c r="E3890" s="136">
        <f t="shared" si="178"/>
        <v>13</v>
      </c>
      <c r="F3890" s="137" t="s">
        <v>24</v>
      </c>
      <c r="G3890" s="128" t="str">
        <f>VLOOKUP(source[[#This Row],[lending_product_transform]],[3]Mapping!$B$4:$C$37,2,0)</f>
        <v>[Cake] - Cashloan</v>
      </c>
      <c r="H3890" s="128" t="str">
        <f>VLOOKUP(source[[#This Row],[lending_product_transform]],[3]Mapping!$B$3:$D$37,3,0)</f>
        <v>cashloan</v>
      </c>
      <c r="I3890" s="143">
        <v>0</v>
      </c>
    </row>
    <row r="3891" spans="1:9" x14ac:dyDescent="0.2">
      <c r="A3891" s="134">
        <v>45639</v>
      </c>
      <c r="B3891" s="135">
        <f>YEAR(source[[#This Row],[report_date]])</f>
        <v>2024</v>
      </c>
      <c r="C3891" s="128">
        <f t="shared" si="177"/>
        <v>12</v>
      </c>
      <c r="D3891" s="136">
        <f t="shared" si="176"/>
        <v>50</v>
      </c>
      <c r="E3891" s="136">
        <f t="shared" si="178"/>
        <v>13</v>
      </c>
      <c r="F3891" s="137" t="s">
        <v>24</v>
      </c>
      <c r="G3891" s="128" t="str">
        <f>VLOOKUP(source[[#This Row],[lending_product_transform]],[3]Mapping!$B$4:$C$37,2,0)</f>
        <v>[Cake] - Cashloan</v>
      </c>
      <c r="H3891" s="128" t="str">
        <f>VLOOKUP(source[[#This Row],[lending_product_transform]],[3]Mapping!$B$3:$D$37,3,0)</f>
        <v>cashloan</v>
      </c>
      <c r="I3891" s="143">
        <v>37450000</v>
      </c>
    </row>
    <row r="3892" spans="1:9" x14ac:dyDescent="0.2">
      <c r="A3892" s="134">
        <v>45639</v>
      </c>
      <c r="B3892" s="135">
        <f>YEAR(source[[#This Row],[report_date]])</f>
        <v>2024</v>
      </c>
      <c r="C3892" s="128">
        <f t="shared" si="177"/>
        <v>12</v>
      </c>
      <c r="D3892" s="136">
        <f t="shared" si="176"/>
        <v>50</v>
      </c>
      <c r="E3892" s="136">
        <f t="shared" si="178"/>
        <v>13</v>
      </c>
      <c r="F3892" s="137" t="s">
        <v>24</v>
      </c>
      <c r="G3892" s="128" t="str">
        <f>VLOOKUP(source[[#This Row],[lending_product_transform]],[3]Mapping!$B$4:$C$37,2,0)</f>
        <v>[Cake] - Cashloan</v>
      </c>
      <c r="H3892" s="128" t="str">
        <f>VLOOKUP(source[[#This Row],[lending_product_transform]],[3]Mapping!$B$3:$D$37,3,0)</f>
        <v>cashloan</v>
      </c>
      <c r="I3892" s="143">
        <v>3155529273</v>
      </c>
    </row>
    <row r="3893" spans="1:9" x14ac:dyDescent="0.2">
      <c r="A3893" s="134">
        <v>45639</v>
      </c>
      <c r="B3893" s="135">
        <f>YEAR(source[[#This Row],[report_date]])</f>
        <v>2024</v>
      </c>
      <c r="C3893" s="128">
        <f t="shared" si="177"/>
        <v>12</v>
      </c>
      <c r="D3893" s="136">
        <f t="shared" si="176"/>
        <v>50</v>
      </c>
      <c r="E3893" s="136">
        <f t="shared" si="178"/>
        <v>13</v>
      </c>
      <c r="F3893" s="137" t="s">
        <v>24</v>
      </c>
      <c r="G3893" s="128" t="str">
        <f>VLOOKUP(source[[#This Row],[lending_product_transform]],[3]Mapping!$B$4:$C$37,2,0)</f>
        <v>[Cake] - Cashloan</v>
      </c>
      <c r="H3893" s="128" t="str">
        <f>VLOOKUP(source[[#This Row],[lending_product_transform]],[3]Mapping!$B$3:$D$37,3,0)</f>
        <v>cashloan</v>
      </c>
      <c r="I3893" s="143">
        <v>5244890000</v>
      </c>
    </row>
    <row r="3894" spans="1:9" x14ac:dyDescent="0.2">
      <c r="A3894" s="134">
        <v>45640</v>
      </c>
      <c r="B3894" s="135">
        <f>YEAR(source[[#This Row],[report_date]])</f>
        <v>2024</v>
      </c>
      <c r="C3894" s="128">
        <f t="shared" si="177"/>
        <v>12</v>
      </c>
      <c r="D3894" s="136">
        <f t="shared" si="176"/>
        <v>50</v>
      </c>
      <c r="E3894" s="136">
        <f t="shared" si="178"/>
        <v>14</v>
      </c>
      <c r="F3894" s="137" t="s">
        <v>24</v>
      </c>
      <c r="G3894" s="128" t="str">
        <f>VLOOKUP(source[[#This Row],[lending_product_transform]],[3]Mapping!$B$4:$C$37,2,0)</f>
        <v>[Cake] - Cashloan</v>
      </c>
      <c r="H3894" s="128" t="str">
        <f>VLOOKUP(source[[#This Row],[lending_product_transform]],[3]Mapping!$B$3:$D$37,3,0)</f>
        <v>cashloan</v>
      </c>
      <c r="I3894" s="143">
        <v>52525313</v>
      </c>
    </row>
    <row r="3895" spans="1:9" x14ac:dyDescent="0.2">
      <c r="A3895" s="134">
        <v>45640</v>
      </c>
      <c r="B3895" s="135">
        <f>YEAR(source[[#This Row],[report_date]])</f>
        <v>2024</v>
      </c>
      <c r="C3895" s="128">
        <f t="shared" si="177"/>
        <v>12</v>
      </c>
      <c r="D3895" s="136">
        <f t="shared" si="176"/>
        <v>50</v>
      </c>
      <c r="E3895" s="136">
        <f t="shared" si="178"/>
        <v>14</v>
      </c>
      <c r="F3895" s="137" t="s">
        <v>24</v>
      </c>
      <c r="G3895" s="128" t="str">
        <f>VLOOKUP(source[[#This Row],[lending_product_transform]],[3]Mapping!$B$4:$C$37,2,0)</f>
        <v>[Cake] - Cashloan</v>
      </c>
      <c r="H3895" s="128" t="str">
        <f>VLOOKUP(source[[#This Row],[lending_product_transform]],[3]Mapping!$B$3:$D$37,3,0)</f>
        <v>cashloan</v>
      </c>
      <c r="I3895" s="143">
        <v>0</v>
      </c>
    </row>
    <row r="3896" spans="1:9" x14ac:dyDescent="0.2">
      <c r="A3896" s="134">
        <v>45640</v>
      </c>
      <c r="B3896" s="135">
        <f>YEAR(source[[#This Row],[report_date]])</f>
        <v>2024</v>
      </c>
      <c r="C3896" s="128">
        <f t="shared" si="177"/>
        <v>12</v>
      </c>
      <c r="D3896" s="136">
        <f t="shared" si="176"/>
        <v>50</v>
      </c>
      <c r="E3896" s="136">
        <f t="shared" si="178"/>
        <v>14</v>
      </c>
      <c r="F3896" s="137" t="s">
        <v>24</v>
      </c>
      <c r="G3896" s="128" t="str">
        <f>VLOOKUP(source[[#This Row],[lending_product_transform]],[3]Mapping!$B$4:$C$37,2,0)</f>
        <v>[Cake] - Cashloan</v>
      </c>
      <c r="H3896" s="128" t="str">
        <f>VLOOKUP(source[[#This Row],[lending_product_transform]],[3]Mapping!$B$3:$D$37,3,0)</f>
        <v>cashloan</v>
      </c>
      <c r="I3896" s="143">
        <v>150581274</v>
      </c>
    </row>
    <row r="3897" spans="1:9" x14ac:dyDescent="0.2">
      <c r="A3897" s="134">
        <v>45640</v>
      </c>
      <c r="B3897" s="135">
        <f>YEAR(source[[#This Row],[report_date]])</f>
        <v>2024</v>
      </c>
      <c r="C3897" s="128">
        <f t="shared" si="177"/>
        <v>12</v>
      </c>
      <c r="D3897" s="136">
        <f t="shared" si="176"/>
        <v>50</v>
      </c>
      <c r="E3897" s="136">
        <f t="shared" si="178"/>
        <v>14</v>
      </c>
      <c r="F3897" s="137" t="s">
        <v>24</v>
      </c>
      <c r="G3897" s="128" t="str">
        <f>VLOOKUP(source[[#This Row],[lending_product_transform]],[3]Mapping!$B$4:$C$37,2,0)</f>
        <v>[Cake] - Cashloan</v>
      </c>
      <c r="H3897" s="128" t="str">
        <f>VLOOKUP(source[[#This Row],[lending_product_transform]],[3]Mapping!$B$3:$D$37,3,0)</f>
        <v>cashloan</v>
      </c>
      <c r="I3897" s="143">
        <v>0</v>
      </c>
    </row>
    <row r="3898" spans="1:9" x14ac:dyDescent="0.2">
      <c r="A3898" s="134">
        <v>45640</v>
      </c>
      <c r="B3898" s="135">
        <f>YEAR(source[[#This Row],[report_date]])</f>
        <v>2024</v>
      </c>
      <c r="C3898" s="128">
        <f t="shared" si="177"/>
        <v>12</v>
      </c>
      <c r="D3898" s="136">
        <f t="shared" si="176"/>
        <v>50</v>
      </c>
      <c r="E3898" s="136">
        <f t="shared" si="178"/>
        <v>14</v>
      </c>
      <c r="F3898" s="137" t="s">
        <v>24</v>
      </c>
      <c r="G3898" s="128" t="str">
        <f>VLOOKUP(source[[#This Row],[lending_product_transform]],[3]Mapping!$B$4:$C$37,2,0)</f>
        <v>[Cake] - Cashloan</v>
      </c>
      <c r="H3898" s="128" t="str">
        <f>VLOOKUP(source[[#This Row],[lending_product_transform]],[3]Mapping!$B$3:$D$37,3,0)</f>
        <v>cashloan</v>
      </c>
      <c r="I3898" s="143">
        <v>119860000</v>
      </c>
    </row>
    <row r="3899" spans="1:9" x14ac:dyDescent="0.2">
      <c r="A3899" s="134">
        <v>45640</v>
      </c>
      <c r="B3899" s="135">
        <f>YEAR(source[[#This Row],[report_date]])</f>
        <v>2024</v>
      </c>
      <c r="C3899" s="128">
        <f t="shared" si="177"/>
        <v>12</v>
      </c>
      <c r="D3899" s="136">
        <f t="shared" si="176"/>
        <v>50</v>
      </c>
      <c r="E3899" s="136">
        <f t="shared" si="178"/>
        <v>14</v>
      </c>
      <c r="F3899" s="137" t="s">
        <v>24</v>
      </c>
      <c r="G3899" s="128" t="str">
        <f>VLOOKUP(source[[#This Row],[lending_product_transform]],[3]Mapping!$B$4:$C$37,2,0)</f>
        <v>[Cake] - Cashloan</v>
      </c>
      <c r="H3899" s="128" t="str">
        <f>VLOOKUP(source[[#This Row],[lending_product_transform]],[3]Mapping!$B$3:$D$37,3,0)</f>
        <v>cashloan</v>
      </c>
      <c r="I3899" s="143">
        <v>5466350000</v>
      </c>
    </row>
    <row r="3900" spans="1:9" x14ac:dyDescent="0.2">
      <c r="A3900" s="134">
        <v>45640</v>
      </c>
      <c r="B3900" s="135">
        <f>YEAR(source[[#This Row],[report_date]])</f>
        <v>2024</v>
      </c>
      <c r="C3900" s="128">
        <f t="shared" si="177"/>
        <v>12</v>
      </c>
      <c r="D3900" s="136">
        <f t="shared" si="176"/>
        <v>50</v>
      </c>
      <c r="E3900" s="136">
        <f t="shared" si="178"/>
        <v>14</v>
      </c>
      <c r="F3900" s="137" t="s">
        <v>24</v>
      </c>
      <c r="G3900" s="128" t="str">
        <f>VLOOKUP(source[[#This Row],[lending_product_transform]],[3]Mapping!$B$4:$C$37,2,0)</f>
        <v>[Cake] - Cashloan</v>
      </c>
      <c r="H3900" s="128" t="str">
        <f>VLOOKUP(source[[#This Row],[lending_product_transform]],[3]Mapping!$B$3:$D$37,3,0)</f>
        <v>cashloan</v>
      </c>
      <c r="I3900" s="143">
        <v>21400000</v>
      </c>
    </row>
    <row r="3901" spans="1:9" x14ac:dyDescent="0.2">
      <c r="A3901" s="134">
        <v>45640</v>
      </c>
      <c r="B3901" s="135">
        <f>YEAR(source[[#This Row],[report_date]])</f>
        <v>2024</v>
      </c>
      <c r="C3901" s="128">
        <f t="shared" si="177"/>
        <v>12</v>
      </c>
      <c r="D3901" s="136">
        <f t="shared" si="176"/>
        <v>50</v>
      </c>
      <c r="E3901" s="136">
        <f t="shared" si="178"/>
        <v>14</v>
      </c>
      <c r="F3901" s="137" t="s">
        <v>24</v>
      </c>
      <c r="G3901" s="128" t="str">
        <f>VLOOKUP(source[[#This Row],[lending_product_transform]],[3]Mapping!$B$4:$C$37,2,0)</f>
        <v>[Cake] - Cashloan</v>
      </c>
      <c r="H3901" s="128" t="str">
        <f>VLOOKUP(source[[#This Row],[lending_product_transform]],[3]Mapping!$B$3:$D$37,3,0)</f>
        <v>cashloan</v>
      </c>
      <c r="I3901" s="143">
        <v>33000000</v>
      </c>
    </row>
    <row r="3902" spans="1:9" x14ac:dyDescent="0.2">
      <c r="A3902" s="134">
        <v>45640</v>
      </c>
      <c r="B3902" s="135">
        <f>YEAR(source[[#This Row],[report_date]])</f>
        <v>2024</v>
      </c>
      <c r="C3902" s="128">
        <f t="shared" si="177"/>
        <v>12</v>
      </c>
      <c r="D3902" s="136">
        <f t="shared" si="176"/>
        <v>50</v>
      </c>
      <c r="E3902" s="136">
        <f t="shared" si="178"/>
        <v>14</v>
      </c>
      <c r="F3902" s="137" t="s">
        <v>24</v>
      </c>
      <c r="G3902" s="128" t="str">
        <f>VLOOKUP(source[[#This Row],[lending_product_transform]],[3]Mapping!$B$4:$C$37,2,0)</f>
        <v>[Cake] - Cashloan</v>
      </c>
      <c r="H3902" s="128" t="str">
        <f>VLOOKUP(source[[#This Row],[lending_product_transform]],[3]Mapping!$B$3:$D$37,3,0)</f>
        <v>cashloan</v>
      </c>
      <c r="I3902" s="143">
        <v>21400000</v>
      </c>
    </row>
    <row r="3903" spans="1:9" x14ac:dyDescent="0.2">
      <c r="A3903" s="134">
        <v>45640</v>
      </c>
      <c r="B3903" s="135">
        <f>YEAR(source[[#This Row],[report_date]])</f>
        <v>2024</v>
      </c>
      <c r="C3903" s="128">
        <f t="shared" si="177"/>
        <v>12</v>
      </c>
      <c r="D3903" s="136">
        <f t="shared" si="176"/>
        <v>50</v>
      </c>
      <c r="E3903" s="136">
        <f t="shared" si="178"/>
        <v>14</v>
      </c>
      <c r="F3903" s="137" t="s">
        <v>24</v>
      </c>
      <c r="G3903" s="128" t="str">
        <f>VLOOKUP(source[[#This Row],[lending_product_transform]],[3]Mapping!$B$4:$C$37,2,0)</f>
        <v>[Cake] - Cashloan</v>
      </c>
      <c r="H3903" s="128" t="str">
        <f>VLOOKUP(source[[#This Row],[lending_product_transform]],[3]Mapping!$B$3:$D$37,3,0)</f>
        <v>cashloan</v>
      </c>
      <c r="I3903" s="143">
        <v>84200000</v>
      </c>
    </row>
    <row r="3904" spans="1:9" x14ac:dyDescent="0.2">
      <c r="A3904" s="134">
        <v>45640</v>
      </c>
      <c r="B3904" s="135">
        <f>YEAR(source[[#This Row],[report_date]])</f>
        <v>2024</v>
      </c>
      <c r="C3904" s="128">
        <f t="shared" si="177"/>
        <v>12</v>
      </c>
      <c r="D3904" s="136">
        <f t="shared" si="176"/>
        <v>50</v>
      </c>
      <c r="E3904" s="136">
        <f t="shared" si="178"/>
        <v>14</v>
      </c>
      <c r="F3904" s="137" t="s">
        <v>24</v>
      </c>
      <c r="G3904" s="128" t="str">
        <f>VLOOKUP(source[[#This Row],[lending_product_transform]],[3]Mapping!$B$4:$C$37,2,0)</f>
        <v>[Cake] - Cashloan</v>
      </c>
      <c r="H3904" s="128" t="str">
        <f>VLOOKUP(source[[#This Row],[lending_product_transform]],[3]Mapping!$B$3:$D$37,3,0)</f>
        <v>cashloan</v>
      </c>
      <c r="I3904" s="143">
        <v>6157130000</v>
      </c>
    </row>
    <row r="3905" spans="1:9" x14ac:dyDescent="0.2">
      <c r="A3905" s="134">
        <v>45640</v>
      </c>
      <c r="B3905" s="135">
        <f>YEAR(source[[#This Row],[report_date]])</f>
        <v>2024</v>
      </c>
      <c r="C3905" s="128">
        <f t="shared" si="177"/>
        <v>12</v>
      </c>
      <c r="D3905" s="136">
        <f t="shared" si="176"/>
        <v>50</v>
      </c>
      <c r="E3905" s="136">
        <f t="shared" si="178"/>
        <v>14</v>
      </c>
      <c r="F3905" s="137" t="s">
        <v>24</v>
      </c>
      <c r="G3905" s="128" t="str">
        <f>VLOOKUP(source[[#This Row],[lending_product_transform]],[3]Mapping!$B$4:$C$37,2,0)</f>
        <v>[Cake] - Cashloan</v>
      </c>
      <c r="H3905" s="128" t="str">
        <f>VLOOKUP(source[[#This Row],[lending_product_transform]],[3]Mapping!$B$3:$D$37,3,0)</f>
        <v>cashloan</v>
      </c>
      <c r="I3905" s="143">
        <v>5702500000</v>
      </c>
    </row>
    <row r="3906" spans="1:9" x14ac:dyDescent="0.2">
      <c r="A3906" s="134">
        <v>45640</v>
      </c>
      <c r="B3906" s="135">
        <f>YEAR(source[[#This Row],[report_date]])</f>
        <v>2024</v>
      </c>
      <c r="C3906" s="128">
        <f t="shared" si="177"/>
        <v>12</v>
      </c>
      <c r="D3906" s="136">
        <f t="shared" si="176"/>
        <v>50</v>
      </c>
      <c r="E3906" s="136">
        <f t="shared" si="178"/>
        <v>14</v>
      </c>
      <c r="F3906" s="137" t="s">
        <v>24</v>
      </c>
      <c r="G3906" s="128" t="str">
        <f>VLOOKUP(source[[#This Row],[lending_product_transform]],[3]Mapping!$B$4:$C$37,2,0)</f>
        <v>[Cake] - Cashloan</v>
      </c>
      <c r="H3906" s="128" t="str">
        <f>VLOOKUP(source[[#This Row],[lending_product_transform]],[3]Mapping!$B$3:$D$37,3,0)</f>
        <v>cashloan</v>
      </c>
      <c r="I3906" s="143">
        <v>235900000</v>
      </c>
    </row>
    <row r="3907" spans="1:9" x14ac:dyDescent="0.2">
      <c r="A3907" s="134">
        <v>45640</v>
      </c>
      <c r="B3907" s="135">
        <f>YEAR(source[[#This Row],[report_date]])</f>
        <v>2024</v>
      </c>
      <c r="C3907" s="128">
        <f t="shared" si="177"/>
        <v>12</v>
      </c>
      <c r="D3907" s="136">
        <f t="shared" ref="D3907:D3970" si="179">WEEKNUM(A3907,2)</f>
        <v>50</v>
      </c>
      <c r="E3907" s="136">
        <f t="shared" si="178"/>
        <v>14</v>
      </c>
      <c r="F3907" s="137" t="s">
        <v>24</v>
      </c>
      <c r="G3907" s="128" t="str">
        <f>VLOOKUP(source[[#This Row],[lending_product_transform]],[3]Mapping!$B$4:$C$37,2,0)</f>
        <v>[Cake] - Cashloan</v>
      </c>
      <c r="H3907" s="128" t="str">
        <f>VLOOKUP(source[[#This Row],[lending_product_transform]],[3]Mapping!$B$3:$D$37,3,0)</f>
        <v>cashloan</v>
      </c>
      <c r="I3907" s="143">
        <v>0</v>
      </c>
    </row>
    <row r="3908" spans="1:9" x14ac:dyDescent="0.2">
      <c r="A3908" s="134">
        <v>45640</v>
      </c>
      <c r="B3908" s="135">
        <f>YEAR(source[[#This Row],[report_date]])</f>
        <v>2024</v>
      </c>
      <c r="C3908" s="128">
        <f t="shared" si="177"/>
        <v>12</v>
      </c>
      <c r="D3908" s="136">
        <f t="shared" si="179"/>
        <v>50</v>
      </c>
      <c r="E3908" s="136">
        <f t="shared" si="178"/>
        <v>14</v>
      </c>
      <c r="F3908" s="137" t="s">
        <v>24</v>
      </c>
      <c r="G3908" s="128" t="str">
        <f>VLOOKUP(source[[#This Row],[lending_product_transform]],[3]Mapping!$B$4:$C$37,2,0)</f>
        <v>[Cake] - Cashloan</v>
      </c>
      <c r="H3908" s="128" t="str">
        <f>VLOOKUP(source[[#This Row],[lending_product_transform]],[3]Mapping!$B$3:$D$37,3,0)</f>
        <v>cashloan</v>
      </c>
      <c r="I3908" s="143">
        <v>319857813</v>
      </c>
    </row>
    <row r="3909" spans="1:9" x14ac:dyDescent="0.2">
      <c r="A3909" s="134">
        <v>45640</v>
      </c>
      <c r="B3909" s="135">
        <f>YEAR(source[[#This Row],[report_date]])</f>
        <v>2024</v>
      </c>
      <c r="C3909" s="128">
        <f t="shared" si="177"/>
        <v>12</v>
      </c>
      <c r="D3909" s="136">
        <f t="shared" si="179"/>
        <v>50</v>
      </c>
      <c r="E3909" s="136">
        <f t="shared" si="178"/>
        <v>14</v>
      </c>
      <c r="F3909" s="137" t="s">
        <v>24</v>
      </c>
      <c r="G3909" s="128" t="str">
        <f>VLOOKUP(source[[#This Row],[lending_product_transform]],[3]Mapping!$B$4:$C$37,2,0)</f>
        <v>[Cake] - Cashloan</v>
      </c>
      <c r="H3909" s="128" t="str">
        <f>VLOOKUP(source[[#This Row],[lending_product_transform]],[3]Mapping!$B$3:$D$37,3,0)</f>
        <v>cashloan</v>
      </c>
      <c r="I3909" s="143">
        <v>49613556</v>
      </c>
    </row>
    <row r="3910" spans="1:9" x14ac:dyDescent="0.2">
      <c r="A3910" s="134">
        <v>45640</v>
      </c>
      <c r="B3910" s="135">
        <f>YEAR(source[[#This Row],[report_date]])</f>
        <v>2024</v>
      </c>
      <c r="C3910" s="128">
        <f t="shared" si="177"/>
        <v>12</v>
      </c>
      <c r="D3910" s="136">
        <f t="shared" si="179"/>
        <v>50</v>
      </c>
      <c r="E3910" s="136">
        <f t="shared" si="178"/>
        <v>14</v>
      </c>
      <c r="F3910" s="137" t="s">
        <v>24</v>
      </c>
      <c r="G3910" s="128" t="str">
        <f>VLOOKUP(source[[#This Row],[lending_product_transform]],[3]Mapping!$B$4:$C$37,2,0)</f>
        <v>[Cake] - Cashloan</v>
      </c>
      <c r="H3910" s="128" t="str">
        <f>VLOOKUP(source[[#This Row],[lending_product_transform]],[3]Mapping!$B$3:$D$37,3,0)</f>
        <v>cashloan</v>
      </c>
      <c r="I3910" s="143">
        <v>0</v>
      </c>
    </row>
    <row r="3911" spans="1:9" x14ac:dyDescent="0.2">
      <c r="A3911" s="134">
        <v>45640</v>
      </c>
      <c r="B3911" s="135">
        <f>YEAR(source[[#This Row],[report_date]])</f>
        <v>2024</v>
      </c>
      <c r="C3911" s="128">
        <f t="shared" si="177"/>
        <v>12</v>
      </c>
      <c r="D3911" s="136">
        <f t="shared" si="179"/>
        <v>50</v>
      </c>
      <c r="E3911" s="136">
        <f t="shared" si="178"/>
        <v>14</v>
      </c>
      <c r="F3911" s="137" t="s">
        <v>24</v>
      </c>
      <c r="G3911" s="128" t="str">
        <f>VLOOKUP(source[[#This Row],[lending_product_transform]],[3]Mapping!$B$4:$C$37,2,0)</f>
        <v>[Cake] - Cashloan</v>
      </c>
      <c r="H3911" s="128" t="str">
        <f>VLOOKUP(source[[#This Row],[lending_product_transform]],[3]Mapping!$B$3:$D$37,3,0)</f>
        <v>cashloan</v>
      </c>
      <c r="I3911" s="143">
        <v>3186732007</v>
      </c>
    </row>
    <row r="3912" spans="1:9" x14ac:dyDescent="0.2">
      <c r="A3912" s="134">
        <v>45641</v>
      </c>
      <c r="B3912" s="135">
        <f>YEAR(source[[#This Row],[report_date]])</f>
        <v>2024</v>
      </c>
      <c r="C3912" s="128">
        <f t="shared" si="177"/>
        <v>12</v>
      </c>
      <c r="D3912" s="136">
        <f t="shared" si="179"/>
        <v>50</v>
      </c>
      <c r="E3912" s="136">
        <f t="shared" si="178"/>
        <v>15</v>
      </c>
      <c r="F3912" s="137" t="s">
        <v>24</v>
      </c>
      <c r="G3912" s="128" t="str">
        <f>VLOOKUP(source[[#This Row],[lending_product_transform]],[3]Mapping!$B$4:$C$37,2,0)</f>
        <v>[Cake] - Cashloan</v>
      </c>
      <c r="H3912" s="128" t="str">
        <f>VLOOKUP(source[[#This Row],[lending_product_transform]],[3]Mapping!$B$3:$D$37,3,0)</f>
        <v>cashloan</v>
      </c>
      <c r="I3912" s="143">
        <v>0</v>
      </c>
    </row>
    <row r="3913" spans="1:9" x14ac:dyDescent="0.2">
      <c r="A3913" s="134">
        <v>45641</v>
      </c>
      <c r="B3913" s="135">
        <f>YEAR(source[[#This Row],[report_date]])</f>
        <v>2024</v>
      </c>
      <c r="C3913" s="128">
        <f t="shared" si="177"/>
        <v>12</v>
      </c>
      <c r="D3913" s="136">
        <f t="shared" si="179"/>
        <v>50</v>
      </c>
      <c r="E3913" s="136">
        <f t="shared" si="178"/>
        <v>15</v>
      </c>
      <c r="F3913" s="137" t="s">
        <v>24</v>
      </c>
      <c r="G3913" s="128" t="str">
        <f>VLOOKUP(source[[#This Row],[lending_product_transform]],[3]Mapping!$B$4:$C$37,2,0)</f>
        <v>[Cake] - Cashloan</v>
      </c>
      <c r="H3913" s="128" t="str">
        <f>VLOOKUP(source[[#This Row],[lending_product_transform]],[3]Mapping!$B$3:$D$37,3,0)</f>
        <v>cashloan</v>
      </c>
      <c r="I3913" s="143">
        <v>291450073</v>
      </c>
    </row>
    <row r="3914" spans="1:9" x14ac:dyDescent="0.2">
      <c r="A3914" s="134">
        <v>45641</v>
      </c>
      <c r="B3914" s="135">
        <f>YEAR(source[[#This Row],[report_date]])</f>
        <v>2024</v>
      </c>
      <c r="C3914" s="128">
        <f t="shared" si="177"/>
        <v>12</v>
      </c>
      <c r="D3914" s="136">
        <f t="shared" si="179"/>
        <v>50</v>
      </c>
      <c r="E3914" s="136">
        <f t="shared" si="178"/>
        <v>15</v>
      </c>
      <c r="F3914" s="137" t="s">
        <v>24</v>
      </c>
      <c r="G3914" s="128" t="str">
        <f>VLOOKUP(source[[#This Row],[lending_product_transform]],[3]Mapping!$B$4:$C$37,2,0)</f>
        <v>[Cake] - Cashloan</v>
      </c>
      <c r="H3914" s="128" t="str">
        <f>VLOOKUP(source[[#This Row],[lending_product_transform]],[3]Mapping!$B$3:$D$37,3,0)</f>
        <v>cashloan</v>
      </c>
      <c r="I3914" s="143">
        <v>470680000</v>
      </c>
    </row>
    <row r="3915" spans="1:9" x14ac:dyDescent="0.2">
      <c r="A3915" s="134">
        <v>45641</v>
      </c>
      <c r="B3915" s="135">
        <f>YEAR(source[[#This Row],[report_date]])</f>
        <v>2024</v>
      </c>
      <c r="C3915" s="128">
        <f t="shared" si="177"/>
        <v>12</v>
      </c>
      <c r="D3915" s="136">
        <f t="shared" si="179"/>
        <v>50</v>
      </c>
      <c r="E3915" s="136">
        <f t="shared" si="178"/>
        <v>15</v>
      </c>
      <c r="F3915" s="137" t="s">
        <v>24</v>
      </c>
      <c r="G3915" s="128" t="str">
        <f>VLOOKUP(source[[#This Row],[lending_product_transform]],[3]Mapping!$B$4:$C$37,2,0)</f>
        <v>[Cake] - Cashloan</v>
      </c>
      <c r="H3915" s="128" t="str">
        <f>VLOOKUP(source[[#This Row],[lending_product_transform]],[3]Mapping!$B$3:$D$37,3,0)</f>
        <v>cashloan</v>
      </c>
      <c r="I3915" s="143">
        <v>5373280000</v>
      </c>
    </row>
    <row r="3916" spans="1:9" x14ac:dyDescent="0.2">
      <c r="A3916" s="134">
        <v>45641</v>
      </c>
      <c r="B3916" s="135">
        <f>YEAR(source[[#This Row],[report_date]])</f>
        <v>2024</v>
      </c>
      <c r="C3916" s="128">
        <f t="shared" si="177"/>
        <v>12</v>
      </c>
      <c r="D3916" s="136">
        <f t="shared" si="179"/>
        <v>50</v>
      </c>
      <c r="E3916" s="136">
        <f t="shared" si="178"/>
        <v>15</v>
      </c>
      <c r="F3916" s="137" t="s">
        <v>24</v>
      </c>
      <c r="G3916" s="128" t="str">
        <f>VLOOKUP(source[[#This Row],[lending_product_transform]],[3]Mapping!$B$4:$C$37,2,0)</f>
        <v>[Cake] - Cashloan</v>
      </c>
      <c r="H3916" s="128" t="str">
        <f>VLOOKUP(source[[#This Row],[lending_product_transform]],[3]Mapping!$B$3:$D$37,3,0)</f>
        <v>cashloan</v>
      </c>
      <c r="I3916" s="143">
        <v>59850000</v>
      </c>
    </row>
    <row r="3917" spans="1:9" x14ac:dyDescent="0.2">
      <c r="A3917" s="134">
        <v>45641</v>
      </c>
      <c r="B3917" s="135">
        <f>YEAR(source[[#This Row],[report_date]])</f>
        <v>2024</v>
      </c>
      <c r="C3917" s="128">
        <f t="shared" si="177"/>
        <v>12</v>
      </c>
      <c r="D3917" s="136">
        <f t="shared" si="179"/>
        <v>50</v>
      </c>
      <c r="E3917" s="136">
        <f t="shared" si="178"/>
        <v>15</v>
      </c>
      <c r="F3917" s="137" t="s">
        <v>24</v>
      </c>
      <c r="G3917" s="128" t="str">
        <f>VLOOKUP(source[[#This Row],[lending_product_transform]],[3]Mapping!$B$4:$C$37,2,0)</f>
        <v>[Cake] - Cashloan</v>
      </c>
      <c r="H3917" s="128" t="str">
        <f>VLOOKUP(source[[#This Row],[lending_product_transform]],[3]Mapping!$B$3:$D$37,3,0)</f>
        <v>cashloan</v>
      </c>
      <c r="I3917" s="143">
        <v>76905503</v>
      </c>
    </row>
    <row r="3918" spans="1:9" x14ac:dyDescent="0.2">
      <c r="A3918" s="134">
        <v>45641</v>
      </c>
      <c r="B3918" s="135">
        <f>YEAR(source[[#This Row],[report_date]])</f>
        <v>2024</v>
      </c>
      <c r="C3918" s="128">
        <f t="shared" si="177"/>
        <v>12</v>
      </c>
      <c r="D3918" s="136">
        <f t="shared" si="179"/>
        <v>50</v>
      </c>
      <c r="E3918" s="136">
        <f t="shared" si="178"/>
        <v>15</v>
      </c>
      <c r="F3918" s="137" t="s">
        <v>24</v>
      </c>
      <c r="G3918" s="128" t="str">
        <f>VLOOKUP(source[[#This Row],[lending_product_transform]],[3]Mapping!$B$4:$C$37,2,0)</f>
        <v>[Cake] - Cashloan</v>
      </c>
      <c r="H3918" s="128" t="str">
        <f>VLOOKUP(source[[#This Row],[lending_product_transform]],[3]Mapping!$B$3:$D$37,3,0)</f>
        <v>cashloan</v>
      </c>
      <c r="I3918" s="143">
        <v>38000000</v>
      </c>
    </row>
    <row r="3919" spans="1:9" x14ac:dyDescent="0.2">
      <c r="A3919" s="134">
        <v>45641</v>
      </c>
      <c r="B3919" s="135">
        <f>YEAR(source[[#This Row],[report_date]])</f>
        <v>2024</v>
      </c>
      <c r="C3919" s="128">
        <f t="shared" si="177"/>
        <v>12</v>
      </c>
      <c r="D3919" s="136">
        <f t="shared" si="179"/>
        <v>50</v>
      </c>
      <c r="E3919" s="136">
        <f t="shared" si="178"/>
        <v>15</v>
      </c>
      <c r="F3919" s="137" t="s">
        <v>24</v>
      </c>
      <c r="G3919" s="128" t="str">
        <f>VLOOKUP(source[[#This Row],[lending_product_transform]],[3]Mapping!$B$4:$C$37,2,0)</f>
        <v>[Cake] - Cashloan</v>
      </c>
      <c r="H3919" s="128" t="str">
        <f>VLOOKUP(source[[#This Row],[lending_product_transform]],[3]Mapping!$B$3:$D$37,3,0)</f>
        <v>cashloan</v>
      </c>
      <c r="I3919" s="143">
        <v>4892090000</v>
      </c>
    </row>
    <row r="3920" spans="1:9" x14ac:dyDescent="0.2">
      <c r="A3920" s="134">
        <v>45641</v>
      </c>
      <c r="B3920" s="135">
        <f>YEAR(source[[#This Row],[report_date]])</f>
        <v>2024</v>
      </c>
      <c r="C3920" s="128">
        <f t="shared" si="177"/>
        <v>12</v>
      </c>
      <c r="D3920" s="136">
        <f t="shared" si="179"/>
        <v>50</v>
      </c>
      <c r="E3920" s="136">
        <f t="shared" si="178"/>
        <v>15</v>
      </c>
      <c r="F3920" s="137" t="s">
        <v>24</v>
      </c>
      <c r="G3920" s="128" t="str">
        <f>VLOOKUP(source[[#This Row],[lending_product_transform]],[3]Mapping!$B$4:$C$37,2,0)</f>
        <v>[Cake] - Cashloan</v>
      </c>
      <c r="H3920" s="128" t="str">
        <f>VLOOKUP(source[[#This Row],[lending_product_transform]],[3]Mapping!$B$3:$D$37,3,0)</f>
        <v>cashloan</v>
      </c>
      <c r="I3920" s="143">
        <v>0</v>
      </c>
    </row>
    <row r="3921" spans="1:9" x14ac:dyDescent="0.2">
      <c r="A3921" s="134">
        <v>45641</v>
      </c>
      <c r="B3921" s="135">
        <f>YEAR(source[[#This Row],[report_date]])</f>
        <v>2024</v>
      </c>
      <c r="C3921" s="128">
        <f t="shared" si="177"/>
        <v>12</v>
      </c>
      <c r="D3921" s="136">
        <f t="shared" si="179"/>
        <v>50</v>
      </c>
      <c r="E3921" s="136">
        <f t="shared" si="178"/>
        <v>15</v>
      </c>
      <c r="F3921" s="137" t="s">
        <v>24</v>
      </c>
      <c r="G3921" s="128" t="str">
        <f>VLOOKUP(source[[#This Row],[lending_product_transform]],[3]Mapping!$B$4:$C$37,2,0)</f>
        <v>[Cake] - Cashloan</v>
      </c>
      <c r="H3921" s="128" t="str">
        <f>VLOOKUP(source[[#This Row],[lending_product_transform]],[3]Mapping!$B$3:$D$37,3,0)</f>
        <v>cashloan</v>
      </c>
      <c r="I3921" s="143">
        <v>0</v>
      </c>
    </row>
    <row r="3922" spans="1:9" x14ac:dyDescent="0.2">
      <c r="A3922" s="134">
        <v>45641</v>
      </c>
      <c r="B3922" s="135">
        <f>YEAR(source[[#This Row],[report_date]])</f>
        <v>2024</v>
      </c>
      <c r="C3922" s="128">
        <f t="shared" si="177"/>
        <v>12</v>
      </c>
      <c r="D3922" s="136">
        <f t="shared" si="179"/>
        <v>50</v>
      </c>
      <c r="E3922" s="136">
        <f t="shared" si="178"/>
        <v>15</v>
      </c>
      <c r="F3922" s="137" t="s">
        <v>24</v>
      </c>
      <c r="G3922" s="128" t="str">
        <f>VLOOKUP(source[[#This Row],[lending_product_transform]],[3]Mapping!$B$4:$C$37,2,0)</f>
        <v>[Cake] - Cashloan</v>
      </c>
      <c r="H3922" s="128" t="str">
        <f>VLOOKUP(source[[#This Row],[lending_product_transform]],[3]Mapping!$B$3:$D$37,3,0)</f>
        <v>cashloan</v>
      </c>
      <c r="I3922" s="143">
        <v>5542500000</v>
      </c>
    </row>
    <row r="3923" spans="1:9" x14ac:dyDescent="0.2">
      <c r="A3923" s="134">
        <v>45641</v>
      </c>
      <c r="B3923" s="135">
        <f>YEAR(source[[#This Row],[report_date]])</f>
        <v>2024</v>
      </c>
      <c r="C3923" s="128">
        <f t="shared" si="177"/>
        <v>12</v>
      </c>
      <c r="D3923" s="136">
        <f t="shared" si="179"/>
        <v>50</v>
      </c>
      <c r="E3923" s="136">
        <f t="shared" si="178"/>
        <v>15</v>
      </c>
      <c r="F3923" s="137" t="s">
        <v>24</v>
      </c>
      <c r="G3923" s="128" t="str">
        <f>VLOOKUP(source[[#This Row],[lending_product_transform]],[3]Mapping!$B$4:$C$37,2,0)</f>
        <v>[Cake] - Cashloan</v>
      </c>
      <c r="H3923" s="128" t="str">
        <f>VLOOKUP(source[[#This Row],[lending_product_transform]],[3]Mapping!$B$3:$D$37,3,0)</f>
        <v>cashloan</v>
      </c>
      <c r="I3923" s="143">
        <v>137566176</v>
      </c>
    </row>
    <row r="3924" spans="1:9" x14ac:dyDescent="0.2">
      <c r="A3924" s="134">
        <v>45641</v>
      </c>
      <c r="B3924" s="135">
        <f>YEAR(source[[#This Row],[report_date]])</f>
        <v>2024</v>
      </c>
      <c r="C3924" s="128">
        <f t="shared" si="177"/>
        <v>12</v>
      </c>
      <c r="D3924" s="136">
        <f t="shared" si="179"/>
        <v>50</v>
      </c>
      <c r="E3924" s="136">
        <f t="shared" si="178"/>
        <v>15</v>
      </c>
      <c r="F3924" s="137" t="s">
        <v>24</v>
      </c>
      <c r="G3924" s="128" t="str">
        <f>VLOOKUP(source[[#This Row],[lending_product_transform]],[3]Mapping!$B$4:$C$37,2,0)</f>
        <v>[Cake] - Cashloan</v>
      </c>
      <c r="H3924" s="128" t="str">
        <f>VLOOKUP(source[[#This Row],[lending_product_transform]],[3]Mapping!$B$3:$D$37,3,0)</f>
        <v>cashloan</v>
      </c>
      <c r="I3924" s="143">
        <v>0</v>
      </c>
    </row>
    <row r="3925" spans="1:9" x14ac:dyDescent="0.2">
      <c r="A3925" s="134">
        <v>45641</v>
      </c>
      <c r="B3925" s="135">
        <f>YEAR(source[[#This Row],[report_date]])</f>
        <v>2024</v>
      </c>
      <c r="C3925" s="128">
        <f t="shared" si="177"/>
        <v>12</v>
      </c>
      <c r="D3925" s="136">
        <f t="shared" si="179"/>
        <v>50</v>
      </c>
      <c r="E3925" s="136">
        <f t="shared" si="178"/>
        <v>15</v>
      </c>
      <c r="F3925" s="137" t="s">
        <v>24</v>
      </c>
      <c r="G3925" s="128" t="str">
        <f>VLOOKUP(source[[#This Row],[lending_product_transform]],[3]Mapping!$B$4:$C$37,2,0)</f>
        <v>[Cake] - Cashloan</v>
      </c>
      <c r="H3925" s="128" t="str">
        <f>VLOOKUP(source[[#This Row],[lending_product_transform]],[3]Mapping!$B$3:$D$37,3,0)</f>
        <v>cashloan</v>
      </c>
      <c r="I3925" s="143">
        <v>58150000</v>
      </c>
    </row>
    <row r="3926" spans="1:9" x14ac:dyDescent="0.2">
      <c r="A3926" s="134">
        <v>45641</v>
      </c>
      <c r="B3926" s="135">
        <f>YEAR(source[[#This Row],[report_date]])</f>
        <v>2024</v>
      </c>
      <c r="C3926" s="128">
        <f t="shared" si="177"/>
        <v>12</v>
      </c>
      <c r="D3926" s="136">
        <f t="shared" si="179"/>
        <v>50</v>
      </c>
      <c r="E3926" s="136">
        <f t="shared" si="178"/>
        <v>15</v>
      </c>
      <c r="F3926" s="137" t="s">
        <v>24</v>
      </c>
      <c r="G3926" s="128" t="str">
        <f>VLOOKUP(source[[#This Row],[lending_product_transform]],[3]Mapping!$B$4:$C$37,2,0)</f>
        <v>[Cake] - Cashloan</v>
      </c>
      <c r="H3926" s="128" t="str">
        <f>VLOOKUP(source[[#This Row],[lending_product_transform]],[3]Mapping!$B$3:$D$37,3,0)</f>
        <v>cashloan</v>
      </c>
      <c r="I3926" s="143">
        <v>2928051829</v>
      </c>
    </row>
    <row r="3927" spans="1:9" x14ac:dyDescent="0.2">
      <c r="A3927" s="134">
        <v>45641</v>
      </c>
      <c r="B3927" s="135">
        <f>YEAR(source[[#This Row],[report_date]])</f>
        <v>2024</v>
      </c>
      <c r="C3927" s="128">
        <f t="shared" si="177"/>
        <v>12</v>
      </c>
      <c r="D3927" s="136">
        <f t="shared" si="179"/>
        <v>50</v>
      </c>
      <c r="E3927" s="136">
        <f t="shared" si="178"/>
        <v>15</v>
      </c>
      <c r="F3927" s="137" t="s">
        <v>24</v>
      </c>
      <c r="G3927" s="128" t="str">
        <f>VLOOKUP(source[[#This Row],[lending_product_transform]],[3]Mapping!$B$4:$C$37,2,0)</f>
        <v>[Cake] - Cashloan</v>
      </c>
      <c r="H3927" s="128" t="str">
        <f>VLOOKUP(source[[#This Row],[lending_product_transform]],[3]Mapping!$B$3:$D$37,3,0)</f>
        <v>cashloan</v>
      </c>
      <c r="I3927" s="143">
        <v>21588451</v>
      </c>
    </row>
    <row r="3928" spans="1:9" x14ac:dyDescent="0.2">
      <c r="A3928" s="134">
        <v>45641</v>
      </c>
      <c r="B3928" s="135">
        <f>YEAR(source[[#This Row],[report_date]])</f>
        <v>2024</v>
      </c>
      <c r="C3928" s="128">
        <f t="shared" si="177"/>
        <v>12</v>
      </c>
      <c r="D3928" s="136">
        <f t="shared" si="179"/>
        <v>50</v>
      </c>
      <c r="E3928" s="136">
        <f t="shared" si="178"/>
        <v>15</v>
      </c>
      <c r="F3928" s="137" t="s">
        <v>24</v>
      </c>
      <c r="G3928" s="128" t="str">
        <f>VLOOKUP(source[[#This Row],[lending_product_transform]],[3]Mapping!$B$4:$C$37,2,0)</f>
        <v>[Cake] - Cashloan</v>
      </c>
      <c r="H3928" s="128" t="str">
        <f>VLOOKUP(source[[#This Row],[lending_product_transform]],[3]Mapping!$B$3:$D$37,3,0)</f>
        <v>cashloan</v>
      </c>
      <c r="I3928" s="143">
        <v>0</v>
      </c>
    </row>
    <row r="3929" spans="1:9" x14ac:dyDescent="0.2">
      <c r="A3929" s="134">
        <v>45641</v>
      </c>
      <c r="B3929" s="135">
        <f>YEAR(source[[#This Row],[report_date]])</f>
        <v>2024</v>
      </c>
      <c r="C3929" s="128">
        <f t="shared" si="177"/>
        <v>12</v>
      </c>
      <c r="D3929" s="136">
        <f t="shared" si="179"/>
        <v>50</v>
      </c>
      <c r="E3929" s="136">
        <f t="shared" si="178"/>
        <v>15</v>
      </c>
      <c r="F3929" s="137" t="s">
        <v>24</v>
      </c>
      <c r="G3929" s="128" t="str">
        <f>VLOOKUP(source[[#This Row],[lending_product_transform]],[3]Mapping!$B$4:$C$37,2,0)</f>
        <v>[Cake] - Cashloan</v>
      </c>
      <c r="H3929" s="128" t="str">
        <f>VLOOKUP(source[[#This Row],[lending_product_transform]],[3]Mapping!$B$3:$D$37,3,0)</f>
        <v>cashloan</v>
      </c>
      <c r="I3929" s="143">
        <v>72060000</v>
      </c>
    </row>
    <row r="3930" spans="1:9" x14ac:dyDescent="0.2">
      <c r="A3930" s="134">
        <v>45642</v>
      </c>
      <c r="B3930" s="135">
        <f>YEAR(source[[#This Row],[report_date]])</f>
        <v>2024</v>
      </c>
      <c r="C3930" s="128">
        <f t="shared" si="177"/>
        <v>12</v>
      </c>
      <c r="D3930" s="136">
        <f t="shared" si="179"/>
        <v>51</v>
      </c>
      <c r="E3930" s="136">
        <f t="shared" si="178"/>
        <v>16</v>
      </c>
      <c r="F3930" s="137" t="s">
        <v>24</v>
      </c>
      <c r="G3930" s="128" t="str">
        <f>VLOOKUP(source[[#This Row],[lending_product_transform]],[3]Mapping!$B$4:$C$37,2,0)</f>
        <v>[Cake] - Cashloan</v>
      </c>
      <c r="H3930" s="128" t="str">
        <f>VLOOKUP(source[[#This Row],[lending_product_transform]],[3]Mapping!$B$3:$D$37,3,0)</f>
        <v>cashloan</v>
      </c>
      <c r="I3930" s="143">
        <v>6165850000</v>
      </c>
    </row>
    <row r="3931" spans="1:9" x14ac:dyDescent="0.2">
      <c r="A3931" s="134">
        <v>45642</v>
      </c>
      <c r="B3931" s="135">
        <f>YEAR(source[[#This Row],[report_date]])</f>
        <v>2024</v>
      </c>
      <c r="C3931" s="128">
        <f t="shared" si="177"/>
        <v>12</v>
      </c>
      <c r="D3931" s="136">
        <f t="shared" si="179"/>
        <v>51</v>
      </c>
      <c r="E3931" s="136">
        <f t="shared" si="178"/>
        <v>16</v>
      </c>
      <c r="F3931" s="137" t="s">
        <v>24</v>
      </c>
      <c r="G3931" s="128" t="str">
        <f>VLOOKUP(source[[#This Row],[lending_product_transform]],[3]Mapping!$B$4:$C$37,2,0)</f>
        <v>[Cake] - Cashloan</v>
      </c>
      <c r="H3931" s="128" t="str">
        <f>VLOOKUP(source[[#This Row],[lending_product_transform]],[3]Mapping!$B$3:$D$37,3,0)</f>
        <v>cashloan</v>
      </c>
      <c r="I3931" s="143">
        <v>0</v>
      </c>
    </row>
    <row r="3932" spans="1:9" x14ac:dyDescent="0.2">
      <c r="A3932" s="134">
        <v>45642</v>
      </c>
      <c r="B3932" s="135">
        <f>YEAR(source[[#This Row],[report_date]])</f>
        <v>2024</v>
      </c>
      <c r="C3932" s="128">
        <f t="shared" si="177"/>
        <v>12</v>
      </c>
      <c r="D3932" s="136">
        <f t="shared" si="179"/>
        <v>51</v>
      </c>
      <c r="E3932" s="136">
        <f t="shared" si="178"/>
        <v>16</v>
      </c>
      <c r="F3932" s="137" t="s">
        <v>24</v>
      </c>
      <c r="G3932" s="128" t="str">
        <f>VLOOKUP(source[[#This Row],[lending_product_transform]],[3]Mapping!$B$4:$C$37,2,0)</f>
        <v>[Cake] - Cashloan</v>
      </c>
      <c r="H3932" s="128" t="str">
        <f>VLOOKUP(source[[#This Row],[lending_product_transform]],[3]Mapping!$B$3:$D$37,3,0)</f>
        <v>cashloan</v>
      </c>
      <c r="I3932" s="143">
        <v>0</v>
      </c>
    </row>
    <row r="3933" spans="1:9" x14ac:dyDescent="0.2">
      <c r="A3933" s="134">
        <v>45642</v>
      </c>
      <c r="B3933" s="135">
        <f>YEAR(source[[#This Row],[report_date]])</f>
        <v>2024</v>
      </c>
      <c r="C3933" s="128">
        <f t="shared" ref="C3933:C3996" si="180">MONTH(A3933)</f>
        <v>12</v>
      </c>
      <c r="D3933" s="136">
        <f t="shared" si="179"/>
        <v>51</v>
      </c>
      <c r="E3933" s="136">
        <f t="shared" ref="E3933:E3996" si="181">DAY(A3933)</f>
        <v>16</v>
      </c>
      <c r="F3933" s="137" t="s">
        <v>24</v>
      </c>
      <c r="G3933" s="128" t="str">
        <f>VLOOKUP(source[[#This Row],[lending_product_transform]],[3]Mapping!$B$4:$C$37,2,0)</f>
        <v>[Cake] - Cashloan</v>
      </c>
      <c r="H3933" s="128" t="str">
        <f>VLOOKUP(source[[#This Row],[lending_product_transform]],[3]Mapping!$B$3:$D$37,3,0)</f>
        <v>cashloan</v>
      </c>
      <c r="I3933" s="143">
        <v>113390000</v>
      </c>
    </row>
    <row r="3934" spans="1:9" x14ac:dyDescent="0.2">
      <c r="A3934" s="134">
        <v>45642</v>
      </c>
      <c r="B3934" s="135">
        <f>YEAR(source[[#This Row],[report_date]])</f>
        <v>2024</v>
      </c>
      <c r="C3934" s="128">
        <f t="shared" si="180"/>
        <v>12</v>
      </c>
      <c r="D3934" s="136">
        <f t="shared" si="179"/>
        <v>51</v>
      </c>
      <c r="E3934" s="136">
        <f t="shared" si="181"/>
        <v>16</v>
      </c>
      <c r="F3934" s="137" t="s">
        <v>24</v>
      </c>
      <c r="G3934" s="128" t="str">
        <f>VLOOKUP(source[[#This Row],[lending_product_transform]],[3]Mapping!$B$4:$C$37,2,0)</f>
        <v>[Cake] - Cashloan</v>
      </c>
      <c r="H3934" s="128" t="str">
        <f>VLOOKUP(source[[#This Row],[lending_product_transform]],[3]Mapping!$B$3:$D$37,3,0)</f>
        <v>cashloan</v>
      </c>
      <c r="I3934" s="143">
        <v>362112713</v>
      </c>
    </row>
    <row r="3935" spans="1:9" x14ac:dyDescent="0.2">
      <c r="A3935" s="134">
        <v>45642</v>
      </c>
      <c r="B3935" s="135">
        <f>YEAR(source[[#This Row],[report_date]])</f>
        <v>2024</v>
      </c>
      <c r="C3935" s="128">
        <f t="shared" si="180"/>
        <v>12</v>
      </c>
      <c r="D3935" s="136">
        <f t="shared" si="179"/>
        <v>51</v>
      </c>
      <c r="E3935" s="136">
        <f t="shared" si="181"/>
        <v>16</v>
      </c>
      <c r="F3935" s="137" t="s">
        <v>24</v>
      </c>
      <c r="G3935" s="128" t="str">
        <f>VLOOKUP(source[[#This Row],[lending_product_transform]],[3]Mapping!$B$4:$C$37,2,0)</f>
        <v>[Cake] - Cashloan</v>
      </c>
      <c r="H3935" s="128" t="str">
        <f>VLOOKUP(source[[#This Row],[lending_product_transform]],[3]Mapping!$B$3:$D$37,3,0)</f>
        <v>cashloan</v>
      </c>
      <c r="I3935" s="143">
        <v>3485129811</v>
      </c>
    </row>
    <row r="3936" spans="1:9" x14ac:dyDescent="0.2">
      <c r="A3936" s="134">
        <v>45642</v>
      </c>
      <c r="B3936" s="135">
        <f>YEAR(source[[#This Row],[report_date]])</f>
        <v>2024</v>
      </c>
      <c r="C3936" s="128">
        <f t="shared" si="180"/>
        <v>12</v>
      </c>
      <c r="D3936" s="136">
        <f t="shared" si="179"/>
        <v>51</v>
      </c>
      <c r="E3936" s="136">
        <f t="shared" si="181"/>
        <v>16</v>
      </c>
      <c r="F3936" s="137" t="s">
        <v>24</v>
      </c>
      <c r="G3936" s="128" t="str">
        <f>VLOOKUP(source[[#This Row],[lending_product_transform]],[3]Mapping!$B$4:$C$37,2,0)</f>
        <v>[Cake] - Cashloan</v>
      </c>
      <c r="H3936" s="128" t="str">
        <f>VLOOKUP(source[[#This Row],[lending_product_transform]],[3]Mapping!$B$3:$D$37,3,0)</f>
        <v>cashloan</v>
      </c>
      <c r="I3936" s="143">
        <v>5893500000</v>
      </c>
    </row>
    <row r="3937" spans="1:9" x14ac:dyDescent="0.2">
      <c r="A3937" s="134">
        <v>45642</v>
      </c>
      <c r="B3937" s="135">
        <f>YEAR(source[[#This Row],[report_date]])</f>
        <v>2024</v>
      </c>
      <c r="C3937" s="128">
        <f t="shared" si="180"/>
        <v>12</v>
      </c>
      <c r="D3937" s="136">
        <f t="shared" si="179"/>
        <v>51</v>
      </c>
      <c r="E3937" s="136">
        <f t="shared" si="181"/>
        <v>16</v>
      </c>
      <c r="F3937" s="137" t="s">
        <v>24</v>
      </c>
      <c r="G3937" s="128" t="str">
        <f>VLOOKUP(source[[#This Row],[lending_product_transform]],[3]Mapping!$B$4:$C$37,2,0)</f>
        <v>[Cake] - Cashloan</v>
      </c>
      <c r="H3937" s="128" t="str">
        <f>VLOOKUP(source[[#This Row],[lending_product_transform]],[3]Mapping!$B$3:$D$37,3,0)</f>
        <v>cashloan</v>
      </c>
      <c r="I3937" s="143">
        <v>393180000</v>
      </c>
    </row>
    <row r="3938" spans="1:9" x14ac:dyDescent="0.2">
      <c r="A3938" s="134">
        <v>45642</v>
      </c>
      <c r="B3938" s="135">
        <f>YEAR(source[[#This Row],[report_date]])</f>
        <v>2024</v>
      </c>
      <c r="C3938" s="128">
        <f t="shared" si="180"/>
        <v>12</v>
      </c>
      <c r="D3938" s="136">
        <f t="shared" si="179"/>
        <v>51</v>
      </c>
      <c r="E3938" s="136">
        <f t="shared" si="181"/>
        <v>16</v>
      </c>
      <c r="F3938" s="137" t="s">
        <v>24</v>
      </c>
      <c r="G3938" s="128" t="str">
        <f>VLOOKUP(source[[#This Row],[lending_product_transform]],[3]Mapping!$B$4:$C$37,2,0)</f>
        <v>[Cake] - Cashloan</v>
      </c>
      <c r="H3938" s="128" t="str">
        <f>VLOOKUP(source[[#This Row],[lending_product_transform]],[3]Mapping!$B$3:$D$37,3,0)</f>
        <v>cashloan</v>
      </c>
      <c r="I3938" s="143">
        <v>32000000</v>
      </c>
    </row>
    <row r="3939" spans="1:9" x14ac:dyDescent="0.2">
      <c r="A3939" s="134">
        <v>45642</v>
      </c>
      <c r="B3939" s="135">
        <f>YEAR(source[[#This Row],[report_date]])</f>
        <v>2024</v>
      </c>
      <c r="C3939" s="128">
        <f t="shared" si="180"/>
        <v>12</v>
      </c>
      <c r="D3939" s="136">
        <f t="shared" si="179"/>
        <v>51</v>
      </c>
      <c r="E3939" s="136">
        <f t="shared" si="181"/>
        <v>16</v>
      </c>
      <c r="F3939" s="137" t="s">
        <v>24</v>
      </c>
      <c r="G3939" s="128" t="str">
        <f>VLOOKUP(source[[#This Row],[lending_product_transform]],[3]Mapping!$B$4:$C$37,2,0)</f>
        <v>[Cake] - Cashloan</v>
      </c>
      <c r="H3939" s="128" t="str">
        <f>VLOOKUP(source[[#This Row],[lending_product_transform]],[3]Mapping!$B$3:$D$37,3,0)</f>
        <v>cashloan</v>
      </c>
      <c r="I3939" s="143">
        <v>0</v>
      </c>
    </row>
    <row r="3940" spans="1:9" x14ac:dyDescent="0.2">
      <c r="A3940" s="134">
        <v>45642</v>
      </c>
      <c r="B3940" s="135">
        <f>YEAR(source[[#This Row],[report_date]])</f>
        <v>2024</v>
      </c>
      <c r="C3940" s="128">
        <f t="shared" si="180"/>
        <v>12</v>
      </c>
      <c r="D3940" s="136">
        <f t="shared" si="179"/>
        <v>51</v>
      </c>
      <c r="E3940" s="136">
        <f t="shared" si="181"/>
        <v>16</v>
      </c>
      <c r="F3940" s="137" t="s">
        <v>24</v>
      </c>
      <c r="G3940" s="128" t="str">
        <f>VLOOKUP(source[[#This Row],[lending_product_transform]],[3]Mapping!$B$4:$C$37,2,0)</f>
        <v>[Cake] - Cashloan</v>
      </c>
      <c r="H3940" s="128" t="str">
        <f>VLOOKUP(source[[#This Row],[lending_product_transform]],[3]Mapping!$B$3:$D$37,3,0)</f>
        <v>cashloan</v>
      </c>
      <c r="I3940" s="143">
        <v>21000000</v>
      </c>
    </row>
    <row r="3941" spans="1:9" x14ac:dyDescent="0.2">
      <c r="A3941" s="134">
        <v>45642</v>
      </c>
      <c r="B3941" s="135">
        <f>YEAR(source[[#This Row],[report_date]])</f>
        <v>2024</v>
      </c>
      <c r="C3941" s="128">
        <f t="shared" si="180"/>
        <v>12</v>
      </c>
      <c r="D3941" s="136">
        <f t="shared" si="179"/>
        <v>51</v>
      </c>
      <c r="E3941" s="136">
        <f t="shared" si="181"/>
        <v>16</v>
      </c>
      <c r="F3941" s="137" t="s">
        <v>24</v>
      </c>
      <c r="G3941" s="128" t="str">
        <f>VLOOKUP(source[[#This Row],[lending_product_transform]],[3]Mapping!$B$4:$C$37,2,0)</f>
        <v>[Cake] - Cashloan</v>
      </c>
      <c r="H3941" s="128" t="str">
        <f>VLOOKUP(source[[#This Row],[lending_product_transform]],[3]Mapping!$B$3:$D$37,3,0)</f>
        <v>cashloan</v>
      </c>
      <c r="I3941" s="143">
        <v>0</v>
      </c>
    </row>
    <row r="3942" spans="1:9" x14ac:dyDescent="0.2">
      <c r="A3942" s="134">
        <v>45642</v>
      </c>
      <c r="B3942" s="135">
        <f>YEAR(source[[#This Row],[report_date]])</f>
        <v>2024</v>
      </c>
      <c r="C3942" s="128">
        <f t="shared" si="180"/>
        <v>12</v>
      </c>
      <c r="D3942" s="136">
        <f t="shared" si="179"/>
        <v>51</v>
      </c>
      <c r="E3942" s="136">
        <f t="shared" si="181"/>
        <v>16</v>
      </c>
      <c r="F3942" s="137" t="s">
        <v>24</v>
      </c>
      <c r="G3942" s="128" t="str">
        <f>VLOOKUP(source[[#This Row],[lending_product_transform]],[3]Mapping!$B$4:$C$37,2,0)</f>
        <v>[Cake] - Cashloan</v>
      </c>
      <c r="H3942" s="128" t="str">
        <f>VLOOKUP(source[[#This Row],[lending_product_transform]],[3]Mapping!$B$3:$D$37,3,0)</f>
        <v>cashloan</v>
      </c>
      <c r="I3942" s="143">
        <v>21400000</v>
      </c>
    </row>
    <row r="3943" spans="1:9" x14ac:dyDescent="0.2">
      <c r="A3943" s="134">
        <v>45642</v>
      </c>
      <c r="B3943" s="135">
        <f>YEAR(source[[#This Row],[report_date]])</f>
        <v>2024</v>
      </c>
      <c r="C3943" s="128">
        <f t="shared" si="180"/>
        <v>12</v>
      </c>
      <c r="D3943" s="136">
        <f t="shared" si="179"/>
        <v>51</v>
      </c>
      <c r="E3943" s="136">
        <f t="shared" si="181"/>
        <v>16</v>
      </c>
      <c r="F3943" s="137" t="s">
        <v>24</v>
      </c>
      <c r="G3943" s="128" t="str">
        <f>VLOOKUP(source[[#This Row],[lending_product_transform]],[3]Mapping!$B$4:$C$37,2,0)</f>
        <v>[Cake] - Cashloan</v>
      </c>
      <c r="H3943" s="128" t="str">
        <f>VLOOKUP(source[[#This Row],[lending_product_transform]],[3]Mapping!$B$3:$D$37,3,0)</f>
        <v>cashloan</v>
      </c>
      <c r="I3943" s="143">
        <v>68921486</v>
      </c>
    </row>
    <row r="3944" spans="1:9" x14ac:dyDescent="0.2">
      <c r="A3944" s="134">
        <v>45642</v>
      </c>
      <c r="B3944" s="135">
        <f>YEAR(source[[#This Row],[report_date]])</f>
        <v>2024</v>
      </c>
      <c r="C3944" s="128">
        <f t="shared" si="180"/>
        <v>12</v>
      </c>
      <c r="D3944" s="136">
        <f t="shared" si="179"/>
        <v>51</v>
      </c>
      <c r="E3944" s="136">
        <f t="shared" si="181"/>
        <v>16</v>
      </c>
      <c r="F3944" s="137" t="s">
        <v>24</v>
      </c>
      <c r="G3944" s="128" t="str">
        <f>VLOOKUP(source[[#This Row],[lending_product_transform]],[3]Mapping!$B$4:$C$37,2,0)</f>
        <v>[Cake] - Cashloan</v>
      </c>
      <c r="H3944" s="128" t="str">
        <f>VLOOKUP(source[[#This Row],[lending_product_transform]],[3]Mapping!$B$3:$D$37,3,0)</f>
        <v>cashloan</v>
      </c>
      <c r="I3944" s="143">
        <v>6444680000</v>
      </c>
    </row>
    <row r="3945" spans="1:9" x14ac:dyDescent="0.2">
      <c r="A3945" s="134">
        <v>45642</v>
      </c>
      <c r="B3945" s="135">
        <f>YEAR(source[[#This Row],[report_date]])</f>
        <v>2024</v>
      </c>
      <c r="C3945" s="128">
        <f t="shared" si="180"/>
        <v>12</v>
      </c>
      <c r="D3945" s="136">
        <f t="shared" si="179"/>
        <v>51</v>
      </c>
      <c r="E3945" s="136">
        <f t="shared" si="181"/>
        <v>16</v>
      </c>
      <c r="F3945" s="137" t="s">
        <v>24</v>
      </c>
      <c r="G3945" s="128" t="str">
        <f>VLOOKUP(source[[#This Row],[lending_product_transform]],[3]Mapping!$B$4:$C$37,2,0)</f>
        <v>[Cake] - Cashloan</v>
      </c>
      <c r="H3945" s="128" t="str">
        <f>VLOOKUP(source[[#This Row],[lending_product_transform]],[3]Mapping!$B$3:$D$37,3,0)</f>
        <v>cashloan</v>
      </c>
      <c r="I3945" s="143">
        <v>133997860</v>
      </c>
    </row>
    <row r="3946" spans="1:9" x14ac:dyDescent="0.2">
      <c r="A3946" s="134">
        <v>45642</v>
      </c>
      <c r="B3946" s="135">
        <f>YEAR(source[[#This Row],[report_date]])</f>
        <v>2024</v>
      </c>
      <c r="C3946" s="128">
        <f t="shared" si="180"/>
        <v>12</v>
      </c>
      <c r="D3946" s="136">
        <f t="shared" si="179"/>
        <v>51</v>
      </c>
      <c r="E3946" s="136">
        <f t="shared" si="181"/>
        <v>16</v>
      </c>
      <c r="F3946" s="137" t="s">
        <v>24</v>
      </c>
      <c r="G3946" s="128" t="str">
        <f>VLOOKUP(source[[#This Row],[lending_product_transform]],[3]Mapping!$B$4:$C$37,2,0)</f>
        <v>[Cake] - Cashloan</v>
      </c>
      <c r="H3946" s="128" t="str">
        <f>VLOOKUP(source[[#This Row],[lending_product_transform]],[3]Mapping!$B$3:$D$37,3,0)</f>
        <v>cashloan</v>
      </c>
      <c r="I3946" s="143">
        <v>30831837</v>
      </c>
    </row>
    <row r="3947" spans="1:9" x14ac:dyDescent="0.2">
      <c r="A3947" s="134">
        <v>45642</v>
      </c>
      <c r="B3947" s="135">
        <f>YEAR(source[[#This Row],[report_date]])</f>
        <v>2024</v>
      </c>
      <c r="C3947" s="128">
        <f t="shared" si="180"/>
        <v>12</v>
      </c>
      <c r="D3947" s="136">
        <f t="shared" si="179"/>
        <v>51</v>
      </c>
      <c r="E3947" s="136">
        <f t="shared" si="181"/>
        <v>16</v>
      </c>
      <c r="F3947" s="137" t="s">
        <v>24</v>
      </c>
      <c r="G3947" s="128" t="str">
        <f>VLOOKUP(source[[#This Row],[lending_product_transform]],[3]Mapping!$B$4:$C$37,2,0)</f>
        <v>[Cake] - Cashloan</v>
      </c>
      <c r="H3947" s="128" t="str">
        <f>VLOOKUP(source[[#This Row],[lending_product_transform]],[3]Mapping!$B$3:$D$37,3,0)</f>
        <v>cashloan</v>
      </c>
      <c r="I3947" s="143">
        <v>10000000</v>
      </c>
    </row>
    <row r="3948" spans="1:9" x14ac:dyDescent="0.2">
      <c r="A3948" s="134">
        <v>45643</v>
      </c>
      <c r="B3948" s="135">
        <f>YEAR(source[[#This Row],[report_date]])</f>
        <v>2024</v>
      </c>
      <c r="C3948" s="128">
        <f t="shared" si="180"/>
        <v>12</v>
      </c>
      <c r="D3948" s="136">
        <f t="shared" si="179"/>
        <v>51</v>
      </c>
      <c r="E3948" s="136">
        <f t="shared" si="181"/>
        <v>17</v>
      </c>
      <c r="F3948" s="137" t="s">
        <v>24</v>
      </c>
      <c r="G3948" s="128" t="str">
        <f>VLOOKUP(source[[#This Row],[lending_product_transform]],[3]Mapping!$B$4:$C$37,2,0)</f>
        <v>[Cake] - Cashloan</v>
      </c>
      <c r="H3948" s="128" t="str">
        <f>VLOOKUP(source[[#This Row],[lending_product_transform]],[3]Mapping!$B$3:$D$37,3,0)</f>
        <v>cashloan</v>
      </c>
      <c r="I3948" s="143">
        <v>3340152981</v>
      </c>
    </row>
    <row r="3949" spans="1:9" x14ac:dyDescent="0.2">
      <c r="A3949" s="134">
        <v>45643</v>
      </c>
      <c r="B3949" s="135">
        <f>YEAR(source[[#This Row],[report_date]])</f>
        <v>2024</v>
      </c>
      <c r="C3949" s="128">
        <f t="shared" si="180"/>
        <v>12</v>
      </c>
      <c r="D3949" s="136">
        <f t="shared" si="179"/>
        <v>51</v>
      </c>
      <c r="E3949" s="136">
        <f t="shared" si="181"/>
        <v>17</v>
      </c>
      <c r="F3949" s="137" t="s">
        <v>24</v>
      </c>
      <c r="G3949" s="128" t="str">
        <f>VLOOKUP(source[[#This Row],[lending_product_transform]],[3]Mapping!$B$4:$C$37,2,0)</f>
        <v>[Cake] - Cashloan</v>
      </c>
      <c r="H3949" s="128" t="str">
        <f>VLOOKUP(source[[#This Row],[lending_product_transform]],[3]Mapping!$B$3:$D$37,3,0)</f>
        <v>cashloan</v>
      </c>
      <c r="I3949" s="143">
        <v>127235371</v>
      </c>
    </row>
    <row r="3950" spans="1:9" x14ac:dyDescent="0.2">
      <c r="A3950" s="134">
        <v>45643</v>
      </c>
      <c r="B3950" s="135">
        <f>YEAR(source[[#This Row],[report_date]])</f>
        <v>2024</v>
      </c>
      <c r="C3950" s="128">
        <f t="shared" si="180"/>
        <v>12</v>
      </c>
      <c r="D3950" s="136">
        <f t="shared" si="179"/>
        <v>51</v>
      </c>
      <c r="E3950" s="136">
        <f t="shared" si="181"/>
        <v>17</v>
      </c>
      <c r="F3950" s="137" t="s">
        <v>24</v>
      </c>
      <c r="G3950" s="128" t="str">
        <f>VLOOKUP(source[[#This Row],[lending_product_transform]],[3]Mapping!$B$4:$C$37,2,0)</f>
        <v>[Cake] - Cashloan</v>
      </c>
      <c r="H3950" s="128" t="str">
        <f>VLOOKUP(source[[#This Row],[lending_product_transform]],[3]Mapping!$B$3:$D$37,3,0)</f>
        <v>cashloan</v>
      </c>
      <c r="I3950" s="143">
        <v>0</v>
      </c>
    </row>
    <row r="3951" spans="1:9" x14ac:dyDescent="0.2">
      <c r="A3951" s="134">
        <v>45643</v>
      </c>
      <c r="B3951" s="135">
        <f>YEAR(source[[#This Row],[report_date]])</f>
        <v>2024</v>
      </c>
      <c r="C3951" s="128">
        <f t="shared" si="180"/>
        <v>12</v>
      </c>
      <c r="D3951" s="136">
        <f t="shared" si="179"/>
        <v>51</v>
      </c>
      <c r="E3951" s="136">
        <f t="shared" si="181"/>
        <v>17</v>
      </c>
      <c r="F3951" s="137" t="s">
        <v>24</v>
      </c>
      <c r="G3951" s="128" t="str">
        <f>VLOOKUP(source[[#This Row],[lending_product_transform]],[3]Mapping!$B$4:$C$37,2,0)</f>
        <v>[Cake] - Cashloan</v>
      </c>
      <c r="H3951" s="128" t="str">
        <f>VLOOKUP(source[[#This Row],[lending_product_transform]],[3]Mapping!$B$3:$D$37,3,0)</f>
        <v>cashloan</v>
      </c>
      <c r="I3951" s="143">
        <v>0</v>
      </c>
    </row>
    <row r="3952" spans="1:9" x14ac:dyDescent="0.2">
      <c r="A3952" s="134">
        <v>45643</v>
      </c>
      <c r="B3952" s="135">
        <f>YEAR(source[[#This Row],[report_date]])</f>
        <v>2024</v>
      </c>
      <c r="C3952" s="128">
        <f t="shared" si="180"/>
        <v>12</v>
      </c>
      <c r="D3952" s="136">
        <f t="shared" si="179"/>
        <v>51</v>
      </c>
      <c r="E3952" s="136">
        <f t="shared" si="181"/>
        <v>17</v>
      </c>
      <c r="F3952" s="137" t="s">
        <v>24</v>
      </c>
      <c r="G3952" s="128" t="str">
        <f>VLOOKUP(source[[#This Row],[lending_product_transform]],[3]Mapping!$B$4:$C$37,2,0)</f>
        <v>[Cake] - Cashloan</v>
      </c>
      <c r="H3952" s="128" t="str">
        <f>VLOOKUP(source[[#This Row],[lending_product_transform]],[3]Mapping!$B$3:$D$37,3,0)</f>
        <v>cashloan</v>
      </c>
      <c r="I3952" s="143">
        <v>0</v>
      </c>
    </row>
    <row r="3953" spans="1:9" x14ac:dyDescent="0.2">
      <c r="A3953" s="134">
        <v>45643</v>
      </c>
      <c r="B3953" s="135">
        <f>YEAR(source[[#This Row],[report_date]])</f>
        <v>2024</v>
      </c>
      <c r="C3953" s="128">
        <f t="shared" si="180"/>
        <v>12</v>
      </c>
      <c r="D3953" s="136">
        <f t="shared" si="179"/>
        <v>51</v>
      </c>
      <c r="E3953" s="136">
        <f t="shared" si="181"/>
        <v>17</v>
      </c>
      <c r="F3953" s="137" t="s">
        <v>24</v>
      </c>
      <c r="G3953" s="128" t="str">
        <f>VLOOKUP(source[[#This Row],[lending_product_transform]],[3]Mapping!$B$4:$C$37,2,0)</f>
        <v>[Cake] - Cashloan</v>
      </c>
      <c r="H3953" s="128" t="str">
        <f>VLOOKUP(source[[#This Row],[lending_product_transform]],[3]Mapping!$B$3:$D$37,3,0)</f>
        <v>cashloan</v>
      </c>
      <c r="I3953" s="143">
        <v>75829660</v>
      </c>
    </row>
    <row r="3954" spans="1:9" x14ac:dyDescent="0.2">
      <c r="A3954" s="134">
        <v>45643</v>
      </c>
      <c r="B3954" s="135">
        <f>YEAR(source[[#This Row],[report_date]])</f>
        <v>2024</v>
      </c>
      <c r="C3954" s="128">
        <f t="shared" si="180"/>
        <v>12</v>
      </c>
      <c r="D3954" s="136">
        <f t="shared" si="179"/>
        <v>51</v>
      </c>
      <c r="E3954" s="136">
        <f t="shared" si="181"/>
        <v>17</v>
      </c>
      <c r="F3954" s="137" t="s">
        <v>24</v>
      </c>
      <c r="G3954" s="128" t="str">
        <f>VLOOKUP(source[[#This Row],[lending_product_transform]],[3]Mapping!$B$4:$C$37,2,0)</f>
        <v>[Cake] - Cashloan</v>
      </c>
      <c r="H3954" s="128" t="str">
        <f>VLOOKUP(source[[#This Row],[lending_product_transform]],[3]Mapping!$B$3:$D$37,3,0)</f>
        <v>cashloan</v>
      </c>
      <c r="I3954" s="143">
        <v>67000000</v>
      </c>
    </row>
    <row r="3955" spans="1:9" x14ac:dyDescent="0.2">
      <c r="A3955" s="134">
        <v>45643</v>
      </c>
      <c r="B3955" s="135">
        <f>YEAR(source[[#This Row],[report_date]])</f>
        <v>2024</v>
      </c>
      <c r="C3955" s="128">
        <f t="shared" si="180"/>
        <v>12</v>
      </c>
      <c r="D3955" s="136">
        <f t="shared" si="179"/>
        <v>51</v>
      </c>
      <c r="E3955" s="136">
        <f t="shared" si="181"/>
        <v>17</v>
      </c>
      <c r="F3955" s="137" t="s">
        <v>24</v>
      </c>
      <c r="G3955" s="128" t="str">
        <f>VLOOKUP(source[[#This Row],[lending_product_transform]],[3]Mapping!$B$4:$C$37,2,0)</f>
        <v>[Cake] - Cashloan</v>
      </c>
      <c r="H3955" s="128" t="str">
        <f>VLOOKUP(source[[#This Row],[lending_product_transform]],[3]Mapping!$B$3:$D$37,3,0)</f>
        <v>cashloan</v>
      </c>
      <c r="I3955" s="143">
        <v>6460390000</v>
      </c>
    </row>
    <row r="3956" spans="1:9" x14ac:dyDescent="0.2">
      <c r="A3956" s="134">
        <v>45643</v>
      </c>
      <c r="B3956" s="135">
        <f>YEAR(source[[#This Row],[report_date]])</f>
        <v>2024</v>
      </c>
      <c r="C3956" s="128">
        <f t="shared" si="180"/>
        <v>12</v>
      </c>
      <c r="D3956" s="136">
        <f t="shared" si="179"/>
        <v>51</v>
      </c>
      <c r="E3956" s="136">
        <f t="shared" si="181"/>
        <v>17</v>
      </c>
      <c r="F3956" s="137" t="s">
        <v>24</v>
      </c>
      <c r="G3956" s="128" t="str">
        <f>VLOOKUP(source[[#This Row],[lending_product_transform]],[3]Mapping!$B$4:$C$37,2,0)</f>
        <v>[Cake] - Cashloan</v>
      </c>
      <c r="H3956" s="128" t="str">
        <f>VLOOKUP(source[[#This Row],[lending_product_transform]],[3]Mapping!$B$3:$D$37,3,0)</f>
        <v>cashloan</v>
      </c>
      <c r="I3956" s="143">
        <v>390170000</v>
      </c>
    </row>
    <row r="3957" spans="1:9" x14ac:dyDescent="0.2">
      <c r="A3957" s="134">
        <v>45643</v>
      </c>
      <c r="B3957" s="135">
        <f>YEAR(source[[#This Row],[report_date]])</f>
        <v>2024</v>
      </c>
      <c r="C3957" s="128">
        <f t="shared" si="180"/>
        <v>12</v>
      </c>
      <c r="D3957" s="136">
        <f t="shared" si="179"/>
        <v>51</v>
      </c>
      <c r="E3957" s="136">
        <f t="shared" si="181"/>
        <v>17</v>
      </c>
      <c r="F3957" s="137" t="s">
        <v>24</v>
      </c>
      <c r="G3957" s="128" t="str">
        <f>VLOOKUP(source[[#This Row],[lending_product_transform]],[3]Mapping!$B$4:$C$37,2,0)</f>
        <v>[Cake] - Cashloan</v>
      </c>
      <c r="H3957" s="128" t="str">
        <f>VLOOKUP(source[[#This Row],[lending_product_transform]],[3]Mapping!$B$3:$D$37,3,0)</f>
        <v>cashloan</v>
      </c>
      <c r="I3957" s="143">
        <v>41730000</v>
      </c>
    </row>
    <row r="3958" spans="1:9" x14ac:dyDescent="0.2">
      <c r="A3958" s="134">
        <v>45643</v>
      </c>
      <c r="B3958" s="135">
        <f>YEAR(source[[#This Row],[report_date]])</f>
        <v>2024</v>
      </c>
      <c r="C3958" s="128">
        <f t="shared" si="180"/>
        <v>12</v>
      </c>
      <c r="D3958" s="136">
        <f t="shared" si="179"/>
        <v>51</v>
      </c>
      <c r="E3958" s="136">
        <f t="shared" si="181"/>
        <v>17</v>
      </c>
      <c r="F3958" s="137" t="s">
        <v>24</v>
      </c>
      <c r="G3958" s="128" t="str">
        <f>VLOOKUP(source[[#This Row],[lending_product_transform]],[3]Mapping!$B$4:$C$37,2,0)</f>
        <v>[Cake] - Cashloan</v>
      </c>
      <c r="H3958" s="128" t="str">
        <f>VLOOKUP(source[[#This Row],[lending_product_transform]],[3]Mapping!$B$3:$D$37,3,0)</f>
        <v>cashloan</v>
      </c>
      <c r="I3958" s="143">
        <v>6101160000</v>
      </c>
    </row>
    <row r="3959" spans="1:9" x14ac:dyDescent="0.2">
      <c r="A3959" s="134">
        <v>45643</v>
      </c>
      <c r="B3959" s="135">
        <f>YEAR(source[[#This Row],[report_date]])</f>
        <v>2024</v>
      </c>
      <c r="C3959" s="128">
        <f t="shared" si="180"/>
        <v>12</v>
      </c>
      <c r="D3959" s="136">
        <f t="shared" si="179"/>
        <v>51</v>
      </c>
      <c r="E3959" s="136">
        <f t="shared" si="181"/>
        <v>17</v>
      </c>
      <c r="F3959" s="137" t="s">
        <v>24</v>
      </c>
      <c r="G3959" s="128" t="str">
        <f>VLOOKUP(source[[#This Row],[lending_product_transform]],[3]Mapping!$B$4:$C$37,2,0)</f>
        <v>[Cake] - Cashloan</v>
      </c>
      <c r="H3959" s="128" t="str">
        <f>VLOOKUP(source[[#This Row],[lending_product_transform]],[3]Mapping!$B$3:$D$37,3,0)</f>
        <v>cashloan</v>
      </c>
      <c r="I3959" s="143">
        <v>283011821</v>
      </c>
    </row>
    <row r="3960" spans="1:9" x14ac:dyDescent="0.2">
      <c r="A3960" s="134">
        <v>45643</v>
      </c>
      <c r="B3960" s="135">
        <f>YEAR(source[[#This Row],[report_date]])</f>
        <v>2024</v>
      </c>
      <c r="C3960" s="128">
        <f t="shared" si="180"/>
        <v>12</v>
      </c>
      <c r="D3960" s="136">
        <f t="shared" si="179"/>
        <v>51</v>
      </c>
      <c r="E3960" s="136">
        <f t="shared" si="181"/>
        <v>17</v>
      </c>
      <c r="F3960" s="137" t="s">
        <v>24</v>
      </c>
      <c r="G3960" s="128" t="str">
        <f>VLOOKUP(source[[#This Row],[lending_product_transform]],[3]Mapping!$B$4:$C$37,2,0)</f>
        <v>[Cake] - Cashloan</v>
      </c>
      <c r="H3960" s="128" t="str">
        <f>VLOOKUP(source[[#This Row],[lending_product_transform]],[3]Mapping!$B$3:$D$37,3,0)</f>
        <v>cashloan</v>
      </c>
      <c r="I3960" s="143">
        <v>12990100</v>
      </c>
    </row>
    <row r="3961" spans="1:9" x14ac:dyDescent="0.2">
      <c r="A3961" s="134">
        <v>45643</v>
      </c>
      <c r="B3961" s="135">
        <f>YEAR(source[[#This Row],[report_date]])</f>
        <v>2024</v>
      </c>
      <c r="C3961" s="128">
        <f t="shared" si="180"/>
        <v>12</v>
      </c>
      <c r="D3961" s="136">
        <f t="shared" si="179"/>
        <v>51</v>
      </c>
      <c r="E3961" s="136">
        <f t="shared" si="181"/>
        <v>17</v>
      </c>
      <c r="F3961" s="137" t="s">
        <v>24</v>
      </c>
      <c r="G3961" s="128" t="str">
        <f>VLOOKUP(source[[#This Row],[lending_product_transform]],[3]Mapping!$B$4:$C$37,2,0)</f>
        <v>[Cake] - Cashloan</v>
      </c>
      <c r="H3961" s="128" t="str">
        <f>VLOOKUP(source[[#This Row],[lending_product_transform]],[3]Mapping!$B$3:$D$37,3,0)</f>
        <v>cashloan</v>
      </c>
      <c r="I3961" s="143">
        <v>44100000</v>
      </c>
    </row>
    <row r="3962" spans="1:9" x14ac:dyDescent="0.2">
      <c r="A3962" s="134">
        <v>45643</v>
      </c>
      <c r="B3962" s="135">
        <f>YEAR(source[[#This Row],[report_date]])</f>
        <v>2024</v>
      </c>
      <c r="C3962" s="128">
        <f t="shared" si="180"/>
        <v>12</v>
      </c>
      <c r="D3962" s="136">
        <f t="shared" si="179"/>
        <v>51</v>
      </c>
      <c r="E3962" s="136">
        <f t="shared" si="181"/>
        <v>17</v>
      </c>
      <c r="F3962" s="137" t="s">
        <v>24</v>
      </c>
      <c r="G3962" s="128" t="str">
        <f>VLOOKUP(source[[#This Row],[lending_product_transform]],[3]Mapping!$B$4:$C$37,2,0)</f>
        <v>[Cake] - Cashloan</v>
      </c>
      <c r="H3962" s="128" t="str">
        <f>VLOOKUP(source[[#This Row],[lending_product_transform]],[3]Mapping!$B$3:$D$37,3,0)</f>
        <v>cashloan</v>
      </c>
      <c r="I3962" s="143">
        <v>0</v>
      </c>
    </row>
    <row r="3963" spans="1:9" x14ac:dyDescent="0.2">
      <c r="A3963" s="134">
        <v>45643</v>
      </c>
      <c r="B3963" s="135">
        <f>YEAR(source[[#This Row],[report_date]])</f>
        <v>2024</v>
      </c>
      <c r="C3963" s="128">
        <f t="shared" si="180"/>
        <v>12</v>
      </c>
      <c r="D3963" s="136">
        <f t="shared" si="179"/>
        <v>51</v>
      </c>
      <c r="E3963" s="136">
        <f t="shared" si="181"/>
        <v>17</v>
      </c>
      <c r="F3963" s="137" t="s">
        <v>24</v>
      </c>
      <c r="G3963" s="128" t="str">
        <f>VLOOKUP(source[[#This Row],[lending_product_transform]],[3]Mapping!$B$4:$C$37,2,0)</f>
        <v>[Cake] - Cashloan</v>
      </c>
      <c r="H3963" s="128" t="str">
        <f>VLOOKUP(source[[#This Row],[lending_product_transform]],[3]Mapping!$B$3:$D$37,3,0)</f>
        <v>cashloan</v>
      </c>
      <c r="I3963" s="143">
        <v>0</v>
      </c>
    </row>
    <row r="3964" spans="1:9" x14ac:dyDescent="0.2">
      <c r="A3964" s="134">
        <v>45643</v>
      </c>
      <c r="B3964" s="135">
        <f>YEAR(source[[#This Row],[report_date]])</f>
        <v>2024</v>
      </c>
      <c r="C3964" s="128">
        <f t="shared" si="180"/>
        <v>12</v>
      </c>
      <c r="D3964" s="136">
        <f t="shared" si="179"/>
        <v>51</v>
      </c>
      <c r="E3964" s="136">
        <f t="shared" si="181"/>
        <v>17</v>
      </c>
      <c r="F3964" s="137" t="s">
        <v>24</v>
      </c>
      <c r="G3964" s="128" t="str">
        <f>VLOOKUP(source[[#This Row],[lending_product_transform]],[3]Mapping!$B$4:$C$37,2,0)</f>
        <v>[Cake] - Cashloan</v>
      </c>
      <c r="H3964" s="128" t="str">
        <f>VLOOKUP(source[[#This Row],[lending_product_transform]],[3]Mapping!$B$3:$D$37,3,0)</f>
        <v>cashloan</v>
      </c>
      <c r="I3964" s="143">
        <v>30700000</v>
      </c>
    </row>
    <row r="3965" spans="1:9" x14ac:dyDescent="0.2">
      <c r="A3965" s="134">
        <v>45643</v>
      </c>
      <c r="B3965" s="135">
        <f>YEAR(source[[#This Row],[report_date]])</f>
        <v>2024</v>
      </c>
      <c r="C3965" s="128">
        <f t="shared" si="180"/>
        <v>12</v>
      </c>
      <c r="D3965" s="136">
        <f t="shared" si="179"/>
        <v>51</v>
      </c>
      <c r="E3965" s="136">
        <f t="shared" si="181"/>
        <v>17</v>
      </c>
      <c r="F3965" s="137" t="s">
        <v>24</v>
      </c>
      <c r="G3965" s="128" t="str">
        <f>VLOOKUP(source[[#This Row],[lending_product_transform]],[3]Mapping!$B$4:$C$37,2,0)</f>
        <v>[Cake] - Cashloan</v>
      </c>
      <c r="H3965" s="128" t="str">
        <f>VLOOKUP(source[[#This Row],[lending_product_transform]],[3]Mapping!$B$3:$D$37,3,0)</f>
        <v>cashloan</v>
      </c>
      <c r="I3965" s="143">
        <v>5705000000</v>
      </c>
    </row>
    <row r="3966" spans="1:9" x14ac:dyDescent="0.2">
      <c r="A3966" s="134">
        <v>45644</v>
      </c>
      <c r="B3966" s="135">
        <f>YEAR(source[[#This Row],[report_date]])</f>
        <v>2024</v>
      </c>
      <c r="C3966" s="128">
        <f t="shared" si="180"/>
        <v>12</v>
      </c>
      <c r="D3966" s="136">
        <f t="shared" si="179"/>
        <v>51</v>
      </c>
      <c r="E3966" s="136">
        <f t="shared" si="181"/>
        <v>18</v>
      </c>
      <c r="F3966" s="137" t="s">
        <v>24</v>
      </c>
      <c r="G3966" s="128" t="str">
        <f>VLOOKUP(source[[#This Row],[lending_product_transform]],[3]Mapping!$B$4:$C$37,2,0)</f>
        <v>[Cake] - Cashloan</v>
      </c>
      <c r="H3966" s="128" t="str">
        <f>VLOOKUP(source[[#This Row],[lending_product_transform]],[3]Mapping!$B$3:$D$37,3,0)</f>
        <v>cashloan</v>
      </c>
      <c r="I3966" s="143">
        <v>116262854</v>
      </c>
    </row>
    <row r="3967" spans="1:9" x14ac:dyDescent="0.2">
      <c r="A3967" s="134">
        <v>45644</v>
      </c>
      <c r="B3967" s="135">
        <f>YEAR(source[[#This Row],[report_date]])</f>
        <v>2024</v>
      </c>
      <c r="C3967" s="128">
        <f t="shared" si="180"/>
        <v>12</v>
      </c>
      <c r="D3967" s="136">
        <f t="shared" si="179"/>
        <v>51</v>
      </c>
      <c r="E3967" s="136">
        <f t="shared" si="181"/>
        <v>18</v>
      </c>
      <c r="F3967" s="137" t="s">
        <v>24</v>
      </c>
      <c r="G3967" s="128" t="str">
        <f>VLOOKUP(source[[#This Row],[lending_product_transform]],[3]Mapping!$B$4:$C$37,2,0)</f>
        <v>[Cake] - Cashloan</v>
      </c>
      <c r="H3967" s="128" t="str">
        <f>VLOOKUP(source[[#This Row],[lending_product_transform]],[3]Mapping!$B$3:$D$37,3,0)</f>
        <v>cashloan</v>
      </c>
      <c r="I3967" s="143">
        <v>0</v>
      </c>
    </row>
    <row r="3968" spans="1:9" x14ac:dyDescent="0.2">
      <c r="A3968" s="134">
        <v>45644</v>
      </c>
      <c r="B3968" s="135">
        <f>YEAR(source[[#This Row],[report_date]])</f>
        <v>2024</v>
      </c>
      <c r="C3968" s="128">
        <f t="shared" si="180"/>
        <v>12</v>
      </c>
      <c r="D3968" s="136">
        <f t="shared" si="179"/>
        <v>51</v>
      </c>
      <c r="E3968" s="136">
        <f t="shared" si="181"/>
        <v>18</v>
      </c>
      <c r="F3968" s="137" t="s">
        <v>24</v>
      </c>
      <c r="G3968" s="128" t="str">
        <f>VLOOKUP(source[[#This Row],[lending_product_transform]],[3]Mapping!$B$4:$C$37,2,0)</f>
        <v>[Cake] - Cashloan</v>
      </c>
      <c r="H3968" s="128" t="str">
        <f>VLOOKUP(source[[#This Row],[lending_product_transform]],[3]Mapping!$B$3:$D$37,3,0)</f>
        <v>cashloan</v>
      </c>
      <c r="I3968" s="143">
        <v>5494920000</v>
      </c>
    </row>
    <row r="3969" spans="1:9" x14ac:dyDescent="0.2">
      <c r="A3969" s="134">
        <v>45644</v>
      </c>
      <c r="B3969" s="135">
        <f>YEAR(source[[#This Row],[report_date]])</f>
        <v>2024</v>
      </c>
      <c r="C3969" s="128">
        <f t="shared" si="180"/>
        <v>12</v>
      </c>
      <c r="D3969" s="136">
        <f t="shared" si="179"/>
        <v>51</v>
      </c>
      <c r="E3969" s="136">
        <f t="shared" si="181"/>
        <v>18</v>
      </c>
      <c r="F3969" s="137" t="s">
        <v>24</v>
      </c>
      <c r="G3969" s="128" t="str">
        <f>VLOOKUP(source[[#This Row],[lending_product_transform]],[3]Mapping!$B$4:$C$37,2,0)</f>
        <v>[Cake] - Cashloan</v>
      </c>
      <c r="H3969" s="128" t="str">
        <f>VLOOKUP(source[[#This Row],[lending_product_transform]],[3]Mapping!$B$3:$D$37,3,0)</f>
        <v>cashloan</v>
      </c>
      <c r="I3969" s="143">
        <v>24000000</v>
      </c>
    </row>
    <row r="3970" spans="1:9" x14ac:dyDescent="0.2">
      <c r="A3970" s="134">
        <v>45644</v>
      </c>
      <c r="B3970" s="135">
        <f>YEAR(source[[#This Row],[report_date]])</f>
        <v>2024</v>
      </c>
      <c r="C3970" s="128">
        <f t="shared" si="180"/>
        <v>12</v>
      </c>
      <c r="D3970" s="136">
        <f t="shared" si="179"/>
        <v>51</v>
      </c>
      <c r="E3970" s="136">
        <f t="shared" si="181"/>
        <v>18</v>
      </c>
      <c r="F3970" s="137" t="s">
        <v>24</v>
      </c>
      <c r="G3970" s="128" t="str">
        <f>VLOOKUP(source[[#This Row],[lending_product_transform]],[3]Mapping!$B$4:$C$37,2,0)</f>
        <v>[Cake] - Cashloan</v>
      </c>
      <c r="H3970" s="128" t="str">
        <f>VLOOKUP(source[[#This Row],[lending_product_transform]],[3]Mapping!$B$3:$D$37,3,0)</f>
        <v>cashloan</v>
      </c>
      <c r="I3970" s="143">
        <v>263569385</v>
      </c>
    </row>
    <row r="3971" spans="1:9" x14ac:dyDescent="0.2">
      <c r="A3971" s="134">
        <v>45644</v>
      </c>
      <c r="B3971" s="135">
        <f>YEAR(source[[#This Row],[report_date]])</f>
        <v>2024</v>
      </c>
      <c r="C3971" s="128">
        <f t="shared" si="180"/>
        <v>12</v>
      </c>
      <c r="D3971" s="136">
        <f t="shared" ref="D3971:D4034" si="182">WEEKNUM(A3971,2)</f>
        <v>51</v>
      </c>
      <c r="E3971" s="136">
        <f t="shared" si="181"/>
        <v>18</v>
      </c>
      <c r="F3971" s="137" t="s">
        <v>24</v>
      </c>
      <c r="G3971" s="128" t="str">
        <f>VLOOKUP(source[[#This Row],[lending_product_transform]],[3]Mapping!$B$4:$C$37,2,0)</f>
        <v>[Cake] - Cashloan</v>
      </c>
      <c r="H3971" s="128" t="str">
        <f>VLOOKUP(source[[#This Row],[lending_product_transform]],[3]Mapping!$B$3:$D$37,3,0)</f>
        <v>cashloan</v>
      </c>
      <c r="I3971" s="143">
        <v>5065000000</v>
      </c>
    </row>
    <row r="3972" spans="1:9" x14ac:dyDescent="0.2">
      <c r="A3972" s="134">
        <v>45644</v>
      </c>
      <c r="B3972" s="135">
        <f>YEAR(source[[#This Row],[report_date]])</f>
        <v>2024</v>
      </c>
      <c r="C3972" s="128">
        <f t="shared" si="180"/>
        <v>12</v>
      </c>
      <c r="D3972" s="136">
        <f t="shared" si="182"/>
        <v>51</v>
      </c>
      <c r="E3972" s="136">
        <f t="shared" si="181"/>
        <v>18</v>
      </c>
      <c r="F3972" s="137" t="s">
        <v>24</v>
      </c>
      <c r="G3972" s="128" t="str">
        <f>VLOOKUP(source[[#This Row],[lending_product_transform]],[3]Mapping!$B$4:$C$37,2,0)</f>
        <v>[Cake] - Cashloan</v>
      </c>
      <c r="H3972" s="128" t="str">
        <f>VLOOKUP(source[[#This Row],[lending_product_transform]],[3]Mapping!$B$3:$D$37,3,0)</f>
        <v>cashloan</v>
      </c>
      <c r="I3972" s="143">
        <v>5923710000</v>
      </c>
    </row>
    <row r="3973" spans="1:9" x14ac:dyDescent="0.2">
      <c r="A3973" s="134">
        <v>45644</v>
      </c>
      <c r="B3973" s="135">
        <f>YEAR(source[[#This Row],[report_date]])</f>
        <v>2024</v>
      </c>
      <c r="C3973" s="128">
        <f t="shared" si="180"/>
        <v>12</v>
      </c>
      <c r="D3973" s="136">
        <f t="shared" si="182"/>
        <v>51</v>
      </c>
      <c r="E3973" s="136">
        <f t="shared" si="181"/>
        <v>18</v>
      </c>
      <c r="F3973" s="137" t="s">
        <v>24</v>
      </c>
      <c r="G3973" s="128" t="str">
        <f>VLOOKUP(source[[#This Row],[lending_product_transform]],[3]Mapping!$B$4:$C$37,2,0)</f>
        <v>[Cake] - Cashloan</v>
      </c>
      <c r="H3973" s="128" t="str">
        <f>VLOOKUP(source[[#This Row],[lending_product_transform]],[3]Mapping!$B$3:$D$37,3,0)</f>
        <v>cashloan</v>
      </c>
      <c r="I3973" s="143">
        <v>21000000</v>
      </c>
    </row>
    <row r="3974" spans="1:9" x14ac:dyDescent="0.2">
      <c r="A3974" s="134">
        <v>45644</v>
      </c>
      <c r="B3974" s="135">
        <f>YEAR(source[[#This Row],[report_date]])</f>
        <v>2024</v>
      </c>
      <c r="C3974" s="128">
        <f t="shared" si="180"/>
        <v>12</v>
      </c>
      <c r="D3974" s="136">
        <f t="shared" si="182"/>
        <v>51</v>
      </c>
      <c r="E3974" s="136">
        <f t="shared" si="181"/>
        <v>18</v>
      </c>
      <c r="F3974" s="137" t="s">
        <v>24</v>
      </c>
      <c r="G3974" s="128" t="str">
        <f>VLOOKUP(source[[#This Row],[lending_product_transform]],[3]Mapping!$B$4:$C$37,2,0)</f>
        <v>[Cake] - Cashloan</v>
      </c>
      <c r="H3974" s="128" t="str">
        <f>VLOOKUP(source[[#This Row],[lending_product_transform]],[3]Mapping!$B$3:$D$37,3,0)</f>
        <v>cashloan</v>
      </c>
      <c r="I3974" s="143">
        <v>0</v>
      </c>
    </row>
    <row r="3975" spans="1:9" x14ac:dyDescent="0.2">
      <c r="A3975" s="134">
        <v>45644</v>
      </c>
      <c r="B3975" s="135">
        <f>YEAR(source[[#This Row],[report_date]])</f>
        <v>2024</v>
      </c>
      <c r="C3975" s="128">
        <f t="shared" si="180"/>
        <v>12</v>
      </c>
      <c r="D3975" s="136">
        <f t="shared" si="182"/>
        <v>51</v>
      </c>
      <c r="E3975" s="136">
        <f t="shared" si="181"/>
        <v>18</v>
      </c>
      <c r="F3975" s="137" t="s">
        <v>24</v>
      </c>
      <c r="G3975" s="128" t="str">
        <f>VLOOKUP(source[[#This Row],[lending_product_transform]],[3]Mapping!$B$4:$C$37,2,0)</f>
        <v>[Cake] - Cashloan</v>
      </c>
      <c r="H3975" s="128" t="str">
        <f>VLOOKUP(source[[#This Row],[lending_product_transform]],[3]Mapping!$B$3:$D$37,3,0)</f>
        <v>cashloan</v>
      </c>
      <c r="I3975" s="143">
        <v>395580000</v>
      </c>
    </row>
    <row r="3976" spans="1:9" x14ac:dyDescent="0.2">
      <c r="A3976" s="134">
        <v>45644</v>
      </c>
      <c r="B3976" s="135">
        <f>YEAR(source[[#This Row],[report_date]])</f>
        <v>2024</v>
      </c>
      <c r="C3976" s="128">
        <f t="shared" si="180"/>
        <v>12</v>
      </c>
      <c r="D3976" s="136">
        <f t="shared" si="182"/>
        <v>51</v>
      </c>
      <c r="E3976" s="136">
        <f t="shared" si="181"/>
        <v>18</v>
      </c>
      <c r="F3976" s="137" t="s">
        <v>24</v>
      </c>
      <c r="G3976" s="128" t="str">
        <f>VLOOKUP(source[[#This Row],[lending_product_transform]],[3]Mapping!$B$4:$C$37,2,0)</f>
        <v>[Cake] - Cashloan</v>
      </c>
      <c r="H3976" s="128" t="str">
        <f>VLOOKUP(source[[#This Row],[lending_product_transform]],[3]Mapping!$B$3:$D$37,3,0)</f>
        <v>cashloan</v>
      </c>
      <c r="I3976" s="143">
        <v>0</v>
      </c>
    </row>
    <row r="3977" spans="1:9" x14ac:dyDescent="0.2">
      <c r="A3977" s="134">
        <v>45644</v>
      </c>
      <c r="B3977" s="135">
        <f>YEAR(source[[#This Row],[report_date]])</f>
        <v>2024</v>
      </c>
      <c r="C3977" s="128">
        <f t="shared" si="180"/>
        <v>12</v>
      </c>
      <c r="D3977" s="136">
        <f t="shared" si="182"/>
        <v>51</v>
      </c>
      <c r="E3977" s="136">
        <f t="shared" si="181"/>
        <v>18</v>
      </c>
      <c r="F3977" s="137" t="s">
        <v>24</v>
      </c>
      <c r="G3977" s="128" t="str">
        <f>VLOOKUP(source[[#This Row],[lending_product_transform]],[3]Mapping!$B$4:$C$37,2,0)</f>
        <v>[Cake] - Cashloan</v>
      </c>
      <c r="H3977" s="128" t="str">
        <f>VLOOKUP(source[[#This Row],[lending_product_transform]],[3]Mapping!$B$3:$D$37,3,0)</f>
        <v>cashloan</v>
      </c>
      <c r="I3977" s="143">
        <v>56249664</v>
      </c>
    </row>
    <row r="3978" spans="1:9" x14ac:dyDescent="0.2">
      <c r="A3978" s="134">
        <v>45644</v>
      </c>
      <c r="B3978" s="135">
        <f>YEAR(source[[#This Row],[report_date]])</f>
        <v>2024</v>
      </c>
      <c r="C3978" s="128">
        <f t="shared" si="180"/>
        <v>12</v>
      </c>
      <c r="D3978" s="136">
        <f t="shared" si="182"/>
        <v>51</v>
      </c>
      <c r="E3978" s="136">
        <f t="shared" si="181"/>
        <v>18</v>
      </c>
      <c r="F3978" s="137" t="s">
        <v>24</v>
      </c>
      <c r="G3978" s="128" t="str">
        <f>VLOOKUP(source[[#This Row],[lending_product_transform]],[3]Mapping!$B$4:$C$37,2,0)</f>
        <v>[Cake] - Cashloan</v>
      </c>
      <c r="H3978" s="128" t="str">
        <f>VLOOKUP(source[[#This Row],[lending_product_transform]],[3]Mapping!$B$3:$D$37,3,0)</f>
        <v>cashloan</v>
      </c>
      <c r="I3978" s="143">
        <v>151840000</v>
      </c>
    </row>
    <row r="3979" spans="1:9" x14ac:dyDescent="0.2">
      <c r="A3979" s="134">
        <v>45644</v>
      </c>
      <c r="B3979" s="135">
        <f>YEAR(source[[#This Row],[report_date]])</f>
        <v>2024</v>
      </c>
      <c r="C3979" s="128">
        <f t="shared" si="180"/>
        <v>12</v>
      </c>
      <c r="D3979" s="136">
        <f t="shared" si="182"/>
        <v>51</v>
      </c>
      <c r="E3979" s="136">
        <f t="shared" si="181"/>
        <v>18</v>
      </c>
      <c r="F3979" s="137" t="s">
        <v>24</v>
      </c>
      <c r="G3979" s="128" t="str">
        <f>VLOOKUP(source[[#This Row],[lending_product_transform]],[3]Mapping!$B$4:$C$37,2,0)</f>
        <v>[Cake] - Cashloan</v>
      </c>
      <c r="H3979" s="128" t="str">
        <f>VLOOKUP(source[[#This Row],[lending_product_transform]],[3]Mapping!$B$3:$D$37,3,0)</f>
        <v>cashloan</v>
      </c>
      <c r="I3979" s="143">
        <v>30120707</v>
      </c>
    </row>
    <row r="3980" spans="1:9" x14ac:dyDescent="0.2">
      <c r="A3980" s="134">
        <v>45644</v>
      </c>
      <c r="B3980" s="135">
        <f>YEAR(source[[#This Row],[report_date]])</f>
        <v>2024</v>
      </c>
      <c r="C3980" s="128">
        <f t="shared" si="180"/>
        <v>12</v>
      </c>
      <c r="D3980" s="136">
        <f t="shared" si="182"/>
        <v>51</v>
      </c>
      <c r="E3980" s="136">
        <f t="shared" si="181"/>
        <v>18</v>
      </c>
      <c r="F3980" s="137" t="s">
        <v>24</v>
      </c>
      <c r="G3980" s="128" t="str">
        <f>VLOOKUP(source[[#This Row],[lending_product_transform]],[3]Mapping!$B$4:$C$37,2,0)</f>
        <v>[Cake] - Cashloan</v>
      </c>
      <c r="H3980" s="128" t="str">
        <f>VLOOKUP(source[[#This Row],[lending_product_transform]],[3]Mapping!$B$3:$D$37,3,0)</f>
        <v>cashloan</v>
      </c>
      <c r="I3980" s="143">
        <v>21400000</v>
      </c>
    </row>
    <row r="3981" spans="1:9" x14ac:dyDescent="0.2">
      <c r="A3981" s="134">
        <v>45644</v>
      </c>
      <c r="B3981" s="135">
        <f>YEAR(source[[#This Row],[report_date]])</f>
        <v>2024</v>
      </c>
      <c r="C3981" s="128">
        <f t="shared" si="180"/>
        <v>12</v>
      </c>
      <c r="D3981" s="136">
        <f t="shared" si="182"/>
        <v>51</v>
      </c>
      <c r="E3981" s="136">
        <f t="shared" si="181"/>
        <v>18</v>
      </c>
      <c r="F3981" s="137" t="s">
        <v>24</v>
      </c>
      <c r="G3981" s="128" t="str">
        <f>VLOOKUP(source[[#This Row],[lending_product_transform]],[3]Mapping!$B$4:$C$37,2,0)</f>
        <v>[Cake] - Cashloan</v>
      </c>
      <c r="H3981" s="128" t="str">
        <f>VLOOKUP(source[[#This Row],[lending_product_transform]],[3]Mapping!$B$3:$D$37,3,0)</f>
        <v>cashloan</v>
      </c>
      <c r="I3981" s="143">
        <v>31050000</v>
      </c>
    </row>
    <row r="3982" spans="1:9" x14ac:dyDescent="0.2">
      <c r="A3982" s="134">
        <v>45644</v>
      </c>
      <c r="B3982" s="135">
        <f>YEAR(source[[#This Row],[report_date]])</f>
        <v>2024</v>
      </c>
      <c r="C3982" s="128">
        <f t="shared" si="180"/>
        <v>12</v>
      </c>
      <c r="D3982" s="136">
        <f t="shared" si="182"/>
        <v>51</v>
      </c>
      <c r="E3982" s="136">
        <f t="shared" si="181"/>
        <v>18</v>
      </c>
      <c r="F3982" s="137" t="s">
        <v>24</v>
      </c>
      <c r="G3982" s="128" t="str">
        <f>VLOOKUP(source[[#This Row],[lending_product_transform]],[3]Mapping!$B$4:$C$37,2,0)</f>
        <v>[Cake] - Cashloan</v>
      </c>
      <c r="H3982" s="128" t="str">
        <f>VLOOKUP(source[[#This Row],[lending_product_transform]],[3]Mapping!$B$3:$D$37,3,0)</f>
        <v>cashloan</v>
      </c>
      <c r="I3982" s="143">
        <v>3162224020</v>
      </c>
    </row>
    <row r="3983" spans="1:9" x14ac:dyDescent="0.2">
      <c r="A3983" s="134">
        <v>45644</v>
      </c>
      <c r="B3983" s="135">
        <f>YEAR(source[[#This Row],[report_date]])</f>
        <v>2024</v>
      </c>
      <c r="C3983" s="128">
        <f t="shared" si="180"/>
        <v>12</v>
      </c>
      <c r="D3983" s="136">
        <f t="shared" si="182"/>
        <v>51</v>
      </c>
      <c r="E3983" s="136">
        <f t="shared" si="181"/>
        <v>18</v>
      </c>
      <c r="F3983" s="137" t="s">
        <v>24</v>
      </c>
      <c r="G3983" s="128" t="str">
        <f>VLOOKUP(source[[#This Row],[lending_product_transform]],[3]Mapping!$B$4:$C$37,2,0)</f>
        <v>[Cake] - Cashloan</v>
      </c>
      <c r="H3983" s="128" t="str">
        <f>VLOOKUP(source[[#This Row],[lending_product_transform]],[3]Mapping!$B$3:$D$37,3,0)</f>
        <v>cashloan</v>
      </c>
      <c r="I3983" s="143">
        <v>0</v>
      </c>
    </row>
    <row r="3984" spans="1:9" x14ac:dyDescent="0.2">
      <c r="A3984" s="134">
        <v>45645</v>
      </c>
      <c r="B3984" s="135">
        <f>YEAR(source[[#This Row],[report_date]])</f>
        <v>2024</v>
      </c>
      <c r="C3984" s="128">
        <f t="shared" si="180"/>
        <v>12</v>
      </c>
      <c r="D3984" s="136">
        <f t="shared" si="182"/>
        <v>51</v>
      </c>
      <c r="E3984" s="136">
        <f t="shared" si="181"/>
        <v>19</v>
      </c>
      <c r="F3984" s="137" t="s">
        <v>24</v>
      </c>
      <c r="G3984" s="128" t="str">
        <f>VLOOKUP(source[[#This Row],[lending_product_transform]],[3]Mapping!$B$4:$C$37,2,0)</f>
        <v>[Cake] - Cashloan</v>
      </c>
      <c r="H3984" s="128" t="str">
        <f>VLOOKUP(source[[#This Row],[lending_product_transform]],[3]Mapping!$B$3:$D$37,3,0)</f>
        <v>cashloan</v>
      </c>
      <c r="I3984" s="143">
        <v>15000000</v>
      </c>
    </row>
    <row r="3985" spans="1:9" x14ac:dyDescent="0.2">
      <c r="A3985" s="134">
        <v>45645</v>
      </c>
      <c r="B3985" s="135">
        <f>YEAR(source[[#This Row],[report_date]])</f>
        <v>2024</v>
      </c>
      <c r="C3985" s="128">
        <f t="shared" si="180"/>
        <v>12</v>
      </c>
      <c r="D3985" s="136">
        <f t="shared" si="182"/>
        <v>51</v>
      </c>
      <c r="E3985" s="136">
        <f t="shared" si="181"/>
        <v>19</v>
      </c>
      <c r="F3985" s="137" t="s">
        <v>24</v>
      </c>
      <c r="G3985" s="128" t="str">
        <f>VLOOKUP(source[[#This Row],[lending_product_transform]],[3]Mapping!$B$4:$C$37,2,0)</f>
        <v>[Cake] - Cashloan</v>
      </c>
      <c r="H3985" s="128" t="str">
        <f>VLOOKUP(source[[#This Row],[lending_product_transform]],[3]Mapping!$B$3:$D$37,3,0)</f>
        <v>cashloan</v>
      </c>
      <c r="I3985" s="143">
        <v>38092438</v>
      </c>
    </row>
    <row r="3986" spans="1:9" x14ac:dyDescent="0.2">
      <c r="A3986" s="134">
        <v>45645</v>
      </c>
      <c r="B3986" s="135">
        <f>YEAR(source[[#This Row],[report_date]])</f>
        <v>2024</v>
      </c>
      <c r="C3986" s="128">
        <f t="shared" si="180"/>
        <v>12</v>
      </c>
      <c r="D3986" s="136">
        <f t="shared" si="182"/>
        <v>51</v>
      </c>
      <c r="E3986" s="136">
        <f t="shared" si="181"/>
        <v>19</v>
      </c>
      <c r="F3986" s="137" t="s">
        <v>24</v>
      </c>
      <c r="G3986" s="128" t="str">
        <f>VLOOKUP(source[[#This Row],[lending_product_transform]],[3]Mapping!$B$4:$C$37,2,0)</f>
        <v>[Cake] - Cashloan</v>
      </c>
      <c r="H3986" s="128" t="str">
        <f>VLOOKUP(source[[#This Row],[lending_product_transform]],[3]Mapping!$B$3:$D$37,3,0)</f>
        <v>cashloan</v>
      </c>
      <c r="I3986" s="143">
        <v>126722952</v>
      </c>
    </row>
    <row r="3987" spans="1:9" x14ac:dyDescent="0.2">
      <c r="A3987" s="134">
        <v>45645</v>
      </c>
      <c r="B3987" s="135">
        <f>YEAR(source[[#This Row],[report_date]])</f>
        <v>2024</v>
      </c>
      <c r="C3987" s="128">
        <f t="shared" si="180"/>
        <v>12</v>
      </c>
      <c r="D3987" s="136">
        <f t="shared" si="182"/>
        <v>51</v>
      </c>
      <c r="E3987" s="136">
        <f t="shared" si="181"/>
        <v>19</v>
      </c>
      <c r="F3987" s="137" t="s">
        <v>24</v>
      </c>
      <c r="G3987" s="128" t="str">
        <f>VLOOKUP(source[[#This Row],[lending_product_transform]],[3]Mapping!$B$4:$C$37,2,0)</f>
        <v>[Cake] - Cashloan</v>
      </c>
      <c r="H3987" s="128" t="str">
        <f>VLOOKUP(source[[#This Row],[lending_product_transform]],[3]Mapping!$B$3:$D$37,3,0)</f>
        <v>cashloan</v>
      </c>
      <c r="I3987" s="143">
        <v>31500000</v>
      </c>
    </row>
    <row r="3988" spans="1:9" x14ac:dyDescent="0.2">
      <c r="A3988" s="134">
        <v>45645</v>
      </c>
      <c r="B3988" s="135">
        <f>YEAR(source[[#This Row],[report_date]])</f>
        <v>2024</v>
      </c>
      <c r="C3988" s="128">
        <f t="shared" si="180"/>
        <v>12</v>
      </c>
      <c r="D3988" s="136">
        <f t="shared" si="182"/>
        <v>51</v>
      </c>
      <c r="E3988" s="136">
        <f t="shared" si="181"/>
        <v>19</v>
      </c>
      <c r="F3988" s="137" t="s">
        <v>24</v>
      </c>
      <c r="G3988" s="128" t="str">
        <f>VLOOKUP(source[[#This Row],[lending_product_transform]],[3]Mapping!$B$4:$C$37,2,0)</f>
        <v>[Cake] - Cashloan</v>
      </c>
      <c r="H3988" s="128" t="str">
        <f>VLOOKUP(source[[#This Row],[lending_product_transform]],[3]Mapping!$B$3:$D$37,3,0)</f>
        <v>cashloan</v>
      </c>
      <c r="I3988" s="143">
        <v>0</v>
      </c>
    </row>
    <row r="3989" spans="1:9" x14ac:dyDescent="0.2">
      <c r="A3989" s="134">
        <v>45645</v>
      </c>
      <c r="B3989" s="135">
        <f>YEAR(source[[#This Row],[report_date]])</f>
        <v>2024</v>
      </c>
      <c r="C3989" s="128">
        <f t="shared" si="180"/>
        <v>12</v>
      </c>
      <c r="D3989" s="136">
        <f t="shared" si="182"/>
        <v>51</v>
      </c>
      <c r="E3989" s="136">
        <f t="shared" si="181"/>
        <v>19</v>
      </c>
      <c r="F3989" s="137" t="s">
        <v>24</v>
      </c>
      <c r="G3989" s="128" t="str">
        <f>VLOOKUP(source[[#This Row],[lending_product_transform]],[3]Mapping!$B$4:$C$37,2,0)</f>
        <v>[Cake] - Cashloan</v>
      </c>
      <c r="H3989" s="128" t="str">
        <f>VLOOKUP(source[[#This Row],[lending_product_transform]],[3]Mapping!$B$3:$D$37,3,0)</f>
        <v>cashloan</v>
      </c>
      <c r="I3989" s="143">
        <v>5419910000</v>
      </c>
    </row>
    <row r="3990" spans="1:9" x14ac:dyDescent="0.2">
      <c r="A3990" s="134">
        <v>45645</v>
      </c>
      <c r="B3990" s="135">
        <f>YEAR(source[[#This Row],[report_date]])</f>
        <v>2024</v>
      </c>
      <c r="C3990" s="128">
        <f t="shared" si="180"/>
        <v>12</v>
      </c>
      <c r="D3990" s="136">
        <f t="shared" si="182"/>
        <v>51</v>
      </c>
      <c r="E3990" s="136">
        <f t="shared" si="181"/>
        <v>19</v>
      </c>
      <c r="F3990" s="137" t="s">
        <v>24</v>
      </c>
      <c r="G3990" s="128" t="str">
        <f>VLOOKUP(source[[#This Row],[lending_product_transform]],[3]Mapping!$B$4:$C$37,2,0)</f>
        <v>[Cake] - Cashloan</v>
      </c>
      <c r="H3990" s="128" t="str">
        <f>VLOOKUP(source[[#This Row],[lending_product_transform]],[3]Mapping!$B$3:$D$37,3,0)</f>
        <v>cashloan</v>
      </c>
      <c r="I3990" s="143">
        <v>3523120943</v>
      </c>
    </row>
    <row r="3991" spans="1:9" x14ac:dyDescent="0.2">
      <c r="A3991" s="134">
        <v>45645</v>
      </c>
      <c r="B3991" s="135">
        <f>YEAR(source[[#This Row],[report_date]])</f>
        <v>2024</v>
      </c>
      <c r="C3991" s="128">
        <f t="shared" si="180"/>
        <v>12</v>
      </c>
      <c r="D3991" s="136">
        <f t="shared" si="182"/>
        <v>51</v>
      </c>
      <c r="E3991" s="136">
        <f t="shared" si="181"/>
        <v>19</v>
      </c>
      <c r="F3991" s="137" t="s">
        <v>24</v>
      </c>
      <c r="G3991" s="128" t="str">
        <f>VLOOKUP(source[[#This Row],[lending_product_transform]],[3]Mapping!$B$4:$C$37,2,0)</f>
        <v>[Cake] - Cashloan</v>
      </c>
      <c r="H3991" s="128" t="str">
        <f>VLOOKUP(source[[#This Row],[lending_product_transform]],[3]Mapping!$B$3:$D$37,3,0)</f>
        <v>cashloan</v>
      </c>
      <c r="I3991" s="143">
        <v>243623964</v>
      </c>
    </row>
    <row r="3992" spans="1:9" x14ac:dyDescent="0.2">
      <c r="A3992" s="134">
        <v>45645</v>
      </c>
      <c r="B3992" s="135">
        <f>YEAR(source[[#This Row],[report_date]])</f>
        <v>2024</v>
      </c>
      <c r="C3992" s="128">
        <f t="shared" si="180"/>
        <v>12</v>
      </c>
      <c r="D3992" s="136">
        <f t="shared" si="182"/>
        <v>51</v>
      </c>
      <c r="E3992" s="136">
        <f t="shared" si="181"/>
        <v>19</v>
      </c>
      <c r="F3992" s="137" t="s">
        <v>24</v>
      </c>
      <c r="G3992" s="128" t="str">
        <f>VLOOKUP(source[[#This Row],[lending_product_transform]],[3]Mapping!$B$4:$C$37,2,0)</f>
        <v>[Cake] - Cashloan</v>
      </c>
      <c r="H3992" s="128" t="str">
        <f>VLOOKUP(source[[#This Row],[lending_product_transform]],[3]Mapping!$B$3:$D$37,3,0)</f>
        <v>cashloan</v>
      </c>
      <c r="I3992" s="143">
        <v>0</v>
      </c>
    </row>
    <row r="3993" spans="1:9" x14ac:dyDescent="0.2">
      <c r="A3993" s="134">
        <v>45645</v>
      </c>
      <c r="B3993" s="135">
        <f>YEAR(source[[#This Row],[report_date]])</f>
        <v>2024</v>
      </c>
      <c r="C3993" s="128">
        <f t="shared" si="180"/>
        <v>12</v>
      </c>
      <c r="D3993" s="136">
        <f t="shared" si="182"/>
        <v>51</v>
      </c>
      <c r="E3993" s="136">
        <f t="shared" si="181"/>
        <v>19</v>
      </c>
      <c r="F3993" s="137" t="s">
        <v>24</v>
      </c>
      <c r="G3993" s="128" t="str">
        <f>VLOOKUP(source[[#This Row],[lending_product_transform]],[3]Mapping!$B$4:$C$37,2,0)</f>
        <v>[Cake] - Cashloan</v>
      </c>
      <c r="H3993" s="128" t="str">
        <f>VLOOKUP(source[[#This Row],[lending_product_transform]],[3]Mapping!$B$3:$D$37,3,0)</f>
        <v>cashloan</v>
      </c>
      <c r="I3993" s="143">
        <v>500000000</v>
      </c>
    </row>
    <row r="3994" spans="1:9" x14ac:dyDescent="0.2">
      <c r="A3994" s="134">
        <v>45645</v>
      </c>
      <c r="B3994" s="135">
        <f>YEAR(source[[#This Row],[report_date]])</f>
        <v>2024</v>
      </c>
      <c r="C3994" s="128">
        <f t="shared" si="180"/>
        <v>12</v>
      </c>
      <c r="D3994" s="136">
        <f t="shared" si="182"/>
        <v>51</v>
      </c>
      <c r="E3994" s="136">
        <f t="shared" si="181"/>
        <v>19</v>
      </c>
      <c r="F3994" s="137" t="s">
        <v>24</v>
      </c>
      <c r="G3994" s="128" t="str">
        <f>VLOOKUP(source[[#This Row],[lending_product_transform]],[3]Mapping!$B$4:$C$37,2,0)</f>
        <v>[Cake] - Cashloan</v>
      </c>
      <c r="H3994" s="128" t="str">
        <f>VLOOKUP(source[[#This Row],[lending_product_transform]],[3]Mapping!$B$3:$D$37,3,0)</f>
        <v>cashloan</v>
      </c>
      <c r="I3994" s="143">
        <v>5864530000</v>
      </c>
    </row>
    <row r="3995" spans="1:9" x14ac:dyDescent="0.2">
      <c r="A3995" s="134">
        <v>45645</v>
      </c>
      <c r="B3995" s="135">
        <f>YEAR(source[[#This Row],[report_date]])</f>
        <v>2024</v>
      </c>
      <c r="C3995" s="128">
        <f t="shared" si="180"/>
        <v>12</v>
      </c>
      <c r="D3995" s="136">
        <f t="shared" si="182"/>
        <v>51</v>
      </c>
      <c r="E3995" s="136">
        <f t="shared" si="181"/>
        <v>19</v>
      </c>
      <c r="F3995" s="137" t="s">
        <v>24</v>
      </c>
      <c r="G3995" s="128" t="str">
        <f>VLOOKUP(source[[#This Row],[lending_product_transform]],[3]Mapping!$B$4:$C$37,2,0)</f>
        <v>[Cake] - Cashloan</v>
      </c>
      <c r="H3995" s="128" t="str">
        <f>VLOOKUP(source[[#This Row],[lending_product_transform]],[3]Mapping!$B$3:$D$37,3,0)</f>
        <v>cashloan</v>
      </c>
      <c r="I3995" s="143">
        <v>14902449</v>
      </c>
    </row>
    <row r="3996" spans="1:9" x14ac:dyDescent="0.2">
      <c r="A3996" s="134">
        <v>45645</v>
      </c>
      <c r="B3996" s="135">
        <f>YEAR(source[[#This Row],[report_date]])</f>
        <v>2024</v>
      </c>
      <c r="C3996" s="128">
        <f t="shared" si="180"/>
        <v>12</v>
      </c>
      <c r="D3996" s="136">
        <f t="shared" si="182"/>
        <v>51</v>
      </c>
      <c r="E3996" s="136">
        <f t="shared" si="181"/>
        <v>19</v>
      </c>
      <c r="F3996" s="137" t="s">
        <v>24</v>
      </c>
      <c r="G3996" s="128" t="str">
        <f>VLOOKUP(source[[#This Row],[lending_product_transform]],[3]Mapping!$B$4:$C$37,2,0)</f>
        <v>[Cake] - Cashloan</v>
      </c>
      <c r="H3996" s="128" t="str">
        <f>VLOOKUP(source[[#This Row],[lending_product_transform]],[3]Mapping!$B$3:$D$37,3,0)</f>
        <v>cashloan</v>
      </c>
      <c r="I3996" s="143">
        <v>208340000</v>
      </c>
    </row>
    <row r="3997" spans="1:9" x14ac:dyDescent="0.2">
      <c r="A3997" s="134">
        <v>45645</v>
      </c>
      <c r="B3997" s="135">
        <f>YEAR(source[[#This Row],[report_date]])</f>
        <v>2024</v>
      </c>
      <c r="C3997" s="128">
        <f t="shared" ref="C3997:C4060" si="183">MONTH(A3997)</f>
        <v>12</v>
      </c>
      <c r="D3997" s="136">
        <f t="shared" si="182"/>
        <v>51</v>
      </c>
      <c r="E3997" s="136">
        <f t="shared" ref="E3997:E4060" si="184">DAY(A3997)</f>
        <v>19</v>
      </c>
      <c r="F3997" s="137" t="s">
        <v>24</v>
      </c>
      <c r="G3997" s="128" t="str">
        <f>VLOOKUP(source[[#This Row],[lending_product_transform]],[3]Mapping!$B$4:$C$37,2,0)</f>
        <v>[Cake] - Cashloan</v>
      </c>
      <c r="H3997" s="128" t="str">
        <f>VLOOKUP(source[[#This Row],[lending_product_transform]],[3]Mapping!$B$3:$D$37,3,0)</f>
        <v>cashloan</v>
      </c>
      <c r="I3997" s="143">
        <v>21400000</v>
      </c>
    </row>
    <row r="3998" spans="1:9" x14ac:dyDescent="0.2">
      <c r="A3998" s="134">
        <v>45645</v>
      </c>
      <c r="B3998" s="135">
        <f>YEAR(source[[#This Row],[report_date]])</f>
        <v>2024</v>
      </c>
      <c r="C3998" s="128">
        <f t="shared" si="183"/>
        <v>12</v>
      </c>
      <c r="D3998" s="136">
        <f t="shared" si="182"/>
        <v>51</v>
      </c>
      <c r="E3998" s="136">
        <f t="shared" si="184"/>
        <v>19</v>
      </c>
      <c r="F3998" s="137" t="s">
        <v>24</v>
      </c>
      <c r="G3998" s="128" t="str">
        <f>VLOOKUP(source[[#This Row],[lending_product_transform]],[3]Mapping!$B$4:$C$37,2,0)</f>
        <v>[Cake] - Cashloan</v>
      </c>
      <c r="H3998" s="128" t="str">
        <f>VLOOKUP(source[[#This Row],[lending_product_transform]],[3]Mapping!$B$3:$D$37,3,0)</f>
        <v>cashloan</v>
      </c>
      <c r="I3998" s="143">
        <v>22000000</v>
      </c>
    </row>
    <row r="3999" spans="1:9" x14ac:dyDescent="0.2">
      <c r="A3999" s="134">
        <v>45645</v>
      </c>
      <c r="B3999" s="135">
        <f>YEAR(source[[#This Row],[report_date]])</f>
        <v>2024</v>
      </c>
      <c r="C3999" s="128">
        <f t="shared" si="183"/>
        <v>12</v>
      </c>
      <c r="D3999" s="136">
        <f t="shared" si="182"/>
        <v>51</v>
      </c>
      <c r="E3999" s="136">
        <f t="shared" si="184"/>
        <v>19</v>
      </c>
      <c r="F3999" s="137" t="s">
        <v>24</v>
      </c>
      <c r="G3999" s="128" t="str">
        <f>VLOOKUP(source[[#This Row],[lending_product_transform]],[3]Mapping!$B$4:$C$37,2,0)</f>
        <v>[Cake] - Cashloan</v>
      </c>
      <c r="H3999" s="128" t="str">
        <f>VLOOKUP(source[[#This Row],[lending_product_transform]],[3]Mapping!$B$3:$D$37,3,0)</f>
        <v>cashloan</v>
      </c>
      <c r="I3999" s="143">
        <v>0</v>
      </c>
    </row>
    <row r="4000" spans="1:9" x14ac:dyDescent="0.2">
      <c r="A4000" s="134">
        <v>45645</v>
      </c>
      <c r="B4000" s="135">
        <f>YEAR(source[[#This Row],[report_date]])</f>
        <v>2024</v>
      </c>
      <c r="C4000" s="128">
        <f t="shared" si="183"/>
        <v>12</v>
      </c>
      <c r="D4000" s="136">
        <f t="shared" si="182"/>
        <v>51</v>
      </c>
      <c r="E4000" s="136">
        <f t="shared" si="184"/>
        <v>19</v>
      </c>
      <c r="F4000" s="137" t="s">
        <v>24</v>
      </c>
      <c r="G4000" s="128" t="str">
        <f>VLOOKUP(source[[#This Row],[lending_product_transform]],[3]Mapping!$B$4:$C$37,2,0)</f>
        <v>[Cake] - Cashloan</v>
      </c>
      <c r="H4000" s="128" t="str">
        <f>VLOOKUP(source[[#This Row],[lending_product_transform]],[3]Mapping!$B$3:$D$37,3,0)</f>
        <v>cashloan</v>
      </c>
      <c r="I4000" s="143">
        <v>21400000</v>
      </c>
    </row>
    <row r="4001" spans="1:9" x14ac:dyDescent="0.2">
      <c r="A4001" s="134">
        <v>45645</v>
      </c>
      <c r="B4001" s="135">
        <f>YEAR(source[[#This Row],[report_date]])</f>
        <v>2024</v>
      </c>
      <c r="C4001" s="128">
        <f t="shared" si="183"/>
        <v>12</v>
      </c>
      <c r="D4001" s="136">
        <f t="shared" si="182"/>
        <v>51</v>
      </c>
      <c r="E4001" s="136">
        <f t="shared" si="184"/>
        <v>19</v>
      </c>
      <c r="F4001" s="137" t="s">
        <v>24</v>
      </c>
      <c r="G4001" s="128" t="str">
        <f>VLOOKUP(source[[#This Row],[lending_product_transform]],[3]Mapping!$B$4:$C$37,2,0)</f>
        <v>[Cake] - Cashloan</v>
      </c>
      <c r="H4001" s="128" t="str">
        <f>VLOOKUP(source[[#This Row],[lending_product_transform]],[3]Mapping!$B$3:$D$37,3,0)</f>
        <v>cashloan</v>
      </c>
      <c r="I4001" s="143">
        <v>5351000000</v>
      </c>
    </row>
    <row r="4002" spans="1:9" x14ac:dyDescent="0.2">
      <c r="A4002" s="134">
        <v>45646</v>
      </c>
      <c r="B4002" s="135">
        <f>YEAR(source[[#This Row],[report_date]])</f>
        <v>2024</v>
      </c>
      <c r="C4002" s="128">
        <f t="shared" si="183"/>
        <v>12</v>
      </c>
      <c r="D4002" s="136">
        <f t="shared" si="182"/>
        <v>51</v>
      </c>
      <c r="E4002" s="136">
        <f t="shared" si="184"/>
        <v>20</v>
      </c>
      <c r="F4002" s="137" t="s">
        <v>24</v>
      </c>
      <c r="G4002" s="128" t="str">
        <f>VLOOKUP(source[[#This Row],[lending_product_transform]],[3]Mapping!$B$4:$C$37,2,0)</f>
        <v>[Cake] - Cashloan</v>
      </c>
      <c r="H4002" s="128" t="str">
        <f>VLOOKUP(source[[#This Row],[lending_product_transform]],[3]Mapping!$B$3:$D$37,3,0)</f>
        <v>cashloan</v>
      </c>
      <c r="I4002" s="143">
        <v>18900000</v>
      </c>
    </row>
    <row r="4003" spans="1:9" x14ac:dyDescent="0.2">
      <c r="A4003" s="134">
        <v>45646</v>
      </c>
      <c r="B4003" s="135">
        <f>YEAR(source[[#This Row],[report_date]])</f>
        <v>2024</v>
      </c>
      <c r="C4003" s="128">
        <f t="shared" si="183"/>
        <v>12</v>
      </c>
      <c r="D4003" s="136">
        <f t="shared" si="182"/>
        <v>51</v>
      </c>
      <c r="E4003" s="136">
        <f t="shared" si="184"/>
        <v>20</v>
      </c>
      <c r="F4003" s="137" t="s">
        <v>24</v>
      </c>
      <c r="G4003" s="128" t="str">
        <f>VLOOKUP(source[[#This Row],[lending_product_transform]],[3]Mapping!$B$4:$C$37,2,0)</f>
        <v>[Cake] - Cashloan</v>
      </c>
      <c r="H4003" s="128" t="str">
        <f>VLOOKUP(source[[#This Row],[lending_product_transform]],[3]Mapping!$B$3:$D$37,3,0)</f>
        <v>cashloan</v>
      </c>
      <c r="I4003" s="143">
        <v>5727080000</v>
      </c>
    </row>
    <row r="4004" spans="1:9" x14ac:dyDescent="0.2">
      <c r="A4004" s="134">
        <v>45646</v>
      </c>
      <c r="B4004" s="135">
        <f>YEAR(source[[#This Row],[report_date]])</f>
        <v>2024</v>
      </c>
      <c r="C4004" s="128">
        <f t="shared" si="183"/>
        <v>12</v>
      </c>
      <c r="D4004" s="136">
        <f t="shared" si="182"/>
        <v>51</v>
      </c>
      <c r="E4004" s="136">
        <f t="shared" si="184"/>
        <v>20</v>
      </c>
      <c r="F4004" s="137" t="s">
        <v>24</v>
      </c>
      <c r="G4004" s="128" t="str">
        <f>VLOOKUP(source[[#This Row],[lending_product_transform]],[3]Mapping!$B$4:$C$37,2,0)</f>
        <v>[Cake] - Cashloan</v>
      </c>
      <c r="H4004" s="128" t="str">
        <f>VLOOKUP(source[[#This Row],[lending_product_transform]],[3]Mapping!$B$3:$D$37,3,0)</f>
        <v>cashloan</v>
      </c>
      <c r="I4004" s="143">
        <v>3829799395</v>
      </c>
    </row>
    <row r="4005" spans="1:9" x14ac:dyDescent="0.2">
      <c r="A4005" s="134">
        <v>45646</v>
      </c>
      <c r="B4005" s="135">
        <f>YEAR(source[[#This Row],[report_date]])</f>
        <v>2024</v>
      </c>
      <c r="C4005" s="128">
        <f t="shared" si="183"/>
        <v>12</v>
      </c>
      <c r="D4005" s="136">
        <f t="shared" si="182"/>
        <v>51</v>
      </c>
      <c r="E4005" s="136">
        <f t="shared" si="184"/>
        <v>20</v>
      </c>
      <c r="F4005" s="137" t="s">
        <v>24</v>
      </c>
      <c r="G4005" s="128" t="str">
        <f>VLOOKUP(source[[#This Row],[lending_product_transform]],[3]Mapping!$B$4:$C$37,2,0)</f>
        <v>[Cake] - Cashloan</v>
      </c>
      <c r="H4005" s="128" t="str">
        <f>VLOOKUP(source[[#This Row],[lending_product_transform]],[3]Mapping!$B$3:$D$37,3,0)</f>
        <v>cashloan</v>
      </c>
      <c r="I4005" s="143">
        <v>6058010000</v>
      </c>
    </row>
    <row r="4006" spans="1:9" x14ac:dyDescent="0.2">
      <c r="A4006" s="134">
        <v>45646</v>
      </c>
      <c r="B4006" s="135">
        <f>YEAR(source[[#This Row],[report_date]])</f>
        <v>2024</v>
      </c>
      <c r="C4006" s="128">
        <f t="shared" si="183"/>
        <v>12</v>
      </c>
      <c r="D4006" s="136">
        <f t="shared" si="182"/>
        <v>51</v>
      </c>
      <c r="E4006" s="136">
        <f t="shared" si="184"/>
        <v>20</v>
      </c>
      <c r="F4006" s="137" t="s">
        <v>24</v>
      </c>
      <c r="G4006" s="128" t="str">
        <f>VLOOKUP(source[[#This Row],[lending_product_transform]],[3]Mapping!$B$4:$C$37,2,0)</f>
        <v>[Cake] - Cashloan</v>
      </c>
      <c r="H4006" s="128" t="str">
        <f>VLOOKUP(source[[#This Row],[lending_product_transform]],[3]Mapping!$B$3:$D$37,3,0)</f>
        <v>cashloan</v>
      </c>
      <c r="I4006" s="143">
        <v>5719500000</v>
      </c>
    </row>
    <row r="4007" spans="1:9" x14ac:dyDescent="0.2">
      <c r="A4007" s="134">
        <v>45646</v>
      </c>
      <c r="B4007" s="135">
        <f>YEAR(source[[#This Row],[report_date]])</f>
        <v>2024</v>
      </c>
      <c r="C4007" s="128">
        <f t="shared" si="183"/>
        <v>12</v>
      </c>
      <c r="D4007" s="136">
        <f t="shared" si="182"/>
        <v>51</v>
      </c>
      <c r="E4007" s="136">
        <f t="shared" si="184"/>
        <v>20</v>
      </c>
      <c r="F4007" s="137" t="s">
        <v>24</v>
      </c>
      <c r="G4007" s="128" t="str">
        <f>VLOOKUP(source[[#This Row],[lending_product_transform]],[3]Mapping!$B$4:$C$37,2,0)</f>
        <v>[Cake] - Cashloan</v>
      </c>
      <c r="H4007" s="128" t="str">
        <f>VLOOKUP(source[[#This Row],[lending_product_transform]],[3]Mapping!$B$3:$D$37,3,0)</f>
        <v>cashloan</v>
      </c>
      <c r="I4007" s="143">
        <v>59000000</v>
      </c>
    </row>
    <row r="4008" spans="1:9" x14ac:dyDescent="0.2">
      <c r="A4008" s="134">
        <v>45646</v>
      </c>
      <c r="B4008" s="135">
        <f>YEAR(source[[#This Row],[report_date]])</f>
        <v>2024</v>
      </c>
      <c r="C4008" s="128">
        <f t="shared" si="183"/>
        <v>12</v>
      </c>
      <c r="D4008" s="136">
        <f t="shared" si="182"/>
        <v>51</v>
      </c>
      <c r="E4008" s="136">
        <f t="shared" si="184"/>
        <v>20</v>
      </c>
      <c r="F4008" s="137" t="s">
        <v>24</v>
      </c>
      <c r="G4008" s="128" t="str">
        <f>VLOOKUP(source[[#This Row],[lending_product_transform]],[3]Mapping!$B$4:$C$37,2,0)</f>
        <v>[Cake] - Cashloan</v>
      </c>
      <c r="H4008" s="128" t="str">
        <f>VLOOKUP(source[[#This Row],[lending_product_transform]],[3]Mapping!$B$3:$D$37,3,0)</f>
        <v>cashloan</v>
      </c>
      <c r="I4008" s="143">
        <v>0</v>
      </c>
    </row>
    <row r="4009" spans="1:9" x14ac:dyDescent="0.2">
      <c r="A4009" s="134">
        <v>45646</v>
      </c>
      <c r="B4009" s="135">
        <f>YEAR(source[[#This Row],[report_date]])</f>
        <v>2024</v>
      </c>
      <c r="C4009" s="128">
        <f t="shared" si="183"/>
        <v>12</v>
      </c>
      <c r="D4009" s="136">
        <f t="shared" si="182"/>
        <v>51</v>
      </c>
      <c r="E4009" s="136">
        <f t="shared" si="184"/>
        <v>20</v>
      </c>
      <c r="F4009" s="137" t="s">
        <v>24</v>
      </c>
      <c r="G4009" s="128" t="str">
        <f>VLOOKUP(source[[#This Row],[lending_product_transform]],[3]Mapping!$B$4:$C$37,2,0)</f>
        <v>[Cake] - Cashloan</v>
      </c>
      <c r="H4009" s="128" t="str">
        <f>VLOOKUP(source[[#This Row],[lending_product_transform]],[3]Mapping!$B$3:$D$37,3,0)</f>
        <v>cashloan</v>
      </c>
      <c r="I4009" s="143">
        <v>119742711</v>
      </c>
    </row>
    <row r="4010" spans="1:9" x14ac:dyDescent="0.2">
      <c r="A4010" s="134">
        <v>45646</v>
      </c>
      <c r="B4010" s="135">
        <f>YEAR(source[[#This Row],[report_date]])</f>
        <v>2024</v>
      </c>
      <c r="C4010" s="128">
        <f t="shared" si="183"/>
        <v>12</v>
      </c>
      <c r="D4010" s="136">
        <f t="shared" si="182"/>
        <v>51</v>
      </c>
      <c r="E4010" s="136">
        <f t="shared" si="184"/>
        <v>20</v>
      </c>
      <c r="F4010" s="137" t="s">
        <v>24</v>
      </c>
      <c r="G4010" s="128" t="str">
        <f>VLOOKUP(source[[#This Row],[lending_product_transform]],[3]Mapping!$B$4:$C$37,2,0)</f>
        <v>[Cake] - Cashloan</v>
      </c>
      <c r="H4010" s="128" t="str">
        <f>VLOOKUP(source[[#This Row],[lending_product_transform]],[3]Mapping!$B$3:$D$37,3,0)</f>
        <v>cashloan</v>
      </c>
      <c r="I4010" s="143">
        <v>0</v>
      </c>
    </row>
    <row r="4011" spans="1:9" x14ac:dyDescent="0.2">
      <c r="A4011" s="134">
        <v>45646</v>
      </c>
      <c r="B4011" s="135">
        <f>YEAR(source[[#This Row],[report_date]])</f>
        <v>2024</v>
      </c>
      <c r="C4011" s="128">
        <f t="shared" si="183"/>
        <v>12</v>
      </c>
      <c r="D4011" s="136">
        <f t="shared" si="182"/>
        <v>51</v>
      </c>
      <c r="E4011" s="136">
        <f t="shared" si="184"/>
        <v>20</v>
      </c>
      <c r="F4011" s="137" t="s">
        <v>24</v>
      </c>
      <c r="G4011" s="128" t="str">
        <f>VLOOKUP(source[[#This Row],[lending_product_transform]],[3]Mapping!$B$4:$C$37,2,0)</f>
        <v>[Cake] - Cashloan</v>
      </c>
      <c r="H4011" s="128" t="str">
        <f>VLOOKUP(source[[#This Row],[lending_product_transform]],[3]Mapping!$B$3:$D$37,3,0)</f>
        <v>cashloan</v>
      </c>
      <c r="I4011" s="143">
        <v>437000000</v>
      </c>
    </row>
    <row r="4012" spans="1:9" x14ac:dyDescent="0.2">
      <c r="A4012" s="134">
        <v>45646</v>
      </c>
      <c r="B4012" s="135">
        <f>YEAR(source[[#This Row],[report_date]])</f>
        <v>2024</v>
      </c>
      <c r="C4012" s="128">
        <f t="shared" si="183"/>
        <v>12</v>
      </c>
      <c r="D4012" s="136">
        <f t="shared" si="182"/>
        <v>51</v>
      </c>
      <c r="E4012" s="136">
        <f t="shared" si="184"/>
        <v>20</v>
      </c>
      <c r="F4012" s="137" t="s">
        <v>24</v>
      </c>
      <c r="G4012" s="128" t="str">
        <f>VLOOKUP(source[[#This Row],[lending_product_transform]],[3]Mapping!$B$4:$C$37,2,0)</f>
        <v>[Cake] - Cashloan</v>
      </c>
      <c r="H4012" s="128" t="str">
        <f>VLOOKUP(source[[#This Row],[lending_product_transform]],[3]Mapping!$B$3:$D$37,3,0)</f>
        <v>cashloan</v>
      </c>
      <c r="I4012" s="143">
        <v>0</v>
      </c>
    </row>
    <row r="4013" spans="1:9" x14ac:dyDescent="0.2">
      <c r="A4013" s="134">
        <v>45646</v>
      </c>
      <c r="B4013" s="135">
        <f>YEAR(source[[#This Row],[report_date]])</f>
        <v>2024</v>
      </c>
      <c r="C4013" s="128">
        <f t="shared" si="183"/>
        <v>12</v>
      </c>
      <c r="D4013" s="136">
        <f t="shared" si="182"/>
        <v>51</v>
      </c>
      <c r="E4013" s="136">
        <f t="shared" si="184"/>
        <v>20</v>
      </c>
      <c r="F4013" s="137" t="s">
        <v>24</v>
      </c>
      <c r="G4013" s="128" t="str">
        <f>VLOOKUP(source[[#This Row],[lending_product_transform]],[3]Mapping!$B$4:$C$37,2,0)</f>
        <v>[Cake] - Cashloan</v>
      </c>
      <c r="H4013" s="128" t="str">
        <f>VLOOKUP(source[[#This Row],[lending_product_transform]],[3]Mapping!$B$3:$D$37,3,0)</f>
        <v>cashloan</v>
      </c>
      <c r="I4013" s="143">
        <v>56532946</v>
      </c>
    </row>
    <row r="4014" spans="1:9" x14ac:dyDescent="0.2">
      <c r="A4014" s="134">
        <v>45646</v>
      </c>
      <c r="B4014" s="135">
        <f>YEAR(source[[#This Row],[report_date]])</f>
        <v>2024</v>
      </c>
      <c r="C4014" s="128">
        <f t="shared" si="183"/>
        <v>12</v>
      </c>
      <c r="D4014" s="136">
        <f t="shared" si="182"/>
        <v>51</v>
      </c>
      <c r="E4014" s="136">
        <f t="shared" si="184"/>
        <v>20</v>
      </c>
      <c r="F4014" s="137" t="s">
        <v>24</v>
      </c>
      <c r="G4014" s="128" t="str">
        <f>VLOOKUP(source[[#This Row],[lending_product_transform]],[3]Mapping!$B$4:$C$37,2,0)</f>
        <v>[Cake] - Cashloan</v>
      </c>
      <c r="H4014" s="128" t="str">
        <f>VLOOKUP(source[[#This Row],[lending_product_transform]],[3]Mapping!$B$3:$D$37,3,0)</f>
        <v>cashloan</v>
      </c>
      <c r="I4014" s="143">
        <v>15256993</v>
      </c>
    </row>
    <row r="4015" spans="1:9" x14ac:dyDescent="0.2">
      <c r="A4015" s="134">
        <v>45646</v>
      </c>
      <c r="B4015" s="135">
        <f>YEAR(source[[#This Row],[report_date]])</f>
        <v>2024</v>
      </c>
      <c r="C4015" s="128">
        <f t="shared" si="183"/>
        <v>12</v>
      </c>
      <c r="D4015" s="136">
        <f t="shared" si="182"/>
        <v>51</v>
      </c>
      <c r="E4015" s="136">
        <f t="shared" si="184"/>
        <v>20</v>
      </c>
      <c r="F4015" s="137" t="s">
        <v>24</v>
      </c>
      <c r="G4015" s="128" t="str">
        <f>VLOOKUP(source[[#This Row],[lending_product_transform]],[3]Mapping!$B$4:$C$37,2,0)</f>
        <v>[Cake] - Cashloan</v>
      </c>
      <c r="H4015" s="128" t="str">
        <f>VLOOKUP(source[[#This Row],[lending_product_transform]],[3]Mapping!$B$3:$D$37,3,0)</f>
        <v>cashloan</v>
      </c>
      <c r="I4015" s="143">
        <v>36050000</v>
      </c>
    </row>
    <row r="4016" spans="1:9" x14ac:dyDescent="0.2">
      <c r="A4016" s="134">
        <v>45646</v>
      </c>
      <c r="B4016" s="135">
        <f>YEAR(source[[#This Row],[report_date]])</f>
        <v>2024</v>
      </c>
      <c r="C4016" s="128">
        <f t="shared" si="183"/>
        <v>12</v>
      </c>
      <c r="D4016" s="136">
        <f t="shared" si="182"/>
        <v>51</v>
      </c>
      <c r="E4016" s="136">
        <f t="shared" si="184"/>
        <v>20</v>
      </c>
      <c r="F4016" s="137" t="s">
        <v>24</v>
      </c>
      <c r="G4016" s="128" t="str">
        <f>VLOOKUP(source[[#This Row],[lending_product_transform]],[3]Mapping!$B$4:$C$37,2,0)</f>
        <v>[Cake] - Cashloan</v>
      </c>
      <c r="H4016" s="128" t="str">
        <f>VLOOKUP(source[[#This Row],[lending_product_transform]],[3]Mapping!$B$3:$D$37,3,0)</f>
        <v>cashloan</v>
      </c>
      <c r="I4016" s="143">
        <v>0</v>
      </c>
    </row>
    <row r="4017" spans="1:9" x14ac:dyDescent="0.2">
      <c r="A4017" s="134">
        <v>45646</v>
      </c>
      <c r="B4017" s="135">
        <f>YEAR(source[[#This Row],[report_date]])</f>
        <v>2024</v>
      </c>
      <c r="C4017" s="128">
        <f t="shared" si="183"/>
        <v>12</v>
      </c>
      <c r="D4017" s="136">
        <f t="shared" si="182"/>
        <v>51</v>
      </c>
      <c r="E4017" s="136">
        <f t="shared" si="184"/>
        <v>20</v>
      </c>
      <c r="F4017" s="137" t="s">
        <v>24</v>
      </c>
      <c r="G4017" s="128" t="str">
        <f>VLOOKUP(source[[#This Row],[lending_product_transform]],[3]Mapping!$B$4:$C$37,2,0)</f>
        <v>[Cake] - Cashloan</v>
      </c>
      <c r="H4017" s="128" t="str">
        <f>VLOOKUP(source[[#This Row],[lending_product_transform]],[3]Mapping!$B$3:$D$37,3,0)</f>
        <v>cashloan</v>
      </c>
      <c r="I4017" s="143">
        <v>52100000</v>
      </c>
    </row>
    <row r="4018" spans="1:9" x14ac:dyDescent="0.2">
      <c r="A4018" s="134">
        <v>45646</v>
      </c>
      <c r="B4018" s="135">
        <f>YEAR(source[[#This Row],[report_date]])</f>
        <v>2024</v>
      </c>
      <c r="C4018" s="128">
        <f t="shared" si="183"/>
        <v>12</v>
      </c>
      <c r="D4018" s="136">
        <f t="shared" si="182"/>
        <v>51</v>
      </c>
      <c r="E4018" s="136">
        <f t="shared" si="184"/>
        <v>20</v>
      </c>
      <c r="F4018" s="137" t="s">
        <v>24</v>
      </c>
      <c r="G4018" s="128" t="str">
        <f>VLOOKUP(source[[#This Row],[lending_product_transform]],[3]Mapping!$B$4:$C$37,2,0)</f>
        <v>[Cake] - Cashloan</v>
      </c>
      <c r="H4018" s="128" t="str">
        <f>VLOOKUP(source[[#This Row],[lending_product_transform]],[3]Mapping!$B$3:$D$37,3,0)</f>
        <v>cashloan</v>
      </c>
      <c r="I4018" s="143">
        <v>156530000</v>
      </c>
    </row>
    <row r="4019" spans="1:9" x14ac:dyDescent="0.2">
      <c r="A4019" s="134">
        <v>45646</v>
      </c>
      <c r="B4019" s="135">
        <f>YEAR(source[[#This Row],[report_date]])</f>
        <v>2024</v>
      </c>
      <c r="C4019" s="128">
        <f t="shared" si="183"/>
        <v>12</v>
      </c>
      <c r="D4019" s="136">
        <f t="shared" si="182"/>
        <v>51</v>
      </c>
      <c r="E4019" s="136">
        <f t="shared" si="184"/>
        <v>20</v>
      </c>
      <c r="F4019" s="137" t="s">
        <v>24</v>
      </c>
      <c r="G4019" s="128" t="str">
        <f>VLOOKUP(source[[#This Row],[lending_product_transform]],[3]Mapping!$B$4:$C$37,2,0)</f>
        <v>[Cake] - Cashloan</v>
      </c>
      <c r="H4019" s="128" t="str">
        <f>VLOOKUP(source[[#This Row],[lending_product_transform]],[3]Mapping!$B$3:$D$37,3,0)</f>
        <v>cashloan</v>
      </c>
      <c r="I4019" s="143">
        <v>288296849</v>
      </c>
    </row>
    <row r="4020" spans="1:9" x14ac:dyDescent="0.2">
      <c r="A4020" s="134">
        <v>45647</v>
      </c>
      <c r="B4020" s="135">
        <f>YEAR(source[[#This Row],[report_date]])</f>
        <v>2024</v>
      </c>
      <c r="C4020" s="128">
        <f t="shared" si="183"/>
        <v>12</v>
      </c>
      <c r="D4020" s="136">
        <f t="shared" si="182"/>
        <v>51</v>
      </c>
      <c r="E4020" s="136">
        <f t="shared" si="184"/>
        <v>21</v>
      </c>
      <c r="F4020" s="137" t="s">
        <v>24</v>
      </c>
      <c r="G4020" s="128" t="str">
        <f>VLOOKUP(source[[#This Row],[lending_product_transform]],[3]Mapping!$B$4:$C$37,2,0)</f>
        <v>[Cake] - Cashloan</v>
      </c>
      <c r="H4020" s="128" t="str">
        <f>VLOOKUP(source[[#This Row],[lending_product_transform]],[3]Mapping!$B$3:$D$37,3,0)</f>
        <v>cashloan</v>
      </c>
      <c r="I4020" s="143">
        <v>68645025</v>
      </c>
    </row>
    <row r="4021" spans="1:9" x14ac:dyDescent="0.2">
      <c r="A4021" s="134">
        <v>45647</v>
      </c>
      <c r="B4021" s="135">
        <f>YEAR(source[[#This Row],[report_date]])</f>
        <v>2024</v>
      </c>
      <c r="C4021" s="128">
        <f t="shared" si="183"/>
        <v>12</v>
      </c>
      <c r="D4021" s="136">
        <f t="shared" si="182"/>
        <v>51</v>
      </c>
      <c r="E4021" s="136">
        <f t="shared" si="184"/>
        <v>21</v>
      </c>
      <c r="F4021" s="137" t="s">
        <v>24</v>
      </c>
      <c r="G4021" s="128" t="str">
        <f>VLOOKUP(source[[#This Row],[lending_product_transform]],[3]Mapping!$B$4:$C$37,2,0)</f>
        <v>[Cake] - Cashloan</v>
      </c>
      <c r="H4021" s="128" t="str">
        <f>VLOOKUP(source[[#This Row],[lending_product_transform]],[3]Mapping!$B$3:$D$37,3,0)</f>
        <v>cashloan</v>
      </c>
      <c r="I4021" s="143">
        <v>26440540</v>
      </c>
    </row>
    <row r="4022" spans="1:9" x14ac:dyDescent="0.2">
      <c r="A4022" s="134">
        <v>45647</v>
      </c>
      <c r="B4022" s="135">
        <f>YEAR(source[[#This Row],[report_date]])</f>
        <v>2024</v>
      </c>
      <c r="C4022" s="128">
        <f t="shared" si="183"/>
        <v>12</v>
      </c>
      <c r="D4022" s="136">
        <f t="shared" si="182"/>
        <v>51</v>
      </c>
      <c r="E4022" s="136">
        <f t="shared" si="184"/>
        <v>21</v>
      </c>
      <c r="F4022" s="137" t="s">
        <v>24</v>
      </c>
      <c r="G4022" s="128" t="str">
        <f>VLOOKUP(source[[#This Row],[lending_product_transform]],[3]Mapping!$B$4:$C$37,2,0)</f>
        <v>[Cake] - Cashloan</v>
      </c>
      <c r="H4022" s="128" t="str">
        <f>VLOOKUP(source[[#This Row],[lending_product_transform]],[3]Mapping!$B$3:$D$37,3,0)</f>
        <v>cashloan</v>
      </c>
      <c r="I4022" s="143">
        <v>0</v>
      </c>
    </row>
    <row r="4023" spans="1:9" x14ac:dyDescent="0.2">
      <c r="A4023" s="134">
        <v>45647</v>
      </c>
      <c r="B4023" s="135">
        <f>YEAR(source[[#This Row],[report_date]])</f>
        <v>2024</v>
      </c>
      <c r="C4023" s="128">
        <f t="shared" si="183"/>
        <v>12</v>
      </c>
      <c r="D4023" s="136">
        <f t="shared" si="182"/>
        <v>51</v>
      </c>
      <c r="E4023" s="136">
        <f t="shared" si="184"/>
        <v>21</v>
      </c>
      <c r="F4023" s="137" t="s">
        <v>24</v>
      </c>
      <c r="G4023" s="128" t="str">
        <f>VLOOKUP(source[[#This Row],[lending_product_transform]],[3]Mapping!$B$4:$C$37,2,0)</f>
        <v>[Cake] - Cashloan</v>
      </c>
      <c r="H4023" s="128" t="str">
        <f>VLOOKUP(source[[#This Row],[lending_product_transform]],[3]Mapping!$B$3:$D$37,3,0)</f>
        <v>cashloan</v>
      </c>
      <c r="I4023" s="143">
        <v>0</v>
      </c>
    </row>
    <row r="4024" spans="1:9" x14ac:dyDescent="0.2">
      <c r="A4024" s="134">
        <v>45647</v>
      </c>
      <c r="B4024" s="135">
        <f>YEAR(source[[#This Row],[report_date]])</f>
        <v>2024</v>
      </c>
      <c r="C4024" s="128">
        <f t="shared" si="183"/>
        <v>12</v>
      </c>
      <c r="D4024" s="136">
        <f t="shared" si="182"/>
        <v>51</v>
      </c>
      <c r="E4024" s="136">
        <f t="shared" si="184"/>
        <v>21</v>
      </c>
      <c r="F4024" s="137" t="s">
        <v>24</v>
      </c>
      <c r="G4024" s="128" t="str">
        <f>VLOOKUP(source[[#This Row],[lending_product_transform]],[3]Mapping!$B$4:$C$37,2,0)</f>
        <v>[Cake] - Cashloan</v>
      </c>
      <c r="H4024" s="128" t="str">
        <f>VLOOKUP(source[[#This Row],[lending_product_transform]],[3]Mapping!$B$3:$D$37,3,0)</f>
        <v>cashloan</v>
      </c>
      <c r="I4024" s="143">
        <v>42800000</v>
      </c>
    </row>
    <row r="4025" spans="1:9" x14ac:dyDescent="0.2">
      <c r="A4025" s="134">
        <v>45647</v>
      </c>
      <c r="B4025" s="135">
        <f>YEAR(source[[#This Row],[report_date]])</f>
        <v>2024</v>
      </c>
      <c r="C4025" s="128">
        <f t="shared" si="183"/>
        <v>12</v>
      </c>
      <c r="D4025" s="136">
        <f t="shared" si="182"/>
        <v>51</v>
      </c>
      <c r="E4025" s="136">
        <f t="shared" si="184"/>
        <v>21</v>
      </c>
      <c r="F4025" s="137" t="s">
        <v>24</v>
      </c>
      <c r="G4025" s="128" t="str">
        <f>VLOOKUP(source[[#This Row],[lending_product_transform]],[3]Mapping!$B$4:$C$37,2,0)</f>
        <v>[Cake] - Cashloan</v>
      </c>
      <c r="H4025" s="128" t="str">
        <f>VLOOKUP(source[[#This Row],[lending_product_transform]],[3]Mapping!$B$3:$D$37,3,0)</f>
        <v>cashloan</v>
      </c>
      <c r="I4025" s="143">
        <v>113970000</v>
      </c>
    </row>
    <row r="4026" spans="1:9" x14ac:dyDescent="0.2">
      <c r="A4026" s="134">
        <v>45647</v>
      </c>
      <c r="B4026" s="135">
        <f>YEAR(source[[#This Row],[report_date]])</f>
        <v>2024</v>
      </c>
      <c r="C4026" s="128">
        <f t="shared" si="183"/>
        <v>12</v>
      </c>
      <c r="D4026" s="136">
        <f t="shared" si="182"/>
        <v>51</v>
      </c>
      <c r="E4026" s="136">
        <f t="shared" si="184"/>
        <v>21</v>
      </c>
      <c r="F4026" s="137" t="s">
        <v>24</v>
      </c>
      <c r="G4026" s="128" t="str">
        <f>VLOOKUP(source[[#This Row],[lending_product_transform]],[3]Mapping!$B$4:$C$37,2,0)</f>
        <v>[Cake] - Cashloan</v>
      </c>
      <c r="H4026" s="128" t="str">
        <f>VLOOKUP(source[[#This Row],[lending_product_transform]],[3]Mapping!$B$3:$D$37,3,0)</f>
        <v>cashloan</v>
      </c>
      <c r="I4026" s="143">
        <v>5078000000</v>
      </c>
    </row>
    <row r="4027" spans="1:9" x14ac:dyDescent="0.2">
      <c r="A4027" s="134">
        <v>45647</v>
      </c>
      <c r="B4027" s="135">
        <f>YEAR(source[[#This Row],[report_date]])</f>
        <v>2024</v>
      </c>
      <c r="C4027" s="128">
        <f t="shared" si="183"/>
        <v>12</v>
      </c>
      <c r="D4027" s="136">
        <f t="shared" si="182"/>
        <v>51</v>
      </c>
      <c r="E4027" s="136">
        <f t="shared" si="184"/>
        <v>21</v>
      </c>
      <c r="F4027" s="137" t="s">
        <v>24</v>
      </c>
      <c r="G4027" s="128" t="str">
        <f>VLOOKUP(source[[#This Row],[lending_product_transform]],[3]Mapping!$B$4:$C$37,2,0)</f>
        <v>[Cake] - Cashloan</v>
      </c>
      <c r="H4027" s="128" t="str">
        <f>VLOOKUP(source[[#This Row],[lending_product_transform]],[3]Mapping!$B$3:$D$37,3,0)</f>
        <v>cashloan</v>
      </c>
      <c r="I4027" s="143">
        <v>0</v>
      </c>
    </row>
    <row r="4028" spans="1:9" x14ac:dyDescent="0.2">
      <c r="A4028" s="134">
        <v>45647</v>
      </c>
      <c r="B4028" s="135">
        <f>YEAR(source[[#This Row],[report_date]])</f>
        <v>2024</v>
      </c>
      <c r="C4028" s="128">
        <f t="shared" si="183"/>
        <v>12</v>
      </c>
      <c r="D4028" s="136">
        <f t="shared" si="182"/>
        <v>51</v>
      </c>
      <c r="E4028" s="136">
        <f t="shared" si="184"/>
        <v>21</v>
      </c>
      <c r="F4028" s="137" t="s">
        <v>24</v>
      </c>
      <c r="G4028" s="128" t="str">
        <f>VLOOKUP(source[[#This Row],[lending_product_transform]],[3]Mapping!$B$4:$C$37,2,0)</f>
        <v>[Cake] - Cashloan</v>
      </c>
      <c r="H4028" s="128" t="str">
        <f>VLOOKUP(source[[#This Row],[lending_product_transform]],[3]Mapping!$B$3:$D$37,3,0)</f>
        <v>cashloan</v>
      </c>
      <c r="I4028" s="143">
        <v>126523446</v>
      </c>
    </row>
    <row r="4029" spans="1:9" x14ac:dyDescent="0.2">
      <c r="A4029" s="134">
        <v>45647</v>
      </c>
      <c r="B4029" s="135">
        <f>YEAR(source[[#This Row],[report_date]])</f>
        <v>2024</v>
      </c>
      <c r="C4029" s="128">
        <f t="shared" si="183"/>
        <v>12</v>
      </c>
      <c r="D4029" s="136">
        <f t="shared" si="182"/>
        <v>51</v>
      </c>
      <c r="E4029" s="136">
        <f t="shared" si="184"/>
        <v>21</v>
      </c>
      <c r="F4029" s="137" t="s">
        <v>24</v>
      </c>
      <c r="G4029" s="128" t="str">
        <f>VLOOKUP(source[[#This Row],[lending_product_transform]],[3]Mapping!$B$4:$C$37,2,0)</f>
        <v>[Cake] - Cashloan</v>
      </c>
      <c r="H4029" s="128" t="str">
        <f>VLOOKUP(source[[#This Row],[lending_product_transform]],[3]Mapping!$B$3:$D$37,3,0)</f>
        <v>cashloan</v>
      </c>
      <c r="I4029" s="143">
        <v>5324600000</v>
      </c>
    </row>
    <row r="4030" spans="1:9" x14ac:dyDescent="0.2">
      <c r="A4030" s="134">
        <v>45647</v>
      </c>
      <c r="B4030" s="135">
        <f>YEAR(source[[#This Row],[report_date]])</f>
        <v>2024</v>
      </c>
      <c r="C4030" s="128">
        <f t="shared" si="183"/>
        <v>12</v>
      </c>
      <c r="D4030" s="136">
        <f t="shared" si="182"/>
        <v>51</v>
      </c>
      <c r="E4030" s="136">
        <f t="shared" si="184"/>
        <v>21</v>
      </c>
      <c r="F4030" s="137" t="s">
        <v>24</v>
      </c>
      <c r="G4030" s="128" t="str">
        <f>VLOOKUP(source[[#This Row],[lending_product_transform]],[3]Mapping!$B$4:$C$37,2,0)</f>
        <v>[Cake] - Cashloan</v>
      </c>
      <c r="H4030" s="128" t="str">
        <f>VLOOKUP(source[[#This Row],[lending_product_transform]],[3]Mapping!$B$3:$D$37,3,0)</f>
        <v>cashloan</v>
      </c>
      <c r="I4030" s="143">
        <v>323622024</v>
      </c>
    </row>
    <row r="4031" spans="1:9" x14ac:dyDescent="0.2">
      <c r="A4031" s="134">
        <v>45647</v>
      </c>
      <c r="B4031" s="135">
        <f>YEAR(source[[#This Row],[report_date]])</f>
        <v>2024</v>
      </c>
      <c r="C4031" s="128">
        <f t="shared" si="183"/>
        <v>12</v>
      </c>
      <c r="D4031" s="136">
        <f t="shared" si="182"/>
        <v>51</v>
      </c>
      <c r="E4031" s="136">
        <f t="shared" si="184"/>
        <v>21</v>
      </c>
      <c r="F4031" s="137" t="s">
        <v>24</v>
      </c>
      <c r="G4031" s="128" t="str">
        <f>VLOOKUP(source[[#This Row],[lending_product_transform]],[3]Mapping!$B$4:$C$37,2,0)</f>
        <v>[Cake] - Cashloan</v>
      </c>
      <c r="H4031" s="128" t="str">
        <f>VLOOKUP(source[[#This Row],[lending_product_transform]],[3]Mapping!$B$3:$D$37,3,0)</f>
        <v>cashloan</v>
      </c>
      <c r="I4031" s="143">
        <v>21000000</v>
      </c>
    </row>
    <row r="4032" spans="1:9" x14ac:dyDescent="0.2">
      <c r="A4032" s="134">
        <v>45647</v>
      </c>
      <c r="B4032" s="135">
        <f>YEAR(source[[#This Row],[report_date]])</f>
        <v>2024</v>
      </c>
      <c r="C4032" s="128">
        <f t="shared" si="183"/>
        <v>12</v>
      </c>
      <c r="D4032" s="136">
        <f t="shared" si="182"/>
        <v>51</v>
      </c>
      <c r="E4032" s="136">
        <f t="shared" si="184"/>
        <v>21</v>
      </c>
      <c r="F4032" s="137" t="s">
        <v>24</v>
      </c>
      <c r="G4032" s="128" t="str">
        <f>VLOOKUP(source[[#This Row],[lending_product_transform]],[3]Mapping!$B$4:$C$37,2,0)</f>
        <v>[Cake] - Cashloan</v>
      </c>
      <c r="H4032" s="128" t="str">
        <f>VLOOKUP(source[[#This Row],[lending_product_transform]],[3]Mapping!$B$3:$D$37,3,0)</f>
        <v>cashloan</v>
      </c>
      <c r="I4032" s="143">
        <v>0</v>
      </c>
    </row>
    <row r="4033" spans="1:9" x14ac:dyDescent="0.2">
      <c r="A4033" s="134">
        <v>45647</v>
      </c>
      <c r="B4033" s="135">
        <f>YEAR(source[[#This Row],[report_date]])</f>
        <v>2024</v>
      </c>
      <c r="C4033" s="128">
        <f t="shared" si="183"/>
        <v>12</v>
      </c>
      <c r="D4033" s="136">
        <f t="shared" si="182"/>
        <v>51</v>
      </c>
      <c r="E4033" s="136">
        <f t="shared" si="184"/>
        <v>21</v>
      </c>
      <c r="F4033" s="137" t="s">
        <v>24</v>
      </c>
      <c r="G4033" s="128" t="str">
        <f>VLOOKUP(source[[#This Row],[lending_product_transform]],[3]Mapping!$B$4:$C$37,2,0)</f>
        <v>[Cake] - Cashloan</v>
      </c>
      <c r="H4033" s="128" t="str">
        <f>VLOOKUP(source[[#This Row],[lending_product_transform]],[3]Mapping!$B$3:$D$37,3,0)</f>
        <v>cashloan</v>
      </c>
      <c r="I4033" s="143">
        <v>313350000</v>
      </c>
    </row>
    <row r="4034" spans="1:9" x14ac:dyDescent="0.2">
      <c r="A4034" s="134">
        <v>45647</v>
      </c>
      <c r="B4034" s="135">
        <f>YEAR(source[[#This Row],[report_date]])</f>
        <v>2024</v>
      </c>
      <c r="C4034" s="128">
        <f t="shared" si="183"/>
        <v>12</v>
      </c>
      <c r="D4034" s="136">
        <f t="shared" si="182"/>
        <v>51</v>
      </c>
      <c r="E4034" s="136">
        <f t="shared" si="184"/>
        <v>21</v>
      </c>
      <c r="F4034" s="137" t="s">
        <v>24</v>
      </c>
      <c r="G4034" s="128" t="str">
        <f>VLOOKUP(source[[#This Row],[lending_product_transform]],[3]Mapping!$B$4:$C$37,2,0)</f>
        <v>[Cake] - Cashloan</v>
      </c>
      <c r="H4034" s="128" t="str">
        <f>VLOOKUP(source[[#This Row],[lending_product_transform]],[3]Mapping!$B$3:$D$37,3,0)</f>
        <v>cashloan</v>
      </c>
      <c r="I4034" s="143">
        <v>3285163546</v>
      </c>
    </row>
    <row r="4035" spans="1:9" x14ac:dyDescent="0.2">
      <c r="A4035" s="134">
        <v>45647</v>
      </c>
      <c r="B4035" s="135">
        <f>YEAR(source[[#This Row],[report_date]])</f>
        <v>2024</v>
      </c>
      <c r="C4035" s="128">
        <f t="shared" si="183"/>
        <v>12</v>
      </c>
      <c r="D4035" s="136">
        <f t="shared" ref="D4035:D4098" si="185">WEEKNUM(A4035,2)</f>
        <v>51</v>
      </c>
      <c r="E4035" s="136">
        <f t="shared" si="184"/>
        <v>21</v>
      </c>
      <c r="F4035" s="137" t="s">
        <v>24</v>
      </c>
      <c r="G4035" s="128" t="str">
        <f>VLOOKUP(source[[#This Row],[lending_product_transform]],[3]Mapping!$B$4:$C$37,2,0)</f>
        <v>[Cake] - Cashloan</v>
      </c>
      <c r="H4035" s="128" t="str">
        <f>VLOOKUP(source[[#This Row],[lending_product_transform]],[3]Mapping!$B$3:$D$37,3,0)</f>
        <v>cashloan</v>
      </c>
      <c r="I4035" s="143">
        <v>29000000</v>
      </c>
    </row>
    <row r="4036" spans="1:9" x14ac:dyDescent="0.2">
      <c r="A4036" s="134">
        <v>45647</v>
      </c>
      <c r="B4036" s="135">
        <f>YEAR(source[[#This Row],[report_date]])</f>
        <v>2024</v>
      </c>
      <c r="C4036" s="128">
        <f t="shared" si="183"/>
        <v>12</v>
      </c>
      <c r="D4036" s="136">
        <f t="shared" si="185"/>
        <v>51</v>
      </c>
      <c r="E4036" s="136">
        <f t="shared" si="184"/>
        <v>21</v>
      </c>
      <c r="F4036" s="137" t="s">
        <v>24</v>
      </c>
      <c r="G4036" s="128" t="str">
        <f>VLOOKUP(source[[#This Row],[lending_product_transform]],[3]Mapping!$B$4:$C$37,2,0)</f>
        <v>[Cake] - Cashloan</v>
      </c>
      <c r="H4036" s="128" t="str">
        <f>VLOOKUP(source[[#This Row],[lending_product_transform]],[3]Mapping!$B$3:$D$37,3,0)</f>
        <v>cashloan</v>
      </c>
      <c r="I4036" s="143">
        <v>21000000</v>
      </c>
    </row>
    <row r="4037" spans="1:9" x14ac:dyDescent="0.2">
      <c r="A4037" s="134">
        <v>45647</v>
      </c>
      <c r="B4037" s="135">
        <f>YEAR(source[[#This Row],[report_date]])</f>
        <v>2024</v>
      </c>
      <c r="C4037" s="128">
        <f t="shared" si="183"/>
        <v>12</v>
      </c>
      <c r="D4037" s="136">
        <f t="shared" si="185"/>
        <v>51</v>
      </c>
      <c r="E4037" s="136">
        <f t="shared" si="184"/>
        <v>21</v>
      </c>
      <c r="F4037" s="137" t="s">
        <v>24</v>
      </c>
      <c r="G4037" s="128" t="str">
        <f>VLOOKUP(source[[#This Row],[lending_product_transform]],[3]Mapping!$B$4:$C$37,2,0)</f>
        <v>[Cake] - Cashloan</v>
      </c>
      <c r="H4037" s="128" t="str">
        <f>VLOOKUP(source[[#This Row],[lending_product_transform]],[3]Mapping!$B$3:$D$37,3,0)</f>
        <v>cashloan</v>
      </c>
      <c r="I4037" s="143">
        <v>5157040000</v>
      </c>
    </row>
    <row r="4038" spans="1:9" x14ac:dyDescent="0.2">
      <c r="A4038" s="134">
        <v>45648</v>
      </c>
      <c r="B4038" s="135">
        <f>YEAR(source[[#This Row],[report_date]])</f>
        <v>2024</v>
      </c>
      <c r="C4038" s="128">
        <f t="shared" si="183"/>
        <v>12</v>
      </c>
      <c r="D4038" s="136">
        <f t="shared" si="185"/>
        <v>51</v>
      </c>
      <c r="E4038" s="136">
        <f t="shared" si="184"/>
        <v>22</v>
      </c>
      <c r="F4038" s="137" t="s">
        <v>24</v>
      </c>
      <c r="G4038" s="128" t="str">
        <f>VLOOKUP(source[[#This Row],[lending_product_transform]],[3]Mapping!$B$4:$C$37,2,0)</f>
        <v>[Cake] - Cashloan</v>
      </c>
      <c r="H4038" s="128" t="str">
        <f>VLOOKUP(source[[#This Row],[lending_product_transform]],[3]Mapping!$B$3:$D$37,3,0)</f>
        <v>cashloan</v>
      </c>
      <c r="I4038" s="143">
        <v>0</v>
      </c>
    </row>
    <row r="4039" spans="1:9" x14ac:dyDescent="0.2">
      <c r="A4039" s="134">
        <v>45648</v>
      </c>
      <c r="B4039" s="135">
        <f>YEAR(source[[#This Row],[report_date]])</f>
        <v>2024</v>
      </c>
      <c r="C4039" s="128">
        <f t="shared" si="183"/>
        <v>12</v>
      </c>
      <c r="D4039" s="136">
        <f t="shared" si="185"/>
        <v>51</v>
      </c>
      <c r="E4039" s="136">
        <f t="shared" si="184"/>
        <v>22</v>
      </c>
      <c r="F4039" s="137" t="s">
        <v>24</v>
      </c>
      <c r="G4039" s="128" t="str">
        <f>VLOOKUP(source[[#This Row],[lending_product_transform]],[3]Mapping!$B$4:$C$37,2,0)</f>
        <v>[Cake] - Cashloan</v>
      </c>
      <c r="H4039" s="128" t="str">
        <f>VLOOKUP(source[[#This Row],[lending_product_transform]],[3]Mapping!$B$3:$D$37,3,0)</f>
        <v>cashloan</v>
      </c>
      <c r="I4039" s="143">
        <v>2827490078</v>
      </c>
    </row>
    <row r="4040" spans="1:9" x14ac:dyDescent="0.2">
      <c r="A4040" s="134">
        <v>45648</v>
      </c>
      <c r="B4040" s="135">
        <f>YEAR(source[[#This Row],[report_date]])</f>
        <v>2024</v>
      </c>
      <c r="C4040" s="128">
        <f t="shared" si="183"/>
        <v>12</v>
      </c>
      <c r="D4040" s="136">
        <f t="shared" si="185"/>
        <v>51</v>
      </c>
      <c r="E4040" s="136">
        <f t="shared" si="184"/>
        <v>22</v>
      </c>
      <c r="F4040" s="137" t="s">
        <v>24</v>
      </c>
      <c r="G4040" s="128" t="str">
        <f>VLOOKUP(source[[#This Row],[lending_product_transform]],[3]Mapping!$B$4:$C$37,2,0)</f>
        <v>[Cake] - Cashloan</v>
      </c>
      <c r="H4040" s="128" t="str">
        <f>VLOOKUP(source[[#This Row],[lending_product_transform]],[3]Mapping!$B$3:$D$37,3,0)</f>
        <v>cashloan</v>
      </c>
      <c r="I4040" s="143">
        <v>20000000</v>
      </c>
    </row>
    <row r="4041" spans="1:9" x14ac:dyDescent="0.2">
      <c r="A4041" s="134">
        <v>45648</v>
      </c>
      <c r="B4041" s="135">
        <f>YEAR(source[[#This Row],[report_date]])</f>
        <v>2024</v>
      </c>
      <c r="C4041" s="128">
        <f t="shared" si="183"/>
        <v>12</v>
      </c>
      <c r="D4041" s="136">
        <f t="shared" si="185"/>
        <v>51</v>
      </c>
      <c r="E4041" s="136">
        <f t="shared" si="184"/>
        <v>22</v>
      </c>
      <c r="F4041" s="137" t="s">
        <v>24</v>
      </c>
      <c r="G4041" s="128" t="str">
        <f>VLOOKUP(source[[#This Row],[lending_product_transform]],[3]Mapping!$B$4:$C$37,2,0)</f>
        <v>[Cake] - Cashloan</v>
      </c>
      <c r="H4041" s="128" t="str">
        <f>VLOOKUP(source[[#This Row],[lending_product_transform]],[3]Mapping!$B$3:$D$37,3,0)</f>
        <v>cashloan</v>
      </c>
      <c r="I4041" s="143">
        <v>45310000</v>
      </c>
    </row>
    <row r="4042" spans="1:9" x14ac:dyDescent="0.2">
      <c r="A4042" s="134">
        <v>45648</v>
      </c>
      <c r="B4042" s="135">
        <f>YEAR(source[[#This Row],[report_date]])</f>
        <v>2024</v>
      </c>
      <c r="C4042" s="128">
        <f t="shared" si="183"/>
        <v>12</v>
      </c>
      <c r="D4042" s="136">
        <f t="shared" si="185"/>
        <v>51</v>
      </c>
      <c r="E4042" s="136">
        <f t="shared" si="184"/>
        <v>22</v>
      </c>
      <c r="F4042" s="137" t="s">
        <v>24</v>
      </c>
      <c r="G4042" s="128" t="str">
        <f>VLOOKUP(source[[#This Row],[lending_product_transform]],[3]Mapping!$B$4:$C$37,2,0)</f>
        <v>[Cake] - Cashloan</v>
      </c>
      <c r="H4042" s="128" t="str">
        <f>VLOOKUP(source[[#This Row],[lending_product_transform]],[3]Mapping!$B$3:$D$37,3,0)</f>
        <v>cashloan</v>
      </c>
      <c r="I4042" s="143">
        <v>256854444</v>
      </c>
    </row>
    <row r="4043" spans="1:9" x14ac:dyDescent="0.2">
      <c r="A4043" s="134">
        <v>45648</v>
      </c>
      <c r="B4043" s="135">
        <f>YEAR(source[[#This Row],[report_date]])</f>
        <v>2024</v>
      </c>
      <c r="C4043" s="128">
        <f t="shared" si="183"/>
        <v>12</v>
      </c>
      <c r="D4043" s="136">
        <f t="shared" si="185"/>
        <v>51</v>
      </c>
      <c r="E4043" s="136">
        <f t="shared" si="184"/>
        <v>22</v>
      </c>
      <c r="F4043" s="137" t="s">
        <v>24</v>
      </c>
      <c r="G4043" s="128" t="str">
        <f>VLOOKUP(source[[#This Row],[lending_product_transform]],[3]Mapping!$B$4:$C$37,2,0)</f>
        <v>[Cake] - Cashloan</v>
      </c>
      <c r="H4043" s="128" t="str">
        <f>VLOOKUP(source[[#This Row],[lending_product_transform]],[3]Mapping!$B$3:$D$37,3,0)</f>
        <v>cashloan</v>
      </c>
      <c r="I4043" s="143">
        <v>0</v>
      </c>
    </row>
    <row r="4044" spans="1:9" x14ac:dyDescent="0.2">
      <c r="A4044" s="134">
        <v>45648</v>
      </c>
      <c r="B4044" s="135">
        <f>YEAR(source[[#This Row],[report_date]])</f>
        <v>2024</v>
      </c>
      <c r="C4044" s="128">
        <f t="shared" si="183"/>
        <v>12</v>
      </c>
      <c r="D4044" s="136">
        <f t="shared" si="185"/>
        <v>51</v>
      </c>
      <c r="E4044" s="136">
        <f t="shared" si="184"/>
        <v>22</v>
      </c>
      <c r="F4044" s="137" t="s">
        <v>24</v>
      </c>
      <c r="G4044" s="128" t="str">
        <f>VLOOKUP(source[[#This Row],[lending_product_transform]],[3]Mapping!$B$4:$C$37,2,0)</f>
        <v>[Cake] - Cashloan</v>
      </c>
      <c r="H4044" s="128" t="str">
        <f>VLOOKUP(source[[#This Row],[lending_product_transform]],[3]Mapping!$B$3:$D$37,3,0)</f>
        <v>cashloan</v>
      </c>
      <c r="I4044" s="143">
        <v>16050000</v>
      </c>
    </row>
    <row r="4045" spans="1:9" x14ac:dyDescent="0.2">
      <c r="A4045" s="134">
        <v>45648</v>
      </c>
      <c r="B4045" s="135">
        <f>YEAR(source[[#This Row],[report_date]])</f>
        <v>2024</v>
      </c>
      <c r="C4045" s="128">
        <f t="shared" si="183"/>
        <v>12</v>
      </c>
      <c r="D4045" s="136">
        <f t="shared" si="185"/>
        <v>51</v>
      </c>
      <c r="E4045" s="136">
        <f t="shared" si="184"/>
        <v>22</v>
      </c>
      <c r="F4045" s="137" t="s">
        <v>24</v>
      </c>
      <c r="G4045" s="128" t="str">
        <f>VLOOKUP(source[[#This Row],[lending_product_transform]],[3]Mapping!$B$4:$C$37,2,0)</f>
        <v>[Cake] - Cashloan</v>
      </c>
      <c r="H4045" s="128" t="str">
        <f>VLOOKUP(source[[#This Row],[lending_product_transform]],[3]Mapping!$B$3:$D$37,3,0)</f>
        <v>cashloan</v>
      </c>
      <c r="I4045" s="143">
        <v>52500000</v>
      </c>
    </row>
    <row r="4046" spans="1:9" x14ac:dyDescent="0.2">
      <c r="A4046" s="134">
        <v>45648</v>
      </c>
      <c r="B4046" s="135">
        <f>YEAR(source[[#This Row],[report_date]])</f>
        <v>2024</v>
      </c>
      <c r="C4046" s="128">
        <f t="shared" si="183"/>
        <v>12</v>
      </c>
      <c r="D4046" s="136">
        <f t="shared" si="185"/>
        <v>51</v>
      </c>
      <c r="E4046" s="136">
        <f t="shared" si="184"/>
        <v>22</v>
      </c>
      <c r="F4046" s="137" t="s">
        <v>24</v>
      </c>
      <c r="G4046" s="128" t="str">
        <f>VLOOKUP(source[[#This Row],[lending_product_transform]],[3]Mapping!$B$4:$C$37,2,0)</f>
        <v>[Cake] - Cashloan</v>
      </c>
      <c r="H4046" s="128" t="str">
        <f>VLOOKUP(source[[#This Row],[lending_product_transform]],[3]Mapping!$B$3:$D$37,3,0)</f>
        <v>cashloan</v>
      </c>
      <c r="I4046" s="143">
        <v>120315841</v>
      </c>
    </row>
    <row r="4047" spans="1:9" x14ac:dyDescent="0.2">
      <c r="A4047" s="134">
        <v>45648</v>
      </c>
      <c r="B4047" s="135">
        <f>YEAR(source[[#This Row],[report_date]])</f>
        <v>2024</v>
      </c>
      <c r="C4047" s="128">
        <f t="shared" si="183"/>
        <v>12</v>
      </c>
      <c r="D4047" s="136">
        <f t="shared" si="185"/>
        <v>51</v>
      </c>
      <c r="E4047" s="136">
        <f t="shared" si="184"/>
        <v>22</v>
      </c>
      <c r="F4047" s="137" t="s">
        <v>24</v>
      </c>
      <c r="G4047" s="128" t="str">
        <f>VLOOKUP(source[[#This Row],[lending_product_transform]],[3]Mapping!$B$4:$C$37,2,0)</f>
        <v>[Cake] - Cashloan</v>
      </c>
      <c r="H4047" s="128" t="str">
        <f>VLOOKUP(source[[#This Row],[lending_product_transform]],[3]Mapping!$B$3:$D$37,3,0)</f>
        <v>cashloan</v>
      </c>
      <c r="I4047" s="143">
        <v>4747500000</v>
      </c>
    </row>
    <row r="4048" spans="1:9" x14ac:dyDescent="0.2">
      <c r="A4048" s="134">
        <v>45648</v>
      </c>
      <c r="B4048" s="135">
        <f>YEAR(source[[#This Row],[report_date]])</f>
        <v>2024</v>
      </c>
      <c r="C4048" s="128">
        <f t="shared" si="183"/>
        <v>12</v>
      </c>
      <c r="D4048" s="136">
        <f t="shared" si="185"/>
        <v>51</v>
      </c>
      <c r="E4048" s="136">
        <f t="shared" si="184"/>
        <v>22</v>
      </c>
      <c r="F4048" s="137" t="s">
        <v>24</v>
      </c>
      <c r="G4048" s="128" t="str">
        <f>VLOOKUP(source[[#This Row],[lending_product_transform]],[3]Mapping!$B$4:$C$37,2,0)</f>
        <v>[Cake] - Cashloan</v>
      </c>
      <c r="H4048" s="128" t="str">
        <f>VLOOKUP(source[[#This Row],[lending_product_transform]],[3]Mapping!$B$3:$D$37,3,0)</f>
        <v>cashloan</v>
      </c>
      <c r="I4048" s="143">
        <v>4644830000</v>
      </c>
    </row>
    <row r="4049" spans="1:9" x14ac:dyDescent="0.2">
      <c r="A4049" s="134">
        <v>45648</v>
      </c>
      <c r="B4049" s="135">
        <f>YEAR(source[[#This Row],[report_date]])</f>
        <v>2024</v>
      </c>
      <c r="C4049" s="128">
        <f t="shared" si="183"/>
        <v>12</v>
      </c>
      <c r="D4049" s="136">
        <f t="shared" si="185"/>
        <v>51</v>
      </c>
      <c r="E4049" s="136">
        <f t="shared" si="184"/>
        <v>22</v>
      </c>
      <c r="F4049" s="137" t="s">
        <v>24</v>
      </c>
      <c r="G4049" s="128" t="str">
        <f>VLOOKUP(source[[#This Row],[lending_product_transform]],[3]Mapping!$B$4:$C$37,2,0)</f>
        <v>[Cake] - Cashloan</v>
      </c>
      <c r="H4049" s="128" t="str">
        <f>VLOOKUP(source[[#This Row],[lending_product_transform]],[3]Mapping!$B$3:$D$37,3,0)</f>
        <v>cashloan</v>
      </c>
      <c r="I4049" s="143">
        <v>11283062</v>
      </c>
    </row>
    <row r="4050" spans="1:9" x14ac:dyDescent="0.2">
      <c r="A4050" s="134">
        <v>45648</v>
      </c>
      <c r="B4050" s="135">
        <f>YEAR(source[[#This Row],[report_date]])</f>
        <v>2024</v>
      </c>
      <c r="C4050" s="128">
        <f t="shared" si="183"/>
        <v>12</v>
      </c>
      <c r="D4050" s="136">
        <f t="shared" si="185"/>
        <v>51</v>
      </c>
      <c r="E4050" s="136">
        <f t="shared" si="184"/>
        <v>22</v>
      </c>
      <c r="F4050" s="137" t="s">
        <v>24</v>
      </c>
      <c r="G4050" s="128" t="str">
        <f>VLOOKUP(source[[#This Row],[lending_product_transform]],[3]Mapping!$B$4:$C$37,2,0)</f>
        <v>[Cake] - Cashloan</v>
      </c>
      <c r="H4050" s="128" t="str">
        <f>VLOOKUP(source[[#This Row],[lending_product_transform]],[3]Mapping!$B$3:$D$37,3,0)</f>
        <v>cashloan</v>
      </c>
      <c r="I4050" s="143">
        <v>48640266</v>
      </c>
    </row>
    <row r="4051" spans="1:9" x14ac:dyDescent="0.2">
      <c r="A4051" s="134">
        <v>45648</v>
      </c>
      <c r="B4051" s="135">
        <f>YEAR(source[[#This Row],[report_date]])</f>
        <v>2024</v>
      </c>
      <c r="C4051" s="128">
        <f t="shared" si="183"/>
        <v>12</v>
      </c>
      <c r="D4051" s="136">
        <f t="shared" si="185"/>
        <v>51</v>
      </c>
      <c r="E4051" s="136">
        <f t="shared" si="184"/>
        <v>22</v>
      </c>
      <c r="F4051" s="137" t="s">
        <v>24</v>
      </c>
      <c r="G4051" s="128" t="str">
        <f>VLOOKUP(source[[#This Row],[lending_product_transform]],[3]Mapping!$B$4:$C$37,2,0)</f>
        <v>[Cake] - Cashloan</v>
      </c>
      <c r="H4051" s="128" t="str">
        <f>VLOOKUP(source[[#This Row],[lending_product_transform]],[3]Mapping!$B$3:$D$37,3,0)</f>
        <v>cashloan</v>
      </c>
      <c r="I4051" s="143">
        <v>115560000</v>
      </c>
    </row>
    <row r="4052" spans="1:9" x14ac:dyDescent="0.2">
      <c r="A4052" s="134">
        <v>45648</v>
      </c>
      <c r="B4052" s="135">
        <f>YEAR(source[[#This Row],[report_date]])</f>
        <v>2024</v>
      </c>
      <c r="C4052" s="128">
        <f t="shared" si="183"/>
        <v>12</v>
      </c>
      <c r="D4052" s="136">
        <f t="shared" si="185"/>
        <v>51</v>
      </c>
      <c r="E4052" s="136">
        <f t="shared" si="184"/>
        <v>22</v>
      </c>
      <c r="F4052" s="137" t="s">
        <v>24</v>
      </c>
      <c r="G4052" s="128" t="str">
        <f>VLOOKUP(source[[#This Row],[lending_product_transform]],[3]Mapping!$B$4:$C$37,2,0)</f>
        <v>[Cake] - Cashloan</v>
      </c>
      <c r="H4052" s="128" t="str">
        <f>VLOOKUP(source[[#This Row],[lending_product_transform]],[3]Mapping!$B$3:$D$37,3,0)</f>
        <v>cashloan</v>
      </c>
      <c r="I4052" s="143">
        <v>65000000</v>
      </c>
    </row>
    <row r="4053" spans="1:9" x14ac:dyDescent="0.2">
      <c r="A4053" s="134">
        <v>45648</v>
      </c>
      <c r="B4053" s="135">
        <f>YEAR(source[[#This Row],[report_date]])</f>
        <v>2024</v>
      </c>
      <c r="C4053" s="128">
        <f t="shared" si="183"/>
        <v>12</v>
      </c>
      <c r="D4053" s="136">
        <f t="shared" si="185"/>
        <v>51</v>
      </c>
      <c r="E4053" s="136">
        <f t="shared" si="184"/>
        <v>22</v>
      </c>
      <c r="F4053" s="137" t="s">
        <v>24</v>
      </c>
      <c r="G4053" s="128" t="str">
        <f>VLOOKUP(source[[#This Row],[lending_product_transform]],[3]Mapping!$B$4:$C$37,2,0)</f>
        <v>[Cake] - Cashloan</v>
      </c>
      <c r="H4053" s="128" t="str">
        <f>VLOOKUP(source[[#This Row],[lending_product_transform]],[3]Mapping!$B$3:$D$37,3,0)</f>
        <v>cashloan</v>
      </c>
      <c r="I4053" s="143">
        <v>0</v>
      </c>
    </row>
    <row r="4054" spans="1:9" x14ac:dyDescent="0.2">
      <c r="A4054" s="134">
        <v>45648</v>
      </c>
      <c r="B4054" s="135">
        <f>YEAR(source[[#This Row],[report_date]])</f>
        <v>2024</v>
      </c>
      <c r="C4054" s="128">
        <f t="shared" si="183"/>
        <v>12</v>
      </c>
      <c r="D4054" s="136">
        <f t="shared" si="185"/>
        <v>51</v>
      </c>
      <c r="E4054" s="136">
        <f t="shared" si="184"/>
        <v>22</v>
      </c>
      <c r="F4054" s="137" t="s">
        <v>24</v>
      </c>
      <c r="G4054" s="128" t="str">
        <f>VLOOKUP(source[[#This Row],[lending_product_transform]],[3]Mapping!$B$4:$C$37,2,0)</f>
        <v>[Cake] - Cashloan</v>
      </c>
      <c r="H4054" s="128" t="str">
        <f>VLOOKUP(source[[#This Row],[lending_product_transform]],[3]Mapping!$B$3:$D$37,3,0)</f>
        <v>cashloan</v>
      </c>
      <c r="I4054" s="143">
        <v>4559310000</v>
      </c>
    </row>
    <row r="4055" spans="1:9" x14ac:dyDescent="0.2">
      <c r="A4055" s="134">
        <v>45648</v>
      </c>
      <c r="B4055" s="135">
        <f>YEAR(source[[#This Row],[report_date]])</f>
        <v>2024</v>
      </c>
      <c r="C4055" s="128">
        <f t="shared" si="183"/>
        <v>12</v>
      </c>
      <c r="D4055" s="136">
        <f t="shared" si="185"/>
        <v>51</v>
      </c>
      <c r="E4055" s="136">
        <f t="shared" si="184"/>
        <v>22</v>
      </c>
      <c r="F4055" s="137" t="s">
        <v>24</v>
      </c>
      <c r="G4055" s="128" t="str">
        <f>VLOOKUP(source[[#This Row],[lending_product_transform]],[3]Mapping!$B$4:$C$37,2,0)</f>
        <v>[Cake] - Cashloan</v>
      </c>
      <c r="H4055" s="128" t="str">
        <f>VLOOKUP(source[[#This Row],[lending_product_transform]],[3]Mapping!$B$3:$D$37,3,0)</f>
        <v>cashloan</v>
      </c>
      <c r="I4055" s="143">
        <v>549660000</v>
      </c>
    </row>
    <row r="4056" spans="1:9" x14ac:dyDescent="0.2">
      <c r="A4056" s="134">
        <v>45649</v>
      </c>
      <c r="B4056" s="135">
        <f>YEAR(source[[#This Row],[report_date]])</f>
        <v>2024</v>
      </c>
      <c r="C4056" s="128">
        <f t="shared" si="183"/>
        <v>12</v>
      </c>
      <c r="D4056" s="136">
        <f t="shared" si="185"/>
        <v>52</v>
      </c>
      <c r="E4056" s="136">
        <f t="shared" si="184"/>
        <v>23</v>
      </c>
      <c r="F4056" s="137" t="s">
        <v>24</v>
      </c>
      <c r="G4056" s="128" t="str">
        <f>VLOOKUP(source[[#This Row],[lending_product_transform]],[3]Mapping!$B$4:$C$37,2,0)</f>
        <v>[Cake] - Cashloan</v>
      </c>
      <c r="H4056" s="128" t="str">
        <f>VLOOKUP(source[[#This Row],[lending_product_transform]],[3]Mapping!$B$3:$D$37,3,0)</f>
        <v>cashloan</v>
      </c>
      <c r="I4056" s="143">
        <v>275212714</v>
      </c>
    </row>
    <row r="4057" spans="1:9" x14ac:dyDescent="0.2">
      <c r="A4057" s="134">
        <v>45649</v>
      </c>
      <c r="B4057" s="135">
        <f>YEAR(source[[#This Row],[report_date]])</f>
        <v>2024</v>
      </c>
      <c r="C4057" s="128">
        <f t="shared" si="183"/>
        <v>12</v>
      </c>
      <c r="D4057" s="136">
        <f t="shared" si="185"/>
        <v>52</v>
      </c>
      <c r="E4057" s="136">
        <f t="shared" si="184"/>
        <v>23</v>
      </c>
      <c r="F4057" s="137" t="s">
        <v>24</v>
      </c>
      <c r="G4057" s="128" t="str">
        <f>VLOOKUP(source[[#This Row],[lending_product_transform]],[3]Mapping!$B$4:$C$37,2,0)</f>
        <v>[Cake] - Cashloan</v>
      </c>
      <c r="H4057" s="128" t="str">
        <f>VLOOKUP(source[[#This Row],[lending_product_transform]],[3]Mapping!$B$3:$D$37,3,0)</f>
        <v>cashloan</v>
      </c>
      <c r="I4057" s="143">
        <v>0</v>
      </c>
    </row>
    <row r="4058" spans="1:9" x14ac:dyDescent="0.2">
      <c r="A4058" s="134">
        <v>45649</v>
      </c>
      <c r="B4058" s="135">
        <f>YEAR(source[[#This Row],[report_date]])</f>
        <v>2024</v>
      </c>
      <c r="C4058" s="128">
        <f t="shared" si="183"/>
        <v>12</v>
      </c>
      <c r="D4058" s="136">
        <f t="shared" si="185"/>
        <v>52</v>
      </c>
      <c r="E4058" s="136">
        <f t="shared" si="184"/>
        <v>23</v>
      </c>
      <c r="F4058" s="137" t="s">
        <v>24</v>
      </c>
      <c r="G4058" s="128" t="str">
        <f>VLOOKUP(source[[#This Row],[lending_product_transform]],[3]Mapping!$B$4:$C$37,2,0)</f>
        <v>[Cake] - Cashloan</v>
      </c>
      <c r="H4058" s="128" t="str">
        <f>VLOOKUP(source[[#This Row],[lending_product_transform]],[3]Mapping!$B$3:$D$37,3,0)</f>
        <v>cashloan</v>
      </c>
      <c r="I4058" s="143">
        <v>0</v>
      </c>
    </row>
    <row r="4059" spans="1:9" x14ac:dyDescent="0.2">
      <c r="A4059" s="134">
        <v>45649</v>
      </c>
      <c r="B4059" s="135">
        <f>YEAR(source[[#This Row],[report_date]])</f>
        <v>2024</v>
      </c>
      <c r="C4059" s="128">
        <f t="shared" si="183"/>
        <v>12</v>
      </c>
      <c r="D4059" s="136">
        <f t="shared" si="185"/>
        <v>52</v>
      </c>
      <c r="E4059" s="136">
        <f t="shared" si="184"/>
        <v>23</v>
      </c>
      <c r="F4059" s="137" t="s">
        <v>24</v>
      </c>
      <c r="G4059" s="128" t="str">
        <f>VLOOKUP(source[[#This Row],[lending_product_transform]],[3]Mapping!$B$4:$C$37,2,0)</f>
        <v>[Cake] - Cashloan</v>
      </c>
      <c r="H4059" s="128" t="str">
        <f>VLOOKUP(source[[#This Row],[lending_product_transform]],[3]Mapping!$B$3:$D$37,3,0)</f>
        <v>cashloan</v>
      </c>
      <c r="I4059" s="143">
        <v>0</v>
      </c>
    </row>
    <row r="4060" spans="1:9" x14ac:dyDescent="0.2">
      <c r="A4060" s="134">
        <v>45649</v>
      </c>
      <c r="B4060" s="135">
        <f>YEAR(source[[#This Row],[report_date]])</f>
        <v>2024</v>
      </c>
      <c r="C4060" s="128">
        <f t="shared" si="183"/>
        <v>12</v>
      </c>
      <c r="D4060" s="136">
        <f t="shared" si="185"/>
        <v>52</v>
      </c>
      <c r="E4060" s="136">
        <f t="shared" si="184"/>
        <v>23</v>
      </c>
      <c r="F4060" s="137" t="s">
        <v>24</v>
      </c>
      <c r="G4060" s="128" t="str">
        <f>VLOOKUP(source[[#This Row],[lending_product_transform]],[3]Mapping!$B$4:$C$37,2,0)</f>
        <v>[Cake] - Cashloan</v>
      </c>
      <c r="H4060" s="128" t="str">
        <f>VLOOKUP(source[[#This Row],[lending_product_transform]],[3]Mapping!$B$3:$D$37,3,0)</f>
        <v>cashloan</v>
      </c>
      <c r="I4060" s="143">
        <v>5050500000</v>
      </c>
    </row>
    <row r="4061" spans="1:9" x14ac:dyDescent="0.2">
      <c r="A4061" s="134">
        <v>45649</v>
      </c>
      <c r="B4061" s="135">
        <f>YEAR(source[[#This Row],[report_date]])</f>
        <v>2024</v>
      </c>
      <c r="C4061" s="128">
        <f t="shared" ref="C4061:C4124" si="186">MONTH(A4061)</f>
        <v>12</v>
      </c>
      <c r="D4061" s="136">
        <f t="shared" si="185"/>
        <v>52</v>
      </c>
      <c r="E4061" s="136">
        <f t="shared" ref="E4061:E4124" si="187">DAY(A4061)</f>
        <v>23</v>
      </c>
      <c r="F4061" s="137" t="s">
        <v>24</v>
      </c>
      <c r="G4061" s="128" t="str">
        <f>VLOOKUP(source[[#This Row],[lending_product_transform]],[3]Mapping!$B$4:$C$37,2,0)</f>
        <v>[Cake] - Cashloan</v>
      </c>
      <c r="H4061" s="128" t="str">
        <f>VLOOKUP(source[[#This Row],[lending_product_transform]],[3]Mapping!$B$3:$D$37,3,0)</f>
        <v>cashloan</v>
      </c>
      <c r="I4061" s="143">
        <v>122220446</v>
      </c>
    </row>
    <row r="4062" spans="1:9" x14ac:dyDescent="0.2">
      <c r="A4062" s="134">
        <v>45649</v>
      </c>
      <c r="B4062" s="135">
        <f>YEAR(source[[#This Row],[report_date]])</f>
        <v>2024</v>
      </c>
      <c r="C4062" s="128">
        <f t="shared" si="186"/>
        <v>12</v>
      </c>
      <c r="D4062" s="136">
        <f t="shared" si="185"/>
        <v>52</v>
      </c>
      <c r="E4062" s="136">
        <f t="shared" si="187"/>
        <v>23</v>
      </c>
      <c r="F4062" s="137" t="s">
        <v>24</v>
      </c>
      <c r="G4062" s="128" t="str">
        <f>VLOOKUP(source[[#This Row],[lending_product_transform]],[3]Mapping!$B$4:$C$37,2,0)</f>
        <v>[Cake] - Cashloan</v>
      </c>
      <c r="H4062" s="128" t="str">
        <f>VLOOKUP(source[[#This Row],[lending_product_transform]],[3]Mapping!$B$3:$D$37,3,0)</f>
        <v>cashloan</v>
      </c>
      <c r="I4062" s="143">
        <v>73526029</v>
      </c>
    </row>
    <row r="4063" spans="1:9" x14ac:dyDescent="0.2">
      <c r="A4063" s="134">
        <v>45649</v>
      </c>
      <c r="B4063" s="135">
        <f>YEAR(source[[#This Row],[report_date]])</f>
        <v>2024</v>
      </c>
      <c r="C4063" s="128">
        <f t="shared" si="186"/>
        <v>12</v>
      </c>
      <c r="D4063" s="136">
        <f t="shared" si="185"/>
        <v>52</v>
      </c>
      <c r="E4063" s="136">
        <f t="shared" si="187"/>
        <v>23</v>
      </c>
      <c r="F4063" s="137" t="s">
        <v>24</v>
      </c>
      <c r="G4063" s="128" t="str">
        <f>VLOOKUP(source[[#This Row],[lending_product_transform]],[3]Mapping!$B$4:$C$37,2,0)</f>
        <v>[Cake] - Cashloan</v>
      </c>
      <c r="H4063" s="128" t="str">
        <f>VLOOKUP(source[[#This Row],[lending_product_transform]],[3]Mapping!$B$3:$D$37,3,0)</f>
        <v>cashloan</v>
      </c>
      <c r="I4063" s="143">
        <v>152350000</v>
      </c>
    </row>
    <row r="4064" spans="1:9" x14ac:dyDescent="0.2">
      <c r="A4064" s="134">
        <v>45649</v>
      </c>
      <c r="B4064" s="135">
        <f>YEAR(source[[#This Row],[report_date]])</f>
        <v>2024</v>
      </c>
      <c r="C4064" s="128">
        <f t="shared" si="186"/>
        <v>12</v>
      </c>
      <c r="D4064" s="136">
        <f t="shared" si="185"/>
        <v>52</v>
      </c>
      <c r="E4064" s="136">
        <f t="shared" si="187"/>
        <v>23</v>
      </c>
      <c r="F4064" s="137" t="s">
        <v>24</v>
      </c>
      <c r="G4064" s="128" t="str">
        <f>VLOOKUP(source[[#This Row],[lending_product_transform]],[3]Mapping!$B$4:$C$37,2,0)</f>
        <v>[Cake] - Cashloan</v>
      </c>
      <c r="H4064" s="128" t="str">
        <f>VLOOKUP(source[[#This Row],[lending_product_transform]],[3]Mapping!$B$3:$D$37,3,0)</f>
        <v>cashloan</v>
      </c>
      <c r="I4064" s="143">
        <v>25000000</v>
      </c>
    </row>
    <row r="4065" spans="1:9" x14ac:dyDescent="0.2">
      <c r="A4065" s="134">
        <v>45649</v>
      </c>
      <c r="B4065" s="135">
        <f>YEAR(source[[#This Row],[report_date]])</f>
        <v>2024</v>
      </c>
      <c r="C4065" s="128">
        <f t="shared" si="186"/>
        <v>12</v>
      </c>
      <c r="D4065" s="136">
        <f t="shared" si="185"/>
        <v>52</v>
      </c>
      <c r="E4065" s="136">
        <f t="shared" si="187"/>
        <v>23</v>
      </c>
      <c r="F4065" s="137" t="s">
        <v>24</v>
      </c>
      <c r="G4065" s="128" t="str">
        <f>VLOOKUP(source[[#This Row],[lending_product_transform]],[3]Mapping!$B$4:$C$37,2,0)</f>
        <v>[Cake] - Cashloan</v>
      </c>
      <c r="H4065" s="128" t="str">
        <f>VLOOKUP(source[[#This Row],[lending_product_transform]],[3]Mapping!$B$3:$D$37,3,0)</f>
        <v>cashloan</v>
      </c>
      <c r="I4065" s="143">
        <v>397200000</v>
      </c>
    </row>
    <row r="4066" spans="1:9" x14ac:dyDescent="0.2">
      <c r="A4066" s="134">
        <v>45649</v>
      </c>
      <c r="B4066" s="135">
        <f>YEAR(source[[#This Row],[report_date]])</f>
        <v>2024</v>
      </c>
      <c r="C4066" s="128">
        <f t="shared" si="186"/>
        <v>12</v>
      </c>
      <c r="D4066" s="136">
        <f t="shared" si="185"/>
        <v>52</v>
      </c>
      <c r="E4066" s="136">
        <f t="shared" si="187"/>
        <v>23</v>
      </c>
      <c r="F4066" s="137" t="s">
        <v>24</v>
      </c>
      <c r="G4066" s="128" t="str">
        <f>VLOOKUP(source[[#This Row],[lending_product_transform]],[3]Mapping!$B$4:$C$37,2,0)</f>
        <v>[Cake] - Cashloan</v>
      </c>
      <c r="H4066" s="128" t="str">
        <f>VLOOKUP(source[[#This Row],[lending_product_transform]],[3]Mapping!$B$3:$D$37,3,0)</f>
        <v>cashloan</v>
      </c>
      <c r="I4066" s="143">
        <v>37450000</v>
      </c>
    </row>
    <row r="4067" spans="1:9" x14ac:dyDescent="0.2">
      <c r="A4067" s="134">
        <v>45649</v>
      </c>
      <c r="B4067" s="135">
        <f>YEAR(source[[#This Row],[report_date]])</f>
        <v>2024</v>
      </c>
      <c r="C4067" s="128">
        <f t="shared" si="186"/>
        <v>12</v>
      </c>
      <c r="D4067" s="136">
        <f t="shared" si="185"/>
        <v>52</v>
      </c>
      <c r="E4067" s="136">
        <f t="shared" si="187"/>
        <v>23</v>
      </c>
      <c r="F4067" s="137" t="s">
        <v>24</v>
      </c>
      <c r="G4067" s="128" t="str">
        <f>VLOOKUP(source[[#This Row],[lending_product_transform]],[3]Mapping!$B$4:$C$37,2,0)</f>
        <v>[Cake] - Cashloan</v>
      </c>
      <c r="H4067" s="128" t="str">
        <f>VLOOKUP(source[[#This Row],[lending_product_transform]],[3]Mapping!$B$3:$D$37,3,0)</f>
        <v>cashloan</v>
      </c>
      <c r="I4067" s="143">
        <v>3566233183</v>
      </c>
    </row>
    <row r="4068" spans="1:9" x14ac:dyDescent="0.2">
      <c r="A4068" s="134">
        <v>45649</v>
      </c>
      <c r="B4068" s="135">
        <f>YEAR(source[[#This Row],[report_date]])</f>
        <v>2024</v>
      </c>
      <c r="C4068" s="128">
        <f t="shared" si="186"/>
        <v>12</v>
      </c>
      <c r="D4068" s="136">
        <f t="shared" si="185"/>
        <v>52</v>
      </c>
      <c r="E4068" s="136">
        <f t="shared" si="187"/>
        <v>23</v>
      </c>
      <c r="F4068" s="137" t="s">
        <v>24</v>
      </c>
      <c r="G4068" s="128" t="str">
        <f>VLOOKUP(source[[#This Row],[lending_product_transform]],[3]Mapping!$B$4:$C$37,2,0)</f>
        <v>[Cake] - Cashloan</v>
      </c>
      <c r="H4068" s="128" t="str">
        <f>VLOOKUP(source[[#This Row],[lending_product_transform]],[3]Mapping!$B$3:$D$37,3,0)</f>
        <v>cashloan</v>
      </c>
      <c r="I4068" s="143">
        <v>42000000</v>
      </c>
    </row>
    <row r="4069" spans="1:9" x14ac:dyDescent="0.2">
      <c r="A4069" s="134">
        <v>45649</v>
      </c>
      <c r="B4069" s="135">
        <f>YEAR(source[[#This Row],[report_date]])</f>
        <v>2024</v>
      </c>
      <c r="C4069" s="128">
        <f t="shared" si="186"/>
        <v>12</v>
      </c>
      <c r="D4069" s="136">
        <f t="shared" si="185"/>
        <v>52</v>
      </c>
      <c r="E4069" s="136">
        <f t="shared" si="187"/>
        <v>23</v>
      </c>
      <c r="F4069" s="137" t="s">
        <v>24</v>
      </c>
      <c r="G4069" s="128" t="str">
        <f>VLOOKUP(source[[#This Row],[lending_product_transform]],[3]Mapping!$B$4:$C$37,2,0)</f>
        <v>[Cake] - Cashloan</v>
      </c>
      <c r="H4069" s="128" t="str">
        <f>VLOOKUP(source[[#This Row],[lending_product_transform]],[3]Mapping!$B$3:$D$37,3,0)</f>
        <v>cashloan</v>
      </c>
      <c r="I4069" s="143">
        <v>18556360</v>
      </c>
    </row>
    <row r="4070" spans="1:9" x14ac:dyDescent="0.2">
      <c r="A4070" s="134">
        <v>45649</v>
      </c>
      <c r="B4070" s="135">
        <f>YEAR(source[[#This Row],[report_date]])</f>
        <v>2024</v>
      </c>
      <c r="C4070" s="128">
        <f t="shared" si="186"/>
        <v>12</v>
      </c>
      <c r="D4070" s="136">
        <f t="shared" si="185"/>
        <v>52</v>
      </c>
      <c r="E4070" s="136">
        <f t="shared" si="187"/>
        <v>23</v>
      </c>
      <c r="F4070" s="137" t="s">
        <v>24</v>
      </c>
      <c r="G4070" s="128" t="str">
        <f>VLOOKUP(source[[#This Row],[lending_product_transform]],[3]Mapping!$B$4:$C$37,2,0)</f>
        <v>[Cake] - Cashloan</v>
      </c>
      <c r="H4070" s="128" t="str">
        <f>VLOOKUP(source[[#This Row],[lending_product_transform]],[3]Mapping!$B$3:$D$37,3,0)</f>
        <v>cashloan</v>
      </c>
      <c r="I4070" s="143">
        <v>5788620000</v>
      </c>
    </row>
    <row r="4071" spans="1:9" x14ac:dyDescent="0.2">
      <c r="A4071" s="134">
        <v>45649</v>
      </c>
      <c r="B4071" s="135">
        <f>YEAR(source[[#This Row],[report_date]])</f>
        <v>2024</v>
      </c>
      <c r="C4071" s="128">
        <f t="shared" si="186"/>
        <v>12</v>
      </c>
      <c r="D4071" s="136">
        <f t="shared" si="185"/>
        <v>52</v>
      </c>
      <c r="E4071" s="136">
        <f t="shared" si="187"/>
        <v>23</v>
      </c>
      <c r="F4071" s="137" t="s">
        <v>24</v>
      </c>
      <c r="G4071" s="128" t="str">
        <f>VLOOKUP(source[[#This Row],[lending_product_transform]],[3]Mapping!$B$4:$C$37,2,0)</f>
        <v>[Cake] - Cashloan</v>
      </c>
      <c r="H4071" s="128" t="str">
        <f>VLOOKUP(source[[#This Row],[lending_product_transform]],[3]Mapping!$B$3:$D$37,3,0)</f>
        <v>cashloan</v>
      </c>
      <c r="I4071" s="143">
        <v>5809280000</v>
      </c>
    </row>
    <row r="4072" spans="1:9" x14ac:dyDescent="0.2">
      <c r="A4072" s="134">
        <v>45649</v>
      </c>
      <c r="B4072" s="135">
        <f>YEAR(source[[#This Row],[report_date]])</f>
        <v>2024</v>
      </c>
      <c r="C4072" s="128">
        <f t="shared" si="186"/>
        <v>12</v>
      </c>
      <c r="D4072" s="136">
        <f t="shared" si="185"/>
        <v>52</v>
      </c>
      <c r="E4072" s="136">
        <f t="shared" si="187"/>
        <v>23</v>
      </c>
      <c r="F4072" s="137" t="s">
        <v>24</v>
      </c>
      <c r="G4072" s="128" t="str">
        <f>VLOOKUP(source[[#This Row],[lending_product_transform]],[3]Mapping!$B$4:$C$37,2,0)</f>
        <v>[Cake] - Cashloan</v>
      </c>
      <c r="H4072" s="128" t="str">
        <f>VLOOKUP(source[[#This Row],[lending_product_transform]],[3]Mapping!$B$3:$D$37,3,0)</f>
        <v>cashloan</v>
      </c>
      <c r="I4072" s="143">
        <v>0</v>
      </c>
    </row>
    <row r="4073" spans="1:9" x14ac:dyDescent="0.2">
      <c r="A4073" s="134">
        <v>45649</v>
      </c>
      <c r="B4073" s="135">
        <f>YEAR(source[[#This Row],[report_date]])</f>
        <v>2024</v>
      </c>
      <c r="C4073" s="128">
        <f t="shared" si="186"/>
        <v>12</v>
      </c>
      <c r="D4073" s="136">
        <f t="shared" si="185"/>
        <v>52</v>
      </c>
      <c r="E4073" s="136">
        <f t="shared" si="187"/>
        <v>23</v>
      </c>
      <c r="F4073" s="137" t="s">
        <v>24</v>
      </c>
      <c r="G4073" s="128" t="str">
        <f>VLOOKUP(source[[#This Row],[lending_product_transform]],[3]Mapping!$B$4:$C$37,2,0)</f>
        <v>[Cake] - Cashloan</v>
      </c>
      <c r="H4073" s="128" t="str">
        <f>VLOOKUP(source[[#This Row],[lending_product_transform]],[3]Mapping!$B$3:$D$37,3,0)</f>
        <v>cashloan</v>
      </c>
      <c r="I4073" s="143">
        <v>0</v>
      </c>
    </row>
    <row r="4074" spans="1:9" x14ac:dyDescent="0.2">
      <c r="A4074" s="134">
        <v>45650</v>
      </c>
      <c r="B4074" s="135">
        <f>YEAR(source[[#This Row],[report_date]])</f>
        <v>2024</v>
      </c>
      <c r="C4074" s="128">
        <f t="shared" si="186"/>
        <v>12</v>
      </c>
      <c r="D4074" s="136">
        <f t="shared" si="185"/>
        <v>52</v>
      </c>
      <c r="E4074" s="136">
        <f t="shared" si="187"/>
        <v>24</v>
      </c>
      <c r="F4074" s="137" t="s">
        <v>24</v>
      </c>
      <c r="G4074" s="128" t="str">
        <f>VLOOKUP(source[[#This Row],[lending_product_transform]],[3]Mapping!$B$4:$C$37,2,0)</f>
        <v>[Cake] - Cashloan</v>
      </c>
      <c r="H4074" s="128" t="str">
        <f>VLOOKUP(source[[#This Row],[lending_product_transform]],[3]Mapping!$B$3:$D$37,3,0)</f>
        <v>cashloan</v>
      </c>
      <c r="I4074" s="143">
        <v>3401782559</v>
      </c>
    </row>
    <row r="4075" spans="1:9" x14ac:dyDescent="0.2">
      <c r="A4075" s="134">
        <v>45650</v>
      </c>
      <c r="B4075" s="135">
        <f>YEAR(source[[#This Row],[report_date]])</f>
        <v>2024</v>
      </c>
      <c r="C4075" s="128">
        <f t="shared" si="186"/>
        <v>12</v>
      </c>
      <c r="D4075" s="136">
        <f t="shared" si="185"/>
        <v>52</v>
      </c>
      <c r="E4075" s="136">
        <f t="shared" si="187"/>
        <v>24</v>
      </c>
      <c r="F4075" s="137" t="s">
        <v>24</v>
      </c>
      <c r="G4075" s="128" t="str">
        <f>VLOOKUP(source[[#This Row],[lending_product_transform]],[3]Mapping!$B$4:$C$37,2,0)</f>
        <v>[Cake] - Cashloan</v>
      </c>
      <c r="H4075" s="128" t="str">
        <f>VLOOKUP(source[[#This Row],[lending_product_transform]],[3]Mapping!$B$3:$D$37,3,0)</f>
        <v>cashloan</v>
      </c>
      <c r="I4075" s="143">
        <v>0</v>
      </c>
    </row>
    <row r="4076" spans="1:9" x14ac:dyDescent="0.2">
      <c r="A4076" s="134">
        <v>45650</v>
      </c>
      <c r="B4076" s="135">
        <f>YEAR(source[[#This Row],[report_date]])</f>
        <v>2024</v>
      </c>
      <c r="C4076" s="128">
        <f t="shared" si="186"/>
        <v>12</v>
      </c>
      <c r="D4076" s="136">
        <f t="shared" si="185"/>
        <v>52</v>
      </c>
      <c r="E4076" s="136">
        <f t="shared" si="187"/>
        <v>24</v>
      </c>
      <c r="F4076" s="137" t="s">
        <v>24</v>
      </c>
      <c r="G4076" s="128" t="str">
        <f>VLOOKUP(source[[#This Row],[lending_product_transform]],[3]Mapping!$B$4:$C$37,2,0)</f>
        <v>[Cake] - Cashloan</v>
      </c>
      <c r="H4076" s="128" t="str">
        <f>VLOOKUP(source[[#This Row],[lending_product_transform]],[3]Mapping!$B$3:$D$37,3,0)</f>
        <v>cashloan</v>
      </c>
      <c r="I4076" s="143">
        <v>0</v>
      </c>
    </row>
    <row r="4077" spans="1:9" x14ac:dyDescent="0.2">
      <c r="A4077" s="134">
        <v>45650</v>
      </c>
      <c r="B4077" s="135">
        <f>YEAR(source[[#This Row],[report_date]])</f>
        <v>2024</v>
      </c>
      <c r="C4077" s="128">
        <f t="shared" si="186"/>
        <v>12</v>
      </c>
      <c r="D4077" s="136">
        <f t="shared" si="185"/>
        <v>52</v>
      </c>
      <c r="E4077" s="136">
        <f t="shared" si="187"/>
        <v>24</v>
      </c>
      <c r="F4077" s="137" t="s">
        <v>24</v>
      </c>
      <c r="G4077" s="128" t="str">
        <f>VLOOKUP(source[[#This Row],[lending_product_transform]],[3]Mapping!$B$4:$C$37,2,0)</f>
        <v>[Cake] - Cashloan</v>
      </c>
      <c r="H4077" s="128" t="str">
        <f>VLOOKUP(source[[#This Row],[lending_product_transform]],[3]Mapping!$B$3:$D$37,3,0)</f>
        <v>cashloan</v>
      </c>
      <c r="I4077" s="143">
        <v>0</v>
      </c>
    </row>
    <row r="4078" spans="1:9" x14ac:dyDescent="0.2">
      <c r="A4078" s="134">
        <v>45650</v>
      </c>
      <c r="B4078" s="135">
        <f>YEAR(source[[#This Row],[report_date]])</f>
        <v>2024</v>
      </c>
      <c r="C4078" s="128">
        <f t="shared" si="186"/>
        <v>12</v>
      </c>
      <c r="D4078" s="136">
        <f t="shared" si="185"/>
        <v>52</v>
      </c>
      <c r="E4078" s="136">
        <f t="shared" si="187"/>
        <v>24</v>
      </c>
      <c r="F4078" s="137" t="s">
        <v>24</v>
      </c>
      <c r="G4078" s="128" t="str">
        <f>VLOOKUP(source[[#This Row],[lending_product_transform]],[3]Mapping!$B$4:$C$37,2,0)</f>
        <v>[Cake] - Cashloan</v>
      </c>
      <c r="H4078" s="128" t="str">
        <f>VLOOKUP(source[[#This Row],[lending_product_transform]],[3]Mapping!$B$3:$D$37,3,0)</f>
        <v>cashloan</v>
      </c>
      <c r="I4078" s="143">
        <v>0</v>
      </c>
    </row>
    <row r="4079" spans="1:9" x14ac:dyDescent="0.2">
      <c r="A4079" s="134">
        <v>45650</v>
      </c>
      <c r="B4079" s="135">
        <f>YEAR(source[[#This Row],[report_date]])</f>
        <v>2024</v>
      </c>
      <c r="C4079" s="128">
        <f t="shared" si="186"/>
        <v>12</v>
      </c>
      <c r="D4079" s="136">
        <f t="shared" si="185"/>
        <v>52</v>
      </c>
      <c r="E4079" s="136">
        <f t="shared" si="187"/>
        <v>24</v>
      </c>
      <c r="F4079" s="137" t="s">
        <v>24</v>
      </c>
      <c r="G4079" s="128" t="str">
        <f>VLOOKUP(source[[#This Row],[lending_product_transform]],[3]Mapping!$B$4:$C$37,2,0)</f>
        <v>[Cake] - Cashloan</v>
      </c>
      <c r="H4079" s="128" t="str">
        <f>VLOOKUP(source[[#This Row],[lending_product_transform]],[3]Mapping!$B$3:$D$37,3,0)</f>
        <v>cashloan</v>
      </c>
      <c r="I4079" s="143">
        <v>38000000</v>
      </c>
    </row>
    <row r="4080" spans="1:9" x14ac:dyDescent="0.2">
      <c r="A4080" s="134">
        <v>45650</v>
      </c>
      <c r="B4080" s="135">
        <f>YEAR(source[[#This Row],[report_date]])</f>
        <v>2024</v>
      </c>
      <c r="C4080" s="128">
        <f t="shared" si="186"/>
        <v>12</v>
      </c>
      <c r="D4080" s="136">
        <f t="shared" si="185"/>
        <v>52</v>
      </c>
      <c r="E4080" s="136">
        <f t="shared" si="187"/>
        <v>24</v>
      </c>
      <c r="F4080" s="137" t="s">
        <v>24</v>
      </c>
      <c r="G4080" s="128" t="str">
        <f>VLOOKUP(source[[#This Row],[lending_product_transform]],[3]Mapping!$B$4:$C$37,2,0)</f>
        <v>[Cake] - Cashloan</v>
      </c>
      <c r="H4080" s="128" t="str">
        <f>VLOOKUP(source[[#This Row],[lending_product_transform]],[3]Mapping!$B$3:$D$37,3,0)</f>
        <v>cashloan</v>
      </c>
      <c r="I4080" s="143">
        <v>42000000</v>
      </c>
    </row>
    <row r="4081" spans="1:9" x14ac:dyDescent="0.2">
      <c r="A4081" s="134">
        <v>45650</v>
      </c>
      <c r="B4081" s="135">
        <f>YEAR(source[[#This Row],[report_date]])</f>
        <v>2024</v>
      </c>
      <c r="C4081" s="128">
        <f t="shared" si="186"/>
        <v>12</v>
      </c>
      <c r="D4081" s="136">
        <f t="shared" si="185"/>
        <v>52</v>
      </c>
      <c r="E4081" s="136">
        <f t="shared" si="187"/>
        <v>24</v>
      </c>
      <c r="F4081" s="137" t="s">
        <v>24</v>
      </c>
      <c r="G4081" s="128" t="str">
        <f>VLOOKUP(source[[#This Row],[lending_product_transform]],[3]Mapping!$B$4:$C$37,2,0)</f>
        <v>[Cake] - Cashloan</v>
      </c>
      <c r="H4081" s="128" t="str">
        <f>VLOOKUP(source[[#This Row],[lending_product_transform]],[3]Mapping!$B$3:$D$37,3,0)</f>
        <v>cashloan</v>
      </c>
      <c r="I4081" s="143">
        <v>5980190000</v>
      </c>
    </row>
    <row r="4082" spans="1:9" x14ac:dyDescent="0.2">
      <c r="A4082" s="134">
        <v>45650</v>
      </c>
      <c r="B4082" s="135">
        <f>YEAR(source[[#This Row],[report_date]])</f>
        <v>2024</v>
      </c>
      <c r="C4082" s="128">
        <f t="shared" si="186"/>
        <v>12</v>
      </c>
      <c r="D4082" s="136">
        <f t="shared" si="185"/>
        <v>52</v>
      </c>
      <c r="E4082" s="136">
        <f t="shared" si="187"/>
        <v>24</v>
      </c>
      <c r="F4082" s="137" t="s">
        <v>24</v>
      </c>
      <c r="G4082" s="128" t="str">
        <f>VLOOKUP(source[[#This Row],[lending_product_transform]],[3]Mapping!$B$4:$C$37,2,0)</f>
        <v>[Cake] - Cashloan</v>
      </c>
      <c r="H4082" s="128" t="str">
        <f>VLOOKUP(source[[#This Row],[lending_product_transform]],[3]Mapping!$B$3:$D$37,3,0)</f>
        <v>cashloan</v>
      </c>
      <c r="I4082" s="143">
        <v>5312100000</v>
      </c>
    </row>
    <row r="4083" spans="1:9" x14ac:dyDescent="0.2">
      <c r="A4083" s="134">
        <v>45650</v>
      </c>
      <c r="B4083" s="135">
        <f>YEAR(source[[#This Row],[report_date]])</f>
        <v>2024</v>
      </c>
      <c r="C4083" s="128">
        <f t="shared" si="186"/>
        <v>12</v>
      </c>
      <c r="D4083" s="136">
        <f t="shared" si="185"/>
        <v>52</v>
      </c>
      <c r="E4083" s="136">
        <f t="shared" si="187"/>
        <v>24</v>
      </c>
      <c r="F4083" s="137" t="s">
        <v>24</v>
      </c>
      <c r="G4083" s="128" t="str">
        <f>VLOOKUP(source[[#This Row],[lending_product_transform]],[3]Mapping!$B$4:$C$37,2,0)</f>
        <v>[Cake] - Cashloan</v>
      </c>
      <c r="H4083" s="128" t="str">
        <f>VLOOKUP(source[[#This Row],[lending_product_transform]],[3]Mapping!$B$3:$D$37,3,0)</f>
        <v>cashloan</v>
      </c>
      <c r="I4083" s="143">
        <v>34682364</v>
      </c>
    </row>
    <row r="4084" spans="1:9" x14ac:dyDescent="0.2">
      <c r="A4084" s="134">
        <v>45650</v>
      </c>
      <c r="B4084" s="135">
        <f>YEAR(source[[#This Row],[report_date]])</f>
        <v>2024</v>
      </c>
      <c r="C4084" s="128">
        <f t="shared" si="186"/>
        <v>12</v>
      </c>
      <c r="D4084" s="136">
        <f t="shared" si="185"/>
        <v>52</v>
      </c>
      <c r="E4084" s="136">
        <f t="shared" si="187"/>
        <v>24</v>
      </c>
      <c r="F4084" s="137" t="s">
        <v>24</v>
      </c>
      <c r="G4084" s="128" t="str">
        <f>VLOOKUP(source[[#This Row],[lending_product_transform]],[3]Mapping!$B$4:$C$37,2,0)</f>
        <v>[Cake] - Cashloan</v>
      </c>
      <c r="H4084" s="128" t="str">
        <f>VLOOKUP(source[[#This Row],[lending_product_transform]],[3]Mapping!$B$3:$D$37,3,0)</f>
        <v>cashloan</v>
      </c>
      <c r="I4084" s="143">
        <v>32100000</v>
      </c>
    </row>
    <row r="4085" spans="1:9" x14ac:dyDescent="0.2">
      <c r="A4085" s="134">
        <v>45650</v>
      </c>
      <c r="B4085" s="135">
        <f>YEAR(source[[#This Row],[report_date]])</f>
        <v>2024</v>
      </c>
      <c r="C4085" s="128">
        <f t="shared" si="186"/>
        <v>12</v>
      </c>
      <c r="D4085" s="136">
        <f t="shared" si="185"/>
        <v>52</v>
      </c>
      <c r="E4085" s="136">
        <f t="shared" si="187"/>
        <v>24</v>
      </c>
      <c r="F4085" s="137" t="s">
        <v>24</v>
      </c>
      <c r="G4085" s="128" t="str">
        <f>VLOOKUP(source[[#This Row],[lending_product_transform]],[3]Mapping!$B$4:$C$37,2,0)</f>
        <v>[Cake] - Cashloan</v>
      </c>
      <c r="H4085" s="128" t="str">
        <f>VLOOKUP(source[[#This Row],[lending_product_transform]],[3]Mapping!$B$3:$D$37,3,0)</f>
        <v>cashloan</v>
      </c>
      <c r="I4085" s="143">
        <v>32100000</v>
      </c>
    </row>
    <row r="4086" spans="1:9" x14ac:dyDescent="0.2">
      <c r="A4086" s="134">
        <v>45650</v>
      </c>
      <c r="B4086" s="135">
        <f>YEAR(source[[#This Row],[report_date]])</f>
        <v>2024</v>
      </c>
      <c r="C4086" s="128">
        <f t="shared" si="186"/>
        <v>12</v>
      </c>
      <c r="D4086" s="136">
        <f t="shared" si="185"/>
        <v>52</v>
      </c>
      <c r="E4086" s="136">
        <f t="shared" si="187"/>
        <v>24</v>
      </c>
      <c r="F4086" s="137" t="s">
        <v>24</v>
      </c>
      <c r="G4086" s="128" t="str">
        <f>VLOOKUP(source[[#This Row],[lending_product_transform]],[3]Mapping!$B$4:$C$37,2,0)</f>
        <v>[Cake] - Cashloan</v>
      </c>
      <c r="H4086" s="128" t="str">
        <f>VLOOKUP(source[[#This Row],[lending_product_transform]],[3]Mapping!$B$3:$D$37,3,0)</f>
        <v>cashloan</v>
      </c>
      <c r="I4086" s="143">
        <v>4626000000</v>
      </c>
    </row>
    <row r="4087" spans="1:9" x14ac:dyDescent="0.2">
      <c r="A4087" s="134">
        <v>45650</v>
      </c>
      <c r="B4087" s="135">
        <f>YEAR(source[[#This Row],[report_date]])</f>
        <v>2024</v>
      </c>
      <c r="C4087" s="128">
        <f t="shared" si="186"/>
        <v>12</v>
      </c>
      <c r="D4087" s="136">
        <f t="shared" si="185"/>
        <v>52</v>
      </c>
      <c r="E4087" s="136">
        <f t="shared" si="187"/>
        <v>24</v>
      </c>
      <c r="F4087" s="137" t="s">
        <v>24</v>
      </c>
      <c r="G4087" s="128" t="str">
        <f>VLOOKUP(source[[#This Row],[lending_product_transform]],[3]Mapping!$B$4:$C$37,2,0)</f>
        <v>[Cake] - Cashloan</v>
      </c>
      <c r="H4087" s="128" t="str">
        <f>VLOOKUP(source[[#This Row],[lending_product_transform]],[3]Mapping!$B$3:$D$37,3,0)</f>
        <v>cashloan</v>
      </c>
      <c r="I4087" s="143">
        <v>104920000</v>
      </c>
    </row>
    <row r="4088" spans="1:9" x14ac:dyDescent="0.2">
      <c r="A4088" s="134">
        <v>45650</v>
      </c>
      <c r="B4088" s="135">
        <f>YEAR(source[[#This Row],[report_date]])</f>
        <v>2024</v>
      </c>
      <c r="C4088" s="128">
        <f t="shared" si="186"/>
        <v>12</v>
      </c>
      <c r="D4088" s="136">
        <f t="shared" si="185"/>
        <v>52</v>
      </c>
      <c r="E4088" s="136">
        <f t="shared" si="187"/>
        <v>24</v>
      </c>
      <c r="F4088" s="137" t="s">
        <v>24</v>
      </c>
      <c r="G4088" s="128" t="str">
        <f>VLOOKUP(source[[#This Row],[lending_product_transform]],[3]Mapping!$B$4:$C$37,2,0)</f>
        <v>[Cake] - Cashloan</v>
      </c>
      <c r="H4088" s="128" t="str">
        <f>VLOOKUP(source[[#This Row],[lending_product_transform]],[3]Mapping!$B$3:$D$37,3,0)</f>
        <v>cashloan</v>
      </c>
      <c r="I4088" s="143">
        <v>274585943</v>
      </c>
    </row>
    <row r="4089" spans="1:9" x14ac:dyDescent="0.2">
      <c r="A4089" s="134">
        <v>45650</v>
      </c>
      <c r="B4089" s="135">
        <f>YEAR(source[[#This Row],[report_date]])</f>
        <v>2024</v>
      </c>
      <c r="C4089" s="128">
        <f t="shared" si="186"/>
        <v>12</v>
      </c>
      <c r="D4089" s="136">
        <f t="shared" si="185"/>
        <v>52</v>
      </c>
      <c r="E4089" s="136">
        <f t="shared" si="187"/>
        <v>24</v>
      </c>
      <c r="F4089" s="137" t="s">
        <v>24</v>
      </c>
      <c r="G4089" s="128" t="str">
        <f>VLOOKUP(source[[#This Row],[lending_product_transform]],[3]Mapping!$B$4:$C$37,2,0)</f>
        <v>[Cake] - Cashloan</v>
      </c>
      <c r="H4089" s="128" t="str">
        <f>VLOOKUP(source[[#This Row],[lending_product_transform]],[3]Mapping!$B$3:$D$37,3,0)</f>
        <v>cashloan</v>
      </c>
      <c r="I4089" s="143">
        <v>114519281</v>
      </c>
    </row>
    <row r="4090" spans="1:9" x14ac:dyDescent="0.2">
      <c r="A4090" s="134">
        <v>45650</v>
      </c>
      <c r="B4090" s="135">
        <f>YEAR(source[[#This Row],[report_date]])</f>
        <v>2024</v>
      </c>
      <c r="C4090" s="128">
        <f t="shared" si="186"/>
        <v>12</v>
      </c>
      <c r="D4090" s="136">
        <f t="shared" si="185"/>
        <v>52</v>
      </c>
      <c r="E4090" s="136">
        <f t="shared" si="187"/>
        <v>24</v>
      </c>
      <c r="F4090" s="137" t="s">
        <v>24</v>
      </c>
      <c r="G4090" s="128" t="str">
        <f>VLOOKUP(source[[#This Row],[lending_product_transform]],[3]Mapping!$B$4:$C$37,2,0)</f>
        <v>[Cake] - Cashloan</v>
      </c>
      <c r="H4090" s="128" t="str">
        <f>VLOOKUP(source[[#This Row],[lending_product_transform]],[3]Mapping!$B$3:$D$37,3,0)</f>
        <v>cashloan</v>
      </c>
      <c r="I4090" s="143">
        <v>323080000</v>
      </c>
    </row>
    <row r="4091" spans="1:9" x14ac:dyDescent="0.2">
      <c r="A4091" s="134">
        <v>45650</v>
      </c>
      <c r="B4091" s="135">
        <f>YEAR(source[[#This Row],[report_date]])</f>
        <v>2024</v>
      </c>
      <c r="C4091" s="128">
        <f t="shared" si="186"/>
        <v>12</v>
      </c>
      <c r="D4091" s="136">
        <f t="shared" si="185"/>
        <v>52</v>
      </c>
      <c r="E4091" s="136">
        <f t="shared" si="187"/>
        <v>24</v>
      </c>
      <c r="F4091" s="137" t="s">
        <v>24</v>
      </c>
      <c r="G4091" s="128" t="str">
        <f>VLOOKUP(source[[#This Row],[lending_product_transform]],[3]Mapping!$B$4:$C$37,2,0)</f>
        <v>[Cake] - Cashloan</v>
      </c>
      <c r="H4091" s="128" t="str">
        <f>VLOOKUP(source[[#This Row],[lending_product_transform]],[3]Mapping!$B$3:$D$37,3,0)</f>
        <v>cashloan</v>
      </c>
      <c r="I4091" s="143">
        <v>92045372</v>
      </c>
    </row>
    <row r="4092" spans="1:9" x14ac:dyDescent="0.2">
      <c r="A4092" s="134">
        <v>45651</v>
      </c>
      <c r="B4092" s="135">
        <f>YEAR(source[[#This Row],[report_date]])</f>
        <v>2024</v>
      </c>
      <c r="C4092" s="128">
        <f t="shared" si="186"/>
        <v>12</v>
      </c>
      <c r="D4092" s="136">
        <f t="shared" si="185"/>
        <v>52</v>
      </c>
      <c r="E4092" s="136">
        <f t="shared" si="187"/>
        <v>25</v>
      </c>
      <c r="F4092" s="137" t="s">
        <v>24</v>
      </c>
      <c r="G4092" s="128" t="str">
        <f>VLOOKUP(source[[#This Row],[lending_product_transform]],[3]Mapping!$B$4:$C$37,2,0)</f>
        <v>[Cake] - Cashloan</v>
      </c>
      <c r="H4092" s="128" t="str">
        <f>VLOOKUP(source[[#This Row],[lending_product_transform]],[3]Mapping!$B$3:$D$37,3,0)</f>
        <v>cashloan</v>
      </c>
      <c r="I4092" s="143">
        <v>61728622</v>
      </c>
    </row>
    <row r="4093" spans="1:9" x14ac:dyDescent="0.2">
      <c r="A4093" s="134">
        <v>45651</v>
      </c>
      <c r="B4093" s="135">
        <f>YEAR(source[[#This Row],[report_date]])</f>
        <v>2024</v>
      </c>
      <c r="C4093" s="128">
        <f t="shared" si="186"/>
        <v>12</v>
      </c>
      <c r="D4093" s="136">
        <f t="shared" si="185"/>
        <v>52</v>
      </c>
      <c r="E4093" s="136">
        <f t="shared" si="187"/>
        <v>25</v>
      </c>
      <c r="F4093" s="137" t="s">
        <v>24</v>
      </c>
      <c r="G4093" s="128" t="str">
        <f>VLOOKUP(source[[#This Row],[lending_product_transform]],[3]Mapping!$B$4:$C$37,2,0)</f>
        <v>[Cake] - Cashloan</v>
      </c>
      <c r="H4093" s="128" t="str">
        <f>VLOOKUP(source[[#This Row],[lending_product_transform]],[3]Mapping!$B$3:$D$37,3,0)</f>
        <v>cashloan</v>
      </c>
      <c r="I4093" s="143">
        <v>5878220000</v>
      </c>
    </row>
    <row r="4094" spans="1:9" x14ac:dyDescent="0.2">
      <c r="A4094" s="134">
        <v>45651</v>
      </c>
      <c r="B4094" s="135">
        <f>YEAR(source[[#This Row],[report_date]])</f>
        <v>2024</v>
      </c>
      <c r="C4094" s="128">
        <f t="shared" si="186"/>
        <v>12</v>
      </c>
      <c r="D4094" s="136">
        <f t="shared" si="185"/>
        <v>52</v>
      </c>
      <c r="E4094" s="136">
        <f t="shared" si="187"/>
        <v>25</v>
      </c>
      <c r="F4094" s="137" t="s">
        <v>24</v>
      </c>
      <c r="G4094" s="128" t="str">
        <f>VLOOKUP(source[[#This Row],[lending_product_transform]],[3]Mapping!$B$4:$C$37,2,0)</f>
        <v>[Cake] - Cashloan</v>
      </c>
      <c r="H4094" s="128" t="str">
        <f>VLOOKUP(source[[#This Row],[lending_product_transform]],[3]Mapping!$B$3:$D$37,3,0)</f>
        <v>cashloan</v>
      </c>
      <c r="I4094" s="143">
        <v>107970000</v>
      </c>
    </row>
    <row r="4095" spans="1:9" x14ac:dyDescent="0.2">
      <c r="A4095" s="134">
        <v>45651</v>
      </c>
      <c r="B4095" s="135">
        <f>YEAR(source[[#This Row],[report_date]])</f>
        <v>2024</v>
      </c>
      <c r="C4095" s="128">
        <f t="shared" si="186"/>
        <v>12</v>
      </c>
      <c r="D4095" s="136">
        <f t="shared" si="185"/>
        <v>52</v>
      </c>
      <c r="E4095" s="136">
        <f t="shared" si="187"/>
        <v>25</v>
      </c>
      <c r="F4095" s="137" t="s">
        <v>24</v>
      </c>
      <c r="G4095" s="128" t="str">
        <f>VLOOKUP(source[[#This Row],[lending_product_transform]],[3]Mapping!$B$4:$C$37,2,0)</f>
        <v>[Cake] - Cashloan</v>
      </c>
      <c r="H4095" s="128" t="str">
        <f>VLOOKUP(source[[#This Row],[lending_product_transform]],[3]Mapping!$B$3:$D$37,3,0)</f>
        <v>cashloan</v>
      </c>
      <c r="I4095" s="143">
        <v>16000000</v>
      </c>
    </row>
    <row r="4096" spans="1:9" x14ac:dyDescent="0.2">
      <c r="A4096" s="134">
        <v>45651</v>
      </c>
      <c r="B4096" s="135">
        <f>YEAR(source[[#This Row],[report_date]])</f>
        <v>2024</v>
      </c>
      <c r="C4096" s="128">
        <f t="shared" si="186"/>
        <v>12</v>
      </c>
      <c r="D4096" s="136">
        <f t="shared" si="185"/>
        <v>52</v>
      </c>
      <c r="E4096" s="136">
        <f t="shared" si="187"/>
        <v>25</v>
      </c>
      <c r="F4096" s="137" t="s">
        <v>24</v>
      </c>
      <c r="G4096" s="128" t="str">
        <f>VLOOKUP(source[[#This Row],[lending_product_transform]],[3]Mapping!$B$4:$C$37,2,0)</f>
        <v>[Cake] - Cashloan</v>
      </c>
      <c r="H4096" s="128" t="str">
        <f>VLOOKUP(source[[#This Row],[lending_product_transform]],[3]Mapping!$B$3:$D$37,3,0)</f>
        <v>cashloan</v>
      </c>
      <c r="I4096" s="143">
        <v>34240000</v>
      </c>
    </row>
    <row r="4097" spans="1:9" x14ac:dyDescent="0.2">
      <c r="A4097" s="134">
        <v>45651</v>
      </c>
      <c r="B4097" s="135">
        <f>YEAR(source[[#This Row],[report_date]])</f>
        <v>2024</v>
      </c>
      <c r="C4097" s="128">
        <f t="shared" si="186"/>
        <v>12</v>
      </c>
      <c r="D4097" s="136">
        <f t="shared" si="185"/>
        <v>52</v>
      </c>
      <c r="E4097" s="136">
        <f t="shared" si="187"/>
        <v>25</v>
      </c>
      <c r="F4097" s="137" t="s">
        <v>24</v>
      </c>
      <c r="G4097" s="128" t="str">
        <f>VLOOKUP(source[[#This Row],[lending_product_transform]],[3]Mapping!$B$4:$C$37,2,0)</f>
        <v>[Cake] - Cashloan</v>
      </c>
      <c r="H4097" s="128" t="str">
        <f>VLOOKUP(source[[#This Row],[lending_product_transform]],[3]Mapping!$B$3:$D$37,3,0)</f>
        <v>cashloan</v>
      </c>
      <c r="I4097" s="143">
        <v>12600000</v>
      </c>
    </row>
    <row r="4098" spans="1:9" x14ac:dyDescent="0.2">
      <c r="A4098" s="134">
        <v>45651</v>
      </c>
      <c r="B4098" s="135">
        <f>YEAR(source[[#This Row],[report_date]])</f>
        <v>2024</v>
      </c>
      <c r="C4098" s="128">
        <f t="shared" si="186"/>
        <v>12</v>
      </c>
      <c r="D4098" s="136">
        <f t="shared" si="185"/>
        <v>52</v>
      </c>
      <c r="E4098" s="136">
        <f t="shared" si="187"/>
        <v>25</v>
      </c>
      <c r="F4098" s="137" t="s">
        <v>24</v>
      </c>
      <c r="G4098" s="128" t="str">
        <f>VLOOKUP(source[[#This Row],[lending_product_transform]],[3]Mapping!$B$4:$C$37,2,0)</f>
        <v>[Cake] - Cashloan</v>
      </c>
      <c r="H4098" s="128" t="str">
        <f>VLOOKUP(source[[#This Row],[lending_product_transform]],[3]Mapping!$B$3:$D$37,3,0)</f>
        <v>cashloan</v>
      </c>
      <c r="I4098" s="143">
        <v>277390000</v>
      </c>
    </row>
    <row r="4099" spans="1:9" x14ac:dyDescent="0.2">
      <c r="A4099" s="134">
        <v>45651</v>
      </c>
      <c r="B4099" s="135">
        <f>YEAR(source[[#This Row],[report_date]])</f>
        <v>2024</v>
      </c>
      <c r="C4099" s="128">
        <f t="shared" si="186"/>
        <v>12</v>
      </c>
      <c r="D4099" s="136">
        <f t="shared" ref="D4099:D4162" si="188">WEEKNUM(A4099,2)</f>
        <v>52</v>
      </c>
      <c r="E4099" s="136">
        <f t="shared" si="187"/>
        <v>25</v>
      </c>
      <c r="F4099" s="137" t="s">
        <v>24</v>
      </c>
      <c r="G4099" s="128" t="str">
        <f>VLOOKUP(source[[#This Row],[lending_product_transform]],[3]Mapping!$B$4:$C$37,2,0)</f>
        <v>[Cake] - Cashloan</v>
      </c>
      <c r="H4099" s="128" t="str">
        <f>VLOOKUP(source[[#This Row],[lending_product_transform]],[3]Mapping!$B$3:$D$37,3,0)</f>
        <v>cashloan</v>
      </c>
      <c r="I4099" s="143">
        <v>114285395</v>
      </c>
    </row>
    <row r="4100" spans="1:9" x14ac:dyDescent="0.2">
      <c r="A4100" s="134">
        <v>45651</v>
      </c>
      <c r="B4100" s="135">
        <f>YEAR(source[[#This Row],[report_date]])</f>
        <v>2024</v>
      </c>
      <c r="C4100" s="128">
        <f t="shared" si="186"/>
        <v>12</v>
      </c>
      <c r="D4100" s="136">
        <f t="shared" si="188"/>
        <v>52</v>
      </c>
      <c r="E4100" s="136">
        <f t="shared" si="187"/>
        <v>25</v>
      </c>
      <c r="F4100" s="137" t="s">
        <v>24</v>
      </c>
      <c r="G4100" s="128" t="str">
        <f>VLOOKUP(source[[#This Row],[lending_product_transform]],[3]Mapping!$B$4:$C$37,2,0)</f>
        <v>[Cake] - Cashloan</v>
      </c>
      <c r="H4100" s="128" t="str">
        <f>VLOOKUP(source[[#This Row],[lending_product_transform]],[3]Mapping!$B$3:$D$37,3,0)</f>
        <v>cashloan</v>
      </c>
      <c r="I4100" s="143">
        <v>4693000000</v>
      </c>
    </row>
    <row r="4101" spans="1:9" x14ac:dyDescent="0.2">
      <c r="A4101" s="134">
        <v>45651</v>
      </c>
      <c r="B4101" s="135">
        <f>YEAR(source[[#This Row],[report_date]])</f>
        <v>2024</v>
      </c>
      <c r="C4101" s="128">
        <f t="shared" si="186"/>
        <v>12</v>
      </c>
      <c r="D4101" s="136">
        <f t="shared" si="188"/>
        <v>52</v>
      </c>
      <c r="E4101" s="136">
        <f t="shared" si="187"/>
        <v>25</v>
      </c>
      <c r="F4101" s="137" t="s">
        <v>24</v>
      </c>
      <c r="G4101" s="128" t="str">
        <f>VLOOKUP(source[[#This Row],[lending_product_transform]],[3]Mapping!$B$4:$C$37,2,0)</f>
        <v>[Cake] - Cashloan</v>
      </c>
      <c r="H4101" s="128" t="str">
        <f>VLOOKUP(source[[#This Row],[lending_product_transform]],[3]Mapping!$B$3:$D$37,3,0)</f>
        <v>cashloan</v>
      </c>
      <c r="I4101" s="143">
        <v>39000000</v>
      </c>
    </row>
    <row r="4102" spans="1:9" x14ac:dyDescent="0.2">
      <c r="A4102" s="134">
        <v>45651</v>
      </c>
      <c r="B4102" s="135">
        <f>YEAR(source[[#This Row],[report_date]])</f>
        <v>2024</v>
      </c>
      <c r="C4102" s="128">
        <f t="shared" si="186"/>
        <v>12</v>
      </c>
      <c r="D4102" s="136">
        <f t="shared" si="188"/>
        <v>52</v>
      </c>
      <c r="E4102" s="136">
        <f t="shared" si="187"/>
        <v>25</v>
      </c>
      <c r="F4102" s="137" t="s">
        <v>24</v>
      </c>
      <c r="G4102" s="128" t="str">
        <f>VLOOKUP(source[[#This Row],[lending_product_transform]],[3]Mapping!$B$4:$C$37,2,0)</f>
        <v>[Cake] - Cashloan</v>
      </c>
      <c r="H4102" s="128" t="str">
        <f>VLOOKUP(source[[#This Row],[lending_product_transform]],[3]Mapping!$B$3:$D$37,3,0)</f>
        <v>cashloan</v>
      </c>
      <c r="I4102" s="143">
        <v>5476810000</v>
      </c>
    </row>
    <row r="4103" spans="1:9" x14ac:dyDescent="0.2">
      <c r="A4103" s="134">
        <v>45651</v>
      </c>
      <c r="B4103" s="135">
        <f>YEAR(source[[#This Row],[report_date]])</f>
        <v>2024</v>
      </c>
      <c r="C4103" s="128">
        <f t="shared" si="186"/>
        <v>12</v>
      </c>
      <c r="D4103" s="136">
        <f t="shared" si="188"/>
        <v>52</v>
      </c>
      <c r="E4103" s="136">
        <f t="shared" si="187"/>
        <v>25</v>
      </c>
      <c r="F4103" s="137" t="s">
        <v>24</v>
      </c>
      <c r="G4103" s="128" t="str">
        <f>VLOOKUP(source[[#This Row],[lending_product_transform]],[3]Mapping!$B$4:$C$37,2,0)</f>
        <v>[Cake] - Cashloan</v>
      </c>
      <c r="H4103" s="128" t="str">
        <f>VLOOKUP(source[[#This Row],[lending_product_transform]],[3]Mapping!$B$3:$D$37,3,0)</f>
        <v>cashloan</v>
      </c>
      <c r="I4103" s="143">
        <v>0</v>
      </c>
    </row>
    <row r="4104" spans="1:9" x14ac:dyDescent="0.2">
      <c r="A4104" s="134">
        <v>45651</v>
      </c>
      <c r="B4104" s="135">
        <f>YEAR(source[[#This Row],[report_date]])</f>
        <v>2024</v>
      </c>
      <c r="C4104" s="128">
        <f t="shared" si="186"/>
        <v>12</v>
      </c>
      <c r="D4104" s="136">
        <f t="shared" si="188"/>
        <v>52</v>
      </c>
      <c r="E4104" s="136">
        <f t="shared" si="187"/>
        <v>25</v>
      </c>
      <c r="F4104" s="137" t="s">
        <v>24</v>
      </c>
      <c r="G4104" s="128" t="str">
        <f>VLOOKUP(source[[#This Row],[lending_product_transform]],[3]Mapping!$B$4:$C$37,2,0)</f>
        <v>[Cake] - Cashloan</v>
      </c>
      <c r="H4104" s="128" t="str">
        <f>VLOOKUP(source[[#This Row],[lending_product_transform]],[3]Mapping!$B$3:$D$37,3,0)</f>
        <v>cashloan</v>
      </c>
      <c r="I4104" s="143">
        <v>296384247</v>
      </c>
    </row>
    <row r="4105" spans="1:9" x14ac:dyDescent="0.2">
      <c r="A4105" s="134">
        <v>45651</v>
      </c>
      <c r="B4105" s="135">
        <f>YEAR(source[[#This Row],[report_date]])</f>
        <v>2024</v>
      </c>
      <c r="C4105" s="128">
        <f t="shared" si="186"/>
        <v>12</v>
      </c>
      <c r="D4105" s="136">
        <f t="shared" si="188"/>
        <v>52</v>
      </c>
      <c r="E4105" s="136">
        <f t="shared" si="187"/>
        <v>25</v>
      </c>
      <c r="F4105" s="137" t="s">
        <v>24</v>
      </c>
      <c r="G4105" s="128" t="str">
        <f>VLOOKUP(source[[#This Row],[lending_product_transform]],[3]Mapping!$B$4:$C$37,2,0)</f>
        <v>[Cake] - Cashloan</v>
      </c>
      <c r="H4105" s="128" t="str">
        <f>VLOOKUP(source[[#This Row],[lending_product_transform]],[3]Mapping!$B$3:$D$37,3,0)</f>
        <v>cashloan</v>
      </c>
      <c r="I4105" s="143">
        <v>0</v>
      </c>
    </row>
    <row r="4106" spans="1:9" x14ac:dyDescent="0.2">
      <c r="A4106" s="134">
        <v>45651</v>
      </c>
      <c r="B4106" s="135">
        <f>YEAR(source[[#This Row],[report_date]])</f>
        <v>2024</v>
      </c>
      <c r="C4106" s="128">
        <f t="shared" si="186"/>
        <v>12</v>
      </c>
      <c r="D4106" s="136">
        <f t="shared" si="188"/>
        <v>52</v>
      </c>
      <c r="E4106" s="136">
        <f t="shared" si="187"/>
        <v>25</v>
      </c>
      <c r="F4106" s="137" t="s">
        <v>24</v>
      </c>
      <c r="G4106" s="128" t="str">
        <f>VLOOKUP(source[[#This Row],[lending_product_transform]],[3]Mapping!$B$4:$C$37,2,0)</f>
        <v>[Cake] - Cashloan</v>
      </c>
      <c r="H4106" s="128" t="str">
        <f>VLOOKUP(source[[#This Row],[lending_product_transform]],[3]Mapping!$B$3:$D$37,3,0)</f>
        <v>cashloan</v>
      </c>
      <c r="I4106" s="143">
        <v>3672194738</v>
      </c>
    </row>
    <row r="4107" spans="1:9" x14ac:dyDescent="0.2">
      <c r="A4107" s="134">
        <v>45651</v>
      </c>
      <c r="B4107" s="135">
        <f>YEAR(source[[#This Row],[report_date]])</f>
        <v>2024</v>
      </c>
      <c r="C4107" s="128">
        <f t="shared" si="186"/>
        <v>12</v>
      </c>
      <c r="D4107" s="136">
        <f t="shared" si="188"/>
        <v>52</v>
      </c>
      <c r="E4107" s="136">
        <f t="shared" si="187"/>
        <v>25</v>
      </c>
      <c r="F4107" s="137" t="s">
        <v>24</v>
      </c>
      <c r="G4107" s="128" t="str">
        <f>VLOOKUP(source[[#This Row],[lending_product_transform]],[3]Mapping!$B$4:$C$37,2,0)</f>
        <v>[Cake] - Cashloan</v>
      </c>
      <c r="H4107" s="128" t="str">
        <f>VLOOKUP(source[[#This Row],[lending_product_transform]],[3]Mapping!$B$3:$D$37,3,0)</f>
        <v>cashloan</v>
      </c>
      <c r="I4107" s="143">
        <v>16652808</v>
      </c>
    </row>
    <row r="4108" spans="1:9" x14ac:dyDescent="0.2">
      <c r="A4108" s="134">
        <v>45651</v>
      </c>
      <c r="B4108" s="135">
        <f>YEAR(source[[#This Row],[report_date]])</f>
        <v>2024</v>
      </c>
      <c r="C4108" s="128">
        <f t="shared" si="186"/>
        <v>12</v>
      </c>
      <c r="D4108" s="136">
        <f t="shared" si="188"/>
        <v>52</v>
      </c>
      <c r="E4108" s="136">
        <f t="shared" si="187"/>
        <v>25</v>
      </c>
      <c r="F4108" s="137" t="s">
        <v>24</v>
      </c>
      <c r="G4108" s="128" t="str">
        <f>VLOOKUP(source[[#This Row],[lending_product_transform]],[3]Mapping!$B$4:$C$37,2,0)</f>
        <v>[Cake] - Cashloan</v>
      </c>
      <c r="H4108" s="128" t="str">
        <f>VLOOKUP(source[[#This Row],[lending_product_transform]],[3]Mapping!$B$3:$D$37,3,0)</f>
        <v>cashloan</v>
      </c>
      <c r="I4108" s="143">
        <v>32100000</v>
      </c>
    </row>
    <row r="4109" spans="1:9" x14ac:dyDescent="0.2">
      <c r="A4109" s="134">
        <v>45651</v>
      </c>
      <c r="B4109" s="135">
        <f>YEAR(source[[#This Row],[report_date]])</f>
        <v>2024</v>
      </c>
      <c r="C4109" s="128">
        <f t="shared" si="186"/>
        <v>12</v>
      </c>
      <c r="D4109" s="136">
        <f t="shared" si="188"/>
        <v>52</v>
      </c>
      <c r="E4109" s="136">
        <f t="shared" si="187"/>
        <v>25</v>
      </c>
      <c r="F4109" s="137" t="s">
        <v>24</v>
      </c>
      <c r="G4109" s="128" t="str">
        <f>VLOOKUP(source[[#This Row],[lending_product_transform]],[3]Mapping!$B$4:$C$37,2,0)</f>
        <v>[Cake] - Cashloan</v>
      </c>
      <c r="H4109" s="128" t="str">
        <f>VLOOKUP(source[[#This Row],[lending_product_transform]],[3]Mapping!$B$3:$D$37,3,0)</f>
        <v>cashloan</v>
      </c>
      <c r="I4109" s="143">
        <v>10700000</v>
      </c>
    </row>
    <row r="4110" spans="1:9" x14ac:dyDescent="0.2">
      <c r="A4110" s="134">
        <v>45652</v>
      </c>
      <c r="B4110" s="135">
        <f>YEAR(source[[#This Row],[report_date]])</f>
        <v>2024</v>
      </c>
      <c r="C4110" s="128">
        <f t="shared" si="186"/>
        <v>12</v>
      </c>
      <c r="D4110" s="136">
        <f t="shared" si="188"/>
        <v>52</v>
      </c>
      <c r="E4110" s="136">
        <f t="shared" si="187"/>
        <v>26</v>
      </c>
      <c r="F4110" s="137" t="s">
        <v>24</v>
      </c>
      <c r="G4110" s="128" t="str">
        <f>VLOOKUP(source[[#This Row],[lending_product_transform]],[3]Mapping!$B$4:$C$37,2,0)</f>
        <v>[Cake] - Cashloan</v>
      </c>
      <c r="H4110" s="128" t="str">
        <f>VLOOKUP(source[[#This Row],[lending_product_transform]],[3]Mapping!$B$3:$D$37,3,0)</f>
        <v>cashloan</v>
      </c>
      <c r="I4110" s="143">
        <v>264363936</v>
      </c>
    </row>
    <row r="4111" spans="1:9" x14ac:dyDescent="0.2">
      <c r="A4111" s="134">
        <v>45652</v>
      </c>
      <c r="B4111" s="135">
        <f>YEAR(source[[#This Row],[report_date]])</f>
        <v>2024</v>
      </c>
      <c r="C4111" s="128">
        <f t="shared" si="186"/>
        <v>12</v>
      </c>
      <c r="D4111" s="136">
        <f t="shared" si="188"/>
        <v>52</v>
      </c>
      <c r="E4111" s="136">
        <f t="shared" si="187"/>
        <v>26</v>
      </c>
      <c r="F4111" s="137" t="s">
        <v>24</v>
      </c>
      <c r="G4111" s="128" t="str">
        <f>VLOOKUP(source[[#This Row],[lending_product_transform]],[3]Mapping!$B$4:$C$37,2,0)</f>
        <v>[Cake] - Cashloan</v>
      </c>
      <c r="H4111" s="128" t="str">
        <f>VLOOKUP(source[[#This Row],[lending_product_transform]],[3]Mapping!$B$3:$D$37,3,0)</f>
        <v>cashloan</v>
      </c>
      <c r="I4111" s="143">
        <v>5231890000</v>
      </c>
    </row>
    <row r="4112" spans="1:9" x14ac:dyDescent="0.2">
      <c r="A4112" s="134">
        <v>45652</v>
      </c>
      <c r="B4112" s="135">
        <f>YEAR(source[[#This Row],[report_date]])</f>
        <v>2024</v>
      </c>
      <c r="C4112" s="128">
        <f t="shared" si="186"/>
        <v>12</v>
      </c>
      <c r="D4112" s="136">
        <f t="shared" si="188"/>
        <v>52</v>
      </c>
      <c r="E4112" s="136">
        <f t="shared" si="187"/>
        <v>26</v>
      </c>
      <c r="F4112" s="137" t="s">
        <v>24</v>
      </c>
      <c r="G4112" s="128" t="str">
        <f>VLOOKUP(source[[#This Row],[lending_product_transform]],[3]Mapping!$B$4:$C$37,2,0)</f>
        <v>[Cake] - Cashloan</v>
      </c>
      <c r="H4112" s="128" t="str">
        <f>VLOOKUP(source[[#This Row],[lending_product_transform]],[3]Mapping!$B$3:$D$37,3,0)</f>
        <v>cashloan</v>
      </c>
      <c r="I4112" s="143">
        <v>42000000</v>
      </c>
    </row>
    <row r="4113" spans="1:9" x14ac:dyDescent="0.2">
      <c r="A4113" s="134">
        <v>45652</v>
      </c>
      <c r="B4113" s="135">
        <f>YEAR(source[[#This Row],[report_date]])</f>
        <v>2024</v>
      </c>
      <c r="C4113" s="128">
        <f t="shared" si="186"/>
        <v>12</v>
      </c>
      <c r="D4113" s="136">
        <f t="shared" si="188"/>
        <v>52</v>
      </c>
      <c r="E4113" s="136">
        <f t="shared" si="187"/>
        <v>26</v>
      </c>
      <c r="F4113" s="137" t="s">
        <v>24</v>
      </c>
      <c r="G4113" s="128" t="str">
        <f>VLOOKUP(source[[#This Row],[lending_product_transform]],[3]Mapping!$B$4:$C$37,2,0)</f>
        <v>[Cake] - Cashloan</v>
      </c>
      <c r="H4113" s="128" t="str">
        <f>VLOOKUP(source[[#This Row],[lending_product_transform]],[3]Mapping!$B$3:$D$37,3,0)</f>
        <v>cashloan</v>
      </c>
      <c r="I4113" s="143">
        <v>10700000</v>
      </c>
    </row>
    <row r="4114" spans="1:9" x14ac:dyDescent="0.2">
      <c r="A4114" s="134">
        <v>45652</v>
      </c>
      <c r="B4114" s="135">
        <f>YEAR(source[[#This Row],[report_date]])</f>
        <v>2024</v>
      </c>
      <c r="C4114" s="128">
        <f t="shared" si="186"/>
        <v>12</v>
      </c>
      <c r="D4114" s="136">
        <f t="shared" si="188"/>
        <v>52</v>
      </c>
      <c r="E4114" s="136">
        <f t="shared" si="187"/>
        <v>26</v>
      </c>
      <c r="F4114" s="137" t="s">
        <v>24</v>
      </c>
      <c r="G4114" s="128" t="str">
        <f>VLOOKUP(source[[#This Row],[lending_product_transform]],[3]Mapping!$B$4:$C$37,2,0)</f>
        <v>[Cake] - Cashloan</v>
      </c>
      <c r="H4114" s="128" t="str">
        <f>VLOOKUP(source[[#This Row],[lending_product_transform]],[3]Mapping!$B$3:$D$37,3,0)</f>
        <v>cashloan</v>
      </c>
      <c r="I4114" s="143">
        <v>3463105730</v>
      </c>
    </row>
    <row r="4115" spans="1:9" x14ac:dyDescent="0.2">
      <c r="A4115" s="134">
        <v>45652</v>
      </c>
      <c r="B4115" s="135">
        <f>YEAR(source[[#This Row],[report_date]])</f>
        <v>2024</v>
      </c>
      <c r="C4115" s="128">
        <f t="shared" si="186"/>
        <v>12</v>
      </c>
      <c r="D4115" s="136">
        <f t="shared" si="188"/>
        <v>52</v>
      </c>
      <c r="E4115" s="136">
        <f t="shared" si="187"/>
        <v>26</v>
      </c>
      <c r="F4115" s="137" t="s">
        <v>24</v>
      </c>
      <c r="G4115" s="128" t="str">
        <f>VLOOKUP(source[[#This Row],[lending_product_transform]],[3]Mapping!$B$4:$C$37,2,0)</f>
        <v>[Cake] - Cashloan</v>
      </c>
      <c r="H4115" s="128" t="str">
        <f>VLOOKUP(source[[#This Row],[lending_product_transform]],[3]Mapping!$B$3:$D$37,3,0)</f>
        <v>cashloan</v>
      </c>
      <c r="I4115" s="143">
        <v>4437500000</v>
      </c>
    </row>
    <row r="4116" spans="1:9" x14ac:dyDescent="0.2">
      <c r="A4116" s="134">
        <v>45652</v>
      </c>
      <c r="B4116" s="135">
        <f>YEAR(source[[#This Row],[report_date]])</f>
        <v>2024</v>
      </c>
      <c r="C4116" s="128">
        <f t="shared" si="186"/>
        <v>12</v>
      </c>
      <c r="D4116" s="136">
        <f t="shared" si="188"/>
        <v>52</v>
      </c>
      <c r="E4116" s="136">
        <f t="shared" si="187"/>
        <v>26</v>
      </c>
      <c r="F4116" s="137" t="s">
        <v>24</v>
      </c>
      <c r="G4116" s="128" t="str">
        <f>VLOOKUP(source[[#This Row],[lending_product_transform]],[3]Mapping!$B$4:$C$37,2,0)</f>
        <v>[Cake] - Cashloan</v>
      </c>
      <c r="H4116" s="128" t="str">
        <f>VLOOKUP(source[[#This Row],[lending_product_transform]],[3]Mapping!$B$3:$D$37,3,0)</f>
        <v>cashloan</v>
      </c>
      <c r="I4116" s="143">
        <v>378130000</v>
      </c>
    </row>
    <row r="4117" spans="1:9" x14ac:dyDescent="0.2">
      <c r="A4117" s="134">
        <v>45652</v>
      </c>
      <c r="B4117" s="135">
        <f>YEAR(source[[#This Row],[report_date]])</f>
        <v>2024</v>
      </c>
      <c r="C4117" s="128">
        <f t="shared" si="186"/>
        <v>12</v>
      </c>
      <c r="D4117" s="136">
        <f t="shared" si="188"/>
        <v>52</v>
      </c>
      <c r="E4117" s="136">
        <f t="shared" si="187"/>
        <v>26</v>
      </c>
      <c r="F4117" s="137" t="s">
        <v>24</v>
      </c>
      <c r="G4117" s="128" t="str">
        <f>VLOOKUP(source[[#This Row],[lending_product_transform]],[3]Mapping!$B$4:$C$37,2,0)</f>
        <v>[Cake] - Cashloan</v>
      </c>
      <c r="H4117" s="128" t="str">
        <f>VLOOKUP(source[[#This Row],[lending_product_transform]],[3]Mapping!$B$3:$D$37,3,0)</f>
        <v>cashloan</v>
      </c>
      <c r="I4117" s="143">
        <v>6313270000</v>
      </c>
    </row>
    <row r="4118" spans="1:9" x14ac:dyDescent="0.2">
      <c r="A4118" s="134">
        <v>45652</v>
      </c>
      <c r="B4118" s="135">
        <f>YEAR(source[[#This Row],[report_date]])</f>
        <v>2024</v>
      </c>
      <c r="C4118" s="128">
        <f t="shared" si="186"/>
        <v>12</v>
      </c>
      <c r="D4118" s="136">
        <f t="shared" si="188"/>
        <v>52</v>
      </c>
      <c r="E4118" s="136">
        <f t="shared" si="187"/>
        <v>26</v>
      </c>
      <c r="F4118" s="137" t="s">
        <v>24</v>
      </c>
      <c r="G4118" s="128" t="str">
        <f>VLOOKUP(source[[#This Row],[lending_product_transform]],[3]Mapping!$B$4:$C$37,2,0)</f>
        <v>[Cake] - Cashloan</v>
      </c>
      <c r="H4118" s="128" t="str">
        <f>VLOOKUP(source[[#This Row],[lending_product_transform]],[3]Mapping!$B$3:$D$37,3,0)</f>
        <v>cashloan</v>
      </c>
      <c r="I4118" s="143">
        <v>0</v>
      </c>
    </row>
    <row r="4119" spans="1:9" x14ac:dyDescent="0.2">
      <c r="A4119" s="134">
        <v>45652</v>
      </c>
      <c r="B4119" s="135">
        <f>YEAR(source[[#This Row],[report_date]])</f>
        <v>2024</v>
      </c>
      <c r="C4119" s="128">
        <f t="shared" si="186"/>
        <v>12</v>
      </c>
      <c r="D4119" s="136">
        <f t="shared" si="188"/>
        <v>52</v>
      </c>
      <c r="E4119" s="136">
        <f t="shared" si="187"/>
        <v>26</v>
      </c>
      <c r="F4119" s="137" t="s">
        <v>24</v>
      </c>
      <c r="G4119" s="128" t="str">
        <f>VLOOKUP(source[[#This Row],[lending_product_transform]],[3]Mapping!$B$4:$C$37,2,0)</f>
        <v>[Cake] - Cashloan</v>
      </c>
      <c r="H4119" s="128" t="str">
        <f>VLOOKUP(source[[#This Row],[lending_product_transform]],[3]Mapping!$B$3:$D$37,3,0)</f>
        <v>cashloan</v>
      </c>
      <c r="I4119" s="143">
        <v>46250000</v>
      </c>
    </row>
    <row r="4120" spans="1:9" x14ac:dyDescent="0.2">
      <c r="A4120" s="134">
        <v>45652</v>
      </c>
      <c r="B4120" s="135">
        <f>YEAR(source[[#This Row],[report_date]])</f>
        <v>2024</v>
      </c>
      <c r="C4120" s="128">
        <f t="shared" si="186"/>
        <v>12</v>
      </c>
      <c r="D4120" s="136">
        <f t="shared" si="188"/>
        <v>52</v>
      </c>
      <c r="E4120" s="136">
        <f t="shared" si="187"/>
        <v>26</v>
      </c>
      <c r="F4120" s="137" t="s">
        <v>24</v>
      </c>
      <c r="G4120" s="128" t="str">
        <f>VLOOKUP(source[[#This Row],[lending_product_transform]],[3]Mapping!$B$4:$C$37,2,0)</f>
        <v>[Cake] - Cashloan</v>
      </c>
      <c r="H4120" s="128" t="str">
        <f>VLOOKUP(source[[#This Row],[lending_product_transform]],[3]Mapping!$B$3:$D$37,3,0)</f>
        <v>cashloan</v>
      </c>
      <c r="I4120" s="143">
        <v>0</v>
      </c>
    </row>
    <row r="4121" spans="1:9" x14ac:dyDescent="0.2">
      <c r="A4121" s="134">
        <v>45652</v>
      </c>
      <c r="B4121" s="135">
        <f>YEAR(source[[#This Row],[report_date]])</f>
        <v>2024</v>
      </c>
      <c r="C4121" s="128">
        <f t="shared" si="186"/>
        <v>12</v>
      </c>
      <c r="D4121" s="136">
        <f t="shared" si="188"/>
        <v>52</v>
      </c>
      <c r="E4121" s="136">
        <f t="shared" si="187"/>
        <v>26</v>
      </c>
      <c r="F4121" s="137" t="s">
        <v>24</v>
      </c>
      <c r="G4121" s="128" t="str">
        <f>VLOOKUP(source[[#This Row],[lending_product_transform]],[3]Mapping!$B$4:$C$37,2,0)</f>
        <v>[Cake] - Cashloan</v>
      </c>
      <c r="H4121" s="128" t="str">
        <f>VLOOKUP(source[[#This Row],[lending_product_transform]],[3]Mapping!$B$3:$D$37,3,0)</f>
        <v>cashloan</v>
      </c>
      <c r="I4121" s="143">
        <v>12000000</v>
      </c>
    </row>
    <row r="4122" spans="1:9" x14ac:dyDescent="0.2">
      <c r="A4122" s="134">
        <v>45652</v>
      </c>
      <c r="B4122" s="135">
        <f>YEAR(source[[#This Row],[report_date]])</f>
        <v>2024</v>
      </c>
      <c r="C4122" s="128">
        <f t="shared" si="186"/>
        <v>12</v>
      </c>
      <c r="D4122" s="136">
        <f t="shared" si="188"/>
        <v>52</v>
      </c>
      <c r="E4122" s="136">
        <f t="shared" si="187"/>
        <v>26</v>
      </c>
      <c r="F4122" s="137" t="s">
        <v>24</v>
      </c>
      <c r="G4122" s="128" t="str">
        <f>VLOOKUP(source[[#This Row],[lending_product_transform]],[3]Mapping!$B$4:$C$37,2,0)</f>
        <v>[Cake] - Cashloan</v>
      </c>
      <c r="H4122" s="128" t="str">
        <f>VLOOKUP(source[[#This Row],[lending_product_transform]],[3]Mapping!$B$3:$D$37,3,0)</f>
        <v>cashloan</v>
      </c>
      <c r="I4122" s="143">
        <v>200250000</v>
      </c>
    </row>
    <row r="4123" spans="1:9" x14ac:dyDescent="0.2">
      <c r="A4123" s="134">
        <v>45652</v>
      </c>
      <c r="B4123" s="135">
        <f>YEAR(source[[#This Row],[report_date]])</f>
        <v>2024</v>
      </c>
      <c r="C4123" s="128">
        <f t="shared" si="186"/>
        <v>12</v>
      </c>
      <c r="D4123" s="136">
        <f t="shared" si="188"/>
        <v>52</v>
      </c>
      <c r="E4123" s="136">
        <f t="shared" si="187"/>
        <v>26</v>
      </c>
      <c r="F4123" s="137" t="s">
        <v>24</v>
      </c>
      <c r="G4123" s="128" t="str">
        <f>VLOOKUP(source[[#This Row],[lending_product_transform]],[3]Mapping!$B$4:$C$37,2,0)</f>
        <v>[Cake] - Cashloan</v>
      </c>
      <c r="H4123" s="128" t="str">
        <f>VLOOKUP(source[[#This Row],[lending_product_transform]],[3]Mapping!$B$3:$D$37,3,0)</f>
        <v>cashloan</v>
      </c>
      <c r="I4123" s="143">
        <v>0</v>
      </c>
    </row>
    <row r="4124" spans="1:9" x14ac:dyDescent="0.2">
      <c r="A4124" s="134">
        <v>45652</v>
      </c>
      <c r="B4124" s="135">
        <f>YEAR(source[[#This Row],[report_date]])</f>
        <v>2024</v>
      </c>
      <c r="C4124" s="128">
        <f t="shared" si="186"/>
        <v>12</v>
      </c>
      <c r="D4124" s="136">
        <f t="shared" si="188"/>
        <v>52</v>
      </c>
      <c r="E4124" s="136">
        <f t="shared" si="187"/>
        <v>26</v>
      </c>
      <c r="F4124" s="137" t="s">
        <v>24</v>
      </c>
      <c r="G4124" s="128" t="str">
        <f>VLOOKUP(source[[#This Row],[lending_product_transform]],[3]Mapping!$B$4:$C$37,2,0)</f>
        <v>[Cake] - Cashloan</v>
      </c>
      <c r="H4124" s="128" t="str">
        <f>VLOOKUP(source[[#This Row],[lending_product_transform]],[3]Mapping!$B$3:$D$37,3,0)</f>
        <v>cashloan</v>
      </c>
      <c r="I4124" s="143">
        <v>74017325</v>
      </c>
    </row>
    <row r="4125" spans="1:9" x14ac:dyDescent="0.2">
      <c r="A4125" s="134">
        <v>45652</v>
      </c>
      <c r="B4125" s="135">
        <f>YEAR(source[[#This Row],[report_date]])</f>
        <v>2024</v>
      </c>
      <c r="C4125" s="128">
        <f t="shared" ref="C4125:C4180" si="189">MONTH(A4125)</f>
        <v>12</v>
      </c>
      <c r="D4125" s="136">
        <f t="shared" si="188"/>
        <v>52</v>
      </c>
      <c r="E4125" s="136">
        <f t="shared" ref="E4125:E4180" si="190">DAY(A4125)</f>
        <v>26</v>
      </c>
      <c r="F4125" s="137" t="s">
        <v>24</v>
      </c>
      <c r="G4125" s="128" t="str">
        <f>VLOOKUP(source[[#This Row],[lending_product_transform]],[3]Mapping!$B$4:$C$37,2,0)</f>
        <v>[Cake] - Cashloan</v>
      </c>
      <c r="H4125" s="128" t="str">
        <f>VLOOKUP(source[[#This Row],[lending_product_transform]],[3]Mapping!$B$3:$D$37,3,0)</f>
        <v>cashloan</v>
      </c>
      <c r="I4125" s="143">
        <v>16777139</v>
      </c>
    </row>
    <row r="4126" spans="1:9" x14ac:dyDescent="0.2">
      <c r="A4126" s="134">
        <v>45652</v>
      </c>
      <c r="B4126" s="135">
        <f>YEAR(source[[#This Row],[report_date]])</f>
        <v>2024</v>
      </c>
      <c r="C4126" s="128">
        <f t="shared" si="189"/>
        <v>12</v>
      </c>
      <c r="D4126" s="136">
        <f t="shared" si="188"/>
        <v>52</v>
      </c>
      <c r="E4126" s="136">
        <f t="shared" si="190"/>
        <v>26</v>
      </c>
      <c r="F4126" s="137" t="s">
        <v>24</v>
      </c>
      <c r="G4126" s="128" t="str">
        <f>VLOOKUP(source[[#This Row],[lending_product_transform]],[3]Mapping!$B$4:$C$37,2,0)</f>
        <v>[Cake] - Cashloan</v>
      </c>
      <c r="H4126" s="128" t="str">
        <f>VLOOKUP(source[[#This Row],[lending_product_transform]],[3]Mapping!$B$3:$D$37,3,0)</f>
        <v>cashloan</v>
      </c>
      <c r="I4126" s="143">
        <v>148436075</v>
      </c>
    </row>
    <row r="4127" spans="1:9" x14ac:dyDescent="0.2">
      <c r="A4127" s="134">
        <v>45652</v>
      </c>
      <c r="B4127" s="135">
        <f>YEAR(source[[#This Row],[report_date]])</f>
        <v>2024</v>
      </c>
      <c r="C4127" s="128">
        <f t="shared" si="189"/>
        <v>12</v>
      </c>
      <c r="D4127" s="136">
        <f t="shared" si="188"/>
        <v>52</v>
      </c>
      <c r="E4127" s="136">
        <f t="shared" si="190"/>
        <v>26</v>
      </c>
      <c r="F4127" s="137" t="s">
        <v>24</v>
      </c>
      <c r="G4127" s="128" t="str">
        <f>VLOOKUP(source[[#This Row],[lending_product_transform]],[3]Mapping!$B$4:$C$37,2,0)</f>
        <v>[Cake] - Cashloan</v>
      </c>
      <c r="H4127" s="128" t="str">
        <f>VLOOKUP(source[[#This Row],[lending_product_transform]],[3]Mapping!$B$3:$D$37,3,0)</f>
        <v>cashloan</v>
      </c>
      <c r="I4127" s="143">
        <v>10000000</v>
      </c>
    </row>
    <row r="4128" spans="1:9" x14ac:dyDescent="0.2">
      <c r="A4128" s="134">
        <v>45653</v>
      </c>
      <c r="B4128" s="135">
        <f>YEAR(source[[#This Row],[report_date]])</f>
        <v>2024</v>
      </c>
      <c r="C4128" s="128">
        <f t="shared" si="189"/>
        <v>12</v>
      </c>
      <c r="D4128" s="136">
        <f t="shared" si="188"/>
        <v>52</v>
      </c>
      <c r="E4128" s="136">
        <f t="shared" si="190"/>
        <v>27</v>
      </c>
      <c r="F4128" s="137" t="s">
        <v>24</v>
      </c>
      <c r="G4128" s="128" t="str">
        <f>VLOOKUP(source[[#This Row],[lending_product_transform]],[3]Mapping!$B$4:$C$37,2,0)</f>
        <v>[Cake] - Cashloan</v>
      </c>
      <c r="H4128" s="128" t="str">
        <f>VLOOKUP(source[[#This Row],[lending_product_transform]],[3]Mapping!$B$3:$D$37,3,0)</f>
        <v>cashloan</v>
      </c>
      <c r="I4128" s="143">
        <v>3878610994</v>
      </c>
    </row>
    <row r="4129" spans="1:9" x14ac:dyDescent="0.2">
      <c r="A4129" s="134">
        <v>45653</v>
      </c>
      <c r="B4129" s="135">
        <f>YEAR(source[[#This Row],[report_date]])</f>
        <v>2024</v>
      </c>
      <c r="C4129" s="128">
        <f t="shared" si="189"/>
        <v>12</v>
      </c>
      <c r="D4129" s="136">
        <f t="shared" si="188"/>
        <v>52</v>
      </c>
      <c r="E4129" s="136">
        <f t="shared" si="190"/>
        <v>27</v>
      </c>
      <c r="F4129" s="137" t="s">
        <v>24</v>
      </c>
      <c r="G4129" s="128" t="str">
        <f>VLOOKUP(source[[#This Row],[lending_product_transform]],[3]Mapping!$B$4:$C$37,2,0)</f>
        <v>[Cake] - Cashloan</v>
      </c>
      <c r="H4129" s="128" t="str">
        <f>VLOOKUP(source[[#This Row],[lending_product_transform]],[3]Mapping!$B$3:$D$37,3,0)</f>
        <v>cashloan</v>
      </c>
      <c r="I4129" s="143">
        <v>163128006</v>
      </c>
    </row>
    <row r="4130" spans="1:9" x14ac:dyDescent="0.2">
      <c r="A4130" s="134">
        <v>45653</v>
      </c>
      <c r="B4130" s="135">
        <f>YEAR(source[[#This Row],[report_date]])</f>
        <v>2024</v>
      </c>
      <c r="C4130" s="128">
        <f t="shared" si="189"/>
        <v>12</v>
      </c>
      <c r="D4130" s="136">
        <f t="shared" si="188"/>
        <v>52</v>
      </c>
      <c r="E4130" s="136">
        <f t="shared" si="190"/>
        <v>27</v>
      </c>
      <c r="F4130" s="137" t="s">
        <v>24</v>
      </c>
      <c r="G4130" s="128" t="str">
        <f>VLOOKUP(source[[#This Row],[lending_product_transform]],[3]Mapping!$B$4:$C$37,2,0)</f>
        <v>[Cake] - Cashloan</v>
      </c>
      <c r="H4130" s="128" t="str">
        <f>VLOOKUP(source[[#This Row],[lending_product_transform]],[3]Mapping!$B$3:$D$37,3,0)</f>
        <v>cashloan</v>
      </c>
      <c r="I4130" s="143">
        <v>10700000</v>
      </c>
    </row>
    <row r="4131" spans="1:9" x14ac:dyDescent="0.2">
      <c r="A4131" s="134">
        <v>45653</v>
      </c>
      <c r="B4131" s="135">
        <f>YEAR(source[[#This Row],[report_date]])</f>
        <v>2024</v>
      </c>
      <c r="C4131" s="128">
        <f t="shared" si="189"/>
        <v>12</v>
      </c>
      <c r="D4131" s="136">
        <f t="shared" si="188"/>
        <v>52</v>
      </c>
      <c r="E4131" s="136">
        <f t="shared" si="190"/>
        <v>27</v>
      </c>
      <c r="F4131" s="137" t="s">
        <v>24</v>
      </c>
      <c r="G4131" s="128" t="str">
        <f>VLOOKUP(source[[#This Row],[lending_product_transform]],[3]Mapping!$B$4:$C$37,2,0)</f>
        <v>[Cake] - Cashloan</v>
      </c>
      <c r="H4131" s="128" t="str">
        <f>VLOOKUP(source[[#This Row],[lending_product_transform]],[3]Mapping!$B$3:$D$37,3,0)</f>
        <v>cashloan</v>
      </c>
      <c r="I4131" s="143">
        <v>17436417</v>
      </c>
    </row>
    <row r="4132" spans="1:9" x14ac:dyDescent="0.2">
      <c r="A4132" s="134">
        <v>45653</v>
      </c>
      <c r="B4132" s="135">
        <f>YEAR(source[[#This Row],[report_date]])</f>
        <v>2024</v>
      </c>
      <c r="C4132" s="128">
        <f t="shared" si="189"/>
        <v>12</v>
      </c>
      <c r="D4132" s="136">
        <f t="shared" si="188"/>
        <v>52</v>
      </c>
      <c r="E4132" s="136">
        <f t="shared" si="190"/>
        <v>27</v>
      </c>
      <c r="F4132" s="137" t="s">
        <v>24</v>
      </c>
      <c r="G4132" s="128" t="str">
        <f>VLOOKUP(source[[#This Row],[lending_product_transform]],[3]Mapping!$B$4:$C$37,2,0)</f>
        <v>[Cake] - Cashloan</v>
      </c>
      <c r="H4132" s="128" t="str">
        <f>VLOOKUP(source[[#This Row],[lending_product_transform]],[3]Mapping!$B$3:$D$37,3,0)</f>
        <v>cashloan</v>
      </c>
      <c r="I4132" s="143">
        <v>0</v>
      </c>
    </row>
    <row r="4133" spans="1:9" x14ac:dyDescent="0.2">
      <c r="A4133" s="134">
        <v>45653</v>
      </c>
      <c r="B4133" s="135">
        <f>YEAR(source[[#This Row],[report_date]])</f>
        <v>2024</v>
      </c>
      <c r="C4133" s="128">
        <f t="shared" si="189"/>
        <v>12</v>
      </c>
      <c r="D4133" s="136">
        <f t="shared" si="188"/>
        <v>52</v>
      </c>
      <c r="E4133" s="136">
        <f t="shared" si="190"/>
        <v>27</v>
      </c>
      <c r="F4133" s="137" t="s">
        <v>24</v>
      </c>
      <c r="G4133" s="128" t="str">
        <f>VLOOKUP(source[[#This Row],[lending_product_transform]],[3]Mapping!$B$4:$C$37,2,0)</f>
        <v>[Cake] - Cashloan</v>
      </c>
      <c r="H4133" s="128" t="str">
        <f>VLOOKUP(source[[#This Row],[lending_product_transform]],[3]Mapping!$B$3:$D$37,3,0)</f>
        <v>cashloan</v>
      </c>
      <c r="I4133" s="143">
        <v>63892203</v>
      </c>
    </row>
    <row r="4134" spans="1:9" x14ac:dyDescent="0.2">
      <c r="A4134" s="134">
        <v>45653</v>
      </c>
      <c r="B4134" s="135">
        <f>YEAR(source[[#This Row],[report_date]])</f>
        <v>2024</v>
      </c>
      <c r="C4134" s="128">
        <f t="shared" si="189"/>
        <v>12</v>
      </c>
      <c r="D4134" s="136">
        <f t="shared" si="188"/>
        <v>52</v>
      </c>
      <c r="E4134" s="136">
        <f t="shared" si="190"/>
        <v>27</v>
      </c>
      <c r="F4134" s="137" t="s">
        <v>24</v>
      </c>
      <c r="G4134" s="128" t="str">
        <f>VLOOKUP(source[[#This Row],[lending_product_transform]],[3]Mapping!$B$4:$C$37,2,0)</f>
        <v>[Cake] - Cashloan</v>
      </c>
      <c r="H4134" s="128" t="str">
        <f>VLOOKUP(source[[#This Row],[lending_product_transform]],[3]Mapping!$B$3:$D$37,3,0)</f>
        <v>cashloan</v>
      </c>
      <c r="I4134" s="143">
        <v>258839826</v>
      </c>
    </row>
    <row r="4135" spans="1:9" x14ac:dyDescent="0.2">
      <c r="A4135" s="134">
        <v>45653</v>
      </c>
      <c r="B4135" s="135">
        <f>YEAR(source[[#This Row],[report_date]])</f>
        <v>2024</v>
      </c>
      <c r="C4135" s="128">
        <f t="shared" si="189"/>
        <v>12</v>
      </c>
      <c r="D4135" s="136">
        <f t="shared" si="188"/>
        <v>52</v>
      </c>
      <c r="E4135" s="136">
        <f t="shared" si="190"/>
        <v>27</v>
      </c>
      <c r="F4135" s="137" t="s">
        <v>24</v>
      </c>
      <c r="G4135" s="128" t="str">
        <f>VLOOKUP(source[[#This Row],[lending_product_transform]],[3]Mapping!$B$4:$C$37,2,0)</f>
        <v>[Cake] - Cashloan</v>
      </c>
      <c r="H4135" s="128" t="str">
        <f>VLOOKUP(source[[#This Row],[lending_product_transform]],[3]Mapping!$B$3:$D$37,3,0)</f>
        <v>cashloan</v>
      </c>
      <c r="I4135" s="143">
        <v>109900000</v>
      </c>
    </row>
    <row r="4136" spans="1:9" x14ac:dyDescent="0.2">
      <c r="A4136" s="134">
        <v>45653</v>
      </c>
      <c r="B4136" s="135">
        <f>YEAR(source[[#This Row],[report_date]])</f>
        <v>2024</v>
      </c>
      <c r="C4136" s="128">
        <f t="shared" si="189"/>
        <v>12</v>
      </c>
      <c r="D4136" s="136">
        <f t="shared" si="188"/>
        <v>52</v>
      </c>
      <c r="E4136" s="136">
        <f t="shared" si="190"/>
        <v>27</v>
      </c>
      <c r="F4136" s="137" t="s">
        <v>24</v>
      </c>
      <c r="G4136" s="128" t="str">
        <f>VLOOKUP(source[[#This Row],[lending_product_transform]],[3]Mapping!$B$4:$C$37,2,0)</f>
        <v>[Cake] - Cashloan</v>
      </c>
      <c r="H4136" s="128" t="str">
        <f>VLOOKUP(source[[#This Row],[lending_product_transform]],[3]Mapping!$B$3:$D$37,3,0)</f>
        <v>cashloan</v>
      </c>
      <c r="I4136" s="143">
        <v>4145500000</v>
      </c>
    </row>
    <row r="4137" spans="1:9" x14ac:dyDescent="0.2">
      <c r="A4137" s="134">
        <v>45653</v>
      </c>
      <c r="B4137" s="135">
        <f>YEAR(source[[#This Row],[report_date]])</f>
        <v>2024</v>
      </c>
      <c r="C4137" s="128">
        <f t="shared" si="189"/>
        <v>12</v>
      </c>
      <c r="D4137" s="136">
        <f t="shared" si="188"/>
        <v>52</v>
      </c>
      <c r="E4137" s="136">
        <f t="shared" si="190"/>
        <v>27</v>
      </c>
      <c r="F4137" s="137" t="s">
        <v>24</v>
      </c>
      <c r="G4137" s="128" t="str">
        <f>VLOOKUP(source[[#This Row],[lending_product_transform]],[3]Mapping!$B$4:$C$37,2,0)</f>
        <v>[Cake] - Cashloan</v>
      </c>
      <c r="H4137" s="128" t="str">
        <f>VLOOKUP(source[[#This Row],[lending_product_transform]],[3]Mapping!$B$3:$D$37,3,0)</f>
        <v>cashloan</v>
      </c>
      <c r="I4137" s="143">
        <v>5752720000</v>
      </c>
    </row>
    <row r="4138" spans="1:9" x14ac:dyDescent="0.2">
      <c r="A4138" s="134">
        <v>45653</v>
      </c>
      <c r="B4138" s="135">
        <f>YEAR(source[[#This Row],[report_date]])</f>
        <v>2024</v>
      </c>
      <c r="C4138" s="128">
        <f t="shared" si="189"/>
        <v>12</v>
      </c>
      <c r="D4138" s="136">
        <f t="shared" si="188"/>
        <v>52</v>
      </c>
      <c r="E4138" s="136">
        <f t="shared" si="190"/>
        <v>27</v>
      </c>
      <c r="F4138" s="137" t="s">
        <v>24</v>
      </c>
      <c r="G4138" s="128" t="str">
        <f>VLOOKUP(source[[#This Row],[lending_product_transform]],[3]Mapping!$B$4:$C$37,2,0)</f>
        <v>[Cake] - Cashloan</v>
      </c>
      <c r="H4138" s="128" t="str">
        <f>VLOOKUP(source[[#This Row],[lending_product_transform]],[3]Mapping!$B$3:$D$37,3,0)</f>
        <v>cashloan</v>
      </c>
      <c r="I4138" s="143">
        <v>5893130000</v>
      </c>
    </row>
    <row r="4139" spans="1:9" x14ac:dyDescent="0.2">
      <c r="A4139" s="134">
        <v>45653</v>
      </c>
      <c r="B4139" s="135">
        <f>YEAR(source[[#This Row],[report_date]])</f>
        <v>2024</v>
      </c>
      <c r="C4139" s="128">
        <f t="shared" si="189"/>
        <v>12</v>
      </c>
      <c r="D4139" s="136">
        <f t="shared" si="188"/>
        <v>52</v>
      </c>
      <c r="E4139" s="136">
        <f t="shared" si="190"/>
        <v>27</v>
      </c>
      <c r="F4139" s="137" t="s">
        <v>24</v>
      </c>
      <c r="G4139" s="128" t="str">
        <f>VLOOKUP(source[[#This Row],[lending_product_transform]],[3]Mapping!$B$4:$C$37,2,0)</f>
        <v>[Cake] - Cashloan</v>
      </c>
      <c r="H4139" s="128" t="str">
        <f>VLOOKUP(source[[#This Row],[lending_product_transform]],[3]Mapping!$B$3:$D$37,3,0)</f>
        <v>cashloan</v>
      </c>
      <c r="I4139" s="143">
        <v>0</v>
      </c>
    </row>
    <row r="4140" spans="1:9" x14ac:dyDescent="0.2">
      <c r="A4140" s="134">
        <v>45653</v>
      </c>
      <c r="B4140" s="135">
        <f>YEAR(source[[#This Row],[report_date]])</f>
        <v>2024</v>
      </c>
      <c r="C4140" s="128">
        <f t="shared" si="189"/>
        <v>12</v>
      </c>
      <c r="D4140" s="136">
        <f t="shared" si="188"/>
        <v>52</v>
      </c>
      <c r="E4140" s="136">
        <f t="shared" si="190"/>
        <v>27</v>
      </c>
      <c r="F4140" s="137" t="s">
        <v>24</v>
      </c>
      <c r="G4140" s="128" t="str">
        <f>VLOOKUP(source[[#This Row],[lending_product_transform]],[3]Mapping!$B$4:$C$37,2,0)</f>
        <v>[Cake] - Cashloan</v>
      </c>
      <c r="H4140" s="128" t="str">
        <f>VLOOKUP(source[[#This Row],[lending_product_transform]],[3]Mapping!$B$3:$D$37,3,0)</f>
        <v>cashloan</v>
      </c>
      <c r="I4140" s="143">
        <v>12600000</v>
      </c>
    </row>
    <row r="4141" spans="1:9" x14ac:dyDescent="0.2">
      <c r="A4141" s="134">
        <v>45653</v>
      </c>
      <c r="B4141" s="135">
        <f>YEAR(source[[#This Row],[report_date]])</f>
        <v>2024</v>
      </c>
      <c r="C4141" s="128">
        <f t="shared" si="189"/>
        <v>12</v>
      </c>
      <c r="D4141" s="136">
        <f t="shared" si="188"/>
        <v>52</v>
      </c>
      <c r="E4141" s="136">
        <f t="shared" si="190"/>
        <v>27</v>
      </c>
      <c r="F4141" s="137" t="s">
        <v>24</v>
      </c>
      <c r="G4141" s="128" t="str">
        <f>VLOOKUP(source[[#This Row],[lending_product_transform]],[3]Mapping!$B$4:$C$37,2,0)</f>
        <v>[Cake] - Cashloan</v>
      </c>
      <c r="H4141" s="128" t="str">
        <f>VLOOKUP(source[[#This Row],[lending_product_transform]],[3]Mapping!$B$3:$D$37,3,0)</f>
        <v>cashloan</v>
      </c>
      <c r="I4141" s="143">
        <v>119410000</v>
      </c>
    </row>
    <row r="4142" spans="1:9" x14ac:dyDescent="0.2">
      <c r="A4142" s="134">
        <v>45653</v>
      </c>
      <c r="B4142" s="135">
        <f>YEAR(source[[#This Row],[report_date]])</f>
        <v>2024</v>
      </c>
      <c r="C4142" s="128">
        <f t="shared" si="189"/>
        <v>12</v>
      </c>
      <c r="D4142" s="136">
        <f t="shared" si="188"/>
        <v>52</v>
      </c>
      <c r="E4142" s="136">
        <f t="shared" si="190"/>
        <v>27</v>
      </c>
      <c r="F4142" s="137" t="s">
        <v>24</v>
      </c>
      <c r="G4142" s="128" t="str">
        <f>VLOOKUP(source[[#This Row],[lending_product_transform]],[3]Mapping!$B$4:$C$37,2,0)</f>
        <v>[Cake] - Cashloan</v>
      </c>
      <c r="H4142" s="128" t="str">
        <f>VLOOKUP(source[[#This Row],[lending_product_transform]],[3]Mapping!$B$3:$D$37,3,0)</f>
        <v>cashloan</v>
      </c>
      <c r="I4142" s="143">
        <v>37000000</v>
      </c>
    </row>
    <row r="4143" spans="1:9" x14ac:dyDescent="0.2">
      <c r="A4143" s="134">
        <v>45653</v>
      </c>
      <c r="B4143" s="135">
        <f>YEAR(source[[#This Row],[report_date]])</f>
        <v>2024</v>
      </c>
      <c r="C4143" s="128">
        <f t="shared" si="189"/>
        <v>12</v>
      </c>
      <c r="D4143" s="136">
        <f t="shared" si="188"/>
        <v>52</v>
      </c>
      <c r="E4143" s="136">
        <f t="shared" si="190"/>
        <v>27</v>
      </c>
      <c r="F4143" s="137" t="s">
        <v>24</v>
      </c>
      <c r="G4143" s="128" t="str">
        <f>VLOOKUP(source[[#This Row],[lending_product_transform]],[3]Mapping!$B$4:$C$37,2,0)</f>
        <v>[Cake] - Cashloan</v>
      </c>
      <c r="H4143" s="128" t="str">
        <f>VLOOKUP(source[[#This Row],[lending_product_transform]],[3]Mapping!$B$3:$D$37,3,0)</f>
        <v>cashloan</v>
      </c>
      <c r="I4143" s="143">
        <v>182720000</v>
      </c>
    </row>
    <row r="4144" spans="1:9" x14ac:dyDescent="0.2">
      <c r="A4144" s="134">
        <v>45653</v>
      </c>
      <c r="B4144" s="135">
        <f>YEAR(source[[#This Row],[report_date]])</f>
        <v>2024</v>
      </c>
      <c r="C4144" s="128">
        <f t="shared" si="189"/>
        <v>12</v>
      </c>
      <c r="D4144" s="136">
        <f t="shared" si="188"/>
        <v>52</v>
      </c>
      <c r="E4144" s="136">
        <f t="shared" si="190"/>
        <v>27</v>
      </c>
      <c r="F4144" s="137" t="s">
        <v>24</v>
      </c>
      <c r="G4144" s="128" t="str">
        <f>VLOOKUP(source[[#This Row],[lending_product_transform]],[3]Mapping!$B$4:$C$37,2,0)</f>
        <v>[Cake] - Cashloan</v>
      </c>
      <c r="H4144" s="128" t="str">
        <f>VLOOKUP(source[[#This Row],[lending_product_transform]],[3]Mapping!$B$3:$D$37,3,0)</f>
        <v>cashloan</v>
      </c>
      <c r="I4144" s="143">
        <v>26250000</v>
      </c>
    </row>
    <row r="4145" spans="1:9" x14ac:dyDescent="0.2">
      <c r="A4145" s="134">
        <v>45653</v>
      </c>
      <c r="B4145" s="135">
        <f>YEAR(source[[#This Row],[report_date]])</f>
        <v>2024</v>
      </c>
      <c r="C4145" s="128">
        <f t="shared" si="189"/>
        <v>12</v>
      </c>
      <c r="D4145" s="136">
        <f t="shared" si="188"/>
        <v>52</v>
      </c>
      <c r="E4145" s="136">
        <f t="shared" si="190"/>
        <v>27</v>
      </c>
      <c r="F4145" s="137" t="s">
        <v>24</v>
      </c>
      <c r="G4145" s="128" t="str">
        <f>VLOOKUP(source[[#This Row],[lending_product_transform]],[3]Mapping!$B$4:$C$37,2,0)</f>
        <v>[Cake] - Cashloan</v>
      </c>
      <c r="H4145" s="128" t="str">
        <f>VLOOKUP(source[[#This Row],[lending_product_transform]],[3]Mapping!$B$3:$D$37,3,0)</f>
        <v>cashloan</v>
      </c>
      <c r="I4145" s="143">
        <v>0</v>
      </c>
    </row>
    <row r="4146" spans="1:9" x14ac:dyDescent="0.2">
      <c r="A4146" s="134">
        <v>45654</v>
      </c>
      <c r="B4146" s="135">
        <f>YEAR(source[[#This Row],[report_date]])</f>
        <v>2024</v>
      </c>
      <c r="C4146" s="128">
        <f t="shared" si="189"/>
        <v>12</v>
      </c>
      <c r="D4146" s="136">
        <f t="shared" si="188"/>
        <v>52</v>
      </c>
      <c r="E4146" s="136">
        <f t="shared" si="190"/>
        <v>28</v>
      </c>
      <c r="F4146" s="137" t="s">
        <v>24</v>
      </c>
      <c r="G4146" s="128" t="str">
        <f>VLOOKUP(source[[#This Row],[lending_product_transform]],[3]Mapping!$B$4:$C$37,2,0)</f>
        <v>[Cake] - Cashloan</v>
      </c>
      <c r="H4146" s="128" t="str">
        <f>VLOOKUP(source[[#This Row],[lending_product_transform]],[3]Mapping!$B$3:$D$37,3,0)</f>
        <v>cashloan</v>
      </c>
      <c r="I4146" s="143">
        <v>21400000</v>
      </c>
    </row>
    <row r="4147" spans="1:9" x14ac:dyDescent="0.2">
      <c r="A4147" s="134">
        <v>45654</v>
      </c>
      <c r="B4147" s="135">
        <f>YEAR(source[[#This Row],[report_date]])</f>
        <v>2024</v>
      </c>
      <c r="C4147" s="128">
        <f t="shared" si="189"/>
        <v>12</v>
      </c>
      <c r="D4147" s="136">
        <f t="shared" si="188"/>
        <v>52</v>
      </c>
      <c r="E4147" s="136">
        <f t="shared" si="190"/>
        <v>28</v>
      </c>
      <c r="F4147" s="137" t="s">
        <v>24</v>
      </c>
      <c r="G4147" s="128" t="str">
        <f>VLOOKUP(source[[#This Row],[lending_product_transform]],[3]Mapping!$B$4:$C$37,2,0)</f>
        <v>[Cake] - Cashloan</v>
      </c>
      <c r="H4147" s="128" t="str">
        <f>VLOOKUP(source[[#This Row],[lending_product_transform]],[3]Mapping!$B$3:$D$37,3,0)</f>
        <v>cashloan</v>
      </c>
      <c r="I4147" s="143">
        <v>68150000</v>
      </c>
    </row>
    <row r="4148" spans="1:9" x14ac:dyDescent="0.2">
      <c r="A4148" s="134">
        <v>45654</v>
      </c>
      <c r="B4148" s="135">
        <f>YEAR(source[[#This Row],[report_date]])</f>
        <v>2024</v>
      </c>
      <c r="C4148" s="128">
        <f t="shared" si="189"/>
        <v>12</v>
      </c>
      <c r="D4148" s="136">
        <f t="shared" si="188"/>
        <v>52</v>
      </c>
      <c r="E4148" s="136">
        <f t="shared" si="190"/>
        <v>28</v>
      </c>
      <c r="F4148" s="137" t="s">
        <v>24</v>
      </c>
      <c r="G4148" s="128" t="str">
        <f>VLOOKUP(source[[#This Row],[lending_product_transform]],[3]Mapping!$B$4:$C$37,2,0)</f>
        <v>[Cake] - Cashloan</v>
      </c>
      <c r="H4148" s="128" t="str">
        <f>VLOOKUP(source[[#This Row],[lending_product_transform]],[3]Mapping!$B$3:$D$37,3,0)</f>
        <v>cashloan</v>
      </c>
      <c r="I4148" s="143">
        <v>0</v>
      </c>
    </row>
    <row r="4149" spans="1:9" x14ac:dyDescent="0.2">
      <c r="A4149" s="134">
        <v>45654</v>
      </c>
      <c r="B4149" s="135">
        <f>YEAR(source[[#This Row],[report_date]])</f>
        <v>2024</v>
      </c>
      <c r="C4149" s="128">
        <f t="shared" si="189"/>
        <v>12</v>
      </c>
      <c r="D4149" s="136">
        <f t="shared" si="188"/>
        <v>52</v>
      </c>
      <c r="E4149" s="136">
        <f t="shared" si="190"/>
        <v>28</v>
      </c>
      <c r="F4149" s="137" t="s">
        <v>24</v>
      </c>
      <c r="G4149" s="128" t="str">
        <f>VLOOKUP(source[[#This Row],[lending_product_transform]],[3]Mapping!$B$4:$C$37,2,0)</f>
        <v>[Cake] - Cashloan</v>
      </c>
      <c r="H4149" s="128" t="str">
        <f>VLOOKUP(source[[#This Row],[lending_product_transform]],[3]Mapping!$B$3:$D$37,3,0)</f>
        <v>cashloan</v>
      </c>
      <c r="I4149" s="143">
        <v>2892420684</v>
      </c>
    </row>
    <row r="4150" spans="1:9" x14ac:dyDescent="0.2">
      <c r="A4150" s="134">
        <v>45654</v>
      </c>
      <c r="B4150" s="135">
        <f>YEAR(source[[#This Row],[report_date]])</f>
        <v>2024</v>
      </c>
      <c r="C4150" s="128">
        <f t="shared" si="189"/>
        <v>12</v>
      </c>
      <c r="D4150" s="136">
        <f t="shared" si="188"/>
        <v>52</v>
      </c>
      <c r="E4150" s="136">
        <f t="shared" si="190"/>
        <v>28</v>
      </c>
      <c r="F4150" s="137" t="s">
        <v>24</v>
      </c>
      <c r="G4150" s="128" t="str">
        <f>VLOOKUP(source[[#This Row],[lending_product_transform]],[3]Mapping!$B$4:$C$37,2,0)</f>
        <v>[Cake] - Cashloan</v>
      </c>
      <c r="H4150" s="128" t="str">
        <f>VLOOKUP(source[[#This Row],[lending_product_transform]],[3]Mapping!$B$3:$D$37,3,0)</f>
        <v>cashloan</v>
      </c>
      <c r="I4150" s="143">
        <v>0</v>
      </c>
    </row>
    <row r="4151" spans="1:9" x14ac:dyDescent="0.2">
      <c r="A4151" s="134">
        <v>45654</v>
      </c>
      <c r="B4151" s="135">
        <f>YEAR(source[[#This Row],[report_date]])</f>
        <v>2024</v>
      </c>
      <c r="C4151" s="128">
        <f t="shared" si="189"/>
        <v>12</v>
      </c>
      <c r="D4151" s="136">
        <f t="shared" si="188"/>
        <v>52</v>
      </c>
      <c r="E4151" s="136">
        <f t="shared" si="190"/>
        <v>28</v>
      </c>
      <c r="F4151" s="137" t="s">
        <v>24</v>
      </c>
      <c r="G4151" s="128" t="str">
        <f>VLOOKUP(source[[#This Row],[lending_product_transform]],[3]Mapping!$B$4:$C$37,2,0)</f>
        <v>[Cake] - Cashloan</v>
      </c>
      <c r="H4151" s="128" t="str">
        <f>VLOOKUP(source[[#This Row],[lending_product_transform]],[3]Mapping!$B$3:$D$37,3,0)</f>
        <v>cashloan</v>
      </c>
      <c r="I4151" s="143">
        <v>244318872</v>
      </c>
    </row>
    <row r="4152" spans="1:9" x14ac:dyDescent="0.2">
      <c r="A4152" s="134">
        <v>45654</v>
      </c>
      <c r="B4152" s="135">
        <f>YEAR(source[[#This Row],[report_date]])</f>
        <v>2024</v>
      </c>
      <c r="C4152" s="128">
        <f t="shared" si="189"/>
        <v>12</v>
      </c>
      <c r="D4152" s="136">
        <f t="shared" si="188"/>
        <v>52</v>
      </c>
      <c r="E4152" s="136">
        <f t="shared" si="190"/>
        <v>28</v>
      </c>
      <c r="F4152" s="137" t="s">
        <v>24</v>
      </c>
      <c r="G4152" s="128" t="str">
        <f>VLOOKUP(source[[#This Row],[lending_product_transform]],[3]Mapping!$B$4:$C$37,2,0)</f>
        <v>[Cake] - Cashloan</v>
      </c>
      <c r="H4152" s="128" t="str">
        <f>VLOOKUP(source[[#This Row],[lending_product_transform]],[3]Mapping!$B$3:$D$37,3,0)</f>
        <v>cashloan</v>
      </c>
      <c r="I4152" s="143">
        <v>0</v>
      </c>
    </row>
    <row r="4153" spans="1:9" x14ac:dyDescent="0.2">
      <c r="A4153" s="134">
        <v>45654</v>
      </c>
      <c r="B4153" s="135">
        <f>YEAR(source[[#This Row],[report_date]])</f>
        <v>2024</v>
      </c>
      <c r="C4153" s="128">
        <f t="shared" si="189"/>
        <v>12</v>
      </c>
      <c r="D4153" s="136">
        <f t="shared" si="188"/>
        <v>52</v>
      </c>
      <c r="E4153" s="136">
        <f t="shared" si="190"/>
        <v>28</v>
      </c>
      <c r="F4153" s="137" t="s">
        <v>24</v>
      </c>
      <c r="G4153" s="128" t="str">
        <f>VLOOKUP(source[[#This Row],[lending_product_transform]],[3]Mapping!$B$4:$C$37,2,0)</f>
        <v>[Cake] - Cashloan</v>
      </c>
      <c r="H4153" s="128" t="str">
        <f>VLOOKUP(source[[#This Row],[lending_product_transform]],[3]Mapping!$B$3:$D$37,3,0)</f>
        <v>cashloan</v>
      </c>
      <c r="I4153" s="143">
        <v>182350000</v>
      </c>
    </row>
    <row r="4154" spans="1:9" x14ac:dyDescent="0.2">
      <c r="A4154" s="134">
        <v>45654</v>
      </c>
      <c r="B4154" s="135">
        <f>YEAR(source[[#This Row],[report_date]])</f>
        <v>2024</v>
      </c>
      <c r="C4154" s="128">
        <f t="shared" si="189"/>
        <v>12</v>
      </c>
      <c r="D4154" s="136">
        <f t="shared" si="188"/>
        <v>52</v>
      </c>
      <c r="E4154" s="136">
        <f t="shared" si="190"/>
        <v>28</v>
      </c>
      <c r="F4154" s="137" t="s">
        <v>24</v>
      </c>
      <c r="G4154" s="128" t="str">
        <f>VLOOKUP(source[[#This Row],[lending_product_transform]],[3]Mapping!$B$4:$C$37,2,0)</f>
        <v>[Cake] - Cashloan</v>
      </c>
      <c r="H4154" s="128" t="str">
        <f>VLOOKUP(source[[#This Row],[lending_product_transform]],[3]Mapping!$B$3:$D$37,3,0)</f>
        <v>cashloan</v>
      </c>
      <c r="I4154" s="143">
        <v>89521692</v>
      </c>
    </row>
    <row r="4155" spans="1:9" x14ac:dyDescent="0.2">
      <c r="A4155" s="134">
        <v>45654</v>
      </c>
      <c r="B4155" s="135">
        <f>YEAR(source[[#This Row],[report_date]])</f>
        <v>2024</v>
      </c>
      <c r="C4155" s="128">
        <f t="shared" si="189"/>
        <v>12</v>
      </c>
      <c r="D4155" s="136">
        <f t="shared" si="188"/>
        <v>52</v>
      </c>
      <c r="E4155" s="136">
        <f t="shared" si="190"/>
        <v>28</v>
      </c>
      <c r="F4155" s="137" t="s">
        <v>24</v>
      </c>
      <c r="G4155" s="128" t="str">
        <f>VLOOKUP(source[[#This Row],[lending_product_transform]],[3]Mapping!$B$4:$C$37,2,0)</f>
        <v>[Cake] - Cashloan</v>
      </c>
      <c r="H4155" s="128" t="str">
        <f>VLOOKUP(source[[#This Row],[lending_product_transform]],[3]Mapping!$B$3:$D$37,3,0)</f>
        <v>cashloan</v>
      </c>
      <c r="I4155" s="143">
        <v>15000000</v>
      </c>
    </row>
    <row r="4156" spans="1:9" x14ac:dyDescent="0.2">
      <c r="A4156" s="134">
        <v>45654</v>
      </c>
      <c r="B4156" s="135">
        <f>YEAR(source[[#This Row],[report_date]])</f>
        <v>2024</v>
      </c>
      <c r="C4156" s="128">
        <f t="shared" si="189"/>
        <v>12</v>
      </c>
      <c r="D4156" s="136">
        <f t="shared" si="188"/>
        <v>52</v>
      </c>
      <c r="E4156" s="136">
        <f t="shared" si="190"/>
        <v>28</v>
      </c>
      <c r="F4156" s="137" t="s">
        <v>24</v>
      </c>
      <c r="G4156" s="128" t="str">
        <f>VLOOKUP(source[[#This Row],[lending_product_transform]],[3]Mapping!$B$4:$C$37,2,0)</f>
        <v>[Cake] - Cashloan</v>
      </c>
      <c r="H4156" s="128" t="str">
        <f>VLOOKUP(source[[#This Row],[lending_product_transform]],[3]Mapping!$B$3:$D$37,3,0)</f>
        <v>cashloan</v>
      </c>
      <c r="I4156" s="143">
        <v>3965500000</v>
      </c>
    </row>
    <row r="4157" spans="1:9" x14ac:dyDescent="0.2">
      <c r="A4157" s="134">
        <v>45654</v>
      </c>
      <c r="B4157" s="135">
        <f>YEAR(source[[#This Row],[report_date]])</f>
        <v>2024</v>
      </c>
      <c r="C4157" s="128">
        <f t="shared" si="189"/>
        <v>12</v>
      </c>
      <c r="D4157" s="136">
        <f t="shared" si="188"/>
        <v>52</v>
      </c>
      <c r="E4157" s="136">
        <f t="shared" si="190"/>
        <v>28</v>
      </c>
      <c r="F4157" s="137" t="s">
        <v>24</v>
      </c>
      <c r="G4157" s="128" t="str">
        <f>VLOOKUP(source[[#This Row],[lending_product_transform]],[3]Mapping!$B$4:$C$37,2,0)</f>
        <v>[Cake] - Cashloan</v>
      </c>
      <c r="H4157" s="128" t="str">
        <f>VLOOKUP(source[[#This Row],[lending_product_transform]],[3]Mapping!$B$3:$D$37,3,0)</f>
        <v>cashloan</v>
      </c>
      <c r="I4157" s="143">
        <v>21000000</v>
      </c>
    </row>
    <row r="4158" spans="1:9" x14ac:dyDescent="0.2">
      <c r="A4158" s="134">
        <v>45654</v>
      </c>
      <c r="B4158" s="135">
        <f>YEAR(source[[#This Row],[report_date]])</f>
        <v>2024</v>
      </c>
      <c r="C4158" s="128">
        <f t="shared" si="189"/>
        <v>12</v>
      </c>
      <c r="D4158" s="136">
        <f t="shared" si="188"/>
        <v>52</v>
      </c>
      <c r="E4158" s="136">
        <f t="shared" si="190"/>
        <v>28</v>
      </c>
      <c r="F4158" s="137" t="s">
        <v>24</v>
      </c>
      <c r="G4158" s="128" t="str">
        <f>VLOOKUP(source[[#This Row],[lending_product_transform]],[3]Mapping!$B$4:$C$37,2,0)</f>
        <v>[Cake] - Cashloan</v>
      </c>
      <c r="H4158" s="128" t="str">
        <f>VLOOKUP(source[[#This Row],[lending_product_transform]],[3]Mapping!$B$3:$D$37,3,0)</f>
        <v>cashloan</v>
      </c>
      <c r="I4158" s="143">
        <v>181660000</v>
      </c>
    </row>
    <row r="4159" spans="1:9" x14ac:dyDescent="0.2">
      <c r="A4159" s="134">
        <v>45654</v>
      </c>
      <c r="B4159" s="135">
        <f>YEAR(source[[#This Row],[report_date]])</f>
        <v>2024</v>
      </c>
      <c r="C4159" s="128">
        <f t="shared" si="189"/>
        <v>12</v>
      </c>
      <c r="D4159" s="136">
        <f t="shared" si="188"/>
        <v>52</v>
      </c>
      <c r="E4159" s="136">
        <f t="shared" si="190"/>
        <v>28</v>
      </c>
      <c r="F4159" s="137" t="s">
        <v>24</v>
      </c>
      <c r="G4159" s="128" t="str">
        <f>VLOOKUP(source[[#This Row],[lending_product_transform]],[3]Mapping!$B$4:$C$37,2,0)</f>
        <v>[Cake] - Cashloan</v>
      </c>
      <c r="H4159" s="128" t="str">
        <f>VLOOKUP(source[[#This Row],[lending_product_transform]],[3]Mapping!$B$3:$D$37,3,0)</f>
        <v>cashloan</v>
      </c>
      <c r="I4159" s="143">
        <v>0</v>
      </c>
    </row>
    <row r="4160" spans="1:9" x14ac:dyDescent="0.2">
      <c r="A4160" s="134">
        <v>45654</v>
      </c>
      <c r="B4160" s="135">
        <f>YEAR(source[[#This Row],[report_date]])</f>
        <v>2024</v>
      </c>
      <c r="C4160" s="128">
        <f t="shared" si="189"/>
        <v>12</v>
      </c>
      <c r="D4160" s="136">
        <f t="shared" si="188"/>
        <v>52</v>
      </c>
      <c r="E4160" s="136">
        <f t="shared" si="190"/>
        <v>28</v>
      </c>
      <c r="F4160" s="137" t="s">
        <v>24</v>
      </c>
      <c r="G4160" s="128" t="str">
        <f>VLOOKUP(source[[#This Row],[lending_product_transform]],[3]Mapping!$B$4:$C$37,2,0)</f>
        <v>[Cake] - Cashloan</v>
      </c>
      <c r="H4160" s="128" t="str">
        <f>VLOOKUP(source[[#This Row],[lending_product_transform]],[3]Mapping!$B$3:$D$37,3,0)</f>
        <v>cashloan</v>
      </c>
      <c r="I4160" s="143">
        <v>5158210000</v>
      </c>
    </row>
    <row r="4161" spans="1:9" x14ac:dyDescent="0.2">
      <c r="A4161" s="134">
        <v>45654</v>
      </c>
      <c r="B4161" s="135">
        <f>YEAR(source[[#This Row],[report_date]])</f>
        <v>2024</v>
      </c>
      <c r="C4161" s="128">
        <f t="shared" si="189"/>
        <v>12</v>
      </c>
      <c r="D4161" s="136">
        <f t="shared" si="188"/>
        <v>52</v>
      </c>
      <c r="E4161" s="136">
        <f t="shared" si="190"/>
        <v>28</v>
      </c>
      <c r="F4161" s="137" t="s">
        <v>24</v>
      </c>
      <c r="G4161" s="128" t="str">
        <f>VLOOKUP(source[[#This Row],[lending_product_transform]],[3]Mapping!$B$4:$C$37,2,0)</f>
        <v>[Cake] - Cashloan</v>
      </c>
      <c r="H4161" s="128" t="str">
        <f>VLOOKUP(source[[#This Row],[lending_product_transform]],[3]Mapping!$B$3:$D$37,3,0)</f>
        <v>cashloan</v>
      </c>
      <c r="I4161" s="143">
        <v>135029402</v>
      </c>
    </row>
    <row r="4162" spans="1:9" x14ac:dyDescent="0.2">
      <c r="A4162" s="134">
        <v>45654</v>
      </c>
      <c r="B4162" s="135">
        <f>YEAR(source[[#This Row],[report_date]])</f>
        <v>2024</v>
      </c>
      <c r="C4162" s="128">
        <f t="shared" si="189"/>
        <v>12</v>
      </c>
      <c r="D4162" s="136">
        <f t="shared" si="188"/>
        <v>52</v>
      </c>
      <c r="E4162" s="136">
        <f t="shared" si="190"/>
        <v>28</v>
      </c>
      <c r="F4162" s="137" t="s">
        <v>24</v>
      </c>
      <c r="G4162" s="128" t="str">
        <f>VLOOKUP(source[[#This Row],[lending_product_transform]],[3]Mapping!$B$4:$C$37,2,0)</f>
        <v>[Cake] - Cashloan</v>
      </c>
      <c r="H4162" s="128" t="str">
        <f>VLOOKUP(source[[#This Row],[lending_product_transform]],[3]Mapping!$B$3:$D$37,3,0)</f>
        <v>cashloan</v>
      </c>
      <c r="I4162" s="143">
        <v>5822120000</v>
      </c>
    </row>
    <row r="4163" spans="1:9" x14ac:dyDescent="0.2">
      <c r="A4163" s="134">
        <v>45654</v>
      </c>
      <c r="B4163" s="135">
        <f>YEAR(source[[#This Row],[report_date]])</f>
        <v>2024</v>
      </c>
      <c r="C4163" s="128">
        <f t="shared" si="189"/>
        <v>12</v>
      </c>
      <c r="D4163" s="136">
        <f t="shared" ref="D4163:D4226" si="191">WEEKNUM(A4163,2)</f>
        <v>52</v>
      </c>
      <c r="E4163" s="136">
        <f t="shared" si="190"/>
        <v>28</v>
      </c>
      <c r="F4163" s="137" t="s">
        <v>24</v>
      </c>
      <c r="G4163" s="128" t="str">
        <f>VLOOKUP(source[[#This Row],[lending_product_transform]],[3]Mapping!$B$4:$C$37,2,0)</f>
        <v>[Cake] - Cashloan</v>
      </c>
      <c r="H4163" s="128" t="str">
        <f>VLOOKUP(source[[#This Row],[lending_product_transform]],[3]Mapping!$B$3:$D$37,3,0)</f>
        <v>cashloan</v>
      </c>
      <c r="I4163" s="143">
        <v>8522277</v>
      </c>
    </row>
    <row r="4164" spans="1:9" x14ac:dyDescent="0.2">
      <c r="A4164" s="134">
        <v>45655</v>
      </c>
      <c r="B4164" s="135">
        <f>YEAR(source[[#This Row],[report_date]])</f>
        <v>2024</v>
      </c>
      <c r="C4164" s="128">
        <f t="shared" si="189"/>
        <v>12</v>
      </c>
      <c r="D4164" s="136">
        <f t="shared" si="191"/>
        <v>52</v>
      </c>
      <c r="E4164" s="136">
        <f t="shared" si="190"/>
        <v>29</v>
      </c>
      <c r="F4164" s="137" t="s">
        <v>24</v>
      </c>
      <c r="G4164" s="128" t="str">
        <f>VLOOKUP(source[[#This Row],[lending_product_transform]],[3]Mapping!$B$4:$C$37,2,0)</f>
        <v>[Cake] - Cashloan</v>
      </c>
      <c r="H4164" s="128" t="str">
        <f>VLOOKUP(source[[#This Row],[lending_product_transform]],[3]Mapping!$B$3:$D$37,3,0)</f>
        <v>cashloan</v>
      </c>
      <c r="I4164" s="143">
        <v>143840000</v>
      </c>
    </row>
    <row r="4165" spans="1:9" x14ac:dyDescent="0.2">
      <c r="A4165" s="134">
        <v>45655</v>
      </c>
      <c r="B4165" s="135">
        <f>YEAR(source[[#This Row],[report_date]])</f>
        <v>2024</v>
      </c>
      <c r="C4165" s="128">
        <f t="shared" si="189"/>
        <v>12</v>
      </c>
      <c r="D4165" s="136">
        <f t="shared" si="191"/>
        <v>52</v>
      </c>
      <c r="E4165" s="136">
        <f t="shared" si="190"/>
        <v>29</v>
      </c>
      <c r="F4165" s="137" t="s">
        <v>24</v>
      </c>
      <c r="G4165" s="128" t="str">
        <f>VLOOKUP(source[[#This Row],[lending_product_transform]],[3]Mapping!$B$4:$C$37,2,0)</f>
        <v>[Cake] - Cashloan</v>
      </c>
      <c r="H4165" s="128" t="str">
        <f>VLOOKUP(source[[#This Row],[lending_product_transform]],[3]Mapping!$B$3:$D$37,3,0)</f>
        <v>cashloan</v>
      </c>
      <c r="I4165" s="143">
        <v>12000000</v>
      </c>
    </row>
    <row r="4166" spans="1:9" x14ac:dyDescent="0.2">
      <c r="A4166" s="134">
        <v>45655</v>
      </c>
      <c r="B4166" s="135">
        <f>YEAR(source[[#This Row],[report_date]])</f>
        <v>2024</v>
      </c>
      <c r="C4166" s="128">
        <f t="shared" si="189"/>
        <v>12</v>
      </c>
      <c r="D4166" s="136">
        <f t="shared" si="191"/>
        <v>52</v>
      </c>
      <c r="E4166" s="136">
        <f t="shared" si="190"/>
        <v>29</v>
      </c>
      <c r="F4166" s="137" t="s">
        <v>24</v>
      </c>
      <c r="G4166" s="128" t="str">
        <f>VLOOKUP(source[[#This Row],[lending_product_transform]],[3]Mapping!$B$4:$C$37,2,0)</f>
        <v>[Cake] - Cashloan</v>
      </c>
      <c r="H4166" s="128" t="str">
        <f>VLOOKUP(source[[#This Row],[lending_product_transform]],[3]Mapping!$B$3:$D$37,3,0)</f>
        <v>cashloan</v>
      </c>
      <c r="I4166" s="143">
        <v>236824886</v>
      </c>
    </row>
    <row r="4167" spans="1:9" x14ac:dyDescent="0.2">
      <c r="A4167" s="134">
        <v>45655</v>
      </c>
      <c r="B4167" s="135">
        <f>YEAR(source[[#This Row],[report_date]])</f>
        <v>2024</v>
      </c>
      <c r="C4167" s="128">
        <f t="shared" si="189"/>
        <v>12</v>
      </c>
      <c r="D4167" s="136">
        <f t="shared" si="191"/>
        <v>52</v>
      </c>
      <c r="E4167" s="136">
        <f t="shared" si="190"/>
        <v>29</v>
      </c>
      <c r="F4167" s="137" t="s">
        <v>24</v>
      </c>
      <c r="G4167" s="128" t="str">
        <f>VLOOKUP(source[[#This Row],[lending_product_transform]],[3]Mapping!$B$4:$C$37,2,0)</f>
        <v>[Cake] - Cashloan</v>
      </c>
      <c r="H4167" s="128" t="str">
        <f>VLOOKUP(source[[#This Row],[lending_product_transform]],[3]Mapping!$B$3:$D$37,3,0)</f>
        <v>cashloan</v>
      </c>
      <c r="I4167" s="143">
        <v>156457750</v>
      </c>
    </row>
    <row r="4168" spans="1:9" x14ac:dyDescent="0.2">
      <c r="A4168" s="134">
        <v>45655</v>
      </c>
      <c r="B4168" s="135">
        <f>YEAR(source[[#This Row],[report_date]])</f>
        <v>2024</v>
      </c>
      <c r="C4168" s="128">
        <f t="shared" si="189"/>
        <v>12</v>
      </c>
      <c r="D4168" s="136">
        <f t="shared" si="191"/>
        <v>52</v>
      </c>
      <c r="E4168" s="136">
        <f t="shared" si="190"/>
        <v>29</v>
      </c>
      <c r="F4168" s="137" t="s">
        <v>24</v>
      </c>
      <c r="G4168" s="128" t="str">
        <f>VLOOKUP(source[[#This Row],[lending_product_transform]],[3]Mapping!$B$4:$C$37,2,0)</f>
        <v>[Cake] - Cashloan</v>
      </c>
      <c r="H4168" s="128" t="str">
        <f>VLOOKUP(source[[#This Row],[lending_product_transform]],[3]Mapping!$B$3:$D$37,3,0)</f>
        <v>cashloan</v>
      </c>
      <c r="I4168" s="143">
        <v>0</v>
      </c>
    </row>
    <row r="4169" spans="1:9" x14ac:dyDescent="0.2">
      <c r="A4169" s="134">
        <v>45655</v>
      </c>
      <c r="B4169" s="135">
        <f>YEAR(source[[#This Row],[report_date]])</f>
        <v>2024</v>
      </c>
      <c r="C4169" s="128">
        <f t="shared" si="189"/>
        <v>12</v>
      </c>
      <c r="D4169" s="136">
        <f t="shared" si="191"/>
        <v>52</v>
      </c>
      <c r="E4169" s="136">
        <f t="shared" si="190"/>
        <v>29</v>
      </c>
      <c r="F4169" s="137" t="s">
        <v>24</v>
      </c>
      <c r="G4169" s="128" t="str">
        <f>VLOOKUP(source[[#This Row],[lending_product_transform]],[3]Mapping!$B$4:$C$37,2,0)</f>
        <v>[Cake] - Cashloan</v>
      </c>
      <c r="H4169" s="128" t="str">
        <f>VLOOKUP(source[[#This Row],[lending_product_transform]],[3]Mapping!$B$3:$D$37,3,0)</f>
        <v>cashloan</v>
      </c>
      <c r="I4169" s="143">
        <v>430430000</v>
      </c>
    </row>
    <row r="4170" spans="1:9" x14ac:dyDescent="0.2">
      <c r="A4170" s="134">
        <v>45655</v>
      </c>
      <c r="B4170" s="135">
        <f>YEAR(source[[#This Row],[report_date]])</f>
        <v>2024</v>
      </c>
      <c r="C4170" s="128">
        <f t="shared" si="189"/>
        <v>12</v>
      </c>
      <c r="D4170" s="136">
        <f t="shared" si="191"/>
        <v>52</v>
      </c>
      <c r="E4170" s="136">
        <f t="shared" si="190"/>
        <v>29</v>
      </c>
      <c r="F4170" s="137" t="s">
        <v>24</v>
      </c>
      <c r="G4170" s="128" t="str">
        <f>VLOOKUP(source[[#This Row],[lending_product_transform]],[3]Mapping!$B$4:$C$37,2,0)</f>
        <v>[Cake] - Cashloan</v>
      </c>
      <c r="H4170" s="128" t="str">
        <f>VLOOKUP(source[[#This Row],[lending_product_transform]],[3]Mapping!$B$3:$D$37,3,0)</f>
        <v>cashloan</v>
      </c>
      <c r="I4170" s="143">
        <v>2973459989</v>
      </c>
    </row>
    <row r="4171" spans="1:9" x14ac:dyDescent="0.2">
      <c r="A4171" s="134">
        <v>45655</v>
      </c>
      <c r="B4171" s="135">
        <f>YEAR(source[[#This Row],[report_date]])</f>
        <v>2024</v>
      </c>
      <c r="C4171" s="128">
        <f t="shared" si="189"/>
        <v>12</v>
      </c>
      <c r="D4171" s="136">
        <f t="shared" si="191"/>
        <v>52</v>
      </c>
      <c r="E4171" s="136">
        <f t="shared" si="190"/>
        <v>29</v>
      </c>
      <c r="F4171" s="137" t="s">
        <v>24</v>
      </c>
      <c r="G4171" s="128" t="str">
        <f>VLOOKUP(source[[#This Row],[lending_product_transform]],[3]Mapping!$B$4:$C$37,2,0)</f>
        <v>[Cake] - Cashloan</v>
      </c>
      <c r="H4171" s="128" t="str">
        <f>VLOOKUP(source[[#This Row],[lending_product_transform]],[3]Mapping!$B$3:$D$37,3,0)</f>
        <v>cashloan</v>
      </c>
      <c r="I4171" s="143">
        <v>0</v>
      </c>
    </row>
    <row r="4172" spans="1:9" x14ac:dyDescent="0.2">
      <c r="A4172" s="134">
        <v>45655</v>
      </c>
      <c r="B4172" s="135">
        <f>YEAR(source[[#This Row],[report_date]])</f>
        <v>2024</v>
      </c>
      <c r="C4172" s="128">
        <f t="shared" si="189"/>
        <v>12</v>
      </c>
      <c r="D4172" s="136">
        <f t="shared" si="191"/>
        <v>52</v>
      </c>
      <c r="E4172" s="136">
        <f t="shared" si="190"/>
        <v>29</v>
      </c>
      <c r="F4172" s="137" t="s">
        <v>24</v>
      </c>
      <c r="G4172" s="128" t="str">
        <f>VLOOKUP(source[[#This Row],[lending_product_transform]],[3]Mapping!$B$4:$C$37,2,0)</f>
        <v>[Cake] - Cashloan</v>
      </c>
      <c r="H4172" s="128" t="str">
        <f>VLOOKUP(source[[#This Row],[lending_product_transform]],[3]Mapping!$B$3:$D$37,3,0)</f>
        <v>cashloan</v>
      </c>
      <c r="I4172" s="143">
        <v>3709500000</v>
      </c>
    </row>
    <row r="4173" spans="1:9" x14ac:dyDescent="0.2">
      <c r="A4173" s="134">
        <v>45655</v>
      </c>
      <c r="B4173" s="135">
        <f>YEAR(source[[#This Row],[report_date]])</f>
        <v>2024</v>
      </c>
      <c r="C4173" s="128">
        <f t="shared" si="189"/>
        <v>12</v>
      </c>
      <c r="D4173" s="136">
        <f t="shared" si="191"/>
        <v>52</v>
      </c>
      <c r="E4173" s="136">
        <f t="shared" si="190"/>
        <v>29</v>
      </c>
      <c r="F4173" s="137" t="s">
        <v>24</v>
      </c>
      <c r="G4173" s="128" t="str">
        <f>VLOOKUP(source[[#This Row],[lending_product_transform]],[3]Mapping!$B$4:$C$37,2,0)</f>
        <v>[Cake] - Cashloan</v>
      </c>
      <c r="H4173" s="128" t="str">
        <f>VLOOKUP(source[[#This Row],[lending_product_transform]],[3]Mapping!$B$3:$D$37,3,0)</f>
        <v>cashloan</v>
      </c>
      <c r="I4173" s="143">
        <v>17031870</v>
      </c>
    </row>
    <row r="4174" spans="1:9" x14ac:dyDescent="0.2">
      <c r="A4174" s="134">
        <v>45655</v>
      </c>
      <c r="B4174" s="135">
        <f>YEAR(source[[#This Row],[report_date]])</f>
        <v>2024</v>
      </c>
      <c r="C4174" s="128">
        <f t="shared" si="189"/>
        <v>12</v>
      </c>
      <c r="D4174" s="136">
        <f t="shared" si="191"/>
        <v>52</v>
      </c>
      <c r="E4174" s="136">
        <f t="shared" si="190"/>
        <v>29</v>
      </c>
      <c r="F4174" s="137" t="s">
        <v>24</v>
      </c>
      <c r="G4174" s="128" t="str">
        <f>VLOOKUP(source[[#This Row],[lending_product_transform]],[3]Mapping!$B$4:$C$37,2,0)</f>
        <v>[Cake] - Cashloan</v>
      </c>
      <c r="H4174" s="128" t="str">
        <f>VLOOKUP(source[[#This Row],[lending_product_transform]],[3]Mapping!$B$3:$D$37,3,0)</f>
        <v>cashloan</v>
      </c>
      <c r="I4174" s="143">
        <v>0</v>
      </c>
    </row>
    <row r="4175" spans="1:9" x14ac:dyDescent="0.2">
      <c r="A4175" s="134">
        <v>45655</v>
      </c>
      <c r="B4175" s="135">
        <f>YEAR(source[[#This Row],[report_date]])</f>
        <v>2024</v>
      </c>
      <c r="C4175" s="128">
        <f t="shared" si="189"/>
        <v>12</v>
      </c>
      <c r="D4175" s="136">
        <f t="shared" si="191"/>
        <v>52</v>
      </c>
      <c r="E4175" s="136">
        <f t="shared" si="190"/>
        <v>29</v>
      </c>
      <c r="F4175" s="137" t="s">
        <v>24</v>
      </c>
      <c r="G4175" s="128" t="str">
        <f>VLOOKUP(source[[#This Row],[lending_product_transform]],[3]Mapping!$B$4:$C$37,2,0)</f>
        <v>[Cake] - Cashloan</v>
      </c>
      <c r="H4175" s="128" t="str">
        <f>VLOOKUP(source[[#This Row],[lending_product_transform]],[3]Mapping!$B$3:$D$37,3,0)</f>
        <v>cashloan</v>
      </c>
      <c r="I4175" s="143">
        <v>0</v>
      </c>
    </row>
    <row r="4176" spans="1:9" x14ac:dyDescent="0.2">
      <c r="A4176" s="134">
        <v>45655</v>
      </c>
      <c r="B4176" s="135">
        <f>YEAR(source[[#This Row],[report_date]])</f>
        <v>2024</v>
      </c>
      <c r="C4176" s="128">
        <f t="shared" si="189"/>
        <v>12</v>
      </c>
      <c r="D4176" s="136">
        <f t="shared" si="191"/>
        <v>52</v>
      </c>
      <c r="E4176" s="136">
        <f t="shared" si="190"/>
        <v>29</v>
      </c>
      <c r="F4176" s="137" t="s">
        <v>24</v>
      </c>
      <c r="G4176" s="128" t="str">
        <f>VLOOKUP(source[[#This Row],[lending_product_transform]],[3]Mapping!$B$4:$C$37,2,0)</f>
        <v>[Cake] - Cashloan</v>
      </c>
      <c r="H4176" s="128" t="str">
        <f>VLOOKUP(source[[#This Row],[lending_product_transform]],[3]Mapping!$B$3:$D$37,3,0)</f>
        <v>cashloan</v>
      </c>
      <c r="I4176" s="143">
        <v>0</v>
      </c>
    </row>
    <row r="4177" spans="1:9" x14ac:dyDescent="0.2">
      <c r="A4177" s="134">
        <v>45655</v>
      </c>
      <c r="B4177" s="135">
        <f>YEAR(source[[#This Row],[report_date]])</f>
        <v>2024</v>
      </c>
      <c r="C4177" s="128">
        <f t="shared" si="189"/>
        <v>12</v>
      </c>
      <c r="D4177" s="136">
        <f t="shared" si="191"/>
        <v>52</v>
      </c>
      <c r="E4177" s="136">
        <f t="shared" si="190"/>
        <v>29</v>
      </c>
      <c r="F4177" s="137" t="s">
        <v>24</v>
      </c>
      <c r="G4177" s="128" t="str">
        <f>VLOOKUP(source[[#This Row],[lending_product_transform]],[3]Mapping!$B$4:$C$37,2,0)</f>
        <v>[Cake] - Cashloan</v>
      </c>
      <c r="H4177" s="128" t="str">
        <f>VLOOKUP(source[[#This Row],[lending_product_transform]],[3]Mapping!$B$3:$D$37,3,0)</f>
        <v>cashloan</v>
      </c>
      <c r="I4177" s="143">
        <v>21400000</v>
      </c>
    </row>
    <row r="4178" spans="1:9" x14ac:dyDescent="0.2">
      <c r="A4178" s="134">
        <v>45655</v>
      </c>
      <c r="B4178" s="135">
        <f>YEAR(source[[#This Row],[report_date]])</f>
        <v>2024</v>
      </c>
      <c r="C4178" s="128">
        <f t="shared" si="189"/>
        <v>12</v>
      </c>
      <c r="D4178" s="136">
        <f t="shared" si="191"/>
        <v>52</v>
      </c>
      <c r="E4178" s="136">
        <f t="shared" si="190"/>
        <v>29</v>
      </c>
      <c r="F4178" s="137" t="s">
        <v>24</v>
      </c>
      <c r="G4178" s="128" t="str">
        <f>VLOOKUP(source[[#This Row],[lending_product_transform]],[3]Mapping!$B$4:$C$37,2,0)</f>
        <v>[Cake] - Cashloan</v>
      </c>
      <c r="H4178" s="128" t="str">
        <f>VLOOKUP(source[[#This Row],[lending_product_transform]],[3]Mapping!$B$3:$D$37,3,0)</f>
        <v>cashloan</v>
      </c>
      <c r="I4178" s="143">
        <v>129897479</v>
      </c>
    </row>
    <row r="4179" spans="1:9" x14ac:dyDescent="0.2">
      <c r="A4179" s="134">
        <v>45655</v>
      </c>
      <c r="B4179" s="135">
        <f>YEAR(source[[#This Row],[report_date]])</f>
        <v>2024</v>
      </c>
      <c r="C4179" s="128">
        <f t="shared" si="189"/>
        <v>12</v>
      </c>
      <c r="D4179" s="136">
        <f t="shared" si="191"/>
        <v>52</v>
      </c>
      <c r="E4179" s="136">
        <f t="shared" si="190"/>
        <v>29</v>
      </c>
      <c r="F4179" s="137" t="s">
        <v>24</v>
      </c>
      <c r="G4179" s="128" t="str">
        <f>VLOOKUP(source[[#This Row],[lending_product_transform]],[3]Mapping!$B$4:$C$37,2,0)</f>
        <v>[Cake] - Cashloan</v>
      </c>
      <c r="H4179" s="128" t="str">
        <f>VLOOKUP(source[[#This Row],[lending_product_transform]],[3]Mapping!$B$3:$D$37,3,0)</f>
        <v>cashloan</v>
      </c>
      <c r="I4179" s="143">
        <v>5185490000</v>
      </c>
    </row>
    <row r="4180" spans="1:9" x14ac:dyDescent="0.2">
      <c r="A4180" s="134">
        <v>45655</v>
      </c>
      <c r="B4180" s="135">
        <f>YEAR(source[[#This Row],[report_date]])</f>
        <v>2024</v>
      </c>
      <c r="C4180" s="128">
        <f t="shared" si="189"/>
        <v>12</v>
      </c>
      <c r="D4180" s="136">
        <f t="shared" si="191"/>
        <v>52</v>
      </c>
      <c r="E4180" s="136">
        <f t="shared" si="190"/>
        <v>29</v>
      </c>
      <c r="F4180" s="137" t="s">
        <v>24</v>
      </c>
      <c r="G4180" s="128" t="str">
        <f>VLOOKUP(source[[#This Row],[lending_product_transform]],[3]Mapping!$B$4:$C$37,2,0)</f>
        <v>[Cake] - Cashloan</v>
      </c>
      <c r="H4180" s="128" t="str">
        <f>VLOOKUP(source[[#This Row],[lending_product_transform]],[3]Mapping!$B$3:$D$37,3,0)</f>
        <v>cashloan</v>
      </c>
      <c r="I4180" s="143">
        <v>4459880000</v>
      </c>
    </row>
    <row r="4181" spans="1:9" x14ac:dyDescent="0.2">
      <c r="A4181" s="134">
        <v>45655</v>
      </c>
      <c r="B4181" s="135">
        <f>YEAR(source[[#This Row],[report_date]])</f>
        <v>2024</v>
      </c>
      <c r="C4181" s="128">
        <f>MONTH(A4181)</f>
        <v>12</v>
      </c>
      <c r="D4181" s="136">
        <f t="shared" si="191"/>
        <v>52</v>
      </c>
      <c r="E4181" s="136">
        <f>DAY(A4181)</f>
        <v>29</v>
      </c>
      <c r="F4181" s="137" t="s">
        <v>24</v>
      </c>
      <c r="G4181" s="128" t="str">
        <f>VLOOKUP(source[[#This Row],[lending_product_transform]],[3]Mapping!$B$4:$C$37,2,0)</f>
        <v>[Cake] - Cashloan</v>
      </c>
      <c r="H4181" s="128" t="str">
        <f>VLOOKUP(source[[#This Row],[lending_product_transform]],[3]Mapping!$B$3:$D$37,3,0)</f>
        <v>cashloan</v>
      </c>
      <c r="I4181" s="143">
        <v>0</v>
      </c>
    </row>
    <row r="4182" spans="1:9" x14ac:dyDescent="0.2">
      <c r="A4182" s="134">
        <v>45656</v>
      </c>
      <c r="B4182" s="135">
        <f>YEAR(source[[#This Row],[report_date]])</f>
        <v>2024</v>
      </c>
      <c r="C4182" s="128">
        <f t="shared" ref="C4182:C4245" si="192">MONTH(A4182)</f>
        <v>12</v>
      </c>
      <c r="D4182" s="136">
        <f t="shared" si="191"/>
        <v>53</v>
      </c>
      <c r="E4182" s="136">
        <f t="shared" ref="E4182:E4245" si="193">DAY(A4182)</f>
        <v>30</v>
      </c>
      <c r="F4182" s="137" t="s">
        <v>24</v>
      </c>
      <c r="G4182" s="128" t="str">
        <f>VLOOKUP(source[[#This Row],[lending_product_transform]],[3]Mapping!$B$4:$C$37,2,0)</f>
        <v>[Cake] - Cashloan</v>
      </c>
      <c r="H4182" s="128" t="str">
        <f>VLOOKUP(source[[#This Row],[lending_product_transform]],[3]Mapping!$B$3:$D$37,3,0)</f>
        <v>cashloan</v>
      </c>
      <c r="I4182" s="143">
        <v>283785739</v>
      </c>
    </row>
    <row r="4183" spans="1:9" x14ac:dyDescent="0.2">
      <c r="A4183" s="134">
        <v>45656</v>
      </c>
      <c r="B4183" s="135">
        <f>YEAR(source[[#This Row],[report_date]])</f>
        <v>2024</v>
      </c>
      <c r="C4183" s="128">
        <f t="shared" si="192"/>
        <v>12</v>
      </c>
      <c r="D4183" s="136">
        <f t="shared" si="191"/>
        <v>53</v>
      </c>
      <c r="E4183" s="136">
        <f t="shared" si="193"/>
        <v>30</v>
      </c>
      <c r="F4183" s="137" t="s">
        <v>24</v>
      </c>
      <c r="G4183" s="128" t="str">
        <f>VLOOKUP(source[[#This Row],[lending_product_transform]],[3]Mapping!$B$4:$C$37,2,0)</f>
        <v>[Cake] - Cashloan</v>
      </c>
      <c r="H4183" s="128" t="str">
        <f>VLOOKUP(source[[#This Row],[lending_product_transform]],[3]Mapping!$B$3:$D$37,3,0)</f>
        <v>cashloan</v>
      </c>
      <c r="I4183" s="143">
        <v>25000000</v>
      </c>
    </row>
    <row r="4184" spans="1:9" x14ac:dyDescent="0.2">
      <c r="A4184" s="134">
        <v>45656</v>
      </c>
      <c r="B4184" s="135">
        <f>YEAR(source[[#This Row],[report_date]])</f>
        <v>2024</v>
      </c>
      <c r="C4184" s="128">
        <f t="shared" si="192"/>
        <v>12</v>
      </c>
      <c r="D4184" s="136">
        <f t="shared" si="191"/>
        <v>53</v>
      </c>
      <c r="E4184" s="136">
        <f t="shared" si="193"/>
        <v>30</v>
      </c>
      <c r="F4184" s="137" t="s">
        <v>24</v>
      </c>
      <c r="G4184" s="128" t="str">
        <f>VLOOKUP(source[[#This Row],[lending_product_transform]],[3]Mapping!$B$4:$C$37,2,0)</f>
        <v>[Cake] - Cashloan</v>
      </c>
      <c r="H4184" s="128" t="str">
        <f>VLOOKUP(source[[#This Row],[lending_product_transform]],[3]Mapping!$B$3:$D$37,3,0)</f>
        <v>cashloan</v>
      </c>
      <c r="I4184" s="143">
        <v>5840450000</v>
      </c>
    </row>
    <row r="4185" spans="1:9" x14ac:dyDescent="0.2">
      <c r="A4185" s="134">
        <v>45656</v>
      </c>
      <c r="B4185" s="135">
        <f>YEAR(source[[#This Row],[report_date]])</f>
        <v>2024</v>
      </c>
      <c r="C4185" s="128">
        <f t="shared" si="192"/>
        <v>12</v>
      </c>
      <c r="D4185" s="136">
        <f t="shared" si="191"/>
        <v>53</v>
      </c>
      <c r="E4185" s="136">
        <f t="shared" si="193"/>
        <v>30</v>
      </c>
      <c r="F4185" s="137" t="s">
        <v>24</v>
      </c>
      <c r="G4185" s="128" t="str">
        <f>VLOOKUP(source[[#This Row],[lending_product_transform]],[3]Mapping!$B$4:$C$37,2,0)</f>
        <v>[Cake] - Cashloan</v>
      </c>
      <c r="H4185" s="128" t="str">
        <f>VLOOKUP(source[[#This Row],[lending_product_transform]],[3]Mapping!$B$3:$D$37,3,0)</f>
        <v>cashloan</v>
      </c>
      <c r="I4185" s="143">
        <v>6720380000</v>
      </c>
    </row>
    <row r="4186" spans="1:9" x14ac:dyDescent="0.2">
      <c r="A4186" s="134">
        <v>45656</v>
      </c>
      <c r="B4186" s="135">
        <f>YEAR(source[[#This Row],[report_date]])</f>
        <v>2024</v>
      </c>
      <c r="C4186" s="128">
        <f t="shared" si="192"/>
        <v>12</v>
      </c>
      <c r="D4186" s="136">
        <f t="shared" si="191"/>
        <v>53</v>
      </c>
      <c r="E4186" s="136">
        <f t="shared" si="193"/>
        <v>30</v>
      </c>
      <c r="F4186" s="137" t="s">
        <v>24</v>
      </c>
      <c r="G4186" s="128" t="str">
        <f>VLOOKUP(source[[#This Row],[lending_product_transform]],[3]Mapping!$B$4:$C$37,2,0)</f>
        <v>[Cake] - Cashloan</v>
      </c>
      <c r="H4186" s="128" t="str">
        <f>VLOOKUP(source[[#This Row],[lending_product_transform]],[3]Mapping!$B$3:$D$37,3,0)</f>
        <v>cashloan</v>
      </c>
      <c r="I4186" s="143">
        <v>128974047</v>
      </c>
    </row>
    <row r="4187" spans="1:9" x14ac:dyDescent="0.2">
      <c r="A4187" s="134">
        <v>45656</v>
      </c>
      <c r="B4187" s="135">
        <f>YEAR(source[[#This Row],[report_date]])</f>
        <v>2024</v>
      </c>
      <c r="C4187" s="128">
        <f t="shared" si="192"/>
        <v>12</v>
      </c>
      <c r="D4187" s="136">
        <f t="shared" si="191"/>
        <v>53</v>
      </c>
      <c r="E4187" s="136">
        <f t="shared" si="193"/>
        <v>30</v>
      </c>
      <c r="F4187" s="137" t="s">
        <v>24</v>
      </c>
      <c r="G4187" s="128" t="str">
        <f>VLOOKUP(source[[#This Row],[lending_product_transform]],[3]Mapping!$B$4:$C$37,2,0)</f>
        <v>[Cake] - Cashloan</v>
      </c>
      <c r="H4187" s="128" t="str">
        <f>VLOOKUP(source[[#This Row],[lending_product_transform]],[3]Mapping!$B$3:$D$37,3,0)</f>
        <v>cashloan</v>
      </c>
      <c r="I4187" s="143">
        <v>0</v>
      </c>
    </row>
    <row r="4188" spans="1:9" x14ac:dyDescent="0.2">
      <c r="A4188" s="134">
        <v>45656</v>
      </c>
      <c r="B4188" s="135">
        <f>YEAR(source[[#This Row],[report_date]])</f>
        <v>2024</v>
      </c>
      <c r="C4188" s="128">
        <f t="shared" si="192"/>
        <v>12</v>
      </c>
      <c r="D4188" s="136">
        <f t="shared" si="191"/>
        <v>53</v>
      </c>
      <c r="E4188" s="136">
        <f t="shared" si="193"/>
        <v>30</v>
      </c>
      <c r="F4188" s="137" t="s">
        <v>24</v>
      </c>
      <c r="G4188" s="128" t="str">
        <f>VLOOKUP(source[[#This Row],[lending_product_transform]],[3]Mapping!$B$4:$C$37,2,0)</f>
        <v>[Cake] - Cashloan</v>
      </c>
      <c r="H4188" s="128" t="str">
        <f>VLOOKUP(source[[#This Row],[lending_product_transform]],[3]Mapping!$B$3:$D$37,3,0)</f>
        <v>cashloan</v>
      </c>
      <c r="I4188" s="143">
        <v>230354558</v>
      </c>
    </row>
    <row r="4189" spans="1:9" x14ac:dyDescent="0.2">
      <c r="A4189" s="134">
        <v>45656</v>
      </c>
      <c r="B4189" s="135">
        <f>YEAR(source[[#This Row],[report_date]])</f>
        <v>2024</v>
      </c>
      <c r="C4189" s="128">
        <f t="shared" si="192"/>
        <v>12</v>
      </c>
      <c r="D4189" s="136">
        <f t="shared" si="191"/>
        <v>53</v>
      </c>
      <c r="E4189" s="136">
        <f t="shared" si="193"/>
        <v>30</v>
      </c>
      <c r="F4189" s="137" t="s">
        <v>24</v>
      </c>
      <c r="G4189" s="128" t="str">
        <f>VLOOKUP(source[[#This Row],[lending_product_transform]],[3]Mapping!$B$4:$C$37,2,0)</f>
        <v>[Cake] - Cashloan</v>
      </c>
      <c r="H4189" s="128" t="str">
        <f>VLOOKUP(source[[#This Row],[lending_product_transform]],[3]Mapping!$B$3:$D$37,3,0)</f>
        <v>cashloan</v>
      </c>
      <c r="I4189" s="143">
        <v>4285437405</v>
      </c>
    </row>
    <row r="4190" spans="1:9" x14ac:dyDescent="0.2">
      <c r="A4190" s="134">
        <v>45656</v>
      </c>
      <c r="B4190" s="135">
        <f>YEAR(source[[#This Row],[report_date]])</f>
        <v>2024</v>
      </c>
      <c r="C4190" s="128">
        <f t="shared" si="192"/>
        <v>12</v>
      </c>
      <c r="D4190" s="136">
        <f t="shared" si="191"/>
        <v>53</v>
      </c>
      <c r="E4190" s="136">
        <f t="shared" si="193"/>
        <v>30</v>
      </c>
      <c r="F4190" s="137" t="s">
        <v>24</v>
      </c>
      <c r="G4190" s="128" t="str">
        <f>VLOOKUP(source[[#This Row],[lending_product_transform]],[3]Mapping!$B$4:$C$37,2,0)</f>
        <v>[Cake] - Cashloan</v>
      </c>
      <c r="H4190" s="128" t="str">
        <f>VLOOKUP(source[[#This Row],[lending_product_transform]],[3]Mapping!$B$3:$D$37,3,0)</f>
        <v>cashloan</v>
      </c>
      <c r="I4190" s="143">
        <v>47450000</v>
      </c>
    </row>
    <row r="4191" spans="1:9" x14ac:dyDescent="0.2">
      <c r="A4191" s="134">
        <v>45656</v>
      </c>
      <c r="B4191" s="135">
        <f>YEAR(source[[#This Row],[report_date]])</f>
        <v>2024</v>
      </c>
      <c r="C4191" s="128">
        <f t="shared" si="192"/>
        <v>12</v>
      </c>
      <c r="D4191" s="136">
        <f t="shared" si="191"/>
        <v>53</v>
      </c>
      <c r="E4191" s="136">
        <f t="shared" si="193"/>
        <v>30</v>
      </c>
      <c r="F4191" s="137" t="s">
        <v>24</v>
      </c>
      <c r="G4191" s="128" t="str">
        <f>VLOOKUP(source[[#This Row],[lending_product_transform]],[3]Mapping!$B$4:$C$37,2,0)</f>
        <v>[Cake] - Cashloan</v>
      </c>
      <c r="H4191" s="128" t="str">
        <f>VLOOKUP(source[[#This Row],[lending_product_transform]],[3]Mapping!$B$3:$D$37,3,0)</f>
        <v>cashloan</v>
      </c>
      <c r="I4191" s="143">
        <v>0</v>
      </c>
    </row>
    <row r="4192" spans="1:9" x14ac:dyDescent="0.2">
      <c r="A4192" s="134">
        <v>45656</v>
      </c>
      <c r="B4192" s="135">
        <f>YEAR(source[[#This Row],[report_date]])</f>
        <v>2024</v>
      </c>
      <c r="C4192" s="128">
        <f t="shared" si="192"/>
        <v>12</v>
      </c>
      <c r="D4192" s="136">
        <f t="shared" si="191"/>
        <v>53</v>
      </c>
      <c r="E4192" s="136">
        <f t="shared" si="193"/>
        <v>30</v>
      </c>
      <c r="F4192" s="137" t="s">
        <v>24</v>
      </c>
      <c r="G4192" s="128" t="str">
        <f>VLOOKUP(source[[#This Row],[lending_product_transform]],[3]Mapping!$B$4:$C$37,2,0)</f>
        <v>[Cake] - Cashloan</v>
      </c>
      <c r="H4192" s="128" t="str">
        <f>VLOOKUP(source[[#This Row],[lending_product_transform]],[3]Mapping!$B$3:$D$37,3,0)</f>
        <v>cashloan</v>
      </c>
      <c r="I4192" s="143">
        <v>20000000</v>
      </c>
    </row>
    <row r="4193" spans="1:9" x14ac:dyDescent="0.2">
      <c r="A4193" s="134">
        <v>45656</v>
      </c>
      <c r="B4193" s="135">
        <f>YEAR(source[[#This Row],[report_date]])</f>
        <v>2024</v>
      </c>
      <c r="C4193" s="128">
        <f t="shared" si="192"/>
        <v>12</v>
      </c>
      <c r="D4193" s="136">
        <f t="shared" si="191"/>
        <v>53</v>
      </c>
      <c r="E4193" s="136">
        <f t="shared" si="193"/>
        <v>30</v>
      </c>
      <c r="F4193" s="137" t="s">
        <v>24</v>
      </c>
      <c r="G4193" s="128" t="str">
        <f>VLOOKUP(source[[#This Row],[lending_product_transform]],[3]Mapping!$B$4:$C$37,2,0)</f>
        <v>[Cake] - Cashloan</v>
      </c>
      <c r="H4193" s="128" t="str">
        <f>VLOOKUP(source[[#This Row],[lending_product_transform]],[3]Mapping!$B$3:$D$37,3,0)</f>
        <v>cashloan</v>
      </c>
      <c r="I4193" s="143">
        <v>17188185</v>
      </c>
    </row>
    <row r="4194" spans="1:9" x14ac:dyDescent="0.2">
      <c r="A4194" s="134">
        <v>45656</v>
      </c>
      <c r="B4194" s="135">
        <f>YEAR(source[[#This Row],[report_date]])</f>
        <v>2024</v>
      </c>
      <c r="C4194" s="128">
        <f t="shared" si="192"/>
        <v>12</v>
      </c>
      <c r="D4194" s="136">
        <f t="shared" si="191"/>
        <v>53</v>
      </c>
      <c r="E4194" s="136">
        <f t="shared" si="193"/>
        <v>30</v>
      </c>
      <c r="F4194" s="137" t="s">
        <v>24</v>
      </c>
      <c r="G4194" s="128" t="str">
        <f>VLOOKUP(source[[#This Row],[lending_product_transform]],[3]Mapping!$B$4:$C$37,2,0)</f>
        <v>[Cake] - Cashloan</v>
      </c>
      <c r="H4194" s="128" t="str">
        <f>VLOOKUP(source[[#This Row],[lending_product_transform]],[3]Mapping!$B$3:$D$37,3,0)</f>
        <v>cashloan</v>
      </c>
      <c r="I4194" s="143">
        <v>0</v>
      </c>
    </row>
    <row r="4195" spans="1:9" x14ac:dyDescent="0.2">
      <c r="A4195" s="134">
        <v>45656</v>
      </c>
      <c r="B4195" s="135">
        <f>YEAR(source[[#This Row],[report_date]])</f>
        <v>2024</v>
      </c>
      <c r="C4195" s="128">
        <f t="shared" si="192"/>
        <v>12</v>
      </c>
      <c r="D4195" s="136">
        <f t="shared" si="191"/>
        <v>53</v>
      </c>
      <c r="E4195" s="136">
        <f t="shared" si="193"/>
        <v>30</v>
      </c>
      <c r="F4195" s="137" t="s">
        <v>24</v>
      </c>
      <c r="G4195" s="128" t="str">
        <f>VLOOKUP(source[[#This Row],[lending_product_transform]],[3]Mapping!$B$4:$C$37,2,0)</f>
        <v>[Cake] - Cashloan</v>
      </c>
      <c r="H4195" s="128" t="str">
        <f>VLOOKUP(source[[#This Row],[lending_product_transform]],[3]Mapping!$B$3:$D$37,3,0)</f>
        <v>cashloan</v>
      </c>
      <c r="I4195" s="143">
        <v>13650000</v>
      </c>
    </row>
    <row r="4196" spans="1:9" x14ac:dyDescent="0.2">
      <c r="A4196" s="134">
        <v>45656</v>
      </c>
      <c r="B4196" s="135">
        <f>YEAR(source[[#This Row],[report_date]])</f>
        <v>2024</v>
      </c>
      <c r="C4196" s="128">
        <f t="shared" si="192"/>
        <v>12</v>
      </c>
      <c r="D4196" s="136">
        <f t="shared" si="191"/>
        <v>53</v>
      </c>
      <c r="E4196" s="136">
        <f t="shared" si="193"/>
        <v>30</v>
      </c>
      <c r="F4196" s="137" t="s">
        <v>24</v>
      </c>
      <c r="G4196" s="128" t="str">
        <f>VLOOKUP(source[[#This Row],[lending_product_transform]],[3]Mapping!$B$4:$C$37,2,0)</f>
        <v>[Cake] - Cashloan</v>
      </c>
      <c r="H4196" s="128" t="str">
        <f>VLOOKUP(source[[#This Row],[lending_product_transform]],[3]Mapping!$B$3:$D$37,3,0)</f>
        <v>cashloan</v>
      </c>
      <c r="I4196" s="143">
        <v>4514000000</v>
      </c>
    </row>
    <row r="4197" spans="1:9" x14ac:dyDescent="0.2">
      <c r="A4197" s="134">
        <v>45656</v>
      </c>
      <c r="B4197" s="135">
        <f>YEAR(source[[#This Row],[report_date]])</f>
        <v>2024</v>
      </c>
      <c r="C4197" s="128">
        <f t="shared" si="192"/>
        <v>12</v>
      </c>
      <c r="D4197" s="136">
        <f t="shared" si="191"/>
        <v>53</v>
      </c>
      <c r="E4197" s="136">
        <f t="shared" si="193"/>
        <v>30</v>
      </c>
      <c r="F4197" s="137" t="s">
        <v>24</v>
      </c>
      <c r="G4197" s="128" t="str">
        <f>VLOOKUP(source[[#This Row],[lending_product_transform]],[3]Mapping!$B$4:$C$37,2,0)</f>
        <v>[Cake] - Cashloan</v>
      </c>
      <c r="H4197" s="128" t="str">
        <f>VLOOKUP(source[[#This Row],[lending_product_transform]],[3]Mapping!$B$3:$D$37,3,0)</f>
        <v>cashloan</v>
      </c>
      <c r="I4197" s="143">
        <v>181080000</v>
      </c>
    </row>
    <row r="4198" spans="1:9" x14ac:dyDescent="0.2">
      <c r="A4198" s="134">
        <v>45656</v>
      </c>
      <c r="B4198" s="135">
        <f>YEAR(source[[#This Row],[report_date]])</f>
        <v>2024</v>
      </c>
      <c r="C4198" s="128">
        <f t="shared" si="192"/>
        <v>12</v>
      </c>
      <c r="D4198" s="136">
        <f t="shared" si="191"/>
        <v>53</v>
      </c>
      <c r="E4198" s="136">
        <f t="shared" si="193"/>
        <v>30</v>
      </c>
      <c r="F4198" s="137" t="s">
        <v>24</v>
      </c>
      <c r="G4198" s="128" t="str">
        <f>VLOOKUP(source[[#This Row],[lending_product_transform]],[3]Mapping!$B$4:$C$37,2,0)</f>
        <v>[Cake] - Cashloan</v>
      </c>
      <c r="H4198" s="128" t="str">
        <f>VLOOKUP(source[[#This Row],[lending_product_transform]],[3]Mapping!$B$3:$D$37,3,0)</f>
        <v>cashloan</v>
      </c>
      <c r="I4198" s="143">
        <v>37450000</v>
      </c>
    </row>
    <row r="4199" spans="1:9" x14ac:dyDescent="0.2">
      <c r="A4199" s="134">
        <v>45656</v>
      </c>
      <c r="B4199" s="135">
        <f>YEAR(source[[#This Row],[report_date]])</f>
        <v>2024</v>
      </c>
      <c r="C4199" s="128">
        <f t="shared" si="192"/>
        <v>12</v>
      </c>
      <c r="D4199" s="136">
        <f t="shared" si="191"/>
        <v>53</v>
      </c>
      <c r="E4199" s="136">
        <f t="shared" si="193"/>
        <v>30</v>
      </c>
      <c r="F4199" s="137" t="s">
        <v>24</v>
      </c>
      <c r="G4199" s="128" t="str">
        <f>VLOOKUP(source[[#This Row],[lending_product_transform]],[3]Mapping!$B$4:$C$37,2,0)</f>
        <v>[Cake] - Cashloan</v>
      </c>
      <c r="H4199" s="128" t="str">
        <f>VLOOKUP(source[[#This Row],[lending_product_transform]],[3]Mapping!$B$3:$D$37,3,0)</f>
        <v>cashloan</v>
      </c>
      <c r="I4199" s="143">
        <v>365920000</v>
      </c>
    </row>
    <row r="4200" spans="1:9" x14ac:dyDescent="0.2">
      <c r="A4200" s="134">
        <v>45657</v>
      </c>
      <c r="B4200" s="135">
        <f>YEAR(source[[#This Row],[report_date]])</f>
        <v>2024</v>
      </c>
      <c r="C4200" s="128">
        <f t="shared" si="192"/>
        <v>12</v>
      </c>
      <c r="D4200" s="136">
        <f t="shared" si="191"/>
        <v>53</v>
      </c>
      <c r="E4200" s="136">
        <f t="shared" si="193"/>
        <v>31</v>
      </c>
      <c r="F4200" s="137" t="s">
        <v>24</v>
      </c>
      <c r="G4200" s="128" t="str">
        <f>VLOOKUP(source[[#This Row],[lending_product_transform]],[3]Mapping!$B$4:$C$37,2,0)</f>
        <v>[Cake] - Cashloan</v>
      </c>
      <c r="H4200" s="128" t="str">
        <f>VLOOKUP(source[[#This Row],[lending_product_transform]],[3]Mapping!$B$3:$D$37,3,0)</f>
        <v>cashloan</v>
      </c>
      <c r="I4200" s="143">
        <v>10500000</v>
      </c>
    </row>
    <row r="4201" spans="1:9" x14ac:dyDescent="0.2">
      <c r="A4201" s="134">
        <v>45657</v>
      </c>
      <c r="B4201" s="135">
        <f>YEAR(source[[#This Row],[report_date]])</f>
        <v>2024</v>
      </c>
      <c r="C4201" s="128">
        <f t="shared" si="192"/>
        <v>12</v>
      </c>
      <c r="D4201" s="136">
        <f t="shared" si="191"/>
        <v>53</v>
      </c>
      <c r="E4201" s="136">
        <f t="shared" si="193"/>
        <v>31</v>
      </c>
      <c r="F4201" s="137" t="s">
        <v>24</v>
      </c>
      <c r="G4201" s="128" t="str">
        <f>VLOOKUP(source[[#This Row],[lending_product_transform]],[3]Mapping!$B$4:$C$37,2,0)</f>
        <v>[Cake] - Cashloan</v>
      </c>
      <c r="H4201" s="128" t="str">
        <f>VLOOKUP(source[[#This Row],[lending_product_transform]],[3]Mapping!$B$3:$D$37,3,0)</f>
        <v>cashloan</v>
      </c>
      <c r="I4201" s="143">
        <v>317770000</v>
      </c>
    </row>
    <row r="4202" spans="1:9" x14ac:dyDescent="0.2">
      <c r="A4202" s="134">
        <v>45657</v>
      </c>
      <c r="B4202" s="135">
        <f>YEAR(source[[#This Row],[report_date]])</f>
        <v>2024</v>
      </c>
      <c r="C4202" s="128">
        <f t="shared" si="192"/>
        <v>12</v>
      </c>
      <c r="D4202" s="136">
        <f t="shared" si="191"/>
        <v>53</v>
      </c>
      <c r="E4202" s="136">
        <f t="shared" si="193"/>
        <v>31</v>
      </c>
      <c r="F4202" s="137" t="s">
        <v>24</v>
      </c>
      <c r="G4202" s="128" t="str">
        <f>VLOOKUP(source[[#This Row],[lending_product_transform]],[3]Mapping!$B$4:$C$37,2,0)</f>
        <v>[Cake] - Cashloan</v>
      </c>
      <c r="H4202" s="128" t="str">
        <f>VLOOKUP(source[[#This Row],[lending_product_transform]],[3]Mapping!$B$3:$D$37,3,0)</f>
        <v>cashloan</v>
      </c>
      <c r="I4202" s="143">
        <v>72800000</v>
      </c>
    </row>
    <row r="4203" spans="1:9" x14ac:dyDescent="0.2">
      <c r="A4203" s="134">
        <v>45657</v>
      </c>
      <c r="B4203" s="135">
        <f>YEAR(source[[#This Row],[report_date]])</f>
        <v>2024</v>
      </c>
      <c r="C4203" s="128">
        <f t="shared" si="192"/>
        <v>12</v>
      </c>
      <c r="D4203" s="136">
        <f t="shared" si="191"/>
        <v>53</v>
      </c>
      <c r="E4203" s="136">
        <f t="shared" si="193"/>
        <v>31</v>
      </c>
      <c r="F4203" s="137" t="s">
        <v>24</v>
      </c>
      <c r="G4203" s="128" t="str">
        <f>VLOOKUP(source[[#This Row],[lending_product_transform]],[3]Mapping!$B$4:$C$37,2,0)</f>
        <v>[Cake] - Cashloan</v>
      </c>
      <c r="H4203" s="128" t="str">
        <f>VLOOKUP(source[[#This Row],[lending_product_transform]],[3]Mapping!$B$3:$D$37,3,0)</f>
        <v>cashloan</v>
      </c>
      <c r="I4203" s="143">
        <v>187491604</v>
      </c>
    </row>
    <row r="4204" spans="1:9" x14ac:dyDescent="0.2">
      <c r="A4204" s="134">
        <v>45657</v>
      </c>
      <c r="B4204" s="135">
        <f>YEAR(source[[#This Row],[report_date]])</f>
        <v>2024</v>
      </c>
      <c r="C4204" s="128">
        <f t="shared" si="192"/>
        <v>12</v>
      </c>
      <c r="D4204" s="136">
        <f t="shared" si="191"/>
        <v>53</v>
      </c>
      <c r="E4204" s="136">
        <f t="shared" si="193"/>
        <v>31</v>
      </c>
      <c r="F4204" s="137" t="s">
        <v>24</v>
      </c>
      <c r="G4204" s="128" t="str">
        <f>VLOOKUP(source[[#This Row],[lending_product_transform]],[3]Mapping!$B$4:$C$37,2,0)</f>
        <v>[Cake] - Cashloan</v>
      </c>
      <c r="H4204" s="128" t="str">
        <f>VLOOKUP(source[[#This Row],[lending_product_transform]],[3]Mapping!$B$3:$D$37,3,0)</f>
        <v>cashloan</v>
      </c>
      <c r="I4204" s="143">
        <v>13910000</v>
      </c>
    </row>
    <row r="4205" spans="1:9" x14ac:dyDescent="0.2">
      <c r="A4205" s="134">
        <v>45657</v>
      </c>
      <c r="B4205" s="135">
        <f>YEAR(source[[#This Row],[report_date]])</f>
        <v>2024</v>
      </c>
      <c r="C4205" s="128">
        <f t="shared" si="192"/>
        <v>12</v>
      </c>
      <c r="D4205" s="136">
        <f t="shared" si="191"/>
        <v>53</v>
      </c>
      <c r="E4205" s="136">
        <f t="shared" si="193"/>
        <v>31</v>
      </c>
      <c r="F4205" s="137" t="s">
        <v>24</v>
      </c>
      <c r="G4205" s="128" t="str">
        <f>VLOOKUP(source[[#This Row],[lending_product_transform]],[3]Mapping!$B$4:$C$37,2,0)</f>
        <v>[Cake] - Cashloan</v>
      </c>
      <c r="H4205" s="128" t="str">
        <f>VLOOKUP(source[[#This Row],[lending_product_transform]],[3]Mapping!$B$3:$D$37,3,0)</f>
        <v>cashloan</v>
      </c>
      <c r="I4205" s="143">
        <v>14000000</v>
      </c>
    </row>
    <row r="4206" spans="1:9" x14ac:dyDescent="0.2">
      <c r="A4206" s="134">
        <v>45657</v>
      </c>
      <c r="B4206" s="135">
        <f>YEAR(source[[#This Row],[report_date]])</f>
        <v>2024</v>
      </c>
      <c r="C4206" s="128">
        <f t="shared" si="192"/>
        <v>12</v>
      </c>
      <c r="D4206" s="136">
        <f t="shared" si="191"/>
        <v>53</v>
      </c>
      <c r="E4206" s="136">
        <f t="shared" si="193"/>
        <v>31</v>
      </c>
      <c r="F4206" s="137" t="s">
        <v>24</v>
      </c>
      <c r="G4206" s="128" t="str">
        <f>VLOOKUP(source[[#This Row],[lending_product_transform]],[3]Mapping!$B$4:$C$37,2,0)</f>
        <v>[Cake] - Cashloan</v>
      </c>
      <c r="H4206" s="128" t="str">
        <f>VLOOKUP(source[[#This Row],[lending_product_transform]],[3]Mapping!$B$3:$D$37,3,0)</f>
        <v>cashloan</v>
      </c>
      <c r="I4206" s="143">
        <v>0</v>
      </c>
    </row>
    <row r="4207" spans="1:9" x14ac:dyDescent="0.2">
      <c r="A4207" s="134">
        <v>45657</v>
      </c>
      <c r="B4207" s="135">
        <f>YEAR(source[[#This Row],[report_date]])</f>
        <v>2024</v>
      </c>
      <c r="C4207" s="128">
        <f t="shared" si="192"/>
        <v>12</v>
      </c>
      <c r="D4207" s="136">
        <f t="shared" si="191"/>
        <v>53</v>
      </c>
      <c r="E4207" s="136">
        <f t="shared" si="193"/>
        <v>31</v>
      </c>
      <c r="F4207" s="137" t="s">
        <v>24</v>
      </c>
      <c r="G4207" s="128" t="str">
        <f>VLOOKUP(source[[#This Row],[lending_product_transform]],[3]Mapping!$B$4:$C$37,2,0)</f>
        <v>[Cake] - Cashloan</v>
      </c>
      <c r="H4207" s="128" t="str">
        <f>VLOOKUP(source[[#This Row],[lending_product_transform]],[3]Mapping!$B$3:$D$37,3,0)</f>
        <v>cashloan</v>
      </c>
      <c r="I4207" s="143">
        <v>12600000</v>
      </c>
    </row>
    <row r="4208" spans="1:9" x14ac:dyDescent="0.2">
      <c r="A4208" s="134">
        <v>45657</v>
      </c>
      <c r="B4208" s="135">
        <f>YEAR(source[[#This Row],[report_date]])</f>
        <v>2024</v>
      </c>
      <c r="C4208" s="128">
        <f t="shared" si="192"/>
        <v>12</v>
      </c>
      <c r="D4208" s="136">
        <f t="shared" si="191"/>
        <v>53</v>
      </c>
      <c r="E4208" s="136">
        <f t="shared" si="193"/>
        <v>31</v>
      </c>
      <c r="F4208" s="137" t="s">
        <v>24</v>
      </c>
      <c r="G4208" s="128" t="str">
        <f>VLOOKUP(source[[#This Row],[lending_product_transform]],[3]Mapping!$B$4:$C$37,2,0)</f>
        <v>[Cake] - Cashloan</v>
      </c>
      <c r="H4208" s="128" t="str">
        <f>VLOOKUP(source[[#This Row],[lending_product_transform]],[3]Mapping!$B$3:$D$37,3,0)</f>
        <v>cashloan</v>
      </c>
      <c r="I4208" s="143">
        <v>4608000000</v>
      </c>
    </row>
    <row r="4209" spans="1:9" x14ac:dyDescent="0.2">
      <c r="A4209" s="134">
        <v>45657</v>
      </c>
      <c r="B4209" s="135">
        <f>YEAR(source[[#This Row],[report_date]])</f>
        <v>2024</v>
      </c>
      <c r="C4209" s="128">
        <f t="shared" si="192"/>
        <v>12</v>
      </c>
      <c r="D4209" s="136">
        <f t="shared" si="191"/>
        <v>53</v>
      </c>
      <c r="E4209" s="136">
        <f t="shared" si="193"/>
        <v>31</v>
      </c>
      <c r="F4209" s="137" t="s">
        <v>24</v>
      </c>
      <c r="G4209" s="128" t="str">
        <f>VLOOKUP(source[[#This Row],[lending_product_transform]],[3]Mapping!$B$4:$C$37,2,0)</f>
        <v>[Cake] - Cashloan</v>
      </c>
      <c r="H4209" s="128" t="str">
        <f>VLOOKUP(source[[#This Row],[lending_product_transform]],[3]Mapping!$B$3:$D$37,3,0)</f>
        <v>cashloan</v>
      </c>
      <c r="I4209" s="143">
        <v>6257160000</v>
      </c>
    </row>
    <row r="4210" spans="1:9" x14ac:dyDescent="0.2">
      <c r="A4210" s="134">
        <v>45657</v>
      </c>
      <c r="B4210" s="135">
        <f>YEAR(source[[#This Row],[report_date]])</f>
        <v>2024</v>
      </c>
      <c r="C4210" s="128">
        <f t="shared" si="192"/>
        <v>12</v>
      </c>
      <c r="D4210" s="136">
        <f t="shared" si="191"/>
        <v>53</v>
      </c>
      <c r="E4210" s="136">
        <f t="shared" si="193"/>
        <v>31</v>
      </c>
      <c r="F4210" s="137" t="s">
        <v>24</v>
      </c>
      <c r="G4210" s="128" t="str">
        <f>VLOOKUP(source[[#This Row],[lending_product_transform]],[3]Mapping!$B$4:$C$37,2,0)</f>
        <v>[Cake] - Cashloan</v>
      </c>
      <c r="H4210" s="128" t="str">
        <f>VLOOKUP(source[[#This Row],[lending_product_transform]],[3]Mapping!$B$3:$D$37,3,0)</f>
        <v>cashloan</v>
      </c>
      <c r="I4210" s="143">
        <v>3958088657</v>
      </c>
    </row>
    <row r="4211" spans="1:9" x14ac:dyDescent="0.2">
      <c r="A4211" s="134">
        <v>45657</v>
      </c>
      <c r="B4211" s="135">
        <f>YEAR(source[[#This Row],[report_date]])</f>
        <v>2024</v>
      </c>
      <c r="C4211" s="128">
        <f t="shared" si="192"/>
        <v>12</v>
      </c>
      <c r="D4211" s="136">
        <f t="shared" si="191"/>
        <v>53</v>
      </c>
      <c r="E4211" s="136">
        <f t="shared" si="193"/>
        <v>31</v>
      </c>
      <c r="F4211" s="137" t="s">
        <v>24</v>
      </c>
      <c r="G4211" s="128" t="str">
        <f>VLOOKUP(source[[#This Row],[lending_product_transform]],[3]Mapping!$B$4:$C$37,2,0)</f>
        <v>[Cake] - Cashloan</v>
      </c>
      <c r="H4211" s="128" t="str">
        <f>VLOOKUP(source[[#This Row],[lending_product_transform]],[3]Mapping!$B$3:$D$37,3,0)</f>
        <v>cashloan</v>
      </c>
      <c r="I4211" s="143">
        <v>0</v>
      </c>
    </row>
    <row r="4212" spans="1:9" x14ac:dyDescent="0.2">
      <c r="A4212" s="134">
        <v>45657</v>
      </c>
      <c r="B4212" s="135">
        <f>YEAR(source[[#This Row],[report_date]])</f>
        <v>2024</v>
      </c>
      <c r="C4212" s="128">
        <f t="shared" si="192"/>
        <v>12</v>
      </c>
      <c r="D4212" s="136">
        <f t="shared" si="191"/>
        <v>53</v>
      </c>
      <c r="E4212" s="136">
        <f t="shared" si="193"/>
        <v>31</v>
      </c>
      <c r="F4212" s="137" t="s">
        <v>24</v>
      </c>
      <c r="G4212" s="128" t="str">
        <f>VLOOKUP(source[[#This Row],[lending_product_transform]],[3]Mapping!$B$4:$C$37,2,0)</f>
        <v>[Cake] - Cashloan</v>
      </c>
      <c r="H4212" s="128" t="str">
        <f>VLOOKUP(source[[#This Row],[lending_product_transform]],[3]Mapping!$B$3:$D$37,3,0)</f>
        <v>cashloan</v>
      </c>
      <c r="I4212" s="143">
        <v>240760000</v>
      </c>
    </row>
    <row r="4213" spans="1:9" x14ac:dyDescent="0.2">
      <c r="A4213" s="134">
        <v>45657</v>
      </c>
      <c r="B4213" s="135">
        <f>YEAR(source[[#This Row],[report_date]])</f>
        <v>2024</v>
      </c>
      <c r="C4213" s="128">
        <f t="shared" si="192"/>
        <v>12</v>
      </c>
      <c r="D4213" s="136">
        <f t="shared" si="191"/>
        <v>53</v>
      </c>
      <c r="E4213" s="136">
        <f t="shared" si="193"/>
        <v>31</v>
      </c>
      <c r="F4213" s="137" t="s">
        <v>24</v>
      </c>
      <c r="G4213" s="128" t="str">
        <f>VLOOKUP(source[[#This Row],[lending_product_transform]],[3]Mapping!$B$4:$C$37,2,0)</f>
        <v>[Cake] - Cashloan</v>
      </c>
      <c r="H4213" s="128" t="str">
        <f>VLOOKUP(source[[#This Row],[lending_product_transform]],[3]Mapping!$B$3:$D$37,3,0)</f>
        <v>cashloan</v>
      </c>
      <c r="I4213" s="143">
        <v>156658138</v>
      </c>
    </row>
    <row r="4214" spans="1:9" x14ac:dyDescent="0.2">
      <c r="A4214" s="134">
        <v>45657</v>
      </c>
      <c r="B4214" s="135">
        <f>YEAR(source[[#This Row],[report_date]])</f>
        <v>2024</v>
      </c>
      <c r="C4214" s="128">
        <f t="shared" si="192"/>
        <v>12</v>
      </c>
      <c r="D4214" s="136">
        <f t="shared" si="191"/>
        <v>53</v>
      </c>
      <c r="E4214" s="136">
        <f t="shared" si="193"/>
        <v>31</v>
      </c>
      <c r="F4214" s="137" t="s">
        <v>24</v>
      </c>
      <c r="G4214" s="128" t="str">
        <f>VLOOKUP(source[[#This Row],[lending_product_transform]],[3]Mapping!$B$4:$C$37,2,0)</f>
        <v>[Cake] - Cashloan</v>
      </c>
      <c r="H4214" s="128" t="str">
        <f>VLOOKUP(source[[#This Row],[lending_product_transform]],[3]Mapping!$B$3:$D$37,3,0)</f>
        <v>cashloan</v>
      </c>
      <c r="I4214" s="143">
        <v>4530240000</v>
      </c>
    </row>
    <row r="4215" spans="1:9" x14ac:dyDescent="0.2">
      <c r="A4215" s="134">
        <v>45657</v>
      </c>
      <c r="B4215" s="135">
        <f>YEAR(source[[#This Row],[report_date]])</f>
        <v>2024</v>
      </c>
      <c r="C4215" s="128">
        <f t="shared" si="192"/>
        <v>12</v>
      </c>
      <c r="D4215" s="136">
        <f t="shared" si="191"/>
        <v>53</v>
      </c>
      <c r="E4215" s="136">
        <f t="shared" si="193"/>
        <v>31</v>
      </c>
      <c r="F4215" s="137" t="s">
        <v>24</v>
      </c>
      <c r="G4215" s="128" t="str">
        <f>VLOOKUP(source[[#This Row],[lending_product_transform]],[3]Mapping!$B$4:$C$37,2,0)</f>
        <v>[Cake] - Cashloan</v>
      </c>
      <c r="H4215" s="128" t="str">
        <f>VLOOKUP(source[[#This Row],[lending_product_transform]],[3]Mapping!$B$3:$D$37,3,0)</f>
        <v>cashloan</v>
      </c>
      <c r="I4215" s="143">
        <v>12840000</v>
      </c>
    </row>
    <row r="4216" spans="1:9" x14ac:dyDescent="0.2">
      <c r="A4216" s="134">
        <v>45657</v>
      </c>
      <c r="B4216" s="135">
        <f>YEAR(source[[#This Row],[report_date]])</f>
        <v>2024</v>
      </c>
      <c r="C4216" s="128">
        <f t="shared" si="192"/>
        <v>12</v>
      </c>
      <c r="D4216" s="136">
        <f t="shared" si="191"/>
        <v>53</v>
      </c>
      <c r="E4216" s="136">
        <f t="shared" si="193"/>
        <v>31</v>
      </c>
      <c r="F4216" s="137" t="s">
        <v>24</v>
      </c>
      <c r="G4216" s="128" t="str">
        <f>VLOOKUP(source[[#This Row],[lending_product_transform]],[3]Mapping!$B$4:$C$37,2,0)</f>
        <v>[Cake] - Cashloan</v>
      </c>
      <c r="H4216" s="128" t="str">
        <f>VLOOKUP(source[[#This Row],[lending_product_transform]],[3]Mapping!$B$3:$D$37,3,0)</f>
        <v>cashloan</v>
      </c>
      <c r="I4216" s="143">
        <v>24291703</v>
      </c>
    </row>
    <row r="4217" spans="1:9" x14ac:dyDescent="0.2">
      <c r="A4217" s="134">
        <v>45657</v>
      </c>
      <c r="B4217" s="135">
        <f>YEAR(source[[#This Row],[report_date]])</f>
        <v>2024</v>
      </c>
      <c r="C4217" s="128">
        <f t="shared" si="192"/>
        <v>12</v>
      </c>
      <c r="D4217" s="136">
        <f t="shared" si="191"/>
        <v>53</v>
      </c>
      <c r="E4217" s="136">
        <f t="shared" si="193"/>
        <v>31</v>
      </c>
      <c r="F4217" s="137" t="s">
        <v>24</v>
      </c>
      <c r="G4217" s="128" t="str">
        <f>VLOOKUP(source[[#This Row],[lending_product_transform]],[3]Mapping!$B$4:$C$37,2,0)</f>
        <v>[Cake] - Cashloan</v>
      </c>
      <c r="H4217" s="128" t="str">
        <f>VLOOKUP(source[[#This Row],[lending_product_transform]],[3]Mapping!$B$3:$D$37,3,0)</f>
        <v>cashloan</v>
      </c>
      <c r="I4217" s="143">
        <v>307894376</v>
      </c>
    </row>
    <row r="4218" spans="1:9" x14ac:dyDescent="0.2">
      <c r="A4218" s="134">
        <v>45658</v>
      </c>
      <c r="B4218" s="135">
        <f>YEAR(source[[#This Row],[report_date]])</f>
        <v>2025</v>
      </c>
      <c r="C4218" s="128">
        <f t="shared" si="192"/>
        <v>1</v>
      </c>
      <c r="D4218" s="136">
        <f t="shared" si="191"/>
        <v>1</v>
      </c>
      <c r="E4218" s="136">
        <f t="shared" si="193"/>
        <v>1</v>
      </c>
      <c r="F4218" s="137" t="s">
        <v>24</v>
      </c>
      <c r="G4218" s="128" t="str">
        <f>VLOOKUP(source[[#This Row],[lending_product_transform]],[3]Mapping!$B$4:$C$37,2,0)</f>
        <v>[Cake] - Cashloan</v>
      </c>
      <c r="H4218" s="128" t="str">
        <f>VLOOKUP(source[[#This Row],[lending_product_transform]],[3]Mapping!$B$3:$D$37,3,0)</f>
        <v>cashloan</v>
      </c>
      <c r="I4218" s="143">
        <v>4588890000</v>
      </c>
    </row>
    <row r="4219" spans="1:9" x14ac:dyDescent="0.2">
      <c r="A4219" s="134">
        <v>45658</v>
      </c>
      <c r="B4219" s="135">
        <f>YEAR(source[[#This Row],[report_date]])</f>
        <v>2025</v>
      </c>
      <c r="C4219" s="128">
        <f t="shared" si="192"/>
        <v>1</v>
      </c>
      <c r="D4219" s="136">
        <f t="shared" si="191"/>
        <v>1</v>
      </c>
      <c r="E4219" s="136">
        <f t="shared" si="193"/>
        <v>1</v>
      </c>
      <c r="F4219" s="137" t="s">
        <v>24</v>
      </c>
      <c r="G4219" s="128" t="str">
        <f>VLOOKUP(source[[#This Row],[lending_product_transform]],[3]Mapping!$B$4:$C$37,2,0)</f>
        <v>[Cake] - Cashloan</v>
      </c>
      <c r="H4219" s="128" t="str">
        <f>VLOOKUP(source[[#This Row],[lending_product_transform]],[3]Mapping!$B$3:$D$37,3,0)</f>
        <v>cashloan</v>
      </c>
      <c r="I4219" s="143">
        <v>21000000</v>
      </c>
    </row>
    <row r="4220" spans="1:9" x14ac:dyDescent="0.2">
      <c r="A4220" s="134">
        <v>45658</v>
      </c>
      <c r="B4220" s="135">
        <f>YEAR(source[[#This Row],[report_date]])</f>
        <v>2025</v>
      </c>
      <c r="C4220" s="128">
        <f t="shared" si="192"/>
        <v>1</v>
      </c>
      <c r="D4220" s="136">
        <f t="shared" si="191"/>
        <v>1</v>
      </c>
      <c r="E4220" s="136">
        <f t="shared" si="193"/>
        <v>1</v>
      </c>
      <c r="F4220" s="137" t="s">
        <v>24</v>
      </c>
      <c r="G4220" s="128" t="str">
        <f>VLOOKUP(source[[#This Row],[lending_product_transform]],[3]Mapping!$B$4:$C$37,2,0)</f>
        <v>[Cake] - Cashloan</v>
      </c>
      <c r="H4220" s="128" t="str">
        <f>VLOOKUP(source[[#This Row],[lending_product_transform]],[3]Mapping!$B$3:$D$37,3,0)</f>
        <v>cashloan</v>
      </c>
      <c r="I4220" s="143">
        <v>211080142</v>
      </c>
    </row>
    <row r="4221" spans="1:9" x14ac:dyDescent="0.2">
      <c r="A4221" s="134">
        <v>45658</v>
      </c>
      <c r="B4221" s="135">
        <f>YEAR(source[[#This Row],[report_date]])</f>
        <v>2025</v>
      </c>
      <c r="C4221" s="128">
        <f t="shared" si="192"/>
        <v>1</v>
      </c>
      <c r="D4221" s="136">
        <f t="shared" si="191"/>
        <v>1</v>
      </c>
      <c r="E4221" s="136">
        <f t="shared" si="193"/>
        <v>1</v>
      </c>
      <c r="F4221" s="137" t="s">
        <v>24</v>
      </c>
      <c r="G4221" s="128" t="str">
        <f>VLOOKUP(source[[#This Row],[lending_product_transform]],[3]Mapping!$B$4:$C$37,2,0)</f>
        <v>[Cake] - Cashloan</v>
      </c>
      <c r="H4221" s="128" t="str">
        <f>VLOOKUP(source[[#This Row],[lending_product_transform]],[3]Mapping!$B$3:$D$37,3,0)</f>
        <v>cashloan</v>
      </c>
      <c r="I4221" s="143">
        <v>34963484</v>
      </c>
    </row>
    <row r="4222" spans="1:9" x14ac:dyDescent="0.2">
      <c r="A4222" s="134">
        <v>45658</v>
      </c>
      <c r="B4222" s="135">
        <f>YEAR(source[[#This Row],[report_date]])</f>
        <v>2025</v>
      </c>
      <c r="C4222" s="128">
        <f t="shared" si="192"/>
        <v>1</v>
      </c>
      <c r="D4222" s="136">
        <f t="shared" si="191"/>
        <v>1</v>
      </c>
      <c r="E4222" s="136">
        <f t="shared" si="193"/>
        <v>1</v>
      </c>
      <c r="F4222" s="137" t="s">
        <v>24</v>
      </c>
      <c r="G4222" s="128" t="str">
        <f>VLOOKUP(source[[#This Row],[lending_product_transform]],[3]Mapping!$B$4:$C$37,2,0)</f>
        <v>[Cake] - Cashloan</v>
      </c>
      <c r="H4222" s="128" t="str">
        <f>VLOOKUP(source[[#This Row],[lending_product_transform]],[3]Mapping!$B$3:$D$37,3,0)</f>
        <v>cashloan</v>
      </c>
      <c r="I4222" s="143">
        <v>0</v>
      </c>
    </row>
    <row r="4223" spans="1:9" x14ac:dyDescent="0.2">
      <c r="A4223" s="134">
        <v>45658</v>
      </c>
      <c r="B4223" s="135">
        <f>YEAR(source[[#This Row],[report_date]])</f>
        <v>2025</v>
      </c>
      <c r="C4223" s="128">
        <f t="shared" si="192"/>
        <v>1</v>
      </c>
      <c r="D4223" s="136">
        <f t="shared" si="191"/>
        <v>1</v>
      </c>
      <c r="E4223" s="136">
        <f t="shared" si="193"/>
        <v>1</v>
      </c>
      <c r="F4223" s="137" t="s">
        <v>24</v>
      </c>
      <c r="G4223" s="128" t="str">
        <f>VLOOKUP(source[[#This Row],[lending_product_transform]],[3]Mapping!$B$4:$C$37,2,0)</f>
        <v>[Cake] - Cashloan</v>
      </c>
      <c r="H4223" s="128" t="str">
        <f>VLOOKUP(source[[#This Row],[lending_product_transform]],[3]Mapping!$B$3:$D$37,3,0)</f>
        <v>cashloan</v>
      </c>
      <c r="I4223" s="143">
        <v>0</v>
      </c>
    </row>
    <row r="4224" spans="1:9" x14ac:dyDescent="0.2">
      <c r="A4224" s="134">
        <v>45658</v>
      </c>
      <c r="B4224" s="135">
        <f>YEAR(source[[#This Row],[report_date]])</f>
        <v>2025</v>
      </c>
      <c r="C4224" s="128">
        <f t="shared" si="192"/>
        <v>1</v>
      </c>
      <c r="D4224" s="136">
        <f t="shared" si="191"/>
        <v>1</v>
      </c>
      <c r="E4224" s="136">
        <f t="shared" si="193"/>
        <v>1</v>
      </c>
      <c r="F4224" s="137" t="s">
        <v>24</v>
      </c>
      <c r="G4224" s="128" t="str">
        <f>VLOOKUP(source[[#This Row],[lending_product_transform]],[3]Mapping!$B$4:$C$37,2,0)</f>
        <v>[Cake] - Cashloan</v>
      </c>
      <c r="H4224" s="128" t="str">
        <f>VLOOKUP(source[[#This Row],[lending_product_transform]],[3]Mapping!$B$3:$D$37,3,0)</f>
        <v>cashloan</v>
      </c>
      <c r="I4224" s="143">
        <v>0</v>
      </c>
    </row>
    <row r="4225" spans="1:9" x14ac:dyDescent="0.2">
      <c r="A4225" s="134">
        <v>45658</v>
      </c>
      <c r="B4225" s="135">
        <f>YEAR(source[[#This Row],[report_date]])</f>
        <v>2025</v>
      </c>
      <c r="C4225" s="128">
        <f t="shared" si="192"/>
        <v>1</v>
      </c>
      <c r="D4225" s="136">
        <f t="shared" si="191"/>
        <v>1</v>
      </c>
      <c r="E4225" s="136">
        <f t="shared" si="193"/>
        <v>1</v>
      </c>
      <c r="F4225" s="137" t="s">
        <v>24</v>
      </c>
      <c r="G4225" s="128" t="str">
        <f>VLOOKUP(source[[#This Row],[lending_product_transform]],[3]Mapping!$B$4:$C$37,2,0)</f>
        <v>[Cake] - Cashloan</v>
      </c>
      <c r="H4225" s="128" t="str">
        <f>VLOOKUP(source[[#This Row],[lending_product_transform]],[3]Mapping!$B$3:$D$37,3,0)</f>
        <v>cashloan</v>
      </c>
      <c r="I4225" s="143">
        <v>369241367</v>
      </c>
    </row>
    <row r="4226" spans="1:9" x14ac:dyDescent="0.2">
      <c r="A4226" s="134">
        <v>45658</v>
      </c>
      <c r="B4226" s="135">
        <f>YEAR(source[[#This Row],[report_date]])</f>
        <v>2025</v>
      </c>
      <c r="C4226" s="128">
        <f t="shared" si="192"/>
        <v>1</v>
      </c>
      <c r="D4226" s="136">
        <f t="shared" si="191"/>
        <v>1</v>
      </c>
      <c r="E4226" s="136">
        <f t="shared" si="193"/>
        <v>1</v>
      </c>
      <c r="F4226" s="137" t="s">
        <v>24</v>
      </c>
      <c r="G4226" s="128" t="str">
        <f>VLOOKUP(source[[#This Row],[lending_product_transform]],[3]Mapping!$B$4:$C$37,2,0)</f>
        <v>[Cake] - Cashloan</v>
      </c>
      <c r="H4226" s="128" t="str">
        <f>VLOOKUP(source[[#This Row],[lending_product_transform]],[3]Mapping!$B$3:$D$37,3,0)</f>
        <v>cashloan</v>
      </c>
      <c r="I4226" s="143">
        <v>4799967356</v>
      </c>
    </row>
    <row r="4227" spans="1:9" x14ac:dyDescent="0.2">
      <c r="A4227" s="134">
        <v>45658</v>
      </c>
      <c r="B4227" s="135">
        <f>YEAR(source[[#This Row],[report_date]])</f>
        <v>2025</v>
      </c>
      <c r="C4227" s="128">
        <f t="shared" si="192"/>
        <v>1</v>
      </c>
      <c r="D4227" s="136">
        <f t="shared" ref="D4227:D4290" si="194">WEEKNUM(A4227,2)</f>
        <v>1</v>
      </c>
      <c r="E4227" s="136">
        <f t="shared" si="193"/>
        <v>1</v>
      </c>
      <c r="F4227" s="137" t="s">
        <v>24</v>
      </c>
      <c r="G4227" s="128" t="str">
        <f>VLOOKUP(source[[#This Row],[lending_product_transform]],[3]Mapping!$B$4:$C$37,2,0)</f>
        <v>[Cake] - Cashloan</v>
      </c>
      <c r="H4227" s="128" t="str">
        <f>VLOOKUP(source[[#This Row],[lending_product_transform]],[3]Mapping!$B$3:$D$37,3,0)</f>
        <v>cashloan</v>
      </c>
      <c r="I4227" s="143">
        <v>4368000000</v>
      </c>
    </row>
    <row r="4228" spans="1:9" x14ac:dyDescent="0.2">
      <c r="A4228" s="134">
        <v>45658</v>
      </c>
      <c r="B4228" s="135">
        <f>YEAR(source[[#This Row],[report_date]])</f>
        <v>2025</v>
      </c>
      <c r="C4228" s="128">
        <f t="shared" si="192"/>
        <v>1</v>
      </c>
      <c r="D4228" s="136">
        <f t="shared" si="194"/>
        <v>1</v>
      </c>
      <c r="E4228" s="136">
        <f t="shared" si="193"/>
        <v>1</v>
      </c>
      <c r="F4228" s="137" t="s">
        <v>24</v>
      </c>
      <c r="G4228" s="128" t="str">
        <f>VLOOKUP(source[[#This Row],[lending_product_transform]],[3]Mapping!$B$4:$C$37,2,0)</f>
        <v>[Cake] - Cashloan</v>
      </c>
      <c r="H4228" s="128" t="str">
        <f>VLOOKUP(source[[#This Row],[lending_product_transform]],[3]Mapping!$B$3:$D$37,3,0)</f>
        <v>cashloan</v>
      </c>
      <c r="I4228" s="143">
        <v>22000000</v>
      </c>
    </row>
    <row r="4229" spans="1:9" x14ac:dyDescent="0.2">
      <c r="A4229" s="134">
        <v>45658</v>
      </c>
      <c r="B4229" s="135">
        <f>YEAR(source[[#This Row],[report_date]])</f>
        <v>2025</v>
      </c>
      <c r="C4229" s="128">
        <f t="shared" si="192"/>
        <v>1</v>
      </c>
      <c r="D4229" s="136">
        <f t="shared" si="194"/>
        <v>1</v>
      </c>
      <c r="E4229" s="136">
        <f t="shared" si="193"/>
        <v>1</v>
      </c>
      <c r="F4229" s="137" t="s">
        <v>24</v>
      </c>
      <c r="G4229" s="128" t="str">
        <f>VLOOKUP(source[[#This Row],[lending_product_transform]],[3]Mapping!$B$4:$C$37,2,0)</f>
        <v>[Cake] - Cashloan</v>
      </c>
      <c r="H4229" s="128" t="str">
        <f>VLOOKUP(source[[#This Row],[lending_product_transform]],[3]Mapping!$B$3:$D$37,3,0)</f>
        <v>cashloan</v>
      </c>
      <c r="I4229" s="143">
        <v>159837074</v>
      </c>
    </row>
    <row r="4230" spans="1:9" x14ac:dyDescent="0.2">
      <c r="A4230" s="134">
        <v>45658</v>
      </c>
      <c r="B4230" s="135">
        <f>YEAR(source[[#This Row],[report_date]])</f>
        <v>2025</v>
      </c>
      <c r="C4230" s="128">
        <f t="shared" si="192"/>
        <v>1</v>
      </c>
      <c r="D4230" s="136">
        <f t="shared" si="194"/>
        <v>1</v>
      </c>
      <c r="E4230" s="136">
        <f t="shared" si="193"/>
        <v>1</v>
      </c>
      <c r="F4230" s="137" t="s">
        <v>24</v>
      </c>
      <c r="G4230" s="128" t="str">
        <f>VLOOKUP(source[[#This Row],[lending_product_transform]],[3]Mapping!$B$4:$C$37,2,0)</f>
        <v>[Cake] - Cashloan</v>
      </c>
      <c r="H4230" s="128" t="str">
        <f>VLOOKUP(source[[#This Row],[lending_product_transform]],[3]Mapping!$B$3:$D$37,3,0)</f>
        <v>cashloan</v>
      </c>
      <c r="I4230" s="143">
        <v>194550000</v>
      </c>
    </row>
    <row r="4231" spans="1:9" x14ac:dyDescent="0.2">
      <c r="A4231" s="134">
        <v>45658</v>
      </c>
      <c r="B4231" s="135">
        <f>YEAR(source[[#This Row],[report_date]])</f>
        <v>2025</v>
      </c>
      <c r="C4231" s="128">
        <f t="shared" si="192"/>
        <v>1</v>
      </c>
      <c r="D4231" s="136">
        <f t="shared" si="194"/>
        <v>1</v>
      </c>
      <c r="E4231" s="136">
        <f t="shared" si="193"/>
        <v>1</v>
      </c>
      <c r="F4231" s="137" t="s">
        <v>24</v>
      </c>
      <c r="G4231" s="128" t="str">
        <f>VLOOKUP(source[[#This Row],[lending_product_transform]],[3]Mapping!$B$4:$C$37,2,0)</f>
        <v>[Cake] - Cashloan</v>
      </c>
      <c r="H4231" s="128" t="str">
        <f>VLOOKUP(source[[#This Row],[lending_product_transform]],[3]Mapping!$B$3:$D$37,3,0)</f>
        <v>cashloan</v>
      </c>
      <c r="I4231" s="143">
        <v>215990000</v>
      </c>
    </row>
    <row r="4232" spans="1:9" x14ac:dyDescent="0.2">
      <c r="A4232" s="134">
        <v>45658</v>
      </c>
      <c r="B4232" s="135">
        <f>YEAR(source[[#This Row],[report_date]])</f>
        <v>2025</v>
      </c>
      <c r="C4232" s="128">
        <f t="shared" si="192"/>
        <v>1</v>
      </c>
      <c r="D4232" s="136">
        <f t="shared" si="194"/>
        <v>1</v>
      </c>
      <c r="E4232" s="136">
        <f t="shared" si="193"/>
        <v>1</v>
      </c>
      <c r="F4232" s="137" t="s">
        <v>24</v>
      </c>
      <c r="G4232" s="128" t="str">
        <f>VLOOKUP(source[[#This Row],[lending_product_transform]],[3]Mapping!$B$4:$C$37,2,0)</f>
        <v>[Cake] - Cashloan</v>
      </c>
      <c r="H4232" s="128" t="str">
        <f>VLOOKUP(source[[#This Row],[lending_product_transform]],[3]Mapping!$B$3:$D$37,3,0)</f>
        <v>cashloan</v>
      </c>
      <c r="I4232" s="143">
        <v>37450000</v>
      </c>
    </row>
    <row r="4233" spans="1:9" x14ac:dyDescent="0.2">
      <c r="A4233" s="134">
        <v>45658</v>
      </c>
      <c r="B4233" s="135">
        <f>YEAR(source[[#This Row],[report_date]])</f>
        <v>2025</v>
      </c>
      <c r="C4233" s="128">
        <f t="shared" si="192"/>
        <v>1</v>
      </c>
      <c r="D4233" s="136">
        <f t="shared" si="194"/>
        <v>1</v>
      </c>
      <c r="E4233" s="136">
        <f t="shared" si="193"/>
        <v>1</v>
      </c>
      <c r="F4233" s="137" t="s">
        <v>24</v>
      </c>
      <c r="G4233" s="128" t="str">
        <f>VLOOKUP(source[[#This Row],[lending_product_transform]],[3]Mapping!$B$4:$C$37,2,0)</f>
        <v>[Cake] - Cashloan</v>
      </c>
      <c r="H4233" s="128" t="str">
        <f>VLOOKUP(source[[#This Row],[lending_product_transform]],[3]Mapping!$B$3:$D$37,3,0)</f>
        <v>cashloan</v>
      </c>
      <c r="I4233" s="143">
        <v>26250000</v>
      </c>
    </row>
    <row r="4234" spans="1:9" x14ac:dyDescent="0.2">
      <c r="A4234" s="134">
        <v>45658</v>
      </c>
      <c r="B4234" s="135">
        <f>YEAR(source[[#This Row],[report_date]])</f>
        <v>2025</v>
      </c>
      <c r="C4234" s="128">
        <f t="shared" si="192"/>
        <v>1</v>
      </c>
      <c r="D4234" s="136">
        <f t="shared" si="194"/>
        <v>1</v>
      </c>
      <c r="E4234" s="136">
        <f t="shared" si="193"/>
        <v>1</v>
      </c>
      <c r="F4234" s="137" t="s">
        <v>24</v>
      </c>
      <c r="G4234" s="128" t="str">
        <f>VLOOKUP(source[[#This Row],[lending_product_transform]],[3]Mapping!$B$4:$C$37,2,0)</f>
        <v>[Cake] - Cashloan</v>
      </c>
      <c r="H4234" s="128" t="str">
        <f>VLOOKUP(source[[#This Row],[lending_product_transform]],[3]Mapping!$B$3:$D$37,3,0)</f>
        <v>cashloan</v>
      </c>
      <c r="I4234" s="143">
        <v>42800000</v>
      </c>
    </row>
    <row r="4235" spans="1:9" x14ac:dyDescent="0.2">
      <c r="A4235" s="134">
        <v>45658</v>
      </c>
      <c r="B4235" s="135">
        <f>YEAR(source[[#This Row],[report_date]])</f>
        <v>2025</v>
      </c>
      <c r="C4235" s="128">
        <f t="shared" si="192"/>
        <v>1</v>
      </c>
      <c r="D4235" s="136">
        <f t="shared" si="194"/>
        <v>1</v>
      </c>
      <c r="E4235" s="136">
        <f t="shared" si="193"/>
        <v>1</v>
      </c>
      <c r="F4235" s="137" t="s">
        <v>24</v>
      </c>
      <c r="G4235" s="128" t="str">
        <f>VLOOKUP(source[[#This Row],[lending_product_transform]],[3]Mapping!$B$4:$C$37,2,0)</f>
        <v>[Cake] - Cashloan</v>
      </c>
      <c r="H4235" s="128" t="str">
        <f>VLOOKUP(source[[#This Row],[lending_product_transform]],[3]Mapping!$B$3:$D$37,3,0)</f>
        <v>cashloan</v>
      </c>
      <c r="I4235" s="143">
        <v>5550870000</v>
      </c>
    </row>
    <row r="4236" spans="1:9" x14ac:dyDescent="0.2">
      <c r="A4236" s="134">
        <v>45659</v>
      </c>
      <c r="B4236" s="135">
        <f>YEAR(source[[#This Row],[report_date]])</f>
        <v>2025</v>
      </c>
      <c r="C4236" s="128">
        <f t="shared" si="192"/>
        <v>1</v>
      </c>
      <c r="D4236" s="136">
        <f t="shared" si="194"/>
        <v>1</v>
      </c>
      <c r="E4236" s="136">
        <f t="shared" si="193"/>
        <v>2</v>
      </c>
      <c r="F4236" s="137" t="s">
        <v>24</v>
      </c>
      <c r="G4236" s="128" t="str">
        <f>VLOOKUP(source[[#This Row],[lending_product_transform]],[3]Mapping!$B$4:$C$37,2,0)</f>
        <v>[Cake] - Cashloan</v>
      </c>
      <c r="H4236" s="128" t="str">
        <f>VLOOKUP(source[[#This Row],[lending_product_transform]],[3]Mapping!$B$3:$D$37,3,0)</f>
        <v>cashloan</v>
      </c>
      <c r="I4236" s="143">
        <v>240910000</v>
      </c>
    </row>
    <row r="4237" spans="1:9" x14ac:dyDescent="0.2">
      <c r="A4237" s="134">
        <v>45659</v>
      </c>
      <c r="B4237" s="135">
        <f>YEAR(source[[#This Row],[report_date]])</f>
        <v>2025</v>
      </c>
      <c r="C4237" s="128">
        <f t="shared" si="192"/>
        <v>1</v>
      </c>
      <c r="D4237" s="136">
        <f t="shared" si="194"/>
        <v>1</v>
      </c>
      <c r="E4237" s="136">
        <f t="shared" si="193"/>
        <v>2</v>
      </c>
      <c r="F4237" s="137" t="s">
        <v>24</v>
      </c>
      <c r="G4237" s="128" t="str">
        <f>VLOOKUP(source[[#This Row],[lending_product_transform]],[3]Mapping!$B$4:$C$37,2,0)</f>
        <v>[Cake] - Cashloan</v>
      </c>
      <c r="H4237" s="128" t="str">
        <f>VLOOKUP(source[[#This Row],[lending_product_transform]],[3]Mapping!$B$3:$D$37,3,0)</f>
        <v>cashloan</v>
      </c>
      <c r="I4237" s="143">
        <v>192183071</v>
      </c>
    </row>
    <row r="4238" spans="1:9" x14ac:dyDescent="0.2">
      <c r="A4238" s="134">
        <v>45659</v>
      </c>
      <c r="B4238" s="135">
        <f>YEAR(source[[#This Row],[report_date]])</f>
        <v>2025</v>
      </c>
      <c r="C4238" s="128">
        <f t="shared" si="192"/>
        <v>1</v>
      </c>
      <c r="D4238" s="136">
        <f t="shared" si="194"/>
        <v>1</v>
      </c>
      <c r="E4238" s="136">
        <f t="shared" si="193"/>
        <v>2</v>
      </c>
      <c r="F4238" s="137" t="s">
        <v>24</v>
      </c>
      <c r="G4238" s="128" t="str">
        <f>VLOOKUP(source[[#This Row],[lending_product_transform]],[3]Mapping!$B$4:$C$37,2,0)</f>
        <v>[Cake] - Cashloan</v>
      </c>
      <c r="H4238" s="128" t="str">
        <f>VLOOKUP(source[[#This Row],[lending_product_transform]],[3]Mapping!$B$3:$D$37,3,0)</f>
        <v>cashloan</v>
      </c>
      <c r="I4238" s="143">
        <v>459830000</v>
      </c>
    </row>
    <row r="4239" spans="1:9" x14ac:dyDescent="0.2">
      <c r="A4239" s="134">
        <v>45659</v>
      </c>
      <c r="B4239" s="135">
        <f>YEAR(source[[#This Row],[report_date]])</f>
        <v>2025</v>
      </c>
      <c r="C4239" s="128">
        <f t="shared" si="192"/>
        <v>1</v>
      </c>
      <c r="D4239" s="136">
        <f t="shared" si="194"/>
        <v>1</v>
      </c>
      <c r="E4239" s="136">
        <f t="shared" si="193"/>
        <v>2</v>
      </c>
      <c r="F4239" s="137" t="s">
        <v>24</v>
      </c>
      <c r="G4239" s="128" t="str">
        <f>VLOOKUP(source[[#This Row],[lending_product_transform]],[3]Mapping!$B$4:$C$37,2,0)</f>
        <v>[Cake] - Cashloan</v>
      </c>
      <c r="H4239" s="128" t="str">
        <f>VLOOKUP(source[[#This Row],[lending_product_transform]],[3]Mapping!$B$3:$D$37,3,0)</f>
        <v>cashloan</v>
      </c>
      <c r="I4239" s="143">
        <v>116300000</v>
      </c>
    </row>
    <row r="4240" spans="1:9" x14ac:dyDescent="0.2">
      <c r="A4240" s="134">
        <v>45659</v>
      </c>
      <c r="B4240" s="135">
        <f>YEAR(source[[#This Row],[report_date]])</f>
        <v>2025</v>
      </c>
      <c r="C4240" s="128">
        <f t="shared" si="192"/>
        <v>1</v>
      </c>
      <c r="D4240" s="136">
        <f t="shared" si="194"/>
        <v>1</v>
      </c>
      <c r="E4240" s="136">
        <f t="shared" si="193"/>
        <v>2</v>
      </c>
      <c r="F4240" s="137" t="s">
        <v>24</v>
      </c>
      <c r="G4240" s="128" t="str">
        <f>VLOOKUP(source[[#This Row],[lending_product_transform]],[3]Mapping!$B$4:$C$37,2,0)</f>
        <v>[Cake] - Cashloan</v>
      </c>
      <c r="H4240" s="128" t="str">
        <f>VLOOKUP(source[[#This Row],[lending_product_transform]],[3]Mapping!$B$3:$D$37,3,0)</f>
        <v>cashloan</v>
      </c>
      <c r="I4240" s="143">
        <v>17120000</v>
      </c>
    </row>
    <row r="4241" spans="1:9" x14ac:dyDescent="0.2">
      <c r="A4241" s="134">
        <v>45659</v>
      </c>
      <c r="B4241" s="135">
        <f>YEAR(source[[#This Row],[report_date]])</f>
        <v>2025</v>
      </c>
      <c r="C4241" s="128">
        <f t="shared" si="192"/>
        <v>1</v>
      </c>
      <c r="D4241" s="136">
        <f t="shared" si="194"/>
        <v>1</v>
      </c>
      <c r="E4241" s="136">
        <f t="shared" si="193"/>
        <v>2</v>
      </c>
      <c r="F4241" s="137" t="s">
        <v>24</v>
      </c>
      <c r="G4241" s="128" t="str">
        <f>VLOOKUP(source[[#This Row],[lending_product_transform]],[3]Mapping!$B$4:$C$37,2,0)</f>
        <v>[Cake] - Cashloan</v>
      </c>
      <c r="H4241" s="128" t="str">
        <f>VLOOKUP(source[[#This Row],[lending_product_transform]],[3]Mapping!$B$3:$D$37,3,0)</f>
        <v>cashloan</v>
      </c>
      <c r="I4241" s="143">
        <v>4880000000</v>
      </c>
    </row>
    <row r="4242" spans="1:9" x14ac:dyDescent="0.2">
      <c r="A4242" s="134">
        <v>45659</v>
      </c>
      <c r="B4242" s="135">
        <f>YEAR(source[[#This Row],[report_date]])</f>
        <v>2025</v>
      </c>
      <c r="C4242" s="128">
        <f t="shared" si="192"/>
        <v>1</v>
      </c>
      <c r="D4242" s="136">
        <f t="shared" si="194"/>
        <v>1</v>
      </c>
      <c r="E4242" s="136">
        <f t="shared" si="193"/>
        <v>2</v>
      </c>
      <c r="F4242" s="137" t="s">
        <v>24</v>
      </c>
      <c r="G4242" s="128" t="str">
        <f>VLOOKUP(source[[#This Row],[lending_product_transform]],[3]Mapping!$B$4:$C$37,2,0)</f>
        <v>[Cake] - Cashloan</v>
      </c>
      <c r="H4242" s="128" t="str">
        <f>VLOOKUP(source[[#This Row],[lending_product_transform]],[3]Mapping!$B$3:$D$37,3,0)</f>
        <v>cashloan</v>
      </c>
      <c r="I4242" s="143">
        <v>5309791648</v>
      </c>
    </row>
    <row r="4243" spans="1:9" x14ac:dyDescent="0.2">
      <c r="A4243" s="134">
        <v>45659</v>
      </c>
      <c r="B4243" s="135">
        <f>YEAR(source[[#This Row],[report_date]])</f>
        <v>2025</v>
      </c>
      <c r="C4243" s="128">
        <f t="shared" si="192"/>
        <v>1</v>
      </c>
      <c r="D4243" s="136">
        <f t="shared" si="194"/>
        <v>1</v>
      </c>
      <c r="E4243" s="136">
        <f t="shared" si="193"/>
        <v>2</v>
      </c>
      <c r="F4243" s="137" t="s">
        <v>24</v>
      </c>
      <c r="G4243" s="128" t="str">
        <f>VLOOKUP(source[[#This Row],[lending_product_transform]],[3]Mapping!$B$4:$C$37,2,0)</f>
        <v>[Cake] - Cashloan</v>
      </c>
      <c r="H4243" s="128" t="str">
        <f>VLOOKUP(source[[#This Row],[lending_product_transform]],[3]Mapping!$B$3:$D$37,3,0)</f>
        <v>cashloan</v>
      </c>
      <c r="I4243" s="143">
        <v>305065225</v>
      </c>
    </row>
    <row r="4244" spans="1:9" x14ac:dyDescent="0.2">
      <c r="A4244" s="134">
        <v>45659</v>
      </c>
      <c r="B4244" s="135">
        <f>YEAR(source[[#This Row],[report_date]])</f>
        <v>2025</v>
      </c>
      <c r="C4244" s="128">
        <f t="shared" si="192"/>
        <v>1</v>
      </c>
      <c r="D4244" s="136">
        <f t="shared" si="194"/>
        <v>1</v>
      </c>
      <c r="E4244" s="136">
        <f t="shared" si="193"/>
        <v>2</v>
      </c>
      <c r="F4244" s="137" t="s">
        <v>24</v>
      </c>
      <c r="G4244" s="128" t="str">
        <f>VLOOKUP(source[[#This Row],[lending_product_transform]],[3]Mapping!$B$4:$C$37,2,0)</f>
        <v>[Cake] - Cashloan</v>
      </c>
      <c r="H4244" s="128" t="str">
        <f>VLOOKUP(source[[#This Row],[lending_product_transform]],[3]Mapping!$B$3:$D$37,3,0)</f>
        <v>cashloan</v>
      </c>
      <c r="I4244" s="143">
        <v>21400000</v>
      </c>
    </row>
    <row r="4245" spans="1:9" x14ac:dyDescent="0.2">
      <c r="A4245" s="134">
        <v>45659</v>
      </c>
      <c r="B4245" s="135">
        <f>YEAR(source[[#This Row],[report_date]])</f>
        <v>2025</v>
      </c>
      <c r="C4245" s="128">
        <f t="shared" si="192"/>
        <v>1</v>
      </c>
      <c r="D4245" s="136">
        <f t="shared" si="194"/>
        <v>1</v>
      </c>
      <c r="E4245" s="136">
        <f t="shared" si="193"/>
        <v>2</v>
      </c>
      <c r="F4245" s="137" t="s">
        <v>24</v>
      </c>
      <c r="G4245" s="128" t="str">
        <f>VLOOKUP(source[[#This Row],[lending_product_transform]],[3]Mapping!$B$4:$C$37,2,0)</f>
        <v>[Cake] - Cashloan</v>
      </c>
      <c r="H4245" s="128" t="str">
        <f>VLOOKUP(source[[#This Row],[lending_product_transform]],[3]Mapping!$B$3:$D$37,3,0)</f>
        <v>cashloan</v>
      </c>
      <c r="I4245" s="143">
        <v>18900000</v>
      </c>
    </row>
    <row r="4246" spans="1:9" x14ac:dyDescent="0.2">
      <c r="A4246" s="134">
        <v>45659</v>
      </c>
      <c r="B4246" s="135">
        <f>YEAR(source[[#This Row],[report_date]])</f>
        <v>2025</v>
      </c>
      <c r="C4246" s="128">
        <f t="shared" ref="C4246:C4309" si="195">MONTH(A4246)</f>
        <v>1</v>
      </c>
      <c r="D4246" s="136">
        <f t="shared" si="194"/>
        <v>1</v>
      </c>
      <c r="E4246" s="136">
        <f t="shared" ref="E4246:E4309" si="196">DAY(A4246)</f>
        <v>2</v>
      </c>
      <c r="F4246" s="137" t="s">
        <v>24</v>
      </c>
      <c r="G4246" s="128" t="str">
        <f>VLOOKUP(source[[#This Row],[lending_product_transform]],[3]Mapping!$B$4:$C$37,2,0)</f>
        <v>[Cake] - Cashloan</v>
      </c>
      <c r="H4246" s="128" t="str">
        <f>VLOOKUP(source[[#This Row],[lending_product_transform]],[3]Mapping!$B$3:$D$37,3,0)</f>
        <v>cashloan</v>
      </c>
      <c r="I4246" s="143">
        <v>45152211</v>
      </c>
    </row>
    <row r="4247" spans="1:9" x14ac:dyDescent="0.2">
      <c r="A4247" s="134">
        <v>45659</v>
      </c>
      <c r="B4247" s="135">
        <f>YEAR(source[[#This Row],[report_date]])</f>
        <v>2025</v>
      </c>
      <c r="C4247" s="128">
        <f t="shared" si="195"/>
        <v>1</v>
      </c>
      <c r="D4247" s="136">
        <f t="shared" si="194"/>
        <v>1</v>
      </c>
      <c r="E4247" s="136">
        <f t="shared" si="196"/>
        <v>2</v>
      </c>
      <c r="F4247" s="137" t="s">
        <v>24</v>
      </c>
      <c r="G4247" s="128" t="str">
        <f>VLOOKUP(source[[#This Row],[lending_product_transform]],[3]Mapping!$B$4:$C$37,2,0)</f>
        <v>[Cake] - Cashloan</v>
      </c>
      <c r="H4247" s="128" t="str">
        <f>VLOOKUP(source[[#This Row],[lending_product_transform]],[3]Mapping!$B$3:$D$37,3,0)</f>
        <v>cashloan</v>
      </c>
      <c r="I4247" s="143">
        <v>41000000</v>
      </c>
    </row>
    <row r="4248" spans="1:9" x14ac:dyDescent="0.2">
      <c r="A4248" s="134">
        <v>45659</v>
      </c>
      <c r="B4248" s="135">
        <f>YEAR(source[[#This Row],[report_date]])</f>
        <v>2025</v>
      </c>
      <c r="C4248" s="128">
        <f t="shared" si="195"/>
        <v>1</v>
      </c>
      <c r="D4248" s="136">
        <f t="shared" si="194"/>
        <v>1</v>
      </c>
      <c r="E4248" s="136">
        <f t="shared" si="196"/>
        <v>2</v>
      </c>
      <c r="F4248" s="137" t="s">
        <v>24</v>
      </c>
      <c r="G4248" s="128" t="str">
        <f>VLOOKUP(source[[#This Row],[lending_product_transform]],[3]Mapping!$B$4:$C$37,2,0)</f>
        <v>[Cake] - Cashloan</v>
      </c>
      <c r="H4248" s="128" t="str">
        <f>VLOOKUP(source[[#This Row],[lending_product_transform]],[3]Mapping!$B$3:$D$37,3,0)</f>
        <v>cashloan</v>
      </c>
      <c r="I4248" s="143">
        <v>361474588</v>
      </c>
    </row>
    <row r="4249" spans="1:9" x14ac:dyDescent="0.2">
      <c r="A4249" s="134">
        <v>45659</v>
      </c>
      <c r="B4249" s="135">
        <f>YEAR(source[[#This Row],[report_date]])</f>
        <v>2025</v>
      </c>
      <c r="C4249" s="128">
        <f t="shared" si="195"/>
        <v>1</v>
      </c>
      <c r="D4249" s="136">
        <f t="shared" si="194"/>
        <v>1</v>
      </c>
      <c r="E4249" s="136">
        <f t="shared" si="196"/>
        <v>2</v>
      </c>
      <c r="F4249" s="137" t="s">
        <v>24</v>
      </c>
      <c r="G4249" s="128" t="str">
        <f>VLOOKUP(source[[#This Row],[lending_product_transform]],[3]Mapping!$B$4:$C$37,2,0)</f>
        <v>[Cake] - Cashloan</v>
      </c>
      <c r="H4249" s="128" t="str">
        <f>VLOOKUP(source[[#This Row],[lending_product_transform]],[3]Mapping!$B$3:$D$37,3,0)</f>
        <v>cashloan</v>
      </c>
      <c r="I4249" s="143">
        <v>0</v>
      </c>
    </row>
    <row r="4250" spans="1:9" x14ac:dyDescent="0.2">
      <c r="A4250" s="134">
        <v>45659</v>
      </c>
      <c r="B4250" s="135">
        <f>YEAR(source[[#This Row],[report_date]])</f>
        <v>2025</v>
      </c>
      <c r="C4250" s="128">
        <f t="shared" si="195"/>
        <v>1</v>
      </c>
      <c r="D4250" s="136">
        <f t="shared" si="194"/>
        <v>1</v>
      </c>
      <c r="E4250" s="136">
        <f t="shared" si="196"/>
        <v>2</v>
      </c>
      <c r="F4250" s="137" t="s">
        <v>24</v>
      </c>
      <c r="G4250" s="128" t="str">
        <f>VLOOKUP(source[[#This Row],[lending_product_transform]],[3]Mapping!$B$4:$C$37,2,0)</f>
        <v>[Cake] - Cashloan</v>
      </c>
      <c r="H4250" s="128" t="str">
        <f>VLOOKUP(source[[#This Row],[lending_product_transform]],[3]Mapping!$B$3:$D$37,3,0)</f>
        <v>cashloan</v>
      </c>
      <c r="I4250" s="143">
        <v>23100000</v>
      </c>
    </row>
    <row r="4251" spans="1:9" x14ac:dyDescent="0.2">
      <c r="A4251" s="134">
        <v>45659</v>
      </c>
      <c r="B4251" s="135">
        <f>YEAR(source[[#This Row],[report_date]])</f>
        <v>2025</v>
      </c>
      <c r="C4251" s="128">
        <f t="shared" si="195"/>
        <v>1</v>
      </c>
      <c r="D4251" s="136">
        <f t="shared" si="194"/>
        <v>1</v>
      </c>
      <c r="E4251" s="136">
        <f t="shared" si="196"/>
        <v>2</v>
      </c>
      <c r="F4251" s="137" t="s">
        <v>24</v>
      </c>
      <c r="G4251" s="128" t="str">
        <f>VLOOKUP(source[[#This Row],[lending_product_transform]],[3]Mapping!$B$4:$C$37,2,0)</f>
        <v>[Cake] - Cashloan</v>
      </c>
      <c r="H4251" s="128" t="str">
        <f>VLOOKUP(source[[#This Row],[lending_product_transform]],[3]Mapping!$B$3:$D$37,3,0)</f>
        <v>cashloan</v>
      </c>
      <c r="I4251" s="143">
        <v>6899440000</v>
      </c>
    </row>
    <row r="4252" spans="1:9" x14ac:dyDescent="0.2">
      <c r="A4252" s="134">
        <v>45659</v>
      </c>
      <c r="B4252" s="135">
        <f>YEAR(source[[#This Row],[report_date]])</f>
        <v>2025</v>
      </c>
      <c r="C4252" s="128">
        <f t="shared" si="195"/>
        <v>1</v>
      </c>
      <c r="D4252" s="136">
        <f t="shared" si="194"/>
        <v>1</v>
      </c>
      <c r="E4252" s="136">
        <f t="shared" si="196"/>
        <v>2</v>
      </c>
      <c r="F4252" s="137" t="s">
        <v>24</v>
      </c>
      <c r="G4252" s="128" t="str">
        <f>VLOOKUP(source[[#This Row],[lending_product_transform]],[3]Mapping!$B$4:$C$37,2,0)</f>
        <v>[Cake] - Cashloan</v>
      </c>
      <c r="H4252" s="128" t="str">
        <f>VLOOKUP(source[[#This Row],[lending_product_transform]],[3]Mapping!$B$3:$D$37,3,0)</f>
        <v>cashloan</v>
      </c>
      <c r="I4252" s="143">
        <v>5692530000</v>
      </c>
    </row>
    <row r="4253" spans="1:9" x14ac:dyDescent="0.2">
      <c r="A4253" s="134">
        <v>45659</v>
      </c>
      <c r="B4253" s="135">
        <f>YEAR(source[[#This Row],[report_date]])</f>
        <v>2025</v>
      </c>
      <c r="C4253" s="128">
        <f t="shared" si="195"/>
        <v>1</v>
      </c>
      <c r="D4253" s="136">
        <f t="shared" si="194"/>
        <v>1</v>
      </c>
      <c r="E4253" s="136">
        <f t="shared" si="196"/>
        <v>2</v>
      </c>
      <c r="F4253" s="137" t="s">
        <v>24</v>
      </c>
      <c r="G4253" s="128" t="str">
        <f>VLOOKUP(source[[#This Row],[lending_product_transform]],[3]Mapping!$B$4:$C$37,2,0)</f>
        <v>[Cake] - Cashloan</v>
      </c>
      <c r="H4253" s="128" t="str">
        <f>VLOOKUP(source[[#This Row],[lending_product_transform]],[3]Mapping!$B$3:$D$37,3,0)</f>
        <v>cashloan</v>
      </c>
      <c r="I4253" s="143">
        <v>0</v>
      </c>
    </row>
    <row r="4254" spans="1:9" x14ac:dyDescent="0.2">
      <c r="A4254" s="134">
        <v>45660</v>
      </c>
      <c r="B4254" s="135">
        <f>YEAR(source[[#This Row],[report_date]])</f>
        <v>2025</v>
      </c>
      <c r="C4254" s="128">
        <f t="shared" si="195"/>
        <v>1</v>
      </c>
      <c r="D4254" s="136">
        <f t="shared" si="194"/>
        <v>1</v>
      </c>
      <c r="E4254" s="136">
        <f t="shared" si="196"/>
        <v>3</v>
      </c>
      <c r="F4254" s="137" t="s">
        <v>24</v>
      </c>
      <c r="G4254" s="128" t="str">
        <f>VLOOKUP(source[[#This Row],[lending_product_transform]],[3]Mapping!$B$4:$C$37,2,0)</f>
        <v>[Cake] - Cashloan</v>
      </c>
      <c r="H4254" s="128" t="str">
        <f>VLOOKUP(source[[#This Row],[lending_product_transform]],[3]Mapping!$B$3:$D$37,3,0)</f>
        <v>cashloan</v>
      </c>
      <c r="I4254" s="143">
        <v>42000000</v>
      </c>
    </row>
    <row r="4255" spans="1:9" x14ac:dyDescent="0.2">
      <c r="A4255" s="134">
        <v>45660</v>
      </c>
      <c r="B4255" s="135">
        <f>YEAR(source[[#This Row],[report_date]])</f>
        <v>2025</v>
      </c>
      <c r="C4255" s="128">
        <f t="shared" si="195"/>
        <v>1</v>
      </c>
      <c r="D4255" s="136">
        <f t="shared" si="194"/>
        <v>1</v>
      </c>
      <c r="E4255" s="136">
        <f t="shared" si="196"/>
        <v>3</v>
      </c>
      <c r="F4255" s="137" t="s">
        <v>24</v>
      </c>
      <c r="G4255" s="128" t="str">
        <f>VLOOKUP(source[[#This Row],[lending_product_transform]],[3]Mapping!$B$4:$C$37,2,0)</f>
        <v>[Cake] - Cashloan</v>
      </c>
      <c r="H4255" s="128" t="str">
        <f>VLOOKUP(source[[#This Row],[lending_product_transform]],[3]Mapping!$B$3:$D$37,3,0)</f>
        <v>cashloan</v>
      </c>
      <c r="I4255" s="143">
        <v>4740965911</v>
      </c>
    </row>
    <row r="4256" spans="1:9" x14ac:dyDescent="0.2">
      <c r="A4256" s="134">
        <v>45660</v>
      </c>
      <c r="B4256" s="135">
        <f>YEAR(source[[#This Row],[report_date]])</f>
        <v>2025</v>
      </c>
      <c r="C4256" s="128">
        <f t="shared" si="195"/>
        <v>1</v>
      </c>
      <c r="D4256" s="136">
        <f t="shared" si="194"/>
        <v>1</v>
      </c>
      <c r="E4256" s="136">
        <f t="shared" si="196"/>
        <v>3</v>
      </c>
      <c r="F4256" s="137" t="s">
        <v>24</v>
      </c>
      <c r="G4256" s="128" t="str">
        <f>VLOOKUP(source[[#This Row],[lending_product_transform]],[3]Mapping!$B$4:$C$37,2,0)</f>
        <v>[Cake] - Cashloan</v>
      </c>
      <c r="H4256" s="128" t="str">
        <f>VLOOKUP(source[[#This Row],[lending_product_transform]],[3]Mapping!$B$3:$D$37,3,0)</f>
        <v>cashloan</v>
      </c>
      <c r="I4256" s="143">
        <v>400913003</v>
      </c>
    </row>
    <row r="4257" spans="1:9" x14ac:dyDescent="0.2">
      <c r="A4257" s="134">
        <v>45660</v>
      </c>
      <c r="B4257" s="135">
        <f>YEAR(source[[#This Row],[report_date]])</f>
        <v>2025</v>
      </c>
      <c r="C4257" s="128">
        <f t="shared" si="195"/>
        <v>1</v>
      </c>
      <c r="D4257" s="136">
        <f t="shared" si="194"/>
        <v>1</v>
      </c>
      <c r="E4257" s="136">
        <f t="shared" si="196"/>
        <v>3</v>
      </c>
      <c r="F4257" s="137" t="s">
        <v>24</v>
      </c>
      <c r="G4257" s="128" t="str">
        <f>VLOOKUP(source[[#This Row],[lending_product_transform]],[3]Mapping!$B$4:$C$37,2,0)</f>
        <v>[Cake] - Cashloan</v>
      </c>
      <c r="H4257" s="128" t="str">
        <f>VLOOKUP(source[[#This Row],[lending_product_transform]],[3]Mapping!$B$3:$D$37,3,0)</f>
        <v>cashloan</v>
      </c>
      <c r="I4257" s="143">
        <v>179080000</v>
      </c>
    </row>
    <row r="4258" spans="1:9" x14ac:dyDescent="0.2">
      <c r="A4258" s="134">
        <v>45660</v>
      </c>
      <c r="B4258" s="135">
        <f>YEAR(source[[#This Row],[report_date]])</f>
        <v>2025</v>
      </c>
      <c r="C4258" s="128">
        <f t="shared" si="195"/>
        <v>1</v>
      </c>
      <c r="D4258" s="136">
        <f t="shared" si="194"/>
        <v>1</v>
      </c>
      <c r="E4258" s="136">
        <f t="shared" si="196"/>
        <v>3</v>
      </c>
      <c r="F4258" s="137" t="s">
        <v>24</v>
      </c>
      <c r="G4258" s="128" t="str">
        <f>VLOOKUP(source[[#This Row],[lending_product_transform]],[3]Mapping!$B$4:$C$37,2,0)</f>
        <v>[Cake] - Cashloan</v>
      </c>
      <c r="H4258" s="128" t="str">
        <f>VLOOKUP(source[[#This Row],[lending_product_transform]],[3]Mapping!$B$3:$D$37,3,0)</f>
        <v>cashloan</v>
      </c>
      <c r="I4258" s="143">
        <v>301909256</v>
      </c>
    </row>
    <row r="4259" spans="1:9" x14ac:dyDescent="0.2">
      <c r="A4259" s="134">
        <v>45660</v>
      </c>
      <c r="B4259" s="135">
        <f>YEAR(source[[#This Row],[report_date]])</f>
        <v>2025</v>
      </c>
      <c r="C4259" s="128">
        <f t="shared" si="195"/>
        <v>1</v>
      </c>
      <c r="D4259" s="136">
        <f t="shared" si="194"/>
        <v>1</v>
      </c>
      <c r="E4259" s="136">
        <f t="shared" si="196"/>
        <v>3</v>
      </c>
      <c r="F4259" s="137" t="s">
        <v>24</v>
      </c>
      <c r="G4259" s="128" t="str">
        <f>VLOOKUP(source[[#This Row],[lending_product_transform]],[3]Mapping!$B$4:$C$37,2,0)</f>
        <v>[Cake] - Cashloan</v>
      </c>
      <c r="H4259" s="128" t="str">
        <f>VLOOKUP(source[[#This Row],[lending_product_transform]],[3]Mapping!$B$3:$D$37,3,0)</f>
        <v>cashloan</v>
      </c>
      <c r="I4259" s="143">
        <v>4541000000</v>
      </c>
    </row>
    <row r="4260" spans="1:9" x14ac:dyDescent="0.2">
      <c r="A4260" s="134">
        <v>45660</v>
      </c>
      <c r="B4260" s="135">
        <f>YEAR(source[[#This Row],[report_date]])</f>
        <v>2025</v>
      </c>
      <c r="C4260" s="128">
        <f t="shared" si="195"/>
        <v>1</v>
      </c>
      <c r="D4260" s="136">
        <f t="shared" si="194"/>
        <v>1</v>
      </c>
      <c r="E4260" s="136">
        <f t="shared" si="196"/>
        <v>3</v>
      </c>
      <c r="F4260" s="137" t="s">
        <v>24</v>
      </c>
      <c r="G4260" s="128" t="str">
        <f>VLOOKUP(source[[#This Row],[lending_product_transform]],[3]Mapping!$B$4:$C$37,2,0)</f>
        <v>[Cake] - Cashloan</v>
      </c>
      <c r="H4260" s="128" t="str">
        <f>VLOOKUP(source[[#This Row],[lending_product_transform]],[3]Mapping!$B$3:$D$37,3,0)</f>
        <v>cashloan</v>
      </c>
      <c r="I4260" s="143">
        <v>26399467</v>
      </c>
    </row>
    <row r="4261" spans="1:9" x14ac:dyDescent="0.2">
      <c r="A4261" s="134">
        <v>45660</v>
      </c>
      <c r="B4261" s="135">
        <f>YEAR(source[[#This Row],[report_date]])</f>
        <v>2025</v>
      </c>
      <c r="C4261" s="128">
        <f t="shared" si="195"/>
        <v>1</v>
      </c>
      <c r="D4261" s="136">
        <f t="shared" si="194"/>
        <v>1</v>
      </c>
      <c r="E4261" s="136">
        <f t="shared" si="196"/>
        <v>3</v>
      </c>
      <c r="F4261" s="137" t="s">
        <v>24</v>
      </c>
      <c r="G4261" s="128" t="str">
        <f>VLOOKUP(source[[#This Row],[lending_product_transform]],[3]Mapping!$B$4:$C$37,2,0)</f>
        <v>[Cake] - Cashloan</v>
      </c>
      <c r="H4261" s="128" t="str">
        <f>VLOOKUP(source[[#This Row],[lending_product_transform]],[3]Mapping!$B$3:$D$37,3,0)</f>
        <v>cashloan</v>
      </c>
      <c r="I4261" s="143">
        <v>6159700000</v>
      </c>
    </row>
    <row r="4262" spans="1:9" x14ac:dyDescent="0.2">
      <c r="A4262" s="134">
        <v>45660</v>
      </c>
      <c r="B4262" s="135">
        <f>YEAR(source[[#This Row],[report_date]])</f>
        <v>2025</v>
      </c>
      <c r="C4262" s="128">
        <f t="shared" si="195"/>
        <v>1</v>
      </c>
      <c r="D4262" s="136">
        <f t="shared" si="194"/>
        <v>1</v>
      </c>
      <c r="E4262" s="136">
        <f t="shared" si="196"/>
        <v>3</v>
      </c>
      <c r="F4262" s="137" t="s">
        <v>24</v>
      </c>
      <c r="G4262" s="128" t="str">
        <f>VLOOKUP(source[[#This Row],[lending_product_transform]],[3]Mapping!$B$4:$C$37,2,0)</f>
        <v>[Cake] - Cashloan</v>
      </c>
      <c r="H4262" s="128" t="str">
        <f>VLOOKUP(source[[#This Row],[lending_product_transform]],[3]Mapping!$B$3:$D$37,3,0)</f>
        <v>cashloan</v>
      </c>
      <c r="I4262" s="143">
        <v>10700000</v>
      </c>
    </row>
    <row r="4263" spans="1:9" x14ac:dyDescent="0.2">
      <c r="A4263" s="134">
        <v>45660</v>
      </c>
      <c r="B4263" s="135">
        <f>YEAR(source[[#This Row],[report_date]])</f>
        <v>2025</v>
      </c>
      <c r="C4263" s="128">
        <f t="shared" si="195"/>
        <v>1</v>
      </c>
      <c r="D4263" s="136">
        <f t="shared" si="194"/>
        <v>1</v>
      </c>
      <c r="E4263" s="136">
        <f t="shared" si="196"/>
        <v>3</v>
      </c>
      <c r="F4263" s="137" t="s">
        <v>24</v>
      </c>
      <c r="G4263" s="128" t="str">
        <f>VLOOKUP(source[[#This Row],[lending_product_transform]],[3]Mapping!$B$4:$C$37,2,0)</f>
        <v>[Cake] - Cashloan</v>
      </c>
      <c r="H4263" s="128" t="str">
        <f>VLOOKUP(source[[#This Row],[lending_product_transform]],[3]Mapping!$B$3:$D$37,3,0)</f>
        <v>cashloan</v>
      </c>
      <c r="I4263" s="143">
        <v>10700000</v>
      </c>
    </row>
    <row r="4264" spans="1:9" x14ac:dyDescent="0.2">
      <c r="A4264" s="134">
        <v>45660</v>
      </c>
      <c r="B4264" s="135">
        <f>YEAR(source[[#This Row],[report_date]])</f>
        <v>2025</v>
      </c>
      <c r="C4264" s="128">
        <f t="shared" si="195"/>
        <v>1</v>
      </c>
      <c r="D4264" s="136">
        <f t="shared" si="194"/>
        <v>1</v>
      </c>
      <c r="E4264" s="136">
        <f t="shared" si="196"/>
        <v>3</v>
      </c>
      <c r="F4264" s="137" t="s">
        <v>24</v>
      </c>
      <c r="G4264" s="128" t="str">
        <f>VLOOKUP(source[[#This Row],[lending_product_transform]],[3]Mapping!$B$4:$C$37,2,0)</f>
        <v>[Cake] - Cashloan</v>
      </c>
      <c r="H4264" s="128" t="str">
        <f>VLOOKUP(source[[#This Row],[lending_product_transform]],[3]Mapping!$B$3:$D$37,3,0)</f>
        <v>cashloan</v>
      </c>
      <c r="I4264" s="143">
        <v>0</v>
      </c>
    </row>
    <row r="4265" spans="1:9" x14ac:dyDescent="0.2">
      <c r="A4265" s="134">
        <v>45660</v>
      </c>
      <c r="B4265" s="135">
        <f>YEAR(source[[#This Row],[report_date]])</f>
        <v>2025</v>
      </c>
      <c r="C4265" s="128">
        <f t="shared" si="195"/>
        <v>1</v>
      </c>
      <c r="D4265" s="136">
        <f t="shared" si="194"/>
        <v>1</v>
      </c>
      <c r="E4265" s="136">
        <f t="shared" si="196"/>
        <v>3</v>
      </c>
      <c r="F4265" s="137" t="s">
        <v>24</v>
      </c>
      <c r="G4265" s="128" t="str">
        <f>VLOOKUP(source[[#This Row],[lending_product_transform]],[3]Mapping!$B$4:$C$37,2,0)</f>
        <v>[Cake] - Cashloan</v>
      </c>
      <c r="H4265" s="128" t="str">
        <f>VLOOKUP(source[[#This Row],[lending_product_transform]],[3]Mapping!$B$3:$D$37,3,0)</f>
        <v>cashloan</v>
      </c>
      <c r="I4265" s="143">
        <v>170468716</v>
      </c>
    </row>
    <row r="4266" spans="1:9" x14ac:dyDescent="0.2">
      <c r="A4266" s="134">
        <v>45660</v>
      </c>
      <c r="B4266" s="135">
        <f>YEAR(source[[#This Row],[report_date]])</f>
        <v>2025</v>
      </c>
      <c r="C4266" s="128">
        <f t="shared" si="195"/>
        <v>1</v>
      </c>
      <c r="D4266" s="136">
        <f t="shared" si="194"/>
        <v>1</v>
      </c>
      <c r="E4266" s="136">
        <f t="shared" si="196"/>
        <v>3</v>
      </c>
      <c r="F4266" s="137" t="s">
        <v>24</v>
      </c>
      <c r="G4266" s="128" t="str">
        <f>VLOOKUP(source[[#This Row],[lending_product_transform]],[3]Mapping!$B$4:$C$37,2,0)</f>
        <v>[Cake] - Cashloan</v>
      </c>
      <c r="H4266" s="128" t="str">
        <f>VLOOKUP(source[[#This Row],[lending_product_transform]],[3]Mapping!$B$3:$D$37,3,0)</f>
        <v>cashloan</v>
      </c>
      <c r="I4266" s="143">
        <v>0</v>
      </c>
    </row>
    <row r="4267" spans="1:9" x14ac:dyDescent="0.2">
      <c r="A4267" s="134">
        <v>45660</v>
      </c>
      <c r="B4267" s="135">
        <f>YEAR(source[[#This Row],[report_date]])</f>
        <v>2025</v>
      </c>
      <c r="C4267" s="128">
        <f t="shared" si="195"/>
        <v>1</v>
      </c>
      <c r="D4267" s="136">
        <f t="shared" si="194"/>
        <v>1</v>
      </c>
      <c r="E4267" s="136">
        <f t="shared" si="196"/>
        <v>3</v>
      </c>
      <c r="F4267" s="137" t="s">
        <v>24</v>
      </c>
      <c r="G4267" s="128" t="str">
        <f>VLOOKUP(source[[#This Row],[lending_product_transform]],[3]Mapping!$B$4:$C$37,2,0)</f>
        <v>[Cake] - Cashloan</v>
      </c>
      <c r="H4267" s="128" t="str">
        <f>VLOOKUP(source[[#This Row],[lending_product_transform]],[3]Mapping!$B$3:$D$37,3,0)</f>
        <v>cashloan</v>
      </c>
      <c r="I4267" s="143">
        <v>512270000</v>
      </c>
    </row>
    <row r="4268" spans="1:9" x14ac:dyDescent="0.2">
      <c r="A4268" s="134">
        <v>45660</v>
      </c>
      <c r="B4268" s="135">
        <f>YEAR(source[[#This Row],[report_date]])</f>
        <v>2025</v>
      </c>
      <c r="C4268" s="128">
        <f t="shared" si="195"/>
        <v>1</v>
      </c>
      <c r="D4268" s="136">
        <f t="shared" si="194"/>
        <v>1</v>
      </c>
      <c r="E4268" s="136">
        <f t="shared" si="196"/>
        <v>3</v>
      </c>
      <c r="F4268" s="137" t="s">
        <v>24</v>
      </c>
      <c r="G4268" s="128" t="str">
        <f>VLOOKUP(source[[#This Row],[lending_product_transform]],[3]Mapping!$B$4:$C$37,2,0)</f>
        <v>[Cake] - Cashloan</v>
      </c>
      <c r="H4268" s="128" t="str">
        <f>VLOOKUP(source[[#This Row],[lending_product_transform]],[3]Mapping!$B$3:$D$37,3,0)</f>
        <v>cashloan</v>
      </c>
      <c r="I4268" s="143">
        <v>0</v>
      </c>
    </row>
    <row r="4269" spans="1:9" x14ac:dyDescent="0.2">
      <c r="A4269" s="134">
        <v>45660</v>
      </c>
      <c r="B4269" s="135">
        <f>YEAR(source[[#This Row],[report_date]])</f>
        <v>2025</v>
      </c>
      <c r="C4269" s="128">
        <f t="shared" si="195"/>
        <v>1</v>
      </c>
      <c r="D4269" s="136">
        <f t="shared" si="194"/>
        <v>1</v>
      </c>
      <c r="E4269" s="136">
        <f t="shared" si="196"/>
        <v>3</v>
      </c>
      <c r="F4269" s="137" t="s">
        <v>24</v>
      </c>
      <c r="G4269" s="128" t="str">
        <f>VLOOKUP(source[[#This Row],[lending_product_transform]],[3]Mapping!$B$4:$C$37,2,0)</f>
        <v>[Cake] - Cashloan</v>
      </c>
      <c r="H4269" s="128" t="str">
        <f>VLOOKUP(source[[#This Row],[lending_product_transform]],[3]Mapping!$B$3:$D$37,3,0)</f>
        <v>cashloan</v>
      </c>
      <c r="I4269" s="143">
        <v>0</v>
      </c>
    </row>
    <row r="4270" spans="1:9" x14ac:dyDescent="0.2">
      <c r="A4270" s="134">
        <v>45660</v>
      </c>
      <c r="B4270" s="135">
        <f>YEAR(source[[#This Row],[report_date]])</f>
        <v>2025</v>
      </c>
      <c r="C4270" s="128">
        <f t="shared" si="195"/>
        <v>1</v>
      </c>
      <c r="D4270" s="136">
        <f t="shared" si="194"/>
        <v>1</v>
      </c>
      <c r="E4270" s="136">
        <f t="shared" si="196"/>
        <v>3</v>
      </c>
      <c r="F4270" s="137" t="s">
        <v>24</v>
      </c>
      <c r="G4270" s="128" t="str">
        <f>VLOOKUP(source[[#This Row],[lending_product_transform]],[3]Mapping!$B$4:$C$37,2,0)</f>
        <v>[Cake] - Cashloan</v>
      </c>
      <c r="H4270" s="128" t="str">
        <f>VLOOKUP(source[[#This Row],[lending_product_transform]],[3]Mapping!$B$3:$D$37,3,0)</f>
        <v>cashloan</v>
      </c>
      <c r="I4270" s="143">
        <v>5723110000</v>
      </c>
    </row>
    <row r="4271" spans="1:9" x14ac:dyDescent="0.2">
      <c r="A4271" s="134">
        <v>45660</v>
      </c>
      <c r="B4271" s="135">
        <f>YEAR(source[[#This Row],[report_date]])</f>
        <v>2025</v>
      </c>
      <c r="C4271" s="128">
        <f t="shared" si="195"/>
        <v>1</v>
      </c>
      <c r="D4271" s="136">
        <f t="shared" si="194"/>
        <v>1</v>
      </c>
      <c r="E4271" s="136">
        <f t="shared" si="196"/>
        <v>3</v>
      </c>
      <c r="F4271" s="137" t="s">
        <v>24</v>
      </c>
      <c r="G4271" s="128" t="str">
        <f>VLOOKUP(source[[#This Row],[lending_product_transform]],[3]Mapping!$B$4:$C$37,2,0)</f>
        <v>[Cake] - Cashloan</v>
      </c>
      <c r="H4271" s="128" t="str">
        <f>VLOOKUP(source[[#This Row],[lending_product_transform]],[3]Mapping!$B$3:$D$37,3,0)</f>
        <v>cashloan</v>
      </c>
      <c r="I4271" s="143">
        <v>11000000</v>
      </c>
    </row>
    <row r="4272" spans="1:9" x14ac:dyDescent="0.2">
      <c r="A4272" s="134">
        <v>45661</v>
      </c>
      <c r="B4272" s="135">
        <f>YEAR(source[[#This Row],[report_date]])</f>
        <v>2025</v>
      </c>
      <c r="C4272" s="128">
        <f t="shared" si="195"/>
        <v>1</v>
      </c>
      <c r="D4272" s="136">
        <f t="shared" si="194"/>
        <v>1</v>
      </c>
      <c r="E4272" s="136">
        <f t="shared" si="196"/>
        <v>4</v>
      </c>
      <c r="F4272" s="137" t="s">
        <v>24</v>
      </c>
      <c r="G4272" s="128" t="str">
        <f>VLOOKUP(source[[#This Row],[lending_product_transform]],[3]Mapping!$B$4:$C$37,2,0)</f>
        <v>[Cake] - Cashloan</v>
      </c>
      <c r="H4272" s="128" t="str">
        <f>VLOOKUP(source[[#This Row],[lending_product_transform]],[3]Mapping!$B$3:$D$37,3,0)</f>
        <v>cashloan</v>
      </c>
      <c r="I4272" s="143">
        <v>10700000</v>
      </c>
    </row>
    <row r="4273" spans="1:9" x14ac:dyDescent="0.2">
      <c r="A4273" s="134">
        <v>45661</v>
      </c>
      <c r="B4273" s="135">
        <f>YEAR(source[[#This Row],[report_date]])</f>
        <v>2025</v>
      </c>
      <c r="C4273" s="128">
        <f t="shared" si="195"/>
        <v>1</v>
      </c>
      <c r="D4273" s="136">
        <f t="shared" si="194"/>
        <v>1</v>
      </c>
      <c r="E4273" s="136">
        <f t="shared" si="196"/>
        <v>4</v>
      </c>
      <c r="F4273" s="137" t="s">
        <v>24</v>
      </c>
      <c r="G4273" s="128" t="str">
        <f>VLOOKUP(source[[#This Row],[lending_product_transform]],[3]Mapping!$B$4:$C$37,2,0)</f>
        <v>[Cake] - Cashloan</v>
      </c>
      <c r="H4273" s="128" t="str">
        <f>VLOOKUP(source[[#This Row],[lending_product_transform]],[3]Mapping!$B$3:$D$37,3,0)</f>
        <v>cashloan</v>
      </c>
      <c r="I4273" s="143">
        <v>35500547</v>
      </c>
    </row>
    <row r="4274" spans="1:9" x14ac:dyDescent="0.2">
      <c r="A4274" s="134">
        <v>45661</v>
      </c>
      <c r="B4274" s="135">
        <f>YEAR(source[[#This Row],[report_date]])</f>
        <v>2025</v>
      </c>
      <c r="C4274" s="128">
        <f t="shared" si="195"/>
        <v>1</v>
      </c>
      <c r="D4274" s="136">
        <f t="shared" si="194"/>
        <v>1</v>
      </c>
      <c r="E4274" s="136">
        <f t="shared" si="196"/>
        <v>4</v>
      </c>
      <c r="F4274" s="137" t="s">
        <v>24</v>
      </c>
      <c r="G4274" s="128" t="str">
        <f>VLOOKUP(source[[#This Row],[lending_product_transform]],[3]Mapping!$B$4:$C$37,2,0)</f>
        <v>[Cake] - Cashloan</v>
      </c>
      <c r="H4274" s="128" t="str">
        <f>VLOOKUP(source[[#This Row],[lending_product_transform]],[3]Mapping!$B$3:$D$37,3,0)</f>
        <v>cashloan</v>
      </c>
      <c r="I4274" s="143">
        <v>0</v>
      </c>
    </row>
    <row r="4275" spans="1:9" x14ac:dyDescent="0.2">
      <c r="A4275" s="134">
        <v>45661</v>
      </c>
      <c r="B4275" s="135">
        <f>YEAR(source[[#This Row],[report_date]])</f>
        <v>2025</v>
      </c>
      <c r="C4275" s="128">
        <f t="shared" si="195"/>
        <v>1</v>
      </c>
      <c r="D4275" s="136">
        <f t="shared" si="194"/>
        <v>1</v>
      </c>
      <c r="E4275" s="136">
        <f t="shared" si="196"/>
        <v>4</v>
      </c>
      <c r="F4275" s="137" t="s">
        <v>24</v>
      </c>
      <c r="G4275" s="128" t="str">
        <f>VLOOKUP(source[[#This Row],[lending_product_transform]],[3]Mapping!$B$4:$C$37,2,0)</f>
        <v>[Cake] - Cashloan</v>
      </c>
      <c r="H4275" s="128" t="str">
        <f>VLOOKUP(source[[#This Row],[lending_product_transform]],[3]Mapping!$B$3:$D$37,3,0)</f>
        <v>cashloan</v>
      </c>
      <c r="I4275" s="143">
        <v>0</v>
      </c>
    </row>
    <row r="4276" spans="1:9" x14ac:dyDescent="0.2">
      <c r="A4276" s="134">
        <v>45661</v>
      </c>
      <c r="B4276" s="135">
        <f>YEAR(source[[#This Row],[report_date]])</f>
        <v>2025</v>
      </c>
      <c r="C4276" s="128">
        <f t="shared" si="195"/>
        <v>1</v>
      </c>
      <c r="D4276" s="136">
        <f t="shared" si="194"/>
        <v>1</v>
      </c>
      <c r="E4276" s="136">
        <f t="shared" si="196"/>
        <v>4</v>
      </c>
      <c r="F4276" s="137" t="s">
        <v>24</v>
      </c>
      <c r="G4276" s="128" t="str">
        <f>VLOOKUP(source[[#This Row],[lending_product_transform]],[3]Mapping!$B$4:$C$37,2,0)</f>
        <v>[Cake] - Cashloan</v>
      </c>
      <c r="H4276" s="128" t="str">
        <f>VLOOKUP(source[[#This Row],[lending_product_transform]],[3]Mapping!$B$3:$D$37,3,0)</f>
        <v>cashloan</v>
      </c>
      <c r="I4276" s="143">
        <v>549570000</v>
      </c>
    </row>
    <row r="4277" spans="1:9" x14ac:dyDescent="0.2">
      <c r="A4277" s="134">
        <v>45661</v>
      </c>
      <c r="B4277" s="135">
        <f>YEAR(source[[#This Row],[report_date]])</f>
        <v>2025</v>
      </c>
      <c r="C4277" s="128">
        <f t="shared" si="195"/>
        <v>1</v>
      </c>
      <c r="D4277" s="136">
        <f t="shared" si="194"/>
        <v>1</v>
      </c>
      <c r="E4277" s="136">
        <f t="shared" si="196"/>
        <v>4</v>
      </c>
      <c r="F4277" s="137" t="s">
        <v>24</v>
      </c>
      <c r="G4277" s="128" t="str">
        <f>VLOOKUP(source[[#This Row],[lending_product_transform]],[3]Mapping!$B$4:$C$37,2,0)</f>
        <v>[Cake] - Cashloan</v>
      </c>
      <c r="H4277" s="128" t="str">
        <f>VLOOKUP(source[[#This Row],[lending_product_transform]],[3]Mapping!$B$3:$D$37,3,0)</f>
        <v>cashloan</v>
      </c>
      <c r="I4277" s="143">
        <v>240833408</v>
      </c>
    </row>
    <row r="4278" spans="1:9" x14ac:dyDescent="0.2">
      <c r="A4278" s="134">
        <v>45661</v>
      </c>
      <c r="B4278" s="135">
        <f>YEAR(source[[#This Row],[report_date]])</f>
        <v>2025</v>
      </c>
      <c r="C4278" s="128">
        <f t="shared" si="195"/>
        <v>1</v>
      </c>
      <c r="D4278" s="136">
        <f t="shared" si="194"/>
        <v>1</v>
      </c>
      <c r="E4278" s="136">
        <f t="shared" si="196"/>
        <v>4</v>
      </c>
      <c r="F4278" s="137" t="s">
        <v>24</v>
      </c>
      <c r="G4278" s="128" t="str">
        <f>VLOOKUP(source[[#This Row],[lending_product_transform]],[3]Mapping!$B$4:$C$37,2,0)</f>
        <v>[Cake] - Cashloan</v>
      </c>
      <c r="H4278" s="128" t="str">
        <f>VLOOKUP(source[[#This Row],[lending_product_transform]],[3]Mapping!$B$3:$D$37,3,0)</f>
        <v>cashloan</v>
      </c>
      <c r="I4278" s="143">
        <v>4558500000</v>
      </c>
    </row>
    <row r="4279" spans="1:9" x14ac:dyDescent="0.2">
      <c r="A4279" s="134">
        <v>45661</v>
      </c>
      <c r="B4279" s="135">
        <f>YEAR(source[[#This Row],[report_date]])</f>
        <v>2025</v>
      </c>
      <c r="C4279" s="128">
        <f t="shared" si="195"/>
        <v>1</v>
      </c>
      <c r="D4279" s="136">
        <f t="shared" si="194"/>
        <v>1</v>
      </c>
      <c r="E4279" s="136">
        <f t="shared" si="196"/>
        <v>4</v>
      </c>
      <c r="F4279" s="137" t="s">
        <v>24</v>
      </c>
      <c r="G4279" s="128" t="str">
        <f>VLOOKUP(source[[#This Row],[lending_product_transform]],[3]Mapping!$B$4:$C$37,2,0)</f>
        <v>[Cake] - Cashloan</v>
      </c>
      <c r="H4279" s="128" t="str">
        <f>VLOOKUP(source[[#This Row],[lending_product_transform]],[3]Mapping!$B$3:$D$37,3,0)</f>
        <v>cashloan</v>
      </c>
      <c r="I4279" s="143">
        <v>449637181</v>
      </c>
    </row>
    <row r="4280" spans="1:9" x14ac:dyDescent="0.2">
      <c r="A4280" s="134">
        <v>45661</v>
      </c>
      <c r="B4280" s="135">
        <f>YEAR(source[[#This Row],[report_date]])</f>
        <v>2025</v>
      </c>
      <c r="C4280" s="128">
        <f t="shared" si="195"/>
        <v>1</v>
      </c>
      <c r="D4280" s="136">
        <f t="shared" si="194"/>
        <v>1</v>
      </c>
      <c r="E4280" s="136">
        <f t="shared" si="196"/>
        <v>4</v>
      </c>
      <c r="F4280" s="137" t="s">
        <v>24</v>
      </c>
      <c r="G4280" s="128" t="str">
        <f>VLOOKUP(source[[#This Row],[lending_product_transform]],[3]Mapping!$B$4:$C$37,2,0)</f>
        <v>[Cake] - Cashloan</v>
      </c>
      <c r="H4280" s="128" t="str">
        <f>VLOOKUP(source[[#This Row],[lending_product_transform]],[3]Mapping!$B$3:$D$37,3,0)</f>
        <v>cashloan</v>
      </c>
      <c r="I4280" s="143">
        <v>26000000</v>
      </c>
    </row>
    <row r="4281" spans="1:9" x14ac:dyDescent="0.2">
      <c r="A4281" s="134">
        <v>45661</v>
      </c>
      <c r="B4281" s="135">
        <f>YEAR(source[[#This Row],[report_date]])</f>
        <v>2025</v>
      </c>
      <c r="C4281" s="128">
        <f t="shared" si="195"/>
        <v>1</v>
      </c>
      <c r="D4281" s="136">
        <f t="shared" si="194"/>
        <v>1</v>
      </c>
      <c r="E4281" s="136">
        <f t="shared" si="196"/>
        <v>4</v>
      </c>
      <c r="F4281" s="137" t="s">
        <v>24</v>
      </c>
      <c r="G4281" s="128" t="str">
        <f>VLOOKUP(source[[#This Row],[lending_product_transform]],[3]Mapping!$B$4:$C$37,2,0)</f>
        <v>[Cake] - Cashloan</v>
      </c>
      <c r="H4281" s="128" t="str">
        <f>VLOOKUP(source[[#This Row],[lending_product_transform]],[3]Mapping!$B$3:$D$37,3,0)</f>
        <v>cashloan</v>
      </c>
      <c r="I4281" s="143">
        <v>21000000</v>
      </c>
    </row>
    <row r="4282" spans="1:9" x14ac:dyDescent="0.2">
      <c r="A4282" s="134">
        <v>45661</v>
      </c>
      <c r="B4282" s="135">
        <f>YEAR(source[[#This Row],[report_date]])</f>
        <v>2025</v>
      </c>
      <c r="C4282" s="128">
        <f t="shared" si="195"/>
        <v>1</v>
      </c>
      <c r="D4282" s="136">
        <f t="shared" si="194"/>
        <v>1</v>
      </c>
      <c r="E4282" s="136">
        <f t="shared" si="196"/>
        <v>4</v>
      </c>
      <c r="F4282" s="137" t="s">
        <v>24</v>
      </c>
      <c r="G4282" s="128" t="str">
        <f>VLOOKUP(source[[#This Row],[lending_product_transform]],[3]Mapping!$B$4:$C$37,2,0)</f>
        <v>[Cake] - Cashloan</v>
      </c>
      <c r="H4282" s="128" t="str">
        <f>VLOOKUP(source[[#This Row],[lending_product_transform]],[3]Mapping!$B$3:$D$37,3,0)</f>
        <v>cashloan</v>
      </c>
      <c r="I4282" s="143">
        <v>0</v>
      </c>
    </row>
    <row r="4283" spans="1:9" x14ac:dyDescent="0.2">
      <c r="A4283" s="134">
        <v>45661</v>
      </c>
      <c r="B4283" s="135">
        <f>YEAR(source[[#This Row],[report_date]])</f>
        <v>2025</v>
      </c>
      <c r="C4283" s="128">
        <f t="shared" si="195"/>
        <v>1</v>
      </c>
      <c r="D4283" s="136">
        <f t="shared" si="194"/>
        <v>1</v>
      </c>
      <c r="E4283" s="136">
        <f t="shared" si="196"/>
        <v>4</v>
      </c>
      <c r="F4283" s="137" t="s">
        <v>24</v>
      </c>
      <c r="G4283" s="128" t="str">
        <f>VLOOKUP(source[[#This Row],[lending_product_transform]],[3]Mapping!$B$4:$C$37,2,0)</f>
        <v>[Cake] - Cashloan</v>
      </c>
      <c r="H4283" s="128" t="str">
        <f>VLOOKUP(source[[#This Row],[lending_product_transform]],[3]Mapping!$B$3:$D$37,3,0)</f>
        <v>cashloan</v>
      </c>
      <c r="I4283" s="143">
        <v>257160000</v>
      </c>
    </row>
    <row r="4284" spans="1:9" x14ac:dyDescent="0.2">
      <c r="A4284" s="134">
        <v>45661</v>
      </c>
      <c r="B4284" s="135">
        <f>YEAR(source[[#This Row],[report_date]])</f>
        <v>2025</v>
      </c>
      <c r="C4284" s="128">
        <f t="shared" si="195"/>
        <v>1</v>
      </c>
      <c r="D4284" s="136">
        <f t="shared" si="194"/>
        <v>1</v>
      </c>
      <c r="E4284" s="136">
        <f t="shared" si="196"/>
        <v>4</v>
      </c>
      <c r="F4284" s="137" t="s">
        <v>24</v>
      </c>
      <c r="G4284" s="128" t="str">
        <f>VLOOKUP(source[[#This Row],[lending_product_transform]],[3]Mapping!$B$4:$C$37,2,0)</f>
        <v>[Cake] - Cashloan</v>
      </c>
      <c r="H4284" s="128" t="str">
        <f>VLOOKUP(source[[#This Row],[lending_product_transform]],[3]Mapping!$B$3:$D$37,3,0)</f>
        <v>cashloan</v>
      </c>
      <c r="I4284" s="143">
        <v>553954292</v>
      </c>
    </row>
    <row r="4285" spans="1:9" x14ac:dyDescent="0.2">
      <c r="A4285" s="134">
        <v>45661</v>
      </c>
      <c r="B4285" s="135">
        <f>YEAR(source[[#This Row],[report_date]])</f>
        <v>2025</v>
      </c>
      <c r="C4285" s="128">
        <f t="shared" si="195"/>
        <v>1</v>
      </c>
      <c r="D4285" s="136">
        <f t="shared" si="194"/>
        <v>1</v>
      </c>
      <c r="E4285" s="136">
        <f t="shared" si="196"/>
        <v>4</v>
      </c>
      <c r="F4285" s="137" t="s">
        <v>24</v>
      </c>
      <c r="G4285" s="128" t="str">
        <f>VLOOKUP(source[[#This Row],[lending_product_transform]],[3]Mapping!$B$4:$C$37,2,0)</f>
        <v>[Cake] - Cashloan</v>
      </c>
      <c r="H4285" s="128" t="str">
        <f>VLOOKUP(source[[#This Row],[lending_product_transform]],[3]Mapping!$B$3:$D$37,3,0)</f>
        <v>cashloan</v>
      </c>
      <c r="I4285" s="143">
        <v>5643960000</v>
      </c>
    </row>
    <row r="4286" spans="1:9" x14ac:dyDescent="0.2">
      <c r="A4286" s="134">
        <v>45661</v>
      </c>
      <c r="B4286" s="135">
        <f>YEAR(source[[#This Row],[report_date]])</f>
        <v>2025</v>
      </c>
      <c r="C4286" s="128">
        <f t="shared" si="195"/>
        <v>1</v>
      </c>
      <c r="D4286" s="136">
        <f t="shared" si="194"/>
        <v>1</v>
      </c>
      <c r="E4286" s="136">
        <f t="shared" si="196"/>
        <v>4</v>
      </c>
      <c r="F4286" s="137" t="s">
        <v>24</v>
      </c>
      <c r="G4286" s="128" t="str">
        <f>VLOOKUP(source[[#This Row],[lending_product_transform]],[3]Mapping!$B$4:$C$37,2,0)</f>
        <v>[Cake] - Cashloan</v>
      </c>
      <c r="H4286" s="128" t="str">
        <f>VLOOKUP(source[[#This Row],[lending_product_transform]],[3]Mapping!$B$3:$D$37,3,0)</f>
        <v>cashloan</v>
      </c>
      <c r="I4286" s="143">
        <v>5456720000</v>
      </c>
    </row>
    <row r="4287" spans="1:9" x14ac:dyDescent="0.2">
      <c r="A4287" s="134">
        <v>45661</v>
      </c>
      <c r="B4287" s="135">
        <f>YEAR(source[[#This Row],[report_date]])</f>
        <v>2025</v>
      </c>
      <c r="C4287" s="128">
        <f t="shared" si="195"/>
        <v>1</v>
      </c>
      <c r="D4287" s="136">
        <f t="shared" si="194"/>
        <v>1</v>
      </c>
      <c r="E4287" s="136">
        <f t="shared" si="196"/>
        <v>4</v>
      </c>
      <c r="F4287" s="137" t="s">
        <v>24</v>
      </c>
      <c r="G4287" s="128" t="str">
        <f>VLOOKUP(source[[#This Row],[lending_product_transform]],[3]Mapping!$B$4:$C$37,2,0)</f>
        <v>[Cake] - Cashloan</v>
      </c>
      <c r="H4287" s="128" t="str">
        <f>VLOOKUP(source[[#This Row],[lending_product_transform]],[3]Mapping!$B$3:$D$37,3,0)</f>
        <v>cashloan</v>
      </c>
      <c r="I4287" s="143">
        <v>4028235805</v>
      </c>
    </row>
    <row r="4288" spans="1:9" x14ac:dyDescent="0.2">
      <c r="A4288" s="134">
        <v>45661</v>
      </c>
      <c r="B4288" s="135">
        <f>YEAR(source[[#This Row],[report_date]])</f>
        <v>2025</v>
      </c>
      <c r="C4288" s="128">
        <f t="shared" si="195"/>
        <v>1</v>
      </c>
      <c r="D4288" s="136">
        <f t="shared" si="194"/>
        <v>1</v>
      </c>
      <c r="E4288" s="136">
        <f t="shared" si="196"/>
        <v>4</v>
      </c>
      <c r="F4288" s="137" t="s">
        <v>24</v>
      </c>
      <c r="G4288" s="128" t="str">
        <f>VLOOKUP(source[[#This Row],[lending_product_transform]],[3]Mapping!$B$4:$C$37,2,0)</f>
        <v>[Cake] - Cashloan</v>
      </c>
      <c r="H4288" s="128" t="str">
        <f>VLOOKUP(source[[#This Row],[lending_product_transform]],[3]Mapping!$B$3:$D$37,3,0)</f>
        <v>cashloan</v>
      </c>
      <c r="I4288" s="143">
        <v>0</v>
      </c>
    </row>
    <row r="4289" spans="1:9" x14ac:dyDescent="0.2">
      <c r="A4289" s="134">
        <v>45661</v>
      </c>
      <c r="B4289" s="135">
        <f>YEAR(source[[#This Row],[report_date]])</f>
        <v>2025</v>
      </c>
      <c r="C4289" s="128">
        <f t="shared" si="195"/>
        <v>1</v>
      </c>
      <c r="D4289" s="136">
        <f t="shared" si="194"/>
        <v>1</v>
      </c>
      <c r="E4289" s="136">
        <f t="shared" si="196"/>
        <v>4</v>
      </c>
      <c r="F4289" s="137" t="s">
        <v>24</v>
      </c>
      <c r="G4289" s="128" t="str">
        <f>VLOOKUP(source[[#This Row],[lending_product_transform]],[3]Mapping!$B$4:$C$37,2,0)</f>
        <v>[Cake] - Cashloan</v>
      </c>
      <c r="H4289" s="128" t="str">
        <f>VLOOKUP(source[[#This Row],[lending_product_transform]],[3]Mapping!$B$3:$D$37,3,0)</f>
        <v>cashloan</v>
      </c>
      <c r="I4289" s="143">
        <v>0</v>
      </c>
    </row>
    <row r="4290" spans="1:9" x14ac:dyDescent="0.2">
      <c r="A4290" s="134">
        <v>45662</v>
      </c>
      <c r="B4290" s="135">
        <f>YEAR(source[[#This Row],[report_date]])</f>
        <v>2025</v>
      </c>
      <c r="C4290" s="128">
        <f t="shared" si="195"/>
        <v>1</v>
      </c>
      <c r="D4290" s="136">
        <f t="shared" si="194"/>
        <v>1</v>
      </c>
      <c r="E4290" s="136">
        <f t="shared" si="196"/>
        <v>5</v>
      </c>
      <c r="F4290" s="137" t="s">
        <v>24</v>
      </c>
      <c r="G4290" s="128" t="str">
        <f>VLOOKUP(source[[#This Row],[lending_product_transform]],[3]Mapping!$B$4:$C$37,2,0)</f>
        <v>[Cake] - Cashloan</v>
      </c>
      <c r="H4290" s="128" t="str">
        <f>VLOOKUP(source[[#This Row],[lending_product_transform]],[3]Mapping!$B$3:$D$37,3,0)</f>
        <v>cashloan</v>
      </c>
      <c r="I4290" s="143">
        <v>53722328</v>
      </c>
    </row>
    <row r="4291" spans="1:9" x14ac:dyDescent="0.2">
      <c r="A4291" s="134">
        <v>45662</v>
      </c>
      <c r="B4291" s="135">
        <f>YEAR(source[[#This Row],[report_date]])</f>
        <v>2025</v>
      </c>
      <c r="C4291" s="128">
        <f t="shared" si="195"/>
        <v>1</v>
      </c>
      <c r="D4291" s="136">
        <f t="shared" ref="D4291:D4354" si="197">WEEKNUM(A4291,2)</f>
        <v>1</v>
      </c>
      <c r="E4291" s="136">
        <f t="shared" si="196"/>
        <v>5</v>
      </c>
      <c r="F4291" s="137" t="s">
        <v>24</v>
      </c>
      <c r="G4291" s="128" t="str">
        <f>VLOOKUP(source[[#This Row],[lending_product_transform]],[3]Mapping!$B$4:$C$37,2,0)</f>
        <v>[Cake] - Cashloan</v>
      </c>
      <c r="H4291" s="128" t="str">
        <f>VLOOKUP(source[[#This Row],[lending_product_transform]],[3]Mapping!$B$3:$D$37,3,0)</f>
        <v>cashloan</v>
      </c>
      <c r="I4291" s="143">
        <v>5412630000</v>
      </c>
    </row>
    <row r="4292" spans="1:9" x14ac:dyDescent="0.2">
      <c r="A4292" s="134">
        <v>45662</v>
      </c>
      <c r="B4292" s="135">
        <f>YEAR(source[[#This Row],[report_date]])</f>
        <v>2025</v>
      </c>
      <c r="C4292" s="128">
        <f t="shared" si="195"/>
        <v>1</v>
      </c>
      <c r="D4292" s="136">
        <f t="shared" si="197"/>
        <v>1</v>
      </c>
      <c r="E4292" s="136">
        <f t="shared" si="196"/>
        <v>5</v>
      </c>
      <c r="F4292" s="137" t="s">
        <v>24</v>
      </c>
      <c r="G4292" s="128" t="str">
        <f>VLOOKUP(source[[#This Row],[lending_product_transform]],[3]Mapping!$B$4:$C$37,2,0)</f>
        <v>[Cake] - Cashloan</v>
      </c>
      <c r="H4292" s="128" t="str">
        <f>VLOOKUP(source[[#This Row],[lending_product_transform]],[3]Mapping!$B$3:$D$37,3,0)</f>
        <v>cashloan</v>
      </c>
      <c r="I4292" s="143">
        <v>0</v>
      </c>
    </row>
    <row r="4293" spans="1:9" x14ac:dyDescent="0.2">
      <c r="A4293" s="134">
        <v>45662</v>
      </c>
      <c r="B4293" s="135">
        <f>YEAR(source[[#This Row],[report_date]])</f>
        <v>2025</v>
      </c>
      <c r="C4293" s="128">
        <f t="shared" si="195"/>
        <v>1</v>
      </c>
      <c r="D4293" s="136">
        <f t="shared" si="197"/>
        <v>1</v>
      </c>
      <c r="E4293" s="136">
        <f t="shared" si="196"/>
        <v>5</v>
      </c>
      <c r="F4293" s="137" t="s">
        <v>24</v>
      </c>
      <c r="G4293" s="128" t="str">
        <f>VLOOKUP(source[[#This Row],[lending_product_transform]],[3]Mapping!$B$4:$C$37,2,0)</f>
        <v>[Cake] - Cashloan</v>
      </c>
      <c r="H4293" s="128" t="str">
        <f>VLOOKUP(source[[#This Row],[lending_product_transform]],[3]Mapping!$B$3:$D$37,3,0)</f>
        <v>cashloan</v>
      </c>
      <c r="I4293" s="143">
        <v>22000000</v>
      </c>
    </row>
    <row r="4294" spans="1:9" x14ac:dyDescent="0.2">
      <c r="A4294" s="134">
        <v>45662</v>
      </c>
      <c r="B4294" s="135">
        <f>YEAR(source[[#This Row],[report_date]])</f>
        <v>2025</v>
      </c>
      <c r="C4294" s="128">
        <f t="shared" si="195"/>
        <v>1</v>
      </c>
      <c r="D4294" s="136">
        <f t="shared" si="197"/>
        <v>1</v>
      </c>
      <c r="E4294" s="136">
        <f t="shared" si="196"/>
        <v>5</v>
      </c>
      <c r="F4294" s="137" t="s">
        <v>24</v>
      </c>
      <c r="G4294" s="128" t="str">
        <f>VLOOKUP(source[[#This Row],[lending_product_transform]],[3]Mapping!$B$4:$C$37,2,0)</f>
        <v>[Cake] - Cashloan</v>
      </c>
      <c r="H4294" s="128" t="str">
        <f>VLOOKUP(source[[#This Row],[lending_product_transform]],[3]Mapping!$B$3:$D$37,3,0)</f>
        <v>cashloan</v>
      </c>
      <c r="I4294" s="143">
        <v>482790000</v>
      </c>
    </row>
    <row r="4295" spans="1:9" x14ac:dyDescent="0.2">
      <c r="A4295" s="134">
        <v>45662</v>
      </c>
      <c r="B4295" s="135">
        <f>YEAR(source[[#This Row],[report_date]])</f>
        <v>2025</v>
      </c>
      <c r="C4295" s="128">
        <f t="shared" si="195"/>
        <v>1</v>
      </c>
      <c r="D4295" s="136">
        <f t="shared" si="197"/>
        <v>1</v>
      </c>
      <c r="E4295" s="136">
        <f t="shared" si="196"/>
        <v>5</v>
      </c>
      <c r="F4295" s="137" t="s">
        <v>24</v>
      </c>
      <c r="G4295" s="128" t="str">
        <f>VLOOKUP(source[[#This Row],[lending_product_transform]],[3]Mapping!$B$4:$C$37,2,0)</f>
        <v>[Cake] - Cashloan</v>
      </c>
      <c r="H4295" s="128" t="str">
        <f>VLOOKUP(source[[#This Row],[lending_product_transform]],[3]Mapping!$B$3:$D$37,3,0)</f>
        <v>cashloan</v>
      </c>
      <c r="I4295" s="143">
        <v>4162176090</v>
      </c>
    </row>
    <row r="4296" spans="1:9" x14ac:dyDescent="0.2">
      <c r="A4296" s="134">
        <v>45662</v>
      </c>
      <c r="B4296" s="135">
        <f>YEAR(source[[#This Row],[report_date]])</f>
        <v>2025</v>
      </c>
      <c r="C4296" s="128">
        <f t="shared" si="195"/>
        <v>1</v>
      </c>
      <c r="D4296" s="136">
        <f t="shared" si="197"/>
        <v>1</v>
      </c>
      <c r="E4296" s="136">
        <f t="shared" si="196"/>
        <v>5</v>
      </c>
      <c r="F4296" s="137" t="s">
        <v>24</v>
      </c>
      <c r="G4296" s="128" t="str">
        <f>VLOOKUP(source[[#This Row],[lending_product_transform]],[3]Mapping!$B$4:$C$37,2,0)</f>
        <v>[Cake] - Cashloan</v>
      </c>
      <c r="H4296" s="128" t="str">
        <f>VLOOKUP(source[[#This Row],[lending_product_transform]],[3]Mapping!$B$3:$D$37,3,0)</f>
        <v>cashloan</v>
      </c>
      <c r="I4296" s="143">
        <v>20000000</v>
      </c>
    </row>
    <row r="4297" spans="1:9" x14ac:dyDescent="0.2">
      <c r="A4297" s="134">
        <v>45662</v>
      </c>
      <c r="B4297" s="135">
        <f>YEAR(source[[#This Row],[report_date]])</f>
        <v>2025</v>
      </c>
      <c r="C4297" s="128">
        <f t="shared" si="195"/>
        <v>1</v>
      </c>
      <c r="D4297" s="136">
        <f t="shared" si="197"/>
        <v>1</v>
      </c>
      <c r="E4297" s="136">
        <f t="shared" si="196"/>
        <v>5</v>
      </c>
      <c r="F4297" s="137" t="s">
        <v>24</v>
      </c>
      <c r="G4297" s="128" t="str">
        <f>VLOOKUP(source[[#This Row],[lending_product_transform]],[3]Mapping!$B$4:$C$37,2,0)</f>
        <v>[Cake] - Cashloan</v>
      </c>
      <c r="H4297" s="128" t="str">
        <f>VLOOKUP(source[[#This Row],[lending_product_transform]],[3]Mapping!$B$3:$D$37,3,0)</f>
        <v>cashloan</v>
      </c>
      <c r="I4297" s="143">
        <v>0</v>
      </c>
    </row>
    <row r="4298" spans="1:9" x14ac:dyDescent="0.2">
      <c r="A4298" s="134">
        <v>45662</v>
      </c>
      <c r="B4298" s="135">
        <f>YEAR(source[[#This Row],[report_date]])</f>
        <v>2025</v>
      </c>
      <c r="C4298" s="128">
        <f t="shared" si="195"/>
        <v>1</v>
      </c>
      <c r="D4298" s="136">
        <f t="shared" si="197"/>
        <v>1</v>
      </c>
      <c r="E4298" s="136">
        <f t="shared" si="196"/>
        <v>5</v>
      </c>
      <c r="F4298" s="137" t="s">
        <v>24</v>
      </c>
      <c r="G4298" s="128" t="str">
        <f>VLOOKUP(source[[#This Row],[lending_product_transform]],[3]Mapping!$B$4:$C$37,2,0)</f>
        <v>[Cake] - Cashloan</v>
      </c>
      <c r="H4298" s="128" t="str">
        <f>VLOOKUP(source[[#This Row],[lending_product_transform]],[3]Mapping!$B$3:$D$37,3,0)</f>
        <v>cashloan</v>
      </c>
      <c r="I4298" s="143">
        <v>277757097</v>
      </c>
    </row>
    <row r="4299" spans="1:9" x14ac:dyDescent="0.2">
      <c r="A4299" s="134">
        <v>45662</v>
      </c>
      <c r="B4299" s="135">
        <f>YEAR(source[[#This Row],[report_date]])</f>
        <v>2025</v>
      </c>
      <c r="C4299" s="128">
        <f t="shared" si="195"/>
        <v>1</v>
      </c>
      <c r="D4299" s="136">
        <f t="shared" si="197"/>
        <v>1</v>
      </c>
      <c r="E4299" s="136">
        <f t="shared" si="196"/>
        <v>5</v>
      </c>
      <c r="F4299" s="137" t="s">
        <v>24</v>
      </c>
      <c r="G4299" s="128" t="str">
        <f>VLOOKUP(source[[#This Row],[lending_product_transform]],[3]Mapping!$B$4:$C$37,2,0)</f>
        <v>[Cake] - Cashloan</v>
      </c>
      <c r="H4299" s="128" t="str">
        <f>VLOOKUP(source[[#This Row],[lending_product_transform]],[3]Mapping!$B$3:$D$37,3,0)</f>
        <v>cashloan</v>
      </c>
      <c r="I4299" s="143">
        <v>363574641</v>
      </c>
    </row>
    <row r="4300" spans="1:9" x14ac:dyDescent="0.2">
      <c r="A4300" s="134">
        <v>45662</v>
      </c>
      <c r="B4300" s="135">
        <f>YEAR(source[[#This Row],[report_date]])</f>
        <v>2025</v>
      </c>
      <c r="C4300" s="128">
        <f t="shared" si="195"/>
        <v>1</v>
      </c>
      <c r="D4300" s="136">
        <f t="shared" si="197"/>
        <v>1</v>
      </c>
      <c r="E4300" s="136">
        <f t="shared" si="196"/>
        <v>5</v>
      </c>
      <c r="F4300" s="137" t="s">
        <v>24</v>
      </c>
      <c r="G4300" s="128" t="str">
        <f>VLOOKUP(source[[#This Row],[lending_product_transform]],[3]Mapping!$B$4:$C$37,2,0)</f>
        <v>[Cake] - Cashloan</v>
      </c>
      <c r="H4300" s="128" t="str">
        <f>VLOOKUP(source[[#This Row],[lending_product_transform]],[3]Mapping!$B$3:$D$37,3,0)</f>
        <v>cashloan</v>
      </c>
      <c r="I4300" s="143">
        <v>0</v>
      </c>
    </row>
    <row r="4301" spans="1:9" x14ac:dyDescent="0.2">
      <c r="A4301" s="134">
        <v>45662</v>
      </c>
      <c r="B4301" s="135">
        <f>YEAR(source[[#This Row],[report_date]])</f>
        <v>2025</v>
      </c>
      <c r="C4301" s="128">
        <f t="shared" si="195"/>
        <v>1</v>
      </c>
      <c r="D4301" s="136">
        <f t="shared" si="197"/>
        <v>1</v>
      </c>
      <c r="E4301" s="136">
        <f t="shared" si="196"/>
        <v>5</v>
      </c>
      <c r="F4301" s="137" t="s">
        <v>24</v>
      </c>
      <c r="G4301" s="128" t="str">
        <f>VLOOKUP(source[[#This Row],[lending_product_transform]],[3]Mapping!$B$4:$C$37,2,0)</f>
        <v>[Cake] - Cashloan</v>
      </c>
      <c r="H4301" s="128" t="str">
        <f>VLOOKUP(source[[#This Row],[lending_product_transform]],[3]Mapping!$B$3:$D$37,3,0)</f>
        <v>cashloan</v>
      </c>
      <c r="I4301" s="143">
        <v>5117700000</v>
      </c>
    </row>
    <row r="4302" spans="1:9" x14ac:dyDescent="0.2">
      <c r="A4302" s="134">
        <v>45662</v>
      </c>
      <c r="B4302" s="135">
        <f>YEAR(source[[#This Row],[report_date]])</f>
        <v>2025</v>
      </c>
      <c r="C4302" s="128">
        <f t="shared" si="195"/>
        <v>1</v>
      </c>
      <c r="D4302" s="136">
        <f t="shared" si="197"/>
        <v>1</v>
      </c>
      <c r="E4302" s="136">
        <f t="shared" si="196"/>
        <v>5</v>
      </c>
      <c r="F4302" s="137" t="s">
        <v>24</v>
      </c>
      <c r="G4302" s="128" t="str">
        <f>VLOOKUP(source[[#This Row],[lending_product_transform]],[3]Mapping!$B$4:$C$37,2,0)</f>
        <v>[Cake] - Cashloan</v>
      </c>
      <c r="H4302" s="128" t="str">
        <f>VLOOKUP(source[[#This Row],[lending_product_transform]],[3]Mapping!$B$3:$D$37,3,0)</f>
        <v>cashloan</v>
      </c>
      <c r="I4302" s="143">
        <v>0</v>
      </c>
    </row>
    <row r="4303" spans="1:9" x14ac:dyDescent="0.2">
      <c r="A4303" s="134">
        <v>45662</v>
      </c>
      <c r="B4303" s="135">
        <f>YEAR(source[[#This Row],[report_date]])</f>
        <v>2025</v>
      </c>
      <c r="C4303" s="128">
        <f t="shared" si="195"/>
        <v>1</v>
      </c>
      <c r="D4303" s="136">
        <f t="shared" si="197"/>
        <v>1</v>
      </c>
      <c r="E4303" s="136">
        <f t="shared" si="196"/>
        <v>5</v>
      </c>
      <c r="F4303" s="137" t="s">
        <v>24</v>
      </c>
      <c r="G4303" s="128" t="str">
        <f>VLOOKUP(source[[#This Row],[lending_product_transform]],[3]Mapping!$B$4:$C$37,2,0)</f>
        <v>[Cake] - Cashloan</v>
      </c>
      <c r="H4303" s="128" t="str">
        <f>VLOOKUP(source[[#This Row],[lending_product_transform]],[3]Mapping!$B$3:$D$37,3,0)</f>
        <v>cashloan</v>
      </c>
      <c r="I4303" s="143">
        <v>248650000</v>
      </c>
    </row>
    <row r="4304" spans="1:9" x14ac:dyDescent="0.2">
      <c r="A4304" s="134">
        <v>45662</v>
      </c>
      <c r="B4304" s="135">
        <f>YEAR(source[[#This Row],[report_date]])</f>
        <v>2025</v>
      </c>
      <c r="C4304" s="128">
        <f t="shared" si="195"/>
        <v>1</v>
      </c>
      <c r="D4304" s="136">
        <f t="shared" si="197"/>
        <v>1</v>
      </c>
      <c r="E4304" s="136">
        <f t="shared" si="196"/>
        <v>5</v>
      </c>
      <c r="F4304" s="137" t="s">
        <v>24</v>
      </c>
      <c r="G4304" s="128" t="str">
        <f>VLOOKUP(source[[#This Row],[lending_product_transform]],[3]Mapping!$B$4:$C$37,2,0)</f>
        <v>[Cake] - Cashloan</v>
      </c>
      <c r="H4304" s="128" t="str">
        <f>VLOOKUP(source[[#This Row],[lending_product_transform]],[3]Mapping!$B$3:$D$37,3,0)</f>
        <v>cashloan</v>
      </c>
      <c r="I4304" s="143">
        <v>454804584</v>
      </c>
    </row>
    <row r="4305" spans="1:9" x14ac:dyDescent="0.2">
      <c r="A4305" s="134">
        <v>45662</v>
      </c>
      <c r="B4305" s="135">
        <f>YEAR(source[[#This Row],[report_date]])</f>
        <v>2025</v>
      </c>
      <c r="C4305" s="128">
        <f t="shared" si="195"/>
        <v>1</v>
      </c>
      <c r="D4305" s="136">
        <f t="shared" si="197"/>
        <v>1</v>
      </c>
      <c r="E4305" s="136">
        <f t="shared" si="196"/>
        <v>5</v>
      </c>
      <c r="F4305" s="137" t="s">
        <v>24</v>
      </c>
      <c r="G4305" s="128" t="str">
        <f>VLOOKUP(source[[#This Row],[lending_product_transform]],[3]Mapping!$B$4:$C$37,2,0)</f>
        <v>[Cake] - Cashloan</v>
      </c>
      <c r="H4305" s="128" t="str">
        <f>VLOOKUP(source[[#This Row],[lending_product_transform]],[3]Mapping!$B$3:$D$37,3,0)</f>
        <v>cashloan</v>
      </c>
      <c r="I4305" s="143">
        <v>0</v>
      </c>
    </row>
    <row r="4306" spans="1:9" x14ac:dyDescent="0.2">
      <c r="A4306" s="134">
        <v>45662</v>
      </c>
      <c r="B4306" s="135">
        <f>YEAR(source[[#This Row],[report_date]])</f>
        <v>2025</v>
      </c>
      <c r="C4306" s="128">
        <f t="shared" si="195"/>
        <v>1</v>
      </c>
      <c r="D4306" s="136">
        <f t="shared" si="197"/>
        <v>1</v>
      </c>
      <c r="E4306" s="136">
        <f t="shared" si="196"/>
        <v>5</v>
      </c>
      <c r="F4306" s="137" t="s">
        <v>24</v>
      </c>
      <c r="G4306" s="128" t="str">
        <f>VLOOKUP(source[[#This Row],[lending_product_transform]],[3]Mapping!$B$4:$C$37,2,0)</f>
        <v>[Cake] - Cashloan</v>
      </c>
      <c r="H4306" s="128" t="str">
        <f>VLOOKUP(source[[#This Row],[lending_product_transform]],[3]Mapping!$B$3:$D$37,3,0)</f>
        <v>cashloan</v>
      </c>
      <c r="I4306" s="143">
        <v>21400000</v>
      </c>
    </row>
    <row r="4307" spans="1:9" x14ac:dyDescent="0.2">
      <c r="A4307" s="134">
        <v>45662</v>
      </c>
      <c r="B4307" s="135">
        <f>YEAR(source[[#This Row],[report_date]])</f>
        <v>2025</v>
      </c>
      <c r="C4307" s="128">
        <f t="shared" si="195"/>
        <v>1</v>
      </c>
      <c r="D4307" s="136">
        <f t="shared" si="197"/>
        <v>1</v>
      </c>
      <c r="E4307" s="136">
        <f t="shared" si="196"/>
        <v>5</v>
      </c>
      <c r="F4307" s="137" t="s">
        <v>24</v>
      </c>
      <c r="G4307" s="128" t="str">
        <f>VLOOKUP(source[[#This Row],[lending_product_transform]],[3]Mapping!$B$4:$C$37,2,0)</f>
        <v>[Cake] - Cashloan</v>
      </c>
      <c r="H4307" s="128" t="str">
        <f>VLOOKUP(source[[#This Row],[lending_product_transform]],[3]Mapping!$B$3:$D$37,3,0)</f>
        <v>cashloan</v>
      </c>
      <c r="I4307" s="143">
        <v>4277000000</v>
      </c>
    </row>
    <row r="4308" spans="1:9" x14ac:dyDescent="0.2">
      <c r="A4308" s="134">
        <v>45663</v>
      </c>
      <c r="B4308" s="135">
        <f>YEAR(source[[#This Row],[report_date]])</f>
        <v>2025</v>
      </c>
      <c r="C4308" s="128">
        <f t="shared" si="195"/>
        <v>1</v>
      </c>
      <c r="D4308" s="136">
        <f t="shared" si="197"/>
        <v>2</v>
      </c>
      <c r="E4308" s="136">
        <f t="shared" si="196"/>
        <v>6</v>
      </c>
      <c r="F4308" s="137" t="s">
        <v>24</v>
      </c>
      <c r="G4308" s="128" t="str">
        <f>VLOOKUP(source[[#This Row],[lending_product_transform]],[3]Mapping!$B$4:$C$37,2,0)</f>
        <v>[Cake] - Cashloan</v>
      </c>
      <c r="H4308" s="128" t="str">
        <f>VLOOKUP(source[[#This Row],[lending_product_transform]],[3]Mapping!$B$3:$D$37,3,0)</f>
        <v>cashloan</v>
      </c>
      <c r="I4308" s="143">
        <v>0</v>
      </c>
    </row>
    <row r="4309" spans="1:9" x14ac:dyDescent="0.2">
      <c r="A4309" s="134">
        <v>45663</v>
      </c>
      <c r="B4309" s="135">
        <f>YEAR(source[[#This Row],[report_date]])</f>
        <v>2025</v>
      </c>
      <c r="C4309" s="128">
        <f t="shared" si="195"/>
        <v>1</v>
      </c>
      <c r="D4309" s="136">
        <f t="shared" si="197"/>
        <v>2</v>
      </c>
      <c r="E4309" s="136">
        <f t="shared" si="196"/>
        <v>6</v>
      </c>
      <c r="F4309" s="137" t="s">
        <v>24</v>
      </c>
      <c r="G4309" s="128" t="str">
        <f>VLOOKUP(source[[#This Row],[lending_product_transform]],[3]Mapping!$B$4:$C$37,2,0)</f>
        <v>[Cake] - Cashloan</v>
      </c>
      <c r="H4309" s="128" t="str">
        <f>VLOOKUP(source[[#This Row],[lending_product_transform]],[3]Mapping!$B$3:$D$37,3,0)</f>
        <v>cashloan</v>
      </c>
      <c r="I4309" s="143">
        <v>5167610000</v>
      </c>
    </row>
    <row r="4310" spans="1:9" x14ac:dyDescent="0.2">
      <c r="A4310" s="134">
        <v>45663</v>
      </c>
      <c r="B4310" s="135">
        <f>YEAR(source[[#This Row],[report_date]])</f>
        <v>2025</v>
      </c>
      <c r="C4310" s="128">
        <f t="shared" ref="C4310:C4373" si="198">MONTH(A4310)</f>
        <v>1</v>
      </c>
      <c r="D4310" s="136">
        <f t="shared" si="197"/>
        <v>2</v>
      </c>
      <c r="E4310" s="136">
        <f t="shared" ref="E4310:E4373" si="199">DAY(A4310)</f>
        <v>6</v>
      </c>
      <c r="F4310" s="137" t="s">
        <v>24</v>
      </c>
      <c r="G4310" s="128" t="str">
        <f>VLOOKUP(source[[#This Row],[lending_product_transform]],[3]Mapping!$B$4:$C$37,2,0)</f>
        <v>[Cake] - Cashloan</v>
      </c>
      <c r="H4310" s="128" t="str">
        <f>VLOOKUP(source[[#This Row],[lending_product_transform]],[3]Mapping!$B$3:$D$37,3,0)</f>
        <v>cashloan</v>
      </c>
      <c r="I4310" s="143">
        <v>43229854</v>
      </c>
    </row>
    <row r="4311" spans="1:9" x14ac:dyDescent="0.2">
      <c r="A4311" s="134">
        <v>45663</v>
      </c>
      <c r="B4311" s="135">
        <f>YEAR(source[[#This Row],[report_date]])</f>
        <v>2025</v>
      </c>
      <c r="C4311" s="128">
        <f t="shared" si="198"/>
        <v>1</v>
      </c>
      <c r="D4311" s="136">
        <f t="shared" si="197"/>
        <v>2</v>
      </c>
      <c r="E4311" s="136">
        <f t="shared" si="199"/>
        <v>6</v>
      </c>
      <c r="F4311" s="137" t="s">
        <v>24</v>
      </c>
      <c r="G4311" s="128" t="str">
        <f>VLOOKUP(source[[#This Row],[lending_product_transform]],[3]Mapping!$B$4:$C$37,2,0)</f>
        <v>[Cake] - Cashloan</v>
      </c>
      <c r="H4311" s="128" t="str">
        <f>VLOOKUP(source[[#This Row],[lending_product_transform]],[3]Mapping!$B$3:$D$37,3,0)</f>
        <v>cashloan</v>
      </c>
      <c r="I4311" s="143">
        <v>571714502</v>
      </c>
    </row>
    <row r="4312" spans="1:9" x14ac:dyDescent="0.2">
      <c r="A4312" s="134">
        <v>45663</v>
      </c>
      <c r="B4312" s="135">
        <f>YEAR(source[[#This Row],[report_date]])</f>
        <v>2025</v>
      </c>
      <c r="C4312" s="128">
        <f t="shared" si="198"/>
        <v>1</v>
      </c>
      <c r="D4312" s="136">
        <f t="shared" si="197"/>
        <v>2</v>
      </c>
      <c r="E4312" s="136">
        <f t="shared" si="199"/>
        <v>6</v>
      </c>
      <c r="F4312" s="137" t="s">
        <v>24</v>
      </c>
      <c r="G4312" s="128" t="str">
        <f>VLOOKUP(source[[#This Row],[lending_product_transform]],[3]Mapping!$B$4:$C$37,2,0)</f>
        <v>[Cake] - Cashloan</v>
      </c>
      <c r="H4312" s="128" t="str">
        <f>VLOOKUP(source[[#This Row],[lending_product_transform]],[3]Mapping!$B$3:$D$37,3,0)</f>
        <v>cashloan</v>
      </c>
      <c r="I4312" s="143">
        <v>7000000</v>
      </c>
    </row>
    <row r="4313" spans="1:9" x14ac:dyDescent="0.2">
      <c r="A4313" s="134">
        <v>45663</v>
      </c>
      <c r="B4313" s="135">
        <f>YEAR(source[[#This Row],[report_date]])</f>
        <v>2025</v>
      </c>
      <c r="C4313" s="128">
        <f t="shared" si="198"/>
        <v>1</v>
      </c>
      <c r="D4313" s="136">
        <f t="shared" si="197"/>
        <v>2</v>
      </c>
      <c r="E4313" s="136">
        <f t="shared" si="199"/>
        <v>6</v>
      </c>
      <c r="F4313" s="137" t="s">
        <v>24</v>
      </c>
      <c r="G4313" s="128" t="str">
        <f>VLOOKUP(source[[#This Row],[lending_product_transform]],[3]Mapping!$B$4:$C$37,2,0)</f>
        <v>[Cake] - Cashloan</v>
      </c>
      <c r="H4313" s="128" t="str">
        <f>VLOOKUP(source[[#This Row],[lending_product_transform]],[3]Mapping!$B$3:$D$37,3,0)</f>
        <v>cashloan</v>
      </c>
      <c r="I4313" s="143">
        <v>21000000</v>
      </c>
    </row>
    <row r="4314" spans="1:9" x14ac:dyDescent="0.2">
      <c r="A4314" s="134">
        <v>45663</v>
      </c>
      <c r="B4314" s="135">
        <f>YEAR(source[[#This Row],[report_date]])</f>
        <v>2025</v>
      </c>
      <c r="C4314" s="128">
        <f t="shared" si="198"/>
        <v>1</v>
      </c>
      <c r="D4314" s="136">
        <f t="shared" si="197"/>
        <v>2</v>
      </c>
      <c r="E4314" s="136">
        <f t="shared" si="199"/>
        <v>6</v>
      </c>
      <c r="F4314" s="137" t="s">
        <v>24</v>
      </c>
      <c r="G4314" s="128" t="str">
        <f>VLOOKUP(source[[#This Row],[lending_product_transform]],[3]Mapping!$B$4:$C$37,2,0)</f>
        <v>[Cake] - Cashloan</v>
      </c>
      <c r="H4314" s="128" t="str">
        <f>VLOOKUP(source[[#This Row],[lending_product_transform]],[3]Mapping!$B$3:$D$37,3,0)</f>
        <v>cashloan</v>
      </c>
      <c r="I4314" s="143">
        <v>6184210000</v>
      </c>
    </row>
    <row r="4315" spans="1:9" x14ac:dyDescent="0.2">
      <c r="A4315" s="134">
        <v>45663</v>
      </c>
      <c r="B4315" s="135">
        <f>YEAR(source[[#This Row],[report_date]])</f>
        <v>2025</v>
      </c>
      <c r="C4315" s="128">
        <f t="shared" si="198"/>
        <v>1</v>
      </c>
      <c r="D4315" s="136">
        <f t="shared" si="197"/>
        <v>2</v>
      </c>
      <c r="E4315" s="136">
        <f t="shared" si="199"/>
        <v>6</v>
      </c>
      <c r="F4315" s="137" t="s">
        <v>24</v>
      </c>
      <c r="G4315" s="128" t="str">
        <f>VLOOKUP(source[[#This Row],[lending_product_transform]],[3]Mapping!$B$4:$C$37,2,0)</f>
        <v>[Cake] - Cashloan</v>
      </c>
      <c r="H4315" s="128" t="str">
        <f>VLOOKUP(source[[#This Row],[lending_product_transform]],[3]Mapping!$B$3:$D$37,3,0)</f>
        <v>cashloan</v>
      </c>
      <c r="I4315" s="143">
        <v>42800000</v>
      </c>
    </row>
    <row r="4316" spans="1:9" x14ac:dyDescent="0.2">
      <c r="A4316" s="134">
        <v>45663</v>
      </c>
      <c r="B4316" s="135">
        <f>YEAR(source[[#This Row],[report_date]])</f>
        <v>2025</v>
      </c>
      <c r="C4316" s="128">
        <f t="shared" si="198"/>
        <v>1</v>
      </c>
      <c r="D4316" s="136">
        <f t="shared" si="197"/>
        <v>2</v>
      </c>
      <c r="E4316" s="136">
        <f t="shared" si="199"/>
        <v>6</v>
      </c>
      <c r="F4316" s="137" t="s">
        <v>24</v>
      </c>
      <c r="G4316" s="128" t="str">
        <f>VLOOKUP(source[[#This Row],[lending_product_transform]],[3]Mapping!$B$4:$C$37,2,0)</f>
        <v>[Cake] - Cashloan</v>
      </c>
      <c r="H4316" s="128" t="str">
        <f>VLOOKUP(source[[#This Row],[lending_product_transform]],[3]Mapping!$B$3:$D$37,3,0)</f>
        <v>cashloan</v>
      </c>
      <c r="I4316" s="143">
        <v>21000000</v>
      </c>
    </row>
    <row r="4317" spans="1:9" x14ac:dyDescent="0.2">
      <c r="A4317" s="134">
        <v>45663</v>
      </c>
      <c r="B4317" s="135">
        <f>YEAR(source[[#This Row],[report_date]])</f>
        <v>2025</v>
      </c>
      <c r="C4317" s="128">
        <f t="shared" si="198"/>
        <v>1</v>
      </c>
      <c r="D4317" s="136">
        <f t="shared" si="197"/>
        <v>2</v>
      </c>
      <c r="E4317" s="136">
        <f t="shared" si="199"/>
        <v>6</v>
      </c>
      <c r="F4317" s="137" t="s">
        <v>24</v>
      </c>
      <c r="G4317" s="128" t="str">
        <f>VLOOKUP(source[[#This Row],[lending_product_transform]],[3]Mapping!$B$4:$C$37,2,0)</f>
        <v>[Cake] - Cashloan</v>
      </c>
      <c r="H4317" s="128" t="str">
        <f>VLOOKUP(source[[#This Row],[lending_product_transform]],[3]Mapping!$B$3:$D$37,3,0)</f>
        <v>cashloan</v>
      </c>
      <c r="I4317" s="143">
        <v>423840000</v>
      </c>
    </row>
    <row r="4318" spans="1:9" x14ac:dyDescent="0.2">
      <c r="A4318" s="134">
        <v>45663</v>
      </c>
      <c r="B4318" s="135">
        <f>YEAR(source[[#This Row],[report_date]])</f>
        <v>2025</v>
      </c>
      <c r="C4318" s="128">
        <f t="shared" si="198"/>
        <v>1</v>
      </c>
      <c r="D4318" s="136">
        <f t="shared" si="197"/>
        <v>2</v>
      </c>
      <c r="E4318" s="136">
        <f t="shared" si="199"/>
        <v>6</v>
      </c>
      <c r="F4318" s="137" t="s">
        <v>24</v>
      </c>
      <c r="G4318" s="128" t="str">
        <f>VLOOKUP(source[[#This Row],[lending_product_transform]],[3]Mapping!$B$4:$C$37,2,0)</f>
        <v>[Cake] - Cashloan</v>
      </c>
      <c r="H4318" s="128" t="str">
        <f>VLOOKUP(source[[#This Row],[lending_product_transform]],[3]Mapping!$B$3:$D$37,3,0)</f>
        <v>cashloan</v>
      </c>
      <c r="I4318" s="143">
        <v>0</v>
      </c>
    </row>
    <row r="4319" spans="1:9" x14ac:dyDescent="0.2">
      <c r="A4319" s="134">
        <v>45663</v>
      </c>
      <c r="B4319" s="135">
        <f>YEAR(source[[#This Row],[report_date]])</f>
        <v>2025</v>
      </c>
      <c r="C4319" s="128">
        <f t="shared" si="198"/>
        <v>1</v>
      </c>
      <c r="D4319" s="136">
        <f t="shared" si="197"/>
        <v>2</v>
      </c>
      <c r="E4319" s="136">
        <f t="shared" si="199"/>
        <v>6</v>
      </c>
      <c r="F4319" s="137" t="s">
        <v>24</v>
      </c>
      <c r="G4319" s="128" t="str">
        <f>VLOOKUP(source[[#This Row],[lending_product_transform]],[3]Mapping!$B$4:$C$37,2,0)</f>
        <v>[Cake] - Cashloan</v>
      </c>
      <c r="H4319" s="128" t="str">
        <f>VLOOKUP(source[[#This Row],[lending_product_transform]],[3]Mapping!$B$3:$D$37,3,0)</f>
        <v>cashloan</v>
      </c>
      <c r="I4319" s="143">
        <v>226074994</v>
      </c>
    </row>
    <row r="4320" spans="1:9" x14ac:dyDescent="0.2">
      <c r="A4320" s="134">
        <v>45663</v>
      </c>
      <c r="B4320" s="135">
        <f>YEAR(source[[#This Row],[report_date]])</f>
        <v>2025</v>
      </c>
      <c r="C4320" s="128">
        <f t="shared" si="198"/>
        <v>1</v>
      </c>
      <c r="D4320" s="136">
        <f t="shared" si="197"/>
        <v>2</v>
      </c>
      <c r="E4320" s="136">
        <f t="shared" si="199"/>
        <v>6</v>
      </c>
      <c r="F4320" s="137" t="s">
        <v>24</v>
      </c>
      <c r="G4320" s="128" t="str">
        <f>VLOOKUP(source[[#This Row],[lending_product_transform]],[3]Mapping!$B$4:$C$37,2,0)</f>
        <v>[Cake] - Cashloan</v>
      </c>
      <c r="H4320" s="128" t="str">
        <f>VLOOKUP(source[[#This Row],[lending_product_transform]],[3]Mapping!$B$3:$D$37,3,0)</f>
        <v>cashloan</v>
      </c>
      <c r="I4320" s="143">
        <v>0</v>
      </c>
    </row>
    <row r="4321" spans="1:9" x14ac:dyDescent="0.2">
      <c r="A4321" s="134">
        <v>45663</v>
      </c>
      <c r="B4321" s="135">
        <f>YEAR(source[[#This Row],[report_date]])</f>
        <v>2025</v>
      </c>
      <c r="C4321" s="128">
        <f t="shared" si="198"/>
        <v>1</v>
      </c>
      <c r="D4321" s="136">
        <f t="shared" si="197"/>
        <v>2</v>
      </c>
      <c r="E4321" s="136">
        <f t="shared" si="199"/>
        <v>6</v>
      </c>
      <c r="F4321" s="137" t="s">
        <v>24</v>
      </c>
      <c r="G4321" s="128" t="str">
        <f>VLOOKUP(source[[#This Row],[lending_product_transform]],[3]Mapping!$B$4:$C$37,2,0)</f>
        <v>[Cake] - Cashloan</v>
      </c>
      <c r="H4321" s="128" t="str">
        <f>VLOOKUP(source[[#This Row],[lending_product_transform]],[3]Mapping!$B$3:$D$37,3,0)</f>
        <v>cashloan</v>
      </c>
      <c r="I4321" s="143">
        <v>279034017</v>
      </c>
    </row>
    <row r="4322" spans="1:9" x14ac:dyDescent="0.2">
      <c r="A4322" s="134">
        <v>45663</v>
      </c>
      <c r="B4322" s="135">
        <f>YEAR(source[[#This Row],[report_date]])</f>
        <v>2025</v>
      </c>
      <c r="C4322" s="128">
        <f t="shared" si="198"/>
        <v>1</v>
      </c>
      <c r="D4322" s="136">
        <f t="shared" si="197"/>
        <v>2</v>
      </c>
      <c r="E4322" s="136">
        <f t="shared" si="199"/>
        <v>6</v>
      </c>
      <c r="F4322" s="137" t="s">
        <v>24</v>
      </c>
      <c r="G4322" s="128" t="str">
        <f>VLOOKUP(source[[#This Row],[lending_product_transform]],[3]Mapping!$B$4:$C$37,2,0)</f>
        <v>[Cake] - Cashloan</v>
      </c>
      <c r="H4322" s="128" t="str">
        <f>VLOOKUP(source[[#This Row],[lending_product_transform]],[3]Mapping!$B$3:$D$37,3,0)</f>
        <v>cashloan</v>
      </c>
      <c r="I4322" s="143">
        <v>4110141036</v>
      </c>
    </row>
    <row r="4323" spans="1:9" x14ac:dyDescent="0.2">
      <c r="A4323" s="134">
        <v>45663</v>
      </c>
      <c r="B4323" s="135">
        <f>YEAR(source[[#This Row],[report_date]])</f>
        <v>2025</v>
      </c>
      <c r="C4323" s="128">
        <f t="shared" si="198"/>
        <v>1</v>
      </c>
      <c r="D4323" s="136">
        <f t="shared" si="197"/>
        <v>2</v>
      </c>
      <c r="E4323" s="136">
        <f t="shared" si="199"/>
        <v>6</v>
      </c>
      <c r="F4323" s="137" t="s">
        <v>24</v>
      </c>
      <c r="G4323" s="128" t="str">
        <f>VLOOKUP(source[[#This Row],[lending_product_transform]],[3]Mapping!$B$4:$C$37,2,0)</f>
        <v>[Cake] - Cashloan</v>
      </c>
      <c r="H4323" s="128" t="str">
        <f>VLOOKUP(source[[#This Row],[lending_product_transform]],[3]Mapping!$B$3:$D$37,3,0)</f>
        <v>cashloan</v>
      </c>
      <c r="I4323" s="143">
        <v>4536000000</v>
      </c>
    </row>
    <row r="4324" spans="1:9" x14ac:dyDescent="0.2">
      <c r="A4324" s="134">
        <v>45663</v>
      </c>
      <c r="B4324" s="135">
        <f>YEAR(source[[#This Row],[report_date]])</f>
        <v>2025</v>
      </c>
      <c r="C4324" s="128">
        <f t="shared" si="198"/>
        <v>1</v>
      </c>
      <c r="D4324" s="136">
        <f t="shared" si="197"/>
        <v>2</v>
      </c>
      <c r="E4324" s="136">
        <f t="shared" si="199"/>
        <v>6</v>
      </c>
      <c r="F4324" s="137" t="s">
        <v>24</v>
      </c>
      <c r="G4324" s="128" t="str">
        <f>VLOOKUP(source[[#This Row],[lending_product_transform]],[3]Mapping!$B$4:$C$37,2,0)</f>
        <v>[Cake] - Cashloan</v>
      </c>
      <c r="H4324" s="128" t="str">
        <f>VLOOKUP(source[[#This Row],[lending_product_transform]],[3]Mapping!$B$3:$D$37,3,0)</f>
        <v>cashloan</v>
      </c>
      <c r="I4324" s="143">
        <v>198540000</v>
      </c>
    </row>
    <row r="4325" spans="1:9" x14ac:dyDescent="0.2">
      <c r="A4325" s="134">
        <v>45663</v>
      </c>
      <c r="B4325" s="135">
        <f>YEAR(source[[#This Row],[report_date]])</f>
        <v>2025</v>
      </c>
      <c r="C4325" s="128">
        <f t="shared" si="198"/>
        <v>1</v>
      </c>
      <c r="D4325" s="136">
        <f t="shared" si="197"/>
        <v>2</v>
      </c>
      <c r="E4325" s="136">
        <f t="shared" si="199"/>
        <v>6</v>
      </c>
      <c r="F4325" s="137" t="s">
        <v>24</v>
      </c>
      <c r="G4325" s="128" t="str">
        <f>VLOOKUP(source[[#This Row],[lending_product_transform]],[3]Mapping!$B$4:$C$37,2,0)</f>
        <v>[Cake] - Cashloan</v>
      </c>
      <c r="H4325" s="128" t="str">
        <f>VLOOKUP(source[[#This Row],[lending_product_transform]],[3]Mapping!$B$3:$D$37,3,0)</f>
        <v>cashloan</v>
      </c>
      <c r="I4325" s="143">
        <v>0</v>
      </c>
    </row>
    <row r="4326" spans="1:9" x14ac:dyDescent="0.2">
      <c r="A4326" s="134">
        <v>45664</v>
      </c>
      <c r="B4326" s="135">
        <f>YEAR(source[[#This Row],[report_date]])</f>
        <v>2025</v>
      </c>
      <c r="C4326" s="128">
        <f t="shared" si="198"/>
        <v>1</v>
      </c>
      <c r="D4326" s="136">
        <f t="shared" si="197"/>
        <v>2</v>
      </c>
      <c r="E4326" s="136">
        <f t="shared" si="199"/>
        <v>7</v>
      </c>
      <c r="F4326" s="137" t="s">
        <v>24</v>
      </c>
      <c r="G4326" s="128" t="str">
        <f>VLOOKUP(source[[#This Row],[lending_product_transform]],[3]Mapping!$B$4:$C$37,2,0)</f>
        <v>[Cake] - Cashloan</v>
      </c>
      <c r="H4326" s="128" t="str">
        <f>VLOOKUP(source[[#This Row],[lending_product_transform]],[3]Mapping!$B$3:$D$37,3,0)</f>
        <v>cashloan</v>
      </c>
      <c r="I4326" s="143">
        <v>5580460000</v>
      </c>
    </row>
    <row r="4327" spans="1:9" x14ac:dyDescent="0.2">
      <c r="A4327" s="134">
        <v>45664</v>
      </c>
      <c r="B4327" s="135">
        <f>YEAR(source[[#This Row],[report_date]])</f>
        <v>2025</v>
      </c>
      <c r="C4327" s="128">
        <f t="shared" si="198"/>
        <v>1</v>
      </c>
      <c r="D4327" s="136">
        <f t="shared" si="197"/>
        <v>2</v>
      </c>
      <c r="E4327" s="136">
        <f t="shared" si="199"/>
        <v>7</v>
      </c>
      <c r="F4327" s="137" t="s">
        <v>24</v>
      </c>
      <c r="G4327" s="128" t="str">
        <f>VLOOKUP(source[[#This Row],[lending_product_transform]],[3]Mapping!$B$4:$C$37,2,0)</f>
        <v>[Cake] - Cashloan</v>
      </c>
      <c r="H4327" s="128" t="str">
        <f>VLOOKUP(source[[#This Row],[lending_product_transform]],[3]Mapping!$B$3:$D$37,3,0)</f>
        <v>cashloan</v>
      </c>
      <c r="I4327" s="143">
        <v>213974583</v>
      </c>
    </row>
    <row r="4328" spans="1:9" x14ac:dyDescent="0.2">
      <c r="A4328" s="134">
        <v>45664</v>
      </c>
      <c r="B4328" s="135">
        <f>YEAR(source[[#This Row],[report_date]])</f>
        <v>2025</v>
      </c>
      <c r="C4328" s="128">
        <f t="shared" si="198"/>
        <v>1</v>
      </c>
      <c r="D4328" s="136">
        <f t="shared" si="197"/>
        <v>2</v>
      </c>
      <c r="E4328" s="136">
        <f t="shared" si="199"/>
        <v>7</v>
      </c>
      <c r="F4328" s="137" t="s">
        <v>24</v>
      </c>
      <c r="G4328" s="128" t="str">
        <f>VLOOKUP(source[[#This Row],[lending_product_transform]],[3]Mapping!$B$4:$C$37,2,0)</f>
        <v>[Cake] - Cashloan</v>
      </c>
      <c r="H4328" s="128" t="str">
        <f>VLOOKUP(source[[#This Row],[lending_product_transform]],[3]Mapping!$B$3:$D$37,3,0)</f>
        <v>cashloan</v>
      </c>
      <c r="I4328" s="143">
        <v>19125715</v>
      </c>
    </row>
    <row r="4329" spans="1:9" x14ac:dyDescent="0.2">
      <c r="A4329" s="134">
        <v>45664</v>
      </c>
      <c r="B4329" s="135">
        <f>YEAR(source[[#This Row],[report_date]])</f>
        <v>2025</v>
      </c>
      <c r="C4329" s="128">
        <f t="shared" si="198"/>
        <v>1</v>
      </c>
      <c r="D4329" s="136">
        <f t="shared" si="197"/>
        <v>2</v>
      </c>
      <c r="E4329" s="136">
        <f t="shared" si="199"/>
        <v>7</v>
      </c>
      <c r="F4329" s="137" t="s">
        <v>24</v>
      </c>
      <c r="G4329" s="128" t="str">
        <f>VLOOKUP(source[[#This Row],[lending_product_transform]],[3]Mapping!$B$4:$C$37,2,0)</f>
        <v>[Cake] - Cashloan</v>
      </c>
      <c r="H4329" s="128" t="str">
        <f>VLOOKUP(source[[#This Row],[lending_product_transform]],[3]Mapping!$B$3:$D$37,3,0)</f>
        <v>cashloan</v>
      </c>
      <c r="I4329" s="143">
        <v>228985018</v>
      </c>
    </row>
    <row r="4330" spans="1:9" x14ac:dyDescent="0.2">
      <c r="A4330" s="134">
        <v>45664</v>
      </c>
      <c r="B4330" s="135">
        <f>YEAR(source[[#This Row],[report_date]])</f>
        <v>2025</v>
      </c>
      <c r="C4330" s="128">
        <f t="shared" si="198"/>
        <v>1</v>
      </c>
      <c r="D4330" s="136">
        <f t="shared" si="197"/>
        <v>2</v>
      </c>
      <c r="E4330" s="136">
        <f t="shared" si="199"/>
        <v>7</v>
      </c>
      <c r="F4330" s="137" t="s">
        <v>24</v>
      </c>
      <c r="G4330" s="128" t="str">
        <f>VLOOKUP(source[[#This Row],[lending_product_transform]],[3]Mapping!$B$4:$C$37,2,0)</f>
        <v>[Cake] - Cashloan</v>
      </c>
      <c r="H4330" s="128" t="str">
        <f>VLOOKUP(source[[#This Row],[lending_product_transform]],[3]Mapping!$B$3:$D$37,3,0)</f>
        <v>cashloan</v>
      </c>
      <c r="I4330" s="143">
        <v>0</v>
      </c>
    </row>
    <row r="4331" spans="1:9" x14ac:dyDescent="0.2">
      <c r="A4331" s="134">
        <v>45664</v>
      </c>
      <c r="B4331" s="135">
        <f>YEAR(source[[#This Row],[report_date]])</f>
        <v>2025</v>
      </c>
      <c r="C4331" s="128">
        <f t="shared" si="198"/>
        <v>1</v>
      </c>
      <c r="D4331" s="136">
        <f t="shared" si="197"/>
        <v>2</v>
      </c>
      <c r="E4331" s="136">
        <f t="shared" si="199"/>
        <v>7</v>
      </c>
      <c r="F4331" s="137" t="s">
        <v>24</v>
      </c>
      <c r="G4331" s="128" t="str">
        <f>VLOOKUP(source[[#This Row],[lending_product_transform]],[3]Mapping!$B$4:$C$37,2,0)</f>
        <v>[Cake] - Cashloan</v>
      </c>
      <c r="H4331" s="128" t="str">
        <f>VLOOKUP(source[[#This Row],[lending_product_transform]],[3]Mapping!$B$3:$D$37,3,0)</f>
        <v>cashloan</v>
      </c>
      <c r="I4331" s="143">
        <v>0</v>
      </c>
    </row>
    <row r="4332" spans="1:9" x14ac:dyDescent="0.2">
      <c r="A4332" s="134">
        <v>45664</v>
      </c>
      <c r="B4332" s="135">
        <f>YEAR(source[[#This Row],[report_date]])</f>
        <v>2025</v>
      </c>
      <c r="C4332" s="128">
        <f t="shared" si="198"/>
        <v>1</v>
      </c>
      <c r="D4332" s="136">
        <f t="shared" si="197"/>
        <v>2</v>
      </c>
      <c r="E4332" s="136">
        <f t="shared" si="199"/>
        <v>7</v>
      </c>
      <c r="F4332" s="137" t="s">
        <v>24</v>
      </c>
      <c r="G4332" s="128" t="str">
        <f>VLOOKUP(source[[#This Row],[lending_product_transform]],[3]Mapping!$B$4:$C$37,2,0)</f>
        <v>[Cake] - Cashloan</v>
      </c>
      <c r="H4332" s="128" t="str">
        <f>VLOOKUP(source[[#This Row],[lending_product_transform]],[3]Mapping!$B$3:$D$37,3,0)</f>
        <v>cashloan</v>
      </c>
      <c r="I4332" s="143">
        <v>11770000</v>
      </c>
    </row>
    <row r="4333" spans="1:9" x14ac:dyDescent="0.2">
      <c r="A4333" s="134">
        <v>45664</v>
      </c>
      <c r="B4333" s="135">
        <f>YEAR(source[[#This Row],[report_date]])</f>
        <v>2025</v>
      </c>
      <c r="C4333" s="128">
        <f t="shared" si="198"/>
        <v>1</v>
      </c>
      <c r="D4333" s="136">
        <f t="shared" si="197"/>
        <v>2</v>
      </c>
      <c r="E4333" s="136">
        <f t="shared" si="199"/>
        <v>7</v>
      </c>
      <c r="F4333" s="137" t="s">
        <v>24</v>
      </c>
      <c r="G4333" s="128" t="str">
        <f>VLOOKUP(source[[#This Row],[lending_product_transform]],[3]Mapping!$B$4:$C$37,2,0)</f>
        <v>[Cake] - Cashloan</v>
      </c>
      <c r="H4333" s="128" t="str">
        <f>VLOOKUP(source[[#This Row],[lending_product_transform]],[3]Mapping!$B$3:$D$37,3,0)</f>
        <v>cashloan</v>
      </c>
      <c r="I4333" s="143">
        <v>21400000</v>
      </c>
    </row>
    <row r="4334" spans="1:9" x14ac:dyDescent="0.2">
      <c r="A4334" s="134">
        <v>45664</v>
      </c>
      <c r="B4334" s="135">
        <f>YEAR(source[[#This Row],[report_date]])</f>
        <v>2025</v>
      </c>
      <c r="C4334" s="128">
        <f t="shared" si="198"/>
        <v>1</v>
      </c>
      <c r="D4334" s="136">
        <f t="shared" si="197"/>
        <v>2</v>
      </c>
      <c r="E4334" s="136">
        <f t="shared" si="199"/>
        <v>7</v>
      </c>
      <c r="F4334" s="137" t="s">
        <v>24</v>
      </c>
      <c r="G4334" s="128" t="str">
        <f>VLOOKUP(source[[#This Row],[lending_product_transform]],[3]Mapping!$B$4:$C$37,2,0)</f>
        <v>[Cake] - Cashloan</v>
      </c>
      <c r="H4334" s="128" t="str">
        <f>VLOOKUP(source[[#This Row],[lending_product_transform]],[3]Mapping!$B$3:$D$37,3,0)</f>
        <v>cashloan</v>
      </c>
      <c r="I4334" s="143">
        <v>351360000</v>
      </c>
    </row>
    <row r="4335" spans="1:9" x14ac:dyDescent="0.2">
      <c r="A4335" s="134">
        <v>45664</v>
      </c>
      <c r="B4335" s="135">
        <f>YEAR(source[[#This Row],[report_date]])</f>
        <v>2025</v>
      </c>
      <c r="C4335" s="128">
        <f t="shared" si="198"/>
        <v>1</v>
      </c>
      <c r="D4335" s="136">
        <f t="shared" si="197"/>
        <v>2</v>
      </c>
      <c r="E4335" s="136">
        <f t="shared" si="199"/>
        <v>7</v>
      </c>
      <c r="F4335" s="137" t="s">
        <v>24</v>
      </c>
      <c r="G4335" s="128" t="str">
        <f>VLOOKUP(source[[#This Row],[lending_product_transform]],[3]Mapping!$B$4:$C$37,2,0)</f>
        <v>[Cake] - Cashloan</v>
      </c>
      <c r="H4335" s="128" t="str">
        <f>VLOOKUP(source[[#This Row],[lending_product_transform]],[3]Mapping!$B$3:$D$37,3,0)</f>
        <v>cashloan</v>
      </c>
      <c r="I4335" s="143">
        <v>4279500000</v>
      </c>
    </row>
    <row r="4336" spans="1:9" x14ac:dyDescent="0.2">
      <c r="A4336" s="134">
        <v>45664</v>
      </c>
      <c r="B4336" s="135">
        <f>YEAR(source[[#This Row],[report_date]])</f>
        <v>2025</v>
      </c>
      <c r="C4336" s="128">
        <f t="shared" si="198"/>
        <v>1</v>
      </c>
      <c r="D4336" s="136">
        <f t="shared" si="197"/>
        <v>2</v>
      </c>
      <c r="E4336" s="136">
        <f t="shared" si="199"/>
        <v>7</v>
      </c>
      <c r="F4336" s="137" t="s">
        <v>24</v>
      </c>
      <c r="G4336" s="128" t="str">
        <f>VLOOKUP(source[[#This Row],[lending_product_transform]],[3]Mapping!$B$4:$C$37,2,0)</f>
        <v>[Cake] - Cashloan</v>
      </c>
      <c r="H4336" s="128" t="str">
        <f>VLOOKUP(source[[#This Row],[lending_product_transform]],[3]Mapping!$B$3:$D$37,3,0)</f>
        <v>cashloan</v>
      </c>
      <c r="I4336" s="143">
        <v>87150000</v>
      </c>
    </row>
    <row r="4337" spans="1:9" x14ac:dyDescent="0.2">
      <c r="A4337" s="134">
        <v>45664</v>
      </c>
      <c r="B4337" s="135">
        <f>YEAR(source[[#This Row],[report_date]])</f>
        <v>2025</v>
      </c>
      <c r="C4337" s="128">
        <f t="shared" si="198"/>
        <v>1</v>
      </c>
      <c r="D4337" s="136">
        <f t="shared" si="197"/>
        <v>2</v>
      </c>
      <c r="E4337" s="136">
        <f t="shared" si="199"/>
        <v>7</v>
      </c>
      <c r="F4337" s="137" t="s">
        <v>24</v>
      </c>
      <c r="G4337" s="128" t="str">
        <f>VLOOKUP(source[[#This Row],[lending_product_transform]],[3]Mapping!$B$4:$C$37,2,0)</f>
        <v>[Cake] - Cashloan</v>
      </c>
      <c r="H4337" s="128" t="str">
        <f>VLOOKUP(source[[#This Row],[lending_product_transform]],[3]Mapping!$B$3:$D$37,3,0)</f>
        <v>cashloan</v>
      </c>
      <c r="I4337" s="143">
        <v>3717609229</v>
      </c>
    </row>
    <row r="4338" spans="1:9" x14ac:dyDescent="0.2">
      <c r="A4338" s="134">
        <v>45664</v>
      </c>
      <c r="B4338" s="135">
        <f>YEAR(source[[#This Row],[report_date]])</f>
        <v>2025</v>
      </c>
      <c r="C4338" s="128">
        <f t="shared" si="198"/>
        <v>1</v>
      </c>
      <c r="D4338" s="136">
        <f t="shared" si="197"/>
        <v>2</v>
      </c>
      <c r="E4338" s="136">
        <f t="shared" si="199"/>
        <v>7</v>
      </c>
      <c r="F4338" s="137" t="s">
        <v>24</v>
      </c>
      <c r="G4338" s="128" t="str">
        <f>VLOOKUP(source[[#This Row],[lending_product_transform]],[3]Mapping!$B$4:$C$37,2,0)</f>
        <v>[Cake] - Cashloan</v>
      </c>
      <c r="H4338" s="128" t="str">
        <f>VLOOKUP(source[[#This Row],[lending_product_transform]],[3]Mapping!$B$3:$D$37,3,0)</f>
        <v>cashloan</v>
      </c>
      <c r="I4338" s="143">
        <v>50000000</v>
      </c>
    </row>
    <row r="4339" spans="1:9" x14ac:dyDescent="0.2">
      <c r="A4339" s="134">
        <v>45664</v>
      </c>
      <c r="B4339" s="135">
        <f>YEAR(source[[#This Row],[report_date]])</f>
        <v>2025</v>
      </c>
      <c r="C4339" s="128">
        <f t="shared" si="198"/>
        <v>1</v>
      </c>
      <c r="D4339" s="136">
        <f t="shared" si="197"/>
        <v>2</v>
      </c>
      <c r="E4339" s="136">
        <f t="shared" si="199"/>
        <v>7</v>
      </c>
      <c r="F4339" s="137" t="s">
        <v>24</v>
      </c>
      <c r="G4339" s="128" t="str">
        <f>VLOOKUP(source[[#This Row],[lending_product_transform]],[3]Mapping!$B$4:$C$37,2,0)</f>
        <v>[Cake] - Cashloan</v>
      </c>
      <c r="H4339" s="128" t="str">
        <f>VLOOKUP(source[[#This Row],[lending_product_transform]],[3]Mapping!$B$3:$D$37,3,0)</f>
        <v>cashloan</v>
      </c>
      <c r="I4339" s="143">
        <v>0</v>
      </c>
    </row>
    <row r="4340" spans="1:9" x14ac:dyDescent="0.2">
      <c r="A4340" s="134">
        <v>45664</v>
      </c>
      <c r="B4340" s="135">
        <f>YEAR(source[[#This Row],[report_date]])</f>
        <v>2025</v>
      </c>
      <c r="C4340" s="128">
        <f t="shared" si="198"/>
        <v>1</v>
      </c>
      <c r="D4340" s="136">
        <f t="shared" si="197"/>
        <v>2</v>
      </c>
      <c r="E4340" s="136">
        <f t="shared" si="199"/>
        <v>7</v>
      </c>
      <c r="F4340" s="137" t="s">
        <v>24</v>
      </c>
      <c r="G4340" s="128" t="str">
        <f>VLOOKUP(source[[#This Row],[lending_product_transform]],[3]Mapping!$B$4:$C$37,2,0)</f>
        <v>[Cake] - Cashloan</v>
      </c>
      <c r="H4340" s="128" t="str">
        <f>VLOOKUP(source[[#This Row],[lending_product_transform]],[3]Mapping!$B$3:$D$37,3,0)</f>
        <v>cashloan</v>
      </c>
      <c r="I4340" s="143">
        <v>0</v>
      </c>
    </row>
    <row r="4341" spans="1:9" x14ac:dyDescent="0.2">
      <c r="A4341" s="134">
        <v>45664</v>
      </c>
      <c r="B4341" s="135">
        <f>YEAR(source[[#This Row],[report_date]])</f>
        <v>2025</v>
      </c>
      <c r="C4341" s="128">
        <f t="shared" si="198"/>
        <v>1</v>
      </c>
      <c r="D4341" s="136">
        <f t="shared" si="197"/>
        <v>2</v>
      </c>
      <c r="E4341" s="136">
        <f t="shared" si="199"/>
        <v>7</v>
      </c>
      <c r="F4341" s="137" t="s">
        <v>24</v>
      </c>
      <c r="G4341" s="128" t="str">
        <f>VLOOKUP(source[[#This Row],[lending_product_transform]],[3]Mapping!$B$4:$C$37,2,0)</f>
        <v>[Cake] - Cashloan</v>
      </c>
      <c r="H4341" s="128" t="str">
        <f>VLOOKUP(source[[#This Row],[lending_product_transform]],[3]Mapping!$B$3:$D$37,3,0)</f>
        <v>cashloan</v>
      </c>
      <c r="I4341" s="143">
        <v>6383840000</v>
      </c>
    </row>
    <row r="4342" spans="1:9" x14ac:dyDescent="0.2">
      <c r="A4342" s="134">
        <v>45664</v>
      </c>
      <c r="B4342" s="135">
        <f>YEAR(source[[#This Row],[report_date]])</f>
        <v>2025</v>
      </c>
      <c r="C4342" s="128">
        <f t="shared" si="198"/>
        <v>1</v>
      </c>
      <c r="D4342" s="136">
        <f t="shared" si="197"/>
        <v>2</v>
      </c>
      <c r="E4342" s="136">
        <f t="shared" si="199"/>
        <v>7</v>
      </c>
      <c r="F4342" s="137" t="s">
        <v>24</v>
      </c>
      <c r="G4342" s="128" t="str">
        <f>VLOOKUP(source[[#This Row],[lending_product_transform]],[3]Mapping!$B$4:$C$37,2,0)</f>
        <v>[Cake] - Cashloan</v>
      </c>
      <c r="H4342" s="128" t="str">
        <f>VLOOKUP(source[[#This Row],[lending_product_transform]],[3]Mapping!$B$3:$D$37,3,0)</f>
        <v>cashloan</v>
      </c>
      <c r="I4342" s="143">
        <v>546402503</v>
      </c>
    </row>
    <row r="4343" spans="1:9" x14ac:dyDescent="0.2">
      <c r="A4343" s="134">
        <v>45664</v>
      </c>
      <c r="B4343" s="135">
        <f>YEAR(source[[#This Row],[report_date]])</f>
        <v>2025</v>
      </c>
      <c r="C4343" s="128">
        <f t="shared" si="198"/>
        <v>1</v>
      </c>
      <c r="D4343" s="136">
        <f t="shared" si="197"/>
        <v>2</v>
      </c>
      <c r="E4343" s="136">
        <f t="shared" si="199"/>
        <v>7</v>
      </c>
      <c r="F4343" s="137" t="s">
        <v>24</v>
      </c>
      <c r="G4343" s="128" t="str">
        <f>VLOOKUP(source[[#This Row],[lending_product_transform]],[3]Mapping!$B$4:$C$37,2,0)</f>
        <v>[Cake] - Cashloan</v>
      </c>
      <c r="H4343" s="128" t="str">
        <f>VLOOKUP(source[[#This Row],[lending_product_transform]],[3]Mapping!$B$3:$D$37,3,0)</f>
        <v>cashloan</v>
      </c>
      <c r="I4343" s="143">
        <v>449880000</v>
      </c>
    </row>
    <row r="4344" spans="1:9" x14ac:dyDescent="0.2">
      <c r="A4344" s="134">
        <v>45665</v>
      </c>
      <c r="B4344" s="135">
        <f>YEAR(source[[#This Row],[report_date]])</f>
        <v>2025</v>
      </c>
      <c r="C4344" s="128">
        <f t="shared" si="198"/>
        <v>1</v>
      </c>
      <c r="D4344" s="136">
        <f t="shared" si="197"/>
        <v>2</v>
      </c>
      <c r="E4344" s="136">
        <f t="shared" si="199"/>
        <v>8</v>
      </c>
      <c r="F4344" s="137" t="s">
        <v>24</v>
      </c>
      <c r="G4344" s="128" t="str">
        <f>VLOOKUP(source[[#This Row],[lending_product_transform]],[3]Mapping!$B$4:$C$37,2,0)</f>
        <v>[Cake] - Cashloan</v>
      </c>
      <c r="H4344" s="128" t="str">
        <f>VLOOKUP(source[[#This Row],[lending_product_transform]],[3]Mapping!$B$3:$D$37,3,0)</f>
        <v>cashloan</v>
      </c>
      <c r="I4344" s="143">
        <v>455210000</v>
      </c>
    </row>
    <row r="4345" spans="1:9" x14ac:dyDescent="0.2">
      <c r="A4345" s="134">
        <v>45665</v>
      </c>
      <c r="B4345" s="135">
        <f>YEAR(source[[#This Row],[report_date]])</f>
        <v>2025</v>
      </c>
      <c r="C4345" s="128">
        <f t="shared" si="198"/>
        <v>1</v>
      </c>
      <c r="D4345" s="136">
        <f t="shared" si="197"/>
        <v>2</v>
      </c>
      <c r="E4345" s="136">
        <f t="shared" si="199"/>
        <v>8</v>
      </c>
      <c r="F4345" s="137" t="s">
        <v>24</v>
      </c>
      <c r="G4345" s="128" t="str">
        <f>VLOOKUP(source[[#This Row],[lending_product_transform]],[3]Mapping!$B$4:$C$37,2,0)</f>
        <v>[Cake] - Cashloan</v>
      </c>
      <c r="H4345" s="128" t="str">
        <f>VLOOKUP(source[[#This Row],[lending_product_transform]],[3]Mapping!$B$3:$D$37,3,0)</f>
        <v>cashloan</v>
      </c>
      <c r="I4345" s="143">
        <v>0</v>
      </c>
    </row>
    <row r="4346" spans="1:9" x14ac:dyDescent="0.2">
      <c r="A4346" s="134">
        <v>45665</v>
      </c>
      <c r="B4346" s="135">
        <f>YEAR(source[[#This Row],[report_date]])</f>
        <v>2025</v>
      </c>
      <c r="C4346" s="128">
        <f t="shared" si="198"/>
        <v>1</v>
      </c>
      <c r="D4346" s="136">
        <f t="shared" si="197"/>
        <v>2</v>
      </c>
      <c r="E4346" s="136">
        <f t="shared" si="199"/>
        <v>8</v>
      </c>
      <c r="F4346" s="137" t="s">
        <v>24</v>
      </c>
      <c r="G4346" s="128" t="str">
        <f>VLOOKUP(source[[#This Row],[lending_product_transform]],[3]Mapping!$B$4:$C$37,2,0)</f>
        <v>[Cake] - Cashloan</v>
      </c>
      <c r="H4346" s="128" t="str">
        <f>VLOOKUP(source[[#This Row],[lending_product_transform]],[3]Mapping!$B$3:$D$37,3,0)</f>
        <v>cashloan</v>
      </c>
      <c r="I4346" s="143">
        <v>232893356</v>
      </c>
    </row>
    <row r="4347" spans="1:9" x14ac:dyDescent="0.2">
      <c r="A4347" s="134">
        <v>45665</v>
      </c>
      <c r="B4347" s="135">
        <f>YEAR(source[[#This Row],[report_date]])</f>
        <v>2025</v>
      </c>
      <c r="C4347" s="128">
        <f t="shared" si="198"/>
        <v>1</v>
      </c>
      <c r="D4347" s="136">
        <f t="shared" si="197"/>
        <v>2</v>
      </c>
      <c r="E4347" s="136">
        <f t="shared" si="199"/>
        <v>8</v>
      </c>
      <c r="F4347" s="137" t="s">
        <v>24</v>
      </c>
      <c r="G4347" s="128" t="str">
        <f>VLOOKUP(source[[#This Row],[lending_product_transform]],[3]Mapping!$B$4:$C$37,2,0)</f>
        <v>[Cake] - Cashloan</v>
      </c>
      <c r="H4347" s="128" t="str">
        <f>VLOOKUP(source[[#This Row],[lending_product_transform]],[3]Mapping!$B$3:$D$37,3,0)</f>
        <v>cashloan</v>
      </c>
      <c r="I4347" s="143">
        <v>0</v>
      </c>
    </row>
    <row r="4348" spans="1:9" x14ac:dyDescent="0.2">
      <c r="A4348" s="134">
        <v>45665</v>
      </c>
      <c r="B4348" s="135">
        <f>YEAR(source[[#This Row],[report_date]])</f>
        <v>2025</v>
      </c>
      <c r="C4348" s="128">
        <f t="shared" si="198"/>
        <v>1</v>
      </c>
      <c r="D4348" s="136">
        <f t="shared" si="197"/>
        <v>2</v>
      </c>
      <c r="E4348" s="136">
        <f t="shared" si="199"/>
        <v>8</v>
      </c>
      <c r="F4348" s="137" t="s">
        <v>24</v>
      </c>
      <c r="G4348" s="128" t="str">
        <f>VLOOKUP(source[[#This Row],[lending_product_transform]],[3]Mapping!$B$4:$C$37,2,0)</f>
        <v>[Cake] - Cashloan</v>
      </c>
      <c r="H4348" s="128" t="str">
        <f>VLOOKUP(source[[#This Row],[lending_product_transform]],[3]Mapping!$B$3:$D$37,3,0)</f>
        <v>cashloan</v>
      </c>
      <c r="I4348" s="143">
        <v>0</v>
      </c>
    </row>
    <row r="4349" spans="1:9" x14ac:dyDescent="0.2">
      <c r="A4349" s="134">
        <v>45665</v>
      </c>
      <c r="B4349" s="135">
        <f>YEAR(source[[#This Row],[report_date]])</f>
        <v>2025</v>
      </c>
      <c r="C4349" s="128">
        <f t="shared" si="198"/>
        <v>1</v>
      </c>
      <c r="D4349" s="136">
        <f t="shared" si="197"/>
        <v>2</v>
      </c>
      <c r="E4349" s="136">
        <f t="shared" si="199"/>
        <v>8</v>
      </c>
      <c r="F4349" s="137" t="s">
        <v>24</v>
      </c>
      <c r="G4349" s="128" t="str">
        <f>VLOOKUP(source[[#This Row],[lending_product_transform]],[3]Mapping!$B$4:$C$37,2,0)</f>
        <v>[Cake] - Cashloan</v>
      </c>
      <c r="H4349" s="128" t="str">
        <f>VLOOKUP(source[[#This Row],[lending_product_transform]],[3]Mapping!$B$3:$D$37,3,0)</f>
        <v>cashloan</v>
      </c>
      <c r="I4349" s="143">
        <v>40140067</v>
      </c>
    </row>
    <row r="4350" spans="1:9" x14ac:dyDescent="0.2">
      <c r="A4350" s="134">
        <v>45665</v>
      </c>
      <c r="B4350" s="135">
        <f>YEAR(source[[#This Row],[report_date]])</f>
        <v>2025</v>
      </c>
      <c r="C4350" s="128">
        <f t="shared" si="198"/>
        <v>1</v>
      </c>
      <c r="D4350" s="136">
        <f t="shared" si="197"/>
        <v>2</v>
      </c>
      <c r="E4350" s="136">
        <f t="shared" si="199"/>
        <v>8</v>
      </c>
      <c r="F4350" s="137" t="s">
        <v>24</v>
      </c>
      <c r="G4350" s="128" t="str">
        <f>VLOOKUP(source[[#This Row],[lending_product_transform]],[3]Mapping!$B$4:$C$37,2,0)</f>
        <v>[Cake] - Cashloan</v>
      </c>
      <c r="H4350" s="128" t="str">
        <f>VLOOKUP(source[[#This Row],[lending_product_transform]],[3]Mapping!$B$3:$D$37,3,0)</f>
        <v>cashloan</v>
      </c>
      <c r="I4350" s="143">
        <v>0</v>
      </c>
    </row>
    <row r="4351" spans="1:9" x14ac:dyDescent="0.2">
      <c r="A4351" s="134">
        <v>45665</v>
      </c>
      <c r="B4351" s="135">
        <f>YEAR(source[[#This Row],[report_date]])</f>
        <v>2025</v>
      </c>
      <c r="C4351" s="128">
        <f t="shared" si="198"/>
        <v>1</v>
      </c>
      <c r="D4351" s="136">
        <f t="shared" si="197"/>
        <v>2</v>
      </c>
      <c r="E4351" s="136">
        <f t="shared" si="199"/>
        <v>8</v>
      </c>
      <c r="F4351" s="137" t="s">
        <v>24</v>
      </c>
      <c r="G4351" s="128" t="str">
        <f>VLOOKUP(source[[#This Row],[lending_product_transform]],[3]Mapping!$B$4:$C$37,2,0)</f>
        <v>[Cake] - Cashloan</v>
      </c>
      <c r="H4351" s="128" t="str">
        <f>VLOOKUP(source[[#This Row],[lending_product_transform]],[3]Mapping!$B$3:$D$37,3,0)</f>
        <v>cashloan</v>
      </c>
      <c r="I4351" s="143">
        <v>0</v>
      </c>
    </row>
    <row r="4352" spans="1:9" x14ac:dyDescent="0.2">
      <c r="A4352" s="134">
        <v>45665</v>
      </c>
      <c r="B4352" s="135">
        <f>YEAR(source[[#This Row],[report_date]])</f>
        <v>2025</v>
      </c>
      <c r="C4352" s="128">
        <f t="shared" si="198"/>
        <v>1</v>
      </c>
      <c r="D4352" s="136">
        <f t="shared" si="197"/>
        <v>2</v>
      </c>
      <c r="E4352" s="136">
        <f t="shared" si="199"/>
        <v>8</v>
      </c>
      <c r="F4352" s="137" t="s">
        <v>24</v>
      </c>
      <c r="G4352" s="128" t="str">
        <f>VLOOKUP(source[[#This Row],[lending_product_transform]],[3]Mapping!$B$4:$C$37,2,0)</f>
        <v>[Cake] - Cashloan</v>
      </c>
      <c r="H4352" s="128" t="str">
        <f>VLOOKUP(source[[#This Row],[lending_product_transform]],[3]Mapping!$B$3:$D$37,3,0)</f>
        <v>cashloan</v>
      </c>
      <c r="I4352" s="143">
        <v>315110000</v>
      </c>
    </row>
    <row r="4353" spans="1:9" x14ac:dyDescent="0.2">
      <c r="A4353" s="134">
        <v>45665</v>
      </c>
      <c r="B4353" s="135">
        <f>YEAR(source[[#This Row],[report_date]])</f>
        <v>2025</v>
      </c>
      <c r="C4353" s="128">
        <f t="shared" si="198"/>
        <v>1</v>
      </c>
      <c r="D4353" s="136">
        <f t="shared" si="197"/>
        <v>2</v>
      </c>
      <c r="E4353" s="136">
        <f t="shared" si="199"/>
        <v>8</v>
      </c>
      <c r="F4353" s="137" t="s">
        <v>24</v>
      </c>
      <c r="G4353" s="128" t="str">
        <f>VLOOKUP(source[[#This Row],[lending_product_transform]],[3]Mapping!$B$4:$C$37,2,0)</f>
        <v>[Cake] - Cashloan</v>
      </c>
      <c r="H4353" s="128" t="str">
        <f>VLOOKUP(source[[#This Row],[lending_product_transform]],[3]Mapping!$B$3:$D$37,3,0)</f>
        <v>cashloan</v>
      </c>
      <c r="I4353" s="143">
        <v>32000000</v>
      </c>
    </row>
    <row r="4354" spans="1:9" x14ac:dyDescent="0.2">
      <c r="A4354" s="134">
        <v>45665</v>
      </c>
      <c r="B4354" s="135">
        <f>YEAR(source[[#This Row],[report_date]])</f>
        <v>2025</v>
      </c>
      <c r="C4354" s="128">
        <f t="shared" si="198"/>
        <v>1</v>
      </c>
      <c r="D4354" s="136">
        <f t="shared" si="197"/>
        <v>2</v>
      </c>
      <c r="E4354" s="136">
        <f t="shared" si="199"/>
        <v>8</v>
      </c>
      <c r="F4354" s="137" t="s">
        <v>24</v>
      </c>
      <c r="G4354" s="128" t="str">
        <f>VLOOKUP(source[[#This Row],[lending_product_transform]],[3]Mapping!$B$4:$C$37,2,0)</f>
        <v>[Cake] - Cashloan</v>
      </c>
      <c r="H4354" s="128" t="str">
        <f>VLOOKUP(source[[#This Row],[lending_product_transform]],[3]Mapping!$B$3:$D$37,3,0)</f>
        <v>cashloan</v>
      </c>
      <c r="I4354" s="143">
        <v>4277000000</v>
      </c>
    </row>
    <row r="4355" spans="1:9" x14ac:dyDescent="0.2">
      <c r="A4355" s="134">
        <v>45665</v>
      </c>
      <c r="B4355" s="135">
        <f>YEAR(source[[#This Row],[report_date]])</f>
        <v>2025</v>
      </c>
      <c r="C4355" s="128">
        <f t="shared" si="198"/>
        <v>1</v>
      </c>
      <c r="D4355" s="136">
        <f t="shared" ref="D4355:D4418" si="200">WEEKNUM(A4355,2)</f>
        <v>2</v>
      </c>
      <c r="E4355" s="136">
        <f t="shared" si="199"/>
        <v>8</v>
      </c>
      <c r="F4355" s="137" t="s">
        <v>24</v>
      </c>
      <c r="G4355" s="128" t="str">
        <f>VLOOKUP(source[[#This Row],[lending_product_transform]],[3]Mapping!$B$4:$C$37,2,0)</f>
        <v>[Cake] - Cashloan</v>
      </c>
      <c r="H4355" s="128" t="str">
        <f>VLOOKUP(source[[#This Row],[lending_product_transform]],[3]Mapping!$B$3:$D$37,3,0)</f>
        <v>cashloan</v>
      </c>
      <c r="I4355" s="143">
        <v>21000000</v>
      </c>
    </row>
    <row r="4356" spans="1:9" x14ac:dyDescent="0.2">
      <c r="A4356" s="134">
        <v>45665</v>
      </c>
      <c r="B4356" s="135">
        <f>YEAR(source[[#This Row],[report_date]])</f>
        <v>2025</v>
      </c>
      <c r="C4356" s="128">
        <f t="shared" si="198"/>
        <v>1</v>
      </c>
      <c r="D4356" s="136">
        <f t="shared" si="200"/>
        <v>2</v>
      </c>
      <c r="E4356" s="136">
        <f t="shared" si="199"/>
        <v>8</v>
      </c>
      <c r="F4356" s="137" t="s">
        <v>24</v>
      </c>
      <c r="G4356" s="128" t="str">
        <f>VLOOKUP(source[[#This Row],[lending_product_transform]],[3]Mapping!$B$4:$C$37,2,0)</f>
        <v>[Cake] - Cashloan</v>
      </c>
      <c r="H4356" s="128" t="str">
        <f>VLOOKUP(source[[#This Row],[lending_product_transform]],[3]Mapping!$B$3:$D$37,3,0)</f>
        <v>cashloan</v>
      </c>
      <c r="I4356" s="143">
        <v>5090650000</v>
      </c>
    </row>
    <row r="4357" spans="1:9" x14ac:dyDescent="0.2">
      <c r="A4357" s="134">
        <v>45665</v>
      </c>
      <c r="B4357" s="135">
        <f>YEAR(source[[#This Row],[report_date]])</f>
        <v>2025</v>
      </c>
      <c r="C4357" s="128">
        <f t="shared" si="198"/>
        <v>1</v>
      </c>
      <c r="D4357" s="136">
        <f t="shared" si="200"/>
        <v>2</v>
      </c>
      <c r="E4357" s="136">
        <f t="shared" si="199"/>
        <v>8</v>
      </c>
      <c r="F4357" s="137" t="s">
        <v>24</v>
      </c>
      <c r="G4357" s="128" t="str">
        <f>VLOOKUP(source[[#This Row],[lending_product_transform]],[3]Mapping!$B$4:$C$37,2,0)</f>
        <v>[Cake] - Cashloan</v>
      </c>
      <c r="H4357" s="128" t="str">
        <f>VLOOKUP(source[[#This Row],[lending_product_transform]],[3]Mapping!$B$3:$D$37,3,0)</f>
        <v>cashloan</v>
      </c>
      <c r="I4357" s="143">
        <v>0</v>
      </c>
    </row>
    <row r="4358" spans="1:9" x14ac:dyDescent="0.2">
      <c r="A4358" s="134">
        <v>45665</v>
      </c>
      <c r="B4358" s="135">
        <f>YEAR(source[[#This Row],[report_date]])</f>
        <v>2025</v>
      </c>
      <c r="C4358" s="128">
        <f t="shared" si="198"/>
        <v>1</v>
      </c>
      <c r="D4358" s="136">
        <f t="shared" si="200"/>
        <v>2</v>
      </c>
      <c r="E4358" s="136">
        <f t="shared" si="199"/>
        <v>8</v>
      </c>
      <c r="F4358" s="137" t="s">
        <v>24</v>
      </c>
      <c r="G4358" s="128" t="str">
        <f>VLOOKUP(source[[#This Row],[lending_product_transform]],[3]Mapping!$B$4:$C$37,2,0)</f>
        <v>[Cake] - Cashloan</v>
      </c>
      <c r="H4358" s="128" t="str">
        <f>VLOOKUP(source[[#This Row],[lending_product_transform]],[3]Mapping!$B$3:$D$37,3,0)</f>
        <v>cashloan</v>
      </c>
      <c r="I4358" s="143">
        <v>200535759</v>
      </c>
    </row>
    <row r="4359" spans="1:9" x14ac:dyDescent="0.2">
      <c r="A4359" s="134">
        <v>45665</v>
      </c>
      <c r="B4359" s="135">
        <f>YEAR(source[[#This Row],[report_date]])</f>
        <v>2025</v>
      </c>
      <c r="C4359" s="128">
        <f t="shared" si="198"/>
        <v>1</v>
      </c>
      <c r="D4359" s="136">
        <f t="shared" si="200"/>
        <v>2</v>
      </c>
      <c r="E4359" s="136">
        <f t="shared" si="199"/>
        <v>8</v>
      </c>
      <c r="F4359" s="137" t="s">
        <v>24</v>
      </c>
      <c r="G4359" s="128" t="str">
        <f>VLOOKUP(source[[#This Row],[lending_product_transform]],[3]Mapping!$B$4:$C$37,2,0)</f>
        <v>[Cake] - Cashloan</v>
      </c>
      <c r="H4359" s="128" t="str">
        <f>VLOOKUP(source[[#This Row],[lending_product_transform]],[3]Mapping!$B$3:$D$37,3,0)</f>
        <v>cashloan</v>
      </c>
      <c r="I4359" s="143">
        <v>3616167969</v>
      </c>
    </row>
    <row r="4360" spans="1:9" x14ac:dyDescent="0.2">
      <c r="A4360" s="134">
        <v>45665</v>
      </c>
      <c r="B4360" s="135">
        <f>YEAR(source[[#This Row],[report_date]])</f>
        <v>2025</v>
      </c>
      <c r="C4360" s="128">
        <f t="shared" si="198"/>
        <v>1</v>
      </c>
      <c r="D4360" s="136">
        <f t="shared" si="200"/>
        <v>2</v>
      </c>
      <c r="E4360" s="136">
        <f t="shared" si="199"/>
        <v>8</v>
      </c>
      <c r="F4360" s="137" t="s">
        <v>24</v>
      </c>
      <c r="G4360" s="128" t="str">
        <f>VLOOKUP(source[[#This Row],[lending_product_transform]],[3]Mapping!$B$4:$C$37,2,0)</f>
        <v>[Cake] - Cashloan</v>
      </c>
      <c r="H4360" s="128" t="str">
        <f>VLOOKUP(source[[#This Row],[lending_product_transform]],[3]Mapping!$B$3:$D$37,3,0)</f>
        <v>cashloan</v>
      </c>
      <c r="I4360" s="143">
        <v>6069650000</v>
      </c>
    </row>
    <row r="4361" spans="1:9" x14ac:dyDescent="0.2">
      <c r="A4361" s="134">
        <v>45665</v>
      </c>
      <c r="B4361" s="135">
        <f>YEAR(source[[#This Row],[report_date]])</f>
        <v>2025</v>
      </c>
      <c r="C4361" s="128">
        <f t="shared" si="198"/>
        <v>1</v>
      </c>
      <c r="D4361" s="136">
        <f t="shared" si="200"/>
        <v>2</v>
      </c>
      <c r="E4361" s="136">
        <f t="shared" si="199"/>
        <v>8</v>
      </c>
      <c r="F4361" s="137" t="s">
        <v>24</v>
      </c>
      <c r="G4361" s="128" t="str">
        <f>VLOOKUP(source[[#This Row],[lending_product_transform]],[3]Mapping!$B$4:$C$37,2,0)</f>
        <v>[Cake] - Cashloan</v>
      </c>
      <c r="H4361" s="128" t="str">
        <f>VLOOKUP(source[[#This Row],[lending_product_transform]],[3]Mapping!$B$3:$D$37,3,0)</f>
        <v>cashloan</v>
      </c>
      <c r="I4361" s="143">
        <v>463765772</v>
      </c>
    </row>
    <row r="4362" spans="1:9" x14ac:dyDescent="0.2">
      <c r="A4362" s="134">
        <v>45666</v>
      </c>
      <c r="B4362" s="135">
        <f>YEAR(source[[#This Row],[report_date]])</f>
        <v>2025</v>
      </c>
      <c r="C4362" s="128">
        <f t="shared" si="198"/>
        <v>1</v>
      </c>
      <c r="D4362" s="136">
        <f t="shared" si="200"/>
        <v>2</v>
      </c>
      <c r="E4362" s="136">
        <f t="shared" si="199"/>
        <v>9</v>
      </c>
      <c r="F4362" s="137" t="s">
        <v>24</v>
      </c>
      <c r="G4362" s="128" t="str">
        <f>VLOOKUP(source[[#This Row],[lending_product_transform]],[3]Mapping!$B$4:$C$37,2,0)</f>
        <v>[Cake] - Cashloan</v>
      </c>
      <c r="H4362" s="128" t="str">
        <f>VLOOKUP(source[[#This Row],[lending_product_transform]],[3]Mapping!$B$3:$D$37,3,0)</f>
        <v>cashloan</v>
      </c>
      <c r="I4362" s="143">
        <v>51500000</v>
      </c>
    </row>
    <row r="4363" spans="1:9" x14ac:dyDescent="0.2">
      <c r="A4363" s="134">
        <v>45666</v>
      </c>
      <c r="B4363" s="135">
        <f>YEAR(source[[#This Row],[report_date]])</f>
        <v>2025</v>
      </c>
      <c r="C4363" s="128">
        <f t="shared" si="198"/>
        <v>1</v>
      </c>
      <c r="D4363" s="136">
        <f t="shared" si="200"/>
        <v>2</v>
      </c>
      <c r="E4363" s="136">
        <f t="shared" si="199"/>
        <v>9</v>
      </c>
      <c r="F4363" s="137" t="s">
        <v>24</v>
      </c>
      <c r="G4363" s="128" t="str">
        <f>VLOOKUP(source[[#This Row],[lending_product_transform]],[3]Mapping!$B$4:$C$37,2,0)</f>
        <v>[Cake] - Cashloan</v>
      </c>
      <c r="H4363" s="128" t="str">
        <f>VLOOKUP(source[[#This Row],[lending_product_transform]],[3]Mapping!$B$3:$D$37,3,0)</f>
        <v>cashloan</v>
      </c>
      <c r="I4363" s="143">
        <v>3599006843</v>
      </c>
    </row>
    <row r="4364" spans="1:9" x14ac:dyDescent="0.2">
      <c r="A4364" s="134">
        <v>45666</v>
      </c>
      <c r="B4364" s="135">
        <f>YEAR(source[[#This Row],[report_date]])</f>
        <v>2025</v>
      </c>
      <c r="C4364" s="128">
        <f t="shared" si="198"/>
        <v>1</v>
      </c>
      <c r="D4364" s="136">
        <f t="shared" si="200"/>
        <v>2</v>
      </c>
      <c r="E4364" s="136">
        <f t="shared" si="199"/>
        <v>9</v>
      </c>
      <c r="F4364" s="137" t="s">
        <v>24</v>
      </c>
      <c r="G4364" s="128" t="str">
        <f>VLOOKUP(source[[#This Row],[lending_product_transform]],[3]Mapping!$B$4:$C$37,2,0)</f>
        <v>[Cake] - Cashloan</v>
      </c>
      <c r="H4364" s="128" t="str">
        <f>VLOOKUP(source[[#This Row],[lending_product_transform]],[3]Mapping!$B$3:$D$37,3,0)</f>
        <v>cashloan</v>
      </c>
      <c r="I4364" s="143">
        <v>16364655</v>
      </c>
    </row>
    <row r="4365" spans="1:9" x14ac:dyDescent="0.2">
      <c r="A4365" s="134">
        <v>45666</v>
      </c>
      <c r="B4365" s="135">
        <f>YEAR(source[[#This Row],[report_date]])</f>
        <v>2025</v>
      </c>
      <c r="C4365" s="128">
        <f t="shared" si="198"/>
        <v>1</v>
      </c>
      <c r="D4365" s="136">
        <f t="shared" si="200"/>
        <v>2</v>
      </c>
      <c r="E4365" s="136">
        <f t="shared" si="199"/>
        <v>9</v>
      </c>
      <c r="F4365" s="137" t="s">
        <v>24</v>
      </c>
      <c r="G4365" s="128" t="str">
        <f>VLOOKUP(source[[#This Row],[lending_product_transform]],[3]Mapping!$B$4:$C$37,2,0)</f>
        <v>[Cake] - Cashloan</v>
      </c>
      <c r="H4365" s="128" t="str">
        <f>VLOOKUP(source[[#This Row],[lending_product_transform]],[3]Mapping!$B$3:$D$37,3,0)</f>
        <v>cashloan</v>
      </c>
      <c r="I4365" s="143">
        <v>217709987</v>
      </c>
    </row>
    <row r="4366" spans="1:9" x14ac:dyDescent="0.2">
      <c r="A4366" s="134">
        <v>45666</v>
      </c>
      <c r="B4366" s="135">
        <f>YEAR(source[[#This Row],[report_date]])</f>
        <v>2025</v>
      </c>
      <c r="C4366" s="128">
        <f t="shared" si="198"/>
        <v>1</v>
      </c>
      <c r="D4366" s="136">
        <f t="shared" si="200"/>
        <v>2</v>
      </c>
      <c r="E4366" s="136">
        <f t="shared" si="199"/>
        <v>9</v>
      </c>
      <c r="F4366" s="137" t="s">
        <v>24</v>
      </c>
      <c r="G4366" s="128" t="str">
        <f>VLOOKUP(source[[#This Row],[lending_product_transform]],[3]Mapping!$B$4:$C$37,2,0)</f>
        <v>[Cake] - Cashloan</v>
      </c>
      <c r="H4366" s="128" t="str">
        <f>VLOOKUP(source[[#This Row],[lending_product_transform]],[3]Mapping!$B$3:$D$37,3,0)</f>
        <v>cashloan</v>
      </c>
      <c r="I4366" s="143">
        <v>410930000</v>
      </c>
    </row>
    <row r="4367" spans="1:9" x14ac:dyDescent="0.2">
      <c r="A4367" s="134">
        <v>45666</v>
      </c>
      <c r="B4367" s="135">
        <f>YEAR(source[[#This Row],[report_date]])</f>
        <v>2025</v>
      </c>
      <c r="C4367" s="128">
        <f t="shared" si="198"/>
        <v>1</v>
      </c>
      <c r="D4367" s="136">
        <f t="shared" si="200"/>
        <v>2</v>
      </c>
      <c r="E4367" s="136">
        <f t="shared" si="199"/>
        <v>9</v>
      </c>
      <c r="F4367" s="137" t="s">
        <v>24</v>
      </c>
      <c r="G4367" s="128" t="str">
        <f>VLOOKUP(source[[#This Row],[lending_product_transform]],[3]Mapping!$B$4:$C$37,2,0)</f>
        <v>[Cake] - Cashloan</v>
      </c>
      <c r="H4367" s="128" t="str">
        <f>VLOOKUP(source[[#This Row],[lending_product_transform]],[3]Mapping!$B$3:$D$37,3,0)</f>
        <v>cashloan</v>
      </c>
      <c r="I4367" s="143">
        <v>0</v>
      </c>
    </row>
    <row r="4368" spans="1:9" x14ac:dyDescent="0.2">
      <c r="A4368" s="134">
        <v>45666</v>
      </c>
      <c r="B4368" s="135">
        <f>YEAR(source[[#This Row],[report_date]])</f>
        <v>2025</v>
      </c>
      <c r="C4368" s="128">
        <f t="shared" si="198"/>
        <v>1</v>
      </c>
      <c r="D4368" s="136">
        <f t="shared" si="200"/>
        <v>2</v>
      </c>
      <c r="E4368" s="136">
        <f t="shared" si="199"/>
        <v>9</v>
      </c>
      <c r="F4368" s="137" t="s">
        <v>24</v>
      </c>
      <c r="G4368" s="128" t="str">
        <f>VLOOKUP(source[[#This Row],[lending_product_transform]],[3]Mapping!$B$4:$C$37,2,0)</f>
        <v>[Cake] - Cashloan</v>
      </c>
      <c r="H4368" s="128" t="str">
        <f>VLOOKUP(source[[#This Row],[lending_product_transform]],[3]Mapping!$B$3:$D$37,3,0)</f>
        <v>cashloan</v>
      </c>
      <c r="I4368" s="143">
        <v>31500000</v>
      </c>
    </row>
    <row r="4369" spans="1:9" x14ac:dyDescent="0.2">
      <c r="A4369" s="134">
        <v>45666</v>
      </c>
      <c r="B4369" s="135">
        <f>YEAR(source[[#This Row],[report_date]])</f>
        <v>2025</v>
      </c>
      <c r="C4369" s="128">
        <f t="shared" si="198"/>
        <v>1</v>
      </c>
      <c r="D4369" s="136">
        <f t="shared" si="200"/>
        <v>2</v>
      </c>
      <c r="E4369" s="136">
        <f t="shared" si="199"/>
        <v>9</v>
      </c>
      <c r="F4369" s="137" t="s">
        <v>24</v>
      </c>
      <c r="G4369" s="128" t="str">
        <f>VLOOKUP(source[[#This Row],[lending_product_transform]],[3]Mapping!$B$4:$C$37,2,0)</f>
        <v>[Cake] - Cashloan</v>
      </c>
      <c r="H4369" s="128" t="str">
        <f>VLOOKUP(source[[#This Row],[lending_product_transform]],[3]Mapping!$B$3:$D$37,3,0)</f>
        <v>cashloan</v>
      </c>
      <c r="I4369" s="143">
        <v>203542250</v>
      </c>
    </row>
    <row r="4370" spans="1:9" x14ac:dyDescent="0.2">
      <c r="A4370" s="134">
        <v>45666</v>
      </c>
      <c r="B4370" s="135">
        <f>YEAR(source[[#This Row],[report_date]])</f>
        <v>2025</v>
      </c>
      <c r="C4370" s="128">
        <f t="shared" si="198"/>
        <v>1</v>
      </c>
      <c r="D4370" s="136">
        <f t="shared" si="200"/>
        <v>2</v>
      </c>
      <c r="E4370" s="136">
        <f t="shared" si="199"/>
        <v>9</v>
      </c>
      <c r="F4370" s="137" t="s">
        <v>24</v>
      </c>
      <c r="G4370" s="128" t="str">
        <f>VLOOKUP(source[[#This Row],[lending_product_transform]],[3]Mapping!$B$4:$C$37,2,0)</f>
        <v>[Cake] - Cashloan</v>
      </c>
      <c r="H4370" s="128" t="str">
        <f>VLOOKUP(source[[#This Row],[lending_product_transform]],[3]Mapping!$B$3:$D$37,3,0)</f>
        <v>cashloan</v>
      </c>
      <c r="I4370" s="143">
        <v>23000000</v>
      </c>
    </row>
    <row r="4371" spans="1:9" x14ac:dyDescent="0.2">
      <c r="A4371" s="134">
        <v>45666</v>
      </c>
      <c r="B4371" s="135">
        <f>YEAR(source[[#This Row],[report_date]])</f>
        <v>2025</v>
      </c>
      <c r="C4371" s="128">
        <f t="shared" si="198"/>
        <v>1</v>
      </c>
      <c r="D4371" s="136">
        <f t="shared" si="200"/>
        <v>2</v>
      </c>
      <c r="E4371" s="136">
        <f t="shared" si="199"/>
        <v>9</v>
      </c>
      <c r="F4371" s="137" t="s">
        <v>24</v>
      </c>
      <c r="G4371" s="128" t="str">
        <f>VLOOKUP(source[[#This Row],[lending_product_transform]],[3]Mapping!$B$4:$C$37,2,0)</f>
        <v>[Cake] - Cashloan</v>
      </c>
      <c r="H4371" s="128" t="str">
        <f>VLOOKUP(source[[#This Row],[lending_product_transform]],[3]Mapping!$B$3:$D$37,3,0)</f>
        <v>cashloan</v>
      </c>
      <c r="I4371" s="143">
        <v>6638310000</v>
      </c>
    </row>
    <row r="4372" spans="1:9" x14ac:dyDescent="0.2">
      <c r="A4372" s="134">
        <v>45666</v>
      </c>
      <c r="B4372" s="135">
        <f>YEAR(source[[#This Row],[report_date]])</f>
        <v>2025</v>
      </c>
      <c r="C4372" s="128">
        <f t="shared" si="198"/>
        <v>1</v>
      </c>
      <c r="D4372" s="136">
        <f t="shared" si="200"/>
        <v>2</v>
      </c>
      <c r="E4372" s="136">
        <f t="shared" si="199"/>
        <v>9</v>
      </c>
      <c r="F4372" s="137" t="s">
        <v>24</v>
      </c>
      <c r="G4372" s="128" t="str">
        <f>VLOOKUP(source[[#This Row],[lending_product_transform]],[3]Mapping!$B$4:$C$37,2,0)</f>
        <v>[Cake] - Cashloan</v>
      </c>
      <c r="H4372" s="128" t="str">
        <f>VLOOKUP(source[[#This Row],[lending_product_transform]],[3]Mapping!$B$3:$D$37,3,0)</f>
        <v>cashloan</v>
      </c>
      <c r="I4372" s="143">
        <v>4601000000</v>
      </c>
    </row>
    <row r="4373" spans="1:9" x14ac:dyDescent="0.2">
      <c r="A4373" s="134">
        <v>45666</v>
      </c>
      <c r="B4373" s="135">
        <f>YEAR(source[[#This Row],[report_date]])</f>
        <v>2025</v>
      </c>
      <c r="C4373" s="128">
        <f t="shared" si="198"/>
        <v>1</v>
      </c>
      <c r="D4373" s="136">
        <f t="shared" si="200"/>
        <v>2</v>
      </c>
      <c r="E4373" s="136">
        <f t="shared" si="199"/>
        <v>9</v>
      </c>
      <c r="F4373" s="137" t="s">
        <v>24</v>
      </c>
      <c r="G4373" s="128" t="str">
        <f>VLOOKUP(source[[#This Row],[lending_product_transform]],[3]Mapping!$B$4:$C$37,2,0)</f>
        <v>[Cake] - Cashloan</v>
      </c>
      <c r="H4373" s="128" t="str">
        <f>VLOOKUP(source[[#This Row],[lending_product_transform]],[3]Mapping!$B$3:$D$37,3,0)</f>
        <v>cashloan</v>
      </c>
      <c r="I4373" s="143">
        <v>529950000</v>
      </c>
    </row>
    <row r="4374" spans="1:9" x14ac:dyDescent="0.2">
      <c r="A4374" s="134">
        <v>45666</v>
      </c>
      <c r="B4374" s="135">
        <f>YEAR(source[[#This Row],[report_date]])</f>
        <v>2025</v>
      </c>
      <c r="C4374" s="128">
        <f t="shared" ref="C4374:C4437" si="201">MONTH(A4374)</f>
        <v>1</v>
      </c>
      <c r="D4374" s="136">
        <f t="shared" si="200"/>
        <v>2</v>
      </c>
      <c r="E4374" s="136">
        <f t="shared" ref="E4374:E4437" si="202">DAY(A4374)</f>
        <v>9</v>
      </c>
      <c r="F4374" s="137" t="s">
        <v>24</v>
      </c>
      <c r="G4374" s="128" t="str">
        <f>VLOOKUP(source[[#This Row],[lending_product_transform]],[3]Mapping!$B$4:$C$37,2,0)</f>
        <v>[Cake] - Cashloan</v>
      </c>
      <c r="H4374" s="128" t="str">
        <f>VLOOKUP(source[[#This Row],[lending_product_transform]],[3]Mapping!$B$3:$D$37,3,0)</f>
        <v>cashloan</v>
      </c>
      <c r="I4374" s="143">
        <v>20000000</v>
      </c>
    </row>
    <row r="4375" spans="1:9" x14ac:dyDescent="0.2">
      <c r="A4375" s="134">
        <v>45666</v>
      </c>
      <c r="B4375" s="135">
        <f>YEAR(source[[#This Row],[report_date]])</f>
        <v>2025</v>
      </c>
      <c r="C4375" s="128">
        <f t="shared" si="201"/>
        <v>1</v>
      </c>
      <c r="D4375" s="136">
        <f t="shared" si="200"/>
        <v>2</v>
      </c>
      <c r="E4375" s="136">
        <f t="shared" si="202"/>
        <v>9</v>
      </c>
      <c r="F4375" s="137" t="s">
        <v>24</v>
      </c>
      <c r="G4375" s="128" t="str">
        <f>VLOOKUP(source[[#This Row],[lending_product_transform]],[3]Mapping!$B$4:$C$37,2,0)</f>
        <v>[Cake] - Cashloan</v>
      </c>
      <c r="H4375" s="128" t="str">
        <f>VLOOKUP(source[[#This Row],[lending_product_transform]],[3]Mapping!$B$3:$D$37,3,0)</f>
        <v>cashloan</v>
      </c>
      <c r="I4375" s="143">
        <v>0</v>
      </c>
    </row>
    <row r="4376" spans="1:9" x14ac:dyDescent="0.2">
      <c r="A4376" s="134">
        <v>45666</v>
      </c>
      <c r="B4376" s="135">
        <f>YEAR(source[[#This Row],[report_date]])</f>
        <v>2025</v>
      </c>
      <c r="C4376" s="128">
        <f t="shared" si="201"/>
        <v>1</v>
      </c>
      <c r="D4376" s="136">
        <f t="shared" si="200"/>
        <v>2</v>
      </c>
      <c r="E4376" s="136">
        <f t="shared" si="202"/>
        <v>9</v>
      </c>
      <c r="F4376" s="137" t="s">
        <v>24</v>
      </c>
      <c r="G4376" s="128" t="str">
        <f>VLOOKUP(source[[#This Row],[lending_product_transform]],[3]Mapping!$B$4:$C$37,2,0)</f>
        <v>[Cake] - Cashloan</v>
      </c>
      <c r="H4376" s="128" t="str">
        <f>VLOOKUP(source[[#This Row],[lending_product_transform]],[3]Mapping!$B$3:$D$37,3,0)</f>
        <v>cashloan</v>
      </c>
      <c r="I4376" s="143">
        <v>0</v>
      </c>
    </row>
    <row r="4377" spans="1:9" x14ac:dyDescent="0.2">
      <c r="A4377" s="134">
        <v>45666</v>
      </c>
      <c r="B4377" s="135">
        <f>YEAR(source[[#This Row],[report_date]])</f>
        <v>2025</v>
      </c>
      <c r="C4377" s="128">
        <f t="shared" si="201"/>
        <v>1</v>
      </c>
      <c r="D4377" s="136">
        <f t="shared" si="200"/>
        <v>2</v>
      </c>
      <c r="E4377" s="136">
        <f t="shared" si="202"/>
        <v>9</v>
      </c>
      <c r="F4377" s="137" t="s">
        <v>24</v>
      </c>
      <c r="G4377" s="128" t="str">
        <f>VLOOKUP(source[[#This Row],[lending_product_transform]],[3]Mapping!$B$4:$C$37,2,0)</f>
        <v>[Cake] - Cashloan</v>
      </c>
      <c r="H4377" s="128" t="str">
        <f>VLOOKUP(source[[#This Row],[lending_product_transform]],[3]Mapping!$B$3:$D$37,3,0)</f>
        <v>cashloan</v>
      </c>
      <c r="I4377" s="143">
        <v>5384460000</v>
      </c>
    </row>
    <row r="4378" spans="1:9" x14ac:dyDescent="0.2">
      <c r="A4378" s="134">
        <v>45666</v>
      </c>
      <c r="B4378" s="135">
        <f>YEAR(source[[#This Row],[report_date]])</f>
        <v>2025</v>
      </c>
      <c r="C4378" s="128">
        <f t="shared" si="201"/>
        <v>1</v>
      </c>
      <c r="D4378" s="136">
        <f t="shared" si="200"/>
        <v>2</v>
      </c>
      <c r="E4378" s="136">
        <f t="shared" si="202"/>
        <v>9</v>
      </c>
      <c r="F4378" s="137" t="s">
        <v>24</v>
      </c>
      <c r="G4378" s="128" t="str">
        <f>VLOOKUP(source[[#This Row],[lending_product_transform]],[3]Mapping!$B$4:$C$37,2,0)</f>
        <v>[Cake] - Cashloan</v>
      </c>
      <c r="H4378" s="128" t="str">
        <f>VLOOKUP(source[[#This Row],[lending_product_transform]],[3]Mapping!$B$3:$D$37,3,0)</f>
        <v>cashloan</v>
      </c>
      <c r="I4378" s="143">
        <v>0</v>
      </c>
    </row>
    <row r="4379" spans="1:9" x14ac:dyDescent="0.2">
      <c r="A4379" s="134">
        <v>45666</v>
      </c>
      <c r="B4379" s="135">
        <f>YEAR(source[[#This Row],[report_date]])</f>
        <v>2025</v>
      </c>
      <c r="C4379" s="128">
        <f t="shared" si="201"/>
        <v>1</v>
      </c>
      <c r="D4379" s="136">
        <f t="shared" si="200"/>
        <v>2</v>
      </c>
      <c r="E4379" s="136">
        <f t="shared" si="202"/>
        <v>9</v>
      </c>
      <c r="F4379" s="137" t="s">
        <v>24</v>
      </c>
      <c r="G4379" s="128" t="str">
        <f>VLOOKUP(source[[#This Row],[lending_product_transform]],[3]Mapping!$B$4:$C$37,2,0)</f>
        <v>[Cake] - Cashloan</v>
      </c>
      <c r="H4379" s="128" t="str">
        <f>VLOOKUP(source[[#This Row],[lending_product_transform]],[3]Mapping!$B$3:$D$37,3,0)</f>
        <v>cashloan</v>
      </c>
      <c r="I4379" s="143">
        <v>453659182</v>
      </c>
    </row>
    <row r="4380" spans="1:9" x14ac:dyDescent="0.2">
      <c r="A4380" s="134">
        <v>45667</v>
      </c>
      <c r="B4380" s="135">
        <f>YEAR(source[[#This Row],[report_date]])</f>
        <v>2025</v>
      </c>
      <c r="C4380" s="128">
        <f t="shared" si="201"/>
        <v>1</v>
      </c>
      <c r="D4380" s="136">
        <f t="shared" si="200"/>
        <v>2</v>
      </c>
      <c r="E4380" s="136">
        <f t="shared" si="202"/>
        <v>10</v>
      </c>
      <c r="F4380" s="137" t="s">
        <v>24</v>
      </c>
      <c r="G4380" s="128" t="str">
        <f>VLOOKUP(source[[#This Row],[lending_product_transform]],[3]Mapping!$B$4:$C$37,2,0)</f>
        <v>[Cake] - Cashloan</v>
      </c>
      <c r="H4380" s="128" t="str">
        <f>VLOOKUP(source[[#This Row],[lending_product_transform]],[3]Mapping!$B$3:$D$37,3,0)</f>
        <v>cashloan</v>
      </c>
      <c r="I4380" s="143">
        <v>5982000000</v>
      </c>
    </row>
    <row r="4381" spans="1:9" x14ac:dyDescent="0.2">
      <c r="A4381" s="134">
        <v>45667</v>
      </c>
      <c r="B4381" s="135">
        <f>YEAR(source[[#This Row],[report_date]])</f>
        <v>2025</v>
      </c>
      <c r="C4381" s="128">
        <f t="shared" si="201"/>
        <v>1</v>
      </c>
      <c r="D4381" s="136">
        <f t="shared" si="200"/>
        <v>2</v>
      </c>
      <c r="E4381" s="136">
        <f t="shared" si="202"/>
        <v>10</v>
      </c>
      <c r="F4381" s="137" t="s">
        <v>24</v>
      </c>
      <c r="G4381" s="128" t="str">
        <f>VLOOKUP(source[[#This Row],[lending_product_transform]],[3]Mapping!$B$4:$C$37,2,0)</f>
        <v>[Cake] - Cashloan</v>
      </c>
      <c r="H4381" s="128" t="str">
        <f>VLOOKUP(source[[#This Row],[lending_product_transform]],[3]Mapping!$B$3:$D$37,3,0)</f>
        <v>cashloan</v>
      </c>
      <c r="I4381" s="143">
        <v>32600000</v>
      </c>
    </row>
    <row r="4382" spans="1:9" x14ac:dyDescent="0.2">
      <c r="A4382" s="134">
        <v>45667</v>
      </c>
      <c r="B4382" s="135">
        <f>YEAR(source[[#This Row],[report_date]])</f>
        <v>2025</v>
      </c>
      <c r="C4382" s="128">
        <f t="shared" si="201"/>
        <v>1</v>
      </c>
      <c r="D4382" s="136">
        <f t="shared" si="200"/>
        <v>2</v>
      </c>
      <c r="E4382" s="136">
        <f t="shared" si="202"/>
        <v>10</v>
      </c>
      <c r="F4382" s="137" t="s">
        <v>24</v>
      </c>
      <c r="G4382" s="128" t="str">
        <f>VLOOKUP(source[[#This Row],[lending_product_transform]],[3]Mapping!$B$4:$C$37,2,0)</f>
        <v>[Cake] - Cashloan</v>
      </c>
      <c r="H4382" s="128" t="str">
        <f>VLOOKUP(source[[#This Row],[lending_product_transform]],[3]Mapping!$B$3:$D$37,3,0)</f>
        <v>cashloan</v>
      </c>
      <c r="I4382" s="143">
        <v>33000000</v>
      </c>
    </row>
    <row r="4383" spans="1:9" x14ac:dyDescent="0.2">
      <c r="A4383" s="134">
        <v>45667</v>
      </c>
      <c r="B4383" s="135">
        <f>YEAR(source[[#This Row],[report_date]])</f>
        <v>2025</v>
      </c>
      <c r="C4383" s="128">
        <f t="shared" si="201"/>
        <v>1</v>
      </c>
      <c r="D4383" s="136">
        <f t="shared" si="200"/>
        <v>2</v>
      </c>
      <c r="E4383" s="136">
        <f t="shared" si="202"/>
        <v>10</v>
      </c>
      <c r="F4383" s="137" t="s">
        <v>24</v>
      </c>
      <c r="G4383" s="128" t="str">
        <f>VLOOKUP(source[[#This Row],[lending_product_transform]],[3]Mapping!$B$4:$C$37,2,0)</f>
        <v>[Cake] - Cashloan</v>
      </c>
      <c r="H4383" s="128" t="str">
        <f>VLOOKUP(source[[#This Row],[lending_product_transform]],[3]Mapping!$B$3:$D$37,3,0)</f>
        <v>cashloan</v>
      </c>
      <c r="I4383" s="143">
        <v>41000000</v>
      </c>
    </row>
    <row r="4384" spans="1:9" x14ac:dyDescent="0.2">
      <c r="A4384" s="134">
        <v>45667</v>
      </c>
      <c r="B4384" s="135">
        <f>YEAR(source[[#This Row],[report_date]])</f>
        <v>2025</v>
      </c>
      <c r="C4384" s="128">
        <f t="shared" si="201"/>
        <v>1</v>
      </c>
      <c r="D4384" s="136">
        <f t="shared" si="200"/>
        <v>2</v>
      </c>
      <c r="E4384" s="136">
        <f t="shared" si="202"/>
        <v>10</v>
      </c>
      <c r="F4384" s="137" t="s">
        <v>24</v>
      </c>
      <c r="G4384" s="128" t="str">
        <f>VLOOKUP(source[[#This Row],[lending_product_transform]],[3]Mapping!$B$4:$C$37,2,0)</f>
        <v>[Cake] - Cashloan</v>
      </c>
      <c r="H4384" s="128" t="str">
        <f>VLOOKUP(source[[#This Row],[lending_product_transform]],[3]Mapping!$B$3:$D$37,3,0)</f>
        <v>cashloan</v>
      </c>
      <c r="I4384" s="143">
        <v>433980000</v>
      </c>
    </row>
    <row r="4385" spans="1:9" x14ac:dyDescent="0.2">
      <c r="A4385" s="134">
        <v>45667</v>
      </c>
      <c r="B4385" s="135">
        <f>YEAR(source[[#This Row],[report_date]])</f>
        <v>2025</v>
      </c>
      <c r="C4385" s="128">
        <f t="shared" si="201"/>
        <v>1</v>
      </c>
      <c r="D4385" s="136">
        <f t="shared" si="200"/>
        <v>2</v>
      </c>
      <c r="E4385" s="136">
        <f t="shared" si="202"/>
        <v>10</v>
      </c>
      <c r="F4385" s="137" t="s">
        <v>24</v>
      </c>
      <c r="G4385" s="128" t="str">
        <f>VLOOKUP(source[[#This Row],[lending_product_transform]],[3]Mapping!$B$4:$C$37,2,0)</f>
        <v>[Cake] - Cashloan</v>
      </c>
      <c r="H4385" s="128" t="str">
        <f>VLOOKUP(source[[#This Row],[lending_product_transform]],[3]Mapping!$B$3:$D$37,3,0)</f>
        <v>cashloan</v>
      </c>
      <c r="I4385" s="143">
        <v>0</v>
      </c>
    </row>
    <row r="4386" spans="1:9" x14ac:dyDescent="0.2">
      <c r="A4386" s="134">
        <v>45667</v>
      </c>
      <c r="B4386" s="135">
        <f>YEAR(source[[#This Row],[report_date]])</f>
        <v>2025</v>
      </c>
      <c r="C4386" s="128">
        <f t="shared" si="201"/>
        <v>1</v>
      </c>
      <c r="D4386" s="136">
        <f t="shared" si="200"/>
        <v>2</v>
      </c>
      <c r="E4386" s="136">
        <f t="shared" si="202"/>
        <v>10</v>
      </c>
      <c r="F4386" s="137" t="s">
        <v>24</v>
      </c>
      <c r="G4386" s="128" t="str">
        <f>VLOOKUP(source[[#This Row],[lending_product_transform]],[3]Mapping!$B$4:$C$37,2,0)</f>
        <v>[Cake] - Cashloan</v>
      </c>
      <c r="H4386" s="128" t="str">
        <f>VLOOKUP(source[[#This Row],[lending_product_transform]],[3]Mapping!$B$3:$D$37,3,0)</f>
        <v>cashloan</v>
      </c>
      <c r="I4386" s="143">
        <v>443491453</v>
      </c>
    </row>
    <row r="4387" spans="1:9" x14ac:dyDescent="0.2">
      <c r="A4387" s="134">
        <v>45667</v>
      </c>
      <c r="B4387" s="135">
        <f>YEAR(source[[#This Row],[report_date]])</f>
        <v>2025</v>
      </c>
      <c r="C4387" s="128">
        <f t="shared" si="201"/>
        <v>1</v>
      </c>
      <c r="D4387" s="136">
        <f t="shared" si="200"/>
        <v>2</v>
      </c>
      <c r="E4387" s="136">
        <f t="shared" si="202"/>
        <v>10</v>
      </c>
      <c r="F4387" s="137" t="s">
        <v>24</v>
      </c>
      <c r="G4387" s="128" t="str">
        <f>VLOOKUP(source[[#This Row],[lending_product_transform]],[3]Mapping!$B$4:$C$37,2,0)</f>
        <v>[Cake] - Cashloan</v>
      </c>
      <c r="H4387" s="128" t="str">
        <f>VLOOKUP(source[[#This Row],[lending_product_transform]],[3]Mapping!$B$3:$D$37,3,0)</f>
        <v>cashloan</v>
      </c>
      <c r="I4387" s="143">
        <v>27067354</v>
      </c>
    </row>
    <row r="4388" spans="1:9" x14ac:dyDescent="0.2">
      <c r="A4388" s="134">
        <v>45667</v>
      </c>
      <c r="B4388" s="135">
        <f>YEAR(source[[#This Row],[report_date]])</f>
        <v>2025</v>
      </c>
      <c r="C4388" s="128">
        <f t="shared" si="201"/>
        <v>1</v>
      </c>
      <c r="D4388" s="136">
        <f t="shared" si="200"/>
        <v>2</v>
      </c>
      <c r="E4388" s="136">
        <f t="shared" si="202"/>
        <v>10</v>
      </c>
      <c r="F4388" s="137" t="s">
        <v>24</v>
      </c>
      <c r="G4388" s="128" t="str">
        <f>VLOOKUP(source[[#This Row],[lending_product_transform]],[3]Mapping!$B$4:$C$37,2,0)</f>
        <v>[Cake] - Cashloan</v>
      </c>
      <c r="H4388" s="128" t="str">
        <f>VLOOKUP(source[[#This Row],[lending_product_transform]],[3]Mapping!$B$3:$D$37,3,0)</f>
        <v>cashloan</v>
      </c>
      <c r="I4388" s="143">
        <v>3903461157</v>
      </c>
    </row>
    <row r="4389" spans="1:9" x14ac:dyDescent="0.2">
      <c r="A4389" s="134">
        <v>45667</v>
      </c>
      <c r="B4389" s="135">
        <f>YEAR(source[[#This Row],[report_date]])</f>
        <v>2025</v>
      </c>
      <c r="C4389" s="128">
        <f t="shared" si="201"/>
        <v>1</v>
      </c>
      <c r="D4389" s="136">
        <f t="shared" si="200"/>
        <v>2</v>
      </c>
      <c r="E4389" s="136">
        <f t="shared" si="202"/>
        <v>10</v>
      </c>
      <c r="F4389" s="137" t="s">
        <v>24</v>
      </c>
      <c r="G4389" s="128" t="str">
        <f>VLOOKUP(source[[#This Row],[lending_product_transform]],[3]Mapping!$B$4:$C$37,2,0)</f>
        <v>[Cake] - Cashloan</v>
      </c>
      <c r="H4389" s="128" t="str">
        <f>VLOOKUP(source[[#This Row],[lending_product_transform]],[3]Mapping!$B$3:$D$37,3,0)</f>
        <v>cashloan</v>
      </c>
      <c r="I4389" s="143">
        <v>7461300000</v>
      </c>
    </row>
    <row r="4390" spans="1:9" x14ac:dyDescent="0.2">
      <c r="A4390" s="134">
        <v>45667</v>
      </c>
      <c r="B4390" s="135">
        <f>YEAR(source[[#This Row],[report_date]])</f>
        <v>2025</v>
      </c>
      <c r="C4390" s="128">
        <f t="shared" si="201"/>
        <v>1</v>
      </c>
      <c r="D4390" s="136">
        <f t="shared" si="200"/>
        <v>2</v>
      </c>
      <c r="E4390" s="136">
        <f t="shared" si="202"/>
        <v>10</v>
      </c>
      <c r="F4390" s="137" t="s">
        <v>24</v>
      </c>
      <c r="G4390" s="128" t="str">
        <f>VLOOKUP(source[[#This Row],[lending_product_transform]],[3]Mapping!$B$4:$C$37,2,0)</f>
        <v>[Cake] - Cashloan</v>
      </c>
      <c r="H4390" s="128" t="str">
        <f>VLOOKUP(source[[#This Row],[lending_product_transform]],[3]Mapping!$B$3:$D$37,3,0)</f>
        <v>cashloan</v>
      </c>
      <c r="I4390" s="143">
        <v>227968393</v>
      </c>
    </row>
    <row r="4391" spans="1:9" x14ac:dyDescent="0.2">
      <c r="A4391" s="134">
        <v>45667</v>
      </c>
      <c r="B4391" s="135">
        <f>YEAR(source[[#This Row],[report_date]])</f>
        <v>2025</v>
      </c>
      <c r="C4391" s="128">
        <f t="shared" si="201"/>
        <v>1</v>
      </c>
      <c r="D4391" s="136">
        <f t="shared" si="200"/>
        <v>2</v>
      </c>
      <c r="E4391" s="136">
        <f t="shared" si="202"/>
        <v>10</v>
      </c>
      <c r="F4391" s="137" t="s">
        <v>24</v>
      </c>
      <c r="G4391" s="128" t="str">
        <f>VLOOKUP(source[[#This Row],[lending_product_transform]],[3]Mapping!$B$4:$C$37,2,0)</f>
        <v>[Cake] - Cashloan</v>
      </c>
      <c r="H4391" s="128" t="str">
        <f>VLOOKUP(source[[#This Row],[lending_product_transform]],[3]Mapping!$B$3:$D$37,3,0)</f>
        <v>cashloan</v>
      </c>
      <c r="I4391" s="143">
        <v>250365101</v>
      </c>
    </row>
    <row r="4392" spans="1:9" x14ac:dyDescent="0.2">
      <c r="A4392" s="134">
        <v>45667</v>
      </c>
      <c r="B4392" s="135">
        <f>YEAR(source[[#This Row],[report_date]])</f>
        <v>2025</v>
      </c>
      <c r="C4392" s="128">
        <f t="shared" si="201"/>
        <v>1</v>
      </c>
      <c r="D4392" s="136">
        <f t="shared" si="200"/>
        <v>2</v>
      </c>
      <c r="E4392" s="136">
        <f t="shared" si="202"/>
        <v>10</v>
      </c>
      <c r="F4392" s="137" t="s">
        <v>24</v>
      </c>
      <c r="G4392" s="128" t="str">
        <f>VLOOKUP(source[[#This Row],[lending_product_transform]],[3]Mapping!$B$4:$C$37,2,0)</f>
        <v>[Cake] - Cashloan</v>
      </c>
      <c r="H4392" s="128" t="str">
        <f>VLOOKUP(source[[#This Row],[lending_product_transform]],[3]Mapping!$B$3:$D$37,3,0)</f>
        <v>cashloan</v>
      </c>
      <c r="I4392" s="143">
        <v>6236920000</v>
      </c>
    </row>
    <row r="4393" spans="1:9" x14ac:dyDescent="0.2">
      <c r="A4393" s="134">
        <v>45667</v>
      </c>
      <c r="B4393" s="135">
        <f>YEAR(source[[#This Row],[report_date]])</f>
        <v>2025</v>
      </c>
      <c r="C4393" s="128">
        <f t="shared" si="201"/>
        <v>1</v>
      </c>
      <c r="D4393" s="136">
        <f t="shared" si="200"/>
        <v>2</v>
      </c>
      <c r="E4393" s="136">
        <f t="shared" si="202"/>
        <v>10</v>
      </c>
      <c r="F4393" s="137" t="s">
        <v>24</v>
      </c>
      <c r="G4393" s="128" t="str">
        <f>VLOOKUP(source[[#This Row],[lending_product_transform]],[3]Mapping!$B$4:$C$37,2,0)</f>
        <v>[Cake] - Cashloan</v>
      </c>
      <c r="H4393" s="128" t="str">
        <f>VLOOKUP(source[[#This Row],[lending_product_transform]],[3]Mapping!$B$3:$D$37,3,0)</f>
        <v>cashloan</v>
      </c>
      <c r="I4393" s="143">
        <v>0</v>
      </c>
    </row>
    <row r="4394" spans="1:9" x14ac:dyDescent="0.2">
      <c r="A4394" s="134">
        <v>45667</v>
      </c>
      <c r="B4394" s="135">
        <f>YEAR(source[[#This Row],[report_date]])</f>
        <v>2025</v>
      </c>
      <c r="C4394" s="128">
        <f t="shared" si="201"/>
        <v>1</v>
      </c>
      <c r="D4394" s="136">
        <f t="shared" si="200"/>
        <v>2</v>
      </c>
      <c r="E4394" s="136">
        <f t="shared" si="202"/>
        <v>10</v>
      </c>
      <c r="F4394" s="137" t="s">
        <v>24</v>
      </c>
      <c r="G4394" s="128" t="str">
        <f>VLOOKUP(source[[#This Row],[lending_product_transform]],[3]Mapping!$B$4:$C$37,2,0)</f>
        <v>[Cake] - Cashloan</v>
      </c>
      <c r="H4394" s="128" t="str">
        <f>VLOOKUP(source[[#This Row],[lending_product_transform]],[3]Mapping!$B$3:$D$37,3,0)</f>
        <v>cashloan</v>
      </c>
      <c r="I4394" s="143">
        <v>20000000</v>
      </c>
    </row>
    <row r="4395" spans="1:9" x14ac:dyDescent="0.2">
      <c r="A4395" s="134">
        <v>45667</v>
      </c>
      <c r="B4395" s="135">
        <f>YEAR(source[[#This Row],[report_date]])</f>
        <v>2025</v>
      </c>
      <c r="C4395" s="128">
        <f t="shared" si="201"/>
        <v>1</v>
      </c>
      <c r="D4395" s="136">
        <f t="shared" si="200"/>
        <v>2</v>
      </c>
      <c r="E4395" s="136">
        <f t="shared" si="202"/>
        <v>10</v>
      </c>
      <c r="F4395" s="137" t="s">
        <v>24</v>
      </c>
      <c r="G4395" s="128" t="str">
        <f>VLOOKUP(source[[#This Row],[lending_product_transform]],[3]Mapping!$B$4:$C$37,2,0)</f>
        <v>[Cake] - Cashloan</v>
      </c>
      <c r="H4395" s="128" t="str">
        <f>VLOOKUP(source[[#This Row],[lending_product_transform]],[3]Mapping!$B$3:$D$37,3,0)</f>
        <v>cashloan</v>
      </c>
      <c r="I4395" s="143">
        <v>0</v>
      </c>
    </row>
    <row r="4396" spans="1:9" x14ac:dyDescent="0.2">
      <c r="A4396" s="134">
        <v>45667</v>
      </c>
      <c r="B4396" s="135">
        <f>YEAR(source[[#This Row],[report_date]])</f>
        <v>2025</v>
      </c>
      <c r="C4396" s="128">
        <f t="shared" si="201"/>
        <v>1</v>
      </c>
      <c r="D4396" s="136">
        <f t="shared" si="200"/>
        <v>2</v>
      </c>
      <c r="E4396" s="136">
        <f t="shared" si="202"/>
        <v>10</v>
      </c>
      <c r="F4396" s="137" t="s">
        <v>24</v>
      </c>
      <c r="G4396" s="128" t="str">
        <f>VLOOKUP(source[[#This Row],[lending_product_transform]],[3]Mapping!$B$4:$C$37,2,0)</f>
        <v>[Cake] - Cashloan</v>
      </c>
      <c r="H4396" s="128" t="str">
        <f>VLOOKUP(source[[#This Row],[lending_product_transform]],[3]Mapping!$B$3:$D$37,3,0)</f>
        <v>cashloan</v>
      </c>
      <c r="I4396" s="143">
        <v>0</v>
      </c>
    </row>
    <row r="4397" spans="1:9" x14ac:dyDescent="0.2">
      <c r="A4397" s="134">
        <v>45667</v>
      </c>
      <c r="B4397" s="135">
        <f>YEAR(source[[#This Row],[report_date]])</f>
        <v>2025</v>
      </c>
      <c r="C4397" s="128">
        <f t="shared" si="201"/>
        <v>1</v>
      </c>
      <c r="D4397" s="136">
        <f t="shared" si="200"/>
        <v>2</v>
      </c>
      <c r="E4397" s="136">
        <f t="shared" si="202"/>
        <v>10</v>
      </c>
      <c r="F4397" s="137" t="s">
        <v>24</v>
      </c>
      <c r="G4397" s="128" t="str">
        <f>VLOOKUP(source[[#This Row],[lending_product_transform]],[3]Mapping!$B$4:$C$37,2,0)</f>
        <v>[Cake] - Cashloan</v>
      </c>
      <c r="H4397" s="128" t="str">
        <f>VLOOKUP(source[[#This Row],[lending_product_transform]],[3]Mapping!$B$3:$D$37,3,0)</f>
        <v>cashloan</v>
      </c>
      <c r="I4397" s="143">
        <v>558230000</v>
      </c>
    </row>
    <row r="4398" spans="1:9" x14ac:dyDescent="0.2">
      <c r="A4398" s="134">
        <v>45668</v>
      </c>
      <c r="B4398" s="135">
        <f>YEAR(source[[#This Row],[report_date]])</f>
        <v>2025</v>
      </c>
      <c r="C4398" s="128">
        <f t="shared" si="201"/>
        <v>1</v>
      </c>
      <c r="D4398" s="136">
        <f t="shared" si="200"/>
        <v>2</v>
      </c>
      <c r="E4398" s="136">
        <f t="shared" si="202"/>
        <v>11</v>
      </c>
      <c r="F4398" s="137" t="s">
        <v>24</v>
      </c>
      <c r="G4398" s="128" t="str">
        <f>VLOOKUP(source[[#This Row],[lending_product_transform]],[3]Mapping!$B$4:$C$37,2,0)</f>
        <v>[Cake] - Cashloan</v>
      </c>
      <c r="H4398" s="128" t="str">
        <f>VLOOKUP(source[[#This Row],[lending_product_transform]],[3]Mapping!$B$3:$D$37,3,0)</f>
        <v>cashloan</v>
      </c>
      <c r="I4398" s="143">
        <v>0</v>
      </c>
    </row>
    <row r="4399" spans="1:9" x14ac:dyDescent="0.2">
      <c r="A4399" s="134">
        <v>45668</v>
      </c>
      <c r="B4399" s="135">
        <f>YEAR(source[[#This Row],[report_date]])</f>
        <v>2025</v>
      </c>
      <c r="C4399" s="128">
        <f t="shared" si="201"/>
        <v>1</v>
      </c>
      <c r="D4399" s="136">
        <f t="shared" si="200"/>
        <v>2</v>
      </c>
      <c r="E4399" s="136">
        <f t="shared" si="202"/>
        <v>11</v>
      </c>
      <c r="F4399" s="137" t="s">
        <v>24</v>
      </c>
      <c r="G4399" s="128" t="str">
        <f>VLOOKUP(source[[#This Row],[lending_product_transform]],[3]Mapping!$B$4:$C$37,2,0)</f>
        <v>[Cake] - Cashloan</v>
      </c>
      <c r="H4399" s="128" t="str">
        <f>VLOOKUP(source[[#This Row],[lending_product_transform]],[3]Mapping!$B$3:$D$37,3,0)</f>
        <v>cashloan</v>
      </c>
      <c r="I4399" s="143">
        <v>0</v>
      </c>
    </row>
    <row r="4400" spans="1:9" x14ac:dyDescent="0.2">
      <c r="A4400" s="134">
        <v>45668</v>
      </c>
      <c r="B4400" s="135">
        <f>YEAR(source[[#This Row],[report_date]])</f>
        <v>2025</v>
      </c>
      <c r="C4400" s="128">
        <f t="shared" si="201"/>
        <v>1</v>
      </c>
      <c r="D4400" s="136">
        <f t="shared" si="200"/>
        <v>2</v>
      </c>
      <c r="E4400" s="136">
        <f t="shared" si="202"/>
        <v>11</v>
      </c>
      <c r="F4400" s="137" t="s">
        <v>24</v>
      </c>
      <c r="G4400" s="128" t="str">
        <f>VLOOKUP(source[[#This Row],[lending_product_transform]],[3]Mapping!$B$4:$C$37,2,0)</f>
        <v>[Cake] - Cashloan</v>
      </c>
      <c r="H4400" s="128" t="str">
        <f>VLOOKUP(source[[#This Row],[lending_product_transform]],[3]Mapping!$B$3:$D$37,3,0)</f>
        <v>cashloan</v>
      </c>
      <c r="I4400" s="143">
        <v>18000000</v>
      </c>
    </row>
    <row r="4401" spans="1:9" x14ac:dyDescent="0.2">
      <c r="A4401" s="134">
        <v>45668</v>
      </c>
      <c r="B4401" s="135">
        <f>YEAR(source[[#This Row],[report_date]])</f>
        <v>2025</v>
      </c>
      <c r="C4401" s="128">
        <f t="shared" si="201"/>
        <v>1</v>
      </c>
      <c r="D4401" s="136">
        <f t="shared" si="200"/>
        <v>2</v>
      </c>
      <c r="E4401" s="136">
        <f t="shared" si="202"/>
        <v>11</v>
      </c>
      <c r="F4401" s="137" t="s">
        <v>24</v>
      </c>
      <c r="G4401" s="128" t="str">
        <f>VLOOKUP(source[[#This Row],[lending_product_transform]],[3]Mapping!$B$4:$C$37,2,0)</f>
        <v>[Cake] - Cashloan</v>
      </c>
      <c r="H4401" s="128" t="str">
        <f>VLOOKUP(source[[#This Row],[lending_product_transform]],[3]Mapping!$B$3:$D$37,3,0)</f>
        <v>cashloan</v>
      </c>
      <c r="I4401" s="143">
        <v>573520000</v>
      </c>
    </row>
    <row r="4402" spans="1:9" x14ac:dyDescent="0.2">
      <c r="A4402" s="134">
        <v>45668</v>
      </c>
      <c r="B4402" s="135">
        <f>YEAR(source[[#This Row],[report_date]])</f>
        <v>2025</v>
      </c>
      <c r="C4402" s="128">
        <f t="shared" si="201"/>
        <v>1</v>
      </c>
      <c r="D4402" s="136">
        <f t="shared" si="200"/>
        <v>2</v>
      </c>
      <c r="E4402" s="136">
        <f t="shared" si="202"/>
        <v>11</v>
      </c>
      <c r="F4402" s="137" t="s">
        <v>24</v>
      </c>
      <c r="G4402" s="128" t="str">
        <f>VLOOKUP(source[[#This Row],[lending_product_transform]],[3]Mapping!$B$4:$C$37,2,0)</f>
        <v>[Cake] - Cashloan</v>
      </c>
      <c r="H4402" s="128" t="str">
        <f>VLOOKUP(source[[#This Row],[lending_product_transform]],[3]Mapping!$B$3:$D$37,3,0)</f>
        <v>cashloan</v>
      </c>
      <c r="I4402" s="143">
        <v>0</v>
      </c>
    </row>
    <row r="4403" spans="1:9" x14ac:dyDescent="0.2">
      <c r="A4403" s="134">
        <v>45668</v>
      </c>
      <c r="B4403" s="135">
        <f>YEAR(source[[#This Row],[report_date]])</f>
        <v>2025</v>
      </c>
      <c r="C4403" s="128">
        <f t="shared" si="201"/>
        <v>1</v>
      </c>
      <c r="D4403" s="136">
        <f t="shared" si="200"/>
        <v>2</v>
      </c>
      <c r="E4403" s="136">
        <f t="shared" si="202"/>
        <v>11</v>
      </c>
      <c r="F4403" s="137" t="s">
        <v>24</v>
      </c>
      <c r="G4403" s="128" t="str">
        <f>VLOOKUP(source[[#This Row],[lending_product_transform]],[3]Mapping!$B$4:$C$37,2,0)</f>
        <v>[Cake] - Cashloan</v>
      </c>
      <c r="H4403" s="128" t="str">
        <f>VLOOKUP(source[[#This Row],[lending_product_transform]],[3]Mapping!$B$3:$D$37,3,0)</f>
        <v>cashloan</v>
      </c>
      <c r="I4403" s="143">
        <v>3238217732</v>
      </c>
    </row>
    <row r="4404" spans="1:9" x14ac:dyDescent="0.2">
      <c r="A4404" s="134">
        <v>45668</v>
      </c>
      <c r="B4404" s="135">
        <f>YEAR(source[[#This Row],[report_date]])</f>
        <v>2025</v>
      </c>
      <c r="C4404" s="128">
        <f t="shared" si="201"/>
        <v>1</v>
      </c>
      <c r="D4404" s="136">
        <f t="shared" si="200"/>
        <v>2</v>
      </c>
      <c r="E4404" s="136">
        <f t="shared" si="202"/>
        <v>11</v>
      </c>
      <c r="F4404" s="137" t="s">
        <v>24</v>
      </c>
      <c r="G4404" s="128" t="str">
        <f>VLOOKUP(source[[#This Row],[lending_product_transform]],[3]Mapping!$B$4:$C$37,2,0)</f>
        <v>[Cake] - Cashloan</v>
      </c>
      <c r="H4404" s="128" t="str">
        <f>VLOOKUP(source[[#This Row],[lending_product_transform]],[3]Mapping!$B$3:$D$37,3,0)</f>
        <v>cashloan</v>
      </c>
      <c r="I4404" s="143">
        <v>27719112</v>
      </c>
    </row>
    <row r="4405" spans="1:9" x14ac:dyDescent="0.2">
      <c r="A4405" s="134">
        <v>45668</v>
      </c>
      <c r="B4405" s="135">
        <f>YEAR(source[[#This Row],[report_date]])</f>
        <v>2025</v>
      </c>
      <c r="C4405" s="128">
        <f t="shared" si="201"/>
        <v>1</v>
      </c>
      <c r="D4405" s="136">
        <f t="shared" si="200"/>
        <v>2</v>
      </c>
      <c r="E4405" s="136">
        <f t="shared" si="202"/>
        <v>11</v>
      </c>
      <c r="F4405" s="137" t="s">
        <v>24</v>
      </c>
      <c r="G4405" s="128" t="str">
        <f>VLOOKUP(source[[#This Row],[lending_product_transform]],[3]Mapping!$B$4:$C$37,2,0)</f>
        <v>[Cake] - Cashloan</v>
      </c>
      <c r="H4405" s="128" t="str">
        <f>VLOOKUP(source[[#This Row],[lending_product_transform]],[3]Mapping!$B$3:$D$37,3,0)</f>
        <v>cashloan</v>
      </c>
      <c r="I4405" s="143">
        <v>187129637</v>
      </c>
    </row>
    <row r="4406" spans="1:9" x14ac:dyDescent="0.2">
      <c r="A4406" s="134">
        <v>45668</v>
      </c>
      <c r="B4406" s="135">
        <f>YEAR(source[[#This Row],[report_date]])</f>
        <v>2025</v>
      </c>
      <c r="C4406" s="128">
        <f t="shared" si="201"/>
        <v>1</v>
      </c>
      <c r="D4406" s="136">
        <f t="shared" si="200"/>
        <v>2</v>
      </c>
      <c r="E4406" s="136">
        <f t="shared" si="202"/>
        <v>11</v>
      </c>
      <c r="F4406" s="137" t="s">
        <v>24</v>
      </c>
      <c r="G4406" s="128" t="str">
        <f>VLOOKUP(source[[#This Row],[lending_product_transform]],[3]Mapping!$B$4:$C$37,2,0)</f>
        <v>[Cake] - Cashloan</v>
      </c>
      <c r="H4406" s="128" t="str">
        <f>VLOOKUP(source[[#This Row],[lending_product_transform]],[3]Mapping!$B$3:$D$37,3,0)</f>
        <v>cashloan</v>
      </c>
      <c r="I4406" s="143">
        <v>4964390000</v>
      </c>
    </row>
    <row r="4407" spans="1:9" x14ac:dyDescent="0.2">
      <c r="A4407" s="134">
        <v>45668</v>
      </c>
      <c r="B4407" s="135">
        <f>YEAR(source[[#This Row],[report_date]])</f>
        <v>2025</v>
      </c>
      <c r="C4407" s="128">
        <f t="shared" si="201"/>
        <v>1</v>
      </c>
      <c r="D4407" s="136">
        <f t="shared" si="200"/>
        <v>2</v>
      </c>
      <c r="E4407" s="136">
        <f t="shared" si="202"/>
        <v>11</v>
      </c>
      <c r="F4407" s="137" t="s">
        <v>24</v>
      </c>
      <c r="G4407" s="128" t="str">
        <f>VLOOKUP(source[[#This Row],[lending_product_transform]],[3]Mapping!$B$4:$C$37,2,0)</f>
        <v>[Cake] - Cashloan</v>
      </c>
      <c r="H4407" s="128" t="str">
        <f>VLOOKUP(source[[#This Row],[lending_product_transform]],[3]Mapping!$B$3:$D$37,3,0)</f>
        <v>cashloan</v>
      </c>
      <c r="I4407" s="143">
        <v>29000000</v>
      </c>
    </row>
    <row r="4408" spans="1:9" x14ac:dyDescent="0.2">
      <c r="A4408" s="134">
        <v>45668</v>
      </c>
      <c r="B4408" s="135">
        <f>YEAR(source[[#This Row],[report_date]])</f>
        <v>2025</v>
      </c>
      <c r="C4408" s="128">
        <f t="shared" si="201"/>
        <v>1</v>
      </c>
      <c r="D4408" s="136">
        <f t="shared" si="200"/>
        <v>2</v>
      </c>
      <c r="E4408" s="136">
        <f t="shared" si="202"/>
        <v>11</v>
      </c>
      <c r="F4408" s="137" t="s">
        <v>24</v>
      </c>
      <c r="G4408" s="128" t="str">
        <f>VLOOKUP(source[[#This Row],[lending_product_transform]],[3]Mapping!$B$4:$C$37,2,0)</f>
        <v>[Cake] - Cashloan</v>
      </c>
      <c r="H4408" s="128" t="str">
        <f>VLOOKUP(source[[#This Row],[lending_product_transform]],[3]Mapping!$B$3:$D$37,3,0)</f>
        <v>cashloan</v>
      </c>
      <c r="I4408" s="143">
        <v>31500000</v>
      </c>
    </row>
    <row r="4409" spans="1:9" x14ac:dyDescent="0.2">
      <c r="A4409" s="134">
        <v>45668</v>
      </c>
      <c r="B4409" s="135">
        <f>YEAR(source[[#This Row],[report_date]])</f>
        <v>2025</v>
      </c>
      <c r="C4409" s="128">
        <f t="shared" si="201"/>
        <v>1</v>
      </c>
      <c r="D4409" s="136">
        <f t="shared" si="200"/>
        <v>2</v>
      </c>
      <c r="E4409" s="136">
        <f t="shared" si="202"/>
        <v>11</v>
      </c>
      <c r="F4409" s="137" t="s">
        <v>24</v>
      </c>
      <c r="G4409" s="128" t="str">
        <f>VLOOKUP(source[[#This Row],[lending_product_transform]],[3]Mapping!$B$4:$C$37,2,0)</f>
        <v>[Cake] - Cashloan</v>
      </c>
      <c r="H4409" s="128" t="str">
        <f>VLOOKUP(source[[#This Row],[lending_product_transform]],[3]Mapping!$B$3:$D$37,3,0)</f>
        <v>cashloan</v>
      </c>
      <c r="I4409" s="143">
        <v>0</v>
      </c>
    </row>
    <row r="4410" spans="1:9" x14ac:dyDescent="0.2">
      <c r="A4410" s="134">
        <v>45668</v>
      </c>
      <c r="B4410" s="135">
        <f>YEAR(source[[#This Row],[report_date]])</f>
        <v>2025</v>
      </c>
      <c r="C4410" s="128">
        <f t="shared" si="201"/>
        <v>1</v>
      </c>
      <c r="D4410" s="136">
        <f t="shared" si="200"/>
        <v>2</v>
      </c>
      <c r="E4410" s="136">
        <f t="shared" si="202"/>
        <v>11</v>
      </c>
      <c r="F4410" s="137" t="s">
        <v>24</v>
      </c>
      <c r="G4410" s="128" t="str">
        <f>VLOOKUP(source[[#This Row],[lending_product_transform]],[3]Mapping!$B$4:$C$37,2,0)</f>
        <v>[Cake] - Cashloan</v>
      </c>
      <c r="H4410" s="128" t="str">
        <f>VLOOKUP(source[[#This Row],[lending_product_transform]],[3]Mapping!$B$3:$D$37,3,0)</f>
        <v>cashloan</v>
      </c>
      <c r="I4410" s="143">
        <v>10500000</v>
      </c>
    </row>
    <row r="4411" spans="1:9" x14ac:dyDescent="0.2">
      <c r="A4411" s="134">
        <v>45668</v>
      </c>
      <c r="B4411" s="135">
        <f>YEAR(source[[#This Row],[report_date]])</f>
        <v>2025</v>
      </c>
      <c r="C4411" s="128">
        <f t="shared" si="201"/>
        <v>1</v>
      </c>
      <c r="D4411" s="136">
        <f t="shared" si="200"/>
        <v>2</v>
      </c>
      <c r="E4411" s="136">
        <f t="shared" si="202"/>
        <v>11</v>
      </c>
      <c r="F4411" s="137" t="s">
        <v>24</v>
      </c>
      <c r="G4411" s="128" t="str">
        <f>VLOOKUP(source[[#This Row],[lending_product_transform]],[3]Mapping!$B$4:$C$37,2,0)</f>
        <v>[Cake] - Cashloan</v>
      </c>
      <c r="H4411" s="128" t="str">
        <f>VLOOKUP(source[[#This Row],[lending_product_transform]],[3]Mapping!$B$3:$D$37,3,0)</f>
        <v>cashloan</v>
      </c>
      <c r="I4411" s="143">
        <v>4845500000</v>
      </c>
    </row>
    <row r="4412" spans="1:9" x14ac:dyDescent="0.2">
      <c r="A4412" s="134">
        <v>45668</v>
      </c>
      <c r="B4412" s="135">
        <f>YEAR(source[[#This Row],[report_date]])</f>
        <v>2025</v>
      </c>
      <c r="C4412" s="128">
        <f t="shared" si="201"/>
        <v>1</v>
      </c>
      <c r="D4412" s="136">
        <f t="shared" si="200"/>
        <v>2</v>
      </c>
      <c r="E4412" s="136">
        <f t="shared" si="202"/>
        <v>11</v>
      </c>
      <c r="F4412" s="137" t="s">
        <v>24</v>
      </c>
      <c r="G4412" s="128" t="str">
        <f>VLOOKUP(source[[#This Row],[lending_product_transform]],[3]Mapping!$B$4:$C$37,2,0)</f>
        <v>[Cake] - Cashloan</v>
      </c>
      <c r="H4412" s="128" t="str">
        <f>VLOOKUP(source[[#This Row],[lending_product_transform]],[3]Mapping!$B$3:$D$37,3,0)</f>
        <v>cashloan</v>
      </c>
      <c r="I4412" s="143">
        <v>350190000</v>
      </c>
    </row>
    <row r="4413" spans="1:9" x14ac:dyDescent="0.2">
      <c r="A4413" s="134">
        <v>45668</v>
      </c>
      <c r="B4413" s="135">
        <f>YEAR(source[[#This Row],[report_date]])</f>
        <v>2025</v>
      </c>
      <c r="C4413" s="128">
        <f t="shared" si="201"/>
        <v>1</v>
      </c>
      <c r="D4413" s="136">
        <f t="shared" si="200"/>
        <v>2</v>
      </c>
      <c r="E4413" s="136">
        <f t="shared" si="202"/>
        <v>11</v>
      </c>
      <c r="F4413" s="137" t="s">
        <v>24</v>
      </c>
      <c r="G4413" s="128" t="str">
        <f>VLOOKUP(source[[#This Row],[lending_product_transform]],[3]Mapping!$B$4:$C$37,2,0)</f>
        <v>[Cake] - Cashloan</v>
      </c>
      <c r="H4413" s="128" t="str">
        <f>VLOOKUP(source[[#This Row],[lending_product_transform]],[3]Mapping!$B$3:$D$37,3,0)</f>
        <v>cashloan</v>
      </c>
      <c r="I4413" s="143">
        <v>401089062</v>
      </c>
    </row>
    <row r="4414" spans="1:9" x14ac:dyDescent="0.2">
      <c r="A4414" s="134">
        <v>45668</v>
      </c>
      <c r="B4414" s="135">
        <f>YEAR(source[[#This Row],[report_date]])</f>
        <v>2025</v>
      </c>
      <c r="C4414" s="128">
        <f t="shared" si="201"/>
        <v>1</v>
      </c>
      <c r="D4414" s="136">
        <f t="shared" si="200"/>
        <v>2</v>
      </c>
      <c r="E4414" s="136">
        <f t="shared" si="202"/>
        <v>11</v>
      </c>
      <c r="F4414" s="137" t="s">
        <v>24</v>
      </c>
      <c r="G4414" s="128" t="str">
        <f>VLOOKUP(source[[#This Row],[lending_product_transform]],[3]Mapping!$B$4:$C$37,2,0)</f>
        <v>[Cake] - Cashloan</v>
      </c>
      <c r="H4414" s="128" t="str">
        <f>VLOOKUP(source[[#This Row],[lending_product_transform]],[3]Mapping!$B$3:$D$37,3,0)</f>
        <v>cashloan</v>
      </c>
      <c r="I4414" s="143">
        <v>187526277</v>
      </c>
    </row>
    <row r="4415" spans="1:9" x14ac:dyDescent="0.2">
      <c r="A4415" s="134">
        <v>45668</v>
      </c>
      <c r="B4415" s="135">
        <f>YEAR(source[[#This Row],[report_date]])</f>
        <v>2025</v>
      </c>
      <c r="C4415" s="128">
        <f t="shared" si="201"/>
        <v>1</v>
      </c>
      <c r="D4415" s="136">
        <f t="shared" si="200"/>
        <v>2</v>
      </c>
      <c r="E4415" s="136">
        <f t="shared" si="202"/>
        <v>11</v>
      </c>
      <c r="F4415" s="137" t="s">
        <v>24</v>
      </c>
      <c r="G4415" s="128" t="str">
        <f>VLOOKUP(source[[#This Row],[lending_product_transform]],[3]Mapping!$B$4:$C$37,2,0)</f>
        <v>[Cake] - Cashloan</v>
      </c>
      <c r="H4415" s="128" t="str">
        <f>VLOOKUP(source[[#This Row],[lending_product_transform]],[3]Mapping!$B$3:$D$37,3,0)</f>
        <v>cashloan</v>
      </c>
      <c r="I4415" s="143">
        <v>5937410000</v>
      </c>
    </row>
    <row r="4416" spans="1:9" x14ac:dyDescent="0.2">
      <c r="A4416" s="134">
        <v>45669</v>
      </c>
      <c r="B4416" s="135">
        <f>YEAR(source[[#This Row],[report_date]])</f>
        <v>2025</v>
      </c>
      <c r="C4416" s="128">
        <f t="shared" si="201"/>
        <v>1</v>
      </c>
      <c r="D4416" s="136">
        <f t="shared" si="200"/>
        <v>2</v>
      </c>
      <c r="E4416" s="136">
        <f t="shared" si="202"/>
        <v>12</v>
      </c>
      <c r="F4416" s="137" t="s">
        <v>24</v>
      </c>
      <c r="G4416" s="128" t="str">
        <f>VLOOKUP(source[[#This Row],[lending_product_transform]],[3]Mapping!$B$4:$C$37,2,0)</f>
        <v>[Cake] - Cashloan</v>
      </c>
      <c r="H4416" s="128" t="str">
        <f>VLOOKUP(source[[#This Row],[lending_product_transform]],[3]Mapping!$B$3:$D$37,3,0)</f>
        <v>cashloan</v>
      </c>
      <c r="I4416" s="143">
        <v>0</v>
      </c>
    </row>
    <row r="4417" spans="1:9" x14ac:dyDescent="0.2">
      <c r="A4417" s="134">
        <v>45669</v>
      </c>
      <c r="B4417" s="135">
        <f>YEAR(source[[#This Row],[report_date]])</f>
        <v>2025</v>
      </c>
      <c r="C4417" s="128">
        <f t="shared" si="201"/>
        <v>1</v>
      </c>
      <c r="D4417" s="136">
        <f t="shared" si="200"/>
        <v>2</v>
      </c>
      <c r="E4417" s="136">
        <f t="shared" si="202"/>
        <v>12</v>
      </c>
      <c r="F4417" s="137" t="s">
        <v>24</v>
      </c>
      <c r="G4417" s="128" t="str">
        <f>VLOOKUP(source[[#This Row],[lending_product_transform]],[3]Mapping!$B$4:$C$37,2,0)</f>
        <v>[Cake] - Cashloan</v>
      </c>
      <c r="H4417" s="128" t="str">
        <f>VLOOKUP(source[[#This Row],[lending_product_transform]],[3]Mapping!$B$3:$D$37,3,0)</f>
        <v>cashloan</v>
      </c>
      <c r="I4417" s="143">
        <v>276490000</v>
      </c>
    </row>
    <row r="4418" spans="1:9" x14ac:dyDescent="0.2">
      <c r="A4418" s="134">
        <v>45669</v>
      </c>
      <c r="B4418" s="135">
        <f>YEAR(source[[#This Row],[report_date]])</f>
        <v>2025</v>
      </c>
      <c r="C4418" s="128">
        <f t="shared" si="201"/>
        <v>1</v>
      </c>
      <c r="D4418" s="136">
        <f t="shared" si="200"/>
        <v>2</v>
      </c>
      <c r="E4418" s="136">
        <f t="shared" si="202"/>
        <v>12</v>
      </c>
      <c r="F4418" s="137" t="s">
        <v>24</v>
      </c>
      <c r="G4418" s="128" t="str">
        <f>VLOOKUP(source[[#This Row],[lending_product_transform]],[3]Mapping!$B$4:$C$37,2,0)</f>
        <v>[Cake] - Cashloan</v>
      </c>
      <c r="H4418" s="128" t="str">
        <f>VLOOKUP(source[[#This Row],[lending_product_transform]],[3]Mapping!$B$3:$D$37,3,0)</f>
        <v>cashloan</v>
      </c>
      <c r="I4418" s="143">
        <v>12600000</v>
      </c>
    </row>
    <row r="4419" spans="1:9" x14ac:dyDescent="0.2">
      <c r="A4419" s="134">
        <v>45669</v>
      </c>
      <c r="B4419" s="135">
        <f>YEAR(source[[#This Row],[report_date]])</f>
        <v>2025</v>
      </c>
      <c r="C4419" s="128">
        <f t="shared" si="201"/>
        <v>1</v>
      </c>
      <c r="D4419" s="136">
        <f t="shared" ref="D4419:D4482" si="203">WEEKNUM(A4419,2)</f>
        <v>2</v>
      </c>
      <c r="E4419" s="136">
        <f t="shared" si="202"/>
        <v>12</v>
      </c>
      <c r="F4419" s="137" t="s">
        <v>24</v>
      </c>
      <c r="G4419" s="128" t="str">
        <f>VLOOKUP(source[[#This Row],[lending_product_transform]],[3]Mapping!$B$4:$C$37,2,0)</f>
        <v>[Cake] - Cashloan</v>
      </c>
      <c r="H4419" s="128" t="str">
        <f>VLOOKUP(source[[#This Row],[lending_product_transform]],[3]Mapping!$B$3:$D$37,3,0)</f>
        <v>cashloan</v>
      </c>
      <c r="I4419" s="143">
        <v>0</v>
      </c>
    </row>
    <row r="4420" spans="1:9" x14ac:dyDescent="0.2">
      <c r="A4420" s="134">
        <v>45669</v>
      </c>
      <c r="B4420" s="135">
        <f>YEAR(source[[#This Row],[report_date]])</f>
        <v>2025</v>
      </c>
      <c r="C4420" s="128">
        <f t="shared" si="201"/>
        <v>1</v>
      </c>
      <c r="D4420" s="136">
        <f t="shared" si="203"/>
        <v>2</v>
      </c>
      <c r="E4420" s="136">
        <f t="shared" si="202"/>
        <v>12</v>
      </c>
      <c r="F4420" s="137" t="s">
        <v>24</v>
      </c>
      <c r="G4420" s="128" t="str">
        <f>VLOOKUP(source[[#This Row],[lending_product_transform]],[3]Mapping!$B$4:$C$37,2,0)</f>
        <v>[Cake] - Cashloan</v>
      </c>
      <c r="H4420" s="128" t="str">
        <f>VLOOKUP(source[[#This Row],[lending_product_transform]],[3]Mapping!$B$3:$D$37,3,0)</f>
        <v>cashloan</v>
      </c>
      <c r="I4420" s="143">
        <v>0</v>
      </c>
    </row>
    <row r="4421" spans="1:9" x14ac:dyDescent="0.2">
      <c r="A4421" s="134">
        <v>45669</v>
      </c>
      <c r="B4421" s="135">
        <f>YEAR(source[[#This Row],[report_date]])</f>
        <v>2025</v>
      </c>
      <c r="C4421" s="128">
        <f t="shared" si="201"/>
        <v>1</v>
      </c>
      <c r="D4421" s="136">
        <f t="shared" si="203"/>
        <v>2</v>
      </c>
      <c r="E4421" s="136">
        <f t="shared" si="202"/>
        <v>12</v>
      </c>
      <c r="F4421" s="137" t="s">
        <v>24</v>
      </c>
      <c r="G4421" s="128" t="str">
        <f>VLOOKUP(source[[#This Row],[lending_product_transform]],[3]Mapping!$B$4:$C$37,2,0)</f>
        <v>[Cake] - Cashloan</v>
      </c>
      <c r="H4421" s="128" t="str">
        <f>VLOOKUP(source[[#This Row],[lending_product_transform]],[3]Mapping!$B$3:$D$37,3,0)</f>
        <v>cashloan</v>
      </c>
      <c r="I4421" s="143">
        <v>15000000</v>
      </c>
    </row>
    <row r="4422" spans="1:9" x14ac:dyDescent="0.2">
      <c r="A4422" s="134">
        <v>45669</v>
      </c>
      <c r="B4422" s="135">
        <f>YEAR(source[[#This Row],[report_date]])</f>
        <v>2025</v>
      </c>
      <c r="C4422" s="128">
        <f t="shared" si="201"/>
        <v>1</v>
      </c>
      <c r="D4422" s="136">
        <f t="shared" si="203"/>
        <v>2</v>
      </c>
      <c r="E4422" s="136">
        <f t="shared" si="202"/>
        <v>12</v>
      </c>
      <c r="F4422" s="137" t="s">
        <v>24</v>
      </c>
      <c r="G4422" s="128" t="str">
        <f>VLOOKUP(source[[#This Row],[lending_product_transform]],[3]Mapping!$B$4:$C$37,2,0)</f>
        <v>[Cake] - Cashloan</v>
      </c>
      <c r="H4422" s="128" t="str">
        <f>VLOOKUP(source[[#This Row],[lending_product_transform]],[3]Mapping!$B$3:$D$37,3,0)</f>
        <v>cashloan</v>
      </c>
      <c r="I4422" s="143">
        <v>4442500000</v>
      </c>
    </row>
    <row r="4423" spans="1:9" x14ac:dyDescent="0.2">
      <c r="A4423" s="134">
        <v>45669</v>
      </c>
      <c r="B4423" s="135">
        <f>YEAR(source[[#This Row],[report_date]])</f>
        <v>2025</v>
      </c>
      <c r="C4423" s="128">
        <f t="shared" si="201"/>
        <v>1</v>
      </c>
      <c r="D4423" s="136">
        <f t="shared" si="203"/>
        <v>2</v>
      </c>
      <c r="E4423" s="136">
        <f t="shared" si="202"/>
        <v>12</v>
      </c>
      <c r="F4423" s="137" t="s">
        <v>24</v>
      </c>
      <c r="G4423" s="128" t="str">
        <f>VLOOKUP(source[[#This Row],[lending_product_transform]],[3]Mapping!$B$4:$C$37,2,0)</f>
        <v>[Cake] - Cashloan</v>
      </c>
      <c r="H4423" s="128" t="str">
        <f>VLOOKUP(source[[#This Row],[lending_product_transform]],[3]Mapping!$B$3:$D$37,3,0)</f>
        <v>cashloan</v>
      </c>
      <c r="I4423" s="143">
        <v>380612361</v>
      </c>
    </row>
    <row r="4424" spans="1:9" x14ac:dyDescent="0.2">
      <c r="A4424" s="134">
        <v>45669</v>
      </c>
      <c r="B4424" s="135">
        <f>YEAR(source[[#This Row],[report_date]])</f>
        <v>2025</v>
      </c>
      <c r="C4424" s="128">
        <f t="shared" si="201"/>
        <v>1</v>
      </c>
      <c r="D4424" s="136">
        <f t="shared" si="203"/>
        <v>2</v>
      </c>
      <c r="E4424" s="136">
        <f t="shared" si="202"/>
        <v>12</v>
      </c>
      <c r="F4424" s="137" t="s">
        <v>24</v>
      </c>
      <c r="G4424" s="128" t="str">
        <f>VLOOKUP(source[[#This Row],[lending_product_transform]],[3]Mapping!$B$4:$C$37,2,0)</f>
        <v>[Cake] - Cashloan</v>
      </c>
      <c r="H4424" s="128" t="str">
        <f>VLOOKUP(source[[#This Row],[lending_product_transform]],[3]Mapping!$B$3:$D$37,3,0)</f>
        <v>cashloan</v>
      </c>
      <c r="I4424" s="143">
        <v>186376592</v>
      </c>
    </row>
    <row r="4425" spans="1:9" x14ac:dyDescent="0.2">
      <c r="A4425" s="134">
        <v>45669</v>
      </c>
      <c r="B4425" s="135">
        <f>YEAR(source[[#This Row],[report_date]])</f>
        <v>2025</v>
      </c>
      <c r="C4425" s="128">
        <f t="shared" si="201"/>
        <v>1</v>
      </c>
      <c r="D4425" s="136">
        <f t="shared" si="203"/>
        <v>2</v>
      </c>
      <c r="E4425" s="136">
        <f t="shared" si="202"/>
        <v>12</v>
      </c>
      <c r="F4425" s="137" t="s">
        <v>24</v>
      </c>
      <c r="G4425" s="128" t="str">
        <f>VLOOKUP(source[[#This Row],[lending_product_transform]],[3]Mapping!$B$4:$C$37,2,0)</f>
        <v>[Cake] - Cashloan</v>
      </c>
      <c r="H4425" s="128" t="str">
        <f>VLOOKUP(source[[#This Row],[lending_product_transform]],[3]Mapping!$B$3:$D$37,3,0)</f>
        <v>cashloan</v>
      </c>
      <c r="I4425" s="143">
        <v>0</v>
      </c>
    </row>
    <row r="4426" spans="1:9" x14ac:dyDescent="0.2">
      <c r="A4426" s="134">
        <v>45669</v>
      </c>
      <c r="B4426" s="135">
        <f>YEAR(source[[#This Row],[report_date]])</f>
        <v>2025</v>
      </c>
      <c r="C4426" s="128">
        <f t="shared" si="201"/>
        <v>1</v>
      </c>
      <c r="D4426" s="136">
        <f t="shared" si="203"/>
        <v>2</v>
      </c>
      <c r="E4426" s="136">
        <f t="shared" si="202"/>
        <v>12</v>
      </c>
      <c r="F4426" s="137" t="s">
        <v>24</v>
      </c>
      <c r="G4426" s="128" t="str">
        <f>VLOOKUP(source[[#This Row],[lending_product_transform]],[3]Mapping!$B$4:$C$37,2,0)</f>
        <v>[Cake] - Cashloan</v>
      </c>
      <c r="H4426" s="128" t="str">
        <f>VLOOKUP(source[[#This Row],[lending_product_transform]],[3]Mapping!$B$3:$D$37,3,0)</f>
        <v>cashloan</v>
      </c>
      <c r="I4426" s="143">
        <v>0</v>
      </c>
    </row>
    <row r="4427" spans="1:9" x14ac:dyDescent="0.2">
      <c r="A4427" s="134">
        <v>45669</v>
      </c>
      <c r="B4427" s="135">
        <f>YEAR(source[[#This Row],[report_date]])</f>
        <v>2025</v>
      </c>
      <c r="C4427" s="128">
        <f t="shared" si="201"/>
        <v>1</v>
      </c>
      <c r="D4427" s="136">
        <f t="shared" si="203"/>
        <v>2</v>
      </c>
      <c r="E4427" s="136">
        <f t="shared" si="202"/>
        <v>12</v>
      </c>
      <c r="F4427" s="137" t="s">
        <v>24</v>
      </c>
      <c r="G4427" s="128" t="str">
        <f>VLOOKUP(source[[#This Row],[lending_product_transform]],[3]Mapping!$B$4:$C$37,2,0)</f>
        <v>[Cake] - Cashloan</v>
      </c>
      <c r="H4427" s="128" t="str">
        <f>VLOOKUP(source[[#This Row],[lending_product_transform]],[3]Mapping!$B$3:$D$37,3,0)</f>
        <v>cashloan</v>
      </c>
      <c r="I4427" s="143">
        <v>4609500000</v>
      </c>
    </row>
    <row r="4428" spans="1:9" x14ac:dyDescent="0.2">
      <c r="A4428" s="134">
        <v>45669</v>
      </c>
      <c r="B4428" s="135">
        <f>YEAR(source[[#This Row],[report_date]])</f>
        <v>2025</v>
      </c>
      <c r="C4428" s="128">
        <f t="shared" si="201"/>
        <v>1</v>
      </c>
      <c r="D4428" s="136">
        <f t="shared" si="203"/>
        <v>2</v>
      </c>
      <c r="E4428" s="136">
        <f t="shared" si="202"/>
        <v>12</v>
      </c>
      <c r="F4428" s="137" t="s">
        <v>24</v>
      </c>
      <c r="G4428" s="128" t="str">
        <f>VLOOKUP(source[[#This Row],[lending_product_transform]],[3]Mapping!$B$4:$C$37,2,0)</f>
        <v>[Cake] - Cashloan</v>
      </c>
      <c r="H4428" s="128" t="str">
        <f>VLOOKUP(source[[#This Row],[lending_product_transform]],[3]Mapping!$B$3:$D$37,3,0)</f>
        <v>cashloan</v>
      </c>
      <c r="I4428" s="143">
        <v>5754150000</v>
      </c>
    </row>
    <row r="4429" spans="1:9" x14ac:dyDescent="0.2">
      <c r="A4429" s="134">
        <v>45669</v>
      </c>
      <c r="B4429" s="135">
        <f>YEAR(source[[#This Row],[report_date]])</f>
        <v>2025</v>
      </c>
      <c r="C4429" s="128">
        <f t="shared" si="201"/>
        <v>1</v>
      </c>
      <c r="D4429" s="136">
        <f t="shared" si="203"/>
        <v>2</v>
      </c>
      <c r="E4429" s="136">
        <f t="shared" si="202"/>
        <v>12</v>
      </c>
      <c r="F4429" s="137" t="s">
        <v>24</v>
      </c>
      <c r="G4429" s="128" t="str">
        <f>VLOOKUP(source[[#This Row],[lending_product_transform]],[3]Mapping!$B$4:$C$37,2,0)</f>
        <v>[Cake] - Cashloan</v>
      </c>
      <c r="H4429" s="128" t="str">
        <f>VLOOKUP(source[[#This Row],[lending_product_transform]],[3]Mapping!$B$3:$D$37,3,0)</f>
        <v>cashloan</v>
      </c>
      <c r="I4429" s="143">
        <v>163828913</v>
      </c>
    </row>
    <row r="4430" spans="1:9" x14ac:dyDescent="0.2">
      <c r="A4430" s="134">
        <v>45669</v>
      </c>
      <c r="B4430" s="135">
        <f>YEAR(source[[#This Row],[report_date]])</f>
        <v>2025</v>
      </c>
      <c r="C4430" s="128">
        <f t="shared" si="201"/>
        <v>1</v>
      </c>
      <c r="D4430" s="136">
        <f t="shared" si="203"/>
        <v>2</v>
      </c>
      <c r="E4430" s="136">
        <f t="shared" si="202"/>
        <v>12</v>
      </c>
      <c r="F4430" s="137" t="s">
        <v>24</v>
      </c>
      <c r="G4430" s="128" t="str">
        <f>VLOOKUP(source[[#This Row],[lending_product_transform]],[3]Mapping!$B$4:$C$37,2,0)</f>
        <v>[Cake] - Cashloan</v>
      </c>
      <c r="H4430" s="128" t="str">
        <f>VLOOKUP(source[[#This Row],[lending_product_transform]],[3]Mapping!$B$3:$D$37,3,0)</f>
        <v>cashloan</v>
      </c>
      <c r="I4430" s="143">
        <v>21466651</v>
      </c>
    </row>
    <row r="4431" spans="1:9" x14ac:dyDescent="0.2">
      <c r="A4431" s="134">
        <v>45669</v>
      </c>
      <c r="B4431" s="135">
        <f>YEAR(source[[#This Row],[report_date]])</f>
        <v>2025</v>
      </c>
      <c r="C4431" s="128">
        <f t="shared" si="201"/>
        <v>1</v>
      </c>
      <c r="D4431" s="136">
        <f t="shared" si="203"/>
        <v>2</v>
      </c>
      <c r="E4431" s="136">
        <f t="shared" si="202"/>
        <v>12</v>
      </c>
      <c r="F4431" s="137" t="s">
        <v>24</v>
      </c>
      <c r="G4431" s="128" t="str">
        <f>VLOOKUP(source[[#This Row],[lending_product_transform]],[3]Mapping!$B$4:$C$37,2,0)</f>
        <v>[Cake] - Cashloan</v>
      </c>
      <c r="H4431" s="128" t="str">
        <f>VLOOKUP(source[[#This Row],[lending_product_transform]],[3]Mapping!$B$3:$D$37,3,0)</f>
        <v>cashloan</v>
      </c>
      <c r="I4431" s="143">
        <v>31500000</v>
      </c>
    </row>
    <row r="4432" spans="1:9" x14ac:dyDescent="0.2">
      <c r="A4432" s="134">
        <v>45669</v>
      </c>
      <c r="B4432" s="135">
        <f>YEAR(source[[#This Row],[report_date]])</f>
        <v>2025</v>
      </c>
      <c r="C4432" s="128">
        <f t="shared" si="201"/>
        <v>1</v>
      </c>
      <c r="D4432" s="136">
        <f t="shared" si="203"/>
        <v>2</v>
      </c>
      <c r="E4432" s="136">
        <f t="shared" si="202"/>
        <v>12</v>
      </c>
      <c r="F4432" s="137" t="s">
        <v>24</v>
      </c>
      <c r="G4432" s="128" t="str">
        <f>VLOOKUP(source[[#This Row],[lending_product_transform]],[3]Mapping!$B$4:$C$37,2,0)</f>
        <v>[Cake] - Cashloan</v>
      </c>
      <c r="H4432" s="128" t="str">
        <f>VLOOKUP(source[[#This Row],[lending_product_transform]],[3]Mapping!$B$3:$D$37,3,0)</f>
        <v>cashloan</v>
      </c>
      <c r="I4432" s="143">
        <v>3036663200</v>
      </c>
    </row>
    <row r="4433" spans="1:9" x14ac:dyDescent="0.2">
      <c r="A4433" s="134">
        <v>45669</v>
      </c>
      <c r="B4433" s="135">
        <f>YEAR(source[[#This Row],[report_date]])</f>
        <v>2025</v>
      </c>
      <c r="C4433" s="128">
        <f t="shared" si="201"/>
        <v>1</v>
      </c>
      <c r="D4433" s="136">
        <f t="shared" si="203"/>
        <v>2</v>
      </c>
      <c r="E4433" s="136">
        <f t="shared" si="202"/>
        <v>12</v>
      </c>
      <c r="F4433" s="137" t="s">
        <v>24</v>
      </c>
      <c r="G4433" s="128" t="str">
        <f>VLOOKUP(source[[#This Row],[lending_product_transform]],[3]Mapping!$B$4:$C$37,2,0)</f>
        <v>[Cake] - Cashloan</v>
      </c>
      <c r="H4433" s="128" t="str">
        <f>VLOOKUP(source[[#This Row],[lending_product_transform]],[3]Mapping!$B$3:$D$37,3,0)</f>
        <v>cashloan</v>
      </c>
      <c r="I4433" s="143">
        <v>497260000</v>
      </c>
    </row>
    <row r="4434" spans="1:9" x14ac:dyDescent="0.2">
      <c r="A4434" s="134">
        <v>45670</v>
      </c>
      <c r="B4434" s="135">
        <f>YEAR(source[[#This Row],[report_date]])</f>
        <v>2025</v>
      </c>
      <c r="C4434" s="128">
        <f t="shared" si="201"/>
        <v>1</v>
      </c>
      <c r="D4434" s="136">
        <f t="shared" si="203"/>
        <v>3</v>
      </c>
      <c r="E4434" s="136">
        <f t="shared" si="202"/>
        <v>13</v>
      </c>
      <c r="F4434" s="137" t="s">
        <v>24</v>
      </c>
      <c r="G4434" s="128" t="str">
        <f>VLOOKUP(source[[#This Row],[lending_product_transform]],[3]Mapping!$B$4:$C$37,2,0)</f>
        <v>[Cake] - Cashloan</v>
      </c>
      <c r="H4434" s="128" t="str">
        <f>VLOOKUP(source[[#This Row],[lending_product_transform]],[3]Mapping!$B$3:$D$37,3,0)</f>
        <v>cashloan</v>
      </c>
      <c r="I4434" s="143">
        <v>0</v>
      </c>
    </row>
    <row r="4435" spans="1:9" x14ac:dyDescent="0.2">
      <c r="A4435" s="134">
        <v>45670</v>
      </c>
      <c r="B4435" s="135">
        <f>YEAR(source[[#This Row],[report_date]])</f>
        <v>2025</v>
      </c>
      <c r="C4435" s="128">
        <f t="shared" si="201"/>
        <v>1</v>
      </c>
      <c r="D4435" s="136">
        <f t="shared" si="203"/>
        <v>3</v>
      </c>
      <c r="E4435" s="136">
        <f t="shared" si="202"/>
        <v>13</v>
      </c>
      <c r="F4435" s="137" t="s">
        <v>24</v>
      </c>
      <c r="G4435" s="128" t="str">
        <f>VLOOKUP(source[[#This Row],[lending_product_transform]],[3]Mapping!$B$4:$C$37,2,0)</f>
        <v>[Cake] - Cashloan</v>
      </c>
      <c r="H4435" s="128" t="str">
        <f>VLOOKUP(source[[#This Row],[lending_product_transform]],[3]Mapping!$B$3:$D$37,3,0)</f>
        <v>cashloan</v>
      </c>
      <c r="I4435" s="143">
        <v>0</v>
      </c>
    </row>
    <row r="4436" spans="1:9" x14ac:dyDescent="0.2">
      <c r="A4436" s="134">
        <v>45670</v>
      </c>
      <c r="B4436" s="135">
        <f>YEAR(source[[#This Row],[report_date]])</f>
        <v>2025</v>
      </c>
      <c r="C4436" s="128">
        <f t="shared" si="201"/>
        <v>1</v>
      </c>
      <c r="D4436" s="136">
        <f t="shared" si="203"/>
        <v>3</v>
      </c>
      <c r="E4436" s="136">
        <f t="shared" si="202"/>
        <v>13</v>
      </c>
      <c r="F4436" s="137" t="s">
        <v>24</v>
      </c>
      <c r="G4436" s="128" t="str">
        <f>VLOOKUP(source[[#This Row],[lending_product_transform]],[3]Mapping!$B$4:$C$37,2,0)</f>
        <v>[Cake] - Cashloan</v>
      </c>
      <c r="H4436" s="128" t="str">
        <f>VLOOKUP(source[[#This Row],[lending_product_transform]],[3]Mapping!$B$3:$D$37,3,0)</f>
        <v>cashloan</v>
      </c>
      <c r="I4436" s="143">
        <v>0</v>
      </c>
    </row>
    <row r="4437" spans="1:9" x14ac:dyDescent="0.2">
      <c r="A4437" s="134">
        <v>45670</v>
      </c>
      <c r="B4437" s="135">
        <f>YEAR(source[[#This Row],[report_date]])</f>
        <v>2025</v>
      </c>
      <c r="C4437" s="128">
        <f t="shared" si="201"/>
        <v>1</v>
      </c>
      <c r="D4437" s="136">
        <f t="shared" si="203"/>
        <v>3</v>
      </c>
      <c r="E4437" s="136">
        <f t="shared" si="202"/>
        <v>13</v>
      </c>
      <c r="F4437" s="137" t="s">
        <v>24</v>
      </c>
      <c r="G4437" s="128" t="str">
        <f>VLOOKUP(source[[#This Row],[lending_product_transform]],[3]Mapping!$B$4:$C$37,2,0)</f>
        <v>[Cake] - Cashloan</v>
      </c>
      <c r="H4437" s="128" t="str">
        <f>VLOOKUP(source[[#This Row],[lending_product_transform]],[3]Mapping!$B$3:$D$37,3,0)</f>
        <v>cashloan</v>
      </c>
      <c r="I4437" s="143">
        <v>20478055</v>
      </c>
    </row>
    <row r="4438" spans="1:9" x14ac:dyDescent="0.2">
      <c r="A4438" s="134">
        <v>45670</v>
      </c>
      <c r="B4438" s="135">
        <f>YEAR(source[[#This Row],[report_date]])</f>
        <v>2025</v>
      </c>
      <c r="C4438" s="128">
        <f t="shared" ref="C4438:C4501" si="204">MONTH(A4438)</f>
        <v>1</v>
      </c>
      <c r="D4438" s="136">
        <f t="shared" si="203"/>
        <v>3</v>
      </c>
      <c r="E4438" s="136">
        <f t="shared" ref="E4438:E4501" si="205">DAY(A4438)</f>
        <v>13</v>
      </c>
      <c r="F4438" s="137" t="s">
        <v>24</v>
      </c>
      <c r="G4438" s="128" t="str">
        <f>VLOOKUP(source[[#This Row],[lending_product_transform]],[3]Mapping!$B$4:$C$37,2,0)</f>
        <v>[Cake] - Cashloan</v>
      </c>
      <c r="H4438" s="128" t="str">
        <f>VLOOKUP(source[[#This Row],[lending_product_transform]],[3]Mapping!$B$3:$D$37,3,0)</f>
        <v>cashloan</v>
      </c>
      <c r="I4438" s="143">
        <v>4786000000</v>
      </c>
    </row>
    <row r="4439" spans="1:9" x14ac:dyDescent="0.2">
      <c r="A4439" s="134">
        <v>45670</v>
      </c>
      <c r="B4439" s="135">
        <f>YEAR(source[[#This Row],[report_date]])</f>
        <v>2025</v>
      </c>
      <c r="C4439" s="128">
        <f t="shared" si="204"/>
        <v>1</v>
      </c>
      <c r="D4439" s="136">
        <f t="shared" si="203"/>
        <v>3</v>
      </c>
      <c r="E4439" s="136">
        <f t="shared" si="205"/>
        <v>13</v>
      </c>
      <c r="F4439" s="137" t="s">
        <v>24</v>
      </c>
      <c r="G4439" s="128" t="str">
        <f>VLOOKUP(source[[#This Row],[lending_product_transform]],[3]Mapping!$B$4:$C$37,2,0)</f>
        <v>[Cake] - Cashloan</v>
      </c>
      <c r="H4439" s="128" t="str">
        <f>VLOOKUP(source[[#This Row],[lending_product_transform]],[3]Mapping!$B$3:$D$37,3,0)</f>
        <v>cashloan</v>
      </c>
      <c r="I4439" s="143">
        <v>188268380</v>
      </c>
    </row>
    <row r="4440" spans="1:9" x14ac:dyDescent="0.2">
      <c r="A4440" s="134">
        <v>45670</v>
      </c>
      <c r="B4440" s="135">
        <f>YEAR(source[[#This Row],[report_date]])</f>
        <v>2025</v>
      </c>
      <c r="C4440" s="128">
        <f t="shared" si="204"/>
        <v>1</v>
      </c>
      <c r="D4440" s="136">
        <f t="shared" si="203"/>
        <v>3</v>
      </c>
      <c r="E4440" s="136">
        <f t="shared" si="205"/>
        <v>13</v>
      </c>
      <c r="F4440" s="137" t="s">
        <v>24</v>
      </c>
      <c r="G4440" s="128" t="str">
        <f>VLOOKUP(source[[#This Row],[lending_product_transform]],[3]Mapping!$B$4:$C$37,2,0)</f>
        <v>[Cake] - Cashloan</v>
      </c>
      <c r="H4440" s="128" t="str">
        <f>VLOOKUP(source[[#This Row],[lending_product_transform]],[3]Mapping!$B$3:$D$37,3,0)</f>
        <v>cashloan</v>
      </c>
      <c r="I4440" s="143">
        <v>18000000</v>
      </c>
    </row>
    <row r="4441" spans="1:9" x14ac:dyDescent="0.2">
      <c r="A4441" s="134">
        <v>45670</v>
      </c>
      <c r="B4441" s="135">
        <f>YEAR(source[[#This Row],[report_date]])</f>
        <v>2025</v>
      </c>
      <c r="C4441" s="128">
        <f t="shared" si="204"/>
        <v>1</v>
      </c>
      <c r="D4441" s="136">
        <f t="shared" si="203"/>
        <v>3</v>
      </c>
      <c r="E4441" s="136">
        <f t="shared" si="205"/>
        <v>13</v>
      </c>
      <c r="F4441" s="137" t="s">
        <v>24</v>
      </c>
      <c r="G4441" s="128" t="str">
        <f>VLOOKUP(source[[#This Row],[lending_product_transform]],[3]Mapping!$B$4:$C$37,2,0)</f>
        <v>[Cake] - Cashloan</v>
      </c>
      <c r="H4441" s="128" t="str">
        <f>VLOOKUP(source[[#This Row],[lending_product_transform]],[3]Mapping!$B$3:$D$37,3,0)</f>
        <v>cashloan</v>
      </c>
      <c r="I4441" s="143">
        <v>437170000</v>
      </c>
    </row>
    <row r="4442" spans="1:9" x14ac:dyDescent="0.2">
      <c r="A4442" s="134">
        <v>45670</v>
      </c>
      <c r="B4442" s="135">
        <f>YEAR(source[[#This Row],[report_date]])</f>
        <v>2025</v>
      </c>
      <c r="C4442" s="128">
        <f t="shared" si="204"/>
        <v>1</v>
      </c>
      <c r="D4442" s="136">
        <f t="shared" si="203"/>
        <v>3</v>
      </c>
      <c r="E4442" s="136">
        <f t="shared" si="205"/>
        <v>13</v>
      </c>
      <c r="F4442" s="137" t="s">
        <v>24</v>
      </c>
      <c r="G4442" s="128" t="str">
        <f>VLOOKUP(source[[#This Row],[lending_product_transform]],[3]Mapping!$B$4:$C$37,2,0)</f>
        <v>[Cake] - Cashloan</v>
      </c>
      <c r="H4442" s="128" t="str">
        <f>VLOOKUP(source[[#This Row],[lending_product_transform]],[3]Mapping!$B$3:$D$37,3,0)</f>
        <v>cashloan</v>
      </c>
      <c r="I4442" s="143">
        <v>388838280</v>
      </c>
    </row>
    <row r="4443" spans="1:9" x14ac:dyDescent="0.2">
      <c r="A4443" s="134">
        <v>45670</v>
      </c>
      <c r="B4443" s="135">
        <f>YEAR(source[[#This Row],[report_date]])</f>
        <v>2025</v>
      </c>
      <c r="C4443" s="128">
        <f t="shared" si="204"/>
        <v>1</v>
      </c>
      <c r="D4443" s="136">
        <f t="shared" si="203"/>
        <v>3</v>
      </c>
      <c r="E4443" s="136">
        <f t="shared" si="205"/>
        <v>13</v>
      </c>
      <c r="F4443" s="137" t="s">
        <v>24</v>
      </c>
      <c r="G4443" s="128" t="str">
        <f>VLOOKUP(source[[#This Row],[lending_product_transform]],[3]Mapping!$B$4:$C$37,2,0)</f>
        <v>[Cake] - Cashloan</v>
      </c>
      <c r="H4443" s="128" t="str">
        <f>VLOOKUP(source[[#This Row],[lending_product_transform]],[3]Mapping!$B$3:$D$37,3,0)</f>
        <v>cashloan</v>
      </c>
      <c r="I4443" s="143">
        <v>205461630</v>
      </c>
    </row>
    <row r="4444" spans="1:9" x14ac:dyDescent="0.2">
      <c r="A4444" s="134">
        <v>45670</v>
      </c>
      <c r="B4444" s="135">
        <f>YEAR(source[[#This Row],[report_date]])</f>
        <v>2025</v>
      </c>
      <c r="C4444" s="128">
        <f t="shared" si="204"/>
        <v>1</v>
      </c>
      <c r="D4444" s="136">
        <f t="shared" si="203"/>
        <v>3</v>
      </c>
      <c r="E4444" s="136">
        <f t="shared" si="205"/>
        <v>13</v>
      </c>
      <c r="F4444" s="137" t="s">
        <v>24</v>
      </c>
      <c r="G4444" s="128" t="str">
        <f>VLOOKUP(source[[#This Row],[lending_product_transform]],[3]Mapping!$B$4:$C$37,2,0)</f>
        <v>[Cake] - Cashloan</v>
      </c>
      <c r="H4444" s="128" t="str">
        <f>VLOOKUP(source[[#This Row],[lending_product_transform]],[3]Mapping!$B$3:$D$37,3,0)</f>
        <v>cashloan</v>
      </c>
      <c r="I4444" s="143">
        <v>35000000</v>
      </c>
    </row>
    <row r="4445" spans="1:9" x14ac:dyDescent="0.2">
      <c r="A4445" s="134">
        <v>45670</v>
      </c>
      <c r="B4445" s="135">
        <f>YEAR(source[[#This Row],[report_date]])</f>
        <v>2025</v>
      </c>
      <c r="C4445" s="128">
        <f t="shared" si="204"/>
        <v>1</v>
      </c>
      <c r="D4445" s="136">
        <f t="shared" si="203"/>
        <v>3</v>
      </c>
      <c r="E4445" s="136">
        <f t="shared" si="205"/>
        <v>13</v>
      </c>
      <c r="F4445" s="137" t="s">
        <v>24</v>
      </c>
      <c r="G4445" s="128" t="str">
        <f>VLOOKUP(source[[#This Row],[lending_product_transform]],[3]Mapping!$B$4:$C$37,2,0)</f>
        <v>[Cake] - Cashloan</v>
      </c>
      <c r="H4445" s="128" t="str">
        <f>VLOOKUP(source[[#This Row],[lending_product_transform]],[3]Mapping!$B$3:$D$37,3,0)</f>
        <v>cashloan</v>
      </c>
      <c r="I4445" s="143">
        <v>38850000</v>
      </c>
    </row>
    <row r="4446" spans="1:9" x14ac:dyDescent="0.2">
      <c r="A4446" s="134">
        <v>45670</v>
      </c>
      <c r="B4446" s="135">
        <f>YEAR(source[[#This Row],[report_date]])</f>
        <v>2025</v>
      </c>
      <c r="C4446" s="128">
        <f t="shared" si="204"/>
        <v>1</v>
      </c>
      <c r="D4446" s="136">
        <f t="shared" si="203"/>
        <v>3</v>
      </c>
      <c r="E4446" s="136">
        <f t="shared" si="205"/>
        <v>13</v>
      </c>
      <c r="F4446" s="137" t="s">
        <v>24</v>
      </c>
      <c r="G4446" s="128" t="str">
        <f>VLOOKUP(source[[#This Row],[lending_product_transform]],[3]Mapping!$B$4:$C$37,2,0)</f>
        <v>[Cake] - Cashloan</v>
      </c>
      <c r="H4446" s="128" t="str">
        <f>VLOOKUP(source[[#This Row],[lending_product_transform]],[3]Mapping!$B$3:$D$37,3,0)</f>
        <v>cashloan</v>
      </c>
      <c r="I4446" s="143">
        <v>0</v>
      </c>
    </row>
    <row r="4447" spans="1:9" x14ac:dyDescent="0.2">
      <c r="A4447" s="134">
        <v>45670</v>
      </c>
      <c r="B4447" s="135">
        <f>YEAR(source[[#This Row],[report_date]])</f>
        <v>2025</v>
      </c>
      <c r="C4447" s="128">
        <f t="shared" si="204"/>
        <v>1</v>
      </c>
      <c r="D4447" s="136">
        <f t="shared" si="203"/>
        <v>3</v>
      </c>
      <c r="E4447" s="136">
        <f t="shared" si="205"/>
        <v>13</v>
      </c>
      <c r="F4447" s="137" t="s">
        <v>24</v>
      </c>
      <c r="G4447" s="128" t="str">
        <f>VLOOKUP(source[[#This Row],[lending_product_transform]],[3]Mapping!$B$4:$C$37,2,0)</f>
        <v>[Cake] - Cashloan</v>
      </c>
      <c r="H4447" s="128" t="str">
        <f>VLOOKUP(source[[#This Row],[lending_product_transform]],[3]Mapping!$B$3:$D$37,3,0)</f>
        <v>cashloan</v>
      </c>
      <c r="I4447" s="143">
        <v>5527620000</v>
      </c>
    </row>
    <row r="4448" spans="1:9" x14ac:dyDescent="0.2">
      <c r="A4448" s="134">
        <v>45670</v>
      </c>
      <c r="B4448" s="135">
        <f>YEAR(source[[#This Row],[report_date]])</f>
        <v>2025</v>
      </c>
      <c r="C4448" s="128">
        <f t="shared" si="204"/>
        <v>1</v>
      </c>
      <c r="D4448" s="136">
        <f t="shared" si="203"/>
        <v>3</v>
      </c>
      <c r="E4448" s="136">
        <f t="shared" si="205"/>
        <v>13</v>
      </c>
      <c r="F4448" s="137" t="s">
        <v>24</v>
      </c>
      <c r="G4448" s="128" t="str">
        <f>VLOOKUP(source[[#This Row],[lending_product_transform]],[3]Mapping!$B$4:$C$37,2,0)</f>
        <v>[Cake] - Cashloan</v>
      </c>
      <c r="H4448" s="128" t="str">
        <f>VLOOKUP(source[[#This Row],[lending_product_transform]],[3]Mapping!$B$3:$D$37,3,0)</f>
        <v>cashloan</v>
      </c>
      <c r="I4448" s="143">
        <v>0</v>
      </c>
    </row>
    <row r="4449" spans="1:9" x14ac:dyDescent="0.2">
      <c r="A4449" s="134">
        <v>45670</v>
      </c>
      <c r="B4449" s="135">
        <f>YEAR(source[[#This Row],[report_date]])</f>
        <v>2025</v>
      </c>
      <c r="C4449" s="128">
        <f t="shared" si="204"/>
        <v>1</v>
      </c>
      <c r="D4449" s="136">
        <f t="shared" si="203"/>
        <v>3</v>
      </c>
      <c r="E4449" s="136">
        <f t="shared" si="205"/>
        <v>13</v>
      </c>
      <c r="F4449" s="137" t="s">
        <v>24</v>
      </c>
      <c r="G4449" s="128" t="str">
        <f>VLOOKUP(source[[#This Row],[lending_product_transform]],[3]Mapping!$B$4:$C$37,2,0)</f>
        <v>[Cake] - Cashloan</v>
      </c>
      <c r="H4449" s="128" t="str">
        <f>VLOOKUP(source[[#This Row],[lending_product_transform]],[3]Mapping!$B$3:$D$37,3,0)</f>
        <v>cashloan</v>
      </c>
      <c r="I4449" s="143">
        <v>669760000</v>
      </c>
    </row>
    <row r="4450" spans="1:9" x14ac:dyDescent="0.2">
      <c r="A4450" s="134">
        <v>45670</v>
      </c>
      <c r="B4450" s="135">
        <f>YEAR(source[[#This Row],[report_date]])</f>
        <v>2025</v>
      </c>
      <c r="C4450" s="128">
        <f t="shared" si="204"/>
        <v>1</v>
      </c>
      <c r="D4450" s="136">
        <f t="shared" si="203"/>
        <v>3</v>
      </c>
      <c r="E4450" s="136">
        <f t="shared" si="205"/>
        <v>13</v>
      </c>
      <c r="F4450" s="137" t="s">
        <v>24</v>
      </c>
      <c r="G4450" s="128" t="str">
        <f>VLOOKUP(source[[#This Row],[lending_product_transform]],[3]Mapping!$B$4:$C$37,2,0)</f>
        <v>[Cake] - Cashloan</v>
      </c>
      <c r="H4450" s="128" t="str">
        <f>VLOOKUP(source[[#This Row],[lending_product_transform]],[3]Mapping!$B$3:$D$37,3,0)</f>
        <v>cashloan</v>
      </c>
      <c r="I4450" s="143">
        <v>3824287620</v>
      </c>
    </row>
    <row r="4451" spans="1:9" x14ac:dyDescent="0.2">
      <c r="A4451" s="134">
        <v>45670</v>
      </c>
      <c r="B4451" s="135">
        <f>YEAR(source[[#This Row],[report_date]])</f>
        <v>2025</v>
      </c>
      <c r="C4451" s="128">
        <f t="shared" si="204"/>
        <v>1</v>
      </c>
      <c r="D4451" s="136">
        <f t="shared" si="203"/>
        <v>3</v>
      </c>
      <c r="E4451" s="136">
        <f t="shared" si="205"/>
        <v>13</v>
      </c>
      <c r="F4451" s="137" t="s">
        <v>24</v>
      </c>
      <c r="G4451" s="128" t="str">
        <f>VLOOKUP(source[[#This Row],[lending_product_transform]],[3]Mapping!$B$4:$C$37,2,0)</f>
        <v>[Cake] - Cashloan</v>
      </c>
      <c r="H4451" s="128" t="str">
        <f>VLOOKUP(source[[#This Row],[lending_product_transform]],[3]Mapping!$B$3:$D$37,3,0)</f>
        <v>cashloan</v>
      </c>
      <c r="I4451" s="143">
        <v>7880630000</v>
      </c>
    </row>
    <row r="4452" spans="1:9" x14ac:dyDescent="0.2">
      <c r="A4452" s="134">
        <v>45671</v>
      </c>
      <c r="B4452" s="135">
        <f>YEAR(source[[#This Row],[report_date]])</f>
        <v>2025</v>
      </c>
      <c r="C4452" s="128">
        <f t="shared" si="204"/>
        <v>1</v>
      </c>
      <c r="D4452" s="136">
        <f t="shared" si="203"/>
        <v>3</v>
      </c>
      <c r="E4452" s="136">
        <f t="shared" si="205"/>
        <v>14</v>
      </c>
      <c r="F4452" s="137" t="s">
        <v>24</v>
      </c>
      <c r="G4452" s="128" t="str">
        <f>VLOOKUP(source[[#This Row],[lending_product_transform]],[3]Mapping!$B$4:$C$37,2,0)</f>
        <v>[Cake] - Cashloan</v>
      </c>
      <c r="H4452" s="128" t="str">
        <f>VLOOKUP(source[[#This Row],[lending_product_transform]],[3]Mapping!$B$3:$D$37,3,0)</f>
        <v>cashloan</v>
      </c>
      <c r="I4452" s="143">
        <v>21400000</v>
      </c>
    </row>
    <row r="4453" spans="1:9" x14ac:dyDescent="0.2">
      <c r="A4453" s="134">
        <v>45671</v>
      </c>
      <c r="B4453" s="135">
        <f>YEAR(source[[#This Row],[report_date]])</f>
        <v>2025</v>
      </c>
      <c r="C4453" s="128">
        <f t="shared" si="204"/>
        <v>1</v>
      </c>
      <c r="D4453" s="136">
        <f t="shared" si="203"/>
        <v>3</v>
      </c>
      <c r="E4453" s="136">
        <f t="shared" si="205"/>
        <v>14</v>
      </c>
      <c r="F4453" s="137" t="s">
        <v>24</v>
      </c>
      <c r="G4453" s="128" t="str">
        <f>VLOOKUP(source[[#This Row],[lending_product_transform]],[3]Mapping!$B$4:$C$37,2,0)</f>
        <v>[Cake] - Cashloan</v>
      </c>
      <c r="H4453" s="128" t="str">
        <f>VLOOKUP(source[[#This Row],[lending_product_transform]],[3]Mapping!$B$3:$D$37,3,0)</f>
        <v>cashloan</v>
      </c>
      <c r="I4453" s="143">
        <v>0</v>
      </c>
    </row>
    <row r="4454" spans="1:9" x14ac:dyDescent="0.2">
      <c r="A4454" s="134">
        <v>45671</v>
      </c>
      <c r="B4454" s="135">
        <f>YEAR(source[[#This Row],[report_date]])</f>
        <v>2025</v>
      </c>
      <c r="C4454" s="128">
        <f t="shared" si="204"/>
        <v>1</v>
      </c>
      <c r="D4454" s="136">
        <f t="shared" si="203"/>
        <v>3</v>
      </c>
      <c r="E4454" s="136">
        <f t="shared" si="205"/>
        <v>14</v>
      </c>
      <c r="F4454" s="137" t="s">
        <v>24</v>
      </c>
      <c r="G4454" s="128" t="str">
        <f>VLOOKUP(source[[#This Row],[lending_product_transform]],[3]Mapping!$B$4:$C$37,2,0)</f>
        <v>[Cake] - Cashloan</v>
      </c>
      <c r="H4454" s="128" t="str">
        <f>VLOOKUP(source[[#This Row],[lending_product_transform]],[3]Mapping!$B$3:$D$37,3,0)</f>
        <v>cashloan</v>
      </c>
      <c r="I4454" s="143">
        <v>15750000</v>
      </c>
    </row>
    <row r="4455" spans="1:9" x14ac:dyDescent="0.2">
      <c r="A4455" s="134">
        <v>45671</v>
      </c>
      <c r="B4455" s="135">
        <f>YEAR(source[[#This Row],[report_date]])</f>
        <v>2025</v>
      </c>
      <c r="C4455" s="128">
        <f t="shared" si="204"/>
        <v>1</v>
      </c>
      <c r="D4455" s="136">
        <f t="shared" si="203"/>
        <v>3</v>
      </c>
      <c r="E4455" s="136">
        <f t="shared" si="205"/>
        <v>14</v>
      </c>
      <c r="F4455" s="137" t="s">
        <v>24</v>
      </c>
      <c r="G4455" s="128" t="str">
        <f>VLOOKUP(source[[#This Row],[lending_product_transform]],[3]Mapping!$B$4:$C$37,2,0)</f>
        <v>[Cake] - Cashloan</v>
      </c>
      <c r="H4455" s="128" t="str">
        <f>VLOOKUP(source[[#This Row],[lending_product_transform]],[3]Mapping!$B$3:$D$37,3,0)</f>
        <v>cashloan</v>
      </c>
      <c r="I4455" s="143">
        <v>184095308</v>
      </c>
    </row>
    <row r="4456" spans="1:9" x14ac:dyDescent="0.2">
      <c r="A4456" s="134">
        <v>45671</v>
      </c>
      <c r="B4456" s="135">
        <f>YEAR(source[[#This Row],[report_date]])</f>
        <v>2025</v>
      </c>
      <c r="C4456" s="128">
        <f t="shared" si="204"/>
        <v>1</v>
      </c>
      <c r="D4456" s="136">
        <f t="shared" si="203"/>
        <v>3</v>
      </c>
      <c r="E4456" s="136">
        <f t="shared" si="205"/>
        <v>14</v>
      </c>
      <c r="F4456" s="137" t="s">
        <v>24</v>
      </c>
      <c r="G4456" s="128" t="str">
        <f>VLOOKUP(source[[#This Row],[lending_product_transform]],[3]Mapping!$B$4:$C$37,2,0)</f>
        <v>[Cake] - Cashloan</v>
      </c>
      <c r="H4456" s="128" t="str">
        <f>VLOOKUP(source[[#This Row],[lending_product_transform]],[3]Mapping!$B$3:$D$37,3,0)</f>
        <v>cashloan</v>
      </c>
      <c r="I4456" s="143">
        <v>30000000</v>
      </c>
    </row>
    <row r="4457" spans="1:9" x14ac:dyDescent="0.2">
      <c r="A4457" s="134">
        <v>45671</v>
      </c>
      <c r="B4457" s="135">
        <f>YEAR(source[[#This Row],[report_date]])</f>
        <v>2025</v>
      </c>
      <c r="C4457" s="128">
        <f t="shared" si="204"/>
        <v>1</v>
      </c>
      <c r="D4457" s="136">
        <f t="shared" si="203"/>
        <v>3</v>
      </c>
      <c r="E4457" s="136">
        <f t="shared" si="205"/>
        <v>14</v>
      </c>
      <c r="F4457" s="137" t="s">
        <v>24</v>
      </c>
      <c r="G4457" s="128" t="str">
        <f>VLOOKUP(source[[#This Row],[lending_product_transform]],[3]Mapping!$B$4:$C$37,2,0)</f>
        <v>[Cake] - Cashloan</v>
      </c>
      <c r="H4457" s="128" t="str">
        <f>VLOOKUP(source[[#This Row],[lending_product_transform]],[3]Mapping!$B$3:$D$37,3,0)</f>
        <v>cashloan</v>
      </c>
      <c r="I4457" s="143">
        <v>0</v>
      </c>
    </row>
    <row r="4458" spans="1:9" x14ac:dyDescent="0.2">
      <c r="A4458" s="134">
        <v>45671</v>
      </c>
      <c r="B4458" s="135">
        <f>YEAR(source[[#This Row],[report_date]])</f>
        <v>2025</v>
      </c>
      <c r="C4458" s="128">
        <f t="shared" si="204"/>
        <v>1</v>
      </c>
      <c r="D4458" s="136">
        <f t="shared" si="203"/>
        <v>3</v>
      </c>
      <c r="E4458" s="136">
        <f t="shared" si="205"/>
        <v>14</v>
      </c>
      <c r="F4458" s="137" t="s">
        <v>24</v>
      </c>
      <c r="G4458" s="128" t="str">
        <f>VLOOKUP(source[[#This Row],[lending_product_transform]],[3]Mapping!$B$4:$C$37,2,0)</f>
        <v>[Cake] - Cashloan</v>
      </c>
      <c r="H4458" s="128" t="str">
        <f>VLOOKUP(source[[#This Row],[lending_product_transform]],[3]Mapping!$B$3:$D$37,3,0)</f>
        <v>cashloan</v>
      </c>
      <c r="I4458" s="143">
        <v>5850140000</v>
      </c>
    </row>
    <row r="4459" spans="1:9" x14ac:dyDescent="0.2">
      <c r="A4459" s="134">
        <v>45671</v>
      </c>
      <c r="B4459" s="135">
        <f>YEAR(source[[#This Row],[report_date]])</f>
        <v>2025</v>
      </c>
      <c r="C4459" s="128">
        <f t="shared" si="204"/>
        <v>1</v>
      </c>
      <c r="D4459" s="136">
        <f t="shared" si="203"/>
        <v>3</v>
      </c>
      <c r="E4459" s="136">
        <f t="shared" si="205"/>
        <v>14</v>
      </c>
      <c r="F4459" s="137" t="s">
        <v>24</v>
      </c>
      <c r="G4459" s="128" t="str">
        <f>VLOOKUP(source[[#This Row],[lending_product_transform]],[3]Mapping!$B$4:$C$37,2,0)</f>
        <v>[Cake] - Cashloan</v>
      </c>
      <c r="H4459" s="128" t="str">
        <f>VLOOKUP(source[[#This Row],[lending_product_transform]],[3]Mapping!$B$3:$D$37,3,0)</f>
        <v>cashloan</v>
      </c>
      <c r="I4459" s="143">
        <v>0</v>
      </c>
    </row>
    <row r="4460" spans="1:9" x14ac:dyDescent="0.2">
      <c r="A4460" s="134">
        <v>45671</v>
      </c>
      <c r="B4460" s="135">
        <f>YEAR(source[[#This Row],[report_date]])</f>
        <v>2025</v>
      </c>
      <c r="C4460" s="128">
        <f t="shared" si="204"/>
        <v>1</v>
      </c>
      <c r="D4460" s="136">
        <f t="shared" si="203"/>
        <v>3</v>
      </c>
      <c r="E4460" s="136">
        <f t="shared" si="205"/>
        <v>14</v>
      </c>
      <c r="F4460" s="137" t="s">
        <v>24</v>
      </c>
      <c r="G4460" s="128" t="str">
        <f>VLOOKUP(source[[#This Row],[lending_product_transform]],[3]Mapping!$B$4:$C$37,2,0)</f>
        <v>[Cake] - Cashloan</v>
      </c>
      <c r="H4460" s="128" t="str">
        <f>VLOOKUP(source[[#This Row],[lending_product_transform]],[3]Mapping!$B$3:$D$37,3,0)</f>
        <v>cashloan</v>
      </c>
      <c r="I4460" s="143">
        <v>7482390000</v>
      </c>
    </row>
    <row r="4461" spans="1:9" x14ac:dyDescent="0.2">
      <c r="A4461" s="134">
        <v>45671</v>
      </c>
      <c r="B4461" s="135">
        <f>YEAR(source[[#This Row],[report_date]])</f>
        <v>2025</v>
      </c>
      <c r="C4461" s="128">
        <f t="shared" si="204"/>
        <v>1</v>
      </c>
      <c r="D4461" s="136">
        <f t="shared" si="203"/>
        <v>3</v>
      </c>
      <c r="E4461" s="136">
        <f t="shared" si="205"/>
        <v>14</v>
      </c>
      <c r="F4461" s="137" t="s">
        <v>24</v>
      </c>
      <c r="G4461" s="128" t="str">
        <f>VLOOKUP(source[[#This Row],[lending_product_transform]],[3]Mapping!$B$4:$C$37,2,0)</f>
        <v>[Cake] - Cashloan</v>
      </c>
      <c r="H4461" s="128" t="str">
        <f>VLOOKUP(source[[#This Row],[lending_product_transform]],[3]Mapping!$B$3:$D$37,3,0)</f>
        <v>cashloan</v>
      </c>
      <c r="I4461" s="143">
        <v>23908905</v>
      </c>
    </row>
    <row r="4462" spans="1:9" x14ac:dyDescent="0.2">
      <c r="A4462" s="134">
        <v>45671</v>
      </c>
      <c r="B4462" s="135">
        <f>YEAR(source[[#This Row],[report_date]])</f>
        <v>2025</v>
      </c>
      <c r="C4462" s="128">
        <f t="shared" si="204"/>
        <v>1</v>
      </c>
      <c r="D4462" s="136">
        <f t="shared" si="203"/>
        <v>3</v>
      </c>
      <c r="E4462" s="136">
        <f t="shared" si="205"/>
        <v>14</v>
      </c>
      <c r="F4462" s="137" t="s">
        <v>24</v>
      </c>
      <c r="G4462" s="128" t="str">
        <f>VLOOKUP(source[[#This Row],[lending_product_transform]],[3]Mapping!$B$4:$C$37,2,0)</f>
        <v>[Cake] - Cashloan</v>
      </c>
      <c r="H4462" s="128" t="str">
        <f>VLOOKUP(source[[#This Row],[lending_product_transform]],[3]Mapping!$B$3:$D$37,3,0)</f>
        <v>cashloan</v>
      </c>
      <c r="I4462" s="143">
        <v>0</v>
      </c>
    </row>
    <row r="4463" spans="1:9" x14ac:dyDescent="0.2">
      <c r="A4463" s="134">
        <v>45671</v>
      </c>
      <c r="B4463" s="135">
        <f>YEAR(source[[#This Row],[report_date]])</f>
        <v>2025</v>
      </c>
      <c r="C4463" s="128">
        <f t="shared" si="204"/>
        <v>1</v>
      </c>
      <c r="D4463" s="136">
        <f t="shared" si="203"/>
        <v>3</v>
      </c>
      <c r="E4463" s="136">
        <f t="shared" si="205"/>
        <v>14</v>
      </c>
      <c r="F4463" s="137" t="s">
        <v>24</v>
      </c>
      <c r="G4463" s="128" t="str">
        <f>VLOOKUP(source[[#This Row],[lending_product_transform]],[3]Mapping!$B$4:$C$37,2,0)</f>
        <v>[Cake] - Cashloan</v>
      </c>
      <c r="H4463" s="128" t="str">
        <f>VLOOKUP(source[[#This Row],[lending_product_transform]],[3]Mapping!$B$3:$D$37,3,0)</f>
        <v>cashloan</v>
      </c>
      <c r="I4463" s="143">
        <v>343387908</v>
      </c>
    </row>
    <row r="4464" spans="1:9" x14ac:dyDescent="0.2">
      <c r="A4464" s="134">
        <v>45671</v>
      </c>
      <c r="B4464" s="135">
        <f>YEAR(source[[#This Row],[report_date]])</f>
        <v>2025</v>
      </c>
      <c r="C4464" s="128">
        <f t="shared" si="204"/>
        <v>1</v>
      </c>
      <c r="D4464" s="136">
        <f t="shared" si="203"/>
        <v>3</v>
      </c>
      <c r="E4464" s="136">
        <f t="shared" si="205"/>
        <v>14</v>
      </c>
      <c r="F4464" s="137" t="s">
        <v>24</v>
      </c>
      <c r="G4464" s="128" t="str">
        <f>VLOOKUP(source[[#This Row],[lending_product_transform]],[3]Mapping!$B$4:$C$37,2,0)</f>
        <v>[Cake] - Cashloan</v>
      </c>
      <c r="H4464" s="128" t="str">
        <f>VLOOKUP(source[[#This Row],[lending_product_transform]],[3]Mapping!$B$3:$D$37,3,0)</f>
        <v>cashloan</v>
      </c>
      <c r="I4464" s="143">
        <v>156092150</v>
      </c>
    </row>
    <row r="4465" spans="1:9" x14ac:dyDescent="0.2">
      <c r="A4465" s="134">
        <v>45671</v>
      </c>
      <c r="B4465" s="135">
        <f>YEAR(source[[#This Row],[report_date]])</f>
        <v>2025</v>
      </c>
      <c r="C4465" s="128">
        <f t="shared" si="204"/>
        <v>1</v>
      </c>
      <c r="D4465" s="136">
        <f t="shared" si="203"/>
        <v>3</v>
      </c>
      <c r="E4465" s="136">
        <f t="shared" si="205"/>
        <v>14</v>
      </c>
      <c r="F4465" s="137" t="s">
        <v>24</v>
      </c>
      <c r="G4465" s="128" t="str">
        <f>VLOOKUP(source[[#This Row],[lending_product_transform]],[3]Mapping!$B$4:$C$37,2,0)</f>
        <v>[Cake] - Cashloan</v>
      </c>
      <c r="H4465" s="128" t="str">
        <f>VLOOKUP(source[[#This Row],[lending_product_transform]],[3]Mapping!$B$3:$D$37,3,0)</f>
        <v>cashloan</v>
      </c>
      <c r="I4465" s="143">
        <v>4732500000</v>
      </c>
    </row>
    <row r="4466" spans="1:9" x14ac:dyDescent="0.2">
      <c r="A4466" s="134">
        <v>45671</v>
      </c>
      <c r="B4466" s="135">
        <f>YEAR(source[[#This Row],[report_date]])</f>
        <v>2025</v>
      </c>
      <c r="C4466" s="128">
        <f t="shared" si="204"/>
        <v>1</v>
      </c>
      <c r="D4466" s="136">
        <f t="shared" si="203"/>
        <v>3</v>
      </c>
      <c r="E4466" s="136">
        <f t="shared" si="205"/>
        <v>14</v>
      </c>
      <c r="F4466" s="137" t="s">
        <v>24</v>
      </c>
      <c r="G4466" s="128" t="str">
        <f>VLOOKUP(source[[#This Row],[lending_product_transform]],[3]Mapping!$B$4:$C$37,2,0)</f>
        <v>[Cake] - Cashloan</v>
      </c>
      <c r="H4466" s="128" t="str">
        <f>VLOOKUP(source[[#This Row],[lending_product_transform]],[3]Mapping!$B$3:$D$37,3,0)</f>
        <v>cashloan</v>
      </c>
      <c r="I4466" s="143">
        <v>651670000</v>
      </c>
    </row>
    <row r="4467" spans="1:9" x14ac:dyDescent="0.2">
      <c r="A4467" s="134">
        <v>45671</v>
      </c>
      <c r="B4467" s="135">
        <f>YEAR(source[[#This Row],[report_date]])</f>
        <v>2025</v>
      </c>
      <c r="C4467" s="128">
        <f t="shared" si="204"/>
        <v>1</v>
      </c>
      <c r="D4467" s="136">
        <f t="shared" si="203"/>
        <v>3</v>
      </c>
      <c r="E4467" s="136">
        <f t="shared" si="205"/>
        <v>14</v>
      </c>
      <c r="F4467" s="137" t="s">
        <v>24</v>
      </c>
      <c r="G4467" s="128" t="str">
        <f>VLOOKUP(source[[#This Row],[lending_product_transform]],[3]Mapping!$B$4:$C$37,2,0)</f>
        <v>[Cake] - Cashloan</v>
      </c>
      <c r="H4467" s="128" t="str">
        <f>VLOOKUP(source[[#This Row],[lending_product_transform]],[3]Mapping!$B$3:$D$37,3,0)</f>
        <v>cashloan</v>
      </c>
      <c r="I4467" s="143">
        <v>3342824325</v>
      </c>
    </row>
    <row r="4468" spans="1:9" x14ac:dyDescent="0.2">
      <c r="A4468" s="134">
        <v>45671</v>
      </c>
      <c r="B4468" s="135">
        <f>YEAR(source[[#This Row],[report_date]])</f>
        <v>2025</v>
      </c>
      <c r="C4468" s="128">
        <f t="shared" si="204"/>
        <v>1</v>
      </c>
      <c r="D4468" s="136">
        <f t="shared" si="203"/>
        <v>3</v>
      </c>
      <c r="E4468" s="136">
        <f t="shared" si="205"/>
        <v>14</v>
      </c>
      <c r="F4468" s="137" t="s">
        <v>24</v>
      </c>
      <c r="G4468" s="128" t="str">
        <f>VLOOKUP(source[[#This Row],[lending_product_transform]],[3]Mapping!$B$4:$C$37,2,0)</f>
        <v>[Cake] - Cashloan</v>
      </c>
      <c r="H4468" s="128" t="str">
        <f>VLOOKUP(source[[#This Row],[lending_product_transform]],[3]Mapping!$B$3:$D$37,3,0)</f>
        <v>cashloan</v>
      </c>
      <c r="I4468" s="143">
        <v>485090000</v>
      </c>
    </row>
    <row r="4469" spans="1:9" x14ac:dyDescent="0.2">
      <c r="A4469" s="134">
        <v>45671</v>
      </c>
      <c r="B4469" s="135">
        <f>YEAR(source[[#This Row],[report_date]])</f>
        <v>2025</v>
      </c>
      <c r="C4469" s="128">
        <f t="shared" si="204"/>
        <v>1</v>
      </c>
      <c r="D4469" s="136">
        <f t="shared" si="203"/>
        <v>3</v>
      </c>
      <c r="E4469" s="136">
        <f t="shared" si="205"/>
        <v>14</v>
      </c>
      <c r="F4469" s="137" t="s">
        <v>24</v>
      </c>
      <c r="G4469" s="128" t="str">
        <f>VLOOKUP(source[[#This Row],[lending_product_transform]],[3]Mapping!$B$4:$C$37,2,0)</f>
        <v>[Cake] - Cashloan</v>
      </c>
      <c r="H4469" s="128" t="str">
        <f>VLOOKUP(source[[#This Row],[lending_product_transform]],[3]Mapping!$B$3:$D$37,3,0)</f>
        <v>cashloan</v>
      </c>
      <c r="I4469" s="143">
        <v>0</v>
      </c>
    </row>
    <row r="4470" spans="1:9" x14ac:dyDescent="0.2">
      <c r="A4470" s="134">
        <v>45672</v>
      </c>
      <c r="B4470" s="135">
        <f>YEAR(source[[#This Row],[report_date]])</f>
        <v>2025</v>
      </c>
      <c r="C4470" s="128">
        <f t="shared" si="204"/>
        <v>1</v>
      </c>
      <c r="D4470" s="136">
        <f t="shared" si="203"/>
        <v>3</v>
      </c>
      <c r="E4470" s="136">
        <f t="shared" si="205"/>
        <v>15</v>
      </c>
      <c r="F4470" s="137" t="s">
        <v>24</v>
      </c>
      <c r="G4470" s="128" t="str">
        <f>VLOOKUP(source[[#This Row],[lending_product_transform]],[3]Mapping!$B$4:$C$37,2,0)</f>
        <v>[Cake] - Cashloan</v>
      </c>
      <c r="H4470" s="128" t="str">
        <f>VLOOKUP(source[[#This Row],[lending_product_transform]],[3]Mapping!$B$3:$D$37,3,0)</f>
        <v>cashloan</v>
      </c>
      <c r="I4470" s="143">
        <v>360203228</v>
      </c>
    </row>
    <row r="4471" spans="1:9" x14ac:dyDescent="0.2">
      <c r="A4471" s="134">
        <v>45672</v>
      </c>
      <c r="B4471" s="135">
        <f>YEAR(source[[#This Row],[report_date]])</f>
        <v>2025</v>
      </c>
      <c r="C4471" s="128">
        <f t="shared" si="204"/>
        <v>1</v>
      </c>
      <c r="D4471" s="136">
        <f t="shared" si="203"/>
        <v>3</v>
      </c>
      <c r="E4471" s="136">
        <f t="shared" si="205"/>
        <v>15</v>
      </c>
      <c r="F4471" s="137" t="s">
        <v>24</v>
      </c>
      <c r="G4471" s="128" t="str">
        <f>VLOOKUP(source[[#This Row],[lending_product_transform]],[3]Mapping!$B$4:$C$37,2,0)</f>
        <v>[Cake] - Cashloan</v>
      </c>
      <c r="H4471" s="128" t="str">
        <f>VLOOKUP(source[[#This Row],[lending_product_transform]],[3]Mapping!$B$3:$D$37,3,0)</f>
        <v>cashloan</v>
      </c>
      <c r="I4471" s="143">
        <v>5162000000</v>
      </c>
    </row>
    <row r="4472" spans="1:9" x14ac:dyDescent="0.2">
      <c r="A4472" s="134">
        <v>45672</v>
      </c>
      <c r="B4472" s="135">
        <f>YEAR(source[[#This Row],[report_date]])</f>
        <v>2025</v>
      </c>
      <c r="C4472" s="128">
        <f t="shared" si="204"/>
        <v>1</v>
      </c>
      <c r="D4472" s="136">
        <f t="shared" si="203"/>
        <v>3</v>
      </c>
      <c r="E4472" s="136">
        <f t="shared" si="205"/>
        <v>15</v>
      </c>
      <c r="F4472" s="137" t="s">
        <v>24</v>
      </c>
      <c r="G4472" s="128" t="str">
        <f>VLOOKUP(source[[#This Row],[lending_product_transform]],[3]Mapping!$B$4:$C$37,2,0)</f>
        <v>[Cake] - Cashloan</v>
      </c>
      <c r="H4472" s="128" t="str">
        <f>VLOOKUP(source[[#This Row],[lending_product_transform]],[3]Mapping!$B$3:$D$37,3,0)</f>
        <v>cashloan</v>
      </c>
      <c r="I4472" s="143">
        <v>0</v>
      </c>
    </row>
    <row r="4473" spans="1:9" x14ac:dyDescent="0.2">
      <c r="A4473" s="134">
        <v>45672</v>
      </c>
      <c r="B4473" s="135">
        <f>YEAR(source[[#This Row],[report_date]])</f>
        <v>2025</v>
      </c>
      <c r="C4473" s="128">
        <f t="shared" si="204"/>
        <v>1</v>
      </c>
      <c r="D4473" s="136">
        <f t="shared" si="203"/>
        <v>3</v>
      </c>
      <c r="E4473" s="136">
        <f t="shared" si="205"/>
        <v>15</v>
      </c>
      <c r="F4473" s="137" t="s">
        <v>24</v>
      </c>
      <c r="G4473" s="128" t="str">
        <f>VLOOKUP(source[[#This Row],[lending_product_transform]],[3]Mapping!$B$4:$C$37,2,0)</f>
        <v>[Cake] - Cashloan</v>
      </c>
      <c r="H4473" s="128" t="str">
        <f>VLOOKUP(source[[#This Row],[lending_product_transform]],[3]Mapping!$B$3:$D$37,3,0)</f>
        <v>cashloan</v>
      </c>
      <c r="I4473" s="143">
        <v>0</v>
      </c>
    </row>
    <row r="4474" spans="1:9" x14ac:dyDescent="0.2">
      <c r="A4474" s="134">
        <v>45672</v>
      </c>
      <c r="B4474" s="135">
        <f>YEAR(source[[#This Row],[report_date]])</f>
        <v>2025</v>
      </c>
      <c r="C4474" s="128">
        <f t="shared" si="204"/>
        <v>1</v>
      </c>
      <c r="D4474" s="136">
        <f t="shared" si="203"/>
        <v>3</v>
      </c>
      <c r="E4474" s="136">
        <f t="shared" si="205"/>
        <v>15</v>
      </c>
      <c r="F4474" s="137" t="s">
        <v>24</v>
      </c>
      <c r="G4474" s="128" t="str">
        <f>VLOOKUP(source[[#This Row],[lending_product_transform]],[3]Mapping!$B$4:$C$37,2,0)</f>
        <v>[Cake] - Cashloan</v>
      </c>
      <c r="H4474" s="128" t="str">
        <f>VLOOKUP(source[[#This Row],[lending_product_transform]],[3]Mapping!$B$3:$D$37,3,0)</f>
        <v>cashloan</v>
      </c>
      <c r="I4474" s="143">
        <v>365290000</v>
      </c>
    </row>
    <row r="4475" spans="1:9" x14ac:dyDescent="0.2">
      <c r="A4475" s="134">
        <v>45672</v>
      </c>
      <c r="B4475" s="135">
        <f>YEAR(source[[#This Row],[report_date]])</f>
        <v>2025</v>
      </c>
      <c r="C4475" s="128">
        <f t="shared" si="204"/>
        <v>1</v>
      </c>
      <c r="D4475" s="136">
        <f t="shared" si="203"/>
        <v>3</v>
      </c>
      <c r="E4475" s="136">
        <f t="shared" si="205"/>
        <v>15</v>
      </c>
      <c r="F4475" s="137" t="s">
        <v>24</v>
      </c>
      <c r="G4475" s="128" t="str">
        <f>VLOOKUP(source[[#This Row],[lending_product_transform]],[3]Mapping!$B$4:$C$37,2,0)</f>
        <v>[Cake] - Cashloan</v>
      </c>
      <c r="H4475" s="128" t="str">
        <f>VLOOKUP(source[[#This Row],[lending_product_transform]],[3]Mapping!$B$3:$D$37,3,0)</f>
        <v>cashloan</v>
      </c>
      <c r="I4475" s="143">
        <v>0</v>
      </c>
    </row>
    <row r="4476" spans="1:9" x14ac:dyDescent="0.2">
      <c r="A4476" s="134">
        <v>45672</v>
      </c>
      <c r="B4476" s="135">
        <f>YEAR(source[[#This Row],[report_date]])</f>
        <v>2025</v>
      </c>
      <c r="C4476" s="128">
        <f t="shared" si="204"/>
        <v>1</v>
      </c>
      <c r="D4476" s="136">
        <f t="shared" si="203"/>
        <v>3</v>
      </c>
      <c r="E4476" s="136">
        <f t="shared" si="205"/>
        <v>15</v>
      </c>
      <c r="F4476" s="137" t="s">
        <v>24</v>
      </c>
      <c r="G4476" s="128" t="str">
        <f>VLOOKUP(source[[#This Row],[lending_product_transform]],[3]Mapping!$B$4:$C$37,2,0)</f>
        <v>[Cake] - Cashloan</v>
      </c>
      <c r="H4476" s="128" t="str">
        <f>VLOOKUP(source[[#This Row],[lending_product_transform]],[3]Mapping!$B$3:$D$37,3,0)</f>
        <v>cashloan</v>
      </c>
      <c r="I4476" s="143">
        <v>19859614</v>
      </c>
    </row>
    <row r="4477" spans="1:9" x14ac:dyDescent="0.2">
      <c r="A4477" s="134">
        <v>45672</v>
      </c>
      <c r="B4477" s="135">
        <f>YEAR(source[[#This Row],[report_date]])</f>
        <v>2025</v>
      </c>
      <c r="C4477" s="128">
        <f t="shared" si="204"/>
        <v>1</v>
      </c>
      <c r="D4477" s="136">
        <f t="shared" si="203"/>
        <v>3</v>
      </c>
      <c r="E4477" s="136">
        <f t="shared" si="205"/>
        <v>15</v>
      </c>
      <c r="F4477" s="137" t="s">
        <v>24</v>
      </c>
      <c r="G4477" s="128" t="str">
        <f>VLOOKUP(source[[#This Row],[lending_product_transform]],[3]Mapping!$B$4:$C$37,2,0)</f>
        <v>[Cake] - Cashloan</v>
      </c>
      <c r="H4477" s="128" t="str">
        <f>VLOOKUP(source[[#This Row],[lending_product_transform]],[3]Mapping!$B$3:$D$37,3,0)</f>
        <v>cashloan</v>
      </c>
      <c r="I4477" s="143">
        <v>4208577888</v>
      </c>
    </row>
    <row r="4478" spans="1:9" x14ac:dyDescent="0.2">
      <c r="A4478" s="134">
        <v>45672</v>
      </c>
      <c r="B4478" s="135">
        <f>YEAR(source[[#This Row],[report_date]])</f>
        <v>2025</v>
      </c>
      <c r="C4478" s="128">
        <f t="shared" si="204"/>
        <v>1</v>
      </c>
      <c r="D4478" s="136">
        <f t="shared" si="203"/>
        <v>3</v>
      </c>
      <c r="E4478" s="136">
        <f t="shared" si="205"/>
        <v>15</v>
      </c>
      <c r="F4478" s="137" t="s">
        <v>24</v>
      </c>
      <c r="G4478" s="128" t="str">
        <f>VLOOKUP(source[[#This Row],[lending_product_transform]],[3]Mapping!$B$4:$C$37,2,0)</f>
        <v>[Cake] - Cashloan</v>
      </c>
      <c r="H4478" s="128" t="str">
        <f>VLOOKUP(source[[#This Row],[lending_product_transform]],[3]Mapping!$B$3:$D$37,3,0)</f>
        <v>cashloan</v>
      </c>
      <c r="I4478" s="143">
        <v>18000000</v>
      </c>
    </row>
    <row r="4479" spans="1:9" x14ac:dyDescent="0.2">
      <c r="A4479" s="134">
        <v>45672</v>
      </c>
      <c r="B4479" s="135">
        <f>YEAR(source[[#This Row],[report_date]])</f>
        <v>2025</v>
      </c>
      <c r="C4479" s="128">
        <f t="shared" si="204"/>
        <v>1</v>
      </c>
      <c r="D4479" s="136">
        <f t="shared" si="203"/>
        <v>3</v>
      </c>
      <c r="E4479" s="136">
        <f t="shared" si="205"/>
        <v>15</v>
      </c>
      <c r="F4479" s="137" t="s">
        <v>24</v>
      </c>
      <c r="G4479" s="128" t="str">
        <f>VLOOKUP(source[[#This Row],[lending_product_transform]],[3]Mapping!$B$4:$C$37,2,0)</f>
        <v>[Cake] - Cashloan</v>
      </c>
      <c r="H4479" s="128" t="str">
        <f>VLOOKUP(source[[#This Row],[lending_product_transform]],[3]Mapping!$B$3:$D$37,3,0)</f>
        <v>cashloan</v>
      </c>
      <c r="I4479" s="143">
        <v>31500000</v>
      </c>
    </row>
    <row r="4480" spans="1:9" x14ac:dyDescent="0.2">
      <c r="A4480" s="134">
        <v>45672</v>
      </c>
      <c r="B4480" s="135">
        <f>YEAR(source[[#This Row],[report_date]])</f>
        <v>2025</v>
      </c>
      <c r="C4480" s="128">
        <f t="shared" si="204"/>
        <v>1</v>
      </c>
      <c r="D4480" s="136">
        <f t="shared" si="203"/>
        <v>3</v>
      </c>
      <c r="E4480" s="136">
        <f t="shared" si="205"/>
        <v>15</v>
      </c>
      <c r="F4480" s="137" t="s">
        <v>24</v>
      </c>
      <c r="G4480" s="128" t="str">
        <f>VLOOKUP(source[[#This Row],[lending_product_transform]],[3]Mapping!$B$4:$C$37,2,0)</f>
        <v>[Cake] - Cashloan</v>
      </c>
      <c r="H4480" s="128" t="str">
        <f>VLOOKUP(source[[#This Row],[lending_product_transform]],[3]Mapping!$B$3:$D$37,3,0)</f>
        <v>cashloan</v>
      </c>
      <c r="I4480" s="143">
        <v>0</v>
      </c>
    </row>
    <row r="4481" spans="1:9" x14ac:dyDescent="0.2">
      <c r="A4481" s="134">
        <v>45672</v>
      </c>
      <c r="B4481" s="135">
        <f>YEAR(source[[#This Row],[report_date]])</f>
        <v>2025</v>
      </c>
      <c r="C4481" s="128">
        <f t="shared" si="204"/>
        <v>1</v>
      </c>
      <c r="D4481" s="136">
        <f t="shared" si="203"/>
        <v>3</v>
      </c>
      <c r="E4481" s="136">
        <f t="shared" si="205"/>
        <v>15</v>
      </c>
      <c r="F4481" s="137" t="s">
        <v>24</v>
      </c>
      <c r="G4481" s="128" t="str">
        <f>VLOOKUP(source[[#This Row],[lending_product_transform]],[3]Mapping!$B$4:$C$37,2,0)</f>
        <v>[Cake] - Cashloan</v>
      </c>
      <c r="H4481" s="128" t="str">
        <f>VLOOKUP(source[[#This Row],[lending_product_transform]],[3]Mapping!$B$3:$D$37,3,0)</f>
        <v>cashloan</v>
      </c>
      <c r="I4481" s="143">
        <v>0</v>
      </c>
    </row>
    <row r="4482" spans="1:9" x14ac:dyDescent="0.2">
      <c r="A4482" s="134">
        <v>45672</v>
      </c>
      <c r="B4482" s="135">
        <f>YEAR(source[[#This Row],[report_date]])</f>
        <v>2025</v>
      </c>
      <c r="C4482" s="128">
        <f t="shared" si="204"/>
        <v>1</v>
      </c>
      <c r="D4482" s="136">
        <f t="shared" si="203"/>
        <v>3</v>
      </c>
      <c r="E4482" s="136">
        <f t="shared" si="205"/>
        <v>15</v>
      </c>
      <c r="F4482" s="137" t="s">
        <v>24</v>
      </c>
      <c r="G4482" s="128" t="str">
        <f>VLOOKUP(source[[#This Row],[lending_product_transform]],[3]Mapping!$B$4:$C$37,2,0)</f>
        <v>[Cake] - Cashloan</v>
      </c>
      <c r="H4482" s="128" t="str">
        <f>VLOOKUP(source[[#This Row],[lending_product_transform]],[3]Mapping!$B$3:$D$37,3,0)</f>
        <v>cashloan</v>
      </c>
      <c r="I4482" s="143">
        <v>182440717</v>
      </c>
    </row>
    <row r="4483" spans="1:9" x14ac:dyDescent="0.2">
      <c r="A4483" s="134">
        <v>45672</v>
      </c>
      <c r="B4483" s="135">
        <f>YEAR(source[[#This Row],[report_date]])</f>
        <v>2025</v>
      </c>
      <c r="C4483" s="128">
        <f t="shared" si="204"/>
        <v>1</v>
      </c>
      <c r="D4483" s="136">
        <f t="shared" ref="D4483:D4546" si="206">WEEKNUM(A4483,2)</f>
        <v>3</v>
      </c>
      <c r="E4483" s="136">
        <f t="shared" si="205"/>
        <v>15</v>
      </c>
      <c r="F4483" s="137" t="s">
        <v>24</v>
      </c>
      <c r="G4483" s="128" t="str">
        <f>VLOOKUP(source[[#This Row],[lending_product_transform]],[3]Mapping!$B$4:$C$37,2,0)</f>
        <v>[Cake] - Cashloan</v>
      </c>
      <c r="H4483" s="128" t="str">
        <f>VLOOKUP(source[[#This Row],[lending_product_transform]],[3]Mapping!$B$3:$D$37,3,0)</f>
        <v>cashloan</v>
      </c>
      <c r="I4483" s="143">
        <v>154265288</v>
      </c>
    </row>
    <row r="4484" spans="1:9" x14ac:dyDescent="0.2">
      <c r="A4484" s="134">
        <v>45672</v>
      </c>
      <c r="B4484" s="135">
        <f>YEAR(source[[#This Row],[report_date]])</f>
        <v>2025</v>
      </c>
      <c r="C4484" s="128">
        <f t="shared" si="204"/>
        <v>1</v>
      </c>
      <c r="D4484" s="136">
        <f t="shared" si="206"/>
        <v>3</v>
      </c>
      <c r="E4484" s="136">
        <f t="shared" si="205"/>
        <v>15</v>
      </c>
      <c r="F4484" s="137" t="s">
        <v>24</v>
      </c>
      <c r="G4484" s="128" t="str">
        <f>VLOOKUP(source[[#This Row],[lending_product_transform]],[3]Mapping!$B$4:$C$37,2,0)</f>
        <v>[Cake] - Cashloan</v>
      </c>
      <c r="H4484" s="128" t="str">
        <f>VLOOKUP(source[[#This Row],[lending_product_transform]],[3]Mapping!$B$3:$D$37,3,0)</f>
        <v>cashloan</v>
      </c>
      <c r="I4484" s="143">
        <v>21400000</v>
      </c>
    </row>
    <row r="4485" spans="1:9" x14ac:dyDescent="0.2">
      <c r="A4485" s="134">
        <v>45672</v>
      </c>
      <c r="B4485" s="135">
        <f>YEAR(source[[#This Row],[report_date]])</f>
        <v>2025</v>
      </c>
      <c r="C4485" s="128">
        <f t="shared" si="204"/>
        <v>1</v>
      </c>
      <c r="D4485" s="136">
        <f t="shared" si="206"/>
        <v>3</v>
      </c>
      <c r="E4485" s="136">
        <f t="shared" si="205"/>
        <v>15</v>
      </c>
      <c r="F4485" s="137" t="s">
        <v>24</v>
      </c>
      <c r="G4485" s="128" t="str">
        <f>VLOOKUP(source[[#This Row],[lending_product_transform]],[3]Mapping!$B$4:$C$37,2,0)</f>
        <v>[Cake] - Cashloan</v>
      </c>
      <c r="H4485" s="128" t="str">
        <f>VLOOKUP(source[[#This Row],[lending_product_transform]],[3]Mapping!$B$3:$D$37,3,0)</f>
        <v>cashloan</v>
      </c>
      <c r="I4485" s="143">
        <v>5574590000</v>
      </c>
    </row>
    <row r="4486" spans="1:9" x14ac:dyDescent="0.2">
      <c r="A4486" s="134">
        <v>45672</v>
      </c>
      <c r="B4486" s="135">
        <f>YEAR(source[[#This Row],[report_date]])</f>
        <v>2025</v>
      </c>
      <c r="C4486" s="128">
        <f t="shared" si="204"/>
        <v>1</v>
      </c>
      <c r="D4486" s="136">
        <f t="shared" si="206"/>
        <v>3</v>
      </c>
      <c r="E4486" s="136">
        <f t="shared" si="205"/>
        <v>15</v>
      </c>
      <c r="F4486" s="137" t="s">
        <v>24</v>
      </c>
      <c r="G4486" s="128" t="str">
        <f>VLOOKUP(source[[#This Row],[lending_product_transform]],[3]Mapping!$B$4:$C$37,2,0)</f>
        <v>[Cake] - Cashloan</v>
      </c>
      <c r="H4486" s="128" t="str">
        <f>VLOOKUP(source[[#This Row],[lending_product_transform]],[3]Mapping!$B$3:$D$37,3,0)</f>
        <v>cashloan</v>
      </c>
      <c r="I4486" s="143">
        <v>8565820000</v>
      </c>
    </row>
    <row r="4487" spans="1:9" x14ac:dyDescent="0.2">
      <c r="A4487" s="134">
        <v>45672</v>
      </c>
      <c r="B4487" s="135">
        <f>YEAR(source[[#This Row],[report_date]])</f>
        <v>2025</v>
      </c>
      <c r="C4487" s="128">
        <f t="shared" si="204"/>
        <v>1</v>
      </c>
      <c r="D4487" s="136">
        <f t="shared" si="206"/>
        <v>3</v>
      </c>
      <c r="E4487" s="136">
        <f t="shared" si="205"/>
        <v>15</v>
      </c>
      <c r="F4487" s="137" t="s">
        <v>24</v>
      </c>
      <c r="G4487" s="128" t="str">
        <f>VLOOKUP(source[[#This Row],[lending_product_transform]],[3]Mapping!$B$4:$C$37,2,0)</f>
        <v>[Cake] - Cashloan</v>
      </c>
      <c r="H4487" s="128" t="str">
        <f>VLOOKUP(source[[#This Row],[lending_product_transform]],[3]Mapping!$B$3:$D$37,3,0)</f>
        <v>cashloan</v>
      </c>
      <c r="I4487" s="143">
        <v>730000000</v>
      </c>
    </row>
    <row r="4488" spans="1:9" x14ac:dyDescent="0.2">
      <c r="A4488" s="134">
        <v>45673</v>
      </c>
      <c r="B4488" s="135">
        <f>YEAR(source[[#This Row],[report_date]])</f>
        <v>2025</v>
      </c>
      <c r="C4488" s="128">
        <f t="shared" si="204"/>
        <v>1</v>
      </c>
      <c r="D4488" s="136">
        <f t="shared" si="206"/>
        <v>3</v>
      </c>
      <c r="E4488" s="136">
        <f t="shared" si="205"/>
        <v>16</v>
      </c>
      <c r="F4488" s="137" t="s">
        <v>24</v>
      </c>
      <c r="G4488" s="128" t="str">
        <f>VLOOKUP(source[[#This Row],[lending_product_transform]],[3]Mapping!$B$4:$C$37,2,0)</f>
        <v>[Cake] - Cashloan</v>
      </c>
      <c r="H4488" s="128" t="str">
        <f>VLOOKUP(source[[#This Row],[lending_product_transform]],[3]Mapping!$B$3:$D$37,3,0)</f>
        <v>cashloan</v>
      </c>
      <c r="I4488" s="143">
        <v>0</v>
      </c>
    </row>
    <row r="4489" spans="1:9" x14ac:dyDescent="0.2">
      <c r="A4489" s="134">
        <v>45673</v>
      </c>
      <c r="B4489" s="135">
        <f>YEAR(source[[#This Row],[report_date]])</f>
        <v>2025</v>
      </c>
      <c r="C4489" s="128">
        <f t="shared" si="204"/>
        <v>1</v>
      </c>
      <c r="D4489" s="136">
        <f t="shared" si="206"/>
        <v>3</v>
      </c>
      <c r="E4489" s="136">
        <f t="shared" si="205"/>
        <v>16</v>
      </c>
      <c r="F4489" s="137" t="s">
        <v>24</v>
      </c>
      <c r="G4489" s="128" t="str">
        <f>VLOOKUP(source[[#This Row],[lending_product_transform]],[3]Mapping!$B$4:$C$37,2,0)</f>
        <v>[Cake] - Cashloan</v>
      </c>
      <c r="H4489" s="128" t="str">
        <f>VLOOKUP(source[[#This Row],[lending_product_transform]],[3]Mapping!$B$3:$D$37,3,0)</f>
        <v>cashloan</v>
      </c>
      <c r="I4489" s="143">
        <v>0</v>
      </c>
    </row>
    <row r="4490" spans="1:9" x14ac:dyDescent="0.2">
      <c r="A4490" s="134">
        <v>45673</v>
      </c>
      <c r="B4490" s="135">
        <f>YEAR(source[[#This Row],[report_date]])</f>
        <v>2025</v>
      </c>
      <c r="C4490" s="128">
        <f t="shared" si="204"/>
        <v>1</v>
      </c>
      <c r="D4490" s="136">
        <f t="shared" si="206"/>
        <v>3</v>
      </c>
      <c r="E4490" s="136">
        <f t="shared" si="205"/>
        <v>16</v>
      </c>
      <c r="F4490" s="137" t="s">
        <v>24</v>
      </c>
      <c r="G4490" s="128" t="str">
        <f>VLOOKUP(source[[#This Row],[lending_product_transform]],[3]Mapping!$B$4:$C$37,2,0)</f>
        <v>[Cake] - Cashloan</v>
      </c>
      <c r="H4490" s="128" t="str">
        <f>VLOOKUP(source[[#This Row],[lending_product_transform]],[3]Mapping!$B$3:$D$37,3,0)</f>
        <v>cashloan</v>
      </c>
      <c r="I4490" s="143">
        <v>0</v>
      </c>
    </row>
    <row r="4491" spans="1:9" x14ac:dyDescent="0.2">
      <c r="A4491" s="134">
        <v>45673</v>
      </c>
      <c r="B4491" s="135">
        <f>YEAR(source[[#This Row],[report_date]])</f>
        <v>2025</v>
      </c>
      <c r="C4491" s="128">
        <f t="shared" si="204"/>
        <v>1</v>
      </c>
      <c r="D4491" s="136">
        <f t="shared" si="206"/>
        <v>3</v>
      </c>
      <c r="E4491" s="136">
        <f t="shared" si="205"/>
        <v>16</v>
      </c>
      <c r="F4491" s="137" t="s">
        <v>24</v>
      </c>
      <c r="G4491" s="128" t="str">
        <f>VLOOKUP(source[[#This Row],[lending_product_transform]],[3]Mapping!$B$4:$C$37,2,0)</f>
        <v>[Cake] - Cashloan</v>
      </c>
      <c r="H4491" s="128" t="str">
        <f>VLOOKUP(source[[#This Row],[lending_product_transform]],[3]Mapping!$B$3:$D$37,3,0)</f>
        <v>cashloan</v>
      </c>
      <c r="I4491" s="143">
        <v>337565419</v>
      </c>
    </row>
    <row r="4492" spans="1:9" x14ac:dyDescent="0.2">
      <c r="A4492" s="134">
        <v>45673</v>
      </c>
      <c r="B4492" s="135">
        <f>YEAR(source[[#This Row],[report_date]])</f>
        <v>2025</v>
      </c>
      <c r="C4492" s="128">
        <f t="shared" si="204"/>
        <v>1</v>
      </c>
      <c r="D4492" s="136">
        <f t="shared" si="206"/>
        <v>3</v>
      </c>
      <c r="E4492" s="136">
        <f t="shared" si="205"/>
        <v>16</v>
      </c>
      <c r="F4492" s="137" t="s">
        <v>24</v>
      </c>
      <c r="G4492" s="128" t="str">
        <f>VLOOKUP(source[[#This Row],[lending_product_transform]],[3]Mapping!$B$4:$C$37,2,0)</f>
        <v>[Cake] - Cashloan</v>
      </c>
      <c r="H4492" s="128" t="str">
        <f>VLOOKUP(source[[#This Row],[lending_product_transform]],[3]Mapping!$B$3:$D$37,3,0)</f>
        <v>cashloan</v>
      </c>
      <c r="I4492" s="143">
        <v>0</v>
      </c>
    </row>
    <row r="4493" spans="1:9" x14ac:dyDescent="0.2">
      <c r="A4493" s="134">
        <v>45673</v>
      </c>
      <c r="B4493" s="135">
        <f>YEAR(source[[#This Row],[report_date]])</f>
        <v>2025</v>
      </c>
      <c r="C4493" s="128">
        <f t="shared" si="204"/>
        <v>1</v>
      </c>
      <c r="D4493" s="136">
        <f t="shared" si="206"/>
        <v>3</v>
      </c>
      <c r="E4493" s="136">
        <f t="shared" si="205"/>
        <v>16</v>
      </c>
      <c r="F4493" s="137" t="s">
        <v>24</v>
      </c>
      <c r="G4493" s="128" t="str">
        <f>VLOOKUP(source[[#This Row],[lending_product_transform]],[3]Mapping!$B$4:$C$37,2,0)</f>
        <v>[Cake] - Cashloan</v>
      </c>
      <c r="H4493" s="128" t="str">
        <f>VLOOKUP(source[[#This Row],[lending_product_transform]],[3]Mapping!$B$3:$D$37,3,0)</f>
        <v>cashloan</v>
      </c>
      <c r="I4493" s="143">
        <v>372080000</v>
      </c>
    </row>
    <row r="4494" spans="1:9" x14ac:dyDescent="0.2">
      <c r="A4494" s="134">
        <v>45673</v>
      </c>
      <c r="B4494" s="135">
        <f>YEAR(source[[#This Row],[report_date]])</f>
        <v>2025</v>
      </c>
      <c r="C4494" s="128">
        <f t="shared" si="204"/>
        <v>1</v>
      </c>
      <c r="D4494" s="136">
        <f t="shared" si="206"/>
        <v>3</v>
      </c>
      <c r="E4494" s="136">
        <f t="shared" si="205"/>
        <v>16</v>
      </c>
      <c r="F4494" s="137" t="s">
        <v>24</v>
      </c>
      <c r="G4494" s="128" t="str">
        <f>VLOOKUP(source[[#This Row],[lending_product_transform]],[3]Mapping!$B$4:$C$37,2,0)</f>
        <v>[Cake] - Cashloan</v>
      </c>
      <c r="H4494" s="128" t="str">
        <f>VLOOKUP(source[[#This Row],[lending_product_transform]],[3]Mapping!$B$3:$D$37,3,0)</f>
        <v>cashloan</v>
      </c>
      <c r="I4494" s="143">
        <v>0</v>
      </c>
    </row>
    <row r="4495" spans="1:9" x14ac:dyDescent="0.2">
      <c r="A4495" s="134">
        <v>45673</v>
      </c>
      <c r="B4495" s="135">
        <f>YEAR(source[[#This Row],[report_date]])</f>
        <v>2025</v>
      </c>
      <c r="C4495" s="128">
        <f t="shared" si="204"/>
        <v>1</v>
      </c>
      <c r="D4495" s="136">
        <f t="shared" si="206"/>
        <v>3</v>
      </c>
      <c r="E4495" s="136">
        <f t="shared" si="205"/>
        <v>16</v>
      </c>
      <c r="F4495" s="137" t="s">
        <v>24</v>
      </c>
      <c r="G4495" s="128" t="str">
        <f>VLOOKUP(source[[#This Row],[lending_product_transform]],[3]Mapping!$B$4:$C$37,2,0)</f>
        <v>[Cake] - Cashloan</v>
      </c>
      <c r="H4495" s="128" t="str">
        <f>VLOOKUP(source[[#This Row],[lending_product_transform]],[3]Mapping!$B$3:$D$37,3,0)</f>
        <v>cashloan</v>
      </c>
      <c r="I4495" s="143">
        <v>21938277</v>
      </c>
    </row>
    <row r="4496" spans="1:9" x14ac:dyDescent="0.2">
      <c r="A4496" s="134">
        <v>45673</v>
      </c>
      <c r="B4496" s="135">
        <f>YEAR(source[[#This Row],[report_date]])</f>
        <v>2025</v>
      </c>
      <c r="C4496" s="128">
        <f t="shared" si="204"/>
        <v>1</v>
      </c>
      <c r="D4496" s="136">
        <f t="shared" si="206"/>
        <v>3</v>
      </c>
      <c r="E4496" s="136">
        <f t="shared" si="205"/>
        <v>16</v>
      </c>
      <c r="F4496" s="137" t="s">
        <v>24</v>
      </c>
      <c r="G4496" s="128" t="str">
        <f>VLOOKUP(source[[#This Row],[lending_product_transform]],[3]Mapping!$B$4:$C$37,2,0)</f>
        <v>[Cake] - Cashloan</v>
      </c>
      <c r="H4496" s="128" t="str">
        <f>VLOOKUP(source[[#This Row],[lending_product_transform]],[3]Mapping!$B$3:$D$37,3,0)</f>
        <v>cashloan</v>
      </c>
      <c r="I4496" s="143">
        <v>3525905773</v>
      </c>
    </row>
    <row r="4497" spans="1:9" x14ac:dyDescent="0.2">
      <c r="A4497" s="134">
        <v>45673</v>
      </c>
      <c r="B4497" s="135">
        <f>YEAR(source[[#This Row],[report_date]])</f>
        <v>2025</v>
      </c>
      <c r="C4497" s="128">
        <f t="shared" si="204"/>
        <v>1</v>
      </c>
      <c r="D4497" s="136">
        <f t="shared" si="206"/>
        <v>3</v>
      </c>
      <c r="E4497" s="136">
        <f t="shared" si="205"/>
        <v>16</v>
      </c>
      <c r="F4497" s="137" t="s">
        <v>24</v>
      </c>
      <c r="G4497" s="128" t="str">
        <f>VLOOKUP(source[[#This Row],[lending_product_transform]],[3]Mapping!$B$4:$C$37,2,0)</f>
        <v>[Cake] - Cashloan</v>
      </c>
      <c r="H4497" s="128" t="str">
        <f>VLOOKUP(source[[#This Row],[lending_product_transform]],[3]Mapping!$B$3:$D$37,3,0)</f>
        <v>cashloan</v>
      </c>
      <c r="I4497" s="143">
        <v>829480000</v>
      </c>
    </row>
    <row r="4498" spans="1:9" x14ac:dyDescent="0.2">
      <c r="A4498" s="134">
        <v>45673</v>
      </c>
      <c r="B4498" s="135">
        <f>YEAR(source[[#This Row],[report_date]])</f>
        <v>2025</v>
      </c>
      <c r="C4498" s="128">
        <f t="shared" si="204"/>
        <v>1</v>
      </c>
      <c r="D4498" s="136">
        <f t="shared" si="206"/>
        <v>3</v>
      </c>
      <c r="E4498" s="136">
        <f t="shared" si="205"/>
        <v>16</v>
      </c>
      <c r="F4498" s="137" t="s">
        <v>24</v>
      </c>
      <c r="G4498" s="128" t="str">
        <f>VLOOKUP(source[[#This Row],[lending_product_transform]],[3]Mapping!$B$4:$C$37,2,0)</f>
        <v>[Cake] - Cashloan</v>
      </c>
      <c r="H4498" s="128" t="str">
        <f>VLOOKUP(source[[#This Row],[lending_product_transform]],[3]Mapping!$B$3:$D$37,3,0)</f>
        <v>cashloan</v>
      </c>
      <c r="I4498" s="143">
        <v>4958000000</v>
      </c>
    </row>
    <row r="4499" spans="1:9" x14ac:dyDescent="0.2">
      <c r="A4499" s="134">
        <v>45673</v>
      </c>
      <c r="B4499" s="135">
        <f>YEAR(source[[#This Row],[report_date]])</f>
        <v>2025</v>
      </c>
      <c r="C4499" s="128">
        <f t="shared" si="204"/>
        <v>1</v>
      </c>
      <c r="D4499" s="136">
        <f t="shared" si="206"/>
        <v>3</v>
      </c>
      <c r="E4499" s="136">
        <f t="shared" si="205"/>
        <v>16</v>
      </c>
      <c r="F4499" s="137" t="s">
        <v>24</v>
      </c>
      <c r="G4499" s="128" t="str">
        <f>VLOOKUP(source[[#This Row],[lending_product_transform]],[3]Mapping!$B$4:$C$37,2,0)</f>
        <v>[Cake] - Cashloan</v>
      </c>
      <c r="H4499" s="128" t="str">
        <f>VLOOKUP(source[[#This Row],[lending_product_transform]],[3]Mapping!$B$3:$D$37,3,0)</f>
        <v>cashloan</v>
      </c>
      <c r="I4499" s="143">
        <v>19000000</v>
      </c>
    </row>
    <row r="4500" spans="1:9" x14ac:dyDescent="0.2">
      <c r="A4500" s="134">
        <v>45673</v>
      </c>
      <c r="B4500" s="135">
        <f>YEAR(source[[#This Row],[report_date]])</f>
        <v>2025</v>
      </c>
      <c r="C4500" s="128">
        <f t="shared" si="204"/>
        <v>1</v>
      </c>
      <c r="D4500" s="136">
        <f t="shared" si="206"/>
        <v>3</v>
      </c>
      <c r="E4500" s="136">
        <f t="shared" si="205"/>
        <v>16</v>
      </c>
      <c r="F4500" s="137" t="s">
        <v>24</v>
      </c>
      <c r="G4500" s="128" t="str">
        <f>VLOOKUP(source[[#This Row],[lending_product_transform]],[3]Mapping!$B$4:$C$37,2,0)</f>
        <v>[Cake] - Cashloan</v>
      </c>
      <c r="H4500" s="128" t="str">
        <f>VLOOKUP(source[[#This Row],[lending_product_transform]],[3]Mapping!$B$3:$D$37,3,0)</f>
        <v>cashloan</v>
      </c>
      <c r="I4500" s="143">
        <v>39900000</v>
      </c>
    </row>
    <row r="4501" spans="1:9" x14ac:dyDescent="0.2">
      <c r="A4501" s="134">
        <v>45673</v>
      </c>
      <c r="B4501" s="135">
        <f>YEAR(source[[#This Row],[report_date]])</f>
        <v>2025</v>
      </c>
      <c r="C4501" s="128">
        <f t="shared" si="204"/>
        <v>1</v>
      </c>
      <c r="D4501" s="136">
        <f t="shared" si="206"/>
        <v>3</v>
      </c>
      <c r="E4501" s="136">
        <f t="shared" si="205"/>
        <v>16</v>
      </c>
      <c r="F4501" s="137" t="s">
        <v>24</v>
      </c>
      <c r="G4501" s="128" t="str">
        <f>VLOOKUP(source[[#This Row],[lending_product_transform]],[3]Mapping!$B$4:$C$37,2,0)</f>
        <v>[Cake] - Cashloan</v>
      </c>
      <c r="H4501" s="128" t="str">
        <f>VLOOKUP(source[[#This Row],[lending_product_transform]],[3]Mapping!$B$3:$D$37,3,0)</f>
        <v>cashloan</v>
      </c>
      <c r="I4501" s="143">
        <v>5578470000</v>
      </c>
    </row>
    <row r="4502" spans="1:9" x14ac:dyDescent="0.2">
      <c r="A4502" s="134">
        <v>45673</v>
      </c>
      <c r="B4502" s="135">
        <f>YEAR(source[[#This Row],[report_date]])</f>
        <v>2025</v>
      </c>
      <c r="C4502" s="128">
        <f t="shared" ref="C4502:C4565" si="207">MONTH(A4502)</f>
        <v>1</v>
      </c>
      <c r="D4502" s="136">
        <f t="shared" si="206"/>
        <v>3</v>
      </c>
      <c r="E4502" s="136">
        <f t="shared" ref="E4502:E4565" si="208">DAY(A4502)</f>
        <v>16</v>
      </c>
      <c r="F4502" s="137" t="s">
        <v>24</v>
      </c>
      <c r="G4502" s="128" t="str">
        <f>VLOOKUP(source[[#This Row],[lending_product_transform]],[3]Mapping!$B$4:$C$37,2,0)</f>
        <v>[Cake] - Cashloan</v>
      </c>
      <c r="H4502" s="128" t="str">
        <f>VLOOKUP(source[[#This Row],[lending_product_transform]],[3]Mapping!$B$3:$D$37,3,0)</f>
        <v>cashloan</v>
      </c>
      <c r="I4502" s="143">
        <v>0</v>
      </c>
    </row>
    <row r="4503" spans="1:9" x14ac:dyDescent="0.2">
      <c r="A4503" s="134">
        <v>45673</v>
      </c>
      <c r="B4503" s="135">
        <f>YEAR(source[[#This Row],[report_date]])</f>
        <v>2025</v>
      </c>
      <c r="C4503" s="128">
        <f t="shared" si="207"/>
        <v>1</v>
      </c>
      <c r="D4503" s="136">
        <f t="shared" si="206"/>
        <v>3</v>
      </c>
      <c r="E4503" s="136">
        <f t="shared" si="208"/>
        <v>16</v>
      </c>
      <c r="F4503" s="137" t="s">
        <v>24</v>
      </c>
      <c r="G4503" s="128" t="str">
        <f>VLOOKUP(source[[#This Row],[lending_product_transform]],[3]Mapping!$B$4:$C$37,2,0)</f>
        <v>[Cake] - Cashloan</v>
      </c>
      <c r="H4503" s="128" t="str">
        <f>VLOOKUP(source[[#This Row],[lending_product_transform]],[3]Mapping!$B$3:$D$37,3,0)</f>
        <v>cashloan</v>
      </c>
      <c r="I4503" s="143">
        <v>7629590000</v>
      </c>
    </row>
    <row r="4504" spans="1:9" x14ac:dyDescent="0.2">
      <c r="A4504" s="134">
        <v>45673</v>
      </c>
      <c r="B4504" s="135">
        <f>YEAR(source[[#This Row],[report_date]])</f>
        <v>2025</v>
      </c>
      <c r="C4504" s="128">
        <f t="shared" si="207"/>
        <v>1</v>
      </c>
      <c r="D4504" s="136">
        <f t="shared" si="206"/>
        <v>3</v>
      </c>
      <c r="E4504" s="136">
        <f t="shared" si="208"/>
        <v>16</v>
      </c>
      <c r="F4504" s="137" t="s">
        <v>24</v>
      </c>
      <c r="G4504" s="128" t="str">
        <f>VLOOKUP(source[[#This Row],[lending_product_transform]],[3]Mapping!$B$4:$C$37,2,0)</f>
        <v>[Cake] - Cashloan</v>
      </c>
      <c r="H4504" s="128" t="str">
        <f>VLOOKUP(source[[#This Row],[lending_product_transform]],[3]Mapping!$B$3:$D$37,3,0)</f>
        <v>cashloan</v>
      </c>
      <c r="I4504" s="143">
        <v>172307055</v>
      </c>
    </row>
    <row r="4505" spans="1:9" x14ac:dyDescent="0.2">
      <c r="A4505" s="134">
        <v>45673</v>
      </c>
      <c r="B4505" s="135">
        <f>YEAR(source[[#This Row],[report_date]])</f>
        <v>2025</v>
      </c>
      <c r="C4505" s="128">
        <f t="shared" si="207"/>
        <v>1</v>
      </c>
      <c r="D4505" s="136">
        <f t="shared" si="206"/>
        <v>3</v>
      </c>
      <c r="E4505" s="136">
        <f t="shared" si="208"/>
        <v>16</v>
      </c>
      <c r="F4505" s="137" t="s">
        <v>24</v>
      </c>
      <c r="G4505" s="128" t="str">
        <f>VLOOKUP(source[[#This Row],[lending_product_transform]],[3]Mapping!$B$4:$C$37,2,0)</f>
        <v>[Cake] - Cashloan</v>
      </c>
      <c r="H4505" s="128" t="str">
        <f>VLOOKUP(source[[#This Row],[lending_product_transform]],[3]Mapping!$B$3:$D$37,3,0)</f>
        <v>cashloan</v>
      </c>
      <c r="I4505" s="143">
        <v>171186207</v>
      </c>
    </row>
    <row r="4506" spans="1:9" x14ac:dyDescent="0.2">
      <c r="A4506" s="134">
        <v>45674</v>
      </c>
      <c r="B4506" s="135">
        <f>YEAR(source[[#This Row],[report_date]])</f>
        <v>2025</v>
      </c>
      <c r="C4506" s="128">
        <f t="shared" si="207"/>
        <v>1</v>
      </c>
      <c r="D4506" s="136">
        <f t="shared" si="206"/>
        <v>3</v>
      </c>
      <c r="E4506" s="136">
        <f t="shared" si="208"/>
        <v>17</v>
      </c>
      <c r="F4506" s="137" t="s">
        <v>24</v>
      </c>
      <c r="G4506" s="128" t="str">
        <f>VLOOKUP(source[[#This Row],[lending_product_transform]],[3]Mapping!$B$4:$C$37,2,0)</f>
        <v>[Cake] - Cashloan</v>
      </c>
      <c r="H4506" s="128" t="str">
        <f>VLOOKUP(source[[#This Row],[lending_product_transform]],[3]Mapping!$B$3:$D$37,3,0)</f>
        <v>cashloan</v>
      </c>
      <c r="I4506" s="143">
        <v>289550643</v>
      </c>
    </row>
    <row r="4507" spans="1:9" x14ac:dyDescent="0.2">
      <c r="A4507" s="134">
        <v>45674</v>
      </c>
      <c r="B4507" s="135">
        <f>YEAR(source[[#This Row],[report_date]])</f>
        <v>2025</v>
      </c>
      <c r="C4507" s="128">
        <f t="shared" si="207"/>
        <v>1</v>
      </c>
      <c r="D4507" s="136">
        <f t="shared" si="206"/>
        <v>3</v>
      </c>
      <c r="E4507" s="136">
        <f t="shared" si="208"/>
        <v>17</v>
      </c>
      <c r="F4507" s="137" t="s">
        <v>24</v>
      </c>
      <c r="G4507" s="128" t="str">
        <f>VLOOKUP(source[[#This Row],[lending_product_transform]],[3]Mapping!$B$4:$C$37,2,0)</f>
        <v>[Cake] - Cashloan</v>
      </c>
      <c r="H4507" s="128" t="str">
        <f>VLOOKUP(source[[#This Row],[lending_product_transform]],[3]Mapping!$B$3:$D$37,3,0)</f>
        <v>cashloan</v>
      </c>
      <c r="I4507" s="143">
        <v>31500000</v>
      </c>
    </row>
    <row r="4508" spans="1:9" x14ac:dyDescent="0.2">
      <c r="A4508" s="134">
        <v>45674</v>
      </c>
      <c r="B4508" s="135">
        <f>YEAR(source[[#This Row],[report_date]])</f>
        <v>2025</v>
      </c>
      <c r="C4508" s="128">
        <f t="shared" si="207"/>
        <v>1</v>
      </c>
      <c r="D4508" s="136">
        <f t="shared" si="206"/>
        <v>3</v>
      </c>
      <c r="E4508" s="136">
        <f t="shared" si="208"/>
        <v>17</v>
      </c>
      <c r="F4508" s="137" t="s">
        <v>24</v>
      </c>
      <c r="G4508" s="128" t="str">
        <f>VLOOKUP(source[[#This Row],[lending_product_transform]],[3]Mapping!$B$4:$C$37,2,0)</f>
        <v>[Cake] - Cashloan</v>
      </c>
      <c r="H4508" s="128" t="str">
        <f>VLOOKUP(source[[#This Row],[lending_product_transform]],[3]Mapping!$B$3:$D$37,3,0)</f>
        <v>cashloan</v>
      </c>
      <c r="I4508" s="143">
        <v>0</v>
      </c>
    </row>
    <row r="4509" spans="1:9" x14ac:dyDescent="0.2">
      <c r="A4509" s="134">
        <v>45674</v>
      </c>
      <c r="B4509" s="135">
        <f>YEAR(source[[#This Row],[report_date]])</f>
        <v>2025</v>
      </c>
      <c r="C4509" s="128">
        <f t="shared" si="207"/>
        <v>1</v>
      </c>
      <c r="D4509" s="136">
        <f t="shared" si="206"/>
        <v>3</v>
      </c>
      <c r="E4509" s="136">
        <f t="shared" si="208"/>
        <v>17</v>
      </c>
      <c r="F4509" s="137" t="s">
        <v>24</v>
      </c>
      <c r="G4509" s="128" t="str">
        <f>VLOOKUP(source[[#This Row],[lending_product_transform]],[3]Mapping!$B$4:$C$37,2,0)</f>
        <v>[Cake] - Cashloan</v>
      </c>
      <c r="H4509" s="128" t="str">
        <f>VLOOKUP(source[[#This Row],[lending_product_transform]],[3]Mapping!$B$3:$D$37,3,0)</f>
        <v>cashloan</v>
      </c>
      <c r="I4509" s="143">
        <v>6863600000</v>
      </c>
    </row>
    <row r="4510" spans="1:9" x14ac:dyDescent="0.2">
      <c r="A4510" s="134">
        <v>45674</v>
      </c>
      <c r="B4510" s="135">
        <f>YEAR(source[[#This Row],[report_date]])</f>
        <v>2025</v>
      </c>
      <c r="C4510" s="128">
        <f t="shared" si="207"/>
        <v>1</v>
      </c>
      <c r="D4510" s="136">
        <f t="shared" si="206"/>
        <v>3</v>
      </c>
      <c r="E4510" s="136">
        <f t="shared" si="208"/>
        <v>17</v>
      </c>
      <c r="F4510" s="137" t="s">
        <v>24</v>
      </c>
      <c r="G4510" s="128" t="str">
        <f>VLOOKUP(source[[#This Row],[lending_product_transform]],[3]Mapping!$B$4:$C$37,2,0)</f>
        <v>[Cake] - Cashloan</v>
      </c>
      <c r="H4510" s="128" t="str">
        <f>VLOOKUP(source[[#This Row],[lending_product_transform]],[3]Mapping!$B$3:$D$37,3,0)</f>
        <v>cashloan</v>
      </c>
      <c r="I4510" s="143">
        <v>5131250000</v>
      </c>
    </row>
    <row r="4511" spans="1:9" x14ac:dyDescent="0.2">
      <c r="A4511" s="134">
        <v>45674</v>
      </c>
      <c r="B4511" s="135">
        <f>YEAR(source[[#This Row],[report_date]])</f>
        <v>2025</v>
      </c>
      <c r="C4511" s="128">
        <f t="shared" si="207"/>
        <v>1</v>
      </c>
      <c r="D4511" s="136">
        <f t="shared" si="206"/>
        <v>3</v>
      </c>
      <c r="E4511" s="136">
        <f t="shared" si="208"/>
        <v>17</v>
      </c>
      <c r="F4511" s="137" t="s">
        <v>24</v>
      </c>
      <c r="G4511" s="128" t="str">
        <f>VLOOKUP(source[[#This Row],[lending_product_transform]],[3]Mapping!$B$4:$C$37,2,0)</f>
        <v>[Cake] - Cashloan</v>
      </c>
      <c r="H4511" s="128" t="str">
        <f>VLOOKUP(source[[#This Row],[lending_product_transform]],[3]Mapping!$B$3:$D$37,3,0)</f>
        <v>cashloan</v>
      </c>
      <c r="I4511" s="143">
        <v>3260690653</v>
      </c>
    </row>
    <row r="4512" spans="1:9" x14ac:dyDescent="0.2">
      <c r="A4512" s="134">
        <v>45674</v>
      </c>
      <c r="B4512" s="135">
        <f>YEAR(source[[#This Row],[report_date]])</f>
        <v>2025</v>
      </c>
      <c r="C4512" s="128">
        <f t="shared" si="207"/>
        <v>1</v>
      </c>
      <c r="D4512" s="136">
        <f t="shared" si="206"/>
        <v>3</v>
      </c>
      <c r="E4512" s="136">
        <f t="shared" si="208"/>
        <v>17</v>
      </c>
      <c r="F4512" s="137" t="s">
        <v>24</v>
      </c>
      <c r="G4512" s="128" t="str">
        <f>VLOOKUP(source[[#This Row],[lending_product_transform]],[3]Mapping!$B$4:$C$37,2,0)</f>
        <v>[Cake] - Cashloan</v>
      </c>
      <c r="H4512" s="128" t="str">
        <f>VLOOKUP(source[[#This Row],[lending_product_transform]],[3]Mapping!$B$3:$D$37,3,0)</f>
        <v>cashloan</v>
      </c>
      <c r="I4512" s="143">
        <v>203452420</v>
      </c>
    </row>
    <row r="4513" spans="1:9" x14ac:dyDescent="0.2">
      <c r="A4513" s="134">
        <v>45674</v>
      </c>
      <c r="B4513" s="135">
        <f>YEAR(source[[#This Row],[report_date]])</f>
        <v>2025</v>
      </c>
      <c r="C4513" s="128">
        <f t="shared" si="207"/>
        <v>1</v>
      </c>
      <c r="D4513" s="136">
        <f t="shared" si="206"/>
        <v>3</v>
      </c>
      <c r="E4513" s="136">
        <f t="shared" si="208"/>
        <v>17</v>
      </c>
      <c r="F4513" s="137" t="s">
        <v>24</v>
      </c>
      <c r="G4513" s="128" t="str">
        <f>VLOOKUP(source[[#This Row],[lending_product_transform]],[3]Mapping!$B$4:$C$37,2,0)</f>
        <v>[Cake] - Cashloan</v>
      </c>
      <c r="H4513" s="128" t="str">
        <f>VLOOKUP(source[[#This Row],[lending_product_transform]],[3]Mapping!$B$3:$D$37,3,0)</f>
        <v>cashloan</v>
      </c>
      <c r="I4513" s="143">
        <v>27000000</v>
      </c>
    </row>
    <row r="4514" spans="1:9" x14ac:dyDescent="0.2">
      <c r="A4514" s="134">
        <v>45674</v>
      </c>
      <c r="B4514" s="135">
        <f>YEAR(source[[#This Row],[report_date]])</f>
        <v>2025</v>
      </c>
      <c r="C4514" s="128">
        <f t="shared" si="207"/>
        <v>1</v>
      </c>
      <c r="D4514" s="136">
        <f t="shared" si="206"/>
        <v>3</v>
      </c>
      <c r="E4514" s="136">
        <f t="shared" si="208"/>
        <v>17</v>
      </c>
      <c r="F4514" s="137" t="s">
        <v>24</v>
      </c>
      <c r="G4514" s="128" t="str">
        <f>VLOOKUP(source[[#This Row],[lending_product_transform]],[3]Mapping!$B$4:$C$37,2,0)</f>
        <v>[Cake] - Cashloan</v>
      </c>
      <c r="H4514" s="128" t="str">
        <f>VLOOKUP(source[[#This Row],[lending_product_transform]],[3]Mapping!$B$3:$D$37,3,0)</f>
        <v>cashloan</v>
      </c>
      <c r="I4514" s="143">
        <v>0</v>
      </c>
    </row>
    <row r="4515" spans="1:9" x14ac:dyDescent="0.2">
      <c r="A4515" s="134">
        <v>45674</v>
      </c>
      <c r="B4515" s="135">
        <f>YEAR(source[[#This Row],[report_date]])</f>
        <v>2025</v>
      </c>
      <c r="C4515" s="128">
        <f t="shared" si="207"/>
        <v>1</v>
      </c>
      <c r="D4515" s="136">
        <f t="shared" si="206"/>
        <v>3</v>
      </c>
      <c r="E4515" s="136">
        <f t="shared" si="208"/>
        <v>17</v>
      </c>
      <c r="F4515" s="137" t="s">
        <v>24</v>
      </c>
      <c r="G4515" s="128" t="str">
        <f>VLOOKUP(source[[#This Row],[lending_product_transform]],[3]Mapping!$B$4:$C$37,2,0)</f>
        <v>[Cake] - Cashloan</v>
      </c>
      <c r="H4515" s="128" t="str">
        <f>VLOOKUP(source[[#This Row],[lending_product_transform]],[3]Mapping!$B$3:$D$37,3,0)</f>
        <v>cashloan</v>
      </c>
      <c r="I4515" s="143">
        <v>21400000</v>
      </c>
    </row>
    <row r="4516" spans="1:9" x14ac:dyDescent="0.2">
      <c r="A4516" s="134">
        <v>45674</v>
      </c>
      <c r="B4516" s="135">
        <f>YEAR(source[[#This Row],[report_date]])</f>
        <v>2025</v>
      </c>
      <c r="C4516" s="128">
        <f t="shared" si="207"/>
        <v>1</v>
      </c>
      <c r="D4516" s="136">
        <f t="shared" si="206"/>
        <v>3</v>
      </c>
      <c r="E4516" s="136">
        <f t="shared" si="208"/>
        <v>17</v>
      </c>
      <c r="F4516" s="137" t="s">
        <v>24</v>
      </c>
      <c r="G4516" s="128" t="str">
        <f>VLOOKUP(source[[#This Row],[lending_product_transform]],[3]Mapping!$B$4:$C$37,2,0)</f>
        <v>[Cake] - Cashloan</v>
      </c>
      <c r="H4516" s="128" t="str">
        <f>VLOOKUP(source[[#This Row],[lending_product_transform]],[3]Mapping!$B$3:$D$37,3,0)</f>
        <v>cashloan</v>
      </c>
      <c r="I4516" s="143">
        <v>0</v>
      </c>
    </row>
    <row r="4517" spans="1:9" x14ac:dyDescent="0.2">
      <c r="A4517" s="134">
        <v>45674</v>
      </c>
      <c r="B4517" s="135">
        <f>YEAR(source[[#This Row],[report_date]])</f>
        <v>2025</v>
      </c>
      <c r="C4517" s="128">
        <f t="shared" si="207"/>
        <v>1</v>
      </c>
      <c r="D4517" s="136">
        <f t="shared" si="206"/>
        <v>3</v>
      </c>
      <c r="E4517" s="136">
        <f t="shared" si="208"/>
        <v>17</v>
      </c>
      <c r="F4517" s="137" t="s">
        <v>24</v>
      </c>
      <c r="G4517" s="128" t="str">
        <f>VLOOKUP(source[[#This Row],[lending_product_transform]],[3]Mapping!$B$4:$C$37,2,0)</f>
        <v>[Cake] - Cashloan</v>
      </c>
      <c r="H4517" s="128" t="str">
        <f>VLOOKUP(source[[#This Row],[lending_product_transform]],[3]Mapping!$B$3:$D$37,3,0)</f>
        <v>cashloan</v>
      </c>
      <c r="I4517" s="143">
        <v>0</v>
      </c>
    </row>
    <row r="4518" spans="1:9" x14ac:dyDescent="0.2">
      <c r="A4518" s="134">
        <v>45674</v>
      </c>
      <c r="B4518" s="135">
        <f>YEAR(source[[#This Row],[report_date]])</f>
        <v>2025</v>
      </c>
      <c r="C4518" s="128">
        <f t="shared" si="207"/>
        <v>1</v>
      </c>
      <c r="D4518" s="136">
        <f t="shared" si="206"/>
        <v>3</v>
      </c>
      <c r="E4518" s="136">
        <f t="shared" si="208"/>
        <v>17</v>
      </c>
      <c r="F4518" s="137" t="s">
        <v>24</v>
      </c>
      <c r="G4518" s="128" t="str">
        <f>VLOOKUP(source[[#This Row],[lending_product_transform]],[3]Mapping!$B$4:$C$37,2,0)</f>
        <v>[Cake] - Cashloan</v>
      </c>
      <c r="H4518" s="128" t="str">
        <f>VLOOKUP(source[[#This Row],[lending_product_transform]],[3]Mapping!$B$3:$D$37,3,0)</f>
        <v>cashloan</v>
      </c>
      <c r="I4518" s="143">
        <v>0</v>
      </c>
    </row>
    <row r="4519" spans="1:9" x14ac:dyDescent="0.2">
      <c r="A4519" s="134">
        <v>45674</v>
      </c>
      <c r="B4519" s="135">
        <f>YEAR(source[[#This Row],[report_date]])</f>
        <v>2025</v>
      </c>
      <c r="C4519" s="128">
        <f t="shared" si="207"/>
        <v>1</v>
      </c>
      <c r="D4519" s="136">
        <f t="shared" si="206"/>
        <v>3</v>
      </c>
      <c r="E4519" s="136">
        <f t="shared" si="208"/>
        <v>17</v>
      </c>
      <c r="F4519" s="137" t="s">
        <v>24</v>
      </c>
      <c r="G4519" s="128" t="str">
        <f>VLOOKUP(source[[#This Row],[lending_product_transform]],[3]Mapping!$B$4:$C$37,2,0)</f>
        <v>[Cake] - Cashloan</v>
      </c>
      <c r="H4519" s="128" t="str">
        <f>VLOOKUP(source[[#This Row],[lending_product_transform]],[3]Mapping!$B$3:$D$37,3,0)</f>
        <v>cashloan</v>
      </c>
      <c r="I4519" s="143">
        <v>22344180</v>
      </c>
    </row>
    <row r="4520" spans="1:9" x14ac:dyDescent="0.2">
      <c r="A4520" s="134">
        <v>45674</v>
      </c>
      <c r="B4520" s="135">
        <f>YEAR(source[[#This Row],[report_date]])</f>
        <v>2025</v>
      </c>
      <c r="C4520" s="128">
        <f t="shared" si="207"/>
        <v>1</v>
      </c>
      <c r="D4520" s="136">
        <f t="shared" si="206"/>
        <v>3</v>
      </c>
      <c r="E4520" s="136">
        <f t="shared" si="208"/>
        <v>17</v>
      </c>
      <c r="F4520" s="137" t="s">
        <v>24</v>
      </c>
      <c r="G4520" s="128" t="str">
        <f>VLOOKUP(source[[#This Row],[lending_product_transform]],[3]Mapping!$B$4:$C$37,2,0)</f>
        <v>[Cake] - Cashloan</v>
      </c>
      <c r="H4520" s="128" t="str">
        <f>VLOOKUP(source[[#This Row],[lending_product_transform]],[3]Mapping!$B$3:$D$37,3,0)</f>
        <v>cashloan</v>
      </c>
      <c r="I4520" s="143">
        <v>207253994</v>
      </c>
    </row>
    <row r="4521" spans="1:9" x14ac:dyDescent="0.2">
      <c r="A4521" s="134">
        <v>45674</v>
      </c>
      <c r="B4521" s="135">
        <f>YEAR(source[[#This Row],[report_date]])</f>
        <v>2025</v>
      </c>
      <c r="C4521" s="128">
        <f t="shared" si="207"/>
        <v>1</v>
      </c>
      <c r="D4521" s="136">
        <f t="shared" si="206"/>
        <v>3</v>
      </c>
      <c r="E4521" s="136">
        <f t="shared" si="208"/>
        <v>17</v>
      </c>
      <c r="F4521" s="137" t="s">
        <v>24</v>
      </c>
      <c r="G4521" s="128" t="str">
        <f>VLOOKUP(source[[#This Row],[lending_product_transform]],[3]Mapping!$B$4:$C$37,2,0)</f>
        <v>[Cake] - Cashloan</v>
      </c>
      <c r="H4521" s="128" t="str">
        <f>VLOOKUP(source[[#This Row],[lending_product_transform]],[3]Mapping!$B$3:$D$37,3,0)</f>
        <v>cashloan</v>
      </c>
      <c r="I4521" s="143">
        <v>269160000</v>
      </c>
    </row>
    <row r="4522" spans="1:9" x14ac:dyDescent="0.2">
      <c r="A4522" s="134">
        <v>45674</v>
      </c>
      <c r="B4522" s="135">
        <f>YEAR(source[[#This Row],[report_date]])</f>
        <v>2025</v>
      </c>
      <c r="C4522" s="128">
        <f t="shared" si="207"/>
        <v>1</v>
      </c>
      <c r="D4522" s="136">
        <f t="shared" si="206"/>
        <v>3</v>
      </c>
      <c r="E4522" s="136">
        <f t="shared" si="208"/>
        <v>17</v>
      </c>
      <c r="F4522" s="137" t="s">
        <v>24</v>
      </c>
      <c r="G4522" s="128" t="str">
        <f>VLOOKUP(source[[#This Row],[lending_product_transform]],[3]Mapping!$B$4:$C$37,2,0)</f>
        <v>[Cake] - Cashloan</v>
      </c>
      <c r="H4522" s="128" t="str">
        <f>VLOOKUP(source[[#This Row],[lending_product_transform]],[3]Mapping!$B$3:$D$37,3,0)</f>
        <v>cashloan</v>
      </c>
      <c r="I4522" s="143">
        <v>775230000</v>
      </c>
    </row>
    <row r="4523" spans="1:9" x14ac:dyDescent="0.2">
      <c r="A4523" s="134">
        <v>45674</v>
      </c>
      <c r="B4523" s="135">
        <f>YEAR(source[[#This Row],[report_date]])</f>
        <v>2025</v>
      </c>
      <c r="C4523" s="128">
        <f t="shared" si="207"/>
        <v>1</v>
      </c>
      <c r="D4523" s="136">
        <f t="shared" si="206"/>
        <v>3</v>
      </c>
      <c r="E4523" s="136">
        <f t="shared" si="208"/>
        <v>17</v>
      </c>
      <c r="F4523" s="137" t="s">
        <v>24</v>
      </c>
      <c r="G4523" s="128" t="str">
        <f>VLOOKUP(source[[#This Row],[lending_product_transform]],[3]Mapping!$B$4:$C$37,2,0)</f>
        <v>[Cake] - Cashloan</v>
      </c>
      <c r="H4523" s="128" t="str">
        <f>VLOOKUP(source[[#This Row],[lending_product_transform]],[3]Mapping!$B$3:$D$37,3,0)</f>
        <v>cashloan</v>
      </c>
      <c r="I4523" s="143">
        <v>4454500000</v>
      </c>
    </row>
    <row r="4524" spans="1:9" x14ac:dyDescent="0.2">
      <c r="A4524" s="134">
        <v>45675</v>
      </c>
      <c r="B4524" s="135">
        <f>YEAR(source[[#This Row],[report_date]])</f>
        <v>2025</v>
      </c>
      <c r="C4524" s="128">
        <f t="shared" si="207"/>
        <v>1</v>
      </c>
      <c r="D4524" s="136">
        <f t="shared" si="206"/>
        <v>3</v>
      </c>
      <c r="E4524" s="136">
        <f t="shared" si="208"/>
        <v>18</v>
      </c>
      <c r="F4524" s="137" t="s">
        <v>24</v>
      </c>
      <c r="G4524" s="128" t="str">
        <f>VLOOKUP(source[[#This Row],[lending_product_transform]],[3]Mapping!$B$4:$C$37,2,0)</f>
        <v>[Cake] - Cashloan</v>
      </c>
      <c r="H4524" s="128" t="str">
        <f>VLOOKUP(source[[#This Row],[lending_product_transform]],[3]Mapping!$B$3:$D$37,3,0)</f>
        <v>cashloan</v>
      </c>
      <c r="I4524" s="143">
        <v>4577500000</v>
      </c>
    </row>
    <row r="4525" spans="1:9" x14ac:dyDescent="0.2">
      <c r="A4525" s="134">
        <v>45675</v>
      </c>
      <c r="B4525" s="135">
        <f>YEAR(source[[#This Row],[report_date]])</f>
        <v>2025</v>
      </c>
      <c r="C4525" s="128">
        <f t="shared" si="207"/>
        <v>1</v>
      </c>
      <c r="D4525" s="136">
        <f t="shared" si="206"/>
        <v>3</v>
      </c>
      <c r="E4525" s="136">
        <f t="shared" si="208"/>
        <v>18</v>
      </c>
      <c r="F4525" s="137" t="s">
        <v>24</v>
      </c>
      <c r="G4525" s="128" t="str">
        <f>VLOOKUP(source[[#This Row],[lending_product_transform]],[3]Mapping!$B$4:$C$37,2,0)</f>
        <v>[Cake] - Cashloan</v>
      </c>
      <c r="H4525" s="128" t="str">
        <f>VLOOKUP(source[[#This Row],[lending_product_transform]],[3]Mapping!$B$3:$D$37,3,0)</f>
        <v>cashloan</v>
      </c>
      <c r="I4525" s="143">
        <v>545860000</v>
      </c>
    </row>
    <row r="4526" spans="1:9" x14ac:dyDescent="0.2">
      <c r="A4526" s="134">
        <v>45675</v>
      </c>
      <c r="B4526" s="135">
        <f>YEAR(source[[#This Row],[report_date]])</f>
        <v>2025</v>
      </c>
      <c r="C4526" s="128">
        <f t="shared" si="207"/>
        <v>1</v>
      </c>
      <c r="D4526" s="136">
        <f t="shared" si="206"/>
        <v>3</v>
      </c>
      <c r="E4526" s="136">
        <f t="shared" si="208"/>
        <v>18</v>
      </c>
      <c r="F4526" s="137" t="s">
        <v>24</v>
      </c>
      <c r="G4526" s="128" t="str">
        <f>VLOOKUP(source[[#This Row],[lending_product_transform]],[3]Mapping!$B$4:$C$37,2,0)</f>
        <v>[Cake] - Cashloan</v>
      </c>
      <c r="H4526" s="128" t="str">
        <f>VLOOKUP(source[[#This Row],[lending_product_transform]],[3]Mapping!$B$3:$D$37,3,0)</f>
        <v>cashloan</v>
      </c>
      <c r="I4526" s="143">
        <v>880190000</v>
      </c>
    </row>
    <row r="4527" spans="1:9" x14ac:dyDescent="0.2">
      <c r="A4527" s="134">
        <v>45675</v>
      </c>
      <c r="B4527" s="135">
        <f>YEAR(source[[#This Row],[report_date]])</f>
        <v>2025</v>
      </c>
      <c r="C4527" s="128">
        <f t="shared" si="207"/>
        <v>1</v>
      </c>
      <c r="D4527" s="136">
        <f t="shared" si="206"/>
        <v>3</v>
      </c>
      <c r="E4527" s="136">
        <f t="shared" si="208"/>
        <v>18</v>
      </c>
      <c r="F4527" s="137" t="s">
        <v>24</v>
      </c>
      <c r="G4527" s="128" t="str">
        <f>VLOOKUP(source[[#This Row],[lending_product_transform]],[3]Mapping!$B$4:$C$37,2,0)</f>
        <v>[Cake] - Cashloan</v>
      </c>
      <c r="H4527" s="128" t="str">
        <f>VLOOKUP(source[[#This Row],[lending_product_transform]],[3]Mapping!$B$3:$D$37,3,0)</f>
        <v>cashloan</v>
      </c>
      <c r="I4527" s="143">
        <v>0</v>
      </c>
    </row>
    <row r="4528" spans="1:9" x14ac:dyDescent="0.2">
      <c r="A4528" s="134">
        <v>45675</v>
      </c>
      <c r="B4528" s="135">
        <f>YEAR(source[[#This Row],[report_date]])</f>
        <v>2025</v>
      </c>
      <c r="C4528" s="128">
        <f t="shared" si="207"/>
        <v>1</v>
      </c>
      <c r="D4528" s="136">
        <f t="shared" si="206"/>
        <v>3</v>
      </c>
      <c r="E4528" s="136">
        <f t="shared" si="208"/>
        <v>18</v>
      </c>
      <c r="F4528" s="137" t="s">
        <v>24</v>
      </c>
      <c r="G4528" s="128" t="str">
        <f>VLOOKUP(source[[#This Row],[lending_product_transform]],[3]Mapping!$B$4:$C$37,2,0)</f>
        <v>[Cake] - Cashloan</v>
      </c>
      <c r="H4528" s="128" t="str">
        <f>VLOOKUP(source[[#This Row],[lending_product_transform]],[3]Mapping!$B$3:$D$37,3,0)</f>
        <v>cashloan</v>
      </c>
      <c r="I4528" s="143">
        <v>233231171</v>
      </c>
    </row>
    <row r="4529" spans="1:9" x14ac:dyDescent="0.2">
      <c r="A4529" s="134">
        <v>45675</v>
      </c>
      <c r="B4529" s="135">
        <f>YEAR(source[[#This Row],[report_date]])</f>
        <v>2025</v>
      </c>
      <c r="C4529" s="128">
        <f t="shared" si="207"/>
        <v>1</v>
      </c>
      <c r="D4529" s="136">
        <f t="shared" si="206"/>
        <v>3</v>
      </c>
      <c r="E4529" s="136">
        <f t="shared" si="208"/>
        <v>18</v>
      </c>
      <c r="F4529" s="137" t="s">
        <v>24</v>
      </c>
      <c r="G4529" s="128" t="str">
        <f>VLOOKUP(source[[#This Row],[lending_product_transform]],[3]Mapping!$B$4:$C$37,2,0)</f>
        <v>[Cake] - Cashloan</v>
      </c>
      <c r="H4529" s="128" t="str">
        <f>VLOOKUP(source[[#This Row],[lending_product_transform]],[3]Mapping!$B$3:$D$37,3,0)</f>
        <v>cashloan</v>
      </c>
      <c r="I4529" s="143">
        <v>136500000</v>
      </c>
    </row>
    <row r="4530" spans="1:9" x14ac:dyDescent="0.2">
      <c r="A4530" s="134">
        <v>45675</v>
      </c>
      <c r="B4530" s="135">
        <f>YEAR(source[[#This Row],[report_date]])</f>
        <v>2025</v>
      </c>
      <c r="C4530" s="128">
        <f t="shared" si="207"/>
        <v>1</v>
      </c>
      <c r="D4530" s="136">
        <f t="shared" si="206"/>
        <v>3</v>
      </c>
      <c r="E4530" s="136">
        <f t="shared" si="208"/>
        <v>18</v>
      </c>
      <c r="F4530" s="137" t="s">
        <v>24</v>
      </c>
      <c r="G4530" s="128" t="str">
        <f>VLOOKUP(source[[#This Row],[lending_product_transform]],[3]Mapping!$B$4:$C$37,2,0)</f>
        <v>[Cake] - Cashloan</v>
      </c>
      <c r="H4530" s="128" t="str">
        <f>VLOOKUP(source[[#This Row],[lending_product_transform]],[3]Mapping!$B$3:$D$37,3,0)</f>
        <v>cashloan</v>
      </c>
      <c r="I4530" s="143">
        <v>289109460</v>
      </c>
    </row>
    <row r="4531" spans="1:9" x14ac:dyDescent="0.2">
      <c r="A4531" s="134">
        <v>45675</v>
      </c>
      <c r="B4531" s="135">
        <f>YEAR(source[[#This Row],[report_date]])</f>
        <v>2025</v>
      </c>
      <c r="C4531" s="128">
        <f t="shared" si="207"/>
        <v>1</v>
      </c>
      <c r="D4531" s="136">
        <f t="shared" si="206"/>
        <v>3</v>
      </c>
      <c r="E4531" s="136">
        <f t="shared" si="208"/>
        <v>18</v>
      </c>
      <c r="F4531" s="137" t="s">
        <v>24</v>
      </c>
      <c r="G4531" s="128" t="str">
        <f>VLOOKUP(source[[#This Row],[lending_product_transform]],[3]Mapping!$B$4:$C$37,2,0)</f>
        <v>[Cake] - Cashloan</v>
      </c>
      <c r="H4531" s="128" t="str">
        <f>VLOOKUP(source[[#This Row],[lending_product_transform]],[3]Mapping!$B$3:$D$37,3,0)</f>
        <v>cashloan</v>
      </c>
      <c r="I4531" s="143">
        <v>167886483</v>
      </c>
    </row>
    <row r="4532" spans="1:9" x14ac:dyDescent="0.2">
      <c r="A4532" s="134">
        <v>45675</v>
      </c>
      <c r="B4532" s="135">
        <f>YEAR(source[[#This Row],[report_date]])</f>
        <v>2025</v>
      </c>
      <c r="C4532" s="128">
        <f t="shared" si="207"/>
        <v>1</v>
      </c>
      <c r="D4532" s="136">
        <f t="shared" si="206"/>
        <v>3</v>
      </c>
      <c r="E4532" s="136">
        <f t="shared" si="208"/>
        <v>18</v>
      </c>
      <c r="F4532" s="137" t="s">
        <v>24</v>
      </c>
      <c r="G4532" s="128" t="str">
        <f>VLOOKUP(source[[#This Row],[lending_product_transform]],[3]Mapping!$B$4:$C$37,2,0)</f>
        <v>[Cake] - Cashloan</v>
      </c>
      <c r="H4532" s="128" t="str">
        <f>VLOOKUP(source[[#This Row],[lending_product_transform]],[3]Mapping!$B$3:$D$37,3,0)</f>
        <v>cashloan</v>
      </c>
      <c r="I4532" s="143">
        <v>0</v>
      </c>
    </row>
    <row r="4533" spans="1:9" x14ac:dyDescent="0.2">
      <c r="A4533" s="134">
        <v>45675</v>
      </c>
      <c r="B4533" s="135">
        <f>YEAR(source[[#This Row],[report_date]])</f>
        <v>2025</v>
      </c>
      <c r="C4533" s="128">
        <f t="shared" si="207"/>
        <v>1</v>
      </c>
      <c r="D4533" s="136">
        <f t="shared" si="206"/>
        <v>3</v>
      </c>
      <c r="E4533" s="136">
        <f t="shared" si="208"/>
        <v>18</v>
      </c>
      <c r="F4533" s="137" t="s">
        <v>24</v>
      </c>
      <c r="G4533" s="128" t="str">
        <f>VLOOKUP(source[[#This Row],[lending_product_transform]],[3]Mapping!$B$4:$C$37,2,0)</f>
        <v>[Cake] - Cashloan</v>
      </c>
      <c r="H4533" s="128" t="str">
        <f>VLOOKUP(source[[#This Row],[lending_product_transform]],[3]Mapping!$B$3:$D$37,3,0)</f>
        <v>cashloan</v>
      </c>
      <c r="I4533" s="143">
        <v>0</v>
      </c>
    </row>
    <row r="4534" spans="1:9" x14ac:dyDescent="0.2">
      <c r="A4534" s="134">
        <v>45675</v>
      </c>
      <c r="B4534" s="135">
        <f>YEAR(source[[#This Row],[report_date]])</f>
        <v>2025</v>
      </c>
      <c r="C4534" s="128">
        <f t="shared" si="207"/>
        <v>1</v>
      </c>
      <c r="D4534" s="136">
        <f t="shared" si="206"/>
        <v>3</v>
      </c>
      <c r="E4534" s="136">
        <f t="shared" si="208"/>
        <v>18</v>
      </c>
      <c r="F4534" s="137" t="s">
        <v>24</v>
      </c>
      <c r="G4534" s="128" t="str">
        <f>VLOOKUP(source[[#This Row],[lending_product_transform]],[3]Mapping!$B$4:$C$37,2,0)</f>
        <v>[Cake] - Cashloan</v>
      </c>
      <c r="H4534" s="128" t="str">
        <f>VLOOKUP(source[[#This Row],[lending_product_transform]],[3]Mapping!$B$3:$D$37,3,0)</f>
        <v>cashloan</v>
      </c>
      <c r="I4534" s="143">
        <v>0</v>
      </c>
    </row>
    <row r="4535" spans="1:9" x14ac:dyDescent="0.2">
      <c r="A4535" s="134">
        <v>45675</v>
      </c>
      <c r="B4535" s="135">
        <f>YEAR(source[[#This Row],[report_date]])</f>
        <v>2025</v>
      </c>
      <c r="C4535" s="128">
        <f t="shared" si="207"/>
        <v>1</v>
      </c>
      <c r="D4535" s="136">
        <f t="shared" si="206"/>
        <v>3</v>
      </c>
      <c r="E4535" s="136">
        <f t="shared" si="208"/>
        <v>18</v>
      </c>
      <c r="F4535" s="137" t="s">
        <v>24</v>
      </c>
      <c r="G4535" s="128" t="str">
        <f>VLOOKUP(source[[#This Row],[lending_product_transform]],[3]Mapping!$B$4:$C$37,2,0)</f>
        <v>[Cake] - Cashloan</v>
      </c>
      <c r="H4535" s="128" t="str">
        <f>VLOOKUP(source[[#This Row],[lending_product_transform]],[3]Mapping!$B$3:$D$37,3,0)</f>
        <v>cashloan</v>
      </c>
      <c r="I4535" s="143">
        <v>0</v>
      </c>
    </row>
    <row r="4536" spans="1:9" x14ac:dyDescent="0.2">
      <c r="A4536" s="134">
        <v>45675</v>
      </c>
      <c r="B4536" s="135">
        <f>YEAR(source[[#This Row],[report_date]])</f>
        <v>2025</v>
      </c>
      <c r="C4536" s="128">
        <f t="shared" si="207"/>
        <v>1</v>
      </c>
      <c r="D4536" s="136">
        <f t="shared" si="206"/>
        <v>3</v>
      </c>
      <c r="E4536" s="136">
        <f t="shared" si="208"/>
        <v>18</v>
      </c>
      <c r="F4536" s="137" t="s">
        <v>24</v>
      </c>
      <c r="G4536" s="128" t="str">
        <f>VLOOKUP(source[[#This Row],[lending_product_transform]],[3]Mapping!$B$4:$C$37,2,0)</f>
        <v>[Cake] - Cashloan</v>
      </c>
      <c r="H4536" s="128" t="str">
        <f>VLOOKUP(source[[#This Row],[lending_product_transform]],[3]Mapping!$B$3:$D$37,3,0)</f>
        <v>cashloan</v>
      </c>
      <c r="I4536" s="143">
        <v>0</v>
      </c>
    </row>
    <row r="4537" spans="1:9" x14ac:dyDescent="0.2">
      <c r="A4537" s="134">
        <v>45675</v>
      </c>
      <c r="B4537" s="135">
        <f>YEAR(source[[#This Row],[report_date]])</f>
        <v>2025</v>
      </c>
      <c r="C4537" s="128">
        <f t="shared" si="207"/>
        <v>1</v>
      </c>
      <c r="D4537" s="136">
        <f t="shared" si="206"/>
        <v>3</v>
      </c>
      <c r="E4537" s="136">
        <f t="shared" si="208"/>
        <v>18</v>
      </c>
      <c r="F4537" s="137" t="s">
        <v>24</v>
      </c>
      <c r="G4537" s="128" t="str">
        <f>VLOOKUP(source[[#This Row],[lending_product_transform]],[3]Mapping!$B$4:$C$37,2,0)</f>
        <v>[Cake] - Cashloan</v>
      </c>
      <c r="H4537" s="128" t="str">
        <f>VLOOKUP(source[[#This Row],[lending_product_transform]],[3]Mapping!$B$3:$D$37,3,0)</f>
        <v>cashloan</v>
      </c>
      <c r="I4537" s="143">
        <v>6237170000</v>
      </c>
    </row>
    <row r="4538" spans="1:9" x14ac:dyDescent="0.2">
      <c r="A4538" s="134">
        <v>45675</v>
      </c>
      <c r="B4538" s="135">
        <f>YEAR(source[[#This Row],[report_date]])</f>
        <v>2025</v>
      </c>
      <c r="C4538" s="128">
        <f t="shared" si="207"/>
        <v>1</v>
      </c>
      <c r="D4538" s="136">
        <f t="shared" si="206"/>
        <v>3</v>
      </c>
      <c r="E4538" s="136">
        <f t="shared" si="208"/>
        <v>18</v>
      </c>
      <c r="F4538" s="137" t="s">
        <v>24</v>
      </c>
      <c r="G4538" s="128" t="str">
        <f>VLOOKUP(source[[#This Row],[lending_product_transform]],[3]Mapping!$B$4:$C$37,2,0)</f>
        <v>[Cake] - Cashloan</v>
      </c>
      <c r="H4538" s="128" t="str">
        <f>VLOOKUP(source[[#This Row],[lending_product_transform]],[3]Mapping!$B$3:$D$37,3,0)</f>
        <v>cashloan</v>
      </c>
      <c r="I4538" s="143">
        <v>2985004209</v>
      </c>
    </row>
    <row r="4539" spans="1:9" x14ac:dyDescent="0.2">
      <c r="A4539" s="134">
        <v>45675</v>
      </c>
      <c r="B4539" s="135">
        <f>YEAR(source[[#This Row],[report_date]])</f>
        <v>2025</v>
      </c>
      <c r="C4539" s="128">
        <f t="shared" si="207"/>
        <v>1</v>
      </c>
      <c r="D4539" s="136">
        <f t="shared" si="206"/>
        <v>3</v>
      </c>
      <c r="E4539" s="136">
        <f t="shared" si="208"/>
        <v>18</v>
      </c>
      <c r="F4539" s="137" t="s">
        <v>24</v>
      </c>
      <c r="G4539" s="128" t="str">
        <f>VLOOKUP(source[[#This Row],[lending_product_transform]],[3]Mapping!$B$4:$C$37,2,0)</f>
        <v>[Cake] - Cashloan</v>
      </c>
      <c r="H4539" s="128" t="str">
        <f>VLOOKUP(source[[#This Row],[lending_product_transform]],[3]Mapping!$B$3:$D$37,3,0)</f>
        <v>cashloan</v>
      </c>
      <c r="I4539" s="143">
        <v>10288610</v>
      </c>
    </row>
    <row r="4540" spans="1:9" x14ac:dyDescent="0.2">
      <c r="A4540" s="134">
        <v>45675</v>
      </c>
      <c r="B4540" s="135">
        <f>YEAR(source[[#This Row],[report_date]])</f>
        <v>2025</v>
      </c>
      <c r="C4540" s="128">
        <f t="shared" si="207"/>
        <v>1</v>
      </c>
      <c r="D4540" s="136">
        <f t="shared" si="206"/>
        <v>3</v>
      </c>
      <c r="E4540" s="136">
        <f t="shared" si="208"/>
        <v>18</v>
      </c>
      <c r="F4540" s="137" t="s">
        <v>24</v>
      </c>
      <c r="G4540" s="128" t="str">
        <f>VLOOKUP(source[[#This Row],[lending_product_transform]],[3]Mapping!$B$4:$C$37,2,0)</f>
        <v>[Cake] - Cashloan</v>
      </c>
      <c r="H4540" s="128" t="str">
        <f>VLOOKUP(source[[#This Row],[lending_product_transform]],[3]Mapping!$B$3:$D$37,3,0)</f>
        <v>cashloan</v>
      </c>
      <c r="I4540" s="143">
        <v>4564070000</v>
      </c>
    </row>
    <row r="4541" spans="1:9" x14ac:dyDescent="0.2">
      <c r="A4541" s="134">
        <v>45675</v>
      </c>
      <c r="B4541" s="135">
        <f>YEAR(source[[#This Row],[report_date]])</f>
        <v>2025</v>
      </c>
      <c r="C4541" s="128">
        <f t="shared" si="207"/>
        <v>1</v>
      </c>
      <c r="D4541" s="136">
        <f t="shared" si="206"/>
        <v>3</v>
      </c>
      <c r="E4541" s="136">
        <f t="shared" si="208"/>
        <v>18</v>
      </c>
      <c r="F4541" s="137" t="s">
        <v>24</v>
      </c>
      <c r="G4541" s="128" t="str">
        <f>VLOOKUP(source[[#This Row],[lending_product_transform]],[3]Mapping!$B$4:$C$37,2,0)</f>
        <v>[Cake] - Cashloan</v>
      </c>
      <c r="H4541" s="128" t="str">
        <f>VLOOKUP(source[[#This Row],[lending_product_transform]],[3]Mapping!$B$3:$D$37,3,0)</f>
        <v>cashloan</v>
      </c>
      <c r="I4541" s="143">
        <v>13000000</v>
      </c>
    </row>
    <row r="4542" spans="1:9" x14ac:dyDescent="0.2">
      <c r="A4542" s="134">
        <v>45676</v>
      </c>
      <c r="B4542" s="135">
        <f>YEAR(source[[#This Row],[report_date]])</f>
        <v>2025</v>
      </c>
      <c r="C4542" s="128">
        <f t="shared" si="207"/>
        <v>1</v>
      </c>
      <c r="D4542" s="136">
        <f t="shared" si="206"/>
        <v>3</v>
      </c>
      <c r="E4542" s="136">
        <f t="shared" si="208"/>
        <v>19</v>
      </c>
      <c r="F4542" s="137" t="s">
        <v>24</v>
      </c>
      <c r="G4542" s="128" t="str">
        <f>VLOOKUP(source[[#This Row],[lending_product_transform]],[3]Mapping!$B$4:$C$37,2,0)</f>
        <v>[Cake] - Cashloan</v>
      </c>
      <c r="H4542" s="128" t="str">
        <f>VLOOKUP(source[[#This Row],[lending_product_transform]],[3]Mapping!$B$3:$D$37,3,0)</f>
        <v>cashloan</v>
      </c>
      <c r="I4542" s="143">
        <v>368130000</v>
      </c>
    </row>
    <row r="4543" spans="1:9" x14ac:dyDescent="0.2">
      <c r="A4543" s="134">
        <v>45676</v>
      </c>
      <c r="B4543" s="135">
        <f>YEAR(source[[#This Row],[report_date]])</f>
        <v>2025</v>
      </c>
      <c r="C4543" s="128">
        <f t="shared" si="207"/>
        <v>1</v>
      </c>
      <c r="D4543" s="136">
        <f t="shared" si="206"/>
        <v>3</v>
      </c>
      <c r="E4543" s="136">
        <f t="shared" si="208"/>
        <v>19</v>
      </c>
      <c r="F4543" s="137" t="s">
        <v>24</v>
      </c>
      <c r="G4543" s="128" t="str">
        <f>VLOOKUP(source[[#This Row],[lending_product_transform]],[3]Mapping!$B$4:$C$37,2,0)</f>
        <v>[Cake] - Cashloan</v>
      </c>
      <c r="H4543" s="128" t="str">
        <f>VLOOKUP(source[[#This Row],[lending_product_transform]],[3]Mapping!$B$3:$D$37,3,0)</f>
        <v>cashloan</v>
      </c>
      <c r="I4543" s="143">
        <v>4510500000</v>
      </c>
    </row>
    <row r="4544" spans="1:9" x14ac:dyDescent="0.2">
      <c r="A4544" s="134">
        <v>45676</v>
      </c>
      <c r="B4544" s="135">
        <f>YEAR(source[[#This Row],[report_date]])</f>
        <v>2025</v>
      </c>
      <c r="C4544" s="128">
        <f t="shared" si="207"/>
        <v>1</v>
      </c>
      <c r="D4544" s="136">
        <f t="shared" si="206"/>
        <v>3</v>
      </c>
      <c r="E4544" s="136">
        <f t="shared" si="208"/>
        <v>19</v>
      </c>
      <c r="F4544" s="137" t="s">
        <v>24</v>
      </c>
      <c r="G4544" s="128" t="str">
        <f>VLOOKUP(source[[#This Row],[lending_product_transform]],[3]Mapping!$B$4:$C$37,2,0)</f>
        <v>[Cake] - Cashloan</v>
      </c>
      <c r="H4544" s="128" t="str">
        <f>VLOOKUP(source[[#This Row],[lending_product_transform]],[3]Mapping!$B$3:$D$37,3,0)</f>
        <v>cashloan</v>
      </c>
      <c r="I4544" s="143">
        <v>6209460000</v>
      </c>
    </row>
    <row r="4545" spans="1:9" x14ac:dyDescent="0.2">
      <c r="A4545" s="134">
        <v>45676</v>
      </c>
      <c r="B4545" s="135">
        <f>YEAR(source[[#This Row],[report_date]])</f>
        <v>2025</v>
      </c>
      <c r="C4545" s="128">
        <f t="shared" si="207"/>
        <v>1</v>
      </c>
      <c r="D4545" s="136">
        <f t="shared" si="206"/>
        <v>3</v>
      </c>
      <c r="E4545" s="136">
        <f t="shared" si="208"/>
        <v>19</v>
      </c>
      <c r="F4545" s="137" t="s">
        <v>24</v>
      </c>
      <c r="G4545" s="128" t="str">
        <f>VLOOKUP(source[[#This Row],[lending_product_transform]],[3]Mapping!$B$4:$C$37,2,0)</f>
        <v>[Cake] - Cashloan</v>
      </c>
      <c r="H4545" s="128" t="str">
        <f>VLOOKUP(source[[#This Row],[lending_product_transform]],[3]Mapping!$B$3:$D$37,3,0)</f>
        <v>cashloan</v>
      </c>
      <c r="I4545" s="143">
        <v>254766036</v>
      </c>
    </row>
    <row r="4546" spans="1:9" x14ac:dyDescent="0.2">
      <c r="A4546" s="134">
        <v>45676</v>
      </c>
      <c r="B4546" s="135">
        <f>YEAR(source[[#This Row],[report_date]])</f>
        <v>2025</v>
      </c>
      <c r="C4546" s="128">
        <f t="shared" si="207"/>
        <v>1</v>
      </c>
      <c r="D4546" s="136">
        <f t="shared" si="206"/>
        <v>3</v>
      </c>
      <c r="E4546" s="136">
        <f t="shared" si="208"/>
        <v>19</v>
      </c>
      <c r="F4546" s="137" t="s">
        <v>24</v>
      </c>
      <c r="G4546" s="128" t="str">
        <f>VLOOKUP(source[[#This Row],[lending_product_transform]],[3]Mapping!$B$4:$C$37,2,0)</f>
        <v>[Cake] - Cashloan</v>
      </c>
      <c r="H4546" s="128" t="str">
        <f>VLOOKUP(source[[#This Row],[lending_product_transform]],[3]Mapping!$B$3:$D$37,3,0)</f>
        <v>cashloan</v>
      </c>
      <c r="I4546" s="143">
        <v>0</v>
      </c>
    </row>
    <row r="4547" spans="1:9" x14ac:dyDescent="0.2">
      <c r="A4547" s="134">
        <v>45676</v>
      </c>
      <c r="B4547" s="135">
        <f>YEAR(source[[#This Row],[report_date]])</f>
        <v>2025</v>
      </c>
      <c r="C4547" s="128">
        <f t="shared" si="207"/>
        <v>1</v>
      </c>
      <c r="D4547" s="136">
        <f t="shared" ref="D4547:D4610" si="209">WEEKNUM(A4547,2)</f>
        <v>3</v>
      </c>
      <c r="E4547" s="136">
        <f t="shared" si="208"/>
        <v>19</v>
      </c>
      <c r="F4547" s="137" t="s">
        <v>24</v>
      </c>
      <c r="G4547" s="128" t="str">
        <f>VLOOKUP(source[[#This Row],[lending_product_transform]],[3]Mapping!$B$4:$C$37,2,0)</f>
        <v>[Cake] - Cashloan</v>
      </c>
      <c r="H4547" s="128" t="str">
        <f>VLOOKUP(source[[#This Row],[lending_product_transform]],[3]Mapping!$B$3:$D$37,3,0)</f>
        <v>cashloan</v>
      </c>
      <c r="I4547" s="143">
        <v>2924545867</v>
      </c>
    </row>
    <row r="4548" spans="1:9" x14ac:dyDescent="0.2">
      <c r="A4548" s="134">
        <v>45676</v>
      </c>
      <c r="B4548" s="135">
        <f>YEAR(source[[#This Row],[report_date]])</f>
        <v>2025</v>
      </c>
      <c r="C4548" s="128">
        <f t="shared" si="207"/>
        <v>1</v>
      </c>
      <c r="D4548" s="136">
        <f t="shared" si="209"/>
        <v>3</v>
      </c>
      <c r="E4548" s="136">
        <f t="shared" si="208"/>
        <v>19</v>
      </c>
      <c r="F4548" s="137" t="s">
        <v>24</v>
      </c>
      <c r="G4548" s="128" t="str">
        <f>VLOOKUP(source[[#This Row],[lending_product_transform]],[3]Mapping!$B$4:$C$37,2,0)</f>
        <v>[Cake] - Cashloan</v>
      </c>
      <c r="H4548" s="128" t="str">
        <f>VLOOKUP(source[[#This Row],[lending_product_transform]],[3]Mapping!$B$3:$D$37,3,0)</f>
        <v>cashloan</v>
      </c>
      <c r="I4548" s="143">
        <v>705090000</v>
      </c>
    </row>
    <row r="4549" spans="1:9" x14ac:dyDescent="0.2">
      <c r="A4549" s="134">
        <v>45676</v>
      </c>
      <c r="B4549" s="135">
        <f>YEAR(source[[#This Row],[report_date]])</f>
        <v>2025</v>
      </c>
      <c r="C4549" s="128">
        <f t="shared" si="207"/>
        <v>1</v>
      </c>
      <c r="D4549" s="136">
        <f t="shared" si="209"/>
        <v>3</v>
      </c>
      <c r="E4549" s="136">
        <f t="shared" si="208"/>
        <v>19</v>
      </c>
      <c r="F4549" s="137" t="s">
        <v>24</v>
      </c>
      <c r="G4549" s="128" t="str">
        <f>VLOOKUP(source[[#This Row],[lending_product_transform]],[3]Mapping!$B$4:$C$37,2,0)</f>
        <v>[Cake] - Cashloan</v>
      </c>
      <c r="H4549" s="128" t="str">
        <f>VLOOKUP(source[[#This Row],[lending_product_transform]],[3]Mapping!$B$3:$D$37,3,0)</f>
        <v>cashloan</v>
      </c>
      <c r="I4549" s="143">
        <v>261710584</v>
      </c>
    </row>
    <row r="4550" spans="1:9" x14ac:dyDescent="0.2">
      <c r="A4550" s="134">
        <v>45676</v>
      </c>
      <c r="B4550" s="135">
        <f>YEAR(source[[#This Row],[report_date]])</f>
        <v>2025</v>
      </c>
      <c r="C4550" s="128">
        <f t="shared" si="207"/>
        <v>1</v>
      </c>
      <c r="D4550" s="136">
        <f t="shared" si="209"/>
        <v>3</v>
      </c>
      <c r="E4550" s="136">
        <f t="shared" si="208"/>
        <v>19</v>
      </c>
      <c r="F4550" s="137" t="s">
        <v>24</v>
      </c>
      <c r="G4550" s="128" t="str">
        <f>VLOOKUP(source[[#This Row],[lending_product_transform]],[3]Mapping!$B$4:$C$37,2,0)</f>
        <v>[Cake] - Cashloan</v>
      </c>
      <c r="H4550" s="128" t="str">
        <f>VLOOKUP(source[[#This Row],[lending_product_transform]],[3]Mapping!$B$3:$D$37,3,0)</f>
        <v>cashloan</v>
      </c>
      <c r="I4550" s="143">
        <v>0</v>
      </c>
    </row>
    <row r="4551" spans="1:9" x14ac:dyDescent="0.2">
      <c r="A4551" s="134">
        <v>45676</v>
      </c>
      <c r="B4551" s="135">
        <f>YEAR(source[[#This Row],[report_date]])</f>
        <v>2025</v>
      </c>
      <c r="C4551" s="128">
        <f t="shared" si="207"/>
        <v>1</v>
      </c>
      <c r="D4551" s="136">
        <f t="shared" si="209"/>
        <v>3</v>
      </c>
      <c r="E4551" s="136">
        <f t="shared" si="208"/>
        <v>19</v>
      </c>
      <c r="F4551" s="137" t="s">
        <v>24</v>
      </c>
      <c r="G4551" s="128" t="str">
        <f>VLOOKUP(source[[#This Row],[lending_product_transform]],[3]Mapping!$B$4:$C$37,2,0)</f>
        <v>[Cake] - Cashloan</v>
      </c>
      <c r="H4551" s="128" t="str">
        <f>VLOOKUP(source[[#This Row],[lending_product_transform]],[3]Mapping!$B$3:$D$37,3,0)</f>
        <v>cashloan</v>
      </c>
      <c r="I4551" s="143">
        <v>0</v>
      </c>
    </row>
    <row r="4552" spans="1:9" x14ac:dyDescent="0.2">
      <c r="A4552" s="134">
        <v>45676</v>
      </c>
      <c r="B4552" s="135">
        <f>YEAR(source[[#This Row],[report_date]])</f>
        <v>2025</v>
      </c>
      <c r="C4552" s="128">
        <f t="shared" si="207"/>
        <v>1</v>
      </c>
      <c r="D4552" s="136">
        <f t="shared" si="209"/>
        <v>3</v>
      </c>
      <c r="E4552" s="136">
        <f t="shared" si="208"/>
        <v>19</v>
      </c>
      <c r="F4552" s="137" t="s">
        <v>24</v>
      </c>
      <c r="G4552" s="128" t="str">
        <f>VLOOKUP(source[[#This Row],[lending_product_transform]],[3]Mapping!$B$4:$C$37,2,0)</f>
        <v>[Cake] - Cashloan</v>
      </c>
      <c r="H4552" s="128" t="str">
        <f>VLOOKUP(source[[#This Row],[lending_product_transform]],[3]Mapping!$B$3:$D$37,3,0)</f>
        <v>cashloan</v>
      </c>
      <c r="I4552" s="143">
        <v>0</v>
      </c>
    </row>
    <row r="4553" spans="1:9" x14ac:dyDescent="0.2">
      <c r="A4553" s="134">
        <v>45676</v>
      </c>
      <c r="B4553" s="135">
        <f>YEAR(source[[#This Row],[report_date]])</f>
        <v>2025</v>
      </c>
      <c r="C4553" s="128">
        <f t="shared" si="207"/>
        <v>1</v>
      </c>
      <c r="D4553" s="136">
        <f t="shared" si="209"/>
        <v>3</v>
      </c>
      <c r="E4553" s="136">
        <f t="shared" si="208"/>
        <v>19</v>
      </c>
      <c r="F4553" s="137" t="s">
        <v>24</v>
      </c>
      <c r="G4553" s="128" t="str">
        <f>VLOOKUP(source[[#This Row],[lending_product_transform]],[3]Mapping!$B$4:$C$37,2,0)</f>
        <v>[Cake] - Cashloan</v>
      </c>
      <c r="H4553" s="128" t="str">
        <f>VLOOKUP(source[[#This Row],[lending_product_transform]],[3]Mapping!$B$3:$D$37,3,0)</f>
        <v>cashloan</v>
      </c>
      <c r="I4553" s="143">
        <v>4738510000</v>
      </c>
    </row>
    <row r="4554" spans="1:9" x14ac:dyDescent="0.2">
      <c r="A4554" s="134">
        <v>45676</v>
      </c>
      <c r="B4554" s="135">
        <f>YEAR(source[[#This Row],[report_date]])</f>
        <v>2025</v>
      </c>
      <c r="C4554" s="128">
        <f t="shared" si="207"/>
        <v>1</v>
      </c>
      <c r="D4554" s="136">
        <f t="shared" si="209"/>
        <v>3</v>
      </c>
      <c r="E4554" s="136">
        <f t="shared" si="208"/>
        <v>19</v>
      </c>
      <c r="F4554" s="137" t="s">
        <v>24</v>
      </c>
      <c r="G4554" s="128" t="str">
        <f>VLOOKUP(source[[#This Row],[lending_product_transform]],[3]Mapping!$B$4:$C$37,2,0)</f>
        <v>[Cake] - Cashloan</v>
      </c>
      <c r="H4554" s="128" t="str">
        <f>VLOOKUP(source[[#This Row],[lending_product_transform]],[3]Mapping!$B$3:$D$37,3,0)</f>
        <v>cashloan</v>
      </c>
      <c r="I4554" s="143">
        <v>149472083</v>
      </c>
    </row>
    <row r="4555" spans="1:9" x14ac:dyDescent="0.2">
      <c r="A4555" s="134">
        <v>45676</v>
      </c>
      <c r="B4555" s="135">
        <f>YEAR(source[[#This Row],[report_date]])</f>
        <v>2025</v>
      </c>
      <c r="C4555" s="128">
        <f t="shared" si="207"/>
        <v>1</v>
      </c>
      <c r="D4555" s="136">
        <f t="shared" si="209"/>
        <v>3</v>
      </c>
      <c r="E4555" s="136">
        <f t="shared" si="208"/>
        <v>19</v>
      </c>
      <c r="F4555" s="137" t="s">
        <v>24</v>
      </c>
      <c r="G4555" s="128" t="str">
        <f>VLOOKUP(source[[#This Row],[lending_product_transform]],[3]Mapping!$B$4:$C$37,2,0)</f>
        <v>[Cake] - Cashloan</v>
      </c>
      <c r="H4555" s="128" t="str">
        <f>VLOOKUP(source[[#This Row],[lending_product_transform]],[3]Mapping!$B$3:$D$37,3,0)</f>
        <v>cashloan</v>
      </c>
      <c r="I4555" s="143">
        <v>0</v>
      </c>
    </row>
    <row r="4556" spans="1:9" x14ac:dyDescent="0.2">
      <c r="A4556" s="134">
        <v>45676</v>
      </c>
      <c r="B4556" s="135">
        <f>YEAR(source[[#This Row],[report_date]])</f>
        <v>2025</v>
      </c>
      <c r="C4556" s="128">
        <f t="shared" si="207"/>
        <v>1</v>
      </c>
      <c r="D4556" s="136">
        <f t="shared" si="209"/>
        <v>3</v>
      </c>
      <c r="E4556" s="136">
        <f t="shared" si="208"/>
        <v>19</v>
      </c>
      <c r="F4556" s="137" t="s">
        <v>24</v>
      </c>
      <c r="G4556" s="128" t="str">
        <f>VLOOKUP(source[[#This Row],[lending_product_transform]],[3]Mapping!$B$4:$C$37,2,0)</f>
        <v>[Cake] - Cashloan</v>
      </c>
      <c r="H4556" s="128" t="str">
        <f>VLOOKUP(source[[#This Row],[lending_product_transform]],[3]Mapping!$B$3:$D$37,3,0)</f>
        <v>cashloan</v>
      </c>
      <c r="I4556" s="143">
        <v>9451659</v>
      </c>
    </row>
    <row r="4557" spans="1:9" x14ac:dyDescent="0.2">
      <c r="A4557" s="134">
        <v>45676</v>
      </c>
      <c r="B4557" s="135">
        <f>YEAR(source[[#This Row],[report_date]])</f>
        <v>2025</v>
      </c>
      <c r="C4557" s="128">
        <f t="shared" si="207"/>
        <v>1</v>
      </c>
      <c r="D4557" s="136">
        <f t="shared" si="209"/>
        <v>3</v>
      </c>
      <c r="E4557" s="136">
        <f t="shared" si="208"/>
        <v>19</v>
      </c>
      <c r="F4557" s="137" t="s">
        <v>24</v>
      </c>
      <c r="G4557" s="128" t="str">
        <f>VLOOKUP(source[[#This Row],[lending_product_transform]],[3]Mapping!$B$4:$C$37,2,0)</f>
        <v>[Cake] - Cashloan</v>
      </c>
      <c r="H4557" s="128" t="str">
        <f>VLOOKUP(source[[#This Row],[lending_product_transform]],[3]Mapping!$B$3:$D$37,3,0)</f>
        <v>cashloan</v>
      </c>
      <c r="I4557" s="143">
        <v>9000000</v>
      </c>
    </row>
    <row r="4558" spans="1:9" x14ac:dyDescent="0.2">
      <c r="A4558" s="134">
        <v>45676</v>
      </c>
      <c r="B4558" s="135">
        <f>YEAR(source[[#This Row],[report_date]])</f>
        <v>2025</v>
      </c>
      <c r="C4558" s="128">
        <f t="shared" si="207"/>
        <v>1</v>
      </c>
      <c r="D4558" s="136">
        <f t="shared" si="209"/>
        <v>3</v>
      </c>
      <c r="E4558" s="136">
        <f t="shared" si="208"/>
        <v>19</v>
      </c>
      <c r="F4558" s="137" t="s">
        <v>24</v>
      </c>
      <c r="G4558" s="128" t="str">
        <f>VLOOKUP(source[[#This Row],[lending_product_transform]],[3]Mapping!$B$4:$C$37,2,0)</f>
        <v>[Cake] - Cashloan</v>
      </c>
      <c r="H4558" s="128" t="str">
        <f>VLOOKUP(source[[#This Row],[lending_product_transform]],[3]Mapping!$B$3:$D$37,3,0)</f>
        <v>cashloan</v>
      </c>
      <c r="I4558" s="143">
        <v>20500000</v>
      </c>
    </row>
    <row r="4559" spans="1:9" x14ac:dyDescent="0.2">
      <c r="A4559" s="134">
        <v>45676</v>
      </c>
      <c r="B4559" s="135">
        <f>YEAR(source[[#This Row],[report_date]])</f>
        <v>2025</v>
      </c>
      <c r="C4559" s="128">
        <f t="shared" si="207"/>
        <v>1</v>
      </c>
      <c r="D4559" s="136">
        <f t="shared" si="209"/>
        <v>3</v>
      </c>
      <c r="E4559" s="136">
        <f t="shared" si="208"/>
        <v>19</v>
      </c>
      <c r="F4559" s="137" t="s">
        <v>24</v>
      </c>
      <c r="G4559" s="128" t="str">
        <f>VLOOKUP(source[[#This Row],[lending_product_transform]],[3]Mapping!$B$4:$C$37,2,0)</f>
        <v>[Cake] - Cashloan</v>
      </c>
      <c r="H4559" s="128" t="str">
        <f>VLOOKUP(source[[#This Row],[lending_product_transform]],[3]Mapping!$B$3:$D$37,3,0)</f>
        <v>cashloan</v>
      </c>
      <c r="I4559" s="143">
        <v>0</v>
      </c>
    </row>
    <row r="4560" spans="1:9" x14ac:dyDescent="0.2">
      <c r="A4560" s="134">
        <v>45677</v>
      </c>
      <c r="B4560" s="135">
        <f>YEAR(source[[#This Row],[report_date]])</f>
        <v>2025</v>
      </c>
      <c r="C4560" s="128">
        <f t="shared" si="207"/>
        <v>1</v>
      </c>
      <c r="D4560" s="136">
        <f t="shared" si="209"/>
        <v>4</v>
      </c>
      <c r="E4560" s="136">
        <f t="shared" si="208"/>
        <v>20</v>
      </c>
      <c r="F4560" s="137" t="s">
        <v>24</v>
      </c>
      <c r="G4560" s="128" t="str">
        <f>VLOOKUP(source[[#This Row],[lending_product_transform]],[3]Mapping!$B$4:$C$37,2,0)</f>
        <v>[Cake] - Cashloan</v>
      </c>
      <c r="H4560" s="128" t="str">
        <f>VLOOKUP(source[[#This Row],[lending_product_transform]],[3]Mapping!$B$3:$D$37,3,0)</f>
        <v>cashloan</v>
      </c>
      <c r="I4560" s="143">
        <v>0</v>
      </c>
    </row>
    <row r="4561" spans="1:9" x14ac:dyDescent="0.2">
      <c r="A4561" s="134">
        <v>45677</v>
      </c>
      <c r="B4561" s="135">
        <f>YEAR(source[[#This Row],[report_date]])</f>
        <v>2025</v>
      </c>
      <c r="C4561" s="128">
        <f t="shared" si="207"/>
        <v>1</v>
      </c>
      <c r="D4561" s="136">
        <f t="shared" si="209"/>
        <v>4</v>
      </c>
      <c r="E4561" s="136">
        <f t="shared" si="208"/>
        <v>20</v>
      </c>
      <c r="F4561" s="137" t="s">
        <v>24</v>
      </c>
      <c r="G4561" s="128" t="str">
        <f>VLOOKUP(source[[#This Row],[lending_product_transform]],[3]Mapping!$B$4:$C$37,2,0)</f>
        <v>[Cake] - Cashloan</v>
      </c>
      <c r="H4561" s="128" t="str">
        <f>VLOOKUP(source[[#This Row],[lending_product_transform]],[3]Mapping!$B$3:$D$37,3,0)</f>
        <v>cashloan</v>
      </c>
      <c r="I4561" s="143">
        <v>4040419975</v>
      </c>
    </row>
    <row r="4562" spans="1:9" x14ac:dyDescent="0.2">
      <c r="A4562" s="134">
        <v>45677</v>
      </c>
      <c r="B4562" s="135">
        <f>YEAR(source[[#This Row],[report_date]])</f>
        <v>2025</v>
      </c>
      <c r="C4562" s="128">
        <f t="shared" si="207"/>
        <v>1</v>
      </c>
      <c r="D4562" s="136">
        <f t="shared" si="209"/>
        <v>4</v>
      </c>
      <c r="E4562" s="136">
        <f t="shared" si="208"/>
        <v>20</v>
      </c>
      <c r="F4562" s="137" t="s">
        <v>24</v>
      </c>
      <c r="G4562" s="128" t="str">
        <f>VLOOKUP(source[[#This Row],[lending_product_transform]],[3]Mapping!$B$4:$C$37,2,0)</f>
        <v>[Cake] - Cashloan</v>
      </c>
      <c r="H4562" s="128" t="str">
        <f>VLOOKUP(source[[#This Row],[lending_product_transform]],[3]Mapping!$B$3:$D$37,3,0)</f>
        <v>cashloan</v>
      </c>
      <c r="I4562" s="143">
        <v>6060300000</v>
      </c>
    </row>
    <row r="4563" spans="1:9" x14ac:dyDescent="0.2">
      <c r="A4563" s="134">
        <v>45677</v>
      </c>
      <c r="B4563" s="135">
        <f>YEAR(source[[#This Row],[report_date]])</f>
        <v>2025</v>
      </c>
      <c r="C4563" s="128">
        <f t="shared" si="207"/>
        <v>1</v>
      </c>
      <c r="D4563" s="136">
        <f t="shared" si="209"/>
        <v>4</v>
      </c>
      <c r="E4563" s="136">
        <f t="shared" si="208"/>
        <v>20</v>
      </c>
      <c r="F4563" s="137" t="s">
        <v>24</v>
      </c>
      <c r="G4563" s="128" t="str">
        <f>VLOOKUP(source[[#This Row],[lending_product_transform]],[3]Mapping!$B$4:$C$37,2,0)</f>
        <v>[Cake] - Cashloan</v>
      </c>
      <c r="H4563" s="128" t="str">
        <f>VLOOKUP(source[[#This Row],[lending_product_transform]],[3]Mapping!$B$3:$D$37,3,0)</f>
        <v>cashloan</v>
      </c>
      <c r="I4563" s="143">
        <v>267049329</v>
      </c>
    </row>
    <row r="4564" spans="1:9" x14ac:dyDescent="0.2">
      <c r="A4564" s="134">
        <v>45677</v>
      </c>
      <c r="B4564" s="135">
        <f>YEAR(source[[#This Row],[report_date]])</f>
        <v>2025</v>
      </c>
      <c r="C4564" s="128">
        <f t="shared" si="207"/>
        <v>1</v>
      </c>
      <c r="D4564" s="136">
        <f t="shared" si="209"/>
        <v>4</v>
      </c>
      <c r="E4564" s="136">
        <f t="shared" si="208"/>
        <v>20</v>
      </c>
      <c r="F4564" s="137" t="s">
        <v>24</v>
      </c>
      <c r="G4564" s="128" t="str">
        <f>VLOOKUP(source[[#This Row],[lending_product_transform]],[3]Mapping!$B$4:$C$37,2,0)</f>
        <v>[Cake] - Cashloan</v>
      </c>
      <c r="H4564" s="128" t="str">
        <f>VLOOKUP(source[[#This Row],[lending_product_transform]],[3]Mapping!$B$3:$D$37,3,0)</f>
        <v>cashloan</v>
      </c>
      <c r="I4564" s="143">
        <v>4634500000</v>
      </c>
    </row>
    <row r="4565" spans="1:9" x14ac:dyDescent="0.2">
      <c r="A4565" s="134">
        <v>45677</v>
      </c>
      <c r="B4565" s="135">
        <f>YEAR(source[[#This Row],[report_date]])</f>
        <v>2025</v>
      </c>
      <c r="C4565" s="128">
        <f t="shared" si="207"/>
        <v>1</v>
      </c>
      <c r="D4565" s="136">
        <f t="shared" si="209"/>
        <v>4</v>
      </c>
      <c r="E4565" s="136">
        <f t="shared" si="208"/>
        <v>20</v>
      </c>
      <c r="F4565" s="137" t="s">
        <v>24</v>
      </c>
      <c r="G4565" s="128" t="str">
        <f>VLOOKUP(source[[#This Row],[lending_product_transform]],[3]Mapping!$B$4:$C$37,2,0)</f>
        <v>[Cake] - Cashloan</v>
      </c>
      <c r="H4565" s="128" t="str">
        <f>VLOOKUP(source[[#This Row],[lending_product_transform]],[3]Mapping!$B$3:$D$37,3,0)</f>
        <v>cashloan</v>
      </c>
      <c r="I4565" s="143">
        <v>0</v>
      </c>
    </row>
    <row r="4566" spans="1:9" x14ac:dyDescent="0.2">
      <c r="A4566" s="134">
        <v>45677</v>
      </c>
      <c r="B4566" s="135">
        <f>YEAR(source[[#This Row],[report_date]])</f>
        <v>2025</v>
      </c>
      <c r="C4566" s="128">
        <f t="shared" ref="C4566:C4629" si="210">MONTH(A4566)</f>
        <v>1</v>
      </c>
      <c r="D4566" s="136">
        <f t="shared" si="209"/>
        <v>4</v>
      </c>
      <c r="E4566" s="136">
        <f t="shared" ref="E4566:E4629" si="211">DAY(A4566)</f>
        <v>20</v>
      </c>
      <c r="F4566" s="137" t="s">
        <v>24</v>
      </c>
      <c r="G4566" s="128" t="str">
        <f>VLOOKUP(source[[#This Row],[lending_product_transform]],[3]Mapping!$B$4:$C$37,2,0)</f>
        <v>[Cake] - Cashloan</v>
      </c>
      <c r="H4566" s="128" t="str">
        <f>VLOOKUP(source[[#This Row],[lending_product_transform]],[3]Mapping!$B$3:$D$37,3,0)</f>
        <v>cashloan</v>
      </c>
      <c r="I4566" s="143">
        <v>8024580000</v>
      </c>
    </row>
    <row r="4567" spans="1:9" x14ac:dyDescent="0.2">
      <c r="A4567" s="134">
        <v>45677</v>
      </c>
      <c r="B4567" s="135">
        <f>YEAR(source[[#This Row],[report_date]])</f>
        <v>2025</v>
      </c>
      <c r="C4567" s="128">
        <f t="shared" si="210"/>
        <v>1</v>
      </c>
      <c r="D4567" s="136">
        <f t="shared" si="209"/>
        <v>4</v>
      </c>
      <c r="E4567" s="136">
        <f t="shared" si="211"/>
        <v>20</v>
      </c>
      <c r="F4567" s="137" t="s">
        <v>24</v>
      </c>
      <c r="G4567" s="128" t="str">
        <f>VLOOKUP(source[[#This Row],[lending_product_transform]],[3]Mapping!$B$4:$C$37,2,0)</f>
        <v>[Cake] - Cashloan</v>
      </c>
      <c r="H4567" s="128" t="str">
        <f>VLOOKUP(source[[#This Row],[lending_product_transform]],[3]Mapping!$B$3:$D$37,3,0)</f>
        <v>cashloan</v>
      </c>
      <c r="I4567" s="143">
        <v>817520000</v>
      </c>
    </row>
    <row r="4568" spans="1:9" x14ac:dyDescent="0.2">
      <c r="A4568" s="134">
        <v>45677</v>
      </c>
      <c r="B4568" s="135">
        <f>YEAR(source[[#This Row],[report_date]])</f>
        <v>2025</v>
      </c>
      <c r="C4568" s="128">
        <f t="shared" si="210"/>
        <v>1</v>
      </c>
      <c r="D4568" s="136">
        <f t="shared" si="209"/>
        <v>4</v>
      </c>
      <c r="E4568" s="136">
        <f t="shared" si="211"/>
        <v>20</v>
      </c>
      <c r="F4568" s="137" t="s">
        <v>24</v>
      </c>
      <c r="G4568" s="128" t="str">
        <f>VLOOKUP(source[[#This Row],[lending_product_transform]],[3]Mapping!$B$4:$C$37,2,0)</f>
        <v>[Cake] - Cashloan</v>
      </c>
      <c r="H4568" s="128" t="str">
        <f>VLOOKUP(source[[#This Row],[lending_product_transform]],[3]Mapping!$B$3:$D$37,3,0)</f>
        <v>cashloan</v>
      </c>
      <c r="I4568" s="143">
        <v>0</v>
      </c>
    </row>
    <row r="4569" spans="1:9" x14ac:dyDescent="0.2">
      <c r="A4569" s="134">
        <v>45677</v>
      </c>
      <c r="B4569" s="135">
        <f>YEAR(source[[#This Row],[report_date]])</f>
        <v>2025</v>
      </c>
      <c r="C4569" s="128">
        <f t="shared" si="210"/>
        <v>1</v>
      </c>
      <c r="D4569" s="136">
        <f t="shared" si="209"/>
        <v>4</v>
      </c>
      <c r="E4569" s="136">
        <f t="shared" si="211"/>
        <v>20</v>
      </c>
      <c r="F4569" s="137" t="s">
        <v>24</v>
      </c>
      <c r="G4569" s="128" t="str">
        <f>VLOOKUP(source[[#This Row],[lending_product_transform]],[3]Mapping!$B$4:$C$37,2,0)</f>
        <v>[Cake] - Cashloan</v>
      </c>
      <c r="H4569" s="128" t="str">
        <f>VLOOKUP(source[[#This Row],[lending_product_transform]],[3]Mapping!$B$3:$D$37,3,0)</f>
        <v>cashloan</v>
      </c>
      <c r="I4569" s="143">
        <v>407980000</v>
      </c>
    </row>
    <row r="4570" spans="1:9" x14ac:dyDescent="0.2">
      <c r="A4570" s="134">
        <v>45677</v>
      </c>
      <c r="B4570" s="135">
        <f>YEAR(source[[#This Row],[report_date]])</f>
        <v>2025</v>
      </c>
      <c r="C4570" s="128">
        <f t="shared" si="210"/>
        <v>1</v>
      </c>
      <c r="D4570" s="136">
        <f t="shared" si="209"/>
        <v>4</v>
      </c>
      <c r="E4570" s="136">
        <f t="shared" si="211"/>
        <v>20</v>
      </c>
      <c r="F4570" s="137" t="s">
        <v>24</v>
      </c>
      <c r="G4570" s="128" t="str">
        <f>VLOOKUP(source[[#This Row],[lending_product_transform]],[3]Mapping!$B$4:$C$37,2,0)</f>
        <v>[Cake] - Cashloan</v>
      </c>
      <c r="H4570" s="128" t="str">
        <f>VLOOKUP(source[[#This Row],[lending_product_transform]],[3]Mapping!$B$3:$D$37,3,0)</f>
        <v>cashloan</v>
      </c>
      <c r="I4570" s="143">
        <v>273954321</v>
      </c>
    </row>
    <row r="4571" spans="1:9" x14ac:dyDescent="0.2">
      <c r="A4571" s="134">
        <v>45677</v>
      </c>
      <c r="B4571" s="135">
        <f>YEAR(source[[#This Row],[report_date]])</f>
        <v>2025</v>
      </c>
      <c r="C4571" s="128">
        <f t="shared" si="210"/>
        <v>1</v>
      </c>
      <c r="D4571" s="136">
        <f t="shared" si="209"/>
        <v>4</v>
      </c>
      <c r="E4571" s="136">
        <f t="shared" si="211"/>
        <v>20</v>
      </c>
      <c r="F4571" s="137" t="s">
        <v>24</v>
      </c>
      <c r="G4571" s="128" t="str">
        <f>VLOOKUP(source[[#This Row],[lending_product_transform]],[3]Mapping!$B$4:$C$37,2,0)</f>
        <v>[Cake] - Cashloan</v>
      </c>
      <c r="H4571" s="128" t="str">
        <f>VLOOKUP(source[[#This Row],[lending_product_transform]],[3]Mapping!$B$3:$D$37,3,0)</f>
        <v>cashloan</v>
      </c>
      <c r="I4571" s="143">
        <v>0</v>
      </c>
    </row>
    <row r="4572" spans="1:9" x14ac:dyDescent="0.2">
      <c r="A4572" s="134">
        <v>45677</v>
      </c>
      <c r="B4572" s="135">
        <f>YEAR(source[[#This Row],[report_date]])</f>
        <v>2025</v>
      </c>
      <c r="C4572" s="128">
        <f t="shared" si="210"/>
        <v>1</v>
      </c>
      <c r="D4572" s="136">
        <f t="shared" si="209"/>
        <v>4</v>
      </c>
      <c r="E4572" s="136">
        <f t="shared" si="211"/>
        <v>20</v>
      </c>
      <c r="F4572" s="137" t="s">
        <v>24</v>
      </c>
      <c r="G4572" s="128" t="str">
        <f>VLOOKUP(source[[#This Row],[lending_product_transform]],[3]Mapping!$B$4:$C$37,2,0)</f>
        <v>[Cake] - Cashloan</v>
      </c>
      <c r="H4572" s="128" t="str">
        <f>VLOOKUP(source[[#This Row],[lending_product_transform]],[3]Mapping!$B$3:$D$37,3,0)</f>
        <v>cashloan</v>
      </c>
      <c r="I4572" s="143">
        <v>149148638</v>
      </c>
    </row>
    <row r="4573" spans="1:9" x14ac:dyDescent="0.2">
      <c r="A4573" s="134">
        <v>45677</v>
      </c>
      <c r="B4573" s="135">
        <f>YEAR(source[[#This Row],[report_date]])</f>
        <v>2025</v>
      </c>
      <c r="C4573" s="128">
        <f t="shared" si="210"/>
        <v>1</v>
      </c>
      <c r="D4573" s="136">
        <f t="shared" si="209"/>
        <v>4</v>
      </c>
      <c r="E4573" s="136">
        <f t="shared" si="211"/>
        <v>20</v>
      </c>
      <c r="F4573" s="137" t="s">
        <v>24</v>
      </c>
      <c r="G4573" s="128" t="str">
        <f>VLOOKUP(source[[#This Row],[lending_product_transform]],[3]Mapping!$B$4:$C$37,2,0)</f>
        <v>[Cake] - Cashloan</v>
      </c>
      <c r="H4573" s="128" t="str">
        <f>VLOOKUP(source[[#This Row],[lending_product_transform]],[3]Mapping!$B$3:$D$37,3,0)</f>
        <v>cashloan</v>
      </c>
      <c r="I4573" s="143">
        <v>21388608</v>
      </c>
    </row>
    <row r="4574" spans="1:9" x14ac:dyDescent="0.2">
      <c r="A4574" s="134">
        <v>45677</v>
      </c>
      <c r="B4574" s="135">
        <f>YEAR(source[[#This Row],[report_date]])</f>
        <v>2025</v>
      </c>
      <c r="C4574" s="128">
        <f t="shared" si="210"/>
        <v>1</v>
      </c>
      <c r="D4574" s="136">
        <f t="shared" si="209"/>
        <v>4</v>
      </c>
      <c r="E4574" s="136">
        <f t="shared" si="211"/>
        <v>20</v>
      </c>
      <c r="F4574" s="137" t="s">
        <v>24</v>
      </c>
      <c r="G4574" s="128" t="str">
        <f>VLOOKUP(source[[#This Row],[lending_product_transform]],[3]Mapping!$B$4:$C$37,2,0)</f>
        <v>[Cake] - Cashloan</v>
      </c>
      <c r="H4574" s="128" t="str">
        <f>VLOOKUP(source[[#This Row],[lending_product_transform]],[3]Mapping!$B$3:$D$37,3,0)</f>
        <v>cashloan</v>
      </c>
      <c r="I4574" s="143">
        <v>19000000</v>
      </c>
    </row>
    <row r="4575" spans="1:9" x14ac:dyDescent="0.2">
      <c r="A4575" s="134">
        <v>45677</v>
      </c>
      <c r="B4575" s="135">
        <f>YEAR(source[[#This Row],[report_date]])</f>
        <v>2025</v>
      </c>
      <c r="C4575" s="128">
        <f t="shared" si="210"/>
        <v>1</v>
      </c>
      <c r="D4575" s="136">
        <f t="shared" si="209"/>
        <v>4</v>
      </c>
      <c r="E4575" s="136">
        <f t="shared" si="211"/>
        <v>20</v>
      </c>
      <c r="F4575" s="137" t="s">
        <v>24</v>
      </c>
      <c r="G4575" s="128" t="str">
        <f>VLOOKUP(source[[#This Row],[lending_product_transform]],[3]Mapping!$B$4:$C$37,2,0)</f>
        <v>[Cake] - Cashloan</v>
      </c>
      <c r="H4575" s="128" t="str">
        <f>VLOOKUP(source[[#This Row],[lending_product_transform]],[3]Mapping!$B$3:$D$37,3,0)</f>
        <v>cashloan</v>
      </c>
      <c r="I4575" s="143">
        <v>45000000</v>
      </c>
    </row>
    <row r="4576" spans="1:9" x14ac:dyDescent="0.2">
      <c r="A4576" s="134">
        <v>45677</v>
      </c>
      <c r="B4576" s="135">
        <f>YEAR(source[[#This Row],[report_date]])</f>
        <v>2025</v>
      </c>
      <c r="C4576" s="128">
        <f t="shared" si="210"/>
        <v>1</v>
      </c>
      <c r="D4576" s="136">
        <f t="shared" si="209"/>
        <v>4</v>
      </c>
      <c r="E4576" s="136">
        <f t="shared" si="211"/>
        <v>20</v>
      </c>
      <c r="F4576" s="137" t="s">
        <v>24</v>
      </c>
      <c r="G4576" s="128" t="str">
        <f>VLOOKUP(source[[#This Row],[lending_product_transform]],[3]Mapping!$B$4:$C$37,2,0)</f>
        <v>[Cake] - Cashloan</v>
      </c>
      <c r="H4576" s="128" t="str">
        <f>VLOOKUP(source[[#This Row],[lending_product_transform]],[3]Mapping!$B$3:$D$37,3,0)</f>
        <v>cashloan</v>
      </c>
      <c r="I4576" s="143">
        <v>0</v>
      </c>
    </row>
    <row r="4577" spans="1:9" x14ac:dyDescent="0.2">
      <c r="A4577" s="134">
        <v>45677</v>
      </c>
      <c r="B4577" s="135">
        <f>YEAR(source[[#This Row],[report_date]])</f>
        <v>2025</v>
      </c>
      <c r="C4577" s="128">
        <f t="shared" si="210"/>
        <v>1</v>
      </c>
      <c r="D4577" s="136">
        <f t="shared" si="209"/>
        <v>4</v>
      </c>
      <c r="E4577" s="136">
        <f t="shared" si="211"/>
        <v>20</v>
      </c>
      <c r="F4577" s="137" t="s">
        <v>24</v>
      </c>
      <c r="G4577" s="128" t="str">
        <f>VLOOKUP(source[[#This Row],[lending_product_transform]],[3]Mapping!$B$4:$C$37,2,0)</f>
        <v>[Cake] - Cashloan</v>
      </c>
      <c r="H4577" s="128" t="str">
        <f>VLOOKUP(source[[#This Row],[lending_product_transform]],[3]Mapping!$B$3:$D$37,3,0)</f>
        <v>cashloan</v>
      </c>
      <c r="I4577" s="143">
        <v>0</v>
      </c>
    </row>
    <row r="4578" spans="1:9" x14ac:dyDescent="0.2">
      <c r="A4578" s="134">
        <v>45678</v>
      </c>
      <c r="B4578" s="135">
        <f>YEAR(source[[#This Row],[report_date]])</f>
        <v>2025</v>
      </c>
      <c r="C4578" s="128">
        <f t="shared" si="210"/>
        <v>1</v>
      </c>
      <c r="D4578" s="136">
        <f t="shared" si="209"/>
        <v>4</v>
      </c>
      <c r="E4578" s="136">
        <f t="shared" si="211"/>
        <v>21</v>
      </c>
      <c r="F4578" s="137" t="s">
        <v>24</v>
      </c>
      <c r="G4578" s="128" t="str">
        <f>VLOOKUP(source[[#This Row],[lending_product_transform]],[3]Mapping!$B$4:$C$37,2,0)</f>
        <v>[Cake] - Cashloan</v>
      </c>
      <c r="H4578" s="128" t="str">
        <f>VLOOKUP(source[[#This Row],[lending_product_transform]],[3]Mapping!$B$3:$D$37,3,0)</f>
        <v>cashloan</v>
      </c>
      <c r="I4578" s="143">
        <v>318307790</v>
      </c>
    </row>
    <row r="4579" spans="1:9" x14ac:dyDescent="0.2">
      <c r="A4579" s="134">
        <v>45678</v>
      </c>
      <c r="B4579" s="135">
        <f>YEAR(source[[#This Row],[report_date]])</f>
        <v>2025</v>
      </c>
      <c r="C4579" s="128">
        <f t="shared" si="210"/>
        <v>1</v>
      </c>
      <c r="D4579" s="136">
        <f t="shared" si="209"/>
        <v>4</v>
      </c>
      <c r="E4579" s="136">
        <f t="shared" si="211"/>
        <v>21</v>
      </c>
      <c r="F4579" s="137" t="s">
        <v>24</v>
      </c>
      <c r="G4579" s="128" t="str">
        <f>VLOOKUP(source[[#This Row],[lending_product_transform]],[3]Mapping!$B$4:$C$37,2,0)</f>
        <v>[Cake] - Cashloan</v>
      </c>
      <c r="H4579" s="128" t="str">
        <f>VLOOKUP(source[[#This Row],[lending_product_transform]],[3]Mapping!$B$3:$D$37,3,0)</f>
        <v>cashloan</v>
      </c>
      <c r="I4579" s="143">
        <v>0</v>
      </c>
    </row>
    <row r="4580" spans="1:9" x14ac:dyDescent="0.2">
      <c r="A4580" s="134">
        <v>45678</v>
      </c>
      <c r="B4580" s="135">
        <f>YEAR(source[[#This Row],[report_date]])</f>
        <v>2025</v>
      </c>
      <c r="C4580" s="128">
        <f t="shared" si="210"/>
        <v>1</v>
      </c>
      <c r="D4580" s="136">
        <f t="shared" si="209"/>
        <v>4</v>
      </c>
      <c r="E4580" s="136">
        <f t="shared" si="211"/>
        <v>21</v>
      </c>
      <c r="F4580" s="137" t="s">
        <v>24</v>
      </c>
      <c r="G4580" s="128" t="str">
        <f>VLOOKUP(source[[#This Row],[lending_product_transform]],[3]Mapping!$B$4:$C$37,2,0)</f>
        <v>[Cake] - Cashloan</v>
      </c>
      <c r="H4580" s="128" t="str">
        <f>VLOOKUP(source[[#This Row],[lending_product_transform]],[3]Mapping!$B$3:$D$37,3,0)</f>
        <v>cashloan</v>
      </c>
      <c r="I4580" s="143">
        <v>6672180000</v>
      </c>
    </row>
    <row r="4581" spans="1:9" x14ac:dyDescent="0.2">
      <c r="A4581" s="134">
        <v>45678</v>
      </c>
      <c r="B4581" s="135">
        <f>YEAR(source[[#This Row],[report_date]])</f>
        <v>2025</v>
      </c>
      <c r="C4581" s="128">
        <f t="shared" si="210"/>
        <v>1</v>
      </c>
      <c r="D4581" s="136">
        <f t="shared" si="209"/>
        <v>4</v>
      </c>
      <c r="E4581" s="136">
        <f t="shared" si="211"/>
        <v>21</v>
      </c>
      <c r="F4581" s="137" t="s">
        <v>24</v>
      </c>
      <c r="G4581" s="128" t="str">
        <f>VLOOKUP(source[[#This Row],[lending_product_transform]],[3]Mapping!$B$4:$C$37,2,0)</f>
        <v>[Cake] - Cashloan</v>
      </c>
      <c r="H4581" s="128" t="str">
        <f>VLOOKUP(source[[#This Row],[lending_product_transform]],[3]Mapping!$B$3:$D$37,3,0)</f>
        <v>cashloan</v>
      </c>
      <c r="I4581" s="143">
        <v>0</v>
      </c>
    </row>
    <row r="4582" spans="1:9" x14ac:dyDescent="0.2">
      <c r="A4582" s="134">
        <v>45678</v>
      </c>
      <c r="B4582" s="135">
        <f>YEAR(source[[#This Row],[report_date]])</f>
        <v>2025</v>
      </c>
      <c r="C4582" s="128">
        <f t="shared" si="210"/>
        <v>1</v>
      </c>
      <c r="D4582" s="136">
        <f t="shared" si="209"/>
        <v>4</v>
      </c>
      <c r="E4582" s="136">
        <f t="shared" si="211"/>
        <v>21</v>
      </c>
      <c r="F4582" s="137" t="s">
        <v>24</v>
      </c>
      <c r="G4582" s="128" t="str">
        <f>VLOOKUP(source[[#This Row],[lending_product_transform]],[3]Mapping!$B$4:$C$37,2,0)</f>
        <v>[Cake] - Cashloan</v>
      </c>
      <c r="H4582" s="128" t="str">
        <f>VLOOKUP(source[[#This Row],[lending_product_transform]],[3]Mapping!$B$3:$D$37,3,0)</f>
        <v>cashloan</v>
      </c>
      <c r="I4582" s="143">
        <v>593770000</v>
      </c>
    </row>
    <row r="4583" spans="1:9" x14ac:dyDescent="0.2">
      <c r="A4583" s="134">
        <v>45678</v>
      </c>
      <c r="B4583" s="135">
        <f>YEAR(source[[#This Row],[report_date]])</f>
        <v>2025</v>
      </c>
      <c r="C4583" s="128">
        <f t="shared" si="210"/>
        <v>1</v>
      </c>
      <c r="D4583" s="136">
        <f t="shared" si="209"/>
        <v>4</v>
      </c>
      <c r="E4583" s="136">
        <f t="shared" si="211"/>
        <v>21</v>
      </c>
      <c r="F4583" s="137" t="s">
        <v>24</v>
      </c>
      <c r="G4583" s="128" t="str">
        <f>VLOOKUP(source[[#This Row],[lending_product_transform]],[3]Mapping!$B$4:$C$37,2,0)</f>
        <v>[Cake] - Cashloan</v>
      </c>
      <c r="H4583" s="128" t="str">
        <f>VLOOKUP(source[[#This Row],[lending_product_transform]],[3]Mapping!$B$3:$D$37,3,0)</f>
        <v>cashloan</v>
      </c>
      <c r="I4583" s="143">
        <v>3910684190</v>
      </c>
    </row>
    <row r="4584" spans="1:9" x14ac:dyDescent="0.2">
      <c r="A4584" s="134">
        <v>45678</v>
      </c>
      <c r="B4584" s="135">
        <f>YEAR(source[[#This Row],[report_date]])</f>
        <v>2025</v>
      </c>
      <c r="C4584" s="128">
        <f t="shared" si="210"/>
        <v>1</v>
      </c>
      <c r="D4584" s="136">
        <f t="shared" si="209"/>
        <v>4</v>
      </c>
      <c r="E4584" s="136">
        <f t="shared" si="211"/>
        <v>21</v>
      </c>
      <c r="F4584" s="137" t="s">
        <v>24</v>
      </c>
      <c r="G4584" s="128" t="str">
        <f>VLOOKUP(source[[#This Row],[lending_product_transform]],[3]Mapping!$B$4:$C$37,2,0)</f>
        <v>[Cake] - Cashloan</v>
      </c>
      <c r="H4584" s="128" t="str">
        <f>VLOOKUP(source[[#This Row],[lending_product_transform]],[3]Mapping!$B$3:$D$37,3,0)</f>
        <v>cashloan</v>
      </c>
      <c r="I4584" s="143">
        <v>44924959</v>
      </c>
    </row>
    <row r="4585" spans="1:9" x14ac:dyDescent="0.2">
      <c r="A4585" s="134">
        <v>45678</v>
      </c>
      <c r="B4585" s="135">
        <f>YEAR(source[[#This Row],[report_date]])</f>
        <v>2025</v>
      </c>
      <c r="C4585" s="128">
        <f t="shared" si="210"/>
        <v>1</v>
      </c>
      <c r="D4585" s="136">
        <f t="shared" si="209"/>
        <v>4</v>
      </c>
      <c r="E4585" s="136">
        <f t="shared" si="211"/>
        <v>21</v>
      </c>
      <c r="F4585" s="137" t="s">
        <v>24</v>
      </c>
      <c r="G4585" s="128" t="str">
        <f>VLOOKUP(source[[#This Row],[lending_product_transform]],[3]Mapping!$B$4:$C$37,2,0)</f>
        <v>[Cake] - Cashloan</v>
      </c>
      <c r="H4585" s="128" t="str">
        <f>VLOOKUP(source[[#This Row],[lending_product_transform]],[3]Mapping!$B$3:$D$37,3,0)</f>
        <v>cashloan</v>
      </c>
      <c r="I4585" s="143">
        <v>144967112</v>
      </c>
    </row>
    <row r="4586" spans="1:9" x14ac:dyDescent="0.2">
      <c r="A4586" s="134">
        <v>45678</v>
      </c>
      <c r="B4586" s="135">
        <f>YEAR(source[[#This Row],[report_date]])</f>
        <v>2025</v>
      </c>
      <c r="C4586" s="128">
        <f t="shared" si="210"/>
        <v>1</v>
      </c>
      <c r="D4586" s="136">
        <f t="shared" si="209"/>
        <v>4</v>
      </c>
      <c r="E4586" s="136">
        <f t="shared" si="211"/>
        <v>21</v>
      </c>
      <c r="F4586" s="137" t="s">
        <v>24</v>
      </c>
      <c r="G4586" s="128" t="str">
        <f>VLOOKUP(source[[#This Row],[lending_product_transform]],[3]Mapping!$B$4:$C$37,2,0)</f>
        <v>[Cake] - Cashloan</v>
      </c>
      <c r="H4586" s="128" t="str">
        <f>VLOOKUP(source[[#This Row],[lending_product_transform]],[3]Mapping!$B$3:$D$37,3,0)</f>
        <v>cashloan</v>
      </c>
      <c r="I4586" s="143">
        <v>94500000</v>
      </c>
    </row>
    <row r="4587" spans="1:9" x14ac:dyDescent="0.2">
      <c r="A4587" s="134">
        <v>45678</v>
      </c>
      <c r="B4587" s="135">
        <f>YEAR(source[[#This Row],[report_date]])</f>
        <v>2025</v>
      </c>
      <c r="C4587" s="128">
        <f t="shared" si="210"/>
        <v>1</v>
      </c>
      <c r="D4587" s="136">
        <f t="shared" si="209"/>
        <v>4</v>
      </c>
      <c r="E4587" s="136">
        <f t="shared" si="211"/>
        <v>21</v>
      </c>
      <c r="F4587" s="137" t="s">
        <v>24</v>
      </c>
      <c r="G4587" s="128" t="str">
        <f>VLOOKUP(source[[#This Row],[lending_product_transform]],[3]Mapping!$B$4:$C$37,2,0)</f>
        <v>[Cake] - Cashloan</v>
      </c>
      <c r="H4587" s="128" t="str">
        <f>VLOOKUP(source[[#This Row],[lending_product_transform]],[3]Mapping!$B$3:$D$37,3,0)</f>
        <v>cashloan</v>
      </c>
      <c r="I4587" s="143">
        <v>6327300000</v>
      </c>
    </row>
    <row r="4588" spans="1:9" x14ac:dyDescent="0.2">
      <c r="A4588" s="134">
        <v>45678</v>
      </c>
      <c r="B4588" s="135">
        <f>YEAR(source[[#This Row],[report_date]])</f>
        <v>2025</v>
      </c>
      <c r="C4588" s="128">
        <f t="shared" si="210"/>
        <v>1</v>
      </c>
      <c r="D4588" s="136">
        <f t="shared" si="209"/>
        <v>4</v>
      </c>
      <c r="E4588" s="136">
        <f t="shared" si="211"/>
        <v>21</v>
      </c>
      <c r="F4588" s="137" t="s">
        <v>24</v>
      </c>
      <c r="G4588" s="128" t="str">
        <f>VLOOKUP(source[[#This Row],[lending_product_transform]],[3]Mapping!$B$4:$C$37,2,0)</f>
        <v>[Cake] - Cashloan</v>
      </c>
      <c r="H4588" s="128" t="str">
        <f>VLOOKUP(source[[#This Row],[lending_product_transform]],[3]Mapping!$B$3:$D$37,3,0)</f>
        <v>cashloan</v>
      </c>
      <c r="I4588" s="143">
        <v>348586010</v>
      </c>
    </row>
    <row r="4589" spans="1:9" x14ac:dyDescent="0.2">
      <c r="A4589" s="134">
        <v>45678</v>
      </c>
      <c r="B4589" s="135">
        <f>YEAR(source[[#This Row],[report_date]])</f>
        <v>2025</v>
      </c>
      <c r="C4589" s="128">
        <f t="shared" si="210"/>
        <v>1</v>
      </c>
      <c r="D4589" s="136">
        <f t="shared" si="209"/>
        <v>4</v>
      </c>
      <c r="E4589" s="136">
        <f t="shared" si="211"/>
        <v>21</v>
      </c>
      <c r="F4589" s="137" t="s">
        <v>24</v>
      </c>
      <c r="G4589" s="128" t="str">
        <f>VLOOKUP(source[[#This Row],[lending_product_transform]],[3]Mapping!$B$4:$C$37,2,0)</f>
        <v>[Cake] - Cashloan</v>
      </c>
      <c r="H4589" s="128" t="str">
        <f>VLOOKUP(source[[#This Row],[lending_product_transform]],[3]Mapping!$B$3:$D$37,3,0)</f>
        <v>cashloan</v>
      </c>
      <c r="I4589" s="143">
        <v>448600000</v>
      </c>
    </row>
    <row r="4590" spans="1:9" x14ac:dyDescent="0.2">
      <c r="A4590" s="134">
        <v>45678</v>
      </c>
      <c r="B4590" s="135">
        <f>YEAR(source[[#This Row],[report_date]])</f>
        <v>2025</v>
      </c>
      <c r="C4590" s="128">
        <f t="shared" si="210"/>
        <v>1</v>
      </c>
      <c r="D4590" s="136">
        <f t="shared" si="209"/>
        <v>4</v>
      </c>
      <c r="E4590" s="136">
        <f t="shared" si="211"/>
        <v>21</v>
      </c>
      <c r="F4590" s="137" t="s">
        <v>24</v>
      </c>
      <c r="G4590" s="128" t="str">
        <f>VLOOKUP(source[[#This Row],[lending_product_transform]],[3]Mapping!$B$4:$C$37,2,0)</f>
        <v>[Cake] - Cashloan</v>
      </c>
      <c r="H4590" s="128" t="str">
        <f>VLOOKUP(source[[#This Row],[lending_product_transform]],[3]Mapping!$B$3:$D$37,3,0)</f>
        <v>cashloan</v>
      </c>
      <c r="I4590" s="143">
        <v>0</v>
      </c>
    </row>
    <row r="4591" spans="1:9" x14ac:dyDescent="0.2">
      <c r="A4591" s="134">
        <v>45678</v>
      </c>
      <c r="B4591" s="135">
        <f>YEAR(source[[#This Row],[report_date]])</f>
        <v>2025</v>
      </c>
      <c r="C4591" s="128">
        <f t="shared" si="210"/>
        <v>1</v>
      </c>
      <c r="D4591" s="136">
        <f t="shared" si="209"/>
        <v>4</v>
      </c>
      <c r="E4591" s="136">
        <f t="shared" si="211"/>
        <v>21</v>
      </c>
      <c r="F4591" s="137" t="s">
        <v>24</v>
      </c>
      <c r="G4591" s="128" t="str">
        <f>VLOOKUP(source[[#This Row],[lending_product_transform]],[3]Mapping!$B$4:$C$37,2,0)</f>
        <v>[Cake] - Cashloan</v>
      </c>
      <c r="H4591" s="128" t="str">
        <f>VLOOKUP(source[[#This Row],[lending_product_transform]],[3]Mapping!$B$3:$D$37,3,0)</f>
        <v>cashloan</v>
      </c>
      <c r="I4591" s="143">
        <v>0</v>
      </c>
    </row>
    <row r="4592" spans="1:9" x14ac:dyDescent="0.2">
      <c r="A4592" s="134">
        <v>45678</v>
      </c>
      <c r="B4592" s="135">
        <f>YEAR(source[[#This Row],[report_date]])</f>
        <v>2025</v>
      </c>
      <c r="C4592" s="128">
        <f t="shared" si="210"/>
        <v>1</v>
      </c>
      <c r="D4592" s="136">
        <f t="shared" si="209"/>
        <v>4</v>
      </c>
      <c r="E4592" s="136">
        <f t="shared" si="211"/>
        <v>21</v>
      </c>
      <c r="F4592" s="137" t="s">
        <v>24</v>
      </c>
      <c r="G4592" s="128" t="str">
        <f>VLOOKUP(source[[#This Row],[lending_product_transform]],[3]Mapping!$B$4:$C$37,2,0)</f>
        <v>[Cake] - Cashloan</v>
      </c>
      <c r="H4592" s="128" t="str">
        <f>VLOOKUP(source[[#This Row],[lending_product_transform]],[3]Mapping!$B$3:$D$37,3,0)</f>
        <v>cashloan</v>
      </c>
      <c r="I4592" s="143">
        <v>0</v>
      </c>
    </row>
    <row r="4593" spans="1:9" x14ac:dyDescent="0.2">
      <c r="A4593" s="134">
        <v>45678</v>
      </c>
      <c r="B4593" s="135">
        <f>YEAR(source[[#This Row],[report_date]])</f>
        <v>2025</v>
      </c>
      <c r="C4593" s="128">
        <f t="shared" si="210"/>
        <v>1</v>
      </c>
      <c r="D4593" s="136">
        <f t="shared" si="209"/>
        <v>4</v>
      </c>
      <c r="E4593" s="136">
        <f t="shared" si="211"/>
        <v>21</v>
      </c>
      <c r="F4593" s="137" t="s">
        <v>24</v>
      </c>
      <c r="G4593" s="128" t="str">
        <f>VLOOKUP(source[[#This Row],[lending_product_transform]],[3]Mapping!$B$4:$C$37,2,0)</f>
        <v>[Cake] - Cashloan</v>
      </c>
      <c r="H4593" s="128" t="str">
        <f>VLOOKUP(source[[#This Row],[lending_product_transform]],[3]Mapping!$B$3:$D$37,3,0)</f>
        <v>cashloan</v>
      </c>
      <c r="I4593" s="143">
        <v>5447000000</v>
      </c>
    </row>
    <row r="4594" spans="1:9" x14ac:dyDescent="0.2">
      <c r="A4594" s="134">
        <v>45678</v>
      </c>
      <c r="B4594" s="135">
        <f>YEAR(source[[#This Row],[report_date]])</f>
        <v>2025</v>
      </c>
      <c r="C4594" s="128">
        <f t="shared" si="210"/>
        <v>1</v>
      </c>
      <c r="D4594" s="136">
        <f t="shared" si="209"/>
        <v>4</v>
      </c>
      <c r="E4594" s="136">
        <f t="shared" si="211"/>
        <v>21</v>
      </c>
      <c r="F4594" s="137" t="s">
        <v>24</v>
      </c>
      <c r="G4594" s="128" t="str">
        <f>VLOOKUP(source[[#This Row],[lending_product_transform]],[3]Mapping!$B$4:$C$37,2,0)</f>
        <v>[Cake] - Cashloan</v>
      </c>
      <c r="H4594" s="128" t="str">
        <f>VLOOKUP(source[[#This Row],[lending_product_transform]],[3]Mapping!$B$3:$D$37,3,0)</f>
        <v>cashloan</v>
      </c>
      <c r="I4594" s="143">
        <v>0</v>
      </c>
    </row>
    <row r="4595" spans="1:9" x14ac:dyDescent="0.2">
      <c r="A4595" s="134">
        <v>45678</v>
      </c>
      <c r="B4595" s="135">
        <f>YEAR(source[[#This Row],[report_date]])</f>
        <v>2025</v>
      </c>
      <c r="C4595" s="128">
        <f t="shared" si="210"/>
        <v>1</v>
      </c>
      <c r="D4595" s="136">
        <f t="shared" si="209"/>
        <v>4</v>
      </c>
      <c r="E4595" s="136">
        <f t="shared" si="211"/>
        <v>21</v>
      </c>
      <c r="F4595" s="137" t="s">
        <v>24</v>
      </c>
      <c r="G4595" s="128" t="str">
        <f>VLOOKUP(source[[#This Row],[lending_product_transform]],[3]Mapping!$B$4:$C$37,2,0)</f>
        <v>[Cake] - Cashloan</v>
      </c>
      <c r="H4595" s="128" t="str">
        <f>VLOOKUP(source[[#This Row],[lending_product_transform]],[3]Mapping!$B$3:$D$37,3,0)</f>
        <v>cashloan</v>
      </c>
      <c r="I4595" s="143">
        <v>13000000</v>
      </c>
    </row>
    <row r="4596" spans="1:9" x14ac:dyDescent="0.2">
      <c r="A4596" s="134">
        <v>45679</v>
      </c>
      <c r="B4596" s="135">
        <f>YEAR(source[[#This Row],[report_date]])</f>
        <v>2025</v>
      </c>
      <c r="C4596" s="128">
        <f t="shared" si="210"/>
        <v>1</v>
      </c>
      <c r="D4596" s="136">
        <f t="shared" si="209"/>
        <v>4</v>
      </c>
      <c r="E4596" s="136">
        <f t="shared" si="211"/>
        <v>22</v>
      </c>
      <c r="F4596" s="137" t="s">
        <v>24</v>
      </c>
      <c r="G4596" s="128" t="str">
        <f>VLOOKUP(source[[#This Row],[lending_product_transform]],[3]Mapping!$B$4:$C$37,2,0)</f>
        <v>[Cake] - Cashloan</v>
      </c>
      <c r="H4596" s="128" t="str">
        <f>VLOOKUP(source[[#This Row],[lending_product_transform]],[3]Mapping!$B$3:$D$37,3,0)</f>
        <v>cashloan</v>
      </c>
      <c r="I4596" s="143">
        <v>0</v>
      </c>
    </row>
    <row r="4597" spans="1:9" x14ac:dyDescent="0.2">
      <c r="A4597" s="134">
        <v>45679</v>
      </c>
      <c r="B4597" s="135">
        <f>YEAR(source[[#This Row],[report_date]])</f>
        <v>2025</v>
      </c>
      <c r="C4597" s="128">
        <f t="shared" si="210"/>
        <v>1</v>
      </c>
      <c r="D4597" s="136">
        <f t="shared" si="209"/>
        <v>4</v>
      </c>
      <c r="E4597" s="136">
        <f t="shared" si="211"/>
        <v>22</v>
      </c>
      <c r="F4597" s="137" t="s">
        <v>24</v>
      </c>
      <c r="G4597" s="128" t="str">
        <f>VLOOKUP(source[[#This Row],[lending_product_transform]],[3]Mapping!$B$4:$C$37,2,0)</f>
        <v>[Cake] - Cashloan</v>
      </c>
      <c r="H4597" s="128" t="str">
        <f>VLOOKUP(source[[#This Row],[lending_product_transform]],[3]Mapping!$B$3:$D$37,3,0)</f>
        <v>cashloan</v>
      </c>
      <c r="I4597" s="143">
        <v>0</v>
      </c>
    </row>
    <row r="4598" spans="1:9" x14ac:dyDescent="0.2">
      <c r="A4598" s="134">
        <v>45679</v>
      </c>
      <c r="B4598" s="135">
        <f>YEAR(source[[#This Row],[report_date]])</f>
        <v>2025</v>
      </c>
      <c r="C4598" s="128">
        <f t="shared" si="210"/>
        <v>1</v>
      </c>
      <c r="D4598" s="136">
        <f t="shared" si="209"/>
        <v>4</v>
      </c>
      <c r="E4598" s="136">
        <f t="shared" si="211"/>
        <v>22</v>
      </c>
      <c r="F4598" s="137" t="s">
        <v>24</v>
      </c>
      <c r="G4598" s="128" t="str">
        <f>VLOOKUP(source[[#This Row],[lending_product_transform]],[3]Mapping!$B$4:$C$37,2,0)</f>
        <v>[Cake] - Cashloan</v>
      </c>
      <c r="H4598" s="128" t="str">
        <f>VLOOKUP(source[[#This Row],[lending_product_transform]],[3]Mapping!$B$3:$D$37,3,0)</f>
        <v>cashloan</v>
      </c>
      <c r="I4598" s="143">
        <v>0</v>
      </c>
    </row>
    <row r="4599" spans="1:9" x14ac:dyDescent="0.2">
      <c r="A4599" s="134">
        <v>45679</v>
      </c>
      <c r="B4599" s="135">
        <f>YEAR(source[[#This Row],[report_date]])</f>
        <v>2025</v>
      </c>
      <c r="C4599" s="128">
        <f t="shared" si="210"/>
        <v>1</v>
      </c>
      <c r="D4599" s="136">
        <f t="shared" si="209"/>
        <v>4</v>
      </c>
      <c r="E4599" s="136">
        <f t="shared" si="211"/>
        <v>22</v>
      </c>
      <c r="F4599" s="137" t="s">
        <v>24</v>
      </c>
      <c r="G4599" s="128" t="str">
        <f>VLOOKUP(source[[#This Row],[lending_product_transform]],[3]Mapping!$B$4:$C$37,2,0)</f>
        <v>[Cake] - Cashloan</v>
      </c>
      <c r="H4599" s="128" t="str">
        <f>VLOOKUP(source[[#This Row],[lending_product_transform]],[3]Mapping!$B$3:$D$37,3,0)</f>
        <v>cashloan</v>
      </c>
      <c r="I4599" s="143">
        <v>0</v>
      </c>
    </row>
    <row r="4600" spans="1:9" x14ac:dyDescent="0.2">
      <c r="A4600" s="134">
        <v>45679</v>
      </c>
      <c r="B4600" s="135">
        <f>YEAR(source[[#This Row],[report_date]])</f>
        <v>2025</v>
      </c>
      <c r="C4600" s="128">
        <f t="shared" si="210"/>
        <v>1</v>
      </c>
      <c r="D4600" s="136">
        <f t="shared" si="209"/>
        <v>4</v>
      </c>
      <c r="E4600" s="136">
        <f t="shared" si="211"/>
        <v>22</v>
      </c>
      <c r="F4600" s="137" t="s">
        <v>24</v>
      </c>
      <c r="G4600" s="128" t="str">
        <f>VLOOKUP(source[[#This Row],[lending_product_transform]],[3]Mapping!$B$4:$C$37,2,0)</f>
        <v>[Cake] - Cashloan</v>
      </c>
      <c r="H4600" s="128" t="str">
        <f>VLOOKUP(source[[#This Row],[lending_product_transform]],[3]Mapping!$B$3:$D$37,3,0)</f>
        <v>cashloan</v>
      </c>
      <c r="I4600" s="143">
        <v>0</v>
      </c>
    </row>
    <row r="4601" spans="1:9" x14ac:dyDescent="0.2">
      <c r="A4601" s="134">
        <v>45679</v>
      </c>
      <c r="B4601" s="135">
        <f>YEAR(source[[#This Row],[report_date]])</f>
        <v>2025</v>
      </c>
      <c r="C4601" s="128">
        <f t="shared" si="210"/>
        <v>1</v>
      </c>
      <c r="D4601" s="136">
        <f t="shared" si="209"/>
        <v>4</v>
      </c>
      <c r="E4601" s="136">
        <f t="shared" si="211"/>
        <v>22</v>
      </c>
      <c r="F4601" s="137" t="s">
        <v>24</v>
      </c>
      <c r="G4601" s="128" t="str">
        <f>VLOOKUP(source[[#This Row],[lending_product_transform]],[3]Mapping!$B$4:$C$37,2,0)</f>
        <v>[Cake] - Cashloan</v>
      </c>
      <c r="H4601" s="128" t="str">
        <f>VLOOKUP(source[[#This Row],[lending_product_transform]],[3]Mapping!$B$3:$D$37,3,0)</f>
        <v>cashloan</v>
      </c>
      <c r="I4601" s="143">
        <v>354656328</v>
      </c>
    </row>
    <row r="4602" spans="1:9" x14ac:dyDescent="0.2">
      <c r="A4602" s="134">
        <v>45679</v>
      </c>
      <c r="B4602" s="135">
        <f>YEAR(source[[#This Row],[report_date]])</f>
        <v>2025</v>
      </c>
      <c r="C4602" s="128">
        <f t="shared" si="210"/>
        <v>1</v>
      </c>
      <c r="D4602" s="136">
        <f t="shared" si="209"/>
        <v>4</v>
      </c>
      <c r="E4602" s="136">
        <f t="shared" si="211"/>
        <v>22</v>
      </c>
      <c r="F4602" s="137" t="s">
        <v>24</v>
      </c>
      <c r="G4602" s="128" t="str">
        <f>VLOOKUP(source[[#This Row],[lending_product_transform]],[3]Mapping!$B$4:$C$37,2,0)</f>
        <v>[Cake] - Cashloan</v>
      </c>
      <c r="H4602" s="128" t="str">
        <f>VLOOKUP(source[[#This Row],[lending_product_transform]],[3]Mapping!$B$3:$D$37,3,0)</f>
        <v>cashloan</v>
      </c>
      <c r="I4602" s="143">
        <v>625340000</v>
      </c>
    </row>
    <row r="4603" spans="1:9" x14ac:dyDescent="0.2">
      <c r="A4603" s="134">
        <v>45679</v>
      </c>
      <c r="B4603" s="135">
        <f>YEAR(source[[#This Row],[report_date]])</f>
        <v>2025</v>
      </c>
      <c r="C4603" s="128">
        <f t="shared" si="210"/>
        <v>1</v>
      </c>
      <c r="D4603" s="136">
        <f t="shared" si="209"/>
        <v>4</v>
      </c>
      <c r="E4603" s="136">
        <f t="shared" si="211"/>
        <v>22</v>
      </c>
      <c r="F4603" s="137" t="s">
        <v>24</v>
      </c>
      <c r="G4603" s="128" t="str">
        <f>VLOOKUP(source[[#This Row],[lending_product_transform]],[3]Mapping!$B$4:$C$37,2,0)</f>
        <v>[Cake] - Cashloan</v>
      </c>
      <c r="H4603" s="128" t="str">
        <f>VLOOKUP(source[[#This Row],[lending_product_transform]],[3]Mapping!$B$3:$D$37,3,0)</f>
        <v>cashloan</v>
      </c>
      <c r="I4603" s="143">
        <v>35810703</v>
      </c>
    </row>
    <row r="4604" spans="1:9" x14ac:dyDescent="0.2">
      <c r="A4604" s="134">
        <v>45679</v>
      </c>
      <c r="B4604" s="135">
        <f>YEAR(source[[#This Row],[report_date]])</f>
        <v>2025</v>
      </c>
      <c r="C4604" s="128">
        <f t="shared" si="210"/>
        <v>1</v>
      </c>
      <c r="D4604" s="136">
        <f t="shared" si="209"/>
        <v>4</v>
      </c>
      <c r="E4604" s="136">
        <f t="shared" si="211"/>
        <v>22</v>
      </c>
      <c r="F4604" s="137" t="s">
        <v>24</v>
      </c>
      <c r="G4604" s="128" t="str">
        <f>VLOOKUP(source[[#This Row],[lending_product_transform]],[3]Mapping!$B$4:$C$37,2,0)</f>
        <v>[Cake] - Cashloan</v>
      </c>
      <c r="H4604" s="128" t="str">
        <f>VLOOKUP(source[[#This Row],[lending_product_transform]],[3]Mapping!$B$3:$D$37,3,0)</f>
        <v>cashloan</v>
      </c>
      <c r="I4604" s="143">
        <v>6524720000</v>
      </c>
    </row>
    <row r="4605" spans="1:9" x14ac:dyDescent="0.2">
      <c r="A4605" s="134">
        <v>45679</v>
      </c>
      <c r="B4605" s="135">
        <f>YEAR(source[[#This Row],[report_date]])</f>
        <v>2025</v>
      </c>
      <c r="C4605" s="128">
        <f t="shared" si="210"/>
        <v>1</v>
      </c>
      <c r="D4605" s="136">
        <f t="shared" si="209"/>
        <v>4</v>
      </c>
      <c r="E4605" s="136">
        <f t="shared" si="211"/>
        <v>22</v>
      </c>
      <c r="F4605" s="137" t="s">
        <v>24</v>
      </c>
      <c r="G4605" s="128" t="str">
        <f>VLOOKUP(source[[#This Row],[lending_product_transform]],[3]Mapping!$B$4:$C$37,2,0)</f>
        <v>[Cake] - Cashloan</v>
      </c>
      <c r="H4605" s="128" t="str">
        <f>VLOOKUP(source[[#This Row],[lending_product_transform]],[3]Mapping!$B$3:$D$37,3,0)</f>
        <v>cashloan</v>
      </c>
      <c r="I4605" s="143">
        <v>5568500000</v>
      </c>
    </row>
    <row r="4606" spans="1:9" x14ac:dyDescent="0.2">
      <c r="A4606" s="134">
        <v>45679</v>
      </c>
      <c r="B4606" s="135">
        <f>YEAR(source[[#This Row],[report_date]])</f>
        <v>2025</v>
      </c>
      <c r="C4606" s="128">
        <f t="shared" si="210"/>
        <v>1</v>
      </c>
      <c r="D4606" s="136">
        <f t="shared" si="209"/>
        <v>4</v>
      </c>
      <c r="E4606" s="136">
        <f t="shared" si="211"/>
        <v>22</v>
      </c>
      <c r="F4606" s="137" t="s">
        <v>24</v>
      </c>
      <c r="G4606" s="128" t="str">
        <f>VLOOKUP(source[[#This Row],[lending_product_transform]],[3]Mapping!$B$4:$C$37,2,0)</f>
        <v>[Cake] - Cashloan</v>
      </c>
      <c r="H4606" s="128" t="str">
        <f>VLOOKUP(source[[#This Row],[lending_product_transform]],[3]Mapping!$B$3:$D$37,3,0)</f>
        <v>cashloan</v>
      </c>
      <c r="I4606" s="143">
        <v>81000000</v>
      </c>
    </row>
    <row r="4607" spans="1:9" x14ac:dyDescent="0.2">
      <c r="A4607" s="134">
        <v>45679</v>
      </c>
      <c r="B4607" s="135">
        <f>YEAR(source[[#This Row],[report_date]])</f>
        <v>2025</v>
      </c>
      <c r="C4607" s="128">
        <f t="shared" si="210"/>
        <v>1</v>
      </c>
      <c r="D4607" s="136">
        <f t="shared" si="209"/>
        <v>4</v>
      </c>
      <c r="E4607" s="136">
        <f t="shared" si="211"/>
        <v>22</v>
      </c>
      <c r="F4607" s="137" t="s">
        <v>24</v>
      </c>
      <c r="G4607" s="128" t="str">
        <f>VLOOKUP(source[[#This Row],[lending_product_transform]],[3]Mapping!$B$4:$C$37,2,0)</f>
        <v>[Cake] - Cashloan</v>
      </c>
      <c r="H4607" s="128" t="str">
        <f>VLOOKUP(source[[#This Row],[lending_product_transform]],[3]Mapping!$B$3:$D$37,3,0)</f>
        <v>cashloan</v>
      </c>
      <c r="I4607" s="143">
        <v>0</v>
      </c>
    </row>
    <row r="4608" spans="1:9" x14ac:dyDescent="0.2">
      <c r="A4608" s="134">
        <v>45679</v>
      </c>
      <c r="B4608" s="135">
        <f>YEAR(source[[#This Row],[report_date]])</f>
        <v>2025</v>
      </c>
      <c r="C4608" s="128">
        <f t="shared" si="210"/>
        <v>1</v>
      </c>
      <c r="D4608" s="136">
        <f t="shared" si="209"/>
        <v>4</v>
      </c>
      <c r="E4608" s="136">
        <f t="shared" si="211"/>
        <v>22</v>
      </c>
      <c r="F4608" s="137" t="s">
        <v>24</v>
      </c>
      <c r="G4608" s="128" t="str">
        <f>VLOOKUP(source[[#This Row],[lending_product_transform]],[3]Mapping!$B$4:$C$37,2,0)</f>
        <v>[Cake] - Cashloan</v>
      </c>
      <c r="H4608" s="128" t="str">
        <f>VLOOKUP(source[[#This Row],[lending_product_transform]],[3]Mapping!$B$3:$D$37,3,0)</f>
        <v>cashloan</v>
      </c>
      <c r="I4608" s="143">
        <v>153322750</v>
      </c>
    </row>
    <row r="4609" spans="1:9" x14ac:dyDescent="0.2">
      <c r="A4609" s="134">
        <v>45679</v>
      </c>
      <c r="B4609" s="135">
        <f>YEAR(source[[#This Row],[report_date]])</f>
        <v>2025</v>
      </c>
      <c r="C4609" s="128">
        <f t="shared" si="210"/>
        <v>1</v>
      </c>
      <c r="D4609" s="136">
        <f t="shared" si="209"/>
        <v>4</v>
      </c>
      <c r="E4609" s="136">
        <f t="shared" si="211"/>
        <v>22</v>
      </c>
      <c r="F4609" s="137" t="s">
        <v>24</v>
      </c>
      <c r="G4609" s="128" t="str">
        <f>VLOOKUP(source[[#This Row],[lending_product_transform]],[3]Mapping!$B$4:$C$37,2,0)</f>
        <v>[Cake] - Cashloan</v>
      </c>
      <c r="H4609" s="128" t="str">
        <f>VLOOKUP(source[[#This Row],[lending_product_transform]],[3]Mapping!$B$3:$D$37,3,0)</f>
        <v>cashloan</v>
      </c>
      <c r="I4609" s="143">
        <v>838880000</v>
      </c>
    </row>
    <row r="4610" spans="1:9" x14ac:dyDescent="0.2">
      <c r="A4610" s="134">
        <v>45679</v>
      </c>
      <c r="B4610" s="135">
        <f>YEAR(source[[#This Row],[report_date]])</f>
        <v>2025</v>
      </c>
      <c r="C4610" s="128">
        <f t="shared" si="210"/>
        <v>1</v>
      </c>
      <c r="D4610" s="136">
        <f t="shared" si="209"/>
        <v>4</v>
      </c>
      <c r="E4610" s="136">
        <f t="shared" si="211"/>
        <v>22</v>
      </c>
      <c r="F4610" s="137" t="s">
        <v>24</v>
      </c>
      <c r="G4610" s="128" t="str">
        <f>VLOOKUP(source[[#This Row],[lending_product_transform]],[3]Mapping!$B$4:$C$37,2,0)</f>
        <v>[Cake] - Cashloan</v>
      </c>
      <c r="H4610" s="128" t="str">
        <f>VLOOKUP(source[[#This Row],[lending_product_transform]],[3]Mapping!$B$3:$D$37,3,0)</f>
        <v>cashloan</v>
      </c>
      <c r="I4610" s="143">
        <v>113400000</v>
      </c>
    </row>
    <row r="4611" spans="1:9" x14ac:dyDescent="0.2">
      <c r="A4611" s="134">
        <v>45679</v>
      </c>
      <c r="B4611" s="135">
        <f>YEAR(source[[#This Row],[report_date]])</f>
        <v>2025</v>
      </c>
      <c r="C4611" s="128">
        <f t="shared" si="210"/>
        <v>1</v>
      </c>
      <c r="D4611" s="136">
        <f t="shared" ref="D4611:D4674" si="212">WEEKNUM(A4611,2)</f>
        <v>4</v>
      </c>
      <c r="E4611" s="136">
        <f t="shared" si="211"/>
        <v>22</v>
      </c>
      <c r="F4611" s="137" t="s">
        <v>24</v>
      </c>
      <c r="G4611" s="128" t="str">
        <f>VLOOKUP(source[[#This Row],[lending_product_transform]],[3]Mapping!$B$4:$C$37,2,0)</f>
        <v>[Cake] - Cashloan</v>
      </c>
      <c r="H4611" s="128" t="str">
        <f>VLOOKUP(source[[#This Row],[lending_product_transform]],[3]Mapping!$B$3:$D$37,3,0)</f>
        <v>cashloan</v>
      </c>
      <c r="I4611" s="143">
        <v>3762009671</v>
      </c>
    </row>
    <row r="4612" spans="1:9" x14ac:dyDescent="0.2">
      <c r="A4612" s="134">
        <v>45679</v>
      </c>
      <c r="B4612" s="135">
        <f>YEAR(source[[#This Row],[report_date]])</f>
        <v>2025</v>
      </c>
      <c r="C4612" s="128">
        <f t="shared" si="210"/>
        <v>1</v>
      </c>
      <c r="D4612" s="136">
        <f t="shared" si="212"/>
        <v>4</v>
      </c>
      <c r="E4612" s="136">
        <f t="shared" si="211"/>
        <v>22</v>
      </c>
      <c r="F4612" s="137" t="s">
        <v>24</v>
      </c>
      <c r="G4612" s="128" t="str">
        <f>VLOOKUP(source[[#This Row],[lending_product_transform]],[3]Mapping!$B$4:$C$37,2,0)</f>
        <v>[Cake] - Cashloan</v>
      </c>
      <c r="H4612" s="128" t="str">
        <f>VLOOKUP(source[[#This Row],[lending_product_transform]],[3]Mapping!$B$3:$D$37,3,0)</f>
        <v>cashloan</v>
      </c>
      <c r="I4612" s="143">
        <v>7062690000</v>
      </c>
    </row>
    <row r="4613" spans="1:9" x14ac:dyDescent="0.2">
      <c r="A4613" s="134">
        <v>45679</v>
      </c>
      <c r="B4613" s="135">
        <f>YEAR(source[[#This Row],[report_date]])</f>
        <v>2025</v>
      </c>
      <c r="C4613" s="128">
        <f t="shared" si="210"/>
        <v>1</v>
      </c>
      <c r="D4613" s="136">
        <f t="shared" si="212"/>
        <v>4</v>
      </c>
      <c r="E4613" s="136">
        <f t="shared" si="211"/>
        <v>22</v>
      </c>
      <c r="F4613" s="137" t="s">
        <v>24</v>
      </c>
      <c r="G4613" s="128" t="str">
        <f>VLOOKUP(source[[#This Row],[lending_product_transform]],[3]Mapping!$B$4:$C$37,2,0)</f>
        <v>[Cake] - Cashloan</v>
      </c>
      <c r="H4613" s="128" t="str">
        <f>VLOOKUP(source[[#This Row],[lending_product_transform]],[3]Mapping!$B$3:$D$37,3,0)</f>
        <v>cashloan</v>
      </c>
      <c r="I4613" s="143">
        <v>323985250</v>
      </c>
    </row>
    <row r="4614" spans="1:9" x14ac:dyDescent="0.2">
      <c r="A4614" s="134">
        <v>45680</v>
      </c>
      <c r="B4614" s="135">
        <f>YEAR(source[[#This Row],[report_date]])</f>
        <v>2025</v>
      </c>
      <c r="C4614" s="128">
        <f t="shared" si="210"/>
        <v>1</v>
      </c>
      <c r="D4614" s="136">
        <f t="shared" si="212"/>
        <v>4</v>
      </c>
      <c r="E4614" s="136">
        <f t="shared" si="211"/>
        <v>23</v>
      </c>
      <c r="F4614" s="137" t="s">
        <v>24</v>
      </c>
      <c r="G4614" s="128" t="str">
        <f>VLOOKUP(source[[#This Row],[lending_product_transform]],[3]Mapping!$B$4:$C$37,2,0)</f>
        <v>[Cake] - Cashloan</v>
      </c>
      <c r="H4614" s="128" t="str">
        <f>VLOOKUP(source[[#This Row],[lending_product_transform]],[3]Mapping!$B$3:$D$37,3,0)</f>
        <v>cashloan</v>
      </c>
      <c r="I4614" s="143">
        <v>28330519</v>
      </c>
    </row>
    <row r="4615" spans="1:9" x14ac:dyDescent="0.2">
      <c r="A4615" s="134">
        <v>45680</v>
      </c>
      <c r="B4615" s="135">
        <f>YEAR(source[[#This Row],[report_date]])</f>
        <v>2025</v>
      </c>
      <c r="C4615" s="128">
        <f t="shared" si="210"/>
        <v>1</v>
      </c>
      <c r="D4615" s="136">
        <f t="shared" si="212"/>
        <v>4</v>
      </c>
      <c r="E4615" s="136">
        <f t="shared" si="211"/>
        <v>23</v>
      </c>
      <c r="F4615" s="137" t="s">
        <v>24</v>
      </c>
      <c r="G4615" s="128" t="str">
        <f>VLOOKUP(source[[#This Row],[lending_product_transform]],[3]Mapping!$B$4:$C$37,2,0)</f>
        <v>[Cake] - Cashloan</v>
      </c>
      <c r="H4615" s="128" t="str">
        <f>VLOOKUP(source[[#This Row],[lending_product_transform]],[3]Mapping!$B$3:$D$37,3,0)</f>
        <v>cashloan</v>
      </c>
      <c r="I4615" s="143">
        <v>0</v>
      </c>
    </row>
    <row r="4616" spans="1:9" x14ac:dyDescent="0.2">
      <c r="A4616" s="134">
        <v>45680</v>
      </c>
      <c r="B4616" s="135">
        <f>YEAR(source[[#This Row],[report_date]])</f>
        <v>2025</v>
      </c>
      <c r="C4616" s="128">
        <f t="shared" si="210"/>
        <v>1</v>
      </c>
      <c r="D4616" s="136">
        <f t="shared" si="212"/>
        <v>4</v>
      </c>
      <c r="E4616" s="136">
        <f t="shared" si="211"/>
        <v>23</v>
      </c>
      <c r="F4616" s="137" t="s">
        <v>24</v>
      </c>
      <c r="G4616" s="128" t="str">
        <f>VLOOKUP(source[[#This Row],[lending_product_transform]],[3]Mapping!$B$4:$C$37,2,0)</f>
        <v>[Cake] - Cashloan</v>
      </c>
      <c r="H4616" s="128" t="str">
        <f>VLOOKUP(source[[#This Row],[lending_product_transform]],[3]Mapping!$B$3:$D$37,3,0)</f>
        <v>cashloan</v>
      </c>
      <c r="I4616" s="143">
        <v>567070000</v>
      </c>
    </row>
    <row r="4617" spans="1:9" x14ac:dyDescent="0.2">
      <c r="A4617" s="134">
        <v>45680</v>
      </c>
      <c r="B4617" s="135">
        <f>YEAR(source[[#This Row],[report_date]])</f>
        <v>2025</v>
      </c>
      <c r="C4617" s="128">
        <f t="shared" si="210"/>
        <v>1</v>
      </c>
      <c r="D4617" s="136">
        <f t="shared" si="212"/>
        <v>4</v>
      </c>
      <c r="E4617" s="136">
        <f t="shared" si="211"/>
        <v>23</v>
      </c>
      <c r="F4617" s="137" t="s">
        <v>24</v>
      </c>
      <c r="G4617" s="128" t="str">
        <f>VLOOKUP(source[[#This Row],[lending_product_transform]],[3]Mapping!$B$4:$C$37,2,0)</f>
        <v>[Cake] - Cashloan</v>
      </c>
      <c r="H4617" s="128" t="str">
        <f>VLOOKUP(source[[#This Row],[lending_product_transform]],[3]Mapping!$B$3:$D$37,3,0)</f>
        <v>cashloan</v>
      </c>
      <c r="I4617" s="143">
        <v>49000000</v>
      </c>
    </row>
    <row r="4618" spans="1:9" x14ac:dyDescent="0.2">
      <c r="A4618" s="134">
        <v>45680</v>
      </c>
      <c r="B4618" s="135">
        <f>YEAR(source[[#This Row],[report_date]])</f>
        <v>2025</v>
      </c>
      <c r="C4618" s="128">
        <f t="shared" si="210"/>
        <v>1</v>
      </c>
      <c r="D4618" s="136">
        <f t="shared" si="212"/>
        <v>4</v>
      </c>
      <c r="E4618" s="136">
        <f t="shared" si="211"/>
        <v>23</v>
      </c>
      <c r="F4618" s="137" t="s">
        <v>24</v>
      </c>
      <c r="G4618" s="128" t="str">
        <f>VLOOKUP(source[[#This Row],[lending_product_transform]],[3]Mapping!$B$4:$C$37,2,0)</f>
        <v>[Cake] - Cashloan</v>
      </c>
      <c r="H4618" s="128" t="str">
        <f>VLOOKUP(source[[#This Row],[lending_product_transform]],[3]Mapping!$B$3:$D$37,3,0)</f>
        <v>cashloan</v>
      </c>
      <c r="I4618" s="143">
        <v>328435139</v>
      </c>
    </row>
    <row r="4619" spans="1:9" x14ac:dyDescent="0.2">
      <c r="A4619" s="134">
        <v>45680</v>
      </c>
      <c r="B4619" s="135">
        <f>YEAR(source[[#This Row],[report_date]])</f>
        <v>2025</v>
      </c>
      <c r="C4619" s="128">
        <f t="shared" si="210"/>
        <v>1</v>
      </c>
      <c r="D4619" s="136">
        <f t="shared" si="212"/>
        <v>4</v>
      </c>
      <c r="E4619" s="136">
        <f t="shared" si="211"/>
        <v>23</v>
      </c>
      <c r="F4619" s="137" t="s">
        <v>24</v>
      </c>
      <c r="G4619" s="128" t="str">
        <f>VLOOKUP(source[[#This Row],[lending_product_transform]],[3]Mapping!$B$4:$C$37,2,0)</f>
        <v>[Cake] - Cashloan</v>
      </c>
      <c r="H4619" s="128" t="str">
        <f>VLOOKUP(source[[#This Row],[lending_product_transform]],[3]Mapping!$B$3:$D$37,3,0)</f>
        <v>cashloan</v>
      </c>
      <c r="I4619" s="143">
        <v>163815940</v>
      </c>
    </row>
    <row r="4620" spans="1:9" x14ac:dyDescent="0.2">
      <c r="A4620" s="134">
        <v>45680</v>
      </c>
      <c r="B4620" s="135">
        <f>YEAR(source[[#This Row],[report_date]])</f>
        <v>2025</v>
      </c>
      <c r="C4620" s="128">
        <f t="shared" si="210"/>
        <v>1</v>
      </c>
      <c r="D4620" s="136">
        <f t="shared" si="212"/>
        <v>4</v>
      </c>
      <c r="E4620" s="136">
        <f t="shared" si="211"/>
        <v>23</v>
      </c>
      <c r="F4620" s="137" t="s">
        <v>24</v>
      </c>
      <c r="G4620" s="128" t="str">
        <f>VLOOKUP(source[[#This Row],[lending_product_transform]],[3]Mapping!$B$4:$C$37,2,0)</f>
        <v>[Cake] - Cashloan</v>
      </c>
      <c r="H4620" s="128" t="str">
        <f>VLOOKUP(source[[#This Row],[lending_product_transform]],[3]Mapping!$B$3:$D$37,3,0)</f>
        <v>cashloan</v>
      </c>
      <c r="I4620" s="143">
        <v>5643500000</v>
      </c>
    </row>
    <row r="4621" spans="1:9" x14ac:dyDescent="0.2">
      <c r="A4621" s="134">
        <v>45680</v>
      </c>
      <c r="B4621" s="135">
        <f>YEAR(source[[#This Row],[report_date]])</f>
        <v>2025</v>
      </c>
      <c r="C4621" s="128">
        <f t="shared" si="210"/>
        <v>1</v>
      </c>
      <c r="D4621" s="136">
        <f t="shared" si="212"/>
        <v>4</v>
      </c>
      <c r="E4621" s="136">
        <f t="shared" si="211"/>
        <v>23</v>
      </c>
      <c r="F4621" s="137" t="s">
        <v>24</v>
      </c>
      <c r="G4621" s="128" t="str">
        <f>VLOOKUP(source[[#This Row],[lending_product_transform]],[3]Mapping!$B$4:$C$37,2,0)</f>
        <v>[Cake] - Cashloan</v>
      </c>
      <c r="H4621" s="128" t="str">
        <f>VLOOKUP(source[[#This Row],[lending_product_transform]],[3]Mapping!$B$3:$D$37,3,0)</f>
        <v>cashloan</v>
      </c>
      <c r="I4621" s="143">
        <v>815410000</v>
      </c>
    </row>
    <row r="4622" spans="1:9" x14ac:dyDescent="0.2">
      <c r="A4622" s="134">
        <v>45680</v>
      </c>
      <c r="B4622" s="135">
        <f>YEAR(source[[#This Row],[report_date]])</f>
        <v>2025</v>
      </c>
      <c r="C4622" s="128">
        <f t="shared" si="210"/>
        <v>1</v>
      </c>
      <c r="D4622" s="136">
        <f t="shared" si="212"/>
        <v>4</v>
      </c>
      <c r="E4622" s="136">
        <f t="shared" si="211"/>
        <v>23</v>
      </c>
      <c r="F4622" s="137" t="s">
        <v>24</v>
      </c>
      <c r="G4622" s="128" t="str">
        <f>VLOOKUP(source[[#This Row],[lending_product_transform]],[3]Mapping!$B$4:$C$37,2,0)</f>
        <v>[Cake] - Cashloan</v>
      </c>
      <c r="H4622" s="128" t="str">
        <f>VLOOKUP(source[[#This Row],[lending_product_transform]],[3]Mapping!$B$3:$D$37,3,0)</f>
        <v>cashloan</v>
      </c>
      <c r="I4622" s="143">
        <v>299915800</v>
      </c>
    </row>
    <row r="4623" spans="1:9" x14ac:dyDescent="0.2">
      <c r="A4623" s="134">
        <v>45680</v>
      </c>
      <c r="B4623" s="135">
        <f>YEAR(source[[#This Row],[report_date]])</f>
        <v>2025</v>
      </c>
      <c r="C4623" s="128">
        <f t="shared" si="210"/>
        <v>1</v>
      </c>
      <c r="D4623" s="136">
        <f t="shared" si="212"/>
        <v>4</v>
      </c>
      <c r="E4623" s="136">
        <f t="shared" si="211"/>
        <v>23</v>
      </c>
      <c r="F4623" s="137" t="s">
        <v>24</v>
      </c>
      <c r="G4623" s="128" t="str">
        <f>VLOOKUP(source[[#This Row],[lending_product_transform]],[3]Mapping!$B$4:$C$37,2,0)</f>
        <v>[Cake] - Cashloan</v>
      </c>
      <c r="H4623" s="128" t="str">
        <f>VLOOKUP(source[[#This Row],[lending_product_transform]],[3]Mapping!$B$3:$D$37,3,0)</f>
        <v>cashloan</v>
      </c>
      <c r="I4623" s="143">
        <v>3738497348</v>
      </c>
    </row>
    <row r="4624" spans="1:9" x14ac:dyDescent="0.2">
      <c r="A4624" s="134">
        <v>45680</v>
      </c>
      <c r="B4624" s="135">
        <f>YEAR(source[[#This Row],[report_date]])</f>
        <v>2025</v>
      </c>
      <c r="C4624" s="128">
        <f t="shared" si="210"/>
        <v>1</v>
      </c>
      <c r="D4624" s="136">
        <f t="shared" si="212"/>
        <v>4</v>
      </c>
      <c r="E4624" s="136">
        <f t="shared" si="211"/>
        <v>23</v>
      </c>
      <c r="F4624" s="137" t="s">
        <v>24</v>
      </c>
      <c r="G4624" s="128" t="str">
        <f>VLOOKUP(source[[#This Row],[lending_product_transform]],[3]Mapping!$B$4:$C$37,2,0)</f>
        <v>[Cake] - Cashloan</v>
      </c>
      <c r="H4624" s="128" t="str">
        <f>VLOOKUP(source[[#This Row],[lending_product_transform]],[3]Mapping!$B$3:$D$37,3,0)</f>
        <v>cashloan</v>
      </c>
      <c r="I4624" s="143">
        <v>0</v>
      </c>
    </row>
    <row r="4625" spans="1:9" x14ac:dyDescent="0.2">
      <c r="A4625" s="134">
        <v>45680</v>
      </c>
      <c r="B4625" s="135">
        <f>YEAR(source[[#This Row],[report_date]])</f>
        <v>2025</v>
      </c>
      <c r="C4625" s="128">
        <f t="shared" si="210"/>
        <v>1</v>
      </c>
      <c r="D4625" s="136">
        <f t="shared" si="212"/>
        <v>4</v>
      </c>
      <c r="E4625" s="136">
        <f t="shared" si="211"/>
        <v>23</v>
      </c>
      <c r="F4625" s="137" t="s">
        <v>24</v>
      </c>
      <c r="G4625" s="128" t="str">
        <f>VLOOKUP(source[[#This Row],[lending_product_transform]],[3]Mapping!$B$4:$C$37,2,0)</f>
        <v>[Cake] - Cashloan</v>
      </c>
      <c r="H4625" s="128" t="str">
        <f>VLOOKUP(source[[#This Row],[lending_product_transform]],[3]Mapping!$B$3:$D$37,3,0)</f>
        <v>cashloan</v>
      </c>
      <c r="I4625" s="143">
        <v>0</v>
      </c>
    </row>
    <row r="4626" spans="1:9" x14ac:dyDescent="0.2">
      <c r="A4626" s="134">
        <v>45680</v>
      </c>
      <c r="B4626" s="135">
        <f>YEAR(source[[#This Row],[report_date]])</f>
        <v>2025</v>
      </c>
      <c r="C4626" s="128">
        <f t="shared" si="210"/>
        <v>1</v>
      </c>
      <c r="D4626" s="136">
        <f t="shared" si="212"/>
        <v>4</v>
      </c>
      <c r="E4626" s="136">
        <f t="shared" si="211"/>
        <v>23</v>
      </c>
      <c r="F4626" s="137" t="s">
        <v>24</v>
      </c>
      <c r="G4626" s="128" t="str">
        <f>VLOOKUP(source[[#This Row],[lending_product_transform]],[3]Mapping!$B$4:$C$37,2,0)</f>
        <v>[Cake] - Cashloan</v>
      </c>
      <c r="H4626" s="128" t="str">
        <f>VLOOKUP(source[[#This Row],[lending_product_transform]],[3]Mapping!$B$3:$D$37,3,0)</f>
        <v>cashloan</v>
      </c>
      <c r="I4626" s="143">
        <v>26250000</v>
      </c>
    </row>
    <row r="4627" spans="1:9" x14ac:dyDescent="0.2">
      <c r="A4627" s="134">
        <v>45680</v>
      </c>
      <c r="B4627" s="135">
        <f>YEAR(source[[#This Row],[report_date]])</f>
        <v>2025</v>
      </c>
      <c r="C4627" s="128">
        <f t="shared" si="210"/>
        <v>1</v>
      </c>
      <c r="D4627" s="136">
        <f t="shared" si="212"/>
        <v>4</v>
      </c>
      <c r="E4627" s="136">
        <f t="shared" si="211"/>
        <v>23</v>
      </c>
      <c r="F4627" s="137" t="s">
        <v>24</v>
      </c>
      <c r="G4627" s="128" t="str">
        <f>VLOOKUP(source[[#This Row],[lending_product_transform]],[3]Mapping!$B$4:$C$37,2,0)</f>
        <v>[Cake] - Cashloan</v>
      </c>
      <c r="H4627" s="128" t="str">
        <f>VLOOKUP(source[[#This Row],[lending_product_transform]],[3]Mapping!$B$3:$D$37,3,0)</f>
        <v>cashloan</v>
      </c>
      <c r="I4627" s="143">
        <v>0</v>
      </c>
    </row>
    <row r="4628" spans="1:9" x14ac:dyDescent="0.2">
      <c r="A4628" s="134">
        <v>45680</v>
      </c>
      <c r="B4628" s="135">
        <f>YEAR(source[[#This Row],[report_date]])</f>
        <v>2025</v>
      </c>
      <c r="C4628" s="128">
        <f t="shared" si="210"/>
        <v>1</v>
      </c>
      <c r="D4628" s="136">
        <f t="shared" si="212"/>
        <v>4</v>
      </c>
      <c r="E4628" s="136">
        <f t="shared" si="211"/>
        <v>23</v>
      </c>
      <c r="F4628" s="137" t="s">
        <v>24</v>
      </c>
      <c r="G4628" s="128" t="str">
        <f>VLOOKUP(source[[#This Row],[lending_product_transform]],[3]Mapping!$B$4:$C$37,2,0)</f>
        <v>[Cake] - Cashloan</v>
      </c>
      <c r="H4628" s="128" t="str">
        <f>VLOOKUP(source[[#This Row],[lending_product_transform]],[3]Mapping!$B$3:$D$37,3,0)</f>
        <v>cashloan</v>
      </c>
      <c r="I4628" s="143">
        <v>100000</v>
      </c>
    </row>
    <row r="4629" spans="1:9" x14ac:dyDescent="0.2">
      <c r="A4629" s="134">
        <v>45680</v>
      </c>
      <c r="B4629" s="135">
        <f>YEAR(source[[#This Row],[report_date]])</f>
        <v>2025</v>
      </c>
      <c r="C4629" s="128">
        <f t="shared" si="210"/>
        <v>1</v>
      </c>
      <c r="D4629" s="136">
        <f t="shared" si="212"/>
        <v>4</v>
      </c>
      <c r="E4629" s="136">
        <f t="shared" si="211"/>
        <v>23</v>
      </c>
      <c r="F4629" s="137" t="s">
        <v>24</v>
      </c>
      <c r="G4629" s="128" t="str">
        <f>VLOOKUP(source[[#This Row],[lending_product_transform]],[3]Mapping!$B$4:$C$37,2,0)</f>
        <v>[Cake] - Cashloan</v>
      </c>
      <c r="H4629" s="128" t="str">
        <f>VLOOKUP(source[[#This Row],[lending_product_transform]],[3]Mapping!$B$3:$D$37,3,0)</f>
        <v>cashloan</v>
      </c>
      <c r="I4629" s="143">
        <v>0</v>
      </c>
    </row>
    <row r="4630" spans="1:9" x14ac:dyDescent="0.2">
      <c r="A4630" s="134">
        <v>45680</v>
      </c>
      <c r="B4630" s="135">
        <f>YEAR(source[[#This Row],[report_date]])</f>
        <v>2025</v>
      </c>
      <c r="C4630" s="128">
        <f t="shared" ref="C4630:C4693" si="213">MONTH(A4630)</f>
        <v>1</v>
      </c>
      <c r="D4630" s="136">
        <f t="shared" si="212"/>
        <v>4</v>
      </c>
      <c r="E4630" s="136">
        <f t="shared" ref="E4630:E4693" si="214">DAY(A4630)</f>
        <v>23</v>
      </c>
      <c r="F4630" s="137" t="s">
        <v>24</v>
      </c>
      <c r="G4630" s="128" t="str">
        <f>VLOOKUP(source[[#This Row],[lending_product_transform]],[3]Mapping!$B$4:$C$37,2,0)</f>
        <v>[Cake] - Cashloan</v>
      </c>
      <c r="H4630" s="128" t="str">
        <f>VLOOKUP(source[[#This Row],[lending_product_transform]],[3]Mapping!$B$3:$D$37,3,0)</f>
        <v>cashloan</v>
      </c>
      <c r="I4630" s="143">
        <v>5780070000</v>
      </c>
    </row>
    <row r="4631" spans="1:9" x14ac:dyDescent="0.2">
      <c r="A4631" s="134">
        <v>45680</v>
      </c>
      <c r="B4631" s="135">
        <f>YEAR(source[[#This Row],[report_date]])</f>
        <v>2025</v>
      </c>
      <c r="C4631" s="128">
        <f t="shared" si="213"/>
        <v>1</v>
      </c>
      <c r="D4631" s="136">
        <f t="shared" si="212"/>
        <v>4</v>
      </c>
      <c r="E4631" s="136">
        <f t="shared" si="214"/>
        <v>23</v>
      </c>
      <c r="F4631" s="137" t="s">
        <v>24</v>
      </c>
      <c r="G4631" s="128" t="str">
        <f>VLOOKUP(source[[#This Row],[lending_product_transform]],[3]Mapping!$B$4:$C$37,2,0)</f>
        <v>[Cake] - Cashloan</v>
      </c>
      <c r="H4631" s="128" t="str">
        <f>VLOOKUP(source[[#This Row],[lending_product_transform]],[3]Mapping!$B$3:$D$37,3,0)</f>
        <v>cashloan</v>
      </c>
      <c r="I4631" s="143">
        <v>6304910000</v>
      </c>
    </row>
    <row r="4632" spans="1:9" x14ac:dyDescent="0.2">
      <c r="A4632" s="134">
        <v>45680</v>
      </c>
      <c r="B4632" s="135">
        <f>YEAR(source[[#This Row],[report_date]])</f>
        <v>2025</v>
      </c>
      <c r="C4632" s="128">
        <f t="shared" si="213"/>
        <v>1</v>
      </c>
      <c r="D4632" s="136">
        <f t="shared" si="212"/>
        <v>4</v>
      </c>
      <c r="E4632" s="136">
        <f t="shared" si="214"/>
        <v>23</v>
      </c>
      <c r="F4632" s="137" t="s">
        <v>24</v>
      </c>
      <c r="G4632" s="128" t="str">
        <f>VLOOKUP(source[[#This Row],[lending_product_transform]],[3]Mapping!$B$4:$C$37,2,0)</f>
        <v>[Cake] - Cashloan</v>
      </c>
      <c r="H4632" s="128" t="str">
        <f>VLOOKUP(source[[#This Row],[lending_product_transform]],[3]Mapping!$B$3:$D$37,3,0)</f>
        <v>cashloan</v>
      </c>
      <c r="I4632" s="143">
        <v>0</v>
      </c>
    </row>
    <row r="4633" spans="1:9" x14ac:dyDescent="0.2">
      <c r="A4633" s="134">
        <v>45681</v>
      </c>
      <c r="B4633" s="135">
        <f>YEAR(source[[#This Row],[report_date]])</f>
        <v>2025</v>
      </c>
      <c r="C4633" s="128">
        <f t="shared" si="213"/>
        <v>1</v>
      </c>
      <c r="D4633" s="136">
        <f t="shared" si="212"/>
        <v>4</v>
      </c>
      <c r="E4633" s="136">
        <f t="shared" si="214"/>
        <v>24</v>
      </c>
      <c r="F4633" s="137" t="s">
        <v>24</v>
      </c>
      <c r="G4633" s="128" t="str">
        <f>VLOOKUP(source[[#This Row],[lending_product_transform]],[3]Mapping!$B$4:$C$37,2,0)</f>
        <v>[Cake] - Cashloan</v>
      </c>
      <c r="H4633" s="128" t="str">
        <f>VLOOKUP(source[[#This Row],[lending_product_transform]],[3]Mapping!$B$3:$D$37,3,0)</f>
        <v>cashloan</v>
      </c>
      <c r="I4633" s="143">
        <v>7129810000</v>
      </c>
    </row>
    <row r="4634" spans="1:9" x14ac:dyDescent="0.2">
      <c r="A4634" s="134">
        <v>45681</v>
      </c>
      <c r="B4634" s="135">
        <f>YEAR(source[[#This Row],[report_date]])</f>
        <v>2025</v>
      </c>
      <c r="C4634" s="128">
        <f t="shared" si="213"/>
        <v>1</v>
      </c>
      <c r="D4634" s="136">
        <f t="shared" si="212"/>
        <v>4</v>
      </c>
      <c r="E4634" s="136">
        <f t="shared" si="214"/>
        <v>24</v>
      </c>
      <c r="F4634" s="137" t="s">
        <v>24</v>
      </c>
      <c r="G4634" s="128" t="str">
        <f>VLOOKUP(source[[#This Row],[lending_product_transform]],[3]Mapping!$B$4:$C$37,2,0)</f>
        <v>[Cake] - Cashloan</v>
      </c>
      <c r="H4634" s="128" t="str">
        <f>VLOOKUP(source[[#This Row],[lending_product_transform]],[3]Mapping!$B$3:$D$37,3,0)</f>
        <v>cashloan</v>
      </c>
      <c r="I4634" s="143">
        <v>150797109</v>
      </c>
    </row>
    <row r="4635" spans="1:9" x14ac:dyDescent="0.2">
      <c r="A4635" s="134">
        <v>45681</v>
      </c>
      <c r="B4635" s="135">
        <f>YEAR(source[[#This Row],[report_date]])</f>
        <v>2025</v>
      </c>
      <c r="C4635" s="128">
        <f t="shared" si="213"/>
        <v>1</v>
      </c>
      <c r="D4635" s="136">
        <f t="shared" si="212"/>
        <v>4</v>
      </c>
      <c r="E4635" s="136">
        <f t="shared" si="214"/>
        <v>24</v>
      </c>
      <c r="F4635" s="137" t="s">
        <v>24</v>
      </c>
      <c r="G4635" s="128" t="str">
        <f>VLOOKUP(source[[#This Row],[lending_product_transform]],[3]Mapping!$B$4:$C$37,2,0)</f>
        <v>[Cake] - Cashloan</v>
      </c>
      <c r="H4635" s="128" t="str">
        <f>VLOOKUP(source[[#This Row],[lending_product_transform]],[3]Mapping!$B$3:$D$37,3,0)</f>
        <v>cashloan</v>
      </c>
      <c r="I4635" s="143">
        <v>643090000</v>
      </c>
    </row>
    <row r="4636" spans="1:9" x14ac:dyDescent="0.2">
      <c r="A4636" s="134">
        <v>45681</v>
      </c>
      <c r="B4636" s="135">
        <f>YEAR(source[[#This Row],[report_date]])</f>
        <v>2025</v>
      </c>
      <c r="C4636" s="128">
        <f t="shared" si="213"/>
        <v>1</v>
      </c>
      <c r="D4636" s="136">
        <f t="shared" si="212"/>
        <v>4</v>
      </c>
      <c r="E4636" s="136">
        <f t="shared" si="214"/>
        <v>24</v>
      </c>
      <c r="F4636" s="137" t="s">
        <v>24</v>
      </c>
      <c r="G4636" s="128" t="str">
        <f>VLOOKUP(source[[#This Row],[lending_product_transform]],[3]Mapping!$B$4:$C$37,2,0)</f>
        <v>[Cake] - Cashloan</v>
      </c>
      <c r="H4636" s="128" t="str">
        <f>VLOOKUP(source[[#This Row],[lending_product_transform]],[3]Mapping!$B$3:$D$37,3,0)</f>
        <v>cashloan</v>
      </c>
      <c r="I4636" s="143">
        <v>32335979</v>
      </c>
    </row>
    <row r="4637" spans="1:9" x14ac:dyDescent="0.2">
      <c r="A4637" s="134">
        <v>45681</v>
      </c>
      <c r="B4637" s="135">
        <f>YEAR(source[[#This Row],[report_date]])</f>
        <v>2025</v>
      </c>
      <c r="C4637" s="128">
        <f t="shared" si="213"/>
        <v>1</v>
      </c>
      <c r="D4637" s="136">
        <f t="shared" si="212"/>
        <v>4</v>
      </c>
      <c r="E4637" s="136">
        <f t="shared" si="214"/>
        <v>24</v>
      </c>
      <c r="F4637" s="137" t="s">
        <v>24</v>
      </c>
      <c r="G4637" s="128" t="str">
        <f>VLOOKUP(source[[#This Row],[lending_product_transform]],[3]Mapping!$B$4:$C$37,2,0)</f>
        <v>[Cake] - Cashloan</v>
      </c>
      <c r="H4637" s="128" t="str">
        <f>VLOOKUP(source[[#This Row],[lending_product_transform]],[3]Mapping!$B$3:$D$37,3,0)</f>
        <v>cashloan</v>
      </c>
      <c r="I4637" s="143">
        <v>13000000</v>
      </c>
    </row>
    <row r="4638" spans="1:9" x14ac:dyDescent="0.2">
      <c r="A4638" s="134">
        <v>45681</v>
      </c>
      <c r="B4638" s="135">
        <f>YEAR(source[[#This Row],[report_date]])</f>
        <v>2025</v>
      </c>
      <c r="C4638" s="128">
        <f t="shared" si="213"/>
        <v>1</v>
      </c>
      <c r="D4638" s="136">
        <f t="shared" si="212"/>
        <v>4</v>
      </c>
      <c r="E4638" s="136">
        <f t="shared" si="214"/>
        <v>24</v>
      </c>
      <c r="F4638" s="137" t="s">
        <v>24</v>
      </c>
      <c r="G4638" s="128" t="str">
        <f>VLOOKUP(source[[#This Row],[lending_product_transform]],[3]Mapping!$B$4:$C$37,2,0)</f>
        <v>[Cake] - Cashloan</v>
      </c>
      <c r="H4638" s="128" t="str">
        <f>VLOOKUP(source[[#This Row],[lending_product_transform]],[3]Mapping!$B$3:$D$37,3,0)</f>
        <v>cashloan</v>
      </c>
      <c r="I4638" s="143">
        <v>0</v>
      </c>
    </row>
    <row r="4639" spans="1:9" x14ac:dyDescent="0.2">
      <c r="A4639" s="134">
        <v>45681</v>
      </c>
      <c r="B4639" s="135">
        <f>YEAR(source[[#This Row],[report_date]])</f>
        <v>2025</v>
      </c>
      <c r="C4639" s="128">
        <f t="shared" si="213"/>
        <v>1</v>
      </c>
      <c r="D4639" s="136">
        <f t="shared" si="212"/>
        <v>4</v>
      </c>
      <c r="E4639" s="136">
        <f t="shared" si="214"/>
        <v>24</v>
      </c>
      <c r="F4639" s="137" t="s">
        <v>24</v>
      </c>
      <c r="G4639" s="128" t="str">
        <f>VLOOKUP(source[[#This Row],[lending_product_transform]],[3]Mapping!$B$4:$C$37,2,0)</f>
        <v>[Cake] - Cashloan</v>
      </c>
      <c r="H4639" s="128" t="str">
        <f>VLOOKUP(source[[#This Row],[lending_product_transform]],[3]Mapping!$B$3:$D$37,3,0)</f>
        <v>cashloan</v>
      </c>
      <c r="I4639" s="143">
        <v>310517089</v>
      </c>
    </row>
    <row r="4640" spans="1:9" x14ac:dyDescent="0.2">
      <c r="A4640" s="134">
        <v>45681</v>
      </c>
      <c r="B4640" s="135">
        <f>YEAR(source[[#This Row],[report_date]])</f>
        <v>2025</v>
      </c>
      <c r="C4640" s="128">
        <f t="shared" si="213"/>
        <v>1</v>
      </c>
      <c r="D4640" s="136">
        <f t="shared" si="212"/>
        <v>4</v>
      </c>
      <c r="E4640" s="136">
        <f t="shared" si="214"/>
        <v>24</v>
      </c>
      <c r="F4640" s="137" t="s">
        <v>24</v>
      </c>
      <c r="G4640" s="128" t="str">
        <f>VLOOKUP(source[[#This Row],[lending_product_transform]],[3]Mapping!$B$4:$C$37,2,0)</f>
        <v>[Cake] - Cashloan</v>
      </c>
      <c r="H4640" s="128" t="str">
        <f>VLOOKUP(source[[#This Row],[lending_product_transform]],[3]Mapping!$B$3:$D$37,3,0)</f>
        <v>cashloan</v>
      </c>
      <c r="I4640" s="143">
        <v>6474500000</v>
      </c>
    </row>
    <row r="4641" spans="1:9" x14ac:dyDescent="0.2">
      <c r="A4641" s="134">
        <v>45681</v>
      </c>
      <c r="B4641" s="135">
        <f>YEAR(source[[#This Row],[report_date]])</f>
        <v>2025</v>
      </c>
      <c r="C4641" s="128">
        <f t="shared" si="213"/>
        <v>1</v>
      </c>
      <c r="D4641" s="136">
        <f t="shared" si="212"/>
        <v>4</v>
      </c>
      <c r="E4641" s="136">
        <f t="shared" si="214"/>
        <v>24</v>
      </c>
      <c r="F4641" s="137" t="s">
        <v>24</v>
      </c>
      <c r="G4641" s="128" t="str">
        <f>VLOOKUP(source[[#This Row],[lending_product_transform]],[3]Mapping!$B$4:$C$37,2,0)</f>
        <v>[Cake] - Cashloan</v>
      </c>
      <c r="H4641" s="128" t="str">
        <f>VLOOKUP(source[[#This Row],[lending_product_transform]],[3]Mapping!$B$3:$D$37,3,0)</f>
        <v>cashloan</v>
      </c>
      <c r="I4641" s="143">
        <v>4164157031</v>
      </c>
    </row>
    <row r="4642" spans="1:9" x14ac:dyDescent="0.2">
      <c r="A4642" s="134">
        <v>45681</v>
      </c>
      <c r="B4642" s="135">
        <f>YEAR(source[[#This Row],[report_date]])</f>
        <v>2025</v>
      </c>
      <c r="C4642" s="128">
        <f t="shared" si="213"/>
        <v>1</v>
      </c>
      <c r="D4642" s="136">
        <f t="shared" si="212"/>
        <v>4</v>
      </c>
      <c r="E4642" s="136">
        <f t="shared" si="214"/>
        <v>24</v>
      </c>
      <c r="F4642" s="137" t="s">
        <v>24</v>
      </c>
      <c r="G4642" s="128" t="str">
        <f>VLOOKUP(source[[#This Row],[lending_product_transform]],[3]Mapping!$B$4:$C$37,2,0)</f>
        <v>[Cake] - Cashloan</v>
      </c>
      <c r="H4642" s="128" t="str">
        <f>VLOOKUP(source[[#This Row],[lending_product_transform]],[3]Mapping!$B$3:$D$37,3,0)</f>
        <v>cashloan</v>
      </c>
      <c r="I4642" s="143">
        <v>0</v>
      </c>
    </row>
    <row r="4643" spans="1:9" x14ac:dyDescent="0.2">
      <c r="A4643" s="134">
        <v>45681</v>
      </c>
      <c r="B4643" s="135">
        <f>YEAR(source[[#This Row],[report_date]])</f>
        <v>2025</v>
      </c>
      <c r="C4643" s="128">
        <f t="shared" si="213"/>
        <v>1</v>
      </c>
      <c r="D4643" s="136">
        <f t="shared" si="212"/>
        <v>4</v>
      </c>
      <c r="E4643" s="136">
        <f t="shared" si="214"/>
        <v>24</v>
      </c>
      <c r="F4643" s="137" t="s">
        <v>24</v>
      </c>
      <c r="G4643" s="128" t="str">
        <f>VLOOKUP(source[[#This Row],[lending_product_transform]],[3]Mapping!$B$4:$C$37,2,0)</f>
        <v>[Cake] - Cashloan</v>
      </c>
      <c r="H4643" s="128" t="str">
        <f>VLOOKUP(source[[#This Row],[lending_product_transform]],[3]Mapping!$B$3:$D$37,3,0)</f>
        <v>cashloan</v>
      </c>
      <c r="I4643" s="143">
        <v>54000000</v>
      </c>
    </row>
    <row r="4644" spans="1:9" x14ac:dyDescent="0.2">
      <c r="A4644" s="134">
        <v>45681</v>
      </c>
      <c r="B4644" s="135">
        <f>YEAR(source[[#This Row],[report_date]])</f>
        <v>2025</v>
      </c>
      <c r="C4644" s="128">
        <f t="shared" si="213"/>
        <v>1</v>
      </c>
      <c r="D4644" s="136">
        <f t="shared" si="212"/>
        <v>4</v>
      </c>
      <c r="E4644" s="136">
        <f t="shared" si="214"/>
        <v>24</v>
      </c>
      <c r="F4644" s="137" t="s">
        <v>24</v>
      </c>
      <c r="G4644" s="128" t="str">
        <f>VLOOKUP(source[[#This Row],[lending_product_transform]],[3]Mapping!$B$4:$C$37,2,0)</f>
        <v>[Cake] - Cashloan</v>
      </c>
      <c r="H4644" s="128" t="str">
        <f>VLOOKUP(source[[#This Row],[lending_product_transform]],[3]Mapping!$B$3:$D$37,3,0)</f>
        <v>cashloan</v>
      </c>
      <c r="I4644" s="143">
        <v>0</v>
      </c>
    </row>
    <row r="4645" spans="1:9" x14ac:dyDescent="0.2">
      <c r="A4645" s="134">
        <v>45681</v>
      </c>
      <c r="B4645" s="135">
        <f>YEAR(source[[#This Row],[report_date]])</f>
        <v>2025</v>
      </c>
      <c r="C4645" s="128">
        <f t="shared" si="213"/>
        <v>1</v>
      </c>
      <c r="D4645" s="136">
        <f t="shared" si="212"/>
        <v>4</v>
      </c>
      <c r="E4645" s="136">
        <f t="shared" si="214"/>
        <v>24</v>
      </c>
      <c r="F4645" s="137" t="s">
        <v>24</v>
      </c>
      <c r="G4645" s="128" t="str">
        <f>VLOOKUP(source[[#This Row],[lending_product_transform]],[3]Mapping!$B$4:$C$37,2,0)</f>
        <v>[Cake] - Cashloan</v>
      </c>
      <c r="H4645" s="128" t="str">
        <f>VLOOKUP(source[[#This Row],[lending_product_transform]],[3]Mapping!$B$3:$D$37,3,0)</f>
        <v>cashloan</v>
      </c>
      <c r="I4645" s="143">
        <v>796920000</v>
      </c>
    </row>
    <row r="4646" spans="1:9" x14ac:dyDescent="0.2">
      <c r="A4646" s="134">
        <v>45681</v>
      </c>
      <c r="B4646" s="135">
        <f>YEAR(source[[#This Row],[report_date]])</f>
        <v>2025</v>
      </c>
      <c r="C4646" s="128">
        <f t="shared" si="213"/>
        <v>1</v>
      </c>
      <c r="D4646" s="136">
        <f t="shared" si="212"/>
        <v>4</v>
      </c>
      <c r="E4646" s="136">
        <f t="shared" si="214"/>
        <v>24</v>
      </c>
      <c r="F4646" s="137" t="s">
        <v>24</v>
      </c>
      <c r="G4646" s="128" t="str">
        <f>VLOOKUP(source[[#This Row],[lending_product_transform]],[3]Mapping!$B$4:$C$37,2,0)</f>
        <v>[Cake] - Cashloan</v>
      </c>
      <c r="H4646" s="128" t="str">
        <f>VLOOKUP(source[[#This Row],[lending_product_transform]],[3]Mapping!$B$3:$D$37,3,0)</f>
        <v>cashloan</v>
      </c>
      <c r="I4646" s="143">
        <v>0</v>
      </c>
    </row>
    <row r="4647" spans="1:9" x14ac:dyDescent="0.2">
      <c r="A4647" s="134">
        <v>45681</v>
      </c>
      <c r="B4647" s="135">
        <f>YEAR(source[[#This Row],[report_date]])</f>
        <v>2025</v>
      </c>
      <c r="C4647" s="128">
        <f t="shared" si="213"/>
        <v>1</v>
      </c>
      <c r="D4647" s="136">
        <f t="shared" si="212"/>
        <v>4</v>
      </c>
      <c r="E4647" s="136">
        <f t="shared" si="214"/>
        <v>24</v>
      </c>
      <c r="F4647" s="137" t="s">
        <v>24</v>
      </c>
      <c r="G4647" s="128" t="str">
        <f>VLOOKUP(source[[#This Row],[lending_product_transform]],[3]Mapping!$B$4:$C$37,2,0)</f>
        <v>[Cake] - Cashloan</v>
      </c>
      <c r="H4647" s="128" t="str">
        <f>VLOOKUP(source[[#This Row],[lending_product_transform]],[3]Mapping!$B$3:$D$37,3,0)</f>
        <v>cashloan</v>
      </c>
      <c r="I4647" s="143">
        <v>0</v>
      </c>
    </row>
    <row r="4648" spans="1:9" x14ac:dyDescent="0.2">
      <c r="A4648" s="134">
        <v>45681</v>
      </c>
      <c r="B4648" s="135">
        <f>YEAR(source[[#This Row],[report_date]])</f>
        <v>2025</v>
      </c>
      <c r="C4648" s="128">
        <f t="shared" si="213"/>
        <v>1</v>
      </c>
      <c r="D4648" s="136">
        <f t="shared" si="212"/>
        <v>4</v>
      </c>
      <c r="E4648" s="136">
        <f t="shared" si="214"/>
        <v>24</v>
      </c>
      <c r="F4648" s="137" t="s">
        <v>24</v>
      </c>
      <c r="G4648" s="128" t="str">
        <f>VLOOKUP(source[[#This Row],[lending_product_transform]],[3]Mapping!$B$4:$C$37,2,0)</f>
        <v>[Cake] - Cashloan</v>
      </c>
      <c r="H4648" s="128" t="str">
        <f>VLOOKUP(source[[#This Row],[lending_product_transform]],[3]Mapping!$B$3:$D$37,3,0)</f>
        <v>cashloan</v>
      </c>
      <c r="I4648" s="143">
        <v>0</v>
      </c>
    </row>
    <row r="4649" spans="1:9" x14ac:dyDescent="0.2">
      <c r="A4649" s="134">
        <v>45681</v>
      </c>
      <c r="B4649" s="135">
        <f>YEAR(source[[#This Row],[report_date]])</f>
        <v>2025</v>
      </c>
      <c r="C4649" s="128">
        <f t="shared" si="213"/>
        <v>1</v>
      </c>
      <c r="D4649" s="136">
        <f t="shared" si="212"/>
        <v>4</v>
      </c>
      <c r="E4649" s="136">
        <f t="shared" si="214"/>
        <v>24</v>
      </c>
      <c r="F4649" s="137" t="s">
        <v>24</v>
      </c>
      <c r="G4649" s="128" t="str">
        <f>VLOOKUP(source[[#This Row],[lending_product_transform]],[3]Mapping!$B$4:$C$37,2,0)</f>
        <v>[Cake] - Cashloan</v>
      </c>
      <c r="H4649" s="128" t="str">
        <f>VLOOKUP(source[[#This Row],[lending_product_transform]],[3]Mapping!$B$3:$D$37,3,0)</f>
        <v>cashloan</v>
      </c>
      <c r="I4649" s="143">
        <v>5792770000</v>
      </c>
    </row>
    <row r="4650" spans="1:9" x14ac:dyDescent="0.2">
      <c r="A4650" s="134">
        <v>45681</v>
      </c>
      <c r="B4650" s="135">
        <f>YEAR(source[[#This Row],[report_date]])</f>
        <v>2025</v>
      </c>
      <c r="C4650" s="128">
        <f t="shared" si="213"/>
        <v>1</v>
      </c>
      <c r="D4650" s="136">
        <f t="shared" si="212"/>
        <v>4</v>
      </c>
      <c r="E4650" s="136">
        <f t="shared" si="214"/>
        <v>24</v>
      </c>
      <c r="F4650" s="137" t="s">
        <v>24</v>
      </c>
      <c r="G4650" s="128" t="str">
        <f>VLOOKUP(source[[#This Row],[lending_product_transform]],[3]Mapping!$B$4:$C$37,2,0)</f>
        <v>[Cake] - Cashloan</v>
      </c>
      <c r="H4650" s="128" t="str">
        <f>VLOOKUP(source[[#This Row],[lending_product_transform]],[3]Mapping!$B$3:$D$37,3,0)</f>
        <v>cashloan</v>
      </c>
      <c r="I4650" s="143">
        <v>313636668</v>
      </c>
    </row>
    <row r="4651" spans="1:9" x14ac:dyDescent="0.2">
      <c r="A4651" s="134">
        <v>45681</v>
      </c>
      <c r="B4651" s="135">
        <f>YEAR(source[[#This Row],[report_date]])</f>
        <v>2025</v>
      </c>
      <c r="C4651" s="128">
        <f t="shared" si="213"/>
        <v>1</v>
      </c>
      <c r="D4651" s="136">
        <f t="shared" si="212"/>
        <v>4</v>
      </c>
      <c r="E4651" s="136">
        <f t="shared" si="214"/>
        <v>24</v>
      </c>
      <c r="F4651" s="137" t="s">
        <v>24</v>
      </c>
      <c r="G4651" s="128" t="str">
        <f>VLOOKUP(source[[#This Row],[lending_product_transform]],[3]Mapping!$B$4:$C$37,2,0)</f>
        <v>[Cake] - Cashloan</v>
      </c>
      <c r="H4651" s="128" t="str">
        <f>VLOOKUP(source[[#This Row],[lending_product_transform]],[3]Mapping!$B$3:$D$37,3,0)</f>
        <v>cashloan</v>
      </c>
      <c r="I4651" s="143">
        <v>30500000</v>
      </c>
    </row>
    <row r="4652" spans="1:9" x14ac:dyDescent="0.2">
      <c r="A4652" s="134">
        <v>45682</v>
      </c>
      <c r="B4652" s="135">
        <f>YEAR(source[[#This Row],[report_date]])</f>
        <v>2025</v>
      </c>
      <c r="C4652" s="128">
        <f t="shared" si="213"/>
        <v>1</v>
      </c>
      <c r="D4652" s="136">
        <f t="shared" si="212"/>
        <v>4</v>
      </c>
      <c r="E4652" s="136">
        <f t="shared" si="214"/>
        <v>25</v>
      </c>
      <c r="F4652" s="137" t="s">
        <v>24</v>
      </c>
      <c r="G4652" s="128" t="str">
        <f>VLOOKUP(source[[#This Row],[lending_product_transform]],[3]Mapping!$B$4:$C$37,2,0)</f>
        <v>[Cake] - Cashloan</v>
      </c>
      <c r="H4652" s="128" t="str">
        <f>VLOOKUP(source[[#This Row],[lending_product_transform]],[3]Mapping!$B$3:$D$37,3,0)</f>
        <v>cashloan</v>
      </c>
      <c r="I4652" s="143">
        <v>3486369235</v>
      </c>
    </row>
    <row r="4653" spans="1:9" x14ac:dyDescent="0.2">
      <c r="A4653" s="134">
        <v>45682</v>
      </c>
      <c r="B4653" s="135">
        <f>YEAR(source[[#This Row],[report_date]])</f>
        <v>2025</v>
      </c>
      <c r="C4653" s="128">
        <f t="shared" si="213"/>
        <v>1</v>
      </c>
      <c r="D4653" s="136">
        <f t="shared" si="212"/>
        <v>4</v>
      </c>
      <c r="E4653" s="136">
        <f t="shared" si="214"/>
        <v>25</v>
      </c>
      <c r="F4653" s="137" t="s">
        <v>24</v>
      </c>
      <c r="G4653" s="128" t="str">
        <f>VLOOKUP(source[[#This Row],[lending_product_transform]],[3]Mapping!$B$4:$C$37,2,0)</f>
        <v>[Cake] - Cashloan</v>
      </c>
      <c r="H4653" s="128" t="str">
        <f>VLOOKUP(source[[#This Row],[lending_product_transform]],[3]Mapping!$B$3:$D$37,3,0)</f>
        <v>cashloan</v>
      </c>
      <c r="I4653" s="143">
        <v>5536990000</v>
      </c>
    </row>
    <row r="4654" spans="1:9" x14ac:dyDescent="0.2">
      <c r="A4654" s="134">
        <v>45682</v>
      </c>
      <c r="B4654" s="135">
        <f>YEAR(source[[#This Row],[report_date]])</f>
        <v>2025</v>
      </c>
      <c r="C4654" s="128">
        <f t="shared" si="213"/>
        <v>1</v>
      </c>
      <c r="D4654" s="136">
        <f t="shared" si="212"/>
        <v>4</v>
      </c>
      <c r="E4654" s="136">
        <f t="shared" si="214"/>
        <v>25</v>
      </c>
      <c r="F4654" s="137" t="s">
        <v>24</v>
      </c>
      <c r="G4654" s="128" t="str">
        <f>VLOOKUP(source[[#This Row],[lending_product_transform]],[3]Mapping!$B$4:$C$37,2,0)</f>
        <v>[Cake] - Cashloan</v>
      </c>
      <c r="H4654" s="128" t="str">
        <f>VLOOKUP(source[[#This Row],[lending_product_transform]],[3]Mapping!$B$3:$D$37,3,0)</f>
        <v>cashloan</v>
      </c>
      <c r="I4654" s="143">
        <v>0</v>
      </c>
    </row>
    <row r="4655" spans="1:9" x14ac:dyDescent="0.2">
      <c r="A4655" s="134">
        <v>45682</v>
      </c>
      <c r="B4655" s="135">
        <f>YEAR(source[[#This Row],[report_date]])</f>
        <v>2025</v>
      </c>
      <c r="C4655" s="128">
        <f t="shared" si="213"/>
        <v>1</v>
      </c>
      <c r="D4655" s="136">
        <f t="shared" si="212"/>
        <v>4</v>
      </c>
      <c r="E4655" s="136">
        <f t="shared" si="214"/>
        <v>25</v>
      </c>
      <c r="F4655" s="137" t="s">
        <v>24</v>
      </c>
      <c r="G4655" s="128" t="str">
        <f>VLOOKUP(source[[#This Row],[lending_product_transform]],[3]Mapping!$B$4:$C$37,2,0)</f>
        <v>[Cake] - Cashloan</v>
      </c>
      <c r="H4655" s="128" t="str">
        <f>VLOOKUP(source[[#This Row],[lending_product_transform]],[3]Mapping!$B$3:$D$37,3,0)</f>
        <v>cashloan</v>
      </c>
      <c r="I4655" s="143">
        <v>21913922</v>
      </c>
    </row>
    <row r="4656" spans="1:9" x14ac:dyDescent="0.2">
      <c r="A4656" s="134">
        <v>45682</v>
      </c>
      <c r="B4656" s="135">
        <f>YEAR(source[[#This Row],[report_date]])</f>
        <v>2025</v>
      </c>
      <c r="C4656" s="128">
        <f t="shared" si="213"/>
        <v>1</v>
      </c>
      <c r="D4656" s="136">
        <f t="shared" si="212"/>
        <v>4</v>
      </c>
      <c r="E4656" s="136">
        <f t="shared" si="214"/>
        <v>25</v>
      </c>
      <c r="F4656" s="137" t="s">
        <v>24</v>
      </c>
      <c r="G4656" s="128" t="str">
        <f>VLOOKUP(source[[#This Row],[lending_product_transform]],[3]Mapping!$B$4:$C$37,2,0)</f>
        <v>[Cake] - Cashloan</v>
      </c>
      <c r="H4656" s="128" t="str">
        <f>VLOOKUP(source[[#This Row],[lending_product_transform]],[3]Mapping!$B$3:$D$37,3,0)</f>
        <v>cashloan</v>
      </c>
      <c r="I4656" s="143">
        <v>0</v>
      </c>
    </row>
    <row r="4657" spans="1:9" x14ac:dyDescent="0.2">
      <c r="A4657" s="134">
        <v>45682</v>
      </c>
      <c r="B4657" s="135">
        <f>YEAR(source[[#This Row],[report_date]])</f>
        <v>2025</v>
      </c>
      <c r="C4657" s="128">
        <f t="shared" si="213"/>
        <v>1</v>
      </c>
      <c r="D4657" s="136">
        <f t="shared" si="212"/>
        <v>4</v>
      </c>
      <c r="E4657" s="136">
        <f t="shared" si="214"/>
        <v>25</v>
      </c>
      <c r="F4657" s="137" t="s">
        <v>24</v>
      </c>
      <c r="G4657" s="128" t="str">
        <f>VLOOKUP(source[[#This Row],[lending_product_transform]],[3]Mapping!$B$4:$C$37,2,0)</f>
        <v>[Cake] - Cashloan</v>
      </c>
      <c r="H4657" s="128" t="str">
        <f>VLOOKUP(source[[#This Row],[lending_product_transform]],[3]Mapping!$B$3:$D$37,3,0)</f>
        <v>cashloan</v>
      </c>
      <c r="I4657" s="143">
        <v>592790000</v>
      </c>
    </row>
    <row r="4658" spans="1:9" x14ac:dyDescent="0.2">
      <c r="A4658" s="134">
        <v>45682</v>
      </c>
      <c r="B4658" s="135">
        <f>YEAR(source[[#This Row],[report_date]])</f>
        <v>2025</v>
      </c>
      <c r="C4658" s="128">
        <f t="shared" si="213"/>
        <v>1</v>
      </c>
      <c r="D4658" s="136">
        <f t="shared" si="212"/>
        <v>4</v>
      </c>
      <c r="E4658" s="136">
        <f t="shared" si="214"/>
        <v>25</v>
      </c>
      <c r="F4658" s="137" t="s">
        <v>24</v>
      </c>
      <c r="G4658" s="128" t="str">
        <f>VLOOKUP(source[[#This Row],[lending_product_transform]],[3]Mapping!$B$4:$C$37,2,0)</f>
        <v>[Cake] - Cashloan</v>
      </c>
      <c r="H4658" s="128" t="str">
        <f>VLOOKUP(source[[#This Row],[lending_product_transform]],[3]Mapping!$B$3:$D$37,3,0)</f>
        <v>cashloan</v>
      </c>
      <c r="I4658" s="143">
        <v>0</v>
      </c>
    </row>
    <row r="4659" spans="1:9" x14ac:dyDescent="0.2">
      <c r="A4659" s="134">
        <v>45682</v>
      </c>
      <c r="B4659" s="135">
        <f>YEAR(source[[#This Row],[report_date]])</f>
        <v>2025</v>
      </c>
      <c r="C4659" s="128">
        <f t="shared" si="213"/>
        <v>1</v>
      </c>
      <c r="D4659" s="136">
        <f t="shared" si="212"/>
        <v>4</v>
      </c>
      <c r="E4659" s="136">
        <f t="shared" si="214"/>
        <v>25</v>
      </c>
      <c r="F4659" s="137" t="s">
        <v>24</v>
      </c>
      <c r="G4659" s="128" t="str">
        <f>VLOOKUP(source[[#This Row],[lending_product_transform]],[3]Mapping!$B$4:$C$37,2,0)</f>
        <v>[Cake] - Cashloan</v>
      </c>
      <c r="H4659" s="128" t="str">
        <f>VLOOKUP(source[[#This Row],[lending_product_transform]],[3]Mapping!$B$3:$D$37,3,0)</f>
        <v>cashloan</v>
      </c>
      <c r="I4659" s="143">
        <v>0</v>
      </c>
    </row>
    <row r="4660" spans="1:9" x14ac:dyDescent="0.2">
      <c r="A4660" s="134">
        <v>45682</v>
      </c>
      <c r="B4660" s="135">
        <f>YEAR(source[[#This Row],[report_date]])</f>
        <v>2025</v>
      </c>
      <c r="C4660" s="128">
        <f t="shared" si="213"/>
        <v>1</v>
      </c>
      <c r="D4660" s="136">
        <f t="shared" si="212"/>
        <v>4</v>
      </c>
      <c r="E4660" s="136">
        <f t="shared" si="214"/>
        <v>25</v>
      </c>
      <c r="F4660" s="137" t="s">
        <v>24</v>
      </c>
      <c r="G4660" s="128" t="str">
        <f>VLOOKUP(source[[#This Row],[lending_product_transform]],[3]Mapping!$B$4:$C$37,2,0)</f>
        <v>[Cake] - Cashloan</v>
      </c>
      <c r="H4660" s="128" t="str">
        <f>VLOOKUP(source[[#This Row],[lending_product_transform]],[3]Mapping!$B$3:$D$37,3,0)</f>
        <v>cashloan</v>
      </c>
      <c r="I4660" s="143">
        <v>332035119</v>
      </c>
    </row>
    <row r="4661" spans="1:9" x14ac:dyDescent="0.2">
      <c r="A4661" s="134">
        <v>45682</v>
      </c>
      <c r="B4661" s="135">
        <f>YEAR(source[[#This Row],[report_date]])</f>
        <v>2025</v>
      </c>
      <c r="C4661" s="128">
        <f t="shared" si="213"/>
        <v>1</v>
      </c>
      <c r="D4661" s="136">
        <f t="shared" si="212"/>
        <v>4</v>
      </c>
      <c r="E4661" s="136">
        <f t="shared" si="214"/>
        <v>25</v>
      </c>
      <c r="F4661" s="137" t="s">
        <v>24</v>
      </c>
      <c r="G4661" s="128" t="str">
        <f>VLOOKUP(source[[#This Row],[lending_product_transform]],[3]Mapping!$B$4:$C$37,2,0)</f>
        <v>[Cake] - Cashloan</v>
      </c>
      <c r="H4661" s="128" t="str">
        <f>VLOOKUP(source[[#This Row],[lending_product_transform]],[3]Mapping!$B$3:$D$37,3,0)</f>
        <v>cashloan</v>
      </c>
      <c r="I4661" s="143">
        <v>309799480</v>
      </c>
    </row>
    <row r="4662" spans="1:9" x14ac:dyDescent="0.2">
      <c r="A4662" s="134">
        <v>45682</v>
      </c>
      <c r="B4662" s="135">
        <f>YEAR(source[[#This Row],[report_date]])</f>
        <v>2025</v>
      </c>
      <c r="C4662" s="128">
        <f t="shared" si="213"/>
        <v>1</v>
      </c>
      <c r="D4662" s="136">
        <f t="shared" si="212"/>
        <v>4</v>
      </c>
      <c r="E4662" s="136">
        <f t="shared" si="214"/>
        <v>25</v>
      </c>
      <c r="F4662" s="137" t="s">
        <v>24</v>
      </c>
      <c r="G4662" s="128" t="str">
        <f>VLOOKUP(source[[#This Row],[lending_product_transform]],[3]Mapping!$B$4:$C$37,2,0)</f>
        <v>[Cake] - Cashloan</v>
      </c>
      <c r="H4662" s="128" t="str">
        <f>VLOOKUP(source[[#This Row],[lending_product_transform]],[3]Mapping!$B$3:$D$37,3,0)</f>
        <v>cashloan</v>
      </c>
      <c r="I4662" s="143">
        <v>0</v>
      </c>
    </row>
    <row r="4663" spans="1:9" x14ac:dyDescent="0.2">
      <c r="A4663" s="134">
        <v>45682</v>
      </c>
      <c r="B4663" s="135">
        <f>YEAR(source[[#This Row],[report_date]])</f>
        <v>2025</v>
      </c>
      <c r="C4663" s="128">
        <f t="shared" si="213"/>
        <v>1</v>
      </c>
      <c r="D4663" s="136">
        <f t="shared" si="212"/>
        <v>4</v>
      </c>
      <c r="E4663" s="136">
        <f t="shared" si="214"/>
        <v>25</v>
      </c>
      <c r="F4663" s="137" t="s">
        <v>24</v>
      </c>
      <c r="G4663" s="128" t="str">
        <f>VLOOKUP(source[[#This Row],[lending_product_transform]],[3]Mapping!$B$4:$C$37,2,0)</f>
        <v>[Cake] - Cashloan</v>
      </c>
      <c r="H4663" s="128" t="str">
        <f>VLOOKUP(source[[#This Row],[lending_product_transform]],[3]Mapping!$B$3:$D$37,3,0)</f>
        <v>cashloan</v>
      </c>
      <c r="I4663" s="143">
        <v>4232100000</v>
      </c>
    </row>
    <row r="4664" spans="1:9" x14ac:dyDescent="0.2">
      <c r="A4664" s="134">
        <v>45682</v>
      </c>
      <c r="B4664" s="135">
        <f>YEAR(source[[#This Row],[report_date]])</f>
        <v>2025</v>
      </c>
      <c r="C4664" s="128">
        <f t="shared" si="213"/>
        <v>1</v>
      </c>
      <c r="D4664" s="136">
        <f t="shared" si="212"/>
        <v>4</v>
      </c>
      <c r="E4664" s="136">
        <f t="shared" si="214"/>
        <v>25</v>
      </c>
      <c r="F4664" s="137" t="s">
        <v>24</v>
      </c>
      <c r="G4664" s="128" t="str">
        <f>VLOOKUP(source[[#This Row],[lending_product_transform]],[3]Mapping!$B$4:$C$37,2,0)</f>
        <v>[Cake] - Cashloan</v>
      </c>
      <c r="H4664" s="128" t="str">
        <f>VLOOKUP(source[[#This Row],[lending_product_transform]],[3]Mapping!$B$3:$D$37,3,0)</f>
        <v>cashloan</v>
      </c>
      <c r="I4664" s="143">
        <v>313890000</v>
      </c>
    </row>
    <row r="4665" spans="1:9" x14ac:dyDescent="0.2">
      <c r="A4665" s="134">
        <v>45682</v>
      </c>
      <c r="B4665" s="135">
        <f>YEAR(source[[#This Row],[report_date]])</f>
        <v>2025</v>
      </c>
      <c r="C4665" s="128">
        <f t="shared" si="213"/>
        <v>1</v>
      </c>
      <c r="D4665" s="136">
        <f t="shared" si="212"/>
        <v>4</v>
      </c>
      <c r="E4665" s="136">
        <f t="shared" si="214"/>
        <v>25</v>
      </c>
      <c r="F4665" s="137" t="s">
        <v>24</v>
      </c>
      <c r="G4665" s="128" t="str">
        <f>VLOOKUP(source[[#This Row],[lending_product_transform]],[3]Mapping!$B$4:$C$37,2,0)</f>
        <v>[Cake] - Cashloan</v>
      </c>
      <c r="H4665" s="128" t="str">
        <f>VLOOKUP(source[[#This Row],[lending_product_transform]],[3]Mapping!$B$3:$D$37,3,0)</f>
        <v>cashloan</v>
      </c>
      <c r="I4665" s="143">
        <v>0</v>
      </c>
    </row>
    <row r="4666" spans="1:9" x14ac:dyDescent="0.2">
      <c r="A4666" s="134">
        <v>45682</v>
      </c>
      <c r="B4666" s="135">
        <f>YEAR(source[[#This Row],[report_date]])</f>
        <v>2025</v>
      </c>
      <c r="C4666" s="128">
        <f t="shared" si="213"/>
        <v>1</v>
      </c>
      <c r="D4666" s="136">
        <f t="shared" si="212"/>
        <v>4</v>
      </c>
      <c r="E4666" s="136">
        <f t="shared" si="214"/>
        <v>25</v>
      </c>
      <c r="F4666" s="137" t="s">
        <v>24</v>
      </c>
      <c r="G4666" s="128" t="str">
        <f>VLOOKUP(source[[#This Row],[lending_product_transform]],[3]Mapping!$B$4:$C$37,2,0)</f>
        <v>[Cake] - Cashloan</v>
      </c>
      <c r="H4666" s="128" t="str">
        <f>VLOOKUP(source[[#This Row],[lending_product_transform]],[3]Mapping!$B$3:$D$37,3,0)</f>
        <v>cashloan</v>
      </c>
      <c r="I4666" s="143">
        <v>52000000</v>
      </c>
    </row>
    <row r="4667" spans="1:9" x14ac:dyDescent="0.2">
      <c r="A4667" s="134">
        <v>45682</v>
      </c>
      <c r="B4667" s="135">
        <f>YEAR(source[[#This Row],[report_date]])</f>
        <v>2025</v>
      </c>
      <c r="C4667" s="128">
        <f t="shared" si="213"/>
        <v>1</v>
      </c>
      <c r="D4667" s="136">
        <f t="shared" si="212"/>
        <v>4</v>
      </c>
      <c r="E4667" s="136">
        <f t="shared" si="214"/>
        <v>25</v>
      </c>
      <c r="F4667" s="137" t="s">
        <v>24</v>
      </c>
      <c r="G4667" s="128" t="str">
        <f>VLOOKUP(source[[#This Row],[lending_product_transform]],[3]Mapping!$B$4:$C$37,2,0)</f>
        <v>[Cake] - Cashloan</v>
      </c>
      <c r="H4667" s="128" t="str">
        <f>VLOOKUP(source[[#This Row],[lending_product_transform]],[3]Mapping!$B$3:$D$37,3,0)</f>
        <v>cashloan</v>
      </c>
      <c r="I4667" s="143">
        <v>0</v>
      </c>
    </row>
    <row r="4668" spans="1:9" x14ac:dyDescent="0.2">
      <c r="A4668" s="134">
        <v>45682</v>
      </c>
      <c r="B4668" s="135">
        <f>YEAR(source[[#This Row],[report_date]])</f>
        <v>2025</v>
      </c>
      <c r="C4668" s="128">
        <f t="shared" si="213"/>
        <v>1</v>
      </c>
      <c r="D4668" s="136">
        <f t="shared" si="212"/>
        <v>4</v>
      </c>
      <c r="E4668" s="136">
        <f t="shared" si="214"/>
        <v>25</v>
      </c>
      <c r="F4668" s="137" t="s">
        <v>24</v>
      </c>
      <c r="G4668" s="128" t="str">
        <f>VLOOKUP(source[[#This Row],[lending_product_transform]],[3]Mapping!$B$4:$C$37,2,0)</f>
        <v>[Cake] - Cashloan</v>
      </c>
      <c r="H4668" s="128" t="str">
        <f>VLOOKUP(source[[#This Row],[lending_product_transform]],[3]Mapping!$B$3:$D$37,3,0)</f>
        <v>cashloan</v>
      </c>
      <c r="I4668" s="143">
        <v>153476807</v>
      </c>
    </row>
    <row r="4669" spans="1:9" x14ac:dyDescent="0.2">
      <c r="A4669" s="134">
        <v>45682</v>
      </c>
      <c r="B4669" s="135">
        <f>YEAR(source[[#This Row],[report_date]])</f>
        <v>2025</v>
      </c>
      <c r="C4669" s="128">
        <f t="shared" si="213"/>
        <v>1</v>
      </c>
      <c r="D4669" s="136">
        <f t="shared" si="212"/>
        <v>4</v>
      </c>
      <c r="E4669" s="136">
        <f t="shared" si="214"/>
        <v>25</v>
      </c>
      <c r="F4669" s="137" t="s">
        <v>24</v>
      </c>
      <c r="G4669" s="128" t="str">
        <f>VLOOKUP(source[[#This Row],[lending_product_transform]],[3]Mapping!$B$4:$C$37,2,0)</f>
        <v>[Cake] - Cashloan</v>
      </c>
      <c r="H4669" s="128" t="str">
        <f>VLOOKUP(source[[#This Row],[lending_product_transform]],[3]Mapping!$B$3:$D$37,3,0)</f>
        <v>cashloan</v>
      </c>
      <c r="I4669" s="143">
        <v>16800000</v>
      </c>
    </row>
    <row r="4670" spans="1:9" x14ac:dyDescent="0.2">
      <c r="A4670" s="134">
        <v>45682</v>
      </c>
      <c r="B4670" s="135">
        <f>YEAR(source[[#This Row],[report_date]])</f>
        <v>2025</v>
      </c>
      <c r="C4670" s="128">
        <f t="shared" si="213"/>
        <v>1</v>
      </c>
      <c r="D4670" s="136">
        <f t="shared" si="212"/>
        <v>4</v>
      </c>
      <c r="E4670" s="136">
        <f t="shared" si="214"/>
        <v>25</v>
      </c>
      <c r="F4670" s="137" t="s">
        <v>24</v>
      </c>
      <c r="G4670" s="128" t="str">
        <f>VLOOKUP(source[[#This Row],[lending_product_transform]],[3]Mapping!$B$4:$C$37,2,0)</f>
        <v>[Cake] - Cashloan</v>
      </c>
      <c r="H4670" s="128" t="str">
        <f>VLOOKUP(source[[#This Row],[lending_product_transform]],[3]Mapping!$B$3:$D$37,3,0)</f>
        <v>cashloan</v>
      </c>
      <c r="I4670" s="143">
        <v>5594500000</v>
      </c>
    </row>
    <row r="4671" spans="1:9" x14ac:dyDescent="0.2">
      <c r="A4671" s="134">
        <v>45683</v>
      </c>
      <c r="B4671" s="135">
        <f>YEAR(source[[#This Row],[report_date]])</f>
        <v>2025</v>
      </c>
      <c r="C4671" s="128">
        <f t="shared" si="213"/>
        <v>1</v>
      </c>
      <c r="D4671" s="136">
        <f t="shared" si="212"/>
        <v>4</v>
      </c>
      <c r="E4671" s="136">
        <f t="shared" si="214"/>
        <v>26</v>
      </c>
      <c r="F4671" s="137" t="s">
        <v>24</v>
      </c>
      <c r="G4671" s="128" t="str">
        <f>VLOOKUP(source[[#This Row],[lending_product_transform]],[3]Mapping!$B$4:$C$37,2,0)</f>
        <v>[Cake] - Cashloan</v>
      </c>
      <c r="H4671" s="128" t="str">
        <f>VLOOKUP(source[[#This Row],[lending_product_transform]],[3]Mapping!$B$3:$D$37,3,0)</f>
        <v>cashloan</v>
      </c>
      <c r="I4671" s="143">
        <v>0</v>
      </c>
    </row>
    <row r="4672" spans="1:9" x14ac:dyDescent="0.2">
      <c r="A4672" s="134">
        <v>45683</v>
      </c>
      <c r="B4672" s="135">
        <f>YEAR(source[[#This Row],[report_date]])</f>
        <v>2025</v>
      </c>
      <c r="C4672" s="128">
        <f t="shared" si="213"/>
        <v>1</v>
      </c>
      <c r="D4672" s="136">
        <f t="shared" si="212"/>
        <v>4</v>
      </c>
      <c r="E4672" s="136">
        <f t="shared" si="214"/>
        <v>26</v>
      </c>
      <c r="F4672" s="137" t="s">
        <v>24</v>
      </c>
      <c r="G4672" s="128" t="str">
        <f>VLOOKUP(source[[#This Row],[lending_product_transform]],[3]Mapping!$B$4:$C$37,2,0)</f>
        <v>[Cake] - Cashloan</v>
      </c>
      <c r="H4672" s="128" t="str">
        <f>VLOOKUP(source[[#This Row],[lending_product_transform]],[3]Mapping!$B$3:$D$37,3,0)</f>
        <v>cashloan</v>
      </c>
      <c r="I4672" s="143">
        <v>0</v>
      </c>
    </row>
    <row r="4673" spans="1:9" x14ac:dyDescent="0.2">
      <c r="A4673" s="134">
        <v>45683</v>
      </c>
      <c r="B4673" s="135">
        <f>YEAR(source[[#This Row],[report_date]])</f>
        <v>2025</v>
      </c>
      <c r="C4673" s="128">
        <f t="shared" si="213"/>
        <v>1</v>
      </c>
      <c r="D4673" s="136">
        <f t="shared" si="212"/>
        <v>4</v>
      </c>
      <c r="E4673" s="136">
        <f t="shared" si="214"/>
        <v>26</v>
      </c>
      <c r="F4673" s="137" t="s">
        <v>24</v>
      </c>
      <c r="G4673" s="128" t="str">
        <f>VLOOKUP(source[[#This Row],[lending_product_transform]],[3]Mapping!$B$4:$C$37,2,0)</f>
        <v>[Cake] - Cashloan</v>
      </c>
      <c r="H4673" s="128" t="str">
        <f>VLOOKUP(source[[#This Row],[lending_product_transform]],[3]Mapping!$B$3:$D$37,3,0)</f>
        <v>cashloan</v>
      </c>
      <c r="I4673" s="143">
        <v>227040000</v>
      </c>
    </row>
    <row r="4674" spans="1:9" x14ac:dyDescent="0.2">
      <c r="A4674" s="134">
        <v>45683</v>
      </c>
      <c r="B4674" s="135">
        <f>YEAR(source[[#This Row],[report_date]])</f>
        <v>2025</v>
      </c>
      <c r="C4674" s="128">
        <f t="shared" si="213"/>
        <v>1</v>
      </c>
      <c r="D4674" s="136">
        <f t="shared" si="212"/>
        <v>4</v>
      </c>
      <c r="E4674" s="136">
        <f t="shared" si="214"/>
        <v>26</v>
      </c>
      <c r="F4674" s="137" t="s">
        <v>24</v>
      </c>
      <c r="G4674" s="128" t="str">
        <f>VLOOKUP(source[[#This Row],[lending_product_transform]],[3]Mapping!$B$4:$C$37,2,0)</f>
        <v>[Cake] - Cashloan</v>
      </c>
      <c r="H4674" s="128" t="str">
        <f>VLOOKUP(source[[#This Row],[lending_product_transform]],[3]Mapping!$B$3:$D$37,3,0)</f>
        <v>cashloan</v>
      </c>
      <c r="I4674" s="143">
        <v>0</v>
      </c>
    </row>
    <row r="4675" spans="1:9" x14ac:dyDescent="0.2">
      <c r="A4675" s="134">
        <v>45683</v>
      </c>
      <c r="B4675" s="135">
        <f>YEAR(source[[#This Row],[report_date]])</f>
        <v>2025</v>
      </c>
      <c r="C4675" s="128">
        <f t="shared" si="213"/>
        <v>1</v>
      </c>
      <c r="D4675" s="136">
        <f t="shared" ref="D4675:D4738" si="215">WEEKNUM(A4675,2)</f>
        <v>4</v>
      </c>
      <c r="E4675" s="136">
        <f t="shared" si="214"/>
        <v>26</v>
      </c>
      <c r="F4675" s="137" t="s">
        <v>24</v>
      </c>
      <c r="G4675" s="128" t="str">
        <f>VLOOKUP(source[[#This Row],[lending_product_transform]],[3]Mapping!$B$4:$C$37,2,0)</f>
        <v>[Cake] - Cashloan</v>
      </c>
      <c r="H4675" s="128" t="str">
        <f>VLOOKUP(source[[#This Row],[lending_product_transform]],[3]Mapping!$B$3:$D$37,3,0)</f>
        <v>cashloan</v>
      </c>
      <c r="I4675" s="143">
        <v>19861806</v>
      </c>
    </row>
    <row r="4676" spans="1:9" x14ac:dyDescent="0.2">
      <c r="A4676" s="134">
        <v>45683</v>
      </c>
      <c r="B4676" s="135">
        <f>YEAR(source[[#This Row],[report_date]])</f>
        <v>2025</v>
      </c>
      <c r="C4676" s="128">
        <f t="shared" si="213"/>
        <v>1</v>
      </c>
      <c r="D4676" s="136">
        <f t="shared" si="215"/>
        <v>4</v>
      </c>
      <c r="E4676" s="136">
        <f t="shared" si="214"/>
        <v>26</v>
      </c>
      <c r="F4676" s="137" t="s">
        <v>24</v>
      </c>
      <c r="G4676" s="128" t="str">
        <f>VLOOKUP(source[[#This Row],[lending_product_transform]],[3]Mapping!$B$4:$C$37,2,0)</f>
        <v>[Cake] - Cashloan</v>
      </c>
      <c r="H4676" s="128" t="str">
        <f>VLOOKUP(source[[#This Row],[lending_product_transform]],[3]Mapping!$B$3:$D$37,3,0)</f>
        <v>cashloan</v>
      </c>
      <c r="I4676" s="143">
        <v>0</v>
      </c>
    </row>
    <row r="4677" spans="1:9" x14ac:dyDescent="0.2">
      <c r="A4677" s="134">
        <v>45683</v>
      </c>
      <c r="B4677" s="135">
        <f>YEAR(source[[#This Row],[report_date]])</f>
        <v>2025</v>
      </c>
      <c r="C4677" s="128">
        <f t="shared" si="213"/>
        <v>1</v>
      </c>
      <c r="D4677" s="136">
        <f t="shared" si="215"/>
        <v>4</v>
      </c>
      <c r="E4677" s="136">
        <f t="shared" si="214"/>
        <v>26</v>
      </c>
      <c r="F4677" s="137" t="s">
        <v>24</v>
      </c>
      <c r="G4677" s="128" t="str">
        <f>VLOOKUP(source[[#This Row],[lending_product_transform]],[3]Mapping!$B$4:$C$37,2,0)</f>
        <v>[Cake] - Cashloan</v>
      </c>
      <c r="H4677" s="128" t="str">
        <f>VLOOKUP(source[[#This Row],[lending_product_transform]],[3]Mapping!$B$3:$D$37,3,0)</f>
        <v>cashloan</v>
      </c>
      <c r="I4677" s="143">
        <v>126284740</v>
      </c>
    </row>
    <row r="4678" spans="1:9" x14ac:dyDescent="0.2">
      <c r="A4678" s="134">
        <v>45683</v>
      </c>
      <c r="B4678" s="135">
        <f>YEAR(source[[#This Row],[report_date]])</f>
        <v>2025</v>
      </c>
      <c r="C4678" s="128">
        <f t="shared" si="213"/>
        <v>1</v>
      </c>
      <c r="D4678" s="136">
        <f t="shared" si="215"/>
        <v>4</v>
      </c>
      <c r="E4678" s="136">
        <f t="shared" si="214"/>
        <v>26</v>
      </c>
      <c r="F4678" s="137" t="s">
        <v>24</v>
      </c>
      <c r="G4678" s="128" t="str">
        <f>VLOOKUP(source[[#This Row],[lending_product_transform]],[3]Mapping!$B$4:$C$37,2,0)</f>
        <v>[Cake] - Cashloan</v>
      </c>
      <c r="H4678" s="128" t="str">
        <f>VLOOKUP(source[[#This Row],[lending_product_transform]],[3]Mapping!$B$3:$D$37,3,0)</f>
        <v>cashloan</v>
      </c>
      <c r="I4678" s="143">
        <v>0</v>
      </c>
    </row>
    <row r="4679" spans="1:9" x14ac:dyDescent="0.2">
      <c r="A4679" s="134">
        <v>45683</v>
      </c>
      <c r="B4679" s="135">
        <f>YEAR(source[[#This Row],[report_date]])</f>
        <v>2025</v>
      </c>
      <c r="C4679" s="128">
        <f t="shared" si="213"/>
        <v>1</v>
      </c>
      <c r="D4679" s="136">
        <f t="shared" si="215"/>
        <v>4</v>
      </c>
      <c r="E4679" s="136">
        <f t="shared" si="214"/>
        <v>26</v>
      </c>
      <c r="F4679" s="137" t="s">
        <v>24</v>
      </c>
      <c r="G4679" s="128" t="str">
        <f>VLOOKUP(source[[#This Row],[lending_product_transform]],[3]Mapping!$B$4:$C$37,2,0)</f>
        <v>[Cake] - Cashloan</v>
      </c>
      <c r="H4679" s="128" t="str">
        <f>VLOOKUP(source[[#This Row],[lending_product_transform]],[3]Mapping!$B$3:$D$37,3,0)</f>
        <v>cashloan</v>
      </c>
      <c r="I4679" s="143">
        <v>297886962</v>
      </c>
    </row>
    <row r="4680" spans="1:9" x14ac:dyDescent="0.2">
      <c r="A4680" s="134">
        <v>45683</v>
      </c>
      <c r="B4680" s="135">
        <f>YEAR(source[[#This Row],[report_date]])</f>
        <v>2025</v>
      </c>
      <c r="C4680" s="128">
        <f t="shared" si="213"/>
        <v>1</v>
      </c>
      <c r="D4680" s="136">
        <f t="shared" si="215"/>
        <v>4</v>
      </c>
      <c r="E4680" s="136">
        <f t="shared" si="214"/>
        <v>26</v>
      </c>
      <c r="F4680" s="137" t="s">
        <v>24</v>
      </c>
      <c r="G4680" s="128" t="str">
        <f>VLOOKUP(source[[#This Row],[lending_product_transform]],[3]Mapping!$B$4:$C$37,2,0)</f>
        <v>[Cake] - Cashloan</v>
      </c>
      <c r="H4680" s="128" t="str">
        <f>VLOOKUP(source[[#This Row],[lending_product_transform]],[3]Mapping!$B$3:$D$37,3,0)</f>
        <v>cashloan</v>
      </c>
      <c r="I4680" s="143">
        <v>3186290889</v>
      </c>
    </row>
    <row r="4681" spans="1:9" x14ac:dyDescent="0.2">
      <c r="A4681" s="134">
        <v>45683</v>
      </c>
      <c r="B4681" s="135">
        <f>YEAR(source[[#This Row],[report_date]])</f>
        <v>2025</v>
      </c>
      <c r="C4681" s="128">
        <f t="shared" si="213"/>
        <v>1</v>
      </c>
      <c r="D4681" s="136">
        <f t="shared" si="215"/>
        <v>4</v>
      </c>
      <c r="E4681" s="136">
        <f t="shared" si="214"/>
        <v>26</v>
      </c>
      <c r="F4681" s="137" t="s">
        <v>24</v>
      </c>
      <c r="G4681" s="128" t="str">
        <f>VLOOKUP(source[[#This Row],[lending_product_transform]],[3]Mapping!$B$4:$C$37,2,0)</f>
        <v>[Cake] - Cashloan</v>
      </c>
      <c r="H4681" s="128" t="str">
        <f>VLOOKUP(source[[#This Row],[lending_product_transform]],[3]Mapping!$B$3:$D$37,3,0)</f>
        <v>cashloan</v>
      </c>
      <c r="I4681" s="143">
        <v>4575000000</v>
      </c>
    </row>
    <row r="4682" spans="1:9" x14ac:dyDescent="0.2">
      <c r="A4682" s="134">
        <v>45683</v>
      </c>
      <c r="B4682" s="135">
        <f>YEAR(source[[#This Row],[report_date]])</f>
        <v>2025</v>
      </c>
      <c r="C4682" s="128">
        <f t="shared" si="213"/>
        <v>1</v>
      </c>
      <c r="D4682" s="136">
        <f t="shared" si="215"/>
        <v>4</v>
      </c>
      <c r="E4682" s="136">
        <f t="shared" si="214"/>
        <v>26</v>
      </c>
      <c r="F4682" s="137" t="s">
        <v>24</v>
      </c>
      <c r="G4682" s="128" t="str">
        <f>VLOOKUP(source[[#This Row],[lending_product_transform]],[3]Mapping!$B$4:$C$37,2,0)</f>
        <v>[Cake] - Cashloan</v>
      </c>
      <c r="H4682" s="128" t="str">
        <f>VLOOKUP(source[[#This Row],[lending_product_transform]],[3]Mapping!$B$3:$D$37,3,0)</f>
        <v>cashloan</v>
      </c>
      <c r="I4682" s="143">
        <v>42000000</v>
      </c>
    </row>
    <row r="4683" spans="1:9" x14ac:dyDescent="0.2">
      <c r="A4683" s="134">
        <v>45683</v>
      </c>
      <c r="B4683" s="135">
        <f>YEAR(source[[#This Row],[report_date]])</f>
        <v>2025</v>
      </c>
      <c r="C4683" s="128">
        <f t="shared" si="213"/>
        <v>1</v>
      </c>
      <c r="D4683" s="136">
        <f t="shared" si="215"/>
        <v>4</v>
      </c>
      <c r="E4683" s="136">
        <f t="shared" si="214"/>
        <v>26</v>
      </c>
      <c r="F4683" s="137" t="s">
        <v>24</v>
      </c>
      <c r="G4683" s="128" t="str">
        <f>VLOOKUP(source[[#This Row],[lending_product_transform]],[3]Mapping!$B$4:$C$37,2,0)</f>
        <v>[Cake] - Cashloan</v>
      </c>
      <c r="H4683" s="128" t="str">
        <f>VLOOKUP(source[[#This Row],[lending_product_transform]],[3]Mapping!$B$3:$D$37,3,0)</f>
        <v>cashloan</v>
      </c>
      <c r="I4683" s="143">
        <v>36000000</v>
      </c>
    </row>
    <row r="4684" spans="1:9" x14ac:dyDescent="0.2">
      <c r="A4684" s="134">
        <v>45683</v>
      </c>
      <c r="B4684" s="135">
        <f>YEAR(source[[#This Row],[report_date]])</f>
        <v>2025</v>
      </c>
      <c r="C4684" s="128">
        <f t="shared" si="213"/>
        <v>1</v>
      </c>
      <c r="D4684" s="136">
        <f t="shared" si="215"/>
        <v>4</v>
      </c>
      <c r="E4684" s="136">
        <f t="shared" si="214"/>
        <v>26</v>
      </c>
      <c r="F4684" s="137" t="s">
        <v>24</v>
      </c>
      <c r="G4684" s="128" t="str">
        <f>VLOOKUP(source[[#This Row],[lending_product_transform]],[3]Mapping!$B$4:$C$37,2,0)</f>
        <v>[Cake] - Cashloan</v>
      </c>
      <c r="H4684" s="128" t="str">
        <f>VLOOKUP(source[[#This Row],[lending_product_transform]],[3]Mapping!$B$3:$D$37,3,0)</f>
        <v>cashloan</v>
      </c>
      <c r="I4684" s="143">
        <v>285941475</v>
      </c>
    </row>
    <row r="4685" spans="1:9" x14ac:dyDescent="0.2">
      <c r="A4685" s="134">
        <v>45683</v>
      </c>
      <c r="B4685" s="135">
        <f>YEAR(source[[#This Row],[report_date]])</f>
        <v>2025</v>
      </c>
      <c r="C4685" s="128">
        <f t="shared" si="213"/>
        <v>1</v>
      </c>
      <c r="D4685" s="136">
        <f t="shared" si="215"/>
        <v>4</v>
      </c>
      <c r="E4685" s="136">
        <f t="shared" si="214"/>
        <v>26</v>
      </c>
      <c r="F4685" s="137" t="s">
        <v>24</v>
      </c>
      <c r="G4685" s="128" t="str">
        <f>VLOOKUP(source[[#This Row],[lending_product_transform]],[3]Mapping!$B$4:$C$37,2,0)</f>
        <v>[Cake] - Cashloan</v>
      </c>
      <c r="H4685" s="128" t="str">
        <f>VLOOKUP(source[[#This Row],[lending_product_transform]],[3]Mapping!$B$3:$D$37,3,0)</f>
        <v>cashloan</v>
      </c>
      <c r="I4685" s="143">
        <v>0</v>
      </c>
    </row>
    <row r="4686" spans="1:9" x14ac:dyDescent="0.2">
      <c r="A4686" s="134">
        <v>45683</v>
      </c>
      <c r="B4686" s="135">
        <f>YEAR(source[[#This Row],[report_date]])</f>
        <v>2025</v>
      </c>
      <c r="C4686" s="128">
        <f t="shared" si="213"/>
        <v>1</v>
      </c>
      <c r="D4686" s="136">
        <f t="shared" si="215"/>
        <v>4</v>
      </c>
      <c r="E4686" s="136">
        <f t="shared" si="214"/>
        <v>26</v>
      </c>
      <c r="F4686" s="137" t="s">
        <v>24</v>
      </c>
      <c r="G4686" s="128" t="str">
        <f>VLOOKUP(source[[#This Row],[lending_product_transform]],[3]Mapping!$B$4:$C$37,2,0)</f>
        <v>[Cake] - Cashloan</v>
      </c>
      <c r="H4686" s="128" t="str">
        <f>VLOOKUP(source[[#This Row],[lending_product_transform]],[3]Mapping!$B$3:$D$37,3,0)</f>
        <v>cashloan</v>
      </c>
      <c r="I4686" s="143">
        <v>3429750000</v>
      </c>
    </row>
    <row r="4687" spans="1:9" x14ac:dyDescent="0.2">
      <c r="A4687" s="134">
        <v>45683</v>
      </c>
      <c r="B4687" s="135">
        <f>YEAR(source[[#This Row],[report_date]])</f>
        <v>2025</v>
      </c>
      <c r="C4687" s="128">
        <f t="shared" si="213"/>
        <v>1</v>
      </c>
      <c r="D4687" s="136">
        <f t="shared" si="215"/>
        <v>4</v>
      </c>
      <c r="E4687" s="136">
        <f t="shared" si="214"/>
        <v>26</v>
      </c>
      <c r="F4687" s="137" t="s">
        <v>24</v>
      </c>
      <c r="G4687" s="128" t="str">
        <f>VLOOKUP(source[[#This Row],[lending_product_transform]],[3]Mapping!$B$4:$C$37,2,0)</f>
        <v>[Cake] - Cashloan</v>
      </c>
      <c r="H4687" s="128" t="str">
        <f>VLOOKUP(source[[#This Row],[lending_product_transform]],[3]Mapping!$B$3:$D$37,3,0)</f>
        <v>cashloan</v>
      </c>
      <c r="I4687" s="143">
        <v>4535060000</v>
      </c>
    </row>
    <row r="4688" spans="1:9" x14ac:dyDescent="0.2">
      <c r="A4688" s="134">
        <v>45683</v>
      </c>
      <c r="B4688" s="135">
        <f>YEAR(source[[#This Row],[report_date]])</f>
        <v>2025</v>
      </c>
      <c r="C4688" s="128">
        <f t="shared" si="213"/>
        <v>1</v>
      </c>
      <c r="D4688" s="136">
        <f t="shared" si="215"/>
        <v>4</v>
      </c>
      <c r="E4688" s="136">
        <f t="shared" si="214"/>
        <v>26</v>
      </c>
      <c r="F4688" s="137" t="s">
        <v>24</v>
      </c>
      <c r="G4688" s="128" t="str">
        <f>VLOOKUP(source[[#This Row],[lending_product_transform]],[3]Mapping!$B$4:$C$37,2,0)</f>
        <v>[Cake] - Cashloan</v>
      </c>
      <c r="H4688" s="128" t="str">
        <f>VLOOKUP(source[[#This Row],[lending_product_transform]],[3]Mapping!$B$3:$D$37,3,0)</f>
        <v>cashloan</v>
      </c>
      <c r="I4688" s="143">
        <v>469970000</v>
      </c>
    </row>
    <row r="4689" spans="1:9" x14ac:dyDescent="0.2">
      <c r="A4689" s="134">
        <v>45683</v>
      </c>
      <c r="B4689" s="135">
        <f>YEAR(source[[#This Row],[report_date]])</f>
        <v>2025</v>
      </c>
      <c r="C4689" s="128">
        <f t="shared" si="213"/>
        <v>1</v>
      </c>
      <c r="D4689" s="136">
        <f t="shared" si="215"/>
        <v>4</v>
      </c>
      <c r="E4689" s="136">
        <f t="shared" si="214"/>
        <v>26</v>
      </c>
      <c r="F4689" s="137" t="s">
        <v>24</v>
      </c>
      <c r="G4689" s="128" t="str">
        <f>VLOOKUP(source[[#This Row],[lending_product_transform]],[3]Mapping!$B$4:$C$37,2,0)</f>
        <v>[Cake] - Cashloan</v>
      </c>
      <c r="H4689" s="128" t="str">
        <f>VLOOKUP(source[[#This Row],[lending_product_transform]],[3]Mapping!$B$3:$D$37,3,0)</f>
        <v>cashloan</v>
      </c>
      <c r="I4689" s="143">
        <v>0</v>
      </c>
    </row>
    <row r="4690" spans="1:9" x14ac:dyDescent="0.2">
      <c r="A4690" s="134">
        <v>45684</v>
      </c>
      <c r="B4690" s="135">
        <f>YEAR(source[[#This Row],[report_date]])</f>
        <v>2025</v>
      </c>
      <c r="C4690" s="128">
        <f t="shared" si="213"/>
        <v>1</v>
      </c>
      <c r="D4690" s="136">
        <f t="shared" si="215"/>
        <v>5</v>
      </c>
      <c r="E4690" s="136">
        <f t="shared" si="214"/>
        <v>27</v>
      </c>
      <c r="F4690" s="137" t="s">
        <v>24</v>
      </c>
      <c r="G4690" s="128" t="str">
        <f>VLOOKUP(source[[#This Row],[lending_product_transform]],[3]Mapping!$B$4:$C$37,2,0)</f>
        <v>[Cake] - Cashloan</v>
      </c>
      <c r="H4690" s="128" t="str">
        <f>VLOOKUP(source[[#This Row],[lending_product_transform]],[3]Mapping!$B$3:$D$37,3,0)</f>
        <v>cashloan</v>
      </c>
      <c r="I4690" s="143">
        <v>34650000</v>
      </c>
    </row>
    <row r="4691" spans="1:9" x14ac:dyDescent="0.2">
      <c r="A4691" s="134">
        <v>45684</v>
      </c>
      <c r="B4691" s="135">
        <f>YEAR(source[[#This Row],[report_date]])</f>
        <v>2025</v>
      </c>
      <c r="C4691" s="128">
        <f t="shared" si="213"/>
        <v>1</v>
      </c>
      <c r="D4691" s="136">
        <f t="shared" si="215"/>
        <v>5</v>
      </c>
      <c r="E4691" s="136">
        <f t="shared" si="214"/>
        <v>27</v>
      </c>
      <c r="F4691" s="137" t="s">
        <v>24</v>
      </c>
      <c r="G4691" s="128" t="str">
        <f>VLOOKUP(source[[#This Row],[lending_product_transform]],[3]Mapping!$B$4:$C$37,2,0)</f>
        <v>[Cake] - Cashloan</v>
      </c>
      <c r="H4691" s="128" t="str">
        <f>VLOOKUP(source[[#This Row],[lending_product_transform]],[3]Mapping!$B$3:$D$37,3,0)</f>
        <v>cashloan</v>
      </c>
      <c r="I4691" s="143">
        <v>4243500000</v>
      </c>
    </row>
    <row r="4692" spans="1:9" x14ac:dyDescent="0.2">
      <c r="A4692" s="134">
        <v>45684</v>
      </c>
      <c r="B4692" s="135">
        <f>YEAR(source[[#This Row],[report_date]])</f>
        <v>2025</v>
      </c>
      <c r="C4692" s="128">
        <f t="shared" si="213"/>
        <v>1</v>
      </c>
      <c r="D4692" s="136">
        <f t="shared" si="215"/>
        <v>5</v>
      </c>
      <c r="E4692" s="136">
        <f t="shared" si="214"/>
        <v>27</v>
      </c>
      <c r="F4692" s="137" t="s">
        <v>24</v>
      </c>
      <c r="G4692" s="128" t="str">
        <f>VLOOKUP(source[[#This Row],[lending_product_transform]],[3]Mapping!$B$4:$C$37,2,0)</f>
        <v>[Cake] - Cashloan</v>
      </c>
      <c r="H4692" s="128" t="str">
        <f>VLOOKUP(source[[#This Row],[lending_product_transform]],[3]Mapping!$B$3:$D$37,3,0)</f>
        <v>cashloan</v>
      </c>
      <c r="I4692" s="143">
        <v>256374548</v>
      </c>
    </row>
    <row r="4693" spans="1:9" x14ac:dyDescent="0.2">
      <c r="A4693" s="134">
        <v>45684</v>
      </c>
      <c r="B4693" s="135">
        <f>YEAR(source[[#This Row],[report_date]])</f>
        <v>2025</v>
      </c>
      <c r="C4693" s="128">
        <f t="shared" si="213"/>
        <v>1</v>
      </c>
      <c r="D4693" s="136">
        <f t="shared" si="215"/>
        <v>5</v>
      </c>
      <c r="E4693" s="136">
        <f t="shared" si="214"/>
        <v>27</v>
      </c>
      <c r="F4693" s="137" t="s">
        <v>24</v>
      </c>
      <c r="G4693" s="128" t="str">
        <f>VLOOKUP(source[[#This Row],[lending_product_transform]],[3]Mapping!$B$4:$C$37,2,0)</f>
        <v>[Cake] - Cashloan</v>
      </c>
      <c r="H4693" s="128" t="str">
        <f>VLOOKUP(source[[#This Row],[lending_product_transform]],[3]Mapping!$B$3:$D$37,3,0)</f>
        <v>cashloan</v>
      </c>
      <c r="I4693" s="143">
        <v>31000000</v>
      </c>
    </row>
    <row r="4694" spans="1:9" x14ac:dyDescent="0.2">
      <c r="A4694" s="134">
        <v>45684</v>
      </c>
      <c r="B4694" s="135">
        <f>YEAR(source[[#This Row],[report_date]])</f>
        <v>2025</v>
      </c>
      <c r="C4694" s="128">
        <f t="shared" ref="C4694:C4757" si="216">MONTH(A4694)</f>
        <v>1</v>
      </c>
      <c r="D4694" s="136">
        <f t="shared" si="215"/>
        <v>5</v>
      </c>
      <c r="E4694" s="136">
        <f t="shared" ref="E4694:E4757" si="217">DAY(A4694)</f>
        <v>27</v>
      </c>
      <c r="F4694" s="137" t="s">
        <v>24</v>
      </c>
      <c r="G4694" s="128" t="str">
        <f>VLOOKUP(source[[#This Row],[lending_product_transform]],[3]Mapping!$B$4:$C$37,2,0)</f>
        <v>[Cake] - Cashloan</v>
      </c>
      <c r="H4694" s="128" t="str">
        <f>VLOOKUP(source[[#This Row],[lending_product_transform]],[3]Mapping!$B$3:$D$37,3,0)</f>
        <v>cashloan</v>
      </c>
      <c r="I4694" s="143">
        <v>189767602</v>
      </c>
    </row>
    <row r="4695" spans="1:9" x14ac:dyDescent="0.2">
      <c r="A4695" s="134">
        <v>45684</v>
      </c>
      <c r="B4695" s="135">
        <f>YEAR(source[[#This Row],[report_date]])</f>
        <v>2025</v>
      </c>
      <c r="C4695" s="128">
        <f t="shared" si="216"/>
        <v>1</v>
      </c>
      <c r="D4695" s="136">
        <f t="shared" si="215"/>
        <v>5</v>
      </c>
      <c r="E4695" s="136">
        <f t="shared" si="217"/>
        <v>27</v>
      </c>
      <c r="F4695" s="137" t="s">
        <v>24</v>
      </c>
      <c r="G4695" s="128" t="str">
        <f>VLOOKUP(source[[#This Row],[lending_product_transform]],[3]Mapping!$B$4:$C$37,2,0)</f>
        <v>[Cake] - Cashloan</v>
      </c>
      <c r="H4695" s="128" t="str">
        <f>VLOOKUP(source[[#This Row],[lending_product_transform]],[3]Mapping!$B$3:$D$37,3,0)</f>
        <v>cashloan</v>
      </c>
      <c r="I4695" s="143">
        <v>249300000</v>
      </c>
    </row>
    <row r="4696" spans="1:9" x14ac:dyDescent="0.2">
      <c r="A4696" s="134">
        <v>45684</v>
      </c>
      <c r="B4696" s="135">
        <f>YEAR(source[[#This Row],[report_date]])</f>
        <v>2025</v>
      </c>
      <c r="C4696" s="128">
        <f t="shared" si="216"/>
        <v>1</v>
      </c>
      <c r="D4696" s="136">
        <f t="shared" si="215"/>
        <v>5</v>
      </c>
      <c r="E4696" s="136">
        <f t="shared" si="217"/>
        <v>27</v>
      </c>
      <c r="F4696" s="137" t="s">
        <v>24</v>
      </c>
      <c r="G4696" s="128" t="str">
        <f>VLOOKUP(source[[#This Row],[lending_product_transform]],[3]Mapping!$B$4:$C$37,2,0)</f>
        <v>[Cake] - Cashloan</v>
      </c>
      <c r="H4696" s="128" t="str">
        <f>VLOOKUP(source[[#This Row],[lending_product_transform]],[3]Mapping!$B$3:$D$37,3,0)</f>
        <v>cashloan</v>
      </c>
      <c r="I4696" s="143">
        <v>107467316</v>
      </c>
    </row>
    <row r="4697" spans="1:9" x14ac:dyDescent="0.2">
      <c r="A4697" s="134">
        <v>45684</v>
      </c>
      <c r="B4697" s="135">
        <f>YEAR(source[[#This Row],[report_date]])</f>
        <v>2025</v>
      </c>
      <c r="C4697" s="128">
        <f t="shared" si="216"/>
        <v>1</v>
      </c>
      <c r="D4697" s="136">
        <f t="shared" si="215"/>
        <v>5</v>
      </c>
      <c r="E4697" s="136">
        <f t="shared" si="217"/>
        <v>27</v>
      </c>
      <c r="F4697" s="137" t="s">
        <v>24</v>
      </c>
      <c r="G4697" s="128" t="str">
        <f>VLOOKUP(source[[#This Row],[lending_product_transform]],[3]Mapping!$B$4:$C$37,2,0)</f>
        <v>[Cake] - Cashloan</v>
      </c>
      <c r="H4697" s="128" t="str">
        <f>VLOOKUP(source[[#This Row],[lending_product_transform]],[3]Mapping!$B$3:$D$37,3,0)</f>
        <v>cashloan</v>
      </c>
      <c r="I4697" s="143">
        <v>3492310000</v>
      </c>
    </row>
    <row r="4698" spans="1:9" x14ac:dyDescent="0.2">
      <c r="A4698" s="134">
        <v>45684</v>
      </c>
      <c r="B4698" s="135">
        <f>YEAR(source[[#This Row],[report_date]])</f>
        <v>2025</v>
      </c>
      <c r="C4698" s="128">
        <f t="shared" si="216"/>
        <v>1</v>
      </c>
      <c r="D4698" s="136">
        <f t="shared" si="215"/>
        <v>5</v>
      </c>
      <c r="E4698" s="136">
        <f t="shared" si="217"/>
        <v>27</v>
      </c>
      <c r="F4698" s="137" t="s">
        <v>24</v>
      </c>
      <c r="G4698" s="128" t="str">
        <f>VLOOKUP(source[[#This Row],[lending_product_transform]],[3]Mapping!$B$4:$C$37,2,0)</f>
        <v>[Cake] - Cashloan</v>
      </c>
      <c r="H4698" s="128" t="str">
        <f>VLOOKUP(source[[#This Row],[lending_product_transform]],[3]Mapping!$B$3:$D$37,3,0)</f>
        <v>cashloan</v>
      </c>
      <c r="I4698" s="143">
        <v>0</v>
      </c>
    </row>
    <row r="4699" spans="1:9" x14ac:dyDescent="0.2">
      <c r="A4699" s="134">
        <v>45684</v>
      </c>
      <c r="B4699" s="135">
        <f>YEAR(source[[#This Row],[report_date]])</f>
        <v>2025</v>
      </c>
      <c r="C4699" s="128">
        <f t="shared" si="216"/>
        <v>1</v>
      </c>
      <c r="D4699" s="136">
        <f t="shared" si="215"/>
        <v>5</v>
      </c>
      <c r="E4699" s="136">
        <f t="shared" si="217"/>
        <v>27</v>
      </c>
      <c r="F4699" s="137" t="s">
        <v>24</v>
      </c>
      <c r="G4699" s="128" t="str">
        <f>VLOOKUP(source[[#This Row],[lending_product_transform]],[3]Mapping!$B$4:$C$37,2,0)</f>
        <v>[Cake] - Cashloan</v>
      </c>
      <c r="H4699" s="128" t="str">
        <f>VLOOKUP(source[[#This Row],[lending_product_transform]],[3]Mapping!$B$3:$D$37,3,0)</f>
        <v>cashloan</v>
      </c>
      <c r="I4699" s="143">
        <v>0</v>
      </c>
    </row>
    <row r="4700" spans="1:9" x14ac:dyDescent="0.2">
      <c r="A4700" s="134">
        <v>45684</v>
      </c>
      <c r="B4700" s="135">
        <f>YEAR(source[[#This Row],[report_date]])</f>
        <v>2025</v>
      </c>
      <c r="C4700" s="128">
        <f t="shared" si="216"/>
        <v>1</v>
      </c>
      <c r="D4700" s="136">
        <f t="shared" si="215"/>
        <v>5</v>
      </c>
      <c r="E4700" s="136">
        <f t="shared" si="217"/>
        <v>27</v>
      </c>
      <c r="F4700" s="137" t="s">
        <v>24</v>
      </c>
      <c r="G4700" s="128" t="str">
        <f>VLOOKUP(source[[#This Row],[lending_product_transform]],[3]Mapping!$B$4:$C$37,2,0)</f>
        <v>[Cake] - Cashloan</v>
      </c>
      <c r="H4700" s="128" t="str">
        <f>VLOOKUP(source[[#This Row],[lending_product_transform]],[3]Mapping!$B$3:$D$37,3,0)</f>
        <v>cashloan</v>
      </c>
      <c r="I4700" s="143">
        <v>2800420000</v>
      </c>
    </row>
    <row r="4701" spans="1:9" x14ac:dyDescent="0.2">
      <c r="A4701" s="134">
        <v>45684</v>
      </c>
      <c r="B4701" s="135">
        <f>YEAR(source[[#This Row],[report_date]])</f>
        <v>2025</v>
      </c>
      <c r="C4701" s="128">
        <f t="shared" si="216"/>
        <v>1</v>
      </c>
      <c r="D4701" s="136">
        <f t="shared" si="215"/>
        <v>5</v>
      </c>
      <c r="E4701" s="136">
        <f t="shared" si="217"/>
        <v>27</v>
      </c>
      <c r="F4701" s="137" t="s">
        <v>24</v>
      </c>
      <c r="G4701" s="128" t="str">
        <f>VLOOKUP(source[[#This Row],[lending_product_transform]],[3]Mapping!$B$4:$C$37,2,0)</f>
        <v>[Cake] - Cashloan</v>
      </c>
      <c r="H4701" s="128" t="str">
        <f>VLOOKUP(source[[#This Row],[lending_product_transform]],[3]Mapping!$B$3:$D$37,3,0)</f>
        <v>cashloan</v>
      </c>
      <c r="I4701" s="143">
        <v>0</v>
      </c>
    </row>
    <row r="4702" spans="1:9" x14ac:dyDescent="0.2">
      <c r="A4702" s="134">
        <v>45684</v>
      </c>
      <c r="B4702" s="135">
        <f>YEAR(source[[#This Row],[report_date]])</f>
        <v>2025</v>
      </c>
      <c r="C4702" s="128">
        <f t="shared" si="216"/>
        <v>1</v>
      </c>
      <c r="D4702" s="136">
        <f t="shared" si="215"/>
        <v>5</v>
      </c>
      <c r="E4702" s="136">
        <f t="shared" si="217"/>
        <v>27</v>
      </c>
      <c r="F4702" s="137" t="s">
        <v>24</v>
      </c>
      <c r="G4702" s="128" t="str">
        <f>VLOOKUP(source[[#This Row],[lending_product_transform]],[3]Mapping!$B$4:$C$37,2,0)</f>
        <v>[Cake] - Cashloan</v>
      </c>
      <c r="H4702" s="128" t="str">
        <f>VLOOKUP(source[[#This Row],[lending_product_transform]],[3]Mapping!$B$3:$D$37,3,0)</f>
        <v>cashloan</v>
      </c>
      <c r="I4702" s="143">
        <v>0</v>
      </c>
    </row>
    <row r="4703" spans="1:9" x14ac:dyDescent="0.2">
      <c r="A4703" s="134">
        <v>45684</v>
      </c>
      <c r="B4703" s="135">
        <f>YEAR(source[[#This Row],[report_date]])</f>
        <v>2025</v>
      </c>
      <c r="C4703" s="128">
        <f t="shared" si="216"/>
        <v>1</v>
      </c>
      <c r="D4703" s="136">
        <f t="shared" si="215"/>
        <v>5</v>
      </c>
      <c r="E4703" s="136">
        <f t="shared" si="217"/>
        <v>27</v>
      </c>
      <c r="F4703" s="137" t="s">
        <v>24</v>
      </c>
      <c r="G4703" s="128" t="str">
        <f>VLOOKUP(source[[#This Row],[lending_product_transform]],[3]Mapping!$B$4:$C$37,2,0)</f>
        <v>[Cake] - Cashloan</v>
      </c>
      <c r="H4703" s="128" t="str">
        <f>VLOOKUP(source[[#This Row],[lending_product_transform]],[3]Mapping!$B$3:$D$37,3,0)</f>
        <v>cashloan</v>
      </c>
      <c r="I4703" s="143">
        <v>2770320764</v>
      </c>
    </row>
    <row r="4704" spans="1:9" x14ac:dyDescent="0.2">
      <c r="A4704" s="134">
        <v>45684</v>
      </c>
      <c r="B4704" s="135">
        <f>YEAR(source[[#This Row],[report_date]])</f>
        <v>2025</v>
      </c>
      <c r="C4704" s="128">
        <f t="shared" si="216"/>
        <v>1</v>
      </c>
      <c r="D4704" s="136">
        <f t="shared" si="215"/>
        <v>5</v>
      </c>
      <c r="E4704" s="136">
        <f t="shared" si="217"/>
        <v>27</v>
      </c>
      <c r="F4704" s="137" t="s">
        <v>24</v>
      </c>
      <c r="G4704" s="128" t="str">
        <f>VLOOKUP(source[[#This Row],[lending_product_transform]],[3]Mapping!$B$4:$C$37,2,0)</f>
        <v>[Cake] - Cashloan</v>
      </c>
      <c r="H4704" s="128" t="str">
        <f>VLOOKUP(source[[#This Row],[lending_product_transform]],[3]Mapping!$B$3:$D$37,3,0)</f>
        <v>cashloan</v>
      </c>
      <c r="I4704" s="143">
        <v>256940000</v>
      </c>
    </row>
    <row r="4705" spans="1:9" x14ac:dyDescent="0.2">
      <c r="A4705" s="134">
        <v>45684</v>
      </c>
      <c r="B4705" s="135">
        <f>YEAR(source[[#This Row],[report_date]])</f>
        <v>2025</v>
      </c>
      <c r="C4705" s="128">
        <f t="shared" si="216"/>
        <v>1</v>
      </c>
      <c r="D4705" s="136">
        <f t="shared" si="215"/>
        <v>5</v>
      </c>
      <c r="E4705" s="136">
        <f t="shared" si="217"/>
        <v>27</v>
      </c>
      <c r="F4705" s="137" t="s">
        <v>24</v>
      </c>
      <c r="G4705" s="128" t="str">
        <f>VLOOKUP(source[[#This Row],[lending_product_transform]],[3]Mapping!$B$4:$C$37,2,0)</f>
        <v>[Cake] - Cashloan</v>
      </c>
      <c r="H4705" s="128" t="str">
        <f>VLOOKUP(source[[#This Row],[lending_product_transform]],[3]Mapping!$B$3:$D$37,3,0)</f>
        <v>cashloan</v>
      </c>
      <c r="I4705" s="143">
        <v>8011063</v>
      </c>
    </row>
    <row r="4706" spans="1:9" x14ac:dyDescent="0.2">
      <c r="A4706" s="134">
        <v>45684</v>
      </c>
      <c r="B4706" s="135">
        <f>YEAR(source[[#This Row],[report_date]])</f>
        <v>2025</v>
      </c>
      <c r="C4706" s="128">
        <f t="shared" si="216"/>
        <v>1</v>
      </c>
      <c r="D4706" s="136">
        <f t="shared" si="215"/>
        <v>5</v>
      </c>
      <c r="E4706" s="136">
        <f t="shared" si="217"/>
        <v>27</v>
      </c>
      <c r="F4706" s="137" t="s">
        <v>24</v>
      </c>
      <c r="G4706" s="128" t="str">
        <f>VLOOKUP(source[[#This Row],[lending_product_transform]],[3]Mapping!$B$4:$C$37,2,0)</f>
        <v>[Cake] - Cashloan</v>
      </c>
      <c r="H4706" s="128" t="str">
        <f>VLOOKUP(source[[#This Row],[lending_product_transform]],[3]Mapping!$B$3:$D$37,3,0)</f>
        <v>cashloan</v>
      </c>
      <c r="I4706" s="143">
        <v>0</v>
      </c>
    </row>
    <row r="4707" spans="1:9" x14ac:dyDescent="0.2">
      <c r="A4707" s="134">
        <v>45684</v>
      </c>
      <c r="B4707" s="135">
        <f>YEAR(source[[#This Row],[report_date]])</f>
        <v>2025</v>
      </c>
      <c r="C4707" s="128">
        <f t="shared" si="216"/>
        <v>1</v>
      </c>
      <c r="D4707" s="136">
        <f t="shared" si="215"/>
        <v>5</v>
      </c>
      <c r="E4707" s="136">
        <f t="shared" si="217"/>
        <v>27</v>
      </c>
      <c r="F4707" s="137" t="s">
        <v>24</v>
      </c>
      <c r="G4707" s="128" t="str">
        <f>VLOOKUP(source[[#This Row],[lending_product_transform]],[3]Mapping!$B$4:$C$37,2,0)</f>
        <v>[Cake] - Cashloan</v>
      </c>
      <c r="H4707" s="128" t="str">
        <f>VLOOKUP(source[[#This Row],[lending_product_transform]],[3]Mapping!$B$3:$D$37,3,0)</f>
        <v>cashloan</v>
      </c>
      <c r="I4707" s="143">
        <v>0</v>
      </c>
    </row>
    <row r="4708" spans="1:9" x14ac:dyDescent="0.2">
      <c r="A4708" s="134">
        <v>45684</v>
      </c>
      <c r="B4708" s="135">
        <f>YEAR(source[[#This Row],[report_date]])</f>
        <v>2025</v>
      </c>
      <c r="C4708" s="128">
        <f t="shared" si="216"/>
        <v>1</v>
      </c>
      <c r="D4708" s="136">
        <f t="shared" si="215"/>
        <v>5</v>
      </c>
      <c r="E4708" s="136">
        <f t="shared" si="217"/>
        <v>27</v>
      </c>
      <c r="F4708" s="137" t="s">
        <v>24</v>
      </c>
      <c r="G4708" s="128" t="str">
        <f>VLOOKUP(source[[#This Row],[lending_product_transform]],[3]Mapping!$B$4:$C$37,2,0)</f>
        <v>[Cake] - Cashloan</v>
      </c>
      <c r="H4708" s="128" t="str">
        <f>VLOOKUP(source[[#This Row],[lending_product_transform]],[3]Mapping!$B$3:$D$37,3,0)</f>
        <v>cashloan</v>
      </c>
      <c r="I4708" s="143">
        <v>0</v>
      </c>
    </row>
    <row r="4709" spans="1:9" x14ac:dyDescent="0.2">
      <c r="A4709" s="134">
        <v>45685</v>
      </c>
      <c r="B4709" s="135">
        <f>YEAR(source[[#This Row],[report_date]])</f>
        <v>2025</v>
      </c>
      <c r="C4709" s="128">
        <f t="shared" si="216"/>
        <v>1</v>
      </c>
      <c r="D4709" s="136">
        <f t="shared" si="215"/>
        <v>5</v>
      </c>
      <c r="E4709" s="136">
        <f t="shared" si="217"/>
        <v>28</v>
      </c>
      <c r="F4709" s="137" t="s">
        <v>24</v>
      </c>
      <c r="G4709" s="128" t="str">
        <f>VLOOKUP(source[[#This Row],[lending_product_transform]],[3]Mapping!$B$4:$C$37,2,0)</f>
        <v>[Cake] - Cashloan</v>
      </c>
      <c r="H4709" s="128" t="str">
        <f>VLOOKUP(source[[#This Row],[lending_product_transform]],[3]Mapping!$B$3:$D$37,3,0)</f>
        <v>cashloan</v>
      </c>
      <c r="I4709" s="143">
        <v>196795308</v>
      </c>
    </row>
    <row r="4710" spans="1:9" x14ac:dyDescent="0.2">
      <c r="A4710" s="134">
        <v>45685</v>
      </c>
      <c r="B4710" s="135">
        <f>YEAR(source[[#This Row],[report_date]])</f>
        <v>2025</v>
      </c>
      <c r="C4710" s="128">
        <f t="shared" si="216"/>
        <v>1</v>
      </c>
      <c r="D4710" s="136">
        <f t="shared" si="215"/>
        <v>5</v>
      </c>
      <c r="E4710" s="136">
        <f t="shared" si="217"/>
        <v>28</v>
      </c>
      <c r="F4710" s="137" t="s">
        <v>24</v>
      </c>
      <c r="G4710" s="128" t="str">
        <f>VLOOKUP(source[[#This Row],[lending_product_transform]],[3]Mapping!$B$4:$C$37,2,0)</f>
        <v>[Cake] - Cashloan</v>
      </c>
      <c r="H4710" s="128" t="str">
        <f>VLOOKUP(source[[#This Row],[lending_product_transform]],[3]Mapping!$B$3:$D$37,3,0)</f>
        <v>cashloan</v>
      </c>
      <c r="I4710" s="143">
        <v>0</v>
      </c>
    </row>
    <row r="4711" spans="1:9" x14ac:dyDescent="0.2">
      <c r="A4711" s="134">
        <v>45685</v>
      </c>
      <c r="B4711" s="135">
        <f>YEAR(source[[#This Row],[report_date]])</f>
        <v>2025</v>
      </c>
      <c r="C4711" s="128">
        <f t="shared" si="216"/>
        <v>1</v>
      </c>
      <c r="D4711" s="136">
        <f t="shared" si="215"/>
        <v>5</v>
      </c>
      <c r="E4711" s="136">
        <f t="shared" si="217"/>
        <v>28</v>
      </c>
      <c r="F4711" s="137" t="s">
        <v>24</v>
      </c>
      <c r="G4711" s="128" t="str">
        <f>VLOOKUP(source[[#This Row],[lending_product_transform]],[3]Mapping!$B$4:$C$37,2,0)</f>
        <v>[Cake] - Cashloan</v>
      </c>
      <c r="H4711" s="128" t="str">
        <f>VLOOKUP(source[[#This Row],[lending_product_transform]],[3]Mapping!$B$3:$D$37,3,0)</f>
        <v>cashloan</v>
      </c>
      <c r="I4711" s="143">
        <v>0</v>
      </c>
    </row>
    <row r="4712" spans="1:9" x14ac:dyDescent="0.2">
      <c r="A4712" s="134">
        <v>45685</v>
      </c>
      <c r="B4712" s="135">
        <f>YEAR(source[[#This Row],[report_date]])</f>
        <v>2025</v>
      </c>
      <c r="C4712" s="128">
        <f t="shared" si="216"/>
        <v>1</v>
      </c>
      <c r="D4712" s="136">
        <f t="shared" si="215"/>
        <v>5</v>
      </c>
      <c r="E4712" s="136">
        <f t="shared" si="217"/>
        <v>28</v>
      </c>
      <c r="F4712" s="137" t="s">
        <v>24</v>
      </c>
      <c r="G4712" s="128" t="str">
        <f>VLOOKUP(source[[#This Row],[lending_product_transform]],[3]Mapping!$B$4:$C$37,2,0)</f>
        <v>[Cake] - Cashloan</v>
      </c>
      <c r="H4712" s="128" t="str">
        <f>VLOOKUP(source[[#This Row],[lending_product_transform]],[3]Mapping!$B$3:$D$37,3,0)</f>
        <v>cashloan</v>
      </c>
      <c r="I4712" s="143">
        <v>0</v>
      </c>
    </row>
    <row r="4713" spans="1:9" x14ac:dyDescent="0.2">
      <c r="A4713" s="134">
        <v>45685</v>
      </c>
      <c r="B4713" s="135">
        <f>YEAR(source[[#This Row],[report_date]])</f>
        <v>2025</v>
      </c>
      <c r="C4713" s="128">
        <f t="shared" si="216"/>
        <v>1</v>
      </c>
      <c r="D4713" s="136">
        <f t="shared" si="215"/>
        <v>5</v>
      </c>
      <c r="E4713" s="136">
        <f t="shared" si="217"/>
        <v>28</v>
      </c>
      <c r="F4713" s="137" t="s">
        <v>24</v>
      </c>
      <c r="G4713" s="128" t="str">
        <f>VLOOKUP(source[[#This Row],[lending_product_transform]],[3]Mapping!$B$4:$C$37,2,0)</f>
        <v>[Cake] - Cashloan</v>
      </c>
      <c r="H4713" s="128" t="str">
        <f>VLOOKUP(source[[#This Row],[lending_product_transform]],[3]Mapping!$B$3:$D$37,3,0)</f>
        <v>cashloan</v>
      </c>
      <c r="I4713" s="143">
        <v>0</v>
      </c>
    </row>
    <row r="4714" spans="1:9" x14ac:dyDescent="0.2">
      <c r="A4714" s="134">
        <v>45685</v>
      </c>
      <c r="B4714" s="135">
        <f>YEAR(source[[#This Row],[report_date]])</f>
        <v>2025</v>
      </c>
      <c r="C4714" s="128">
        <f t="shared" si="216"/>
        <v>1</v>
      </c>
      <c r="D4714" s="136">
        <f t="shared" si="215"/>
        <v>5</v>
      </c>
      <c r="E4714" s="136">
        <f t="shared" si="217"/>
        <v>28</v>
      </c>
      <c r="F4714" s="137" t="s">
        <v>24</v>
      </c>
      <c r="G4714" s="128" t="str">
        <f>VLOOKUP(source[[#This Row],[lending_product_transform]],[3]Mapping!$B$4:$C$37,2,0)</f>
        <v>[Cake] - Cashloan</v>
      </c>
      <c r="H4714" s="128" t="str">
        <f>VLOOKUP(source[[#This Row],[lending_product_transform]],[3]Mapping!$B$3:$D$37,3,0)</f>
        <v>cashloan</v>
      </c>
      <c r="I4714" s="143">
        <v>2445470000</v>
      </c>
    </row>
    <row r="4715" spans="1:9" x14ac:dyDescent="0.2">
      <c r="A4715" s="134">
        <v>45685</v>
      </c>
      <c r="B4715" s="135">
        <f>YEAR(source[[#This Row],[report_date]])</f>
        <v>2025</v>
      </c>
      <c r="C4715" s="128">
        <f t="shared" si="216"/>
        <v>1</v>
      </c>
      <c r="D4715" s="136">
        <f t="shared" si="215"/>
        <v>5</v>
      </c>
      <c r="E4715" s="136">
        <f t="shared" si="217"/>
        <v>28</v>
      </c>
      <c r="F4715" s="137" t="s">
        <v>24</v>
      </c>
      <c r="G4715" s="128" t="str">
        <f>VLOOKUP(source[[#This Row],[lending_product_transform]],[3]Mapping!$B$4:$C$37,2,0)</f>
        <v>[Cake] - Cashloan</v>
      </c>
      <c r="H4715" s="128" t="str">
        <f>VLOOKUP(source[[#This Row],[lending_product_transform]],[3]Mapping!$B$3:$D$37,3,0)</f>
        <v>cashloan</v>
      </c>
      <c r="I4715" s="143">
        <v>78614806</v>
      </c>
    </row>
    <row r="4716" spans="1:9" x14ac:dyDescent="0.2">
      <c r="A4716" s="134">
        <v>45685</v>
      </c>
      <c r="B4716" s="135">
        <f>YEAR(source[[#This Row],[report_date]])</f>
        <v>2025</v>
      </c>
      <c r="C4716" s="128">
        <f t="shared" si="216"/>
        <v>1</v>
      </c>
      <c r="D4716" s="136">
        <f t="shared" si="215"/>
        <v>5</v>
      </c>
      <c r="E4716" s="136">
        <f t="shared" si="217"/>
        <v>28</v>
      </c>
      <c r="F4716" s="137" t="s">
        <v>24</v>
      </c>
      <c r="G4716" s="128" t="str">
        <f>VLOOKUP(source[[#This Row],[lending_product_transform]],[3]Mapping!$B$4:$C$37,2,0)</f>
        <v>[Cake] - Cashloan</v>
      </c>
      <c r="H4716" s="128" t="str">
        <f>VLOOKUP(source[[#This Row],[lending_product_transform]],[3]Mapping!$B$3:$D$37,3,0)</f>
        <v>cashloan</v>
      </c>
      <c r="I4716" s="143">
        <v>0</v>
      </c>
    </row>
    <row r="4717" spans="1:9" x14ac:dyDescent="0.2">
      <c r="A4717" s="134">
        <v>45685</v>
      </c>
      <c r="B4717" s="135">
        <f>YEAR(source[[#This Row],[report_date]])</f>
        <v>2025</v>
      </c>
      <c r="C4717" s="128">
        <f t="shared" si="216"/>
        <v>1</v>
      </c>
      <c r="D4717" s="136">
        <f t="shared" si="215"/>
        <v>5</v>
      </c>
      <c r="E4717" s="136">
        <f t="shared" si="217"/>
        <v>28</v>
      </c>
      <c r="F4717" s="137" t="s">
        <v>24</v>
      </c>
      <c r="G4717" s="128" t="str">
        <f>VLOOKUP(source[[#This Row],[lending_product_transform]],[3]Mapping!$B$4:$C$37,2,0)</f>
        <v>[Cake] - Cashloan</v>
      </c>
      <c r="H4717" s="128" t="str">
        <f>VLOOKUP(source[[#This Row],[lending_product_transform]],[3]Mapping!$B$3:$D$37,3,0)</f>
        <v>cashloan</v>
      </c>
      <c r="I4717" s="143">
        <v>2914163430</v>
      </c>
    </row>
    <row r="4718" spans="1:9" x14ac:dyDescent="0.2">
      <c r="A4718" s="134">
        <v>45685</v>
      </c>
      <c r="B4718" s="135">
        <f>YEAR(source[[#This Row],[report_date]])</f>
        <v>2025</v>
      </c>
      <c r="C4718" s="128">
        <f t="shared" si="216"/>
        <v>1</v>
      </c>
      <c r="D4718" s="136">
        <f t="shared" si="215"/>
        <v>5</v>
      </c>
      <c r="E4718" s="136">
        <f t="shared" si="217"/>
        <v>28</v>
      </c>
      <c r="F4718" s="137" t="s">
        <v>24</v>
      </c>
      <c r="G4718" s="128" t="str">
        <f>VLOOKUP(source[[#This Row],[lending_product_transform]],[3]Mapping!$B$4:$C$37,2,0)</f>
        <v>[Cake] - Cashloan</v>
      </c>
      <c r="H4718" s="128" t="str">
        <f>VLOOKUP(source[[#This Row],[lending_product_transform]],[3]Mapping!$B$3:$D$37,3,0)</f>
        <v>cashloan</v>
      </c>
      <c r="I4718" s="143">
        <v>0</v>
      </c>
    </row>
    <row r="4719" spans="1:9" x14ac:dyDescent="0.2">
      <c r="A4719" s="134">
        <v>45685</v>
      </c>
      <c r="B4719" s="135">
        <f>YEAR(source[[#This Row],[report_date]])</f>
        <v>2025</v>
      </c>
      <c r="C4719" s="128">
        <f t="shared" si="216"/>
        <v>1</v>
      </c>
      <c r="D4719" s="136">
        <f t="shared" si="215"/>
        <v>5</v>
      </c>
      <c r="E4719" s="136">
        <f t="shared" si="217"/>
        <v>28</v>
      </c>
      <c r="F4719" s="137" t="s">
        <v>24</v>
      </c>
      <c r="G4719" s="128" t="str">
        <f>VLOOKUP(source[[#This Row],[lending_product_transform]],[3]Mapping!$B$4:$C$37,2,0)</f>
        <v>[Cake] - Cashloan</v>
      </c>
      <c r="H4719" s="128" t="str">
        <f>VLOOKUP(source[[#This Row],[lending_product_transform]],[3]Mapping!$B$3:$D$37,3,0)</f>
        <v>cashloan</v>
      </c>
      <c r="I4719" s="143">
        <v>0</v>
      </c>
    </row>
    <row r="4720" spans="1:9" x14ac:dyDescent="0.2">
      <c r="A4720" s="134">
        <v>45685</v>
      </c>
      <c r="B4720" s="135">
        <f>YEAR(source[[#This Row],[report_date]])</f>
        <v>2025</v>
      </c>
      <c r="C4720" s="128">
        <f t="shared" si="216"/>
        <v>1</v>
      </c>
      <c r="D4720" s="136">
        <f t="shared" si="215"/>
        <v>5</v>
      </c>
      <c r="E4720" s="136">
        <f t="shared" si="217"/>
        <v>28</v>
      </c>
      <c r="F4720" s="137" t="s">
        <v>24</v>
      </c>
      <c r="G4720" s="128" t="str">
        <f>VLOOKUP(source[[#This Row],[lending_product_transform]],[3]Mapping!$B$4:$C$37,2,0)</f>
        <v>[Cake] - Cashloan</v>
      </c>
      <c r="H4720" s="128" t="str">
        <f>VLOOKUP(source[[#This Row],[lending_product_transform]],[3]Mapping!$B$3:$D$37,3,0)</f>
        <v>cashloan</v>
      </c>
      <c r="I4720" s="143">
        <v>4756400</v>
      </c>
    </row>
    <row r="4721" spans="1:9" x14ac:dyDescent="0.2">
      <c r="A4721" s="134">
        <v>45685</v>
      </c>
      <c r="B4721" s="135">
        <f>YEAR(source[[#This Row],[report_date]])</f>
        <v>2025</v>
      </c>
      <c r="C4721" s="128">
        <f t="shared" si="216"/>
        <v>1</v>
      </c>
      <c r="D4721" s="136">
        <f t="shared" si="215"/>
        <v>5</v>
      </c>
      <c r="E4721" s="136">
        <f t="shared" si="217"/>
        <v>28</v>
      </c>
      <c r="F4721" s="137" t="s">
        <v>24</v>
      </c>
      <c r="G4721" s="128" t="str">
        <f>VLOOKUP(source[[#This Row],[lending_product_transform]],[3]Mapping!$B$4:$C$37,2,0)</f>
        <v>[Cake] - Cashloan</v>
      </c>
      <c r="H4721" s="128" t="str">
        <f>VLOOKUP(source[[#This Row],[lending_product_transform]],[3]Mapping!$B$3:$D$37,3,0)</f>
        <v>cashloan</v>
      </c>
      <c r="I4721" s="143">
        <v>42260000</v>
      </c>
    </row>
    <row r="4722" spans="1:9" x14ac:dyDescent="0.2">
      <c r="A4722" s="134">
        <v>45685</v>
      </c>
      <c r="B4722" s="135">
        <f>YEAR(source[[#This Row],[report_date]])</f>
        <v>2025</v>
      </c>
      <c r="C4722" s="128">
        <f t="shared" si="216"/>
        <v>1</v>
      </c>
      <c r="D4722" s="136">
        <f t="shared" si="215"/>
        <v>5</v>
      </c>
      <c r="E4722" s="136">
        <f t="shared" si="217"/>
        <v>28</v>
      </c>
      <c r="F4722" s="137" t="s">
        <v>24</v>
      </c>
      <c r="G4722" s="128" t="str">
        <f>VLOOKUP(source[[#This Row],[lending_product_transform]],[3]Mapping!$B$4:$C$37,2,0)</f>
        <v>[Cake] - Cashloan</v>
      </c>
      <c r="H4722" s="128" t="str">
        <f>VLOOKUP(source[[#This Row],[lending_product_transform]],[3]Mapping!$B$3:$D$37,3,0)</f>
        <v>cashloan</v>
      </c>
      <c r="I4722" s="143">
        <v>0</v>
      </c>
    </row>
    <row r="4723" spans="1:9" x14ac:dyDescent="0.2">
      <c r="A4723" s="134">
        <v>45685</v>
      </c>
      <c r="B4723" s="135">
        <f>YEAR(source[[#This Row],[report_date]])</f>
        <v>2025</v>
      </c>
      <c r="C4723" s="128">
        <f t="shared" si="216"/>
        <v>1</v>
      </c>
      <c r="D4723" s="136">
        <f t="shared" si="215"/>
        <v>5</v>
      </c>
      <c r="E4723" s="136">
        <f t="shared" si="217"/>
        <v>28</v>
      </c>
      <c r="F4723" s="137" t="s">
        <v>24</v>
      </c>
      <c r="G4723" s="128" t="str">
        <f>VLOOKUP(source[[#This Row],[lending_product_transform]],[3]Mapping!$B$4:$C$37,2,0)</f>
        <v>[Cake] - Cashloan</v>
      </c>
      <c r="H4723" s="128" t="str">
        <f>VLOOKUP(source[[#This Row],[lending_product_transform]],[3]Mapping!$B$3:$D$37,3,0)</f>
        <v>cashloan</v>
      </c>
      <c r="I4723" s="143">
        <v>14000000</v>
      </c>
    </row>
    <row r="4724" spans="1:9" x14ac:dyDescent="0.2">
      <c r="A4724" s="134">
        <v>45685</v>
      </c>
      <c r="B4724" s="135">
        <f>YEAR(source[[#This Row],[report_date]])</f>
        <v>2025</v>
      </c>
      <c r="C4724" s="128">
        <f t="shared" si="216"/>
        <v>1</v>
      </c>
      <c r="D4724" s="136">
        <f t="shared" si="215"/>
        <v>5</v>
      </c>
      <c r="E4724" s="136">
        <f t="shared" si="217"/>
        <v>28</v>
      </c>
      <c r="F4724" s="137" t="s">
        <v>24</v>
      </c>
      <c r="G4724" s="128" t="str">
        <f>VLOOKUP(source[[#This Row],[lending_product_transform]],[3]Mapping!$B$4:$C$37,2,0)</f>
        <v>[Cake] - Cashloan</v>
      </c>
      <c r="H4724" s="128" t="str">
        <f>VLOOKUP(source[[#This Row],[lending_product_transform]],[3]Mapping!$B$3:$D$37,3,0)</f>
        <v>cashloan</v>
      </c>
      <c r="I4724" s="143">
        <v>3945500000</v>
      </c>
    </row>
    <row r="4725" spans="1:9" x14ac:dyDescent="0.2">
      <c r="A4725" s="134">
        <v>45685</v>
      </c>
      <c r="B4725" s="135">
        <f>YEAR(source[[#This Row],[report_date]])</f>
        <v>2025</v>
      </c>
      <c r="C4725" s="128">
        <f t="shared" si="216"/>
        <v>1</v>
      </c>
      <c r="D4725" s="136">
        <f t="shared" si="215"/>
        <v>5</v>
      </c>
      <c r="E4725" s="136">
        <f t="shared" si="217"/>
        <v>28</v>
      </c>
      <c r="F4725" s="137" t="s">
        <v>24</v>
      </c>
      <c r="G4725" s="128" t="str">
        <f>VLOOKUP(source[[#This Row],[lending_product_transform]],[3]Mapping!$B$4:$C$37,2,0)</f>
        <v>[Cake] - Cashloan</v>
      </c>
      <c r="H4725" s="128" t="str">
        <f>VLOOKUP(source[[#This Row],[lending_product_transform]],[3]Mapping!$B$3:$D$37,3,0)</f>
        <v>cashloan</v>
      </c>
      <c r="I4725" s="143">
        <v>3088760000</v>
      </c>
    </row>
    <row r="4726" spans="1:9" x14ac:dyDescent="0.2">
      <c r="A4726" s="134">
        <v>45685</v>
      </c>
      <c r="B4726" s="135">
        <f>YEAR(source[[#This Row],[report_date]])</f>
        <v>2025</v>
      </c>
      <c r="C4726" s="128">
        <f t="shared" si="216"/>
        <v>1</v>
      </c>
      <c r="D4726" s="136">
        <f t="shared" si="215"/>
        <v>5</v>
      </c>
      <c r="E4726" s="136">
        <f t="shared" si="217"/>
        <v>28</v>
      </c>
      <c r="F4726" s="137" t="s">
        <v>24</v>
      </c>
      <c r="G4726" s="128" t="str">
        <f>VLOOKUP(source[[#This Row],[lending_product_transform]],[3]Mapping!$B$4:$C$37,2,0)</f>
        <v>[Cake] - Cashloan</v>
      </c>
      <c r="H4726" s="128" t="str">
        <f>VLOOKUP(source[[#This Row],[lending_product_transform]],[3]Mapping!$B$3:$D$37,3,0)</f>
        <v>cashloan</v>
      </c>
      <c r="I4726" s="143">
        <v>128930000</v>
      </c>
    </row>
    <row r="4727" spans="1:9" x14ac:dyDescent="0.2">
      <c r="A4727" s="134">
        <v>45685</v>
      </c>
      <c r="B4727" s="135">
        <f>YEAR(source[[#This Row],[report_date]])</f>
        <v>2025</v>
      </c>
      <c r="C4727" s="128">
        <f t="shared" si="216"/>
        <v>1</v>
      </c>
      <c r="D4727" s="136">
        <f t="shared" si="215"/>
        <v>5</v>
      </c>
      <c r="E4727" s="136">
        <f t="shared" si="217"/>
        <v>28</v>
      </c>
      <c r="F4727" s="137" t="s">
        <v>24</v>
      </c>
      <c r="G4727" s="128" t="str">
        <f>VLOOKUP(source[[#This Row],[lending_product_transform]],[3]Mapping!$B$4:$C$37,2,0)</f>
        <v>[Cake] - Cashloan</v>
      </c>
      <c r="H4727" s="128" t="str">
        <f>VLOOKUP(source[[#This Row],[lending_product_transform]],[3]Mapping!$B$3:$D$37,3,0)</f>
        <v>cashloan</v>
      </c>
      <c r="I4727" s="143">
        <v>251951624</v>
      </c>
    </row>
    <row r="4728" spans="1:9" x14ac:dyDescent="0.2">
      <c r="A4728" s="134">
        <v>45686</v>
      </c>
      <c r="B4728" s="135">
        <f>YEAR(source[[#This Row],[report_date]])</f>
        <v>2025</v>
      </c>
      <c r="C4728" s="128">
        <f t="shared" si="216"/>
        <v>1</v>
      </c>
      <c r="D4728" s="136">
        <f t="shared" si="215"/>
        <v>5</v>
      </c>
      <c r="E4728" s="136">
        <f t="shared" si="217"/>
        <v>29</v>
      </c>
      <c r="F4728" s="137" t="s">
        <v>24</v>
      </c>
      <c r="G4728" s="128" t="str">
        <f>VLOOKUP(source[[#This Row],[lending_product_transform]],[3]Mapping!$B$4:$C$37,2,0)</f>
        <v>[Cake] - Cashloan</v>
      </c>
      <c r="H4728" s="128" t="str">
        <f>VLOOKUP(source[[#This Row],[lending_product_transform]],[3]Mapping!$B$3:$D$37,3,0)</f>
        <v>cashloan</v>
      </c>
      <c r="I4728" s="143">
        <v>0</v>
      </c>
    </row>
    <row r="4729" spans="1:9" x14ac:dyDescent="0.2">
      <c r="A4729" s="134">
        <v>45686</v>
      </c>
      <c r="B4729" s="135">
        <f>YEAR(source[[#This Row],[report_date]])</f>
        <v>2025</v>
      </c>
      <c r="C4729" s="128">
        <f t="shared" si="216"/>
        <v>1</v>
      </c>
      <c r="D4729" s="136">
        <f t="shared" si="215"/>
        <v>5</v>
      </c>
      <c r="E4729" s="136">
        <f t="shared" si="217"/>
        <v>29</v>
      </c>
      <c r="F4729" s="137" t="s">
        <v>24</v>
      </c>
      <c r="G4729" s="128" t="str">
        <f>VLOOKUP(source[[#This Row],[lending_product_transform]],[3]Mapping!$B$4:$C$37,2,0)</f>
        <v>[Cake] - Cashloan</v>
      </c>
      <c r="H4729" s="128" t="str">
        <f>VLOOKUP(source[[#This Row],[lending_product_transform]],[3]Mapping!$B$3:$D$37,3,0)</f>
        <v>cashloan</v>
      </c>
      <c r="I4729" s="143">
        <v>0</v>
      </c>
    </row>
    <row r="4730" spans="1:9" x14ac:dyDescent="0.2">
      <c r="A4730" s="134">
        <v>45686</v>
      </c>
      <c r="B4730" s="135">
        <f>YEAR(source[[#This Row],[report_date]])</f>
        <v>2025</v>
      </c>
      <c r="C4730" s="128">
        <f t="shared" si="216"/>
        <v>1</v>
      </c>
      <c r="D4730" s="136">
        <f t="shared" si="215"/>
        <v>5</v>
      </c>
      <c r="E4730" s="136">
        <f t="shared" si="217"/>
        <v>29</v>
      </c>
      <c r="F4730" s="137" t="s">
        <v>24</v>
      </c>
      <c r="G4730" s="128" t="str">
        <f>VLOOKUP(source[[#This Row],[lending_product_transform]],[3]Mapping!$B$4:$C$37,2,0)</f>
        <v>[Cake] - Cashloan</v>
      </c>
      <c r="H4730" s="128" t="str">
        <f>VLOOKUP(source[[#This Row],[lending_product_transform]],[3]Mapping!$B$3:$D$37,3,0)</f>
        <v>cashloan</v>
      </c>
      <c r="I4730" s="143">
        <v>95950000</v>
      </c>
    </row>
    <row r="4731" spans="1:9" x14ac:dyDescent="0.2">
      <c r="A4731" s="134">
        <v>45686</v>
      </c>
      <c r="B4731" s="135">
        <f>YEAR(source[[#This Row],[report_date]])</f>
        <v>2025</v>
      </c>
      <c r="C4731" s="128">
        <f t="shared" si="216"/>
        <v>1</v>
      </c>
      <c r="D4731" s="136">
        <f t="shared" si="215"/>
        <v>5</v>
      </c>
      <c r="E4731" s="136">
        <f t="shared" si="217"/>
        <v>29</v>
      </c>
      <c r="F4731" s="137" t="s">
        <v>24</v>
      </c>
      <c r="G4731" s="128" t="str">
        <f>VLOOKUP(source[[#This Row],[lending_product_transform]],[3]Mapping!$B$4:$C$37,2,0)</f>
        <v>[Cake] - Cashloan</v>
      </c>
      <c r="H4731" s="128" t="str">
        <f>VLOOKUP(source[[#This Row],[lending_product_transform]],[3]Mapping!$B$3:$D$37,3,0)</f>
        <v>cashloan</v>
      </c>
      <c r="I4731" s="143">
        <v>0</v>
      </c>
    </row>
    <row r="4732" spans="1:9" x14ac:dyDescent="0.2">
      <c r="A4732" s="134">
        <v>45686</v>
      </c>
      <c r="B4732" s="135">
        <f>YEAR(source[[#This Row],[report_date]])</f>
        <v>2025</v>
      </c>
      <c r="C4732" s="128">
        <f t="shared" si="216"/>
        <v>1</v>
      </c>
      <c r="D4732" s="136">
        <f t="shared" si="215"/>
        <v>5</v>
      </c>
      <c r="E4732" s="136">
        <f t="shared" si="217"/>
        <v>29</v>
      </c>
      <c r="F4732" s="137" t="s">
        <v>24</v>
      </c>
      <c r="G4732" s="128" t="str">
        <f>VLOOKUP(source[[#This Row],[lending_product_transform]],[3]Mapping!$B$4:$C$37,2,0)</f>
        <v>[Cake] - Cashloan</v>
      </c>
      <c r="H4732" s="128" t="str">
        <f>VLOOKUP(source[[#This Row],[lending_product_transform]],[3]Mapping!$B$3:$D$37,3,0)</f>
        <v>cashloan</v>
      </c>
      <c r="I4732" s="143">
        <v>64522486</v>
      </c>
    </row>
    <row r="4733" spans="1:9" x14ac:dyDescent="0.2">
      <c r="A4733" s="134">
        <v>45686</v>
      </c>
      <c r="B4733" s="135">
        <f>YEAR(source[[#This Row],[report_date]])</f>
        <v>2025</v>
      </c>
      <c r="C4733" s="128">
        <f t="shared" si="216"/>
        <v>1</v>
      </c>
      <c r="D4733" s="136">
        <f t="shared" si="215"/>
        <v>5</v>
      </c>
      <c r="E4733" s="136">
        <f t="shared" si="217"/>
        <v>29</v>
      </c>
      <c r="F4733" s="137" t="s">
        <v>24</v>
      </c>
      <c r="G4733" s="128" t="str">
        <f>VLOOKUP(source[[#This Row],[lending_product_transform]],[3]Mapping!$B$4:$C$37,2,0)</f>
        <v>[Cake] - Cashloan</v>
      </c>
      <c r="H4733" s="128" t="str">
        <f>VLOOKUP(source[[#This Row],[lending_product_transform]],[3]Mapping!$B$3:$D$37,3,0)</f>
        <v>cashloan</v>
      </c>
      <c r="I4733" s="143">
        <v>61702390</v>
      </c>
    </row>
    <row r="4734" spans="1:9" x14ac:dyDescent="0.2">
      <c r="A4734" s="134">
        <v>45686</v>
      </c>
      <c r="B4734" s="135">
        <f>YEAR(source[[#This Row],[report_date]])</f>
        <v>2025</v>
      </c>
      <c r="C4734" s="128">
        <f t="shared" si="216"/>
        <v>1</v>
      </c>
      <c r="D4734" s="136">
        <f t="shared" si="215"/>
        <v>5</v>
      </c>
      <c r="E4734" s="136">
        <f t="shared" si="217"/>
        <v>29</v>
      </c>
      <c r="F4734" s="137" t="s">
        <v>24</v>
      </c>
      <c r="G4734" s="128" t="str">
        <f>VLOOKUP(source[[#This Row],[lending_product_transform]],[3]Mapping!$B$4:$C$37,2,0)</f>
        <v>[Cake] - Cashloan</v>
      </c>
      <c r="H4734" s="128" t="str">
        <f>VLOOKUP(source[[#This Row],[lending_product_transform]],[3]Mapping!$B$3:$D$37,3,0)</f>
        <v>cashloan</v>
      </c>
      <c r="I4734" s="143">
        <v>0</v>
      </c>
    </row>
    <row r="4735" spans="1:9" x14ac:dyDescent="0.2">
      <c r="A4735" s="134">
        <v>45686</v>
      </c>
      <c r="B4735" s="135">
        <f>YEAR(source[[#This Row],[report_date]])</f>
        <v>2025</v>
      </c>
      <c r="C4735" s="128">
        <f t="shared" si="216"/>
        <v>1</v>
      </c>
      <c r="D4735" s="136">
        <f t="shared" si="215"/>
        <v>5</v>
      </c>
      <c r="E4735" s="136">
        <f t="shared" si="217"/>
        <v>29</v>
      </c>
      <c r="F4735" s="137" t="s">
        <v>24</v>
      </c>
      <c r="G4735" s="128" t="str">
        <f>VLOOKUP(source[[#This Row],[lending_product_transform]],[3]Mapping!$B$4:$C$37,2,0)</f>
        <v>[Cake] - Cashloan</v>
      </c>
      <c r="H4735" s="128" t="str">
        <f>VLOOKUP(source[[#This Row],[lending_product_transform]],[3]Mapping!$B$3:$D$37,3,0)</f>
        <v>cashloan</v>
      </c>
      <c r="I4735" s="143">
        <v>164858497</v>
      </c>
    </row>
    <row r="4736" spans="1:9" x14ac:dyDescent="0.2">
      <c r="A4736" s="134">
        <v>45686</v>
      </c>
      <c r="B4736" s="135">
        <f>YEAR(source[[#This Row],[report_date]])</f>
        <v>2025</v>
      </c>
      <c r="C4736" s="128">
        <f t="shared" si="216"/>
        <v>1</v>
      </c>
      <c r="D4736" s="136">
        <f t="shared" si="215"/>
        <v>5</v>
      </c>
      <c r="E4736" s="136">
        <f t="shared" si="217"/>
        <v>29</v>
      </c>
      <c r="F4736" s="137" t="s">
        <v>24</v>
      </c>
      <c r="G4736" s="128" t="str">
        <f>VLOOKUP(source[[#This Row],[lending_product_transform]],[3]Mapping!$B$4:$C$37,2,0)</f>
        <v>[Cake] - Cashloan</v>
      </c>
      <c r="H4736" s="128" t="str">
        <f>VLOOKUP(source[[#This Row],[lending_product_transform]],[3]Mapping!$B$3:$D$37,3,0)</f>
        <v>cashloan</v>
      </c>
      <c r="I4736" s="143">
        <v>0</v>
      </c>
    </row>
    <row r="4737" spans="1:9" x14ac:dyDescent="0.2">
      <c r="A4737" s="134">
        <v>45686</v>
      </c>
      <c r="B4737" s="135">
        <f>YEAR(source[[#This Row],[report_date]])</f>
        <v>2025</v>
      </c>
      <c r="C4737" s="128">
        <f t="shared" si="216"/>
        <v>1</v>
      </c>
      <c r="D4737" s="136">
        <f t="shared" si="215"/>
        <v>5</v>
      </c>
      <c r="E4737" s="136">
        <f t="shared" si="217"/>
        <v>29</v>
      </c>
      <c r="F4737" s="137" t="s">
        <v>24</v>
      </c>
      <c r="G4737" s="128" t="str">
        <f>VLOOKUP(source[[#This Row],[lending_product_transform]],[3]Mapping!$B$4:$C$37,2,0)</f>
        <v>[Cake] - Cashloan</v>
      </c>
      <c r="H4737" s="128" t="str">
        <f>VLOOKUP(source[[#This Row],[lending_product_transform]],[3]Mapping!$B$3:$D$37,3,0)</f>
        <v>cashloan</v>
      </c>
      <c r="I4737" s="143">
        <v>1132670000</v>
      </c>
    </row>
    <row r="4738" spans="1:9" x14ac:dyDescent="0.2">
      <c r="A4738" s="134">
        <v>45686</v>
      </c>
      <c r="B4738" s="135">
        <f>YEAR(source[[#This Row],[report_date]])</f>
        <v>2025</v>
      </c>
      <c r="C4738" s="128">
        <f t="shared" si="216"/>
        <v>1</v>
      </c>
      <c r="D4738" s="136">
        <f t="shared" si="215"/>
        <v>5</v>
      </c>
      <c r="E4738" s="136">
        <f t="shared" si="217"/>
        <v>29</v>
      </c>
      <c r="F4738" s="137" t="s">
        <v>24</v>
      </c>
      <c r="G4738" s="128" t="str">
        <f>VLOOKUP(source[[#This Row],[lending_product_transform]],[3]Mapping!$B$4:$C$37,2,0)</f>
        <v>[Cake] - Cashloan</v>
      </c>
      <c r="H4738" s="128" t="str">
        <f>VLOOKUP(source[[#This Row],[lending_product_transform]],[3]Mapping!$B$3:$D$37,3,0)</f>
        <v>cashloan</v>
      </c>
      <c r="I4738" s="143">
        <v>18900000</v>
      </c>
    </row>
    <row r="4739" spans="1:9" x14ac:dyDescent="0.2">
      <c r="A4739" s="134">
        <v>45686</v>
      </c>
      <c r="B4739" s="135">
        <f>YEAR(source[[#This Row],[report_date]])</f>
        <v>2025</v>
      </c>
      <c r="C4739" s="128">
        <f t="shared" si="216"/>
        <v>1</v>
      </c>
      <c r="D4739" s="136">
        <f t="shared" ref="D4739:D4802" si="218">WEEKNUM(A4739,2)</f>
        <v>5</v>
      </c>
      <c r="E4739" s="136">
        <f t="shared" si="217"/>
        <v>29</v>
      </c>
      <c r="F4739" s="137" t="s">
        <v>24</v>
      </c>
      <c r="G4739" s="128" t="str">
        <f>VLOOKUP(source[[#This Row],[lending_product_transform]],[3]Mapping!$B$4:$C$37,2,0)</f>
        <v>[Cake] - Cashloan</v>
      </c>
      <c r="H4739" s="128" t="str">
        <f>VLOOKUP(source[[#This Row],[lending_product_transform]],[3]Mapping!$B$3:$D$37,3,0)</f>
        <v>cashloan</v>
      </c>
      <c r="I4739" s="143">
        <v>0</v>
      </c>
    </row>
    <row r="4740" spans="1:9" x14ac:dyDescent="0.2">
      <c r="A4740" s="134">
        <v>45686</v>
      </c>
      <c r="B4740" s="135">
        <f>YEAR(source[[#This Row],[report_date]])</f>
        <v>2025</v>
      </c>
      <c r="C4740" s="128">
        <f t="shared" si="216"/>
        <v>1</v>
      </c>
      <c r="D4740" s="136">
        <f t="shared" si="218"/>
        <v>5</v>
      </c>
      <c r="E4740" s="136">
        <f t="shared" si="217"/>
        <v>29</v>
      </c>
      <c r="F4740" s="137" t="s">
        <v>24</v>
      </c>
      <c r="G4740" s="128" t="str">
        <f>VLOOKUP(source[[#This Row],[lending_product_transform]],[3]Mapping!$B$4:$C$37,2,0)</f>
        <v>[Cake] - Cashloan</v>
      </c>
      <c r="H4740" s="128" t="str">
        <f>VLOOKUP(source[[#This Row],[lending_product_transform]],[3]Mapping!$B$3:$D$37,3,0)</f>
        <v>cashloan</v>
      </c>
      <c r="I4740" s="143">
        <v>1499631</v>
      </c>
    </row>
    <row r="4741" spans="1:9" x14ac:dyDescent="0.2">
      <c r="A4741" s="134">
        <v>45686</v>
      </c>
      <c r="B4741" s="135">
        <f>YEAR(source[[#This Row],[report_date]])</f>
        <v>2025</v>
      </c>
      <c r="C4741" s="128">
        <f t="shared" si="216"/>
        <v>1</v>
      </c>
      <c r="D4741" s="136">
        <f t="shared" si="218"/>
        <v>5</v>
      </c>
      <c r="E4741" s="136">
        <f t="shared" si="217"/>
        <v>29</v>
      </c>
      <c r="F4741" s="137" t="s">
        <v>24</v>
      </c>
      <c r="G4741" s="128" t="str">
        <f>VLOOKUP(source[[#This Row],[lending_product_transform]],[3]Mapping!$B$4:$C$37,2,0)</f>
        <v>[Cake] - Cashloan</v>
      </c>
      <c r="H4741" s="128" t="str">
        <f>VLOOKUP(source[[#This Row],[lending_product_transform]],[3]Mapping!$B$3:$D$37,3,0)</f>
        <v>cashloan</v>
      </c>
      <c r="I4741" s="143">
        <v>1431003032</v>
      </c>
    </row>
    <row r="4742" spans="1:9" x14ac:dyDescent="0.2">
      <c r="A4742" s="134">
        <v>45686</v>
      </c>
      <c r="B4742" s="135">
        <f>YEAR(source[[#This Row],[report_date]])</f>
        <v>2025</v>
      </c>
      <c r="C4742" s="128">
        <f t="shared" si="216"/>
        <v>1</v>
      </c>
      <c r="D4742" s="136">
        <f t="shared" si="218"/>
        <v>5</v>
      </c>
      <c r="E4742" s="136">
        <f t="shared" si="217"/>
        <v>29</v>
      </c>
      <c r="F4742" s="137" t="s">
        <v>24</v>
      </c>
      <c r="G4742" s="128" t="str">
        <f>VLOOKUP(source[[#This Row],[lending_product_transform]],[3]Mapping!$B$4:$C$37,2,0)</f>
        <v>[Cake] - Cashloan</v>
      </c>
      <c r="H4742" s="128" t="str">
        <f>VLOOKUP(source[[#This Row],[lending_product_transform]],[3]Mapping!$B$3:$D$37,3,0)</f>
        <v>cashloan</v>
      </c>
      <c r="I4742" s="143">
        <v>0</v>
      </c>
    </row>
    <row r="4743" spans="1:9" x14ac:dyDescent="0.2">
      <c r="A4743" s="134">
        <v>45686</v>
      </c>
      <c r="B4743" s="135">
        <f>YEAR(source[[#This Row],[report_date]])</f>
        <v>2025</v>
      </c>
      <c r="C4743" s="128">
        <f t="shared" si="216"/>
        <v>1</v>
      </c>
      <c r="D4743" s="136">
        <f t="shared" si="218"/>
        <v>5</v>
      </c>
      <c r="E4743" s="136">
        <f t="shared" si="217"/>
        <v>29</v>
      </c>
      <c r="F4743" s="137" t="s">
        <v>24</v>
      </c>
      <c r="G4743" s="128" t="str">
        <f>VLOOKUP(source[[#This Row],[lending_product_transform]],[3]Mapping!$B$4:$C$37,2,0)</f>
        <v>[Cake] - Cashloan</v>
      </c>
      <c r="H4743" s="128" t="str">
        <f>VLOOKUP(source[[#This Row],[lending_product_transform]],[3]Mapping!$B$3:$D$37,3,0)</f>
        <v>cashloan</v>
      </c>
      <c r="I4743" s="143">
        <v>0</v>
      </c>
    </row>
    <row r="4744" spans="1:9" x14ac:dyDescent="0.2">
      <c r="A4744" s="134">
        <v>45686</v>
      </c>
      <c r="B4744" s="135">
        <f>YEAR(source[[#This Row],[report_date]])</f>
        <v>2025</v>
      </c>
      <c r="C4744" s="128">
        <f t="shared" si="216"/>
        <v>1</v>
      </c>
      <c r="D4744" s="136">
        <f t="shared" si="218"/>
        <v>5</v>
      </c>
      <c r="E4744" s="136">
        <f t="shared" si="217"/>
        <v>29</v>
      </c>
      <c r="F4744" s="137" t="s">
        <v>24</v>
      </c>
      <c r="G4744" s="128" t="str">
        <f>VLOOKUP(source[[#This Row],[lending_product_transform]],[3]Mapping!$B$4:$C$37,2,0)</f>
        <v>[Cake] - Cashloan</v>
      </c>
      <c r="H4744" s="128" t="str">
        <f>VLOOKUP(source[[#This Row],[lending_product_transform]],[3]Mapping!$B$3:$D$37,3,0)</f>
        <v>cashloan</v>
      </c>
      <c r="I4744" s="143">
        <v>19000000</v>
      </c>
    </row>
    <row r="4745" spans="1:9" x14ac:dyDescent="0.2">
      <c r="A4745" s="134">
        <v>45686</v>
      </c>
      <c r="B4745" s="135">
        <f>YEAR(source[[#This Row],[report_date]])</f>
        <v>2025</v>
      </c>
      <c r="C4745" s="128">
        <f t="shared" si="216"/>
        <v>1</v>
      </c>
      <c r="D4745" s="136">
        <f t="shared" si="218"/>
        <v>5</v>
      </c>
      <c r="E4745" s="136">
        <f t="shared" si="217"/>
        <v>29</v>
      </c>
      <c r="F4745" s="137" t="s">
        <v>24</v>
      </c>
      <c r="G4745" s="128" t="str">
        <f>VLOOKUP(source[[#This Row],[lending_product_transform]],[3]Mapping!$B$4:$C$37,2,0)</f>
        <v>[Cake] - Cashloan</v>
      </c>
      <c r="H4745" s="128" t="str">
        <f>VLOOKUP(source[[#This Row],[lending_product_transform]],[3]Mapping!$B$3:$D$37,3,0)</f>
        <v>cashloan</v>
      </c>
      <c r="I4745" s="143">
        <v>1172770000</v>
      </c>
    </row>
    <row r="4746" spans="1:9" x14ac:dyDescent="0.2">
      <c r="A4746" s="134">
        <v>45686</v>
      </c>
      <c r="B4746" s="135">
        <f>YEAR(source[[#This Row],[report_date]])</f>
        <v>2025</v>
      </c>
      <c r="C4746" s="128">
        <f t="shared" si="216"/>
        <v>1</v>
      </c>
      <c r="D4746" s="136">
        <f t="shared" si="218"/>
        <v>5</v>
      </c>
      <c r="E4746" s="136">
        <f t="shared" si="217"/>
        <v>29</v>
      </c>
      <c r="F4746" s="137" t="s">
        <v>24</v>
      </c>
      <c r="G4746" s="128" t="str">
        <f>VLOOKUP(source[[#This Row],[lending_product_transform]],[3]Mapping!$B$4:$C$37,2,0)</f>
        <v>[Cake] - Cashloan</v>
      </c>
      <c r="H4746" s="128" t="str">
        <f>VLOOKUP(source[[#This Row],[lending_product_transform]],[3]Mapping!$B$3:$D$37,3,0)</f>
        <v>cashloan</v>
      </c>
      <c r="I4746" s="143">
        <v>1601000000</v>
      </c>
    </row>
    <row r="4747" spans="1:9" x14ac:dyDescent="0.2">
      <c r="A4747" s="134">
        <v>45687</v>
      </c>
      <c r="B4747" s="135">
        <f>YEAR(source[[#This Row],[report_date]])</f>
        <v>2025</v>
      </c>
      <c r="C4747" s="128">
        <f t="shared" si="216"/>
        <v>1</v>
      </c>
      <c r="D4747" s="136">
        <f t="shared" si="218"/>
        <v>5</v>
      </c>
      <c r="E4747" s="136">
        <f t="shared" si="217"/>
        <v>30</v>
      </c>
      <c r="F4747" s="137" t="s">
        <v>24</v>
      </c>
      <c r="G4747" s="128" t="str">
        <f>VLOOKUP(source[[#This Row],[lending_product_transform]],[3]Mapping!$B$4:$C$37,2,0)</f>
        <v>[Cake] - Cashloan</v>
      </c>
      <c r="H4747" s="128" t="str">
        <f>VLOOKUP(source[[#This Row],[lending_product_transform]],[3]Mapping!$B$3:$D$37,3,0)</f>
        <v>cashloan</v>
      </c>
      <c r="I4747" s="143">
        <v>1604570000</v>
      </c>
    </row>
    <row r="4748" spans="1:9" x14ac:dyDescent="0.2">
      <c r="A4748" s="134">
        <v>45687</v>
      </c>
      <c r="B4748" s="135">
        <f>YEAR(source[[#This Row],[report_date]])</f>
        <v>2025</v>
      </c>
      <c r="C4748" s="128">
        <f t="shared" si="216"/>
        <v>1</v>
      </c>
      <c r="D4748" s="136">
        <f t="shared" si="218"/>
        <v>5</v>
      </c>
      <c r="E4748" s="136">
        <f t="shared" si="217"/>
        <v>30</v>
      </c>
      <c r="F4748" s="137" t="s">
        <v>24</v>
      </c>
      <c r="G4748" s="128" t="str">
        <f>VLOOKUP(source[[#This Row],[lending_product_transform]],[3]Mapping!$B$4:$C$37,2,0)</f>
        <v>[Cake] - Cashloan</v>
      </c>
      <c r="H4748" s="128" t="str">
        <f>VLOOKUP(source[[#This Row],[lending_product_transform]],[3]Mapping!$B$3:$D$37,3,0)</f>
        <v>cashloan</v>
      </c>
      <c r="I4748" s="143">
        <v>0</v>
      </c>
    </row>
    <row r="4749" spans="1:9" x14ac:dyDescent="0.2">
      <c r="A4749" s="134">
        <v>45687</v>
      </c>
      <c r="B4749" s="135">
        <f>YEAR(source[[#This Row],[report_date]])</f>
        <v>2025</v>
      </c>
      <c r="C4749" s="128">
        <f t="shared" si="216"/>
        <v>1</v>
      </c>
      <c r="D4749" s="136">
        <f t="shared" si="218"/>
        <v>5</v>
      </c>
      <c r="E4749" s="136">
        <f t="shared" si="217"/>
        <v>30</v>
      </c>
      <c r="F4749" s="137" t="s">
        <v>24</v>
      </c>
      <c r="G4749" s="128" t="str">
        <f>VLOOKUP(source[[#This Row],[lending_product_transform]],[3]Mapping!$B$4:$C$37,2,0)</f>
        <v>[Cake] - Cashloan</v>
      </c>
      <c r="H4749" s="128" t="str">
        <f>VLOOKUP(source[[#This Row],[lending_product_transform]],[3]Mapping!$B$3:$D$37,3,0)</f>
        <v>cashloan</v>
      </c>
      <c r="I4749" s="143">
        <v>0</v>
      </c>
    </row>
    <row r="4750" spans="1:9" x14ac:dyDescent="0.2">
      <c r="A4750" s="134">
        <v>45687</v>
      </c>
      <c r="B4750" s="135">
        <f>YEAR(source[[#This Row],[report_date]])</f>
        <v>2025</v>
      </c>
      <c r="C4750" s="128">
        <f t="shared" si="216"/>
        <v>1</v>
      </c>
      <c r="D4750" s="136">
        <f t="shared" si="218"/>
        <v>5</v>
      </c>
      <c r="E4750" s="136">
        <f t="shared" si="217"/>
        <v>30</v>
      </c>
      <c r="F4750" s="137" t="s">
        <v>24</v>
      </c>
      <c r="G4750" s="128" t="str">
        <f>VLOOKUP(source[[#This Row],[lending_product_transform]],[3]Mapping!$B$4:$C$37,2,0)</f>
        <v>[Cake] - Cashloan</v>
      </c>
      <c r="H4750" s="128" t="str">
        <f>VLOOKUP(source[[#This Row],[lending_product_transform]],[3]Mapping!$B$3:$D$37,3,0)</f>
        <v>cashloan</v>
      </c>
      <c r="I4750" s="143">
        <v>0</v>
      </c>
    </row>
    <row r="4751" spans="1:9" x14ac:dyDescent="0.2">
      <c r="A4751" s="134">
        <v>45687</v>
      </c>
      <c r="B4751" s="135">
        <f>YEAR(source[[#This Row],[report_date]])</f>
        <v>2025</v>
      </c>
      <c r="C4751" s="128">
        <f t="shared" si="216"/>
        <v>1</v>
      </c>
      <c r="D4751" s="136">
        <f t="shared" si="218"/>
        <v>5</v>
      </c>
      <c r="E4751" s="136">
        <f t="shared" si="217"/>
        <v>30</v>
      </c>
      <c r="F4751" s="137" t="s">
        <v>24</v>
      </c>
      <c r="G4751" s="128" t="str">
        <f>VLOOKUP(source[[#This Row],[lending_product_transform]],[3]Mapping!$B$4:$C$37,2,0)</f>
        <v>[Cake] - Cashloan</v>
      </c>
      <c r="H4751" s="128" t="str">
        <f>VLOOKUP(source[[#This Row],[lending_product_transform]],[3]Mapping!$B$3:$D$37,3,0)</f>
        <v>cashloan</v>
      </c>
      <c r="I4751" s="143">
        <v>0</v>
      </c>
    </row>
    <row r="4752" spans="1:9" x14ac:dyDescent="0.2">
      <c r="A4752" s="134">
        <v>45687</v>
      </c>
      <c r="B4752" s="135">
        <f>YEAR(source[[#This Row],[report_date]])</f>
        <v>2025</v>
      </c>
      <c r="C4752" s="128">
        <f t="shared" si="216"/>
        <v>1</v>
      </c>
      <c r="D4752" s="136">
        <f t="shared" si="218"/>
        <v>5</v>
      </c>
      <c r="E4752" s="136">
        <f t="shared" si="217"/>
        <v>30</v>
      </c>
      <c r="F4752" s="137" t="s">
        <v>24</v>
      </c>
      <c r="G4752" s="128" t="str">
        <f>VLOOKUP(source[[#This Row],[lending_product_transform]],[3]Mapping!$B$4:$C$37,2,0)</f>
        <v>[Cake] - Cashloan</v>
      </c>
      <c r="H4752" s="128" t="str">
        <f>VLOOKUP(source[[#This Row],[lending_product_transform]],[3]Mapping!$B$3:$D$37,3,0)</f>
        <v>cashloan</v>
      </c>
      <c r="I4752" s="143">
        <v>79112347</v>
      </c>
    </row>
    <row r="4753" spans="1:9" x14ac:dyDescent="0.2">
      <c r="A4753" s="134">
        <v>45687</v>
      </c>
      <c r="B4753" s="135">
        <f>YEAR(source[[#This Row],[report_date]])</f>
        <v>2025</v>
      </c>
      <c r="C4753" s="128">
        <f t="shared" si="216"/>
        <v>1</v>
      </c>
      <c r="D4753" s="136">
        <f t="shared" si="218"/>
        <v>5</v>
      </c>
      <c r="E4753" s="136">
        <f t="shared" si="217"/>
        <v>30</v>
      </c>
      <c r="F4753" s="137" t="s">
        <v>24</v>
      </c>
      <c r="G4753" s="128" t="str">
        <f>VLOOKUP(source[[#This Row],[lending_product_transform]],[3]Mapping!$B$4:$C$37,2,0)</f>
        <v>[Cake] - Cashloan</v>
      </c>
      <c r="H4753" s="128" t="str">
        <f>VLOOKUP(source[[#This Row],[lending_product_transform]],[3]Mapping!$B$3:$D$37,3,0)</f>
        <v>cashloan</v>
      </c>
      <c r="I4753" s="143">
        <v>0</v>
      </c>
    </row>
    <row r="4754" spans="1:9" x14ac:dyDescent="0.2">
      <c r="A4754" s="134">
        <v>45687</v>
      </c>
      <c r="B4754" s="135">
        <f>YEAR(source[[#This Row],[report_date]])</f>
        <v>2025</v>
      </c>
      <c r="C4754" s="128">
        <f t="shared" si="216"/>
        <v>1</v>
      </c>
      <c r="D4754" s="136">
        <f t="shared" si="218"/>
        <v>5</v>
      </c>
      <c r="E4754" s="136">
        <f t="shared" si="217"/>
        <v>30</v>
      </c>
      <c r="F4754" s="137" t="s">
        <v>24</v>
      </c>
      <c r="G4754" s="128" t="str">
        <f>VLOOKUP(source[[#This Row],[lending_product_transform]],[3]Mapping!$B$4:$C$37,2,0)</f>
        <v>[Cake] - Cashloan</v>
      </c>
      <c r="H4754" s="128" t="str">
        <f>VLOOKUP(source[[#This Row],[lending_product_transform]],[3]Mapping!$B$3:$D$37,3,0)</f>
        <v>cashloan</v>
      </c>
      <c r="I4754" s="143">
        <v>69378810</v>
      </c>
    </row>
    <row r="4755" spans="1:9" x14ac:dyDescent="0.2">
      <c r="A4755" s="134">
        <v>45687</v>
      </c>
      <c r="B4755" s="135">
        <f>YEAR(source[[#This Row],[report_date]])</f>
        <v>2025</v>
      </c>
      <c r="C4755" s="128">
        <f t="shared" si="216"/>
        <v>1</v>
      </c>
      <c r="D4755" s="136">
        <f t="shared" si="218"/>
        <v>5</v>
      </c>
      <c r="E4755" s="136">
        <f t="shared" si="217"/>
        <v>30</v>
      </c>
      <c r="F4755" s="137" t="s">
        <v>24</v>
      </c>
      <c r="G4755" s="128" t="str">
        <f>VLOOKUP(source[[#This Row],[lending_product_transform]],[3]Mapping!$B$4:$C$37,2,0)</f>
        <v>[Cake] - Cashloan</v>
      </c>
      <c r="H4755" s="128" t="str">
        <f>VLOOKUP(source[[#This Row],[lending_product_transform]],[3]Mapping!$B$3:$D$37,3,0)</f>
        <v>cashloan</v>
      </c>
      <c r="I4755" s="143">
        <v>161744292</v>
      </c>
    </row>
    <row r="4756" spans="1:9" x14ac:dyDescent="0.2">
      <c r="A4756" s="134">
        <v>45687</v>
      </c>
      <c r="B4756" s="135">
        <f>YEAR(source[[#This Row],[report_date]])</f>
        <v>2025</v>
      </c>
      <c r="C4756" s="128">
        <f t="shared" si="216"/>
        <v>1</v>
      </c>
      <c r="D4756" s="136">
        <f t="shared" si="218"/>
        <v>5</v>
      </c>
      <c r="E4756" s="136">
        <f t="shared" si="217"/>
        <v>30</v>
      </c>
      <c r="F4756" s="137" t="s">
        <v>24</v>
      </c>
      <c r="G4756" s="128" t="str">
        <f>VLOOKUP(source[[#This Row],[lending_product_transform]],[3]Mapping!$B$4:$C$37,2,0)</f>
        <v>[Cake] - Cashloan</v>
      </c>
      <c r="H4756" s="128" t="str">
        <f>VLOOKUP(source[[#This Row],[lending_product_transform]],[3]Mapping!$B$3:$D$37,3,0)</f>
        <v>cashloan</v>
      </c>
      <c r="I4756" s="143">
        <v>138750000</v>
      </c>
    </row>
    <row r="4757" spans="1:9" x14ac:dyDescent="0.2">
      <c r="A4757" s="134">
        <v>45687</v>
      </c>
      <c r="B4757" s="135">
        <f>YEAR(source[[#This Row],[report_date]])</f>
        <v>2025</v>
      </c>
      <c r="C4757" s="128">
        <f t="shared" si="216"/>
        <v>1</v>
      </c>
      <c r="D4757" s="136">
        <f t="shared" si="218"/>
        <v>5</v>
      </c>
      <c r="E4757" s="136">
        <f t="shared" si="217"/>
        <v>30</v>
      </c>
      <c r="F4757" s="137" t="s">
        <v>24</v>
      </c>
      <c r="G4757" s="128" t="str">
        <f>VLOOKUP(source[[#This Row],[lending_product_transform]],[3]Mapping!$B$4:$C$37,2,0)</f>
        <v>[Cake] - Cashloan</v>
      </c>
      <c r="H4757" s="128" t="str">
        <f>VLOOKUP(source[[#This Row],[lending_product_transform]],[3]Mapping!$B$3:$D$37,3,0)</f>
        <v>cashloan</v>
      </c>
      <c r="I4757" s="143">
        <v>0</v>
      </c>
    </row>
    <row r="4758" spans="1:9" x14ac:dyDescent="0.2">
      <c r="A4758" s="134">
        <v>45687</v>
      </c>
      <c r="B4758" s="135">
        <f>YEAR(source[[#This Row],[report_date]])</f>
        <v>2025</v>
      </c>
      <c r="C4758" s="128">
        <f t="shared" ref="C4758:C4784" si="219">MONTH(A4758)</f>
        <v>1</v>
      </c>
      <c r="D4758" s="136">
        <f t="shared" si="218"/>
        <v>5</v>
      </c>
      <c r="E4758" s="136">
        <f t="shared" ref="E4758:E4784" si="220">DAY(A4758)</f>
        <v>30</v>
      </c>
      <c r="F4758" s="137" t="s">
        <v>24</v>
      </c>
      <c r="G4758" s="128" t="str">
        <f>VLOOKUP(source[[#This Row],[lending_product_transform]],[3]Mapping!$B$4:$C$37,2,0)</f>
        <v>[Cake] - Cashloan</v>
      </c>
      <c r="H4758" s="128" t="str">
        <f>VLOOKUP(source[[#This Row],[lending_product_transform]],[3]Mapping!$B$3:$D$37,3,0)</f>
        <v>cashloan</v>
      </c>
      <c r="I4758" s="143">
        <v>0</v>
      </c>
    </row>
    <row r="4759" spans="1:9" x14ac:dyDescent="0.2">
      <c r="A4759" s="134">
        <v>45687</v>
      </c>
      <c r="B4759" s="135">
        <f>YEAR(source[[#This Row],[report_date]])</f>
        <v>2025</v>
      </c>
      <c r="C4759" s="128">
        <f t="shared" si="219"/>
        <v>1</v>
      </c>
      <c r="D4759" s="136">
        <f t="shared" si="218"/>
        <v>5</v>
      </c>
      <c r="E4759" s="136">
        <f t="shared" si="220"/>
        <v>30</v>
      </c>
      <c r="F4759" s="137" t="s">
        <v>24</v>
      </c>
      <c r="G4759" s="128" t="str">
        <f>VLOOKUP(source[[#This Row],[lending_product_transform]],[3]Mapping!$B$4:$C$37,2,0)</f>
        <v>[Cake] - Cashloan</v>
      </c>
      <c r="H4759" s="128" t="str">
        <f>VLOOKUP(source[[#This Row],[lending_product_transform]],[3]Mapping!$B$3:$D$37,3,0)</f>
        <v>cashloan</v>
      </c>
      <c r="I4759" s="143">
        <v>0</v>
      </c>
    </row>
    <row r="4760" spans="1:9" x14ac:dyDescent="0.2">
      <c r="A4760" s="134">
        <v>45687</v>
      </c>
      <c r="B4760" s="135">
        <f>YEAR(source[[#This Row],[report_date]])</f>
        <v>2025</v>
      </c>
      <c r="C4760" s="128">
        <f t="shared" si="219"/>
        <v>1</v>
      </c>
      <c r="D4760" s="136">
        <f t="shared" si="218"/>
        <v>5</v>
      </c>
      <c r="E4760" s="136">
        <f t="shared" si="220"/>
        <v>30</v>
      </c>
      <c r="F4760" s="137" t="s">
        <v>24</v>
      </c>
      <c r="G4760" s="128" t="str">
        <f>VLOOKUP(source[[#This Row],[lending_product_transform]],[3]Mapping!$B$4:$C$37,2,0)</f>
        <v>[Cake] - Cashloan</v>
      </c>
      <c r="H4760" s="128" t="str">
        <f>VLOOKUP(source[[#This Row],[lending_product_transform]],[3]Mapping!$B$3:$D$37,3,0)</f>
        <v>cashloan</v>
      </c>
      <c r="I4760" s="143">
        <v>1609920188</v>
      </c>
    </row>
    <row r="4761" spans="1:9" x14ac:dyDescent="0.2">
      <c r="A4761" s="134">
        <v>45687</v>
      </c>
      <c r="B4761" s="135">
        <f>YEAR(source[[#This Row],[report_date]])</f>
        <v>2025</v>
      </c>
      <c r="C4761" s="128">
        <f t="shared" si="219"/>
        <v>1</v>
      </c>
      <c r="D4761" s="136">
        <f t="shared" si="218"/>
        <v>5</v>
      </c>
      <c r="E4761" s="136">
        <f t="shared" si="220"/>
        <v>30</v>
      </c>
      <c r="F4761" s="137" t="s">
        <v>24</v>
      </c>
      <c r="G4761" s="128" t="str">
        <f>VLOOKUP(source[[#This Row],[lending_product_transform]],[3]Mapping!$B$4:$C$37,2,0)</f>
        <v>[Cake] - Cashloan</v>
      </c>
      <c r="H4761" s="128" t="str">
        <f>VLOOKUP(source[[#This Row],[lending_product_transform]],[3]Mapping!$B$3:$D$37,3,0)</f>
        <v>cashloan</v>
      </c>
      <c r="I4761" s="143">
        <v>2024500000</v>
      </c>
    </row>
    <row r="4762" spans="1:9" x14ac:dyDescent="0.2">
      <c r="A4762" s="134">
        <v>45687</v>
      </c>
      <c r="B4762" s="135">
        <f>YEAR(source[[#This Row],[report_date]])</f>
        <v>2025</v>
      </c>
      <c r="C4762" s="128">
        <f t="shared" si="219"/>
        <v>1</v>
      </c>
      <c r="D4762" s="136">
        <f t="shared" si="218"/>
        <v>5</v>
      </c>
      <c r="E4762" s="136">
        <f t="shared" si="220"/>
        <v>30</v>
      </c>
      <c r="F4762" s="137" t="s">
        <v>24</v>
      </c>
      <c r="G4762" s="128" t="str">
        <f>VLOOKUP(source[[#This Row],[lending_product_transform]],[3]Mapping!$B$4:$C$37,2,0)</f>
        <v>[Cake] - Cashloan</v>
      </c>
      <c r="H4762" s="128" t="str">
        <f>VLOOKUP(source[[#This Row],[lending_product_transform]],[3]Mapping!$B$3:$D$37,3,0)</f>
        <v>cashloan</v>
      </c>
      <c r="I4762" s="143">
        <v>9000000</v>
      </c>
    </row>
    <row r="4763" spans="1:9" x14ac:dyDescent="0.2">
      <c r="A4763" s="134">
        <v>45687</v>
      </c>
      <c r="B4763" s="135">
        <f>YEAR(source[[#This Row],[report_date]])</f>
        <v>2025</v>
      </c>
      <c r="C4763" s="128">
        <f t="shared" si="219"/>
        <v>1</v>
      </c>
      <c r="D4763" s="136">
        <f t="shared" si="218"/>
        <v>5</v>
      </c>
      <c r="E4763" s="136">
        <f t="shared" si="220"/>
        <v>30</v>
      </c>
      <c r="F4763" s="137" t="s">
        <v>24</v>
      </c>
      <c r="G4763" s="128" t="str">
        <f>VLOOKUP(source[[#This Row],[lending_product_transform]],[3]Mapping!$B$4:$C$37,2,0)</f>
        <v>[Cake] - Cashloan</v>
      </c>
      <c r="H4763" s="128" t="str">
        <f>VLOOKUP(source[[#This Row],[lending_product_transform]],[3]Mapping!$B$3:$D$37,3,0)</f>
        <v>cashloan</v>
      </c>
      <c r="I4763" s="143">
        <v>10500000</v>
      </c>
    </row>
    <row r="4764" spans="1:9" x14ac:dyDescent="0.2">
      <c r="A4764" s="134">
        <v>45687</v>
      </c>
      <c r="B4764" s="135">
        <f>YEAR(source[[#This Row],[report_date]])</f>
        <v>2025</v>
      </c>
      <c r="C4764" s="128">
        <f t="shared" si="219"/>
        <v>1</v>
      </c>
      <c r="D4764" s="136">
        <f t="shared" si="218"/>
        <v>5</v>
      </c>
      <c r="E4764" s="136">
        <f t="shared" si="220"/>
        <v>30</v>
      </c>
      <c r="F4764" s="137" t="s">
        <v>24</v>
      </c>
      <c r="G4764" s="128" t="str">
        <f>VLOOKUP(source[[#This Row],[lending_product_transform]],[3]Mapping!$B$4:$C$37,2,0)</f>
        <v>[Cake] - Cashloan</v>
      </c>
      <c r="H4764" s="128" t="str">
        <f>VLOOKUP(source[[#This Row],[lending_product_transform]],[3]Mapping!$B$3:$D$37,3,0)</f>
        <v>cashloan</v>
      </c>
      <c r="I4764" s="143">
        <v>1200060000</v>
      </c>
    </row>
    <row r="4765" spans="1:9" x14ac:dyDescent="0.2">
      <c r="A4765" s="134">
        <v>45687</v>
      </c>
      <c r="B4765" s="135">
        <f>YEAR(source[[#This Row],[report_date]])</f>
        <v>2025</v>
      </c>
      <c r="C4765" s="128">
        <f t="shared" si="219"/>
        <v>1</v>
      </c>
      <c r="D4765" s="136">
        <f t="shared" si="218"/>
        <v>5</v>
      </c>
      <c r="E4765" s="136">
        <f t="shared" si="220"/>
        <v>30</v>
      </c>
      <c r="F4765" s="137" t="s">
        <v>24</v>
      </c>
      <c r="G4765" s="128" t="str">
        <f>VLOOKUP(source[[#This Row],[lending_product_transform]],[3]Mapping!$B$4:$C$37,2,0)</f>
        <v>[Cake] - Cashloan</v>
      </c>
      <c r="H4765" s="128" t="str">
        <f>VLOOKUP(source[[#This Row],[lending_product_transform]],[3]Mapping!$B$3:$D$37,3,0)</f>
        <v>cashloan</v>
      </c>
      <c r="I4765" s="143">
        <v>0</v>
      </c>
    </row>
    <row r="4766" spans="1:9" x14ac:dyDescent="0.2">
      <c r="A4766" s="134">
        <v>45688</v>
      </c>
      <c r="B4766" s="135">
        <f>YEAR(source[[#This Row],[report_date]])</f>
        <v>2025</v>
      </c>
      <c r="C4766" s="128">
        <f t="shared" si="219"/>
        <v>1</v>
      </c>
      <c r="D4766" s="136">
        <f t="shared" si="218"/>
        <v>5</v>
      </c>
      <c r="E4766" s="136">
        <f t="shared" si="220"/>
        <v>31</v>
      </c>
      <c r="F4766" s="137" t="s">
        <v>24</v>
      </c>
      <c r="G4766" s="128" t="str">
        <f>VLOOKUP(source[[#This Row],[lending_product_transform]],[3]Mapping!$B$4:$C$37,2,0)</f>
        <v>[Cake] - Cashloan</v>
      </c>
      <c r="H4766" s="128" t="str">
        <f>VLOOKUP(source[[#This Row],[lending_product_transform]],[3]Mapping!$B$3:$D$37,3,0)</f>
        <v>cashloan</v>
      </c>
      <c r="I4766" s="143">
        <v>0</v>
      </c>
    </row>
    <row r="4767" spans="1:9" x14ac:dyDescent="0.2">
      <c r="A4767" s="134">
        <v>45688</v>
      </c>
      <c r="B4767" s="135">
        <f>YEAR(source[[#This Row],[report_date]])</f>
        <v>2025</v>
      </c>
      <c r="C4767" s="128">
        <f t="shared" si="219"/>
        <v>1</v>
      </c>
      <c r="D4767" s="136">
        <f t="shared" si="218"/>
        <v>5</v>
      </c>
      <c r="E4767" s="136">
        <f t="shared" si="220"/>
        <v>31</v>
      </c>
      <c r="F4767" s="137" t="s">
        <v>24</v>
      </c>
      <c r="G4767" s="128" t="str">
        <f>VLOOKUP(source[[#This Row],[lending_product_transform]],[3]Mapping!$B$4:$C$37,2,0)</f>
        <v>[Cake] - Cashloan</v>
      </c>
      <c r="H4767" s="128" t="str">
        <f>VLOOKUP(source[[#This Row],[lending_product_transform]],[3]Mapping!$B$3:$D$37,3,0)</f>
        <v>cashloan</v>
      </c>
      <c r="I4767" s="143">
        <v>0</v>
      </c>
    </row>
    <row r="4768" spans="1:9" x14ac:dyDescent="0.2">
      <c r="A4768" s="134">
        <v>45688</v>
      </c>
      <c r="B4768" s="135">
        <f>YEAR(source[[#This Row],[report_date]])</f>
        <v>2025</v>
      </c>
      <c r="C4768" s="128">
        <f t="shared" si="219"/>
        <v>1</v>
      </c>
      <c r="D4768" s="136">
        <f t="shared" si="218"/>
        <v>5</v>
      </c>
      <c r="E4768" s="136">
        <f t="shared" si="220"/>
        <v>31</v>
      </c>
      <c r="F4768" s="137" t="s">
        <v>24</v>
      </c>
      <c r="G4768" s="128" t="str">
        <f>VLOOKUP(source[[#This Row],[lending_product_transform]],[3]Mapping!$B$4:$C$37,2,0)</f>
        <v>[Cake] - Cashloan</v>
      </c>
      <c r="H4768" s="128" t="str">
        <f>VLOOKUP(source[[#This Row],[lending_product_transform]],[3]Mapping!$B$3:$D$37,3,0)</f>
        <v>cashloan</v>
      </c>
      <c r="I4768" s="143">
        <v>1980000000</v>
      </c>
    </row>
    <row r="4769" spans="1:9" x14ac:dyDescent="0.2">
      <c r="A4769" s="134">
        <v>45688</v>
      </c>
      <c r="B4769" s="135">
        <f>YEAR(source[[#This Row],[report_date]])</f>
        <v>2025</v>
      </c>
      <c r="C4769" s="128">
        <f t="shared" si="219"/>
        <v>1</v>
      </c>
      <c r="D4769" s="136">
        <f t="shared" si="218"/>
        <v>5</v>
      </c>
      <c r="E4769" s="136">
        <f t="shared" si="220"/>
        <v>31</v>
      </c>
      <c r="F4769" s="137" t="s">
        <v>24</v>
      </c>
      <c r="G4769" s="128" t="str">
        <f>VLOOKUP(source[[#This Row],[lending_product_transform]],[3]Mapping!$B$4:$C$37,2,0)</f>
        <v>[Cake] - Cashloan</v>
      </c>
      <c r="H4769" s="128" t="str">
        <f>VLOOKUP(source[[#This Row],[lending_product_transform]],[3]Mapping!$B$3:$D$37,3,0)</f>
        <v>cashloan</v>
      </c>
      <c r="I4769" s="143">
        <v>1679730000</v>
      </c>
    </row>
    <row r="4770" spans="1:9" x14ac:dyDescent="0.2">
      <c r="A4770" s="134">
        <v>45688</v>
      </c>
      <c r="B4770" s="135">
        <f>YEAR(source[[#This Row],[report_date]])</f>
        <v>2025</v>
      </c>
      <c r="C4770" s="128">
        <f t="shared" si="219"/>
        <v>1</v>
      </c>
      <c r="D4770" s="136">
        <f t="shared" si="218"/>
        <v>5</v>
      </c>
      <c r="E4770" s="136">
        <f t="shared" si="220"/>
        <v>31</v>
      </c>
      <c r="F4770" s="137" t="s">
        <v>24</v>
      </c>
      <c r="G4770" s="128" t="str">
        <f>VLOOKUP(source[[#This Row],[lending_product_transform]],[3]Mapping!$B$4:$C$37,2,0)</f>
        <v>[Cake] - Cashloan</v>
      </c>
      <c r="H4770" s="128" t="str">
        <f>VLOOKUP(source[[#This Row],[lending_product_transform]],[3]Mapping!$B$3:$D$37,3,0)</f>
        <v>cashloan</v>
      </c>
      <c r="I4770" s="143">
        <v>0</v>
      </c>
    </row>
    <row r="4771" spans="1:9" x14ac:dyDescent="0.2">
      <c r="A4771" s="134">
        <v>45688</v>
      </c>
      <c r="B4771" s="135">
        <f>YEAR(source[[#This Row],[report_date]])</f>
        <v>2025</v>
      </c>
      <c r="C4771" s="128">
        <f t="shared" si="219"/>
        <v>1</v>
      </c>
      <c r="D4771" s="136">
        <f t="shared" si="218"/>
        <v>5</v>
      </c>
      <c r="E4771" s="136">
        <f t="shared" si="220"/>
        <v>31</v>
      </c>
      <c r="F4771" s="137" t="s">
        <v>24</v>
      </c>
      <c r="G4771" s="128" t="str">
        <f>VLOOKUP(source[[#This Row],[lending_product_transform]],[3]Mapping!$B$4:$C$37,2,0)</f>
        <v>[Cake] - Cashloan</v>
      </c>
      <c r="H4771" s="128" t="str">
        <f>VLOOKUP(source[[#This Row],[lending_product_transform]],[3]Mapping!$B$3:$D$37,3,0)</f>
        <v>cashloan</v>
      </c>
      <c r="I4771" s="143">
        <v>0</v>
      </c>
    </row>
    <row r="4772" spans="1:9" x14ac:dyDescent="0.2">
      <c r="A4772" s="134">
        <v>45688</v>
      </c>
      <c r="B4772" s="135">
        <f>YEAR(source[[#This Row],[report_date]])</f>
        <v>2025</v>
      </c>
      <c r="C4772" s="128">
        <f t="shared" si="219"/>
        <v>1</v>
      </c>
      <c r="D4772" s="136">
        <f t="shared" si="218"/>
        <v>5</v>
      </c>
      <c r="E4772" s="136">
        <f t="shared" si="220"/>
        <v>31</v>
      </c>
      <c r="F4772" s="137" t="s">
        <v>24</v>
      </c>
      <c r="G4772" s="128" t="str">
        <f>VLOOKUP(source[[#This Row],[lending_product_transform]],[3]Mapping!$B$4:$C$37,2,0)</f>
        <v>[Cake] - Cashloan</v>
      </c>
      <c r="H4772" s="128" t="str">
        <f>VLOOKUP(source[[#This Row],[lending_product_transform]],[3]Mapping!$B$3:$D$37,3,0)</f>
        <v>cashloan</v>
      </c>
      <c r="I4772" s="143">
        <v>0</v>
      </c>
    </row>
    <row r="4773" spans="1:9" x14ac:dyDescent="0.2">
      <c r="A4773" s="134">
        <v>45688</v>
      </c>
      <c r="B4773" s="135">
        <f>YEAR(source[[#This Row],[report_date]])</f>
        <v>2025</v>
      </c>
      <c r="C4773" s="128">
        <f t="shared" si="219"/>
        <v>1</v>
      </c>
      <c r="D4773" s="136">
        <f t="shared" si="218"/>
        <v>5</v>
      </c>
      <c r="E4773" s="136">
        <f t="shared" si="220"/>
        <v>31</v>
      </c>
      <c r="F4773" s="137" t="s">
        <v>24</v>
      </c>
      <c r="G4773" s="128" t="str">
        <f>VLOOKUP(source[[#This Row],[lending_product_transform]],[3]Mapping!$B$4:$C$37,2,0)</f>
        <v>[Cake] - Cashloan</v>
      </c>
      <c r="H4773" s="128" t="str">
        <f>VLOOKUP(source[[#This Row],[lending_product_transform]],[3]Mapping!$B$3:$D$37,3,0)</f>
        <v>cashloan</v>
      </c>
      <c r="I4773" s="143">
        <v>60558152</v>
      </c>
    </row>
    <row r="4774" spans="1:9" x14ac:dyDescent="0.2">
      <c r="A4774" s="134">
        <v>45688</v>
      </c>
      <c r="B4774" s="135">
        <f>YEAR(source[[#This Row],[report_date]])</f>
        <v>2025</v>
      </c>
      <c r="C4774" s="128">
        <f t="shared" si="219"/>
        <v>1</v>
      </c>
      <c r="D4774" s="136">
        <f t="shared" si="218"/>
        <v>5</v>
      </c>
      <c r="E4774" s="136">
        <f t="shared" si="220"/>
        <v>31</v>
      </c>
      <c r="F4774" s="137" t="s">
        <v>24</v>
      </c>
      <c r="G4774" s="128" t="str">
        <f>VLOOKUP(source[[#This Row],[lending_product_transform]],[3]Mapping!$B$4:$C$37,2,0)</f>
        <v>[Cake] - Cashloan</v>
      </c>
      <c r="H4774" s="128" t="str">
        <f>VLOOKUP(source[[#This Row],[lending_product_transform]],[3]Mapping!$B$3:$D$37,3,0)</f>
        <v>cashloan</v>
      </c>
      <c r="I4774" s="143">
        <v>86990000</v>
      </c>
    </row>
    <row r="4775" spans="1:9" x14ac:dyDescent="0.2">
      <c r="A4775" s="134">
        <v>45688</v>
      </c>
      <c r="B4775" s="135">
        <f>YEAR(source[[#This Row],[report_date]])</f>
        <v>2025</v>
      </c>
      <c r="C4775" s="128">
        <f t="shared" si="219"/>
        <v>1</v>
      </c>
      <c r="D4775" s="136">
        <f t="shared" si="218"/>
        <v>5</v>
      </c>
      <c r="E4775" s="136">
        <f t="shared" si="220"/>
        <v>31</v>
      </c>
      <c r="F4775" s="137" t="s">
        <v>24</v>
      </c>
      <c r="G4775" s="128" t="str">
        <f>VLOOKUP(source[[#This Row],[lending_product_transform]],[3]Mapping!$B$4:$C$37,2,0)</f>
        <v>[Cake] - Cashloan</v>
      </c>
      <c r="H4775" s="128" t="str">
        <f>VLOOKUP(source[[#This Row],[lending_product_transform]],[3]Mapping!$B$3:$D$37,3,0)</f>
        <v>cashloan</v>
      </c>
      <c r="I4775" s="143">
        <v>0</v>
      </c>
    </row>
    <row r="4776" spans="1:9" x14ac:dyDescent="0.2">
      <c r="A4776" s="134">
        <v>45688</v>
      </c>
      <c r="B4776" s="135">
        <f>YEAR(source[[#This Row],[report_date]])</f>
        <v>2025</v>
      </c>
      <c r="C4776" s="128">
        <f t="shared" si="219"/>
        <v>1</v>
      </c>
      <c r="D4776" s="136">
        <f t="shared" si="218"/>
        <v>5</v>
      </c>
      <c r="E4776" s="136">
        <f t="shared" si="220"/>
        <v>31</v>
      </c>
      <c r="F4776" s="137" t="s">
        <v>24</v>
      </c>
      <c r="G4776" s="128" t="str">
        <f>VLOOKUP(source[[#This Row],[lending_product_transform]],[3]Mapping!$B$4:$C$37,2,0)</f>
        <v>[Cake] - Cashloan</v>
      </c>
      <c r="H4776" s="128" t="str">
        <f>VLOOKUP(source[[#This Row],[lending_product_transform]],[3]Mapping!$B$3:$D$37,3,0)</f>
        <v>cashloan</v>
      </c>
      <c r="I4776" s="143">
        <v>73376724</v>
      </c>
    </row>
    <row r="4777" spans="1:9" x14ac:dyDescent="0.2">
      <c r="A4777" s="134">
        <v>45688</v>
      </c>
      <c r="B4777" s="135">
        <f>YEAR(source[[#This Row],[report_date]])</f>
        <v>2025</v>
      </c>
      <c r="C4777" s="128">
        <f t="shared" si="219"/>
        <v>1</v>
      </c>
      <c r="D4777" s="136">
        <f t="shared" si="218"/>
        <v>5</v>
      </c>
      <c r="E4777" s="136">
        <f t="shared" si="220"/>
        <v>31</v>
      </c>
      <c r="F4777" s="137" t="s">
        <v>24</v>
      </c>
      <c r="G4777" s="128" t="str">
        <f>VLOOKUP(source[[#This Row],[lending_product_transform]],[3]Mapping!$B$4:$C$37,2,0)</f>
        <v>[Cake] - Cashloan</v>
      </c>
      <c r="H4777" s="128" t="str">
        <f>VLOOKUP(source[[#This Row],[lending_product_transform]],[3]Mapping!$B$3:$D$37,3,0)</f>
        <v>cashloan</v>
      </c>
      <c r="I4777" s="143">
        <v>138903034</v>
      </c>
    </row>
    <row r="4778" spans="1:9" x14ac:dyDescent="0.2">
      <c r="A4778" s="134">
        <v>45688</v>
      </c>
      <c r="B4778" s="135">
        <f>YEAR(source[[#This Row],[report_date]])</f>
        <v>2025</v>
      </c>
      <c r="C4778" s="128">
        <f t="shared" si="219"/>
        <v>1</v>
      </c>
      <c r="D4778" s="136">
        <f t="shared" si="218"/>
        <v>5</v>
      </c>
      <c r="E4778" s="136">
        <f t="shared" si="220"/>
        <v>31</v>
      </c>
      <c r="F4778" s="137" t="s">
        <v>24</v>
      </c>
      <c r="G4778" s="128" t="str">
        <f>VLOOKUP(source[[#This Row],[lending_product_transform]],[3]Mapping!$B$4:$C$37,2,0)</f>
        <v>[Cake] - Cashloan</v>
      </c>
      <c r="H4778" s="128" t="str">
        <f>VLOOKUP(source[[#This Row],[lending_product_transform]],[3]Mapping!$B$3:$D$37,3,0)</f>
        <v>cashloan</v>
      </c>
      <c r="I4778" s="143">
        <v>0</v>
      </c>
    </row>
    <row r="4779" spans="1:9" x14ac:dyDescent="0.2">
      <c r="A4779" s="134">
        <v>45688</v>
      </c>
      <c r="B4779" s="135">
        <f>YEAR(source[[#This Row],[report_date]])</f>
        <v>2025</v>
      </c>
      <c r="C4779" s="128">
        <f t="shared" si="219"/>
        <v>1</v>
      </c>
      <c r="D4779" s="136">
        <f t="shared" si="218"/>
        <v>5</v>
      </c>
      <c r="E4779" s="136">
        <f t="shared" si="220"/>
        <v>31</v>
      </c>
      <c r="F4779" s="137" t="s">
        <v>24</v>
      </c>
      <c r="G4779" s="128" t="str">
        <f>VLOOKUP(source[[#This Row],[lending_product_transform]],[3]Mapping!$B$4:$C$37,2,0)</f>
        <v>[Cake] - Cashloan</v>
      </c>
      <c r="H4779" s="128" t="str">
        <f>VLOOKUP(source[[#This Row],[lending_product_transform]],[3]Mapping!$B$3:$D$37,3,0)</f>
        <v>cashloan</v>
      </c>
      <c r="I4779" s="143">
        <v>4331550</v>
      </c>
    </row>
    <row r="4780" spans="1:9" x14ac:dyDescent="0.2">
      <c r="A4780" s="134">
        <v>45688</v>
      </c>
      <c r="B4780" s="135">
        <f>YEAR(source[[#This Row],[report_date]])</f>
        <v>2025</v>
      </c>
      <c r="C4780" s="128">
        <f t="shared" si="219"/>
        <v>1</v>
      </c>
      <c r="D4780" s="136">
        <f t="shared" si="218"/>
        <v>5</v>
      </c>
      <c r="E4780" s="136">
        <f t="shared" si="220"/>
        <v>31</v>
      </c>
      <c r="F4780" s="137" t="s">
        <v>24</v>
      </c>
      <c r="G4780" s="128" t="str">
        <f>VLOOKUP(source[[#This Row],[lending_product_transform]],[3]Mapping!$B$4:$C$37,2,0)</f>
        <v>[Cake] - Cashloan</v>
      </c>
      <c r="H4780" s="128" t="str">
        <f>VLOOKUP(source[[#This Row],[lending_product_transform]],[3]Mapping!$B$3:$D$37,3,0)</f>
        <v>cashloan</v>
      </c>
      <c r="I4780" s="143">
        <v>0</v>
      </c>
    </row>
    <row r="4781" spans="1:9" x14ac:dyDescent="0.2">
      <c r="A4781" s="134">
        <v>45688</v>
      </c>
      <c r="B4781" s="135">
        <f>YEAR(source[[#This Row],[report_date]])</f>
        <v>2025</v>
      </c>
      <c r="C4781" s="128">
        <f t="shared" si="219"/>
        <v>1</v>
      </c>
      <c r="D4781" s="136">
        <f t="shared" si="218"/>
        <v>5</v>
      </c>
      <c r="E4781" s="136">
        <f t="shared" si="220"/>
        <v>31</v>
      </c>
      <c r="F4781" s="137" t="s">
        <v>24</v>
      </c>
      <c r="G4781" s="128" t="str">
        <f>VLOOKUP(source[[#This Row],[lending_product_transform]],[3]Mapping!$B$4:$C$37,2,0)</f>
        <v>[Cake] - Cashloan</v>
      </c>
      <c r="H4781" s="128" t="str">
        <f>VLOOKUP(source[[#This Row],[lending_product_transform]],[3]Mapping!$B$3:$D$37,3,0)</f>
        <v>cashloan</v>
      </c>
      <c r="I4781" s="143">
        <v>0</v>
      </c>
    </row>
    <row r="4782" spans="1:9" x14ac:dyDescent="0.2">
      <c r="A4782" s="134">
        <v>45688</v>
      </c>
      <c r="B4782" s="135">
        <f>YEAR(source[[#This Row],[report_date]])</f>
        <v>2025</v>
      </c>
      <c r="C4782" s="128">
        <f t="shared" si="219"/>
        <v>1</v>
      </c>
      <c r="D4782" s="136">
        <f t="shared" si="218"/>
        <v>5</v>
      </c>
      <c r="E4782" s="136">
        <f t="shared" si="220"/>
        <v>31</v>
      </c>
      <c r="F4782" s="137" t="s">
        <v>24</v>
      </c>
      <c r="G4782" s="128" t="str">
        <f>VLOOKUP(source[[#This Row],[lending_product_transform]],[3]Mapping!$B$4:$C$37,2,0)</f>
        <v>[Cake] - Cashloan</v>
      </c>
      <c r="H4782" s="128" t="str">
        <f>VLOOKUP(source[[#This Row],[lending_product_transform]],[3]Mapping!$B$3:$D$37,3,0)</f>
        <v>cashloan</v>
      </c>
      <c r="I4782" s="143">
        <v>9000000</v>
      </c>
    </row>
    <row r="4783" spans="1:9" x14ac:dyDescent="0.2">
      <c r="A4783" s="134">
        <v>45688</v>
      </c>
      <c r="B4783" s="135">
        <f>YEAR(source[[#This Row],[report_date]])</f>
        <v>2025</v>
      </c>
      <c r="C4783" s="128">
        <f t="shared" si="219"/>
        <v>1</v>
      </c>
      <c r="D4783" s="136">
        <f t="shared" si="218"/>
        <v>5</v>
      </c>
      <c r="E4783" s="136">
        <f t="shared" si="220"/>
        <v>31</v>
      </c>
      <c r="F4783" s="137" t="s">
        <v>24</v>
      </c>
      <c r="G4783" s="128" t="str">
        <f>VLOOKUP(source[[#This Row],[lending_product_transform]],[3]Mapping!$B$4:$C$37,2,0)</f>
        <v>[Cake] - Cashloan</v>
      </c>
      <c r="H4783" s="128" t="str">
        <f>VLOOKUP(source[[#This Row],[lending_product_transform]],[3]Mapping!$B$3:$D$37,3,0)</f>
        <v>cashloan</v>
      </c>
      <c r="I4783" s="143">
        <v>1713347211</v>
      </c>
    </row>
    <row r="4784" spans="1:9" x14ac:dyDescent="0.2">
      <c r="A4784" s="134">
        <v>45688</v>
      </c>
      <c r="B4784" s="135">
        <f>YEAR(source[[#This Row],[report_date]])</f>
        <v>2025</v>
      </c>
      <c r="C4784" s="128">
        <f t="shared" si="219"/>
        <v>1</v>
      </c>
      <c r="D4784" s="136">
        <f t="shared" si="218"/>
        <v>5</v>
      </c>
      <c r="E4784" s="136">
        <f t="shared" si="220"/>
        <v>31</v>
      </c>
      <c r="F4784" s="137" t="s">
        <v>24</v>
      </c>
      <c r="G4784" s="128" t="str">
        <f>VLOOKUP(source[[#This Row],[lending_product_transform]],[3]Mapping!$B$4:$C$37,2,0)</f>
        <v>[Cake] - Cashloan</v>
      </c>
      <c r="H4784" s="128" t="str">
        <f>VLOOKUP(source[[#This Row],[lending_product_transform]],[3]Mapping!$B$3:$D$37,3,0)</f>
        <v>cashloan</v>
      </c>
      <c r="I4784" s="143">
        <v>1267520000</v>
      </c>
    </row>
    <row r="4785" spans="1:9" x14ac:dyDescent="0.2">
      <c r="A4785" s="134">
        <v>45689</v>
      </c>
      <c r="B4785" s="135">
        <f>YEAR(source[[#This Row],[report_date]])</f>
        <v>2025</v>
      </c>
      <c r="C4785" s="128">
        <f>MONTH(A4785)</f>
        <v>2</v>
      </c>
      <c r="D4785" s="136">
        <f t="shared" si="218"/>
        <v>5</v>
      </c>
      <c r="E4785" s="136">
        <f>DAY(A4785)</f>
        <v>1</v>
      </c>
      <c r="F4785" s="128" t="s">
        <v>24</v>
      </c>
      <c r="G4785" s="128" t="str">
        <f>VLOOKUP(source[[#This Row],[lending_product_transform]],[3]Mapping!$B$4:$C$37,2,0)</f>
        <v>[Cake] - Cashloan</v>
      </c>
      <c r="H4785" s="128" t="str">
        <f>VLOOKUP(source[[#This Row],[lending_product_transform]],[3]Mapping!$B$3:$D$37,3,0)</f>
        <v>cashloan</v>
      </c>
      <c r="I4785" s="135">
        <v>68060000</v>
      </c>
    </row>
    <row r="4786" spans="1:9" x14ac:dyDescent="0.2">
      <c r="A4786" s="134">
        <v>45689</v>
      </c>
      <c r="B4786" s="135">
        <f>YEAR(source[[#This Row],[report_date]])</f>
        <v>2025</v>
      </c>
      <c r="C4786" s="128">
        <f t="shared" ref="C4786:C4849" si="221">MONTH(A4786)</f>
        <v>2</v>
      </c>
      <c r="D4786" s="136">
        <f t="shared" si="218"/>
        <v>5</v>
      </c>
      <c r="E4786" s="136">
        <f t="shared" ref="E4786:E4849" si="222">DAY(A4786)</f>
        <v>1</v>
      </c>
      <c r="F4786" s="128" t="s">
        <v>24</v>
      </c>
      <c r="G4786" s="128" t="str">
        <f>VLOOKUP(source[[#This Row],[lending_product_transform]],[3]Mapping!$B$4:$C$37,2,0)</f>
        <v>[Cake] - Cashloan</v>
      </c>
      <c r="H4786" s="128" t="str">
        <f>VLOOKUP(source[[#This Row],[lending_product_transform]],[3]Mapping!$B$3:$D$37,3,0)</f>
        <v>cashloan</v>
      </c>
      <c r="I4786" s="135">
        <v>2619000000</v>
      </c>
    </row>
    <row r="4787" spans="1:9" x14ac:dyDescent="0.2">
      <c r="A4787" s="134">
        <v>45689</v>
      </c>
      <c r="B4787" s="135">
        <f>YEAR(source[[#This Row],[report_date]])</f>
        <v>2025</v>
      </c>
      <c r="C4787" s="128">
        <f t="shared" si="221"/>
        <v>2</v>
      </c>
      <c r="D4787" s="136">
        <f t="shared" si="218"/>
        <v>5</v>
      </c>
      <c r="E4787" s="136">
        <f t="shared" si="222"/>
        <v>1</v>
      </c>
      <c r="F4787" s="128" t="s">
        <v>24</v>
      </c>
      <c r="G4787" s="128" t="str">
        <f>VLOOKUP(source[[#This Row],[lending_product_transform]],[3]Mapping!$B$4:$C$37,2,0)</f>
        <v>[Cake] - Cashloan</v>
      </c>
      <c r="H4787" s="128" t="str">
        <f>VLOOKUP(source[[#This Row],[lending_product_transform]],[3]Mapping!$B$3:$D$37,3,0)</f>
        <v>cashloan</v>
      </c>
      <c r="I4787" s="135">
        <v>264713604</v>
      </c>
    </row>
    <row r="4788" spans="1:9" x14ac:dyDescent="0.2">
      <c r="A4788" s="134">
        <v>45689</v>
      </c>
      <c r="B4788" s="135">
        <f>YEAR(source[[#This Row],[report_date]])</f>
        <v>2025</v>
      </c>
      <c r="C4788" s="128">
        <f t="shared" si="221"/>
        <v>2</v>
      </c>
      <c r="D4788" s="136">
        <f t="shared" si="218"/>
        <v>5</v>
      </c>
      <c r="E4788" s="136">
        <f t="shared" si="222"/>
        <v>1</v>
      </c>
      <c r="F4788" s="128" t="s">
        <v>24</v>
      </c>
      <c r="G4788" s="128" t="str">
        <f>VLOOKUP(source[[#This Row],[lending_product_transform]],[3]Mapping!$B$4:$C$37,2,0)</f>
        <v>[Cake] - Cashloan</v>
      </c>
      <c r="H4788" s="128" t="str">
        <f>VLOOKUP(source[[#This Row],[lending_product_transform]],[3]Mapping!$B$3:$D$37,3,0)</f>
        <v>cashloan</v>
      </c>
      <c r="I4788" s="135">
        <v>3161952064</v>
      </c>
    </row>
    <row r="4789" spans="1:9" x14ac:dyDescent="0.2">
      <c r="A4789" s="134">
        <v>45689</v>
      </c>
      <c r="B4789" s="135">
        <f>YEAR(source[[#This Row],[report_date]])</f>
        <v>2025</v>
      </c>
      <c r="C4789" s="128">
        <f t="shared" si="221"/>
        <v>2</v>
      </c>
      <c r="D4789" s="136">
        <f t="shared" si="218"/>
        <v>5</v>
      </c>
      <c r="E4789" s="136">
        <f t="shared" si="222"/>
        <v>1</v>
      </c>
      <c r="F4789" s="128" t="s">
        <v>24</v>
      </c>
      <c r="G4789" s="128" t="str">
        <f>VLOOKUP(source[[#This Row],[lending_product_transform]],[3]Mapping!$B$4:$C$37,2,0)</f>
        <v>[Cake] - Cashloan</v>
      </c>
      <c r="H4789" s="128" t="str">
        <f>VLOOKUP(source[[#This Row],[lending_product_transform]],[3]Mapping!$B$3:$D$37,3,0)</f>
        <v>cashloan</v>
      </c>
      <c r="I4789" s="135">
        <v>42800000</v>
      </c>
    </row>
    <row r="4790" spans="1:9" x14ac:dyDescent="0.2">
      <c r="A4790" s="134">
        <v>45689</v>
      </c>
      <c r="B4790" s="135">
        <f>YEAR(source[[#This Row],[report_date]])</f>
        <v>2025</v>
      </c>
      <c r="C4790" s="128">
        <f t="shared" si="221"/>
        <v>2</v>
      </c>
      <c r="D4790" s="136">
        <f t="shared" si="218"/>
        <v>5</v>
      </c>
      <c r="E4790" s="136">
        <f t="shared" si="222"/>
        <v>1</v>
      </c>
      <c r="F4790" s="128" t="s">
        <v>24</v>
      </c>
      <c r="G4790" s="128" t="str">
        <f>VLOOKUP(source[[#This Row],[lending_product_transform]],[3]Mapping!$B$4:$C$37,2,0)</f>
        <v>[Cake] - Cashloan</v>
      </c>
      <c r="H4790" s="128" t="str">
        <f>VLOOKUP(source[[#This Row],[lending_product_transform]],[3]Mapping!$B$3:$D$37,3,0)</f>
        <v>cashloan</v>
      </c>
      <c r="I4790" s="135">
        <v>0</v>
      </c>
    </row>
    <row r="4791" spans="1:9" x14ac:dyDescent="0.2">
      <c r="A4791" s="134">
        <v>45689</v>
      </c>
      <c r="B4791" s="135">
        <f>YEAR(source[[#This Row],[report_date]])</f>
        <v>2025</v>
      </c>
      <c r="C4791" s="128">
        <f t="shared" si="221"/>
        <v>2</v>
      </c>
      <c r="D4791" s="136">
        <f t="shared" si="218"/>
        <v>5</v>
      </c>
      <c r="E4791" s="136">
        <f t="shared" si="222"/>
        <v>1</v>
      </c>
      <c r="F4791" s="128" t="s">
        <v>24</v>
      </c>
      <c r="G4791" s="128" t="str">
        <f>VLOOKUP(source[[#This Row],[lending_product_transform]],[3]Mapping!$B$4:$C$37,2,0)</f>
        <v>[Cake] - Cashloan</v>
      </c>
      <c r="H4791" s="128" t="str">
        <f>VLOOKUP(source[[#This Row],[lending_product_transform]],[3]Mapping!$B$3:$D$37,3,0)</f>
        <v>cashloan</v>
      </c>
      <c r="I4791" s="135">
        <v>229564547</v>
      </c>
    </row>
    <row r="4792" spans="1:9" x14ac:dyDescent="0.2">
      <c r="A4792" s="134">
        <v>45689</v>
      </c>
      <c r="B4792" s="135">
        <f>YEAR(source[[#This Row],[report_date]])</f>
        <v>2025</v>
      </c>
      <c r="C4792" s="128">
        <f t="shared" si="221"/>
        <v>2</v>
      </c>
      <c r="D4792" s="136">
        <f t="shared" si="218"/>
        <v>5</v>
      </c>
      <c r="E4792" s="136">
        <f t="shared" si="222"/>
        <v>1</v>
      </c>
      <c r="F4792" s="128" t="s">
        <v>24</v>
      </c>
      <c r="G4792" s="128" t="str">
        <f>VLOOKUP(source[[#This Row],[lending_product_transform]],[3]Mapping!$B$4:$C$37,2,0)</f>
        <v>[Cake] - Cashloan</v>
      </c>
      <c r="H4792" s="128" t="str">
        <f>VLOOKUP(source[[#This Row],[lending_product_transform]],[3]Mapping!$B$3:$D$37,3,0)</f>
        <v>cashloan</v>
      </c>
      <c r="I4792" s="135">
        <v>21000000</v>
      </c>
    </row>
    <row r="4793" spans="1:9" x14ac:dyDescent="0.2">
      <c r="A4793" s="134">
        <v>45689</v>
      </c>
      <c r="B4793" s="135">
        <f>YEAR(source[[#This Row],[report_date]])</f>
        <v>2025</v>
      </c>
      <c r="C4793" s="128">
        <f t="shared" si="221"/>
        <v>2</v>
      </c>
      <c r="D4793" s="136">
        <f t="shared" si="218"/>
        <v>5</v>
      </c>
      <c r="E4793" s="136">
        <f t="shared" si="222"/>
        <v>1</v>
      </c>
      <c r="F4793" s="128" t="s">
        <v>24</v>
      </c>
      <c r="G4793" s="128" t="str">
        <f>VLOOKUP(source[[#This Row],[lending_product_transform]],[3]Mapping!$B$4:$C$37,2,0)</f>
        <v>[Cake] - Cashloan</v>
      </c>
      <c r="H4793" s="128" t="str">
        <f>VLOOKUP(source[[#This Row],[lending_product_transform]],[3]Mapping!$B$3:$D$37,3,0)</f>
        <v>cashloan</v>
      </c>
      <c r="I4793" s="135">
        <v>0</v>
      </c>
    </row>
    <row r="4794" spans="1:9" x14ac:dyDescent="0.2">
      <c r="A4794" s="134">
        <v>45689</v>
      </c>
      <c r="B4794" s="135">
        <f>YEAR(source[[#This Row],[report_date]])</f>
        <v>2025</v>
      </c>
      <c r="C4794" s="128">
        <f t="shared" si="221"/>
        <v>2</v>
      </c>
      <c r="D4794" s="136">
        <f t="shared" si="218"/>
        <v>5</v>
      </c>
      <c r="E4794" s="136">
        <f t="shared" si="222"/>
        <v>1</v>
      </c>
      <c r="F4794" s="128" t="s">
        <v>24</v>
      </c>
      <c r="G4794" s="128" t="str">
        <f>VLOOKUP(source[[#This Row],[lending_product_transform]],[3]Mapping!$B$4:$C$37,2,0)</f>
        <v>[Cake] - Cashloan</v>
      </c>
      <c r="H4794" s="128" t="str">
        <f>VLOOKUP(source[[#This Row],[lending_product_transform]],[3]Mapping!$B$3:$D$37,3,0)</f>
        <v>cashloan</v>
      </c>
      <c r="I4794" s="135">
        <v>8000000</v>
      </c>
    </row>
    <row r="4795" spans="1:9" x14ac:dyDescent="0.2">
      <c r="A4795" s="134">
        <v>45689</v>
      </c>
      <c r="B4795" s="135">
        <f>YEAR(source[[#This Row],[report_date]])</f>
        <v>2025</v>
      </c>
      <c r="C4795" s="128">
        <f t="shared" si="221"/>
        <v>2</v>
      </c>
      <c r="D4795" s="136">
        <f t="shared" si="218"/>
        <v>5</v>
      </c>
      <c r="E4795" s="136">
        <f t="shared" si="222"/>
        <v>1</v>
      </c>
      <c r="F4795" s="128" t="s">
        <v>24</v>
      </c>
      <c r="G4795" s="128" t="str">
        <f>VLOOKUP(source[[#This Row],[lending_product_transform]],[3]Mapping!$B$4:$C$37,2,0)</f>
        <v>[Cake] - Cashloan</v>
      </c>
      <c r="H4795" s="128" t="str">
        <f>VLOOKUP(source[[#This Row],[lending_product_transform]],[3]Mapping!$B$3:$D$37,3,0)</f>
        <v>cashloan</v>
      </c>
      <c r="I4795" s="135">
        <v>2003110000</v>
      </c>
    </row>
    <row r="4796" spans="1:9" x14ac:dyDescent="0.2">
      <c r="A4796" s="134">
        <v>45689</v>
      </c>
      <c r="B4796" s="135">
        <f>YEAR(source[[#This Row],[report_date]])</f>
        <v>2025</v>
      </c>
      <c r="C4796" s="128">
        <f t="shared" si="221"/>
        <v>2</v>
      </c>
      <c r="D4796" s="136">
        <f t="shared" si="218"/>
        <v>5</v>
      </c>
      <c r="E4796" s="136">
        <f t="shared" si="222"/>
        <v>1</v>
      </c>
      <c r="F4796" s="128" t="s">
        <v>24</v>
      </c>
      <c r="G4796" s="128" t="str">
        <f>VLOOKUP(source[[#This Row],[lending_product_transform]],[3]Mapping!$B$4:$C$37,2,0)</f>
        <v>[Cake] - Cashloan</v>
      </c>
      <c r="H4796" s="128" t="str">
        <f>VLOOKUP(source[[#This Row],[lending_product_transform]],[3]Mapping!$B$3:$D$37,3,0)</f>
        <v>cashloan</v>
      </c>
      <c r="I4796" s="135">
        <v>0</v>
      </c>
    </row>
    <row r="4797" spans="1:9" x14ac:dyDescent="0.2">
      <c r="A4797" s="134">
        <v>45689</v>
      </c>
      <c r="B4797" s="135">
        <f>YEAR(source[[#This Row],[report_date]])</f>
        <v>2025</v>
      </c>
      <c r="C4797" s="128">
        <f t="shared" si="221"/>
        <v>2</v>
      </c>
      <c r="D4797" s="136">
        <f t="shared" si="218"/>
        <v>5</v>
      </c>
      <c r="E4797" s="136">
        <f t="shared" si="222"/>
        <v>1</v>
      </c>
      <c r="F4797" s="128" t="s">
        <v>24</v>
      </c>
      <c r="G4797" s="128" t="str">
        <f>VLOOKUP(source[[#This Row],[lending_product_transform]],[3]Mapping!$B$4:$C$37,2,0)</f>
        <v>[Cake] - Cashloan</v>
      </c>
      <c r="H4797" s="128" t="str">
        <f>VLOOKUP(source[[#This Row],[lending_product_transform]],[3]Mapping!$B$3:$D$37,3,0)</f>
        <v>cashloan</v>
      </c>
      <c r="I4797" s="135">
        <v>0</v>
      </c>
    </row>
    <row r="4798" spans="1:9" x14ac:dyDescent="0.2">
      <c r="A4798" s="134">
        <v>45689</v>
      </c>
      <c r="B4798" s="135">
        <f>YEAR(source[[#This Row],[report_date]])</f>
        <v>2025</v>
      </c>
      <c r="C4798" s="128">
        <f t="shared" si="221"/>
        <v>2</v>
      </c>
      <c r="D4798" s="136">
        <f t="shared" si="218"/>
        <v>5</v>
      </c>
      <c r="E4798" s="136">
        <f t="shared" si="222"/>
        <v>1</v>
      </c>
      <c r="F4798" s="128" t="s">
        <v>24</v>
      </c>
      <c r="G4798" s="128" t="str">
        <f>VLOOKUP(source[[#This Row],[lending_product_transform]],[3]Mapping!$B$4:$C$37,2,0)</f>
        <v>[Cake] - Cashloan</v>
      </c>
      <c r="H4798" s="128" t="str">
        <f>VLOOKUP(source[[#This Row],[lending_product_transform]],[3]Mapping!$B$3:$D$37,3,0)</f>
        <v>cashloan</v>
      </c>
      <c r="I4798" s="135">
        <v>12257350</v>
      </c>
    </row>
    <row r="4799" spans="1:9" x14ac:dyDescent="0.2">
      <c r="A4799" s="134">
        <v>45689</v>
      </c>
      <c r="B4799" s="135">
        <f>YEAR(source[[#This Row],[report_date]])</f>
        <v>2025</v>
      </c>
      <c r="C4799" s="128">
        <f t="shared" si="221"/>
        <v>2</v>
      </c>
      <c r="D4799" s="136">
        <f t="shared" si="218"/>
        <v>5</v>
      </c>
      <c r="E4799" s="136">
        <f t="shared" si="222"/>
        <v>1</v>
      </c>
      <c r="F4799" s="128" t="s">
        <v>24</v>
      </c>
      <c r="G4799" s="128" t="str">
        <f>VLOOKUP(source[[#This Row],[lending_product_transform]],[3]Mapping!$B$4:$C$37,2,0)</f>
        <v>[Cake] - Cashloan</v>
      </c>
      <c r="H4799" s="128" t="str">
        <f>VLOOKUP(source[[#This Row],[lending_product_transform]],[3]Mapping!$B$3:$D$37,3,0)</f>
        <v>cashloan</v>
      </c>
      <c r="I4799" s="135">
        <v>0</v>
      </c>
    </row>
    <row r="4800" spans="1:9" x14ac:dyDescent="0.2">
      <c r="A4800" s="134">
        <v>45689</v>
      </c>
      <c r="B4800" s="135">
        <f>YEAR(source[[#This Row],[report_date]])</f>
        <v>2025</v>
      </c>
      <c r="C4800" s="128">
        <f t="shared" si="221"/>
        <v>2</v>
      </c>
      <c r="D4800" s="136">
        <f t="shared" si="218"/>
        <v>5</v>
      </c>
      <c r="E4800" s="136">
        <f t="shared" si="222"/>
        <v>1</v>
      </c>
      <c r="F4800" s="128" t="s">
        <v>24</v>
      </c>
      <c r="G4800" s="128" t="str">
        <f>VLOOKUP(source[[#This Row],[lending_product_transform]],[3]Mapping!$B$4:$C$37,2,0)</f>
        <v>[Cake] - Cashloan</v>
      </c>
      <c r="H4800" s="128" t="str">
        <f>VLOOKUP(source[[#This Row],[lending_product_transform]],[3]Mapping!$B$3:$D$37,3,0)</f>
        <v>cashloan</v>
      </c>
      <c r="I4800" s="135">
        <v>1895040000</v>
      </c>
    </row>
    <row r="4801" spans="1:9" x14ac:dyDescent="0.2">
      <c r="A4801" s="134">
        <v>45689</v>
      </c>
      <c r="B4801" s="135">
        <f>YEAR(source[[#This Row],[report_date]])</f>
        <v>2025</v>
      </c>
      <c r="C4801" s="128">
        <f t="shared" si="221"/>
        <v>2</v>
      </c>
      <c r="D4801" s="136">
        <f t="shared" si="218"/>
        <v>5</v>
      </c>
      <c r="E4801" s="136">
        <f t="shared" si="222"/>
        <v>1</v>
      </c>
      <c r="F4801" s="128" t="s">
        <v>24</v>
      </c>
      <c r="G4801" s="128" t="str">
        <f>VLOOKUP(source[[#This Row],[lending_product_transform]],[3]Mapping!$B$4:$C$37,2,0)</f>
        <v>[Cake] - Cashloan</v>
      </c>
      <c r="H4801" s="128" t="str">
        <f>VLOOKUP(source[[#This Row],[lending_product_transform]],[3]Mapping!$B$3:$D$37,3,0)</f>
        <v>cashloan</v>
      </c>
      <c r="I4801" s="135">
        <v>0</v>
      </c>
    </row>
    <row r="4802" spans="1:9" x14ac:dyDescent="0.2">
      <c r="A4802" s="134">
        <v>45689</v>
      </c>
      <c r="B4802" s="135">
        <f>YEAR(source[[#This Row],[report_date]])</f>
        <v>2025</v>
      </c>
      <c r="C4802" s="128">
        <f t="shared" si="221"/>
        <v>2</v>
      </c>
      <c r="D4802" s="136">
        <f t="shared" si="218"/>
        <v>5</v>
      </c>
      <c r="E4802" s="136">
        <f t="shared" si="222"/>
        <v>1</v>
      </c>
      <c r="F4802" s="128" t="s">
        <v>24</v>
      </c>
      <c r="G4802" s="128" t="str">
        <f>VLOOKUP(source[[#This Row],[lending_product_transform]],[3]Mapping!$B$4:$C$37,2,0)</f>
        <v>[Cake] - Cashloan</v>
      </c>
      <c r="H4802" s="128" t="str">
        <f>VLOOKUP(source[[#This Row],[lending_product_transform]],[3]Mapping!$B$3:$D$37,3,0)</f>
        <v>cashloan</v>
      </c>
      <c r="I4802" s="135">
        <v>0</v>
      </c>
    </row>
    <row r="4803" spans="1:9" x14ac:dyDescent="0.2">
      <c r="A4803" s="134">
        <v>45689</v>
      </c>
      <c r="B4803" s="135">
        <f>YEAR(source[[#This Row],[report_date]])</f>
        <v>2025</v>
      </c>
      <c r="C4803" s="128">
        <f t="shared" si="221"/>
        <v>2</v>
      </c>
      <c r="D4803" s="136">
        <f t="shared" ref="D4803:D4866" si="223">WEEKNUM(A4803,2)</f>
        <v>5</v>
      </c>
      <c r="E4803" s="136">
        <f t="shared" si="222"/>
        <v>1</v>
      </c>
      <c r="F4803" s="128" t="s">
        <v>24</v>
      </c>
      <c r="G4803" s="128" t="str">
        <f>VLOOKUP(source[[#This Row],[lending_product_transform]],[3]Mapping!$B$4:$C$37,2,0)</f>
        <v>[Cake] - Cashloan</v>
      </c>
      <c r="H4803" s="128" t="str">
        <f>VLOOKUP(source[[#This Row],[lending_product_transform]],[3]Mapping!$B$3:$D$37,3,0)</f>
        <v>cashloan</v>
      </c>
      <c r="I4803" s="135">
        <v>127492596</v>
      </c>
    </row>
    <row r="4804" spans="1:9" x14ac:dyDescent="0.2">
      <c r="A4804" s="134">
        <v>45690</v>
      </c>
      <c r="B4804" s="135">
        <f>YEAR(source[[#This Row],[report_date]])</f>
        <v>2025</v>
      </c>
      <c r="C4804" s="128">
        <f t="shared" si="221"/>
        <v>2</v>
      </c>
      <c r="D4804" s="136">
        <f t="shared" si="223"/>
        <v>5</v>
      </c>
      <c r="E4804" s="136">
        <f t="shared" si="222"/>
        <v>2</v>
      </c>
      <c r="F4804" s="128" t="s">
        <v>24</v>
      </c>
      <c r="G4804" s="128" t="str">
        <f>VLOOKUP(source[[#This Row],[lending_product_transform]],[3]Mapping!$B$4:$C$37,2,0)</f>
        <v>[Cake] - Cashloan</v>
      </c>
      <c r="H4804" s="128" t="str">
        <f>VLOOKUP(source[[#This Row],[lending_product_transform]],[3]Mapping!$B$3:$D$37,3,0)</f>
        <v>cashloan</v>
      </c>
      <c r="I4804" s="135">
        <v>0</v>
      </c>
    </row>
    <row r="4805" spans="1:9" x14ac:dyDescent="0.2">
      <c r="A4805" s="134">
        <v>45690</v>
      </c>
      <c r="B4805" s="135">
        <f>YEAR(source[[#This Row],[report_date]])</f>
        <v>2025</v>
      </c>
      <c r="C4805" s="128">
        <f t="shared" si="221"/>
        <v>2</v>
      </c>
      <c r="D4805" s="136">
        <f t="shared" si="223"/>
        <v>5</v>
      </c>
      <c r="E4805" s="136">
        <f t="shared" si="222"/>
        <v>2</v>
      </c>
      <c r="F4805" s="128" t="s">
        <v>24</v>
      </c>
      <c r="G4805" s="128" t="str">
        <f>VLOOKUP(source[[#This Row],[lending_product_transform]],[3]Mapping!$B$4:$C$37,2,0)</f>
        <v>[Cake] - Cashloan</v>
      </c>
      <c r="H4805" s="128" t="str">
        <f>VLOOKUP(source[[#This Row],[lending_product_transform]],[3]Mapping!$B$3:$D$37,3,0)</f>
        <v>cashloan</v>
      </c>
      <c r="I4805" s="135">
        <v>138250000</v>
      </c>
    </row>
    <row r="4806" spans="1:9" x14ac:dyDescent="0.2">
      <c r="A4806" s="134">
        <v>45690</v>
      </c>
      <c r="B4806" s="135">
        <f>YEAR(source[[#This Row],[report_date]])</f>
        <v>2025</v>
      </c>
      <c r="C4806" s="128">
        <f t="shared" si="221"/>
        <v>2</v>
      </c>
      <c r="D4806" s="136">
        <f t="shared" si="223"/>
        <v>5</v>
      </c>
      <c r="E4806" s="136">
        <f t="shared" si="222"/>
        <v>2</v>
      </c>
      <c r="F4806" s="128" t="s">
        <v>24</v>
      </c>
      <c r="G4806" s="128" t="str">
        <f>VLOOKUP(source[[#This Row],[lending_product_transform]],[3]Mapping!$B$4:$C$37,2,0)</f>
        <v>[Cake] - Cashloan</v>
      </c>
      <c r="H4806" s="128" t="str">
        <f>VLOOKUP(source[[#This Row],[lending_product_transform]],[3]Mapping!$B$3:$D$37,3,0)</f>
        <v>cashloan</v>
      </c>
      <c r="I4806" s="135">
        <v>0</v>
      </c>
    </row>
    <row r="4807" spans="1:9" x14ac:dyDescent="0.2">
      <c r="A4807" s="134">
        <v>45690</v>
      </c>
      <c r="B4807" s="135">
        <f>YEAR(source[[#This Row],[report_date]])</f>
        <v>2025</v>
      </c>
      <c r="C4807" s="128">
        <f t="shared" si="221"/>
        <v>2</v>
      </c>
      <c r="D4807" s="136">
        <f t="shared" si="223"/>
        <v>5</v>
      </c>
      <c r="E4807" s="136">
        <f t="shared" si="222"/>
        <v>2</v>
      </c>
      <c r="F4807" s="128" t="s">
        <v>24</v>
      </c>
      <c r="G4807" s="128" t="str">
        <f>VLOOKUP(source[[#This Row],[lending_product_transform]],[3]Mapping!$B$4:$C$37,2,0)</f>
        <v>[Cake] - Cashloan</v>
      </c>
      <c r="H4807" s="128" t="str">
        <f>VLOOKUP(source[[#This Row],[lending_product_transform]],[3]Mapping!$B$3:$D$37,3,0)</f>
        <v>cashloan</v>
      </c>
      <c r="I4807" s="135">
        <v>337600553</v>
      </c>
    </row>
    <row r="4808" spans="1:9" x14ac:dyDescent="0.2">
      <c r="A4808" s="134">
        <v>45690</v>
      </c>
      <c r="B4808" s="135">
        <f>YEAR(source[[#This Row],[report_date]])</f>
        <v>2025</v>
      </c>
      <c r="C4808" s="128">
        <f t="shared" si="221"/>
        <v>2</v>
      </c>
      <c r="D4808" s="136">
        <f t="shared" si="223"/>
        <v>5</v>
      </c>
      <c r="E4808" s="136">
        <f t="shared" si="222"/>
        <v>2</v>
      </c>
      <c r="F4808" s="128" t="s">
        <v>24</v>
      </c>
      <c r="G4808" s="128" t="str">
        <f>VLOOKUP(source[[#This Row],[lending_product_transform]],[3]Mapping!$B$4:$C$37,2,0)</f>
        <v>[Cake] - Cashloan</v>
      </c>
      <c r="H4808" s="128" t="str">
        <f>VLOOKUP(source[[#This Row],[lending_product_transform]],[3]Mapping!$B$3:$D$37,3,0)</f>
        <v>cashloan</v>
      </c>
      <c r="I4808" s="135">
        <v>110580000</v>
      </c>
    </row>
    <row r="4809" spans="1:9" x14ac:dyDescent="0.2">
      <c r="A4809" s="134">
        <v>45690</v>
      </c>
      <c r="B4809" s="135">
        <f>YEAR(source[[#This Row],[report_date]])</f>
        <v>2025</v>
      </c>
      <c r="C4809" s="128">
        <f t="shared" si="221"/>
        <v>2</v>
      </c>
      <c r="D4809" s="136">
        <f t="shared" si="223"/>
        <v>5</v>
      </c>
      <c r="E4809" s="136">
        <f t="shared" si="222"/>
        <v>2</v>
      </c>
      <c r="F4809" s="128" t="s">
        <v>24</v>
      </c>
      <c r="G4809" s="128" t="str">
        <f>VLOOKUP(source[[#This Row],[lending_product_transform]],[3]Mapping!$B$4:$C$37,2,0)</f>
        <v>[Cake] - Cashloan</v>
      </c>
      <c r="H4809" s="128" t="str">
        <f>VLOOKUP(source[[#This Row],[lending_product_transform]],[3]Mapping!$B$3:$D$37,3,0)</f>
        <v>cashloan</v>
      </c>
      <c r="I4809" s="135">
        <v>0</v>
      </c>
    </row>
    <row r="4810" spans="1:9" x14ac:dyDescent="0.2">
      <c r="A4810" s="134">
        <v>45690</v>
      </c>
      <c r="B4810" s="135">
        <f>YEAR(source[[#This Row],[report_date]])</f>
        <v>2025</v>
      </c>
      <c r="C4810" s="128">
        <f t="shared" si="221"/>
        <v>2</v>
      </c>
      <c r="D4810" s="136">
        <f t="shared" si="223"/>
        <v>5</v>
      </c>
      <c r="E4810" s="136">
        <f t="shared" si="222"/>
        <v>2</v>
      </c>
      <c r="F4810" s="128" t="s">
        <v>24</v>
      </c>
      <c r="G4810" s="128" t="str">
        <f>VLOOKUP(source[[#This Row],[lending_product_transform]],[3]Mapping!$B$4:$C$37,2,0)</f>
        <v>[Cake] - Cashloan</v>
      </c>
      <c r="H4810" s="128" t="str">
        <f>VLOOKUP(source[[#This Row],[lending_product_transform]],[3]Mapping!$B$3:$D$37,3,0)</f>
        <v>cashloan</v>
      </c>
      <c r="I4810" s="135">
        <v>21938742</v>
      </c>
    </row>
    <row r="4811" spans="1:9" x14ac:dyDescent="0.2">
      <c r="A4811" s="134">
        <v>45690</v>
      </c>
      <c r="B4811" s="135">
        <f>YEAR(source[[#This Row],[report_date]])</f>
        <v>2025</v>
      </c>
      <c r="C4811" s="128">
        <f t="shared" si="221"/>
        <v>2</v>
      </c>
      <c r="D4811" s="136">
        <f t="shared" si="223"/>
        <v>5</v>
      </c>
      <c r="E4811" s="136">
        <f t="shared" si="222"/>
        <v>2</v>
      </c>
      <c r="F4811" s="128" t="s">
        <v>24</v>
      </c>
      <c r="G4811" s="128" t="str">
        <f>VLOOKUP(source[[#This Row],[lending_product_transform]],[3]Mapping!$B$4:$C$37,2,0)</f>
        <v>[Cake] - Cashloan</v>
      </c>
      <c r="H4811" s="128" t="str">
        <f>VLOOKUP(source[[#This Row],[lending_product_transform]],[3]Mapping!$B$3:$D$37,3,0)</f>
        <v>cashloan</v>
      </c>
      <c r="I4811" s="135">
        <v>159383809</v>
      </c>
    </row>
    <row r="4812" spans="1:9" x14ac:dyDescent="0.2">
      <c r="A4812" s="134">
        <v>45690</v>
      </c>
      <c r="B4812" s="135">
        <f>YEAR(source[[#This Row],[report_date]])</f>
        <v>2025</v>
      </c>
      <c r="C4812" s="128">
        <f t="shared" si="221"/>
        <v>2</v>
      </c>
      <c r="D4812" s="136">
        <f t="shared" si="223"/>
        <v>5</v>
      </c>
      <c r="E4812" s="136">
        <f t="shared" si="222"/>
        <v>2</v>
      </c>
      <c r="F4812" s="128" t="s">
        <v>24</v>
      </c>
      <c r="G4812" s="128" t="str">
        <f>VLOOKUP(source[[#This Row],[lending_product_transform]],[3]Mapping!$B$4:$C$37,2,0)</f>
        <v>[Cake] - Cashloan</v>
      </c>
      <c r="H4812" s="128" t="str">
        <f>VLOOKUP(source[[#This Row],[lending_product_transform]],[3]Mapping!$B$3:$D$37,3,0)</f>
        <v>cashloan</v>
      </c>
      <c r="I4812" s="135">
        <v>0</v>
      </c>
    </row>
    <row r="4813" spans="1:9" x14ac:dyDescent="0.2">
      <c r="A4813" s="134">
        <v>45690</v>
      </c>
      <c r="B4813" s="135">
        <f>YEAR(source[[#This Row],[report_date]])</f>
        <v>2025</v>
      </c>
      <c r="C4813" s="128">
        <f t="shared" si="221"/>
        <v>2</v>
      </c>
      <c r="D4813" s="136">
        <f t="shared" si="223"/>
        <v>5</v>
      </c>
      <c r="E4813" s="136">
        <f t="shared" si="222"/>
        <v>2</v>
      </c>
      <c r="F4813" s="128" t="s">
        <v>24</v>
      </c>
      <c r="G4813" s="128" t="str">
        <f>VLOOKUP(source[[#This Row],[lending_product_transform]],[3]Mapping!$B$4:$C$37,2,0)</f>
        <v>[Cake] - Cashloan</v>
      </c>
      <c r="H4813" s="128" t="str">
        <f>VLOOKUP(source[[#This Row],[lending_product_transform]],[3]Mapping!$B$3:$D$37,3,0)</f>
        <v>cashloan</v>
      </c>
      <c r="I4813" s="135">
        <v>3222000927</v>
      </c>
    </row>
    <row r="4814" spans="1:9" x14ac:dyDescent="0.2">
      <c r="A4814" s="134">
        <v>45690</v>
      </c>
      <c r="B4814" s="135">
        <f>YEAR(source[[#This Row],[report_date]])</f>
        <v>2025</v>
      </c>
      <c r="C4814" s="128">
        <f t="shared" si="221"/>
        <v>2</v>
      </c>
      <c r="D4814" s="136">
        <f t="shared" si="223"/>
        <v>5</v>
      </c>
      <c r="E4814" s="136">
        <f t="shared" si="222"/>
        <v>2</v>
      </c>
      <c r="F4814" s="128" t="s">
        <v>24</v>
      </c>
      <c r="G4814" s="128" t="str">
        <f>VLOOKUP(source[[#This Row],[lending_product_transform]],[3]Mapping!$B$4:$C$37,2,0)</f>
        <v>[Cake] - Cashloan</v>
      </c>
      <c r="H4814" s="128" t="str">
        <f>VLOOKUP(source[[#This Row],[lending_product_transform]],[3]Mapping!$B$3:$D$37,3,0)</f>
        <v>cashloan</v>
      </c>
      <c r="I4814" s="135">
        <v>27000000</v>
      </c>
    </row>
    <row r="4815" spans="1:9" x14ac:dyDescent="0.2">
      <c r="A4815" s="134">
        <v>45690</v>
      </c>
      <c r="B4815" s="135">
        <f>YEAR(source[[#This Row],[report_date]])</f>
        <v>2025</v>
      </c>
      <c r="C4815" s="128">
        <f t="shared" si="221"/>
        <v>2</v>
      </c>
      <c r="D4815" s="136">
        <f t="shared" si="223"/>
        <v>5</v>
      </c>
      <c r="E4815" s="136">
        <f t="shared" si="222"/>
        <v>2</v>
      </c>
      <c r="F4815" s="128" t="s">
        <v>24</v>
      </c>
      <c r="G4815" s="128" t="str">
        <f>VLOOKUP(source[[#This Row],[lending_product_transform]],[3]Mapping!$B$4:$C$37,2,0)</f>
        <v>[Cake] - Cashloan</v>
      </c>
      <c r="H4815" s="128" t="str">
        <f>VLOOKUP(source[[#This Row],[lending_product_transform]],[3]Mapping!$B$3:$D$37,3,0)</f>
        <v>cashloan</v>
      </c>
      <c r="I4815" s="135">
        <v>0</v>
      </c>
    </row>
    <row r="4816" spans="1:9" x14ac:dyDescent="0.2">
      <c r="A4816" s="134">
        <v>45690</v>
      </c>
      <c r="B4816" s="135">
        <f>YEAR(source[[#This Row],[report_date]])</f>
        <v>2025</v>
      </c>
      <c r="C4816" s="128">
        <f t="shared" si="221"/>
        <v>2</v>
      </c>
      <c r="D4816" s="136">
        <f t="shared" si="223"/>
        <v>5</v>
      </c>
      <c r="E4816" s="136">
        <f t="shared" si="222"/>
        <v>2</v>
      </c>
      <c r="F4816" s="128" t="s">
        <v>24</v>
      </c>
      <c r="G4816" s="128" t="str">
        <f>VLOOKUP(source[[#This Row],[lending_product_transform]],[3]Mapping!$B$4:$C$37,2,0)</f>
        <v>[Cake] - Cashloan</v>
      </c>
      <c r="H4816" s="128" t="str">
        <f>VLOOKUP(source[[#This Row],[lending_product_transform]],[3]Mapping!$B$3:$D$37,3,0)</f>
        <v>cashloan</v>
      </c>
      <c r="I4816" s="135">
        <v>2895500000</v>
      </c>
    </row>
    <row r="4817" spans="1:9" x14ac:dyDescent="0.2">
      <c r="A4817" s="134">
        <v>45690</v>
      </c>
      <c r="B4817" s="135">
        <f>YEAR(source[[#This Row],[report_date]])</f>
        <v>2025</v>
      </c>
      <c r="C4817" s="128">
        <f t="shared" si="221"/>
        <v>2</v>
      </c>
      <c r="D4817" s="136">
        <f t="shared" si="223"/>
        <v>5</v>
      </c>
      <c r="E4817" s="136">
        <f t="shared" si="222"/>
        <v>2</v>
      </c>
      <c r="F4817" s="128" t="s">
        <v>24</v>
      </c>
      <c r="G4817" s="128" t="str">
        <f>VLOOKUP(source[[#This Row],[lending_product_transform]],[3]Mapping!$B$4:$C$37,2,0)</f>
        <v>[Cake] - Cashloan</v>
      </c>
      <c r="H4817" s="128" t="str">
        <f>VLOOKUP(source[[#This Row],[lending_product_transform]],[3]Mapping!$B$3:$D$37,3,0)</f>
        <v>cashloan</v>
      </c>
      <c r="I4817" s="135">
        <v>2323120000</v>
      </c>
    </row>
    <row r="4818" spans="1:9" x14ac:dyDescent="0.2">
      <c r="A4818" s="134">
        <v>45690</v>
      </c>
      <c r="B4818" s="135">
        <f>YEAR(source[[#This Row],[report_date]])</f>
        <v>2025</v>
      </c>
      <c r="C4818" s="128">
        <f t="shared" si="221"/>
        <v>2</v>
      </c>
      <c r="D4818" s="136">
        <f t="shared" si="223"/>
        <v>5</v>
      </c>
      <c r="E4818" s="136">
        <f t="shared" si="222"/>
        <v>2</v>
      </c>
      <c r="F4818" s="128" t="s">
        <v>24</v>
      </c>
      <c r="G4818" s="128" t="str">
        <f>VLOOKUP(source[[#This Row],[lending_product_transform]],[3]Mapping!$B$4:$C$37,2,0)</f>
        <v>[Cake] - Cashloan</v>
      </c>
      <c r="H4818" s="128" t="str">
        <f>VLOOKUP(source[[#This Row],[lending_product_transform]],[3]Mapping!$B$3:$D$37,3,0)</f>
        <v>cashloan</v>
      </c>
      <c r="I4818" s="135">
        <v>360990264</v>
      </c>
    </row>
    <row r="4819" spans="1:9" x14ac:dyDescent="0.2">
      <c r="A4819" s="134">
        <v>45690</v>
      </c>
      <c r="B4819" s="135">
        <f>YEAR(source[[#This Row],[report_date]])</f>
        <v>2025</v>
      </c>
      <c r="C4819" s="128">
        <f t="shared" si="221"/>
        <v>2</v>
      </c>
      <c r="D4819" s="136">
        <f t="shared" si="223"/>
        <v>5</v>
      </c>
      <c r="E4819" s="136">
        <f t="shared" si="222"/>
        <v>2</v>
      </c>
      <c r="F4819" s="128" t="s">
        <v>24</v>
      </c>
      <c r="G4819" s="128" t="str">
        <f>VLOOKUP(source[[#This Row],[lending_product_transform]],[3]Mapping!$B$4:$C$37,2,0)</f>
        <v>[Cake] - Cashloan</v>
      </c>
      <c r="H4819" s="128" t="str">
        <f>VLOOKUP(source[[#This Row],[lending_product_transform]],[3]Mapping!$B$3:$D$37,3,0)</f>
        <v>cashloan</v>
      </c>
      <c r="I4819" s="135">
        <v>1947770000</v>
      </c>
    </row>
    <row r="4820" spans="1:9" x14ac:dyDescent="0.2">
      <c r="A4820" s="134">
        <v>45690</v>
      </c>
      <c r="B4820" s="135">
        <f>YEAR(source[[#This Row],[report_date]])</f>
        <v>2025</v>
      </c>
      <c r="C4820" s="128">
        <f t="shared" si="221"/>
        <v>2</v>
      </c>
      <c r="D4820" s="136">
        <f t="shared" si="223"/>
        <v>5</v>
      </c>
      <c r="E4820" s="136">
        <f t="shared" si="222"/>
        <v>2</v>
      </c>
      <c r="F4820" s="128" t="s">
        <v>24</v>
      </c>
      <c r="G4820" s="128" t="str">
        <f>VLOOKUP(source[[#This Row],[lending_product_transform]],[3]Mapping!$B$4:$C$37,2,0)</f>
        <v>[Cake] - Cashloan</v>
      </c>
      <c r="H4820" s="128" t="str">
        <f>VLOOKUP(source[[#This Row],[lending_product_transform]],[3]Mapping!$B$3:$D$37,3,0)</f>
        <v>cashloan</v>
      </c>
      <c r="I4820" s="135">
        <v>62500000</v>
      </c>
    </row>
    <row r="4821" spans="1:9" x14ac:dyDescent="0.2">
      <c r="A4821" s="134">
        <v>45690</v>
      </c>
      <c r="B4821" s="135">
        <f>YEAR(source[[#This Row],[report_date]])</f>
        <v>2025</v>
      </c>
      <c r="C4821" s="128">
        <f t="shared" si="221"/>
        <v>2</v>
      </c>
      <c r="D4821" s="136">
        <f t="shared" si="223"/>
        <v>5</v>
      </c>
      <c r="E4821" s="136">
        <f t="shared" si="222"/>
        <v>2</v>
      </c>
      <c r="F4821" s="128" t="s">
        <v>24</v>
      </c>
      <c r="G4821" s="128" t="str">
        <f>VLOOKUP(source[[#This Row],[lending_product_transform]],[3]Mapping!$B$4:$C$37,2,0)</f>
        <v>[Cake] - Cashloan</v>
      </c>
      <c r="H4821" s="128" t="str">
        <f>VLOOKUP(source[[#This Row],[lending_product_transform]],[3]Mapping!$B$3:$D$37,3,0)</f>
        <v>cashloan</v>
      </c>
      <c r="I4821" s="135">
        <v>0</v>
      </c>
    </row>
    <row r="4822" spans="1:9" x14ac:dyDescent="0.2">
      <c r="A4822" s="134">
        <v>45690</v>
      </c>
      <c r="B4822" s="135">
        <f>YEAR(source[[#This Row],[report_date]])</f>
        <v>2025</v>
      </c>
      <c r="C4822" s="128">
        <f t="shared" si="221"/>
        <v>2</v>
      </c>
      <c r="D4822" s="136">
        <f t="shared" si="223"/>
        <v>5</v>
      </c>
      <c r="E4822" s="136">
        <f t="shared" si="222"/>
        <v>2</v>
      </c>
      <c r="F4822" s="128" t="s">
        <v>24</v>
      </c>
      <c r="G4822" s="128" t="str">
        <f>VLOOKUP(source[[#This Row],[lending_product_transform]],[3]Mapping!$B$4:$C$37,2,0)</f>
        <v>[Cake] - Cashloan</v>
      </c>
      <c r="H4822" s="128" t="str">
        <f>VLOOKUP(source[[#This Row],[lending_product_transform]],[3]Mapping!$B$3:$D$37,3,0)</f>
        <v>cashloan</v>
      </c>
      <c r="I4822" s="135">
        <v>0</v>
      </c>
    </row>
    <row r="4823" spans="1:9" x14ac:dyDescent="0.2">
      <c r="A4823" s="134">
        <v>45691</v>
      </c>
      <c r="B4823" s="135">
        <f>YEAR(source[[#This Row],[report_date]])</f>
        <v>2025</v>
      </c>
      <c r="C4823" s="128">
        <f t="shared" si="221"/>
        <v>2</v>
      </c>
      <c r="D4823" s="136">
        <f t="shared" si="223"/>
        <v>6</v>
      </c>
      <c r="E4823" s="136">
        <f t="shared" si="222"/>
        <v>3</v>
      </c>
      <c r="F4823" s="128" t="s">
        <v>24</v>
      </c>
      <c r="G4823" s="128" t="str">
        <f>VLOOKUP(source[[#This Row],[lending_product_transform]],[3]Mapping!$B$4:$C$37,2,0)</f>
        <v>[Cake] - Cashloan</v>
      </c>
      <c r="H4823" s="128" t="str">
        <f>VLOOKUP(source[[#This Row],[lending_product_transform]],[3]Mapping!$B$3:$D$37,3,0)</f>
        <v>cashloan</v>
      </c>
      <c r="I4823" s="135">
        <v>0</v>
      </c>
    </row>
    <row r="4824" spans="1:9" x14ac:dyDescent="0.2">
      <c r="A4824" s="134">
        <v>45691</v>
      </c>
      <c r="B4824" s="135">
        <f>YEAR(source[[#This Row],[report_date]])</f>
        <v>2025</v>
      </c>
      <c r="C4824" s="128">
        <f t="shared" si="221"/>
        <v>2</v>
      </c>
      <c r="D4824" s="136">
        <f t="shared" si="223"/>
        <v>6</v>
      </c>
      <c r="E4824" s="136">
        <f t="shared" si="222"/>
        <v>3</v>
      </c>
      <c r="F4824" s="128" t="s">
        <v>24</v>
      </c>
      <c r="G4824" s="128" t="str">
        <f>VLOOKUP(source[[#This Row],[lending_product_transform]],[3]Mapping!$B$4:$C$37,2,0)</f>
        <v>[Cake] - Cashloan</v>
      </c>
      <c r="H4824" s="128" t="str">
        <f>VLOOKUP(source[[#This Row],[lending_product_transform]],[3]Mapping!$B$3:$D$37,3,0)</f>
        <v>cashloan</v>
      </c>
      <c r="I4824" s="135">
        <v>222481603</v>
      </c>
    </row>
    <row r="4825" spans="1:9" x14ac:dyDescent="0.2">
      <c r="A4825" s="134">
        <v>45691</v>
      </c>
      <c r="B4825" s="135">
        <f>YEAR(source[[#This Row],[report_date]])</f>
        <v>2025</v>
      </c>
      <c r="C4825" s="128">
        <f t="shared" si="221"/>
        <v>2</v>
      </c>
      <c r="D4825" s="136">
        <f t="shared" si="223"/>
        <v>6</v>
      </c>
      <c r="E4825" s="136">
        <f t="shared" si="222"/>
        <v>3</v>
      </c>
      <c r="F4825" s="128" t="s">
        <v>24</v>
      </c>
      <c r="G4825" s="128" t="str">
        <f>VLOOKUP(source[[#This Row],[lending_product_transform]],[3]Mapping!$B$4:$C$37,2,0)</f>
        <v>[Cake] - Cashloan</v>
      </c>
      <c r="H4825" s="128" t="str">
        <f>VLOOKUP(source[[#This Row],[lending_product_transform]],[3]Mapping!$B$3:$D$37,3,0)</f>
        <v>cashloan</v>
      </c>
      <c r="I4825" s="135">
        <v>502000423</v>
      </c>
    </row>
    <row r="4826" spans="1:9" x14ac:dyDescent="0.2">
      <c r="A4826" s="134">
        <v>45691</v>
      </c>
      <c r="B4826" s="135">
        <f>YEAR(source[[#This Row],[report_date]])</f>
        <v>2025</v>
      </c>
      <c r="C4826" s="128">
        <f t="shared" si="221"/>
        <v>2</v>
      </c>
      <c r="D4826" s="136">
        <f t="shared" si="223"/>
        <v>6</v>
      </c>
      <c r="E4826" s="136">
        <f t="shared" si="222"/>
        <v>3</v>
      </c>
      <c r="F4826" s="128" t="s">
        <v>24</v>
      </c>
      <c r="G4826" s="128" t="str">
        <f>VLOOKUP(source[[#This Row],[lending_product_transform]],[3]Mapping!$B$4:$C$37,2,0)</f>
        <v>[Cake] - Cashloan</v>
      </c>
      <c r="H4826" s="128" t="str">
        <f>VLOOKUP(source[[#This Row],[lending_product_transform]],[3]Mapping!$B$3:$D$37,3,0)</f>
        <v>cashloan</v>
      </c>
      <c r="I4826" s="135">
        <v>575826453</v>
      </c>
    </row>
    <row r="4827" spans="1:9" x14ac:dyDescent="0.2">
      <c r="A4827" s="134">
        <v>45691</v>
      </c>
      <c r="B4827" s="135">
        <f>YEAR(source[[#This Row],[report_date]])</f>
        <v>2025</v>
      </c>
      <c r="C4827" s="128">
        <f t="shared" si="221"/>
        <v>2</v>
      </c>
      <c r="D4827" s="136">
        <f t="shared" si="223"/>
        <v>6</v>
      </c>
      <c r="E4827" s="136">
        <f t="shared" si="222"/>
        <v>3</v>
      </c>
      <c r="F4827" s="128" t="s">
        <v>24</v>
      </c>
      <c r="G4827" s="128" t="str">
        <f>VLOOKUP(source[[#This Row],[lending_product_transform]],[3]Mapping!$B$4:$C$37,2,0)</f>
        <v>[Cake] - Cashloan</v>
      </c>
      <c r="H4827" s="128" t="str">
        <f>VLOOKUP(source[[#This Row],[lending_product_transform]],[3]Mapping!$B$3:$D$37,3,0)</f>
        <v>cashloan</v>
      </c>
      <c r="I4827" s="135">
        <v>0</v>
      </c>
    </row>
    <row r="4828" spans="1:9" x14ac:dyDescent="0.2">
      <c r="A4828" s="134">
        <v>45691</v>
      </c>
      <c r="B4828" s="135">
        <f>YEAR(source[[#This Row],[report_date]])</f>
        <v>2025</v>
      </c>
      <c r="C4828" s="128">
        <f t="shared" si="221"/>
        <v>2</v>
      </c>
      <c r="D4828" s="136">
        <f t="shared" si="223"/>
        <v>6</v>
      </c>
      <c r="E4828" s="136">
        <f t="shared" si="222"/>
        <v>3</v>
      </c>
      <c r="F4828" s="128" t="s">
        <v>24</v>
      </c>
      <c r="G4828" s="128" t="str">
        <f>VLOOKUP(source[[#This Row],[lending_product_transform]],[3]Mapping!$B$4:$C$37,2,0)</f>
        <v>[Cake] - Cashloan</v>
      </c>
      <c r="H4828" s="128" t="str">
        <f>VLOOKUP(source[[#This Row],[lending_product_transform]],[3]Mapping!$B$3:$D$37,3,0)</f>
        <v>cashloan</v>
      </c>
      <c r="I4828" s="135">
        <v>4135500000</v>
      </c>
    </row>
    <row r="4829" spans="1:9" x14ac:dyDescent="0.2">
      <c r="A4829" s="134">
        <v>45691</v>
      </c>
      <c r="B4829" s="135">
        <f>YEAR(source[[#This Row],[report_date]])</f>
        <v>2025</v>
      </c>
      <c r="C4829" s="128">
        <f t="shared" si="221"/>
        <v>2</v>
      </c>
      <c r="D4829" s="136">
        <f t="shared" si="223"/>
        <v>6</v>
      </c>
      <c r="E4829" s="136">
        <f t="shared" si="222"/>
        <v>3</v>
      </c>
      <c r="F4829" s="128" t="s">
        <v>24</v>
      </c>
      <c r="G4829" s="128" t="str">
        <f>VLOOKUP(source[[#This Row],[lending_product_transform]],[3]Mapping!$B$4:$C$37,2,0)</f>
        <v>[Cake] - Cashloan</v>
      </c>
      <c r="H4829" s="128" t="str">
        <f>VLOOKUP(source[[#This Row],[lending_product_transform]],[3]Mapping!$B$3:$D$37,3,0)</f>
        <v>cashloan</v>
      </c>
      <c r="I4829" s="135">
        <v>278450000</v>
      </c>
    </row>
    <row r="4830" spans="1:9" x14ac:dyDescent="0.2">
      <c r="A4830" s="134">
        <v>45691</v>
      </c>
      <c r="B4830" s="135">
        <f>YEAR(source[[#This Row],[report_date]])</f>
        <v>2025</v>
      </c>
      <c r="C4830" s="128">
        <f t="shared" si="221"/>
        <v>2</v>
      </c>
      <c r="D4830" s="136">
        <f t="shared" si="223"/>
        <v>6</v>
      </c>
      <c r="E4830" s="136">
        <f t="shared" si="222"/>
        <v>3</v>
      </c>
      <c r="F4830" s="128" t="s">
        <v>24</v>
      </c>
      <c r="G4830" s="128" t="str">
        <f>VLOOKUP(source[[#This Row],[lending_product_transform]],[3]Mapping!$B$4:$C$37,2,0)</f>
        <v>[Cake] - Cashloan</v>
      </c>
      <c r="H4830" s="128" t="str">
        <f>VLOOKUP(source[[#This Row],[lending_product_transform]],[3]Mapping!$B$3:$D$37,3,0)</f>
        <v>cashloan</v>
      </c>
      <c r="I4830" s="135">
        <v>0</v>
      </c>
    </row>
    <row r="4831" spans="1:9" x14ac:dyDescent="0.2">
      <c r="A4831" s="134">
        <v>45691</v>
      </c>
      <c r="B4831" s="135">
        <f>YEAR(source[[#This Row],[report_date]])</f>
        <v>2025</v>
      </c>
      <c r="C4831" s="128">
        <f t="shared" si="221"/>
        <v>2</v>
      </c>
      <c r="D4831" s="136">
        <f t="shared" si="223"/>
        <v>6</v>
      </c>
      <c r="E4831" s="136">
        <f t="shared" si="222"/>
        <v>3</v>
      </c>
      <c r="F4831" s="128" t="s">
        <v>24</v>
      </c>
      <c r="G4831" s="128" t="str">
        <f>VLOOKUP(source[[#This Row],[lending_product_transform]],[3]Mapping!$B$4:$C$37,2,0)</f>
        <v>[Cake] - Cashloan</v>
      </c>
      <c r="H4831" s="128" t="str">
        <f>VLOOKUP(source[[#This Row],[lending_product_transform]],[3]Mapping!$B$3:$D$37,3,0)</f>
        <v>cashloan</v>
      </c>
      <c r="I4831" s="135">
        <v>48000000</v>
      </c>
    </row>
    <row r="4832" spans="1:9" x14ac:dyDescent="0.2">
      <c r="A4832" s="134">
        <v>45691</v>
      </c>
      <c r="B4832" s="135">
        <f>YEAR(source[[#This Row],[report_date]])</f>
        <v>2025</v>
      </c>
      <c r="C4832" s="128">
        <f t="shared" si="221"/>
        <v>2</v>
      </c>
      <c r="D4832" s="136">
        <f t="shared" si="223"/>
        <v>6</v>
      </c>
      <c r="E4832" s="136">
        <f t="shared" si="222"/>
        <v>3</v>
      </c>
      <c r="F4832" s="128" t="s">
        <v>24</v>
      </c>
      <c r="G4832" s="128" t="str">
        <f>VLOOKUP(source[[#This Row],[lending_product_transform]],[3]Mapping!$B$4:$C$37,2,0)</f>
        <v>[Cake] - Cashloan</v>
      </c>
      <c r="H4832" s="128" t="str">
        <f>VLOOKUP(source[[#This Row],[lending_product_transform]],[3]Mapping!$B$3:$D$37,3,0)</f>
        <v>cashloan</v>
      </c>
      <c r="I4832" s="135">
        <v>0</v>
      </c>
    </row>
    <row r="4833" spans="1:9" x14ac:dyDescent="0.2">
      <c r="A4833" s="134">
        <v>45691</v>
      </c>
      <c r="B4833" s="135">
        <f>YEAR(source[[#This Row],[report_date]])</f>
        <v>2025</v>
      </c>
      <c r="C4833" s="128">
        <f t="shared" si="221"/>
        <v>2</v>
      </c>
      <c r="D4833" s="136">
        <f t="shared" si="223"/>
        <v>6</v>
      </c>
      <c r="E4833" s="136">
        <f t="shared" si="222"/>
        <v>3</v>
      </c>
      <c r="F4833" s="128" t="s">
        <v>24</v>
      </c>
      <c r="G4833" s="128" t="str">
        <f>VLOOKUP(source[[#This Row],[lending_product_transform]],[3]Mapping!$B$4:$C$37,2,0)</f>
        <v>[Cake] - Cashloan</v>
      </c>
      <c r="H4833" s="128" t="str">
        <f>VLOOKUP(source[[#This Row],[lending_product_transform]],[3]Mapping!$B$3:$D$37,3,0)</f>
        <v>cashloan</v>
      </c>
      <c r="I4833" s="135">
        <v>3938620000</v>
      </c>
    </row>
    <row r="4834" spans="1:9" x14ac:dyDescent="0.2">
      <c r="A4834" s="134">
        <v>45691</v>
      </c>
      <c r="B4834" s="135">
        <f>YEAR(source[[#This Row],[report_date]])</f>
        <v>2025</v>
      </c>
      <c r="C4834" s="128">
        <f t="shared" si="221"/>
        <v>2</v>
      </c>
      <c r="D4834" s="136">
        <f t="shared" si="223"/>
        <v>6</v>
      </c>
      <c r="E4834" s="136">
        <f t="shared" si="222"/>
        <v>3</v>
      </c>
      <c r="F4834" s="128" t="s">
        <v>24</v>
      </c>
      <c r="G4834" s="128" t="str">
        <f>VLOOKUP(source[[#This Row],[lending_product_transform]],[3]Mapping!$B$4:$C$37,2,0)</f>
        <v>[Cake] - Cashloan</v>
      </c>
      <c r="H4834" s="128" t="str">
        <f>VLOOKUP(source[[#This Row],[lending_product_transform]],[3]Mapping!$B$3:$D$37,3,0)</f>
        <v>cashloan</v>
      </c>
      <c r="I4834" s="135">
        <v>0</v>
      </c>
    </row>
    <row r="4835" spans="1:9" x14ac:dyDescent="0.2">
      <c r="A4835" s="134">
        <v>45691</v>
      </c>
      <c r="B4835" s="135">
        <f>YEAR(source[[#This Row],[report_date]])</f>
        <v>2025</v>
      </c>
      <c r="C4835" s="128">
        <f t="shared" si="221"/>
        <v>2</v>
      </c>
      <c r="D4835" s="136">
        <f t="shared" si="223"/>
        <v>6</v>
      </c>
      <c r="E4835" s="136">
        <f t="shared" si="222"/>
        <v>3</v>
      </c>
      <c r="F4835" s="128" t="s">
        <v>24</v>
      </c>
      <c r="G4835" s="128" t="str">
        <f>VLOOKUP(source[[#This Row],[lending_product_transform]],[3]Mapping!$B$4:$C$37,2,0)</f>
        <v>[Cake] - Cashloan</v>
      </c>
      <c r="H4835" s="128" t="str">
        <f>VLOOKUP(source[[#This Row],[lending_product_transform]],[3]Mapping!$B$3:$D$37,3,0)</f>
        <v>cashloan</v>
      </c>
      <c r="I4835" s="135">
        <v>58576116</v>
      </c>
    </row>
    <row r="4836" spans="1:9" x14ac:dyDescent="0.2">
      <c r="A4836" s="134">
        <v>45691</v>
      </c>
      <c r="B4836" s="135">
        <f>YEAR(source[[#This Row],[report_date]])</f>
        <v>2025</v>
      </c>
      <c r="C4836" s="128">
        <f t="shared" si="221"/>
        <v>2</v>
      </c>
      <c r="D4836" s="136">
        <f t="shared" si="223"/>
        <v>6</v>
      </c>
      <c r="E4836" s="136">
        <f t="shared" si="222"/>
        <v>3</v>
      </c>
      <c r="F4836" s="128" t="s">
        <v>24</v>
      </c>
      <c r="G4836" s="128" t="str">
        <f>VLOOKUP(source[[#This Row],[lending_product_transform]],[3]Mapping!$B$4:$C$37,2,0)</f>
        <v>[Cake] - Cashloan</v>
      </c>
      <c r="H4836" s="128" t="str">
        <f>VLOOKUP(source[[#This Row],[lending_product_transform]],[3]Mapping!$B$3:$D$37,3,0)</f>
        <v>cashloan</v>
      </c>
      <c r="I4836" s="135">
        <v>3255490000</v>
      </c>
    </row>
    <row r="4837" spans="1:9" x14ac:dyDescent="0.2">
      <c r="A4837" s="134">
        <v>45691</v>
      </c>
      <c r="B4837" s="135">
        <f>YEAR(source[[#This Row],[report_date]])</f>
        <v>2025</v>
      </c>
      <c r="C4837" s="128">
        <f t="shared" si="221"/>
        <v>2</v>
      </c>
      <c r="D4837" s="136">
        <f t="shared" si="223"/>
        <v>6</v>
      </c>
      <c r="E4837" s="136">
        <f t="shared" si="222"/>
        <v>3</v>
      </c>
      <c r="F4837" s="128" t="s">
        <v>24</v>
      </c>
      <c r="G4837" s="128" t="str">
        <f>VLOOKUP(source[[#This Row],[lending_product_transform]],[3]Mapping!$B$4:$C$37,2,0)</f>
        <v>[Cake] - Cashloan</v>
      </c>
      <c r="H4837" s="128" t="str">
        <f>VLOOKUP(source[[#This Row],[lending_product_transform]],[3]Mapping!$B$3:$D$37,3,0)</f>
        <v>cashloan</v>
      </c>
      <c r="I4837" s="135">
        <v>161920000</v>
      </c>
    </row>
    <row r="4838" spans="1:9" x14ac:dyDescent="0.2">
      <c r="A4838" s="134">
        <v>45691</v>
      </c>
      <c r="B4838" s="135">
        <f>YEAR(source[[#This Row],[report_date]])</f>
        <v>2025</v>
      </c>
      <c r="C4838" s="128">
        <f t="shared" si="221"/>
        <v>2</v>
      </c>
      <c r="D4838" s="136">
        <f t="shared" si="223"/>
        <v>6</v>
      </c>
      <c r="E4838" s="136">
        <f t="shared" si="222"/>
        <v>3</v>
      </c>
      <c r="F4838" s="128" t="s">
        <v>24</v>
      </c>
      <c r="G4838" s="128" t="str">
        <f>VLOOKUP(source[[#This Row],[lending_product_transform]],[3]Mapping!$B$4:$C$37,2,0)</f>
        <v>[Cake] - Cashloan</v>
      </c>
      <c r="H4838" s="128" t="str">
        <f>VLOOKUP(source[[#This Row],[lending_product_transform]],[3]Mapping!$B$3:$D$37,3,0)</f>
        <v>cashloan</v>
      </c>
      <c r="I4838" s="135">
        <v>4474063231</v>
      </c>
    </row>
    <row r="4839" spans="1:9" x14ac:dyDescent="0.2">
      <c r="A4839" s="134">
        <v>45691</v>
      </c>
      <c r="B4839" s="135">
        <f>YEAR(source[[#This Row],[report_date]])</f>
        <v>2025</v>
      </c>
      <c r="C4839" s="128">
        <f t="shared" si="221"/>
        <v>2</v>
      </c>
      <c r="D4839" s="136">
        <f t="shared" si="223"/>
        <v>6</v>
      </c>
      <c r="E4839" s="136">
        <f t="shared" si="222"/>
        <v>3</v>
      </c>
      <c r="F4839" s="128" t="s">
        <v>24</v>
      </c>
      <c r="G4839" s="128" t="str">
        <f>VLOOKUP(source[[#This Row],[lending_product_transform]],[3]Mapping!$B$4:$C$37,2,0)</f>
        <v>[Cake] - Cashloan</v>
      </c>
      <c r="H4839" s="128" t="str">
        <f>VLOOKUP(source[[#This Row],[lending_product_transform]],[3]Mapping!$B$3:$D$37,3,0)</f>
        <v>cashloan</v>
      </c>
      <c r="I4839" s="135">
        <v>0</v>
      </c>
    </row>
    <row r="4840" spans="1:9" x14ac:dyDescent="0.2">
      <c r="A4840" s="134">
        <v>45691</v>
      </c>
      <c r="B4840" s="135">
        <f>YEAR(source[[#This Row],[report_date]])</f>
        <v>2025</v>
      </c>
      <c r="C4840" s="128">
        <f t="shared" si="221"/>
        <v>2</v>
      </c>
      <c r="D4840" s="136">
        <f t="shared" si="223"/>
        <v>6</v>
      </c>
      <c r="E4840" s="136">
        <f t="shared" si="222"/>
        <v>3</v>
      </c>
      <c r="F4840" s="128" t="s">
        <v>24</v>
      </c>
      <c r="G4840" s="128" t="str">
        <f>VLOOKUP(source[[#This Row],[lending_product_transform]],[3]Mapping!$B$4:$C$37,2,0)</f>
        <v>[Cake] - Cashloan</v>
      </c>
      <c r="H4840" s="128" t="str">
        <f>VLOOKUP(source[[#This Row],[lending_product_transform]],[3]Mapping!$B$3:$D$37,3,0)</f>
        <v>cashloan</v>
      </c>
      <c r="I4840" s="135">
        <v>20000000</v>
      </c>
    </row>
    <row r="4841" spans="1:9" x14ac:dyDescent="0.2">
      <c r="A4841" s="134">
        <v>45691</v>
      </c>
      <c r="B4841" s="135">
        <f>YEAR(source[[#This Row],[report_date]])</f>
        <v>2025</v>
      </c>
      <c r="C4841" s="128">
        <f t="shared" si="221"/>
        <v>2</v>
      </c>
      <c r="D4841" s="136">
        <f t="shared" si="223"/>
        <v>6</v>
      </c>
      <c r="E4841" s="136">
        <f t="shared" si="222"/>
        <v>3</v>
      </c>
      <c r="F4841" s="128" t="s">
        <v>24</v>
      </c>
      <c r="G4841" s="128" t="str">
        <f>VLOOKUP(source[[#This Row],[lending_product_transform]],[3]Mapping!$B$4:$C$37,2,0)</f>
        <v>[Cake] - Cashloan</v>
      </c>
      <c r="H4841" s="128" t="str">
        <f>VLOOKUP(source[[#This Row],[lending_product_transform]],[3]Mapping!$B$3:$D$37,3,0)</f>
        <v>cashloan</v>
      </c>
      <c r="I4841" s="135">
        <v>0</v>
      </c>
    </row>
    <row r="4842" spans="1:9" x14ac:dyDescent="0.2">
      <c r="A4842" s="134">
        <v>45692</v>
      </c>
      <c r="B4842" s="135">
        <f>YEAR(source[[#This Row],[report_date]])</f>
        <v>2025</v>
      </c>
      <c r="C4842" s="128">
        <f t="shared" si="221"/>
        <v>2</v>
      </c>
      <c r="D4842" s="136">
        <f t="shared" si="223"/>
        <v>6</v>
      </c>
      <c r="E4842" s="136">
        <f t="shared" si="222"/>
        <v>4</v>
      </c>
      <c r="F4842" s="128" t="s">
        <v>24</v>
      </c>
      <c r="G4842" s="128" t="str">
        <f>VLOOKUP(source[[#This Row],[lending_product_transform]],[3]Mapping!$B$4:$C$37,2,0)</f>
        <v>[Cake] - Cashloan</v>
      </c>
      <c r="H4842" s="128" t="str">
        <f>VLOOKUP(source[[#This Row],[lending_product_transform]],[3]Mapping!$B$3:$D$37,3,0)</f>
        <v>cashloan</v>
      </c>
      <c r="I4842" s="135">
        <v>0</v>
      </c>
    </row>
    <row r="4843" spans="1:9" x14ac:dyDescent="0.2">
      <c r="A4843" s="134">
        <v>45692</v>
      </c>
      <c r="B4843" s="135">
        <f>YEAR(source[[#This Row],[report_date]])</f>
        <v>2025</v>
      </c>
      <c r="C4843" s="128">
        <f t="shared" si="221"/>
        <v>2</v>
      </c>
      <c r="D4843" s="136">
        <f t="shared" si="223"/>
        <v>6</v>
      </c>
      <c r="E4843" s="136">
        <f t="shared" si="222"/>
        <v>4</v>
      </c>
      <c r="F4843" s="128" t="s">
        <v>24</v>
      </c>
      <c r="G4843" s="128" t="str">
        <f>VLOOKUP(source[[#This Row],[lending_product_transform]],[3]Mapping!$B$4:$C$37,2,0)</f>
        <v>[Cake] - Cashloan</v>
      </c>
      <c r="H4843" s="128" t="str">
        <f>VLOOKUP(source[[#This Row],[lending_product_transform]],[3]Mapping!$B$3:$D$37,3,0)</f>
        <v>cashloan</v>
      </c>
      <c r="I4843" s="135">
        <v>0</v>
      </c>
    </row>
    <row r="4844" spans="1:9" x14ac:dyDescent="0.2">
      <c r="A4844" s="134">
        <v>45692</v>
      </c>
      <c r="B4844" s="135">
        <f>YEAR(source[[#This Row],[report_date]])</f>
        <v>2025</v>
      </c>
      <c r="C4844" s="128">
        <f t="shared" si="221"/>
        <v>2</v>
      </c>
      <c r="D4844" s="136">
        <f t="shared" si="223"/>
        <v>6</v>
      </c>
      <c r="E4844" s="136">
        <f t="shared" si="222"/>
        <v>4</v>
      </c>
      <c r="F4844" s="128" t="s">
        <v>24</v>
      </c>
      <c r="G4844" s="128" t="str">
        <f>VLOOKUP(source[[#This Row],[lending_product_transform]],[3]Mapping!$B$4:$C$37,2,0)</f>
        <v>[Cake] - Cashloan</v>
      </c>
      <c r="H4844" s="128" t="str">
        <f>VLOOKUP(source[[#This Row],[lending_product_transform]],[3]Mapping!$B$3:$D$37,3,0)</f>
        <v>cashloan</v>
      </c>
      <c r="I4844" s="135">
        <v>4337099283</v>
      </c>
    </row>
    <row r="4845" spans="1:9" x14ac:dyDescent="0.2">
      <c r="A4845" s="134">
        <v>45692</v>
      </c>
      <c r="B4845" s="135">
        <f>YEAR(source[[#This Row],[report_date]])</f>
        <v>2025</v>
      </c>
      <c r="C4845" s="128">
        <f t="shared" si="221"/>
        <v>2</v>
      </c>
      <c r="D4845" s="136">
        <f t="shared" si="223"/>
        <v>6</v>
      </c>
      <c r="E4845" s="136">
        <f t="shared" si="222"/>
        <v>4</v>
      </c>
      <c r="F4845" s="128" t="s">
        <v>24</v>
      </c>
      <c r="G4845" s="128" t="str">
        <f>VLOOKUP(source[[#This Row],[lending_product_transform]],[3]Mapping!$B$4:$C$37,2,0)</f>
        <v>[Cake] - Cashloan</v>
      </c>
      <c r="H4845" s="128" t="str">
        <f>VLOOKUP(source[[#This Row],[lending_product_transform]],[3]Mapping!$B$3:$D$37,3,0)</f>
        <v>cashloan</v>
      </c>
      <c r="I4845" s="135">
        <v>0</v>
      </c>
    </row>
    <row r="4846" spans="1:9" x14ac:dyDescent="0.2">
      <c r="A4846" s="134">
        <v>45692</v>
      </c>
      <c r="B4846" s="135">
        <f>YEAR(source[[#This Row],[report_date]])</f>
        <v>2025</v>
      </c>
      <c r="C4846" s="128">
        <f t="shared" si="221"/>
        <v>2</v>
      </c>
      <c r="D4846" s="136">
        <f t="shared" si="223"/>
        <v>6</v>
      </c>
      <c r="E4846" s="136">
        <f t="shared" si="222"/>
        <v>4</v>
      </c>
      <c r="F4846" s="128" t="s">
        <v>24</v>
      </c>
      <c r="G4846" s="128" t="str">
        <f>VLOOKUP(source[[#This Row],[lending_product_transform]],[3]Mapping!$B$4:$C$37,2,0)</f>
        <v>[Cake] - Cashloan</v>
      </c>
      <c r="H4846" s="128" t="str">
        <f>VLOOKUP(source[[#This Row],[lending_product_transform]],[3]Mapping!$B$3:$D$37,3,0)</f>
        <v>cashloan</v>
      </c>
      <c r="I4846" s="135">
        <v>0</v>
      </c>
    </row>
    <row r="4847" spans="1:9" x14ac:dyDescent="0.2">
      <c r="A4847" s="134">
        <v>45692</v>
      </c>
      <c r="B4847" s="135">
        <f>YEAR(source[[#This Row],[report_date]])</f>
        <v>2025</v>
      </c>
      <c r="C4847" s="128">
        <f t="shared" si="221"/>
        <v>2</v>
      </c>
      <c r="D4847" s="136">
        <f t="shared" si="223"/>
        <v>6</v>
      </c>
      <c r="E4847" s="136">
        <f t="shared" si="222"/>
        <v>4</v>
      </c>
      <c r="F4847" s="128" t="s">
        <v>24</v>
      </c>
      <c r="G4847" s="128" t="str">
        <f>VLOOKUP(source[[#This Row],[lending_product_transform]],[3]Mapping!$B$4:$C$37,2,0)</f>
        <v>[Cake] - Cashloan</v>
      </c>
      <c r="H4847" s="128" t="str">
        <f>VLOOKUP(source[[#This Row],[lending_product_transform]],[3]Mapping!$B$3:$D$37,3,0)</f>
        <v>cashloan</v>
      </c>
      <c r="I4847" s="135">
        <v>3815460000</v>
      </c>
    </row>
    <row r="4848" spans="1:9" x14ac:dyDescent="0.2">
      <c r="A4848" s="134">
        <v>45692</v>
      </c>
      <c r="B4848" s="135">
        <f>YEAR(source[[#This Row],[report_date]])</f>
        <v>2025</v>
      </c>
      <c r="C4848" s="128">
        <f t="shared" si="221"/>
        <v>2</v>
      </c>
      <c r="D4848" s="136">
        <f t="shared" si="223"/>
        <v>6</v>
      </c>
      <c r="E4848" s="136">
        <f t="shared" si="222"/>
        <v>4</v>
      </c>
      <c r="F4848" s="128" t="s">
        <v>24</v>
      </c>
      <c r="G4848" s="128" t="str">
        <f>VLOOKUP(source[[#This Row],[lending_product_transform]],[3]Mapping!$B$4:$C$37,2,0)</f>
        <v>[Cake] - Cashloan</v>
      </c>
      <c r="H4848" s="128" t="str">
        <f>VLOOKUP(source[[#This Row],[lending_product_transform]],[3]Mapping!$B$3:$D$37,3,0)</f>
        <v>cashloan</v>
      </c>
      <c r="I4848" s="135">
        <v>166260000</v>
      </c>
    </row>
    <row r="4849" spans="1:9" x14ac:dyDescent="0.2">
      <c r="A4849" s="134">
        <v>45692</v>
      </c>
      <c r="B4849" s="135">
        <f>YEAR(source[[#This Row],[report_date]])</f>
        <v>2025</v>
      </c>
      <c r="C4849" s="128">
        <f t="shared" si="221"/>
        <v>2</v>
      </c>
      <c r="D4849" s="136">
        <f t="shared" si="223"/>
        <v>6</v>
      </c>
      <c r="E4849" s="136">
        <f t="shared" si="222"/>
        <v>4</v>
      </c>
      <c r="F4849" s="128" t="s">
        <v>24</v>
      </c>
      <c r="G4849" s="128" t="str">
        <f>VLOOKUP(source[[#This Row],[lending_product_transform]],[3]Mapping!$B$4:$C$37,2,0)</f>
        <v>[Cake] - Cashloan</v>
      </c>
      <c r="H4849" s="128" t="str">
        <f>VLOOKUP(source[[#This Row],[lending_product_transform]],[3]Mapping!$B$3:$D$37,3,0)</f>
        <v>cashloan</v>
      </c>
      <c r="I4849" s="135">
        <v>310307404</v>
      </c>
    </row>
    <row r="4850" spans="1:9" x14ac:dyDescent="0.2">
      <c r="A4850" s="134">
        <v>45692</v>
      </c>
      <c r="B4850" s="135">
        <f>YEAR(source[[#This Row],[report_date]])</f>
        <v>2025</v>
      </c>
      <c r="C4850" s="128">
        <f t="shared" ref="C4850:C4913" si="224">MONTH(A4850)</f>
        <v>2</v>
      </c>
      <c r="D4850" s="136">
        <f t="shared" si="223"/>
        <v>6</v>
      </c>
      <c r="E4850" s="136">
        <f t="shared" ref="E4850:E4913" si="225">DAY(A4850)</f>
        <v>4</v>
      </c>
      <c r="F4850" s="128" t="s">
        <v>24</v>
      </c>
      <c r="G4850" s="128" t="str">
        <f>VLOOKUP(source[[#This Row],[lending_product_transform]],[3]Mapping!$B$4:$C$37,2,0)</f>
        <v>[Cake] - Cashloan</v>
      </c>
      <c r="H4850" s="128" t="str">
        <f>VLOOKUP(source[[#This Row],[lending_product_transform]],[3]Mapping!$B$3:$D$37,3,0)</f>
        <v>cashloan</v>
      </c>
      <c r="I4850" s="135">
        <v>24000000</v>
      </c>
    </row>
    <row r="4851" spans="1:9" x14ac:dyDescent="0.2">
      <c r="A4851" s="134">
        <v>45692</v>
      </c>
      <c r="B4851" s="135">
        <f>YEAR(source[[#This Row],[report_date]])</f>
        <v>2025</v>
      </c>
      <c r="C4851" s="128">
        <f t="shared" si="224"/>
        <v>2</v>
      </c>
      <c r="D4851" s="136">
        <f t="shared" si="223"/>
        <v>6</v>
      </c>
      <c r="E4851" s="136">
        <f t="shared" si="225"/>
        <v>4</v>
      </c>
      <c r="F4851" s="128" t="s">
        <v>24</v>
      </c>
      <c r="G4851" s="128" t="str">
        <f>VLOOKUP(source[[#This Row],[lending_product_transform]],[3]Mapping!$B$4:$C$37,2,0)</f>
        <v>[Cake] - Cashloan</v>
      </c>
      <c r="H4851" s="128" t="str">
        <f>VLOOKUP(source[[#This Row],[lending_product_transform]],[3]Mapping!$B$3:$D$37,3,0)</f>
        <v>cashloan</v>
      </c>
      <c r="I4851" s="135">
        <v>3927270000</v>
      </c>
    </row>
    <row r="4852" spans="1:9" x14ac:dyDescent="0.2">
      <c r="A4852" s="134">
        <v>45692</v>
      </c>
      <c r="B4852" s="135">
        <f>YEAR(source[[#This Row],[report_date]])</f>
        <v>2025</v>
      </c>
      <c r="C4852" s="128">
        <f t="shared" si="224"/>
        <v>2</v>
      </c>
      <c r="D4852" s="136">
        <f t="shared" si="223"/>
        <v>6</v>
      </c>
      <c r="E4852" s="136">
        <f t="shared" si="225"/>
        <v>4</v>
      </c>
      <c r="F4852" s="128" t="s">
        <v>24</v>
      </c>
      <c r="G4852" s="128" t="str">
        <f>VLOOKUP(source[[#This Row],[lending_product_transform]],[3]Mapping!$B$4:$C$37,2,0)</f>
        <v>[Cake] - Cashloan</v>
      </c>
      <c r="H4852" s="128" t="str">
        <f>VLOOKUP(source[[#This Row],[lending_product_transform]],[3]Mapping!$B$3:$D$37,3,0)</f>
        <v>cashloan</v>
      </c>
      <c r="I4852" s="135">
        <v>695554060</v>
      </c>
    </row>
    <row r="4853" spans="1:9" x14ac:dyDescent="0.2">
      <c r="A4853" s="134">
        <v>45692</v>
      </c>
      <c r="B4853" s="135">
        <f>YEAR(source[[#This Row],[report_date]])</f>
        <v>2025</v>
      </c>
      <c r="C4853" s="128">
        <f t="shared" si="224"/>
        <v>2</v>
      </c>
      <c r="D4853" s="136">
        <f t="shared" si="223"/>
        <v>6</v>
      </c>
      <c r="E4853" s="136">
        <f t="shared" si="225"/>
        <v>4</v>
      </c>
      <c r="F4853" s="128" t="s">
        <v>24</v>
      </c>
      <c r="G4853" s="128" t="str">
        <f>VLOOKUP(source[[#This Row],[lending_product_transform]],[3]Mapping!$B$4:$C$37,2,0)</f>
        <v>[Cake] - Cashloan</v>
      </c>
      <c r="H4853" s="128" t="str">
        <f>VLOOKUP(source[[#This Row],[lending_product_transform]],[3]Mapping!$B$3:$D$37,3,0)</f>
        <v>cashloan</v>
      </c>
      <c r="I4853" s="135">
        <v>64919754</v>
      </c>
    </row>
    <row r="4854" spans="1:9" x14ac:dyDescent="0.2">
      <c r="A4854" s="134">
        <v>45692</v>
      </c>
      <c r="B4854" s="135">
        <f>YEAR(source[[#This Row],[report_date]])</f>
        <v>2025</v>
      </c>
      <c r="C4854" s="128">
        <f t="shared" si="224"/>
        <v>2</v>
      </c>
      <c r="D4854" s="136">
        <f t="shared" si="223"/>
        <v>6</v>
      </c>
      <c r="E4854" s="136">
        <f t="shared" si="225"/>
        <v>4</v>
      </c>
      <c r="F4854" s="128" t="s">
        <v>24</v>
      </c>
      <c r="G4854" s="128" t="str">
        <f>VLOOKUP(source[[#This Row],[lending_product_transform]],[3]Mapping!$B$4:$C$37,2,0)</f>
        <v>[Cake] - Cashloan</v>
      </c>
      <c r="H4854" s="128" t="str">
        <f>VLOOKUP(source[[#This Row],[lending_product_transform]],[3]Mapping!$B$3:$D$37,3,0)</f>
        <v>cashloan</v>
      </c>
      <c r="I4854" s="135">
        <v>441420000</v>
      </c>
    </row>
    <row r="4855" spans="1:9" x14ac:dyDescent="0.2">
      <c r="A4855" s="134">
        <v>45692</v>
      </c>
      <c r="B4855" s="135">
        <f>YEAR(source[[#This Row],[report_date]])</f>
        <v>2025</v>
      </c>
      <c r="C4855" s="128">
        <f t="shared" si="224"/>
        <v>2</v>
      </c>
      <c r="D4855" s="136">
        <f t="shared" si="223"/>
        <v>6</v>
      </c>
      <c r="E4855" s="136">
        <f t="shared" si="225"/>
        <v>4</v>
      </c>
      <c r="F4855" s="128" t="s">
        <v>24</v>
      </c>
      <c r="G4855" s="128" t="str">
        <f>VLOOKUP(source[[#This Row],[lending_product_transform]],[3]Mapping!$B$4:$C$37,2,0)</f>
        <v>[Cake] - Cashloan</v>
      </c>
      <c r="H4855" s="128" t="str">
        <f>VLOOKUP(source[[#This Row],[lending_product_transform]],[3]Mapping!$B$3:$D$37,3,0)</f>
        <v>cashloan</v>
      </c>
      <c r="I4855" s="135">
        <v>0</v>
      </c>
    </row>
    <row r="4856" spans="1:9" x14ac:dyDescent="0.2">
      <c r="A4856" s="134">
        <v>45692</v>
      </c>
      <c r="B4856" s="135">
        <f>YEAR(source[[#This Row],[report_date]])</f>
        <v>2025</v>
      </c>
      <c r="C4856" s="128">
        <f t="shared" si="224"/>
        <v>2</v>
      </c>
      <c r="D4856" s="136">
        <f t="shared" si="223"/>
        <v>6</v>
      </c>
      <c r="E4856" s="136">
        <f t="shared" si="225"/>
        <v>4</v>
      </c>
      <c r="F4856" s="128" t="s">
        <v>24</v>
      </c>
      <c r="G4856" s="128" t="str">
        <f>VLOOKUP(source[[#This Row],[lending_product_transform]],[3]Mapping!$B$4:$C$37,2,0)</f>
        <v>[Cake] - Cashloan</v>
      </c>
      <c r="H4856" s="128" t="str">
        <f>VLOOKUP(source[[#This Row],[lending_product_transform]],[3]Mapping!$B$3:$D$37,3,0)</f>
        <v>cashloan</v>
      </c>
      <c r="I4856" s="135">
        <v>0</v>
      </c>
    </row>
    <row r="4857" spans="1:9" x14ac:dyDescent="0.2">
      <c r="A4857" s="134">
        <v>45692</v>
      </c>
      <c r="B4857" s="135">
        <f>YEAR(source[[#This Row],[report_date]])</f>
        <v>2025</v>
      </c>
      <c r="C4857" s="128">
        <f t="shared" si="224"/>
        <v>2</v>
      </c>
      <c r="D4857" s="136">
        <f t="shared" si="223"/>
        <v>6</v>
      </c>
      <c r="E4857" s="136">
        <f t="shared" si="225"/>
        <v>4</v>
      </c>
      <c r="F4857" s="128" t="s">
        <v>24</v>
      </c>
      <c r="G4857" s="128" t="str">
        <f>VLOOKUP(source[[#This Row],[lending_product_transform]],[3]Mapping!$B$4:$C$37,2,0)</f>
        <v>[Cake] - Cashloan</v>
      </c>
      <c r="H4857" s="128" t="str">
        <f>VLOOKUP(source[[#This Row],[lending_product_transform]],[3]Mapping!$B$3:$D$37,3,0)</f>
        <v>cashloan</v>
      </c>
      <c r="I4857" s="135">
        <v>4476000000</v>
      </c>
    </row>
    <row r="4858" spans="1:9" x14ac:dyDescent="0.2">
      <c r="A4858" s="134">
        <v>45692</v>
      </c>
      <c r="B4858" s="135">
        <f>YEAR(source[[#This Row],[report_date]])</f>
        <v>2025</v>
      </c>
      <c r="C4858" s="128">
        <f t="shared" si="224"/>
        <v>2</v>
      </c>
      <c r="D4858" s="136">
        <f t="shared" si="223"/>
        <v>6</v>
      </c>
      <c r="E4858" s="136">
        <f t="shared" si="225"/>
        <v>4</v>
      </c>
      <c r="F4858" s="128" t="s">
        <v>24</v>
      </c>
      <c r="G4858" s="128" t="str">
        <f>VLOOKUP(source[[#This Row],[lending_product_transform]],[3]Mapping!$B$4:$C$37,2,0)</f>
        <v>[Cake] - Cashloan</v>
      </c>
      <c r="H4858" s="128" t="str">
        <f>VLOOKUP(source[[#This Row],[lending_product_transform]],[3]Mapping!$B$3:$D$37,3,0)</f>
        <v>cashloan</v>
      </c>
      <c r="I4858" s="135">
        <v>0</v>
      </c>
    </row>
    <row r="4859" spans="1:9" x14ac:dyDescent="0.2">
      <c r="A4859" s="134">
        <v>45692</v>
      </c>
      <c r="B4859" s="135">
        <f>YEAR(source[[#This Row],[report_date]])</f>
        <v>2025</v>
      </c>
      <c r="C4859" s="128">
        <f t="shared" si="224"/>
        <v>2</v>
      </c>
      <c r="D4859" s="136">
        <f t="shared" si="223"/>
        <v>6</v>
      </c>
      <c r="E4859" s="136">
        <f t="shared" si="225"/>
        <v>4</v>
      </c>
      <c r="F4859" s="128" t="s">
        <v>24</v>
      </c>
      <c r="G4859" s="128" t="str">
        <f>VLOOKUP(source[[#This Row],[lending_product_transform]],[3]Mapping!$B$4:$C$37,2,0)</f>
        <v>[Cake] - Cashloan</v>
      </c>
      <c r="H4859" s="128" t="str">
        <f>VLOOKUP(source[[#This Row],[lending_product_transform]],[3]Mapping!$B$3:$D$37,3,0)</f>
        <v>cashloan</v>
      </c>
      <c r="I4859" s="135">
        <v>962935849</v>
      </c>
    </row>
    <row r="4860" spans="1:9" x14ac:dyDescent="0.2">
      <c r="A4860" s="134">
        <v>45692</v>
      </c>
      <c r="B4860" s="135">
        <f>YEAR(source[[#This Row],[report_date]])</f>
        <v>2025</v>
      </c>
      <c r="C4860" s="128">
        <f t="shared" si="224"/>
        <v>2</v>
      </c>
      <c r="D4860" s="136">
        <f t="shared" si="223"/>
        <v>6</v>
      </c>
      <c r="E4860" s="136">
        <f t="shared" si="225"/>
        <v>4</v>
      </c>
      <c r="F4860" s="128" t="s">
        <v>24</v>
      </c>
      <c r="G4860" s="128" t="str">
        <f>VLOOKUP(source[[#This Row],[lending_product_transform]],[3]Mapping!$B$4:$C$37,2,0)</f>
        <v>[Cake] - Cashloan</v>
      </c>
      <c r="H4860" s="128" t="str">
        <f>VLOOKUP(source[[#This Row],[lending_product_transform]],[3]Mapping!$B$3:$D$37,3,0)</f>
        <v>cashloan</v>
      </c>
      <c r="I4860" s="135">
        <v>21000000</v>
      </c>
    </row>
    <row r="4861" spans="1:9" x14ac:dyDescent="0.2">
      <c r="A4861" s="134">
        <v>45693</v>
      </c>
      <c r="B4861" s="135">
        <f>YEAR(source[[#This Row],[report_date]])</f>
        <v>2025</v>
      </c>
      <c r="C4861" s="128">
        <f t="shared" si="224"/>
        <v>2</v>
      </c>
      <c r="D4861" s="136">
        <f t="shared" si="223"/>
        <v>6</v>
      </c>
      <c r="E4861" s="136">
        <f t="shared" si="225"/>
        <v>5</v>
      </c>
      <c r="F4861" s="128" t="s">
        <v>24</v>
      </c>
      <c r="G4861" s="128" t="str">
        <f>VLOOKUP(source[[#This Row],[lending_product_transform]],[3]Mapping!$B$4:$C$37,2,0)</f>
        <v>[Cake] - Cashloan</v>
      </c>
      <c r="H4861" s="128" t="str">
        <f>VLOOKUP(source[[#This Row],[lending_product_transform]],[3]Mapping!$B$3:$D$37,3,0)</f>
        <v>cashloan</v>
      </c>
      <c r="I4861" s="135">
        <v>647271054</v>
      </c>
    </row>
    <row r="4862" spans="1:9" x14ac:dyDescent="0.2">
      <c r="A4862" s="134">
        <v>45693</v>
      </c>
      <c r="B4862" s="135">
        <f>YEAR(source[[#This Row],[report_date]])</f>
        <v>2025</v>
      </c>
      <c r="C4862" s="128">
        <f t="shared" si="224"/>
        <v>2</v>
      </c>
      <c r="D4862" s="136">
        <f t="shared" si="223"/>
        <v>6</v>
      </c>
      <c r="E4862" s="136">
        <f t="shared" si="225"/>
        <v>5</v>
      </c>
      <c r="F4862" s="128" t="s">
        <v>24</v>
      </c>
      <c r="G4862" s="128" t="str">
        <f>VLOOKUP(source[[#This Row],[lending_product_transform]],[3]Mapping!$B$4:$C$37,2,0)</f>
        <v>[Cake] - Cashloan</v>
      </c>
      <c r="H4862" s="128" t="str">
        <f>VLOOKUP(source[[#This Row],[lending_product_transform]],[3]Mapping!$B$3:$D$37,3,0)</f>
        <v>cashloan</v>
      </c>
      <c r="I4862" s="135">
        <v>0</v>
      </c>
    </row>
    <row r="4863" spans="1:9" x14ac:dyDescent="0.2">
      <c r="A4863" s="134">
        <v>45693</v>
      </c>
      <c r="B4863" s="135">
        <f>YEAR(source[[#This Row],[report_date]])</f>
        <v>2025</v>
      </c>
      <c r="C4863" s="128">
        <f t="shared" si="224"/>
        <v>2</v>
      </c>
      <c r="D4863" s="136">
        <f t="shared" si="223"/>
        <v>6</v>
      </c>
      <c r="E4863" s="136">
        <f t="shared" si="225"/>
        <v>5</v>
      </c>
      <c r="F4863" s="128" t="s">
        <v>24</v>
      </c>
      <c r="G4863" s="128" t="str">
        <f>VLOOKUP(source[[#This Row],[lending_product_transform]],[3]Mapping!$B$4:$C$37,2,0)</f>
        <v>[Cake] - Cashloan</v>
      </c>
      <c r="H4863" s="128" t="str">
        <f>VLOOKUP(source[[#This Row],[lending_product_transform]],[3]Mapping!$B$3:$D$37,3,0)</f>
        <v>cashloan</v>
      </c>
      <c r="I4863" s="135">
        <v>900096121</v>
      </c>
    </row>
    <row r="4864" spans="1:9" x14ac:dyDescent="0.2">
      <c r="A4864" s="134">
        <v>45693</v>
      </c>
      <c r="B4864" s="135">
        <f>YEAR(source[[#This Row],[report_date]])</f>
        <v>2025</v>
      </c>
      <c r="C4864" s="128">
        <f t="shared" si="224"/>
        <v>2</v>
      </c>
      <c r="D4864" s="136">
        <f t="shared" si="223"/>
        <v>6</v>
      </c>
      <c r="E4864" s="136">
        <f t="shared" si="225"/>
        <v>5</v>
      </c>
      <c r="F4864" s="128" t="s">
        <v>24</v>
      </c>
      <c r="G4864" s="128" t="str">
        <f>VLOOKUP(source[[#This Row],[lending_product_transform]],[3]Mapping!$B$4:$C$37,2,0)</f>
        <v>[Cake] - Cashloan</v>
      </c>
      <c r="H4864" s="128" t="str">
        <f>VLOOKUP(source[[#This Row],[lending_product_transform]],[3]Mapping!$B$3:$D$37,3,0)</f>
        <v>cashloan</v>
      </c>
      <c r="I4864" s="135">
        <v>0</v>
      </c>
    </row>
    <row r="4865" spans="1:9" x14ac:dyDescent="0.2">
      <c r="A4865" s="134">
        <v>45693</v>
      </c>
      <c r="B4865" s="135">
        <f>YEAR(source[[#This Row],[report_date]])</f>
        <v>2025</v>
      </c>
      <c r="C4865" s="128">
        <f t="shared" si="224"/>
        <v>2</v>
      </c>
      <c r="D4865" s="136">
        <f t="shared" si="223"/>
        <v>6</v>
      </c>
      <c r="E4865" s="136">
        <f t="shared" si="225"/>
        <v>5</v>
      </c>
      <c r="F4865" s="128" t="s">
        <v>24</v>
      </c>
      <c r="G4865" s="128" t="str">
        <f>VLOOKUP(source[[#This Row],[lending_product_transform]],[3]Mapping!$B$4:$C$37,2,0)</f>
        <v>[Cake] - Cashloan</v>
      </c>
      <c r="H4865" s="128" t="str">
        <f>VLOOKUP(source[[#This Row],[lending_product_transform]],[3]Mapping!$B$3:$D$37,3,0)</f>
        <v>cashloan</v>
      </c>
      <c r="I4865" s="135">
        <v>23000000</v>
      </c>
    </row>
    <row r="4866" spans="1:9" x14ac:dyDescent="0.2">
      <c r="A4866" s="134">
        <v>45693</v>
      </c>
      <c r="B4866" s="135">
        <f>YEAR(source[[#This Row],[report_date]])</f>
        <v>2025</v>
      </c>
      <c r="C4866" s="128">
        <f t="shared" si="224"/>
        <v>2</v>
      </c>
      <c r="D4866" s="136">
        <f t="shared" si="223"/>
        <v>6</v>
      </c>
      <c r="E4866" s="136">
        <f t="shared" si="225"/>
        <v>5</v>
      </c>
      <c r="F4866" s="128" t="s">
        <v>24</v>
      </c>
      <c r="G4866" s="128" t="str">
        <f>VLOOKUP(source[[#This Row],[lending_product_transform]],[3]Mapping!$B$4:$C$37,2,0)</f>
        <v>[Cake] - Cashloan</v>
      </c>
      <c r="H4866" s="128" t="str">
        <f>VLOOKUP(source[[#This Row],[lending_product_transform]],[3]Mapping!$B$3:$D$37,3,0)</f>
        <v>cashloan</v>
      </c>
      <c r="I4866" s="135">
        <v>327960000</v>
      </c>
    </row>
    <row r="4867" spans="1:9" x14ac:dyDescent="0.2">
      <c r="A4867" s="134">
        <v>45693</v>
      </c>
      <c r="B4867" s="135">
        <f>YEAR(source[[#This Row],[report_date]])</f>
        <v>2025</v>
      </c>
      <c r="C4867" s="128">
        <f t="shared" si="224"/>
        <v>2</v>
      </c>
      <c r="D4867" s="136">
        <f t="shared" ref="D4867:D4930" si="226">WEEKNUM(A4867,2)</f>
        <v>6</v>
      </c>
      <c r="E4867" s="136">
        <f t="shared" si="225"/>
        <v>5</v>
      </c>
      <c r="F4867" s="128" t="s">
        <v>24</v>
      </c>
      <c r="G4867" s="128" t="str">
        <f>VLOOKUP(source[[#This Row],[lending_product_transform]],[3]Mapping!$B$4:$C$37,2,0)</f>
        <v>[Cake] - Cashloan</v>
      </c>
      <c r="H4867" s="128" t="str">
        <f>VLOOKUP(source[[#This Row],[lending_product_transform]],[3]Mapping!$B$3:$D$37,3,0)</f>
        <v>cashloan</v>
      </c>
      <c r="I4867" s="135">
        <v>3973020000</v>
      </c>
    </row>
    <row r="4868" spans="1:9" x14ac:dyDescent="0.2">
      <c r="A4868" s="134">
        <v>45693</v>
      </c>
      <c r="B4868" s="135">
        <f>YEAR(source[[#This Row],[report_date]])</f>
        <v>2025</v>
      </c>
      <c r="C4868" s="128">
        <f t="shared" si="224"/>
        <v>2</v>
      </c>
      <c r="D4868" s="136">
        <f t="shared" si="226"/>
        <v>6</v>
      </c>
      <c r="E4868" s="136">
        <f t="shared" si="225"/>
        <v>5</v>
      </c>
      <c r="F4868" s="128" t="s">
        <v>24</v>
      </c>
      <c r="G4868" s="128" t="str">
        <f>VLOOKUP(source[[#This Row],[lending_product_transform]],[3]Mapping!$B$4:$C$37,2,0)</f>
        <v>[Cake] - Cashloan</v>
      </c>
      <c r="H4868" s="128" t="str">
        <f>VLOOKUP(source[[#This Row],[lending_product_transform]],[3]Mapping!$B$3:$D$37,3,0)</f>
        <v>cashloan</v>
      </c>
      <c r="I4868" s="135">
        <v>335601038</v>
      </c>
    </row>
    <row r="4869" spans="1:9" x14ac:dyDescent="0.2">
      <c r="A4869" s="134">
        <v>45693</v>
      </c>
      <c r="B4869" s="135">
        <f>YEAR(source[[#This Row],[report_date]])</f>
        <v>2025</v>
      </c>
      <c r="C4869" s="128">
        <f t="shared" si="224"/>
        <v>2</v>
      </c>
      <c r="D4869" s="136">
        <f t="shared" si="226"/>
        <v>6</v>
      </c>
      <c r="E4869" s="136">
        <f t="shared" si="225"/>
        <v>5</v>
      </c>
      <c r="F4869" s="128" t="s">
        <v>24</v>
      </c>
      <c r="G4869" s="128" t="str">
        <f>VLOOKUP(source[[#This Row],[lending_product_transform]],[3]Mapping!$B$4:$C$37,2,0)</f>
        <v>[Cake] - Cashloan</v>
      </c>
      <c r="H4869" s="128" t="str">
        <f>VLOOKUP(source[[#This Row],[lending_product_transform]],[3]Mapping!$B$3:$D$37,3,0)</f>
        <v>cashloan</v>
      </c>
      <c r="I4869" s="135">
        <v>0</v>
      </c>
    </row>
    <row r="4870" spans="1:9" x14ac:dyDescent="0.2">
      <c r="A4870" s="134">
        <v>45693</v>
      </c>
      <c r="B4870" s="135">
        <f>YEAR(source[[#This Row],[report_date]])</f>
        <v>2025</v>
      </c>
      <c r="C4870" s="128">
        <f t="shared" si="224"/>
        <v>2</v>
      </c>
      <c r="D4870" s="136">
        <f t="shared" si="226"/>
        <v>6</v>
      </c>
      <c r="E4870" s="136">
        <f t="shared" si="225"/>
        <v>5</v>
      </c>
      <c r="F4870" s="128" t="s">
        <v>24</v>
      </c>
      <c r="G4870" s="128" t="str">
        <f>VLOOKUP(source[[#This Row],[lending_product_transform]],[3]Mapping!$B$4:$C$37,2,0)</f>
        <v>[Cake] - Cashloan</v>
      </c>
      <c r="H4870" s="128" t="str">
        <f>VLOOKUP(source[[#This Row],[lending_product_transform]],[3]Mapping!$B$3:$D$37,3,0)</f>
        <v>cashloan</v>
      </c>
      <c r="I4870" s="135">
        <v>64288683</v>
      </c>
    </row>
    <row r="4871" spans="1:9" x14ac:dyDescent="0.2">
      <c r="A4871" s="134">
        <v>45693</v>
      </c>
      <c r="B4871" s="135">
        <f>YEAR(source[[#This Row],[report_date]])</f>
        <v>2025</v>
      </c>
      <c r="C4871" s="128">
        <f t="shared" si="224"/>
        <v>2</v>
      </c>
      <c r="D4871" s="136">
        <f t="shared" si="226"/>
        <v>6</v>
      </c>
      <c r="E4871" s="136">
        <f t="shared" si="225"/>
        <v>5</v>
      </c>
      <c r="F4871" s="128" t="s">
        <v>24</v>
      </c>
      <c r="G4871" s="128" t="str">
        <f>VLOOKUP(source[[#This Row],[lending_product_transform]],[3]Mapping!$B$4:$C$37,2,0)</f>
        <v>[Cake] - Cashloan</v>
      </c>
      <c r="H4871" s="128" t="str">
        <f>VLOOKUP(source[[#This Row],[lending_product_transform]],[3]Mapping!$B$3:$D$37,3,0)</f>
        <v>cashloan</v>
      </c>
      <c r="I4871" s="135">
        <v>3960514225</v>
      </c>
    </row>
    <row r="4872" spans="1:9" x14ac:dyDescent="0.2">
      <c r="A4872" s="134">
        <v>45693</v>
      </c>
      <c r="B4872" s="135">
        <f>YEAR(source[[#This Row],[report_date]])</f>
        <v>2025</v>
      </c>
      <c r="C4872" s="128">
        <f t="shared" si="224"/>
        <v>2</v>
      </c>
      <c r="D4872" s="136">
        <f t="shared" si="226"/>
        <v>6</v>
      </c>
      <c r="E4872" s="136">
        <f t="shared" si="225"/>
        <v>5</v>
      </c>
      <c r="F4872" s="128" t="s">
        <v>24</v>
      </c>
      <c r="G4872" s="128" t="str">
        <f>VLOOKUP(source[[#This Row],[lending_product_transform]],[3]Mapping!$B$4:$C$37,2,0)</f>
        <v>[Cake] - Cashloan</v>
      </c>
      <c r="H4872" s="128" t="str">
        <f>VLOOKUP(source[[#This Row],[lending_product_transform]],[3]Mapping!$B$3:$D$37,3,0)</f>
        <v>cashloan</v>
      </c>
      <c r="I4872" s="135">
        <v>0</v>
      </c>
    </row>
    <row r="4873" spans="1:9" x14ac:dyDescent="0.2">
      <c r="A4873" s="134">
        <v>45693</v>
      </c>
      <c r="B4873" s="135">
        <f>YEAR(source[[#This Row],[report_date]])</f>
        <v>2025</v>
      </c>
      <c r="C4873" s="128">
        <f t="shared" si="224"/>
        <v>2</v>
      </c>
      <c r="D4873" s="136">
        <f t="shared" si="226"/>
        <v>6</v>
      </c>
      <c r="E4873" s="136">
        <f t="shared" si="225"/>
        <v>5</v>
      </c>
      <c r="F4873" s="128" t="s">
        <v>24</v>
      </c>
      <c r="G4873" s="128" t="str">
        <f>VLOOKUP(source[[#This Row],[lending_product_transform]],[3]Mapping!$B$4:$C$37,2,0)</f>
        <v>[Cake] - Cashloan</v>
      </c>
      <c r="H4873" s="128" t="str">
        <f>VLOOKUP(source[[#This Row],[lending_product_transform]],[3]Mapping!$B$3:$D$37,3,0)</f>
        <v>cashloan</v>
      </c>
      <c r="I4873" s="135">
        <v>0</v>
      </c>
    </row>
    <row r="4874" spans="1:9" x14ac:dyDescent="0.2">
      <c r="A4874" s="134">
        <v>45693</v>
      </c>
      <c r="B4874" s="135">
        <f>YEAR(source[[#This Row],[report_date]])</f>
        <v>2025</v>
      </c>
      <c r="C4874" s="128">
        <f t="shared" si="224"/>
        <v>2</v>
      </c>
      <c r="D4874" s="136">
        <f t="shared" si="226"/>
        <v>6</v>
      </c>
      <c r="E4874" s="136">
        <f t="shared" si="225"/>
        <v>5</v>
      </c>
      <c r="F4874" s="128" t="s">
        <v>24</v>
      </c>
      <c r="G4874" s="128" t="str">
        <f>VLOOKUP(source[[#This Row],[lending_product_transform]],[3]Mapping!$B$4:$C$37,2,0)</f>
        <v>[Cake] - Cashloan</v>
      </c>
      <c r="H4874" s="128" t="str">
        <f>VLOOKUP(source[[#This Row],[lending_product_transform]],[3]Mapping!$B$3:$D$37,3,0)</f>
        <v>cashloan</v>
      </c>
      <c r="I4874" s="135">
        <v>0</v>
      </c>
    </row>
    <row r="4875" spans="1:9" x14ac:dyDescent="0.2">
      <c r="A4875" s="134">
        <v>45693</v>
      </c>
      <c r="B4875" s="135">
        <f>YEAR(source[[#This Row],[report_date]])</f>
        <v>2025</v>
      </c>
      <c r="C4875" s="128">
        <f t="shared" si="224"/>
        <v>2</v>
      </c>
      <c r="D4875" s="136">
        <f t="shared" si="226"/>
        <v>6</v>
      </c>
      <c r="E4875" s="136">
        <f t="shared" si="225"/>
        <v>5</v>
      </c>
      <c r="F4875" s="128" t="s">
        <v>24</v>
      </c>
      <c r="G4875" s="128" t="str">
        <f>VLOOKUP(source[[#This Row],[lending_product_transform]],[3]Mapping!$B$4:$C$37,2,0)</f>
        <v>[Cake] - Cashloan</v>
      </c>
      <c r="H4875" s="128" t="str">
        <f>VLOOKUP(source[[#This Row],[lending_product_transform]],[3]Mapping!$B$3:$D$37,3,0)</f>
        <v>cashloan</v>
      </c>
      <c r="I4875" s="135">
        <v>4779500000</v>
      </c>
    </row>
    <row r="4876" spans="1:9" x14ac:dyDescent="0.2">
      <c r="A4876" s="134">
        <v>45693</v>
      </c>
      <c r="B4876" s="135">
        <f>YEAR(source[[#This Row],[report_date]])</f>
        <v>2025</v>
      </c>
      <c r="C4876" s="128">
        <f t="shared" si="224"/>
        <v>2</v>
      </c>
      <c r="D4876" s="136">
        <f t="shared" si="226"/>
        <v>6</v>
      </c>
      <c r="E4876" s="136">
        <f t="shared" si="225"/>
        <v>5</v>
      </c>
      <c r="F4876" s="128" t="s">
        <v>24</v>
      </c>
      <c r="G4876" s="128" t="str">
        <f>VLOOKUP(source[[#This Row],[lending_product_transform]],[3]Mapping!$B$4:$C$37,2,0)</f>
        <v>[Cake] - Cashloan</v>
      </c>
      <c r="H4876" s="128" t="str">
        <f>VLOOKUP(source[[#This Row],[lending_product_transform]],[3]Mapping!$B$3:$D$37,3,0)</f>
        <v>cashloan</v>
      </c>
      <c r="I4876" s="135">
        <v>0</v>
      </c>
    </row>
    <row r="4877" spans="1:9" x14ac:dyDescent="0.2">
      <c r="A4877" s="134">
        <v>45693</v>
      </c>
      <c r="B4877" s="135">
        <f>YEAR(source[[#This Row],[report_date]])</f>
        <v>2025</v>
      </c>
      <c r="C4877" s="128">
        <f t="shared" si="224"/>
        <v>2</v>
      </c>
      <c r="D4877" s="136">
        <f t="shared" si="226"/>
        <v>6</v>
      </c>
      <c r="E4877" s="136">
        <f t="shared" si="225"/>
        <v>5</v>
      </c>
      <c r="F4877" s="128" t="s">
        <v>24</v>
      </c>
      <c r="G4877" s="128" t="str">
        <f>VLOOKUP(source[[#This Row],[lending_product_transform]],[3]Mapping!$B$4:$C$37,2,0)</f>
        <v>[Cake] - Cashloan</v>
      </c>
      <c r="H4877" s="128" t="str">
        <f>VLOOKUP(source[[#This Row],[lending_product_transform]],[3]Mapping!$B$3:$D$37,3,0)</f>
        <v>cashloan</v>
      </c>
      <c r="I4877" s="135">
        <v>3727220000</v>
      </c>
    </row>
    <row r="4878" spans="1:9" x14ac:dyDescent="0.2">
      <c r="A4878" s="134">
        <v>45693</v>
      </c>
      <c r="B4878" s="135">
        <f>YEAR(source[[#This Row],[report_date]])</f>
        <v>2025</v>
      </c>
      <c r="C4878" s="128">
        <f t="shared" si="224"/>
        <v>2</v>
      </c>
      <c r="D4878" s="136">
        <f t="shared" si="226"/>
        <v>6</v>
      </c>
      <c r="E4878" s="136">
        <f t="shared" si="225"/>
        <v>5</v>
      </c>
      <c r="F4878" s="128" t="s">
        <v>24</v>
      </c>
      <c r="G4878" s="128" t="str">
        <f>VLOOKUP(source[[#This Row],[lending_product_transform]],[3]Mapping!$B$4:$C$37,2,0)</f>
        <v>[Cake] - Cashloan</v>
      </c>
      <c r="H4878" s="128" t="str">
        <f>VLOOKUP(source[[#This Row],[lending_product_transform]],[3]Mapping!$B$3:$D$37,3,0)</f>
        <v>cashloan</v>
      </c>
      <c r="I4878" s="135">
        <v>439440000</v>
      </c>
    </row>
    <row r="4879" spans="1:9" x14ac:dyDescent="0.2">
      <c r="A4879" s="134">
        <v>45693</v>
      </c>
      <c r="B4879" s="135">
        <f>YEAR(source[[#This Row],[report_date]])</f>
        <v>2025</v>
      </c>
      <c r="C4879" s="128">
        <f t="shared" si="224"/>
        <v>2</v>
      </c>
      <c r="D4879" s="136">
        <f t="shared" si="226"/>
        <v>6</v>
      </c>
      <c r="E4879" s="136">
        <f t="shared" si="225"/>
        <v>5</v>
      </c>
      <c r="F4879" s="128" t="s">
        <v>24</v>
      </c>
      <c r="G4879" s="128" t="str">
        <f>VLOOKUP(source[[#This Row],[lending_product_transform]],[3]Mapping!$B$4:$C$37,2,0)</f>
        <v>[Cake] - Cashloan</v>
      </c>
      <c r="H4879" s="128" t="str">
        <f>VLOOKUP(source[[#This Row],[lending_product_transform]],[3]Mapping!$B$3:$D$37,3,0)</f>
        <v>cashloan</v>
      </c>
      <c r="I4879" s="135">
        <v>91400000</v>
      </c>
    </row>
    <row r="4880" spans="1:9" x14ac:dyDescent="0.2">
      <c r="A4880" s="134">
        <v>45694</v>
      </c>
      <c r="B4880" s="135">
        <f>YEAR(source[[#This Row],[report_date]])</f>
        <v>2025</v>
      </c>
      <c r="C4880" s="128">
        <f t="shared" si="224"/>
        <v>2</v>
      </c>
      <c r="D4880" s="136">
        <f t="shared" si="226"/>
        <v>6</v>
      </c>
      <c r="E4880" s="136">
        <f t="shared" si="225"/>
        <v>6</v>
      </c>
      <c r="F4880" s="128" t="s">
        <v>24</v>
      </c>
      <c r="G4880" s="128" t="str">
        <f>VLOOKUP(source[[#This Row],[lending_product_transform]],[3]Mapping!$B$4:$C$37,2,0)</f>
        <v>[Cake] - Cashloan</v>
      </c>
      <c r="H4880" s="128" t="str">
        <f>VLOOKUP(source[[#This Row],[lending_product_transform]],[3]Mapping!$B$3:$D$37,3,0)</f>
        <v>cashloan</v>
      </c>
      <c r="I4880" s="135">
        <v>0</v>
      </c>
    </row>
    <row r="4881" spans="1:9" x14ac:dyDescent="0.2">
      <c r="A4881" s="134">
        <v>45694</v>
      </c>
      <c r="B4881" s="135">
        <f>YEAR(source[[#This Row],[report_date]])</f>
        <v>2025</v>
      </c>
      <c r="C4881" s="128">
        <f t="shared" si="224"/>
        <v>2</v>
      </c>
      <c r="D4881" s="136">
        <f t="shared" si="226"/>
        <v>6</v>
      </c>
      <c r="E4881" s="136">
        <f t="shared" si="225"/>
        <v>6</v>
      </c>
      <c r="F4881" s="128" t="s">
        <v>24</v>
      </c>
      <c r="G4881" s="128" t="str">
        <f>VLOOKUP(source[[#This Row],[lending_product_transform]],[3]Mapping!$B$4:$C$37,2,0)</f>
        <v>[Cake] - Cashloan</v>
      </c>
      <c r="H4881" s="128" t="str">
        <f>VLOOKUP(source[[#This Row],[lending_product_transform]],[3]Mapping!$B$3:$D$37,3,0)</f>
        <v>cashloan</v>
      </c>
      <c r="I4881" s="135">
        <v>631407844</v>
      </c>
    </row>
    <row r="4882" spans="1:9" x14ac:dyDescent="0.2">
      <c r="A4882" s="134">
        <v>45694</v>
      </c>
      <c r="B4882" s="135">
        <f>YEAR(source[[#This Row],[report_date]])</f>
        <v>2025</v>
      </c>
      <c r="C4882" s="128">
        <f t="shared" si="224"/>
        <v>2</v>
      </c>
      <c r="D4882" s="136">
        <f t="shared" si="226"/>
        <v>6</v>
      </c>
      <c r="E4882" s="136">
        <f t="shared" si="225"/>
        <v>6</v>
      </c>
      <c r="F4882" s="128" t="s">
        <v>24</v>
      </c>
      <c r="G4882" s="128" t="str">
        <f>VLOOKUP(source[[#This Row],[lending_product_transform]],[3]Mapping!$B$4:$C$37,2,0)</f>
        <v>[Cake] - Cashloan</v>
      </c>
      <c r="H4882" s="128" t="str">
        <f>VLOOKUP(source[[#This Row],[lending_product_transform]],[3]Mapping!$B$3:$D$37,3,0)</f>
        <v>cashloan</v>
      </c>
      <c r="I4882" s="135">
        <v>13000000</v>
      </c>
    </row>
    <row r="4883" spans="1:9" x14ac:dyDescent="0.2">
      <c r="A4883" s="134">
        <v>45694</v>
      </c>
      <c r="B4883" s="135">
        <f>YEAR(source[[#This Row],[report_date]])</f>
        <v>2025</v>
      </c>
      <c r="C4883" s="128">
        <f t="shared" si="224"/>
        <v>2</v>
      </c>
      <c r="D4883" s="136">
        <f t="shared" si="226"/>
        <v>6</v>
      </c>
      <c r="E4883" s="136">
        <f t="shared" si="225"/>
        <v>6</v>
      </c>
      <c r="F4883" s="128" t="s">
        <v>24</v>
      </c>
      <c r="G4883" s="128" t="str">
        <f>VLOOKUP(source[[#This Row],[lending_product_transform]],[3]Mapping!$B$4:$C$37,2,0)</f>
        <v>[Cake] - Cashloan</v>
      </c>
      <c r="H4883" s="128" t="str">
        <f>VLOOKUP(source[[#This Row],[lending_product_transform]],[3]Mapping!$B$3:$D$37,3,0)</f>
        <v>cashloan</v>
      </c>
      <c r="I4883" s="135">
        <v>0</v>
      </c>
    </row>
    <row r="4884" spans="1:9" x14ac:dyDescent="0.2">
      <c r="A4884" s="134">
        <v>45694</v>
      </c>
      <c r="B4884" s="135">
        <f>YEAR(source[[#This Row],[report_date]])</f>
        <v>2025</v>
      </c>
      <c r="C4884" s="128">
        <f t="shared" si="224"/>
        <v>2</v>
      </c>
      <c r="D4884" s="136">
        <f t="shared" si="226"/>
        <v>6</v>
      </c>
      <c r="E4884" s="136">
        <f t="shared" si="225"/>
        <v>6</v>
      </c>
      <c r="F4884" s="128" t="s">
        <v>24</v>
      </c>
      <c r="G4884" s="128" t="str">
        <f>VLOOKUP(source[[#This Row],[lending_product_transform]],[3]Mapping!$B$4:$C$37,2,0)</f>
        <v>[Cake] - Cashloan</v>
      </c>
      <c r="H4884" s="128" t="str">
        <f>VLOOKUP(source[[#This Row],[lending_product_transform]],[3]Mapping!$B$3:$D$37,3,0)</f>
        <v>cashloan</v>
      </c>
      <c r="I4884" s="135">
        <v>4537500000</v>
      </c>
    </row>
    <row r="4885" spans="1:9" x14ac:dyDescent="0.2">
      <c r="A4885" s="134">
        <v>45694</v>
      </c>
      <c r="B4885" s="135">
        <f>YEAR(source[[#This Row],[report_date]])</f>
        <v>2025</v>
      </c>
      <c r="C4885" s="128">
        <f t="shared" si="224"/>
        <v>2</v>
      </c>
      <c r="D4885" s="136">
        <f t="shared" si="226"/>
        <v>6</v>
      </c>
      <c r="E4885" s="136">
        <f t="shared" si="225"/>
        <v>6</v>
      </c>
      <c r="F4885" s="128" t="s">
        <v>24</v>
      </c>
      <c r="G4885" s="128" t="str">
        <f>VLOOKUP(source[[#This Row],[lending_product_transform]],[3]Mapping!$B$4:$C$37,2,0)</f>
        <v>[Cake] - Cashloan</v>
      </c>
      <c r="H4885" s="128" t="str">
        <f>VLOOKUP(source[[#This Row],[lending_product_transform]],[3]Mapping!$B$3:$D$37,3,0)</f>
        <v>cashloan</v>
      </c>
      <c r="I4885" s="135">
        <v>3047988607</v>
      </c>
    </row>
    <row r="4886" spans="1:9" x14ac:dyDescent="0.2">
      <c r="A4886" s="134">
        <v>45694</v>
      </c>
      <c r="B4886" s="135">
        <f>YEAR(source[[#This Row],[report_date]])</f>
        <v>2025</v>
      </c>
      <c r="C4886" s="128">
        <f t="shared" si="224"/>
        <v>2</v>
      </c>
      <c r="D4886" s="136">
        <f t="shared" si="226"/>
        <v>6</v>
      </c>
      <c r="E4886" s="136">
        <f t="shared" si="225"/>
        <v>6</v>
      </c>
      <c r="F4886" s="128" t="s">
        <v>24</v>
      </c>
      <c r="G4886" s="128" t="str">
        <f>VLOOKUP(source[[#This Row],[lending_product_transform]],[3]Mapping!$B$4:$C$37,2,0)</f>
        <v>[Cake] - Cashloan</v>
      </c>
      <c r="H4886" s="128" t="str">
        <f>VLOOKUP(source[[#This Row],[lending_product_transform]],[3]Mapping!$B$3:$D$37,3,0)</f>
        <v>cashloan</v>
      </c>
      <c r="I4886" s="135">
        <v>288230524</v>
      </c>
    </row>
    <row r="4887" spans="1:9" x14ac:dyDescent="0.2">
      <c r="A4887" s="134">
        <v>45694</v>
      </c>
      <c r="B4887" s="135">
        <f>YEAR(source[[#This Row],[report_date]])</f>
        <v>2025</v>
      </c>
      <c r="C4887" s="128">
        <f t="shared" si="224"/>
        <v>2</v>
      </c>
      <c r="D4887" s="136">
        <f t="shared" si="226"/>
        <v>6</v>
      </c>
      <c r="E4887" s="136">
        <f t="shared" si="225"/>
        <v>6</v>
      </c>
      <c r="F4887" s="128" t="s">
        <v>24</v>
      </c>
      <c r="G4887" s="128" t="str">
        <f>VLOOKUP(source[[#This Row],[lending_product_transform]],[3]Mapping!$B$4:$C$37,2,0)</f>
        <v>[Cake] - Cashloan</v>
      </c>
      <c r="H4887" s="128" t="str">
        <f>VLOOKUP(source[[#This Row],[lending_product_transform]],[3]Mapping!$B$3:$D$37,3,0)</f>
        <v>cashloan</v>
      </c>
      <c r="I4887" s="135">
        <v>3700360000</v>
      </c>
    </row>
    <row r="4888" spans="1:9" x14ac:dyDescent="0.2">
      <c r="A4888" s="134">
        <v>45694</v>
      </c>
      <c r="B4888" s="135">
        <f>YEAR(source[[#This Row],[report_date]])</f>
        <v>2025</v>
      </c>
      <c r="C4888" s="128">
        <f t="shared" si="224"/>
        <v>2</v>
      </c>
      <c r="D4888" s="136">
        <f t="shared" si="226"/>
        <v>6</v>
      </c>
      <c r="E4888" s="136">
        <f t="shared" si="225"/>
        <v>6</v>
      </c>
      <c r="F4888" s="128" t="s">
        <v>24</v>
      </c>
      <c r="G4888" s="128" t="str">
        <f>VLOOKUP(source[[#This Row],[lending_product_transform]],[3]Mapping!$B$4:$C$37,2,0)</f>
        <v>[Cake] - Cashloan</v>
      </c>
      <c r="H4888" s="128" t="str">
        <f>VLOOKUP(source[[#This Row],[lending_product_transform]],[3]Mapping!$B$3:$D$37,3,0)</f>
        <v>cashloan</v>
      </c>
      <c r="I4888" s="135">
        <v>365830000</v>
      </c>
    </row>
    <row r="4889" spans="1:9" x14ac:dyDescent="0.2">
      <c r="A4889" s="134">
        <v>45694</v>
      </c>
      <c r="B4889" s="135">
        <f>YEAR(source[[#This Row],[report_date]])</f>
        <v>2025</v>
      </c>
      <c r="C4889" s="128">
        <f t="shared" si="224"/>
        <v>2</v>
      </c>
      <c r="D4889" s="136">
        <f t="shared" si="226"/>
        <v>6</v>
      </c>
      <c r="E4889" s="136">
        <f t="shared" si="225"/>
        <v>6</v>
      </c>
      <c r="F4889" s="128" t="s">
        <v>24</v>
      </c>
      <c r="G4889" s="128" t="str">
        <f>VLOOKUP(source[[#This Row],[lending_product_transform]],[3]Mapping!$B$4:$C$37,2,0)</f>
        <v>[Cake] - Cashloan</v>
      </c>
      <c r="H4889" s="128" t="str">
        <f>VLOOKUP(source[[#This Row],[lending_product_transform]],[3]Mapping!$B$3:$D$37,3,0)</f>
        <v>cashloan</v>
      </c>
      <c r="I4889" s="135">
        <v>258060000</v>
      </c>
    </row>
    <row r="4890" spans="1:9" x14ac:dyDescent="0.2">
      <c r="A4890" s="134">
        <v>45694</v>
      </c>
      <c r="B4890" s="135">
        <f>YEAR(source[[#This Row],[report_date]])</f>
        <v>2025</v>
      </c>
      <c r="C4890" s="128">
        <f t="shared" si="224"/>
        <v>2</v>
      </c>
      <c r="D4890" s="136">
        <f t="shared" si="226"/>
        <v>6</v>
      </c>
      <c r="E4890" s="136">
        <f t="shared" si="225"/>
        <v>6</v>
      </c>
      <c r="F4890" s="128" t="s">
        <v>24</v>
      </c>
      <c r="G4890" s="128" t="str">
        <f>VLOOKUP(source[[#This Row],[lending_product_transform]],[3]Mapping!$B$4:$C$37,2,0)</f>
        <v>[Cake] - Cashloan</v>
      </c>
      <c r="H4890" s="128" t="str">
        <f>VLOOKUP(source[[#This Row],[lending_product_transform]],[3]Mapping!$B$3:$D$37,3,0)</f>
        <v>cashloan</v>
      </c>
      <c r="I4890" s="135">
        <v>0</v>
      </c>
    </row>
    <row r="4891" spans="1:9" x14ac:dyDescent="0.2">
      <c r="A4891" s="134">
        <v>45694</v>
      </c>
      <c r="B4891" s="135">
        <f>YEAR(source[[#This Row],[report_date]])</f>
        <v>2025</v>
      </c>
      <c r="C4891" s="128">
        <f t="shared" si="224"/>
        <v>2</v>
      </c>
      <c r="D4891" s="136">
        <f t="shared" si="226"/>
        <v>6</v>
      </c>
      <c r="E4891" s="136">
        <f t="shared" si="225"/>
        <v>6</v>
      </c>
      <c r="F4891" s="128" t="s">
        <v>24</v>
      </c>
      <c r="G4891" s="128" t="str">
        <f>VLOOKUP(source[[#This Row],[lending_product_transform]],[3]Mapping!$B$4:$C$37,2,0)</f>
        <v>[Cake] - Cashloan</v>
      </c>
      <c r="H4891" s="128" t="str">
        <f>VLOOKUP(source[[#This Row],[lending_product_transform]],[3]Mapping!$B$3:$D$37,3,0)</f>
        <v>cashloan</v>
      </c>
      <c r="I4891" s="135">
        <v>540939997</v>
      </c>
    </row>
    <row r="4892" spans="1:9" x14ac:dyDescent="0.2">
      <c r="A4892" s="134">
        <v>45694</v>
      </c>
      <c r="B4892" s="135">
        <f>YEAR(source[[#This Row],[report_date]])</f>
        <v>2025</v>
      </c>
      <c r="C4892" s="128">
        <f t="shared" si="224"/>
        <v>2</v>
      </c>
      <c r="D4892" s="136">
        <f t="shared" si="226"/>
        <v>6</v>
      </c>
      <c r="E4892" s="136">
        <f t="shared" si="225"/>
        <v>6</v>
      </c>
      <c r="F4892" s="128" t="s">
        <v>24</v>
      </c>
      <c r="G4892" s="128" t="str">
        <f>VLOOKUP(source[[#This Row],[lending_product_transform]],[3]Mapping!$B$4:$C$37,2,0)</f>
        <v>[Cake] - Cashloan</v>
      </c>
      <c r="H4892" s="128" t="str">
        <f>VLOOKUP(source[[#This Row],[lending_product_transform]],[3]Mapping!$B$3:$D$37,3,0)</f>
        <v>cashloan</v>
      </c>
      <c r="I4892" s="135">
        <v>0</v>
      </c>
    </row>
    <row r="4893" spans="1:9" x14ac:dyDescent="0.2">
      <c r="A4893" s="134">
        <v>45694</v>
      </c>
      <c r="B4893" s="135">
        <f>YEAR(source[[#This Row],[report_date]])</f>
        <v>2025</v>
      </c>
      <c r="C4893" s="128">
        <f t="shared" si="224"/>
        <v>2</v>
      </c>
      <c r="D4893" s="136">
        <f t="shared" si="226"/>
        <v>6</v>
      </c>
      <c r="E4893" s="136">
        <f t="shared" si="225"/>
        <v>6</v>
      </c>
      <c r="F4893" s="128" t="s">
        <v>24</v>
      </c>
      <c r="G4893" s="128" t="str">
        <f>VLOOKUP(source[[#This Row],[lending_product_transform]],[3]Mapping!$B$4:$C$37,2,0)</f>
        <v>[Cake] - Cashloan</v>
      </c>
      <c r="H4893" s="128" t="str">
        <f>VLOOKUP(source[[#This Row],[lending_product_transform]],[3]Mapping!$B$3:$D$37,3,0)</f>
        <v>cashloan</v>
      </c>
      <c r="I4893" s="135">
        <v>0</v>
      </c>
    </row>
    <row r="4894" spans="1:9" x14ac:dyDescent="0.2">
      <c r="A4894" s="134">
        <v>45694</v>
      </c>
      <c r="B4894" s="135">
        <f>YEAR(source[[#This Row],[report_date]])</f>
        <v>2025</v>
      </c>
      <c r="C4894" s="128">
        <f t="shared" si="224"/>
        <v>2</v>
      </c>
      <c r="D4894" s="136">
        <f t="shared" si="226"/>
        <v>6</v>
      </c>
      <c r="E4894" s="136">
        <f t="shared" si="225"/>
        <v>6</v>
      </c>
      <c r="F4894" s="128" t="s">
        <v>24</v>
      </c>
      <c r="G4894" s="128" t="str">
        <f>VLOOKUP(source[[#This Row],[lending_product_transform]],[3]Mapping!$B$4:$C$37,2,0)</f>
        <v>[Cake] - Cashloan</v>
      </c>
      <c r="H4894" s="128" t="str">
        <f>VLOOKUP(source[[#This Row],[lending_product_transform]],[3]Mapping!$B$3:$D$37,3,0)</f>
        <v>cashloan</v>
      </c>
      <c r="I4894" s="135">
        <v>0</v>
      </c>
    </row>
    <row r="4895" spans="1:9" x14ac:dyDescent="0.2">
      <c r="A4895" s="134">
        <v>45694</v>
      </c>
      <c r="B4895" s="135">
        <f>YEAR(source[[#This Row],[report_date]])</f>
        <v>2025</v>
      </c>
      <c r="C4895" s="128">
        <f t="shared" si="224"/>
        <v>2</v>
      </c>
      <c r="D4895" s="136">
        <f t="shared" si="226"/>
        <v>6</v>
      </c>
      <c r="E4895" s="136">
        <f t="shared" si="225"/>
        <v>6</v>
      </c>
      <c r="F4895" s="128" t="s">
        <v>24</v>
      </c>
      <c r="G4895" s="128" t="str">
        <f>VLOOKUP(source[[#This Row],[lending_product_transform]],[3]Mapping!$B$4:$C$37,2,0)</f>
        <v>[Cake] - Cashloan</v>
      </c>
      <c r="H4895" s="128" t="str">
        <f>VLOOKUP(source[[#This Row],[lending_product_transform]],[3]Mapping!$B$3:$D$37,3,0)</f>
        <v>cashloan</v>
      </c>
      <c r="I4895" s="135">
        <v>0</v>
      </c>
    </row>
    <row r="4896" spans="1:9" x14ac:dyDescent="0.2">
      <c r="A4896" s="134">
        <v>45694</v>
      </c>
      <c r="B4896" s="135">
        <f>YEAR(source[[#This Row],[report_date]])</f>
        <v>2025</v>
      </c>
      <c r="C4896" s="128">
        <f t="shared" si="224"/>
        <v>2</v>
      </c>
      <c r="D4896" s="136">
        <f t="shared" si="226"/>
        <v>6</v>
      </c>
      <c r="E4896" s="136">
        <f t="shared" si="225"/>
        <v>6</v>
      </c>
      <c r="F4896" s="128" t="s">
        <v>24</v>
      </c>
      <c r="G4896" s="128" t="str">
        <f>VLOOKUP(source[[#This Row],[lending_product_transform]],[3]Mapping!$B$4:$C$37,2,0)</f>
        <v>[Cake] - Cashloan</v>
      </c>
      <c r="H4896" s="128" t="str">
        <f>VLOOKUP(source[[#This Row],[lending_product_transform]],[3]Mapping!$B$3:$D$37,3,0)</f>
        <v>cashloan</v>
      </c>
      <c r="I4896" s="135">
        <v>4177660000</v>
      </c>
    </row>
    <row r="4897" spans="1:9" x14ac:dyDescent="0.2">
      <c r="A4897" s="134">
        <v>45694</v>
      </c>
      <c r="B4897" s="135">
        <f>YEAR(source[[#This Row],[report_date]])</f>
        <v>2025</v>
      </c>
      <c r="C4897" s="128">
        <f t="shared" si="224"/>
        <v>2</v>
      </c>
      <c r="D4897" s="136">
        <f t="shared" si="226"/>
        <v>6</v>
      </c>
      <c r="E4897" s="136">
        <f t="shared" si="225"/>
        <v>6</v>
      </c>
      <c r="F4897" s="128" t="s">
        <v>24</v>
      </c>
      <c r="G4897" s="128" t="str">
        <f>VLOOKUP(source[[#This Row],[lending_product_transform]],[3]Mapping!$B$4:$C$37,2,0)</f>
        <v>[Cake] - Cashloan</v>
      </c>
      <c r="H4897" s="128" t="str">
        <f>VLOOKUP(source[[#This Row],[lending_product_transform]],[3]Mapping!$B$3:$D$37,3,0)</f>
        <v>cashloan</v>
      </c>
      <c r="I4897" s="135">
        <v>41679760</v>
      </c>
    </row>
    <row r="4898" spans="1:9" x14ac:dyDescent="0.2">
      <c r="A4898" s="134">
        <v>45694</v>
      </c>
      <c r="B4898" s="135">
        <f>YEAR(source[[#This Row],[report_date]])</f>
        <v>2025</v>
      </c>
      <c r="C4898" s="128">
        <f t="shared" si="224"/>
        <v>2</v>
      </c>
      <c r="D4898" s="136">
        <f t="shared" si="226"/>
        <v>6</v>
      </c>
      <c r="E4898" s="136">
        <f t="shared" si="225"/>
        <v>6</v>
      </c>
      <c r="F4898" s="128" t="s">
        <v>24</v>
      </c>
      <c r="G4898" s="128" t="str">
        <f>VLOOKUP(source[[#This Row],[lending_product_transform]],[3]Mapping!$B$4:$C$37,2,0)</f>
        <v>[Cake] - Cashloan</v>
      </c>
      <c r="H4898" s="128" t="str">
        <f>VLOOKUP(source[[#This Row],[lending_product_transform]],[3]Mapping!$B$3:$D$37,3,0)</f>
        <v>cashloan</v>
      </c>
      <c r="I4898" s="135">
        <v>0</v>
      </c>
    </row>
    <row r="4899" spans="1:9" x14ac:dyDescent="0.2">
      <c r="A4899" s="134">
        <v>45695</v>
      </c>
      <c r="B4899" s="135">
        <f>YEAR(source[[#This Row],[report_date]])</f>
        <v>2025</v>
      </c>
      <c r="C4899" s="128">
        <f t="shared" si="224"/>
        <v>2</v>
      </c>
      <c r="D4899" s="136">
        <f t="shared" si="226"/>
        <v>6</v>
      </c>
      <c r="E4899" s="136">
        <f t="shared" si="225"/>
        <v>7</v>
      </c>
      <c r="F4899" s="128" t="s">
        <v>24</v>
      </c>
      <c r="G4899" s="128" t="str">
        <f>VLOOKUP(source[[#This Row],[lending_product_transform]],[3]Mapping!$B$4:$C$37,2,0)</f>
        <v>[Cake] - Cashloan</v>
      </c>
      <c r="H4899" s="128" t="str">
        <f>VLOOKUP(source[[#This Row],[lending_product_transform]],[3]Mapping!$B$3:$D$37,3,0)</f>
        <v>cashloan</v>
      </c>
      <c r="I4899" s="135">
        <v>0</v>
      </c>
    </row>
    <row r="4900" spans="1:9" x14ac:dyDescent="0.2">
      <c r="A4900" s="134">
        <v>45695</v>
      </c>
      <c r="B4900" s="135">
        <f>YEAR(source[[#This Row],[report_date]])</f>
        <v>2025</v>
      </c>
      <c r="C4900" s="128">
        <f t="shared" si="224"/>
        <v>2</v>
      </c>
      <c r="D4900" s="136">
        <f t="shared" si="226"/>
        <v>6</v>
      </c>
      <c r="E4900" s="136">
        <f t="shared" si="225"/>
        <v>7</v>
      </c>
      <c r="F4900" s="128" t="s">
        <v>24</v>
      </c>
      <c r="G4900" s="128" t="str">
        <f>VLOOKUP(source[[#This Row],[lending_product_transform]],[3]Mapping!$B$4:$C$37,2,0)</f>
        <v>[Cake] - Cashloan</v>
      </c>
      <c r="H4900" s="128" t="str">
        <f>VLOOKUP(source[[#This Row],[lending_product_transform]],[3]Mapping!$B$3:$D$37,3,0)</f>
        <v>cashloan</v>
      </c>
      <c r="I4900" s="135">
        <v>271670000</v>
      </c>
    </row>
    <row r="4901" spans="1:9" x14ac:dyDescent="0.2">
      <c r="A4901" s="134">
        <v>45695</v>
      </c>
      <c r="B4901" s="135">
        <f>YEAR(source[[#This Row],[report_date]])</f>
        <v>2025</v>
      </c>
      <c r="C4901" s="128">
        <f t="shared" si="224"/>
        <v>2</v>
      </c>
      <c r="D4901" s="136">
        <f t="shared" si="226"/>
        <v>6</v>
      </c>
      <c r="E4901" s="136">
        <f t="shared" si="225"/>
        <v>7</v>
      </c>
      <c r="F4901" s="128" t="s">
        <v>24</v>
      </c>
      <c r="G4901" s="128" t="str">
        <f>VLOOKUP(source[[#This Row],[lending_product_transform]],[3]Mapping!$B$4:$C$37,2,0)</f>
        <v>[Cake] - Cashloan</v>
      </c>
      <c r="H4901" s="128" t="str">
        <f>VLOOKUP(source[[#This Row],[lending_product_transform]],[3]Mapping!$B$3:$D$37,3,0)</f>
        <v>cashloan</v>
      </c>
      <c r="I4901" s="135">
        <v>0</v>
      </c>
    </row>
    <row r="4902" spans="1:9" x14ac:dyDescent="0.2">
      <c r="A4902" s="134">
        <v>45695</v>
      </c>
      <c r="B4902" s="135">
        <f>YEAR(source[[#This Row],[report_date]])</f>
        <v>2025</v>
      </c>
      <c r="C4902" s="128">
        <f t="shared" si="224"/>
        <v>2</v>
      </c>
      <c r="D4902" s="136">
        <f t="shared" si="226"/>
        <v>6</v>
      </c>
      <c r="E4902" s="136">
        <f t="shared" si="225"/>
        <v>7</v>
      </c>
      <c r="F4902" s="128" t="s">
        <v>24</v>
      </c>
      <c r="G4902" s="128" t="str">
        <f>VLOOKUP(source[[#This Row],[lending_product_transform]],[3]Mapping!$B$4:$C$37,2,0)</f>
        <v>[Cake] - Cashloan</v>
      </c>
      <c r="H4902" s="128" t="str">
        <f>VLOOKUP(source[[#This Row],[lending_product_transform]],[3]Mapping!$B$3:$D$37,3,0)</f>
        <v>cashloan</v>
      </c>
      <c r="I4902" s="135">
        <v>248690000</v>
      </c>
    </row>
    <row r="4903" spans="1:9" x14ac:dyDescent="0.2">
      <c r="A4903" s="134">
        <v>45695</v>
      </c>
      <c r="B4903" s="135">
        <f>YEAR(source[[#This Row],[report_date]])</f>
        <v>2025</v>
      </c>
      <c r="C4903" s="128">
        <f t="shared" si="224"/>
        <v>2</v>
      </c>
      <c r="D4903" s="136">
        <f t="shared" si="226"/>
        <v>6</v>
      </c>
      <c r="E4903" s="136">
        <f t="shared" si="225"/>
        <v>7</v>
      </c>
      <c r="F4903" s="128" t="s">
        <v>24</v>
      </c>
      <c r="G4903" s="128" t="str">
        <f>VLOOKUP(source[[#This Row],[lending_product_transform]],[3]Mapping!$B$4:$C$37,2,0)</f>
        <v>[Cake] - Cashloan</v>
      </c>
      <c r="H4903" s="128" t="str">
        <f>VLOOKUP(source[[#This Row],[lending_product_transform]],[3]Mapping!$B$3:$D$37,3,0)</f>
        <v>cashloan</v>
      </c>
      <c r="I4903" s="135">
        <v>0</v>
      </c>
    </row>
    <row r="4904" spans="1:9" x14ac:dyDescent="0.2">
      <c r="A4904" s="134">
        <v>45695</v>
      </c>
      <c r="B4904" s="135">
        <f>YEAR(source[[#This Row],[report_date]])</f>
        <v>2025</v>
      </c>
      <c r="C4904" s="128">
        <f t="shared" si="224"/>
        <v>2</v>
      </c>
      <c r="D4904" s="136">
        <f t="shared" si="226"/>
        <v>6</v>
      </c>
      <c r="E4904" s="136">
        <f t="shared" si="225"/>
        <v>7</v>
      </c>
      <c r="F4904" s="128" t="s">
        <v>24</v>
      </c>
      <c r="G4904" s="128" t="str">
        <f>VLOOKUP(source[[#This Row],[lending_product_transform]],[3]Mapping!$B$4:$C$37,2,0)</f>
        <v>[Cake] - Cashloan</v>
      </c>
      <c r="H4904" s="128" t="str">
        <f>VLOOKUP(source[[#This Row],[lending_product_transform]],[3]Mapping!$B$3:$D$37,3,0)</f>
        <v>cashloan</v>
      </c>
      <c r="I4904" s="135">
        <v>528740326</v>
      </c>
    </row>
    <row r="4905" spans="1:9" x14ac:dyDescent="0.2">
      <c r="A4905" s="134">
        <v>45695</v>
      </c>
      <c r="B4905" s="135">
        <f>YEAR(source[[#This Row],[report_date]])</f>
        <v>2025</v>
      </c>
      <c r="C4905" s="128">
        <f t="shared" si="224"/>
        <v>2</v>
      </c>
      <c r="D4905" s="136">
        <f t="shared" si="226"/>
        <v>6</v>
      </c>
      <c r="E4905" s="136">
        <f t="shared" si="225"/>
        <v>7</v>
      </c>
      <c r="F4905" s="128" t="s">
        <v>24</v>
      </c>
      <c r="G4905" s="128" t="str">
        <f>VLOOKUP(source[[#This Row],[lending_product_transform]],[3]Mapping!$B$4:$C$37,2,0)</f>
        <v>[Cake] - Cashloan</v>
      </c>
      <c r="H4905" s="128" t="str">
        <f>VLOOKUP(source[[#This Row],[lending_product_transform]],[3]Mapping!$B$3:$D$37,3,0)</f>
        <v>cashloan</v>
      </c>
      <c r="I4905" s="135">
        <v>0</v>
      </c>
    </row>
    <row r="4906" spans="1:9" x14ac:dyDescent="0.2">
      <c r="A4906" s="134">
        <v>45695</v>
      </c>
      <c r="B4906" s="135">
        <f>YEAR(source[[#This Row],[report_date]])</f>
        <v>2025</v>
      </c>
      <c r="C4906" s="128">
        <f t="shared" si="224"/>
        <v>2</v>
      </c>
      <c r="D4906" s="136">
        <f t="shared" si="226"/>
        <v>6</v>
      </c>
      <c r="E4906" s="136">
        <f t="shared" si="225"/>
        <v>7</v>
      </c>
      <c r="F4906" s="128" t="s">
        <v>24</v>
      </c>
      <c r="G4906" s="128" t="str">
        <f>VLOOKUP(source[[#This Row],[lending_product_transform]],[3]Mapping!$B$4:$C$37,2,0)</f>
        <v>[Cake] - Cashloan</v>
      </c>
      <c r="H4906" s="128" t="str">
        <f>VLOOKUP(source[[#This Row],[lending_product_transform]],[3]Mapping!$B$3:$D$37,3,0)</f>
        <v>cashloan</v>
      </c>
      <c r="I4906" s="135">
        <v>3243520000</v>
      </c>
    </row>
    <row r="4907" spans="1:9" x14ac:dyDescent="0.2">
      <c r="A4907" s="134">
        <v>45695</v>
      </c>
      <c r="B4907" s="135">
        <f>YEAR(source[[#This Row],[report_date]])</f>
        <v>2025</v>
      </c>
      <c r="C4907" s="128">
        <f t="shared" si="224"/>
        <v>2</v>
      </c>
      <c r="D4907" s="136">
        <f t="shared" si="226"/>
        <v>6</v>
      </c>
      <c r="E4907" s="136">
        <f t="shared" si="225"/>
        <v>7</v>
      </c>
      <c r="F4907" s="128" t="s">
        <v>24</v>
      </c>
      <c r="G4907" s="128" t="str">
        <f>VLOOKUP(source[[#This Row],[lending_product_transform]],[3]Mapping!$B$4:$C$37,2,0)</f>
        <v>[Cake] - Cashloan</v>
      </c>
      <c r="H4907" s="128" t="str">
        <f>VLOOKUP(source[[#This Row],[lending_product_transform]],[3]Mapping!$B$3:$D$37,3,0)</f>
        <v>cashloan</v>
      </c>
      <c r="I4907" s="135">
        <v>4004510000</v>
      </c>
    </row>
    <row r="4908" spans="1:9" x14ac:dyDescent="0.2">
      <c r="A4908" s="134">
        <v>45695</v>
      </c>
      <c r="B4908" s="135">
        <f>YEAR(source[[#This Row],[report_date]])</f>
        <v>2025</v>
      </c>
      <c r="C4908" s="128">
        <f t="shared" si="224"/>
        <v>2</v>
      </c>
      <c r="D4908" s="136">
        <f t="shared" si="226"/>
        <v>6</v>
      </c>
      <c r="E4908" s="136">
        <f t="shared" si="225"/>
        <v>7</v>
      </c>
      <c r="F4908" s="128" t="s">
        <v>24</v>
      </c>
      <c r="G4908" s="128" t="str">
        <f>VLOOKUP(source[[#This Row],[lending_product_transform]],[3]Mapping!$B$4:$C$37,2,0)</f>
        <v>[Cake] - Cashloan</v>
      </c>
      <c r="H4908" s="128" t="str">
        <f>VLOOKUP(source[[#This Row],[lending_product_transform]],[3]Mapping!$B$3:$D$37,3,0)</f>
        <v>cashloan</v>
      </c>
      <c r="I4908" s="135">
        <v>35613624</v>
      </c>
    </row>
    <row r="4909" spans="1:9" x14ac:dyDescent="0.2">
      <c r="A4909" s="134">
        <v>45695</v>
      </c>
      <c r="B4909" s="135">
        <f>YEAR(source[[#This Row],[report_date]])</f>
        <v>2025</v>
      </c>
      <c r="C4909" s="128">
        <f t="shared" si="224"/>
        <v>2</v>
      </c>
      <c r="D4909" s="136">
        <f t="shared" si="226"/>
        <v>6</v>
      </c>
      <c r="E4909" s="136">
        <f t="shared" si="225"/>
        <v>7</v>
      </c>
      <c r="F4909" s="128" t="s">
        <v>24</v>
      </c>
      <c r="G4909" s="128" t="str">
        <f>VLOOKUP(source[[#This Row],[lending_product_transform]],[3]Mapping!$B$4:$C$37,2,0)</f>
        <v>[Cake] - Cashloan</v>
      </c>
      <c r="H4909" s="128" t="str">
        <f>VLOOKUP(source[[#This Row],[lending_product_transform]],[3]Mapping!$B$3:$D$37,3,0)</f>
        <v>cashloan</v>
      </c>
      <c r="I4909" s="135">
        <v>0</v>
      </c>
    </row>
    <row r="4910" spans="1:9" x14ac:dyDescent="0.2">
      <c r="A4910" s="134">
        <v>45695</v>
      </c>
      <c r="B4910" s="135">
        <f>YEAR(source[[#This Row],[report_date]])</f>
        <v>2025</v>
      </c>
      <c r="C4910" s="128">
        <f t="shared" si="224"/>
        <v>2</v>
      </c>
      <c r="D4910" s="136">
        <f t="shared" si="226"/>
        <v>6</v>
      </c>
      <c r="E4910" s="136">
        <f t="shared" si="225"/>
        <v>7</v>
      </c>
      <c r="F4910" s="128" t="s">
        <v>24</v>
      </c>
      <c r="G4910" s="128" t="str">
        <f>VLOOKUP(source[[#This Row],[lending_product_transform]],[3]Mapping!$B$4:$C$37,2,0)</f>
        <v>[Cake] - Cashloan</v>
      </c>
      <c r="H4910" s="128" t="str">
        <f>VLOOKUP(source[[#This Row],[lending_product_transform]],[3]Mapping!$B$3:$D$37,3,0)</f>
        <v>cashloan</v>
      </c>
      <c r="I4910" s="135">
        <v>248571075</v>
      </c>
    </row>
    <row r="4911" spans="1:9" x14ac:dyDescent="0.2">
      <c r="A4911" s="134">
        <v>45695</v>
      </c>
      <c r="B4911" s="135">
        <f>YEAR(source[[#This Row],[report_date]])</f>
        <v>2025</v>
      </c>
      <c r="C4911" s="128">
        <f t="shared" si="224"/>
        <v>2</v>
      </c>
      <c r="D4911" s="136">
        <f t="shared" si="226"/>
        <v>6</v>
      </c>
      <c r="E4911" s="136">
        <f t="shared" si="225"/>
        <v>7</v>
      </c>
      <c r="F4911" s="128" t="s">
        <v>24</v>
      </c>
      <c r="G4911" s="128" t="str">
        <f>VLOOKUP(source[[#This Row],[lending_product_transform]],[3]Mapping!$B$4:$C$37,2,0)</f>
        <v>[Cake] - Cashloan</v>
      </c>
      <c r="H4911" s="128" t="str">
        <f>VLOOKUP(source[[#This Row],[lending_product_transform]],[3]Mapping!$B$3:$D$37,3,0)</f>
        <v>cashloan</v>
      </c>
      <c r="I4911" s="135">
        <v>0</v>
      </c>
    </row>
    <row r="4912" spans="1:9" x14ac:dyDescent="0.2">
      <c r="A4912" s="134">
        <v>45695</v>
      </c>
      <c r="B4912" s="135">
        <f>YEAR(source[[#This Row],[report_date]])</f>
        <v>2025</v>
      </c>
      <c r="C4912" s="128">
        <f t="shared" si="224"/>
        <v>2</v>
      </c>
      <c r="D4912" s="136">
        <f t="shared" si="226"/>
        <v>6</v>
      </c>
      <c r="E4912" s="136">
        <f t="shared" si="225"/>
        <v>7</v>
      </c>
      <c r="F4912" s="128" t="s">
        <v>24</v>
      </c>
      <c r="G4912" s="128" t="str">
        <f>VLOOKUP(source[[#This Row],[lending_product_transform]],[3]Mapping!$B$4:$C$37,2,0)</f>
        <v>[Cake] - Cashloan</v>
      </c>
      <c r="H4912" s="128" t="str">
        <f>VLOOKUP(source[[#This Row],[lending_product_transform]],[3]Mapping!$B$3:$D$37,3,0)</f>
        <v>cashloan</v>
      </c>
      <c r="I4912" s="135">
        <v>4802500000</v>
      </c>
    </row>
    <row r="4913" spans="1:9" x14ac:dyDescent="0.2">
      <c r="A4913" s="134">
        <v>45695</v>
      </c>
      <c r="B4913" s="135">
        <f>YEAR(source[[#This Row],[report_date]])</f>
        <v>2025</v>
      </c>
      <c r="C4913" s="128">
        <f t="shared" si="224"/>
        <v>2</v>
      </c>
      <c r="D4913" s="136">
        <f t="shared" si="226"/>
        <v>6</v>
      </c>
      <c r="E4913" s="136">
        <f t="shared" si="225"/>
        <v>7</v>
      </c>
      <c r="F4913" s="128" t="s">
        <v>24</v>
      </c>
      <c r="G4913" s="128" t="str">
        <f>VLOOKUP(source[[#This Row],[lending_product_transform]],[3]Mapping!$B$4:$C$37,2,0)</f>
        <v>[Cake] - Cashloan</v>
      </c>
      <c r="H4913" s="128" t="str">
        <f>VLOOKUP(source[[#This Row],[lending_product_transform]],[3]Mapping!$B$3:$D$37,3,0)</f>
        <v>cashloan</v>
      </c>
      <c r="I4913" s="135">
        <v>3032423056</v>
      </c>
    </row>
    <row r="4914" spans="1:9" x14ac:dyDescent="0.2">
      <c r="A4914" s="134">
        <v>45695</v>
      </c>
      <c r="B4914" s="135">
        <f>YEAR(source[[#This Row],[report_date]])</f>
        <v>2025</v>
      </c>
      <c r="C4914" s="128">
        <f t="shared" ref="C4914:C4977" si="227">MONTH(A4914)</f>
        <v>2</v>
      </c>
      <c r="D4914" s="136">
        <f t="shared" si="226"/>
        <v>6</v>
      </c>
      <c r="E4914" s="136">
        <f t="shared" ref="E4914:E4977" si="228">DAY(A4914)</f>
        <v>7</v>
      </c>
      <c r="F4914" s="128" t="s">
        <v>24</v>
      </c>
      <c r="G4914" s="128" t="str">
        <f>VLOOKUP(source[[#This Row],[lending_product_transform]],[3]Mapping!$B$4:$C$37,2,0)</f>
        <v>[Cake] - Cashloan</v>
      </c>
      <c r="H4914" s="128" t="str">
        <f>VLOOKUP(source[[#This Row],[lending_product_transform]],[3]Mapping!$B$3:$D$37,3,0)</f>
        <v>cashloan</v>
      </c>
      <c r="I4914" s="135">
        <v>399251721</v>
      </c>
    </row>
    <row r="4915" spans="1:9" x14ac:dyDescent="0.2">
      <c r="A4915" s="134">
        <v>45695</v>
      </c>
      <c r="B4915" s="135">
        <f>YEAR(source[[#This Row],[report_date]])</f>
        <v>2025</v>
      </c>
      <c r="C4915" s="128">
        <f t="shared" si="227"/>
        <v>2</v>
      </c>
      <c r="D4915" s="136">
        <f t="shared" si="226"/>
        <v>6</v>
      </c>
      <c r="E4915" s="136">
        <f t="shared" si="228"/>
        <v>7</v>
      </c>
      <c r="F4915" s="128" t="s">
        <v>24</v>
      </c>
      <c r="G4915" s="128" t="str">
        <f>VLOOKUP(source[[#This Row],[lending_product_transform]],[3]Mapping!$B$4:$C$37,2,0)</f>
        <v>[Cake] - Cashloan</v>
      </c>
      <c r="H4915" s="128" t="str">
        <f>VLOOKUP(source[[#This Row],[lending_product_transform]],[3]Mapping!$B$3:$D$37,3,0)</f>
        <v>cashloan</v>
      </c>
      <c r="I4915" s="135">
        <v>56000000</v>
      </c>
    </row>
    <row r="4916" spans="1:9" x14ac:dyDescent="0.2">
      <c r="A4916" s="134">
        <v>45695</v>
      </c>
      <c r="B4916" s="135">
        <f>YEAR(source[[#This Row],[report_date]])</f>
        <v>2025</v>
      </c>
      <c r="C4916" s="128">
        <f t="shared" si="227"/>
        <v>2</v>
      </c>
      <c r="D4916" s="136">
        <f t="shared" si="226"/>
        <v>6</v>
      </c>
      <c r="E4916" s="136">
        <f t="shared" si="228"/>
        <v>7</v>
      </c>
      <c r="F4916" s="128" t="s">
        <v>24</v>
      </c>
      <c r="G4916" s="128" t="str">
        <f>VLOOKUP(source[[#This Row],[lending_product_transform]],[3]Mapping!$B$4:$C$37,2,0)</f>
        <v>[Cake] - Cashloan</v>
      </c>
      <c r="H4916" s="128" t="str">
        <f>VLOOKUP(source[[#This Row],[lending_product_transform]],[3]Mapping!$B$3:$D$37,3,0)</f>
        <v>cashloan</v>
      </c>
      <c r="I4916" s="135">
        <v>0</v>
      </c>
    </row>
    <row r="4917" spans="1:9" x14ac:dyDescent="0.2">
      <c r="A4917" s="134">
        <v>45695</v>
      </c>
      <c r="B4917" s="135">
        <f>YEAR(source[[#This Row],[report_date]])</f>
        <v>2025</v>
      </c>
      <c r="C4917" s="128">
        <f t="shared" si="227"/>
        <v>2</v>
      </c>
      <c r="D4917" s="136">
        <f t="shared" si="226"/>
        <v>6</v>
      </c>
      <c r="E4917" s="136">
        <f t="shared" si="228"/>
        <v>7</v>
      </c>
      <c r="F4917" s="128" t="s">
        <v>24</v>
      </c>
      <c r="G4917" s="128" t="str">
        <f>VLOOKUP(source[[#This Row],[lending_product_transform]],[3]Mapping!$B$4:$C$37,2,0)</f>
        <v>[Cake] - Cashloan</v>
      </c>
      <c r="H4917" s="128" t="str">
        <f>VLOOKUP(source[[#This Row],[lending_product_transform]],[3]Mapping!$B$3:$D$37,3,0)</f>
        <v>cashloan</v>
      </c>
      <c r="I4917" s="135">
        <v>22050000</v>
      </c>
    </row>
    <row r="4918" spans="1:9" x14ac:dyDescent="0.2">
      <c r="A4918" s="134">
        <v>45696</v>
      </c>
      <c r="B4918" s="135">
        <f>YEAR(source[[#This Row],[report_date]])</f>
        <v>2025</v>
      </c>
      <c r="C4918" s="128">
        <f t="shared" si="227"/>
        <v>2</v>
      </c>
      <c r="D4918" s="136">
        <f t="shared" si="226"/>
        <v>6</v>
      </c>
      <c r="E4918" s="136">
        <f t="shared" si="228"/>
        <v>8</v>
      </c>
      <c r="F4918" s="128" t="s">
        <v>24</v>
      </c>
      <c r="G4918" s="128" t="str">
        <f>VLOOKUP(source[[#This Row],[lending_product_transform]],[3]Mapping!$B$4:$C$37,2,0)</f>
        <v>[Cake] - Cashloan</v>
      </c>
      <c r="H4918" s="128" t="str">
        <f>VLOOKUP(source[[#This Row],[lending_product_transform]],[3]Mapping!$B$3:$D$37,3,0)</f>
        <v>cashloan</v>
      </c>
      <c r="I4918" s="135">
        <v>0</v>
      </c>
    </row>
    <row r="4919" spans="1:9" x14ac:dyDescent="0.2">
      <c r="A4919" s="134">
        <v>45696</v>
      </c>
      <c r="B4919" s="135">
        <f>YEAR(source[[#This Row],[report_date]])</f>
        <v>2025</v>
      </c>
      <c r="C4919" s="128">
        <f t="shared" si="227"/>
        <v>2</v>
      </c>
      <c r="D4919" s="136">
        <f t="shared" si="226"/>
        <v>6</v>
      </c>
      <c r="E4919" s="136">
        <f t="shared" si="228"/>
        <v>8</v>
      </c>
      <c r="F4919" s="128" t="s">
        <v>24</v>
      </c>
      <c r="G4919" s="128" t="str">
        <f>VLOOKUP(source[[#This Row],[lending_product_transform]],[3]Mapping!$B$4:$C$37,2,0)</f>
        <v>[Cake] - Cashloan</v>
      </c>
      <c r="H4919" s="128" t="str">
        <f>VLOOKUP(source[[#This Row],[lending_product_transform]],[3]Mapping!$B$3:$D$37,3,0)</f>
        <v>cashloan</v>
      </c>
      <c r="I4919" s="135">
        <v>2744916686</v>
      </c>
    </row>
    <row r="4920" spans="1:9" x14ac:dyDescent="0.2">
      <c r="A4920" s="134">
        <v>45696</v>
      </c>
      <c r="B4920" s="135">
        <f>YEAR(source[[#This Row],[report_date]])</f>
        <v>2025</v>
      </c>
      <c r="C4920" s="128">
        <f t="shared" si="227"/>
        <v>2</v>
      </c>
      <c r="D4920" s="136">
        <f t="shared" si="226"/>
        <v>6</v>
      </c>
      <c r="E4920" s="136">
        <f t="shared" si="228"/>
        <v>8</v>
      </c>
      <c r="F4920" s="128" t="s">
        <v>24</v>
      </c>
      <c r="G4920" s="128" t="str">
        <f>VLOOKUP(source[[#This Row],[lending_product_transform]],[3]Mapping!$B$4:$C$37,2,0)</f>
        <v>[Cake] - Cashloan</v>
      </c>
      <c r="H4920" s="128" t="str">
        <f>VLOOKUP(source[[#This Row],[lending_product_transform]],[3]Mapping!$B$3:$D$37,3,0)</f>
        <v>cashloan</v>
      </c>
      <c r="I4920" s="135">
        <v>341394512</v>
      </c>
    </row>
    <row r="4921" spans="1:9" x14ac:dyDescent="0.2">
      <c r="A4921" s="134">
        <v>45696</v>
      </c>
      <c r="B4921" s="135">
        <f>YEAR(source[[#This Row],[report_date]])</f>
        <v>2025</v>
      </c>
      <c r="C4921" s="128">
        <f t="shared" si="227"/>
        <v>2</v>
      </c>
      <c r="D4921" s="136">
        <f t="shared" si="226"/>
        <v>6</v>
      </c>
      <c r="E4921" s="136">
        <f t="shared" si="228"/>
        <v>8</v>
      </c>
      <c r="F4921" s="128" t="s">
        <v>24</v>
      </c>
      <c r="G4921" s="128" t="str">
        <f>VLOOKUP(source[[#This Row],[lending_product_transform]],[3]Mapping!$B$4:$C$37,2,0)</f>
        <v>[Cake] - Cashloan</v>
      </c>
      <c r="H4921" s="128" t="str">
        <f>VLOOKUP(source[[#This Row],[lending_product_transform]],[3]Mapping!$B$3:$D$37,3,0)</f>
        <v>cashloan</v>
      </c>
      <c r="I4921" s="135">
        <v>0</v>
      </c>
    </row>
    <row r="4922" spans="1:9" x14ac:dyDescent="0.2">
      <c r="A4922" s="134">
        <v>45696</v>
      </c>
      <c r="B4922" s="135">
        <f>YEAR(source[[#This Row],[report_date]])</f>
        <v>2025</v>
      </c>
      <c r="C4922" s="128">
        <f t="shared" si="227"/>
        <v>2</v>
      </c>
      <c r="D4922" s="136">
        <f t="shared" si="226"/>
        <v>6</v>
      </c>
      <c r="E4922" s="136">
        <f t="shared" si="228"/>
        <v>8</v>
      </c>
      <c r="F4922" s="128" t="s">
        <v>24</v>
      </c>
      <c r="G4922" s="128" t="str">
        <f>VLOOKUP(source[[#This Row],[lending_product_transform]],[3]Mapping!$B$4:$C$37,2,0)</f>
        <v>[Cake] - Cashloan</v>
      </c>
      <c r="H4922" s="128" t="str">
        <f>VLOOKUP(source[[#This Row],[lending_product_transform]],[3]Mapping!$B$3:$D$37,3,0)</f>
        <v>cashloan</v>
      </c>
      <c r="I4922" s="135">
        <v>42000000</v>
      </c>
    </row>
    <row r="4923" spans="1:9" x14ac:dyDescent="0.2">
      <c r="A4923" s="134">
        <v>45696</v>
      </c>
      <c r="B4923" s="135">
        <f>YEAR(source[[#This Row],[report_date]])</f>
        <v>2025</v>
      </c>
      <c r="C4923" s="128">
        <f t="shared" si="227"/>
        <v>2</v>
      </c>
      <c r="D4923" s="136">
        <f t="shared" si="226"/>
        <v>6</v>
      </c>
      <c r="E4923" s="136">
        <f t="shared" si="228"/>
        <v>8</v>
      </c>
      <c r="F4923" s="128" t="s">
        <v>24</v>
      </c>
      <c r="G4923" s="128" t="str">
        <f>VLOOKUP(source[[#This Row],[lending_product_transform]],[3]Mapping!$B$4:$C$37,2,0)</f>
        <v>[Cake] - Cashloan</v>
      </c>
      <c r="H4923" s="128" t="str">
        <f>VLOOKUP(source[[#This Row],[lending_product_transform]],[3]Mapping!$B$3:$D$37,3,0)</f>
        <v>cashloan</v>
      </c>
      <c r="I4923" s="135">
        <v>0</v>
      </c>
    </row>
    <row r="4924" spans="1:9" x14ac:dyDescent="0.2">
      <c r="A4924" s="134">
        <v>45696</v>
      </c>
      <c r="B4924" s="135">
        <f>YEAR(source[[#This Row],[report_date]])</f>
        <v>2025</v>
      </c>
      <c r="C4924" s="128">
        <f t="shared" si="227"/>
        <v>2</v>
      </c>
      <c r="D4924" s="136">
        <f t="shared" si="226"/>
        <v>6</v>
      </c>
      <c r="E4924" s="136">
        <f t="shared" si="228"/>
        <v>8</v>
      </c>
      <c r="F4924" s="128" t="s">
        <v>24</v>
      </c>
      <c r="G4924" s="128" t="str">
        <f>VLOOKUP(source[[#This Row],[lending_product_transform]],[3]Mapping!$B$4:$C$37,2,0)</f>
        <v>[Cake] - Cashloan</v>
      </c>
      <c r="H4924" s="128" t="str">
        <f>VLOOKUP(source[[#This Row],[lending_product_transform]],[3]Mapping!$B$3:$D$37,3,0)</f>
        <v>cashloan</v>
      </c>
      <c r="I4924" s="135">
        <v>0</v>
      </c>
    </row>
    <row r="4925" spans="1:9" x14ac:dyDescent="0.2">
      <c r="A4925" s="134">
        <v>45696</v>
      </c>
      <c r="B4925" s="135">
        <f>YEAR(source[[#This Row],[report_date]])</f>
        <v>2025</v>
      </c>
      <c r="C4925" s="128">
        <f t="shared" si="227"/>
        <v>2</v>
      </c>
      <c r="D4925" s="136">
        <f t="shared" si="226"/>
        <v>6</v>
      </c>
      <c r="E4925" s="136">
        <f t="shared" si="228"/>
        <v>8</v>
      </c>
      <c r="F4925" s="128" t="s">
        <v>24</v>
      </c>
      <c r="G4925" s="128" t="str">
        <f>VLOOKUP(source[[#This Row],[lending_product_transform]],[3]Mapping!$B$4:$C$37,2,0)</f>
        <v>[Cake] - Cashloan</v>
      </c>
      <c r="H4925" s="128" t="str">
        <f>VLOOKUP(source[[#This Row],[lending_product_transform]],[3]Mapping!$B$3:$D$37,3,0)</f>
        <v>cashloan</v>
      </c>
      <c r="I4925" s="135">
        <v>4270320000</v>
      </c>
    </row>
    <row r="4926" spans="1:9" x14ac:dyDescent="0.2">
      <c r="A4926" s="134">
        <v>45696</v>
      </c>
      <c r="B4926" s="135">
        <f>YEAR(source[[#This Row],[report_date]])</f>
        <v>2025</v>
      </c>
      <c r="C4926" s="128">
        <f t="shared" si="227"/>
        <v>2</v>
      </c>
      <c r="D4926" s="136">
        <f t="shared" si="226"/>
        <v>6</v>
      </c>
      <c r="E4926" s="136">
        <f t="shared" si="228"/>
        <v>8</v>
      </c>
      <c r="F4926" s="128" t="s">
        <v>24</v>
      </c>
      <c r="G4926" s="128" t="str">
        <f>VLOOKUP(source[[#This Row],[lending_product_transform]],[3]Mapping!$B$4:$C$37,2,0)</f>
        <v>[Cake] - Cashloan</v>
      </c>
      <c r="H4926" s="128" t="str">
        <f>VLOOKUP(source[[#This Row],[lending_product_transform]],[3]Mapping!$B$3:$D$37,3,0)</f>
        <v>cashloan</v>
      </c>
      <c r="I4926" s="135">
        <v>4388500000</v>
      </c>
    </row>
    <row r="4927" spans="1:9" x14ac:dyDescent="0.2">
      <c r="A4927" s="134">
        <v>45696</v>
      </c>
      <c r="B4927" s="135">
        <f>YEAR(source[[#This Row],[report_date]])</f>
        <v>2025</v>
      </c>
      <c r="C4927" s="128">
        <f t="shared" si="227"/>
        <v>2</v>
      </c>
      <c r="D4927" s="136">
        <f t="shared" si="226"/>
        <v>6</v>
      </c>
      <c r="E4927" s="136">
        <f t="shared" si="228"/>
        <v>8</v>
      </c>
      <c r="F4927" s="128" t="s">
        <v>24</v>
      </c>
      <c r="G4927" s="128" t="str">
        <f>VLOOKUP(source[[#This Row],[lending_product_transform]],[3]Mapping!$B$4:$C$37,2,0)</f>
        <v>[Cake] - Cashloan</v>
      </c>
      <c r="H4927" s="128" t="str">
        <f>VLOOKUP(source[[#This Row],[lending_product_transform]],[3]Mapping!$B$3:$D$37,3,0)</f>
        <v>cashloan</v>
      </c>
      <c r="I4927" s="135">
        <v>3521690000</v>
      </c>
    </row>
    <row r="4928" spans="1:9" x14ac:dyDescent="0.2">
      <c r="A4928" s="134">
        <v>45696</v>
      </c>
      <c r="B4928" s="135">
        <f>YEAR(source[[#This Row],[report_date]])</f>
        <v>2025</v>
      </c>
      <c r="C4928" s="128">
        <f t="shared" si="227"/>
        <v>2</v>
      </c>
      <c r="D4928" s="136">
        <f t="shared" si="226"/>
        <v>6</v>
      </c>
      <c r="E4928" s="136">
        <f t="shared" si="228"/>
        <v>8</v>
      </c>
      <c r="F4928" s="128" t="s">
        <v>24</v>
      </c>
      <c r="G4928" s="128" t="str">
        <f>VLOOKUP(source[[#This Row],[lending_product_transform]],[3]Mapping!$B$4:$C$37,2,0)</f>
        <v>[Cake] - Cashloan</v>
      </c>
      <c r="H4928" s="128" t="str">
        <f>VLOOKUP(source[[#This Row],[lending_product_transform]],[3]Mapping!$B$3:$D$37,3,0)</f>
        <v>cashloan</v>
      </c>
      <c r="I4928" s="135">
        <v>59000000</v>
      </c>
    </row>
    <row r="4929" spans="1:9" x14ac:dyDescent="0.2">
      <c r="A4929" s="134">
        <v>45696</v>
      </c>
      <c r="B4929" s="135">
        <f>YEAR(source[[#This Row],[report_date]])</f>
        <v>2025</v>
      </c>
      <c r="C4929" s="128">
        <f t="shared" si="227"/>
        <v>2</v>
      </c>
      <c r="D4929" s="136">
        <f t="shared" si="226"/>
        <v>6</v>
      </c>
      <c r="E4929" s="136">
        <f t="shared" si="228"/>
        <v>8</v>
      </c>
      <c r="F4929" s="128" t="s">
        <v>24</v>
      </c>
      <c r="G4929" s="128" t="str">
        <f>VLOOKUP(source[[#This Row],[lending_product_transform]],[3]Mapping!$B$4:$C$37,2,0)</f>
        <v>[Cake] - Cashloan</v>
      </c>
      <c r="H4929" s="128" t="str">
        <f>VLOOKUP(source[[#This Row],[lending_product_transform]],[3]Mapping!$B$3:$D$37,3,0)</f>
        <v>cashloan</v>
      </c>
      <c r="I4929" s="135">
        <v>0</v>
      </c>
    </row>
    <row r="4930" spans="1:9" x14ac:dyDescent="0.2">
      <c r="A4930" s="134">
        <v>45696</v>
      </c>
      <c r="B4930" s="135">
        <f>YEAR(source[[#This Row],[report_date]])</f>
        <v>2025</v>
      </c>
      <c r="C4930" s="128">
        <f t="shared" si="227"/>
        <v>2</v>
      </c>
      <c r="D4930" s="136">
        <f t="shared" si="226"/>
        <v>6</v>
      </c>
      <c r="E4930" s="136">
        <f t="shared" si="228"/>
        <v>8</v>
      </c>
      <c r="F4930" s="128" t="s">
        <v>24</v>
      </c>
      <c r="G4930" s="128" t="str">
        <f>VLOOKUP(source[[#This Row],[lending_product_transform]],[3]Mapping!$B$4:$C$37,2,0)</f>
        <v>[Cake] - Cashloan</v>
      </c>
      <c r="H4930" s="128" t="str">
        <f>VLOOKUP(source[[#This Row],[lending_product_transform]],[3]Mapping!$B$3:$D$37,3,0)</f>
        <v>cashloan</v>
      </c>
      <c r="I4930" s="135">
        <v>0</v>
      </c>
    </row>
    <row r="4931" spans="1:9" x14ac:dyDescent="0.2">
      <c r="A4931" s="134">
        <v>45696</v>
      </c>
      <c r="B4931" s="135">
        <f>YEAR(source[[#This Row],[report_date]])</f>
        <v>2025</v>
      </c>
      <c r="C4931" s="128">
        <f t="shared" si="227"/>
        <v>2</v>
      </c>
      <c r="D4931" s="136">
        <f t="shared" ref="D4931:D4994" si="229">WEEKNUM(A4931,2)</f>
        <v>6</v>
      </c>
      <c r="E4931" s="136">
        <f t="shared" si="228"/>
        <v>8</v>
      </c>
      <c r="F4931" s="128" t="s">
        <v>24</v>
      </c>
      <c r="G4931" s="128" t="str">
        <f>VLOOKUP(source[[#This Row],[lending_product_transform]],[3]Mapping!$B$4:$C$37,2,0)</f>
        <v>[Cake] - Cashloan</v>
      </c>
      <c r="H4931" s="128" t="str">
        <f>VLOOKUP(source[[#This Row],[lending_product_transform]],[3]Mapping!$B$3:$D$37,3,0)</f>
        <v>cashloan</v>
      </c>
      <c r="I4931" s="135">
        <v>471200000</v>
      </c>
    </row>
    <row r="4932" spans="1:9" x14ac:dyDescent="0.2">
      <c r="A4932" s="134">
        <v>45696</v>
      </c>
      <c r="B4932" s="135">
        <f>YEAR(source[[#This Row],[report_date]])</f>
        <v>2025</v>
      </c>
      <c r="C4932" s="128">
        <f t="shared" si="227"/>
        <v>2</v>
      </c>
      <c r="D4932" s="136">
        <f t="shared" si="229"/>
        <v>6</v>
      </c>
      <c r="E4932" s="136">
        <f t="shared" si="228"/>
        <v>8</v>
      </c>
      <c r="F4932" s="128" t="s">
        <v>24</v>
      </c>
      <c r="G4932" s="128" t="str">
        <f>VLOOKUP(source[[#This Row],[lending_product_transform]],[3]Mapping!$B$4:$C$37,2,0)</f>
        <v>[Cake] - Cashloan</v>
      </c>
      <c r="H4932" s="128" t="str">
        <f>VLOOKUP(source[[#This Row],[lending_product_transform]],[3]Mapping!$B$3:$D$37,3,0)</f>
        <v>cashloan</v>
      </c>
      <c r="I4932" s="135">
        <v>218714881</v>
      </c>
    </row>
    <row r="4933" spans="1:9" x14ac:dyDescent="0.2">
      <c r="A4933" s="134">
        <v>45696</v>
      </c>
      <c r="B4933" s="135">
        <f>YEAR(source[[#This Row],[report_date]])</f>
        <v>2025</v>
      </c>
      <c r="C4933" s="128">
        <f t="shared" si="227"/>
        <v>2</v>
      </c>
      <c r="D4933" s="136">
        <f t="shared" si="229"/>
        <v>6</v>
      </c>
      <c r="E4933" s="136">
        <f t="shared" si="228"/>
        <v>8</v>
      </c>
      <c r="F4933" s="128" t="s">
        <v>24</v>
      </c>
      <c r="G4933" s="128" t="str">
        <f>VLOOKUP(source[[#This Row],[lending_product_transform]],[3]Mapping!$B$4:$C$37,2,0)</f>
        <v>[Cake] - Cashloan</v>
      </c>
      <c r="H4933" s="128" t="str">
        <f>VLOOKUP(source[[#This Row],[lending_product_transform]],[3]Mapping!$B$3:$D$37,3,0)</f>
        <v>cashloan</v>
      </c>
      <c r="I4933" s="135">
        <v>42420930</v>
      </c>
    </row>
    <row r="4934" spans="1:9" x14ac:dyDescent="0.2">
      <c r="A4934" s="134">
        <v>45696</v>
      </c>
      <c r="B4934" s="135">
        <f>YEAR(source[[#This Row],[report_date]])</f>
        <v>2025</v>
      </c>
      <c r="C4934" s="128">
        <f t="shared" si="227"/>
        <v>2</v>
      </c>
      <c r="D4934" s="136">
        <f t="shared" si="229"/>
        <v>6</v>
      </c>
      <c r="E4934" s="136">
        <f t="shared" si="228"/>
        <v>8</v>
      </c>
      <c r="F4934" s="128" t="s">
        <v>24</v>
      </c>
      <c r="G4934" s="128" t="str">
        <f>VLOOKUP(source[[#This Row],[lending_product_transform]],[3]Mapping!$B$4:$C$37,2,0)</f>
        <v>[Cake] - Cashloan</v>
      </c>
      <c r="H4934" s="128" t="str">
        <f>VLOOKUP(source[[#This Row],[lending_product_transform]],[3]Mapping!$B$3:$D$37,3,0)</f>
        <v>cashloan</v>
      </c>
      <c r="I4934" s="135">
        <v>192260000</v>
      </c>
    </row>
    <row r="4935" spans="1:9" x14ac:dyDescent="0.2">
      <c r="A4935" s="134">
        <v>45696</v>
      </c>
      <c r="B4935" s="135">
        <f>YEAR(source[[#This Row],[report_date]])</f>
        <v>2025</v>
      </c>
      <c r="C4935" s="128">
        <f t="shared" si="227"/>
        <v>2</v>
      </c>
      <c r="D4935" s="136">
        <f t="shared" si="229"/>
        <v>6</v>
      </c>
      <c r="E4935" s="136">
        <f t="shared" si="228"/>
        <v>8</v>
      </c>
      <c r="F4935" s="128" t="s">
        <v>24</v>
      </c>
      <c r="G4935" s="128" t="str">
        <f>VLOOKUP(source[[#This Row],[lending_product_transform]],[3]Mapping!$B$4:$C$37,2,0)</f>
        <v>[Cake] - Cashloan</v>
      </c>
      <c r="H4935" s="128" t="str">
        <f>VLOOKUP(source[[#This Row],[lending_product_transform]],[3]Mapping!$B$3:$D$37,3,0)</f>
        <v>cashloan</v>
      </c>
      <c r="I4935" s="135">
        <v>0</v>
      </c>
    </row>
    <row r="4936" spans="1:9" x14ac:dyDescent="0.2">
      <c r="A4936" s="134">
        <v>45696</v>
      </c>
      <c r="B4936" s="135">
        <f>YEAR(source[[#This Row],[report_date]])</f>
        <v>2025</v>
      </c>
      <c r="C4936" s="128">
        <f t="shared" si="227"/>
        <v>2</v>
      </c>
      <c r="D4936" s="136">
        <f t="shared" si="229"/>
        <v>6</v>
      </c>
      <c r="E4936" s="136">
        <f t="shared" si="228"/>
        <v>8</v>
      </c>
      <c r="F4936" s="128" t="s">
        <v>24</v>
      </c>
      <c r="G4936" s="128" t="str">
        <f>VLOOKUP(source[[#This Row],[lending_product_transform]],[3]Mapping!$B$4:$C$37,2,0)</f>
        <v>[Cake] - Cashloan</v>
      </c>
      <c r="H4936" s="128" t="str">
        <f>VLOOKUP(source[[#This Row],[lending_product_transform]],[3]Mapping!$B$3:$D$37,3,0)</f>
        <v>cashloan</v>
      </c>
      <c r="I4936" s="135">
        <v>456097427</v>
      </c>
    </row>
    <row r="4937" spans="1:9" x14ac:dyDescent="0.2">
      <c r="A4937" s="134">
        <v>45697</v>
      </c>
      <c r="B4937" s="135">
        <f>YEAR(source[[#This Row],[report_date]])</f>
        <v>2025</v>
      </c>
      <c r="C4937" s="128">
        <f t="shared" si="227"/>
        <v>2</v>
      </c>
      <c r="D4937" s="136">
        <f t="shared" si="229"/>
        <v>6</v>
      </c>
      <c r="E4937" s="136">
        <f t="shared" si="228"/>
        <v>9</v>
      </c>
      <c r="F4937" s="128" t="s">
        <v>24</v>
      </c>
      <c r="G4937" s="128" t="str">
        <f>VLOOKUP(source[[#This Row],[lending_product_transform]],[3]Mapping!$B$4:$C$37,2,0)</f>
        <v>[Cake] - Cashloan</v>
      </c>
      <c r="H4937" s="128" t="str">
        <f>VLOOKUP(source[[#This Row],[lending_product_transform]],[3]Mapping!$B$3:$D$37,3,0)</f>
        <v>cashloan</v>
      </c>
      <c r="I4937" s="135">
        <v>0</v>
      </c>
    </row>
    <row r="4938" spans="1:9" x14ac:dyDescent="0.2">
      <c r="A4938" s="134">
        <v>45697</v>
      </c>
      <c r="B4938" s="135">
        <f>YEAR(source[[#This Row],[report_date]])</f>
        <v>2025</v>
      </c>
      <c r="C4938" s="128">
        <f t="shared" si="227"/>
        <v>2</v>
      </c>
      <c r="D4938" s="136">
        <f t="shared" si="229"/>
        <v>6</v>
      </c>
      <c r="E4938" s="136">
        <f t="shared" si="228"/>
        <v>9</v>
      </c>
      <c r="F4938" s="128" t="s">
        <v>24</v>
      </c>
      <c r="G4938" s="128" t="str">
        <f>VLOOKUP(source[[#This Row],[lending_product_transform]],[3]Mapping!$B$4:$C$37,2,0)</f>
        <v>[Cake] - Cashloan</v>
      </c>
      <c r="H4938" s="128" t="str">
        <f>VLOOKUP(source[[#This Row],[lending_product_transform]],[3]Mapping!$B$3:$D$37,3,0)</f>
        <v>cashloan</v>
      </c>
      <c r="I4938" s="135">
        <v>4133050000</v>
      </c>
    </row>
    <row r="4939" spans="1:9" x14ac:dyDescent="0.2">
      <c r="A4939" s="134">
        <v>45697</v>
      </c>
      <c r="B4939" s="135">
        <f>YEAR(source[[#This Row],[report_date]])</f>
        <v>2025</v>
      </c>
      <c r="C4939" s="128">
        <f t="shared" si="227"/>
        <v>2</v>
      </c>
      <c r="D4939" s="136">
        <f t="shared" si="229"/>
        <v>6</v>
      </c>
      <c r="E4939" s="136">
        <f t="shared" si="228"/>
        <v>9</v>
      </c>
      <c r="F4939" s="128" t="s">
        <v>24</v>
      </c>
      <c r="G4939" s="128" t="str">
        <f>VLOOKUP(source[[#This Row],[lending_product_transform]],[3]Mapping!$B$4:$C$37,2,0)</f>
        <v>[Cake] - Cashloan</v>
      </c>
      <c r="H4939" s="128" t="str">
        <f>VLOOKUP(source[[#This Row],[lending_product_transform]],[3]Mapping!$B$3:$D$37,3,0)</f>
        <v>cashloan</v>
      </c>
      <c r="I4939" s="135">
        <v>41000000</v>
      </c>
    </row>
    <row r="4940" spans="1:9" x14ac:dyDescent="0.2">
      <c r="A4940" s="134">
        <v>45697</v>
      </c>
      <c r="B4940" s="135">
        <f>YEAR(source[[#This Row],[report_date]])</f>
        <v>2025</v>
      </c>
      <c r="C4940" s="128">
        <f t="shared" si="227"/>
        <v>2</v>
      </c>
      <c r="D4940" s="136">
        <f t="shared" si="229"/>
        <v>6</v>
      </c>
      <c r="E4940" s="136">
        <f t="shared" si="228"/>
        <v>9</v>
      </c>
      <c r="F4940" s="128" t="s">
        <v>24</v>
      </c>
      <c r="G4940" s="128" t="str">
        <f>VLOOKUP(source[[#This Row],[lending_product_transform]],[3]Mapping!$B$4:$C$37,2,0)</f>
        <v>[Cake] - Cashloan</v>
      </c>
      <c r="H4940" s="128" t="str">
        <f>VLOOKUP(source[[#This Row],[lending_product_transform]],[3]Mapping!$B$3:$D$37,3,0)</f>
        <v>cashloan</v>
      </c>
      <c r="I4940" s="135">
        <v>3893000000</v>
      </c>
    </row>
    <row r="4941" spans="1:9" x14ac:dyDescent="0.2">
      <c r="A4941" s="134">
        <v>45697</v>
      </c>
      <c r="B4941" s="135">
        <f>YEAR(source[[#This Row],[report_date]])</f>
        <v>2025</v>
      </c>
      <c r="C4941" s="128">
        <f t="shared" si="227"/>
        <v>2</v>
      </c>
      <c r="D4941" s="136">
        <f t="shared" si="229"/>
        <v>6</v>
      </c>
      <c r="E4941" s="136">
        <f t="shared" si="228"/>
        <v>9</v>
      </c>
      <c r="F4941" s="128" t="s">
        <v>24</v>
      </c>
      <c r="G4941" s="128" t="str">
        <f>VLOOKUP(source[[#This Row],[lending_product_transform]],[3]Mapping!$B$4:$C$37,2,0)</f>
        <v>[Cake] - Cashloan</v>
      </c>
      <c r="H4941" s="128" t="str">
        <f>VLOOKUP(source[[#This Row],[lending_product_transform]],[3]Mapping!$B$3:$D$37,3,0)</f>
        <v>cashloan</v>
      </c>
      <c r="I4941" s="135">
        <v>2735973754</v>
      </c>
    </row>
    <row r="4942" spans="1:9" x14ac:dyDescent="0.2">
      <c r="A4942" s="134">
        <v>45697</v>
      </c>
      <c r="B4942" s="135">
        <f>YEAR(source[[#This Row],[report_date]])</f>
        <v>2025</v>
      </c>
      <c r="C4942" s="128">
        <f t="shared" si="227"/>
        <v>2</v>
      </c>
      <c r="D4942" s="136">
        <f t="shared" si="229"/>
        <v>6</v>
      </c>
      <c r="E4942" s="136">
        <f t="shared" si="228"/>
        <v>9</v>
      </c>
      <c r="F4942" s="128" t="s">
        <v>24</v>
      </c>
      <c r="G4942" s="128" t="str">
        <f>VLOOKUP(source[[#This Row],[lending_product_transform]],[3]Mapping!$B$4:$C$37,2,0)</f>
        <v>[Cake] - Cashloan</v>
      </c>
      <c r="H4942" s="128" t="str">
        <f>VLOOKUP(source[[#This Row],[lending_product_transform]],[3]Mapping!$B$3:$D$37,3,0)</f>
        <v>cashloan</v>
      </c>
      <c r="I4942" s="135">
        <v>323910000</v>
      </c>
    </row>
    <row r="4943" spans="1:9" x14ac:dyDescent="0.2">
      <c r="A4943" s="134">
        <v>45697</v>
      </c>
      <c r="B4943" s="135">
        <f>YEAR(source[[#This Row],[report_date]])</f>
        <v>2025</v>
      </c>
      <c r="C4943" s="128">
        <f t="shared" si="227"/>
        <v>2</v>
      </c>
      <c r="D4943" s="136">
        <f t="shared" si="229"/>
        <v>6</v>
      </c>
      <c r="E4943" s="136">
        <f t="shared" si="228"/>
        <v>9</v>
      </c>
      <c r="F4943" s="128" t="s">
        <v>24</v>
      </c>
      <c r="G4943" s="128" t="str">
        <f>VLOOKUP(source[[#This Row],[lending_product_transform]],[3]Mapping!$B$4:$C$37,2,0)</f>
        <v>[Cake] - Cashloan</v>
      </c>
      <c r="H4943" s="128" t="str">
        <f>VLOOKUP(source[[#This Row],[lending_product_transform]],[3]Mapping!$B$3:$D$37,3,0)</f>
        <v>cashloan</v>
      </c>
      <c r="I4943" s="135">
        <v>0</v>
      </c>
    </row>
    <row r="4944" spans="1:9" x14ac:dyDescent="0.2">
      <c r="A4944" s="134">
        <v>45697</v>
      </c>
      <c r="B4944" s="135">
        <f>YEAR(source[[#This Row],[report_date]])</f>
        <v>2025</v>
      </c>
      <c r="C4944" s="128">
        <f t="shared" si="227"/>
        <v>2</v>
      </c>
      <c r="D4944" s="136">
        <f t="shared" si="229"/>
        <v>6</v>
      </c>
      <c r="E4944" s="136">
        <f t="shared" si="228"/>
        <v>9</v>
      </c>
      <c r="F4944" s="128" t="s">
        <v>24</v>
      </c>
      <c r="G4944" s="128" t="str">
        <f>VLOOKUP(source[[#This Row],[lending_product_transform]],[3]Mapping!$B$4:$C$37,2,0)</f>
        <v>[Cake] - Cashloan</v>
      </c>
      <c r="H4944" s="128" t="str">
        <f>VLOOKUP(source[[#This Row],[lending_product_transform]],[3]Mapping!$B$3:$D$37,3,0)</f>
        <v>cashloan</v>
      </c>
      <c r="I4944" s="135">
        <v>0</v>
      </c>
    </row>
    <row r="4945" spans="1:9" x14ac:dyDescent="0.2">
      <c r="A4945" s="134">
        <v>45697</v>
      </c>
      <c r="B4945" s="135">
        <f>YEAR(source[[#This Row],[report_date]])</f>
        <v>2025</v>
      </c>
      <c r="C4945" s="128">
        <f t="shared" si="227"/>
        <v>2</v>
      </c>
      <c r="D4945" s="136">
        <f t="shared" si="229"/>
        <v>6</v>
      </c>
      <c r="E4945" s="136">
        <f t="shared" si="228"/>
        <v>9</v>
      </c>
      <c r="F4945" s="128" t="s">
        <v>24</v>
      </c>
      <c r="G4945" s="128" t="str">
        <f>VLOOKUP(source[[#This Row],[lending_product_transform]],[3]Mapping!$B$4:$C$37,2,0)</f>
        <v>[Cake] - Cashloan</v>
      </c>
      <c r="H4945" s="128" t="str">
        <f>VLOOKUP(source[[#This Row],[lending_product_transform]],[3]Mapping!$B$3:$D$37,3,0)</f>
        <v>cashloan</v>
      </c>
      <c r="I4945" s="135">
        <v>34261656</v>
      </c>
    </row>
    <row r="4946" spans="1:9" x14ac:dyDescent="0.2">
      <c r="A4946" s="134">
        <v>45697</v>
      </c>
      <c r="B4946" s="135">
        <f>YEAR(source[[#This Row],[report_date]])</f>
        <v>2025</v>
      </c>
      <c r="C4946" s="128">
        <f t="shared" si="227"/>
        <v>2</v>
      </c>
      <c r="D4946" s="136">
        <f t="shared" si="229"/>
        <v>6</v>
      </c>
      <c r="E4946" s="136">
        <f t="shared" si="228"/>
        <v>9</v>
      </c>
      <c r="F4946" s="128" t="s">
        <v>24</v>
      </c>
      <c r="G4946" s="128" t="str">
        <f>VLOOKUP(source[[#This Row],[lending_product_transform]],[3]Mapping!$B$4:$C$37,2,0)</f>
        <v>[Cake] - Cashloan</v>
      </c>
      <c r="H4946" s="128" t="str">
        <f>VLOOKUP(source[[#This Row],[lending_product_transform]],[3]Mapping!$B$3:$D$37,3,0)</f>
        <v>cashloan</v>
      </c>
      <c r="I4946" s="135">
        <v>10000000</v>
      </c>
    </row>
    <row r="4947" spans="1:9" x14ac:dyDescent="0.2">
      <c r="A4947" s="134">
        <v>45697</v>
      </c>
      <c r="B4947" s="135">
        <f>YEAR(source[[#This Row],[report_date]])</f>
        <v>2025</v>
      </c>
      <c r="C4947" s="128">
        <f t="shared" si="227"/>
        <v>2</v>
      </c>
      <c r="D4947" s="136">
        <f t="shared" si="229"/>
        <v>6</v>
      </c>
      <c r="E4947" s="136">
        <f t="shared" si="228"/>
        <v>9</v>
      </c>
      <c r="F4947" s="128" t="s">
        <v>24</v>
      </c>
      <c r="G4947" s="128" t="str">
        <f>VLOOKUP(source[[#This Row],[lending_product_transform]],[3]Mapping!$B$4:$C$37,2,0)</f>
        <v>[Cake] - Cashloan</v>
      </c>
      <c r="H4947" s="128" t="str">
        <f>VLOOKUP(source[[#This Row],[lending_product_transform]],[3]Mapping!$B$3:$D$37,3,0)</f>
        <v>cashloan</v>
      </c>
      <c r="I4947" s="135">
        <v>0</v>
      </c>
    </row>
    <row r="4948" spans="1:9" x14ac:dyDescent="0.2">
      <c r="A4948" s="134">
        <v>45697</v>
      </c>
      <c r="B4948" s="135">
        <f>YEAR(source[[#This Row],[report_date]])</f>
        <v>2025</v>
      </c>
      <c r="C4948" s="128">
        <f t="shared" si="227"/>
        <v>2</v>
      </c>
      <c r="D4948" s="136">
        <f t="shared" si="229"/>
        <v>6</v>
      </c>
      <c r="E4948" s="136">
        <f t="shared" si="228"/>
        <v>9</v>
      </c>
      <c r="F4948" s="128" t="s">
        <v>24</v>
      </c>
      <c r="G4948" s="128" t="str">
        <f>VLOOKUP(source[[#This Row],[lending_product_transform]],[3]Mapping!$B$4:$C$37,2,0)</f>
        <v>[Cake] - Cashloan</v>
      </c>
      <c r="H4948" s="128" t="str">
        <f>VLOOKUP(source[[#This Row],[lending_product_transform]],[3]Mapping!$B$3:$D$37,3,0)</f>
        <v>cashloan</v>
      </c>
      <c r="I4948" s="135">
        <v>291170000</v>
      </c>
    </row>
    <row r="4949" spans="1:9" x14ac:dyDescent="0.2">
      <c r="A4949" s="134">
        <v>45697</v>
      </c>
      <c r="B4949" s="135">
        <f>YEAR(source[[#This Row],[report_date]])</f>
        <v>2025</v>
      </c>
      <c r="C4949" s="128">
        <f t="shared" si="227"/>
        <v>2</v>
      </c>
      <c r="D4949" s="136">
        <f t="shared" si="229"/>
        <v>6</v>
      </c>
      <c r="E4949" s="136">
        <f t="shared" si="228"/>
        <v>9</v>
      </c>
      <c r="F4949" s="128" t="s">
        <v>24</v>
      </c>
      <c r="G4949" s="128" t="str">
        <f>VLOOKUP(source[[#This Row],[lending_product_transform]],[3]Mapping!$B$4:$C$37,2,0)</f>
        <v>[Cake] - Cashloan</v>
      </c>
      <c r="H4949" s="128" t="str">
        <f>VLOOKUP(source[[#This Row],[lending_product_transform]],[3]Mapping!$B$3:$D$37,3,0)</f>
        <v>cashloan</v>
      </c>
      <c r="I4949" s="135">
        <v>358289376</v>
      </c>
    </row>
    <row r="4950" spans="1:9" x14ac:dyDescent="0.2">
      <c r="A4950" s="134">
        <v>45697</v>
      </c>
      <c r="B4950" s="135">
        <f>YEAR(source[[#This Row],[report_date]])</f>
        <v>2025</v>
      </c>
      <c r="C4950" s="128">
        <f t="shared" si="227"/>
        <v>2</v>
      </c>
      <c r="D4950" s="136">
        <f t="shared" si="229"/>
        <v>6</v>
      </c>
      <c r="E4950" s="136">
        <f t="shared" si="228"/>
        <v>9</v>
      </c>
      <c r="F4950" s="128" t="s">
        <v>24</v>
      </c>
      <c r="G4950" s="128" t="str">
        <f>VLOOKUP(source[[#This Row],[lending_product_transform]],[3]Mapping!$B$4:$C$37,2,0)</f>
        <v>[Cake] - Cashloan</v>
      </c>
      <c r="H4950" s="128" t="str">
        <f>VLOOKUP(source[[#This Row],[lending_product_transform]],[3]Mapping!$B$3:$D$37,3,0)</f>
        <v>cashloan</v>
      </c>
      <c r="I4950" s="135">
        <v>0</v>
      </c>
    </row>
    <row r="4951" spans="1:9" x14ac:dyDescent="0.2">
      <c r="A4951" s="134">
        <v>45697</v>
      </c>
      <c r="B4951" s="135">
        <f>YEAR(source[[#This Row],[report_date]])</f>
        <v>2025</v>
      </c>
      <c r="C4951" s="128">
        <f t="shared" si="227"/>
        <v>2</v>
      </c>
      <c r="D4951" s="136">
        <f t="shared" si="229"/>
        <v>6</v>
      </c>
      <c r="E4951" s="136">
        <f t="shared" si="228"/>
        <v>9</v>
      </c>
      <c r="F4951" s="128" t="s">
        <v>24</v>
      </c>
      <c r="G4951" s="128" t="str">
        <f>VLOOKUP(source[[#This Row],[lending_product_transform]],[3]Mapping!$B$4:$C$37,2,0)</f>
        <v>[Cake] - Cashloan</v>
      </c>
      <c r="H4951" s="128" t="str">
        <f>VLOOKUP(source[[#This Row],[lending_product_transform]],[3]Mapping!$B$3:$D$37,3,0)</f>
        <v>cashloan</v>
      </c>
      <c r="I4951" s="135">
        <v>215347933</v>
      </c>
    </row>
    <row r="4952" spans="1:9" x14ac:dyDescent="0.2">
      <c r="A4952" s="134">
        <v>45697</v>
      </c>
      <c r="B4952" s="135">
        <f>YEAR(source[[#This Row],[report_date]])</f>
        <v>2025</v>
      </c>
      <c r="C4952" s="128">
        <f t="shared" si="227"/>
        <v>2</v>
      </c>
      <c r="D4952" s="136">
        <f t="shared" si="229"/>
        <v>6</v>
      </c>
      <c r="E4952" s="136">
        <f t="shared" si="228"/>
        <v>9</v>
      </c>
      <c r="F4952" s="128" t="s">
        <v>24</v>
      </c>
      <c r="G4952" s="128" t="str">
        <f>VLOOKUP(source[[#This Row],[lending_product_transform]],[3]Mapping!$B$4:$C$37,2,0)</f>
        <v>[Cake] - Cashloan</v>
      </c>
      <c r="H4952" s="128" t="str">
        <f>VLOOKUP(source[[#This Row],[lending_product_transform]],[3]Mapping!$B$3:$D$37,3,0)</f>
        <v>cashloan</v>
      </c>
      <c r="I4952" s="135">
        <v>0</v>
      </c>
    </row>
    <row r="4953" spans="1:9" x14ac:dyDescent="0.2">
      <c r="A4953" s="134">
        <v>45697</v>
      </c>
      <c r="B4953" s="135">
        <f>YEAR(source[[#This Row],[report_date]])</f>
        <v>2025</v>
      </c>
      <c r="C4953" s="128">
        <f t="shared" si="227"/>
        <v>2</v>
      </c>
      <c r="D4953" s="136">
        <f t="shared" si="229"/>
        <v>6</v>
      </c>
      <c r="E4953" s="136">
        <f t="shared" si="228"/>
        <v>9</v>
      </c>
      <c r="F4953" s="128" t="s">
        <v>24</v>
      </c>
      <c r="G4953" s="128" t="str">
        <f>VLOOKUP(source[[#This Row],[lending_product_transform]],[3]Mapping!$B$4:$C$37,2,0)</f>
        <v>[Cake] - Cashloan</v>
      </c>
      <c r="H4953" s="128" t="str">
        <f>VLOOKUP(source[[#This Row],[lending_product_transform]],[3]Mapping!$B$3:$D$37,3,0)</f>
        <v>cashloan</v>
      </c>
      <c r="I4953" s="135">
        <v>3180860000</v>
      </c>
    </row>
    <row r="4954" spans="1:9" x14ac:dyDescent="0.2">
      <c r="A4954" s="134">
        <v>45697</v>
      </c>
      <c r="B4954" s="135">
        <f>YEAR(source[[#This Row],[report_date]])</f>
        <v>2025</v>
      </c>
      <c r="C4954" s="128">
        <f t="shared" si="227"/>
        <v>2</v>
      </c>
      <c r="D4954" s="136">
        <f t="shared" si="229"/>
        <v>6</v>
      </c>
      <c r="E4954" s="136">
        <f t="shared" si="228"/>
        <v>9</v>
      </c>
      <c r="F4954" s="128" t="s">
        <v>24</v>
      </c>
      <c r="G4954" s="128" t="str">
        <f>VLOOKUP(source[[#This Row],[lending_product_transform]],[3]Mapping!$B$4:$C$37,2,0)</f>
        <v>[Cake] - Cashloan</v>
      </c>
      <c r="H4954" s="128" t="str">
        <f>VLOOKUP(source[[#This Row],[lending_product_transform]],[3]Mapping!$B$3:$D$37,3,0)</f>
        <v>cashloan</v>
      </c>
      <c r="I4954" s="135">
        <v>0</v>
      </c>
    </row>
    <row r="4955" spans="1:9" x14ac:dyDescent="0.2">
      <c r="A4955" s="134">
        <v>45697</v>
      </c>
      <c r="B4955" s="135">
        <f>YEAR(source[[#This Row],[report_date]])</f>
        <v>2025</v>
      </c>
      <c r="C4955" s="128">
        <f t="shared" si="227"/>
        <v>2</v>
      </c>
      <c r="D4955" s="136">
        <f t="shared" si="229"/>
        <v>6</v>
      </c>
      <c r="E4955" s="136">
        <f t="shared" si="228"/>
        <v>9</v>
      </c>
      <c r="F4955" s="128" t="s">
        <v>24</v>
      </c>
      <c r="G4955" s="128" t="str">
        <f>VLOOKUP(source[[#This Row],[lending_product_transform]],[3]Mapping!$B$4:$C$37,2,0)</f>
        <v>[Cake] - Cashloan</v>
      </c>
      <c r="H4955" s="128" t="str">
        <f>VLOOKUP(source[[#This Row],[lending_product_transform]],[3]Mapping!$B$3:$D$37,3,0)</f>
        <v>cashloan</v>
      </c>
      <c r="I4955" s="135">
        <v>396053322</v>
      </c>
    </row>
    <row r="4956" spans="1:9" x14ac:dyDescent="0.2">
      <c r="A4956" s="134">
        <v>45698</v>
      </c>
      <c r="B4956" s="135">
        <f>YEAR(source[[#This Row],[report_date]])</f>
        <v>2025</v>
      </c>
      <c r="C4956" s="128">
        <f t="shared" si="227"/>
        <v>2</v>
      </c>
      <c r="D4956" s="136">
        <f t="shared" si="229"/>
        <v>7</v>
      </c>
      <c r="E4956" s="136">
        <f t="shared" si="228"/>
        <v>10</v>
      </c>
      <c r="F4956" s="128" t="s">
        <v>24</v>
      </c>
      <c r="G4956" s="128" t="str">
        <f>VLOOKUP(source[[#This Row],[lending_product_transform]],[3]Mapping!$B$4:$C$37,2,0)</f>
        <v>[Cake] - Cashloan</v>
      </c>
      <c r="H4956" s="128" t="str">
        <f>VLOOKUP(source[[#This Row],[lending_product_transform]],[3]Mapping!$B$3:$D$37,3,0)</f>
        <v>cashloan</v>
      </c>
      <c r="I4956" s="135">
        <v>0</v>
      </c>
    </row>
    <row r="4957" spans="1:9" x14ac:dyDescent="0.2">
      <c r="A4957" s="134">
        <v>45698</v>
      </c>
      <c r="B4957" s="135">
        <f>YEAR(source[[#This Row],[report_date]])</f>
        <v>2025</v>
      </c>
      <c r="C4957" s="128">
        <f t="shared" si="227"/>
        <v>2</v>
      </c>
      <c r="D4957" s="136">
        <f t="shared" si="229"/>
        <v>7</v>
      </c>
      <c r="E4957" s="136">
        <f t="shared" si="228"/>
        <v>10</v>
      </c>
      <c r="F4957" s="128" t="s">
        <v>24</v>
      </c>
      <c r="G4957" s="128" t="str">
        <f>VLOOKUP(source[[#This Row],[lending_product_transform]],[3]Mapping!$B$4:$C$37,2,0)</f>
        <v>[Cake] - Cashloan</v>
      </c>
      <c r="H4957" s="128" t="str">
        <f>VLOOKUP(source[[#This Row],[lending_product_transform]],[3]Mapping!$B$3:$D$37,3,0)</f>
        <v>cashloan</v>
      </c>
      <c r="I4957" s="135">
        <v>457670000</v>
      </c>
    </row>
    <row r="4958" spans="1:9" x14ac:dyDescent="0.2">
      <c r="A4958" s="134">
        <v>45698</v>
      </c>
      <c r="B4958" s="135">
        <f>YEAR(source[[#This Row],[report_date]])</f>
        <v>2025</v>
      </c>
      <c r="C4958" s="128">
        <f t="shared" si="227"/>
        <v>2</v>
      </c>
      <c r="D4958" s="136">
        <f t="shared" si="229"/>
        <v>7</v>
      </c>
      <c r="E4958" s="136">
        <f t="shared" si="228"/>
        <v>10</v>
      </c>
      <c r="F4958" s="128" t="s">
        <v>24</v>
      </c>
      <c r="G4958" s="128" t="str">
        <f>VLOOKUP(source[[#This Row],[lending_product_transform]],[3]Mapping!$B$4:$C$37,2,0)</f>
        <v>[Cake] - Cashloan</v>
      </c>
      <c r="H4958" s="128" t="str">
        <f>VLOOKUP(source[[#This Row],[lending_product_transform]],[3]Mapping!$B$3:$D$37,3,0)</f>
        <v>cashloan</v>
      </c>
      <c r="I4958" s="135">
        <v>0</v>
      </c>
    </row>
    <row r="4959" spans="1:9" x14ac:dyDescent="0.2">
      <c r="A4959" s="134">
        <v>45698</v>
      </c>
      <c r="B4959" s="135">
        <f>YEAR(source[[#This Row],[report_date]])</f>
        <v>2025</v>
      </c>
      <c r="C4959" s="128">
        <f t="shared" si="227"/>
        <v>2</v>
      </c>
      <c r="D4959" s="136">
        <f t="shared" si="229"/>
        <v>7</v>
      </c>
      <c r="E4959" s="136">
        <f t="shared" si="228"/>
        <v>10</v>
      </c>
      <c r="F4959" s="128" t="s">
        <v>24</v>
      </c>
      <c r="G4959" s="128" t="str">
        <f>VLOOKUP(source[[#This Row],[lending_product_transform]],[3]Mapping!$B$4:$C$37,2,0)</f>
        <v>[Cake] - Cashloan</v>
      </c>
      <c r="H4959" s="128" t="str">
        <f>VLOOKUP(source[[#This Row],[lending_product_transform]],[3]Mapping!$B$3:$D$37,3,0)</f>
        <v>cashloan</v>
      </c>
      <c r="I4959" s="135">
        <v>95000000</v>
      </c>
    </row>
    <row r="4960" spans="1:9" x14ac:dyDescent="0.2">
      <c r="A4960" s="134">
        <v>45698</v>
      </c>
      <c r="B4960" s="135">
        <f>YEAR(source[[#This Row],[report_date]])</f>
        <v>2025</v>
      </c>
      <c r="C4960" s="128">
        <f t="shared" si="227"/>
        <v>2</v>
      </c>
      <c r="D4960" s="136">
        <f t="shared" si="229"/>
        <v>7</v>
      </c>
      <c r="E4960" s="136">
        <f t="shared" si="228"/>
        <v>10</v>
      </c>
      <c r="F4960" s="128" t="s">
        <v>24</v>
      </c>
      <c r="G4960" s="128" t="str">
        <f>VLOOKUP(source[[#This Row],[lending_product_transform]],[3]Mapping!$B$4:$C$37,2,0)</f>
        <v>[Cake] - Cashloan</v>
      </c>
      <c r="H4960" s="128" t="str">
        <f>VLOOKUP(source[[#This Row],[lending_product_transform]],[3]Mapping!$B$3:$D$37,3,0)</f>
        <v>cashloan</v>
      </c>
      <c r="I4960" s="135">
        <v>0</v>
      </c>
    </row>
    <row r="4961" spans="1:9" x14ac:dyDescent="0.2">
      <c r="A4961" s="134">
        <v>45698</v>
      </c>
      <c r="B4961" s="135">
        <f>YEAR(source[[#This Row],[report_date]])</f>
        <v>2025</v>
      </c>
      <c r="C4961" s="128">
        <f t="shared" si="227"/>
        <v>2</v>
      </c>
      <c r="D4961" s="136">
        <f t="shared" si="229"/>
        <v>7</v>
      </c>
      <c r="E4961" s="136">
        <f t="shared" si="228"/>
        <v>10</v>
      </c>
      <c r="F4961" s="128" t="s">
        <v>24</v>
      </c>
      <c r="G4961" s="128" t="str">
        <f>VLOOKUP(source[[#This Row],[lending_product_transform]],[3]Mapping!$B$4:$C$37,2,0)</f>
        <v>[Cake] - Cashloan</v>
      </c>
      <c r="H4961" s="128" t="str">
        <f>VLOOKUP(source[[#This Row],[lending_product_transform]],[3]Mapping!$B$3:$D$37,3,0)</f>
        <v>cashloan</v>
      </c>
      <c r="I4961" s="135">
        <v>0</v>
      </c>
    </row>
    <row r="4962" spans="1:9" x14ac:dyDescent="0.2">
      <c r="A4962" s="134">
        <v>45698</v>
      </c>
      <c r="B4962" s="135">
        <f>YEAR(source[[#This Row],[report_date]])</f>
        <v>2025</v>
      </c>
      <c r="C4962" s="128">
        <f t="shared" si="227"/>
        <v>2</v>
      </c>
      <c r="D4962" s="136">
        <f t="shared" si="229"/>
        <v>7</v>
      </c>
      <c r="E4962" s="136">
        <f t="shared" si="228"/>
        <v>10</v>
      </c>
      <c r="F4962" s="128" t="s">
        <v>24</v>
      </c>
      <c r="G4962" s="128" t="str">
        <f>VLOOKUP(source[[#This Row],[lending_product_transform]],[3]Mapping!$B$4:$C$37,2,0)</f>
        <v>[Cake] - Cashloan</v>
      </c>
      <c r="H4962" s="128" t="str">
        <f>VLOOKUP(source[[#This Row],[lending_product_transform]],[3]Mapping!$B$3:$D$37,3,0)</f>
        <v>cashloan</v>
      </c>
      <c r="I4962" s="135">
        <v>0</v>
      </c>
    </row>
    <row r="4963" spans="1:9" x14ac:dyDescent="0.2">
      <c r="A4963" s="134">
        <v>45698</v>
      </c>
      <c r="B4963" s="135">
        <f>YEAR(source[[#This Row],[report_date]])</f>
        <v>2025</v>
      </c>
      <c r="C4963" s="128">
        <f t="shared" si="227"/>
        <v>2</v>
      </c>
      <c r="D4963" s="136">
        <f t="shared" si="229"/>
        <v>7</v>
      </c>
      <c r="E4963" s="136">
        <f t="shared" si="228"/>
        <v>10</v>
      </c>
      <c r="F4963" s="128" t="s">
        <v>24</v>
      </c>
      <c r="G4963" s="128" t="str">
        <f>VLOOKUP(source[[#This Row],[lending_product_transform]],[3]Mapping!$B$4:$C$37,2,0)</f>
        <v>[Cake] - Cashloan</v>
      </c>
      <c r="H4963" s="128" t="str">
        <f>VLOOKUP(source[[#This Row],[lending_product_transform]],[3]Mapping!$B$3:$D$37,3,0)</f>
        <v>cashloan</v>
      </c>
      <c r="I4963" s="135">
        <v>20109609</v>
      </c>
    </row>
    <row r="4964" spans="1:9" x14ac:dyDescent="0.2">
      <c r="A4964" s="134">
        <v>45698</v>
      </c>
      <c r="B4964" s="135">
        <f>YEAR(source[[#This Row],[report_date]])</f>
        <v>2025</v>
      </c>
      <c r="C4964" s="128">
        <f t="shared" si="227"/>
        <v>2</v>
      </c>
      <c r="D4964" s="136">
        <f t="shared" si="229"/>
        <v>7</v>
      </c>
      <c r="E4964" s="136">
        <f t="shared" si="228"/>
        <v>10</v>
      </c>
      <c r="F4964" s="128" t="s">
        <v>24</v>
      </c>
      <c r="G4964" s="128" t="str">
        <f>VLOOKUP(source[[#This Row],[lending_product_transform]],[3]Mapping!$B$4:$C$37,2,0)</f>
        <v>[Cake] - Cashloan</v>
      </c>
      <c r="H4964" s="128" t="str">
        <f>VLOOKUP(source[[#This Row],[lending_product_transform]],[3]Mapping!$B$3:$D$37,3,0)</f>
        <v>cashloan</v>
      </c>
      <c r="I4964" s="135">
        <v>293010000</v>
      </c>
    </row>
    <row r="4965" spans="1:9" x14ac:dyDescent="0.2">
      <c r="A4965" s="134">
        <v>45698</v>
      </c>
      <c r="B4965" s="135">
        <f>YEAR(source[[#This Row],[report_date]])</f>
        <v>2025</v>
      </c>
      <c r="C4965" s="128">
        <f t="shared" si="227"/>
        <v>2</v>
      </c>
      <c r="D4965" s="136">
        <f t="shared" si="229"/>
        <v>7</v>
      </c>
      <c r="E4965" s="136">
        <f t="shared" si="228"/>
        <v>10</v>
      </c>
      <c r="F4965" s="128" t="s">
        <v>24</v>
      </c>
      <c r="G4965" s="128" t="str">
        <f>VLOOKUP(source[[#This Row],[lending_product_transform]],[3]Mapping!$B$4:$C$37,2,0)</f>
        <v>[Cake] - Cashloan</v>
      </c>
      <c r="H4965" s="128" t="str">
        <f>VLOOKUP(source[[#This Row],[lending_product_transform]],[3]Mapping!$B$3:$D$37,3,0)</f>
        <v>cashloan</v>
      </c>
      <c r="I4965" s="135">
        <v>44000000</v>
      </c>
    </row>
    <row r="4966" spans="1:9" x14ac:dyDescent="0.2">
      <c r="A4966" s="134">
        <v>45698</v>
      </c>
      <c r="B4966" s="135">
        <f>YEAR(source[[#This Row],[report_date]])</f>
        <v>2025</v>
      </c>
      <c r="C4966" s="128">
        <f t="shared" si="227"/>
        <v>2</v>
      </c>
      <c r="D4966" s="136">
        <f t="shared" si="229"/>
        <v>7</v>
      </c>
      <c r="E4966" s="136">
        <f t="shared" si="228"/>
        <v>10</v>
      </c>
      <c r="F4966" s="128" t="s">
        <v>24</v>
      </c>
      <c r="G4966" s="128" t="str">
        <f>VLOOKUP(source[[#This Row],[lending_product_transform]],[3]Mapping!$B$4:$C$37,2,0)</f>
        <v>[Cake] - Cashloan</v>
      </c>
      <c r="H4966" s="128" t="str">
        <f>VLOOKUP(source[[#This Row],[lending_product_transform]],[3]Mapping!$B$3:$D$37,3,0)</f>
        <v>cashloan</v>
      </c>
      <c r="I4966" s="135">
        <v>226879854</v>
      </c>
    </row>
    <row r="4967" spans="1:9" x14ac:dyDescent="0.2">
      <c r="A4967" s="134">
        <v>45698</v>
      </c>
      <c r="B4967" s="135">
        <f>YEAR(source[[#This Row],[report_date]])</f>
        <v>2025</v>
      </c>
      <c r="C4967" s="128">
        <f t="shared" si="227"/>
        <v>2</v>
      </c>
      <c r="D4967" s="136">
        <f t="shared" si="229"/>
        <v>7</v>
      </c>
      <c r="E4967" s="136">
        <f t="shared" si="228"/>
        <v>10</v>
      </c>
      <c r="F4967" s="128" t="s">
        <v>24</v>
      </c>
      <c r="G4967" s="128" t="str">
        <f>VLOOKUP(source[[#This Row],[lending_product_transform]],[3]Mapping!$B$4:$C$37,2,0)</f>
        <v>[Cake] - Cashloan</v>
      </c>
      <c r="H4967" s="128" t="str">
        <f>VLOOKUP(source[[#This Row],[lending_product_transform]],[3]Mapping!$B$3:$D$37,3,0)</f>
        <v>cashloan</v>
      </c>
      <c r="I4967" s="135">
        <v>373130314</v>
      </c>
    </row>
    <row r="4968" spans="1:9" x14ac:dyDescent="0.2">
      <c r="A4968" s="134">
        <v>45698</v>
      </c>
      <c r="B4968" s="135">
        <f>YEAR(source[[#This Row],[report_date]])</f>
        <v>2025</v>
      </c>
      <c r="C4968" s="128">
        <f t="shared" si="227"/>
        <v>2</v>
      </c>
      <c r="D4968" s="136">
        <f t="shared" si="229"/>
        <v>7</v>
      </c>
      <c r="E4968" s="136">
        <f t="shared" si="228"/>
        <v>10</v>
      </c>
      <c r="F4968" s="128" t="s">
        <v>24</v>
      </c>
      <c r="G4968" s="128" t="str">
        <f>VLOOKUP(source[[#This Row],[lending_product_transform]],[3]Mapping!$B$4:$C$37,2,0)</f>
        <v>[Cake] - Cashloan</v>
      </c>
      <c r="H4968" s="128" t="str">
        <f>VLOOKUP(source[[#This Row],[lending_product_transform]],[3]Mapping!$B$3:$D$37,3,0)</f>
        <v>cashloan</v>
      </c>
      <c r="I4968" s="135">
        <v>0</v>
      </c>
    </row>
    <row r="4969" spans="1:9" x14ac:dyDescent="0.2">
      <c r="A4969" s="134">
        <v>45698</v>
      </c>
      <c r="B4969" s="135">
        <f>YEAR(source[[#This Row],[report_date]])</f>
        <v>2025</v>
      </c>
      <c r="C4969" s="128">
        <f t="shared" si="227"/>
        <v>2</v>
      </c>
      <c r="D4969" s="136">
        <f t="shared" si="229"/>
        <v>7</v>
      </c>
      <c r="E4969" s="136">
        <f t="shared" si="228"/>
        <v>10</v>
      </c>
      <c r="F4969" s="128" t="s">
        <v>24</v>
      </c>
      <c r="G4969" s="128" t="str">
        <f>VLOOKUP(source[[#This Row],[lending_product_transform]],[3]Mapping!$B$4:$C$37,2,0)</f>
        <v>[Cake] - Cashloan</v>
      </c>
      <c r="H4969" s="128" t="str">
        <f>VLOOKUP(source[[#This Row],[lending_product_transform]],[3]Mapping!$B$3:$D$37,3,0)</f>
        <v>cashloan</v>
      </c>
      <c r="I4969" s="135">
        <v>4173814193</v>
      </c>
    </row>
    <row r="4970" spans="1:9" x14ac:dyDescent="0.2">
      <c r="A4970" s="134">
        <v>45698</v>
      </c>
      <c r="B4970" s="135">
        <f>YEAR(source[[#This Row],[report_date]])</f>
        <v>2025</v>
      </c>
      <c r="C4970" s="128">
        <f t="shared" si="227"/>
        <v>2</v>
      </c>
      <c r="D4970" s="136">
        <f t="shared" si="229"/>
        <v>7</v>
      </c>
      <c r="E4970" s="136">
        <f t="shared" si="228"/>
        <v>10</v>
      </c>
      <c r="F4970" s="128" t="s">
        <v>24</v>
      </c>
      <c r="G4970" s="128" t="str">
        <f>VLOOKUP(source[[#This Row],[lending_product_transform]],[3]Mapping!$B$4:$C$37,2,0)</f>
        <v>[Cake] - Cashloan</v>
      </c>
      <c r="H4970" s="128" t="str">
        <f>VLOOKUP(source[[#This Row],[lending_product_transform]],[3]Mapping!$B$3:$D$37,3,0)</f>
        <v>cashloan</v>
      </c>
      <c r="I4970" s="135">
        <v>430440735</v>
      </c>
    </row>
    <row r="4971" spans="1:9" x14ac:dyDescent="0.2">
      <c r="A4971" s="134">
        <v>45698</v>
      </c>
      <c r="B4971" s="135">
        <f>YEAR(source[[#This Row],[report_date]])</f>
        <v>2025</v>
      </c>
      <c r="C4971" s="128">
        <f t="shared" si="227"/>
        <v>2</v>
      </c>
      <c r="D4971" s="136">
        <f t="shared" si="229"/>
        <v>7</v>
      </c>
      <c r="E4971" s="136">
        <f t="shared" si="228"/>
        <v>10</v>
      </c>
      <c r="F4971" s="128" t="s">
        <v>24</v>
      </c>
      <c r="G4971" s="128" t="str">
        <f>VLOOKUP(source[[#This Row],[lending_product_transform]],[3]Mapping!$B$4:$C$37,2,0)</f>
        <v>[Cake] - Cashloan</v>
      </c>
      <c r="H4971" s="128" t="str">
        <f>VLOOKUP(source[[#This Row],[lending_product_transform]],[3]Mapping!$B$3:$D$37,3,0)</f>
        <v>cashloan</v>
      </c>
      <c r="I4971" s="135">
        <v>20000000</v>
      </c>
    </row>
    <row r="4972" spans="1:9" x14ac:dyDescent="0.2">
      <c r="A4972" s="134">
        <v>45698</v>
      </c>
      <c r="B4972" s="135">
        <f>YEAR(source[[#This Row],[report_date]])</f>
        <v>2025</v>
      </c>
      <c r="C4972" s="128">
        <f t="shared" si="227"/>
        <v>2</v>
      </c>
      <c r="D4972" s="136">
        <f t="shared" si="229"/>
        <v>7</v>
      </c>
      <c r="E4972" s="136">
        <f t="shared" si="228"/>
        <v>10</v>
      </c>
      <c r="F4972" s="128" t="s">
        <v>24</v>
      </c>
      <c r="G4972" s="128" t="str">
        <f>VLOOKUP(source[[#This Row],[lending_product_transform]],[3]Mapping!$B$4:$C$37,2,0)</f>
        <v>[Cake] - Cashloan</v>
      </c>
      <c r="H4972" s="128" t="str">
        <f>VLOOKUP(source[[#This Row],[lending_product_transform]],[3]Mapping!$B$3:$D$37,3,0)</f>
        <v>cashloan</v>
      </c>
      <c r="I4972" s="135">
        <v>4342460000</v>
      </c>
    </row>
    <row r="4973" spans="1:9" x14ac:dyDescent="0.2">
      <c r="A4973" s="134">
        <v>45698</v>
      </c>
      <c r="B4973" s="135">
        <f>YEAR(source[[#This Row],[report_date]])</f>
        <v>2025</v>
      </c>
      <c r="C4973" s="128">
        <f t="shared" si="227"/>
        <v>2</v>
      </c>
      <c r="D4973" s="136">
        <f t="shared" si="229"/>
        <v>7</v>
      </c>
      <c r="E4973" s="136">
        <f t="shared" si="228"/>
        <v>10</v>
      </c>
      <c r="F4973" s="128" t="s">
        <v>24</v>
      </c>
      <c r="G4973" s="128" t="str">
        <f>VLOOKUP(source[[#This Row],[lending_product_transform]],[3]Mapping!$B$4:$C$37,2,0)</f>
        <v>[Cake] - Cashloan</v>
      </c>
      <c r="H4973" s="128" t="str">
        <f>VLOOKUP(source[[#This Row],[lending_product_transform]],[3]Mapping!$B$3:$D$37,3,0)</f>
        <v>cashloan</v>
      </c>
      <c r="I4973" s="135">
        <v>6486500000</v>
      </c>
    </row>
    <row r="4974" spans="1:9" x14ac:dyDescent="0.2">
      <c r="A4974" s="134">
        <v>45698</v>
      </c>
      <c r="B4974" s="135">
        <f>YEAR(source[[#This Row],[report_date]])</f>
        <v>2025</v>
      </c>
      <c r="C4974" s="128">
        <f t="shared" si="227"/>
        <v>2</v>
      </c>
      <c r="D4974" s="136">
        <f t="shared" si="229"/>
        <v>7</v>
      </c>
      <c r="E4974" s="136">
        <f t="shared" si="228"/>
        <v>10</v>
      </c>
      <c r="F4974" s="128" t="s">
        <v>24</v>
      </c>
      <c r="G4974" s="128" t="str">
        <f>VLOOKUP(source[[#This Row],[lending_product_transform]],[3]Mapping!$B$4:$C$37,2,0)</f>
        <v>[Cake] - Cashloan</v>
      </c>
      <c r="H4974" s="128" t="str">
        <f>VLOOKUP(source[[#This Row],[lending_product_transform]],[3]Mapping!$B$3:$D$37,3,0)</f>
        <v>cashloan</v>
      </c>
      <c r="I4974" s="135">
        <v>5201270000</v>
      </c>
    </row>
    <row r="4975" spans="1:9" x14ac:dyDescent="0.2">
      <c r="A4975" s="134">
        <v>45699</v>
      </c>
      <c r="B4975" s="135">
        <f>YEAR(source[[#This Row],[report_date]])</f>
        <v>2025</v>
      </c>
      <c r="C4975" s="128">
        <f t="shared" si="227"/>
        <v>2</v>
      </c>
      <c r="D4975" s="136">
        <f t="shared" si="229"/>
        <v>7</v>
      </c>
      <c r="E4975" s="136">
        <f t="shared" si="228"/>
        <v>11</v>
      </c>
      <c r="F4975" s="128" t="s">
        <v>24</v>
      </c>
      <c r="G4975" s="128" t="str">
        <f>VLOOKUP(source[[#This Row],[lending_product_transform]],[3]Mapping!$B$4:$C$37,2,0)</f>
        <v>[Cake] - Cashloan</v>
      </c>
      <c r="H4975" s="128" t="str">
        <f>VLOOKUP(source[[#This Row],[lending_product_transform]],[3]Mapping!$B$3:$D$37,3,0)</f>
        <v>cashloan</v>
      </c>
      <c r="I4975" s="135">
        <v>0</v>
      </c>
    </row>
    <row r="4976" spans="1:9" x14ac:dyDescent="0.2">
      <c r="A4976" s="134">
        <v>45699</v>
      </c>
      <c r="B4976" s="135">
        <f>YEAR(source[[#This Row],[report_date]])</f>
        <v>2025</v>
      </c>
      <c r="C4976" s="128">
        <f t="shared" si="227"/>
        <v>2</v>
      </c>
      <c r="D4976" s="136">
        <f t="shared" si="229"/>
        <v>7</v>
      </c>
      <c r="E4976" s="136">
        <f t="shared" si="228"/>
        <v>11</v>
      </c>
      <c r="F4976" s="128" t="s">
        <v>24</v>
      </c>
      <c r="G4976" s="128" t="str">
        <f>VLOOKUP(source[[#This Row],[lending_product_transform]],[3]Mapping!$B$4:$C$37,2,0)</f>
        <v>[Cake] - Cashloan</v>
      </c>
      <c r="H4976" s="128" t="str">
        <f>VLOOKUP(source[[#This Row],[lending_product_transform]],[3]Mapping!$B$3:$D$37,3,0)</f>
        <v>cashloan</v>
      </c>
      <c r="I4976" s="135">
        <v>225129051</v>
      </c>
    </row>
    <row r="4977" spans="1:9" x14ac:dyDescent="0.2">
      <c r="A4977" s="134">
        <v>45699</v>
      </c>
      <c r="B4977" s="135">
        <f>YEAR(source[[#This Row],[report_date]])</f>
        <v>2025</v>
      </c>
      <c r="C4977" s="128">
        <f t="shared" si="227"/>
        <v>2</v>
      </c>
      <c r="D4977" s="136">
        <f t="shared" si="229"/>
        <v>7</v>
      </c>
      <c r="E4977" s="136">
        <f t="shared" si="228"/>
        <v>11</v>
      </c>
      <c r="F4977" s="128" t="s">
        <v>24</v>
      </c>
      <c r="G4977" s="128" t="str">
        <f>VLOOKUP(source[[#This Row],[lending_product_transform]],[3]Mapping!$B$4:$C$37,2,0)</f>
        <v>[Cake] - Cashloan</v>
      </c>
      <c r="H4977" s="128" t="str">
        <f>VLOOKUP(source[[#This Row],[lending_product_transform]],[3]Mapping!$B$3:$D$37,3,0)</f>
        <v>cashloan</v>
      </c>
      <c r="I4977" s="135">
        <v>5217990000</v>
      </c>
    </row>
    <row r="4978" spans="1:9" x14ac:dyDescent="0.2">
      <c r="A4978" s="134">
        <v>45699</v>
      </c>
      <c r="B4978" s="135">
        <f>YEAR(source[[#This Row],[report_date]])</f>
        <v>2025</v>
      </c>
      <c r="C4978" s="128">
        <f t="shared" ref="C4978:C5041" si="230">MONTH(A4978)</f>
        <v>2</v>
      </c>
      <c r="D4978" s="136">
        <f t="shared" si="229"/>
        <v>7</v>
      </c>
      <c r="E4978" s="136">
        <f t="shared" ref="E4978:E5041" si="231">DAY(A4978)</f>
        <v>11</v>
      </c>
      <c r="F4978" s="128" t="s">
        <v>24</v>
      </c>
      <c r="G4978" s="128" t="str">
        <f>VLOOKUP(source[[#This Row],[lending_product_transform]],[3]Mapping!$B$4:$C$37,2,0)</f>
        <v>[Cake] - Cashloan</v>
      </c>
      <c r="H4978" s="128" t="str">
        <f>VLOOKUP(source[[#This Row],[lending_product_transform]],[3]Mapping!$B$3:$D$37,3,0)</f>
        <v>cashloan</v>
      </c>
      <c r="I4978" s="135">
        <v>484910000</v>
      </c>
    </row>
    <row r="4979" spans="1:9" x14ac:dyDescent="0.2">
      <c r="A4979" s="134">
        <v>45699</v>
      </c>
      <c r="B4979" s="135">
        <f>YEAR(source[[#This Row],[report_date]])</f>
        <v>2025</v>
      </c>
      <c r="C4979" s="128">
        <f t="shared" si="230"/>
        <v>2</v>
      </c>
      <c r="D4979" s="136">
        <f t="shared" si="229"/>
        <v>7</v>
      </c>
      <c r="E4979" s="136">
        <f t="shared" si="231"/>
        <v>11</v>
      </c>
      <c r="F4979" s="128" t="s">
        <v>24</v>
      </c>
      <c r="G4979" s="128" t="str">
        <f>VLOOKUP(source[[#This Row],[lending_product_transform]],[3]Mapping!$B$4:$C$37,2,0)</f>
        <v>[Cake] - Cashloan</v>
      </c>
      <c r="H4979" s="128" t="str">
        <f>VLOOKUP(source[[#This Row],[lending_product_transform]],[3]Mapping!$B$3:$D$37,3,0)</f>
        <v>cashloan</v>
      </c>
      <c r="I4979" s="135">
        <v>216880000</v>
      </c>
    </row>
    <row r="4980" spans="1:9" x14ac:dyDescent="0.2">
      <c r="A4980" s="134">
        <v>45699</v>
      </c>
      <c r="B4980" s="135">
        <f>YEAR(source[[#This Row],[report_date]])</f>
        <v>2025</v>
      </c>
      <c r="C4980" s="128">
        <f t="shared" si="230"/>
        <v>2</v>
      </c>
      <c r="D4980" s="136">
        <f t="shared" si="229"/>
        <v>7</v>
      </c>
      <c r="E4980" s="136">
        <f t="shared" si="231"/>
        <v>11</v>
      </c>
      <c r="F4980" s="128" t="s">
        <v>24</v>
      </c>
      <c r="G4980" s="128" t="str">
        <f>VLOOKUP(source[[#This Row],[lending_product_transform]],[3]Mapping!$B$4:$C$37,2,0)</f>
        <v>[Cake] - Cashloan</v>
      </c>
      <c r="H4980" s="128" t="str">
        <f>VLOOKUP(source[[#This Row],[lending_product_transform]],[3]Mapping!$B$3:$D$37,3,0)</f>
        <v>cashloan</v>
      </c>
      <c r="I4980" s="135">
        <v>26670209</v>
      </c>
    </row>
    <row r="4981" spans="1:9" x14ac:dyDescent="0.2">
      <c r="A4981" s="134">
        <v>45699</v>
      </c>
      <c r="B4981" s="135">
        <f>YEAR(source[[#This Row],[report_date]])</f>
        <v>2025</v>
      </c>
      <c r="C4981" s="128">
        <f t="shared" si="230"/>
        <v>2</v>
      </c>
      <c r="D4981" s="136">
        <f t="shared" si="229"/>
        <v>7</v>
      </c>
      <c r="E4981" s="136">
        <f t="shared" si="231"/>
        <v>11</v>
      </c>
      <c r="F4981" s="128" t="s">
        <v>24</v>
      </c>
      <c r="G4981" s="128" t="str">
        <f>VLOOKUP(source[[#This Row],[lending_product_transform]],[3]Mapping!$B$4:$C$37,2,0)</f>
        <v>[Cake] - Cashloan</v>
      </c>
      <c r="H4981" s="128" t="str">
        <f>VLOOKUP(source[[#This Row],[lending_product_transform]],[3]Mapping!$B$3:$D$37,3,0)</f>
        <v>cashloan</v>
      </c>
      <c r="I4981" s="135">
        <v>0</v>
      </c>
    </row>
    <row r="4982" spans="1:9" x14ac:dyDescent="0.2">
      <c r="A4982" s="134">
        <v>45699</v>
      </c>
      <c r="B4982" s="135">
        <f>YEAR(source[[#This Row],[report_date]])</f>
        <v>2025</v>
      </c>
      <c r="C4982" s="128">
        <f t="shared" si="230"/>
        <v>2</v>
      </c>
      <c r="D4982" s="136">
        <f t="shared" si="229"/>
        <v>7</v>
      </c>
      <c r="E4982" s="136">
        <f t="shared" si="231"/>
        <v>11</v>
      </c>
      <c r="F4982" s="128" t="s">
        <v>24</v>
      </c>
      <c r="G4982" s="128" t="str">
        <f>VLOOKUP(source[[#This Row],[lending_product_transform]],[3]Mapping!$B$4:$C$37,2,0)</f>
        <v>[Cake] - Cashloan</v>
      </c>
      <c r="H4982" s="128" t="str">
        <f>VLOOKUP(source[[#This Row],[lending_product_transform]],[3]Mapping!$B$3:$D$37,3,0)</f>
        <v>cashloan</v>
      </c>
      <c r="I4982" s="135">
        <v>0</v>
      </c>
    </row>
    <row r="4983" spans="1:9" x14ac:dyDescent="0.2">
      <c r="A4983" s="134">
        <v>45699</v>
      </c>
      <c r="B4983" s="135">
        <f>YEAR(source[[#This Row],[report_date]])</f>
        <v>2025</v>
      </c>
      <c r="C4983" s="128">
        <f t="shared" si="230"/>
        <v>2</v>
      </c>
      <c r="D4983" s="136">
        <f t="shared" si="229"/>
        <v>7</v>
      </c>
      <c r="E4983" s="136">
        <f t="shared" si="231"/>
        <v>11</v>
      </c>
      <c r="F4983" s="128" t="s">
        <v>24</v>
      </c>
      <c r="G4983" s="128" t="str">
        <f>VLOOKUP(source[[#This Row],[lending_product_transform]],[3]Mapping!$B$4:$C$37,2,0)</f>
        <v>[Cake] - Cashloan</v>
      </c>
      <c r="H4983" s="128" t="str">
        <f>VLOOKUP(source[[#This Row],[lending_product_transform]],[3]Mapping!$B$3:$D$37,3,0)</f>
        <v>cashloan</v>
      </c>
      <c r="I4983" s="135">
        <v>20000000</v>
      </c>
    </row>
    <row r="4984" spans="1:9" x14ac:dyDescent="0.2">
      <c r="A4984" s="134">
        <v>45699</v>
      </c>
      <c r="B4984" s="135">
        <f>YEAR(source[[#This Row],[report_date]])</f>
        <v>2025</v>
      </c>
      <c r="C4984" s="128">
        <f t="shared" si="230"/>
        <v>2</v>
      </c>
      <c r="D4984" s="136">
        <f t="shared" si="229"/>
        <v>7</v>
      </c>
      <c r="E4984" s="136">
        <f t="shared" si="231"/>
        <v>11</v>
      </c>
      <c r="F4984" s="128" t="s">
        <v>24</v>
      </c>
      <c r="G4984" s="128" t="str">
        <f>VLOOKUP(source[[#This Row],[lending_product_transform]],[3]Mapping!$B$4:$C$37,2,0)</f>
        <v>[Cake] - Cashloan</v>
      </c>
      <c r="H4984" s="128" t="str">
        <f>VLOOKUP(source[[#This Row],[lending_product_transform]],[3]Mapping!$B$3:$D$37,3,0)</f>
        <v>cashloan</v>
      </c>
      <c r="I4984" s="135">
        <v>0</v>
      </c>
    </row>
    <row r="4985" spans="1:9" x14ac:dyDescent="0.2">
      <c r="A4985" s="134">
        <v>45699</v>
      </c>
      <c r="B4985" s="135">
        <f>YEAR(source[[#This Row],[report_date]])</f>
        <v>2025</v>
      </c>
      <c r="C4985" s="128">
        <f t="shared" si="230"/>
        <v>2</v>
      </c>
      <c r="D4985" s="136">
        <f t="shared" si="229"/>
        <v>7</v>
      </c>
      <c r="E4985" s="136">
        <f t="shared" si="231"/>
        <v>11</v>
      </c>
      <c r="F4985" s="128" t="s">
        <v>24</v>
      </c>
      <c r="G4985" s="128" t="str">
        <f>VLOOKUP(source[[#This Row],[lending_product_transform]],[3]Mapping!$B$4:$C$37,2,0)</f>
        <v>[Cake] - Cashloan</v>
      </c>
      <c r="H4985" s="128" t="str">
        <f>VLOOKUP(source[[#This Row],[lending_product_transform]],[3]Mapping!$B$3:$D$37,3,0)</f>
        <v>cashloan</v>
      </c>
      <c r="I4985" s="135">
        <v>0</v>
      </c>
    </row>
    <row r="4986" spans="1:9" x14ac:dyDescent="0.2">
      <c r="A4986" s="134">
        <v>45699</v>
      </c>
      <c r="B4986" s="135">
        <f>YEAR(source[[#This Row],[report_date]])</f>
        <v>2025</v>
      </c>
      <c r="C4986" s="128">
        <f t="shared" si="230"/>
        <v>2</v>
      </c>
      <c r="D4986" s="136">
        <f t="shared" si="229"/>
        <v>7</v>
      </c>
      <c r="E4986" s="136">
        <f t="shared" si="231"/>
        <v>11</v>
      </c>
      <c r="F4986" s="128" t="s">
        <v>24</v>
      </c>
      <c r="G4986" s="128" t="str">
        <f>VLOOKUP(source[[#This Row],[lending_product_transform]],[3]Mapping!$B$4:$C$37,2,0)</f>
        <v>[Cake] - Cashloan</v>
      </c>
      <c r="H4986" s="128" t="str">
        <f>VLOOKUP(source[[#This Row],[lending_product_transform]],[3]Mapping!$B$3:$D$37,3,0)</f>
        <v>cashloan</v>
      </c>
      <c r="I4986" s="135">
        <v>336642414</v>
      </c>
    </row>
    <row r="4987" spans="1:9" x14ac:dyDescent="0.2">
      <c r="A4987" s="134">
        <v>45699</v>
      </c>
      <c r="B4987" s="135">
        <f>YEAR(source[[#This Row],[report_date]])</f>
        <v>2025</v>
      </c>
      <c r="C4987" s="128">
        <f t="shared" si="230"/>
        <v>2</v>
      </c>
      <c r="D4987" s="136">
        <f t="shared" si="229"/>
        <v>7</v>
      </c>
      <c r="E4987" s="136">
        <f t="shared" si="231"/>
        <v>11</v>
      </c>
      <c r="F4987" s="128" t="s">
        <v>24</v>
      </c>
      <c r="G4987" s="128" t="str">
        <f>VLOOKUP(source[[#This Row],[lending_product_transform]],[3]Mapping!$B$4:$C$37,2,0)</f>
        <v>[Cake] - Cashloan</v>
      </c>
      <c r="H4987" s="128" t="str">
        <f>VLOOKUP(source[[#This Row],[lending_product_transform]],[3]Mapping!$B$3:$D$37,3,0)</f>
        <v>cashloan</v>
      </c>
      <c r="I4987" s="135">
        <v>0</v>
      </c>
    </row>
    <row r="4988" spans="1:9" x14ac:dyDescent="0.2">
      <c r="A4988" s="134">
        <v>45699</v>
      </c>
      <c r="B4988" s="135">
        <f>YEAR(source[[#This Row],[report_date]])</f>
        <v>2025</v>
      </c>
      <c r="C4988" s="128">
        <f t="shared" si="230"/>
        <v>2</v>
      </c>
      <c r="D4988" s="136">
        <f t="shared" si="229"/>
        <v>7</v>
      </c>
      <c r="E4988" s="136">
        <f t="shared" si="231"/>
        <v>11</v>
      </c>
      <c r="F4988" s="128" t="s">
        <v>24</v>
      </c>
      <c r="G4988" s="128" t="str">
        <f>VLOOKUP(source[[#This Row],[lending_product_transform]],[3]Mapping!$B$4:$C$37,2,0)</f>
        <v>[Cake] - Cashloan</v>
      </c>
      <c r="H4988" s="128" t="str">
        <f>VLOOKUP(source[[#This Row],[lending_product_transform]],[3]Mapping!$B$3:$D$37,3,0)</f>
        <v>cashloan</v>
      </c>
      <c r="I4988" s="135">
        <v>444396608</v>
      </c>
    </row>
    <row r="4989" spans="1:9" x14ac:dyDescent="0.2">
      <c r="A4989" s="134">
        <v>45699</v>
      </c>
      <c r="B4989" s="135">
        <f>YEAR(source[[#This Row],[report_date]])</f>
        <v>2025</v>
      </c>
      <c r="C4989" s="128">
        <f t="shared" si="230"/>
        <v>2</v>
      </c>
      <c r="D4989" s="136">
        <f t="shared" si="229"/>
        <v>7</v>
      </c>
      <c r="E4989" s="136">
        <f t="shared" si="231"/>
        <v>11</v>
      </c>
      <c r="F4989" s="128" t="s">
        <v>24</v>
      </c>
      <c r="G4989" s="128" t="str">
        <f>VLOOKUP(source[[#This Row],[lending_product_transform]],[3]Mapping!$B$4:$C$37,2,0)</f>
        <v>[Cake] - Cashloan</v>
      </c>
      <c r="H4989" s="128" t="str">
        <f>VLOOKUP(source[[#This Row],[lending_product_transform]],[3]Mapping!$B$3:$D$37,3,0)</f>
        <v>cashloan</v>
      </c>
      <c r="I4989" s="135">
        <v>1340400000</v>
      </c>
    </row>
    <row r="4990" spans="1:9" x14ac:dyDescent="0.2">
      <c r="A4990" s="134">
        <v>45699</v>
      </c>
      <c r="B4990" s="135">
        <f>YEAR(source[[#This Row],[report_date]])</f>
        <v>2025</v>
      </c>
      <c r="C4990" s="128">
        <f t="shared" si="230"/>
        <v>2</v>
      </c>
      <c r="D4990" s="136">
        <f t="shared" si="229"/>
        <v>7</v>
      </c>
      <c r="E4990" s="136">
        <f t="shared" si="231"/>
        <v>11</v>
      </c>
      <c r="F4990" s="128" t="s">
        <v>24</v>
      </c>
      <c r="G4990" s="128" t="str">
        <f>VLOOKUP(source[[#This Row],[lending_product_transform]],[3]Mapping!$B$4:$C$37,2,0)</f>
        <v>[Cake] - Cashloan</v>
      </c>
      <c r="H4990" s="128" t="str">
        <f>VLOOKUP(source[[#This Row],[lending_product_transform]],[3]Mapping!$B$3:$D$37,3,0)</f>
        <v>cashloan</v>
      </c>
      <c r="I4990" s="135">
        <v>36750000</v>
      </c>
    </row>
    <row r="4991" spans="1:9" x14ac:dyDescent="0.2">
      <c r="A4991" s="134">
        <v>45699</v>
      </c>
      <c r="B4991" s="135">
        <f>YEAR(source[[#This Row],[report_date]])</f>
        <v>2025</v>
      </c>
      <c r="C4991" s="128">
        <f t="shared" si="230"/>
        <v>2</v>
      </c>
      <c r="D4991" s="136">
        <f t="shared" si="229"/>
        <v>7</v>
      </c>
      <c r="E4991" s="136">
        <f t="shared" si="231"/>
        <v>11</v>
      </c>
      <c r="F4991" s="128" t="s">
        <v>24</v>
      </c>
      <c r="G4991" s="128" t="str">
        <f>VLOOKUP(source[[#This Row],[lending_product_transform]],[3]Mapping!$B$4:$C$37,2,0)</f>
        <v>[Cake] - Cashloan</v>
      </c>
      <c r="H4991" s="128" t="str">
        <f>VLOOKUP(source[[#This Row],[lending_product_transform]],[3]Mapping!$B$3:$D$37,3,0)</f>
        <v>cashloan</v>
      </c>
      <c r="I4991" s="135">
        <v>3197373099</v>
      </c>
    </row>
    <row r="4992" spans="1:9" x14ac:dyDescent="0.2">
      <c r="A4992" s="134">
        <v>45699</v>
      </c>
      <c r="B4992" s="135">
        <f>YEAR(source[[#This Row],[report_date]])</f>
        <v>2025</v>
      </c>
      <c r="C4992" s="128">
        <f t="shared" si="230"/>
        <v>2</v>
      </c>
      <c r="D4992" s="136">
        <f t="shared" si="229"/>
        <v>7</v>
      </c>
      <c r="E4992" s="136">
        <f t="shared" si="231"/>
        <v>11</v>
      </c>
      <c r="F4992" s="128" t="s">
        <v>24</v>
      </c>
      <c r="G4992" s="128" t="str">
        <f>VLOOKUP(source[[#This Row],[lending_product_transform]],[3]Mapping!$B$4:$C$37,2,0)</f>
        <v>[Cake] - Cashloan</v>
      </c>
      <c r="H4992" s="128" t="str">
        <f>VLOOKUP(source[[#This Row],[lending_product_transform]],[3]Mapping!$B$3:$D$37,3,0)</f>
        <v>cashloan</v>
      </c>
      <c r="I4992" s="135">
        <v>4873660000</v>
      </c>
    </row>
    <row r="4993" spans="1:9" x14ac:dyDescent="0.2">
      <c r="A4993" s="134">
        <v>45699</v>
      </c>
      <c r="B4993" s="135">
        <f>YEAR(source[[#This Row],[report_date]])</f>
        <v>2025</v>
      </c>
      <c r="C4993" s="128">
        <f t="shared" si="230"/>
        <v>2</v>
      </c>
      <c r="D4993" s="136">
        <f t="shared" si="229"/>
        <v>7</v>
      </c>
      <c r="E4993" s="136">
        <f t="shared" si="231"/>
        <v>11</v>
      </c>
      <c r="F4993" s="128" t="s">
        <v>24</v>
      </c>
      <c r="G4993" s="128" t="str">
        <f>VLOOKUP(source[[#This Row],[lending_product_transform]],[3]Mapping!$B$4:$C$37,2,0)</f>
        <v>[Cake] - Cashloan</v>
      </c>
      <c r="H4993" s="128" t="str">
        <f>VLOOKUP(source[[#This Row],[lending_product_transform]],[3]Mapping!$B$3:$D$37,3,0)</f>
        <v>cashloan</v>
      </c>
      <c r="I4993" s="135">
        <v>5204500000</v>
      </c>
    </row>
    <row r="4994" spans="1:9" x14ac:dyDescent="0.2">
      <c r="A4994" s="134">
        <v>45700</v>
      </c>
      <c r="B4994" s="135">
        <f>YEAR(source[[#This Row],[report_date]])</f>
        <v>2025</v>
      </c>
      <c r="C4994" s="128">
        <f t="shared" si="230"/>
        <v>2</v>
      </c>
      <c r="D4994" s="136">
        <f t="shared" si="229"/>
        <v>7</v>
      </c>
      <c r="E4994" s="136">
        <f t="shared" si="231"/>
        <v>12</v>
      </c>
      <c r="F4994" s="128" t="s">
        <v>24</v>
      </c>
      <c r="G4994" s="128" t="str">
        <f>VLOOKUP(source[[#This Row],[lending_product_transform]],[3]Mapping!$B$4:$C$37,2,0)</f>
        <v>[Cake] - Cashloan</v>
      </c>
      <c r="H4994" s="128" t="str">
        <f>VLOOKUP(source[[#This Row],[lending_product_transform]],[3]Mapping!$B$3:$D$37,3,0)</f>
        <v>cashloan</v>
      </c>
      <c r="I4994" s="135">
        <v>0</v>
      </c>
    </row>
    <row r="4995" spans="1:9" x14ac:dyDescent="0.2">
      <c r="A4995" s="134">
        <v>45700</v>
      </c>
      <c r="B4995" s="135">
        <f>YEAR(source[[#This Row],[report_date]])</f>
        <v>2025</v>
      </c>
      <c r="C4995" s="128">
        <f t="shared" si="230"/>
        <v>2</v>
      </c>
      <c r="D4995" s="136">
        <f t="shared" ref="D4995:D5058" si="232">WEEKNUM(A4995,2)</f>
        <v>7</v>
      </c>
      <c r="E4995" s="136">
        <f t="shared" si="231"/>
        <v>12</v>
      </c>
      <c r="F4995" s="128" t="s">
        <v>24</v>
      </c>
      <c r="G4995" s="128" t="str">
        <f>VLOOKUP(source[[#This Row],[lending_product_transform]],[3]Mapping!$B$4:$C$37,2,0)</f>
        <v>[Cake] - Cashloan</v>
      </c>
      <c r="H4995" s="128" t="str">
        <f>VLOOKUP(source[[#This Row],[lending_product_transform]],[3]Mapping!$B$3:$D$37,3,0)</f>
        <v>cashloan</v>
      </c>
      <c r="I4995" s="135">
        <v>68000000</v>
      </c>
    </row>
    <row r="4996" spans="1:9" x14ac:dyDescent="0.2">
      <c r="A4996" s="134">
        <v>45700</v>
      </c>
      <c r="B4996" s="135">
        <f>YEAR(source[[#This Row],[report_date]])</f>
        <v>2025</v>
      </c>
      <c r="C4996" s="128">
        <f t="shared" si="230"/>
        <v>2</v>
      </c>
      <c r="D4996" s="136">
        <f t="shared" si="232"/>
        <v>7</v>
      </c>
      <c r="E4996" s="136">
        <f t="shared" si="231"/>
        <v>12</v>
      </c>
      <c r="F4996" s="128" t="s">
        <v>24</v>
      </c>
      <c r="G4996" s="128" t="str">
        <f>VLOOKUP(source[[#This Row],[lending_product_transform]],[3]Mapping!$B$4:$C$37,2,0)</f>
        <v>[Cake] - Cashloan</v>
      </c>
      <c r="H4996" s="128" t="str">
        <f>VLOOKUP(source[[#This Row],[lending_product_transform]],[3]Mapping!$B$3:$D$37,3,0)</f>
        <v>cashloan</v>
      </c>
      <c r="I4996" s="135">
        <v>190080000</v>
      </c>
    </row>
    <row r="4997" spans="1:9" x14ac:dyDescent="0.2">
      <c r="A4997" s="134">
        <v>45700</v>
      </c>
      <c r="B4997" s="135">
        <f>YEAR(source[[#This Row],[report_date]])</f>
        <v>2025</v>
      </c>
      <c r="C4997" s="128">
        <f t="shared" si="230"/>
        <v>2</v>
      </c>
      <c r="D4997" s="136">
        <f t="shared" si="232"/>
        <v>7</v>
      </c>
      <c r="E4997" s="136">
        <f t="shared" si="231"/>
        <v>12</v>
      </c>
      <c r="F4997" s="128" t="s">
        <v>24</v>
      </c>
      <c r="G4997" s="128" t="str">
        <f>VLOOKUP(source[[#This Row],[lending_product_transform]],[3]Mapping!$B$4:$C$37,2,0)</f>
        <v>[Cake] - Cashloan</v>
      </c>
      <c r="H4997" s="128" t="str">
        <f>VLOOKUP(source[[#This Row],[lending_product_transform]],[3]Mapping!$B$3:$D$37,3,0)</f>
        <v>cashloan</v>
      </c>
      <c r="I4997" s="135">
        <v>0</v>
      </c>
    </row>
    <row r="4998" spans="1:9" x14ac:dyDescent="0.2">
      <c r="A4998" s="134">
        <v>45700</v>
      </c>
      <c r="B4998" s="135">
        <f>YEAR(source[[#This Row],[report_date]])</f>
        <v>2025</v>
      </c>
      <c r="C4998" s="128">
        <f t="shared" si="230"/>
        <v>2</v>
      </c>
      <c r="D4998" s="136">
        <f t="shared" si="232"/>
        <v>7</v>
      </c>
      <c r="E4998" s="136">
        <f t="shared" si="231"/>
        <v>12</v>
      </c>
      <c r="F4998" s="128" t="s">
        <v>24</v>
      </c>
      <c r="G4998" s="128" t="str">
        <f>VLOOKUP(source[[#This Row],[lending_product_transform]],[3]Mapping!$B$4:$C$37,2,0)</f>
        <v>[Cake] - Cashloan</v>
      </c>
      <c r="H4998" s="128" t="str">
        <f>VLOOKUP(source[[#This Row],[lending_product_transform]],[3]Mapping!$B$3:$D$37,3,0)</f>
        <v>cashloan</v>
      </c>
      <c r="I4998" s="135">
        <v>4196023000</v>
      </c>
    </row>
    <row r="4999" spans="1:9" x14ac:dyDescent="0.2">
      <c r="A4999" s="134">
        <v>45700</v>
      </c>
      <c r="B4999" s="135">
        <f>YEAR(source[[#This Row],[report_date]])</f>
        <v>2025</v>
      </c>
      <c r="C4999" s="128">
        <f t="shared" si="230"/>
        <v>2</v>
      </c>
      <c r="D4999" s="136">
        <f t="shared" si="232"/>
        <v>7</v>
      </c>
      <c r="E4999" s="136">
        <f t="shared" si="231"/>
        <v>12</v>
      </c>
      <c r="F4999" s="128" t="s">
        <v>24</v>
      </c>
      <c r="G4999" s="128" t="str">
        <f>VLOOKUP(source[[#This Row],[lending_product_transform]],[3]Mapping!$B$4:$C$37,2,0)</f>
        <v>[Cake] - Cashloan</v>
      </c>
      <c r="H4999" s="128" t="str">
        <f>VLOOKUP(source[[#This Row],[lending_product_transform]],[3]Mapping!$B$3:$D$37,3,0)</f>
        <v>cashloan</v>
      </c>
      <c r="I4999" s="135">
        <v>509040000</v>
      </c>
    </row>
    <row r="5000" spans="1:9" x14ac:dyDescent="0.2">
      <c r="A5000" s="134">
        <v>45700</v>
      </c>
      <c r="B5000" s="135">
        <f>YEAR(source[[#This Row],[report_date]])</f>
        <v>2025</v>
      </c>
      <c r="C5000" s="128">
        <f t="shared" si="230"/>
        <v>2</v>
      </c>
      <c r="D5000" s="136">
        <f t="shared" si="232"/>
        <v>7</v>
      </c>
      <c r="E5000" s="136">
        <f t="shared" si="231"/>
        <v>12</v>
      </c>
      <c r="F5000" s="128" t="s">
        <v>24</v>
      </c>
      <c r="G5000" s="128" t="str">
        <f>VLOOKUP(source[[#This Row],[lending_product_transform]],[3]Mapping!$B$4:$C$37,2,0)</f>
        <v>[Cake] - Cashloan</v>
      </c>
      <c r="H5000" s="128" t="str">
        <f>VLOOKUP(source[[#This Row],[lending_product_transform]],[3]Mapping!$B$3:$D$37,3,0)</f>
        <v>cashloan</v>
      </c>
      <c r="I5000" s="135">
        <v>396765193</v>
      </c>
    </row>
    <row r="5001" spans="1:9" x14ac:dyDescent="0.2">
      <c r="A5001" s="134">
        <v>45700</v>
      </c>
      <c r="B5001" s="135">
        <f>YEAR(source[[#This Row],[report_date]])</f>
        <v>2025</v>
      </c>
      <c r="C5001" s="128">
        <f t="shared" si="230"/>
        <v>2</v>
      </c>
      <c r="D5001" s="136">
        <f t="shared" si="232"/>
        <v>7</v>
      </c>
      <c r="E5001" s="136">
        <f t="shared" si="231"/>
        <v>12</v>
      </c>
      <c r="F5001" s="128" t="s">
        <v>24</v>
      </c>
      <c r="G5001" s="128" t="str">
        <f>VLOOKUP(source[[#This Row],[lending_product_transform]],[3]Mapping!$B$4:$C$37,2,0)</f>
        <v>[Cake] - Cashloan</v>
      </c>
      <c r="H5001" s="128" t="str">
        <f>VLOOKUP(source[[#This Row],[lending_product_transform]],[3]Mapping!$B$3:$D$37,3,0)</f>
        <v>cashloan</v>
      </c>
      <c r="I5001" s="135">
        <v>3060068720</v>
      </c>
    </row>
    <row r="5002" spans="1:9" x14ac:dyDescent="0.2">
      <c r="A5002" s="134">
        <v>45700</v>
      </c>
      <c r="B5002" s="135">
        <f>YEAR(source[[#This Row],[report_date]])</f>
        <v>2025</v>
      </c>
      <c r="C5002" s="128">
        <f t="shared" si="230"/>
        <v>2</v>
      </c>
      <c r="D5002" s="136">
        <f t="shared" si="232"/>
        <v>7</v>
      </c>
      <c r="E5002" s="136">
        <f t="shared" si="231"/>
        <v>12</v>
      </c>
      <c r="F5002" s="128" t="s">
        <v>24</v>
      </c>
      <c r="G5002" s="128" t="str">
        <f>VLOOKUP(source[[#This Row],[lending_product_transform]],[3]Mapping!$B$4:$C$37,2,0)</f>
        <v>[Cake] - Cashloan</v>
      </c>
      <c r="H5002" s="128" t="str">
        <f>VLOOKUP(source[[#This Row],[lending_product_transform]],[3]Mapping!$B$3:$D$37,3,0)</f>
        <v>cashloan</v>
      </c>
      <c r="I5002" s="135">
        <v>0</v>
      </c>
    </row>
    <row r="5003" spans="1:9" x14ac:dyDescent="0.2">
      <c r="A5003" s="134">
        <v>45700</v>
      </c>
      <c r="B5003" s="135">
        <f>YEAR(source[[#This Row],[report_date]])</f>
        <v>2025</v>
      </c>
      <c r="C5003" s="128">
        <f t="shared" si="230"/>
        <v>2</v>
      </c>
      <c r="D5003" s="136">
        <f t="shared" si="232"/>
        <v>7</v>
      </c>
      <c r="E5003" s="136">
        <f t="shared" si="231"/>
        <v>12</v>
      </c>
      <c r="F5003" s="128" t="s">
        <v>24</v>
      </c>
      <c r="G5003" s="128" t="str">
        <f>VLOOKUP(source[[#This Row],[lending_product_transform]],[3]Mapping!$B$4:$C$37,2,0)</f>
        <v>[Cake] - Cashloan</v>
      </c>
      <c r="H5003" s="128" t="str">
        <f>VLOOKUP(source[[#This Row],[lending_product_transform]],[3]Mapping!$B$3:$D$37,3,0)</f>
        <v>cashloan</v>
      </c>
      <c r="I5003" s="135">
        <v>4437870000</v>
      </c>
    </row>
    <row r="5004" spans="1:9" x14ac:dyDescent="0.2">
      <c r="A5004" s="134">
        <v>45700</v>
      </c>
      <c r="B5004" s="135">
        <f>YEAR(source[[#This Row],[report_date]])</f>
        <v>2025</v>
      </c>
      <c r="C5004" s="128">
        <f t="shared" si="230"/>
        <v>2</v>
      </c>
      <c r="D5004" s="136">
        <f t="shared" si="232"/>
        <v>7</v>
      </c>
      <c r="E5004" s="136">
        <f t="shared" si="231"/>
        <v>12</v>
      </c>
      <c r="F5004" s="128" t="s">
        <v>24</v>
      </c>
      <c r="G5004" s="128" t="str">
        <f>VLOOKUP(source[[#This Row],[lending_product_transform]],[3]Mapping!$B$4:$C$37,2,0)</f>
        <v>[Cake] - Cashloan</v>
      </c>
      <c r="H5004" s="128" t="str">
        <f>VLOOKUP(source[[#This Row],[lending_product_transform]],[3]Mapping!$B$3:$D$37,3,0)</f>
        <v>cashloan</v>
      </c>
      <c r="I5004" s="135">
        <v>4561590000</v>
      </c>
    </row>
    <row r="5005" spans="1:9" x14ac:dyDescent="0.2">
      <c r="A5005" s="134">
        <v>45700</v>
      </c>
      <c r="B5005" s="135">
        <f>YEAR(source[[#This Row],[report_date]])</f>
        <v>2025</v>
      </c>
      <c r="C5005" s="128">
        <f t="shared" si="230"/>
        <v>2</v>
      </c>
      <c r="D5005" s="136">
        <f t="shared" si="232"/>
        <v>7</v>
      </c>
      <c r="E5005" s="136">
        <f t="shared" si="231"/>
        <v>12</v>
      </c>
      <c r="F5005" s="128" t="s">
        <v>24</v>
      </c>
      <c r="G5005" s="128" t="str">
        <f>VLOOKUP(source[[#This Row],[lending_product_transform]],[3]Mapping!$B$4:$C$37,2,0)</f>
        <v>[Cake] - Cashloan</v>
      </c>
      <c r="H5005" s="128" t="str">
        <f>VLOOKUP(source[[#This Row],[lending_product_transform]],[3]Mapping!$B$3:$D$37,3,0)</f>
        <v>cashloan</v>
      </c>
      <c r="I5005" s="135">
        <v>4900000000</v>
      </c>
    </row>
    <row r="5006" spans="1:9" x14ac:dyDescent="0.2">
      <c r="A5006" s="134">
        <v>45700</v>
      </c>
      <c r="B5006" s="135">
        <f>YEAR(source[[#This Row],[report_date]])</f>
        <v>2025</v>
      </c>
      <c r="C5006" s="128">
        <f t="shared" si="230"/>
        <v>2</v>
      </c>
      <c r="D5006" s="136">
        <f t="shared" si="232"/>
        <v>7</v>
      </c>
      <c r="E5006" s="136">
        <f t="shared" si="231"/>
        <v>12</v>
      </c>
      <c r="F5006" s="128" t="s">
        <v>24</v>
      </c>
      <c r="G5006" s="128" t="str">
        <f>VLOOKUP(source[[#This Row],[lending_product_transform]],[3]Mapping!$B$4:$C$37,2,0)</f>
        <v>[Cake] - Cashloan</v>
      </c>
      <c r="H5006" s="128" t="str">
        <f>VLOOKUP(source[[#This Row],[lending_product_transform]],[3]Mapping!$B$3:$D$37,3,0)</f>
        <v>cashloan</v>
      </c>
      <c r="I5006" s="135">
        <v>0</v>
      </c>
    </row>
    <row r="5007" spans="1:9" x14ac:dyDescent="0.2">
      <c r="A5007" s="134">
        <v>45700</v>
      </c>
      <c r="B5007" s="135">
        <f>YEAR(source[[#This Row],[report_date]])</f>
        <v>2025</v>
      </c>
      <c r="C5007" s="128">
        <f t="shared" si="230"/>
        <v>2</v>
      </c>
      <c r="D5007" s="136">
        <f t="shared" si="232"/>
        <v>7</v>
      </c>
      <c r="E5007" s="136">
        <f t="shared" si="231"/>
        <v>12</v>
      </c>
      <c r="F5007" s="128" t="s">
        <v>24</v>
      </c>
      <c r="G5007" s="128" t="str">
        <f>VLOOKUP(source[[#This Row],[lending_product_transform]],[3]Mapping!$B$4:$C$37,2,0)</f>
        <v>[Cake] - Cashloan</v>
      </c>
      <c r="H5007" s="128" t="str">
        <f>VLOOKUP(source[[#This Row],[lending_product_transform]],[3]Mapping!$B$3:$D$37,3,0)</f>
        <v>cashloan</v>
      </c>
      <c r="I5007" s="135">
        <v>0</v>
      </c>
    </row>
    <row r="5008" spans="1:9" x14ac:dyDescent="0.2">
      <c r="A5008" s="134">
        <v>45700</v>
      </c>
      <c r="B5008" s="135">
        <f>YEAR(source[[#This Row],[report_date]])</f>
        <v>2025</v>
      </c>
      <c r="C5008" s="128">
        <f t="shared" si="230"/>
        <v>2</v>
      </c>
      <c r="D5008" s="136">
        <f t="shared" si="232"/>
        <v>7</v>
      </c>
      <c r="E5008" s="136">
        <f t="shared" si="231"/>
        <v>12</v>
      </c>
      <c r="F5008" s="128" t="s">
        <v>24</v>
      </c>
      <c r="G5008" s="128" t="str">
        <f>VLOOKUP(source[[#This Row],[lending_product_transform]],[3]Mapping!$B$4:$C$37,2,0)</f>
        <v>[Cake] - Cashloan</v>
      </c>
      <c r="H5008" s="128" t="str">
        <f>VLOOKUP(source[[#This Row],[lending_product_transform]],[3]Mapping!$B$3:$D$37,3,0)</f>
        <v>cashloan</v>
      </c>
      <c r="I5008" s="135">
        <v>0</v>
      </c>
    </row>
    <row r="5009" spans="1:9" x14ac:dyDescent="0.2">
      <c r="A5009" s="134">
        <v>45700</v>
      </c>
      <c r="B5009" s="135">
        <f>YEAR(source[[#This Row],[report_date]])</f>
        <v>2025</v>
      </c>
      <c r="C5009" s="128">
        <f t="shared" si="230"/>
        <v>2</v>
      </c>
      <c r="D5009" s="136">
        <f t="shared" si="232"/>
        <v>7</v>
      </c>
      <c r="E5009" s="136">
        <f t="shared" si="231"/>
        <v>12</v>
      </c>
      <c r="F5009" s="128" t="s">
        <v>24</v>
      </c>
      <c r="G5009" s="128" t="str">
        <f>VLOOKUP(source[[#This Row],[lending_product_transform]],[3]Mapping!$B$4:$C$37,2,0)</f>
        <v>[Cake] - Cashloan</v>
      </c>
      <c r="H5009" s="128" t="str">
        <f>VLOOKUP(source[[#This Row],[lending_product_transform]],[3]Mapping!$B$3:$D$37,3,0)</f>
        <v>cashloan</v>
      </c>
      <c r="I5009" s="135">
        <v>25707833</v>
      </c>
    </row>
    <row r="5010" spans="1:9" x14ac:dyDescent="0.2">
      <c r="A5010" s="134">
        <v>45700</v>
      </c>
      <c r="B5010" s="135">
        <f>YEAR(source[[#This Row],[report_date]])</f>
        <v>2025</v>
      </c>
      <c r="C5010" s="128">
        <f t="shared" si="230"/>
        <v>2</v>
      </c>
      <c r="D5010" s="136">
        <f t="shared" si="232"/>
        <v>7</v>
      </c>
      <c r="E5010" s="136">
        <f t="shared" si="231"/>
        <v>12</v>
      </c>
      <c r="F5010" s="128" t="s">
        <v>24</v>
      </c>
      <c r="G5010" s="128" t="str">
        <f>VLOOKUP(source[[#This Row],[lending_product_transform]],[3]Mapping!$B$4:$C$37,2,0)</f>
        <v>[Cake] - Cashloan</v>
      </c>
      <c r="H5010" s="128" t="str">
        <f>VLOOKUP(source[[#This Row],[lending_product_transform]],[3]Mapping!$B$3:$D$37,3,0)</f>
        <v>cashloan</v>
      </c>
      <c r="I5010" s="135">
        <v>262455503</v>
      </c>
    </row>
    <row r="5011" spans="1:9" x14ac:dyDescent="0.2">
      <c r="A5011" s="134">
        <v>45700</v>
      </c>
      <c r="B5011" s="135">
        <f>YEAR(source[[#This Row],[report_date]])</f>
        <v>2025</v>
      </c>
      <c r="C5011" s="128">
        <f t="shared" si="230"/>
        <v>2</v>
      </c>
      <c r="D5011" s="136">
        <f t="shared" si="232"/>
        <v>7</v>
      </c>
      <c r="E5011" s="136">
        <f t="shared" si="231"/>
        <v>12</v>
      </c>
      <c r="F5011" s="128" t="s">
        <v>24</v>
      </c>
      <c r="G5011" s="128" t="str">
        <f>VLOOKUP(source[[#This Row],[lending_product_transform]],[3]Mapping!$B$4:$C$37,2,0)</f>
        <v>[Cake] - Cashloan</v>
      </c>
      <c r="H5011" s="128" t="str">
        <f>VLOOKUP(source[[#This Row],[lending_product_transform]],[3]Mapping!$B$3:$D$37,3,0)</f>
        <v>cashloan</v>
      </c>
      <c r="I5011" s="135">
        <v>201579212</v>
      </c>
    </row>
    <row r="5012" spans="1:9" x14ac:dyDescent="0.2">
      <c r="A5012" s="134">
        <v>45700</v>
      </c>
      <c r="B5012" s="135">
        <f>YEAR(source[[#This Row],[report_date]])</f>
        <v>2025</v>
      </c>
      <c r="C5012" s="128">
        <f t="shared" si="230"/>
        <v>2</v>
      </c>
      <c r="D5012" s="136">
        <f t="shared" si="232"/>
        <v>7</v>
      </c>
      <c r="E5012" s="136">
        <f t="shared" si="231"/>
        <v>12</v>
      </c>
      <c r="F5012" s="128" t="s">
        <v>24</v>
      </c>
      <c r="G5012" s="128" t="str">
        <f>VLOOKUP(source[[#This Row],[lending_product_transform]],[3]Mapping!$B$4:$C$37,2,0)</f>
        <v>[Cake] - Cashloan</v>
      </c>
      <c r="H5012" s="128" t="str">
        <f>VLOOKUP(source[[#This Row],[lending_product_transform]],[3]Mapping!$B$3:$D$37,3,0)</f>
        <v>cashloan</v>
      </c>
      <c r="I5012" s="135">
        <v>0</v>
      </c>
    </row>
    <row r="5013" spans="1:9" x14ac:dyDescent="0.2">
      <c r="A5013" s="134">
        <v>45701</v>
      </c>
      <c r="B5013" s="135">
        <f>YEAR(source[[#This Row],[report_date]])</f>
        <v>2025</v>
      </c>
      <c r="C5013" s="128">
        <f t="shared" si="230"/>
        <v>2</v>
      </c>
      <c r="D5013" s="136">
        <f t="shared" si="232"/>
        <v>7</v>
      </c>
      <c r="E5013" s="136">
        <f t="shared" si="231"/>
        <v>13</v>
      </c>
      <c r="F5013" s="128" t="s">
        <v>24</v>
      </c>
      <c r="G5013" s="128" t="str">
        <f>VLOOKUP(source[[#This Row],[lending_product_transform]],[3]Mapping!$B$4:$C$37,2,0)</f>
        <v>[Cake] - Cashloan</v>
      </c>
      <c r="H5013" s="128" t="str">
        <f>VLOOKUP(source[[#This Row],[lending_product_transform]],[3]Mapping!$B$3:$D$37,3,0)</f>
        <v>cashloan</v>
      </c>
      <c r="I5013" s="135">
        <v>280738963</v>
      </c>
    </row>
    <row r="5014" spans="1:9" x14ac:dyDescent="0.2">
      <c r="A5014" s="134">
        <v>45701</v>
      </c>
      <c r="B5014" s="135">
        <f>YEAR(source[[#This Row],[report_date]])</f>
        <v>2025</v>
      </c>
      <c r="C5014" s="128">
        <f t="shared" si="230"/>
        <v>2</v>
      </c>
      <c r="D5014" s="136">
        <f t="shared" si="232"/>
        <v>7</v>
      </c>
      <c r="E5014" s="136">
        <f t="shared" si="231"/>
        <v>13</v>
      </c>
      <c r="F5014" s="128" t="s">
        <v>24</v>
      </c>
      <c r="G5014" s="128" t="str">
        <f>VLOOKUP(source[[#This Row],[lending_product_transform]],[3]Mapping!$B$4:$C$37,2,0)</f>
        <v>[Cake] - Cashloan</v>
      </c>
      <c r="H5014" s="128" t="str">
        <f>VLOOKUP(source[[#This Row],[lending_product_transform]],[3]Mapping!$B$3:$D$37,3,0)</f>
        <v>cashloan</v>
      </c>
      <c r="I5014" s="135">
        <v>21000000</v>
      </c>
    </row>
    <row r="5015" spans="1:9" x14ac:dyDescent="0.2">
      <c r="A5015" s="134">
        <v>45701</v>
      </c>
      <c r="B5015" s="135">
        <f>YEAR(source[[#This Row],[report_date]])</f>
        <v>2025</v>
      </c>
      <c r="C5015" s="128">
        <f t="shared" si="230"/>
        <v>2</v>
      </c>
      <c r="D5015" s="136">
        <f t="shared" si="232"/>
        <v>7</v>
      </c>
      <c r="E5015" s="136">
        <f t="shared" si="231"/>
        <v>13</v>
      </c>
      <c r="F5015" s="128" t="s">
        <v>24</v>
      </c>
      <c r="G5015" s="128" t="str">
        <f>VLOOKUP(source[[#This Row],[lending_product_transform]],[3]Mapping!$B$4:$C$37,2,0)</f>
        <v>[Cake] - Cashloan</v>
      </c>
      <c r="H5015" s="128" t="str">
        <f>VLOOKUP(source[[#This Row],[lending_product_transform]],[3]Mapping!$B$3:$D$37,3,0)</f>
        <v>cashloan</v>
      </c>
      <c r="I5015" s="135">
        <v>2239686000</v>
      </c>
    </row>
    <row r="5016" spans="1:9" x14ac:dyDescent="0.2">
      <c r="A5016" s="134">
        <v>45701</v>
      </c>
      <c r="B5016" s="135">
        <f>YEAR(source[[#This Row],[report_date]])</f>
        <v>2025</v>
      </c>
      <c r="C5016" s="128">
        <f t="shared" si="230"/>
        <v>2</v>
      </c>
      <c r="D5016" s="136">
        <f t="shared" si="232"/>
        <v>7</v>
      </c>
      <c r="E5016" s="136">
        <f t="shared" si="231"/>
        <v>13</v>
      </c>
      <c r="F5016" s="128" t="s">
        <v>24</v>
      </c>
      <c r="G5016" s="128" t="str">
        <f>VLOOKUP(source[[#This Row],[lending_product_transform]],[3]Mapping!$B$4:$C$37,2,0)</f>
        <v>[Cake] - Cashloan</v>
      </c>
      <c r="H5016" s="128" t="str">
        <f>VLOOKUP(source[[#This Row],[lending_product_transform]],[3]Mapping!$B$3:$D$37,3,0)</f>
        <v>cashloan</v>
      </c>
      <c r="I5016" s="135">
        <v>41000000</v>
      </c>
    </row>
    <row r="5017" spans="1:9" x14ac:dyDescent="0.2">
      <c r="A5017" s="134">
        <v>45701</v>
      </c>
      <c r="B5017" s="135">
        <f>YEAR(source[[#This Row],[report_date]])</f>
        <v>2025</v>
      </c>
      <c r="C5017" s="128">
        <f t="shared" si="230"/>
        <v>2</v>
      </c>
      <c r="D5017" s="136">
        <f t="shared" si="232"/>
        <v>7</v>
      </c>
      <c r="E5017" s="136">
        <f t="shared" si="231"/>
        <v>13</v>
      </c>
      <c r="F5017" s="128" t="s">
        <v>24</v>
      </c>
      <c r="G5017" s="128" t="str">
        <f>VLOOKUP(source[[#This Row],[lending_product_transform]],[3]Mapping!$B$4:$C$37,2,0)</f>
        <v>[Cake] - Cashloan</v>
      </c>
      <c r="H5017" s="128" t="str">
        <f>VLOOKUP(source[[#This Row],[lending_product_transform]],[3]Mapping!$B$3:$D$37,3,0)</f>
        <v>cashloan</v>
      </c>
      <c r="I5017" s="135">
        <v>215986937</v>
      </c>
    </row>
    <row r="5018" spans="1:9" x14ac:dyDescent="0.2">
      <c r="A5018" s="134">
        <v>45701</v>
      </c>
      <c r="B5018" s="135">
        <f>YEAR(source[[#This Row],[report_date]])</f>
        <v>2025</v>
      </c>
      <c r="C5018" s="128">
        <f t="shared" si="230"/>
        <v>2</v>
      </c>
      <c r="D5018" s="136">
        <f t="shared" si="232"/>
        <v>7</v>
      </c>
      <c r="E5018" s="136">
        <f t="shared" si="231"/>
        <v>13</v>
      </c>
      <c r="F5018" s="128" t="s">
        <v>24</v>
      </c>
      <c r="G5018" s="128" t="str">
        <f>VLOOKUP(source[[#This Row],[lending_product_transform]],[3]Mapping!$B$4:$C$37,2,0)</f>
        <v>[Cake] - Cashloan</v>
      </c>
      <c r="H5018" s="128" t="str">
        <f>VLOOKUP(source[[#This Row],[lending_product_transform]],[3]Mapping!$B$3:$D$37,3,0)</f>
        <v>cashloan</v>
      </c>
      <c r="I5018" s="135">
        <v>19147901</v>
      </c>
    </row>
    <row r="5019" spans="1:9" x14ac:dyDescent="0.2">
      <c r="A5019" s="134">
        <v>45701</v>
      </c>
      <c r="B5019" s="135">
        <f>YEAR(source[[#This Row],[report_date]])</f>
        <v>2025</v>
      </c>
      <c r="C5019" s="128">
        <f t="shared" si="230"/>
        <v>2</v>
      </c>
      <c r="D5019" s="136">
        <f t="shared" si="232"/>
        <v>7</v>
      </c>
      <c r="E5019" s="136">
        <f t="shared" si="231"/>
        <v>13</v>
      </c>
      <c r="F5019" s="128" t="s">
        <v>24</v>
      </c>
      <c r="G5019" s="128" t="str">
        <f>VLOOKUP(source[[#This Row],[lending_product_transform]],[3]Mapping!$B$4:$C$37,2,0)</f>
        <v>[Cake] - Cashloan</v>
      </c>
      <c r="H5019" s="128" t="str">
        <f>VLOOKUP(source[[#This Row],[lending_product_transform]],[3]Mapping!$B$3:$D$37,3,0)</f>
        <v>cashloan</v>
      </c>
      <c r="I5019" s="135">
        <v>0</v>
      </c>
    </row>
    <row r="5020" spans="1:9" x14ac:dyDescent="0.2">
      <c r="A5020" s="134">
        <v>45701</v>
      </c>
      <c r="B5020" s="135">
        <f>YEAR(source[[#This Row],[report_date]])</f>
        <v>2025</v>
      </c>
      <c r="C5020" s="128">
        <f t="shared" si="230"/>
        <v>2</v>
      </c>
      <c r="D5020" s="136">
        <f t="shared" si="232"/>
        <v>7</v>
      </c>
      <c r="E5020" s="136">
        <f t="shared" si="231"/>
        <v>13</v>
      </c>
      <c r="F5020" s="128" t="s">
        <v>24</v>
      </c>
      <c r="G5020" s="128" t="str">
        <f>VLOOKUP(source[[#This Row],[lending_product_transform]],[3]Mapping!$B$4:$C$37,2,0)</f>
        <v>[Cake] - Cashloan</v>
      </c>
      <c r="H5020" s="128" t="str">
        <f>VLOOKUP(source[[#This Row],[lending_product_transform]],[3]Mapping!$B$3:$D$37,3,0)</f>
        <v>cashloan</v>
      </c>
      <c r="I5020" s="135">
        <v>0</v>
      </c>
    </row>
    <row r="5021" spans="1:9" x14ac:dyDescent="0.2">
      <c r="A5021" s="134">
        <v>45701</v>
      </c>
      <c r="B5021" s="135">
        <f>YEAR(source[[#This Row],[report_date]])</f>
        <v>2025</v>
      </c>
      <c r="C5021" s="128">
        <f t="shared" si="230"/>
        <v>2</v>
      </c>
      <c r="D5021" s="136">
        <f t="shared" si="232"/>
        <v>7</v>
      </c>
      <c r="E5021" s="136">
        <f t="shared" si="231"/>
        <v>13</v>
      </c>
      <c r="F5021" s="128" t="s">
        <v>24</v>
      </c>
      <c r="G5021" s="128" t="str">
        <f>VLOOKUP(source[[#This Row],[lending_product_transform]],[3]Mapping!$B$4:$C$37,2,0)</f>
        <v>[Cake] - Cashloan</v>
      </c>
      <c r="H5021" s="128" t="str">
        <f>VLOOKUP(source[[#This Row],[lending_product_transform]],[3]Mapping!$B$3:$D$37,3,0)</f>
        <v>cashloan</v>
      </c>
      <c r="I5021" s="135">
        <v>0</v>
      </c>
    </row>
    <row r="5022" spans="1:9" x14ac:dyDescent="0.2">
      <c r="A5022" s="134">
        <v>45701</v>
      </c>
      <c r="B5022" s="135">
        <f>YEAR(source[[#This Row],[report_date]])</f>
        <v>2025</v>
      </c>
      <c r="C5022" s="128">
        <f t="shared" si="230"/>
        <v>2</v>
      </c>
      <c r="D5022" s="136">
        <f t="shared" si="232"/>
        <v>7</v>
      </c>
      <c r="E5022" s="136">
        <f t="shared" si="231"/>
        <v>13</v>
      </c>
      <c r="F5022" s="128" t="s">
        <v>24</v>
      </c>
      <c r="G5022" s="128" t="str">
        <f>VLOOKUP(source[[#This Row],[lending_product_transform]],[3]Mapping!$B$4:$C$37,2,0)</f>
        <v>[Cake] - Cashloan</v>
      </c>
      <c r="H5022" s="128" t="str">
        <f>VLOOKUP(source[[#This Row],[lending_product_transform]],[3]Mapping!$B$3:$D$37,3,0)</f>
        <v>cashloan</v>
      </c>
      <c r="I5022" s="135">
        <v>0</v>
      </c>
    </row>
    <row r="5023" spans="1:9" x14ac:dyDescent="0.2">
      <c r="A5023" s="134">
        <v>45701</v>
      </c>
      <c r="B5023" s="135">
        <f>YEAR(source[[#This Row],[report_date]])</f>
        <v>2025</v>
      </c>
      <c r="C5023" s="128">
        <f t="shared" si="230"/>
        <v>2</v>
      </c>
      <c r="D5023" s="136">
        <f t="shared" si="232"/>
        <v>7</v>
      </c>
      <c r="E5023" s="136">
        <f t="shared" si="231"/>
        <v>13</v>
      </c>
      <c r="F5023" s="128" t="s">
        <v>24</v>
      </c>
      <c r="G5023" s="128" t="str">
        <f>VLOOKUP(source[[#This Row],[lending_product_transform]],[3]Mapping!$B$4:$C$37,2,0)</f>
        <v>[Cake] - Cashloan</v>
      </c>
      <c r="H5023" s="128" t="str">
        <f>VLOOKUP(source[[#This Row],[lending_product_transform]],[3]Mapping!$B$3:$D$37,3,0)</f>
        <v>cashloan</v>
      </c>
      <c r="I5023" s="135">
        <v>0</v>
      </c>
    </row>
    <row r="5024" spans="1:9" x14ac:dyDescent="0.2">
      <c r="A5024" s="134">
        <v>45701</v>
      </c>
      <c r="B5024" s="135">
        <f>YEAR(source[[#This Row],[report_date]])</f>
        <v>2025</v>
      </c>
      <c r="C5024" s="128">
        <f t="shared" si="230"/>
        <v>2</v>
      </c>
      <c r="D5024" s="136">
        <f t="shared" si="232"/>
        <v>7</v>
      </c>
      <c r="E5024" s="136">
        <f t="shared" si="231"/>
        <v>13</v>
      </c>
      <c r="F5024" s="128" t="s">
        <v>24</v>
      </c>
      <c r="G5024" s="128" t="str">
        <f>VLOOKUP(source[[#This Row],[lending_product_transform]],[3]Mapping!$B$4:$C$37,2,0)</f>
        <v>[Cake] - Cashloan</v>
      </c>
      <c r="H5024" s="128" t="str">
        <f>VLOOKUP(source[[#This Row],[lending_product_transform]],[3]Mapping!$B$3:$D$37,3,0)</f>
        <v>cashloan</v>
      </c>
      <c r="I5024" s="135">
        <v>184450000</v>
      </c>
    </row>
    <row r="5025" spans="1:9" x14ac:dyDescent="0.2">
      <c r="A5025" s="134">
        <v>45701</v>
      </c>
      <c r="B5025" s="135">
        <f>YEAR(source[[#This Row],[report_date]])</f>
        <v>2025</v>
      </c>
      <c r="C5025" s="128">
        <f t="shared" si="230"/>
        <v>2</v>
      </c>
      <c r="D5025" s="136">
        <f t="shared" si="232"/>
        <v>7</v>
      </c>
      <c r="E5025" s="136">
        <f t="shared" si="231"/>
        <v>13</v>
      </c>
      <c r="F5025" s="128" t="s">
        <v>24</v>
      </c>
      <c r="G5025" s="128" t="str">
        <f>VLOOKUP(source[[#This Row],[lending_product_transform]],[3]Mapping!$B$4:$C$37,2,0)</f>
        <v>[Cake] - Cashloan</v>
      </c>
      <c r="H5025" s="128" t="str">
        <f>VLOOKUP(source[[#This Row],[lending_product_transform]],[3]Mapping!$B$3:$D$37,3,0)</f>
        <v>cashloan</v>
      </c>
      <c r="I5025" s="135">
        <v>424930000</v>
      </c>
    </row>
    <row r="5026" spans="1:9" x14ac:dyDescent="0.2">
      <c r="A5026" s="134">
        <v>45701</v>
      </c>
      <c r="B5026" s="135">
        <f>YEAR(source[[#This Row],[report_date]])</f>
        <v>2025</v>
      </c>
      <c r="C5026" s="128">
        <f t="shared" si="230"/>
        <v>2</v>
      </c>
      <c r="D5026" s="136">
        <f t="shared" si="232"/>
        <v>7</v>
      </c>
      <c r="E5026" s="136">
        <f t="shared" si="231"/>
        <v>13</v>
      </c>
      <c r="F5026" s="128" t="s">
        <v>24</v>
      </c>
      <c r="G5026" s="128" t="str">
        <f>VLOOKUP(source[[#This Row],[lending_product_transform]],[3]Mapping!$B$4:$C$37,2,0)</f>
        <v>[Cake] - Cashloan</v>
      </c>
      <c r="H5026" s="128" t="str">
        <f>VLOOKUP(source[[#This Row],[lending_product_transform]],[3]Mapping!$B$3:$D$37,3,0)</f>
        <v>cashloan</v>
      </c>
      <c r="I5026" s="135">
        <v>4235180000</v>
      </c>
    </row>
    <row r="5027" spans="1:9" x14ac:dyDescent="0.2">
      <c r="A5027" s="134">
        <v>45701</v>
      </c>
      <c r="B5027" s="135">
        <f>YEAR(source[[#This Row],[report_date]])</f>
        <v>2025</v>
      </c>
      <c r="C5027" s="128">
        <f t="shared" si="230"/>
        <v>2</v>
      </c>
      <c r="D5027" s="136">
        <f t="shared" si="232"/>
        <v>7</v>
      </c>
      <c r="E5027" s="136">
        <f t="shared" si="231"/>
        <v>13</v>
      </c>
      <c r="F5027" s="128" t="s">
        <v>24</v>
      </c>
      <c r="G5027" s="128" t="str">
        <f>VLOOKUP(source[[#This Row],[lending_product_transform]],[3]Mapping!$B$4:$C$37,2,0)</f>
        <v>[Cake] - Cashloan</v>
      </c>
      <c r="H5027" s="128" t="str">
        <f>VLOOKUP(source[[#This Row],[lending_product_transform]],[3]Mapping!$B$3:$D$37,3,0)</f>
        <v>cashloan</v>
      </c>
      <c r="I5027" s="135">
        <v>0</v>
      </c>
    </row>
    <row r="5028" spans="1:9" x14ac:dyDescent="0.2">
      <c r="A5028" s="134">
        <v>45701</v>
      </c>
      <c r="B5028" s="135">
        <f>YEAR(source[[#This Row],[report_date]])</f>
        <v>2025</v>
      </c>
      <c r="C5028" s="128">
        <f t="shared" si="230"/>
        <v>2</v>
      </c>
      <c r="D5028" s="136">
        <f t="shared" si="232"/>
        <v>7</v>
      </c>
      <c r="E5028" s="136">
        <f t="shared" si="231"/>
        <v>13</v>
      </c>
      <c r="F5028" s="128" t="s">
        <v>24</v>
      </c>
      <c r="G5028" s="128" t="str">
        <f>VLOOKUP(source[[#This Row],[lending_product_transform]],[3]Mapping!$B$4:$C$37,2,0)</f>
        <v>[Cake] - Cashloan</v>
      </c>
      <c r="H5028" s="128" t="str">
        <f>VLOOKUP(source[[#This Row],[lending_product_transform]],[3]Mapping!$B$3:$D$37,3,0)</f>
        <v>cashloan</v>
      </c>
      <c r="I5028" s="135">
        <v>4957700000</v>
      </c>
    </row>
    <row r="5029" spans="1:9" x14ac:dyDescent="0.2">
      <c r="A5029" s="134">
        <v>45701</v>
      </c>
      <c r="B5029" s="135">
        <f>YEAR(source[[#This Row],[report_date]])</f>
        <v>2025</v>
      </c>
      <c r="C5029" s="128">
        <f t="shared" si="230"/>
        <v>2</v>
      </c>
      <c r="D5029" s="136">
        <f t="shared" si="232"/>
        <v>7</v>
      </c>
      <c r="E5029" s="136">
        <f t="shared" si="231"/>
        <v>13</v>
      </c>
      <c r="F5029" s="128" t="s">
        <v>24</v>
      </c>
      <c r="G5029" s="128" t="str">
        <f>VLOOKUP(source[[#This Row],[lending_product_transform]],[3]Mapping!$B$4:$C$37,2,0)</f>
        <v>[Cake] - Cashloan</v>
      </c>
      <c r="H5029" s="128" t="str">
        <f>VLOOKUP(source[[#This Row],[lending_product_transform]],[3]Mapping!$B$3:$D$37,3,0)</f>
        <v>cashloan</v>
      </c>
      <c r="I5029" s="135">
        <v>4892500000</v>
      </c>
    </row>
    <row r="5030" spans="1:9" x14ac:dyDescent="0.2">
      <c r="A5030" s="134">
        <v>45701</v>
      </c>
      <c r="B5030" s="135">
        <f>YEAR(source[[#This Row],[report_date]])</f>
        <v>2025</v>
      </c>
      <c r="C5030" s="128">
        <f t="shared" si="230"/>
        <v>2</v>
      </c>
      <c r="D5030" s="136">
        <f t="shared" si="232"/>
        <v>7</v>
      </c>
      <c r="E5030" s="136">
        <f t="shared" si="231"/>
        <v>13</v>
      </c>
      <c r="F5030" s="128" t="s">
        <v>24</v>
      </c>
      <c r="G5030" s="128" t="str">
        <f>VLOOKUP(source[[#This Row],[lending_product_transform]],[3]Mapping!$B$4:$C$37,2,0)</f>
        <v>[Cake] - Cashloan</v>
      </c>
      <c r="H5030" s="128" t="str">
        <f>VLOOKUP(source[[#This Row],[lending_product_transform]],[3]Mapping!$B$3:$D$37,3,0)</f>
        <v>cashloan</v>
      </c>
      <c r="I5030" s="135">
        <v>3247200579</v>
      </c>
    </row>
    <row r="5031" spans="1:9" x14ac:dyDescent="0.2">
      <c r="A5031" s="134">
        <v>45701</v>
      </c>
      <c r="B5031" s="135">
        <f>YEAR(source[[#This Row],[report_date]])</f>
        <v>2025</v>
      </c>
      <c r="C5031" s="128">
        <f t="shared" si="230"/>
        <v>2</v>
      </c>
      <c r="D5031" s="136">
        <f t="shared" si="232"/>
        <v>7</v>
      </c>
      <c r="E5031" s="136">
        <f t="shared" si="231"/>
        <v>13</v>
      </c>
      <c r="F5031" s="128" t="s">
        <v>24</v>
      </c>
      <c r="G5031" s="128" t="str">
        <f>VLOOKUP(source[[#This Row],[lending_product_transform]],[3]Mapping!$B$4:$C$37,2,0)</f>
        <v>[Cake] - Cashloan</v>
      </c>
      <c r="H5031" s="128" t="str">
        <f>VLOOKUP(source[[#This Row],[lending_product_transform]],[3]Mapping!$B$3:$D$37,3,0)</f>
        <v>cashloan</v>
      </c>
      <c r="I5031" s="135">
        <v>389227378</v>
      </c>
    </row>
    <row r="5032" spans="1:9" x14ac:dyDescent="0.2">
      <c r="A5032" s="134">
        <v>45702</v>
      </c>
      <c r="B5032" s="135">
        <f>YEAR(source[[#This Row],[report_date]])</f>
        <v>2025</v>
      </c>
      <c r="C5032" s="128">
        <f t="shared" si="230"/>
        <v>2</v>
      </c>
      <c r="D5032" s="136">
        <f t="shared" si="232"/>
        <v>7</v>
      </c>
      <c r="E5032" s="136">
        <f t="shared" si="231"/>
        <v>14</v>
      </c>
      <c r="F5032" s="128" t="s">
        <v>24</v>
      </c>
      <c r="G5032" s="128" t="str">
        <f>VLOOKUP(source[[#This Row],[lending_product_transform]],[3]Mapping!$B$4:$C$37,2,0)</f>
        <v>[Cake] - Cashloan</v>
      </c>
      <c r="H5032" s="128" t="str">
        <f>VLOOKUP(source[[#This Row],[lending_product_transform]],[3]Mapping!$B$3:$D$37,3,0)</f>
        <v>cashloan</v>
      </c>
      <c r="I5032" s="135">
        <v>5389500000</v>
      </c>
    </row>
    <row r="5033" spans="1:9" x14ac:dyDescent="0.2">
      <c r="A5033" s="134">
        <v>45702</v>
      </c>
      <c r="B5033" s="135">
        <f>YEAR(source[[#This Row],[report_date]])</f>
        <v>2025</v>
      </c>
      <c r="C5033" s="128">
        <f t="shared" si="230"/>
        <v>2</v>
      </c>
      <c r="D5033" s="136">
        <f t="shared" si="232"/>
        <v>7</v>
      </c>
      <c r="E5033" s="136">
        <f t="shared" si="231"/>
        <v>14</v>
      </c>
      <c r="F5033" s="128" t="s">
        <v>24</v>
      </c>
      <c r="G5033" s="128" t="str">
        <f>VLOOKUP(source[[#This Row],[lending_product_transform]],[3]Mapping!$B$4:$C$37,2,0)</f>
        <v>[Cake] - Cashloan</v>
      </c>
      <c r="H5033" s="128" t="str">
        <f>VLOOKUP(source[[#This Row],[lending_product_transform]],[3]Mapping!$B$3:$D$37,3,0)</f>
        <v>cashloan</v>
      </c>
      <c r="I5033" s="135">
        <v>0</v>
      </c>
    </row>
    <row r="5034" spans="1:9" x14ac:dyDescent="0.2">
      <c r="A5034" s="134">
        <v>45702</v>
      </c>
      <c r="B5034" s="135">
        <f>YEAR(source[[#This Row],[report_date]])</f>
        <v>2025</v>
      </c>
      <c r="C5034" s="128">
        <f t="shared" si="230"/>
        <v>2</v>
      </c>
      <c r="D5034" s="136">
        <f t="shared" si="232"/>
        <v>7</v>
      </c>
      <c r="E5034" s="136">
        <f t="shared" si="231"/>
        <v>14</v>
      </c>
      <c r="F5034" s="128" t="s">
        <v>24</v>
      </c>
      <c r="G5034" s="128" t="str">
        <f>VLOOKUP(source[[#This Row],[lending_product_transform]],[3]Mapping!$B$4:$C$37,2,0)</f>
        <v>[Cake] - Cashloan</v>
      </c>
      <c r="H5034" s="128" t="str">
        <f>VLOOKUP(source[[#This Row],[lending_product_transform]],[3]Mapping!$B$3:$D$37,3,0)</f>
        <v>cashloan</v>
      </c>
      <c r="I5034" s="135">
        <v>0</v>
      </c>
    </row>
    <row r="5035" spans="1:9" x14ac:dyDescent="0.2">
      <c r="A5035" s="134">
        <v>45702</v>
      </c>
      <c r="B5035" s="135">
        <f>YEAR(source[[#This Row],[report_date]])</f>
        <v>2025</v>
      </c>
      <c r="C5035" s="128">
        <f t="shared" si="230"/>
        <v>2</v>
      </c>
      <c r="D5035" s="136">
        <f t="shared" si="232"/>
        <v>7</v>
      </c>
      <c r="E5035" s="136">
        <f t="shared" si="231"/>
        <v>14</v>
      </c>
      <c r="F5035" s="128" t="s">
        <v>24</v>
      </c>
      <c r="G5035" s="128" t="str">
        <f>VLOOKUP(source[[#This Row],[lending_product_transform]],[3]Mapping!$B$4:$C$37,2,0)</f>
        <v>[Cake] - Cashloan</v>
      </c>
      <c r="H5035" s="128" t="str">
        <f>VLOOKUP(source[[#This Row],[lending_product_transform]],[3]Mapping!$B$3:$D$37,3,0)</f>
        <v>cashloan</v>
      </c>
      <c r="I5035" s="135">
        <v>4791360000</v>
      </c>
    </row>
    <row r="5036" spans="1:9" x14ac:dyDescent="0.2">
      <c r="A5036" s="134">
        <v>45702</v>
      </c>
      <c r="B5036" s="135">
        <f>YEAR(source[[#This Row],[report_date]])</f>
        <v>2025</v>
      </c>
      <c r="C5036" s="128">
        <f t="shared" si="230"/>
        <v>2</v>
      </c>
      <c r="D5036" s="136">
        <f t="shared" si="232"/>
        <v>7</v>
      </c>
      <c r="E5036" s="136">
        <f t="shared" si="231"/>
        <v>14</v>
      </c>
      <c r="F5036" s="128" t="s">
        <v>24</v>
      </c>
      <c r="G5036" s="128" t="str">
        <f>VLOOKUP(source[[#This Row],[lending_product_transform]],[3]Mapping!$B$4:$C$37,2,0)</f>
        <v>[Cake] - Cashloan</v>
      </c>
      <c r="H5036" s="128" t="str">
        <f>VLOOKUP(source[[#This Row],[lending_product_transform]],[3]Mapping!$B$3:$D$37,3,0)</f>
        <v>cashloan</v>
      </c>
      <c r="I5036" s="135">
        <v>4836380000</v>
      </c>
    </row>
    <row r="5037" spans="1:9" x14ac:dyDescent="0.2">
      <c r="A5037" s="134">
        <v>45702</v>
      </c>
      <c r="B5037" s="135">
        <f>YEAR(source[[#This Row],[report_date]])</f>
        <v>2025</v>
      </c>
      <c r="C5037" s="128">
        <f t="shared" si="230"/>
        <v>2</v>
      </c>
      <c r="D5037" s="136">
        <f t="shared" si="232"/>
        <v>7</v>
      </c>
      <c r="E5037" s="136">
        <f t="shared" si="231"/>
        <v>14</v>
      </c>
      <c r="F5037" s="128" t="s">
        <v>24</v>
      </c>
      <c r="G5037" s="128" t="str">
        <f>VLOOKUP(source[[#This Row],[lending_product_transform]],[3]Mapping!$B$4:$C$37,2,0)</f>
        <v>[Cake] - Cashloan</v>
      </c>
      <c r="H5037" s="128" t="str">
        <f>VLOOKUP(source[[#This Row],[lending_product_transform]],[3]Mapping!$B$3:$D$37,3,0)</f>
        <v>cashloan</v>
      </c>
      <c r="I5037" s="135">
        <v>3733702520</v>
      </c>
    </row>
    <row r="5038" spans="1:9" x14ac:dyDescent="0.2">
      <c r="A5038" s="134">
        <v>45702</v>
      </c>
      <c r="B5038" s="135">
        <f>YEAR(source[[#This Row],[report_date]])</f>
        <v>2025</v>
      </c>
      <c r="C5038" s="128">
        <f t="shared" si="230"/>
        <v>2</v>
      </c>
      <c r="D5038" s="136">
        <f t="shared" si="232"/>
        <v>7</v>
      </c>
      <c r="E5038" s="136">
        <f t="shared" si="231"/>
        <v>14</v>
      </c>
      <c r="F5038" s="128" t="s">
        <v>24</v>
      </c>
      <c r="G5038" s="128" t="str">
        <f>VLOOKUP(source[[#This Row],[lending_product_transform]],[3]Mapping!$B$4:$C$37,2,0)</f>
        <v>[Cake] - Cashloan</v>
      </c>
      <c r="H5038" s="128" t="str">
        <f>VLOOKUP(source[[#This Row],[lending_product_transform]],[3]Mapping!$B$3:$D$37,3,0)</f>
        <v>cashloan</v>
      </c>
      <c r="I5038" s="135">
        <v>84000000</v>
      </c>
    </row>
    <row r="5039" spans="1:9" x14ac:dyDescent="0.2">
      <c r="A5039" s="134">
        <v>45702</v>
      </c>
      <c r="B5039" s="135">
        <f>YEAR(source[[#This Row],[report_date]])</f>
        <v>2025</v>
      </c>
      <c r="C5039" s="128">
        <f t="shared" si="230"/>
        <v>2</v>
      </c>
      <c r="D5039" s="136">
        <f t="shared" si="232"/>
        <v>7</v>
      </c>
      <c r="E5039" s="136">
        <f t="shared" si="231"/>
        <v>14</v>
      </c>
      <c r="F5039" s="128" t="s">
        <v>24</v>
      </c>
      <c r="G5039" s="128" t="str">
        <f>VLOOKUP(source[[#This Row],[lending_product_transform]],[3]Mapping!$B$4:$C$37,2,0)</f>
        <v>[Cake] - Cashloan</v>
      </c>
      <c r="H5039" s="128" t="str">
        <f>VLOOKUP(source[[#This Row],[lending_product_transform]],[3]Mapping!$B$3:$D$37,3,0)</f>
        <v>cashloan</v>
      </c>
      <c r="I5039" s="135">
        <v>18000000</v>
      </c>
    </row>
    <row r="5040" spans="1:9" x14ac:dyDescent="0.2">
      <c r="A5040" s="134">
        <v>45702</v>
      </c>
      <c r="B5040" s="135">
        <f>YEAR(source[[#This Row],[report_date]])</f>
        <v>2025</v>
      </c>
      <c r="C5040" s="128">
        <f t="shared" si="230"/>
        <v>2</v>
      </c>
      <c r="D5040" s="136">
        <f t="shared" si="232"/>
        <v>7</v>
      </c>
      <c r="E5040" s="136">
        <f t="shared" si="231"/>
        <v>14</v>
      </c>
      <c r="F5040" s="128" t="s">
        <v>24</v>
      </c>
      <c r="G5040" s="128" t="str">
        <f>VLOOKUP(source[[#This Row],[lending_product_transform]],[3]Mapping!$B$4:$C$37,2,0)</f>
        <v>[Cake] - Cashloan</v>
      </c>
      <c r="H5040" s="128" t="str">
        <f>VLOOKUP(source[[#This Row],[lending_product_transform]],[3]Mapping!$B$3:$D$37,3,0)</f>
        <v>cashloan</v>
      </c>
      <c r="I5040" s="135">
        <v>17074519</v>
      </c>
    </row>
    <row r="5041" spans="1:9" x14ac:dyDescent="0.2">
      <c r="A5041" s="134">
        <v>45702</v>
      </c>
      <c r="B5041" s="135">
        <f>YEAR(source[[#This Row],[report_date]])</f>
        <v>2025</v>
      </c>
      <c r="C5041" s="128">
        <f t="shared" si="230"/>
        <v>2</v>
      </c>
      <c r="D5041" s="136">
        <f t="shared" si="232"/>
        <v>7</v>
      </c>
      <c r="E5041" s="136">
        <f t="shared" si="231"/>
        <v>14</v>
      </c>
      <c r="F5041" s="128" t="s">
        <v>24</v>
      </c>
      <c r="G5041" s="128" t="str">
        <f>VLOOKUP(source[[#This Row],[lending_product_transform]],[3]Mapping!$B$4:$C$37,2,0)</f>
        <v>[Cake] - Cashloan</v>
      </c>
      <c r="H5041" s="128" t="str">
        <f>VLOOKUP(source[[#This Row],[lending_product_transform]],[3]Mapping!$B$3:$D$37,3,0)</f>
        <v>cashloan</v>
      </c>
      <c r="I5041" s="135">
        <v>771213000</v>
      </c>
    </row>
    <row r="5042" spans="1:9" x14ac:dyDescent="0.2">
      <c r="A5042" s="134">
        <v>45702</v>
      </c>
      <c r="B5042" s="135">
        <f>YEAR(source[[#This Row],[report_date]])</f>
        <v>2025</v>
      </c>
      <c r="C5042" s="128">
        <f t="shared" ref="C5042:C5105" si="233">MONTH(A5042)</f>
        <v>2</v>
      </c>
      <c r="D5042" s="136">
        <f t="shared" si="232"/>
        <v>7</v>
      </c>
      <c r="E5042" s="136">
        <f t="shared" ref="E5042:E5105" si="234">DAY(A5042)</f>
        <v>14</v>
      </c>
      <c r="F5042" s="128" t="s">
        <v>24</v>
      </c>
      <c r="G5042" s="128" t="str">
        <f>VLOOKUP(source[[#This Row],[lending_product_transform]],[3]Mapping!$B$4:$C$37,2,0)</f>
        <v>[Cake] - Cashloan</v>
      </c>
      <c r="H5042" s="128" t="str">
        <f>VLOOKUP(source[[#This Row],[lending_product_transform]],[3]Mapping!$B$3:$D$37,3,0)</f>
        <v>cashloan</v>
      </c>
      <c r="I5042" s="135">
        <v>0</v>
      </c>
    </row>
    <row r="5043" spans="1:9" x14ac:dyDescent="0.2">
      <c r="A5043" s="134">
        <v>45702</v>
      </c>
      <c r="B5043" s="135">
        <f>YEAR(source[[#This Row],[report_date]])</f>
        <v>2025</v>
      </c>
      <c r="C5043" s="128">
        <f t="shared" si="233"/>
        <v>2</v>
      </c>
      <c r="D5043" s="136">
        <f t="shared" si="232"/>
        <v>7</v>
      </c>
      <c r="E5043" s="136">
        <f t="shared" si="234"/>
        <v>14</v>
      </c>
      <c r="F5043" s="128" t="s">
        <v>24</v>
      </c>
      <c r="G5043" s="128" t="str">
        <f>VLOOKUP(source[[#This Row],[lending_product_transform]],[3]Mapping!$B$4:$C$37,2,0)</f>
        <v>[Cake] - Cashloan</v>
      </c>
      <c r="H5043" s="128" t="str">
        <f>VLOOKUP(source[[#This Row],[lending_product_transform]],[3]Mapping!$B$3:$D$37,3,0)</f>
        <v>cashloan</v>
      </c>
      <c r="I5043" s="135">
        <v>0</v>
      </c>
    </row>
    <row r="5044" spans="1:9" x14ac:dyDescent="0.2">
      <c r="A5044" s="134">
        <v>45702</v>
      </c>
      <c r="B5044" s="135">
        <f>YEAR(source[[#This Row],[report_date]])</f>
        <v>2025</v>
      </c>
      <c r="C5044" s="128">
        <f t="shared" si="233"/>
        <v>2</v>
      </c>
      <c r="D5044" s="136">
        <f t="shared" si="232"/>
        <v>7</v>
      </c>
      <c r="E5044" s="136">
        <f t="shared" si="234"/>
        <v>14</v>
      </c>
      <c r="F5044" s="128" t="s">
        <v>24</v>
      </c>
      <c r="G5044" s="128" t="str">
        <f>VLOOKUP(source[[#This Row],[lending_product_transform]],[3]Mapping!$B$4:$C$37,2,0)</f>
        <v>[Cake] - Cashloan</v>
      </c>
      <c r="H5044" s="128" t="str">
        <f>VLOOKUP(source[[#This Row],[lending_product_transform]],[3]Mapping!$B$3:$D$37,3,0)</f>
        <v>cashloan</v>
      </c>
      <c r="I5044" s="135">
        <v>268830780</v>
      </c>
    </row>
    <row r="5045" spans="1:9" x14ac:dyDescent="0.2">
      <c r="A5045" s="134">
        <v>45702</v>
      </c>
      <c r="B5045" s="135">
        <f>YEAR(source[[#This Row],[report_date]])</f>
        <v>2025</v>
      </c>
      <c r="C5045" s="128">
        <f t="shared" si="233"/>
        <v>2</v>
      </c>
      <c r="D5045" s="136">
        <f t="shared" si="232"/>
        <v>7</v>
      </c>
      <c r="E5045" s="136">
        <f t="shared" si="234"/>
        <v>14</v>
      </c>
      <c r="F5045" s="128" t="s">
        <v>24</v>
      </c>
      <c r="G5045" s="128" t="str">
        <f>VLOOKUP(source[[#This Row],[lending_product_transform]],[3]Mapping!$B$4:$C$37,2,0)</f>
        <v>[Cake] - Cashloan</v>
      </c>
      <c r="H5045" s="128" t="str">
        <f>VLOOKUP(source[[#This Row],[lending_product_transform]],[3]Mapping!$B$3:$D$37,3,0)</f>
        <v>cashloan</v>
      </c>
      <c r="I5045" s="135">
        <v>0</v>
      </c>
    </row>
    <row r="5046" spans="1:9" x14ac:dyDescent="0.2">
      <c r="A5046" s="134">
        <v>45702</v>
      </c>
      <c r="B5046" s="135">
        <f>YEAR(source[[#This Row],[report_date]])</f>
        <v>2025</v>
      </c>
      <c r="C5046" s="128">
        <f t="shared" si="233"/>
        <v>2</v>
      </c>
      <c r="D5046" s="136">
        <f t="shared" si="232"/>
        <v>7</v>
      </c>
      <c r="E5046" s="136">
        <f t="shared" si="234"/>
        <v>14</v>
      </c>
      <c r="F5046" s="128" t="s">
        <v>24</v>
      </c>
      <c r="G5046" s="128" t="str">
        <f>VLOOKUP(source[[#This Row],[lending_product_transform]],[3]Mapping!$B$4:$C$37,2,0)</f>
        <v>[Cake] - Cashloan</v>
      </c>
      <c r="H5046" s="128" t="str">
        <f>VLOOKUP(source[[#This Row],[lending_product_transform]],[3]Mapping!$B$3:$D$37,3,0)</f>
        <v>cashloan</v>
      </c>
      <c r="I5046" s="135">
        <v>524150000</v>
      </c>
    </row>
    <row r="5047" spans="1:9" x14ac:dyDescent="0.2">
      <c r="A5047" s="134">
        <v>45702</v>
      </c>
      <c r="B5047" s="135">
        <f>YEAR(source[[#This Row],[report_date]])</f>
        <v>2025</v>
      </c>
      <c r="C5047" s="128">
        <f t="shared" si="233"/>
        <v>2</v>
      </c>
      <c r="D5047" s="136">
        <f t="shared" si="232"/>
        <v>7</v>
      </c>
      <c r="E5047" s="136">
        <f t="shared" si="234"/>
        <v>14</v>
      </c>
      <c r="F5047" s="128" t="s">
        <v>24</v>
      </c>
      <c r="G5047" s="128" t="str">
        <f>VLOOKUP(source[[#This Row],[lending_product_transform]],[3]Mapping!$B$4:$C$37,2,0)</f>
        <v>[Cake] - Cashloan</v>
      </c>
      <c r="H5047" s="128" t="str">
        <f>VLOOKUP(source[[#This Row],[lending_product_transform]],[3]Mapping!$B$3:$D$37,3,0)</f>
        <v>cashloan</v>
      </c>
      <c r="I5047" s="135">
        <v>0</v>
      </c>
    </row>
    <row r="5048" spans="1:9" x14ac:dyDescent="0.2">
      <c r="A5048" s="134">
        <v>45702</v>
      </c>
      <c r="B5048" s="135">
        <f>YEAR(source[[#This Row],[report_date]])</f>
        <v>2025</v>
      </c>
      <c r="C5048" s="128">
        <f t="shared" si="233"/>
        <v>2</v>
      </c>
      <c r="D5048" s="136">
        <f t="shared" si="232"/>
        <v>7</v>
      </c>
      <c r="E5048" s="136">
        <f t="shared" si="234"/>
        <v>14</v>
      </c>
      <c r="F5048" s="128" t="s">
        <v>24</v>
      </c>
      <c r="G5048" s="128" t="str">
        <f>VLOOKUP(source[[#This Row],[lending_product_transform]],[3]Mapping!$B$4:$C$37,2,0)</f>
        <v>[Cake] - Cashloan</v>
      </c>
      <c r="H5048" s="128" t="str">
        <f>VLOOKUP(source[[#This Row],[lending_product_transform]],[3]Mapping!$B$3:$D$37,3,0)</f>
        <v>cashloan</v>
      </c>
      <c r="I5048" s="135">
        <v>235630310</v>
      </c>
    </row>
    <row r="5049" spans="1:9" x14ac:dyDescent="0.2">
      <c r="A5049" s="134">
        <v>45702</v>
      </c>
      <c r="B5049" s="135">
        <f>YEAR(source[[#This Row],[report_date]])</f>
        <v>2025</v>
      </c>
      <c r="C5049" s="128">
        <f t="shared" si="233"/>
        <v>2</v>
      </c>
      <c r="D5049" s="136">
        <f t="shared" si="232"/>
        <v>7</v>
      </c>
      <c r="E5049" s="136">
        <f t="shared" si="234"/>
        <v>14</v>
      </c>
      <c r="F5049" s="128" t="s">
        <v>24</v>
      </c>
      <c r="G5049" s="128" t="str">
        <f>VLOOKUP(source[[#This Row],[lending_product_transform]],[3]Mapping!$B$4:$C$37,2,0)</f>
        <v>[Cake] - Cashloan</v>
      </c>
      <c r="H5049" s="128" t="str">
        <f>VLOOKUP(source[[#This Row],[lending_product_transform]],[3]Mapping!$B$3:$D$37,3,0)</f>
        <v>cashloan</v>
      </c>
      <c r="I5049" s="135">
        <v>247160000</v>
      </c>
    </row>
    <row r="5050" spans="1:9" x14ac:dyDescent="0.2">
      <c r="A5050" s="134">
        <v>45702</v>
      </c>
      <c r="B5050" s="135">
        <f>YEAR(source[[#This Row],[report_date]])</f>
        <v>2025</v>
      </c>
      <c r="C5050" s="128">
        <f t="shared" si="233"/>
        <v>2</v>
      </c>
      <c r="D5050" s="136">
        <f t="shared" si="232"/>
        <v>7</v>
      </c>
      <c r="E5050" s="136">
        <f t="shared" si="234"/>
        <v>14</v>
      </c>
      <c r="F5050" s="128" t="s">
        <v>24</v>
      </c>
      <c r="G5050" s="128" t="str">
        <f>VLOOKUP(source[[#This Row],[lending_product_transform]],[3]Mapping!$B$4:$C$37,2,0)</f>
        <v>[Cake] - Cashloan</v>
      </c>
      <c r="H5050" s="128" t="str">
        <f>VLOOKUP(source[[#This Row],[lending_product_transform]],[3]Mapping!$B$3:$D$37,3,0)</f>
        <v>cashloan</v>
      </c>
      <c r="I5050" s="135">
        <v>405691719</v>
      </c>
    </row>
    <row r="5051" spans="1:9" x14ac:dyDescent="0.2">
      <c r="A5051" s="134">
        <v>45703</v>
      </c>
      <c r="B5051" s="135">
        <f>YEAR(source[[#This Row],[report_date]])</f>
        <v>2025</v>
      </c>
      <c r="C5051" s="128">
        <f t="shared" si="233"/>
        <v>2</v>
      </c>
      <c r="D5051" s="136">
        <f t="shared" si="232"/>
        <v>7</v>
      </c>
      <c r="E5051" s="136">
        <f t="shared" si="234"/>
        <v>15</v>
      </c>
      <c r="F5051" s="128" t="s">
        <v>24</v>
      </c>
      <c r="G5051" s="128" t="str">
        <f>VLOOKUP(source[[#This Row],[lending_product_transform]],[3]Mapping!$B$4:$C$37,2,0)</f>
        <v>[Cake] - Cashloan</v>
      </c>
      <c r="H5051" s="128" t="str">
        <f>VLOOKUP(source[[#This Row],[lending_product_transform]],[3]Mapping!$B$3:$D$37,3,0)</f>
        <v>cashloan</v>
      </c>
      <c r="I5051" s="135">
        <v>0</v>
      </c>
    </row>
    <row r="5052" spans="1:9" x14ac:dyDescent="0.2">
      <c r="A5052" s="134">
        <v>45703</v>
      </c>
      <c r="B5052" s="135">
        <f>YEAR(source[[#This Row],[report_date]])</f>
        <v>2025</v>
      </c>
      <c r="C5052" s="128">
        <f t="shared" si="233"/>
        <v>2</v>
      </c>
      <c r="D5052" s="136">
        <f t="shared" si="232"/>
        <v>7</v>
      </c>
      <c r="E5052" s="136">
        <f t="shared" si="234"/>
        <v>15</v>
      </c>
      <c r="F5052" s="128" t="s">
        <v>24</v>
      </c>
      <c r="G5052" s="128" t="str">
        <f>VLOOKUP(source[[#This Row],[lending_product_transform]],[3]Mapping!$B$4:$C$37,2,0)</f>
        <v>[Cake] - Cashloan</v>
      </c>
      <c r="H5052" s="128" t="str">
        <f>VLOOKUP(source[[#This Row],[lending_product_transform]],[3]Mapping!$B$3:$D$37,3,0)</f>
        <v>cashloan</v>
      </c>
      <c r="I5052" s="135">
        <v>14426241</v>
      </c>
    </row>
    <row r="5053" spans="1:9" x14ac:dyDescent="0.2">
      <c r="A5053" s="134">
        <v>45703</v>
      </c>
      <c r="B5053" s="135">
        <f>YEAR(source[[#This Row],[report_date]])</f>
        <v>2025</v>
      </c>
      <c r="C5053" s="128">
        <f t="shared" si="233"/>
        <v>2</v>
      </c>
      <c r="D5053" s="136">
        <f t="shared" si="232"/>
        <v>7</v>
      </c>
      <c r="E5053" s="136">
        <f t="shared" si="234"/>
        <v>15</v>
      </c>
      <c r="F5053" s="128" t="s">
        <v>24</v>
      </c>
      <c r="G5053" s="128" t="str">
        <f>VLOOKUP(source[[#This Row],[lending_product_transform]],[3]Mapping!$B$4:$C$37,2,0)</f>
        <v>[Cake] - Cashloan</v>
      </c>
      <c r="H5053" s="128" t="str">
        <f>VLOOKUP(source[[#This Row],[lending_product_transform]],[3]Mapping!$B$3:$D$37,3,0)</f>
        <v>cashloan</v>
      </c>
      <c r="I5053" s="135">
        <v>359070000</v>
      </c>
    </row>
    <row r="5054" spans="1:9" x14ac:dyDescent="0.2">
      <c r="A5054" s="134">
        <v>45703</v>
      </c>
      <c r="B5054" s="135">
        <f>YEAR(source[[#This Row],[report_date]])</f>
        <v>2025</v>
      </c>
      <c r="C5054" s="128">
        <f t="shared" si="233"/>
        <v>2</v>
      </c>
      <c r="D5054" s="136">
        <f t="shared" si="232"/>
        <v>7</v>
      </c>
      <c r="E5054" s="136">
        <f t="shared" si="234"/>
        <v>15</v>
      </c>
      <c r="F5054" s="128" t="s">
        <v>24</v>
      </c>
      <c r="G5054" s="128" t="str">
        <f>VLOOKUP(source[[#This Row],[lending_product_transform]],[3]Mapping!$B$4:$C$37,2,0)</f>
        <v>[Cake] - Cashloan</v>
      </c>
      <c r="H5054" s="128" t="str">
        <f>VLOOKUP(source[[#This Row],[lending_product_transform]],[3]Mapping!$B$3:$D$37,3,0)</f>
        <v>cashloan</v>
      </c>
      <c r="I5054" s="135">
        <v>0</v>
      </c>
    </row>
    <row r="5055" spans="1:9" x14ac:dyDescent="0.2">
      <c r="A5055" s="134">
        <v>45703</v>
      </c>
      <c r="B5055" s="135">
        <f>YEAR(source[[#This Row],[report_date]])</f>
        <v>2025</v>
      </c>
      <c r="C5055" s="128">
        <f t="shared" si="233"/>
        <v>2</v>
      </c>
      <c r="D5055" s="136">
        <f t="shared" si="232"/>
        <v>7</v>
      </c>
      <c r="E5055" s="136">
        <f t="shared" si="234"/>
        <v>15</v>
      </c>
      <c r="F5055" s="128" t="s">
        <v>24</v>
      </c>
      <c r="G5055" s="128" t="str">
        <f>VLOOKUP(source[[#This Row],[lending_product_transform]],[3]Mapping!$B$4:$C$37,2,0)</f>
        <v>[Cake] - Cashloan</v>
      </c>
      <c r="H5055" s="128" t="str">
        <f>VLOOKUP(source[[#This Row],[lending_product_transform]],[3]Mapping!$B$3:$D$37,3,0)</f>
        <v>cashloan</v>
      </c>
      <c r="I5055" s="135">
        <v>369640078</v>
      </c>
    </row>
    <row r="5056" spans="1:9" x14ac:dyDescent="0.2">
      <c r="A5056" s="134">
        <v>45703</v>
      </c>
      <c r="B5056" s="135">
        <f>YEAR(source[[#This Row],[report_date]])</f>
        <v>2025</v>
      </c>
      <c r="C5056" s="128">
        <f t="shared" si="233"/>
        <v>2</v>
      </c>
      <c r="D5056" s="136">
        <f t="shared" si="232"/>
        <v>7</v>
      </c>
      <c r="E5056" s="136">
        <f t="shared" si="234"/>
        <v>15</v>
      </c>
      <c r="F5056" s="128" t="s">
        <v>24</v>
      </c>
      <c r="G5056" s="128" t="str">
        <f>VLOOKUP(source[[#This Row],[lending_product_transform]],[3]Mapping!$B$4:$C$37,2,0)</f>
        <v>[Cake] - Cashloan</v>
      </c>
      <c r="H5056" s="128" t="str">
        <f>VLOOKUP(source[[#This Row],[lending_product_transform]],[3]Mapping!$B$3:$D$37,3,0)</f>
        <v>cashloan</v>
      </c>
      <c r="I5056" s="135">
        <v>0</v>
      </c>
    </row>
    <row r="5057" spans="1:9" x14ac:dyDescent="0.2">
      <c r="A5057" s="134">
        <v>45703</v>
      </c>
      <c r="B5057" s="135">
        <f>YEAR(source[[#This Row],[report_date]])</f>
        <v>2025</v>
      </c>
      <c r="C5057" s="128">
        <f t="shared" si="233"/>
        <v>2</v>
      </c>
      <c r="D5057" s="136">
        <f t="shared" si="232"/>
        <v>7</v>
      </c>
      <c r="E5057" s="136">
        <f t="shared" si="234"/>
        <v>15</v>
      </c>
      <c r="F5057" s="128" t="s">
        <v>24</v>
      </c>
      <c r="G5057" s="128" t="str">
        <f>VLOOKUP(source[[#This Row],[lending_product_transform]],[3]Mapping!$B$4:$C$37,2,0)</f>
        <v>[Cake] - Cashloan</v>
      </c>
      <c r="H5057" s="128" t="str">
        <f>VLOOKUP(source[[#This Row],[lending_product_transform]],[3]Mapping!$B$3:$D$37,3,0)</f>
        <v>cashloan</v>
      </c>
      <c r="I5057" s="135">
        <v>64000000</v>
      </c>
    </row>
    <row r="5058" spans="1:9" x14ac:dyDescent="0.2">
      <c r="A5058" s="134">
        <v>45703</v>
      </c>
      <c r="B5058" s="135">
        <f>YEAR(source[[#This Row],[report_date]])</f>
        <v>2025</v>
      </c>
      <c r="C5058" s="128">
        <f t="shared" si="233"/>
        <v>2</v>
      </c>
      <c r="D5058" s="136">
        <f t="shared" si="232"/>
        <v>7</v>
      </c>
      <c r="E5058" s="136">
        <f t="shared" si="234"/>
        <v>15</v>
      </c>
      <c r="F5058" s="128" t="s">
        <v>24</v>
      </c>
      <c r="G5058" s="128" t="str">
        <f>VLOOKUP(source[[#This Row],[lending_product_transform]],[3]Mapping!$B$4:$C$37,2,0)</f>
        <v>[Cake] - Cashloan</v>
      </c>
      <c r="H5058" s="128" t="str">
        <f>VLOOKUP(source[[#This Row],[lending_product_transform]],[3]Mapping!$B$3:$D$37,3,0)</f>
        <v>cashloan</v>
      </c>
      <c r="I5058" s="135">
        <v>0</v>
      </c>
    </row>
    <row r="5059" spans="1:9" x14ac:dyDescent="0.2">
      <c r="A5059" s="134">
        <v>45703</v>
      </c>
      <c r="B5059" s="135">
        <f>YEAR(source[[#This Row],[report_date]])</f>
        <v>2025</v>
      </c>
      <c r="C5059" s="128">
        <f t="shared" si="233"/>
        <v>2</v>
      </c>
      <c r="D5059" s="136">
        <f t="shared" ref="D5059:D5122" si="235">WEEKNUM(A5059,2)</f>
        <v>7</v>
      </c>
      <c r="E5059" s="136">
        <f t="shared" si="234"/>
        <v>15</v>
      </c>
      <c r="F5059" s="128" t="s">
        <v>24</v>
      </c>
      <c r="G5059" s="128" t="str">
        <f>VLOOKUP(source[[#This Row],[lending_product_transform]],[3]Mapping!$B$4:$C$37,2,0)</f>
        <v>[Cake] - Cashloan</v>
      </c>
      <c r="H5059" s="128" t="str">
        <f>VLOOKUP(source[[#This Row],[lending_product_transform]],[3]Mapping!$B$3:$D$37,3,0)</f>
        <v>cashloan</v>
      </c>
      <c r="I5059" s="135">
        <v>31500000</v>
      </c>
    </row>
    <row r="5060" spans="1:9" x14ac:dyDescent="0.2">
      <c r="A5060" s="134">
        <v>45703</v>
      </c>
      <c r="B5060" s="135">
        <f>YEAR(source[[#This Row],[report_date]])</f>
        <v>2025</v>
      </c>
      <c r="C5060" s="128">
        <f t="shared" si="233"/>
        <v>2</v>
      </c>
      <c r="D5060" s="136">
        <f t="shared" si="235"/>
        <v>7</v>
      </c>
      <c r="E5060" s="136">
        <f t="shared" si="234"/>
        <v>15</v>
      </c>
      <c r="F5060" s="128" t="s">
        <v>24</v>
      </c>
      <c r="G5060" s="128" t="str">
        <f>VLOOKUP(source[[#This Row],[lending_product_transform]],[3]Mapping!$B$4:$C$37,2,0)</f>
        <v>[Cake] - Cashloan</v>
      </c>
      <c r="H5060" s="128" t="str">
        <f>VLOOKUP(source[[#This Row],[lending_product_transform]],[3]Mapping!$B$3:$D$37,3,0)</f>
        <v>cashloan</v>
      </c>
      <c r="I5060" s="135">
        <v>1065398000</v>
      </c>
    </row>
    <row r="5061" spans="1:9" x14ac:dyDescent="0.2">
      <c r="A5061" s="134">
        <v>45703</v>
      </c>
      <c r="B5061" s="135">
        <f>YEAR(source[[#This Row],[report_date]])</f>
        <v>2025</v>
      </c>
      <c r="C5061" s="128">
        <f t="shared" si="233"/>
        <v>2</v>
      </c>
      <c r="D5061" s="136">
        <f t="shared" si="235"/>
        <v>7</v>
      </c>
      <c r="E5061" s="136">
        <f t="shared" si="234"/>
        <v>15</v>
      </c>
      <c r="F5061" s="128" t="s">
        <v>24</v>
      </c>
      <c r="G5061" s="128" t="str">
        <f>VLOOKUP(source[[#This Row],[lending_product_transform]],[3]Mapping!$B$4:$C$37,2,0)</f>
        <v>[Cake] - Cashloan</v>
      </c>
      <c r="H5061" s="128" t="str">
        <f>VLOOKUP(source[[#This Row],[lending_product_transform]],[3]Mapping!$B$3:$D$37,3,0)</f>
        <v>cashloan</v>
      </c>
      <c r="I5061" s="135">
        <v>313110000</v>
      </c>
    </row>
    <row r="5062" spans="1:9" x14ac:dyDescent="0.2">
      <c r="A5062" s="134">
        <v>45703</v>
      </c>
      <c r="B5062" s="135">
        <f>YEAR(source[[#This Row],[report_date]])</f>
        <v>2025</v>
      </c>
      <c r="C5062" s="128">
        <f t="shared" si="233"/>
        <v>2</v>
      </c>
      <c r="D5062" s="136">
        <f t="shared" si="235"/>
        <v>7</v>
      </c>
      <c r="E5062" s="136">
        <f t="shared" si="234"/>
        <v>15</v>
      </c>
      <c r="F5062" s="128" t="s">
        <v>24</v>
      </c>
      <c r="G5062" s="128" t="str">
        <f>VLOOKUP(source[[#This Row],[lending_product_transform]],[3]Mapping!$B$4:$C$37,2,0)</f>
        <v>[Cake] - Cashloan</v>
      </c>
      <c r="H5062" s="128" t="str">
        <f>VLOOKUP(source[[#This Row],[lending_product_transform]],[3]Mapping!$B$3:$D$37,3,0)</f>
        <v>cashloan</v>
      </c>
      <c r="I5062" s="135">
        <v>38900000</v>
      </c>
    </row>
    <row r="5063" spans="1:9" x14ac:dyDescent="0.2">
      <c r="A5063" s="134">
        <v>45703</v>
      </c>
      <c r="B5063" s="135">
        <f>YEAR(source[[#This Row],[report_date]])</f>
        <v>2025</v>
      </c>
      <c r="C5063" s="128">
        <f t="shared" si="233"/>
        <v>2</v>
      </c>
      <c r="D5063" s="136">
        <f t="shared" si="235"/>
        <v>7</v>
      </c>
      <c r="E5063" s="136">
        <f t="shared" si="234"/>
        <v>15</v>
      </c>
      <c r="F5063" s="128" t="s">
        <v>24</v>
      </c>
      <c r="G5063" s="128" t="str">
        <f>VLOOKUP(source[[#This Row],[lending_product_transform]],[3]Mapping!$B$4:$C$37,2,0)</f>
        <v>[Cake] - Cashloan</v>
      </c>
      <c r="H5063" s="128" t="str">
        <f>VLOOKUP(source[[#This Row],[lending_product_transform]],[3]Mapping!$B$3:$D$37,3,0)</f>
        <v>cashloan</v>
      </c>
      <c r="I5063" s="135">
        <v>0</v>
      </c>
    </row>
    <row r="5064" spans="1:9" x14ac:dyDescent="0.2">
      <c r="A5064" s="134">
        <v>45703</v>
      </c>
      <c r="B5064" s="135">
        <f>YEAR(source[[#This Row],[report_date]])</f>
        <v>2025</v>
      </c>
      <c r="C5064" s="128">
        <f t="shared" si="233"/>
        <v>2</v>
      </c>
      <c r="D5064" s="136">
        <f t="shared" si="235"/>
        <v>7</v>
      </c>
      <c r="E5064" s="136">
        <f t="shared" si="234"/>
        <v>15</v>
      </c>
      <c r="F5064" s="128" t="s">
        <v>24</v>
      </c>
      <c r="G5064" s="128" t="str">
        <f>VLOOKUP(source[[#This Row],[lending_product_transform]],[3]Mapping!$B$4:$C$37,2,0)</f>
        <v>[Cake] - Cashloan</v>
      </c>
      <c r="H5064" s="128" t="str">
        <f>VLOOKUP(source[[#This Row],[lending_product_transform]],[3]Mapping!$B$3:$D$37,3,0)</f>
        <v>cashloan</v>
      </c>
      <c r="I5064" s="135">
        <v>201233782</v>
      </c>
    </row>
    <row r="5065" spans="1:9" x14ac:dyDescent="0.2">
      <c r="A5065" s="134">
        <v>45703</v>
      </c>
      <c r="B5065" s="135">
        <f>YEAR(source[[#This Row],[report_date]])</f>
        <v>2025</v>
      </c>
      <c r="C5065" s="128">
        <f t="shared" si="233"/>
        <v>2</v>
      </c>
      <c r="D5065" s="136">
        <f t="shared" si="235"/>
        <v>7</v>
      </c>
      <c r="E5065" s="136">
        <f t="shared" si="234"/>
        <v>15</v>
      </c>
      <c r="F5065" s="128" t="s">
        <v>24</v>
      </c>
      <c r="G5065" s="128" t="str">
        <f>VLOOKUP(source[[#This Row],[lending_product_transform]],[3]Mapping!$B$4:$C$37,2,0)</f>
        <v>[Cake] - Cashloan</v>
      </c>
      <c r="H5065" s="128" t="str">
        <f>VLOOKUP(source[[#This Row],[lending_product_transform]],[3]Mapping!$B$3:$D$37,3,0)</f>
        <v>cashloan</v>
      </c>
      <c r="I5065" s="135">
        <v>187028028</v>
      </c>
    </row>
    <row r="5066" spans="1:9" x14ac:dyDescent="0.2">
      <c r="A5066" s="134">
        <v>45703</v>
      </c>
      <c r="B5066" s="135">
        <f>YEAR(source[[#This Row],[report_date]])</f>
        <v>2025</v>
      </c>
      <c r="C5066" s="128">
        <f t="shared" si="233"/>
        <v>2</v>
      </c>
      <c r="D5066" s="136">
        <f t="shared" si="235"/>
        <v>7</v>
      </c>
      <c r="E5066" s="136">
        <f t="shared" si="234"/>
        <v>15</v>
      </c>
      <c r="F5066" s="128" t="s">
        <v>24</v>
      </c>
      <c r="G5066" s="128" t="str">
        <f>VLOOKUP(source[[#This Row],[lending_product_transform]],[3]Mapping!$B$4:$C$37,2,0)</f>
        <v>[Cake] - Cashloan</v>
      </c>
      <c r="H5066" s="128" t="str">
        <f>VLOOKUP(source[[#This Row],[lending_product_transform]],[3]Mapping!$B$3:$D$37,3,0)</f>
        <v>cashloan</v>
      </c>
      <c r="I5066" s="135">
        <v>3357485465</v>
      </c>
    </row>
    <row r="5067" spans="1:9" x14ac:dyDescent="0.2">
      <c r="A5067" s="134">
        <v>45703</v>
      </c>
      <c r="B5067" s="135">
        <f>YEAR(source[[#This Row],[report_date]])</f>
        <v>2025</v>
      </c>
      <c r="C5067" s="128">
        <f t="shared" si="233"/>
        <v>2</v>
      </c>
      <c r="D5067" s="136">
        <f t="shared" si="235"/>
        <v>7</v>
      </c>
      <c r="E5067" s="136">
        <f t="shared" si="234"/>
        <v>15</v>
      </c>
      <c r="F5067" s="128" t="s">
        <v>24</v>
      </c>
      <c r="G5067" s="128" t="str">
        <f>VLOOKUP(source[[#This Row],[lending_product_transform]],[3]Mapping!$B$4:$C$37,2,0)</f>
        <v>[Cake] - Cashloan</v>
      </c>
      <c r="H5067" s="128" t="str">
        <f>VLOOKUP(source[[#This Row],[lending_product_transform]],[3]Mapping!$B$3:$D$37,3,0)</f>
        <v>cashloan</v>
      </c>
      <c r="I5067" s="135">
        <v>4407640000</v>
      </c>
    </row>
    <row r="5068" spans="1:9" x14ac:dyDescent="0.2">
      <c r="A5068" s="134">
        <v>45703</v>
      </c>
      <c r="B5068" s="135">
        <f>YEAR(source[[#This Row],[report_date]])</f>
        <v>2025</v>
      </c>
      <c r="C5068" s="128">
        <f t="shared" si="233"/>
        <v>2</v>
      </c>
      <c r="D5068" s="136">
        <f t="shared" si="235"/>
        <v>7</v>
      </c>
      <c r="E5068" s="136">
        <f t="shared" si="234"/>
        <v>15</v>
      </c>
      <c r="F5068" s="128" t="s">
        <v>24</v>
      </c>
      <c r="G5068" s="128" t="str">
        <f>VLOOKUP(source[[#This Row],[lending_product_transform]],[3]Mapping!$B$4:$C$37,2,0)</f>
        <v>[Cake] - Cashloan</v>
      </c>
      <c r="H5068" s="128" t="str">
        <f>VLOOKUP(source[[#This Row],[lending_product_transform]],[3]Mapping!$B$3:$D$37,3,0)</f>
        <v>cashloan</v>
      </c>
      <c r="I5068" s="135">
        <v>5526000000</v>
      </c>
    </row>
    <row r="5069" spans="1:9" x14ac:dyDescent="0.2">
      <c r="A5069" s="134">
        <v>45703</v>
      </c>
      <c r="B5069" s="135">
        <f>YEAR(source[[#This Row],[report_date]])</f>
        <v>2025</v>
      </c>
      <c r="C5069" s="128">
        <f t="shared" si="233"/>
        <v>2</v>
      </c>
      <c r="D5069" s="136">
        <f t="shared" si="235"/>
        <v>7</v>
      </c>
      <c r="E5069" s="136">
        <f t="shared" si="234"/>
        <v>15</v>
      </c>
      <c r="F5069" s="128" t="s">
        <v>24</v>
      </c>
      <c r="G5069" s="128" t="str">
        <f>VLOOKUP(source[[#This Row],[lending_product_transform]],[3]Mapping!$B$4:$C$37,2,0)</f>
        <v>[Cake] - Cashloan</v>
      </c>
      <c r="H5069" s="128" t="str">
        <f>VLOOKUP(source[[#This Row],[lending_product_transform]],[3]Mapping!$B$3:$D$37,3,0)</f>
        <v>cashloan</v>
      </c>
      <c r="I5069" s="135">
        <v>4483310000</v>
      </c>
    </row>
    <row r="5070" spans="1:9" x14ac:dyDescent="0.2">
      <c r="A5070" s="134">
        <v>45704</v>
      </c>
      <c r="B5070" s="135">
        <f>YEAR(source[[#This Row],[report_date]])</f>
        <v>2025</v>
      </c>
      <c r="C5070" s="128">
        <f t="shared" si="233"/>
        <v>2</v>
      </c>
      <c r="D5070" s="136">
        <f t="shared" si="235"/>
        <v>7</v>
      </c>
      <c r="E5070" s="136">
        <f t="shared" si="234"/>
        <v>16</v>
      </c>
      <c r="F5070" s="128" t="s">
        <v>24</v>
      </c>
      <c r="G5070" s="128" t="str">
        <f>VLOOKUP(source[[#This Row],[lending_product_transform]],[3]Mapping!$B$4:$C$37,2,0)</f>
        <v>[Cake] - Cashloan</v>
      </c>
      <c r="H5070" s="128" t="str">
        <f>VLOOKUP(source[[#This Row],[lending_product_transform]],[3]Mapping!$B$3:$D$37,3,0)</f>
        <v>cashloan</v>
      </c>
      <c r="I5070" s="135">
        <v>0</v>
      </c>
    </row>
    <row r="5071" spans="1:9" x14ac:dyDescent="0.2">
      <c r="A5071" s="134">
        <v>45704</v>
      </c>
      <c r="B5071" s="135">
        <f>YEAR(source[[#This Row],[report_date]])</f>
        <v>2025</v>
      </c>
      <c r="C5071" s="128">
        <f t="shared" si="233"/>
        <v>2</v>
      </c>
      <c r="D5071" s="136">
        <f t="shared" si="235"/>
        <v>7</v>
      </c>
      <c r="E5071" s="136">
        <f t="shared" si="234"/>
        <v>16</v>
      </c>
      <c r="F5071" s="128" t="s">
        <v>24</v>
      </c>
      <c r="G5071" s="128" t="str">
        <f>VLOOKUP(source[[#This Row],[lending_product_transform]],[3]Mapping!$B$4:$C$37,2,0)</f>
        <v>[Cake] - Cashloan</v>
      </c>
      <c r="H5071" s="128" t="str">
        <f>VLOOKUP(source[[#This Row],[lending_product_transform]],[3]Mapping!$B$3:$D$37,3,0)</f>
        <v>cashloan</v>
      </c>
      <c r="I5071" s="135">
        <v>4488310000</v>
      </c>
    </row>
    <row r="5072" spans="1:9" x14ac:dyDescent="0.2">
      <c r="A5072" s="134">
        <v>45704</v>
      </c>
      <c r="B5072" s="135">
        <f>YEAR(source[[#This Row],[report_date]])</f>
        <v>2025</v>
      </c>
      <c r="C5072" s="128">
        <f t="shared" si="233"/>
        <v>2</v>
      </c>
      <c r="D5072" s="136">
        <f t="shared" si="235"/>
        <v>7</v>
      </c>
      <c r="E5072" s="136">
        <f t="shared" si="234"/>
        <v>16</v>
      </c>
      <c r="F5072" s="128" t="s">
        <v>24</v>
      </c>
      <c r="G5072" s="128" t="str">
        <f>VLOOKUP(source[[#This Row],[lending_product_transform]],[3]Mapping!$B$4:$C$37,2,0)</f>
        <v>[Cake] - Cashloan</v>
      </c>
      <c r="H5072" s="128" t="str">
        <f>VLOOKUP(source[[#This Row],[lending_product_transform]],[3]Mapping!$B$3:$D$37,3,0)</f>
        <v>cashloan</v>
      </c>
      <c r="I5072" s="135">
        <v>14139711</v>
      </c>
    </row>
    <row r="5073" spans="1:9" x14ac:dyDescent="0.2">
      <c r="A5073" s="134">
        <v>45704</v>
      </c>
      <c r="B5073" s="135">
        <f>YEAR(source[[#This Row],[report_date]])</f>
        <v>2025</v>
      </c>
      <c r="C5073" s="128">
        <f t="shared" si="233"/>
        <v>2</v>
      </c>
      <c r="D5073" s="136">
        <f t="shared" si="235"/>
        <v>7</v>
      </c>
      <c r="E5073" s="136">
        <f t="shared" si="234"/>
        <v>16</v>
      </c>
      <c r="F5073" s="128" t="s">
        <v>24</v>
      </c>
      <c r="G5073" s="128" t="str">
        <f>VLOOKUP(source[[#This Row],[lending_product_transform]],[3]Mapping!$B$4:$C$37,2,0)</f>
        <v>[Cake] - Cashloan</v>
      </c>
      <c r="H5073" s="128" t="str">
        <f>VLOOKUP(source[[#This Row],[lending_product_transform]],[3]Mapping!$B$3:$D$37,3,0)</f>
        <v>cashloan</v>
      </c>
      <c r="I5073" s="135">
        <v>50500000</v>
      </c>
    </row>
    <row r="5074" spans="1:9" x14ac:dyDescent="0.2">
      <c r="A5074" s="134">
        <v>45704</v>
      </c>
      <c r="B5074" s="135">
        <f>YEAR(source[[#This Row],[report_date]])</f>
        <v>2025</v>
      </c>
      <c r="C5074" s="128">
        <f t="shared" si="233"/>
        <v>2</v>
      </c>
      <c r="D5074" s="136">
        <f t="shared" si="235"/>
        <v>7</v>
      </c>
      <c r="E5074" s="136">
        <f t="shared" si="234"/>
        <v>16</v>
      </c>
      <c r="F5074" s="128" t="s">
        <v>24</v>
      </c>
      <c r="G5074" s="128" t="str">
        <f>VLOOKUP(source[[#This Row],[lending_product_transform]],[3]Mapping!$B$4:$C$37,2,0)</f>
        <v>[Cake] - Cashloan</v>
      </c>
      <c r="H5074" s="128" t="str">
        <f>VLOOKUP(source[[#This Row],[lending_product_transform]],[3]Mapping!$B$3:$D$37,3,0)</f>
        <v>cashloan</v>
      </c>
      <c r="I5074" s="135">
        <v>27000000</v>
      </c>
    </row>
    <row r="5075" spans="1:9" x14ac:dyDescent="0.2">
      <c r="A5075" s="134">
        <v>45704</v>
      </c>
      <c r="B5075" s="135">
        <f>YEAR(source[[#This Row],[report_date]])</f>
        <v>2025</v>
      </c>
      <c r="C5075" s="128">
        <f t="shared" si="233"/>
        <v>2</v>
      </c>
      <c r="D5075" s="136">
        <f t="shared" si="235"/>
        <v>7</v>
      </c>
      <c r="E5075" s="136">
        <f t="shared" si="234"/>
        <v>16</v>
      </c>
      <c r="F5075" s="128" t="s">
        <v>24</v>
      </c>
      <c r="G5075" s="128" t="str">
        <f>VLOOKUP(source[[#This Row],[lending_product_transform]],[3]Mapping!$B$4:$C$37,2,0)</f>
        <v>[Cake] - Cashloan</v>
      </c>
      <c r="H5075" s="128" t="str">
        <f>VLOOKUP(source[[#This Row],[lending_product_transform]],[3]Mapping!$B$3:$D$37,3,0)</f>
        <v>cashloan</v>
      </c>
      <c r="I5075" s="135">
        <v>0</v>
      </c>
    </row>
    <row r="5076" spans="1:9" x14ac:dyDescent="0.2">
      <c r="A5076" s="134">
        <v>45704</v>
      </c>
      <c r="B5076" s="135">
        <f>YEAR(source[[#This Row],[report_date]])</f>
        <v>2025</v>
      </c>
      <c r="C5076" s="128">
        <f t="shared" si="233"/>
        <v>2</v>
      </c>
      <c r="D5076" s="136">
        <f t="shared" si="235"/>
        <v>7</v>
      </c>
      <c r="E5076" s="136">
        <f t="shared" si="234"/>
        <v>16</v>
      </c>
      <c r="F5076" s="128" t="s">
        <v>24</v>
      </c>
      <c r="G5076" s="128" t="str">
        <f>VLOOKUP(source[[#This Row],[lending_product_transform]],[3]Mapping!$B$4:$C$37,2,0)</f>
        <v>[Cake] - Cashloan</v>
      </c>
      <c r="H5076" s="128" t="str">
        <f>VLOOKUP(source[[#This Row],[lending_product_transform]],[3]Mapping!$B$3:$D$37,3,0)</f>
        <v>cashloan</v>
      </c>
      <c r="I5076" s="135">
        <v>0</v>
      </c>
    </row>
    <row r="5077" spans="1:9" x14ac:dyDescent="0.2">
      <c r="A5077" s="134">
        <v>45704</v>
      </c>
      <c r="B5077" s="135">
        <f>YEAR(source[[#This Row],[report_date]])</f>
        <v>2025</v>
      </c>
      <c r="C5077" s="128">
        <f t="shared" si="233"/>
        <v>2</v>
      </c>
      <c r="D5077" s="136">
        <f t="shared" si="235"/>
        <v>7</v>
      </c>
      <c r="E5077" s="136">
        <f t="shared" si="234"/>
        <v>16</v>
      </c>
      <c r="F5077" s="128" t="s">
        <v>24</v>
      </c>
      <c r="G5077" s="128" t="str">
        <f>VLOOKUP(source[[#This Row],[lending_product_transform]],[3]Mapping!$B$4:$C$37,2,0)</f>
        <v>[Cake] - Cashloan</v>
      </c>
      <c r="H5077" s="128" t="str">
        <f>VLOOKUP(source[[#This Row],[lending_product_transform]],[3]Mapping!$B$3:$D$37,3,0)</f>
        <v>cashloan</v>
      </c>
      <c r="I5077" s="135">
        <v>0</v>
      </c>
    </row>
    <row r="5078" spans="1:9" x14ac:dyDescent="0.2">
      <c r="A5078" s="134">
        <v>45704</v>
      </c>
      <c r="B5078" s="135">
        <f>YEAR(source[[#This Row],[report_date]])</f>
        <v>2025</v>
      </c>
      <c r="C5078" s="128">
        <f t="shared" si="233"/>
        <v>2</v>
      </c>
      <c r="D5078" s="136">
        <f t="shared" si="235"/>
        <v>7</v>
      </c>
      <c r="E5078" s="136">
        <f t="shared" si="234"/>
        <v>16</v>
      </c>
      <c r="F5078" s="128" t="s">
        <v>24</v>
      </c>
      <c r="G5078" s="128" t="str">
        <f>VLOOKUP(source[[#This Row],[lending_product_transform]],[3]Mapping!$B$4:$C$37,2,0)</f>
        <v>[Cake] - Cashloan</v>
      </c>
      <c r="H5078" s="128" t="str">
        <f>VLOOKUP(source[[#This Row],[lending_product_transform]],[3]Mapping!$B$3:$D$37,3,0)</f>
        <v>cashloan</v>
      </c>
      <c r="I5078" s="135">
        <v>0</v>
      </c>
    </row>
    <row r="5079" spans="1:9" x14ac:dyDescent="0.2">
      <c r="A5079" s="134">
        <v>45704</v>
      </c>
      <c r="B5079" s="135">
        <f>YEAR(source[[#This Row],[report_date]])</f>
        <v>2025</v>
      </c>
      <c r="C5079" s="128">
        <f t="shared" si="233"/>
        <v>2</v>
      </c>
      <c r="D5079" s="136">
        <f t="shared" si="235"/>
        <v>7</v>
      </c>
      <c r="E5079" s="136">
        <f t="shared" si="234"/>
        <v>16</v>
      </c>
      <c r="F5079" s="128" t="s">
        <v>24</v>
      </c>
      <c r="G5079" s="128" t="str">
        <f>VLOOKUP(source[[#This Row],[lending_product_transform]],[3]Mapping!$B$4:$C$37,2,0)</f>
        <v>[Cake] - Cashloan</v>
      </c>
      <c r="H5079" s="128" t="str">
        <f>VLOOKUP(source[[#This Row],[lending_product_transform]],[3]Mapping!$B$3:$D$37,3,0)</f>
        <v>cashloan</v>
      </c>
      <c r="I5079" s="135">
        <v>5071500000</v>
      </c>
    </row>
    <row r="5080" spans="1:9" x14ac:dyDescent="0.2">
      <c r="A5080" s="134">
        <v>45704</v>
      </c>
      <c r="B5080" s="135">
        <f>YEAR(source[[#This Row],[report_date]])</f>
        <v>2025</v>
      </c>
      <c r="C5080" s="128">
        <f t="shared" si="233"/>
        <v>2</v>
      </c>
      <c r="D5080" s="136">
        <f t="shared" si="235"/>
        <v>7</v>
      </c>
      <c r="E5080" s="136">
        <f t="shared" si="234"/>
        <v>16</v>
      </c>
      <c r="F5080" s="128" t="s">
        <v>24</v>
      </c>
      <c r="G5080" s="128" t="str">
        <f>VLOOKUP(source[[#This Row],[lending_product_transform]],[3]Mapping!$B$4:$C$37,2,0)</f>
        <v>[Cake] - Cashloan</v>
      </c>
      <c r="H5080" s="128" t="str">
        <f>VLOOKUP(source[[#This Row],[lending_product_transform]],[3]Mapping!$B$3:$D$37,3,0)</f>
        <v>cashloan</v>
      </c>
      <c r="I5080" s="135">
        <v>231000000</v>
      </c>
    </row>
    <row r="5081" spans="1:9" x14ac:dyDescent="0.2">
      <c r="A5081" s="134">
        <v>45704</v>
      </c>
      <c r="B5081" s="135">
        <f>YEAR(source[[#This Row],[report_date]])</f>
        <v>2025</v>
      </c>
      <c r="C5081" s="128">
        <f t="shared" si="233"/>
        <v>2</v>
      </c>
      <c r="D5081" s="136">
        <f t="shared" si="235"/>
        <v>7</v>
      </c>
      <c r="E5081" s="136">
        <f t="shared" si="234"/>
        <v>16</v>
      </c>
      <c r="F5081" s="128" t="s">
        <v>24</v>
      </c>
      <c r="G5081" s="128" t="str">
        <f>VLOOKUP(source[[#This Row],[lending_product_transform]],[3]Mapping!$B$4:$C$37,2,0)</f>
        <v>[Cake] - Cashloan</v>
      </c>
      <c r="H5081" s="128" t="str">
        <f>VLOOKUP(source[[#This Row],[lending_product_transform]],[3]Mapping!$B$3:$D$37,3,0)</f>
        <v>cashloan</v>
      </c>
      <c r="I5081" s="135">
        <v>470260000</v>
      </c>
    </row>
    <row r="5082" spans="1:9" x14ac:dyDescent="0.2">
      <c r="A5082" s="134">
        <v>45704</v>
      </c>
      <c r="B5082" s="135">
        <f>YEAR(source[[#This Row],[report_date]])</f>
        <v>2025</v>
      </c>
      <c r="C5082" s="128">
        <f t="shared" si="233"/>
        <v>2</v>
      </c>
      <c r="D5082" s="136">
        <f t="shared" si="235"/>
        <v>7</v>
      </c>
      <c r="E5082" s="136">
        <f t="shared" si="234"/>
        <v>16</v>
      </c>
      <c r="F5082" s="128" t="s">
        <v>24</v>
      </c>
      <c r="G5082" s="128" t="str">
        <f>VLOOKUP(source[[#This Row],[lending_product_transform]],[3]Mapping!$B$4:$C$37,2,0)</f>
        <v>[Cake] - Cashloan</v>
      </c>
      <c r="H5082" s="128" t="str">
        <f>VLOOKUP(source[[#This Row],[lending_product_transform]],[3]Mapping!$B$3:$D$37,3,0)</f>
        <v>cashloan</v>
      </c>
      <c r="I5082" s="135">
        <v>225526077</v>
      </c>
    </row>
    <row r="5083" spans="1:9" x14ac:dyDescent="0.2">
      <c r="A5083" s="134">
        <v>45704</v>
      </c>
      <c r="B5083" s="135">
        <f>YEAR(source[[#This Row],[report_date]])</f>
        <v>2025</v>
      </c>
      <c r="C5083" s="128">
        <f t="shared" si="233"/>
        <v>2</v>
      </c>
      <c r="D5083" s="136">
        <f t="shared" si="235"/>
        <v>7</v>
      </c>
      <c r="E5083" s="136">
        <f t="shared" si="234"/>
        <v>16</v>
      </c>
      <c r="F5083" s="128" t="s">
        <v>24</v>
      </c>
      <c r="G5083" s="128" t="str">
        <f>VLOOKUP(source[[#This Row],[lending_product_transform]],[3]Mapping!$B$4:$C$37,2,0)</f>
        <v>[Cake] - Cashloan</v>
      </c>
      <c r="H5083" s="128" t="str">
        <f>VLOOKUP(source[[#This Row],[lending_product_transform]],[3]Mapping!$B$3:$D$37,3,0)</f>
        <v>cashloan</v>
      </c>
      <c r="I5083" s="135">
        <v>0</v>
      </c>
    </row>
    <row r="5084" spans="1:9" x14ac:dyDescent="0.2">
      <c r="A5084" s="134">
        <v>45704</v>
      </c>
      <c r="B5084" s="135">
        <f>YEAR(source[[#This Row],[report_date]])</f>
        <v>2025</v>
      </c>
      <c r="C5084" s="128">
        <f t="shared" si="233"/>
        <v>2</v>
      </c>
      <c r="D5084" s="136">
        <f t="shared" si="235"/>
        <v>7</v>
      </c>
      <c r="E5084" s="136">
        <f t="shared" si="234"/>
        <v>16</v>
      </c>
      <c r="F5084" s="128" t="s">
        <v>24</v>
      </c>
      <c r="G5084" s="128" t="str">
        <f>VLOOKUP(source[[#This Row],[lending_product_transform]],[3]Mapping!$B$4:$C$37,2,0)</f>
        <v>[Cake] - Cashloan</v>
      </c>
      <c r="H5084" s="128" t="str">
        <f>VLOOKUP(source[[#This Row],[lending_product_transform]],[3]Mapping!$B$3:$D$37,3,0)</f>
        <v>cashloan</v>
      </c>
      <c r="I5084" s="135">
        <v>358593351</v>
      </c>
    </row>
    <row r="5085" spans="1:9" x14ac:dyDescent="0.2">
      <c r="A5085" s="134">
        <v>45704</v>
      </c>
      <c r="B5085" s="135">
        <f>YEAR(source[[#This Row],[report_date]])</f>
        <v>2025</v>
      </c>
      <c r="C5085" s="128">
        <f t="shared" si="233"/>
        <v>2</v>
      </c>
      <c r="D5085" s="136">
        <f t="shared" si="235"/>
        <v>7</v>
      </c>
      <c r="E5085" s="136">
        <f t="shared" si="234"/>
        <v>16</v>
      </c>
      <c r="F5085" s="128" t="s">
        <v>24</v>
      </c>
      <c r="G5085" s="128" t="str">
        <f>VLOOKUP(source[[#This Row],[lending_product_transform]],[3]Mapping!$B$4:$C$37,2,0)</f>
        <v>[Cake] - Cashloan</v>
      </c>
      <c r="H5085" s="128" t="str">
        <f>VLOOKUP(source[[#This Row],[lending_product_transform]],[3]Mapping!$B$3:$D$37,3,0)</f>
        <v>cashloan</v>
      </c>
      <c r="I5085" s="135">
        <v>177821792</v>
      </c>
    </row>
    <row r="5086" spans="1:9" x14ac:dyDescent="0.2">
      <c r="A5086" s="134">
        <v>45704</v>
      </c>
      <c r="B5086" s="135">
        <f>YEAR(source[[#This Row],[report_date]])</f>
        <v>2025</v>
      </c>
      <c r="C5086" s="128">
        <f t="shared" si="233"/>
        <v>2</v>
      </c>
      <c r="D5086" s="136">
        <f t="shared" si="235"/>
        <v>7</v>
      </c>
      <c r="E5086" s="136">
        <f t="shared" si="234"/>
        <v>16</v>
      </c>
      <c r="F5086" s="128" t="s">
        <v>24</v>
      </c>
      <c r="G5086" s="128" t="str">
        <f>VLOOKUP(source[[#This Row],[lending_product_transform]],[3]Mapping!$B$4:$C$37,2,0)</f>
        <v>[Cake] - Cashloan</v>
      </c>
      <c r="H5086" s="128" t="str">
        <f>VLOOKUP(source[[#This Row],[lending_product_transform]],[3]Mapping!$B$3:$D$37,3,0)</f>
        <v>cashloan</v>
      </c>
      <c r="I5086" s="135">
        <v>15000000</v>
      </c>
    </row>
    <row r="5087" spans="1:9" x14ac:dyDescent="0.2">
      <c r="A5087" s="134">
        <v>45704</v>
      </c>
      <c r="B5087" s="135">
        <f>YEAR(source[[#This Row],[report_date]])</f>
        <v>2025</v>
      </c>
      <c r="C5087" s="128">
        <f t="shared" si="233"/>
        <v>2</v>
      </c>
      <c r="D5087" s="136">
        <f t="shared" si="235"/>
        <v>7</v>
      </c>
      <c r="E5087" s="136">
        <f t="shared" si="234"/>
        <v>16</v>
      </c>
      <c r="F5087" s="128" t="s">
        <v>24</v>
      </c>
      <c r="G5087" s="128" t="str">
        <f>VLOOKUP(source[[#This Row],[lending_product_transform]],[3]Mapping!$B$4:$C$37,2,0)</f>
        <v>[Cake] - Cashloan</v>
      </c>
      <c r="H5087" s="128" t="str">
        <f>VLOOKUP(source[[#This Row],[lending_product_transform]],[3]Mapping!$B$3:$D$37,3,0)</f>
        <v>cashloan</v>
      </c>
      <c r="I5087" s="135">
        <v>2498417876</v>
      </c>
    </row>
    <row r="5088" spans="1:9" x14ac:dyDescent="0.2">
      <c r="A5088" s="134">
        <v>45704</v>
      </c>
      <c r="B5088" s="135">
        <f>YEAR(source[[#This Row],[report_date]])</f>
        <v>2025</v>
      </c>
      <c r="C5088" s="128">
        <f t="shared" si="233"/>
        <v>2</v>
      </c>
      <c r="D5088" s="136">
        <f t="shared" si="235"/>
        <v>7</v>
      </c>
      <c r="E5088" s="136">
        <f t="shared" si="234"/>
        <v>16</v>
      </c>
      <c r="F5088" s="128" t="s">
        <v>24</v>
      </c>
      <c r="G5088" s="128" t="str">
        <f>VLOOKUP(source[[#This Row],[lending_product_transform]],[3]Mapping!$B$4:$C$37,2,0)</f>
        <v>[Cake] - Cashloan</v>
      </c>
      <c r="H5088" s="128" t="str">
        <f>VLOOKUP(source[[#This Row],[lending_product_transform]],[3]Mapping!$B$3:$D$37,3,0)</f>
        <v>cashloan</v>
      </c>
      <c r="I5088" s="135">
        <v>3874440000</v>
      </c>
    </row>
    <row r="5089" spans="1:9" x14ac:dyDescent="0.2">
      <c r="A5089" s="134">
        <v>45705</v>
      </c>
      <c r="B5089" s="135">
        <f>YEAR(source[[#This Row],[report_date]])</f>
        <v>2025</v>
      </c>
      <c r="C5089" s="128">
        <f t="shared" si="233"/>
        <v>2</v>
      </c>
      <c r="D5089" s="136">
        <f t="shared" si="235"/>
        <v>8</v>
      </c>
      <c r="E5089" s="136">
        <f t="shared" si="234"/>
        <v>17</v>
      </c>
      <c r="F5089" s="128" t="s">
        <v>24</v>
      </c>
      <c r="G5089" s="128" t="str">
        <f>VLOOKUP(source[[#This Row],[lending_product_transform]],[3]Mapping!$B$4:$C$37,2,0)</f>
        <v>[Cake] - Cashloan</v>
      </c>
      <c r="H5089" s="128" t="str">
        <f>VLOOKUP(source[[#This Row],[lending_product_transform]],[3]Mapping!$B$3:$D$37,3,0)</f>
        <v>cashloan</v>
      </c>
      <c r="I5089" s="135">
        <v>1049640000</v>
      </c>
    </row>
    <row r="5090" spans="1:9" x14ac:dyDescent="0.2">
      <c r="A5090" s="134">
        <v>45705</v>
      </c>
      <c r="B5090" s="135">
        <f>YEAR(source[[#This Row],[report_date]])</f>
        <v>2025</v>
      </c>
      <c r="C5090" s="128">
        <f t="shared" si="233"/>
        <v>2</v>
      </c>
      <c r="D5090" s="136">
        <f t="shared" si="235"/>
        <v>8</v>
      </c>
      <c r="E5090" s="136">
        <f t="shared" si="234"/>
        <v>17</v>
      </c>
      <c r="F5090" s="128" t="s">
        <v>24</v>
      </c>
      <c r="G5090" s="128" t="str">
        <f>VLOOKUP(source[[#This Row],[lending_product_transform]],[3]Mapping!$B$4:$C$37,2,0)</f>
        <v>[Cake] - Cashloan</v>
      </c>
      <c r="H5090" s="128" t="str">
        <f>VLOOKUP(source[[#This Row],[lending_product_transform]],[3]Mapping!$B$3:$D$37,3,0)</f>
        <v>cashloan</v>
      </c>
      <c r="I5090" s="135">
        <v>450930000</v>
      </c>
    </row>
    <row r="5091" spans="1:9" x14ac:dyDescent="0.2">
      <c r="A5091" s="134">
        <v>45705</v>
      </c>
      <c r="B5091" s="135">
        <f>YEAR(source[[#This Row],[report_date]])</f>
        <v>2025</v>
      </c>
      <c r="C5091" s="128">
        <f t="shared" si="233"/>
        <v>2</v>
      </c>
      <c r="D5091" s="136">
        <f t="shared" si="235"/>
        <v>8</v>
      </c>
      <c r="E5091" s="136">
        <f t="shared" si="234"/>
        <v>17</v>
      </c>
      <c r="F5091" s="128" t="s">
        <v>24</v>
      </c>
      <c r="G5091" s="128" t="str">
        <f>VLOOKUP(source[[#This Row],[lending_product_transform]],[3]Mapping!$B$4:$C$37,2,0)</f>
        <v>[Cake] - Cashloan</v>
      </c>
      <c r="H5091" s="128" t="str">
        <f>VLOOKUP(source[[#This Row],[lending_product_transform]],[3]Mapping!$B$3:$D$37,3,0)</f>
        <v>cashloan</v>
      </c>
      <c r="I5091" s="135">
        <v>336790355</v>
      </c>
    </row>
    <row r="5092" spans="1:9" x14ac:dyDescent="0.2">
      <c r="A5092" s="134">
        <v>45705</v>
      </c>
      <c r="B5092" s="135">
        <f>YEAR(source[[#This Row],[report_date]])</f>
        <v>2025</v>
      </c>
      <c r="C5092" s="128">
        <f t="shared" si="233"/>
        <v>2</v>
      </c>
      <c r="D5092" s="136">
        <f t="shared" si="235"/>
        <v>8</v>
      </c>
      <c r="E5092" s="136">
        <f t="shared" si="234"/>
        <v>17</v>
      </c>
      <c r="F5092" s="128" t="s">
        <v>24</v>
      </c>
      <c r="G5092" s="128" t="str">
        <f>VLOOKUP(source[[#This Row],[lending_product_transform]],[3]Mapping!$B$4:$C$37,2,0)</f>
        <v>[Cake] - Cashloan</v>
      </c>
      <c r="H5092" s="128" t="str">
        <f>VLOOKUP(source[[#This Row],[lending_product_transform]],[3]Mapping!$B$3:$D$37,3,0)</f>
        <v>cashloan</v>
      </c>
      <c r="I5092" s="135">
        <v>0</v>
      </c>
    </row>
    <row r="5093" spans="1:9" x14ac:dyDescent="0.2">
      <c r="A5093" s="134">
        <v>45705</v>
      </c>
      <c r="B5093" s="135">
        <f>YEAR(source[[#This Row],[report_date]])</f>
        <v>2025</v>
      </c>
      <c r="C5093" s="128">
        <f t="shared" si="233"/>
        <v>2</v>
      </c>
      <c r="D5093" s="136">
        <f t="shared" si="235"/>
        <v>8</v>
      </c>
      <c r="E5093" s="136">
        <f t="shared" si="234"/>
        <v>17</v>
      </c>
      <c r="F5093" s="128" t="s">
        <v>24</v>
      </c>
      <c r="G5093" s="128" t="str">
        <f>VLOOKUP(source[[#This Row],[lending_product_transform]],[3]Mapping!$B$4:$C$37,2,0)</f>
        <v>[Cake] - Cashloan</v>
      </c>
      <c r="H5093" s="128" t="str">
        <f>VLOOKUP(source[[#This Row],[lending_product_transform]],[3]Mapping!$B$3:$D$37,3,0)</f>
        <v>cashloan</v>
      </c>
      <c r="I5093" s="135">
        <v>255908532</v>
      </c>
    </row>
    <row r="5094" spans="1:9" x14ac:dyDescent="0.2">
      <c r="A5094" s="134">
        <v>45705</v>
      </c>
      <c r="B5094" s="135">
        <f>YEAR(source[[#This Row],[report_date]])</f>
        <v>2025</v>
      </c>
      <c r="C5094" s="128">
        <f t="shared" si="233"/>
        <v>2</v>
      </c>
      <c r="D5094" s="136">
        <f t="shared" si="235"/>
        <v>8</v>
      </c>
      <c r="E5094" s="136">
        <f t="shared" si="234"/>
        <v>17</v>
      </c>
      <c r="F5094" s="128" t="s">
        <v>24</v>
      </c>
      <c r="G5094" s="128" t="str">
        <f>VLOOKUP(source[[#This Row],[lending_product_transform]],[3]Mapping!$B$4:$C$37,2,0)</f>
        <v>[Cake] - Cashloan</v>
      </c>
      <c r="H5094" s="128" t="str">
        <f>VLOOKUP(source[[#This Row],[lending_product_transform]],[3]Mapping!$B$3:$D$37,3,0)</f>
        <v>cashloan</v>
      </c>
      <c r="I5094" s="135">
        <v>162186781</v>
      </c>
    </row>
    <row r="5095" spans="1:9" x14ac:dyDescent="0.2">
      <c r="A5095" s="134">
        <v>45705</v>
      </c>
      <c r="B5095" s="135">
        <f>YEAR(source[[#This Row],[report_date]])</f>
        <v>2025</v>
      </c>
      <c r="C5095" s="128">
        <f t="shared" si="233"/>
        <v>2</v>
      </c>
      <c r="D5095" s="136">
        <f t="shared" si="235"/>
        <v>8</v>
      </c>
      <c r="E5095" s="136">
        <f t="shared" si="234"/>
        <v>17</v>
      </c>
      <c r="F5095" s="128" t="s">
        <v>24</v>
      </c>
      <c r="G5095" s="128" t="str">
        <f>VLOOKUP(source[[#This Row],[lending_product_transform]],[3]Mapping!$B$4:$C$37,2,0)</f>
        <v>[Cake] - Cashloan</v>
      </c>
      <c r="H5095" s="128" t="str">
        <f>VLOOKUP(source[[#This Row],[lending_product_transform]],[3]Mapping!$B$3:$D$37,3,0)</f>
        <v>cashloan</v>
      </c>
      <c r="I5095" s="135">
        <v>5194090000</v>
      </c>
    </row>
    <row r="5096" spans="1:9" x14ac:dyDescent="0.2">
      <c r="A5096" s="134">
        <v>45705</v>
      </c>
      <c r="B5096" s="135">
        <f>YEAR(source[[#This Row],[report_date]])</f>
        <v>2025</v>
      </c>
      <c r="C5096" s="128">
        <f t="shared" si="233"/>
        <v>2</v>
      </c>
      <c r="D5096" s="136">
        <f t="shared" si="235"/>
        <v>8</v>
      </c>
      <c r="E5096" s="136">
        <f t="shared" si="234"/>
        <v>17</v>
      </c>
      <c r="F5096" s="128" t="s">
        <v>24</v>
      </c>
      <c r="G5096" s="128" t="str">
        <f>VLOOKUP(source[[#This Row],[lending_product_transform]],[3]Mapping!$B$4:$C$37,2,0)</f>
        <v>[Cake] - Cashloan</v>
      </c>
      <c r="H5096" s="128" t="str">
        <f>VLOOKUP(source[[#This Row],[lending_product_transform]],[3]Mapping!$B$3:$D$37,3,0)</f>
        <v>cashloan</v>
      </c>
      <c r="I5096" s="135">
        <v>0</v>
      </c>
    </row>
    <row r="5097" spans="1:9" x14ac:dyDescent="0.2">
      <c r="A5097" s="134">
        <v>45705</v>
      </c>
      <c r="B5097" s="135">
        <f>YEAR(source[[#This Row],[report_date]])</f>
        <v>2025</v>
      </c>
      <c r="C5097" s="128">
        <f t="shared" si="233"/>
        <v>2</v>
      </c>
      <c r="D5097" s="136">
        <f t="shared" si="235"/>
        <v>8</v>
      </c>
      <c r="E5097" s="136">
        <f t="shared" si="234"/>
        <v>17</v>
      </c>
      <c r="F5097" s="128" t="s">
        <v>24</v>
      </c>
      <c r="G5097" s="128" t="str">
        <f>VLOOKUP(source[[#This Row],[lending_product_transform]],[3]Mapping!$B$4:$C$37,2,0)</f>
        <v>[Cake] - Cashloan</v>
      </c>
      <c r="H5097" s="128" t="str">
        <f>VLOOKUP(source[[#This Row],[lending_product_transform]],[3]Mapping!$B$3:$D$37,3,0)</f>
        <v>cashloan</v>
      </c>
      <c r="I5097" s="135">
        <v>0</v>
      </c>
    </row>
    <row r="5098" spans="1:9" x14ac:dyDescent="0.2">
      <c r="A5098" s="134">
        <v>45705</v>
      </c>
      <c r="B5098" s="135">
        <f>YEAR(source[[#This Row],[report_date]])</f>
        <v>2025</v>
      </c>
      <c r="C5098" s="128">
        <f t="shared" si="233"/>
        <v>2</v>
      </c>
      <c r="D5098" s="136">
        <f t="shared" si="235"/>
        <v>8</v>
      </c>
      <c r="E5098" s="136">
        <f t="shared" si="234"/>
        <v>17</v>
      </c>
      <c r="F5098" s="128" t="s">
        <v>24</v>
      </c>
      <c r="G5098" s="128" t="str">
        <f>VLOOKUP(source[[#This Row],[lending_product_transform]],[3]Mapping!$B$4:$C$37,2,0)</f>
        <v>[Cake] - Cashloan</v>
      </c>
      <c r="H5098" s="128" t="str">
        <f>VLOOKUP(source[[#This Row],[lending_product_transform]],[3]Mapping!$B$3:$D$37,3,0)</f>
        <v>cashloan</v>
      </c>
      <c r="I5098" s="135">
        <v>3655665229</v>
      </c>
    </row>
    <row r="5099" spans="1:9" x14ac:dyDescent="0.2">
      <c r="A5099" s="134">
        <v>45705</v>
      </c>
      <c r="B5099" s="135">
        <f>YEAR(source[[#This Row],[report_date]])</f>
        <v>2025</v>
      </c>
      <c r="C5099" s="128">
        <f t="shared" si="233"/>
        <v>2</v>
      </c>
      <c r="D5099" s="136">
        <f t="shared" si="235"/>
        <v>8</v>
      </c>
      <c r="E5099" s="136">
        <f t="shared" si="234"/>
        <v>17</v>
      </c>
      <c r="F5099" s="128" t="s">
        <v>24</v>
      </c>
      <c r="G5099" s="128" t="str">
        <f>VLOOKUP(source[[#This Row],[lending_product_transform]],[3]Mapping!$B$4:$C$37,2,0)</f>
        <v>[Cake] - Cashloan</v>
      </c>
      <c r="H5099" s="128" t="str">
        <f>VLOOKUP(source[[#This Row],[lending_product_transform]],[3]Mapping!$B$3:$D$37,3,0)</f>
        <v>cashloan</v>
      </c>
      <c r="I5099" s="135">
        <v>5037500000</v>
      </c>
    </row>
    <row r="5100" spans="1:9" x14ac:dyDescent="0.2">
      <c r="A5100" s="134">
        <v>45705</v>
      </c>
      <c r="B5100" s="135">
        <f>YEAR(source[[#This Row],[report_date]])</f>
        <v>2025</v>
      </c>
      <c r="C5100" s="128">
        <f t="shared" si="233"/>
        <v>2</v>
      </c>
      <c r="D5100" s="136">
        <f t="shared" si="235"/>
        <v>8</v>
      </c>
      <c r="E5100" s="136">
        <f t="shared" si="234"/>
        <v>17</v>
      </c>
      <c r="F5100" s="128" t="s">
        <v>24</v>
      </c>
      <c r="G5100" s="128" t="str">
        <f>VLOOKUP(source[[#This Row],[lending_product_transform]],[3]Mapping!$B$4:$C$37,2,0)</f>
        <v>[Cake] - Cashloan</v>
      </c>
      <c r="H5100" s="128" t="str">
        <f>VLOOKUP(source[[#This Row],[lending_product_transform]],[3]Mapping!$B$3:$D$37,3,0)</f>
        <v>cashloan</v>
      </c>
      <c r="I5100" s="135">
        <v>4826850000</v>
      </c>
    </row>
    <row r="5101" spans="1:9" x14ac:dyDescent="0.2">
      <c r="A5101" s="134">
        <v>45705</v>
      </c>
      <c r="B5101" s="135">
        <f>YEAR(source[[#This Row],[report_date]])</f>
        <v>2025</v>
      </c>
      <c r="C5101" s="128">
        <f t="shared" si="233"/>
        <v>2</v>
      </c>
      <c r="D5101" s="136">
        <f t="shared" si="235"/>
        <v>8</v>
      </c>
      <c r="E5101" s="136">
        <f t="shared" si="234"/>
        <v>17</v>
      </c>
      <c r="F5101" s="128" t="s">
        <v>24</v>
      </c>
      <c r="G5101" s="128" t="str">
        <f>VLOOKUP(source[[#This Row],[lending_product_transform]],[3]Mapping!$B$4:$C$37,2,0)</f>
        <v>[Cake] - Cashloan</v>
      </c>
      <c r="H5101" s="128" t="str">
        <f>VLOOKUP(source[[#This Row],[lending_product_transform]],[3]Mapping!$B$3:$D$37,3,0)</f>
        <v>cashloan</v>
      </c>
      <c r="I5101" s="135">
        <v>0</v>
      </c>
    </row>
    <row r="5102" spans="1:9" x14ac:dyDescent="0.2">
      <c r="A5102" s="134">
        <v>45705</v>
      </c>
      <c r="B5102" s="135">
        <f>YEAR(source[[#This Row],[report_date]])</f>
        <v>2025</v>
      </c>
      <c r="C5102" s="128">
        <f t="shared" si="233"/>
        <v>2</v>
      </c>
      <c r="D5102" s="136">
        <f t="shared" si="235"/>
        <v>8</v>
      </c>
      <c r="E5102" s="136">
        <f t="shared" si="234"/>
        <v>17</v>
      </c>
      <c r="F5102" s="128" t="s">
        <v>24</v>
      </c>
      <c r="G5102" s="128" t="str">
        <f>VLOOKUP(source[[#This Row],[lending_product_transform]],[3]Mapping!$B$4:$C$37,2,0)</f>
        <v>[Cake] - Cashloan</v>
      </c>
      <c r="H5102" s="128" t="str">
        <f>VLOOKUP(source[[#This Row],[lending_product_transform]],[3]Mapping!$B$3:$D$37,3,0)</f>
        <v>cashloan</v>
      </c>
      <c r="I5102" s="135">
        <v>0</v>
      </c>
    </row>
    <row r="5103" spans="1:9" x14ac:dyDescent="0.2">
      <c r="A5103" s="134">
        <v>45705</v>
      </c>
      <c r="B5103" s="135">
        <f>YEAR(source[[#This Row],[report_date]])</f>
        <v>2025</v>
      </c>
      <c r="C5103" s="128">
        <f t="shared" si="233"/>
        <v>2</v>
      </c>
      <c r="D5103" s="136">
        <f t="shared" si="235"/>
        <v>8</v>
      </c>
      <c r="E5103" s="136">
        <f t="shared" si="234"/>
        <v>17</v>
      </c>
      <c r="F5103" s="128" t="s">
        <v>24</v>
      </c>
      <c r="G5103" s="128" t="str">
        <f>VLOOKUP(source[[#This Row],[lending_product_transform]],[3]Mapping!$B$4:$C$37,2,0)</f>
        <v>[Cake] - Cashloan</v>
      </c>
      <c r="H5103" s="128" t="str">
        <f>VLOOKUP(source[[#This Row],[lending_product_transform]],[3]Mapping!$B$3:$D$37,3,0)</f>
        <v>cashloan</v>
      </c>
      <c r="I5103" s="135">
        <v>11763064</v>
      </c>
    </row>
    <row r="5104" spans="1:9" x14ac:dyDescent="0.2">
      <c r="A5104" s="134">
        <v>45705</v>
      </c>
      <c r="B5104" s="135">
        <f>YEAR(source[[#This Row],[report_date]])</f>
        <v>2025</v>
      </c>
      <c r="C5104" s="128">
        <f t="shared" si="233"/>
        <v>2</v>
      </c>
      <c r="D5104" s="136">
        <f t="shared" si="235"/>
        <v>8</v>
      </c>
      <c r="E5104" s="136">
        <f t="shared" si="234"/>
        <v>17</v>
      </c>
      <c r="F5104" s="128" t="s">
        <v>24</v>
      </c>
      <c r="G5104" s="128" t="str">
        <f>VLOOKUP(source[[#This Row],[lending_product_transform]],[3]Mapping!$B$4:$C$37,2,0)</f>
        <v>[Cake] - Cashloan</v>
      </c>
      <c r="H5104" s="128" t="str">
        <f>VLOOKUP(source[[#This Row],[lending_product_transform]],[3]Mapping!$B$3:$D$37,3,0)</f>
        <v>cashloan</v>
      </c>
      <c r="I5104" s="135">
        <v>0</v>
      </c>
    </row>
    <row r="5105" spans="1:9" x14ac:dyDescent="0.2">
      <c r="A5105" s="134">
        <v>45705</v>
      </c>
      <c r="B5105" s="135">
        <f>YEAR(source[[#This Row],[report_date]])</f>
        <v>2025</v>
      </c>
      <c r="C5105" s="128">
        <f t="shared" si="233"/>
        <v>2</v>
      </c>
      <c r="D5105" s="136">
        <f t="shared" si="235"/>
        <v>8</v>
      </c>
      <c r="E5105" s="136">
        <f t="shared" si="234"/>
        <v>17</v>
      </c>
      <c r="F5105" s="128" t="s">
        <v>24</v>
      </c>
      <c r="G5105" s="128" t="str">
        <f>VLOOKUP(source[[#This Row],[lending_product_transform]],[3]Mapping!$B$4:$C$37,2,0)</f>
        <v>[Cake] - Cashloan</v>
      </c>
      <c r="H5105" s="128" t="str">
        <f>VLOOKUP(source[[#This Row],[lending_product_transform]],[3]Mapping!$B$3:$D$37,3,0)</f>
        <v>cashloan</v>
      </c>
      <c r="I5105" s="135">
        <v>52500000</v>
      </c>
    </row>
    <row r="5106" spans="1:9" x14ac:dyDescent="0.2">
      <c r="A5106" s="134">
        <v>45705</v>
      </c>
      <c r="B5106" s="135">
        <f>YEAR(source[[#This Row],[report_date]])</f>
        <v>2025</v>
      </c>
      <c r="C5106" s="128">
        <f t="shared" ref="C5106:C5169" si="236">MONTH(A5106)</f>
        <v>2</v>
      </c>
      <c r="D5106" s="136">
        <f t="shared" si="235"/>
        <v>8</v>
      </c>
      <c r="E5106" s="136">
        <f t="shared" ref="E5106:E5169" si="237">DAY(A5106)</f>
        <v>17</v>
      </c>
      <c r="F5106" s="128" t="s">
        <v>24</v>
      </c>
      <c r="G5106" s="128" t="str">
        <f>VLOOKUP(source[[#This Row],[lending_product_transform]],[3]Mapping!$B$4:$C$37,2,0)</f>
        <v>[Cake] - Cashloan</v>
      </c>
      <c r="H5106" s="128" t="str">
        <f>VLOOKUP(source[[#This Row],[lending_product_transform]],[3]Mapping!$B$3:$D$37,3,0)</f>
        <v>cashloan</v>
      </c>
      <c r="I5106" s="135">
        <v>86000000</v>
      </c>
    </row>
    <row r="5107" spans="1:9" x14ac:dyDescent="0.2">
      <c r="A5107" s="134">
        <v>45705</v>
      </c>
      <c r="B5107" s="135">
        <f>YEAR(source[[#This Row],[report_date]])</f>
        <v>2025</v>
      </c>
      <c r="C5107" s="128">
        <f t="shared" si="236"/>
        <v>2</v>
      </c>
      <c r="D5107" s="136">
        <f t="shared" si="235"/>
        <v>8</v>
      </c>
      <c r="E5107" s="136">
        <f t="shared" si="237"/>
        <v>17</v>
      </c>
      <c r="F5107" s="128" t="s">
        <v>24</v>
      </c>
      <c r="G5107" s="128" t="str">
        <f>VLOOKUP(source[[#This Row],[lending_product_transform]],[3]Mapping!$B$4:$C$37,2,0)</f>
        <v>[Cake] - Cashloan</v>
      </c>
      <c r="H5107" s="128" t="str">
        <f>VLOOKUP(source[[#This Row],[lending_product_transform]],[3]Mapping!$B$3:$D$37,3,0)</f>
        <v>cashloan</v>
      </c>
      <c r="I5107" s="135">
        <v>0</v>
      </c>
    </row>
    <row r="5108" spans="1:9" x14ac:dyDescent="0.2">
      <c r="A5108" s="134">
        <v>45706</v>
      </c>
      <c r="B5108" s="135">
        <f>YEAR(source[[#This Row],[report_date]])</f>
        <v>2025</v>
      </c>
      <c r="C5108" s="128">
        <f t="shared" si="236"/>
        <v>2</v>
      </c>
      <c r="D5108" s="136">
        <f t="shared" si="235"/>
        <v>8</v>
      </c>
      <c r="E5108" s="136">
        <f t="shared" si="237"/>
        <v>18</v>
      </c>
      <c r="F5108" s="128" t="s">
        <v>24</v>
      </c>
      <c r="G5108" s="128" t="str">
        <f>VLOOKUP(source[[#This Row],[lending_product_transform]],[3]Mapping!$B$4:$C$37,2,0)</f>
        <v>[Cake] - Cashloan</v>
      </c>
      <c r="H5108" s="128" t="str">
        <f>VLOOKUP(source[[#This Row],[lending_product_transform]],[3]Mapping!$B$3:$D$37,3,0)</f>
        <v>cashloan</v>
      </c>
      <c r="I5108" s="135">
        <v>4441940000</v>
      </c>
    </row>
    <row r="5109" spans="1:9" x14ac:dyDescent="0.2">
      <c r="A5109" s="134">
        <v>45706</v>
      </c>
      <c r="B5109" s="135">
        <f>YEAR(source[[#This Row],[report_date]])</f>
        <v>2025</v>
      </c>
      <c r="C5109" s="128">
        <f t="shared" si="236"/>
        <v>2</v>
      </c>
      <c r="D5109" s="136">
        <f t="shared" si="235"/>
        <v>8</v>
      </c>
      <c r="E5109" s="136">
        <f t="shared" si="237"/>
        <v>18</v>
      </c>
      <c r="F5109" s="128" t="s">
        <v>24</v>
      </c>
      <c r="G5109" s="128" t="str">
        <f>VLOOKUP(source[[#This Row],[lending_product_transform]],[3]Mapping!$B$4:$C$37,2,0)</f>
        <v>[Cake] - Cashloan</v>
      </c>
      <c r="H5109" s="128" t="str">
        <f>VLOOKUP(source[[#This Row],[lending_product_transform]],[3]Mapping!$B$3:$D$37,3,0)</f>
        <v>cashloan</v>
      </c>
      <c r="I5109" s="135">
        <v>5410730000</v>
      </c>
    </row>
    <row r="5110" spans="1:9" x14ac:dyDescent="0.2">
      <c r="A5110" s="134">
        <v>45706</v>
      </c>
      <c r="B5110" s="135">
        <f>YEAR(source[[#This Row],[report_date]])</f>
        <v>2025</v>
      </c>
      <c r="C5110" s="128">
        <f t="shared" si="236"/>
        <v>2</v>
      </c>
      <c r="D5110" s="136">
        <f t="shared" si="235"/>
        <v>8</v>
      </c>
      <c r="E5110" s="136">
        <f t="shared" si="237"/>
        <v>18</v>
      </c>
      <c r="F5110" s="128" t="s">
        <v>24</v>
      </c>
      <c r="G5110" s="128" t="str">
        <f>VLOOKUP(source[[#This Row],[lending_product_transform]],[3]Mapping!$B$4:$C$37,2,0)</f>
        <v>[Cake] - Cashloan</v>
      </c>
      <c r="H5110" s="128" t="str">
        <f>VLOOKUP(source[[#This Row],[lending_product_transform]],[3]Mapping!$B$3:$D$37,3,0)</f>
        <v>cashloan</v>
      </c>
      <c r="I5110" s="135">
        <v>3000763479</v>
      </c>
    </row>
    <row r="5111" spans="1:9" x14ac:dyDescent="0.2">
      <c r="A5111" s="134">
        <v>45706</v>
      </c>
      <c r="B5111" s="135">
        <f>YEAR(source[[#This Row],[report_date]])</f>
        <v>2025</v>
      </c>
      <c r="C5111" s="128">
        <f t="shared" si="236"/>
        <v>2</v>
      </c>
      <c r="D5111" s="136">
        <f t="shared" si="235"/>
        <v>8</v>
      </c>
      <c r="E5111" s="136">
        <f t="shared" si="237"/>
        <v>18</v>
      </c>
      <c r="F5111" s="128" t="s">
        <v>24</v>
      </c>
      <c r="G5111" s="128" t="str">
        <f>VLOOKUP(source[[#This Row],[lending_product_transform]],[3]Mapping!$B$4:$C$37,2,0)</f>
        <v>[Cake] - Cashloan</v>
      </c>
      <c r="H5111" s="128" t="str">
        <f>VLOOKUP(source[[#This Row],[lending_product_transform]],[3]Mapping!$B$3:$D$37,3,0)</f>
        <v>cashloan</v>
      </c>
      <c r="I5111" s="135">
        <v>15001935</v>
      </c>
    </row>
    <row r="5112" spans="1:9" x14ac:dyDescent="0.2">
      <c r="A5112" s="134">
        <v>45706</v>
      </c>
      <c r="B5112" s="135">
        <f>YEAR(source[[#This Row],[report_date]])</f>
        <v>2025</v>
      </c>
      <c r="C5112" s="128">
        <f t="shared" si="236"/>
        <v>2</v>
      </c>
      <c r="D5112" s="136">
        <f t="shared" si="235"/>
        <v>8</v>
      </c>
      <c r="E5112" s="136">
        <f t="shared" si="237"/>
        <v>18</v>
      </c>
      <c r="F5112" s="128" t="s">
        <v>24</v>
      </c>
      <c r="G5112" s="128" t="str">
        <f>VLOOKUP(source[[#This Row],[lending_product_transform]],[3]Mapping!$B$4:$C$37,2,0)</f>
        <v>[Cake] - Cashloan</v>
      </c>
      <c r="H5112" s="128" t="str">
        <f>VLOOKUP(source[[#This Row],[lending_product_transform]],[3]Mapping!$B$3:$D$37,3,0)</f>
        <v>cashloan</v>
      </c>
      <c r="I5112" s="135">
        <v>83000000</v>
      </c>
    </row>
    <row r="5113" spans="1:9" x14ac:dyDescent="0.2">
      <c r="A5113" s="134">
        <v>45706</v>
      </c>
      <c r="B5113" s="135">
        <f>YEAR(source[[#This Row],[report_date]])</f>
        <v>2025</v>
      </c>
      <c r="C5113" s="128">
        <f t="shared" si="236"/>
        <v>2</v>
      </c>
      <c r="D5113" s="136">
        <f t="shared" si="235"/>
        <v>8</v>
      </c>
      <c r="E5113" s="136">
        <f t="shared" si="237"/>
        <v>18</v>
      </c>
      <c r="F5113" s="128" t="s">
        <v>24</v>
      </c>
      <c r="G5113" s="128" t="str">
        <f>VLOOKUP(source[[#This Row],[lending_product_transform]],[3]Mapping!$B$4:$C$37,2,0)</f>
        <v>[Cake] - Cashloan</v>
      </c>
      <c r="H5113" s="128" t="str">
        <f>VLOOKUP(source[[#This Row],[lending_product_transform]],[3]Mapping!$B$3:$D$37,3,0)</f>
        <v>cashloan</v>
      </c>
      <c r="I5113" s="135">
        <v>0</v>
      </c>
    </row>
    <row r="5114" spans="1:9" x14ac:dyDescent="0.2">
      <c r="A5114" s="134">
        <v>45706</v>
      </c>
      <c r="B5114" s="135">
        <f>YEAR(source[[#This Row],[report_date]])</f>
        <v>2025</v>
      </c>
      <c r="C5114" s="128">
        <f t="shared" si="236"/>
        <v>2</v>
      </c>
      <c r="D5114" s="136">
        <f t="shared" si="235"/>
        <v>8</v>
      </c>
      <c r="E5114" s="136">
        <f t="shared" si="237"/>
        <v>18</v>
      </c>
      <c r="F5114" s="128" t="s">
        <v>24</v>
      </c>
      <c r="G5114" s="128" t="str">
        <f>VLOOKUP(source[[#This Row],[lending_product_transform]],[3]Mapping!$B$4:$C$37,2,0)</f>
        <v>[Cake] - Cashloan</v>
      </c>
      <c r="H5114" s="128" t="str">
        <f>VLOOKUP(source[[#This Row],[lending_product_transform]],[3]Mapping!$B$3:$D$37,3,0)</f>
        <v>cashloan</v>
      </c>
      <c r="I5114" s="135">
        <v>5091500000</v>
      </c>
    </row>
    <row r="5115" spans="1:9" x14ac:dyDescent="0.2">
      <c r="A5115" s="134">
        <v>45706</v>
      </c>
      <c r="B5115" s="135">
        <f>YEAR(source[[#This Row],[report_date]])</f>
        <v>2025</v>
      </c>
      <c r="C5115" s="128">
        <f t="shared" si="236"/>
        <v>2</v>
      </c>
      <c r="D5115" s="136">
        <f t="shared" si="235"/>
        <v>8</v>
      </c>
      <c r="E5115" s="136">
        <f t="shared" si="237"/>
        <v>18</v>
      </c>
      <c r="F5115" s="128" t="s">
        <v>24</v>
      </c>
      <c r="G5115" s="128" t="str">
        <f>VLOOKUP(source[[#This Row],[lending_product_transform]],[3]Mapping!$B$4:$C$37,2,0)</f>
        <v>[Cake] - Cashloan</v>
      </c>
      <c r="H5115" s="128" t="str">
        <f>VLOOKUP(source[[#This Row],[lending_product_transform]],[3]Mapping!$B$3:$D$37,3,0)</f>
        <v>cashloan</v>
      </c>
      <c r="I5115" s="135">
        <v>534740000</v>
      </c>
    </row>
    <row r="5116" spans="1:9" x14ac:dyDescent="0.2">
      <c r="A5116" s="134">
        <v>45706</v>
      </c>
      <c r="B5116" s="135">
        <f>YEAR(source[[#This Row],[report_date]])</f>
        <v>2025</v>
      </c>
      <c r="C5116" s="128">
        <f t="shared" si="236"/>
        <v>2</v>
      </c>
      <c r="D5116" s="136">
        <f t="shared" si="235"/>
        <v>8</v>
      </c>
      <c r="E5116" s="136">
        <f t="shared" si="237"/>
        <v>18</v>
      </c>
      <c r="F5116" s="128" t="s">
        <v>24</v>
      </c>
      <c r="G5116" s="128" t="str">
        <f>VLOOKUP(source[[#This Row],[lending_product_transform]],[3]Mapping!$B$4:$C$37,2,0)</f>
        <v>[Cake] - Cashloan</v>
      </c>
      <c r="H5116" s="128" t="str">
        <f>VLOOKUP(source[[#This Row],[lending_product_transform]],[3]Mapping!$B$3:$D$37,3,0)</f>
        <v>cashloan</v>
      </c>
      <c r="I5116" s="135">
        <v>0</v>
      </c>
    </row>
    <row r="5117" spans="1:9" x14ac:dyDescent="0.2">
      <c r="A5117" s="134">
        <v>45706</v>
      </c>
      <c r="B5117" s="135">
        <f>YEAR(source[[#This Row],[report_date]])</f>
        <v>2025</v>
      </c>
      <c r="C5117" s="128">
        <f t="shared" si="236"/>
        <v>2</v>
      </c>
      <c r="D5117" s="136">
        <f t="shared" si="235"/>
        <v>8</v>
      </c>
      <c r="E5117" s="136">
        <f t="shared" si="237"/>
        <v>18</v>
      </c>
      <c r="F5117" s="128" t="s">
        <v>24</v>
      </c>
      <c r="G5117" s="128" t="str">
        <f>VLOOKUP(source[[#This Row],[lending_product_transform]],[3]Mapping!$B$4:$C$37,2,0)</f>
        <v>[Cake] - Cashloan</v>
      </c>
      <c r="H5117" s="128" t="str">
        <f>VLOOKUP(source[[#This Row],[lending_product_transform]],[3]Mapping!$B$3:$D$37,3,0)</f>
        <v>cashloan</v>
      </c>
      <c r="I5117" s="135">
        <v>0</v>
      </c>
    </row>
    <row r="5118" spans="1:9" x14ac:dyDescent="0.2">
      <c r="A5118" s="134">
        <v>45706</v>
      </c>
      <c r="B5118" s="135">
        <f>YEAR(source[[#This Row],[report_date]])</f>
        <v>2025</v>
      </c>
      <c r="C5118" s="128">
        <f t="shared" si="236"/>
        <v>2</v>
      </c>
      <c r="D5118" s="136">
        <f t="shared" si="235"/>
        <v>8</v>
      </c>
      <c r="E5118" s="136">
        <f t="shared" si="237"/>
        <v>18</v>
      </c>
      <c r="F5118" s="128" t="s">
        <v>24</v>
      </c>
      <c r="G5118" s="128" t="str">
        <f>VLOOKUP(source[[#This Row],[lending_product_transform]],[3]Mapping!$B$4:$C$37,2,0)</f>
        <v>[Cake] - Cashloan</v>
      </c>
      <c r="H5118" s="128" t="str">
        <f>VLOOKUP(source[[#This Row],[lending_product_transform]],[3]Mapping!$B$3:$D$37,3,0)</f>
        <v>cashloan</v>
      </c>
      <c r="I5118" s="135">
        <v>0</v>
      </c>
    </row>
    <row r="5119" spans="1:9" x14ac:dyDescent="0.2">
      <c r="A5119" s="134">
        <v>45706</v>
      </c>
      <c r="B5119" s="135">
        <f>YEAR(source[[#This Row],[report_date]])</f>
        <v>2025</v>
      </c>
      <c r="C5119" s="128">
        <f t="shared" si="236"/>
        <v>2</v>
      </c>
      <c r="D5119" s="136">
        <f t="shared" si="235"/>
        <v>8</v>
      </c>
      <c r="E5119" s="136">
        <f t="shared" si="237"/>
        <v>18</v>
      </c>
      <c r="F5119" s="128" t="s">
        <v>24</v>
      </c>
      <c r="G5119" s="128" t="str">
        <f>VLOOKUP(source[[#This Row],[lending_product_transform]],[3]Mapping!$B$4:$C$37,2,0)</f>
        <v>[Cake] - Cashloan</v>
      </c>
      <c r="H5119" s="128" t="str">
        <f>VLOOKUP(source[[#This Row],[lending_product_transform]],[3]Mapping!$B$3:$D$37,3,0)</f>
        <v>cashloan</v>
      </c>
      <c r="I5119" s="135">
        <v>0</v>
      </c>
    </row>
    <row r="5120" spans="1:9" x14ac:dyDescent="0.2">
      <c r="A5120" s="134">
        <v>45706</v>
      </c>
      <c r="B5120" s="135">
        <f>YEAR(source[[#This Row],[report_date]])</f>
        <v>2025</v>
      </c>
      <c r="C5120" s="128">
        <f t="shared" si="236"/>
        <v>2</v>
      </c>
      <c r="D5120" s="136">
        <f t="shared" si="235"/>
        <v>8</v>
      </c>
      <c r="E5120" s="136">
        <f t="shared" si="237"/>
        <v>18</v>
      </c>
      <c r="F5120" s="128" t="s">
        <v>24</v>
      </c>
      <c r="G5120" s="128" t="str">
        <f>VLOOKUP(source[[#This Row],[lending_product_transform]],[3]Mapping!$B$4:$C$37,2,0)</f>
        <v>[Cake] - Cashloan</v>
      </c>
      <c r="H5120" s="128" t="str">
        <f>VLOOKUP(source[[#This Row],[lending_product_transform]],[3]Mapping!$B$3:$D$37,3,0)</f>
        <v>cashloan</v>
      </c>
      <c r="I5120" s="135">
        <v>0</v>
      </c>
    </row>
    <row r="5121" spans="1:9" x14ac:dyDescent="0.2">
      <c r="A5121" s="134">
        <v>45706</v>
      </c>
      <c r="B5121" s="135">
        <f>YEAR(source[[#This Row],[report_date]])</f>
        <v>2025</v>
      </c>
      <c r="C5121" s="128">
        <f t="shared" si="236"/>
        <v>2</v>
      </c>
      <c r="D5121" s="136">
        <f t="shared" si="235"/>
        <v>8</v>
      </c>
      <c r="E5121" s="136">
        <f t="shared" si="237"/>
        <v>18</v>
      </c>
      <c r="F5121" s="128" t="s">
        <v>24</v>
      </c>
      <c r="G5121" s="128" t="str">
        <f>VLOOKUP(source[[#This Row],[lending_product_transform]],[3]Mapping!$B$4:$C$37,2,0)</f>
        <v>[Cake] - Cashloan</v>
      </c>
      <c r="H5121" s="128" t="str">
        <f>VLOOKUP(source[[#This Row],[lending_product_transform]],[3]Mapping!$B$3:$D$37,3,0)</f>
        <v>cashloan</v>
      </c>
      <c r="I5121" s="135">
        <v>0</v>
      </c>
    </row>
    <row r="5122" spans="1:9" x14ac:dyDescent="0.2">
      <c r="A5122" s="134">
        <v>45706</v>
      </c>
      <c r="B5122" s="135">
        <f>YEAR(source[[#This Row],[report_date]])</f>
        <v>2025</v>
      </c>
      <c r="C5122" s="128">
        <f t="shared" si="236"/>
        <v>2</v>
      </c>
      <c r="D5122" s="136">
        <f t="shared" si="235"/>
        <v>8</v>
      </c>
      <c r="E5122" s="136">
        <f t="shared" si="237"/>
        <v>18</v>
      </c>
      <c r="F5122" s="128" t="s">
        <v>24</v>
      </c>
      <c r="G5122" s="128" t="str">
        <f>VLOOKUP(source[[#This Row],[lending_product_transform]],[3]Mapping!$B$4:$C$37,2,0)</f>
        <v>[Cake] - Cashloan</v>
      </c>
      <c r="H5122" s="128" t="str">
        <f>VLOOKUP(source[[#This Row],[lending_product_transform]],[3]Mapping!$B$3:$D$37,3,0)</f>
        <v>cashloan</v>
      </c>
      <c r="I5122" s="135">
        <v>204990000</v>
      </c>
    </row>
    <row r="5123" spans="1:9" x14ac:dyDescent="0.2">
      <c r="A5123" s="134">
        <v>45706</v>
      </c>
      <c r="B5123" s="135">
        <f>YEAR(source[[#This Row],[report_date]])</f>
        <v>2025</v>
      </c>
      <c r="C5123" s="128">
        <f t="shared" si="236"/>
        <v>2</v>
      </c>
      <c r="D5123" s="136">
        <f t="shared" ref="D5123:D5186" si="238">WEEKNUM(A5123,2)</f>
        <v>8</v>
      </c>
      <c r="E5123" s="136">
        <f t="shared" si="237"/>
        <v>18</v>
      </c>
      <c r="F5123" s="128" t="s">
        <v>24</v>
      </c>
      <c r="G5123" s="128" t="str">
        <f>VLOOKUP(source[[#This Row],[lending_product_transform]],[3]Mapping!$B$4:$C$37,2,0)</f>
        <v>[Cake] - Cashloan</v>
      </c>
      <c r="H5123" s="128" t="str">
        <f>VLOOKUP(source[[#This Row],[lending_product_transform]],[3]Mapping!$B$3:$D$37,3,0)</f>
        <v>cashloan</v>
      </c>
      <c r="I5123" s="135">
        <v>0</v>
      </c>
    </row>
    <row r="5124" spans="1:9" x14ac:dyDescent="0.2">
      <c r="A5124" s="134">
        <v>45706</v>
      </c>
      <c r="B5124" s="135">
        <f>YEAR(source[[#This Row],[report_date]])</f>
        <v>2025</v>
      </c>
      <c r="C5124" s="128">
        <f t="shared" si="236"/>
        <v>2</v>
      </c>
      <c r="D5124" s="136">
        <f t="shared" si="238"/>
        <v>8</v>
      </c>
      <c r="E5124" s="136">
        <f t="shared" si="237"/>
        <v>18</v>
      </c>
      <c r="F5124" s="128" t="s">
        <v>24</v>
      </c>
      <c r="G5124" s="128" t="str">
        <f>VLOOKUP(source[[#This Row],[lending_product_transform]],[3]Mapping!$B$4:$C$37,2,0)</f>
        <v>[Cake] - Cashloan</v>
      </c>
      <c r="H5124" s="128" t="str">
        <f>VLOOKUP(source[[#This Row],[lending_product_transform]],[3]Mapping!$B$3:$D$37,3,0)</f>
        <v>cashloan</v>
      </c>
      <c r="I5124" s="135">
        <v>223699002</v>
      </c>
    </row>
    <row r="5125" spans="1:9" x14ac:dyDescent="0.2">
      <c r="A5125" s="134">
        <v>45706</v>
      </c>
      <c r="B5125" s="135">
        <f>YEAR(source[[#This Row],[report_date]])</f>
        <v>2025</v>
      </c>
      <c r="C5125" s="128">
        <f t="shared" si="236"/>
        <v>2</v>
      </c>
      <c r="D5125" s="136">
        <f t="shared" si="238"/>
        <v>8</v>
      </c>
      <c r="E5125" s="136">
        <f t="shared" si="237"/>
        <v>18</v>
      </c>
      <c r="F5125" s="128" t="s">
        <v>24</v>
      </c>
      <c r="G5125" s="128" t="str">
        <f>VLOOKUP(source[[#This Row],[lending_product_transform]],[3]Mapping!$B$4:$C$37,2,0)</f>
        <v>[Cake] - Cashloan</v>
      </c>
      <c r="H5125" s="128" t="str">
        <f>VLOOKUP(source[[#This Row],[lending_product_transform]],[3]Mapping!$B$3:$D$37,3,0)</f>
        <v>cashloan</v>
      </c>
      <c r="I5125" s="135">
        <v>160177408</v>
      </c>
    </row>
    <row r="5126" spans="1:9" x14ac:dyDescent="0.2">
      <c r="A5126" s="134">
        <v>45706</v>
      </c>
      <c r="B5126" s="135">
        <f>YEAR(source[[#This Row],[report_date]])</f>
        <v>2025</v>
      </c>
      <c r="C5126" s="128">
        <f t="shared" si="236"/>
        <v>2</v>
      </c>
      <c r="D5126" s="136">
        <f t="shared" si="238"/>
        <v>8</v>
      </c>
      <c r="E5126" s="136">
        <f t="shared" si="237"/>
        <v>18</v>
      </c>
      <c r="F5126" s="128" t="s">
        <v>24</v>
      </c>
      <c r="G5126" s="128" t="str">
        <f>VLOOKUP(source[[#This Row],[lending_product_transform]],[3]Mapping!$B$4:$C$37,2,0)</f>
        <v>[Cake] - Cashloan</v>
      </c>
      <c r="H5126" s="128" t="str">
        <f>VLOOKUP(source[[#This Row],[lending_product_transform]],[3]Mapping!$B$3:$D$37,3,0)</f>
        <v>cashloan</v>
      </c>
      <c r="I5126" s="135">
        <v>273306186</v>
      </c>
    </row>
    <row r="5127" spans="1:9" x14ac:dyDescent="0.2">
      <c r="A5127" s="134">
        <v>45707</v>
      </c>
      <c r="B5127" s="135">
        <f>YEAR(source[[#This Row],[report_date]])</f>
        <v>2025</v>
      </c>
      <c r="C5127" s="128">
        <f t="shared" si="236"/>
        <v>2</v>
      </c>
      <c r="D5127" s="136">
        <f t="shared" si="238"/>
        <v>8</v>
      </c>
      <c r="E5127" s="136">
        <f t="shared" si="237"/>
        <v>19</v>
      </c>
      <c r="F5127" s="128" t="s">
        <v>24</v>
      </c>
      <c r="G5127" s="128" t="str">
        <f>VLOOKUP(source[[#This Row],[lending_product_transform]],[3]Mapping!$B$4:$C$37,2,0)</f>
        <v>[Cake] - Cashloan</v>
      </c>
      <c r="H5127" s="128" t="str">
        <f>VLOOKUP(source[[#This Row],[lending_product_transform]],[3]Mapping!$B$3:$D$37,3,0)</f>
        <v>cashloan</v>
      </c>
      <c r="I5127" s="135">
        <v>0</v>
      </c>
    </row>
    <row r="5128" spans="1:9" x14ac:dyDescent="0.2">
      <c r="A5128" s="134">
        <v>45707</v>
      </c>
      <c r="B5128" s="135">
        <f>YEAR(source[[#This Row],[report_date]])</f>
        <v>2025</v>
      </c>
      <c r="C5128" s="128">
        <f t="shared" si="236"/>
        <v>2</v>
      </c>
      <c r="D5128" s="136">
        <f t="shared" si="238"/>
        <v>8</v>
      </c>
      <c r="E5128" s="136">
        <f t="shared" si="237"/>
        <v>19</v>
      </c>
      <c r="F5128" s="128" t="s">
        <v>24</v>
      </c>
      <c r="G5128" s="128" t="str">
        <f>VLOOKUP(source[[#This Row],[lending_product_transform]],[3]Mapping!$B$4:$C$37,2,0)</f>
        <v>[Cake] - Cashloan</v>
      </c>
      <c r="H5128" s="128" t="str">
        <f>VLOOKUP(source[[#This Row],[lending_product_transform]],[3]Mapping!$B$3:$D$37,3,0)</f>
        <v>cashloan</v>
      </c>
      <c r="I5128" s="135">
        <v>584470000</v>
      </c>
    </row>
    <row r="5129" spans="1:9" x14ac:dyDescent="0.2">
      <c r="A5129" s="134">
        <v>45707</v>
      </c>
      <c r="B5129" s="135">
        <f>YEAR(source[[#This Row],[report_date]])</f>
        <v>2025</v>
      </c>
      <c r="C5129" s="128">
        <f t="shared" si="236"/>
        <v>2</v>
      </c>
      <c r="D5129" s="136">
        <f t="shared" si="238"/>
        <v>8</v>
      </c>
      <c r="E5129" s="136">
        <f t="shared" si="237"/>
        <v>19</v>
      </c>
      <c r="F5129" s="128" t="s">
        <v>24</v>
      </c>
      <c r="G5129" s="128" t="str">
        <f>VLOOKUP(source[[#This Row],[lending_product_transform]],[3]Mapping!$B$4:$C$37,2,0)</f>
        <v>[Cake] - Cashloan</v>
      </c>
      <c r="H5129" s="128" t="str">
        <f>VLOOKUP(source[[#This Row],[lending_product_transform]],[3]Mapping!$B$3:$D$37,3,0)</f>
        <v>cashloan</v>
      </c>
      <c r="I5129" s="135">
        <v>315330502</v>
      </c>
    </row>
    <row r="5130" spans="1:9" x14ac:dyDescent="0.2">
      <c r="A5130" s="134">
        <v>45707</v>
      </c>
      <c r="B5130" s="135">
        <f>YEAR(source[[#This Row],[report_date]])</f>
        <v>2025</v>
      </c>
      <c r="C5130" s="128">
        <f t="shared" si="236"/>
        <v>2</v>
      </c>
      <c r="D5130" s="136">
        <f t="shared" si="238"/>
        <v>8</v>
      </c>
      <c r="E5130" s="136">
        <f t="shared" si="237"/>
        <v>19</v>
      </c>
      <c r="F5130" s="128" t="s">
        <v>24</v>
      </c>
      <c r="G5130" s="128" t="str">
        <f>VLOOKUP(source[[#This Row],[lending_product_transform]],[3]Mapping!$B$4:$C$37,2,0)</f>
        <v>[Cake] - Cashloan</v>
      </c>
      <c r="H5130" s="128" t="str">
        <f>VLOOKUP(source[[#This Row],[lending_product_transform]],[3]Mapping!$B$3:$D$37,3,0)</f>
        <v>cashloan</v>
      </c>
      <c r="I5130" s="135">
        <v>236464313</v>
      </c>
    </row>
    <row r="5131" spans="1:9" x14ac:dyDescent="0.2">
      <c r="A5131" s="134">
        <v>45707</v>
      </c>
      <c r="B5131" s="135">
        <f>YEAR(source[[#This Row],[report_date]])</f>
        <v>2025</v>
      </c>
      <c r="C5131" s="128">
        <f t="shared" si="236"/>
        <v>2</v>
      </c>
      <c r="D5131" s="136">
        <f t="shared" si="238"/>
        <v>8</v>
      </c>
      <c r="E5131" s="136">
        <f t="shared" si="237"/>
        <v>19</v>
      </c>
      <c r="F5131" s="128" t="s">
        <v>24</v>
      </c>
      <c r="G5131" s="128" t="str">
        <f>VLOOKUP(source[[#This Row],[lending_product_transform]],[3]Mapping!$B$4:$C$37,2,0)</f>
        <v>[Cake] - Cashloan</v>
      </c>
      <c r="H5131" s="128" t="str">
        <f>VLOOKUP(source[[#This Row],[lending_product_transform]],[3]Mapping!$B$3:$D$37,3,0)</f>
        <v>cashloan</v>
      </c>
      <c r="I5131" s="135">
        <v>72500000</v>
      </c>
    </row>
    <row r="5132" spans="1:9" x14ac:dyDescent="0.2">
      <c r="A5132" s="134">
        <v>45707</v>
      </c>
      <c r="B5132" s="135">
        <f>YEAR(source[[#This Row],[report_date]])</f>
        <v>2025</v>
      </c>
      <c r="C5132" s="128">
        <f t="shared" si="236"/>
        <v>2</v>
      </c>
      <c r="D5132" s="136">
        <f t="shared" si="238"/>
        <v>8</v>
      </c>
      <c r="E5132" s="136">
        <f t="shared" si="237"/>
        <v>19</v>
      </c>
      <c r="F5132" s="128" t="s">
        <v>24</v>
      </c>
      <c r="G5132" s="128" t="str">
        <f>VLOOKUP(source[[#This Row],[lending_product_transform]],[3]Mapping!$B$4:$C$37,2,0)</f>
        <v>[Cake] - Cashloan</v>
      </c>
      <c r="H5132" s="128" t="str">
        <f>VLOOKUP(source[[#This Row],[lending_product_transform]],[3]Mapping!$B$3:$D$37,3,0)</f>
        <v>cashloan</v>
      </c>
      <c r="I5132" s="135">
        <v>2956404987</v>
      </c>
    </row>
    <row r="5133" spans="1:9" x14ac:dyDescent="0.2">
      <c r="A5133" s="134">
        <v>45707</v>
      </c>
      <c r="B5133" s="135">
        <f>YEAR(source[[#This Row],[report_date]])</f>
        <v>2025</v>
      </c>
      <c r="C5133" s="128">
        <f t="shared" si="236"/>
        <v>2</v>
      </c>
      <c r="D5133" s="136">
        <f t="shared" si="238"/>
        <v>8</v>
      </c>
      <c r="E5133" s="136">
        <f t="shared" si="237"/>
        <v>19</v>
      </c>
      <c r="F5133" s="128" t="s">
        <v>24</v>
      </c>
      <c r="G5133" s="128" t="str">
        <f>VLOOKUP(source[[#This Row],[lending_product_transform]],[3]Mapping!$B$4:$C$37,2,0)</f>
        <v>[Cake] - Cashloan</v>
      </c>
      <c r="H5133" s="128" t="str">
        <f>VLOOKUP(source[[#This Row],[lending_product_transform]],[3]Mapping!$B$3:$D$37,3,0)</f>
        <v>cashloan</v>
      </c>
      <c r="I5133" s="135">
        <v>0</v>
      </c>
    </row>
    <row r="5134" spans="1:9" x14ac:dyDescent="0.2">
      <c r="A5134" s="134">
        <v>45707</v>
      </c>
      <c r="B5134" s="135">
        <f>YEAR(source[[#This Row],[report_date]])</f>
        <v>2025</v>
      </c>
      <c r="C5134" s="128">
        <f t="shared" si="236"/>
        <v>2</v>
      </c>
      <c r="D5134" s="136">
        <f t="shared" si="238"/>
        <v>8</v>
      </c>
      <c r="E5134" s="136">
        <f t="shared" si="237"/>
        <v>19</v>
      </c>
      <c r="F5134" s="128" t="s">
        <v>24</v>
      </c>
      <c r="G5134" s="128" t="str">
        <f>VLOOKUP(source[[#This Row],[lending_product_transform]],[3]Mapping!$B$4:$C$37,2,0)</f>
        <v>[Cake] - Cashloan</v>
      </c>
      <c r="H5134" s="128" t="str">
        <f>VLOOKUP(source[[#This Row],[lending_product_transform]],[3]Mapping!$B$3:$D$37,3,0)</f>
        <v>cashloan</v>
      </c>
      <c r="I5134" s="135">
        <v>4440390000</v>
      </c>
    </row>
    <row r="5135" spans="1:9" x14ac:dyDescent="0.2">
      <c r="A5135" s="134">
        <v>45707</v>
      </c>
      <c r="B5135" s="135">
        <f>YEAR(source[[#This Row],[report_date]])</f>
        <v>2025</v>
      </c>
      <c r="C5135" s="128">
        <f t="shared" si="236"/>
        <v>2</v>
      </c>
      <c r="D5135" s="136">
        <f t="shared" si="238"/>
        <v>8</v>
      </c>
      <c r="E5135" s="136">
        <f t="shared" si="237"/>
        <v>19</v>
      </c>
      <c r="F5135" s="128" t="s">
        <v>24</v>
      </c>
      <c r="G5135" s="128" t="str">
        <f>VLOOKUP(source[[#This Row],[lending_product_transform]],[3]Mapping!$B$4:$C$37,2,0)</f>
        <v>[Cake] - Cashloan</v>
      </c>
      <c r="H5135" s="128" t="str">
        <f>VLOOKUP(source[[#This Row],[lending_product_transform]],[3]Mapping!$B$3:$D$37,3,0)</f>
        <v>cashloan</v>
      </c>
      <c r="I5135" s="135">
        <v>4972500000</v>
      </c>
    </row>
    <row r="5136" spans="1:9" x14ac:dyDescent="0.2">
      <c r="A5136" s="134">
        <v>45707</v>
      </c>
      <c r="B5136" s="135">
        <f>YEAR(source[[#This Row],[report_date]])</f>
        <v>2025</v>
      </c>
      <c r="C5136" s="128">
        <f t="shared" si="236"/>
        <v>2</v>
      </c>
      <c r="D5136" s="136">
        <f t="shared" si="238"/>
        <v>8</v>
      </c>
      <c r="E5136" s="136">
        <f t="shared" si="237"/>
        <v>19</v>
      </c>
      <c r="F5136" s="128" t="s">
        <v>24</v>
      </c>
      <c r="G5136" s="128" t="str">
        <f>VLOOKUP(source[[#This Row],[lending_product_transform]],[3]Mapping!$B$4:$C$37,2,0)</f>
        <v>[Cake] - Cashloan</v>
      </c>
      <c r="H5136" s="128" t="str">
        <f>VLOOKUP(source[[#This Row],[lending_product_transform]],[3]Mapping!$B$3:$D$37,3,0)</f>
        <v>cashloan</v>
      </c>
      <c r="I5136" s="135">
        <v>289280000</v>
      </c>
    </row>
    <row r="5137" spans="1:9" x14ac:dyDescent="0.2">
      <c r="A5137" s="134">
        <v>45707</v>
      </c>
      <c r="B5137" s="135">
        <f>YEAR(source[[#This Row],[report_date]])</f>
        <v>2025</v>
      </c>
      <c r="C5137" s="128">
        <f t="shared" si="236"/>
        <v>2</v>
      </c>
      <c r="D5137" s="136">
        <f t="shared" si="238"/>
        <v>8</v>
      </c>
      <c r="E5137" s="136">
        <f t="shared" si="237"/>
        <v>19</v>
      </c>
      <c r="F5137" s="128" t="s">
        <v>24</v>
      </c>
      <c r="G5137" s="128" t="str">
        <f>VLOOKUP(source[[#This Row],[lending_product_transform]],[3]Mapping!$B$4:$C$37,2,0)</f>
        <v>[Cake] - Cashloan</v>
      </c>
      <c r="H5137" s="128" t="str">
        <f>VLOOKUP(source[[#This Row],[lending_product_transform]],[3]Mapping!$B$3:$D$37,3,0)</f>
        <v>cashloan</v>
      </c>
      <c r="I5137" s="135">
        <v>4899710000</v>
      </c>
    </row>
    <row r="5138" spans="1:9" x14ac:dyDescent="0.2">
      <c r="A5138" s="134">
        <v>45707</v>
      </c>
      <c r="B5138" s="135">
        <f>YEAR(source[[#This Row],[report_date]])</f>
        <v>2025</v>
      </c>
      <c r="C5138" s="128">
        <f t="shared" si="236"/>
        <v>2</v>
      </c>
      <c r="D5138" s="136">
        <f t="shared" si="238"/>
        <v>8</v>
      </c>
      <c r="E5138" s="136">
        <f t="shared" si="237"/>
        <v>19</v>
      </c>
      <c r="F5138" s="128" t="s">
        <v>24</v>
      </c>
      <c r="G5138" s="128" t="str">
        <f>VLOOKUP(source[[#This Row],[lending_product_transform]],[3]Mapping!$B$4:$C$37,2,0)</f>
        <v>[Cake] - Cashloan</v>
      </c>
      <c r="H5138" s="128" t="str">
        <f>VLOOKUP(source[[#This Row],[lending_product_transform]],[3]Mapping!$B$3:$D$37,3,0)</f>
        <v>cashloan</v>
      </c>
      <c r="I5138" s="135">
        <v>0</v>
      </c>
    </row>
    <row r="5139" spans="1:9" x14ac:dyDescent="0.2">
      <c r="A5139" s="134">
        <v>45707</v>
      </c>
      <c r="B5139" s="135">
        <f>YEAR(source[[#This Row],[report_date]])</f>
        <v>2025</v>
      </c>
      <c r="C5139" s="128">
        <f t="shared" si="236"/>
        <v>2</v>
      </c>
      <c r="D5139" s="136">
        <f t="shared" si="238"/>
        <v>8</v>
      </c>
      <c r="E5139" s="136">
        <f t="shared" si="237"/>
        <v>19</v>
      </c>
      <c r="F5139" s="128" t="s">
        <v>24</v>
      </c>
      <c r="G5139" s="128" t="str">
        <f>VLOOKUP(source[[#This Row],[lending_product_transform]],[3]Mapping!$B$4:$C$37,2,0)</f>
        <v>[Cake] - Cashloan</v>
      </c>
      <c r="H5139" s="128" t="str">
        <f>VLOOKUP(source[[#This Row],[lending_product_transform]],[3]Mapping!$B$3:$D$37,3,0)</f>
        <v>cashloan</v>
      </c>
      <c r="I5139" s="135">
        <v>13000000</v>
      </c>
    </row>
    <row r="5140" spans="1:9" x14ac:dyDescent="0.2">
      <c r="A5140" s="134">
        <v>45707</v>
      </c>
      <c r="B5140" s="135">
        <f>YEAR(source[[#This Row],[report_date]])</f>
        <v>2025</v>
      </c>
      <c r="C5140" s="128">
        <f t="shared" si="236"/>
        <v>2</v>
      </c>
      <c r="D5140" s="136">
        <f t="shared" si="238"/>
        <v>8</v>
      </c>
      <c r="E5140" s="136">
        <f t="shared" si="237"/>
        <v>19</v>
      </c>
      <c r="F5140" s="128" t="s">
        <v>24</v>
      </c>
      <c r="G5140" s="128" t="str">
        <f>VLOOKUP(source[[#This Row],[lending_product_transform]],[3]Mapping!$B$4:$C$37,2,0)</f>
        <v>[Cake] - Cashloan</v>
      </c>
      <c r="H5140" s="128" t="str">
        <f>VLOOKUP(source[[#This Row],[lending_product_transform]],[3]Mapping!$B$3:$D$37,3,0)</f>
        <v>cashloan</v>
      </c>
      <c r="I5140" s="135">
        <v>0</v>
      </c>
    </row>
    <row r="5141" spans="1:9" x14ac:dyDescent="0.2">
      <c r="A5141" s="134">
        <v>45707</v>
      </c>
      <c r="B5141" s="135">
        <f>YEAR(source[[#This Row],[report_date]])</f>
        <v>2025</v>
      </c>
      <c r="C5141" s="128">
        <f t="shared" si="236"/>
        <v>2</v>
      </c>
      <c r="D5141" s="136">
        <f t="shared" si="238"/>
        <v>8</v>
      </c>
      <c r="E5141" s="136">
        <f t="shared" si="237"/>
        <v>19</v>
      </c>
      <c r="F5141" s="128" t="s">
        <v>24</v>
      </c>
      <c r="G5141" s="128" t="str">
        <f>VLOOKUP(source[[#This Row],[lending_product_transform]],[3]Mapping!$B$4:$C$37,2,0)</f>
        <v>[Cake] - Cashloan</v>
      </c>
      <c r="H5141" s="128" t="str">
        <f>VLOOKUP(source[[#This Row],[lending_product_transform]],[3]Mapping!$B$3:$D$37,3,0)</f>
        <v>cashloan</v>
      </c>
      <c r="I5141" s="135">
        <v>138608683</v>
      </c>
    </row>
    <row r="5142" spans="1:9" x14ac:dyDescent="0.2">
      <c r="A5142" s="134">
        <v>45707</v>
      </c>
      <c r="B5142" s="135">
        <f>YEAR(source[[#This Row],[report_date]])</f>
        <v>2025</v>
      </c>
      <c r="C5142" s="128">
        <f t="shared" si="236"/>
        <v>2</v>
      </c>
      <c r="D5142" s="136">
        <f t="shared" si="238"/>
        <v>8</v>
      </c>
      <c r="E5142" s="136">
        <f t="shared" si="237"/>
        <v>19</v>
      </c>
      <c r="F5142" s="128" t="s">
        <v>24</v>
      </c>
      <c r="G5142" s="128" t="str">
        <f>VLOOKUP(source[[#This Row],[lending_product_transform]],[3]Mapping!$B$4:$C$37,2,0)</f>
        <v>[Cake] - Cashloan</v>
      </c>
      <c r="H5142" s="128" t="str">
        <f>VLOOKUP(source[[#This Row],[lending_product_transform]],[3]Mapping!$B$3:$D$37,3,0)</f>
        <v>cashloan</v>
      </c>
      <c r="I5142" s="135">
        <v>0</v>
      </c>
    </row>
    <row r="5143" spans="1:9" x14ac:dyDescent="0.2">
      <c r="A5143" s="134">
        <v>45707</v>
      </c>
      <c r="B5143" s="135">
        <f>YEAR(source[[#This Row],[report_date]])</f>
        <v>2025</v>
      </c>
      <c r="C5143" s="128">
        <f t="shared" si="236"/>
        <v>2</v>
      </c>
      <c r="D5143" s="136">
        <f t="shared" si="238"/>
        <v>8</v>
      </c>
      <c r="E5143" s="136">
        <f t="shared" si="237"/>
        <v>19</v>
      </c>
      <c r="F5143" s="128" t="s">
        <v>24</v>
      </c>
      <c r="G5143" s="128" t="str">
        <f>VLOOKUP(source[[#This Row],[lending_product_transform]],[3]Mapping!$B$4:$C$37,2,0)</f>
        <v>[Cake] - Cashloan</v>
      </c>
      <c r="H5143" s="128" t="str">
        <f>VLOOKUP(source[[#This Row],[lending_product_transform]],[3]Mapping!$B$3:$D$37,3,0)</f>
        <v>cashloan</v>
      </c>
      <c r="I5143" s="135">
        <v>0</v>
      </c>
    </row>
    <row r="5144" spans="1:9" x14ac:dyDescent="0.2">
      <c r="A5144" s="134">
        <v>45707</v>
      </c>
      <c r="B5144" s="135">
        <f>YEAR(source[[#This Row],[report_date]])</f>
        <v>2025</v>
      </c>
      <c r="C5144" s="128">
        <f t="shared" si="236"/>
        <v>2</v>
      </c>
      <c r="D5144" s="136">
        <f t="shared" si="238"/>
        <v>8</v>
      </c>
      <c r="E5144" s="136">
        <f t="shared" si="237"/>
        <v>19</v>
      </c>
      <c r="F5144" s="128" t="s">
        <v>24</v>
      </c>
      <c r="G5144" s="128" t="str">
        <f>VLOOKUP(source[[#This Row],[lending_product_transform]],[3]Mapping!$B$4:$C$37,2,0)</f>
        <v>[Cake] - Cashloan</v>
      </c>
      <c r="H5144" s="128" t="str">
        <f>VLOOKUP(source[[#This Row],[lending_product_transform]],[3]Mapping!$B$3:$D$37,3,0)</f>
        <v>cashloan</v>
      </c>
      <c r="I5144" s="135">
        <v>9174199</v>
      </c>
    </row>
    <row r="5145" spans="1:9" x14ac:dyDescent="0.2">
      <c r="A5145" s="134">
        <v>45707</v>
      </c>
      <c r="B5145" s="135">
        <f>YEAR(source[[#This Row],[report_date]])</f>
        <v>2025</v>
      </c>
      <c r="C5145" s="128">
        <f t="shared" si="236"/>
        <v>2</v>
      </c>
      <c r="D5145" s="136">
        <f t="shared" si="238"/>
        <v>8</v>
      </c>
      <c r="E5145" s="136">
        <f t="shared" si="237"/>
        <v>19</v>
      </c>
      <c r="F5145" s="128" t="s">
        <v>24</v>
      </c>
      <c r="G5145" s="128" t="str">
        <f>VLOOKUP(source[[#This Row],[lending_product_transform]],[3]Mapping!$B$4:$C$37,2,0)</f>
        <v>[Cake] - Cashloan</v>
      </c>
      <c r="H5145" s="128" t="str">
        <f>VLOOKUP(source[[#This Row],[lending_product_transform]],[3]Mapping!$B$3:$D$37,3,0)</f>
        <v>cashloan</v>
      </c>
      <c r="I5145" s="135">
        <v>0</v>
      </c>
    </row>
    <row r="5146" spans="1:9" x14ac:dyDescent="0.2">
      <c r="A5146" s="134">
        <v>45708</v>
      </c>
      <c r="B5146" s="135">
        <f>YEAR(source[[#This Row],[report_date]])</f>
        <v>2025</v>
      </c>
      <c r="C5146" s="128">
        <f t="shared" si="236"/>
        <v>2</v>
      </c>
      <c r="D5146" s="136">
        <f t="shared" si="238"/>
        <v>8</v>
      </c>
      <c r="E5146" s="136">
        <f t="shared" si="237"/>
        <v>20</v>
      </c>
      <c r="F5146" s="128" t="s">
        <v>24</v>
      </c>
      <c r="G5146" s="128" t="str">
        <f>VLOOKUP(source[[#This Row],[lending_product_transform]],[3]Mapping!$B$4:$C$37,2,0)</f>
        <v>[Cake] - Cashloan</v>
      </c>
      <c r="H5146" s="128" t="str">
        <f>VLOOKUP(source[[#This Row],[lending_product_transform]],[3]Mapping!$B$3:$D$37,3,0)</f>
        <v>cashloan</v>
      </c>
      <c r="I5146" s="135">
        <v>5573000000</v>
      </c>
    </row>
    <row r="5147" spans="1:9" x14ac:dyDescent="0.2">
      <c r="A5147" s="134">
        <v>45708</v>
      </c>
      <c r="B5147" s="135">
        <f>YEAR(source[[#This Row],[report_date]])</f>
        <v>2025</v>
      </c>
      <c r="C5147" s="128">
        <f t="shared" si="236"/>
        <v>2</v>
      </c>
      <c r="D5147" s="136">
        <f t="shared" si="238"/>
        <v>8</v>
      </c>
      <c r="E5147" s="136">
        <f t="shared" si="237"/>
        <v>20</v>
      </c>
      <c r="F5147" s="128" t="s">
        <v>24</v>
      </c>
      <c r="G5147" s="128" t="str">
        <f>VLOOKUP(source[[#This Row],[lending_product_transform]],[3]Mapping!$B$4:$C$37,2,0)</f>
        <v>[Cake] - Cashloan</v>
      </c>
      <c r="H5147" s="128" t="str">
        <f>VLOOKUP(source[[#This Row],[lending_product_transform]],[3]Mapping!$B$3:$D$37,3,0)</f>
        <v>cashloan</v>
      </c>
      <c r="I5147" s="135">
        <v>336373375</v>
      </c>
    </row>
    <row r="5148" spans="1:9" x14ac:dyDescent="0.2">
      <c r="A5148" s="134">
        <v>45708</v>
      </c>
      <c r="B5148" s="135">
        <f>YEAR(source[[#This Row],[report_date]])</f>
        <v>2025</v>
      </c>
      <c r="C5148" s="128">
        <f t="shared" si="236"/>
        <v>2</v>
      </c>
      <c r="D5148" s="136">
        <f t="shared" si="238"/>
        <v>8</v>
      </c>
      <c r="E5148" s="136">
        <f t="shared" si="237"/>
        <v>20</v>
      </c>
      <c r="F5148" s="128" t="s">
        <v>24</v>
      </c>
      <c r="G5148" s="128" t="str">
        <f>VLOOKUP(source[[#This Row],[lending_product_transform]],[3]Mapping!$B$4:$C$37,2,0)</f>
        <v>[Cake] - Cashloan</v>
      </c>
      <c r="H5148" s="128" t="str">
        <f>VLOOKUP(source[[#This Row],[lending_product_transform]],[3]Mapping!$B$3:$D$37,3,0)</f>
        <v>cashloan</v>
      </c>
      <c r="I5148" s="135">
        <v>4588730000</v>
      </c>
    </row>
    <row r="5149" spans="1:9" x14ac:dyDescent="0.2">
      <c r="A5149" s="134">
        <v>45708</v>
      </c>
      <c r="B5149" s="135">
        <f>YEAR(source[[#This Row],[report_date]])</f>
        <v>2025</v>
      </c>
      <c r="C5149" s="128">
        <f t="shared" si="236"/>
        <v>2</v>
      </c>
      <c r="D5149" s="136">
        <f t="shared" si="238"/>
        <v>8</v>
      </c>
      <c r="E5149" s="136">
        <f t="shared" si="237"/>
        <v>20</v>
      </c>
      <c r="F5149" s="128" t="s">
        <v>24</v>
      </c>
      <c r="G5149" s="128" t="str">
        <f>VLOOKUP(source[[#This Row],[lending_product_transform]],[3]Mapping!$B$4:$C$37,2,0)</f>
        <v>[Cake] - Cashloan</v>
      </c>
      <c r="H5149" s="128" t="str">
        <f>VLOOKUP(source[[#This Row],[lending_product_transform]],[3]Mapping!$B$3:$D$37,3,0)</f>
        <v>cashloan</v>
      </c>
      <c r="I5149" s="135">
        <v>3339081955</v>
      </c>
    </row>
    <row r="5150" spans="1:9" x14ac:dyDescent="0.2">
      <c r="A5150" s="134">
        <v>45708</v>
      </c>
      <c r="B5150" s="135">
        <f>YEAR(source[[#This Row],[report_date]])</f>
        <v>2025</v>
      </c>
      <c r="C5150" s="128">
        <f t="shared" si="236"/>
        <v>2</v>
      </c>
      <c r="D5150" s="136">
        <f t="shared" si="238"/>
        <v>8</v>
      </c>
      <c r="E5150" s="136">
        <f t="shared" si="237"/>
        <v>20</v>
      </c>
      <c r="F5150" s="128" t="s">
        <v>24</v>
      </c>
      <c r="G5150" s="128" t="str">
        <f>VLOOKUP(source[[#This Row],[lending_product_transform]],[3]Mapping!$B$4:$C$37,2,0)</f>
        <v>[Cake] - Cashloan</v>
      </c>
      <c r="H5150" s="128" t="str">
        <f>VLOOKUP(source[[#This Row],[lending_product_transform]],[3]Mapping!$B$3:$D$37,3,0)</f>
        <v>cashloan</v>
      </c>
      <c r="I5150" s="135">
        <v>28163023</v>
      </c>
    </row>
    <row r="5151" spans="1:9" x14ac:dyDescent="0.2">
      <c r="A5151" s="134">
        <v>45708</v>
      </c>
      <c r="B5151" s="135">
        <f>YEAR(source[[#This Row],[report_date]])</f>
        <v>2025</v>
      </c>
      <c r="C5151" s="128">
        <f t="shared" si="236"/>
        <v>2</v>
      </c>
      <c r="D5151" s="136">
        <f t="shared" si="238"/>
        <v>8</v>
      </c>
      <c r="E5151" s="136">
        <f t="shared" si="237"/>
        <v>20</v>
      </c>
      <c r="F5151" s="128" t="s">
        <v>24</v>
      </c>
      <c r="G5151" s="128" t="str">
        <f>VLOOKUP(source[[#This Row],[lending_product_transform]],[3]Mapping!$B$4:$C$37,2,0)</f>
        <v>[Cake] - Cashloan</v>
      </c>
      <c r="H5151" s="128" t="str">
        <f>VLOOKUP(source[[#This Row],[lending_product_transform]],[3]Mapping!$B$3:$D$37,3,0)</f>
        <v>cashloan</v>
      </c>
      <c r="I5151" s="135">
        <v>99000000</v>
      </c>
    </row>
    <row r="5152" spans="1:9" x14ac:dyDescent="0.2">
      <c r="A5152" s="134">
        <v>45708</v>
      </c>
      <c r="B5152" s="135">
        <f>YEAR(source[[#This Row],[report_date]])</f>
        <v>2025</v>
      </c>
      <c r="C5152" s="128">
        <f t="shared" si="236"/>
        <v>2</v>
      </c>
      <c r="D5152" s="136">
        <f t="shared" si="238"/>
        <v>8</v>
      </c>
      <c r="E5152" s="136">
        <f t="shared" si="237"/>
        <v>20</v>
      </c>
      <c r="F5152" s="128" t="s">
        <v>24</v>
      </c>
      <c r="G5152" s="128" t="str">
        <f>VLOOKUP(source[[#This Row],[lending_product_transform]],[3]Mapping!$B$4:$C$37,2,0)</f>
        <v>[Cake] - Cashloan</v>
      </c>
      <c r="H5152" s="128" t="str">
        <f>VLOOKUP(source[[#This Row],[lending_product_transform]],[3]Mapping!$B$3:$D$37,3,0)</f>
        <v>cashloan</v>
      </c>
      <c r="I5152" s="135">
        <v>27000000</v>
      </c>
    </row>
    <row r="5153" spans="1:9" x14ac:dyDescent="0.2">
      <c r="A5153" s="134">
        <v>45708</v>
      </c>
      <c r="B5153" s="135">
        <f>YEAR(source[[#This Row],[report_date]])</f>
        <v>2025</v>
      </c>
      <c r="C5153" s="128">
        <f t="shared" si="236"/>
        <v>2</v>
      </c>
      <c r="D5153" s="136">
        <f t="shared" si="238"/>
        <v>8</v>
      </c>
      <c r="E5153" s="136">
        <f t="shared" si="237"/>
        <v>20</v>
      </c>
      <c r="F5153" s="128" t="s">
        <v>24</v>
      </c>
      <c r="G5153" s="128" t="str">
        <f>VLOOKUP(source[[#This Row],[lending_product_transform]],[3]Mapping!$B$4:$C$37,2,0)</f>
        <v>[Cake] - Cashloan</v>
      </c>
      <c r="H5153" s="128" t="str">
        <f>VLOOKUP(source[[#This Row],[lending_product_transform]],[3]Mapping!$B$3:$D$37,3,0)</f>
        <v>cashloan</v>
      </c>
      <c r="I5153" s="135">
        <v>0</v>
      </c>
    </row>
    <row r="5154" spans="1:9" x14ac:dyDescent="0.2">
      <c r="A5154" s="134">
        <v>45708</v>
      </c>
      <c r="B5154" s="135">
        <f>YEAR(source[[#This Row],[report_date]])</f>
        <v>2025</v>
      </c>
      <c r="C5154" s="128">
        <f t="shared" si="236"/>
        <v>2</v>
      </c>
      <c r="D5154" s="136">
        <f t="shared" si="238"/>
        <v>8</v>
      </c>
      <c r="E5154" s="136">
        <f t="shared" si="237"/>
        <v>20</v>
      </c>
      <c r="F5154" s="128" t="s">
        <v>24</v>
      </c>
      <c r="G5154" s="128" t="str">
        <f>VLOOKUP(source[[#This Row],[lending_product_transform]],[3]Mapping!$B$4:$C$37,2,0)</f>
        <v>[Cake] - Cashloan</v>
      </c>
      <c r="H5154" s="128" t="str">
        <f>VLOOKUP(source[[#This Row],[lending_product_transform]],[3]Mapping!$B$3:$D$37,3,0)</f>
        <v>cashloan</v>
      </c>
      <c r="I5154" s="135">
        <v>0</v>
      </c>
    </row>
    <row r="5155" spans="1:9" x14ac:dyDescent="0.2">
      <c r="A5155" s="134">
        <v>45708</v>
      </c>
      <c r="B5155" s="135">
        <f>YEAR(source[[#This Row],[report_date]])</f>
        <v>2025</v>
      </c>
      <c r="C5155" s="128">
        <f t="shared" si="236"/>
        <v>2</v>
      </c>
      <c r="D5155" s="136">
        <f t="shared" si="238"/>
        <v>8</v>
      </c>
      <c r="E5155" s="136">
        <f t="shared" si="237"/>
        <v>20</v>
      </c>
      <c r="F5155" s="128" t="s">
        <v>24</v>
      </c>
      <c r="G5155" s="128" t="str">
        <f>VLOOKUP(source[[#This Row],[lending_product_transform]],[3]Mapping!$B$4:$C$37,2,0)</f>
        <v>[Cake] - Cashloan</v>
      </c>
      <c r="H5155" s="128" t="str">
        <f>VLOOKUP(source[[#This Row],[lending_product_transform]],[3]Mapping!$B$3:$D$37,3,0)</f>
        <v>cashloan</v>
      </c>
      <c r="I5155" s="135">
        <v>0</v>
      </c>
    </row>
    <row r="5156" spans="1:9" x14ac:dyDescent="0.2">
      <c r="A5156" s="134">
        <v>45708</v>
      </c>
      <c r="B5156" s="135">
        <f>YEAR(source[[#This Row],[report_date]])</f>
        <v>2025</v>
      </c>
      <c r="C5156" s="128">
        <f t="shared" si="236"/>
        <v>2</v>
      </c>
      <c r="D5156" s="136">
        <f t="shared" si="238"/>
        <v>8</v>
      </c>
      <c r="E5156" s="136">
        <f t="shared" si="237"/>
        <v>20</v>
      </c>
      <c r="F5156" s="128" t="s">
        <v>24</v>
      </c>
      <c r="G5156" s="128" t="str">
        <f>VLOOKUP(source[[#This Row],[lending_product_transform]],[3]Mapping!$B$4:$C$37,2,0)</f>
        <v>[Cake] - Cashloan</v>
      </c>
      <c r="H5156" s="128" t="str">
        <f>VLOOKUP(source[[#This Row],[lending_product_transform]],[3]Mapping!$B$3:$D$37,3,0)</f>
        <v>cashloan</v>
      </c>
      <c r="I5156" s="135">
        <v>410010000</v>
      </c>
    </row>
    <row r="5157" spans="1:9" x14ac:dyDescent="0.2">
      <c r="A5157" s="134">
        <v>45708</v>
      </c>
      <c r="B5157" s="135">
        <f>YEAR(source[[#This Row],[report_date]])</f>
        <v>2025</v>
      </c>
      <c r="C5157" s="128">
        <f t="shared" si="236"/>
        <v>2</v>
      </c>
      <c r="D5157" s="136">
        <f t="shared" si="238"/>
        <v>8</v>
      </c>
      <c r="E5157" s="136">
        <f t="shared" si="237"/>
        <v>20</v>
      </c>
      <c r="F5157" s="128" t="s">
        <v>24</v>
      </c>
      <c r="G5157" s="128" t="str">
        <f>VLOOKUP(source[[#This Row],[lending_product_transform]],[3]Mapping!$B$4:$C$37,2,0)</f>
        <v>[Cake] - Cashloan</v>
      </c>
      <c r="H5157" s="128" t="str">
        <f>VLOOKUP(source[[#This Row],[lending_product_transform]],[3]Mapping!$B$3:$D$37,3,0)</f>
        <v>cashloan</v>
      </c>
      <c r="I5157" s="135">
        <v>0</v>
      </c>
    </row>
    <row r="5158" spans="1:9" x14ac:dyDescent="0.2">
      <c r="A5158" s="134">
        <v>45708</v>
      </c>
      <c r="B5158" s="135">
        <f>YEAR(source[[#This Row],[report_date]])</f>
        <v>2025</v>
      </c>
      <c r="C5158" s="128">
        <f t="shared" si="236"/>
        <v>2</v>
      </c>
      <c r="D5158" s="136">
        <f t="shared" si="238"/>
        <v>8</v>
      </c>
      <c r="E5158" s="136">
        <f t="shared" si="237"/>
        <v>20</v>
      </c>
      <c r="F5158" s="128" t="s">
        <v>24</v>
      </c>
      <c r="G5158" s="128" t="str">
        <f>VLOOKUP(source[[#This Row],[lending_product_transform]],[3]Mapping!$B$4:$C$37,2,0)</f>
        <v>[Cake] - Cashloan</v>
      </c>
      <c r="H5158" s="128" t="str">
        <f>VLOOKUP(source[[#This Row],[lending_product_transform]],[3]Mapping!$B$3:$D$37,3,0)</f>
        <v>cashloan</v>
      </c>
      <c r="I5158" s="135">
        <v>540330000</v>
      </c>
    </row>
    <row r="5159" spans="1:9" x14ac:dyDescent="0.2">
      <c r="A5159" s="134">
        <v>45708</v>
      </c>
      <c r="B5159" s="135">
        <f>YEAR(source[[#This Row],[report_date]])</f>
        <v>2025</v>
      </c>
      <c r="C5159" s="128">
        <f t="shared" si="236"/>
        <v>2</v>
      </c>
      <c r="D5159" s="136">
        <f t="shared" si="238"/>
        <v>8</v>
      </c>
      <c r="E5159" s="136">
        <f t="shared" si="237"/>
        <v>20</v>
      </c>
      <c r="F5159" s="128" t="s">
        <v>24</v>
      </c>
      <c r="G5159" s="128" t="str">
        <f>VLOOKUP(source[[#This Row],[lending_product_transform]],[3]Mapping!$B$4:$C$37,2,0)</f>
        <v>[Cake] - Cashloan</v>
      </c>
      <c r="H5159" s="128" t="str">
        <f>VLOOKUP(source[[#This Row],[lending_product_transform]],[3]Mapping!$B$3:$D$37,3,0)</f>
        <v>cashloan</v>
      </c>
      <c r="I5159" s="135">
        <v>0</v>
      </c>
    </row>
    <row r="5160" spans="1:9" x14ac:dyDescent="0.2">
      <c r="A5160" s="134">
        <v>45708</v>
      </c>
      <c r="B5160" s="135">
        <f>YEAR(source[[#This Row],[report_date]])</f>
        <v>2025</v>
      </c>
      <c r="C5160" s="128">
        <f t="shared" si="236"/>
        <v>2</v>
      </c>
      <c r="D5160" s="136">
        <f t="shared" si="238"/>
        <v>8</v>
      </c>
      <c r="E5160" s="136">
        <f t="shared" si="237"/>
        <v>20</v>
      </c>
      <c r="F5160" s="128" t="s">
        <v>24</v>
      </c>
      <c r="G5160" s="128" t="str">
        <f>VLOOKUP(source[[#This Row],[lending_product_transform]],[3]Mapping!$B$4:$C$37,2,0)</f>
        <v>[Cake] - Cashloan</v>
      </c>
      <c r="H5160" s="128" t="str">
        <f>VLOOKUP(source[[#This Row],[lending_product_transform]],[3]Mapping!$B$3:$D$37,3,0)</f>
        <v>cashloan</v>
      </c>
      <c r="I5160" s="135">
        <v>215290121</v>
      </c>
    </row>
    <row r="5161" spans="1:9" x14ac:dyDescent="0.2">
      <c r="A5161" s="134">
        <v>45708</v>
      </c>
      <c r="B5161" s="135">
        <f>YEAR(source[[#This Row],[report_date]])</f>
        <v>2025</v>
      </c>
      <c r="C5161" s="128">
        <f t="shared" si="236"/>
        <v>2</v>
      </c>
      <c r="D5161" s="136">
        <f t="shared" si="238"/>
        <v>8</v>
      </c>
      <c r="E5161" s="136">
        <f t="shared" si="237"/>
        <v>20</v>
      </c>
      <c r="F5161" s="128" t="s">
        <v>24</v>
      </c>
      <c r="G5161" s="128" t="str">
        <f>VLOOKUP(source[[#This Row],[lending_product_transform]],[3]Mapping!$B$4:$C$37,2,0)</f>
        <v>[Cake] - Cashloan</v>
      </c>
      <c r="H5161" s="128" t="str">
        <f>VLOOKUP(source[[#This Row],[lending_product_transform]],[3]Mapping!$B$3:$D$37,3,0)</f>
        <v>cashloan</v>
      </c>
      <c r="I5161" s="135">
        <v>146227435</v>
      </c>
    </row>
    <row r="5162" spans="1:9" x14ac:dyDescent="0.2">
      <c r="A5162" s="134">
        <v>45708</v>
      </c>
      <c r="B5162" s="135">
        <f>YEAR(source[[#This Row],[report_date]])</f>
        <v>2025</v>
      </c>
      <c r="C5162" s="128">
        <f t="shared" si="236"/>
        <v>2</v>
      </c>
      <c r="D5162" s="136">
        <f t="shared" si="238"/>
        <v>8</v>
      </c>
      <c r="E5162" s="136">
        <f t="shared" si="237"/>
        <v>20</v>
      </c>
      <c r="F5162" s="128" t="s">
        <v>24</v>
      </c>
      <c r="G5162" s="128" t="str">
        <f>VLOOKUP(source[[#This Row],[lending_product_transform]],[3]Mapping!$B$4:$C$37,2,0)</f>
        <v>[Cake] - Cashloan</v>
      </c>
      <c r="H5162" s="128" t="str">
        <f>VLOOKUP(source[[#This Row],[lending_product_transform]],[3]Mapping!$B$3:$D$37,3,0)</f>
        <v>cashloan</v>
      </c>
      <c r="I5162" s="135">
        <v>0</v>
      </c>
    </row>
    <row r="5163" spans="1:9" x14ac:dyDescent="0.2">
      <c r="A5163" s="134">
        <v>45708</v>
      </c>
      <c r="B5163" s="135">
        <f>YEAR(source[[#This Row],[report_date]])</f>
        <v>2025</v>
      </c>
      <c r="C5163" s="128">
        <f t="shared" si="236"/>
        <v>2</v>
      </c>
      <c r="D5163" s="136">
        <f t="shared" si="238"/>
        <v>8</v>
      </c>
      <c r="E5163" s="136">
        <f t="shared" si="237"/>
        <v>20</v>
      </c>
      <c r="F5163" s="128" t="s">
        <v>24</v>
      </c>
      <c r="G5163" s="128" t="str">
        <f>VLOOKUP(source[[#This Row],[lending_product_transform]],[3]Mapping!$B$4:$C$37,2,0)</f>
        <v>[Cake] - Cashloan</v>
      </c>
      <c r="H5163" s="128" t="str">
        <f>VLOOKUP(source[[#This Row],[lending_product_transform]],[3]Mapping!$B$3:$D$37,3,0)</f>
        <v>cashloan</v>
      </c>
      <c r="I5163" s="135">
        <v>4868610000</v>
      </c>
    </row>
    <row r="5164" spans="1:9" x14ac:dyDescent="0.2">
      <c r="A5164" s="134">
        <v>45708</v>
      </c>
      <c r="B5164" s="135">
        <f>YEAR(source[[#This Row],[report_date]])</f>
        <v>2025</v>
      </c>
      <c r="C5164" s="128">
        <f t="shared" si="236"/>
        <v>2</v>
      </c>
      <c r="D5164" s="136">
        <f t="shared" si="238"/>
        <v>8</v>
      </c>
      <c r="E5164" s="136">
        <f t="shared" si="237"/>
        <v>20</v>
      </c>
      <c r="F5164" s="128" t="s">
        <v>24</v>
      </c>
      <c r="G5164" s="128" t="str">
        <f>VLOOKUP(source[[#This Row],[lending_product_transform]],[3]Mapping!$B$4:$C$37,2,0)</f>
        <v>[Cake] - Cashloan</v>
      </c>
      <c r="H5164" s="128" t="str">
        <f>VLOOKUP(source[[#This Row],[lending_product_transform]],[3]Mapping!$B$3:$D$37,3,0)</f>
        <v>cashloan</v>
      </c>
      <c r="I5164" s="135">
        <v>0</v>
      </c>
    </row>
    <row r="5165" spans="1:9" x14ac:dyDescent="0.2">
      <c r="A5165" s="134">
        <v>45709</v>
      </c>
      <c r="B5165" s="135">
        <f>YEAR(source[[#This Row],[report_date]])</f>
        <v>2025</v>
      </c>
      <c r="C5165" s="128">
        <f t="shared" si="236"/>
        <v>2</v>
      </c>
      <c r="D5165" s="136">
        <f t="shared" si="238"/>
        <v>8</v>
      </c>
      <c r="E5165" s="136">
        <f t="shared" si="237"/>
        <v>21</v>
      </c>
      <c r="F5165" s="128" t="s">
        <v>24</v>
      </c>
      <c r="G5165" s="128" t="str">
        <f>VLOOKUP(source[[#This Row],[lending_product_transform]],[3]Mapping!$B$4:$C$37,2,0)</f>
        <v>[Cake] - Cashloan</v>
      </c>
      <c r="H5165" s="128" t="str">
        <f>VLOOKUP(source[[#This Row],[lending_product_transform]],[3]Mapping!$B$3:$D$37,3,0)</f>
        <v>cashloan</v>
      </c>
      <c r="I5165" s="135">
        <v>48294189</v>
      </c>
    </row>
    <row r="5166" spans="1:9" x14ac:dyDescent="0.2">
      <c r="A5166" s="134">
        <v>45709</v>
      </c>
      <c r="B5166" s="135">
        <f>YEAR(source[[#This Row],[report_date]])</f>
        <v>2025</v>
      </c>
      <c r="C5166" s="128">
        <f t="shared" si="236"/>
        <v>2</v>
      </c>
      <c r="D5166" s="136">
        <f t="shared" si="238"/>
        <v>8</v>
      </c>
      <c r="E5166" s="136">
        <f t="shared" si="237"/>
        <v>21</v>
      </c>
      <c r="F5166" s="128" t="s">
        <v>24</v>
      </c>
      <c r="G5166" s="128" t="str">
        <f>VLOOKUP(source[[#This Row],[lending_product_transform]],[3]Mapping!$B$4:$C$37,2,0)</f>
        <v>[Cake] - Cashloan</v>
      </c>
      <c r="H5166" s="128" t="str">
        <f>VLOOKUP(source[[#This Row],[lending_product_transform]],[3]Mapping!$B$3:$D$37,3,0)</f>
        <v>cashloan</v>
      </c>
      <c r="I5166" s="135">
        <v>66000000</v>
      </c>
    </row>
    <row r="5167" spans="1:9" x14ac:dyDescent="0.2">
      <c r="A5167" s="134">
        <v>45709</v>
      </c>
      <c r="B5167" s="135">
        <f>YEAR(source[[#This Row],[report_date]])</f>
        <v>2025</v>
      </c>
      <c r="C5167" s="128">
        <f t="shared" si="236"/>
        <v>2</v>
      </c>
      <c r="D5167" s="136">
        <f t="shared" si="238"/>
        <v>8</v>
      </c>
      <c r="E5167" s="136">
        <f t="shared" si="237"/>
        <v>21</v>
      </c>
      <c r="F5167" s="128" t="s">
        <v>24</v>
      </c>
      <c r="G5167" s="128" t="str">
        <f>VLOOKUP(source[[#This Row],[lending_product_transform]],[3]Mapping!$B$4:$C$37,2,0)</f>
        <v>[Cake] - Cashloan</v>
      </c>
      <c r="H5167" s="128" t="str">
        <f>VLOOKUP(source[[#This Row],[lending_product_transform]],[3]Mapping!$B$3:$D$37,3,0)</f>
        <v>cashloan</v>
      </c>
      <c r="I5167" s="135">
        <v>34650000</v>
      </c>
    </row>
    <row r="5168" spans="1:9" x14ac:dyDescent="0.2">
      <c r="A5168" s="134">
        <v>45709</v>
      </c>
      <c r="B5168" s="135">
        <f>YEAR(source[[#This Row],[report_date]])</f>
        <v>2025</v>
      </c>
      <c r="C5168" s="128">
        <f t="shared" si="236"/>
        <v>2</v>
      </c>
      <c r="D5168" s="136">
        <f t="shared" si="238"/>
        <v>8</v>
      </c>
      <c r="E5168" s="136">
        <f t="shared" si="237"/>
        <v>21</v>
      </c>
      <c r="F5168" s="128" t="s">
        <v>24</v>
      </c>
      <c r="G5168" s="128" t="str">
        <f>VLOOKUP(source[[#This Row],[lending_product_transform]],[3]Mapping!$B$4:$C$37,2,0)</f>
        <v>[Cake] - Cashloan</v>
      </c>
      <c r="H5168" s="128" t="str">
        <f>VLOOKUP(source[[#This Row],[lending_product_transform]],[3]Mapping!$B$3:$D$37,3,0)</f>
        <v>cashloan</v>
      </c>
      <c r="I5168" s="135">
        <v>0</v>
      </c>
    </row>
    <row r="5169" spans="1:9" x14ac:dyDescent="0.2">
      <c r="A5169" s="134">
        <v>45709</v>
      </c>
      <c r="B5169" s="135">
        <f>YEAR(source[[#This Row],[report_date]])</f>
        <v>2025</v>
      </c>
      <c r="C5169" s="128">
        <f t="shared" si="236"/>
        <v>2</v>
      </c>
      <c r="D5169" s="136">
        <f t="shared" si="238"/>
        <v>8</v>
      </c>
      <c r="E5169" s="136">
        <f t="shared" si="237"/>
        <v>21</v>
      </c>
      <c r="F5169" s="128" t="s">
        <v>24</v>
      </c>
      <c r="G5169" s="128" t="str">
        <f>VLOOKUP(source[[#This Row],[lending_product_transform]],[3]Mapping!$B$4:$C$37,2,0)</f>
        <v>[Cake] - Cashloan</v>
      </c>
      <c r="H5169" s="128" t="str">
        <f>VLOOKUP(source[[#This Row],[lending_product_transform]],[3]Mapping!$B$3:$D$37,3,0)</f>
        <v>cashloan</v>
      </c>
      <c r="I5169" s="135">
        <v>0</v>
      </c>
    </row>
    <row r="5170" spans="1:9" x14ac:dyDescent="0.2">
      <c r="A5170" s="134">
        <v>45709</v>
      </c>
      <c r="B5170" s="135">
        <f>YEAR(source[[#This Row],[report_date]])</f>
        <v>2025</v>
      </c>
      <c r="C5170" s="128">
        <f t="shared" ref="C5170:C5233" si="239">MONTH(A5170)</f>
        <v>2</v>
      </c>
      <c r="D5170" s="136">
        <f t="shared" si="238"/>
        <v>8</v>
      </c>
      <c r="E5170" s="136">
        <f t="shared" ref="E5170:E5233" si="240">DAY(A5170)</f>
        <v>21</v>
      </c>
      <c r="F5170" s="128" t="s">
        <v>24</v>
      </c>
      <c r="G5170" s="128" t="str">
        <f>VLOOKUP(source[[#This Row],[lending_product_transform]],[3]Mapping!$B$4:$C$37,2,0)</f>
        <v>[Cake] - Cashloan</v>
      </c>
      <c r="H5170" s="128" t="str">
        <f>VLOOKUP(source[[#This Row],[lending_product_transform]],[3]Mapping!$B$3:$D$37,3,0)</f>
        <v>cashloan</v>
      </c>
      <c r="I5170" s="135">
        <v>0</v>
      </c>
    </row>
    <row r="5171" spans="1:9" x14ac:dyDescent="0.2">
      <c r="A5171" s="134">
        <v>45709</v>
      </c>
      <c r="B5171" s="135">
        <f>YEAR(source[[#This Row],[report_date]])</f>
        <v>2025</v>
      </c>
      <c r="C5171" s="128">
        <f t="shared" si="239"/>
        <v>2</v>
      </c>
      <c r="D5171" s="136">
        <f t="shared" si="238"/>
        <v>8</v>
      </c>
      <c r="E5171" s="136">
        <f t="shared" si="240"/>
        <v>21</v>
      </c>
      <c r="F5171" s="128" t="s">
        <v>24</v>
      </c>
      <c r="G5171" s="128" t="str">
        <f>VLOOKUP(source[[#This Row],[lending_product_transform]],[3]Mapping!$B$4:$C$37,2,0)</f>
        <v>[Cake] - Cashloan</v>
      </c>
      <c r="H5171" s="128" t="str">
        <f>VLOOKUP(source[[#This Row],[lending_product_transform]],[3]Mapping!$B$3:$D$37,3,0)</f>
        <v>cashloan</v>
      </c>
      <c r="I5171" s="135">
        <v>6263190000</v>
      </c>
    </row>
    <row r="5172" spans="1:9" x14ac:dyDescent="0.2">
      <c r="A5172" s="134">
        <v>45709</v>
      </c>
      <c r="B5172" s="135">
        <f>YEAR(source[[#This Row],[report_date]])</f>
        <v>2025</v>
      </c>
      <c r="C5172" s="128">
        <f t="shared" si="239"/>
        <v>2</v>
      </c>
      <c r="D5172" s="136">
        <f t="shared" si="238"/>
        <v>8</v>
      </c>
      <c r="E5172" s="136">
        <f t="shared" si="240"/>
        <v>21</v>
      </c>
      <c r="F5172" s="128" t="s">
        <v>24</v>
      </c>
      <c r="G5172" s="128" t="str">
        <f>VLOOKUP(source[[#This Row],[lending_product_transform]],[3]Mapping!$B$4:$C$37,2,0)</f>
        <v>[Cake] - Cashloan</v>
      </c>
      <c r="H5172" s="128" t="str">
        <f>VLOOKUP(source[[#This Row],[lending_product_transform]],[3]Mapping!$B$3:$D$37,3,0)</f>
        <v>cashloan</v>
      </c>
      <c r="I5172" s="135">
        <v>0</v>
      </c>
    </row>
    <row r="5173" spans="1:9" x14ac:dyDescent="0.2">
      <c r="A5173" s="134">
        <v>45709</v>
      </c>
      <c r="B5173" s="135">
        <f>YEAR(source[[#This Row],[report_date]])</f>
        <v>2025</v>
      </c>
      <c r="C5173" s="128">
        <f t="shared" si="239"/>
        <v>2</v>
      </c>
      <c r="D5173" s="136">
        <f t="shared" si="238"/>
        <v>8</v>
      </c>
      <c r="E5173" s="136">
        <f t="shared" si="240"/>
        <v>21</v>
      </c>
      <c r="F5173" s="128" t="s">
        <v>24</v>
      </c>
      <c r="G5173" s="128" t="str">
        <f>VLOOKUP(source[[#This Row],[lending_product_transform]],[3]Mapping!$B$4:$C$37,2,0)</f>
        <v>[Cake] - Cashloan</v>
      </c>
      <c r="H5173" s="128" t="str">
        <f>VLOOKUP(source[[#This Row],[lending_product_transform]],[3]Mapping!$B$3:$D$37,3,0)</f>
        <v>cashloan</v>
      </c>
      <c r="I5173" s="135">
        <v>541250000</v>
      </c>
    </row>
    <row r="5174" spans="1:9" x14ac:dyDescent="0.2">
      <c r="A5174" s="134">
        <v>45709</v>
      </c>
      <c r="B5174" s="135">
        <f>YEAR(source[[#This Row],[report_date]])</f>
        <v>2025</v>
      </c>
      <c r="C5174" s="128">
        <f t="shared" si="239"/>
        <v>2</v>
      </c>
      <c r="D5174" s="136">
        <f t="shared" si="238"/>
        <v>8</v>
      </c>
      <c r="E5174" s="136">
        <f t="shared" si="240"/>
        <v>21</v>
      </c>
      <c r="F5174" s="128" t="s">
        <v>24</v>
      </c>
      <c r="G5174" s="128" t="str">
        <f>VLOOKUP(source[[#This Row],[lending_product_transform]],[3]Mapping!$B$4:$C$37,2,0)</f>
        <v>[Cake] - Cashloan</v>
      </c>
      <c r="H5174" s="128" t="str">
        <f>VLOOKUP(source[[#This Row],[lending_product_transform]],[3]Mapping!$B$3:$D$37,3,0)</f>
        <v>cashloan</v>
      </c>
      <c r="I5174" s="135">
        <v>838370000</v>
      </c>
    </row>
    <row r="5175" spans="1:9" x14ac:dyDescent="0.2">
      <c r="A5175" s="134">
        <v>45709</v>
      </c>
      <c r="B5175" s="135">
        <f>YEAR(source[[#This Row],[report_date]])</f>
        <v>2025</v>
      </c>
      <c r="C5175" s="128">
        <f t="shared" si="239"/>
        <v>2</v>
      </c>
      <c r="D5175" s="136">
        <f t="shared" si="238"/>
        <v>8</v>
      </c>
      <c r="E5175" s="136">
        <f t="shared" si="240"/>
        <v>21</v>
      </c>
      <c r="F5175" s="128" t="s">
        <v>24</v>
      </c>
      <c r="G5175" s="128" t="str">
        <f>VLOOKUP(source[[#This Row],[lending_product_transform]],[3]Mapping!$B$4:$C$37,2,0)</f>
        <v>[Cake] - Cashloan</v>
      </c>
      <c r="H5175" s="128" t="str">
        <f>VLOOKUP(source[[#This Row],[lending_product_transform]],[3]Mapping!$B$3:$D$37,3,0)</f>
        <v>cashloan</v>
      </c>
      <c r="I5175" s="135">
        <v>0</v>
      </c>
    </row>
    <row r="5176" spans="1:9" x14ac:dyDescent="0.2">
      <c r="A5176" s="134">
        <v>45709</v>
      </c>
      <c r="B5176" s="135">
        <f>YEAR(source[[#This Row],[report_date]])</f>
        <v>2025</v>
      </c>
      <c r="C5176" s="128">
        <f t="shared" si="239"/>
        <v>2</v>
      </c>
      <c r="D5176" s="136">
        <f t="shared" si="238"/>
        <v>8</v>
      </c>
      <c r="E5176" s="136">
        <f t="shared" si="240"/>
        <v>21</v>
      </c>
      <c r="F5176" s="128" t="s">
        <v>24</v>
      </c>
      <c r="G5176" s="128" t="str">
        <f>VLOOKUP(source[[#This Row],[lending_product_transform]],[3]Mapping!$B$4:$C$37,2,0)</f>
        <v>[Cake] - Cashloan</v>
      </c>
      <c r="H5176" s="128" t="str">
        <f>VLOOKUP(source[[#This Row],[lending_product_transform]],[3]Mapping!$B$3:$D$37,3,0)</f>
        <v>cashloan</v>
      </c>
      <c r="I5176" s="135">
        <v>280519772</v>
      </c>
    </row>
    <row r="5177" spans="1:9" x14ac:dyDescent="0.2">
      <c r="A5177" s="134">
        <v>45709</v>
      </c>
      <c r="B5177" s="135">
        <f>YEAR(source[[#This Row],[report_date]])</f>
        <v>2025</v>
      </c>
      <c r="C5177" s="128">
        <f t="shared" si="239"/>
        <v>2</v>
      </c>
      <c r="D5177" s="136">
        <f t="shared" si="238"/>
        <v>8</v>
      </c>
      <c r="E5177" s="136">
        <f t="shared" si="240"/>
        <v>21</v>
      </c>
      <c r="F5177" s="128" t="s">
        <v>24</v>
      </c>
      <c r="G5177" s="128" t="str">
        <f>VLOOKUP(source[[#This Row],[lending_product_transform]],[3]Mapping!$B$4:$C$37,2,0)</f>
        <v>[Cake] - Cashloan</v>
      </c>
      <c r="H5177" s="128" t="str">
        <f>VLOOKUP(source[[#This Row],[lending_product_transform]],[3]Mapping!$B$3:$D$37,3,0)</f>
        <v>cashloan</v>
      </c>
      <c r="I5177" s="135">
        <v>179084585</v>
      </c>
    </row>
    <row r="5178" spans="1:9" x14ac:dyDescent="0.2">
      <c r="A5178" s="134">
        <v>45709</v>
      </c>
      <c r="B5178" s="135">
        <f>YEAR(source[[#This Row],[report_date]])</f>
        <v>2025</v>
      </c>
      <c r="C5178" s="128">
        <f t="shared" si="239"/>
        <v>2</v>
      </c>
      <c r="D5178" s="136">
        <f t="shared" si="238"/>
        <v>8</v>
      </c>
      <c r="E5178" s="136">
        <f t="shared" si="240"/>
        <v>21</v>
      </c>
      <c r="F5178" s="128" t="s">
        <v>24</v>
      </c>
      <c r="G5178" s="128" t="str">
        <f>VLOOKUP(source[[#This Row],[lending_product_transform]],[3]Mapping!$B$4:$C$37,2,0)</f>
        <v>[Cake] - Cashloan</v>
      </c>
      <c r="H5178" s="128" t="str">
        <f>VLOOKUP(source[[#This Row],[lending_product_transform]],[3]Mapping!$B$3:$D$37,3,0)</f>
        <v>cashloan</v>
      </c>
      <c r="I5178" s="135">
        <v>0</v>
      </c>
    </row>
    <row r="5179" spans="1:9" x14ac:dyDescent="0.2">
      <c r="A5179" s="134">
        <v>45709</v>
      </c>
      <c r="B5179" s="135">
        <f>YEAR(source[[#This Row],[report_date]])</f>
        <v>2025</v>
      </c>
      <c r="C5179" s="128">
        <f t="shared" si="239"/>
        <v>2</v>
      </c>
      <c r="D5179" s="136">
        <f t="shared" si="238"/>
        <v>8</v>
      </c>
      <c r="E5179" s="136">
        <f t="shared" si="240"/>
        <v>21</v>
      </c>
      <c r="F5179" s="128" t="s">
        <v>24</v>
      </c>
      <c r="G5179" s="128" t="str">
        <f>VLOOKUP(source[[#This Row],[lending_product_transform]],[3]Mapping!$B$4:$C$37,2,0)</f>
        <v>[Cake] - Cashloan</v>
      </c>
      <c r="H5179" s="128" t="str">
        <f>VLOOKUP(source[[#This Row],[lending_product_transform]],[3]Mapping!$B$3:$D$37,3,0)</f>
        <v>cashloan</v>
      </c>
      <c r="I5179" s="135">
        <v>331325421</v>
      </c>
    </row>
    <row r="5180" spans="1:9" x14ac:dyDescent="0.2">
      <c r="A5180" s="134">
        <v>45709</v>
      </c>
      <c r="B5180" s="135">
        <f>YEAR(source[[#This Row],[report_date]])</f>
        <v>2025</v>
      </c>
      <c r="C5180" s="128">
        <f t="shared" si="239"/>
        <v>2</v>
      </c>
      <c r="D5180" s="136">
        <f t="shared" si="238"/>
        <v>8</v>
      </c>
      <c r="E5180" s="136">
        <f t="shared" si="240"/>
        <v>21</v>
      </c>
      <c r="F5180" s="128" t="s">
        <v>24</v>
      </c>
      <c r="G5180" s="128" t="str">
        <f>VLOOKUP(source[[#This Row],[lending_product_transform]],[3]Mapping!$B$4:$C$37,2,0)</f>
        <v>[Cake] - Cashloan</v>
      </c>
      <c r="H5180" s="128" t="str">
        <f>VLOOKUP(source[[#This Row],[lending_product_transform]],[3]Mapping!$B$3:$D$37,3,0)</f>
        <v>cashloan</v>
      </c>
      <c r="I5180" s="135">
        <v>4223097675</v>
      </c>
    </row>
    <row r="5181" spans="1:9" x14ac:dyDescent="0.2">
      <c r="A5181" s="134">
        <v>45709</v>
      </c>
      <c r="B5181" s="135">
        <f>YEAR(source[[#This Row],[report_date]])</f>
        <v>2025</v>
      </c>
      <c r="C5181" s="128">
        <f t="shared" si="239"/>
        <v>2</v>
      </c>
      <c r="D5181" s="136">
        <f t="shared" si="238"/>
        <v>8</v>
      </c>
      <c r="E5181" s="136">
        <f t="shared" si="240"/>
        <v>21</v>
      </c>
      <c r="F5181" s="128" t="s">
        <v>24</v>
      </c>
      <c r="G5181" s="128" t="str">
        <f>VLOOKUP(source[[#This Row],[lending_product_transform]],[3]Mapping!$B$4:$C$37,2,0)</f>
        <v>[Cake] - Cashloan</v>
      </c>
      <c r="H5181" s="128" t="str">
        <f>VLOOKUP(source[[#This Row],[lending_product_transform]],[3]Mapping!$B$3:$D$37,3,0)</f>
        <v>cashloan</v>
      </c>
      <c r="I5181" s="135">
        <v>4051450000</v>
      </c>
    </row>
    <row r="5182" spans="1:9" x14ac:dyDescent="0.2">
      <c r="A5182" s="134">
        <v>45709</v>
      </c>
      <c r="B5182" s="135">
        <f>YEAR(source[[#This Row],[report_date]])</f>
        <v>2025</v>
      </c>
      <c r="C5182" s="128">
        <f t="shared" si="239"/>
        <v>2</v>
      </c>
      <c r="D5182" s="136">
        <f t="shared" si="238"/>
        <v>8</v>
      </c>
      <c r="E5182" s="136">
        <f t="shared" si="240"/>
        <v>21</v>
      </c>
      <c r="F5182" s="128" t="s">
        <v>24</v>
      </c>
      <c r="G5182" s="128" t="str">
        <f>VLOOKUP(source[[#This Row],[lending_product_transform]],[3]Mapping!$B$4:$C$37,2,0)</f>
        <v>[Cake] - Cashloan</v>
      </c>
      <c r="H5182" s="128" t="str">
        <f>VLOOKUP(source[[#This Row],[lending_product_transform]],[3]Mapping!$B$3:$D$37,3,0)</f>
        <v>cashloan</v>
      </c>
      <c r="I5182" s="135">
        <v>5085000000</v>
      </c>
    </row>
    <row r="5183" spans="1:9" x14ac:dyDescent="0.2">
      <c r="A5183" s="134">
        <v>45709</v>
      </c>
      <c r="B5183" s="135">
        <f>YEAR(source[[#This Row],[report_date]])</f>
        <v>2025</v>
      </c>
      <c r="C5183" s="128">
        <f t="shared" si="239"/>
        <v>2</v>
      </c>
      <c r="D5183" s="136">
        <f t="shared" si="238"/>
        <v>8</v>
      </c>
      <c r="E5183" s="136">
        <f t="shared" si="240"/>
        <v>21</v>
      </c>
      <c r="F5183" s="128" t="s">
        <v>24</v>
      </c>
      <c r="G5183" s="128" t="str">
        <f>VLOOKUP(source[[#This Row],[lending_product_transform]],[3]Mapping!$B$4:$C$37,2,0)</f>
        <v>[Cake] - Cashloan</v>
      </c>
      <c r="H5183" s="128" t="str">
        <f>VLOOKUP(source[[#This Row],[lending_product_transform]],[3]Mapping!$B$3:$D$37,3,0)</f>
        <v>cashloan</v>
      </c>
      <c r="I5183" s="135">
        <v>0</v>
      </c>
    </row>
    <row r="5184" spans="1:9" x14ac:dyDescent="0.2">
      <c r="A5184" s="134">
        <v>45710</v>
      </c>
      <c r="B5184" s="135">
        <f>YEAR(source[[#This Row],[report_date]])</f>
        <v>2025</v>
      </c>
      <c r="C5184" s="128">
        <f t="shared" si="239"/>
        <v>2</v>
      </c>
      <c r="D5184" s="136">
        <f t="shared" si="238"/>
        <v>8</v>
      </c>
      <c r="E5184" s="136">
        <f t="shared" si="240"/>
        <v>22</v>
      </c>
      <c r="F5184" s="128" t="s">
        <v>24</v>
      </c>
      <c r="G5184" s="128" t="str">
        <f>VLOOKUP(source[[#This Row],[lending_product_transform]],[3]Mapping!$B$4:$C$37,2,0)</f>
        <v>[Cake] - Cashloan</v>
      </c>
      <c r="H5184" s="128" t="str">
        <f>VLOOKUP(source[[#This Row],[lending_product_transform]],[3]Mapping!$B$3:$D$37,3,0)</f>
        <v>cashloan</v>
      </c>
      <c r="I5184" s="135">
        <v>3036430000</v>
      </c>
    </row>
    <row r="5185" spans="1:9" x14ac:dyDescent="0.2">
      <c r="A5185" s="134">
        <v>45710</v>
      </c>
      <c r="B5185" s="135">
        <f>YEAR(source[[#This Row],[report_date]])</f>
        <v>2025</v>
      </c>
      <c r="C5185" s="128">
        <f t="shared" si="239"/>
        <v>2</v>
      </c>
      <c r="D5185" s="136">
        <f t="shared" si="238"/>
        <v>8</v>
      </c>
      <c r="E5185" s="136">
        <f t="shared" si="240"/>
        <v>22</v>
      </c>
      <c r="F5185" s="128" t="s">
        <v>24</v>
      </c>
      <c r="G5185" s="128" t="str">
        <f>VLOOKUP(source[[#This Row],[lending_product_transform]],[3]Mapping!$B$4:$C$37,2,0)</f>
        <v>[Cake] - Cashloan</v>
      </c>
      <c r="H5185" s="128" t="str">
        <f>VLOOKUP(source[[#This Row],[lending_product_transform]],[3]Mapping!$B$3:$D$37,3,0)</f>
        <v>cashloan</v>
      </c>
      <c r="I5185" s="135">
        <v>5113960000</v>
      </c>
    </row>
    <row r="5186" spans="1:9" x14ac:dyDescent="0.2">
      <c r="A5186" s="134">
        <v>45710</v>
      </c>
      <c r="B5186" s="135">
        <f>YEAR(source[[#This Row],[report_date]])</f>
        <v>2025</v>
      </c>
      <c r="C5186" s="128">
        <f t="shared" si="239"/>
        <v>2</v>
      </c>
      <c r="D5186" s="136">
        <f t="shared" si="238"/>
        <v>8</v>
      </c>
      <c r="E5186" s="136">
        <f t="shared" si="240"/>
        <v>22</v>
      </c>
      <c r="F5186" s="128" t="s">
        <v>24</v>
      </c>
      <c r="G5186" s="128" t="str">
        <f>VLOOKUP(source[[#This Row],[lending_product_transform]],[3]Mapping!$B$4:$C$37,2,0)</f>
        <v>[Cake] - Cashloan</v>
      </c>
      <c r="H5186" s="128" t="str">
        <f>VLOOKUP(source[[#This Row],[lending_product_transform]],[3]Mapping!$B$3:$D$37,3,0)</f>
        <v>cashloan</v>
      </c>
      <c r="I5186" s="135">
        <v>2902878499</v>
      </c>
    </row>
    <row r="5187" spans="1:9" x14ac:dyDescent="0.2">
      <c r="A5187" s="134">
        <v>45710</v>
      </c>
      <c r="B5187" s="135">
        <f>YEAR(source[[#This Row],[report_date]])</f>
        <v>2025</v>
      </c>
      <c r="C5187" s="128">
        <f t="shared" si="239"/>
        <v>2</v>
      </c>
      <c r="D5187" s="136">
        <f t="shared" ref="D5187:D5250" si="241">WEEKNUM(A5187,2)</f>
        <v>8</v>
      </c>
      <c r="E5187" s="136">
        <f t="shared" si="240"/>
        <v>22</v>
      </c>
      <c r="F5187" s="128" t="s">
        <v>24</v>
      </c>
      <c r="G5187" s="128" t="str">
        <f>VLOOKUP(source[[#This Row],[lending_product_transform]],[3]Mapping!$B$4:$C$37,2,0)</f>
        <v>[Cake] - Cashloan</v>
      </c>
      <c r="H5187" s="128" t="str">
        <f>VLOOKUP(source[[#This Row],[lending_product_transform]],[3]Mapping!$B$3:$D$37,3,0)</f>
        <v>cashloan</v>
      </c>
      <c r="I5187" s="135">
        <v>4680000000</v>
      </c>
    </row>
    <row r="5188" spans="1:9" x14ac:dyDescent="0.2">
      <c r="A5188" s="134">
        <v>45710</v>
      </c>
      <c r="B5188" s="135">
        <f>YEAR(source[[#This Row],[report_date]])</f>
        <v>2025</v>
      </c>
      <c r="C5188" s="128">
        <f t="shared" si="239"/>
        <v>2</v>
      </c>
      <c r="D5188" s="136">
        <f t="shared" si="241"/>
        <v>8</v>
      </c>
      <c r="E5188" s="136">
        <f t="shared" si="240"/>
        <v>22</v>
      </c>
      <c r="F5188" s="128" t="s">
        <v>24</v>
      </c>
      <c r="G5188" s="128" t="str">
        <f>VLOOKUP(source[[#This Row],[lending_product_transform]],[3]Mapping!$B$4:$C$37,2,0)</f>
        <v>[Cake] - Cashloan</v>
      </c>
      <c r="H5188" s="128" t="str">
        <f>VLOOKUP(source[[#This Row],[lending_product_transform]],[3]Mapping!$B$3:$D$37,3,0)</f>
        <v>cashloan</v>
      </c>
      <c r="I5188" s="135">
        <v>0</v>
      </c>
    </row>
    <row r="5189" spans="1:9" x14ac:dyDescent="0.2">
      <c r="A5189" s="134">
        <v>45710</v>
      </c>
      <c r="B5189" s="135">
        <f>YEAR(source[[#This Row],[report_date]])</f>
        <v>2025</v>
      </c>
      <c r="C5189" s="128">
        <f t="shared" si="239"/>
        <v>2</v>
      </c>
      <c r="D5189" s="136">
        <f t="shared" si="241"/>
        <v>8</v>
      </c>
      <c r="E5189" s="136">
        <f t="shared" si="240"/>
        <v>22</v>
      </c>
      <c r="F5189" s="128" t="s">
        <v>24</v>
      </c>
      <c r="G5189" s="128" t="str">
        <f>VLOOKUP(source[[#This Row],[lending_product_transform]],[3]Mapping!$B$4:$C$37,2,0)</f>
        <v>[Cake] - Cashloan</v>
      </c>
      <c r="H5189" s="128" t="str">
        <f>VLOOKUP(source[[#This Row],[lending_product_transform]],[3]Mapping!$B$3:$D$37,3,0)</f>
        <v>cashloan</v>
      </c>
      <c r="I5189" s="135">
        <v>322916986</v>
      </c>
    </row>
    <row r="5190" spans="1:9" x14ac:dyDescent="0.2">
      <c r="A5190" s="134">
        <v>45710</v>
      </c>
      <c r="B5190" s="135">
        <f>YEAR(source[[#This Row],[report_date]])</f>
        <v>2025</v>
      </c>
      <c r="C5190" s="128">
        <f t="shared" si="239"/>
        <v>2</v>
      </c>
      <c r="D5190" s="136">
        <f t="shared" si="241"/>
        <v>8</v>
      </c>
      <c r="E5190" s="136">
        <f t="shared" si="240"/>
        <v>22</v>
      </c>
      <c r="F5190" s="128" t="s">
        <v>24</v>
      </c>
      <c r="G5190" s="128" t="str">
        <f>VLOOKUP(source[[#This Row],[lending_product_transform]],[3]Mapping!$B$4:$C$37,2,0)</f>
        <v>[Cake] - Cashloan</v>
      </c>
      <c r="H5190" s="128" t="str">
        <f>VLOOKUP(source[[#This Row],[lending_product_transform]],[3]Mapping!$B$3:$D$37,3,0)</f>
        <v>cashloan</v>
      </c>
      <c r="I5190" s="135">
        <v>0</v>
      </c>
    </row>
    <row r="5191" spans="1:9" x14ac:dyDescent="0.2">
      <c r="A5191" s="134">
        <v>45710</v>
      </c>
      <c r="B5191" s="135">
        <f>YEAR(source[[#This Row],[report_date]])</f>
        <v>2025</v>
      </c>
      <c r="C5191" s="128">
        <f t="shared" si="239"/>
        <v>2</v>
      </c>
      <c r="D5191" s="136">
        <f t="shared" si="241"/>
        <v>8</v>
      </c>
      <c r="E5191" s="136">
        <f t="shared" si="240"/>
        <v>22</v>
      </c>
      <c r="F5191" s="128" t="s">
        <v>24</v>
      </c>
      <c r="G5191" s="128" t="str">
        <f>VLOOKUP(source[[#This Row],[lending_product_transform]],[3]Mapping!$B$4:$C$37,2,0)</f>
        <v>[Cake] - Cashloan</v>
      </c>
      <c r="H5191" s="128" t="str">
        <f>VLOOKUP(source[[#This Row],[lending_product_transform]],[3]Mapping!$B$3:$D$37,3,0)</f>
        <v>cashloan</v>
      </c>
      <c r="I5191" s="135">
        <v>13569251</v>
      </c>
    </row>
    <row r="5192" spans="1:9" x14ac:dyDescent="0.2">
      <c r="A5192" s="134">
        <v>45710</v>
      </c>
      <c r="B5192" s="135">
        <f>YEAR(source[[#This Row],[report_date]])</f>
        <v>2025</v>
      </c>
      <c r="C5192" s="128">
        <f t="shared" si="239"/>
        <v>2</v>
      </c>
      <c r="D5192" s="136">
        <f t="shared" si="241"/>
        <v>8</v>
      </c>
      <c r="E5192" s="136">
        <f t="shared" si="240"/>
        <v>22</v>
      </c>
      <c r="F5192" s="128" t="s">
        <v>24</v>
      </c>
      <c r="G5192" s="128" t="str">
        <f>VLOOKUP(source[[#This Row],[lending_product_transform]],[3]Mapping!$B$4:$C$37,2,0)</f>
        <v>[Cake] - Cashloan</v>
      </c>
      <c r="H5192" s="128" t="str">
        <f>VLOOKUP(source[[#This Row],[lending_product_transform]],[3]Mapping!$B$3:$D$37,3,0)</f>
        <v>cashloan</v>
      </c>
      <c r="I5192" s="135">
        <v>10500000</v>
      </c>
    </row>
    <row r="5193" spans="1:9" x14ac:dyDescent="0.2">
      <c r="A5193" s="134">
        <v>45710</v>
      </c>
      <c r="B5193" s="135">
        <f>YEAR(source[[#This Row],[report_date]])</f>
        <v>2025</v>
      </c>
      <c r="C5193" s="128">
        <f t="shared" si="239"/>
        <v>2</v>
      </c>
      <c r="D5193" s="136">
        <f t="shared" si="241"/>
        <v>8</v>
      </c>
      <c r="E5193" s="136">
        <f t="shared" si="240"/>
        <v>22</v>
      </c>
      <c r="F5193" s="128" t="s">
        <v>24</v>
      </c>
      <c r="G5193" s="128" t="str">
        <f>VLOOKUP(source[[#This Row],[lending_product_transform]],[3]Mapping!$B$4:$C$37,2,0)</f>
        <v>[Cake] - Cashloan</v>
      </c>
      <c r="H5193" s="128" t="str">
        <f>VLOOKUP(source[[#This Row],[lending_product_transform]],[3]Mapping!$B$3:$D$37,3,0)</f>
        <v>cashloan</v>
      </c>
      <c r="I5193" s="135">
        <v>76000000</v>
      </c>
    </row>
    <row r="5194" spans="1:9" x14ac:dyDescent="0.2">
      <c r="A5194" s="134">
        <v>45710</v>
      </c>
      <c r="B5194" s="135">
        <f>YEAR(source[[#This Row],[report_date]])</f>
        <v>2025</v>
      </c>
      <c r="C5194" s="128">
        <f t="shared" si="239"/>
        <v>2</v>
      </c>
      <c r="D5194" s="136">
        <f t="shared" si="241"/>
        <v>8</v>
      </c>
      <c r="E5194" s="136">
        <f t="shared" si="240"/>
        <v>22</v>
      </c>
      <c r="F5194" s="128" t="s">
        <v>24</v>
      </c>
      <c r="G5194" s="128" t="str">
        <f>VLOOKUP(source[[#This Row],[lending_product_transform]],[3]Mapping!$B$4:$C$37,2,0)</f>
        <v>[Cake] - Cashloan</v>
      </c>
      <c r="H5194" s="128" t="str">
        <f>VLOOKUP(source[[#This Row],[lending_product_transform]],[3]Mapping!$B$3:$D$37,3,0)</f>
        <v>cashloan</v>
      </c>
      <c r="I5194" s="135">
        <v>0</v>
      </c>
    </row>
    <row r="5195" spans="1:9" x14ac:dyDescent="0.2">
      <c r="A5195" s="134">
        <v>45710</v>
      </c>
      <c r="B5195" s="135">
        <f>YEAR(source[[#This Row],[report_date]])</f>
        <v>2025</v>
      </c>
      <c r="C5195" s="128">
        <f t="shared" si="239"/>
        <v>2</v>
      </c>
      <c r="D5195" s="136">
        <f t="shared" si="241"/>
        <v>8</v>
      </c>
      <c r="E5195" s="136">
        <f t="shared" si="240"/>
        <v>22</v>
      </c>
      <c r="F5195" s="128" t="s">
        <v>24</v>
      </c>
      <c r="G5195" s="128" t="str">
        <f>VLOOKUP(source[[#This Row],[lending_product_transform]],[3]Mapping!$B$4:$C$37,2,0)</f>
        <v>[Cake] - Cashloan</v>
      </c>
      <c r="H5195" s="128" t="str">
        <f>VLOOKUP(source[[#This Row],[lending_product_transform]],[3]Mapping!$B$3:$D$37,3,0)</f>
        <v>cashloan</v>
      </c>
      <c r="I5195" s="135">
        <v>0</v>
      </c>
    </row>
    <row r="5196" spans="1:9" x14ac:dyDescent="0.2">
      <c r="A5196" s="134">
        <v>45710</v>
      </c>
      <c r="B5196" s="135">
        <f>YEAR(source[[#This Row],[report_date]])</f>
        <v>2025</v>
      </c>
      <c r="C5196" s="128">
        <f t="shared" si="239"/>
        <v>2</v>
      </c>
      <c r="D5196" s="136">
        <f t="shared" si="241"/>
        <v>8</v>
      </c>
      <c r="E5196" s="136">
        <f t="shared" si="240"/>
        <v>22</v>
      </c>
      <c r="F5196" s="128" t="s">
        <v>24</v>
      </c>
      <c r="G5196" s="128" t="str">
        <f>VLOOKUP(source[[#This Row],[lending_product_transform]],[3]Mapping!$B$4:$C$37,2,0)</f>
        <v>[Cake] - Cashloan</v>
      </c>
      <c r="H5196" s="128" t="str">
        <f>VLOOKUP(source[[#This Row],[lending_product_transform]],[3]Mapping!$B$3:$D$37,3,0)</f>
        <v>cashloan</v>
      </c>
      <c r="I5196" s="135">
        <v>0</v>
      </c>
    </row>
    <row r="5197" spans="1:9" x14ac:dyDescent="0.2">
      <c r="A5197" s="134">
        <v>45710</v>
      </c>
      <c r="B5197" s="135">
        <f>YEAR(source[[#This Row],[report_date]])</f>
        <v>2025</v>
      </c>
      <c r="C5197" s="128">
        <f t="shared" si="239"/>
        <v>2</v>
      </c>
      <c r="D5197" s="136">
        <f t="shared" si="241"/>
        <v>8</v>
      </c>
      <c r="E5197" s="136">
        <f t="shared" si="240"/>
        <v>22</v>
      </c>
      <c r="F5197" s="128" t="s">
        <v>24</v>
      </c>
      <c r="G5197" s="128" t="str">
        <f>VLOOKUP(source[[#This Row],[lending_product_transform]],[3]Mapping!$B$4:$C$37,2,0)</f>
        <v>[Cake] - Cashloan</v>
      </c>
      <c r="H5197" s="128" t="str">
        <f>VLOOKUP(source[[#This Row],[lending_product_transform]],[3]Mapping!$B$3:$D$37,3,0)</f>
        <v>cashloan</v>
      </c>
      <c r="I5197" s="135">
        <v>0</v>
      </c>
    </row>
    <row r="5198" spans="1:9" x14ac:dyDescent="0.2">
      <c r="A5198" s="134">
        <v>45710</v>
      </c>
      <c r="B5198" s="135">
        <f>YEAR(source[[#This Row],[report_date]])</f>
        <v>2025</v>
      </c>
      <c r="C5198" s="128">
        <f t="shared" si="239"/>
        <v>2</v>
      </c>
      <c r="D5198" s="136">
        <f t="shared" si="241"/>
        <v>8</v>
      </c>
      <c r="E5198" s="136">
        <f t="shared" si="240"/>
        <v>22</v>
      </c>
      <c r="F5198" s="128" t="s">
        <v>24</v>
      </c>
      <c r="G5198" s="128" t="str">
        <f>VLOOKUP(source[[#This Row],[lending_product_transform]],[3]Mapping!$B$4:$C$37,2,0)</f>
        <v>[Cake] - Cashloan</v>
      </c>
      <c r="H5198" s="128" t="str">
        <f>VLOOKUP(source[[#This Row],[lending_product_transform]],[3]Mapping!$B$3:$D$37,3,0)</f>
        <v>cashloan</v>
      </c>
      <c r="I5198" s="135">
        <v>418560000</v>
      </c>
    </row>
    <row r="5199" spans="1:9" x14ac:dyDescent="0.2">
      <c r="A5199" s="134">
        <v>45710</v>
      </c>
      <c r="B5199" s="135">
        <f>YEAR(source[[#This Row],[report_date]])</f>
        <v>2025</v>
      </c>
      <c r="C5199" s="128">
        <f t="shared" si="239"/>
        <v>2</v>
      </c>
      <c r="D5199" s="136">
        <f t="shared" si="241"/>
        <v>8</v>
      </c>
      <c r="E5199" s="136">
        <f t="shared" si="240"/>
        <v>22</v>
      </c>
      <c r="F5199" s="128" t="s">
        <v>24</v>
      </c>
      <c r="G5199" s="128" t="str">
        <f>VLOOKUP(source[[#This Row],[lending_product_transform]],[3]Mapping!$B$4:$C$37,2,0)</f>
        <v>[Cake] - Cashloan</v>
      </c>
      <c r="H5199" s="128" t="str">
        <f>VLOOKUP(source[[#This Row],[lending_product_transform]],[3]Mapping!$B$3:$D$37,3,0)</f>
        <v>cashloan</v>
      </c>
      <c r="I5199" s="135">
        <v>684600000</v>
      </c>
    </row>
    <row r="5200" spans="1:9" x14ac:dyDescent="0.2">
      <c r="A5200" s="134">
        <v>45710</v>
      </c>
      <c r="B5200" s="135">
        <f>YEAR(source[[#This Row],[report_date]])</f>
        <v>2025</v>
      </c>
      <c r="C5200" s="128">
        <f t="shared" si="239"/>
        <v>2</v>
      </c>
      <c r="D5200" s="136">
        <f t="shared" si="241"/>
        <v>8</v>
      </c>
      <c r="E5200" s="136">
        <f t="shared" si="240"/>
        <v>22</v>
      </c>
      <c r="F5200" s="128" t="s">
        <v>24</v>
      </c>
      <c r="G5200" s="128" t="str">
        <f>VLOOKUP(source[[#This Row],[lending_product_transform]],[3]Mapping!$B$4:$C$37,2,0)</f>
        <v>[Cake] - Cashloan</v>
      </c>
      <c r="H5200" s="128" t="str">
        <f>VLOOKUP(source[[#This Row],[lending_product_transform]],[3]Mapping!$B$3:$D$37,3,0)</f>
        <v>cashloan</v>
      </c>
      <c r="I5200" s="135">
        <v>0</v>
      </c>
    </row>
    <row r="5201" spans="1:9" x14ac:dyDescent="0.2">
      <c r="A5201" s="134">
        <v>45710</v>
      </c>
      <c r="B5201" s="135">
        <f>YEAR(source[[#This Row],[report_date]])</f>
        <v>2025</v>
      </c>
      <c r="C5201" s="128">
        <f t="shared" si="239"/>
        <v>2</v>
      </c>
      <c r="D5201" s="136">
        <f t="shared" si="241"/>
        <v>8</v>
      </c>
      <c r="E5201" s="136">
        <f t="shared" si="240"/>
        <v>22</v>
      </c>
      <c r="F5201" s="128" t="s">
        <v>24</v>
      </c>
      <c r="G5201" s="128" t="str">
        <f>VLOOKUP(source[[#This Row],[lending_product_transform]],[3]Mapping!$B$4:$C$37,2,0)</f>
        <v>[Cake] - Cashloan</v>
      </c>
      <c r="H5201" s="128" t="str">
        <f>VLOOKUP(source[[#This Row],[lending_product_transform]],[3]Mapping!$B$3:$D$37,3,0)</f>
        <v>cashloan</v>
      </c>
      <c r="I5201" s="135">
        <v>255218007</v>
      </c>
    </row>
    <row r="5202" spans="1:9" x14ac:dyDescent="0.2">
      <c r="A5202" s="134">
        <v>45710</v>
      </c>
      <c r="B5202" s="135">
        <f>YEAR(source[[#This Row],[report_date]])</f>
        <v>2025</v>
      </c>
      <c r="C5202" s="128">
        <f t="shared" si="239"/>
        <v>2</v>
      </c>
      <c r="D5202" s="136">
        <f t="shared" si="241"/>
        <v>8</v>
      </c>
      <c r="E5202" s="136">
        <f t="shared" si="240"/>
        <v>22</v>
      </c>
      <c r="F5202" s="128" t="s">
        <v>24</v>
      </c>
      <c r="G5202" s="128" t="str">
        <f>VLOOKUP(source[[#This Row],[lending_product_transform]],[3]Mapping!$B$4:$C$37,2,0)</f>
        <v>[Cake] - Cashloan</v>
      </c>
      <c r="H5202" s="128" t="str">
        <f>VLOOKUP(source[[#This Row],[lending_product_transform]],[3]Mapping!$B$3:$D$37,3,0)</f>
        <v>cashloan</v>
      </c>
      <c r="I5202" s="135">
        <v>177359450</v>
      </c>
    </row>
    <row r="5203" spans="1:9" x14ac:dyDescent="0.2">
      <c r="A5203" s="134">
        <v>45711</v>
      </c>
      <c r="B5203" s="135">
        <f>YEAR(source[[#This Row],[report_date]])</f>
        <v>2025</v>
      </c>
      <c r="C5203" s="128">
        <f t="shared" si="239"/>
        <v>2</v>
      </c>
      <c r="D5203" s="136">
        <f t="shared" si="241"/>
        <v>8</v>
      </c>
      <c r="E5203" s="136">
        <f t="shared" si="240"/>
        <v>23</v>
      </c>
      <c r="F5203" s="128" t="s">
        <v>24</v>
      </c>
      <c r="G5203" s="128" t="str">
        <f>VLOOKUP(source[[#This Row],[lending_product_transform]],[3]Mapping!$B$4:$C$37,2,0)</f>
        <v>[Cake] - Cashloan</v>
      </c>
      <c r="H5203" s="128" t="str">
        <f>VLOOKUP(source[[#This Row],[lending_product_transform]],[3]Mapping!$B$3:$D$37,3,0)</f>
        <v>cashloan</v>
      </c>
      <c r="I5203" s="135">
        <v>0</v>
      </c>
    </row>
    <row r="5204" spans="1:9" x14ac:dyDescent="0.2">
      <c r="A5204" s="134">
        <v>45711</v>
      </c>
      <c r="B5204" s="135">
        <f>YEAR(source[[#This Row],[report_date]])</f>
        <v>2025</v>
      </c>
      <c r="C5204" s="128">
        <f t="shared" si="239"/>
        <v>2</v>
      </c>
      <c r="D5204" s="136">
        <f t="shared" si="241"/>
        <v>8</v>
      </c>
      <c r="E5204" s="136">
        <f t="shared" si="240"/>
        <v>23</v>
      </c>
      <c r="F5204" s="128" t="s">
        <v>24</v>
      </c>
      <c r="G5204" s="128" t="str">
        <f>VLOOKUP(source[[#This Row],[lending_product_transform]],[3]Mapping!$B$4:$C$37,2,0)</f>
        <v>[Cake] - Cashloan</v>
      </c>
      <c r="H5204" s="128" t="str">
        <f>VLOOKUP(source[[#This Row],[lending_product_transform]],[3]Mapping!$B$3:$D$37,3,0)</f>
        <v>cashloan</v>
      </c>
      <c r="I5204" s="135">
        <v>50000000</v>
      </c>
    </row>
    <row r="5205" spans="1:9" x14ac:dyDescent="0.2">
      <c r="A5205" s="134">
        <v>45711</v>
      </c>
      <c r="B5205" s="135">
        <f>YEAR(source[[#This Row],[report_date]])</f>
        <v>2025</v>
      </c>
      <c r="C5205" s="128">
        <f t="shared" si="239"/>
        <v>2</v>
      </c>
      <c r="D5205" s="136">
        <f t="shared" si="241"/>
        <v>8</v>
      </c>
      <c r="E5205" s="136">
        <f t="shared" si="240"/>
        <v>23</v>
      </c>
      <c r="F5205" s="128" t="s">
        <v>24</v>
      </c>
      <c r="G5205" s="128" t="str">
        <f>VLOOKUP(source[[#This Row],[lending_product_transform]],[3]Mapping!$B$4:$C$37,2,0)</f>
        <v>[Cake] - Cashloan</v>
      </c>
      <c r="H5205" s="128" t="str">
        <f>VLOOKUP(source[[#This Row],[lending_product_transform]],[3]Mapping!$B$3:$D$37,3,0)</f>
        <v>cashloan</v>
      </c>
      <c r="I5205" s="135">
        <v>24417158</v>
      </c>
    </row>
    <row r="5206" spans="1:9" x14ac:dyDescent="0.2">
      <c r="A5206" s="134">
        <v>45711</v>
      </c>
      <c r="B5206" s="135">
        <f>YEAR(source[[#This Row],[report_date]])</f>
        <v>2025</v>
      </c>
      <c r="C5206" s="128">
        <f t="shared" si="239"/>
        <v>2</v>
      </c>
      <c r="D5206" s="136">
        <f t="shared" si="241"/>
        <v>8</v>
      </c>
      <c r="E5206" s="136">
        <f t="shared" si="240"/>
        <v>23</v>
      </c>
      <c r="F5206" s="128" t="s">
        <v>24</v>
      </c>
      <c r="G5206" s="128" t="str">
        <f>VLOOKUP(source[[#This Row],[lending_product_transform]],[3]Mapping!$B$4:$C$37,2,0)</f>
        <v>[Cake] - Cashloan</v>
      </c>
      <c r="H5206" s="128" t="str">
        <f>VLOOKUP(source[[#This Row],[lending_product_transform]],[3]Mapping!$B$3:$D$37,3,0)</f>
        <v>cashloan</v>
      </c>
      <c r="I5206" s="135">
        <v>0</v>
      </c>
    </row>
    <row r="5207" spans="1:9" x14ac:dyDescent="0.2">
      <c r="A5207" s="134">
        <v>45711</v>
      </c>
      <c r="B5207" s="135">
        <f>YEAR(source[[#This Row],[report_date]])</f>
        <v>2025</v>
      </c>
      <c r="C5207" s="128">
        <f t="shared" si="239"/>
        <v>2</v>
      </c>
      <c r="D5207" s="136">
        <f t="shared" si="241"/>
        <v>8</v>
      </c>
      <c r="E5207" s="136">
        <f t="shared" si="240"/>
        <v>23</v>
      </c>
      <c r="F5207" s="128" t="s">
        <v>24</v>
      </c>
      <c r="G5207" s="128" t="str">
        <f>VLOOKUP(source[[#This Row],[lending_product_transform]],[3]Mapping!$B$4:$C$37,2,0)</f>
        <v>[Cake] - Cashloan</v>
      </c>
      <c r="H5207" s="128" t="str">
        <f>VLOOKUP(source[[#This Row],[lending_product_transform]],[3]Mapping!$B$3:$D$37,3,0)</f>
        <v>cashloan</v>
      </c>
      <c r="I5207" s="135">
        <v>0</v>
      </c>
    </row>
    <row r="5208" spans="1:9" x14ac:dyDescent="0.2">
      <c r="A5208" s="134">
        <v>45711</v>
      </c>
      <c r="B5208" s="135">
        <f>YEAR(source[[#This Row],[report_date]])</f>
        <v>2025</v>
      </c>
      <c r="C5208" s="128">
        <f t="shared" si="239"/>
        <v>2</v>
      </c>
      <c r="D5208" s="136">
        <f t="shared" si="241"/>
        <v>8</v>
      </c>
      <c r="E5208" s="136">
        <f t="shared" si="240"/>
        <v>23</v>
      </c>
      <c r="F5208" s="128" t="s">
        <v>24</v>
      </c>
      <c r="G5208" s="128" t="str">
        <f>VLOOKUP(source[[#This Row],[lending_product_transform]],[3]Mapping!$B$4:$C$37,2,0)</f>
        <v>[Cake] - Cashloan</v>
      </c>
      <c r="H5208" s="128" t="str">
        <f>VLOOKUP(source[[#This Row],[lending_product_transform]],[3]Mapping!$B$3:$D$37,3,0)</f>
        <v>cashloan</v>
      </c>
      <c r="I5208" s="135">
        <v>3288440000</v>
      </c>
    </row>
    <row r="5209" spans="1:9" x14ac:dyDescent="0.2">
      <c r="A5209" s="134">
        <v>45711</v>
      </c>
      <c r="B5209" s="135">
        <f>YEAR(source[[#This Row],[report_date]])</f>
        <v>2025</v>
      </c>
      <c r="C5209" s="128">
        <f t="shared" si="239"/>
        <v>2</v>
      </c>
      <c r="D5209" s="136">
        <f t="shared" si="241"/>
        <v>8</v>
      </c>
      <c r="E5209" s="136">
        <f t="shared" si="240"/>
        <v>23</v>
      </c>
      <c r="F5209" s="128" t="s">
        <v>24</v>
      </c>
      <c r="G5209" s="128" t="str">
        <f>VLOOKUP(source[[#This Row],[lending_product_transform]],[3]Mapping!$B$4:$C$37,2,0)</f>
        <v>[Cake] - Cashloan</v>
      </c>
      <c r="H5209" s="128" t="str">
        <f>VLOOKUP(source[[#This Row],[lending_product_transform]],[3]Mapping!$B$3:$D$37,3,0)</f>
        <v>cashloan</v>
      </c>
      <c r="I5209" s="135">
        <v>0</v>
      </c>
    </row>
    <row r="5210" spans="1:9" x14ac:dyDescent="0.2">
      <c r="A5210" s="134">
        <v>45711</v>
      </c>
      <c r="B5210" s="135">
        <f>YEAR(source[[#This Row],[report_date]])</f>
        <v>2025</v>
      </c>
      <c r="C5210" s="128">
        <f t="shared" si="239"/>
        <v>2</v>
      </c>
      <c r="D5210" s="136">
        <f t="shared" si="241"/>
        <v>8</v>
      </c>
      <c r="E5210" s="136">
        <f t="shared" si="240"/>
        <v>23</v>
      </c>
      <c r="F5210" s="128" t="s">
        <v>24</v>
      </c>
      <c r="G5210" s="128" t="str">
        <f>VLOOKUP(source[[#This Row],[lending_product_transform]],[3]Mapping!$B$4:$C$37,2,0)</f>
        <v>[Cake] - Cashloan</v>
      </c>
      <c r="H5210" s="128" t="str">
        <f>VLOOKUP(source[[#This Row],[lending_product_transform]],[3]Mapping!$B$3:$D$37,3,0)</f>
        <v>cashloan</v>
      </c>
      <c r="I5210" s="135">
        <v>379210000</v>
      </c>
    </row>
    <row r="5211" spans="1:9" x14ac:dyDescent="0.2">
      <c r="A5211" s="134">
        <v>45711</v>
      </c>
      <c r="B5211" s="135">
        <f>YEAR(source[[#This Row],[report_date]])</f>
        <v>2025</v>
      </c>
      <c r="C5211" s="128">
        <f t="shared" si="239"/>
        <v>2</v>
      </c>
      <c r="D5211" s="136">
        <f t="shared" si="241"/>
        <v>8</v>
      </c>
      <c r="E5211" s="136">
        <f t="shared" si="240"/>
        <v>23</v>
      </c>
      <c r="F5211" s="128" t="s">
        <v>24</v>
      </c>
      <c r="G5211" s="128" t="str">
        <f>VLOOKUP(source[[#This Row],[lending_product_transform]],[3]Mapping!$B$4:$C$37,2,0)</f>
        <v>[Cake] - Cashloan</v>
      </c>
      <c r="H5211" s="128" t="str">
        <f>VLOOKUP(source[[#This Row],[lending_product_transform]],[3]Mapping!$B$3:$D$37,3,0)</f>
        <v>cashloan</v>
      </c>
      <c r="I5211" s="135">
        <v>578540000</v>
      </c>
    </row>
    <row r="5212" spans="1:9" x14ac:dyDescent="0.2">
      <c r="A5212" s="134">
        <v>45711</v>
      </c>
      <c r="B5212" s="135">
        <f>YEAR(source[[#This Row],[report_date]])</f>
        <v>2025</v>
      </c>
      <c r="C5212" s="128">
        <f t="shared" si="239"/>
        <v>2</v>
      </c>
      <c r="D5212" s="136">
        <f t="shared" si="241"/>
        <v>8</v>
      </c>
      <c r="E5212" s="136">
        <f t="shared" si="240"/>
        <v>23</v>
      </c>
      <c r="F5212" s="128" t="s">
        <v>24</v>
      </c>
      <c r="G5212" s="128" t="str">
        <f>VLOOKUP(source[[#This Row],[lending_product_transform]],[3]Mapping!$B$4:$C$37,2,0)</f>
        <v>[Cake] - Cashloan</v>
      </c>
      <c r="H5212" s="128" t="str">
        <f>VLOOKUP(source[[#This Row],[lending_product_transform]],[3]Mapping!$B$3:$D$37,3,0)</f>
        <v>cashloan</v>
      </c>
      <c r="I5212" s="135">
        <v>32600000</v>
      </c>
    </row>
    <row r="5213" spans="1:9" x14ac:dyDescent="0.2">
      <c r="A5213" s="134">
        <v>45711</v>
      </c>
      <c r="B5213" s="135">
        <f>YEAR(source[[#This Row],[report_date]])</f>
        <v>2025</v>
      </c>
      <c r="C5213" s="128">
        <f t="shared" si="239"/>
        <v>2</v>
      </c>
      <c r="D5213" s="136">
        <f t="shared" si="241"/>
        <v>8</v>
      </c>
      <c r="E5213" s="136">
        <f t="shared" si="240"/>
        <v>23</v>
      </c>
      <c r="F5213" s="128" t="s">
        <v>24</v>
      </c>
      <c r="G5213" s="128" t="str">
        <f>VLOOKUP(source[[#This Row],[lending_product_transform]],[3]Mapping!$B$4:$C$37,2,0)</f>
        <v>[Cake] - Cashloan</v>
      </c>
      <c r="H5213" s="128" t="str">
        <f>VLOOKUP(source[[#This Row],[lending_product_transform]],[3]Mapping!$B$3:$D$37,3,0)</f>
        <v>cashloan</v>
      </c>
      <c r="I5213" s="135">
        <v>182687871</v>
      </c>
    </row>
    <row r="5214" spans="1:9" x14ac:dyDescent="0.2">
      <c r="A5214" s="134">
        <v>45711</v>
      </c>
      <c r="B5214" s="135">
        <f>YEAR(source[[#This Row],[report_date]])</f>
        <v>2025</v>
      </c>
      <c r="C5214" s="128">
        <f t="shared" si="239"/>
        <v>2</v>
      </c>
      <c r="D5214" s="136">
        <f t="shared" si="241"/>
        <v>8</v>
      </c>
      <c r="E5214" s="136">
        <f t="shared" si="240"/>
        <v>23</v>
      </c>
      <c r="F5214" s="128" t="s">
        <v>24</v>
      </c>
      <c r="G5214" s="128" t="str">
        <f>VLOOKUP(source[[#This Row],[lending_product_transform]],[3]Mapping!$B$4:$C$37,2,0)</f>
        <v>[Cake] - Cashloan</v>
      </c>
      <c r="H5214" s="128" t="str">
        <f>VLOOKUP(source[[#This Row],[lending_product_transform]],[3]Mapping!$B$3:$D$37,3,0)</f>
        <v>cashloan</v>
      </c>
      <c r="I5214" s="135">
        <v>153533644</v>
      </c>
    </row>
    <row r="5215" spans="1:9" x14ac:dyDescent="0.2">
      <c r="A5215" s="134">
        <v>45711</v>
      </c>
      <c r="B5215" s="135">
        <f>YEAR(source[[#This Row],[report_date]])</f>
        <v>2025</v>
      </c>
      <c r="C5215" s="128">
        <f t="shared" si="239"/>
        <v>2</v>
      </c>
      <c r="D5215" s="136">
        <f t="shared" si="241"/>
        <v>8</v>
      </c>
      <c r="E5215" s="136">
        <f t="shared" si="240"/>
        <v>23</v>
      </c>
      <c r="F5215" s="128" t="s">
        <v>24</v>
      </c>
      <c r="G5215" s="128" t="str">
        <f>VLOOKUP(source[[#This Row],[lending_product_transform]],[3]Mapping!$B$4:$C$37,2,0)</f>
        <v>[Cake] - Cashloan</v>
      </c>
      <c r="H5215" s="128" t="str">
        <f>VLOOKUP(source[[#This Row],[lending_product_transform]],[3]Mapping!$B$3:$D$37,3,0)</f>
        <v>cashloan</v>
      </c>
      <c r="I5215" s="135">
        <v>0</v>
      </c>
    </row>
    <row r="5216" spans="1:9" x14ac:dyDescent="0.2">
      <c r="A5216" s="134">
        <v>45711</v>
      </c>
      <c r="B5216" s="135">
        <f>YEAR(source[[#This Row],[report_date]])</f>
        <v>2025</v>
      </c>
      <c r="C5216" s="128">
        <f t="shared" si="239"/>
        <v>2</v>
      </c>
      <c r="D5216" s="136">
        <f t="shared" si="241"/>
        <v>8</v>
      </c>
      <c r="E5216" s="136">
        <f t="shared" si="240"/>
        <v>23</v>
      </c>
      <c r="F5216" s="128" t="s">
        <v>24</v>
      </c>
      <c r="G5216" s="128" t="str">
        <f>VLOOKUP(source[[#This Row],[lending_product_transform]],[3]Mapping!$B$4:$C$37,2,0)</f>
        <v>[Cake] - Cashloan</v>
      </c>
      <c r="H5216" s="128" t="str">
        <f>VLOOKUP(source[[#This Row],[lending_product_transform]],[3]Mapping!$B$3:$D$37,3,0)</f>
        <v>cashloan</v>
      </c>
      <c r="I5216" s="135">
        <v>0</v>
      </c>
    </row>
    <row r="5217" spans="1:9" x14ac:dyDescent="0.2">
      <c r="A5217" s="134">
        <v>45711</v>
      </c>
      <c r="B5217" s="135">
        <f>YEAR(source[[#This Row],[report_date]])</f>
        <v>2025</v>
      </c>
      <c r="C5217" s="128">
        <f t="shared" si="239"/>
        <v>2</v>
      </c>
      <c r="D5217" s="136">
        <f t="shared" si="241"/>
        <v>8</v>
      </c>
      <c r="E5217" s="136">
        <f t="shared" si="240"/>
        <v>23</v>
      </c>
      <c r="F5217" s="128" t="s">
        <v>24</v>
      </c>
      <c r="G5217" s="128" t="str">
        <f>VLOOKUP(source[[#This Row],[lending_product_transform]],[3]Mapping!$B$4:$C$37,2,0)</f>
        <v>[Cake] - Cashloan</v>
      </c>
      <c r="H5217" s="128" t="str">
        <f>VLOOKUP(source[[#This Row],[lending_product_transform]],[3]Mapping!$B$3:$D$37,3,0)</f>
        <v>cashloan</v>
      </c>
      <c r="I5217" s="135">
        <v>4382500000</v>
      </c>
    </row>
    <row r="5218" spans="1:9" x14ac:dyDescent="0.2">
      <c r="A5218" s="134">
        <v>45711</v>
      </c>
      <c r="B5218" s="135">
        <f>YEAR(source[[#This Row],[report_date]])</f>
        <v>2025</v>
      </c>
      <c r="C5218" s="128">
        <f t="shared" si="239"/>
        <v>2</v>
      </c>
      <c r="D5218" s="136">
        <f t="shared" si="241"/>
        <v>8</v>
      </c>
      <c r="E5218" s="136">
        <f t="shared" si="240"/>
        <v>23</v>
      </c>
      <c r="F5218" s="128" t="s">
        <v>24</v>
      </c>
      <c r="G5218" s="128" t="str">
        <f>VLOOKUP(source[[#This Row],[lending_product_transform]],[3]Mapping!$B$4:$C$37,2,0)</f>
        <v>[Cake] - Cashloan</v>
      </c>
      <c r="H5218" s="128" t="str">
        <f>VLOOKUP(source[[#This Row],[lending_product_transform]],[3]Mapping!$B$3:$D$37,3,0)</f>
        <v>cashloan</v>
      </c>
      <c r="I5218" s="135">
        <v>31500000</v>
      </c>
    </row>
    <row r="5219" spans="1:9" x14ac:dyDescent="0.2">
      <c r="A5219" s="134">
        <v>45711</v>
      </c>
      <c r="B5219" s="135">
        <f>YEAR(source[[#This Row],[report_date]])</f>
        <v>2025</v>
      </c>
      <c r="C5219" s="128">
        <f t="shared" si="239"/>
        <v>2</v>
      </c>
      <c r="D5219" s="136">
        <f t="shared" si="241"/>
        <v>8</v>
      </c>
      <c r="E5219" s="136">
        <f t="shared" si="240"/>
        <v>23</v>
      </c>
      <c r="F5219" s="128" t="s">
        <v>24</v>
      </c>
      <c r="G5219" s="128" t="str">
        <f>VLOOKUP(source[[#This Row],[lending_product_transform]],[3]Mapping!$B$4:$C$37,2,0)</f>
        <v>[Cake] - Cashloan</v>
      </c>
      <c r="H5219" s="128" t="str">
        <f>VLOOKUP(source[[#This Row],[lending_product_transform]],[3]Mapping!$B$3:$D$37,3,0)</f>
        <v>cashloan</v>
      </c>
      <c r="I5219" s="135">
        <v>5054380000</v>
      </c>
    </row>
    <row r="5220" spans="1:9" x14ac:dyDescent="0.2">
      <c r="A5220" s="134">
        <v>45711</v>
      </c>
      <c r="B5220" s="135">
        <f>YEAR(source[[#This Row],[report_date]])</f>
        <v>2025</v>
      </c>
      <c r="C5220" s="128">
        <f t="shared" si="239"/>
        <v>2</v>
      </c>
      <c r="D5220" s="136">
        <f t="shared" si="241"/>
        <v>8</v>
      </c>
      <c r="E5220" s="136">
        <f t="shared" si="240"/>
        <v>23</v>
      </c>
      <c r="F5220" s="128" t="s">
        <v>24</v>
      </c>
      <c r="G5220" s="128" t="str">
        <f>VLOOKUP(source[[#This Row],[lending_product_transform]],[3]Mapping!$B$4:$C$37,2,0)</f>
        <v>[Cake] - Cashloan</v>
      </c>
      <c r="H5220" s="128" t="str">
        <f>VLOOKUP(source[[#This Row],[lending_product_transform]],[3]Mapping!$B$3:$D$37,3,0)</f>
        <v>cashloan</v>
      </c>
      <c r="I5220" s="135">
        <v>249714650</v>
      </c>
    </row>
    <row r="5221" spans="1:9" x14ac:dyDescent="0.2">
      <c r="A5221" s="134">
        <v>45711</v>
      </c>
      <c r="B5221" s="135">
        <f>YEAR(source[[#This Row],[report_date]])</f>
        <v>2025</v>
      </c>
      <c r="C5221" s="128">
        <f t="shared" si="239"/>
        <v>2</v>
      </c>
      <c r="D5221" s="136">
        <f t="shared" si="241"/>
        <v>8</v>
      </c>
      <c r="E5221" s="136">
        <f t="shared" si="240"/>
        <v>23</v>
      </c>
      <c r="F5221" s="128" t="s">
        <v>24</v>
      </c>
      <c r="G5221" s="128" t="str">
        <f>VLOOKUP(source[[#This Row],[lending_product_transform]],[3]Mapping!$B$4:$C$37,2,0)</f>
        <v>[Cake] - Cashloan</v>
      </c>
      <c r="H5221" s="128" t="str">
        <f>VLOOKUP(source[[#This Row],[lending_product_transform]],[3]Mapping!$B$3:$D$37,3,0)</f>
        <v>cashloan</v>
      </c>
      <c r="I5221" s="135">
        <v>2827181839</v>
      </c>
    </row>
    <row r="5222" spans="1:9" x14ac:dyDescent="0.2">
      <c r="A5222" s="134">
        <v>45712</v>
      </c>
      <c r="B5222" s="135">
        <f>YEAR(source[[#This Row],[report_date]])</f>
        <v>2025</v>
      </c>
      <c r="C5222" s="128">
        <f t="shared" si="239"/>
        <v>2</v>
      </c>
      <c r="D5222" s="136">
        <f t="shared" si="241"/>
        <v>9</v>
      </c>
      <c r="E5222" s="136">
        <f t="shared" si="240"/>
        <v>24</v>
      </c>
      <c r="F5222" s="128" t="s">
        <v>24</v>
      </c>
      <c r="G5222" s="128" t="str">
        <f>VLOOKUP(source[[#This Row],[lending_product_transform]],[3]Mapping!$B$4:$C$37,2,0)</f>
        <v>[Cake] - Cashloan</v>
      </c>
      <c r="H5222" s="128" t="str">
        <f>VLOOKUP(source[[#This Row],[lending_product_transform]],[3]Mapping!$B$3:$D$37,3,0)</f>
        <v>cashloan</v>
      </c>
      <c r="I5222" s="135">
        <v>662840000</v>
      </c>
    </row>
    <row r="5223" spans="1:9" x14ac:dyDescent="0.2">
      <c r="A5223" s="134">
        <v>45712</v>
      </c>
      <c r="B5223" s="135">
        <f>YEAR(source[[#This Row],[report_date]])</f>
        <v>2025</v>
      </c>
      <c r="C5223" s="128">
        <f t="shared" si="239"/>
        <v>2</v>
      </c>
      <c r="D5223" s="136">
        <f t="shared" si="241"/>
        <v>9</v>
      </c>
      <c r="E5223" s="136">
        <f t="shared" si="240"/>
        <v>24</v>
      </c>
      <c r="F5223" s="128" t="s">
        <v>24</v>
      </c>
      <c r="G5223" s="128" t="str">
        <f>VLOOKUP(source[[#This Row],[lending_product_transform]],[3]Mapping!$B$4:$C$37,2,0)</f>
        <v>[Cake] - Cashloan</v>
      </c>
      <c r="H5223" s="128" t="str">
        <f>VLOOKUP(source[[#This Row],[lending_product_transform]],[3]Mapping!$B$3:$D$37,3,0)</f>
        <v>cashloan</v>
      </c>
      <c r="I5223" s="135">
        <v>0</v>
      </c>
    </row>
    <row r="5224" spans="1:9" x14ac:dyDescent="0.2">
      <c r="A5224" s="134">
        <v>45712</v>
      </c>
      <c r="B5224" s="135">
        <f>YEAR(source[[#This Row],[report_date]])</f>
        <v>2025</v>
      </c>
      <c r="C5224" s="128">
        <f t="shared" si="239"/>
        <v>2</v>
      </c>
      <c r="D5224" s="136">
        <f t="shared" si="241"/>
        <v>9</v>
      </c>
      <c r="E5224" s="136">
        <f t="shared" si="240"/>
        <v>24</v>
      </c>
      <c r="F5224" s="128" t="s">
        <v>24</v>
      </c>
      <c r="G5224" s="128" t="str">
        <f>VLOOKUP(source[[#This Row],[lending_product_transform]],[3]Mapping!$B$4:$C$37,2,0)</f>
        <v>[Cake] - Cashloan</v>
      </c>
      <c r="H5224" s="128" t="str">
        <f>VLOOKUP(source[[#This Row],[lending_product_transform]],[3]Mapping!$B$3:$D$37,3,0)</f>
        <v>cashloan</v>
      </c>
      <c r="I5224" s="135">
        <v>4987730000</v>
      </c>
    </row>
    <row r="5225" spans="1:9" x14ac:dyDescent="0.2">
      <c r="A5225" s="134">
        <v>45712</v>
      </c>
      <c r="B5225" s="135">
        <f>YEAR(source[[#This Row],[report_date]])</f>
        <v>2025</v>
      </c>
      <c r="C5225" s="128">
        <f t="shared" si="239"/>
        <v>2</v>
      </c>
      <c r="D5225" s="136">
        <f t="shared" si="241"/>
        <v>9</v>
      </c>
      <c r="E5225" s="136">
        <f t="shared" si="240"/>
        <v>24</v>
      </c>
      <c r="F5225" s="128" t="s">
        <v>24</v>
      </c>
      <c r="G5225" s="128" t="str">
        <f>VLOOKUP(source[[#This Row],[lending_product_transform]],[3]Mapping!$B$4:$C$37,2,0)</f>
        <v>[Cake] - Cashloan</v>
      </c>
      <c r="H5225" s="128" t="str">
        <f>VLOOKUP(source[[#This Row],[lending_product_transform]],[3]Mapping!$B$3:$D$37,3,0)</f>
        <v>cashloan</v>
      </c>
      <c r="I5225" s="135">
        <v>261242863</v>
      </c>
    </row>
    <row r="5226" spans="1:9" x14ac:dyDescent="0.2">
      <c r="A5226" s="134">
        <v>45712</v>
      </c>
      <c r="B5226" s="135">
        <f>YEAR(source[[#This Row],[report_date]])</f>
        <v>2025</v>
      </c>
      <c r="C5226" s="128">
        <f t="shared" si="239"/>
        <v>2</v>
      </c>
      <c r="D5226" s="136">
        <f t="shared" si="241"/>
        <v>9</v>
      </c>
      <c r="E5226" s="136">
        <f t="shared" si="240"/>
        <v>24</v>
      </c>
      <c r="F5226" s="128" t="s">
        <v>24</v>
      </c>
      <c r="G5226" s="128" t="str">
        <f>VLOOKUP(source[[#This Row],[lending_product_transform]],[3]Mapping!$B$4:$C$37,2,0)</f>
        <v>[Cake] - Cashloan</v>
      </c>
      <c r="H5226" s="128" t="str">
        <f>VLOOKUP(source[[#This Row],[lending_product_transform]],[3]Mapping!$B$3:$D$37,3,0)</f>
        <v>cashloan</v>
      </c>
      <c r="I5226" s="135">
        <v>13963624</v>
      </c>
    </row>
    <row r="5227" spans="1:9" x14ac:dyDescent="0.2">
      <c r="A5227" s="134">
        <v>45712</v>
      </c>
      <c r="B5227" s="135">
        <f>YEAR(source[[#This Row],[report_date]])</f>
        <v>2025</v>
      </c>
      <c r="C5227" s="128">
        <f t="shared" si="239"/>
        <v>2</v>
      </c>
      <c r="D5227" s="136">
        <f t="shared" si="241"/>
        <v>9</v>
      </c>
      <c r="E5227" s="136">
        <f t="shared" si="240"/>
        <v>24</v>
      </c>
      <c r="F5227" s="128" t="s">
        <v>24</v>
      </c>
      <c r="G5227" s="128" t="str">
        <f>VLOOKUP(source[[#This Row],[lending_product_transform]],[3]Mapping!$B$4:$C$37,2,0)</f>
        <v>[Cake] - Cashloan</v>
      </c>
      <c r="H5227" s="128" t="str">
        <f>VLOOKUP(source[[#This Row],[lending_product_transform]],[3]Mapping!$B$3:$D$37,3,0)</f>
        <v>cashloan</v>
      </c>
      <c r="I5227" s="135">
        <v>31500000</v>
      </c>
    </row>
    <row r="5228" spans="1:9" x14ac:dyDescent="0.2">
      <c r="A5228" s="134">
        <v>45712</v>
      </c>
      <c r="B5228" s="135">
        <f>YEAR(source[[#This Row],[report_date]])</f>
        <v>2025</v>
      </c>
      <c r="C5228" s="128">
        <f t="shared" si="239"/>
        <v>2</v>
      </c>
      <c r="D5228" s="136">
        <f t="shared" si="241"/>
        <v>9</v>
      </c>
      <c r="E5228" s="136">
        <f t="shared" si="240"/>
        <v>24</v>
      </c>
      <c r="F5228" s="128" t="s">
        <v>24</v>
      </c>
      <c r="G5228" s="128" t="str">
        <f>VLOOKUP(source[[#This Row],[lending_product_transform]],[3]Mapping!$B$4:$C$37,2,0)</f>
        <v>[Cake] - Cashloan</v>
      </c>
      <c r="H5228" s="128" t="str">
        <f>VLOOKUP(source[[#This Row],[lending_product_transform]],[3]Mapping!$B$3:$D$37,3,0)</f>
        <v>cashloan</v>
      </c>
      <c r="I5228" s="135">
        <v>66000000</v>
      </c>
    </row>
    <row r="5229" spans="1:9" x14ac:dyDescent="0.2">
      <c r="A5229" s="134">
        <v>45712</v>
      </c>
      <c r="B5229" s="135">
        <f>YEAR(source[[#This Row],[report_date]])</f>
        <v>2025</v>
      </c>
      <c r="C5229" s="128">
        <f t="shared" si="239"/>
        <v>2</v>
      </c>
      <c r="D5229" s="136">
        <f t="shared" si="241"/>
        <v>9</v>
      </c>
      <c r="E5229" s="136">
        <f t="shared" si="240"/>
        <v>24</v>
      </c>
      <c r="F5229" s="128" t="s">
        <v>24</v>
      </c>
      <c r="G5229" s="128" t="str">
        <f>VLOOKUP(source[[#This Row],[lending_product_transform]],[3]Mapping!$B$4:$C$37,2,0)</f>
        <v>[Cake] - Cashloan</v>
      </c>
      <c r="H5229" s="128" t="str">
        <f>VLOOKUP(source[[#This Row],[lending_product_transform]],[3]Mapping!$B$3:$D$37,3,0)</f>
        <v>cashloan</v>
      </c>
      <c r="I5229" s="135">
        <v>0</v>
      </c>
    </row>
    <row r="5230" spans="1:9" x14ac:dyDescent="0.2">
      <c r="A5230" s="134">
        <v>45712</v>
      </c>
      <c r="B5230" s="135">
        <f>YEAR(source[[#This Row],[report_date]])</f>
        <v>2025</v>
      </c>
      <c r="C5230" s="128">
        <f t="shared" si="239"/>
        <v>2</v>
      </c>
      <c r="D5230" s="136">
        <f t="shared" si="241"/>
        <v>9</v>
      </c>
      <c r="E5230" s="136">
        <f t="shared" si="240"/>
        <v>24</v>
      </c>
      <c r="F5230" s="128" t="s">
        <v>24</v>
      </c>
      <c r="G5230" s="128" t="str">
        <f>VLOOKUP(source[[#This Row],[lending_product_transform]],[3]Mapping!$B$4:$C$37,2,0)</f>
        <v>[Cake] - Cashloan</v>
      </c>
      <c r="H5230" s="128" t="str">
        <f>VLOOKUP(source[[#This Row],[lending_product_transform]],[3]Mapping!$B$3:$D$37,3,0)</f>
        <v>cashloan</v>
      </c>
      <c r="I5230" s="135">
        <v>0</v>
      </c>
    </row>
    <row r="5231" spans="1:9" x14ac:dyDescent="0.2">
      <c r="A5231" s="134">
        <v>45712</v>
      </c>
      <c r="B5231" s="135">
        <f>YEAR(source[[#This Row],[report_date]])</f>
        <v>2025</v>
      </c>
      <c r="C5231" s="128">
        <f t="shared" si="239"/>
        <v>2</v>
      </c>
      <c r="D5231" s="136">
        <f t="shared" si="241"/>
        <v>9</v>
      </c>
      <c r="E5231" s="136">
        <f t="shared" si="240"/>
        <v>24</v>
      </c>
      <c r="F5231" s="128" t="s">
        <v>24</v>
      </c>
      <c r="G5231" s="128" t="str">
        <f>VLOOKUP(source[[#This Row],[lending_product_transform]],[3]Mapping!$B$4:$C$37,2,0)</f>
        <v>[Cake] - Cashloan</v>
      </c>
      <c r="H5231" s="128" t="str">
        <f>VLOOKUP(source[[#This Row],[lending_product_transform]],[3]Mapping!$B$3:$D$37,3,0)</f>
        <v>cashloan</v>
      </c>
      <c r="I5231" s="135">
        <v>0</v>
      </c>
    </row>
    <row r="5232" spans="1:9" x14ac:dyDescent="0.2">
      <c r="A5232" s="134">
        <v>45712</v>
      </c>
      <c r="B5232" s="135">
        <f>YEAR(source[[#This Row],[report_date]])</f>
        <v>2025</v>
      </c>
      <c r="C5232" s="128">
        <f t="shared" si="239"/>
        <v>2</v>
      </c>
      <c r="D5232" s="136">
        <f t="shared" si="241"/>
        <v>9</v>
      </c>
      <c r="E5232" s="136">
        <f t="shared" si="240"/>
        <v>24</v>
      </c>
      <c r="F5232" s="128" t="s">
        <v>24</v>
      </c>
      <c r="G5232" s="128" t="str">
        <f>VLOOKUP(source[[#This Row],[lending_product_transform]],[3]Mapping!$B$4:$C$37,2,0)</f>
        <v>[Cake] - Cashloan</v>
      </c>
      <c r="H5232" s="128" t="str">
        <f>VLOOKUP(source[[#This Row],[lending_product_transform]],[3]Mapping!$B$3:$D$37,3,0)</f>
        <v>cashloan</v>
      </c>
      <c r="I5232" s="135">
        <v>0</v>
      </c>
    </row>
    <row r="5233" spans="1:9" x14ac:dyDescent="0.2">
      <c r="A5233" s="134">
        <v>45712</v>
      </c>
      <c r="B5233" s="135">
        <f>YEAR(source[[#This Row],[report_date]])</f>
        <v>2025</v>
      </c>
      <c r="C5233" s="128">
        <f t="shared" si="239"/>
        <v>2</v>
      </c>
      <c r="D5233" s="136">
        <f t="shared" si="241"/>
        <v>9</v>
      </c>
      <c r="E5233" s="136">
        <f t="shared" si="240"/>
        <v>24</v>
      </c>
      <c r="F5233" s="128" t="s">
        <v>24</v>
      </c>
      <c r="G5233" s="128" t="str">
        <f>VLOOKUP(source[[#This Row],[lending_product_transform]],[3]Mapping!$B$4:$C$37,2,0)</f>
        <v>[Cake] - Cashloan</v>
      </c>
      <c r="H5233" s="128" t="str">
        <f>VLOOKUP(source[[#This Row],[lending_product_transform]],[3]Mapping!$B$3:$D$37,3,0)</f>
        <v>cashloan</v>
      </c>
      <c r="I5233" s="135">
        <v>398490000</v>
      </c>
    </row>
    <row r="5234" spans="1:9" x14ac:dyDescent="0.2">
      <c r="A5234" s="134">
        <v>45712</v>
      </c>
      <c r="B5234" s="135">
        <f>YEAR(source[[#This Row],[report_date]])</f>
        <v>2025</v>
      </c>
      <c r="C5234" s="128">
        <f t="shared" ref="C5234:C5297" si="242">MONTH(A5234)</f>
        <v>2</v>
      </c>
      <c r="D5234" s="136">
        <f t="shared" si="241"/>
        <v>9</v>
      </c>
      <c r="E5234" s="136">
        <f t="shared" ref="E5234:E5297" si="243">DAY(A5234)</f>
        <v>24</v>
      </c>
      <c r="F5234" s="128" t="s">
        <v>24</v>
      </c>
      <c r="G5234" s="128" t="str">
        <f>VLOOKUP(source[[#This Row],[lending_product_transform]],[3]Mapping!$B$4:$C$37,2,0)</f>
        <v>[Cake] - Cashloan</v>
      </c>
      <c r="H5234" s="128" t="str">
        <f>VLOOKUP(source[[#This Row],[lending_product_transform]],[3]Mapping!$B$3:$D$37,3,0)</f>
        <v>cashloan</v>
      </c>
      <c r="I5234" s="135">
        <v>0</v>
      </c>
    </row>
    <row r="5235" spans="1:9" x14ac:dyDescent="0.2">
      <c r="A5235" s="134">
        <v>45712</v>
      </c>
      <c r="B5235" s="135">
        <f>YEAR(source[[#This Row],[report_date]])</f>
        <v>2025</v>
      </c>
      <c r="C5235" s="128">
        <f t="shared" si="242"/>
        <v>2</v>
      </c>
      <c r="D5235" s="136">
        <f t="shared" si="241"/>
        <v>9</v>
      </c>
      <c r="E5235" s="136">
        <f t="shared" si="243"/>
        <v>24</v>
      </c>
      <c r="F5235" s="128" t="s">
        <v>24</v>
      </c>
      <c r="G5235" s="128" t="str">
        <f>VLOOKUP(source[[#This Row],[lending_product_transform]],[3]Mapping!$B$4:$C$37,2,0)</f>
        <v>[Cake] - Cashloan</v>
      </c>
      <c r="H5235" s="128" t="str">
        <f>VLOOKUP(source[[#This Row],[lending_product_transform]],[3]Mapping!$B$3:$D$37,3,0)</f>
        <v>cashloan</v>
      </c>
      <c r="I5235" s="135">
        <v>142709997</v>
      </c>
    </row>
    <row r="5236" spans="1:9" x14ac:dyDescent="0.2">
      <c r="A5236" s="134">
        <v>45712</v>
      </c>
      <c r="B5236" s="135">
        <f>YEAR(source[[#This Row],[report_date]])</f>
        <v>2025</v>
      </c>
      <c r="C5236" s="128">
        <f t="shared" si="242"/>
        <v>2</v>
      </c>
      <c r="D5236" s="136">
        <f t="shared" si="241"/>
        <v>9</v>
      </c>
      <c r="E5236" s="136">
        <f t="shared" si="243"/>
        <v>24</v>
      </c>
      <c r="F5236" s="128" t="s">
        <v>24</v>
      </c>
      <c r="G5236" s="128" t="str">
        <f>VLOOKUP(source[[#This Row],[lending_product_transform]],[3]Mapping!$B$4:$C$37,2,0)</f>
        <v>[Cake] - Cashloan</v>
      </c>
      <c r="H5236" s="128" t="str">
        <f>VLOOKUP(source[[#This Row],[lending_product_transform]],[3]Mapping!$B$3:$D$37,3,0)</f>
        <v>cashloan</v>
      </c>
      <c r="I5236" s="135">
        <v>0</v>
      </c>
    </row>
    <row r="5237" spans="1:9" x14ac:dyDescent="0.2">
      <c r="A5237" s="134">
        <v>45712</v>
      </c>
      <c r="B5237" s="135">
        <f>YEAR(source[[#This Row],[report_date]])</f>
        <v>2025</v>
      </c>
      <c r="C5237" s="128">
        <f t="shared" si="242"/>
        <v>2</v>
      </c>
      <c r="D5237" s="136">
        <f t="shared" si="241"/>
        <v>9</v>
      </c>
      <c r="E5237" s="136">
        <f t="shared" si="243"/>
        <v>24</v>
      </c>
      <c r="F5237" s="128" t="s">
        <v>24</v>
      </c>
      <c r="G5237" s="128" t="str">
        <f>VLOOKUP(source[[#This Row],[lending_product_transform]],[3]Mapping!$B$4:$C$37,2,0)</f>
        <v>[Cake] - Cashloan</v>
      </c>
      <c r="H5237" s="128" t="str">
        <f>VLOOKUP(source[[#This Row],[lending_product_transform]],[3]Mapping!$B$3:$D$37,3,0)</f>
        <v>cashloan</v>
      </c>
      <c r="I5237" s="135">
        <v>323234625</v>
      </c>
    </row>
    <row r="5238" spans="1:9" x14ac:dyDescent="0.2">
      <c r="A5238" s="134">
        <v>45712</v>
      </c>
      <c r="B5238" s="135">
        <f>YEAR(source[[#This Row],[report_date]])</f>
        <v>2025</v>
      </c>
      <c r="C5238" s="128">
        <f t="shared" si="242"/>
        <v>2</v>
      </c>
      <c r="D5238" s="136">
        <f t="shared" si="241"/>
        <v>9</v>
      </c>
      <c r="E5238" s="136">
        <f t="shared" si="243"/>
        <v>24</v>
      </c>
      <c r="F5238" s="128" t="s">
        <v>24</v>
      </c>
      <c r="G5238" s="128" t="str">
        <f>VLOOKUP(source[[#This Row],[lending_product_transform]],[3]Mapping!$B$4:$C$37,2,0)</f>
        <v>[Cake] - Cashloan</v>
      </c>
      <c r="H5238" s="128" t="str">
        <f>VLOOKUP(source[[#This Row],[lending_product_transform]],[3]Mapping!$B$3:$D$37,3,0)</f>
        <v>cashloan</v>
      </c>
      <c r="I5238" s="135">
        <v>3269945427</v>
      </c>
    </row>
    <row r="5239" spans="1:9" x14ac:dyDescent="0.2">
      <c r="A5239" s="134">
        <v>45712</v>
      </c>
      <c r="B5239" s="135">
        <f>YEAR(source[[#This Row],[report_date]])</f>
        <v>2025</v>
      </c>
      <c r="C5239" s="128">
        <f t="shared" si="242"/>
        <v>2</v>
      </c>
      <c r="D5239" s="136">
        <f t="shared" si="241"/>
        <v>9</v>
      </c>
      <c r="E5239" s="136">
        <f t="shared" si="243"/>
        <v>24</v>
      </c>
      <c r="F5239" s="128" t="s">
        <v>24</v>
      </c>
      <c r="G5239" s="128" t="str">
        <f>VLOOKUP(source[[#This Row],[lending_product_transform]],[3]Mapping!$B$4:$C$37,2,0)</f>
        <v>[Cake] - Cashloan</v>
      </c>
      <c r="H5239" s="128" t="str">
        <f>VLOOKUP(source[[#This Row],[lending_product_transform]],[3]Mapping!$B$3:$D$37,3,0)</f>
        <v>cashloan</v>
      </c>
      <c r="I5239" s="135">
        <v>3987960000</v>
      </c>
    </row>
    <row r="5240" spans="1:9" x14ac:dyDescent="0.2">
      <c r="A5240" s="134">
        <v>45712</v>
      </c>
      <c r="B5240" s="135">
        <f>YEAR(source[[#This Row],[report_date]])</f>
        <v>2025</v>
      </c>
      <c r="C5240" s="128">
        <f t="shared" si="242"/>
        <v>2</v>
      </c>
      <c r="D5240" s="136">
        <f t="shared" si="241"/>
        <v>9</v>
      </c>
      <c r="E5240" s="136">
        <f t="shared" si="243"/>
        <v>24</v>
      </c>
      <c r="F5240" s="128" t="s">
        <v>24</v>
      </c>
      <c r="G5240" s="128" t="str">
        <f>VLOOKUP(source[[#This Row],[lending_product_transform]],[3]Mapping!$B$4:$C$37,2,0)</f>
        <v>[Cake] - Cashloan</v>
      </c>
      <c r="H5240" s="128" t="str">
        <f>VLOOKUP(source[[#This Row],[lending_product_transform]],[3]Mapping!$B$3:$D$37,3,0)</f>
        <v>cashloan</v>
      </c>
      <c r="I5240" s="135">
        <v>4273000000</v>
      </c>
    </row>
    <row r="5241" spans="1:9" x14ac:dyDescent="0.2">
      <c r="A5241" s="134">
        <v>45713</v>
      </c>
      <c r="B5241" s="135">
        <f>YEAR(source[[#This Row],[report_date]])</f>
        <v>2025</v>
      </c>
      <c r="C5241" s="128">
        <f t="shared" si="242"/>
        <v>2</v>
      </c>
      <c r="D5241" s="136">
        <f t="shared" si="241"/>
        <v>9</v>
      </c>
      <c r="E5241" s="136">
        <f t="shared" si="243"/>
        <v>25</v>
      </c>
      <c r="F5241" s="128" t="s">
        <v>24</v>
      </c>
      <c r="G5241" s="128" t="str">
        <f>VLOOKUP(source[[#This Row],[lending_product_transform]],[3]Mapping!$B$4:$C$37,2,0)</f>
        <v>[Cake] - Cashloan</v>
      </c>
      <c r="H5241" s="128" t="str">
        <f>VLOOKUP(source[[#This Row],[lending_product_transform]],[3]Mapping!$B$3:$D$37,3,0)</f>
        <v>cashloan</v>
      </c>
      <c r="I5241" s="135">
        <v>5469880000</v>
      </c>
    </row>
    <row r="5242" spans="1:9" x14ac:dyDescent="0.2">
      <c r="A5242" s="134">
        <v>45713</v>
      </c>
      <c r="B5242" s="135">
        <f>YEAR(source[[#This Row],[report_date]])</f>
        <v>2025</v>
      </c>
      <c r="C5242" s="128">
        <f t="shared" si="242"/>
        <v>2</v>
      </c>
      <c r="D5242" s="136">
        <f t="shared" si="241"/>
        <v>9</v>
      </c>
      <c r="E5242" s="136">
        <f t="shared" si="243"/>
        <v>25</v>
      </c>
      <c r="F5242" s="128" t="s">
        <v>24</v>
      </c>
      <c r="G5242" s="128" t="str">
        <f>VLOOKUP(source[[#This Row],[lending_product_transform]],[3]Mapping!$B$4:$C$37,2,0)</f>
        <v>[Cake] - Cashloan</v>
      </c>
      <c r="H5242" s="128" t="str">
        <f>VLOOKUP(source[[#This Row],[lending_product_transform]],[3]Mapping!$B$3:$D$37,3,0)</f>
        <v>cashloan</v>
      </c>
      <c r="I5242" s="135">
        <v>0</v>
      </c>
    </row>
    <row r="5243" spans="1:9" x14ac:dyDescent="0.2">
      <c r="A5243" s="134">
        <v>45713</v>
      </c>
      <c r="B5243" s="135">
        <f>YEAR(source[[#This Row],[report_date]])</f>
        <v>2025</v>
      </c>
      <c r="C5243" s="128">
        <f t="shared" si="242"/>
        <v>2</v>
      </c>
      <c r="D5243" s="136">
        <f t="shared" si="241"/>
        <v>9</v>
      </c>
      <c r="E5243" s="136">
        <f t="shared" si="243"/>
        <v>25</v>
      </c>
      <c r="F5243" s="128" t="s">
        <v>24</v>
      </c>
      <c r="G5243" s="128" t="str">
        <f>VLOOKUP(source[[#This Row],[lending_product_transform]],[3]Mapping!$B$4:$C$37,2,0)</f>
        <v>[Cake] - Cashloan</v>
      </c>
      <c r="H5243" s="128" t="str">
        <f>VLOOKUP(source[[#This Row],[lending_product_transform]],[3]Mapping!$B$3:$D$37,3,0)</f>
        <v>cashloan</v>
      </c>
      <c r="I5243" s="135">
        <v>0</v>
      </c>
    </row>
    <row r="5244" spans="1:9" x14ac:dyDescent="0.2">
      <c r="A5244" s="134">
        <v>45713</v>
      </c>
      <c r="B5244" s="135">
        <f>YEAR(source[[#This Row],[report_date]])</f>
        <v>2025</v>
      </c>
      <c r="C5244" s="128">
        <f t="shared" si="242"/>
        <v>2</v>
      </c>
      <c r="D5244" s="136">
        <f t="shared" si="241"/>
        <v>9</v>
      </c>
      <c r="E5244" s="136">
        <f t="shared" si="243"/>
        <v>25</v>
      </c>
      <c r="F5244" s="128" t="s">
        <v>24</v>
      </c>
      <c r="G5244" s="128" t="str">
        <f>VLOOKUP(source[[#This Row],[lending_product_transform]],[3]Mapping!$B$4:$C$37,2,0)</f>
        <v>[Cake] - Cashloan</v>
      </c>
      <c r="H5244" s="128" t="str">
        <f>VLOOKUP(source[[#This Row],[lending_product_transform]],[3]Mapping!$B$3:$D$37,3,0)</f>
        <v>cashloan</v>
      </c>
      <c r="I5244" s="135">
        <v>4633550000</v>
      </c>
    </row>
    <row r="5245" spans="1:9" x14ac:dyDescent="0.2">
      <c r="A5245" s="134">
        <v>45713</v>
      </c>
      <c r="B5245" s="135">
        <f>YEAR(source[[#This Row],[report_date]])</f>
        <v>2025</v>
      </c>
      <c r="C5245" s="128">
        <f t="shared" si="242"/>
        <v>2</v>
      </c>
      <c r="D5245" s="136">
        <f t="shared" si="241"/>
        <v>9</v>
      </c>
      <c r="E5245" s="136">
        <f t="shared" si="243"/>
        <v>25</v>
      </c>
      <c r="F5245" s="128" t="s">
        <v>24</v>
      </c>
      <c r="G5245" s="128" t="str">
        <f>VLOOKUP(source[[#This Row],[lending_product_transform]],[3]Mapping!$B$4:$C$37,2,0)</f>
        <v>[Cake] - Cashloan</v>
      </c>
      <c r="H5245" s="128" t="str">
        <f>VLOOKUP(source[[#This Row],[lending_product_transform]],[3]Mapping!$B$3:$D$37,3,0)</f>
        <v>cashloan</v>
      </c>
      <c r="I5245" s="135">
        <v>32865413</v>
      </c>
    </row>
    <row r="5246" spans="1:9" x14ac:dyDescent="0.2">
      <c r="A5246" s="134">
        <v>45713</v>
      </c>
      <c r="B5246" s="135">
        <f>YEAR(source[[#This Row],[report_date]])</f>
        <v>2025</v>
      </c>
      <c r="C5246" s="128">
        <f t="shared" si="242"/>
        <v>2</v>
      </c>
      <c r="D5246" s="136">
        <f t="shared" si="241"/>
        <v>9</v>
      </c>
      <c r="E5246" s="136">
        <f t="shared" si="243"/>
        <v>25</v>
      </c>
      <c r="F5246" s="128" t="s">
        <v>24</v>
      </c>
      <c r="G5246" s="128" t="str">
        <f>VLOOKUP(source[[#This Row],[lending_product_transform]],[3]Mapping!$B$4:$C$37,2,0)</f>
        <v>[Cake] - Cashloan</v>
      </c>
      <c r="H5246" s="128" t="str">
        <f>VLOOKUP(source[[#This Row],[lending_product_transform]],[3]Mapping!$B$3:$D$37,3,0)</f>
        <v>cashloan</v>
      </c>
      <c r="I5246" s="135">
        <v>0</v>
      </c>
    </row>
    <row r="5247" spans="1:9" x14ac:dyDescent="0.2">
      <c r="A5247" s="134">
        <v>45713</v>
      </c>
      <c r="B5247" s="135">
        <f>YEAR(source[[#This Row],[report_date]])</f>
        <v>2025</v>
      </c>
      <c r="C5247" s="128">
        <f t="shared" si="242"/>
        <v>2</v>
      </c>
      <c r="D5247" s="136">
        <f t="shared" si="241"/>
        <v>9</v>
      </c>
      <c r="E5247" s="136">
        <f t="shared" si="243"/>
        <v>25</v>
      </c>
      <c r="F5247" s="128" t="s">
        <v>24</v>
      </c>
      <c r="G5247" s="128" t="str">
        <f>VLOOKUP(source[[#This Row],[lending_product_transform]],[3]Mapping!$B$4:$C$37,2,0)</f>
        <v>[Cake] - Cashloan</v>
      </c>
      <c r="H5247" s="128" t="str">
        <f>VLOOKUP(source[[#This Row],[lending_product_transform]],[3]Mapping!$B$3:$D$37,3,0)</f>
        <v>cashloan</v>
      </c>
      <c r="I5247" s="135">
        <v>4964000000</v>
      </c>
    </row>
    <row r="5248" spans="1:9" x14ac:dyDescent="0.2">
      <c r="A5248" s="134">
        <v>45713</v>
      </c>
      <c r="B5248" s="135">
        <f>YEAR(source[[#This Row],[report_date]])</f>
        <v>2025</v>
      </c>
      <c r="C5248" s="128">
        <f t="shared" si="242"/>
        <v>2</v>
      </c>
      <c r="D5248" s="136">
        <f t="shared" si="241"/>
        <v>9</v>
      </c>
      <c r="E5248" s="136">
        <f t="shared" si="243"/>
        <v>25</v>
      </c>
      <c r="F5248" s="128" t="s">
        <v>24</v>
      </c>
      <c r="G5248" s="128" t="str">
        <f>VLOOKUP(source[[#This Row],[lending_product_transform]],[3]Mapping!$B$4:$C$37,2,0)</f>
        <v>[Cake] - Cashloan</v>
      </c>
      <c r="H5248" s="128" t="str">
        <f>VLOOKUP(source[[#This Row],[lending_product_transform]],[3]Mapping!$B$3:$D$37,3,0)</f>
        <v>cashloan</v>
      </c>
      <c r="I5248" s="135">
        <v>10700000</v>
      </c>
    </row>
    <row r="5249" spans="1:9" x14ac:dyDescent="0.2">
      <c r="A5249" s="134">
        <v>45713</v>
      </c>
      <c r="B5249" s="135">
        <f>YEAR(source[[#This Row],[report_date]])</f>
        <v>2025</v>
      </c>
      <c r="C5249" s="128">
        <f t="shared" si="242"/>
        <v>2</v>
      </c>
      <c r="D5249" s="136">
        <f t="shared" si="241"/>
        <v>9</v>
      </c>
      <c r="E5249" s="136">
        <f t="shared" si="243"/>
        <v>25</v>
      </c>
      <c r="F5249" s="128" t="s">
        <v>24</v>
      </c>
      <c r="G5249" s="128" t="str">
        <f>VLOOKUP(source[[#This Row],[lending_product_transform]],[3]Mapping!$B$4:$C$37,2,0)</f>
        <v>[Cake] - Cashloan</v>
      </c>
      <c r="H5249" s="128" t="str">
        <f>VLOOKUP(source[[#This Row],[lending_product_transform]],[3]Mapping!$B$3:$D$37,3,0)</f>
        <v>cashloan</v>
      </c>
      <c r="I5249" s="135">
        <v>0</v>
      </c>
    </row>
    <row r="5250" spans="1:9" x14ac:dyDescent="0.2">
      <c r="A5250" s="134">
        <v>45713</v>
      </c>
      <c r="B5250" s="135">
        <f>YEAR(source[[#This Row],[report_date]])</f>
        <v>2025</v>
      </c>
      <c r="C5250" s="128">
        <f t="shared" si="242"/>
        <v>2</v>
      </c>
      <c r="D5250" s="136">
        <f t="shared" si="241"/>
        <v>9</v>
      </c>
      <c r="E5250" s="136">
        <f t="shared" si="243"/>
        <v>25</v>
      </c>
      <c r="F5250" s="128" t="s">
        <v>24</v>
      </c>
      <c r="G5250" s="128" t="str">
        <f>VLOOKUP(source[[#This Row],[lending_product_transform]],[3]Mapping!$B$4:$C$37,2,0)</f>
        <v>[Cake] - Cashloan</v>
      </c>
      <c r="H5250" s="128" t="str">
        <f>VLOOKUP(source[[#This Row],[lending_product_transform]],[3]Mapping!$B$3:$D$37,3,0)</f>
        <v>cashloan</v>
      </c>
      <c r="I5250" s="135">
        <v>0</v>
      </c>
    </row>
    <row r="5251" spans="1:9" x14ac:dyDescent="0.2">
      <c r="A5251" s="134">
        <v>45713</v>
      </c>
      <c r="B5251" s="135">
        <f>YEAR(source[[#This Row],[report_date]])</f>
        <v>2025</v>
      </c>
      <c r="C5251" s="128">
        <f t="shared" si="242"/>
        <v>2</v>
      </c>
      <c r="D5251" s="136">
        <f t="shared" ref="D5251:D5314" si="244">WEEKNUM(A5251,2)</f>
        <v>9</v>
      </c>
      <c r="E5251" s="136">
        <f t="shared" si="243"/>
        <v>25</v>
      </c>
      <c r="F5251" s="128" t="s">
        <v>24</v>
      </c>
      <c r="G5251" s="128" t="str">
        <f>VLOOKUP(source[[#This Row],[lending_product_transform]],[3]Mapping!$B$4:$C$37,2,0)</f>
        <v>[Cake] - Cashloan</v>
      </c>
      <c r="H5251" s="128" t="str">
        <f>VLOOKUP(source[[#This Row],[lending_product_transform]],[3]Mapping!$B$3:$D$37,3,0)</f>
        <v>cashloan</v>
      </c>
      <c r="I5251" s="135">
        <v>424930000</v>
      </c>
    </row>
    <row r="5252" spans="1:9" x14ac:dyDescent="0.2">
      <c r="A5252" s="134">
        <v>45713</v>
      </c>
      <c r="B5252" s="135">
        <f>YEAR(source[[#This Row],[report_date]])</f>
        <v>2025</v>
      </c>
      <c r="C5252" s="128">
        <f t="shared" si="242"/>
        <v>2</v>
      </c>
      <c r="D5252" s="136">
        <f t="shared" si="244"/>
        <v>9</v>
      </c>
      <c r="E5252" s="136">
        <f t="shared" si="243"/>
        <v>25</v>
      </c>
      <c r="F5252" s="128" t="s">
        <v>24</v>
      </c>
      <c r="G5252" s="128" t="str">
        <f>VLOOKUP(source[[#This Row],[lending_product_transform]],[3]Mapping!$B$4:$C$37,2,0)</f>
        <v>[Cake] - Cashloan</v>
      </c>
      <c r="H5252" s="128" t="str">
        <f>VLOOKUP(source[[#This Row],[lending_product_transform]],[3]Mapping!$B$3:$D$37,3,0)</f>
        <v>cashloan</v>
      </c>
      <c r="I5252" s="135">
        <v>0</v>
      </c>
    </row>
    <row r="5253" spans="1:9" x14ac:dyDescent="0.2">
      <c r="A5253" s="134">
        <v>45713</v>
      </c>
      <c r="B5253" s="135">
        <f>YEAR(source[[#This Row],[report_date]])</f>
        <v>2025</v>
      </c>
      <c r="C5253" s="128">
        <f t="shared" si="242"/>
        <v>2</v>
      </c>
      <c r="D5253" s="136">
        <f t="shared" si="244"/>
        <v>9</v>
      </c>
      <c r="E5253" s="136">
        <f t="shared" si="243"/>
        <v>25</v>
      </c>
      <c r="F5253" s="128" t="s">
        <v>24</v>
      </c>
      <c r="G5253" s="128" t="str">
        <f>VLOOKUP(source[[#This Row],[lending_product_transform]],[3]Mapping!$B$4:$C$37,2,0)</f>
        <v>[Cake] - Cashloan</v>
      </c>
      <c r="H5253" s="128" t="str">
        <f>VLOOKUP(source[[#This Row],[lending_product_transform]],[3]Mapping!$B$3:$D$37,3,0)</f>
        <v>cashloan</v>
      </c>
      <c r="I5253" s="135">
        <v>522740000</v>
      </c>
    </row>
    <row r="5254" spans="1:9" x14ac:dyDescent="0.2">
      <c r="A5254" s="134">
        <v>45713</v>
      </c>
      <c r="B5254" s="135">
        <f>YEAR(source[[#This Row],[report_date]])</f>
        <v>2025</v>
      </c>
      <c r="C5254" s="128">
        <f t="shared" si="242"/>
        <v>2</v>
      </c>
      <c r="D5254" s="136">
        <f t="shared" si="244"/>
        <v>9</v>
      </c>
      <c r="E5254" s="136">
        <f t="shared" si="243"/>
        <v>25</v>
      </c>
      <c r="F5254" s="128" t="s">
        <v>24</v>
      </c>
      <c r="G5254" s="128" t="str">
        <f>VLOOKUP(source[[#This Row],[lending_product_transform]],[3]Mapping!$B$4:$C$37,2,0)</f>
        <v>[Cake] - Cashloan</v>
      </c>
      <c r="H5254" s="128" t="str">
        <f>VLOOKUP(source[[#This Row],[lending_product_transform]],[3]Mapping!$B$3:$D$37,3,0)</f>
        <v>cashloan</v>
      </c>
      <c r="I5254" s="135">
        <v>305062624</v>
      </c>
    </row>
    <row r="5255" spans="1:9" x14ac:dyDescent="0.2">
      <c r="A5255" s="134">
        <v>45713</v>
      </c>
      <c r="B5255" s="135">
        <f>YEAR(source[[#This Row],[report_date]])</f>
        <v>2025</v>
      </c>
      <c r="C5255" s="128">
        <f t="shared" si="242"/>
        <v>2</v>
      </c>
      <c r="D5255" s="136">
        <f t="shared" si="244"/>
        <v>9</v>
      </c>
      <c r="E5255" s="136">
        <f t="shared" si="243"/>
        <v>25</v>
      </c>
      <c r="F5255" s="128" t="s">
        <v>24</v>
      </c>
      <c r="G5255" s="128" t="str">
        <f>VLOOKUP(source[[#This Row],[lending_product_transform]],[3]Mapping!$B$4:$C$37,2,0)</f>
        <v>[Cake] - Cashloan</v>
      </c>
      <c r="H5255" s="128" t="str">
        <f>VLOOKUP(source[[#This Row],[lending_product_transform]],[3]Mapping!$B$3:$D$37,3,0)</f>
        <v>cashloan</v>
      </c>
      <c r="I5255" s="135">
        <v>195796124</v>
      </c>
    </row>
    <row r="5256" spans="1:9" x14ac:dyDescent="0.2">
      <c r="A5256" s="134">
        <v>45713</v>
      </c>
      <c r="B5256" s="135">
        <f>YEAR(source[[#This Row],[report_date]])</f>
        <v>2025</v>
      </c>
      <c r="C5256" s="128">
        <f t="shared" si="242"/>
        <v>2</v>
      </c>
      <c r="D5256" s="136">
        <f t="shared" si="244"/>
        <v>9</v>
      </c>
      <c r="E5256" s="136">
        <f t="shared" si="243"/>
        <v>25</v>
      </c>
      <c r="F5256" s="128" t="s">
        <v>24</v>
      </c>
      <c r="G5256" s="128" t="str">
        <f>VLOOKUP(source[[#This Row],[lending_product_transform]],[3]Mapping!$B$4:$C$37,2,0)</f>
        <v>[Cake] - Cashloan</v>
      </c>
      <c r="H5256" s="128" t="str">
        <f>VLOOKUP(source[[#This Row],[lending_product_transform]],[3]Mapping!$B$3:$D$37,3,0)</f>
        <v>cashloan</v>
      </c>
      <c r="I5256" s="135">
        <v>65000000</v>
      </c>
    </row>
    <row r="5257" spans="1:9" x14ac:dyDescent="0.2">
      <c r="A5257" s="134">
        <v>45713</v>
      </c>
      <c r="B5257" s="135">
        <f>YEAR(source[[#This Row],[report_date]])</f>
        <v>2025</v>
      </c>
      <c r="C5257" s="128">
        <f t="shared" si="242"/>
        <v>2</v>
      </c>
      <c r="D5257" s="136">
        <f t="shared" si="244"/>
        <v>9</v>
      </c>
      <c r="E5257" s="136">
        <f t="shared" si="243"/>
        <v>25</v>
      </c>
      <c r="F5257" s="128" t="s">
        <v>24</v>
      </c>
      <c r="G5257" s="128" t="str">
        <f>VLOOKUP(source[[#This Row],[lending_product_transform]],[3]Mapping!$B$4:$C$37,2,0)</f>
        <v>[Cake] - Cashloan</v>
      </c>
      <c r="H5257" s="128" t="str">
        <f>VLOOKUP(source[[#This Row],[lending_product_transform]],[3]Mapping!$B$3:$D$37,3,0)</f>
        <v>cashloan</v>
      </c>
      <c r="I5257" s="135">
        <v>0</v>
      </c>
    </row>
    <row r="5258" spans="1:9" x14ac:dyDescent="0.2">
      <c r="A5258" s="134">
        <v>45713</v>
      </c>
      <c r="B5258" s="135">
        <f>YEAR(source[[#This Row],[report_date]])</f>
        <v>2025</v>
      </c>
      <c r="C5258" s="128">
        <f t="shared" si="242"/>
        <v>2</v>
      </c>
      <c r="D5258" s="136">
        <f t="shared" si="244"/>
        <v>9</v>
      </c>
      <c r="E5258" s="136">
        <f t="shared" si="243"/>
        <v>25</v>
      </c>
      <c r="F5258" s="128" t="s">
        <v>24</v>
      </c>
      <c r="G5258" s="128" t="str">
        <f>VLOOKUP(source[[#This Row],[lending_product_transform]],[3]Mapping!$B$4:$C$37,2,0)</f>
        <v>[Cake] - Cashloan</v>
      </c>
      <c r="H5258" s="128" t="str">
        <f>VLOOKUP(source[[#This Row],[lending_product_transform]],[3]Mapping!$B$3:$D$37,3,0)</f>
        <v>cashloan</v>
      </c>
      <c r="I5258" s="135">
        <v>327525624</v>
      </c>
    </row>
    <row r="5259" spans="1:9" x14ac:dyDescent="0.2">
      <c r="A5259" s="134">
        <v>45713</v>
      </c>
      <c r="B5259" s="135">
        <f>YEAR(source[[#This Row],[report_date]])</f>
        <v>2025</v>
      </c>
      <c r="C5259" s="128">
        <f t="shared" si="242"/>
        <v>2</v>
      </c>
      <c r="D5259" s="136">
        <f t="shared" si="244"/>
        <v>9</v>
      </c>
      <c r="E5259" s="136">
        <f t="shared" si="243"/>
        <v>25</v>
      </c>
      <c r="F5259" s="128" t="s">
        <v>24</v>
      </c>
      <c r="G5259" s="128" t="str">
        <f>VLOOKUP(source[[#This Row],[lending_product_transform]],[3]Mapping!$B$4:$C$37,2,0)</f>
        <v>[Cake] - Cashloan</v>
      </c>
      <c r="H5259" s="128" t="str">
        <f>VLOOKUP(source[[#This Row],[lending_product_transform]],[3]Mapping!$B$3:$D$37,3,0)</f>
        <v>cashloan</v>
      </c>
      <c r="I5259" s="135">
        <v>3465615251</v>
      </c>
    </row>
    <row r="5260" spans="1:9" x14ac:dyDescent="0.2">
      <c r="A5260" s="134">
        <v>45714</v>
      </c>
      <c r="B5260" s="135">
        <f>YEAR(source[[#This Row],[report_date]])</f>
        <v>2025</v>
      </c>
      <c r="C5260" s="128">
        <f t="shared" si="242"/>
        <v>2</v>
      </c>
      <c r="D5260" s="136">
        <f t="shared" si="244"/>
        <v>9</v>
      </c>
      <c r="E5260" s="136">
        <f t="shared" si="243"/>
        <v>26</v>
      </c>
      <c r="F5260" s="128" t="s">
        <v>24</v>
      </c>
      <c r="G5260" s="128" t="str">
        <f>VLOOKUP(source[[#This Row],[lending_product_transform]],[3]Mapping!$B$4:$C$37,2,0)</f>
        <v>[Cake] - Cashloan</v>
      </c>
      <c r="H5260" s="128" t="str">
        <f>VLOOKUP(source[[#This Row],[lending_product_transform]],[3]Mapping!$B$3:$D$37,3,0)</f>
        <v>cashloan</v>
      </c>
      <c r="I5260" s="135">
        <v>154268875</v>
      </c>
    </row>
    <row r="5261" spans="1:9" x14ac:dyDescent="0.2">
      <c r="A5261" s="134">
        <v>45714</v>
      </c>
      <c r="B5261" s="135">
        <f>YEAR(source[[#This Row],[report_date]])</f>
        <v>2025</v>
      </c>
      <c r="C5261" s="128">
        <f t="shared" si="242"/>
        <v>2</v>
      </c>
      <c r="D5261" s="136">
        <f t="shared" si="244"/>
        <v>9</v>
      </c>
      <c r="E5261" s="136">
        <f t="shared" si="243"/>
        <v>26</v>
      </c>
      <c r="F5261" s="128" t="s">
        <v>24</v>
      </c>
      <c r="G5261" s="128" t="str">
        <f>VLOOKUP(source[[#This Row],[lending_product_transform]],[3]Mapping!$B$4:$C$37,2,0)</f>
        <v>[Cake] - Cashloan</v>
      </c>
      <c r="H5261" s="128" t="str">
        <f>VLOOKUP(source[[#This Row],[lending_product_transform]],[3]Mapping!$B$3:$D$37,3,0)</f>
        <v>cashloan</v>
      </c>
      <c r="I5261" s="135">
        <v>6545017</v>
      </c>
    </row>
    <row r="5262" spans="1:9" x14ac:dyDescent="0.2">
      <c r="A5262" s="134">
        <v>45714</v>
      </c>
      <c r="B5262" s="135">
        <f>YEAR(source[[#This Row],[report_date]])</f>
        <v>2025</v>
      </c>
      <c r="C5262" s="128">
        <f t="shared" si="242"/>
        <v>2</v>
      </c>
      <c r="D5262" s="136">
        <f t="shared" si="244"/>
        <v>9</v>
      </c>
      <c r="E5262" s="136">
        <f t="shared" si="243"/>
        <v>26</v>
      </c>
      <c r="F5262" s="128" t="s">
        <v>24</v>
      </c>
      <c r="G5262" s="128" t="str">
        <f>VLOOKUP(source[[#This Row],[lending_product_transform]],[3]Mapping!$B$4:$C$37,2,0)</f>
        <v>[Cake] - Cashloan</v>
      </c>
      <c r="H5262" s="128" t="str">
        <f>VLOOKUP(source[[#This Row],[lending_product_transform]],[3]Mapping!$B$3:$D$37,3,0)</f>
        <v>cashloan</v>
      </c>
      <c r="I5262" s="135">
        <v>3674797398</v>
      </c>
    </row>
    <row r="5263" spans="1:9" x14ac:dyDescent="0.2">
      <c r="A5263" s="134">
        <v>45714</v>
      </c>
      <c r="B5263" s="135">
        <f>YEAR(source[[#This Row],[report_date]])</f>
        <v>2025</v>
      </c>
      <c r="C5263" s="128">
        <f t="shared" si="242"/>
        <v>2</v>
      </c>
      <c r="D5263" s="136">
        <f t="shared" si="244"/>
        <v>9</v>
      </c>
      <c r="E5263" s="136">
        <f t="shared" si="243"/>
        <v>26</v>
      </c>
      <c r="F5263" s="128" t="s">
        <v>24</v>
      </c>
      <c r="G5263" s="128" t="str">
        <f>VLOOKUP(source[[#This Row],[lending_product_transform]],[3]Mapping!$B$4:$C$37,2,0)</f>
        <v>[Cake] - Cashloan</v>
      </c>
      <c r="H5263" s="128" t="str">
        <f>VLOOKUP(source[[#This Row],[lending_product_transform]],[3]Mapping!$B$3:$D$37,3,0)</f>
        <v>cashloan</v>
      </c>
      <c r="I5263" s="135">
        <v>251266708</v>
      </c>
    </row>
    <row r="5264" spans="1:9" x14ac:dyDescent="0.2">
      <c r="A5264" s="134">
        <v>45714</v>
      </c>
      <c r="B5264" s="135">
        <f>YEAR(source[[#This Row],[report_date]])</f>
        <v>2025</v>
      </c>
      <c r="C5264" s="128">
        <f t="shared" si="242"/>
        <v>2</v>
      </c>
      <c r="D5264" s="136">
        <f t="shared" si="244"/>
        <v>9</v>
      </c>
      <c r="E5264" s="136">
        <f t="shared" si="243"/>
        <v>26</v>
      </c>
      <c r="F5264" s="128" t="s">
        <v>24</v>
      </c>
      <c r="G5264" s="128" t="str">
        <f>VLOOKUP(source[[#This Row],[lending_product_transform]],[3]Mapping!$B$4:$C$37,2,0)</f>
        <v>[Cake] - Cashloan</v>
      </c>
      <c r="H5264" s="128" t="str">
        <f>VLOOKUP(source[[#This Row],[lending_product_transform]],[3]Mapping!$B$3:$D$37,3,0)</f>
        <v>cashloan</v>
      </c>
      <c r="I5264" s="135">
        <v>4485520000</v>
      </c>
    </row>
    <row r="5265" spans="1:9" x14ac:dyDescent="0.2">
      <c r="A5265" s="134">
        <v>45714</v>
      </c>
      <c r="B5265" s="135">
        <f>YEAR(source[[#This Row],[report_date]])</f>
        <v>2025</v>
      </c>
      <c r="C5265" s="128">
        <f t="shared" si="242"/>
        <v>2</v>
      </c>
      <c r="D5265" s="136">
        <f t="shared" si="244"/>
        <v>9</v>
      </c>
      <c r="E5265" s="136">
        <f t="shared" si="243"/>
        <v>26</v>
      </c>
      <c r="F5265" s="128" t="s">
        <v>24</v>
      </c>
      <c r="G5265" s="128" t="str">
        <f>VLOOKUP(source[[#This Row],[lending_product_transform]],[3]Mapping!$B$4:$C$37,2,0)</f>
        <v>[Cake] - Cashloan</v>
      </c>
      <c r="H5265" s="128" t="str">
        <f>VLOOKUP(source[[#This Row],[lending_product_transform]],[3]Mapping!$B$3:$D$37,3,0)</f>
        <v>cashloan</v>
      </c>
      <c r="I5265" s="135">
        <v>41500000</v>
      </c>
    </row>
    <row r="5266" spans="1:9" x14ac:dyDescent="0.2">
      <c r="A5266" s="134">
        <v>45714</v>
      </c>
      <c r="B5266" s="135">
        <f>YEAR(source[[#This Row],[report_date]])</f>
        <v>2025</v>
      </c>
      <c r="C5266" s="128">
        <f t="shared" si="242"/>
        <v>2</v>
      </c>
      <c r="D5266" s="136">
        <f t="shared" si="244"/>
        <v>9</v>
      </c>
      <c r="E5266" s="136">
        <f t="shared" si="243"/>
        <v>26</v>
      </c>
      <c r="F5266" s="128" t="s">
        <v>24</v>
      </c>
      <c r="G5266" s="128" t="str">
        <f>VLOOKUP(source[[#This Row],[lending_product_transform]],[3]Mapping!$B$4:$C$37,2,0)</f>
        <v>[Cake] - Cashloan</v>
      </c>
      <c r="H5266" s="128" t="str">
        <f>VLOOKUP(source[[#This Row],[lending_product_transform]],[3]Mapping!$B$3:$D$37,3,0)</f>
        <v>cashloan</v>
      </c>
      <c r="I5266" s="135">
        <v>6094910000</v>
      </c>
    </row>
    <row r="5267" spans="1:9" x14ac:dyDescent="0.2">
      <c r="A5267" s="134">
        <v>45714</v>
      </c>
      <c r="B5267" s="135">
        <f>YEAR(source[[#This Row],[report_date]])</f>
        <v>2025</v>
      </c>
      <c r="C5267" s="128">
        <f t="shared" si="242"/>
        <v>2</v>
      </c>
      <c r="D5267" s="136">
        <f t="shared" si="244"/>
        <v>9</v>
      </c>
      <c r="E5267" s="136">
        <f t="shared" si="243"/>
        <v>26</v>
      </c>
      <c r="F5267" s="128" t="s">
        <v>24</v>
      </c>
      <c r="G5267" s="128" t="str">
        <f>VLOOKUP(source[[#This Row],[lending_product_transform]],[3]Mapping!$B$4:$C$37,2,0)</f>
        <v>[Cake] - Cashloan</v>
      </c>
      <c r="H5267" s="128" t="str">
        <f>VLOOKUP(source[[#This Row],[lending_product_transform]],[3]Mapping!$B$3:$D$37,3,0)</f>
        <v>cashloan</v>
      </c>
      <c r="I5267" s="135">
        <v>0</v>
      </c>
    </row>
    <row r="5268" spans="1:9" x14ac:dyDescent="0.2">
      <c r="A5268" s="134">
        <v>45714</v>
      </c>
      <c r="B5268" s="135">
        <f>YEAR(source[[#This Row],[report_date]])</f>
        <v>2025</v>
      </c>
      <c r="C5268" s="128">
        <f t="shared" si="242"/>
        <v>2</v>
      </c>
      <c r="D5268" s="136">
        <f t="shared" si="244"/>
        <v>9</v>
      </c>
      <c r="E5268" s="136">
        <f t="shared" si="243"/>
        <v>26</v>
      </c>
      <c r="F5268" s="128" t="s">
        <v>24</v>
      </c>
      <c r="G5268" s="128" t="str">
        <f>VLOOKUP(source[[#This Row],[lending_product_transform]],[3]Mapping!$B$4:$C$37,2,0)</f>
        <v>[Cake] - Cashloan</v>
      </c>
      <c r="H5268" s="128" t="str">
        <f>VLOOKUP(source[[#This Row],[lending_product_transform]],[3]Mapping!$B$3:$D$37,3,0)</f>
        <v>cashloan</v>
      </c>
      <c r="I5268" s="135">
        <v>310744497</v>
      </c>
    </row>
    <row r="5269" spans="1:9" x14ac:dyDescent="0.2">
      <c r="A5269" s="134">
        <v>45714</v>
      </c>
      <c r="B5269" s="135">
        <f>YEAR(source[[#This Row],[report_date]])</f>
        <v>2025</v>
      </c>
      <c r="C5269" s="128">
        <f t="shared" si="242"/>
        <v>2</v>
      </c>
      <c r="D5269" s="136">
        <f t="shared" si="244"/>
        <v>9</v>
      </c>
      <c r="E5269" s="136">
        <f t="shared" si="243"/>
        <v>26</v>
      </c>
      <c r="F5269" s="128" t="s">
        <v>24</v>
      </c>
      <c r="G5269" s="128" t="str">
        <f>VLOOKUP(source[[#This Row],[lending_product_transform]],[3]Mapping!$B$4:$C$37,2,0)</f>
        <v>[Cake] - Cashloan</v>
      </c>
      <c r="H5269" s="128" t="str">
        <f>VLOOKUP(source[[#This Row],[lending_product_transform]],[3]Mapping!$B$3:$D$37,3,0)</f>
        <v>cashloan</v>
      </c>
      <c r="I5269" s="135">
        <v>4474000000</v>
      </c>
    </row>
    <row r="5270" spans="1:9" x14ac:dyDescent="0.2">
      <c r="A5270" s="134">
        <v>45714</v>
      </c>
      <c r="B5270" s="135">
        <f>YEAR(source[[#This Row],[report_date]])</f>
        <v>2025</v>
      </c>
      <c r="C5270" s="128">
        <f t="shared" si="242"/>
        <v>2</v>
      </c>
      <c r="D5270" s="136">
        <f t="shared" si="244"/>
        <v>9</v>
      </c>
      <c r="E5270" s="136">
        <f t="shared" si="243"/>
        <v>26</v>
      </c>
      <c r="F5270" s="128" t="s">
        <v>24</v>
      </c>
      <c r="G5270" s="128" t="str">
        <f>VLOOKUP(source[[#This Row],[lending_product_transform]],[3]Mapping!$B$4:$C$37,2,0)</f>
        <v>[Cake] - Cashloan</v>
      </c>
      <c r="H5270" s="128" t="str">
        <f>VLOOKUP(source[[#This Row],[lending_product_transform]],[3]Mapping!$B$3:$D$37,3,0)</f>
        <v>cashloan</v>
      </c>
      <c r="I5270" s="135">
        <v>0</v>
      </c>
    </row>
    <row r="5271" spans="1:9" x14ac:dyDescent="0.2">
      <c r="A5271" s="134">
        <v>45714</v>
      </c>
      <c r="B5271" s="135">
        <f>YEAR(source[[#This Row],[report_date]])</f>
        <v>2025</v>
      </c>
      <c r="C5271" s="128">
        <f t="shared" si="242"/>
        <v>2</v>
      </c>
      <c r="D5271" s="136">
        <f t="shared" si="244"/>
        <v>9</v>
      </c>
      <c r="E5271" s="136">
        <f t="shared" si="243"/>
        <v>26</v>
      </c>
      <c r="F5271" s="128" t="s">
        <v>24</v>
      </c>
      <c r="G5271" s="128" t="str">
        <f>VLOOKUP(source[[#This Row],[lending_product_transform]],[3]Mapping!$B$4:$C$37,2,0)</f>
        <v>[Cake] - Cashloan</v>
      </c>
      <c r="H5271" s="128" t="str">
        <f>VLOOKUP(source[[#This Row],[lending_product_transform]],[3]Mapping!$B$3:$D$37,3,0)</f>
        <v>cashloan</v>
      </c>
      <c r="I5271" s="135">
        <v>777140000</v>
      </c>
    </row>
    <row r="5272" spans="1:9" x14ac:dyDescent="0.2">
      <c r="A5272" s="134">
        <v>45714</v>
      </c>
      <c r="B5272" s="135">
        <f>YEAR(source[[#This Row],[report_date]])</f>
        <v>2025</v>
      </c>
      <c r="C5272" s="128">
        <f t="shared" si="242"/>
        <v>2</v>
      </c>
      <c r="D5272" s="136">
        <f t="shared" si="244"/>
        <v>9</v>
      </c>
      <c r="E5272" s="136">
        <f t="shared" si="243"/>
        <v>26</v>
      </c>
      <c r="F5272" s="128" t="s">
        <v>24</v>
      </c>
      <c r="G5272" s="128" t="str">
        <f>VLOOKUP(source[[#This Row],[lending_product_transform]],[3]Mapping!$B$4:$C$37,2,0)</f>
        <v>[Cake] - Cashloan</v>
      </c>
      <c r="H5272" s="128" t="str">
        <f>VLOOKUP(source[[#This Row],[lending_product_transform]],[3]Mapping!$B$3:$D$37,3,0)</f>
        <v>cashloan</v>
      </c>
      <c r="I5272" s="135">
        <v>372680000</v>
      </c>
    </row>
    <row r="5273" spans="1:9" x14ac:dyDescent="0.2">
      <c r="A5273" s="134">
        <v>45714</v>
      </c>
      <c r="B5273" s="135">
        <f>YEAR(source[[#This Row],[report_date]])</f>
        <v>2025</v>
      </c>
      <c r="C5273" s="128">
        <f t="shared" si="242"/>
        <v>2</v>
      </c>
      <c r="D5273" s="136">
        <f t="shared" si="244"/>
        <v>9</v>
      </c>
      <c r="E5273" s="136">
        <f t="shared" si="243"/>
        <v>26</v>
      </c>
      <c r="F5273" s="128" t="s">
        <v>24</v>
      </c>
      <c r="G5273" s="128" t="str">
        <f>VLOOKUP(source[[#This Row],[lending_product_transform]],[3]Mapping!$B$4:$C$37,2,0)</f>
        <v>[Cake] - Cashloan</v>
      </c>
      <c r="H5273" s="128" t="str">
        <f>VLOOKUP(source[[#This Row],[lending_product_transform]],[3]Mapping!$B$3:$D$37,3,0)</f>
        <v>cashloan</v>
      </c>
      <c r="I5273" s="135">
        <v>0</v>
      </c>
    </row>
    <row r="5274" spans="1:9" x14ac:dyDescent="0.2">
      <c r="A5274" s="134">
        <v>45714</v>
      </c>
      <c r="B5274" s="135">
        <f>YEAR(source[[#This Row],[report_date]])</f>
        <v>2025</v>
      </c>
      <c r="C5274" s="128">
        <f t="shared" si="242"/>
        <v>2</v>
      </c>
      <c r="D5274" s="136">
        <f t="shared" si="244"/>
        <v>9</v>
      </c>
      <c r="E5274" s="136">
        <f t="shared" si="243"/>
        <v>26</v>
      </c>
      <c r="F5274" s="128" t="s">
        <v>24</v>
      </c>
      <c r="G5274" s="128" t="str">
        <f>VLOOKUP(source[[#This Row],[lending_product_transform]],[3]Mapping!$B$4:$C$37,2,0)</f>
        <v>[Cake] - Cashloan</v>
      </c>
      <c r="H5274" s="128" t="str">
        <f>VLOOKUP(source[[#This Row],[lending_product_transform]],[3]Mapping!$B$3:$D$37,3,0)</f>
        <v>cashloan</v>
      </c>
      <c r="I5274" s="135">
        <v>0</v>
      </c>
    </row>
    <row r="5275" spans="1:9" x14ac:dyDescent="0.2">
      <c r="A5275" s="134">
        <v>45714</v>
      </c>
      <c r="B5275" s="135">
        <f>YEAR(source[[#This Row],[report_date]])</f>
        <v>2025</v>
      </c>
      <c r="C5275" s="128">
        <f t="shared" si="242"/>
        <v>2</v>
      </c>
      <c r="D5275" s="136">
        <f t="shared" si="244"/>
        <v>9</v>
      </c>
      <c r="E5275" s="136">
        <f t="shared" si="243"/>
        <v>26</v>
      </c>
      <c r="F5275" s="128" t="s">
        <v>24</v>
      </c>
      <c r="G5275" s="128" t="str">
        <f>VLOOKUP(source[[#This Row],[lending_product_transform]],[3]Mapping!$B$4:$C$37,2,0)</f>
        <v>[Cake] - Cashloan</v>
      </c>
      <c r="H5275" s="128" t="str">
        <f>VLOOKUP(source[[#This Row],[lending_product_transform]],[3]Mapping!$B$3:$D$37,3,0)</f>
        <v>cashloan</v>
      </c>
      <c r="I5275" s="135">
        <v>0</v>
      </c>
    </row>
    <row r="5276" spans="1:9" x14ac:dyDescent="0.2">
      <c r="A5276" s="134">
        <v>45714</v>
      </c>
      <c r="B5276" s="135">
        <f>YEAR(source[[#This Row],[report_date]])</f>
        <v>2025</v>
      </c>
      <c r="C5276" s="128">
        <f t="shared" si="242"/>
        <v>2</v>
      </c>
      <c r="D5276" s="136">
        <f t="shared" si="244"/>
        <v>9</v>
      </c>
      <c r="E5276" s="136">
        <f t="shared" si="243"/>
        <v>26</v>
      </c>
      <c r="F5276" s="128" t="s">
        <v>24</v>
      </c>
      <c r="G5276" s="128" t="str">
        <f>VLOOKUP(source[[#This Row],[lending_product_transform]],[3]Mapping!$B$4:$C$37,2,0)</f>
        <v>[Cake] - Cashloan</v>
      </c>
      <c r="H5276" s="128" t="str">
        <f>VLOOKUP(source[[#This Row],[lending_product_transform]],[3]Mapping!$B$3:$D$37,3,0)</f>
        <v>cashloan</v>
      </c>
      <c r="I5276" s="135">
        <v>86000000</v>
      </c>
    </row>
    <row r="5277" spans="1:9" x14ac:dyDescent="0.2">
      <c r="A5277" s="134">
        <v>45714</v>
      </c>
      <c r="B5277" s="135">
        <f>YEAR(source[[#This Row],[report_date]])</f>
        <v>2025</v>
      </c>
      <c r="C5277" s="128">
        <f t="shared" si="242"/>
        <v>2</v>
      </c>
      <c r="D5277" s="136">
        <f t="shared" si="244"/>
        <v>9</v>
      </c>
      <c r="E5277" s="136">
        <f t="shared" si="243"/>
        <v>26</v>
      </c>
      <c r="F5277" s="128" t="s">
        <v>24</v>
      </c>
      <c r="G5277" s="128" t="str">
        <f>VLOOKUP(source[[#This Row],[lending_product_transform]],[3]Mapping!$B$4:$C$37,2,0)</f>
        <v>[Cake] - Cashloan</v>
      </c>
      <c r="H5277" s="128" t="str">
        <f>VLOOKUP(source[[#This Row],[lending_product_transform]],[3]Mapping!$B$3:$D$37,3,0)</f>
        <v>cashloan</v>
      </c>
      <c r="I5277" s="135">
        <v>0</v>
      </c>
    </row>
    <row r="5278" spans="1:9" x14ac:dyDescent="0.2">
      <c r="A5278" s="134">
        <v>45714</v>
      </c>
      <c r="B5278" s="135">
        <f>YEAR(source[[#This Row],[report_date]])</f>
        <v>2025</v>
      </c>
      <c r="C5278" s="128">
        <f t="shared" si="242"/>
        <v>2</v>
      </c>
      <c r="D5278" s="136">
        <f t="shared" si="244"/>
        <v>9</v>
      </c>
      <c r="E5278" s="136">
        <f t="shared" si="243"/>
        <v>26</v>
      </c>
      <c r="F5278" s="128" t="s">
        <v>24</v>
      </c>
      <c r="G5278" s="128" t="str">
        <f>VLOOKUP(source[[#This Row],[lending_product_transform]],[3]Mapping!$B$4:$C$37,2,0)</f>
        <v>[Cake] - Cashloan</v>
      </c>
      <c r="H5278" s="128" t="str">
        <f>VLOOKUP(source[[#This Row],[lending_product_transform]],[3]Mapping!$B$3:$D$37,3,0)</f>
        <v>cashloan</v>
      </c>
      <c r="I5278" s="135">
        <v>0</v>
      </c>
    </row>
    <row r="5279" spans="1:9" x14ac:dyDescent="0.2">
      <c r="A5279" s="134">
        <v>45715</v>
      </c>
      <c r="B5279" s="135">
        <f>YEAR(source[[#This Row],[report_date]])</f>
        <v>2025</v>
      </c>
      <c r="C5279" s="128">
        <f t="shared" si="242"/>
        <v>2</v>
      </c>
      <c r="D5279" s="136">
        <f t="shared" si="244"/>
        <v>9</v>
      </c>
      <c r="E5279" s="136">
        <f t="shared" si="243"/>
        <v>27</v>
      </c>
      <c r="F5279" s="128" t="s">
        <v>24</v>
      </c>
      <c r="G5279" s="128" t="str">
        <f>VLOOKUP(source[[#This Row],[lending_product_transform]],[3]Mapping!$B$4:$C$37,2,0)</f>
        <v>[Cake] - Cashloan</v>
      </c>
      <c r="H5279" s="128" t="str">
        <f>VLOOKUP(source[[#This Row],[lending_product_transform]],[3]Mapping!$B$3:$D$37,3,0)</f>
        <v>cashloan</v>
      </c>
      <c r="I5279" s="135">
        <v>10349695</v>
      </c>
    </row>
    <row r="5280" spans="1:9" x14ac:dyDescent="0.2">
      <c r="A5280" s="134">
        <v>45715</v>
      </c>
      <c r="B5280" s="135">
        <f>YEAR(source[[#This Row],[report_date]])</f>
        <v>2025</v>
      </c>
      <c r="C5280" s="128">
        <f t="shared" si="242"/>
        <v>2</v>
      </c>
      <c r="D5280" s="136">
        <f t="shared" si="244"/>
        <v>9</v>
      </c>
      <c r="E5280" s="136">
        <f t="shared" si="243"/>
        <v>27</v>
      </c>
      <c r="F5280" s="128" t="s">
        <v>24</v>
      </c>
      <c r="G5280" s="128" t="str">
        <f>VLOOKUP(source[[#This Row],[lending_product_transform]],[3]Mapping!$B$4:$C$37,2,0)</f>
        <v>[Cake] - Cashloan</v>
      </c>
      <c r="H5280" s="128" t="str">
        <f>VLOOKUP(source[[#This Row],[lending_product_transform]],[3]Mapping!$B$3:$D$37,3,0)</f>
        <v>cashloan</v>
      </c>
      <c r="I5280" s="135">
        <v>56750000</v>
      </c>
    </row>
    <row r="5281" spans="1:9" x14ac:dyDescent="0.2">
      <c r="A5281" s="134">
        <v>45715</v>
      </c>
      <c r="B5281" s="135">
        <f>YEAR(source[[#This Row],[report_date]])</f>
        <v>2025</v>
      </c>
      <c r="C5281" s="128">
        <f t="shared" si="242"/>
        <v>2</v>
      </c>
      <c r="D5281" s="136">
        <f t="shared" si="244"/>
        <v>9</v>
      </c>
      <c r="E5281" s="136">
        <f t="shared" si="243"/>
        <v>27</v>
      </c>
      <c r="F5281" s="128" t="s">
        <v>24</v>
      </c>
      <c r="G5281" s="128" t="str">
        <f>VLOOKUP(source[[#This Row],[lending_product_transform]],[3]Mapping!$B$4:$C$37,2,0)</f>
        <v>[Cake] - Cashloan</v>
      </c>
      <c r="H5281" s="128" t="str">
        <f>VLOOKUP(source[[#This Row],[lending_product_transform]],[3]Mapping!$B$3:$D$37,3,0)</f>
        <v>cashloan</v>
      </c>
      <c r="I5281" s="135">
        <v>5584100000</v>
      </c>
    </row>
    <row r="5282" spans="1:9" x14ac:dyDescent="0.2">
      <c r="A5282" s="134">
        <v>45715</v>
      </c>
      <c r="B5282" s="135">
        <f>YEAR(source[[#This Row],[report_date]])</f>
        <v>2025</v>
      </c>
      <c r="C5282" s="128">
        <f t="shared" si="242"/>
        <v>2</v>
      </c>
      <c r="D5282" s="136">
        <f t="shared" si="244"/>
        <v>9</v>
      </c>
      <c r="E5282" s="136">
        <f t="shared" si="243"/>
        <v>27</v>
      </c>
      <c r="F5282" s="128" t="s">
        <v>24</v>
      </c>
      <c r="G5282" s="128" t="str">
        <f>VLOOKUP(source[[#This Row],[lending_product_transform]],[3]Mapping!$B$4:$C$37,2,0)</f>
        <v>[Cake] - Cashloan</v>
      </c>
      <c r="H5282" s="128" t="str">
        <f>VLOOKUP(source[[#This Row],[lending_product_transform]],[3]Mapping!$B$3:$D$37,3,0)</f>
        <v>cashloan</v>
      </c>
      <c r="I5282" s="135">
        <v>0</v>
      </c>
    </row>
    <row r="5283" spans="1:9" x14ac:dyDescent="0.2">
      <c r="A5283" s="134">
        <v>45715</v>
      </c>
      <c r="B5283" s="135">
        <f>YEAR(source[[#This Row],[report_date]])</f>
        <v>2025</v>
      </c>
      <c r="C5283" s="128">
        <f t="shared" si="242"/>
        <v>2</v>
      </c>
      <c r="D5283" s="136">
        <f t="shared" si="244"/>
        <v>9</v>
      </c>
      <c r="E5283" s="136">
        <f t="shared" si="243"/>
        <v>27</v>
      </c>
      <c r="F5283" s="128" t="s">
        <v>24</v>
      </c>
      <c r="G5283" s="128" t="str">
        <f>VLOOKUP(source[[#This Row],[lending_product_transform]],[3]Mapping!$B$4:$C$37,2,0)</f>
        <v>[Cake] - Cashloan</v>
      </c>
      <c r="H5283" s="128" t="str">
        <f>VLOOKUP(source[[#This Row],[lending_product_transform]],[3]Mapping!$B$3:$D$37,3,0)</f>
        <v>cashloan</v>
      </c>
      <c r="I5283" s="135">
        <v>0</v>
      </c>
    </row>
    <row r="5284" spans="1:9" x14ac:dyDescent="0.2">
      <c r="A5284" s="134">
        <v>45715</v>
      </c>
      <c r="B5284" s="135">
        <f>YEAR(source[[#This Row],[report_date]])</f>
        <v>2025</v>
      </c>
      <c r="C5284" s="128">
        <f t="shared" si="242"/>
        <v>2</v>
      </c>
      <c r="D5284" s="136">
        <f t="shared" si="244"/>
        <v>9</v>
      </c>
      <c r="E5284" s="136">
        <f t="shared" si="243"/>
        <v>27</v>
      </c>
      <c r="F5284" s="128" t="s">
        <v>24</v>
      </c>
      <c r="G5284" s="128" t="str">
        <f>VLOOKUP(source[[#This Row],[lending_product_transform]],[3]Mapping!$B$4:$C$37,2,0)</f>
        <v>[Cake] - Cashloan</v>
      </c>
      <c r="H5284" s="128" t="str">
        <f>VLOOKUP(source[[#This Row],[lending_product_transform]],[3]Mapping!$B$3:$D$37,3,0)</f>
        <v>cashloan</v>
      </c>
      <c r="I5284" s="135">
        <v>3460854161</v>
      </c>
    </row>
    <row r="5285" spans="1:9" x14ac:dyDescent="0.2">
      <c r="A5285" s="134">
        <v>45715</v>
      </c>
      <c r="B5285" s="135">
        <f>YEAR(source[[#This Row],[report_date]])</f>
        <v>2025</v>
      </c>
      <c r="C5285" s="128">
        <f t="shared" si="242"/>
        <v>2</v>
      </c>
      <c r="D5285" s="136">
        <f t="shared" si="244"/>
        <v>9</v>
      </c>
      <c r="E5285" s="136">
        <f t="shared" si="243"/>
        <v>27</v>
      </c>
      <c r="F5285" s="128" t="s">
        <v>24</v>
      </c>
      <c r="G5285" s="128" t="str">
        <f>VLOOKUP(source[[#This Row],[lending_product_transform]],[3]Mapping!$B$4:$C$37,2,0)</f>
        <v>[Cake] - Cashloan</v>
      </c>
      <c r="H5285" s="128" t="str">
        <f>VLOOKUP(source[[#This Row],[lending_product_transform]],[3]Mapping!$B$3:$D$37,3,0)</f>
        <v>cashloan</v>
      </c>
      <c r="I5285" s="135">
        <v>0</v>
      </c>
    </row>
    <row r="5286" spans="1:9" x14ac:dyDescent="0.2">
      <c r="A5286" s="134">
        <v>45715</v>
      </c>
      <c r="B5286" s="135">
        <f>YEAR(source[[#This Row],[report_date]])</f>
        <v>2025</v>
      </c>
      <c r="C5286" s="128">
        <f t="shared" si="242"/>
        <v>2</v>
      </c>
      <c r="D5286" s="136">
        <f t="shared" si="244"/>
        <v>9</v>
      </c>
      <c r="E5286" s="136">
        <f t="shared" si="243"/>
        <v>27</v>
      </c>
      <c r="F5286" s="128" t="s">
        <v>24</v>
      </c>
      <c r="G5286" s="128" t="str">
        <f>VLOOKUP(source[[#This Row],[lending_product_transform]],[3]Mapping!$B$4:$C$37,2,0)</f>
        <v>[Cake] - Cashloan</v>
      </c>
      <c r="H5286" s="128" t="str">
        <f>VLOOKUP(source[[#This Row],[lending_product_transform]],[3]Mapping!$B$3:$D$37,3,0)</f>
        <v>cashloan</v>
      </c>
      <c r="I5286" s="135">
        <v>243040000</v>
      </c>
    </row>
    <row r="5287" spans="1:9" x14ac:dyDescent="0.2">
      <c r="A5287" s="134">
        <v>45715</v>
      </c>
      <c r="B5287" s="135">
        <f>YEAR(source[[#This Row],[report_date]])</f>
        <v>2025</v>
      </c>
      <c r="C5287" s="128">
        <f t="shared" si="242"/>
        <v>2</v>
      </c>
      <c r="D5287" s="136">
        <f t="shared" si="244"/>
        <v>9</v>
      </c>
      <c r="E5287" s="136">
        <f t="shared" si="243"/>
        <v>27</v>
      </c>
      <c r="F5287" s="128" t="s">
        <v>24</v>
      </c>
      <c r="G5287" s="128" t="str">
        <f>VLOOKUP(source[[#This Row],[lending_product_transform]],[3]Mapping!$B$4:$C$37,2,0)</f>
        <v>[Cake] - Cashloan</v>
      </c>
      <c r="H5287" s="128" t="str">
        <f>VLOOKUP(source[[#This Row],[lending_product_transform]],[3]Mapping!$B$3:$D$37,3,0)</f>
        <v>cashloan</v>
      </c>
      <c r="I5287" s="135">
        <v>57000000</v>
      </c>
    </row>
    <row r="5288" spans="1:9" x14ac:dyDescent="0.2">
      <c r="A5288" s="134">
        <v>45715</v>
      </c>
      <c r="B5288" s="135">
        <f>YEAR(source[[#This Row],[report_date]])</f>
        <v>2025</v>
      </c>
      <c r="C5288" s="128">
        <f t="shared" si="242"/>
        <v>2</v>
      </c>
      <c r="D5288" s="136">
        <f t="shared" si="244"/>
        <v>9</v>
      </c>
      <c r="E5288" s="136">
        <f t="shared" si="243"/>
        <v>27</v>
      </c>
      <c r="F5288" s="128" t="s">
        <v>24</v>
      </c>
      <c r="G5288" s="128" t="str">
        <f>VLOOKUP(source[[#This Row],[lending_product_transform]],[3]Mapping!$B$4:$C$37,2,0)</f>
        <v>[Cake] - Cashloan</v>
      </c>
      <c r="H5288" s="128" t="str">
        <f>VLOOKUP(source[[#This Row],[lending_product_transform]],[3]Mapping!$B$3:$D$37,3,0)</f>
        <v>cashloan</v>
      </c>
      <c r="I5288" s="135">
        <v>0</v>
      </c>
    </row>
    <row r="5289" spans="1:9" x14ac:dyDescent="0.2">
      <c r="A5289" s="134">
        <v>45715</v>
      </c>
      <c r="B5289" s="135">
        <f>YEAR(source[[#This Row],[report_date]])</f>
        <v>2025</v>
      </c>
      <c r="C5289" s="128">
        <f t="shared" si="242"/>
        <v>2</v>
      </c>
      <c r="D5289" s="136">
        <f t="shared" si="244"/>
        <v>9</v>
      </c>
      <c r="E5289" s="136">
        <f t="shared" si="243"/>
        <v>27</v>
      </c>
      <c r="F5289" s="128" t="s">
        <v>24</v>
      </c>
      <c r="G5289" s="128" t="str">
        <f>VLOOKUP(source[[#This Row],[lending_product_transform]],[3]Mapping!$B$4:$C$37,2,0)</f>
        <v>[Cake] - Cashloan</v>
      </c>
      <c r="H5289" s="128" t="str">
        <f>VLOOKUP(source[[#This Row],[lending_product_transform]],[3]Mapping!$B$3:$D$37,3,0)</f>
        <v>cashloan</v>
      </c>
      <c r="I5289" s="135">
        <v>588760000</v>
      </c>
    </row>
    <row r="5290" spans="1:9" x14ac:dyDescent="0.2">
      <c r="A5290" s="134">
        <v>45715</v>
      </c>
      <c r="B5290" s="135">
        <f>YEAR(source[[#This Row],[report_date]])</f>
        <v>2025</v>
      </c>
      <c r="C5290" s="128">
        <f t="shared" si="242"/>
        <v>2</v>
      </c>
      <c r="D5290" s="136">
        <f t="shared" si="244"/>
        <v>9</v>
      </c>
      <c r="E5290" s="136">
        <f t="shared" si="243"/>
        <v>27</v>
      </c>
      <c r="F5290" s="128" t="s">
        <v>24</v>
      </c>
      <c r="G5290" s="128" t="str">
        <f>VLOOKUP(source[[#This Row],[lending_product_transform]],[3]Mapping!$B$4:$C$37,2,0)</f>
        <v>[Cake] - Cashloan</v>
      </c>
      <c r="H5290" s="128" t="str">
        <f>VLOOKUP(source[[#This Row],[lending_product_transform]],[3]Mapping!$B$3:$D$37,3,0)</f>
        <v>cashloan</v>
      </c>
      <c r="I5290" s="135">
        <v>307904611</v>
      </c>
    </row>
    <row r="5291" spans="1:9" x14ac:dyDescent="0.2">
      <c r="A5291" s="134">
        <v>45715</v>
      </c>
      <c r="B5291" s="135">
        <f>YEAR(source[[#This Row],[report_date]])</f>
        <v>2025</v>
      </c>
      <c r="C5291" s="128">
        <f t="shared" si="242"/>
        <v>2</v>
      </c>
      <c r="D5291" s="136">
        <f t="shared" si="244"/>
        <v>9</v>
      </c>
      <c r="E5291" s="136">
        <f t="shared" si="243"/>
        <v>27</v>
      </c>
      <c r="F5291" s="128" t="s">
        <v>24</v>
      </c>
      <c r="G5291" s="128" t="str">
        <f>VLOOKUP(source[[#This Row],[lending_product_transform]],[3]Mapping!$B$4:$C$37,2,0)</f>
        <v>[Cake] - Cashloan</v>
      </c>
      <c r="H5291" s="128" t="str">
        <f>VLOOKUP(source[[#This Row],[lending_product_transform]],[3]Mapping!$B$3:$D$37,3,0)</f>
        <v>cashloan</v>
      </c>
      <c r="I5291" s="135">
        <v>164011710</v>
      </c>
    </row>
    <row r="5292" spans="1:9" x14ac:dyDescent="0.2">
      <c r="A5292" s="134">
        <v>45715</v>
      </c>
      <c r="B5292" s="135">
        <f>YEAR(source[[#This Row],[report_date]])</f>
        <v>2025</v>
      </c>
      <c r="C5292" s="128">
        <f t="shared" si="242"/>
        <v>2</v>
      </c>
      <c r="D5292" s="136">
        <f t="shared" si="244"/>
        <v>9</v>
      </c>
      <c r="E5292" s="136">
        <f t="shared" si="243"/>
        <v>27</v>
      </c>
      <c r="F5292" s="128" t="s">
        <v>24</v>
      </c>
      <c r="G5292" s="128" t="str">
        <f>VLOOKUP(source[[#This Row],[lending_product_transform]],[3]Mapping!$B$4:$C$37,2,0)</f>
        <v>[Cake] - Cashloan</v>
      </c>
      <c r="H5292" s="128" t="str">
        <f>VLOOKUP(source[[#This Row],[lending_product_transform]],[3]Mapping!$B$3:$D$37,3,0)</f>
        <v>cashloan</v>
      </c>
      <c r="I5292" s="135">
        <v>0</v>
      </c>
    </row>
    <row r="5293" spans="1:9" x14ac:dyDescent="0.2">
      <c r="A5293" s="134">
        <v>45715</v>
      </c>
      <c r="B5293" s="135">
        <f>YEAR(source[[#This Row],[report_date]])</f>
        <v>2025</v>
      </c>
      <c r="C5293" s="128">
        <f t="shared" si="242"/>
        <v>2</v>
      </c>
      <c r="D5293" s="136">
        <f t="shared" si="244"/>
        <v>9</v>
      </c>
      <c r="E5293" s="136">
        <f t="shared" si="243"/>
        <v>27</v>
      </c>
      <c r="F5293" s="128" t="s">
        <v>24</v>
      </c>
      <c r="G5293" s="128" t="str">
        <f>VLOOKUP(source[[#This Row],[lending_product_transform]],[3]Mapping!$B$4:$C$37,2,0)</f>
        <v>[Cake] - Cashloan</v>
      </c>
      <c r="H5293" s="128" t="str">
        <f>VLOOKUP(source[[#This Row],[lending_product_transform]],[3]Mapping!$B$3:$D$37,3,0)</f>
        <v>cashloan</v>
      </c>
      <c r="I5293" s="135">
        <v>4553750000</v>
      </c>
    </row>
    <row r="5294" spans="1:9" x14ac:dyDescent="0.2">
      <c r="A5294" s="134">
        <v>45715</v>
      </c>
      <c r="B5294" s="135">
        <f>YEAR(source[[#This Row],[report_date]])</f>
        <v>2025</v>
      </c>
      <c r="C5294" s="128">
        <f t="shared" si="242"/>
        <v>2</v>
      </c>
      <c r="D5294" s="136">
        <f t="shared" si="244"/>
        <v>9</v>
      </c>
      <c r="E5294" s="136">
        <f t="shared" si="243"/>
        <v>27</v>
      </c>
      <c r="F5294" s="128" t="s">
        <v>24</v>
      </c>
      <c r="G5294" s="128" t="str">
        <f>VLOOKUP(source[[#This Row],[lending_product_transform]],[3]Mapping!$B$4:$C$37,2,0)</f>
        <v>[Cake] - Cashloan</v>
      </c>
      <c r="H5294" s="128" t="str">
        <f>VLOOKUP(source[[#This Row],[lending_product_transform]],[3]Mapping!$B$3:$D$37,3,0)</f>
        <v>cashloan</v>
      </c>
      <c r="I5294" s="135">
        <v>0</v>
      </c>
    </row>
    <row r="5295" spans="1:9" x14ac:dyDescent="0.2">
      <c r="A5295" s="134">
        <v>45715</v>
      </c>
      <c r="B5295" s="135">
        <f>YEAR(source[[#This Row],[report_date]])</f>
        <v>2025</v>
      </c>
      <c r="C5295" s="128">
        <f t="shared" si="242"/>
        <v>2</v>
      </c>
      <c r="D5295" s="136">
        <f t="shared" si="244"/>
        <v>9</v>
      </c>
      <c r="E5295" s="136">
        <f t="shared" si="243"/>
        <v>27</v>
      </c>
      <c r="F5295" s="128" t="s">
        <v>24</v>
      </c>
      <c r="G5295" s="128" t="str">
        <f>VLOOKUP(source[[#This Row],[lending_product_transform]],[3]Mapping!$B$4:$C$37,2,0)</f>
        <v>[Cake] - Cashloan</v>
      </c>
      <c r="H5295" s="128" t="str">
        <f>VLOOKUP(source[[#This Row],[lending_product_transform]],[3]Mapping!$B$3:$D$37,3,0)</f>
        <v>cashloan</v>
      </c>
      <c r="I5295" s="135">
        <v>4569500000</v>
      </c>
    </row>
    <row r="5296" spans="1:9" x14ac:dyDescent="0.2">
      <c r="A5296" s="134">
        <v>45715</v>
      </c>
      <c r="B5296" s="135">
        <f>YEAR(source[[#This Row],[report_date]])</f>
        <v>2025</v>
      </c>
      <c r="C5296" s="128">
        <f t="shared" si="242"/>
        <v>2</v>
      </c>
      <c r="D5296" s="136">
        <f t="shared" si="244"/>
        <v>9</v>
      </c>
      <c r="E5296" s="136">
        <f t="shared" si="243"/>
        <v>27</v>
      </c>
      <c r="F5296" s="128" t="s">
        <v>24</v>
      </c>
      <c r="G5296" s="128" t="str">
        <f>VLOOKUP(source[[#This Row],[lending_product_transform]],[3]Mapping!$B$4:$C$37,2,0)</f>
        <v>[Cake] - Cashloan</v>
      </c>
      <c r="H5296" s="128" t="str">
        <f>VLOOKUP(source[[#This Row],[lending_product_transform]],[3]Mapping!$B$3:$D$37,3,0)</f>
        <v>cashloan</v>
      </c>
      <c r="I5296" s="135">
        <v>297727139</v>
      </c>
    </row>
    <row r="5297" spans="1:9" x14ac:dyDescent="0.2">
      <c r="A5297" s="134">
        <v>45715</v>
      </c>
      <c r="B5297" s="135">
        <f>YEAR(source[[#This Row],[report_date]])</f>
        <v>2025</v>
      </c>
      <c r="C5297" s="128">
        <f t="shared" si="242"/>
        <v>2</v>
      </c>
      <c r="D5297" s="136">
        <f t="shared" si="244"/>
        <v>9</v>
      </c>
      <c r="E5297" s="136">
        <f t="shared" si="243"/>
        <v>27</v>
      </c>
      <c r="F5297" s="128" t="s">
        <v>24</v>
      </c>
      <c r="G5297" s="128" t="str">
        <f>VLOOKUP(source[[#This Row],[lending_product_transform]],[3]Mapping!$B$4:$C$37,2,0)</f>
        <v>[Cake] - Cashloan</v>
      </c>
      <c r="H5297" s="128" t="str">
        <f>VLOOKUP(source[[#This Row],[lending_product_transform]],[3]Mapping!$B$3:$D$37,3,0)</f>
        <v>cashloan</v>
      </c>
      <c r="I5297" s="135">
        <v>0</v>
      </c>
    </row>
    <row r="5298" spans="1:9" x14ac:dyDescent="0.2">
      <c r="A5298" s="134">
        <v>45716</v>
      </c>
      <c r="B5298" s="135">
        <f>YEAR(source[[#This Row],[report_date]])</f>
        <v>2025</v>
      </c>
      <c r="C5298" s="128">
        <f t="shared" ref="C5298:C5361" si="245">MONTH(A5298)</f>
        <v>2</v>
      </c>
      <c r="D5298" s="136">
        <f t="shared" si="244"/>
        <v>9</v>
      </c>
      <c r="E5298" s="136">
        <f t="shared" ref="E5298:E5361" si="246">DAY(A5298)</f>
        <v>28</v>
      </c>
      <c r="F5298" s="128" t="s">
        <v>24</v>
      </c>
      <c r="G5298" s="128" t="str">
        <f>VLOOKUP(source[[#This Row],[lending_product_transform]],[3]Mapping!$B$4:$C$37,2,0)</f>
        <v>[Cake] - Cashloan</v>
      </c>
      <c r="H5298" s="128" t="str">
        <f>VLOOKUP(source[[#This Row],[lending_product_transform]],[3]Mapping!$B$3:$D$37,3,0)</f>
        <v>cashloan</v>
      </c>
      <c r="I5298" s="135">
        <v>5206800000</v>
      </c>
    </row>
    <row r="5299" spans="1:9" x14ac:dyDescent="0.2">
      <c r="A5299" s="134">
        <v>45716</v>
      </c>
      <c r="B5299" s="135">
        <f>YEAR(source[[#This Row],[report_date]])</f>
        <v>2025</v>
      </c>
      <c r="C5299" s="128">
        <f t="shared" si="245"/>
        <v>2</v>
      </c>
      <c r="D5299" s="136">
        <f t="shared" si="244"/>
        <v>9</v>
      </c>
      <c r="E5299" s="136">
        <f t="shared" si="246"/>
        <v>28</v>
      </c>
      <c r="F5299" s="128" t="s">
        <v>24</v>
      </c>
      <c r="G5299" s="128" t="str">
        <f>VLOOKUP(source[[#This Row],[lending_product_transform]],[3]Mapping!$B$4:$C$37,2,0)</f>
        <v>[Cake] - Cashloan</v>
      </c>
      <c r="H5299" s="128" t="str">
        <f>VLOOKUP(source[[#This Row],[lending_product_transform]],[3]Mapping!$B$3:$D$37,3,0)</f>
        <v>cashloan</v>
      </c>
      <c r="I5299" s="135">
        <v>5084000000</v>
      </c>
    </row>
    <row r="5300" spans="1:9" x14ac:dyDescent="0.2">
      <c r="A5300" s="134">
        <v>45716</v>
      </c>
      <c r="B5300" s="135">
        <f>YEAR(source[[#This Row],[report_date]])</f>
        <v>2025</v>
      </c>
      <c r="C5300" s="128">
        <f t="shared" si="245"/>
        <v>2</v>
      </c>
      <c r="D5300" s="136">
        <f t="shared" si="244"/>
        <v>9</v>
      </c>
      <c r="E5300" s="136">
        <f t="shared" si="246"/>
        <v>28</v>
      </c>
      <c r="F5300" s="128" t="s">
        <v>24</v>
      </c>
      <c r="G5300" s="128" t="str">
        <f>VLOOKUP(source[[#This Row],[lending_product_transform]],[3]Mapping!$B$4:$C$37,2,0)</f>
        <v>[Cake] - Cashloan</v>
      </c>
      <c r="H5300" s="128" t="str">
        <f>VLOOKUP(source[[#This Row],[lending_product_transform]],[3]Mapping!$B$3:$D$37,3,0)</f>
        <v>cashloan</v>
      </c>
      <c r="I5300" s="135">
        <v>4491892021</v>
      </c>
    </row>
    <row r="5301" spans="1:9" x14ac:dyDescent="0.2">
      <c r="A5301" s="134">
        <v>45716</v>
      </c>
      <c r="B5301" s="135">
        <f>YEAR(source[[#This Row],[report_date]])</f>
        <v>2025</v>
      </c>
      <c r="C5301" s="128">
        <f t="shared" si="245"/>
        <v>2</v>
      </c>
      <c r="D5301" s="136">
        <f t="shared" si="244"/>
        <v>9</v>
      </c>
      <c r="E5301" s="136">
        <f t="shared" si="246"/>
        <v>28</v>
      </c>
      <c r="F5301" s="128" t="s">
        <v>24</v>
      </c>
      <c r="G5301" s="128" t="str">
        <f>VLOOKUP(source[[#This Row],[lending_product_transform]],[3]Mapping!$B$4:$C$37,2,0)</f>
        <v>[Cake] - Cashloan</v>
      </c>
      <c r="H5301" s="128" t="str">
        <f>VLOOKUP(source[[#This Row],[lending_product_transform]],[3]Mapping!$B$3:$D$37,3,0)</f>
        <v>cashloan</v>
      </c>
      <c r="I5301" s="135">
        <v>7097440000</v>
      </c>
    </row>
    <row r="5302" spans="1:9" x14ac:dyDescent="0.2">
      <c r="A5302" s="134">
        <v>45716</v>
      </c>
      <c r="B5302" s="135">
        <f>YEAR(source[[#This Row],[report_date]])</f>
        <v>2025</v>
      </c>
      <c r="C5302" s="128">
        <f t="shared" si="245"/>
        <v>2</v>
      </c>
      <c r="D5302" s="136">
        <f t="shared" si="244"/>
        <v>9</v>
      </c>
      <c r="E5302" s="136">
        <f t="shared" si="246"/>
        <v>28</v>
      </c>
      <c r="F5302" s="128" t="s">
        <v>24</v>
      </c>
      <c r="G5302" s="128" t="str">
        <f>VLOOKUP(source[[#This Row],[lending_product_transform]],[3]Mapping!$B$4:$C$37,2,0)</f>
        <v>[Cake] - Cashloan</v>
      </c>
      <c r="H5302" s="128" t="str">
        <f>VLOOKUP(source[[#This Row],[lending_product_transform]],[3]Mapping!$B$3:$D$37,3,0)</f>
        <v>cashloan</v>
      </c>
      <c r="I5302" s="135">
        <v>337082779</v>
      </c>
    </row>
    <row r="5303" spans="1:9" x14ac:dyDescent="0.2">
      <c r="A5303" s="134">
        <v>45716</v>
      </c>
      <c r="B5303" s="135">
        <f>YEAR(source[[#This Row],[report_date]])</f>
        <v>2025</v>
      </c>
      <c r="C5303" s="128">
        <f t="shared" si="245"/>
        <v>2</v>
      </c>
      <c r="D5303" s="136">
        <f t="shared" si="244"/>
        <v>9</v>
      </c>
      <c r="E5303" s="136">
        <f t="shared" si="246"/>
        <v>28</v>
      </c>
      <c r="F5303" s="128" t="s">
        <v>24</v>
      </c>
      <c r="G5303" s="128" t="str">
        <f>VLOOKUP(source[[#This Row],[lending_product_transform]],[3]Mapping!$B$4:$C$37,2,0)</f>
        <v>[Cake] - Cashloan</v>
      </c>
      <c r="H5303" s="128" t="str">
        <f>VLOOKUP(source[[#This Row],[lending_product_transform]],[3]Mapping!$B$3:$D$37,3,0)</f>
        <v>cashloan</v>
      </c>
      <c r="I5303" s="135">
        <v>30809847</v>
      </c>
    </row>
    <row r="5304" spans="1:9" x14ac:dyDescent="0.2">
      <c r="A5304" s="134">
        <v>45716</v>
      </c>
      <c r="B5304" s="135">
        <f>YEAR(source[[#This Row],[report_date]])</f>
        <v>2025</v>
      </c>
      <c r="C5304" s="128">
        <f t="shared" si="245"/>
        <v>2</v>
      </c>
      <c r="D5304" s="136">
        <f t="shared" si="244"/>
        <v>9</v>
      </c>
      <c r="E5304" s="136">
        <f t="shared" si="246"/>
        <v>28</v>
      </c>
      <c r="F5304" s="128" t="s">
        <v>24</v>
      </c>
      <c r="G5304" s="128" t="str">
        <f>VLOOKUP(source[[#This Row],[lending_product_transform]],[3]Mapping!$B$4:$C$37,2,0)</f>
        <v>[Cake] - Cashloan</v>
      </c>
      <c r="H5304" s="128" t="str">
        <f>VLOOKUP(source[[#This Row],[lending_product_transform]],[3]Mapping!$B$3:$D$37,3,0)</f>
        <v>cashloan</v>
      </c>
      <c r="I5304" s="135">
        <v>70350000</v>
      </c>
    </row>
    <row r="5305" spans="1:9" x14ac:dyDescent="0.2">
      <c r="A5305" s="134">
        <v>45716</v>
      </c>
      <c r="B5305" s="135">
        <f>YEAR(source[[#This Row],[report_date]])</f>
        <v>2025</v>
      </c>
      <c r="C5305" s="128">
        <f t="shared" si="245"/>
        <v>2</v>
      </c>
      <c r="D5305" s="136">
        <f t="shared" si="244"/>
        <v>9</v>
      </c>
      <c r="E5305" s="136">
        <f t="shared" si="246"/>
        <v>28</v>
      </c>
      <c r="F5305" s="128" t="s">
        <v>24</v>
      </c>
      <c r="G5305" s="128" t="str">
        <f>VLOOKUP(source[[#This Row],[lending_product_transform]],[3]Mapping!$B$4:$C$37,2,0)</f>
        <v>[Cake] - Cashloan</v>
      </c>
      <c r="H5305" s="128" t="str">
        <f>VLOOKUP(source[[#This Row],[lending_product_transform]],[3]Mapping!$B$3:$D$37,3,0)</f>
        <v>cashloan</v>
      </c>
      <c r="I5305" s="135">
        <v>45000000</v>
      </c>
    </row>
    <row r="5306" spans="1:9" x14ac:dyDescent="0.2">
      <c r="A5306" s="134">
        <v>45716</v>
      </c>
      <c r="B5306" s="135">
        <f>YEAR(source[[#This Row],[report_date]])</f>
        <v>2025</v>
      </c>
      <c r="C5306" s="128">
        <f t="shared" si="245"/>
        <v>2</v>
      </c>
      <c r="D5306" s="136">
        <f t="shared" si="244"/>
        <v>9</v>
      </c>
      <c r="E5306" s="136">
        <f t="shared" si="246"/>
        <v>28</v>
      </c>
      <c r="F5306" s="128" t="s">
        <v>24</v>
      </c>
      <c r="G5306" s="128" t="str">
        <f>VLOOKUP(source[[#This Row],[lending_product_transform]],[3]Mapping!$B$4:$C$37,2,0)</f>
        <v>[Cake] - Cashloan</v>
      </c>
      <c r="H5306" s="128" t="str">
        <f>VLOOKUP(source[[#This Row],[lending_product_transform]],[3]Mapping!$B$3:$D$37,3,0)</f>
        <v>cashloan</v>
      </c>
      <c r="I5306" s="135">
        <v>0</v>
      </c>
    </row>
    <row r="5307" spans="1:9" x14ac:dyDescent="0.2">
      <c r="A5307" s="134">
        <v>45716</v>
      </c>
      <c r="B5307" s="135">
        <f>YEAR(source[[#This Row],[report_date]])</f>
        <v>2025</v>
      </c>
      <c r="C5307" s="128">
        <f t="shared" si="245"/>
        <v>2</v>
      </c>
      <c r="D5307" s="136">
        <f t="shared" si="244"/>
        <v>9</v>
      </c>
      <c r="E5307" s="136">
        <f t="shared" si="246"/>
        <v>28</v>
      </c>
      <c r="F5307" s="128" t="s">
        <v>24</v>
      </c>
      <c r="G5307" s="128" t="str">
        <f>VLOOKUP(source[[#This Row],[lending_product_transform]],[3]Mapping!$B$4:$C$37,2,0)</f>
        <v>[Cake] - Cashloan</v>
      </c>
      <c r="H5307" s="128" t="str">
        <f>VLOOKUP(source[[#This Row],[lending_product_transform]],[3]Mapping!$B$3:$D$37,3,0)</f>
        <v>cashloan</v>
      </c>
      <c r="I5307" s="135">
        <v>0</v>
      </c>
    </row>
    <row r="5308" spans="1:9" x14ac:dyDescent="0.2">
      <c r="A5308" s="134">
        <v>45716</v>
      </c>
      <c r="B5308" s="135">
        <f>YEAR(source[[#This Row],[report_date]])</f>
        <v>2025</v>
      </c>
      <c r="C5308" s="128">
        <f t="shared" si="245"/>
        <v>2</v>
      </c>
      <c r="D5308" s="136">
        <f t="shared" si="244"/>
        <v>9</v>
      </c>
      <c r="E5308" s="136">
        <f t="shared" si="246"/>
        <v>28</v>
      </c>
      <c r="F5308" s="128" t="s">
        <v>24</v>
      </c>
      <c r="G5308" s="128" t="str">
        <f>VLOOKUP(source[[#This Row],[lending_product_transform]],[3]Mapping!$B$4:$C$37,2,0)</f>
        <v>[Cake] - Cashloan</v>
      </c>
      <c r="H5308" s="128" t="str">
        <f>VLOOKUP(source[[#This Row],[lending_product_transform]],[3]Mapping!$B$3:$D$37,3,0)</f>
        <v>cashloan</v>
      </c>
      <c r="I5308" s="135">
        <v>21400000</v>
      </c>
    </row>
    <row r="5309" spans="1:9" x14ac:dyDescent="0.2">
      <c r="A5309" s="134">
        <v>45716</v>
      </c>
      <c r="B5309" s="135">
        <f>YEAR(source[[#This Row],[report_date]])</f>
        <v>2025</v>
      </c>
      <c r="C5309" s="128">
        <f t="shared" si="245"/>
        <v>2</v>
      </c>
      <c r="D5309" s="136">
        <f t="shared" si="244"/>
        <v>9</v>
      </c>
      <c r="E5309" s="136">
        <f t="shared" si="246"/>
        <v>28</v>
      </c>
      <c r="F5309" s="128" t="s">
        <v>24</v>
      </c>
      <c r="G5309" s="128" t="str">
        <f>VLOOKUP(source[[#This Row],[lending_product_transform]],[3]Mapping!$B$4:$C$37,2,0)</f>
        <v>[Cake] - Cashloan</v>
      </c>
      <c r="H5309" s="128" t="str">
        <f>VLOOKUP(source[[#This Row],[lending_product_transform]],[3]Mapping!$B$3:$D$37,3,0)</f>
        <v>cashloan</v>
      </c>
      <c r="I5309" s="135">
        <v>0</v>
      </c>
    </row>
    <row r="5310" spans="1:9" x14ac:dyDescent="0.2">
      <c r="A5310" s="134">
        <v>45716</v>
      </c>
      <c r="B5310" s="135">
        <f>YEAR(source[[#This Row],[report_date]])</f>
        <v>2025</v>
      </c>
      <c r="C5310" s="128">
        <f t="shared" si="245"/>
        <v>2</v>
      </c>
      <c r="D5310" s="136">
        <f t="shared" si="244"/>
        <v>9</v>
      </c>
      <c r="E5310" s="136">
        <f t="shared" si="246"/>
        <v>28</v>
      </c>
      <c r="F5310" s="128" t="s">
        <v>24</v>
      </c>
      <c r="G5310" s="128" t="str">
        <f>VLOOKUP(source[[#This Row],[lending_product_transform]],[3]Mapping!$B$4:$C$37,2,0)</f>
        <v>[Cake] - Cashloan</v>
      </c>
      <c r="H5310" s="128" t="str">
        <f>VLOOKUP(source[[#This Row],[lending_product_transform]],[3]Mapping!$B$3:$D$37,3,0)</f>
        <v>cashloan</v>
      </c>
      <c r="I5310" s="135">
        <v>0</v>
      </c>
    </row>
    <row r="5311" spans="1:9" x14ac:dyDescent="0.2">
      <c r="A5311" s="134">
        <v>45716</v>
      </c>
      <c r="B5311" s="135">
        <f>YEAR(source[[#This Row],[report_date]])</f>
        <v>2025</v>
      </c>
      <c r="C5311" s="128">
        <f t="shared" si="245"/>
        <v>2</v>
      </c>
      <c r="D5311" s="136">
        <f t="shared" si="244"/>
        <v>9</v>
      </c>
      <c r="E5311" s="136">
        <f t="shared" si="246"/>
        <v>28</v>
      </c>
      <c r="F5311" s="128" t="s">
        <v>24</v>
      </c>
      <c r="G5311" s="128" t="str">
        <f>VLOOKUP(source[[#This Row],[lending_product_transform]],[3]Mapping!$B$4:$C$37,2,0)</f>
        <v>[Cake] - Cashloan</v>
      </c>
      <c r="H5311" s="128" t="str">
        <f>VLOOKUP(source[[#This Row],[lending_product_transform]],[3]Mapping!$B$3:$D$37,3,0)</f>
        <v>cashloan</v>
      </c>
      <c r="I5311" s="135">
        <v>522720000</v>
      </c>
    </row>
    <row r="5312" spans="1:9" x14ac:dyDescent="0.2">
      <c r="A5312" s="134">
        <v>45716</v>
      </c>
      <c r="B5312" s="135">
        <f>YEAR(source[[#This Row],[report_date]])</f>
        <v>2025</v>
      </c>
      <c r="C5312" s="128">
        <f t="shared" si="245"/>
        <v>2</v>
      </c>
      <c r="D5312" s="136">
        <f t="shared" si="244"/>
        <v>9</v>
      </c>
      <c r="E5312" s="136">
        <f t="shared" si="246"/>
        <v>28</v>
      </c>
      <c r="F5312" s="128" t="s">
        <v>24</v>
      </c>
      <c r="G5312" s="128" t="str">
        <f>VLOOKUP(source[[#This Row],[lending_product_transform]],[3]Mapping!$B$4:$C$37,2,0)</f>
        <v>[Cake] - Cashloan</v>
      </c>
      <c r="H5312" s="128" t="str">
        <f>VLOOKUP(source[[#This Row],[lending_product_transform]],[3]Mapping!$B$3:$D$37,3,0)</f>
        <v>cashloan</v>
      </c>
      <c r="I5312" s="135">
        <v>0</v>
      </c>
    </row>
    <row r="5313" spans="1:9" x14ac:dyDescent="0.2">
      <c r="A5313" s="134">
        <v>45716</v>
      </c>
      <c r="B5313" s="135">
        <f>YEAR(source[[#This Row],[report_date]])</f>
        <v>2025</v>
      </c>
      <c r="C5313" s="128">
        <f t="shared" si="245"/>
        <v>2</v>
      </c>
      <c r="D5313" s="136">
        <f t="shared" si="244"/>
        <v>9</v>
      </c>
      <c r="E5313" s="136">
        <f t="shared" si="246"/>
        <v>28</v>
      </c>
      <c r="F5313" s="128" t="s">
        <v>24</v>
      </c>
      <c r="G5313" s="128" t="str">
        <f>VLOOKUP(source[[#This Row],[lending_product_transform]],[3]Mapping!$B$4:$C$37,2,0)</f>
        <v>[Cake] - Cashloan</v>
      </c>
      <c r="H5313" s="128" t="str">
        <f>VLOOKUP(source[[#This Row],[lending_product_transform]],[3]Mapping!$B$3:$D$37,3,0)</f>
        <v>cashloan</v>
      </c>
      <c r="I5313" s="135">
        <v>610460000</v>
      </c>
    </row>
    <row r="5314" spans="1:9" x14ac:dyDescent="0.2">
      <c r="A5314" s="134">
        <v>45716</v>
      </c>
      <c r="B5314" s="135">
        <f>YEAR(source[[#This Row],[report_date]])</f>
        <v>2025</v>
      </c>
      <c r="C5314" s="128">
        <f t="shared" si="245"/>
        <v>2</v>
      </c>
      <c r="D5314" s="136">
        <f t="shared" si="244"/>
        <v>9</v>
      </c>
      <c r="E5314" s="136">
        <f t="shared" si="246"/>
        <v>28</v>
      </c>
      <c r="F5314" s="128" t="s">
        <v>24</v>
      </c>
      <c r="G5314" s="128" t="str">
        <f>VLOOKUP(source[[#This Row],[lending_product_transform]],[3]Mapping!$B$4:$C$37,2,0)</f>
        <v>[Cake] - Cashloan</v>
      </c>
      <c r="H5314" s="128" t="str">
        <f>VLOOKUP(source[[#This Row],[lending_product_transform]],[3]Mapping!$B$3:$D$37,3,0)</f>
        <v>cashloan</v>
      </c>
      <c r="I5314" s="135">
        <v>316317756</v>
      </c>
    </row>
    <row r="5315" spans="1:9" x14ac:dyDescent="0.2">
      <c r="A5315" s="134">
        <v>45716</v>
      </c>
      <c r="B5315" s="135">
        <f>YEAR(source[[#This Row],[report_date]])</f>
        <v>2025</v>
      </c>
      <c r="C5315" s="128">
        <f t="shared" si="245"/>
        <v>2</v>
      </c>
      <c r="D5315" s="136">
        <f t="shared" ref="D5315:D5378" si="247">WEEKNUM(A5315,2)</f>
        <v>9</v>
      </c>
      <c r="E5315" s="136">
        <f t="shared" si="246"/>
        <v>28</v>
      </c>
      <c r="F5315" s="128" t="s">
        <v>24</v>
      </c>
      <c r="G5315" s="128" t="str">
        <f>VLOOKUP(source[[#This Row],[lending_product_transform]],[3]Mapping!$B$4:$C$37,2,0)</f>
        <v>[Cake] - Cashloan</v>
      </c>
      <c r="H5315" s="128" t="str">
        <f>VLOOKUP(source[[#This Row],[lending_product_transform]],[3]Mapping!$B$3:$D$37,3,0)</f>
        <v>cashloan</v>
      </c>
      <c r="I5315" s="135">
        <v>173746955</v>
      </c>
    </row>
    <row r="5316" spans="1:9" x14ac:dyDescent="0.2">
      <c r="A5316" s="134">
        <v>45716</v>
      </c>
      <c r="B5316" s="135">
        <f>YEAR(source[[#This Row],[report_date]])</f>
        <v>2025</v>
      </c>
      <c r="C5316" s="128">
        <f t="shared" si="245"/>
        <v>2</v>
      </c>
      <c r="D5316" s="136">
        <f t="shared" si="247"/>
        <v>9</v>
      </c>
      <c r="E5316" s="136">
        <f t="shared" si="246"/>
        <v>28</v>
      </c>
      <c r="F5316" s="128" t="s">
        <v>24</v>
      </c>
      <c r="G5316" s="128" t="str">
        <f>VLOOKUP(source[[#This Row],[lending_product_transform]],[3]Mapping!$B$4:$C$37,2,0)</f>
        <v>[Cake] - Cashloan</v>
      </c>
      <c r="H5316" s="128" t="str">
        <f>VLOOKUP(source[[#This Row],[lending_product_transform]],[3]Mapping!$B$3:$D$37,3,0)</f>
        <v>cashloan</v>
      </c>
      <c r="I5316" s="135">
        <v>0</v>
      </c>
    </row>
    <row r="5317" spans="1:9" x14ac:dyDescent="0.2">
      <c r="A5317" s="134">
        <v>45717</v>
      </c>
      <c r="B5317" s="135">
        <f>YEAR(source[[#This Row],[report_date]])</f>
        <v>2025</v>
      </c>
      <c r="C5317" s="128">
        <f t="shared" si="245"/>
        <v>3</v>
      </c>
      <c r="D5317" s="136">
        <f t="shared" si="247"/>
        <v>9</v>
      </c>
      <c r="E5317" s="136">
        <f t="shared" si="246"/>
        <v>1</v>
      </c>
      <c r="F5317" s="128" t="s">
        <v>24</v>
      </c>
      <c r="G5317" s="128" t="str">
        <f>VLOOKUP(source[[#This Row],[lending_product_transform]],[3]Mapping!$B$4:$C$37,2,0)</f>
        <v>[Cake] - Cashloan</v>
      </c>
      <c r="H5317" s="128" t="str">
        <f>VLOOKUP(source[[#This Row],[lending_product_transform]],[3]Mapping!$B$3:$D$37,3,0)</f>
        <v>cashloan</v>
      </c>
      <c r="I5317" s="135">
        <v>5041030000</v>
      </c>
    </row>
    <row r="5318" spans="1:9" x14ac:dyDescent="0.2">
      <c r="A5318" s="134">
        <v>45717</v>
      </c>
      <c r="B5318" s="135">
        <f>YEAR(source[[#This Row],[report_date]])</f>
        <v>2025</v>
      </c>
      <c r="C5318" s="128">
        <f t="shared" si="245"/>
        <v>3</v>
      </c>
      <c r="D5318" s="136">
        <f t="shared" si="247"/>
        <v>9</v>
      </c>
      <c r="E5318" s="136">
        <f t="shared" si="246"/>
        <v>1</v>
      </c>
      <c r="F5318" s="128" t="s">
        <v>24</v>
      </c>
      <c r="G5318" s="128" t="str">
        <f>VLOOKUP(source[[#This Row],[lending_product_transform]],[3]Mapping!$B$4:$C$37,2,0)</f>
        <v>[Cake] - Cashloan</v>
      </c>
      <c r="H5318" s="128" t="str">
        <f>VLOOKUP(source[[#This Row],[lending_product_transform]],[3]Mapping!$B$3:$D$37,3,0)</f>
        <v>cashloan</v>
      </c>
      <c r="I5318" s="135">
        <v>5237116660</v>
      </c>
    </row>
    <row r="5319" spans="1:9" x14ac:dyDescent="0.2">
      <c r="A5319" s="134">
        <v>45717</v>
      </c>
      <c r="B5319" s="135">
        <f>YEAR(source[[#This Row],[report_date]])</f>
        <v>2025</v>
      </c>
      <c r="C5319" s="128">
        <f t="shared" si="245"/>
        <v>3</v>
      </c>
      <c r="D5319" s="136">
        <f t="shared" si="247"/>
        <v>9</v>
      </c>
      <c r="E5319" s="136">
        <f t="shared" si="246"/>
        <v>1</v>
      </c>
      <c r="F5319" s="128" t="s">
        <v>24</v>
      </c>
      <c r="G5319" s="128" t="str">
        <f>VLOOKUP(source[[#This Row],[lending_product_transform]],[3]Mapping!$B$4:$C$37,2,0)</f>
        <v>[Cake] - Cashloan</v>
      </c>
      <c r="H5319" s="128" t="str">
        <f>VLOOKUP(source[[#This Row],[lending_product_transform]],[3]Mapping!$B$3:$D$37,3,0)</f>
        <v>cashloan</v>
      </c>
      <c r="I5319" s="135">
        <v>4961980000</v>
      </c>
    </row>
    <row r="5320" spans="1:9" x14ac:dyDescent="0.2">
      <c r="A5320" s="134">
        <v>45717</v>
      </c>
      <c r="B5320" s="135">
        <f>YEAR(source[[#This Row],[report_date]])</f>
        <v>2025</v>
      </c>
      <c r="C5320" s="128">
        <f t="shared" si="245"/>
        <v>3</v>
      </c>
      <c r="D5320" s="136">
        <f t="shared" si="247"/>
        <v>9</v>
      </c>
      <c r="E5320" s="136">
        <f t="shared" si="246"/>
        <v>1</v>
      </c>
      <c r="F5320" s="128" t="s">
        <v>24</v>
      </c>
      <c r="G5320" s="128" t="str">
        <f>VLOOKUP(source[[#This Row],[lending_product_transform]],[3]Mapping!$B$4:$C$37,2,0)</f>
        <v>[Cake] - Cashloan</v>
      </c>
      <c r="H5320" s="128" t="str">
        <f>VLOOKUP(source[[#This Row],[lending_product_transform]],[3]Mapping!$B$3:$D$37,3,0)</f>
        <v>cashloan</v>
      </c>
      <c r="I5320" s="135">
        <v>23112189</v>
      </c>
    </row>
    <row r="5321" spans="1:9" x14ac:dyDescent="0.2">
      <c r="A5321" s="134">
        <v>45717</v>
      </c>
      <c r="B5321" s="135">
        <f>YEAR(source[[#This Row],[report_date]])</f>
        <v>2025</v>
      </c>
      <c r="C5321" s="128">
        <f t="shared" si="245"/>
        <v>3</v>
      </c>
      <c r="D5321" s="136">
        <f t="shared" si="247"/>
        <v>9</v>
      </c>
      <c r="E5321" s="136">
        <f t="shared" si="246"/>
        <v>1</v>
      </c>
      <c r="F5321" s="128" t="s">
        <v>24</v>
      </c>
      <c r="G5321" s="128" t="str">
        <f>VLOOKUP(source[[#This Row],[lending_product_transform]],[3]Mapping!$B$4:$C$37,2,0)</f>
        <v>[Cake] - Cashloan</v>
      </c>
      <c r="H5321" s="128" t="str">
        <f>VLOOKUP(source[[#This Row],[lending_product_transform]],[3]Mapping!$B$3:$D$37,3,0)</f>
        <v>cashloan</v>
      </c>
      <c r="I5321" s="135">
        <v>0</v>
      </c>
    </row>
    <row r="5322" spans="1:9" x14ac:dyDescent="0.2">
      <c r="A5322" s="134">
        <v>45717</v>
      </c>
      <c r="B5322" s="135">
        <f>YEAR(source[[#This Row],[report_date]])</f>
        <v>2025</v>
      </c>
      <c r="C5322" s="128">
        <f t="shared" si="245"/>
        <v>3</v>
      </c>
      <c r="D5322" s="136">
        <f t="shared" si="247"/>
        <v>9</v>
      </c>
      <c r="E5322" s="136">
        <f t="shared" si="246"/>
        <v>1</v>
      </c>
      <c r="F5322" s="128" t="s">
        <v>24</v>
      </c>
      <c r="G5322" s="128" t="str">
        <f>VLOOKUP(source[[#This Row],[lending_product_transform]],[3]Mapping!$B$4:$C$37,2,0)</f>
        <v>[Cake] - Cashloan</v>
      </c>
      <c r="H5322" s="128" t="str">
        <f>VLOOKUP(source[[#This Row],[lending_product_transform]],[3]Mapping!$B$3:$D$37,3,0)</f>
        <v>cashloan</v>
      </c>
      <c r="I5322" s="135">
        <v>50400000</v>
      </c>
    </row>
    <row r="5323" spans="1:9" x14ac:dyDescent="0.2">
      <c r="A5323" s="134">
        <v>45717</v>
      </c>
      <c r="B5323" s="135">
        <f>YEAR(source[[#This Row],[report_date]])</f>
        <v>2025</v>
      </c>
      <c r="C5323" s="128">
        <f t="shared" si="245"/>
        <v>3</v>
      </c>
      <c r="D5323" s="136">
        <f t="shared" si="247"/>
        <v>9</v>
      </c>
      <c r="E5323" s="136">
        <f t="shared" si="246"/>
        <v>1</v>
      </c>
      <c r="F5323" s="128" t="s">
        <v>24</v>
      </c>
      <c r="G5323" s="128" t="str">
        <f>VLOOKUP(source[[#This Row],[lending_product_transform]],[3]Mapping!$B$4:$C$37,2,0)</f>
        <v>[Cake] - Cashloan</v>
      </c>
      <c r="H5323" s="128" t="str">
        <f>VLOOKUP(source[[#This Row],[lending_product_transform]],[3]Mapping!$B$3:$D$37,3,0)</f>
        <v>cashloan</v>
      </c>
      <c r="I5323" s="135">
        <v>28000000</v>
      </c>
    </row>
    <row r="5324" spans="1:9" x14ac:dyDescent="0.2">
      <c r="A5324" s="134">
        <v>45717</v>
      </c>
      <c r="B5324" s="135">
        <f>YEAR(source[[#This Row],[report_date]])</f>
        <v>2025</v>
      </c>
      <c r="C5324" s="128">
        <f t="shared" si="245"/>
        <v>3</v>
      </c>
      <c r="D5324" s="136">
        <f t="shared" si="247"/>
        <v>9</v>
      </c>
      <c r="E5324" s="136">
        <f t="shared" si="246"/>
        <v>1</v>
      </c>
      <c r="F5324" s="128" t="s">
        <v>24</v>
      </c>
      <c r="G5324" s="128" t="str">
        <f>VLOOKUP(source[[#This Row],[lending_product_transform]],[3]Mapping!$B$4:$C$37,2,0)</f>
        <v>[Cake] - Cashloan</v>
      </c>
      <c r="H5324" s="128" t="str">
        <f>VLOOKUP(source[[#This Row],[lending_product_transform]],[3]Mapping!$B$3:$D$37,3,0)</f>
        <v>cashloan</v>
      </c>
      <c r="I5324" s="135">
        <v>0</v>
      </c>
    </row>
    <row r="5325" spans="1:9" x14ac:dyDescent="0.2">
      <c r="A5325" s="134">
        <v>45717</v>
      </c>
      <c r="B5325" s="135">
        <f>YEAR(source[[#This Row],[report_date]])</f>
        <v>2025</v>
      </c>
      <c r="C5325" s="128">
        <f t="shared" si="245"/>
        <v>3</v>
      </c>
      <c r="D5325" s="136">
        <f t="shared" si="247"/>
        <v>9</v>
      </c>
      <c r="E5325" s="136">
        <f t="shared" si="246"/>
        <v>1</v>
      </c>
      <c r="F5325" s="128" t="s">
        <v>24</v>
      </c>
      <c r="G5325" s="128" t="str">
        <f>VLOOKUP(source[[#This Row],[lending_product_transform]],[3]Mapping!$B$4:$C$37,2,0)</f>
        <v>[Cake] - Cashloan</v>
      </c>
      <c r="H5325" s="128" t="str">
        <f>VLOOKUP(source[[#This Row],[lending_product_transform]],[3]Mapping!$B$3:$D$37,3,0)</f>
        <v>cashloan</v>
      </c>
      <c r="I5325" s="135">
        <v>0</v>
      </c>
    </row>
    <row r="5326" spans="1:9" x14ac:dyDescent="0.2">
      <c r="A5326" s="134">
        <v>45717</v>
      </c>
      <c r="B5326" s="135">
        <f>YEAR(source[[#This Row],[report_date]])</f>
        <v>2025</v>
      </c>
      <c r="C5326" s="128">
        <f t="shared" si="245"/>
        <v>3</v>
      </c>
      <c r="D5326" s="136">
        <f t="shared" si="247"/>
        <v>9</v>
      </c>
      <c r="E5326" s="136">
        <f t="shared" si="246"/>
        <v>1</v>
      </c>
      <c r="F5326" s="128" t="s">
        <v>24</v>
      </c>
      <c r="G5326" s="128" t="str">
        <f>VLOOKUP(source[[#This Row],[lending_product_transform]],[3]Mapping!$B$4:$C$37,2,0)</f>
        <v>[Cake] - Cashloan</v>
      </c>
      <c r="H5326" s="128" t="str">
        <f>VLOOKUP(source[[#This Row],[lending_product_transform]],[3]Mapping!$B$3:$D$37,3,0)</f>
        <v>cashloan</v>
      </c>
      <c r="I5326" s="135">
        <v>0</v>
      </c>
    </row>
    <row r="5327" spans="1:9" x14ac:dyDescent="0.2">
      <c r="A5327" s="134">
        <v>45717</v>
      </c>
      <c r="B5327" s="135">
        <f>YEAR(source[[#This Row],[report_date]])</f>
        <v>2025</v>
      </c>
      <c r="C5327" s="128">
        <f t="shared" si="245"/>
        <v>3</v>
      </c>
      <c r="D5327" s="136">
        <f t="shared" si="247"/>
        <v>9</v>
      </c>
      <c r="E5327" s="136">
        <f t="shared" si="246"/>
        <v>1</v>
      </c>
      <c r="F5327" s="128" t="s">
        <v>24</v>
      </c>
      <c r="G5327" s="128" t="str">
        <f>VLOOKUP(source[[#This Row],[lending_product_transform]],[3]Mapping!$B$4:$C$37,2,0)</f>
        <v>[Cake] - Cashloan</v>
      </c>
      <c r="H5327" s="128" t="str">
        <f>VLOOKUP(source[[#This Row],[lending_product_transform]],[3]Mapping!$B$3:$D$37,3,0)</f>
        <v>cashloan</v>
      </c>
      <c r="I5327" s="135">
        <v>0</v>
      </c>
    </row>
    <row r="5328" spans="1:9" x14ac:dyDescent="0.2">
      <c r="A5328" s="134">
        <v>45717</v>
      </c>
      <c r="B5328" s="135">
        <f>YEAR(source[[#This Row],[report_date]])</f>
        <v>2025</v>
      </c>
      <c r="C5328" s="128">
        <f t="shared" si="245"/>
        <v>3</v>
      </c>
      <c r="D5328" s="136">
        <f t="shared" si="247"/>
        <v>9</v>
      </c>
      <c r="E5328" s="136">
        <f t="shared" si="246"/>
        <v>1</v>
      </c>
      <c r="F5328" s="128" t="s">
        <v>24</v>
      </c>
      <c r="G5328" s="128" t="str">
        <f>VLOOKUP(source[[#This Row],[lending_product_transform]],[3]Mapping!$B$4:$C$37,2,0)</f>
        <v>[Cake] - Cashloan</v>
      </c>
      <c r="H5328" s="128" t="str">
        <f>VLOOKUP(source[[#This Row],[lending_product_transform]],[3]Mapping!$B$3:$D$37,3,0)</f>
        <v>cashloan</v>
      </c>
      <c r="I5328" s="135">
        <v>334470000</v>
      </c>
    </row>
    <row r="5329" spans="1:9" x14ac:dyDescent="0.2">
      <c r="A5329" s="134">
        <v>45717</v>
      </c>
      <c r="B5329" s="135">
        <f>YEAR(source[[#This Row],[report_date]])</f>
        <v>2025</v>
      </c>
      <c r="C5329" s="128">
        <f t="shared" si="245"/>
        <v>3</v>
      </c>
      <c r="D5329" s="136">
        <f t="shared" si="247"/>
        <v>9</v>
      </c>
      <c r="E5329" s="136">
        <f t="shared" si="246"/>
        <v>1</v>
      </c>
      <c r="F5329" s="128" t="s">
        <v>24</v>
      </c>
      <c r="G5329" s="128" t="str">
        <f>VLOOKUP(source[[#This Row],[lending_product_transform]],[3]Mapping!$B$4:$C$37,2,0)</f>
        <v>[Cake] - Cashloan</v>
      </c>
      <c r="H5329" s="128" t="str">
        <f>VLOOKUP(source[[#This Row],[lending_product_transform]],[3]Mapping!$B$3:$D$37,3,0)</f>
        <v>cashloan</v>
      </c>
      <c r="I5329" s="135">
        <v>21000000</v>
      </c>
    </row>
    <row r="5330" spans="1:9" x14ac:dyDescent="0.2">
      <c r="A5330" s="134">
        <v>45717</v>
      </c>
      <c r="B5330" s="135">
        <f>YEAR(source[[#This Row],[report_date]])</f>
        <v>2025</v>
      </c>
      <c r="C5330" s="128">
        <f t="shared" si="245"/>
        <v>3</v>
      </c>
      <c r="D5330" s="136">
        <f t="shared" si="247"/>
        <v>9</v>
      </c>
      <c r="E5330" s="136">
        <f t="shared" si="246"/>
        <v>1</v>
      </c>
      <c r="F5330" s="128" t="s">
        <v>24</v>
      </c>
      <c r="G5330" s="128" t="str">
        <f>VLOOKUP(source[[#This Row],[lending_product_transform]],[3]Mapping!$B$4:$C$37,2,0)</f>
        <v>[Cake] - Cashloan</v>
      </c>
      <c r="H5330" s="128" t="str">
        <f>VLOOKUP(source[[#This Row],[lending_product_transform]],[3]Mapping!$B$3:$D$37,3,0)</f>
        <v>cashloan</v>
      </c>
      <c r="I5330" s="135">
        <v>545620000</v>
      </c>
    </row>
    <row r="5331" spans="1:9" x14ac:dyDescent="0.2">
      <c r="A5331" s="134">
        <v>45717</v>
      </c>
      <c r="B5331" s="135">
        <f>YEAR(source[[#This Row],[report_date]])</f>
        <v>2025</v>
      </c>
      <c r="C5331" s="128">
        <f t="shared" si="245"/>
        <v>3</v>
      </c>
      <c r="D5331" s="136">
        <f t="shared" si="247"/>
        <v>9</v>
      </c>
      <c r="E5331" s="136">
        <f t="shared" si="246"/>
        <v>1</v>
      </c>
      <c r="F5331" s="128" t="s">
        <v>24</v>
      </c>
      <c r="G5331" s="128" t="str">
        <f>VLOOKUP(source[[#This Row],[lending_product_transform]],[3]Mapping!$B$4:$C$37,2,0)</f>
        <v>[Cake] - Cashloan</v>
      </c>
      <c r="H5331" s="128" t="str">
        <f>VLOOKUP(source[[#This Row],[lending_product_transform]],[3]Mapping!$B$3:$D$37,3,0)</f>
        <v>cashloan</v>
      </c>
      <c r="I5331" s="135">
        <v>441180489</v>
      </c>
    </row>
    <row r="5332" spans="1:9" x14ac:dyDescent="0.2">
      <c r="A5332" s="134">
        <v>45717</v>
      </c>
      <c r="B5332" s="135">
        <f>YEAR(source[[#This Row],[report_date]])</f>
        <v>2025</v>
      </c>
      <c r="C5332" s="128">
        <f t="shared" si="245"/>
        <v>3</v>
      </c>
      <c r="D5332" s="136">
        <f t="shared" si="247"/>
        <v>9</v>
      </c>
      <c r="E5332" s="136">
        <f t="shared" si="246"/>
        <v>1</v>
      </c>
      <c r="F5332" s="128" t="s">
        <v>24</v>
      </c>
      <c r="G5332" s="128" t="str">
        <f>VLOOKUP(source[[#This Row],[lending_product_transform]],[3]Mapping!$B$4:$C$37,2,0)</f>
        <v>[Cake] - Cashloan</v>
      </c>
      <c r="H5332" s="128" t="str">
        <f>VLOOKUP(source[[#This Row],[lending_product_transform]],[3]Mapping!$B$3:$D$37,3,0)</f>
        <v>cashloan</v>
      </c>
      <c r="I5332" s="135">
        <v>160339820</v>
      </c>
    </row>
    <row r="5333" spans="1:9" x14ac:dyDescent="0.2">
      <c r="A5333" s="134">
        <v>45717</v>
      </c>
      <c r="B5333" s="135">
        <f>YEAR(source[[#This Row],[report_date]])</f>
        <v>2025</v>
      </c>
      <c r="C5333" s="128">
        <f t="shared" si="245"/>
        <v>3</v>
      </c>
      <c r="D5333" s="136">
        <f t="shared" si="247"/>
        <v>9</v>
      </c>
      <c r="E5333" s="136">
        <f t="shared" si="246"/>
        <v>1</v>
      </c>
      <c r="F5333" s="128" t="s">
        <v>24</v>
      </c>
      <c r="G5333" s="128" t="str">
        <f>VLOOKUP(source[[#This Row],[lending_product_transform]],[3]Mapping!$B$4:$C$37,2,0)</f>
        <v>[Cake] - Cashloan</v>
      </c>
      <c r="H5333" s="128" t="str">
        <f>VLOOKUP(source[[#This Row],[lending_product_transform]],[3]Mapping!$B$3:$D$37,3,0)</f>
        <v>cashloan</v>
      </c>
      <c r="I5333" s="135">
        <v>386775262</v>
      </c>
    </row>
    <row r="5334" spans="1:9" x14ac:dyDescent="0.2">
      <c r="A5334" s="134">
        <v>45717</v>
      </c>
      <c r="B5334" s="135">
        <f>YEAR(source[[#This Row],[report_date]])</f>
        <v>2025</v>
      </c>
      <c r="C5334" s="128">
        <f t="shared" si="245"/>
        <v>3</v>
      </c>
      <c r="D5334" s="136">
        <f t="shared" si="247"/>
        <v>9</v>
      </c>
      <c r="E5334" s="136">
        <f t="shared" si="246"/>
        <v>1</v>
      </c>
      <c r="F5334" s="128" t="s">
        <v>24</v>
      </c>
      <c r="G5334" s="128" t="str">
        <f>VLOOKUP(source[[#This Row],[lending_product_transform]],[3]Mapping!$B$4:$C$37,2,0)</f>
        <v>[Cake] - Cashloan</v>
      </c>
      <c r="H5334" s="128" t="str">
        <f>VLOOKUP(source[[#This Row],[lending_product_transform]],[3]Mapping!$B$3:$D$37,3,0)</f>
        <v>cashloan</v>
      </c>
      <c r="I5334" s="135">
        <v>0</v>
      </c>
    </row>
    <row r="5335" spans="1:9" x14ac:dyDescent="0.2">
      <c r="A5335" s="134">
        <v>45717</v>
      </c>
      <c r="B5335" s="135">
        <f>YEAR(source[[#This Row],[report_date]])</f>
        <v>2025</v>
      </c>
      <c r="C5335" s="128">
        <f t="shared" si="245"/>
        <v>3</v>
      </c>
      <c r="D5335" s="136">
        <f t="shared" si="247"/>
        <v>9</v>
      </c>
      <c r="E5335" s="136">
        <f t="shared" si="246"/>
        <v>1</v>
      </c>
      <c r="F5335" s="128" t="s">
        <v>24</v>
      </c>
      <c r="G5335" s="128" t="str">
        <f>VLOOKUP(source[[#This Row],[lending_product_transform]],[3]Mapping!$B$4:$C$37,2,0)</f>
        <v>[Cake] - Cashloan</v>
      </c>
      <c r="H5335" s="128" t="str">
        <f>VLOOKUP(source[[#This Row],[lending_product_transform]],[3]Mapping!$B$3:$D$37,3,0)</f>
        <v>cashloan</v>
      </c>
      <c r="I5335" s="135">
        <v>4906000000</v>
      </c>
    </row>
    <row r="5336" spans="1:9" x14ac:dyDescent="0.2">
      <c r="A5336" s="134">
        <v>45718</v>
      </c>
      <c r="B5336" s="135">
        <f>YEAR(source[[#This Row],[report_date]])</f>
        <v>2025</v>
      </c>
      <c r="C5336" s="128">
        <f t="shared" si="245"/>
        <v>3</v>
      </c>
      <c r="D5336" s="136">
        <f t="shared" si="247"/>
        <v>9</v>
      </c>
      <c r="E5336" s="136">
        <f t="shared" si="246"/>
        <v>2</v>
      </c>
      <c r="F5336" s="128" t="s">
        <v>24</v>
      </c>
      <c r="G5336" s="128" t="str">
        <f>VLOOKUP(source[[#This Row],[lending_product_transform]],[3]Mapping!$B$4:$C$37,2,0)</f>
        <v>[Cake] - Cashloan</v>
      </c>
      <c r="H5336" s="128" t="str">
        <f>VLOOKUP(source[[#This Row],[lending_product_transform]],[3]Mapping!$B$3:$D$37,3,0)</f>
        <v>cashloan</v>
      </c>
      <c r="I5336" s="135">
        <v>4926549388</v>
      </c>
    </row>
    <row r="5337" spans="1:9" x14ac:dyDescent="0.2">
      <c r="A5337" s="134">
        <v>45718</v>
      </c>
      <c r="B5337" s="135">
        <f>YEAR(source[[#This Row],[report_date]])</f>
        <v>2025</v>
      </c>
      <c r="C5337" s="128">
        <f t="shared" si="245"/>
        <v>3</v>
      </c>
      <c r="D5337" s="136">
        <f t="shared" si="247"/>
        <v>9</v>
      </c>
      <c r="E5337" s="136">
        <f t="shared" si="246"/>
        <v>2</v>
      </c>
      <c r="F5337" s="128" t="s">
        <v>24</v>
      </c>
      <c r="G5337" s="128" t="str">
        <f>VLOOKUP(source[[#This Row],[lending_product_transform]],[3]Mapping!$B$4:$C$37,2,0)</f>
        <v>[Cake] - Cashloan</v>
      </c>
      <c r="H5337" s="128" t="str">
        <f>VLOOKUP(source[[#This Row],[lending_product_transform]],[3]Mapping!$B$3:$D$37,3,0)</f>
        <v>cashloan</v>
      </c>
      <c r="I5337" s="135">
        <v>4492030000</v>
      </c>
    </row>
    <row r="5338" spans="1:9" x14ac:dyDescent="0.2">
      <c r="A5338" s="134">
        <v>45718</v>
      </c>
      <c r="B5338" s="135">
        <f>YEAR(source[[#This Row],[report_date]])</f>
        <v>2025</v>
      </c>
      <c r="C5338" s="128">
        <f t="shared" si="245"/>
        <v>3</v>
      </c>
      <c r="D5338" s="136">
        <f t="shared" si="247"/>
        <v>9</v>
      </c>
      <c r="E5338" s="136">
        <f t="shared" si="246"/>
        <v>2</v>
      </c>
      <c r="F5338" s="128" t="s">
        <v>24</v>
      </c>
      <c r="G5338" s="128" t="str">
        <f>VLOOKUP(source[[#This Row],[lending_product_transform]],[3]Mapping!$B$4:$C$37,2,0)</f>
        <v>[Cake] - Cashloan</v>
      </c>
      <c r="H5338" s="128" t="str">
        <f>VLOOKUP(source[[#This Row],[lending_product_transform]],[3]Mapping!$B$3:$D$37,3,0)</f>
        <v>cashloan</v>
      </c>
      <c r="I5338" s="135">
        <v>399773755</v>
      </c>
    </row>
    <row r="5339" spans="1:9" x14ac:dyDescent="0.2">
      <c r="A5339" s="134">
        <v>45718</v>
      </c>
      <c r="B5339" s="135">
        <f>YEAR(source[[#This Row],[report_date]])</f>
        <v>2025</v>
      </c>
      <c r="C5339" s="128">
        <f t="shared" si="245"/>
        <v>3</v>
      </c>
      <c r="D5339" s="136">
        <f t="shared" si="247"/>
        <v>9</v>
      </c>
      <c r="E5339" s="136">
        <f t="shared" si="246"/>
        <v>2</v>
      </c>
      <c r="F5339" s="128" t="s">
        <v>24</v>
      </c>
      <c r="G5339" s="128" t="str">
        <f>VLOOKUP(source[[#This Row],[lending_product_transform]],[3]Mapping!$B$4:$C$37,2,0)</f>
        <v>[Cake] - Cashloan</v>
      </c>
      <c r="H5339" s="128" t="str">
        <f>VLOOKUP(source[[#This Row],[lending_product_transform]],[3]Mapping!$B$3:$D$37,3,0)</f>
        <v>cashloan</v>
      </c>
      <c r="I5339" s="135">
        <v>5604730000</v>
      </c>
    </row>
    <row r="5340" spans="1:9" x14ac:dyDescent="0.2">
      <c r="A5340" s="134">
        <v>45718</v>
      </c>
      <c r="B5340" s="135">
        <f>YEAR(source[[#This Row],[report_date]])</f>
        <v>2025</v>
      </c>
      <c r="C5340" s="128">
        <f t="shared" si="245"/>
        <v>3</v>
      </c>
      <c r="D5340" s="136">
        <f t="shared" si="247"/>
        <v>9</v>
      </c>
      <c r="E5340" s="136">
        <f t="shared" si="246"/>
        <v>2</v>
      </c>
      <c r="F5340" s="128" t="s">
        <v>24</v>
      </c>
      <c r="G5340" s="128" t="str">
        <f>VLOOKUP(source[[#This Row],[lending_product_transform]],[3]Mapping!$B$4:$C$37,2,0)</f>
        <v>[Cake] - Cashloan</v>
      </c>
      <c r="H5340" s="128" t="str">
        <f>VLOOKUP(source[[#This Row],[lending_product_transform]],[3]Mapping!$B$3:$D$37,3,0)</f>
        <v>cashloan</v>
      </c>
      <c r="I5340" s="135">
        <v>4793500000</v>
      </c>
    </row>
    <row r="5341" spans="1:9" x14ac:dyDescent="0.2">
      <c r="A5341" s="134">
        <v>45718</v>
      </c>
      <c r="B5341" s="135">
        <f>YEAR(source[[#This Row],[report_date]])</f>
        <v>2025</v>
      </c>
      <c r="C5341" s="128">
        <f t="shared" si="245"/>
        <v>3</v>
      </c>
      <c r="D5341" s="136">
        <f t="shared" si="247"/>
        <v>9</v>
      </c>
      <c r="E5341" s="136">
        <f t="shared" si="246"/>
        <v>2</v>
      </c>
      <c r="F5341" s="128" t="s">
        <v>24</v>
      </c>
      <c r="G5341" s="128" t="str">
        <f>VLOOKUP(source[[#This Row],[lending_product_transform]],[3]Mapping!$B$4:$C$37,2,0)</f>
        <v>[Cake] - Cashloan</v>
      </c>
      <c r="H5341" s="128" t="str">
        <f>VLOOKUP(source[[#This Row],[lending_product_transform]],[3]Mapping!$B$3:$D$37,3,0)</f>
        <v>cashloan</v>
      </c>
      <c r="I5341" s="135">
        <v>0</v>
      </c>
    </row>
    <row r="5342" spans="1:9" x14ac:dyDescent="0.2">
      <c r="A5342" s="134">
        <v>45718</v>
      </c>
      <c r="B5342" s="135">
        <f>YEAR(source[[#This Row],[report_date]])</f>
        <v>2025</v>
      </c>
      <c r="C5342" s="128">
        <f t="shared" si="245"/>
        <v>3</v>
      </c>
      <c r="D5342" s="136">
        <f t="shared" si="247"/>
        <v>9</v>
      </c>
      <c r="E5342" s="136">
        <f t="shared" si="246"/>
        <v>2</v>
      </c>
      <c r="F5342" s="128" t="s">
        <v>24</v>
      </c>
      <c r="G5342" s="128" t="str">
        <f>VLOOKUP(source[[#This Row],[lending_product_transform]],[3]Mapping!$B$4:$C$37,2,0)</f>
        <v>[Cake] - Cashloan</v>
      </c>
      <c r="H5342" s="128" t="str">
        <f>VLOOKUP(source[[#This Row],[lending_product_transform]],[3]Mapping!$B$3:$D$37,3,0)</f>
        <v>cashloan</v>
      </c>
      <c r="I5342" s="135">
        <v>167334106</v>
      </c>
    </row>
    <row r="5343" spans="1:9" x14ac:dyDescent="0.2">
      <c r="A5343" s="134">
        <v>45718</v>
      </c>
      <c r="B5343" s="135">
        <f>YEAR(source[[#This Row],[report_date]])</f>
        <v>2025</v>
      </c>
      <c r="C5343" s="128">
        <f t="shared" si="245"/>
        <v>3</v>
      </c>
      <c r="D5343" s="136">
        <f t="shared" si="247"/>
        <v>9</v>
      </c>
      <c r="E5343" s="136">
        <f t="shared" si="246"/>
        <v>2</v>
      </c>
      <c r="F5343" s="128" t="s">
        <v>24</v>
      </c>
      <c r="G5343" s="128" t="str">
        <f>VLOOKUP(source[[#This Row],[lending_product_transform]],[3]Mapping!$B$4:$C$37,2,0)</f>
        <v>[Cake] - Cashloan</v>
      </c>
      <c r="H5343" s="128" t="str">
        <f>VLOOKUP(source[[#This Row],[lending_product_transform]],[3]Mapping!$B$3:$D$37,3,0)</f>
        <v>cashloan</v>
      </c>
      <c r="I5343" s="135">
        <v>0</v>
      </c>
    </row>
    <row r="5344" spans="1:9" x14ac:dyDescent="0.2">
      <c r="A5344" s="134">
        <v>45718</v>
      </c>
      <c r="B5344" s="135">
        <f>YEAR(source[[#This Row],[report_date]])</f>
        <v>2025</v>
      </c>
      <c r="C5344" s="128">
        <f t="shared" si="245"/>
        <v>3</v>
      </c>
      <c r="D5344" s="136">
        <f t="shared" si="247"/>
        <v>9</v>
      </c>
      <c r="E5344" s="136">
        <f t="shared" si="246"/>
        <v>2</v>
      </c>
      <c r="F5344" s="128" t="s">
        <v>24</v>
      </c>
      <c r="G5344" s="128" t="str">
        <f>VLOOKUP(source[[#This Row],[lending_product_transform]],[3]Mapping!$B$4:$C$37,2,0)</f>
        <v>[Cake] - Cashloan</v>
      </c>
      <c r="H5344" s="128" t="str">
        <f>VLOOKUP(source[[#This Row],[lending_product_transform]],[3]Mapping!$B$3:$D$37,3,0)</f>
        <v>cashloan</v>
      </c>
      <c r="I5344" s="135">
        <v>0</v>
      </c>
    </row>
    <row r="5345" spans="1:9" x14ac:dyDescent="0.2">
      <c r="A5345" s="134">
        <v>45718</v>
      </c>
      <c r="B5345" s="135">
        <f>YEAR(source[[#This Row],[report_date]])</f>
        <v>2025</v>
      </c>
      <c r="C5345" s="128">
        <f t="shared" si="245"/>
        <v>3</v>
      </c>
      <c r="D5345" s="136">
        <f t="shared" si="247"/>
        <v>9</v>
      </c>
      <c r="E5345" s="136">
        <f t="shared" si="246"/>
        <v>2</v>
      </c>
      <c r="F5345" s="128" t="s">
        <v>24</v>
      </c>
      <c r="G5345" s="128" t="str">
        <f>VLOOKUP(source[[#This Row],[lending_product_transform]],[3]Mapping!$B$4:$C$37,2,0)</f>
        <v>[Cake] - Cashloan</v>
      </c>
      <c r="H5345" s="128" t="str">
        <f>VLOOKUP(source[[#This Row],[lending_product_transform]],[3]Mapping!$B$3:$D$37,3,0)</f>
        <v>cashloan</v>
      </c>
      <c r="I5345" s="135">
        <v>0</v>
      </c>
    </row>
    <row r="5346" spans="1:9" x14ac:dyDescent="0.2">
      <c r="A5346" s="134">
        <v>45718</v>
      </c>
      <c r="B5346" s="135">
        <f>YEAR(source[[#This Row],[report_date]])</f>
        <v>2025</v>
      </c>
      <c r="C5346" s="128">
        <f t="shared" si="245"/>
        <v>3</v>
      </c>
      <c r="D5346" s="136">
        <f t="shared" si="247"/>
        <v>9</v>
      </c>
      <c r="E5346" s="136">
        <f t="shared" si="246"/>
        <v>2</v>
      </c>
      <c r="F5346" s="128" t="s">
        <v>24</v>
      </c>
      <c r="G5346" s="128" t="str">
        <f>VLOOKUP(source[[#This Row],[lending_product_transform]],[3]Mapping!$B$4:$C$37,2,0)</f>
        <v>[Cake] - Cashloan</v>
      </c>
      <c r="H5346" s="128" t="str">
        <f>VLOOKUP(source[[#This Row],[lending_product_transform]],[3]Mapping!$B$3:$D$37,3,0)</f>
        <v>cashloan</v>
      </c>
      <c r="I5346" s="135">
        <v>44353450</v>
      </c>
    </row>
    <row r="5347" spans="1:9" x14ac:dyDescent="0.2">
      <c r="A5347" s="134">
        <v>45718</v>
      </c>
      <c r="B5347" s="135">
        <f>YEAR(source[[#This Row],[report_date]])</f>
        <v>2025</v>
      </c>
      <c r="C5347" s="128">
        <f t="shared" si="245"/>
        <v>3</v>
      </c>
      <c r="D5347" s="136">
        <f t="shared" si="247"/>
        <v>9</v>
      </c>
      <c r="E5347" s="136">
        <f t="shared" si="246"/>
        <v>2</v>
      </c>
      <c r="F5347" s="128" t="s">
        <v>24</v>
      </c>
      <c r="G5347" s="128" t="str">
        <f>VLOOKUP(source[[#This Row],[lending_product_transform]],[3]Mapping!$B$4:$C$37,2,0)</f>
        <v>[Cake] - Cashloan</v>
      </c>
      <c r="H5347" s="128" t="str">
        <f>VLOOKUP(source[[#This Row],[lending_product_transform]],[3]Mapping!$B$3:$D$37,3,0)</f>
        <v>cashloan</v>
      </c>
      <c r="I5347" s="135">
        <v>73500000</v>
      </c>
    </row>
    <row r="5348" spans="1:9" x14ac:dyDescent="0.2">
      <c r="A5348" s="134">
        <v>45718</v>
      </c>
      <c r="B5348" s="135">
        <f>YEAR(source[[#This Row],[report_date]])</f>
        <v>2025</v>
      </c>
      <c r="C5348" s="128">
        <f t="shared" si="245"/>
        <v>3</v>
      </c>
      <c r="D5348" s="136">
        <f t="shared" si="247"/>
        <v>9</v>
      </c>
      <c r="E5348" s="136">
        <f t="shared" si="246"/>
        <v>2</v>
      </c>
      <c r="F5348" s="128" t="s">
        <v>24</v>
      </c>
      <c r="G5348" s="128" t="str">
        <f>VLOOKUP(source[[#This Row],[lending_product_transform]],[3]Mapping!$B$4:$C$37,2,0)</f>
        <v>[Cake] - Cashloan</v>
      </c>
      <c r="H5348" s="128" t="str">
        <f>VLOOKUP(source[[#This Row],[lending_product_transform]],[3]Mapping!$B$3:$D$37,3,0)</f>
        <v>cashloan</v>
      </c>
      <c r="I5348" s="135">
        <v>43000000</v>
      </c>
    </row>
    <row r="5349" spans="1:9" x14ac:dyDescent="0.2">
      <c r="A5349" s="134">
        <v>45718</v>
      </c>
      <c r="B5349" s="135">
        <f>YEAR(source[[#This Row],[report_date]])</f>
        <v>2025</v>
      </c>
      <c r="C5349" s="128">
        <f t="shared" si="245"/>
        <v>3</v>
      </c>
      <c r="D5349" s="136">
        <f t="shared" si="247"/>
        <v>9</v>
      </c>
      <c r="E5349" s="136">
        <f t="shared" si="246"/>
        <v>2</v>
      </c>
      <c r="F5349" s="128" t="s">
        <v>24</v>
      </c>
      <c r="G5349" s="128" t="str">
        <f>VLOOKUP(source[[#This Row],[lending_product_transform]],[3]Mapping!$B$4:$C$37,2,0)</f>
        <v>[Cake] - Cashloan</v>
      </c>
      <c r="H5349" s="128" t="str">
        <f>VLOOKUP(source[[#This Row],[lending_product_transform]],[3]Mapping!$B$3:$D$37,3,0)</f>
        <v>cashloan</v>
      </c>
      <c r="I5349" s="135">
        <v>0</v>
      </c>
    </row>
    <row r="5350" spans="1:9" x14ac:dyDescent="0.2">
      <c r="A5350" s="134">
        <v>45718</v>
      </c>
      <c r="B5350" s="135">
        <f>YEAR(source[[#This Row],[report_date]])</f>
        <v>2025</v>
      </c>
      <c r="C5350" s="128">
        <f t="shared" si="245"/>
        <v>3</v>
      </c>
      <c r="D5350" s="136">
        <f t="shared" si="247"/>
        <v>9</v>
      </c>
      <c r="E5350" s="136">
        <f t="shared" si="246"/>
        <v>2</v>
      </c>
      <c r="F5350" s="128" t="s">
        <v>24</v>
      </c>
      <c r="G5350" s="128" t="str">
        <f>VLOOKUP(source[[#This Row],[lending_product_transform]],[3]Mapping!$B$4:$C$37,2,0)</f>
        <v>[Cake] - Cashloan</v>
      </c>
      <c r="H5350" s="128" t="str">
        <f>VLOOKUP(source[[#This Row],[lending_product_transform]],[3]Mapping!$B$3:$D$37,3,0)</f>
        <v>cashloan</v>
      </c>
      <c r="I5350" s="135">
        <v>0</v>
      </c>
    </row>
    <row r="5351" spans="1:9" x14ac:dyDescent="0.2">
      <c r="A5351" s="134">
        <v>45718</v>
      </c>
      <c r="B5351" s="135">
        <f>YEAR(source[[#This Row],[report_date]])</f>
        <v>2025</v>
      </c>
      <c r="C5351" s="128">
        <f t="shared" si="245"/>
        <v>3</v>
      </c>
      <c r="D5351" s="136">
        <f t="shared" si="247"/>
        <v>9</v>
      </c>
      <c r="E5351" s="136">
        <f t="shared" si="246"/>
        <v>2</v>
      </c>
      <c r="F5351" s="128" t="s">
        <v>24</v>
      </c>
      <c r="G5351" s="128" t="str">
        <f>VLOOKUP(source[[#This Row],[lending_product_transform]],[3]Mapping!$B$4:$C$37,2,0)</f>
        <v>[Cake] - Cashloan</v>
      </c>
      <c r="H5351" s="128" t="str">
        <f>VLOOKUP(source[[#This Row],[lending_product_transform]],[3]Mapping!$B$3:$D$37,3,0)</f>
        <v>cashloan</v>
      </c>
      <c r="I5351" s="135">
        <v>229340000</v>
      </c>
    </row>
    <row r="5352" spans="1:9" x14ac:dyDescent="0.2">
      <c r="A5352" s="134">
        <v>45718</v>
      </c>
      <c r="B5352" s="135">
        <f>YEAR(source[[#This Row],[report_date]])</f>
        <v>2025</v>
      </c>
      <c r="C5352" s="128">
        <f t="shared" si="245"/>
        <v>3</v>
      </c>
      <c r="D5352" s="136">
        <f t="shared" si="247"/>
        <v>9</v>
      </c>
      <c r="E5352" s="136">
        <f t="shared" si="246"/>
        <v>2</v>
      </c>
      <c r="F5352" s="128" t="s">
        <v>24</v>
      </c>
      <c r="G5352" s="128" t="str">
        <f>VLOOKUP(source[[#This Row],[lending_product_transform]],[3]Mapping!$B$4:$C$37,2,0)</f>
        <v>[Cake] - Cashloan</v>
      </c>
      <c r="H5352" s="128" t="str">
        <f>VLOOKUP(source[[#This Row],[lending_product_transform]],[3]Mapping!$B$3:$D$37,3,0)</f>
        <v>cashloan</v>
      </c>
      <c r="I5352" s="135">
        <v>0</v>
      </c>
    </row>
    <row r="5353" spans="1:9" x14ac:dyDescent="0.2">
      <c r="A5353" s="134">
        <v>45718</v>
      </c>
      <c r="B5353" s="135">
        <f>YEAR(source[[#This Row],[report_date]])</f>
        <v>2025</v>
      </c>
      <c r="C5353" s="128">
        <f t="shared" si="245"/>
        <v>3</v>
      </c>
      <c r="D5353" s="136">
        <f t="shared" si="247"/>
        <v>9</v>
      </c>
      <c r="E5353" s="136">
        <f t="shared" si="246"/>
        <v>2</v>
      </c>
      <c r="F5353" s="128" t="s">
        <v>24</v>
      </c>
      <c r="G5353" s="128" t="str">
        <f>VLOOKUP(source[[#This Row],[lending_product_transform]],[3]Mapping!$B$4:$C$37,2,0)</f>
        <v>[Cake] - Cashloan</v>
      </c>
      <c r="H5353" s="128" t="str">
        <f>VLOOKUP(source[[#This Row],[lending_product_transform]],[3]Mapping!$B$3:$D$37,3,0)</f>
        <v>cashloan</v>
      </c>
      <c r="I5353" s="135">
        <v>469950000</v>
      </c>
    </row>
    <row r="5354" spans="1:9" x14ac:dyDescent="0.2">
      <c r="A5354" s="134">
        <v>45718</v>
      </c>
      <c r="B5354" s="135">
        <f>YEAR(source[[#This Row],[report_date]])</f>
        <v>2025</v>
      </c>
      <c r="C5354" s="128">
        <f t="shared" si="245"/>
        <v>3</v>
      </c>
      <c r="D5354" s="136">
        <f t="shared" si="247"/>
        <v>9</v>
      </c>
      <c r="E5354" s="136">
        <f t="shared" si="246"/>
        <v>2</v>
      </c>
      <c r="F5354" s="128" t="s">
        <v>24</v>
      </c>
      <c r="G5354" s="128" t="str">
        <f>VLOOKUP(source[[#This Row],[lending_product_transform]],[3]Mapping!$B$4:$C$37,2,0)</f>
        <v>[Cake] - Cashloan</v>
      </c>
      <c r="H5354" s="128" t="str">
        <f>VLOOKUP(source[[#This Row],[lending_product_transform]],[3]Mapping!$B$3:$D$37,3,0)</f>
        <v>cashloan</v>
      </c>
      <c r="I5354" s="135">
        <v>521513878</v>
      </c>
    </row>
    <row r="5355" spans="1:9" x14ac:dyDescent="0.2">
      <c r="A5355" s="134">
        <v>45719</v>
      </c>
      <c r="B5355" s="135">
        <f>YEAR(source[[#This Row],[report_date]])</f>
        <v>2025</v>
      </c>
      <c r="C5355" s="128">
        <f t="shared" si="245"/>
        <v>3</v>
      </c>
      <c r="D5355" s="136">
        <f t="shared" si="247"/>
        <v>10</v>
      </c>
      <c r="E5355" s="136">
        <f t="shared" si="246"/>
        <v>3</v>
      </c>
      <c r="F5355" s="128" t="s">
        <v>24</v>
      </c>
      <c r="G5355" s="128" t="str">
        <f>VLOOKUP(source[[#This Row],[lending_product_transform]],[3]Mapping!$B$4:$C$37,2,0)</f>
        <v>[Cake] - Cashloan</v>
      </c>
      <c r="H5355" s="128" t="str">
        <f>VLOOKUP(source[[#This Row],[lending_product_transform]],[3]Mapping!$B$3:$D$37,3,0)</f>
        <v>cashloan</v>
      </c>
      <c r="I5355" s="135">
        <v>6928460000</v>
      </c>
    </row>
    <row r="5356" spans="1:9" x14ac:dyDescent="0.2">
      <c r="A5356" s="134">
        <v>45719</v>
      </c>
      <c r="B5356" s="135">
        <f>YEAR(source[[#This Row],[report_date]])</f>
        <v>2025</v>
      </c>
      <c r="C5356" s="128">
        <f t="shared" si="245"/>
        <v>3</v>
      </c>
      <c r="D5356" s="136">
        <f t="shared" si="247"/>
        <v>10</v>
      </c>
      <c r="E5356" s="136">
        <f t="shared" si="246"/>
        <v>3</v>
      </c>
      <c r="F5356" s="128" t="s">
        <v>24</v>
      </c>
      <c r="G5356" s="128" t="str">
        <f>VLOOKUP(source[[#This Row],[lending_product_transform]],[3]Mapping!$B$4:$C$37,2,0)</f>
        <v>[Cake] - Cashloan</v>
      </c>
      <c r="H5356" s="128" t="str">
        <f>VLOOKUP(source[[#This Row],[lending_product_transform]],[3]Mapping!$B$3:$D$37,3,0)</f>
        <v>cashloan</v>
      </c>
      <c r="I5356" s="135">
        <v>0</v>
      </c>
    </row>
    <row r="5357" spans="1:9" x14ac:dyDescent="0.2">
      <c r="A5357" s="134">
        <v>45719</v>
      </c>
      <c r="B5357" s="135">
        <f>YEAR(source[[#This Row],[report_date]])</f>
        <v>2025</v>
      </c>
      <c r="C5357" s="128">
        <f t="shared" si="245"/>
        <v>3</v>
      </c>
      <c r="D5357" s="136">
        <f t="shared" si="247"/>
        <v>10</v>
      </c>
      <c r="E5357" s="136">
        <f t="shared" si="246"/>
        <v>3</v>
      </c>
      <c r="F5357" s="128" t="s">
        <v>24</v>
      </c>
      <c r="G5357" s="128" t="str">
        <f>VLOOKUP(source[[#This Row],[lending_product_transform]],[3]Mapping!$B$4:$C$37,2,0)</f>
        <v>[Cake] - Cashloan</v>
      </c>
      <c r="H5357" s="128" t="str">
        <f>VLOOKUP(source[[#This Row],[lending_product_transform]],[3]Mapping!$B$3:$D$37,3,0)</f>
        <v>cashloan</v>
      </c>
      <c r="I5357" s="135">
        <v>0</v>
      </c>
    </row>
    <row r="5358" spans="1:9" x14ac:dyDescent="0.2">
      <c r="A5358" s="134">
        <v>45719</v>
      </c>
      <c r="B5358" s="135">
        <f>YEAR(source[[#This Row],[report_date]])</f>
        <v>2025</v>
      </c>
      <c r="C5358" s="128">
        <f t="shared" si="245"/>
        <v>3</v>
      </c>
      <c r="D5358" s="136">
        <f t="shared" si="247"/>
        <v>10</v>
      </c>
      <c r="E5358" s="136">
        <f t="shared" si="246"/>
        <v>3</v>
      </c>
      <c r="F5358" s="128" t="s">
        <v>24</v>
      </c>
      <c r="G5358" s="128" t="str">
        <f>VLOOKUP(source[[#This Row],[lending_product_transform]],[3]Mapping!$B$4:$C$37,2,0)</f>
        <v>[Cake] - Cashloan</v>
      </c>
      <c r="H5358" s="128" t="str">
        <f>VLOOKUP(source[[#This Row],[lending_product_transform]],[3]Mapping!$B$3:$D$37,3,0)</f>
        <v>cashloan</v>
      </c>
      <c r="I5358" s="135">
        <v>767170000</v>
      </c>
    </row>
    <row r="5359" spans="1:9" x14ac:dyDescent="0.2">
      <c r="A5359" s="134">
        <v>45719</v>
      </c>
      <c r="B5359" s="135">
        <f>YEAR(source[[#This Row],[report_date]])</f>
        <v>2025</v>
      </c>
      <c r="C5359" s="128">
        <f t="shared" si="245"/>
        <v>3</v>
      </c>
      <c r="D5359" s="136">
        <f t="shared" si="247"/>
        <v>10</v>
      </c>
      <c r="E5359" s="136">
        <f t="shared" si="246"/>
        <v>3</v>
      </c>
      <c r="F5359" s="128" t="s">
        <v>24</v>
      </c>
      <c r="G5359" s="128" t="str">
        <f>VLOOKUP(source[[#This Row],[lending_product_transform]],[3]Mapping!$B$4:$C$37,2,0)</f>
        <v>[Cake] - Cashloan</v>
      </c>
      <c r="H5359" s="128" t="str">
        <f>VLOOKUP(source[[#This Row],[lending_product_transform]],[3]Mapping!$B$3:$D$37,3,0)</f>
        <v>cashloan</v>
      </c>
      <c r="I5359" s="135">
        <v>46450014</v>
      </c>
    </row>
    <row r="5360" spans="1:9" x14ac:dyDescent="0.2">
      <c r="A5360" s="134">
        <v>45719</v>
      </c>
      <c r="B5360" s="135">
        <f>YEAR(source[[#This Row],[report_date]])</f>
        <v>2025</v>
      </c>
      <c r="C5360" s="128">
        <f t="shared" si="245"/>
        <v>3</v>
      </c>
      <c r="D5360" s="136">
        <f t="shared" si="247"/>
        <v>10</v>
      </c>
      <c r="E5360" s="136">
        <f t="shared" si="246"/>
        <v>3</v>
      </c>
      <c r="F5360" s="128" t="s">
        <v>24</v>
      </c>
      <c r="G5360" s="128" t="str">
        <f>VLOOKUP(source[[#This Row],[lending_product_transform]],[3]Mapping!$B$4:$C$37,2,0)</f>
        <v>[Cake] - Cashloan</v>
      </c>
      <c r="H5360" s="128" t="str">
        <f>VLOOKUP(source[[#This Row],[lending_product_transform]],[3]Mapping!$B$3:$D$37,3,0)</f>
        <v>cashloan</v>
      </c>
      <c r="I5360" s="135">
        <v>26250000</v>
      </c>
    </row>
    <row r="5361" spans="1:9" x14ac:dyDescent="0.2">
      <c r="A5361" s="134">
        <v>45719</v>
      </c>
      <c r="B5361" s="135">
        <f>YEAR(source[[#This Row],[report_date]])</f>
        <v>2025</v>
      </c>
      <c r="C5361" s="128">
        <f t="shared" si="245"/>
        <v>3</v>
      </c>
      <c r="D5361" s="136">
        <f t="shared" si="247"/>
        <v>10</v>
      </c>
      <c r="E5361" s="136">
        <f t="shared" si="246"/>
        <v>3</v>
      </c>
      <c r="F5361" s="128" t="s">
        <v>24</v>
      </c>
      <c r="G5361" s="128" t="str">
        <f>VLOOKUP(source[[#This Row],[lending_product_transform]],[3]Mapping!$B$4:$C$37,2,0)</f>
        <v>[Cake] - Cashloan</v>
      </c>
      <c r="H5361" s="128" t="str">
        <f>VLOOKUP(source[[#This Row],[lending_product_transform]],[3]Mapping!$B$3:$D$37,3,0)</f>
        <v>cashloan</v>
      </c>
      <c r="I5361" s="135">
        <v>655139054</v>
      </c>
    </row>
    <row r="5362" spans="1:9" x14ac:dyDescent="0.2">
      <c r="A5362" s="134">
        <v>45719</v>
      </c>
      <c r="B5362" s="135">
        <f>YEAR(source[[#This Row],[report_date]])</f>
        <v>2025</v>
      </c>
      <c r="C5362" s="128">
        <f t="shared" ref="C5362:C5425" si="248">MONTH(A5362)</f>
        <v>3</v>
      </c>
      <c r="D5362" s="136">
        <f t="shared" si="247"/>
        <v>10</v>
      </c>
      <c r="E5362" s="136">
        <f t="shared" ref="E5362:E5425" si="249">DAY(A5362)</f>
        <v>3</v>
      </c>
      <c r="F5362" s="128" t="s">
        <v>24</v>
      </c>
      <c r="G5362" s="128" t="str">
        <f>VLOOKUP(source[[#This Row],[lending_product_transform]],[3]Mapping!$B$4:$C$37,2,0)</f>
        <v>[Cake] - Cashloan</v>
      </c>
      <c r="H5362" s="128" t="str">
        <f>VLOOKUP(source[[#This Row],[lending_product_transform]],[3]Mapping!$B$3:$D$37,3,0)</f>
        <v>cashloan</v>
      </c>
      <c r="I5362" s="135">
        <v>39000000</v>
      </c>
    </row>
    <row r="5363" spans="1:9" x14ac:dyDescent="0.2">
      <c r="A5363" s="134">
        <v>45719</v>
      </c>
      <c r="B5363" s="135">
        <f>YEAR(source[[#This Row],[report_date]])</f>
        <v>2025</v>
      </c>
      <c r="C5363" s="128">
        <f t="shared" si="248"/>
        <v>3</v>
      </c>
      <c r="D5363" s="136">
        <f t="shared" si="247"/>
        <v>10</v>
      </c>
      <c r="E5363" s="136">
        <f t="shared" si="249"/>
        <v>3</v>
      </c>
      <c r="F5363" s="128" t="s">
        <v>24</v>
      </c>
      <c r="G5363" s="128" t="str">
        <f>VLOOKUP(source[[#This Row],[lending_product_transform]],[3]Mapping!$B$4:$C$37,2,0)</f>
        <v>[Cake] - Cashloan</v>
      </c>
      <c r="H5363" s="128" t="str">
        <f>VLOOKUP(source[[#This Row],[lending_product_transform]],[3]Mapping!$B$3:$D$37,3,0)</f>
        <v>cashloan</v>
      </c>
      <c r="I5363" s="135">
        <v>0</v>
      </c>
    </row>
    <row r="5364" spans="1:9" x14ac:dyDescent="0.2">
      <c r="A5364" s="134">
        <v>45719</v>
      </c>
      <c r="B5364" s="135">
        <f>YEAR(source[[#This Row],[report_date]])</f>
        <v>2025</v>
      </c>
      <c r="C5364" s="128">
        <f t="shared" si="248"/>
        <v>3</v>
      </c>
      <c r="D5364" s="136">
        <f t="shared" si="247"/>
        <v>10</v>
      </c>
      <c r="E5364" s="136">
        <f t="shared" si="249"/>
        <v>3</v>
      </c>
      <c r="F5364" s="128" t="s">
        <v>24</v>
      </c>
      <c r="G5364" s="128" t="str">
        <f>VLOOKUP(source[[#This Row],[lending_product_transform]],[3]Mapping!$B$4:$C$37,2,0)</f>
        <v>[Cake] - Cashloan</v>
      </c>
      <c r="H5364" s="128" t="str">
        <f>VLOOKUP(source[[#This Row],[lending_product_transform]],[3]Mapping!$B$3:$D$37,3,0)</f>
        <v>cashloan</v>
      </c>
      <c r="I5364" s="135">
        <v>0</v>
      </c>
    </row>
    <row r="5365" spans="1:9" x14ac:dyDescent="0.2">
      <c r="A5365" s="134">
        <v>45719</v>
      </c>
      <c r="B5365" s="135">
        <f>YEAR(source[[#This Row],[report_date]])</f>
        <v>2025</v>
      </c>
      <c r="C5365" s="128">
        <f t="shared" si="248"/>
        <v>3</v>
      </c>
      <c r="D5365" s="136">
        <f t="shared" si="247"/>
        <v>10</v>
      </c>
      <c r="E5365" s="136">
        <f t="shared" si="249"/>
        <v>3</v>
      </c>
      <c r="F5365" s="128" t="s">
        <v>24</v>
      </c>
      <c r="G5365" s="128" t="str">
        <f>VLOOKUP(source[[#This Row],[lending_product_transform]],[3]Mapping!$B$4:$C$37,2,0)</f>
        <v>[Cake] - Cashloan</v>
      </c>
      <c r="H5365" s="128" t="str">
        <f>VLOOKUP(source[[#This Row],[lending_product_transform]],[3]Mapping!$B$3:$D$37,3,0)</f>
        <v>cashloan</v>
      </c>
      <c r="I5365" s="135">
        <v>0</v>
      </c>
    </row>
    <row r="5366" spans="1:9" x14ac:dyDescent="0.2">
      <c r="A5366" s="134">
        <v>45719</v>
      </c>
      <c r="B5366" s="135">
        <f>YEAR(source[[#This Row],[report_date]])</f>
        <v>2025</v>
      </c>
      <c r="C5366" s="128">
        <f t="shared" si="248"/>
        <v>3</v>
      </c>
      <c r="D5366" s="136">
        <f t="shared" si="247"/>
        <v>10</v>
      </c>
      <c r="E5366" s="136">
        <f t="shared" si="249"/>
        <v>3</v>
      </c>
      <c r="F5366" s="128" t="s">
        <v>24</v>
      </c>
      <c r="G5366" s="128" t="str">
        <f>VLOOKUP(source[[#This Row],[lending_product_transform]],[3]Mapping!$B$4:$C$37,2,0)</f>
        <v>[Cake] - Cashloan</v>
      </c>
      <c r="H5366" s="128" t="str">
        <f>VLOOKUP(source[[#This Row],[lending_product_transform]],[3]Mapping!$B$3:$D$37,3,0)</f>
        <v>cashloan</v>
      </c>
      <c r="I5366" s="135">
        <v>0</v>
      </c>
    </row>
    <row r="5367" spans="1:9" x14ac:dyDescent="0.2">
      <c r="A5367" s="134">
        <v>45719</v>
      </c>
      <c r="B5367" s="135">
        <f>YEAR(source[[#This Row],[report_date]])</f>
        <v>2025</v>
      </c>
      <c r="C5367" s="128">
        <f t="shared" si="248"/>
        <v>3</v>
      </c>
      <c r="D5367" s="136">
        <f t="shared" si="247"/>
        <v>10</v>
      </c>
      <c r="E5367" s="136">
        <f t="shared" si="249"/>
        <v>3</v>
      </c>
      <c r="F5367" s="128" t="s">
        <v>24</v>
      </c>
      <c r="G5367" s="128" t="str">
        <f>VLOOKUP(source[[#This Row],[lending_product_transform]],[3]Mapping!$B$4:$C$37,2,0)</f>
        <v>[Cake] - Cashloan</v>
      </c>
      <c r="H5367" s="128" t="str">
        <f>VLOOKUP(source[[#This Row],[lending_product_transform]],[3]Mapping!$B$3:$D$37,3,0)</f>
        <v>cashloan</v>
      </c>
      <c r="I5367" s="135">
        <v>430440000</v>
      </c>
    </row>
    <row r="5368" spans="1:9" x14ac:dyDescent="0.2">
      <c r="A5368" s="134">
        <v>45719</v>
      </c>
      <c r="B5368" s="135">
        <f>YEAR(source[[#This Row],[report_date]])</f>
        <v>2025</v>
      </c>
      <c r="C5368" s="128">
        <f t="shared" si="248"/>
        <v>3</v>
      </c>
      <c r="D5368" s="136">
        <f t="shared" si="247"/>
        <v>10</v>
      </c>
      <c r="E5368" s="136">
        <f t="shared" si="249"/>
        <v>3</v>
      </c>
      <c r="F5368" s="128" t="s">
        <v>24</v>
      </c>
      <c r="G5368" s="128" t="str">
        <f>VLOOKUP(source[[#This Row],[lending_product_transform]],[3]Mapping!$B$4:$C$37,2,0)</f>
        <v>[Cake] - Cashloan</v>
      </c>
      <c r="H5368" s="128" t="str">
        <f>VLOOKUP(source[[#This Row],[lending_product_transform]],[3]Mapping!$B$3:$D$37,3,0)</f>
        <v>cashloan</v>
      </c>
      <c r="I5368" s="135">
        <v>5196000000</v>
      </c>
    </row>
    <row r="5369" spans="1:9" x14ac:dyDescent="0.2">
      <c r="A5369" s="134">
        <v>45719</v>
      </c>
      <c r="B5369" s="135">
        <f>YEAR(source[[#This Row],[report_date]])</f>
        <v>2025</v>
      </c>
      <c r="C5369" s="128">
        <f t="shared" si="248"/>
        <v>3</v>
      </c>
      <c r="D5369" s="136">
        <f t="shared" si="247"/>
        <v>10</v>
      </c>
      <c r="E5369" s="136">
        <f t="shared" si="249"/>
        <v>3</v>
      </c>
      <c r="F5369" s="128" t="s">
        <v>24</v>
      </c>
      <c r="G5369" s="128" t="str">
        <f>VLOOKUP(source[[#This Row],[lending_product_transform]],[3]Mapping!$B$4:$C$37,2,0)</f>
        <v>[Cake] - Cashloan</v>
      </c>
      <c r="H5369" s="128" t="str">
        <f>VLOOKUP(source[[#This Row],[lending_product_transform]],[3]Mapping!$B$3:$D$37,3,0)</f>
        <v>cashloan</v>
      </c>
      <c r="I5369" s="135">
        <v>169032915</v>
      </c>
    </row>
    <row r="5370" spans="1:9" x14ac:dyDescent="0.2">
      <c r="A5370" s="134">
        <v>45719</v>
      </c>
      <c r="B5370" s="135">
        <f>YEAR(source[[#This Row],[report_date]])</f>
        <v>2025</v>
      </c>
      <c r="C5370" s="128">
        <f t="shared" si="248"/>
        <v>3</v>
      </c>
      <c r="D5370" s="136">
        <f t="shared" si="247"/>
        <v>10</v>
      </c>
      <c r="E5370" s="136">
        <f t="shared" si="249"/>
        <v>3</v>
      </c>
      <c r="F5370" s="128" t="s">
        <v>24</v>
      </c>
      <c r="G5370" s="128" t="str">
        <f>VLOOKUP(source[[#This Row],[lending_product_transform]],[3]Mapping!$B$4:$C$37,2,0)</f>
        <v>[Cake] - Cashloan</v>
      </c>
      <c r="H5370" s="128" t="str">
        <f>VLOOKUP(source[[#This Row],[lending_product_transform]],[3]Mapping!$B$3:$D$37,3,0)</f>
        <v>cashloan</v>
      </c>
      <c r="I5370" s="135">
        <v>0</v>
      </c>
    </row>
    <row r="5371" spans="1:9" x14ac:dyDescent="0.2">
      <c r="A5371" s="134">
        <v>45719</v>
      </c>
      <c r="B5371" s="135">
        <f>YEAR(source[[#This Row],[report_date]])</f>
        <v>2025</v>
      </c>
      <c r="C5371" s="128">
        <f t="shared" si="248"/>
        <v>3</v>
      </c>
      <c r="D5371" s="136">
        <f t="shared" si="247"/>
        <v>10</v>
      </c>
      <c r="E5371" s="136">
        <f t="shared" si="249"/>
        <v>3</v>
      </c>
      <c r="F5371" s="128" t="s">
        <v>24</v>
      </c>
      <c r="G5371" s="128" t="str">
        <f>VLOOKUP(source[[#This Row],[lending_product_transform]],[3]Mapping!$B$4:$C$37,2,0)</f>
        <v>[Cake] - Cashloan</v>
      </c>
      <c r="H5371" s="128" t="str">
        <f>VLOOKUP(source[[#This Row],[lending_product_transform]],[3]Mapping!$B$3:$D$37,3,0)</f>
        <v>cashloan</v>
      </c>
      <c r="I5371" s="135">
        <v>457868113</v>
      </c>
    </row>
    <row r="5372" spans="1:9" x14ac:dyDescent="0.2">
      <c r="A5372" s="134">
        <v>45719</v>
      </c>
      <c r="B5372" s="135">
        <f>YEAR(source[[#This Row],[report_date]])</f>
        <v>2025</v>
      </c>
      <c r="C5372" s="128">
        <f t="shared" si="248"/>
        <v>3</v>
      </c>
      <c r="D5372" s="136">
        <f t="shared" si="247"/>
        <v>10</v>
      </c>
      <c r="E5372" s="136">
        <f t="shared" si="249"/>
        <v>3</v>
      </c>
      <c r="F5372" s="128" t="s">
        <v>24</v>
      </c>
      <c r="G5372" s="128" t="str">
        <f>VLOOKUP(source[[#This Row],[lending_product_transform]],[3]Mapping!$B$4:$C$37,2,0)</f>
        <v>[Cake] - Cashloan</v>
      </c>
      <c r="H5372" s="128" t="str">
        <f>VLOOKUP(source[[#This Row],[lending_product_transform]],[3]Mapping!$B$3:$D$37,3,0)</f>
        <v>cashloan</v>
      </c>
      <c r="I5372" s="135">
        <v>4575578892</v>
      </c>
    </row>
    <row r="5373" spans="1:9" x14ac:dyDescent="0.2">
      <c r="A5373" s="134">
        <v>45719</v>
      </c>
      <c r="B5373" s="135">
        <f>YEAR(source[[#This Row],[report_date]])</f>
        <v>2025</v>
      </c>
      <c r="C5373" s="128">
        <f t="shared" si="248"/>
        <v>3</v>
      </c>
      <c r="D5373" s="136">
        <f t="shared" si="247"/>
        <v>10</v>
      </c>
      <c r="E5373" s="136">
        <f t="shared" si="249"/>
        <v>3</v>
      </c>
      <c r="F5373" s="128" t="s">
        <v>24</v>
      </c>
      <c r="G5373" s="128" t="str">
        <f>VLOOKUP(source[[#This Row],[lending_product_transform]],[3]Mapping!$B$4:$C$37,2,0)</f>
        <v>[Cake] - Cashloan</v>
      </c>
      <c r="H5373" s="128" t="str">
        <f>VLOOKUP(source[[#This Row],[lending_product_transform]],[3]Mapping!$B$3:$D$37,3,0)</f>
        <v>cashloan</v>
      </c>
      <c r="I5373" s="135">
        <v>5072870000</v>
      </c>
    </row>
    <row r="5374" spans="1:9" x14ac:dyDescent="0.2">
      <c r="A5374" s="134">
        <v>45720</v>
      </c>
      <c r="B5374" s="135">
        <f>YEAR(source[[#This Row],[report_date]])</f>
        <v>2025</v>
      </c>
      <c r="C5374" s="128">
        <f t="shared" si="248"/>
        <v>3</v>
      </c>
      <c r="D5374" s="136">
        <f t="shared" si="247"/>
        <v>10</v>
      </c>
      <c r="E5374" s="136">
        <f t="shared" si="249"/>
        <v>4</v>
      </c>
      <c r="F5374" s="128" t="s">
        <v>24</v>
      </c>
      <c r="G5374" s="128" t="str">
        <f>VLOOKUP(source[[#This Row],[lending_product_transform]],[3]Mapping!$B$4:$C$37,2,0)</f>
        <v>[Cake] - Cashloan</v>
      </c>
      <c r="H5374" s="128" t="str">
        <f>VLOOKUP(source[[#This Row],[lending_product_transform]],[3]Mapping!$B$3:$D$37,3,0)</f>
        <v>cashloan</v>
      </c>
      <c r="I5374" s="135">
        <v>0</v>
      </c>
    </row>
    <row r="5375" spans="1:9" x14ac:dyDescent="0.2">
      <c r="A5375" s="134">
        <v>45720</v>
      </c>
      <c r="B5375" s="135">
        <f>YEAR(source[[#This Row],[report_date]])</f>
        <v>2025</v>
      </c>
      <c r="C5375" s="128">
        <f t="shared" si="248"/>
        <v>3</v>
      </c>
      <c r="D5375" s="136">
        <f t="shared" si="247"/>
        <v>10</v>
      </c>
      <c r="E5375" s="136">
        <f t="shared" si="249"/>
        <v>4</v>
      </c>
      <c r="F5375" s="128" t="s">
        <v>24</v>
      </c>
      <c r="G5375" s="128" t="str">
        <f>VLOOKUP(source[[#This Row],[lending_product_transform]],[3]Mapping!$B$4:$C$37,2,0)</f>
        <v>[Cake] - Cashloan</v>
      </c>
      <c r="H5375" s="128" t="str">
        <f>VLOOKUP(source[[#This Row],[lending_product_transform]],[3]Mapping!$B$3:$D$37,3,0)</f>
        <v>cashloan</v>
      </c>
      <c r="I5375" s="135">
        <v>0</v>
      </c>
    </row>
    <row r="5376" spans="1:9" x14ac:dyDescent="0.2">
      <c r="A5376" s="134">
        <v>45720</v>
      </c>
      <c r="B5376" s="135">
        <f>YEAR(source[[#This Row],[report_date]])</f>
        <v>2025</v>
      </c>
      <c r="C5376" s="128">
        <f t="shared" si="248"/>
        <v>3</v>
      </c>
      <c r="D5376" s="136">
        <f t="shared" si="247"/>
        <v>10</v>
      </c>
      <c r="E5376" s="136">
        <f t="shared" si="249"/>
        <v>4</v>
      </c>
      <c r="F5376" s="128" t="s">
        <v>24</v>
      </c>
      <c r="G5376" s="128" t="str">
        <f>VLOOKUP(source[[#This Row],[lending_product_transform]],[3]Mapping!$B$4:$C$37,2,0)</f>
        <v>[Cake] - Cashloan</v>
      </c>
      <c r="H5376" s="128" t="str">
        <f>VLOOKUP(source[[#This Row],[lending_product_transform]],[3]Mapping!$B$3:$D$37,3,0)</f>
        <v>cashloan</v>
      </c>
      <c r="I5376" s="135">
        <v>178184606</v>
      </c>
    </row>
    <row r="5377" spans="1:9" x14ac:dyDescent="0.2">
      <c r="A5377" s="134">
        <v>45720</v>
      </c>
      <c r="B5377" s="135">
        <f>YEAR(source[[#This Row],[report_date]])</f>
        <v>2025</v>
      </c>
      <c r="C5377" s="128">
        <f t="shared" si="248"/>
        <v>3</v>
      </c>
      <c r="D5377" s="136">
        <f t="shared" si="247"/>
        <v>10</v>
      </c>
      <c r="E5377" s="136">
        <f t="shared" si="249"/>
        <v>4</v>
      </c>
      <c r="F5377" s="128" t="s">
        <v>24</v>
      </c>
      <c r="G5377" s="128" t="str">
        <f>VLOOKUP(source[[#This Row],[lending_product_transform]],[3]Mapping!$B$4:$C$37,2,0)</f>
        <v>[Cake] - Cashloan</v>
      </c>
      <c r="H5377" s="128" t="str">
        <f>VLOOKUP(source[[#This Row],[lending_product_transform]],[3]Mapping!$B$3:$D$37,3,0)</f>
        <v>cashloan</v>
      </c>
      <c r="I5377" s="135">
        <v>120250000</v>
      </c>
    </row>
    <row r="5378" spans="1:9" x14ac:dyDescent="0.2">
      <c r="A5378" s="134">
        <v>45720</v>
      </c>
      <c r="B5378" s="135">
        <f>YEAR(source[[#This Row],[report_date]])</f>
        <v>2025</v>
      </c>
      <c r="C5378" s="128">
        <f t="shared" si="248"/>
        <v>3</v>
      </c>
      <c r="D5378" s="136">
        <f t="shared" si="247"/>
        <v>10</v>
      </c>
      <c r="E5378" s="136">
        <f t="shared" si="249"/>
        <v>4</v>
      </c>
      <c r="F5378" s="128" t="s">
        <v>24</v>
      </c>
      <c r="G5378" s="128" t="str">
        <f>VLOOKUP(source[[#This Row],[lending_product_transform]],[3]Mapping!$B$4:$C$37,2,0)</f>
        <v>[Cake] - Cashloan</v>
      </c>
      <c r="H5378" s="128" t="str">
        <f>VLOOKUP(source[[#This Row],[lending_product_transform]],[3]Mapping!$B$3:$D$37,3,0)</f>
        <v>cashloan</v>
      </c>
      <c r="I5378" s="135">
        <v>0</v>
      </c>
    </row>
    <row r="5379" spans="1:9" x14ac:dyDescent="0.2">
      <c r="A5379" s="134">
        <v>45720</v>
      </c>
      <c r="B5379" s="135">
        <f>YEAR(source[[#This Row],[report_date]])</f>
        <v>2025</v>
      </c>
      <c r="C5379" s="128">
        <f t="shared" si="248"/>
        <v>3</v>
      </c>
      <c r="D5379" s="136">
        <f t="shared" ref="D5379:D5442" si="250">WEEKNUM(A5379,2)</f>
        <v>10</v>
      </c>
      <c r="E5379" s="136">
        <f t="shared" si="249"/>
        <v>4</v>
      </c>
      <c r="F5379" s="128" t="s">
        <v>24</v>
      </c>
      <c r="G5379" s="128" t="str">
        <f>VLOOKUP(source[[#This Row],[lending_product_transform]],[3]Mapping!$B$4:$C$37,2,0)</f>
        <v>[Cake] - Cashloan</v>
      </c>
      <c r="H5379" s="128" t="str">
        <f>VLOOKUP(source[[#This Row],[lending_product_transform]],[3]Mapping!$B$3:$D$37,3,0)</f>
        <v>cashloan</v>
      </c>
      <c r="I5379" s="135">
        <v>4293375952</v>
      </c>
    </row>
    <row r="5380" spans="1:9" x14ac:dyDescent="0.2">
      <c r="A5380" s="134">
        <v>45720</v>
      </c>
      <c r="B5380" s="135">
        <f>YEAR(source[[#This Row],[report_date]])</f>
        <v>2025</v>
      </c>
      <c r="C5380" s="128">
        <f t="shared" si="248"/>
        <v>3</v>
      </c>
      <c r="D5380" s="136">
        <f t="shared" si="250"/>
        <v>10</v>
      </c>
      <c r="E5380" s="136">
        <f t="shared" si="249"/>
        <v>4</v>
      </c>
      <c r="F5380" s="128" t="s">
        <v>24</v>
      </c>
      <c r="G5380" s="128" t="str">
        <f>VLOOKUP(source[[#This Row],[lending_product_transform]],[3]Mapping!$B$4:$C$37,2,0)</f>
        <v>[Cake] - Cashloan</v>
      </c>
      <c r="H5380" s="128" t="str">
        <f>VLOOKUP(source[[#This Row],[lending_product_transform]],[3]Mapping!$B$3:$D$37,3,0)</f>
        <v>cashloan</v>
      </c>
      <c r="I5380" s="135">
        <v>0</v>
      </c>
    </row>
    <row r="5381" spans="1:9" x14ac:dyDescent="0.2">
      <c r="A5381" s="134">
        <v>45720</v>
      </c>
      <c r="B5381" s="135">
        <f>YEAR(source[[#This Row],[report_date]])</f>
        <v>2025</v>
      </c>
      <c r="C5381" s="128">
        <f t="shared" si="248"/>
        <v>3</v>
      </c>
      <c r="D5381" s="136">
        <f t="shared" si="250"/>
        <v>10</v>
      </c>
      <c r="E5381" s="136">
        <f t="shared" si="249"/>
        <v>4</v>
      </c>
      <c r="F5381" s="128" t="s">
        <v>24</v>
      </c>
      <c r="G5381" s="128" t="str">
        <f>VLOOKUP(source[[#This Row],[lending_product_transform]],[3]Mapping!$B$4:$C$37,2,0)</f>
        <v>[Cake] - Cashloan</v>
      </c>
      <c r="H5381" s="128" t="str">
        <f>VLOOKUP(source[[#This Row],[lending_product_transform]],[3]Mapping!$B$3:$D$37,3,0)</f>
        <v>cashloan</v>
      </c>
      <c r="I5381" s="135">
        <v>5442000000</v>
      </c>
    </row>
    <row r="5382" spans="1:9" x14ac:dyDescent="0.2">
      <c r="A5382" s="134">
        <v>45720</v>
      </c>
      <c r="B5382" s="135">
        <f>YEAR(source[[#This Row],[report_date]])</f>
        <v>2025</v>
      </c>
      <c r="C5382" s="128">
        <f t="shared" si="248"/>
        <v>3</v>
      </c>
      <c r="D5382" s="136">
        <f t="shared" si="250"/>
        <v>10</v>
      </c>
      <c r="E5382" s="136">
        <f t="shared" si="249"/>
        <v>4</v>
      </c>
      <c r="F5382" s="128" t="s">
        <v>24</v>
      </c>
      <c r="G5382" s="128" t="str">
        <f>VLOOKUP(source[[#This Row],[lending_product_transform]],[3]Mapping!$B$4:$C$37,2,0)</f>
        <v>[Cake] - Cashloan</v>
      </c>
      <c r="H5382" s="128" t="str">
        <f>VLOOKUP(source[[#This Row],[lending_product_transform]],[3]Mapping!$B$3:$D$37,3,0)</f>
        <v>cashloan</v>
      </c>
      <c r="I5382" s="135">
        <v>6823450000</v>
      </c>
    </row>
    <row r="5383" spans="1:9" x14ac:dyDescent="0.2">
      <c r="A5383" s="134">
        <v>45720</v>
      </c>
      <c r="B5383" s="135">
        <f>YEAR(source[[#This Row],[report_date]])</f>
        <v>2025</v>
      </c>
      <c r="C5383" s="128">
        <f t="shared" si="248"/>
        <v>3</v>
      </c>
      <c r="D5383" s="136">
        <f t="shared" si="250"/>
        <v>10</v>
      </c>
      <c r="E5383" s="136">
        <f t="shared" si="249"/>
        <v>4</v>
      </c>
      <c r="F5383" s="128" t="s">
        <v>24</v>
      </c>
      <c r="G5383" s="128" t="str">
        <f>VLOOKUP(source[[#This Row],[lending_product_transform]],[3]Mapping!$B$4:$C$37,2,0)</f>
        <v>[Cake] - Cashloan</v>
      </c>
      <c r="H5383" s="128" t="str">
        <f>VLOOKUP(source[[#This Row],[lending_product_transform]],[3]Mapping!$B$3:$D$37,3,0)</f>
        <v>cashloan</v>
      </c>
      <c r="I5383" s="135">
        <v>83000000</v>
      </c>
    </row>
    <row r="5384" spans="1:9" x14ac:dyDescent="0.2">
      <c r="A5384" s="134">
        <v>45720</v>
      </c>
      <c r="B5384" s="135">
        <f>YEAR(source[[#This Row],[report_date]])</f>
        <v>2025</v>
      </c>
      <c r="C5384" s="128">
        <f t="shared" si="248"/>
        <v>3</v>
      </c>
      <c r="D5384" s="136">
        <f t="shared" si="250"/>
        <v>10</v>
      </c>
      <c r="E5384" s="136">
        <f t="shared" si="249"/>
        <v>4</v>
      </c>
      <c r="F5384" s="128" t="s">
        <v>24</v>
      </c>
      <c r="G5384" s="128" t="str">
        <f>VLOOKUP(source[[#This Row],[lending_product_transform]],[3]Mapping!$B$4:$C$37,2,0)</f>
        <v>[Cake] - Cashloan</v>
      </c>
      <c r="H5384" s="128" t="str">
        <f>VLOOKUP(source[[#This Row],[lending_product_transform]],[3]Mapping!$B$3:$D$37,3,0)</f>
        <v>cashloan</v>
      </c>
      <c r="I5384" s="135">
        <v>515140000</v>
      </c>
    </row>
    <row r="5385" spans="1:9" x14ac:dyDescent="0.2">
      <c r="A5385" s="134">
        <v>45720</v>
      </c>
      <c r="B5385" s="135">
        <f>YEAR(source[[#This Row],[report_date]])</f>
        <v>2025</v>
      </c>
      <c r="C5385" s="128">
        <f t="shared" si="248"/>
        <v>3</v>
      </c>
      <c r="D5385" s="136">
        <f t="shared" si="250"/>
        <v>10</v>
      </c>
      <c r="E5385" s="136">
        <f t="shared" si="249"/>
        <v>4</v>
      </c>
      <c r="F5385" s="128" t="s">
        <v>24</v>
      </c>
      <c r="G5385" s="128" t="str">
        <f>VLOOKUP(source[[#This Row],[lending_product_transform]],[3]Mapping!$B$4:$C$37,2,0)</f>
        <v>[Cake] - Cashloan</v>
      </c>
      <c r="H5385" s="128" t="str">
        <f>VLOOKUP(source[[#This Row],[lending_product_transform]],[3]Mapping!$B$3:$D$37,3,0)</f>
        <v>cashloan</v>
      </c>
      <c r="I5385" s="135">
        <v>509418729</v>
      </c>
    </row>
    <row r="5386" spans="1:9" x14ac:dyDescent="0.2">
      <c r="A5386" s="134">
        <v>45720</v>
      </c>
      <c r="B5386" s="135">
        <f>YEAR(source[[#This Row],[report_date]])</f>
        <v>2025</v>
      </c>
      <c r="C5386" s="128">
        <f t="shared" si="248"/>
        <v>3</v>
      </c>
      <c r="D5386" s="136">
        <f t="shared" si="250"/>
        <v>10</v>
      </c>
      <c r="E5386" s="136">
        <f t="shared" si="249"/>
        <v>4</v>
      </c>
      <c r="F5386" s="128" t="s">
        <v>24</v>
      </c>
      <c r="G5386" s="128" t="str">
        <f>VLOOKUP(source[[#This Row],[lending_product_transform]],[3]Mapping!$B$4:$C$37,2,0)</f>
        <v>[Cake] - Cashloan</v>
      </c>
      <c r="H5386" s="128" t="str">
        <f>VLOOKUP(source[[#This Row],[lending_product_transform]],[3]Mapping!$B$3:$D$37,3,0)</f>
        <v>cashloan</v>
      </c>
      <c r="I5386" s="135">
        <v>0</v>
      </c>
    </row>
    <row r="5387" spans="1:9" x14ac:dyDescent="0.2">
      <c r="A5387" s="134">
        <v>45720</v>
      </c>
      <c r="B5387" s="135">
        <f>YEAR(source[[#This Row],[report_date]])</f>
        <v>2025</v>
      </c>
      <c r="C5387" s="128">
        <f t="shared" si="248"/>
        <v>3</v>
      </c>
      <c r="D5387" s="136">
        <f t="shared" si="250"/>
        <v>10</v>
      </c>
      <c r="E5387" s="136">
        <f t="shared" si="249"/>
        <v>4</v>
      </c>
      <c r="F5387" s="128" t="s">
        <v>24</v>
      </c>
      <c r="G5387" s="128" t="str">
        <f>VLOOKUP(source[[#This Row],[lending_product_transform]],[3]Mapping!$B$4:$C$37,2,0)</f>
        <v>[Cake] - Cashloan</v>
      </c>
      <c r="H5387" s="128" t="str">
        <f>VLOOKUP(source[[#This Row],[lending_product_transform]],[3]Mapping!$B$3:$D$37,3,0)</f>
        <v>cashloan</v>
      </c>
      <c r="I5387" s="135">
        <v>5678930000</v>
      </c>
    </row>
    <row r="5388" spans="1:9" x14ac:dyDescent="0.2">
      <c r="A5388" s="134">
        <v>45720</v>
      </c>
      <c r="B5388" s="135">
        <f>YEAR(source[[#This Row],[report_date]])</f>
        <v>2025</v>
      </c>
      <c r="C5388" s="128">
        <f t="shared" si="248"/>
        <v>3</v>
      </c>
      <c r="D5388" s="136">
        <f t="shared" si="250"/>
        <v>10</v>
      </c>
      <c r="E5388" s="136">
        <f t="shared" si="249"/>
        <v>4</v>
      </c>
      <c r="F5388" s="128" t="s">
        <v>24</v>
      </c>
      <c r="G5388" s="128" t="str">
        <f>VLOOKUP(source[[#This Row],[lending_product_transform]],[3]Mapping!$B$4:$C$37,2,0)</f>
        <v>[Cake] - Cashloan</v>
      </c>
      <c r="H5388" s="128" t="str">
        <f>VLOOKUP(source[[#This Row],[lending_product_transform]],[3]Mapping!$B$3:$D$37,3,0)</f>
        <v>cashloan</v>
      </c>
      <c r="I5388" s="135">
        <v>0</v>
      </c>
    </row>
    <row r="5389" spans="1:9" x14ac:dyDescent="0.2">
      <c r="A5389" s="134">
        <v>45720</v>
      </c>
      <c r="B5389" s="135">
        <f>YEAR(source[[#This Row],[report_date]])</f>
        <v>2025</v>
      </c>
      <c r="C5389" s="128">
        <f t="shared" si="248"/>
        <v>3</v>
      </c>
      <c r="D5389" s="136">
        <f t="shared" si="250"/>
        <v>10</v>
      </c>
      <c r="E5389" s="136">
        <f t="shared" si="249"/>
        <v>4</v>
      </c>
      <c r="F5389" s="128" t="s">
        <v>24</v>
      </c>
      <c r="G5389" s="128" t="str">
        <f>VLOOKUP(source[[#This Row],[lending_product_transform]],[3]Mapping!$B$4:$C$37,2,0)</f>
        <v>[Cake] - Cashloan</v>
      </c>
      <c r="H5389" s="128" t="str">
        <f>VLOOKUP(source[[#This Row],[lending_product_transform]],[3]Mapping!$B$3:$D$37,3,0)</f>
        <v>cashloan</v>
      </c>
      <c r="I5389" s="135">
        <v>642990000</v>
      </c>
    </row>
    <row r="5390" spans="1:9" x14ac:dyDescent="0.2">
      <c r="A5390" s="134">
        <v>45720</v>
      </c>
      <c r="B5390" s="135">
        <f>YEAR(source[[#This Row],[report_date]])</f>
        <v>2025</v>
      </c>
      <c r="C5390" s="128">
        <f t="shared" si="248"/>
        <v>3</v>
      </c>
      <c r="D5390" s="136">
        <f t="shared" si="250"/>
        <v>10</v>
      </c>
      <c r="E5390" s="136">
        <f t="shared" si="249"/>
        <v>4</v>
      </c>
      <c r="F5390" s="128" t="s">
        <v>24</v>
      </c>
      <c r="G5390" s="128" t="str">
        <f>VLOOKUP(source[[#This Row],[lending_product_transform]],[3]Mapping!$B$4:$C$37,2,0)</f>
        <v>[Cake] - Cashloan</v>
      </c>
      <c r="H5390" s="128" t="str">
        <f>VLOOKUP(source[[#This Row],[lending_product_transform]],[3]Mapping!$B$3:$D$37,3,0)</f>
        <v>cashloan</v>
      </c>
      <c r="I5390" s="135">
        <v>47428886</v>
      </c>
    </row>
    <row r="5391" spans="1:9" x14ac:dyDescent="0.2">
      <c r="A5391" s="134">
        <v>45720</v>
      </c>
      <c r="B5391" s="135">
        <f>YEAR(source[[#This Row],[report_date]])</f>
        <v>2025</v>
      </c>
      <c r="C5391" s="128">
        <f t="shared" si="248"/>
        <v>3</v>
      </c>
      <c r="D5391" s="136">
        <f t="shared" si="250"/>
        <v>10</v>
      </c>
      <c r="E5391" s="136">
        <f t="shared" si="249"/>
        <v>4</v>
      </c>
      <c r="F5391" s="128" t="s">
        <v>24</v>
      </c>
      <c r="G5391" s="128" t="str">
        <f>VLOOKUP(source[[#This Row],[lending_product_transform]],[3]Mapping!$B$4:$C$37,2,0)</f>
        <v>[Cake] - Cashloan</v>
      </c>
      <c r="H5391" s="128" t="str">
        <f>VLOOKUP(source[[#This Row],[lending_product_transform]],[3]Mapping!$B$3:$D$37,3,0)</f>
        <v>cashloan</v>
      </c>
      <c r="I5391" s="135">
        <v>0</v>
      </c>
    </row>
    <row r="5392" spans="1:9" x14ac:dyDescent="0.2">
      <c r="A5392" s="134">
        <v>45720</v>
      </c>
      <c r="B5392" s="135">
        <f>YEAR(source[[#This Row],[report_date]])</f>
        <v>2025</v>
      </c>
      <c r="C5392" s="128">
        <f t="shared" si="248"/>
        <v>3</v>
      </c>
      <c r="D5392" s="136">
        <f t="shared" si="250"/>
        <v>10</v>
      </c>
      <c r="E5392" s="136">
        <f t="shared" si="249"/>
        <v>4</v>
      </c>
      <c r="F5392" s="128" t="s">
        <v>24</v>
      </c>
      <c r="G5392" s="128" t="str">
        <f>VLOOKUP(source[[#This Row],[lending_product_transform]],[3]Mapping!$B$4:$C$37,2,0)</f>
        <v>[Cake] - Cashloan</v>
      </c>
      <c r="H5392" s="128" t="str">
        <f>VLOOKUP(source[[#This Row],[lending_product_transform]],[3]Mapping!$B$3:$D$37,3,0)</f>
        <v>cashloan</v>
      </c>
      <c r="I5392" s="135">
        <v>638129036</v>
      </c>
    </row>
    <row r="5393" spans="1:9" x14ac:dyDescent="0.2">
      <c r="A5393" s="134">
        <v>45721</v>
      </c>
      <c r="B5393" s="135">
        <f>YEAR(source[[#This Row],[report_date]])</f>
        <v>2025</v>
      </c>
      <c r="C5393" s="128">
        <f t="shared" si="248"/>
        <v>3</v>
      </c>
      <c r="D5393" s="136">
        <f t="shared" si="250"/>
        <v>10</v>
      </c>
      <c r="E5393" s="136">
        <f t="shared" si="249"/>
        <v>5</v>
      </c>
      <c r="F5393" s="128" t="s">
        <v>24</v>
      </c>
      <c r="G5393" s="128" t="str">
        <f>VLOOKUP(source[[#This Row],[lending_product_transform]],[3]Mapping!$B$4:$C$37,2,0)</f>
        <v>[Cake] - Cashloan</v>
      </c>
      <c r="H5393" s="128" t="str">
        <f>VLOOKUP(source[[#This Row],[lending_product_transform]],[3]Mapping!$B$3:$D$37,3,0)</f>
        <v>cashloan</v>
      </c>
      <c r="I5393" s="135">
        <v>0</v>
      </c>
    </row>
    <row r="5394" spans="1:9" x14ac:dyDescent="0.2">
      <c r="A5394" s="134">
        <v>45721</v>
      </c>
      <c r="B5394" s="135">
        <f>YEAR(source[[#This Row],[report_date]])</f>
        <v>2025</v>
      </c>
      <c r="C5394" s="128">
        <f t="shared" si="248"/>
        <v>3</v>
      </c>
      <c r="D5394" s="136">
        <f t="shared" si="250"/>
        <v>10</v>
      </c>
      <c r="E5394" s="136">
        <f t="shared" si="249"/>
        <v>5</v>
      </c>
      <c r="F5394" s="128" t="s">
        <v>24</v>
      </c>
      <c r="G5394" s="128" t="str">
        <f>VLOOKUP(source[[#This Row],[lending_product_transform]],[3]Mapping!$B$4:$C$37,2,0)</f>
        <v>[Cake] - Cashloan</v>
      </c>
      <c r="H5394" s="128" t="str">
        <f>VLOOKUP(source[[#This Row],[lending_product_transform]],[3]Mapping!$B$3:$D$37,3,0)</f>
        <v>cashloan</v>
      </c>
      <c r="I5394" s="135">
        <v>21000000</v>
      </c>
    </row>
    <row r="5395" spans="1:9" x14ac:dyDescent="0.2">
      <c r="A5395" s="134">
        <v>45721</v>
      </c>
      <c r="B5395" s="135">
        <f>YEAR(source[[#This Row],[report_date]])</f>
        <v>2025</v>
      </c>
      <c r="C5395" s="128">
        <f t="shared" si="248"/>
        <v>3</v>
      </c>
      <c r="D5395" s="136">
        <f t="shared" si="250"/>
        <v>10</v>
      </c>
      <c r="E5395" s="136">
        <f t="shared" si="249"/>
        <v>5</v>
      </c>
      <c r="F5395" s="128" t="s">
        <v>24</v>
      </c>
      <c r="G5395" s="128" t="str">
        <f>VLOOKUP(source[[#This Row],[lending_product_transform]],[3]Mapping!$B$4:$C$37,2,0)</f>
        <v>[Cake] - Cashloan</v>
      </c>
      <c r="H5395" s="128" t="str">
        <f>VLOOKUP(source[[#This Row],[lending_product_transform]],[3]Mapping!$B$3:$D$37,3,0)</f>
        <v>cashloan</v>
      </c>
      <c r="I5395" s="135">
        <v>0</v>
      </c>
    </row>
    <row r="5396" spans="1:9" x14ac:dyDescent="0.2">
      <c r="A5396" s="134">
        <v>45721</v>
      </c>
      <c r="B5396" s="135">
        <f>YEAR(source[[#This Row],[report_date]])</f>
        <v>2025</v>
      </c>
      <c r="C5396" s="128">
        <f t="shared" si="248"/>
        <v>3</v>
      </c>
      <c r="D5396" s="136">
        <f t="shared" si="250"/>
        <v>10</v>
      </c>
      <c r="E5396" s="136">
        <f t="shared" si="249"/>
        <v>5</v>
      </c>
      <c r="F5396" s="128" t="s">
        <v>24</v>
      </c>
      <c r="G5396" s="128" t="str">
        <f>VLOOKUP(source[[#This Row],[lending_product_transform]],[3]Mapping!$B$4:$C$37,2,0)</f>
        <v>[Cake] - Cashloan</v>
      </c>
      <c r="H5396" s="128" t="str">
        <f>VLOOKUP(source[[#This Row],[lending_product_transform]],[3]Mapping!$B$3:$D$37,3,0)</f>
        <v>cashloan</v>
      </c>
      <c r="I5396" s="135">
        <v>38000000</v>
      </c>
    </row>
    <row r="5397" spans="1:9" x14ac:dyDescent="0.2">
      <c r="A5397" s="134">
        <v>45721</v>
      </c>
      <c r="B5397" s="135">
        <f>YEAR(source[[#This Row],[report_date]])</f>
        <v>2025</v>
      </c>
      <c r="C5397" s="128">
        <f t="shared" si="248"/>
        <v>3</v>
      </c>
      <c r="D5397" s="136">
        <f t="shared" si="250"/>
        <v>10</v>
      </c>
      <c r="E5397" s="136">
        <f t="shared" si="249"/>
        <v>5</v>
      </c>
      <c r="F5397" s="128" t="s">
        <v>24</v>
      </c>
      <c r="G5397" s="128" t="str">
        <f>VLOOKUP(source[[#This Row],[lending_product_transform]],[3]Mapping!$B$4:$C$37,2,0)</f>
        <v>[Cake] - Cashloan</v>
      </c>
      <c r="H5397" s="128" t="str">
        <f>VLOOKUP(source[[#This Row],[lending_product_transform]],[3]Mapping!$B$3:$D$37,3,0)</f>
        <v>cashloan</v>
      </c>
      <c r="I5397" s="135">
        <v>7043810000</v>
      </c>
    </row>
    <row r="5398" spans="1:9" x14ac:dyDescent="0.2">
      <c r="A5398" s="134">
        <v>45721</v>
      </c>
      <c r="B5398" s="135">
        <f>YEAR(source[[#This Row],[report_date]])</f>
        <v>2025</v>
      </c>
      <c r="C5398" s="128">
        <f t="shared" si="248"/>
        <v>3</v>
      </c>
      <c r="D5398" s="136">
        <f t="shared" si="250"/>
        <v>10</v>
      </c>
      <c r="E5398" s="136">
        <f t="shared" si="249"/>
        <v>5</v>
      </c>
      <c r="F5398" s="128" t="s">
        <v>24</v>
      </c>
      <c r="G5398" s="128" t="str">
        <f>VLOOKUP(source[[#This Row],[lending_product_transform]],[3]Mapping!$B$4:$C$37,2,0)</f>
        <v>[Cake] - Cashloan</v>
      </c>
      <c r="H5398" s="128" t="str">
        <f>VLOOKUP(source[[#This Row],[lending_product_transform]],[3]Mapping!$B$3:$D$37,3,0)</f>
        <v>cashloan</v>
      </c>
      <c r="I5398" s="135">
        <v>10000000</v>
      </c>
    </row>
    <row r="5399" spans="1:9" x14ac:dyDescent="0.2">
      <c r="A5399" s="134">
        <v>45721</v>
      </c>
      <c r="B5399" s="135">
        <f>YEAR(source[[#This Row],[report_date]])</f>
        <v>2025</v>
      </c>
      <c r="C5399" s="128">
        <f t="shared" si="248"/>
        <v>3</v>
      </c>
      <c r="D5399" s="136">
        <f t="shared" si="250"/>
        <v>10</v>
      </c>
      <c r="E5399" s="136">
        <f t="shared" si="249"/>
        <v>5</v>
      </c>
      <c r="F5399" s="128" t="s">
        <v>24</v>
      </c>
      <c r="G5399" s="128" t="str">
        <f>VLOOKUP(source[[#This Row],[lending_product_transform]],[3]Mapping!$B$4:$C$37,2,0)</f>
        <v>[Cake] - Cashloan</v>
      </c>
      <c r="H5399" s="128" t="str">
        <f>VLOOKUP(source[[#This Row],[lending_product_transform]],[3]Mapping!$B$3:$D$37,3,0)</f>
        <v>cashloan</v>
      </c>
      <c r="I5399" s="135">
        <v>4419316745</v>
      </c>
    </row>
    <row r="5400" spans="1:9" x14ac:dyDescent="0.2">
      <c r="A5400" s="134">
        <v>45721</v>
      </c>
      <c r="B5400" s="135">
        <f>YEAR(source[[#This Row],[report_date]])</f>
        <v>2025</v>
      </c>
      <c r="C5400" s="128">
        <f t="shared" si="248"/>
        <v>3</v>
      </c>
      <c r="D5400" s="136">
        <f t="shared" si="250"/>
        <v>10</v>
      </c>
      <c r="E5400" s="136">
        <f t="shared" si="249"/>
        <v>5</v>
      </c>
      <c r="F5400" s="128" t="s">
        <v>24</v>
      </c>
      <c r="G5400" s="128" t="str">
        <f>VLOOKUP(source[[#This Row],[lending_product_transform]],[3]Mapping!$B$4:$C$37,2,0)</f>
        <v>[Cake] - Cashloan</v>
      </c>
      <c r="H5400" s="128" t="str">
        <f>VLOOKUP(source[[#This Row],[lending_product_transform]],[3]Mapping!$B$3:$D$37,3,0)</f>
        <v>cashloan</v>
      </c>
      <c r="I5400" s="135">
        <v>755330000</v>
      </c>
    </row>
    <row r="5401" spans="1:9" x14ac:dyDescent="0.2">
      <c r="A5401" s="134">
        <v>45721</v>
      </c>
      <c r="B5401" s="135">
        <f>YEAR(source[[#This Row],[report_date]])</f>
        <v>2025</v>
      </c>
      <c r="C5401" s="128">
        <f t="shared" si="248"/>
        <v>3</v>
      </c>
      <c r="D5401" s="136">
        <f t="shared" si="250"/>
        <v>10</v>
      </c>
      <c r="E5401" s="136">
        <f t="shared" si="249"/>
        <v>5</v>
      </c>
      <c r="F5401" s="128" t="s">
        <v>24</v>
      </c>
      <c r="G5401" s="128" t="str">
        <f>VLOOKUP(source[[#This Row],[lending_product_transform]],[3]Mapping!$B$4:$C$37,2,0)</f>
        <v>[Cake] - Cashloan</v>
      </c>
      <c r="H5401" s="128" t="str">
        <f>VLOOKUP(source[[#This Row],[lending_product_transform]],[3]Mapping!$B$3:$D$37,3,0)</f>
        <v>cashloan</v>
      </c>
      <c r="I5401" s="135">
        <v>32100000</v>
      </c>
    </row>
    <row r="5402" spans="1:9" x14ac:dyDescent="0.2">
      <c r="A5402" s="134">
        <v>45721</v>
      </c>
      <c r="B5402" s="135">
        <f>YEAR(source[[#This Row],[report_date]])</f>
        <v>2025</v>
      </c>
      <c r="C5402" s="128">
        <f t="shared" si="248"/>
        <v>3</v>
      </c>
      <c r="D5402" s="136">
        <f t="shared" si="250"/>
        <v>10</v>
      </c>
      <c r="E5402" s="136">
        <f t="shared" si="249"/>
        <v>5</v>
      </c>
      <c r="F5402" s="128" t="s">
        <v>24</v>
      </c>
      <c r="G5402" s="128" t="str">
        <f>VLOOKUP(source[[#This Row],[lending_product_transform]],[3]Mapping!$B$4:$C$37,2,0)</f>
        <v>[Cake] - Cashloan</v>
      </c>
      <c r="H5402" s="128" t="str">
        <f>VLOOKUP(source[[#This Row],[lending_product_transform]],[3]Mapping!$B$3:$D$37,3,0)</f>
        <v>cashloan</v>
      </c>
      <c r="I5402" s="135">
        <v>478420000</v>
      </c>
    </row>
    <row r="5403" spans="1:9" x14ac:dyDescent="0.2">
      <c r="A5403" s="134">
        <v>45721</v>
      </c>
      <c r="B5403" s="135">
        <f>YEAR(source[[#This Row],[report_date]])</f>
        <v>2025</v>
      </c>
      <c r="C5403" s="128">
        <f t="shared" si="248"/>
        <v>3</v>
      </c>
      <c r="D5403" s="136">
        <f t="shared" si="250"/>
        <v>10</v>
      </c>
      <c r="E5403" s="136">
        <f t="shared" si="249"/>
        <v>5</v>
      </c>
      <c r="F5403" s="128" t="s">
        <v>24</v>
      </c>
      <c r="G5403" s="128" t="str">
        <f>VLOOKUP(source[[#This Row],[lending_product_transform]],[3]Mapping!$B$4:$C$37,2,0)</f>
        <v>[Cake] - Cashloan</v>
      </c>
      <c r="H5403" s="128" t="str">
        <f>VLOOKUP(source[[#This Row],[lending_product_transform]],[3]Mapping!$B$3:$D$37,3,0)</f>
        <v>cashloan</v>
      </c>
      <c r="I5403" s="135">
        <v>18900000</v>
      </c>
    </row>
    <row r="5404" spans="1:9" x14ac:dyDescent="0.2">
      <c r="A5404" s="134">
        <v>45721</v>
      </c>
      <c r="B5404" s="135">
        <f>YEAR(source[[#This Row],[report_date]])</f>
        <v>2025</v>
      </c>
      <c r="C5404" s="128">
        <f t="shared" si="248"/>
        <v>3</v>
      </c>
      <c r="D5404" s="136">
        <f t="shared" si="250"/>
        <v>10</v>
      </c>
      <c r="E5404" s="136">
        <f t="shared" si="249"/>
        <v>5</v>
      </c>
      <c r="F5404" s="128" t="s">
        <v>24</v>
      </c>
      <c r="G5404" s="128" t="str">
        <f>VLOOKUP(source[[#This Row],[lending_product_transform]],[3]Mapping!$B$4:$C$37,2,0)</f>
        <v>[Cake] - Cashloan</v>
      </c>
      <c r="H5404" s="128" t="str">
        <f>VLOOKUP(source[[#This Row],[lending_product_transform]],[3]Mapping!$B$3:$D$37,3,0)</f>
        <v>cashloan</v>
      </c>
      <c r="I5404" s="135">
        <v>5927000000</v>
      </c>
    </row>
    <row r="5405" spans="1:9" x14ac:dyDescent="0.2">
      <c r="A5405" s="134">
        <v>45721</v>
      </c>
      <c r="B5405" s="135">
        <f>YEAR(source[[#This Row],[report_date]])</f>
        <v>2025</v>
      </c>
      <c r="C5405" s="128">
        <f t="shared" si="248"/>
        <v>3</v>
      </c>
      <c r="D5405" s="136">
        <f t="shared" si="250"/>
        <v>10</v>
      </c>
      <c r="E5405" s="136">
        <f t="shared" si="249"/>
        <v>5</v>
      </c>
      <c r="F5405" s="128" t="s">
        <v>24</v>
      </c>
      <c r="G5405" s="128" t="str">
        <f>VLOOKUP(source[[#This Row],[lending_product_transform]],[3]Mapping!$B$4:$C$37,2,0)</f>
        <v>[Cake] - Cashloan</v>
      </c>
      <c r="H5405" s="128" t="str">
        <f>VLOOKUP(source[[#This Row],[lending_product_transform]],[3]Mapping!$B$3:$D$37,3,0)</f>
        <v>cashloan</v>
      </c>
      <c r="I5405" s="135">
        <v>5785830000</v>
      </c>
    </row>
    <row r="5406" spans="1:9" x14ac:dyDescent="0.2">
      <c r="A5406" s="134">
        <v>45721</v>
      </c>
      <c r="B5406" s="135">
        <f>YEAR(source[[#This Row],[report_date]])</f>
        <v>2025</v>
      </c>
      <c r="C5406" s="128">
        <f t="shared" si="248"/>
        <v>3</v>
      </c>
      <c r="D5406" s="136">
        <f t="shared" si="250"/>
        <v>10</v>
      </c>
      <c r="E5406" s="136">
        <f t="shared" si="249"/>
        <v>5</v>
      </c>
      <c r="F5406" s="128" t="s">
        <v>24</v>
      </c>
      <c r="G5406" s="128" t="str">
        <f>VLOOKUP(source[[#This Row],[lending_product_transform]],[3]Mapping!$B$4:$C$37,2,0)</f>
        <v>[Cake] - Cashloan</v>
      </c>
      <c r="H5406" s="128" t="str">
        <f>VLOOKUP(source[[#This Row],[lending_product_transform]],[3]Mapping!$B$3:$D$37,3,0)</f>
        <v>cashloan</v>
      </c>
      <c r="I5406" s="135">
        <v>0</v>
      </c>
    </row>
    <row r="5407" spans="1:9" x14ac:dyDescent="0.2">
      <c r="A5407" s="134">
        <v>45721</v>
      </c>
      <c r="B5407" s="135">
        <f>YEAR(source[[#This Row],[report_date]])</f>
        <v>2025</v>
      </c>
      <c r="C5407" s="128">
        <f t="shared" si="248"/>
        <v>3</v>
      </c>
      <c r="D5407" s="136">
        <f t="shared" si="250"/>
        <v>10</v>
      </c>
      <c r="E5407" s="136">
        <f t="shared" si="249"/>
        <v>5</v>
      </c>
      <c r="F5407" s="128" t="s">
        <v>24</v>
      </c>
      <c r="G5407" s="128" t="str">
        <f>VLOOKUP(source[[#This Row],[lending_product_transform]],[3]Mapping!$B$4:$C$37,2,0)</f>
        <v>[Cake] - Cashloan</v>
      </c>
      <c r="H5407" s="128" t="str">
        <f>VLOOKUP(source[[#This Row],[lending_product_transform]],[3]Mapping!$B$3:$D$37,3,0)</f>
        <v>cashloan</v>
      </c>
      <c r="I5407" s="135">
        <v>61780512</v>
      </c>
    </row>
    <row r="5408" spans="1:9" x14ac:dyDescent="0.2">
      <c r="A5408" s="134">
        <v>45721</v>
      </c>
      <c r="B5408" s="135">
        <f>YEAR(source[[#This Row],[report_date]])</f>
        <v>2025</v>
      </c>
      <c r="C5408" s="128">
        <f t="shared" si="248"/>
        <v>3</v>
      </c>
      <c r="D5408" s="136">
        <f t="shared" si="250"/>
        <v>10</v>
      </c>
      <c r="E5408" s="136">
        <f t="shared" si="249"/>
        <v>5</v>
      </c>
      <c r="F5408" s="128" t="s">
        <v>24</v>
      </c>
      <c r="G5408" s="128" t="str">
        <f>VLOOKUP(source[[#This Row],[lending_product_transform]],[3]Mapping!$B$4:$C$37,2,0)</f>
        <v>[Cake] - Cashloan</v>
      </c>
      <c r="H5408" s="128" t="str">
        <f>VLOOKUP(source[[#This Row],[lending_product_transform]],[3]Mapping!$B$3:$D$37,3,0)</f>
        <v>cashloan</v>
      </c>
      <c r="I5408" s="135">
        <v>0</v>
      </c>
    </row>
    <row r="5409" spans="1:9" x14ac:dyDescent="0.2">
      <c r="A5409" s="134">
        <v>45721</v>
      </c>
      <c r="B5409" s="135">
        <f>YEAR(source[[#This Row],[report_date]])</f>
        <v>2025</v>
      </c>
      <c r="C5409" s="128">
        <f t="shared" si="248"/>
        <v>3</v>
      </c>
      <c r="D5409" s="136">
        <f t="shared" si="250"/>
        <v>10</v>
      </c>
      <c r="E5409" s="136">
        <f t="shared" si="249"/>
        <v>5</v>
      </c>
      <c r="F5409" s="128" t="s">
        <v>24</v>
      </c>
      <c r="G5409" s="128" t="str">
        <f>VLOOKUP(source[[#This Row],[lending_product_transform]],[3]Mapping!$B$4:$C$37,2,0)</f>
        <v>[Cake] - Cashloan</v>
      </c>
      <c r="H5409" s="128" t="str">
        <f>VLOOKUP(source[[#This Row],[lending_product_transform]],[3]Mapping!$B$3:$D$37,3,0)</f>
        <v>cashloan</v>
      </c>
      <c r="I5409" s="135">
        <v>209242618</v>
      </c>
    </row>
    <row r="5410" spans="1:9" x14ac:dyDescent="0.2">
      <c r="A5410" s="134">
        <v>45721</v>
      </c>
      <c r="B5410" s="135">
        <f>YEAR(source[[#This Row],[report_date]])</f>
        <v>2025</v>
      </c>
      <c r="C5410" s="128">
        <f t="shared" si="248"/>
        <v>3</v>
      </c>
      <c r="D5410" s="136">
        <f t="shared" si="250"/>
        <v>10</v>
      </c>
      <c r="E5410" s="136">
        <f t="shared" si="249"/>
        <v>5</v>
      </c>
      <c r="F5410" s="128" t="s">
        <v>24</v>
      </c>
      <c r="G5410" s="128" t="str">
        <f>VLOOKUP(source[[#This Row],[lending_product_transform]],[3]Mapping!$B$4:$C$37,2,0)</f>
        <v>[Cake] - Cashloan</v>
      </c>
      <c r="H5410" s="128" t="str">
        <f>VLOOKUP(source[[#This Row],[lending_product_transform]],[3]Mapping!$B$3:$D$37,3,0)</f>
        <v>cashloan</v>
      </c>
      <c r="I5410" s="135">
        <v>492743506</v>
      </c>
    </row>
    <row r="5411" spans="1:9" x14ac:dyDescent="0.2">
      <c r="A5411" s="134">
        <v>45721</v>
      </c>
      <c r="B5411" s="135">
        <f>YEAR(source[[#This Row],[report_date]])</f>
        <v>2025</v>
      </c>
      <c r="C5411" s="128">
        <f t="shared" si="248"/>
        <v>3</v>
      </c>
      <c r="D5411" s="136">
        <f t="shared" si="250"/>
        <v>10</v>
      </c>
      <c r="E5411" s="136">
        <f t="shared" si="249"/>
        <v>5</v>
      </c>
      <c r="F5411" s="128" t="s">
        <v>24</v>
      </c>
      <c r="G5411" s="128" t="str">
        <f>VLOOKUP(source[[#This Row],[lending_product_transform]],[3]Mapping!$B$4:$C$37,2,0)</f>
        <v>[Cake] - Cashloan</v>
      </c>
      <c r="H5411" s="128" t="str">
        <f>VLOOKUP(source[[#This Row],[lending_product_transform]],[3]Mapping!$B$3:$D$37,3,0)</f>
        <v>cashloan</v>
      </c>
      <c r="I5411" s="135">
        <v>706672923</v>
      </c>
    </row>
    <row r="5412" spans="1:9" x14ac:dyDescent="0.2">
      <c r="A5412" s="134">
        <v>45722</v>
      </c>
      <c r="B5412" s="135">
        <f>YEAR(source[[#This Row],[report_date]])</f>
        <v>2025</v>
      </c>
      <c r="C5412" s="128">
        <f t="shared" si="248"/>
        <v>3</v>
      </c>
      <c r="D5412" s="136">
        <f t="shared" si="250"/>
        <v>10</v>
      </c>
      <c r="E5412" s="136">
        <f t="shared" si="249"/>
        <v>6</v>
      </c>
      <c r="F5412" s="128" t="s">
        <v>24</v>
      </c>
      <c r="G5412" s="128" t="str">
        <f>VLOOKUP(source[[#This Row],[lending_product_transform]],[3]Mapping!$B$4:$C$37,2,0)</f>
        <v>[Cake] - Cashloan</v>
      </c>
      <c r="H5412" s="128" t="str">
        <f>VLOOKUP(source[[#This Row],[lending_product_transform]],[3]Mapping!$B$3:$D$37,3,0)</f>
        <v>cashloan</v>
      </c>
      <c r="I5412" s="135">
        <v>0</v>
      </c>
    </row>
    <row r="5413" spans="1:9" x14ac:dyDescent="0.2">
      <c r="A5413" s="134">
        <v>45722</v>
      </c>
      <c r="B5413" s="135">
        <f>YEAR(source[[#This Row],[report_date]])</f>
        <v>2025</v>
      </c>
      <c r="C5413" s="128">
        <f t="shared" si="248"/>
        <v>3</v>
      </c>
      <c r="D5413" s="136">
        <f t="shared" si="250"/>
        <v>10</v>
      </c>
      <c r="E5413" s="136">
        <f t="shared" si="249"/>
        <v>6</v>
      </c>
      <c r="F5413" s="128" t="s">
        <v>24</v>
      </c>
      <c r="G5413" s="128" t="str">
        <f>VLOOKUP(source[[#This Row],[lending_product_transform]],[3]Mapping!$B$4:$C$37,2,0)</f>
        <v>[Cake] - Cashloan</v>
      </c>
      <c r="H5413" s="128" t="str">
        <f>VLOOKUP(source[[#This Row],[lending_product_transform]],[3]Mapping!$B$3:$D$37,3,0)</f>
        <v>cashloan</v>
      </c>
      <c r="I5413" s="135">
        <v>772170000</v>
      </c>
    </row>
    <row r="5414" spans="1:9" x14ac:dyDescent="0.2">
      <c r="A5414" s="134">
        <v>45722</v>
      </c>
      <c r="B5414" s="135">
        <f>YEAR(source[[#This Row],[report_date]])</f>
        <v>2025</v>
      </c>
      <c r="C5414" s="128">
        <f t="shared" si="248"/>
        <v>3</v>
      </c>
      <c r="D5414" s="136">
        <f t="shared" si="250"/>
        <v>10</v>
      </c>
      <c r="E5414" s="136">
        <f t="shared" si="249"/>
        <v>6</v>
      </c>
      <c r="F5414" s="128" t="s">
        <v>24</v>
      </c>
      <c r="G5414" s="128" t="str">
        <f>VLOOKUP(source[[#This Row],[lending_product_transform]],[3]Mapping!$B$4:$C$37,2,0)</f>
        <v>[Cake] - Cashloan</v>
      </c>
      <c r="H5414" s="128" t="str">
        <f>VLOOKUP(source[[#This Row],[lending_product_transform]],[3]Mapping!$B$3:$D$37,3,0)</f>
        <v>cashloan</v>
      </c>
      <c r="I5414" s="135">
        <v>644979086</v>
      </c>
    </row>
    <row r="5415" spans="1:9" x14ac:dyDescent="0.2">
      <c r="A5415" s="134">
        <v>45722</v>
      </c>
      <c r="B5415" s="135">
        <f>YEAR(source[[#This Row],[report_date]])</f>
        <v>2025</v>
      </c>
      <c r="C5415" s="128">
        <f t="shared" si="248"/>
        <v>3</v>
      </c>
      <c r="D5415" s="136">
        <f t="shared" si="250"/>
        <v>10</v>
      </c>
      <c r="E5415" s="136">
        <f t="shared" si="249"/>
        <v>6</v>
      </c>
      <c r="F5415" s="128" t="s">
        <v>24</v>
      </c>
      <c r="G5415" s="128" t="str">
        <f>VLOOKUP(source[[#This Row],[lending_product_transform]],[3]Mapping!$B$4:$C$37,2,0)</f>
        <v>[Cake] - Cashloan</v>
      </c>
      <c r="H5415" s="128" t="str">
        <f>VLOOKUP(source[[#This Row],[lending_product_transform]],[3]Mapping!$B$3:$D$37,3,0)</f>
        <v>cashloan</v>
      </c>
      <c r="I5415" s="135">
        <v>367390000</v>
      </c>
    </row>
    <row r="5416" spans="1:9" x14ac:dyDescent="0.2">
      <c r="A5416" s="134">
        <v>45722</v>
      </c>
      <c r="B5416" s="135">
        <f>YEAR(source[[#This Row],[report_date]])</f>
        <v>2025</v>
      </c>
      <c r="C5416" s="128">
        <f t="shared" si="248"/>
        <v>3</v>
      </c>
      <c r="D5416" s="136">
        <f t="shared" si="250"/>
        <v>10</v>
      </c>
      <c r="E5416" s="136">
        <f t="shared" si="249"/>
        <v>6</v>
      </c>
      <c r="F5416" s="128" t="s">
        <v>24</v>
      </c>
      <c r="G5416" s="128" t="str">
        <f>VLOOKUP(source[[#This Row],[lending_product_transform]],[3]Mapping!$B$4:$C$37,2,0)</f>
        <v>[Cake] - Cashloan</v>
      </c>
      <c r="H5416" s="128" t="str">
        <f>VLOOKUP(source[[#This Row],[lending_product_transform]],[3]Mapping!$B$3:$D$37,3,0)</f>
        <v>cashloan</v>
      </c>
      <c r="I5416" s="135">
        <v>206134396</v>
      </c>
    </row>
    <row r="5417" spans="1:9" x14ac:dyDescent="0.2">
      <c r="A5417" s="134">
        <v>45722</v>
      </c>
      <c r="B5417" s="135">
        <f>YEAR(source[[#This Row],[report_date]])</f>
        <v>2025</v>
      </c>
      <c r="C5417" s="128">
        <f t="shared" si="248"/>
        <v>3</v>
      </c>
      <c r="D5417" s="136">
        <f t="shared" si="250"/>
        <v>10</v>
      </c>
      <c r="E5417" s="136">
        <f t="shared" si="249"/>
        <v>6</v>
      </c>
      <c r="F5417" s="128" t="s">
        <v>24</v>
      </c>
      <c r="G5417" s="128" t="str">
        <f>VLOOKUP(source[[#This Row],[lending_product_transform]],[3]Mapping!$B$4:$C$37,2,0)</f>
        <v>[Cake] - Cashloan</v>
      </c>
      <c r="H5417" s="128" t="str">
        <f>VLOOKUP(source[[#This Row],[lending_product_transform]],[3]Mapping!$B$3:$D$37,3,0)</f>
        <v>cashloan</v>
      </c>
      <c r="I5417" s="135">
        <v>0</v>
      </c>
    </row>
    <row r="5418" spans="1:9" x14ac:dyDescent="0.2">
      <c r="A5418" s="134">
        <v>45722</v>
      </c>
      <c r="B5418" s="135">
        <f>YEAR(source[[#This Row],[report_date]])</f>
        <v>2025</v>
      </c>
      <c r="C5418" s="128">
        <f t="shared" si="248"/>
        <v>3</v>
      </c>
      <c r="D5418" s="136">
        <f t="shared" si="250"/>
        <v>10</v>
      </c>
      <c r="E5418" s="136">
        <f t="shared" si="249"/>
        <v>6</v>
      </c>
      <c r="F5418" s="128" t="s">
        <v>24</v>
      </c>
      <c r="G5418" s="128" t="str">
        <f>VLOOKUP(source[[#This Row],[lending_product_transform]],[3]Mapping!$B$4:$C$37,2,0)</f>
        <v>[Cake] - Cashloan</v>
      </c>
      <c r="H5418" s="128" t="str">
        <f>VLOOKUP(source[[#This Row],[lending_product_transform]],[3]Mapping!$B$3:$D$37,3,0)</f>
        <v>cashloan</v>
      </c>
      <c r="I5418" s="135">
        <v>517518733</v>
      </c>
    </row>
    <row r="5419" spans="1:9" x14ac:dyDescent="0.2">
      <c r="A5419" s="134">
        <v>45722</v>
      </c>
      <c r="B5419" s="135">
        <f>YEAR(source[[#This Row],[report_date]])</f>
        <v>2025</v>
      </c>
      <c r="C5419" s="128">
        <f t="shared" si="248"/>
        <v>3</v>
      </c>
      <c r="D5419" s="136">
        <f t="shared" si="250"/>
        <v>10</v>
      </c>
      <c r="E5419" s="136">
        <f t="shared" si="249"/>
        <v>6</v>
      </c>
      <c r="F5419" s="128" t="s">
        <v>24</v>
      </c>
      <c r="G5419" s="128" t="str">
        <f>VLOOKUP(source[[#This Row],[lending_product_transform]],[3]Mapping!$B$4:$C$37,2,0)</f>
        <v>[Cake] - Cashloan</v>
      </c>
      <c r="H5419" s="128" t="str">
        <f>VLOOKUP(source[[#This Row],[lending_product_transform]],[3]Mapping!$B$3:$D$37,3,0)</f>
        <v>cashloan</v>
      </c>
      <c r="I5419" s="135">
        <v>3570661890</v>
      </c>
    </row>
    <row r="5420" spans="1:9" x14ac:dyDescent="0.2">
      <c r="A5420" s="134">
        <v>45722</v>
      </c>
      <c r="B5420" s="135">
        <f>YEAR(source[[#This Row],[report_date]])</f>
        <v>2025</v>
      </c>
      <c r="C5420" s="128">
        <f t="shared" si="248"/>
        <v>3</v>
      </c>
      <c r="D5420" s="136">
        <f t="shared" si="250"/>
        <v>10</v>
      </c>
      <c r="E5420" s="136">
        <f t="shared" si="249"/>
        <v>6</v>
      </c>
      <c r="F5420" s="128" t="s">
        <v>24</v>
      </c>
      <c r="G5420" s="128" t="str">
        <f>VLOOKUP(source[[#This Row],[lending_product_transform]],[3]Mapping!$B$4:$C$37,2,0)</f>
        <v>[Cake] - Cashloan</v>
      </c>
      <c r="H5420" s="128" t="str">
        <f>VLOOKUP(source[[#This Row],[lending_product_transform]],[3]Mapping!$B$3:$D$37,3,0)</f>
        <v>cashloan</v>
      </c>
      <c r="I5420" s="135">
        <v>5198950000</v>
      </c>
    </row>
    <row r="5421" spans="1:9" x14ac:dyDescent="0.2">
      <c r="A5421" s="134">
        <v>45722</v>
      </c>
      <c r="B5421" s="135">
        <f>YEAR(source[[#This Row],[report_date]])</f>
        <v>2025</v>
      </c>
      <c r="C5421" s="128">
        <f t="shared" si="248"/>
        <v>3</v>
      </c>
      <c r="D5421" s="136">
        <f t="shared" si="250"/>
        <v>10</v>
      </c>
      <c r="E5421" s="136">
        <f t="shared" si="249"/>
        <v>6</v>
      </c>
      <c r="F5421" s="128" t="s">
        <v>24</v>
      </c>
      <c r="G5421" s="128" t="str">
        <f>VLOOKUP(source[[#This Row],[lending_product_transform]],[3]Mapping!$B$4:$C$37,2,0)</f>
        <v>[Cake] - Cashloan</v>
      </c>
      <c r="H5421" s="128" t="str">
        <f>VLOOKUP(source[[#This Row],[lending_product_transform]],[3]Mapping!$B$3:$D$37,3,0)</f>
        <v>cashloan</v>
      </c>
      <c r="I5421" s="135">
        <v>5304000000</v>
      </c>
    </row>
    <row r="5422" spans="1:9" x14ac:dyDescent="0.2">
      <c r="A5422" s="134">
        <v>45722</v>
      </c>
      <c r="B5422" s="135">
        <f>YEAR(source[[#This Row],[report_date]])</f>
        <v>2025</v>
      </c>
      <c r="C5422" s="128">
        <f t="shared" si="248"/>
        <v>3</v>
      </c>
      <c r="D5422" s="136">
        <f t="shared" si="250"/>
        <v>10</v>
      </c>
      <c r="E5422" s="136">
        <f t="shared" si="249"/>
        <v>6</v>
      </c>
      <c r="F5422" s="128" t="s">
        <v>24</v>
      </c>
      <c r="G5422" s="128" t="str">
        <f>VLOOKUP(source[[#This Row],[lending_product_transform]],[3]Mapping!$B$4:$C$37,2,0)</f>
        <v>[Cake] - Cashloan</v>
      </c>
      <c r="H5422" s="128" t="str">
        <f>VLOOKUP(source[[#This Row],[lending_product_transform]],[3]Mapping!$B$3:$D$37,3,0)</f>
        <v>cashloan</v>
      </c>
      <c r="I5422" s="135">
        <v>16050000</v>
      </c>
    </row>
    <row r="5423" spans="1:9" x14ac:dyDescent="0.2">
      <c r="A5423" s="134">
        <v>45722</v>
      </c>
      <c r="B5423" s="135">
        <f>YEAR(source[[#This Row],[report_date]])</f>
        <v>2025</v>
      </c>
      <c r="C5423" s="128">
        <f t="shared" si="248"/>
        <v>3</v>
      </c>
      <c r="D5423" s="136">
        <f t="shared" si="250"/>
        <v>10</v>
      </c>
      <c r="E5423" s="136">
        <f t="shared" si="249"/>
        <v>6</v>
      </c>
      <c r="F5423" s="128" t="s">
        <v>24</v>
      </c>
      <c r="G5423" s="128" t="str">
        <f>VLOOKUP(source[[#This Row],[lending_product_transform]],[3]Mapping!$B$4:$C$37,2,0)</f>
        <v>[Cake] - Cashloan</v>
      </c>
      <c r="H5423" s="128" t="str">
        <f>VLOOKUP(source[[#This Row],[lending_product_transform]],[3]Mapping!$B$3:$D$37,3,0)</f>
        <v>cashloan</v>
      </c>
      <c r="I5423" s="135">
        <v>100000</v>
      </c>
    </row>
    <row r="5424" spans="1:9" x14ac:dyDescent="0.2">
      <c r="A5424" s="134">
        <v>45722</v>
      </c>
      <c r="B5424" s="135">
        <f>YEAR(source[[#This Row],[report_date]])</f>
        <v>2025</v>
      </c>
      <c r="C5424" s="128">
        <f t="shared" si="248"/>
        <v>3</v>
      </c>
      <c r="D5424" s="136">
        <f t="shared" si="250"/>
        <v>10</v>
      </c>
      <c r="E5424" s="136">
        <f t="shared" si="249"/>
        <v>6</v>
      </c>
      <c r="F5424" s="128" t="s">
        <v>24</v>
      </c>
      <c r="G5424" s="128" t="str">
        <f>VLOOKUP(source[[#This Row],[lending_product_transform]],[3]Mapping!$B$4:$C$37,2,0)</f>
        <v>[Cake] - Cashloan</v>
      </c>
      <c r="H5424" s="128" t="str">
        <f>VLOOKUP(source[[#This Row],[lending_product_transform]],[3]Mapping!$B$3:$D$37,3,0)</f>
        <v>cashloan</v>
      </c>
      <c r="I5424" s="135">
        <v>6420000</v>
      </c>
    </row>
    <row r="5425" spans="1:9" x14ac:dyDescent="0.2">
      <c r="A5425" s="134">
        <v>45722</v>
      </c>
      <c r="B5425" s="135">
        <f>YEAR(source[[#This Row],[report_date]])</f>
        <v>2025</v>
      </c>
      <c r="C5425" s="128">
        <f t="shared" si="248"/>
        <v>3</v>
      </c>
      <c r="D5425" s="136">
        <f t="shared" si="250"/>
        <v>10</v>
      </c>
      <c r="E5425" s="136">
        <f t="shared" si="249"/>
        <v>6</v>
      </c>
      <c r="F5425" s="128" t="s">
        <v>24</v>
      </c>
      <c r="G5425" s="128" t="str">
        <f>VLOOKUP(source[[#This Row],[lending_product_transform]],[3]Mapping!$B$4:$C$37,2,0)</f>
        <v>[Cake] - Cashloan</v>
      </c>
      <c r="H5425" s="128" t="str">
        <f>VLOOKUP(source[[#This Row],[lending_product_transform]],[3]Mapping!$B$3:$D$37,3,0)</f>
        <v>cashloan</v>
      </c>
      <c r="I5425" s="135">
        <v>6234460000</v>
      </c>
    </row>
    <row r="5426" spans="1:9" x14ac:dyDescent="0.2">
      <c r="A5426" s="134">
        <v>45722</v>
      </c>
      <c r="B5426" s="135">
        <f>YEAR(source[[#This Row],[report_date]])</f>
        <v>2025</v>
      </c>
      <c r="C5426" s="128">
        <f t="shared" ref="C5426:C5489" si="251">MONTH(A5426)</f>
        <v>3</v>
      </c>
      <c r="D5426" s="136">
        <f t="shared" si="250"/>
        <v>10</v>
      </c>
      <c r="E5426" s="136">
        <f t="shared" ref="E5426:E5489" si="252">DAY(A5426)</f>
        <v>6</v>
      </c>
      <c r="F5426" s="128" t="s">
        <v>24</v>
      </c>
      <c r="G5426" s="128" t="str">
        <f>VLOOKUP(source[[#This Row],[lending_product_transform]],[3]Mapping!$B$4:$C$37,2,0)</f>
        <v>[Cake] - Cashloan</v>
      </c>
      <c r="H5426" s="128" t="str">
        <f>VLOOKUP(source[[#This Row],[lending_product_transform]],[3]Mapping!$B$3:$D$37,3,0)</f>
        <v>cashloan</v>
      </c>
      <c r="I5426" s="135">
        <v>101000000</v>
      </c>
    </row>
    <row r="5427" spans="1:9" x14ac:dyDescent="0.2">
      <c r="A5427" s="134">
        <v>45722</v>
      </c>
      <c r="B5427" s="135">
        <f>YEAR(source[[#This Row],[report_date]])</f>
        <v>2025</v>
      </c>
      <c r="C5427" s="128">
        <f t="shared" si="251"/>
        <v>3</v>
      </c>
      <c r="D5427" s="136">
        <f t="shared" si="250"/>
        <v>10</v>
      </c>
      <c r="E5427" s="136">
        <f t="shared" si="252"/>
        <v>6</v>
      </c>
      <c r="F5427" s="128" t="s">
        <v>24</v>
      </c>
      <c r="G5427" s="128" t="str">
        <f>VLOOKUP(source[[#This Row],[lending_product_transform]],[3]Mapping!$B$4:$C$37,2,0)</f>
        <v>[Cake] - Cashloan</v>
      </c>
      <c r="H5427" s="128" t="str">
        <f>VLOOKUP(source[[#This Row],[lending_product_transform]],[3]Mapping!$B$3:$D$37,3,0)</f>
        <v>cashloan</v>
      </c>
      <c r="I5427" s="135">
        <v>0</v>
      </c>
    </row>
    <row r="5428" spans="1:9" x14ac:dyDescent="0.2">
      <c r="A5428" s="134">
        <v>45722</v>
      </c>
      <c r="B5428" s="135">
        <f>YEAR(source[[#This Row],[report_date]])</f>
        <v>2025</v>
      </c>
      <c r="C5428" s="128">
        <f t="shared" si="251"/>
        <v>3</v>
      </c>
      <c r="D5428" s="136">
        <f t="shared" si="250"/>
        <v>10</v>
      </c>
      <c r="E5428" s="136">
        <f t="shared" si="252"/>
        <v>6</v>
      </c>
      <c r="F5428" s="128" t="s">
        <v>24</v>
      </c>
      <c r="G5428" s="128" t="str">
        <f>VLOOKUP(source[[#This Row],[lending_product_transform]],[3]Mapping!$B$4:$C$37,2,0)</f>
        <v>[Cake] - Cashloan</v>
      </c>
      <c r="H5428" s="128" t="str">
        <f>VLOOKUP(source[[#This Row],[lending_product_transform]],[3]Mapping!$B$3:$D$37,3,0)</f>
        <v>cashloan</v>
      </c>
      <c r="I5428" s="135">
        <v>0</v>
      </c>
    </row>
    <row r="5429" spans="1:9" x14ac:dyDescent="0.2">
      <c r="A5429" s="134">
        <v>45722</v>
      </c>
      <c r="B5429" s="135">
        <f>YEAR(source[[#This Row],[report_date]])</f>
        <v>2025</v>
      </c>
      <c r="C5429" s="128">
        <f t="shared" si="251"/>
        <v>3</v>
      </c>
      <c r="D5429" s="136">
        <f t="shared" si="250"/>
        <v>10</v>
      </c>
      <c r="E5429" s="136">
        <f t="shared" si="252"/>
        <v>6</v>
      </c>
      <c r="F5429" s="128" t="s">
        <v>24</v>
      </c>
      <c r="G5429" s="128" t="str">
        <f>VLOOKUP(source[[#This Row],[lending_product_transform]],[3]Mapping!$B$4:$C$37,2,0)</f>
        <v>[Cake] - Cashloan</v>
      </c>
      <c r="H5429" s="128" t="str">
        <f>VLOOKUP(source[[#This Row],[lending_product_transform]],[3]Mapping!$B$3:$D$37,3,0)</f>
        <v>cashloan</v>
      </c>
      <c r="I5429" s="135">
        <v>40374851</v>
      </c>
    </row>
    <row r="5430" spans="1:9" x14ac:dyDescent="0.2">
      <c r="A5430" s="134">
        <v>45722</v>
      </c>
      <c r="B5430" s="135">
        <f>YEAR(source[[#This Row],[report_date]])</f>
        <v>2025</v>
      </c>
      <c r="C5430" s="128">
        <f t="shared" si="251"/>
        <v>3</v>
      </c>
      <c r="D5430" s="136">
        <f t="shared" si="250"/>
        <v>10</v>
      </c>
      <c r="E5430" s="136">
        <f t="shared" si="252"/>
        <v>6</v>
      </c>
      <c r="F5430" s="128" t="s">
        <v>24</v>
      </c>
      <c r="G5430" s="128" t="str">
        <f>VLOOKUP(source[[#This Row],[lending_product_transform]],[3]Mapping!$B$4:$C$37,2,0)</f>
        <v>[Cake] - Cashloan</v>
      </c>
      <c r="H5430" s="128" t="str">
        <f>VLOOKUP(source[[#This Row],[lending_product_transform]],[3]Mapping!$B$3:$D$37,3,0)</f>
        <v>cashloan</v>
      </c>
      <c r="I5430" s="135">
        <v>0</v>
      </c>
    </row>
    <row r="5431" spans="1:9" x14ac:dyDescent="0.2">
      <c r="A5431" s="134">
        <v>45723</v>
      </c>
      <c r="B5431" s="135">
        <f>YEAR(source[[#This Row],[report_date]])</f>
        <v>2025</v>
      </c>
      <c r="C5431" s="128">
        <f t="shared" si="251"/>
        <v>3</v>
      </c>
      <c r="D5431" s="136">
        <f t="shared" si="250"/>
        <v>10</v>
      </c>
      <c r="E5431" s="136">
        <f t="shared" si="252"/>
        <v>7</v>
      </c>
      <c r="F5431" s="128" t="s">
        <v>24</v>
      </c>
      <c r="G5431" s="128" t="str">
        <f>VLOOKUP(source[[#This Row],[lending_product_transform]],[3]Mapping!$B$4:$C$37,2,0)</f>
        <v>[Cake] - Cashloan</v>
      </c>
      <c r="H5431" s="128" t="str">
        <f>VLOOKUP(source[[#This Row],[lending_product_transform]],[3]Mapping!$B$3:$D$37,3,0)</f>
        <v>cashloan</v>
      </c>
      <c r="I5431" s="135">
        <v>6721370000</v>
      </c>
    </row>
    <row r="5432" spans="1:9" x14ac:dyDescent="0.2">
      <c r="A5432" s="134">
        <v>45723</v>
      </c>
      <c r="B5432" s="135">
        <f>YEAR(source[[#This Row],[report_date]])</f>
        <v>2025</v>
      </c>
      <c r="C5432" s="128">
        <f t="shared" si="251"/>
        <v>3</v>
      </c>
      <c r="D5432" s="136">
        <f t="shared" si="250"/>
        <v>10</v>
      </c>
      <c r="E5432" s="136">
        <f t="shared" si="252"/>
        <v>7</v>
      </c>
      <c r="F5432" s="128" t="s">
        <v>24</v>
      </c>
      <c r="G5432" s="128" t="str">
        <f>VLOOKUP(source[[#This Row],[lending_product_transform]],[3]Mapping!$B$4:$C$37,2,0)</f>
        <v>[Cake] - Cashloan</v>
      </c>
      <c r="H5432" s="128" t="str">
        <f>VLOOKUP(source[[#This Row],[lending_product_transform]],[3]Mapping!$B$3:$D$37,3,0)</f>
        <v>cashloan</v>
      </c>
      <c r="I5432" s="135">
        <v>1017983516</v>
      </c>
    </row>
    <row r="5433" spans="1:9" x14ac:dyDescent="0.2">
      <c r="A5433" s="134">
        <v>45723</v>
      </c>
      <c r="B5433" s="135">
        <f>YEAR(source[[#This Row],[report_date]])</f>
        <v>2025</v>
      </c>
      <c r="C5433" s="128">
        <f t="shared" si="251"/>
        <v>3</v>
      </c>
      <c r="D5433" s="136">
        <f t="shared" si="250"/>
        <v>10</v>
      </c>
      <c r="E5433" s="136">
        <f t="shared" si="252"/>
        <v>7</v>
      </c>
      <c r="F5433" s="128" t="s">
        <v>24</v>
      </c>
      <c r="G5433" s="128" t="str">
        <f>VLOOKUP(source[[#This Row],[lending_product_transform]],[3]Mapping!$B$4:$C$37,2,0)</f>
        <v>[Cake] - Cashloan</v>
      </c>
      <c r="H5433" s="128" t="str">
        <f>VLOOKUP(source[[#This Row],[lending_product_transform]],[3]Mapping!$B$3:$D$37,3,0)</f>
        <v>cashloan</v>
      </c>
      <c r="I5433" s="135">
        <v>0</v>
      </c>
    </row>
    <row r="5434" spans="1:9" x14ac:dyDescent="0.2">
      <c r="A5434" s="134">
        <v>45723</v>
      </c>
      <c r="B5434" s="135">
        <f>YEAR(source[[#This Row],[report_date]])</f>
        <v>2025</v>
      </c>
      <c r="C5434" s="128">
        <f t="shared" si="251"/>
        <v>3</v>
      </c>
      <c r="D5434" s="136">
        <f t="shared" si="250"/>
        <v>10</v>
      </c>
      <c r="E5434" s="136">
        <f t="shared" si="252"/>
        <v>7</v>
      </c>
      <c r="F5434" s="128" t="s">
        <v>24</v>
      </c>
      <c r="G5434" s="128" t="str">
        <f>VLOOKUP(source[[#This Row],[lending_product_transform]],[3]Mapping!$B$4:$C$37,2,0)</f>
        <v>[Cake] - Cashloan</v>
      </c>
      <c r="H5434" s="128" t="str">
        <f>VLOOKUP(source[[#This Row],[lending_product_transform]],[3]Mapping!$B$3:$D$37,3,0)</f>
        <v>cashloan</v>
      </c>
      <c r="I5434" s="135">
        <v>778407138</v>
      </c>
    </row>
    <row r="5435" spans="1:9" x14ac:dyDescent="0.2">
      <c r="A5435" s="134">
        <v>45723</v>
      </c>
      <c r="B5435" s="135">
        <f>YEAR(source[[#This Row],[report_date]])</f>
        <v>2025</v>
      </c>
      <c r="C5435" s="128">
        <f t="shared" si="251"/>
        <v>3</v>
      </c>
      <c r="D5435" s="136">
        <f t="shared" si="250"/>
        <v>10</v>
      </c>
      <c r="E5435" s="136">
        <f t="shared" si="252"/>
        <v>7</v>
      </c>
      <c r="F5435" s="128" t="s">
        <v>24</v>
      </c>
      <c r="G5435" s="128" t="str">
        <f>VLOOKUP(source[[#This Row],[lending_product_transform]],[3]Mapping!$B$4:$C$37,2,0)</f>
        <v>[Cake] - Cashloan</v>
      </c>
      <c r="H5435" s="128" t="str">
        <f>VLOOKUP(source[[#This Row],[lending_product_transform]],[3]Mapping!$B$3:$D$37,3,0)</f>
        <v>cashloan</v>
      </c>
      <c r="I5435" s="135">
        <v>64778975</v>
      </c>
    </row>
    <row r="5436" spans="1:9" x14ac:dyDescent="0.2">
      <c r="A5436" s="134">
        <v>45723</v>
      </c>
      <c r="B5436" s="135">
        <f>YEAR(source[[#This Row],[report_date]])</f>
        <v>2025</v>
      </c>
      <c r="C5436" s="128">
        <f t="shared" si="251"/>
        <v>3</v>
      </c>
      <c r="D5436" s="136">
        <f t="shared" si="250"/>
        <v>10</v>
      </c>
      <c r="E5436" s="136">
        <f t="shared" si="252"/>
        <v>7</v>
      </c>
      <c r="F5436" s="128" t="s">
        <v>24</v>
      </c>
      <c r="G5436" s="128" t="str">
        <f>VLOOKUP(source[[#This Row],[lending_product_transform]],[3]Mapping!$B$4:$C$37,2,0)</f>
        <v>[Cake] - Cashloan</v>
      </c>
      <c r="H5436" s="128" t="str">
        <f>VLOOKUP(source[[#This Row],[lending_product_transform]],[3]Mapping!$B$3:$D$37,3,0)</f>
        <v>cashloan</v>
      </c>
      <c r="I5436" s="135">
        <v>67500000</v>
      </c>
    </row>
    <row r="5437" spans="1:9" x14ac:dyDescent="0.2">
      <c r="A5437" s="134">
        <v>45723</v>
      </c>
      <c r="B5437" s="135">
        <f>YEAR(source[[#This Row],[report_date]])</f>
        <v>2025</v>
      </c>
      <c r="C5437" s="128">
        <f t="shared" si="251"/>
        <v>3</v>
      </c>
      <c r="D5437" s="136">
        <f t="shared" si="250"/>
        <v>10</v>
      </c>
      <c r="E5437" s="136">
        <f t="shared" si="252"/>
        <v>7</v>
      </c>
      <c r="F5437" s="128" t="s">
        <v>24</v>
      </c>
      <c r="G5437" s="128" t="str">
        <f>VLOOKUP(source[[#This Row],[lending_product_transform]],[3]Mapping!$B$4:$C$37,2,0)</f>
        <v>[Cake] - Cashloan</v>
      </c>
      <c r="H5437" s="128" t="str">
        <f>VLOOKUP(source[[#This Row],[lending_product_transform]],[3]Mapping!$B$3:$D$37,3,0)</f>
        <v>cashloan</v>
      </c>
      <c r="I5437" s="135">
        <v>4010057953</v>
      </c>
    </row>
    <row r="5438" spans="1:9" x14ac:dyDescent="0.2">
      <c r="A5438" s="134">
        <v>45723</v>
      </c>
      <c r="B5438" s="135">
        <f>YEAR(source[[#This Row],[report_date]])</f>
        <v>2025</v>
      </c>
      <c r="C5438" s="128">
        <f t="shared" si="251"/>
        <v>3</v>
      </c>
      <c r="D5438" s="136">
        <f t="shared" si="250"/>
        <v>10</v>
      </c>
      <c r="E5438" s="136">
        <f t="shared" si="252"/>
        <v>7</v>
      </c>
      <c r="F5438" s="128" t="s">
        <v>24</v>
      </c>
      <c r="G5438" s="128" t="str">
        <f>VLOOKUP(source[[#This Row],[lending_product_transform]],[3]Mapping!$B$4:$C$37,2,0)</f>
        <v>[Cake] - Cashloan</v>
      </c>
      <c r="H5438" s="128" t="str">
        <f>VLOOKUP(source[[#This Row],[lending_product_transform]],[3]Mapping!$B$3:$D$37,3,0)</f>
        <v>cashloan</v>
      </c>
      <c r="I5438" s="135">
        <v>10700000</v>
      </c>
    </row>
    <row r="5439" spans="1:9" x14ac:dyDescent="0.2">
      <c r="A5439" s="134">
        <v>45723</v>
      </c>
      <c r="B5439" s="135">
        <f>YEAR(source[[#This Row],[report_date]])</f>
        <v>2025</v>
      </c>
      <c r="C5439" s="128">
        <f t="shared" si="251"/>
        <v>3</v>
      </c>
      <c r="D5439" s="136">
        <f t="shared" si="250"/>
        <v>10</v>
      </c>
      <c r="E5439" s="136">
        <f t="shared" si="252"/>
        <v>7</v>
      </c>
      <c r="F5439" s="128" t="s">
        <v>24</v>
      </c>
      <c r="G5439" s="128" t="str">
        <f>VLOOKUP(source[[#This Row],[lending_product_transform]],[3]Mapping!$B$4:$C$37,2,0)</f>
        <v>[Cake] - Cashloan</v>
      </c>
      <c r="H5439" s="128" t="str">
        <f>VLOOKUP(source[[#This Row],[lending_product_transform]],[3]Mapping!$B$3:$D$37,3,0)</f>
        <v>cashloan</v>
      </c>
      <c r="I5439" s="135">
        <v>0</v>
      </c>
    </row>
    <row r="5440" spans="1:9" x14ac:dyDescent="0.2">
      <c r="A5440" s="134">
        <v>45723</v>
      </c>
      <c r="B5440" s="135">
        <f>YEAR(source[[#This Row],[report_date]])</f>
        <v>2025</v>
      </c>
      <c r="C5440" s="128">
        <f t="shared" si="251"/>
        <v>3</v>
      </c>
      <c r="D5440" s="136">
        <f t="shared" si="250"/>
        <v>10</v>
      </c>
      <c r="E5440" s="136">
        <f t="shared" si="252"/>
        <v>7</v>
      </c>
      <c r="F5440" s="128" t="s">
        <v>24</v>
      </c>
      <c r="G5440" s="128" t="str">
        <f>VLOOKUP(source[[#This Row],[lending_product_transform]],[3]Mapping!$B$4:$C$37,2,0)</f>
        <v>[Cake] - Cashloan</v>
      </c>
      <c r="H5440" s="128" t="str">
        <f>VLOOKUP(source[[#This Row],[lending_product_transform]],[3]Mapping!$B$3:$D$37,3,0)</f>
        <v>cashloan</v>
      </c>
      <c r="I5440" s="135">
        <v>74200000</v>
      </c>
    </row>
    <row r="5441" spans="1:9" x14ac:dyDescent="0.2">
      <c r="A5441" s="134">
        <v>45723</v>
      </c>
      <c r="B5441" s="135">
        <f>YEAR(source[[#This Row],[report_date]])</f>
        <v>2025</v>
      </c>
      <c r="C5441" s="128">
        <f t="shared" si="251"/>
        <v>3</v>
      </c>
      <c r="D5441" s="136">
        <f t="shared" si="250"/>
        <v>10</v>
      </c>
      <c r="E5441" s="136">
        <f t="shared" si="252"/>
        <v>7</v>
      </c>
      <c r="F5441" s="128" t="s">
        <v>24</v>
      </c>
      <c r="G5441" s="128" t="str">
        <f>VLOOKUP(source[[#This Row],[lending_product_transform]],[3]Mapping!$B$4:$C$37,2,0)</f>
        <v>[Cake] - Cashloan</v>
      </c>
      <c r="H5441" s="128" t="str">
        <f>VLOOKUP(source[[#This Row],[lending_product_transform]],[3]Mapping!$B$3:$D$37,3,0)</f>
        <v>cashloan</v>
      </c>
      <c r="I5441" s="135">
        <v>2550000</v>
      </c>
    </row>
    <row r="5442" spans="1:9" x14ac:dyDescent="0.2">
      <c r="A5442" s="134">
        <v>45723</v>
      </c>
      <c r="B5442" s="135">
        <f>YEAR(source[[#This Row],[report_date]])</f>
        <v>2025</v>
      </c>
      <c r="C5442" s="128">
        <f t="shared" si="251"/>
        <v>3</v>
      </c>
      <c r="D5442" s="136">
        <f t="shared" si="250"/>
        <v>10</v>
      </c>
      <c r="E5442" s="136">
        <f t="shared" si="252"/>
        <v>7</v>
      </c>
      <c r="F5442" s="128" t="s">
        <v>24</v>
      </c>
      <c r="G5442" s="128" t="str">
        <f>VLOOKUP(source[[#This Row],[lending_product_transform]],[3]Mapping!$B$4:$C$37,2,0)</f>
        <v>[Cake] - Cashloan</v>
      </c>
      <c r="H5442" s="128" t="str">
        <f>VLOOKUP(source[[#This Row],[lending_product_transform]],[3]Mapping!$B$3:$D$37,3,0)</f>
        <v>cashloan</v>
      </c>
      <c r="I5442" s="135">
        <v>364230000</v>
      </c>
    </row>
    <row r="5443" spans="1:9" x14ac:dyDescent="0.2">
      <c r="A5443" s="134">
        <v>45723</v>
      </c>
      <c r="B5443" s="135">
        <f>YEAR(source[[#This Row],[report_date]])</f>
        <v>2025</v>
      </c>
      <c r="C5443" s="128">
        <f t="shared" si="251"/>
        <v>3</v>
      </c>
      <c r="D5443" s="136">
        <f t="shared" ref="D5443:D5506" si="253">WEEKNUM(A5443,2)</f>
        <v>10</v>
      </c>
      <c r="E5443" s="136">
        <f t="shared" si="252"/>
        <v>7</v>
      </c>
      <c r="F5443" s="128" t="s">
        <v>24</v>
      </c>
      <c r="G5443" s="128" t="str">
        <f>VLOOKUP(source[[#This Row],[lending_product_transform]],[3]Mapping!$B$4:$C$37,2,0)</f>
        <v>[Cake] - Cashloan</v>
      </c>
      <c r="H5443" s="128" t="str">
        <f>VLOOKUP(source[[#This Row],[lending_product_transform]],[3]Mapping!$B$3:$D$37,3,0)</f>
        <v>cashloan</v>
      </c>
      <c r="I5443" s="135">
        <v>0</v>
      </c>
    </row>
    <row r="5444" spans="1:9" x14ac:dyDescent="0.2">
      <c r="A5444" s="134">
        <v>45723</v>
      </c>
      <c r="B5444" s="135">
        <f>YEAR(source[[#This Row],[report_date]])</f>
        <v>2025</v>
      </c>
      <c r="C5444" s="128">
        <f t="shared" si="251"/>
        <v>3</v>
      </c>
      <c r="D5444" s="136">
        <f t="shared" si="253"/>
        <v>10</v>
      </c>
      <c r="E5444" s="136">
        <f t="shared" si="252"/>
        <v>7</v>
      </c>
      <c r="F5444" s="128" t="s">
        <v>24</v>
      </c>
      <c r="G5444" s="128" t="str">
        <f>VLOOKUP(source[[#This Row],[lending_product_transform]],[3]Mapping!$B$4:$C$37,2,0)</f>
        <v>[Cake] - Cashloan</v>
      </c>
      <c r="H5444" s="128" t="str">
        <f>VLOOKUP(source[[#This Row],[lending_product_transform]],[3]Mapping!$B$3:$D$37,3,0)</f>
        <v>cashloan</v>
      </c>
      <c r="I5444" s="135">
        <v>671710000</v>
      </c>
    </row>
    <row r="5445" spans="1:9" x14ac:dyDescent="0.2">
      <c r="A5445" s="134">
        <v>45723</v>
      </c>
      <c r="B5445" s="135">
        <f>YEAR(source[[#This Row],[report_date]])</f>
        <v>2025</v>
      </c>
      <c r="C5445" s="128">
        <f t="shared" si="251"/>
        <v>3</v>
      </c>
      <c r="D5445" s="136">
        <f t="shared" si="253"/>
        <v>10</v>
      </c>
      <c r="E5445" s="136">
        <f t="shared" si="252"/>
        <v>7</v>
      </c>
      <c r="F5445" s="128" t="s">
        <v>24</v>
      </c>
      <c r="G5445" s="128" t="str">
        <f>VLOOKUP(source[[#This Row],[lending_product_transform]],[3]Mapping!$B$4:$C$37,2,0)</f>
        <v>[Cake] - Cashloan</v>
      </c>
      <c r="H5445" s="128" t="str">
        <f>VLOOKUP(source[[#This Row],[lending_product_transform]],[3]Mapping!$B$3:$D$37,3,0)</f>
        <v>cashloan</v>
      </c>
      <c r="I5445" s="135">
        <v>5410490000</v>
      </c>
    </row>
    <row r="5446" spans="1:9" x14ac:dyDescent="0.2">
      <c r="A5446" s="134">
        <v>45723</v>
      </c>
      <c r="B5446" s="135">
        <f>YEAR(source[[#This Row],[report_date]])</f>
        <v>2025</v>
      </c>
      <c r="C5446" s="128">
        <f t="shared" si="251"/>
        <v>3</v>
      </c>
      <c r="D5446" s="136">
        <f t="shared" si="253"/>
        <v>10</v>
      </c>
      <c r="E5446" s="136">
        <f t="shared" si="252"/>
        <v>7</v>
      </c>
      <c r="F5446" s="128" t="s">
        <v>24</v>
      </c>
      <c r="G5446" s="128" t="str">
        <f>VLOOKUP(source[[#This Row],[lending_product_transform]],[3]Mapping!$B$4:$C$37,2,0)</f>
        <v>[Cake] - Cashloan</v>
      </c>
      <c r="H5446" s="128" t="str">
        <f>VLOOKUP(source[[#This Row],[lending_product_transform]],[3]Mapping!$B$3:$D$37,3,0)</f>
        <v>cashloan</v>
      </c>
      <c r="I5446" s="135">
        <v>108000000</v>
      </c>
    </row>
    <row r="5447" spans="1:9" x14ac:dyDescent="0.2">
      <c r="A5447" s="134">
        <v>45723</v>
      </c>
      <c r="B5447" s="135">
        <f>YEAR(source[[#This Row],[report_date]])</f>
        <v>2025</v>
      </c>
      <c r="C5447" s="128">
        <f t="shared" si="251"/>
        <v>3</v>
      </c>
      <c r="D5447" s="136">
        <f t="shared" si="253"/>
        <v>10</v>
      </c>
      <c r="E5447" s="136">
        <f t="shared" si="252"/>
        <v>7</v>
      </c>
      <c r="F5447" s="128" t="s">
        <v>24</v>
      </c>
      <c r="G5447" s="128" t="str">
        <f>VLOOKUP(source[[#This Row],[lending_product_transform]],[3]Mapping!$B$4:$C$37,2,0)</f>
        <v>[Cake] - Cashloan</v>
      </c>
      <c r="H5447" s="128" t="str">
        <f>VLOOKUP(source[[#This Row],[lending_product_transform]],[3]Mapping!$B$3:$D$37,3,0)</f>
        <v>cashloan</v>
      </c>
      <c r="I5447" s="135">
        <v>372940263</v>
      </c>
    </row>
    <row r="5448" spans="1:9" x14ac:dyDescent="0.2">
      <c r="A5448" s="134">
        <v>45723</v>
      </c>
      <c r="B5448" s="135">
        <f>YEAR(source[[#This Row],[report_date]])</f>
        <v>2025</v>
      </c>
      <c r="C5448" s="128">
        <f t="shared" si="251"/>
        <v>3</v>
      </c>
      <c r="D5448" s="136">
        <f t="shared" si="253"/>
        <v>10</v>
      </c>
      <c r="E5448" s="136">
        <f t="shared" si="252"/>
        <v>7</v>
      </c>
      <c r="F5448" s="128" t="s">
        <v>24</v>
      </c>
      <c r="G5448" s="128" t="str">
        <f>VLOOKUP(source[[#This Row],[lending_product_transform]],[3]Mapping!$B$4:$C$37,2,0)</f>
        <v>[Cake] - Cashloan</v>
      </c>
      <c r="H5448" s="128" t="str">
        <f>VLOOKUP(source[[#This Row],[lending_product_transform]],[3]Mapping!$B$3:$D$37,3,0)</f>
        <v>cashloan</v>
      </c>
      <c r="I5448" s="135">
        <v>0</v>
      </c>
    </row>
    <row r="5449" spans="1:9" x14ac:dyDescent="0.2">
      <c r="A5449" s="134">
        <v>45723</v>
      </c>
      <c r="B5449" s="135">
        <f>YEAR(source[[#This Row],[report_date]])</f>
        <v>2025</v>
      </c>
      <c r="C5449" s="128">
        <f t="shared" si="251"/>
        <v>3</v>
      </c>
      <c r="D5449" s="136">
        <f t="shared" si="253"/>
        <v>10</v>
      </c>
      <c r="E5449" s="136">
        <f t="shared" si="252"/>
        <v>7</v>
      </c>
      <c r="F5449" s="128" t="s">
        <v>24</v>
      </c>
      <c r="G5449" s="128" t="str">
        <f>VLOOKUP(source[[#This Row],[lending_product_transform]],[3]Mapping!$B$4:$C$37,2,0)</f>
        <v>[Cake] - Cashloan</v>
      </c>
      <c r="H5449" s="128" t="str">
        <f>VLOOKUP(source[[#This Row],[lending_product_transform]],[3]Mapping!$B$3:$D$37,3,0)</f>
        <v>cashloan</v>
      </c>
      <c r="I5449" s="135">
        <v>5634500000</v>
      </c>
    </row>
    <row r="5450" spans="1:9" x14ac:dyDescent="0.2">
      <c r="A5450" s="134">
        <v>45724</v>
      </c>
      <c r="B5450" s="135">
        <f>YEAR(source[[#This Row],[report_date]])</f>
        <v>2025</v>
      </c>
      <c r="C5450" s="128">
        <f t="shared" si="251"/>
        <v>3</v>
      </c>
      <c r="D5450" s="136">
        <f t="shared" si="253"/>
        <v>10</v>
      </c>
      <c r="E5450" s="136">
        <f t="shared" si="252"/>
        <v>8</v>
      </c>
      <c r="F5450" s="128" t="s">
        <v>24</v>
      </c>
      <c r="G5450" s="128" t="str">
        <f>VLOOKUP(source[[#This Row],[lending_product_transform]],[3]Mapping!$B$4:$C$37,2,0)</f>
        <v>[Cake] - Cashloan</v>
      </c>
      <c r="H5450" s="128" t="str">
        <f>VLOOKUP(source[[#This Row],[lending_product_transform]],[3]Mapping!$B$3:$D$37,3,0)</f>
        <v>cashloan</v>
      </c>
      <c r="I5450" s="135">
        <v>4549300000</v>
      </c>
    </row>
    <row r="5451" spans="1:9" x14ac:dyDescent="0.2">
      <c r="A5451" s="134">
        <v>45724</v>
      </c>
      <c r="B5451" s="135">
        <f>YEAR(source[[#This Row],[report_date]])</f>
        <v>2025</v>
      </c>
      <c r="C5451" s="128">
        <f t="shared" si="251"/>
        <v>3</v>
      </c>
      <c r="D5451" s="136">
        <f t="shared" si="253"/>
        <v>10</v>
      </c>
      <c r="E5451" s="136">
        <f t="shared" si="252"/>
        <v>8</v>
      </c>
      <c r="F5451" s="128" t="s">
        <v>24</v>
      </c>
      <c r="G5451" s="128" t="str">
        <f>VLOOKUP(source[[#This Row],[lending_product_transform]],[3]Mapping!$B$4:$C$37,2,0)</f>
        <v>[Cake] - Cashloan</v>
      </c>
      <c r="H5451" s="128" t="str">
        <f>VLOOKUP(source[[#This Row],[lending_product_transform]],[3]Mapping!$B$3:$D$37,3,0)</f>
        <v>cashloan</v>
      </c>
      <c r="I5451" s="135">
        <v>4773500000</v>
      </c>
    </row>
    <row r="5452" spans="1:9" x14ac:dyDescent="0.2">
      <c r="A5452" s="134">
        <v>45724</v>
      </c>
      <c r="B5452" s="135">
        <f>YEAR(source[[#This Row],[report_date]])</f>
        <v>2025</v>
      </c>
      <c r="C5452" s="128">
        <f t="shared" si="251"/>
        <v>3</v>
      </c>
      <c r="D5452" s="136">
        <f t="shared" si="253"/>
        <v>10</v>
      </c>
      <c r="E5452" s="136">
        <f t="shared" si="252"/>
        <v>8</v>
      </c>
      <c r="F5452" s="128" t="s">
        <v>24</v>
      </c>
      <c r="G5452" s="128" t="str">
        <f>VLOOKUP(source[[#This Row],[lending_product_transform]],[3]Mapping!$B$4:$C$37,2,0)</f>
        <v>[Cake] - Cashloan</v>
      </c>
      <c r="H5452" s="128" t="str">
        <f>VLOOKUP(source[[#This Row],[lending_product_transform]],[3]Mapping!$B$3:$D$37,3,0)</f>
        <v>cashloan</v>
      </c>
      <c r="I5452" s="135">
        <v>3183811165</v>
      </c>
    </row>
    <row r="5453" spans="1:9" x14ac:dyDescent="0.2">
      <c r="A5453" s="134">
        <v>45724</v>
      </c>
      <c r="B5453" s="135">
        <f>YEAR(source[[#This Row],[report_date]])</f>
        <v>2025</v>
      </c>
      <c r="C5453" s="128">
        <f t="shared" si="251"/>
        <v>3</v>
      </c>
      <c r="D5453" s="136">
        <f t="shared" si="253"/>
        <v>10</v>
      </c>
      <c r="E5453" s="136">
        <f t="shared" si="252"/>
        <v>8</v>
      </c>
      <c r="F5453" s="128" t="s">
        <v>24</v>
      </c>
      <c r="G5453" s="128" t="str">
        <f>VLOOKUP(source[[#This Row],[lending_product_transform]],[3]Mapping!$B$4:$C$37,2,0)</f>
        <v>[Cake] - Cashloan</v>
      </c>
      <c r="H5453" s="128" t="str">
        <f>VLOOKUP(source[[#This Row],[lending_product_transform]],[3]Mapping!$B$3:$D$37,3,0)</f>
        <v>cashloan</v>
      </c>
      <c r="I5453" s="135">
        <v>5432750000</v>
      </c>
    </row>
    <row r="5454" spans="1:9" x14ac:dyDescent="0.2">
      <c r="A5454" s="134">
        <v>45724</v>
      </c>
      <c r="B5454" s="135">
        <f>YEAR(source[[#This Row],[report_date]])</f>
        <v>2025</v>
      </c>
      <c r="C5454" s="128">
        <f t="shared" si="251"/>
        <v>3</v>
      </c>
      <c r="D5454" s="136">
        <f t="shared" si="253"/>
        <v>10</v>
      </c>
      <c r="E5454" s="136">
        <f t="shared" si="252"/>
        <v>8</v>
      </c>
      <c r="F5454" s="128" t="s">
        <v>24</v>
      </c>
      <c r="G5454" s="128" t="str">
        <f>VLOOKUP(source[[#This Row],[lending_product_transform]],[3]Mapping!$B$4:$C$37,2,0)</f>
        <v>[Cake] - Cashloan</v>
      </c>
      <c r="H5454" s="128" t="str">
        <f>VLOOKUP(source[[#This Row],[lending_product_transform]],[3]Mapping!$B$3:$D$37,3,0)</f>
        <v>cashloan</v>
      </c>
      <c r="I5454" s="135">
        <v>0</v>
      </c>
    </row>
    <row r="5455" spans="1:9" x14ac:dyDescent="0.2">
      <c r="A5455" s="134">
        <v>45724</v>
      </c>
      <c r="B5455" s="135">
        <f>YEAR(source[[#This Row],[report_date]])</f>
        <v>2025</v>
      </c>
      <c r="C5455" s="128">
        <f t="shared" si="251"/>
        <v>3</v>
      </c>
      <c r="D5455" s="136">
        <f t="shared" si="253"/>
        <v>10</v>
      </c>
      <c r="E5455" s="136">
        <f t="shared" si="252"/>
        <v>8</v>
      </c>
      <c r="F5455" s="128" t="s">
        <v>24</v>
      </c>
      <c r="G5455" s="128" t="str">
        <f>VLOOKUP(source[[#This Row],[lending_product_transform]],[3]Mapping!$B$4:$C$37,2,0)</f>
        <v>[Cake] - Cashloan</v>
      </c>
      <c r="H5455" s="128" t="str">
        <f>VLOOKUP(source[[#This Row],[lending_product_transform]],[3]Mapping!$B$3:$D$37,3,0)</f>
        <v>cashloan</v>
      </c>
      <c r="I5455" s="135">
        <v>706195387</v>
      </c>
    </row>
    <row r="5456" spans="1:9" x14ac:dyDescent="0.2">
      <c r="A5456" s="134">
        <v>45724</v>
      </c>
      <c r="B5456" s="135">
        <f>YEAR(source[[#This Row],[report_date]])</f>
        <v>2025</v>
      </c>
      <c r="C5456" s="128">
        <f t="shared" si="251"/>
        <v>3</v>
      </c>
      <c r="D5456" s="136">
        <f t="shared" si="253"/>
        <v>10</v>
      </c>
      <c r="E5456" s="136">
        <f t="shared" si="252"/>
        <v>8</v>
      </c>
      <c r="F5456" s="128" t="s">
        <v>24</v>
      </c>
      <c r="G5456" s="128" t="str">
        <f>VLOOKUP(source[[#This Row],[lending_product_transform]],[3]Mapping!$B$4:$C$37,2,0)</f>
        <v>[Cake] - Cashloan</v>
      </c>
      <c r="H5456" s="128" t="str">
        <f>VLOOKUP(source[[#This Row],[lending_product_transform]],[3]Mapping!$B$3:$D$37,3,0)</f>
        <v>cashloan</v>
      </c>
      <c r="I5456" s="135">
        <v>31602202</v>
      </c>
    </row>
    <row r="5457" spans="1:9" x14ac:dyDescent="0.2">
      <c r="A5457" s="134">
        <v>45724</v>
      </c>
      <c r="B5457" s="135">
        <f>YEAR(source[[#This Row],[report_date]])</f>
        <v>2025</v>
      </c>
      <c r="C5457" s="128">
        <f t="shared" si="251"/>
        <v>3</v>
      </c>
      <c r="D5457" s="136">
        <f t="shared" si="253"/>
        <v>10</v>
      </c>
      <c r="E5457" s="136">
        <f t="shared" si="252"/>
        <v>8</v>
      </c>
      <c r="F5457" s="128" t="s">
        <v>24</v>
      </c>
      <c r="G5457" s="128" t="str">
        <f>VLOOKUP(source[[#This Row],[lending_product_transform]],[3]Mapping!$B$4:$C$37,2,0)</f>
        <v>[Cake] - Cashloan</v>
      </c>
      <c r="H5457" s="128" t="str">
        <f>VLOOKUP(source[[#This Row],[lending_product_transform]],[3]Mapping!$B$3:$D$37,3,0)</f>
        <v>cashloan</v>
      </c>
      <c r="I5457" s="135">
        <v>42000000</v>
      </c>
    </row>
    <row r="5458" spans="1:9" x14ac:dyDescent="0.2">
      <c r="A5458" s="134">
        <v>45724</v>
      </c>
      <c r="B5458" s="135">
        <f>YEAR(source[[#This Row],[report_date]])</f>
        <v>2025</v>
      </c>
      <c r="C5458" s="128">
        <f t="shared" si="251"/>
        <v>3</v>
      </c>
      <c r="D5458" s="136">
        <f t="shared" si="253"/>
        <v>10</v>
      </c>
      <c r="E5458" s="136">
        <f t="shared" si="252"/>
        <v>8</v>
      </c>
      <c r="F5458" s="128" t="s">
        <v>24</v>
      </c>
      <c r="G5458" s="128" t="str">
        <f>VLOOKUP(source[[#This Row],[lending_product_transform]],[3]Mapping!$B$4:$C$37,2,0)</f>
        <v>[Cake] - Cashloan</v>
      </c>
      <c r="H5458" s="128" t="str">
        <f>VLOOKUP(source[[#This Row],[lending_product_transform]],[3]Mapping!$B$3:$D$37,3,0)</f>
        <v>cashloan</v>
      </c>
      <c r="I5458" s="135">
        <v>56000000</v>
      </c>
    </row>
    <row r="5459" spans="1:9" x14ac:dyDescent="0.2">
      <c r="A5459" s="134">
        <v>45724</v>
      </c>
      <c r="B5459" s="135">
        <f>YEAR(source[[#This Row],[report_date]])</f>
        <v>2025</v>
      </c>
      <c r="C5459" s="128">
        <f t="shared" si="251"/>
        <v>3</v>
      </c>
      <c r="D5459" s="136">
        <f t="shared" si="253"/>
        <v>10</v>
      </c>
      <c r="E5459" s="136">
        <f t="shared" si="252"/>
        <v>8</v>
      </c>
      <c r="F5459" s="128" t="s">
        <v>24</v>
      </c>
      <c r="G5459" s="128" t="str">
        <f>VLOOKUP(source[[#This Row],[lending_product_transform]],[3]Mapping!$B$4:$C$37,2,0)</f>
        <v>[Cake] - Cashloan</v>
      </c>
      <c r="H5459" s="128" t="str">
        <f>VLOOKUP(source[[#This Row],[lending_product_transform]],[3]Mapping!$B$3:$D$37,3,0)</f>
        <v>cashloan</v>
      </c>
      <c r="I5459" s="135">
        <v>0</v>
      </c>
    </row>
    <row r="5460" spans="1:9" x14ac:dyDescent="0.2">
      <c r="A5460" s="134">
        <v>45724</v>
      </c>
      <c r="B5460" s="135">
        <f>YEAR(source[[#This Row],[report_date]])</f>
        <v>2025</v>
      </c>
      <c r="C5460" s="128">
        <f t="shared" si="251"/>
        <v>3</v>
      </c>
      <c r="D5460" s="136">
        <f t="shared" si="253"/>
        <v>10</v>
      </c>
      <c r="E5460" s="136">
        <f t="shared" si="252"/>
        <v>8</v>
      </c>
      <c r="F5460" s="128" t="s">
        <v>24</v>
      </c>
      <c r="G5460" s="128" t="str">
        <f>VLOOKUP(source[[#This Row],[lending_product_transform]],[3]Mapping!$B$4:$C$37,2,0)</f>
        <v>[Cake] - Cashloan</v>
      </c>
      <c r="H5460" s="128" t="str">
        <f>VLOOKUP(source[[#This Row],[lending_product_transform]],[3]Mapping!$B$3:$D$37,3,0)</f>
        <v>cashloan</v>
      </c>
      <c r="I5460" s="135">
        <v>0</v>
      </c>
    </row>
    <row r="5461" spans="1:9" x14ac:dyDescent="0.2">
      <c r="A5461" s="134">
        <v>45724</v>
      </c>
      <c r="B5461" s="135">
        <f>YEAR(source[[#This Row],[report_date]])</f>
        <v>2025</v>
      </c>
      <c r="C5461" s="128">
        <f t="shared" si="251"/>
        <v>3</v>
      </c>
      <c r="D5461" s="136">
        <f t="shared" si="253"/>
        <v>10</v>
      </c>
      <c r="E5461" s="136">
        <f t="shared" si="252"/>
        <v>8</v>
      </c>
      <c r="F5461" s="128" t="s">
        <v>24</v>
      </c>
      <c r="G5461" s="128" t="str">
        <f>VLOOKUP(source[[#This Row],[lending_product_transform]],[3]Mapping!$B$4:$C$37,2,0)</f>
        <v>[Cake] - Cashloan</v>
      </c>
      <c r="H5461" s="128" t="str">
        <f>VLOOKUP(source[[#This Row],[lending_product_transform]],[3]Mapping!$B$3:$D$37,3,0)</f>
        <v>cashloan</v>
      </c>
      <c r="I5461" s="135">
        <v>20000000</v>
      </c>
    </row>
    <row r="5462" spans="1:9" x14ac:dyDescent="0.2">
      <c r="A5462" s="134">
        <v>45724</v>
      </c>
      <c r="B5462" s="135">
        <f>YEAR(source[[#This Row],[report_date]])</f>
        <v>2025</v>
      </c>
      <c r="C5462" s="128">
        <f t="shared" si="251"/>
        <v>3</v>
      </c>
      <c r="D5462" s="136">
        <f t="shared" si="253"/>
        <v>10</v>
      </c>
      <c r="E5462" s="136">
        <f t="shared" si="252"/>
        <v>8</v>
      </c>
      <c r="F5462" s="128" t="s">
        <v>24</v>
      </c>
      <c r="G5462" s="128" t="str">
        <f>VLOOKUP(source[[#This Row],[lending_product_transform]],[3]Mapping!$B$4:$C$37,2,0)</f>
        <v>[Cake] - Cashloan</v>
      </c>
      <c r="H5462" s="128" t="str">
        <f>VLOOKUP(source[[#This Row],[lending_product_transform]],[3]Mapping!$B$3:$D$37,3,0)</f>
        <v>cashloan</v>
      </c>
      <c r="I5462" s="135">
        <v>0</v>
      </c>
    </row>
    <row r="5463" spans="1:9" x14ac:dyDescent="0.2">
      <c r="A5463" s="134">
        <v>45724</v>
      </c>
      <c r="B5463" s="135">
        <f>YEAR(source[[#This Row],[report_date]])</f>
        <v>2025</v>
      </c>
      <c r="C5463" s="128">
        <f t="shared" si="251"/>
        <v>3</v>
      </c>
      <c r="D5463" s="136">
        <f t="shared" si="253"/>
        <v>10</v>
      </c>
      <c r="E5463" s="136">
        <f t="shared" si="252"/>
        <v>8</v>
      </c>
      <c r="F5463" s="128" t="s">
        <v>24</v>
      </c>
      <c r="G5463" s="128" t="str">
        <f>VLOOKUP(source[[#This Row],[lending_product_transform]],[3]Mapping!$B$4:$C$37,2,0)</f>
        <v>[Cake] - Cashloan</v>
      </c>
      <c r="H5463" s="128" t="str">
        <f>VLOOKUP(source[[#This Row],[lending_product_transform]],[3]Mapping!$B$3:$D$37,3,0)</f>
        <v>cashloan</v>
      </c>
      <c r="I5463" s="135">
        <v>296120000</v>
      </c>
    </row>
    <row r="5464" spans="1:9" x14ac:dyDescent="0.2">
      <c r="A5464" s="134">
        <v>45724</v>
      </c>
      <c r="B5464" s="135">
        <f>YEAR(source[[#This Row],[report_date]])</f>
        <v>2025</v>
      </c>
      <c r="C5464" s="128">
        <f t="shared" si="251"/>
        <v>3</v>
      </c>
      <c r="D5464" s="136">
        <f t="shared" si="253"/>
        <v>10</v>
      </c>
      <c r="E5464" s="136">
        <f t="shared" si="252"/>
        <v>8</v>
      </c>
      <c r="F5464" s="128" t="s">
        <v>24</v>
      </c>
      <c r="G5464" s="128" t="str">
        <f>VLOOKUP(source[[#This Row],[lending_product_transform]],[3]Mapping!$B$4:$C$37,2,0)</f>
        <v>[Cake] - Cashloan</v>
      </c>
      <c r="H5464" s="128" t="str">
        <f>VLOOKUP(source[[#This Row],[lending_product_transform]],[3]Mapping!$B$3:$D$37,3,0)</f>
        <v>cashloan</v>
      </c>
      <c r="I5464" s="135">
        <v>0</v>
      </c>
    </row>
    <row r="5465" spans="1:9" x14ac:dyDescent="0.2">
      <c r="A5465" s="134">
        <v>45724</v>
      </c>
      <c r="B5465" s="135">
        <f>YEAR(source[[#This Row],[report_date]])</f>
        <v>2025</v>
      </c>
      <c r="C5465" s="128">
        <f t="shared" si="251"/>
        <v>3</v>
      </c>
      <c r="D5465" s="136">
        <f t="shared" si="253"/>
        <v>10</v>
      </c>
      <c r="E5465" s="136">
        <f t="shared" si="252"/>
        <v>8</v>
      </c>
      <c r="F5465" s="128" t="s">
        <v>24</v>
      </c>
      <c r="G5465" s="128" t="str">
        <f>VLOOKUP(source[[#This Row],[lending_product_transform]],[3]Mapping!$B$4:$C$37,2,0)</f>
        <v>[Cake] - Cashloan</v>
      </c>
      <c r="H5465" s="128" t="str">
        <f>VLOOKUP(source[[#This Row],[lending_product_transform]],[3]Mapping!$B$3:$D$37,3,0)</f>
        <v>cashloan</v>
      </c>
      <c r="I5465" s="135">
        <v>577100000</v>
      </c>
    </row>
    <row r="5466" spans="1:9" x14ac:dyDescent="0.2">
      <c r="A5466" s="134">
        <v>45724</v>
      </c>
      <c r="B5466" s="135">
        <f>YEAR(source[[#This Row],[report_date]])</f>
        <v>2025</v>
      </c>
      <c r="C5466" s="128">
        <f t="shared" si="251"/>
        <v>3</v>
      </c>
      <c r="D5466" s="136">
        <f t="shared" si="253"/>
        <v>10</v>
      </c>
      <c r="E5466" s="136">
        <f t="shared" si="252"/>
        <v>8</v>
      </c>
      <c r="F5466" s="128" t="s">
        <v>24</v>
      </c>
      <c r="G5466" s="128" t="str">
        <f>VLOOKUP(source[[#This Row],[lending_product_transform]],[3]Mapping!$B$4:$C$37,2,0)</f>
        <v>[Cake] - Cashloan</v>
      </c>
      <c r="H5466" s="128" t="str">
        <f>VLOOKUP(source[[#This Row],[lending_product_transform]],[3]Mapping!$B$3:$D$37,3,0)</f>
        <v>cashloan</v>
      </c>
      <c r="I5466" s="135">
        <v>701819085</v>
      </c>
    </row>
    <row r="5467" spans="1:9" x14ac:dyDescent="0.2">
      <c r="A5467" s="134">
        <v>45724</v>
      </c>
      <c r="B5467" s="135">
        <f>YEAR(source[[#This Row],[report_date]])</f>
        <v>2025</v>
      </c>
      <c r="C5467" s="128">
        <f t="shared" si="251"/>
        <v>3</v>
      </c>
      <c r="D5467" s="136">
        <f t="shared" si="253"/>
        <v>10</v>
      </c>
      <c r="E5467" s="136">
        <f t="shared" si="252"/>
        <v>8</v>
      </c>
      <c r="F5467" s="128" t="s">
        <v>24</v>
      </c>
      <c r="G5467" s="128" t="str">
        <f>VLOOKUP(source[[#This Row],[lending_product_transform]],[3]Mapping!$B$4:$C$37,2,0)</f>
        <v>[Cake] - Cashloan</v>
      </c>
      <c r="H5467" s="128" t="str">
        <f>VLOOKUP(source[[#This Row],[lending_product_transform]],[3]Mapping!$B$3:$D$37,3,0)</f>
        <v>cashloan</v>
      </c>
      <c r="I5467" s="135">
        <v>354210195</v>
      </c>
    </row>
    <row r="5468" spans="1:9" x14ac:dyDescent="0.2">
      <c r="A5468" s="134">
        <v>45724</v>
      </c>
      <c r="B5468" s="135">
        <f>YEAR(source[[#This Row],[report_date]])</f>
        <v>2025</v>
      </c>
      <c r="C5468" s="128">
        <f t="shared" si="251"/>
        <v>3</v>
      </c>
      <c r="D5468" s="136">
        <f t="shared" si="253"/>
        <v>10</v>
      </c>
      <c r="E5468" s="136">
        <f t="shared" si="252"/>
        <v>8</v>
      </c>
      <c r="F5468" s="128" t="s">
        <v>24</v>
      </c>
      <c r="G5468" s="128" t="str">
        <f>VLOOKUP(source[[#This Row],[lending_product_transform]],[3]Mapping!$B$4:$C$37,2,0)</f>
        <v>[Cake] - Cashloan</v>
      </c>
      <c r="H5468" s="128" t="str">
        <f>VLOOKUP(source[[#This Row],[lending_product_transform]],[3]Mapping!$B$3:$D$37,3,0)</f>
        <v>cashloan</v>
      </c>
      <c r="I5468" s="135">
        <v>0</v>
      </c>
    </row>
    <row r="5469" spans="1:9" x14ac:dyDescent="0.2">
      <c r="A5469" s="134">
        <v>45725</v>
      </c>
      <c r="B5469" s="135">
        <f>YEAR(source[[#This Row],[report_date]])</f>
        <v>2025</v>
      </c>
      <c r="C5469" s="128">
        <f t="shared" si="251"/>
        <v>3</v>
      </c>
      <c r="D5469" s="136">
        <f t="shared" si="253"/>
        <v>10</v>
      </c>
      <c r="E5469" s="136">
        <f t="shared" si="252"/>
        <v>9</v>
      </c>
      <c r="F5469" s="128" t="s">
        <v>24</v>
      </c>
      <c r="G5469" s="128" t="str">
        <f>VLOOKUP(source[[#This Row],[lending_product_transform]],[3]Mapping!$B$4:$C$37,2,0)</f>
        <v>[Cake] - Cashloan</v>
      </c>
      <c r="H5469" s="128" t="str">
        <f>VLOOKUP(source[[#This Row],[lending_product_transform]],[3]Mapping!$B$3:$D$37,3,0)</f>
        <v>cashloan</v>
      </c>
      <c r="I5469" s="135">
        <v>4089020000</v>
      </c>
    </row>
    <row r="5470" spans="1:9" x14ac:dyDescent="0.2">
      <c r="A5470" s="134">
        <v>45725</v>
      </c>
      <c r="B5470" s="135">
        <f>YEAR(source[[#This Row],[report_date]])</f>
        <v>2025</v>
      </c>
      <c r="C5470" s="128">
        <f t="shared" si="251"/>
        <v>3</v>
      </c>
      <c r="D5470" s="136">
        <f t="shared" si="253"/>
        <v>10</v>
      </c>
      <c r="E5470" s="136">
        <f t="shared" si="252"/>
        <v>9</v>
      </c>
      <c r="F5470" s="128" t="s">
        <v>24</v>
      </c>
      <c r="G5470" s="128" t="str">
        <f>VLOOKUP(source[[#This Row],[lending_product_transform]],[3]Mapping!$B$4:$C$37,2,0)</f>
        <v>[Cake] - Cashloan</v>
      </c>
      <c r="H5470" s="128" t="str">
        <f>VLOOKUP(source[[#This Row],[lending_product_transform]],[3]Mapping!$B$3:$D$37,3,0)</f>
        <v>cashloan</v>
      </c>
      <c r="I5470" s="135">
        <v>4675000000</v>
      </c>
    </row>
    <row r="5471" spans="1:9" x14ac:dyDescent="0.2">
      <c r="A5471" s="134">
        <v>45725</v>
      </c>
      <c r="B5471" s="135">
        <f>YEAR(source[[#This Row],[report_date]])</f>
        <v>2025</v>
      </c>
      <c r="C5471" s="128">
        <f t="shared" si="251"/>
        <v>3</v>
      </c>
      <c r="D5471" s="136">
        <f t="shared" si="253"/>
        <v>10</v>
      </c>
      <c r="E5471" s="136">
        <f t="shared" si="252"/>
        <v>9</v>
      </c>
      <c r="F5471" s="128" t="s">
        <v>24</v>
      </c>
      <c r="G5471" s="128" t="str">
        <f>VLOOKUP(source[[#This Row],[lending_product_transform]],[3]Mapping!$B$4:$C$37,2,0)</f>
        <v>[Cake] - Cashloan</v>
      </c>
      <c r="H5471" s="128" t="str">
        <f>VLOOKUP(source[[#This Row],[lending_product_transform]],[3]Mapping!$B$3:$D$37,3,0)</f>
        <v>cashloan</v>
      </c>
      <c r="I5471" s="135">
        <v>5149830000</v>
      </c>
    </row>
    <row r="5472" spans="1:9" x14ac:dyDescent="0.2">
      <c r="A5472" s="134">
        <v>45725</v>
      </c>
      <c r="B5472" s="135">
        <f>YEAR(source[[#This Row],[report_date]])</f>
        <v>2025</v>
      </c>
      <c r="C5472" s="128">
        <f t="shared" si="251"/>
        <v>3</v>
      </c>
      <c r="D5472" s="136">
        <f t="shared" si="253"/>
        <v>10</v>
      </c>
      <c r="E5472" s="136">
        <f t="shared" si="252"/>
        <v>9</v>
      </c>
      <c r="F5472" s="128" t="s">
        <v>24</v>
      </c>
      <c r="G5472" s="128" t="str">
        <f>VLOOKUP(source[[#This Row],[lending_product_transform]],[3]Mapping!$B$4:$C$37,2,0)</f>
        <v>[Cake] - Cashloan</v>
      </c>
      <c r="H5472" s="128" t="str">
        <f>VLOOKUP(source[[#This Row],[lending_product_transform]],[3]Mapping!$B$3:$D$37,3,0)</f>
        <v>cashloan</v>
      </c>
      <c r="I5472" s="135">
        <v>0</v>
      </c>
    </row>
    <row r="5473" spans="1:9" x14ac:dyDescent="0.2">
      <c r="A5473" s="134">
        <v>45725</v>
      </c>
      <c r="B5473" s="135">
        <f>YEAR(source[[#This Row],[report_date]])</f>
        <v>2025</v>
      </c>
      <c r="C5473" s="128">
        <f t="shared" si="251"/>
        <v>3</v>
      </c>
      <c r="D5473" s="136">
        <f t="shared" si="253"/>
        <v>10</v>
      </c>
      <c r="E5473" s="136">
        <f t="shared" si="252"/>
        <v>9</v>
      </c>
      <c r="F5473" s="128" t="s">
        <v>24</v>
      </c>
      <c r="G5473" s="128" t="str">
        <f>VLOOKUP(source[[#This Row],[lending_product_transform]],[3]Mapping!$B$4:$C$37,2,0)</f>
        <v>[Cake] - Cashloan</v>
      </c>
      <c r="H5473" s="128" t="str">
        <f>VLOOKUP(source[[#This Row],[lending_product_transform]],[3]Mapping!$B$3:$D$37,3,0)</f>
        <v>cashloan</v>
      </c>
      <c r="I5473" s="135">
        <v>51360204</v>
      </c>
    </row>
    <row r="5474" spans="1:9" x14ac:dyDescent="0.2">
      <c r="A5474" s="134">
        <v>45725</v>
      </c>
      <c r="B5474" s="135">
        <f>YEAR(source[[#This Row],[report_date]])</f>
        <v>2025</v>
      </c>
      <c r="C5474" s="128">
        <f t="shared" si="251"/>
        <v>3</v>
      </c>
      <c r="D5474" s="136">
        <f t="shared" si="253"/>
        <v>10</v>
      </c>
      <c r="E5474" s="136">
        <f t="shared" si="252"/>
        <v>9</v>
      </c>
      <c r="F5474" s="128" t="s">
        <v>24</v>
      </c>
      <c r="G5474" s="128" t="str">
        <f>VLOOKUP(source[[#This Row],[lending_product_transform]],[3]Mapping!$B$4:$C$37,2,0)</f>
        <v>[Cake] - Cashloan</v>
      </c>
      <c r="H5474" s="128" t="str">
        <f>VLOOKUP(source[[#This Row],[lending_product_transform]],[3]Mapping!$B$3:$D$37,3,0)</f>
        <v>cashloan</v>
      </c>
      <c r="I5474" s="135">
        <v>109250000</v>
      </c>
    </row>
    <row r="5475" spans="1:9" x14ac:dyDescent="0.2">
      <c r="A5475" s="134">
        <v>45725</v>
      </c>
      <c r="B5475" s="135">
        <f>YEAR(source[[#This Row],[report_date]])</f>
        <v>2025</v>
      </c>
      <c r="C5475" s="128">
        <f t="shared" si="251"/>
        <v>3</v>
      </c>
      <c r="D5475" s="136">
        <f t="shared" si="253"/>
        <v>10</v>
      </c>
      <c r="E5475" s="136">
        <f t="shared" si="252"/>
        <v>9</v>
      </c>
      <c r="F5475" s="128" t="s">
        <v>24</v>
      </c>
      <c r="G5475" s="128" t="str">
        <f>VLOOKUP(source[[#This Row],[lending_product_transform]],[3]Mapping!$B$4:$C$37,2,0)</f>
        <v>[Cake] - Cashloan</v>
      </c>
      <c r="H5475" s="128" t="str">
        <f>VLOOKUP(source[[#This Row],[lending_product_transform]],[3]Mapping!$B$3:$D$37,3,0)</f>
        <v>cashloan</v>
      </c>
      <c r="I5475" s="135">
        <v>39000000</v>
      </c>
    </row>
    <row r="5476" spans="1:9" x14ac:dyDescent="0.2">
      <c r="A5476" s="134">
        <v>45725</v>
      </c>
      <c r="B5476" s="135">
        <f>YEAR(source[[#This Row],[report_date]])</f>
        <v>2025</v>
      </c>
      <c r="C5476" s="128">
        <f t="shared" si="251"/>
        <v>3</v>
      </c>
      <c r="D5476" s="136">
        <f t="shared" si="253"/>
        <v>10</v>
      </c>
      <c r="E5476" s="136">
        <f t="shared" si="252"/>
        <v>9</v>
      </c>
      <c r="F5476" s="128" t="s">
        <v>24</v>
      </c>
      <c r="G5476" s="128" t="str">
        <f>VLOOKUP(source[[#This Row],[lending_product_transform]],[3]Mapping!$B$4:$C$37,2,0)</f>
        <v>[Cake] - Cashloan</v>
      </c>
      <c r="H5476" s="128" t="str">
        <f>VLOOKUP(source[[#This Row],[lending_product_transform]],[3]Mapping!$B$3:$D$37,3,0)</f>
        <v>cashloan</v>
      </c>
      <c r="I5476" s="135">
        <v>0</v>
      </c>
    </row>
    <row r="5477" spans="1:9" x14ac:dyDescent="0.2">
      <c r="A5477" s="134">
        <v>45725</v>
      </c>
      <c r="B5477" s="135">
        <f>YEAR(source[[#This Row],[report_date]])</f>
        <v>2025</v>
      </c>
      <c r="C5477" s="128">
        <f t="shared" si="251"/>
        <v>3</v>
      </c>
      <c r="D5477" s="136">
        <f t="shared" si="253"/>
        <v>10</v>
      </c>
      <c r="E5477" s="136">
        <f t="shared" si="252"/>
        <v>9</v>
      </c>
      <c r="F5477" s="128" t="s">
        <v>24</v>
      </c>
      <c r="G5477" s="128" t="str">
        <f>VLOOKUP(source[[#This Row],[lending_product_transform]],[3]Mapping!$B$4:$C$37,2,0)</f>
        <v>[Cake] - Cashloan</v>
      </c>
      <c r="H5477" s="128" t="str">
        <f>VLOOKUP(source[[#This Row],[lending_product_transform]],[3]Mapping!$B$3:$D$37,3,0)</f>
        <v>cashloan</v>
      </c>
      <c r="I5477" s="135">
        <v>0</v>
      </c>
    </row>
    <row r="5478" spans="1:9" x14ac:dyDescent="0.2">
      <c r="A5478" s="134">
        <v>45725</v>
      </c>
      <c r="B5478" s="135">
        <f>YEAR(source[[#This Row],[report_date]])</f>
        <v>2025</v>
      </c>
      <c r="C5478" s="128">
        <f t="shared" si="251"/>
        <v>3</v>
      </c>
      <c r="D5478" s="136">
        <f t="shared" si="253"/>
        <v>10</v>
      </c>
      <c r="E5478" s="136">
        <f t="shared" si="252"/>
        <v>9</v>
      </c>
      <c r="F5478" s="128" t="s">
        <v>24</v>
      </c>
      <c r="G5478" s="128" t="str">
        <f>VLOOKUP(source[[#This Row],[lending_product_transform]],[3]Mapping!$B$4:$C$37,2,0)</f>
        <v>[Cake] - Cashloan</v>
      </c>
      <c r="H5478" s="128" t="str">
        <f>VLOOKUP(source[[#This Row],[lending_product_transform]],[3]Mapping!$B$3:$D$37,3,0)</f>
        <v>cashloan</v>
      </c>
      <c r="I5478" s="135">
        <v>10700000</v>
      </c>
    </row>
    <row r="5479" spans="1:9" x14ac:dyDescent="0.2">
      <c r="A5479" s="134">
        <v>45725</v>
      </c>
      <c r="B5479" s="135">
        <f>YEAR(source[[#This Row],[report_date]])</f>
        <v>2025</v>
      </c>
      <c r="C5479" s="128">
        <f t="shared" si="251"/>
        <v>3</v>
      </c>
      <c r="D5479" s="136">
        <f t="shared" si="253"/>
        <v>10</v>
      </c>
      <c r="E5479" s="136">
        <f t="shared" si="252"/>
        <v>9</v>
      </c>
      <c r="F5479" s="128" t="s">
        <v>24</v>
      </c>
      <c r="G5479" s="128" t="str">
        <f>VLOOKUP(source[[#This Row],[lending_product_transform]],[3]Mapping!$B$4:$C$37,2,0)</f>
        <v>[Cake] - Cashloan</v>
      </c>
      <c r="H5479" s="128" t="str">
        <f>VLOOKUP(source[[#This Row],[lending_product_transform]],[3]Mapping!$B$3:$D$37,3,0)</f>
        <v>cashloan</v>
      </c>
      <c r="I5479" s="135">
        <v>0</v>
      </c>
    </row>
    <row r="5480" spans="1:9" x14ac:dyDescent="0.2">
      <c r="A5480" s="134">
        <v>45725</v>
      </c>
      <c r="B5480" s="135">
        <f>YEAR(source[[#This Row],[report_date]])</f>
        <v>2025</v>
      </c>
      <c r="C5480" s="128">
        <f t="shared" si="251"/>
        <v>3</v>
      </c>
      <c r="D5480" s="136">
        <f t="shared" si="253"/>
        <v>10</v>
      </c>
      <c r="E5480" s="136">
        <f t="shared" si="252"/>
        <v>9</v>
      </c>
      <c r="F5480" s="128" t="s">
        <v>24</v>
      </c>
      <c r="G5480" s="128" t="str">
        <f>VLOOKUP(source[[#This Row],[lending_product_transform]],[3]Mapping!$B$4:$C$37,2,0)</f>
        <v>[Cake] - Cashloan</v>
      </c>
      <c r="H5480" s="128" t="str">
        <f>VLOOKUP(source[[#This Row],[lending_product_transform]],[3]Mapping!$B$3:$D$37,3,0)</f>
        <v>cashloan</v>
      </c>
      <c r="I5480" s="135">
        <v>180920000</v>
      </c>
    </row>
    <row r="5481" spans="1:9" x14ac:dyDescent="0.2">
      <c r="A5481" s="134">
        <v>45725</v>
      </c>
      <c r="B5481" s="135">
        <f>YEAR(source[[#This Row],[report_date]])</f>
        <v>2025</v>
      </c>
      <c r="C5481" s="128">
        <f t="shared" si="251"/>
        <v>3</v>
      </c>
      <c r="D5481" s="136">
        <f t="shared" si="253"/>
        <v>10</v>
      </c>
      <c r="E5481" s="136">
        <f t="shared" si="252"/>
        <v>9</v>
      </c>
      <c r="F5481" s="128" t="s">
        <v>24</v>
      </c>
      <c r="G5481" s="128" t="str">
        <f>VLOOKUP(source[[#This Row],[lending_product_transform]],[3]Mapping!$B$4:$C$37,2,0)</f>
        <v>[Cake] - Cashloan</v>
      </c>
      <c r="H5481" s="128" t="str">
        <f>VLOOKUP(source[[#This Row],[lending_product_transform]],[3]Mapping!$B$3:$D$37,3,0)</f>
        <v>cashloan</v>
      </c>
      <c r="I5481" s="135">
        <v>0</v>
      </c>
    </row>
    <row r="5482" spans="1:9" x14ac:dyDescent="0.2">
      <c r="A5482" s="134">
        <v>45725</v>
      </c>
      <c r="B5482" s="135">
        <f>YEAR(source[[#This Row],[report_date]])</f>
        <v>2025</v>
      </c>
      <c r="C5482" s="128">
        <f t="shared" si="251"/>
        <v>3</v>
      </c>
      <c r="D5482" s="136">
        <f t="shared" si="253"/>
        <v>10</v>
      </c>
      <c r="E5482" s="136">
        <f t="shared" si="252"/>
        <v>9</v>
      </c>
      <c r="F5482" s="128" t="s">
        <v>24</v>
      </c>
      <c r="G5482" s="128" t="str">
        <f>VLOOKUP(source[[#This Row],[lending_product_transform]],[3]Mapping!$B$4:$C$37,2,0)</f>
        <v>[Cake] - Cashloan</v>
      </c>
      <c r="H5482" s="128" t="str">
        <f>VLOOKUP(source[[#This Row],[lending_product_transform]],[3]Mapping!$B$3:$D$37,3,0)</f>
        <v>cashloan</v>
      </c>
      <c r="I5482" s="135">
        <v>339540000</v>
      </c>
    </row>
    <row r="5483" spans="1:9" x14ac:dyDescent="0.2">
      <c r="A5483" s="134">
        <v>45725</v>
      </c>
      <c r="B5483" s="135">
        <f>YEAR(source[[#This Row],[report_date]])</f>
        <v>2025</v>
      </c>
      <c r="C5483" s="128">
        <f t="shared" si="251"/>
        <v>3</v>
      </c>
      <c r="D5483" s="136">
        <f t="shared" si="253"/>
        <v>10</v>
      </c>
      <c r="E5483" s="136">
        <f t="shared" si="252"/>
        <v>9</v>
      </c>
      <c r="F5483" s="128" t="s">
        <v>24</v>
      </c>
      <c r="G5483" s="128" t="str">
        <f>VLOOKUP(source[[#This Row],[lending_product_transform]],[3]Mapping!$B$4:$C$37,2,0)</f>
        <v>[Cake] - Cashloan</v>
      </c>
      <c r="H5483" s="128" t="str">
        <f>VLOOKUP(source[[#This Row],[lending_product_transform]],[3]Mapping!$B$3:$D$37,3,0)</f>
        <v>cashloan</v>
      </c>
      <c r="I5483" s="135">
        <v>839258286</v>
      </c>
    </row>
    <row r="5484" spans="1:9" x14ac:dyDescent="0.2">
      <c r="A5484" s="134">
        <v>45725</v>
      </c>
      <c r="B5484" s="135">
        <f>YEAR(source[[#This Row],[report_date]])</f>
        <v>2025</v>
      </c>
      <c r="C5484" s="128">
        <f t="shared" si="251"/>
        <v>3</v>
      </c>
      <c r="D5484" s="136">
        <f t="shared" si="253"/>
        <v>10</v>
      </c>
      <c r="E5484" s="136">
        <f t="shared" si="252"/>
        <v>9</v>
      </c>
      <c r="F5484" s="128" t="s">
        <v>24</v>
      </c>
      <c r="G5484" s="128" t="str">
        <f>VLOOKUP(source[[#This Row],[lending_product_transform]],[3]Mapping!$B$4:$C$37,2,0)</f>
        <v>[Cake] - Cashloan</v>
      </c>
      <c r="H5484" s="128" t="str">
        <f>VLOOKUP(source[[#This Row],[lending_product_transform]],[3]Mapping!$B$3:$D$37,3,0)</f>
        <v>cashloan</v>
      </c>
      <c r="I5484" s="135">
        <v>323646129</v>
      </c>
    </row>
    <row r="5485" spans="1:9" x14ac:dyDescent="0.2">
      <c r="A5485" s="134">
        <v>45725</v>
      </c>
      <c r="B5485" s="135">
        <f>YEAR(source[[#This Row],[report_date]])</f>
        <v>2025</v>
      </c>
      <c r="C5485" s="128">
        <f t="shared" si="251"/>
        <v>3</v>
      </c>
      <c r="D5485" s="136">
        <f t="shared" si="253"/>
        <v>10</v>
      </c>
      <c r="E5485" s="136">
        <f t="shared" si="252"/>
        <v>9</v>
      </c>
      <c r="F5485" s="128" t="s">
        <v>24</v>
      </c>
      <c r="G5485" s="128" t="str">
        <f>VLOOKUP(source[[#This Row],[lending_product_transform]],[3]Mapping!$B$4:$C$37,2,0)</f>
        <v>[Cake] - Cashloan</v>
      </c>
      <c r="H5485" s="128" t="str">
        <f>VLOOKUP(source[[#This Row],[lending_product_transform]],[3]Mapping!$B$3:$D$37,3,0)</f>
        <v>cashloan</v>
      </c>
      <c r="I5485" s="135">
        <v>0</v>
      </c>
    </row>
    <row r="5486" spans="1:9" x14ac:dyDescent="0.2">
      <c r="A5486" s="134">
        <v>45725</v>
      </c>
      <c r="B5486" s="135">
        <f>YEAR(source[[#This Row],[report_date]])</f>
        <v>2025</v>
      </c>
      <c r="C5486" s="128">
        <f t="shared" si="251"/>
        <v>3</v>
      </c>
      <c r="D5486" s="136">
        <f t="shared" si="253"/>
        <v>10</v>
      </c>
      <c r="E5486" s="136">
        <f t="shared" si="252"/>
        <v>9</v>
      </c>
      <c r="F5486" s="128" t="s">
        <v>24</v>
      </c>
      <c r="G5486" s="128" t="str">
        <f>VLOOKUP(source[[#This Row],[lending_product_transform]],[3]Mapping!$B$4:$C$37,2,0)</f>
        <v>[Cake] - Cashloan</v>
      </c>
      <c r="H5486" s="128" t="str">
        <f>VLOOKUP(source[[#This Row],[lending_product_transform]],[3]Mapping!$B$3:$D$37,3,0)</f>
        <v>cashloan</v>
      </c>
      <c r="I5486" s="135">
        <v>538739975</v>
      </c>
    </row>
    <row r="5487" spans="1:9" x14ac:dyDescent="0.2">
      <c r="A5487" s="134">
        <v>45725</v>
      </c>
      <c r="B5487" s="135">
        <f>YEAR(source[[#This Row],[report_date]])</f>
        <v>2025</v>
      </c>
      <c r="C5487" s="128">
        <f t="shared" si="251"/>
        <v>3</v>
      </c>
      <c r="D5487" s="136">
        <f t="shared" si="253"/>
        <v>10</v>
      </c>
      <c r="E5487" s="136">
        <f t="shared" si="252"/>
        <v>9</v>
      </c>
      <c r="F5487" s="128" t="s">
        <v>24</v>
      </c>
      <c r="G5487" s="128" t="str">
        <f>VLOOKUP(source[[#This Row],[lending_product_transform]],[3]Mapping!$B$4:$C$37,2,0)</f>
        <v>[Cake] - Cashloan</v>
      </c>
      <c r="H5487" s="128" t="str">
        <f>VLOOKUP(source[[#This Row],[lending_product_transform]],[3]Mapping!$B$3:$D$37,3,0)</f>
        <v>cashloan</v>
      </c>
      <c r="I5487" s="135">
        <v>3242024504</v>
      </c>
    </row>
    <row r="5488" spans="1:9" x14ac:dyDescent="0.2">
      <c r="A5488" s="134">
        <v>45726</v>
      </c>
      <c r="B5488" s="135">
        <f>YEAR(source[[#This Row],[report_date]])</f>
        <v>2025</v>
      </c>
      <c r="C5488" s="128">
        <f t="shared" si="251"/>
        <v>3</v>
      </c>
      <c r="D5488" s="136">
        <f t="shared" si="253"/>
        <v>11</v>
      </c>
      <c r="E5488" s="136">
        <f t="shared" si="252"/>
        <v>10</v>
      </c>
      <c r="F5488" s="128" t="s">
        <v>24</v>
      </c>
      <c r="G5488" s="128" t="str">
        <f>VLOOKUP(source[[#This Row],[lending_product_transform]],[3]Mapping!$B$4:$C$37,2,0)</f>
        <v>[Cake] - Cashloan</v>
      </c>
      <c r="H5488" s="128" t="str">
        <f>VLOOKUP(source[[#This Row],[lending_product_transform]],[3]Mapping!$B$3:$D$37,3,0)</f>
        <v>cashloan</v>
      </c>
      <c r="I5488" s="135">
        <v>4349470921</v>
      </c>
    </row>
    <row r="5489" spans="1:9" x14ac:dyDescent="0.2">
      <c r="A5489" s="134">
        <v>45726</v>
      </c>
      <c r="B5489" s="135">
        <f>YEAR(source[[#This Row],[report_date]])</f>
        <v>2025</v>
      </c>
      <c r="C5489" s="128">
        <f t="shared" si="251"/>
        <v>3</v>
      </c>
      <c r="D5489" s="136">
        <f t="shared" si="253"/>
        <v>11</v>
      </c>
      <c r="E5489" s="136">
        <f t="shared" si="252"/>
        <v>10</v>
      </c>
      <c r="F5489" s="128" t="s">
        <v>24</v>
      </c>
      <c r="G5489" s="128" t="str">
        <f>VLOOKUP(source[[#This Row],[lending_product_transform]],[3]Mapping!$B$4:$C$37,2,0)</f>
        <v>[Cake] - Cashloan</v>
      </c>
      <c r="H5489" s="128" t="str">
        <f>VLOOKUP(source[[#This Row],[lending_product_transform]],[3]Mapping!$B$3:$D$37,3,0)</f>
        <v>cashloan</v>
      </c>
      <c r="I5489" s="135">
        <v>765050000</v>
      </c>
    </row>
    <row r="5490" spans="1:9" x14ac:dyDescent="0.2">
      <c r="A5490" s="134">
        <v>45726</v>
      </c>
      <c r="B5490" s="135">
        <f>YEAR(source[[#This Row],[report_date]])</f>
        <v>2025</v>
      </c>
      <c r="C5490" s="128">
        <f t="shared" ref="C5490:C5553" si="254">MONTH(A5490)</f>
        <v>3</v>
      </c>
      <c r="D5490" s="136">
        <f t="shared" si="253"/>
        <v>11</v>
      </c>
      <c r="E5490" s="136">
        <f t="shared" ref="E5490:E5553" si="255">DAY(A5490)</f>
        <v>10</v>
      </c>
      <c r="F5490" s="128" t="s">
        <v>24</v>
      </c>
      <c r="G5490" s="128" t="str">
        <f>VLOOKUP(source[[#This Row],[lending_product_transform]],[3]Mapping!$B$4:$C$37,2,0)</f>
        <v>[Cake] - Cashloan</v>
      </c>
      <c r="H5490" s="128" t="str">
        <f>VLOOKUP(source[[#This Row],[lending_product_transform]],[3]Mapping!$B$3:$D$37,3,0)</f>
        <v>cashloan</v>
      </c>
      <c r="I5490" s="135">
        <v>597985053</v>
      </c>
    </row>
    <row r="5491" spans="1:9" x14ac:dyDescent="0.2">
      <c r="A5491" s="134">
        <v>45726</v>
      </c>
      <c r="B5491" s="135">
        <f>YEAR(source[[#This Row],[report_date]])</f>
        <v>2025</v>
      </c>
      <c r="C5491" s="128">
        <f t="shared" si="254"/>
        <v>3</v>
      </c>
      <c r="D5491" s="136">
        <f t="shared" si="253"/>
        <v>11</v>
      </c>
      <c r="E5491" s="136">
        <f t="shared" si="255"/>
        <v>10</v>
      </c>
      <c r="F5491" s="128" t="s">
        <v>24</v>
      </c>
      <c r="G5491" s="128" t="str">
        <f>VLOOKUP(source[[#This Row],[lending_product_transform]],[3]Mapping!$B$4:$C$37,2,0)</f>
        <v>[Cake] - Cashloan</v>
      </c>
      <c r="H5491" s="128" t="str">
        <f>VLOOKUP(source[[#This Row],[lending_product_transform]],[3]Mapping!$B$3:$D$37,3,0)</f>
        <v>cashloan</v>
      </c>
      <c r="I5491" s="135">
        <v>46250000</v>
      </c>
    </row>
    <row r="5492" spans="1:9" x14ac:dyDescent="0.2">
      <c r="A5492" s="134">
        <v>45726</v>
      </c>
      <c r="B5492" s="135">
        <f>YEAR(source[[#This Row],[report_date]])</f>
        <v>2025</v>
      </c>
      <c r="C5492" s="128">
        <f t="shared" si="254"/>
        <v>3</v>
      </c>
      <c r="D5492" s="136">
        <f t="shared" si="253"/>
        <v>11</v>
      </c>
      <c r="E5492" s="136">
        <f t="shared" si="255"/>
        <v>10</v>
      </c>
      <c r="F5492" s="128" t="s">
        <v>24</v>
      </c>
      <c r="G5492" s="128" t="str">
        <f>VLOOKUP(source[[#This Row],[lending_product_transform]],[3]Mapping!$B$4:$C$37,2,0)</f>
        <v>[Cake] - Cashloan</v>
      </c>
      <c r="H5492" s="128" t="str">
        <f>VLOOKUP(source[[#This Row],[lending_product_transform]],[3]Mapping!$B$3:$D$37,3,0)</f>
        <v>cashloan</v>
      </c>
      <c r="I5492" s="135">
        <v>57000000</v>
      </c>
    </row>
    <row r="5493" spans="1:9" x14ac:dyDescent="0.2">
      <c r="A5493" s="134">
        <v>45726</v>
      </c>
      <c r="B5493" s="135">
        <f>YEAR(source[[#This Row],[report_date]])</f>
        <v>2025</v>
      </c>
      <c r="C5493" s="128">
        <f t="shared" si="254"/>
        <v>3</v>
      </c>
      <c r="D5493" s="136">
        <f t="shared" si="253"/>
        <v>11</v>
      </c>
      <c r="E5493" s="136">
        <f t="shared" si="255"/>
        <v>10</v>
      </c>
      <c r="F5493" s="128" t="s">
        <v>24</v>
      </c>
      <c r="G5493" s="128" t="str">
        <f>VLOOKUP(source[[#This Row],[lending_product_transform]],[3]Mapping!$B$4:$C$37,2,0)</f>
        <v>[Cake] - Cashloan</v>
      </c>
      <c r="H5493" s="128" t="str">
        <f>VLOOKUP(source[[#This Row],[lending_product_transform]],[3]Mapping!$B$3:$D$37,3,0)</f>
        <v>cashloan</v>
      </c>
      <c r="I5493" s="135">
        <v>243769004</v>
      </c>
    </row>
    <row r="5494" spans="1:9" x14ac:dyDescent="0.2">
      <c r="A5494" s="134">
        <v>45726</v>
      </c>
      <c r="B5494" s="135">
        <f>YEAR(source[[#This Row],[report_date]])</f>
        <v>2025</v>
      </c>
      <c r="C5494" s="128">
        <f t="shared" si="254"/>
        <v>3</v>
      </c>
      <c r="D5494" s="136">
        <f t="shared" si="253"/>
        <v>11</v>
      </c>
      <c r="E5494" s="136">
        <f t="shared" si="255"/>
        <v>10</v>
      </c>
      <c r="F5494" s="128" t="s">
        <v>24</v>
      </c>
      <c r="G5494" s="128" t="str">
        <f>VLOOKUP(source[[#This Row],[lending_product_transform]],[3]Mapping!$B$4:$C$37,2,0)</f>
        <v>[Cake] - Cashloan</v>
      </c>
      <c r="H5494" s="128" t="str">
        <f>VLOOKUP(source[[#This Row],[lending_product_transform]],[3]Mapping!$B$3:$D$37,3,0)</f>
        <v>cashloan</v>
      </c>
      <c r="I5494" s="135">
        <v>0</v>
      </c>
    </row>
    <row r="5495" spans="1:9" x14ac:dyDescent="0.2">
      <c r="A5495" s="134">
        <v>45726</v>
      </c>
      <c r="B5495" s="135">
        <f>YEAR(source[[#This Row],[report_date]])</f>
        <v>2025</v>
      </c>
      <c r="C5495" s="128">
        <f t="shared" si="254"/>
        <v>3</v>
      </c>
      <c r="D5495" s="136">
        <f t="shared" si="253"/>
        <v>11</v>
      </c>
      <c r="E5495" s="136">
        <f t="shared" si="255"/>
        <v>10</v>
      </c>
      <c r="F5495" s="128" t="s">
        <v>24</v>
      </c>
      <c r="G5495" s="128" t="str">
        <f>VLOOKUP(source[[#This Row],[lending_product_transform]],[3]Mapping!$B$4:$C$37,2,0)</f>
        <v>[Cake] - Cashloan</v>
      </c>
      <c r="H5495" s="128" t="str">
        <f>VLOOKUP(source[[#This Row],[lending_product_transform]],[3]Mapping!$B$3:$D$37,3,0)</f>
        <v>cashloan</v>
      </c>
      <c r="I5495" s="135">
        <v>10700000</v>
      </c>
    </row>
    <row r="5496" spans="1:9" x14ac:dyDescent="0.2">
      <c r="A5496" s="134">
        <v>45726</v>
      </c>
      <c r="B5496" s="135">
        <f>YEAR(source[[#This Row],[report_date]])</f>
        <v>2025</v>
      </c>
      <c r="C5496" s="128">
        <f t="shared" si="254"/>
        <v>3</v>
      </c>
      <c r="D5496" s="136">
        <f t="shared" si="253"/>
        <v>11</v>
      </c>
      <c r="E5496" s="136">
        <f t="shared" si="255"/>
        <v>10</v>
      </c>
      <c r="F5496" s="128" t="s">
        <v>24</v>
      </c>
      <c r="G5496" s="128" t="str">
        <f>VLOOKUP(source[[#This Row],[lending_product_transform]],[3]Mapping!$B$4:$C$37,2,0)</f>
        <v>[Cake] - Cashloan</v>
      </c>
      <c r="H5496" s="128" t="str">
        <f>VLOOKUP(source[[#This Row],[lending_product_transform]],[3]Mapping!$B$3:$D$37,3,0)</f>
        <v>cashloan</v>
      </c>
      <c r="I5496" s="135">
        <v>67410000</v>
      </c>
    </row>
    <row r="5497" spans="1:9" x14ac:dyDescent="0.2">
      <c r="A5497" s="134">
        <v>45726</v>
      </c>
      <c r="B5497" s="135">
        <f>YEAR(source[[#This Row],[report_date]])</f>
        <v>2025</v>
      </c>
      <c r="C5497" s="128">
        <f t="shared" si="254"/>
        <v>3</v>
      </c>
      <c r="D5497" s="136">
        <f t="shared" si="253"/>
        <v>11</v>
      </c>
      <c r="E5497" s="136">
        <f t="shared" si="255"/>
        <v>10</v>
      </c>
      <c r="F5497" s="128" t="s">
        <v>24</v>
      </c>
      <c r="G5497" s="128" t="str">
        <f>VLOOKUP(source[[#This Row],[lending_product_transform]],[3]Mapping!$B$4:$C$37,2,0)</f>
        <v>[Cake] - Cashloan</v>
      </c>
      <c r="H5497" s="128" t="str">
        <f>VLOOKUP(source[[#This Row],[lending_product_transform]],[3]Mapping!$B$3:$D$37,3,0)</f>
        <v>cashloan</v>
      </c>
      <c r="I5497" s="135">
        <v>0</v>
      </c>
    </row>
    <row r="5498" spans="1:9" x14ac:dyDescent="0.2">
      <c r="A5498" s="134">
        <v>45726</v>
      </c>
      <c r="B5498" s="135">
        <f>YEAR(source[[#This Row],[report_date]])</f>
        <v>2025</v>
      </c>
      <c r="C5498" s="128">
        <f t="shared" si="254"/>
        <v>3</v>
      </c>
      <c r="D5498" s="136">
        <f t="shared" si="253"/>
        <v>11</v>
      </c>
      <c r="E5498" s="136">
        <f t="shared" si="255"/>
        <v>10</v>
      </c>
      <c r="F5498" s="128" t="s">
        <v>24</v>
      </c>
      <c r="G5498" s="128" t="str">
        <f>VLOOKUP(source[[#This Row],[lending_product_transform]],[3]Mapping!$B$4:$C$37,2,0)</f>
        <v>[Cake] - Cashloan</v>
      </c>
      <c r="H5498" s="128" t="str">
        <f>VLOOKUP(source[[#This Row],[lending_product_transform]],[3]Mapping!$B$3:$D$37,3,0)</f>
        <v>cashloan</v>
      </c>
      <c r="I5498" s="135">
        <v>699990000</v>
      </c>
    </row>
    <row r="5499" spans="1:9" x14ac:dyDescent="0.2">
      <c r="A5499" s="134">
        <v>45726</v>
      </c>
      <c r="B5499" s="135">
        <f>YEAR(source[[#This Row],[report_date]])</f>
        <v>2025</v>
      </c>
      <c r="C5499" s="128">
        <f t="shared" si="254"/>
        <v>3</v>
      </c>
      <c r="D5499" s="136">
        <f t="shared" si="253"/>
        <v>11</v>
      </c>
      <c r="E5499" s="136">
        <f t="shared" si="255"/>
        <v>10</v>
      </c>
      <c r="F5499" s="128" t="s">
        <v>24</v>
      </c>
      <c r="G5499" s="128" t="str">
        <f>VLOOKUP(source[[#This Row],[lending_product_transform]],[3]Mapping!$B$4:$C$37,2,0)</f>
        <v>[Cake] - Cashloan</v>
      </c>
      <c r="H5499" s="128" t="str">
        <f>VLOOKUP(source[[#This Row],[lending_product_transform]],[3]Mapping!$B$3:$D$37,3,0)</f>
        <v>cashloan</v>
      </c>
      <c r="I5499" s="135">
        <v>10500000</v>
      </c>
    </row>
    <row r="5500" spans="1:9" x14ac:dyDescent="0.2">
      <c r="A5500" s="134">
        <v>45726</v>
      </c>
      <c r="B5500" s="135">
        <f>YEAR(source[[#This Row],[report_date]])</f>
        <v>2025</v>
      </c>
      <c r="C5500" s="128">
        <f t="shared" si="254"/>
        <v>3</v>
      </c>
      <c r="D5500" s="136">
        <f t="shared" si="253"/>
        <v>11</v>
      </c>
      <c r="E5500" s="136">
        <f t="shared" si="255"/>
        <v>10</v>
      </c>
      <c r="F5500" s="128" t="s">
        <v>24</v>
      </c>
      <c r="G5500" s="128" t="str">
        <f>VLOOKUP(source[[#This Row],[lending_product_transform]],[3]Mapping!$B$4:$C$37,2,0)</f>
        <v>[Cake] - Cashloan</v>
      </c>
      <c r="H5500" s="128" t="str">
        <f>VLOOKUP(source[[#This Row],[lending_product_transform]],[3]Mapping!$B$3:$D$37,3,0)</f>
        <v>cashloan</v>
      </c>
      <c r="I5500" s="135">
        <v>513242989</v>
      </c>
    </row>
    <row r="5501" spans="1:9" x14ac:dyDescent="0.2">
      <c r="A5501" s="134">
        <v>45726</v>
      </c>
      <c r="B5501" s="135">
        <f>YEAR(source[[#This Row],[report_date]])</f>
        <v>2025</v>
      </c>
      <c r="C5501" s="128">
        <f t="shared" si="254"/>
        <v>3</v>
      </c>
      <c r="D5501" s="136">
        <f t="shared" si="253"/>
        <v>11</v>
      </c>
      <c r="E5501" s="136">
        <f t="shared" si="255"/>
        <v>10</v>
      </c>
      <c r="F5501" s="128" t="s">
        <v>24</v>
      </c>
      <c r="G5501" s="128" t="str">
        <f>VLOOKUP(source[[#This Row],[lending_product_transform]],[3]Mapping!$B$4:$C$37,2,0)</f>
        <v>[Cake] - Cashloan</v>
      </c>
      <c r="H5501" s="128" t="str">
        <f>VLOOKUP(source[[#This Row],[lending_product_transform]],[3]Mapping!$B$3:$D$37,3,0)</f>
        <v>cashloan</v>
      </c>
      <c r="I5501" s="135">
        <v>62956065</v>
      </c>
    </row>
    <row r="5502" spans="1:9" x14ac:dyDescent="0.2">
      <c r="A5502" s="134">
        <v>45726</v>
      </c>
      <c r="B5502" s="135">
        <f>YEAR(source[[#This Row],[report_date]])</f>
        <v>2025</v>
      </c>
      <c r="C5502" s="128">
        <f t="shared" si="254"/>
        <v>3</v>
      </c>
      <c r="D5502" s="136">
        <f t="shared" si="253"/>
        <v>11</v>
      </c>
      <c r="E5502" s="136">
        <f t="shared" si="255"/>
        <v>10</v>
      </c>
      <c r="F5502" s="128" t="s">
        <v>24</v>
      </c>
      <c r="G5502" s="128" t="str">
        <f>VLOOKUP(source[[#This Row],[lending_product_transform]],[3]Mapping!$B$4:$C$37,2,0)</f>
        <v>[Cake] - Cashloan</v>
      </c>
      <c r="H5502" s="128" t="str">
        <f>VLOOKUP(source[[#This Row],[lending_product_transform]],[3]Mapping!$B$3:$D$37,3,0)</f>
        <v>cashloan</v>
      </c>
      <c r="I5502" s="135">
        <v>0</v>
      </c>
    </row>
    <row r="5503" spans="1:9" x14ac:dyDescent="0.2">
      <c r="A5503" s="134">
        <v>45726</v>
      </c>
      <c r="B5503" s="135">
        <f>YEAR(source[[#This Row],[report_date]])</f>
        <v>2025</v>
      </c>
      <c r="C5503" s="128">
        <f t="shared" si="254"/>
        <v>3</v>
      </c>
      <c r="D5503" s="136">
        <f t="shared" si="253"/>
        <v>11</v>
      </c>
      <c r="E5503" s="136">
        <f t="shared" si="255"/>
        <v>10</v>
      </c>
      <c r="F5503" s="128" t="s">
        <v>24</v>
      </c>
      <c r="G5503" s="128" t="str">
        <f>VLOOKUP(source[[#This Row],[lending_product_transform]],[3]Mapping!$B$4:$C$37,2,0)</f>
        <v>[Cake] - Cashloan</v>
      </c>
      <c r="H5503" s="128" t="str">
        <f>VLOOKUP(source[[#This Row],[lending_product_transform]],[3]Mapping!$B$3:$D$37,3,0)</f>
        <v>cashloan</v>
      </c>
      <c r="I5503" s="135">
        <v>6724470000</v>
      </c>
    </row>
    <row r="5504" spans="1:9" x14ac:dyDescent="0.2">
      <c r="A5504" s="134">
        <v>45726</v>
      </c>
      <c r="B5504" s="135">
        <f>YEAR(source[[#This Row],[report_date]])</f>
        <v>2025</v>
      </c>
      <c r="C5504" s="128">
        <f t="shared" si="254"/>
        <v>3</v>
      </c>
      <c r="D5504" s="136">
        <f t="shared" si="253"/>
        <v>11</v>
      </c>
      <c r="E5504" s="136">
        <f t="shared" si="255"/>
        <v>10</v>
      </c>
      <c r="F5504" s="128" t="s">
        <v>24</v>
      </c>
      <c r="G5504" s="128" t="str">
        <f>VLOOKUP(source[[#This Row],[lending_product_transform]],[3]Mapping!$B$4:$C$37,2,0)</f>
        <v>[Cake] - Cashloan</v>
      </c>
      <c r="H5504" s="128" t="str">
        <f>VLOOKUP(source[[#This Row],[lending_product_transform]],[3]Mapping!$B$3:$D$37,3,0)</f>
        <v>cashloan</v>
      </c>
      <c r="I5504" s="135">
        <v>6409500000</v>
      </c>
    </row>
    <row r="5505" spans="1:9" x14ac:dyDescent="0.2">
      <c r="A5505" s="134">
        <v>45726</v>
      </c>
      <c r="B5505" s="135">
        <f>YEAR(source[[#This Row],[report_date]])</f>
        <v>2025</v>
      </c>
      <c r="C5505" s="128">
        <f t="shared" si="254"/>
        <v>3</v>
      </c>
      <c r="D5505" s="136">
        <f t="shared" si="253"/>
        <v>11</v>
      </c>
      <c r="E5505" s="136">
        <f t="shared" si="255"/>
        <v>10</v>
      </c>
      <c r="F5505" s="128" t="s">
        <v>24</v>
      </c>
      <c r="G5505" s="128" t="str">
        <f>VLOOKUP(source[[#This Row],[lending_product_transform]],[3]Mapping!$B$4:$C$37,2,0)</f>
        <v>[Cake] - Cashloan</v>
      </c>
      <c r="H5505" s="128" t="str">
        <f>VLOOKUP(source[[#This Row],[lending_product_transform]],[3]Mapping!$B$3:$D$37,3,0)</f>
        <v>cashloan</v>
      </c>
      <c r="I5505" s="135">
        <v>0</v>
      </c>
    </row>
    <row r="5506" spans="1:9" x14ac:dyDescent="0.2">
      <c r="A5506" s="134">
        <v>45726</v>
      </c>
      <c r="B5506" s="135">
        <f>YEAR(source[[#This Row],[report_date]])</f>
        <v>2025</v>
      </c>
      <c r="C5506" s="128">
        <f t="shared" si="254"/>
        <v>3</v>
      </c>
      <c r="D5506" s="136">
        <f t="shared" si="253"/>
        <v>11</v>
      </c>
      <c r="E5506" s="136">
        <f t="shared" si="255"/>
        <v>10</v>
      </c>
      <c r="F5506" s="128" t="s">
        <v>24</v>
      </c>
      <c r="G5506" s="128" t="str">
        <f>VLOOKUP(source[[#This Row],[lending_product_transform]],[3]Mapping!$B$4:$C$37,2,0)</f>
        <v>[Cake] - Cashloan</v>
      </c>
      <c r="H5506" s="128" t="str">
        <f>VLOOKUP(source[[#This Row],[lending_product_transform]],[3]Mapping!$B$3:$D$37,3,0)</f>
        <v>cashloan</v>
      </c>
      <c r="I5506" s="135">
        <v>7345930000</v>
      </c>
    </row>
    <row r="5507" spans="1:9" x14ac:dyDescent="0.2">
      <c r="A5507" s="134">
        <v>45727</v>
      </c>
      <c r="B5507" s="135">
        <f>YEAR(source[[#This Row],[report_date]])</f>
        <v>2025</v>
      </c>
      <c r="C5507" s="128">
        <f t="shared" si="254"/>
        <v>3</v>
      </c>
      <c r="D5507" s="136">
        <f t="shared" ref="D5507:D5570" si="256">WEEKNUM(A5507,2)</f>
        <v>11</v>
      </c>
      <c r="E5507" s="136">
        <f t="shared" si="255"/>
        <v>11</v>
      </c>
      <c r="F5507" s="128" t="s">
        <v>24</v>
      </c>
      <c r="G5507" s="128" t="str">
        <f>VLOOKUP(source[[#This Row],[lending_product_transform]],[3]Mapping!$B$4:$C$37,2,0)</f>
        <v>[Cake] - Cashloan</v>
      </c>
      <c r="H5507" s="128" t="str">
        <f>VLOOKUP(source[[#This Row],[lending_product_transform]],[3]Mapping!$B$3:$D$37,3,0)</f>
        <v>cashloan</v>
      </c>
      <c r="I5507" s="135">
        <v>5654500000</v>
      </c>
    </row>
    <row r="5508" spans="1:9" x14ac:dyDescent="0.2">
      <c r="A5508" s="134">
        <v>45727</v>
      </c>
      <c r="B5508" s="135">
        <f>YEAR(source[[#This Row],[report_date]])</f>
        <v>2025</v>
      </c>
      <c r="C5508" s="128">
        <f t="shared" si="254"/>
        <v>3</v>
      </c>
      <c r="D5508" s="136">
        <f t="shared" si="256"/>
        <v>11</v>
      </c>
      <c r="E5508" s="136">
        <f t="shared" si="255"/>
        <v>11</v>
      </c>
      <c r="F5508" s="128" t="s">
        <v>24</v>
      </c>
      <c r="G5508" s="128" t="str">
        <f>VLOOKUP(source[[#This Row],[lending_product_transform]],[3]Mapping!$B$4:$C$37,2,0)</f>
        <v>[Cake] - Cashloan</v>
      </c>
      <c r="H5508" s="128" t="str">
        <f>VLOOKUP(source[[#This Row],[lending_product_transform]],[3]Mapping!$B$3:$D$37,3,0)</f>
        <v>cashloan</v>
      </c>
      <c r="I5508" s="135">
        <v>6601710000</v>
      </c>
    </row>
    <row r="5509" spans="1:9" x14ac:dyDescent="0.2">
      <c r="A5509" s="134">
        <v>45727</v>
      </c>
      <c r="B5509" s="135">
        <f>YEAR(source[[#This Row],[report_date]])</f>
        <v>2025</v>
      </c>
      <c r="C5509" s="128">
        <f t="shared" si="254"/>
        <v>3</v>
      </c>
      <c r="D5509" s="136">
        <f t="shared" si="256"/>
        <v>11</v>
      </c>
      <c r="E5509" s="136">
        <f t="shared" si="255"/>
        <v>11</v>
      </c>
      <c r="F5509" s="128" t="s">
        <v>24</v>
      </c>
      <c r="G5509" s="128" t="str">
        <f>VLOOKUP(source[[#This Row],[lending_product_transform]],[3]Mapping!$B$4:$C$37,2,0)</f>
        <v>[Cake] - Cashloan</v>
      </c>
      <c r="H5509" s="128" t="str">
        <f>VLOOKUP(source[[#This Row],[lending_product_transform]],[3]Mapping!$B$3:$D$37,3,0)</f>
        <v>cashloan</v>
      </c>
      <c r="I5509" s="135">
        <v>7603470000</v>
      </c>
    </row>
    <row r="5510" spans="1:9" x14ac:dyDescent="0.2">
      <c r="A5510" s="134">
        <v>45727</v>
      </c>
      <c r="B5510" s="135">
        <f>YEAR(source[[#This Row],[report_date]])</f>
        <v>2025</v>
      </c>
      <c r="C5510" s="128">
        <f t="shared" si="254"/>
        <v>3</v>
      </c>
      <c r="D5510" s="136">
        <f t="shared" si="256"/>
        <v>11</v>
      </c>
      <c r="E5510" s="136">
        <f t="shared" si="255"/>
        <v>11</v>
      </c>
      <c r="F5510" s="128" t="s">
        <v>24</v>
      </c>
      <c r="G5510" s="128" t="str">
        <f>VLOOKUP(source[[#This Row],[lending_product_transform]],[3]Mapping!$B$4:$C$37,2,0)</f>
        <v>[Cake] - Cashloan</v>
      </c>
      <c r="H5510" s="128" t="str">
        <f>VLOOKUP(source[[#This Row],[lending_product_transform]],[3]Mapping!$B$3:$D$37,3,0)</f>
        <v>cashloan</v>
      </c>
      <c r="I5510" s="135">
        <v>21785971</v>
      </c>
    </row>
    <row r="5511" spans="1:9" x14ac:dyDescent="0.2">
      <c r="A5511" s="134">
        <v>45727</v>
      </c>
      <c r="B5511" s="135">
        <f>YEAR(source[[#This Row],[report_date]])</f>
        <v>2025</v>
      </c>
      <c r="C5511" s="128">
        <f t="shared" si="254"/>
        <v>3</v>
      </c>
      <c r="D5511" s="136">
        <f t="shared" si="256"/>
        <v>11</v>
      </c>
      <c r="E5511" s="136">
        <f t="shared" si="255"/>
        <v>11</v>
      </c>
      <c r="F5511" s="128" t="s">
        <v>24</v>
      </c>
      <c r="G5511" s="128" t="str">
        <f>VLOOKUP(source[[#This Row],[lending_product_transform]],[3]Mapping!$B$4:$C$37,2,0)</f>
        <v>[Cake] - Cashloan</v>
      </c>
      <c r="H5511" s="128" t="str">
        <f>VLOOKUP(source[[#This Row],[lending_product_transform]],[3]Mapping!$B$3:$D$37,3,0)</f>
        <v>cashloan</v>
      </c>
      <c r="I5511" s="135">
        <v>67250000</v>
      </c>
    </row>
    <row r="5512" spans="1:9" x14ac:dyDescent="0.2">
      <c r="A5512" s="134">
        <v>45727</v>
      </c>
      <c r="B5512" s="135">
        <f>YEAR(source[[#This Row],[report_date]])</f>
        <v>2025</v>
      </c>
      <c r="C5512" s="128">
        <f t="shared" si="254"/>
        <v>3</v>
      </c>
      <c r="D5512" s="136">
        <f t="shared" si="256"/>
        <v>11</v>
      </c>
      <c r="E5512" s="136">
        <f t="shared" si="255"/>
        <v>11</v>
      </c>
      <c r="F5512" s="128" t="s">
        <v>24</v>
      </c>
      <c r="G5512" s="128" t="str">
        <f>VLOOKUP(source[[#This Row],[lending_product_transform]],[3]Mapping!$B$4:$C$37,2,0)</f>
        <v>[Cake] - Cashloan</v>
      </c>
      <c r="H5512" s="128" t="str">
        <f>VLOOKUP(source[[#This Row],[lending_product_transform]],[3]Mapping!$B$3:$D$37,3,0)</f>
        <v>cashloan</v>
      </c>
      <c r="I5512" s="135">
        <v>81000000</v>
      </c>
    </row>
    <row r="5513" spans="1:9" x14ac:dyDescent="0.2">
      <c r="A5513" s="134">
        <v>45727</v>
      </c>
      <c r="B5513" s="135">
        <f>YEAR(source[[#This Row],[report_date]])</f>
        <v>2025</v>
      </c>
      <c r="C5513" s="128">
        <f t="shared" si="254"/>
        <v>3</v>
      </c>
      <c r="D5513" s="136">
        <f t="shared" si="256"/>
        <v>11</v>
      </c>
      <c r="E5513" s="136">
        <f t="shared" si="255"/>
        <v>11</v>
      </c>
      <c r="F5513" s="128" t="s">
        <v>24</v>
      </c>
      <c r="G5513" s="128" t="str">
        <f>VLOOKUP(source[[#This Row],[lending_product_transform]],[3]Mapping!$B$4:$C$37,2,0)</f>
        <v>[Cake] - Cashloan</v>
      </c>
      <c r="H5513" s="128" t="str">
        <f>VLOOKUP(source[[#This Row],[lending_product_transform]],[3]Mapping!$B$3:$D$37,3,0)</f>
        <v>cashloan</v>
      </c>
      <c r="I5513" s="135">
        <v>0</v>
      </c>
    </row>
    <row r="5514" spans="1:9" x14ac:dyDescent="0.2">
      <c r="A5514" s="134">
        <v>45727</v>
      </c>
      <c r="B5514" s="135">
        <f>YEAR(source[[#This Row],[report_date]])</f>
        <v>2025</v>
      </c>
      <c r="C5514" s="128">
        <f t="shared" si="254"/>
        <v>3</v>
      </c>
      <c r="D5514" s="136">
        <f t="shared" si="256"/>
        <v>11</v>
      </c>
      <c r="E5514" s="136">
        <f t="shared" si="255"/>
        <v>11</v>
      </c>
      <c r="F5514" s="128" t="s">
        <v>24</v>
      </c>
      <c r="G5514" s="128" t="str">
        <f>VLOOKUP(source[[#This Row],[lending_product_transform]],[3]Mapping!$B$4:$C$37,2,0)</f>
        <v>[Cake] - Cashloan</v>
      </c>
      <c r="H5514" s="128" t="str">
        <f>VLOOKUP(source[[#This Row],[lending_product_transform]],[3]Mapping!$B$3:$D$37,3,0)</f>
        <v>cashloan</v>
      </c>
      <c r="I5514" s="135">
        <v>0</v>
      </c>
    </row>
    <row r="5515" spans="1:9" x14ac:dyDescent="0.2">
      <c r="A5515" s="134">
        <v>45727</v>
      </c>
      <c r="B5515" s="135">
        <f>YEAR(source[[#This Row],[report_date]])</f>
        <v>2025</v>
      </c>
      <c r="C5515" s="128">
        <f t="shared" si="254"/>
        <v>3</v>
      </c>
      <c r="D5515" s="136">
        <f t="shared" si="256"/>
        <v>11</v>
      </c>
      <c r="E5515" s="136">
        <f t="shared" si="255"/>
        <v>11</v>
      </c>
      <c r="F5515" s="128" t="s">
        <v>24</v>
      </c>
      <c r="G5515" s="128" t="str">
        <f>VLOOKUP(source[[#This Row],[lending_product_transform]],[3]Mapping!$B$4:$C$37,2,0)</f>
        <v>[Cake] - Cashloan</v>
      </c>
      <c r="H5515" s="128" t="str">
        <f>VLOOKUP(source[[#This Row],[lending_product_transform]],[3]Mapping!$B$3:$D$37,3,0)</f>
        <v>cashloan</v>
      </c>
      <c r="I5515" s="135">
        <v>37450000</v>
      </c>
    </row>
    <row r="5516" spans="1:9" x14ac:dyDescent="0.2">
      <c r="A5516" s="134">
        <v>45727</v>
      </c>
      <c r="B5516" s="135">
        <f>YEAR(source[[#This Row],[report_date]])</f>
        <v>2025</v>
      </c>
      <c r="C5516" s="128">
        <f t="shared" si="254"/>
        <v>3</v>
      </c>
      <c r="D5516" s="136">
        <f t="shared" si="256"/>
        <v>11</v>
      </c>
      <c r="E5516" s="136">
        <f t="shared" si="255"/>
        <v>11</v>
      </c>
      <c r="F5516" s="128" t="s">
        <v>24</v>
      </c>
      <c r="G5516" s="128" t="str">
        <f>VLOOKUP(source[[#This Row],[lending_product_transform]],[3]Mapping!$B$4:$C$37,2,0)</f>
        <v>[Cake] - Cashloan</v>
      </c>
      <c r="H5516" s="128" t="str">
        <f>VLOOKUP(source[[#This Row],[lending_product_transform]],[3]Mapping!$B$3:$D$37,3,0)</f>
        <v>cashloan</v>
      </c>
      <c r="I5516" s="135">
        <v>0</v>
      </c>
    </row>
    <row r="5517" spans="1:9" x14ac:dyDescent="0.2">
      <c r="A5517" s="134">
        <v>45727</v>
      </c>
      <c r="B5517" s="135">
        <f>YEAR(source[[#This Row],[report_date]])</f>
        <v>2025</v>
      </c>
      <c r="C5517" s="128">
        <f t="shared" si="254"/>
        <v>3</v>
      </c>
      <c r="D5517" s="136">
        <f t="shared" si="256"/>
        <v>11</v>
      </c>
      <c r="E5517" s="136">
        <f t="shared" si="255"/>
        <v>11</v>
      </c>
      <c r="F5517" s="128" t="s">
        <v>24</v>
      </c>
      <c r="G5517" s="128" t="str">
        <f>VLOOKUP(source[[#This Row],[lending_product_transform]],[3]Mapping!$B$4:$C$37,2,0)</f>
        <v>[Cake] - Cashloan</v>
      </c>
      <c r="H5517" s="128" t="str">
        <f>VLOOKUP(source[[#This Row],[lending_product_transform]],[3]Mapping!$B$3:$D$37,3,0)</f>
        <v>cashloan</v>
      </c>
      <c r="I5517" s="135">
        <v>0</v>
      </c>
    </row>
    <row r="5518" spans="1:9" x14ac:dyDescent="0.2">
      <c r="A5518" s="134">
        <v>45727</v>
      </c>
      <c r="B5518" s="135">
        <f>YEAR(source[[#This Row],[report_date]])</f>
        <v>2025</v>
      </c>
      <c r="C5518" s="128">
        <f t="shared" si="254"/>
        <v>3</v>
      </c>
      <c r="D5518" s="136">
        <f t="shared" si="256"/>
        <v>11</v>
      </c>
      <c r="E5518" s="136">
        <f t="shared" si="255"/>
        <v>11</v>
      </c>
      <c r="F5518" s="128" t="s">
        <v>24</v>
      </c>
      <c r="G5518" s="128" t="str">
        <f>VLOOKUP(source[[#This Row],[lending_product_transform]],[3]Mapping!$B$4:$C$37,2,0)</f>
        <v>[Cake] - Cashloan</v>
      </c>
      <c r="H5518" s="128" t="str">
        <f>VLOOKUP(source[[#This Row],[lending_product_transform]],[3]Mapping!$B$3:$D$37,3,0)</f>
        <v>cashloan</v>
      </c>
      <c r="I5518" s="135">
        <v>433230000</v>
      </c>
    </row>
    <row r="5519" spans="1:9" x14ac:dyDescent="0.2">
      <c r="A5519" s="134">
        <v>45727</v>
      </c>
      <c r="B5519" s="135">
        <f>YEAR(source[[#This Row],[report_date]])</f>
        <v>2025</v>
      </c>
      <c r="C5519" s="128">
        <f t="shared" si="254"/>
        <v>3</v>
      </c>
      <c r="D5519" s="136">
        <f t="shared" si="256"/>
        <v>11</v>
      </c>
      <c r="E5519" s="136">
        <f t="shared" si="255"/>
        <v>11</v>
      </c>
      <c r="F5519" s="128" t="s">
        <v>24</v>
      </c>
      <c r="G5519" s="128" t="str">
        <f>VLOOKUP(source[[#This Row],[lending_product_transform]],[3]Mapping!$B$4:$C$37,2,0)</f>
        <v>[Cake] - Cashloan</v>
      </c>
      <c r="H5519" s="128" t="str">
        <f>VLOOKUP(source[[#This Row],[lending_product_transform]],[3]Mapping!$B$3:$D$37,3,0)</f>
        <v>cashloan</v>
      </c>
      <c r="I5519" s="135">
        <v>0</v>
      </c>
    </row>
    <row r="5520" spans="1:9" x14ac:dyDescent="0.2">
      <c r="A5520" s="134">
        <v>45727</v>
      </c>
      <c r="B5520" s="135">
        <f>YEAR(source[[#This Row],[report_date]])</f>
        <v>2025</v>
      </c>
      <c r="C5520" s="128">
        <f t="shared" si="254"/>
        <v>3</v>
      </c>
      <c r="D5520" s="136">
        <f t="shared" si="256"/>
        <v>11</v>
      </c>
      <c r="E5520" s="136">
        <f t="shared" si="255"/>
        <v>11</v>
      </c>
      <c r="F5520" s="128" t="s">
        <v>24</v>
      </c>
      <c r="G5520" s="128" t="str">
        <f>VLOOKUP(source[[#This Row],[lending_product_transform]],[3]Mapping!$B$4:$C$37,2,0)</f>
        <v>[Cake] - Cashloan</v>
      </c>
      <c r="H5520" s="128" t="str">
        <f>VLOOKUP(source[[#This Row],[lending_product_transform]],[3]Mapping!$B$3:$D$37,3,0)</f>
        <v>cashloan</v>
      </c>
      <c r="I5520" s="135">
        <v>811850000</v>
      </c>
    </row>
    <row r="5521" spans="1:9" x14ac:dyDescent="0.2">
      <c r="A5521" s="134">
        <v>45727</v>
      </c>
      <c r="B5521" s="135">
        <f>YEAR(source[[#This Row],[report_date]])</f>
        <v>2025</v>
      </c>
      <c r="C5521" s="128">
        <f t="shared" si="254"/>
        <v>3</v>
      </c>
      <c r="D5521" s="136">
        <f t="shared" si="256"/>
        <v>11</v>
      </c>
      <c r="E5521" s="136">
        <f t="shared" si="255"/>
        <v>11</v>
      </c>
      <c r="F5521" s="128" t="s">
        <v>24</v>
      </c>
      <c r="G5521" s="128" t="str">
        <f>VLOOKUP(source[[#This Row],[lending_product_transform]],[3]Mapping!$B$4:$C$37,2,0)</f>
        <v>[Cake] - Cashloan</v>
      </c>
      <c r="H5521" s="128" t="str">
        <f>VLOOKUP(source[[#This Row],[lending_product_transform]],[3]Mapping!$B$3:$D$37,3,0)</f>
        <v>cashloan</v>
      </c>
      <c r="I5521" s="135">
        <v>419437456</v>
      </c>
    </row>
    <row r="5522" spans="1:9" x14ac:dyDescent="0.2">
      <c r="A5522" s="134">
        <v>45727</v>
      </c>
      <c r="B5522" s="135">
        <f>YEAR(source[[#This Row],[report_date]])</f>
        <v>2025</v>
      </c>
      <c r="C5522" s="128">
        <f t="shared" si="254"/>
        <v>3</v>
      </c>
      <c r="D5522" s="136">
        <f t="shared" si="256"/>
        <v>11</v>
      </c>
      <c r="E5522" s="136">
        <f t="shared" si="255"/>
        <v>11</v>
      </c>
      <c r="F5522" s="128" t="s">
        <v>24</v>
      </c>
      <c r="G5522" s="128" t="str">
        <f>VLOOKUP(source[[#This Row],[lending_product_transform]],[3]Mapping!$B$4:$C$37,2,0)</f>
        <v>[Cake] - Cashloan</v>
      </c>
      <c r="H5522" s="128" t="str">
        <f>VLOOKUP(source[[#This Row],[lending_product_transform]],[3]Mapping!$B$3:$D$37,3,0)</f>
        <v>cashloan</v>
      </c>
      <c r="I5522" s="135">
        <v>252484696</v>
      </c>
    </row>
    <row r="5523" spans="1:9" x14ac:dyDescent="0.2">
      <c r="A5523" s="134">
        <v>45727</v>
      </c>
      <c r="B5523" s="135">
        <f>YEAR(source[[#This Row],[report_date]])</f>
        <v>2025</v>
      </c>
      <c r="C5523" s="128">
        <f t="shared" si="254"/>
        <v>3</v>
      </c>
      <c r="D5523" s="136">
        <f t="shared" si="256"/>
        <v>11</v>
      </c>
      <c r="E5523" s="136">
        <f t="shared" si="255"/>
        <v>11</v>
      </c>
      <c r="F5523" s="128" t="s">
        <v>24</v>
      </c>
      <c r="G5523" s="128" t="str">
        <f>VLOOKUP(source[[#This Row],[lending_product_transform]],[3]Mapping!$B$4:$C$37,2,0)</f>
        <v>[Cake] - Cashloan</v>
      </c>
      <c r="H5523" s="128" t="str">
        <f>VLOOKUP(source[[#This Row],[lending_product_transform]],[3]Mapping!$B$3:$D$37,3,0)</f>
        <v>cashloan</v>
      </c>
      <c r="I5523" s="135">
        <v>0</v>
      </c>
    </row>
    <row r="5524" spans="1:9" x14ac:dyDescent="0.2">
      <c r="A5524" s="134">
        <v>45727</v>
      </c>
      <c r="B5524" s="135">
        <f>YEAR(source[[#This Row],[report_date]])</f>
        <v>2025</v>
      </c>
      <c r="C5524" s="128">
        <f t="shared" si="254"/>
        <v>3</v>
      </c>
      <c r="D5524" s="136">
        <f t="shared" si="256"/>
        <v>11</v>
      </c>
      <c r="E5524" s="136">
        <f t="shared" si="255"/>
        <v>11</v>
      </c>
      <c r="F5524" s="128" t="s">
        <v>24</v>
      </c>
      <c r="G5524" s="128" t="str">
        <f>VLOOKUP(source[[#This Row],[lending_product_transform]],[3]Mapping!$B$4:$C$37,2,0)</f>
        <v>[Cake] - Cashloan</v>
      </c>
      <c r="H5524" s="128" t="str">
        <f>VLOOKUP(source[[#This Row],[lending_product_transform]],[3]Mapping!$B$3:$D$37,3,0)</f>
        <v>cashloan</v>
      </c>
      <c r="I5524" s="135">
        <v>548704130</v>
      </c>
    </row>
    <row r="5525" spans="1:9" x14ac:dyDescent="0.2">
      <c r="A5525" s="134">
        <v>45727</v>
      </c>
      <c r="B5525" s="135">
        <f>YEAR(source[[#This Row],[report_date]])</f>
        <v>2025</v>
      </c>
      <c r="C5525" s="128">
        <f t="shared" si="254"/>
        <v>3</v>
      </c>
      <c r="D5525" s="136">
        <f t="shared" si="256"/>
        <v>11</v>
      </c>
      <c r="E5525" s="136">
        <f t="shared" si="255"/>
        <v>11</v>
      </c>
      <c r="F5525" s="128" t="s">
        <v>24</v>
      </c>
      <c r="G5525" s="128" t="str">
        <f>VLOOKUP(source[[#This Row],[lending_product_transform]],[3]Mapping!$B$4:$C$37,2,0)</f>
        <v>[Cake] - Cashloan</v>
      </c>
      <c r="H5525" s="128" t="str">
        <f>VLOOKUP(source[[#This Row],[lending_product_transform]],[3]Mapping!$B$3:$D$37,3,0)</f>
        <v>cashloan</v>
      </c>
      <c r="I5525" s="135">
        <v>3507266942</v>
      </c>
    </row>
    <row r="5526" spans="1:9" x14ac:dyDescent="0.2">
      <c r="A5526" s="134">
        <v>45728</v>
      </c>
      <c r="B5526" s="135">
        <f>YEAR(source[[#This Row],[report_date]])</f>
        <v>2025</v>
      </c>
      <c r="C5526" s="128">
        <f t="shared" si="254"/>
        <v>3</v>
      </c>
      <c r="D5526" s="136">
        <f t="shared" si="256"/>
        <v>11</v>
      </c>
      <c r="E5526" s="136">
        <f t="shared" si="255"/>
        <v>12</v>
      </c>
      <c r="F5526" s="128" t="s">
        <v>24</v>
      </c>
      <c r="G5526" s="128" t="str">
        <f>VLOOKUP(source[[#This Row],[lending_product_transform]],[3]Mapping!$B$4:$C$37,2,0)</f>
        <v>[Cake] - Cashloan</v>
      </c>
      <c r="H5526" s="128" t="str">
        <f>VLOOKUP(source[[#This Row],[lending_product_transform]],[3]Mapping!$B$3:$D$37,3,0)</f>
        <v>cashloan</v>
      </c>
      <c r="I5526" s="135">
        <v>0</v>
      </c>
    </row>
    <row r="5527" spans="1:9" x14ac:dyDescent="0.2">
      <c r="A5527" s="134">
        <v>45728</v>
      </c>
      <c r="B5527" s="135">
        <f>YEAR(source[[#This Row],[report_date]])</f>
        <v>2025</v>
      </c>
      <c r="C5527" s="128">
        <f t="shared" si="254"/>
        <v>3</v>
      </c>
      <c r="D5527" s="136">
        <f t="shared" si="256"/>
        <v>11</v>
      </c>
      <c r="E5527" s="136">
        <f t="shared" si="255"/>
        <v>12</v>
      </c>
      <c r="F5527" s="128" t="s">
        <v>24</v>
      </c>
      <c r="G5527" s="128" t="str">
        <f>VLOOKUP(source[[#This Row],[lending_product_transform]],[3]Mapping!$B$4:$C$37,2,0)</f>
        <v>[Cake] - Cashloan</v>
      </c>
      <c r="H5527" s="128" t="str">
        <f>VLOOKUP(source[[#This Row],[lending_product_transform]],[3]Mapping!$B$3:$D$37,3,0)</f>
        <v>cashloan</v>
      </c>
      <c r="I5527" s="135">
        <v>530734205</v>
      </c>
    </row>
    <row r="5528" spans="1:9" x14ac:dyDescent="0.2">
      <c r="A5528" s="134">
        <v>45728</v>
      </c>
      <c r="B5528" s="135">
        <f>YEAR(source[[#This Row],[report_date]])</f>
        <v>2025</v>
      </c>
      <c r="C5528" s="128">
        <f t="shared" si="254"/>
        <v>3</v>
      </c>
      <c r="D5528" s="136">
        <f t="shared" si="256"/>
        <v>11</v>
      </c>
      <c r="E5528" s="136">
        <f t="shared" si="255"/>
        <v>12</v>
      </c>
      <c r="F5528" s="128" t="s">
        <v>24</v>
      </c>
      <c r="G5528" s="128" t="str">
        <f>VLOOKUP(source[[#This Row],[lending_product_transform]],[3]Mapping!$B$4:$C$37,2,0)</f>
        <v>[Cake] - Cashloan</v>
      </c>
      <c r="H5528" s="128" t="str">
        <f>VLOOKUP(source[[#This Row],[lending_product_transform]],[3]Mapping!$B$3:$D$37,3,0)</f>
        <v>cashloan</v>
      </c>
      <c r="I5528" s="135">
        <v>54000000</v>
      </c>
    </row>
    <row r="5529" spans="1:9" x14ac:dyDescent="0.2">
      <c r="A5529" s="134">
        <v>45728</v>
      </c>
      <c r="B5529" s="135">
        <f>YEAR(source[[#This Row],[report_date]])</f>
        <v>2025</v>
      </c>
      <c r="C5529" s="128">
        <f t="shared" si="254"/>
        <v>3</v>
      </c>
      <c r="D5529" s="136">
        <f t="shared" si="256"/>
        <v>11</v>
      </c>
      <c r="E5529" s="136">
        <f t="shared" si="255"/>
        <v>12</v>
      </c>
      <c r="F5529" s="128" t="s">
        <v>24</v>
      </c>
      <c r="G5529" s="128" t="str">
        <f>VLOOKUP(source[[#This Row],[lending_product_transform]],[3]Mapping!$B$4:$C$37,2,0)</f>
        <v>[Cake] - Cashloan</v>
      </c>
      <c r="H5529" s="128" t="str">
        <f>VLOOKUP(source[[#This Row],[lending_product_transform]],[3]Mapping!$B$3:$D$37,3,0)</f>
        <v>cashloan</v>
      </c>
      <c r="I5529" s="135">
        <v>47450000</v>
      </c>
    </row>
    <row r="5530" spans="1:9" x14ac:dyDescent="0.2">
      <c r="A5530" s="134">
        <v>45728</v>
      </c>
      <c r="B5530" s="135">
        <f>YEAR(source[[#This Row],[report_date]])</f>
        <v>2025</v>
      </c>
      <c r="C5530" s="128">
        <f t="shared" si="254"/>
        <v>3</v>
      </c>
      <c r="D5530" s="136">
        <f t="shared" si="256"/>
        <v>11</v>
      </c>
      <c r="E5530" s="136">
        <f t="shared" si="255"/>
        <v>12</v>
      </c>
      <c r="F5530" s="128" t="s">
        <v>24</v>
      </c>
      <c r="G5530" s="128" t="str">
        <f>VLOOKUP(source[[#This Row],[lending_product_transform]],[3]Mapping!$B$4:$C$37,2,0)</f>
        <v>[Cake] - Cashloan</v>
      </c>
      <c r="H5530" s="128" t="str">
        <f>VLOOKUP(source[[#This Row],[lending_product_transform]],[3]Mapping!$B$3:$D$37,3,0)</f>
        <v>cashloan</v>
      </c>
      <c r="I5530" s="135">
        <v>0</v>
      </c>
    </row>
    <row r="5531" spans="1:9" x14ac:dyDescent="0.2">
      <c r="A5531" s="134">
        <v>45728</v>
      </c>
      <c r="B5531" s="135">
        <f>YEAR(source[[#This Row],[report_date]])</f>
        <v>2025</v>
      </c>
      <c r="C5531" s="128">
        <f t="shared" si="254"/>
        <v>3</v>
      </c>
      <c r="D5531" s="136">
        <f t="shared" si="256"/>
        <v>11</v>
      </c>
      <c r="E5531" s="136">
        <f t="shared" si="255"/>
        <v>12</v>
      </c>
      <c r="F5531" s="128" t="s">
        <v>24</v>
      </c>
      <c r="G5531" s="128" t="str">
        <f>VLOOKUP(source[[#This Row],[lending_product_transform]],[3]Mapping!$B$4:$C$37,2,0)</f>
        <v>[Cake] - Cashloan</v>
      </c>
      <c r="H5531" s="128" t="str">
        <f>VLOOKUP(source[[#This Row],[lending_product_transform]],[3]Mapping!$B$3:$D$37,3,0)</f>
        <v>cashloan</v>
      </c>
      <c r="I5531" s="135">
        <v>33685461</v>
      </c>
    </row>
    <row r="5532" spans="1:9" x14ac:dyDescent="0.2">
      <c r="A5532" s="134">
        <v>45728</v>
      </c>
      <c r="B5532" s="135">
        <f>YEAR(source[[#This Row],[report_date]])</f>
        <v>2025</v>
      </c>
      <c r="C5532" s="128">
        <f t="shared" si="254"/>
        <v>3</v>
      </c>
      <c r="D5532" s="136">
        <f t="shared" si="256"/>
        <v>11</v>
      </c>
      <c r="E5532" s="136">
        <f t="shared" si="255"/>
        <v>12</v>
      </c>
      <c r="F5532" s="128" t="s">
        <v>24</v>
      </c>
      <c r="G5532" s="128" t="str">
        <f>VLOOKUP(source[[#This Row],[lending_product_transform]],[3]Mapping!$B$4:$C$37,2,0)</f>
        <v>[Cake] - Cashloan</v>
      </c>
      <c r="H5532" s="128" t="str">
        <f>VLOOKUP(source[[#This Row],[lending_product_transform]],[3]Mapping!$B$3:$D$37,3,0)</f>
        <v>cashloan</v>
      </c>
      <c r="I5532" s="135">
        <v>6127350000</v>
      </c>
    </row>
    <row r="5533" spans="1:9" x14ac:dyDescent="0.2">
      <c r="A5533" s="134">
        <v>45728</v>
      </c>
      <c r="B5533" s="135">
        <f>YEAR(source[[#This Row],[report_date]])</f>
        <v>2025</v>
      </c>
      <c r="C5533" s="128">
        <f t="shared" si="254"/>
        <v>3</v>
      </c>
      <c r="D5533" s="136">
        <f t="shared" si="256"/>
        <v>11</v>
      </c>
      <c r="E5533" s="136">
        <f t="shared" si="255"/>
        <v>12</v>
      </c>
      <c r="F5533" s="128" t="s">
        <v>24</v>
      </c>
      <c r="G5533" s="128" t="str">
        <f>VLOOKUP(source[[#This Row],[lending_product_transform]],[3]Mapping!$B$4:$C$37,2,0)</f>
        <v>[Cake] - Cashloan</v>
      </c>
      <c r="H5533" s="128" t="str">
        <f>VLOOKUP(source[[#This Row],[lending_product_transform]],[3]Mapping!$B$3:$D$37,3,0)</f>
        <v>cashloan</v>
      </c>
      <c r="I5533" s="135">
        <v>0</v>
      </c>
    </row>
    <row r="5534" spans="1:9" x14ac:dyDescent="0.2">
      <c r="A5534" s="134">
        <v>45728</v>
      </c>
      <c r="B5534" s="135">
        <f>YEAR(source[[#This Row],[report_date]])</f>
        <v>2025</v>
      </c>
      <c r="C5534" s="128">
        <f t="shared" si="254"/>
        <v>3</v>
      </c>
      <c r="D5534" s="136">
        <f t="shared" si="256"/>
        <v>11</v>
      </c>
      <c r="E5534" s="136">
        <f t="shared" si="255"/>
        <v>12</v>
      </c>
      <c r="F5534" s="128" t="s">
        <v>24</v>
      </c>
      <c r="G5534" s="128" t="str">
        <f>VLOOKUP(source[[#This Row],[lending_product_transform]],[3]Mapping!$B$4:$C$37,2,0)</f>
        <v>[Cake] - Cashloan</v>
      </c>
      <c r="H5534" s="128" t="str">
        <f>VLOOKUP(source[[#This Row],[lending_product_transform]],[3]Mapping!$B$3:$D$37,3,0)</f>
        <v>cashloan</v>
      </c>
      <c r="I5534" s="135">
        <v>0</v>
      </c>
    </row>
    <row r="5535" spans="1:9" x14ac:dyDescent="0.2">
      <c r="A5535" s="134">
        <v>45728</v>
      </c>
      <c r="B5535" s="135">
        <f>YEAR(source[[#This Row],[report_date]])</f>
        <v>2025</v>
      </c>
      <c r="C5535" s="128">
        <f t="shared" si="254"/>
        <v>3</v>
      </c>
      <c r="D5535" s="136">
        <f t="shared" si="256"/>
        <v>11</v>
      </c>
      <c r="E5535" s="136">
        <f t="shared" si="255"/>
        <v>12</v>
      </c>
      <c r="F5535" s="128" t="s">
        <v>24</v>
      </c>
      <c r="G5535" s="128" t="str">
        <f>VLOOKUP(source[[#This Row],[lending_product_transform]],[3]Mapping!$B$4:$C$37,2,0)</f>
        <v>[Cake] - Cashloan</v>
      </c>
      <c r="H5535" s="128" t="str">
        <f>VLOOKUP(source[[#This Row],[lending_product_transform]],[3]Mapping!$B$3:$D$37,3,0)</f>
        <v>cashloan</v>
      </c>
      <c r="I5535" s="135">
        <v>396020000</v>
      </c>
    </row>
    <row r="5536" spans="1:9" x14ac:dyDescent="0.2">
      <c r="A5536" s="134">
        <v>45728</v>
      </c>
      <c r="B5536" s="135">
        <f>YEAR(source[[#This Row],[report_date]])</f>
        <v>2025</v>
      </c>
      <c r="C5536" s="128">
        <f t="shared" si="254"/>
        <v>3</v>
      </c>
      <c r="D5536" s="136">
        <f t="shared" si="256"/>
        <v>11</v>
      </c>
      <c r="E5536" s="136">
        <f t="shared" si="255"/>
        <v>12</v>
      </c>
      <c r="F5536" s="128" t="s">
        <v>24</v>
      </c>
      <c r="G5536" s="128" t="str">
        <f>VLOOKUP(source[[#This Row],[lending_product_transform]],[3]Mapping!$B$4:$C$37,2,0)</f>
        <v>[Cake] - Cashloan</v>
      </c>
      <c r="H5536" s="128" t="str">
        <f>VLOOKUP(source[[#This Row],[lending_product_transform]],[3]Mapping!$B$3:$D$37,3,0)</f>
        <v>cashloan</v>
      </c>
      <c r="I5536" s="135">
        <v>0</v>
      </c>
    </row>
    <row r="5537" spans="1:9" x14ac:dyDescent="0.2">
      <c r="A5537" s="134">
        <v>45728</v>
      </c>
      <c r="B5537" s="135">
        <f>YEAR(source[[#This Row],[report_date]])</f>
        <v>2025</v>
      </c>
      <c r="C5537" s="128">
        <f t="shared" si="254"/>
        <v>3</v>
      </c>
      <c r="D5537" s="136">
        <f t="shared" si="256"/>
        <v>11</v>
      </c>
      <c r="E5537" s="136">
        <f t="shared" si="255"/>
        <v>12</v>
      </c>
      <c r="F5537" s="128" t="s">
        <v>24</v>
      </c>
      <c r="G5537" s="128" t="str">
        <f>VLOOKUP(source[[#This Row],[lending_product_transform]],[3]Mapping!$B$4:$C$37,2,0)</f>
        <v>[Cake] - Cashloan</v>
      </c>
      <c r="H5537" s="128" t="str">
        <f>VLOOKUP(source[[#This Row],[lending_product_transform]],[3]Mapping!$B$3:$D$37,3,0)</f>
        <v>cashloan</v>
      </c>
      <c r="I5537" s="135">
        <v>1046000000</v>
      </c>
    </row>
    <row r="5538" spans="1:9" x14ac:dyDescent="0.2">
      <c r="A5538" s="134">
        <v>45728</v>
      </c>
      <c r="B5538" s="135">
        <f>YEAR(source[[#This Row],[report_date]])</f>
        <v>2025</v>
      </c>
      <c r="C5538" s="128">
        <f t="shared" si="254"/>
        <v>3</v>
      </c>
      <c r="D5538" s="136">
        <f t="shared" si="256"/>
        <v>11</v>
      </c>
      <c r="E5538" s="136">
        <f t="shared" si="255"/>
        <v>12</v>
      </c>
      <c r="F5538" s="128" t="s">
        <v>24</v>
      </c>
      <c r="G5538" s="128" t="str">
        <f>VLOOKUP(source[[#This Row],[lending_product_transform]],[3]Mapping!$B$4:$C$37,2,0)</f>
        <v>[Cake] - Cashloan</v>
      </c>
      <c r="H5538" s="128" t="str">
        <f>VLOOKUP(source[[#This Row],[lending_product_transform]],[3]Mapping!$B$3:$D$37,3,0)</f>
        <v>cashloan</v>
      </c>
      <c r="I5538" s="135">
        <v>390502482</v>
      </c>
    </row>
    <row r="5539" spans="1:9" x14ac:dyDescent="0.2">
      <c r="A5539" s="134">
        <v>45728</v>
      </c>
      <c r="B5539" s="135">
        <f>YEAR(source[[#This Row],[report_date]])</f>
        <v>2025</v>
      </c>
      <c r="C5539" s="128">
        <f t="shared" si="254"/>
        <v>3</v>
      </c>
      <c r="D5539" s="136">
        <f t="shared" si="256"/>
        <v>11</v>
      </c>
      <c r="E5539" s="136">
        <f t="shared" si="255"/>
        <v>12</v>
      </c>
      <c r="F5539" s="128" t="s">
        <v>24</v>
      </c>
      <c r="G5539" s="128" t="str">
        <f>VLOOKUP(source[[#This Row],[lending_product_transform]],[3]Mapping!$B$4:$C$37,2,0)</f>
        <v>[Cake] - Cashloan</v>
      </c>
      <c r="H5539" s="128" t="str">
        <f>VLOOKUP(source[[#This Row],[lending_product_transform]],[3]Mapping!$B$3:$D$37,3,0)</f>
        <v>cashloan</v>
      </c>
      <c r="I5539" s="135">
        <v>228532088</v>
      </c>
    </row>
    <row r="5540" spans="1:9" x14ac:dyDescent="0.2">
      <c r="A5540" s="134">
        <v>45728</v>
      </c>
      <c r="B5540" s="135">
        <f>YEAR(source[[#This Row],[report_date]])</f>
        <v>2025</v>
      </c>
      <c r="C5540" s="128">
        <f t="shared" si="254"/>
        <v>3</v>
      </c>
      <c r="D5540" s="136">
        <f t="shared" si="256"/>
        <v>11</v>
      </c>
      <c r="E5540" s="136">
        <f t="shared" si="255"/>
        <v>12</v>
      </c>
      <c r="F5540" s="128" t="s">
        <v>24</v>
      </c>
      <c r="G5540" s="128" t="str">
        <f>VLOOKUP(source[[#This Row],[lending_product_transform]],[3]Mapping!$B$4:$C$37,2,0)</f>
        <v>[Cake] - Cashloan</v>
      </c>
      <c r="H5540" s="128" t="str">
        <f>VLOOKUP(source[[#This Row],[lending_product_transform]],[3]Mapping!$B$3:$D$37,3,0)</f>
        <v>cashloan</v>
      </c>
      <c r="I5540" s="135">
        <v>0</v>
      </c>
    </row>
    <row r="5541" spans="1:9" x14ac:dyDescent="0.2">
      <c r="A5541" s="134">
        <v>45728</v>
      </c>
      <c r="B5541" s="135">
        <f>YEAR(source[[#This Row],[report_date]])</f>
        <v>2025</v>
      </c>
      <c r="C5541" s="128">
        <f t="shared" si="254"/>
        <v>3</v>
      </c>
      <c r="D5541" s="136">
        <f t="shared" si="256"/>
        <v>11</v>
      </c>
      <c r="E5541" s="136">
        <f t="shared" si="255"/>
        <v>12</v>
      </c>
      <c r="F5541" s="128" t="s">
        <v>24</v>
      </c>
      <c r="G5541" s="128" t="str">
        <f>VLOOKUP(source[[#This Row],[lending_product_transform]],[3]Mapping!$B$4:$C$37,2,0)</f>
        <v>[Cake] - Cashloan</v>
      </c>
      <c r="H5541" s="128" t="str">
        <f>VLOOKUP(source[[#This Row],[lending_product_transform]],[3]Mapping!$B$3:$D$37,3,0)</f>
        <v>cashloan</v>
      </c>
      <c r="I5541" s="135">
        <v>52500000</v>
      </c>
    </row>
    <row r="5542" spans="1:9" x14ac:dyDescent="0.2">
      <c r="A5542" s="134">
        <v>45728</v>
      </c>
      <c r="B5542" s="135">
        <f>YEAR(source[[#This Row],[report_date]])</f>
        <v>2025</v>
      </c>
      <c r="C5542" s="128">
        <f t="shared" si="254"/>
        <v>3</v>
      </c>
      <c r="D5542" s="136">
        <f t="shared" si="256"/>
        <v>11</v>
      </c>
      <c r="E5542" s="136">
        <f t="shared" si="255"/>
        <v>12</v>
      </c>
      <c r="F5542" s="128" t="s">
        <v>24</v>
      </c>
      <c r="G5542" s="128" t="str">
        <f>VLOOKUP(source[[#This Row],[lending_product_transform]],[3]Mapping!$B$4:$C$37,2,0)</f>
        <v>[Cake] - Cashloan</v>
      </c>
      <c r="H5542" s="128" t="str">
        <f>VLOOKUP(source[[#This Row],[lending_product_transform]],[3]Mapping!$B$3:$D$37,3,0)</f>
        <v>cashloan</v>
      </c>
      <c r="I5542" s="135">
        <v>3669650948</v>
      </c>
    </row>
    <row r="5543" spans="1:9" x14ac:dyDescent="0.2">
      <c r="A5543" s="134">
        <v>45728</v>
      </c>
      <c r="B5543" s="135">
        <f>YEAR(source[[#This Row],[report_date]])</f>
        <v>2025</v>
      </c>
      <c r="C5543" s="128">
        <f t="shared" si="254"/>
        <v>3</v>
      </c>
      <c r="D5543" s="136">
        <f t="shared" si="256"/>
        <v>11</v>
      </c>
      <c r="E5543" s="136">
        <f t="shared" si="255"/>
        <v>12</v>
      </c>
      <c r="F5543" s="128" t="s">
        <v>24</v>
      </c>
      <c r="G5543" s="128" t="str">
        <f>VLOOKUP(source[[#This Row],[lending_product_transform]],[3]Mapping!$B$4:$C$37,2,0)</f>
        <v>[Cake] - Cashloan</v>
      </c>
      <c r="H5543" s="128" t="str">
        <f>VLOOKUP(source[[#This Row],[lending_product_transform]],[3]Mapping!$B$3:$D$37,3,0)</f>
        <v>cashloan</v>
      </c>
      <c r="I5543" s="135">
        <v>6355860000</v>
      </c>
    </row>
    <row r="5544" spans="1:9" x14ac:dyDescent="0.2">
      <c r="A5544" s="134">
        <v>45728</v>
      </c>
      <c r="B5544" s="135">
        <f>YEAR(source[[#This Row],[report_date]])</f>
        <v>2025</v>
      </c>
      <c r="C5544" s="128">
        <f t="shared" si="254"/>
        <v>3</v>
      </c>
      <c r="D5544" s="136">
        <f t="shared" si="256"/>
        <v>11</v>
      </c>
      <c r="E5544" s="136">
        <f t="shared" si="255"/>
        <v>12</v>
      </c>
      <c r="F5544" s="128" t="s">
        <v>24</v>
      </c>
      <c r="G5544" s="128" t="str">
        <f>VLOOKUP(source[[#This Row],[lending_product_transform]],[3]Mapping!$B$4:$C$37,2,0)</f>
        <v>[Cake] - Cashloan</v>
      </c>
      <c r="H5544" s="128" t="str">
        <f>VLOOKUP(source[[#This Row],[lending_product_transform]],[3]Mapping!$B$3:$D$37,3,0)</f>
        <v>cashloan</v>
      </c>
      <c r="I5544" s="135">
        <v>5319000000</v>
      </c>
    </row>
    <row r="5545" spans="1:9" x14ac:dyDescent="0.2">
      <c r="A5545" s="134">
        <v>45729</v>
      </c>
      <c r="B5545" s="135">
        <f>YEAR(source[[#This Row],[report_date]])</f>
        <v>2025</v>
      </c>
      <c r="C5545" s="128">
        <f t="shared" si="254"/>
        <v>3</v>
      </c>
      <c r="D5545" s="136">
        <f t="shared" si="256"/>
        <v>11</v>
      </c>
      <c r="E5545" s="136">
        <f t="shared" si="255"/>
        <v>13</v>
      </c>
      <c r="F5545" s="128" t="s">
        <v>24</v>
      </c>
      <c r="G5545" s="128" t="str">
        <f>VLOOKUP(source[[#This Row],[lending_product_transform]],[3]Mapping!$B$4:$C$37,2,0)</f>
        <v>[Cake] - Cashloan</v>
      </c>
      <c r="H5545" s="128" t="str">
        <f>VLOOKUP(source[[#This Row],[lending_product_transform]],[3]Mapping!$B$3:$D$37,3,0)</f>
        <v>cashloan</v>
      </c>
      <c r="I5545" s="135">
        <v>5206500000</v>
      </c>
    </row>
    <row r="5546" spans="1:9" x14ac:dyDescent="0.2">
      <c r="A5546" s="134">
        <v>45729</v>
      </c>
      <c r="B5546" s="135">
        <f>YEAR(source[[#This Row],[report_date]])</f>
        <v>2025</v>
      </c>
      <c r="C5546" s="128">
        <f t="shared" si="254"/>
        <v>3</v>
      </c>
      <c r="D5546" s="136">
        <f t="shared" si="256"/>
        <v>11</v>
      </c>
      <c r="E5546" s="136">
        <f t="shared" si="255"/>
        <v>13</v>
      </c>
      <c r="F5546" s="128" t="s">
        <v>24</v>
      </c>
      <c r="G5546" s="128" t="str">
        <f>VLOOKUP(source[[#This Row],[lending_product_transform]],[3]Mapping!$B$4:$C$37,2,0)</f>
        <v>[Cake] - Cashloan</v>
      </c>
      <c r="H5546" s="128" t="str">
        <f>VLOOKUP(source[[#This Row],[lending_product_transform]],[3]Mapping!$B$3:$D$37,3,0)</f>
        <v>cashloan</v>
      </c>
      <c r="I5546" s="135">
        <v>5516860000</v>
      </c>
    </row>
    <row r="5547" spans="1:9" x14ac:dyDescent="0.2">
      <c r="A5547" s="134">
        <v>45729</v>
      </c>
      <c r="B5547" s="135">
        <f>YEAR(source[[#This Row],[report_date]])</f>
        <v>2025</v>
      </c>
      <c r="C5547" s="128">
        <f t="shared" si="254"/>
        <v>3</v>
      </c>
      <c r="D5547" s="136">
        <f t="shared" si="256"/>
        <v>11</v>
      </c>
      <c r="E5547" s="136">
        <f t="shared" si="255"/>
        <v>13</v>
      </c>
      <c r="F5547" s="128" t="s">
        <v>24</v>
      </c>
      <c r="G5547" s="128" t="str">
        <f>VLOOKUP(source[[#This Row],[lending_product_transform]],[3]Mapping!$B$4:$C$37,2,0)</f>
        <v>[Cake] - Cashloan</v>
      </c>
      <c r="H5547" s="128" t="str">
        <f>VLOOKUP(source[[#This Row],[lending_product_transform]],[3]Mapping!$B$3:$D$37,3,0)</f>
        <v>cashloan</v>
      </c>
      <c r="I5547" s="135">
        <v>33170000</v>
      </c>
    </row>
    <row r="5548" spans="1:9" x14ac:dyDescent="0.2">
      <c r="A5548" s="134">
        <v>45729</v>
      </c>
      <c r="B5548" s="135">
        <f>YEAR(source[[#This Row],[report_date]])</f>
        <v>2025</v>
      </c>
      <c r="C5548" s="128">
        <f t="shared" si="254"/>
        <v>3</v>
      </c>
      <c r="D5548" s="136">
        <f t="shared" si="256"/>
        <v>11</v>
      </c>
      <c r="E5548" s="136">
        <f t="shared" si="255"/>
        <v>13</v>
      </c>
      <c r="F5548" s="128" t="s">
        <v>24</v>
      </c>
      <c r="G5548" s="128" t="str">
        <f>VLOOKUP(source[[#This Row],[lending_product_transform]],[3]Mapping!$B$4:$C$37,2,0)</f>
        <v>[Cake] - Cashloan</v>
      </c>
      <c r="H5548" s="128" t="str">
        <f>VLOOKUP(source[[#This Row],[lending_product_transform]],[3]Mapping!$B$3:$D$37,3,0)</f>
        <v>cashloan</v>
      </c>
      <c r="I5548" s="135">
        <v>6844600000</v>
      </c>
    </row>
    <row r="5549" spans="1:9" x14ac:dyDescent="0.2">
      <c r="A5549" s="134">
        <v>45729</v>
      </c>
      <c r="B5549" s="135">
        <f>YEAR(source[[#This Row],[report_date]])</f>
        <v>2025</v>
      </c>
      <c r="C5549" s="128">
        <f t="shared" si="254"/>
        <v>3</v>
      </c>
      <c r="D5549" s="136">
        <f t="shared" si="256"/>
        <v>11</v>
      </c>
      <c r="E5549" s="136">
        <f t="shared" si="255"/>
        <v>13</v>
      </c>
      <c r="F5549" s="128" t="s">
        <v>24</v>
      </c>
      <c r="G5549" s="128" t="str">
        <f>VLOOKUP(source[[#This Row],[lending_product_transform]],[3]Mapping!$B$4:$C$37,2,0)</f>
        <v>[Cake] - Cashloan</v>
      </c>
      <c r="H5549" s="128" t="str">
        <f>VLOOKUP(source[[#This Row],[lending_product_transform]],[3]Mapping!$B$3:$D$37,3,0)</f>
        <v>cashloan</v>
      </c>
      <c r="I5549" s="135">
        <v>0</v>
      </c>
    </row>
    <row r="5550" spans="1:9" x14ac:dyDescent="0.2">
      <c r="A5550" s="134">
        <v>45729</v>
      </c>
      <c r="B5550" s="135">
        <f>YEAR(source[[#This Row],[report_date]])</f>
        <v>2025</v>
      </c>
      <c r="C5550" s="128">
        <f t="shared" si="254"/>
        <v>3</v>
      </c>
      <c r="D5550" s="136">
        <f t="shared" si="256"/>
        <v>11</v>
      </c>
      <c r="E5550" s="136">
        <f t="shared" si="255"/>
        <v>13</v>
      </c>
      <c r="F5550" s="128" t="s">
        <v>24</v>
      </c>
      <c r="G5550" s="128" t="str">
        <f>VLOOKUP(source[[#This Row],[lending_product_transform]],[3]Mapping!$B$4:$C$37,2,0)</f>
        <v>[Cake] - Cashloan</v>
      </c>
      <c r="H5550" s="128" t="str">
        <f>VLOOKUP(source[[#This Row],[lending_product_transform]],[3]Mapping!$B$3:$D$37,3,0)</f>
        <v>cashloan</v>
      </c>
      <c r="I5550" s="135">
        <v>26035283</v>
      </c>
    </row>
    <row r="5551" spans="1:9" x14ac:dyDescent="0.2">
      <c r="A5551" s="134">
        <v>45729</v>
      </c>
      <c r="B5551" s="135">
        <f>YEAR(source[[#This Row],[report_date]])</f>
        <v>2025</v>
      </c>
      <c r="C5551" s="128">
        <f t="shared" si="254"/>
        <v>3</v>
      </c>
      <c r="D5551" s="136">
        <f t="shared" si="256"/>
        <v>11</v>
      </c>
      <c r="E5551" s="136">
        <f t="shared" si="255"/>
        <v>13</v>
      </c>
      <c r="F5551" s="128" t="s">
        <v>24</v>
      </c>
      <c r="G5551" s="128" t="str">
        <f>VLOOKUP(source[[#This Row],[lending_product_transform]],[3]Mapping!$B$4:$C$37,2,0)</f>
        <v>[Cake] - Cashloan</v>
      </c>
      <c r="H5551" s="128" t="str">
        <f>VLOOKUP(source[[#This Row],[lending_product_transform]],[3]Mapping!$B$3:$D$37,3,0)</f>
        <v>cashloan</v>
      </c>
      <c r="I5551" s="135">
        <v>26250000</v>
      </c>
    </row>
    <row r="5552" spans="1:9" x14ac:dyDescent="0.2">
      <c r="A5552" s="134">
        <v>45729</v>
      </c>
      <c r="B5552" s="135">
        <f>YEAR(source[[#This Row],[report_date]])</f>
        <v>2025</v>
      </c>
      <c r="C5552" s="128">
        <f t="shared" si="254"/>
        <v>3</v>
      </c>
      <c r="D5552" s="136">
        <f t="shared" si="256"/>
        <v>11</v>
      </c>
      <c r="E5552" s="136">
        <f t="shared" si="255"/>
        <v>13</v>
      </c>
      <c r="F5552" s="128" t="s">
        <v>24</v>
      </c>
      <c r="G5552" s="128" t="str">
        <f>VLOOKUP(source[[#This Row],[lending_product_transform]],[3]Mapping!$B$4:$C$37,2,0)</f>
        <v>[Cake] - Cashloan</v>
      </c>
      <c r="H5552" s="128" t="str">
        <f>VLOOKUP(source[[#This Row],[lending_product_transform]],[3]Mapping!$B$3:$D$37,3,0)</f>
        <v>cashloan</v>
      </c>
      <c r="I5552" s="135">
        <v>40000000</v>
      </c>
    </row>
    <row r="5553" spans="1:9" x14ac:dyDescent="0.2">
      <c r="A5553" s="134">
        <v>45729</v>
      </c>
      <c r="B5553" s="135">
        <f>YEAR(source[[#This Row],[report_date]])</f>
        <v>2025</v>
      </c>
      <c r="C5553" s="128">
        <f t="shared" si="254"/>
        <v>3</v>
      </c>
      <c r="D5553" s="136">
        <f t="shared" si="256"/>
        <v>11</v>
      </c>
      <c r="E5553" s="136">
        <f t="shared" si="255"/>
        <v>13</v>
      </c>
      <c r="F5553" s="128" t="s">
        <v>24</v>
      </c>
      <c r="G5553" s="128" t="str">
        <f>VLOOKUP(source[[#This Row],[lending_product_transform]],[3]Mapping!$B$4:$C$37,2,0)</f>
        <v>[Cake] - Cashloan</v>
      </c>
      <c r="H5553" s="128" t="str">
        <f>VLOOKUP(source[[#This Row],[lending_product_transform]],[3]Mapping!$B$3:$D$37,3,0)</f>
        <v>cashloan</v>
      </c>
      <c r="I5553" s="135">
        <v>0</v>
      </c>
    </row>
    <row r="5554" spans="1:9" x14ac:dyDescent="0.2">
      <c r="A5554" s="134">
        <v>45729</v>
      </c>
      <c r="B5554" s="135">
        <f>YEAR(source[[#This Row],[report_date]])</f>
        <v>2025</v>
      </c>
      <c r="C5554" s="128">
        <f t="shared" ref="C5554:C5617" si="257">MONTH(A5554)</f>
        <v>3</v>
      </c>
      <c r="D5554" s="136">
        <f t="shared" si="256"/>
        <v>11</v>
      </c>
      <c r="E5554" s="136">
        <f t="shared" ref="E5554:E5617" si="258">DAY(A5554)</f>
        <v>13</v>
      </c>
      <c r="F5554" s="128" t="s">
        <v>24</v>
      </c>
      <c r="G5554" s="128" t="str">
        <f>VLOOKUP(source[[#This Row],[lending_product_transform]],[3]Mapping!$B$4:$C$37,2,0)</f>
        <v>[Cake] - Cashloan</v>
      </c>
      <c r="H5554" s="128" t="str">
        <f>VLOOKUP(source[[#This Row],[lending_product_transform]],[3]Mapping!$B$3:$D$37,3,0)</f>
        <v>cashloan</v>
      </c>
      <c r="I5554" s="135">
        <v>476281341</v>
      </c>
    </row>
    <row r="5555" spans="1:9" x14ac:dyDescent="0.2">
      <c r="A5555" s="134">
        <v>45729</v>
      </c>
      <c r="B5555" s="135">
        <f>YEAR(source[[#This Row],[report_date]])</f>
        <v>2025</v>
      </c>
      <c r="C5555" s="128">
        <f t="shared" si="257"/>
        <v>3</v>
      </c>
      <c r="D5555" s="136">
        <f t="shared" si="256"/>
        <v>11</v>
      </c>
      <c r="E5555" s="136">
        <f t="shared" si="258"/>
        <v>13</v>
      </c>
      <c r="F5555" s="128" t="s">
        <v>24</v>
      </c>
      <c r="G5555" s="128" t="str">
        <f>VLOOKUP(source[[#This Row],[lending_product_transform]],[3]Mapping!$B$4:$C$37,2,0)</f>
        <v>[Cake] - Cashloan</v>
      </c>
      <c r="H5555" s="128" t="str">
        <f>VLOOKUP(source[[#This Row],[lending_product_transform]],[3]Mapping!$B$3:$D$37,3,0)</f>
        <v>cashloan</v>
      </c>
      <c r="I5555" s="135">
        <v>3244632724</v>
      </c>
    </row>
    <row r="5556" spans="1:9" x14ac:dyDescent="0.2">
      <c r="A5556" s="134">
        <v>45729</v>
      </c>
      <c r="B5556" s="135">
        <f>YEAR(source[[#This Row],[report_date]])</f>
        <v>2025</v>
      </c>
      <c r="C5556" s="128">
        <f t="shared" si="257"/>
        <v>3</v>
      </c>
      <c r="D5556" s="136">
        <f t="shared" si="256"/>
        <v>11</v>
      </c>
      <c r="E5556" s="136">
        <f t="shared" si="258"/>
        <v>13</v>
      </c>
      <c r="F5556" s="128" t="s">
        <v>24</v>
      </c>
      <c r="G5556" s="128" t="str">
        <f>VLOOKUP(source[[#This Row],[lending_product_transform]],[3]Mapping!$B$4:$C$37,2,0)</f>
        <v>[Cake] - Cashloan</v>
      </c>
      <c r="H5556" s="128" t="str">
        <f>VLOOKUP(source[[#This Row],[lending_product_transform]],[3]Mapping!$B$3:$D$37,3,0)</f>
        <v>cashloan</v>
      </c>
      <c r="I5556" s="135">
        <v>0</v>
      </c>
    </row>
    <row r="5557" spans="1:9" x14ac:dyDescent="0.2">
      <c r="A5557" s="134">
        <v>45729</v>
      </c>
      <c r="B5557" s="135">
        <f>YEAR(source[[#This Row],[report_date]])</f>
        <v>2025</v>
      </c>
      <c r="C5557" s="128">
        <f t="shared" si="257"/>
        <v>3</v>
      </c>
      <c r="D5557" s="136">
        <f t="shared" si="256"/>
        <v>11</v>
      </c>
      <c r="E5557" s="136">
        <f t="shared" si="258"/>
        <v>13</v>
      </c>
      <c r="F5557" s="128" t="s">
        <v>24</v>
      </c>
      <c r="G5557" s="128" t="str">
        <f>VLOOKUP(source[[#This Row],[lending_product_transform]],[3]Mapping!$B$4:$C$37,2,0)</f>
        <v>[Cake] - Cashloan</v>
      </c>
      <c r="H5557" s="128" t="str">
        <f>VLOOKUP(source[[#This Row],[lending_product_transform]],[3]Mapping!$B$3:$D$37,3,0)</f>
        <v>cashloan</v>
      </c>
      <c r="I5557" s="135">
        <v>0</v>
      </c>
    </row>
    <row r="5558" spans="1:9" x14ac:dyDescent="0.2">
      <c r="A5558" s="134">
        <v>45729</v>
      </c>
      <c r="B5558" s="135">
        <f>YEAR(source[[#This Row],[report_date]])</f>
        <v>2025</v>
      </c>
      <c r="C5558" s="128">
        <f t="shared" si="257"/>
        <v>3</v>
      </c>
      <c r="D5558" s="136">
        <f t="shared" si="256"/>
        <v>11</v>
      </c>
      <c r="E5558" s="136">
        <f t="shared" si="258"/>
        <v>13</v>
      </c>
      <c r="F5558" s="128" t="s">
        <v>24</v>
      </c>
      <c r="G5558" s="128" t="str">
        <f>VLOOKUP(source[[#This Row],[lending_product_transform]],[3]Mapping!$B$4:$C$37,2,0)</f>
        <v>[Cake] - Cashloan</v>
      </c>
      <c r="H5558" s="128" t="str">
        <f>VLOOKUP(source[[#This Row],[lending_product_transform]],[3]Mapping!$B$3:$D$37,3,0)</f>
        <v>cashloan</v>
      </c>
      <c r="I5558" s="135">
        <v>551930000</v>
      </c>
    </row>
    <row r="5559" spans="1:9" x14ac:dyDescent="0.2">
      <c r="A5559" s="134">
        <v>45729</v>
      </c>
      <c r="B5559" s="135">
        <f>YEAR(source[[#This Row],[report_date]])</f>
        <v>2025</v>
      </c>
      <c r="C5559" s="128">
        <f t="shared" si="257"/>
        <v>3</v>
      </c>
      <c r="D5559" s="136">
        <f t="shared" si="256"/>
        <v>11</v>
      </c>
      <c r="E5559" s="136">
        <f t="shared" si="258"/>
        <v>13</v>
      </c>
      <c r="F5559" s="128" t="s">
        <v>24</v>
      </c>
      <c r="G5559" s="128" t="str">
        <f>VLOOKUP(source[[#This Row],[lending_product_transform]],[3]Mapping!$B$4:$C$37,2,0)</f>
        <v>[Cake] - Cashloan</v>
      </c>
      <c r="H5559" s="128" t="str">
        <f>VLOOKUP(source[[#This Row],[lending_product_transform]],[3]Mapping!$B$3:$D$37,3,0)</f>
        <v>cashloan</v>
      </c>
      <c r="I5559" s="135">
        <v>346562136</v>
      </c>
    </row>
    <row r="5560" spans="1:9" x14ac:dyDescent="0.2">
      <c r="A5560" s="134">
        <v>45729</v>
      </c>
      <c r="B5560" s="135">
        <f>YEAR(source[[#This Row],[report_date]])</f>
        <v>2025</v>
      </c>
      <c r="C5560" s="128">
        <f t="shared" si="257"/>
        <v>3</v>
      </c>
      <c r="D5560" s="136">
        <f t="shared" si="256"/>
        <v>11</v>
      </c>
      <c r="E5560" s="136">
        <f t="shared" si="258"/>
        <v>13</v>
      </c>
      <c r="F5560" s="128" t="s">
        <v>24</v>
      </c>
      <c r="G5560" s="128" t="str">
        <f>VLOOKUP(source[[#This Row],[lending_product_transform]],[3]Mapping!$B$4:$C$37,2,0)</f>
        <v>[Cake] - Cashloan</v>
      </c>
      <c r="H5560" s="128" t="str">
        <f>VLOOKUP(source[[#This Row],[lending_product_transform]],[3]Mapping!$B$3:$D$37,3,0)</f>
        <v>cashloan</v>
      </c>
      <c r="I5560" s="135">
        <v>191236930</v>
      </c>
    </row>
    <row r="5561" spans="1:9" x14ac:dyDescent="0.2">
      <c r="A5561" s="134">
        <v>45729</v>
      </c>
      <c r="B5561" s="135">
        <f>YEAR(source[[#This Row],[report_date]])</f>
        <v>2025</v>
      </c>
      <c r="C5561" s="128">
        <f t="shared" si="257"/>
        <v>3</v>
      </c>
      <c r="D5561" s="136">
        <f t="shared" si="256"/>
        <v>11</v>
      </c>
      <c r="E5561" s="136">
        <f t="shared" si="258"/>
        <v>13</v>
      </c>
      <c r="F5561" s="128" t="s">
        <v>24</v>
      </c>
      <c r="G5561" s="128" t="str">
        <f>VLOOKUP(source[[#This Row],[lending_product_transform]],[3]Mapping!$B$4:$C$37,2,0)</f>
        <v>[Cake] - Cashloan</v>
      </c>
      <c r="H5561" s="128" t="str">
        <f>VLOOKUP(source[[#This Row],[lending_product_transform]],[3]Mapping!$B$3:$D$37,3,0)</f>
        <v>cashloan</v>
      </c>
      <c r="I5561" s="135">
        <v>0</v>
      </c>
    </row>
    <row r="5562" spans="1:9" x14ac:dyDescent="0.2">
      <c r="A5562" s="134">
        <v>45729</v>
      </c>
      <c r="B5562" s="135">
        <f>YEAR(source[[#This Row],[report_date]])</f>
        <v>2025</v>
      </c>
      <c r="C5562" s="128">
        <f t="shared" si="257"/>
        <v>3</v>
      </c>
      <c r="D5562" s="136">
        <f t="shared" si="256"/>
        <v>11</v>
      </c>
      <c r="E5562" s="136">
        <f t="shared" si="258"/>
        <v>13</v>
      </c>
      <c r="F5562" s="128" t="s">
        <v>24</v>
      </c>
      <c r="G5562" s="128" t="str">
        <f>VLOOKUP(source[[#This Row],[lending_product_transform]],[3]Mapping!$B$4:$C$37,2,0)</f>
        <v>[Cake] - Cashloan</v>
      </c>
      <c r="H5562" s="128" t="str">
        <f>VLOOKUP(source[[#This Row],[lending_product_transform]],[3]Mapping!$B$3:$D$37,3,0)</f>
        <v>cashloan</v>
      </c>
      <c r="I5562" s="135">
        <v>0</v>
      </c>
    </row>
    <row r="5563" spans="1:9" x14ac:dyDescent="0.2">
      <c r="A5563" s="134">
        <v>45729</v>
      </c>
      <c r="B5563" s="135">
        <f>YEAR(source[[#This Row],[report_date]])</f>
        <v>2025</v>
      </c>
      <c r="C5563" s="128">
        <f t="shared" si="257"/>
        <v>3</v>
      </c>
      <c r="D5563" s="136">
        <f t="shared" si="256"/>
        <v>11</v>
      </c>
      <c r="E5563" s="136">
        <f t="shared" si="258"/>
        <v>13</v>
      </c>
      <c r="F5563" s="128" t="s">
        <v>24</v>
      </c>
      <c r="G5563" s="128" t="str">
        <f>VLOOKUP(source[[#This Row],[lending_product_transform]],[3]Mapping!$B$4:$C$37,2,0)</f>
        <v>[Cake] - Cashloan</v>
      </c>
      <c r="H5563" s="128" t="str">
        <f>VLOOKUP(source[[#This Row],[lending_product_transform]],[3]Mapping!$B$3:$D$37,3,0)</f>
        <v>cashloan</v>
      </c>
      <c r="I5563" s="135">
        <v>860890000</v>
      </c>
    </row>
    <row r="5564" spans="1:9" x14ac:dyDescent="0.2">
      <c r="A5564" s="134">
        <v>45730</v>
      </c>
      <c r="B5564" s="135">
        <f>YEAR(source[[#This Row],[report_date]])</f>
        <v>2025</v>
      </c>
      <c r="C5564" s="128">
        <f t="shared" si="257"/>
        <v>3</v>
      </c>
      <c r="D5564" s="136">
        <f t="shared" si="256"/>
        <v>11</v>
      </c>
      <c r="E5564" s="136">
        <f t="shared" si="258"/>
        <v>14</v>
      </c>
      <c r="F5564" s="128" t="s">
        <v>24</v>
      </c>
      <c r="G5564" s="128" t="str">
        <f>VLOOKUP(source[[#This Row],[lending_product_transform]],[3]Mapping!$B$4:$C$37,2,0)</f>
        <v>[Cake] - Cashloan</v>
      </c>
      <c r="H5564" s="128" t="str">
        <f>VLOOKUP(source[[#This Row],[lending_product_transform]],[3]Mapping!$B$3:$D$37,3,0)</f>
        <v>cashloan</v>
      </c>
      <c r="I5564" s="135">
        <v>34000000</v>
      </c>
    </row>
    <row r="5565" spans="1:9" x14ac:dyDescent="0.2">
      <c r="A5565" s="134">
        <v>45730</v>
      </c>
      <c r="B5565" s="135">
        <f>YEAR(source[[#This Row],[report_date]])</f>
        <v>2025</v>
      </c>
      <c r="C5565" s="128">
        <f t="shared" si="257"/>
        <v>3</v>
      </c>
      <c r="D5565" s="136">
        <f t="shared" si="256"/>
        <v>11</v>
      </c>
      <c r="E5565" s="136">
        <f t="shared" si="258"/>
        <v>14</v>
      </c>
      <c r="F5565" s="128" t="s">
        <v>24</v>
      </c>
      <c r="G5565" s="128" t="str">
        <f>VLOOKUP(source[[#This Row],[lending_product_transform]],[3]Mapping!$B$4:$C$37,2,0)</f>
        <v>[Cake] - Cashloan</v>
      </c>
      <c r="H5565" s="128" t="str">
        <f>VLOOKUP(source[[#This Row],[lending_product_transform]],[3]Mapping!$B$3:$D$37,3,0)</f>
        <v>cashloan</v>
      </c>
      <c r="I5565" s="135">
        <v>32100000</v>
      </c>
    </row>
    <row r="5566" spans="1:9" x14ac:dyDescent="0.2">
      <c r="A5566" s="134">
        <v>45730</v>
      </c>
      <c r="B5566" s="135">
        <f>YEAR(source[[#This Row],[report_date]])</f>
        <v>2025</v>
      </c>
      <c r="C5566" s="128">
        <f t="shared" si="257"/>
        <v>3</v>
      </c>
      <c r="D5566" s="136">
        <f t="shared" si="256"/>
        <v>11</v>
      </c>
      <c r="E5566" s="136">
        <f t="shared" si="258"/>
        <v>14</v>
      </c>
      <c r="F5566" s="128" t="s">
        <v>24</v>
      </c>
      <c r="G5566" s="128" t="str">
        <f>VLOOKUP(source[[#This Row],[lending_product_transform]],[3]Mapping!$B$4:$C$37,2,0)</f>
        <v>[Cake] - Cashloan</v>
      </c>
      <c r="H5566" s="128" t="str">
        <f>VLOOKUP(source[[#This Row],[lending_product_transform]],[3]Mapping!$B$3:$D$37,3,0)</f>
        <v>cashloan</v>
      </c>
      <c r="I5566" s="135">
        <v>1071250000</v>
      </c>
    </row>
    <row r="5567" spans="1:9" x14ac:dyDescent="0.2">
      <c r="A5567" s="134">
        <v>45730</v>
      </c>
      <c r="B5567" s="135">
        <f>YEAR(source[[#This Row],[report_date]])</f>
        <v>2025</v>
      </c>
      <c r="C5567" s="128">
        <f t="shared" si="257"/>
        <v>3</v>
      </c>
      <c r="D5567" s="136">
        <f t="shared" si="256"/>
        <v>11</v>
      </c>
      <c r="E5567" s="136">
        <f t="shared" si="258"/>
        <v>14</v>
      </c>
      <c r="F5567" s="128" t="s">
        <v>24</v>
      </c>
      <c r="G5567" s="128" t="str">
        <f>VLOOKUP(source[[#This Row],[lending_product_transform]],[3]Mapping!$B$4:$C$37,2,0)</f>
        <v>[Cake] - Cashloan</v>
      </c>
      <c r="H5567" s="128" t="str">
        <f>VLOOKUP(source[[#This Row],[lending_product_transform]],[3]Mapping!$B$3:$D$37,3,0)</f>
        <v>cashloan</v>
      </c>
      <c r="I5567" s="135">
        <v>374571065</v>
      </c>
    </row>
    <row r="5568" spans="1:9" x14ac:dyDescent="0.2">
      <c r="A5568" s="134">
        <v>45730</v>
      </c>
      <c r="B5568" s="135">
        <f>YEAR(source[[#This Row],[report_date]])</f>
        <v>2025</v>
      </c>
      <c r="C5568" s="128">
        <f t="shared" si="257"/>
        <v>3</v>
      </c>
      <c r="D5568" s="136">
        <f t="shared" si="256"/>
        <v>11</v>
      </c>
      <c r="E5568" s="136">
        <f t="shared" si="258"/>
        <v>14</v>
      </c>
      <c r="F5568" s="128" t="s">
        <v>24</v>
      </c>
      <c r="G5568" s="128" t="str">
        <f>VLOOKUP(source[[#This Row],[lending_product_transform]],[3]Mapping!$B$4:$C$37,2,0)</f>
        <v>[Cake] - Cashloan</v>
      </c>
      <c r="H5568" s="128" t="str">
        <f>VLOOKUP(source[[#This Row],[lending_product_transform]],[3]Mapping!$B$3:$D$37,3,0)</f>
        <v>cashloan</v>
      </c>
      <c r="I5568" s="135">
        <v>24776104</v>
      </c>
    </row>
    <row r="5569" spans="1:9" x14ac:dyDescent="0.2">
      <c r="A5569" s="134">
        <v>45730</v>
      </c>
      <c r="B5569" s="135">
        <f>YEAR(source[[#This Row],[report_date]])</f>
        <v>2025</v>
      </c>
      <c r="C5569" s="128">
        <f t="shared" si="257"/>
        <v>3</v>
      </c>
      <c r="D5569" s="136">
        <f t="shared" si="256"/>
        <v>11</v>
      </c>
      <c r="E5569" s="136">
        <f t="shared" si="258"/>
        <v>14</v>
      </c>
      <c r="F5569" s="128" t="s">
        <v>24</v>
      </c>
      <c r="G5569" s="128" t="str">
        <f>VLOOKUP(source[[#This Row],[lending_product_transform]],[3]Mapping!$B$4:$C$37,2,0)</f>
        <v>[Cake] - Cashloan</v>
      </c>
      <c r="H5569" s="128" t="str">
        <f>VLOOKUP(source[[#This Row],[lending_product_transform]],[3]Mapping!$B$3:$D$37,3,0)</f>
        <v>cashloan</v>
      </c>
      <c r="I5569" s="135">
        <v>0</v>
      </c>
    </row>
    <row r="5570" spans="1:9" x14ac:dyDescent="0.2">
      <c r="A5570" s="134">
        <v>45730</v>
      </c>
      <c r="B5570" s="135">
        <f>YEAR(source[[#This Row],[report_date]])</f>
        <v>2025</v>
      </c>
      <c r="C5570" s="128">
        <f t="shared" si="257"/>
        <v>3</v>
      </c>
      <c r="D5570" s="136">
        <f t="shared" si="256"/>
        <v>11</v>
      </c>
      <c r="E5570" s="136">
        <f t="shared" si="258"/>
        <v>14</v>
      </c>
      <c r="F5570" s="128" t="s">
        <v>24</v>
      </c>
      <c r="G5570" s="128" t="str">
        <f>VLOOKUP(source[[#This Row],[lending_product_transform]],[3]Mapping!$B$4:$C$37,2,0)</f>
        <v>[Cake] - Cashloan</v>
      </c>
      <c r="H5570" s="128" t="str">
        <f>VLOOKUP(source[[#This Row],[lending_product_transform]],[3]Mapping!$B$3:$D$37,3,0)</f>
        <v>cashloan</v>
      </c>
      <c r="I5570" s="135">
        <v>436547527</v>
      </c>
    </row>
    <row r="5571" spans="1:9" x14ac:dyDescent="0.2">
      <c r="A5571" s="134">
        <v>45730</v>
      </c>
      <c r="B5571" s="135">
        <f>YEAR(source[[#This Row],[report_date]])</f>
        <v>2025</v>
      </c>
      <c r="C5571" s="128">
        <f t="shared" si="257"/>
        <v>3</v>
      </c>
      <c r="D5571" s="136">
        <f t="shared" ref="D5571:D5634" si="259">WEEKNUM(A5571,2)</f>
        <v>11</v>
      </c>
      <c r="E5571" s="136">
        <f t="shared" si="258"/>
        <v>14</v>
      </c>
      <c r="F5571" s="128" t="s">
        <v>24</v>
      </c>
      <c r="G5571" s="128" t="str">
        <f>VLOOKUP(source[[#This Row],[lending_product_transform]],[3]Mapping!$B$4:$C$37,2,0)</f>
        <v>[Cake] - Cashloan</v>
      </c>
      <c r="H5571" s="128" t="str">
        <f>VLOOKUP(source[[#This Row],[lending_product_transform]],[3]Mapping!$B$3:$D$37,3,0)</f>
        <v>cashloan</v>
      </c>
      <c r="I5571" s="135">
        <v>5410000000</v>
      </c>
    </row>
    <row r="5572" spans="1:9" x14ac:dyDescent="0.2">
      <c r="A5572" s="134">
        <v>45730</v>
      </c>
      <c r="B5572" s="135">
        <f>YEAR(source[[#This Row],[report_date]])</f>
        <v>2025</v>
      </c>
      <c r="C5572" s="128">
        <f t="shared" si="257"/>
        <v>3</v>
      </c>
      <c r="D5572" s="136">
        <f t="shared" si="259"/>
        <v>11</v>
      </c>
      <c r="E5572" s="136">
        <f t="shared" si="258"/>
        <v>14</v>
      </c>
      <c r="F5572" s="128" t="s">
        <v>24</v>
      </c>
      <c r="G5572" s="128" t="str">
        <f>VLOOKUP(source[[#This Row],[lending_product_transform]],[3]Mapping!$B$4:$C$37,2,0)</f>
        <v>[Cake] - Cashloan</v>
      </c>
      <c r="H5572" s="128" t="str">
        <f>VLOOKUP(source[[#This Row],[lending_product_transform]],[3]Mapping!$B$3:$D$37,3,0)</f>
        <v>cashloan</v>
      </c>
      <c r="I5572" s="135">
        <v>0</v>
      </c>
    </row>
    <row r="5573" spans="1:9" x14ac:dyDescent="0.2">
      <c r="A5573" s="134">
        <v>45730</v>
      </c>
      <c r="B5573" s="135">
        <f>YEAR(source[[#This Row],[report_date]])</f>
        <v>2025</v>
      </c>
      <c r="C5573" s="128">
        <f t="shared" si="257"/>
        <v>3</v>
      </c>
      <c r="D5573" s="136">
        <f t="shared" si="259"/>
        <v>11</v>
      </c>
      <c r="E5573" s="136">
        <f t="shared" si="258"/>
        <v>14</v>
      </c>
      <c r="F5573" s="128" t="s">
        <v>24</v>
      </c>
      <c r="G5573" s="128" t="str">
        <f>VLOOKUP(source[[#This Row],[lending_product_transform]],[3]Mapping!$B$4:$C$37,2,0)</f>
        <v>[Cake] - Cashloan</v>
      </c>
      <c r="H5573" s="128" t="str">
        <f>VLOOKUP(source[[#This Row],[lending_product_transform]],[3]Mapping!$B$3:$D$37,3,0)</f>
        <v>cashloan</v>
      </c>
      <c r="I5573" s="135">
        <v>0</v>
      </c>
    </row>
    <row r="5574" spans="1:9" x14ac:dyDescent="0.2">
      <c r="A5574" s="134">
        <v>45730</v>
      </c>
      <c r="B5574" s="135">
        <f>YEAR(source[[#This Row],[report_date]])</f>
        <v>2025</v>
      </c>
      <c r="C5574" s="128">
        <f t="shared" si="257"/>
        <v>3</v>
      </c>
      <c r="D5574" s="136">
        <f t="shared" si="259"/>
        <v>11</v>
      </c>
      <c r="E5574" s="136">
        <f t="shared" si="258"/>
        <v>14</v>
      </c>
      <c r="F5574" s="128" t="s">
        <v>24</v>
      </c>
      <c r="G5574" s="128" t="str">
        <f>VLOOKUP(source[[#This Row],[lending_product_transform]],[3]Mapping!$B$4:$C$37,2,0)</f>
        <v>[Cake] - Cashloan</v>
      </c>
      <c r="H5574" s="128" t="str">
        <f>VLOOKUP(source[[#This Row],[lending_product_transform]],[3]Mapping!$B$3:$D$37,3,0)</f>
        <v>cashloan</v>
      </c>
      <c r="I5574" s="135">
        <v>3653668820</v>
      </c>
    </row>
    <row r="5575" spans="1:9" x14ac:dyDescent="0.2">
      <c r="A5575" s="134">
        <v>45730</v>
      </c>
      <c r="B5575" s="135">
        <f>YEAR(source[[#This Row],[report_date]])</f>
        <v>2025</v>
      </c>
      <c r="C5575" s="128">
        <f t="shared" si="257"/>
        <v>3</v>
      </c>
      <c r="D5575" s="136">
        <f t="shared" si="259"/>
        <v>11</v>
      </c>
      <c r="E5575" s="136">
        <f t="shared" si="258"/>
        <v>14</v>
      </c>
      <c r="F5575" s="128" t="s">
        <v>24</v>
      </c>
      <c r="G5575" s="128" t="str">
        <f>VLOOKUP(source[[#This Row],[lending_product_transform]],[3]Mapping!$B$4:$C$37,2,0)</f>
        <v>[Cake] - Cashloan</v>
      </c>
      <c r="H5575" s="128" t="str">
        <f>VLOOKUP(source[[#This Row],[lending_product_transform]],[3]Mapping!$B$3:$D$37,3,0)</f>
        <v>cashloan</v>
      </c>
      <c r="I5575" s="135">
        <v>0</v>
      </c>
    </row>
    <row r="5576" spans="1:9" x14ac:dyDescent="0.2">
      <c r="A5576" s="134">
        <v>45730</v>
      </c>
      <c r="B5576" s="135">
        <f>YEAR(source[[#This Row],[report_date]])</f>
        <v>2025</v>
      </c>
      <c r="C5576" s="128">
        <f t="shared" si="257"/>
        <v>3</v>
      </c>
      <c r="D5576" s="136">
        <f t="shared" si="259"/>
        <v>11</v>
      </c>
      <c r="E5576" s="136">
        <f t="shared" si="258"/>
        <v>14</v>
      </c>
      <c r="F5576" s="128" t="s">
        <v>24</v>
      </c>
      <c r="G5576" s="128" t="str">
        <f>VLOOKUP(source[[#This Row],[lending_product_transform]],[3]Mapping!$B$4:$C$37,2,0)</f>
        <v>[Cake] - Cashloan</v>
      </c>
      <c r="H5576" s="128" t="str">
        <f>VLOOKUP(source[[#This Row],[lending_product_transform]],[3]Mapping!$B$3:$D$37,3,0)</f>
        <v>cashloan</v>
      </c>
      <c r="I5576" s="135">
        <v>42000000</v>
      </c>
    </row>
    <row r="5577" spans="1:9" x14ac:dyDescent="0.2">
      <c r="A5577" s="134">
        <v>45730</v>
      </c>
      <c r="B5577" s="135">
        <f>YEAR(source[[#This Row],[report_date]])</f>
        <v>2025</v>
      </c>
      <c r="C5577" s="128">
        <f t="shared" si="257"/>
        <v>3</v>
      </c>
      <c r="D5577" s="136">
        <f t="shared" si="259"/>
        <v>11</v>
      </c>
      <c r="E5577" s="136">
        <f t="shared" si="258"/>
        <v>14</v>
      </c>
      <c r="F5577" s="128" t="s">
        <v>24</v>
      </c>
      <c r="G5577" s="128" t="str">
        <f>VLOOKUP(source[[#This Row],[lending_product_transform]],[3]Mapping!$B$4:$C$37,2,0)</f>
        <v>[Cake] - Cashloan</v>
      </c>
      <c r="H5577" s="128" t="str">
        <f>VLOOKUP(source[[#This Row],[lending_product_transform]],[3]Mapping!$B$3:$D$37,3,0)</f>
        <v>cashloan</v>
      </c>
      <c r="I5577" s="135">
        <v>0</v>
      </c>
    </row>
    <row r="5578" spans="1:9" x14ac:dyDescent="0.2">
      <c r="A5578" s="134">
        <v>45730</v>
      </c>
      <c r="B5578" s="135">
        <f>YEAR(source[[#This Row],[report_date]])</f>
        <v>2025</v>
      </c>
      <c r="C5578" s="128">
        <f t="shared" si="257"/>
        <v>3</v>
      </c>
      <c r="D5578" s="136">
        <f t="shared" si="259"/>
        <v>11</v>
      </c>
      <c r="E5578" s="136">
        <f t="shared" si="258"/>
        <v>14</v>
      </c>
      <c r="F5578" s="128" t="s">
        <v>24</v>
      </c>
      <c r="G5578" s="128" t="str">
        <f>VLOOKUP(source[[#This Row],[lending_product_transform]],[3]Mapping!$B$4:$C$37,2,0)</f>
        <v>[Cake] - Cashloan</v>
      </c>
      <c r="H5578" s="128" t="str">
        <f>VLOOKUP(source[[#This Row],[lending_product_transform]],[3]Mapping!$B$3:$D$37,3,0)</f>
        <v>cashloan</v>
      </c>
      <c r="I5578" s="135">
        <v>5722870000</v>
      </c>
    </row>
    <row r="5579" spans="1:9" x14ac:dyDescent="0.2">
      <c r="A5579" s="134">
        <v>45730</v>
      </c>
      <c r="B5579" s="135">
        <f>YEAR(source[[#This Row],[report_date]])</f>
        <v>2025</v>
      </c>
      <c r="C5579" s="128">
        <f t="shared" si="257"/>
        <v>3</v>
      </c>
      <c r="D5579" s="136">
        <f t="shared" si="259"/>
        <v>11</v>
      </c>
      <c r="E5579" s="136">
        <f t="shared" si="258"/>
        <v>14</v>
      </c>
      <c r="F5579" s="128" t="s">
        <v>24</v>
      </c>
      <c r="G5579" s="128" t="str">
        <f>VLOOKUP(source[[#This Row],[lending_product_transform]],[3]Mapping!$B$4:$C$37,2,0)</f>
        <v>[Cake] - Cashloan</v>
      </c>
      <c r="H5579" s="128" t="str">
        <f>VLOOKUP(source[[#This Row],[lending_product_transform]],[3]Mapping!$B$3:$D$37,3,0)</f>
        <v>cashloan</v>
      </c>
      <c r="I5579" s="135">
        <v>191240517</v>
      </c>
    </row>
    <row r="5580" spans="1:9" x14ac:dyDescent="0.2">
      <c r="A5580" s="134">
        <v>45730</v>
      </c>
      <c r="B5580" s="135">
        <f>YEAR(source[[#This Row],[report_date]])</f>
        <v>2025</v>
      </c>
      <c r="C5580" s="128">
        <f t="shared" si="257"/>
        <v>3</v>
      </c>
      <c r="D5580" s="136">
        <f t="shared" si="259"/>
        <v>11</v>
      </c>
      <c r="E5580" s="136">
        <f t="shared" si="258"/>
        <v>14</v>
      </c>
      <c r="F5580" s="128" t="s">
        <v>24</v>
      </c>
      <c r="G5580" s="128" t="str">
        <f>VLOOKUP(source[[#This Row],[lending_product_transform]],[3]Mapping!$B$4:$C$37,2,0)</f>
        <v>[Cake] - Cashloan</v>
      </c>
      <c r="H5580" s="128" t="str">
        <f>VLOOKUP(source[[#This Row],[lending_product_transform]],[3]Mapping!$B$3:$D$37,3,0)</f>
        <v>cashloan</v>
      </c>
      <c r="I5580" s="135">
        <v>0</v>
      </c>
    </row>
    <row r="5581" spans="1:9" x14ac:dyDescent="0.2">
      <c r="A5581" s="134">
        <v>45730</v>
      </c>
      <c r="B5581" s="135">
        <f>YEAR(source[[#This Row],[report_date]])</f>
        <v>2025</v>
      </c>
      <c r="C5581" s="128">
        <f t="shared" si="257"/>
        <v>3</v>
      </c>
      <c r="D5581" s="136">
        <f t="shared" si="259"/>
        <v>11</v>
      </c>
      <c r="E5581" s="136">
        <f t="shared" si="258"/>
        <v>14</v>
      </c>
      <c r="F5581" s="128" t="s">
        <v>24</v>
      </c>
      <c r="G5581" s="128" t="str">
        <f>VLOOKUP(source[[#This Row],[lending_product_transform]],[3]Mapping!$B$4:$C$37,2,0)</f>
        <v>[Cake] - Cashloan</v>
      </c>
      <c r="H5581" s="128" t="str">
        <f>VLOOKUP(source[[#This Row],[lending_product_transform]],[3]Mapping!$B$3:$D$37,3,0)</f>
        <v>cashloan</v>
      </c>
      <c r="I5581" s="135">
        <v>366650000</v>
      </c>
    </row>
    <row r="5582" spans="1:9" x14ac:dyDescent="0.2">
      <c r="A5582" s="134">
        <v>45730</v>
      </c>
      <c r="B5582" s="135">
        <f>YEAR(source[[#This Row],[report_date]])</f>
        <v>2025</v>
      </c>
      <c r="C5582" s="128">
        <f t="shared" si="257"/>
        <v>3</v>
      </c>
      <c r="D5582" s="136">
        <f t="shared" si="259"/>
        <v>11</v>
      </c>
      <c r="E5582" s="136">
        <f t="shared" si="258"/>
        <v>14</v>
      </c>
      <c r="F5582" s="128" t="s">
        <v>24</v>
      </c>
      <c r="G5582" s="128" t="str">
        <f>VLOOKUP(source[[#This Row],[lending_product_transform]],[3]Mapping!$B$4:$C$37,2,0)</f>
        <v>[Cake] - Cashloan</v>
      </c>
      <c r="H5582" s="128" t="str">
        <f>VLOOKUP(source[[#This Row],[lending_product_transform]],[3]Mapping!$B$3:$D$37,3,0)</f>
        <v>cashloan</v>
      </c>
      <c r="I5582" s="135">
        <v>6319920000</v>
      </c>
    </row>
    <row r="5583" spans="1:9" x14ac:dyDescent="0.2">
      <c r="A5583" s="134">
        <v>45731</v>
      </c>
      <c r="B5583" s="135">
        <f>YEAR(source[[#This Row],[report_date]])</f>
        <v>2025</v>
      </c>
      <c r="C5583" s="128">
        <f t="shared" si="257"/>
        <v>3</v>
      </c>
      <c r="D5583" s="136">
        <f t="shared" si="259"/>
        <v>11</v>
      </c>
      <c r="E5583" s="136">
        <f t="shared" si="258"/>
        <v>15</v>
      </c>
      <c r="F5583" s="128" t="s">
        <v>24</v>
      </c>
      <c r="G5583" s="128" t="str">
        <f>VLOOKUP(source[[#This Row],[lending_product_transform]],[3]Mapping!$B$4:$C$37,2,0)</f>
        <v>[Cake] - Cashloan</v>
      </c>
      <c r="H5583" s="128" t="str">
        <f>VLOOKUP(source[[#This Row],[lending_product_transform]],[3]Mapping!$B$3:$D$37,3,0)</f>
        <v>cashloan</v>
      </c>
      <c r="I5583" s="135">
        <v>5871570000</v>
      </c>
    </row>
    <row r="5584" spans="1:9" x14ac:dyDescent="0.2">
      <c r="A5584" s="134">
        <v>45731</v>
      </c>
      <c r="B5584" s="135">
        <f>YEAR(source[[#This Row],[report_date]])</f>
        <v>2025</v>
      </c>
      <c r="C5584" s="128">
        <f t="shared" si="257"/>
        <v>3</v>
      </c>
      <c r="D5584" s="136">
        <f t="shared" si="259"/>
        <v>11</v>
      </c>
      <c r="E5584" s="136">
        <f t="shared" si="258"/>
        <v>15</v>
      </c>
      <c r="F5584" s="128" t="s">
        <v>24</v>
      </c>
      <c r="G5584" s="128" t="str">
        <f>VLOOKUP(source[[#This Row],[lending_product_transform]],[3]Mapping!$B$4:$C$37,2,0)</f>
        <v>[Cake] - Cashloan</v>
      </c>
      <c r="H5584" s="128" t="str">
        <f>VLOOKUP(source[[#This Row],[lending_product_transform]],[3]Mapping!$B$3:$D$37,3,0)</f>
        <v>cashloan</v>
      </c>
      <c r="I5584" s="135">
        <v>0</v>
      </c>
    </row>
    <row r="5585" spans="1:9" x14ac:dyDescent="0.2">
      <c r="A5585" s="134">
        <v>45731</v>
      </c>
      <c r="B5585" s="135">
        <f>YEAR(source[[#This Row],[report_date]])</f>
        <v>2025</v>
      </c>
      <c r="C5585" s="128">
        <f t="shared" si="257"/>
        <v>3</v>
      </c>
      <c r="D5585" s="136">
        <f t="shared" si="259"/>
        <v>11</v>
      </c>
      <c r="E5585" s="136">
        <f t="shared" si="258"/>
        <v>15</v>
      </c>
      <c r="F5585" s="128" t="s">
        <v>24</v>
      </c>
      <c r="G5585" s="128" t="str">
        <f>VLOOKUP(source[[#This Row],[lending_product_transform]],[3]Mapping!$B$4:$C$37,2,0)</f>
        <v>[Cake] - Cashloan</v>
      </c>
      <c r="H5585" s="128" t="str">
        <f>VLOOKUP(source[[#This Row],[lending_product_transform]],[3]Mapping!$B$3:$D$37,3,0)</f>
        <v>cashloan</v>
      </c>
      <c r="I5585" s="135">
        <v>4980000000</v>
      </c>
    </row>
    <row r="5586" spans="1:9" x14ac:dyDescent="0.2">
      <c r="A5586" s="134">
        <v>45731</v>
      </c>
      <c r="B5586" s="135">
        <f>YEAR(source[[#This Row],[report_date]])</f>
        <v>2025</v>
      </c>
      <c r="C5586" s="128">
        <f t="shared" si="257"/>
        <v>3</v>
      </c>
      <c r="D5586" s="136">
        <f t="shared" si="259"/>
        <v>11</v>
      </c>
      <c r="E5586" s="136">
        <f t="shared" si="258"/>
        <v>15</v>
      </c>
      <c r="F5586" s="128" t="s">
        <v>24</v>
      </c>
      <c r="G5586" s="128" t="str">
        <f>VLOOKUP(source[[#This Row],[lending_product_transform]],[3]Mapping!$B$4:$C$37,2,0)</f>
        <v>[Cake] - Cashloan</v>
      </c>
      <c r="H5586" s="128" t="str">
        <f>VLOOKUP(source[[#This Row],[lending_product_transform]],[3]Mapping!$B$3:$D$37,3,0)</f>
        <v>cashloan</v>
      </c>
      <c r="I5586" s="135">
        <v>748120000</v>
      </c>
    </row>
    <row r="5587" spans="1:9" x14ac:dyDescent="0.2">
      <c r="A5587" s="134">
        <v>45731</v>
      </c>
      <c r="B5587" s="135">
        <f>YEAR(source[[#This Row],[report_date]])</f>
        <v>2025</v>
      </c>
      <c r="C5587" s="128">
        <f t="shared" si="257"/>
        <v>3</v>
      </c>
      <c r="D5587" s="136">
        <f t="shared" si="259"/>
        <v>11</v>
      </c>
      <c r="E5587" s="136">
        <f t="shared" si="258"/>
        <v>15</v>
      </c>
      <c r="F5587" s="128" t="s">
        <v>24</v>
      </c>
      <c r="G5587" s="128" t="str">
        <f>VLOOKUP(source[[#This Row],[lending_product_transform]],[3]Mapping!$B$4:$C$37,2,0)</f>
        <v>[Cake] - Cashloan</v>
      </c>
      <c r="H5587" s="128" t="str">
        <f>VLOOKUP(source[[#This Row],[lending_product_transform]],[3]Mapping!$B$3:$D$37,3,0)</f>
        <v>cashloan</v>
      </c>
      <c r="I5587" s="135">
        <v>4587550000</v>
      </c>
    </row>
    <row r="5588" spans="1:9" x14ac:dyDescent="0.2">
      <c r="A5588" s="134">
        <v>45731</v>
      </c>
      <c r="B5588" s="135">
        <f>YEAR(source[[#This Row],[report_date]])</f>
        <v>2025</v>
      </c>
      <c r="C5588" s="128">
        <f t="shared" si="257"/>
        <v>3</v>
      </c>
      <c r="D5588" s="136">
        <f t="shared" si="259"/>
        <v>11</v>
      </c>
      <c r="E5588" s="136">
        <f t="shared" si="258"/>
        <v>15</v>
      </c>
      <c r="F5588" s="128" t="s">
        <v>24</v>
      </c>
      <c r="G5588" s="128" t="str">
        <f>VLOOKUP(source[[#This Row],[lending_product_transform]],[3]Mapping!$B$4:$C$37,2,0)</f>
        <v>[Cake] - Cashloan</v>
      </c>
      <c r="H5588" s="128" t="str">
        <f>VLOOKUP(source[[#This Row],[lending_product_transform]],[3]Mapping!$B$3:$D$37,3,0)</f>
        <v>cashloan</v>
      </c>
      <c r="I5588" s="135">
        <v>31500000</v>
      </c>
    </row>
    <row r="5589" spans="1:9" x14ac:dyDescent="0.2">
      <c r="A5589" s="134">
        <v>45731</v>
      </c>
      <c r="B5589" s="135">
        <f>YEAR(source[[#This Row],[report_date]])</f>
        <v>2025</v>
      </c>
      <c r="C5589" s="128">
        <f t="shared" si="257"/>
        <v>3</v>
      </c>
      <c r="D5589" s="136">
        <f t="shared" si="259"/>
        <v>11</v>
      </c>
      <c r="E5589" s="136">
        <f t="shared" si="258"/>
        <v>15</v>
      </c>
      <c r="F5589" s="128" t="s">
        <v>24</v>
      </c>
      <c r="G5589" s="128" t="str">
        <f>VLOOKUP(source[[#This Row],[lending_product_transform]],[3]Mapping!$B$4:$C$37,2,0)</f>
        <v>[Cake] - Cashloan</v>
      </c>
      <c r="H5589" s="128" t="str">
        <f>VLOOKUP(source[[#This Row],[lending_product_transform]],[3]Mapping!$B$3:$D$37,3,0)</f>
        <v>cashloan</v>
      </c>
      <c r="I5589" s="135">
        <v>56000000</v>
      </c>
    </row>
    <row r="5590" spans="1:9" x14ac:dyDescent="0.2">
      <c r="A5590" s="134">
        <v>45731</v>
      </c>
      <c r="B5590" s="135">
        <f>YEAR(source[[#This Row],[report_date]])</f>
        <v>2025</v>
      </c>
      <c r="C5590" s="128">
        <f t="shared" si="257"/>
        <v>3</v>
      </c>
      <c r="D5590" s="136">
        <f t="shared" si="259"/>
        <v>11</v>
      </c>
      <c r="E5590" s="136">
        <f t="shared" si="258"/>
        <v>15</v>
      </c>
      <c r="F5590" s="128" t="s">
        <v>24</v>
      </c>
      <c r="G5590" s="128" t="str">
        <f>VLOOKUP(source[[#This Row],[lending_product_transform]],[3]Mapping!$B$4:$C$37,2,0)</f>
        <v>[Cake] - Cashloan</v>
      </c>
      <c r="H5590" s="128" t="str">
        <f>VLOOKUP(source[[#This Row],[lending_product_transform]],[3]Mapping!$B$3:$D$37,3,0)</f>
        <v>cashloan</v>
      </c>
      <c r="I5590" s="135">
        <v>0</v>
      </c>
    </row>
    <row r="5591" spans="1:9" x14ac:dyDescent="0.2">
      <c r="A5591" s="134">
        <v>45731</v>
      </c>
      <c r="B5591" s="135">
        <f>YEAR(source[[#This Row],[report_date]])</f>
        <v>2025</v>
      </c>
      <c r="C5591" s="128">
        <f t="shared" si="257"/>
        <v>3</v>
      </c>
      <c r="D5591" s="136">
        <f t="shared" si="259"/>
        <v>11</v>
      </c>
      <c r="E5591" s="136">
        <f t="shared" si="258"/>
        <v>15</v>
      </c>
      <c r="F5591" s="128" t="s">
        <v>24</v>
      </c>
      <c r="G5591" s="128" t="str">
        <f>VLOOKUP(source[[#This Row],[lending_product_transform]],[3]Mapping!$B$4:$C$37,2,0)</f>
        <v>[Cake] - Cashloan</v>
      </c>
      <c r="H5591" s="128" t="str">
        <f>VLOOKUP(source[[#This Row],[lending_product_transform]],[3]Mapping!$B$3:$D$37,3,0)</f>
        <v>cashloan</v>
      </c>
      <c r="I5591" s="135">
        <v>24065294</v>
      </c>
    </row>
    <row r="5592" spans="1:9" x14ac:dyDescent="0.2">
      <c r="A5592" s="134">
        <v>45731</v>
      </c>
      <c r="B5592" s="135">
        <f>YEAR(source[[#This Row],[report_date]])</f>
        <v>2025</v>
      </c>
      <c r="C5592" s="128">
        <f t="shared" si="257"/>
        <v>3</v>
      </c>
      <c r="D5592" s="136">
        <f t="shared" si="259"/>
        <v>11</v>
      </c>
      <c r="E5592" s="136">
        <f t="shared" si="258"/>
        <v>15</v>
      </c>
      <c r="F5592" s="128" t="s">
        <v>24</v>
      </c>
      <c r="G5592" s="128" t="str">
        <f>VLOOKUP(source[[#This Row],[lending_product_transform]],[3]Mapping!$B$4:$C$37,2,0)</f>
        <v>[Cake] - Cashloan</v>
      </c>
      <c r="H5592" s="128" t="str">
        <f>VLOOKUP(source[[#This Row],[lending_product_transform]],[3]Mapping!$B$3:$D$37,3,0)</f>
        <v>cashloan</v>
      </c>
      <c r="I5592" s="135">
        <v>0</v>
      </c>
    </row>
    <row r="5593" spans="1:9" x14ac:dyDescent="0.2">
      <c r="A5593" s="134">
        <v>45731</v>
      </c>
      <c r="B5593" s="135">
        <f>YEAR(source[[#This Row],[report_date]])</f>
        <v>2025</v>
      </c>
      <c r="C5593" s="128">
        <f t="shared" si="257"/>
        <v>3</v>
      </c>
      <c r="D5593" s="136">
        <f t="shared" si="259"/>
        <v>11</v>
      </c>
      <c r="E5593" s="136">
        <f t="shared" si="258"/>
        <v>15</v>
      </c>
      <c r="F5593" s="128" t="s">
        <v>24</v>
      </c>
      <c r="G5593" s="128" t="str">
        <f>VLOOKUP(source[[#This Row],[lending_product_transform]],[3]Mapping!$B$4:$C$37,2,0)</f>
        <v>[Cake] - Cashloan</v>
      </c>
      <c r="H5593" s="128" t="str">
        <f>VLOOKUP(source[[#This Row],[lending_product_transform]],[3]Mapping!$B$3:$D$37,3,0)</f>
        <v>cashloan</v>
      </c>
      <c r="I5593" s="135">
        <v>21400000</v>
      </c>
    </row>
    <row r="5594" spans="1:9" x14ac:dyDescent="0.2">
      <c r="A5594" s="134">
        <v>45731</v>
      </c>
      <c r="B5594" s="135">
        <f>YEAR(source[[#This Row],[report_date]])</f>
        <v>2025</v>
      </c>
      <c r="C5594" s="128">
        <f t="shared" si="257"/>
        <v>3</v>
      </c>
      <c r="D5594" s="136">
        <f t="shared" si="259"/>
        <v>11</v>
      </c>
      <c r="E5594" s="136">
        <f t="shared" si="258"/>
        <v>15</v>
      </c>
      <c r="F5594" s="128" t="s">
        <v>24</v>
      </c>
      <c r="G5594" s="128" t="str">
        <f>VLOOKUP(source[[#This Row],[lending_product_transform]],[3]Mapping!$B$4:$C$37,2,0)</f>
        <v>[Cake] - Cashloan</v>
      </c>
      <c r="H5594" s="128" t="str">
        <f>VLOOKUP(source[[#This Row],[lending_product_transform]],[3]Mapping!$B$3:$D$37,3,0)</f>
        <v>cashloan</v>
      </c>
      <c r="I5594" s="135">
        <v>0</v>
      </c>
    </row>
    <row r="5595" spans="1:9" x14ac:dyDescent="0.2">
      <c r="A5595" s="134">
        <v>45731</v>
      </c>
      <c r="B5595" s="135">
        <f>YEAR(source[[#This Row],[report_date]])</f>
        <v>2025</v>
      </c>
      <c r="C5595" s="128">
        <f t="shared" si="257"/>
        <v>3</v>
      </c>
      <c r="D5595" s="136">
        <f t="shared" si="259"/>
        <v>11</v>
      </c>
      <c r="E5595" s="136">
        <f t="shared" si="258"/>
        <v>15</v>
      </c>
      <c r="F5595" s="128" t="s">
        <v>24</v>
      </c>
      <c r="G5595" s="128" t="str">
        <f>VLOOKUP(source[[#This Row],[lending_product_transform]],[3]Mapping!$B$4:$C$37,2,0)</f>
        <v>[Cake] - Cashloan</v>
      </c>
      <c r="H5595" s="128" t="str">
        <f>VLOOKUP(source[[#This Row],[lending_product_transform]],[3]Mapping!$B$3:$D$37,3,0)</f>
        <v>cashloan</v>
      </c>
      <c r="I5595" s="135">
        <v>344990000</v>
      </c>
    </row>
    <row r="5596" spans="1:9" x14ac:dyDescent="0.2">
      <c r="A5596" s="134">
        <v>45731</v>
      </c>
      <c r="B5596" s="135">
        <f>YEAR(source[[#This Row],[report_date]])</f>
        <v>2025</v>
      </c>
      <c r="C5596" s="128">
        <f t="shared" si="257"/>
        <v>3</v>
      </c>
      <c r="D5596" s="136">
        <f t="shared" si="259"/>
        <v>11</v>
      </c>
      <c r="E5596" s="136">
        <f t="shared" si="258"/>
        <v>15</v>
      </c>
      <c r="F5596" s="128" t="s">
        <v>24</v>
      </c>
      <c r="G5596" s="128" t="str">
        <f>VLOOKUP(source[[#This Row],[lending_product_transform]],[3]Mapping!$B$4:$C$37,2,0)</f>
        <v>[Cake] - Cashloan</v>
      </c>
      <c r="H5596" s="128" t="str">
        <f>VLOOKUP(source[[#This Row],[lending_product_transform]],[3]Mapping!$B$3:$D$37,3,0)</f>
        <v>cashloan</v>
      </c>
      <c r="I5596" s="135">
        <v>15750000</v>
      </c>
    </row>
    <row r="5597" spans="1:9" x14ac:dyDescent="0.2">
      <c r="A5597" s="134">
        <v>45731</v>
      </c>
      <c r="B5597" s="135">
        <f>YEAR(source[[#This Row],[report_date]])</f>
        <v>2025</v>
      </c>
      <c r="C5597" s="128">
        <f t="shared" si="257"/>
        <v>3</v>
      </c>
      <c r="D5597" s="136">
        <f t="shared" si="259"/>
        <v>11</v>
      </c>
      <c r="E5597" s="136">
        <f t="shared" si="258"/>
        <v>15</v>
      </c>
      <c r="F5597" s="128" t="s">
        <v>24</v>
      </c>
      <c r="G5597" s="128" t="str">
        <f>VLOOKUP(source[[#This Row],[lending_product_transform]],[3]Mapping!$B$4:$C$37,2,0)</f>
        <v>[Cake] - Cashloan</v>
      </c>
      <c r="H5597" s="128" t="str">
        <f>VLOOKUP(source[[#This Row],[lending_product_transform]],[3]Mapping!$B$3:$D$37,3,0)</f>
        <v>cashloan</v>
      </c>
      <c r="I5597" s="135">
        <v>312372333</v>
      </c>
    </row>
    <row r="5598" spans="1:9" x14ac:dyDescent="0.2">
      <c r="A5598" s="134">
        <v>45731</v>
      </c>
      <c r="B5598" s="135">
        <f>YEAR(source[[#This Row],[report_date]])</f>
        <v>2025</v>
      </c>
      <c r="C5598" s="128">
        <f t="shared" si="257"/>
        <v>3</v>
      </c>
      <c r="D5598" s="136">
        <f t="shared" si="259"/>
        <v>11</v>
      </c>
      <c r="E5598" s="136">
        <f t="shared" si="258"/>
        <v>15</v>
      </c>
      <c r="F5598" s="128" t="s">
        <v>24</v>
      </c>
      <c r="G5598" s="128" t="str">
        <f>VLOOKUP(source[[#This Row],[lending_product_transform]],[3]Mapping!$B$4:$C$37,2,0)</f>
        <v>[Cake] - Cashloan</v>
      </c>
      <c r="H5598" s="128" t="str">
        <f>VLOOKUP(source[[#This Row],[lending_product_transform]],[3]Mapping!$B$3:$D$37,3,0)</f>
        <v>cashloan</v>
      </c>
      <c r="I5598" s="135">
        <v>167815504</v>
      </c>
    </row>
    <row r="5599" spans="1:9" x14ac:dyDescent="0.2">
      <c r="A5599" s="134">
        <v>45731</v>
      </c>
      <c r="B5599" s="135">
        <f>YEAR(source[[#This Row],[report_date]])</f>
        <v>2025</v>
      </c>
      <c r="C5599" s="128">
        <f t="shared" si="257"/>
        <v>3</v>
      </c>
      <c r="D5599" s="136">
        <f t="shared" si="259"/>
        <v>11</v>
      </c>
      <c r="E5599" s="136">
        <f t="shared" si="258"/>
        <v>15</v>
      </c>
      <c r="F5599" s="128" t="s">
        <v>24</v>
      </c>
      <c r="G5599" s="128" t="str">
        <f>VLOOKUP(source[[#This Row],[lending_product_transform]],[3]Mapping!$B$4:$C$37,2,0)</f>
        <v>[Cake] - Cashloan</v>
      </c>
      <c r="H5599" s="128" t="str">
        <f>VLOOKUP(source[[#This Row],[lending_product_transform]],[3]Mapping!$B$3:$D$37,3,0)</f>
        <v>cashloan</v>
      </c>
      <c r="I5599" s="135">
        <v>0</v>
      </c>
    </row>
    <row r="5600" spans="1:9" x14ac:dyDescent="0.2">
      <c r="A5600" s="134">
        <v>45731</v>
      </c>
      <c r="B5600" s="135">
        <f>YEAR(source[[#This Row],[report_date]])</f>
        <v>2025</v>
      </c>
      <c r="C5600" s="128">
        <f t="shared" si="257"/>
        <v>3</v>
      </c>
      <c r="D5600" s="136">
        <f t="shared" si="259"/>
        <v>11</v>
      </c>
      <c r="E5600" s="136">
        <f t="shared" si="258"/>
        <v>15</v>
      </c>
      <c r="F5600" s="128" t="s">
        <v>24</v>
      </c>
      <c r="G5600" s="128" t="str">
        <f>VLOOKUP(source[[#This Row],[lending_product_transform]],[3]Mapping!$B$4:$C$37,2,0)</f>
        <v>[Cake] - Cashloan</v>
      </c>
      <c r="H5600" s="128" t="str">
        <f>VLOOKUP(source[[#This Row],[lending_product_transform]],[3]Mapping!$B$3:$D$37,3,0)</f>
        <v>cashloan</v>
      </c>
      <c r="I5600" s="135">
        <v>404546010</v>
      </c>
    </row>
    <row r="5601" spans="1:9" x14ac:dyDescent="0.2">
      <c r="A5601" s="134">
        <v>45731</v>
      </c>
      <c r="B5601" s="135">
        <f>YEAR(source[[#This Row],[report_date]])</f>
        <v>2025</v>
      </c>
      <c r="C5601" s="128">
        <f t="shared" si="257"/>
        <v>3</v>
      </c>
      <c r="D5601" s="136">
        <f t="shared" si="259"/>
        <v>11</v>
      </c>
      <c r="E5601" s="136">
        <f t="shared" si="258"/>
        <v>15</v>
      </c>
      <c r="F5601" s="128" t="s">
        <v>24</v>
      </c>
      <c r="G5601" s="128" t="str">
        <f>VLOOKUP(source[[#This Row],[lending_product_transform]],[3]Mapping!$B$4:$C$37,2,0)</f>
        <v>[Cake] - Cashloan</v>
      </c>
      <c r="H5601" s="128" t="str">
        <f>VLOOKUP(source[[#This Row],[lending_product_transform]],[3]Mapping!$B$3:$D$37,3,0)</f>
        <v>cashloan</v>
      </c>
      <c r="I5601" s="135">
        <v>3157798966</v>
      </c>
    </row>
    <row r="5602" spans="1:9" x14ac:dyDescent="0.2">
      <c r="A5602" s="134">
        <v>45732</v>
      </c>
      <c r="B5602" s="135">
        <f>YEAR(source[[#This Row],[report_date]])</f>
        <v>2025</v>
      </c>
      <c r="C5602" s="128">
        <f t="shared" si="257"/>
        <v>3</v>
      </c>
      <c r="D5602" s="136">
        <f t="shared" si="259"/>
        <v>11</v>
      </c>
      <c r="E5602" s="136">
        <f t="shared" si="258"/>
        <v>16</v>
      </c>
      <c r="F5602" s="128" t="s">
        <v>24</v>
      </c>
      <c r="G5602" s="128" t="str">
        <f>VLOOKUP(source[[#This Row],[lending_product_transform]],[3]Mapping!$B$4:$C$37,2,0)</f>
        <v>[Cake] - Cashloan</v>
      </c>
      <c r="H5602" s="128" t="str">
        <f>VLOOKUP(source[[#This Row],[lending_product_transform]],[3]Mapping!$B$3:$D$37,3,0)</f>
        <v>cashloan</v>
      </c>
      <c r="I5602" s="135">
        <v>0</v>
      </c>
    </row>
    <row r="5603" spans="1:9" x14ac:dyDescent="0.2">
      <c r="A5603" s="134">
        <v>45732</v>
      </c>
      <c r="B5603" s="135">
        <f>YEAR(source[[#This Row],[report_date]])</f>
        <v>2025</v>
      </c>
      <c r="C5603" s="128">
        <f t="shared" si="257"/>
        <v>3</v>
      </c>
      <c r="D5603" s="136">
        <f t="shared" si="259"/>
        <v>11</v>
      </c>
      <c r="E5603" s="136">
        <f t="shared" si="258"/>
        <v>16</v>
      </c>
      <c r="F5603" s="128" t="s">
        <v>24</v>
      </c>
      <c r="G5603" s="128" t="str">
        <f>VLOOKUP(source[[#This Row],[lending_product_transform]],[3]Mapping!$B$4:$C$37,2,0)</f>
        <v>[Cake] - Cashloan</v>
      </c>
      <c r="H5603" s="128" t="str">
        <f>VLOOKUP(source[[#This Row],[lending_product_transform]],[3]Mapping!$B$3:$D$37,3,0)</f>
        <v>cashloan</v>
      </c>
      <c r="I5603" s="135">
        <v>110760000</v>
      </c>
    </row>
    <row r="5604" spans="1:9" x14ac:dyDescent="0.2">
      <c r="A5604" s="134">
        <v>45732</v>
      </c>
      <c r="B5604" s="135">
        <f>YEAR(source[[#This Row],[report_date]])</f>
        <v>2025</v>
      </c>
      <c r="C5604" s="128">
        <f t="shared" si="257"/>
        <v>3</v>
      </c>
      <c r="D5604" s="136">
        <f t="shared" si="259"/>
        <v>11</v>
      </c>
      <c r="E5604" s="136">
        <f t="shared" si="258"/>
        <v>16</v>
      </c>
      <c r="F5604" s="128" t="s">
        <v>24</v>
      </c>
      <c r="G5604" s="128" t="str">
        <f>VLOOKUP(source[[#This Row],[lending_product_transform]],[3]Mapping!$B$4:$C$37,2,0)</f>
        <v>[Cake] - Cashloan</v>
      </c>
      <c r="H5604" s="128" t="str">
        <f>VLOOKUP(source[[#This Row],[lending_product_transform]],[3]Mapping!$B$3:$D$37,3,0)</f>
        <v>cashloan</v>
      </c>
      <c r="I5604" s="135">
        <v>10500000</v>
      </c>
    </row>
    <row r="5605" spans="1:9" x14ac:dyDescent="0.2">
      <c r="A5605" s="134">
        <v>45732</v>
      </c>
      <c r="B5605" s="135">
        <f>YEAR(source[[#This Row],[report_date]])</f>
        <v>2025</v>
      </c>
      <c r="C5605" s="128">
        <f t="shared" si="257"/>
        <v>3</v>
      </c>
      <c r="D5605" s="136">
        <f t="shared" si="259"/>
        <v>11</v>
      </c>
      <c r="E5605" s="136">
        <f t="shared" si="258"/>
        <v>16</v>
      </c>
      <c r="F5605" s="128" t="s">
        <v>24</v>
      </c>
      <c r="G5605" s="128" t="str">
        <f>VLOOKUP(source[[#This Row],[lending_product_transform]],[3]Mapping!$B$4:$C$37,2,0)</f>
        <v>[Cake] - Cashloan</v>
      </c>
      <c r="H5605" s="128" t="str">
        <f>VLOOKUP(source[[#This Row],[lending_product_transform]],[3]Mapping!$B$3:$D$37,3,0)</f>
        <v>cashloan</v>
      </c>
      <c r="I5605" s="135">
        <v>188653947</v>
      </c>
    </row>
    <row r="5606" spans="1:9" x14ac:dyDescent="0.2">
      <c r="A5606" s="134">
        <v>45732</v>
      </c>
      <c r="B5606" s="135">
        <f>YEAR(source[[#This Row],[report_date]])</f>
        <v>2025</v>
      </c>
      <c r="C5606" s="128">
        <f t="shared" si="257"/>
        <v>3</v>
      </c>
      <c r="D5606" s="136">
        <f t="shared" si="259"/>
        <v>11</v>
      </c>
      <c r="E5606" s="136">
        <f t="shared" si="258"/>
        <v>16</v>
      </c>
      <c r="F5606" s="128" t="s">
        <v>24</v>
      </c>
      <c r="G5606" s="128" t="str">
        <f>VLOOKUP(source[[#This Row],[lending_product_transform]],[3]Mapping!$B$4:$C$37,2,0)</f>
        <v>[Cake] - Cashloan</v>
      </c>
      <c r="H5606" s="128" t="str">
        <f>VLOOKUP(source[[#This Row],[lending_product_transform]],[3]Mapping!$B$3:$D$37,3,0)</f>
        <v>cashloan</v>
      </c>
      <c r="I5606" s="135">
        <v>155262408</v>
      </c>
    </row>
    <row r="5607" spans="1:9" x14ac:dyDescent="0.2">
      <c r="A5607" s="134">
        <v>45732</v>
      </c>
      <c r="B5607" s="135">
        <f>YEAR(source[[#This Row],[report_date]])</f>
        <v>2025</v>
      </c>
      <c r="C5607" s="128">
        <f t="shared" si="257"/>
        <v>3</v>
      </c>
      <c r="D5607" s="136">
        <f t="shared" si="259"/>
        <v>11</v>
      </c>
      <c r="E5607" s="136">
        <f t="shared" si="258"/>
        <v>16</v>
      </c>
      <c r="F5607" s="128" t="s">
        <v>24</v>
      </c>
      <c r="G5607" s="128" t="str">
        <f>VLOOKUP(source[[#This Row],[lending_product_transform]],[3]Mapping!$B$4:$C$37,2,0)</f>
        <v>[Cake] - Cashloan</v>
      </c>
      <c r="H5607" s="128" t="str">
        <f>VLOOKUP(source[[#This Row],[lending_product_transform]],[3]Mapping!$B$3:$D$37,3,0)</f>
        <v>cashloan</v>
      </c>
      <c r="I5607" s="135">
        <v>858140000</v>
      </c>
    </row>
    <row r="5608" spans="1:9" x14ac:dyDescent="0.2">
      <c r="A5608" s="134">
        <v>45732</v>
      </c>
      <c r="B5608" s="135">
        <f>YEAR(source[[#This Row],[report_date]])</f>
        <v>2025</v>
      </c>
      <c r="C5608" s="128">
        <f t="shared" si="257"/>
        <v>3</v>
      </c>
      <c r="D5608" s="136">
        <f t="shared" si="259"/>
        <v>11</v>
      </c>
      <c r="E5608" s="136">
        <f t="shared" si="258"/>
        <v>16</v>
      </c>
      <c r="F5608" s="128" t="s">
        <v>24</v>
      </c>
      <c r="G5608" s="128" t="str">
        <f>VLOOKUP(source[[#This Row],[lending_product_transform]],[3]Mapping!$B$4:$C$37,2,0)</f>
        <v>[Cake] - Cashloan</v>
      </c>
      <c r="H5608" s="128" t="str">
        <f>VLOOKUP(source[[#This Row],[lending_product_transform]],[3]Mapping!$B$3:$D$37,3,0)</f>
        <v>cashloan</v>
      </c>
      <c r="I5608" s="135">
        <v>0</v>
      </c>
    </row>
    <row r="5609" spans="1:9" x14ac:dyDescent="0.2">
      <c r="A5609" s="134">
        <v>45732</v>
      </c>
      <c r="B5609" s="135">
        <f>YEAR(source[[#This Row],[report_date]])</f>
        <v>2025</v>
      </c>
      <c r="C5609" s="128">
        <f t="shared" si="257"/>
        <v>3</v>
      </c>
      <c r="D5609" s="136">
        <f t="shared" si="259"/>
        <v>11</v>
      </c>
      <c r="E5609" s="136">
        <f t="shared" si="258"/>
        <v>16</v>
      </c>
      <c r="F5609" s="128" t="s">
        <v>24</v>
      </c>
      <c r="G5609" s="128" t="str">
        <f>VLOOKUP(source[[#This Row],[lending_product_transform]],[3]Mapping!$B$4:$C$37,2,0)</f>
        <v>[Cake] - Cashloan</v>
      </c>
      <c r="H5609" s="128" t="str">
        <f>VLOOKUP(source[[#This Row],[lending_product_transform]],[3]Mapping!$B$3:$D$37,3,0)</f>
        <v>cashloan</v>
      </c>
      <c r="I5609" s="135">
        <v>366023941</v>
      </c>
    </row>
    <row r="5610" spans="1:9" x14ac:dyDescent="0.2">
      <c r="A5610" s="134">
        <v>45732</v>
      </c>
      <c r="B5610" s="135">
        <f>YEAR(source[[#This Row],[report_date]])</f>
        <v>2025</v>
      </c>
      <c r="C5610" s="128">
        <f t="shared" si="257"/>
        <v>3</v>
      </c>
      <c r="D5610" s="136">
        <f t="shared" si="259"/>
        <v>11</v>
      </c>
      <c r="E5610" s="136">
        <f t="shared" si="258"/>
        <v>16</v>
      </c>
      <c r="F5610" s="128" t="s">
        <v>24</v>
      </c>
      <c r="G5610" s="128" t="str">
        <f>VLOOKUP(source[[#This Row],[lending_product_transform]],[3]Mapping!$B$4:$C$37,2,0)</f>
        <v>[Cake] - Cashloan</v>
      </c>
      <c r="H5610" s="128" t="str">
        <f>VLOOKUP(source[[#This Row],[lending_product_transform]],[3]Mapping!$B$3:$D$37,3,0)</f>
        <v>cashloan</v>
      </c>
      <c r="I5610" s="135">
        <v>2847226806</v>
      </c>
    </row>
    <row r="5611" spans="1:9" x14ac:dyDescent="0.2">
      <c r="A5611" s="134">
        <v>45732</v>
      </c>
      <c r="B5611" s="135">
        <f>YEAR(source[[#This Row],[report_date]])</f>
        <v>2025</v>
      </c>
      <c r="C5611" s="128">
        <f t="shared" si="257"/>
        <v>3</v>
      </c>
      <c r="D5611" s="136">
        <f t="shared" si="259"/>
        <v>11</v>
      </c>
      <c r="E5611" s="136">
        <f t="shared" si="258"/>
        <v>16</v>
      </c>
      <c r="F5611" s="128" t="s">
        <v>24</v>
      </c>
      <c r="G5611" s="128" t="str">
        <f>VLOOKUP(source[[#This Row],[lending_product_transform]],[3]Mapping!$B$4:$C$37,2,0)</f>
        <v>[Cake] - Cashloan</v>
      </c>
      <c r="H5611" s="128" t="str">
        <f>VLOOKUP(source[[#This Row],[lending_product_transform]],[3]Mapping!$B$3:$D$37,3,0)</f>
        <v>cashloan</v>
      </c>
      <c r="I5611" s="135">
        <v>4810120000</v>
      </c>
    </row>
    <row r="5612" spans="1:9" x14ac:dyDescent="0.2">
      <c r="A5612" s="134">
        <v>45732</v>
      </c>
      <c r="B5612" s="135">
        <f>YEAR(source[[#This Row],[report_date]])</f>
        <v>2025</v>
      </c>
      <c r="C5612" s="128">
        <f t="shared" si="257"/>
        <v>3</v>
      </c>
      <c r="D5612" s="136">
        <f t="shared" si="259"/>
        <v>11</v>
      </c>
      <c r="E5612" s="136">
        <f t="shared" si="258"/>
        <v>16</v>
      </c>
      <c r="F5612" s="128" t="s">
        <v>24</v>
      </c>
      <c r="G5612" s="128" t="str">
        <f>VLOOKUP(source[[#This Row],[lending_product_transform]],[3]Mapping!$B$4:$C$37,2,0)</f>
        <v>[Cake] - Cashloan</v>
      </c>
      <c r="H5612" s="128" t="str">
        <f>VLOOKUP(source[[#This Row],[lending_product_transform]],[3]Mapping!$B$3:$D$37,3,0)</f>
        <v>cashloan</v>
      </c>
      <c r="I5612" s="135">
        <v>4752000000</v>
      </c>
    </row>
    <row r="5613" spans="1:9" x14ac:dyDescent="0.2">
      <c r="A5613" s="134">
        <v>45732</v>
      </c>
      <c r="B5613" s="135">
        <f>YEAR(source[[#This Row],[report_date]])</f>
        <v>2025</v>
      </c>
      <c r="C5613" s="128">
        <f t="shared" si="257"/>
        <v>3</v>
      </c>
      <c r="D5613" s="136">
        <f t="shared" si="259"/>
        <v>11</v>
      </c>
      <c r="E5613" s="136">
        <f t="shared" si="258"/>
        <v>16</v>
      </c>
      <c r="F5613" s="128" t="s">
        <v>24</v>
      </c>
      <c r="G5613" s="128" t="str">
        <f>VLOOKUP(source[[#This Row],[lending_product_transform]],[3]Mapping!$B$4:$C$37,2,0)</f>
        <v>[Cake] - Cashloan</v>
      </c>
      <c r="H5613" s="128" t="str">
        <f>VLOOKUP(source[[#This Row],[lending_product_transform]],[3]Mapping!$B$3:$D$37,3,0)</f>
        <v>cashloan</v>
      </c>
      <c r="I5613" s="135">
        <v>5295520000</v>
      </c>
    </row>
    <row r="5614" spans="1:9" x14ac:dyDescent="0.2">
      <c r="A5614" s="134">
        <v>45732</v>
      </c>
      <c r="B5614" s="135">
        <f>YEAR(source[[#This Row],[report_date]])</f>
        <v>2025</v>
      </c>
      <c r="C5614" s="128">
        <f t="shared" si="257"/>
        <v>3</v>
      </c>
      <c r="D5614" s="136">
        <f t="shared" si="259"/>
        <v>11</v>
      </c>
      <c r="E5614" s="136">
        <f t="shared" si="258"/>
        <v>16</v>
      </c>
      <c r="F5614" s="128" t="s">
        <v>24</v>
      </c>
      <c r="G5614" s="128" t="str">
        <f>VLOOKUP(source[[#This Row],[lending_product_transform]],[3]Mapping!$B$4:$C$37,2,0)</f>
        <v>[Cake] - Cashloan</v>
      </c>
      <c r="H5614" s="128" t="str">
        <f>VLOOKUP(source[[#This Row],[lending_product_transform]],[3]Mapping!$B$3:$D$37,3,0)</f>
        <v>cashloan</v>
      </c>
      <c r="I5614" s="135">
        <v>0</v>
      </c>
    </row>
    <row r="5615" spans="1:9" x14ac:dyDescent="0.2">
      <c r="A5615" s="134">
        <v>45732</v>
      </c>
      <c r="B5615" s="135">
        <f>YEAR(source[[#This Row],[report_date]])</f>
        <v>2025</v>
      </c>
      <c r="C5615" s="128">
        <f t="shared" si="257"/>
        <v>3</v>
      </c>
      <c r="D5615" s="136">
        <f t="shared" si="259"/>
        <v>11</v>
      </c>
      <c r="E5615" s="136">
        <f t="shared" si="258"/>
        <v>16</v>
      </c>
      <c r="F5615" s="128" t="s">
        <v>24</v>
      </c>
      <c r="G5615" s="128" t="str">
        <f>VLOOKUP(source[[#This Row],[lending_product_transform]],[3]Mapping!$B$4:$C$37,2,0)</f>
        <v>[Cake] - Cashloan</v>
      </c>
      <c r="H5615" s="128" t="str">
        <f>VLOOKUP(source[[#This Row],[lending_product_transform]],[3]Mapping!$B$3:$D$37,3,0)</f>
        <v>cashloan</v>
      </c>
      <c r="I5615" s="135">
        <v>15717195</v>
      </c>
    </row>
    <row r="5616" spans="1:9" x14ac:dyDescent="0.2">
      <c r="A5616" s="134">
        <v>45732</v>
      </c>
      <c r="B5616" s="135">
        <f>YEAR(source[[#This Row],[report_date]])</f>
        <v>2025</v>
      </c>
      <c r="C5616" s="128">
        <f t="shared" si="257"/>
        <v>3</v>
      </c>
      <c r="D5616" s="136">
        <f t="shared" si="259"/>
        <v>11</v>
      </c>
      <c r="E5616" s="136">
        <f t="shared" si="258"/>
        <v>16</v>
      </c>
      <c r="F5616" s="128" t="s">
        <v>24</v>
      </c>
      <c r="G5616" s="128" t="str">
        <f>VLOOKUP(source[[#This Row],[lending_product_transform]],[3]Mapping!$B$4:$C$37,2,0)</f>
        <v>[Cake] - Cashloan</v>
      </c>
      <c r="H5616" s="128" t="str">
        <f>VLOOKUP(source[[#This Row],[lending_product_transform]],[3]Mapping!$B$3:$D$37,3,0)</f>
        <v>cashloan</v>
      </c>
      <c r="I5616" s="135">
        <v>26250000</v>
      </c>
    </row>
    <row r="5617" spans="1:9" x14ac:dyDescent="0.2">
      <c r="A5617" s="134">
        <v>45732</v>
      </c>
      <c r="B5617" s="135">
        <f>YEAR(source[[#This Row],[report_date]])</f>
        <v>2025</v>
      </c>
      <c r="C5617" s="128">
        <f t="shared" si="257"/>
        <v>3</v>
      </c>
      <c r="D5617" s="136">
        <f t="shared" si="259"/>
        <v>11</v>
      </c>
      <c r="E5617" s="136">
        <f t="shared" si="258"/>
        <v>16</v>
      </c>
      <c r="F5617" s="128" t="s">
        <v>24</v>
      </c>
      <c r="G5617" s="128" t="str">
        <f>VLOOKUP(source[[#This Row],[lending_product_transform]],[3]Mapping!$B$4:$C$37,2,0)</f>
        <v>[Cake] - Cashloan</v>
      </c>
      <c r="H5617" s="128" t="str">
        <f>VLOOKUP(source[[#This Row],[lending_product_transform]],[3]Mapping!$B$3:$D$37,3,0)</f>
        <v>cashloan</v>
      </c>
      <c r="I5617" s="135">
        <v>71000000</v>
      </c>
    </row>
    <row r="5618" spans="1:9" x14ac:dyDescent="0.2">
      <c r="A5618" s="134">
        <v>45732</v>
      </c>
      <c r="B5618" s="135">
        <f>YEAR(source[[#This Row],[report_date]])</f>
        <v>2025</v>
      </c>
      <c r="C5618" s="128">
        <f t="shared" ref="C5618:C5620" si="260">MONTH(A5618)</f>
        <v>3</v>
      </c>
      <c r="D5618" s="136">
        <f t="shared" si="259"/>
        <v>11</v>
      </c>
      <c r="E5618" s="136">
        <f t="shared" ref="E5618:E5620" si="261">DAY(A5618)</f>
        <v>16</v>
      </c>
      <c r="F5618" s="128" t="s">
        <v>24</v>
      </c>
      <c r="G5618" s="128" t="str">
        <f>VLOOKUP(source[[#This Row],[lending_product_transform]],[3]Mapping!$B$4:$C$37,2,0)</f>
        <v>[Cake] - Cashloan</v>
      </c>
      <c r="H5618" s="128" t="str">
        <f>VLOOKUP(source[[#This Row],[lending_product_transform]],[3]Mapping!$B$3:$D$37,3,0)</f>
        <v>cashloan</v>
      </c>
      <c r="I5618" s="135">
        <v>0</v>
      </c>
    </row>
    <row r="5619" spans="1:9" x14ac:dyDescent="0.2">
      <c r="A5619" s="134">
        <v>45732</v>
      </c>
      <c r="B5619" s="135">
        <f>YEAR(source[[#This Row],[report_date]])</f>
        <v>2025</v>
      </c>
      <c r="C5619" s="128">
        <f t="shared" si="260"/>
        <v>3</v>
      </c>
      <c r="D5619" s="136">
        <f t="shared" si="259"/>
        <v>11</v>
      </c>
      <c r="E5619" s="136">
        <f t="shared" si="261"/>
        <v>16</v>
      </c>
      <c r="F5619" s="128" t="s">
        <v>24</v>
      </c>
      <c r="G5619" s="128" t="str">
        <f>VLOOKUP(source[[#This Row],[lending_product_transform]],[3]Mapping!$B$4:$C$37,2,0)</f>
        <v>[Cake] - Cashloan</v>
      </c>
      <c r="H5619" s="128" t="str">
        <f>VLOOKUP(source[[#This Row],[lending_product_transform]],[3]Mapping!$B$3:$D$37,3,0)</f>
        <v>cashloan</v>
      </c>
      <c r="I5619" s="135">
        <v>0</v>
      </c>
    </row>
    <row r="5620" spans="1:9" x14ac:dyDescent="0.2">
      <c r="A5620" s="134">
        <v>45732</v>
      </c>
      <c r="B5620" s="135">
        <f>YEAR(source[[#This Row],[report_date]])</f>
        <v>2025</v>
      </c>
      <c r="C5620" s="128">
        <f t="shared" si="260"/>
        <v>3</v>
      </c>
      <c r="D5620" s="136">
        <f t="shared" si="259"/>
        <v>11</v>
      </c>
      <c r="E5620" s="136">
        <f t="shared" si="261"/>
        <v>16</v>
      </c>
      <c r="F5620" s="128" t="s">
        <v>24</v>
      </c>
      <c r="G5620" s="128" t="str">
        <f>VLOOKUP(source[[#This Row],[lending_product_transform]],[3]Mapping!$B$4:$C$37,2,0)</f>
        <v>[Cake] - Cashloan</v>
      </c>
      <c r="H5620" s="128" t="str">
        <f>VLOOKUP(source[[#This Row],[lending_product_transform]],[3]Mapping!$B$3:$D$37,3,0)</f>
        <v>cashloan</v>
      </c>
      <c r="I5620" s="135">
        <v>32100000</v>
      </c>
    </row>
    <row r="5621" spans="1:9" x14ac:dyDescent="0.2">
      <c r="A5621" s="134">
        <v>45733</v>
      </c>
      <c r="B5621" s="135">
        <f>YEAR(source[[#This Row],[report_date]])</f>
        <v>2025</v>
      </c>
      <c r="C5621" s="128">
        <f>MONTH(A5621)</f>
        <v>3</v>
      </c>
      <c r="D5621" s="136">
        <f t="shared" si="259"/>
        <v>12</v>
      </c>
      <c r="E5621" s="136">
        <f>DAY(A5621)</f>
        <v>17</v>
      </c>
      <c r="F5621" s="128" t="s">
        <v>24</v>
      </c>
      <c r="G5621" s="128" t="str">
        <f>VLOOKUP(source[[#This Row],[lending_product_transform]],[3]Mapping!$B$4:$C$37,2,0)</f>
        <v>[Cake] - Cashloan</v>
      </c>
      <c r="H5621" s="128" t="str">
        <f>VLOOKUP(source[[#This Row],[lending_product_transform]],[3]Mapping!$B$3:$D$37,3,0)</f>
        <v>cashloan</v>
      </c>
      <c r="I5621" s="135">
        <v>6386420000</v>
      </c>
    </row>
    <row r="5622" spans="1:9" x14ac:dyDescent="0.2">
      <c r="A5622" s="134">
        <v>45733</v>
      </c>
      <c r="B5622" s="135">
        <f>YEAR(source[[#This Row],[report_date]])</f>
        <v>2025</v>
      </c>
      <c r="C5622" s="128">
        <f t="shared" ref="C5622:C5685" si="262">MONTH(A5622)</f>
        <v>3</v>
      </c>
      <c r="D5622" s="136">
        <f t="shared" si="259"/>
        <v>12</v>
      </c>
      <c r="E5622" s="136">
        <f t="shared" ref="E5622:E5685" si="263">DAY(A5622)</f>
        <v>17</v>
      </c>
      <c r="F5622" s="128" t="s">
        <v>24</v>
      </c>
      <c r="G5622" s="128" t="str">
        <f>VLOOKUP(source[[#This Row],[lending_product_transform]],[3]Mapping!$B$4:$C$37,2,0)</f>
        <v>[Cake] - Cashloan</v>
      </c>
      <c r="H5622" s="128" t="str">
        <f>VLOOKUP(source[[#This Row],[lending_product_transform]],[3]Mapping!$B$3:$D$37,3,0)</f>
        <v>cashloan</v>
      </c>
      <c r="I5622" s="135">
        <v>21000000</v>
      </c>
    </row>
    <row r="5623" spans="1:9" x14ac:dyDescent="0.2">
      <c r="A5623" s="134">
        <v>45733</v>
      </c>
      <c r="B5623" s="135">
        <f>YEAR(source[[#This Row],[report_date]])</f>
        <v>2025</v>
      </c>
      <c r="C5623" s="128">
        <f t="shared" si="262"/>
        <v>3</v>
      </c>
      <c r="D5623" s="136">
        <f t="shared" si="259"/>
        <v>12</v>
      </c>
      <c r="E5623" s="136">
        <f t="shared" si="263"/>
        <v>17</v>
      </c>
      <c r="F5623" s="128" t="s">
        <v>24</v>
      </c>
      <c r="G5623" s="128" t="str">
        <f>VLOOKUP(source[[#This Row],[lending_product_transform]],[3]Mapping!$B$4:$C$37,2,0)</f>
        <v>[Cake] - Cashloan</v>
      </c>
      <c r="H5623" s="128" t="str">
        <f>VLOOKUP(source[[#This Row],[lending_product_transform]],[3]Mapping!$B$3:$D$37,3,0)</f>
        <v>cashloan</v>
      </c>
      <c r="I5623" s="135">
        <v>0</v>
      </c>
    </row>
    <row r="5624" spans="1:9" x14ac:dyDescent="0.2">
      <c r="A5624" s="134">
        <v>45733</v>
      </c>
      <c r="B5624" s="135">
        <f>YEAR(source[[#This Row],[report_date]])</f>
        <v>2025</v>
      </c>
      <c r="C5624" s="128">
        <f t="shared" si="262"/>
        <v>3</v>
      </c>
      <c r="D5624" s="136">
        <f t="shared" si="259"/>
        <v>12</v>
      </c>
      <c r="E5624" s="136">
        <f t="shared" si="263"/>
        <v>17</v>
      </c>
      <c r="F5624" s="128" t="s">
        <v>24</v>
      </c>
      <c r="G5624" s="128" t="str">
        <f>VLOOKUP(source[[#This Row],[lending_product_transform]],[3]Mapping!$B$4:$C$37,2,0)</f>
        <v>[Cake] - Cashloan</v>
      </c>
      <c r="H5624" s="128" t="str">
        <f>VLOOKUP(source[[#This Row],[lending_product_transform]],[3]Mapping!$B$3:$D$37,3,0)</f>
        <v>cashloan</v>
      </c>
      <c r="I5624" s="135">
        <v>49031919</v>
      </c>
    </row>
    <row r="5625" spans="1:9" x14ac:dyDescent="0.2">
      <c r="A5625" s="134">
        <v>45733</v>
      </c>
      <c r="B5625" s="135">
        <f>YEAR(source[[#This Row],[report_date]])</f>
        <v>2025</v>
      </c>
      <c r="C5625" s="128">
        <f t="shared" si="262"/>
        <v>3</v>
      </c>
      <c r="D5625" s="136">
        <f t="shared" si="259"/>
        <v>12</v>
      </c>
      <c r="E5625" s="136">
        <f t="shared" si="263"/>
        <v>17</v>
      </c>
      <c r="F5625" s="128" t="s">
        <v>24</v>
      </c>
      <c r="G5625" s="128" t="str">
        <f>VLOOKUP(source[[#This Row],[lending_product_transform]],[3]Mapping!$B$4:$C$37,2,0)</f>
        <v>[Cake] - Cashloan</v>
      </c>
      <c r="H5625" s="128" t="str">
        <f>VLOOKUP(source[[#This Row],[lending_product_transform]],[3]Mapping!$B$3:$D$37,3,0)</f>
        <v>cashloan</v>
      </c>
      <c r="I5625" s="135">
        <v>4236000000</v>
      </c>
    </row>
    <row r="5626" spans="1:9" x14ac:dyDescent="0.2">
      <c r="A5626" s="134">
        <v>45733</v>
      </c>
      <c r="B5626" s="135">
        <f>YEAR(source[[#This Row],[report_date]])</f>
        <v>2025</v>
      </c>
      <c r="C5626" s="128">
        <f t="shared" si="262"/>
        <v>3</v>
      </c>
      <c r="D5626" s="136">
        <f t="shared" si="259"/>
        <v>12</v>
      </c>
      <c r="E5626" s="136">
        <f t="shared" si="263"/>
        <v>17</v>
      </c>
      <c r="F5626" s="128" t="s">
        <v>24</v>
      </c>
      <c r="G5626" s="128" t="str">
        <f>VLOOKUP(source[[#This Row],[lending_product_transform]],[3]Mapping!$B$4:$C$37,2,0)</f>
        <v>[Cake] - Cashloan</v>
      </c>
      <c r="H5626" s="128" t="str">
        <f>VLOOKUP(source[[#This Row],[lending_product_transform]],[3]Mapping!$B$3:$D$37,3,0)</f>
        <v>cashloan</v>
      </c>
      <c r="I5626" s="135">
        <v>26000000</v>
      </c>
    </row>
    <row r="5627" spans="1:9" x14ac:dyDescent="0.2">
      <c r="A5627" s="134">
        <v>45733</v>
      </c>
      <c r="B5627" s="135">
        <f>YEAR(source[[#This Row],[report_date]])</f>
        <v>2025</v>
      </c>
      <c r="C5627" s="128">
        <f t="shared" si="262"/>
        <v>3</v>
      </c>
      <c r="D5627" s="136">
        <f t="shared" si="259"/>
        <v>12</v>
      </c>
      <c r="E5627" s="136">
        <f t="shared" si="263"/>
        <v>17</v>
      </c>
      <c r="F5627" s="128" t="s">
        <v>24</v>
      </c>
      <c r="G5627" s="128" t="str">
        <f>VLOOKUP(source[[#This Row],[lending_product_transform]],[3]Mapping!$B$4:$C$37,2,0)</f>
        <v>[Cake] - Cashloan</v>
      </c>
      <c r="H5627" s="128" t="str">
        <f>VLOOKUP(source[[#This Row],[lending_product_transform]],[3]Mapping!$B$3:$D$37,3,0)</f>
        <v>cashloan</v>
      </c>
      <c r="I5627" s="135">
        <v>0</v>
      </c>
    </row>
    <row r="5628" spans="1:9" x14ac:dyDescent="0.2">
      <c r="A5628" s="134">
        <v>45733</v>
      </c>
      <c r="B5628" s="135">
        <f>YEAR(source[[#This Row],[report_date]])</f>
        <v>2025</v>
      </c>
      <c r="C5628" s="128">
        <f t="shared" si="262"/>
        <v>3</v>
      </c>
      <c r="D5628" s="136">
        <f t="shared" si="259"/>
        <v>12</v>
      </c>
      <c r="E5628" s="136">
        <f t="shared" si="263"/>
        <v>17</v>
      </c>
      <c r="F5628" s="128" t="s">
        <v>24</v>
      </c>
      <c r="G5628" s="128" t="str">
        <f>VLOOKUP(source[[#This Row],[lending_product_transform]],[3]Mapping!$B$4:$C$37,2,0)</f>
        <v>[Cake] - Cashloan</v>
      </c>
      <c r="H5628" s="128" t="str">
        <f>VLOOKUP(source[[#This Row],[lending_product_transform]],[3]Mapping!$B$3:$D$37,3,0)</f>
        <v>cashloan</v>
      </c>
      <c r="I5628" s="135">
        <v>42800000</v>
      </c>
    </row>
    <row r="5629" spans="1:9" x14ac:dyDescent="0.2">
      <c r="A5629" s="134">
        <v>45733</v>
      </c>
      <c r="B5629" s="135">
        <f>YEAR(source[[#This Row],[report_date]])</f>
        <v>2025</v>
      </c>
      <c r="C5629" s="128">
        <f t="shared" si="262"/>
        <v>3</v>
      </c>
      <c r="D5629" s="136">
        <f t="shared" si="259"/>
        <v>12</v>
      </c>
      <c r="E5629" s="136">
        <f t="shared" si="263"/>
        <v>17</v>
      </c>
      <c r="F5629" s="128" t="s">
        <v>24</v>
      </c>
      <c r="G5629" s="128" t="str">
        <f>VLOOKUP(source[[#This Row],[lending_product_transform]],[3]Mapping!$B$4:$C$37,2,0)</f>
        <v>[Cake] - Cashloan</v>
      </c>
      <c r="H5629" s="128" t="str">
        <f>VLOOKUP(source[[#This Row],[lending_product_transform]],[3]Mapping!$B$3:$D$37,3,0)</f>
        <v>cashloan</v>
      </c>
      <c r="I5629" s="135">
        <v>10700000</v>
      </c>
    </row>
    <row r="5630" spans="1:9" x14ac:dyDescent="0.2">
      <c r="A5630" s="134">
        <v>45733</v>
      </c>
      <c r="B5630" s="135">
        <f>YEAR(source[[#This Row],[report_date]])</f>
        <v>2025</v>
      </c>
      <c r="C5630" s="128">
        <f t="shared" si="262"/>
        <v>3</v>
      </c>
      <c r="D5630" s="136">
        <f t="shared" si="259"/>
        <v>12</v>
      </c>
      <c r="E5630" s="136">
        <f t="shared" si="263"/>
        <v>17</v>
      </c>
      <c r="F5630" s="128" t="s">
        <v>24</v>
      </c>
      <c r="G5630" s="128" t="str">
        <f>VLOOKUP(source[[#This Row],[lending_product_transform]],[3]Mapping!$B$4:$C$37,2,0)</f>
        <v>[Cake] - Cashloan</v>
      </c>
      <c r="H5630" s="128" t="str">
        <f>VLOOKUP(source[[#This Row],[lending_product_transform]],[3]Mapping!$B$3:$D$37,3,0)</f>
        <v>cashloan</v>
      </c>
      <c r="I5630" s="135">
        <v>0</v>
      </c>
    </row>
    <row r="5631" spans="1:9" x14ac:dyDescent="0.2">
      <c r="A5631" s="134">
        <v>45733</v>
      </c>
      <c r="B5631" s="135">
        <f>YEAR(source[[#This Row],[report_date]])</f>
        <v>2025</v>
      </c>
      <c r="C5631" s="128">
        <f t="shared" si="262"/>
        <v>3</v>
      </c>
      <c r="D5631" s="136">
        <f t="shared" si="259"/>
        <v>12</v>
      </c>
      <c r="E5631" s="136">
        <f t="shared" si="263"/>
        <v>17</v>
      </c>
      <c r="F5631" s="128" t="s">
        <v>24</v>
      </c>
      <c r="G5631" s="128" t="str">
        <f>VLOOKUP(source[[#This Row],[lending_product_transform]],[3]Mapping!$B$4:$C$37,2,0)</f>
        <v>[Cake] - Cashloan</v>
      </c>
      <c r="H5631" s="128" t="str">
        <f>VLOOKUP(source[[#This Row],[lending_product_transform]],[3]Mapping!$B$3:$D$37,3,0)</f>
        <v>cashloan</v>
      </c>
      <c r="I5631" s="135">
        <v>488210000</v>
      </c>
    </row>
    <row r="5632" spans="1:9" x14ac:dyDescent="0.2">
      <c r="A5632" s="134">
        <v>45733</v>
      </c>
      <c r="B5632" s="135">
        <f>YEAR(source[[#This Row],[report_date]])</f>
        <v>2025</v>
      </c>
      <c r="C5632" s="128">
        <f t="shared" si="262"/>
        <v>3</v>
      </c>
      <c r="D5632" s="136">
        <f t="shared" si="259"/>
        <v>12</v>
      </c>
      <c r="E5632" s="136">
        <f t="shared" si="263"/>
        <v>17</v>
      </c>
      <c r="F5632" s="128" t="s">
        <v>24</v>
      </c>
      <c r="G5632" s="128" t="str">
        <f>VLOOKUP(source[[#This Row],[lending_product_transform]],[3]Mapping!$B$4:$C$37,2,0)</f>
        <v>[Cake] - Cashloan</v>
      </c>
      <c r="H5632" s="128" t="str">
        <f>VLOOKUP(source[[#This Row],[lending_product_transform]],[3]Mapping!$B$3:$D$37,3,0)</f>
        <v>cashloan</v>
      </c>
      <c r="I5632" s="135">
        <v>0</v>
      </c>
    </row>
    <row r="5633" spans="1:9" x14ac:dyDescent="0.2">
      <c r="A5633" s="134">
        <v>45733</v>
      </c>
      <c r="B5633" s="135">
        <f>YEAR(source[[#This Row],[report_date]])</f>
        <v>2025</v>
      </c>
      <c r="C5633" s="128">
        <f t="shared" si="262"/>
        <v>3</v>
      </c>
      <c r="D5633" s="136">
        <f t="shared" si="259"/>
        <v>12</v>
      </c>
      <c r="E5633" s="136">
        <f t="shared" si="263"/>
        <v>17</v>
      </c>
      <c r="F5633" s="128" t="s">
        <v>24</v>
      </c>
      <c r="G5633" s="128" t="str">
        <f>VLOOKUP(source[[#This Row],[lending_product_transform]],[3]Mapping!$B$4:$C$37,2,0)</f>
        <v>[Cake] - Cashloan</v>
      </c>
      <c r="H5633" s="128" t="str">
        <f>VLOOKUP(source[[#This Row],[lending_product_transform]],[3]Mapping!$B$3:$D$37,3,0)</f>
        <v>cashloan</v>
      </c>
      <c r="I5633" s="135">
        <v>938830000</v>
      </c>
    </row>
    <row r="5634" spans="1:9" x14ac:dyDescent="0.2">
      <c r="A5634" s="134">
        <v>45733</v>
      </c>
      <c r="B5634" s="135">
        <f>YEAR(source[[#This Row],[report_date]])</f>
        <v>2025</v>
      </c>
      <c r="C5634" s="128">
        <f t="shared" si="262"/>
        <v>3</v>
      </c>
      <c r="D5634" s="136">
        <f t="shared" si="259"/>
        <v>12</v>
      </c>
      <c r="E5634" s="136">
        <f t="shared" si="263"/>
        <v>17</v>
      </c>
      <c r="F5634" s="128" t="s">
        <v>24</v>
      </c>
      <c r="G5634" s="128" t="str">
        <f>VLOOKUP(source[[#This Row],[lending_product_transform]],[3]Mapping!$B$4:$C$37,2,0)</f>
        <v>[Cake] - Cashloan</v>
      </c>
      <c r="H5634" s="128" t="str">
        <f>VLOOKUP(source[[#This Row],[lending_product_transform]],[3]Mapping!$B$3:$D$37,3,0)</f>
        <v>cashloan</v>
      </c>
      <c r="I5634" s="135">
        <v>220825736</v>
      </c>
    </row>
    <row r="5635" spans="1:9" x14ac:dyDescent="0.2">
      <c r="A5635" s="134">
        <v>45733</v>
      </c>
      <c r="B5635" s="135">
        <f>YEAR(source[[#This Row],[report_date]])</f>
        <v>2025</v>
      </c>
      <c r="C5635" s="128">
        <f t="shared" si="262"/>
        <v>3</v>
      </c>
      <c r="D5635" s="136">
        <f t="shared" ref="D5635:D5698" si="264">WEEKNUM(A5635,2)</f>
        <v>12</v>
      </c>
      <c r="E5635" s="136">
        <f t="shared" si="263"/>
        <v>17</v>
      </c>
      <c r="F5635" s="128" t="s">
        <v>24</v>
      </c>
      <c r="G5635" s="128" t="str">
        <f>VLOOKUP(source[[#This Row],[lending_product_transform]],[3]Mapping!$B$4:$C$37,2,0)</f>
        <v>[Cake] - Cashloan</v>
      </c>
      <c r="H5635" s="128" t="str">
        <f>VLOOKUP(source[[#This Row],[lending_product_transform]],[3]Mapping!$B$3:$D$37,3,0)</f>
        <v>cashloan</v>
      </c>
      <c r="I5635" s="135">
        <v>141531227</v>
      </c>
    </row>
    <row r="5636" spans="1:9" x14ac:dyDescent="0.2">
      <c r="A5636" s="134">
        <v>45733</v>
      </c>
      <c r="B5636" s="135">
        <f>YEAR(source[[#This Row],[report_date]])</f>
        <v>2025</v>
      </c>
      <c r="C5636" s="128">
        <f t="shared" si="262"/>
        <v>3</v>
      </c>
      <c r="D5636" s="136">
        <f t="shared" si="264"/>
        <v>12</v>
      </c>
      <c r="E5636" s="136">
        <f t="shared" si="263"/>
        <v>17</v>
      </c>
      <c r="F5636" s="128" t="s">
        <v>24</v>
      </c>
      <c r="G5636" s="128" t="str">
        <f>VLOOKUP(source[[#This Row],[lending_product_transform]],[3]Mapping!$B$4:$C$37,2,0)</f>
        <v>[Cake] - Cashloan</v>
      </c>
      <c r="H5636" s="128" t="str">
        <f>VLOOKUP(source[[#This Row],[lending_product_transform]],[3]Mapping!$B$3:$D$37,3,0)</f>
        <v>cashloan</v>
      </c>
      <c r="I5636" s="135">
        <v>349859663</v>
      </c>
    </row>
    <row r="5637" spans="1:9" x14ac:dyDescent="0.2">
      <c r="A5637" s="134">
        <v>45733</v>
      </c>
      <c r="B5637" s="135">
        <f>YEAR(source[[#This Row],[report_date]])</f>
        <v>2025</v>
      </c>
      <c r="C5637" s="128">
        <f t="shared" si="262"/>
        <v>3</v>
      </c>
      <c r="D5637" s="136">
        <f t="shared" si="264"/>
        <v>12</v>
      </c>
      <c r="E5637" s="136">
        <f t="shared" si="263"/>
        <v>17</v>
      </c>
      <c r="F5637" s="128" t="s">
        <v>24</v>
      </c>
      <c r="G5637" s="128" t="str">
        <f>VLOOKUP(source[[#This Row],[lending_product_transform]],[3]Mapping!$B$4:$C$37,2,0)</f>
        <v>[Cake] - Cashloan</v>
      </c>
      <c r="H5637" s="128" t="str">
        <f>VLOOKUP(source[[#This Row],[lending_product_transform]],[3]Mapping!$B$3:$D$37,3,0)</f>
        <v>cashloan</v>
      </c>
      <c r="I5637" s="135">
        <v>3605828495</v>
      </c>
    </row>
    <row r="5638" spans="1:9" x14ac:dyDescent="0.2">
      <c r="A5638" s="134">
        <v>45733</v>
      </c>
      <c r="B5638" s="135">
        <f>YEAR(source[[#This Row],[report_date]])</f>
        <v>2025</v>
      </c>
      <c r="C5638" s="128">
        <f t="shared" si="262"/>
        <v>3</v>
      </c>
      <c r="D5638" s="136">
        <f t="shared" si="264"/>
        <v>12</v>
      </c>
      <c r="E5638" s="136">
        <f t="shared" si="263"/>
        <v>17</v>
      </c>
      <c r="F5638" s="128" t="s">
        <v>24</v>
      </c>
      <c r="G5638" s="128" t="str">
        <f>VLOOKUP(source[[#This Row],[lending_product_transform]],[3]Mapping!$B$4:$C$37,2,0)</f>
        <v>[Cake] - Cashloan</v>
      </c>
      <c r="H5638" s="128" t="str">
        <f>VLOOKUP(source[[#This Row],[lending_product_transform]],[3]Mapping!$B$3:$D$37,3,0)</f>
        <v>cashloan</v>
      </c>
      <c r="I5638" s="135">
        <v>5496930000</v>
      </c>
    </row>
    <row r="5639" spans="1:9" x14ac:dyDescent="0.2">
      <c r="A5639" s="134">
        <v>45734</v>
      </c>
      <c r="B5639" s="135">
        <f>YEAR(source[[#This Row],[report_date]])</f>
        <v>2025</v>
      </c>
      <c r="C5639" s="128">
        <f t="shared" si="262"/>
        <v>3</v>
      </c>
      <c r="D5639" s="136">
        <f t="shared" si="264"/>
        <v>12</v>
      </c>
      <c r="E5639" s="136">
        <f t="shared" si="263"/>
        <v>18</v>
      </c>
      <c r="F5639" s="128" t="s">
        <v>24</v>
      </c>
      <c r="G5639" s="128" t="str">
        <f>VLOOKUP(source[[#This Row],[lending_product_transform]],[3]Mapping!$B$4:$C$37,2,0)</f>
        <v>[Cake] - Cashloan</v>
      </c>
      <c r="H5639" s="128" t="str">
        <f>VLOOKUP(source[[#This Row],[lending_product_transform]],[3]Mapping!$B$3:$D$37,3,0)</f>
        <v>cashloan</v>
      </c>
      <c r="I5639" s="135">
        <v>6236500000</v>
      </c>
    </row>
    <row r="5640" spans="1:9" x14ac:dyDescent="0.2">
      <c r="A5640" s="134">
        <v>45734</v>
      </c>
      <c r="B5640" s="135">
        <f>YEAR(source[[#This Row],[report_date]])</f>
        <v>2025</v>
      </c>
      <c r="C5640" s="128">
        <f t="shared" si="262"/>
        <v>3</v>
      </c>
      <c r="D5640" s="136">
        <f t="shared" si="264"/>
        <v>12</v>
      </c>
      <c r="E5640" s="136">
        <f t="shared" si="263"/>
        <v>18</v>
      </c>
      <c r="F5640" s="128" t="s">
        <v>24</v>
      </c>
      <c r="G5640" s="128" t="str">
        <f>VLOOKUP(source[[#This Row],[lending_product_transform]],[3]Mapping!$B$4:$C$37,2,0)</f>
        <v>[Cake] - Cashloan</v>
      </c>
      <c r="H5640" s="128" t="str">
        <f>VLOOKUP(source[[#This Row],[lending_product_transform]],[3]Mapping!$B$3:$D$37,3,0)</f>
        <v>cashloan</v>
      </c>
      <c r="I5640" s="135">
        <v>3366484653</v>
      </c>
    </row>
    <row r="5641" spans="1:9" x14ac:dyDescent="0.2">
      <c r="A5641" s="134">
        <v>45734</v>
      </c>
      <c r="B5641" s="135">
        <f>YEAR(source[[#This Row],[report_date]])</f>
        <v>2025</v>
      </c>
      <c r="C5641" s="128">
        <f t="shared" si="262"/>
        <v>3</v>
      </c>
      <c r="D5641" s="136">
        <f t="shared" si="264"/>
        <v>12</v>
      </c>
      <c r="E5641" s="136">
        <f t="shared" si="263"/>
        <v>18</v>
      </c>
      <c r="F5641" s="128" t="s">
        <v>24</v>
      </c>
      <c r="G5641" s="128" t="str">
        <f>VLOOKUP(source[[#This Row],[lending_product_transform]],[3]Mapping!$B$4:$C$37,2,0)</f>
        <v>[Cake] - Cashloan</v>
      </c>
      <c r="H5641" s="128" t="str">
        <f>VLOOKUP(source[[#This Row],[lending_product_transform]],[3]Mapping!$B$3:$D$37,3,0)</f>
        <v>cashloan</v>
      </c>
      <c r="I5641" s="135">
        <v>5780970000</v>
      </c>
    </row>
    <row r="5642" spans="1:9" x14ac:dyDescent="0.2">
      <c r="A5642" s="134">
        <v>45734</v>
      </c>
      <c r="B5642" s="135">
        <f>YEAR(source[[#This Row],[report_date]])</f>
        <v>2025</v>
      </c>
      <c r="C5642" s="128">
        <f t="shared" si="262"/>
        <v>3</v>
      </c>
      <c r="D5642" s="136">
        <f t="shared" si="264"/>
        <v>12</v>
      </c>
      <c r="E5642" s="136">
        <f t="shared" si="263"/>
        <v>18</v>
      </c>
      <c r="F5642" s="128" t="s">
        <v>24</v>
      </c>
      <c r="G5642" s="128" t="str">
        <f>VLOOKUP(source[[#This Row],[lending_product_transform]],[3]Mapping!$B$4:$C$37,2,0)</f>
        <v>[Cake] - Cashloan</v>
      </c>
      <c r="H5642" s="128" t="str">
        <f>VLOOKUP(source[[#This Row],[lending_product_transform]],[3]Mapping!$B$3:$D$37,3,0)</f>
        <v>cashloan</v>
      </c>
      <c r="I5642" s="135">
        <v>4732000000</v>
      </c>
    </row>
    <row r="5643" spans="1:9" x14ac:dyDescent="0.2">
      <c r="A5643" s="134">
        <v>45734</v>
      </c>
      <c r="B5643" s="135">
        <f>YEAR(source[[#This Row],[report_date]])</f>
        <v>2025</v>
      </c>
      <c r="C5643" s="128">
        <f t="shared" si="262"/>
        <v>3</v>
      </c>
      <c r="D5643" s="136">
        <f t="shared" si="264"/>
        <v>12</v>
      </c>
      <c r="E5643" s="136">
        <f t="shared" si="263"/>
        <v>18</v>
      </c>
      <c r="F5643" s="128" t="s">
        <v>24</v>
      </c>
      <c r="G5643" s="128" t="str">
        <f>VLOOKUP(source[[#This Row],[lending_product_transform]],[3]Mapping!$B$4:$C$37,2,0)</f>
        <v>[Cake] - Cashloan</v>
      </c>
      <c r="H5643" s="128" t="str">
        <f>VLOOKUP(source[[#This Row],[lending_product_transform]],[3]Mapping!$B$3:$D$37,3,0)</f>
        <v>cashloan</v>
      </c>
      <c r="I5643" s="135">
        <v>11440552</v>
      </c>
    </row>
    <row r="5644" spans="1:9" x14ac:dyDescent="0.2">
      <c r="A5644" s="134">
        <v>45734</v>
      </c>
      <c r="B5644" s="135">
        <f>YEAR(source[[#This Row],[report_date]])</f>
        <v>2025</v>
      </c>
      <c r="C5644" s="128">
        <f t="shared" si="262"/>
        <v>3</v>
      </c>
      <c r="D5644" s="136">
        <f t="shared" si="264"/>
        <v>12</v>
      </c>
      <c r="E5644" s="136">
        <f t="shared" si="263"/>
        <v>18</v>
      </c>
      <c r="F5644" s="128" t="s">
        <v>24</v>
      </c>
      <c r="G5644" s="128" t="str">
        <f>VLOOKUP(source[[#This Row],[lending_product_transform]],[3]Mapping!$B$4:$C$37,2,0)</f>
        <v>[Cake] - Cashloan</v>
      </c>
      <c r="H5644" s="128" t="str">
        <f>VLOOKUP(source[[#This Row],[lending_product_transform]],[3]Mapping!$B$3:$D$37,3,0)</f>
        <v>cashloan</v>
      </c>
      <c r="I5644" s="135">
        <v>0</v>
      </c>
    </row>
    <row r="5645" spans="1:9" x14ac:dyDescent="0.2">
      <c r="A5645" s="134">
        <v>45734</v>
      </c>
      <c r="B5645" s="135">
        <f>YEAR(source[[#This Row],[report_date]])</f>
        <v>2025</v>
      </c>
      <c r="C5645" s="128">
        <f t="shared" si="262"/>
        <v>3</v>
      </c>
      <c r="D5645" s="136">
        <f t="shared" si="264"/>
        <v>12</v>
      </c>
      <c r="E5645" s="136">
        <f t="shared" si="263"/>
        <v>18</v>
      </c>
      <c r="F5645" s="128" t="s">
        <v>24</v>
      </c>
      <c r="G5645" s="128" t="str">
        <f>VLOOKUP(source[[#This Row],[lending_product_transform]],[3]Mapping!$B$4:$C$37,2,0)</f>
        <v>[Cake] - Cashloan</v>
      </c>
      <c r="H5645" s="128" t="str">
        <f>VLOOKUP(source[[#This Row],[lending_product_transform]],[3]Mapping!$B$3:$D$37,3,0)</f>
        <v>cashloan</v>
      </c>
      <c r="I5645" s="135">
        <v>10700000</v>
      </c>
    </row>
    <row r="5646" spans="1:9" x14ac:dyDescent="0.2">
      <c r="A5646" s="134">
        <v>45734</v>
      </c>
      <c r="B5646" s="135">
        <f>YEAR(source[[#This Row],[report_date]])</f>
        <v>2025</v>
      </c>
      <c r="C5646" s="128">
        <f t="shared" si="262"/>
        <v>3</v>
      </c>
      <c r="D5646" s="136">
        <f t="shared" si="264"/>
        <v>12</v>
      </c>
      <c r="E5646" s="136">
        <f t="shared" si="263"/>
        <v>18</v>
      </c>
      <c r="F5646" s="128" t="s">
        <v>24</v>
      </c>
      <c r="G5646" s="128" t="str">
        <f>VLOOKUP(source[[#This Row],[lending_product_transform]],[3]Mapping!$B$4:$C$37,2,0)</f>
        <v>[Cake] - Cashloan</v>
      </c>
      <c r="H5646" s="128" t="str">
        <f>VLOOKUP(source[[#This Row],[lending_product_transform]],[3]Mapping!$B$3:$D$37,3,0)</f>
        <v>cashloan</v>
      </c>
      <c r="I5646" s="135">
        <v>42000000</v>
      </c>
    </row>
    <row r="5647" spans="1:9" x14ac:dyDescent="0.2">
      <c r="A5647" s="134">
        <v>45734</v>
      </c>
      <c r="B5647" s="135">
        <f>YEAR(source[[#This Row],[report_date]])</f>
        <v>2025</v>
      </c>
      <c r="C5647" s="128">
        <f t="shared" si="262"/>
        <v>3</v>
      </c>
      <c r="D5647" s="136">
        <f t="shared" si="264"/>
        <v>12</v>
      </c>
      <c r="E5647" s="136">
        <f t="shared" si="263"/>
        <v>18</v>
      </c>
      <c r="F5647" s="128" t="s">
        <v>24</v>
      </c>
      <c r="G5647" s="128" t="str">
        <f>VLOOKUP(source[[#This Row],[lending_product_transform]],[3]Mapping!$B$4:$C$37,2,0)</f>
        <v>[Cake] - Cashloan</v>
      </c>
      <c r="H5647" s="128" t="str">
        <f>VLOOKUP(source[[#This Row],[lending_product_transform]],[3]Mapping!$B$3:$D$37,3,0)</f>
        <v>cashloan</v>
      </c>
      <c r="I5647" s="135">
        <v>82000000</v>
      </c>
    </row>
    <row r="5648" spans="1:9" x14ac:dyDescent="0.2">
      <c r="A5648" s="134">
        <v>45734</v>
      </c>
      <c r="B5648" s="135">
        <f>YEAR(source[[#This Row],[report_date]])</f>
        <v>2025</v>
      </c>
      <c r="C5648" s="128">
        <f t="shared" si="262"/>
        <v>3</v>
      </c>
      <c r="D5648" s="136">
        <f t="shared" si="264"/>
        <v>12</v>
      </c>
      <c r="E5648" s="136">
        <f t="shared" si="263"/>
        <v>18</v>
      </c>
      <c r="F5648" s="128" t="s">
        <v>24</v>
      </c>
      <c r="G5648" s="128" t="str">
        <f>VLOOKUP(source[[#This Row],[lending_product_transform]],[3]Mapping!$B$4:$C$37,2,0)</f>
        <v>[Cake] - Cashloan</v>
      </c>
      <c r="H5648" s="128" t="str">
        <f>VLOOKUP(source[[#This Row],[lending_product_transform]],[3]Mapping!$B$3:$D$37,3,0)</f>
        <v>cashloan</v>
      </c>
      <c r="I5648" s="135">
        <v>0</v>
      </c>
    </row>
    <row r="5649" spans="1:9" x14ac:dyDescent="0.2">
      <c r="A5649" s="134">
        <v>45734</v>
      </c>
      <c r="B5649" s="135">
        <f>YEAR(source[[#This Row],[report_date]])</f>
        <v>2025</v>
      </c>
      <c r="C5649" s="128">
        <f t="shared" si="262"/>
        <v>3</v>
      </c>
      <c r="D5649" s="136">
        <f t="shared" si="264"/>
        <v>12</v>
      </c>
      <c r="E5649" s="136">
        <f t="shared" si="263"/>
        <v>18</v>
      </c>
      <c r="F5649" s="128" t="s">
        <v>24</v>
      </c>
      <c r="G5649" s="128" t="str">
        <f>VLOOKUP(source[[#This Row],[lending_product_transform]],[3]Mapping!$B$4:$C$37,2,0)</f>
        <v>[Cake] - Cashloan</v>
      </c>
      <c r="H5649" s="128" t="str">
        <f>VLOOKUP(source[[#This Row],[lending_product_transform]],[3]Mapping!$B$3:$D$37,3,0)</f>
        <v>cashloan</v>
      </c>
      <c r="I5649" s="135">
        <v>20000000</v>
      </c>
    </row>
    <row r="5650" spans="1:9" x14ac:dyDescent="0.2">
      <c r="A5650" s="134">
        <v>45734</v>
      </c>
      <c r="B5650" s="135">
        <f>YEAR(source[[#This Row],[report_date]])</f>
        <v>2025</v>
      </c>
      <c r="C5650" s="128">
        <f t="shared" si="262"/>
        <v>3</v>
      </c>
      <c r="D5650" s="136">
        <f t="shared" si="264"/>
        <v>12</v>
      </c>
      <c r="E5650" s="136">
        <f t="shared" si="263"/>
        <v>18</v>
      </c>
      <c r="F5650" s="128" t="s">
        <v>24</v>
      </c>
      <c r="G5650" s="128" t="str">
        <f>VLOOKUP(source[[#This Row],[lending_product_transform]],[3]Mapping!$B$4:$C$37,2,0)</f>
        <v>[Cake] - Cashloan</v>
      </c>
      <c r="H5650" s="128" t="str">
        <f>VLOOKUP(source[[#This Row],[lending_product_transform]],[3]Mapping!$B$3:$D$37,3,0)</f>
        <v>cashloan</v>
      </c>
      <c r="I5650" s="135">
        <v>0</v>
      </c>
    </row>
    <row r="5651" spans="1:9" x14ac:dyDescent="0.2">
      <c r="A5651" s="134">
        <v>45734</v>
      </c>
      <c r="B5651" s="135">
        <f>YEAR(source[[#This Row],[report_date]])</f>
        <v>2025</v>
      </c>
      <c r="C5651" s="128">
        <f t="shared" si="262"/>
        <v>3</v>
      </c>
      <c r="D5651" s="136">
        <f t="shared" si="264"/>
        <v>12</v>
      </c>
      <c r="E5651" s="136">
        <f t="shared" si="263"/>
        <v>18</v>
      </c>
      <c r="F5651" s="128" t="s">
        <v>24</v>
      </c>
      <c r="G5651" s="128" t="str">
        <f>VLOOKUP(source[[#This Row],[lending_product_transform]],[3]Mapping!$B$4:$C$37,2,0)</f>
        <v>[Cake] - Cashloan</v>
      </c>
      <c r="H5651" s="128" t="str">
        <f>VLOOKUP(source[[#This Row],[lending_product_transform]],[3]Mapping!$B$3:$D$37,3,0)</f>
        <v>cashloan</v>
      </c>
      <c r="I5651" s="135">
        <v>339060000</v>
      </c>
    </row>
    <row r="5652" spans="1:9" x14ac:dyDescent="0.2">
      <c r="A5652" s="134">
        <v>45734</v>
      </c>
      <c r="B5652" s="135">
        <f>YEAR(source[[#This Row],[report_date]])</f>
        <v>2025</v>
      </c>
      <c r="C5652" s="128">
        <f t="shared" si="262"/>
        <v>3</v>
      </c>
      <c r="D5652" s="136">
        <f t="shared" si="264"/>
        <v>12</v>
      </c>
      <c r="E5652" s="136">
        <f t="shared" si="263"/>
        <v>18</v>
      </c>
      <c r="F5652" s="128" t="s">
        <v>24</v>
      </c>
      <c r="G5652" s="128" t="str">
        <f>VLOOKUP(source[[#This Row],[lending_product_transform]],[3]Mapping!$B$4:$C$37,2,0)</f>
        <v>[Cake] - Cashloan</v>
      </c>
      <c r="H5652" s="128" t="str">
        <f>VLOOKUP(source[[#This Row],[lending_product_transform]],[3]Mapping!$B$3:$D$37,3,0)</f>
        <v>cashloan</v>
      </c>
      <c r="I5652" s="135">
        <v>0</v>
      </c>
    </row>
    <row r="5653" spans="1:9" x14ac:dyDescent="0.2">
      <c r="A5653" s="134">
        <v>45734</v>
      </c>
      <c r="B5653" s="135">
        <f>YEAR(source[[#This Row],[report_date]])</f>
        <v>2025</v>
      </c>
      <c r="C5653" s="128">
        <f t="shared" si="262"/>
        <v>3</v>
      </c>
      <c r="D5653" s="136">
        <f t="shared" si="264"/>
        <v>12</v>
      </c>
      <c r="E5653" s="136">
        <f t="shared" si="263"/>
        <v>18</v>
      </c>
      <c r="F5653" s="128" t="s">
        <v>24</v>
      </c>
      <c r="G5653" s="128" t="str">
        <f>VLOOKUP(source[[#This Row],[lending_product_transform]],[3]Mapping!$B$4:$C$37,2,0)</f>
        <v>[Cake] - Cashloan</v>
      </c>
      <c r="H5653" s="128" t="str">
        <f>VLOOKUP(source[[#This Row],[lending_product_transform]],[3]Mapping!$B$3:$D$37,3,0)</f>
        <v>cashloan</v>
      </c>
      <c r="I5653" s="135">
        <v>995720000</v>
      </c>
    </row>
    <row r="5654" spans="1:9" x14ac:dyDescent="0.2">
      <c r="A5654" s="134">
        <v>45734</v>
      </c>
      <c r="B5654" s="135">
        <f>YEAR(source[[#This Row],[report_date]])</f>
        <v>2025</v>
      </c>
      <c r="C5654" s="128">
        <f t="shared" si="262"/>
        <v>3</v>
      </c>
      <c r="D5654" s="136">
        <f t="shared" si="264"/>
        <v>12</v>
      </c>
      <c r="E5654" s="136">
        <f t="shared" si="263"/>
        <v>18</v>
      </c>
      <c r="F5654" s="128" t="s">
        <v>24</v>
      </c>
      <c r="G5654" s="128" t="str">
        <f>VLOOKUP(source[[#This Row],[lending_product_transform]],[3]Mapping!$B$4:$C$37,2,0)</f>
        <v>[Cake] - Cashloan</v>
      </c>
      <c r="H5654" s="128" t="str">
        <f>VLOOKUP(source[[#This Row],[lending_product_transform]],[3]Mapping!$B$3:$D$37,3,0)</f>
        <v>cashloan</v>
      </c>
      <c r="I5654" s="135">
        <v>262729970</v>
      </c>
    </row>
    <row r="5655" spans="1:9" x14ac:dyDescent="0.2">
      <c r="A5655" s="134">
        <v>45734</v>
      </c>
      <c r="B5655" s="135">
        <f>YEAR(source[[#This Row],[report_date]])</f>
        <v>2025</v>
      </c>
      <c r="C5655" s="128">
        <f t="shared" si="262"/>
        <v>3</v>
      </c>
      <c r="D5655" s="136">
        <f t="shared" si="264"/>
        <v>12</v>
      </c>
      <c r="E5655" s="136">
        <f t="shared" si="263"/>
        <v>18</v>
      </c>
      <c r="F5655" s="128" t="s">
        <v>24</v>
      </c>
      <c r="G5655" s="128" t="str">
        <f>VLOOKUP(source[[#This Row],[lending_product_transform]],[3]Mapping!$B$4:$C$37,2,0)</f>
        <v>[Cake] - Cashloan</v>
      </c>
      <c r="H5655" s="128" t="str">
        <f>VLOOKUP(source[[#This Row],[lending_product_transform]],[3]Mapping!$B$3:$D$37,3,0)</f>
        <v>cashloan</v>
      </c>
      <c r="I5655" s="135">
        <v>140559562</v>
      </c>
    </row>
    <row r="5656" spans="1:9" x14ac:dyDescent="0.2">
      <c r="A5656" s="134">
        <v>45734</v>
      </c>
      <c r="B5656" s="135">
        <f>YEAR(source[[#This Row],[report_date]])</f>
        <v>2025</v>
      </c>
      <c r="C5656" s="128">
        <f t="shared" si="262"/>
        <v>3</v>
      </c>
      <c r="D5656" s="136">
        <f t="shared" si="264"/>
        <v>12</v>
      </c>
      <c r="E5656" s="136">
        <f t="shared" si="263"/>
        <v>18</v>
      </c>
      <c r="F5656" s="128" t="s">
        <v>24</v>
      </c>
      <c r="G5656" s="128" t="str">
        <f>VLOOKUP(source[[#This Row],[lending_product_transform]],[3]Mapping!$B$4:$C$37,2,0)</f>
        <v>[Cake] - Cashloan</v>
      </c>
      <c r="H5656" s="128" t="str">
        <f>VLOOKUP(source[[#This Row],[lending_product_transform]],[3]Mapping!$B$3:$D$37,3,0)</f>
        <v>cashloan</v>
      </c>
      <c r="I5656" s="135">
        <v>294797589</v>
      </c>
    </row>
    <row r="5657" spans="1:9" x14ac:dyDescent="0.2">
      <c r="A5657" s="134">
        <v>45735</v>
      </c>
      <c r="B5657" s="135">
        <f>YEAR(source[[#This Row],[report_date]])</f>
        <v>2025</v>
      </c>
      <c r="C5657" s="128">
        <f t="shared" si="262"/>
        <v>3</v>
      </c>
      <c r="D5657" s="136">
        <f t="shared" si="264"/>
        <v>12</v>
      </c>
      <c r="E5657" s="136">
        <f t="shared" si="263"/>
        <v>19</v>
      </c>
      <c r="F5657" s="128" t="s">
        <v>24</v>
      </c>
      <c r="G5657" s="128" t="str">
        <f>VLOOKUP(source[[#This Row],[lending_product_transform]],[3]Mapping!$B$4:$C$37,2,0)</f>
        <v>[Cake] - Cashloan</v>
      </c>
      <c r="H5657" s="128" t="str">
        <f>VLOOKUP(source[[#This Row],[lending_product_transform]],[3]Mapping!$B$3:$D$37,3,0)</f>
        <v>cashloan</v>
      </c>
      <c r="I5657" s="135">
        <v>23540000</v>
      </c>
    </row>
    <row r="5658" spans="1:9" x14ac:dyDescent="0.2">
      <c r="A5658" s="134">
        <v>45735</v>
      </c>
      <c r="B5658" s="135">
        <f>YEAR(source[[#This Row],[report_date]])</f>
        <v>2025</v>
      </c>
      <c r="C5658" s="128">
        <f t="shared" si="262"/>
        <v>3</v>
      </c>
      <c r="D5658" s="136">
        <f t="shared" si="264"/>
        <v>12</v>
      </c>
      <c r="E5658" s="136">
        <f t="shared" si="263"/>
        <v>19</v>
      </c>
      <c r="F5658" s="128" t="s">
        <v>24</v>
      </c>
      <c r="G5658" s="128" t="str">
        <f>VLOOKUP(source[[#This Row],[lending_product_transform]],[3]Mapping!$B$4:$C$37,2,0)</f>
        <v>[Cake] - Cashloan</v>
      </c>
      <c r="H5658" s="128" t="str">
        <f>VLOOKUP(source[[#This Row],[lending_product_transform]],[3]Mapping!$B$3:$D$37,3,0)</f>
        <v>cashloan</v>
      </c>
      <c r="I5658" s="135">
        <v>4941000000</v>
      </c>
    </row>
    <row r="5659" spans="1:9" x14ac:dyDescent="0.2">
      <c r="A5659" s="134">
        <v>45735</v>
      </c>
      <c r="B5659" s="135">
        <f>YEAR(source[[#This Row],[report_date]])</f>
        <v>2025</v>
      </c>
      <c r="C5659" s="128">
        <f t="shared" si="262"/>
        <v>3</v>
      </c>
      <c r="D5659" s="136">
        <f t="shared" si="264"/>
        <v>12</v>
      </c>
      <c r="E5659" s="136">
        <f t="shared" si="263"/>
        <v>19</v>
      </c>
      <c r="F5659" s="128" t="s">
        <v>24</v>
      </c>
      <c r="G5659" s="128" t="str">
        <f>VLOOKUP(source[[#This Row],[lending_product_transform]],[3]Mapping!$B$4:$C$37,2,0)</f>
        <v>[Cake] - Cashloan</v>
      </c>
      <c r="H5659" s="128" t="str">
        <f>VLOOKUP(source[[#This Row],[lending_product_transform]],[3]Mapping!$B$3:$D$37,3,0)</f>
        <v>cashloan</v>
      </c>
      <c r="I5659" s="135">
        <v>0</v>
      </c>
    </row>
    <row r="5660" spans="1:9" x14ac:dyDescent="0.2">
      <c r="A5660" s="134">
        <v>45735</v>
      </c>
      <c r="B5660" s="135">
        <f>YEAR(source[[#This Row],[report_date]])</f>
        <v>2025</v>
      </c>
      <c r="C5660" s="128">
        <f t="shared" si="262"/>
        <v>3</v>
      </c>
      <c r="D5660" s="136">
        <f t="shared" si="264"/>
        <v>12</v>
      </c>
      <c r="E5660" s="136">
        <f t="shared" si="263"/>
        <v>19</v>
      </c>
      <c r="F5660" s="128" t="s">
        <v>24</v>
      </c>
      <c r="G5660" s="128" t="str">
        <f>VLOOKUP(source[[#This Row],[lending_product_transform]],[3]Mapping!$B$4:$C$37,2,0)</f>
        <v>[Cake] - Cashloan</v>
      </c>
      <c r="H5660" s="128" t="str">
        <f>VLOOKUP(source[[#This Row],[lending_product_transform]],[3]Mapping!$B$3:$D$37,3,0)</f>
        <v>cashloan</v>
      </c>
      <c r="I5660" s="135">
        <v>6365580000</v>
      </c>
    </row>
    <row r="5661" spans="1:9" x14ac:dyDescent="0.2">
      <c r="A5661" s="134">
        <v>45735</v>
      </c>
      <c r="B5661" s="135">
        <f>YEAR(source[[#This Row],[report_date]])</f>
        <v>2025</v>
      </c>
      <c r="C5661" s="128">
        <f t="shared" si="262"/>
        <v>3</v>
      </c>
      <c r="D5661" s="136">
        <f t="shared" si="264"/>
        <v>12</v>
      </c>
      <c r="E5661" s="136">
        <f t="shared" si="263"/>
        <v>19</v>
      </c>
      <c r="F5661" s="128" t="s">
        <v>24</v>
      </c>
      <c r="G5661" s="128" t="str">
        <f>VLOOKUP(source[[#This Row],[lending_product_transform]],[3]Mapping!$B$4:$C$37,2,0)</f>
        <v>[Cake] - Cashloan</v>
      </c>
      <c r="H5661" s="128" t="str">
        <f>VLOOKUP(source[[#This Row],[lending_product_transform]],[3]Mapping!$B$3:$D$37,3,0)</f>
        <v>cashloan</v>
      </c>
      <c r="I5661" s="135">
        <v>0</v>
      </c>
    </row>
    <row r="5662" spans="1:9" x14ac:dyDescent="0.2">
      <c r="A5662" s="134">
        <v>45735</v>
      </c>
      <c r="B5662" s="135">
        <f>YEAR(source[[#This Row],[report_date]])</f>
        <v>2025</v>
      </c>
      <c r="C5662" s="128">
        <f t="shared" si="262"/>
        <v>3</v>
      </c>
      <c r="D5662" s="136">
        <f t="shared" si="264"/>
        <v>12</v>
      </c>
      <c r="E5662" s="136">
        <f t="shared" si="263"/>
        <v>19</v>
      </c>
      <c r="F5662" s="128" t="s">
        <v>24</v>
      </c>
      <c r="G5662" s="128" t="str">
        <f>VLOOKUP(source[[#This Row],[lending_product_transform]],[3]Mapping!$B$4:$C$37,2,0)</f>
        <v>[Cake] - Cashloan</v>
      </c>
      <c r="H5662" s="128" t="str">
        <f>VLOOKUP(source[[#This Row],[lending_product_transform]],[3]Mapping!$B$3:$D$37,3,0)</f>
        <v>cashloan</v>
      </c>
      <c r="I5662" s="135">
        <v>460980000</v>
      </c>
    </row>
    <row r="5663" spans="1:9" x14ac:dyDescent="0.2">
      <c r="A5663" s="134">
        <v>45735</v>
      </c>
      <c r="B5663" s="135">
        <f>YEAR(source[[#This Row],[report_date]])</f>
        <v>2025</v>
      </c>
      <c r="C5663" s="128">
        <f t="shared" si="262"/>
        <v>3</v>
      </c>
      <c r="D5663" s="136">
        <f t="shared" si="264"/>
        <v>12</v>
      </c>
      <c r="E5663" s="136">
        <f t="shared" si="263"/>
        <v>19</v>
      </c>
      <c r="F5663" s="128" t="s">
        <v>24</v>
      </c>
      <c r="G5663" s="128" t="str">
        <f>VLOOKUP(source[[#This Row],[lending_product_transform]],[3]Mapping!$B$4:$C$37,2,0)</f>
        <v>[Cake] - Cashloan</v>
      </c>
      <c r="H5663" s="128" t="str">
        <f>VLOOKUP(source[[#This Row],[lending_product_transform]],[3]Mapping!$B$3:$D$37,3,0)</f>
        <v>cashloan</v>
      </c>
      <c r="I5663" s="135">
        <v>96000000</v>
      </c>
    </row>
    <row r="5664" spans="1:9" x14ac:dyDescent="0.2">
      <c r="A5664" s="134">
        <v>45735</v>
      </c>
      <c r="B5664" s="135">
        <f>YEAR(source[[#This Row],[report_date]])</f>
        <v>2025</v>
      </c>
      <c r="C5664" s="128">
        <f t="shared" si="262"/>
        <v>3</v>
      </c>
      <c r="D5664" s="136">
        <f t="shared" si="264"/>
        <v>12</v>
      </c>
      <c r="E5664" s="136">
        <f t="shared" si="263"/>
        <v>19</v>
      </c>
      <c r="F5664" s="128" t="s">
        <v>24</v>
      </c>
      <c r="G5664" s="128" t="str">
        <f>VLOOKUP(source[[#This Row],[lending_product_transform]],[3]Mapping!$B$4:$C$37,2,0)</f>
        <v>[Cake] - Cashloan</v>
      </c>
      <c r="H5664" s="128" t="str">
        <f>VLOOKUP(source[[#This Row],[lending_product_transform]],[3]Mapping!$B$3:$D$37,3,0)</f>
        <v>cashloan</v>
      </c>
      <c r="I5664" s="135">
        <v>0</v>
      </c>
    </row>
    <row r="5665" spans="1:9" x14ac:dyDescent="0.2">
      <c r="A5665" s="134">
        <v>45735</v>
      </c>
      <c r="B5665" s="135">
        <f>YEAR(source[[#This Row],[report_date]])</f>
        <v>2025</v>
      </c>
      <c r="C5665" s="128">
        <f t="shared" si="262"/>
        <v>3</v>
      </c>
      <c r="D5665" s="136">
        <f t="shared" si="264"/>
        <v>12</v>
      </c>
      <c r="E5665" s="136">
        <f t="shared" si="263"/>
        <v>19</v>
      </c>
      <c r="F5665" s="128" t="s">
        <v>24</v>
      </c>
      <c r="G5665" s="128" t="str">
        <f>VLOOKUP(source[[#This Row],[lending_product_transform]],[3]Mapping!$B$4:$C$37,2,0)</f>
        <v>[Cake] - Cashloan</v>
      </c>
      <c r="H5665" s="128" t="str">
        <f>VLOOKUP(source[[#This Row],[lending_product_transform]],[3]Mapping!$B$3:$D$37,3,0)</f>
        <v>cashloan</v>
      </c>
      <c r="I5665" s="135">
        <v>10700000</v>
      </c>
    </row>
    <row r="5666" spans="1:9" x14ac:dyDescent="0.2">
      <c r="A5666" s="134">
        <v>45735</v>
      </c>
      <c r="B5666" s="135">
        <f>YEAR(source[[#This Row],[report_date]])</f>
        <v>2025</v>
      </c>
      <c r="C5666" s="128">
        <f t="shared" si="262"/>
        <v>3</v>
      </c>
      <c r="D5666" s="136">
        <f t="shared" si="264"/>
        <v>12</v>
      </c>
      <c r="E5666" s="136">
        <f t="shared" si="263"/>
        <v>19</v>
      </c>
      <c r="F5666" s="128" t="s">
        <v>24</v>
      </c>
      <c r="G5666" s="128" t="str">
        <f>VLOOKUP(source[[#This Row],[lending_product_transform]],[3]Mapping!$B$4:$C$37,2,0)</f>
        <v>[Cake] - Cashloan</v>
      </c>
      <c r="H5666" s="128" t="str">
        <f>VLOOKUP(source[[#This Row],[lending_product_transform]],[3]Mapping!$B$3:$D$37,3,0)</f>
        <v>cashloan</v>
      </c>
      <c r="I5666" s="135">
        <v>6140770000</v>
      </c>
    </row>
    <row r="5667" spans="1:9" x14ac:dyDescent="0.2">
      <c r="A5667" s="134">
        <v>45735</v>
      </c>
      <c r="B5667" s="135">
        <f>YEAR(source[[#This Row],[report_date]])</f>
        <v>2025</v>
      </c>
      <c r="C5667" s="128">
        <f t="shared" si="262"/>
        <v>3</v>
      </c>
      <c r="D5667" s="136">
        <f t="shared" si="264"/>
        <v>12</v>
      </c>
      <c r="E5667" s="136">
        <f t="shared" si="263"/>
        <v>19</v>
      </c>
      <c r="F5667" s="128" t="s">
        <v>24</v>
      </c>
      <c r="G5667" s="128" t="str">
        <f>VLOOKUP(source[[#This Row],[lending_product_transform]],[3]Mapping!$B$4:$C$37,2,0)</f>
        <v>[Cake] - Cashloan</v>
      </c>
      <c r="H5667" s="128" t="str">
        <f>VLOOKUP(source[[#This Row],[lending_product_transform]],[3]Mapping!$B$3:$D$37,3,0)</f>
        <v>cashloan</v>
      </c>
      <c r="I5667" s="135">
        <v>0</v>
      </c>
    </row>
    <row r="5668" spans="1:9" x14ac:dyDescent="0.2">
      <c r="A5668" s="134">
        <v>45735</v>
      </c>
      <c r="B5668" s="135">
        <f>YEAR(source[[#This Row],[report_date]])</f>
        <v>2025</v>
      </c>
      <c r="C5668" s="128">
        <f t="shared" si="262"/>
        <v>3</v>
      </c>
      <c r="D5668" s="136">
        <f t="shared" si="264"/>
        <v>12</v>
      </c>
      <c r="E5668" s="136">
        <f t="shared" si="263"/>
        <v>19</v>
      </c>
      <c r="F5668" s="128" t="s">
        <v>24</v>
      </c>
      <c r="G5668" s="128" t="str">
        <f>VLOOKUP(source[[#This Row],[lending_product_transform]],[3]Mapping!$B$4:$C$37,2,0)</f>
        <v>[Cake] - Cashloan</v>
      </c>
      <c r="H5668" s="128" t="str">
        <f>VLOOKUP(source[[#This Row],[lending_product_transform]],[3]Mapping!$B$3:$D$37,3,0)</f>
        <v>cashloan</v>
      </c>
      <c r="I5668" s="135">
        <v>31500000</v>
      </c>
    </row>
    <row r="5669" spans="1:9" x14ac:dyDescent="0.2">
      <c r="A5669" s="134">
        <v>45735</v>
      </c>
      <c r="B5669" s="135">
        <f>YEAR(source[[#This Row],[report_date]])</f>
        <v>2025</v>
      </c>
      <c r="C5669" s="128">
        <f t="shared" si="262"/>
        <v>3</v>
      </c>
      <c r="D5669" s="136">
        <f t="shared" si="264"/>
        <v>12</v>
      </c>
      <c r="E5669" s="136">
        <f t="shared" si="263"/>
        <v>19</v>
      </c>
      <c r="F5669" s="128" t="s">
        <v>24</v>
      </c>
      <c r="G5669" s="128" t="str">
        <f>VLOOKUP(source[[#This Row],[lending_product_transform]],[3]Mapping!$B$4:$C$37,2,0)</f>
        <v>[Cake] - Cashloan</v>
      </c>
      <c r="H5669" s="128" t="str">
        <f>VLOOKUP(source[[#This Row],[lending_product_transform]],[3]Mapping!$B$3:$D$37,3,0)</f>
        <v>cashloan</v>
      </c>
      <c r="I5669" s="135">
        <v>888290000</v>
      </c>
    </row>
    <row r="5670" spans="1:9" x14ac:dyDescent="0.2">
      <c r="A5670" s="134">
        <v>45735</v>
      </c>
      <c r="B5670" s="135">
        <f>YEAR(source[[#This Row],[report_date]])</f>
        <v>2025</v>
      </c>
      <c r="C5670" s="128">
        <f t="shared" si="262"/>
        <v>3</v>
      </c>
      <c r="D5670" s="136">
        <f t="shared" si="264"/>
        <v>12</v>
      </c>
      <c r="E5670" s="136">
        <f t="shared" si="263"/>
        <v>19</v>
      </c>
      <c r="F5670" s="128" t="s">
        <v>24</v>
      </c>
      <c r="G5670" s="128" t="str">
        <f>VLOOKUP(source[[#This Row],[lending_product_transform]],[3]Mapping!$B$4:$C$37,2,0)</f>
        <v>[Cake] - Cashloan</v>
      </c>
      <c r="H5670" s="128" t="str">
        <f>VLOOKUP(source[[#This Row],[lending_product_transform]],[3]Mapping!$B$3:$D$37,3,0)</f>
        <v>cashloan</v>
      </c>
      <c r="I5670" s="135">
        <v>267460254</v>
      </c>
    </row>
    <row r="5671" spans="1:9" x14ac:dyDescent="0.2">
      <c r="A5671" s="134">
        <v>45735</v>
      </c>
      <c r="B5671" s="135">
        <f>YEAR(source[[#This Row],[report_date]])</f>
        <v>2025</v>
      </c>
      <c r="C5671" s="128">
        <f t="shared" si="262"/>
        <v>3</v>
      </c>
      <c r="D5671" s="136">
        <f t="shared" si="264"/>
        <v>12</v>
      </c>
      <c r="E5671" s="136">
        <f t="shared" si="263"/>
        <v>19</v>
      </c>
      <c r="F5671" s="128" t="s">
        <v>24</v>
      </c>
      <c r="G5671" s="128" t="str">
        <f>VLOOKUP(source[[#This Row],[lending_product_transform]],[3]Mapping!$B$4:$C$37,2,0)</f>
        <v>[Cake] - Cashloan</v>
      </c>
      <c r="H5671" s="128" t="str">
        <f>VLOOKUP(source[[#This Row],[lending_product_transform]],[3]Mapping!$B$3:$D$37,3,0)</f>
        <v>cashloan</v>
      </c>
      <c r="I5671" s="135">
        <v>138218285</v>
      </c>
    </row>
    <row r="5672" spans="1:9" x14ac:dyDescent="0.2">
      <c r="A5672" s="134">
        <v>45735</v>
      </c>
      <c r="B5672" s="135">
        <f>YEAR(source[[#This Row],[report_date]])</f>
        <v>2025</v>
      </c>
      <c r="C5672" s="128">
        <f t="shared" si="262"/>
        <v>3</v>
      </c>
      <c r="D5672" s="136">
        <f t="shared" si="264"/>
        <v>12</v>
      </c>
      <c r="E5672" s="136">
        <f t="shared" si="263"/>
        <v>19</v>
      </c>
      <c r="F5672" s="128" t="s">
        <v>24</v>
      </c>
      <c r="G5672" s="128" t="str">
        <f>VLOOKUP(source[[#This Row],[lending_product_transform]],[3]Mapping!$B$4:$C$37,2,0)</f>
        <v>[Cake] - Cashloan</v>
      </c>
      <c r="H5672" s="128" t="str">
        <f>VLOOKUP(source[[#This Row],[lending_product_transform]],[3]Mapping!$B$3:$D$37,3,0)</f>
        <v>cashloan</v>
      </c>
      <c r="I5672" s="135">
        <v>18305316</v>
      </c>
    </row>
    <row r="5673" spans="1:9" x14ac:dyDescent="0.2">
      <c r="A5673" s="134">
        <v>45735</v>
      </c>
      <c r="B5673" s="135">
        <f>YEAR(source[[#This Row],[report_date]])</f>
        <v>2025</v>
      </c>
      <c r="C5673" s="128">
        <f t="shared" si="262"/>
        <v>3</v>
      </c>
      <c r="D5673" s="136">
        <f t="shared" si="264"/>
        <v>12</v>
      </c>
      <c r="E5673" s="136">
        <f t="shared" si="263"/>
        <v>19</v>
      </c>
      <c r="F5673" s="128" t="s">
        <v>24</v>
      </c>
      <c r="G5673" s="128" t="str">
        <f>VLOOKUP(source[[#This Row],[lending_product_transform]],[3]Mapping!$B$4:$C$37,2,0)</f>
        <v>[Cake] - Cashloan</v>
      </c>
      <c r="H5673" s="128" t="str">
        <f>VLOOKUP(source[[#This Row],[lending_product_transform]],[3]Mapping!$B$3:$D$37,3,0)</f>
        <v>cashloan</v>
      </c>
      <c r="I5673" s="135">
        <v>333941156</v>
      </c>
    </row>
    <row r="5674" spans="1:9" x14ac:dyDescent="0.2">
      <c r="A5674" s="134">
        <v>45735</v>
      </c>
      <c r="B5674" s="135">
        <f>YEAR(source[[#This Row],[report_date]])</f>
        <v>2025</v>
      </c>
      <c r="C5674" s="128">
        <f t="shared" si="262"/>
        <v>3</v>
      </c>
      <c r="D5674" s="136">
        <f t="shared" si="264"/>
        <v>12</v>
      </c>
      <c r="E5674" s="136">
        <f t="shared" si="263"/>
        <v>19</v>
      </c>
      <c r="F5674" s="128" t="s">
        <v>24</v>
      </c>
      <c r="G5674" s="128" t="str">
        <f>VLOOKUP(source[[#This Row],[lending_product_transform]],[3]Mapping!$B$4:$C$37,2,0)</f>
        <v>[Cake] - Cashloan</v>
      </c>
      <c r="H5674" s="128" t="str">
        <f>VLOOKUP(source[[#This Row],[lending_product_transform]],[3]Mapping!$B$3:$D$37,3,0)</f>
        <v>cashloan</v>
      </c>
      <c r="I5674" s="135">
        <v>2979629954</v>
      </c>
    </row>
    <row r="5675" spans="1:9" x14ac:dyDescent="0.2">
      <c r="A5675" s="134">
        <v>45736</v>
      </c>
      <c r="B5675" s="135">
        <f>YEAR(source[[#This Row],[report_date]])</f>
        <v>2025</v>
      </c>
      <c r="C5675" s="128">
        <f t="shared" si="262"/>
        <v>3</v>
      </c>
      <c r="D5675" s="136">
        <f t="shared" si="264"/>
        <v>12</v>
      </c>
      <c r="E5675" s="136">
        <f t="shared" si="263"/>
        <v>20</v>
      </c>
      <c r="F5675" s="128" t="s">
        <v>24</v>
      </c>
      <c r="G5675" s="128" t="str">
        <f>VLOOKUP(source[[#This Row],[lending_product_transform]],[3]Mapping!$B$4:$C$37,2,0)</f>
        <v>[Cake] - Cashloan</v>
      </c>
      <c r="H5675" s="128" t="str">
        <f>VLOOKUP(source[[#This Row],[lending_product_transform]],[3]Mapping!$B$3:$D$37,3,0)</f>
        <v>cashloan</v>
      </c>
      <c r="I5675" s="135">
        <v>53500000</v>
      </c>
    </row>
    <row r="5676" spans="1:9" x14ac:dyDescent="0.2">
      <c r="A5676" s="134">
        <v>45736</v>
      </c>
      <c r="B5676" s="135">
        <f>YEAR(source[[#This Row],[report_date]])</f>
        <v>2025</v>
      </c>
      <c r="C5676" s="128">
        <f t="shared" si="262"/>
        <v>3</v>
      </c>
      <c r="D5676" s="136">
        <f t="shared" si="264"/>
        <v>12</v>
      </c>
      <c r="E5676" s="136">
        <f t="shared" si="263"/>
        <v>20</v>
      </c>
      <c r="F5676" s="128" t="s">
        <v>24</v>
      </c>
      <c r="G5676" s="128" t="str">
        <f>VLOOKUP(source[[#This Row],[lending_product_transform]],[3]Mapping!$B$4:$C$37,2,0)</f>
        <v>[Cake] - Cashloan</v>
      </c>
      <c r="H5676" s="128" t="str">
        <f>VLOOKUP(source[[#This Row],[lending_product_transform]],[3]Mapping!$B$3:$D$37,3,0)</f>
        <v>cashloan</v>
      </c>
      <c r="I5676" s="135">
        <v>117399544</v>
      </c>
    </row>
    <row r="5677" spans="1:9" x14ac:dyDescent="0.2">
      <c r="A5677" s="134">
        <v>45736</v>
      </c>
      <c r="B5677" s="135">
        <f>YEAR(source[[#This Row],[report_date]])</f>
        <v>2025</v>
      </c>
      <c r="C5677" s="128">
        <f t="shared" si="262"/>
        <v>3</v>
      </c>
      <c r="D5677" s="136">
        <f t="shared" si="264"/>
        <v>12</v>
      </c>
      <c r="E5677" s="136">
        <f t="shared" si="263"/>
        <v>20</v>
      </c>
      <c r="F5677" s="128" t="s">
        <v>24</v>
      </c>
      <c r="G5677" s="128" t="str">
        <f>VLOOKUP(source[[#This Row],[lending_product_transform]],[3]Mapping!$B$4:$C$37,2,0)</f>
        <v>[Cake] - Cashloan</v>
      </c>
      <c r="H5677" s="128" t="str">
        <f>VLOOKUP(source[[#This Row],[lending_product_transform]],[3]Mapping!$B$3:$D$37,3,0)</f>
        <v>cashloan</v>
      </c>
      <c r="I5677" s="135">
        <v>5194500000</v>
      </c>
    </row>
    <row r="5678" spans="1:9" x14ac:dyDescent="0.2">
      <c r="A5678" s="134">
        <v>45736</v>
      </c>
      <c r="B5678" s="135">
        <f>YEAR(source[[#This Row],[report_date]])</f>
        <v>2025</v>
      </c>
      <c r="C5678" s="128">
        <f t="shared" si="262"/>
        <v>3</v>
      </c>
      <c r="D5678" s="136">
        <f t="shared" si="264"/>
        <v>12</v>
      </c>
      <c r="E5678" s="136">
        <f t="shared" si="263"/>
        <v>20</v>
      </c>
      <c r="F5678" s="128" t="s">
        <v>24</v>
      </c>
      <c r="G5678" s="128" t="str">
        <f>VLOOKUP(source[[#This Row],[lending_product_transform]],[3]Mapping!$B$4:$C$37,2,0)</f>
        <v>[Cake] - Cashloan</v>
      </c>
      <c r="H5678" s="128" t="str">
        <f>VLOOKUP(source[[#This Row],[lending_product_transform]],[3]Mapping!$B$3:$D$37,3,0)</f>
        <v>cashloan</v>
      </c>
      <c r="I5678" s="135">
        <v>11677366</v>
      </c>
    </row>
    <row r="5679" spans="1:9" x14ac:dyDescent="0.2">
      <c r="A5679" s="134">
        <v>45736</v>
      </c>
      <c r="B5679" s="135">
        <f>YEAR(source[[#This Row],[report_date]])</f>
        <v>2025</v>
      </c>
      <c r="C5679" s="128">
        <f t="shared" si="262"/>
        <v>3</v>
      </c>
      <c r="D5679" s="136">
        <f t="shared" si="264"/>
        <v>12</v>
      </c>
      <c r="E5679" s="136">
        <f t="shared" si="263"/>
        <v>20</v>
      </c>
      <c r="F5679" s="128" t="s">
        <v>24</v>
      </c>
      <c r="G5679" s="128" t="str">
        <f>VLOOKUP(source[[#This Row],[lending_product_transform]],[3]Mapping!$B$4:$C$37,2,0)</f>
        <v>[Cake] - Cashloan</v>
      </c>
      <c r="H5679" s="128" t="str">
        <f>VLOOKUP(source[[#This Row],[lending_product_transform]],[3]Mapping!$B$3:$D$37,3,0)</f>
        <v>cashloan</v>
      </c>
      <c r="I5679" s="135">
        <v>157300000</v>
      </c>
    </row>
    <row r="5680" spans="1:9" x14ac:dyDescent="0.2">
      <c r="A5680" s="134">
        <v>45736</v>
      </c>
      <c r="B5680" s="135">
        <f>YEAR(source[[#This Row],[report_date]])</f>
        <v>2025</v>
      </c>
      <c r="C5680" s="128">
        <f t="shared" si="262"/>
        <v>3</v>
      </c>
      <c r="D5680" s="136">
        <f t="shared" si="264"/>
        <v>12</v>
      </c>
      <c r="E5680" s="136">
        <f t="shared" si="263"/>
        <v>20</v>
      </c>
      <c r="F5680" s="128" t="s">
        <v>24</v>
      </c>
      <c r="G5680" s="128" t="str">
        <f>VLOOKUP(source[[#This Row],[lending_product_transform]],[3]Mapping!$B$4:$C$37,2,0)</f>
        <v>[Cake] - Cashloan</v>
      </c>
      <c r="H5680" s="128" t="str">
        <f>VLOOKUP(source[[#This Row],[lending_product_transform]],[3]Mapping!$B$3:$D$37,3,0)</f>
        <v>cashloan</v>
      </c>
      <c r="I5680" s="135">
        <v>6670710000</v>
      </c>
    </row>
    <row r="5681" spans="1:9" x14ac:dyDescent="0.2">
      <c r="A5681" s="134">
        <v>45736</v>
      </c>
      <c r="B5681" s="135">
        <f>YEAR(source[[#This Row],[report_date]])</f>
        <v>2025</v>
      </c>
      <c r="C5681" s="128">
        <f t="shared" si="262"/>
        <v>3</v>
      </c>
      <c r="D5681" s="136">
        <f t="shared" si="264"/>
        <v>12</v>
      </c>
      <c r="E5681" s="136">
        <f t="shared" si="263"/>
        <v>20</v>
      </c>
      <c r="F5681" s="128" t="s">
        <v>24</v>
      </c>
      <c r="G5681" s="128" t="str">
        <f>VLOOKUP(source[[#This Row],[lending_product_transform]],[3]Mapping!$B$4:$C$37,2,0)</f>
        <v>[Cake] - Cashloan</v>
      </c>
      <c r="H5681" s="128" t="str">
        <f>VLOOKUP(source[[#This Row],[lending_product_transform]],[3]Mapping!$B$3:$D$37,3,0)</f>
        <v>cashloan</v>
      </c>
      <c r="I5681" s="135">
        <v>65000000</v>
      </c>
    </row>
    <row r="5682" spans="1:9" x14ac:dyDescent="0.2">
      <c r="A5682" s="134">
        <v>45736</v>
      </c>
      <c r="B5682" s="135">
        <f>YEAR(source[[#This Row],[report_date]])</f>
        <v>2025</v>
      </c>
      <c r="C5682" s="128">
        <f t="shared" si="262"/>
        <v>3</v>
      </c>
      <c r="D5682" s="136">
        <f t="shared" si="264"/>
        <v>12</v>
      </c>
      <c r="E5682" s="136">
        <f t="shared" si="263"/>
        <v>20</v>
      </c>
      <c r="F5682" s="128" t="s">
        <v>24</v>
      </c>
      <c r="G5682" s="128" t="str">
        <f>VLOOKUP(source[[#This Row],[lending_product_transform]],[3]Mapping!$B$4:$C$37,2,0)</f>
        <v>[Cake] - Cashloan</v>
      </c>
      <c r="H5682" s="128" t="str">
        <f>VLOOKUP(source[[#This Row],[lending_product_transform]],[3]Mapping!$B$3:$D$37,3,0)</f>
        <v>cashloan</v>
      </c>
      <c r="I5682" s="135">
        <v>21400000</v>
      </c>
    </row>
    <row r="5683" spans="1:9" x14ac:dyDescent="0.2">
      <c r="A5683" s="134">
        <v>45736</v>
      </c>
      <c r="B5683" s="135">
        <f>YEAR(source[[#This Row],[report_date]])</f>
        <v>2025</v>
      </c>
      <c r="C5683" s="128">
        <f t="shared" si="262"/>
        <v>3</v>
      </c>
      <c r="D5683" s="136">
        <f t="shared" si="264"/>
        <v>12</v>
      </c>
      <c r="E5683" s="136">
        <f t="shared" si="263"/>
        <v>20</v>
      </c>
      <c r="F5683" s="128" t="s">
        <v>24</v>
      </c>
      <c r="G5683" s="128" t="str">
        <f>VLOOKUP(source[[#This Row],[lending_product_transform]],[3]Mapping!$B$4:$C$37,2,0)</f>
        <v>[Cake] - Cashloan</v>
      </c>
      <c r="H5683" s="128" t="str">
        <f>VLOOKUP(source[[#This Row],[lending_product_transform]],[3]Mapping!$B$3:$D$37,3,0)</f>
        <v>cashloan</v>
      </c>
      <c r="I5683" s="135">
        <v>0</v>
      </c>
    </row>
    <row r="5684" spans="1:9" x14ac:dyDescent="0.2">
      <c r="A5684" s="134">
        <v>45736</v>
      </c>
      <c r="B5684" s="135">
        <f>YEAR(source[[#This Row],[report_date]])</f>
        <v>2025</v>
      </c>
      <c r="C5684" s="128">
        <f t="shared" si="262"/>
        <v>3</v>
      </c>
      <c r="D5684" s="136">
        <f t="shared" si="264"/>
        <v>12</v>
      </c>
      <c r="E5684" s="136">
        <f t="shared" si="263"/>
        <v>20</v>
      </c>
      <c r="F5684" s="128" t="s">
        <v>24</v>
      </c>
      <c r="G5684" s="128" t="str">
        <f>VLOOKUP(source[[#This Row],[lending_product_transform]],[3]Mapping!$B$4:$C$37,2,0)</f>
        <v>[Cake] - Cashloan</v>
      </c>
      <c r="H5684" s="128" t="str">
        <f>VLOOKUP(source[[#This Row],[lending_product_transform]],[3]Mapping!$B$3:$D$37,3,0)</f>
        <v>cashloan</v>
      </c>
      <c r="I5684" s="135">
        <v>0</v>
      </c>
    </row>
    <row r="5685" spans="1:9" x14ac:dyDescent="0.2">
      <c r="A5685" s="134">
        <v>45736</v>
      </c>
      <c r="B5685" s="135">
        <f>YEAR(source[[#This Row],[report_date]])</f>
        <v>2025</v>
      </c>
      <c r="C5685" s="128">
        <f t="shared" si="262"/>
        <v>3</v>
      </c>
      <c r="D5685" s="136">
        <f t="shared" si="264"/>
        <v>12</v>
      </c>
      <c r="E5685" s="136">
        <f t="shared" si="263"/>
        <v>20</v>
      </c>
      <c r="F5685" s="128" t="s">
        <v>24</v>
      </c>
      <c r="G5685" s="128" t="str">
        <f>VLOOKUP(source[[#This Row],[lending_product_transform]],[3]Mapping!$B$4:$C$37,2,0)</f>
        <v>[Cake] - Cashloan</v>
      </c>
      <c r="H5685" s="128" t="str">
        <f>VLOOKUP(source[[#This Row],[lending_product_transform]],[3]Mapping!$B$3:$D$37,3,0)</f>
        <v>cashloan</v>
      </c>
      <c r="I5685" s="135">
        <v>0</v>
      </c>
    </row>
    <row r="5686" spans="1:9" x14ac:dyDescent="0.2">
      <c r="A5686" s="134">
        <v>45736</v>
      </c>
      <c r="B5686" s="135">
        <f>YEAR(source[[#This Row],[report_date]])</f>
        <v>2025</v>
      </c>
      <c r="C5686" s="128">
        <f t="shared" ref="C5686:C5749" si="265">MONTH(A5686)</f>
        <v>3</v>
      </c>
      <c r="D5686" s="136">
        <f t="shared" si="264"/>
        <v>12</v>
      </c>
      <c r="E5686" s="136">
        <f t="shared" ref="E5686:E5749" si="266">DAY(A5686)</f>
        <v>20</v>
      </c>
      <c r="F5686" s="128" t="s">
        <v>24</v>
      </c>
      <c r="G5686" s="128" t="str">
        <f>VLOOKUP(source[[#This Row],[lending_product_transform]],[3]Mapping!$B$4:$C$37,2,0)</f>
        <v>[Cake] - Cashloan</v>
      </c>
      <c r="H5686" s="128" t="str">
        <f>VLOOKUP(source[[#This Row],[lending_product_transform]],[3]Mapping!$B$3:$D$37,3,0)</f>
        <v>cashloan</v>
      </c>
      <c r="I5686" s="135">
        <v>342010000</v>
      </c>
    </row>
    <row r="5687" spans="1:9" x14ac:dyDescent="0.2">
      <c r="A5687" s="134">
        <v>45736</v>
      </c>
      <c r="B5687" s="135">
        <f>YEAR(source[[#This Row],[report_date]])</f>
        <v>2025</v>
      </c>
      <c r="C5687" s="128">
        <f t="shared" si="265"/>
        <v>3</v>
      </c>
      <c r="D5687" s="136">
        <f t="shared" si="264"/>
        <v>12</v>
      </c>
      <c r="E5687" s="136">
        <f t="shared" si="266"/>
        <v>20</v>
      </c>
      <c r="F5687" s="128" t="s">
        <v>24</v>
      </c>
      <c r="G5687" s="128" t="str">
        <f>VLOOKUP(source[[#This Row],[lending_product_transform]],[3]Mapping!$B$4:$C$37,2,0)</f>
        <v>[Cake] - Cashloan</v>
      </c>
      <c r="H5687" s="128" t="str">
        <f>VLOOKUP(source[[#This Row],[lending_product_transform]],[3]Mapping!$B$3:$D$37,3,0)</f>
        <v>cashloan</v>
      </c>
      <c r="I5687" s="135">
        <v>10500000</v>
      </c>
    </row>
    <row r="5688" spans="1:9" x14ac:dyDescent="0.2">
      <c r="A5688" s="134">
        <v>45736</v>
      </c>
      <c r="B5688" s="135">
        <f>YEAR(source[[#This Row],[report_date]])</f>
        <v>2025</v>
      </c>
      <c r="C5688" s="128">
        <f t="shared" si="265"/>
        <v>3</v>
      </c>
      <c r="D5688" s="136">
        <f t="shared" si="264"/>
        <v>12</v>
      </c>
      <c r="E5688" s="136">
        <f t="shared" si="266"/>
        <v>20</v>
      </c>
      <c r="F5688" s="128" t="s">
        <v>24</v>
      </c>
      <c r="G5688" s="128" t="str">
        <f>VLOOKUP(source[[#This Row],[lending_product_transform]],[3]Mapping!$B$4:$C$37,2,0)</f>
        <v>[Cake] - Cashloan</v>
      </c>
      <c r="H5688" s="128" t="str">
        <f>VLOOKUP(source[[#This Row],[lending_product_transform]],[3]Mapping!$B$3:$D$37,3,0)</f>
        <v>cashloan</v>
      </c>
      <c r="I5688" s="135">
        <v>310415168</v>
      </c>
    </row>
    <row r="5689" spans="1:9" x14ac:dyDescent="0.2">
      <c r="A5689" s="134">
        <v>45736</v>
      </c>
      <c r="B5689" s="135">
        <f>YEAR(source[[#This Row],[report_date]])</f>
        <v>2025</v>
      </c>
      <c r="C5689" s="128">
        <f t="shared" si="265"/>
        <v>3</v>
      </c>
      <c r="D5689" s="136">
        <f t="shared" si="264"/>
        <v>12</v>
      </c>
      <c r="E5689" s="136">
        <f t="shared" si="266"/>
        <v>20</v>
      </c>
      <c r="F5689" s="128" t="s">
        <v>24</v>
      </c>
      <c r="G5689" s="128" t="str">
        <f>VLOOKUP(source[[#This Row],[lending_product_transform]],[3]Mapping!$B$4:$C$37,2,0)</f>
        <v>[Cake] - Cashloan</v>
      </c>
      <c r="H5689" s="128" t="str">
        <f>VLOOKUP(source[[#This Row],[lending_product_transform]],[3]Mapping!$B$3:$D$37,3,0)</f>
        <v>cashloan</v>
      </c>
      <c r="I5689" s="135">
        <v>3387449629</v>
      </c>
    </row>
    <row r="5690" spans="1:9" x14ac:dyDescent="0.2">
      <c r="A5690" s="134">
        <v>45736</v>
      </c>
      <c r="B5690" s="135">
        <f>YEAR(source[[#This Row],[report_date]])</f>
        <v>2025</v>
      </c>
      <c r="C5690" s="128">
        <f t="shared" si="265"/>
        <v>3</v>
      </c>
      <c r="D5690" s="136">
        <f t="shared" si="264"/>
        <v>12</v>
      </c>
      <c r="E5690" s="136">
        <f t="shared" si="266"/>
        <v>20</v>
      </c>
      <c r="F5690" s="128" t="s">
        <v>24</v>
      </c>
      <c r="G5690" s="128" t="str">
        <f>VLOOKUP(source[[#This Row],[lending_product_transform]],[3]Mapping!$B$4:$C$37,2,0)</f>
        <v>[Cake] - Cashloan</v>
      </c>
      <c r="H5690" s="128" t="str">
        <f>VLOOKUP(source[[#This Row],[lending_product_transform]],[3]Mapping!$B$3:$D$37,3,0)</f>
        <v>cashloan</v>
      </c>
      <c r="I5690" s="135">
        <v>325836356</v>
      </c>
    </row>
    <row r="5691" spans="1:9" x14ac:dyDescent="0.2">
      <c r="A5691" s="134">
        <v>45736</v>
      </c>
      <c r="B5691" s="135">
        <f>YEAR(source[[#This Row],[report_date]])</f>
        <v>2025</v>
      </c>
      <c r="C5691" s="128">
        <f t="shared" si="265"/>
        <v>3</v>
      </c>
      <c r="D5691" s="136">
        <f t="shared" si="264"/>
        <v>12</v>
      </c>
      <c r="E5691" s="136">
        <f t="shared" si="266"/>
        <v>20</v>
      </c>
      <c r="F5691" s="128" t="s">
        <v>24</v>
      </c>
      <c r="G5691" s="128" t="str">
        <f>VLOOKUP(source[[#This Row],[lending_product_transform]],[3]Mapping!$B$4:$C$37,2,0)</f>
        <v>[Cake] - Cashloan</v>
      </c>
      <c r="H5691" s="128" t="str">
        <f>VLOOKUP(source[[#This Row],[lending_product_transform]],[3]Mapping!$B$3:$D$37,3,0)</f>
        <v>cashloan</v>
      </c>
      <c r="I5691" s="135">
        <v>6017000000</v>
      </c>
    </row>
    <row r="5692" spans="1:9" x14ac:dyDescent="0.2">
      <c r="A5692" s="134">
        <v>45736</v>
      </c>
      <c r="B5692" s="135">
        <f>YEAR(source[[#This Row],[report_date]])</f>
        <v>2025</v>
      </c>
      <c r="C5692" s="128">
        <f t="shared" si="265"/>
        <v>3</v>
      </c>
      <c r="D5692" s="136">
        <f t="shared" si="264"/>
        <v>12</v>
      </c>
      <c r="E5692" s="136">
        <f t="shared" si="266"/>
        <v>20</v>
      </c>
      <c r="F5692" s="128" t="s">
        <v>24</v>
      </c>
      <c r="G5692" s="128" t="str">
        <f>VLOOKUP(source[[#This Row],[lending_product_transform]],[3]Mapping!$B$4:$C$37,2,0)</f>
        <v>[Cake] - Cashloan</v>
      </c>
      <c r="H5692" s="128" t="str">
        <f>VLOOKUP(source[[#This Row],[lending_product_transform]],[3]Mapping!$B$3:$D$37,3,0)</f>
        <v>cashloan</v>
      </c>
      <c r="I5692" s="135">
        <v>753770000</v>
      </c>
    </row>
    <row r="5693" spans="1:9" x14ac:dyDescent="0.2">
      <c r="A5693" s="134">
        <v>45737</v>
      </c>
      <c r="B5693" s="135">
        <f>YEAR(source[[#This Row],[report_date]])</f>
        <v>2025</v>
      </c>
      <c r="C5693" s="128">
        <f t="shared" si="265"/>
        <v>3</v>
      </c>
      <c r="D5693" s="136">
        <f t="shared" si="264"/>
        <v>12</v>
      </c>
      <c r="E5693" s="136">
        <f t="shared" si="266"/>
        <v>21</v>
      </c>
      <c r="F5693" s="128" t="s">
        <v>24</v>
      </c>
      <c r="G5693" s="128" t="str">
        <f>VLOOKUP(source[[#This Row],[lending_product_transform]],[3]Mapping!$B$4:$C$37,2,0)</f>
        <v>[Cake] - Cashloan</v>
      </c>
      <c r="H5693" s="128" t="str">
        <f>VLOOKUP(source[[#This Row],[lending_product_transform]],[3]Mapping!$B$3:$D$37,3,0)</f>
        <v>cashloan</v>
      </c>
      <c r="I5693" s="135">
        <v>368888775</v>
      </c>
    </row>
    <row r="5694" spans="1:9" x14ac:dyDescent="0.2">
      <c r="A5694" s="134">
        <v>45737</v>
      </c>
      <c r="B5694" s="135">
        <f>YEAR(source[[#This Row],[report_date]])</f>
        <v>2025</v>
      </c>
      <c r="C5694" s="128">
        <f t="shared" si="265"/>
        <v>3</v>
      </c>
      <c r="D5694" s="136">
        <f t="shared" si="264"/>
        <v>12</v>
      </c>
      <c r="E5694" s="136">
        <f t="shared" si="266"/>
        <v>21</v>
      </c>
      <c r="F5694" s="128" t="s">
        <v>24</v>
      </c>
      <c r="G5694" s="128" t="str">
        <f>VLOOKUP(source[[#This Row],[lending_product_transform]],[3]Mapping!$B$4:$C$37,2,0)</f>
        <v>[Cake] - Cashloan</v>
      </c>
      <c r="H5694" s="128" t="str">
        <f>VLOOKUP(source[[#This Row],[lending_product_transform]],[3]Mapping!$B$3:$D$37,3,0)</f>
        <v>cashloan</v>
      </c>
      <c r="I5694" s="135">
        <v>7414510000</v>
      </c>
    </row>
    <row r="5695" spans="1:9" x14ac:dyDescent="0.2">
      <c r="A5695" s="134">
        <v>45737</v>
      </c>
      <c r="B5695" s="135">
        <f>YEAR(source[[#This Row],[report_date]])</f>
        <v>2025</v>
      </c>
      <c r="C5695" s="128">
        <f t="shared" si="265"/>
        <v>3</v>
      </c>
      <c r="D5695" s="136">
        <f t="shared" si="264"/>
        <v>12</v>
      </c>
      <c r="E5695" s="136">
        <f t="shared" si="266"/>
        <v>21</v>
      </c>
      <c r="F5695" s="128" t="s">
        <v>24</v>
      </c>
      <c r="G5695" s="128" t="str">
        <f>VLOOKUP(source[[#This Row],[lending_product_transform]],[3]Mapping!$B$4:$C$37,2,0)</f>
        <v>[Cake] - Cashloan</v>
      </c>
      <c r="H5695" s="128" t="str">
        <f>VLOOKUP(source[[#This Row],[lending_product_transform]],[3]Mapping!$B$3:$D$37,3,0)</f>
        <v>cashloan</v>
      </c>
      <c r="I5695" s="135">
        <v>3578778101</v>
      </c>
    </row>
    <row r="5696" spans="1:9" x14ac:dyDescent="0.2">
      <c r="A5696" s="134">
        <v>45737</v>
      </c>
      <c r="B5696" s="135">
        <f>YEAR(source[[#This Row],[report_date]])</f>
        <v>2025</v>
      </c>
      <c r="C5696" s="128">
        <f t="shared" si="265"/>
        <v>3</v>
      </c>
      <c r="D5696" s="136">
        <f t="shared" si="264"/>
        <v>12</v>
      </c>
      <c r="E5696" s="136">
        <f t="shared" si="266"/>
        <v>21</v>
      </c>
      <c r="F5696" s="128" t="s">
        <v>24</v>
      </c>
      <c r="G5696" s="128" t="str">
        <f>VLOOKUP(source[[#This Row],[lending_product_transform]],[3]Mapping!$B$4:$C$37,2,0)</f>
        <v>[Cake] - Cashloan</v>
      </c>
      <c r="H5696" s="128" t="str">
        <f>VLOOKUP(source[[#This Row],[lending_product_transform]],[3]Mapping!$B$3:$D$37,3,0)</f>
        <v>cashloan</v>
      </c>
      <c r="I5696" s="135">
        <v>162610512</v>
      </c>
    </row>
    <row r="5697" spans="1:9" x14ac:dyDescent="0.2">
      <c r="A5697" s="134">
        <v>45737</v>
      </c>
      <c r="B5697" s="135">
        <f>YEAR(source[[#This Row],[report_date]])</f>
        <v>2025</v>
      </c>
      <c r="C5697" s="128">
        <f t="shared" si="265"/>
        <v>3</v>
      </c>
      <c r="D5697" s="136">
        <f t="shared" si="264"/>
        <v>12</v>
      </c>
      <c r="E5697" s="136">
        <f t="shared" si="266"/>
        <v>21</v>
      </c>
      <c r="F5697" s="128" t="s">
        <v>24</v>
      </c>
      <c r="G5697" s="128" t="str">
        <f>VLOOKUP(source[[#This Row],[lending_product_transform]],[3]Mapping!$B$4:$C$37,2,0)</f>
        <v>[Cake] - Cashloan</v>
      </c>
      <c r="H5697" s="128" t="str">
        <f>VLOOKUP(source[[#This Row],[lending_product_transform]],[3]Mapping!$B$3:$D$37,3,0)</f>
        <v>cashloan</v>
      </c>
      <c r="I5697" s="135">
        <v>0</v>
      </c>
    </row>
    <row r="5698" spans="1:9" x14ac:dyDescent="0.2">
      <c r="A5698" s="134">
        <v>45737</v>
      </c>
      <c r="B5698" s="135">
        <f>YEAR(source[[#This Row],[report_date]])</f>
        <v>2025</v>
      </c>
      <c r="C5698" s="128">
        <f t="shared" si="265"/>
        <v>3</v>
      </c>
      <c r="D5698" s="136">
        <f t="shared" si="264"/>
        <v>12</v>
      </c>
      <c r="E5698" s="136">
        <f t="shared" si="266"/>
        <v>21</v>
      </c>
      <c r="F5698" s="128" t="s">
        <v>24</v>
      </c>
      <c r="G5698" s="128" t="str">
        <f>VLOOKUP(source[[#This Row],[lending_product_transform]],[3]Mapping!$B$4:$C$37,2,0)</f>
        <v>[Cake] - Cashloan</v>
      </c>
      <c r="H5698" s="128" t="str">
        <f>VLOOKUP(source[[#This Row],[lending_product_transform]],[3]Mapping!$B$3:$D$37,3,0)</f>
        <v>cashloan</v>
      </c>
      <c r="I5698" s="135">
        <v>25912884</v>
      </c>
    </row>
    <row r="5699" spans="1:9" x14ac:dyDescent="0.2">
      <c r="A5699" s="134">
        <v>45737</v>
      </c>
      <c r="B5699" s="135">
        <f>YEAR(source[[#This Row],[report_date]])</f>
        <v>2025</v>
      </c>
      <c r="C5699" s="128">
        <f t="shared" si="265"/>
        <v>3</v>
      </c>
      <c r="D5699" s="136">
        <f t="shared" ref="D5699:D5762" si="267">WEEKNUM(A5699,2)</f>
        <v>12</v>
      </c>
      <c r="E5699" s="136">
        <f t="shared" si="266"/>
        <v>21</v>
      </c>
      <c r="F5699" s="128" t="s">
        <v>24</v>
      </c>
      <c r="G5699" s="128" t="str">
        <f>VLOOKUP(source[[#This Row],[lending_product_transform]],[3]Mapping!$B$4:$C$37,2,0)</f>
        <v>[Cake] - Cashloan</v>
      </c>
      <c r="H5699" s="128" t="str">
        <f>VLOOKUP(source[[#This Row],[lending_product_transform]],[3]Mapping!$B$3:$D$37,3,0)</f>
        <v>cashloan</v>
      </c>
      <c r="I5699" s="135">
        <v>63000000</v>
      </c>
    </row>
    <row r="5700" spans="1:9" x14ac:dyDescent="0.2">
      <c r="A5700" s="134">
        <v>45737</v>
      </c>
      <c r="B5700" s="135">
        <f>YEAR(source[[#This Row],[report_date]])</f>
        <v>2025</v>
      </c>
      <c r="C5700" s="128">
        <f t="shared" si="265"/>
        <v>3</v>
      </c>
      <c r="D5700" s="136">
        <f t="shared" si="267"/>
        <v>12</v>
      </c>
      <c r="E5700" s="136">
        <f t="shared" si="266"/>
        <v>21</v>
      </c>
      <c r="F5700" s="128" t="s">
        <v>24</v>
      </c>
      <c r="G5700" s="128" t="str">
        <f>VLOOKUP(source[[#This Row],[lending_product_transform]],[3]Mapping!$B$4:$C$37,2,0)</f>
        <v>[Cake] - Cashloan</v>
      </c>
      <c r="H5700" s="128" t="str">
        <f>VLOOKUP(source[[#This Row],[lending_product_transform]],[3]Mapping!$B$3:$D$37,3,0)</f>
        <v>cashloan</v>
      </c>
      <c r="I5700" s="135">
        <v>121000000</v>
      </c>
    </row>
    <row r="5701" spans="1:9" x14ac:dyDescent="0.2">
      <c r="A5701" s="134">
        <v>45737</v>
      </c>
      <c r="B5701" s="135">
        <f>YEAR(source[[#This Row],[report_date]])</f>
        <v>2025</v>
      </c>
      <c r="C5701" s="128">
        <f t="shared" si="265"/>
        <v>3</v>
      </c>
      <c r="D5701" s="136">
        <f t="shared" si="267"/>
        <v>12</v>
      </c>
      <c r="E5701" s="136">
        <f t="shared" si="266"/>
        <v>21</v>
      </c>
      <c r="F5701" s="128" t="s">
        <v>24</v>
      </c>
      <c r="G5701" s="128" t="str">
        <f>VLOOKUP(source[[#This Row],[lending_product_transform]],[3]Mapping!$B$4:$C$37,2,0)</f>
        <v>[Cake] - Cashloan</v>
      </c>
      <c r="H5701" s="128" t="str">
        <f>VLOOKUP(source[[#This Row],[lending_product_transform]],[3]Mapping!$B$3:$D$37,3,0)</f>
        <v>cashloan</v>
      </c>
      <c r="I5701" s="135">
        <v>0</v>
      </c>
    </row>
    <row r="5702" spans="1:9" x14ac:dyDescent="0.2">
      <c r="A5702" s="134">
        <v>45737</v>
      </c>
      <c r="B5702" s="135">
        <f>YEAR(source[[#This Row],[report_date]])</f>
        <v>2025</v>
      </c>
      <c r="C5702" s="128">
        <f t="shared" si="265"/>
        <v>3</v>
      </c>
      <c r="D5702" s="136">
        <f t="shared" si="267"/>
        <v>12</v>
      </c>
      <c r="E5702" s="136">
        <f t="shared" si="266"/>
        <v>21</v>
      </c>
      <c r="F5702" s="128" t="s">
        <v>24</v>
      </c>
      <c r="G5702" s="128" t="str">
        <f>VLOOKUP(source[[#This Row],[lending_product_transform]],[3]Mapping!$B$4:$C$37,2,0)</f>
        <v>[Cake] - Cashloan</v>
      </c>
      <c r="H5702" s="128" t="str">
        <f>VLOOKUP(source[[#This Row],[lending_product_transform]],[3]Mapping!$B$3:$D$37,3,0)</f>
        <v>cashloan</v>
      </c>
      <c r="I5702" s="135">
        <v>0</v>
      </c>
    </row>
    <row r="5703" spans="1:9" x14ac:dyDescent="0.2">
      <c r="A5703" s="134">
        <v>45737</v>
      </c>
      <c r="B5703" s="135">
        <f>YEAR(source[[#This Row],[report_date]])</f>
        <v>2025</v>
      </c>
      <c r="C5703" s="128">
        <f t="shared" si="265"/>
        <v>3</v>
      </c>
      <c r="D5703" s="136">
        <f t="shared" si="267"/>
        <v>12</v>
      </c>
      <c r="E5703" s="136">
        <f t="shared" si="266"/>
        <v>21</v>
      </c>
      <c r="F5703" s="128" t="s">
        <v>24</v>
      </c>
      <c r="G5703" s="128" t="str">
        <f>VLOOKUP(source[[#This Row],[lending_product_transform]],[3]Mapping!$B$4:$C$37,2,0)</f>
        <v>[Cake] - Cashloan</v>
      </c>
      <c r="H5703" s="128" t="str">
        <f>VLOOKUP(source[[#This Row],[lending_product_transform]],[3]Mapping!$B$3:$D$37,3,0)</f>
        <v>cashloan</v>
      </c>
      <c r="I5703" s="135">
        <v>10000000</v>
      </c>
    </row>
    <row r="5704" spans="1:9" x14ac:dyDescent="0.2">
      <c r="A5704" s="134">
        <v>45737</v>
      </c>
      <c r="B5704" s="135">
        <f>YEAR(source[[#This Row],[report_date]])</f>
        <v>2025</v>
      </c>
      <c r="C5704" s="128">
        <f t="shared" si="265"/>
        <v>3</v>
      </c>
      <c r="D5704" s="136">
        <f t="shared" si="267"/>
        <v>12</v>
      </c>
      <c r="E5704" s="136">
        <f t="shared" si="266"/>
        <v>21</v>
      </c>
      <c r="F5704" s="128" t="s">
        <v>24</v>
      </c>
      <c r="G5704" s="128" t="str">
        <f>VLOOKUP(source[[#This Row],[lending_product_transform]],[3]Mapping!$B$4:$C$37,2,0)</f>
        <v>[Cake] - Cashloan</v>
      </c>
      <c r="H5704" s="128" t="str">
        <f>VLOOKUP(source[[#This Row],[lending_product_transform]],[3]Mapping!$B$3:$D$37,3,0)</f>
        <v>cashloan</v>
      </c>
      <c r="I5704" s="135">
        <v>13910000</v>
      </c>
    </row>
    <row r="5705" spans="1:9" x14ac:dyDescent="0.2">
      <c r="A5705" s="134">
        <v>45737</v>
      </c>
      <c r="B5705" s="135">
        <f>YEAR(source[[#This Row],[report_date]])</f>
        <v>2025</v>
      </c>
      <c r="C5705" s="128">
        <f t="shared" si="265"/>
        <v>3</v>
      </c>
      <c r="D5705" s="136">
        <f t="shared" si="267"/>
        <v>12</v>
      </c>
      <c r="E5705" s="136">
        <f t="shared" si="266"/>
        <v>21</v>
      </c>
      <c r="F5705" s="128" t="s">
        <v>24</v>
      </c>
      <c r="G5705" s="128" t="str">
        <f>VLOOKUP(source[[#This Row],[lending_product_transform]],[3]Mapping!$B$4:$C$37,2,0)</f>
        <v>[Cake] - Cashloan</v>
      </c>
      <c r="H5705" s="128" t="str">
        <f>VLOOKUP(source[[#This Row],[lending_product_transform]],[3]Mapping!$B$3:$D$37,3,0)</f>
        <v>cashloan</v>
      </c>
      <c r="I5705" s="135">
        <v>0</v>
      </c>
    </row>
    <row r="5706" spans="1:9" x14ac:dyDescent="0.2">
      <c r="A5706" s="134">
        <v>45737</v>
      </c>
      <c r="B5706" s="135">
        <f>YEAR(source[[#This Row],[report_date]])</f>
        <v>2025</v>
      </c>
      <c r="C5706" s="128">
        <f t="shared" si="265"/>
        <v>3</v>
      </c>
      <c r="D5706" s="136">
        <f t="shared" si="267"/>
        <v>12</v>
      </c>
      <c r="E5706" s="136">
        <f t="shared" si="266"/>
        <v>21</v>
      </c>
      <c r="F5706" s="128" t="s">
        <v>24</v>
      </c>
      <c r="G5706" s="128" t="str">
        <f>VLOOKUP(source[[#This Row],[lending_product_transform]],[3]Mapping!$B$4:$C$37,2,0)</f>
        <v>[Cake] - Cashloan</v>
      </c>
      <c r="H5706" s="128" t="str">
        <f>VLOOKUP(source[[#This Row],[lending_product_transform]],[3]Mapping!$B$3:$D$37,3,0)</f>
        <v>cashloan</v>
      </c>
      <c r="I5706" s="135">
        <v>502860000</v>
      </c>
    </row>
    <row r="5707" spans="1:9" x14ac:dyDescent="0.2">
      <c r="A5707" s="134">
        <v>45737</v>
      </c>
      <c r="B5707" s="135">
        <f>YEAR(source[[#This Row],[report_date]])</f>
        <v>2025</v>
      </c>
      <c r="C5707" s="128">
        <f t="shared" si="265"/>
        <v>3</v>
      </c>
      <c r="D5707" s="136">
        <f t="shared" si="267"/>
        <v>12</v>
      </c>
      <c r="E5707" s="136">
        <f t="shared" si="266"/>
        <v>21</v>
      </c>
      <c r="F5707" s="128" t="s">
        <v>24</v>
      </c>
      <c r="G5707" s="128" t="str">
        <f>VLOOKUP(source[[#This Row],[lending_product_transform]],[3]Mapping!$B$4:$C$37,2,0)</f>
        <v>[Cake] - Cashloan</v>
      </c>
      <c r="H5707" s="128" t="str">
        <f>VLOOKUP(source[[#This Row],[lending_product_transform]],[3]Mapping!$B$3:$D$37,3,0)</f>
        <v>cashloan</v>
      </c>
      <c r="I5707" s="135">
        <v>0</v>
      </c>
    </row>
    <row r="5708" spans="1:9" x14ac:dyDescent="0.2">
      <c r="A5708" s="134">
        <v>45737</v>
      </c>
      <c r="B5708" s="135">
        <f>YEAR(source[[#This Row],[report_date]])</f>
        <v>2025</v>
      </c>
      <c r="C5708" s="128">
        <f t="shared" si="265"/>
        <v>3</v>
      </c>
      <c r="D5708" s="136">
        <f t="shared" si="267"/>
        <v>12</v>
      </c>
      <c r="E5708" s="136">
        <f t="shared" si="266"/>
        <v>21</v>
      </c>
      <c r="F5708" s="128" t="s">
        <v>24</v>
      </c>
      <c r="G5708" s="128" t="str">
        <f>VLOOKUP(source[[#This Row],[lending_product_transform]],[3]Mapping!$B$4:$C$37,2,0)</f>
        <v>[Cake] - Cashloan</v>
      </c>
      <c r="H5708" s="128" t="str">
        <f>VLOOKUP(source[[#This Row],[lending_product_transform]],[3]Mapping!$B$3:$D$37,3,0)</f>
        <v>cashloan</v>
      </c>
      <c r="I5708" s="135">
        <v>700790000</v>
      </c>
    </row>
    <row r="5709" spans="1:9" x14ac:dyDescent="0.2">
      <c r="A5709" s="134">
        <v>45737</v>
      </c>
      <c r="B5709" s="135">
        <f>YEAR(source[[#This Row],[report_date]])</f>
        <v>2025</v>
      </c>
      <c r="C5709" s="128">
        <f t="shared" si="265"/>
        <v>3</v>
      </c>
      <c r="D5709" s="136">
        <f t="shared" si="267"/>
        <v>12</v>
      </c>
      <c r="E5709" s="136">
        <f t="shared" si="266"/>
        <v>21</v>
      </c>
      <c r="F5709" s="128" t="s">
        <v>24</v>
      </c>
      <c r="G5709" s="128" t="str">
        <f>VLOOKUP(source[[#This Row],[lending_product_transform]],[3]Mapping!$B$4:$C$37,2,0)</f>
        <v>[Cake] - Cashloan</v>
      </c>
      <c r="H5709" s="128" t="str">
        <f>VLOOKUP(source[[#This Row],[lending_product_transform]],[3]Mapping!$B$3:$D$37,3,0)</f>
        <v>cashloan</v>
      </c>
      <c r="I5709" s="135">
        <v>381927285</v>
      </c>
    </row>
    <row r="5710" spans="1:9" x14ac:dyDescent="0.2">
      <c r="A5710" s="134">
        <v>45737</v>
      </c>
      <c r="B5710" s="135">
        <f>YEAR(source[[#This Row],[report_date]])</f>
        <v>2025</v>
      </c>
      <c r="C5710" s="128">
        <f t="shared" si="265"/>
        <v>3</v>
      </c>
      <c r="D5710" s="136">
        <f t="shared" si="267"/>
        <v>12</v>
      </c>
      <c r="E5710" s="136">
        <f t="shared" si="266"/>
        <v>21</v>
      </c>
      <c r="F5710" s="128" t="s">
        <v>24</v>
      </c>
      <c r="G5710" s="128" t="str">
        <f>VLOOKUP(source[[#This Row],[lending_product_transform]],[3]Mapping!$B$4:$C$37,2,0)</f>
        <v>[Cake] - Cashloan</v>
      </c>
      <c r="H5710" s="128" t="str">
        <f>VLOOKUP(source[[#This Row],[lending_product_transform]],[3]Mapping!$B$3:$D$37,3,0)</f>
        <v>cashloan</v>
      </c>
      <c r="I5710" s="135">
        <v>4930670000</v>
      </c>
    </row>
    <row r="5711" spans="1:9" x14ac:dyDescent="0.2">
      <c r="A5711" s="134">
        <v>45737</v>
      </c>
      <c r="B5711" s="135">
        <f>YEAR(source[[#This Row],[report_date]])</f>
        <v>2025</v>
      </c>
      <c r="C5711" s="128">
        <f t="shared" si="265"/>
        <v>3</v>
      </c>
      <c r="D5711" s="136">
        <f t="shared" si="267"/>
        <v>12</v>
      </c>
      <c r="E5711" s="136">
        <f t="shared" si="266"/>
        <v>21</v>
      </c>
      <c r="F5711" s="128" t="s">
        <v>24</v>
      </c>
      <c r="G5711" s="128" t="str">
        <f>VLOOKUP(source[[#This Row],[lending_product_transform]],[3]Mapping!$B$4:$C$37,2,0)</f>
        <v>[Cake] - Cashloan</v>
      </c>
      <c r="H5711" s="128" t="str">
        <f>VLOOKUP(source[[#This Row],[lending_product_transform]],[3]Mapping!$B$3:$D$37,3,0)</f>
        <v>cashloan</v>
      </c>
      <c r="I5711" s="135">
        <v>5400000000</v>
      </c>
    </row>
    <row r="5712" spans="1:9" x14ac:dyDescent="0.2">
      <c r="A5712" s="134">
        <v>45738</v>
      </c>
      <c r="B5712" s="135">
        <f>YEAR(source[[#This Row],[report_date]])</f>
        <v>2025</v>
      </c>
      <c r="C5712" s="128">
        <f t="shared" si="265"/>
        <v>3</v>
      </c>
      <c r="D5712" s="136">
        <f t="shared" si="267"/>
        <v>12</v>
      </c>
      <c r="E5712" s="136">
        <f t="shared" si="266"/>
        <v>22</v>
      </c>
      <c r="F5712" s="128" t="s">
        <v>24</v>
      </c>
      <c r="G5712" s="128" t="str">
        <f>VLOOKUP(source[[#This Row],[lending_product_transform]],[3]Mapping!$B$4:$C$37,2,0)</f>
        <v>[Cake] - Cashloan</v>
      </c>
      <c r="H5712" s="128" t="str">
        <f>VLOOKUP(source[[#This Row],[lending_product_transform]],[3]Mapping!$B$3:$D$37,3,0)</f>
        <v>cashloan</v>
      </c>
      <c r="I5712" s="135">
        <v>20330000</v>
      </c>
    </row>
    <row r="5713" spans="1:9" x14ac:dyDescent="0.2">
      <c r="A5713" s="134">
        <v>45738</v>
      </c>
      <c r="B5713" s="135">
        <f>YEAR(source[[#This Row],[report_date]])</f>
        <v>2025</v>
      </c>
      <c r="C5713" s="128">
        <f t="shared" si="265"/>
        <v>3</v>
      </c>
      <c r="D5713" s="136">
        <f t="shared" si="267"/>
        <v>12</v>
      </c>
      <c r="E5713" s="136">
        <f t="shared" si="266"/>
        <v>22</v>
      </c>
      <c r="F5713" s="128" t="s">
        <v>24</v>
      </c>
      <c r="G5713" s="128" t="str">
        <f>VLOOKUP(source[[#This Row],[lending_product_transform]],[3]Mapping!$B$4:$C$37,2,0)</f>
        <v>[Cake] - Cashloan</v>
      </c>
      <c r="H5713" s="128" t="str">
        <f>VLOOKUP(source[[#This Row],[lending_product_transform]],[3]Mapping!$B$3:$D$37,3,0)</f>
        <v>cashloan</v>
      </c>
      <c r="I5713" s="135">
        <v>6535770000</v>
      </c>
    </row>
    <row r="5714" spans="1:9" x14ac:dyDescent="0.2">
      <c r="A5714" s="134">
        <v>45738</v>
      </c>
      <c r="B5714" s="135">
        <f>YEAR(source[[#This Row],[report_date]])</f>
        <v>2025</v>
      </c>
      <c r="C5714" s="128">
        <f t="shared" si="265"/>
        <v>3</v>
      </c>
      <c r="D5714" s="136">
        <f t="shared" si="267"/>
        <v>12</v>
      </c>
      <c r="E5714" s="136">
        <f t="shared" si="266"/>
        <v>22</v>
      </c>
      <c r="F5714" s="128" t="s">
        <v>24</v>
      </c>
      <c r="G5714" s="128" t="str">
        <f>VLOOKUP(source[[#This Row],[lending_product_transform]],[3]Mapping!$B$4:$C$37,2,0)</f>
        <v>[Cake] - Cashloan</v>
      </c>
      <c r="H5714" s="128" t="str">
        <f>VLOOKUP(source[[#This Row],[lending_product_transform]],[3]Mapping!$B$3:$D$37,3,0)</f>
        <v>cashloan</v>
      </c>
      <c r="I5714" s="135">
        <v>29759152</v>
      </c>
    </row>
    <row r="5715" spans="1:9" x14ac:dyDescent="0.2">
      <c r="A5715" s="134">
        <v>45738</v>
      </c>
      <c r="B5715" s="135">
        <f>YEAR(source[[#This Row],[report_date]])</f>
        <v>2025</v>
      </c>
      <c r="C5715" s="128">
        <f t="shared" si="265"/>
        <v>3</v>
      </c>
      <c r="D5715" s="136">
        <f t="shared" si="267"/>
        <v>12</v>
      </c>
      <c r="E5715" s="136">
        <f t="shared" si="266"/>
        <v>22</v>
      </c>
      <c r="F5715" s="128" t="s">
        <v>24</v>
      </c>
      <c r="G5715" s="128" t="str">
        <f>VLOOKUP(source[[#This Row],[lending_product_transform]],[3]Mapping!$B$4:$C$37,2,0)</f>
        <v>[Cake] - Cashloan</v>
      </c>
      <c r="H5715" s="128" t="str">
        <f>VLOOKUP(source[[#This Row],[lending_product_transform]],[3]Mapping!$B$3:$D$37,3,0)</f>
        <v>cashloan</v>
      </c>
      <c r="I5715" s="135">
        <v>0</v>
      </c>
    </row>
    <row r="5716" spans="1:9" x14ac:dyDescent="0.2">
      <c r="A5716" s="134">
        <v>45738</v>
      </c>
      <c r="B5716" s="135">
        <f>YEAR(source[[#This Row],[report_date]])</f>
        <v>2025</v>
      </c>
      <c r="C5716" s="128">
        <f t="shared" si="265"/>
        <v>3</v>
      </c>
      <c r="D5716" s="136">
        <f t="shared" si="267"/>
        <v>12</v>
      </c>
      <c r="E5716" s="136">
        <f t="shared" si="266"/>
        <v>22</v>
      </c>
      <c r="F5716" s="128" t="s">
        <v>24</v>
      </c>
      <c r="G5716" s="128" t="str">
        <f>VLOOKUP(source[[#This Row],[lending_product_transform]],[3]Mapping!$B$4:$C$37,2,0)</f>
        <v>[Cake] - Cashloan</v>
      </c>
      <c r="H5716" s="128" t="str">
        <f>VLOOKUP(source[[#This Row],[lending_product_transform]],[3]Mapping!$B$3:$D$37,3,0)</f>
        <v>cashloan</v>
      </c>
      <c r="I5716" s="135">
        <v>52500000</v>
      </c>
    </row>
    <row r="5717" spans="1:9" x14ac:dyDescent="0.2">
      <c r="A5717" s="134">
        <v>45738</v>
      </c>
      <c r="B5717" s="135">
        <f>YEAR(source[[#This Row],[report_date]])</f>
        <v>2025</v>
      </c>
      <c r="C5717" s="128">
        <f t="shared" si="265"/>
        <v>3</v>
      </c>
      <c r="D5717" s="136">
        <f t="shared" si="267"/>
        <v>12</v>
      </c>
      <c r="E5717" s="136">
        <f t="shared" si="266"/>
        <v>22</v>
      </c>
      <c r="F5717" s="128" t="s">
        <v>24</v>
      </c>
      <c r="G5717" s="128" t="str">
        <f>VLOOKUP(source[[#This Row],[lending_product_transform]],[3]Mapping!$B$4:$C$37,2,0)</f>
        <v>[Cake] - Cashloan</v>
      </c>
      <c r="H5717" s="128" t="str">
        <f>VLOOKUP(source[[#This Row],[lending_product_transform]],[3]Mapping!$B$3:$D$37,3,0)</f>
        <v>cashloan</v>
      </c>
      <c r="I5717" s="135">
        <v>4864860000</v>
      </c>
    </row>
    <row r="5718" spans="1:9" x14ac:dyDescent="0.2">
      <c r="A5718" s="134">
        <v>45738</v>
      </c>
      <c r="B5718" s="135">
        <f>YEAR(source[[#This Row],[report_date]])</f>
        <v>2025</v>
      </c>
      <c r="C5718" s="128">
        <f t="shared" si="265"/>
        <v>3</v>
      </c>
      <c r="D5718" s="136">
        <f t="shared" si="267"/>
        <v>12</v>
      </c>
      <c r="E5718" s="136">
        <f t="shared" si="266"/>
        <v>22</v>
      </c>
      <c r="F5718" s="128" t="s">
        <v>24</v>
      </c>
      <c r="G5718" s="128" t="str">
        <f>VLOOKUP(source[[#This Row],[lending_product_transform]],[3]Mapping!$B$4:$C$37,2,0)</f>
        <v>[Cake] - Cashloan</v>
      </c>
      <c r="H5718" s="128" t="str">
        <f>VLOOKUP(source[[#This Row],[lending_product_transform]],[3]Mapping!$B$3:$D$37,3,0)</f>
        <v>cashloan</v>
      </c>
      <c r="I5718" s="135">
        <v>76000000</v>
      </c>
    </row>
    <row r="5719" spans="1:9" x14ac:dyDescent="0.2">
      <c r="A5719" s="134">
        <v>45738</v>
      </c>
      <c r="B5719" s="135">
        <f>YEAR(source[[#This Row],[report_date]])</f>
        <v>2025</v>
      </c>
      <c r="C5719" s="128">
        <f t="shared" si="265"/>
        <v>3</v>
      </c>
      <c r="D5719" s="136">
        <f t="shared" si="267"/>
        <v>12</v>
      </c>
      <c r="E5719" s="136">
        <f t="shared" si="266"/>
        <v>22</v>
      </c>
      <c r="F5719" s="128" t="s">
        <v>24</v>
      </c>
      <c r="G5719" s="128" t="str">
        <f>VLOOKUP(source[[#This Row],[lending_product_transform]],[3]Mapping!$B$4:$C$37,2,0)</f>
        <v>[Cake] - Cashloan</v>
      </c>
      <c r="H5719" s="128" t="str">
        <f>VLOOKUP(source[[#This Row],[lending_product_transform]],[3]Mapping!$B$3:$D$37,3,0)</f>
        <v>cashloan</v>
      </c>
      <c r="I5719" s="135">
        <v>0</v>
      </c>
    </row>
    <row r="5720" spans="1:9" x14ac:dyDescent="0.2">
      <c r="A5720" s="134">
        <v>45738</v>
      </c>
      <c r="B5720" s="135">
        <f>YEAR(source[[#This Row],[report_date]])</f>
        <v>2025</v>
      </c>
      <c r="C5720" s="128">
        <f t="shared" si="265"/>
        <v>3</v>
      </c>
      <c r="D5720" s="136">
        <f t="shared" si="267"/>
        <v>12</v>
      </c>
      <c r="E5720" s="136">
        <f t="shared" si="266"/>
        <v>22</v>
      </c>
      <c r="F5720" s="128" t="s">
        <v>24</v>
      </c>
      <c r="G5720" s="128" t="str">
        <f>VLOOKUP(source[[#This Row],[lending_product_transform]],[3]Mapping!$B$4:$C$37,2,0)</f>
        <v>[Cake] - Cashloan</v>
      </c>
      <c r="H5720" s="128" t="str">
        <f>VLOOKUP(source[[#This Row],[lending_product_transform]],[3]Mapping!$B$3:$D$37,3,0)</f>
        <v>cashloan</v>
      </c>
      <c r="I5720" s="135">
        <v>0</v>
      </c>
    </row>
    <row r="5721" spans="1:9" x14ac:dyDescent="0.2">
      <c r="A5721" s="134">
        <v>45738</v>
      </c>
      <c r="B5721" s="135">
        <f>YEAR(source[[#This Row],[report_date]])</f>
        <v>2025</v>
      </c>
      <c r="C5721" s="128">
        <f t="shared" si="265"/>
        <v>3</v>
      </c>
      <c r="D5721" s="136">
        <f t="shared" si="267"/>
        <v>12</v>
      </c>
      <c r="E5721" s="136">
        <f t="shared" si="266"/>
        <v>22</v>
      </c>
      <c r="F5721" s="128" t="s">
        <v>24</v>
      </c>
      <c r="G5721" s="128" t="str">
        <f>VLOOKUP(source[[#This Row],[lending_product_transform]],[3]Mapping!$B$4:$C$37,2,0)</f>
        <v>[Cake] - Cashloan</v>
      </c>
      <c r="H5721" s="128" t="str">
        <f>VLOOKUP(source[[#This Row],[lending_product_transform]],[3]Mapping!$B$3:$D$37,3,0)</f>
        <v>cashloan</v>
      </c>
      <c r="I5721" s="135">
        <v>5284500000</v>
      </c>
    </row>
    <row r="5722" spans="1:9" x14ac:dyDescent="0.2">
      <c r="A5722" s="134">
        <v>45738</v>
      </c>
      <c r="B5722" s="135">
        <f>YEAR(source[[#This Row],[report_date]])</f>
        <v>2025</v>
      </c>
      <c r="C5722" s="128">
        <f t="shared" si="265"/>
        <v>3</v>
      </c>
      <c r="D5722" s="136">
        <f t="shared" si="267"/>
        <v>12</v>
      </c>
      <c r="E5722" s="136">
        <f t="shared" si="266"/>
        <v>22</v>
      </c>
      <c r="F5722" s="128" t="s">
        <v>24</v>
      </c>
      <c r="G5722" s="128" t="str">
        <f>VLOOKUP(source[[#This Row],[lending_product_transform]],[3]Mapping!$B$4:$C$37,2,0)</f>
        <v>[Cake] - Cashloan</v>
      </c>
      <c r="H5722" s="128" t="str">
        <f>VLOOKUP(source[[#This Row],[lending_product_transform]],[3]Mapping!$B$3:$D$37,3,0)</f>
        <v>cashloan</v>
      </c>
      <c r="I5722" s="135">
        <v>0</v>
      </c>
    </row>
    <row r="5723" spans="1:9" x14ac:dyDescent="0.2">
      <c r="A5723" s="134">
        <v>45738</v>
      </c>
      <c r="B5723" s="135">
        <f>YEAR(source[[#This Row],[report_date]])</f>
        <v>2025</v>
      </c>
      <c r="C5723" s="128">
        <f t="shared" si="265"/>
        <v>3</v>
      </c>
      <c r="D5723" s="136">
        <f t="shared" si="267"/>
        <v>12</v>
      </c>
      <c r="E5723" s="136">
        <f t="shared" si="266"/>
        <v>22</v>
      </c>
      <c r="F5723" s="128" t="s">
        <v>24</v>
      </c>
      <c r="G5723" s="128" t="str">
        <f>VLOOKUP(source[[#This Row],[lending_product_transform]],[3]Mapping!$B$4:$C$37,2,0)</f>
        <v>[Cake] - Cashloan</v>
      </c>
      <c r="H5723" s="128" t="str">
        <f>VLOOKUP(source[[#This Row],[lending_product_transform]],[3]Mapping!$B$3:$D$37,3,0)</f>
        <v>cashloan</v>
      </c>
      <c r="I5723" s="135">
        <v>303030000</v>
      </c>
    </row>
    <row r="5724" spans="1:9" x14ac:dyDescent="0.2">
      <c r="A5724" s="134">
        <v>45738</v>
      </c>
      <c r="B5724" s="135">
        <f>YEAR(source[[#This Row],[report_date]])</f>
        <v>2025</v>
      </c>
      <c r="C5724" s="128">
        <f t="shared" si="265"/>
        <v>3</v>
      </c>
      <c r="D5724" s="136">
        <f t="shared" si="267"/>
        <v>12</v>
      </c>
      <c r="E5724" s="136">
        <f t="shared" si="266"/>
        <v>22</v>
      </c>
      <c r="F5724" s="128" t="s">
        <v>24</v>
      </c>
      <c r="G5724" s="128" t="str">
        <f>VLOOKUP(source[[#This Row],[lending_product_transform]],[3]Mapping!$B$4:$C$37,2,0)</f>
        <v>[Cake] - Cashloan</v>
      </c>
      <c r="H5724" s="128" t="str">
        <f>VLOOKUP(source[[#This Row],[lending_product_transform]],[3]Mapping!$B$3:$D$37,3,0)</f>
        <v>cashloan</v>
      </c>
      <c r="I5724" s="135">
        <v>0</v>
      </c>
    </row>
    <row r="5725" spans="1:9" x14ac:dyDescent="0.2">
      <c r="A5725" s="134">
        <v>45738</v>
      </c>
      <c r="B5725" s="135">
        <f>YEAR(source[[#This Row],[report_date]])</f>
        <v>2025</v>
      </c>
      <c r="C5725" s="128">
        <f t="shared" si="265"/>
        <v>3</v>
      </c>
      <c r="D5725" s="136">
        <f t="shared" si="267"/>
        <v>12</v>
      </c>
      <c r="E5725" s="136">
        <f t="shared" si="266"/>
        <v>22</v>
      </c>
      <c r="F5725" s="128" t="s">
        <v>24</v>
      </c>
      <c r="G5725" s="128" t="str">
        <f>VLOOKUP(source[[#This Row],[lending_product_transform]],[3]Mapping!$B$4:$C$37,2,0)</f>
        <v>[Cake] - Cashloan</v>
      </c>
      <c r="H5725" s="128" t="str">
        <f>VLOOKUP(source[[#This Row],[lending_product_transform]],[3]Mapping!$B$3:$D$37,3,0)</f>
        <v>cashloan</v>
      </c>
      <c r="I5725" s="135">
        <v>765470000</v>
      </c>
    </row>
    <row r="5726" spans="1:9" x14ac:dyDescent="0.2">
      <c r="A5726" s="134">
        <v>45738</v>
      </c>
      <c r="B5726" s="135">
        <f>YEAR(source[[#This Row],[report_date]])</f>
        <v>2025</v>
      </c>
      <c r="C5726" s="128">
        <f t="shared" si="265"/>
        <v>3</v>
      </c>
      <c r="D5726" s="136">
        <f t="shared" si="267"/>
        <v>12</v>
      </c>
      <c r="E5726" s="136">
        <f t="shared" si="266"/>
        <v>22</v>
      </c>
      <c r="F5726" s="128" t="s">
        <v>24</v>
      </c>
      <c r="G5726" s="128" t="str">
        <f>VLOOKUP(source[[#This Row],[lending_product_transform]],[3]Mapping!$B$4:$C$37,2,0)</f>
        <v>[Cake] - Cashloan</v>
      </c>
      <c r="H5726" s="128" t="str">
        <f>VLOOKUP(source[[#This Row],[lending_product_transform]],[3]Mapping!$B$3:$D$37,3,0)</f>
        <v>cashloan</v>
      </c>
      <c r="I5726" s="135">
        <v>0</v>
      </c>
    </row>
    <row r="5727" spans="1:9" x14ac:dyDescent="0.2">
      <c r="A5727" s="134">
        <v>45738</v>
      </c>
      <c r="B5727" s="135">
        <f>YEAR(source[[#This Row],[report_date]])</f>
        <v>2025</v>
      </c>
      <c r="C5727" s="128">
        <f t="shared" si="265"/>
        <v>3</v>
      </c>
      <c r="D5727" s="136">
        <f t="shared" si="267"/>
        <v>12</v>
      </c>
      <c r="E5727" s="136">
        <f t="shared" si="266"/>
        <v>22</v>
      </c>
      <c r="F5727" s="128" t="s">
        <v>24</v>
      </c>
      <c r="G5727" s="128" t="str">
        <f>VLOOKUP(source[[#This Row],[lending_product_transform]],[3]Mapping!$B$4:$C$37,2,0)</f>
        <v>[Cake] - Cashloan</v>
      </c>
      <c r="H5727" s="128" t="str">
        <f>VLOOKUP(source[[#This Row],[lending_product_transform]],[3]Mapping!$B$3:$D$37,3,0)</f>
        <v>cashloan</v>
      </c>
      <c r="I5727" s="135">
        <v>259892445</v>
      </c>
    </row>
    <row r="5728" spans="1:9" x14ac:dyDescent="0.2">
      <c r="A5728" s="134">
        <v>45738</v>
      </c>
      <c r="B5728" s="135">
        <f>YEAR(source[[#This Row],[report_date]])</f>
        <v>2025</v>
      </c>
      <c r="C5728" s="128">
        <f t="shared" si="265"/>
        <v>3</v>
      </c>
      <c r="D5728" s="136">
        <f t="shared" si="267"/>
        <v>12</v>
      </c>
      <c r="E5728" s="136">
        <f t="shared" si="266"/>
        <v>22</v>
      </c>
      <c r="F5728" s="128" t="s">
        <v>24</v>
      </c>
      <c r="G5728" s="128" t="str">
        <f>VLOOKUP(source[[#This Row],[lending_product_transform]],[3]Mapping!$B$4:$C$37,2,0)</f>
        <v>[Cake] - Cashloan</v>
      </c>
      <c r="H5728" s="128" t="str">
        <f>VLOOKUP(source[[#This Row],[lending_product_transform]],[3]Mapping!$B$3:$D$37,3,0)</f>
        <v>cashloan</v>
      </c>
      <c r="I5728" s="135">
        <v>151770646</v>
      </c>
    </row>
    <row r="5729" spans="1:9" x14ac:dyDescent="0.2">
      <c r="A5729" s="134">
        <v>45738</v>
      </c>
      <c r="B5729" s="135">
        <f>YEAR(source[[#This Row],[report_date]])</f>
        <v>2025</v>
      </c>
      <c r="C5729" s="128">
        <f t="shared" si="265"/>
        <v>3</v>
      </c>
      <c r="D5729" s="136">
        <f t="shared" si="267"/>
        <v>12</v>
      </c>
      <c r="E5729" s="136">
        <f t="shared" si="266"/>
        <v>22</v>
      </c>
      <c r="F5729" s="128" t="s">
        <v>24</v>
      </c>
      <c r="G5729" s="128" t="str">
        <f>VLOOKUP(source[[#This Row],[lending_product_transform]],[3]Mapping!$B$4:$C$37,2,0)</f>
        <v>[Cake] - Cashloan</v>
      </c>
      <c r="H5729" s="128" t="str">
        <f>VLOOKUP(source[[#This Row],[lending_product_transform]],[3]Mapping!$B$3:$D$37,3,0)</f>
        <v>cashloan</v>
      </c>
      <c r="I5729" s="135">
        <v>336319141</v>
      </c>
    </row>
    <row r="5730" spans="1:9" x14ac:dyDescent="0.2">
      <c r="A5730" s="134">
        <v>45738</v>
      </c>
      <c r="B5730" s="135">
        <f>YEAR(source[[#This Row],[report_date]])</f>
        <v>2025</v>
      </c>
      <c r="C5730" s="128">
        <f t="shared" si="265"/>
        <v>3</v>
      </c>
      <c r="D5730" s="136">
        <f t="shared" si="267"/>
        <v>12</v>
      </c>
      <c r="E5730" s="136">
        <f t="shared" si="266"/>
        <v>22</v>
      </c>
      <c r="F5730" s="128" t="s">
        <v>24</v>
      </c>
      <c r="G5730" s="128" t="str">
        <f>VLOOKUP(source[[#This Row],[lending_product_transform]],[3]Mapping!$B$4:$C$37,2,0)</f>
        <v>[Cake] - Cashloan</v>
      </c>
      <c r="H5730" s="128" t="str">
        <f>VLOOKUP(source[[#This Row],[lending_product_transform]],[3]Mapping!$B$3:$D$37,3,0)</f>
        <v>cashloan</v>
      </c>
      <c r="I5730" s="135">
        <v>3067355511</v>
      </c>
    </row>
    <row r="5731" spans="1:9" x14ac:dyDescent="0.2">
      <c r="A5731" s="134">
        <v>45739</v>
      </c>
      <c r="B5731" s="135">
        <f>YEAR(source[[#This Row],[report_date]])</f>
        <v>2025</v>
      </c>
      <c r="C5731" s="128">
        <f t="shared" si="265"/>
        <v>3</v>
      </c>
      <c r="D5731" s="136">
        <f t="shared" si="267"/>
        <v>12</v>
      </c>
      <c r="E5731" s="136">
        <f t="shared" si="266"/>
        <v>23</v>
      </c>
      <c r="F5731" s="128" t="s">
        <v>24</v>
      </c>
      <c r="G5731" s="128" t="str">
        <f>VLOOKUP(source[[#This Row],[lending_product_transform]],[3]Mapping!$B$4:$C$37,2,0)</f>
        <v>[Cake] - Cashloan</v>
      </c>
      <c r="H5731" s="128" t="str">
        <f>VLOOKUP(source[[#This Row],[lending_product_transform]],[3]Mapping!$B$3:$D$37,3,0)</f>
        <v>cashloan</v>
      </c>
      <c r="I5731" s="135">
        <v>0</v>
      </c>
    </row>
    <row r="5732" spans="1:9" x14ac:dyDescent="0.2">
      <c r="A5732" s="134">
        <v>45739</v>
      </c>
      <c r="B5732" s="135">
        <f>YEAR(source[[#This Row],[report_date]])</f>
        <v>2025</v>
      </c>
      <c r="C5732" s="128">
        <f t="shared" si="265"/>
        <v>3</v>
      </c>
      <c r="D5732" s="136">
        <f t="shared" si="267"/>
        <v>12</v>
      </c>
      <c r="E5732" s="136">
        <f t="shared" si="266"/>
        <v>23</v>
      </c>
      <c r="F5732" s="128" t="s">
        <v>24</v>
      </c>
      <c r="G5732" s="128" t="str">
        <f>VLOOKUP(source[[#This Row],[lending_product_transform]],[3]Mapping!$B$4:$C$37,2,0)</f>
        <v>[Cake] - Cashloan</v>
      </c>
      <c r="H5732" s="128" t="str">
        <f>VLOOKUP(source[[#This Row],[lending_product_transform]],[3]Mapping!$B$3:$D$37,3,0)</f>
        <v>cashloan</v>
      </c>
      <c r="I5732" s="135">
        <v>0</v>
      </c>
    </row>
    <row r="5733" spans="1:9" x14ac:dyDescent="0.2">
      <c r="A5733" s="134">
        <v>45739</v>
      </c>
      <c r="B5733" s="135">
        <f>YEAR(source[[#This Row],[report_date]])</f>
        <v>2025</v>
      </c>
      <c r="C5733" s="128">
        <f t="shared" si="265"/>
        <v>3</v>
      </c>
      <c r="D5733" s="136">
        <f t="shared" si="267"/>
        <v>12</v>
      </c>
      <c r="E5733" s="136">
        <f t="shared" si="266"/>
        <v>23</v>
      </c>
      <c r="F5733" s="128" t="s">
        <v>24</v>
      </c>
      <c r="G5733" s="128" t="str">
        <f>VLOOKUP(source[[#This Row],[lending_product_transform]],[3]Mapping!$B$4:$C$37,2,0)</f>
        <v>[Cake] - Cashloan</v>
      </c>
      <c r="H5733" s="128" t="str">
        <f>VLOOKUP(source[[#This Row],[lending_product_transform]],[3]Mapping!$B$3:$D$37,3,0)</f>
        <v>cashloan</v>
      </c>
      <c r="I5733" s="135">
        <v>18639727</v>
      </c>
    </row>
    <row r="5734" spans="1:9" x14ac:dyDescent="0.2">
      <c r="A5734" s="134">
        <v>45739</v>
      </c>
      <c r="B5734" s="135">
        <f>YEAR(source[[#This Row],[report_date]])</f>
        <v>2025</v>
      </c>
      <c r="C5734" s="128">
        <f t="shared" si="265"/>
        <v>3</v>
      </c>
      <c r="D5734" s="136">
        <f t="shared" si="267"/>
        <v>12</v>
      </c>
      <c r="E5734" s="136">
        <f t="shared" si="266"/>
        <v>23</v>
      </c>
      <c r="F5734" s="128" t="s">
        <v>24</v>
      </c>
      <c r="G5734" s="128" t="str">
        <f>VLOOKUP(source[[#This Row],[lending_product_transform]],[3]Mapping!$B$4:$C$37,2,0)</f>
        <v>[Cake] - Cashloan</v>
      </c>
      <c r="H5734" s="128" t="str">
        <f>VLOOKUP(source[[#This Row],[lending_product_transform]],[3]Mapping!$B$3:$D$37,3,0)</f>
        <v>cashloan</v>
      </c>
      <c r="I5734" s="135">
        <v>56750000</v>
      </c>
    </row>
    <row r="5735" spans="1:9" x14ac:dyDescent="0.2">
      <c r="A5735" s="134">
        <v>45739</v>
      </c>
      <c r="B5735" s="135">
        <f>YEAR(source[[#This Row],[report_date]])</f>
        <v>2025</v>
      </c>
      <c r="C5735" s="128">
        <f t="shared" si="265"/>
        <v>3</v>
      </c>
      <c r="D5735" s="136">
        <f t="shared" si="267"/>
        <v>12</v>
      </c>
      <c r="E5735" s="136">
        <f t="shared" si="266"/>
        <v>23</v>
      </c>
      <c r="F5735" s="128" t="s">
        <v>24</v>
      </c>
      <c r="G5735" s="128" t="str">
        <f>VLOOKUP(source[[#This Row],[lending_product_transform]],[3]Mapping!$B$4:$C$37,2,0)</f>
        <v>[Cake] - Cashloan</v>
      </c>
      <c r="H5735" s="128" t="str">
        <f>VLOOKUP(source[[#This Row],[lending_product_transform]],[3]Mapping!$B$3:$D$37,3,0)</f>
        <v>cashloan</v>
      </c>
      <c r="I5735" s="135">
        <v>96000000</v>
      </c>
    </row>
    <row r="5736" spans="1:9" x14ac:dyDescent="0.2">
      <c r="A5736" s="134">
        <v>45739</v>
      </c>
      <c r="B5736" s="135">
        <f>YEAR(source[[#This Row],[report_date]])</f>
        <v>2025</v>
      </c>
      <c r="C5736" s="128">
        <f t="shared" si="265"/>
        <v>3</v>
      </c>
      <c r="D5736" s="136">
        <f t="shared" si="267"/>
        <v>12</v>
      </c>
      <c r="E5736" s="136">
        <f t="shared" si="266"/>
        <v>23</v>
      </c>
      <c r="F5736" s="128" t="s">
        <v>24</v>
      </c>
      <c r="G5736" s="128" t="str">
        <f>VLOOKUP(source[[#This Row],[lending_product_transform]],[3]Mapping!$B$4:$C$37,2,0)</f>
        <v>[Cake] - Cashloan</v>
      </c>
      <c r="H5736" s="128" t="str">
        <f>VLOOKUP(source[[#This Row],[lending_product_transform]],[3]Mapping!$B$3:$D$37,3,0)</f>
        <v>cashloan</v>
      </c>
      <c r="I5736" s="135">
        <v>0</v>
      </c>
    </row>
    <row r="5737" spans="1:9" x14ac:dyDescent="0.2">
      <c r="A5737" s="134">
        <v>45739</v>
      </c>
      <c r="B5737" s="135">
        <f>YEAR(source[[#This Row],[report_date]])</f>
        <v>2025</v>
      </c>
      <c r="C5737" s="128">
        <f t="shared" si="265"/>
        <v>3</v>
      </c>
      <c r="D5737" s="136">
        <f t="shared" si="267"/>
        <v>12</v>
      </c>
      <c r="E5737" s="136">
        <f t="shared" si="266"/>
        <v>23</v>
      </c>
      <c r="F5737" s="128" t="s">
        <v>24</v>
      </c>
      <c r="G5737" s="128" t="str">
        <f>VLOOKUP(source[[#This Row],[lending_product_transform]],[3]Mapping!$B$4:$C$37,2,0)</f>
        <v>[Cake] - Cashloan</v>
      </c>
      <c r="H5737" s="128" t="str">
        <f>VLOOKUP(source[[#This Row],[lending_product_transform]],[3]Mapping!$B$3:$D$37,3,0)</f>
        <v>cashloan</v>
      </c>
      <c r="I5737" s="135">
        <v>0</v>
      </c>
    </row>
    <row r="5738" spans="1:9" x14ac:dyDescent="0.2">
      <c r="A5738" s="134">
        <v>45739</v>
      </c>
      <c r="B5738" s="135">
        <f>YEAR(source[[#This Row],[report_date]])</f>
        <v>2025</v>
      </c>
      <c r="C5738" s="128">
        <f t="shared" si="265"/>
        <v>3</v>
      </c>
      <c r="D5738" s="136">
        <f t="shared" si="267"/>
        <v>12</v>
      </c>
      <c r="E5738" s="136">
        <f t="shared" si="266"/>
        <v>23</v>
      </c>
      <c r="F5738" s="128" t="s">
        <v>24</v>
      </c>
      <c r="G5738" s="128" t="str">
        <f>VLOOKUP(source[[#This Row],[lending_product_transform]],[3]Mapping!$B$4:$C$37,2,0)</f>
        <v>[Cake] - Cashloan</v>
      </c>
      <c r="H5738" s="128" t="str">
        <f>VLOOKUP(source[[#This Row],[lending_product_transform]],[3]Mapping!$B$3:$D$37,3,0)</f>
        <v>cashloan</v>
      </c>
      <c r="I5738" s="135">
        <v>10700000</v>
      </c>
    </row>
    <row r="5739" spans="1:9" x14ac:dyDescent="0.2">
      <c r="A5739" s="134">
        <v>45739</v>
      </c>
      <c r="B5739" s="135">
        <f>YEAR(source[[#This Row],[report_date]])</f>
        <v>2025</v>
      </c>
      <c r="C5739" s="128">
        <f t="shared" si="265"/>
        <v>3</v>
      </c>
      <c r="D5739" s="136">
        <f t="shared" si="267"/>
        <v>12</v>
      </c>
      <c r="E5739" s="136">
        <f t="shared" si="266"/>
        <v>23</v>
      </c>
      <c r="F5739" s="128" t="s">
        <v>24</v>
      </c>
      <c r="G5739" s="128" t="str">
        <f>VLOOKUP(source[[#This Row],[lending_product_transform]],[3]Mapping!$B$4:$C$37,2,0)</f>
        <v>[Cake] - Cashloan</v>
      </c>
      <c r="H5739" s="128" t="str">
        <f>VLOOKUP(source[[#This Row],[lending_product_transform]],[3]Mapping!$B$3:$D$37,3,0)</f>
        <v>cashloan</v>
      </c>
      <c r="I5739" s="135">
        <v>0</v>
      </c>
    </row>
    <row r="5740" spans="1:9" x14ac:dyDescent="0.2">
      <c r="A5740" s="134">
        <v>45739</v>
      </c>
      <c r="B5740" s="135">
        <f>YEAR(source[[#This Row],[report_date]])</f>
        <v>2025</v>
      </c>
      <c r="C5740" s="128">
        <f t="shared" si="265"/>
        <v>3</v>
      </c>
      <c r="D5740" s="136">
        <f t="shared" si="267"/>
        <v>12</v>
      </c>
      <c r="E5740" s="136">
        <f t="shared" si="266"/>
        <v>23</v>
      </c>
      <c r="F5740" s="128" t="s">
        <v>24</v>
      </c>
      <c r="G5740" s="128" t="str">
        <f>VLOOKUP(source[[#This Row],[lending_product_transform]],[3]Mapping!$B$4:$C$37,2,0)</f>
        <v>[Cake] - Cashloan</v>
      </c>
      <c r="H5740" s="128" t="str">
        <f>VLOOKUP(source[[#This Row],[lending_product_transform]],[3]Mapping!$B$3:$D$37,3,0)</f>
        <v>cashloan</v>
      </c>
      <c r="I5740" s="135">
        <v>222990000</v>
      </c>
    </row>
    <row r="5741" spans="1:9" x14ac:dyDescent="0.2">
      <c r="A5741" s="134">
        <v>45739</v>
      </c>
      <c r="B5741" s="135">
        <f>YEAR(source[[#This Row],[report_date]])</f>
        <v>2025</v>
      </c>
      <c r="C5741" s="128">
        <f t="shared" si="265"/>
        <v>3</v>
      </c>
      <c r="D5741" s="136">
        <f t="shared" si="267"/>
        <v>12</v>
      </c>
      <c r="E5741" s="136">
        <f t="shared" si="266"/>
        <v>23</v>
      </c>
      <c r="F5741" s="128" t="s">
        <v>24</v>
      </c>
      <c r="G5741" s="128" t="str">
        <f>VLOOKUP(source[[#This Row],[lending_product_transform]],[3]Mapping!$B$4:$C$37,2,0)</f>
        <v>[Cake] - Cashloan</v>
      </c>
      <c r="H5741" s="128" t="str">
        <f>VLOOKUP(source[[#This Row],[lending_product_transform]],[3]Mapping!$B$3:$D$37,3,0)</f>
        <v>cashloan</v>
      </c>
      <c r="I5741" s="135">
        <v>0</v>
      </c>
    </row>
    <row r="5742" spans="1:9" x14ac:dyDescent="0.2">
      <c r="A5742" s="134">
        <v>45739</v>
      </c>
      <c r="B5742" s="135">
        <f>YEAR(source[[#This Row],[report_date]])</f>
        <v>2025</v>
      </c>
      <c r="C5742" s="128">
        <f t="shared" si="265"/>
        <v>3</v>
      </c>
      <c r="D5742" s="136">
        <f t="shared" si="267"/>
        <v>12</v>
      </c>
      <c r="E5742" s="136">
        <f t="shared" si="266"/>
        <v>23</v>
      </c>
      <c r="F5742" s="128" t="s">
        <v>24</v>
      </c>
      <c r="G5742" s="128" t="str">
        <f>VLOOKUP(source[[#This Row],[lending_product_transform]],[3]Mapping!$B$4:$C$37,2,0)</f>
        <v>[Cake] - Cashloan</v>
      </c>
      <c r="H5742" s="128" t="str">
        <f>VLOOKUP(source[[#This Row],[lending_product_transform]],[3]Mapping!$B$3:$D$37,3,0)</f>
        <v>cashloan</v>
      </c>
      <c r="I5742" s="135">
        <v>814790000</v>
      </c>
    </row>
    <row r="5743" spans="1:9" x14ac:dyDescent="0.2">
      <c r="A5743" s="134">
        <v>45739</v>
      </c>
      <c r="B5743" s="135">
        <f>YEAR(source[[#This Row],[report_date]])</f>
        <v>2025</v>
      </c>
      <c r="C5743" s="128">
        <f t="shared" si="265"/>
        <v>3</v>
      </c>
      <c r="D5743" s="136">
        <f t="shared" si="267"/>
        <v>12</v>
      </c>
      <c r="E5743" s="136">
        <f t="shared" si="266"/>
        <v>23</v>
      </c>
      <c r="F5743" s="128" t="s">
        <v>24</v>
      </c>
      <c r="G5743" s="128" t="str">
        <f>VLOOKUP(source[[#This Row],[lending_product_transform]],[3]Mapping!$B$4:$C$37,2,0)</f>
        <v>[Cake] - Cashloan</v>
      </c>
      <c r="H5743" s="128" t="str">
        <f>VLOOKUP(source[[#This Row],[lending_product_transform]],[3]Mapping!$B$3:$D$37,3,0)</f>
        <v>cashloan</v>
      </c>
      <c r="I5743" s="135">
        <v>278058007</v>
      </c>
    </row>
    <row r="5744" spans="1:9" x14ac:dyDescent="0.2">
      <c r="A5744" s="134">
        <v>45739</v>
      </c>
      <c r="B5744" s="135">
        <f>YEAR(source[[#This Row],[report_date]])</f>
        <v>2025</v>
      </c>
      <c r="C5744" s="128">
        <f t="shared" si="265"/>
        <v>3</v>
      </c>
      <c r="D5744" s="136">
        <f t="shared" si="267"/>
        <v>12</v>
      </c>
      <c r="E5744" s="136">
        <f t="shared" si="266"/>
        <v>23</v>
      </c>
      <c r="F5744" s="128" t="s">
        <v>24</v>
      </c>
      <c r="G5744" s="128" t="str">
        <f>VLOOKUP(source[[#This Row],[lending_product_transform]],[3]Mapping!$B$4:$C$37,2,0)</f>
        <v>[Cake] - Cashloan</v>
      </c>
      <c r="H5744" s="128" t="str">
        <f>VLOOKUP(source[[#This Row],[lending_product_transform]],[3]Mapping!$B$3:$D$37,3,0)</f>
        <v>cashloan</v>
      </c>
      <c r="I5744" s="135">
        <v>140247449</v>
      </c>
    </row>
    <row r="5745" spans="1:9" x14ac:dyDescent="0.2">
      <c r="A5745" s="134">
        <v>45739</v>
      </c>
      <c r="B5745" s="135">
        <f>YEAR(source[[#This Row],[report_date]])</f>
        <v>2025</v>
      </c>
      <c r="C5745" s="128">
        <f t="shared" si="265"/>
        <v>3</v>
      </c>
      <c r="D5745" s="136">
        <f t="shared" si="267"/>
        <v>12</v>
      </c>
      <c r="E5745" s="136">
        <f t="shared" si="266"/>
        <v>23</v>
      </c>
      <c r="F5745" s="128" t="s">
        <v>24</v>
      </c>
      <c r="G5745" s="128" t="str">
        <f>VLOOKUP(source[[#This Row],[lending_product_transform]],[3]Mapping!$B$4:$C$37,2,0)</f>
        <v>[Cake] - Cashloan</v>
      </c>
      <c r="H5745" s="128" t="str">
        <f>VLOOKUP(source[[#This Row],[lending_product_transform]],[3]Mapping!$B$3:$D$37,3,0)</f>
        <v>cashloan</v>
      </c>
      <c r="I5745" s="135">
        <v>295389674</v>
      </c>
    </row>
    <row r="5746" spans="1:9" x14ac:dyDescent="0.2">
      <c r="A5746" s="134">
        <v>45739</v>
      </c>
      <c r="B5746" s="135">
        <f>YEAR(source[[#This Row],[report_date]])</f>
        <v>2025</v>
      </c>
      <c r="C5746" s="128">
        <f t="shared" si="265"/>
        <v>3</v>
      </c>
      <c r="D5746" s="136">
        <f t="shared" si="267"/>
        <v>12</v>
      </c>
      <c r="E5746" s="136">
        <f t="shared" si="266"/>
        <v>23</v>
      </c>
      <c r="F5746" s="128" t="s">
        <v>24</v>
      </c>
      <c r="G5746" s="128" t="str">
        <f>VLOOKUP(source[[#This Row],[lending_product_transform]],[3]Mapping!$B$4:$C$37,2,0)</f>
        <v>[Cake] - Cashloan</v>
      </c>
      <c r="H5746" s="128" t="str">
        <f>VLOOKUP(source[[#This Row],[lending_product_transform]],[3]Mapping!$B$3:$D$37,3,0)</f>
        <v>cashloan</v>
      </c>
      <c r="I5746" s="135">
        <v>2900491486</v>
      </c>
    </row>
    <row r="5747" spans="1:9" x14ac:dyDescent="0.2">
      <c r="A5747" s="134">
        <v>45739</v>
      </c>
      <c r="B5747" s="135">
        <f>YEAR(source[[#This Row],[report_date]])</f>
        <v>2025</v>
      </c>
      <c r="C5747" s="128">
        <f t="shared" si="265"/>
        <v>3</v>
      </c>
      <c r="D5747" s="136">
        <f t="shared" si="267"/>
        <v>12</v>
      </c>
      <c r="E5747" s="136">
        <f t="shared" si="266"/>
        <v>23</v>
      </c>
      <c r="F5747" s="128" t="s">
        <v>24</v>
      </c>
      <c r="G5747" s="128" t="str">
        <f>VLOOKUP(source[[#This Row],[lending_product_transform]],[3]Mapping!$B$4:$C$37,2,0)</f>
        <v>[Cake] - Cashloan</v>
      </c>
      <c r="H5747" s="128" t="str">
        <f>VLOOKUP(source[[#This Row],[lending_product_transform]],[3]Mapping!$B$3:$D$37,3,0)</f>
        <v>cashloan</v>
      </c>
      <c r="I5747" s="135">
        <v>4851960000</v>
      </c>
    </row>
    <row r="5748" spans="1:9" x14ac:dyDescent="0.2">
      <c r="A5748" s="134">
        <v>45739</v>
      </c>
      <c r="B5748" s="135">
        <f>YEAR(source[[#This Row],[report_date]])</f>
        <v>2025</v>
      </c>
      <c r="C5748" s="128">
        <f t="shared" si="265"/>
        <v>3</v>
      </c>
      <c r="D5748" s="136">
        <f t="shared" si="267"/>
        <v>12</v>
      </c>
      <c r="E5748" s="136">
        <f t="shared" si="266"/>
        <v>23</v>
      </c>
      <c r="F5748" s="128" t="s">
        <v>24</v>
      </c>
      <c r="G5748" s="128" t="str">
        <f>VLOOKUP(source[[#This Row],[lending_product_transform]],[3]Mapping!$B$4:$C$37,2,0)</f>
        <v>[Cake] - Cashloan</v>
      </c>
      <c r="H5748" s="128" t="str">
        <f>VLOOKUP(source[[#This Row],[lending_product_transform]],[3]Mapping!$B$3:$D$37,3,0)</f>
        <v>cashloan</v>
      </c>
      <c r="I5748" s="135">
        <v>4368000000</v>
      </c>
    </row>
    <row r="5749" spans="1:9" x14ac:dyDescent="0.2">
      <c r="A5749" s="134">
        <v>45739</v>
      </c>
      <c r="B5749" s="135">
        <f>YEAR(source[[#This Row],[report_date]])</f>
        <v>2025</v>
      </c>
      <c r="C5749" s="128">
        <f t="shared" si="265"/>
        <v>3</v>
      </c>
      <c r="D5749" s="136">
        <f t="shared" si="267"/>
        <v>12</v>
      </c>
      <c r="E5749" s="136">
        <f t="shared" si="266"/>
        <v>23</v>
      </c>
      <c r="F5749" s="128" t="s">
        <v>24</v>
      </c>
      <c r="G5749" s="128" t="str">
        <f>VLOOKUP(source[[#This Row],[lending_product_transform]],[3]Mapping!$B$4:$C$37,2,0)</f>
        <v>[Cake] - Cashloan</v>
      </c>
      <c r="H5749" s="128" t="str">
        <f>VLOOKUP(source[[#This Row],[lending_product_transform]],[3]Mapping!$B$3:$D$37,3,0)</f>
        <v>cashloan</v>
      </c>
      <c r="I5749" s="135">
        <v>6424900000</v>
      </c>
    </row>
    <row r="5750" spans="1:9" x14ac:dyDescent="0.2">
      <c r="A5750" s="134">
        <v>45740</v>
      </c>
      <c r="B5750" s="135">
        <f>YEAR(source[[#This Row],[report_date]])</f>
        <v>2025</v>
      </c>
      <c r="C5750" s="128">
        <f t="shared" ref="C5750:C5813" si="268">MONTH(A5750)</f>
        <v>3</v>
      </c>
      <c r="D5750" s="136">
        <f t="shared" si="267"/>
        <v>13</v>
      </c>
      <c r="E5750" s="136">
        <f t="shared" ref="E5750:E5813" si="269">DAY(A5750)</f>
        <v>24</v>
      </c>
      <c r="F5750" s="128" t="s">
        <v>24</v>
      </c>
      <c r="G5750" s="128" t="str">
        <f>VLOOKUP(source[[#This Row],[lending_product_transform]],[3]Mapping!$B$4:$C$37,2,0)</f>
        <v>[Cake] - Cashloan</v>
      </c>
      <c r="H5750" s="128" t="str">
        <f>VLOOKUP(source[[#This Row],[lending_product_transform]],[3]Mapping!$B$3:$D$37,3,0)</f>
        <v>cashloan</v>
      </c>
      <c r="I5750" s="135">
        <v>4733000000</v>
      </c>
    </row>
    <row r="5751" spans="1:9" x14ac:dyDescent="0.2">
      <c r="A5751" s="134">
        <v>45740</v>
      </c>
      <c r="B5751" s="135">
        <f>YEAR(source[[#This Row],[report_date]])</f>
        <v>2025</v>
      </c>
      <c r="C5751" s="128">
        <f t="shared" si="268"/>
        <v>3</v>
      </c>
      <c r="D5751" s="136">
        <f t="shared" si="267"/>
        <v>13</v>
      </c>
      <c r="E5751" s="136">
        <f t="shared" si="269"/>
        <v>24</v>
      </c>
      <c r="F5751" s="128" t="s">
        <v>24</v>
      </c>
      <c r="G5751" s="128" t="str">
        <f>VLOOKUP(source[[#This Row],[lending_product_transform]],[3]Mapping!$B$4:$C$37,2,0)</f>
        <v>[Cake] - Cashloan</v>
      </c>
      <c r="H5751" s="128" t="str">
        <f>VLOOKUP(source[[#This Row],[lending_product_transform]],[3]Mapping!$B$3:$D$37,3,0)</f>
        <v>cashloan</v>
      </c>
      <c r="I5751" s="135">
        <v>26227880</v>
      </c>
    </row>
    <row r="5752" spans="1:9" x14ac:dyDescent="0.2">
      <c r="A5752" s="134">
        <v>45740</v>
      </c>
      <c r="B5752" s="135">
        <f>YEAR(source[[#This Row],[report_date]])</f>
        <v>2025</v>
      </c>
      <c r="C5752" s="128">
        <f t="shared" si="268"/>
        <v>3</v>
      </c>
      <c r="D5752" s="136">
        <f t="shared" si="267"/>
        <v>13</v>
      </c>
      <c r="E5752" s="136">
        <f t="shared" si="269"/>
        <v>24</v>
      </c>
      <c r="F5752" s="128" t="s">
        <v>24</v>
      </c>
      <c r="G5752" s="128" t="str">
        <f>VLOOKUP(source[[#This Row],[lending_product_transform]],[3]Mapping!$B$4:$C$37,2,0)</f>
        <v>[Cake] - Cashloan</v>
      </c>
      <c r="H5752" s="128" t="str">
        <f>VLOOKUP(source[[#This Row],[lending_product_transform]],[3]Mapping!$B$3:$D$37,3,0)</f>
        <v>cashloan</v>
      </c>
      <c r="I5752" s="135">
        <v>5786750000</v>
      </c>
    </row>
    <row r="5753" spans="1:9" x14ac:dyDescent="0.2">
      <c r="A5753" s="134">
        <v>45740</v>
      </c>
      <c r="B5753" s="135">
        <f>YEAR(source[[#This Row],[report_date]])</f>
        <v>2025</v>
      </c>
      <c r="C5753" s="128">
        <f t="shared" si="268"/>
        <v>3</v>
      </c>
      <c r="D5753" s="136">
        <f t="shared" si="267"/>
        <v>13</v>
      </c>
      <c r="E5753" s="136">
        <f t="shared" si="269"/>
        <v>24</v>
      </c>
      <c r="F5753" s="128" t="s">
        <v>24</v>
      </c>
      <c r="G5753" s="128" t="str">
        <f>VLOOKUP(source[[#This Row],[lending_product_transform]],[3]Mapping!$B$4:$C$37,2,0)</f>
        <v>[Cake] - Cashloan</v>
      </c>
      <c r="H5753" s="128" t="str">
        <f>VLOOKUP(source[[#This Row],[lending_product_transform]],[3]Mapping!$B$3:$D$37,3,0)</f>
        <v>cashloan</v>
      </c>
      <c r="I5753" s="135">
        <v>7259280000</v>
      </c>
    </row>
    <row r="5754" spans="1:9" x14ac:dyDescent="0.2">
      <c r="A5754" s="134">
        <v>45740</v>
      </c>
      <c r="B5754" s="135">
        <f>YEAR(source[[#This Row],[report_date]])</f>
        <v>2025</v>
      </c>
      <c r="C5754" s="128">
        <f t="shared" si="268"/>
        <v>3</v>
      </c>
      <c r="D5754" s="136">
        <f t="shared" si="267"/>
        <v>13</v>
      </c>
      <c r="E5754" s="136">
        <f t="shared" si="269"/>
        <v>24</v>
      </c>
      <c r="F5754" s="128" t="s">
        <v>24</v>
      </c>
      <c r="G5754" s="128" t="str">
        <f>VLOOKUP(source[[#This Row],[lending_product_transform]],[3]Mapping!$B$4:$C$37,2,0)</f>
        <v>[Cake] - Cashloan</v>
      </c>
      <c r="H5754" s="128" t="str">
        <f>VLOOKUP(source[[#This Row],[lending_product_transform]],[3]Mapping!$B$3:$D$37,3,0)</f>
        <v>cashloan</v>
      </c>
      <c r="I5754" s="135">
        <v>0</v>
      </c>
    </row>
    <row r="5755" spans="1:9" x14ac:dyDescent="0.2">
      <c r="A5755" s="134">
        <v>45740</v>
      </c>
      <c r="B5755" s="135">
        <f>YEAR(source[[#This Row],[report_date]])</f>
        <v>2025</v>
      </c>
      <c r="C5755" s="128">
        <f t="shared" si="268"/>
        <v>3</v>
      </c>
      <c r="D5755" s="136">
        <f t="shared" si="267"/>
        <v>13</v>
      </c>
      <c r="E5755" s="136">
        <f t="shared" si="269"/>
        <v>24</v>
      </c>
      <c r="F5755" s="128" t="s">
        <v>24</v>
      </c>
      <c r="G5755" s="128" t="str">
        <f>VLOOKUP(source[[#This Row],[lending_product_transform]],[3]Mapping!$B$4:$C$37,2,0)</f>
        <v>[Cake] - Cashloan</v>
      </c>
      <c r="H5755" s="128" t="str">
        <f>VLOOKUP(source[[#This Row],[lending_product_transform]],[3]Mapping!$B$3:$D$37,3,0)</f>
        <v>cashloan</v>
      </c>
      <c r="I5755" s="135">
        <v>97750000</v>
      </c>
    </row>
    <row r="5756" spans="1:9" x14ac:dyDescent="0.2">
      <c r="A5756" s="134">
        <v>45740</v>
      </c>
      <c r="B5756" s="135">
        <f>YEAR(source[[#This Row],[report_date]])</f>
        <v>2025</v>
      </c>
      <c r="C5756" s="128">
        <f t="shared" si="268"/>
        <v>3</v>
      </c>
      <c r="D5756" s="136">
        <f t="shared" si="267"/>
        <v>13</v>
      </c>
      <c r="E5756" s="136">
        <f t="shared" si="269"/>
        <v>24</v>
      </c>
      <c r="F5756" s="128" t="s">
        <v>24</v>
      </c>
      <c r="G5756" s="128" t="str">
        <f>VLOOKUP(source[[#This Row],[lending_product_transform]],[3]Mapping!$B$4:$C$37,2,0)</f>
        <v>[Cake] - Cashloan</v>
      </c>
      <c r="H5756" s="128" t="str">
        <f>VLOOKUP(source[[#This Row],[lending_product_transform]],[3]Mapping!$B$3:$D$37,3,0)</f>
        <v>cashloan</v>
      </c>
      <c r="I5756" s="135">
        <v>111000000</v>
      </c>
    </row>
    <row r="5757" spans="1:9" x14ac:dyDescent="0.2">
      <c r="A5757" s="134">
        <v>45740</v>
      </c>
      <c r="B5757" s="135">
        <f>YEAR(source[[#This Row],[report_date]])</f>
        <v>2025</v>
      </c>
      <c r="C5757" s="128">
        <f t="shared" si="268"/>
        <v>3</v>
      </c>
      <c r="D5757" s="136">
        <f t="shared" si="267"/>
        <v>13</v>
      </c>
      <c r="E5757" s="136">
        <f t="shared" si="269"/>
        <v>24</v>
      </c>
      <c r="F5757" s="128" t="s">
        <v>24</v>
      </c>
      <c r="G5757" s="128" t="str">
        <f>VLOOKUP(source[[#This Row],[lending_product_transform]],[3]Mapping!$B$4:$C$37,2,0)</f>
        <v>[Cake] - Cashloan</v>
      </c>
      <c r="H5757" s="128" t="str">
        <f>VLOOKUP(source[[#This Row],[lending_product_transform]],[3]Mapping!$B$3:$D$37,3,0)</f>
        <v>cashloan</v>
      </c>
      <c r="I5757" s="135">
        <v>0</v>
      </c>
    </row>
    <row r="5758" spans="1:9" x14ac:dyDescent="0.2">
      <c r="A5758" s="134">
        <v>45740</v>
      </c>
      <c r="B5758" s="135">
        <f>YEAR(source[[#This Row],[report_date]])</f>
        <v>2025</v>
      </c>
      <c r="C5758" s="128">
        <f t="shared" si="268"/>
        <v>3</v>
      </c>
      <c r="D5758" s="136">
        <f t="shared" si="267"/>
        <v>13</v>
      </c>
      <c r="E5758" s="136">
        <f t="shared" si="269"/>
        <v>24</v>
      </c>
      <c r="F5758" s="128" t="s">
        <v>24</v>
      </c>
      <c r="G5758" s="128" t="str">
        <f>VLOOKUP(source[[#This Row],[lending_product_transform]],[3]Mapping!$B$4:$C$37,2,0)</f>
        <v>[Cake] - Cashloan</v>
      </c>
      <c r="H5758" s="128" t="str">
        <f>VLOOKUP(source[[#This Row],[lending_product_transform]],[3]Mapping!$B$3:$D$37,3,0)</f>
        <v>cashloan</v>
      </c>
      <c r="I5758" s="135">
        <v>21400000</v>
      </c>
    </row>
    <row r="5759" spans="1:9" x14ac:dyDescent="0.2">
      <c r="A5759" s="134">
        <v>45740</v>
      </c>
      <c r="B5759" s="135">
        <f>YEAR(source[[#This Row],[report_date]])</f>
        <v>2025</v>
      </c>
      <c r="C5759" s="128">
        <f t="shared" si="268"/>
        <v>3</v>
      </c>
      <c r="D5759" s="136">
        <f t="shared" si="267"/>
        <v>13</v>
      </c>
      <c r="E5759" s="136">
        <f t="shared" si="269"/>
        <v>24</v>
      </c>
      <c r="F5759" s="128" t="s">
        <v>24</v>
      </c>
      <c r="G5759" s="128" t="str">
        <f>VLOOKUP(source[[#This Row],[lending_product_transform]],[3]Mapping!$B$4:$C$37,2,0)</f>
        <v>[Cake] - Cashloan</v>
      </c>
      <c r="H5759" s="128" t="str">
        <f>VLOOKUP(source[[#This Row],[lending_product_transform]],[3]Mapping!$B$3:$D$37,3,0)</f>
        <v>cashloan</v>
      </c>
      <c r="I5759" s="135">
        <v>0</v>
      </c>
    </row>
    <row r="5760" spans="1:9" x14ac:dyDescent="0.2">
      <c r="A5760" s="134">
        <v>45740</v>
      </c>
      <c r="B5760" s="135">
        <f>YEAR(source[[#This Row],[report_date]])</f>
        <v>2025</v>
      </c>
      <c r="C5760" s="128">
        <f t="shared" si="268"/>
        <v>3</v>
      </c>
      <c r="D5760" s="136">
        <f t="shared" si="267"/>
        <v>13</v>
      </c>
      <c r="E5760" s="136">
        <f t="shared" si="269"/>
        <v>24</v>
      </c>
      <c r="F5760" s="128" t="s">
        <v>24</v>
      </c>
      <c r="G5760" s="128" t="str">
        <f>VLOOKUP(source[[#This Row],[lending_product_transform]],[3]Mapping!$B$4:$C$37,2,0)</f>
        <v>[Cake] - Cashloan</v>
      </c>
      <c r="H5760" s="128" t="str">
        <f>VLOOKUP(source[[#This Row],[lending_product_transform]],[3]Mapping!$B$3:$D$37,3,0)</f>
        <v>cashloan</v>
      </c>
      <c r="I5760" s="135">
        <v>0</v>
      </c>
    </row>
    <row r="5761" spans="1:9" x14ac:dyDescent="0.2">
      <c r="A5761" s="134">
        <v>45740</v>
      </c>
      <c r="B5761" s="135">
        <f>YEAR(source[[#This Row],[report_date]])</f>
        <v>2025</v>
      </c>
      <c r="C5761" s="128">
        <f t="shared" si="268"/>
        <v>3</v>
      </c>
      <c r="D5761" s="136">
        <f t="shared" si="267"/>
        <v>13</v>
      </c>
      <c r="E5761" s="136">
        <f t="shared" si="269"/>
        <v>24</v>
      </c>
      <c r="F5761" s="128" t="s">
        <v>24</v>
      </c>
      <c r="G5761" s="128" t="str">
        <f>VLOOKUP(source[[#This Row],[lending_product_transform]],[3]Mapping!$B$4:$C$37,2,0)</f>
        <v>[Cake] - Cashloan</v>
      </c>
      <c r="H5761" s="128" t="str">
        <f>VLOOKUP(source[[#This Row],[lending_product_transform]],[3]Mapping!$B$3:$D$37,3,0)</f>
        <v>cashloan</v>
      </c>
      <c r="I5761" s="135">
        <v>0</v>
      </c>
    </row>
    <row r="5762" spans="1:9" x14ac:dyDescent="0.2">
      <c r="A5762" s="134">
        <v>45740</v>
      </c>
      <c r="B5762" s="135">
        <f>YEAR(source[[#This Row],[report_date]])</f>
        <v>2025</v>
      </c>
      <c r="C5762" s="128">
        <f t="shared" si="268"/>
        <v>3</v>
      </c>
      <c r="D5762" s="136">
        <f t="shared" si="267"/>
        <v>13</v>
      </c>
      <c r="E5762" s="136">
        <f t="shared" si="269"/>
        <v>24</v>
      </c>
      <c r="F5762" s="128" t="s">
        <v>24</v>
      </c>
      <c r="G5762" s="128" t="str">
        <f>VLOOKUP(source[[#This Row],[lending_product_transform]],[3]Mapping!$B$4:$C$37,2,0)</f>
        <v>[Cake] - Cashloan</v>
      </c>
      <c r="H5762" s="128" t="str">
        <f>VLOOKUP(source[[#This Row],[lending_product_transform]],[3]Mapping!$B$3:$D$37,3,0)</f>
        <v>cashloan</v>
      </c>
      <c r="I5762" s="135">
        <v>331970000</v>
      </c>
    </row>
    <row r="5763" spans="1:9" x14ac:dyDescent="0.2">
      <c r="A5763" s="134">
        <v>45740</v>
      </c>
      <c r="B5763" s="135">
        <f>YEAR(source[[#This Row],[report_date]])</f>
        <v>2025</v>
      </c>
      <c r="C5763" s="128">
        <f t="shared" si="268"/>
        <v>3</v>
      </c>
      <c r="D5763" s="136">
        <f t="shared" ref="D5763:D5826" si="270">WEEKNUM(A5763,2)</f>
        <v>13</v>
      </c>
      <c r="E5763" s="136">
        <f t="shared" si="269"/>
        <v>24</v>
      </c>
      <c r="F5763" s="128" t="s">
        <v>24</v>
      </c>
      <c r="G5763" s="128" t="str">
        <f>VLOOKUP(source[[#This Row],[lending_product_transform]],[3]Mapping!$B$4:$C$37,2,0)</f>
        <v>[Cake] - Cashloan</v>
      </c>
      <c r="H5763" s="128" t="str">
        <f>VLOOKUP(source[[#This Row],[lending_product_transform]],[3]Mapping!$B$3:$D$37,3,0)</f>
        <v>cashloan</v>
      </c>
      <c r="I5763" s="135">
        <v>0</v>
      </c>
    </row>
    <row r="5764" spans="1:9" x14ac:dyDescent="0.2">
      <c r="A5764" s="134">
        <v>45740</v>
      </c>
      <c r="B5764" s="135">
        <f>YEAR(source[[#This Row],[report_date]])</f>
        <v>2025</v>
      </c>
      <c r="C5764" s="128">
        <f t="shared" si="268"/>
        <v>3</v>
      </c>
      <c r="D5764" s="136">
        <f t="shared" si="270"/>
        <v>13</v>
      </c>
      <c r="E5764" s="136">
        <f t="shared" si="269"/>
        <v>24</v>
      </c>
      <c r="F5764" s="128" t="s">
        <v>24</v>
      </c>
      <c r="G5764" s="128" t="str">
        <f>VLOOKUP(source[[#This Row],[lending_product_transform]],[3]Mapping!$B$4:$C$37,2,0)</f>
        <v>[Cake] - Cashloan</v>
      </c>
      <c r="H5764" s="128" t="str">
        <f>VLOOKUP(source[[#This Row],[lending_product_transform]],[3]Mapping!$B$3:$D$37,3,0)</f>
        <v>cashloan</v>
      </c>
      <c r="I5764" s="135">
        <v>787960000</v>
      </c>
    </row>
    <row r="5765" spans="1:9" x14ac:dyDescent="0.2">
      <c r="A5765" s="134">
        <v>45740</v>
      </c>
      <c r="B5765" s="135">
        <f>YEAR(source[[#This Row],[report_date]])</f>
        <v>2025</v>
      </c>
      <c r="C5765" s="128">
        <f t="shared" si="268"/>
        <v>3</v>
      </c>
      <c r="D5765" s="136">
        <f t="shared" si="270"/>
        <v>13</v>
      </c>
      <c r="E5765" s="136">
        <f t="shared" si="269"/>
        <v>24</v>
      </c>
      <c r="F5765" s="128" t="s">
        <v>24</v>
      </c>
      <c r="G5765" s="128" t="str">
        <f>VLOOKUP(source[[#This Row],[lending_product_transform]],[3]Mapping!$B$4:$C$37,2,0)</f>
        <v>[Cake] - Cashloan</v>
      </c>
      <c r="H5765" s="128" t="str">
        <f>VLOOKUP(source[[#This Row],[lending_product_transform]],[3]Mapping!$B$3:$D$37,3,0)</f>
        <v>cashloan</v>
      </c>
      <c r="I5765" s="135">
        <v>272861990</v>
      </c>
    </row>
    <row r="5766" spans="1:9" x14ac:dyDescent="0.2">
      <c r="A5766" s="134">
        <v>45740</v>
      </c>
      <c r="B5766" s="135">
        <f>YEAR(source[[#This Row],[report_date]])</f>
        <v>2025</v>
      </c>
      <c r="C5766" s="128">
        <f t="shared" si="268"/>
        <v>3</v>
      </c>
      <c r="D5766" s="136">
        <f t="shared" si="270"/>
        <v>13</v>
      </c>
      <c r="E5766" s="136">
        <f t="shared" si="269"/>
        <v>24</v>
      </c>
      <c r="F5766" s="128" t="s">
        <v>24</v>
      </c>
      <c r="G5766" s="128" t="str">
        <f>VLOOKUP(source[[#This Row],[lending_product_transform]],[3]Mapping!$B$4:$C$37,2,0)</f>
        <v>[Cake] - Cashloan</v>
      </c>
      <c r="H5766" s="128" t="str">
        <f>VLOOKUP(source[[#This Row],[lending_product_transform]],[3]Mapping!$B$3:$D$37,3,0)</f>
        <v>cashloan</v>
      </c>
      <c r="I5766" s="135">
        <v>143645482</v>
      </c>
    </row>
    <row r="5767" spans="1:9" x14ac:dyDescent="0.2">
      <c r="A5767" s="134">
        <v>45740</v>
      </c>
      <c r="B5767" s="135">
        <f>YEAR(source[[#This Row],[report_date]])</f>
        <v>2025</v>
      </c>
      <c r="C5767" s="128">
        <f t="shared" si="268"/>
        <v>3</v>
      </c>
      <c r="D5767" s="136">
        <f t="shared" si="270"/>
        <v>13</v>
      </c>
      <c r="E5767" s="136">
        <f t="shared" si="269"/>
        <v>24</v>
      </c>
      <c r="F5767" s="128" t="s">
        <v>24</v>
      </c>
      <c r="G5767" s="128" t="str">
        <f>VLOOKUP(source[[#This Row],[lending_product_transform]],[3]Mapping!$B$4:$C$37,2,0)</f>
        <v>[Cake] - Cashloan</v>
      </c>
      <c r="H5767" s="128" t="str">
        <f>VLOOKUP(source[[#This Row],[lending_product_transform]],[3]Mapping!$B$3:$D$37,3,0)</f>
        <v>cashloan</v>
      </c>
      <c r="I5767" s="135">
        <v>257962544</v>
      </c>
    </row>
    <row r="5768" spans="1:9" x14ac:dyDescent="0.2">
      <c r="A5768" s="134">
        <v>45740</v>
      </c>
      <c r="B5768" s="135">
        <f>YEAR(source[[#This Row],[report_date]])</f>
        <v>2025</v>
      </c>
      <c r="C5768" s="128">
        <f t="shared" si="268"/>
        <v>3</v>
      </c>
      <c r="D5768" s="136">
        <f t="shared" si="270"/>
        <v>13</v>
      </c>
      <c r="E5768" s="136">
        <f t="shared" si="269"/>
        <v>24</v>
      </c>
      <c r="F5768" s="128" t="s">
        <v>24</v>
      </c>
      <c r="G5768" s="128" t="str">
        <f>VLOOKUP(source[[#This Row],[lending_product_transform]],[3]Mapping!$B$4:$C$37,2,0)</f>
        <v>[Cake] - Cashloan</v>
      </c>
      <c r="H5768" s="128" t="str">
        <f>VLOOKUP(source[[#This Row],[lending_product_transform]],[3]Mapping!$B$3:$D$37,3,0)</f>
        <v>cashloan</v>
      </c>
      <c r="I5768" s="135">
        <v>3606938719</v>
      </c>
    </row>
    <row r="5769" spans="1:9" x14ac:dyDescent="0.2">
      <c r="A5769" s="134">
        <v>45741</v>
      </c>
      <c r="B5769" s="135">
        <f>YEAR(source[[#This Row],[report_date]])</f>
        <v>2025</v>
      </c>
      <c r="C5769" s="128">
        <f t="shared" si="268"/>
        <v>3</v>
      </c>
      <c r="D5769" s="136">
        <f t="shared" si="270"/>
        <v>13</v>
      </c>
      <c r="E5769" s="136">
        <f t="shared" si="269"/>
        <v>25</v>
      </c>
      <c r="F5769" s="128" t="s">
        <v>24</v>
      </c>
      <c r="G5769" s="128" t="str">
        <f>VLOOKUP(source[[#This Row],[lending_product_transform]],[3]Mapping!$B$4:$C$37,2,0)</f>
        <v>[Cake] - Cashloan</v>
      </c>
      <c r="H5769" s="128" t="str">
        <f>VLOOKUP(source[[#This Row],[lending_product_transform]],[3]Mapping!$B$3:$D$37,3,0)</f>
        <v>cashloan</v>
      </c>
      <c r="I5769" s="135">
        <v>6110630000</v>
      </c>
    </row>
    <row r="5770" spans="1:9" x14ac:dyDescent="0.2">
      <c r="A5770" s="134">
        <v>45741</v>
      </c>
      <c r="B5770" s="135">
        <f>YEAR(source[[#This Row],[report_date]])</f>
        <v>2025</v>
      </c>
      <c r="C5770" s="128">
        <f t="shared" si="268"/>
        <v>3</v>
      </c>
      <c r="D5770" s="136">
        <f t="shared" si="270"/>
        <v>13</v>
      </c>
      <c r="E5770" s="136">
        <f t="shared" si="269"/>
        <v>25</v>
      </c>
      <c r="F5770" s="128" t="s">
        <v>24</v>
      </c>
      <c r="G5770" s="128" t="str">
        <f>VLOOKUP(source[[#This Row],[lending_product_transform]],[3]Mapping!$B$4:$C$37,2,0)</f>
        <v>[Cake] - Cashloan</v>
      </c>
      <c r="H5770" s="128" t="str">
        <f>VLOOKUP(source[[#This Row],[lending_product_transform]],[3]Mapping!$B$3:$D$37,3,0)</f>
        <v>cashloan</v>
      </c>
      <c r="I5770" s="135">
        <v>4972500000</v>
      </c>
    </row>
    <row r="5771" spans="1:9" x14ac:dyDescent="0.2">
      <c r="A5771" s="134">
        <v>45741</v>
      </c>
      <c r="B5771" s="135">
        <f>YEAR(source[[#This Row],[report_date]])</f>
        <v>2025</v>
      </c>
      <c r="C5771" s="128">
        <f t="shared" si="268"/>
        <v>3</v>
      </c>
      <c r="D5771" s="136">
        <f t="shared" si="270"/>
        <v>13</v>
      </c>
      <c r="E5771" s="136">
        <f t="shared" si="269"/>
        <v>25</v>
      </c>
      <c r="F5771" s="128" t="s">
        <v>24</v>
      </c>
      <c r="G5771" s="128" t="str">
        <f>VLOOKUP(source[[#This Row],[lending_product_transform]],[3]Mapping!$B$4:$C$37,2,0)</f>
        <v>[Cake] - Cashloan</v>
      </c>
      <c r="H5771" s="128" t="str">
        <f>VLOOKUP(source[[#This Row],[lending_product_transform]],[3]Mapping!$B$3:$D$37,3,0)</f>
        <v>cashloan</v>
      </c>
      <c r="I5771" s="135">
        <v>7149760000</v>
      </c>
    </row>
    <row r="5772" spans="1:9" x14ac:dyDescent="0.2">
      <c r="A5772" s="134">
        <v>45741</v>
      </c>
      <c r="B5772" s="135">
        <f>YEAR(source[[#This Row],[report_date]])</f>
        <v>2025</v>
      </c>
      <c r="C5772" s="128">
        <f t="shared" si="268"/>
        <v>3</v>
      </c>
      <c r="D5772" s="136">
        <f t="shared" si="270"/>
        <v>13</v>
      </c>
      <c r="E5772" s="136">
        <f t="shared" si="269"/>
        <v>25</v>
      </c>
      <c r="F5772" s="128" t="s">
        <v>24</v>
      </c>
      <c r="G5772" s="128" t="str">
        <f>VLOOKUP(source[[#This Row],[lending_product_transform]],[3]Mapping!$B$4:$C$37,2,0)</f>
        <v>[Cake] - Cashloan</v>
      </c>
      <c r="H5772" s="128" t="str">
        <f>VLOOKUP(source[[#This Row],[lending_product_transform]],[3]Mapping!$B$3:$D$37,3,0)</f>
        <v>cashloan</v>
      </c>
      <c r="I5772" s="135">
        <v>112950000</v>
      </c>
    </row>
    <row r="5773" spans="1:9" x14ac:dyDescent="0.2">
      <c r="A5773" s="134">
        <v>45741</v>
      </c>
      <c r="B5773" s="135">
        <f>YEAR(source[[#This Row],[report_date]])</f>
        <v>2025</v>
      </c>
      <c r="C5773" s="128">
        <f t="shared" si="268"/>
        <v>3</v>
      </c>
      <c r="D5773" s="136">
        <f t="shared" si="270"/>
        <v>13</v>
      </c>
      <c r="E5773" s="136">
        <f t="shared" si="269"/>
        <v>25</v>
      </c>
      <c r="F5773" s="128" t="s">
        <v>24</v>
      </c>
      <c r="G5773" s="128" t="str">
        <f>VLOOKUP(source[[#This Row],[lending_product_transform]],[3]Mapping!$B$4:$C$37,2,0)</f>
        <v>[Cake] - Cashloan</v>
      </c>
      <c r="H5773" s="128" t="str">
        <f>VLOOKUP(source[[#This Row],[lending_product_transform]],[3]Mapping!$B$3:$D$37,3,0)</f>
        <v>cashloan</v>
      </c>
      <c r="I5773" s="135">
        <v>0</v>
      </c>
    </row>
    <row r="5774" spans="1:9" x14ac:dyDescent="0.2">
      <c r="A5774" s="134">
        <v>45741</v>
      </c>
      <c r="B5774" s="135">
        <f>YEAR(source[[#This Row],[report_date]])</f>
        <v>2025</v>
      </c>
      <c r="C5774" s="128">
        <f t="shared" si="268"/>
        <v>3</v>
      </c>
      <c r="D5774" s="136">
        <f t="shared" si="270"/>
        <v>13</v>
      </c>
      <c r="E5774" s="136">
        <f t="shared" si="269"/>
        <v>25</v>
      </c>
      <c r="F5774" s="128" t="s">
        <v>24</v>
      </c>
      <c r="G5774" s="128" t="str">
        <f>VLOOKUP(source[[#This Row],[lending_product_transform]],[3]Mapping!$B$4:$C$37,2,0)</f>
        <v>[Cake] - Cashloan</v>
      </c>
      <c r="H5774" s="128" t="str">
        <f>VLOOKUP(source[[#This Row],[lending_product_transform]],[3]Mapping!$B$3:$D$37,3,0)</f>
        <v>cashloan</v>
      </c>
      <c r="I5774" s="135">
        <v>325292771</v>
      </c>
    </row>
    <row r="5775" spans="1:9" x14ac:dyDescent="0.2">
      <c r="A5775" s="134">
        <v>45741</v>
      </c>
      <c r="B5775" s="135">
        <f>YEAR(source[[#This Row],[report_date]])</f>
        <v>2025</v>
      </c>
      <c r="C5775" s="128">
        <f t="shared" si="268"/>
        <v>3</v>
      </c>
      <c r="D5775" s="136">
        <f t="shared" si="270"/>
        <v>13</v>
      </c>
      <c r="E5775" s="136">
        <f t="shared" si="269"/>
        <v>25</v>
      </c>
      <c r="F5775" s="128" t="s">
        <v>24</v>
      </c>
      <c r="G5775" s="128" t="str">
        <f>VLOOKUP(source[[#This Row],[lending_product_transform]],[3]Mapping!$B$4:$C$37,2,0)</f>
        <v>[Cake] - Cashloan</v>
      </c>
      <c r="H5775" s="128" t="str">
        <f>VLOOKUP(source[[#This Row],[lending_product_transform]],[3]Mapping!$B$3:$D$37,3,0)</f>
        <v>cashloan</v>
      </c>
      <c r="I5775" s="135">
        <v>0</v>
      </c>
    </row>
    <row r="5776" spans="1:9" x14ac:dyDescent="0.2">
      <c r="A5776" s="134">
        <v>45741</v>
      </c>
      <c r="B5776" s="135">
        <f>YEAR(source[[#This Row],[report_date]])</f>
        <v>2025</v>
      </c>
      <c r="C5776" s="128">
        <f t="shared" si="268"/>
        <v>3</v>
      </c>
      <c r="D5776" s="136">
        <f t="shared" si="270"/>
        <v>13</v>
      </c>
      <c r="E5776" s="136">
        <f t="shared" si="269"/>
        <v>25</v>
      </c>
      <c r="F5776" s="128" t="s">
        <v>24</v>
      </c>
      <c r="G5776" s="128" t="str">
        <f>VLOOKUP(source[[#This Row],[lending_product_transform]],[3]Mapping!$B$4:$C$37,2,0)</f>
        <v>[Cake] - Cashloan</v>
      </c>
      <c r="H5776" s="128" t="str">
        <f>VLOOKUP(source[[#This Row],[lending_product_transform]],[3]Mapping!$B$3:$D$37,3,0)</f>
        <v>cashloan</v>
      </c>
      <c r="I5776" s="135">
        <v>3858280100</v>
      </c>
    </row>
    <row r="5777" spans="1:9" x14ac:dyDescent="0.2">
      <c r="A5777" s="134">
        <v>45741</v>
      </c>
      <c r="B5777" s="135">
        <f>YEAR(source[[#This Row],[report_date]])</f>
        <v>2025</v>
      </c>
      <c r="C5777" s="128">
        <f t="shared" si="268"/>
        <v>3</v>
      </c>
      <c r="D5777" s="136">
        <f t="shared" si="270"/>
        <v>13</v>
      </c>
      <c r="E5777" s="136">
        <f t="shared" si="269"/>
        <v>25</v>
      </c>
      <c r="F5777" s="128" t="s">
        <v>24</v>
      </c>
      <c r="G5777" s="128" t="str">
        <f>VLOOKUP(source[[#This Row],[lending_product_transform]],[3]Mapping!$B$4:$C$37,2,0)</f>
        <v>[Cake] - Cashloan</v>
      </c>
      <c r="H5777" s="128" t="str">
        <f>VLOOKUP(source[[#This Row],[lending_product_transform]],[3]Mapping!$B$3:$D$37,3,0)</f>
        <v>cashloan</v>
      </c>
      <c r="I5777" s="135">
        <v>64000000</v>
      </c>
    </row>
    <row r="5778" spans="1:9" x14ac:dyDescent="0.2">
      <c r="A5778" s="134">
        <v>45741</v>
      </c>
      <c r="B5778" s="135">
        <f>YEAR(source[[#This Row],[report_date]])</f>
        <v>2025</v>
      </c>
      <c r="C5778" s="128">
        <f t="shared" si="268"/>
        <v>3</v>
      </c>
      <c r="D5778" s="136">
        <f t="shared" si="270"/>
        <v>13</v>
      </c>
      <c r="E5778" s="136">
        <f t="shared" si="269"/>
        <v>25</v>
      </c>
      <c r="F5778" s="128" t="s">
        <v>24</v>
      </c>
      <c r="G5778" s="128" t="str">
        <f>VLOOKUP(source[[#This Row],[lending_product_transform]],[3]Mapping!$B$4:$C$37,2,0)</f>
        <v>[Cake] - Cashloan</v>
      </c>
      <c r="H5778" s="128" t="str">
        <f>VLOOKUP(source[[#This Row],[lending_product_transform]],[3]Mapping!$B$3:$D$37,3,0)</f>
        <v>cashloan</v>
      </c>
      <c r="I5778" s="135">
        <v>0</v>
      </c>
    </row>
    <row r="5779" spans="1:9" x14ac:dyDescent="0.2">
      <c r="A5779" s="134">
        <v>45741</v>
      </c>
      <c r="B5779" s="135">
        <f>YEAR(source[[#This Row],[report_date]])</f>
        <v>2025</v>
      </c>
      <c r="C5779" s="128">
        <f t="shared" si="268"/>
        <v>3</v>
      </c>
      <c r="D5779" s="136">
        <f t="shared" si="270"/>
        <v>13</v>
      </c>
      <c r="E5779" s="136">
        <f t="shared" si="269"/>
        <v>25</v>
      </c>
      <c r="F5779" s="128" t="s">
        <v>24</v>
      </c>
      <c r="G5779" s="128" t="str">
        <f>VLOOKUP(source[[#This Row],[lending_product_transform]],[3]Mapping!$B$4:$C$37,2,0)</f>
        <v>[Cake] - Cashloan</v>
      </c>
      <c r="H5779" s="128" t="str">
        <f>VLOOKUP(source[[#This Row],[lending_product_transform]],[3]Mapping!$B$3:$D$37,3,0)</f>
        <v>cashloan</v>
      </c>
      <c r="I5779" s="135">
        <v>0</v>
      </c>
    </row>
    <row r="5780" spans="1:9" x14ac:dyDescent="0.2">
      <c r="A5780" s="134">
        <v>45741</v>
      </c>
      <c r="B5780" s="135">
        <f>YEAR(source[[#This Row],[report_date]])</f>
        <v>2025</v>
      </c>
      <c r="C5780" s="128">
        <f t="shared" si="268"/>
        <v>3</v>
      </c>
      <c r="D5780" s="136">
        <f t="shared" si="270"/>
        <v>13</v>
      </c>
      <c r="E5780" s="136">
        <f t="shared" si="269"/>
        <v>25</v>
      </c>
      <c r="F5780" s="128" t="s">
        <v>24</v>
      </c>
      <c r="G5780" s="128" t="str">
        <f>VLOOKUP(source[[#This Row],[lending_product_transform]],[3]Mapping!$B$4:$C$37,2,0)</f>
        <v>[Cake] - Cashloan</v>
      </c>
      <c r="H5780" s="128" t="str">
        <f>VLOOKUP(source[[#This Row],[lending_product_transform]],[3]Mapping!$B$3:$D$37,3,0)</f>
        <v>cashloan</v>
      </c>
      <c r="I5780" s="135">
        <v>21400000</v>
      </c>
    </row>
    <row r="5781" spans="1:9" x14ac:dyDescent="0.2">
      <c r="A5781" s="134">
        <v>45741</v>
      </c>
      <c r="B5781" s="135">
        <f>YEAR(source[[#This Row],[report_date]])</f>
        <v>2025</v>
      </c>
      <c r="C5781" s="128">
        <f t="shared" si="268"/>
        <v>3</v>
      </c>
      <c r="D5781" s="136">
        <f t="shared" si="270"/>
        <v>13</v>
      </c>
      <c r="E5781" s="136">
        <f t="shared" si="269"/>
        <v>25</v>
      </c>
      <c r="F5781" s="128" t="s">
        <v>24</v>
      </c>
      <c r="G5781" s="128" t="str">
        <f>VLOOKUP(source[[#This Row],[lending_product_transform]],[3]Mapping!$B$4:$C$37,2,0)</f>
        <v>[Cake] - Cashloan</v>
      </c>
      <c r="H5781" s="128" t="str">
        <f>VLOOKUP(source[[#This Row],[lending_product_transform]],[3]Mapping!$B$3:$D$37,3,0)</f>
        <v>cashloan</v>
      </c>
      <c r="I5781" s="135">
        <v>16837709</v>
      </c>
    </row>
    <row r="5782" spans="1:9" x14ac:dyDescent="0.2">
      <c r="A5782" s="134">
        <v>45741</v>
      </c>
      <c r="B5782" s="135">
        <f>YEAR(source[[#This Row],[report_date]])</f>
        <v>2025</v>
      </c>
      <c r="C5782" s="128">
        <f t="shared" si="268"/>
        <v>3</v>
      </c>
      <c r="D5782" s="136">
        <f t="shared" si="270"/>
        <v>13</v>
      </c>
      <c r="E5782" s="136">
        <f t="shared" si="269"/>
        <v>25</v>
      </c>
      <c r="F5782" s="128" t="s">
        <v>24</v>
      </c>
      <c r="G5782" s="128" t="str">
        <f>VLOOKUP(source[[#This Row],[lending_product_transform]],[3]Mapping!$B$4:$C$37,2,0)</f>
        <v>[Cake] - Cashloan</v>
      </c>
      <c r="H5782" s="128" t="str">
        <f>VLOOKUP(source[[#This Row],[lending_product_transform]],[3]Mapping!$B$3:$D$37,3,0)</f>
        <v>cashloan</v>
      </c>
      <c r="I5782" s="135">
        <v>0</v>
      </c>
    </row>
    <row r="5783" spans="1:9" x14ac:dyDescent="0.2">
      <c r="A5783" s="134">
        <v>45741</v>
      </c>
      <c r="B5783" s="135">
        <f>YEAR(source[[#This Row],[report_date]])</f>
        <v>2025</v>
      </c>
      <c r="C5783" s="128">
        <f t="shared" si="268"/>
        <v>3</v>
      </c>
      <c r="D5783" s="136">
        <f t="shared" si="270"/>
        <v>13</v>
      </c>
      <c r="E5783" s="136">
        <f t="shared" si="269"/>
        <v>25</v>
      </c>
      <c r="F5783" s="128" t="s">
        <v>24</v>
      </c>
      <c r="G5783" s="128" t="str">
        <f>VLOOKUP(source[[#This Row],[lending_product_transform]],[3]Mapping!$B$4:$C$37,2,0)</f>
        <v>[Cake] - Cashloan</v>
      </c>
      <c r="H5783" s="128" t="str">
        <f>VLOOKUP(source[[#This Row],[lending_product_transform]],[3]Mapping!$B$3:$D$37,3,0)</f>
        <v>cashloan</v>
      </c>
      <c r="I5783" s="135">
        <v>400680000</v>
      </c>
    </row>
    <row r="5784" spans="1:9" x14ac:dyDescent="0.2">
      <c r="A5784" s="134">
        <v>45741</v>
      </c>
      <c r="B5784" s="135">
        <f>YEAR(source[[#This Row],[report_date]])</f>
        <v>2025</v>
      </c>
      <c r="C5784" s="128">
        <f t="shared" si="268"/>
        <v>3</v>
      </c>
      <c r="D5784" s="136">
        <f t="shared" si="270"/>
        <v>13</v>
      </c>
      <c r="E5784" s="136">
        <f t="shared" si="269"/>
        <v>25</v>
      </c>
      <c r="F5784" s="128" t="s">
        <v>24</v>
      </c>
      <c r="G5784" s="128" t="str">
        <f>VLOOKUP(source[[#This Row],[lending_product_transform]],[3]Mapping!$B$4:$C$37,2,0)</f>
        <v>[Cake] - Cashloan</v>
      </c>
      <c r="H5784" s="128" t="str">
        <f>VLOOKUP(source[[#This Row],[lending_product_transform]],[3]Mapping!$B$3:$D$37,3,0)</f>
        <v>cashloan</v>
      </c>
      <c r="I5784" s="135">
        <v>0</v>
      </c>
    </row>
    <row r="5785" spans="1:9" x14ac:dyDescent="0.2">
      <c r="A5785" s="134">
        <v>45741</v>
      </c>
      <c r="B5785" s="135">
        <f>YEAR(source[[#This Row],[report_date]])</f>
        <v>2025</v>
      </c>
      <c r="C5785" s="128">
        <f t="shared" si="268"/>
        <v>3</v>
      </c>
      <c r="D5785" s="136">
        <f t="shared" si="270"/>
        <v>13</v>
      </c>
      <c r="E5785" s="136">
        <f t="shared" si="269"/>
        <v>25</v>
      </c>
      <c r="F5785" s="128" t="s">
        <v>24</v>
      </c>
      <c r="G5785" s="128" t="str">
        <f>VLOOKUP(source[[#This Row],[lending_product_transform]],[3]Mapping!$B$4:$C$37,2,0)</f>
        <v>[Cake] - Cashloan</v>
      </c>
      <c r="H5785" s="128" t="str">
        <f>VLOOKUP(source[[#This Row],[lending_product_transform]],[3]Mapping!$B$3:$D$37,3,0)</f>
        <v>cashloan</v>
      </c>
      <c r="I5785" s="135">
        <v>613520000</v>
      </c>
    </row>
    <row r="5786" spans="1:9" x14ac:dyDescent="0.2">
      <c r="A5786" s="134">
        <v>45741</v>
      </c>
      <c r="B5786" s="135">
        <f>YEAR(source[[#This Row],[report_date]])</f>
        <v>2025</v>
      </c>
      <c r="C5786" s="128">
        <f t="shared" si="268"/>
        <v>3</v>
      </c>
      <c r="D5786" s="136">
        <f t="shared" si="270"/>
        <v>13</v>
      </c>
      <c r="E5786" s="136">
        <f t="shared" si="269"/>
        <v>25</v>
      </c>
      <c r="F5786" s="128" t="s">
        <v>24</v>
      </c>
      <c r="G5786" s="128" t="str">
        <f>VLOOKUP(source[[#This Row],[lending_product_transform]],[3]Mapping!$B$4:$C$37,2,0)</f>
        <v>[Cake] - Cashloan</v>
      </c>
      <c r="H5786" s="128" t="str">
        <f>VLOOKUP(source[[#This Row],[lending_product_transform]],[3]Mapping!$B$3:$D$37,3,0)</f>
        <v>cashloan</v>
      </c>
      <c r="I5786" s="135">
        <v>326464289</v>
      </c>
    </row>
    <row r="5787" spans="1:9" x14ac:dyDescent="0.2">
      <c r="A5787" s="134">
        <v>45741</v>
      </c>
      <c r="B5787" s="135">
        <f>YEAR(source[[#This Row],[report_date]])</f>
        <v>2025</v>
      </c>
      <c r="C5787" s="128">
        <f t="shared" si="268"/>
        <v>3</v>
      </c>
      <c r="D5787" s="136">
        <f t="shared" si="270"/>
        <v>13</v>
      </c>
      <c r="E5787" s="136">
        <f t="shared" si="269"/>
        <v>25</v>
      </c>
      <c r="F5787" s="128" t="s">
        <v>24</v>
      </c>
      <c r="G5787" s="128" t="str">
        <f>VLOOKUP(source[[#This Row],[lending_product_transform]],[3]Mapping!$B$4:$C$37,2,0)</f>
        <v>[Cake] - Cashloan</v>
      </c>
      <c r="H5787" s="128" t="str">
        <f>VLOOKUP(source[[#This Row],[lending_product_transform]],[3]Mapping!$B$3:$D$37,3,0)</f>
        <v>cashloan</v>
      </c>
      <c r="I5787" s="135">
        <v>145329890</v>
      </c>
    </row>
    <row r="5788" spans="1:9" x14ac:dyDescent="0.2">
      <c r="A5788" s="134">
        <v>45742</v>
      </c>
      <c r="B5788" s="135">
        <f>YEAR(source[[#This Row],[report_date]])</f>
        <v>2025</v>
      </c>
      <c r="C5788" s="128">
        <f t="shared" si="268"/>
        <v>3</v>
      </c>
      <c r="D5788" s="136">
        <f t="shared" si="270"/>
        <v>13</v>
      </c>
      <c r="E5788" s="136">
        <f t="shared" si="269"/>
        <v>26</v>
      </c>
      <c r="F5788" s="128" t="s">
        <v>24</v>
      </c>
      <c r="G5788" s="128" t="str">
        <f>VLOOKUP(source[[#This Row],[lending_product_transform]],[3]Mapping!$B$4:$C$37,2,0)</f>
        <v>[Cake] - Cashloan</v>
      </c>
      <c r="H5788" s="128" t="str">
        <f>VLOOKUP(source[[#This Row],[lending_product_transform]],[3]Mapping!$B$3:$D$37,3,0)</f>
        <v>cashloan</v>
      </c>
      <c r="I5788" s="135">
        <v>310520000</v>
      </c>
    </row>
    <row r="5789" spans="1:9" x14ac:dyDescent="0.2">
      <c r="A5789" s="134">
        <v>45742</v>
      </c>
      <c r="B5789" s="135">
        <f>YEAR(source[[#This Row],[report_date]])</f>
        <v>2025</v>
      </c>
      <c r="C5789" s="128">
        <f t="shared" si="268"/>
        <v>3</v>
      </c>
      <c r="D5789" s="136">
        <f t="shared" si="270"/>
        <v>13</v>
      </c>
      <c r="E5789" s="136">
        <f t="shared" si="269"/>
        <v>26</v>
      </c>
      <c r="F5789" s="128" t="s">
        <v>24</v>
      </c>
      <c r="G5789" s="128" t="str">
        <f>VLOOKUP(source[[#This Row],[lending_product_transform]],[3]Mapping!$B$4:$C$37,2,0)</f>
        <v>[Cake] - Cashloan</v>
      </c>
      <c r="H5789" s="128" t="str">
        <f>VLOOKUP(source[[#This Row],[lending_product_transform]],[3]Mapping!$B$3:$D$37,3,0)</f>
        <v>cashloan</v>
      </c>
      <c r="I5789" s="135">
        <v>0</v>
      </c>
    </row>
    <row r="5790" spans="1:9" x14ac:dyDescent="0.2">
      <c r="A5790" s="134">
        <v>45742</v>
      </c>
      <c r="B5790" s="135">
        <f>YEAR(source[[#This Row],[report_date]])</f>
        <v>2025</v>
      </c>
      <c r="C5790" s="128">
        <f t="shared" si="268"/>
        <v>3</v>
      </c>
      <c r="D5790" s="136">
        <f t="shared" si="270"/>
        <v>13</v>
      </c>
      <c r="E5790" s="136">
        <f t="shared" si="269"/>
        <v>26</v>
      </c>
      <c r="F5790" s="128" t="s">
        <v>24</v>
      </c>
      <c r="G5790" s="128" t="str">
        <f>VLOOKUP(source[[#This Row],[lending_product_transform]],[3]Mapping!$B$4:$C$37,2,0)</f>
        <v>[Cake] - Cashloan</v>
      </c>
      <c r="H5790" s="128" t="str">
        <f>VLOOKUP(source[[#This Row],[lending_product_transform]],[3]Mapping!$B$3:$D$37,3,0)</f>
        <v>cashloan</v>
      </c>
      <c r="I5790" s="135">
        <v>0</v>
      </c>
    </row>
    <row r="5791" spans="1:9" x14ac:dyDescent="0.2">
      <c r="A5791" s="134">
        <v>45742</v>
      </c>
      <c r="B5791" s="135">
        <f>YEAR(source[[#This Row],[report_date]])</f>
        <v>2025</v>
      </c>
      <c r="C5791" s="128">
        <f t="shared" si="268"/>
        <v>3</v>
      </c>
      <c r="D5791" s="136">
        <f t="shared" si="270"/>
        <v>13</v>
      </c>
      <c r="E5791" s="136">
        <f t="shared" si="269"/>
        <v>26</v>
      </c>
      <c r="F5791" s="128" t="s">
        <v>24</v>
      </c>
      <c r="G5791" s="128" t="str">
        <f>VLOOKUP(source[[#This Row],[lending_product_transform]],[3]Mapping!$B$4:$C$37,2,0)</f>
        <v>[Cake] - Cashloan</v>
      </c>
      <c r="H5791" s="128" t="str">
        <f>VLOOKUP(source[[#This Row],[lending_product_transform]],[3]Mapping!$B$3:$D$37,3,0)</f>
        <v>cashloan</v>
      </c>
      <c r="I5791" s="135">
        <v>793100000</v>
      </c>
    </row>
    <row r="5792" spans="1:9" x14ac:dyDescent="0.2">
      <c r="A5792" s="134">
        <v>45742</v>
      </c>
      <c r="B5792" s="135">
        <f>YEAR(source[[#This Row],[report_date]])</f>
        <v>2025</v>
      </c>
      <c r="C5792" s="128">
        <f t="shared" si="268"/>
        <v>3</v>
      </c>
      <c r="D5792" s="136">
        <f t="shared" si="270"/>
        <v>13</v>
      </c>
      <c r="E5792" s="136">
        <f t="shared" si="269"/>
        <v>26</v>
      </c>
      <c r="F5792" s="128" t="s">
        <v>24</v>
      </c>
      <c r="G5792" s="128" t="str">
        <f>VLOOKUP(source[[#This Row],[lending_product_transform]],[3]Mapping!$B$4:$C$37,2,0)</f>
        <v>[Cake] - Cashloan</v>
      </c>
      <c r="H5792" s="128" t="str">
        <f>VLOOKUP(source[[#This Row],[lending_product_transform]],[3]Mapping!$B$3:$D$37,3,0)</f>
        <v>cashloan</v>
      </c>
      <c r="I5792" s="135">
        <v>313377663</v>
      </c>
    </row>
    <row r="5793" spans="1:9" x14ac:dyDescent="0.2">
      <c r="A5793" s="134">
        <v>45742</v>
      </c>
      <c r="B5793" s="135">
        <f>YEAR(source[[#This Row],[report_date]])</f>
        <v>2025</v>
      </c>
      <c r="C5793" s="128">
        <f t="shared" si="268"/>
        <v>3</v>
      </c>
      <c r="D5793" s="136">
        <f t="shared" si="270"/>
        <v>13</v>
      </c>
      <c r="E5793" s="136">
        <f t="shared" si="269"/>
        <v>26</v>
      </c>
      <c r="F5793" s="128" t="s">
        <v>24</v>
      </c>
      <c r="G5793" s="128" t="str">
        <f>VLOOKUP(source[[#This Row],[lending_product_transform]],[3]Mapping!$B$4:$C$37,2,0)</f>
        <v>[Cake] - Cashloan</v>
      </c>
      <c r="H5793" s="128" t="str">
        <f>VLOOKUP(source[[#This Row],[lending_product_transform]],[3]Mapping!$B$3:$D$37,3,0)</f>
        <v>cashloan</v>
      </c>
      <c r="I5793" s="135">
        <v>136939291</v>
      </c>
    </row>
    <row r="5794" spans="1:9" x14ac:dyDescent="0.2">
      <c r="A5794" s="134">
        <v>45742</v>
      </c>
      <c r="B5794" s="135">
        <f>YEAR(source[[#This Row],[report_date]])</f>
        <v>2025</v>
      </c>
      <c r="C5794" s="128">
        <f t="shared" si="268"/>
        <v>3</v>
      </c>
      <c r="D5794" s="136">
        <f t="shared" si="270"/>
        <v>13</v>
      </c>
      <c r="E5794" s="136">
        <f t="shared" si="269"/>
        <v>26</v>
      </c>
      <c r="F5794" s="128" t="s">
        <v>24</v>
      </c>
      <c r="G5794" s="128" t="str">
        <f>VLOOKUP(source[[#This Row],[lending_product_transform]],[3]Mapping!$B$4:$C$37,2,0)</f>
        <v>[Cake] - Cashloan</v>
      </c>
      <c r="H5794" s="128" t="str">
        <f>VLOOKUP(source[[#This Row],[lending_product_transform]],[3]Mapping!$B$3:$D$37,3,0)</f>
        <v>cashloan</v>
      </c>
      <c r="I5794" s="135">
        <v>323340843</v>
      </c>
    </row>
    <row r="5795" spans="1:9" x14ac:dyDescent="0.2">
      <c r="A5795" s="134">
        <v>45742</v>
      </c>
      <c r="B5795" s="135">
        <f>YEAR(source[[#This Row],[report_date]])</f>
        <v>2025</v>
      </c>
      <c r="C5795" s="128">
        <f t="shared" si="268"/>
        <v>3</v>
      </c>
      <c r="D5795" s="136">
        <f t="shared" si="270"/>
        <v>13</v>
      </c>
      <c r="E5795" s="136">
        <f t="shared" si="269"/>
        <v>26</v>
      </c>
      <c r="F5795" s="128" t="s">
        <v>24</v>
      </c>
      <c r="G5795" s="128" t="str">
        <f>VLOOKUP(source[[#This Row],[lending_product_transform]],[3]Mapping!$B$4:$C$37,2,0)</f>
        <v>[Cake] - Cashloan</v>
      </c>
      <c r="H5795" s="128" t="str">
        <f>VLOOKUP(source[[#This Row],[lending_product_transform]],[3]Mapping!$B$3:$D$37,3,0)</f>
        <v>cashloan</v>
      </c>
      <c r="I5795" s="135">
        <v>2864614502</v>
      </c>
    </row>
    <row r="5796" spans="1:9" x14ac:dyDescent="0.2">
      <c r="A5796" s="134">
        <v>45742</v>
      </c>
      <c r="B5796" s="135">
        <f>YEAR(source[[#This Row],[report_date]])</f>
        <v>2025</v>
      </c>
      <c r="C5796" s="128">
        <f t="shared" si="268"/>
        <v>3</v>
      </c>
      <c r="D5796" s="136">
        <f t="shared" si="270"/>
        <v>13</v>
      </c>
      <c r="E5796" s="136">
        <f t="shared" si="269"/>
        <v>26</v>
      </c>
      <c r="F5796" s="128" t="s">
        <v>24</v>
      </c>
      <c r="G5796" s="128" t="str">
        <f>VLOOKUP(source[[#This Row],[lending_product_transform]],[3]Mapping!$B$4:$C$37,2,0)</f>
        <v>[Cake] - Cashloan</v>
      </c>
      <c r="H5796" s="128" t="str">
        <f>VLOOKUP(source[[#This Row],[lending_product_transform]],[3]Mapping!$B$3:$D$37,3,0)</f>
        <v>cashloan</v>
      </c>
      <c r="I5796" s="135">
        <v>6624920000</v>
      </c>
    </row>
    <row r="5797" spans="1:9" x14ac:dyDescent="0.2">
      <c r="A5797" s="134">
        <v>45742</v>
      </c>
      <c r="B5797" s="135">
        <f>YEAR(source[[#This Row],[report_date]])</f>
        <v>2025</v>
      </c>
      <c r="C5797" s="128">
        <f t="shared" si="268"/>
        <v>3</v>
      </c>
      <c r="D5797" s="136">
        <f t="shared" si="270"/>
        <v>13</v>
      </c>
      <c r="E5797" s="136">
        <f t="shared" si="269"/>
        <v>26</v>
      </c>
      <c r="F5797" s="128" t="s">
        <v>24</v>
      </c>
      <c r="G5797" s="128" t="str">
        <f>VLOOKUP(source[[#This Row],[lending_product_transform]],[3]Mapping!$B$4:$C$37,2,0)</f>
        <v>[Cake] - Cashloan</v>
      </c>
      <c r="H5797" s="128" t="str">
        <f>VLOOKUP(source[[#This Row],[lending_product_transform]],[3]Mapping!$B$3:$D$37,3,0)</f>
        <v>cashloan</v>
      </c>
      <c r="I5797" s="135">
        <v>4699500000</v>
      </c>
    </row>
    <row r="5798" spans="1:9" x14ac:dyDescent="0.2">
      <c r="A5798" s="134">
        <v>45742</v>
      </c>
      <c r="B5798" s="135">
        <f>YEAR(source[[#This Row],[report_date]])</f>
        <v>2025</v>
      </c>
      <c r="C5798" s="128">
        <f t="shared" si="268"/>
        <v>3</v>
      </c>
      <c r="D5798" s="136">
        <f t="shared" si="270"/>
        <v>13</v>
      </c>
      <c r="E5798" s="136">
        <f t="shared" si="269"/>
        <v>26</v>
      </c>
      <c r="F5798" s="128" t="s">
        <v>24</v>
      </c>
      <c r="G5798" s="128" t="str">
        <f>VLOOKUP(source[[#This Row],[lending_product_transform]],[3]Mapping!$B$4:$C$37,2,0)</f>
        <v>[Cake] - Cashloan</v>
      </c>
      <c r="H5798" s="128" t="str">
        <f>VLOOKUP(source[[#This Row],[lending_product_transform]],[3]Mapping!$B$3:$D$37,3,0)</f>
        <v>cashloan</v>
      </c>
      <c r="I5798" s="135">
        <v>0</v>
      </c>
    </row>
    <row r="5799" spans="1:9" x14ac:dyDescent="0.2">
      <c r="A5799" s="134">
        <v>45742</v>
      </c>
      <c r="B5799" s="135">
        <f>YEAR(source[[#This Row],[report_date]])</f>
        <v>2025</v>
      </c>
      <c r="C5799" s="128">
        <f t="shared" si="268"/>
        <v>3</v>
      </c>
      <c r="D5799" s="136">
        <f t="shared" si="270"/>
        <v>13</v>
      </c>
      <c r="E5799" s="136">
        <f t="shared" si="269"/>
        <v>26</v>
      </c>
      <c r="F5799" s="128" t="s">
        <v>24</v>
      </c>
      <c r="G5799" s="128" t="str">
        <f>VLOOKUP(source[[#This Row],[lending_product_transform]],[3]Mapping!$B$4:$C$37,2,0)</f>
        <v>[Cake] - Cashloan</v>
      </c>
      <c r="H5799" s="128" t="str">
        <f>VLOOKUP(source[[#This Row],[lending_product_transform]],[3]Mapping!$B$3:$D$37,3,0)</f>
        <v>cashloan</v>
      </c>
      <c r="I5799" s="135">
        <v>0</v>
      </c>
    </row>
    <row r="5800" spans="1:9" x14ac:dyDescent="0.2">
      <c r="A5800" s="134">
        <v>45742</v>
      </c>
      <c r="B5800" s="135">
        <f>YEAR(source[[#This Row],[report_date]])</f>
        <v>2025</v>
      </c>
      <c r="C5800" s="128">
        <f t="shared" si="268"/>
        <v>3</v>
      </c>
      <c r="D5800" s="136">
        <f t="shared" si="270"/>
        <v>13</v>
      </c>
      <c r="E5800" s="136">
        <f t="shared" si="269"/>
        <v>26</v>
      </c>
      <c r="F5800" s="128" t="s">
        <v>24</v>
      </c>
      <c r="G5800" s="128" t="str">
        <f>VLOOKUP(source[[#This Row],[lending_product_transform]],[3]Mapping!$B$4:$C$37,2,0)</f>
        <v>[Cake] - Cashloan</v>
      </c>
      <c r="H5800" s="128" t="str">
        <f>VLOOKUP(source[[#This Row],[lending_product_transform]],[3]Mapping!$B$3:$D$37,3,0)</f>
        <v>cashloan</v>
      </c>
      <c r="I5800" s="135">
        <v>103000000</v>
      </c>
    </row>
    <row r="5801" spans="1:9" x14ac:dyDescent="0.2">
      <c r="A5801" s="134">
        <v>45742</v>
      </c>
      <c r="B5801" s="135">
        <f>YEAR(source[[#This Row],[report_date]])</f>
        <v>2025</v>
      </c>
      <c r="C5801" s="128">
        <f t="shared" si="268"/>
        <v>3</v>
      </c>
      <c r="D5801" s="136">
        <f t="shared" si="270"/>
        <v>13</v>
      </c>
      <c r="E5801" s="136">
        <f t="shared" si="269"/>
        <v>26</v>
      </c>
      <c r="F5801" s="128" t="s">
        <v>24</v>
      </c>
      <c r="G5801" s="128" t="str">
        <f>VLOOKUP(source[[#This Row],[lending_product_transform]],[3]Mapping!$B$4:$C$37,2,0)</f>
        <v>[Cake] - Cashloan</v>
      </c>
      <c r="H5801" s="128" t="str">
        <f>VLOOKUP(source[[#This Row],[lending_product_transform]],[3]Mapping!$B$3:$D$37,3,0)</f>
        <v>cashloan</v>
      </c>
      <c r="I5801" s="135">
        <v>0</v>
      </c>
    </row>
    <row r="5802" spans="1:9" x14ac:dyDescent="0.2">
      <c r="A5802" s="134">
        <v>45742</v>
      </c>
      <c r="B5802" s="135">
        <f>YEAR(source[[#This Row],[report_date]])</f>
        <v>2025</v>
      </c>
      <c r="C5802" s="128">
        <f t="shared" si="268"/>
        <v>3</v>
      </c>
      <c r="D5802" s="136">
        <f t="shared" si="270"/>
        <v>13</v>
      </c>
      <c r="E5802" s="136">
        <f t="shared" si="269"/>
        <v>26</v>
      </c>
      <c r="F5802" s="128" t="s">
        <v>24</v>
      </c>
      <c r="G5802" s="128" t="str">
        <f>VLOOKUP(source[[#This Row],[lending_product_transform]],[3]Mapping!$B$4:$C$37,2,0)</f>
        <v>[Cake] - Cashloan</v>
      </c>
      <c r="H5802" s="128" t="str">
        <f>VLOOKUP(source[[#This Row],[lending_product_transform]],[3]Mapping!$B$3:$D$37,3,0)</f>
        <v>cashloan</v>
      </c>
      <c r="I5802" s="135">
        <v>0</v>
      </c>
    </row>
    <row r="5803" spans="1:9" x14ac:dyDescent="0.2">
      <c r="A5803" s="134">
        <v>45742</v>
      </c>
      <c r="B5803" s="135">
        <f>YEAR(source[[#This Row],[report_date]])</f>
        <v>2025</v>
      </c>
      <c r="C5803" s="128">
        <f t="shared" si="268"/>
        <v>3</v>
      </c>
      <c r="D5803" s="136">
        <f t="shared" si="270"/>
        <v>13</v>
      </c>
      <c r="E5803" s="136">
        <f t="shared" si="269"/>
        <v>26</v>
      </c>
      <c r="F5803" s="128" t="s">
        <v>24</v>
      </c>
      <c r="G5803" s="128" t="str">
        <f>VLOOKUP(source[[#This Row],[lending_product_transform]],[3]Mapping!$B$4:$C$37,2,0)</f>
        <v>[Cake] - Cashloan</v>
      </c>
      <c r="H5803" s="128" t="str">
        <f>VLOOKUP(source[[#This Row],[lending_product_transform]],[3]Mapping!$B$3:$D$37,3,0)</f>
        <v>cashloan</v>
      </c>
      <c r="I5803" s="135">
        <v>12850119</v>
      </c>
    </row>
    <row r="5804" spans="1:9" x14ac:dyDescent="0.2">
      <c r="A5804" s="134">
        <v>45742</v>
      </c>
      <c r="B5804" s="135">
        <f>YEAR(source[[#This Row],[report_date]])</f>
        <v>2025</v>
      </c>
      <c r="C5804" s="128">
        <f t="shared" si="268"/>
        <v>3</v>
      </c>
      <c r="D5804" s="136">
        <f t="shared" si="270"/>
        <v>13</v>
      </c>
      <c r="E5804" s="136">
        <f t="shared" si="269"/>
        <v>26</v>
      </c>
      <c r="F5804" s="128" t="s">
        <v>24</v>
      </c>
      <c r="G5804" s="128" t="str">
        <f>VLOOKUP(source[[#This Row],[lending_product_transform]],[3]Mapping!$B$4:$C$37,2,0)</f>
        <v>[Cake] - Cashloan</v>
      </c>
      <c r="H5804" s="128" t="str">
        <f>VLOOKUP(source[[#This Row],[lending_product_transform]],[3]Mapping!$B$3:$D$37,3,0)</f>
        <v>cashloan</v>
      </c>
      <c r="I5804" s="135">
        <v>73550000</v>
      </c>
    </row>
    <row r="5805" spans="1:9" x14ac:dyDescent="0.2">
      <c r="A5805" s="134">
        <v>45742</v>
      </c>
      <c r="B5805" s="135">
        <f>YEAR(source[[#This Row],[report_date]])</f>
        <v>2025</v>
      </c>
      <c r="C5805" s="128">
        <f t="shared" si="268"/>
        <v>3</v>
      </c>
      <c r="D5805" s="136">
        <f t="shared" si="270"/>
        <v>13</v>
      </c>
      <c r="E5805" s="136">
        <f t="shared" si="269"/>
        <v>26</v>
      </c>
      <c r="F5805" s="128" t="s">
        <v>24</v>
      </c>
      <c r="G5805" s="128" t="str">
        <f>VLOOKUP(source[[#This Row],[lending_product_transform]],[3]Mapping!$B$4:$C$37,2,0)</f>
        <v>[Cake] - Cashloan</v>
      </c>
      <c r="H5805" s="128" t="str">
        <f>VLOOKUP(source[[#This Row],[lending_product_transform]],[3]Mapping!$B$3:$D$37,3,0)</f>
        <v>cashloan</v>
      </c>
      <c r="I5805" s="135">
        <v>7550560000</v>
      </c>
    </row>
    <row r="5806" spans="1:9" x14ac:dyDescent="0.2">
      <c r="A5806" s="134">
        <v>45742</v>
      </c>
      <c r="B5806" s="135">
        <f>YEAR(source[[#This Row],[report_date]])</f>
        <v>2025</v>
      </c>
      <c r="C5806" s="128">
        <f t="shared" si="268"/>
        <v>3</v>
      </c>
      <c r="D5806" s="136">
        <f t="shared" si="270"/>
        <v>13</v>
      </c>
      <c r="E5806" s="136">
        <f t="shared" si="269"/>
        <v>26</v>
      </c>
      <c r="F5806" s="128" t="s">
        <v>24</v>
      </c>
      <c r="G5806" s="128" t="str">
        <f>VLOOKUP(source[[#This Row],[lending_product_transform]],[3]Mapping!$B$4:$C$37,2,0)</f>
        <v>[Cake] - Cashloan</v>
      </c>
      <c r="H5806" s="128" t="str">
        <f>VLOOKUP(source[[#This Row],[lending_product_transform]],[3]Mapping!$B$3:$D$37,3,0)</f>
        <v>cashloan</v>
      </c>
      <c r="I5806" s="135">
        <v>6420000</v>
      </c>
    </row>
    <row r="5807" spans="1:9" x14ac:dyDescent="0.2">
      <c r="A5807" s="134">
        <v>45743</v>
      </c>
      <c r="B5807" s="135">
        <f>YEAR(source[[#This Row],[report_date]])</f>
        <v>2025</v>
      </c>
      <c r="C5807" s="128">
        <f t="shared" si="268"/>
        <v>3</v>
      </c>
      <c r="D5807" s="136">
        <f t="shared" si="270"/>
        <v>13</v>
      </c>
      <c r="E5807" s="136">
        <f t="shared" si="269"/>
        <v>27</v>
      </c>
      <c r="F5807" s="128" t="s">
        <v>24</v>
      </c>
      <c r="G5807" s="128" t="str">
        <f>VLOOKUP(source[[#This Row],[lending_product_transform]],[3]Mapping!$B$4:$C$37,2,0)</f>
        <v>[Cake] - Cashloan</v>
      </c>
      <c r="H5807" s="128" t="str">
        <f>VLOOKUP(source[[#This Row],[lending_product_transform]],[3]Mapping!$B$3:$D$37,3,0)</f>
        <v>cashloan</v>
      </c>
      <c r="I5807" s="135">
        <v>726510000</v>
      </c>
    </row>
    <row r="5808" spans="1:9" x14ac:dyDescent="0.2">
      <c r="A5808" s="134">
        <v>45743</v>
      </c>
      <c r="B5808" s="135">
        <f>YEAR(source[[#This Row],[report_date]])</f>
        <v>2025</v>
      </c>
      <c r="C5808" s="128">
        <f t="shared" si="268"/>
        <v>3</v>
      </c>
      <c r="D5808" s="136">
        <f t="shared" si="270"/>
        <v>13</v>
      </c>
      <c r="E5808" s="136">
        <f t="shared" si="269"/>
        <v>27</v>
      </c>
      <c r="F5808" s="128" t="s">
        <v>24</v>
      </c>
      <c r="G5808" s="128" t="str">
        <f>VLOOKUP(source[[#This Row],[lending_product_transform]],[3]Mapping!$B$4:$C$37,2,0)</f>
        <v>[Cake] - Cashloan</v>
      </c>
      <c r="H5808" s="128" t="str">
        <f>VLOOKUP(source[[#This Row],[lending_product_transform]],[3]Mapping!$B$3:$D$37,3,0)</f>
        <v>cashloan</v>
      </c>
      <c r="I5808" s="135">
        <v>3340077062</v>
      </c>
    </row>
    <row r="5809" spans="1:9" x14ac:dyDescent="0.2">
      <c r="A5809" s="134">
        <v>45743</v>
      </c>
      <c r="B5809" s="135">
        <f>YEAR(source[[#This Row],[report_date]])</f>
        <v>2025</v>
      </c>
      <c r="C5809" s="128">
        <f t="shared" si="268"/>
        <v>3</v>
      </c>
      <c r="D5809" s="136">
        <f t="shared" si="270"/>
        <v>13</v>
      </c>
      <c r="E5809" s="136">
        <f t="shared" si="269"/>
        <v>27</v>
      </c>
      <c r="F5809" s="128" t="s">
        <v>24</v>
      </c>
      <c r="G5809" s="128" t="str">
        <f>VLOOKUP(source[[#This Row],[lending_product_transform]],[3]Mapping!$B$4:$C$37,2,0)</f>
        <v>[Cake] - Cashloan</v>
      </c>
      <c r="H5809" s="128" t="str">
        <f>VLOOKUP(source[[#This Row],[lending_product_transform]],[3]Mapping!$B$3:$D$37,3,0)</f>
        <v>cashloan</v>
      </c>
      <c r="I5809" s="135">
        <v>309236027</v>
      </c>
    </row>
    <row r="5810" spans="1:9" x14ac:dyDescent="0.2">
      <c r="A5810" s="134">
        <v>45743</v>
      </c>
      <c r="B5810" s="135">
        <f>YEAR(source[[#This Row],[report_date]])</f>
        <v>2025</v>
      </c>
      <c r="C5810" s="128">
        <f t="shared" si="268"/>
        <v>3</v>
      </c>
      <c r="D5810" s="136">
        <f t="shared" si="270"/>
        <v>13</v>
      </c>
      <c r="E5810" s="136">
        <f t="shared" si="269"/>
        <v>27</v>
      </c>
      <c r="F5810" s="128" t="s">
        <v>24</v>
      </c>
      <c r="G5810" s="128" t="str">
        <f>VLOOKUP(source[[#This Row],[lending_product_transform]],[3]Mapping!$B$4:$C$37,2,0)</f>
        <v>[Cake] - Cashloan</v>
      </c>
      <c r="H5810" s="128" t="str">
        <f>VLOOKUP(source[[#This Row],[lending_product_transform]],[3]Mapping!$B$3:$D$37,3,0)</f>
        <v>cashloan</v>
      </c>
      <c r="I5810" s="135">
        <v>0</v>
      </c>
    </row>
    <row r="5811" spans="1:9" x14ac:dyDescent="0.2">
      <c r="A5811" s="134">
        <v>45743</v>
      </c>
      <c r="B5811" s="135">
        <f>YEAR(source[[#This Row],[report_date]])</f>
        <v>2025</v>
      </c>
      <c r="C5811" s="128">
        <f t="shared" si="268"/>
        <v>3</v>
      </c>
      <c r="D5811" s="136">
        <f t="shared" si="270"/>
        <v>13</v>
      </c>
      <c r="E5811" s="136">
        <f t="shared" si="269"/>
        <v>27</v>
      </c>
      <c r="F5811" s="128" t="s">
        <v>24</v>
      </c>
      <c r="G5811" s="128" t="str">
        <f>VLOOKUP(source[[#This Row],[lending_product_transform]],[3]Mapping!$B$4:$C$37,2,0)</f>
        <v>[Cake] - Cashloan</v>
      </c>
      <c r="H5811" s="128" t="str">
        <f>VLOOKUP(source[[#This Row],[lending_product_transform]],[3]Mapping!$B$3:$D$37,3,0)</f>
        <v>cashloan</v>
      </c>
      <c r="I5811" s="135">
        <v>286065629</v>
      </c>
    </row>
    <row r="5812" spans="1:9" x14ac:dyDescent="0.2">
      <c r="A5812" s="134">
        <v>45743</v>
      </c>
      <c r="B5812" s="135">
        <f>YEAR(source[[#This Row],[report_date]])</f>
        <v>2025</v>
      </c>
      <c r="C5812" s="128">
        <f t="shared" si="268"/>
        <v>3</v>
      </c>
      <c r="D5812" s="136">
        <f t="shared" si="270"/>
        <v>13</v>
      </c>
      <c r="E5812" s="136">
        <f t="shared" si="269"/>
        <v>27</v>
      </c>
      <c r="F5812" s="128" t="s">
        <v>24</v>
      </c>
      <c r="G5812" s="128" t="str">
        <f>VLOOKUP(source[[#This Row],[lending_product_transform]],[3]Mapping!$B$4:$C$37,2,0)</f>
        <v>[Cake] - Cashloan</v>
      </c>
      <c r="H5812" s="128" t="str">
        <f>VLOOKUP(source[[#This Row],[lending_product_transform]],[3]Mapping!$B$3:$D$37,3,0)</f>
        <v>cashloan</v>
      </c>
      <c r="I5812" s="135">
        <v>0</v>
      </c>
    </row>
    <row r="5813" spans="1:9" x14ac:dyDescent="0.2">
      <c r="A5813" s="134">
        <v>45743</v>
      </c>
      <c r="B5813" s="135">
        <f>YEAR(source[[#This Row],[report_date]])</f>
        <v>2025</v>
      </c>
      <c r="C5813" s="128">
        <f t="shared" si="268"/>
        <v>3</v>
      </c>
      <c r="D5813" s="136">
        <f t="shared" si="270"/>
        <v>13</v>
      </c>
      <c r="E5813" s="136">
        <f t="shared" si="269"/>
        <v>27</v>
      </c>
      <c r="F5813" s="128" t="s">
        <v>24</v>
      </c>
      <c r="G5813" s="128" t="str">
        <f>VLOOKUP(source[[#This Row],[lending_product_transform]],[3]Mapping!$B$4:$C$37,2,0)</f>
        <v>[Cake] - Cashloan</v>
      </c>
      <c r="H5813" s="128" t="str">
        <f>VLOOKUP(source[[#This Row],[lending_product_transform]],[3]Mapping!$B$3:$D$37,3,0)</f>
        <v>cashloan</v>
      </c>
      <c r="I5813" s="135">
        <v>11995123</v>
      </c>
    </row>
    <row r="5814" spans="1:9" x14ac:dyDescent="0.2">
      <c r="A5814" s="134">
        <v>45743</v>
      </c>
      <c r="B5814" s="135">
        <f>YEAR(source[[#This Row],[report_date]])</f>
        <v>2025</v>
      </c>
      <c r="C5814" s="128">
        <f t="shared" ref="C5814:C5877" si="271">MONTH(A5814)</f>
        <v>3</v>
      </c>
      <c r="D5814" s="136">
        <f t="shared" si="270"/>
        <v>13</v>
      </c>
      <c r="E5814" s="136">
        <f t="shared" ref="E5814:E5877" si="272">DAY(A5814)</f>
        <v>27</v>
      </c>
      <c r="F5814" s="128" t="s">
        <v>24</v>
      </c>
      <c r="G5814" s="128" t="str">
        <f>VLOOKUP(source[[#This Row],[lending_product_transform]],[3]Mapping!$B$4:$C$37,2,0)</f>
        <v>[Cake] - Cashloan</v>
      </c>
      <c r="H5814" s="128" t="str">
        <f>VLOOKUP(source[[#This Row],[lending_product_transform]],[3]Mapping!$B$3:$D$37,3,0)</f>
        <v>cashloan</v>
      </c>
      <c r="I5814" s="135">
        <v>5982160000</v>
      </c>
    </row>
    <row r="5815" spans="1:9" x14ac:dyDescent="0.2">
      <c r="A5815" s="134">
        <v>45743</v>
      </c>
      <c r="B5815" s="135">
        <f>YEAR(source[[#This Row],[report_date]])</f>
        <v>2025</v>
      </c>
      <c r="C5815" s="128">
        <f t="shared" si="271"/>
        <v>3</v>
      </c>
      <c r="D5815" s="136">
        <f t="shared" si="270"/>
        <v>13</v>
      </c>
      <c r="E5815" s="136">
        <f t="shared" si="272"/>
        <v>27</v>
      </c>
      <c r="F5815" s="128" t="s">
        <v>24</v>
      </c>
      <c r="G5815" s="128" t="str">
        <f>VLOOKUP(source[[#This Row],[lending_product_transform]],[3]Mapping!$B$4:$C$37,2,0)</f>
        <v>[Cake] - Cashloan</v>
      </c>
      <c r="H5815" s="128" t="str">
        <f>VLOOKUP(source[[#This Row],[lending_product_transform]],[3]Mapping!$B$3:$D$37,3,0)</f>
        <v>cashloan</v>
      </c>
      <c r="I5815" s="135">
        <v>64000000</v>
      </c>
    </row>
    <row r="5816" spans="1:9" x14ac:dyDescent="0.2">
      <c r="A5816" s="134">
        <v>45743</v>
      </c>
      <c r="B5816" s="135">
        <f>YEAR(source[[#This Row],[report_date]])</f>
        <v>2025</v>
      </c>
      <c r="C5816" s="128">
        <f t="shared" si="271"/>
        <v>3</v>
      </c>
      <c r="D5816" s="136">
        <f t="shared" si="270"/>
        <v>13</v>
      </c>
      <c r="E5816" s="136">
        <f t="shared" si="272"/>
        <v>27</v>
      </c>
      <c r="F5816" s="128" t="s">
        <v>24</v>
      </c>
      <c r="G5816" s="128" t="str">
        <f>VLOOKUP(source[[#This Row],[lending_product_transform]],[3]Mapping!$B$4:$C$37,2,0)</f>
        <v>[Cake] - Cashloan</v>
      </c>
      <c r="H5816" s="128" t="str">
        <f>VLOOKUP(source[[#This Row],[lending_product_transform]],[3]Mapping!$B$3:$D$37,3,0)</f>
        <v>cashloan</v>
      </c>
      <c r="I5816" s="135">
        <v>0</v>
      </c>
    </row>
    <row r="5817" spans="1:9" x14ac:dyDescent="0.2">
      <c r="A5817" s="134">
        <v>45743</v>
      </c>
      <c r="B5817" s="135">
        <f>YEAR(source[[#This Row],[report_date]])</f>
        <v>2025</v>
      </c>
      <c r="C5817" s="128">
        <f t="shared" si="271"/>
        <v>3</v>
      </c>
      <c r="D5817" s="136">
        <f t="shared" si="270"/>
        <v>13</v>
      </c>
      <c r="E5817" s="136">
        <f t="shared" si="272"/>
        <v>27</v>
      </c>
      <c r="F5817" s="128" t="s">
        <v>24</v>
      </c>
      <c r="G5817" s="128" t="str">
        <f>VLOOKUP(source[[#This Row],[lending_product_transform]],[3]Mapping!$B$4:$C$37,2,0)</f>
        <v>[Cake] - Cashloan</v>
      </c>
      <c r="H5817" s="128" t="str">
        <f>VLOOKUP(source[[#This Row],[lending_product_transform]],[3]Mapping!$B$3:$D$37,3,0)</f>
        <v>cashloan</v>
      </c>
      <c r="I5817" s="135">
        <v>0</v>
      </c>
    </row>
    <row r="5818" spans="1:9" x14ac:dyDescent="0.2">
      <c r="A5818" s="134">
        <v>45743</v>
      </c>
      <c r="B5818" s="135">
        <f>YEAR(source[[#This Row],[report_date]])</f>
        <v>2025</v>
      </c>
      <c r="C5818" s="128">
        <f t="shared" si="271"/>
        <v>3</v>
      </c>
      <c r="D5818" s="136">
        <f t="shared" si="270"/>
        <v>13</v>
      </c>
      <c r="E5818" s="136">
        <f t="shared" si="272"/>
        <v>27</v>
      </c>
      <c r="F5818" s="128" t="s">
        <v>24</v>
      </c>
      <c r="G5818" s="128" t="str">
        <f>VLOOKUP(source[[#This Row],[lending_product_transform]],[3]Mapping!$B$4:$C$37,2,0)</f>
        <v>[Cake] - Cashloan</v>
      </c>
      <c r="H5818" s="128" t="str">
        <f>VLOOKUP(source[[#This Row],[lending_product_transform]],[3]Mapping!$B$3:$D$37,3,0)</f>
        <v>cashloan</v>
      </c>
      <c r="I5818" s="135">
        <v>0</v>
      </c>
    </row>
    <row r="5819" spans="1:9" x14ac:dyDescent="0.2">
      <c r="A5819" s="134">
        <v>45743</v>
      </c>
      <c r="B5819" s="135">
        <f>YEAR(source[[#This Row],[report_date]])</f>
        <v>2025</v>
      </c>
      <c r="C5819" s="128">
        <f t="shared" si="271"/>
        <v>3</v>
      </c>
      <c r="D5819" s="136">
        <f t="shared" si="270"/>
        <v>13</v>
      </c>
      <c r="E5819" s="136">
        <f t="shared" si="272"/>
        <v>27</v>
      </c>
      <c r="F5819" s="128" t="s">
        <v>24</v>
      </c>
      <c r="G5819" s="128" t="str">
        <f>VLOOKUP(source[[#This Row],[lending_product_transform]],[3]Mapping!$B$4:$C$37,2,0)</f>
        <v>[Cake] - Cashloan</v>
      </c>
      <c r="H5819" s="128" t="str">
        <f>VLOOKUP(source[[#This Row],[lending_product_transform]],[3]Mapping!$B$3:$D$37,3,0)</f>
        <v>cashloan</v>
      </c>
      <c r="I5819" s="135">
        <v>41500000</v>
      </c>
    </row>
    <row r="5820" spans="1:9" x14ac:dyDescent="0.2">
      <c r="A5820" s="134">
        <v>45743</v>
      </c>
      <c r="B5820" s="135">
        <f>YEAR(source[[#This Row],[report_date]])</f>
        <v>2025</v>
      </c>
      <c r="C5820" s="128">
        <f t="shared" si="271"/>
        <v>3</v>
      </c>
      <c r="D5820" s="136">
        <f t="shared" si="270"/>
        <v>13</v>
      </c>
      <c r="E5820" s="136">
        <f t="shared" si="272"/>
        <v>27</v>
      </c>
      <c r="F5820" s="128" t="s">
        <v>24</v>
      </c>
      <c r="G5820" s="128" t="str">
        <f>VLOOKUP(source[[#This Row],[lending_product_transform]],[3]Mapping!$B$4:$C$37,2,0)</f>
        <v>[Cake] - Cashloan</v>
      </c>
      <c r="H5820" s="128" t="str">
        <f>VLOOKUP(source[[#This Row],[lending_product_transform]],[3]Mapping!$B$3:$D$37,3,0)</f>
        <v>cashloan</v>
      </c>
      <c r="I5820" s="135">
        <v>0</v>
      </c>
    </row>
    <row r="5821" spans="1:9" x14ac:dyDescent="0.2">
      <c r="A5821" s="134">
        <v>45743</v>
      </c>
      <c r="B5821" s="135">
        <f>YEAR(source[[#This Row],[report_date]])</f>
        <v>2025</v>
      </c>
      <c r="C5821" s="128">
        <f t="shared" si="271"/>
        <v>3</v>
      </c>
      <c r="D5821" s="136">
        <f t="shared" si="270"/>
        <v>13</v>
      </c>
      <c r="E5821" s="136">
        <f t="shared" si="272"/>
        <v>27</v>
      </c>
      <c r="F5821" s="128" t="s">
        <v>24</v>
      </c>
      <c r="G5821" s="128" t="str">
        <f>VLOOKUP(source[[#This Row],[lending_product_transform]],[3]Mapping!$B$4:$C$37,2,0)</f>
        <v>[Cake] - Cashloan</v>
      </c>
      <c r="H5821" s="128" t="str">
        <f>VLOOKUP(source[[#This Row],[lending_product_transform]],[3]Mapping!$B$3:$D$37,3,0)</f>
        <v>cashloan</v>
      </c>
      <c r="I5821" s="135">
        <v>376700000</v>
      </c>
    </row>
    <row r="5822" spans="1:9" x14ac:dyDescent="0.2">
      <c r="A5822" s="134">
        <v>45743</v>
      </c>
      <c r="B5822" s="135">
        <f>YEAR(source[[#This Row],[report_date]])</f>
        <v>2025</v>
      </c>
      <c r="C5822" s="128">
        <f t="shared" si="271"/>
        <v>3</v>
      </c>
      <c r="D5822" s="136">
        <f t="shared" si="270"/>
        <v>13</v>
      </c>
      <c r="E5822" s="136">
        <f t="shared" si="272"/>
        <v>27</v>
      </c>
      <c r="F5822" s="128" t="s">
        <v>24</v>
      </c>
      <c r="G5822" s="128" t="str">
        <f>VLOOKUP(source[[#This Row],[lending_product_transform]],[3]Mapping!$B$4:$C$37,2,0)</f>
        <v>[Cake] - Cashloan</v>
      </c>
      <c r="H5822" s="128" t="str">
        <f>VLOOKUP(source[[#This Row],[lending_product_transform]],[3]Mapping!$B$3:$D$37,3,0)</f>
        <v>cashloan</v>
      </c>
      <c r="I5822" s="135">
        <v>10500000</v>
      </c>
    </row>
    <row r="5823" spans="1:9" x14ac:dyDescent="0.2">
      <c r="A5823" s="134">
        <v>45743</v>
      </c>
      <c r="B5823" s="135">
        <f>YEAR(source[[#This Row],[report_date]])</f>
        <v>2025</v>
      </c>
      <c r="C5823" s="128">
        <f t="shared" si="271"/>
        <v>3</v>
      </c>
      <c r="D5823" s="136">
        <f t="shared" si="270"/>
        <v>13</v>
      </c>
      <c r="E5823" s="136">
        <f t="shared" si="272"/>
        <v>27</v>
      </c>
      <c r="F5823" s="128" t="s">
        <v>24</v>
      </c>
      <c r="G5823" s="128" t="str">
        <f>VLOOKUP(source[[#This Row],[lending_product_transform]],[3]Mapping!$B$4:$C$37,2,0)</f>
        <v>[Cake] - Cashloan</v>
      </c>
      <c r="H5823" s="128" t="str">
        <f>VLOOKUP(source[[#This Row],[lending_product_transform]],[3]Mapping!$B$3:$D$37,3,0)</f>
        <v>cashloan</v>
      </c>
      <c r="I5823" s="135">
        <v>4474500000</v>
      </c>
    </row>
    <row r="5824" spans="1:9" x14ac:dyDescent="0.2">
      <c r="A5824" s="134">
        <v>45743</v>
      </c>
      <c r="B5824" s="135">
        <f>YEAR(source[[#This Row],[report_date]])</f>
        <v>2025</v>
      </c>
      <c r="C5824" s="128">
        <f t="shared" si="271"/>
        <v>3</v>
      </c>
      <c r="D5824" s="136">
        <f t="shared" si="270"/>
        <v>13</v>
      </c>
      <c r="E5824" s="136">
        <f t="shared" si="272"/>
        <v>27</v>
      </c>
      <c r="F5824" s="128" t="s">
        <v>24</v>
      </c>
      <c r="G5824" s="128" t="str">
        <f>VLOOKUP(source[[#This Row],[lending_product_transform]],[3]Mapping!$B$4:$C$37,2,0)</f>
        <v>[Cake] - Cashloan</v>
      </c>
      <c r="H5824" s="128" t="str">
        <f>VLOOKUP(source[[#This Row],[lending_product_transform]],[3]Mapping!$B$3:$D$37,3,0)</f>
        <v>cashloan</v>
      </c>
      <c r="I5824" s="135">
        <v>133799209</v>
      </c>
    </row>
    <row r="5825" spans="1:9" x14ac:dyDescent="0.2">
      <c r="A5825" s="134">
        <v>45743</v>
      </c>
      <c r="B5825" s="135">
        <f>YEAR(source[[#This Row],[report_date]])</f>
        <v>2025</v>
      </c>
      <c r="C5825" s="128">
        <f t="shared" si="271"/>
        <v>3</v>
      </c>
      <c r="D5825" s="136">
        <f t="shared" si="270"/>
        <v>13</v>
      </c>
      <c r="E5825" s="136">
        <f t="shared" si="272"/>
        <v>27</v>
      </c>
      <c r="F5825" s="128" t="s">
        <v>24</v>
      </c>
      <c r="G5825" s="128" t="str">
        <f>VLOOKUP(source[[#This Row],[lending_product_transform]],[3]Mapping!$B$4:$C$37,2,0)</f>
        <v>[Cake] - Cashloan</v>
      </c>
      <c r="H5825" s="128" t="str">
        <f>VLOOKUP(source[[#This Row],[lending_product_transform]],[3]Mapping!$B$3:$D$37,3,0)</f>
        <v>cashloan</v>
      </c>
      <c r="I5825" s="135">
        <v>6680440000</v>
      </c>
    </row>
    <row r="5826" spans="1:9" x14ac:dyDescent="0.2">
      <c r="A5826" s="134">
        <v>45744</v>
      </c>
      <c r="B5826" s="135">
        <f>YEAR(source[[#This Row],[report_date]])</f>
        <v>2025</v>
      </c>
      <c r="C5826" s="128">
        <f t="shared" si="271"/>
        <v>3</v>
      </c>
      <c r="D5826" s="136">
        <f t="shared" si="270"/>
        <v>13</v>
      </c>
      <c r="E5826" s="136">
        <f t="shared" si="272"/>
        <v>28</v>
      </c>
      <c r="F5826" s="128" t="s">
        <v>24</v>
      </c>
      <c r="G5826" s="128" t="str">
        <f>VLOOKUP(source[[#This Row],[lending_product_transform]],[3]Mapping!$B$4:$C$37,2,0)</f>
        <v>[Cake] - Cashloan</v>
      </c>
      <c r="H5826" s="128" t="str">
        <f>VLOOKUP(source[[#This Row],[lending_product_transform]],[3]Mapping!$B$3:$D$37,3,0)</f>
        <v>cashloan</v>
      </c>
      <c r="I5826" s="135">
        <v>3577147333</v>
      </c>
    </row>
    <row r="5827" spans="1:9" x14ac:dyDescent="0.2">
      <c r="A5827" s="134">
        <v>45744</v>
      </c>
      <c r="B5827" s="135">
        <f>YEAR(source[[#This Row],[report_date]])</f>
        <v>2025</v>
      </c>
      <c r="C5827" s="128">
        <f t="shared" si="271"/>
        <v>3</v>
      </c>
      <c r="D5827" s="136">
        <f t="shared" ref="D5827:D5890" si="273">WEEKNUM(A5827,2)</f>
        <v>13</v>
      </c>
      <c r="E5827" s="136">
        <f t="shared" si="272"/>
        <v>28</v>
      </c>
      <c r="F5827" s="128" t="s">
        <v>24</v>
      </c>
      <c r="G5827" s="128" t="str">
        <f>VLOOKUP(source[[#This Row],[lending_product_transform]],[3]Mapping!$B$4:$C$37,2,0)</f>
        <v>[Cake] - Cashloan</v>
      </c>
      <c r="H5827" s="128" t="str">
        <f>VLOOKUP(source[[#This Row],[lending_product_transform]],[3]Mapping!$B$3:$D$37,3,0)</f>
        <v>cashloan</v>
      </c>
      <c r="I5827" s="135">
        <v>7221390000</v>
      </c>
    </row>
    <row r="5828" spans="1:9" x14ac:dyDescent="0.2">
      <c r="A5828" s="134">
        <v>45744</v>
      </c>
      <c r="B5828" s="135">
        <f>YEAR(source[[#This Row],[report_date]])</f>
        <v>2025</v>
      </c>
      <c r="C5828" s="128">
        <f t="shared" si="271"/>
        <v>3</v>
      </c>
      <c r="D5828" s="136">
        <f t="shared" si="273"/>
        <v>13</v>
      </c>
      <c r="E5828" s="136">
        <f t="shared" si="272"/>
        <v>28</v>
      </c>
      <c r="F5828" s="128" t="s">
        <v>24</v>
      </c>
      <c r="G5828" s="128" t="str">
        <f>VLOOKUP(source[[#This Row],[lending_product_transform]],[3]Mapping!$B$4:$C$37,2,0)</f>
        <v>[Cake] - Cashloan</v>
      </c>
      <c r="H5828" s="128" t="str">
        <f>VLOOKUP(source[[#This Row],[lending_product_transform]],[3]Mapping!$B$3:$D$37,3,0)</f>
        <v>cashloan</v>
      </c>
      <c r="I5828" s="135">
        <v>321496558</v>
      </c>
    </row>
    <row r="5829" spans="1:9" x14ac:dyDescent="0.2">
      <c r="A5829" s="134">
        <v>45744</v>
      </c>
      <c r="B5829" s="135">
        <f>YEAR(source[[#This Row],[report_date]])</f>
        <v>2025</v>
      </c>
      <c r="C5829" s="128">
        <f t="shared" si="271"/>
        <v>3</v>
      </c>
      <c r="D5829" s="136">
        <f t="shared" si="273"/>
        <v>13</v>
      </c>
      <c r="E5829" s="136">
        <f t="shared" si="272"/>
        <v>28</v>
      </c>
      <c r="F5829" s="128" t="s">
        <v>24</v>
      </c>
      <c r="G5829" s="128" t="str">
        <f>VLOOKUP(source[[#This Row],[lending_product_transform]],[3]Mapping!$B$4:$C$37,2,0)</f>
        <v>[Cake] - Cashloan</v>
      </c>
      <c r="H5829" s="128" t="str">
        <f>VLOOKUP(source[[#This Row],[lending_product_transform]],[3]Mapping!$B$3:$D$37,3,0)</f>
        <v>cashloan</v>
      </c>
      <c r="I5829" s="135">
        <v>5222500000</v>
      </c>
    </row>
    <row r="5830" spans="1:9" x14ac:dyDescent="0.2">
      <c r="A5830" s="134">
        <v>45744</v>
      </c>
      <c r="B5830" s="135">
        <f>YEAR(source[[#This Row],[report_date]])</f>
        <v>2025</v>
      </c>
      <c r="C5830" s="128">
        <f t="shared" si="271"/>
        <v>3</v>
      </c>
      <c r="D5830" s="136">
        <f t="shared" si="273"/>
        <v>13</v>
      </c>
      <c r="E5830" s="136">
        <f t="shared" si="272"/>
        <v>28</v>
      </c>
      <c r="F5830" s="128" t="s">
        <v>24</v>
      </c>
      <c r="G5830" s="128" t="str">
        <f>VLOOKUP(source[[#This Row],[lending_product_transform]],[3]Mapping!$B$4:$C$37,2,0)</f>
        <v>[Cake] - Cashloan</v>
      </c>
      <c r="H5830" s="128" t="str">
        <f>VLOOKUP(source[[#This Row],[lending_product_transform]],[3]Mapping!$B$3:$D$37,3,0)</f>
        <v>cashloan</v>
      </c>
      <c r="I5830" s="135">
        <v>142691508</v>
      </c>
    </row>
    <row r="5831" spans="1:9" x14ac:dyDescent="0.2">
      <c r="A5831" s="134">
        <v>45744</v>
      </c>
      <c r="B5831" s="135">
        <f>YEAR(source[[#This Row],[report_date]])</f>
        <v>2025</v>
      </c>
      <c r="C5831" s="128">
        <f t="shared" si="271"/>
        <v>3</v>
      </c>
      <c r="D5831" s="136">
        <f t="shared" si="273"/>
        <v>13</v>
      </c>
      <c r="E5831" s="136">
        <f t="shared" si="272"/>
        <v>28</v>
      </c>
      <c r="F5831" s="128" t="s">
        <v>24</v>
      </c>
      <c r="G5831" s="128" t="str">
        <f>VLOOKUP(source[[#This Row],[lending_product_transform]],[3]Mapping!$B$4:$C$37,2,0)</f>
        <v>[Cake] - Cashloan</v>
      </c>
      <c r="H5831" s="128" t="str">
        <f>VLOOKUP(source[[#This Row],[lending_product_transform]],[3]Mapping!$B$3:$D$37,3,0)</f>
        <v>cashloan</v>
      </c>
      <c r="I5831" s="135">
        <v>7246970000</v>
      </c>
    </row>
    <row r="5832" spans="1:9" x14ac:dyDescent="0.2">
      <c r="A5832" s="134">
        <v>45744</v>
      </c>
      <c r="B5832" s="135">
        <f>YEAR(source[[#This Row],[report_date]])</f>
        <v>2025</v>
      </c>
      <c r="C5832" s="128">
        <f t="shared" si="271"/>
        <v>3</v>
      </c>
      <c r="D5832" s="136">
        <f t="shared" si="273"/>
        <v>13</v>
      </c>
      <c r="E5832" s="136">
        <f t="shared" si="272"/>
        <v>28</v>
      </c>
      <c r="F5832" s="128" t="s">
        <v>24</v>
      </c>
      <c r="G5832" s="128" t="str">
        <f>VLOOKUP(source[[#This Row],[lending_product_transform]],[3]Mapping!$B$4:$C$37,2,0)</f>
        <v>[Cake] - Cashloan</v>
      </c>
      <c r="H5832" s="128" t="str">
        <f>VLOOKUP(source[[#This Row],[lending_product_transform]],[3]Mapping!$B$3:$D$37,3,0)</f>
        <v>cashloan</v>
      </c>
      <c r="I5832" s="135">
        <v>33039214</v>
      </c>
    </row>
    <row r="5833" spans="1:9" x14ac:dyDescent="0.2">
      <c r="A5833" s="134">
        <v>45744</v>
      </c>
      <c r="B5833" s="135">
        <f>YEAR(source[[#This Row],[report_date]])</f>
        <v>2025</v>
      </c>
      <c r="C5833" s="128">
        <f t="shared" si="271"/>
        <v>3</v>
      </c>
      <c r="D5833" s="136">
        <f t="shared" si="273"/>
        <v>13</v>
      </c>
      <c r="E5833" s="136">
        <f t="shared" si="272"/>
        <v>28</v>
      </c>
      <c r="F5833" s="128" t="s">
        <v>24</v>
      </c>
      <c r="G5833" s="128" t="str">
        <f>VLOOKUP(source[[#This Row],[lending_product_transform]],[3]Mapping!$B$4:$C$37,2,0)</f>
        <v>[Cake] - Cashloan</v>
      </c>
      <c r="H5833" s="128" t="str">
        <f>VLOOKUP(source[[#This Row],[lending_product_transform]],[3]Mapping!$B$3:$D$37,3,0)</f>
        <v>cashloan</v>
      </c>
      <c r="I5833" s="135">
        <v>0</v>
      </c>
    </row>
    <row r="5834" spans="1:9" x14ac:dyDescent="0.2">
      <c r="A5834" s="134">
        <v>45744</v>
      </c>
      <c r="B5834" s="135">
        <f>YEAR(source[[#This Row],[report_date]])</f>
        <v>2025</v>
      </c>
      <c r="C5834" s="128">
        <f t="shared" si="271"/>
        <v>3</v>
      </c>
      <c r="D5834" s="136">
        <f t="shared" si="273"/>
        <v>13</v>
      </c>
      <c r="E5834" s="136">
        <f t="shared" si="272"/>
        <v>28</v>
      </c>
      <c r="F5834" s="128" t="s">
        <v>24</v>
      </c>
      <c r="G5834" s="128" t="str">
        <f>VLOOKUP(source[[#This Row],[lending_product_transform]],[3]Mapping!$B$4:$C$37,2,0)</f>
        <v>[Cake] - Cashloan</v>
      </c>
      <c r="H5834" s="128" t="str">
        <f>VLOOKUP(source[[#This Row],[lending_product_transform]],[3]Mapping!$B$3:$D$37,3,0)</f>
        <v>cashloan</v>
      </c>
      <c r="I5834" s="135">
        <v>0</v>
      </c>
    </row>
    <row r="5835" spans="1:9" x14ac:dyDescent="0.2">
      <c r="A5835" s="134">
        <v>45744</v>
      </c>
      <c r="B5835" s="135">
        <f>YEAR(source[[#This Row],[report_date]])</f>
        <v>2025</v>
      </c>
      <c r="C5835" s="128">
        <f t="shared" si="271"/>
        <v>3</v>
      </c>
      <c r="D5835" s="136">
        <f t="shared" si="273"/>
        <v>13</v>
      </c>
      <c r="E5835" s="136">
        <f t="shared" si="272"/>
        <v>28</v>
      </c>
      <c r="F5835" s="128" t="s">
        <v>24</v>
      </c>
      <c r="G5835" s="128" t="str">
        <f>VLOOKUP(source[[#This Row],[lending_product_transform]],[3]Mapping!$B$4:$C$37,2,0)</f>
        <v>[Cake] - Cashloan</v>
      </c>
      <c r="H5835" s="128" t="str">
        <f>VLOOKUP(source[[#This Row],[lending_product_transform]],[3]Mapping!$B$3:$D$37,3,0)</f>
        <v>cashloan</v>
      </c>
      <c r="I5835" s="135">
        <v>57750000</v>
      </c>
    </row>
    <row r="5836" spans="1:9" x14ac:dyDescent="0.2">
      <c r="A5836" s="134">
        <v>45744</v>
      </c>
      <c r="B5836" s="135">
        <f>YEAR(source[[#This Row],[report_date]])</f>
        <v>2025</v>
      </c>
      <c r="C5836" s="128">
        <f t="shared" si="271"/>
        <v>3</v>
      </c>
      <c r="D5836" s="136">
        <f t="shared" si="273"/>
        <v>13</v>
      </c>
      <c r="E5836" s="136">
        <f t="shared" si="272"/>
        <v>28</v>
      </c>
      <c r="F5836" s="128" t="s">
        <v>24</v>
      </c>
      <c r="G5836" s="128" t="str">
        <f>VLOOKUP(source[[#This Row],[lending_product_transform]],[3]Mapping!$B$4:$C$37,2,0)</f>
        <v>[Cake] - Cashloan</v>
      </c>
      <c r="H5836" s="128" t="str">
        <f>VLOOKUP(source[[#This Row],[lending_product_transform]],[3]Mapping!$B$3:$D$37,3,0)</f>
        <v>cashloan</v>
      </c>
      <c r="I5836" s="135">
        <v>50000000</v>
      </c>
    </row>
    <row r="5837" spans="1:9" x14ac:dyDescent="0.2">
      <c r="A5837" s="134">
        <v>45744</v>
      </c>
      <c r="B5837" s="135">
        <f>YEAR(source[[#This Row],[report_date]])</f>
        <v>2025</v>
      </c>
      <c r="C5837" s="128">
        <f t="shared" si="271"/>
        <v>3</v>
      </c>
      <c r="D5837" s="136">
        <f t="shared" si="273"/>
        <v>13</v>
      </c>
      <c r="E5837" s="136">
        <f t="shared" si="272"/>
        <v>28</v>
      </c>
      <c r="F5837" s="128" t="s">
        <v>24</v>
      </c>
      <c r="G5837" s="128" t="str">
        <f>VLOOKUP(source[[#This Row],[lending_product_transform]],[3]Mapping!$B$4:$C$37,2,0)</f>
        <v>[Cake] - Cashloan</v>
      </c>
      <c r="H5837" s="128" t="str">
        <f>VLOOKUP(source[[#This Row],[lending_product_transform]],[3]Mapping!$B$3:$D$37,3,0)</f>
        <v>cashloan</v>
      </c>
      <c r="I5837" s="135">
        <v>0</v>
      </c>
    </row>
    <row r="5838" spans="1:9" x14ac:dyDescent="0.2">
      <c r="A5838" s="134">
        <v>45744</v>
      </c>
      <c r="B5838" s="135">
        <f>YEAR(source[[#This Row],[report_date]])</f>
        <v>2025</v>
      </c>
      <c r="C5838" s="128">
        <f t="shared" si="271"/>
        <v>3</v>
      </c>
      <c r="D5838" s="136">
        <f t="shared" si="273"/>
        <v>13</v>
      </c>
      <c r="E5838" s="136">
        <f t="shared" si="272"/>
        <v>28</v>
      </c>
      <c r="F5838" s="128" t="s">
        <v>24</v>
      </c>
      <c r="G5838" s="128" t="str">
        <f>VLOOKUP(source[[#This Row],[lending_product_transform]],[3]Mapping!$B$4:$C$37,2,0)</f>
        <v>[Cake] - Cashloan</v>
      </c>
      <c r="H5838" s="128" t="str">
        <f>VLOOKUP(source[[#This Row],[lending_product_transform]],[3]Mapping!$B$3:$D$37,3,0)</f>
        <v>cashloan</v>
      </c>
      <c r="I5838" s="135">
        <v>0</v>
      </c>
    </row>
    <row r="5839" spans="1:9" x14ac:dyDescent="0.2">
      <c r="A5839" s="134">
        <v>45744</v>
      </c>
      <c r="B5839" s="135">
        <f>YEAR(source[[#This Row],[report_date]])</f>
        <v>2025</v>
      </c>
      <c r="C5839" s="128">
        <f t="shared" si="271"/>
        <v>3</v>
      </c>
      <c r="D5839" s="136">
        <f t="shared" si="273"/>
        <v>13</v>
      </c>
      <c r="E5839" s="136">
        <f t="shared" si="272"/>
        <v>28</v>
      </c>
      <c r="F5839" s="128" t="s">
        <v>24</v>
      </c>
      <c r="G5839" s="128" t="str">
        <f>VLOOKUP(source[[#This Row],[lending_product_transform]],[3]Mapping!$B$4:$C$37,2,0)</f>
        <v>[Cake] - Cashloan</v>
      </c>
      <c r="H5839" s="128" t="str">
        <f>VLOOKUP(source[[#This Row],[lending_product_transform]],[3]Mapping!$B$3:$D$37,3,0)</f>
        <v>cashloan</v>
      </c>
      <c r="I5839" s="135">
        <v>0</v>
      </c>
    </row>
    <row r="5840" spans="1:9" x14ac:dyDescent="0.2">
      <c r="A5840" s="134">
        <v>45744</v>
      </c>
      <c r="B5840" s="135">
        <f>YEAR(source[[#This Row],[report_date]])</f>
        <v>2025</v>
      </c>
      <c r="C5840" s="128">
        <f t="shared" si="271"/>
        <v>3</v>
      </c>
      <c r="D5840" s="136">
        <f t="shared" si="273"/>
        <v>13</v>
      </c>
      <c r="E5840" s="136">
        <f t="shared" si="272"/>
        <v>28</v>
      </c>
      <c r="F5840" s="128" t="s">
        <v>24</v>
      </c>
      <c r="G5840" s="128" t="str">
        <f>VLOOKUP(source[[#This Row],[lending_product_transform]],[3]Mapping!$B$4:$C$37,2,0)</f>
        <v>[Cake] - Cashloan</v>
      </c>
      <c r="H5840" s="128" t="str">
        <f>VLOOKUP(source[[#This Row],[lending_product_transform]],[3]Mapping!$B$3:$D$37,3,0)</f>
        <v>cashloan</v>
      </c>
      <c r="I5840" s="135">
        <v>0</v>
      </c>
    </row>
    <row r="5841" spans="1:9" x14ac:dyDescent="0.2">
      <c r="A5841" s="134">
        <v>45744</v>
      </c>
      <c r="B5841" s="135">
        <f>YEAR(source[[#This Row],[report_date]])</f>
        <v>2025</v>
      </c>
      <c r="C5841" s="128">
        <f t="shared" si="271"/>
        <v>3</v>
      </c>
      <c r="D5841" s="136">
        <f t="shared" si="273"/>
        <v>13</v>
      </c>
      <c r="E5841" s="136">
        <f t="shared" si="272"/>
        <v>28</v>
      </c>
      <c r="F5841" s="128" t="s">
        <v>24</v>
      </c>
      <c r="G5841" s="128" t="str">
        <f>VLOOKUP(source[[#This Row],[lending_product_transform]],[3]Mapping!$B$4:$C$37,2,0)</f>
        <v>[Cake] - Cashloan</v>
      </c>
      <c r="H5841" s="128" t="str">
        <f>VLOOKUP(source[[#This Row],[lending_product_transform]],[3]Mapping!$B$3:$D$37,3,0)</f>
        <v>cashloan</v>
      </c>
      <c r="I5841" s="135">
        <v>801030000</v>
      </c>
    </row>
    <row r="5842" spans="1:9" x14ac:dyDescent="0.2">
      <c r="A5842" s="134">
        <v>45744</v>
      </c>
      <c r="B5842" s="135">
        <f>YEAR(source[[#This Row],[report_date]])</f>
        <v>2025</v>
      </c>
      <c r="C5842" s="128">
        <f t="shared" si="271"/>
        <v>3</v>
      </c>
      <c r="D5842" s="136">
        <f t="shared" si="273"/>
        <v>13</v>
      </c>
      <c r="E5842" s="136">
        <f t="shared" si="272"/>
        <v>28</v>
      </c>
      <c r="F5842" s="128" t="s">
        <v>24</v>
      </c>
      <c r="G5842" s="128" t="str">
        <f>VLOOKUP(source[[#This Row],[lending_product_transform]],[3]Mapping!$B$4:$C$37,2,0)</f>
        <v>[Cake] - Cashloan</v>
      </c>
      <c r="H5842" s="128" t="str">
        <f>VLOOKUP(source[[#This Row],[lending_product_transform]],[3]Mapping!$B$3:$D$37,3,0)</f>
        <v>cashloan</v>
      </c>
      <c r="I5842" s="135">
        <v>0</v>
      </c>
    </row>
    <row r="5843" spans="1:9" x14ac:dyDescent="0.2">
      <c r="A5843" s="134">
        <v>45744</v>
      </c>
      <c r="B5843" s="135">
        <f>YEAR(source[[#This Row],[report_date]])</f>
        <v>2025</v>
      </c>
      <c r="C5843" s="128">
        <f t="shared" si="271"/>
        <v>3</v>
      </c>
      <c r="D5843" s="136">
        <f t="shared" si="273"/>
        <v>13</v>
      </c>
      <c r="E5843" s="136">
        <f t="shared" si="272"/>
        <v>28</v>
      </c>
      <c r="F5843" s="128" t="s">
        <v>24</v>
      </c>
      <c r="G5843" s="128" t="str">
        <f>VLOOKUP(source[[#This Row],[lending_product_transform]],[3]Mapping!$B$4:$C$37,2,0)</f>
        <v>[Cake] - Cashloan</v>
      </c>
      <c r="H5843" s="128" t="str">
        <f>VLOOKUP(source[[#This Row],[lending_product_transform]],[3]Mapping!$B$3:$D$37,3,0)</f>
        <v>cashloan</v>
      </c>
      <c r="I5843" s="135">
        <v>363010000</v>
      </c>
    </row>
    <row r="5844" spans="1:9" x14ac:dyDescent="0.2">
      <c r="A5844" s="134">
        <v>45744</v>
      </c>
      <c r="B5844" s="135">
        <f>YEAR(source[[#This Row],[report_date]])</f>
        <v>2025</v>
      </c>
      <c r="C5844" s="128">
        <f t="shared" si="271"/>
        <v>3</v>
      </c>
      <c r="D5844" s="136">
        <f t="shared" si="273"/>
        <v>13</v>
      </c>
      <c r="E5844" s="136">
        <f t="shared" si="272"/>
        <v>28</v>
      </c>
      <c r="F5844" s="128" t="s">
        <v>24</v>
      </c>
      <c r="G5844" s="128" t="str">
        <f>VLOOKUP(source[[#This Row],[lending_product_transform]],[3]Mapping!$B$4:$C$37,2,0)</f>
        <v>[Cake] - Cashloan</v>
      </c>
      <c r="H5844" s="128" t="str">
        <f>VLOOKUP(source[[#This Row],[lending_product_transform]],[3]Mapping!$B$3:$D$37,3,0)</f>
        <v>cashloan</v>
      </c>
      <c r="I5844" s="135">
        <v>360798233</v>
      </c>
    </row>
    <row r="5845" spans="1:9" x14ac:dyDescent="0.2">
      <c r="A5845" s="134">
        <v>45745</v>
      </c>
      <c r="B5845" s="135">
        <f>YEAR(source[[#This Row],[report_date]])</f>
        <v>2025</v>
      </c>
      <c r="C5845" s="128">
        <f t="shared" si="271"/>
        <v>3</v>
      </c>
      <c r="D5845" s="136">
        <f t="shared" si="273"/>
        <v>13</v>
      </c>
      <c r="E5845" s="136">
        <f t="shared" si="272"/>
        <v>29</v>
      </c>
      <c r="F5845" s="128" t="s">
        <v>24</v>
      </c>
      <c r="G5845" s="128" t="str">
        <f>VLOOKUP(source[[#This Row],[lending_product_transform]],[3]Mapping!$B$4:$C$37,2,0)</f>
        <v>[Cake] - Cashloan</v>
      </c>
      <c r="H5845" s="128" t="str">
        <f>VLOOKUP(source[[#This Row],[lending_product_transform]],[3]Mapping!$B$3:$D$37,3,0)</f>
        <v>cashloan</v>
      </c>
      <c r="I5845" s="135">
        <v>6103710000</v>
      </c>
    </row>
    <row r="5846" spans="1:9" x14ac:dyDescent="0.2">
      <c r="A5846" s="134">
        <v>45745</v>
      </c>
      <c r="B5846" s="135">
        <f>YEAR(source[[#This Row],[report_date]])</f>
        <v>2025</v>
      </c>
      <c r="C5846" s="128">
        <f t="shared" si="271"/>
        <v>3</v>
      </c>
      <c r="D5846" s="136">
        <f t="shared" si="273"/>
        <v>13</v>
      </c>
      <c r="E5846" s="136">
        <f t="shared" si="272"/>
        <v>29</v>
      </c>
      <c r="F5846" s="128" t="s">
        <v>24</v>
      </c>
      <c r="G5846" s="128" t="str">
        <f>VLOOKUP(source[[#This Row],[lending_product_transform]],[3]Mapping!$B$4:$C$37,2,0)</f>
        <v>[Cake] - Cashloan</v>
      </c>
      <c r="H5846" s="128" t="str">
        <f>VLOOKUP(source[[#This Row],[lending_product_transform]],[3]Mapping!$B$3:$D$37,3,0)</f>
        <v>cashloan</v>
      </c>
      <c r="I5846" s="135">
        <v>2973797088</v>
      </c>
    </row>
    <row r="5847" spans="1:9" x14ac:dyDescent="0.2">
      <c r="A5847" s="134">
        <v>45745</v>
      </c>
      <c r="B5847" s="135">
        <f>YEAR(source[[#This Row],[report_date]])</f>
        <v>2025</v>
      </c>
      <c r="C5847" s="128">
        <f t="shared" si="271"/>
        <v>3</v>
      </c>
      <c r="D5847" s="136">
        <f t="shared" si="273"/>
        <v>13</v>
      </c>
      <c r="E5847" s="136">
        <f t="shared" si="272"/>
        <v>29</v>
      </c>
      <c r="F5847" s="128" t="s">
        <v>24</v>
      </c>
      <c r="G5847" s="128" t="str">
        <f>VLOOKUP(source[[#This Row],[lending_product_transform]],[3]Mapping!$B$4:$C$37,2,0)</f>
        <v>[Cake] - Cashloan</v>
      </c>
      <c r="H5847" s="128" t="str">
        <f>VLOOKUP(source[[#This Row],[lending_product_transform]],[3]Mapping!$B$3:$D$37,3,0)</f>
        <v>cashloan</v>
      </c>
      <c r="I5847" s="135">
        <v>5641280000</v>
      </c>
    </row>
    <row r="5848" spans="1:9" x14ac:dyDescent="0.2">
      <c r="A5848" s="134">
        <v>45745</v>
      </c>
      <c r="B5848" s="135">
        <f>YEAR(source[[#This Row],[report_date]])</f>
        <v>2025</v>
      </c>
      <c r="C5848" s="128">
        <f t="shared" si="271"/>
        <v>3</v>
      </c>
      <c r="D5848" s="136">
        <f t="shared" si="273"/>
        <v>13</v>
      </c>
      <c r="E5848" s="136">
        <f t="shared" si="272"/>
        <v>29</v>
      </c>
      <c r="F5848" s="128" t="s">
        <v>24</v>
      </c>
      <c r="G5848" s="128" t="str">
        <f>VLOOKUP(source[[#This Row],[lending_product_transform]],[3]Mapping!$B$4:$C$37,2,0)</f>
        <v>[Cake] - Cashloan</v>
      </c>
      <c r="H5848" s="128" t="str">
        <f>VLOOKUP(source[[#This Row],[lending_product_transform]],[3]Mapping!$B$3:$D$37,3,0)</f>
        <v>cashloan</v>
      </c>
      <c r="I5848" s="135">
        <v>4422500000</v>
      </c>
    </row>
    <row r="5849" spans="1:9" x14ac:dyDescent="0.2">
      <c r="A5849" s="134">
        <v>45745</v>
      </c>
      <c r="B5849" s="135">
        <f>YEAR(source[[#This Row],[report_date]])</f>
        <v>2025</v>
      </c>
      <c r="C5849" s="128">
        <f t="shared" si="271"/>
        <v>3</v>
      </c>
      <c r="D5849" s="136">
        <f t="shared" si="273"/>
        <v>13</v>
      </c>
      <c r="E5849" s="136">
        <f t="shared" si="272"/>
        <v>29</v>
      </c>
      <c r="F5849" s="128" t="s">
        <v>24</v>
      </c>
      <c r="G5849" s="128" t="str">
        <f>VLOOKUP(source[[#This Row],[lending_product_transform]],[3]Mapping!$B$4:$C$37,2,0)</f>
        <v>[Cake] - Cashloan</v>
      </c>
      <c r="H5849" s="128" t="str">
        <f>VLOOKUP(source[[#This Row],[lending_product_transform]],[3]Mapping!$B$3:$D$37,3,0)</f>
        <v>cashloan</v>
      </c>
      <c r="I5849" s="135">
        <v>0</v>
      </c>
    </row>
    <row r="5850" spans="1:9" x14ac:dyDescent="0.2">
      <c r="A5850" s="134">
        <v>45745</v>
      </c>
      <c r="B5850" s="135">
        <f>YEAR(source[[#This Row],[report_date]])</f>
        <v>2025</v>
      </c>
      <c r="C5850" s="128">
        <f t="shared" si="271"/>
        <v>3</v>
      </c>
      <c r="D5850" s="136">
        <f t="shared" si="273"/>
        <v>13</v>
      </c>
      <c r="E5850" s="136">
        <f t="shared" si="272"/>
        <v>29</v>
      </c>
      <c r="F5850" s="128" t="s">
        <v>24</v>
      </c>
      <c r="G5850" s="128" t="str">
        <f>VLOOKUP(source[[#This Row],[lending_product_transform]],[3]Mapping!$B$4:$C$37,2,0)</f>
        <v>[Cake] - Cashloan</v>
      </c>
      <c r="H5850" s="128" t="str">
        <f>VLOOKUP(source[[#This Row],[lending_product_transform]],[3]Mapping!$B$3:$D$37,3,0)</f>
        <v>cashloan</v>
      </c>
      <c r="I5850" s="135">
        <v>0</v>
      </c>
    </row>
    <row r="5851" spans="1:9" x14ac:dyDescent="0.2">
      <c r="A5851" s="134">
        <v>45745</v>
      </c>
      <c r="B5851" s="135">
        <f>YEAR(source[[#This Row],[report_date]])</f>
        <v>2025</v>
      </c>
      <c r="C5851" s="128">
        <f t="shared" si="271"/>
        <v>3</v>
      </c>
      <c r="D5851" s="136">
        <f t="shared" si="273"/>
        <v>13</v>
      </c>
      <c r="E5851" s="136">
        <f t="shared" si="272"/>
        <v>29</v>
      </c>
      <c r="F5851" s="128" t="s">
        <v>24</v>
      </c>
      <c r="G5851" s="128" t="str">
        <f>VLOOKUP(source[[#This Row],[lending_product_transform]],[3]Mapping!$B$4:$C$37,2,0)</f>
        <v>[Cake] - Cashloan</v>
      </c>
      <c r="H5851" s="128" t="str">
        <f>VLOOKUP(source[[#This Row],[lending_product_transform]],[3]Mapping!$B$3:$D$37,3,0)</f>
        <v>cashloan</v>
      </c>
      <c r="I5851" s="135">
        <v>20734812</v>
      </c>
    </row>
    <row r="5852" spans="1:9" x14ac:dyDescent="0.2">
      <c r="A5852" s="134">
        <v>45745</v>
      </c>
      <c r="B5852" s="135">
        <f>YEAR(source[[#This Row],[report_date]])</f>
        <v>2025</v>
      </c>
      <c r="C5852" s="128">
        <f t="shared" si="271"/>
        <v>3</v>
      </c>
      <c r="D5852" s="136">
        <f t="shared" si="273"/>
        <v>13</v>
      </c>
      <c r="E5852" s="136">
        <f t="shared" si="272"/>
        <v>29</v>
      </c>
      <c r="F5852" s="128" t="s">
        <v>24</v>
      </c>
      <c r="G5852" s="128" t="str">
        <f>VLOOKUP(source[[#This Row],[lending_product_transform]],[3]Mapping!$B$4:$C$37,2,0)</f>
        <v>[Cake] - Cashloan</v>
      </c>
      <c r="H5852" s="128" t="str">
        <f>VLOOKUP(source[[#This Row],[lending_product_transform]],[3]Mapping!$B$3:$D$37,3,0)</f>
        <v>cashloan</v>
      </c>
      <c r="I5852" s="135">
        <v>30450000</v>
      </c>
    </row>
    <row r="5853" spans="1:9" x14ac:dyDescent="0.2">
      <c r="A5853" s="134">
        <v>45745</v>
      </c>
      <c r="B5853" s="135">
        <f>YEAR(source[[#This Row],[report_date]])</f>
        <v>2025</v>
      </c>
      <c r="C5853" s="128">
        <f t="shared" si="271"/>
        <v>3</v>
      </c>
      <c r="D5853" s="136">
        <f t="shared" si="273"/>
        <v>13</v>
      </c>
      <c r="E5853" s="136">
        <f t="shared" si="272"/>
        <v>29</v>
      </c>
      <c r="F5853" s="128" t="s">
        <v>24</v>
      </c>
      <c r="G5853" s="128" t="str">
        <f>VLOOKUP(source[[#This Row],[lending_product_transform]],[3]Mapping!$B$4:$C$37,2,0)</f>
        <v>[Cake] - Cashloan</v>
      </c>
      <c r="H5853" s="128" t="str">
        <f>VLOOKUP(source[[#This Row],[lending_product_transform]],[3]Mapping!$B$3:$D$37,3,0)</f>
        <v>cashloan</v>
      </c>
      <c r="I5853" s="135">
        <v>25000000</v>
      </c>
    </row>
    <row r="5854" spans="1:9" x14ac:dyDescent="0.2">
      <c r="A5854" s="134">
        <v>45745</v>
      </c>
      <c r="B5854" s="135">
        <f>YEAR(source[[#This Row],[report_date]])</f>
        <v>2025</v>
      </c>
      <c r="C5854" s="128">
        <f t="shared" si="271"/>
        <v>3</v>
      </c>
      <c r="D5854" s="136">
        <f t="shared" si="273"/>
        <v>13</v>
      </c>
      <c r="E5854" s="136">
        <f t="shared" si="272"/>
        <v>29</v>
      </c>
      <c r="F5854" s="128" t="s">
        <v>24</v>
      </c>
      <c r="G5854" s="128" t="str">
        <f>VLOOKUP(source[[#This Row],[lending_product_transform]],[3]Mapping!$B$4:$C$37,2,0)</f>
        <v>[Cake] - Cashloan</v>
      </c>
      <c r="H5854" s="128" t="str">
        <f>VLOOKUP(source[[#This Row],[lending_product_transform]],[3]Mapping!$B$3:$D$37,3,0)</f>
        <v>cashloan</v>
      </c>
      <c r="I5854" s="135">
        <v>0</v>
      </c>
    </row>
    <row r="5855" spans="1:9" x14ac:dyDescent="0.2">
      <c r="A5855" s="134">
        <v>45745</v>
      </c>
      <c r="B5855" s="135">
        <f>YEAR(source[[#This Row],[report_date]])</f>
        <v>2025</v>
      </c>
      <c r="C5855" s="128">
        <f t="shared" si="271"/>
        <v>3</v>
      </c>
      <c r="D5855" s="136">
        <f t="shared" si="273"/>
        <v>13</v>
      </c>
      <c r="E5855" s="136">
        <f t="shared" si="272"/>
        <v>29</v>
      </c>
      <c r="F5855" s="128" t="s">
        <v>24</v>
      </c>
      <c r="G5855" s="128" t="str">
        <f>VLOOKUP(source[[#This Row],[lending_product_transform]],[3]Mapping!$B$4:$C$37,2,0)</f>
        <v>[Cake] - Cashloan</v>
      </c>
      <c r="H5855" s="128" t="str">
        <f>VLOOKUP(source[[#This Row],[lending_product_transform]],[3]Mapping!$B$3:$D$37,3,0)</f>
        <v>cashloan</v>
      </c>
      <c r="I5855" s="135">
        <v>0</v>
      </c>
    </row>
    <row r="5856" spans="1:9" x14ac:dyDescent="0.2">
      <c r="A5856" s="134">
        <v>45745</v>
      </c>
      <c r="B5856" s="135">
        <f>YEAR(source[[#This Row],[report_date]])</f>
        <v>2025</v>
      </c>
      <c r="C5856" s="128">
        <f t="shared" si="271"/>
        <v>3</v>
      </c>
      <c r="D5856" s="136">
        <f t="shared" si="273"/>
        <v>13</v>
      </c>
      <c r="E5856" s="136">
        <f t="shared" si="272"/>
        <v>29</v>
      </c>
      <c r="F5856" s="128" t="s">
        <v>24</v>
      </c>
      <c r="G5856" s="128" t="str">
        <f>VLOOKUP(source[[#This Row],[lending_product_transform]],[3]Mapping!$B$4:$C$37,2,0)</f>
        <v>[Cake] - Cashloan</v>
      </c>
      <c r="H5856" s="128" t="str">
        <f>VLOOKUP(source[[#This Row],[lending_product_transform]],[3]Mapping!$B$3:$D$37,3,0)</f>
        <v>cashloan</v>
      </c>
      <c r="I5856" s="135">
        <v>0</v>
      </c>
    </row>
    <row r="5857" spans="1:9" x14ac:dyDescent="0.2">
      <c r="A5857" s="134">
        <v>45745</v>
      </c>
      <c r="B5857" s="135">
        <f>YEAR(source[[#This Row],[report_date]])</f>
        <v>2025</v>
      </c>
      <c r="C5857" s="128">
        <f t="shared" si="271"/>
        <v>3</v>
      </c>
      <c r="D5857" s="136">
        <f t="shared" si="273"/>
        <v>13</v>
      </c>
      <c r="E5857" s="136">
        <f t="shared" si="272"/>
        <v>29</v>
      </c>
      <c r="F5857" s="128" t="s">
        <v>24</v>
      </c>
      <c r="G5857" s="128" t="str">
        <f>VLOOKUP(source[[#This Row],[lending_product_transform]],[3]Mapping!$B$4:$C$37,2,0)</f>
        <v>[Cake] - Cashloan</v>
      </c>
      <c r="H5857" s="128" t="str">
        <f>VLOOKUP(source[[#This Row],[lending_product_transform]],[3]Mapping!$B$3:$D$37,3,0)</f>
        <v>cashloan</v>
      </c>
      <c r="I5857" s="135">
        <v>0</v>
      </c>
    </row>
    <row r="5858" spans="1:9" x14ac:dyDescent="0.2">
      <c r="A5858" s="134">
        <v>45745</v>
      </c>
      <c r="B5858" s="135">
        <f>YEAR(source[[#This Row],[report_date]])</f>
        <v>2025</v>
      </c>
      <c r="C5858" s="128">
        <f t="shared" si="271"/>
        <v>3</v>
      </c>
      <c r="D5858" s="136">
        <f t="shared" si="273"/>
        <v>13</v>
      </c>
      <c r="E5858" s="136">
        <f t="shared" si="272"/>
        <v>29</v>
      </c>
      <c r="F5858" s="128" t="s">
        <v>24</v>
      </c>
      <c r="G5858" s="128" t="str">
        <f>VLOOKUP(source[[#This Row],[lending_product_transform]],[3]Mapping!$B$4:$C$37,2,0)</f>
        <v>[Cake] - Cashloan</v>
      </c>
      <c r="H5858" s="128" t="str">
        <f>VLOOKUP(source[[#This Row],[lending_product_transform]],[3]Mapping!$B$3:$D$37,3,0)</f>
        <v>cashloan</v>
      </c>
      <c r="I5858" s="135">
        <v>382360000</v>
      </c>
    </row>
    <row r="5859" spans="1:9" x14ac:dyDescent="0.2">
      <c r="A5859" s="134">
        <v>45745</v>
      </c>
      <c r="B5859" s="135">
        <f>YEAR(source[[#This Row],[report_date]])</f>
        <v>2025</v>
      </c>
      <c r="C5859" s="128">
        <f t="shared" si="271"/>
        <v>3</v>
      </c>
      <c r="D5859" s="136">
        <f t="shared" si="273"/>
        <v>13</v>
      </c>
      <c r="E5859" s="136">
        <f t="shared" si="272"/>
        <v>29</v>
      </c>
      <c r="F5859" s="128" t="s">
        <v>24</v>
      </c>
      <c r="G5859" s="128" t="str">
        <f>VLOOKUP(source[[#This Row],[lending_product_transform]],[3]Mapping!$B$4:$C$37,2,0)</f>
        <v>[Cake] - Cashloan</v>
      </c>
      <c r="H5859" s="128" t="str">
        <f>VLOOKUP(source[[#This Row],[lending_product_transform]],[3]Mapping!$B$3:$D$37,3,0)</f>
        <v>cashloan</v>
      </c>
      <c r="I5859" s="135">
        <v>0</v>
      </c>
    </row>
    <row r="5860" spans="1:9" x14ac:dyDescent="0.2">
      <c r="A5860" s="134">
        <v>45745</v>
      </c>
      <c r="B5860" s="135">
        <f>YEAR(source[[#This Row],[report_date]])</f>
        <v>2025</v>
      </c>
      <c r="C5860" s="128">
        <f t="shared" si="271"/>
        <v>3</v>
      </c>
      <c r="D5860" s="136">
        <f t="shared" si="273"/>
        <v>13</v>
      </c>
      <c r="E5860" s="136">
        <f t="shared" si="272"/>
        <v>29</v>
      </c>
      <c r="F5860" s="128" t="s">
        <v>24</v>
      </c>
      <c r="G5860" s="128" t="str">
        <f>VLOOKUP(source[[#This Row],[lending_product_transform]],[3]Mapping!$B$4:$C$37,2,0)</f>
        <v>[Cake] - Cashloan</v>
      </c>
      <c r="H5860" s="128" t="str">
        <f>VLOOKUP(source[[#This Row],[lending_product_transform]],[3]Mapping!$B$3:$D$37,3,0)</f>
        <v>cashloan</v>
      </c>
      <c r="I5860" s="135">
        <v>522950000</v>
      </c>
    </row>
    <row r="5861" spans="1:9" x14ac:dyDescent="0.2">
      <c r="A5861" s="134">
        <v>45745</v>
      </c>
      <c r="B5861" s="135">
        <f>YEAR(source[[#This Row],[report_date]])</f>
        <v>2025</v>
      </c>
      <c r="C5861" s="128">
        <f t="shared" si="271"/>
        <v>3</v>
      </c>
      <c r="D5861" s="136">
        <f t="shared" si="273"/>
        <v>13</v>
      </c>
      <c r="E5861" s="136">
        <f t="shared" si="272"/>
        <v>29</v>
      </c>
      <c r="F5861" s="128" t="s">
        <v>24</v>
      </c>
      <c r="G5861" s="128" t="str">
        <f>VLOOKUP(source[[#This Row],[lending_product_transform]],[3]Mapping!$B$4:$C$37,2,0)</f>
        <v>[Cake] - Cashloan</v>
      </c>
      <c r="H5861" s="128" t="str">
        <f>VLOOKUP(source[[#This Row],[lending_product_transform]],[3]Mapping!$B$3:$D$37,3,0)</f>
        <v>cashloan</v>
      </c>
      <c r="I5861" s="135">
        <v>342721440</v>
      </c>
    </row>
    <row r="5862" spans="1:9" x14ac:dyDescent="0.2">
      <c r="A5862" s="134">
        <v>45745</v>
      </c>
      <c r="B5862" s="135">
        <f>YEAR(source[[#This Row],[report_date]])</f>
        <v>2025</v>
      </c>
      <c r="C5862" s="128">
        <f t="shared" si="271"/>
        <v>3</v>
      </c>
      <c r="D5862" s="136">
        <f t="shared" si="273"/>
        <v>13</v>
      </c>
      <c r="E5862" s="136">
        <f t="shared" si="272"/>
        <v>29</v>
      </c>
      <c r="F5862" s="128" t="s">
        <v>24</v>
      </c>
      <c r="G5862" s="128" t="str">
        <f>VLOOKUP(source[[#This Row],[lending_product_transform]],[3]Mapping!$B$4:$C$37,2,0)</f>
        <v>[Cake] - Cashloan</v>
      </c>
      <c r="H5862" s="128" t="str">
        <f>VLOOKUP(source[[#This Row],[lending_product_transform]],[3]Mapping!$B$3:$D$37,3,0)</f>
        <v>cashloan</v>
      </c>
      <c r="I5862" s="135">
        <v>135070647</v>
      </c>
    </row>
    <row r="5863" spans="1:9" x14ac:dyDescent="0.2">
      <c r="A5863" s="134">
        <v>45745</v>
      </c>
      <c r="B5863" s="135">
        <f>YEAR(source[[#This Row],[report_date]])</f>
        <v>2025</v>
      </c>
      <c r="C5863" s="128">
        <f t="shared" si="271"/>
        <v>3</v>
      </c>
      <c r="D5863" s="136">
        <f t="shared" si="273"/>
        <v>13</v>
      </c>
      <c r="E5863" s="136">
        <f t="shared" si="272"/>
        <v>29</v>
      </c>
      <c r="F5863" s="128" t="s">
        <v>24</v>
      </c>
      <c r="G5863" s="128" t="str">
        <f>VLOOKUP(source[[#This Row],[lending_product_transform]],[3]Mapping!$B$4:$C$37,2,0)</f>
        <v>[Cake] - Cashloan</v>
      </c>
      <c r="H5863" s="128" t="str">
        <f>VLOOKUP(source[[#This Row],[lending_product_transform]],[3]Mapping!$B$3:$D$37,3,0)</f>
        <v>cashloan</v>
      </c>
      <c r="I5863" s="135">
        <v>326907240</v>
      </c>
    </row>
    <row r="5864" spans="1:9" x14ac:dyDescent="0.2">
      <c r="A5864" s="134">
        <v>45746</v>
      </c>
      <c r="B5864" s="135">
        <f>YEAR(source[[#This Row],[report_date]])</f>
        <v>2025</v>
      </c>
      <c r="C5864" s="128">
        <f t="shared" si="271"/>
        <v>3</v>
      </c>
      <c r="D5864" s="136">
        <f t="shared" si="273"/>
        <v>13</v>
      </c>
      <c r="E5864" s="136">
        <f t="shared" si="272"/>
        <v>30</v>
      </c>
      <c r="F5864" s="128" t="s">
        <v>24</v>
      </c>
      <c r="G5864" s="128" t="str">
        <f>VLOOKUP(source[[#This Row],[lending_product_transform]],[3]Mapping!$B$4:$C$37,2,0)</f>
        <v>[Cake] - Cashloan</v>
      </c>
      <c r="H5864" s="128" t="str">
        <f>VLOOKUP(source[[#This Row],[lending_product_transform]],[3]Mapping!$B$3:$D$37,3,0)</f>
        <v>cashloan</v>
      </c>
      <c r="I5864" s="135">
        <v>0</v>
      </c>
    </row>
    <row r="5865" spans="1:9" x14ac:dyDescent="0.2">
      <c r="A5865" s="134">
        <v>45746</v>
      </c>
      <c r="B5865" s="135">
        <f>YEAR(source[[#This Row],[report_date]])</f>
        <v>2025</v>
      </c>
      <c r="C5865" s="128">
        <f t="shared" si="271"/>
        <v>3</v>
      </c>
      <c r="D5865" s="136">
        <f t="shared" si="273"/>
        <v>13</v>
      </c>
      <c r="E5865" s="136">
        <f t="shared" si="272"/>
        <v>30</v>
      </c>
      <c r="F5865" s="128" t="s">
        <v>24</v>
      </c>
      <c r="G5865" s="128" t="str">
        <f>VLOOKUP(source[[#This Row],[lending_product_transform]],[3]Mapping!$B$4:$C$37,2,0)</f>
        <v>[Cake] - Cashloan</v>
      </c>
      <c r="H5865" s="128" t="str">
        <f>VLOOKUP(source[[#This Row],[lending_product_transform]],[3]Mapping!$B$3:$D$37,3,0)</f>
        <v>cashloan</v>
      </c>
      <c r="I5865" s="135">
        <v>18866657</v>
      </c>
    </row>
    <row r="5866" spans="1:9" x14ac:dyDescent="0.2">
      <c r="A5866" s="134">
        <v>45746</v>
      </c>
      <c r="B5866" s="135">
        <f>YEAR(source[[#This Row],[report_date]])</f>
        <v>2025</v>
      </c>
      <c r="C5866" s="128">
        <f t="shared" si="271"/>
        <v>3</v>
      </c>
      <c r="D5866" s="136">
        <f t="shared" si="273"/>
        <v>13</v>
      </c>
      <c r="E5866" s="136">
        <f t="shared" si="272"/>
        <v>30</v>
      </c>
      <c r="F5866" s="128" t="s">
        <v>24</v>
      </c>
      <c r="G5866" s="128" t="str">
        <f>VLOOKUP(source[[#This Row],[lending_product_transform]],[3]Mapping!$B$4:$C$37,2,0)</f>
        <v>[Cake] - Cashloan</v>
      </c>
      <c r="H5866" s="128" t="str">
        <f>VLOOKUP(source[[#This Row],[lending_product_transform]],[3]Mapping!$B$3:$D$37,3,0)</f>
        <v>cashloan</v>
      </c>
      <c r="I5866" s="135">
        <v>57750000</v>
      </c>
    </row>
    <row r="5867" spans="1:9" x14ac:dyDescent="0.2">
      <c r="A5867" s="134">
        <v>45746</v>
      </c>
      <c r="B5867" s="135">
        <f>YEAR(source[[#This Row],[report_date]])</f>
        <v>2025</v>
      </c>
      <c r="C5867" s="128">
        <f t="shared" si="271"/>
        <v>3</v>
      </c>
      <c r="D5867" s="136">
        <f t="shared" si="273"/>
        <v>13</v>
      </c>
      <c r="E5867" s="136">
        <f t="shared" si="272"/>
        <v>30</v>
      </c>
      <c r="F5867" s="128" t="s">
        <v>24</v>
      </c>
      <c r="G5867" s="128" t="str">
        <f>VLOOKUP(source[[#This Row],[lending_product_transform]],[3]Mapping!$B$4:$C$37,2,0)</f>
        <v>[Cake] - Cashloan</v>
      </c>
      <c r="H5867" s="128" t="str">
        <f>VLOOKUP(source[[#This Row],[lending_product_transform]],[3]Mapping!$B$3:$D$37,3,0)</f>
        <v>cashloan</v>
      </c>
      <c r="I5867" s="135">
        <v>67000000</v>
      </c>
    </row>
    <row r="5868" spans="1:9" x14ac:dyDescent="0.2">
      <c r="A5868" s="134">
        <v>45746</v>
      </c>
      <c r="B5868" s="135">
        <f>YEAR(source[[#This Row],[report_date]])</f>
        <v>2025</v>
      </c>
      <c r="C5868" s="128">
        <f t="shared" si="271"/>
        <v>3</v>
      </c>
      <c r="D5868" s="136">
        <f t="shared" si="273"/>
        <v>13</v>
      </c>
      <c r="E5868" s="136">
        <f t="shared" si="272"/>
        <v>30</v>
      </c>
      <c r="F5868" s="128" t="s">
        <v>24</v>
      </c>
      <c r="G5868" s="128" t="str">
        <f>VLOOKUP(source[[#This Row],[lending_product_transform]],[3]Mapping!$B$4:$C$37,2,0)</f>
        <v>[Cake] - Cashloan</v>
      </c>
      <c r="H5868" s="128" t="str">
        <f>VLOOKUP(source[[#This Row],[lending_product_transform]],[3]Mapping!$B$3:$D$37,3,0)</f>
        <v>cashloan</v>
      </c>
      <c r="I5868" s="135">
        <v>0</v>
      </c>
    </row>
    <row r="5869" spans="1:9" x14ac:dyDescent="0.2">
      <c r="A5869" s="134">
        <v>45746</v>
      </c>
      <c r="B5869" s="135">
        <f>YEAR(source[[#This Row],[report_date]])</f>
        <v>2025</v>
      </c>
      <c r="C5869" s="128">
        <f t="shared" si="271"/>
        <v>3</v>
      </c>
      <c r="D5869" s="136">
        <f t="shared" si="273"/>
        <v>13</v>
      </c>
      <c r="E5869" s="136">
        <f t="shared" si="272"/>
        <v>30</v>
      </c>
      <c r="F5869" s="128" t="s">
        <v>24</v>
      </c>
      <c r="G5869" s="128" t="str">
        <f>VLOOKUP(source[[#This Row],[lending_product_transform]],[3]Mapping!$B$4:$C$37,2,0)</f>
        <v>[Cake] - Cashloan</v>
      </c>
      <c r="H5869" s="128" t="str">
        <f>VLOOKUP(source[[#This Row],[lending_product_transform]],[3]Mapping!$B$3:$D$37,3,0)</f>
        <v>cashloan</v>
      </c>
      <c r="I5869" s="135">
        <v>0</v>
      </c>
    </row>
    <row r="5870" spans="1:9" x14ac:dyDescent="0.2">
      <c r="A5870" s="134">
        <v>45746</v>
      </c>
      <c r="B5870" s="135">
        <f>YEAR(source[[#This Row],[report_date]])</f>
        <v>2025</v>
      </c>
      <c r="C5870" s="128">
        <f t="shared" si="271"/>
        <v>3</v>
      </c>
      <c r="D5870" s="136">
        <f t="shared" si="273"/>
        <v>13</v>
      </c>
      <c r="E5870" s="136">
        <f t="shared" si="272"/>
        <v>30</v>
      </c>
      <c r="F5870" s="128" t="s">
        <v>24</v>
      </c>
      <c r="G5870" s="128" t="str">
        <f>VLOOKUP(source[[#This Row],[lending_product_transform]],[3]Mapping!$B$4:$C$37,2,0)</f>
        <v>[Cake] - Cashloan</v>
      </c>
      <c r="H5870" s="128" t="str">
        <f>VLOOKUP(source[[#This Row],[lending_product_transform]],[3]Mapping!$B$3:$D$37,3,0)</f>
        <v>cashloan</v>
      </c>
      <c r="I5870" s="135">
        <v>0</v>
      </c>
    </row>
    <row r="5871" spans="1:9" x14ac:dyDescent="0.2">
      <c r="A5871" s="134">
        <v>45746</v>
      </c>
      <c r="B5871" s="135">
        <f>YEAR(source[[#This Row],[report_date]])</f>
        <v>2025</v>
      </c>
      <c r="C5871" s="128">
        <f t="shared" si="271"/>
        <v>3</v>
      </c>
      <c r="D5871" s="136">
        <f t="shared" si="273"/>
        <v>13</v>
      </c>
      <c r="E5871" s="136">
        <f t="shared" si="272"/>
        <v>30</v>
      </c>
      <c r="F5871" s="128" t="s">
        <v>24</v>
      </c>
      <c r="G5871" s="128" t="str">
        <f>VLOOKUP(source[[#This Row],[lending_product_transform]],[3]Mapping!$B$4:$C$37,2,0)</f>
        <v>[Cake] - Cashloan</v>
      </c>
      <c r="H5871" s="128" t="str">
        <f>VLOOKUP(source[[#This Row],[lending_product_transform]],[3]Mapping!$B$3:$D$37,3,0)</f>
        <v>cashloan</v>
      </c>
      <c r="I5871" s="135">
        <v>0</v>
      </c>
    </row>
    <row r="5872" spans="1:9" x14ac:dyDescent="0.2">
      <c r="A5872" s="134">
        <v>45746</v>
      </c>
      <c r="B5872" s="135">
        <f>YEAR(source[[#This Row],[report_date]])</f>
        <v>2025</v>
      </c>
      <c r="C5872" s="128">
        <f t="shared" si="271"/>
        <v>3</v>
      </c>
      <c r="D5872" s="136">
        <f t="shared" si="273"/>
        <v>13</v>
      </c>
      <c r="E5872" s="136">
        <f t="shared" si="272"/>
        <v>30</v>
      </c>
      <c r="F5872" s="128" t="s">
        <v>24</v>
      </c>
      <c r="G5872" s="128" t="str">
        <f>VLOOKUP(source[[#This Row],[lending_product_transform]],[3]Mapping!$B$4:$C$37,2,0)</f>
        <v>[Cake] - Cashloan</v>
      </c>
      <c r="H5872" s="128" t="str">
        <f>VLOOKUP(source[[#This Row],[lending_product_transform]],[3]Mapping!$B$3:$D$37,3,0)</f>
        <v>cashloan</v>
      </c>
      <c r="I5872" s="135">
        <v>0</v>
      </c>
    </row>
    <row r="5873" spans="1:9" x14ac:dyDescent="0.2">
      <c r="A5873" s="134">
        <v>45746</v>
      </c>
      <c r="B5873" s="135">
        <f>YEAR(source[[#This Row],[report_date]])</f>
        <v>2025</v>
      </c>
      <c r="C5873" s="128">
        <f t="shared" si="271"/>
        <v>3</v>
      </c>
      <c r="D5873" s="136">
        <f t="shared" si="273"/>
        <v>13</v>
      </c>
      <c r="E5873" s="136">
        <f t="shared" si="272"/>
        <v>30</v>
      </c>
      <c r="F5873" s="128" t="s">
        <v>24</v>
      </c>
      <c r="G5873" s="128" t="str">
        <f>VLOOKUP(source[[#This Row],[lending_product_transform]],[3]Mapping!$B$4:$C$37,2,0)</f>
        <v>[Cake] - Cashloan</v>
      </c>
      <c r="H5873" s="128" t="str">
        <f>VLOOKUP(source[[#This Row],[lending_product_transform]],[3]Mapping!$B$3:$D$37,3,0)</f>
        <v>cashloan</v>
      </c>
      <c r="I5873" s="135">
        <v>205990000</v>
      </c>
    </row>
    <row r="5874" spans="1:9" x14ac:dyDescent="0.2">
      <c r="A5874" s="134">
        <v>45746</v>
      </c>
      <c r="B5874" s="135">
        <f>YEAR(source[[#This Row],[report_date]])</f>
        <v>2025</v>
      </c>
      <c r="C5874" s="128">
        <f t="shared" si="271"/>
        <v>3</v>
      </c>
      <c r="D5874" s="136">
        <f t="shared" si="273"/>
        <v>13</v>
      </c>
      <c r="E5874" s="136">
        <f t="shared" si="272"/>
        <v>30</v>
      </c>
      <c r="F5874" s="128" t="s">
        <v>24</v>
      </c>
      <c r="G5874" s="128" t="str">
        <f>VLOOKUP(source[[#This Row],[lending_product_transform]],[3]Mapping!$B$4:$C$37,2,0)</f>
        <v>[Cake] - Cashloan</v>
      </c>
      <c r="H5874" s="128" t="str">
        <f>VLOOKUP(source[[#This Row],[lending_product_transform]],[3]Mapping!$B$3:$D$37,3,0)</f>
        <v>cashloan</v>
      </c>
      <c r="I5874" s="135">
        <v>22500000</v>
      </c>
    </row>
    <row r="5875" spans="1:9" x14ac:dyDescent="0.2">
      <c r="A5875" s="134">
        <v>45746</v>
      </c>
      <c r="B5875" s="135">
        <f>YEAR(source[[#This Row],[report_date]])</f>
        <v>2025</v>
      </c>
      <c r="C5875" s="128">
        <f t="shared" si="271"/>
        <v>3</v>
      </c>
      <c r="D5875" s="136">
        <f t="shared" si="273"/>
        <v>13</v>
      </c>
      <c r="E5875" s="136">
        <f t="shared" si="272"/>
        <v>30</v>
      </c>
      <c r="F5875" s="128" t="s">
        <v>24</v>
      </c>
      <c r="G5875" s="128" t="str">
        <f>VLOOKUP(source[[#This Row],[lending_product_transform]],[3]Mapping!$B$4:$C$37,2,0)</f>
        <v>[Cake] - Cashloan</v>
      </c>
      <c r="H5875" s="128" t="str">
        <f>VLOOKUP(source[[#This Row],[lending_product_transform]],[3]Mapping!$B$3:$D$37,3,0)</f>
        <v>cashloan</v>
      </c>
      <c r="I5875" s="135">
        <v>782190000</v>
      </c>
    </row>
    <row r="5876" spans="1:9" x14ac:dyDescent="0.2">
      <c r="A5876" s="134">
        <v>45746</v>
      </c>
      <c r="B5876" s="135">
        <f>YEAR(source[[#This Row],[report_date]])</f>
        <v>2025</v>
      </c>
      <c r="C5876" s="128">
        <f t="shared" si="271"/>
        <v>3</v>
      </c>
      <c r="D5876" s="136">
        <f t="shared" si="273"/>
        <v>13</v>
      </c>
      <c r="E5876" s="136">
        <f t="shared" si="272"/>
        <v>30</v>
      </c>
      <c r="F5876" s="128" t="s">
        <v>24</v>
      </c>
      <c r="G5876" s="128" t="str">
        <f>VLOOKUP(source[[#This Row],[lending_product_transform]],[3]Mapping!$B$4:$C$37,2,0)</f>
        <v>[Cake] - Cashloan</v>
      </c>
      <c r="H5876" s="128" t="str">
        <f>VLOOKUP(source[[#This Row],[lending_product_transform]],[3]Mapping!$B$3:$D$37,3,0)</f>
        <v>cashloan</v>
      </c>
      <c r="I5876" s="135">
        <v>340873907</v>
      </c>
    </row>
    <row r="5877" spans="1:9" x14ac:dyDescent="0.2">
      <c r="A5877" s="134">
        <v>45746</v>
      </c>
      <c r="B5877" s="135">
        <f>YEAR(source[[#This Row],[report_date]])</f>
        <v>2025</v>
      </c>
      <c r="C5877" s="128">
        <f t="shared" si="271"/>
        <v>3</v>
      </c>
      <c r="D5877" s="136">
        <f t="shared" si="273"/>
        <v>13</v>
      </c>
      <c r="E5877" s="136">
        <f t="shared" si="272"/>
        <v>30</v>
      </c>
      <c r="F5877" s="128" t="s">
        <v>24</v>
      </c>
      <c r="G5877" s="128" t="str">
        <f>VLOOKUP(source[[#This Row],[lending_product_transform]],[3]Mapping!$B$4:$C$37,2,0)</f>
        <v>[Cake] - Cashloan</v>
      </c>
      <c r="H5877" s="128" t="str">
        <f>VLOOKUP(source[[#This Row],[lending_product_transform]],[3]Mapping!$B$3:$D$37,3,0)</f>
        <v>cashloan</v>
      </c>
      <c r="I5877" s="135">
        <v>140440681</v>
      </c>
    </row>
    <row r="5878" spans="1:9" x14ac:dyDescent="0.2">
      <c r="A5878" s="134">
        <v>45746</v>
      </c>
      <c r="B5878" s="135">
        <f>YEAR(source[[#This Row],[report_date]])</f>
        <v>2025</v>
      </c>
      <c r="C5878" s="128">
        <f t="shared" ref="C5878:C5941" si="274">MONTH(A5878)</f>
        <v>3</v>
      </c>
      <c r="D5878" s="136">
        <f t="shared" si="273"/>
        <v>13</v>
      </c>
      <c r="E5878" s="136">
        <f t="shared" ref="E5878:E5941" si="275">DAY(A5878)</f>
        <v>30</v>
      </c>
      <c r="F5878" s="128" t="s">
        <v>24</v>
      </c>
      <c r="G5878" s="128" t="str">
        <f>VLOOKUP(source[[#This Row],[lending_product_transform]],[3]Mapping!$B$4:$C$37,2,0)</f>
        <v>[Cake] - Cashloan</v>
      </c>
      <c r="H5878" s="128" t="str">
        <f>VLOOKUP(source[[#This Row],[lending_product_transform]],[3]Mapping!$B$3:$D$37,3,0)</f>
        <v>cashloan</v>
      </c>
      <c r="I5878" s="135">
        <v>321415971</v>
      </c>
    </row>
    <row r="5879" spans="1:9" x14ac:dyDescent="0.2">
      <c r="A5879" s="134">
        <v>45746</v>
      </c>
      <c r="B5879" s="135">
        <f>YEAR(source[[#This Row],[report_date]])</f>
        <v>2025</v>
      </c>
      <c r="C5879" s="128">
        <f t="shared" si="274"/>
        <v>3</v>
      </c>
      <c r="D5879" s="136">
        <f t="shared" si="273"/>
        <v>13</v>
      </c>
      <c r="E5879" s="136">
        <f t="shared" si="275"/>
        <v>30</v>
      </c>
      <c r="F5879" s="128" t="s">
        <v>24</v>
      </c>
      <c r="G5879" s="128" t="str">
        <f>VLOOKUP(source[[#This Row],[lending_product_transform]],[3]Mapping!$B$4:$C$37,2,0)</f>
        <v>[Cake] - Cashloan</v>
      </c>
      <c r="H5879" s="128" t="str">
        <f>VLOOKUP(source[[#This Row],[lending_product_transform]],[3]Mapping!$B$3:$D$37,3,0)</f>
        <v>cashloan</v>
      </c>
      <c r="I5879" s="135">
        <v>2963964895</v>
      </c>
    </row>
    <row r="5880" spans="1:9" x14ac:dyDescent="0.2">
      <c r="A5880" s="134">
        <v>45746</v>
      </c>
      <c r="B5880" s="135">
        <f>YEAR(source[[#This Row],[report_date]])</f>
        <v>2025</v>
      </c>
      <c r="C5880" s="128">
        <f t="shared" si="274"/>
        <v>3</v>
      </c>
      <c r="D5880" s="136">
        <f t="shared" si="273"/>
        <v>13</v>
      </c>
      <c r="E5880" s="136">
        <f t="shared" si="275"/>
        <v>30</v>
      </c>
      <c r="F5880" s="128" t="s">
        <v>24</v>
      </c>
      <c r="G5880" s="128" t="str">
        <f>VLOOKUP(source[[#This Row],[lending_product_transform]],[3]Mapping!$B$4:$C$37,2,0)</f>
        <v>[Cake] - Cashloan</v>
      </c>
      <c r="H5880" s="128" t="str">
        <f>VLOOKUP(source[[#This Row],[lending_product_transform]],[3]Mapping!$B$3:$D$37,3,0)</f>
        <v>cashloan</v>
      </c>
      <c r="I5880" s="135">
        <v>5338750000</v>
      </c>
    </row>
    <row r="5881" spans="1:9" x14ac:dyDescent="0.2">
      <c r="A5881" s="134">
        <v>45746</v>
      </c>
      <c r="B5881" s="135">
        <f>YEAR(source[[#This Row],[report_date]])</f>
        <v>2025</v>
      </c>
      <c r="C5881" s="128">
        <f t="shared" si="274"/>
        <v>3</v>
      </c>
      <c r="D5881" s="136">
        <f t="shared" si="273"/>
        <v>13</v>
      </c>
      <c r="E5881" s="136">
        <f t="shared" si="275"/>
        <v>30</v>
      </c>
      <c r="F5881" s="128" t="s">
        <v>24</v>
      </c>
      <c r="G5881" s="128" t="str">
        <f>VLOOKUP(source[[#This Row],[lending_product_transform]],[3]Mapping!$B$4:$C$37,2,0)</f>
        <v>[Cake] - Cashloan</v>
      </c>
      <c r="H5881" s="128" t="str">
        <f>VLOOKUP(source[[#This Row],[lending_product_transform]],[3]Mapping!$B$3:$D$37,3,0)</f>
        <v>cashloan</v>
      </c>
      <c r="I5881" s="135">
        <v>4620500000</v>
      </c>
    </row>
    <row r="5882" spans="1:9" x14ac:dyDescent="0.2">
      <c r="A5882" s="134">
        <v>45746</v>
      </c>
      <c r="B5882" s="135">
        <f>YEAR(source[[#This Row],[report_date]])</f>
        <v>2025</v>
      </c>
      <c r="C5882" s="128">
        <f t="shared" si="274"/>
        <v>3</v>
      </c>
      <c r="D5882" s="136">
        <f t="shared" si="273"/>
        <v>13</v>
      </c>
      <c r="E5882" s="136">
        <f t="shared" si="275"/>
        <v>30</v>
      </c>
      <c r="F5882" s="128" t="s">
        <v>24</v>
      </c>
      <c r="G5882" s="128" t="str">
        <f>VLOOKUP(source[[#This Row],[lending_product_transform]],[3]Mapping!$B$4:$C$37,2,0)</f>
        <v>[Cake] - Cashloan</v>
      </c>
      <c r="H5882" s="128" t="str">
        <f>VLOOKUP(source[[#This Row],[lending_product_transform]],[3]Mapping!$B$3:$D$37,3,0)</f>
        <v>cashloan</v>
      </c>
      <c r="I5882" s="135">
        <v>5831520000</v>
      </c>
    </row>
    <row r="5883" spans="1:9" x14ac:dyDescent="0.2">
      <c r="A5883" s="134">
        <v>45747</v>
      </c>
      <c r="B5883" s="135">
        <f>YEAR(source[[#This Row],[report_date]])</f>
        <v>2025</v>
      </c>
      <c r="C5883" s="128">
        <f t="shared" si="274"/>
        <v>3</v>
      </c>
      <c r="D5883" s="136">
        <f t="shared" si="273"/>
        <v>14</v>
      </c>
      <c r="E5883" s="136">
        <f t="shared" si="275"/>
        <v>31</v>
      </c>
      <c r="F5883" s="128" t="s">
        <v>24</v>
      </c>
      <c r="G5883" s="128" t="str">
        <f>VLOOKUP(source[[#This Row],[lending_product_transform]],[3]Mapping!$B$4:$C$37,2,0)</f>
        <v>[Cake] - Cashloan</v>
      </c>
      <c r="H5883" s="128" t="str">
        <f>VLOOKUP(source[[#This Row],[lending_product_transform]],[3]Mapping!$B$3:$D$37,3,0)</f>
        <v>cashloan</v>
      </c>
      <c r="I5883" s="135">
        <v>0</v>
      </c>
    </row>
    <row r="5884" spans="1:9" x14ac:dyDescent="0.2">
      <c r="A5884" s="134">
        <v>45747</v>
      </c>
      <c r="B5884" s="135">
        <f>YEAR(source[[#This Row],[report_date]])</f>
        <v>2025</v>
      </c>
      <c r="C5884" s="128">
        <f t="shared" si="274"/>
        <v>3</v>
      </c>
      <c r="D5884" s="136">
        <f t="shared" si="273"/>
        <v>14</v>
      </c>
      <c r="E5884" s="136">
        <f t="shared" si="275"/>
        <v>31</v>
      </c>
      <c r="F5884" s="128" t="s">
        <v>24</v>
      </c>
      <c r="G5884" s="128" t="str">
        <f>VLOOKUP(source[[#This Row],[lending_product_transform]],[3]Mapping!$B$4:$C$37,2,0)</f>
        <v>[Cake] - Cashloan</v>
      </c>
      <c r="H5884" s="128" t="str">
        <f>VLOOKUP(source[[#This Row],[lending_product_transform]],[3]Mapping!$B$3:$D$37,3,0)</f>
        <v>cashloan</v>
      </c>
      <c r="I5884" s="135">
        <v>7303440000</v>
      </c>
    </row>
    <row r="5885" spans="1:9" x14ac:dyDescent="0.2">
      <c r="A5885" s="134">
        <v>45747</v>
      </c>
      <c r="B5885" s="135">
        <f>YEAR(source[[#This Row],[report_date]])</f>
        <v>2025</v>
      </c>
      <c r="C5885" s="128">
        <f t="shared" si="274"/>
        <v>3</v>
      </c>
      <c r="D5885" s="136">
        <f t="shared" si="273"/>
        <v>14</v>
      </c>
      <c r="E5885" s="136">
        <f t="shared" si="275"/>
        <v>31</v>
      </c>
      <c r="F5885" s="128" t="s">
        <v>24</v>
      </c>
      <c r="G5885" s="128" t="str">
        <f>VLOOKUP(source[[#This Row],[lending_product_transform]],[3]Mapping!$B$4:$C$37,2,0)</f>
        <v>[Cake] - Cashloan</v>
      </c>
      <c r="H5885" s="128" t="str">
        <f>VLOOKUP(source[[#This Row],[lending_product_transform]],[3]Mapping!$B$3:$D$37,3,0)</f>
        <v>cashloan</v>
      </c>
      <c r="I5885" s="135">
        <v>0</v>
      </c>
    </row>
    <row r="5886" spans="1:9" x14ac:dyDescent="0.2">
      <c r="A5886" s="134">
        <v>45747</v>
      </c>
      <c r="B5886" s="135">
        <f>YEAR(source[[#This Row],[report_date]])</f>
        <v>2025</v>
      </c>
      <c r="C5886" s="128">
        <f t="shared" si="274"/>
        <v>3</v>
      </c>
      <c r="D5886" s="136">
        <f t="shared" si="273"/>
        <v>14</v>
      </c>
      <c r="E5886" s="136">
        <f t="shared" si="275"/>
        <v>31</v>
      </c>
      <c r="F5886" s="128" t="s">
        <v>24</v>
      </c>
      <c r="G5886" s="128" t="str">
        <f>VLOOKUP(source[[#This Row],[lending_product_transform]],[3]Mapping!$B$4:$C$37,2,0)</f>
        <v>[Cake] - Cashloan</v>
      </c>
      <c r="H5886" s="128" t="str">
        <f>VLOOKUP(source[[#This Row],[lending_product_transform]],[3]Mapping!$B$3:$D$37,3,0)</f>
        <v>cashloan</v>
      </c>
      <c r="I5886" s="135">
        <v>25186456</v>
      </c>
    </row>
    <row r="5887" spans="1:9" x14ac:dyDescent="0.2">
      <c r="A5887" s="134">
        <v>45747</v>
      </c>
      <c r="B5887" s="135">
        <f>YEAR(source[[#This Row],[report_date]])</f>
        <v>2025</v>
      </c>
      <c r="C5887" s="128">
        <f t="shared" si="274"/>
        <v>3</v>
      </c>
      <c r="D5887" s="136">
        <f t="shared" si="273"/>
        <v>14</v>
      </c>
      <c r="E5887" s="136">
        <f t="shared" si="275"/>
        <v>31</v>
      </c>
      <c r="F5887" s="128" t="s">
        <v>24</v>
      </c>
      <c r="G5887" s="128" t="str">
        <f>VLOOKUP(source[[#This Row],[lending_product_transform]],[3]Mapping!$B$4:$C$37,2,0)</f>
        <v>[Cake] - Cashloan</v>
      </c>
      <c r="H5887" s="128" t="str">
        <f>VLOOKUP(source[[#This Row],[lending_product_transform]],[3]Mapping!$B$3:$D$37,3,0)</f>
        <v>cashloan</v>
      </c>
      <c r="I5887" s="135">
        <v>100800000</v>
      </c>
    </row>
    <row r="5888" spans="1:9" x14ac:dyDescent="0.2">
      <c r="A5888" s="134">
        <v>45747</v>
      </c>
      <c r="B5888" s="135">
        <f>YEAR(source[[#This Row],[report_date]])</f>
        <v>2025</v>
      </c>
      <c r="C5888" s="128">
        <f t="shared" si="274"/>
        <v>3</v>
      </c>
      <c r="D5888" s="136">
        <f t="shared" si="273"/>
        <v>14</v>
      </c>
      <c r="E5888" s="136">
        <f t="shared" si="275"/>
        <v>31</v>
      </c>
      <c r="F5888" s="128" t="s">
        <v>24</v>
      </c>
      <c r="G5888" s="128" t="str">
        <f>VLOOKUP(source[[#This Row],[lending_product_transform]],[3]Mapping!$B$4:$C$37,2,0)</f>
        <v>[Cake] - Cashloan</v>
      </c>
      <c r="H5888" s="128" t="str">
        <f>VLOOKUP(source[[#This Row],[lending_product_transform]],[3]Mapping!$B$3:$D$37,3,0)</f>
        <v>cashloan</v>
      </c>
      <c r="I5888" s="135">
        <v>60000000</v>
      </c>
    </row>
    <row r="5889" spans="1:9" x14ac:dyDescent="0.2">
      <c r="A5889" s="134">
        <v>45747</v>
      </c>
      <c r="B5889" s="135">
        <f>YEAR(source[[#This Row],[report_date]])</f>
        <v>2025</v>
      </c>
      <c r="C5889" s="128">
        <f t="shared" si="274"/>
        <v>3</v>
      </c>
      <c r="D5889" s="136">
        <f t="shared" si="273"/>
        <v>14</v>
      </c>
      <c r="E5889" s="136">
        <f t="shared" si="275"/>
        <v>31</v>
      </c>
      <c r="F5889" s="128" t="s">
        <v>24</v>
      </c>
      <c r="G5889" s="128" t="str">
        <f>VLOOKUP(source[[#This Row],[lending_product_transform]],[3]Mapping!$B$4:$C$37,2,0)</f>
        <v>[Cake] - Cashloan</v>
      </c>
      <c r="H5889" s="128" t="str">
        <f>VLOOKUP(source[[#This Row],[lending_product_transform]],[3]Mapping!$B$3:$D$37,3,0)</f>
        <v>cashloan</v>
      </c>
      <c r="I5889" s="135">
        <v>0</v>
      </c>
    </row>
    <row r="5890" spans="1:9" x14ac:dyDescent="0.2">
      <c r="A5890" s="134">
        <v>45747</v>
      </c>
      <c r="B5890" s="135">
        <f>YEAR(source[[#This Row],[report_date]])</f>
        <v>2025</v>
      </c>
      <c r="C5890" s="128">
        <f t="shared" si="274"/>
        <v>3</v>
      </c>
      <c r="D5890" s="136">
        <f t="shared" si="273"/>
        <v>14</v>
      </c>
      <c r="E5890" s="136">
        <f t="shared" si="275"/>
        <v>31</v>
      </c>
      <c r="F5890" s="128" t="s">
        <v>24</v>
      </c>
      <c r="G5890" s="128" t="str">
        <f>VLOOKUP(source[[#This Row],[lending_product_transform]],[3]Mapping!$B$4:$C$37,2,0)</f>
        <v>[Cake] - Cashloan</v>
      </c>
      <c r="H5890" s="128" t="str">
        <f>VLOOKUP(source[[#This Row],[lending_product_transform]],[3]Mapping!$B$3:$D$37,3,0)</f>
        <v>cashloan</v>
      </c>
      <c r="I5890" s="135">
        <v>0</v>
      </c>
    </row>
    <row r="5891" spans="1:9" x14ac:dyDescent="0.2">
      <c r="A5891" s="134">
        <v>45747</v>
      </c>
      <c r="B5891" s="135">
        <f>YEAR(source[[#This Row],[report_date]])</f>
        <v>2025</v>
      </c>
      <c r="C5891" s="128">
        <f t="shared" si="274"/>
        <v>3</v>
      </c>
      <c r="D5891" s="136">
        <f t="shared" ref="D5891:D5954" si="276">WEEKNUM(A5891,2)</f>
        <v>14</v>
      </c>
      <c r="E5891" s="136">
        <f t="shared" si="275"/>
        <v>31</v>
      </c>
      <c r="F5891" s="128" t="s">
        <v>24</v>
      </c>
      <c r="G5891" s="128" t="str">
        <f>VLOOKUP(source[[#This Row],[lending_product_transform]],[3]Mapping!$B$4:$C$37,2,0)</f>
        <v>[Cake] - Cashloan</v>
      </c>
      <c r="H5891" s="128" t="str">
        <f>VLOOKUP(source[[#This Row],[lending_product_transform]],[3]Mapping!$B$3:$D$37,3,0)</f>
        <v>cashloan</v>
      </c>
      <c r="I5891" s="135">
        <v>0</v>
      </c>
    </row>
    <row r="5892" spans="1:9" x14ac:dyDescent="0.2">
      <c r="A5892" s="134">
        <v>45747</v>
      </c>
      <c r="B5892" s="135">
        <f>YEAR(source[[#This Row],[report_date]])</f>
        <v>2025</v>
      </c>
      <c r="C5892" s="128">
        <f t="shared" si="274"/>
        <v>3</v>
      </c>
      <c r="D5892" s="136">
        <f t="shared" si="276"/>
        <v>14</v>
      </c>
      <c r="E5892" s="136">
        <f t="shared" si="275"/>
        <v>31</v>
      </c>
      <c r="F5892" s="128" t="s">
        <v>24</v>
      </c>
      <c r="G5892" s="128" t="str">
        <f>VLOOKUP(source[[#This Row],[lending_product_transform]],[3]Mapping!$B$4:$C$37,2,0)</f>
        <v>[Cake] - Cashloan</v>
      </c>
      <c r="H5892" s="128" t="str">
        <f>VLOOKUP(source[[#This Row],[lending_product_transform]],[3]Mapping!$B$3:$D$37,3,0)</f>
        <v>cashloan</v>
      </c>
      <c r="I5892" s="135">
        <v>5127500000</v>
      </c>
    </row>
    <row r="5893" spans="1:9" x14ac:dyDescent="0.2">
      <c r="A5893" s="134">
        <v>45747</v>
      </c>
      <c r="B5893" s="135">
        <f>YEAR(source[[#This Row],[report_date]])</f>
        <v>2025</v>
      </c>
      <c r="C5893" s="128">
        <f t="shared" si="274"/>
        <v>3</v>
      </c>
      <c r="D5893" s="136">
        <f t="shared" si="276"/>
        <v>14</v>
      </c>
      <c r="E5893" s="136">
        <f t="shared" si="275"/>
        <v>31</v>
      </c>
      <c r="F5893" s="128" t="s">
        <v>24</v>
      </c>
      <c r="G5893" s="128" t="str">
        <f>VLOOKUP(source[[#This Row],[lending_product_transform]],[3]Mapping!$B$4:$C$37,2,0)</f>
        <v>[Cake] - Cashloan</v>
      </c>
      <c r="H5893" s="128" t="str">
        <f>VLOOKUP(source[[#This Row],[lending_product_transform]],[3]Mapping!$B$3:$D$37,3,0)</f>
        <v>cashloan</v>
      </c>
      <c r="I5893" s="135">
        <v>0</v>
      </c>
    </row>
    <row r="5894" spans="1:9" x14ac:dyDescent="0.2">
      <c r="A5894" s="134">
        <v>45747</v>
      </c>
      <c r="B5894" s="135">
        <f>YEAR(source[[#This Row],[report_date]])</f>
        <v>2025</v>
      </c>
      <c r="C5894" s="128">
        <f t="shared" si="274"/>
        <v>3</v>
      </c>
      <c r="D5894" s="136">
        <f t="shared" si="276"/>
        <v>14</v>
      </c>
      <c r="E5894" s="136">
        <f t="shared" si="275"/>
        <v>31</v>
      </c>
      <c r="F5894" s="128" t="s">
        <v>24</v>
      </c>
      <c r="G5894" s="128" t="str">
        <f>VLOOKUP(source[[#This Row],[lending_product_transform]],[3]Mapping!$B$4:$C$37,2,0)</f>
        <v>[Cake] - Cashloan</v>
      </c>
      <c r="H5894" s="128" t="str">
        <f>VLOOKUP(source[[#This Row],[lending_product_transform]],[3]Mapping!$B$3:$D$37,3,0)</f>
        <v>cashloan</v>
      </c>
      <c r="I5894" s="135">
        <v>745770000</v>
      </c>
    </row>
    <row r="5895" spans="1:9" x14ac:dyDescent="0.2">
      <c r="A5895" s="134">
        <v>45747</v>
      </c>
      <c r="B5895" s="135">
        <f>YEAR(source[[#This Row],[report_date]])</f>
        <v>2025</v>
      </c>
      <c r="C5895" s="128">
        <f t="shared" si="274"/>
        <v>3</v>
      </c>
      <c r="D5895" s="136">
        <f t="shared" si="276"/>
        <v>14</v>
      </c>
      <c r="E5895" s="136">
        <f t="shared" si="275"/>
        <v>31</v>
      </c>
      <c r="F5895" s="128" t="s">
        <v>24</v>
      </c>
      <c r="G5895" s="128" t="str">
        <f>VLOOKUP(source[[#This Row],[lending_product_transform]],[3]Mapping!$B$4:$C$37,2,0)</f>
        <v>[Cake] - Cashloan</v>
      </c>
      <c r="H5895" s="128" t="str">
        <f>VLOOKUP(source[[#This Row],[lending_product_transform]],[3]Mapping!$B$3:$D$37,3,0)</f>
        <v>cashloan</v>
      </c>
      <c r="I5895" s="135">
        <v>0</v>
      </c>
    </row>
    <row r="5896" spans="1:9" x14ac:dyDescent="0.2">
      <c r="A5896" s="134">
        <v>45747</v>
      </c>
      <c r="B5896" s="135">
        <f>YEAR(source[[#This Row],[report_date]])</f>
        <v>2025</v>
      </c>
      <c r="C5896" s="128">
        <f t="shared" si="274"/>
        <v>3</v>
      </c>
      <c r="D5896" s="136">
        <f t="shared" si="276"/>
        <v>14</v>
      </c>
      <c r="E5896" s="136">
        <f t="shared" si="275"/>
        <v>31</v>
      </c>
      <c r="F5896" s="128" t="s">
        <v>24</v>
      </c>
      <c r="G5896" s="128" t="str">
        <f>VLOOKUP(source[[#This Row],[lending_product_transform]],[3]Mapping!$B$4:$C$37,2,0)</f>
        <v>[Cake] - Cashloan</v>
      </c>
      <c r="H5896" s="128" t="str">
        <f>VLOOKUP(source[[#This Row],[lending_product_transform]],[3]Mapping!$B$3:$D$37,3,0)</f>
        <v>cashloan</v>
      </c>
      <c r="I5896" s="135">
        <v>797040000</v>
      </c>
    </row>
    <row r="5897" spans="1:9" x14ac:dyDescent="0.2">
      <c r="A5897" s="134">
        <v>45747</v>
      </c>
      <c r="B5897" s="135">
        <f>YEAR(source[[#This Row],[report_date]])</f>
        <v>2025</v>
      </c>
      <c r="C5897" s="128">
        <f t="shared" si="274"/>
        <v>3</v>
      </c>
      <c r="D5897" s="136">
        <f t="shared" si="276"/>
        <v>14</v>
      </c>
      <c r="E5897" s="136">
        <f t="shared" si="275"/>
        <v>31</v>
      </c>
      <c r="F5897" s="128" t="s">
        <v>24</v>
      </c>
      <c r="G5897" s="128" t="str">
        <f>VLOOKUP(source[[#This Row],[lending_product_transform]],[3]Mapping!$B$4:$C$37,2,0)</f>
        <v>[Cake] - Cashloan</v>
      </c>
      <c r="H5897" s="128" t="str">
        <f>VLOOKUP(source[[#This Row],[lending_product_transform]],[3]Mapping!$B$3:$D$37,3,0)</f>
        <v>cashloan</v>
      </c>
      <c r="I5897" s="135">
        <v>454649163</v>
      </c>
    </row>
    <row r="5898" spans="1:9" x14ac:dyDescent="0.2">
      <c r="A5898" s="134">
        <v>45747</v>
      </c>
      <c r="B5898" s="135">
        <f>YEAR(source[[#This Row],[report_date]])</f>
        <v>2025</v>
      </c>
      <c r="C5898" s="128">
        <f t="shared" si="274"/>
        <v>3</v>
      </c>
      <c r="D5898" s="136">
        <f t="shared" si="276"/>
        <v>14</v>
      </c>
      <c r="E5898" s="136">
        <f t="shared" si="275"/>
        <v>31</v>
      </c>
      <c r="F5898" s="128" t="s">
        <v>24</v>
      </c>
      <c r="G5898" s="128" t="str">
        <f>VLOOKUP(source[[#This Row],[lending_product_transform]],[3]Mapping!$B$4:$C$37,2,0)</f>
        <v>[Cake] - Cashloan</v>
      </c>
      <c r="H5898" s="128" t="str">
        <f>VLOOKUP(source[[#This Row],[lending_product_transform]],[3]Mapping!$B$3:$D$37,3,0)</f>
        <v>cashloan</v>
      </c>
      <c r="I5898" s="135">
        <v>150677300</v>
      </c>
    </row>
    <row r="5899" spans="1:9" x14ac:dyDescent="0.2">
      <c r="A5899" s="134">
        <v>45747</v>
      </c>
      <c r="B5899" s="135">
        <f>YEAR(source[[#This Row],[report_date]])</f>
        <v>2025</v>
      </c>
      <c r="C5899" s="128">
        <f t="shared" si="274"/>
        <v>3</v>
      </c>
      <c r="D5899" s="136">
        <f t="shared" si="276"/>
        <v>14</v>
      </c>
      <c r="E5899" s="136">
        <f t="shared" si="275"/>
        <v>31</v>
      </c>
      <c r="F5899" s="128" t="s">
        <v>24</v>
      </c>
      <c r="G5899" s="128" t="str">
        <f>VLOOKUP(source[[#This Row],[lending_product_transform]],[3]Mapping!$B$4:$C$37,2,0)</f>
        <v>[Cake] - Cashloan</v>
      </c>
      <c r="H5899" s="128" t="str">
        <f>VLOOKUP(source[[#This Row],[lending_product_transform]],[3]Mapping!$B$3:$D$37,3,0)</f>
        <v>cashloan</v>
      </c>
      <c r="I5899" s="135">
        <v>351075127</v>
      </c>
    </row>
    <row r="5900" spans="1:9" x14ac:dyDescent="0.2">
      <c r="A5900" s="134">
        <v>45747</v>
      </c>
      <c r="B5900" s="135">
        <f>YEAR(source[[#This Row],[report_date]])</f>
        <v>2025</v>
      </c>
      <c r="C5900" s="128">
        <f t="shared" si="274"/>
        <v>3</v>
      </c>
      <c r="D5900" s="136">
        <f t="shared" si="276"/>
        <v>14</v>
      </c>
      <c r="E5900" s="136">
        <f t="shared" si="275"/>
        <v>31</v>
      </c>
      <c r="F5900" s="128" t="s">
        <v>24</v>
      </c>
      <c r="G5900" s="128" t="str">
        <f>VLOOKUP(source[[#This Row],[lending_product_transform]],[3]Mapping!$B$4:$C$37,2,0)</f>
        <v>[Cake] - Cashloan</v>
      </c>
      <c r="H5900" s="128" t="str">
        <f>VLOOKUP(source[[#This Row],[lending_product_transform]],[3]Mapping!$B$3:$D$37,3,0)</f>
        <v>cashloan</v>
      </c>
      <c r="I5900" s="135">
        <v>4114283014</v>
      </c>
    </row>
    <row r="5901" spans="1:9" x14ac:dyDescent="0.2">
      <c r="A5901" s="134">
        <v>45747</v>
      </c>
      <c r="B5901" s="135">
        <f>YEAR(source[[#This Row],[report_date]])</f>
        <v>2025</v>
      </c>
      <c r="C5901" s="128">
        <f t="shared" si="274"/>
        <v>3</v>
      </c>
      <c r="D5901" s="136">
        <f t="shared" si="276"/>
        <v>14</v>
      </c>
      <c r="E5901" s="136">
        <f t="shared" si="275"/>
        <v>31</v>
      </c>
      <c r="F5901" s="128" t="s">
        <v>24</v>
      </c>
      <c r="G5901" s="128" t="str">
        <f>VLOOKUP(source[[#This Row],[lending_product_transform]],[3]Mapping!$B$4:$C$37,2,0)</f>
        <v>[Cake] - Cashloan</v>
      </c>
      <c r="H5901" s="128" t="str">
        <f>VLOOKUP(source[[#This Row],[lending_product_transform]],[3]Mapping!$B$3:$D$37,3,0)</f>
        <v>cashloan</v>
      </c>
      <c r="I5901" s="135">
        <v>6816400000</v>
      </c>
    </row>
    <row r="5902" spans="1:9" x14ac:dyDescent="0.2">
      <c r="A5902" s="134">
        <v>45748</v>
      </c>
      <c r="B5902" s="135">
        <f>YEAR(source[[#This Row],[report_date]])</f>
        <v>2025</v>
      </c>
      <c r="C5902" s="128">
        <f t="shared" si="274"/>
        <v>4</v>
      </c>
      <c r="D5902" s="136">
        <f t="shared" si="276"/>
        <v>14</v>
      </c>
      <c r="E5902" s="136">
        <f t="shared" si="275"/>
        <v>1</v>
      </c>
      <c r="F5902" s="128" t="s">
        <v>24</v>
      </c>
      <c r="G5902" s="128" t="str">
        <f>VLOOKUP(source[[#This Row],[lending_product_transform]],[3]Mapping!$B$4:$C$37,2,0)</f>
        <v>[Cake] - Cashloan</v>
      </c>
      <c r="H5902" s="128" t="str">
        <f>VLOOKUP(source[[#This Row],[lending_product_transform]],[3]Mapping!$B$3:$D$37,3,0)</f>
        <v>cashloan</v>
      </c>
      <c r="I5902" s="135">
        <v>21400000</v>
      </c>
    </row>
    <row r="5903" spans="1:9" x14ac:dyDescent="0.2">
      <c r="A5903" s="134">
        <v>45748</v>
      </c>
      <c r="B5903" s="135">
        <f>YEAR(source[[#This Row],[report_date]])</f>
        <v>2025</v>
      </c>
      <c r="C5903" s="128">
        <f t="shared" si="274"/>
        <v>4</v>
      </c>
      <c r="D5903" s="136">
        <f t="shared" si="276"/>
        <v>14</v>
      </c>
      <c r="E5903" s="136">
        <f t="shared" si="275"/>
        <v>1</v>
      </c>
      <c r="F5903" s="128" t="s">
        <v>24</v>
      </c>
      <c r="G5903" s="128" t="str">
        <f>VLOOKUP(source[[#This Row],[lending_product_transform]],[3]Mapping!$B$4:$C$37,2,0)</f>
        <v>[Cake] - Cashloan</v>
      </c>
      <c r="H5903" s="128" t="str">
        <f>VLOOKUP(source[[#This Row],[lending_product_transform]],[3]Mapping!$B$3:$D$37,3,0)</f>
        <v>cashloan</v>
      </c>
      <c r="I5903" s="135">
        <v>168725176</v>
      </c>
    </row>
    <row r="5904" spans="1:9" x14ac:dyDescent="0.2">
      <c r="A5904" s="134">
        <v>45748</v>
      </c>
      <c r="B5904" s="135">
        <f>YEAR(source[[#This Row],[report_date]])</f>
        <v>2025</v>
      </c>
      <c r="C5904" s="128">
        <f t="shared" si="274"/>
        <v>4</v>
      </c>
      <c r="D5904" s="136">
        <f t="shared" si="276"/>
        <v>14</v>
      </c>
      <c r="E5904" s="136">
        <f t="shared" si="275"/>
        <v>1</v>
      </c>
      <c r="F5904" s="128" t="s">
        <v>24</v>
      </c>
      <c r="G5904" s="128" t="str">
        <f>VLOOKUP(source[[#This Row],[lending_product_transform]],[3]Mapping!$B$4:$C$37,2,0)</f>
        <v>[Cake] - Cashloan</v>
      </c>
      <c r="H5904" s="128" t="str">
        <f>VLOOKUP(source[[#This Row],[lending_product_transform]],[3]Mapping!$B$3:$D$37,3,0)</f>
        <v>cashloan</v>
      </c>
      <c r="I5904" s="135">
        <v>8207400000</v>
      </c>
    </row>
    <row r="5905" spans="1:9" x14ac:dyDescent="0.2">
      <c r="A5905" s="134">
        <v>45748</v>
      </c>
      <c r="B5905" s="135">
        <f>YEAR(source[[#This Row],[report_date]])</f>
        <v>2025</v>
      </c>
      <c r="C5905" s="128">
        <f t="shared" si="274"/>
        <v>4</v>
      </c>
      <c r="D5905" s="136">
        <f t="shared" si="276"/>
        <v>14</v>
      </c>
      <c r="E5905" s="136">
        <f t="shared" si="275"/>
        <v>1</v>
      </c>
      <c r="F5905" s="128" t="s">
        <v>24</v>
      </c>
      <c r="G5905" s="128" t="str">
        <f>VLOOKUP(source[[#This Row],[lending_product_transform]],[3]Mapping!$B$4:$C$37,2,0)</f>
        <v>[Cake] - Cashloan</v>
      </c>
      <c r="H5905" s="128" t="str">
        <f>VLOOKUP(source[[#This Row],[lending_product_transform]],[3]Mapping!$B$3:$D$37,3,0)</f>
        <v>cashloan</v>
      </c>
      <c r="I5905" s="135">
        <v>0</v>
      </c>
    </row>
    <row r="5906" spans="1:9" x14ac:dyDescent="0.2">
      <c r="A5906" s="134">
        <v>45748</v>
      </c>
      <c r="B5906" s="135">
        <f>YEAR(source[[#This Row],[report_date]])</f>
        <v>2025</v>
      </c>
      <c r="C5906" s="128">
        <f t="shared" si="274"/>
        <v>4</v>
      </c>
      <c r="D5906" s="136">
        <f t="shared" si="276"/>
        <v>14</v>
      </c>
      <c r="E5906" s="136">
        <f t="shared" si="275"/>
        <v>1</v>
      </c>
      <c r="F5906" s="128" t="s">
        <v>24</v>
      </c>
      <c r="G5906" s="128" t="str">
        <f>VLOOKUP(source[[#This Row],[lending_product_transform]],[3]Mapping!$B$4:$C$37,2,0)</f>
        <v>[Cake] - Cashloan</v>
      </c>
      <c r="H5906" s="128" t="str">
        <f>VLOOKUP(source[[#This Row],[lending_product_transform]],[3]Mapping!$B$3:$D$37,3,0)</f>
        <v>cashloan</v>
      </c>
      <c r="I5906" s="135">
        <v>5833834417</v>
      </c>
    </row>
    <row r="5907" spans="1:9" x14ac:dyDescent="0.2">
      <c r="A5907" s="134">
        <v>45748</v>
      </c>
      <c r="B5907" s="135">
        <f>YEAR(source[[#This Row],[report_date]])</f>
        <v>2025</v>
      </c>
      <c r="C5907" s="128">
        <f t="shared" si="274"/>
        <v>4</v>
      </c>
      <c r="D5907" s="136">
        <f t="shared" si="276"/>
        <v>14</v>
      </c>
      <c r="E5907" s="136">
        <f t="shared" si="275"/>
        <v>1</v>
      </c>
      <c r="F5907" s="128" t="s">
        <v>24</v>
      </c>
      <c r="G5907" s="128" t="str">
        <f>VLOOKUP(source[[#This Row],[lending_product_transform]],[3]Mapping!$B$4:$C$37,2,0)</f>
        <v>[Cake] - Cashloan</v>
      </c>
      <c r="H5907" s="128" t="str">
        <f>VLOOKUP(source[[#This Row],[lending_product_transform]],[3]Mapping!$B$3:$D$37,3,0)</f>
        <v>cashloan</v>
      </c>
      <c r="I5907" s="135">
        <v>43970775</v>
      </c>
    </row>
    <row r="5908" spans="1:9" x14ac:dyDescent="0.2">
      <c r="A5908" s="134">
        <v>45748</v>
      </c>
      <c r="B5908" s="135">
        <f>YEAR(source[[#This Row],[report_date]])</f>
        <v>2025</v>
      </c>
      <c r="C5908" s="128">
        <f t="shared" si="274"/>
        <v>4</v>
      </c>
      <c r="D5908" s="136">
        <f t="shared" si="276"/>
        <v>14</v>
      </c>
      <c r="E5908" s="136">
        <f t="shared" si="275"/>
        <v>1</v>
      </c>
      <c r="F5908" s="128" t="s">
        <v>24</v>
      </c>
      <c r="G5908" s="128" t="str">
        <f>VLOOKUP(source[[#This Row],[lending_product_transform]],[3]Mapping!$B$4:$C$37,2,0)</f>
        <v>[Cake] - Cashloan</v>
      </c>
      <c r="H5908" s="128" t="str">
        <f>VLOOKUP(source[[#This Row],[lending_product_transform]],[3]Mapping!$B$3:$D$37,3,0)</f>
        <v>cashloan</v>
      </c>
      <c r="I5908" s="135">
        <v>5552940000</v>
      </c>
    </row>
    <row r="5909" spans="1:9" x14ac:dyDescent="0.2">
      <c r="A5909" s="134">
        <v>45748</v>
      </c>
      <c r="B5909" s="135">
        <f>YEAR(source[[#This Row],[report_date]])</f>
        <v>2025</v>
      </c>
      <c r="C5909" s="128">
        <f t="shared" si="274"/>
        <v>4</v>
      </c>
      <c r="D5909" s="136">
        <f t="shared" si="276"/>
        <v>14</v>
      </c>
      <c r="E5909" s="136">
        <f t="shared" si="275"/>
        <v>1</v>
      </c>
      <c r="F5909" s="128" t="s">
        <v>24</v>
      </c>
      <c r="G5909" s="128" t="str">
        <f>VLOOKUP(source[[#This Row],[lending_product_transform]],[3]Mapping!$B$4:$C$37,2,0)</f>
        <v>[Cake] - Cashloan</v>
      </c>
      <c r="H5909" s="128" t="str">
        <f>VLOOKUP(source[[#This Row],[lending_product_transform]],[3]Mapping!$B$3:$D$37,3,0)</f>
        <v>cashloan</v>
      </c>
      <c r="I5909" s="135">
        <v>8386720000</v>
      </c>
    </row>
    <row r="5910" spans="1:9" x14ac:dyDescent="0.2">
      <c r="A5910" s="134">
        <v>45748</v>
      </c>
      <c r="B5910" s="135">
        <f>YEAR(source[[#This Row],[report_date]])</f>
        <v>2025</v>
      </c>
      <c r="C5910" s="128">
        <f t="shared" si="274"/>
        <v>4</v>
      </c>
      <c r="D5910" s="136">
        <f t="shared" si="276"/>
        <v>14</v>
      </c>
      <c r="E5910" s="136">
        <f t="shared" si="275"/>
        <v>1</v>
      </c>
      <c r="F5910" s="128" t="s">
        <v>24</v>
      </c>
      <c r="G5910" s="128" t="str">
        <f>VLOOKUP(source[[#This Row],[lending_product_transform]],[3]Mapping!$B$4:$C$37,2,0)</f>
        <v>[Cake] - Cashloan</v>
      </c>
      <c r="H5910" s="128" t="str">
        <f>VLOOKUP(source[[#This Row],[lending_product_transform]],[3]Mapping!$B$3:$D$37,3,0)</f>
        <v>cashloan</v>
      </c>
      <c r="I5910" s="135">
        <v>924720000</v>
      </c>
    </row>
    <row r="5911" spans="1:9" x14ac:dyDescent="0.2">
      <c r="A5911" s="134">
        <v>45748</v>
      </c>
      <c r="B5911" s="135">
        <f>YEAR(source[[#This Row],[report_date]])</f>
        <v>2025</v>
      </c>
      <c r="C5911" s="128">
        <f t="shared" si="274"/>
        <v>4</v>
      </c>
      <c r="D5911" s="136">
        <f t="shared" si="276"/>
        <v>14</v>
      </c>
      <c r="E5911" s="136">
        <f t="shared" si="275"/>
        <v>1</v>
      </c>
      <c r="F5911" s="128" t="s">
        <v>24</v>
      </c>
      <c r="G5911" s="128" t="str">
        <f>VLOOKUP(source[[#This Row],[lending_product_transform]],[3]Mapping!$B$4:$C$37,2,0)</f>
        <v>[Cake] - Cashloan</v>
      </c>
      <c r="H5911" s="128" t="str">
        <f>VLOOKUP(source[[#This Row],[lending_product_transform]],[3]Mapping!$B$3:$D$37,3,0)</f>
        <v>cashloan</v>
      </c>
      <c r="I5911" s="135">
        <v>499101938</v>
      </c>
    </row>
    <row r="5912" spans="1:9" x14ac:dyDescent="0.2">
      <c r="A5912" s="134">
        <v>45748</v>
      </c>
      <c r="B5912" s="135">
        <f>YEAR(source[[#This Row],[report_date]])</f>
        <v>2025</v>
      </c>
      <c r="C5912" s="128">
        <f t="shared" si="274"/>
        <v>4</v>
      </c>
      <c r="D5912" s="136">
        <f t="shared" si="276"/>
        <v>14</v>
      </c>
      <c r="E5912" s="136">
        <f t="shared" si="275"/>
        <v>1</v>
      </c>
      <c r="F5912" s="128" t="s">
        <v>24</v>
      </c>
      <c r="G5912" s="128" t="str">
        <f>VLOOKUP(source[[#This Row],[lending_product_transform]],[3]Mapping!$B$4:$C$37,2,0)</f>
        <v>[Cake] - Cashloan</v>
      </c>
      <c r="H5912" s="128" t="str">
        <f>VLOOKUP(source[[#This Row],[lending_product_transform]],[3]Mapping!$B$3:$D$37,3,0)</f>
        <v>cashloan</v>
      </c>
      <c r="I5912" s="135">
        <v>0</v>
      </c>
    </row>
    <row r="5913" spans="1:9" x14ac:dyDescent="0.2">
      <c r="A5913" s="134">
        <v>45748</v>
      </c>
      <c r="B5913" s="135">
        <f>YEAR(source[[#This Row],[report_date]])</f>
        <v>2025</v>
      </c>
      <c r="C5913" s="128">
        <f t="shared" si="274"/>
        <v>4</v>
      </c>
      <c r="D5913" s="136">
        <f t="shared" si="276"/>
        <v>14</v>
      </c>
      <c r="E5913" s="136">
        <f t="shared" si="275"/>
        <v>1</v>
      </c>
      <c r="F5913" s="128" t="s">
        <v>24</v>
      </c>
      <c r="G5913" s="128" t="str">
        <f>VLOOKUP(source[[#This Row],[lending_product_transform]],[3]Mapping!$B$4:$C$37,2,0)</f>
        <v>[Cake] - Cashloan</v>
      </c>
      <c r="H5913" s="128" t="str">
        <f>VLOOKUP(source[[#This Row],[lending_product_transform]],[3]Mapping!$B$3:$D$37,3,0)</f>
        <v>cashloan</v>
      </c>
      <c r="I5913" s="135">
        <v>58000000</v>
      </c>
    </row>
    <row r="5914" spans="1:9" x14ac:dyDescent="0.2">
      <c r="A5914" s="134">
        <v>45748</v>
      </c>
      <c r="B5914" s="135">
        <f>YEAR(source[[#This Row],[report_date]])</f>
        <v>2025</v>
      </c>
      <c r="C5914" s="128">
        <f t="shared" si="274"/>
        <v>4</v>
      </c>
      <c r="D5914" s="136">
        <f t="shared" si="276"/>
        <v>14</v>
      </c>
      <c r="E5914" s="136">
        <f t="shared" si="275"/>
        <v>1</v>
      </c>
      <c r="F5914" s="128" t="s">
        <v>24</v>
      </c>
      <c r="G5914" s="128" t="str">
        <f>VLOOKUP(source[[#This Row],[lending_product_transform]],[3]Mapping!$B$4:$C$37,2,0)</f>
        <v>[Cake] - Cashloan</v>
      </c>
      <c r="H5914" s="128" t="str">
        <f>VLOOKUP(source[[#This Row],[lending_product_transform]],[3]Mapping!$B$3:$D$37,3,0)</f>
        <v>cashloan</v>
      </c>
      <c r="I5914" s="135">
        <v>95000000</v>
      </c>
    </row>
    <row r="5915" spans="1:9" x14ac:dyDescent="0.2">
      <c r="A5915" s="134">
        <v>45748</v>
      </c>
      <c r="B5915" s="135">
        <f>YEAR(source[[#This Row],[report_date]])</f>
        <v>2025</v>
      </c>
      <c r="C5915" s="128">
        <f t="shared" si="274"/>
        <v>4</v>
      </c>
      <c r="D5915" s="136">
        <f t="shared" si="276"/>
        <v>14</v>
      </c>
      <c r="E5915" s="136">
        <f t="shared" si="275"/>
        <v>1</v>
      </c>
      <c r="F5915" s="128" t="s">
        <v>24</v>
      </c>
      <c r="G5915" s="128" t="str">
        <f>VLOOKUP(source[[#This Row],[lending_product_transform]],[3]Mapping!$B$4:$C$37,2,0)</f>
        <v>[Cake] - Cashloan</v>
      </c>
      <c r="H5915" s="128" t="str">
        <f>VLOOKUP(source[[#This Row],[lending_product_transform]],[3]Mapping!$B$3:$D$37,3,0)</f>
        <v>cashloan</v>
      </c>
      <c r="I5915" s="135">
        <v>0</v>
      </c>
    </row>
    <row r="5916" spans="1:9" x14ac:dyDescent="0.2">
      <c r="A5916" s="134">
        <v>45748</v>
      </c>
      <c r="B5916" s="135">
        <f>YEAR(source[[#This Row],[report_date]])</f>
        <v>2025</v>
      </c>
      <c r="C5916" s="128">
        <f t="shared" si="274"/>
        <v>4</v>
      </c>
      <c r="D5916" s="136">
        <f t="shared" si="276"/>
        <v>14</v>
      </c>
      <c r="E5916" s="136">
        <f t="shared" si="275"/>
        <v>1</v>
      </c>
      <c r="F5916" s="128" t="s">
        <v>24</v>
      </c>
      <c r="G5916" s="128" t="str">
        <f>VLOOKUP(source[[#This Row],[lending_product_transform]],[3]Mapping!$B$4:$C$37,2,0)</f>
        <v>[Cake] - Cashloan</v>
      </c>
      <c r="H5916" s="128" t="str">
        <f>VLOOKUP(source[[#This Row],[lending_product_transform]],[3]Mapping!$B$3:$D$37,3,0)</f>
        <v>cashloan</v>
      </c>
      <c r="I5916" s="135">
        <v>0</v>
      </c>
    </row>
    <row r="5917" spans="1:9" x14ac:dyDescent="0.2">
      <c r="A5917" s="134">
        <v>45748</v>
      </c>
      <c r="B5917" s="135">
        <f>YEAR(source[[#This Row],[report_date]])</f>
        <v>2025</v>
      </c>
      <c r="C5917" s="128">
        <f t="shared" si="274"/>
        <v>4</v>
      </c>
      <c r="D5917" s="136">
        <f t="shared" si="276"/>
        <v>14</v>
      </c>
      <c r="E5917" s="136">
        <f t="shared" si="275"/>
        <v>1</v>
      </c>
      <c r="F5917" s="128" t="s">
        <v>24</v>
      </c>
      <c r="G5917" s="128" t="str">
        <f>VLOOKUP(source[[#This Row],[lending_product_transform]],[3]Mapping!$B$4:$C$37,2,0)</f>
        <v>[Cake] - Cashloan</v>
      </c>
      <c r="H5917" s="128" t="str">
        <f>VLOOKUP(source[[#This Row],[lending_product_transform]],[3]Mapping!$B$3:$D$37,3,0)</f>
        <v>cashloan</v>
      </c>
      <c r="I5917" s="135">
        <v>662220792</v>
      </c>
    </row>
    <row r="5918" spans="1:9" x14ac:dyDescent="0.2">
      <c r="A5918" s="134">
        <v>45748</v>
      </c>
      <c r="B5918" s="135">
        <f>YEAR(source[[#This Row],[report_date]])</f>
        <v>2025</v>
      </c>
      <c r="C5918" s="128">
        <f t="shared" si="274"/>
        <v>4</v>
      </c>
      <c r="D5918" s="136">
        <f t="shared" si="276"/>
        <v>14</v>
      </c>
      <c r="E5918" s="136">
        <f t="shared" si="275"/>
        <v>1</v>
      </c>
      <c r="F5918" s="128" t="s">
        <v>24</v>
      </c>
      <c r="G5918" s="128" t="str">
        <f>VLOOKUP(source[[#This Row],[lending_product_transform]],[3]Mapping!$B$4:$C$37,2,0)</f>
        <v>[Cake] - Cashloan</v>
      </c>
      <c r="H5918" s="128" t="str">
        <f>VLOOKUP(source[[#This Row],[lending_product_transform]],[3]Mapping!$B$3:$D$37,3,0)</f>
        <v>cashloan</v>
      </c>
      <c r="I5918" s="135">
        <v>0</v>
      </c>
    </row>
    <row r="5919" spans="1:9" x14ac:dyDescent="0.2">
      <c r="A5919" s="134">
        <v>45748</v>
      </c>
      <c r="B5919" s="135">
        <f>YEAR(source[[#This Row],[report_date]])</f>
        <v>2025</v>
      </c>
      <c r="C5919" s="128">
        <f t="shared" si="274"/>
        <v>4</v>
      </c>
      <c r="D5919" s="136">
        <f t="shared" si="276"/>
        <v>14</v>
      </c>
      <c r="E5919" s="136">
        <f t="shared" si="275"/>
        <v>1</v>
      </c>
      <c r="F5919" s="128" t="s">
        <v>24</v>
      </c>
      <c r="G5919" s="128" t="str">
        <f>VLOOKUP(source[[#This Row],[lending_product_transform]],[3]Mapping!$B$4:$C$37,2,0)</f>
        <v>[Cake] - Cashloan</v>
      </c>
      <c r="H5919" s="128" t="str">
        <f>VLOOKUP(source[[#This Row],[lending_product_transform]],[3]Mapping!$B$3:$D$37,3,0)</f>
        <v>cashloan</v>
      </c>
      <c r="I5919" s="135">
        <v>554400000</v>
      </c>
    </row>
    <row r="5920" spans="1:9" x14ac:dyDescent="0.2">
      <c r="A5920" s="134">
        <v>45748</v>
      </c>
      <c r="B5920" s="135">
        <f>YEAR(source[[#This Row],[report_date]])</f>
        <v>2025</v>
      </c>
      <c r="C5920" s="128">
        <f t="shared" si="274"/>
        <v>4</v>
      </c>
      <c r="D5920" s="136">
        <f t="shared" si="276"/>
        <v>14</v>
      </c>
      <c r="E5920" s="136">
        <f t="shared" si="275"/>
        <v>1</v>
      </c>
      <c r="F5920" s="128" t="s">
        <v>24</v>
      </c>
      <c r="G5920" s="128" t="str">
        <f>VLOOKUP(source[[#This Row],[lending_product_transform]],[3]Mapping!$B$4:$C$37,2,0)</f>
        <v>[Cake] - Cashloan</v>
      </c>
      <c r="H5920" s="128" t="str">
        <f>VLOOKUP(source[[#This Row],[lending_product_transform]],[3]Mapping!$B$3:$D$37,3,0)</f>
        <v>cashloan</v>
      </c>
      <c r="I5920" s="135">
        <v>0</v>
      </c>
    </row>
    <row r="5921" spans="1:9" x14ac:dyDescent="0.2">
      <c r="A5921" s="134">
        <v>45749</v>
      </c>
      <c r="B5921" s="135">
        <f>YEAR(source[[#This Row],[report_date]])</f>
        <v>2025</v>
      </c>
      <c r="C5921" s="128">
        <f t="shared" si="274"/>
        <v>4</v>
      </c>
      <c r="D5921" s="136">
        <f t="shared" si="276"/>
        <v>14</v>
      </c>
      <c r="E5921" s="136">
        <f t="shared" si="275"/>
        <v>2</v>
      </c>
      <c r="F5921" s="128" t="s">
        <v>24</v>
      </c>
      <c r="G5921" s="128" t="str">
        <f>VLOOKUP(source[[#This Row],[lending_product_transform]],[3]Mapping!$B$4:$C$37,2,0)</f>
        <v>[Cake] - Cashloan</v>
      </c>
      <c r="H5921" s="128" t="str">
        <f>VLOOKUP(source[[#This Row],[lending_product_transform]],[3]Mapping!$B$3:$D$37,3,0)</f>
        <v>cashloan</v>
      </c>
      <c r="I5921" s="135">
        <v>182158341</v>
      </c>
    </row>
    <row r="5922" spans="1:9" x14ac:dyDescent="0.2">
      <c r="A5922" s="134">
        <v>45749</v>
      </c>
      <c r="B5922" s="135">
        <f>YEAR(source[[#This Row],[report_date]])</f>
        <v>2025</v>
      </c>
      <c r="C5922" s="128">
        <f t="shared" si="274"/>
        <v>4</v>
      </c>
      <c r="D5922" s="136">
        <f t="shared" si="276"/>
        <v>14</v>
      </c>
      <c r="E5922" s="136">
        <f t="shared" si="275"/>
        <v>2</v>
      </c>
      <c r="F5922" s="128" t="s">
        <v>24</v>
      </c>
      <c r="G5922" s="128" t="str">
        <f>VLOOKUP(source[[#This Row],[lending_product_transform]],[3]Mapping!$B$4:$C$37,2,0)</f>
        <v>[Cake] - Cashloan</v>
      </c>
      <c r="H5922" s="128" t="str">
        <f>VLOOKUP(source[[#This Row],[lending_product_transform]],[3]Mapping!$B$3:$D$37,3,0)</f>
        <v>cashloan</v>
      </c>
      <c r="I5922" s="135">
        <v>0</v>
      </c>
    </row>
    <row r="5923" spans="1:9" x14ac:dyDescent="0.2">
      <c r="A5923" s="134">
        <v>45749</v>
      </c>
      <c r="B5923" s="135">
        <f>YEAR(source[[#This Row],[report_date]])</f>
        <v>2025</v>
      </c>
      <c r="C5923" s="128">
        <f t="shared" si="274"/>
        <v>4</v>
      </c>
      <c r="D5923" s="136">
        <f t="shared" si="276"/>
        <v>14</v>
      </c>
      <c r="E5923" s="136">
        <f t="shared" si="275"/>
        <v>2</v>
      </c>
      <c r="F5923" s="128" t="s">
        <v>24</v>
      </c>
      <c r="G5923" s="128" t="str">
        <f>VLOOKUP(source[[#This Row],[lending_product_transform]],[3]Mapping!$B$4:$C$37,2,0)</f>
        <v>[Cake] - Cashloan</v>
      </c>
      <c r="H5923" s="128" t="str">
        <f>VLOOKUP(source[[#This Row],[lending_product_transform]],[3]Mapping!$B$3:$D$37,3,0)</f>
        <v>cashloan</v>
      </c>
      <c r="I5923" s="135">
        <v>0</v>
      </c>
    </row>
    <row r="5924" spans="1:9" x14ac:dyDescent="0.2">
      <c r="A5924" s="134">
        <v>45749</v>
      </c>
      <c r="B5924" s="135">
        <f>YEAR(source[[#This Row],[report_date]])</f>
        <v>2025</v>
      </c>
      <c r="C5924" s="128">
        <f t="shared" si="274"/>
        <v>4</v>
      </c>
      <c r="D5924" s="136">
        <f t="shared" si="276"/>
        <v>14</v>
      </c>
      <c r="E5924" s="136">
        <f t="shared" si="275"/>
        <v>2</v>
      </c>
      <c r="F5924" s="128" t="s">
        <v>24</v>
      </c>
      <c r="G5924" s="128" t="str">
        <f>VLOOKUP(source[[#This Row],[lending_product_transform]],[3]Mapping!$B$4:$C$37,2,0)</f>
        <v>[Cake] - Cashloan</v>
      </c>
      <c r="H5924" s="128" t="str">
        <f>VLOOKUP(source[[#This Row],[lending_product_transform]],[3]Mapping!$B$3:$D$37,3,0)</f>
        <v>cashloan</v>
      </c>
      <c r="I5924" s="135">
        <v>5100133153</v>
      </c>
    </row>
    <row r="5925" spans="1:9" x14ac:dyDescent="0.2">
      <c r="A5925" s="134">
        <v>45749</v>
      </c>
      <c r="B5925" s="135">
        <f>YEAR(source[[#This Row],[report_date]])</f>
        <v>2025</v>
      </c>
      <c r="C5925" s="128">
        <f t="shared" si="274"/>
        <v>4</v>
      </c>
      <c r="D5925" s="136">
        <f t="shared" si="276"/>
        <v>14</v>
      </c>
      <c r="E5925" s="136">
        <f t="shared" si="275"/>
        <v>2</v>
      </c>
      <c r="F5925" s="128" t="s">
        <v>24</v>
      </c>
      <c r="G5925" s="128" t="str">
        <f>VLOOKUP(source[[#This Row],[lending_product_transform]],[3]Mapping!$B$4:$C$37,2,0)</f>
        <v>[Cake] - Cashloan</v>
      </c>
      <c r="H5925" s="128" t="str">
        <f>VLOOKUP(source[[#This Row],[lending_product_transform]],[3]Mapping!$B$3:$D$37,3,0)</f>
        <v>cashloan</v>
      </c>
      <c r="I5925" s="135">
        <v>5686420000</v>
      </c>
    </row>
    <row r="5926" spans="1:9" x14ac:dyDescent="0.2">
      <c r="A5926" s="134">
        <v>45749</v>
      </c>
      <c r="B5926" s="135">
        <f>YEAR(source[[#This Row],[report_date]])</f>
        <v>2025</v>
      </c>
      <c r="C5926" s="128">
        <f t="shared" si="274"/>
        <v>4</v>
      </c>
      <c r="D5926" s="136">
        <f t="shared" si="276"/>
        <v>14</v>
      </c>
      <c r="E5926" s="136">
        <f t="shared" si="275"/>
        <v>2</v>
      </c>
      <c r="F5926" s="128" t="s">
        <v>24</v>
      </c>
      <c r="G5926" s="128" t="str">
        <f>VLOOKUP(source[[#This Row],[lending_product_transform]],[3]Mapping!$B$4:$C$37,2,0)</f>
        <v>[Cake] - Cashloan</v>
      </c>
      <c r="H5926" s="128" t="str">
        <f>VLOOKUP(source[[#This Row],[lending_product_transform]],[3]Mapping!$B$3:$D$37,3,0)</f>
        <v>cashloan</v>
      </c>
      <c r="I5926" s="135">
        <v>7608930000</v>
      </c>
    </row>
    <row r="5927" spans="1:9" x14ac:dyDescent="0.2">
      <c r="A5927" s="134">
        <v>45749</v>
      </c>
      <c r="B5927" s="135">
        <f>YEAR(source[[#This Row],[report_date]])</f>
        <v>2025</v>
      </c>
      <c r="C5927" s="128">
        <f t="shared" si="274"/>
        <v>4</v>
      </c>
      <c r="D5927" s="136">
        <f t="shared" si="276"/>
        <v>14</v>
      </c>
      <c r="E5927" s="136">
        <f t="shared" si="275"/>
        <v>2</v>
      </c>
      <c r="F5927" s="128" t="s">
        <v>24</v>
      </c>
      <c r="G5927" s="128" t="str">
        <f>VLOOKUP(source[[#This Row],[lending_product_transform]],[3]Mapping!$B$4:$C$37,2,0)</f>
        <v>[Cake] - Cashloan</v>
      </c>
      <c r="H5927" s="128" t="str">
        <f>VLOOKUP(source[[#This Row],[lending_product_transform]],[3]Mapping!$B$3:$D$37,3,0)</f>
        <v>cashloan</v>
      </c>
      <c r="I5927" s="135">
        <v>79095014</v>
      </c>
    </row>
    <row r="5928" spans="1:9" x14ac:dyDescent="0.2">
      <c r="A5928" s="134">
        <v>45749</v>
      </c>
      <c r="B5928" s="135">
        <f>YEAR(source[[#This Row],[report_date]])</f>
        <v>2025</v>
      </c>
      <c r="C5928" s="128">
        <f t="shared" si="274"/>
        <v>4</v>
      </c>
      <c r="D5928" s="136">
        <f t="shared" si="276"/>
        <v>14</v>
      </c>
      <c r="E5928" s="136">
        <f t="shared" si="275"/>
        <v>2</v>
      </c>
      <c r="F5928" s="128" t="s">
        <v>24</v>
      </c>
      <c r="G5928" s="128" t="str">
        <f>VLOOKUP(source[[#This Row],[lending_product_transform]],[3]Mapping!$B$4:$C$37,2,0)</f>
        <v>[Cake] - Cashloan</v>
      </c>
      <c r="H5928" s="128" t="str">
        <f>VLOOKUP(source[[#This Row],[lending_product_transform]],[3]Mapping!$B$3:$D$37,3,0)</f>
        <v>cashloan</v>
      </c>
      <c r="I5928" s="135">
        <v>67000000</v>
      </c>
    </row>
    <row r="5929" spans="1:9" x14ac:dyDescent="0.2">
      <c r="A5929" s="134">
        <v>45749</v>
      </c>
      <c r="B5929" s="135">
        <f>YEAR(source[[#This Row],[report_date]])</f>
        <v>2025</v>
      </c>
      <c r="C5929" s="128">
        <f t="shared" si="274"/>
        <v>4</v>
      </c>
      <c r="D5929" s="136">
        <f t="shared" si="276"/>
        <v>14</v>
      </c>
      <c r="E5929" s="136">
        <f t="shared" si="275"/>
        <v>2</v>
      </c>
      <c r="F5929" s="128" t="s">
        <v>24</v>
      </c>
      <c r="G5929" s="128" t="str">
        <f>VLOOKUP(source[[#This Row],[lending_product_transform]],[3]Mapping!$B$4:$C$37,2,0)</f>
        <v>[Cake] - Cashloan</v>
      </c>
      <c r="H5929" s="128" t="str">
        <f>VLOOKUP(source[[#This Row],[lending_product_transform]],[3]Mapping!$B$3:$D$37,3,0)</f>
        <v>cashloan</v>
      </c>
      <c r="I5929" s="135">
        <v>0</v>
      </c>
    </row>
    <row r="5930" spans="1:9" x14ac:dyDescent="0.2">
      <c r="A5930" s="134">
        <v>45749</v>
      </c>
      <c r="B5930" s="135">
        <f>YEAR(source[[#This Row],[report_date]])</f>
        <v>2025</v>
      </c>
      <c r="C5930" s="128">
        <f t="shared" si="274"/>
        <v>4</v>
      </c>
      <c r="D5930" s="136">
        <f t="shared" si="276"/>
        <v>14</v>
      </c>
      <c r="E5930" s="136">
        <f t="shared" si="275"/>
        <v>2</v>
      </c>
      <c r="F5930" s="128" t="s">
        <v>24</v>
      </c>
      <c r="G5930" s="128" t="str">
        <f>VLOOKUP(source[[#This Row],[lending_product_transform]],[3]Mapping!$B$4:$C$37,2,0)</f>
        <v>[Cake] - Cashloan</v>
      </c>
      <c r="H5930" s="128" t="str">
        <f>VLOOKUP(source[[#This Row],[lending_product_transform]],[3]Mapping!$B$3:$D$37,3,0)</f>
        <v>cashloan</v>
      </c>
      <c r="I5930" s="135">
        <v>486292095</v>
      </c>
    </row>
    <row r="5931" spans="1:9" x14ac:dyDescent="0.2">
      <c r="A5931" s="134">
        <v>45749</v>
      </c>
      <c r="B5931" s="135">
        <f>YEAR(source[[#This Row],[report_date]])</f>
        <v>2025</v>
      </c>
      <c r="C5931" s="128">
        <f t="shared" si="274"/>
        <v>4</v>
      </c>
      <c r="D5931" s="136">
        <f t="shared" si="276"/>
        <v>14</v>
      </c>
      <c r="E5931" s="136">
        <f t="shared" si="275"/>
        <v>2</v>
      </c>
      <c r="F5931" s="128" t="s">
        <v>24</v>
      </c>
      <c r="G5931" s="128" t="str">
        <f>VLOOKUP(source[[#This Row],[lending_product_transform]],[3]Mapping!$B$4:$C$37,2,0)</f>
        <v>[Cake] - Cashloan</v>
      </c>
      <c r="H5931" s="128" t="str">
        <f>VLOOKUP(source[[#This Row],[lending_product_transform]],[3]Mapping!$B$3:$D$37,3,0)</f>
        <v>cashloan</v>
      </c>
      <c r="I5931" s="135">
        <v>0</v>
      </c>
    </row>
    <row r="5932" spans="1:9" x14ac:dyDescent="0.2">
      <c r="A5932" s="134">
        <v>45749</v>
      </c>
      <c r="B5932" s="135">
        <f>YEAR(source[[#This Row],[report_date]])</f>
        <v>2025</v>
      </c>
      <c r="C5932" s="128">
        <f t="shared" si="274"/>
        <v>4</v>
      </c>
      <c r="D5932" s="136">
        <f t="shared" si="276"/>
        <v>14</v>
      </c>
      <c r="E5932" s="136">
        <f t="shared" si="275"/>
        <v>2</v>
      </c>
      <c r="F5932" s="128" t="s">
        <v>24</v>
      </c>
      <c r="G5932" s="128" t="str">
        <f>VLOOKUP(source[[#This Row],[lending_product_transform]],[3]Mapping!$B$4:$C$37,2,0)</f>
        <v>[Cake] - Cashloan</v>
      </c>
      <c r="H5932" s="128" t="str">
        <f>VLOOKUP(source[[#This Row],[lending_product_transform]],[3]Mapping!$B$3:$D$37,3,0)</f>
        <v>cashloan</v>
      </c>
      <c r="I5932" s="135">
        <v>825383416</v>
      </c>
    </row>
    <row r="5933" spans="1:9" x14ac:dyDescent="0.2">
      <c r="A5933" s="134">
        <v>45749</v>
      </c>
      <c r="B5933" s="135">
        <f>YEAR(source[[#This Row],[report_date]])</f>
        <v>2025</v>
      </c>
      <c r="C5933" s="128">
        <f t="shared" si="274"/>
        <v>4</v>
      </c>
      <c r="D5933" s="136">
        <f t="shared" si="276"/>
        <v>14</v>
      </c>
      <c r="E5933" s="136">
        <f t="shared" si="275"/>
        <v>2</v>
      </c>
      <c r="F5933" s="128" t="s">
        <v>24</v>
      </c>
      <c r="G5933" s="128" t="str">
        <f>VLOOKUP(source[[#This Row],[lending_product_transform]],[3]Mapping!$B$4:$C$37,2,0)</f>
        <v>[Cake] - Cashloan</v>
      </c>
      <c r="H5933" s="128" t="str">
        <f>VLOOKUP(source[[#This Row],[lending_product_transform]],[3]Mapping!$B$3:$D$37,3,0)</f>
        <v>cashloan</v>
      </c>
      <c r="I5933" s="135">
        <v>7999290000</v>
      </c>
    </row>
    <row r="5934" spans="1:9" x14ac:dyDescent="0.2">
      <c r="A5934" s="134">
        <v>45749</v>
      </c>
      <c r="B5934" s="135">
        <f>YEAR(source[[#This Row],[report_date]])</f>
        <v>2025</v>
      </c>
      <c r="C5934" s="128">
        <f t="shared" si="274"/>
        <v>4</v>
      </c>
      <c r="D5934" s="136">
        <f t="shared" si="276"/>
        <v>14</v>
      </c>
      <c r="E5934" s="136">
        <f t="shared" si="275"/>
        <v>2</v>
      </c>
      <c r="F5934" s="128" t="s">
        <v>24</v>
      </c>
      <c r="G5934" s="128" t="str">
        <f>VLOOKUP(source[[#This Row],[lending_product_transform]],[3]Mapping!$B$4:$C$37,2,0)</f>
        <v>[Cake] - Cashloan</v>
      </c>
      <c r="H5934" s="128" t="str">
        <f>VLOOKUP(source[[#This Row],[lending_product_transform]],[3]Mapping!$B$3:$D$37,3,0)</f>
        <v>cashloan</v>
      </c>
      <c r="I5934" s="135">
        <v>0</v>
      </c>
    </row>
    <row r="5935" spans="1:9" x14ac:dyDescent="0.2">
      <c r="A5935" s="134">
        <v>45749</v>
      </c>
      <c r="B5935" s="135">
        <f>YEAR(source[[#This Row],[report_date]])</f>
        <v>2025</v>
      </c>
      <c r="C5935" s="128">
        <f t="shared" si="274"/>
        <v>4</v>
      </c>
      <c r="D5935" s="136">
        <f t="shared" si="276"/>
        <v>14</v>
      </c>
      <c r="E5935" s="136">
        <f t="shared" si="275"/>
        <v>2</v>
      </c>
      <c r="F5935" s="128" t="s">
        <v>24</v>
      </c>
      <c r="G5935" s="128" t="str">
        <f>VLOOKUP(source[[#This Row],[lending_product_transform]],[3]Mapping!$B$4:$C$37,2,0)</f>
        <v>[Cake] - Cashloan</v>
      </c>
      <c r="H5935" s="128" t="str">
        <f>VLOOKUP(source[[#This Row],[lending_product_transform]],[3]Mapping!$B$3:$D$37,3,0)</f>
        <v>cashloan</v>
      </c>
      <c r="I5935" s="135">
        <v>478900000</v>
      </c>
    </row>
    <row r="5936" spans="1:9" x14ac:dyDescent="0.2">
      <c r="A5936" s="134">
        <v>45749</v>
      </c>
      <c r="B5936" s="135">
        <f>YEAR(source[[#This Row],[report_date]])</f>
        <v>2025</v>
      </c>
      <c r="C5936" s="128">
        <f t="shared" si="274"/>
        <v>4</v>
      </c>
      <c r="D5936" s="136">
        <f t="shared" si="276"/>
        <v>14</v>
      </c>
      <c r="E5936" s="136">
        <f t="shared" si="275"/>
        <v>2</v>
      </c>
      <c r="F5936" s="128" t="s">
        <v>24</v>
      </c>
      <c r="G5936" s="128" t="str">
        <f>VLOOKUP(source[[#This Row],[lending_product_transform]],[3]Mapping!$B$4:$C$37,2,0)</f>
        <v>[Cake] - Cashloan</v>
      </c>
      <c r="H5936" s="128" t="str">
        <f>VLOOKUP(source[[#This Row],[lending_product_transform]],[3]Mapping!$B$3:$D$37,3,0)</f>
        <v>cashloan</v>
      </c>
      <c r="I5936" s="135">
        <v>853110000</v>
      </c>
    </row>
    <row r="5937" spans="1:9" x14ac:dyDescent="0.2">
      <c r="A5937" s="134">
        <v>45749</v>
      </c>
      <c r="B5937" s="135">
        <f>YEAR(source[[#This Row],[report_date]])</f>
        <v>2025</v>
      </c>
      <c r="C5937" s="128">
        <f t="shared" si="274"/>
        <v>4</v>
      </c>
      <c r="D5937" s="136">
        <f t="shared" si="276"/>
        <v>14</v>
      </c>
      <c r="E5937" s="136">
        <f t="shared" si="275"/>
        <v>2</v>
      </c>
      <c r="F5937" s="128" t="s">
        <v>24</v>
      </c>
      <c r="G5937" s="128" t="str">
        <f>VLOOKUP(source[[#This Row],[lending_product_transform]],[3]Mapping!$B$4:$C$37,2,0)</f>
        <v>[Cake] - Cashloan</v>
      </c>
      <c r="H5937" s="128" t="str">
        <f>VLOOKUP(source[[#This Row],[lending_product_transform]],[3]Mapping!$B$3:$D$37,3,0)</f>
        <v>cashloan</v>
      </c>
      <c r="I5937" s="135">
        <v>0</v>
      </c>
    </row>
    <row r="5938" spans="1:9" x14ac:dyDescent="0.2">
      <c r="A5938" s="134">
        <v>45749</v>
      </c>
      <c r="B5938" s="135">
        <f>YEAR(source[[#This Row],[report_date]])</f>
        <v>2025</v>
      </c>
      <c r="C5938" s="128">
        <f t="shared" si="274"/>
        <v>4</v>
      </c>
      <c r="D5938" s="136">
        <f t="shared" si="276"/>
        <v>14</v>
      </c>
      <c r="E5938" s="136">
        <f t="shared" si="275"/>
        <v>2</v>
      </c>
      <c r="F5938" s="128" t="s">
        <v>24</v>
      </c>
      <c r="G5938" s="128" t="str">
        <f>VLOOKUP(source[[#This Row],[lending_product_transform]],[3]Mapping!$B$4:$C$37,2,0)</f>
        <v>[Cake] - Cashloan</v>
      </c>
      <c r="H5938" s="128" t="str">
        <f>VLOOKUP(source[[#This Row],[lending_product_transform]],[3]Mapping!$B$3:$D$37,3,0)</f>
        <v>cashloan</v>
      </c>
      <c r="I5938" s="135">
        <v>31500000</v>
      </c>
    </row>
    <row r="5939" spans="1:9" x14ac:dyDescent="0.2">
      <c r="A5939" s="134">
        <v>45749</v>
      </c>
      <c r="B5939" s="135">
        <f>YEAR(source[[#This Row],[report_date]])</f>
        <v>2025</v>
      </c>
      <c r="C5939" s="128">
        <f t="shared" si="274"/>
        <v>4</v>
      </c>
      <c r="D5939" s="136">
        <f t="shared" si="276"/>
        <v>14</v>
      </c>
      <c r="E5939" s="136">
        <f t="shared" si="275"/>
        <v>2</v>
      </c>
      <c r="F5939" s="128" t="s">
        <v>24</v>
      </c>
      <c r="G5939" s="128" t="str">
        <f>VLOOKUP(source[[#This Row],[lending_product_transform]],[3]Mapping!$B$4:$C$37,2,0)</f>
        <v>[Cake] - Cashloan</v>
      </c>
      <c r="H5939" s="128" t="str">
        <f>VLOOKUP(source[[#This Row],[lending_product_transform]],[3]Mapping!$B$3:$D$37,3,0)</f>
        <v>cashloan</v>
      </c>
      <c r="I5939" s="135">
        <v>0</v>
      </c>
    </row>
    <row r="5940" spans="1:9" x14ac:dyDescent="0.2">
      <c r="A5940" s="134">
        <v>45750</v>
      </c>
      <c r="B5940" s="135">
        <f>YEAR(source[[#This Row],[report_date]])</f>
        <v>2025</v>
      </c>
      <c r="C5940" s="128">
        <f t="shared" si="274"/>
        <v>4</v>
      </c>
      <c r="D5940" s="136">
        <f t="shared" si="276"/>
        <v>14</v>
      </c>
      <c r="E5940" s="136">
        <f t="shared" si="275"/>
        <v>3</v>
      </c>
      <c r="F5940" s="128" t="s">
        <v>24</v>
      </c>
      <c r="G5940" s="128" t="str">
        <f>VLOOKUP(source[[#This Row],[lending_product_transform]],[3]Mapping!$B$4:$C$37,2,0)</f>
        <v>[Cake] - Cashloan</v>
      </c>
      <c r="H5940" s="128" t="str">
        <f>VLOOKUP(source[[#This Row],[lending_product_transform]],[3]Mapping!$B$3:$D$37,3,0)</f>
        <v>cashloan</v>
      </c>
      <c r="I5940" s="135">
        <v>1072698157</v>
      </c>
    </row>
    <row r="5941" spans="1:9" x14ac:dyDescent="0.2">
      <c r="A5941" s="134">
        <v>45750</v>
      </c>
      <c r="B5941" s="135">
        <f>YEAR(source[[#This Row],[report_date]])</f>
        <v>2025</v>
      </c>
      <c r="C5941" s="128">
        <f t="shared" si="274"/>
        <v>4</v>
      </c>
      <c r="D5941" s="136">
        <f t="shared" si="276"/>
        <v>14</v>
      </c>
      <c r="E5941" s="136">
        <f t="shared" si="275"/>
        <v>3</v>
      </c>
      <c r="F5941" s="128" t="s">
        <v>24</v>
      </c>
      <c r="G5941" s="128" t="str">
        <f>VLOOKUP(source[[#This Row],[lending_product_transform]],[3]Mapping!$B$4:$C$37,2,0)</f>
        <v>[Cake] - Cashloan</v>
      </c>
      <c r="H5941" s="128" t="str">
        <f>VLOOKUP(source[[#This Row],[lending_product_transform]],[3]Mapping!$B$3:$D$37,3,0)</f>
        <v>cashloan</v>
      </c>
      <c r="I5941" s="135">
        <v>547508578</v>
      </c>
    </row>
    <row r="5942" spans="1:9" x14ac:dyDescent="0.2">
      <c r="A5942" s="134">
        <v>45750</v>
      </c>
      <c r="B5942" s="135">
        <f>YEAR(source[[#This Row],[report_date]])</f>
        <v>2025</v>
      </c>
      <c r="C5942" s="128">
        <f t="shared" ref="C5942:C6005" si="277">MONTH(A5942)</f>
        <v>4</v>
      </c>
      <c r="D5942" s="136">
        <f t="shared" si="276"/>
        <v>14</v>
      </c>
      <c r="E5942" s="136">
        <f t="shared" ref="E5942:E6005" si="278">DAY(A5942)</f>
        <v>3</v>
      </c>
      <c r="F5942" s="128" t="s">
        <v>24</v>
      </c>
      <c r="G5942" s="128" t="str">
        <f>VLOOKUP(source[[#This Row],[lending_product_transform]],[3]Mapping!$B$4:$C$37,2,0)</f>
        <v>[Cake] - Cashloan</v>
      </c>
      <c r="H5942" s="128" t="str">
        <f>VLOOKUP(source[[#This Row],[lending_product_transform]],[3]Mapping!$B$3:$D$37,3,0)</f>
        <v>cashloan</v>
      </c>
      <c r="I5942" s="135">
        <v>7851360000</v>
      </c>
    </row>
    <row r="5943" spans="1:9" x14ac:dyDescent="0.2">
      <c r="A5943" s="134">
        <v>45750</v>
      </c>
      <c r="B5943" s="135">
        <f>YEAR(source[[#This Row],[report_date]])</f>
        <v>2025</v>
      </c>
      <c r="C5943" s="128">
        <f t="shared" si="277"/>
        <v>4</v>
      </c>
      <c r="D5943" s="136">
        <f t="shared" si="276"/>
        <v>14</v>
      </c>
      <c r="E5943" s="136">
        <f t="shared" si="278"/>
        <v>3</v>
      </c>
      <c r="F5943" s="128" t="s">
        <v>24</v>
      </c>
      <c r="G5943" s="128" t="str">
        <f>VLOOKUP(source[[#This Row],[lending_product_transform]],[3]Mapping!$B$4:$C$37,2,0)</f>
        <v>[Cake] - Cashloan</v>
      </c>
      <c r="H5943" s="128" t="str">
        <f>VLOOKUP(source[[#This Row],[lending_product_transform]],[3]Mapping!$B$3:$D$37,3,0)</f>
        <v>cashloan</v>
      </c>
      <c r="I5943" s="135">
        <v>5401652000</v>
      </c>
    </row>
    <row r="5944" spans="1:9" x14ac:dyDescent="0.2">
      <c r="A5944" s="134">
        <v>45750</v>
      </c>
      <c r="B5944" s="135">
        <f>YEAR(source[[#This Row],[report_date]])</f>
        <v>2025</v>
      </c>
      <c r="C5944" s="128">
        <f t="shared" si="277"/>
        <v>4</v>
      </c>
      <c r="D5944" s="136">
        <f t="shared" si="276"/>
        <v>14</v>
      </c>
      <c r="E5944" s="136">
        <f t="shared" si="278"/>
        <v>3</v>
      </c>
      <c r="F5944" s="128" t="s">
        <v>24</v>
      </c>
      <c r="G5944" s="128" t="str">
        <f>VLOOKUP(source[[#This Row],[lending_product_transform]],[3]Mapping!$B$4:$C$37,2,0)</f>
        <v>[Cake] - Cashloan</v>
      </c>
      <c r="H5944" s="128" t="str">
        <f>VLOOKUP(source[[#This Row],[lending_product_transform]],[3]Mapping!$B$3:$D$37,3,0)</f>
        <v>cashloan</v>
      </c>
      <c r="I5944" s="135">
        <v>8070530000</v>
      </c>
    </row>
    <row r="5945" spans="1:9" x14ac:dyDescent="0.2">
      <c r="A5945" s="134">
        <v>45750</v>
      </c>
      <c r="B5945" s="135">
        <f>YEAR(source[[#This Row],[report_date]])</f>
        <v>2025</v>
      </c>
      <c r="C5945" s="128">
        <f t="shared" si="277"/>
        <v>4</v>
      </c>
      <c r="D5945" s="136">
        <f t="shared" si="276"/>
        <v>14</v>
      </c>
      <c r="E5945" s="136">
        <f t="shared" si="278"/>
        <v>3</v>
      </c>
      <c r="F5945" s="128" t="s">
        <v>24</v>
      </c>
      <c r="G5945" s="128" t="str">
        <f>VLOOKUP(source[[#This Row],[lending_product_transform]],[3]Mapping!$B$4:$C$37,2,0)</f>
        <v>[Cake] - Cashloan</v>
      </c>
      <c r="H5945" s="128" t="str">
        <f>VLOOKUP(source[[#This Row],[lending_product_transform]],[3]Mapping!$B$3:$D$37,3,0)</f>
        <v>cashloan</v>
      </c>
      <c r="I5945" s="135">
        <v>0</v>
      </c>
    </row>
    <row r="5946" spans="1:9" x14ac:dyDescent="0.2">
      <c r="A5946" s="134">
        <v>45750</v>
      </c>
      <c r="B5946" s="135">
        <f>YEAR(source[[#This Row],[report_date]])</f>
        <v>2025</v>
      </c>
      <c r="C5946" s="128">
        <f t="shared" si="277"/>
        <v>4</v>
      </c>
      <c r="D5946" s="136">
        <f t="shared" si="276"/>
        <v>14</v>
      </c>
      <c r="E5946" s="136">
        <f t="shared" si="278"/>
        <v>3</v>
      </c>
      <c r="F5946" s="128" t="s">
        <v>24</v>
      </c>
      <c r="G5946" s="128" t="str">
        <f>VLOOKUP(source[[#This Row],[lending_product_transform]],[3]Mapping!$B$4:$C$37,2,0)</f>
        <v>[Cake] - Cashloan</v>
      </c>
      <c r="H5946" s="128" t="str">
        <f>VLOOKUP(source[[#This Row],[lending_product_transform]],[3]Mapping!$B$3:$D$37,3,0)</f>
        <v>cashloan</v>
      </c>
      <c r="I5946" s="135">
        <v>61000000</v>
      </c>
    </row>
    <row r="5947" spans="1:9" x14ac:dyDescent="0.2">
      <c r="A5947" s="134">
        <v>45750</v>
      </c>
      <c r="B5947" s="135">
        <f>YEAR(source[[#This Row],[report_date]])</f>
        <v>2025</v>
      </c>
      <c r="C5947" s="128">
        <f t="shared" si="277"/>
        <v>4</v>
      </c>
      <c r="D5947" s="136">
        <f t="shared" si="276"/>
        <v>14</v>
      </c>
      <c r="E5947" s="136">
        <f t="shared" si="278"/>
        <v>3</v>
      </c>
      <c r="F5947" s="128" t="s">
        <v>24</v>
      </c>
      <c r="G5947" s="128" t="str">
        <f>VLOOKUP(source[[#This Row],[lending_product_transform]],[3]Mapping!$B$4:$C$37,2,0)</f>
        <v>[Cake] - Cashloan</v>
      </c>
      <c r="H5947" s="128" t="str">
        <f>VLOOKUP(source[[#This Row],[lending_product_transform]],[3]Mapping!$B$3:$D$37,3,0)</f>
        <v>cashloan</v>
      </c>
      <c r="I5947" s="135">
        <v>235975384</v>
      </c>
    </row>
    <row r="5948" spans="1:9" x14ac:dyDescent="0.2">
      <c r="A5948" s="134">
        <v>45750</v>
      </c>
      <c r="B5948" s="135">
        <f>YEAR(source[[#This Row],[report_date]])</f>
        <v>2025</v>
      </c>
      <c r="C5948" s="128">
        <f t="shared" si="277"/>
        <v>4</v>
      </c>
      <c r="D5948" s="136">
        <f t="shared" si="276"/>
        <v>14</v>
      </c>
      <c r="E5948" s="136">
        <f t="shared" si="278"/>
        <v>3</v>
      </c>
      <c r="F5948" s="128" t="s">
        <v>24</v>
      </c>
      <c r="G5948" s="128" t="str">
        <f>VLOOKUP(source[[#This Row],[lending_product_transform]],[3]Mapping!$B$4:$C$37,2,0)</f>
        <v>[Cake] - Cashloan</v>
      </c>
      <c r="H5948" s="128" t="str">
        <f>VLOOKUP(source[[#This Row],[lending_product_transform]],[3]Mapping!$B$3:$D$37,3,0)</f>
        <v>cashloan</v>
      </c>
      <c r="I5948" s="135">
        <v>835600000</v>
      </c>
    </row>
    <row r="5949" spans="1:9" x14ac:dyDescent="0.2">
      <c r="A5949" s="134">
        <v>45750</v>
      </c>
      <c r="B5949" s="135">
        <f>YEAR(source[[#This Row],[report_date]])</f>
        <v>2025</v>
      </c>
      <c r="C5949" s="128">
        <f t="shared" si="277"/>
        <v>4</v>
      </c>
      <c r="D5949" s="136">
        <f t="shared" si="276"/>
        <v>14</v>
      </c>
      <c r="E5949" s="136">
        <f t="shared" si="278"/>
        <v>3</v>
      </c>
      <c r="F5949" s="128" t="s">
        <v>24</v>
      </c>
      <c r="G5949" s="128" t="str">
        <f>VLOOKUP(source[[#This Row],[lending_product_transform]],[3]Mapping!$B$4:$C$37,2,0)</f>
        <v>[Cake] - Cashloan</v>
      </c>
      <c r="H5949" s="128" t="str">
        <f>VLOOKUP(source[[#This Row],[lending_product_transform]],[3]Mapping!$B$3:$D$37,3,0)</f>
        <v>cashloan</v>
      </c>
      <c r="I5949" s="135">
        <v>0</v>
      </c>
    </row>
    <row r="5950" spans="1:9" x14ac:dyDescent="0.2">
      <c r="A5950" s="134">
        <v>45750</v>
      </c>
      <c r="B5950" s="135">
        <f>YEAR(source[[#This Row],[report_date]])</f>
        <v>2025</v>
      </c>
      <c r="C5950" s="128">
        <f t="shared" si="277"/>
        <v>4</v>
      </c>
      <c r="D5950" s="136">
        <f t="shared" si="276"/>
        <v>14</v>
      </c>
      <c r="E5950" s="136">
        <f t="shared" si="278"/>
        <v>3</v>
      </c>
      <c r="F5950" s="128" t="s">
        <v>24</v>
      </c>
      <c r="G5950" s="128" t="str">
        <f>VLOOKUP(source[[#This Row],[lending_product_transform]],[3]Mapping!$B$4:$C$37,2,0)</f>
        <v>[Cake] - Cashloan</v>
      </c>
      <c r="H5950" s="128" t="str">
        <f>VLOOKUP(source[[#This Row],[lending_product_transform]],[3]Mapping!$B$3:$D$37,3,0)</f>
        <v>cashloan</v>
      </c>
      <c r="I5950" s="135">
        <v>367510000</v>
      </c>
    </row>
    <row r="5951" spans="1:9" x14ac:dyDescent="0.2">
      <c r="A5951" s="134">
        <v>45750</v>
      </c>
      <c r="B5951" s="135">
        <f>YEAR(source[[#This Row],[report_date]])</f>
        <v>2025</v>
      </c>
      <c r="C5951" s="128">
        <f t="shared" si="277"/>
        <v>4</v>
      </c>
      <c r="D5951" s="136">
        <f t="shared" si="276"/>
        <v>14</v>
      </c>
      <c r="E5951" s="136">
        <f t="shared" si="278"/>
        <v>3</v>
      </c>
      <c r="F5951" s="128" t="s">
        <v>24</v>
      </c>
      <c r="G5951" s="128" t="str">
        <f>VLOOKUP(source[[#This Row],[lending_product_transform]],[3]Mapping!$B$4:$C$37,2,0)</f>
        <v>[Cake] - Cashloan</v>
      </c>
      <c r="H5951" s="128" t="str">
        <f>VLOOKUP(source[[#This Row],[lending_product_transform]],[3]Mapping!$B$3:$D$37,3,0)</f>
        <v>cashloan</v>
      </c>
      <c r="I5951" s="135">
        <v>0</v>
      </c>
    </row>
    <row r="5952" spans="1:9" x14ac:dyDescent="0.2">
      <c r="A5952" s="134">
        <v>45750</v>
      </c>
      <c r="B5952" s="135">
        <f>YEAR(source[[#This Row],[report_date]])</f>
        <v>2025</v>
      </c>
      <c r="C5952" s="128">
        <f t="shared" si="277"/>
        <v>4</v>
      </c>
      <c r="D5952" s="136">
        <f t="shared" si="276"/>
        <v>14</v>
      </c>
      <c r="E5952" s="136">
        <f t="shared" si="278"/>
        <v>3</v>
      </c>
      <c r="F5952" s="128" t="s">
        <v>24</v>
      </c>
      <c r="G5952" s="128" t="str">
        <f>VLOOKUP(source[[#This Row],[lending_product_transform]],[3]Mapping!$B$4:$C$37,2,0)</f>
        <v>[Cake] - Cashloan</v>
      </c>
      <c r="H5952" s="128" t="str">
        <f>VLOOKUP(source[[#This Row],[lending_product_transform]],[3]Mapping!$B$3:$D$37,3,0)</f>
        <v>cashloan</v>
      </c>
      <c r="I5952" s="135">
        <v>0</v>
      </c>
    </row>
    <row r="5953" spans="1:9" x14ac:dyDescent="0.2">
      <c r="A5953" s="134">
        <v>45750</v>
      </c>
      <c r="B5953" s="135">
        <f>YEAR(source[[#This Row],[report_date]])</f>
        <v>2025</v>
      </c>
      <c r="C5953" s="128">
        <f t="shared" si="277"/>
        <v>4</v>
      </c>
      <c r="D5953" s="136">
        <f t="shared" si="276"/>
        <v>14</v>
      </c>
      <c r="E5953" s="136">
        <f t="shared" si="278"/>
        <v>3</v>
      </c>
      <c r="F5953" s="128" t="s">
        <v>24</v>
      </c>
      <c r="G5953" s="128" t="str">
        <f>VLOOKUP(source[[#This Row],[lending_product_transform]],[3]Mapping!$B$4:$C$37,2,0)</f>
        <v>[Cake] - Cashloan</v>
      </c>
      <c r="H5953" s="128" t="str">
        <f>VLOOKUP(source[[#This Row],[lending_product_transform]],[3]Mapping!$B$3:$D$37,3,0)</f>
        <v>cashloan</v>
      </c>
      <c r="I5953" s="135">
        <v>4575280742</v>
      </c>
    </row>
    <row r="5954" spans="1:9" x14ac:dyDescent="0.2">
      <c r="A5954" s="134">
        <v>45750</v>
      </c>
      <c r="B5954" s="135">
        <f>YEAR(source[[#This Row],[report_date]])</f>
        <v>2025</v>
      </c>
      <c r="C5954" s="128">
        <f t="shared" si="277"/>
        <v>4</v>
      </c>
      <c r="D5954" s="136">
        <f t="shared" si="276"/>
        <v>14</v>
      </c>
      <c r="E5954" s="136">
        <f t="shared" si="278"/>
        <v>3</v>
      </c>
      <c r="F5954" s="128" t="s">
        <v>24</v>
      </c>
      <c r="G5954" s="128" t="str">
        <f>VLOOKUP(source[[#This Row],[lending_product_transform]],[3]Mapping!$B$4:$C$37,2,0)</f>
        <v>[Cake] - Cashloan</v>
      </c>
      <c r="H5954" s="128" t="str">
        <f>VLOOKUP(source[[#This Row],[lending_product_transform]],[3]Mapping!$B$3:$D$37,3,0)</f>
        <v>cashloan</v>
      </c>
      <c r="I5954" s="135">
        <v>0</v>
      </c>
    </row>
    <row r="5955" spans="1:9" x14ac:dyDescent="0.2">
      <c r="A5955" s="134">
        <v>45750</v>
      </c>
      <c r="B5955" s="135">
        <f>YEAR(source[[#This Row],[report_date]])</f>
        <v>2025</v>
      </c>
      <c r="C5955" s="128">
        <f t="shared" si="277"/>
        <v>4</v>
      </c>
      <c r="D5955" s="136">
        <f t="shared" ref="D5955:D6018" si="279">WEEKNUM(A5955,2)</f>
        <v>14</v>
      </c>
      <c r="E5955" s="136">
        <f t="shared" si="278"/>
        <v>3</v>
      </c>
      <c r="F5955" s="128" t="s">
        <v>24</v>
      </c>
      <c r="G5955" s="128" t="str">
        <f>VLOOKUP(source[[#This Row],[lending_product_transform]],[3]Mapping!$B$4:$C$37,2,0)</f>
        <v>[Cake] - Cashloan</v>
      </c>
      <c r="H5955" s="128" t="str">
        <f>VLOOKUP(source[[#This Row],[lending_product_transform]],[3]Mapping!$B$3:$D$37,3,0)</f>
        <v>cashloan</v>
      </c>
      <c r="I5955" s="135">
        <v>0</v>
      </c>
    </row>
    <row r="5956" spans="1:9" x14ac:dyDescent="0.2">
      <c r="A5956" s="134">
        <v>45750</v>
      </c>
      <c r="B5956" s="135">
        <f>YEAR(source[[#This Row],[report_date]])</f>
        <v>2025</v>
      </c>
      <c r="C5956" s="128">
        <f t="shared" si="277"/>
        <v>4</v>
      </c>
      <c r="D5956" s="136">
        <f t="shared" si="279"/>
        <v>14</v>
      </c>
      <c r="E5956" s="136">
        <f t="shared" si="278"/>
        <v>3</v>
      </c>
      <c r="F5956" s="128" t="s">
        <v>24</v>
      </c>
      <c r="G5956" s="128" t="str">
        <f>VLOOKUP(source[[#This Row],[lending_product_transform]],[3]Mapping!$B$4:$C$37,2,0)</f>
        <v>[Cake] - Cashloan</v>
      </c>
      <c r="H5956" s="128" t="str">
        <f>VLOOKUP(source[[#This Row],[lending_product_transform]],[3]Mapping!$B$3:$D$37,3,0)</f>
        <v>cashloan</v>
      </c>
      <c r="I5956" s="135">
        <v>51000000</v>
      </c>
    </row>
    <row r="5957" spans="1:9" x14ac:dyDescent="0.2">
      <c r="A5957" s="134">
        <v>45750</v>
      </c>
      <c r="B5957" s="135">
        <f>YEAR(source[[#This Row],[report_date]])</f>
        <v>2025</v>
      </c>
      <c r="C5957" s="128">
        <f t="shared" si="277"/>
        <v>4</v>
      </c>
      <c r="D5957" s="136">
        <f t="shared" si="279"/>
        <v>14</v>
      </c>
      <c r="E5957" s="136">
        <f t="shared" si="278"/>
        <v>3</v>
      </c>
      <c r="F5957" s="128" t="s">
        <v>24</v>
      </c>
      <c r="G5957" s="128" t="str">
        <f>VLOOKUP(source[[#This Row],[lending_product_transform]],[3]Mapping!$B$4:$C$37,2,0)</f>
        <v>[Cake] - Cashloan</v>
      </c>
      <c r="H5957" s="128" t="str">
        <f>VLOOKUP(source[[#This Row],[lending_product_transform]],[3]Mapping!$B$3:$D$37,3,0)</f>
        <v>cashloan</v>
      </c>
      <c r="I5957" s="135">
        <v>53431784</v>
      </c>
    </row>
    <row r="5958" spans="1:9" x14ac:dyDescent="0.2">
      <c r="A5958" s="134">
        <v>45750</v>
      </c>
      <c r="B5958" s="135">
        <f>YEAR(source[[#This Row],[report_date]])</f>
        <v>2025</v>
      </c>
      <c r="C5958" s="128">
        <f t="shared" si="277"/>
        <v>4</v>
      </c>
      <c r="D5958" s="136">
        <f t="shared" si="279"/>
        <v>14</v>
      </c>
      <c r="E5958" s="136">
        <f t="shared" si="278"/>
        <v>3</v>
      </c>
      <c r="F5958" s="128" t="s">
        <v>24</v>
      </c>
      <c r="G5958" s="128" t="str">
        <f>VLOOKUP(source[[#This Row],[lending_product_transform]],[3]Mapping!$B$4:$C$37,2,0)</f>
        <v>[Cake] - Cashloan</v>
      </c>
      <c r="H5958" s="128" t="str">
        <f>VLOOKUP(source[[#This Row],[lending_product_transform]],[3]Mapping!$B$3:$D$37,3,0)</f>
        <v>cashloan</v>
      </c>
      <c r="I5958" s="135">
        <v>0</v>
      </c>
    </row>
    <row r="5959" spans="1:9" x14ac:dyDescent="0.2">
      <c r="A5959" s="134">
        <v>45751</v>
      </c>
      <c r="B5959" s="135">
        <f>YEAR(source[[#This Row],[report_date]])</f>
        <v>2025</v>
      </c>
      <c r="C5959" s="128">
        <f t="shared" si="277"/>
        <v>4</v>
      </c>
      <c r="D5959" s="136">
        <f t="shared" si="279"/>
        <v>14</v>
      </c>
      <c r="E5959" s="136">
        <f t="shared" si="278"/>
        <v>4</v>
      </c>
      <c r="F5959" s="128" t="s">
        <v>24</v>
      </c>
      <c r="G5959" s="128" t="str">
        <f>VLOOKUP(source[[#This Row],[lending_product_transform]],[3]Mapping!$B$4:$C$37,2,0)</f>
        <v>[Cake] - Cashloan</v>
      </c>
      <c r="H5959" s="128" t="str">
        <f>VLOOKUP(source[[#This Row],[lending_product_transform]],[3]Mapping!$B$3:$D$37,3,0)</f>
        <v>cashloan</v>
      </c>
      <c r="I5959" s="135">
        <v>6004360000</v>
      </c>
    </row>
    <row r="5960" spans="1:9" x14ac:dyDescent="0.2">
      <c r="A5960" s="134">
        <v>45751</v>
      </c>
      <c r="B5960" s="135">
        <f>YEAR(source[[#This Row],[report_date]])</f>
        <v>2025</v>
      </c>
      <c r="C5960" s="128">
        <f t="shared" si="277"/>
        <v>4</v>
      </c>
      <c r="D5960" s="136">
        <f t="shared" si="279"/>
        <v>14</v>
      </c>
      <c r="E5960" s="136">
        <f t="shared" si="278"/>
        <v>4</v>
      </c>
      <c r="F5960" s="128" t="s">
        <v>24</v>
      </c>
      <c r="G5960" s="128" t="str">
        <f>VLOOKUP(source[[#This Row],[lending_product_transform]],[3]Mapping!$B$4:$C$37,2,0)</f>
        <v>[Cake] - Cashloan</v>
      </c>
      <c r="H5960" s="128" t="str">
        <f>VLOOKUP(source[[#This Row],[lending_product_transform]],[3]Mapping!$B$3:$D$37,3,0)</f>
        <v>cashloan</v>
      </c>
      <c r="I5960" s="135">
        <v>8047470000</v>
      </c>
    </row>
    <row r="5961" spans="1:9" x14ac:dyDescent="0.2">
      <c r="A5961" s="134">
        <v>45751</v>
      </c>
      <c r="B5961" s="135">
        <f>YEAR(source[[#This Row],[report_date]])</f>
        <v>2025</v>
      </c>
      <c r="C5961" s="128">
        <f t="shared" si="277"/>
        <v>4</v>
      </c>
      <c r="D5961" s="136">
        <f t="shared" si="279"/>
        <v>14</v>
      </c>
      <c r="E5961" s="136">
        <f t="shared" si="278"/>
        <v>4</v>
      </c>
      <c r="F5961" s="128" t="s">
        <v>24</v>
      </c>
      <c r="G5961" s="128" t="str">
        <f>VLOOKUP(source[[#This Row],[lending_product_transform]],[3]Mapping!$B$4:$C$37,2,0)</f>
        <v>[Cake] - Cashloan</v>
      </c>
      <c r="H5961" s="128" t="str">
        <f>VLOOKUP(source[[#This Row],[lending_product_transform]],[3]Mapping!$B$3:$D$37,3,0)</f>
        <v>cashloan</v>
      </c>
      <c r="I5961" s="135">
        <v>8259360000</v>
      </c>
    </row>
    <row r="5962" spans="1:9" x14ac:dyDescent="0.2">
      <c r="A5962" s="134">
        <v>45751</v>
      </c>
      <c r="B5962" s="135">
        <f>YEAR(source[[#This Row],[report_date]])</f>
        <v>2025</v>
      </c>
      <c r="C5962" s="128">
        <f t="shared" si="277"/>
        <v>4</v>
      </c>
      <c r="D5962" s="136">
        <f t="shared" si="279"/>
        <v>14</v>
      </c>
      <c r="E5962" s="136">
        <f t="shared" si="278"/>
        <v>4</v>
      </c>
      <c r="F5962" s="128" t="s">
        <v>24</v>
      </c>
      <c r="G5962" s="128" t="str">
        <f>VLOOKUP(source[[#This Row],[lending_product_transform]],[3]Mapping!$B$4:$C$37,2,0)</f>
        <v>[Cake] - Cashloan</v>
      </c>
      <c r="H5962" s="128" t="str">
        <f>VLOOKUP(source[[#This Row],[lending_product_transform]],[3]Mapping!$B$3:$D$37,3,0)</f>
        <v>cashloan</v>
      </c>
      <c r="I5962" s="135">
        <v>820352462</v>
      </c>
    </row>
    <row r="5963" spans="1:9" x14ac:dyDescent="0.2">
      <c r="A5963" s="134">
        <v>45751</v>
      </c>
      <c r="B5963" s="135">
        <f>YEAR(source[[#This Row],[report_date]])</f>
        <v>2025</v>
      </c>
      <c r="C5963" s="128">
        <f t="shared" si="277"/>
        <v>4</v>
      </c>
      <c r="D5963" s="136">
        <f t="shared" si="279"/>
        <v>14</v>
      </c>
      <c r="E5963" s="136">
        <f t="shared" si="278"/>
        <v>4</v>
      </c>
      <c r="F5963" s="128" t="s">
        <v>24</v>
      </c>
      <c r="G5963" s="128" t="str">
        <f>VLOOKUP(source[[#This Row],[lending_product_transform]],[3]Mapping!$B$4:$C$37,2,0)</f>
        <v>[Cake] - Cashloan</v>
      </c>
      <c r="H5963" s="128" t="str">
        <f>VLOOKUP(source[[#This Row],[lending_product_transform]],[3]Mapping!$B$3:$D$37,3,0)</f>
        <v>cashloan</v>
      </c>
      <c r="I5963" s="135">
        <v>0</v>
      </c>
    </row>
    <row r="5964" spans="1:9" x14ac:dyDescent="0.2">
      <c r="A5964" s="134">
        <v>45751</v>
      </c>
      <c r="B5964" s="135">
        <f>YEAR(source[[#This Row],[report_date]])</f>
        <v>2025</v>
      </c>
      <c r="C5964" s="128">
        <f t="shared" si="277"/>
        <v>4</v>
      </c>
      <c r="D5964" s="136">
        <f t="shared" si="279"/>
        <v>14</v>
      </c>
      <c r="E5964" s="136">
        <f t="shared" si="278"/>
        <v>4</v>
      </c>
      <c r="F5964" s="128" t="s">
        <v>24</v>
      </c>
      <c r="G5964" s="128" t="str">
        <f>VLOOKUP(source[[#This Row],[lending_product_transform]],[3]Mapping!$B$4:$C$37,2,0)</f>
        <v>[Cake] - Cashloan</v>
      </c>
      <c r="H5964" s="128" t="str">
        <f>VLOOKUP(source[[#This Row],[lending_product_transform]],[3]Mapping!$B$3:$D$37,3,0)</f>
        <v>cashloan</v>
      </c>
      <c r="I5964" s="135">
        <v>0</v>
      </c>
    </row>
    <row r="5965" spans="1:9" x14ac:dyDescent="0.2">
      <c r="A5965" s="134">
        <v>45751</v>
      </c>
      <c r="B5965" s="135">
        <f>YEAR(source[[#This Row],[report_date]])</f>
        <v>2025</v>
      </c>
      <c r="C5965" s="128">
        <f t="shared" si="277"/>
        <v>4</v>
      </c>
      <c r="D5965" s="136">
        <f t="shared" si="279"/>
        <v>14</v>
      </c>
      <c r="E5965" s="136">
        <f t="shared" si="278"/>
        <v>4</v>
      </c>
      <c r="F5965" s="128" t="s">
        <v>24</v>
      </c>
      <c r="G5965" s="128" t="str">
        <f>VLOOKUP(source[[#This Row],[lending_product_transform]],[3]Mapping!$B$4:$C$37,2,0)</f>
        <v>[Cake] - Cashloan</v>
      </c>
      <c r="H5965" s="128" t="str">
        <f>VLOOKUP(source[[#This Row],[lending_product_transform]],[3]Mapping!$B$3:$D$37,3,0)</f>
        <v>cashloan</v>
      </c>
      <c r="I5965" s="135">
        <v>0</v>
      </c>
    </row>
    <row r="5966" spans="1:9" x14ac:dyDescent="0.2">
      <c r="A5966" s="134">
        <v>45751</v>
      </c>
      <c r="B5966" s="135">
        <f>YEAR(source[[#This Row],[report_date]])</f>
        <v>2025</v>
      </c>
      <c r="C5966" s="128">
        <f t="shared" si="277"/>
        <v>4</v>
      </c>
      <c r="D5966" s="136">
        <f t="shared" si="279"/>
        <v>14</v>
      </c>
      <c r="E5966" s="136">
        <f t="shared" si="278"/>
        <v>4</v>
      </c>
      <c r="F5966" s="128" t="s">
        <v>24</v>
      </c>
      <c r="G5966" s="128" t="str">
        <f>VLOOKUP(source[[#This Row],[lending_product_transform]],[3]Mapping!$B$4:$C$37,2,0)</f>
        <v>[Cake] - Cashloan</v>
      </c>
      <c r="H5966" s="128" t="str">
        <f>VLOOKUP(source[[#This Row],[lending_product_transform]],[3]Mapping!$B$3:$D$37,3,0)</f>
        <v>cashloan</v>
      </c>
      <c r="I5966" s="135">
        <v>90721680</v>
      </c>
    </row>
    <row r="5967" spans="1:9" x14ac:dyDescent="0.2">
      <c r="A5967" s="134">
        <v>45751</v>
      </c>
      <c r="B5967" s="135">
        <f>YEAR(source[[#This Row],[report_date]])</f>
        <v>2025</v>
      </c>
      <c r="C5967" s="128">
        <f t="shared" si="277"/>
        <v>4</v>
      </c>
      <c r="D5967" s="136">
        <f t="shared" si="279"/>
        <v>14</v>
      </c>
      <c r="E5967" s="136">
        <f t="shared" si="278"/>
        <v>4</v>
      </c>
      <c r="F5967" s="128" t="s">
        <v>24</v>
      </c>
      <c r="G5967" s="128" t="str">
        <f>VLOOKUP(source[[#This Row],[lending_product_transform]],[3]Mapping!$B$4:$C$37,2,0)</f>
        <v>[Cake] - Cashloan</v>
      </c>
      <c r="H5967" s="128" t="str">
        <f>VLOOKUP(source[[#This Row],[lending_product_transform]],[3]Mapping!$B$3:$D$37,3,0)</f>
        <v>cashloan</v>
      </c>
      <c r="I5967" s="135">
        <v>130350000</v>
      </c>
    </row>
    <row r="5968" spans="1:9" x14ac:dyDescent="0.2">
      <c r="A5968" s="134">
        <v>45751</v>
      </c>
      <c r="B5968" s="135">
        <f>YEAR(source[[#This Row],[report_date]])</f>
        <v>2025</v>
      </c>
      <c r="C5968" s="128">
        <f t="shared" si="277"/>
        <v>4</v>
      </c>
      <c r="D5968" s="136">
        <f t="shared" si="279"/>
        <v>14</v>
      </c>
      <c r="E5968" s="136">
        <f t="shared" si="278"/>
        <v>4</v>
      </c>
      <c r="F5968" s="128" t="s">
        <v>24</v>
      </c>
      <c r="G5968" s="128" t="str">
        <f>VLOOKUP(source[[#This Row],[lending_product_transform]],[3]Mapping!$B$4:$C$37,2,0)</f>
        <v>[Cake] - Cashloan</v>
      </c>
      <c r="H5968" s="128" t="str">
        <f>VLOOKUP(source[[#This Row],[lending_product_transform]],[3]Mapping!$B$3:$D$37,3,0)</f>
        <v>cashloan</v>
      </c>
      <c r="I5968" s="135">
        <v>59000000</v>
      </c>
    </row>
    <row r="5969" spans="1:9" x14ac:dyDescent="0.2">
      <c r="A5969" s="134">
        <v>45751</v>
      </c>
      <c r="B5969" s="135">
        <f>YEAR(source[[#This Row],[report_date]])</f>
        <v>2025</v>
      </c>
      <c r="C5969" s="128">
        <f t="shared" si="277"/>
        <v>4</v>
      </c>
      <c r="D5969" s="136">
        <f t="shared" si="279"/>
        <v>14</v>
      </c>
      <c r="E5969" s="136">
        <f t="shared" si="278"/>
        <v>4</v>
      </c>
      <c r="F5969" s="128" t="s">
        <v>24</v>
      </c>
      <c r="G5969" s="128" t="str">
        <f>VLOOKUP(source[[#This Row],[lending_product_transform]],[3]Mapping!$B$4:$C$37,2,0)</f>
        <v>[Cake] - Cashloan</v>
      </c>
      <c r="H5969" s="128" t="str">
        <f>VLOOKUP(source[[#This Row],[lending_product_transform]],[3]Mapping!$B$3:$D$37,3,0)</f>
        <v>cashloan</v>
      </c>
      <c r="I5969" s="135">
        <v>0</v>
      </c>
    </row>
    <row r="5970" spans="1:9" x14ac:dyDescent="0.2">
      <c r="A5970" s="134">
        <v>45751</v>
      </c>
      <c r="B5970" s="135">
        <f>YEAR(source[[#This Row],[report_date]])</f>
        <v>2025</v>
      </c>
      <c r="C5970" s="128">
        <f t="shared" si="277"/>
        <v>4</v>
      </c>
      <c r="D5970" s="136">
        <f t="shared" si="279"/>
        <v>14</v>
      </c>
      <c r="E5970" s="136">
        <f t="shared" si="278"/>
        <v>4</v>
      </c>
      <c r="F5970" s="128" t="s">
        <v>24</v>
      </c>
      <c r="G5970" s="128" t="str">
        <f>VLOOKUP(source[[#This Row],[lending_product_transform]],[3]Mapping!$B$4:$C$37,2,0)</f>
        <v>[Cake] - Cashloan</v>
      </c>
      <c r="H5970" s="128" t="str">
        <f>VLOOKUP(source[[#This Row],[lending_product_transform]],[3]Mapping!$B$3:$D$37,3,0)</f>
        <v>cashloan</v>
      </c>
      <c r="I5970" s="135">
        <v>0</v>
      </c>
    </row>
    <row r="5971" spans="1:9" x14ac:dyDescent="0.2">
      <c r="A5971" s="134">
        <v>45751</v>
      </c>
      <c r="B5971" s="135">
        <f>YEAR(source[[#This Row],[report_date]])</f>
        <v>2025</v>
      </c>
      <c r="C5971" s="128">
        <f t="shared" si="277"/>
        <v>4</v>
      </c>
      <c r="D5971" s="136">
        <f t="shared" si="279"/>
        <v>14</v>
      </c>
      <c r="E5971" s="136">
        <f t="shared" si="278"/>
        <v>4</v>
      </c>
      <c r="F5971" s="128" t="s">
        <v>24</v>
      </c>
      <c r="G5971" s="128" t="str">
        <f>VLOOKUP(source[[#This Row],[lending_product_transform]],[3]Mapping!$B$4:$C$37,2,0)</f>
        <v>[Cake] - Cashloan</v>
      </c>
      <c r="H5971" s="128" t="str">
        <f>VLOOKUP(source[[#This Row],[lending_product_transform]],[3]Mapping!$B$3:$D$37,3,0)</f>
        <v>cashloan</v>
      </c>
      <c r="I5971" s="135">
        <v>0</v>
      </c>
    </row>
    <row r="5972" spans="1:9" x14ac:dyDescent="0.2">
      <c r="A5972" s="134">
        <v>45751</v>
      </c>
      <c r="B5972" s="135">
        <f>YEAR(source[[#This Row],[report_date]])</f>
        <v>2025</v>
      </c>
      <c r="C5972" s="128">
        <f t="shared" si="277"/>
        <v>4</v>
      </c>
      <c r="D5972" s="136">
        <f t="shared" si="279"/>
        <v>14</v>
      </c>
      <c r="E5972" s="136">
        <f t="shared" si="278"/>
        <v>4</v>
      </c>
      <c r="F5972" s="128" t="s">
        <v>24</v>
      </c>
      <c r="G5972" s="128" t="str">
        <f>VLOOKUP(source[[#This Row],[lending_product_transform]],[3]Mapping!$B$4:$C$37,2,0)</f>
        <v>[Cake] - Cashloan</v>
      </c>
      <c r="H5972" s="128" t="str">
        <f>VLOOKUP(source[[#This Row],[lending_product_transform]],[3]Mapping!$B$3:$D$37,3,0)</f>
        <v>cashloan</v>
      </c>
      <c r="I5972" s="135">
        <v>10000000</v>
      </c>
    </row>
    <row r="5973" spans="1:9" x14ac:dyDescent="0.2">
      <c r="A5973" s="134">
        <v>45751</v>
      </c>
      <c r="B5973" s="135">
        <f>YEAR(source[[#This Row],[report_date]])</f>
        <v>2025</v>
      </c>
      <c r="C5973" s="128">
        <f t="shared" si="277"/>
        <v>4</v>
      </c>
      <c r="D5973" s="136">
        <f t="shared" si="279"/>
        <v>14</v>
      </c>
      <c r="E5973" s="136">
        <f t="shared" si="278"/>
        <v>4</v>
      </c>
      <c r="F5973" s="128" t="s">
        <v>24</v>
      </c>
      <c r="G5973" s="128" t="str">
        <f>VLOOKUP(source[[#This Row],[lending_product_transform]],[3]Mapping!$B$4:$C$37,2,0)</f>
        <v>[Cake] - Cashloan</v>
      </c>
      <c r="H5973" s="128" t="str">
        <f>VLOOKUP(source[[#This Row],[lending_product_transform]],[3]Mapping!$B$3:$D$37,3,0)</f>
        <v>cashloan</v>
      </c>
      <c r="I5973" s="135">
        <v>584620000</v>
      </c>
    </row>
    <row r="5974" spans="1:9" x14ac:dyDescent="0.2">
      <c r="A5974" s="134">
        <v>45751</v>
      </c>
      <c r="B5974" s="135">
        <f>YEAR(source[[#This Row],[report_date]])</f>
        <v>2025</v>
      </c>
      <c r="C5974" s="128">
        <f t="shared" si="277"/>
        <v>4</v>
      </c>
      <c r="D5974" s="136">
        <f t="shared" si="279"/>
        <v>14</v>
      </c>
      <c r="E5974" s="136">
        <f t="shared" si="278"/>
        <v>4</v>
      </c>
      <c r="F5974" s="128" t="s">
        <v>24</v>
      </c>
      <c r="G5974" s="128" t="str">
        <f>VLOOKUP(source[[#This Row],[lending_product_transform]],[3]Mapping!$B$4:$C$37,2,0)</f>
        <v>[Cake] - Cashloan</v>
      </c>
      <c r="H5974" s="128" t="str">
        <f>VLOOKUP(source[[#This Row],[lending_product_transform]],[3]Mapping!$B$3:$D$37,3,0)</f>
        <v>cashloan</v>
      </c>
      <c r="I5974" s="135">
        <v>899360000</v>
      </c>
    </row>
    <row r="5975" spans="1:9" x14ac:dyDescent="0.2">
      <c r="A5975" s="134">
        <v>45751</v>
      </c>
      <c r="B5975" s="135">
        <f>YEAR(source[[#This Row],[report_date]])</f>
        <v>2025</v>
      </c>
      <c r="C5975" s="128">
        <f t="shared" si="277"/>
        <v>4</v>
      </c>
      <c r="D5975" s="136">
        <f t="shared" si="279"/>
        <v>14</v>
      </c>
      <c r="E5975" s="136">
        <f t="shared" si="278"/>
        <v>4</v>
      </c>
      <c r="F5975" s="128" t="s">
        <v>24</v>
      </c>
      <c r="G5975" s="128" t="str">
        <f>VLOOKUP(source[[#This Row],[lending_product_transform]],[3]Mapping!$B$4:$C$37,2,0)</f>
        <v>[Cake] - Cashloan</v>
      </c>
      <c r="H5975" s="128" t="str">
        <f>VLOOKUP(source[[#This Row],[lending_product_transform]],[3]Mapping!$B$3:$D$37,3,0)</f>
        <v>cashloan</v>
      </c>
      <c r="I5975" s="135">
        <v>1421769963</v>
      </c>
    </row>
    <row r="5976" spans="1:9" x14ac:dyDescent="0.2">
      <c r="A5976" s="134">
        <v>45751</v>
      </c>
      <c r="B5976" s="135">
        <f>YEAR(source[[#This Row],[report_date]])</f>
        <v>2025</v>
      </c>
      <c r="C5976" s="128">
        <f t="shared" si="277"/>
        <v>4</v>
      </c>
      <c r="D5976" s="136">
        <f t="shared" si="279"/>
        <v>14</v>
      </c>
      <c r="E5976" s="136">
        <f t="shared" si="278"/>
        <v>4</v>
      </c>
      <c r="F5976" s="128" t="s">
        <v>24</v>
      </c>
      <c r="G5976" s="128" t="str">
        <f>VLOOKUP(source[[#This Row],[lending_product_transform]],[3]Mapping!$B$4:$C$37,2,0)</f>
        <v>[Cake] - Cashloan</v>
      </c>
      <c r="H5976" s="128" t="str">
        <f>VLOOKUP(source[[#This Row],[lending_product_transform]],[3]Mapping!$B$3:$D$37,3,0)</f>
        <v>cashloan</v>
      </c>
      <c r="I5976" s="135">
        <v>293686225</v>
      </c>
    </row>
    <row r="5977" spans="1:9" x14ac:dyDescent="0.2">
      <c r="A5977" s="134">
        <v>45751</v>
      </c>
      <c r="B5977" s="135">
        <f>YEAR(source[[#This Row],[report_date]])</f>
        <v>2025</v>
      </c>
      <c r="C5977" s="128">
        <f t="shared" si="277"/>
        <v>4</v>
      </c>
      <c r="D5977" s="136">
        <f t="shared" si="279"/>
        <v>14</v>
      </c>
      <c r="E5977" s="136">
        <f t="shared" si="278"/>
        <v>4</v>
      </c>
      <c r="F5977" s="128" t="s">
        <v>24</v>
      </c>
      <c r="G5977" s="128" t="str">
        <f>VLOOKUP(source[[#This Row],[lending_product_transform]],[3]Mapping!$B$4:$C$37,2,0)</f>
        <v>[Cake] - Cashloan</v>
      </c>
      <c r="H5977" s="128" t="str">
        <f>VLOOKUP(source[[#This Row],[lending_product_transform]],[3]Mapping!$B$3:$D$37,3,0)</f>
        <v>cashloan</v>
      </c>
      <c r="I5977" s="135">
        <v>4670839718</v>
      </c>
    </row>
    <row r="5978" spans="1:9" x14ac:dyDescent="0.2">
      <c r="A5978" s="134">
        <v>45752</v>
      </c>
      <c r="B5978" s="135">
        <f>YEAR(source[[#This Row],[report_date]])</f>
        <v>2025</v>
      </c>
      <c r="C5978" s="128">
        <f t="shared" si="277"/>
        <v>4</v>
      </c>
      <c r="D5978" s="136">
        <f t="shared" si="279"/>
        <v>14</v>
      </c>
      <c r="E5978" s="136">
        <f t="shared" si="278"/>
        <v>5</v>
      </c>
      <c r="F5978" s="128" t="s">
        <v>24</v>
      </c>
      <c r="G5978" s="128" t="str">
        <f>VLOOKUP(source[[#This Row],[lending_product_transform]],[3]Mapping!$B$4:$C$37,2,0)</f>
        <v>[Cake] - Cashloan</v>
      </c>
      <c r="H5978" s="128" t="str">
        <f>VLOOKUP(source[[#This Row],[lending_product_transform]],[3]Mapping!$B$3:$D$37,3,0)</f>
        <v>cashloan</v>
      </c>
      <c r="I5978" s="135">
        <v>776920000</v>
      </c>
    </row>
    <row r="5979" spans="1:9" x14ac:dyDescent="0.2">
      <c r="A5979" s="134">
        <v>45752</v>
      </c>
      <c r="B5979" s="135">
        <f>YEAR(source[[#This Row],[report_date]])</f>
        <v>2025</v>
      </c>
      <c r="C5979" s="128">
        <f t="shared" si="277"/>
        <v>4</v>
      </c>
      <c r="D5979" s="136">
        <f t="shared" si="279"/>
        <v>14</v>
      </c>
      <c r="E5979" s="136">
        <f t="shared" si="278"/>
        <v>5</v>
      </c>
      <c r="F5979" s="128" t="s">
        <v>24</v>
      </c>
      <c r="G5979" s="128" t="str">
        <f>VLOOKUP(source[[#This Row],[lending_product_transform]],[3]Mapping!$B$4:$C$37,2,0)</f>
        <v>[Cake] - Cashloan</v>
      </c>
      <c r="H5979" s="128" t="str">
        <f>VLOOKUP(source[[#This Row],[lending_product_transform]],[3]Mapping!$B$3:$D$37,3,0)</f>
        <v>cashloan</v>
      </c>
      <c r="I5979" s="135">
        <v>703720661</v>
      </c>
    </row>
    <row r="5980" spans="1:9" x14ac:dyDescent="0.2">
      <c r="A5980" s="134">
        <v>45752</v>
      </c>
      <c r="B5980" s="135">
        <f>YEAR(source[[#This Row],[report_date]])</f>
        <v>2025</v>
      </c>
      <c r="C5980" s="128">
        <f t="shared" si="277"/>
        <v>4</v>
      </c>
      <c r="D5980" s="136">
        <f t="shared" si="279"/>
        <v>14</v>
      </c>
      <c r="E5980" s="136">
        <f t="shared" si="278"/>
        <v>5</v>
      </c>
      <c r="F5980" s="128" t="s">
        <v>24</v>
      </c>
      <c r="G5980" s="128" t="str">
        <f>VLOOKUP(source[[#This Row],[lending_product_transform]],[3]Mapping!$B$4:$C$37,2,0)</f>
        <v>[Cake] - Cashloan</v>
      </c>
      <c r="H5980" s="128" t="str">
        <f>VLOOKUP(source[[#This Row],[lending_product_transform]],[3]Mapping!$B$3:$D$37,3,0)</f>
        <v>cashloan</v>
      </c>
      <c r="I5980" s="135">
        <v>0</v>
      </c>
    </row>
    <row r="5981" spans="1:9" x14ac:dyDescent="0.2">
      <c r="A5981" s="134">
        <v>45752</v>
      </c>
      <c r="B5981" s="135">
        <f>YEAR(source[[#This Row],[report_date]])</f>
        <v>2025</v>
      </c>
      <c r="C5981" s="128">
        <f t="shared" si="277"/>
        <v>4</v>
      </c>
      <c r="D5981" s="136">
        <f t="shared" si="279"/>
        <v>14</v>
      </c>
      <c r="E5981" s="136">
        <f t="shared" si="278"/>
        <v>5</v>
      </c>
      <c r="F5981" s="128" t="s">
        <v>24</v>
      </c>
      <c r="G5981" s="128" t="str">
        <f>VLOOKUP(source[[#This Row],[lending_product_transform]],[3]Mapping!$B$4:$C$37,2,0)</f>
        <v>[Cake] - Cashloan</v>
      </c>
      <c r="H5981" s="128" t="str">
        <f>VLOOKUP(source[[#This Row],[lending_product_transform]],[3]Mapping!$B$3:$D$37,3,0)</f>
        <v>cashloan</v>
      </c>
      <c r="I5981" s="135">
        <v>68584444</v>
      </c>
    </row>
    <row r="5982" spans="1:9" x14ac:dyDescent="0.2">
      <c r="A5982" s="134">
        <v>45752</v>
      </c>
      <c r="B5982" s="135">
        <f>YEAR(source[[#This Row],[report_date]])</f>
        <v>2025</v>
      </c>
      <c r="C5982" s="128">
        <f t="shared" si="277"/>
        <v>4</v>
      </c>
      <c r="D5982" s="136">
        <f t="shared" si="279"/>
        <v>14</v>
      </c>
      <c r="E5982" s="136">
        <f t="shared" si="278"/>
        <v>5</v>
      </c>
      <c r="F5982" s="128" t="s">
        <v>24</v>
      </c>
      <c r="G5982" s="128" t="str">
        <f>VLOOKUP(source[[#This Row],[lending_product_transform]],[3]Mapping!$B$4:$C$37,2,0)</f>
        <v>[Cake] - Cashloan</v>
      </c>
      <c r="H5982" s="128" t="str">
        <f>VLOOKUP(source[[#This Row],[lending_product_transform]],[3]Mapping!$B$3:$D$37,3,0)</f>
        <v>cashloan</v>
      </c>
      <c r="I5982" s="135">
        <v>3406810291</v>
      </c>
    </row>
    <row r="5983" spans="1:9" x14ac:dyDescent="0.2">
      <c r="A5983" s="134">
        <v>45752</v>
      </c>
      <c r="B5983" s="135">
        <f>YEAR(source[[#This Row],[report_date]])</f>
        <v>2025</v>
      </c>
      <c r="C5983" s="128">
        <f t="shared" si="277"/>
        <v>4</v>
      </c>
      <c r="D5983" s="136">
        <f t="shared" si="279"/>
        <v>14</v>
      </c>
      <c r="E5983" s="136">
        <f t="shared" si="278"/>
        <v>5</v>
      </c>
      <c r="F5983" s="128" t="s">
        <v>24</v>
      </c>
      <c r="G5983" s="128" t="str">
        <f>VLOOKUP(source[[#This Row],[lending_product_transform]],[3]Mapping!$B$4:$C$37,2,0)</f>
        <v>[Cake] - Cashloan</v>
      </c>
      <c r="H5983" s="128" t="str">
        <f>VLOOKUP(source[[#This Row],[lending_product_transform]],[3]Mapping!$B$3:$D$37,3,0)</f>
        <v>cashloan</v>
      </c>
      <c r="I5983" s="135">
        <v>82000000</v>
      </c>
    </row>
    <row r="5984" spans="1:9" x14ac:dyDescent="0.2">
      <c r="A5984" s="134">
        <v>45752</v>
      </c>
      <c r="B5984" s="135">
        <f>YEAR(source[[#This Row],[report_date]])</f>
        <v>2025</v>
      </c>
      <c r="C5984" s="128">
        <f t="shared" si="277"/>
        <v>4</v>
      </c>
      <c r="D5984" s="136">
        <f t="shared" si="279"/>
        <v>14</v>
      </c>
      <c r="E5984" s="136">
        <f t="shared" si="278"/>
        <v>5</v>
      </c>
      <c r="F5984" s="128" t="s">
        <v>24</v>
      </c>
      <c r="G5984" s="128" t="str">
        <f>VLOOKUP(source[[#This Row],[lending_product_transform]],[3]Mapping!$B$4:$C$37,2,0)</f>
        <v>[Cake] - Cashloan</v>
      </c>
      <c r="H5984" s="128" t="str">
        <f>VLOOKUP(source[[#This Row],[lending_product_transform]],[3]Mapping!$B$3:$D$37,3,0)</f>
        <v>cashloan</v>
      </c>
      <c r="I5984" s="135">
        <v>0</v>
      </c>
    </row>
    <row r="5985" spans="1:9" x14ac:dyDescent="0.2">
      <c r="A5985" s="134">
        <v>45752</v>
      </c>
      <c r="B5985" s="135">
        <f>YEAR(source[[#This Row],[report_date]])</f>
        <v>2025</v>
      </c>
      <c r="C5985" s="128">
        <f t="shared" si="277"/>
        <v>4</v>
      </c>
      <c r="D5985" s="136">
        <f t="shared" si="279"/>
        <v>14</v>
      </c>
      <c r="E5985" s="136">
        <f t="shared" si="278"/>
        <v>5</v>
      </c>
      <c r="F5985" s="128" t="s">
        <v>24</v>
      </c>
      <c r="G5985" s="128" t="str">
        <f>VLOOKUP(source[[#This Row],[lending_product_transform]],[3]Mapping!$B$4:$C$37,2,0)</f>
        <v>[Cake] - Cashloan</v>
      </c>
      <c r="H5985" s="128" t="str">
        <f>VLOOKUP(source[[#This Row],[lending_product_transform]],[3]Mapping!$B$3:$D$37,3,0)</f>
        <v>cashloan</v>
      </c>
      <c r="I5985" s="135">
        <v>0</v>
      </c>
    </row>
    <row r="5986" spans="1:9" x14ac:dyDescent="0.2">
      <c r="A5986" s="134">
        <v>45752</v>
      </c>
      <c r="B5986" s="135">
        <f>YEAR(source[[#This Row],[report_date]])</f>
        <v>2025</v>
      </c>
      <c r="C5986" s="128">
        <f t="shared" si="277"/>
        <v>4</v>
      </c>
      <c r="D5986" s="136">
        <f t="shared" si="279"/>
        <v>14</v>
      </c>
      <c r="E5986" s="136">
        <f t="shared" si="278"/>
        <v>5</v>
      </c>
      <c r="F5986" s="128" t="s">
        <v>24</v>
      </c>
      <c r="G5986" s="128" t="str">
        <f>VLOOKUP(source[[#This Row],[lending_product_transform]],[3]Mapping!$B$4:$C$37,2,0)</f>
        <v>[Cake] - Cashloan</v>
      </c>
      <c r="H5986" s="128" t="str">
        <f>VLOOKUP(source[[#This Row],[lending_product_transform]],[3]Mapping!$B$3:$D$37,3,0)</f>
        <v>cashloan</v>
      </c>
      <c r="I5986" s="135">
        <v>0</v>
      </c>
    </row>
    <row r="5987" spans="1:9" x14ac:dyDescent="0.2">
      <c r="A5987" s="134">
        <v>45752</v>
      </c>
      <c r="B5987" s="135">
        <f>YEAR(source[[#This Row],[report_date]])</f>
        <v>2025</v>
      </c>
      <c r="C5987" s="128">
        <f t="shared" si="277"/>
        <v>4</v>
      </c>
      <c r="D5987" s="136">
        <f t="shared" si="279"/>
        <v>14</v>
      </c>
      <c r="E5987" s="136">
        <f t="shared" si="278"/>
        <v>5</v>
      </c>
      <c r="F5987" s="128" t="s">
        <v>24</v>
      </c>
      <c r="G5987" s="128" t="str">
        <f>VLOOKUP(source[[#This Row],[lending_product_transform]],[3]Mapping!$B$4:$C$37,2,0)</f>
        <v>[Cake] - Cashloan</v>
      </c>
      <c r="H5987" s="128" t="str">
        <f>VLOOKUP(source[[#This Row],[lending_product_transform]],[3]Mapping!$B$3:$D$37,3,0)</f>
        <v>cashloan</v>
      </c>
      <c r="I5987" s="135">
        <v>0</v>
      </c>
    </row>
    <row r="5988" spans="1:9" x14ac:dyDescent="0.2">
      <c r="A5988" s="134">
        <v>45752</v>
      </c>
      <c r="B5988" s="135">
        <f>YEAR(source[[#This Row],[report_date]])</f>
        <v>2025</v>
      </c>
      <c r="C5988" s="128">
        <f t="shared" si="277"/>
        <v>4</v>
      </c>
      <c r="D5988" s="136">
        <f t="shared" si="279"/>
        <v>14</v>
      </c>
      <c r="E5988" s="136">
        <f t="shared" si="278"/>
        <v>5</v>
      </c>
      <c r="F5988" s="128" t="s">
        <v>24</v>
      </c>
      <c r="G5988" s="128" t="str">
        <f>VLOOKUP(source[[#This Row],[lending_product_transform]],[3]Mapping!$B$4:$C$37,2,0)</f>
        <v>[Cake] - Cashloan</v>
      </c>
      <c r="H5988" s="128" t="str">
        <f>VLOOKUP(source[[#This Row],[lending_product_transform]],[3]Mapping!$B$3:$D$37,3,0)</f>
        <v>cashloan</v>
      </c>
      <c r="I5988" s="135">
        <v>0</v>
      </c>
    </row>
    <row r="5989" spans="1:9" x14ac:dyDescent="0.2">
      <c r="A5989" s="134">
        <v>45752</v>
      </c>
      <c r="B5989" s="135">
        <f>YEAR(source[[#This Row],[report_date]])</f>
        <v>2025</v>
      </c>
      <c r="C5989" s="128">
        <f t="shared" si="277"/>
        <v>4</v>
      </c>
      <c r="D5989" s="136">
        <f t="shared" si="279"/>
        <v>14</v>
      </c>
      <c r="E5989" s="136">
        <f t="shared" si="278"/>
        <v>5</v>
      </c>
      <c r="F5989" s="128" t="s">
        <v>24</v>
      </c>
      <c r="G5989" s="128" t="str">
        <f>VLOOKUP(source[[#This Row],[lending_product_transform]],[3]Mapping!$B$4:$C$37,2,0)</f>
        <v>[Cake] - Cashloan</v>
      </c>
      <c r="H5989" s="128" t="str">
        <f>VLOOKUP(source[[#This Row],[lending_product_transform]],[3]Mapping!$B$3:$D$37,3,0)</f>
        <v>cashloan</v>
      </c>
      <c r="I5989" s="135">
        <v>326780000</v>
      </c>
    </row>
    <row r="5990" spans="1:9" x14ac:dyDescent="0.2">
      <c r="A5990" s="134">
        <v>45752</v>
      </c>
      <c r="B5990" s="135">
        <f>YEAR(source[[#This Row],[report_date]])</f>
        <v>2025</v>
      </c>
      <c r="C5990" s="128">
        <f t="shared" si="277"/>
        <v>4</v>
      </c>
      <c r="D5990" s="136">
        <f t="shared" si="279"/>
        <v>14</v>
      </c>
      <c r="E5990" s="136">
        <f t="shared" si="278"/>
        <v>5</v>
      </c>
      <c r="F5990" s="128" t="s">
        <v>24</v>
      </c>
      <c r="G5990" s="128" t="str">
        <f>VLOOKUP(source[[#This Row],[lending_product_transform]],[3]Mapping!$B$4:$C$37,2,0)</f>
        <v>[Cake] - Cashloan</v>
      </c>
      <c r="H5990" s="128" t="str">
        <f>VLOOKUP(source[[#This Row],[lending_product_transform]],[3]Mapping!$B$3:$D$37,3,0)</f>
        <v>cashloan</v>
      </c>
      <c r="I5990" s="135">
        <v>0</v>
      </c>
    </row>
    <row r="5991" spans="1:9" x14ac:dyDescent="0.2">
      <c r="A5991" s="134">
        <v>45752</v>
      </c>
      <c r="B5991" s="135">
        <f>YEAR(source[[#This Row],[report_date]])</f>
        <v>2025</v>
      </c>
      <c r="C5991" s="128">
        <f t="shared" si="277"/>
        <v>4</v>
      </c>
      <c r="D5991" s="136">
        <f t="shared" si="279"/>
        <v>14</v>
      </c>
      <c r="E5991" s="136">
        <f t="shared" si="278"/>
        <v>5</v>
      </c>
      <c r="F5991" s="128" t="s">
        <v>24</v>
      </c>
      <c r="G5991" s="128" t="str">
        <f>VLOOKUP(source[[#This Row],[lending_product_transform]],[3]Mapping!$B$4:$C$37,2,0)</f>
        <v>[Cake] - Cashloan</v>
      </c>
      <c r="H5991" s="128" t="str">
        <f>VLOOKUP(source[[#This Row],[lending_product_transform]],[3]Mapping!$B$3:$D$37,3,0)</f>
        <v>cashloan</v>
      </c>
      <c r="I5991" s="135">
        <v>6786650000</v>
      </c>
    </row>
    <row r="5992" spans="1:9" x14ac:dyDescent="0.2">
      <c r="A5992" s="134">
        <v>45752</v>
      </c>
      <c r="B5992" s="135">
        <f>YEAR(source[[#This Row],[report_date]])</f>
        <v>2025</v>
      </c>
      <c r="C5992" s="128">
        <f t="shared" si="277"/>
        <v>4</v>
      </c>
      <c r="D5992" s="136">
        <f t="shared" si="279"/>
        <v>14</v>
      </c>
      <c r="E5992" s="136">
        <f t="shared" si="278"/>
        <v>5</v>
      </c>
      <c r="F5992" s="128" t="s">
        <v>24</v>
      </c>
      <c r="G5992" s="128" t="str">
        <f>VLOOKUP(source[[#This Row],[lending_product_transform]],[3]Mapping!$B$4:$C$37,2,0)</f>
        <v>[Cake] - Cashloan</v>
      </c>
      <c r="H5992" s="128" t="str">
        <f>VLOOKUP(source[[#This Row],[lending_product_transform]],[3]Mapping!$B$3:$D$37,3,0)</f>
        <v>cashloan</v>
      </c>
      <c r="I5992" s="135">
        <v>21000000</v>
      </c>
    </row>
    <row r="5993" spans="1:9" x14ac:dyDescent="0.2">
      <c r="A5993" s="134">
        <v>45752</v>
      </c>
      <c r="B5993" s="135">
        <f>YEAR(source[[#This Row],[report_date]])</f>
        <v>2025</v>
      </c>
      <c r="C5993" s="128">
        <f t="shared" si="277"/>
        <v>4</v>
      </c>
      <c r="D5993" s="136">
        <f t="shared" si="279"/>
        <v>14</v>
      </c>
      <c r="E5993" s="136">
        <f t="shared" si="278"/>
        <v>5</v>
      </c>
      <c r="F5993" s="128" t="s">
        <v>24</v>
      </c>
      <c r="G5993" s="128" t="str">
        <f>VLOOKUP(source[[#This Row],[lending_product_transform]],[3]Mapping!$B$4:$C$37,2,0)</f>
        <v>[Cake] - Cashloan</v>
      </c>
      <c r="H5993" s="128" t="str">
        <f>VLOOKUP(source[[#This Row],[lending_product_transform]],[3]Mapping!$B$3:$D$37,3,0)</f>
        <v>cashloan</v>
      </c>
      <c r="I5993" s="135">
        <v>890259198</v>
      </c>
    </row>
    <row r="5994" spans="1:9" x14ac:dyDescent="0.2">
      <c r="A5994" s="134">
        <v>45752</v>
      </c>
      <c r="B5994" s="135">
        <f>YEAR(source[[#This Row],[report_date]])</f>
        <v>2025</v>
      </c>
      <c r="C5994" s="128">
        <f t="shared" si="277"/>
        <v>4</v>
      </c>
      <c r="D5994" s="136">
        <f t="shared" si="279"/>
        <v>14</v>
      </c>
      <c r="E5994" s="136">
        <f t="shared" si="278"/>
        <v>5</v>
      </c>
      <c r="F5994" s="128" t="s">
        <v>24</v>
      </c>
      <c r="G5994" s="128" t="str">
        <f>VLOOKUP(source[[#This Row],[lending_product_transform]],[3]Mapping!$B$4:$C$37,2,0)</f>
        <v>[Cake] - Cashloan</v>
      </c>
      <c r="H5994" s="128" t="str">
        <f>VLOOKUP(source[[#This Row],[lending_product_transform]],[3]Mapping!$B$3:$D$37,3,0)</f>
        <v>cashloan</v>
      </c>
      <c r="I5994" s="135">
        <v>280460172</v>
      </c>
    </row>
    <row r="5995" spans="1:9" x14ac:dyDescent="0.2">
      <c r="A5995" s="134">
        <v>45752</v>
      </c>
      <c r="B5995" s="135">
        <f>YEAR(source[[#This Row],[report_date]])</f>
        <v>2025</v>
      </c>
      <c r="C5995" s="128">
        <f t="shared" si="277"/>
        <v>4</v>
      </c>
      <c r="D5995" s="136">
        <f t="shared" si="279"/>
        <v>14</v>
      </c>
      <c r="E5995" s="136">
        <f t="shared" si="278"/>
        <v>5</v>
      </c>
      <c r="F5995" s="128" t="s">
        <v>24</v>
      </c>
      <c r="G5995" s="128" t="str">
        <f>VLOOKUP(source[[#This Row],[lending_product_transform]],[3]Mapping!$B$4:$C$37,2,0)</f>
        <v>[Cake] - Cashloan</v>
      </c>
      <c r="H5995" s="128" t="str">
        <f>VLOOKUP(source[[#This Row],[lending_product_transform]],[3]Mapping!$B$3:$D$37,3,0)</f>
        <v>cashloan</v>
      </c>
      <c r="I5995" s="135">
        <v>5897304000</v>
      </c>
    </row>
    <row r="5996" spans="1:9" x14ac:dyDescent="0.2">
      <c r="A5996" s="134">
        <v>45752</v>
      </c>
      <c r="B5996" s="135">
        <f>YEAR(source[[#This Row],[report_date]])</f>
        <v>2025</v>
      </c>
      <c r="C5996" s="128">
        <f t="shared" si="277"/>
        <v>4</v>
      </c>
      <c r="D5996" s="136">
        <f t="shared" si="279"/>
        <v>14</v>
      </c>
      <c r="E5996" s="136">
        <f t="shared" si="278"/>
        <v>5</v>
      </c>
      <c r="F5996" s="128" t="s">
        <v>24</v>
      </c>
      <c r="G5996" s="128" t="str">
        <f>VLOOKUP(source[[#This Row],[lending_product_transform]],[3]Mapping!$B$4:$C$37,2,0)</f>
        <v>[Cake] - Cashloan</v>
      </c>
      <c r="H5996" s="128" t="str">
        <f>VLOOKUP(source[[#This Row],[lending_product_transform]],[3]Mapping!$B$3:$D$37,3,0)</f>
        <v>cashloan</v>
      </c>
      <c r="I5996" s="135">
        <v>7221630000</v>
      </c>
    </row>
    <row r="5997" spans="1:9" x14ac:dyDescent="0.2">
      <c r="A5997" s="134">
        <v>45753</v>
      </c>
      <c r="B5997" s="135">
        <f>YEAR(source[[#This Row],[report_date]])</f>
        <v>2025</v>
      </c>
      <c r="C5997" s="128">
        <f t="shared" si="277"/>
        <v>4</v>
      </c>
      <c r="D5997" s="136">
        <f t="shared" si="279"/>
        <v>14</v>
      </c>
      <c r="E5997" s="136">
        <f t="shared" si="278"/>
        <v>6</v>
      </c>
      <c r="F5997" s="128" t="s">
        <v>24</v>
      </c>
      <c r="G5997" s="128" t="str">
        <f>VLOOKUP(source[[#This Row],[lending_product_transform]],[3]Mapping!$B$4:$C$37,2,0)</f>
        <v>[Cake] - Cashloan</v>
      </c>
      <c r="H5997" s="128" t="str">
        <f>VLOOKUP(source[[#This Row],[lending_product_transform]],[3]Mapping!$B$3:$D$37,3,0)</f>
        <v>cashloan</v>
      </c>
      <c r="I5997" s="135">
        <v>519558184</v>
      </c>
    </row>
    <row r="5998" spans="1:9" x14ac:dyDescent="0.2">
      <c r="A5998" s="134">
        <v>45753</v>
      </c>
      <c r="B5998" s="135">
        <f>YEAR(source[[#This Row],[report_date]])</f>
        <v>2025</v>
      </c>
      <c r="C5998" s="128">
        <f t="shared" si="277"/>
        <v>4</v>
      </c>
      <c r="D5998" s="136">
        <f t="shared" si="279"/>
        <v>14</v>
      </c>
      <c r="E5998" s="136">
        <f t="shared" si="278"/>
        <v>6</v>
      </c>
      <c r="F5998" s="128" t="s">
        <v>24</v>
      </c>
      <c r="G5998" s="128" t="str">
        <f>VLOOKUP(source[[#This Row],[lending_product_transform]],[3]Mapping!$B$4:$C$37,2,0)</f>
        <v>[Cake] - Cashloan</v>
      </c>
      <c r="H5998" s="128" t="str">
        <f>VLOOKUP(source[[#This Row],[lending_product_transform]],[3]Mapping!$B$3:$D$37,3,0)</f>
        <v>cashloan</v>
      </c>
      <c r="I5998" s="135">
        <v>4890440000</v>
      </c>
    </row>
    <row r="5999" spans="1:9" x14ac:dyDescent="0.2">
      <c r="A5999" s="134">
        <v>45753</v>
      </c>
      <c r="B5999" s="135">
        <f>YEAR(source[[#This Row],[report_date]])</f>
        <v>2025</v>
      </c>
      <c r="C5999" s="128">
        <f t="shared" si="277"/>
        <v>4</v>
      </c>
      <c r="D5999" s="136">
        <f t="shared" si="279"/>
        <v>14</v>
      </c>
      <c r="E5999" s="136">
        <f t="shared" si="278"/>
        <v>6</v>
      </c>
      <c r="F5999" s="128" t="s">
        <v>24</v>
      </c>
      <c r="G5999" s="128" t="str">
        <f>VLOOKUP(source[[#This Row],[lending_product_transform]],[3]Mapping!$B$4:$C$37,2,0)</f>
        <v>[Cake] - Cashloan</v>
      </c>
      <c r="H5999" s="128" t="str">
        <f>VLOOKUP(source[[#This Row],[lending_product_transform]],[3]Mapping!$B$3:$D$37,3,0)</f>
        <v>cashloan</v>
      </c>
      <c r="I5999" s="135">
        <v>493176146</v>
      </c>
    </row>
    <row r="6000" spans="1:9" x14ac:dyDescent="0.2">
      <c r="A6000" s="134">
        <v>45753</v>
      </c>
      <c r="B6000" s="135">
        <f>YEAR(source[[#This Row],[report_date]])</f>
        <v>2025</v>
      </c>
      <c r="C6000" s="128">
        <f t="shared" si="277"/>
        <v>4</v>
      </c>
      <c r="D6000" s="136">
        <f t="shared" si="279"/>
        <v>14</v>
      </c>
      <c r="E6000" s="136">
        <f t="shared" si="278"/>
        <v>6</v>
      </c>
      <c r="F6000" s="128" t="s">
        <v>24</v>
      </c>
      <c r="G6000" s="128" t="str">
        <f>VLOOKUP(source[[#This Row],[lending_product_transform]],[3]Mapping!$B$4:$C$37,2,0)</f>
        <v>[Cake] - Cashloan</v>
      </c>
      <c r="H6000" s="128" t="str">
        <f>VLOOKUP(source[[#This Row],[lending_product_transform]],[3]Mapping!$B$3:$D$37,3,0)</f>
        <v>cashloan</v>
      </c>
      <c r="I6000" s="135">
        <v>5422830000</v>
      </c>
    </row>
    <row r="6001" spans="1:9" x14ac:dyDescent="0.2">
      <c r="A6001" s="134">
        <v>45753</v>
      </c>
      <c r="B6001" s="135">
        <f>YEAR(source[[#This Row],[report_date]])</f>
        <v>2025</v>
      </c>
      <c r="C6001" s="128">
        <f t="shared" si="277"/>
        <v>4</v>
      </c>
      <c r="D6001" s="136">
        <f t="shared" si="279"/>
        <v>14</v>
      </c>
      <c r="E6001" s="136">
        <f t="shared" si="278"/>
        <v>6</v>
      </c>
      <c r="F6001" s="128" t="s">
        <v>24</v>
      </c>
      <c r="G6001" s="128" t="str">
        <f>VLOOKUP(source[[#This Row],[lending_product_transform]],[3]Mapping!$B$4:$C$37,2,0)</f>
        <v>[Cake] - Cashloan</v>
      </c>
      <c r="H6001" s="128" t="str">
        <f>VLOOKUP(source[[#This Row],[lending_product_transform]],[3]Mapping!$B$3:$D$37,3,0)</f>
        <v>cashloan</v>
      </c>
      <c r="I6001" s="135">
        <v>6782130000</v>
      </c>
    </row>
    <row r="6002" spans="1:9" x14ac:dyDescent="0.2">
      <c r="A6002" s="134">
        <v>45753</v>
      </c>
      <c r="B6002" s="135">
        <f>YEAR(source[[#This Row],[report_date]])</f>
        <v>2025</v>
      </c>
      <c r="C6002" s="128">
        <f t="shared" si="277"/>
        <v>4</v>
      </c>
      <c r="D6002" s="136">
        <f t="shared" si="279"/>
        <v>14</v>
      </c>
      <c r="E6002" s="136">
        <f t="shared" si="278"/>
        <v>6</v>
      </c>
      <c r="F6002" s="128" t="s">
        <v>24</v>
      </c>
      <c r="G6002" s="128" t="str">
        <f>VLOOKUP(source[[#This Row],[lending_product_transform]],[3]Mapping!$B$4:$C$37,2,0)</f>
        <v>[Cake] - Cashloan</v>
      </c>
      <c r="H6002" s="128" t="str">
        <f>VLOOKUP(source[[#This Row],[lending_product_transform]],[3]Mapping!$B$3:$D$37,3,0)</f>
        <v>cashloan</v>
      </c>
      <c r="I6002" s="135">
        <v>234308969</v>
      </c>
    </row>
    <row r="6003" spans="1:9" x14ac:dyDescent="0.2">
      <c r="A6003" s="134">
        <v>45753</v>
      </c>
      <c r="B6003" s="135">
        <f>YEAR(source[[#This Row],[report_date]])</f>
        <v>2025</v>
      </c>
      <c r="C6003" s="128">
        <f t="shared" si="277"/>
        <v>4</v>
      </c>
      <c r="D6003" s="136">
        <f t="shared" si="279"/>
        <v>14</v>
      </c>
      <c r="E6003" s="136">
        <f t="shared" si="278"/>
        <v>6</v>
      </c>
      <c r="F6003" s="128" t="s">
        <v>24</v>
      </c>
      <c r="G6003" s="128" t="str">
        <f>VLOOKUP(source[[#This Row],[lending_product_transform]],[3]Mapping!$B$4:$C$37,2,0)</f>
        <v>[Cake] - Cashloan</v>
      </c>
      <c r="H6003" s="128" t="str">
        <f>VLOOKUP(source[[#This Row],[lending_product_transform]],[3]Mapping!$B$3:$D$37,3,0)</f>
        <v>cashloan</v>
      </c>
      <c r="I6003" s="135">
        <v>2859338032</v>
      </c>
    </row>
    <row r="6004" spans="1:9" x14ac:dyDescent="0.2">
      <c r="A6004" s="134">
        <v>45753</v>
      </c>
      <c r="B6004" s="135">
        <f>YEAR(source[[#This Row],[report_date]])</f>
        <v>2025</v>
      </c>
      <c r="C6004" s="128">
        <f t="shared" si="277"/>
        <v>4</v>
      </c>
      <c r="D6004" s="136">
        <f t="shared" si="279"/>
        <v>14</v>
      </c>
      <c r="E6004" s="136">
        <f t="shared" si="278"/>
        <v>6</v>
      </c>
      <c r="F6004" s="128" t="s">
        <v>24</v>
      </c>
      <c r="G6004" s="128" t="str">
        <f>VLOOKUP(source[[#This Row],[lending_product_transform]],[3]Mapping!$B$4:$C$37,2,0)</f>
        <v>[Cake] - Cashloan</v>
      </c>
      <c r="H6004" s="128" t="str">
        <f>VLOOKUP(source[[#This Row],[lending_product_transform]],[3]Mapping!$B$3:$D$37,3,0)</f>
        <v>cashloan</v>
      </c>
      <c r="I6004" s="135">
        <v>0</v>
      </c>
    </row>
    <row r="6005" spans="1:9" x14ac:dyDescent="0.2">
      <c r="A6005" s="134">
        <v>45753</v>
      </c>
      <c r="B6005" s="135">
        <f>YEAR(source[[#This Row],[report_date]])</f>
        <v>2025</v>
      </c>
      <c r="C6005" s="128">
        <f t="shared" si="277"/>
        <v>4</v>
      </c>
      <c r="D6005" s="136">
        <f t="shared" si="279"/>
        <v>14</v>
      </c>
      <c r="E6005" s="136">
        <f t="shared" si="278"/>
        <v>6</v>
      </c>
      <c r="F6005" s="128" t="s">
        <v>24</v>
      </c>
      <c r="G6005" s="128" t="str">
        <f>VLOOKUP(source[[#This Row],[lending_product_transform]],[3]Mapping!$B$4:$C$37,2,0)</f>
        <v>[Cake] - Cashloan</v>
      </c>
      <c r="H6005" s="128" t="str">
        <f>VLOOKUP(source[[#This Row],[lending_product_transform]],[3]Mapping!$B$3:$D$37,3,0)</f>
        <v>cashloan</v>
      </c>
      <c r="I6005" s="135">
        <v>752910000</v>
      </c>
    </row>
    <row r="6006" spans="1:9" x14ac:dyDescent="0.2">
      <c r="A6006" s="134">
        <v>45753</v>
      </c>
      <c r="B6006" s="135">
        <f>YEAR(source[[#This Row],[report_date]])</f>
        <v>2025</v>
      </c>
      <c r="C6006" s="128">
        <f t="shared" ref="C6006:C6069" si="280">MONTH(A6006)</f>
        <v>4</v>
      </c>
      <c r="D6006" s="136">
        <f t="shared" si="279"/>
        <v>14</v>
      </c>
      <c r="E6006" s="136">
        <f t="shared" ref="E6006:E6069" si="281">DAY(A6006)</f>
        <v>6</v>
      </c>
      <c r="F6006" s="128" t="s">
        <v>24</v>
      </c>
      <c r="G6006" s="128" t="str">
        <f>VLOOKUP(source[[#This Row],[lending_product_transform]],[3]Mapping!$B$4:$C$37,2,0)</f>
        <v>[Cake] - Cashloan</v>
      </c>
      <c r="H6006" s="128" t="str">
        <f>VLOOKUP(source[[#This Row],[lending_product_transform]],[3]Mapping!$B$3:$D$37,3,0)</f>
        <v>cashloan</v>
      </c>
      <c r="I6006" s="135">
        <v>0</v>
      </c>
    </row>
    <row r="6007" spans="1:9" x14ac:dyDescent="0.2">
      <c r="A6007" s="134">
        <v>45753</v>
      </c>
      <c r="B6007" s="135">
        <f>YEAR(source[[#This Row],[report_date]])</f>
        <v>2025</v>
      </c>
      <c r="C6007" s="128">
        <f t="shared" si="280"/>
        <v>4</v>
      </c>
      <c r="D6007" s="136">
        <f t="shared" si="279"/>
        <v>14</v>
      </c>
      <c r="E6007" s="136">
        <f t="shared" si="281"/>
        <v>6</v>
      </c>
      <c r="F6007" s="128" t="s">
        <v>24</v>
      </c>
      <c r="G6007" s="128" t="str">
        <f>VLOOKUP(source[[#This Row],[lending_product_transform]],[3]Mapping!$B$4:$C$37,2,0)</f>
        <v>[Cake] - Cashloan</v>
      </c>
      <c r="H6007" s="128" t="str">
        <f>VLOOKUP(source[[#This Row],[lending_product_transform]],[3]Mapping!$B$3:$D$37,3,0)</f>
        <v>cashloan</v>
      </c>
      <c r="I6007" s="135">
        <v>54575128</v>
      </c>
    </row>
    <row r="6008" spans="1:9" x14ac:dyDescent="0.2">
      <c r="A6008" s="134">
        <v>45753</v>
      </c>
      <c r="B6008" s="135">
        <f>YEAR(source[[#This Row],[report_date]])</f>
        <v>2025</v>
      </c>
      <c r="C6008" s="128">
        <f t="shared" si="280"/>
        <v>4</v>
      </c>
      <c r="D6008" s="136">
        <f t="shared" si="279"/>
        <v>14</v>
      </c>
      <c r="E6008" s="136">
        <f t="shared" si="281"/>
        <v>6</v>
      </c>
      <c r="F6008" s="128" t="s">
        <v>24</v>
      </c>
      <c r="G6008" s="128" t="str">
        <f>VLOOKUP(source[[#This Row],[lending_product_transform]],[3]Mapping!$B$4:$C$37,2,0)</f>
        <v>[Cake] - Cashloan</v>
      </c>
      <c r="H6008" s="128" t="str">
        <f>VLOOKUP(source[[#This Row],[lending_product_transform]],[3]Mapping!$B$3:$D$37,3,0)</f>
        <v>cashloan</v>
      </c>
      <c r="I6008" s="135">
        <v>21000000</v>
      </c>
    </row>
    <row r="6009" spans="1:9" x14ac:dyDescent="0.2">
      <c r="A6009" s="134">
        <v>45753</v>
      </c>
      <c r="B6009" s="135">
        <f>YEAR(source[[#This Row],[report_date]])</f>
        <v>2025</v>
      </c>
      <c r="C6009" s="128">
        <f t="shared" si="280"/>
        <v>4</v>
      </c>
      <c r="D6009" s="136">
        <f t="shared" si="279"/>
        <v>14</v>
      </c>
      <c r="E6009" s="136">
        <f t="shared" si="281"/>
        <v>6</v>
      </c>
      <c r="F6009" s="128" t="s">
        <v>24</v>
      </c>
      <c r="G6009" s="128" t="str">
        <f>VLOOKUP(source[[#This Row],[lending_product_transform]],[3]Mapping!$B$4:$C$37,2,0)</f>
        <v>[Cake] - Cashloan</v>
      </c>
      <c r="H6009" s="128" t="str">
        <f>VLOOKUP(source[[#This Row],[lending_product_transform]],[3]Mapping!$B$3:$D$37,3,0)</f>
        <v>cashloan</v>
      </c>
      <c r="I6009" s="135">
        <v>0</v>
      </c>
    </row>
    <row r="6010" spans="1:9" x14ac:dyDescent="0.2">
      <c r="A6010" s="134">
        <v>45753</v>
      </c>
      <c r="B6010" s="135">
        <f>YEAR(source[[#This Row],[report_date]])</f>
        <v>2025</v>
      </c>
      <c r="C6010" s="128">
        <f t="shared" si="280"/>
        <v>4</v>
      </c>
      <c r="D6010" s="136">
        <f t="shared" si="279"/>
        <v>14</v>
      </c>
      <c r="E6010" s="136">
        <f t="shared" si="281"/>
        <v>6</v>
      </c>
      <c r="F6010" s="128" t="s">
        <v>24</v>
      </c>
      <c r="G6010" s="128" t="str">
        <f>VLOOKUP(source[[#This Row],[lending_product_transform]],[3]Mapping!$B$4:$C$37,2,0)</f>
        <v>[Cake] - Cashloan</v>
      </c>
      <c r="H6010" s="128" t="str">
        <f>VLOOKUP(source[[#This Row],[lending_product_transform]],[3]Mapping!$B$3:$D$37,3,0)</f>
        <v>cashloan</v>
      </c>
      <c r="I6010" s="135">
        <v>0</v>
      </c>
    </row>
    <row r="6011" spans="1:9" x14ac:dyDescent="0.2">
      <c r="A6011" s="134">
        <v>45753</v>
      </c>
      <c r="B6011" s="135">
        <f>YEAR(source[[#This Row],[report_date]])</f>
        <v>2025</v>
      </c>
      <c r="C6011" s="128">
        <f t="shared" si="280"/>
        <v>4</v>
      </c>
      <c r="D6011" s="136">
        <f t="shared" si="279"/>
        <v>14</v>
      </c>
      <c r="E6011" s="136">
        <f t="shared" si="281"/>
        <v>6</v>
      </c>
      <c r="F6011" s="128" t="s">
        <v>24</v>
      </c>
      <c r="G6011" s="128" t="str">
        <f>VLOOKUP(source[[#This Row],[lending_product_transform]],[3]Mapping!$B$4:$C$37,2,0)</f>
        <v>[Cake] - Cashloan</v>
      </c>
      <c r="H6011" s="128" t="str">
        <f>VLOOKUP(source[[#This Row],[lending_product_transform]],[3]Mapping!$B$3:$D$37,3,0)</f>
        <v>cashloan</v>
      </c>
      <c r="I6011" s="135">
        <v>68000000</v>
      </c>
    </row>
    <row r="6012" spans="1:9" x14ac:dyDescent="0.2">
      <c r="A6012" s="134">
        <v>45753</v>
      </c>
      <c r="B6012" s="135">
        <f>YEAR(source[[#This Row],[report_date]])</f>
        <v>2025</v>
      </c>
      <c r="C6012" s="128">
        <f t="shared" si="280"/>
        <v>4</v>
      </c>
      <c r="D6012" s="136">
        <f t="shared" si="279"/>
        <v>14</v>
      </c>
      <c r="E6012" s="136">
        <f t="shared" si="281"/>
        <v>6</v>
      </c>
      <c r="F6012" s="128" t="s">
        <v>24</v>
      </c>
      <c r="G6012" s="128" t="str">
        <f>VLOOKUP(source[[#This Row],[lending_product_transform]],[3]Mapping!$B$4:$C$37,2,0)</f>
        <v>[Cake] - Cashloan</v>
      </c>
      <c r="H6012" s="128" t="str">
        <f>VLOOKUP(source[[#This Row],[lending_product_transform]],[3]Mapping!$B$3:$D$37,3,0)</f>
        <v>cashloan</v>
      </c>
      <c r="I6012" s="135">
        <v>0</v>
      </c>
    </row>
    <row r="6013" spans="1:9" x14ac:dyDescent="0.2">
      <c r="A6013" s="134">
        <v>45753</v>
      </c>
      <c r="B6013" s="135">
        <f>YEAR(source[[#This Row],[report_date]])</f>
        <v>2025</v>
      </c>
      <c r="C6013" s="128">
        <f t="shared" si="280"/>
        <v>4</v>
      </c>
      <c r="D6013" s="136">
        <f t="shared" si="279"/>
        <v>14</v>
      </c>
      <c r="E6013" s="136">
        <f t="shared" si="281"/>
        <v>6</v>
      </c>
      <c r="F6013" s="128" t="s">
        <v>24</v>
      </c>
      <c r="G6013" s="128" t="str">
        <f>VLOOKUP(source[[#This Row],[lending_product_transform]],[3]Mapping!$B$4:$C$37,2,0)</f>
        <v>[Cake] - Cashloan</v>
      </c>
      <c r="H6013" s="128" t="str">
        <f>VLOOKUP(source[[#This Row],[lending_product_transform]],[3]Mapping!$B$3:$D$37,3,0)</f>
        <v>cashloan</v>
      </c>
      <c r="I6013" s="135">
        <v>382110000</v>
      </c>
    </row>
    <row r="6014" spans="1:9" x14ac:dyDescent="0.2">
      <c r="A6014" s="134">
        <v>45753</v>
      </c>
      <c r="B6014" s="135">
        <f>YEAR(source[[#This Row],[report_date]])</f>
        <v>2025</v>
      </c>
      <c r="C6014" s="128">
        <f t="shared" si="280"/>
        <v>4</v>
      </c>
      <c r="D6014" s="136">
        <f t="shared" si="279"/>
        <v>14</v>
      </c>
      <c r="E6014" s="136">
        <f t="shared" si="281"/>
        <v>6</v>
      </c>
      <c r="F6014" s="128" t="s">
        <v>24</v>
      </c>
      <c r="G6014" s="128" t="str">
        <f>VLOOKUP(source[[#This Row],[lending_product_transform]],[3]Mapping!$B$4:$C$37,2,0)</f>
        <v>[Cake] - Cashloan</v>
      </c>
      <c r="H6014" s="128" t="str">
        <f>VLOOKUP(source[[#This Row],[lending_product_transform]],[3]Mapping!$B$3:$D$37,3,0)</f>
        <v>cashloan</v>
      </c>
      <c r="I6014" s="135">
        <v>0</v>
      </c>
    </row>
    <row r="6015" spans="1:9" x14ac:dyDescent="0.2">
      <c r="A6015" s="134">
        <v>45753</v>
      </c>
      <c r="B6015" s="135">
        <f>YEAR(source[[#This Row],[report_date]])</f>
        <v>2025</v>
      </c>
      <c r="C6015" s="128">
        <f t="shared" si="280"/>
        <v>4</v>
      </c>
      <c r="D6015" s="136">
        <f t="shared" si="279"/>
        <v>14</v>
      </c>
      <c r="E6015" s="136">
        <f t="shared" si="281"/>
        <v>6</v>
      </c>
      <c r="F6015" s="128" t="s">
        <v>24</v>
      </c>
      <c r="G6015" s="128" t="str">
        <f>VLOOKUP(source[[#This Row],[lending_product_transform]],[3]Mapping!$B$4:$C$37,2,0)</f>
        <v>[Cake] - Cashloan</v>
      </c>
      <c r="H6015" s="128" t="str">
        <f>VLOOKUP(source[[#This Row],[lending_product_transform]],[3]Mapping!$B$3:$D$37,3,0)</f>
        <v>cashloan</v>
      </c>
      <c r="I6015" s="135">
        <v>0</v>
      </c>
    </row>
    <row r="6016" spans="1:9" x14ac:dyDescent="0.2">
      <c r="A6016" s="134">
        <v>45754</v>
      </c>
      <c r="B6016" s="135">
        <f>YEAR(source[[#This Row],[report_date]])</f>
        <v>2025</v>
      </c>
      <c r="C6016" s="128">
        <f t="shared" si="280"/>
        <v>4</v>
      </c>
      <c r="D6016" s="136">
        <f t="shared" si="279"/>
        <v>15</v>
      </c>
      <c r="E6016" s="136">
        <f t="shared" si="281"/>
        <v>7</v>
      </c>
      <c r="F6016" s="128" t="s">
        <v>24</v>
      </c>
      <c r="G6016" s="128" t="str">
        <f>VLOOKUP(source[[#This Row],[lending_product_transform]],[3]Mapping!$B$4:$C$37,2,0)</f>
        <v>[Cake] - Cashloan</v>
      </c>
      <c r="H6016" s="128" t="str">
        <f>VLOOKUP(source[[#This Row],[lending_product_transform]],[3]Mapping!$B$3:$D$37,3,0)</f>
        <v>cashloan</v>
      </c>
      <c r="I6016" s="135">
        <v>5951680000</v>
      </c>
    </row>
    <row r="6017" spans="1:9" x14ac:dyDescent="0.2">
      <c r="A6017" s="134">
        <v>45754</v>
      </c>
      <c r="B6017" s="135">
        <f>YEAR(source[[#This Row],[report_date]])</f>
        <v>2025</v>
      </c>
      <c r="C6017" s="128">
        <f t="shared" si="280"/>
        <v>4</v>
      </c>
      <c r="D6017" s="136">
        <f t="shared" si="279"/>
        <v>15</v>
      </c>
      <c r="E6017" s="136">
        <f t="shared" si="281"/>
        <v>7</v>
      </c>
      <c r="F6017" s="128" t="s">
        <v>24</v>
      </c>
      <c r="G6017" s="128" t="str">
        <f>VLOOKUP(source[[#This Row],[lending_product_transform]],[3]Mapping!$B$4:$C$37,2,0)</f>
        <v>[Cake] - Cashloan</v>
      </c>
      <c r="H6017" s="128" t="str">
        <f>VLOOKUP(source[[#This Row],[lending_product_transform]],[3]Mapping!$B$3:$D$37,3,0)</f>
        <v>cashloan</v>
      </c>
      <c r="I6017" s="135">
        <v>4718520000</v>
      </c>
    </row>
    <row r="6018" spans="1:9" x14ac:dyDescent="0.2">
      <c r="A6018" s="134">
        <v>45754</v>
      </c>
      <c r="B6018" s="135">
        <f>YEAR(source[[#This Row],[report_date]])</f>
        <v>2025</v>
      </c>
      <c r="C6018" s="128">
        <f t="shared" si="280"/>
        <v>4</v>
      </c>
      <c r="D6018" s="136">
        <f t="shared" si="279"/>
        <v>15</v>
      </c>
      <c r="E6018" s="136">
        <f t="shared" si="281"/>
        <v>7</v>
      </c>
      <c r="F6018" s="128" t="s">
        <v>24</v>
      </c>
      <c r="G6018" s="128" t="str">
        <f>VLOOKUP(source[[#This Row],[lending_product_transform]],[3]Mapping!$B$4:$C$37,2,0)</f>
        <v>[Cake] - Cashloan</v>
      </c>
      <c r="H6018" s="128" t="str">
        <f>VLOOKUP(source[[#This Row],[lending_product_transform]],[3]Mapping!$B$3:$D$37,3,0)</f>
        <v>cashloan</v>
      </c>
      <c r="I6018" s="135">
        <v>7142670000</v>
      </c>
    </row>
    <row r="6019" spans="1:9" x14ac:dyDescent="0.2">
      <c r="A6019" s="134">
        <v>45754</v>
      </c>
      <c r="B6019" s="135">
        <f>YEAR(source[[#This Row],[report_date]])</f>
        <v>2025</v>
      </c>
      <c r="C6019" s="128">
        <f t="shared" si="280"/>
        <v>4</v>
      </c>
      <c r="D6019" s="136">
        <f t="shared" ref="D6019:D6082" si="282">WEEKNUM(A6019,2)</f>
        <v>15</v>
      </c>
      <c r="E6019" s="136">
        <f t="shared" si="281"/>
        <v>7</v>
      </c>
      <c r="F6019" s="128" t="s">
        <v>24</v>
      </c>
      <c r="G6019" s="128" t="str">
        <f>VLOOKUP(source[[#This Row],[lending_product_transform]],[3]Mapping!$B$4:$C$37,2,0)</f>
        <v>[Cake] - Cashloan</v>
      </c>
      <c r="H6019" s="128" t="str">
        <f>VLOOKUP(source[[#This Row],[lending_product_transform]],[3]Mapping!$B$3:$D$37,3,0)</f>
        <v>cashloan</v>
      </c>
      <c r="I6019" s="135">
        <v>28472671</v>
      </c>
    </row>
    <row r="6020" spans="1:9" x14ac:dyDescent="0.2">
      <c r="A6020" s="134">
        <v>45754</v>
      </c>
      <c r="B6020" s="135">
        <f>YEAR(source[[#This Row],[report_date]])</f>
        <v>2025</v>
      </c>
      <c r="C6020" s="128">
        <f t="shared" si="280"/>
        <v>4</v>
      </c>
      <c r="D6020" s="136">
        <f t="shared" si="282"/>
        <v>15</v>
      </c>
      <c r="E6020" s="136">
        <f t="shared" si="281"/>
        <v>7</v>
      </c>
      <c r="F6020" s="128" t="s">
        <v>24</v>
      </c>
      <c r="G6020" s="128" t="str">
        <f>VLOOKUP(source[[#This Row],[lending_product_transform]],[3]Mapping!$B$4:$C$37,2,0)</f>
        <v>[Cake] - Cashloan</v>
      </c>
      <c r="H6020" s="128" t="str">
        <f>VLOOKUP(source[[#This Row],[lending_product_transform]],[3]Mapping!$B$3:$D$37,3,0)</f>
        <v>cashloan</v>
      </c>
      <c r="I6020" s="135">
        <v>0</v>
      </c>
    </row>
    <row r="6021" spans="1:9" x14ac:dyDescent="0.2">
      <c r="A6021" s="134">
        <v>45754</v>
      </c>
      <c r="B6021" s="135">
        <f>YEAR(source[[#This Row],[report_date]])</f>
        <v>2025</v>
      </c>
      <c r="C6021" s="128">
        <f t="shared" si="280"/>
        <v>4</v>
      </c>
      <c r="D6021" s="136">
        <f t="shared" si="282"/>
        <v>15</v>
      </c>
      <c r="E6021" s="136">
        <f t="shared" si="281"/>
        <v>7</v>
      </c>
      <c r="F6021" s="128" t="s">
        <v>24</v>
      </c>
      <c r="G6021" s="128" t="str">
        <f>VLOOKUP(source[[#This Row],[lending_product_transform]],[3]Mapping!$B$4:$C$37,2,0)</f>
        <v>[Cake] - Cashloan</v>
      </c>
      <c r="H6021" s="128" t="str">
        <f>VLOOKUP(source[[#This Row],[lending_product_transform]],[3]Mapping!$B$3:$D$37,3,0)</f>
        <v>cashloan</v>
      </c>
      <c r="I6021" s="135">
        <v>35750000</v>
      </c>
    </row>
    <row r="6022" spans="1:9" x14ac:dyDescent="0.2">
      <c r="A6022" s="134">
        <v>45754</v>
      </c>
      <c r="B6022" s="135">
        <f>YEAR(source[[#This Row],[report_date]])</f>
        <v>2025</v>
      </c>
      <c r="C6022" s="128">
        <f t="shared" si="280"/>
        <v>4</v>
      </c>
      <c r="D6022" s="136">
        <f t="shared" si="282"/>
        <v>15</v>
      </c>
      <c r="E6022" s="136">
        <f t="shared" si="281"/>
        <v>7</v>
      </c>
      <c r="F6022" s="128" t="s">
        <v>24</v>
      </c>
      <c r="G6022" s="128" t="str">
        <f>VLOOKUP(source[[#This Row],[lending_product_transform]],[3]Mapping!$B$4:$C$37,2,0)</f>
        <v>[Cake] - Cashloan</v>
      </c>
      <c r="H6022" s="128" t="str">
        <f>VLOOKUP(source[[#This Row],[lending_product_transform]],[3]Mapping!$B$3:$D$37,3,0)</f>
        <v>cashloan</v>
      </c>
      <c r="I6022" s="135">
        <v>3607444343</v>
      </c>
    </row>
    <row r="6023" spans="1:9" x14ac:dyDescent="0.2">
      <c r="A6023" s="134">
        <v>45754</v>
      </c>
      <c r="B6023" s="135">
        <f>YEAR(source[[#This Row],[report_date]])</f>
        <v>2025</v>
      </c>
      <c r="C6023" s="128">
        <f t="shared" si="280"/>
        <v>4</v>
      </c>
      <c r="D6023" s="136">
        <f t="shared" si="282"/>
        <v>15</v>
      </c>
      <c r="E6023" s="136">
        <f t="shared" si="281"/>
        <v>7</v>
      </c>
      <c r="F6023" s="128" t="s">
        <v>24</v>
      </c>
      <c r="G6023" s="128" t="str">
        <f>VLOOKUP(source[[#This Row],[lending_product_transform]],[3]Mapping!$B$4:$C$37,2,0)</f>
        <v>[Cake] - Cashloan</v>
      </c>
      <c r="H6023" s="128" t="str">
        <f>VLOOKUP(source[[#This Row],[lending_product_transform]],[3]Mapping!$B$3:$D$37,3,0)</f>
        <v>cashloan</v>
      </c>
      <c r="I6023" s="135">
        <v>0</v>
      </c>
    </row>
    <row r="6024" spans="1:9" x14ac:dyDescent="0.2">
      <c r="A6024" s="134">
        <v>45754</v>
      </c>
      <c r="B6024" s="135">
        <f>YEAR(source[[#This Row],[report_date]])</f>
        <v>2025</v>
      </c>
      <c r="C6024" s="128">
        <f t="shared" si="280"/>
        <v>4</v>
      </c>
      <c r="D6024" s="136">
        <f t="shared" si="282"/>
        <v>15</v>
      </c>
      <c r="E6024" s="136">
        <f t="shared" si="281"/>
        <v>7</v>
      </c>
      <c r="F6024" s="128" t="s">
        <v>24</v>
      </c>
      <c r="G6024" s="128" t="str">
        <f>VLOOKUP(source[[#This Row],[lending_product_transform]],[3]Mapping!$B$4:$C$37,2,0)</f>
        <v>[Cake] - Cashloan</v>
      </c>
      <c r="H6024" s="128" t="str">
        <f>VLOOKUP(source[[#This Row],[lending_product_transform]],[3]Mapping!$B$3:$D$37,3,0)</f>
        <v>cashloan</v>
      </c>
      <c r="I6024" s="135">
        <v>21400000</v>
      </c>
    </row>
    <row r="6025" spans="1:9" x14ac:dyDescent="0.2">
      <c r="A6025" s="134">
        <v>45754</v>
      </c>
      <c r="B6025" s="135">
        <f>YEAR(source[[#This Row],[report_date]])</f>
        <v>2025</v>
      </c>
      <c r="C6025" s="128">
        <f t="shared" si="280"/>
        <v>4</v>
      </c>
      <c r="D6025" s="136">
        <f t="shared" si="282"/>
        <v>15</v>
      </c>
      <c r="E6025" s="136">
        <f t="shared" si="281"/>
        <v>7</v>
      </c>
      <c r="F6025" s="128" t="s">
        <v>24</v>
      </c>
      <c r="G6025" s="128" t="str">
        <f>VLOOKUP(source[[#This Row],[lending_product_transform]],[3]Mapping!$B$4:$C$37,2,0)</f>
        <v>[Cake] - Cashloan</v>
      </c>
      <c r="H6025" s="128" t="str">
        <f>VLOOKUP(source[[#This Row],[lending_product_transform]],[3]Mapping!$B$3:$D$37,3,0)</f>
        <v>cashloan</v>
      </c>
      <c r="I6025" s="135">
        <v>0</v>
      </c>
    </row>
    <row r="6026" spans="1:9" x14ac:dyDescent="0.2">
      <c r="A6026" s="134">
        <v>45754</v>
      </c>
      <c r="B6026" s="135">
        <f>YEAR(source[[#This Row],[report_date]])</f>
        <v>2025</v>
      </c>
      <c r="C6026" s="128">
        <f t="shared" si="280"/>
        <v>4</v>
      </c>
      <c r="D6026" s="136">
        <f t="shared" si="282"/>
        <v>15</v>
      </c>
      <c r="E6026" s="136">
        <f t="shared" si="281"/>
        <v>7</v>
      </c>
      <c r="F6026" s="128" t="s">
        <v>24</v>
      </c>
      <c r="G6026" s="128" t="str">
        <f>VLOOKUP(source[[#This Row],[lending_product_transform]],[3]Mapping!$B$4:$C$37,2,0)</f>
        <v>[Cake] - Cashloan</v>
      </c>
      <c r="H6026" s="128" t="str">
        <f>VLOOKUP(source[[#This Row],[lending_product_transform]],[3]Mapping!$B$3:$D$37,3,0)</f>
        <v>cashloan</v>
      </c>
      <c r="I6026" s="135">
        <v>30000000</v>
      </c>
    </row>
    <row r="6027" spans="1:9" x14ac:dyDescent="0.2">
      <c r="A6027" s="134">
        <v>45754</v>
      </c>
      <c r="B6027" s="135">
        <f>YEAR(source[[#This Row],[report_date]])</f>
        <v>2025</v>
      </c>
      <c r="C6027" s="128">
        <f t="shared" si="280"/>
        <v>4</v>
      </c>
      <c r="D6027" s="136">
        <f t="shared" si="282"/>
        <v>15</v>
      </c>
      <c r="E6027" s="136">
        <f t="shared" si="281"/>
        <v>7</v>
      </c>
      <c r="F6027" s="128" t="s">
        <v>24</v>
      </c>
      <c r="G6027" s="128" t="str">
        <f>VLOOKUP(source[[#This Row],[lending_product_transform]],[3]Mapping!$B$4:$C$37,2,0)</f>
        <v>[Cake] - Cashloan</v>
      </c>
      <c r="H6027" s="128" t="str">
        <f>VLOOKUP(source[[#This Row],[lending_product_transform]],[3]Mapping!$B$3:$D$37,3,0)</f>
        <v>cashloan</v>
      </c>
      <c r="I6027" s="135">
        <v>0</v>
      </c>
    </row>
    <row r="6028" spans="1:9" x14ac:dyDescent="0.2">
      <c r="A6028" s="134">
        <v>45754</v>
      </c>
      <c r="B6028" s="135">
        <f>YEAR(source[[#This Row],[report_date]])</f>
        <v>2025</v>
      </c>
      <c r="C6028" s="128">
        <f t="shared" si="280"/>
        <v>4</v>
      </c>
      <c r="D6028" s="136">
        <f t="shared" si="282"/>
        <v>15</v>
      </c>
      <c r="E6028" s="136">
        <f t="shared" si="281"/>
        <v>7</v>
      </c>
      <c r="F6028" s="128" t="s">
        <v>24</v>
      </c>
      <c r="G6028" s="128" t="str">
        <f>VLOOKUP(source[[#This Row],[lending_product_transform]],[3]Mapping!$B$4:$C$37,2,0)</f>
        <v>[Cake] - Cashloan</v>
      </c>
      <c r="H6028" s="128" t="str">
        <f>VLOOKUP(source[[#This Row],[lending_product_transform]],[3]Mapping!$B$3:$D$37,3,0)</f>
        <v>cashloan</v>
      </c>
      <c r="I6028" s="135">
        <v>0</v>
      </c>
    </row>
    <row r="6029" spans="1:9" x14ac:dyDescent="0.2">
      <c r="A6029" s="134">
        <v>45754</v>
      </c>
      <c r="B6029" s="135">
        <f>YEAR(source[[#This Row],[report_date]])</f>
        <v>2025</v>
      </c>
      <c r="C6029" s="128">
        <f t="shared" si="280"/>
        <v>4</v>
      </c>
      <c r="D6029" s="136">
        <f t="shared" si="282"/>
        <v>15</v>
      </c>
      <c r="E6029" s="136">
        <f t="shared" si="281"/>
        <v>7</v>
      </c>
      <c r="F6029" s="128" t="s">
        <v>24</v>
      </c>
      <c r="G6029" s="128" t="str">
        <f>VLOOKUP(source[[#This Row],[lending_product_transform]],[3]Mapping!$B$4:$C$37,2,0)</f>
        <v>[Cake] - Cashloan</v>
      </c>
      <c r="H6029" s="128" t="str">
        <f>VLOOKUP(source[[#This Row],[lending_product_transform]],[3]Mapping!$B$3:$D$37,3,0)</f>
        <v>cashloan</v>
      </c>
      <c r="I6029" s="135">
        <v>309520000</v>
      </c>
    </row>
    <row r="6030" spans="1:9" x14ac:dyDescent="0.2">
      <c r="A6030" s="134">
        <v>45754</v>
      </c>
      <c r="B6030" s="135">
        <f>YEAR(source[[#This Row],[report_date]])</f>
        <v>2025</v>
      </c>
      <c r="C6030" s="128">
        <f t="shared" si="280"/>
        <v>4</v>
      </c>
      <c r="D6030" s="136">
        <f t="shared" si="282"/>
        <v>15</v>
      </c>
      <c r="E6030" s="136">
        <f t="shared" si="281"/>
        <v>7</v>
      </c>
      <c r="F6030" s="128" t="s">
        <v>24</v>
      </c>
      <c r="G6030" s="128" t="str">
        <f>VLOOKUP(source[[#This Row],[lending_product_transform]],[3]Mapping!$B$4:$C$37,2,0)</f>
        <v>[Cake] - Cashloan</v>
      </c>
      <c r="H6030" s="128" t="str">
        <f>VLOOKUP(source[[#This Row],[lending_product_transform]],[3]Mapping!$B$3:$D$37,3,0)</f>
        <v>cashloan</v>
      </c>
      <c r="I6030" s="135">
        <v>0</v>
      </c>
    </row>
    <row r="6031" spans="1:9" x14ac:dyDescent="0.2">
      <c r="A6031" s="134">
        <v>45754</v>
      </c>
      <c r="B6031" s="135">
        <f>YEAR(source[[#This Row],[report_date]])</f>
        <v>2025</v>
      </c>
      <c r="C6031" s="128">
        <f t="shared" si="280"/>
        <v>4</v>
      </c>
      <c r="D6031" s="136">
        <f t="shared" si="282"/>
        <v>15</v>
      </c>
      <c r="E6031" s="136">
        <f t="shared" si="281"/>
        <v>7</v>
      </c>
      <c r="F6031" s="128" t="s">
        <v>24</v>
      </c>
      <c r="G6031" s="128" t="str">
        <f>VLOOKUP(source[[#This Row],[lending_product_transform]],[3]Mapping!$B$4:$C$37,2,0)</f>
        <v>[Cake] - Cashloan</v>
      </c>
      <c r="H6031" s="128" t="str">
        <f>VLOOKUP(source[[#This Row],[lending_product_transform]],[3]Mapping!$B$3:$D$37,3,0)</f>
        <v>cashloan</v>
      </c>
      <c r="I6031" s="135">
        <v>571640000</v>
      </c>
    </row>
    <row r="6032" spans="1:9" x14ac:dyDescent="0.2">
      <c r="A6032" s="134">
        <v>45754</v>
      </c>
      <c r="B6032" s="135">
        <f>YEAR(source[[#This Row],[report_date]])</f>
        <v>2025</v>
      </c>
      <c r="C6032" s="128">
        <f t="shared" si="280"/>
        <v>4</v>
      </c>
      <c r="D6032" s="136">
        <f t="shared" si="282"/>
        <v>15</v>
      </c>
      <c r="E6032" s="136">
        <f t="shared" si="281"/>
        <v>7</v>
      </c>
      <c r="F6032" s="128" t="s">
        <v>24</v>
      </c>
      <c r="G6032" s="128" t="str">
        <f>VLOOKUP(source[[#This Row],[lending_product_transform]],[3]Mapping!$B$4:$C$37,2,0)</f>
        <v>[Cake] - Cashloan</v>
      </c>
      <c r="H6032" s="128" t="str">
        <f>VLOOKUP(source[[#This Row],[lending_product_transform]],[3]Mapping!$B$3:$D$37,3,0)</f>
        <v>cashloan</v>
      </c>
      <c r="I6032" s="135">
        <v>504235757</v>
      </c>
    </row>
    <row r="6033" spans="1:9" x14ac:dyDescent="0.2">
      <c r="A6033" s="134">
        <v>45754</v>
      </c>
      <c r="B6033" s="135">
        <f>YEAR(source[[#This Row],[report_date]])</f>
        <v>2025</v>
      </c>
      <c r="C6033" s="128">
        <f t="shared" si="280"/>
        <v>4</v>
      </c>
      <c r="D6033" s="136">
        <f t="shared" si="282"/>
        <v>15</v>
      </c>
      <c r="E6033" s="136">
        <f t="shared" si="281"/>
        <v>7</v>
      </c>
      <c r="F6033" s="128" t="s">
        <v>24</v>
      </c>
      <c r="G6033" s="128" t="str">
        <f>VLOOKUP(source[[#This Row],[lending_product_transform]],[3]Mapping!$B$4:$C$37,2,0)</f>
        <v>[Cake] - Cashloan</v>
      </c>
      <c r="H6033" s="128" t="str">
        <f>VLOOKUP(source[[#This Row],[lending_product_transform]],[3]Mapping!$B$3:$D$37,3,0)</f>
        <v>cashloan</v>
      </c>
      <c r="I6033" s="135">
        <v>209788589</v>
      </c>
    </row>
    <row r="6034" spans="1:9" x14ac:dyDescent="0.2">
      <c r="A6034" s="134">
        <v>45754</v>
      </c>
      <c r="B6034" s="135">
        <f>YEAR(source[[#This Row],[report_date]])</f>
        <v>2025</v>
      </c>
      <c r="C6034" s="128">
        <f t="shared" si="280"/>
        <v>4</v>
      </c>
      <c r="D6034" s="136">
        <f t="shared" si="282"/>
        <v>15</v>
      </c>
      <c r="E6034" s="136">
        <f t="shared" si="281"/>
        <v>7</v>
      </c>
      <c r="F6034" s="128" t="s">
        <v>24</v>
      </c>
      <c r="G6034" s="128" t="str">
        <f>VLOOKUP(source[[#This Row],[lending_product_transform]],[3]Mapping!$B$4:$C$37,2,0)</f>
        <v>[Cake] - Cashloan</v>
      </c>
      <c r="H6034" s="128" t="str">
        <f>VLOOKUP(source[[#This Row],[lending_product_transform]],[3]Mapping!$B$3:$D$37,3,0)</f>
        <v>cashloan</v>
      </c>
      <c r="I6034" s="135">
        <v>458767034</v>
      </c>
    </row>
    <row r="6035" spans="1:9" x14ac:dyDescent="0.2">
      <c r="A6035" s="134">
        <v>45755</v>
      </c>
      <c r="B6035" s="135">
        <f>YEAR(source[[#This Row],[report_date]])</f>
        <v>2025</v>
      </c>
      <c r="C6035" s="128">
        <f t="shared" si="280"/>
        <v>4</v>
      </c>
      <c r="D6035" s="136">
        <f t="shared" si="282"/>
        <v>15</v>
      </c>
      <c r="E6035" s="136">
        <f t="shared" si="281"/>
        <v>8</v>
      </c>
      <c r="F6035" s="128" t="s">
        <v>24</v>
      </c>
      <c r="G6035" s="128" t="str">
        <f>VLOOKUP(source[[#This Row],[lending_product_transform]],[3]Mapping!$B$4:$C$37,2,0)</f>
        <v>[Cake] - Cashloan</v>
      </c>
      <c r="H6035" s="128" t="str">
        <f>VLOOKUP(source[[#This Row],[lending_product_transform]],[3]Mapping!$B$3:$D$37,3,0)</f>
        <v>cashloan</v>
      </c>
      <c r="I6035" s="135">
        <v>7892810000</v>
      </c>
    </row>
    <row r="6036" spans="1:9" x14ac:dyDescent="0.2">
      <c r="A6036" s="134">
        <v>45755</v>
      </c>
      <c r="B6036" s="135">
        <f>YEAR(source[[#This Row],[report_date]])</f>
        <v>2025</v>
      </c>
      <c r="C6036" s="128">
        <f t="shared" si="280"/>
        <v>4</v>
      </c>
      <c r="D6036" s="136">
        <f t="shared" si="282"/>
        <v>15</v>
      </c>
      <c r="E6036" s="136">
        <f t="shared" si="281"/>
        <v>8</v>
      </c>
      <c r="F6036" s="128" t="s">
        <v>24</v>
      </c>
      <c r="G6036" s="128" t="str">
        <f>VLOOKUP(source[[#This Row],[lending_product_transform]],[3]Mapping!$B$4:$C$37,2,0)</f>
        <v>[Cake] - Cashloan</v>
      </c>
      <c r="H6036" s="128" t="str">
        <f>VLOOKUP(source[[#This Row],[lending_product_transform]],[3]Mapping!$B$3:$D$37,3,0)</f>
        <v>cashloan</v>
      </c>
      <c r="I6036" s="135">
        <v>5312388000</v>
      </c>
    </row>
    <row r="6037" spans="1:9" x14ac:dyDescent="0.2">
      <c r="A6037" s="134">
        <v>45755</v>
      </c>
      <c r="B6037" s="135">
        <f>YEAR(source[[#This Row],[report_date]])</f>
        <v>2025</v>
      </c>
      <c r="C6037" s="128">
        <f t="shared" si="280"/>
        <v>4</v>
      </c>
      <c r="D6037" s="136">
        <f t="shared" si="282"/>
        <v>15</v>
      </c>
      <c r="E6037" s="136">
        <f t="shared" si="281"/>
        <v>8</v>
      </c>
      <c r="F6037" s="128" t="s">
        <v>24</v>
      </c>
      <c r="G6037" s="128" t="str">
        <f>VLOOKUP(source[[#This Row],[lending_product_transform]],[3]Mapping!$B$4:$C$37,2,0)</f>
        <v>[Cake] - Cashloan</v>
      </c>
      <c r="H6037" s="128" t="str">
        <f>VLOOKUP(source[[#This Row],[lending_product_transform]],[3]Mapping!$B$3:$D$37,3,0)</f>
        <v>cashloan</v>
      </c>
      <c r="I6037" s="135">
        <v>4125520998</v>
      </c>
    </row>
    <row r="6038" spans="1:9" x14ac:dyDescent="0.2">
      <c r="A6038" s="134">
        <v>45755</v>
      </c>
      <c r="B6038" s="135">
        <f>YEAR(source[[#This Row],[report_date]])</f>
        <v>2025</v>
      </c>
      <c r="C6038" s="128">
        <f t="shared" si="280"/>
        <v>4</v>
      </c>
      <c r="D6038" s="136">
        <f t="shared" si="282"/>
        <v>15</v>
      </c>
      <c r="E6038" s="136">
        <f t="shared" si="281"/>
        <v>8</v>
      </c>
      <c r="F6038" s="128" t="s">
        <v>24</v>
      </c>
      <c r="G6038" s="128" t="str">
        <f>VLOOKUP(source[[#This Row],[lending_product_transform]],[3]Mapping!$B$4:$C$37,2,0)</f>
        <v>[Cake] - Cashloan</v>
      </c>
      <c r="H6038" s="128" t="str">
        <f>VLOOKUP(source[[#This Row],[lending_product_transform]],[3]Mapping!$B$3:$D$37,3,0)</f>
        <v>cashloan</v>
      </c>
      <c r="I6038" s="135">
        <v>8689610000</v>
      </c>
    </row>
    <row r="6039" spans="1:9" x14ac:dyDescent="0.2">
      <c r="A6039" s="134">
        <v>45755</v>
      </c>
      <c r="B6039" s="135">
        <f>YEAR(source[[#This Row],[report_date]])</f>
        <v>2025</v>
      </c>
      <c r="C6039" s="128">
        <f t="shared" si="280"/>
        <v>4</v>
      </c>
      <c r="D6039" s="136">
        <f t="shared" si="282"/>
        <v>15</v>
      </c>
      <c r="E6039" s="136">
        <f t="shared" si="281"/>
        <v>8</v>
      </c>
      <c r="F6039" s="128" t="s">
        <v>24</v>
      </c>
      <c r="G6039" s="128" t="str">
        <f>VLOOKUP(source[[#This Row],[lending_product_transform]],[3]Mapping!$B$4:$C$37,2,0)</f>
        <v>[Cake] - Cashloan</v>
      </c>
      <c r="H6039" s="128" t="str">
        <f>VLOOKUP(source[[#This Row],[lending_product_transform]],[3]Mapping!$B$3:$D$37,3,0)</f>
        <v>cashloan</v>
      </c>
      <c r="I6039" s="135">
        <v>0</v>
      </c>
    </row>
    <row r="6040" spans="1:9" x14ac:dyDescent="0.2">
      <c r="A6040" s="134">
        <v>45755</v>
      </c>
      <c r="B6040" s="135">
        <f>YEAR(source[[#This Row],[report_date]])</f>
        <v>2025</v>
      </c>
      <c r="C6040" s="128">
        <f t="shared" si="280"/>
        <v>4</v>
      </c>
      <c r="D6040" s="136">
        <f t="shared" si="282"/>
        <v>15</v>
      </c>
      <c r="E6040" s="136">
        <f t="shared" si="281"/>
        <v>8</v>
      </c>
      <c r="F6040" s="128" t="s">
        <v>24</v>
      </c>
      <c r="G6040" s="128" t="str">
        <f>VLOOKUP(source[[#This Row],[lending_product_transform]],[3]Mapping!$B$4:$C$37,2,0)</f>
        <v>[Cake] - Cashloan</v>
      </c>
      <c r="H6040" s="128" t="str">
        <f>VLOOKUP(source[[#This Row],[lending_product_transform]],[3]Mapping!$B$3:$D$37,3,0)</f>
        <v>cashloan</v>
      </c>
      <c r="I6040" s="135">
        <v>84000000</v>
      </c>
    </row>
    <row r="6041" spans="1:9" x14ac:dyDescent="0.2">
      <c r="A6041" s="134">
        <v>45755</v>
      </c>
      <c r="B6041" s="135">
        <f>YEAR(source[[#This Row],[report_date]])</f>
        <v>2025</v>
      </c>
      <c r="C6041" s="128">
        <f t="shared" si="280"/>
        <v>4</v>
      </c>
      <c r="D6041" s="136">
        <f t="shared" si="282"/>
        <v>15</v>
      </c>
      <c r="E6041" s="136">
        <f t="shared" si="281"/>
        <v>8</v>
      </c>
      <c r="F6041" s="128" t="s">
        <v>24</v>
      </c>
      <c r="G6041" s="128" t="str">
        <f>VLOOKUP(source[[#This Row],[lending_product_transform]],[3]Mapping!$B$4:$C$37,2,0)</f>
        <v>[Cake] - Cashloan</v>
      </c>
      <c r="H6041" s="128" t="str">
        <f>VLOOKUP(source[[#This Row],[lending_product_transform]],[3]Mapping!$B$3:$D$37,3,0)</f>
        <v>cashloan</v>
      </c>
      <c r="I6041" s="135">
        <v>456387725</v>
      </c>
    </row>
    <row r="6042" spans="1:9" x14ac:dyDescent="0.2">
      <c r="A6042" s="134">
        <v>45755</v>
      </c>
      <c r="B6042" s="135">
        <f>YEAR(source[[#This Row],[report_date]])</f>
        <v>2025</v>
      </c>
      <c r="C6042" s="128">
        <f t="shared" si="280"/>
        <v>4</v>
      </c>
      <c r="D6042" s="136">
        <f t="shared" si="282"/>
        <v>15</v>
      </c>
      <c r="E6042" s="136">
        <f t="shared" si="281"/>
        <v>8</v>
      </c>
      <c r="F6042" s="128" t="s">
        <v>24</v>
      </c>
      <c r="G6042" s="128" t="str">
        <f>VLOOKUP(source[[#This Row],[lending_product_transform]],[3]Mapping!$B$4:$C$37,2,0)</f>
        <v>[Cake] - Cashloan</v>
      </c>
      <c r="H6042" s="128" t="str">
        <f>VLOOKUP(source[[#This Row],[lending_product_transform]],[3]Mapping!$B$3:$D$37,3,0)</f>
        <v>cashloan</v>
      </c>
      <c r="I6042" s="135">
        <v>0</v>
      </c>
    </row>
    <row r="6043" spans="1:9" x14ac:dyDescent="0.2">
      <c r="A6043" s="134">
        <v>45755</v>
      </c>
      <c r="B6043" s="135">
        <f>YEAR(source[[#This Row],[report_date]])</f>
        <v>2025</v>
      </c>
      <c r="C6043" s="128">
        <f t="shared" si="280"/>
        <v>4</v>
      </c>
      <c r="D6043" s="136">
        <f t="shared" si="282"/>
        <v>15</v>
      </c>
      <c r="E6043" s="136">
        <f t="shared" si="281"/>
        <v>8</v>
      </c>
      <c r="F6043" s="128" t="s">
        <v>24</v>
      </c>
      <c r="G6043" s="128" t="str">
        <f>VLOOKUP(source[[#This Row],[lending_product_transform]],[3]Mapping!$B$4:$C$37,2,0)</f>
        <v>[Cake] - Cashloan</v>
      </c>
      <c r="H6043" s="128" t="str">
        <f>VLOOKUP(source[[#This Row],[lending_product_transform]],[3]Mapping!$B$3:$D$37,3,0)</f>
        <v>cashloan</v>
      </c>
      <c r="I6043" s="135">
        <v>20859041</v>
      </c>
    </row>
    <row r="6044" spans="1:9" x14ac:dyDescent="0.2">
      <c r="A6044" s="134">
        <v>45755</v>
      </c>
      <c r="B6044" s="135">
        <f>YEAR(source[[#This Row],[report_date]])</f>
        <v>2025</v>
      </c>
      <c r="C6044" s="128">
        <f t="shared" si="280"/>
        <v>4</v>
      </c>
      <c r="D6044" s="136">
        <f t="shared" si="282"/>
        <v>15</v>
      </c>
      <c r="E6044" s="136">
        <f t="shared" si="281"/>
        <v>8</v>
      </c>
      <c r="F6044" s="128" t="s">
        <v>24</v>
      </c>
      <c r="G6044" s="128" t="str">
        <f>VLOOKUP(source[[#This Row],[lending_product_transform]],[3]Mapping!$B$4:$C$37,2,0)</f>
        <v>[Cake] - Cashloan</v>
      </c>
      <c r="H6044" s="128" t="str">
        <f>VLOOKUP(source[[#This Row],[lending_product_transform]],[3]Mapping!$B$3:$D$37,3,0)</f>
        <v>cashloan</v>
      </c>
      <c r="I6044" s="135">
        <v>21000000</v>
      </c>
    </row>
    <row r="6045" spans="1:9" x14ac:dyDescent="0.2">
      <c r="A6045" s="134">
        <v>45755</v>
      </c>
      <c r="B6045" s="135">
        <f>YEAR(source[[#This Row],[report_date]])</f>
        <v>2025</v>
      </c>
      <c r="C6045" s="128">
        <f t="shared" si="280"/>
        <v>4</v>
      </c>
      <c r="D6045" s="136">
        <f t="shared" si="282"/>
        <v>15</v>
      </c>
      <c r="E6045" s="136">
        <f t="shared" si="281"/>
        <v>8</v>
      </c>
      <c r="F6045" s="128" t="s">
        <v>24</v>
      </c>
      <c r="G6045" s="128" t="str">
        <f>VLOOKUP(source[[#This Row],[lending_product_transform]],[3]Mapping!$B$4:$C$37,2,0)</f>
        <v>[Cake] - Cashloan</v>
      </c>
      <c r="H6045" s="128" t="str">
        <f>VLOOKUP(source[[#This Row],[lending_product_transform]],[3]Mapping!$B$3:$D$37,3,0)</f>
        <v>cashloan</v>
      </c>
      <c r="I6045" s="135">
        <v>0</v>
      </c>
    </row>
    <row r="6046" spans="1:9" x14ac:dyDescent="0.2">
      <c r="A6046" s="134">
        <v>45755</v>
      </c>
      <c r="B6046" s="135">
        <f>YEAR(source[[#This Row],[report_date]])</f>
        <v>2025</v>
      </c>
      <c r="C6046" s="128">
        <f t="shared" si="280"/>
        <v>4</v>
      </c>
      <c r="D6046" s="136">
        <f t="shared" si="282"/>
        <v>15</v>
      </c>
      <c r="E6046" s="136">
        <f t="shared" si="281"/>
        <v>8</v>
      </c>
      <c r="F6046" s="128" t="s">
        <v>24</v>
      </c>
      <c r="G6046" s="128" t="str">
        <f>VLOOKUP(source[[#This Row],[lending_product_transform]],[3]Mapping!$B$4:$C$37,2,0)</f>
        <v>[Cake] - Cashloan</v>
      </c>
      <c r="H6046" s="128" t="str">
        <f>VLOOKUP(source[[#This Row],[lending_product_transform]],[3]Mapping!$B$3:$D$37,3,0)</f>
        <v>cashloan</v>
      </c>
      <c r="I6046" s="135">
        <v>0</v>
      </c>
    </row>
    <row r="6047" spans="1:9" x14ac:dyDescent="0.2">
      <c r="A6047" s="134">
        <v>45755</v>
      </c>
      <c r="B6047" s="135">
        <f>YEAR(source[[#This Row],[report_date]])</f>
        <v>2025</v>
      </c>
      <c r="C6047" s="128">
        <f t="shared" si="280"/>
        <v>4</v>
      </c>
      <c r="D6047" s="136">
        <f t="shared" si="282"/>
        <v>15</v>
      </c>
      <c r="E6047" s="136">
        <f t="shared" si="281"/>
        <v>8</v>
      </c>
      <c r="F6047" s="128" t="s">
        <v>24</v>
      </c>
      <c r="G6047" s="128" t="str">
        <f>VLOOKUP(source[[#This Row],[lending_product_transform]],[3]Mapping!$B$4:$C$37,2,0)</f>
        <v>[Cake] - Cashloan</v>
      </c>
      <c r="H6047" s="128" t="str">
        <f>VLOOKUP(source[[#This Row],[lending_product_transform]],[3]Mapping!$B$3:$D$37,3,0)</f>
        <v>cashloan</v>
      </c>
      <c r="I6047" s="135">
        <v>0</v>
      </c>
    </row>
    <row r="6048" spans="1:9" x14ac:dyDescent="0.2">
      <c r="A6048" s="134">
        <v>45755</v>
      </c>
      <c r="B6048" s="135">
        <f>YEAR(source[[#This Row],[report_date]])</f>
        <v>2025</v>
      </c>
      <c r="C6048" s="128">
        <f t="shared" si="280"/>
        <v>4</v>
      </c>
      <c r="D6048" s="136">
        <f t="shared" si="282"/>
        <v>15</v>
      </c>
      <c r="E6048" s="136">
        <f t="shared" si="281"/>
        <v>8</v>
      </c>
      <c r="F6048" s="128" t="s">
        <v>24</v>
      </c>
      <c r="G6048" s="128" t="str">
        <f>VLOOKUP(source[[#This Row],[lending_product_transform]],[3]Mapping!$B$4:$C$37,2,0)</f>
        <v>[Cake] - Cashloan</v>
      </c>
      <c r="H6048" s="128" t="str">
        <f>VLOOKUP(source[[#This Row],[lending_product_transform]],[3]Mapping!$B$3:$D$37,3,0)</f>
        <v>cashloan</v>
      </c>
      <c r="I6048" s="135">
        <v>0</v>
      </c>
    </row>
    <row r="6049" spans="1:9" x14ac:dyDescent="0.2">
      <c r="A6049" s="134">
        <v>45755</v>
      </c>
      <c r="B6049" s="135">
        <f>YEAR(source[[#This Row],[report_date]])</f>
        <v>2025</v>
      </c>
      <c r="C6049" s="128">
        <f t="shared" si="280"/>
        <v>4</v>
      </c>
      <c r="D6049" s="136">
        <f t="shared" si="282"/>
        <v>15</v>
      </c>
      <c r="E6049" s="136">
        <f t="shared" si="281"/>
        <v>8</v>
      </c>
      <c r="F6049" s="128" t="s">
        <v>24</v>
      </c>
      <c r="G6049" s="128" t="str">
        <f>VLOOKUP(source[[#This Row],[lending_product_transform]],[3]Mapping!$B$4:$C$37,2,0)</f>
        <v>[Cake] - Cashloan</v>
      </c>
      <c r="H6049" s="128" t="str">
        <f>VLOOKUP(source[[#This Row],[lending_product_transform]],[3]Mapping!$B$3:$D$37,3,0)</f>
        <v>cashloan</v>
      </c>
      <c r="I6049" s="135">
        <v>579060000</v>
      </c>
    </row>
    <row r="6050" spans="1:9" x14ac:dyDescent="0.2">
      <c r="A6050" s="134">
        <v>45755</v>
      </c>
      <c r="B6050" s="135">
        <f>YEAR(source[[#This Row],[report_date]])</f>
        <v>2025</v>
      </c>
      <c r="C6050" s="128">
        <f t="shared" si="280"/>
        <v>4</v>
      </c>
      <c r="D6050" s="136">
        <f t="shared" si="282"/>
        <v>15</v>
      </c>
      <c r="E6050" s="136">
        <f t="shared" si="281"/>
        <v>8</v>
      </c>
      <c r="F6050" s="128" t="s">
        <v>24</v>
      </c>
      <c r="G6050" s="128" t="str">
        <f>VLOOKUP(source[[#This Row],[lending_product_transform]],[3]Mapping!$B$4:$C$37,2,0)</f>
        <v>[Cake] - Cashloan</v>
      </c>
      <c r="H6050" s="128" t="str">
        <f>VLOOKUP(source[[#This Row],[lending_product_transform]],[3]Mapping!$B$3:$D$37,3,0)</f>
        <v>cashloan</v>
      </c>
      <c r="I6050" s="135">
        <v>0</v>
      </c>
    </row>
    <row r="6051" spans="1:9" x14ac:dyDescent="0.2">
      <c r="A6051" s="134">
        <v>45755</v>
      </c>
      <c r="B6051" s="135">
        <f>YEAR(source[[#This Row],[report_date]])</f>
        <v>2025</v>
      </c>
      <c r="C6051" s="128">
        <f t="shared" si="280"/>
        <v>4</v>
      </c>
      <c r="D6051" s="136">
        <f t="shared" si="282"/>
        <v>15</v>
      </c>
      <c r="E6051" s="136">
        <f t="shared" si="281"/>
        <v>8</v>
      </c>
      <c r="F6051" s="128" t="s">
        <v>24</v>
      </c>
      <c r="G6051" s="128" t="str">
        <f>VLOOKUP(source[[#This Row],[lending_product_transform]],[3]Mapping!$B$4:$C$37,2,0)</f>
        <v>[Cake] - Cashloan</v>
      </c>
      <c r="H6051" s="128" t="str">
        <f>VLOOKUP(source[[#This Row],[lending_product_transform]],[3]Mapping!$B$3:$D$37,3,0)</f>
        <v>cashloan</v>
      </c>
      <c r="I6051" s="135">
        <v>1188030000</v>
      </c>
    </row>
    <row r="6052" spans="1:9" x14ac:dyDescent="0.2">
      <c r="A6052" s="134">
        <v>45755</v>
      </c>
      <c r="B6052" s="135">
        <f>YEAR(source[[#This Row],[report_date]])</f>
        <v>2025</v>
      </c>
      <c r="C6052" s="128">
        <f t="shared" si="280"/>
        <v>4</v>
      </c>
      <c r="D6052" s="136">
        <f t="shared" si="282"/>
        <v>15</v>
      </c>
      <c r="E6052" s="136">
        <f t="shared" si="281"/>
        <v>8</v>
      </c>
      <c r="F6052" s="128" t="s">
        <v>24</v>
      </c>
      <c r="G6052" s="128" t="str">
        <f>VLOOKUP(source[[#This Row],[lending_product_transform]],[3]Mapping!$B$4:$C$37,2,0)</f>
        <v>[Cake] - Cashloan</v>
      </c>
      <c r="H6052" s="128" t="str">
        <f>VLOOKUP(source[[#This Row],[lending_product_transform]],[3]Mapping!$B$3:$D$37,3,0)</f>
        <v>cashloan</v>
      </c>
      <c r="I6052" s="135">
        <v>523442719</v>
      </c>
    </row>
    <row r="6053" spans="1:9" x14ac:dyDescent="0.2">
      <c r="A6053" s="134">
        <v>45755</v>
      </c>
      <c r="B6053" s="135">
        <f>YEAR(source[[#This Row],[report_date]])</f>
        <v>2025</v>
      </c>
      <c r="C6053" s="128">
        <f t="shared" si="280"/>
        <v>4</v>
      </c>
      <c r="D6053" s="136">
        <f t="shared" si="282"/>
        <v>15</v>
      </c>
      <c r="E6053" s="136">
        <f t="shared" si="281"/>
        <v>8</v>
      </c>
      <c r="F6053" s="128" t="s">
        <v>24</v>
      </c>
      <c r="G6053" s="128" t="str">
        <f>VLOOKUP(source[[#This Row],[lending_product_transform]],[3]Mapping!$B$4:$C$37,2,0)</f>
        <v>[Cake] - Cashloan</v>
      </c>
      <c r="H6053" s="128" t="str">
        <f>VLOOKUP(source[[#This Row],[lending_product_transform]],[3]Mapping!$B$3:$D$37,3,0)</f>
        <v>cashloan</v>
      </c>
      <c r="I6053" s="135">
        <v>170361828</v>
      </c>
    </row>
    <row r="6054" spans="1:9" x14ac:dyDescent="0.2">
      <c r="A6054" s="134">
        <v>45756</v>
      </c>
      <c r="B6054" s="135">
        <f>YEAR(source[[#This Row],[report_date]])</f>
        <v>2025</v>
      </c>
      <c r="C6054" s="128">
        <f t="shared" si="280"/>
        <v>4</v>
      </c>
      <c r="D6054" s="136">
        <f t="shared" si="282"/>
        <v>15</v>
      </c>
      <c r="E6054" s="136">
        <f t="shared" si="281"/>
        <v>9</v>
      </c>
      <c r="F6054" s="128" t="s">
        <v>24</v>
      </c>
      <c r="G6054" s="128" t="str">
        <f>VLOOKUP(source[[#This Row],[lending_product_transform]],[3]Mapping!$B$4:$C$37,2,0)</f>
        <v>[Cake] - Cashloan</v>
      </c>
      <c r="H6054" s="128" t="str">
        <f>VLOOKUP(source[[#This Row],[lending_product_transform]],[3]Mapping!$B$3:$D$37,3,0)</f>
        <v>cashloan</v>
      </c>
      <c r="I6054" s="135">
        <v>883450000</v>
      </c>
    </row>
    <row r="6055" spans="1:9" x14ac:dyDescent="0.2">
      <c r="A6055" s="134">
        <v>45756</v>
      </c>
      <c r="B6055" s="135">
        <f>YEAR(source[[#This Row],[report_date]])</f>
        <v>2025</v>
      </c>
      <c r="C6055" s="128">
        <f t="shared" si="280"/>
        <v>4</v>
      </c>
      <c r="D6055" s="136">
        <f t="shared" si="282"/>
        <v>15</v>
      </c>
      <c r="E6055" s="136">
        <f t="shared" si="281"/>
        <v>9</v>
      </c>
      <c r="F6055" s="128" t="s">
        <v>24</v>
      </c>
      <c r="G6055" s="128" t="str">
        <f>VLOOKUP(source[[#This Row],[lending_product_transform]],[3]Mapping!$B$4:$C$37,2,0)</f>
        <v>[Cake] - Cashloan</v>
      </c>
      <c r="H6055" s="128" t="str">
        <f>VLOOKUP(source[[#This Row],[lending_product_transform]],[3]Mapping!$B$3:$D$37,3,0)</f>
        <v>cashloan</v>
      </c>
      <c r="I6055" s="135">
        <v>8697580000</v>
      </c>
    </row>
    <row r="6056" spans="1:9" x14ac:dyDescent="0.2">
      <c r="A6056" s="134">
        <v>45756</v>
      </c>
      <c r="B6056" s="135">
        <f>YEAR(source[[#This Row],[report_date]])</f>
        <v>2025</v>
      </c>
      <c r="C6056" s="128">
        <f t="shared" si="280"/>
        <v>4</v>
      </c>
      <c r="D6056" s="136">
        <f t="shared" si="282"/>
        <v>15</v>
      </c>
      <c r="E6056" s="136">
        <f t="shared" si="281"/>
        <v>9</v>
      </c>
      <c r="F6056" s="128" t="s">
        <v>24</v>
      </c>
      <c r="G6056" s="128" t="str">
        <f>VLOOKUP(source[[#This Row],[lending_product_transform]],[3]Mapping!$B$4:$C$37,2,0)</f>
        <v>[Cake] - Cashloan</v>
      </c>
      <c r="H6056" s="128" t="str">
        <f>VLOOKUP(source[[#This Row],[lending_product_transform]],[3]Mapping!$B$3:$D$37,3,0)</f>
        <v>cashloan</v>
      </c>
      <c r="I6056" s="135">
        <v>28000000</v>
      </c>
    </row>
    <row r="6057" spans="1:9" x14ac:dyDescent="0.2">
      <c r="A6057" s="134">
        <v>45756</v>
      </c>
      <c r="B6057" s="135">
        <f>YEAR(source[[#This Row],[report_date]])</f>
        <v>2025</v>
      </c>
      <c r="C6057" s="128">
        <f t="shared" si="280"/>
        <v>4</v>
      </c>
      <c r="D6057" s="136">
        <f t="shared" si="282"/>
        <v>15</v>
      </c>
      <c r="E6057" s="136">
        <f t="shared" si="281"/>
        <v>9</v>
      </c>
      <c r="F6057" s="128" t="s">
        <v>24</v>
      </c>
      <c r="G6057" s="128" t="str">
        <f>VLOOKUP(source[[#This Row],[lending_product_transform]],[3]Mapping!$B$4:$C$37,2,0)</f>
        <v>[Cake] - Cashloan</v>
      </c>
      <c r="H6057" s="128" t="str">
        <f>VLOOKUP(source[[#This Row],[lending_product_transform]],[3]Mapping!$B$3:$D$37,3,0)</f>
        <v>cashloan</v>
      </c>
      <c r="I6057" s="135">
        <v>0</v>
      </c>
    </row>
    <row r="6058" spans="1:9" x14ac:dyDescent="0.2">
      <c r="A6058" s="134">
        <v>45756</v>
      </c>
      <c r="B6058" s="135">
        <f>YEAR(source[[#This Row],[report_date]])</f>
        <v>2025</v>
      </c>
      <c r="C6058" s="128">
        <f t="shared" si="280"/>
        <v>4</v>
      </c>
      <c r="D6058" s="136">
        <f t="shared" si="282"/>
        <v>15</v>
      </c>
      <c r="E6058" s="136">
        <f t="shared" si="281"/>
        <v>9</v>
      </c>
      <c r="F6058" s="128" t="s">
        <v>24</v>
      </c>
      <c r="G6058" s="128" t="str">
        <f>VLOOKUP(source[[#This Row],[lending_product_transform]],[3]Mapping!$B$4:$C$37,2,0)</f>
        <v>[Cake] - Cashloan</v>
      </c>
      <c r="H6058" s="128" t="str">
        <f>VLOOKUP(source[[#This Row],[lending_product_transform]],[3]Mapping!$B$3:$D$37,3,0)</f>
        <v>cashloan</v>
      </c>
      <c r="I6058" s="135">
        <v>0</v>
      </c>
    </row>
    <row r="6059" spans="1:9" x14ac:dyDescent="0.2">
      <c r="A6059" s="134">
        <v>45756</v>
      </c>
      <c r="B6059" s="135">
        <f>YEAR(source[[#This Row],[report_date]])</f>
        <v>2025</v>
      </c>
      <c r="C6059" s="128">
        <f t="shared" si="280"/>
        <v>4</v>
      </c>
      <c r="D6059" s="136">
        <f t="shared" si="282"/>
        <v>15</v>
      </c>
      <c r="E6059" s="136">
        <f t="shared" si="281"/>
        <v>9</v>
      </c>
      <c r="F6059" s="128" t="s">
        <v>24</v>
      </c>
      <c r="G6059" s="128" t="str">
        <f>VLOOKUP(source[[#This Row],[lending_product_transform]],[3]Mapping!$B$4:$C$37,2,0)</f>
        <v>[Cake] - Cashloan</v>
      </c>
      <c r="H6059" s="128" t="str">
        <f>VLOOKUP(source[[#This Row],[lending_product_transform]],[3]Mapping!$B$3:$D$37,3,0)</f>
        <v>cashloan</v>
      </c>
      <c r="I6059" s="135">
        <v>0</v>
      </c>
    </row>
    <row r="6060" spans="1:9" x14ac:dyDescent="0.2">
      <c r="A6060" s="134">
        <v>45756</v>
      </c>
      <c r="B6060" s="135">
        <f>YEAR(source[[#This Row],[report_date]])</f>
        <v>2025</v>
      </c>
      <c r="C6060" s="128">
        <f t="shared" si="280"/>
        <v>4</v>
      </c>
      <c r="D6060" s="136">
        <f t="shared" si="282"/>
        <v>15</v>
      </c>
      <c r="E6060" s="136">
        <f t="shared" si="281"/>
        <v>9</v>
      </c>
      <c r="F6060" s="128" t="s">
        <v>24</v>
      </c>
      <c r="G6060" s="128" t="str">
        <f>VLOOKUP(source[[#This Row],[lending_product_transform]],[3]Mapping!$B$4:$C$37,2,0)</f>
        <v>[Cake] - Cashloan</v>
      </c>
      <c r="H6060" s="128" t="str">
        <f>VLOOKUP(source[[#This Row],[lending_product_transform]],[3]Mapping!$B$3:$D$37,3,0)</f>
        <v>cashloan</v>
      </c>
      <c r="I6060" s="135">
        <v>16325153</v>
      </c>
    </row>
    <row r="6061" spans="1:9" x14ac:dyDescent="0.2">
      <c r="A6061" s="134">
        <v>45756</v>
      </c>
      <c r="B6061" s="135">
        <f>YEAR(source[[#This Row],[report_date]])</f>
        <v>2025</v>
      </c>
      <c r="C6061" s="128">
        <f t="shared" si="280"/>
        <v>4</v>
      </c>
      <c r="D6061" s="136">
        <f t="shared" si="282"/>
        <v>15</v>
      </c>
      <c r="E6061" s="136">
        <f t="shared" si="281"/>
        <v>9</v>
      </c>
      <c r="F6061" s="128" t="s">
        <v>24</v>
      </c>
      <c r="G6061" s="128" t="str">
        <f>VLOOKUP(source[[#This Row],[lending_product_transform]],[3]Mapping!$B$4:$C$37,2,0)</f>
        <v>[Cake] - Cashloan</v>
      </c>
      <c r="H6061" s="128" t="str">
        <f>VLOOKUP(source[[#This Row],[lending_product_transform]],[3]Mapping!$B$3:$D$37,3,0)</f>
        <v>cashloan</v>
      </c>
      <c r="I6061" s="135">
        <v>0</v>
      </c>
    </row>
    <row r="6062" spans="1:9" x14ac:dyDescent="0.2">
      <c r="A6062" s="134">
        <v>45756</v>
      </c>
      <c r="B6062" s="135">
        <f>YEAR(source[[#This Row],[report_date]])</f>
        <v>2025</v>
      </c>
      <c r="C6062" s="128">
        <f t="shared" si="280"/>
        <v>4</v>
      </c>
      <c r="D6062" s="136">
        <f t="shared" si="282"/>
        <v>15</v>
      </c>
      <c r="E6062" s="136">
        <f t="shared" si="281"/>
        <v>9</v>
      </c>
      <c r="F6062" s="128" t="s">
        <v>24</v>
      </c>
      <c r="G6062" s="128" t="str">
        <f>VLOOKUP(source[[#This Row],[lending_product_transform]],[3]Mapping!$B$4:$C$37,2,0)</f>
        <v>[Cake] - Cashloan</v>
      </c>
      <c r="H6062" s="128" t="str">
        <f>VLOOKUP(source[[#This Row],[lending_product_transform]],[3]Mapping!$B$3:$D$37,3,0)</f>
        <v>cashloan</v>
      </c>
      <c r="I6062" s="135">
        <v>10500000</v>
      </c>
    </row>
    <row r="6063" spans="1:9" x14ac:dyDescent="0.2">
      <c r="A6063" s="134">
        <v>45756</v>
      </c>
      <c r="B6063" s="135">
        <f>YEAR(source[[#This Row],[report_date]])</f>
        <v>2025</v>
      </c>
      <c r="C6063" s="128">
        <f t="shared" si="280"/>
        <v>4</v>
      </c>
      <c r="D6063" s="136">
        <f t="shared" si="282"/>
        <v>15</v>
      </c>
      <c r="E6063" s="136">
        <f t="shared" si="281"/>
        <v>9</v>
      </c>
      <c r="F6063" s="128" t="s">
        <v>24</v>
      </c>
      <c r="G6063" s="128" t="str">
        <f>VLOOKUP(source[[#This Row],[lending_product_transform]],[3]Mapping!$B$4:$C$37,2,0)</f>
        <v>[Cake] - Cashloan</v>
      </c>
      <c r="H6063" s="128" t="str">
        <f>VLOOKUP(source[[#This Row],[lending_product_transform]],[3]Mapping!$B$3:$D$37,3,0)</f>
        <v>cashloan</v>
      </c>
      <c r="I6063" s="135">
        <v>0</v>
      </c>
    </row>
    <row r="6064" spans="1:9" x14ac:dyDescent="0.2">
      <c r="A6064" s="134">
        <v>45756</v>
      </c>
      <c r="B6064" s="135">
        <f>YEAR(source[[#This Row],[report_date]])</f>
        <v>2025</v>
      </c>
      <c r="C6064" s="128">
        <f t="shared" si="280"/>
        <v>4</v>
      </c>
      <c r="D6064" s="136">
        <f t="shared" si="282"/>
        <v>15</v>
      </c>
      <c r="E6064" s="136">
        <f t="shared" si="281"/>
        <v>9</v>
      </c>
      <c r="F6064" s="128" t="s">
        <v>24</v>
      </c>
      <c r="G6064" s="128" t="str">
        <f>VLOOKUP(source[[#This Row],[lending_product_transform]],[3]Mapping!$B$4:$C$37,2,0)</f>
        <v>[Cake] - Cashloan</v>
      </c>
      <c r="H6064" s="128" t="str">
        <f>VLOOKUP(source[[#This Row],[lending_product_transform]],[3]Mapping!$B$3:$D$37,3,0)</f>
        <v>cashloan</v>
      </c>
      <c r="I6064" s="135">
        <v>0</v>
      </c>
    </row>
    <row r="6065" spans="1:9" x14ac:dyDescent="0.2">
      <c r="A6065" s="134">
        <v>45756</v>
      </c>
      <c r="B6065" s="135">
        <f>YEAR(source[[#This Row],[report_date]])</f>
        <v>2025</v>
      </c>
      <c r="C6065" s="128">
        <f t="shared" si="280"/>
        <v>4</v>
      </c>
      <c r="D6065" s="136">
        <f t="shared" si="282"/>
        <v>15</v>
      </c>
      <c r="E6065" s="136">
        <f t="shared" si="281"/>
        <v>9</v>
      </c>
      <c r="F6065" s="128" t="s">
        <v>24</v>
      </c>
      <c r="G6065" s="128" t="str">
        <f>VLOOKUP(source[[#This Row],[lending_product_transform]],[3]Mapping!$B$4:$C$37,2,0)</f>
        <v>[Cake] - Cashloan</v>
      </c>
      <c r="H6065" s="128" t="str">
        <f>VLOOKUP(source[[#This Row],[lending_product_transform]],[3]Mapping!$B$3:$D$37,3,0)</f>
        <v>cashloan</v>
      </c>
      <c r="I6065" s="135">
        <v>0</v>
      </c>
    </row>
    <row r="6066" spans="1:9" x14ac:dyDescent="0.2">
      <c r="A6066" s="134">
        <v>45756</v>
      </c>
      <c r="B6066" s="135">
        <f>YEAR(source[[#This Row],[report_date]])</f>
        <v>2025</v>
      </c>
      <c r="C6066" s="128">
        <f t="shared" si="280"/>
        <v>4</v>
      </c>
      <c r="D6066" s="136">
        <f t="shared" si="282"/>
        <v>15</v>
      </c>
      <c r="E6066" s="136">
        <f t="shared" si="281"/>
        <v>9</v>
      </c>
      <c r="F6066" s="128" t="s">
        <v>24</v>
      </c>
      <c r="G6066" s="128" t="str">
        <f>VLOOKUP(source[[#This Row],[lending_product_transform]],[3]Mapping!$B$4:$C$37,2,0)</f>
        <v>[Cake] - Cashloan</v>
      </c>
      <c r="H6066" s="128" t="str">
        <f>VLOOKUP(source[[#This Row],[lending_product_transform]],[3]Mapping!$B$3:$D$37,3,0)</f>
        <v>cashloan</v>
      </c>
      <c r="I6066" s="135">
        <v>723330000</v>
      </c>
    </row>
    <row r="6067" spans="1:9" x14ac:dyDescent="0.2">
      <c r="A6067" s="134">
        <v>45756</v>
      </c>
      <c r="B6067" s="135">
        <f>YEAR(source[[#This Row],[report_date]])</f>
        <v>2025</v>
      </c>
      <c r="C6067" s="128">
        <f t="shared" si="280"/>
        <v>4</v>
      </c>
      <c r="D6067" s="136">
        <f t="shared" si="282"/>
        <v>15</v>
      </c>
      <c r="E6067" s="136">
        <f t="shared" si="281"/>
        <v>9</v>
      </c>
      <c r="F6067" s="128" t="s">
        <v>24</v>
      </c>
      <c r="G6067" s="128" t="str">
        <f>VLOOKUP(source[[#This Row],[lending_product_transform]],[3]Mapping!$B$4:$C$37,2,0)</f>
        <v>[Cake] - Cashloan</v>
      </c>
      <c r="H6067" s="128" t="str">
        <f>VLOOKUP(source[[#This Row],[lending_product_transform]],[3]Mapping!$B$3:$D$37,3,0)</f>
        <v>cashloan</v>
      </c>
      <c r="I6067" s="135">
        <v>514680172</v>
      </c>
    </row>
    <row r="6068" spans="1:9" x14ac:dyDescent="0.2">
      <c r="A6068" s="134">
        <v>45756</v>
      </c>
      <c r="B6068" s="135">
        <f>YEAR(source[[#This Row],[report_date]])</f>
        <v>2025</v>
      </c>
      <c r="C6068" s="128">
        <f t="shared" si="280"/>
        <v>4</v>
      </c>
      <c r="D6068" s="136">
        <f t="shared" si="282"/>
        <v>15</v>
      </c>
      <c r="E6068" s="136">
        <f t="shared" si="281"/>
        <v>9</v>
      </c>
      <c r="F6068" s="128" t="s">
        <v>24</v>
      </c>
      <c r="G6068" s="128" t="str">
        <f>VLOOKUP(source[[#This Row],[lending_product_transform]],[3]Mapping!$B$4:$C$37,2,0)</f>
        <v>[Cake] - Cashloan</v>
      </c>
      <c r="H6068" s="128" t="str">
        <f>VLOOKUP(source[[#This Row],[lending_product_transform]],[3]Mapping!$B$3:$D$37,3,0)</f>
        <v>cashloan</v>
      </c>
      <c r="I6068" s="135">
        <v>204050064</v>
      </c>
    </row>
    <row r="6069" spans="1:9" x14ac:dyDescent="0.2">
      <c r="A6069" s="134">
        <v>45756</v>
      </c>
      <c r="B6069" s="135">
        <f>YEAR(source[[#This Row],[report_date]])</f>
        <v>2025</v>
      </c>
      <c r="C6069" s="128">
        <f t="shared" si="280"/>
        <v>4</v>
      </c>
      <c r="D6069" s="136">
        <f t="shared" si="282"/>
        <v>15</v>
      </c>
      <c r="E6069" s="136">
        <f t="shared" si="281"/>
        <v>9</v>
      </c>
      <c r="F6069" s="128" t="s">
        <v>24</v>
      </c>
      <c r="G6069" s="128" t="str">
        <f>VLOOKUP(source[[#This Row],[lending_product_transform]],[3]Mapping!$B$4:$C$37,2,0)</f>
        <v>[Cake] - Cashloan</v>
      </c>
      <c r="H6069" s="128" t="str">
        <f>VLOOKUP(source[[#This Row],[lending_product_transform]],[3]Mapping!$B$3:$D$37,3,0)</f>
        <v>cashloan</v>
      </c>
      <c r="I6069" s="135">
        <v>454979130</v>
      </c>
    </row>
    <row r="6070" spans="1:9" x14ac:dyDescent="0.2">
      <c r="A6070" s="134">
        <v>45756</v>
      </c>
      <c r="B6070" s="135">
        <f>YEAR(source[[#This Row],[report_date]])</f>
        <v>2025</v>
      </c>
      <c r="C6070" s="128">
        <f t="shared" ref="C6070:C6133" si="283">MONTH(A6070)</f>
        <v>4</v>
      </c>
      <c r="D6070" s="136">
        <f t="shared" si="282"/>
        <v>15</v>
      </c>
      <c r="E6070" s="136">
        <f t="shared" ref="E6070:E6133" si="284">DAY(A6070)</f>
        <v>9</v>
      </c>
      <c r="F6070" s="128" t="s">
        <v>24</v>
      </c>
      <c r="G6070" s="128" t="str">
        <f>VLOOKUP(source[[#This Row],[lending_product_transform]],[3]Mapping!$B$4:$C$37,2,0)</f>
        <v>[Cake] - Cashloan</v>
      </c>
      <c r="H6070" s="128" t="str">
        <f>VLOOKUP(source[[#This Row],[lending_product_transform]],[3]Mapping!$B$3:$D$37,3,0)</f>
        <v>cashloan</v>
      </c>
      <c r="I6070" s="135">
        <v>4149949712</v>
      </c>
    </row>
    <row r="6071" spans="1:9" x14ac:dyDescent="0.2">
      <c r="A6071" s="134">
        <v>45756</v>
      </c>
      <c r="B6071" s="135">
        <f>YEAR(source[[#This Row],[report_date]])</f>
        <v>2025</v>
      </c>
      <c r="C6071" s="128">
        <f t="shared" si="283"/>
        <v>4</v>
      </c>
      <c r="D6071" s="136">
        <f t="shared" si="282"/>
        <v>15</v>
      </c>
      <c r="E6071" s="136">
        <f t="shared" si="284"/>
        <v>9</v>
      </c>
      <c r="F6071" s="128" t="s">
        <v>24</v>
      </c>
      <c r="G6071" s="128" t="str">
        <f>VLOOKUP(source[[#This Row],[lending_product_transform]],[3]Mapping!$B$4:$C$37,2,0)</f>
        <v>[Cake] - Cashloan</v>
      </c>
      <c r="H6071" s="128" t="str">
        <f>VLOOKUP(source[[#This Row],[lending_product_transform]],[3]Mapping!$B$3:$D$37,3,0)</f>
        <v>cashloan</v>
      </c>
      <c r="I6071" s="135">
        <v>8959790000</v>
      </c>
    </row>
    <row r="6072" spans="1:9" x14ac:dyDescent="0.2">
      <c r="A6072" s="134">
        <v>45756</v>
      </c>
      <c r="B6072" s="135">
        <f>YEAR(source[[#This Row],[report_date]])</f>
        <v>2025</v>
      </c>
      <c r="C6072" s="128">
        <f t="shared" si="283"/>
        <v>4</v>
      </c>
      <c r="D6072" s="136">
        <f t="shared" si="282"/>
        <v>15</v>
      </c>
      <c r="E6072" s="136">
        <f t="shared" si="284"/>
        <v>9</v>
      </c>
      <c r="F6072" s="128" t="s">
        <v>24</v>
      </c>
      <c r="G6072" s="128" t="str">
        <f>VLOOKUP(source[[#This Row],[lending_product_transform]],[3]Mapping!$B$4:$C$37,2,0)</f>
        <v>[Cake] - Cashloan</v>
      </c>
      <c r="H6072" s="128" t="str">
        <f>VLOOKUP(source[[#This Row],[lending_product_transform]],[3]Mapping!$B$3:$D$37,3,0)</f>
        <v>cashloan</v>
      </c>
      <c r="I6072" s="135">
        <v>5285088000</v>
      </c>
    </row>
    <row r="6073" spans="1:9" x14ac:dyDescent="0.2">
      <c r="A6073" s="134">
        <v>45757</v>
      </c>
      <c r="B6073" s="135">
        <f>YEAR(source[[#This Row],[report_date]])</f>
        <v>2025</v>
      </c>
      <c r="C6073" s="128">
        <f t="shared" si="283"/>
        <v>4</v>
      </c>
      <c r="D6073" s="136">
        <f t="shared" si="282"/>
        <v>15</v>
      </c>
      <c r="E6073" s="136">
        <f t="shared" si="284"/>
        <v>10</v>
      </c>
      <c r="F6073" s="128" t="s">
        <v>24</v>
      </c>
      <c r="G6073" s="128" t="str">
        <f>VLOOKUP(source[[#This Row],[lending_product_transform]],[3]Mapping!$B$4:$C$37,2,0)</f>
        <v>[Cake] - Cashloan</v>
      </c>
      <c r="H6073" s="128" t="str">
        <f>VLOOKUP(source[[#This Row],[lending_product_transform]],[3]Mapping!$B$3:$D$37,3,0)</f>
        <v>cashloan</v>
      </c>
      <c r="I6073" s="135">
        <v>5294274810</v>
      </c>
    </row>
    <row r="6074" spans="1:9" x14ac:dyDescent="0.2">
      <c r="A6074" s="134">
        <v>45757</v>
      </c>
      <c r="B6074" s="135">
        <f>YEAR(source[[#This Row],[report_date]])</f>
        <v>2025</v>
      </c>
      <c r="C6074" s="128">
        <f t="shared" si="283"/>
        <v>4</v>
      </c>
      <c r="D6074" s="136">
        <f t="shared" si="282"/>
        <v>15</v>
      </c>
      <c r="E6074" s="136">
        <f t="shared" si="284"/>
        <v>10</v>
      </c>
      <c r="F6074" s="128" t="s">
        <v>24</v>
      </c>
      <c r="G6074" s="128" t="str">
        <f>VLOOKUP(source[[#This Row],[lending_product_transform]],[3]Mapping!$B$4:$C$37,2,0)</f>
        <v>[Cake] - Cashloan</v>
      </c>
      <c r="H6074" s="128" t="str">
        <f>VLOOKUP(source[[#This Row],[lending_product_transform]],[3]Mapping!$B$3:$D$37,3,0)</f>
        <v>cashloan</v>
      </c>
      <c r="I6074" s="135">
        <v>7397352000</v>
      </c>
    </row>
    <row r="6075" spans="1:9" x14ac:dyDescent="0.2">
      <c r="A6075" s="134">
        <v>45757</v>
      </c>
      <c r="B6075" s="135">
        <f>YEAR(source[[#This Row],[report_date]])</f>
        <v>2025</v>
      </c>
      <c r="C6075" s="128">
        <f t="shared" si="283"/>
        <v>4</v>
      </c>
      <c r="D6075" s="136">
        <f t="shared" si="282"/>
        <v>15</v>
      </c>
      <c r="E6075" s="136">
        <f t="shared" si="284"/>
        <v>10</v>
      </c>
      <c r="F6075" s="128" t="s">
        <v>24</v>
      </c>
      <c r="G6075" s="128" t="str">
        <f>VLOOKUP(source[[#This Row],[lending_product_transform]],[3]Mapping!$B$4:$C$37,2,0)</f>
        <v>[Cake] - Cashloan</v>
      </c>
      <c r="H6075" s="128" t="str">
        <f>VLOOKUP(source[[#This Row],[lending_product_transform]],[3]Mapping!$B$3:$D$37,3,0)</f>
        <v>cashloan</v>
      </c>
      <c r="I6075" s="135">
        <v>194736595</v>
      </c>
    </row>
    <row r="6076" spans="1:9" x14ac:dyDescent="0.2">
      <c r="A6076" s="134">
        <v>45757</v>
      </c>
      <c r="B6076" s="135">
        <f>YEAR(source[[#This Row],[report_date]])</f>
        <v>2025</v>
      </c>
      <c r="C6076" s="128">
        <f t="shared" si="283"/>
        <v>4</v>
      </c>
      <c r="D6076" s="136">
        <f t="shared" si="282"/>
        <v>15</v>
      </c>
      <c r="E6076" s="136">
        <f t="shared" si="284"/>
        <v>10</v>
      </c>
      <c r="F6076" s="128" t="s">
        <v>24</v>
      </c>
      <c r="G6076" s="128" t="str">
        <f>VLOOKUP(source[[#This Row],[lending_product_transform]],[3]Mapping!$B$4:$C$37,2,0)</f>
        <v>[Cake] - Cashloan</v>
      </c>
      <c r="H6076" s="128" t="str">
        <f>VLOOKUP(source[[#This Row],[lending_product_transform]],[3]Mapping!$B$3:$D$37,3,0)</f>
        <v>cashloan</v>
      </c>
      <c r="I6076" s="135">
        <v>9156040000</v>
      </c>
    </row>
    <row r="6077" spans="1:9" x14ac:dyDescent="0.2">
      <c r="A6077" s="134">
        <v>45757</v>
      </c>
      <c r="B6077" s="135">
        <f>YEAR(source[[#This Row],[report_date]])</f>
        <v>2025</v>
      </c>
      <c r="C6077" s="128">
        <f t="shared" si="283"/>
        <v>4</v>
      </c>
      <c r="D6077" s="136">
        <f t="shared" si="282"/>
        <v>15</v>
      </c>
      <c r="E6077" s="136">
        <f t="shared" si="284"/>
        <v>10</v>
      </c>
      <c r="F6077" s="128" t="s">
        <v>24</v>
      </c>
      <c r="G6077" s="128" t="str">
        <f>VLOOKUP(source[[#This Row],[lending_product_transform]],[3]Mapping!$B$4:$C$37,2,0)</f>
        <v>[Cake] - Cashloan</v>
      </c>
      <c r="H6077" s="128" t="str">
        <f>VLOOKUP(source[[#This Row],[lending_product_transform]],[3]Mapping!$B$3:$D$37,3,0)</f>
        <v>cashloan</v>
      </c>
      <c r="I6077" s="135">
        <v>9662570000</v>
      </c>
    </row>
    <row r="6078" spans="1:9" x14ac:dyDescent="0.2">
      <c r="A6078" s="134">
        <v>45757</v>
      </c>
      <c r="B6078" s="135">
        <f>YEAR(source[[#This Row],[report_date]])</f>
        <v>2025</v>
      </c>
      <c r="C6078" s="128">
        <f t="shared" si="283"/>
        <v>4</v>
      </c>
      <c r="D6078" s="136">
        <f t="shared" si="282"/>
        <v>15</v>
      </c>
      <c r="E6078" s="136">
        <f t="shared" si="284"/>
        <v>10</v>
      </c>
      <c r="F6078" s="128" t="s">
        <v>24</v>
      </c>
      <c r="G6078" s="128" t="str">
        <f>VLOOKUP(source[[#This Row],[lending_product_transform]],[3]Mapping!$B$4:$C$37,2,0)</f>
        <v>[Cake] - Cashloan</v>
      </c>
      <c r="H6078" s="128" t="str">
        <f>VLOOKUP(source[[#This Row],[lending_product_transform]],[3]Mapping!$B$3:$D$37,3,0)</f>
        <v>cashloan</v>
      </c>
      <c r="I6078" s="135">
        <v>498704002</v>
      </c>
    </row>
    <row r="6079" spans="1:9" x14ac:dyDescent="0.2">
      <c r="A6079" s="134">
        <v>45757</v>
      </c>
      <c r="B6079" s="135">
        <f>YEAR(source[[#This Row],[report_date]])</f>
        <v>2025</v>
      </c>
      <c r="C6079" s="128">
        <f t="shared" si="283"/>
        <v>4</v>
      </c>
      <c r="D6079" s="136">
        <f t="shared" si="282"/>
        <v>15</v>
      </c>
      <c r="E6079" s="136">
        <f t="shared" si="284"/>
        <v>10</v>
      </c>
      <c r="F6079" s="128" t="s">
        <v>24</v>
      </c>
      <c r="G6079" s="128" t="str">
        <f>VLOOKUP(source[[#This Row],[lending_product_transform]],[3]Mapping!$B$4:$C$37,2,0)</f>
        <v>[Cake] - Cashloan</v>
      </c>
      <c r="H6079" s="128" t="str">
        <f>VLOOKUP(source[[#This Row],[lending_product_transform]],[3]Mapping!$B$3:$D$37,3,0)</f>
        <v>cashloan</v>
      </c>
      <c r="I6079" s="135">
        <v>0</v>
      </c>
    </row>
    <row r="6080" spans="1:9" x14ac:dyDescent="0.2">
      <c r="A6080" s="134">
        <v>45757</v>
      </c>
      <c r="B6080" s="135">
        <f>YEAR(source[[#This Row],[report_date]])</f>
        <v>2025</v>
      </c>
      <c r="C6080" s="128">
        <f t="shared" si="283"/>
        <v>4</v>
      </c>
      <c r="D6080" s="136">
        <f t="shared" si="282"/>
        <v>15</v>
      </c>
      <c r="E6080" s="136">
        <f t="shared" si="284"/>
        <v>10</v>
      </c>
      <c r="F6080" s="128" t="s">
        <v>24</v>
      </c>
      <c r="G6080" s="128" t="str">
        <f>VLOOKUP(source[[#This Row],[lending_product_transform]],[3]Mapping!$B$4:$C$37,2,0)</f>
        <v>[Cake] - Cashloan</v>
      </c>
      <c r="H6080" s="128" t="str">
        <f>VLOOKUP(source[[#This Row],[lending_product_transform]],[3]Mapping!$B$3:$D$37,3,0)</f>
        <v>cashloan</v>
      </c>
      <c r="I6080" s="135">
        <v>0</v>
      </c>
    </row>
    <row r="6081" spans="1:9" x14ac:dyDescent="0.2">
      <c r="A6081" s="134">
        <v>45757</v>
      </c>
      <c r="B6081" s="135">
        <f>YEAR(source[[#This Row],[report_date]])</f>
        <v>2025</v>
      </c>
      <c r="C6081" s="128">
        <f t="shared" si="283"/>
        <v>4</v>
      </c>
      <c r="D6081" s="136">
        <f t="shared" si="282"/>
        <v>15</v>
      </c>
      <c r="E6081" s="136">
        <f t="shared" si="284"/>
        <v>10</v>
      </c>
      <c r="F6081" s="128" t="s">
        <v>24</v>
      </c>
      <c r="G6081" s="128" t="str">
        <f>VLOOKUP(source[[#This Row],[lending_product_transform]],[3]Mapping!$B$4:$C$37,2,0)</f>
        <v>[Cake] - Cashloan</v>
      </c>
      <c r="H6081" s="128" t="str">
        <f>VLOOKUP(source[[#This Row],[lending_product_transform]],[3]Mapping!$B$3:$D$37,3,0)</f>
        <v>cashloan</v>
      </c>
      <c r="I6081" s="135">
        <v>477641891</v>
      </c>
    </row>
    <row r="6082" spans="1:9" x14ac:dyDescent="0.2">
      <c r="A6082" s="134">
        <v>45757</v>
      </c>
      <c r="B6082" s="135">
        <f>YEAR(source[[#This Row],[report_date]])</f>
        <v>2025</v>
      </c>
      <c r="C6082" s="128">
        <f t="shared" si="283"/>
        <v>4</v>
      </c>
      <c r="D6082" s="136">
        <f t="shared" si="282"/>
        <v>15</v>
      </c>
      <c r="E6082" s="136">
        <f t="shared" si="284"/>
        <v>10</v>
      </c>
      <c r="F6082" s="128" t="s">
        <v>24</v>
      </c>
      <c r="G6082" s="128" t="str">
        <f>VLOOKUP(source[[#This Row],[lending_product_transform]],[3]Mapping!$B$4:$C$37,2,0)</f>
        <v>[Cake] - Cashloan</v>
      </c>
      <c r="H6082" s="128" t="str">
        <f>VLOOKUP(source[[#This Row],[lending_product_transform]],[3]Mapping!$B$3:$D$37,3,0)</f>
        <v>cashloan</v>
      </c>
      <c r="I6082" s="135">
        <v>0</v>
      </c>
    </row>
    <row r="6083" spans="1:9" x14ac:dyDescent="0.2">
      <c r="A6083" s="134">
        <v>45757</v>
      </c>
      <c r="B6083" s="135">
        <f>YEAR(source[[#This Row],[report_date]])</f>
        <v>2025</v>
      </c>
      <c r="C6083" s="128">
        <f t="shared" si="283"/>
        <v>4</v>
      </c>
      <c r="D6083" s="136">
        <f t="shared" ref="D6083:D6146" si="285">WEEKNUM(A6083,2)</f>
        <v>15</v>
      </c>
      <c r="E6083" s="136">
        <f t="shared" si="284"/>
        <v>10</v>
      </c>
      <c r="F6083" s="128" t="s">
        <v>24</v>
      </c>
      <c r="G6083" s="128" t="str">
        <f>VLOOKUP(source[[#This Row],[lending_product_transform]],[3]Mapping!$B$4:$C$37,2,0)</f>
        <v>[Cake] - Cashloan</v>
      </c>
      <c r="H6083" s="128" t="str">
        <f>VLOOKUP(source[[#This Row],[lending_product_transform]],[3]Mapping!$B$3:$D$37,3,0)</f>
        <v>cashloan</v>
      </c>
      <c r="I6083" s="135">
        <v>0</v>
      </c>
    </row>
    <row r="6084" spans="1:9" x14ac:dyDescent="0.2">
      <c r="A6084" s="134">
        <v>45757</v>
      </c>
      <c r="B6084" s="135">
        <f>YEAR(source[[#This Row],[report_date]])</f>
        <v>2025</v>
      </c>
      <c r="C6084" s="128">
        <f t="shared" si="283"/>
        <v>4</v>
      </c>
      <c r="D6084" s="136">
        <f t="shared" si="285"/>
        <v>15</v>
      </c>
      <c r="E6084" s="136">
        <f t="shared" si="284"/>
        <v>10</v>
      </c>
      <c r="F6084" s="128" t="s">
        <v>24</v>
      </c>
      <c r="G6084" s="128" t="str">
        <f>VLOOKUP(source[[#This Row],[lending_product_transform]],[3]Mapping!$B$4:$C$37,2,0)</f>
        <v>[Cake] - Cashloan</v>
      </c>
      <c r="H6084" s="128" t="str">
        <f>VLOOKUP(source[[#This Row],[lending_product_transform]],[3]Mapping!$B$3:$D$37,3,0)</f>
        <v>cashloan</v>
      </c>
      <c r="I6084" s="135">
        <v>0</v>
      </c>
    </row>
    <row r="6085" spans="1:9" x14ac:dyDescent="0.2">
      <c r="A6085" s="134">
        <v>45757</v>
      </c>
      <c r="B6085" s="135">
        <f>YEAR(source[[#This Row],[report_date]])</f>
        <v>2025</v>
      </c>
      <c r="C6085" s="128">
        <f t="shared" si="283"/>
        <v>4</v>
      </c>
      <c r="D6085" s="136">
        <f t="shared" si="285"/>
        <v>15</v>
      </c>
      <c r="E6085" s="136">
        <f t="shared" si="284"/>
        <v>10</v>
      </c>
      <c r="F6085" s="128" t="s">
        <v>24</v>
      </c>
      <c r="G6085" s="128" t="str">
        <f>VLOOKUP(source[[#This Row],[lending_product_transform]],[3]Mapping!$B$4:$C$37,2,0)</f>
        <v>[Cake] - Cashloan</v>
      </c>
      <c r="H6085" s="128" t="str">
        <f>VLOOKUP(source[[#This Row],[lending_product_transform]],[3]Mapping!$B$3:$D$37,3,0)</f>
        <v>cashloan</v>
      </c>
      <c r="I6085" s="135">
        <v>29388532</v>
      </c>
    </row>
    <row r="6086" spans="1:9" x14ac:dyDescent="0.2">
      <c r="A6086" s="134">
        <v>45757</v>
      </c>
      <c r="B6086" s="135">
        <f>YEAR(source[[#This Row],[report_date]])</f>
        <v>2025</v>
      </c>
      <c r="C6086" s="128">
        <f t="shared" si="283"/>
        <v>4</v>
      </c>
      <c r="D6086" s="136">
        <f t="shared" si="285"/>
        <v>15</v>
      </c>
      <c r="E6086" s="136">
        <f t="shared" si="284"/>
        <v>10</v>
      </c>
      <c r="F6086" s="128" t="s">
        <v>24</v>
      </c>
      <c r="G6086" s="128" t="str">
        <f>VLOOKUP(source[[#This Row],[lending_product_transform]],[3]Mapping!$B$4:$C$37,2,0)</f>
        <v>[Cake] - Cashloan</v>
      </c>
      <c r="H6086" s="128" t="str">
        <f>VLOOKUP(source[[#This Row],[lending_product_transform]],[3]Mapping!$B$3:$D$37,3,0)</f>
        <v>cashloan</v>
      </c>
      <c r="I6086" s="135">
        <v>21000000</v>
      </c>
    </row>
    <row r="6087" spans="1:9" x14ac:dyDescent="0.2">
      <c r="A6087" s="134">
        <v>45757</v>
      </c>
      <c r="B6087" s="135">
        <f>YEAR(source[[#This Row],[report_date]])</f>
        <v>2025</v>
      </c>
      <c r="C6087" s="128">
        <f t="shared" si="283"/>
        <v>4</v>
      </c>
      <c r="D6087" s="136">
        <f t="shared" si="285"/>
        <v>15</v>
      </c>
      <c r="E6087" s="136">
        <f t="shared" si="284"/>
        <v>10</v>
      </c>
      <c r="F6087" s="128" t="s">
        <v>24</v>
      </c>
      <c r="G6087" s="128" t="str">
        <f>VLOOKUP(source[[#This Row],[lending_product_transform]],[3]Mapping!$B$4:$C$37,2,0)</f>
        <v>[Cake] - Cashloan</v>
      </c>
      <c r="H6087" s="128" t="str">
        <f>VLOOKUP(source[[#This Row],[lending_product_transform]],[3]Mapping!$B$3:$D$37,3,0)</f>
        <v>cashloan</v>
      </c>
      <c r="I6087" s="135">
        <v>0</v>
      </c>
    </row>
    <row r="6088" spans="1:9" x14ac:dyDescent="0.2">
      <c r="A6088" s="134">
        <v>45757</v>
      </c>
      <c r="B6088" s="135">
        <f>YEAR(source[[#This Row],[report_date]])</f>
        <v>2025</v>
      </c>
      <c r="C6088" s="128">
        <f t="shared" si="283"/>
        <v>4</v>
      </c>
      <c r="D6088" s="136">
        <f t="shared" si="285"/>
        <v>15</v>
      </c>
      <c r="E6088" s="136">
        <f t="shared" si="284"/>
        <v>10</v>
      </c>
      <c r="F6088" s="128" t="s">
        <v>24</v>
      </c>
      <c r="G6088" s="128" t="str">
        <f>VLOOKUP(source[[#This Row],[lending_product_transform]],[3]Mapping!$B$4:$C$37,2,0)</f>
        <v>[Cake] - Cashloan</v>
      </c>
      <c r="H6088" s="128" t="str">
        <f>VLOOKUP(source[[#This Row],[lending_product_transform]],[3]Mapping!$B$3:$D$37,3,0)</f>
        <v>cashloan</v>
      </c>
      <c r="I6088" s="135">
        <v>50000000</v>
      </c>
    </row>
    <row r="6089" spans="1:9" x14ac:dyDescent="0.2">
      <c r="A6089" s="134">
        <v>45757</v>
      </c>
      <c r="B6089" s="135">
        <f>YEAR(source[[#This Row],[report_date]])</f>
        <v>2025</v>
      </c>
      <c r="C6089" s="128">
        <f t="shared" si="283"/>
        <v>4</v>
      </c>
      <c r="D6089" s="136">
        <f t="shared" si="285"/>
        <v>15</v>
      </c>
      <c r="E6089" s="136">
        <f t="shared" si="284"/>
        <v>10</v>
      </c>
      <c r="F6089" s="128" t="s">
        <v>24</v>
      </c>
      <c r="G6089" s="128" t="str">
        <f>VLOOKUP(source[[#This Row],[lending_product_transform]],[3]Mapping!$B$4:$C$37,2,0)</f>
        <v>[Cake] - Cashloan</v>
      </c>
      <c r="H6089" s="128" t="str">
        <f>VLOOKUP(source[[#This Row],[lending_product_transform]],[3]Mapping!$B$3:$D$37,3,0)</f>
        <v>cashloan</v>
      </c>
      <c r="I6089" s="135">
        <v>0</v>
      </c>
    </row>
    <row r="6090" spans="1:9" x14ac:dyDescent="0.2">
      <c r="A6090" s="134">
        <v>45757</v>
      </c>
      <c r="B6090" s="135">
        <f>YEAR(source[[#This Row],[report_date]])</f>
        <v>2025</v>
      </c>
      <c r="C6090" s="128">
        <f t="shared" si="283"/>
        <v>4</v>
      </c>
      <c r="D6090" s="136">
        <f t="shared" si="285"/>
        <v>15</v>
      </c>
      <c r="E6090" s="136">
        <f t="shared" si="284"/>
        <v>10</v>
      </c>
      <c r="F6090" s="128" t="s">
        <v>24</v>
      </c>
      <c r="G6090" s="128" t="str">
        <f>VLOOKUP(source[[#This Row],[lending_product_transform]],[3]Mapping!$B$4:$C$37,2,0)</f>
        <v>[Cake] - Cashloan</v>
      </c>
      <c r="H6090" s="128" t="str">
        <f>VLOOKUP(source[[#This Row],[lending_product_transform]],[3]Mapping!$B$3:$D$37,3,0)</f>
        <v>cashloan</v>
      </c>
      <c r="I6090" s="135">
        <v>626510000</v>
      </c>
    </row>
    <row r="6091" spans="1:9" x14ac:dyDescent="0.2">
      <c r="A6091" s="134">
        <v>45757</v>
      </c>
      <c r="B6091" s="135">
        <f>YEAR(source[[#This Row],[report_date]])</f>
        <v>2025</v>
      </c>
      <c r="C6091" s="128">
        <f t="shared" si="283"/>
        <v>4</v>
      </c>
      <c r="D6091" s="136">
        <f t="shared" si="285"/>
        <v>15</v>
      </c>
      <c r="E6091" s="136">
        <f t="shared" si="284"/>
        <v>10</v>
      </c>
      <c r="F6091" s="128" t="s">
        <v>24</v>
      </c>
      <c r="G6091" s="128" t="str">
        <f>VLOOKUP(source[[#This Row],[lending_product_transform]],[3]Mapping!$B$4:$C$37,2,0)</f>
        <v>[Cake] - Cashloan</v>
      </c>
      <c r="H6091" s="128" t="str">
        <f>VLOOKUP(source[[#This Row],[lending_product_transform]],[3]Mapping!$B$3:$D$37,3,0)</f>
        <v>cashloan</v>
      </c>
      <c r="I6091" s="135">
        <v>980650000</v>
      </c>
    </row>
    <row r="6092" spans="1:9" x14ac:dyDescent="0.2">
      <c r="A6092" s="134">
        <v>45758</v>
      </c>
      <c r="B6092" s="135">
        <f>YEAR(source[[#This Row],[report_date]])</f>
        <v>2025</v>
      </c>
      <c r="C6092" s="128">
        <f t="shared" si="283"/>
        <v>4</v>
      </c>
      <c r="D6092" s="136">
        <f t="shared" si="285"/>
        <v>15</v>
      </c>
      <c r="E6092" s="136">
        <f t="shared" si="284"/>
        <v>11</v>
      </c>
      <c r="F6092" s="128" t="s">
        <v>24</v>
      </c>
      <c r="G6092" s="128" t="str">
        <f>VLOOKUP(source[[#This Row],[lending_product_transform]],[3]Mapping!$B$4:$C$37,2,0)</f>
        <v>[Cake] - Cashloan</v>
      </c>
      <c r="H6092" s="128" t="str">
        <f>VLOOKUP(source[[#This Row],[lending_product_transform]],[3]Mapping!$B$3:$D$37,3,0)</f>
        <v>cashloan</v>
      </c>
      <c r="I6092" s="135">
        <v>6757236000</v>
      </c>
    </row>
    <row r="6093" spans="1:9" x14ac:dyDescent="0.2">
      <c r="A6093" s="134">
        <v>45758</v>
      </c>
      <c r="B6093" s="135">
        <f>YEAR(source[[#This Row],[report_date]])</f>
        <v>2025</v>
      </c>
      <c r="C6093" s="128">
        <f t="shared" si="283"/>
        <v>4</v>
      </c>
      <c r="D6093" s="136">
        <f t="shared" si="285"/>
        <v>15</v>
      </c>
      <c r="E6093" s="136">
        <f t="shared" si="284"/>
        <v>11</v>
      </c>
      <c r="F6093" s="128" t="s">
        <v>24</v>
      </c>
      <c r="G6093" s="128" t="str">
        <f>VLOOKUP(source[[#This Row],[lending_product_transform]],[3]Mapping!$B$4:$C$37,2,0)</f>
        <v>[Cake] - Cashloan</v>
      </c>
      <c r="H6093" s="128" t="str">
        <f>VLOOKUP(source[[#This Row],[lending_product_transform]],[3]Mapping!$B$3:$D$37,3,0)</f>
        <v>cashloan</v>
      </c>
      <c r="I6093" s="135">
        <v>9156990000</v>
      </c>
    </row>
    <row r="6094" spans="1:9" x14ac:dyDescent="0.2">
      <c r="A6094" s="134">
        <v>45758</v>
      </c>
      <c r="B6094" s="135">
        <f>YEAR(source[[#This Row],[report_date]])</f>
        <v>2025</v>
      </c>
      <c r="C6094" s="128">
        <f t="shared" si="283"/>
        <v>4</v>
      </c>
      <c r="D6094" s="136">
        <f t="shared" si="285"/>
        <v>15</v>
      </c>
      <c r="E6094" s="136">
        <f t="shared" si="284"/>
        <v>11</v>
      </c>
      <c r="F6094" s="128" t="s">
        <v>24</v>
      </c>
      <c r="G6094" s="128" t="str">
        <f>VLOOKUP(source[[#This Row],[lending_product_transform]],[3]Mapping!$B$4:$C$37,2,0)</f>
        <v>[Cake] - Cashloan</v>
      </c>
      <c r="H6094" s="128" t="str">
        <f>VLOOKUP(source[[#This Row],[lending_product_transform]],[3]Mapping!$B$3:$D$37,3,0)</f>
        <v>cashloan</v>
      </c>
      <c r="I6094" s="135">
        <v>3862847554</v>
      </c>
    </row>
    <row r="6095" spans="1:9" x14ac:dyDescent="0.2">
      <c r="A6095" s="134">
        <v>45758</v>
      </c>
      <c r="B6095" s="135">
        <f>YEAR(source[[#This Row],[report_date]])</f>
        <v>2025</v>
      </c>
      <c r="C6095" s="128">
        <f t="shared" si="283"/>
        <v>4</v>
      </c>
      <c r="D6095" s="136">
        <f t="shared" si="285"/>
        <v>15</v>
      </c>
      <c r="E6095" s="136">
        <f t="shared" si="284"/>
        <v>11</v>
      </c>
      <c r="F6095" s="128" t="s">
        <v>24</v>
      </c>
      <c r="G6095" s="128" t="str">
        <f>VLOOKUP(source[[#This Row],[lending_product_transform]],[3]Mapping!$B$4:$C$37,2,0)</f>
        <v>[Cake] - Cashloan</v>
      </c>
      <c r="H6095" s="128" t="str">
        <f>VLOOKUP(source[[#This Row],[lending_product_transform]],[3]Mapping!$B$3:$D$37,3,0)</f>
        <v>cashloan</v>
      </c>
      <c r="I6095" s="135">
        <v>0</v>
      </c>
    </row>
    <row r="6096" spans="1:9" x14ac:dyDescent="0.2">
      <c r="A6096" s="134">
        <v>45758</v>
      </c>
      <c r="B6096" s="135">
        <f>YEAR(source[[#This Row],[report_date]])</f>
        <v>2025</v>
      </c>
      <c r="C6096" s="128">
        <f t="shared" si="283"/>
        <v>4</v>
      </c>
      <c r="D6096" s="136">
        <f t="shared" si="285"/>
        <v>15</v>
      </c>
      <c r="E6096" s="136">
        <f t="shared" si="284"/>
        <v>11</v>
      </c>
      <c r="F6096" s="128" t="s">
        <v>24</v>
      </c>
      <c r="G6096" s="128" t="str">
        <f>VLOOKUP(source[[#This Row],[lending_product_transform]],[3]Mapping!$B$4:$C$37,2,0)</f>
        <v>[Cake] - Cashloan</v>
      </c>
      <c r="H6096" s="128" t="str">
        <f>VLOOKUP(source[[#This Row],[lending_product_transform]],[3]Mapping!$B$3:$D$37,3,0)</f>
        <v>cashloan</v>
      </c>
      <c r="I6096" s="135">
        <v>1405840000</v>
      </c>
    </row>
    <row r="6097" spans="1:9" x14ac:dyDescent="0.2">
      <c r="A6097" s="134">
        <v>45758</v>
      </c>
      <c r="B6097" s="135">
        <f>YEAR(source[[#This Row],[report_date]])</f>
        <v>2025</v>
      </c>
      <c r="C6097" s="128">
        <f t="shared" si="283"/>
        <v>4</v>
      </c>
      <c r="D6097" s="136">
        <f t="shared" si="285"/>
        <v>15</v>
      </c>
      <c r="E6097" s="136">
        <f t="shared" si="284"/>
        <v>11</v>
      </c>
      <c r="F6097" s="128" t="s">
        <v>24</v>
      </c>
      <c r="G6097" s="128" t="str">
        <f>VLOOKUP(source[[#This Row],[lending_product_transform]],[3]Mapping!$B$4:$C$37,2,0)</f>
        <v>[Cake] - Cashloan</v>
      </c>
      <c r="H6097" s="128" t="str">
        <f>VLOOKUP(source[[#This Row],[lending_product_transform]],[3]Mapping!$B$3:$D$37,3,0)</f>
        <v>cashloan</v>
      </c>
      <c r="I6097" s="135">
        <v>427667553</v>
      </c>
    </row>
    <row r="6098" spans="1:9" x14ac:dyDescent="0.2">
      <c r="A6098" s="134">
        <v>45758</v>
      </c>
      <c r="B6098" s="135">
        <f>YEAR(source[[#This Row],[report_date]])</f>
        <v>2025</v>
      </c>
      <c r="C6098" s="128">
        <f t="shared" si="283"/>
        <v>4</v>
      </c>
      <c r="D6098" s="136">
        <f t="shared" si="285"/>
        <v>15</v>
      </c>
      <c r="E6098" s="136">
        <f t="shared" si="284"/>
        <v>11</v>
      </c>
      <c r="F6098" s="128" t="s">
        <v>24</v>
      </c>
      <c r="G6098" s="128" t="str">
        <f>VLOOKUP(source[[#This Row],[lending_product_transform]],[3]Mapping!$B$4:$C$37,2,0)</f>
        <v>[Cake] - Cashloan</v>
      </c>
      <c r="H6098" s="128" t="str">
        <f>VLOOKUP(source[[#This Row],[lending_product_transform]],[3]Mapping!$B$3:$D$37,3,0)</f>
        <v>cashloan</v>
      </c>
      <c r="I6098" s="135">
        <v>29000000</v>
      </c>
    </row>
    <row r="6099" spans="1:9" x14ac:dyDescent="0.2">
      <c r="A6099" s="134">
        <v>45758</v>
      </c>
      <c r="B6099" s="135">
        <f>YEAR(source[[#This Row],[report_date]])</f>
        <v>2025</v>
      </c>
      <c r="C6099" s="128">
        <f t="shared" si="283"/>
        <v>4</v>
      </c>
      <c r="D6099" s="136">
        <f t="shared" si="285"/>
        <v>15</v>
      </c>
      <c r="E6099" s="136">
        <f t="shared" si="284"/>
        <v>11</v>
      </c>
      <c r="F6099" s="128" t="s">
        <v>24</v>
      </c>
      <c r="G6099" s="128" t="str">
        <f>VLOOKUP(source[[#This Row],[lending_product_transform]],[3]Mapping!$B$4:$C$37,2,0)</f>
        <v>[Cake] - Cashloan</v>
      </c>
      <c r="H6099" s="128" t="str">
        <f>VLOOKUP(source[[#This Row],[lending_product_transform]],[3]Mapping!$B$3:$D$37,3,0)</f>
        <v>cashloan</v>
      </c>
      <c r="I6099" s="135">
        <v>8892070000</v>
      </c>
    </row>
    <row r="6100" spans="1:9" x14ac:dyDescent="0.2">
      <c r="A6100" s="134">
        <v>45758</v>
      </c>
      <c r="B6100" s="135">
        <f>YEAR(source[[#This Row],[report_date]])</f>
        <v>2025</v>
      </c>
      <c r="C6100" s="128">
        <f t="shared" si="283"/>
        <v>4</v>
      </c>
      <c r="D6100" s="136">
        <f t="shared" si="285"/>
        <v>15</v>
      </c>
      <c r="E6100" s="136">
        <f t="shared" si="284"/>
        <v>11</v>
      </c>
      <c r="F6100" s="128" t="s">
        <v>24</v>
      </c>
      <c r="G6100" s="128" t="str">
        <f>VLOOKUP(source[[#This Row],[lending_product_transform]],[3]Mapping!$B$4:$C$37,2,0)</f>
        <v>[Cake] - Cashloan</v>
      </c>
      <c r="H6100" s="128" t="str">
        <f>VLOOKUP(source[[#This Row],[lending_product_transform]],[3]Mapping!$B$3:$D$37,3,0)</f>
        <v>cashloan</v>
      </c>
      <c r="I6100" s="135">
        <v>18432912</v>
      </c>
    </row>
    <row r="6101" spans="1:9" x14ac:dyDescent="0.2">
      <c r="A6101" s="134">
        <v>45758</v>
      </c>
      <c r="B6101" s="135">
        <f>YEAR(source[[#This Row],[report_date]])</f>
        <v>2025</v>
      </c>
      <c r="C6101" s="128">
        <f t="shared" si="283"/>
        <v>4</v>
      </c>
      <c r="D6101" s="136">
        <f t="shared" si="285"/>
        <v>15</v>
      </c>
      <c r="E6101" s="136">
        <f t="shared" si="284"/>
        <v>11</v>
      </c>
      <c r="F6101" s="128" t="s">
        <v>24</v>
      </c>
      <c r="G6101" s="128" t="str">
        <f>VLOOKUP(source[[#This Row],[lending_product_transform]],[3]Mapping!$B$4:$C$37,2,0)</f>
        <v>[Cake] - Cashloan</v>
      </c>
      <c r="H6101" s="128" t="str">
        <f>VLOOKUP(source[[#This Row],[lending_product_transform]],[3]Mapping!$B$3:$D$37,3,0)</f>
        <v>cashloan</v>
      </c>
      <c r="I6101" s="135">
        <v>57750000</v>
      </c>
    </row>
    <row r="6102" spans="1:9" x14ac:dyDescent="0.2">
      <c r="A6102" s="134">
        <v>45758</v>
      </c>
      <c r="B6102" s="135">
        <f>YEAR(source[[#This Row],[report_date]])</f>
        <v>2025</v>
      </c>
      <c r="C6102" s="128">
        <f t="shared" si="283"/>
        <v>4</v>
      </c>
      <c r="D6102" s="136">
        <f t="shared" si="285"/>
        <v>15</v>
      </c>
      <c r="E6102" s="136">
        <f t="shared" si="284"/>
        <v>11</v>
      </c>
      <c r="F6102" s="128" t="s">
        <v>24</v>
      </c>
      <c r="G6102" s="128" t="str">
        <f>VLOOKUP(source[[#This Row],[lending_product_transform]],[3]Mapping!$B$4:$C$37,2,0)</f>
        <v>[Cake] - Cashloan</v>
      </c>
      <c r="H6102" s="128" t="str">
        <f>VLOOKUP(source[[#This Row],[lending_product_transform]],[3]Mapping!$B$3:$D$37,3,0)</f>
        <v>cashloan</v>
      </c>
      <c r="I6102" s="135">
        <v>0</v>
      </c>
    </row>
    <row r="6103" spans="1:9" x14ac:dyDescent="0.2">
      <c r="A6103" s="134">
        <v>45758</v>
      </c>
      <c r="B6103" s="135">
        <f>YEAR(source[[#This Row],[report_date]])</f>
        <v>2025</v>
      </c>
      <c r="C6103" s="128">
        <f t="shared" si="283"/>
        <v>4</v>
      </c>
      <c r="D6103" s="136">
        <f t="shared" si="285"/>
        <v>15</v>
      </c>
      <c r="E6103" s="136">
        <f t="shared" si="284"/>
        <v>11</v>
      </c>
      <c r="F6103" s="128" t="s">
        <v>24</v>
      </c>
      <c r="G6103" s="128" t="str">
        <f>VLOOKUP(source[[#This Row],[lending_product_transform]],[3]Mapping!$B$4:$C$37,2,0)</f>
        <v>[Cake] - Cashloan</v>
      </c>
      <c r="H6103" s="128" t="str">
        <f>VLOOKUP(source[[#This Row],[lending_product_transform]],[3]Mapping!$B$3:$D$37,3,0)</f>
        <v>cashloan</v>
      </c>
      <c r="I6103" s="135">
        <v>0</v>
      </c>
    </row>
    <row r="6104" spans="1:9" x14ac:dyDescent="0.2">
      <c r="A6104" s="134">
        <v>45758</v>
      </c>
      <c r="B6104" s="135">
        <f>YEAR(source[[#This Row],[report_date]])</f>
        <v>2025</v>
      </c>
      <c r="C6104" s="128">
        <f t="shared" si="283"/>
        <v>4</v>
      </c>
      <c r="D6104" s="136">
        <f t="shared" si="285"/>
        <v>15</v>
      </c>
      <c r="E6104" s="136">
        <f t="shared" si="284"/>
        <v>11</v>
      </c>
      <c r="F6104" s="128" t="s">
        <v>24</v>
      </c>
      <c r="G6104" s="128" t="str">
        <f>VLOOKUP(source[[#This Row],[lending_product_transform]],[3]Mapping!$B$4:$C$37,2,0)</f>
        <v>[Cake] - Cashloan</v>
      </c>
      <c r="H6104" s="128" t="str">
        <f>VLOOKUP(source[[#This Row],[lending_product_transform]],[3]Mapping!$B$3:$D$37,3,0)</f>
        <v>cashloan</v>
      </c>
      <c r="I6104" s="135">
        <v>0</v>
      </c>
    </row>
    <row r="6105" spans="1:9" x14ac:dyDescent="0.2">
      <c r="A6105" s="134">
        <v>45758</v>
      </c>
      <c r="B6105" s="135">
        <f>YEAR(source[[#This Row],[report_date]])</f>
        <v>2025</v>
      </c>
      <c r="C6105" s="128">
        <f t="shared" si="283"/>
        <v>4</v>
      </c>
      <c r="D6105" s="136">
        <f t="shared" si="285"/>
        <v>15</v>
      </c>
      <c r="E6105" s="136">
        <f t="shared" si="284"/>
        <v>11</v>
      </c>
      <c r="F6105" s="128" t="s">
        <v>24</v>
      </c>
      <c r="G6105" s="128" t="str">
        <f>VLOOKUP(source[[#This Row],[lending_product_transform]],[3]Mapping!$B$4:$C$37,2,0)</f>
        <v>[Cake] - Cashloan</v>
      </c>
      <c r="H6105" s="128" t="str">
        <f>VLOOKUP(source[[#This Row],[lending_product_transform]],[3]Mapping!$B$3:$D$37,3,0)</f>
        <v>cashloan</v>
      </c>
      <c r="I6105" s="135">
        <v>0</v>
      </c>
    </row>
    <row r="6106" spans="1:9" x14ac:dyDescent="0.2">
      <c r="A6106" s="134">
        <v>45758</v>
      </c>
      <c r="B6106" s="135">
        <f>YEAR(source[[#This Row],[report_date]])</f>
        <v>2025</v>
      </c>
      <c r="C6106" s="128">
        <f t="shared" si="283"/>
        <v>4</v>
      </c>
      <c r="D6106" s="136">
        <f t="shared" si="285"/>
        <v>15</v>
      </c>
      <c r="E6106" s="136">
        <f t="shared" si="284"/>
        <v>11</v>
      </c>
      <c r="F6106" s="128" t="s">
        <v>24</v>
      </c>
      <c r="G6106" s="128" t="str">
        <f>VLOOKUP(source[[#This Row],[lending_product_transform]],[3]Mapping!$B$4:$C$37,2,0)</f>
        <v>[Cake] - Cashloan</v>
      </c>
      <c r="H6106" s="128" t="str">
        <f>VLOOKUP(source[[#This Row],[lending_product_transform]],[3]Mapping!$B$3:$D$37,3,0)</f>
        <v>cashloan</v>
      </c>
      <c r="I6106" s="135">
        <v>0</v>
      </c>
    </row>
    <row r="6107" spans="1:9" x14ac:dyDescent="0.2">
      <c r="A6107" s="134">
        <v>45758</v>
      </c>
      <c r="B6107" s="135">
        <f>YEAR(source[[#This Row],[report_date]])</f>
        <v>2025</v>
      </c>
      <c r="C6107" s="128">
        <f t="shared" si="283"/>
        <v>4</v>
      </c>
      <c r="D6107" s="136">
        <f t="shared" si="285"/>
        <v>15</v>
      </c>
      <c r="E6107" s="136">
        <f t="shared" si="284"/>
        <v>11</v>
      </c>
      <c r="F6107" s="128" t="s">
        <v>24</v>
      </c>
      <c r="G6107" s="128" t="str">
        <f>VLOOKUP(source[[#This Row],[lending_product_transform]],[3]Mapping!$B$4:$C$37,2,0)</f>
        <v>[Cake] - Cashloan</v>
      </c>
      <c r="H6107" s="128" t="str">
        <f>VLOOKUP(source[[#This Row],[lending_product_transform]],[3]Mapping!$B$3:$D$37,3,0)</f>
        <v>cashloan</v>
      </c>
      <c r="I6107" s="135">
        <v>0</v>
      </c>
    </row>
    <row r="6108" spans="1:9" x14ac:dyDescent="0.2">
      <c r="A6108" s="134">
        <v>45758</v>
      </c>
      <c r="B6108" s="135">
        <f>YEAR(source[[#This Row],[report_date]])</f>
        <v>2025</v>
      </c>
      <c r="C6108" s="128">
        <f t="shared" si="283"/>
        <v>4</v>
      </c>
      <c r="D6108" s="136">
        <f t="shared" si="285"/>
        <v>15</v>
      </c>
      <c r="E6108" s="136">
        <f t="shared" si="284"/>
        <v>11</v>
      </c>
      <c r="F6108" s="128" t="s">
        <v>24</v>
      </c>
      <c r="G6108" s="128" t="str">
        <f>VLOOKUP(source[[#This Row],[lending_product_transform]],[3]Mapping!$B$4:$C$37,2,0)</f>
        <v>[Cake] - Cashloan</v>
      </c>
      <c r="H6108" s="128" t="str">
        <f>VLOOKUP(source[[#This Row],[lending_product_transform]],[3]Mapping!$B$3:$D$37,3,0)</f>
        <v>cashloan</v>
      </c>
      <c r="I6108" s="135">
        <v>659540000</v>
      </c>
    </row>
    <row r="6109" spans="1:9" x14ac:dyDescent="0.2">
      <c r="A6109" s="134">
        <v>45758</v>
      </c>
      <c r="B6109" s="135">
        <f>YEAR(source[[#This Row],[report_date]])</f>
        <v>2025</v>
      </c>
      <c r="C6109" s="128">
        <f t="shared" si="283"/>
        <v>4</v>
      </c>
      <c r="D6109" s="136">
        <f t="shared" si="285"/>
        <v>15</v>
      </c>
      <c r="E6109" s="136">
        <f t="shared" si="284"/>
        <v>11</v>
      </c>
      <c r="F6109" s="128" t="s">
        <v>24</v>
      </c>
      <c r="G6109" s="128" t="str">
        <f>VLOOKUP(source[[#This Row],[lending_product_transform]],[3]Mapping!$B$4:$C$37,2,0)</f>
        <v>[Cake] - Cashloan</v>
      </c>
      <c r="H6109" s="128" t="str">
        <f>VLOOKUP(source[[#This Row],[lending_product_transform]],[3]Mapping!$B$3:$D$37,3,0)</f>
        <v>cashloan</v>
      </c>
      <c r="I6109" s="135">
        <v>471310605</v>
      </c>
    </row>
    <row r="6110" spans="1:9" x14ac:dyDescent="0.2">
      <c r="A6110" s="134">
        <v>45758</v>
      </c>
      <c r="B6110" s="135">
        <f>YEAR(source[[#This Row],[report_date]])</f>
        <v>2025</v>
      </c>
      <c r="C6110" s="128">
        <f t="shared" si="283"/>
        <v>4</v>
      </c>
      <c r="D6110" s="136">
        <f t="shared" si="285"/>
        <v>15</v>
      </c>
      <c r="E6110" s="136">
        <f t="shared" si="284"/>
        <v>11</v>
      </c>
      <c r="F6110" s="128" t="s">
        <v>24</v>
      </c>
      <c r="G6110" s="128" t="str">
        <f>VLOOKUP(source[[#This Row],[lending_product_transform]],[3]Mapping!$B$4:$C$37,2,0)</f>
        <v>[Cake] - Cashloan</v>
      </c>
      <c r="H6110" s="128" t="str">
        <f>VLOOKUP(source[[#This Row],[lending_product_transform]],[3]Mapping!$B$3:$D$37,3,0)</f>
        <v>cashloan</v>
      </c>
      <c r="I6110" s="135">
        <v>170153842</v>
      </c>
    </row>
    <row r="6111" spans="1:9" x14ac:dyDescent="0.2">
      <c r="A6111" s="134">
        <v>45759</v>
      </c>
      <c r="B6111" s="135">
        <f>YEAR(source[[#This Row],[report_date]])</f>
        <v>2025</v>
      </c>
      <c r="C6111" s="128">
        <f t="shared" si="283"/>
        <v>4</v>
      </c>
      <c r="D6111" s="136">
        <f t="shared" si="285"/>
        <v>15</v>
      </c>
      <c r="E6111" s="136">
        <f t="shared" si="284"/>
        <v>12</v>
      </c>
      <c r="F6111" s="128" t="s">
        <v>24</v>
      </c>
      <c r="G6111" s="128" t="str">
        <f>VLOOKUP(source[[#This Row],[lending_product_transform]],[3]Mapping!$B$4:$C$37,2,0)</f>
        <v>[Cake] - Cashloan</v>
      </c>
      <c r="H6111" s="128" t="str">
        <f>VLOOKUP(source[[#This Row],[lending_product_transform]],[3]Mapping!$B$3:$D$37,3,0)</f>
        <v>cashloan</v>
      </c>
      <c r="I6111" s="135">
        <v>6007068000</v>
      </c>
    </row>
    <row r="6112" spans="1:9" x14ac:dyDescent="0.2">
      <c r="A6112" s="134">
        <v>45759</v>
      </c>
      <c r="B6112" s="135">
        <f>YEAR(source[[#This Row],[report_date]])</f>
        <v>2025</v>
      </c>
      <c r="C6112" s="128">
        <f t="shared" si="283"/>
        <v>4</v>
      </c>
      <c r="D6112" s="136">
        <f t="shared" si="285"/>
        <v>15</v>
      </c>
      <c r="E6112" s="136">
        <f t="shared" si="284"/>
        <v>12</v>
      </c>
      <c r="F6112" s="128" t="s">
        <v>24</v>
      </c>
      <c r="G6112" s="128" t="str">
        <f>VLOOKUP(source[[#This Row],[lending_product_transform]],[3]Mapping!$B$4:$C$37,2,0)</f>
        <v>[Cake] - Cashloan</v>
      </c>
      <c r="H6112" s="128" t="str">
        <f>VLOOKUP(source[[#This Row],[lending_product_transform]],[3]Mapping!$B$3:$D$37,3,0)</f>
        <v>cashloan</v>
      </c>
      <c r="I6112" s="135">
        <v>32000000</v>
      </c>
    </row>
    <row r="6113" spans="1:9" x14ac:dyDescent="0.2">
      <c r="A6113" s="134">
        <v>45759</v>
      </c>
      <c r="B6113" s="135">
        <f>YEAR(source[[#This Row],[report_date]])</f>
        <v>2025</v>
      </c>
      <c r="C6113" s="128">
        <f t="shared" si="283"/>
        <v>4</v>
      </c>
      <c r="D6113" s="136">
        <f t="shared" si="285"/>
        <v>15</v>
      </c>
      <c r="E6113" s="136">
        <f t="shared" si="284"/>
        <v>12</v>
      </c>
      <c r="F6113" s="128" t="s">
        <v>24</v>
      </c>
      <c r="G6113" s="128" t="str">
        <f>VLOOKUP(source[[#This Row],[lending_product_transform]],[3]Mapping!$B$4:$C$37,2,0)</f>
        <v>[Cake] - Cashloan</v>
      </c>
      <c r="H6113" s="128" t="str">
        <f>VLOOKUP(source[[#This Row],[lending_product_transform]],[3]Mapping!$B$3:$D$37,3,0)</f>
        <v>cashloan</v>
      </c>
      <c r="I6113" s="135">
        <v>8376050000</v>
      </c>
    </row>
    <row r="6114" spans="1:9" x14ac:dyDescent="0.2">
      <c r="A6114" s="134">
        <v>45759</v>
      </c>
      <c r="B6114" s="135">
        <f>YEAR(source[[#This Row],[report_date]])</f>
        <v>2025</v>
      </c>
      <c r="C6114" s="128">
        <f t="shared" si="283"/>
        <v>4</v>
      </c>
      <c r="D6114" s="136">
        <f t="shared" si="285"/>
        <v>15</v>
      </c>
      <c r="E6114" s="136">
        <f t="shared" si="284"/>
        <v>12</v>
      </c>
      <c r="F6114" s="128" t="s">
        <v>24</v>
      </c>
      <c r="G6114" s="128" t="str">
        <f>VLOOKUP(source[[#This Row],[lending_product_transform]],[3]Mapping!$B$4:$C$37,2,0)</f>
        <v>[Cake] - Cashloan</v>
      </c>
      <c r="H6114" s="128" t="str">
        <f>VLOOKUP(source[[#This Row],[lending_product_transform]],[3]Mapping!$B$3:$D$37,3,0)</f>
        <v>cashloan</v>
      </c>
      <c r="I6114" s="135">
        <v>0</v>
      </c>
    </row>
    <row r="6115" spans="1:9" x14ac:dyDescent="0.2">
      <c r="A6115" s="134">
        <v>45759</v>
      </c>
      <c r="B6115" s="135">
        <f>YEAR(source[[#This Row],[report_date]])</f>
        <v>2025</v>
      </c>
      <c r="C6115" s="128">
        <f t="shared" si="283"/>
        <v>4</v>
      </c>
      <c r="D6115" s="136">
        <f t="shared" si="285"/>
        <v>15</v>
      </c>
      <c r="E6115" s="136">
        <f t="shared" si="284"/>
        <v>12</v>
      </c>
      <c r="F6115" s="128" t="s">
        <v>24</v>
      </c>
      <c r="G6115" s="128" t="str">
        <f>VLOOKUP(source[[#This Row],[lending_product_transform]],[3]Mapping!$B$4:$C$37,2,0)</f>
        <v>[Cake] - Cashloan</v>
      </c>
      <c r="H6115" s="128" t="str">
        <f>VLOOKUP(source[[#This Row],[lending_product_transform]],[3]Mapping!$B$3:$D$37,3,0)</f>
        <v>cashloan</v>
      </c>
      <c r="I6115" s="135">
        <v>0</v>
      </c>
    </row>
    <row r="6116" spans="1:9" x14ac:dyDescent="0.2">
      <c r="A6116" s="134">
        <v>45759</v>
      </c>
      <c r="B6116" s="135">
        <f>YEAR(source[[#This Row],[report_date]])</f>
        <v>2025</v>
      </c>
      <c r="C6116" s="128">
        <f t="shared" si="283"/>
        <v>4</v>
      </c>
      <c r="D6116" s="136">
        <f t="shared" si="285"/>
        <v>15</v>
      </c>
      <c r="E6116" s="136">
        <f t="shared" si="284"/>
        <v>12</v>
      </c>
      <c r="F6116" s="128" t="s">
        <v>24</v>
      </c>
      <c r="G6116" s="128" t="str">
        <f>VLOOKUP(source[[#This Row],[lending_product_transform]],[3]Mapping!$B$4:$C$37,2,0)</f>
        <v>[Cake] - Cashloan</v>
      </c>
      <c r="H6116" s="128" t="str">
        <f>VLOOKUP(source[[#This Row],[lending_product_transform]],[3]Mapping!$B$3:$D$37,3,0)</f>
        <v>cashloan</v>
      </c>
      <c r="I6116" s="135">
        <v>0</v>
      </c>
    </row>
    <row r="6117" spans="1:9" x14ac:dyDescent="0.2">
      <c r="A6117" s="134">
        <v>45759</v>
      </c>
      <c r="B6117" s="135">
        <f>YEAR(source[[#This Row],[report_date]])</f>
        <v>2025</v>
      </c>
      <c r="C6117" s="128">
        <f t="shared" si="283"/>
        <v>4</v>
      </c>
      <c r="D6117" s="136">
        <f t="shared" si="285"/>
        <v>15</v>
      </c>
      <c r="E6117" s="136">
        <f t="shared" si="284"/>
        <v>12</v>
      </c>
      <c r="F6117" s="128" t="s">
        <v>24</v>
      </c>
      <c r="G6117" s="128" t="str">
        <f>VLOOKUP(source[[#This Row],[lending_product_transform]],[3]Mapping!$B$4:$C$37,2,0)</f>
        <v>[Cake] - Cashloan</v>
      </c>
      <c r="H6117" s="128" t="str">
        <f>VLOOKUP(source[[#This Row],[lending_product_transform]],[3]Mapping!$B$3:$D$37,3,0)</f>
        <v>cashloan</v>
      </c>
      <c r="I6117" s="135">
        <v>6365740000</v>
      </c>
    </row>
    <row r="6118" spans="1:9" x14ac:dyDescent="0.2">
      <c r="A6118" s="134">
        <v>45759</v>
      </c>
      <c r="B6118" s="135">
        <f>YEAR(source[[#This Row],[report_date]])</f>
        <v>2025</v>
      </c>
      <c r="C6118" s="128">
        <f t="shared" si="283"/>
        <v>4</v>
      </c>
      <c r="D6118" s="136">
        <f t="shared" si="285"/>
        <v>15</v>
      </c>
      <c r="E6118" s="136">
        <f t="shared" si="284"/>
        <v>12</v>
      </c>
      <c r="F6118" s="128" t="s">
        <v>24</v>
      </c>
      <c r="G6118" s="128" t="str">
        <f>VLOOKUP(source[[#This Row],[lending_product_transform]],[3]Mapping!$B$4:$C$37,2,0)</f>
        <v>[Cake] - Cashloan</v>
      </c>
      <c r="H6118" s="128" t="str">
        <f>VLOOKUP(source[[#This Row],[lending_product_transform]],[3]Mapping!$B$3:$D$37,3,0)</f>
        <v>cashloan</v>
      </c>
      <c r="I6118" s="135">
        <v>0</v>
      </c>
    </row>
    <row r="6119" spans="1:9" x14ac:dyDescent="0.2">
      <c r="A6119" s="134">
        <v>45759</v>
      </c>
      <c r="B6119" s="135">
        <f>YEAR(source[[#This Row],[report_date]])</f>
        <v>2025</v>
      </c>
      <c r="C6119" s="128">
        <f t="shared" si="283"/>
        <v>4</v>
      </c>
      <c r="D6119" s="136">
        <f t="shared" si="285"/>
        <v>15</v>
      </c>
      <c r="E6119" s="136">
        <f t="shared" si="284"/>
        <v>12</v>
      </c>
      <c r="F6119" s="128" t="s">
        <v>24</v>
      </c>
      <c r="G6119" s="128" t="str">
        <f>VLOOKUP(source[[#This Row],[lending_product_transform]],[3]Mapping!$B$4:$C$37,2,0)</f>
        <v>[Cake] - Cashloan</v>
      </c>
      <c r="H6119" s="128" t="str">
        <f>VLOOKUP(source[[#This Row],[lending_product_transform]],[3]Mapping!$B$3:$D$37,3,0)</f>
        <v>cashloan</v>
      </c>
      <c r="I6119" s="135">
        <v>11829678</v>
      </c>
    </row>
    <row r="6120" spans="1:9" x14ac:dyDescent="0.2">
      <c r="A6120" s="134">
        <v>45759</v>
      </c>
      <c r="B6120" s="135">
        <f>YEAR(source[[#This Row],[report_date]])</f>
        <v>2025</v>
      </c>
      <c r="C6120" s="128">
        <f t="shared" si="283"/>
        <v>4</v>
      </c>
      <c r="D6120" s="136">
        <f t="shared" si="285"/>
        <v>15</v>
      </c>
      <c r="E6120" s="136">
        <f t="shared" si="284"/>
        <v>12</v>
      </c>
      <c r="F6120" s="128" t="s">
        <v>24</v>
      </c>
      <c r="G6120" s="128" t="str">
        <f>VLOOKUP(source[[#This Row],[lending_product_transform]],[3]Mapping!$B$4:$C$37,2,0)</f>
        <v>[Cake] - Cashloan</v>
      </c>
      <c r="H6120" s="128" t="str">
        <f>VLOOKUP(source[[#This Row],[lending_product_transform]],[3]Mapping!$B$3:$D$37,3,0)</f>
        <v>cashloan</v>
      </c>
      <c r="I6120" s="135">
        <v>0</v>
      </c>
    </row>
    <row r="6121" spans="1:9" x14ac:dyDescent="0.2">
      <c r="A6121" s="134">
        <v>45759</v>
      </c>
      <c r="B6121" s="135">
        <f>YEAR(source[[#This Row],[report_date]])</f>
        <v>2025</v>
      </c>
      <c r="C6121" s="128">
        <f t="shared" si="283"/>
        <v>4</v>
      </c>
      <c r="D6121" s="136">
        <f t="shared" si="285"/>
        <v>15</v>
      </c>
      <c r="E6121" s="136">
        <f t="shared" si="284"/>
        <v>12</v>
      </c>
      <c r="F6121" s="128" t="s">
        <v>24</v>
      </c>
      <c r="G6121" s="128" t="str">
        <f>VLOOKUP(source[[#This Row],[lending_product_transform]],[3]Mapping!$B$4:$C$37,2,0)</f>
        <v>[Cake] - Cashloan</v>
      </c>
      <c r="H6121" s="128" t="str">
        <f>VLOOKUP(source[[#This Row],[lending_product_transform]],[3]Mapping!$B$3:$D$37,3,0)</f>
        <v>cashloan</v>
      </c>
      <c r="I6121" s="135">
        <v>0</v>
      </c>
    </row>
    <row r="6122" spans="1:9" x14ac:dyDescent="0.2">
      <c r="A6122" s="134">
        <v>45759</v>
      </c>
      <c r="B6122" s="135">
        <f>YEAR(source[[#This Row],[report_date]])</f>
        <v>2025</v>
      </c>
      <c r="C6122" s="128">
        <f t="shared" si="283"/>
        <v>4</v>
      </c>
      <c r="D6122" s="136">
        <f t="shared" si="285"/>
        <v>15</v>
      </c>
      <c r="E6122" s="136">
        <f t="shared" si="284"/>
        <v>12</v>
      </c>
      <c r="F6122" s="128" t="s">
        <v>24</v>
      </c>
      <c r="G6122" s="128" t="str">
        <f>VLOOKUP(source[[#This Row],[lending_product_transform]],[3]Mapping!$B$4:$C$37,2,0)</f>
        <v>[Cake] - Cashloan</v>
      </c>
      <c r="H6122" s="128" t="str">
        <f>VLOOKUP(source[[#This Row],[lending_product_transform]],[3]Mapping!$B$3:$D$37,3,0)</f>
        <v>cashloan</v>
      </c>
      <c r="I6122" s="135">
        <v>0</v>
      </c>
    </row>
    <row r="6123" spans="1:9" x14ac:dyDescent="0.2">
      <c r="A6123" s="134">
        <v>45759</v>
      </c>
      <c r="B6123" s="135">
        <f>YEAR(source[[#This Row],[report_date]])</f>
        <v>2025</v>
      </c>
      <c r="C6123" s="128">
        <f t="shared" si="283"/>
        <v>4</v>
      </c>
      <c r="D6123" s="136">
        <f t="shared" si="285"/>
        <v>15</v>
      </c>
      <c r="E6123" s="136">
        <f t="shared" si="284"/>
        <v>12</v>
      </c>
      <c r="F6123" s="128" t="s">
        <v>24</v>
      </c>
      <c r="G6123" s="128" t="str">
        <f>VLOOKUP(source[[#This Row],[lending_product_transform]],[3]Mapping!$B$4:$C$37,2,0)</f>
        <v>[Cake] - Cashloan</v>
      </c>
      <c r="H6123" s="128" t="str">
        <f>VLOOKUP(source[[#This Row],[lending_product_transform]],[3]Mapping!$B$3:$D$37,3,0)</f>
        <v>cashloan</v>
      </c>
      <c r="I6123" s="135">
        <v>0</v>
      </c>
    </row>
    <row r="6124" spans="1:9" x14ac:dyDescent="0.2">
      <c r="A6124" s="134">
        <v>45759</v>
      </c>
      <c r="B6124" s="135">
        <f>YEAR(source[[#This Row],[report_date]])</f>
        <v>2025</v>
      </c>
      <c r="C6124" s="128">
        <f t="shared" si="283"/>
        <v>4</v>
      </c>
      <c r="D6124" s="136">
        <f t="shared" si="285"/>
        <v>15</v>
      </c>
      <c r="E6124" s="136">
        <f t="shared" si="284"/>
        <v>12</v>
      </c>
      <c r="F6124" s="128" t="s">
        <v>24</v>
      </c>
      <c r="G6124" s="128" t="str">
        <f>VLOOKUP(source[[#This Row],[lending_product_transform]],[3]Mapping!$B$4:$C$37,2,0)</f>
        <v>[Cake] - Cashloan</v>
      </c>
      <c r="H6124" s="128" t="str">
        <f>VLOOKUP(source[[#This Row],[lending_product_transform]],[3]Mapping!$B$3:$D$37,3,0)</f>
        <v>cashloan</v>
      </c>
      <c r="I6124" s="135">
        <v>401440000</v>
      </c>
    </row>
    <row r="6125" spans="1:9" x14ac:dyDescent="0.2">
      <c r="A6125" s="134">
        <v>45759</v>
      </c>
      <c r="B6125" s="135">
        <f>YEAR(source[[#This Row],[report_date]])</f>
        <v>2025</v>
      </c>
      <c r="C6125" s="128">
        <f t="shared" si="283"/>
        <v>4</v>
      </c>
      <c r="D6125" s="136">
        <f t="shared" si="285"/>
        <v>15</v>
      </c>
      <c r="E6125" s="136">
        <f t="shared" si="284"/>
        <v>12</v>
      </c>
      <c r="F6125" s="128" t="s">
        <v>24</v>
      </c>
      <c r="G6125" s="128" t="str">
        <f>VLOOKUP(source[[#This Row],[lending_product_transform]],[3]Mapping!$B$4:$C$37,2,0)</f>
        <v>[Cake] - Cashloan</v>
      </c>
      <c r="H6125" s="128" t="str">
        <f>VLOOKUP(source[[#This Row],[lending_product_transform]],[3]Mapping!$B$3:$D$37,3,0)</f>
        <v>cashloan</v>
      </c>
      <c r="I6125" s="135">
        <v>917050000</v>
      </c>
    </row>
    <row r="6126" spans="1:9" x14ac:dyDescent="0.2">
      <c r="A6126" s="134">
        <v>45759</v>
      </c>
      <c r="B6126" s="135">
        <f>YEAR(source[[#This Row],[report_date]])</f>
        <v>2025</v>
      </c>
      <c r="C6126" s="128">
        <f t="shared" si="283"/>
        <v>4</v>
      </c>
      <c r="D6126" s="136">
        <f t="shared" si="285"/>
        <v>15</v>
      </c>
      <c r="E6126" s="136">
        <f t="shared" si="284"/>
        <v>12</v>
      </c>
      <c r="F6126" s="128" t="s">
        <v>24</v>
      </c>
      <c r="G6126" s="128" t="str">
        <f>VLOOKUP(source[[#This Row],[lending_product_transform]],[3]Mapping!$B$4:$C$37,2,0)</f>
        <v>[Cake] - Cashloan</v>
      </c>
      <c r="H6126" s="128" t="str">
        <f>VLOOKUP(source[[#This Row],[lending_product_transform]],[3]Mapping!$B$3:$D$37,3,0)</f>
        <v>cashloan</v>
      </c>
      <c r="I6126" s="135">
        <v>352327008</v>
      </c>
    </row>
    <row r="6127" spans="1:9" x14ac:dyDescent="0.2">
      <c r="A6127" s="134">
        <v>45759</v>
      </c>
      <c r="B6127" s="135">
        <f>YEAR(source[[#This Row],[report_date]])</f>
        <v>2025</v>
      </c>
      <c r="C6127" s="128">
        <f t="shared" si="283"/>
        <v>4</v>
      </c>
      <c r="D6127" s="136">
        <f t="shared" si="285"/>
        <v>15</v>
      </c>
      <c r="E6127" s="136">
        <f t="shared" si="284"/>
        <v>12</v>
      </c>
      <c r="F6127" s="128" t="s">
        <v>24</v>
      </c>
      <c r="G6127" s="128" t="str">
        <f>VLOOKUP(source[[#This Row],[lending_product_transform]],[3]Mapping!$B$4:$C$37,2,0)</f>
        <v>[Cake] - Cashloan</v>
      </c>
      <c r="H6127" s="128" t="str">
        <f>VLOOKUP(source[[#This Row],[lending_product_transform]],[3]Mapping!$B$3:$D$37,3,0)</f>
        <v>cashloan</v>
      </c>
      <c r="I6127" s="135">
        <v>165752565</v>
      </c>
    </row>
    <row r="6128" spans="1:9" x14ac:dyDescent="0.2">
      <c r="A6128" s="134">
        <v>45759</v>
      </c>
      <c r="B6128" s="135">
        <f>YEAR(source[[#This Row],[report_date]])</f>
        <v>2025</v>
      </c>
      <c r="C6128" s="128">
        <f t="shared" si="283"/>
        <v>4</v>
      </c>
      <c r="D6128" s="136">
        <f t="shared" si="285"/>
        <v>15</v>
      </c>
      <c r="E6128" s="136">
        <f t="shared" si="284"/>
        <v>12</v>
      </c>
      <c r="F6128" s="128" t="s">
        <v>24</v>
      </c>
      <c r="G6128" s="128" t="str">
        <f>VLOOKUP(source[[#This Row],[lending_product_transform]],[3]Mapping!$B$4:$C$37,2,0)</f>
        <v>[Cake] - Cashloan</v>
      </c>
      <c r="H6128" s="128" t="str">
        <f>VLOOKUP(source[[#This Row],[lending_product_transform]],[3]Mapping!$B$3:$D$37,3,0)</f>
        <v>cashloan</v>
      </c>
      <c r="I6128" s="135">
        <v>393267222</v>
      </c>
    </row>
    <row r="6129" spans="1:9" x14ac:dyDescent="0.2">
      <c r="A6129" s="134">
        <v>45759</v>
      </c>
      <c r="B6129" s="135">
        <f>YEAR(source[[#This Row],[report_date]])</f>
        <v>2025</v>
      </c>
      <c r="C6129" s="128">
        <f t="shared" si="283"/>
        <v>4</v>
      </c>
      <c r="D6129" s="136">
        <f t="shared" si="285"/>
        <v>15</v>
      </c>
      <c r="E6129" s="136">
        <f t="shared" si="284"/>
        <v>12</v>
      </c>
      <c r="F6129" s="128" t="s">
        <v>24</v>
      </c>
      <c r="G6129" s="128" t="str">
        <f>VLOOKUP(source[[#This Row],[lending_product_transform]],[3]Mapping!$B$4:$C$37,2,0)</f>
        <v>[Cake] - Cashloan</v>
      </c>
      <c r="H6129" s="128" t="str">
        <f>VLOOKUP(source[[#This Row],[lending_product_transform]],[3]Mapping!$B$3:$D$37,3,0)</f>
        <v>cashloan</v>
      </c>
      <c r="I6129" s="135">
        <v>3148039707</v>
      </c>
    </row>
    <row r="6130" spans="1:9" x14ac:dyDescent="0.2">
      <c r="A6130" s="134">
        <v>45760</v>
      </c>
      <c r="B6130" s="135">
        <f>YEAR(source[[#This Row],[report_date]])</f>
        <v>2025</v>
      </c>
      <c r="C6130" s="128">
        <f t="shared" si="283"/>
        <v>4</v>
      </c>
      <c r="D6130" s="136">
        <f t="shared" si="285"/>
        <v>15</v>
      </c>
      <c r="E6130" s="136">
        <f t="shared" si="284"/>
        <v>13</v>
      </c>
      <c r="F6130" s="128" t="s">
        <v>24</v>
      </c>
      <c r="G6130" s="128" t="str">
        <f>VLOOKUP(source[[#This Row],[lending_product_transform]],[3]Mapping!$B$4:$C$37,2,0)</f>
        <v>[Cake] - Cashloan</v>
      </c>
      <c r="H6130" s="128" t="str">
        <f>VLOOKUP(source[[#This Row],[lending_product_transform]],[3]Mapping!$B$3:$D$37,3,0)</f>
        <v>cashloan</v>
      </c>
      <c r="I6130" s="135">
        <v>0</v>
      </c>
    </row>
    <row r="6131" spans="1:9" x14ac:dyDescent="0.2">
      <c r="A6131" s="134">
        <v>45760</v>
      </c>
      <c r="B6131" s="135">
        <f>YEAR(source[[#This Row],[report_date]])</f>
        <v>2025</v>
      </c>
      <c r="C6131" s="128">
        <f t="shared" si="283"/>
        <v>4</v>
      </c>
      <c r="D6131" s="136">
        <f t="shared" si="285"/>
        <v>15</v>
      </c>
      <c r="E6131" s="136">
        <f t="shared" si="284"/>
        <v>13</v>
      </c>
      <c r="F6131" s="128" t="s">
        <v>24</v>
      </c>
      <c r="G6131" s="128" t="str">
        <f>VLOOKUP(source[[#This Row],[lending_product_transform]],[3]Mapping!$B$4:$C$37,2,0)</f>
        <v>[Cake] - Cashloan</v>
      </c>
      <c r="H6131" s="128" t="str">
        <f>VLOOKUP(source[[#This Row],[lending_product_transform]],[3]Mapping!$B$3:$D$37,3,0)</f>
        <v>cashloan</v>
      </c>
      <c r="I6131" s="135">
        <v>7666880000</v>
      </c>
    </row>
    <row r="6132" spans="1:9" x14ac:dyDescent="0.2">
      <c r="A6132" s="134">
        <v>45760</v>
      </c>
      <c r="B6132" s="135">
        <f>YEAR(source[[#This Row],[report_date]])</f>
        <v>2025</v>
      </c>
      <c r="C6132" s="128">
        <f t="shared" si="283"/>
        <v>4</v>
      </c>
      <c r="D6132" s="136">
        <f t="shared" si="285"/>
        <v>15</v>
      </c>
      <c r="E6132" s="136">
        <f t="shared" si="284"/>
        <v>13</v>
      </c>
      <c r="F6132" s="128" t="s">
        <v>24</v>
      </c>
      <c r="G6132" s="128" t="str">
        <f>VLOOKUP(source[[#This Row],[lending_product_transform]],[3]Mapping!$B$4:$C$37,2,0)</f>
        <v>[Cake] - Cashloan</v>
      </c>
      <c r="H6132" s="128" t="str">
        <f>VLOOKUP(source[[#This Row],[lending_product_transform]],[3]Mapping!$B$3:$D$37,3,0)</f>
        <v>cashloan</v>
      </c>
      <c r="I6132" s="135">
        <v>1281180000</v>
      </c>
    </row>
    <row r="6133" spans="1:9" x14ac:dyDescent="0.2">
      <c r="A6133" s="134">
        <v>45760</v>
      </c>
      <c r="B6133" s="135">
        <f>YEAR(source[[#This Row],[report_date]])</f>
        <v>2025</v>
      </c>
      <c r="C6133" s="128">
        <f t="shared" si="283"/>
        <v>4</v>
      </c>
      <c r="D6133" s="136">
        <f t="shared" si="285"/>
        <v>15</v>
      </c>
      <c r="E6133" s="136">
        <f t="shared" si="284"/>
        <v>13</v>
      </c>
      <c r="F6133" s="128" t="s">
        <v>24</v>
      </c>
      <c r="G6133" s="128" t="str">
        <f>VLOOKUP(source[[#This Row],[lending_product_transform]],[3]Mapping!$B$4:$C$37,2,0)</f>
        <v>[Cake] - Cashloan</v>
      </c>
      <c r="H6133" s="128" t="str">
        <f>VLOOKUP(source[[#This Row],[lending_product_transform]],[3]Mapping!$B$3:$D$37,3,0)</f>
        <v>cashloan</v>
      </c>
      <c r="I6133" s="135">
        <v>314599016</v>
      </c>
    </row>
    <row r="6134" spans="1:9" x14ac:dyDescent="0.2">
      <c r="A6134" s="134">
        <v>45760</v>
      </c>
      <c r="B6134" s="135">
        <f>YEAR(source[[#This Row],[report_date]])</f>
        <v>2025</v>
      </c>
      <c r="C6134" s="128">
        <f t="shared" ref="C6134:C6197" si="286">MONTH(A6134)</f>
        <v>4</v>
      </c>
      <c r="D6134" s="136">
        <f t="shared" si="285"/>
        <v>15</v>
      </c>
      <c r="E6134" s="136">
        <f t="shared" ref="E6134:E6197" si="287">DAY(A6134)</f>
        <v>13</v>
      </c>
      <c r="F6134" s="128" t="s">
        <v>24</v>
      </c>
      <c r="G6134" s="128" t="str">
        <f>VLOOKUP(source[[#This Row],[lending_product_transform]],[3]Mapping!$B$4:$C$37,2,0)</f>
        <v>[Cake] - Cashloan</v>
      </c>
      <c r="H6134" s="128" t="str">
        <f>VLOOKUP(source[[#This Row],[lending_product_transform]],[3]Mapping!$B$3:$D$37,3,0)</f>
        <v>cashloan</v>
      </c>
      <c r="I6134" s="135">
        <v>0</v>
      </c>
    </row>
    <row r="6135" spans="1:9" x14ac:dyDescent="0.2">
      <c r="A6135" s="134">
        <v>45760</v>
      </c>
      <c r="B6135" s="135">
        <f>YEAR(source[[#This Row],[report_date]])</f>
        <v>2025</v>
      </c>
      <c r="C6135" s="128">
        <f t="shared" si="286"/>
        <v>4</v>
      </c>
      <c r="D6135" s="136">
        <f t="shared" si="285"/>
        <v>15</v>
      </c>
      <c r="E6135" s="136">
        <f t="shared" si="287"/>
        <v>13</v>
      </c>
      <c r="F6135" s="128" t="s">
        <v>24</v>
      </c>
      <c r="G6135" s="128" t="str">
        <f>VLOOKUP(source[[#This Row],[lending_product_transform]],[3]Mapping!$B$4:$C$37,2,0)</f>
        <v>[Cake] - Cashloan</v>
      </c>
      <c r="H6135" s="128" t="str">
        <f>VLOOKUP(source[[#This Row],[lending_product_transform]],[3]Mapping!$B$3:$D$37,3,0)</f>
        <v>cashloan</v>
      </c>
      <c r="I6135" s="135">
        <v>18784485</v>
      </c>
    </row>
    <row r="6136" spans="1:9" x14ac:dyDescent="0.2">
      <c r="A6136" s="134">
        <v>45760</v>
      </c>
      <c r="B6136" s="135">
        <f>YEAR(source[[#This Row],[report_date]])</f>
        <v>2025</v>
      </c>
      <c r="C6136" s="128">
        <f t="shared" si="286"/>
        <v>4</v>
      </c>
      <c r="D6136" s="136">
        <f t="shared" si="285"/>
        <v>15</v>
      </c>
      <c r="E6136" s="136">
        <f t="shared" si="287"/>
        <v>13</v>
      </c>
      <c r="F6136" s="128" t="s">
        <v>24</v>
      </c>
      <c r="G6136" s="128" t="str">
        <f>VLOOKUP(source[[#This Row],[lending_product_transform]],[3]Mapping!$B$4:$C$37,2,0)</f>
        <v>[Cake] - Cashloan</v>
      </c>
      <c r="H6136" s="128" t="str">
        <f>VLOOKUP(source[[#This Row],[lending_product_transform]],[3]Mapping!$B$3:$D$37,3,0)</f>
        <v>cashloan</v>
      </c>
      <c r="I6136" s="135">
        <v>2876793259</v>
      </c>
    </row>
    <row r="6137" spans="1:9" x14ac:dyDescent="0.2">
      <c r="A6137" s="134">
        <v>45760</v>
      </c>
      <c r="B6137" s="135">
        <f>YEAR(source[[#This Row],[report_date]])</f>
        <v>2025</v>
      </c>
      <c r="C6137" s="128">
        <f t="shared" si="286"/>
        <v>4</v>
      </c>
      <c r="D6137" s="136">
        <f t="shared" si="285"/>
        <v>15</v>
      </c>
      <c r="E6137" s="136">
        <f t="shared" si="287"/>
        <v>13</v>
      </c>
      <c r="F6137" s="128" t="s">
        <v>24</v>
      </c>
      <c r="G6137" s="128" t="str">
        <f>VLOOKUP(source[[#This Row],[lending_product_transform]],[3]Mapping!$B$4:$C$37,2,0)</f>
        <v>[Cake] - Cashloan</v>
      </c>
      <c r="H6137" s="128" t="str">
        <f>VLOOKUP(source[[#This Row],[lending_product_transform]],[3]Mapping!$B$3:$D$37,3,0)</f>
        <v>cashloan</v>
      </c>
      <c r="I6137" s="135">
        <v>0</v>
      </c>
    </row>
    <row r="6138" spans="1:9" x14ac:dyDescent="0.2">
      <c r="A6138" s="134">
        <v>45760</v>
      </c>
      <c r="B6138" s="135">
        <f>YEAR(source[[#This Row],[report_date]])</f>
        <v>2025</v>
      </c>
      <c r="C6138" s="128">
        <f t="shared" si="286"/>
        <v>4</v>
      </c>
      <c r="D6138" s="136">
        <f t="shared" si="285"/>
        <v>15</v>
      </c>
      <c r="E6138" s="136">
        <f t="shared" si="287"/>
        <v>13</v>
      </c>
      <c r="F6138" s="128" t="s">
        <v>24</v>
      </c>
      <c r="G6138" s="128" t="str">
        <f>VLOOKUP(source[[#This Row],[lending_product_transform]],[3]Mapping!$B$4:$C$37,2,0)</f>
        <v>[Cake] - Cashloan</v>
      </c>
      <c r="H6138" s="128" t="str">
        <f>VLOOKUP(source[[#This Row],[lending_product_transform]],[3]Mapping!$B$3:$D$37,3,0)</f>
        <v>cashloan</v>
      </c>
      <c r="I6138" s="135">
        <v>0</v>
      </c>
    </row>
    <row r="6139" spans="1:9" x14ac:dyDescent="0.2">
      <c r="A6139" s="134">
        <v>45760</v>
      </c>
      <c r="B6139" s="135">
        <f>YEAR(source[[#This Row],[report_date]])</f>
        <v>2025</v>
      </c>
      <c r="C6139" s="128">
        <f t="shared" si="286"/>
        <v>4</v>
      </c>
      <c r="D6139" s="136">
        <f t="shared" si="285"/>
        <v>15</v>
      </c>
      <c r="E6139" s="136">
        <f t="shared" si="287"/>
        <v>13</v>
      </c>
      <c r="F6139" s="128" t="s">
        <v>24</v>
      </c>
      <c r="G6139" s="128" t="str">
        <f>VLOOKUP(source[[#This Row],[lending_product_transform]],[3]Mapping!$B$4:$C$37,2,0)</f>
        <v>[Cake] - Cashloan</v>
      </c>
      <c r="H6139" s="128" t="str">
        <f>VLOOKUP(source[[#This Row],[lending_product_transform]],[3]Mapping!$B$3:$D$37,3,0)</f>
        <v>cashloan</v>
      </c>
      <c r="I6139" s="135">
        <v>0</v>
      </c>
    </row>
    <row r="6140" spans="1:9" x14ac:dyDescent="0.2">
      <c r="A6140" s="134">
        <v>45760</v>
      </c>
      <c r="B6140" s="135">
        <f>YEAR(source[[#This Row],[report_date]])</f>
        <v>2025</v>
      </c>
      <c r="C6140" s="128">
        <f t="shared" si="286"/>
        <v>4</v>
      </c>
      <c r="D6140" s="136">
        <f t="shared" si="285"/>
        <v>15</v>
      </c>
      <c r="E6140" s="136">
        <f t="shared" si="287"/>
        <v>13</v>
      </c>
      <c r="F6140" s="128" t="s">
        <v>24</v>
      </c>
      <c r="G6140" s="128" t="str">
        <f>VLOOKUP(source[[#This Row],[lending_product_transform]],[3]Mapping!$B$4:$C$37,2,0)</f>
        <v>[Cake] - Cashloan</v>
      </c>
      <c r="H6140" s="128" t="str">
        <f>VLOOKUP(source[[#This Row],[lending_product_transform]],[3]Mapping!$B$3:$D$37,3,0)</f>
        <v>cashloan</v>
      </c>
      <c r="I6140" s="135">
        <v>0</v>
      </c>
    </row>
    <row r="6141" spans="1:9" x14ac:dyDescent="0.2">
      <c r="A6141" s="134">
        <v>45760</v>
      </c>
      <c r="B6141" s="135">
        <f>YEAR(source[[#This Row],[report_date]])</f>
        <v>2025</v>
      </c>
      <c r="C6141" s="128">
        <f t="shared" si="286"/>
        <v>4</v>
      </c>
      <c r="D6141" s="136">
        <f t="shared" si="285"/>
        <v>15</v>
      </c>
      <c r="E6141" s="136">
        <f t="shared" si="287"/>
        <v>13</v>
      </c>
      <c r="F6141" s="128" t="s">
        <v>24</v>
      </c>
      <c r="G6141" s="128" t="str">
        <f>VLOOKUP(source[[#This Row],[lending_product_transform]],[3]Mapping!$B$4:$C$37,2,0)</f>
        <v>[Cake] - Cashloan</v>
      </c>
      <c r="H6141" s="128" t="str">
        <f>VLOOKUP(source[[#This Row],[lending_product_transform]],[3]Mapping!$B$3:$D$37,3,0)</f>
        <v>cashloan</v>
      </c>
      <c r="I6141" s="135">
        <v>52000000</v>
      </c>
    </row>
    <row r="6142" spans="1:9" x14ac:dyDescent="0.2">
      <c r="A6142" s="134">
        <v>45760</v>
      </c>
      <c r="B6142" s="135">
        <f>YEAR(source[[#This Row],[report_date]])</f>
        <v>2025</v>
      </c>
      <c r="C6142" s="128">
        <f t="shared" si="286"/>
        <v>4</v>
      </c>
      <c r="D6142" s="136">
        <f t="shared" si="285"/>
        <v>15</v>
      </c>
      <c r="E6142" s="136">
        <f t="shared" si="287"/>
        <v>13</v>
      </c>
      <c r="F6142" s="128" t="s">
        <v>24</v>
      </c>
      <c r="G6142" s="128" t="str">
        <f>VLOOKUP(source[[#This Row],[lending_product_transform]],[3]Mapping!$B$4:$C$37,2,0)</f>
        <v>[Cake] - Cashloan</v>
      </c>
      <c r="H6142" s="128" t="str">
        <f>VLOOKUP(source[[#This Row],[lending_product_transform]],[3]Mapping!$B$3:$D$37,3,0)</f>
        <v>cashloan</v>
      </c>
      <c r="I6142" s="135">
        <v>0</v>
      </c>
    </row>
    <row r="6143" spans="1:9" x14ac:dyDescent="0.2">
      <c r="A6143" s="134">
        <v>45760</v>
      </c>
      <c r="B6143" s="135">
        <f>YEAR(source[[#This Row],[report_date]])</f>
        <v>2025</v>
      </c>
      <c r="C6143" s="128">
        <f t="shared" si="286"/>
        <v>4</v>
      </c>
      <c r="D6143" s="136">
        <f t="shared" si="285"/>
        <v>15</v>
      </c>
      <c r="E6143" s="136">
        <f t="shared" si="287"/>
        <v>13</v>
      </c>
      <c r="F6143" s="128" t="s">
        <v>24</v>
      </c>
      <c r="G6143" s="128" t="str">
        <f>VLOOKUP(source[[#This Row],[lending_product_transform]],[3]Mapping!$B$4:$C$37,2,0)</f>
        <v>[Cake] - Cashloan</v>
      </c>
      <c r="H6143" s="128" t="str">
        <f>VLOOKUP(source[[#This Row],[lending_product_transform]],[3]Mapping!$B$3:$D$37,3,0)</f>
        <v>cashloan</v>
      </c>
      <c r="I6143" s="135">
        <v>0</v>
      </c>
    </row>
    <row r="6144" spans="1:9" x14ac:dyDescent="0.2">
      <c r="A6144" s="134">
        <v>45760</v>
      </c>
      <c r="B6144" s="135">
        <f>YEAR(source[[#This Row],[report_date]])</f>
        <v>2025</v>
      </c>
      <c r="C6144" s="128">
        <f t="shared" si="286"/>
        <v>4</v>
      </c>
      <c r="D6144" s="136">
        <f t="shared" si="285"/>
        <v>15</v>
      </c>
      <c r="E6144" s="136">
        <f t="shared" si="287"/>
        <v>13</v>
      </c>
      <c r="F6144" s="128" t="s">
        <v>24</v>
      </c>
      <c r="G6144" s="128" t="str">
        <f>VLOOKUP(source[[#This Row],[lending_product_transform]],[3]Mapping!$B$4:$C$37,2,0)</f>
        <v>[Cake] - Cashloan</v>
      </c>
      <c r="H6144" s="128" t="str">
        <f>VLOOKUP(source[[#This Row],[lending_product_transform]],[3]Mapping!$B$3:$D$37,3,0)</f>
        <v>cashloan</v>
      </c>
      <c r="I6144" s="135">
        <v>256280000</v>
      </c>
    </row>
    <row r="6145" spans="1:9" x14ac:dyDescent="0.2">
      <c r="A6145" s="134">
        <v>45760</v>
      </c>
      <c r="B6145" s="135">
        <f>YEAR(source[[#This Row],[report_date]])</f>
        <v>2025</v>
      </c>
      <c r="C6145" s="128">
        <f t="shared" si="286"/>
        <v>4</v>
      </c>
      <c r="D6145" s="136">
        <f t="shared" si="285"/>
        <v>15</v>
      </c>
      <c r="E6145" s="136">
        <f t="shared" si="287"/>
        <v>13</v>
      </c>
      <c r="F6145" s="128" t="s">
        <v>24</v>
      </c>
      <c r="G6145" s="128" t="str">
        <f>VLOOKUP(source[[#This Row],[lending_product_transform]],[3]Mapping!$B$4:$C$37,2,0)</f>
        <v>[Cake] - Cashloan</v>
      </c>
      <c r="H6145" s="128" t="str">
        <f>VLOOKUP(source[[#This Row],[lending_product_transform]],[3]Mapping!$B$3:$D$37,3,0)</f>
        <v>cashloan</v>
      </c>
      <c r="I6145" s="135">
        <v>5512280000</v>
      </c>
    </row>
    <row r="6146" spans="1:9" x14ac:dyDescent="0.2">
      <c r="A6146" s="134">
        <v>45760</v>
      </c>
      <c r="B6146" s="135">
        <f>YEAR(source[[#This Row],[report_date]])</f>
        <v>2025</v>
      </c>
      <c r="C6146" s="128">
        <f t="shared" si="286"/>
        <v>4</v>
      </c>
      <c r="D6146" s="136">
        <f t="shared" si="285"/>
        <v>15</v>
      </c>
      <c r="E6146" s="136">
        <f t="shared" si="287"/>
        <v>13</v>
      </c>
      <c r="F6146" s="128" t="s">
        <v>24</v>
      </c>
      <c r="G6146" s="128" t="str">
        <f>VLOOKUP(source[[#This Row],[lending_product_transform]],[3]Mapping!$B$4:$C$37,2,0)</f>
        <v>[Cake] - Cashloan</v>
      </c>
      <c r="H6146" s="128" t="str">
        <f>VLOOKUP(source[[#This Row],[lending_product_transform]],[3]Mapping!$B$3:$D$37,3,0)</f>
        <v>cashloan</v>
      </c>
      <c r="I6146" s="135">
        <v>335306680</v>
      </c>
    </row>
    <row r="6147" spans="1:9" x14ac:dyDescent="0.2">
      <c r="A6147" s="134">
        <v>45760</v>
      </c>
      <c r="B6147" s="135">
        <f>YEAR(source[[#This Row],[report_date]])</f>
        <v>2025</v>
      </c>
      <c r="C6147" s="128">
        <f t="shared" si="286"/>
        <v>4</v>
      </c>
      <c r="D6147" s="136">
        <f t="shared" ref="D6147:D6210" si="288">WEEKNUM(A6147,2)</f>
        <v>15</v>
      </c>
      <c r="E6147" s="136">
        <f t="shared" si="287"/>
        <v>13</v>
      </c>
      <c r="F6147" s="128" t="s">
        <v>24</v>
      </c>
      <c r="G6147" s="128" t="str">
        <f>VLOOKUP(source[[#This Row],[lending_product_transform]],[3]Mapping!$B$4:$C$37,2,0)</f>
        <v>[Cake] - Cashloan</v>
      </c>
      <c r="H6147" s="128" t="str">
        <f>VLOOKUP(source[[#This Row],[lending_product_transform]],[3]Mapping!$B$3:$D$37,3,0)</f>
        <v>cashloan</v>
      </c>
      <c r="I6147" s="135">
        <v>151986707</v>
      </c>
    </row>
    <row r="6148" spans="1:9" x14ac:dyDescent="0.2">
      <c r="A6148" s="134">
        <v>45760</v>
      </c>
      <c r="B6148" s="135">
        <f>YEAR(source[[#This Row],[report_date]])</f>
        <v>2025</v>
      </c>
      <c r="C6148" s="128">
        <f t="shared" si="286"/>
        <v>4</v>
      </c>
      <c r="D6148" s="136">
        <f t="shared" si="288"/>
        <v>15</v>
      </c>
      <c r="E6148" s="136">
        <f t="shared" si="287"/>
        <v>13</v>
      </c>
      <c r="F6148" s="128" t="s">
        <v>24</v>
      </c>
      <c r="G6148" s="128" t="str">
        <f>VLOOKUP(source[[#This Row],[lending_product_transform]],[3]Mapping!$B$4:$C$37,2,0)</f>
        <v>[Cake] - Cashloan</v>
      </c>
      <c r="H6148" s="128" t="str">
        <f>VLOOKUP(source[[#This Row],[lending_product_transform]],[3]Mapping!$B$3:$D$37,3,0)</f>
        <v>cashloan</v>
      </c>
      <c r="I6148" s="135">
        <v>5319324000</v>
      </c>
    </row>
    <row r="6149" spans="1:9" x14ac:dyDescent="0.2">
      <c r="A6149" s="134">
        <v>45761</v>
      </c>
      <c r="B6149" s="135">
        <f>YEAR(source[[#This Row],[report_date]])</f>
        <v>2025</v>
      </c>
      <c r="C6149" s="128">
        <f t="shared" si="286"/>
        <v>4</v>
      </c>
      <c r="D6149" s="136">
        <f t="shared" si="288"/>
        <v>16</v>
      </c>
      <c r="E6149" s="136">
        <f t="shared" si="287"/>
        <v>14</v>
      </c>
      <c r="F6149" s="128" t="s">
        <v>24</v>
      </c>
      <c r="G6149" s="128" t="str">
        <f>VLOOKUP(source[[#This Row],[lending_product_transform]],[3]Mapping!$B$4:$C$37,2,0)</f>
        <v>[Cake] - Cashloan</v>
      </c>
      <c r="H6149" s="128" t="str">
        <f>VLOOKUP(source[[#This Row],[lending_product_transform]],[3]Mapping!$B$3:$D$37,3,0)</f>
        <v>cashloan</v>
      </c>
      <c r="I6149" s="135">
        <v>5722380000</v>
      </c>
    </row>
    <row r="6150" spans="1:9" x14ac:dyDescent="0.2">
      <c r="A6150" s="134">
        <v>45761</v>
      </c>
      <c r="B6150" s="135">
        <f>YEAR(source[[#This Row],[report_date]])</f>
        <v>2025</v>
      </c>
      <c r="C6150" s="128">
        <f t="shared" si="286"/>
        <v>4</v>
      </c>
      <c r="D6150" s="136">
        <f t="shared" si="288"/>
        <v>16</v>
      </c>
      <c r="E6150" s="136">
        <f t="shared" si="287"/>
        <v>14</v>
      </c>
      <c r="F6150" s="128" t="s">
        <v>24</v>
      </c>
      <c r="G6150" s="128" t="str">
        <f>VLOOKUP(source[[#This Row],[lending_product_transform]],[3]Mapping!$B$4:$C$37,2,0)</f>
        <v>[Cake] - Cashloan</v>
      </c>
      <c r="H6150" s="128" t="str">
        <f>VLOOKUP(source[[#This Row],[lending_product_transform]],[3]Mapping!$B$3:$D$37,3,0)</f>
        <v>cashloan</v>
      </c>
      <c r="I6150" s="135">
        <v>389040567</v>
      </c>
    </row>
    <row r="6151" spans="1:9" x14ac:dyDescent="0.2">
      <c r="A6151" s="134">
        <v>45761</v>
      </c>
      <c r="B6151" s="135">
        <f>YEAR(source[[#This Row],[report_date]])</f>
        <v>2025</v>
      </c>
      <c r="C6151" s="128">
        <f t="shared" si="286"/>
        <v>4</v>
      </c>
      <c r="D6151" s="136">
        <f t="shared" si="288"/>
        <v>16</v>
      </c>
      <c r="E6151" s="136">
        <f t="shared" si="287"/>
        <v>14</v>
      </c>
      <c r="F6151" s="128" t="s">
        <v>24</v>
      </c>
      <c r="G6151" s="128" t="str">
        <f>VLOOKUP(source[[#This Row],[lending_product_transform]],[3]Mapping!$B$4:$C$37,2,0)</f>
        <v>[Cake] - Cashloan</v>
      </c>
      <c r="H6151" s="128" t="str">
        <f>VLOOKUP(source[[#This Row],[lending_product_transform]],[3]Mapping!$B$3:$D$37,3,0)</f>
        <v>cashloan</v>
      </c>
      <c r="I6151" s="135">
        <v>8827100000</v>
      </c>
    </row>
    <row r="6152" spans="1:9" x14ac:dyDescent="0.2">
      <c r="A6152" s="134">
        <v>45761</v>
      </c>
      <c r="B6152" s="135">
        <f>YEAR(source[[#This Row],[report_date]])</f>
        <v>2025</v>
      </c>
      <c r="C6152" s="128">
        <f t="shared" si="286"/>
        <v>4</v>
      </c>
      <c r="D6152" s="136">
        <f t="shared" si="288"/>
        <v>16</v>
      </c>
      <c r="E6152" s="136">
        <f t="shared" si="287"/>
        <v>14</v>
      </c>
      <c r="F6152" s="128" t="s">
        <v>24</v>
      </c>
      <c r="G6152" s="128" t="str">
        <f>VLOOKUP(source[[#This Row],[lending_product_transform]],[3]Mapping!$B$4:$C$37,2,0)</f>
        <v>[Cake] - Cashloan</v>
      </c>
      <c r="H6152" s="128" t="str">
        <f>VLOOKUP(source[[#This Row],[lending_product_transform]],[3]Mapping!$B$3:$D$37,3,0)</f>
        <v>cashloan</v>
      </c>
      <c r="I6152" s="135">
        <v>7854950000</v>
      </c>
    </row>
    <row r="6153" spans="1:9" x14ac:dyDescent="0.2">
      <c r="A6153" s="134">
        <v>45761</v>
      </c>
      <c r="B6153" s="135">
        <f>YEAR(source[[#This Row],[report_date]])</f>
        <v>2025</v>
      </c>
      <c r="C6153" s="128">
        <f t="shared" si="286"/>
        <v>4</v>
      </c>
      <c r="D6153" s="136">
        <f t="shared" si="288"/>
        <v>16</v>
      </c>
      <c r="E6153" s="136">
        <f t="shared" si="287"/>
        <v>14</v>
      </c>
      <c r="F6153" s="128" t="s">
        <v>24</v>
      </c>
      <c r="G6153" s="128" t="str">
        <f>VLOOKUP(source[[#This Row],[lending_product_transform]],[3]Mapping!$B$4:$C$37,2,0)</f>
        <v>[Cake] - Cashloan</v>
      </c>
      <c r="H6153" s="128" t="str">
        <f>VLOOKUP(source[[#This Row],[lending_product_transform]],[3]Mapping!$B$3:$D$37,3,0)</f>
        <v>cashloan</v>
      </c>
      <c r="I6153" s="135">
        <v>156424995</v>
      </c>
    </row>
    <row r="6154" spans="1:9" x14ac:dyDescent="0.2">
      <c r="A6154" s="134">
        <v>45761</v>
      </c>
      <c r="B6154" s="135">
        <f>YEAR(source[[#This Row],[report_date]])</f>
        <v>2025</v>
      </c>
      <c r="C6154" s="128">
        <f t="shared" si="286"/>
        <v>4</v>
      </c>
      <c r="D6154" s="136">
        <f t="shared" si="288"/>
        <v>16</v>
      </c>
      <c r="E6154" s="136">
        <f t="shared" si="287"/>
        <v>14</v>
      </c>
      <c r="F6154" s="128" t="s">
        <v>24</v>
      </c>
      <c r="G6154" s="128" t="str">
        <f>VLOOKUP(source[[#This Row],[lending_product_transform]],[3]Mapping!$B$4:$C$37,2,0)</f>
        <v>[Cake] - Cashloan</v>
      </c>
      <c r="H6154" s="128" t="str">
        <f>VLOOKUP(source[[#This Row],[lending_product_transform]],[3]Mapping!$B$3:$D$37,3,0)</f>
        <v>cashloan</v>
      </c>
      <c r="I6154" s="135">
        <v>0</v>
      </c>
    </row>
    <row r="6155" spans="1:9" x14ac:dyDescent="0.2">
      <c r="A6155" s="134">
        <v>45761</v>
      </c>
      <c r="B6155" s="135">
        <f>YEAR(source[[#This Row],[report_date]])</f>
        <v>2025</v>
      </c>
      <c r="C6155" s="128">
        <f t="shared" si="286"/>
        <v>4</v>
      </c>
      <c r="D6155" s="136">
        <f t="shared" si="288"/>
        <v>16</v>
      </c>
      <c r="E6155" s="136">
        <f t="shared" si="287"/>
        <v>14</v>
      </c>
      <c r="F6155" s="128" t="s">
        <v>24</v>
      </c>
      <c r="G6155" s="128" t="str">
        <f>VLOOKUP(source[[#This Row],[lending_product_transform]],[3]Mapping!$B$4:$C$37,2,0)</f>
        <v>[Cake] - Cashloan</v>
      </c>
      <c r="H6155" s="128" t="str">
        <f>VLOOKUP(source[[#This Row],[lending_product_transform]],[3]Mapping!$B$3:$D$37,3,0)</f>
        <v>cashloan</v>
      </c>
      <c r="I6155" s="135">
        <v>0</v>
      </c>
    </row>
    <row r="6156" spans="1:9" x14ac:dyDescent="0.2">
      <c r="A6156" s="134">
        <v>45761</v>
      </c>
      <c r="B6156" s="135">
        <f>YEAR(source[[#This Row],[report_date]])</f>
        <v>2025</v>
      </c>
      <c r="C6156" s="128">
        <f t="shared" si="286"/>
        <v>4</v>
      </c>
      <c r="D6156" s="136">
        <f t="shared" si="288"/>
        <v>16</v>
      </c>
      <c r="E6156" s="136">
        <f t="shared" si="287"/>
        <v>14</v>
      </c>
      <c r="F6156" s="128" t="s">
        <v>24</v>
      </c>
      <c r="G6156" s="128" t="str">
        <f>VLOOKUP(source[[#This Row],[lending_product_transform]],[3]Mapping!$B$4:$C$37,2,0)</f>
        <v>[Cake] - Cashloan</v>
      </c>
      <c r="H6156" s="128" t="str">
        <f>VLOOKUP(source[[#This Row],[lending_product_transform]],[3]Mapping!$B$3:$D$37,3,0)</f>
        <v>cashloan</v>
      </c>
      <c r="I6156" s="135">
        <v>0</v>
      </c>
    </row>
    <row r="6157" spans="1:9" x14ac:dyDescent="0.2">
      <c r="A6157" s="134">
        <v>45761</v>
      </c>
      <c r="B6157" s="135">
        <f>YEAR(source[[#This Row],[report_date]])</f>
        <v>2025</v>
      </c>
      <c r="C6157" s="128">
        <f t="shared" si="286"/>
        <v>4</v>
      </c>
      <c r="D6157" s="136">
        <f t="shared" si="288"/>
        <v>16</v>
      </c>
      <c r="E6157" s="136">
        <f t="shared" si="287"/>
        <v>14</v>
      </c>
      <c r="F6157" s="128" t="s">
        <v>24</v>
      </c>
      <c r="G6157" s="128" t="str">
        <f>VLOOKUP(source[[#This Row],[lending_product_transform]],[3]Mapping!$B$4:$C$37,2,0)</f>
        <v>[Cake] - Cashloan</v>
      </c>
      <c r="H6157" s="128" t="str">
        <f>VLOOKUP(source[[#This Row],[lending_product_transform]],[3]Mapping!$B$3:$D$37,3,0)</f>
        <v>cashloan</v>
      </c>
      <c r="I6157" s="135">
        <v>352445822</v>
      </c>
    </row>
    <row r="6158" spans="1:9" x14ac:dyDescent="0.2">
      <c r="A6158" s="134">
        <v>45761</v>
      </c>
      <c r="B6158" s="135">
        <f>YEAR(source[[#This Row],[report_date]])</f>
        <v>2025</v>
      </c>
      <c r="C6158" s="128">
        <f t="shared" si="286"/>
        <v>4</v>
      </c>
      <c r="D6158" s="136">
        <f t="shared" si="288"/>
        <v>16</v>
      </c>
      <c r="E6158" s="136">
        <f t="shared" si="287"/>
        <v>14</v>
      </c>
      <c r="F6158" s="128" t="s">
        <v>24</v>
      </c>
      <c r="G6158" s="128" t="str">
        <f>VLOOKUP(source[[#This Row],[lending_product_transform]],[3]Mapping!$B$4:$C$37,2,0)</f>
        <v>[Cake] - Cashloan</v>
      </c>
      <c r="H6158" s="128" t="str">
        <f>VLOOKUP(source[[#This Row],[lending_product_transform]],[3]Mapping!$B$3:$D$37,3,0)</f>
        <v>cashloan</v>
      </c>
      <c r="I6158" s="135">
        <v>3968664693</v>
      </c>
    </row>
    <row r="6159" spans="1:9" x14ac:dyDescent="0.2">
      <c r="A6159" s="134">
        <v>45761</v>
      </c>
      <c r="B6159" s="135">
        <f>YEAR(source[[#This Row],[report_date]])</f>
        <v>2025</v>
      </c>
      <c r="C6159" s="128">
        <f t="shared" si="286"/>
        <v>4</v>
      </c>
      <c r="D6159" s="136">
        <f t="shared" si="288"/>
        <v>16</v>
      </c>
      <c r="E6159" s="136">
        <f t="shared" si="287"/>
        <v>14</v>
      </c>
      <c r="F6159" s="128" t="s">
        <v>24</v>
      </c>
      <c r="G6159" s="128" t="str">
        <f>VLOOKUP(source[[#This Row],[lending_product_transform]],[3]Mapping!$B$4:$C$37,2,0)</f>
        <v>[Cake] - Cashloan</v>
      </c>
      <c r="H6159" s="128" t="str">
        <f>VLOOKUP(source[[#This Row],[lending_product_transform]],[3]Mapping!$B$3:$D$37,3,0)</f>
        <v>cashloan</v>
      </c>
      <c r="I6159" s="135">
        <v>0</v>
      </c>
    </row>
    <row r="6160" spans="1:9" x14ac:dyDescent="0.2">
      <c r="A6160" s="134">
        <v>45761</v>
      </c>
      <c r="B6160" s="135">
        <f>YEAR(source[[#This Row],[report_date]])</f>
        <v>2025</v>
      </c>
      <c r="C6160" s="128">
        <f t="shared" si="286"/>
        <v>4</v>
      </c>
      <c r="D6160" s="136">
        <f t="shared" si="288"/>
        <v>16</v>
      </c>
      <c r="E6160" s="136">
        <f t="shared" si="287"/>
        <v>14</v>
      </c>
      <c r="F6160" s="128" t="s">
        <v>24</v>
      </c>
      <c r="G6160" s="128" t="str">
        <f>VLOOKUP(source[[#This Row],[lending_product_transform]],[3]Mapping!$B$4:$C$37,2,0)</f>
        <v>[Cake] - Cashloan</v>
      </c>
      <c r="H6160" s="128" t="str">
        <f>VLOOKUP(source[[#This Row],[lending_product_transform]],[3]Mapping!$B$3:$D$37,3,0)</f>
        <v>cashloan</v>
      </c>
      <c r="I6160" s="135">
        <v>13578805</v>
      </c>
    </row>
    <row r="6161" spans="1:9" x14ac:dyDescent="0.2">
      <c r="A6161" s="134">
        <v>45761</v>
      </c>
      <c r="B6161" s="135">
        <f>YEAR(source[[#This Row],[report_date]])</f>
        <v>2025</v>
      </c>
      <c r="C6161" s="128">
        <f t="shared" si="286"/>
        <v>4</v>
      </c>
      <c r="D6161" s="136">
        <f t="shared" si="288"/>
        <v>16</v>
      </c>
      <c r="E6161" s="136">
        <f t="shared" si="287"/>
        <v>14</v>
      </c>
      <c r="F6161" s="128" t="s">
        <v>24</v>
      </c>
      <c r="G6161" s="128" t="str">
        <f>VLOOKUP(source[[#This Row],[lending_product_transform]],[3]Mapping!$B$4:$C$37,2,0)</f>
        <v>[Cake] - Cashloan</v>
      </c>
      <c r="H6161" s="128" t="str">
        <f>VLOOKUP(source[[#This Row],[lending_product_transform]],[3]Mapping!$B$3:$D$37,3,0)</f>
        <v>cashloan</v>
      </c>
      <c r="I6161" s="135">
        <v>36000000</v>
      </c>
    </row>
    <row r="6162" spans="1:9" x14ac:dyDescent="0.2">
      <c r="A6162" s="134">
        <v>45761</v>
      </c>
      <c r="B6162" s="135">
        <f>YEAR(source[[#This Row],[report_date]])</f>
        <v>2025</v>
      </c>
      <c r="C6162" s="128">
        <f t="shared" si="286"/>
        <v>4</v>
      </c>
      <c r="D6162" s="136">
        <f t="shared" si="288"/>
        <v>16</v>
      </c>
      <c r="E6162" s="136">
        <f t="shared" si="287"/>
        <v>14</v>
      </c>
      <c r="F6162" s="128" t="s">
        <v>24</v>
      </c>
      <c r="G6162" s="128" t="str">
        <f>VLOOKUP(source[[#This Row],[lending_product_transform]],[3]Mapping!$B$4:$C$37,2,0)</f>
        <v>[Cake] - Cashloan</v>
      </c>
      <c r="H6162" s="128" t="str">
        <f>VLOOKUP(source[[#This Row],[lending_product_transform]],[3]Mapping!$B$3:$D$37,3,0)</f>
        <v>cashloan</v>
      </c>
      <c r="I6162" s="135">
        <v>0</v>
      </c>
    </row>
    <row r="6163" spans="1:9" x14ac:dyDescent="0.2">
      <c r="A6163" s="134">
        <v>45761</v>
      </c>
      <c r="B6163" s="135">
        <f>YEAR(source[[#This Row],[report_date]])</f>
        <v>2025</v>
      </c>
      <c r="C6163" s="128">
        <f t="shared" si="286"/>
        <v>4</v>
      </c>
      <c r="D6163" s="136">
        <f t="shared" si="288"/>
        <v>16</v>
      </c>
      <c r="E6163" s="136">
        <f t="shared" si="287"/>
        <v>14</v>
      </c>
      <c r="F6163" s="128" t="s">
        <v>24</v>
      </c>
      <c r="G6163" s="128" t="str">
        <f>VLOOKUP(source[[#This Row],[lending_product_transform]],[3]Mapping!$B$4:$C$37,2,0)</f>
        <v>[Cake] - Cashloan</v>
      </c>
      <c r="H6163" s="128" t="str">
        <f>VLOOKUP(source[[#This Row],[lending_product_transform]],[3]Mapping!$B$3:$D$37,3,0)</f>
        <v>cashloan</v>
      </c>
      <c r="I6163" s="135">
        <v>0</v>
      </c>
    </row>
    <row r="6164" spans="1:9" x14ac:dyDescent="0.2">
      <c r="A6164" s="134">
        <v>45761</v>
      </c>
      <c r="B6164" s="135">
        <f>YEAR(source[[#This Row],[report_date]])</f>
        <v>2025</v>
      </c>
      <c r="C6164" s="128">
        <f t="shared" si="286"/>
        <v>4</v>
      </c>
      <c r="D6164" s="136">
        <f t="shared" si="288"/>
        <v>16</v>
      </c>
      <c r="E6164" s="136">
        <f t="shared" si="287"/>
        <v>14</v>
      </c>
      <c r="F6164" s="128" t="s">
        <v>24</v>
      </c>
      <c r="G6164" s="128" t="str">
        <f>VLOOKUP(source[[#This Row],[lending_product_transform]],[3]Mapping!$B$4:$C$37,2,0)</f>
        <v>[Cake] - Cashloan</v>
      </c>
      <c r="H6164" s="128" t="str">
        <f>VLOOKUP(source[[#This Row],[lending_product_transform]],[3]Mapping!$B$3:$D$37,3,0)</f>
        <v>cashloan</v>
      </c>
      <c r="I6164" s="135">
        <v>30000000</v>
      </c>
    </row>
    <row r="6165" spans="1:9" x14ac:dyDescent="0.2">
      <c r="A6165" s="134">
        <v>45761</v>
      </c>
      <c r="B6165" s="135">
        <f>YEAR(source[[#This Row],[report_date]])</f>
        <v>2025</v>
      </c>
      <c r="C6165" s="128">
        <f t="shared" si="286"/>
        <v>4</v>
      </c>
      <c r="D6165" s="136">
        <f t="shared" si="288"/>
        <v>16</v>
      </c>
      <c r="E6165" s="136">
        <f t="shared" si="287"/>
        <v>14</v>
      </c>
      <c r="F6165" s="128" t="s">
        <v>24</v>
      </c>
      <c r="G6165" s="128" t="str">
        <f>VLOOKUP(source[[#This Row],[lending_product_transform]],[3]Mapping!$B$4:$C$37,2,0)</f>
        <v>[Cake] - Cashloan</v>
      </c>
      <c r="H6165" s="128" t="str">
        <f>VLOOKUP(source[[#This Row],[lending_product_transform]],[3]Mapping!$B$3:$D$37,3,0)</f>
        <v>cashloan</v>
      </c>
      <c r="I6165" s="135">
        <v>0</v>
      </c>
    </row>
    <row r="6166" spans="1:9" x14ac:dyDescent="0.2">
      <c r="A6166" s="134">
        <v>45761</v>
      </c>
      <c r="B6166" s="135">
        <f>YEAR(source[[#This Row],[report_date]])</f>
        <v>2025</v>
      </c>
      <c r="C6166" s="128">
        <f t="shared" si="286"/>
        <v>4</v>
      </c>
      <c r="D6166" s="136">
        <f t="shared" si="288"/>
        <v>16</v>
      </c>
      <c r="E6166" s="136">
        <f t="shared" si="287"/>
        <v>14</v>
      </c>
      <c r="F6166" s="128" t="s">
        <v>24</v>
      </c>
      <c r="G6166" s="128" t="str">
        <f>VLOOKUP(source[[#This Row],[lending_product_transform]],[3]Mapping!$B$4:$C$37,2,0)</f>
        <v>[Cake] - Cashloan</v>
      </c>
      <c r="H6166" s="128" t="str">
        <f>VLOOKUP(source[[#This Row],[lending_product_transform]],[3]Mapping!$B$3:$D$37,3,0)</f>
        <v>cashloan</v>
      </c>
      <c r="I6166" s="135">
        <v>421860000</v>
      </c>
    </row>
    <row r="6167" spans="1:9" x14ac:dyDescent="0.2">
      <c r="A6167" s="134">
        <v>45761</v>
      </c>
      <c r="B6167" s="135">
        <f>YEAR(source[[#This Row],[report_date]])</f>
        <v>2025</v>
      </c>
      <c r="C6167" s="128">
        <f t="shared" si="286"/>
        <v>4</v>
      </c>
      <c r="D6167" s="136">
        <f t="shared" si="288"/>
        <v>16</v>
      </c>
      <c r="E6167" s="136">
        <f t="shared" si="287"/>
        <v>14</v>
      </c>
      <c r="F6167" s="128" t="s">
        <v>24</v>
      </c>
      <c r="G6167" s="128" t="str">
        <f>VLOOKUP(source[[#This Row],[lending_product_transform]],[3]Mapping!$B$4:$C$37,2,0)</f>
        <v>[Cake] - Cashloan</v>
      </c>
      <c r="H6167" s="128" t="str">
        <f>VLOOKUP(source[[#This Row],[lending_product_transform]],[3]Mapping!$B$3:$D$37,3,0)</f>
        <v>cashloan</v>
      </c>
      <c r="I6167" s="135">
        <v>1201290000</v>
      </c>
    </row>
    <row r="6168" spans="1:9" x14ac:dyDescent="0.2">
      <c r="A6168" s="134">
        <v>45762</v>
      </c>
      <c r="B6168" s="135">
        <f>YEAR(source[[#This Row],[report_date]])</f>
        <v>2025</v>
      </c>
      <c r="C6168" s="128">
        <f t="shared" si="286"/>
        <v>4</v>
      </c>
      <c r="D6168" s="136">
        <f t="shared" si="288"/>
        <v>16</v>
      </c>
      <c r="E6168" s="136">
        <f t="shared" si="287"/>
        <v>15</v>
      </c>
      <c r="F6168" s="128" t="s">
        <v>24</v>
      </c>
      <c r="G6168" s="128" t="str">
        <f>VLOOKUP(source[[#This Row],[lending_product_transform]],[3]Mapping!$B$4:$C$37,2,0)</f>
        <v>[Cake] - Cashloan</v>
      </c>
      <c r="H6168" s="128" t="str">
        <f>VLOOKUP(source[[#This Row],[lending_product_transform]],[3]Mapping!$B$3:$D$37,3,0)</f>
        <v>cashloan</v>
      </c>
      <c r="I6168" s="135">
        <v>41000000</v>
      </c>
    </row>
    <row r="6169" spans="1:9" x14ac:dyDescent="0.2">
      <c r="A6169" s="134">
        <v>45762</v>
      </c>
      <c r="B6169" s="135">
        <f>YEAR(source[[#This Row],[report_date]])</f>
        <v>2025</v>
      </c>
      <c r="C6169" s="128">
        <f t="shared" si="286"/>
        <v>4</v>
      </c>
      <c r="D6169" s="136">
        <f t="shared" si="288"/>
        <v>16</v>
      </c>
      <c r="E6169" s="136">
        <f t="shared" si="287"/>
        <v>15</v>
      </c>
      <c r="F6169" s="128" t="s">
        <v>24</v>
      </c>
      <c r="G6169" s="128" t="str">
        <f>VLOOKUP(source[[#This Row],[lending_product_transform]],[3]Mapping!$B$4:$C$37,2,0)</f>
        <v>[Cake] - Cashloan</v>
      </c>
      <c r="H6169" s="128" t="str">
        <f>VLOOKUP(source[[#This Row],[lending_product_transform]],[3]Mapping!$B$3:$D$37,3,0)</f>
        <v>cashloan</v>
      </c>
      <c r="I6169" s="135">
        <v>6306660000</v>
      </c>
    </row>
    <row r="6170" spans="1:9" x14ac:dyDescent="0.2">
      <c r="A6170" s="134">
        <v>45762</v>
      </c>
      <c r="B6170" s="135">
        <f>YEAR(source[[#This Row],[report_date]])</f>
        <v>2025</v>
      </c>
      <c r="C6170" s="128">
        <f t="shared" si="286"/>
        <v>4</v>
      </c>
      <c r="D6170" s="136">
        <f t="shared" si="288"/>
        <v>16</v>
      </c>
      <c r="E6170" s="136">
        <f t="shared" si="287"/>
        <v>15</v>
      </c>
      <c r="F6170" s="128" t="s">
        <v>24</v>
      </c>
      <c r="G6170" s="128" t="str">
        <f>VLOOKUP(source[[#This Row],[lending_product_transform]],[3]Mapping!$B$4:$C$37,2,0)</f>
        <v>[Cake] - Cashloan</v>
      </c>
      <c r="H6170" s="128" t="str">
        <f>VLOOKUP(source[[#This Row],[lending_product_transform]],[3]Mapping!$B$3:$D$37,3,0)</f>
        <v>cashloan</v>
      </c>
      <c r="I6170" s="135">
        <v>8957020000</v>
      </c>
    </row>
    <row r="6171" spans="1:9" x14ac:dyDescent="0.2">
      <c r="A6171" s="134">
        <v>45762</v>
      </c>
      <c r="B6171" s="135">
        <f>YEAR(source[[#This Row],[report_date]])</f>
        <v>2025</v>
      </c>
      <c r="C6171" s="128">
        <f t="shared" si="286"/>
        <v>4</v>
      </c>
      <c r="D6171" s="136">
        <f t="shared" si="288"/>
        <v>16</v>
      </c>
      <c r="E6171" s="136">
        <f t="shared" si="287"/>
        <v>15</v>
      </c>
      <c r="F6171" s="128" t="s">
        <v>24</v>
      </c>
      <c r="G6171" s="128" t="str">
        <f>VLOOKUP(source[[#This Row],[lending_product_transform]],[3]Mapping!$B$4:$C$37,2,0)</f>
        <v>[Cake] - Cashloan</v>
      </c>
      <c r="H6171" s="128" t="str">
        <f>VLOOKUP(source[[#This Row],[lending_product_transform]],[3]Mapping!$B$3:$D$37,3,0)</f>
        <v>cashloan</v>
      </c>
      <c r="I6171" s="135">
        <v>18900000</v>
      </c>
    </row>
    <row r="6172" spans="1:9" x14ac:dyDescent="0.2">
      <c r="A6172" s="134">
        <v>45762</v>
      </c>
      <c r="B6172" s="135">
        <f>YEAR(source[[#This Row],[report_date]])</f>
        <v>2025</v>
      </c>
      <c r="C6172" s="128">
        <f t="shared" si="286"/>
        <v>4</v>
      </c>
      <c r="D6172" s="136">
        <f t="shared" si="288"/>
        <v>16</v>
      </c>
      <c r="E6172" s="136">
        <f t="shared" si="287"/>
        <v>15</v>
      </c>
      <c r="F6172" s="128" t="s">
        <v>24</v>
      </c>
      <c r="G6172" s="128" t="str">
        <f>VLOOKUP(source[[#This Row],[lending_product_transform]],[3]Mapping!$B$4:$C$37,2,0)</f>
        <v>[Cake] - Cashloan</v>
      </c>
      <c r="H6172" s="128" t="str">
        <f>VLOOKUP(source[[#This Row],[lending_product_transform]],[3]Mapping!$B$3:$D$37,3,0)</f>
        <v>cashloan</v>
      </c>
      <c r="I6172" s="135">
        <v>0</v>
      </c>
    </row>
    <row r="6173" spans="1:9" x14ac:dyDescent="0.2">
      <c r="A6173" s="134">
        <v>45762</v>
      </c>
      <c r="B6173" s="135">
        <f>YEAR(source[[#This Row],[report_date]])</f>
        <v>2025</v>
      </c>
      <c r="C6173" s="128">
        <f t="shared" si="286"/>
        <v>4</v>
      </c>
      <c r="D6173" s="136">
        <f t="shared" si="288"/>
        <v>16</v>
      </c>
      <c r="E6173" s="136">
        <f t="shared" si="287"/>
        <v>15</v>
      </c>
      <c r="F6173" s="128" t="s">
        <v>24</v>
      </c>
      <c r="G6173" s="128" t="str">
        <f>VLOOKUP(source[[#This Row],[lending_product_transform]],[3]Mapping!$B$4:$C$37,2,0)</f>
        <v>[Cake] - Cashloan</v>
      </c>
      <c r="H6173" s="128" t="str">
        <f>VLOOKUP(source[[#This Row],[lending_product_transform]],[3]Mapping!$B$3:$D$37,3,0)</f>
        <v>cashloan</v>
      </c>
      <c r="I6173" s="135">
        <v>20257691</v>
      </c>
    </row>
    <row r="6174" spans="1:9" x14ac:dyDescent="0.2">
      <c r="A6174" s="134">
        <v>45762</v>
      </c>
      <c r="B6174" s="135">
        <f>YEAR(source[[#This Row],[report_date]])</f>
        <v>2025</v>
      </c>
      <c r="C6174" s="128">
        <f t="shared" si="286"/>
        <v>4</v>
      </c>
      <c r="D6174" s="136">
        <f t="shared" si="288"/>
        <v>16</v>
      </c>
      <c r="E6174" s="136">
        <f t="shared" si="287"/>
        <v>15</v>
      </c>
      <c r="F6174" s="128" t="s">
        <v>24</v>
      </c>
      <c r="G6174" s="128" t="str">
        <f>VLOOKUP(source[[#This Row],[lending_product_transform]],[3]Mapping!$B$4:$C$37,2,0)</f>
        <v>[Cake] - Cashloan</v>
      </c>
      <c r="H6174" s="128" t="str">
        <f>VLOOKUP(source[[#This Row],[lending_product_transform]],[3]Mapping!$B$3:$D$37,3,0)</f>
        <v>cashloan</v>
      </c>
      <c r="I6174" s="135">
        <v>0</v>
      </c>
    </row>
    <row r="6175" spans="1:9" x14ac:dyDescent="0.2">
      <c r="A6175" s="134">
        <v>45762</v>
      </c>
      <c r="B6175" s="135">
        <f>YEAR(source[[#This Row],[report_date]])</f>
        <v>2025</v>
      </c>
      <c r="C6175" s="128">
        <f t="shared" si="286"/>
        <v>4</v>
      </c>
      <c r="D6175" s="136">
        <f t="shared" si="288"/>
        <v>16</v>
      </c>
      <c r="E6175" s="136">
        <f t="shared" si="287"/>
        <v>15</v>
      </c>
      <c r="F6175" s="128" t="s">
        <v>24</v>
      </c>
      <c r="G6175" s="128" t="str">
        <f>VLOOKUP(source[[#This Row],[lending_product_transform]],[3]Mapping!$B$4:$C$37,2,0)</f>
        <v>[Cake] - Cashloan</v>
      </c>
      <c r="H6175" s="128" t="str">
        <f>VLOOKUP(source[[#This Row],[lending_product_transform]],[3]Mapping!$B$3:$D$37,3,0)</f>
        <v>cashloan</v>
      </c>
      <c r="I6175" s="135">
        <v>0</v>
      </c>
    </row>
    <row r="6176" spans="1:9" x14ac:dyDescent="0.2">
      <c r="A6176" s="134">
        <v>45762</v>
      </c>
      <c r="B6176" s="135">
        <f>YEAR(source[[#This Row],[report_date]])</f>
        <v>2025</v>
      </c>
      <c r="C6176" s="128">
        <f t="shared" si="286"/>
        <v>4</v>
      </c>
      <c r="D6176" s="136">
        <f t="shared" si="288"/>
        <v>16</v>
      </c>
      <c r="E6176" s="136">
        <f t="shared" si="287"/>
        <v>15</v>
      </c>
      <c r="F6176" s="128" t="s">
        <v>24</v>
      </c>
      <c r="G6176" s="128" t="str">
        <f>VLOOKUP(source[[#This Row],[lending_product_transform]],[3]Mapping!$B$4:$C$37,2,0)</f>
        <v>[Cake] - Cashloan</v>
      </c>
      <c r="H6176" s="128" t="str">
        <f>VLOOKUP(source[[#This Row],[lending_product_transform]],[3]Mapping!$B$3:$D$37,3,0)</f>
        <v>cashloan</v>
      </c>
      <c r="I6176" s="135">
        <v>0</v>
      </c>
    </row>
    <row r="6177" spans="1:9" x14ac:dyDescent="0.2">
      <c r="A6177" s="134">
        <v>45762</v>
      </c>
      <c r="B6177" s="135">
        <f>YEAR(source[[#This Row],[report_date]])</f>
        <v>2025</v>
      </c>
      <c r="C6177" s="128">
        <f t="shared" si="286"/>
        <v>4</v>
      </c>
      <c r="D6177" s="136">
        <f t="shared" si="288"/>
        <v>16</v>
      </c>
      <c r="E6177" s="136">
        <f t="shared" si="287"/>
        <v>15</v>
      </c>
      <c r="F6177" s="128" t="s">
        <v>24</v>
      </c>
      <c r="G6177" s="128" t="str">
        <f>VLOOKUP(source[[#This Row],[lending_product_transform]],[3]Mapping!$B$4:$C$37,2,0)</f>
        <v>[Cake] - Cashloan</v>
      </c>
      <c r="H6177" s="128" t="str">
        <f>VLOOKUP(source[[#This Row],[lending_product_transform]],[3]Mapping!$B$3:$D$37,3,0)</f>
        <v>cashloan</v>
      </c>
      <c r="I6177" s="135">
        <v>63000000</v>
      </c>
    </row>
    <row r="6178" spans="1:9" x14ac:dyDescent="0.2">
      <c r="A6178" s="134">
        <v>45762</v>
      </c>
      <c r="B6178" s="135">
        <f>YEAR(source[[#This Row],[report_date]])</f>
        <v>2025</v>
      </c>
      <c r="C6178" s="128">
        <f t="shared" si="286"/>
        <v>4</v>
      </c>
      <c r="D6178" s="136">
        <f t="shared" si="288"/>
        <v>16</v>
      </c>
      <c r="E6178" s="136">
        <f t="shared" si="287"/>
        <v>15</v>
      </c>
      <c r="F6178" s="128" t="s">
        <v>24</v>
      </c>
      <c r="G6178" s="128" t="str">
        <f>VLOOKUP(source[[#This Row],[lending_product_transform]],[3]Mapping!$B$4:$C$37,2,0)</f>
        <v>[Cake] - Cashloan</v>
      </c>
      <c r="H6178" s="128" t="str">
        <f>VLOOKUP(source[[#This Row],[lending_product_transform]],[3]Mapping!$B$3:$D$37,3,0)</f>
        <v>cashloan</v>
      </c>
      <c r="I6178" s="135">
        <v>0</v>
      </c>
    </row>
    <row r="6179" spans="1:9" x14ac:dyDescent="0.2">
      <c r="A6179" s="134">
        <v>45762</v>
      </c>
      <c r="B6179" s="135">
        <f>YEAR(source[[#This Row],[report_date]])</f>
        <v>2025</v>
      </c>
      <c r="C6179" s="128">
        <f t="shared" si="286"/>
        <v>4</v>
      </c>
      <c r="D6179" s="136">
        <f t="shared" si="288"/>
        <v>16</v>
      </c>
      <c r="E6179" s="136">
        <f t="shared" si="287"/>
        <v>15</v>
      </c>
      <c r="F6179" s="128" t="s">
        <v>24</v>
      </c>
      <c r="G6179" s="128" t="str">
        <f>VLOOKUP(source[[#This Row],[lending_product_transform]],[3]Mapping!$B$4:$C$37,2,0)</f>
        <v>[Cake] - Cashloan</v>
      </c>
      <c r="H6179" s="128" t="str">
        <f>VLOOKUP(source[[#This Row],[lending_product_transform]],[3]Mapping!$B$3:$D$37,3,0)</f>
        <v>cashloan</v>
      </c>
      <c r="I6179" s="135">
        <v>0</v>
      </c>
    </row>
    <row r="6180" spans="1:9" x14ac:dyDescent="0.2">
      <c r="A6180" s="134">
        <v>45762</v>
      </c>
      <c r="B6180" s="135">
        <f>YEAR(source[[#This Row],[report_date]])</f>
        <v>2025</v>
      </c>
      <c r="C6180" s="128">
        <f t="shared" si="286"/>
        <v>4</v>
      </c>
      <c r="D6180" s="136">
        <f t="shared" si="288"/>
        <v>16</v>
      </c>
      <c r="E6180" s="136">
        <f t="shared" si="287"/>
        <v>15</v>
      </c>
      <c r="F6180" s="128" t="s">
        <v>24</v>
      </c>
      <c r="G6180" s="128" t="str">
        <f>VLOOKUP(source[[#This Row],[lending_product_transform]],[3]Mapping!$B$4:$C$37,2,0)</f>
        <v>[Cake] - Cashloan</v>
      </c>
      <c r="H6180" s="128" t="str">
        <f>VLOOKUP(source[[#This Row],[lending_product_transform]],[3]Mapping!$B$3:$D$37,3,0)</f>
        <v>cashloan</v>
      </c>
      <c r="I6180" s="135">
        <v>563020000</v>
      </c>
    </row>
    <row r="6181" spans="1:9" x14ac:dyDescent="0.2">
      <c r="A6181" s="134">
        <v>45762</v>
      </c>
      <c r="B6181" s="135">
        <f>YEAR(source[[#This Row],[report_date]])</f>
        <v>2025</v>
      </c>
      <c r="C6181" s="128">
        <f t="shared" si="286"/>
        <v>4</v>
      </c>
      <c r="D6181" s="136">
        <f t="shared" si="288"/>
        <v>16</v>
      </c>
      <c r="E6181" s="136">
        <f t="shared" si="287"/>
        <v>15</v>
      </c>
      <c r="F6181" s="128" t="s">
        <v>24</v>
      </c>
      <c r="G6181" s="128" t="str">
        <f>VLOOKUP(source[[#This Row],[lending_product_transform]],[3]Mapping!$B$4:$C$37,2,0)</f>
        <v>[Cake] - Cashloan</v>
      </c>
      <c r="H6181" s="128" t="str">
        <f>VLOOKUP(source[[#This Row],[lending_product_transform]],[3]Mapping!$B$3:$D$37,3,0)</f>
        <v>cashloan</v>
      </c>
      <c r="I6181" s="135">
        <v>1075990000</v>
      </c>
    </row>
    <row r="6182" spans="1:9" x14ac:dyDescent="0.2">
      <c r="A6182" s="134">
        <v>45762</v>
      </c>
      <c r="B6182" s="135">
        <f>YEAR(source[[#This Row],[report_date]])</f>
        <v>2025</v>
      </c>
      <c r="C6182" s="128">
        <f t="shared" si="286"/>
        <v>4</v>
      </c>
      <c r="D6182" s="136">
        <f t="shared" si="288"/>
        <v>16</v>
      </c>
      <c r="E6182" s="136">
        <f t="shared" si="287"/>
        <v>15</v>
      </c>
      <c r="F6182" s="128" t="s">
        <v>24</v>
      </c>
      <c r="G6182" s="128" t="str">
        <f>VLOOKUP(source[[#This Row],[lending_product_transform]],[3]Mapping!$B$4:$C$37,2,0)</f>
        <v>[Cake] - Cashloan</v>
      </c>
      <c r="H6182" s="128" t="str">
        <f>VLOOKUP(source[[#This Row],[lending_product_transform]],[3]Mapping!$B$3:$D$37,3,0)</f>
        <v>cashloan</v>
      </c>
      <c r="I6182" s="135">
        <v>381486768</v>
      </c>
    </row>
    <row r="6183" spans="1:9" x14ac:dyDescent="0.2">
      <c r="A6183" s="134">
        <v>45762</v>
      </c>
      <c r="B6183" s="135">
        <f>YEAR(source[[#This Row],[report_date]])</f>
        <v>2025</v>
      </c>
      <c r="C6183" s="128">
        <f t="shared" si="286"/>
        <v>4</v>
      </c>
      <c r="D6183" s="136">
        <f t="shared" si="288"/>
        <v>16</v>
      </c>
      <c r="E6183" s="136">
        <f t="shared" si="287"/>
        <v>15</v>
      </c>
      <c r="F6183" s="128" t="s">
        <v>24</v>
      </c>
      <c r="G6183" s="128" t="str">
        <f>VLOOKUP(source[[#This Row],[lending_product_transform]],[3]Mapping!$B$4:$C$37,2,0)</f>
        <v>[Cake] - Cashloan</v>
      </c>
      <c r="H6183" s="128" t="str">
        <f>VLOOKUP(source[[#This Row],[lending_product_transform]],[3]Mapping!$B$3:$D$37,3,0)</f>
        <v>cashloan</v>
      </c>
      <c r="I6183" s="135">
        <v>146445425</v>
      </c>
    </row>
    <row r="6184" spans="1:9" x14ac:dyDescent="0.2">
      <c r="A6184" s="134">
        <v>45762</v>
      </c>
      <c r="B6184" s="135">
        <f>YEAR(source[[#This Row],[report_date]])</f>
        <v>2025</v>
      </c>
      <c r="C6184" s="128">
        <f t="shared" si="286"/>
        <v>4</v>
      </c>
      <c r="D6184" s="136">
        <f t="shared" si="288"/>
        <v>16</v>
      </c>
      <c r="E6184" s="136">
        <f t="shared" si="287"/>
        <v>15</v>
      </c>
      <c r="F6184" s="128" t="s">
        <v>24</v>
      </c>
      <c r="G6184" s="128" t="str">
        <f>VLOOKUP(source[[#This Row],[lending_product_transform]],[3]Mapping!$B$4:$C$37,2,0)</f>
        <v>[Cake] - Cashloan</v>
      </c>
      <c r="H6184" s="128" t="str">
        <f>VLOOKUP(source[[#This Row],[lending_product_transform]],[3]Mapping!$B$3:$D$37,3,0)</f>
        <v>cashloan</v>
      </c>
      <c r="I6184" s="135">
        <v>343714923</v>
      </c>
    </row>
    <row r="6185" spans="1:9" x14ac:dyDescent="0.2">
      <c r="A6185" s="134">
        <v>45762</v>
      </c>
      <c r="B6185" s="135">
        <f>YEAR(source[[#This Row],[report_date]])</f>
        <v>2025</v>
      </c>
      <c r="C6185" s="128">
        <f t="shared" si="286"/>
        <v>4</v>
      </c>
      <c r="D6185" s="136">
        <f t="shared" si="288"/>
        <v>16</v>
      </c>
      <c r="E6185" s="136">
        <f t="shared" si="287"/>
        <v>15</v>
      </c>
      <c r="F6185" s="128" t="s">
        <v>24</v>
      </c>
      <c r="G6185" s="128" t="str">
        <f>VLOOKUP(source[[#This Row],[lending_product_transform]],[3]Mapping!$B$4:$C$37,2,0)</f>
        <v>[Cake] - Cashloan</v>
      </c>
      <c r="H6185" s="128" t="str">
        <f>VLOOKUP(source[[#This Row],[lending_product_transform]],[3]Mapping!$B$3:$D$37,3,0)</f>
        <v>cashloan</v>
      </c>
      <c r="I6185" s="135">
        <v>3960009740</v>
      </c>
    </row>
    <row r="6186" spans="1:9" x14ac:dyDescent="0.2">
      <c r="A6186" s="134">
        <v>45762</v>
      </c>
      <c r="B6186" s="135">
        <f>YEAR(source[[#This Row],[report_date]])</f>
        <v>2025</v>
      </c>
      <c r="C6186" s="128">
        <f t="shared" si="286"/>
        <v>4</v>
      </c>
      <c r="D6186" s="136">
        <f t="shared" si="288"/>
        <v>16</v>
      </c>
      <c r="E6186" s="136">
        <f t="shared" si="287"/>
        <v>15</v>
      </c>
      <c r="F6186" s="128" t="s">
        <v>24</v>
      </c>
      <c r="G6186" s="128" t="str">
        <f>VLOOKUP(source[[#This Row],[lending_product_transform]],[3]Mapping!$B$4:$C$37,2,0)</f>
        <v>[Cake] - Cashloan</v>
      </c>
      <c r="H6186" s="128" t="str">
        <f>VLOOKUP(source[[#This Row],[lending_product_transform]],[3]Mapping!$B$3:$D$37,3,0)</f>
        <v>cashloan</v>
      </c>
      <c r="I6186" s="135">
        <v>7944670000</v>
      </c>
    </row>
    <row r="6187" spans="1:9" x14ac:dyDescent="0.2">
      <c r="A6187" s="134">
        <v>45763</v>
      </c>
      <c r="B6187" s="135">
        <f>YEAR(source[[#This Row],[report_date]])</f>
        <v>2025</v>
      </c>
      <c r="C6187" s="128">
        <f t="shared" si="286"/>
        <v>4</v>
      </c>
      <c r="D6187" s="136">
        <f t="shared" si="288"/>
        <v>16</v>
      </c>
      <c r="E6187" s="136">
        <f t="shared" si="287"/>
        <v>16</v>
      </c>
      <c r="F6187" s="128" t="s">
        <v>24</v>
      </c>
      <c r="G6187" s="128" t="str">
        <f>VLOOKUP(source[[#This Row],[lending_product_transform]],[3]Mapping!$B$4:$C$37,2,0)</f>
        <v>[Cake] - Cashloan</v>
      </c>
      <c r="H6187" s="128" t="str">
        <f>VLOOKUP(source[[#This Row],[lending_product_transform]],[3]Mapping!$B$3:$D$37,3,0)</f>
        <v>cashloan</v>
      </c>
      <c r="I6187" s="135">
        <v>21400000</v>
      </c>
    </row>
    <row r="6188" spans="1:9" x14ac:dyDescent="0.2">
      <c r="A6188" s="134">
        <v>45763</v>
      </c>
      <c r="B6188" s="135">
        <f>YEAR(source[[#This Row],[report_date]])</f>
        <v>2025</v>
      </c>
      <c r="C6188" s="128">
        <f t="shared" si="286"/>
        <v>4</v>
      </c>
      <c r="D6188" s="136">
        <f t="shared" si="288"/>
        <v>16</v>
      </c>
      <c r="E6188" s="136">
        <f t="shared" si="287"/>
        <v>16</v>
      </c>
      <c r="F6188" s="128" t="s">
        <v>24</v>
      </c>
      <c r="G6188" s="128" t="str">
        <f>VLOOKUP(source[[#This Row],[lending_product_transform]],[3]Mapping!$B$4:$C$37,2,0)</f>
        <v>[Cake] - Cashloan</v>
      </c>
      <c r="H6188" s="128" t="str">
        <f>VLOOKUP(source[[#This Row],[lending_product_transform]],[3]Mapping!$B$3:$D$37,3,0)</f>
        <v>cashloan</v>
      </c>
      <c r="I6188" s="135">
        <v>15336735</v>
      </c>
    </row>
    <row r="6189" spans="1:9" x14ac:dyDescent="0.2">
      <c r="A6189" s="134">
        <v>45763</v>
      </c>
      <c r="B6189" s="135">
        <f>YEAR(source[[#This Row],[report_date]])</f>
        <v>2025</v>
      </c>
      <c r="C6189" s="128">
        <f t="shared" si="286"/>
        <v>4</v>
      </c>
      <c r="D6189" s="136">
        <f t="shared" si="288"/>
        <v>16</v>
      </c>
      <c r="E6189" s="136">
        <f t="shared" si="287"/>
        <v>16</v>
      </c>
      <c r="F6189" s="128" t="s">
        <v>24</v>
      </c>
      <c r="G6189" s="128" t="str">
        <f>VLOOKUP(source[[#This Row],[lending_product_transform]],[3]Mapping!$B$4:$C$37,2,0)</f>
        <v>[Cake] - Cashloan</v>
      </c>
      <c r="H6189" s="128" t="str">
        <f>VLOOKUP(source[[#This Row],[lending_product_transform]],[3]Mapping!$B$3:$D$37,3,0)</f>
        <v>cashloan</v>
      </c>
      <c r="I6189" s="135">
        <v>0</v>
      </c>
    </row>
    <row r="6190" spans="1:9" x14ac:dyDescent="0.2">
      <c r="A6190" s="134">
        <v>45763</v>
      </c>
      <c r="B6190" s="135">
        <f>YEAR(source[[#This Row],[report_date]])</f>
        <v>2025</v>
      </c>
      <c r="C6190" s="128">
        <f t="shared" si="286"/>
        <v>4</v>
      </c>
      <c r="D6190" s="136">
        <f t="shared" si="288"/>
        <v>16</v>
      </c>
      <c r="E6190" s="136">
        <f t="shared" si="287"/>
        <v>16</v>
      </c>
      <c r="F6190" s="128" t="s">
        <v>24</v>
      </c>
      <c r="G6190" s="128" t="str">
        <f>VLOOKUP(source[[#This Row],[lending_product_transform]],[3]Mapping!$B$4:$C$37,2,0)</f>
        <v>[Cake] - Cashloan</v>
      </c>
      <c r="H6190" s="128" t="str">
        <f>VLOOKUP(source[[#This Row],[lending_product_transform]],[3]Mapping!$B$3:$D$37,3,0)</f>
        <v>cashloan</v>
      </c>
      <c r="I6190" s="135">
        <v>0</v>
      </c>
    </row>
    <row r="6191" spans="1:9" x14ac:dyDescent="0.2">
      <c r="A6191" s="134">
        <v>45763</v>
      </c>
      <c r="B6191" s="135">
        <f>YEAR(source[[#This Row],[report_date]])</f>
        <v>2025</v>
      </c>
      <c r="C6191" s="128">
        <f t="shared" si="286"/>
        <v>4</v>
      </c>
      <c r="D6191" s="136">
        <f t="shared" si="288"/>
        <v>16</v>
      </c>
      <c r="E6191" s="136">
        <f t="shared" si="287"/>
        <v>16</v>
      </c>
      <c r="F6191" s="128" t="s">
        <v>24</v>
      </c>
      <c r="G6191" s="128" t="str">
        <f>VLOOKUP(source[[#This Row],[lending_product_transform]],[3]Mapping!$B$4:$C$37,2,0)</f>
        <v>[Cake] - Cashloan</v>
      </c>
      <c r="H6191" s="128" t="str">
        <f>VLOOKUP(source[[#This Row],[lending_product_transform]],[3]Mapping!$B$3:$D$37,3,0)</f>
        <v>cashloan</v>
      </c>
      <c r="I6191" s="135">
        <v>6174360000</v>
      </c>
    </row>
    <row r="6192" spans="1:9" x14ac:dyDescent="0.2">
      <c r="A6192" s="134">
        <v>45763</v>
      </c>
      <c r="B6192" s="135">
        <f>YEAR(source[[#This Row],[report_date]])</f>
        <v>2025</v>
      </c>
      <c r="C6192" s="128">
        <f t="shared" si="286"/>
        <v>4</v>
      </c>
      <c r="D6192" s="136">
        <f t="shared" si="288"/>
        <v>16</v>
      </c>
      <c r="E6192" s="136">
        <f t="shared" si="287"/>
        <v>16</v>
      </c>
      <c r="F6192" s="128" t="s">
        <v>24</v>
      </c>
      <c r="G6192" s="128" t="str">
        <f>VLOOKUP(source[[#This Row],[lending_product_transform]],[3]Mapping!$B$4:$C$37,2,0)</f>
        <v>[Cake] - Cashloan</v>
      </c>
      <c r="H6192" s="128" t="str">
        <f>VLOOKUP(source[[#This Row],[lending_product_transform]],[3]Mapping!$B$3:$D$37,3,0)</f>
        <v>cashloan</v>
      </c>
      <c r="I6192" s="135">
        <v>47000000</v>
      </c>
    </row>
    <row r="6193" spans="1:9" x14ac:dyDescent="0.2">
      <c r="A6193" s="134">
        <v>45763</v>
      </c>
      <c r="B6193" s="135">
        <f>YEAR(source[[#This Row],[report_date]])</f>
        <v>2025</v>
      </c>
      <c r="C6193" s="128">
        <f t="shared" si="286"/>
        <v>4</v>
      </c>
      <c r="D6193" s="136">
        <f t="shared" si="288"/>
        <v>16</v>
      </c>
      <c r="E6193" s="136">
        <f t="shared" si="287"/>
        <v>16</v>
      </c>
      <c r="F6193" s="128" t="s">
        <v>24</v>
      </c>
      <c r="G6193" s="128" t="str">
        <f>VLOOKUP(source[[#This Row],[lending_product_transform]],[3]Mapping!$B$4:$C$37,2,0)</f>
        <v>[Cake] - Cashloan</v>
      </c>
      <c r="H6193" s="128" t="str">
        <f>VLOOKUP(source[[#This Row],[lending_product_transform]],[3]Mapping!$B$3:$D$37,3,0)</f>
        <v>cashloan</v>
      </c>
      <c r="I6193" s="135">
        <v>0</v>
      </c>
    </row>
    <row r="6194" spans="1:9" x14ac:dyDescent="0.2">
      <c r="A6194" s="134">
        <v>45763</v>
      </c>
      <c r="B6194" s="135">
        <f>YEAR(source[[#This Row],[report_date]])</f>
        <v>2025</v>
      </c>
      <c r="C6194" s="128">
        <f t="shared" si="286"/>
        <v>4</v>
      </c>
      <c r="D6194" s="136">
        <f t="shared" si="288"/>
        <v>16</v>
      </c>
      <c r="E6194" s="136">
        <f t="shared" si="287"/>
        <v>16</v>
      </c>
      <c r="F6194" s="128" t="s">
        <v>24</v>
      </c>
      <c r="G6194" s="128" t="str">
        <f>VLOOKUP(source[[#This Row],[lending_product_transform]],[3]Mapping!$B$4:$C$37,2,0)</f>
        <v>[Cake] - Cashloan</v>
      </c>
      <c r="H6194" s="128" t="str">
        <f>VLOOKUP(source[[#This Row],[lending_product_transform]],[3]Mapping!$B$3:$D$37,3,0)</f>
        <v>cashloan</v>
      </c>
      <c r="I6194" s="135">
        <v>0</v>
      </c>
    </row>
    <row r="6195" spans="1:9" x14ac:dyDescent="0.2">
      <c r="A6195" s="134">
        <v>45763</v>
      </c>
      <c r="B6195" s="135">
        <f>YEAR(source[[#This Row],[report_date]])</f>
        <v>2025</v>
      </c>
      <c r="C6195" s="128">
        <f t="shared" si="286"/>
        <v>4</v>
      </c>
      <c r="D6195" s="136">
        <f t="shared" si="288"/>
        <v>16</v>
      </c>
      <c r="E6195" s="136">
        <f t="shared" si="287"/>
        <v>16</v>
      </c>
      <c r="F6195" s="128" t="s">
        <v>24</v>
      </c>
      <c r="G6195" s="128" t="str">
        <f>VLOOKUP(source[[#This Row],[lending_product_transform]],[3]Mapping!$B$4:$C$37,2,0)</f>
        <v>[Cake] - Cashloan</v>
      </c>
      <c r="H6195" s="128" t="str">
        <f>VLOOKUP(source[[#This Row],[lending_product_transform]],[3]Mapping!$B$3:$D$37,3,0)</f>
        <v>cashloan</v>
      </c>
      <c r="I6195" s="135">
        <v>0</v>
      </c>
    </row>
    <row r="6196" spans="1:9" x14ac:dyDescent="0.2">
      <c r="A6196" s="134">
        <v>45763</v>
      </c>
      <c r="B6196" s="135">
        <f>YEAR(source[[#This Row],[report_date]])</f>
        <v>2025</v>
      </c>
      <c r="C6196" s="128">
        <f t="shared" si="286"/>
        <v>4</v>
      </c>
      <c r="D6196" s="136">
        <f t="shared" si="288"/>
        <v>16</v>
      </c>
      <c r="E6196" s="136">
        <f t="shared" si="287"/>
        <v>16</v>
      </c>
      <c r="F6196" s="128" t="s">
        <v>24</v>
      </c>
      <c r="G6196" s="128" t="str">
        <f>VLOOKUP(source[[#This Row],[lending_product_transform]],[3]Mapping!$B$4:$C$37,2,0)</f>
        <v>[Cake] - Cashloan</v>
      </c>
      <c r="H6196" s="128" t="str">
        <f>VLOOKUP(source[[#This Row],[lending_product_transform]],[3]Mapping!$B$3:$D$37,3,0)</f>
        <v>cashloan</v>
      </c>
      <c r="I6196" s="135">
        <v>0</v>
      </c>
    </row>
    <row r="6197" spans="1:9" x14ac:dyDescent="0.2">
      <c r="A6197" s="134">
        <v>45763</v>
      </c>
      <c r="B6197" s="135">
        <f>YEAR(source[[#This Row],[report_date]])</f>
        <v>2025</v>
      </c>
      <c r="C6197" s="128">
        <f t="shared" si="286"/>
        <v>4</v>
      </c>
      <c r="D6197" s="136">
        <f t="shared" si="288"/>
        <v>16</v>
      </c>
      <c r="E6197" s="136">
        <f t="shared" si="287"/>
        <v>16</v>
      </c>
      <c r="F6197" s="128" t="s">
        <v>24</v>
      </c>
      <c r="G6197" s="128" t="str">
        <f>VLOOKUP(source[[#This Row],[lending_product_transform]],[3]Mapping!$B$4:$C$37,2,0)</f>
        <v>[Cake] - Cashloan</v>
      </c>
      <c r="H6197" s="128" t="str">
        <f>VLOOKUP(source[[#This Row],[lending_product_transform]],[3]Mapping!$B$3:$D$37,3,0)</f>
        <v>cashloan</v>
      </c>
      <c r="I6197" s="135">
        <v>240458821</v>
      </c>
    </row>
    <row r="6198" spans="1:9" x14ac:dyDescent="0.2">
      <c r="A6198" s="134">
        <v>45763</v>
      </c>
      <c r="B6198" s="135">
        <f>YEAR(source[[#This Row],[report_date]])</f>
        <v>2025</v>
      </c>
      <c r="C6198" s="128">
        <f t="shared" ref="C6198:C6261" si="289">MONTH(A6198)</f>
        <v>4</v>
      </c>
      <c r="D6198" s="136">
        <f t="shared" si="288"/>
        <v>16</v>
      </c>
      <c r="E6198" s="136">
        <f t="shared" ref="E6198:E6261" si="290">DAY(A6198)</f>
        <v>16</v>
      </c>
      <c r="F6198" s="128" t="s">
        <v>24</v>
      </c>
      <c r="G6198" s="128" t="str">
        <f>VLOOKUP(source[[#This Row],[lending_product_transform]],[3]Mapping!$B$4:$C$37,2,0)</f>
        <v>[Cake] - Cashloan</v>
      </c>
      <c r="H6198" s="128" t="str">
        <f>VLOOKUP(source[[#This Row],[lending_product_transform]],[3]Mapping!$B$3:$D$37,3,0)</f>
        <v>cashloan</v>
      </c>
      <c r="I6198" s="135">
        <v>119902845</v>
      </c>
    </row>
    <row r="6199" spans="1:9" x14ac:dyDescent="0.2">
      <c r="A6199" s="134">
        <v>45763</v>
      </c>
      <c r="B6199" s="135">
        <f>YEAR(source[[#This Row],[report_date]])</f>
        <v>2025</v>
      </c>
      <c r="C6199" s="128">
        <f t="shared" si="289"/>
        <v>4</v>
      </c>
      <c r="D6199" s="136">
        <f t="shared" si="288"/>
        <v>16</v>
      </c>
      <c r="E6199" s="136">
        <f t="shared" si="290"/>
        <v>16</v>
      </c>
      <c r="F6199" s="128" t="s">
        <v>24</v>
      </c>
      <c r="G6199" s="128" t="str">
        <f>VLOOKUP(source[[#This Row],[lending_product_transform]],[3]Mapping!$B$4:$C$37,2,0)</f>
        <v>[Cake] - Cashloan</v>
      </c>
      <c r="H6199" s="128" t="str">
        <f>VLOOKUP(source[[#This Row],[lending_product_transform]],[3]Mapping!$B$3:$D$37,3,0)</f>
        <v>cashloan</v>
      </c>
      <c r="I6199" s="135">
        <v>384128546</v>
      </c>
    </row>
    <row r="6200" spans="1:9" x14ac:dyDescent="0.2">
      <c r="A6200" s="134">
        <v>45763</v>
      </c>
      <c r="B6200" s="135">
        <f>YEAR(source[[#This Row],[report_date]])</f>
        <v>2025</v>
      </c>
      <c r="C6200" s="128">
        <f t="shared" si="289"/>
        <v>4</v>
      </c>
      <c r="D6200" s="136">
        <f t="shared" si="288"/>
        <v>16</v>
      </c>
      <c r="E6200" s="136">
        <f t="shared" si="290"/>
        <v>16</v>
      </c>
      <c r="F6200" s="128" t="s">
        <v>24</v>
      </c>
      <c r="G6200" s="128" t="str">
        <f>VLOOKUP(source[[#This Row],[lending_product_transform]],[3]Mapping!$B$4:$C$37,2,0)</f>
        <v>[Cake] - Cashloan</v>
      </c>
      <c r="H6200" s="128" t="str">
        <f>VLOOKUP(source[[#This Row],[lending_product_transform]],[3]Mapping!$B$3:$D$37,3,0)</f>
        <v>cashloan</v>
      </c>
      <c r="I6200" s="135">
        <v>7415600000</v>
      </c>
    </row>
    <row r="6201" spans="1:9" x14ac:dyDescent="0.2">
      <c r="A6201" s="134">
        <v>45763</v>
      </c>
      <c r="B6201" s="135">
        <f>YEAR(source[[#This Row],[report_date]])</f>
        <v>2025</v>
      </c>
      <c r="C6201" s="128">
        <f t="shared" si="289"/>
        <v>4</v>
      </c>
      <c r="D6201" s="136">
        <f t="shared" si="288"/>
        <v>16</v>
      </c>
      <c r="E6201" s="136">
        <f t="shared" si="290"/>
        <v>16</v>
      </c>
      <c r="F6201" s="128" t="s">
        <v>24</v>
      </c>
      <c r="G6201" s="128" t="str">
        <f>VLOOKUP(source[[#This Row],[lending_product_transform]],[3]Mapping!$B$4:$C$37,2,0)</f>
        <v>[Cake] - Cashloan</v>
      </c>
      <c r="H6201" s="128" t="str">
        <f>VLOOKUP(source[[#This Row],[lending_product_transform]],[3]Mapping!$B$3:$D$37,3,0)</f>
        <v>cashloan</v>
      </c>
      <c r="I6201" s="135">
        <v>10294720000</v>
      </c>
    </row>
    <row r="6202" spans="1:9" x14ac:dyDescent="0.2">
      <c r="A6202" s="134">
        <v>45763</v>
      </c>
      <c r="B6202" s="135">
        <f>YEAR(source[[#This Row],[report_date]])</f>
        <v>2025</v>
      </c>
      <c r="C6202" s="128">
        <f t="shared" si="289"/>
        <v>4</v>
      </c>
      <c r="D6202" s="136">
        <f t="shared" si="288"/>
        <v>16</v>
      </c>
      <c r="E6202" s="136">
        <f t="shared" si="290"/>
        <v>16</v>
      </c>
      <c r="F6202" s="128" t="s">
        <v>24</v>
      </c>
      <c r="G6202" s="128" t="str">
        <f>VLOOKUP(source[[#This Row],[lending_product_transform]],[3]Mapping!$B$4:$C$37,2,0)</f>
        <v>[Cake] - Cashloan</v>
      </c>
      <c r="H6202" s="128" t="str">
        <f>VLOOKUP(source[[#This Row],[lending_product_transform]],[3]Mapping!$B$3:$D$37,3,0)</f>
        <v>cashloan</v>
      </c>
      <c r="I6202" s="135">
        <v>0</v>
      </c>
    </row>
    <row r="6203" spans="1:9" x14ac:dyDescent="0.2">
      <c r="A6203" s="134">
        <v>45763</v>
      </c>
      <c r="B6203" s="135">
        <f>YEAR(source[[#This Row],[report_date]])</f>
        <v>2025</v>
      </c>
      <c r="C6203" s="128">
        <f t="shared" si="289"/>
        <v>4</v>
      </c>
      <c r="D6203" s="136">
        <f t="shared" si="288"/>
        <v>16</v>
      </c>
      <c r="E6203" s="136">
        <f t="shared" si="290"/>
        <v>16</v>
      </c>
      <c r="F6203" s="128" t="s">
        <v>24</v>
      </c>
      <c r="G6203" s="128" t="str">
        <f>VLOOKUP(source[[#This Row],[lending_product_transform]],[3]Mapping!$B$4:$C$37,2,0)</f>
        <v>[Cake] - Cashloan</v>
      </c>
      <c r="H6203" s="128" t="str">
        <f>VLOOKUP(source[[#This Row],[lending_product_transform]],[3]Mapping!$B$3:$D$37,3,0)</f>
        <v>cashloan</v>
      </c>
      <c r="I6203" s="135">
        <v>3404759848</v>
      </c>
    </row>
    <row r="6204" spans="1:9" x14ac:dyDescent="0.2">
      <c r="A6204" s="134">
        <v>45763</v>
      </c>
      <c r="B6204" s="135">
        <f>YEAR(source[[#This Row],[report_date]])</f>
        <v>2025</v>
      </c>
      <c r="C6204" s="128">
        <f t="shared" si="289"/>
        <v>4</v>
      </c>
      <c r="D6204" s="136">
        <f t="shared" si="288"/>
        <v>16</v>
      </c>
      <c r="E6204" s="136">
        <f t="shared" si="290"/>
        <v>16</v>
      </c>
      <c r="F6204" s="128" t="s">
        <v>24</v>
      </c>
      <c r="G6204" s="128" t="str">
        <f>VLOOKUP(source[[#This Row],[lending_product_transform]],[3]Mapping!$B$4:$C$37,2,0)</f>
        <v>[Cake] - Cashloan</v>
      </c>
      <c r="H6204" s="128" t="str">
        <f>VLOOKUP(source[[#This Row],[lending_product_transform]],[3]Mapping!$B$3:$D$37,3,0)</f>
        <v>cashloan</v>
      </c>
      <c r="I6204" s="135">
        <v>492160000</v>
      </c>
    </row>
    <row r="6205" spans="1:9" x14ac:dyDescent="0.2">
      <c r="A6205" s="134">
        <v>45763</v>
      </c>
      <c r="B6205" s="135">
        <f>YEAR(source[[#This Row],[report_date]])</f>
        <v>2025</v>
      </c>
      <c r="C6205" s="128">
        <f t="shared" si="289"/>
        <v>4</v>
      </c>
      <c r="D6205" s="136">
        <f t="shared" si="288"/>
        <v>16</v>
      </c>
      <c r="E6205" s="136">
        <f t="shared" si="290"/>
        <v>16</v>
      </c>
      <c r="F6205" s="128" t="s">
        <v>24</v>
      </c>
      <c r="G6205" s="128" t="str">
        <f>VLOOKUP(source[[#This Row],[lending_product_transform]],[3]Mapping!$B$4:$C$37,2,0)</f>
        <v>[Cake] - Cashloan</v>
      </c>
      <c r="H6205" s="128" t="str">
        <f>VLOOKUP(source[[#This Row],[lending_product_transform]],[3]Mapping!$B$3:$D$37,3,0)</f>
        <v>cashloan</v>
      </c>
      <c r="I6205" s="135">
        <v>1372160000</v>
      </c>
    </row>
    <row r="6206" spans="1:9" x14ac:dyDescent="0.2">
      <c r="A6206" s="134">
        <v>45764</v>
      </c>
      <c r="B6206" s="135">
        <f>YEAR(source[[#This Row],[report_date]])</f>
        <v>2025</v>
      </c>
      <c r="C6206" s="128">
        <f t="shared" si="289"/>
        <v>4</v>
      </c>
      <c r="D6206" s="136">
        <f t="shared" si="288"/>
        <v>16</v>
      </c>
      <c r="E6206" s="136">
        <f t="shared" si="290"/>
        <v>17</v>
      </c>
      <c r="F6206" s="128" t="s">
        <v>24</v>
      </c>
      <c r="G6206" s="128" t="str">
        <f>VLOOKUP(source[[#This Row],[lending_product_transform]],[3]Mapping!$B$4:$C$37,2,0)</f>
        <v>[Cake] - Cashloan</v>
      </c>
      <c r="H6206" s="128" t="str">
        <f>VLOOKUP(source[[#This Row],[lending_product_transform]],[3]Mapping!$B$3:$D$37,3,0)</f>
        <v>cashloan</v>
      </c>
      <c r="I6206" s="135">
        <v>5907816000</v>
      </c>
    </row>
    <row r="6207" spans="1:9" x14ac:dyDescent="0.2">
      <c r="A6207" s="134">
        <v>45764</v>
      </c>
      <c r="B6207" s="135">
        <f>YEAR(source[[#This Row],[report_date]])</f>
        <v>2025</v>
      </c>
      <c r="C6207" s="128">
        <f t="shared" si="289"/>
        <v>4</v>
      </c>
      <c r="D6207" s="136">
        <f t="shared" si="288"/>
        <v>16</v>
      </c>
      <c r="E6207" s="136">
        <f t="shared" si="290"/>
        <v>17</v>
      </c>
      <c r="F6207" s="128" t="s">
        <v>24</v>
      </c>
      <c r="G6207" s="128" t="str">
        <f>VLOOKUP(source[[#This Row],[lending_product_transform]],[3]Mapping!$B$4:$C$37,2,0)</f>
        <v>[Cake] - Cashloan</v>
      </c>
      <c r="H6207" s="128" t="str">
        <f>VLOOKUP(source[[#This Row],[lending_product_transform]],[3]Mapping!$B$3:$D$37,3,0)</f>
        <v>cashloan</v>
      </c>
      <c r="I6207" s="135">
        <v>10032770000</v>
      </c>
    </row>
    <row r="6208" spans="1:9" x14ac:dyDescent="0.2">
      <c r="A6208" s="134">
        <v>45764</v>
      </c>
      <c r="B6208" s="135">
        <f>YEAR(source[[#This Row],[report_date]])</f>
        <v>2025</v>
      </c>
      <c r="C6208" s="128">
        <f t="shared" si="289"/>
        <v>4</v>
      </c>
      <c r="D6208" s="136">
        <f t="shared" si="288"/>
        <v>16</v>
      </c>
      <c r="E6208" s="136">
        <f t="shared" si="290"/>
        <v>17</v>
      </c>
      <c r="F6208" s="128" t="s">
        <v>24</v>
      </c>
      <c r="G6208" s="128" t="str">
        <f>VLOOKUP(source[[#This Row],[lending_product_transform]],[3]Mapping!$B$4:$C$37,2,0)</f>
        <v>[Cake] - Cashloan</v>
      </c>
      <c r="H6208" s="128" t="str">
        <f>VLOOKUP(source[[#This Row],[lending_product_transform]],[3]Mapping!$B$3:$D$37,3,0)</f>
        <v>cashloan</v>
      </c>
      <c r="I6208" s="135">
        <v>393780000</v>
      </c>
    </row>
    <row r="6209" spans="1:9" x14ac:dyDescent="0.2">
      <c r="A6209" s="134">
        <v>45764</v>
      </c>
      <c r="B6209" s="135">
        <f>YEAR(source[[#This Row],[report_date]])</f>
        <v>2025</v>
      </c>
      <c r="C6209" s="128">
        <f t="shared" si="289"/>
        <v>4</v>
      </c>
      <c r="D6209" s="136">
        <f t="shared" si="288"/>
        <v>16</v>
      </c>
      <c r="E6209" s="136">
        <f t="shared" si="290"/>
        <v>17</v>
      </c>
      <c r="F6209" s="128" t="s">
        <v>24</v>
      </c>
      <c r="G6209" s="128" t="str">
        <f>VLOOKUP(source[[#This Row],[lending_product_transform]],[3]Mapping!$B$4:$C$37,2,0)</f>
        <v>[Cake] - Cashloan</v>
      </c>
      <c r="H6209" s="128" t="str">
        <f>VLOOKUP(source[[#This Row],[lending_product_transform]],[3]Mapping!$B$3:$D$37,3,0)</f>
        <v>cashloan</v>
      </c>
      <c r="I6209" s="135">
        <v>0</v>
      </c>
    </row>
    <row r="6210" spans="1:9" x14ac:dyDescent="0.2">
      <c r="A6210" s="134">
        <v>45764</v>
      </c>
      <c r="B6210" s="135">
        <f>YEAR(source[[#This Row],[report_date]])</f>
        <v>2025</v>
      </c>
      <c r="C6210" s="128">
        <f t="shared" si="289"/>
        <v>4</v>
      </c>
      <c r="D6210" s="136">
        <f t="shared" si="288"/>
        <v>16</v>
      </c>
      <c r="E6210" s="136">
        <f t="shared" si="290"/>
        <v>17</v>
      </c>
      <c r="F6210" s="128" t="s">
        <v>24</v>
      </c>
      <c r="G6210" s="128" t="str">
        <f>VLOOKUP(source[[#This Row],[lending_product_transform]],[3]Mapping!$B$4:$C$37,2,0)</f>
        <v>[Cake] - Cashloan</v>
      </c>
      <c r="H6210" s="128" t="str">
        <f>VLOOKUP(source[[#This Row],[lending_product_transform]],[3]Mapping!$B$3:$D$37,3,0)</f>
        <v>cashloan</v>
      </c>
      <c r="I6210" s="135">
        <v>1161070000</v>
      </c>
    </row>
    <row r="6211" spans="1:9" x14ac:dyDescent="0.2">
      <c r="A6211" s="134">
        <v>45764</v>
      </c>
      <c r="B6211" s="135">
        <f>YEAR(source[[#This Row],[report_date]])</f>
        <v>2025</v>
      </c>
      <c r="C6211" s="128">
        <f t="shared" si="289"/>
        <v>4</v>
      </c>
      <c r="D6211" s="136">
        <f t="shared" ref="D6211:D6274" si="291">WEEKNUM(A6211,2)</f>
        <v>16</v>
      </c>
      <c r="E6211" s="136">
        <f t="shared" si="290"/>
        <v>17</v>
      </c>
      <c r="F6211" s="128" t="s">
        <v>24</v>
      </c>
      <c r="G6211" s="128" t="str">
        <f>VLOOKUP(source[[#This Row],[lending_product_transform]],[3]Mapping!$B$4:$C$37,2,0)</f>
        <v>[Cake] - Cashloan</v>
      </c>
      <c r="H6211" s="128" t="str">
        <f>VLOOKUP(source[[#This Row],[lending_product_transform]],[3]Mapping!$B$3:$D$37,3,0)</f>
        <v>cashloan</v>
      </c>
      <c r="I6211" s="135">
        <v>0</v>
      </c>
    </row>
    <row r="6212" spans="1:9" x14ac:dyDescent="0.2">
      <c r="A6212" s="134">
        <v>45764</v>
      </c>
      <c r="B6212" s="135">
        <f>YEAR(source[[#This Row],[report_date]])</f>
        <v>2025</v>
      </c>
      <c r="C6212" s="128">
        <f t="shared" si="289"/>
        <v>4</v>
      </c>
      <c r="D6212" s="136">
        <f t="shared" si="291"/>
        <v>16</v>
      </c>
      <c r="E6212" s="136">
        <f t="shared" si="290"/>
        <v>17</v>
      </c>
      <c r="F6212" s="128" t="s">
        <v>24</v>
      </c>
      <c r="G6212" s="128" t="str">
        <f>VLOOKUP(source[[#This Row],[lending_product_transform]],[3]Mapping!$B$4:$C$37,2,0)</f>
        <v>[Cake] - Cashloan</v>
      </c>
      <c r="H6212" s="128" t="str">
        <f>VLOOKUP(source[[#This Row],[lending_product_transform]],[3]Mapping!$B$3:$D$37,3,0)</f>
        <v>cashloan</v>
      </c>
      <c r="I6212" s="135">
        <v>14915490</v>
      </c>
    </row>
    <row r="6213" spans="1:9" x14ac:dyDescent="0.2">
      <c r="A6213" s="134">
        <v>45764</v>
      </c>
      <c r="B6213" s="135">
        <f>YEAR(source[[#This Row],[report_date]])</f>
        <v>2025</v>
      </c>
      <c r="C6213" s="128">
        <f t="shared" si="289"/>
        <v>4</v>
      </c>
      <c r="D6213" s="136">
        <f t="shared" si="291"/>
        <v>16</v>
      </c>
      <c r="E6213" s="136">
        <f t="shared" si="290"/>
        <v>17</v>
      </c>
      <c r="F6213" s="128" t="s">
        <v>24</v>
      </c>
      <c r="G6213" s="128" t="str">
        <f>VLOOKUP(source[[#This Row],[lending_product_transform]],[3]Mapping!$B$4:$C$37,2,0)</f>
        <v>[Cake] - Cashloan</v>
      </c>
      <c r="H6213" s="128" t="str">
        <f>VLOOKUP(source[[#This Row],[lending_product_transform]],[3]Mapping!$B$3:$D$37,3,0)</f>
        <v>cashloan</v>
      </c>
      <c r="I6213" s="135">
        <v>3418303742</v>
      </c>
    </row>
    <row r="6214" spans="1:9" x14ac:dyDescent="0.2">
      <c r="A6214" s="134">
        <v>45764</v>
      </c>
      <c r="B6214" s="135">
        <f>YEAR(source[[#This Row],[report_date]])</f>
        <v>2025</v>
      </c>
      <c r="C6214" s="128">
        <f t="shared" si="289"/>
        <v>4</v>
      </c>
      <c r="D6214" s="136">
        <f t="shared" si="291"/>
        <v>16</v>
      </c>
      <c r="E6214" s="136">
        <f t="shared" si="290"/>
        <v>17</v>
      </c>
      <c r="F6214" s="128" t="s">
        <v>24</v>
      </c>
      <c r="G6214" s="128" t="str">
        <f>VLOOKUP(source[[#This Row],[lending_product_transform]],[3]Mapping!$B$4:$C$37,2,0)</f>
        <v>[Cake] - Cashloan</v>
      </c>
      <c r="H6214" s="128" t="str">
        <f>VLOOKUP(source[[#This Row],[lending_product_transform]],[3]Mapping!$B$3:$D$37,3,0)</f>
        <v>cashloan</v>
      </c>
      <c r="I6214" s="135">
        <v>0</v>
      </c>
    </row>
    <row r="6215" spans="1:9" x14ac:dyDescent="0.2">
      <c r="A6215" s="134">
        <v>45764</v>
      </c>
      <c r="B6215" s="135">
        <f>YEAR(source[[#This Row],[report_date]])</f>
        <v>2025</v>
      </c>
      <c r="C6215" s="128">
        <f t="shared" si="289"/>
        <v>4</v>
      </c>
      <c r="D6215" s="136">
        <f t="shared" si="291"/>
        <v>16</v>
      </c>
      <c r="E6215" s="136">
        <f t="shared" si="290"/>
        <v>17</v>
      </c>
      <c r="F6215" s="128" t="s">
        <v>24</v>
      </c>
      <c r="G6215" s="128" t="str">
        <f>VLOOKUP(source[[#This Row],[lending_product_transform]],[3]Mapping!$B$4:$C$37,2,0)</f>
        <v>[Cake] - Cashloan</v>
      </c>
      <c r="H6215" s="128" t="str">
        <f>VLOOKUP(source[[#This Row],[lending_product_transform]],[3]Mapping!$B$3:$D$37,3,0)</f>
        <v>cashloan</v>
      </c>
      <c r="I6215" s="135">
        <v>0</v>
      </c>
    </row>
    <row r="6216" spans="1:9" x14ac:dyDescent="0.2">
      <c r="A6216" s="134">
        <v>45764</v>
      </c>
      <c r="B6216" s="135">
        <f>YEAR(source[[#This Row],[report_date]])</f>
        <v>2025</v>
      </c>
      <c r="C6216" s="128">
        <f t="shared" si="289"/>
        <v>4</v>
      </c>
      <c r="D6216" s="136">
        <f t="shared" si="291"/>
        <v>16</v>
      </c>
      <c r="E6216" s="136">
        <f t="shared" si="290"/>
        <v>17</v>
      </c>
      <c r="F6216" s="128" t="s">
        <v>24</v>
      </c>
      <c r="G6216" s="128" t="str">
        <f>VLOOKUP(source[[#This Row],[lending_product_transform]],[3]Mapping!$B$4:$C$37,2,0)</f>
        <v>[Cake] - Cashloan</v>
      </c>
      <c r="H6216" s="128" t="str">
        <f>VLOOKUP(source[[#This Row],[lending_product_transform]],[3]Mapping!$B$3:$D$37,3,0)</f>
        <v>cashloan</v>
      </c>
      <c r="I6216" s="135">
        <v>0</v>
      </c>
    </row>
    <row r="6217" spans="1:9" x14ac:dyDescent="0.2">
      <c r="A6217" s="134">
        <v>45764</v>
      </c>
      <c r="B6217" s="135">
        <f>YEAR(source[[#This Row],[report_date]])</f>
        <v>2025</v>
      </c>
      <c r="C6217" s="128">
        <f t="shared" si="289"/>
        <v>4</v>
      </c>
      <c r="D6217" s="136">
        <f t="shared" si="291"/>
        <v>16</v>
      </c>
      <c r="E6217" s="136">
        <f t="shared" si="290"/>
        <v>17</v>
      </c>
      <c r="F6217" s="128" t="s">
        <v>24</v>
      </c>
      <c r="G6217" s="128" t="str">
        <f>VLOOKUP(source[[#This Row],[lending_product_transform]],[3]Mapping!$B$4:$C$37,2,0)</f>
        <v>[Cake] - Cashloan</v>
      </c>
      <c r="H6217" s="128" t="str">
        <f>VLOOKUP(source[[#This Row],[lending_product_transform]],[3]Mapping!$B$3:$D$37,3,0)</f>
        <v>cashloan</v>
      </c>
      <c r="I6217" s="135">
        <v>78000000</v>
      </c>
    </row>
    <row r="6218" spans="1:9" x14ac:dyDescent="0.2">
      <c r="A6218" s="134">
        <v>45764</v>
      </c>
      <c r="B6218" s="135">
        <f>YEAR(source[[#This Row],[report_date]])</f>
        <v>2025</v>
      </c>
      <c r="C6218" s="128">
        <f t="shared" si="289"/>
        <v>4</v>
      </c>
      <c r="D6218" s="136">
        <f t="shared" si="291"/>
        <v>16</v>
      </c>
      <c r="E6218" s="136">
        <f t="shared" si="290"/>
        <v>17</v>
      </c>
      <c r="F6218" s="128" t="s">
        <v>24</v>
      </c>
      <c r="G6218" s="128" t="str">
        <f>VLOOKUP(source[[#This Row],[lending_product_transform]],[3]Mapping!$B$4:$C$37,2,0)</f>
        <v>[Cake] - Cashloan</v>
      </c>
      <c r="H6218" s="128" t="str">
        <f>VLOOKUP(source[[#This Row],[lending_product_transform]],[3]Mapping!$B$3:$D$37,3,0)</f>
        <v>cashloan</v>
      </c>
      <c r="I6218" s="135">
        <v>0</v>
      </c>
    </row>
    <row r="6219" spans="1:9" x14ac:dyDescent="0.2">
      <c r="A6219" s="134">
        <v>45764</v>
      </c>
      <c r="B6219" s="135">
        <f>YEAR(source[[#This Row],[report_date]])</f>
        <v>2025</v>
      </c>
      <c r="C6219" s="128">
        <f t="shared" si="289"/>
        <v>4</v>
      </c>
      <c r="D6219" s="136">
        <f t="shared" si="291"/>
        <v>16</v>
      </c>
      <c r="E6219" s="136">
        <f t="shared" si="290"/>
        <v>17</v>
      </c>
      <c r="F6219" s="128" t="s">
        <v>24</v>
      </c>
      <c r="G6219" s="128" t="str">
        <f>VLOOKUP(source[[#This Row],[lending_product_transform]],[3]Mapping!$B$4:$C$37,2,0)</f>
        <v>[Cake] - Cashloan</v>
      </c>
      <c r="H6219" s="128" t="str">
        <f>VLOOKUP(source[[#This Row],[lending_product_transform]],[3]Mapping!$B$3:$D$37,3,0)</f>
        <v>cashloan</v>
      </c>
      <c r="I6219" s="135">
        <v>0</v>
      </c>
    </row>
    <row r="6220" spans="1:9" x14ac:dyDescent="0.2">
      <c r="A6220" s="134">
        <v>45764</v>
      </c>
      <c r="B6220" s="135">
        <f>YEAR(source[[#This Row],[report_date]])</f>
        <v>2025</v>
      </c>
      <c r="C6220" s="128">
        <f t="shared" si="289"/>
        <v>4</v>
      </c>
      <c r="D6220" s="136">
        <f t="shared" si="291"/>
        <v>16</v>
      </c>
      <c r="E6220" s="136">
        <f t="shared" si="290"/>
        <v>17</v>
      </c>
      <c r="F6220" s="128" t="s">
        <v>24</v>
      </c>
      <c r="G6220" s="128" t="str">
        <f>VLOOKUP(source[[#This Row],[lending_product_transform]],[3]Mapping!$B$4:$C$37,2,0)</f>
        <v>[Cake] - Cashloan</v>
      </c>
      <c r="H6220" s="128" t="str">
        <f>VLOOKUP(source[[#This Row],[lending_product_transform]],[3]Mapping!$B$3:$D$37,3,0)</f>
        <v>cashloan</v>
      </c>
      <c r="I6220" s="135">
        <v>8904790000</v>
      </c>
    </row>
    <row r="6221" spans="1:9" x14ac:dyDescent="0.2">
      <c r="A6221" s="134">
        <v>45764</v>
      </c>
      <c r="B6221" s="135">
        <f>YEAR(source[[#This Row],[report_date]])</f>
        <v>2025</v>
      </c>
      <c r="C6221" s="128">
        <f t="shared" si="289"/>
        <v>4</v>
      </c>
      <c r="D6221" s="136">
        <f t="shared" si="291"/>
        <v>16</v>
      </c>
      <c r="E6221" s="136">
        <f t="shared" si="290"/>
        <v>17</v>
      </c>
      <c r="F6221" s="128" t="s">
        <v>24</v>
      </c>
      <c r="G6221" s="128" t="str">
        <f>VLOOKUP(source[[#This Row],[lending_product_transform]],[3]Mapping!$B$4:$C$37,2,0)</f>
        <v>[Cake] - Cashloan</v>
      </c>
      <c r="H6221" s="128" t="str">
        <f>VLOOKUP(source[[#This Row],[lending_product_transform]],[3]Mapping!$B$3:$D$37,3,0)</f>
        <v>cashloan</v>
      </c>
      <c r="I6221" s="135">
        <v>68250000</v>
      </c>
    </row>
    <row r="6222" spans="1:9" x14ac:dyDescent="0.2">
      <c r="A6222" s="134">
        <v>45764</v>
      </c>
      <c r="B6222" s="135">
        <f>YEAR(source[[#This Row],[report_date]])</f>
        <v>2025</v>
      </c>
      <c r="C6222" s="128">
        <f t="shared" si="289"/>
        <v>4</v>
      </c>
      <c r="D6222" s="136">
        <f t="shared" si="291"/>
        <v>16</v>
      </c>
      <c r="E6222" s="136">
        <f t="shared" si="290"/>
        <v>17</v>
      </c>
      <c r="F6222" s="128" t="s">
        <v>24</v>
      </c>
      <c r="G6222" s="128" t="str">
        <f>VLOOKUP(source[[#This Row],[lending_product_transform]],[3]Mapping!$B$4:$C$37,2,0)</f>
        <v>[Cake] - Cashloan</v>
      </c>
      <c r="H6222" s="128" t="str">
        <f>VLOOKUP(source[[#This Row],[lending_product_transform]],[3]Mapping!$B$3:$D$37,3,0)</f>
        <v>cashloan</v>
      </c>
      <c r="I6222" s="135">
        <v>287175786</v>
      </c>
    </row>
    <row r="6223" spans="1:9" x14ac:dyDescent="0.2">
      <c r="A6223" s="134">
        <v>45764</v>
      </c>
      <c r="B6223" s="135">
        <f>YEAR(source[[#This Row],[report_date]])</f>
        <v>2025</v>
      </c>
      <c r="C6223" s="128">
        <f t="shared" si="289"/>
        <v>4</v>
      </c>
      <c r="D6223" s="136">
        <f t="shared" si="291"/>
        <v>16</v>
      </c>
      <c r="E6223" s="136">
        <f t="shared" si="290"/>
        <v>17</v>
      </c>
      <c r="F6223" s="128" t="s">
        <v>24</v>
      </c>
      <c r="G6223" s="128" t="str">
        <f>VLOOKUP(source[[#This Row],[lending_product_transform]],[3]Mapping!$B$4:$C$37,2,0)</f>
        <v>[Cake] - Cashloan</v>
      </c>
      <c r="H6223" s="128" t="str">
        <f>VLOOKUP(source[[#This Row],[lending_product_transform]],[3]Mapping!$B$3:$D$37,3,0)</f>
        <v>cashloan</v>
      </c>
      <c r="I6223" s="135">
        <v>145231950</v>
      </c>
    </row>
    <row r="6224" spans="1:9" x14ac:dyDescent="0.2">
      <c r="A6224" s="134">
        <v>45764</v>
      </c>
      <c r="B6224" s="135">
        <f>YEAR(source[[#This Row],[report_date]])</f>
        <v>2025</v>
      </c>
      <c r="C6224" s="128">
        <f t="shared" si="289"/>
        <v>4</v>
      </c>
      <c r="D6224" s="136">
        <f t="shared" si="291"/>
        <v>16</v>
      </c>
      <c r="E6224" s="136">
        <f t="shared" si="290"/>
        <v>17</v>
      </c>
      <c r="F6224" s="128" t="s">
        <v>24</v>
      </c>
      <c r="G6224" s="128" t="str">
        <f>VLOOKUP(source[[#This Row],[lending_product_transform]],[3]Mapping!$B$4:$C$37,2,0)</f>
        <v>[Cake] - Cashloan</v>
      </c>
      <c r="H6224" s="128" t="str">
        <f>VLOOKUP(source[[#This Row],[lending_product_transform]],[3]Mapping!$B$3:$D$37,3,0)</f>
        <v>cashloan</v>
      </c>
      <c r="I6224" s="135">
        <v>346117820</v>
      </c>
    </row>
    <row r="6225" spans="1:9" x14ac:dyDescent="0.2">
      <c r="A6225" s="134">
        <v>45765</v>
      </c>
      <c r="B6225" s="135">
        <f>YEAR(source[[#This Row],[report_date]])</f>
        <v>2025</v>
      </c>
      <c r="C6225" s="128">
        <f t="shared" si="289"/>
        <v>4</v>
      </c>
      <c r="D6225" s="136">
        <f t="shared" si="291"/>
        <v>16</v>
      </c>
      <c r="E6225" s="136">
        <f t="shared" si="290"/>
        <v>18</v>
      </c>
      <c r="F6225" s="128" t="s">
        <v>24</v>
      </c>
      <c r="G6225" s="128" t="str">
        <f>VLOOKUP(source[[#This Row],[lending_product_transform]],[3]Mapping!$B$4:$C$37,2,0)</f>
        <v>[Cake] - Cashloan</v>
      </c>
      <c r="H6225" s="128" t="str">
        <f>VLOOKUP(source[[#This Row],[lending_product_transform]],[3]Mapping!$B$3:$D$37,3,0)</f>
        <v>cashloan</v>
      </c>
      <c r="I6225" s="135">
        <v>6855070000</v>
      </c>
    </row>
    <row r="6226" spans="1:9" x14ac:dyDescent="0.2">
      <c r="A6226" s="134">
        <v>45765</v>
      </c>
      <c r="B6226" s="135">
        <f>YEAR(source[[#This Row],[report_date]])</f>
        <v>2025</v>
      </c>
      <c r="C6226" s="128">
        <f t="shared" si="289"/>
        <v>4</v>
      </c>
      <c r="D6226" s="136">
        <f t="shared" si="291"/>
        <v>16</v>
      </c>
      <c r="E6226" s="136">
        <f t="shared" si="290"/>
        <v>18</v>
      </c>
      <c r="F6226" s="128" t="s">
        <v>24</v>
      </c>
      <c r="G6226" s="128" t="str">
        <f>VLOOKUP(source[[#This Row],[lending_product_transform]],[3]Mapping!$B$4:$C$37,2,0)</f>
        <v>[Cake] - Cashloan</v>
      </c>
      <c r="H6226" s="128" t="str">
        <f>VLOOKUP(source[[#This Row],[lending_product_transform]],[3]Mapping!$B$3:$D$37,3,0)</f>
        <v>cashloan</v>
      </c>
      <c r="I6226" s="135">
        <v>0</v>
      </c>
    </row>
    <row r="6227" spans="1:9" x14ac:dyDescent="0.2">
      <c r="A6227" s="134">
        <v>45765</v>
      </c>
      <c r="B6227" s="135">
        <f>YEAR(source[[#This Row],[report_date]])</f>
        <v>2025</v>
      </c>
      <c r="C6227" s="128">
        <f t="shared" si="289"/>
        <v>4</v>
      </c>
      <c r="D6227" s="136">
        <f t="shared" si="291"/>
        <v>16</v>
      </c>
      <c r="E6227" s="136">
        <f t="shared" si="290"/>
        <v>18</v>
      </c>
      <c r="F6227" s="128" t="s">
        <v>24</v>
      </c>
      <c r="G6227" s="128" t="str">
        <f>VLOOKUP(source[[#This Row],[lending_product_transform]],[3]Mapping!$B$4:$C$37,2,0)</f>
        <v>[Cake] - Cashloan</v>
      </c>
      <c r="H6227" s="128" t="str">
        <f>VLOOKUP(source[[#This Row],[lending_product_transform]],[3]Mapping!$B$3:$D$37,3,0)</f>
        <v>cashloan</v>
      </c>
      <c r="I6227" s="135">
        <v>0</v>
      </c>
    </row>
    <row r="6228" spans="1:9" x14ac:dyDescent="0.2">
      <c r="A6228" s="134">
        <v>45765</v>
      </c>
      <c r="B6228" s="135">
        <f>YEAR(source[[#This Row],[report_date]])</f>
        <v>2025</v>
      </c>
      <c r="C6228" s="128">
        <f t="shared" si="289"/>
        <v>4</v>
      </c>
      <c r="D6228" s="136">
        <f t="shared" si="291"/>
        <v>16</v>
      </c>
      <c r="E6228" s="136">
        <f t="shared" si="290"/>
        <v>18</v>
      </c>
      <c r="F6228" s="128" t="s">
        <v>24</v>
      </c>
      <c r="G6228" s="128" t="str">
        <f>VLOOKUP(source[[#This Row],[lending_product_transform]],[3]Mapping!$B$4:$C$37,2,0)</f>
        <v>[Cake] - Cashloan</v>
      </c>
      <c r="H6228" s="128" t="str">
        <f>VLOOKUP(source[[#This Row],[lending_product_transform]],[3]Mapping!$B$3:$D$37,3,0)</f>
        <v>cashloan</v>
      </c>
      <c r="I6228" s="135">
        <v>44100000</v>
      </c>
    </row>
    <row r="6229" spans="1:9" x14ac:dyDescent="0.2">
      <c r="A6229" s="134">
        <v>45765</v>
      </c>
      <c r="B6229" s="135">
        <f>YEAR(source[[#This Row],[report_date]])</f>
        <v>2025</v>
      </c>
      <c r="C6229" s="128">
        <f t="shared" si="289"/>
        <v>4</v>
      </c>
      <c r="D6229" s="136">
        <f t="shared" si="291"/>
        <v>16</v>
      </c>
      <c r="E6229" s="136">
        <f t="shared" si="290"/>
        <v>18</v>
      </c>
      <c r="F6229" s="128" t="s">
        <v>24</v>
      </c>
      <c r="G6229" s="128" t="str">
        <f>VLOOKUP(source[[#This Row],[lending_product_transform]],[3]Mapping!$B$4:$C$37,2,0)</f>
        <v>[Cake] - Cashloan</v>
      </c>
      <c r="H6229" s="128" t="str">
        <f>VLOOKUP(source[[#This Row],[lending_product_transform]],[3]Mapping!$B$3:$D$37,3,0)</f>
        <v>cashloan</v>
      </c>
      <c r="I6229" s="135">
        <v>0</v>
      </c>
    </row>
    <row r="6230" spans="1:9" x14ac:dyDescent="0.2">
      <c r="A6230" s="134">
        <v>45765</v>
      </c>
      <c r="B6230" s="135">
        <f>YEAR(source[[#This Row],[report_date]])</f>
        <v>2025</v>
      </c>
      <c r="C6230" s="128">
        <f t="shared" si="289"/>
        <v>4</v>
      </c>
      <c r="D6230" s="136">
        <f t="shared" si="291"/>
        <v>16</v>
      </c>
      <c r="E6230" s="136">
        <f t="shared" si="290"/>
        <v>18</v>
      </c>
      <c r="F6230" s="128" t="s">
        <v>24</v>
      </c>
      <c r="G6230" s="128" t="str">
        <f>VLOOKUP(source[[#This Row],[lending_product_transform]],[3]Mapping!$B$4:$C$37,2,0)</f>
        <v>[Cake] - Cashloan</v>
      </c>
      <c r="H6230" s="128" t="str">
        <f>VLOOKUP(source[[#This Row],[lending_product_transform]],[3]Mapping!$B$3:$D$37,3,0)</f>
        <v>cashloan</v>
      </c>
      <c r="I6230" s="135">
        <v>0</v>
      </c>
    </row>
    <row r="6231" spans="1:9" x14ac:dyDescent="0.2">
      <c r="A6231" s="134">
        <v>45765</v>
      </c>
      <c r="B6231" s="135">
        <f>YEAR(source[[#This Row],[report_date]])</f>
        <v>2025</v>
      </c>
      <c r="C6231" s="128">
        <f t="shared" si="289"/>
        <v>4</v>
      </c>
      <c r="D6231" s="136">
        <f t="shared" si="291"/>
        <v>16</v>
      </c>
      <c r="E6231" s="136">
        <f t="shared" si="290"/>
        <v>18</v>
      </c>
      <c r="F6231" s="128" t="s">
        <v>24</v>
      </c>
      <c r="G6231" s="128" t="str">
        <f>VLOOKUP(source[[#This Row],[lending_product_transform]],[3]Mapping!$B$4:$C$37,2,0)</f>
        <v>[Cake] - Cashloan</v>
      </c>
      <c r="H6231" s="128" t="str">
        <f>VLOOKUP(source[[#This Row],[lending_product_transform]],[3]Mapping!$B$3:$D$37,3,0)</f>
        <v>cashloan</v>
      </c>
      <c r="I6231" s="135">
        <v>0</v>
      </c>
    </row>
    <row r="6232" spans="1:9" x14ac:dyDescent="0.2">
      <c r="A6232" s="134">
        <v>45765</v>
      </c>
      <c r="B6232" s="135">
        <f>YEAR(source[[#This Row],[report_date]])</f>
        <v>2025</v>
      </c>
      <c r="C6232" s="128">
        <f t="shared" si="289"/>
        <v>4</v>
      </c>
      <c r="D6232" s="136">
        <f t="shared" si="291"/>
        <v>16</v>
      </c>
      <c r="E6232" s="136">
        <f t="shared" si="290"/>
        <v>18</v>
      </c>
      <c r="F6232" s="128" t="s">
        <v>24</v>
      </c>
      <c r="G6232" s="128" t="str">
        <f>VLOOKUP(source[[#This Row],[lending_product_transform]],[3]Mapping!$B$4:$C$37,2,0)</f>
        <v>[Cake] - Cashloan</v>
      </c>
      <c r="H6232" s="128" t="str">
        <f>VLOOKUP(source[[#This Row],[lending_product_transform]],[3]Mapping!$B$3:$D$37,3,0)</f>
        <v>cashloan</v>
      </c>
      <c r="I6232" s="135">
        <v>36000000</v>
      </c>
    </row>
    <row r="6233" spans="1:9" x14ac:dyDescent="0.2">
      <c r="A6233" s="134">
        <v>45765</v>
      </c>
      <c r="B6233" s="135">
        <f>YEAR(source[[#This Row],[report_date]])</f>
        <v>2025</v>
      </c>
      <c r="C6233" s="128">
        <f t="shared" si="289"/>
        <v>4</v>
      </c>
      <c r="D6233" s="136">
        <f t="shared" si="291"/>
        <v>16</v>
      </c>
      <c r="E6233" s="136">
        <f t="shared" si="290"/>
        <v>18</v>
      </c>
      <c r="F6233" s="128" t="s">
        <v>24</v>
      </c>
      <c r="G6233" s="128" t="str">
        <f>VLOOKUP(source[[#This Row],[lending_product_transform]],[3]Mapping!$B$4:$C$37,2,0)</f>
        <v>[Cake] - Cashloan</v>
      </c>
      <c r="H6233" s="128" t="str">
        <f>VLOOKUP(source[[#This Row],[lending_product_transform]],[3]Mapping!$B$3:$D$37,3,0)</f>
        <v>cashloan</v>
      </c>
      <c r="I6233" s="135">
        <v>0</v>
      </c>
    </row>
    <row r="6234" spans="1:9" x14ac:dyDescent="0.2">
      <c r="A6234" s="134">
        <v>45765</v>
      </c>
      <c r="B6234" s="135">
        <f>YEAR(source[[#This Row],[report_date]])</f>
        <v>2025</v>
      </c>
      <c r="C6234" s="128">
        <f t="shared" si="289"/>
        <v>4</v>
      </c>
      <c r="D6234" s="136">
        <f t="shared" si="291"/>
        <v>16</v>
      </c>
      <c r="E6234" s="136">
        <f t="shared" si="290"/>
        <v>18</v>
      </c>
      <c r="F6234" s="128" t="s">
        <v>24</v>
      </c>
      <c r="G6234" s="128" t="str">
        <f>VLOOKUP(source[[#This Row],[lending_product_transform]],[3]Mapping!$B$4:$C$37,2,0)</f>
        <v>[Cake] - Cashloan</v>
      </c>
      <c r="H6234" s="128" t="str">
        <f>VLOOKUP(source[[#This Row],[lending_product_transform]],[3]Mapping!$B$3:$D$37,3,0)</f>
        <v>cashloan</v>
      </c>
      <c r="I6234" s="135">
        <v>0</v>
      </c>
    </row>
    <row r="6235" spans="1:9" x14ac:dyDescent="0.2">
      <c r="A6235" s="134">
        <v>45765</v>
      </c>
      <c r="B6235" s="135">
        <f>YEAR(source[[#This Row],[report_date]])</f>
        <v>2025</v>
      </c>
      <c r="C6235" s="128">
        <f t="shared" si="289"/>
        <v>4</v>
      </c>
      <c r="D6235" s="136">
        <f t="shared" si="291"/>
        <v>16</v>
      </c>
      <c r="E6235" s="136">
        <f t="shared" si="290"/>
        <v>18</v>
      </c>
      <c r="F6235" s="128" t="s">
        <v>24</v>
      </c>
      <c r="G6235" s="128" t="str">
        <f>VLOOKUP(source[[#This Row],[lending_product_transform]],[3]Mapping!$B$4:$C$37,2,0)</f>
        <v>[Cake] - Cashloan</v>
      </c>
      <c r="H6235" s="128" t="str">
        <f>VLOOKUP(source[[#This Row],[lending_product_transform]],[3]Mapping!$B$3:$D$37,3,0)</f>
        <v>cashloan</v>
      </c>
      <c r="I6235" s="135">
        <v>12678918</v>
      </c>
    </row>
    <row r="6236" spans="1:9" x14ac:dyDescent="0.2">
      <c r="A6236" s="134">
        <v>45765</v>
      </c>
      <c r="B6236" s="135">
        <f>YEAR(source[[#This Row],[report_date]])</f>
        <v>2025</v>
      </c>
      <c r="C6236" s="128">
        <f t="shared" si="289"/>
        <v>4</v>
      </c>
      <c r="D6236" s="136">
        <f t="shared" si="291"/>
        <v>16</v>
      </c>
      <c r="E6236" s="136">
        <f t="shared" si="290"/>
        <v>18</v>
      </c>
      <c r="F6236" s="128" t="s">
        <v>24</v>
      </c>
      <c r="G6236" s="128" t="str">
        <f>VLOOKUP(source[[#This Row],[lending_product_transform]],[3]Mapping!$B$4:$C$37,2,0)</f>
        <v>[Cake] - Cashloan</v>
      </c>
      <c r="H6236" s="128" t="str">
        <f>VLOOKUP(source[[#This Row],[lending_product_transform]],[3]Mapping!$B$3:$D$37,3,0)</f>
        <v>cashloan</v>
      </c>
      <c r="I6236" s="135">
        <v>234730000</v>
      </c>
    </row>
    <row r="6237" spans="1:9" x14ac:dyDescent="0.2">
      <c r="A6237" s="134">
        <v>45765</v>
      </c>
      <c r="B6237" s="135">
        <f>YEAR(source[[#This Row],[report_date]])</f>
        <v>2025</v>
      </c>
      <c r="C6237" s="128">
        <f t="shared" si="289"/>
        <v>4</v>
      </c>
      <c r="D6237" s="136">
        <f t="shared" si="291"/>
        <v>16</v>
      </c>
      <c r="E6237" s="136">
        <f t="shared" si="290"/>
        <v>18</v>
      </c>
      <c r="F6237" s="128" t="s">
        <v>24</v>
      </c>
      <c r="G6237" s="128" t="str">
        <f>VLOOKUP(source[[#This Row],[lending_product_transform]],[3]Mapping!$B$4:$C$37,2,0)</f>
        <v>[Cake] - Cashloan</v>
      </c>
      <c r="H6237" s="128" t="str">
        <f>VLOOKUP(source[[#This Row],[lending_product_transform]],[3]Mapping!$B$3:$D$37,3,0)</f>
        <v>cashloan</v>
      </c>
      <c r="I6237" s="135">
        <v>866140000</v>
      </c>
    </row>
    <row r="6238" spans="1:9" x14ac:dyDescent="0.2">
      <c r="A6238" s="134">
        <v>45765</v>
      </c>
      <c r="B6238" s="135">
        <f>YEAR(source[[#This Row],[report_date]])</f>
        <v>2025</v>
      </c>
      <c r="C6238" s="128">
        <f t="shared" si="289"/>
        <v>4</v>
      </c>
      <c r="D6238" s="136">
        <f t="shared" si="291"/>
        <v>16</v>
      </c>
      <c r="E6238" s="136">
        <f t="shared" si="290"/>
        <v>18</v>
      </c>
      <c r="F6238" s="128" t="s">
        <v>24</v>
      </c>
      <c r="G6238" s="128" t="str">
        <f>VLOOKUP(source[[#This Row],[lending_product_transform]],[3]Mapping!$B$4:$C$37,2,0)</f>
        <v>[Cake] - Cashloan</v>
      </c>
      <c r="H6238" s="128" t="str">
        <f>VLOOKUP(source[[#This Row],[lending_product_transform]],[3]Mapping!$B$3:$D$37,3,0)</f>
        <v>cashloan</v>
      </c>
      <c r="I6238" s="135">
        <v>247179311</v>
      </c>
    </row>
    <row r="6239" spans="1:9" x14ac:dyDescent="0.2">
      <c r="A6239" s="134">
        <v>45765</v>
      </c>
      <c r="B6239" s="135">
        <f>YEAR(source[[#This Row],[report_date]])</f>
        <v>2025</v>
      </c>
      <c r="C6239" s="128">
        <f t="shared" si="289"/>
        <v>4</v>
      </c>
      <c r="D6239" s="136">
        <f t="shared" si="291"/>
        <v>16</v>
      </c>
      <c r="E6239" s="136">
        <f t="shared" si="290"/>
        <v>18</v>
      </c>
      <c r="F6239" s="128" t="s">
        <v>24</v>
      </c>
      <c r="G6239" s="128" t="str">
        <f>VLOOKUP(source[[#This Row],[lending_product_transform]],[3]Mapping!$B$4:$C$37,2,0)</f>
        <v>[Cake] - Cashloan</v>
      </c>
      <c r="H6239" s="128" t="str">
        <f>VLOOKUP(source[[#This Row],[lending_product_transform]],[3]Mapping!$B$3:$D$37,3,0)</f>
        <v>cashloan</v>
      </c>
      <c r="I6239" s="135">
        <v>131032309</v>
      </c>
    </row>
    <row r="6240" spans="1:9" x14ac:dyDescent="0.2">
      <c r="A6240" s="134">
        <v>45765</v>
      </c>
      <c r="B6240" s="135">
        <f>YEAR(source[[#This Row],[report_date]])</f>
        <v>2025</v>
      </c>
      <c r="C6240" s="128">
        <f t="shared" si="289"/>
        <v>4</v>
      </c>
      <c r="D6240" s="136">
        <f t="shared" si="291"/>
        <v>16</v>
      </c>
      <c r="E6240" s="136">
        <f t="shared" si="290"/>
        <v>18</v>
      </c>
      <c r="F6240" s="128" t="s">
        <v>24</v>
      </c>
      <c r="G6240" s="128" t="str">
        <f>VLOOKUP(source[[#This Row],[lending_product_transform]],[3]Mapping!$B$4:$C$37,2,0)</f>
        <v>[Cake] - Cashloan</v>
      </c>
      <c r="H6240" s="128" t="str">
        <f>VLOOKUP(source[[#This Row],[lending_product_transform]],[3]Mapping!$B$3:$D$37,3,0)</f>
        <v>cashloan</v>
      </c>
      <c r="I6240" s="135">
        <v>304296674</v>
      </c>
    </row>
    <row r="6241" spans="1:9" x14ac:dyDescent="0.2">
      <c r="A6241" s="134">
        <v>45765</v>
      </c>
      <c r="B6241" s="135">
        <f>YEAR(source[[#This Row],[report_date]])</f>
        <v>2025</v>
      </c>
      <c r="C6241" s="128">
        <f t="shared" si="289"/>
        <v>4</v>
      </c>
      <c r="D6241" s="136">
        <f t="shared" si="291"/>
        <v>16</v>
      </c>
      <c r="E6241" s="136">
        <f t="shared" si="290"/>
        <v>18</v>
      </c>
      <c r="F6241" s="128" t="s">
        <v>24</v>
      </c>
      <c r="G6241" s="128" t="str">
        <f>VLOOKUP(source[[#This Row],[lending_product_transform]],[3]Mapping!$B$4:$C$37,2,0)</f>
        <v>[Cake] - Cashloan</v>
      </c>
      <c r="H6241" s="128" t="str">
        <f>VLOOKUP(source[[#This Row],[lending_product_transform]],[3]Mapping!$B$3:$D$37,3,0)</f>
        <v>cashloan</v>
      </c>
      <c r="I6241" s="135">
        <v>3129491517</v>
      </c>
    </row>
    <row r="6242" spans="1:9" x14ac:dyDescent="0.2">
      <c r="A6242" s="134">
        <v>45765</v>
      </c>
      <c r="B6242" s="135">
        <f>YEAR(source[[#This Row],[report_date]])</f>
        <v>2025</v>
      </c>
      <c r="C6242" s="128">
        <f t="shared" si="289"/>
        <v>4</v>
      </c>
      <c r="D6242" s="136">
        <f t="shared" si="291"/>
        <v>16</v>
      </c>
      <c r="E6242" s="136">
        <f t="shared" si="290"/>
        <v>18</v>
      </c>
      <c r="F6242" s="128" t="s">
        <v>24</v>
      </c>
      <c r="G6242" s="128" t="str">
        <f>VLOOKUP(source[[#This Row],[lending_product_transform]],[3]Mapping!$B$4:$C$37,2,0)</f>
        <v>[Cake] - Cashloan</v>
      </c>
      <c r="H6242" s="128" t="str">
        <f>VLOOKUP(source[[#This Row],[lending_product_transform]],[3]Mapping!$B$3:$D$37,3,0)</f>
        <v>cashloan</v>
      </c>
      <c r="I6242" s="135">
        <v>5510160000</v>
      </c>
    </row>
    <row r="6243" spans="1:9" x14ac:dyDescent="0.2">
      <c r="A6243" s="134">
        <v>45765</v>
      </c>
      <c r="B6243" s="135">
        <f>YEAR(source[[#This Row],[report_date]])</f>
        <v>2025</v>
      </c>
      <c r="C6243" s="128">
        <f t="shared" si="289"/>
        <v>4</v>
      </c>
      <c r="D6243" s="136">
        <f t="shared" si="291"/>
        <v>16</v>
      </c>
      <c r="E6243" s="136">
        <f t="shared" si="290"/>
        <v>18</v>
      </c>
      <c r="F6243" s="128" t="s">
        <v>24</v>
      </c>
      <c r="G6243" s="128" t="str">
        <f>VLOOKUP(source[[#This Row],[lending_product_transform]],[3]Mapping!$B$4:$C$37,2,0)</f>
        <v>[Cake] - Cashloan</v>
      </c>
      <c r="H6243" s="128" t="str">
        <f>VLOOKUP(source[[#This Row],[lending_product_transform]],[3]Mapping!$B$3:$D$37,3,0)</f>
        <v>cashloan</v>
      </c>
      <c r="I6243" s="135">
        <v>9416430000</v>
      </c>
    </row>
    <row r="6244" spans="1:9" x14ac:dyDescent="0.2">
      <c r="A6244" s="134">
        <v>45766</v>
      </c>
      <c r="B6244" s="135">
        <f>YEAR(source[[#This Row],[report_date]])</f>
        <v>2025</v>
      </c>
      <c r="C6244" s="128">
        <f t="shared" si="289"/>
        <v>4</v>
      </c>
      <c r="D6244" s="136">
        <f t="shared" si="291"/>
        <v>16</v>
      </c>
      <c r="E6244" s="136">
        <f t="shared" si="290"/>
        <v>19</v>
      </c>
      <c r="F6244" s="128" t="s">
        <v>24</v>
      </c>
      <c r="G6244" s="128" t="str">
        <f>VLOOKUP(source[[#This Row],[lending_product_transform]],[3]Mapping!$B$4:$C$37,2,0)</f>
        <v>[Cake] - Cashloan</v>
      </c>
      <c r="H6244" s="128" t="str">
        <f>VLOOKUP(source[[#This Row],[lending_product_transform]],[3]Mapping!$B$3:$D$37,3,0)</f>
        <v>cashloan</v>
      </c>
      <c r="I6244" s="135">
        <v>7199100000</v>
      </c>
    </row>
    <row r="6245" spans="1:9" x14ac:dyDescent="0.2">
      <c r="A6245" s="134">
        <v>45766</v>
      </c>
      <c r="B6245" s="135">
        <f>YEAR(source[[#This Row],[report_date]])</f>
        <v>2025</v>
      </c>
      <c r="C6245" s="128">
        <f t="shared" si="289"/>
        <v>4</v>
      </c>
      <c r="D6245" s="136">
        <f t="shared" si="291"/>
        <v>16</v>
      </c>
      <c r="E6245" s="136">
        <f t="shared" si="290"/>
        <v>19</v>
      </c>
      <c r="F6245" s="128" t="s">
        <v>24</v>
      </c>
      <c r="G6245" s="128" t="str">
        <f>VLOOKUP(source[[#This Row],[lending_product_transform]],[3]Mapping!$B$4:$C$37,2,0)</f>
        <v>[Cake] - Cashloan</v>
      </c>
      <c r="H6245" s="128" t="str">
        <f>VLOOKUP(source[[#This Row],[lending_product_transform]],[3]Mapping!$B$3:$D$37,3,0)</f>
        <v>cashloan</v>
      </c>
      <c r="I6245" s="135">
        <v>5253768000</v>
      </c>
    </row>
    <row r="6246" spans="1:9" x14ac:dyDescent="0.2">
      <c r="A6246" s="134">
        <v>45766</v>
      </c>
      <c r="B6246" s="135">
        <f>YEAR(source[[#This Row],[report_date]])</f>
        <v>2025</v>
      </c>
      <c r="C6246" s="128">
        <f t="shared" si="289"/>
        <v>4</v>
      </c>
      <c r="D6246" s="136">
        <f t="shared" si="291"/>
        <v>16</v>
      </c>
      <c r="E6246" s="136">
        <f t="shared" si="290"/>
        <v>19</v>
      </c>
      <c r="F6246" s="128" t="s">
        <v>24</v>
      </c>
      <c r="G6246" s="128" t="str">
        <f>VLOOKUP(source[[#This Row],[lending_product_transform]],[3]Mapping!$B$4:$C$37,2,0)</f>
        <v>[Cake] - Cashloan</v>
      </c>
      <c r="H6246" s="128" t="str">
        <f>VLOOKUP(source[[#This Row],[lending_product_transform]],[3]Mapping!$B$3:$D$37,3,0)</f>
        <v>cashloan</v>
      </c>
      <c r="I6246" s="135">
        <v>7857060000</v>
      </c>
    </row>
    <row r="6247" spans="1:9" x14ac:dyDescent="0.2">
      <c r="A6247" s="134">
        <v>45766</v>
      </c>
      <c r="B6247" s="135">
        <f>YEAR(source[[#This Row],[report_date]])</f>
        <v>2025</v>
      </c>
      <c r="C6247" s="128">
        <f t="shared" si="289"/>
        <v>4</v>
      </c>
      <c r="D6247" s="136">
        <f t="shared" si="291"/>
        <v>16</v>
      </c>
      <c r="E6247" s="136">
        <f t="shared" si="290"/>
        <v>19</v>
      </c>
      <c r="F6247" s="128" t="s">
        <v>24</v>
      </c>
      <c r="G6247" s="128" t="str">
        <f>VLOOKUP(source[[#This Row],[lending_product_transform]],[3]Mapping!$B$4:$C$37,2,0)</f>
        <v>[Cake] - Cashloan</v>
      </c>
      <c r="H6247" s="128" t="str">
        <f>VLOOKUP(source[[#This Row],[lending_product_transform]],[3]Mapping!$B$3:$D$37,3,0)</f>
        <v>cashloan</v>
      </c>
      <c r="I6247" s="135">
        <v>31550000</v>
      </c>
    </row>
    <row r="6248" spans="1:9" x14ac:dyDescent="0.2">
      <c r="A6248" s="134">
        <v>45766</v>
      </c>
      <c r="B6248" s="135">
        <f>YEAR(source[[#This Row],[report_date]])</f>
        <v>2025</v>
      </c>
      <c r="C6248" s="128">
        <f t="shared" si="289"/>
        <v>4</v>
      </c>
      <c r="D6248" s="136">
        <f t="shared" si="291"/>
        <v>16</v>
      </c>
      <c r="E6248" s="136">
        <f t="shared" si="290"/>
        <v>19</v>
      </c>
      <c r="F6248" s="128" t="s">
        <v>24</v>
      </c>
      <c r="G6248" s="128" t="str">
        <f>VLOOKUP(source[[#This Row],[lending_product_transform]],[3]Mapping!$B$4:$C$37,2,0)</f>
        <v>[Cake] - Cashloan</v>
      </c>
      <c r="H6248" s="128" t="str">
        <f>VLOOKUP(source[[#This Row],[lending_product_transform]],[3]Mapping!$B$3:$D$37,3,0)</f>
        <v>cashloan</v>
      </c>
      <c r="I6248" s="135">
        <v>310943402</v>
      </c>
    </row>
    <row r="6249" spans="1:9" x14ac:dyDescent="0.2">
      <c r="A6249" s="134">
        <v>45766</v>
      </c>
      <c r="B6249" s="135">
        <f>YEAR(source[[#This Row],[report_date]])</f>
        <v>2025</v>
      </c>
      <c r="C6249" s="128">
        <f t="shared" si="289"/>
        <v>4</v>
      </c>
      <c r="D6249" s="136">
        <f t="shared" si="291"/>
        <v>16</v>
      </c>
      <c r="E6249" s="136">
        <f t="shared" si="290"/>
        <v>19</v>
      </c>
      <c r="F6249" s="128" t="s">
        <v>24</v>
      </c>
      <c r="G6249" s="128" t="str">
        <f>VLOOKUP(source[[#This Row],[lending_product_transform]],[3]Mapping!$B$4:$C$37,2,0)</f>
        <v>[Cake] - Cashloan</v>
      </c>
      <c r="H6249" s="128" t="str">
        <f>VLOOKUP(source[[#This Row],[lending_product_transform]],[3]Mapping!$B$3:$D$37,3,0)</f>
        <v>cashloan</v>
      </c>
      <c r="I6249" s="135">
        <v>0</v>
      </c>
    </row>
    <row r="6250" spans="1:9" x14ac:dyDescent="0.2">
      <c r="A6250" s="134">
        <v>45766</v>
      </c>
      <c r="B6250" s="135">
        <f>YEAR(source[[#This Row],[report_date]])</f>
        <v>2025</v>
      </c>
      <c r="C6250" s="128">
        <f t="shared" si="289"/>
        <v>4</v>
      </c>
      <c r="D6250" s="136">
        <f t="shared" si="291"/>
        <v>16</v>
      </c>
      <c r="E6250" s="136">
        <f t="shared" si="290"/>
        <v>19</v>
      </c>
      <c r="F6250" s="128" t="s">
        <v>24</v>
      </c>
      <c r="G6250" s="128" t="str">
        <f>VLOOKUP(source[[#This Row],[lending_product_transform]],[3]Mapping!$B$4:$C$37,2,0)</f>
        <v>[Cake] - Cashloan</v>
      </c>
      <c r="H6250" s="128" t="str">
        <f>VLOOKUP(source[[#This Row],[lending_product_transform]],[3]Mapping!$B$3:$D$37,3,0)</f>
        <v>cashloan</v>
      </c>
      <c r="I6250" s="135">
        <v>0</v>
      </c>
    </row>
    <row r="6251" spans="1:9" x14ac:dyDescent="0.2">
      <c r="A6251" s="134">
        <v>45766</v>
      </c>
      <c r="B6251" s="135">
        <f>YEAR(source[[#This Row],[report_date]])</f>
        <v>2025</v>
      </c>
      <c r="C6251" s="128">
        <f t="shared" si="289"/>
        <v>4</v>
      </c>
      <c r="D6251" s="136">
        <f t="shared" si="291"/>
        <v>16</v>
      </c>
      <c r="E6251" s="136">
        <f t="shared" si="290"/>
        <v>19</v>
      </c>
      <c r="F6251" s="128" t="s">
        <v>24</v>
      </c>
      <c r="G6251" s="128" t="str">
        <f>VLOOKUP(source[[#This Row],[lending_product_transform]],[3]Mapping!$B$4:$C$37,2,0)</f>
        <v>[Cake] - Cashloan</v>
      </c>
      <c r="H6251" s="128" t="str">
        <f>VLOOKUP(source[[#This Row],[lending_product_transform]],[3]Mapping!$B$3:$D$37,3,0)</f>
        <v>cashloan</v>
      </c>
      <c r="I6251" s="135">
        <v>3077404452</v>
      </c>
    </row>
    <row r="6252" spans="1:9" x14ac:dyDescent="0.2">
      <c r="A6252" s="134">
        <v>45766</v>
      </c>
      <c r="B6252" s="135">
        <f>YEAR(source[[#This Row],[report_date]])</f>
        <v>2025</v>
      </c>
      <c r="C6252" s="128">
        <f t="shared" si="289"/>
        <v>4</v>
      </c>
      <c r="D6252" s="136">
        <f t="shared" si="291"/>
        <v>16</v>
      </c>
      <c r="E6252" s="136">
        <f t="shared" si="290"/>
        <v>19</v>
      </c>
      <c r="F6252" s="128" t="s">
        <v>24</v>
      </c>
      <c r="G6252" s="128" t="str">
        <f>VLOOKUP(source[[#This Row],[lending_product_transform]],[3]Mapping!$B$4:$C$37,2,0)</f>
        <v>[Cake] - Cashloan</v>
      </c>
      <c r="H6252" s="128" t="str">
        <f>VLOOKUP(source[[#This Row],[lending_product_transform]],[3]Mapping!$B$3:$D$37,3,0)</f>
        <v>cashloan</v>
      </c>
      <c r="I6252" s="135">
        <v>0</v>
      </c>
    </row>
    <row r="6253" spans="1:9" x14ac:dyDescent="0.2">
      <c r="A6253" s="134">
        <v>45766</v>
      </c>
      <c r="B6253" s="135">
        <f>YEAR(source[[#This Row],[report_date]])</f>
        <v>2025</v>
      </c>
      <c r="C6253" s="128">
        <f t="shared" si="289"/>
        <v>4</v>
      </c>
      <c r="D6253" s="136">
        <f t="shared" si="291"/>
        <v>16</v>
      </c>
      <c r="E6253" s="136">
        <f t="shared" si="290"/>
        <v>19</v>
      </c>
      <c r="F6253" s="128" t="s">
        <v>24</v>
      </c>
      <c r="G6253" s="128" t="str">
        <f>VLOOKUP(source[[#This Row],[lending_product_transform]],[3]Mapping!$B$4:$C$37,2,0)</f>
        <v>[Cake] - Cashloan</v>
      </c>
      <c r="H6253" s="128" t="str">
        <f>VLOOKUP(source[[#This Row],[lending_product_transform]],[3]Mapping!$B$3:$D$37,3,0)</f>
        <v>cashloan</v>
      </c>
      <c r="I6253" s="135">
        <v>21400000</v>
      </c>
    </row>
    <row r="6254" spans="1:9" x14ac:dyDescent="0.2">
      <c r="A6254" s="134">
        <v>45766</v>
      </c>
      <c r="B6254" s="135">
        <f>YEAR(source[[#This Row],[report_date]])</f>
        <v>2025</v>
      </c>
      <c r="C6254" s="128">
        <f t="shared" si="289"/>
        <v>4</v>
      </c>
      <c r="D6254" s="136">
        <f t="shared" si="291"/>
        <v>16</v>
      </c>
      <c r="E6254" s="136">
        <f t="shared" si="290"/>
        <v>19</v>
      </c>
      <c r="F6254" s="128" t="s">
        <v>24</v>
      </c>
      <c r="G6254" s="128" t="str">
        <f>VLOOKUP(source[[#This Row],[lending_product_transform]],[3]Mapping!$B$4:$C$37,2,0)</f>
        <v>[Cake] - Cashloan</v>
      </c>
      <c r="H6254" s="128" t="str">
        <f>VLOOKUP(source[[#This Row],[lending_product_transform]],[3]Mapping!$B$3:$D$37,3,0)</f>
        <v>cashloan</v>
      </c>
      <c r="I6254" s="135">
        <v>0</v>
      </c>
    </row>
    <row r="6255" spans="1:9" x14ac:dyDescent="0.2">
      <c r="A6255" s="134">
        <v>45766</v>
      </c>
      <c r="B6255" s="135">
        <f>YEAR(source[[#This Row],[report_date]])</f>
        <v>2025</v>
      </c>
      <c r="C6255" s="128">
        <f t="shared" si="289"/>
        <v>4</v>
      </c>
      <c r="D6255" s="136">
        <f t="shared" si="291"/>
        <v>16</v>
      </c>
      <c r="E6255" s="136">
        <f t="shared" si="290"/>
        <v>19</v>
      </c>
      <c r="F6255" s="128" t="s">
        <v>24</v>
      </c>
      <c r="G6255" s="128" t="str">
        <f>VLOOKUP(source[[#This Row],[lending_product_transform]],[3]Mapping!$B$4:$C$37,2,0)</f>
        <v>[Cake] - Cashloan</v>
      </c>
      <c r="H6255" s="128" t="str">
        <f>VLOOKUP(source[[#This Row],[lending_product_transform]],[3]Mapping!$B$3:$D$37,3,0)</f>
        <v>cashloan</v>
      </c>
      <c r="I6255" s="135">
        <v>51000000</v>
      </c>
    </row>
    <row r="6256" spans="1:9" x14ac:dyDescent="0.2">
      <c r="A6256" s="134">
        <v>45766</v>
      </c>
      <c r="B6256" s="135">
        <f>YEAR(source[[#This Row],[report_date]])</f>
        <v>2025</v>
      </c>
      <c r="C6256" s="128">
        <f t="shared" si="289"/>
        <v>4</v>
      </c>
      <c r="D6256" s="136">
        <f t="shared" si="291"/>
        <v>16</v>
      </c>
      <c r="E6256" s="136">
        <f t="shared" si="290"/>
        <v>19</v>
      </c>
      <c r="F6256" s="128" t="s">
        <v>24</v>
      </c>
      <c r="G6256" s="128" t="str">
        <f>VLOOKUP(source[[#This Row],[lending_product_transform]],[3]Mapping!$B$4:$C$37,2,0)</f>
        <v>[Cake] - Cashloan</v>
      </c>
      <c r="H6256" s="128" t="str">
        <f>VLOOKUP(source[[#This Row],[lending_product_transform]],[3]Mapping!$B$3:$D$37,3,0)</f>
        <v>cashloan</v>
      </c>
      <c r="I6256" s="135">
        <v>10612073</v>
      </c>
    </row>
    <row r="6257" spans="1:9" x14ac:dyDescent="0.2">
      <c r="A6257" s="134">
        <v>45766</v>
      </c>
      <c r="B6257" s="135">
        <f>YEAR(source[[#This Row],[report_date]])</f>
        <v>2025</v>
      </c>
      <c r="C6257" s="128">
        <f t="shared" si="289"/>
        <v>4</v>
      </c>
      <c r="D6257" s="136">
        <f t="shared" si="291"/>
        <v>16</v>
      </c>
      <c r="E6257" s="136">
        <f t="shared" si="290"/>
        <v>19</v>
      </c>
      <c r="F6257" s="128" t="s">
        <v>24</v>
      </c>
      <c r="G6257" s="128" t="str">
        <f>VLOOKUP(source[[#This Row],[lending_product_transform]],[3]Mapping!$B$4:$C$37,2,0)</f>
        <v>[Cake] - Cashloan</v>
      </c>
      <c r="H6257" s="128" t="str">
        <f>VLOOKUP(source[[#This Row],[lending_product_transform]],[3]Mapping!$B$3:$D$37,3,0)</f>
        <v>cashloan</v>
      </c>
      <c r="I6257" s="135">
        <v>0</v>
      </c>
    </row>
    <row r="6258" spans="1:9" x14ac:dyDescent="0.2">
      <c r="A6258" s="134">
        <v>45766</v>
      </c>
      <c r="B6258" s="135">
        <f>YEAR(source[[#This Row],[report_date]])</f>
        <v>2025</v>
      </c>
      <c r="C6258" s="128">
        <f t="shared" si="289"/>
        <v>4</v>
      </c>
      <c r="D6258" s="136">
        <f t="shared" si="291"/>
        <v>16</v>
      </c>
      <c r="E6258" s="136">
        <f t="shared" si="290"/>
        <v>19</v>
      </c>
      <c r="F6258" s="128" t="s">
        <v>24</v>
      </c>
      <c r="G6258" s="128" t="str">
        <f>VLOOKUP(source[[#This Row],[lending_product_transform]],[3]Mapping!$B$4:$C$37,2,0)</f>
        <v>[Cake] - Cashloan</v>
      </c>
      <c r="H6258" s="128" t="str">
        <f>VLOOKUP(source[[#This Row],[lending_product_transform]],[3]Mapping!$B$3:$D$37,3,0)</f>
        <v>cashloan</v>
      </c>
      <c r="I6258" s="135">
        <v>0</v>
      </c>
    </row>
    <row r="6259" spans="1:9" x14ac:dyDescent="0.2">
      <c r="A6259" s="134">
        <v>45766</v>
      </c>
      <c r="B6259" s="135">
        <f>YEAR(source[[#This Row],[report_date]])</f>
        <v>2025</v>
      </c>
      <c r="C6259" s="128">
        <f t="shared" si="289"/>
        <v>4</v>
      </c>
      <c r="D6259" s="136">
        <f t="shared" si="291"/>
        <v>16</v>
      </c>
      <c r="E6259" s="136">
        <f t="shared" si="290"/>
        <v>19</v>
      </c>
      <c r="F6259" s="128" t="s">
        <v>24</v>
      </c>
      <c r="G6259" s="128" t="str">
        <f>VLOOKUP(source[[#This Row],[lending_product_transform]],[3]Mapping!$B$4:$C$37,2,0)</f>
        <v>[Cake] - Cashloan</v>
      </c>
      <c r="H6259" s="128" t="str">
        <f>VLOOKUP(source[[#This Row],[lending_product_transform]],[3]Mapping!$B$3:$D$37,3,0)</f>
        <v>cashloan</v>
      </c>
      <c r="I6259" s="135">
        <v>209040000</v>
      </c>
    </row>
    <row r="6260" spans="1:9" x14ac:dyDescent="0.2">
      <c r="A6260" s="134">
        <v>45766</v>
      </c>
      <c r="B6260" s="135">
        <f>YEAR(source[[#This Row],[report_date]])</f>
        <v>2025</v>
      </c>
      <c r="C6260" s="128">
        <f t="shared" si="289"/>
        <v>4</v>
      </c>
      <c r="D6260" s="136">
        <f t="shared" si="291"/>
        <v>16</v>
      </c>
      <c r="E6260" s="136">
        <f t="shared" si="290"/>
        <v>19</v>
      </c>
      <c r="F6260" s="128" t="s">
        <v>24</v>
      </c>
      <c r="G6260" s="128" t="str">
        <f>VLOOKUP(source[[#This Row],[lending_product_transform]],[3]Mapping!$B$4:$C$37,2,0)</f>
        <v>[Cake] - Cashloan</v>
      </c>
      <c r="H6260" s="128" t="str">
        <f>VLOOKUP(source[[#This Row],[lending_product_transform]],[3]Mapping!$B$3:$D$37,3,0)</f>
        <v>cashloan</v>
      </c>
      <c r="I6260" s="135">
        <v>922010000</v>
      </c>
    </row>
    <row r="6261" spans="1:9" x14ac:dyDescent="0.2">
      <c r="A6261" s="134">
        <v>45766</v>
      </c>
      <c r="B6261" s="135">
        <f>YEAR(source[[#This Row],[report_date]])</f>
        <v>2025</v>
      </c>
      <c r="C6261" s="128">
        <f t="shared" si="289"/>
        <v>4</v>
      </c>
      <c r="D6261" s="136">
        <f t="shared" si="291"/>
        <v>16</v>
      </c>
      <c r="E6261" s="136">
        <f t="shared" si="290"/>
        <v>19</v>
      </c>
      <c r="F6261" s="128" t="s">
        <v>24</v>
      </c>
      <c r="G6261" s="128" t="str">
        <f>VLOOKUP(source[[#This Row],[lending_product_transform]],[3]Mapping!$B$4:$C$37,2,0)</f>
        <v>[Cake] - Cashloan</v>
      </c>
      <c r="H6261" s="128" t="str">
        <f>VLOOKUP(source[[#This Row],[lending_product_transform]],[3]Mapping!$B$3:$D$37,3,0)</f>
        <v>cashloan</v>
      </c>
      <c r="I6261" s="135">
        <v>150084721</v>
      </c>
    </row>
    <row r="6262" spans="1:9" x14ac:dyDescent="0.2">
      <c r="A6262" s="134">
        <v>45766</v>
      </c>
      <c r="B6262" s="135">
        <f>YEAR(source[[#This Row],[report_date]])</f>
        <v>2025</v>
      </c>
      <c r="C6262" s="128">
        <f t="shared" ref="C6262:C6325" si="292">MONTH(A6262)</f>
        <v>4</v>
      </c>
      <c r="D6262" s="136">
        <f t="shared" si="291"/>
        <v>16</v>
      </c>
      <c r="E6262" s="136">
        <f t="shared" ref="E6262:E6325" si="293">DAY(A6262)</f>
        <v>19</v>
      </c>
      <c r="F6262" s="128" t="s">
        <v>24</v>
      </c>
      <c r="G6262" s="128" t="str">
        <f>VLOOKUP(source[[#This Row],[lending_product_transform]],[3]Mapping!$B$4:$C$37,2,0)</f>
        <v>[Cake] - Cashloan</v>
      </c>
      <c r="H6262" s="128" t="str">
        <f>VLOOKUP(source[[#This Row],[lending_product_transform]],[3]Mapping!$B$3:$D$37,3,0)</f>
        <v>cashloan</v>
      </c>
      <c r="I6262" s="135">
        <v>256790031</v>
      </c>
    </row>
    <row r="6263" spans="1:9" x14ac:dyDescent="0.2">
      <c r="A6263" s="134">
        <v>45767</v>
      </c>
      <c r="B6263" s="135">
        <f>YEAR(source[[#This Row],[report_date]])</f>
        <v>2025</v>
      </c>
      <c r="C6263" s="128">
        <f t="shared" si="292"/>
        <v>4</v>
      </c>
      <c r="D6263" s="136">
        <f t="shared" si="291"/>
        <v>16</v>
      </c>
      <c r="E6263" s="136">
        <f t="shared" si="293"/>
        <v>20</v>
      </c>
      <c r="F6263" s="128" t="s">
        <v>24</v>
      </c>
      <c r="G6263" s="128" t="str">
        <f>VLOOKUP(source[[#This Row],[lending_product_transform]],[3]Mapping!$B$4:$C$37,2,0)</f>
        <v>[Cake] - Cashloan</v>
      </c>
      <c r="H6263" s="128" t="str">
        <f>VLOOKUP(source[[#This Row],[lending_product_transform]],[3]Mapping!$B$3:$D$37,3,0)</f>
        <v>cashloan</v>
      </c>
      <c r="I6263" s="135">
        <v>0</v>
      </c>
    </row>
    <row r="6264" spans="1:9" x14ac:dyDescent="0.2">
      <c r="A6264" s="134">
        <v>45767</v>
      </c>
      <c r="B6264" s="135">
        <f>YEAR(source[[#This Row],[report_date]])</f>
        <v>2025</v>
      </c>
      <c r="C6264" s="128">
        <f t="shared" si="292"/>
        <v>4</v>
      </c>
      <c r="D6264" s="136">
        <f t="shared" si="291"/>
        <v>16</v>
      </c>
      <c r="E6264" s="136">
        <f t="shared" si="293"/>
        <v>20</v>
      </c>
      <c r="F6264" s="128" t="s">
        <v>24</v>
      </c>
      <c r="G6264" s="128" t="str">
        <f>VLOOKUP(source[[#This Row],[lending_product_transform]],[3]Mapping!$B$4:$C$37,2,0)</f>
        <v>[Cake] - Cashloan</v>
      </c>
      <c r="H6264" s="128" t="str">
        <f>VLOOKUP(source[[#This Row],[lending_product_transform]],[3]Mapping!$B$3:$D$37,3,0)</f>
        <v>cashloan</v>
      </c>
      <c r="I6264" s="135">
        <v>3256663936</v>
      </c>
    </row>
    <row r="6265" spans="1:9" x14ac:dyDescent="0.2">
      <c r="A6265" s="134">
        <v>45767</v>
      </c>
      <c r="B6265" s="135">
        <f>YEAR(source[[#This Row],[report_date]])</f>
        <v>2025</v>
      </c>
      <c r="C6265" s="128">
        <f t="shared" si="292"/>
        <v>4</v>
      </c>
      <c r="D6265" s="136">
        <f t="shared" si="291"/>
        <v>16</v>
      </c>
      <c r="E6265" s="136">
        <f t="shared" si="293"/>
        <v>20</v>
      </c>
      <c r="F6265" s="128" t="s">
        <v>24</v>
      </c>
      <c r="G6265" s="128" t="str">
        <f>VLOOKUP(source[[#This Row],[lending_product_transform]],[3]Mapping!$B$4:$C$37,2,0)</f>
        <v>[Cake] - Cashloan</v>
      </c>
      <c r="H6265" s="128" t="str">
        <f>VLOOKUP(source[[#This Row],[lending_product_transform]],[3]Mapping!$B$3:$D$37,3,0)</f>
        <v>cashloan</v>
      </c>
      <c r="I6265" s="135">
        <v>5500548000</v>
      </c>
    </row>
    <row r="6266" spans="1:9" x14ac:dyDescent="0.2">
      <c r="A6266" s="134">
        <v>45767</v>
      </c>
      <c r="B6266" s="135">
        <f>YEAR(source[[#This Row],[report_date]])</f>
        <v>2025</v>
      </c>
      <c r="C6266" s="128">
        <f t="shared" si="292"/>
        <v>4</v>
      </c>
      <c r="D6266" s="136">
        <f t="shared" si="291"/>
        <v>16</v>
      </c>
      <c r="E6266" s="136">
        <f t="shared" si="293"/>
        <v>20</v>
      </c>
      <c r="F6266" s="128" t="s">
        <v>24</v>
      </c>
      <c r="G6266" s="128" t="str">
        <f>VLOOKUP(source[[#This Row],[lending_product_transform]],[3]Mapping!$B$4:$C$37,2,0)</f>
        <v>[Cake] - Cashloan</v>
      </c>
      <c r="H6266" s="128" t="str">
        <f>VLOOKUP(source[[#This Row],[lending_product_transform]],[3]Mapping!$B$3:$D$37,3,0)</f>
        <v>cashloan</v>
      </c>
      <c r="I6266" s="135">
        <v>48000000</v>
      </c>
    </row>
    <row r="6267" spans="1:9" x14ac:dyDescent="0.2">
      <c r="A6267" s="134">
        <v>45767</v>
      </c>
      <c r="B6267" s="135">
        <f>YEAR(source[[#This Row],[report_date]])</f>
        <v>2025</v>
      </c>
      <c r="C6267" s="128">
        <f t="shared" si="292"/>
        <v>4</v>
      </c>
      <c r="D6267" s="136">
        <f t="shared" si="291"/>
        <v>16</v>
      </c>
      <c r="E6267" s="136">
        <f t="shared" si="293"/>
        <v>20</v>
      </c>
      <c r="F6267" s="128" t="s">
        <v>24</v>
      </c>
      <c r="G6267" s="128" t="str">
        <f>VLOOKUP(source[[#This Row],[lending_product_transform]],[3]Mapping!$B$4:$C$37,2,0)</f>
        <v>[Cake] - Cashloan</v>
      </c>
      <c r="H6267" s="128" t="str">
        <f>VLOOKUP(source[[#This Row],[lending_product_transform]],[3]Mapping!$B$3:$D$37,3,0)</f>
        <v>cashloan</v>
      </c>
      <c r="I6267" s="135">
        <v>0</v>
      </c>
    </row>
    <row r="6268" spans="1:9" x14ac:dyDescent="0.2">
      <c r="A6268" s="134">
        <v>45767</v>
      </c>
      <c r="B6268" s="135">
        <f>YEAR(source[[#This Row],[report_date]])</f>
        <v>2025</v>
      </c>
      <c r="C6268" s="128">
        <f t="shared" si="292"/>
        <v>4</v>
      </c>
      <c r="D6268" s="136">
        <f t="shared" si="291"/>
        <v>16</v>
      </c>
      <c r="E6268" s="136">
        <f t="shared" si="293"/>
        <v>20</v>
      </c>
      <c r="F6268" s="128" t="s">
        <v>24</v>
      </c>
      <c r="G6268" s="128" t="str">
        <f>VLOOKUP(source[[#This Row],[lending_product_transform]],[3]Mapping!$B$4:$C$37,2,0)</f>
        <v>[Cake] - Cashloan</v>
      </c>
      <c r="H6268" s="128" t="str">
        <f>VLOOKUP(source[[#This Row],[lending_product_transform]],[3]Mapping!$B$3:$D$37,3,0)</f>
        <v>cashloan</v>
      </c>
      <c r="I6268" s="135">
        <v>0</v>
      </c>
    </row>
    <row r="6269" spans="1:9" x14ac:dyDescent="0.2">
      <c r="A6269" s="134">
        <v>45767</v>
      </c>
      <c r="B6269" s="135">
        <f>YEAR(source[[#This Row],[report_date]])</f>
        <v>2025</v>
      </c>
      <c r="C6269" s="128">
        <f t="shared" si="292"/>
        <v>4</v>
      </c>
      <c r="D6269" s="136">
        <f t="shared" si="291"/>
        <v>16</v>
      </c>
      <c r="E6269" s="136">
        <f t="shared" si="293"/>
        <v>20</v>
      </c>
      <c r="F6269" s="128" t="s">
        <v>24</v>
      </c>
      <c r="G6269" s="128" t="str">
        <f>VLOOKUP(source[[#This Row],[lending_product_transform]],[3]Mapping!$B$4:$C$37,2,0)</f>
        <v>[Cake] - Cashloan</v>
      </c>
      <c r="H6269" s="128" t="str">
        <f>VLOOKUP(source[[#This Row],[lending_product_transform]],[3]Mapping!$B$3:$D$37,3,0)</f>
        <v>cashloan</v>
      </c>
      <c r="I6269" s="135">
        <v>0</v>
      </c>
    </row>
    <row r="6270" spans="1:9" x14ac:dyDescent="0.2">
      <c r="A6270" s="134">
        <v>45767</v>
      </c>
      <c r="B6270" s="135">
        <f>YEAR(source[[#This Row],[report_date]])</f>
        <v>2025</v>
      </c>
      <c r="C6270" s="128">
        <f t="shared" si="292"/>
        <v>4</v>
      </c>
      <c r="D6270" s="136">
        <f t="shared" si="291"/>
        <v>16</v>
      </c>
      <c r="E6270" s="136">
        <f t="shared" si="293"/>
        <v>20</v>
      </c>
      <c r="F6270" s="128" t="s">
        <v>24</v>
      </c>
      <c r="G6270" s="128" t="str">
        <f>VLOOKUP(source[[#This Row],[lending_product_transform]],[3]Mapping!$B$4:$C$37,2,0)</f>
        <v>[Cake] - Cashloan</v>
      </c>
      <c r="H6270" s="128" t="str">
        <f>VLOOKUP(source[[#This Row],[lending_product_transform]],[3]Mapping!$B$3:$D$37,3,0)</f>
        <v>cashloan</v>
      </c>
      <c r="I6270" s="135">
        <v>0</v>
      </c>
    </row>
    <row r="6271" spans="1:9" x14ac:dyDescent="0.2">
      <c r="A6271" s="134">
        <v>45767</v>
      </c>
      <c r="B6271" s="135">
        <f>YEAR(source[[#This Row],[report_date]])</f>
        <v>2025</v>
      </c>
      <c r="C6271" s="128">
        <f t="shared" si="292"/>
        <v>4</v>
      </c>
      <c r="D6271" s="136">
        <f t="shared" si="291"/>
        <v>16</v>
      </c>
      <c r="E6271" s="136">
        <f t="shared" si="293"/>
        <v>20</v>
      </c>
      <c r="F6271" s="128" t="s">
        <v>24</v>
      </c>
      <c r="G6271" s="128" t="str">
        <f>VLOOKUP(source[[#This Row],[lending_product_transform]],[3]Mapping!$B$4:$C$37,2,0)</f>
        <v>[Cake] - Cashloan</v>
      </c>
      <c r="H6271" s="128" t="str">
        <f>VLOOKUP(source[[#This Row],[lending_product_transform]],[3]Mapping!$B$3:$D$37,3,0)</f>
        <v>cashloan</v>
      </c>
      <c r="I6271" s="135">
        <v>675000</v>
      </c>
    </row>
    <row r="6272" spans="1:9" x14ac:dyDescent="0.2">
      <c r="A6272" s="134">
        <v>45767</v>
      </c>
      <c r="B6272" s="135">
        <f>YEAR(source[[#This Row],[report_date]])</f>
        <v>2025</v>
      </c>
      <c r="C6272" s="128">
        <f t="shared" si="292"/>
        <v>4</v>
      </c>
      <c r="D6272" s="136">
        <f t="shared" si="291"/>
        <v>16</v>
      </c>
      <c r="E6272" s="136">
        <f t="shared" si="293"/>
        <v>20</v>
      </c>
      <c r="F6272" s="128" t="s">
        <v>24</v>
      </c>
      <c r="G6272" s="128" t="str">
        <f>VLOOKUP(source[[#This Row],[lending_product_transform]],[3]Mapping!$B$4:$C$37,2,0)</f>
        <v>[Cake] - Cashloan</v>
      </c>
      <c r="H6272" s="128" t="str">
        <f>VLOOKUP(source[[#This Row],[lending_product_transform]],[3]Mapping!$B$3:$D$37,3,0)</f>
        <v>cashloan</v>
      </c>
      <c r="I6272" s="135">
        <v>31500000</v>
      </c>
    </row>
    <row r="6273" spans="1:9" x14ac:dyDescent="0.2">
      <c r="A6273" s="134">
        <v>45767</v>
      </c>
      <c r="B6273" s="135">
        <f>YEAR(source[[#This Row],[report_date]])</f>
        <v>2025</v>
      </c>
      <c r="C6273" s="128">
        <f t="shared" si="292"/>
        <v>4</v>
      </c>
      <c r="D6273" s="136">
        <f t="shared" si="291"/>
        <v>16</v>
      </c>
      <c r="E6273" s="136">
        <f t="shared" si="293"/>
        <v>20</v>
      </c>
      <c r="F6273" s="128" t="s">
        <v>24</v>
      </c>
      <c r="G6273" s="128" t="str">
        <f>VLOOKUP(source[[#This Row],[lending_product_transform]],[3]Mapping!$B$4:$C$37,2,0)</f>
        <v>[Cake] - Cashloan</v>
      </c>
      <c r="H6273" s="128" t="str">
        <f>VLOOKUP(source[[#This Row],[lending_product_transform]],[3]Mapping!$B$3:$D$37,3,0)</f>
        <v>cashloan</v>
      </c>
      <c r="I6273" s="135">
        <v>7492680000</v>
      </c>
    </row>
    <row r="6274" spans="1:9" x14ac:dyDescent="0.2">
      <c r="A6274" s="134">
        <v>45767</v>
      </c>
      <c r="B6274" s="135">
        <f>YEAR(source[[#This Row],[report_date]])</f>
        <v>2025</v>
      </c>
      <c r="C6274" s="128">
        <f t="shared" si="292"/>
        <v>4</v>
      </c>
      <c r="D6274" s="136">
        <f t="shared" si="291"/>
        <v>16</v>
      </c>
      <c r="E6274" s="136">
        <f t="shared" si="293"/>
        <v>20</v>
      </c>
      <c r="F6274" s="128" t="s">
        <v>24</v>
      </c>
      <c r="G6274" s="128" t="str">
        <f>VLOOKUP(source[[#This Row],[lending_product_transform]],[3]Mapping!$B$4:$C$37,2,0)</f>
        <v>[Cake] - Cashloan</v>
      </c>
      <c r="H6274" s="128" t="str">
        <f>VLOOKUP(source[[#This Row],[lending_product_transform]],[3]Mapping!$B$3:$D$37,3,0)</f>
        <v>cashloan</v>
      </c>
      <c r="I6274" s="135">
        <v>0</v>
      </c>
    </row>
    <row r="6275" spans="1:9" x14ac:dyDescent="0.2">
      <c r="A6275" s="134">
        <v>45767</v>
      </c>
      <c r="B6275" s="135">
        <f>YEAR(source[[#This Row],[report_date]])</f>
        <v>2025</v>
      </c>
      <c r="C6275" s="128">
        <f t="shared" si="292"/>
        <v>4</v>
      </c>
      <c r="D6275" s="136">
        <f t="shared" ref="D6275:D6338" si="294">WEEKNUM(A6275,2)</f>
        <v>16</v>
      </c>
      <c r="E6275" s="136">
        <f t="shared" si="293"/>
        <v>20</v>
      </c>
      <c r="F6275" s="128" t="s">
        <v>24</v>
      </c>
      <c r="G6275" s="128" t="str">
        <f>VLOOKUP(source[[#This Row],[lending_product_transform]],[3]Mapping!$B$4:$C$37,2,0)</f>
        <v>[Cake] - Cashloan</v>
      </c>
      <c r="H6275" s="128" t="str">
        <f>VLOOKUP(source[[#This Row],[lending_product_transform]],[3]Mapping!$B$3:$D$37,3,0)</f>
        <v>cashloan</v>
      </c>
      <c r="I6275" s="135">
        <v>21000000</v>
      </c>
    </row>
    <row r="6276" spans="1:9" x14ac:dyDescent="0.2">
      <c r="A6276" s="134">
        <v>45767</v>
      </c>
      <c r="B6276" s="135">
        <f>YEAR(source[[#This Row],[report_date]])</f>
        <v>2025</v>
      </c>
      <c r="C6276" s="128">
        <f t="shared" si="292"/>
        <v>4</v>
      </c>
      <c r="D6276" s="136">
        <f t="shared" si="294"/>
        <v>16</v>
      </c>
      <c r="E6276" s="136">
        <f t="shared" si="293"/>
        <v>20</v>
      </c>
      <c r="F6276" s="128" t="s">
        <v>24</v>
      </c>
      <c r="G6276" s="128" t="str">
        <f>VLOOKUP(source[[#This Row],[lending_product_transform]],[3]Mapping!$B$4:$C$37,2,0)</f>
        <v>[Cake] - Cashloan</v>
      </c>
      <c r="H6276" s="128" t="str">
        <f>VLOOKUP(source[[#This Row],[lending_product_transform]],[3]Mapping!$B$3:$D$37,3,0)</f>
        <v>cashloan</v>
      </c>
      <c r="I6276" s="135">
        <v>191060000</v>
      </c>
    </row>
    <row r="6277" spans="1:9" x14ac:dyDescent="0.2">
      <c r="A6277" s="134">
        <v>45767</v>
      </c>
      <c r="B6277" s="135">
        <f>YEAR(source[[#This Row],[report_date]])</f>
        <v>2025</v>
      </c>
      <c r="C6277" s="128">
        <f t="shared" si="292"/>
        <v>4</v>
      </c>
      <c r="D6277" s="136">
        <f t="shared" si="294"/>
        <v>16</v>
      </c>
      <c r="E6277" s="136">
        <f t="shared" si="293"/>
        <v>20</v>
      </c>
      <c r="F6277" s="128" t="s">
        <v>24</v>
      </c>
      <c r="G6277" s="128" t="str">
        <f>VLOOKUP(source[[#This Row],[lending_product_transform]],[3]Mapping!$B$4:$C$37,2,0)</f>
        <v>[Cake] - Cashloan</v>
      </c>
      <c r="H6277" s="128" t="str">
        <f>VLOOKUP(source[[#This Row],[lending_product_transform]],[3]Mapping!$B$3:$D$37,3,0)</f>
        <v>cashloan</v>
      </c>
      <c r="I6277" s="135">
        <v>1094610000</v>
      </c>
    </row>
    <row r="6278" spans="1:9" x14ac:dyDescent="0.2">
      <c r="A6278" s="134">
        <v>45767</v>
      </c>
      <c r="B6278" s="135">
        <f>YEAR(source[[#This Row],[report_date]])</f>
        <v>2025</v>
      </c>
      <c r="C6278" s="128">
        <f t="shared" si="292"/>
        <v>4</v>
      </c>
      <c r="D6278" s="136">
        <f t="shared" si="294"/>
        <v>16</v>
      </c>
      <c r="E6278" s="136">
        <f t="shared" si="293"/>
        <v>20</v>
      </c>
      <c r="F6278" s="128" t="s">
        <v>24</v>
      </c>
      <c r="G6278" s="128" t="str">
        <f>VLOOKUP(source[[#This Row],[lending_product_transform]],[3]Mapping!$B$4:$C$37,2,0)</f>
        <v>[Cake] - Cashloan</v>
      </c>
      <c r="H6278" s="128" t="str">
        <f>VLOOKUP(source[[#This Row],[lending_product_transform]],[3]Mapping!$B$3:$D$37,3,0)</f>
        <v>cashloan</v>
      </c>
      <c r="I6278" s="135">
        <v>280474355</v>
      </c>
    </row>
    <row r="6279" spans="1:9" x14ac:dyDescent="0.2">
      <c r="A6279" s="134">
        <v>45767</v>
      </c>
      <c r="B6279" s="135">
        <f>YEAR(source[[#This Row],[report_date]])</f>
        <v>2025</v>
      </c>
      <c r="C6279" s="128">
        <f t="shared" si="292"/>
        <v>4</v>
      </c>
      <c r="D6279" s="136">
        <f t="shared" si="294"/>
        <v>16</v>
      </c>
      <c r="E6279" s="136">
        <f t="shared" si="293"/>
        <v>20</v>
      </c>
      <c r="F6279" s="128" t="s">
        <v>24</v>
      </c>
      <c r="G6279" s="128" t="str">
        <f>VLOOKUP(source[[#This Row],[lending_product_transform]],[3]Mapping!$B$4:$C$37,2,0)</f>
        <v>[Cake] - Cashloan</v>
      </c>
      <c r="H6279" s="128" t="str">
        <f>VLOOKUP(source[[#This Row],[lending_product_transform]],[3]Mapping!$B$3:$D$37,3,0)</f>
        <v>cashloan</v>
      </c>
      <c r="I6279" s="135">
        <v>162044006</v>
      </c>
    </row>
    <row r="6280" spans="1:9" x14ac:dyDescent="0.2">
      <c r="A6280" s="134">
        <v>45767</v>
      </c>
      <c r="B6280" s="135">
        <f>YEAR(source[[#This Row],[report_date]])</f>
        <v>2025</v>
      </c>
      <c r="C6280" s="128">
        <f t="shared" si="292"/>
        <v>4</v>
      </c>
      <c r="D6280" s="136">
        <f t="shared" si="294"/>
        <v>16</v>
      </c>
      <c r="E6280" s="136">
        <f t="shared" si="293"/>
        <v>20</v>
      </c>
      <c r="F6280" s="128" t="s">
        <v>24</v>
      </c>
      <c r="G6280" s="128" t="str">
        <f>VLOOKUP(source[[#This Row],[lending_product_transform]],[3]Mapping!$B$4:$C$37,2,0)</f>
        <v>[Cake] - Cashloan</v>
      </c>
      <c r="H6280" s="128" t="str">
        <f>VLOOKUP(source[[#This Row],[lending_product_transform]],[3]Mapping!$B$3:$D$37,3,0)</f>
        <v>cashloan</v>
      </c>
      <c r="I6280" s="135">
        <v>313477792</v>
      </c>
    </row>
    <row r="6281" spans="1:9" x14ac:dyDescent="0.2">
      <c r="A6281" s="134">
        <v>45767</v>
      </c>
      <c r="B6281" s="135">
        <f>YEAR(source[[#This Row],[report_date]])</f>
        <v>2025</v>
      </c>
      <c r="C6281" s="128">
        <f t="shared" si="292"/>
        <v>4</v>
      </c>
      <c r="D6281" s="136">
        <f t="shared" si="294"/>
        <v>16</v>
      </c>
      <c r="E6281" s="136">
        <f t="shared" si="293"/>
        <v>20</v>
      </c>
      <c r="F6281" s="128" t="s">
        <v>24</v>
      </c>
      <c r="G6281" s="128" t="str">
        <f>VLOOKUP(source[[#This Row],[lending_product_transform]],[3]Mapping!$B$4:$C$37,2,0)</f>
        <v>[Cake] - Cashloan</v>
      </c>
      <c r="H6281" s="128" t="str">
        <f>VLOOKUP(source[[#This Row],[lending_product_transform]],[3]Mapping!$B$3:$D$37,3,0)</f>
        <v>cashloan</v>
      </c>
      <c r="I6281" s="135">
        <v>6609130000</v>
      </c>
    </row>
    <row r="6282" spans="1:9" x14ac:dyDescent="0.2">
      <c r="A6282" s="134">
        <v>45768</v>
      </c>
      <c r="B6282" s="135">
        <f>YEAR(source[[#This Row],[report_date]])</f>
        <v>2025</v>
      </c>
      <c r="C6282" s="128">
        <f t="shared" si="292"/>
        <v>4</v>
      </c>
      <c r="D6282" s="136">
        <f t="shared" si="294"/>
        <v>17</v>
      </c>
      <c r="E6282" s="136">
        <f t="shared" si="293"/>
        <v>21</v>
      </c>
      <c r="F6282" s="128" t="s">
        <v>24</v>
      </c>
      <c r="G6282" s="128" t="str">
        <f>VLOOKUP(source[[#This Row],[lending_product_transform]],[3]Mapping!$B$4:$C$37,2,0)</f>
        <v>[Cake] - Cashloan</v>
      </c>
      <c r="H6282" s="128" t="str">
        <f>VLOOKUP(source[[#This Row],[lending_product_transform]],[3]Mapping!$B$3:$D$37,3,0)</f>
        <v>cashloan</v>
      </c>
      <c r="I6282" s="135">
        <v>908030000</v>
      </c>
    </row>
    <row r="6283" spans="1:9" x14ac:dyDescent="0.2">
      <c r="A6283" s="134">
        <v>45768</v>
      </c>
      <c r="B6283" s="135">
        <f>YEAR(source[[#This Row],[report_date]])</f>
        <v>2025</v>
      </c>
      <c r="C6283" s="128">
        <f t="shared" si="292"/>
        <v>4</v>
      </c>
      <c r="D6283" s="136">
        <f t="shared" si="294"/>
        <v>17</v>
      </c>
      <c r="E6283" s="136">
        <f t="shared" si="293"/>
        <v>21</v>
      </c>
      <c r="F6283" s="128" t="s">
        <v>24</v>
      </c>
      <c r="G6283" s="128" t="str">
        <f>VLOOKUP(source[[#This Row],[lending_product_transform]],[3]Mapping!$B$4:$C$37,2,0)</f>
        <v>[Cake] - Cashloan</v>
      </c>
      <c r="H6283" s="128" t="str">
        <f>VLOOKUP(source[[#This Row],[lending_product_transform]],[3]Mapping!$B$3:$D$37,3,0)</f>
        <v>cashloan</v>
      </c>
      <c r="I6283" s="135">
        <v>0</v>
      </c>
    </row>
    <row r="6284" spans="1:9" x14ac:dyDescent="0.2">
      <c r="A6284" s="134">
        <v>45768</v>
      </c>
      <c r="B6284" s="135">
        <f>YEAR(source[[#This Row],[report_date]])</f>
        <v>2025</v>
      </c>
      <c r="C6284" s="128">
        <f t="shared" si="292"/>
        <v>4</v>
      </c>
      <c r="D6284" s="136">
        <f t="shared" si="294"/>
        <v>17</v>
      </c>
      <c r="E6284" s="136">
        <f t="shared" si="293"/>
        <v>21</v>
      </c>
      <c r="F6284" s="128" t="s">
        <v>24</v>
      </c>
      <c r="G6284" s="128" t="str">
        <f>VLOOKUP(source[[#This Row],[lending_product_transform]],[3]Mapping!$B$4:$C$37,2,0)</f>
        <v>[Cake] - Cashloan</v>
      </c>
      <c r="H6284" s="128" t="str">
        <f>VLOOKUP(source[[#This Row],[lending_product_transform]],[3]Mapping!$B$3:$D$37,3,0)</f>
        <v>cashloan</v>
      </c>
      <c r="I6284" s="135">
        <v>393260165</v>
      </c>
    </row>
    <row r="6285" spans="1:9" x14ac:dyDescent="0.2">
      <c r="A6285" s="134">
        <v>45768</v>
      </c>
      <c r="B6285" s="135">
        <f>YEAR(source[[#This Row],[report_date]])</f>
        <v>2025</v>
      </c>
      <c r="C6285" s="128">
        <f t="shared" si="292"/>
        <v>4</v>
      </c>
      <c r="D6285" s="136">
        <f t="shared" si="294"/>
        <v>17</v>
      </c>
      <c r="E6285" s="136">
        <f t="shared" si="293"/>
        <v>21</v>
      </c>
      <c r="F6285" s="128" t="s">
        <v>24</v>
      </c>
      <c r="G6285" s="128" t="str">
        <f>VLOOKUP(source[[#This Row],[lending_product_transform]],[3]Mapping!$B$4:$C$37,2,0)</f>
        <v>[Cake] - Cashloan</v>
      </c>
      <c r="H6285" s="128" t="str">
        <f>VLOOKUP(source[[#This Row],[lending_product_transform]],[3]Mapping!$B$3:$D$37,3,0)</f>
        <v>cashloan</v>
      </c>
      <c r="I6285" s="135">
        <v>0</v>
      </c>
    </row>
    <row r="6286" spans="1:9" x14ac:dyDescent="0.2">
      <c r="A6286" s="134">
        <v>45768</v>
      </c>
      <c r="B6286" s="135">
        <f>YEAR(source[[#This Row],[report_date]])</f>
        <v>2025</v>
      </c>
      <c r="C6286" s="128">
        <f t="shared" si="292"/>
        <v>4</v>
      </c>
      <c r="D6286" s="136">
        <f t="shared" si="294"/>
        <v>17</v>
      </c>
      <c r="E6286" s="136">
        <f t="shared" si="293"/>
        <v>21</v>
      </c>
      <c r="F6286" s="128" t="s">
        <v>24</v>
      </c>
      <c r="G6286" s="128" t="str">
        <f>VLOOKUP(source[[#This Row],[lending_product_transform]],[3]Mapping!$B$4:$C$37,2,0)</f>
        <v>[Cake] - Cashloan</v>
      </c>
      <c r="H6286" s="128" t="str">
        <f>VLOOKUP(source[[#This Row],[lending_product_transform]],[3]Mapping!$B$3:$D$37,3,0)</f>
        <v>cashloan</v>
      </c>
      <c r="I6286" s="135">
        <v>27734254</v>
      </c>
    </row>
    <row r="6287" spans="1:9" x14ac:dyDescent="0.2">
      <c r="A6287" s="134">
        <v>45768</v>
      </c>
      <c r="B6287" s="135">
        <f>YEAR(source[[#This Row],[report_date]])</f>
        <v>2025</v>
      </c>
      <c r="C6287" s="128">
        <f t="shared" si="292"/>
        <v>4</v>
      </c>
      <c r="D6287" s="136">
        <f t="shared" si="294"/>
        <v>17</v>
      </c>
      <c r="E6287" s="136">
        <f t="shared" si="293"/>
        <v>21</v>
      </c>
      <c r="F6287" s="128" t="s">
        <v>24</v>
      </c>
      <c r="G6287" s="128" t="str">
        <f>VLOOKUP(source[[#This Row],[lending_product_transform]],[3]Mapping!$B$4:$C$37,2,0)</f>
        <v>[Cake] - Cashloan</v>
      </c>
      <c r="H6287" s="128" t="str">
        <f>VLOOKUP(source[[#This Row],[lending_product_transform]],[3]Mapping!$B$3:$D$37,3,0)</f>
        <v>cashloan</v>
      </c>
      <c r="I6287" s="135">
        <v>3928480974</v>
      </c>
    </row>
    <row r="6288" spans="1:9" x14ac:dyDescent="0.2">
      <c r="A6288" s="134">
        <v>45768</v>
      </c>
      <c r="B6288" s="135">
        <f>YEAR(source[[#This Row],[report_date]])</f>
        <v>2025</v>
      </c>
      <c r="C6288" s="128">
        <f t="shared" si="292"/>
        <v>4</v>
      </c>
      <c r="D6288" s="136">
        <f t="shared" si="294"/>
        <v>17</v>
      </c>
      <c r="E6288" s="136">
        <f t="shared" si="293"/>
        <v>21</v>
      </c>
      <c r="F6288" s="128" t="s">
        <v>24</v>
      </c>
      <c r="G6288" s="128" t="str">
        <f>VLOOKUP(source[[#This Row],[lending_product_transform]],[3]Mapping!$B$4:$C$37,2,0)</f>
        <v>[Cake] - Cashloan</v>
      </c>
      <c r="H6288" s="128" t="str">
        <f>VLOOKUP(source[[#This Row],[lending_product_transform]],[3]Mapping!$B$3:$D$37,3,0)</f>
        <v>cashloan</v>
      </c>
      <c r="I6288" s="135">
        <v>0</v>
      </c>
    </row>
    <row r="6289" spans="1:9" x14ac:dyDescent="0.2">
      <c r="A6289" s="134">
        <v>45768</v>
      </c>
      <c r="B6289" s="135">
        <f>YEAR(source[[#This Row],[report_date]])</f>
        <v>2025</v>
      </c>
      <c r="C6289" s="128">
        <f t="shared" si="292"/>
        <v>4</v>
      </c>
      <c r="D6289" s="136">
        <f t="shared" si="294"/>
        <v>17</v>
      </c>
      <c r="E6289" s="136">
        <f t="shared" si="293"/>
        <v>21</v>
      </c>
      <c r="F6289" s="128" t="s">
        <v>24</v>
      </c>
      <c r="G6289" s="128" t="str">
        <f>VLOOKUP(source[[#This Row],[lending_product_transform]],[3]Mapping!$B$4:$C$37,2,0)</f>
        <v>[Cake] - Cashloan</v>
      </c>
      <c r="H6289" s="128" t="str">
        <f>VLOOKUP(source[[#This Row],[lending_product_transform]],[3]Mapping!$B$3:$D$37,3,0)</f>
        <v>cashloan</v>
      </c>
      <c r="I6289" s="135">
        <v>0</v>
      </c>
    </row>
    <row r="6290" spans="1:9" x14ac:dyDescent="0.2">
      <c r="A6290" s="134">
        <v>45768</v>
      </c>
      <c r="B6290" s="135">
        <f>YEAR(source[[#This Row],[report_date]])</f>
        <v>2025</v>
      </c>
      <c r="C6290" s="128">
        <f t="shared" si="292"/>
        <v>4</v>
      </c>
      <c r="D6290" s="136">
        <f t="shared" si="294"/>
        <v>17</v>
      </c>
      <c r="E6290" s="136">
        <f t="shared" si="293"/>
        <v>21</v>
      </c>
      <c r="F6290" s="128" t="s">
        <v>24</v>
      </c>
      <c r="G6290" s="128" t="str">
        <f>VLOOKUP(source[[#This Row],[lending_product_transform]],[3]Mapping!$B$4:$C$37,2,0)</f>
        <v>[Cake] - Cashloan</v>
      </c>
      <c r="H6290" s="128" t="str">
        <f>VLOOKUP(source[[#This Row],[lending_product_transform]],[3]Mapping!$B$3:$D$37,3,0)</f>
        <v>cashloan</v>
      </c>
      <c r="I6290" s="135">
        <v>0</v>
      </c>
    </row>
    <row r="6291" spans="1:9" x14ac:dyDescent="0.2">
      <c r="A6291" s="134">
        <v>45768</v>
      </c>
      <c r="B6291" s="135">
        <f>YEAR(source[[#This Row],[report_date]])</f>
        <v>2025</v>
      </c>
      <c r="C6291" s="128">
        <f t="shared" si="292"/>
        <v>4</v>
      </c>
      <c r="D6291" s="136">
        <f t="shared" si="294"/>
        <v>17</v>
      </c>
      <c r="E6291" s="136">
        <f t="shared" si="293"/>
        <v>21</v>
      </c>
      <c r="F6291" s="128" t="s">
        <v>24</v>
      </c>
      <c r="G6291" s="128" t="str">
        <f>VLOOKUP(source[[#This Row],[lending_product_transform]],[3]Mapping!$B$4:$C$37,2,0)</f>
        <v>[Cake] - Cashloan</v>
      </c>
      <c r="H6291" s="128" t="str">
        <f>VLOOKUP(source[[#This Row],[lending_product_transform]],[3]Mapping!$B$3:$D$37,3,0)</f>
        <v>cashloan</v>
      </c>
      <c r="I6291" s="135">
        <v>124000000</v>
      </c>
    </row>
    <row r="6292" spans="1:9" x14ac:dyDescent="0.2">
      <c r="A6292" s="134">
        <v>45768</v>
      </c>
      <c r="B6292" s="135">
        <f>YEAR(source[[#This Row],[report_date]])</f>
        <v>2025</v>
      </c>
      <c r="C6292" s="128">
        <f t="shared" si="292"/>
        <v>4</v>
      </c>
      <c r="D6292" s="136">
        <f t="shared" si="294"/>
        <v>17</v>
      </c>
      <c r="E6292" s="136">
        <f t="shared" si="293"/>
        <v>21</v>
      </c>
      <c r="F6292" s="128" t="s">
        <v>24</v>
      </c>
      <c r="G6292" s="128" t="str">
        <f>VLOOKUP(source[[#This Row],[lending_product_transform]],[3]Mapping!$B$4:$C$37,2,0)</f>
        <v>[Cake] - Cashloan</v>
      </c>
      <c r="H6292" s="128" t="str">
        <f>VLOOKUP(source[[#This Row],[lending_product_transform]],[3]Mapping!$B$3:$D$37,3,0)</f>
        <v>cashloan</v>
      </c>
      <c r="I6292" s="135">
        <v>0</v>
      </c>
    </row>
    <row r="6293" spans="1:9" x14ac:dyDescent="0.2">
      <c r="A6293" s="134">
        <v>45768</v>
      </c>
      <c r="B6293" s="135">
        <f>YEAR(source[[#This Row],[report_date]])</f>
        <v>2025</v>
      </c>
      <c r="C6293" s="128">
        <f t="shared" si="292"/>
        <v>4</v>
      </c>
      <c r="D6293" s="136">
        <f t="shared" si="294"/>
        <v>17</v>
      </c>
      <c r="E6293" s="136">
        <f t="shared" si="293"/>
        <v>21</v>
      </c>
      <c r="F6293" s="128" t="s">
        <v>24</v>
      </c>
      <c r="G6293" s="128" t="str">
        <f>VLOOKUP(source[[#This Row],[lending_product_transform]],[3]Mapping!$B$4:$C$37,2,0)</f>
        <v>[Cake] - Cashloan</v>
      </c>
      <c r="H6293" s="128" t="str">
        <f>VLOOKUP(source[[#This Row],[lending_product_transform]],[3]Mapping!$B$3:$D$37,3,0)</f>
        <v>cashloan</v>
      </c>
      <c r="I6293" s="135">
        <v>0</v>
      </c>
    </row>
    <row r="6294" spans="1:9" x14ac:dyDescent="0.2">
      <c r="A6294" s="134">
        <v>45768</v>
      </c>
      <c r="B6294" s="135">
        <f>YEAR(source[[#This Row],[report_date]])</f>
        <v>2025</v>
      </c>
      <c r="C6294" s="128">
        <f t="shared" si="292"/>
        <v>4</v>
      </c>
      <c r="D6294" s="136">
        <f t="shared" si="294"/>
        <v>17</v>
      </c>
      <c r="E6294" s="136">
        <f t="shared" si="293"/>
        <v>21</v>
      </c>
      <c r="F6294" s="128" t="s">
        <v>24</v>
      </c>
      <c r="G6294" s="128" t="str">
        <f>VLOOKUP(source[[#This Row],[lending_product_transform]],[3]Mapping!$B$4:$C$37,2,0)</f>
        <v>[Cake] - Cashloan</v>
      </c>
      <c r="H6294" s="128" t="str">
        <f>VLOOKUP(source[[#This Row],[lending_product_transform]],[3]Mapping!$B$3:$D$37,3,0)</f>
        <v>cashloan</v>
      </c>
      <c r="I6294" s="135">
        <v>637280000</v>
      </c>
    </row>
    <row r="6295" spans="1:9" x14ac:dyDescent="0.2">
      <c r="A6295" s="134">
        <v>45768</v>
      </c>
      <c r="B6295" s="135">
        <f>YEAR(source[[#This Row],[report_date]])</f>
        <v>2025</v>
      </c>
      <c r="C6295" s="128">
        <f t="shared" si="292"/>
        <v>4</v>
      </c>
      <c r="D6295" s="136">
        <f t="shared" si="294"/>
        <v>17</v>
      </c>
      <c r="E6295" s="136">
        <f t="shared" si="293"/>
        <v>21</v>
      </c>
      <c r="F6295" s="128" t="s">
        <v>24</v>
      </c>
      <c r="G6295" s="128" t="str">
        <f>VLOOKUP(source[[#This Row],[lending_product_transform]],[3]Mapping!$B$4:$C$37,2,0)</f>
        <v>[Cake] - Cashloan</v>
      </c>
      <c r="H6295" s="128" t="str">
        <f>VLOOKUP(source[[#This Row],[lending_product_transform]],[3]Mapping!$B$3:$D$37,3,0)</f>
        <v>cashloan</v>
      </c>
      <c r="I6295" s="135">
        <v>6380590000</v>
      </c>
    </row>
    <row r="6296" spans="1:9" x14ac:dyDescent="0.2">
      <c r="A6296" s="134">
        <v>45768</v>
      </c>
      <c r="B6296" s="135">
        <f>YEAR(source[[#This Row],[report_date]])</f>
        <v>2025</v>
      </c>
      <c r="C6296" s="128">
        <f t="shared" si="292"/>
        <v>4</v>
      </c>
      <c r="D6296" s="136">
        <f t="shared" si="294"/>
        <v>17</v>
      </c>
      <c r="E6296" s="136">
        <f t="shared" si="293"/>
        <v>21</v>
      </c>
      <c r="F6296" s="128" t="s">
        <v>24</v>
      </c>
      <c r="G6296" s="128" t="str">
        <f>VLOOKUP(source[[#This Row],[lending_product_transform]],[3]Mapping!$B$4:$C$37,2,0)</f>
        <v>[Cake] - Cashloan</v>
      </c>
      <c r="H6296" s="128" t="str">
        <f>VLOOKUP(source[[#This Row],[lending_product_transform]],[3]Mapping!$B$3:$D$37,3,0)</f>
        <v>cashloan</v>
      </c>
      <c r="I6296" s="135">
        <v>82500000</v>
      </c>
    </row>
    <row r="6297" spans="1:9" x14ac:dyDescent="0.2">
      <c r="A6297" s="134">
        <v>45768</v>
      </c>
      <c r="B6297" s="135">
        <f>YEAR(source[[#This Row],[report_date]])</f>
        <v>2025</v>
      </c>
      <c r="C6297" s="128">
        <f t="shared" si="292"/>
        <v>4</v>
      </c>
      <c r="D6297" s="136">
        <f t="shared" si="294"/>
        <v>17</v>
      </c>
      <c r="E6297" s="136">
        <f t="shared" si="293"/>
        <v>21</v>
      </c>
      <c r="F6297" s="128" t="s">
        <v>24</v>
      </c>
      <c r="G6297" s="128" t="str">
        <f>VLOOKUP(source[[#This Row],[lending_product_transform]],[3]Mapping!$B$4:$C$37,2,0)</f>
        <v>[Cake] - Cashloan</v>
      </c>
      <c r="H6297" s="128" t="str">
        <f>VLOOKUP(source[[#This Row],[lending_product_transform]],[3]Mapping!$B$3:$D$37,3,0)</f>
        <v>cashloan</v>
      </c>
      <c r="I6297" s="135">
        <v>376853725</v>
      </c>
    </row>
    <row r="6298" spans="1:9" x14ac:dyDescent="0.2">
      <c r="A6298" s="134">
        <v>45768</v>
      </c>
      <c r="B6298" s="135">
        <f>YEAR(source[[#This Row],[report_date]])</f>
        <v>2025</v>
      </c>
      <c r="C6298" s="128">
        <f t="shared" si="292"/>
        <v>4</v>
      </c>
      <c r="D6298" s="136">
        <f t="shared" si="294"/>
        <v>17</v>
      </c>
      <c r="E6298" s="136">
        <f t="shared" si="293"/>
        <v>21</v>
      </c>
      <c r="F6298" s="128" t="s">
        <v>24</v>
      </c>
      <c r="G6298" s="128" t="str">
        <f>VLOOKUP(source[[#This Row],[lending_product_transform]],[3]Mapping!$B$4:$C$37,2,0)</f>
        <v>[Cake] - Cashloan</v>
      </c>
      <c r="H6298" s="128" t="str">
        <f>VLOOKUP(source[[#This Row],[lending_product_transform]],[3]Mapping!$B$3:$D$37,3,0)</f>
        <v>cashloan</v>
      </c>
      <c r="I6298" s="135">
        <v>180261469</v>
      </c>
    </row>
    <row r="6299" spans="1:9" x14ac:dyDescent="0.2">
      <c r="A6299" s="134">
        <v>45768</v>
      </c>
      <c r="B6299" s="135">
        <f>YEAR(source[[#This Row],[report_date]])</f>
        <v>2025</v>
      </c>
      <c r="C6299" s="128">
        <f t="shared" si="292"/>
        <v>4</v>
      </c>
      <c r="D6299" s="136">
        <f t="shared" si="294"/>
        <v>17</v>
      </c>
      <c r="E6299" s="136">
        <f t="shared" si="293"/>
        <v>21</v>
      </c>
      <c r="F6299" s="128" t="s">
        <v>24</v>
      </c>
      <c r="G6299" s="128" t="str">
        <f>VLOOKUP(source[[#This Row],[lending_product_transform]],[3]Mapping!$B$4:$C$37,2,0)</f>
        <v>[Cake] - Cashloan</v>
      </c>
      <c r="H6299" s="128" t="str">
        <f>VLOOKUP(source[[#This Row],[lending_product_transform]],[3]Mapping!$B$3:$D$37,3,0)</f>
        <v>cashloan</v>
      </c>
      <c r="I6299" s="135">
        <v>4325616000</v>
      </c>
    </row>
    <row r="6300" spans="1:9" x14ac:dyDescent="0.2">
      <c r="A6300" s="134">
        <v>45768</v>
      </c>
      <c r="B6300" s="135">
        <f>YEAR(source[[#This Row],[report_date]])</f>
        <v>2025</v>
      </c>
      <c r="C6300" s="128">
        <f t="shared" si="292"/>
        <v>4</v>
      </c>
      <c r="D6300" s="136">
        <f t="shared" si="294"/>
        <v>17</v>
      </c>
      <c r="E6300" s="136">
        <f t="shared" si="293"/>
        <v>21</v>
      </c>
      <c r="F6300" s="128" t="s">
        <v>24</v>
      </c>
      <c r="G6300" s="128" t="str">
        <f>VLOOKUP(source[[#This Row],[lending_product_transform]],[3]Mapping!$B$4:$C$37,2,0)</f>
        <v>[Cake] - Cashloan</v>
      </c>
      <c r="H6300" s="128" t="str">
        <f>VLOOKUP(source[[#This Row],[lending_product_transform]],[3]Mapping!$B$3:$D$37,3,0)</f>
        <v>cashloan</v>
      </c>
      <c r="I6300" s="135">
        <v>6079630000</v>
      </c>
    </row>
    <row r="6301" spans="1:9" x14ac:dyDescent="0.2">
      <c r="A6301" s="134">
        <v>45769</v>
      </c>
      <c r="B6301" s="135">
        <f>YEAR(source[[#This Row],[report_date]])</f>
        <v>2025</v>
      </c>
      <c r="C6301" s="128">
        <f t="shared" si="292"/>
        <v>4</v>
      </c>
      <c r="D6301" s="136">
        <f t="shared" si="294"/>
        <v>17</v>
      </c>
      <c r="E6301" s="136">
        <f t="shared" si="293"/>
        <v>22</v>
      </c>
      <c r="F6301" s="128" t="s">
        <v>24</v>
      </c>
      <c r="G6301" s="128" t="str">
        <f>VLOOKUP(source[[#This Row],[lending_product_transform]],[3]Mapping!$B$4:$C$37,2,0)</f>
        <v>[Cake] - Cashloan</v>
      </c>
      <c r="H6301" s="128" t="str">
        <f>VLOOKUP(source[[#This Row],[lending_product_transform]],[3]Mapping!$B$3:$D$37,3,0)</f>
        <v>cashloan</v>
      </c>
      <c r="I6301" s="135">
        <v>9694260000</v>
      </c>
    </row>
    <row r="6302" spans="1:9" x14ac:dyDescent="0.2">
      <c r="A6302" s="134">
        <v>45769</v>
      </c>
      <c r="B6302" s="135">
        <f>YEAR(source[[#This Row],[report_date]])</f>
        <v>2025</v>
      </c>
      <c r="C6302" s="128">
        <f t="shared" si="292"/>
        <v>4</v>
      </c>
      <c r="D6302" s="136">
        <f t="shared" si="294"/>
        <v>17</v>
      </c>
      <c r="E6302" s="136">
        <f t="shared" si="293"/>
        <v>22</v>
      </c>
      <c r="F6302" s="128" t="s">
        <v>24</v>
      </c>
      <c r="G6302" s="128" t="str">
        <f>VLOOKUP(source[[#This Row],[lending_product_transform]],[3]Mapping!$B$4:$C$37,2,0)</f>
        <v>[Cake] - Cashloan</v>
      </c>
      <c r="H6302" s="128" t="str">
        <f>VLOOKUP(source[[#This Row],[lending_product_transform]],[3]Mapping!$B$3:$D$37,3,0)</f>
        <v>cashloan</v>
      </c>
      <c r="I6302" s="135">
        <v>355076165</v>
      </c>
    </row>
    <row r="6303" spans="1:9" x14ac:dyDescent="0.2">
      <c r="A6303" s="134">
        <v>45769</v>
      </c>
      <c r="B6303" s="135">
        <f>YEAR(source[[#This Row],[report_date]])</f>
        <v>2025</v>
      </c>
      <c r="C6303" s="128">
        <f t="shared" si="292"/>
        <v>4</v>
      </c>
      <c r="D6303" s="136">
        <f t="shared" si="294"/>
        <v>17</v>
      </c>
      <c r="E6303" s="136">
        <f t="shared" si="293"/>
        <v>22</v>
      </c>
      <c r="F6303" s="128" t="s">
        <v>24</v>
      </c>
      <c r="G6303" s="128" t="str">
        <f>VLOOKUP(source[[#This Row],[lending_product_transform]],[3]Mapping!$B$4:$C$37,2,0)</f>
        <v>[Cake] - Cashloan</v>
      </c>
      <c r="H6303" s="128" t="str">
        <f>VLOOKUP(source[[#This Row],[lending_product_transform]],[3]Mapping!$B$3:$D$37,3,0)</f>
        <v>cashloan</v>
      </c>
      <c r="I6303" s="135">
        <v>182515360</v>
      </c>
    </row>
    <row r="6304" spans="1:9" x14ac:dyDescent="0.2">
      <c r="A6304" s="134">
        <v>45769</v>
      </c>
      <c r="B6304" s="135">
        <f>YEAR(source[[#This Row],[report_date]])</f>
        <v>2025</v>
      </c>
      <c r="C6304" s="128">
        <f t="shared" si="292"/>
        <v>4</v>
      </c>
      <c r="D6304" s="136">
        <f t="shared" si="294"/>
        <v>17</v>
      </c>
      <c r="E6304" s="136">
        <f t="shared" si="293"/>
        <v>22</v>
      </c>
      <c r="F6304" s="128" t="s">
        <v>24</v>
      </c>
      <c r="G6304" s="128" t="str">
        <f>VLOOKUP(source[[#This Row],[lending_product_transform]],[3]Mapping!$B$4:$C$37,2,0)</f>
        <v>[Cake] - Cashloan</v>
      </c>
      <c r="H6304" s="128" t="str">
        <f>VLOOKUP(source[[#This Row],[lending_product_transform]],[3]Mapping!$B$3:$D$37,3,0)</f>
        <v>cashloan</v>
      </c>
      <c r="I6304" s="135">
        <v>8698170000</v>
      </c>
    </row>
    <row r="6305" spans="1:9" x14ac:dyDescent="0.2">
      <c r="A6305" s="134">
        <v>45769</v>
      </c>
      <c r="B6305" s="135">
        <f>YEAR(source[[#This Row],[report_date]])</f>
        <v>2025</v>
      </c>
      <c r="C6305" s="128">
        <f t="shared" si="292"/>
        <v>4</v>
      </c>
      <c r="D6305" s="136">
        <f t="shared" si="294"/>
        <v>17</v>
      </c>
      <c r="E6305" s="136">
        <f t="shared" si="293"/>
        <v>22</v>
      </c>
      <c r="F6305" s="128" t="s">
        <v>24</v>
      </c>
      <c r="G6305" s="128" t="str">
        <f>VLOOKUP(source[[#This Row],[lending_product_transform]],[3]Mapping!$B$4:$C$37,2,0)</f>
        <v>[Cake] - Cashloan</v>
      </c>
      <c r="H6305" s="128" t="str">
        <f>VLOOKUP(source[[#This Row],[lending_product_transform]],[3]Mapping!$B$3:$D$37,3,0)</f>
        <v>cashloan</v>
      </c>
      <c r="I6305" s="135">
        <v>342224981</v>
      </c>
    </row>
    <row r="6306" spans="1:9" x14ac:dyDescent="0.2">
      <c r="A6306" s="134">
        <v>45769</v>
      </c>
      <c r="B6306" s="135">
        <f>YEAR(source[[#This Row],[report_date]])</f>
        <v>2025</v>
      </c>
      <c r="C6306" s="128">
        <f t="shared" si="292"/>
        <v>4</v>
      </c>
      <c r="D6306" s="136">
        <f t="shared" si="294"/>
        <v>17</v>
      </c>
      <c r="E6306" s="136">
        <f t="shared" si="293"/>
        <v>22</v>
      </c>
      <c r="F6306" s="128" t="s">
        <v>24</v>
      </c>
      <c r="G6306" s="128" t="str">
        <f>VLOOKUP(source[[#This Row],[lending_product_transform]],[3]Mapping!$B$4:$C$37,2,0)</f>
        <v>[Cake] - Cashloan</v>
      </c>
      <c r="H6306" s="128" t="str">
        <f>VLOOKUP(source[[#This Row],[lending_product_transform]],[3]Mapping!$B$3:$D$37,3,0)</f>
        <v>cashloan</v>
      </c>
      <c r="I6306" s="135">
        <v>3124008000</v>
      </c>
    </row>
    <row r="6307" spans="1:9" x14ac:dyDescent="0.2">
      <c r="A6307" s="134">
        <v>45769</v>
      </c>
      <c r="B6307" s="135">
        <f>YEAR(source[[#This Row],[report_date]])</f>
        <v>2025</v>
      </c>
      <c r="C6307" s="128">
        <f t="shared" si="292"/>
        <v>4</v>
      </c>
      <c r="D6307" s="136">
        <f t="shared" si="294"/>
        <v>17</v>
      </c>
      <c r="E6307" s="136">
        <f t="shared" si="293"/>
        <v>22</v>
      </c>
      <c r="F6307" s="128" t="s">
        <v>24</v>
      </c>
      <c r="G6307" s="128" t="str">
        <f>VLOOKUP(source[[#This Row],[lending_product_transform]],[3]Mapping!$B$4:$C$37,2,0)</f>
        <v>[Cake] - Cashloan</v>
      </c>
      <c r="H6307" s="128" t="str">
        <f>VLOOKUP(source[[#This Row],[lending_product_transform]],[3]Mapping!$B$3:$D$37,3,0)</f>
        <v>cashloan</v>
      </c>
      <c r="I6307" s="135">
        <v>805410000</v>
      </c>
    </row>
    <row r="6308" spans="1:9" x14ac:dyDescent="0.2">
      <c r="A6308" s="134">
        <v>45769</v>
      </c>
      <c r="B6308" s="135">
        <f>YEAR(source[[#This Row],[report_date]])</f>
        <v>2025</v>
      </c>
      <c r="C6308" s="128">
        <f t="shared" si="292"/>
        <v>4</v>
      </c>
      <c r="D6308" s="136">
        <f t="shared" si="294"/>
        <v>17</v>
      </c>
      <c r="E6308" s="136">
        <f t="shared" si="293"/>
        <v>22</v>
      </c>
      <c r="F6308" s="128" t="s">
        <v>24</v>
      </c>
      <c r="G6308" s="128" t="str">
        <f>VLOOKUP(source[[#This Row],[lending_product_transform]],[3]Mapping!$B$4:$C$37,2,0)</f>
        <v>[Cake] - Cashloan</v>
      </c>
      <c r="H6308" s="128" t="str">
        <f>VLOOKUP(source[[#This Row],[lending_product_transform]],[3]Mapping!$B$3:$D$37,3,0)</f>
        <v>cashloan</v>
      </c>
      <c r="I6308" s="135">
        <v>3723774971</v>
      </c>
    </row>
    <row r="6309" spans="1:9" x14ac:dyDescent="0.2">
      <c r="A6309" s="134">
        <v>45769</v>
      </c>
      <c r="B6309" s="135">
        <f>YEAR(source[[#This Row],[report_date]])</f>
        <v>2025</v>
      </c>
      <c r="C6309" s="128">
        <f t="shared" si="292"/>
        <v>4</v>
      </c>
      <c r="D6309" s="136">
        <f t="shared" si="294"/>
        <v>17</v>
      </c>
      <c r="E6309" s="136">
        <f t="shared" si="293"/>
        <v>22</v>
      </c>
      <c r="F6309" s="128" t="s">
        <v>24</v>
      </c>
      <c r="G6309" s="128" t="str">
        <f>VLOOKUP(source[[#This Row],[lending_product_transform]],[3]Mapping!$B$4:$C$37,2,0)</f>
        <v>[Cake] - Cashloan</v>
      </c>
      <c r="H6309" s="128" t="str">
        <f>VLOOKUP(source[[#This Row],[lending_product_transform]],[3]Mapping!$B$3:$D$37,3,0)</f>
        <v>cashloan</v>
      </c>
      <c r="I6309" s="135">
        <v>0</v>
      </c>
    </row>
    <row r="6310" spans="1:9" x14ac:dyDescent="0.2">
      <c r="A6310" s="134">
        <v>45769</v>
      </c>
      <c r="B6310" s="135">
        <f>YEAR(source[[#This Row],[report_date]])</f>
        <v>2025</v>
      </c>
      <c r="C6310" s="128">
        <f t="shared" si="292"/>
        <v>4</v>
      </c>
      <c r="D6310" s="136">
        <f t="shared" si="294"/>
        <v>17</v>
      </c>
      <c r="E6310" s="136">
        <f t="shared" si="293"/>
        <v>22</v>
      </c>
      <c r="F6310" s="128" t="s">
        <v>24</v>
      </c>
      <c r="G6310" s="128" t="str">
        <f>VLOOKUP(source[[#This Row],[lending_product_transform]],[3]Mapping!$B$4:$C$37,2,0)</f>
        <v>[Cake] - Cashloan</v>
      </c>
      <c r="H6310" s="128" t="str">
        <f>VLOOKUP(source[[#This Row],[lending_product_transform]],[3]Mapping!$B$3:$D$37,3,0)</f>
        <v>cashloan</v>
      </c>
      <c r="I6310" s="135">
        <v>0</v>
      </c>
    </row>
    <row r="6311" spans="1:9" x14ac:dyDescent="0.2">
      <c r="A6311" s="134">
        <v>45769</v>
      </c>
      <c r="B6311" s="135">
        <f>YEAR(source[[#This Row],[report_date]])</f>
        <v>2025</v>
      </c>
      <c r="C6311" s="128">
        <f t="shared" si="292"/>
        <v>4</v>
      </c>
      <c r="D6311" s="136">
        <f t="shared" si="294"/>
        <v>17</v>
      </c>
      <c r="E6311" s="136">
        <f t="shared" si="293"/>
        <v>22</v>
      </c>
      <c r="F6311" s="128" t="s">
        <v>24</v>
      </c>
      <c r="G6311" s="128" t="str">
        <f>VLOOKUP(source[[#This Row],[lending_product_transform]],[3]Mapping!$B$4:$C$37,2,0)</f>
        <v>[Cake] - Cashloan</v>
      </c>
      <c r="H6311" s="128" t="str">
        <f>VLOOKUP(source[[#This Row],[lending_product_transform]],[3]Mapping!$B$3:$D$37,3,0)</f>
        <v>cashloan</v>
      </c>
      <c r="I6311" s="135">
        <v>19326139</v>
      </c>
    </row>
    <row r="6312" spans="1:9" x14ac:dyDescent="0.2">
      <c r="A6312" s="134">
        <v>45769</v>
      </c>
      <c r="B6312" s="135">
        <f>YEAR(source[[#This Row],[report_date]])</f>
        <v>2025</v>
      </c>
      <c r="C6312" s="128">
        <f t="shared" si="292"/>
        <v>4</v>
      </c>
      <c r="D6312" s="136">
        <f t="shared" si="294"/>
        <v>17</v>
      </c>
      <c r="E6312" s="136">
        <f t="shared" si="293"/>
        <v>22</v>
      </c>
      <c r="F6312" s="128" t="s">
        <v>24</v>
      </c>
      <c r="G6312" s="128" t="str">
        <f>VLOOKUP(source[[#This Row],[lending_product_transform]],[3]Mapping!$B$4:$C$37,2,0)</f>
        <v>[Cake] - Cashloan</v>
      </c>
      <c r="H6312" s="128" t="str">
        <f>VLOOKUP(source[[#This Row],[lending_product_transform]],[3]Mapping!$B$3:$D$37,3,0)</f>
        <v>cashloan</v>
      </c>
      <c r="I6312" s="135">
        <v>44100000</v>
      </c>
    </row>
    <row r="6313" spans="1:9" x14ac:dyDescent="0.2">
      <c r="A6313" s="134">
        <v>45769</v>
      </c>
      <c r="B6313" s="135">
        <f>YEAR(source[[#This Row],[report_date]])</f>
        <v>2025</v>
      </c>
      <c r="C6313" s="128">
        <f t="shared" si="292"/>
        <v>4</v>
      </c>
      <c r="D6313" s="136">
        <f t="shared" si="294"/>
        <v>17</v>
      </c>
      <c r="E6313" s="136">
        <f t="shared" si="293"/>
        <v>22</v>
      </c>
      <c r="F6313" s="128" t="s">
        <v>24</v>
      </c>
      <c r="G6313" s="128" t="str">
        <f>VLOOKUP(source[[#This Row],[lending_product_transform]],[3]Mapping!$B$4:$C$37,2,0)</f>
        <v>[Cake] - Cashloan</v>
      </c>
      <c r="H6313" s="128" t="str">
        <f>VLOOKUP(source[[#This Row],[lending_product_transform]],[3]Mapping!$B$3:$D$37,3,0)</f>
        <v>cashloan</v>
      </c>
      <c r="I6313" s="135">
        <v>0</v>
      </c>
    </row>
    <row r="6314" spans="1:9" x14ac:dyDescent="0.2">
      <c r="A6314" s="134">
        <v>45769</v>
      </c>
      <c r="B6314" s="135">
        <f>YEAR(source[[#This Row],[report_date]])</f>
        <v>2025</v>
      </c>
      <c r="C6314" s="128">
        <f t="shared" si="292"/>
        <v>4</v>
      </c>
      <c r="D6314" s="136">
        <f t="shared" si="294"/>
        <v>17</v>
      </c>
      <c r="E6314" s="136">
        <f t="shared" si="293"/>
        <v>22</v>
      </c>
      <c r="F6314" s="128" t="s">
        <v>24</v>
      </c>
      <c r="G6314" s="128" t="str">
        <f>VLOOKUP(source[[#This Row],[lending_product_transform]],[3]Mapping!$B$4:$C$37,2,0)</f>
        <v>[Cake] - Cashloan</v>
      </c>
      <c r="H6314" s="128" t="str">
        <f>VLOOKUP(source[[#This Row],[lending_product_transform]],[3]Mapping!$B$3:$D$37,3,0)</f>
        <v>cashloan</v>
      </c>
      <c r="I6314" s="135">
        <v>0</v>
      </c>
    </row>
    <row r="6315" spans="1:9" x14ac:dyDescent="0.2">
      <c r="A6315" s="134">
        <v>45769</v>
      </c>
      <c r="B6315" s="135">
        <f>YEAR(source[[#This Row],[report_date]])</f>
        <v>2025</v>
      </c>
      <c r="C6315" s="128">
        <f t="shared" si="292"/>
        <v>4</v>
      </c>
      <c r="D6315" s="136">
        <f t="shared" si="294"/>
        <v>17</v>
      </c>
      <c r="E6315" s="136">
        <f t="shared" si="293"/>
        <v>22</v>
      </c>
      <c r="F6315" s="128" t="s">
        <v>24</v>
      </c>
      <c r="G6315" s="128" t="str">
        <f>VLOOKUP(source[[#This Row],[lending_product_transform]],[3]Mapping!$B$4:$C$37,2,0)</f>
        <v>[Cake] - Cashloan</v>
      </c>
      <c r="H6315" s="128" t="str">
        <f>VLOOKUP(source[[#This Row],[lending_product_transform]],[3]Mapping!$B$3:$D$37,3,0)</f>
        <v>cashloan</v>
      </c>
      <c r="I6315" s="135">
        <v>0</v>
      </c>
    </row>
    <row r="6316" spans="1:9" x14ac:dyDescent="0.2">
      <c r="A6316" s="134">
        <v>45769</v>
      </c>
      <c r="B6316" s="135">
        <f>YEAR(source[[#This Row],[report_date]])</f>
        <v>2025</v>
      </c>
      <c r="C6316" s="128">
        <f t="shared" si="292"/>
        <v>4</v>
      </c>
      <c r="D6316" s="136">
        <f t="shared" si="294"/>
        <v>17</v>
      </c>
      <c r="E6316" s="136">
        <f t="shared" si="293"/>
        <v>22</v>
      </c>
      <c r="F6316" s="128" t="s">
        <v>24</v>
      </c>
      <c r="G6316" s="128" t="str">
        <f>VLOOKUP(source[[#This Row],[lending_product_transform]],[3]Mapping!$B$4:$C$37,2,0)</f>
        <v>[Cake] - Cashloan</v>
      </c>
      <c r="H6316" s="128" t="str">
        <f>VLOOKUP(source[[#This Row],[lending_product_transform]],[3]Mapping!$B$3:$D$37,3,0)</f>
        <v>cashloan</v>
      </c>
      <c r="I6316" s="135">
        <v>39000000</v>
      </c>
    </row>
    <row r="6317" spans="1:9" x14ac:dyDescent="0.2">
      <c r="A6317" s="134">
        <v>45769</v>
      </c>
      <c r="B6317" s="135">
        <f>YEAR(source[[#This Row],[report_date]])</f>
        <v>2025</v>
      </c>
      <c r="C6317" s="128">
        <f t="shared" si="292"/>
        <v>4</v>
      </c>
      <c r="D6317" s="136">
        <f t="shared" si="294"/>
        <v>17</v>
      </c>
      <c r="E6317" s="136">
        <f t="shared" si="293"/>
        <v>22</v>
      </c>
      <c r="F6317" s="128" t="s">
        <v>24</v>
      </c>
      <c r="G6317" s="128" t="str">
        <f>VLOOKUP(source[[#This Row],[lending_product_transform]],[3]Mapping!$B$4:$C$37,2,0)</f>
        <v>[Cake] - Cashloan</v>
      </c>
      <c r="H6317" s="128" t="str">
        <f>VLOOKUP(source[[#This Row],[lending_product_transform]],[3]Mapping!$B$3:$D$37,3,0)</f>
        <v>cashloan</v>
      </c>
      <c r="I6317" s="135">
        <v>0</v>
      </c>
    </row>
    <row r="6318" spans="1:9" x14ac:dyDescent="0.2">
      <c r="A6318" s="134">
        <v>45769</v>
      </c>
      <c r="B6318" s="135">
        <f>YEAR(source[[#This Row],[report_date]])</f>
        <v>2025</v>
      </c>
      <c r="C6318" s="128">
        <f t="shared" si="292"/>
        <v>4</v>
      </c>
      <c r="D6318" s="136">
        <f t="shared" si="294"/>
        <v>17</v>
      </c>
      <c r="E6318" s="136">
        <f t="shared" si="293"/>
        <v>22</v>
      </c>
      <c r="F6318" s="128" t="s">
        <v>24</v>
      </c>
      <c r="G6318" s="128" t="str">
        <f>VLOOKUP(source[[#This Row],[lending_product_transform]],[3]Mapping!$B$4:$C$37,2,0)</f>
        <v>[Cake] - Cashloan</v>
      </c>
      <c r="H6318" s="128" t="str">
        <f>VLOOKUP(source[[#This Row],[lending_product_transform]],[3]Mapping!$B$3:$D$37,3,0)</f>
        <v>cashloan</v>
      </c>
      <c r="I6318" s="135">
        <v>0</v>
      </c>
    </row>
    <row r="6319" spans="1:9" x14ac:dyDescent="0.2">
      <c r="A6319" s="134">
        <v>45769</v>
      </c>
      <c r="B6319" s="135">
        <f>YEAR(source[[#This Row],[report_date]])</f>
        <v>2025</v>
      </c>
      <c r="C6319" s="128">
        <f t="shared" si="292"/>
        <v>4</v>
      </c>
      <c r="D6319" s="136">
        <f t="shared" si="294"/>
        <v>17</v>
      </c>
      <c r="E6319" s="136">
        <f t="shared" si="293"/>
        <v>22</v>
      </c>
      <c r="F6319" s="128" t="s">
        <v>24</v>
      </c>
      <c r="G6319" s="128" t="str">
        <f>VLOOKUP(source[[#This Row],[lending_product_transform]],[3]Mapping!$B$4:$C$37,2,0)</f>
        <v>[Cake] - Cashloan</v>
      </c>
      <c r="H6319" s="128" t="str">
        <f>VLOOKUP(source[[#This Row],[lending_product_transform]],[3]Mapping!$B$3:$D$37,3,0)</f>
        <v>cashloan</v>
      </c>
      <c r="I6319" s="135">
        <v>455520000</v>
      </c>
    </row>
    <row r="6320" spans="1:9" x14ac:dyDescent="0.2">
      <c r="A6320" s="134">
        <v>45770</v>
      </c>
      <c r="B6320" s="135">
        <f>YEAR(source[[#This Row],[report_date]])</f>
        <v>2025</v>
      </c>
      <c r="C6320" s="128">
        <f t="shared" si="292"/>
        <v>4</v>
      </c>
      <c r="D6320" s="136">
        <f t="shared" si="294"/>
        <v>17</v>
      </c>
      <c r="E6320" s="136">
        <f t="shared" si="293"/>
        <v>23</v>
      </c>
      <c r="F6320" s="128" t="s">
        <v>24</v>
      </c>
      <c r="G6320" s="128" t="str">
        <f>VLOOKUP(source[[#This Row],[lending_product_transform]],[3]Mapping!$B$4:$C$37,2,0)</f>
        <v>[Cake] - Cashloan</v>
      </c>
      <c r="H6320" s="128" t="str">
        <f>VLOOKUP(source[[#This Row],[lending_product_transform]],[3]Mapping!$B$3:$D$37,3,0)</f>
        <v>cashloan</v>
      </c>
      <c r="I6320" s="135">
        <v>8934100000</v>
      </c>
    </row>
    <row r="6321" spans="1:9" x14ac:dyDescent="0.2">
      <c r="A6321" s="134">
        <v>45770</v>
      </c>
      <c r="B6321" s="135">
        <f>YEAR(source[[#This Row],[report_date]])</f>
        <v>2025</v>
      </c>
      <c r="C6321" s="128">
        <f t="shared" si="292"/>
        <v>4</v>
      </c>
      <c r="D6321" s="136">
        <f t="shared" si="294"/>
        <v>17</v>
      </c>
      <c r="E6321" s="136">
        <f t="shared" si="293"/>
        <v>23</v>
      </c>
      <c r="F6321" s="128" t="s">
        <v>24</v>
      </c>
      <c r="G6321" s="128" t="str">
        <f>VLOOKUP(source[[#This Row],[lending_product_transform]],[3]Mapping!$B$4:$C$37,2,0)</f>
        <v>[Cake] - Cashloan</v>
      </c>
      <c r="H6321" s="128" t="str">
        <f>VLOOKUP(source[[#This Row],[lending_product_transform]],[3]Mapping!$B$3:$D$37,3,0)</f>
        <v>cashloan</v>
      </c>
      <c r="I6321" s="135">
        <v>3459400256</v>
      </c>
    </row>
    <row r="6322" spans="1:9" x14ac:dyDescent="0.2">
      <c r="A6322" s="134">
        <v>45770</v>
      </c>
      <c r="B6322" s="135">
        <f>YEAR(source[[#This Row],[report_date]])</f>
        <v>2025</v>
      </c>
      <c r="C6322" s="128">
        <f t="shared" si="292"/>
        <v>4</v>
      </c>
      <c r="D6322" s="136">
        <f t="shared" si="294"/>
        <v>17</v>
      </c>
      <c r="E6322" s="136">
        <f t="shared" si="293"/>
        <v>23</v>
      </c>
      <c r="F6322" s="128" t="s">
        <v>24</v>
      </c>
      <c r="G6322" s="128" t="str">
        <f>VLOOKUP(source[[#This Row],[lending_product_transform]],[3]Mapping!$B$4:$C$37,2,0)</f>
        <v>[Cake] - Cashloan</v>
      </c>
      <c r="H6322" s="128" t="str">
        <f>VLOOKUP(source[[#This Row],[lending_product_transform]],[3]Mapping!$B$3:$D$37,3,0)</f>
        <v>cashloan</v>
      </c>
      <c r="I6322" s="135">
        <v>8869710000</v>
      </c>
    </row>
    <row r="6323" spans="1:9" x14ac:dyDescent="0.2">
      <c r="A6323" s="134">
        <v>45770</v>
      </c>
      <c r="B6323" s="135">
        <f>YEAR(source[[#This Row],[report_date]])</f>
        <v>2025</v>
      </c>
      <c r="C6323" s="128">
        <f t="shared" si="292"/>
        <v>4</v>
      </c>
      <c r="D6323" s="136">
        <f t="shared" si="294"/>
        <v>17</v>
      </c>
      <c r="E6323" s="136">
        <f t="shared" si="293"/>
        <v>23</v>
      </c>
      <c r="F6323" s="128" t="s">
        <v>24</v>
      </c>
      <c r="G6323" s="128" t="str">
        <f>VLOOKUP(source[[#This Row],[lending_product_transform]],[3]Mapping!$B$4:$C$37,2,0)</f>
        <v>[Cake] - Cashloan</v>
      </c>
      <c r="H6323" s="128" t="str">
        <f>VLOOKUP(source[[#This Row],[lending_product_transform]],[3]Mapping!$B$3:$D$37,3,0)</f>
        <v>cashloan</v>
      </c>
      <c r="I6323" s="135">
        <v>5677236000</v>
      </c>
    </row>
    <row r="6324" spans="1:9" x14ac:dyDescent="0.2">
      <c r="A6324" s="134">
        <v>45770</v>
      </c>
      <c r="B6324" s="135">
        <f>YEAR(source[[#This Row],[report_date]])</f>
        <v>2025</v>
      </c>
      <c r="C6324" s="128">
        <f t="shared" si="292"/>
        <v>4</v>
      </c>
      <c r="D6324" s="136">
        <f t="shared" si="294"/>
        <v>17</v>
      </c>
      <c r="E6324" s="136">
        <f t="shared" si="293"/>
        <v>23</v>
      </c>
      <c r="F6324" s="128" t="s">
        <v>24</v>
      </c>
      <c r="G6324" s="128" t="str">
        <f>VLOOKUP(source[[#This Row],[lending_product_transform]],[3]Mapping!$B$4:$C$37,2,0)</f>
        <v>[Cake] - Cashloan</v>
      </c>
      <c r="H6324" s="128" t="str">
        <f>VLOOKUP(source[[#This Row],[lending_product_transform]],[3]Mapping!$B$3:$D$37,3,0)</f>
        <v>cashloan</v>
      </c>
      <c r="I6324" s="135">
        <v>25310120</v>
      </c>
    </row>
    <row r="6325" spans="1:9" x14ac:dyDescent="0.2">
      <c r="A6325" s="134">
        <v>45770</v>
      </c>
      <c r="B6325" s="135">
        <f>YEAR(source[[#This Row],[report_date]])</f>
        <v>2025</v>
      </c>
      <c r="C6325" s="128">
        <f t="shared" si="292"/>
        <v>4</v>
      </c>
      <c r="D6325" s="136">
        <f t="shared" si="294"/>
        <v>17</v>
      </c>
      <c r="E6325" s="136">
        <f t="shared" si="293"/>
        <v>23</v>
      </c>
      <c r="F6325" s="128" t="s">
        <v>24</v>
      </c>
      <c r="G6325" s="128" t="str">
        <f>VLOOKUP(source[[#This Row],[lending_product_transform]],[3]Mapping!$B$4:$C$37,2,0)</f>
        <v>[Cake] - Cashloan</v>
      </c>
      <c r="H6325" s="128" t="str">
        <f>VLOOKUP(source[[#This Row],[lending_product_transform]],[3]Mapping!$B$3:$D$37,3,0)</f>
        <v>cashloan</v>
      </c>
      <c r="I6325" s="135">
        <v>0</v>
      </c>
    </row>
    <row r="6326" spans="1:9" x14ac:dyDescent="0.2">
      <c r="A6326" s="134">
        <v>45770</v>
      </c>
      <c r="B6326" s="135">
        <f>YEAR(source[[#This Row],[report_date]])</f>
        <v>2025</v>
      </c>
      <c r="C6326" s="128">
        <f t="shared" ref="C6326:C6389" si="295">MONTH(A6326)</f>
        <v>4</v>
      </c>
      <c r="D6326" s="136">
        <f t="shared" si="294"/>
        <v>17</v>
      </c>
      <c r="E6326" s="136">
        <f t="shared" ref="E6326:E6389" si="296">DAY(A6326)</f>
        <v>23</v>
      </c>
      <c r="F6326" s="128" t="s">
        <v>24</v>
      </c>
      <c r="G6326" s="128" t="str">
        <f>VLOOKUP(source[[#This Row],[lending_product_transform]],[3]Mapping!$B$4:$C$37,2,0)</f>
        <v>[Cake] - Cashloan</v>
      </c>
      <c r="H6326" s="128" t="str">
        <f>VLOOKUP(source[[#This Row],[lending_product_transform]],[3]Mapping!$B$3:$D$37,3,0)</f>
        <v>cashloan</v>
      </c>
      <c r="I6326" s="135">
        <v>0</v>
      </c>
    </row>
    <row r="6327" spans="1:9" x14ac:dyDescent="0.2">
      <c r="A6327" s="134">
        <v>45770</v>
      </c>
      <c r="B6327" s="135">
        <f>YEAR(source[[#This Row],[report_date]])</f>
        <v>2025</v>
      </c>
      <c r="C6327" s="128">
        <f t="shared" si="295"/>
        <v>4</v>
      </c>
      <c r="D6327" s="136">
        <f t="shared" si="294"/>
        <v>17</v>
      </c>
      <c r="E6327" s="136">
        <f t="shared" si="296"/>
        <v>23</v>
      </c>
      <c r="F6327" s="128" t="s">
        <v>24</v>
      </c>
      <c r="G6327" s="128" t="str">
        <f>VLOOKUP(source[[#This Row],[lending_product_transform]],[3]Mapping!$B$4:$C$37,2,0)</f>
        <v>[Cake] - Cashloan</v>
      </c>
      <c r="H6327" s="128" t="str">
        <f>VLOOKUP(source[[#This Row],[lending_product_transform]],[3]Mapping!$B$3:$D$37,3,0)</f>
        <v>cashloan</v>
      </c>
      <c r="I6327" s="135">
        <v>288311316</v>
      </c>
    </row>
    <row r="6328" spans="1:9" x14ac:dyDescent="0.2">
      <c r="A6328" s="134">
        <v>45770</v>
      </c>
      <c r="B6328" s="135">
        <f>YEAR(source[[#This Row],[report_date]])</f>
        <v>2025</v>
      </c>
      <c r="C6328" s="128">
        <f t="shared" si="295"/>
        <v>4</v>
      </c>
      <c r="D6328" s="136">
        <f t="shared" si="294"/>
        <v>17</v>
      </c>
      <c r="E6328" s="136">
        <f t="shared" si="296"/>
        <v>23</v>
      </c>
      <c r="F6328" s="128" t="s">
        <v>24</v>
      </c>
      <c r="G6328" s="128" t="str">
        <f>VLOOKUP(source[[#This Row],[lending_product_transform]],[3]Mapping!$B$4:$C$37,2,0)</f>
        <v>[Cake] - Cashloan</v>
      </c>
      <c r="H6328" s="128" t="str">
        <f>VLOOKUP(source[[#This Row],[lending_product_transform]],[3]Mapping!$B$3:$D$37,3,0)</f>
        <v>cashloan</v>
      </c>
      <c r="I6328" s="135">
        <v>0</v>
      </c>
    </row>
    <row r="6329" spans="1:9" x14ac:dyDescent="0.2">
      <c r="A6329" s="134">
        <v>45770</v>
      </c>
      <c r="B6329" s="135">
        <f>YEAR(source[[#This Row],[report_date]])</f>
        <v>2025</v>
      </c>
      <c r="C6329" s="128">
        <f t="shared" si="295"/>
        <v>4</v>
      </c>
      <c r="D6329" s="136">
        <f t="shared" si="294"/>
        <v>17</v>
      </c>
      <c r="E6329" s="136">
        <f t="shared" si="296"/>
        <v>23</v>
      </c>
      <c r="F6329" s="128" t="s">
        <v>24</v>
      </c>
      <c r="G6329" s="128" t="str">
        <f>VLOOKUP(source[[#This Row],[lending_product_transform]],[3]Mapping!$B$4:$C$37,2,0)</f>
        <v>[Cake] - Cashloan</v>
      </c>
      <c r="H6329" s="128" t="str">
        <f>VLOOKUP(source[[#This Row],[lending_product_transform]],[3]Mapping!$B$3:$D$37,3,0)</f>
        <v>cashloan</v>
      </c>
      <c r="I6329" s="135">
        <v>0</v>
      </c>
    </row>
    <row r="6330" spans="1:9" x14ac:dyDescent="0.2">
      <c r="A6330" s="134">
        <v>45770</v>
      </c>
      <c r="B6330" s="135">
        <f>YEAR(source[[#This Row],[report_date]])</f>
        <v>2025</v>
      </c>
      <c r="C6330" s="128">
        <f t="shared" si="295"/>
        <v>4</v>
      </c>
      <c r="D6330" s="136">
        <f t="shared" si="294"/>
        <v>17</v>
      </c>
      <c r="E6330" s="136">
        <f t="shared" si="296"/>
        <v>23</v>
      </c>
      <c r="F6330" s="128" t="s">
        <v>24</v>
      </c>
      <c r="G6330" s="128" t="str">
        <f>VLOOKUP(source[[#This Row],[lending_product_transform]],[3]Mapping!$B$4:$C$37,2,0)</f>
        <v>[Cake] - Cashloan</v>
      </c>
      <c r="H6330" s="128" t="str">
        <f>VLOOKUP(source[[#This Row],[lending_product_transform]],[3]Mapping!$B$3:$D$37,3,0)</f>
        <v>cashloan</v>
      </c>
      <c r="I6330" s="135">
        <v>85050000</v>
      </c>
    </row>
    <row r="6331" spans="1:9" x14ac:dyDescent="0.2">
      <c r="A6331" s="134">
        <v>45770</v>
      </c>
      <c r="B6331" s="135">
        <f>YEAR(source[[#This Row],[report_date]])</f>
        <v>2025</v>
      </c>
      <c r="C6331" s="128">
        <f t="shared" si="295"/>
        <v>4</v>
      </c>
      <c r="D6331" s="136">
        <f t="shared" si="294"/>
        <v>17</v>
      </c>
      <c r="E6331" s="136">
        <f t="shared" si="296"/>
        <v>23</v>
      </c>
      <c r="F6331" s="128" t="s">
        <v>24</v>
      </c>
      <c r="G6331" s="128" t="str">
        <f>VLOOKUP(source[[#This Row],[lending_product_transform]],[3]Mapping!$B$4:$C$37,2,0)</f>
        <v>[Cake] - Cashloan</v>
      </c>
      <c r="H6331" s="128" t="str">
        <f>VLOOKUP(source[[#This Row],[lending_product_transform]],[3]Mapping!$B$3:$D$37,3,0)</f>
        <v>cashloan</v>
      </c>
      <c r="I6331" s="135">
        <v>56000000</v>
      </c>
    </row>
    <row r="6332" spans="1:9" x14ac:dyDescent="0.2">
      <c r="A6332" s="134">
        <v>45770</v>
      </c>
      <c r="B6332" s="135">
        <f>YEAR(source[[#This Row],[report_date]])</f>
        <v>2025</v>
      </c>
      <c r="C6332" s="128">
        <f t="shared" si="295"/>
        <v>4</v>
      </c>
      <c r="D6332" s="136">
        <f t="shared" si="294"/>
        <v>17</v>
      </c>
      <c r="E6332" s="136">
        <f t="shared" si="296"/>
        <v>23</v>
      </c>
      <c r="F6332" s="128" t="s">
        <v>24</v>
      </c>
      <c r="G6332" s="128" t="str">
        <f>VLOOKUP(source[[#This Row],[lending_product_transform]],[3]Mapping!$B$4:$C$37,2,0)</f>
        <v>[Cake] - Cashloan</v>
      </c>
      <c r="H6332" s="128" t="str">
        <f>VLOOKUP(source[[#This Row],[lending_product_transform]],[3]Mapping!$B$3:$D$37,3,0)</f>
        <v>cashloan</v>
      </c>
      <c r="I6332" s="135">
        <v>0</v>
      </c>
    </row>
    <row r="6333" spans="1:9" x14ac:dyDescent="0.2">
      <c r="A6333" s="134">
        <v>45770</v>
      </c>
      <c r="B6333" s="135">
        <f>YEAR(source[[#This Row],[report_date]])</f>
        <v>2025</v>
      </c>
      <c r="C6333" s="128">
        <f t="shared" si="295"/>
        <v>4</v>
      </c>
      <c r="D6333" s="136">
        <f t="shared" si="294"/>
        <v>17</v>
      </c>
      <c r="E6333" s="136">
        <f t="shared" si="296"/>
        <v>23</v>
      </c>
      <c r="F6333" s="128" t="s">
        <v>24</v>
      </c>
      <c r="G6333" s="128" t="str">
        <f>VLOOKUP(source[[#This Row],[lending_product_transform]],[3]Mapping!$B$4:$C$37,2,0)</f>
        <v>[Cake] - Cashloan</v>
      </c>
      <c r="H6333" s="128" t="str">
        <f>VLOOKUP(source[[#This Row],[lending_product_transform]],[3]Mapping!$B$3:$D$37,3,0)</f>
        <v>cashloan</v>
      </c>
      <c r="I6333" s="135">
        <v>0</v>
      </c>
    </row>
    <row r="6334" spans="1:9" x14ac:dyDescent="0.2">
      <c r="A6334" s="134">
        <v>45770</v>
      </c>
      <c r="B6334" s="135">
        <f>YEAR(source[[#This Row],[report_date]])</f>
        <v>2025</v>
      </c>
      <c r="C6334" s="128">
        <f t="shared" si="295"/>
        <v>4</v>
      </c>
      <c r="D6334" s="136">
        <f t="shared" si="294"/>
        <v>17</v>
      </c>
      <c r="E6334" s="136">
        <f t="shared" si="296"/>
        <v>23</v>
      </c>
      <c r="F6334" s="128" t="s">
        <v>24</v>
      </c>
      <c r="G6334" s="128" t="str">
        <f>VLOOKUP(source[[#This Row],[lending_product_transform]],[3]Mapping!$B$4:$C$37,2,0)</f>
        <v>[Cake] - Cashloan</v>
      </c>
      <c r="H6334" s="128" t="str">
        <f>VLOOKUP(source[[#This Row],[lending_product_transform]],[3]Mapping!$B$3:$D$37,3,0)</f>
        <v>cashloan</v>
      </c>
      <c r="I6334" s="135">
        <v>0</v>
      </c>
    </row>
    <row r="6335" spans="1:9" x14ac:dyDescent="0.2">
      <c r="A6335" s="134">
        <v>45770</v>
      </c>
      <c r="B6335" s="135">
        <f>YEAR(source[[#This Row],[report_date]])</f>
        <v>2025</v>
      </c>
      <c r="C6335" s="128">
        <f t="shared" si="295"/>
        <v>4</v>
      </c>
      <c r="D6335" s="136">
        <f t="shared" si="294"/>
        <v>17</v>
      </c>
      <c r="E6335" s="136">
        <f t="shared" si="296"/>
        <v>23</v>
      </c>
      <c r="F6335" s="128" t="s">
        <v>24</v>
      </c>
      <c r="G6335" s="128" t="str">
        <f>VLOOKUP(source[[#This Row],[lending_product_transform]],[3]Mapping!$B$4:$C$37,2,0)</f>
        <v>[Cake] - Cashloan</v>
      </c>
      <c r="H6335" s="128" t="str">
        <f>VLOOKUP(source[[#This Row],[lending_product_transform]],[3]Mapping!$B$3:$D$37,3,0)</f>
        <v>cashloan</v>
      </c>
      <c r="I6335" s="135">
        <v>460490000</v>
      </c>
    </row>
    <row r="6336" spans="1:9" x14ac:dyDescent="0.2">
      <c r="A6336" s="134">
        <v>45770</v>
      </c>
      <c r="B6336" s="135">
        <f>YEAR(source[[#This Row],[report_date]])</f>
        <v>2025</v>
      </c>
      <c r="C6336" s="128">
        <f t="shared" si="295"/>
        <v>4</v>
      </c>
      <c r="D6336" s="136">
        <f t="shared" si="294"/>
        <v>17</v>
      </c>
      <c r="E6336" s="136">
        <f t="shared" si="296"/>
        <v>23</v>
      </c>
      <c r="F6336" s="128" t="s">
        <v>24</v>
      </c>
      <c r="G6336" s="128" t="str">
        <f>VLOOKUP(source[[#This Row],[lending_product_transform]],[3]Mapping!$B$4:$C$37,2,0)</f>
        <v>[Cake] - Cashloan</v>
      </c>
      <c r="H6336" s="128" t="str">
        <f>VLOOKUP(source[[#This Row],[lending_product_transform]],[3]Mapping!$B$3:$D$37,3,0)</f>
        <v>cashloan</v>
      </c>
      <c r="I6336" s="135">
        <v>713020000</v>
      </c>
    </row>
    <row r="6337" spans="1:9" x14ac:dyDescent="0.2">
      <c r="A6337" s="134">
        <v>45770</v>
      </c>
      <c r="B6337" s="135">
        <f>YEAR(source[[#This Row],[report_date]])</f>
        <v>2025</v>
      </c>
      <c r="C6337" s="128">
        <f t="shared" si="295"/>
        <v>4</v>
      </c>
      <c r="D6337" s="136">
        <f t="shared" si="294"/>
        <v>17</v>
      </c>
      <c r="E6337" s="136">
        <f t="shared" si="296"/>
        <v>23</v>
      </c>
      <c r="F6337" s="128" t="s">
        <v>24</v>
      </c>
      <c r="G6337" s="128" t="str">
        <f>VLOOKUP(source[[#This Row],[lending_product_transform]],[3]Mapping!$B$4:$C$37,2,0)</f>
        <v>[Cake] - Cashloan</v>
      </c>
      <c r="H6337" s="128" t="str">
        <f>VLOOKUP(source[[#This Row],[lending_product_transform]],[3]Mapping!$B$3:$D$37,3,0)</f>
        <v>cashloan</v>
      </c>
      <c r="I6337" s="135">
        <v>311728454</v>
      </c>
    </row>
    <row r="6338" spans="1:9" x14ac:dyDescent="0.2">
      <c r="A6338" s="134">
        <v>45770</v>
      </c>
      <c r="B6338" s="135">
        <f>YEAR(source[[#This Row],[report_date]])</f>
        <v>2025</v>
      </c>
      <c r="C6338" s="128">
        <f t="shared" si="295"/>
        <v>4</v>
      </c>
      <c r="D6338" s="136">
        <f t="shared" si="294"/>
        <v>17</v>
      </c>
      <c r="E6338" s="136">
        <f t="shared" si="296"/>
        <v>23</v>
      </c>
      <c r="F6338" s="128" t="s">
        <v>24</v>
      </c>
      <c r="G6338" s="128" t="str">
        <f>VLOOKUP(source[[#This Row],[lending_product_transform]],[3]Mapping!$B$4:$C$37,2,0)</f>
        <v>[Cake] - Cashloan</v>
      </c>
      <c r="H6338" s="128" t="str">
        <f>VLOOKUP(source[[#This Row],[lending_product_transform]],[3]Mapping!$B$3:$D$37,3,0)</f>
        <v>cashloan</v>
      </c>
      <c r="I6338" s="135">
        <v>177868183</v>
      </c>
    </row>
    <row r="6339" spans="1:9" x14ac:dyDescent="0.2">
      <c r="A6339" s="134">
        <v>45771</v>
      </c>
      <c r="B6339" s="135">
        <f>YEAR(source[[#This Row],[report_date]])</f>
        <v>2025</v>
      </c>
      <c r="C6339" s="128">
        <f t="shared" si="295"/>
        <v>4</v>
      </c>
      <c r="D6339" s="136">
        <f t="shared" ref="D6339:D6402" si="297">WEEKNUM(A6339,2)</f>
        <v>17</v>
      </c>
      <c r="E6339" s="136">
        <f t="shared" si="296"/>
        <v>24</v>
      </c>
      <c r="F6339" s="128" t="s">
        <v>24</v>
      </c>
      <c r="G6339" s="128" t="str">
        <f>VLOOKUP(source[[#This Row],[lending_product_transform]],[3]Mapping!$B$4:$C$37,2,0)</f>
        <v>[Cake] - Cashloan</v>
      </c>
      <c r="H6339" s="128" t="str">
        <f>VLOOKUP(source[[#This Row],[lending_product_transform]],[3]Mapping!$B$3:$D$37,3,0)</f>
        <v>cashloan</v>
      </c>
      <c r="I6339" s="135">
        <v>249700165</v>
      </c>
    </row>
    <row r="6340" spans="1:9" x14ac:dyDescent="0.2">
      <c r="A6340" s="134">
        <v>45771</v>
      </c>
      <c r="B6340" s="135">
        <f>YEAR(source[[#This Row],[report_date]])</f>
        <v>2025</v>
      </c>
      <c r="C6340" s="128">
        <f t="shared" si="295"/>
        <v>4</v>
      </c>
      <c r="D6340" s="136">
        <f t="shared" si="297"/>
        <v>17</v>
      </c>
      <c r="E6340" s="136">
        <f t="shared" si="296"/>
        <v>24</v>
      </c>
      <c r="F6340" s="128" t="s">
        <v>24</v>
      </c>
      <c r="G6340" s="128" t="str">
        <f>VLOOKUP(source[[#This Row],[lending_product_transform]],[3]Mapping!$B$4:$C$37,2,0)</f>
        <v>[Cake] - Cashloan</v>
      </c>
      <c r="H6340" s="128" t="str">
        <f>VLOOKUP(source[[#This Row],[lending_product_transform]],[3]Mapping!$B$3:$D$37,3,0)</f>
        <v>cashloan</v>
      </c>
      <c r="I6340" s="135">
        <v>8305750000</v>
      </c>
    </row>
    <row r="6341" spans="1:9" x14ac:dyDescent="0.2">
      <c r="A6341" s="134">
        <v>45771</v>
      </c>
      <c r="B6341" s="135">
        <f>YEAR(source[[#This Row],[report_date]])</f>
        <v>2025</v>
      </c>
      <c r="C6341" s="128">
        <f t="shared" si="295"/>
        <v>4</v>
      </c>
      <c r="D6341" s="136">
        <f t="shared" si="297"/>
        <v>17</v>
      </c>
      <c r="E6341" s="136">
        <f t="shared" si="296"/>
        <v>24</v>
      </c>
      <c r="F6341" s="128" t="s">
        <v>24</v>
      </c>
      <c r="G6341" s="128" t="str">
        <f>VLOOKUP(source[[#This Row],[lending_product_transform]],[3]Mapping!$B$4:$C$37,2,0)</f>
        <v>[Cake] - Cashloan</v>
      </c>
      <c r="H6341" s="128" t="str">
        <f>VLOOKUP(source[[#This Row],[lending_product_transform]],[3]Mapping!$B$3:$D$37,3,0)</f>
        <v>cashloan</v>
      </c>
      <c r="I6341" s="135">
        <v>3520308023</v>
      </c>
    </row>
    <row r="6342" spans="1:9" x14ac:dyDescent="0.2">
      <c r="A6342" s="134">
        <v>45771</v>
      </c>
      <c r="B6342" s="135">
        <f>YEAR(source[[#This Row],[report_date]])</f>
        <v>2025</v>
      </c>
      <c r="C6342" s="128">
        <f t="shared" si="295"/>
        <v>4</v>
      </c>
      <c r="D6342" s="136">
        <f t="shared" si="297"/>
        <v>17</v>
      </c>
      <c r="E6342" s="136">
        <f t="shared" si="296"/>
        <v>24</v>
      </c>
      <c r="F6342" s="128" t="s">
        <v>24</v>
      </c>
      <c r="G6342" s="128" t="str">
        <f>VLOOKUP(source[[#This Row],[lending_product_transform]],[3]Mapping!$B$4:$C$37,2,0)</f>
        <v>[Cake] - Cashloan</v>
      </c>
      <c r="H6342" s="128" t="str">
        <f>VLOOKUP(source[[#This Row],[lending_product_transform]],[3]Mapping!$B$3:$D$37,3,0)</f>
        <v>cashloan</v>
      </c>
      <c r="I6342" s="135">
        <v>4793472000</v>
      </c>
    </row>
    <row r="6343" spans="1:9" x14ac:dyDescent="0.2">
      <c r="A6343" s="134">
        <v>45771</v>
      </c>
      <c r="B6343" s="135">
        <f>YEAR(source[[#This Row],[report_date]])</f>
        <v>2025</v>
      </c>
      <c r="C6343" s="128">
        <f t="shared" si="295"/>
        <v>4</v>
      </c>
      <c r="D6343" s="136">
        <f t="shared" si="297"/>
        <v>17</v>
      </c>
      <c r="E6343" s="136">
        <f t="shared" si="296"/>
        <v>24</v>
      </c>
      <c r="F6343" s="128" t="s">
        <v>24</v>
      </c>
      <c r="G6343" s="128" t="str">
        <f>VLOOKUP(source[[#This Row],[lending_product_transform]],[3]Mapping!$B$4:$C$37,2,0)</f>
        <v>[Cake] - Cashloan</v>
      </c>
      <c r="H6343" s="128" t="str">
        <f>VLOOKUP(source[[#This Row],[lending_product_transform]],[3]Mapping!$B$3:$D$37,3,0)</f>
        <v>cashloan</v>
      </c>
      <c r="I6343" s="135">
        <v>19000000</v>
      </c>
    </row>
    <row r="6344" spans="1:9" x14ac:dyDescent="0.2">
      <c r="A6344" s="134">
        <v>45771</v>
      </c>
      <c r="B6344" s="135">
        <f>YEAR(source[[#This Row],[report_date]])</f>
        <v>2025</v>
      </c>
      <c r="C6344" s="128">
        <f t="shared" si="295"/>
        <v>4</v>
      </c>
      <c r="D6344" s="136">
        <f t="shared" si="297"/>
        <v>17</v>
      </c>
      <c r="E6344" s="136">
        <f t="shared" si="296"/>
        <v>24</v>
      </c>
      <c r="F6344" s="128" t="s">
        <v>24</v>
      </c>
      <c r="G6344" s="128" t="str">
        <f>VLOOKUP(source[[#This Row],[lending_product_transform]],[3]Mapping!$B$4:$C$37,2,0)</f>
        <v>[Cake] - Cashloan</v>
      </c>
      <c r="H6344" s="128" t="str">
        <f>VLOOKUP(source[[#This Row],[lending_product_transform]],[3]Mapping!$B$3:$D$37,3,0)</f>
        <v>cashloan</v>
      </c>
      <c r="I6344" s="135">
        <v>283267737</v>
      </c>
    </row>
    <row r="6345" spans="1:9" x14ac:dyDescent="0.2">
      <c r="A6345" s="134">
        <v>45771</v>
      </c>
      <c r="B6345" s="135">
        <f>YEAR(source[[#This Row],[report_date]])</f>
        <v>2025</v>
      </c>
      <c r="C6345" s="128">
        <f t="shared" si="295"/>
        <v>4</v>
      </c>
      <c r="D6345" s="136">
        <f t="shared" si="297"/>
        <v>17</v>
      </c>
      <c r="E6345" s="136">
        <f t="shared" si="296"/>
        <v>24</v>
      </c>
      <c r="F6345" s="128" t="s">
        <v>24</v>
      </c>
      <c r="G6345" s="128" t="str">
        <f>VLOOKUP(source[[#This Row],[lending_product_transform]],[3]Mapping!$B$4:$C$37,2,0)</f>
        <v>[Cake] - Cashloan</v>
      </c>
      <c r="H6345" s="128" t="str">
        <f>VLOOKUP(source[[#This Row],[lending_product_transform]],[3]Mapping!$B$3:$D$37,3,0)</f>
        <v>cashloan</v>
      </c>
      <c r="I6345" s="135">
        <v>8944960000</v>
      </c>
    </row>
    <row r="6346" spans="1:9" x14ac:dyDescent="0.2">
      <c r="A6346" s="134">
        <v>45771</v>
      </c>
      <c r="B6346" s="135">
        <f>YEAR(source[[#This Row],[report_date]])</f>
        <v>2025</v>
      </c>
      <c r="C6346" s="128">
        <f t="shared" si="295"/>
        <v>4</v>
      </c>
      <c r="D6346" s="136">
        <f t="shared" si="297"/>
        <v>17</v>
      </c>
      <c r="E6346" s="136">
        <f t="shared" si="296"/>
        <v>24</v>
      </c>
      <c r="F6346" s="128" t="s">
        <v>24</v>
      </c>
      <c r="G6346" s="128" t="str">
        <f>VLOOKUP(source[[#This Row],[lending_product_transform]],[3]Mapping!$B$4:$C$37,2,0)</f>
        <v>[Cake] - Cashloan</v>
      </c>
      <c r="H6346" s="128" t="str">
        <f>VLOOKUP(source[[#This Row],[lending_product_transform]],[3]Mapping!$B$3:$D$37,3,0)</f>
        <v>cashloan</v>
      </c>
      <c r="I6346" s="135">
        <v>0</v>
      </c>
    </row>
    <row r="6347" spans="1:9" x14ac:dyDescent="0.2">
      <c r="A6347" s="134">
        <v>45771</v>
      </c>
      <c r="B6347" s="135">
        <f>YEAR(source[[#This Row],[report_date]])</f>
        <v>2025</v>
      </c>
      <c r="C6347" s="128">
        <f t="shared" si="295"/>
        <v>4</v>
      </c>
      <c r="D6347" s="136">
        <f t="shared" si="297"/>
        <v>17</v>
      </c>
      <c r="E6347" s="136">
        <f t="shared" si="296"/>
        <v>24</v>
      </c>
      <c r="F6347" s="128" t="s">
        <v>24</v>
      </c>
      <c r="G6347" s="128" t="str">
        <f>VLOOKUP(source[[#This Row],[lending_product_transform]],[3]Mapping!$B$4:$C$37,2,0)</f>
        <v>[Cake] - Cashloan</v>
      </c>
      <c r="H6347" s="128" t="str">
        <f>VLOOKUP(source[[#This Row],[lending_product_transform]],[3]Mapping!$B$3:$D$37,3,0)</f>
        <v>cashloan</v>
      </c>
      <c r="I6347" s="135">
        <v>0</v>
      </c>
    </row>
    <row r="6348" spans="1:9" x14ac:dyDescent="0.2">
      <c r="A6348" s="134">
        <v>45771</v>
      </c>
      <c r="B6348" s="135">
        <f>YEAR(source[[#This Row],[report_date]])</f>
        <v>2025</v>
      </c>
      <c r="C6348" s="128">
        <f t="shared" si="295"/>
        <v>4</v>
      </c>
      <c r="D6348" s="136">
        <f t="shared" si="297"/>
        <v>17</v>
      </c>
      <c r="E6348" s="136">
        <f t="shared" si="296"/>
        <v>24</v>
      </c>
      <c r="F6348" s="128" t="s">
        <v>24</v>
      </c>
      <c r="G6348" s="128" t="str">
        <f>VLOOKUP(source[[#This Row],[lending_product_transform]],[3]Mapping!$B$4:$C$37,2,0)</f>
        <v>[Cake] - Cashloan</v>
      </c>
      <c r="H6348" s="128" t="str">
        <f>VLOOKUP(source[[#This Row],[lending_product_transform]],[3]Mapping!$B$3:$D$37,3,0)</f>
        <v>cashloan</v>
      </c>
      <c r="I6348" s="135">
        <v>27181470</v>
      </c>
    </row>
    <row r="6349" spans="1:9" x14ac:dyDescent="0.2">
      <c r="A6349" s="134">
        <v>45771</v>
      </c>
      <c r="B6349" s="135">
        <f>YEAR(source[[#This Row],[report_date]])</f>
        <v>2025</v>
      </c>
      <c r="C6349" s="128">
        <f t="shared" si="295"/>
        <v>4</v>
      </c>
      <c r="D6349" s="136">
        <f t="shared" si="297"/>
        <v>17</v>
      </c>
      <c r="E6349" s="136">
        <f t="shared" si="296"/>
        <v>24</v>
      </c>
      <c r="F6349" s="128" t="s">
        <v>24</v>
      </c>
      <c r="G6349" s="128" t="str">
        <f>VLOOKUP(source[[#This Row],[lending_product_transform]],[3]Mapping!$B$4:$C$37,2,0)</f>
        <v>[Cake] - Cashloan</v>
      </c>
      <c r="H6349" s="128" t="str">
        <f>VLOOKUP(source[[#This Row],[lending_product_transform]],[3]Mapping!$B$3:$D$37,3,0)</f>
        <v>cashloan</v>
      </c>
      <c r="I6349" s="135">
        <v>0</v>
      </c>
    </row>
    <row r="6350" spans="1:9" x14ac:dyDescent="0.2">
      <c r="A6350" s="134">
        <v>45771</v>
      </c>
      <c r="B6350" s="135">
        <f>YEAR(source[[#This Row],[report_date]])</f>
        <v>2025</v>
      </c>
      <c r="C6350" s="128">
        <f t="shared" si="295"/>
        <v>4</v>
      </c>
      <c r="D6350" s="136">
        <f t="shared" si="297"/>
        <v>17</v>
      </c>
      <c r="E6350" s="136">
        <f t="shared" si="296"/>
        <v>24</v>
      </c>
      <c r="F6350" s="128" t="s">
        <v>24</v>
      </c>
      <c r="G6350" s="128" t="str">
        <f>VLOOKUP(source[[#This Row],[lending_product_transform]],[3]Mapping!$B$4:$C$37,2,0)</f>
        <v>[Cake] - Cashloan</v>
      </c>
      <c r="H6350" s="128" t="str">
        <f>VLOOKUP(source[[#This Row],[lending_product_transform]],[3]Mapping!$B$3:$D$37,3,0)</f>
        <v>cashloan</v>
      </c>
      <c r="I6350" s="135">
        <v>0</v>
      </c>
    </row>
    <row r="6351" spans="1:9" x14ac:dyDescent="0.2">
      <c r="A6351" s="134">
        <v>45771</v>
      </c>
      <c r="B6351" s="135">
        <f>YEAR(source[[#This Row],[report_date]])</f>
        <v>2025</v>
      </c>
      <c r="C6351" s="128">
        <f t="shared" si="295"/>
        <v>4</v>
      </c>
      <c r="D6351" s="136">
        <f t="shared" si="297"/>
        <v>17</v>
      </c>
      <c r="E6351" s="136">
        <f t="shared" si="296"/>
        <v>24</v>
      </c>
      <c r="F6351" s="128" t="s">
        <v>24</v>
      </c>
      <c r="G6351" s="128" t="str">
        <f>VLOOKUP(source[[#This Row],[lending_product_transform]],[3]Mapping!$B$4:$C$37,2,0)</f>
        <v>[Cake] - Cashloan</v>
      </c>
      <c r="H6351" s="128" t="str">
        <f>VLOOKUP(source[[#This Row],[lending_product_transform]],[3]Mapping!$B$3:$D$37,3,0)</f>
        <v>cashloan</v>
      </c>
      <c r="I6351" s="135">
        <v>0</v>
      </c>
    </row>
    <row r="6352" spans="1:9" x14ac:dyDescent="0.2">
      <c r="A6352" s="134">
        <v>45771</v>
      </c>
      <c r="B6352" s="135">
        <f>YEAR(source[[#This Row],[report_date]])</f>
        <v>2025</v>
      </c>
      <c r="C6352" s="128">
        <f t="shared" si="295"/>
        <v>4</v>
      </c>
      <c r="D6352" s="136">
        <f t="shared" si="297"/>
        <v>17</v>
      </c>
      <c r="E6352" s="136">
        <f t="shared" si="296"/>
        <v>24</v>
      </c>
      <c r="F6352" s="128" t="s">
        <v>24</v>
      </c>
      <c r="G6352" s="128" t="str">
        <f>VLOOKUP(source[[#This Row],[lending_product_transform]],[3]Mapping!$B$4:$C$37,2,0)</f>
        <v>[Cake] - Cashloan</v>
      </c>
      <c r="H6352" s="128" t="str">
        <f>VLOOKUP(source[[#This Row],[lending_product_transform]],[3]Mapping!$B$3:$D$37,3,0)</f>
        <v>cashloan</v>
      </c>
      <c r="I6352" s="135">
        <v>11550000</v>
      </c>
    </row>
    <row r="6353" spans="1:9" x14ac:dyDescent="0.2">
      <c r="A6353" s="134">
        <v>45771</v>
      </c>
      <c r="B6353" s="135">
        <f>YEAR(source[[#This Row],[report_date]])</f>
        <v>2025</v>
      </c>
      <c r="C6353" s="128">
        <f t="shared" si="295"/>
        <v>4</v>
      </c>
      <c r="D6353" s="136">
        <f t="shared" si="297"/>
        <v>17</v>
      </c>
      <c r="E6353" s="136">
        <f t="shared" si="296"/>
        <v>24</v>
      </c>
      <c r="F6353" s="128" t="s">
        <v>24</v>
      </c>
      <c r="G6353" s="128" t="str">
        <f>VLOOKUP(source[[#This Row],[lending_product_transform]],[3]Mapping!$B$4:$C$37,2,0)</f>
        <v>[Cake] - Cashloan</v>
      </c>
      <c r="H6353" s="128" t="str">
        <f>VLOOKUP(source[[#This Row],[lending_product_transform]],[3]Mapping!$B$3:$D$37,3,0)</f>
        <v>cashloan</v>
      </c>
      <c r="I6353" s="135">
        <v>0</v>
      </c>
    </row>
    <row r="6354" spans="1:9" x14ac:dyDescent="0.2">
      <c r="A6354" s="134">
        <v>45771</v>
      </c>
      <c r="B6354" s="135">
        <f>YEAR(source[[#This Row],[report_date]])</f>
        <v>2025</v>
      </c>
      <c r="C6354" s="128">
        <f t="shared" si="295"/>
        <v>4</v>
      </c>
      <c r="D6354" s="136">
        <f t="shared" si="297"/>
        <v>17</v>
      </c>
      <c r="E6354" s="136">
        <f t="shared" si="296"/>
        <v>24</v>
      </c>
      <c r="F6354" s="128" t="s">
        <v>24</v>
      </c>
      <c r="G6354" s="128" t="str">
        <f>VLOOKUP(source[[#This Row],[lending_product_transform]],[3]Mapping!$B$4:$C$37,2,0)</f>
        <v>[Cake] - Cashloan</v>
      </c>
      <c r="H6354" s="128" t="str">
        <f>VLOOKUP(source[[#This Row],[lending_product_transform]],[3]Mapping!$B$3:$D$37,3,0)</f>
        <v>cashloan</v>
      </c>
      <c r="I6354" s="135">
        <v>508360000</v>
      </c>
    </row>
    <row r="6355" spans="1:9" x14ac:dyDescent="0.2">
      <c r="A6355" s="134">
        <v>45771</v>
      </c>
      <c r="B6355" s="135">
        <f>YEAR(source[[#This Row],[report_date]])</f>
        <v>2025</v>
      </c>
      <c r="C6355" s="128">
        <f t="shared" si="295"/>
        <v>4</v>
      </c>
      <c r="D6355" s="136">
        <f t="shared" si="297"/>
        <v>17</v>
      </c>
      <c r="E6355" s="136">
        <f t="shared" si="296"/>
        <v>24</v>
      </c>
      <c r="F6355" s="128" t="s">
        <v>24</v>
      </c>
      <c r="G6355" s="128" t="str">
        <f>VLOOKUP(source[[#This Row],[lending_product_transform]],[3]Mapping!$B$4:$C$37,2,0)</f>
        <v>[Cake] - Cashloan</v>
      </c>
      <c r="H6355" s="128" t="str">
        <f>VLOOKUP(source[[#This Row],[lending_product_transform]],[3]Mapping!$B$3:$D$37,3,0)</f>
        <v>cashloan</v>
      </c>
      <c r="I6355" s="135">
        <v>1057460000</v>
      </c>
    </row>
    <row r="6356" spans="1:9" x14ac:dyDescent="0.2">
      <c r="A6356" s="134">
        <v>45771</v>
      </c>
      <c r="B6356" s="135">
        <f>YEAR(source[[#This Row],[report_date]])</f>
        <v>2025</v>
      </c>
      <c r="C6356" s="128">
        <f t="shared" si="295"/>
        <v>4</v>
      </c>
      <c r="D6356" s="136">
        <f t="shared" si="297"/>
        <v>17</v>
      </c>
      <c r="E6356" s="136">
        <f t="shared" si="296"/>
        <v>24</v>
      </c>
      <c r="F6356" s="128" t="s">
        <v>24</v>
      </c>
      <c r="G6356" s="128" t="str">
        <f>VLOOKUP(source[[#This Row],[lending_product_transform]],[3]Mapping!$B$4:$C$37,2,0)</f>
        <v>[Cake] - Cashloan</v>
      </c>
      <c r="H6356" s="128" t="str">
        <f>VLOOKUP(source[[#This Row],[lending_product_transform]],[3]Mapping!$B$3:$D$37,3,0)</f>
        <v>cashloan</v>
      </c>
      <c r="I6356" s="135">
        <v>0</v>
      </c>
    </row>
    <row r="6357" spans="1:9" x14ac:dyDescent="0.2">
      <c r="A6357" s="134">
        <v>45771</v>
      </c>
      <c r="B6357" s="135">
        <f>YEAR(source[[#This Row],[report_date]])</f>
        <v>2025</v>
      </c>
      <c r="C6357" s="128">
        <f t="shared" si="295"/>
        <v>4</v>
      </c>
      <c r="D6357" s="136">
        <f t="shared" si="297"/>
        <v>17</v>
      </c>
      <c r="E6357" s="136">
        <f t="shared" si="296"/>
        <v>24</v>
      </c>
      <c r="F6357" s="128" t="s">
        <v>24</v>
      </c>
      <c r="G6357" s="128" t="str">
        <f>VLOOKUP(source[[#This Row],[lending_product_transform]],[3]Mapping!$B$4:$C$37,2,0)</f>
        <v>[Cake] - Cashloan</v>
      </c>
      <c r="H6357" s="128" t="str">
        <f>VLOOKUP(source[[#This Row],[lending_product_transform]],[3]Mapping!$B$3:$D$37,3,0)</f>
        <v>cashloan</v>
      </c>
      <c r="I6357" s="135">
        <v>187968833</v>
      </c>
    </row>
    <row r="6358" spans="1:9" x14ac:dyDescent="0.2">
      <c r="A6358" s="134">
        <v>45772</v>
      </c>
      <c r="B6358" s="135">
        <f>YEAR(source[[#This Row],[report_date]])</f>
        <v>2025</v>
      </c>
      <c r="C6358" s="128">
        <f t="shared" si="295"/>
        <v>4</v>
      </c>
      <c r="D6358" s="136">
        <f t="shared" si="297"/>
        <v>17</v>
      </c>
      <c r="E6358" s="136">
        <f t="shared" si="296"/>
        <v>25</v>
      </c>
      <c r="F6358" s="128" t="s">
        <v>24</v>
      </c>
      <c r="G6358" s="128" t="str">
        <f>VLOOKUP(source[[#This Row],[lending_product_transform]],[3]Mapping!$B$4:$C$37,2,0)</f>
        <v>[Cake] - Cashloan</v>
      </c>
      <c r="H6358" s="128" t="str">
        <f>VLOOKUP(source[[#This Row],[lending_product_transform]],[3]Mapping!$B$3:$D$37,3,0)</f>
        <v>cashloan</v>
      </c>
      <c r="I6358" s="135">
        <v>837740000</v>
      </c>
    </row>
    <row r="6359" spans="1:9" x14ac:dyDescent="0.2">
      <c r="A6359" s="134">
        <v>45772</v>
      </c>
      <c r="B6359" s="135">
        <f>YEAR(source[[#This Row],[report_date]])</f>
        <v>2025</v>
      </c>
      <c r="C6359" s="128">
        <f t="shared" si="295"/>
        <v>4</v>
      </c>
      <c r="D6359" s="136">
        <f t="shared" si="297"/>
        <v>17</v>
      </c>
      <c r="E6359" s="136">
        <f t="shared" si="296"/>
        <v>25</v>
      </c>
      <c r="F6359" s="128" t="s">
        <v>24</v>
      </c>
      <c r="G6359" s="128" t="str">
        <f>VLOOKUP(source[[#This Row],[lending_product_transform]],[3]Mapping!$B$4:$C$37,2,0)</f>
        <v>[Cake] - Cashloan</v>
      </c>
      <c r="H6359" s="128" t="str">
        <f>VLOOKUP(source[[#This Row],[lending_product_transform]],[3]Mapping!$B$3:$D$37,3,0)</f>
        <v>cashloan</v>
      </c>
      <c r="I6359" s="135">
        <v>53000000</v>
      </c>
    </row>
    <row r="6360" spans="1:9" x14ac:dyDescent="0.2">
      <c r="A6360" s="134">
        <v>45772</v>
      </c>
      <c r="B6360" s="135">
        <f>YEAR(source[[#This Row],[report_date]])</f>
        <v>2025</v>
      </c>
      <c r="C6360" s="128">
        <f t="shared" si="295"/>
        <v>4</v>
      </c>
      <c r="D6360" s="136">
        <f t="shared" si="297"/>
        <v>17</v>
      </c>
      <c r="E6360" s="136">
        <f t="shared" si="296"/>
        <v>25</v>
      </c>
      <c r="F6360" s="128" t="s">
        <v>24</v>
      </c>
      <c r="G6360" s="128" t="str">
        <f>VLOOKUP(source[[#This Row],[lending_product_transform]],[3]Mapping!$B$4:$C$37,2,0)</f>
        <v>[Cake] - Cashloan</v>
      </c>
      <c r="H6360" s="128" t="str">
        <f>VLOOKUP(source[[#This Row],[lending_product_transform]],[3]Mapping!$B$3:$D$37,3,0)</f>
        <v>cashloan</v>
      </c>
      <c r="I6360" s="135">
        <v>405160000</v>
      </c>
    </row>
    <row r="6361" spans="1:9" x14ac:dyDescent="0.2">
      <c r="A6361" s="134">
        <v>45772</v>
      </c>
      <c r="B6361" s="135">
        <f>YEAR(source[[#This Row],[report_date]])</f>
        <v>2025</v>
      </c>
      <c r="C6361" s="128">
        <f t="shared" si="295"/>
        <v>4</v>
      </c>
      <c r="D6361" s="136">
        <f t="shared" si="297"/>
        <v>17</v>
      </c>
      <c r="E6361" s="136">
        <f t="shared" si="296"/>
        <v>25</v>
      </c>
      <c r="F6361" s="128" t="s">
        <v>24</v>
      </c>
      <c r="G6361" s="128" t="str">
        <f>VLOOKUP(source[[#This Row],[lending_product_transform]],[3]Mapping!$B$4:$C$37,2,0)</f>
        <v>[Cake] - Cashloan</v>
      </c>
      <c r="H6361" s="128" t="str">
        <f>VLOOKUP(source[[#This Row],[lending_product_transform]],[3]Mapping!$B$3:$D$37,3,0)</f>
        <v>cashloan</v>
      </c>
      <c r="I6361" s="135">
        <v>0</v>
      </c>
    </row>
    <row r="6362" spans="1:9" x14ac:dyDescent="0.2">
      <c r="A6362" s="134">
        <v>45772</v>
      </c>
      <c r="B6362" s="135">
        <f>YEAR(source[[#This Row],[report_date]])</f>
        <v>2025</v>
      </c>
      <c r="C6362" s="128">
        <f t="shared" si="295"/>
        <v>4</v>
      </c>
      <c r="D6362" s="136">
        <f t="shared" si="297"/>
        <v>17</v>
      </c>
      <c r="E6362" s="136">
        <f t="shared" si="296"/>
        <v>25</v>
      </c>
      <c r="F6362" s="128" t="s">
        <v>24</v>
      </c>
      <c r="G6362" s="128" t="str">
        <f>VLOOKUP(source[[#This Row],[lending_product_transform]],[3]Mapping!$B$4:$C$37,2,0)</f>
        <v>[Cake] - Cashloan</v>
      </c>
      <c r="H6362" s="128" t="str">
        <f>VLOOKUP(source[[#This Row],[lending_product_transform]],[3]Mapping!$B$3:$D$37,3,0)</f>
        <v>cashloan</v>
      </c>
      <c r="I6362" s="135">
        <v>0</v>
      </c>
    </row>
    <row r="6363" spans="1:9" x14ac:dyDescent="0.2">
      <c r="A6363" s="134">
        <v>45772</v>
      </c>
      <c r="B6363" s="135">
        <f>YEAR(source[[#This Row],[report_date]])</f>
        <v>2025</v>
      </c>
      <c r="C6363" s="128">
        <f t="shared" si="295"/>
        <v>4</v>
      </c>
      <c r="D6363" s="136">
        <f t="shared" si="297"/>
        <v>17</v>
      </c>
      <c r="E6363" s="136">
        <f t="shared" si="296"/>
        <v>25</v>
      </c>
      <c r="F6363" s="128" t="s">
        <v>24</v>
      </c>
      <c r="G6363" s="128" t="str">
        <f>VLOOKUP(source[[#This Row],[lending_product_transform]],[3]Mapping!$B$4:$C$37,2,0)</f>
        <v>[Cake] - Cashloan</v>
      </c>
      <c r="H6363" s="128" t="str">
        <f>VLOOKUP(source[[#This Row],[lending_product_transform]],[3]Mapping!$B$3:$D$37,3,0)</f>
        <v>cashloan</v>
      </c>
      <c r="I6363" s="135">
        <v>291085782</v>
      </c>
    </row>
    <row r="6364" spans="1:9" x14ac:dyDescent="0.2">
      <c r="A6364" s="134">
        <v>45772</v>
      </c>
      <c r="B6364" s="135">
        <f>YEAR(source[[#This Row],[report_date]])</f>
        <v>2025</v>
      </c>
      <c r="C6364" s="128">
        <f t="shared" si="295"/>
        <v>4</v>
      </c>
      <c r="D6364" s="136">
        <f t="shared" si="297"/>
        <v>17</v>
      </c>
      <c r="E6364" s="136">
        <f t="shared" si="296"/>
        <v>25</v>
      </c>
      <c r="F6364" s="128" t="s">
        <v>24</v>
      </c>
      <c r="G6364" s="128" t="str">
        <f>VLOOKUP(source[[#This Row],[lending_product_transform]],[3]Mapping!$B$4:$C$37,2,0)</f>
        <v>[Cake] - Cashloan</v>
      </c>
      <c r="H6364" s="128" t="str">
        <f>VLOOKUP(source[[#This Row],[lending_product_transform]],[3]Mapping!$B$3:$D$37,3,0)</f>
        <v>cashloan</v>
      </c>
      <c r="I6364" s="135">
        <v>4353921248</v>
      </c>
    </row>
    <row r="6365" spans="1:9" x14ac:dyDescent="0.2">
      <c r="A6365" s="134">
        <v>45772</v>
      </c>
      <c r="B6365" s="135">
        <f>YEAR(source[[#This Row],[report_date]])</f>
        <v>2025</v>
      </c>
      <c r="C6365" s="128">
        <f t="shared" si="295"/>
        <v>4</v>
      </c>
      <c r="D6365" s="136">
        <f t="shared" si="297"/>
        <v>17</v>
      </c>
      <c r="E6365" s="136">
        <f t="shared" si="296"/>
        <v>25</v>
      </c>
      <c r="F6365" s="128" t="s">
        <v>24</v>
      </c>
      <c r="G6365" s="128" t="str">
        <f>VLOOKUP(source[[#This Row],[lending_product_transform]],[3]Mapping!$B$4:$C$37,2,0)</f>
        <v>[Cake] - Cashloan</v>
      </c>
      <c r="H6365" s="128" t="str">
        <f>VLOOKUP(source[[#This Row],[lending_product_transform]],[3]Mapping!$B$3:$D$37,3,0)</f>
        <v>cashloan</v>
      </c>
      <c r="I6365" s="135">
        <v>0</v>
      </c>
    </row>
    <row r="6366" spans="1:9" x14ac:dyDescent="0.2">
      <c r="A6366" s="134">
        <v>45772</v>
      </c>
      <c r="B6366" s="135">
        <f>YEAR(source[[#This Row],[report_date]])</f>
        <v>2025</v>
      </c>
      <c r="C6366" s="128">
        <f t="shared" si="295"/>
        <v>4</v>
      </c>
      <c r="D6366" s="136">
        <f t="shared" si="297"/>
        <v>17</v>
      </c>
      <c r="E6366" s="136">
        <f t="shared" si="296"/>
        <v>25</v>
      </c>
      <c r="F6366" s="128" t="s">
        <v>24</v>
      </c>
      <c r="G6366" s="128" t="str">
        <f>VLOOKUP(source[[#This Row],[lending_product_transform]],[3]Mapping!$B$4:$C$37,2,0)</f>
        <v>[Cake] - Cashloan</v>
      </c>
      <c r="H6366" s="128" t="str">
        <f>VLOOKUP(source[[#This Row],[lending_product_transform]],[3]Mapping!$B$3:$D$37,3,0)</f>
        <v>cashloan</v>
      </c>
      <c r="I6366" s="135">
        <v>192187940</v>
      </c>
    </row>
    <row r="6367" spans="1:9" x14ac:dyDescent="0.2">
      <c r="A6367" s="134">
        <v>45772</v>
      </c>
      <c r="B6367" s="135">
        <f>YEAR(source[[#This Row],[report_date]])</f>
        <v>2025</v>
      </c>
      <c r="C6367" s="128">
        <f t="shared" si="295"/>
        <v>4</v>
      </c>
      <c r="D6367" s="136">
        <f t="shared" si="297"/>
        <v>17</v>
      </c>
      <c r="E6367" s="136">
        <f t="shared" si="296"/>
        <v>25</v>
      </c>
      <c r="F6367" s="128" t="s">
        <v>24</v>
      </c>
      <c r="G6367" s="128" t="str">
        <f>VLOOKUP(source[[#This Row],[lending_product_transform]],[3]Mapping!$B$4:$C$37,2,0)</f>
        <v>[Cake] - Cashloan</v>
      </c>
      <c r="H6367" s="128" t="str">
        <f>VLOOKUP(source[[#This Row],[lending_product_transform]],[3]Mapping!$B$3:$D$37,3,0)</f>
        <v>cashloan</v>
      </c>
      <c r="I6367" s="135">
        <v>8120420000</v>
      </c>
    </row>
    <row r="6368" spans="1:9" x14ac:dyDescent="0.2">
      <c r="A6368" s="134">
        <v>45772</v>
      </c>
      <c r="B6368" s="135">
        <f>YEAR(source[[#This Row],[report_date]])</f>
        <v>2025</v>
      </c>
      <c r="C6368" s="128">
        <f t="shared" si="295"/>
        <v>4</v>
      </c>
      <c r="D6368" s="136">
        <f t="shared" si="297"/>
        <v>17</v>
      </c>
      <c r="E6368" s="136">
        <f t="shared" si="296"/>
        <v>25</v>
      </c>
      <c r="F6368" s="128" t="s">
        <v>24</v>
      </c>
      <c r="G6368" s="128" t="str">
        <f>VLOOKUP(source[[#This Row],[lending_product_transform]],[3]Mapping!$B$4:$C$37,2,0)</f>
        <v>[Cake] - Cashloan</v>
      </c>
      <c r="H6368" s="128" t="str">
        <f>VLOOKUP(source[[#This Row],[lending_product_transform]],[3]Mapping!$B$3:$D$37,3,0)</f>
        <v>cashloan</v>
      </c>
      <c r="I6368" s="135">
        <v>5015304000</v>
      </c>
    </row>
    <row r="6369" spans="1:9" x14ac:dyDescent="0.2">
      <c r="A6369" s="134">
        <v>45772</v>
      </c>
      <c r="B6369" s="135">
        <f>YEAR(source[[#This Row],[report_date]])</f>
        <v>2025</v>
      </c>
      <c r="C6369" s="128">
        <f t="shared" si="295"/>
        <v>4</v>
      </c>
      <c r="D6369" s="136">
        <f t="shared" si="297"/>
        <v>17</v>
      </c>
      <c r="E6369" s="136">
        <f t="shared" si="296"/>
        <v>25</v>
      </c>
      <c r="F6369" s="128" t="s">
        <v>24</v>
      </c>
      <c r="G6369" s="128" t="str">
        <f>VLOOKUP(source[[#This Row],[lending_product_transform]],[3]Mapping!$B$4:$C$37,2,0)</f>
        <v>[Cake] - Cashloan</v>
      </c>
      <c r="H6369" s="128" t="str">
        <f>VLOOKUP(source[[#This Row],[lending_product_transform]],[3]Mapping!$B$3:$D$37,3,0)</f>
        <v>cashloan</v>
      </c>
      <c r="I6369" s="135">
        <v>8173660000</v>
      </c>
    </row>
    <row r="6370" spans="1:9" x14ac:dyDescent="0.2">
      <c r="A6370" s="134">
        <v>45772</v>
      </c>
      <c r="B6370" s="135">
        <f>YEAR(source[[#This Row],[report_date]])</f>
        <v>2025</v>
      </c>
      <c r="C6370" s="128">
        <f t="shared" si="295"/>
        <v>4</v>
      </c>
      <c r="D6370" s="136">
        <f t="shared" si="297"/>
        <v>17</v>
      </c>
      <c r="E6370" s="136">
        <f t="shared" si="296"/>
        <v>25</v>
      </c>
      <c r="F6370" s="128" t="s">
        <v>24</v>
      </c>
      <c r="G6370" s="128" t="str">
        <f>VLOOKUP(source[[#This Row],[lending_product_transform]],[3]Mapping!$B$4:$C$37,2,0)</f>
        <v>[Cake] - Cashloan</v>
      </c>
      <c r="H6370" s="128" t="str">
        <f>VLOOKUP(source[[#This Row],[lending_product_transform]],[3]Mapping!$B$3:$D$37,3,0)</f>
        <v>cashloan</v>
      </c>
      <c r="I6370" s="135">
        <v>0</v>
      </c>
    </row>
    <row r="6371" spans="1:9" x14ac:dyDescent="0.2">
      <c r="A6371" s="134">
        <v>45772</v>
      </c>
      <c r="B6371" s="135">
        <f>YEAR(source[[#This Row],[report_date]])</f>
        <v>2025</v>
      </c>
      <c r="C6371" s="128">
        <f t="shared" si="295"/>
        <v>4</v>
      </c>
      <c r="D6371" s="136">
        <f t="shared" si="297"/>
        <v>17</v>
      </c>
      <c r="E6371" s="136">
        <f t="shared" si="296"/>
        <v>25</v>
      </c>
      <c r="F6371" s="128" t="s">
        <v>24</v>
      </c>
      <c r="G6371" s="128" t="str">
        <f>VLOOKUP(source[[#This Row],[lending_product_transform]],[3]Mapping!$B$4:$C$37,2,0)</f>
        <v>[Cake] - Cashloan</v>
      </c>
      <c r="H6371" s="128" t="str">
        <f>VLOOKUP(source[[#This Row],[lending_product_transform]],[3]Mapping!$B$3:$D$37,3,0)</f>
        <v>cashloan</v>
      </c>
      <c r="I6371" s="135">
        <v>20370872</v>
      </c>
    </row>
    <row r="6372" spans="1:9" x14ac:dyDescent="0.2">
      <c r="A6372" s="134">
        <v>45772</v>
      </c>
      <c r="B6372" s="135">
        <f>YEAR(source[[#This Row],[report_date]])</f>
        <v>2025</v>
      </c>
      <c r="C6372" s="128">
        <f t="shared" si="295"/>
        <v>4</v>
      </c>
      <c r="D6372" s="136">
        <f t="shared" si="297"/>
        <v>17</v>
      </c>
      <c r="E6372" s="136">
        <f t="shared" si="296"/>
        <v>25</v>
      </c>
      <c r="F6372" s="128" t="s">
        <v>24</v>
      </c>
      <c r="G6372" s="128" t="str">
        <f>VLOOKUP(source[[#This Row],[lending_product_transform]],[3]Mapping!$B$4:$C$37,2,0)</f>
        <v>[Cake] - Cashloan</v>
      </c>
      <c r="H6372" s="128" t="str">
        <f>VLOOKUP(source[[#This Row],[lending_product_transform]],[3]Mapping!$B$3:$D$37,3,0)</f>
        <v>cashloan</v>
      </c>
      <c r="I6372" s="135">
        <v>0</v>
      </c>
    </row>
    <row r="6373" spans="1:9" x14ac:dyDescent="0.2">
      <c r="A6373" s="134">
        <v>45772</v>
      </c>
      <c r="B6373" s="135">
        <f>YEAR(source[[#This Row],[report_date]])</f>
        <v>2025</v>
      </c>
      <c r="C6373" s="128">
        <f t="shared" si="295"/>
        <v>4</v>
      </c>
      <c r="D6373" s="136">
        <f t="shared" si="297"/>
        <v>17</v>
      </c>
      <c r="E6373" s="136">
        <f t="shared" si="296"/>
        <v>25</v>
      </c>
      <c r="F6373" s="128" t="s">
        <v>24</v>
      </c>
      <c r="G6373" s="128" t="str">
        <f>VLOOKUP(source[[#This Row],[lending_product_transform]],[3]Mapping!$B$4:$C$37,2,0)</f>
        <v>[Cake] - Cashloan</v>
      </c>
      <c r="H6373" s="128" t="str">
        <f>VLOOKUP(source[[#This Row],[lending_product_transform]],[3]Mapping!$B$3:$D$37,3,0)</f>
        <v>cashloan</v>
      </c>
      <c r="I6373" s="135">
        <v>322949186</v>
      </c>
    </row>
    <row r="6374" spans="1:9" x14ac:dyDescent="0.2">
      <c r="A6374" s="134">
        <v>45772</v>
      </c>
      <c r="B6374" s="135">
        <f>YEAR(source[[#This Row],[report_date]])</f>
        <v>2025</v>
      </c>
      <c r="C6374" s="128">
        <f t="shared" si="295"/>
        <v>4</v>
      </c>
      <c r="D6374" s="136">
        <f t="shared" si="297"/>
        <v>17</v>
      </c>
      <c r="E6374" s="136">
        <f t="shared" si="296"/>
        <v>25</v>
      </c>
      <c r="F6374" s="128" t="s">
        <v>24</v>
      </c>
      <c r="G6374" s="128" t="str">
        <f>VLOOKUP(source[[#This Row],[lending_product_transform]],[3]Mapping!$B$4:$C$37,2,0)</f>
        <v>[Cake] - Cashloan</v>
      </c>
      <c r="H6374" s="128" t="str">
        <f>VLOOKUP(source[[#This Row],[lending_product_transform]],[3]Mapping!$B$3:$D$37,3,0)</f>
        <v>cashloan</v>
      </c>
      <c r="I6374" s="135">
        <v>0</v>
      </c>
    </row>
    <row r="6375" spans="1:9" x14ac:dyDescent="0.2">
      <c r="A6375" s="134">
        <v>45772</v>
      </c>
      <c r="B6375" s="135">
        <f>YEAR(source[[#This Row],[report_date]])</f>
        <v>2025</v>
      </c>
      <c r="C6375" s="128">
        <f t="shared" si="295"/>
        <v>4</v>
      </c>
      <c r="D6375" s="136">
        <f t="shared" si="297"/>
        <v>17</v>
      </c>
      <c r="E6375" s="136">
        <f t="shared" si="296"/>
        <v>25</v>
      </c>
      <c r="F6375" s="128" t="s">
        <v>24</v>
      </c>
      <c r="G6375" s="128" t="str">
        <f>VLOOKUP(source[[#This Row],[lending_product_transform]],[3]Mapping!$B$4:$C$37,2,0)</f>
        <v>[Cake] - Cashloan</v>
      </c>
      <c r="H6375" s="128" t="str">
        <f>VLOOKUP(source[[#This Row],[lending_product_transform]],[3]Mapping!$B$3:$D$37,3,0)</f>
        <v>cashloan</v>
      </c>
      <c r="I6375" s="135">
        <v>0</v>
      </c>
    </row>
    <row r="6376" spans="1:9" x14ac:dyDescent="0.2">
      <c r="A6376" s="134">
        <v>45772</v>
      </c>
      <c r="B6376" s="135">
        <f>YEAR(source[[#This Row],[report_date]])</f>
        <v>2025</v>
      </c>
      <c r="C6376" s="128">
        <f t="shared" si="295"/>
        <v>4</v>
      </c>
      <c r="D6376" s="136">
        <f t="shared" si="297"/>
        <v>17</v>
      </c>
      <c r="E6376" s="136">
        <f t="shared" si="296"/>
        <v>25</v>
      </c>
      <c r="F6376" s="128" t="s">
        <v>24</v>
      </c>
      <c r="G6376" s="128" t="str">
        <f>VLOOKUP(source[[#This Row],[lending_product_transform]],[3]Mapping!$B$4:$C$37,2,0)</f>
        <v>[Cake] - Cashloan</v>
      </c>
      <c r="H6376" s="128" t="str">
        <f>VLOOKUP(source[[#This Row],[lending_product_transform]],[3]Mapping!$B$3:$D$37,3,0)</f>
        <v>cashloan</v>
      </c>
      <c r="I6376" s="135">
        <v>31500000</v>
      </c>
    </row>
    <row r="6377" spans="1:9" x14ac:dyDescent="0.2">
      <c r="A6377" s="134">
        <v>45773</v>
      </c>
      <c r="B6377" s="135">
        <f>YEAR(source[[#This Row],[report_date]])</f>
        <v>2025</v>
      </c>
      <c r="C6377" s="128">
        <f t="shared" si="295"/>
        <v>4</v>
      </c>
      <c r="D6377" s="136">
        <f t="shared" si="297"/>
        <v>17</v>
      </c>
      <c r="E6377" s="136">
        <f t="shared" si="296"/>
        <v>26</v>
      </c>
      <c r="F6377" s="128" t="s">
        <v>24</v>
      </c>
      <c r="G6377" s="128" t="str">
        <f>VLOOKUP(source[[#This Row],[lending_product_transform]],[3]Mapping!$B$4:$C$37,2,0)</f>
        <v>[Cake] - Cashloan</v>
      </c>
      <c r="H6377" s="128" t="str">
        <f>VLOOKUP(source[[#This Row],[lending_product_transform]],[3]Mapping!$B$3:$D$37,3,0)</f>
        <v>cashloan</v>
      </c>
      <c r="I6377" s="135">
        <v>5086584000</v>
      </c>
    </row>
    <row r="6378" spans="1:9" x14ac:dyDescent="0.2">
      <c r="A6378" s="134">
        <v>45773</v>
      </c>
      <c r="B6378" s="135">
        <f>YEAR(source[[#This Row],[report_date]])</f>
        <v>2025</v>
      </c>
      <c r="C6378" s="128">
        <f t="shared" si="295"/>
        <v>4</v>
      </c>
      <c r="D6378" s="136">
        <f t="shared" si="297"/>
        <v>17</v>
      </c>
      <c r="E6378" s="136">
        <f t="shared" si="296"/>
        <v>26</v>
      </c>
      <c r="F6378" s="128" t="s">
        <v>24</v>
      </c>
      <c r="G6378" s="128" t="str">
        <f>VLOOKUP(source[[#This Row],[lending_product_transform]],[3]Mapping!$B$4:$C$37,2,0)</f>
        <v>[Cake] - Cashloan</v>
      </c>
      <c r="H6378" s="128" t="str">
        <f>VLOOKUP(source[[#This Row],[lending_product_transform]],[3]Mapping!$B$3:$D$37,3,0)</f>
        <v>cashloan</v>
      </c>
      <c r="I6378" s="135">
        <v>8729290000</v>
      </c>
    </row>
    <row r="6379" spans="1:9" x14ac:dyDescent="0.2">
      <c r="A6379" s="134">
        <v>45773</v>
      </c>
      <c r="B6379" s="135">
        <f>YEAR(source[[#This Row],[report_date]])</f>
        <v>2025</v>
      </c>
      <c r="C6379" s="128">
        <f t="shared" si="295"/>
        <v>4</v>
      </c>
      <c r="D6379" s="136">
        <f t="shared" si="297"/>
        <v>17</v>
      </c>
      <c r="E6379" s="136">
        <f t="shared" si="296"/>
        <v>26</v>
      </c>
      <c r="F6379" s="128" t="s">
        <v>24</v>
      </c>
      <c r="G6379" s="128" t="str">
        <f>VLOOKUP(source[[#This Row],[lending_product_transform]],[3]Mapping!$B$4:$C$37,2,0)</f>
        <v>[Cake] - Cashloan</v>
      </c>
      <c r="H6379" s="128" t="str">
        <f>VLOOKUP(source[[#This Row],[lending_product_transform]],[3]Mapping!$B$3:$D$37,3,0)</f>
        <v>cashloan</v>
      </c>
      <c r="I6379" s="135">
        <v>6934770000</v>
      </c>
    </row>
    <row r="6380" spans="1:9" x14ac:dyDescent="0.2">
      <c r="A6380" s="134">
        <v>45773</v>
      </c>
      <c r="B6380" s="135">
        <f>YEAR(source[[#This Row],[report_date]])</f>
        <v>2025</v>
      </c>
      <c r="C6380" s="128">
        <f t="shared" si="295"/>
        <v>4</v>
      </c>
      <c r="D6380" s="136">
        <f t="shared" si="297"/>
        <v>17</v>
      </c>
      <c r="E6380" s="136">
        <f t="shared" si="296"/>
        <v>26</v>
      </c>
      <c r="F6380" s="128" t="s">
        <v>24</v>
      </c>
      <c r="G6380" s="128" t="str">
        <f>VLOOKUP(source[[#This Row],[lending_product_transform]],[3]Mapping!$B$4:$C$37,2,0)</f>
        <v>[Cake] - Cashloan</v>
      </c>
      <c r="H6380" s="128" t="str">
        <f>VLOOKUP(source[[#This Row],[lending_product_transform]],[3]Mapping!$B$3:$D$37,3,0)</f>
        <v>cashloan</v>
      </c>
      <c r="I6380" s="135">
        <v>706490000</v>
      </c>
    </row>
    <row r="6381" spans="1:9" x14ac:dyDescent="0.2">
      <c r="A6381" s="134">
        <v>45773</v>
      </c>
      <c r="B6381" s="135">
        <f>YEAR(source[[#This Row],[report_date]])</f>
        <v>2025</v>
      </c>
      <c r="C6381" s="128">
        <f t="shared" si="295"/>
        <v>4</v>
      </c>
      <c r="D6381" s="136">
        <f t="shared" si="297"/>
        <v>17</v>
      </c>
      <c r="E6381" s="136">
        <f t="shared" si="296"/>
        <v>26</v>
      </c>
      <c r="F6381" s="128" t="s">
        <v>24</v>
      </c>
      <c r="G6381" s="128" t="str">
        <f>VLOOKUP(source[[#This Row],[lending_product_transform]],[3]Mapping!$B$4:$C$37,2,0)</f>
        <v>[Cake] - Cashloan</v>
      </c>
      <c r="H6381" s="128" t="str">
        <f>VLOOKUP(source[[#This Row],[lending_product_transform]],[3]Mapping!$B$3:$D$37,3,0)</f>
        <v>cashloan</v>
      </c>
      <c r="I6381" s="135">
        <v>0</v>
      </c>
    </row>
    <row r="6382" spans="1:9" x14ac:dyDescent="0.2">
      <c r="A6382" s="134">
        <v>45773</v>
      </c>
      <c r="B6382" s="135">
        <f>YEAR(source[[#This Row],[report_date]])</f>
        <v>2025</v>
      </c>
      <c r="C6382" s="128">
        <f t="shared" si="295"/>
        <v>4</v>
      </c>
      <c r="D6382" s="136">
        <f t="shared" si="297"/>
        <v>17</v>
      </c>
      <c r="E6382" s="136">
        <f t="shared" si="296"/>
        <v>26</v>
      </c>
      <c r="F6382" s="128" t="s">
        <v>24</v>
      </c>
      <c r="G6382" s="128" t="str">
        <f>VLOOKUP(source[[#This Row],[lending_product_transform]],[3]Mapping!$B$4:$C$37,2,0)</f>
        <v>[Cake] - Cashloan</v>
      </c>
      <c r="H6382" s="128" t="str">
        <f>VLOOKUP(source[[#This Row],[lending_product_transform]],[3]Mapping!$B$3:$D$37,3,0)</f>
        <v>cashloan</v>
      </c>
      <c r="I6382" s="135">
        <v>12965747</v>
      </c>
    </row>
    <row r="6383" spans="1:9" x14ac:dyDescent="0.2">
      <c r="A6383" s="134">
        <v>45773</v>
      </c>
      <c r="B6383" s="135">
        <f>YEAR(source[[#This Row],[report_date]])</f>
        <v>2025</v>
      </c>
      <c r="C6383" s="128">
        <f t="shared" si="295"/>
        <v>4</v>
      </c>
      <c r="D6383" s="136">
        <f t="shared" si="297"/>
        <v>17</v>
      </c>
      <c r="E6383" s="136">
        <f t="shared" si="296"/>
        <v>26</v>
      </c>
      <c r="F6383" s="128" t="s">
        <v>24</v>
      </c>
      <c r="G6383" s="128" t="str">
        <f>VLOOKUP(source[[#This Row],[lending_product_transform]],[3]Mapping!$B$4:$C$37,2,0)</f>
        <v>[Cake] - Cashloan</v>
      </c>
      <c r="H6383" s="128" t="str">
        <f>VLOOKUP(source[[#This Row],[lending_product_transform]],[3]Mapping!$B$3:$D$37,3,0)</f>
        <v>cashloan</v>
      </c>
      <c r="I6383" s="135">
        <v>0</v>
      </c>
    </row>
    <row r="6384" spans="1:9" x14ac:dyDescent="0.2">
      <c r="A6384" s="134">
        <v>45773</v>
      </c>
      <c r="B6384" s="135">
        <f>YEAR(source[[#This Row],[report_date]])</f>
        <v>2025</v>
      </c>
      <c r="C6384" s="128">
        <f t="shared" si="295"/>
        <v>4</v>
      </c>
      <c r="D6384" s="136">
        <f t="shared" si="297"/>
        <v>17</v>
      </c>
      <c r="E6384" s="136">
        <f t="shared" si="296"/>
        <v>26</v>
      </c>
      <c r="F6384" s="128" t="s">
        <v>24</v>
      </c>
      <c r="G6384" s="128" t="str">
        <f>VLOOKUP(source[[#This Row],[lending_product_transform]],[3]Mapping!$B$4:$C$37,2,0)</f>
        <v>[Cake] - Cashloan</v>
      </c>
      <c r="H6384" s="128" t="str">
        <f>VLOOKUP(source[[#This Row],[lending_product_transform]],[3]Mapping!$B$3:$D$37,3,0)</f>
        <v>cashloan</v>
      </c>
      <c r="I6384" s="135">
        <v>0</v>
      </c>
    </row>
    <row r="6385" spans="1:9" x14ac:dyDescent="0.2">
      <c r="A6385" s="134">
        <v>45773</v>
      </c>
      <c r="B6385" s="135">
        <f>YEAR(source[[#This Row],[report_date]])</f>
        <v>2025</v>
      </c>
      <c r="C6385" s="128">
        <f t="shared" si="295"/>
        <v>4</v>
      </c>
      <c r="D6385" s="136">
        <f t="shared" si="297"/>
        <v>17</v>
      </c>
      <c r="E6385" s="136">
        <f t="shared" si="296"/>
        <v>26</v>
      </c>
      <c r="F6385" s="128" t="s">
        <v>24</v>
      </c>
      <c r="G6385" s="128" t="str">
        <f>VLOOKUP(source[[#This Row],[lending_product_transform]],[3]Mapping!$B$4:$C$37,2,0)</f>
        <v>[Cake] - Cashloan</v>
      </c>
      <c r="H6385" s="128" t="str">
        <f>VLOOKUP(source[[#This Row],[lending_product_transform]],[3]Mapping!$B$3:$D$37,3,0)</f>
        <v>cashloan</v>
      </c>
      <c r="I6385" s="135">
        <v>0</v>
      </c>
    </row>
    <row r="6386" spans="1:9" x14ac:dyDescent="0.2">
      <c r="A6386" s="134">
        <v>45773</v>
      </c>
      <c r="B6386" s="135">
        <f>YEAR(source[[#This Row],[report_date]])</f>
        <v>2025</v>
      </c>
      <c r="C6386" s="128">
        <f t="shared" si="295"/>
        <v>4</v>
      </c>
      <c r="D6386" s="136">
        <f t="shared" si="297"/>
        <v>17</v>
      </c>
      <c r="E6386" s="136">
        <f t="shared" si="296"/>
        <v>26</v>
      </c>
      <c r="F6386" s="128" t="s">
        <v>24</v>
      </c>
      <c r="G6386" s="128" t="str">
        <f>VLOOKUP(source[[#This Row],[lending_product_transform]],[3]Mapping!$B$4:$C$37,2,0)</f>
        <v>[Cake] - Cashloan</v>
      </c>
      <c r="H6386" s="128" t="str">
        <f>VLOOKUP(source[[#This Row],[lending_product_transform]],[3]Mapping!$B$3:$D$37,3,0)</f>
        <v>cashloan</v>
      </c>
      <c r="I6386" s="135">
        <v>0</v>
      </c>
    </row>
    <row r="6387" spans="1:9" x14ac:dyDescent="0.2">
      <c r="A6387" s="134">
        <v>45773</v>
      </c>
      <c r="B6387" s="135">
        <f>YEAR(source[[#This Row],[report_date]])</f>
        <v>2025</v>
      </c>
      <c r="C6387" s="128">
        <f t="shared" si="295"/>
        <v>4</v>
      </c>
      <c r="D6387" s="136">
        <f t="shared" si="297"/>
        <v>17</v>
      </c>
      <c r="E6387" s="136">
        <f t="shared" si="296"/>
        <v>26</v>
      </c>
      <c r="F6387" s="128" t="s">
        <v>24</v>
      </c>
      <c r="G6387" s="128" t="str">
        <f>VLOOKUP(source[[#This Row],[lending_product_transform]],[3]Mapping!$B$4:$C$37,2,0)</f>
        <v>[Cake] - Cashloan</v>
      </c>
      <c r="H6387" s="128" t="str">
        <f>VLOOKUP(source[[#This Row],[lending_product_transform]],[3]Mapping!$B$3:$D$37,3,0)</f>
        <v>cashloan</v>
      </c>
      <c r="I6387" s="135">
        <v>20500000</v>
      </c>
    </row>
    <row r="6388" spans="1:9" x14ac:dyDescent="0.2">
      <c r="A6388" s="134">
        <v>45773</v>
      </c>
      <c r="B6388" s="135">
        <f>YEAR(source[[#This Row],[report_date]])</f>
        <v>2025</v>
      </c>
      <c r="C6388" s="128">
        <f t="shared" si="295"/>
        <v>4</v>
      </c>
      <c r="D6388" s="136">
        <f t="shared" si="297"/>
        <v>17</v>
      </c>
      <c r="E6388" s="136">
        <f t="shared" si="296"/>
        <v>26</v>
      </c>
      <c r="F6388" s="128" t="s">
        <v>24</v>
      </c>
      <c r="G6388" s="128" t="str">
        <f>VLOOKUP(source[[#This Row],[lending_product_transform]],[3]Mapping!$B$4:$C$37,2,0)</f>
        <v>[Cake] - Cashloan</v>
      </c>
      <c r="H6388" s="128" t="str">
        <f>VLOOKUP(source[[#This Row],[lending_product_transform]],[3]Mapping!$B$3:$D$37,3,0)</f>
        <v>cashloan</v>
      </c>
      <c r="I6388" s="135">
        <v>38000000</v>
      </c>
    </row>
    <row r="6389" spans="1:9" x14ac:dyDescent="0.2">
      <c r="A6389" s="134">
        <v>45773</v>
      </c>
      <c r="B6389" s="135">
        <f>YEAR(source[[#This Row],[report_date]])</f>
        <v>2025</v>
      </c>
      <c r="C6389" s="128">
        <f t="shared" si="295"/>
        <v>4</v>
      </c>
      <c r="D6389" s="136">
        <f t="shared" si="297"/>
        <v>17</v>
      </c>
      <c r="E6389" s="136">
        <f t="shared" si="296"/>
        <v>26</v>
      </c>
      <c r="F6389" s="128" t="s">
        <v>24</v>
      </c>
      <c r="G6389" s="128" t="str">
        <f>VLOOKUP(source[[#This Row],[lending_product_transform]],[3]Mapping!$B$4:$C$37,2,0)</f>
        <v>[Cake] - Cashloan</v>
      </c>
      <c r="H6389" s="128" t="str">
        <f>VLOOKUP(source[[#This Row],[lending_product_transform]],[3]Mapping!$B$3:$D$37,3,0)</f>
        <v>cashloan</v>
      </c>
      <c r="I6389" s="135">
        <v>0</v>
      </c>
    </row>
    <row r="6390" spans="1:9" x14ac:dyDescent="0.2">
      <c r="A6390" s="134">
        <v>45773</v>
      </c>
      <c r="B6390" s="135">
        <f>YEAR(source[[#This Row],[report_date]])</f>
        <v>2025</v>
      </c>
      <c r="C6390" s="128">
        <f t="shared" ref="C6390:C6453" si="298">MONTH(A6390)</f>
        <v>4</v>
      </c>
      <c r="D6390" s="136">
        <f t="shared" si="297"/>
        <v>17</v>
      </c>
      <c r="E6390" s="136">
        <f t="shared" ref="E6390:E6453" si="299">DAY(A6390)</f>
        <v>26</v>
      </c>
      <c r="F6390" s="128" t="s">
        <v>24</v>
      </c>
      <c r="G6390" s="128" t="str">
        <f>VLOOKUP(source[[#This Row],[lending_product_transform]],[3]Mapping!$B$4:$C$37,2,0)</f>
        <v>[Cake] - Cashloan</v>
      </c>
      <c r="H6390" s="128" t="str">
        <f>VLOOKUP(source[[#This Row],[lending_product_transform]],[3]Mapping!$B$3:$D$37,3,0)</f>
        <v>cashloan</v>
      </c>
      <c r="I6390" s="135">
        <v>494600000</v>
      </c>
    </row>
    <row r="6391" spans="1:9" x14ac:dyDescent="0.2">
      <c r="A6391" s="134">
        <v>45773</v>
      </c>
      <c r="B6391" s="135">
        <f>YEAR(source[[#This Row],[report_date]])</f>
        <v>2025</v>
      </c>
      <c r="C6391" s="128">
        <f t="shared" si="298"/>
        <v>4</v>
      </c>
      <c r="D6391" s="136">
        <f t="shared" si="297"/>
        <v>17</v>
      </c>
      <c r="E6391" s="136">
        <f t="shared" si="299"/>
        <v>26</v>
      </c>
      <c r="F6391" s="128" t="s">
        <v>24</v>
      </c>
      <c r="G6391" s="128" t="str">
        <f>VLOOKUP(source[[#This Row],[lending_product_transform]],[3]Mapping!$B$4:$C$37,2,0)</f>
        <v>[Cake] - Cashloan</v>
      </c>
      <c r="H6391" s="128" t="str">
        <f>VLOOKUP(source[[#This Row],[lending_product_transform]],[3]Mapping!$B$3:$D$37,3,0)</f>
        <v>cashloan</v>
      </c>
      <c r="I6391" s="135">
        <v>0</v>
      </c>
    </row>
    <row r="6392" spans="1:9" x14ac:dyDescent="0.2">
      <c r="A6392" s="134">
        <v>45773</v>
      </c>
      <c r="B6392" s="135">
        <f>YEAR(source[[#This Row],[report_date]])</f>
        <v>2025</v>
      </c>
      <c r="C6392" s="128">
        <f t="shared" si="298"/>
        <v>4</v>
      </c>
      <c r="D6392" s="136">
        <f t="shared" si="297"/>
        <v>17</v>
      </c>
      <c r="E6392" s="136">
        <f t="shared" si="299"/>
        <v>26</v>
      </c>
      <c r="F6392" s="128" t="s">
        <v>24</v>
      </c>
      <c r="G6392" s="128" t="str">
        <f>VLOOKUP(source[[#This Row],[lending_product_transform]],[3]Mapping!$B$4:$C$37,2,0)</f>
        <v>[Cake] - Cashloan</v>
      </c>
      <c r="H6392" s="128" t="str">
        <f>VLOOKUP(source[[#This Row],[lending_product_transform]],[3]Mapping!$B$3:$D$37,3,0)</f>
        <v>cashloan</v>
      </c>
      <c r="I6392" s="135">
        <v>154364378</v>
      </c>
    </row>
    <row r="6393" spans="1:9" x14ac:dyDescent="0.2">
      <c r="A6393" s="134">
        <v>45773</v>
      </c>
      <c r="B6393" s="135">
        <f>YEAR(source[[#This Row],[report_date]])</f>
        <v>2025</v>
      </c>
      <c r="C6393" s="128">
        <f t="shared" si="298"/>
        <v>4</v>
      </c>
      <c r="D6393" s="136">
        <f t="shared" si="297"/>
        <v>17</v>
      </c>
      <c r="E6393" s="136">
        <f t="shared" si="299"/>
        <v>26</v>
      </c>
      <c r="F6393" s="128" t="s">
        <v>24</v>
      </c>
      <c r="G6393" s="128" t="str">
        <f>VLOOKUP(source[[#This Row],[lending_product_transform]],[3]Mapping!$B$4:$C$37,2,0)</f>
        <v>[Cake] - Cashloan</v>
      </c>
      <c r="H6393" s="128" t="str">
        <f>VLOOKUP(source[[#This Row],[lending_product_transform]],[3]Mapping!$B$3:$D$37,3,0)</f>
        <v>cashloan</v>
      </c>
      <c r="I6393" s="135">
        <v>299826629</v>
      </c>
    </row>
    <row r="6394" spans="1:9" x14ac:dyDescent="0.2">
      <c r="A6394" s="134">
        <v>45773</v>
      </c>
      <c r="B6394" s="135">
        <f>YEAR(source[[#This Row],[report_date]])</f>
        <v>2025</v>
      </c>
      <c r="C6394" s="128">
        <f t="shared" si="298"/>
        <v>4</v>
      </c>
      <c r="D6394" s="136">
        <f t="shared" si="297"/>
        <v>17</v>
      </c>
      <c r="E6394" s="136">
        <f t="shared" si="299"/>
        <v>26</v>
      </c>
      <c r="F6394" s="128" t="s">
        <v>24</v>
      </c>
      <c r="G6394" s="128" t="str">
        <f>VLOOKUP(source[[#This Row],[lending_product_transform]],[3]Mapping!$B$4:$C$37,2,0)</f>
        <v>[Cake] - Cashloan</v>
      </c>
      <c r="H6394" s="128" t="str">
        <f>VLOOKUP(source[[#This Row],[lending_product_transform]],[3]Mapping!$B$3:$D$37,3,0)</f>
        <v>cashloan</v>
      </c>
      <c r="I6394" s="135">
        <v>3140181550</v>
      </c>
    </row>
    <row r="6395" spans="1:9" x14ac:dyDescent="0.2">
      <c r="A6395" s="134">
        <v>45773</v>
      </c>
      <c r="B6395" s="135">
        <f>YEAR(source[[#This Row],[report_date]])</f>
        <v>2025</v>
      </c>
      <c r="C6395" s="128">
        <f t="shared" si="298"/>
        <v>4</v>
      </c>
      <c r="D6395" s="136">
        <f t="shared" si="297"/>
        <v>17</v>
      </c>
      <c r="E6395" s="136">
        <f t="shared" si="299"/>
        <v>26</v>
      </c>
      <c r="F6395" s="128" t="s">
        <v>24</v>
      </c>
      <c r="G6395" s="128" t="str">
        <f>VLOOKUP(source[[#This Row],[lending_product_transform]],[3]Mapping!$B$4:$C$37,2,0)</f>
        <v>[Cake] - Cashloan</v>
      </c>
      <c r="H6395" s="128" t="str">
        <f>VLOOKUP(source[[#This Row],[lending_product_transform]],[3]Mapping!$B$3:$D$37,3,0)</f>
        <v>cashloan</v>
      </c>
      <c r="I6395" s="135">
        <v>354382704</v>
      </c>
    </row>
    <row r="6396" spans="1:9" x14ac:dyDescent="0.2">
      <c r="A6396" s="134">
        <v>45774</v>
      </c>
      <c r="B6396" s="135">
        <f>YEAR(source[[#This Row],[report_date]])</f>
        <v>2025</v>
      </c>
      <c r="C6396" s="128">
        <f t="shared" si="298"/>
        <v>4</v>
      </c>
      <c r="D6396" s="136">
        <f t="shared" si="297"/>
        <v>17</v>
      </c>
      <c r="E6396" s="136">
        <f t="shared" si="299"/>
        <v>27</v>
      </c>
      <c r="F6396" s="128" t="s">
        <v>24</v>
      </c>
      <c r="G6396" s="128" t="str">
        <f>VLOOKUP(source[[#This Row],[lending_product_transform]],[3]Mapping!$B$4:$C$37,2,0)</f>
        <v>[Cake] - Cashloan</v>
      </c>
      <c r="H6396" s="128" t="str">
        <f>VLOOKUP(source[[#This Row],[lending_product_transform]],[3]Mapping!$B$3:$D$37,3,0)</f>
        <v>cashloan</v>
      </c>
      <c r="I6396" s="135">
        <v>0</v>
      </c>
    </row>
    <row r="6397" spans="1:9" x14ac:dyDescent="0.2">
      <c r="A6397" s="134">
        <v>45774</v>
      </c>
      <c r="B6397" s="135">
        <f>YEAR(source[[#This Row],[report_date]])</f>
        <v>2025</v>
      </c>
      <c r="C6397" s="128">
        <f t="shared" si="298"/>
        <v>4</v>
      </c>
      <c r="D6397" s="136">
        <f t="shared" si="297"/>
        <v>17</v>
      </c>
      <c r="E6397" s="136">
        <f t="shared" si="299"/>
        <v>27</v>
      </c>
      <c r="F6397" s="128" t="s">
        <v>24</v>
      </c>
      <c r="G6397" s="128" t="str">
        <f>VLOOKUP(source[[#This Row],[lending_product_transform]],[3]Mapping!$B$4:$C$37,2,0)</f>
        <v>[Cake] - Cashloan</v>
      </c>
      <c r="H6397" s="128" t="str">
        <f>VLOOKUP(source[[#This Row],[lending_product_transform]],[3]Mapping!$B$3:$D$37,3,0)</f>
        <v>cashloan</v>
      </c>
      <c r="I6397" s="135">
        <v>0</v>
      </c>
    </row>
    <row r="6398" spans="1:9" x14ac:dyDescent="0.2">
      <c r="A6398" s="134">
        <v>45774</v>
      </c>
      <c r="B6398" s="135">
        <f>YEAR(source[[#This Row],[report_date]])</f>
        <v>2025</v>
      </c>
      <c r="C6398" s="128">
        <f t="shared" si="298"/>
        <v>4</v>
      </c>
      <c r="D6398" s="136">
        <f t="shared" si="297"/>
        <v>17</v>
      </c>
      <c r="E6398" s="136">
        <f t="shared" si="299"/>
        <v>27</v>
      </c>
      <c r="F6398" s="128" t="s">
        <v>24</v>
      </c>
      <c r="G6398" s="128" t="str">
        <f>VLOOKUP(source[[#This Row],[lending_product_transform]],[3]Mapping!$B$4:$C$37,2,0)</f>
        <v>[Cake] - Cashloan</v>
      </c>
      <c r="H6398" s="128" t="str">
        <f>VLOOKUP(source[[#This Row],[lending_product_transform]],[3]Mapping!$B$3:$D$37,3,0)</f>
        <v>cashloan</v>
      </c>
      <c r="I6398" s="135">
        <v>16216550</v>
      </c>
    </row>
    <row r="6399" spans="1:9" x14ac:dyDescent="0.2">
      <c r="A6399" s="134">
        <v>45774</v>
      </c>
      <c r="B6399" s="135">
        <f>YEAR(source[[#This Row],[report_date]])</f>
        <v>2025</v>
      </c>
      <c r="C6399" s="128">
        <f t="shared" si="298"/>
        <v>4</v>
      </c>
      <c r="D6399" s="136">
        <f t="shared" si="297"/>
        <v>17</v>
      </c>
      <c r="E6399" s="136">
        <f t="shared" si="299"/>
        <v>27</v>
      </c>
      <c r="F6399" s="128" t="s">
        <v>24</v>
      </c>
      <c r="G6399" s="128" t="str">
        <f>VLOOKUP(source[[#This Row],[lending_product_transform]],[3]Mapping!$B$4:$C$37,2,0)</f>
        <v>[Cake] - Cashloan</v>
      </c>
      <c r="H6399" s="128" t="str">
        <f>VLOOKUP(source[[#This Row],[lending_product_transform]],[3]Mapping!$B$3:$D$37,3,0)</f>
        <v>cashloan</v>
      </c>
      <c r="I6399" s="135">
        <v>0</v>
      </c>
    </row>
    <row r="6400" spans="1:9" x14ac:dyDescent="0.2">
      <c r="A6400" s="134">
        <v>45774</v>
      </c>
      <c r="B6400" s="135">
        <f>YEAR(source[[#This Row],[report_date]])</f>
        <v>2025</v>
      </c>
      <c r="C6400" s="128">
        <f t="shared" si="298"/>
        <v>4</v>
      </c>
      <c r="D6400" s="136">
        <f t="shared" si="297"/>
        <v>17</v>
      </c>
      <c r="E6400" s="136">
        <f t="shared" si="299"/>
        <v>27</v>
      </c>
      <c r="F6400" s="128" t="s">
        <v>24</v>
      </c>
      <c r="G6400" s="128" t="str">
        <f>VLOOKUP(source[[#This Row],[lending_product_transform]],[3]Mapping!$B$4:$C$37,2,0)</f>
        <v>[Cake] - Cashloan</v>
      </c>
      <c r="H6400" s="128" t="str">
        <f>VLOOKUP(source[[#This Row],[lending_product_transform]],[3]Mapping!$B$3:$D$37,3,0)</f>
        <v>cashloan</v>
      </c>
      <c r="I6400" s="135">
        <v>0</v>
      </c>
    </row>
    <row r="6401" spans="1:9" x14ac:dyDescent="0.2">
      <c r="A6401" s="134">
        <v>45774</v>
      </c>
      <c r="B6401" s="135">
        <f>YEAR(source[[#This Row],[report_date]])</f>
        <v>2025</v>
      </c>
      <c r="C6401" s="128">
        <f t="shared" si="298"/>
        <v>4</v>
      </c>
      <c r="D6401" s="136">
        <f t="shared" si="297"/>
        <v>17</v>
      </c>
      <c r="E6401" s="136">
        <f t="shared" si="299"/>
        <v>27</v>
      </c>
      <c r="F6401" s="128" t="s">
        <v>24</v>
      </c>
      <c r="G6401" s="128" t="str">
        <f>VLOOKUP(source[[#This Row],[lending_product_transform]],[3]Mapping!$B$4:$C$37,2,0)</f>
        <v>[Cake] - Cashloan</v>
      </c>
      <c r="H6401" s="128" t="str">
        <f>VLOOKUP(source[[#This Row],[lending_product_transform]],[3]Mapping!$B$3:$D$37,3,0)</f>
        <v>cashloan</v>
      </c>
      <c r="I6401" s="135">
        <v>0</v>
      </c>
    </row>
    <row r="6402" spans="1:9" x14ac:dyDescent="0.2">
      <c r="A6402" s="134">
        <v>45774</v>
      </c>
      <c r="B6402" s="135">
        <f>YEAR(source[[#This Row],[report_date]])</f>
        <v>2025</v>
      </c>
      <c r="C6402" s="128">
        <f t="shared" si="298"/>
        <v>4</v>
      </c>
      <c r="D6402" s="136">
        <f t="shared" si="297"/>
        <v>17</v>
      </c>
      <c r="E6402" s="136">
        <f t="shared" si="299"/>
        <v>27</v>
      </c>
      <c r="F6402" s="128" t="s">
        <v>24</v>
      </c>
      <c r="G6402" s="128" t="str">
        <f>VLOOKUP(source[[#This Row],[lending_product_transform]],[3]Mapping!$B$4:$C$37,2,0)</f>
        <v>[Cake] - Cashloan</v>
      </c>
      <c r="H6402" s="128" t="str">
        <f>VLOOKUP(source[[#This Row],[lending_product_transform]],[3]Mapping!$B$3:$D$37,3,0)</f>
        <v>cashloan</v>
      </c>
      <c r="I6402" s="135">
        <v>52500000</v>
      </c>
    </row>
    <row r="6403" spans="1:9" x14ac:dyDescent="0.2">
      <c r="A6403" s="134">
        <v>45774</v>
      </c>
      <c r="B6403" s="135">
        <f>YEAR(source[[#This Row],[report_date]])</f>
        <v>2025</v>
      </c>
      <c r="C6403" s="128">
        <f t="shared" si="298"/>
        <v>4</v>
      </c>
      <c r="D6403" s="136">
        <f t="shared" ref="D6403:D6466" si="300">WEEKNUM(A6403,2)</f>
        <v>17</v>
      </c>
      <c r="E6403" s="136">
        <f t="shared" si="299"/>
        <v>27</v>
      </c>
      <c r="F6403" s="128" t="s">
        <v>24</v>
      </c>
      <c r="G6403" s="128" t="str">
        <f>VLOOKUP(source[[#This Row],[lending_product_transform]],[3]Mapping!$B$4:$C$37,2,0)</f>
        <v>[Cake] - Cashloan</v>
      </c>
      <c r="H6403" s="128" t="str">
        <f>VLOOKUP(source[[#This Row],[lending_product_transform]],[3]Mapping!$B$3:$D$37,3,0)</f>
        <v>cashloan</v>
      </c>
      <c r="I6403" s="135">
        <v>30000000</v>
      </c>
    </row>
    <row r="6404" spans="1:9" x14ac:dyDescent="0.2">
      <c r="A6404" s="134">
        <v>45774</v>
      </c>
      <c r="B6404" s="135">
        <f>YEAR(source[[#This Row],[report_date]])</f>
        <v>2025</v>
      </c>
      <c r="C6404" s="128">
        <f t="shared" si="298"/>
        <v>4</v>
      </c>
      <c r="D6404" s="136">
        <f t="shared" si="300"/>
        <v>17</v>
      </c>
      <c r="E6404" s="136">
        <f t="shared" si="299"/>
        <v>27</v>
      </c>
      <c r="F6404" s="128" t="s">
        <v>24</v>
      </c>
      <c r="G6404" s="128" t="str">
        <f>VLOOKUP(source[[#This Row],[lending_product_transform]],[3]Mapping!$B$4:$C$37,2,0)</f>
        <v>[Cake] - Cashloan</v>
      </c>
      <c r="H6404" s="128" t="str">
        <f>VLOOKUP(source[[#This Row],[lending_product_transform]],[3]Mapping!$B$3:$D$37,3,0)</f>
        <v>cashloan</v>
      </c>
      <c r="I6404" s="135">
        <v>0</v>
      </c>
    </row>
    <row r="6405" spans="1:9" x14ac:dyDescent="0.2">
      <c r="A6405" s="134">
        <v>45774</v>
      </c>
      <c r="B6405" s="135">
        <f>YEAR(source[[#This Row],[report_date]])</f>
        <v>2025</v>
      </c>
      <c r="C6405" s="128">
        <f t="shared" si="298"/>
        <v>4</v>
      </c>
      <c r="D6405" s="136">
        <f t="shared" si="300"/>
        <v>17</v>
      </c>
      <c r="E6405" s="136">
        <f t="shared" si="299"/>
        <v>27</v>
      </c>
      <c r="F6405" s="128" t="s">
        <v>24</v>
      </c>
      <c r="G6405" s="128" t="str">
        <f>VLOOKUP(source[[#This Row],[lending_product_transform]],[3]Mapping!$B$4:$C$37,2,0)</f>
        <v>[Cake] - Cashloan</v>
      </c>
      <c r="H6405" s="128" t="str">
        <f>VLOOKUP(source[[#This Row],[lending_product_transform]],[3]Mapping!$B$3:$D$37,3,0)</f>
        <v>cashloan</v>
      </c>
      <c r="I6405" s="135">
        <v>375900000</v>
      </c>
    </row>
    <row r="6406" spans="1:9" x14ac:dyDescent="0.2">
      <c r="A6406" s="134">
        <v>45774</v>
      </c>
      <c r="B6406" s="135">
        <f>YEAR(source[[#This Row],[report_date]])</f>
        <v>2025</v>
      </c>
      <c r="C6406" s="128">
        <f t="shared" si="298"/>
        <v>4</v>
      </c>
      <c r="D6406" s="136">
        <f t="shared" si="300"/>
        <v>17</v>
      </c>
      <c r="E6406" s="136">
        <f t="shared" si="299"/>
        <v>27</v>
      </c>
      <c r="F6406" s="128" t="s">
        <v>24</v>
      </c>
      <c r="G6406" s="128" t="str">
        <f>VLOOKUP(source[[#This Row],[lending_product_transform]],[3]Mapping!$B$4:$C$37,2,0)</f>
        <v>[Cake] - Cashloan</v>
      </c>
      <c r="H6406" s="128" t="str">
        <f>VLOOKUP(source[[#This Row],[lending_product_transform]],[3]Mapping!$B$3:$D$37,3,0)</f>
        <v>cashloan</v>
      </c>
      <c r="I6406" s="135">
        <v>835840000</v>
      </c>
    </row>
    <row r="6407" spans="1:9" x14ac:dyDescent="0.2">
      <c r="A6407" s="134">
        <v>45774</v>
      </c>
      <c r="B6407" s="135">
        <f>YEAR(source[[#This Row],[report_date]])</f>
        <v>2025</v>
      </c>
      <c r="C6407" s="128">
        <f t="shared" si="298"/>
        <v>4</v>
      </c>
      <c r="D6407" s="136">
        <f t="shared" si="300"/>
        <v>17</v>
      </c>
      <c r="E6407" s="136">
        <f t="shared" si="299"/>
        <v>27</v>
      </c>
      <c r="F6407" s="128" t="s">
        <v>24</v>
      </c>
      <c r="G6407" s="128" t="str">
        <f>VLOOKUP(source[[#This Row],[lending_product_transform]],[3]Mapping!$B$4:$C$37,2,0)</f>
        <v>[Cake] - Cashloan</v>
      </c>
      <c r="H6407" s="128" t="str">
        <f>VLOOKUP(source[[#This Row],[lending_product_transform]],[3]Mapping!$B$3:$D$37,3,0)</f>
        <v>cashloan</v>
      </c>
      <c r="I6407" s="135">
        <v>0</v>
      </c>
    </row>
    <row r="6408" spans="1:9" x14ac:dyDescent="0.2">
      <c r="A6408" s="134">
        <v>45774</v>
      </c>
      <c r="B6408" s="135">
        <f>YEAR(source[[#This Row],[report_date]])</f>
        <v>2025</v>
      </c>
      <c r="C6408" s="128">
        <f t="shared" si="298"/>
        <v>4</v>
      </c>
      <c r="D6408" s="136">
        <f t="shared" si="300"/>
        <v>17</v>
      </c>
      <c r="E6408" s="136">
        <f t="shared" si="299"/>
        <v>27</v>
      </c>
      <c r="F6408" s="128" t="s">
        <v>24</v>
      </c>
      <c r="G6408" s="128" t="str">
        <f>VLOOKUP(source[[#This Row],[lending_product_transform]],[3]Mapping!$B$4:$C$37,2,0)</f>
        <v>[Cake] - Cashloan</v>
      </c>
      <c r="H6408" s="128" t="str">
        <f>VLOOKUP(source[[#This Row],[lending_product_transform]],[3]Mapping!$B$3:$D$37,3,0)</f>
        <v>cashloan</v>
      </c>
      <c r="I6408" s="135">
        <v>180597914</v>
      </c>
    </row>
    <row r="6409" spans="1:9" x14ac:dyDescent="0.2">
      <c r="A6409" s="134">
        <v>45774</v>
      </c>
      <c r="B6409" s="135">
        <f>YEAR(source[[#This Row],[report_date]])</f>
        <v>2025</v>
      </c>
      <c r="C6409" s="128">
        <f t="shared" si="298"/>
        <v>4</v>
      </c>
      <c r="D6409" s="136">
        <f t="shared" si="300"/>
        <v>17</v>
      </c>
      <c r="E6409" s="136">
        <f t="shared" si="299"/>
        <v>27</v>
      </c>
      <c r="F6409" s="128" t="s">
        <v>24</v>
      </c>
      <c r="G6409" s="128" t="str">
        <f>VLOOKUP(source[[#This Row],[lending_product_transform]],[3]Mapping!$B$4:$C$37,2,0)</f>
        <v>[Cake] - Cashloan</v>
      </c>
      <c r="H6409" s="128" t="str">
        <f>VLOOKUP(source[[#This Row],[lending_product_transform]],[3]Mapping!$B$3:$D$37,3,0)</f>
        <v>cashloan</v>
      </c>
      <c r="I6409" s="135">
        <v>275638157</v>
      </c>
    </row>
    <row r="6410" spans="1:9" x14ac:dyDescent="0.2">
      <c r="A6410" s="134">
        <v>45774</v>
      </c>
      <c r="B6410" s="135">
        <f>YEAR(source[[#This Row],[report_date]])</f>
        <v>2025</v>
      </c>
      <c r="C6410" s="128">
        <f t="shared" si="298"/>
        <v>4</v>
      </c>
      <c r="D6410" s="136">
        <f t="shared" si="300"/>
        <v>17</v>
      </c>
      <c r="E6410" s="136">
        <f t="shared" si="299"/>
        <v>27</v>
      </c>
      <c r="F6410" s="128" t="s">
        <v>24</v>
      </c>
      <c r="G6410" s="128" t="str">
        <f>VLOOKUP(source[[#This Row],[lending_product_transform]],[3]Mapping!$B$4:$C$37,2,0)</f>
        <v>[Cake] - Cashloan</v>
      </c>
      <c r="H6410" s="128" t="str">
        <f>VLOOKUP(source[[#This Row],[lending_product_transform]],[3]Mapping!$B$3:$D$37,3,0)</f>
        <v>cashloan</v>
      </c>
      <c r="I6410" s="135">
        <v>2961190877</v>
      </c>
    </row>
    <row r="6411" spans="1:9" x14ac:dyDescent="0.2">
      <c r="A6411" s="134">
        <v>45774</v>
      </c>
      <c r="B6411" s="135">
        <f>YEAR(source[[#This Row],[report_date]])</f>
        <v>2025</v>
      </c>
      <c r="C6411" s="128">
        <f t="shared" si="298"/>
        <v>4</v>
      </c>
      <c r="D6411" s="136">
        <f t="shared" si="300"/>
        <v>17</v>
      </c>
      <c r="E6411" s="136">
        <f t="shared" si="299"/>
        <v>27</v>
      </c>
      <c r="F6411" s="128" t="s">
        <v>24</v>
      </c>
      <c r="G6411" s="128" t="str">
        <f>VLOOKUP(source[[#This Row],[lending_product_transform]],[3]Mapping!$B$4:$C$37,2,0)</f>
        <v>[Cake] - Cashloan</v>
      </c>
      <c r="H6411" s="128" t="str">
        <f>VLOOKUP(source[[#This Row],[lending_product_transform]],[3]Mapping!$B$3:$D$37,3,0)</f>
        <v>cashloan</v>
      </c>
      <c r="I6411" s="135">
        <v>299723008</v>
      </c>
    </row>
    <row r="6412" spans="1:9" x14ac:dyDescent="0.2">
      <c r="A6412" s="134">
        <v>45774</v>
      </c>
      <c r="B6412" s="135">
        <f>YEAR(source[[#This Row],[report_date]])</f>
        <v>2025</v>
      </c>
      <c r="C6412" s="128">
        <f t="shared" si="298"/>
        <v>4</v>
      </c>
      <c r="D6412" s="136">
        <f t="shared" si="300"/>
        <v>17</v>
      </c>
      <c r="E6412" s="136">
        <f t="shared" si="299"/>
        <v>27</v>
      </c>
      <c r="F6412" s="128" t="s">
        <v>24</v>
      </c>
      <c r="G6412" s="128" t="str">
        <f>VLOOKUP(source[[#This Row],[lending_product_transform]],[3]Mapping!$B$4:$C$37,2,0)</f>
        <v>[Cake] - Cashloan</v>
      </c>
      <c r="H6412" s="128" t="str">
        <f>VLOOKUP(source[[#This Row],[lending_product_transform]],[3]Mapping!$B$3:$D$37,3,0)</f>
        <v>cashloan</v>
      </c>
      <c r="I6412" s="135">
        <v>6877400000</v>
      </c>
    </row>
    <row r="6413" spans="1:9" x14ac:dyDescent="0.2">
      <c r="A6413" s="134">
        <v>45774</v>
      </c>
      <c r="B6413" s="135">
        <f>YEAR(source[[#This Row],[report_date]])</f>
        <v>2025</v>
      </c>
      <c r="C6413" s="128">
        <f t="shared" si="298"/>
        <v>4</v>
      </c>
      <c r="D6413" s="136">
        <f t="shared" si="300"/>
        <v>17</v>
      </c>
      <c r="E6413" s="136">
        <f t="shared" si="299"/>
        <v>27</v>
      </c>
      <c r="F6413" s="128" t="s">
        <v>24</v>
      </c>
      <c r="G6413" s="128" t="str">
        <f>VLOOKUP(source[[#This Row],[lending_product_transform]],[3]Mapping!$B$4:$C$37,2,0)</f>
        <v>[Cake] - Cashloan</v>
      </c>
      <c r="H6413" s="128" t="str">
        <f>VLOOKUP(source[[#This Row],[lending_product_transform]],[3]Mapping!$B$3:$D$37,3,0)</f>
        <v>cashloan</v>
      </c>
      <c r="I6413" s="135">
        <v>4590864000</v>
      </c>
    </row>
    <row r="6414" spans="1:9" x14ac:dyDescent="0.2">
      <c r="A6414" s="134">
        <v>45774</v>
      </c>
      <c r="B6414" s="135">
        <f>YEAR(source[[#This Row],[report_date]])</f>
        <v>2025</v>
      </c>
      <c r="C6414" s="128">
        <f t="shared" si="298"/>
        <v>4</v>
      </c>
      <c r="D6414" s="136">
        <f t="shared" si="300"/>
        <v>17</v>
      </c>
      <c r="E6414" s="136">
        <f t="shared" si="299"/>
        <v>27</v>
      </c>
      <c r="F6414" s="128" t="s">
        <v>24</v>
      </c>
      <c r="G6414" s="128" t="str">
        <f>VLOOKUP(source[[#This Row],[lending_product_transform]],[3]Mapping!$B$4:$C$37,2,0)</f>
        <v>[Cake] - Cashloan</v>
      </c>
      <c r="H6414" s="128" t="str">
        <f>VLOOKUP(source[[#This Row],[lending_product_transform]],[3]Mapping!$B$3:$D$37,3,0)</f>
        <v>cashloan</v>
      </c>
      <c r="I6414" s="135">
        <v>7275840000</v>
      </c>
    </row>
    <row r="6415" spans="1:9" x14ac:dyDescent="0.2">
      <c r="A6415" s="134">
        <v>45775</v>
      </c>
      <c r="B6415" s="135">
        <f>YEAR(source[[#This Row],[report_date]])</f>
        <v>2025</v>
      </c>
      <c r="C6415" s="128">
        <f t="shared" si="298"/>
        <v>4</v>
      </c>
      <c r="D6415" s="136">
        <f t="shared" si="300"/>
        <v>18</v>
      </c>
      <c r="E6415" s="136">
        <f t="shared" si="299"/>
        <v>28</v>
      </c>
      <c r="F6415" s="128" t="s">
        <v>24</v>
      </c>
      <c r="G6415" s="128" t="str">
        <f>VLOOKUP(source[[#This Row],[lending_product_transform]],[3]Mapping!$B$4:$C$37,2,0)</f>
        <v>[Cake] - Cashloan</v>
      </c>
      <c r="H6415" s="128" t="str">
        <f>VLOOKUP(source[[#This Row],[lending_product_transform]],[3]Mapping!$B$3:$D$37,3,0)</f>
        <v>cashloan</v>
      </c>
      <c r="I6415" s="135">
        <v>52500000</v>
      </c>
    </row>
    <row r="6416" spans="1:9" x14ac:dyDescent="0.2">
      <c r="A6416" s="134">
        <v>45775</v>
      </c>
      <c r="B6416" s="135">
        <f>YEAR(source[[#This Row],[report_date]])</f>
        <v>2025</v>
      </c>
      <c r="C6416" s="128">
        <f t="shared" si="298"/>
        <v>4</v>
      </c>
      <c r="D6416" s="136">
        <f t="shared" si="300"/>
        <v>18</v>
      </c>
      <c r="E6416" s="136">
        <f t="shared" si="299"/>
        <v>28</v>
      </c>
      <c r="F6416" s="128" t="s">
        <v>24</v>
      </c>
      <c r="G6416" s="128" t="str">
        <f>VLOOKUP(source[[#This Row],[lending_product_transform]],[3]Mapping!$B$4:$C$37,2,0)</f>
        <v>[Cake] - Cashloan</v>
      </c>
      <c r="H6416" s="128" t="str">
        <f>VLOOKUP(source[[#This Row],[lending_product_transform]],[3]Mapping!$B$3:$D$37,3,0)</f>
        <v>cashloan</v>
      </c>
      <c r="I6416" s="135">
        <v>318310256</v>
      </c>
    </row>
    <row r="6417" spans="1:9" x14ac:dyDescent="0.2">
      <c r="A6417" s="134">
        <v>45775</v>
      </c>
      <c r="B6417" s="135">
        <f>YEAR(source[[#This Row],[report_date]])</f>
        <v>2025</v>
      </c>
      <c r="C6417" s="128">
        <f t="shared" si="298"/>
        <v>4</v>
      </c>
      <c r="D6417" s="136">
        <f t="shared" si="300"/>
        <v>18</v>
      </c>
      <c r="E6417" s="136">
        <f t="shared" si="299"/>
        <v>28</v>
      </c>
      <c r="F6417" s="128" t="s">
        <v>24</v>
      </c>
      <c r="G6417" s="128" t="str">
        <f>VLOOKUP(source[[#This Row],[lending_product_transform]],[3]Mapping!$B$4:$C$37,2,0)</f>
        <v>[Cake] - Cashloan</v>
      </c>
      <c r="H6417" s="128" t="str">
        <f>VLOOKUP(source[[#This Row],[lending_product_transform]],[3]Mapping!$B$3:$D$37,3,0)</f>
        <v>cashloan</v>
      </c>
      <c r="I6417" s="135">
        <v>0</v>
      </c>
    </row>
    <row r="6418" spans="1:9" x14ac:dyDescent="0.2">
      <c r="A6418" s="134">
        <v>45775</v>
      </c>
      <c r="B6418" s="135">
        <f>YEAR(source[[#This Row],[report_date]])</f>
        <v>2025</v>
      </c>
      <c r="C6418" s="128">
        <f t="shared" si="298"/>
        <v>4</v>
      </c>
      <c r="D6418" s="136">
        <f t="shared" si="300"/>
        <v>18</v>
      </c>
      <c r="E6418" s="136">
        <f t="shared" si="299"/>
        <v>28</v>
      </c>
      <c r="F6418" s="128" t="s">
        <v>24</v>
      </c>
      <c r="G6418" s="128" t="str">
        <f>VLOOKUP(source[[#This Row],[lending_product_transform]],[3]Mapping!$B$4:$C$37,2,0)</f>
        <v>[Cake] - Cashloan</v>
      </c>
      <c r="H6418" s="128" t="str">
        <f>VLOOKUP(source[[#This Row],[lending_product_transform]],[3]Mapping!$B$3:$D$37,3,0)</f>
        <v>cashloan</v>
      </c>
      <c r="I6418" s="135">
        <v>7838830000</v>
      </c>
    </row>
    <row r="6419" spans="1:9" x14ac:dyDescent="0.2">
      <c r="A6419" s="134">
        <v>45775</v>
      </c>
      <c r="B6419" s="135">
        <f>YEAR(source[[#This Row],[report_date]])</f>
        <v>2025</v>
      </c>
      <c r="C6419" s="128">
        <f t="shared" si="298"/>
        <v>4</v>
      </c>
      <c r="D6419" s="136">
        <f t="shared" si="300"/>
        <v>18</v>
      </c>
      <c r="E6419" s="136">
        <f t="shared" si="299"/>
        <v>28</v>
      </c>
      <c r="F6419" s="128" t="s">
        <v>24</v>
      </c>
      <c r="G6419" s="128" t="str">
        <f>VLOOKUP(source[[#This Row],[lending_product_transform]],[3]Mapping!$B$4:$C$37,2,0)</f>
        <v>[Cake] - Cashloan</v>
      </c>
      <c r="H6419" s="128" t="str">
        <f>VLOOKUP(source[[#This Row],[lending_product_transform]],[3]Mapping!$B$3:$D$37,3,0)</f>
        <v>cashloan</v>
      </c>
      <c r="I6419" s="135">
        <v>0</v>
      </c>
    </row>
    <row r="6420" spans="1:9" x14ac:dyDescent="0.2">
      <c r="A6420" s="134">
        <v>45775</v>
      </c>
      <c r="B6420" s="135">
        <f>YEAR(source[[#This Row],[report_date]])</f>
        <v>2025</v>
      </c>
      <c r="C6420" s="128">
        <f t="shared" si="298"/>
        <v>4</v>
      </c>
      <c r="D6420" s="136">
        <f t="shared" si="300"/>
        <v>18</v>
      </c>
      <c r="E6420" s="136">
        <f t="shared" si="299"/>
        <v>28</v>
      </c>
      <c r="F6420" s="128" t="s">
        <v>24</v>
      </c>
      <c r="G6420" s="128" t="str">
        <f>VLOOKUP(source[[#This Row],[lending_product_transform]],[3]Mapping!$B$4:$C$37,2,0)</f>
        <v>[Cake] - Cashloan</v>
      </c>
      <c r="H6420" s="128" t="str">
        <f>VLOOKUP(source[[#This Row],[lending_product_transform]],[3]Mapping!$B$3:$D$37,3,0)</f>
        <v>cashloan</v>
      </c>
      <c r="I6420" s="135">
        <v>0</v>
      </c>
    </row>
    <row r="6421" spans="1:9" x14ac:dyDescent="0.2">
      <c r="A6421" s="134">
        <v>45775</v>
      </c>
      <c r="B6421" s="135">
        <f>YEAR(source[[#This Row],[report_date]])</f>
        <v>2025</v>
      </c>
      <c r="C6421" s="128">
        <f t="shared" si="298"/>
        <v>4</v>
      </c>
      <c r="D6421" s="136">
        <f t="shared" si="300"/>
        <v>18</v>
      </c>
      <c r="E6421" s="136">
        <f t="shared" si="299"/>
        <v>28</v>
      </c>
      <c r="F6421" s="128" t="s">
        <v>24</v>
      </c>
      <c r="G6421" s="128" t="str">
        <f>VLOOKUP(source[[#This Row],[lending_product_transform]],[3]Mapping!$B$4:$C$37,2,0)</f>
        <v>[Cake] - Cashloan</v>
      </c>
      <c r="H6421" s="128" t="str">
        <f>VLOOKUP(source[[#This Row],[lending_product_transform]],[3]Mapping!$B$3:$D$37,3,0)</f>
        <v>cashloan</v>
      </c>
      <c r="I6421" s="135">
        <v>5110020000</v>
      </c>
    </row>
    <row r="6422" spans="1:9" x14ac:dyDescent="0.2">
      <c r="A6422" s="134">
        <v>45775</v>
      </c>
      <c r="B6422" s="135">
        <f>YEAR(source[[#This Row],[report_date]])</f>
        <v>2025</v>
      </c>
      <c r="C6422" s="128">
        <f t="shared" si="298"/>
        <v>4</v>
      </c>
      <c r="D6422" s="136">
        <f t="shared" si="300"/>
        <v>18</v>
      </c>
      <c r="E6422" s="136">
        <f t="shared" si="299"/>
        <v>28</v>
      </c>
      <c r="F6422" s="128" t="s">
        <v>24</v>
      </c>
      <c r="G6422" s="128" t="str">
        <f>VLOOKUP(source[[#This Row],[lending_product_transform]],[3]Mapping!$B$4:$C$37,2,0)</f>
        <v>[Cake] - Cashloan</v>
      </c>
      <c r="H6422" s="128" t="str">
        <f>VLOOKUP(source[[#This Row],[lending_product_transform]],[3]Mapping!$B$3:$D$37,3,0)</f>
        <v>cashloan</v>
      </c>
      <c r="I6422" s="135">
        <v>0</v>
      </c>
    </row>
    <row r="6423" spans="1:9" x14ac:dyDescent="0.2">
      <c r="A6423" s="134">
        <v>45775</v>
      </c>
      <c r="B6423" s="135">
        <f>YEAR(source[[#This Row],[report_date]])</f>
        <v>2025</v>
      </c>
      <c r="C6423" s="128">
        <f t="shared" si="298"/>
        <v>4</v>
      </c>
      <c r="D6423" s="136">
        <f t="shared" si="300"/>
        <v>18</v>
      </c>
      <c r="E6423" s="136">
        <f t="shared" si="299"/>
        <v>28</v>
      </c>
      <c r="F6423" s="128" t="s">
        <v>24</v>
      </c>
      <c r="G6423" s="128" t="str">
        <f>VLOOKUP(source[[#This Row],[lending_product_transform]],[3]Mapping!$B$4:$C$37,2,0)</f>
        <v>[Cake] - Cashloan</v>
      </c>
      <c r="H6423" s="128" t="str">
        <f>VLOOKUP(source[[#This Row],[lending_product_transform]],[3]Mapping!$B$3:$D$37,3,0)</f>
        <v>cashloan</v>
      </c>
      <c r="I6423" s="135">
        <v>0</v>
      </c>
    </row>
    <row r="6424" spans="1:9" x14ac:dyDescent="0.2">
      <c r="A6424" s="134">
        <v>45775</v>
      </c>
      <c r="B6424" s="135">
        <f>YEAR(source[[#This Row],[report_date]])</f>
        <v>2025</v>
      </c>
      <c r="C6424" s="128">
        <f t="shared" si="298"/>
        <v>4</v>
      </c>
      <c r="D6424" s="136">
        <f t="shared" si="300"/>
        <v>18</v>
      </c>
      <c r="E6424" s="136">
        <f t="shared" si="299"/>
        <v>28</v>
      </c>
      <c r="F6424" s="128" t="s">
        <v>24</v>
      </c>
      <c r="G6424" s="128" t="str">
        <f>VLOOKUP(source[[#This Row],[lending_product_transform]],[3]Mapping!$B$4:$C$37,2,0)</f>
        <v>[Cake] - Cashloan</v>
      </c>
      <c r="H6424" s="128" t="str">
        <f>VLOOKUP(source[[#This Row],[lending_product_transform]],[3]Mapping!$B$3:$D$37,3,0)</f>
        <v>cashloan</v>
      </c>
      <c r="I6424" s="135">
        <v>26885530</v>
      </c>
    </row>
    <row r="6425" spans="1:9" x14ac:dyDescent="0.2">
      <c r="A6425" s="134">
        <v>45775</v>
      </c>
      <c r="B6425" s="135">
        <f>YEAR(source[[#This Row],[report_date]])</f>
        <v>2025</v>
      </c>
      <c r="C6425" s="128">
        <f t="shared" si="298"/>
        <v>4</v>
      </c>
      <c r="D6425" s="136">
        <f t="shared" si="300"/>
        <v>18</v>
      </c>
      <c r="E6425" s="136">
        <f t="shared" si="299"/>
        <v>28</v>
      </c>
      <c r="F6425" s="128" t="s">
        <v>24</v>
      </c>
      <c r="G6425" s="128" t="str">
        <f>VLOOKUP(source[[#This Row],[lending_product_transform]],[3]Mapping!$B$4:$C$37,2,0)</f>
        <v>[Cake] - Cashloan</v>
      </c>
      <c r="H6425" s="128" t="str">
        <f>VLOOKUP(source[[#This Row],[lending_product_transform]],[3]Mapping!$B$3:$D$37,3,0)</f>
        <v>cashloan</v>
      </c>
      <c r="I6425" s="135">
        <v>8021380000</v>
      </c>
    </row>
    <row r="6426" spans="1:9" x14ac:dyDescent="0.2">
      <c r="A6426" s="134">
        <v>45775</v>
      </c>
      <c r="B6426" s="135">
        <f>YEAR(source[[#This Row],[report_date]])</f>
        <v>2025</v>
      </c>
      <c r="C6426" s="128">
        <f t="shared" si="298"/>
        <v>4</v>
      </c>
      <c r="D6426" s="136">
        <f t="shared" si="300"/>
        <v>18</v>
      </c>
      <c r="E6426" s="136">
        <f t="shared" si="299"/>
        <v>28</v>
      </c>
      <c r="F6426" s="128" t="s">
        <v>24</v>
      </c>
      <c r="G6426" s="128" t="str">
        <f>VLOOKUP(source[[#This Row],[lending_product_transform]],[3]Mapping!$B$4:$C$37,2,0)</f>
        <v>[Cake] - Cashloan</v>
      </c>
      <c r="H6426" s="128" t="str">
        <f>VLOOKUP(source[[#This Row],[lending_product_transform]],[3]Mapping!$B$3:$D$37,3,0)</f>
        <v>cashloan</v>
      </c>
      <c r="I6426" s="135">
        <v>39000000</v>
      </c>
    </row>
    <row r="6427" spans="1:9" x14ac:dyDescent="0.2">
      <c r="A6427" s="134">
        <v>45775</v>
      </c>
      <c r="B6427" s="135">
        <f>YEAR(source[[#This Row],[report_date]])</f>
        <v>2025</v>
      </c>
      <c r="C6427" s="128">
        <f t="shared" si="298"/>
        <v>4</v>
      </c>
      <c r="D6427" s="136">
        <f t="shared" si="300"/>
        <v>18</v>
      </c>
      <c r="E6427" s="136">
        <f t="shared" si="299"/>
        <v>28</v>
      </c>
      <c r="F6427" s="128" t="s">
        <v>24</v>
      </c>
      <c r="G6427" s="128" t="str">
        <f>VLOOKUP(source[[#This Row],[lending_product_transform]],[3]Mapping!$B$4:$C$37,2,0)</f>
        <v>[Cake] - Cashloan</v>
      </c>
      <c r="H6427" s="128" t="str">
        <f>VLOOKUP(source[[#This Row],[lending_product_transform]],[3]Mapping!$B$3:$D$37,3,0)</f>
        <v>cashloan</v>
      </c>
      <c r="I6427" s="135">
        <v>0</v>
      </c>
    </row>
    <row r="6428" spans="1:9" x14ac:dyDescent="0.2">
      <c r="A6428" s="134">
        <v>45775</v>
      </c>
      <c r="B6428" s="135">
        <f>YEAR(source[[#This Row],[report_date]])</f>
        <v>2025</v>
      </c>
      <c r="C6428" s="128">
        <f t="shared" si="298"/>
        <v>4</v>
      </c>
      <c r="D6428" s="136">
        <f t="shared" si="300"/>
        <v>18</v>
      </c>
      <c r="E6428" s="136">
        <f t="shared" si="299"/>
        <v>28</v>
      </c>
      <c r="F6428" s="128" t="s">
        <v>24</v>
      </c>
      <c r="G6428" s="128" t="str">
        <f>VLOOKUP(source[[#This Row],[lending_product_transform]],[3]Mapping!$B$4:$C$37,2,0)</f>
        <v>[Cake] - Cashloan</v>
      </c>
      <c r="H6428" s="128" t="str">
        <f>VLOOKUP(source[[#This Row],[lending_product_transform]],[3]Mapping!$B$3:$D$37,3,0)</f>
        <v>cashloan</v>
      </c>
      <c r="I6428" s="135">
        <v>530440000</v>
      </c>
    </row>
    <row r="6429" spans="1:9" x14ac:dyDescent="0.2">
      <c r="A6429" s="134">
        <v>45775</v>
      </c>
      <c r="B6429" s="135">
        <f>YEAR(source[[#This Row],[report_date]])</f>
        <v>2025</v>
      </c>
      <c r="C6429" s="128">
        <f t="shared" si="298"/>
        <v>4</v>
      </c>
      <c r="D6429" s="136">
        <f t="shared" si="300"/>
        <v>18</v>
      </c>
      <c r="E6429" s="136">
        <f t="shared" si="299"/>
        <v>28</v>
      </c>
      <c r="F6429" s="128" t="s">
        <v>24</v>
      </c>
      <c r="G6429" s="128" t="str">
        <f>VLOOKUP(source[[#This Row],[lending_product_transform]],[3]Mapping!$B$4:$C$37,2,0)</f>
        <v>[Cake] - Cashloan</v>
      </c>
      <c r="H6429" s="128" t="str">
        <f>VLOOKUP(source[[#This Row],[lending_product_transform]],[3]Mapping!$B$3:$D$37,3,0)</f>
        <v>cashloan</v>
      </c>
      <c r="I6429" s="135">
        <v>873610000</v>
      </c>
    </row>
    <row r="6430" spans="1:9" x14ac:dyDescent="0.2">
      <c r="A6430" s="134">
        <v>45775</v>
      </c>
      <c r="B6430" s="135">
        <f>YEAR(source[[#This Row],[report_date]])</f>
        <v>2025</v>
      </c>
      <c r="C6430" s="128">
        <f t="shared" si="298"/>
        <v>4</v>
      </c>
      <c r="D6430" s="136">
        <f t="shared" si="300"/>
        <v>18</v>
      </c>
      <c r="E6430" s="136">
        <f t="shared" si="299"/>
        <v>28</v>
      </c>
      <c r="F6430" s="128" t="s">
        <v>24</v>
      </c>
      <c r="G6430" s="128" t="str">
        <f>VLOOKUP(source[[#This Row],[lending_product_transform]],[3]Mapping!$B$4:$C$37,2,0)</f>
        <v>[Cake] - Cashloan</v>
      </c>
      <c r="H6430" s="128" t="str">
        <f>VLOOKUP(source[[#This Row],[lending_product_transform]],[3]Mapping!$B$3:$D$37,3,0)</f>
        <v>cashloan</v>
      </c>
      <c r="I6430" s="135">
        <v>0</v>
      </c>
    </row>
    <row r="6431" spans="1:9" x14ac:dyDescent="0.2">
      <c r="A6431" s="134">
        <v>45775</v>
      </c>
      <c r="B6431" s="135">
        <f>YEAR(source[[#This Row],[report_date]])</f>
        <v>2025</v>
      </c>
      <c r="C6431" s="128">
        <f t="shared" si="298"/>
        <v>4</v>
      </c>
      <c r="D6431" s="136">
        <f t="shared" si="300"/>
        <v>18</v>
      </c>
      <c r="E6431" s="136">
        <f t="shared" si="299"/>
        <v>28</v>
      </c>
      <c r="F6431" s="128" t="s">
        <v>24</v>
      </c>
      <c r="G6431" s="128" t="str">
        <f>VLOOKUP(source[[#This Row],[lending_product_transform]],[3]Mapping!$B$4:$C$37,2,0)</f>
        <v>[Cake] - Cashloan</v>
      </c>
      <c r="H6431" s="128" t="str">
        <f>VLOOKUP(source[[#This Row],[lending_product_transform]],[3]Mapping!$B$3:$D$37,3,0)</f>
        <v>cashloan</v>
      </c>
      <c r="I6431" s="135">
        <v>194187216</v>
      </c>
    </row>
    <row r="6432" spans="1:9" x14ac:dyDescent="0.2">
      <c r="A6432" s="134">
        <v>45775</v>
      </c>
      <c r="B6432" s="135">
        <f>YEAR(source[[#This Row],[report_date]])</f>
        <v>2025</v>
      </c>
      <c r="C6432" s="128">
        <f t="shared" si="298"/>
        <v>4</v>
      </c>
      <c r="D6432" s="136">
        <f t="shared" si="300"/>
        <v>18</v>
      </c>
      <c r="E6432" s="136">
        <f t="shared" si="299"/>
        <v>28</v>
      </c>
      <c r="F6432" s="128" t="s">
        <v>24</v>
      </c>
      <c r="G6432" s="128" t="str">
        <f>VLOOKUP(source[[#This Row],[lending_product_transform]],[3]Mapping!$B$4:$C$37,2,0)</f>
        <v>[Cake] - Cashloan</v>
      </c>
      <c r="H6432" s="128" t="str">
        <f>VLOOKUP(source[[#This Row],[lending_product_transform]],[3]Mapping!$B$3:$D$37,3,0)</f>
        <v>cashloan</v>
      </c>
      <c r="I6432" s="135">
        <v>376209773</v>
      </c>
    </row>
    <row r="6433" spans="1:9" x14ac:dyDescent="0.2">
      <c r="A6433" s="134">
        <v>45775</v>
      </c>
      <c r="B6433" s="135">
        <f>YEAR(source[[#This Row],[report_date]])</f>
        <v>2025</v>
      </c>
      <c r="C6433" s="128">
        <f t="shared" si="298"/>
        <v>4</v>
      </c>
      <c r="D6433" s="136">
        <f t="shared" si="300"/>
        <v>18</v>
      </c>
      <c r="E6433" s="136">
        <f t="shared" si="299"/>
        <v>28</v>
      </c>
      <c r="F6433" s="128" t="s">
        <v>24</v>
      </c>
      <c r="G6433" s="128" t="str">
        <f>VLOOKUP(source[[#This Row],[lending_product_transform]],[3]Mapping!$B$4:$C$37,2,0)</f>
        <v>[Cake] - Cashloan</v>
      </c>
      <c r="H6433" s="128" t="str">
        <f>VLOOKUP(source[[#This Row],[lending_product_transform]],[3]Mapping!$B$3:$D$37,3,0)</f>
        <v>cashloan</v>
      </c>
      <c r="I6433" s="135">
        <v>4242408819</v>
      </c>
    </row>
    <row r="6434" spans="1:9" x14ac:dyDescent="0.2">
      <c r="A6434" s="134">
        <v>45776</v>
      </c>
      <c r="B6434" s="135">
        <f>YEAR(source[[#This Row],[report_date]])</f>
        <v>2025</v>
      </c>
      <c r="C6434" s="128">
        <f t="shared" si="298"/>
        <v>4</v>
      </c>
      <c r="D6434" s="136">
        <f t="shared" si="300"/>
        <v>18</v>
      </c>
      <c r="E6434" s="136">
        <f t="shared" si="299"/>
        <v>29</v>
      </c>
      <c r="F6434" s="128" t="s">
        <v>24</v>
      </c>
      <c r="G6434" s="128" t="str">
        <f>VLOOKUP(source[[#This Row],[lending_product_transform]],[3]Mapping!$B$4:$C$37,2,0)</f>
        <v>[Cake] - Cashloan</v>
      </c>
      <c r="H6434" s="128" t="str">
        <f>VLOOKUP(source[[#This Row],[lending_product_transform]],[3]Mapping!$B$3:$D$37,3,0)</f>
        <v>cashloan</v>
      </c>
      <c r="I6434" s="135">
        <v>9731170000</v>
      </c>
    </row>
    <row r="6435" spans="1:9" x14ac:dyDescent="0.2">
      <c r="A6435" s="134">
        <v>45776</v>
      </c>
      <c r="B6435" s="135">
        <f>YEAR(source[[#This Row],[report_date]])</f>
        <v>2025</v>
      </c>
      <c r="C6435" s="128">
        <f t="shared" si="298"/>
        <v>4</v>
      </c>
      <c r="D6435" s="136">
        <f t="shared" si="300"/>
        <v>18</v>
      </c>
      <c r="E6435" s="136">
        <f t="shared" si="299"/>
        <v>29</v>
      </c>
      <c r="F6435" s="128" t="s">
        <v>24</v>
      </c>
      <c r="G6435" s="128" t="str">
        <f>VLOOKUP(source[[#This Row],[lending_product_transform]],[3]Mapping!$B$4:$C$37,2,0)</f>
        <v>[Cake] - Cashloan</v>
      </c>
      <c r="H6435" s="128" t="str">
        <f>VLOOKUP(source[[#This Row],[lending_product_transform]],[3]Mapping!$B$3:$D$37,3,0)</f>
        <v>cashloan</v>
      </c>
      <c r="I6435" s="135">
        <v>5529816000</v>
      </c>
    </row>
    <row r="6436" spans="1:9" x14ac:dyDescent="0.2">
      <c r="A6436" s="134">
        <v>45776</v>
      </c>
      <c r="B6436" s="135">
        <f>YEAR(source[[#This Row],[report_date]])</f>
        <v>2025</v>
      </c>
      <c r="C6436" s="128">
        <f t="shared" si="298"/>
        <v>4</v>
      </c>
      <c r="D6436" s="136">
        <f t="shared" si="300"/>
        <v>18</v>
      </c>
      <c r="E6436" s="136">
        <f t="shared" si="299"/>
        <v>29</v>
      </c>
      <c r="F6436" s="128" t="s">
        <v>24</v>
      </c>
      <c r="G6436" s="128" t="str">
        <f>VLOOKUP(source[[#This Row],[lending_product_transform]],[3]Mapping!$B$4:$C$37,2,0)</f>
        <v>[Cake] - Cashloan</v>
      </c>
      <c r="H6436" s="128" t="str">
        <f>VLOOKUP(source[[#This Row],[lending_product_transform]],[3]Mapping!$B$3:$D$37,3,0)</f>
        <v>cashloan</v>
      </c>
      <c r="I6436" s="135">
        <v>0</v>
      </c>
    </row>
    <row r="6437" spans="1:9" x14ac:dyDescent="0.2">
      <c r="A6437" s="134">
        <v>45776</v>
      </c>
      <c r="B6437" s="135">
        <f>YEAR(source[[#This Row],[report_date]])</f>
        <v>2025</v>
      </c>
      <c r="C6437" s="128">
        <f t="shared" si="298"/>
        <v>4</v>
      </c>
      <c r="D6437" s="136">
        <f t="shared" si="300"/>
        <v>18</v>
      </c>
      <c r="E6437" s="136">
        <f t="shared" si="299"/>
        <v>29</v>
      </c>
      <c r="F6437" s="128" t="s">
        <v>24</v>
      </c>
      <c r="G6437" s="128" t="str">
        <f>VLOOKUP(source[[#This Row],[lending_product_transform]],[3]Mapping!$B$4:$C$37,2,0)</f>
        <v>[Cake] - Cashloan</v>
      </c>
      <c r="H6437" s="128" t="str">
        <f>VLOOKUP(source[[#This Row],[lending_product_transform]],[3]Mapping!$B$3:$D$37,3,0)</f>
        <v>cashloan</v>
      </c>
      <c r="I6437" s="135">
        <v>0</v>
      </c>
    </row>
    <row r="6438" spans="1:9" x14ac:dyDescent="0.2">
      <c r="A6438" s="134">
        <v>45776</v>
      </c>
      <c r="B6438" s="135">
        <f>YEAR(source[[#This Row],[report_date]])</f>
        <v>2025</v>
      </c>
      <c r="C6438" s="128">
        <f t="shared" si="298"/>
        <v>4</v>
      </c>
      <c r="D6438" s="136">
        <f t="shared" si="300"/>
        <v>18</v>
      </c>
      <c r="E6438" s="136">
        <f t="shared" si="299"/>
        <v>29</v>
      </c>
      <c r="F6438" s="128" t="s">
        <v>24</v>
      </c>
      <c r="G6438" s="128" t="str">
        <f>VLOOKUP(source[[#This Row],[lending_product_transform]],[3]Mapping!$B$4:$C$37,2,0)</f>
        <v>[Cake] - Cashloan</v>
      </c>
      <c r="H6438" s="128" t="str">
        <f>VLOOKUP(source[[#This Row],[lending_product_transform]],[3]Mapping!$B$3:$D$37,3,0)</f>
        <v>cashloan</v>
      </c>
      <c r="I6438" s="135">
        <v>532854328</v>
      </c>
    </row>
    <row r="6439" spans="1:9" x14ac:dyDescent="0.2">
      <c r="A6439" s="134">
        <v>45776</v>
      </c>
      <c r="B6439" s="135">
        <f>YEAR(source[[#This Row],[report_date]])</f>
        <v>2025</v>
      </c>
      <c r="C6439" s="128">
        <f t="shared" si="298"/>
        <v>4</v>
      </c>
      <c r="D6439" s="136">
        <f t="shared" si="300"/>
        <v>18</v>
      </c>
      <c r="E6439" s="136">
        <f t="shared" si="299"/>
        <v>29</v>
      </c>
      <c r="F6439" s="128" t="s">
        <v>24</v>
      </c>
      <c r="G6439" s="128" t="str">
        <f>VLOOKUP(source[[#This Row],[lending_product_transform]],[3]Mapping!$B$4:$C$37,2,0)</f>
        <v>[Cake] - Cashloan</v>
      </c>
      <c r="H6439" s="128" t="str">
        <f>VLOOKUP(source[[#This Row],[lending_product_transform]],[3]Mapping!$B$3:$D$37,3,0)</f>
        <v>cashloan</v>
      </c>
      <c r="I6439" s="135">
        <v>0</v>
      </c>
    </row>
    <row r="6440" spans="1:9" x14ac:dyDescent="0.2">
      <c r="A6440" s="134">
        <v>45776</v>
      </c>
      <c r="B6440" s="135">
        <f>YEAR(source[[#This Row],[report_date]])</f>
        <v>2025</v>
      </c>
      <c r="C6440" s="128">
        <f t="shared" si="298"/>
        <v>4</v>
      </c>
      <c r="D6440" s="136">
        <f t="shared" si="300"/>
        <v>18</v>
      </c>
      <c r="E6440" s="136">
        <f t="shared" si="299"/>
        <v>29</v>
      </c>
      <c r="F6440" s="128" t="s">
        <v>24</v>
      </c>
      <c r="G6440" s="128" t="str">
        <f>VLOOKUP(source[[#This Row],[lending_product_transform]],[3]Mapping!$B$4:$C$37,2,0)</f>
        <v>[Cake] - Cashloan</v>
      </c>
      <c r="H6440" s="128" t="str">
        <f>VLOOKUP(source[[#This Row],[lending_product_transform]],[3]Mapping!$B$3:$D$37,3,0)</f>
        <v>cashloan</v>
      </c>
      <c r="I6440" s="135">
        <v>24743599</v>
      </c>
    </row>
    <row r="6441" spans="1:9" x14ac:dyDescent="0.2">
      <c r="A6441" s="134">
        <v>45776</v>
      </c>
      <c r="B6441" s="135">
        <f>YEAR(source[[#This Row],[report_date]])</f>
        <v>2025</v>
      </c>
      <c r="C6441" s="128">
        <f t="shared" si="298"/>
        <v>4</v>
      </c>
      <c r="D6441" s="136">
        <f t="shared" si="300"/>
        <v>18</v>
      </c>
      <c r="E6441" s="136">
        <f t="shared" si="299"/>
        <v>29</v>
      </c>
      <c r="F6441" s="128" t="s">
        <v>24</v>
      </c>
      <c r="G6441" s="128" t="str">
        <f>VLOOKUP(source[[#This Row],[lending_product_transform]],[3]Mapping!$B$4:$C$37,2,0)</f>
        <v>[Cake] - Cashloan</v>
      </c>
      <c r="H6441" s="128" t="str">
        <f>VLOOKUP(source[[#This Row],[lending_product_transform]],[3]Mapping!$B$3:$D$37,3,0)</f>
        <v>cashloan</v>
      </c>
      <c r="I6441" s="135">
        <v>4230708613</v>
      </c>
    </row>
    <row r="6442" spans="1:9" x14ac:dyDescent="0.2">
      <c r="A6442" s="134">
        <v>45776</v>
      </c>
      <c r="B6442" s="135">
        <f>YEAR(source[[#This Row],[report_date]])</f>
        <v>2025</v>
      </c>
      <c r="C6442" s="128">
        <f t="shared" si="298"/>
        <v>4</v>
      </c>
      <c r="D6442" s="136">
        <f t="shared" si="300"/>
        <v>18</v>
      </c>
      <c r="E6442" s="136">
        <f t="shared" si="299"/>
        <v>29</v>
      </c>
      <c r="F6442" s="128" t="s">
        <v>24</v>
      </c>
      <c r="G6442" s="128" t="str">
        <f>VLOOKUP(source[[#This Row],[lending_product_transform]],[3]Mapping!$B$4:$C$37,2,0)</f>
        <v>[Cake] - Cashloan</v>
      </c>
      <c r="H6442" s="128" t="str">
        <f>VLOOKUP(source[[#This Row],[lending_product_transform]],[3]Mapping!$B$3:$D$37,3,0)</f>
        <v>cashloan</v>
      </c>
      <c r="I6442" s="135">
        <v>0</v>
      </c>
    </row>
    <row r="6443" spans="1:9" x14ac:dyDescent="0.2">
      <c r="A6443" s="134">
        <v>45776</v>
      </c>
      <c r="B6443" s="135">
        <f>YEAR(source[[#This Row],[report_date]])</f>
        <v>2025</v>
      </c>
      <c r="C6443" s="128">
        <f t="shared" si="298"/>
        <v>4</v>
      </c>
      <c r="D6443" s="136">
        <f t="shared" si="300"/>
        <v>18</v>
      </c>
      <c r="E6443" s="136">
        <f t="shared" si="299"/>
        <v>29</v>
      </c>
      <c r="F6443" s="128" t="s">
        <v>24</v>
      </c>
      <c r="G6443" s="128" t="str">
        <f>VLOOKUP(source[[#This Row],[lending_product_transform]],[3]Mapping!$B$4:$C$37,2,0)</f>
        <v>[Cake] - Cashloan</v>
      </c>
      <c r="H6443" s="128" t="str">
        <f>VLOOKUP(source[[#This Row],[lending_product_transform]],[3]Mapping!$B$3:$D$37,3,0)</f>
        <v>cashloan</v>
      </c>
      <c r="I6443" s="135">
        <v>0</v>
      </c>
    </row>
    <row r="6444" spans="1:9" x14ac:dyDescent="0.2">
      <c r="A6444" s="134">
        <v>45776</v>
      </c>
      <c r="B6444" s="135">
        <f>YEAR(source[[#This Row],[report_date]])</f>
        <v>2025</v>
      </c>
      <c r="C6444" s="128">
        <f t="shared" si="298"/>
        <v>4</v>
      </c>
      <c r="D6444" s="136">
        <f t="shared" si="300"/>
        <v>18</v>
      </c>
      <c r="E6444" s="136">
        <f t="shared" si="299"/>
        <v>29</v>
      </c>
      <c r="F6444" s="128" t="s">
        <v>24</v>
      </c>
      <c r="G6444" s="128" t="str">
        <f>VLOOKUP(source[[#This Row],[lending_product_transform]],[3]Mapping!$B$4:$C$37,2,0)</f>
        <v>[Cake] - Cashloan</v>
      </c>
      <c r="H6444" s="128" t="str">
        <f>VLOOKUP(source[[#This Row],[lending_product_transform]],[3]Mapping!$B$3:$D$37,3,0)</f>
        <v>cashloan</v>
      </c>
      <c r="I6444" s="135">
        <v>72500000</v>
      </c>
    </row>
    <row r="6445" spans="1:9" x14ac:dyDescent="0.2">
      <c r="A6445" s="134">
        <v>45776</v>
      </c>
      <c r="B6445" s="135">
        <f>YEAR(source[[#This Row],[report_date]])</f>
        <v>2025</v>
      </c>
      <c r="C6445" s="128">
        <f t="shared" si="298"/>
        <v>4</v>
      </c>
      <c r="D6445" s="136">
        <f t="shared" si="300"/>
        <v>18</v>
      </c>
      <c r="E6445" s="136">
        <f t="shared" si="299"/>
        <v>29</v>
      </c>
      <c r="F6445" s="128" t="s">
        <v>24</v>
      </c>
      <c r="G6445" s="128" t="str">
        <f>VLOOKUP(source[[#This Row],[lending_product_transform]],[3]Mapping!$B$4:$C$37,2,0)</f>
        <v>[Cake] - Cashloan</v>
      </c>
      <c r="H6445" s="128" t="str">
        <f>VLOOKUP(source[[#This Row],[lending_product_transform]],[3]Mapping!$B$3:$D$37,3,0)</f>
        <v>cashloan</v>
      </c>
      <c r="I6445" s="135">
        <v>72000000</v>
      </c>
    </row>
    <row r="6446" spans="1:9" x14ac:dyDescent="0.2">
      <c r="A6446" s="134">
        <v>45776</v>
      </c>
      <c r="B6446" s="135">
        <f>YEAR(source[[#This Row],[report_date]])</f>
        <v>2025</v>
      </c>
      <c r="C6446" s="128">
        <f t="shared" si="298"/>
        <v>4</v>
      </c>
      <c r="D6446" s="136">
        <f t="shared" si="300"/>
        <v>18</v>
      </c>
      <c r="E6446" s="136">
        <f t="shared" si="299"/>
        <v>29</v>
      </c>
      <c r="F6446" s="128" t="s">
        <v>24</v>
      </c>
      <c r="G6446" s="128" t="str">
        <f>VLOOKUP(source[[#This Row],[lending_product_transform]],[3]Mapping!$B$4:$C$37,2,0)</f>
        <v>[Cake] - Cashloan</v>
      </c>
      <c r="H6446" s="128" t="str">
        <f>VLOOKUP(source[[#This Row],[lending_product_transform]],[3]Mapping!$B$3:$D$37,3,0)</f>
        <v>cashloan</v>
      </c>
      <c r="I6446" s="135">
        <v>0</v>
      </c>
    </row>
    <row r="6447" spans="1:9" x14ac:dyDescent="0.2">
      <c r="A6447" s="134">
        <v>45776</v>
      </c>
      <c r="B6447" s="135">
        <f>YEAR(source[[#This Row],[report_date]])</f>
        <v>2025</v>
      </c>
      <c r="C6447" s="128">
        <f t="shared" si="298"/>
        <v>4</v>
      </c>
      <c r="D6447" s="136">
        <f t="shared" si="300"/>
        <v>18</v>
      </c>
      <c r="E6447" s="136">
        <f t="shared" si="299"/>
        <v>29</v>
      </c>
      <c r="F6447" s="128" t="s">
        <v>24</v>
      </c>
      <c r="G6447" s="128" t="str">
        <f>VLOOKUP(source[[#This Row],[lending_product_transform]],[3]Mapping!$B$4:$C$37,2,0)</f>
        <v>[Cake] - Cashloan</v>
      </c>
      <c r="H6447" s="128" t="str">
        <f>VLOOKUP(source[[#This Row],[lending_product_transform]],[3]Mapping!$B$3:$D$37,3,0)</f>
        <v>cashloan</v>
      </c>
      <c r="I6447" s="135">
        <v>0</v>
      </c>
    </row>
    <row r="6448" spans="1:9" x14ac:dyDescent="0.2">
      <c r="A6448" s="134">
        <v>45776</v>
      </c>
      <c r="B6448" s="135">
        <f>YEAR(source[[#This Row],[report_date]])</f>
        <v>2025</v>
      </c>
      <c r="C6448" s="128">
        <f t="shared" si="298"/>
        <v>4</v>
      </c>
      <c r="D6448" s="136">
        <f t="shared" si="300"/>
        <v>18</v>
      </c>
      <c r="E6448" s="136">
        <f t="shared" si="299"/>
        <v>29</v>
      </c>
      <c r="F6448" s="128" t="s">
        <v>24</v>
      </c>
      <c r="G6448" s="128" t="str">
        <f>VLOOKUP(source[[#This Row],[lending_product_transform]],[3]Mapping!$B$4:$C$37,2,0)</f>
        <v>[Cake] - Cashloan</v>
      </c>
      <c r="H6448" s="128" t="str">
        <f>VLOOKUP(source[[#This Row],[lending_product_transform]],[3]Mapping!$B$3:$D$37,3,0)</f>
        <v>cashloan</v>
      </c>
      <c r="I6448" s="135">
        <v>568860000</v>
      </c>
    </row>
    <row r="6449" spans="1:9" x14ac:dyDescent="0.2">
      <c r="A6449" s="134">
        <v>45776</v>
      </c>
      <c r="B6449" s="135">
        <f>YEAR(source[[#This Row],[report_date]])</f>
        <v>2025</v>
      </c>
      <c r="C6449" s="128">
        <f t="shared" si="298"/>
        <v>4</v>
      </c>
      <c r="D6449" s="136">
        <f t="shared" si="300"/>
        <v>18</v>
      </c>
      <c r="E6449" s="136">
        <f t="shared" si="299"/>
        <v>29</v>
      </c>
      <c r="F6449" s="128" t="s">
        <v>24</v>
      </c>
      <c r="G6449" s="128" t="str">
        <f>VLOOKUP(source[[#This Row],[lending_product_transform]],[3]Mapping!$B$4:$C$37,2,0)</f>
        <v>[Cake] - Cashloan</v>
      </c>
      <c r="H6449" s="128" t="str">
        <f>VLOOKUP(source[[#This Row],[lending_product_transform]],[3]Mapping!$B$3:$D$37,3,0)</f>
        <v>cashloan</v>
      </c>
      <c r="I6449" s="135">
        <v>882980000</v>
      </c>
    </row>
    <row r="6450" spans="1:9" x14ac:dyDescent="0.2">
      <c r="A6450" s="134">
        <v>45776</v>
      </c>
      <c r="B6450" s="135">
        <f>YEAR(source[[#This Row],[report_date]])</f>
        <v>2025</v>
      </c>
      <c r="C6450" s="128">
        <f t="shared" si="298"/>
        <v>4</v>
      </c>
      <c r="D6450" s="136">
        <f t="shared" si="300"/>
        <v>18</v>
      </c>
      <c r="E6450" s="136">
        <f t="shared" si="299"/>
        <v>29</v>
      </c>
      <c r="F6450" s="128" t="s">
        <v>24</v>
      </c>
      <c r="G6450" s="128" t="str">
        <f>VLOOKUP(source[[#This Row],[lending_product_transform]],[3]Mapping!$B$4:$C$37,2,0)</f>
        <v>[Cake] - Cashloan</v>
      </c>
      <c r="H6450" s="128" t="str">
        <f>VLOOKUP(source[[#This Row],[lending_product_transform]],[3]Mapping!$B$3:$D$37,3,0)</f>
        <v>cashloan</v>
      </c>
      <c r="I6450" s="135">
        <v>336635383</v>
      </c>
    </row>
    <row r="6451" spans="1:9" x14ac:dyDescent="0.2">
      <c r="A6451" s="134">
        <v>45776</v>
      </c>
      <c r="B6451" s="135">
        <f>YEAR(source[[#This Row],[report_date]])</f>
        <v>2025</v>
      </c>
      <c r="C6451" s="128">
        <f t="shared" si="298"/>
        <v>4</v>
      </c>
      <c r="D6451" s="136">
        <f t="shared" si="300"/>
        <v>18</v>
      </c>
      <c r="E6451" s="136">
        <f t="shared" si="299"/>
        <v>29</v>
      </c>
      <c r="F6451" s="128" t="s">
        <v>24</v>
      </c>
      <c r="G6451" s="128" t="str">
        <f>VLOOKUP(source[[#This Row],[lending_product_transform]],[3]Mapping!$B$4:$C$37,2,0)</f>
        <v>[Cake] - Cashloan</v>
      </c>
      <c r="H6451" s="128" t="str">
        <f>VLOOKUP(source[[#This Row],[lending_product_transform]],[3]Mapping!$B$3:$D$37,3,0)</f>
        <v>cashloan</v>
      </c>
      <c r="I6451" s="135">
        <v>230071148</v>
      </c>
    </row>
    <row r="6452" spans="1:9" x14ac:dyDescent="0.2">
      <c r="A6452" s="134">
        <v>45776</v>
      </c>
      <c r="B6452" s="135">
        <f>YEAR(source[[#This Row],[report_date]])</f>
        <v>2025</v>
      </c>
      <c r="C6452" s="128">
        <f t="shared" si="298"/>
        <v>4</v>
      </c>
      <c r="D6452" s="136">
        <f t="shared" si="300"/>
        <v>18</v>
      </c>
      <c r="E6452" s="136">
        <f t="shared" si="299"/>
        <v>29</v>
      </c>
      <c r="F6452" s="128" t="s">
        <v>24</v>
      </c>
      <c r="G6452" s="128" t="str">
        <f>VLOOKUP(source[[#This Row],[lending_product_transform]],[3]Mapping!$B$4:$C$37,2,0)</f>
        <v>[Cake] - Cashloan</v>
      </c>
      <c r="H6452" s="128" t="str">
        <f>VLOOKUP(source[[#This Row],[lending_product_transform]],[3]Mapping!$B$3:$D$37,3,0)</f>
        <v>cashloan</v>
      </c>
      <c r="I6452" s="135">
        <v>8792240000</v>
      </c>
    </row>
    <row r="6453" spans="1:9" x14ac:dyDescent="0.2">
      <c r="A6453" s="134">
        <v>45777</v>
      </c>
      <c r="B6453" s="135">
        <f>YEAR(source[[#This Row],[report_date]])</f>
        <v>2025</v>
      </c>
      <c r="C6453" s="128">
        <f t="shared" si="298"/>
        <v>4</v>
      </c>
      <c r="D6453" s="136">
        <f t="shared" si="300"/>
        <v>18</v>
      </c>
      <c r="E6453" s="136">
        <f t="shared" si="299"/>
        <v>30</v>
      </c>
      <c r="F6453" s="128" t="s">
        <v>24</v>
      </c>
      <c r="G6453" s="128" t="str">
        <f>VLOOKUP(source[[#This Row],[lending_product_transform]],[3]Mapping!$B$4:$C$37,2,0)</f>
        <v>[Cake] - Cashloan</v>
      </c>
      <c r="H6453" s="128" t="str">
        <f>VLOOKUP(source[[#This Row],[lending_product_transform]],[3]Mapping!$B$3:$D$37,3,0)</f>
        <v>cashloan</v>
      </c>
      <c r="I6453" s="135">
        <v>3200556134</v>
      </c>
    </row>
    <row r="6454" spans="1:9" x14ac:dyDescent="0.2">
      <c r="A6454" s="134">
        <v>45777</v>
      </c>
      <c r="B6454" s="135">
        <f>YEAR(source[[#This Row],[report_date]])</f>
        <v>2025</v>
      </c>
      <c r="C6454" s="128">
        <f t="shared" ref="C6454:C6517" si="301">MONTH(A6454)</f>
        <v>4</v>
      </c>
      <c r="D6454" s="136">
        <f t="shared" si="300"/>
        <v>18</v>
      </c>
      <c r="E6454" s="136">
        <f t="shared" ref="E6454:E6517" si="302">DAY(A6454)</f>
        <v>30</v>
      </c>
      <c r="F6454" s="128" t="s">
        <v>24</v>
      </c>
      <c r="G6454" s="128" t="str">
        <f>VLOOKUP(source[[#This Row],[lending_product_transform]],[3]Mapping!$B$4:$C$37,2,0)</f>
        <v>[Cake] - Cashloan</v>
      </c>
      <c r="H6454" s="128" t="str">
        <f>VLOOKUP(source[[#This Row],[lending_product_transform]],[3]Mapping!$B$3:$D$37,3,0)</f>
        <v>cashloan</v>
      </c>
      <c r="I6454" s="135">
        <v>245973045</v>
      </c>
    </row>
    <row r="6455" spans="1:9" x14ac:dyDescent="0.2">
      <c r="A6455" s="134">
        <v>45777</v>
      </c>
      <c r="B6455" s="135">
        <f>YEAR(source[[#This Row],[report_date]])</f>
        <v>2025</v>
      </c>
      <c r="C6455" s="128">
        <f t="shared" si="301"/>
        <v>4</v>
      </c>
      <c r="D6455" s="136">
        <f t="shared" si="300"/>
        <v>18</v>
      </c>
      <c r="E6455" s="136">
        <f t="shared" si="302"/>
        <v>30</v>
      </c>
      <c r="F6455" s="128" t="s">
        <v>24</v>
      </c>
      <c r="G6455" s="128" t="str">
        <f>VLOOKUP(source[[#This Row],[lending_product_transform]],[3]Mapping!$B$4:$C$37,2,0)</f>
        <v>[Cake] - Cashloan</v>
      </c>
      <c r="H6455" s="128" t="str">
        <f>VLOOKUP(source[[#This Row],[lending_product_transform]],[3]Mapping!$B$3:$D$37,3,0)</f>
        <v>cashloan</v>
      </c>
      <c r="I6455" s="135">
        <v>316819511</v>
      </c>
    </row>
    <row r="6456" spans="1:9" x14ac:dyDescent="0.2">
      <c r="A6456" s="134">
        <v>45777</v>
      </c>
      <c r="B6456" s="135">
        <f>YEAR(source[[#This Row],[report_date]])</f>
        <v>2025</v>
      </c>
      <c r="C6456" s="128">
        <f t="shared" si="301"/>
        <v>4</v>
      </c>
      <c r="D6456" s="136">
        <f t="shared" si="300"/>
        <v>18</v>
      </c>
      <c r="E6456" s="136">
        <f t="shared" si="302"/>
        <v>30</v>
      </c>
      <c r="F6456" s="128" t="s">
        <v>24</v>
      </c>
      <c r="G6456" s="128" t="str">
        <f>VLOOKUP(source[[#This Row],[lending_product_transform]],[3]Mapping!$B$4:$C$37,2,0)</f>
        <v>[Cake] - Cashloan</v>
      </c>
      <c r="H6456" s="128" t="str">
        <f>VLOOKUP(source[[#This Row],[lending_product_transform]],[3]Mapping!$B$3:$D$37,3,0)</f>
        <v>cashloan</v>
      </c>
      <c r="I6456" s="135">
        <v>4412124000</v>
      </c>
    </row>
    <row r="6457" spans="1:9" x14ac:dyDescent="0.2">
      <c r="A6457" s="134">
        <v>45777</v>
      </c>
      <c r="B6457" s="135">
        <f>YEAR(source[[#This Row],[report_date]])</f>
        <v>2025</v>
      </c>
      <c r="C6457" s="128">
        <f t="shared" si="301"/>
        <v>4</v>
      </c>
      <c r="D6457" s="136">
        <f t="shared" si="300"/>
        <v>18</v>
      </c>
      <c r="E6457" s="136">
        <f t="shared" si="302"/>
        <v>30</v>
      </c>
      <c r="F6457" s="128" t="s">
        <v>24</v>
      </c>
      <c r="G6457" s="128" t="str">
        <f>VLOOKUP(source[[#This Row],[lending_product_transform]],[3]Mapping!$B$4:$C$37,2,0)</f>
        <v>[Cake] - Cashloan</v>
      </c>
      <c r="H6457" s="128" t="str">
        <f>VLOOKUP(source[[#This Row],[lending_product_transform]],[3]Mapping!$B$3:$D$37,3,0)</f>
        <v>cashloan</v>
      </c>
      <c r="I6457" s="135">
        <v>251261352</v>
      </c>
    </row>
    <row r="6458" spans="1:9" x14ac:dyDescent="0.2">
      <c r="A6458" s="134">
        <v>45777</v>
      </c>
      <c r="B6458" s="135">
        <f>YEAR(source[[#This Row],[report_date]])</f>
        <v>2025</v>
      </c>
      <c r="C6458" s="128">
        <f t="shared" si="301"/>
        <v>4</v>
      </c>
      <c r="D6458" s="136">
        <f t="shared" si="300"/>
        <v>18</v>
      </c>
      <c r="E6458" s="136">
        <f t="shared" si="302"/>
        <v>30</v>
      </c>
      <c r="F6458" s="128" t="s">
        <v>24</v>
      </c>
      <c r="G6458" s="128" t="str">
        <f>VLOOKUP(source[[#This Row],[lending_product_transform]],[3]Mapping!$B$4:$C$37,2,0)</f>
        <v>[Cake] - Cashloan</v>
      </c>
      <c r="H6458" s="128" t="str">
        <f>VLOOKUP(source[[#This Row],[lending_product_transform]],[3]Mapping!$B$3:$D$37,3,0)</f>
        <v>cashloan</v>
      </c>
      <c r="I6458" s="135">
        <v>6213380000</v>
      </c>
    </row>
    <row r="6459" spans="1:9" x14ac:dyDescent="0.2">
      <c r="A6459" s="134">
        <v>45777</v>
      </c>
      <c r="B6459" s="135">
        <f>YEAR(source[[#This Row],[report_date]])</f>
        <v>2025</v>
      </c>
      <c r="C6459" s="128">
        <f t="shared" si="301"/>
        <v>4</v>
      </c>
      <c r="D6459" s="136">
        <f t="shared" si="300"/>
        <v>18</v>
      </c>
      <c r="E6459" s="136">
        <f t="shared" si="302"/>
        <v>30</v>
      </c>
      <c r="F6459" s="128" t="s">
        <v>24</v>
      </c>
      <c r="G6459" s="128" t="str">
        <f>VLOOKUP(source[[#This Row],[lending_product_transform]],[3]Mapping!$B$4:$C$37,2,0)</f>
        <v>[Cake] - Cashloan</v>
      </c>
      <c r="H6459" s="128" t="str">
        <f>VLOOKUP(source[[#This Row],[lending_product_transform]],[3]Mapping!$B$3:$D$37,3,0)</f>
        <v>cashloan</v>
      </c>
      <c r="I6459" s="135">
        <v>0</v>
      </c>
    </row>
    <row r="6460" spans="1:9" x14ac:dyDescent="0.2">
      <c r="A6460" s="134">
        <v>45777</v>
      </c>
      <c r="B6460" s="135">
        <f>YEAR(source[[#This Row],[report_date]])</f>
        <v>2025</v>
      </c>
      <c r="C6460" s="128">
        <f t="shared" si="301"/>
        <v>4</v>
      </c>
      <c r="D6460" s="136">
        <f t="shared" si="300"/>
        <v>18</v>
      </c>
      <c r="E6460" s="136">
        <f t="shared" si="302"/>
        <v>30</v>
      </c>
      <c r="F6460" s="128" t="s">
        <v>24</v>
      </c>
      <c r="G6460" s="128" t="str">
        <f>VLOOKUP(source[[#This Row],[lending_product_transform]],[3]Mapping!$B$4:$C$37,2,0)</f>
        <v>[Cake] - Cashloan</v>
      </c>
      <c r="H6460" s="128" t="str">
        <f>VLOOKUP(source[[#This Row],[lending_product_transform]],[3]Mapping!$B$3:$D$37,3,0)</f>
        <v>cashloan</v>
      </c>
      <c r="I6460" s="135">
        <v>0</v>
      </c>
    </row>
    <row r="6461" spans="1:9" x14ac:dyDescent="0.2">
      <c r="A6461" s="134">
        <v>45777</v>
      </c>
      <c r="B6461" s="135">
        <f>YEAR(source[[#This Row],[report_date]])</f>
        <v>2025</v>
      </c>
      <c r="C6461" s="128">
        <f t="shared" si="301"/>
        <v>4</v>
      </c>
      <c r="D6461" s="136">
        <f t="shared" si="300"/>
        <v>18</v>
      </c>
      <c r="E6461" s="136">
        <f t="shared" si="302"/>
        <v>30</v>
      </c>
      <c r="F6461" s="128" t="s">
        <v>24</v>
      </c>
      <c r="G6461" s="128" t="str">
        <f>VLOOKUP(source[[#This Row],[lending_product_transform]],[3]Mapping!$B$4:$C$37,2,0)</f>
        <v>[Cake] - Cashloan</v>
      </c>
      <c r="H6461" s="128" t="str">
        <f>VLOOKUP(source[[#This Row],[lending_product_transform]],[3]Mapping!$B$3:$D$37,3,0)</f>
        <v>cashloan</v>
      </c>
      <c r="I6461" s="135">
        <v>15159264</v>
      </c>
    </row>
    <row r="6462" spans="1:9" x14ac:dyDescent="0.2">
      <c r="A6462" s="134">
        <v>45777</v>
      </c>
      <c r="B6462" s="135">
        <f>YEAR(source[[#This Row],[report_date]])</f>
        <v>2025</v>
      </c>
      <c r="C6462" s="128">
        <f t="shared" si="301"/>
        <v>4</v>
      </c>
      <c r="D6462" s="136">
        <f t="shared" si="300"/>
        <v>18</v>
      </c>
      <c r="E6462" s="136">
        <f t="shared" si="302"/>
        <v>30</v>
      </c>
      <c r="F6462" s="128" t="s">
        <v>24</v>
      </c>
      <c r="G6462" s="128" t="str">
        <f>VLOOKUP(source[[#This Row],[lending_product_transform]],[3]Mapping!$B$4:$C$37,2,0)</f>
        <v>[Cake] - Cashloan</v>
      </c>
      <c r="H6462" s="128" t="str">
        <f>VLOOKUP(source[[#This Row],[lending_product_transform]],[3]Mapping!$B$3:$D$37,3,0)</f>
        <v>cashloan</v>
      </c>
      <c r="I6462" s="135">
        <v>0</v>
      </c>
    </row>
    <row r="6463" spans="1:9" x14ac:dyDescent="0.2">
      <c r="A6463" s="134">
        <v>45777</v>
      </c>
      <c r="B6463" s="135">
        <f>YEAR(source[[#This Row],[report_date]])</f>
        <v>2025</v>
      </c>
      <c r="C6463" s="128">
        <f t="shared" si="301"/>
        <v>4</v>
      </c>
      <c r="D6463" s="136">
        <f t="shared" si="300"/>
        <v>18</v>
      </c>
      <c r="E6463" s="136">
        <f t="shared" si="302"/>
        <v>30</v>
      </c>
      <c r="F6463" s="128" t="s">
        <v>24</v>
      </c>
      <c r="G6463" s="128" t="str">
        <f>VLOOKUP(source[[#This Row],[lending_product_transform]],[3]Mapping!$B$4:$C$37,2,0)</f>
        <v>[Cake] - Cashloan</v>
      </c>
      <c r="H6463" s="128" t="str">
        <f>VLOOKUP(source[[#This Row],[lending_product_transform]],[3]Mapping!$B$3:$D$37,3,0)</f>
        <v>cashloan</v>
      </c>
      <c r="I6463" s="135">
        <v>0</v>
      </c>
    </row>
    <row r="6464" spans="1:9" x14ac:dyDescent="0.2">
      <c r="A6464" s="134">
        <v>45777</v>
      </c>
      <c r="B6464" s="135">
        <f>YEAR(source[[#This Row],[report_date]])</f>
        <v>2025</v>
      </c>
      <c r="C6464" s="128">
        <f t="shared" si="301"/>
        <v>4</v>
      </c>
      <c r="D6464" s="136">
        <f t="shared" si="300"/>
        <v>18</v>
      </c>
      <c r="E6464" s="136">
        <f t="shared" si="302"/>
        <v>30</v>
      </c>
      <c r="F6464" s="128" t="s">
        <v>24</v>
      </c>
      <c r="G6464" s="128" t="str">
        <f>VLOOKUP(source[[#This Row],[lending_product_transform]],[3]Mapping!$B$4:$C$37,2,0)</f>
        <v>[Cake] - Cashloan</v>
      </c>
      <c r="H6464" s="128" t="str">
        <f>VLOOKUP(source[[#This Row],[lending_product_transform]],[3]Mapping!$B$3:$D$37,3,0)</f>
        <v>cashloan</v>
      </c>
      <c r="I6464" s="135">
        <v>0</v>
      </c>
    </row>
    <row r="6465" spans="1:9" x14ac:dyDescent="0.2">
      <c r="A6465" s="134">
        <v>45777</v>
      </c>
      <c r="B6465" s="135">
        <f>YEAR(source[[#This Row],[report_date]])</f>
        <v>2025</v>
      </c>
      <c r="C6465" s="128">
        <f t="shared" si="301"/>
        <v>4</v>
      </c>
      <c r="D6465" s="136">
        <f t="shared" si="300"/>
        <v>18</v>
      </c>
      <c r="E6465" s="136">
        <f t="shared" si="302"/>
        <v>30</v>
      </c>
      <c r="F6465" s="128" t="s">
        <v>24</v>
      </c>
      <c r="G6465" s="128" t="str">
        <f>VLOOKUP(source[[#This Row],[lending_product_transform]],[3]Mapping!$B$4:$C$37,2,0)</f>
        <v>[Cake] - Cashloan</v>
      </c>
      <c r="H6465" s="128" t="str">
        <f>VLOOKUP(source[[#This Row],[lending_product_transform]],[3]Mapping!$B$3:$D$37,3,0)</f>
        <v>cashloan</v>
      </c>
      <c r="I6465" s="135">
        <v>26250000</v>
      </c>
    </row>
    <row r="6466" spans="1:9" x14ac:dyDescent="0.2">
      <c r="A6466" s="134">
        <v>45777</v>
      </c>
      <c r="B6466" s="135">
        <f>YEAR(source[[#This Row],[report_date]])</f>
        <v>2025</v>
      </c>
      <c r="C6466" s="128">
        <f t="shared" si="301"/>
        <v>4</v>
      </c>
      <c r="D6466" s="136">
        <f t="shared" si="300"/>
        <v>18</v>
      </c>
      <c r="E6466" s="136">
        <f t="shared" si="302"/>
        <v>30</v>
      </c>
      <c r="F6466" s="128" t="s">
        <v>24</v>
      </c>
      <c r="G6466" s="128" t="str">
        <f>VLOOKUP(source[[#This Row],[lending_product_transform]],[3]Mapping!$B$4:$C$37,2,0)</f>
        <v>[Cake] - Cashloan</v>
      </c>
      <c r="H6466" s="128" t="str">
        <f>VLOOKUP(source[[#This Row],[lending_product_transform]],[3]Mapping!$B$3:$D$37,3,0)</f>
        <v>cashloan</v>
      </c>
      <c r="I6466" s="135">
        <v>4000000</v>
      </c>
    </row>
    <row r="6467" spans="1:9" x14ac:dyDescent="0.2">
      <c r="A6467" s="134">
        <v>45777</v>
      </c>
      <c r="B6467" s="135">
        <f>YEAR(source[[#This Row],[report_date]])</f>
        <v>2025</v>
      </c>
      <c r="C6467" s="128">
        <f t="shared" si="301"/>
        <v>4</v>
      </c>
      <c r="D6467" s="136">
        <f t="shared" ref="D6467:D6530" si="303">WEEKNUM(A6467,2)</f>
        <v>18</v>
      </c>
      <c r="E6467" s="136">
        <f t="shared" si="302"/>
        <v>30</v>
      </c>
      <c r="F6467" s="128" t="s">
        <v>24</v>
      </c>
      <c r="G6467" s="128" t="str">
        <f>VLOOKUP(source[[#This Row],[lending_product_transform]],[3]Mapping!$B$4:$C$37,2,0)</f>
        <v>[Cake] - Cashloan</v>
      </c>
      <c r="H6467" s="128" t="str">
        <f>VLOOKUP(source[[#This Row],[lending_product_transform]],[3]Mapping!$B$3:$D$37,3,0)</f>
        <v>cashloan</v>
      </c>
      <c r="I6467" s="135">
        <v>0</v>
      </c>
    </row>
    <row r="6468" spans="1:9" x14ac:dyDescent="0.2">
      <c r="A6468" s="134">
        <v>45777</v>
      </c>
      <c r="B6468" s="135">
        <f>YEAR(source[[#This Row],[report_date]])</f>
        <v>2025</v>
      </c>
      <c r="C6468" s="128">
        <f t="shared" si="301"/>
        <v>4</v>
      </c>
      <c r="D6468" s="136">
        <f t="shared" si="303"/>
        <v>18</v>
      </c>
      <c r="E6468" s="136">
        <f t="shared" si="302"/>
        <v>30</v>
      </c>
      <c r="F6468" s="128" t="s">
        <v>24</v>
      </c>
      <c r="G6468" s="128" t="str">
        <f>VLOOKUP(source[[#This Row],[lending_product_transform]],[3]Mapping!$B$4:$C$37,2,0)</f>
        <v>[Cake] - Cashloan</v>
      </c>
      <c r="H6468" s="128" t="str">
        <f>VLOOKUP(source[[#This Row],[lending_product_transform]],[3]Mapping!$B$3:$D$37,3,0)</f>
        <v>cashloan</v>
      </c>
      <c r="I6468" s="135">
        <v>5898900000</v>
      </c>
    </row>
    <row r="6469" spans="1:9" x14ac:dyDescent="0.2">
      <c r="A6469" s="134">
        <v>45777</v>
      </c>
      <c r="B6469" s="135">
        <f>YEAR(source[[#This Row],[report_date]])</f>
        <v>2025</v>
      </c>
      <c r="C6469" s="128">
        <f t="shared" si="301"/>
        <v>4</v>
      </c>
      <c r="D6469" s="136">
        <f t="shared" si="303"/>
        <v>18</v>
      </c>
      <c r="E6469" s="136">
        <f t="shared" si="302"/>
        <v>30</v>
      </c>
      <c r="F6469" s="128" t="s">
        <v>24</v>
      </c>
      <c r="G6469" s="128" t="str">
        <f>VLOOKUP(source[[#This Row],[lending_product_transform]],[3]Mapping!$B$4:$C$37,2,0)</f>
        <v>[Cake] - Cashloan</v>
      </c>
      <c r="H6469" s="128" t="str">
        <f>VLOOKUP(source[[#This Row],[lending_product_transform]],[3]Mapping!$B$3:$D$37,3,0)</f>
        <v>cashloan</v>
      </c>
      <c r="I6469" s="135">
        <v>341760000</v>
      </c>
    </row>
    <row r="6470" spans="1:9" x14ac:dyDescent="0.2">
      <c r="A6470" s="134">
        <v>45777</v>
      </c>
      <c r="B6470" s="135">
        <f>YEAR(source[[#This Row],[report_date]])</f>
        <v>2025</v>
      </c>
      <c r="C6470" s="128">
        <f t="shared" si="301"/>
        <v>4</v>
      </c>
      <c r="D6470" s="136">
        <f t="shared" si="303"/>
        <v>18</v>
      </c>
      <c r="E6470" s="136">
        <f t="shared" si="302"/>
        <v>30</v>
      </c>
      <c r="F6470" s="128" t="s">
        <v>24</v>
      </c>
      <c r="G6470" s="128" t="str">
        <f>VLOOKUP(source[[#This Row],[lending_product_transform]],[3]Mapping!$B$4:$C$37,2,0)</f>
        <v>[Cake] - Cashloan</v>
      </c>
      <c r="H6470" s="128" t="str">
        <f>VLOOKUP(source[[#This Row],[lending_product_transform]],[3]Mapping!$B$3:$D$37,3,0)</f>
        <v>cashloan</v>
      </c>
      <c r="I6470" s="135">
        <v>481380000</v>
      </c>
    </row>
    <row r="6471" spans="1:9" x14ac:dyDescent="0.2">
      <c r="A6471" s="134">
        <v>45777</v>
      </c>
      <c r="B6471" s="135">
        <f>YEAR(source[[#This Row],[report_date]])</f>
        <v>2025</v>
      </c>
      <c r="C6471" s="128">
        <f t="shared" si="301"/>
        <v>4</v>
      </c>
      <c r="D6471" s="136">
        <f t="shared" si="303"/>
        <v>18</v>
      </c>
      <c r="E6471" s="136">
        <f t="shared" si="302"/>
        <v>30</v>
      </c>
      <c r="F6471" s="128" t="s">
        <v>24</v>
      </c>
      <c r="G6471" s="128" t="str">
        <f>VLOOKUP(source[[#This Row],[lending_product_transform]],[3]Mapping!$B$4:$C$37,2,0)</f>
        <v>[Cake] - Cashloan</v>
      </c>
      <c r="H6471" s="128" t="str">
        <f>VLOOKUP(source[[#This Row],[lending_product_transform]],[3]Mapping!$B$3:$D$37,3,0)</f>
        <v>cashloan</v>
      </c>
      <c r="I6471" s="135">
        <v>0</v>
      </c>
    </row>
    <row r="6472" spans="1:9" x14ac:dyDescent="0.2">
      <c r="A6472" s="134">
        <v>45778</v>
      </c>
      <c r="B6472" s="135">
        <f>YEAR(source[[#This Row],[report_date]])</f>
        <v>2025</v>
      </c>
      <c r="C6472" s="128">
        <f t="shared" si="301"/>
        <v>5</v>
      </c>
      <c r="D6472" s="136">
        <f t="shared" si="303"/>
        <v>18</v>
      </c>
      <c r="E6472" s="136">
        <f t="shared" si="302"/>
        <v>1</v>
      </c>
      <c r="F6472" s="128" t="s">
        <v>24</v>
      </c>
      <c r="G6472" s="128" t="str">
        <f>VLOOKUP(source[[#This Row],[lending_product_transform]],[3]Mapping!$B$4:$C$37,2,0)</f>
        <v>[Cake] - Cashloan</v>
      </c>
      <c r="H6472" s="128" t="str">
        <f>VLOOKUP(source[[#This Row],[lending_product_transform]],[3]Mapping!$B$3:$D$37,3,0)</f>
        <v>cashloan</v>
      </c>
      <c r="I6472" s="135">
        <v>609346681</v>
      </c>
    </row>
    <row r="6473" spans="1:9" x14ac:dyDescent="0.2">
      <c r="A6473" s="134">
        <v>45778</v>
      </c>
      <c r="B6473" s="135">
        <f>YEAR(source[[#This Row],[report_date]])</f>
        <v>2025</v>
      </c>
      <c r="C6473" s="128">
        <f t="shared" si="301"/>
        <v>5</v>
      </c>
      <c r="D6473" s="136">
        <f t="shared" si="303"/>
        <v>18</v>
      </c>
      <c r="E6473" s="136">
        <f t="shared" si="302"/>
        <v>1</v>
      </c>
      <c r="F6473" s="128" t="s">
        <v>24</v>
      </c>
      <c r="G6473" s="128" t="str">
        <f>VLOOKUP(source[[#This Row],[lending_product_transform]],[3]Mapping!$B$4:$C$37,2,0)</f>
        <v>[Cake] - Cashloan</v>
      </c>
      <c r="H6473" s="128" t="str">
        <f>VLOOKUP(source[[#This Row],[lending_product_transform]],[3]Mapping!$B$3:$D$37,3,0)</f>
        <v>cashloan</v>
      </c>
      <c r="I6473" s="135">
        <v>0</v>
      </c>
    </row>
    <row r="6474" spans="1:9" x14ac:dyDescent="0.2">
      <c r="A6474" s="134">
        <v>45778</v>
      </c>
      <c r="B6474" s="135">
        <f>YEAR(source[[#This Row],[report_date]])</f>
        <v>2025</v>
      </c>
      <c r="C6474" s="128">
        <f t="shared" si="301"/>
        <v>5</v>
      </c>
      <c r="D6474" s="136">
        <f t="shared" si="303"/>
        <v>18</v>
      </c>
      <c r="E6474" s="136">
        <f t="shared" si="302"/>
        <v>1</v>
      </c>
      <c r="F6474" s="128" t="s">
        <v>24</v>
      </c>
      <c r="G6474" s="128" t="str">
        <f>VLOOKUP(source[[#This Row],[lending_product_transform]],[3]Mapping!$B$4:$C$37,2,0)</f>
        <v>[Cake] - Cashloan</v>
      </c>
      <c r="H6474" s="128" t="str">
        <f>VLOOKUP(source[[#This Row],[lending_product_transform]],[3]Mapping!$B$3:$D$37,3,0)</f>
        <v>cashloan</v>
      </c>
      <c r="I6474" s="135">
        <v>0</v>
      </c>
    </row>
    <row r="6475" spans="1:9" x14ac:dyDescent="0.2">
      <c r="A6475" s="134">
        <v>45778</v>
      </c>
      <c r="B6475" s="135">
        <f>YEAR(source[[#This Row],[report_date]])</f>
        <v>2025</v>
      </c>
      <c r="C6475" s="128">
        <f t="shared" si="301"/>
        <v>5</v>
      </c>
      <c r="D6475" s="136">
        <f t="shared" si="303"/>
        <v>18</v>
      </c>
      <c r="E6475" s="136">
        <f t="shared" si="302"/>
        <v>1</v>
      </c>
      <c r="F6475" s="128" t="s">
        <v>24</v>
      </c>
      <c r="G6475" s="128" t="str">
        <f>VLOOKUP(source[[#This Row],[lending_product_transform]],[3]Mapping!$B$4:$C$37,2,0)</f>
        <v>[Cake] - Cashloan</v>
      </c>
      <c r="H6475" s="128" t="str">
        <f>VLOOKUP(source[[#This Row],[lending_product_transform]],[3]Mapping!$B$3:$D$37,3,0)</f>
        <v>cashloan</v>
      </c>
      <c r="I6475" s="135">
        <v>188043434</v>
      </c>
    </row>
    <row r="6476" spans="1:9" x14ac:dyDescent="0.2">
      <c r="A6476" s="134">
        <v>45778</v>
      </c>
      <c r="B6476" s="135">
        <f>YEAR(source[[#This Row],[report_date]])</f>
        <v>2025</v>
      </c>
      <c r="C6476" s="128">
        <f t="shared" si="301"/>
        <v>5</v>
      </c>
      <c r="D6476" s="136">
        <f t="shared" si="303"/>
        <v>18</v>
      </c>
      <c r="E6476" s="136">
        <f t="shared" si="302"/>
        <v>1</v>
      </c>
      <c r="F6476" s="128" t="s">
        <v>24</v>
      </c>
      <c r="G6476" s="128" t="str">
        <f>VLOOKUP(source[[#This Row],[lending_product_transform]],[3]Mapping!$B$4:$C$37,2,0)</f>
        <v>[Cake] - Cashloan</v>
      </c>
      <c r="H6476" s="128" t="str">
        <f>VLOOKUP(source[[#This Row],[lending_product_transform]],[3]Mapping!$B$3:$D$37,3,0)</f>
        <v>cashloan</v>
      </c>
      <c r="I6476" s="135">
        <v>59943097</v>
      </c>
    </row>
    <row r="6477" spans="1:9" x14ac:dyDescent="0.2">
      <c r="A6477" s="134">
        <v>45778</v>
      </c>
      <c r="B6477" s="135">
        <f>YEAR(source[[#This Row],[report_date]])</f>
        <v>2025</v>
      </c>
      <c r="C6477" s="128">
        <f t="shared" si="301"/>
        <v>5</v>
      </c>
      <c r="D6477" s="136">
        <f t="shared" si="303"/>
        <v>18</v>
      </c>
      <c r="E6477" s="136">
        <f t="shared" si="302"/>
        <v>1</v>
      </c>
      <c r="F6477" s="128" t="s">
        <v>24</v>
      </c>
      <c r="G6477" s="128" t="str">
        <f>VLOOKUP(source[[#This Row],[lending_product_transform]],[3]Mapping!$B$4:$C$37,2,0)</f>
        <v>[Cake] - Cashloan</v>
      </c>
      <c r="H6477" s="128" t="str">
        <f>VLOOKUP(source[[#This Row],[lending_product_transform]],[3]Mapping!$B$3:$D$37,3,0)</f>
        <v>cashloan</v>
      </c>
      <c r="I6477" s="135">
        <v>31000000</v>
      </c>
    </row>
    <row r="6478" spans="1:9" x14ac:dyDescent="0.2">
      <c r="A6478" s="134">
        <v>45778</v>
      </c>
      <c r="B6478" s="135">
        <f>YEAR(source[[#This Row],[report_date]])</f>
        <v>2025</v>
      </c>
      <c r="C6478" s="128">
        <f t="shared" si="301"/>
        <v>5</v>
      </c>
      <c r="D6478" s="136">
        <f t="shared" si="303"/>
        <v>18</v>
      </c>
      <c r="E6478" s="136">
        <f t="shared" si="302"/>
        <v>1</v>
      </c>
      <c r="F6478" s="128" t="s">
        <v>24</v>
      </c>
      <c r="G6478" s="128" t="str">
        <f>VLOOKUP(source[[#This Row],[lending_product_transform]],[3]Mapping!$B$4:$C$37,2,0)</f>
        <v>[Cake] - Cashloan</v>
      </c>
      <c r="H6478" s="128" t="str">
        <f>VLOOKUP(source[[#This Row],[lending_product_transform]],[3]Mapping!$B$3:$D$37,3,0)</f>
        <v>cashloan</v>
      </c>
      <c r="I6478" s="135">
        <v>5179711947</v>
      </c>
    </row>
    <row r="6479" spans="1:9" x14ac:dyDescent="0.2">
      <c r="A6479" s="134">
        <v>45778</v>
      </c>
      <c r="B6479" s="135">
        <f>YEAR(source[[#This Row],[report_date]])</f>
        <v>2025</v>
      </c>
      <c r="C6479" s="128">
        <f t="shared" si="301"/>
        <v>5</v>
      </c>
      <c r="D6479" s="136">
        <f t="shared" si="303"/>
        <v>18</v>
      </c>
      <c r="E6479" s="136">
        <f t="shared" si="302"/>
        <v>1</v>
      </c>
      <c r="F6479" s="128" t="s">
        <v>24</v>
      </c>
      <c r="G6479" s="128" t="str">
        <f>VLOOKUP(source[[#This Row],[lending_product_transform]],[3]Mapping!$B$4:$C$37,2,0)</f>
        <v>[Cake] - Cashloan</v>
      </c>
      <c r="H6479" s="128" t="str">
        <f>VLOOKUP(source[[#This Row],[lending_product_transform]],[3]Mapping!$B$3:$D$37,3,0)</f>
        <v>cashloan</v>
      </c>
      <c r="I6479" s="135">
        <v>364183271</v>
      </c>
    </row>
    <row r="6480" spans="1:9" x14ac:dyDescent="0.2">
      <c r="A6480" s="134">
        <v>45778</v>
      </c>
      <c r="B6480" s="135">
        <f>YEAR(source[[#This Row],[report_date]])</f>
        <v>2025</v>
      </c>
      <c r="C6480" s="128">
        <f t="shared" si="301"/>
        <v>5</v>
      </c>
      <c r="D6480" s="136">
        <f t="shared" si="303"/>
        <v>18</v>
      </c>
      <c r="E6480" s="136">
        <f t="shared" si="302"/>
        <v>1</v>
      </c>
      <c r="F6480" s="128" t="s">
        <v>24</v>
      </c>
      <c r="G6480" s="128" t="str">
        <f>VLOOKUP(source[[#This Row],[lending_product_transform]],[3]Mapping!$B$4:$C$37,2,0)</f>
        <v>[Cake] - Cashloan</v>
      </c>
      <c r="H6480" s="128" t="str">
        <f>VLOOKUP(source[[#This Row],[lending_product_transform]],[3]Mapping!$B$3:$D$37,3,0)</f>
        <v>cashloan</v>
      </c>
      <c r="I6480" s="135">
        <v>6000000</v>
      </c>
    </row>
    <row r="6481" spans="1:9" x14ac:dyDescent="0.2">
      <c r="A6481" s="134">
        <v>45778</v>
      </c>
      <c r="B6481" s="135">
        <f>YEAR(source[[#This Row],[report_date]])</f>
        <v>2025</v>
      </c>
      <c r="C6481" s="128">
        <f t="shared" si="301"/>
        <v>5</v>
      </c>
      <c r="D6481" s="136">
        <f t="shared" si="303"/>
        <v>18</v>
      </c>
      <c r="E6481" s="136">
        <f t="shared" si="302"/>
        <v>1</v>
      </c>
      <c r="F6481" s="128" t="s">
        <v>24</v>
      </c>
      <c r="G6481" s="128" t="str">
        <f>VLOOKUP(source[[#This Row],[lending_product_transform]],[3]Mapping!$B$4:$C$37,2,0)</f>
        <v>[Cake] - Cashloan</v>
      </c>
      <c r="H6481" s="128" t="str">
        <f>VLOOKUP(source[[#This Row],[lending_product_transform]],[3]Mapping!$B$3:$D$37,3,0)</f>
        <v>cashloan</v>
      </c>
      <c r="I6481" s="135">
        <v>5380730000</v>
      </c>
    </row>
    <row r="6482" spans="1:9" x14ac:dyDescent="0.2">
      <c r="A6482" s="134">
        <v>45778</v>
      </c>
      <c r="B6482" s="135">
        <f>YEAR(source[[#This Row],[report_date]])</f>
        <v>2025</v>
      </c>
      <c r="C6482" s="128">
        <f t="shared" si="301"/>
        <v>5</v>
      </c>
      <c r="D6482" s="136">
        <f t="shared" si="303"/>
        <v>18</v>
      </c>
      <c r="E6482" s="136">
        <f t="shared" si="302"/>
        <v>1</v>
      </c>
      <c r="F6482" s="128" t="s">
        <v>24</v>
      </c>
      <c r="G6482" s="128" t="str">
        <f>VLOOKUP(source[[#This Row],[lending_product_transform]],[3]Mapping!$B$4:$C$37,2,0)</f>
        <v>[Cake] - Cashloan</v>
      </c>
      <c r="H6482" s="128" t="str">
        <f>VLOOKUP(source[[#This Row],[lending_product_transform]],[3]Mapping!$B$3:$D$37,3,0)</f>
        <v>cashloan</v>
      </c>
      <c r="I6482" s="135">
        <v>4726728000</v>
      </c>
    </row>
    <row r="6483" spans="1:9" x14ac:dyDescent="0.2">
      <c r="A6483" s="134">
        <v>45778</v>
      </c>
      <c r="B6483" s="135">
        <f>YEAR(source[[#This Row],[report_date]])</f>
        <v>2025</v>
      </c>
      <c r="C6483" s="128">
        <f t="shared" si="301"/>
        <v>5</v>
      </c>
      <c r="D6483" s="136">
        <f t="shared" si="303"/>
        <v>18</v>
      </c>
      <c r="E6483" s="136">
        <f t="shared" si="302"/>
        <v>1</v>
      </c>
      <c r="F6483" s="128" t="s">
        <v>24</v>
      </c>
      <c r="G6483" s="128" t="str">
        <f>VLOOKUP(source[[#This Row],[lending_product_transform]],[3]Mapping!$B$4:$C$37,2,0)</f>
        <v>[Cake] - Cashloan</v>
      </c>
      <c r="H6483" s="128" t="str">
        <f>VLOOKUP(source[[#This Row],[lending_product_transform]],[3]Mapping!$B$3:$D$37,3,0)</f>
        <v>cashloan</v>
      </c>
      <c r="I6483" s="135">
        <v>0</v>
      </c>
    </row>
    <row r="6484" spans="1:9" x14ac:dyDescent="0.2">
      <c r="A6484" s="134">
        <v>45778</v>
      </c>
      <c r="B6484" s="135">
        <f>YEAR(source[[#This Row],[report_date]])</f>
        <v>2025</v>
      </c>
      <c r="C6484" s="128">
        <f t="shared" si="301"/>
        <v>5</v>
      </c>
      <c r="D6484" s="136">
        <f t="shared" si="303"/>
        <v>18</v>
      </c>
      <c r="E6484" s="136">
        <f t="shared" si="302"/>
        <v>1</v>
      </c>
      <c r="F6484" s="128" t="s">
        <v>24</v>
      </c>
      <c r="G6484" s="128" t="str">
        <f>VLOOKUP(source[[#This Row],[lending_product_transform]],[3]Mapping!$B$4:$C$37,2,0)</f>
        <v>[Cake] - Cashloan</v>
      </c>
      <c r="H6484" s="128" t="str">
        <f>VLOOKUP(source[[#This Row],[lending_product_transform]],[3]Mapping!$B$3:$D$37,3,0)</f>
        <v>cashloan</v>
      </c>
      <c r="I6484" s="135">
        <v>7352980000</v>
      </c>
    </row>
    <row r="6485" spans="1:9" x14ac:dyDescent="0.2">
      <c r="A6485" s="134">
        <v>45778</v>
      </c>
      <c r="B6485" s="135">
        <f>YEAR(source[[#This Row],[report_date]])</f>
        <v>2025</v>
      </c>
      <c r="C6485" s="128">
        <f t="shared" si="301"/>
        <v>5</v>
      </c>
      <c r="D6485" s="136">
        <f t="shared" si="303"/>
        <v>18</v>
      </c>
      <c r="E6485" s="136">
        <f t="shared" si="302"/>
        <v>1</v>
      </c>
      <c r="F6485" s="128" t="s">
        <v>24</v>
      </c>
      <c r="G6485" s="128" t="str">
        <f>VLOOKUP(source[[#This Row],[lending_product_transform]],[3]Mapping!$B$4:$C$37,2,0)</f>
        <v>[Cake] - Cashloan</v>
      </c>
      <c r="H6485" s="128" t="str">
        <f>VLOOKUP(source[[#This Row],[lending_product_transform]],[3]Mapping!$B$3:$D$37,3,0)</f>
        <v>cashloan</v>
      </c>
      <c r="I6485" s="135">
        <v>0</v>
      </c>
    </row>
    <row r="6486" spans="1:9" x14ac:dyDescent="0.2">
      <c r="A6486" s="134">
        <v>45778</v>
      </c>
      <c r="B6486" s="135">
        <f>YEAR(source[[#This Row],[report_date]])</f>
        <v>2025</v>
      </c>
      <c r="C6486" s="128">
        <f t="shared" si="301"/>
        <v>5</v>
      </c>
      <c r="D6486" s="136">
        <f t="shared" si="303"/>
        <v>18</v>
      </c>
      <c r="E6486" s="136">
        <f t="shared" si="302"/>
        <v>1</v>
      </c>
      <c r="F6486" s="128" t="s">
        <v>24</v>
      </c>
      <c r="G6486" s="128" t="str">
        <f>VLOOKUP(source[[#This Row],[lending_product_transform]],[3]Mapping!$B$4:$C$37,2,0)</f>
        <v>[Cake] - Cashloan</v>
      </c>
      <c r="H6486" s="128" t="str">
        <f>VLOOKUP(source[[#This Row],[lending_product_transform]],[3]Mapping!$B$3:$D$37,3,0)</f>
        <v>cashloan</v>
      </c>
      <c r="I6486" s="135">
        <v>0</v>
      </c>
    </row>
    <row r="6487" spans="1:9" x14ac:dyDescent="0.2">
      <c r="A6487" s="134">
        <v>45778</v>
      </c>
      <c r="B6487" s="135">
        <f>YEAR(source[[#This Row],[report_date]])</f>
        <v>2025</v>
      </c>
      <c r="C6487" s="128">
        <f t="shared" si="301"/>
        <v>5</v>
      </c>
      <c r="D6487" s="136">
        <f t="shared" si="303"/>
        <v>18</v>
      </c>
      <c r="E6487" s="136">
        <f t="shared" si="302"/>
        <v>1</v>
      </c>
      <c r="F6487" s="128" t="s">
        <v>24</v>
      </c>
      <c r="G6487" s="128" t="str">
        <f>VLOOKUP(source[[#This Row],[lending_product_transform]],[3]Mapping!$B$4:$C$37,2,0)</f>
        <v>[Cake] - Cashloan</v>
      </c>
      <c r="H6487" s="128" t="str">
        <f>VLOOKUP(source[[#This Row],[lending_product_transform]],[3]Mapping!$B$3:$D$37,3,0)</f>
        <v>cashloan</v>
      </c>
      <c r="I6487" s="135">
        <v>431760000</v>
      </c>
    </row>
    <row r="6488" spans="1:9" x14ac:dyDescent="0.2">
      <c r="A6488" s="134">
        <v>45778</v>
      </c>
      <c r="B6488" s="135">
        <f>YEAR(source[[#This Row],[report_date]])</f>
        <v>2025</v>
      </c>
      <c r="C6488" s="128">
        <f t="shared" si="301"/>
        <v>5</v>
      </c>
      <c r="D6488" s="136">
        <f t="shared" si="303"/>
        <v>18</v>
      </c>
      <c r="E6488" s="136">
        <f t="shared" si="302"/>
        <v>1</v>
      </c>
      <c r="F6488" s="128" t="s">
        <v>24</v>
      </c>
      <c r="G6488" s="128" t="str">
        <f>VLOOKUP(source[[#This Row],[lending_product_transform]],[3]Mapping!$B$4:$C$37,2,0)</f>
        <v>[Cake] - Cashloan</v>
      </c>
      <c r="H6488" s="128" t="str">
        <f>VLOOKUP(source[[#This Row],[lending_product_transform]],[3]Mapping!$B$3:$D$37,3,0)</f>
        <v>cashloan</v>
      </c>
      <c r="I6488" s="135">
        <v>0</v>
      </c>
    </row>
    <row r="6489" spans="1:9" x14ac:dyDescent="0.2">
      <c r="A6489" s="134">
        <v>45778</v>
      </c>
      <c r="B6489" s="135">
        <f>YEAR(source[[#This Row],[report_date]])</f>
        <v>2025</v>
      </c>
      <c r="C6489" s="128">
        <f t="shared" si="301"/>
        <v>5</v>
      </c>
      <c r="D6489" s="136">
        <f t="shared" si="303"/>
        <v>18</v>
      </c>
      <c r="E6489" s="136">
        <f t="shared" si="302"/>
        <v>1</v>
      </c>
      <c r="F6489" s="128" t="s">
        <v>24</v>
      </c>
      <c r="G6489" s="128" t="str">
        <f>VLOOKUP(source[[#This Row],[lending_product_transform]],[3]Mapping!$B$4:$C$37,2,0)</f>
        <v>[Cake] - Cashloan</v>
      </c>
      <c r="H6489" s="128" t="str">
        <f>VLOOKUP(source[[#This Row],[lending_product_transform]],[3]Mapping!$B$3:$D$37,3,0)</f>
        <v>cashloan</v>
      </c>
      <c r="I6489" s="135">
        <v>551790000</v>
      </c>
    </row>
    <row r="6490" spans="1:9" x14ac:dyDescent="0.2">
      <c r="A6490" s="134">
        <v>45778</v>
      </c>
      <c r="B6490" s="135">
        <f>YEAR(source[[#This Row],[report_date]])</f>
        <v>2025</v>
      </c>
      <c r="C6490" s="128">
        <f t="shared" si="301"/>
        <v>5</v>
      </c>
      <c r="D6490" s="136">
        <f t="shared" si="303"/>
        <v>18</v>
      </c>
      <c r="E6490" s="136">
        <f t="shared" si="302"/>
        <v>1</v>
      </c>
      <c r="F6490" s="128" t="s">
        <v>24</v>
      </c>
      <c r="G6490" s="128" t="str">
        <f>VLOOKUP(source[[#This Row],[lending_product_transform]],[3]Mapping!$B$4:$C$37,2,0)</f>
        <v>[Cake] - Cashloan</v>
      </c>
      <c r="H6490" s="128" t="str">
        <f>VLOOKUP(source[[#This Row],[lending_product_transform]],[3]Mapping!$B$3:$D$37,3,0)</f>
        <v>cashloan</v>
      </c>
      <c r="I6490" s="135">
        <v>0</v>
      </c>
    </row>
    <row r="6491" spans="1:9" x14ac:dyDescent="0.2">
      <c r="A6491" s="134">
        <v>45779</v>
      </c>
      <c r="B6491" s="135">
        <f>YEAR(source[[#This Row],[report_date]])</f>
        <v>2025</v>
      </c>
      <c r="C6491" s="128">
        <f t="shared" si="301"/>
        <v>5</v>
      </c>
      <c r="D6491" s="136">
        <f t="shared" si="303"/>
        <v>18</v>
      </c>
      <c r="E6491" s="136">
        <f t="shared" si="302"/>
        <v>2</v>
      </c>
      <c r="F6491" s="128" t="s">
        <v>24</v>
      </c>
      <c r="G6491" s="128" t="str">
        <f>VLOOKUP(source[[#This Row],[lending_product_transform]],[3]Mapping!$B$4:$C$37,2,0)</f>
        <v>[Cake] - Cashloan</v>
      </c>
      <c r="H6491" s="128" t="str">
        <f>VLOOKUP(source[[#This Row],[lending_product_transform]],[3]Mapping!$B$3:$D$37,3,0)</f>
        <v>cashloan</v>
      </c>
      <c r="I6491" s="135">
        <v>4930524000</v>
      </c>
    </row>
    <row r="6492" spans="1:9" x14ac:dyDescent="0.2">
      <c r="A6492" s="134">
        <v>45779</v>
      </c>
      <c r="B6492" s="135">
        <f>YEAR(source[[#This Row],[report_date]])</f>
        <v>2025</v>
      </c>
      <c r="C6492" s="128">
        <f t="shared" si="301"/>
        <v>5</v>
      </c>
      <c r="D6492" s="136">
        <f t="shared" si="303"/>
        <v>18</v>
      </c>
      <c r="E6492" s="136">
        <f t="shared" si="302"/>
        <v>2</v>
      </c>
      <c r="F6492" s="128" t="s">
        <v>24</v>
      </c>
      <c r="G6492" s="128" t="str">
        <f>VLOOKUP(source[[#This Row],[lending_product_transform]],[3]Mapping!$B$4:$C$37,2,0)</f>
        <v>[Cake] - Cashloan</v>
      </c>
      <c r="H6492" s="128" t="str">
        <f>VLOOKUP(source[[#This Row],[lending_product_transform]],[3]Mapping!$B$3:$D$37,3,0)</f>
        <v>cashloan</v>
      </c>
      <c r="I6492" s="135">
        <v>7432680000</v>
      </c>
    </row>
    <row r="6493" spans="1:9" x14ac:dyDescent="0.2">
      <c r="A6493" s="134">
        <v>45779</v>
      </c>
      <c r="B6493" s="135">
        <f>YEAR(source[[#This Row],[report_date]])</f>
        <v>2025</v>
      </c>
      <c r="C6493" s="128">
        <f t="shared" si="301"/>
        <v>5</v>
      </c>
      <c r="D6493" s="136">
        <f t="shared" si="303"/>
        <v>18</v>
      </c>
      <c r="E6493" s="136">
        <f t="shared" si="302"/>
        <v>2</v>
      </c>
      <c r="F6493" s="128" t="s">
        <v>24</v>
      </c>
      <c r="G6493" s="128" t="str">
        <f>VLOOKUP(source[[#This Row],[lending_product_transform]],[3]Mapping!$B$4:$C$37,2,0)</f>
        <v>[Cake] - Cashloan</v>
      </c>
      <c r="H6493" s="128" t="str">
        <f>VLOOKUP(source[[#This Row],[lending_product_transform]],[3]Mapping!$B$3:$D$37,3,0)</f>
        <v>cashloan</v>
      </c>
      <c r="I6493" s="135">
        <v>6316090000</v>
      </c>
    </row>
    <row r="6494" spans="1:9" x14ac:dyDescent="0.2">
      <c r="A6494" s="134">
        <v>45779</v>
      </c>
      <c r="B6494" s="135">
        <f>YEAR(source[[#This Row],[report_date]])</f>
        <v>2025</v>
      </c>
      <c r="C6494" s="128">
        <f t="shared" si="301"/>
        <v>5</v>
      </c>
      <c r="D6494" s="136">
        <f t="shared" si="303"/>
        <v>18</v>
      </c>
      <c r="E6494" s="136">
        <f t="shared" si="302"/>
        <v>2</v>
      </c>
      <c r="F6494" s="128" t="s">
        <v>24</v>
      </c>
      <c r="G6494" s="128" t="str">
        <f>VLOOKUP(source[[#This Row],[lending_product_transform]],[3]Mapping!$B$4:$C$37,2,0)</f>
        <v>[Cake] - Cashloan</v>
      </c>
      <c r="H6494" s="128" t="str">
        <f>VLOOKUP(source[[#This Row],[lending_product_transform]],[3]Mapping!$B$3:$D$37,3,0)</f>
        <v>cashloan</v>
      </c>
      <c r="I6494" s="135">
        <v>0</v>
      </c>
    </row>
    <row r="6495" spans="1:9" x14ac:dyDescent="0.2">
      <c r="A6495" s="134">
        <v>45779</v>
      </c>
      <c r="B6495" s="135">
        <f>YEAR(source[[#This Row],[report_date]])</f>
        <v>2025</v>
      </c>
      <c r="C6495" s="128">
        <f t="shared" si="301"/>
        <v>5</v>
      </c>
      <c r="D6495" s="136">
        <f t="shared" si="303"/>
        <v>18</v>
      </c>
      <c r="E6495" s="136">
        <f t="shared" si="302"/>
        <v>2</v>
      </c>
      <c r="F6495" s="128" t="s">
        <v>24</v>
      </c>
      <c r="G6495" s="128" t="str">
        <f>VLOOKUP(source[[#This Row],[lending_product_transform]],[3]Mapping!$B$4:$C$37,2,0)</f>
        <v>[Cake] - Cashloan</v>
      </c>
      <c r="H6495" s="128" t="str">
        <f>VLOOKUP(source[[#This Row],[lending_product_transform]],[3]Mapping!$B$3:$D$37,3,0)</f>
        <v>cashloan</v>
      </c>
      <c r="I6495" s="135">
        <v>598540000</v>
      </c>
    </row>
    <row r="6496" spans="1:9" x14ac:dyDescent="0.2">
      <c r="A6496" s="134">
        <v>45779</v>
      </c>
      <c r="B6496" s="135">
        <f>YEAR(source[[#This Row],[report_date]])</f>
        <v>2025</v>
      </c>
      <c r="C6496" s="128">
        <f t="shared" si="301"/>
        <v>5</v>
      </c>
      <c r="D6496" s="136">
        <f t="shared" si="303"/>
        <v>18</v>
      </c>
      <c r="E6496" s="136">
        <f t="shared" si="302"/>
        <v>2</v>
      </c>
      <c r="F6496" s="128" t="s">
        <v>24</v>
      </c>
      <c r="G6496" s="128" t="str">
        <f>VLOOKUP(source[[#This Row],[lending_product_transform]],[3]Mapping!$B$4:$C$37,2,0)</f>
        <v>[Cake] - Cashloan</v>
      </c>
      <c r="H6496" s="128" t="str">
        <f>VLOOKUP(source[[#This Row],[lending_product_transform]],[3]Mapping!$B$3:$D$37,3,0)</f>
        <v>cashloan</v>
      </c>
      <c r="I6496" s="135">
        <v>391517234</v>
      </c>
    </row>
    <row r="6497" spans="1:9" x14ac:dyDescent="0.2">
      <c r="A6497" s="134">
        <v>45779</v>
      </c>
      <c r="B6497" s="135">
        <f>YEAR(source[[#This Row],[report_date]])</f>
        <v>2025</v>
      </c>
      <c r="C6497" s="128">
        <f t="shared" si="301"/>
        <v>5</v>
      </c>
      <c r="D6497" s="136">
        <f t="shared" si="303"/>
        <v>18</v>
      </c>
      <c r="E6497" s="136">
        <f t="shared" si="302"/>
        <v>2</v>
      </c>
      <c r="F6497" s="128" t="s">
        <v>24</v>
      </c>
      <c r="G6497" s="128" t="str">
        <f>VLOOKUP(source[[#This Row],[lending_product_transform]],[3]Mapping!$B$4:$C$37,2,0)</f>
        <v>[Cake] - Cashloan</v>
      </c>
      <c r="H6497" s="128" t="str">
        <f>VLOOKUP(source[[#This Row],[lending_product_transform]],[3]Mapping!$B$3:$D$37,3,0)</f>
        <v>cashloan</v>
      </c>
      <c r="I6497" s="135">
        <v>36000000</v>
      </c>
    </row>
    <row r="6498" spans="1:9" x14ac:dyDescent="0.2">
      <c r="A6498" s="134">
        <v>45779</v>
      </c>
      <c r="B6498" s="135">
        <f>YEAR(source[[#This Row],[report_date]])</f>
        <v>2025</v>
      </c>
      <c r="C6498" s="128">
        <f t="shared" si="301"/>
        <v>5</v>
      </c>
      <c r="D6498" s="136">
        <f t="shared" si="303"/>
        <v>18</v>
      </c>
      <c r="E6498" s="136">
        <f t="shared" si="302"/>
        <v>2</v>
      </c>
      <c r="F6498" s="128" t="s">
        <v>24</v>
      </c>
      <c r="G6498" s="128" t="str">
        <f>VLOOKUP(source[[#This Row],[lending_product_transform]],[3]Mapping!$B$4:$C$37,2,0)</f>
        <v>[Cake] - Cashloan</v>
      </c>
      <c r="H6498" s="128" t="str">
        <f>VLOOKUP(source[[#This Row],[lending_product_transform]],[3]Mapping!$B$3:$D$37,3,0)</f>
        <v>cashloan</v>
      </c>
      <c r="I6498" s="135">
        <v>37625936</v>
      </c>
    </row>
    <row r="6499" spans="1:9" x14ac:dyDescent="0.2">
      <c r="A6499" s="134">
        <v>45779</v>
      </c>
      <c r="B6499" s="135">
        <f>YEAR(source[[#This Row],[report_date]])</f>
        <v>2025</v>
      </c>
      <c r="C6499" s="128">
        <f t="shared" si="301"/>
        <v>5</v>
      </c>
      <c r="D6499" s="136">
        <f t="shared" si="303"/>
        <v>18</v>
      </c>
      <c r="E6499" s="136">
        <f t="shared" si="302"/>
        <v>2</v>
      </c>
      <c r="F6499" s="128" t="s">
        <v>24</v>
      </c>
      <c r="G6499" s="128" t="str">
        <f>VLOOKUP(source[[#This Row],[lending_product_transform]],[3]Mapping!$B$4:$C$37,2,0)</f>
        <v>[Cake] - Cashloan</v>
      </c>
      <c r="H6499" s="128" t="str">
        <f>VLOOKUP(source[[#This Row],[lending_product_transform]],[3]Mapping!$B$3:$D$37,3,0)</f>
        <v>cashloan</v>
      </c>
      <c r="I6499" s="135">
        <v>0</v>
      </c>
    </row>
    <row r="6500" spans="1:9" x14ac:dyDescent="0.2">
      <c r="A6500" s="134">
        <v>45779</v>
      </c>
      <c r="B6500" s="135">
        <f>YEAR(source[[#This Row],[report_date]])</f>
        <v>2025</v>
      </c>
      <c r="C6500" s="128">
        <f t="shared" si="301"/>
        <v>5</v>
      </c>
      <c r="D6500" s="136">
        <f t="shared" si="303"/>
        <v>18</v>
      </c>
      <c r="E6500" s="136">
        <f t="shared" si="302"/>
        <v>2</v>
      </c>
      <c r="F6500" s="128" t="s">
        <v>24</v>
      </c>
      <c r="G6500" s="128" t="str">
        <f>VLOOKUP(source[[#This Row],[lending_product_transform]],[3]Mapping!$B$4:$C$37,2,0)</f>
        <v>[Cake] - Cashloan</v>
      </c>
      <c r="H6500" s="128" t="str">
        <f>VLOOKUP(source[[#This Row],[lending_product_transform]],[3]Mapping!$B$3:$D$37,3,0)</f>
        <v>cashloan</v>
      </c>
      <c r="I6500" s="135">
        <v>0</v>
      </c>
    </row>
    <row r="6501" spans="1:9" x14ac:dyDescent="0.2">
      <c r="A6501" s="134">
        <v>45779</v>
      </c>
      <c r="B6501" s="135">
        <f>YEAR(source[[#This Row],[report_date]])</f>
        <v>2025</v>
      </c>
      <c r="C6501" s="128">
        <f t="shared" si="301"/>
        <v>5</v>
      </c>
      <c r="D6501" s="136">
        <f t="shared" si="303"/>
        <v>18</v>
      </c>
      <c r="E6501" s="136">
        <f t="shared" si="302"/>
        <v>2</v>
      </c>
      <c r="F6501" s="128" t="s">
        <v>24</v>
      </c>
      <c r="G6501" s="128" t="str">
        <f>VLOOKUP(source[[#This Row],[lending_product_transform]],[3]Mapping!$B$4:$C$37,2,0)</f>
        <v>[Cake] - Cashloan</v>
      </c>
      <c r="H6501" s="128" t="str">
        <f>VLOOKUP(source[[#This Row],[lending_product_transform]],[3]Mapping!$B$3:$D$37,3,0)</f>
        <v>cashloan</v>
      </c>
      <c r="I6501" s="135">
        <v>0</v>
      </c>
    </row>
    <row r="6502" spans="1:9" x14ac:dyDescent="0.2">
      <c r="A6502" s="134">
        <v>45779</v>
      </c>
      <c r="B6502" s="135">
        <f>YEAR(source[[#This Row],[report_date]])</f>
        <v>2025</v>
      </c>
      <c r="C6502" s="128">
        <f t="shared" si="301"/>
        <v>5</v>
      </c>
      <c r="D6502" s="136">
        <f t="shared" si="303"/>
        <v>18</v>
      </c>
      <c r="E6502" s="136">
        <f t="shared" si="302"/>
        <v>2</v>
      </c>
      <c r="F6502" s="128" t="s">
        <v>24</v>
      </c>
      <c r="G6502" s="128" t="str">
        <f>VLOOKUP(source[[#This Row],[lending_product_transform]],[3]Mapping!$B$4:$C$37,2,0)</f>
        <v>[Cake] - Cashloan</v>
      </c>
      <c r="H6502" s="128" t="str">
        <f>VLOOKUP(source[[#This Row],[lending_product_transform]],[3]Mapping!$B$3:$D$37,3,0)</f>
        <v>cashloan</v>
      </c>
      <c r="I6502" s="135">
        <v>0</v>
      </c>
    </row>
    <row r="6503" spans="1:9" x14ac:dyDescent="0.2">
      <c r="A6503" s="134">
        <v>45779</v>
      </c>
      <c r="B6503" s="135">
        <f>YEAR(source[[#This Row],[report_date]])</f>
        <v>2025</v>
      </c>
      <c r="C6503" s="128">
        <f t="shared" si="301"/>
        <v>5</v>
      </c>
      <c r="D6503" s="136">
        <f t="shared" si="303"/>
        <v>18</v>
      </c>
      <c r="E6503" s="136">
        <f t="shared" si="302"/>
        <v>2</v>
      </c>
      <c r="F6503" s="128" t="s">
        <v>24</v>
      </c>
      <c r="G6503" s="128" t="str">
        <f>VLOOKUP(source[[#This Row],[lending_product_transform]],[3]Mapping!$B$4:$C$37,2,0)</f>
        <v>[Cake] - Cashloan</v>
      </c>
      <c r="H6503" s="128" t="str">
        <f>VLOOKUP(source[[#This Row],[lending_product_transform]],[3]Mapping!$B$3:$D$37,3,0)</f>
        <v>cashloan</v>
      </c>
      <c r="I6503" s="135">
        <v>56750000</v>
      </c>
    </row>
    <row r="6504" spans="1:9" x14ac:dyDescent="0.2">
      <c r="A6504" s="134">
        <v>45779</v>
      </c>
      <c r="B6504" s="135">
        <f>YEAR(source[[#This Row],[report_date]])</f>
        <v>2025</v>
      </c>
      <c r="C6504" s="128">
        <f t="shared" si="301"/>
        <v>5</v>
      </c>
      <c r="D6504" s="136">
        <f t="shared" si="303"/>
        <v>18</v>
      </c>
      <c r="E6504" s="136">
        <f t="shared" si="302"/>
        <v>2</v>
      </c>
      <c r="F6504" s="128" t="s">
        <v>24</v>
      </c>
      <c r="G6504" s="128" t="str">
        <f>VLOOKUP(source[[#This Row],[lending_product_transform]],[3]Mapping!$B$4:$C$37,2,0)</f>
        <v>[Cake] - Cashloan</v>
      </c>
      <c r="H6504" s="128" t="str">
        <f>VLOOKUP(source[[#This Row],[lending_product_transform]],[3]Mapping!$B$3:$D$37,3,0)</f>
        <v>cashloan</v>
      </c>
      <c r="I6504" s="135">
        <v>0</v>
      </c>
    </row>
    <row r="6505" spans="1:9" x14ac:dyDescent="0.2">
      <c r="A6505" s="134">
        <v>45779</v>
      </c>
      <c r="B6505" s="135">
        <f>YEAR(source[[#This Row],[report_date]])</f>
        <v>2025</v>
      </c>
      <c r="C6505" s="128">
        <f t="shared" si="301"/>
        <v>5</v>
      </c>
      <c r="D6505" s="136">
        <f t="shared" si="303"/>
        <v>18</v>
      </c>
      <c r="E6505" s="136">
        <f t="shared" si="302"/>
        <v>2</v>
      </c>
      <c r="F6505" s="128" t="s">
        <v>24</v>
      </c>
      <c r="G6505" s="128" t="str">
        <f>VLOOKUP(source[[#This Row],[lending_product_transform]],[3]Mapping!$B$4:$C$37,2,0)</f>
        <v>[Cake] - Cashloan</v>
      </c>
      <c r="H6505" s="128" t="str">
        <f>VLOOKUP(source[[#This Row],[lending_product_transform]],[3]Mapping!$B$3:$D$37,3,0)</f>
        <v>cashloan</v>
      </c>
      <c r="I6505" s="135">
        <v>821970000</v>
      </c>
    </row>
    <row r="6506" spans="1:9" x14ac:dyDescent="0.2">
      <c r="A6506" s="134">
        <v>45779</v>
      </c>
      <c r="B6506" s="135">
        <f>YEAR(source[[#This Row],[report_date]])</f>
        <v>2025</v>
      </c>
      <c r="C6506" s="128">
        <f t="shared" si="301"/>
        <v>5</v>
      </c>
      <c r="D6506" s="136">
        <f t="shared" si="303"/>
        <v>18</v>
      </c>
      <c r="E6506" s="136">
        <f t="shared" si="302"/>
        <v>2</v>
      </c>
      <c r="F6506" s="128" t="s">
        <v>24</v>
      </c>
      <c r="G6506" s="128" t="str">
        <f>VLOOKUP(source[[#This Row],[lending_product_transform]],[3]Mapping!$B$4:$C$37,2,0)</f>
        <v>[Cake] - Cashloan</v>
      </c>
      <c r="H6506" s="128" t="str">
        <f>VLOOKUP(source[[#This Row],[lending_product_transform]],[3]Mapping!$B$3:$D$37,3,0)</f>
        <v>cashloan</v>
      </c>
      <c r="I6506" s="135">
        <v>0</v>
      </c>
    </row>
    <row r="6507" spans="1:9" x14ac:dyDescent="0.2">
      <c r="A6507" s="134">
        <v>45779</v>
      </c>
      <c r="B6507" s="135">
        <f>YEAR(source[[#This Row],[report_date]])</f>
        <v>2025</v>
      </c>
      <c r="C6507" s="128">
        <f t="shared" si="301"/>
        <v>5</v>
      </c>
      <c r="D6507" s="136">
        <f t="shared" si="303"/>
        <v>18</v>
      </c>
      <c r="E6507" s="136">
        <f t="shared" si="302"/>
        <v>2</v>
      </c>
      <c r="F6507" s="128" t="s">
        <v>24</v>
      </c>
      <c r="G6507" s="128" t="str">
        <f>VLOOKUP(source[[#This Row],[lending_product_transform]],[3]Mapping!$B$4:$C$37,2,0)</f>
        <v>[Cake] - Cashloan</v>
      </c>
      <c r="H6507" s="128" t="str">
        <f>VLOOKUP(source[[#This Row],[lending_product_transform]],[3]Mapping!$B$3:$D$37,3,0)</f>
        <v>cashloan</v>
      </c>
      <c r="I6507" s="135">
        <v>179900435</v>
      </c>
    </row>
    <row r="6508" spans="1:9" x14ac:dyDescent="0.2">
      <c r="A6508" s="134">
        <v>45779</v>
      </c>
      <c r="B6508" s="135">
        <f>YEAR(source[[#This Row],[report_date]])</f>
        <v>2025</v>
      </c>
      <c r="C6508" s="128">
        <f t="shared" si="301"/>
        <v>5</v>
      </c>
      <c r="D6508" s="136">
        <f t="shared" si="303"/>
        <v>18</v>
      </c>
      <c r="E6508" s="136">
        <f t="shared" si="302"/>
        <v>2</v>
      </c>
      <c r="F6508" s="128" t="s">
        <v>24</v>
      </c>
      <c r="G6508" s="128" t="str">
        <f>VLOOKUP(source[[#This Row],[lending_product_transform]],[3]Mapping!$B$4:$C$37,2,0)</f>
        <v>[Cake] - Cashloan</v>
      </c>
      <c r="H6508" s="128" t="str">
        <f>VLOOKUP(source[[#This Row],[lending_product_transform]],[3]Mapping!$B$3:$D$37,3,0)</f>
        <v>cashloan</v>
      </c>
      <c r="I6508" s="135">
        <v>716904009</v>
      </c>
    </row>
    <row r="6509" spans="1:9" x14ac:dyDescent="0.2">
      <c r="A6509" s="134">
        <v>45779</v>
      </c>
      <c r="B6509" s="135">
        <f>YEAR(source[[#This Row],[report_date]])</f>
        <v>2025</v>
      </c>
      <c r="C6509" s="128">
        <f t="shared" si="301"/>
        <v>5</v>
      </c>
      <c r="D6509" s="136">
        <f t="shared" si="303"/>
        <v>18</v>
      </c>
      <c r="E6509" s="136">
        <f t="shared" si="302"/>
        <v>2</v>
      </c>
      <c r="F6509" s="128" t="s">
        <v>24</v>
      </c>
      <c r="G6509" s="128" t="str">
        <f>VLOOKUP(source[[#This Row],[lending_product_transform]],[3]Mapping!$B$4:$C$37,2,0)</f>
        <v>[Cake] - Cashloan</v>
      </c>
      <c r="H6509" s="128" t="str">
        <f>VLOOKUP(source[[#This Row],[lending_product_transform]],[3]Mapping!$B$3:$D$37,3,0)</f>
        <v>cashloan</v>
      </c>
      <c r="I6509" s="135">
        <v>5218729025</v>
      </c>
    </row>
    <row r="6510" spans="1:9" x14ac:dyDescent="0.2">
      <c r="A6510" s="134">
        <v>45780</v>
      </c>
      <c r="B6510" s="135">
        <f>YEAR(source[[#This Row],[report_date]])</f>
        <v>2025</v>
      </c>
      <c r="C6510" s="128">
        <f t="shared" si="301"/>
        <v>5</v>
      </c>
      <c r="D6510" s="136">
        <f t="shared" si="303"/>
        <v>18</v>
      </c>
      <c r="E6510" s="136">
        <f t="shared" si="302"/>
        <v>3</v>
      </c>
      <c r="F6510" s="128" t="s">
        <v>24</v>
      </c>
      <c r="G6510" s="128" t="str">
        <f>VLOOKUP(source[[#This Row],[lending_product_transform]],[3]Mapping!$B$4:$C$37,2,0)</f>
        <v>[Cake] - Cashloan</v>
      </c>
      <c r="H6510" s="128" t="str">
        <f>VLOOKUP(source[[#This Row],[lending_product_transform]],[3]Mapping!$B$3:$D$37,3,0)</f>
        <v>cashloan</v>
      </c>
      <c r="I6510" s="135">
        <v>0</v>
      </c>
    </row>
    <row r="6511" spans="1:9" x14ac:dyDescent="0.2">
      <c r="A6511" s="134">
        <v>45780</v>
      </c>
      <c r="B6511" s="135">
        <f>YEAR(source[[#This Row],[report_date]])</f>
        <v>2025</v>
      </c>
      <c r="C6511" s="128">
        <f t="shared" si="301"/>
        <v>5</v>
      </c>
      <c r="D6511" s="136">
        <f t="shared" si="303"/>
        <v>18</v>
      </c>
      <c r="E6511" s="136">
        <f t="shared" si="302"/>
        <v>3</v>
      </c>
      <c r="F6511" s="128" t="s">
        <v>24</v>
      </c>
      <c r="G6511" s="128" t="str">
        <f>VLOOKUP(source[[#This Row],[lending_product_transform]],[3]Mapping!$B$4:$C$37,2,0)</f>
        <v>[Cake] - Cashloan</v>
      </c>
      <c r="H6511" s="128" t="str">
        <f>VLOOKUP(source[[#This Row],[lending_product_transform]],[3]Mapping!$B$3:$D$37,3,0)</f>
        <v>cashloan</v>
      </c>
      <c r="I6511" s="135">
        <v>495530000</v>
      </c>
    </row>
    <row r="6512" spans="1:9" x14ac:dyDescent="0.2">
      <c r="A6512" s="134">
        <v>45780</v>
      </c>
      <c r="B6512" s="135">
        <f>YEAR(source[[#This Row],[report_date]])</f>
        <v>2025</v>
      </c>
      <c r="C6512" s="128">
        <f t="shared" si="301"/>
        <v>5</v>
      </c>
      <c r="D6512" s="136">
        <f t="shared" si="303"/>
        <v>18</v>
      </c>
      <c r="E6512" s="136">
        <f t="shared" si="302"/>
        <v>3</v>
      </c>
      <c r="F6512" s="128" t="s">
        <v>24</v>
      </c>
      <c r="G6512" s="128" t="str">
        <f>VLOOKUP(source[[#This Row],[lending_product_transform]],[3]Mapping!$B$4:$C$37,2,0)</f>
        <v>[Cake] - Cashloan</v>
      </c>
      <c r="H6512" s="128" t="str">
        <f>VLOOKUP(source[[#This Row],[lending_product_transform]],[3]Mapping!$B$3:$D$37,3,0)</f>
        <v>cashloan</v>
      </c>
      <c r="I6512" s="135">
        <v>926460000</v>
      </c>
    </row>
    <row r="6513" spans="1:9" x14ac:dyDescent="0.2">
      <c r="A6513" s="134">
        <v>45780</v>
      </c>
      <c r="B6513" s="135">
        <f>YEAR(source[[#This Row],[report_date]])</f>
        <v>2025</v>
      </c>
      <c r="C6513" s="128">
        <f t="shared" si="301"/>
        <v>5</v>
      </c>
      <c r="D6513" s="136">
        <f t="shared" si="303"/>
        <v>18</v>
      </c>
      <c r="E6513" s="136">
        <f t="shared" si="302"/>
        <v>3</v>
      </c>
      <c r="F6513" s="128" t="s">
        <v>24</v>
      </c>
      <c r="G6513" s="128" t="str">
        <f>VLOOKUP(source[[#This Row],[lending_product_transform]],[3]Mapping!$B$4:$C$37,2,0)</f>
        <v>[Cake] - Cashloan</v>
      </c>
      <c r="H6513" s="128" t="str">
        <f>VLOOKUP(source[[#This Row],[lending_product_transform]],[3]Mapping!$B$3:$D$37,3,0)</f>
        <v>cashloan</v>
      </c>
      <c r="I6513" s="135">
        <v>0</v>
      </c>
    </row>
    <row r="6514" spans="1:9" x14ac:dyDescent="0.2">
      <c r="A6514" s="134">
        <v>45780</v>
      </c>
      <c r="B6514" s="135">
        <f>YEAR(source[[#This Row],[report_date]])</f>
        <v>2025</v>
      </c>
      <c r="C6514" s="128">
        <f t="shared" si="301"/>
        <v>5</v>
      </c>
      <c r="D6514" s="136">
        <f t="shared" si="303"/>
        <v>18</v>
      </c>
      <c r="E6514" s="136">
        <f t="shared" si="302"/>
        <v>3</v>
      </c>
      <c r="F6514" s="128" t="s">
        <v>24</v>
      </c>
      <c r="G6514" s="128" t="str">
        <f>VLOOKUP(source[[#This Row],[lending_product_transform]],[3]Mapping!$B$4:$C$37,2,0)</f>
        <v>[Cake] - Cashloan</v>
      </c>
      <c r="H6514" s="128" t="str">
        <f>VLOOKUP(source[[#This Row],[lending_product_transform]],[3]Mapping!$B$3:$D$37,3,0)</f>
        <v>cashloan</v>
      </c>
      <c r="I6514" s="135">
        <v>193457267</v>
      </c>
    </row>
    <row r="6515" spans="1:9" x14ac:dyDescent="0.2">
      <c r="A6515" s="134">
        <v>45780</v>
      </c>
      <c r="B6515" s="135">
        <f>YEAR(source[[#This Row],[report_date]])</f>
        <v>2025</v>
      </c>
      <c r="C6515" s="128">
        <f t="shared" si="301"/>
        <v>5</v>
      </c>
      <c r="D6515" s="136">
        <f t="shared" si="303"/>
        <v>18</v>
      </c>
      <c r="E6515" s="136">
        <f t="shared" si="302"/>
        <v>3</v>
      </c>
      <c r="F6515" s="128" t="s">
        <v>24</v>
      </c>
      <c r="G6515" s="128" t="str">
        <f>VLOOKUP(source[[#This Row],[lending_product_transform]],[3]Mapping!$B$4:$C$37,2,0)</f>
        <v>[Cake] - Cashloan</v>
      </c>
      <c r="H6515" s="128" t="str">
        <f>VLOOKUP(source[[#This Row],[lending_product_transform]],[3]Mapping!$B$3:$D$37,3,0)</f>
        <v>cashloan</v>
      </c>
      <c r="I6515" s="135">
        <v>846242486</v>
      </c>
    </row>
    <row r="6516" spans="1:9" x14ac:dyDescent="0.2">
      <c r="A6516" s="134">
        <v>45780</v>
      </c>
      <c r="B6516" s="135">
        <f>YEAR(source[[#This Row],[report_date]])</f>
        <v>2025</v>
      </c>
      <c r="C6516" s="128">
        <f t="shared" si="301"/>
        <v>5</v>
      </c>
      <c r="D6516" s="136">
        <f t="shared" si="303"/>
        <v>18</v>
      </c>
      <c r="E6516" s="136">
        <f t="shared" si="302"/>
        <v>3</v>
      </c>
      <c r="F6516" s="128" t="s">
        <v>24</v>
      </c>
      <c r="G6516" s="128" t="str">
        <f>VLOOKUP(source[[#This Row],[lending_product_transform]],[3]Mapping!$B$4:$C$37,2,0)</f>
        <v>[Cake] - Cashloan</v>
      </c>
      <c r="H6516" s="128" t="str">
        <f>VLOOKUP(source[[#This Row],[lending_product_transform]],[3]Mapping!$B$3:$D$37,3,0)</f>
        <v>cashloan</v>
      </c>
      <c r="I6516" s="135">
        <v>4227266832</v>
      </c>
    </row>
    <row r="6517" spans="1:9" x14ac:dyDescent="0.2">
      <c r="A6517" s="134">
        <v>45780</v>
      </c>
      <c r="B6517" s="135">
        <f>YEAR(source[[#This Row],[report_date]])</f>
        <v>2025</v>
      </c>
      <c r="C6517" s="128">
        <f t="shared" si="301"/>
        <v>5</v>
      </c>
      <c r="D6517" s="136">
        <f t="shared" si="303"/>
        <v>18</v>
      </c>
      <c r="E6517" s="136">
        <f t="shared" si="302"/>
        <v>3</v>
      </c>
      <c r="F6517" s="128" t="s">
        <v>24</v>
      </c>
      <c r="G6517" s="128" t="str">
        <f>VLOOKUP(source[[#This Row],[lending_product_transform]],[3]Mapping!$B$4:$C$37,2,0)</f>
        <v>[Cake] - Cashloan</v>
      </c>
      <c r="H6517" s="128" t="str">
        <f>VLOOKUP(source[[#This Row],[lending_product_transform]],[3]Mapping!$B$3:$D$37,3,0)</f>
        <v>cashloan</v>
      </c>
      <c r="I6517" s="135">
        <v>459940502</v>
      </c>
    </row>
    <row r="6518" spans="1:9" x14ac:dyDescent="0.2">
      <c r="A6518" s="134">
        <v>45780</v>
      </c>
      <c r="B6518" s="135">
        <f>YEAR(source[[#This Row],[report_date]])</f>
        <v>2025</v>
      </c>
      <c r="C6518" s="128">
        <f t="shared" ref="C6518:C6581" si="304">MONTH(A6518)</f>
        <v>5</v>
      </c>
      <c r="D6518" s="136">
        <f t="shared" si="303"/>
        <v>18</v>
      </c>
      <c r="E6518" s="136">
        <f t="shared" ref="E6518:E6581" si="305">DAY(A6518)</f>
        <v>3</v>
      </c>
      <c r="F6518" s="128" t="s">
        <v>24</v>
      </c>
      <c r="G6518" s="128" t="str">
        <f>VLOOKUP(source[[#This Row],[lending_product_transform]],[3]Mapping!$B$4:$C$37,2,0)</f>
        <v>[Cake] - Cashloan</v>
      </c>
      <c r="H6518" s="128" t="str">
        <f>VLOOKUP(source[[#This Row],[lending_product_transform]],[3]Mapping!$B$3:$D$37,3,0)</f>
        <v>cashloan</v>
      </c>
      <c r="I6518" s="135">
        <v>7189940000</v>
      </c>
    </row>
    <row r="6519" spans="1:9" x14ac:dyDescent="0.2">
      <c r="A6519" s="134">
        <v>45780</v>
      </c>
      <c r="B6519" s="135">
        <f>YEAR(source[[#This Row],[report_date]])</f>
        <v>2025</v>
      </c>
      <c r="C6519" s="128">
        <f t="shared" si="304"/>
        <v>5</v>
      </c>
      <c r="D6519" s="136">
        <f t="shared" si="303"/>
        <v>18</v>
      </c>
      <c r="E6519" s="136">
        <f t="shared" si="305"/>
        <v>3</v>
      </c>
      <c r="F6519" s="128" t="s">
        <v>24</v>
      </c>
      <c r="G6519" s="128" t="str">
        <f>VLOOKUP(source[[#This Row],[lending_product_transform]],[3]Mapping!$B$4:$C$37,2,0)</f>
        <v>[Cake] - Cashloan</v>
      </c>
      <c r="H6519" s="128" t="str">
        <f>VLOOKUP(source[[#This Row],[lending_product_transform]],[3]Mapping!$B$3:$D$37,3,0)</f>
        <v>cashloan</v>
      </c>
      <c r="I6519" s="135">
        <v>4571856000</v>
      </c>
    </row>
    <row r="6520" spans="1:9" x14ac:dyDescent="0.2">
      <c r="A6520" s="134">
        <v>45780</v>
      </c>
      <c r="B6520" s="135">
        <f>YEAR(source[[#This Row],[report_date]])</f>
        <v>2025</v>
      </c>
      <c r="C6520" s="128">
        <f t="shared" si="304"/>
        <v>5</v>
      </c>
      <c r="D6520" s="136">
        <f t="shared" si="303"/>
        <v>18</v>
      </c>
      <c r="E6520" s="136">
        <f t="shared" si="305"/>
        <v>3</v>
      </c>
      <c r="F6520" s="128" t="s">
        <v>24</v>
      </c>
      <c r="G6520" s="128" t="str">
        <f>VLOOKUP(source[[#This Row],[lending_product_transform]],[3]Mapping!$B$4:$C$37,2,0)</f>
        <v>[Cake] - Cashloan</v>
      </c>
      <c r="H6520" s="128" t="str">
        <f>VLOOKUP(source[[#This Row],[lending_product_transform]],[3]Mapping!$B$3:$D$37,3,0)</f>
        <v>cashloan</v>
      </c>
      <c r="I6520" s="135">
        <v>7459040000</v>
      </c>
    </row>
    <row r="6521" spans="1:9" x14ac:dyDescent="0.2">
      <c r="A6521" s="134">
        <v>45780</v>
      </c>
      <c r="B6521" s="135">
        <f>YEAR(source[[#This Row],[report_date]])</f>
        <v>2025</v>
      </c>
      <c r="C6521" s="128">
        <f t="shared" si="304"/>
        <v>5</v>
      </c>
      <c r="D6521" s="136">
        <f t="shared" si="303"/>
        <v>18</v>
      </c>
      <c r="E6521" s="136">
        <f t="shared" si="305"/>
        <v>3</v>
      </c>
      <c r="F6521" s="128" t="s">
        <v>24</v>
      </c>
      <c r="G6521" s="128" t="str">
        <f>VLOOKUP(source[[#This Row],[lending_product_transform]],[3]Mapping!$B$4:$C$37,2,0)</f>
        <v>[Cake] - Cashloan</v>
      </c>
      <c r="H6521" s="128" t="str">
        <f>VLOOKUP(source[[#This Row],[lending_product_transform]],[3]Mapping!$B$3:$D$37,3,0)</f>
        <v>cashloan</v>
      </c>
      <c r="I6521" s="135">
        <v>0</v>
      </c>
    </row>
    <row r="6522" spans="1:9" x14ac:dyDescent="0.2">
      <c r="A6522" s="134">
        <v>45780</v>
      </c>
      <c r="B6522" s="135">
        <f>YEAR(source[[#This Row],[report_date]])</f>
        <v>2025</v>
      </c>
      <c r="C6522" s="128">
        <f t="shared" si="304"/>
        <v>5</v>
      </c>
      <c r="D6522" s="136">
        <f t="shared" si="303"/>
        <v>18</v>
      </c>
      <c r="E6522" s="136">
        <f t="shared" si="305"/>
        <v>3</v>
      </c>
      <c r="F6522" s="128" t="s">
        <v>24</v>
      </c>
      <c r="G6522" s="128" t="str">
        <f>VLOOKUP(source[[#This Row],[lending_product_transform]],[3]Mapping!$B$4:$C$37,2,0)</f>
        <v>[Cake] - Cashloan</v>
      </c>
      <c r="H6522" s="128" t="str">
        <f>VLOOKUP(source[[#This Row],[lending_product_transform]],[3]Mapping!$B$3:$D$37,3,0)</f>
        <v>cashloan</v>
      </c>
      <c r="I6522" s="135">
        <v>0</v>
      </c>
    </row>
    <row r="6523" spans="1:9" x14ac:dyDescent="0.2">
      <c r="A6523" s="134">
        <v>45780</v>
      </c>
      <c r="B6523" s="135">
        <f>YEAR(source[[#This Row],[report_date]])</f>
        <v>2025</v>
      </c>
      <c r="C6523" s="128">
        <f t="shared" si="304"/>
        <v>5</v>
      </c>
      <c r="D6523" s="136">
        <f t="shared" si="303"/>
        <v>18</v>
      </c>
      <c r="E6523" s="136">
        <f t="shared" si="305"/>
        <v>3</v>
      </c>
      <c r="F6523" s="128" t="s">
        <v>24</v>
      </c>
      <c r="G6523" s="128" t="str">
        <f>VLOOKUP(source[[#This Row],[lending_product_transform]],[3]Mapping!$B$4:$C$37,2,0)</f>
        <v>[Cake] - Cashloan</v>
      </c>
      <c r="H6523" s="128" t="str">
        <f>VLOOKUP(source[[#This Row],[lending_product_transform]],[3]Mapping!$B$3:$D$37,3,0)</f>
        <v>cashloan</v>
      </c>
      <c r="I6523" s="135">
        <v>45539571</v>
      </c>
    </row>
    <row r="6524" spans="1:9" x14ac:dyDescent="0.2">
      <c r="A6524" s="134">
        <v>45780</v>
      </c>
      <c r="B6524" s="135">
        <f>YEAR(source[[#This Row],[report_date]])</f>
        <v>2025</v>
      </c>
      <c r="C6524" s="128">
        <f t="shared" si="304"/>
        <v>5</v>
      </c>
      <c r="D6524" s="136">
        <f t="shared" si="303"/>
        <v>18</v>
      </c>
      <c r="E6524" s="136">
        <f t="shared" si="305"/>
        <v>3</v>
      </c>
      <c r="F6524" s="128" t="s">
        <v>24</v>
      </c>
      <c r="G6524" s="128" t="str">
        <f>VLOOKUP(source[[#This Row],[lending_product_transform]],[3]Mapping!$B$4:$C$37,2,0)</f>
        <v>[Cake] - Cashloan</v>
      </c>
      <c r="H6524" s="128" t="str">
        <f>VLOOKUP(source[[#This Row],[lending_product_transform]],[3]Mapping!$B$3:$D$37,3,0)</f>
        <v>cashloan</v>
      </c>
      <c r="I6524" s="135">
        <v>0</v>
      </c>
    </row>
    <row r="6525" spans="1:9" x14ac:dyDescent="0.2">
      <c r="A6525" s="134">
        <v>45780</v>
      </c>
      <c r="B6525" s="135">
        <f>YEAR(source[[#This Row],[report_date]])</f>
        <v>2025</v>
      </c>
      <c r="C6525" s="128">
        <f t="shared" si="304"/>
        <v>5</v>
      </c>
      <c r="D6525" s="136">
        <f t="shared" si="303"/>
        <v>18</v>
      </c>
      <c r="E6525" s="136">
        <f t="shared" si="305"/>
        <v>3</v>
      </c>
      <c r="F6525" s="128" t="s">
        <v>24</v>
      </c>
      <c r="G6525" s="128" t="str">
        <f>VLOOKUP(source[[#This Row],[lending_product_transform]],[3]Mapping!$B$4:$C$37,2,0)</f>
        <v>[Cake] - Cashloan</v>
      </c>
      <c r="H6525" s="128" t="str">
        <f>VLOOKUP(source[[#This Row],[lending_product_transform]],[3]Mapping!$B$3:$D$37,3,0)</f>
        <v>cashloan</v>
      </c>
      <c r="I6525" s="135">
        <v>0</v>
      </c>
    </row>
    <row r="6526" spans="1:9" x14ac:dyDescent="0.2">
      <c r="A6526" s="134">
        <v>45780</v>
      </c>
      <c r="B6526" s="135">
        <f>YEAR(source[[#This Row],[report_date]])</f>
        <v>2025</v>
      </c>
      <c r="C6526" s="128">
        <f t="shared" si="304"/>
        <v>5</v>
      </c>
      <c r="D6526" s="136">
        <f t="shared" si="303"/>
        <v>18</v>
      </c>
      <c r="E6526" s="136">
        <f t="shared" si="305"/>
        <v>3</v>
      </c>
      <c r="F6526" s="128" t="s">
        <v>24</v>
      </c>
      <c r="G6526" s="128" t="str">
        <f>VLOOKUP(source[[#This Row],[lending_product_transform]],[3]Mapping!$B$4:$C$37,2,0)</f>
        <v>[Cake] - Cashloan</v>
      </c>
      <c r="H6526" s="128" t="str">
        <f>VLOOKUP(source[[#This Row],[lending_product_transform]],[3]Mapping!$B$3:$D$37,3,0)</f>
        <v>cashloan</v>
      </c>
      <c r="I6526" s="135">
        <v>0</v>
      </c>
    </row>
    <row r="6527" spans="1:9" x14ac:dyDescent="0.2">
      <c r="A6527" s="134">
        <v>45780</v>
      </c>
      <c r="B6527" s="135">
        <f>YEAR(source[[#This Row],[report_date]])</f>
        <v>2025</v>
      </c>
      <c r="C6527" s="128">
        <f t="shared" si="304"/>
        <v>5</v>
      </c>
      <c r="D6527" s="136">
        <f t="shared" si="303"/>
        <v>18</v>
      </c>
      <c r="E6527" s="136">
        <f t="shared" si="305"/>
        <v>3</v>
      </c>
      <c r="F6527" s="128" t="s">
        <v>24</v>
      </c>
      <c r="G6527" s="128" t="str">
        <f>VLOOKUP(source[[#This Row],[lending_product_transform]],[3]Mapping!$B$4:$C$37,2,0)</f>
        <v>[Cake] - Cashloan</v>
      </c>
      <c r="H6527" s="128" t="str">
        <f>VLOOKUP(source[[#This Row],[lending_product_transform]],[3]Mapping!$B$3:$D$37,3,0)</f>
        <v>cashloan</v>
      </c>
      <c r="I6527" s="135">
        <v>52500000</v>
      </c>
    </row>
    <row r="6528" spans="1:9" x14ac:dyDescent="0.2">
      <c r="A6528" s="134">
        <v>45780</v>
      </c>
      <c r="B6528" s="135">
        <f>YEAR(source[[#This Row],[report_date]])</f>
        <v>2025</v>
      </c>
      <c r="C6528" s="128">
        <f t="shared" si="304"/>
        <v>5</v>
      </c>
      <c r="D6528" s="136">
        <f t="shared" si="303"/>
        <v>18</v>
      </c>
      <c r="E6528" s="136">
        <f t="shared" si="305"/>
        <v>3</v>
      </c>
      <c r="F6528" s="128" t="s">
        <v>24</v>
      </c>
      <c r="G6528" s="128" t="str">
        <f>VLOOKUP(source[[#This Row],[lending_product_transform]],[3]Mapping!$B$4:$C$37,2,0)</f>
        <v>[Cake] - Cashloan</v>
      </c>
      <c r="H6528" s="128" t="str">
        <f>VLOOKUP(source[[#This Row],[lending_product_transform]],[3]Mapping!$B$3:$D$37,3,0)</f>
        <v>cashloan</v>
      </c>
      <c r="I6528" s="135">
        <v>37000000</v>
      </c>
    </row>
    <row r="6529" spans="1:9" x14ac:dyDescent="0.2">
      <c r="A6529" s="134">
        <v>45781</v>
      </c>
      <c r="B6529" s="135">
        <f>YEAR(source[[#This Row],[report_date]])</f>
        <v>2025</v>
      </c>
      <c r="C6529" s="128">
        <f t="shared" si="304"/>
        <v>5</v>
      </c>
      <c r="D6529" s="136">
        <f t="shared" si="303"/>
        <v>18</v>
      </c>
      <c r="E6529" s="136">
        <f t="shared" si="305"/>
        <v>4</v>
      </c>
      <c r="F6529" s="128" t="s">
        <v>24</v>
      </c>
      <c r="G6529" s="128" t="str">
        <f>VLOOKUP(source[[#This Row],[lending_product_transform]],[3]Mapping!$B$4:$C$37,2,0)</f>
        <v>[Cake] - Cashloan</v>
      </c>
      <c r="H6529" s="128" t="str">
        <f>VLOOKUP(source[[#This Row],[lending_product_transform]],[3]Mapping!$B$3:$D$37,3,0)</f>
        <v>cashloan</v>
      </c>
      <c r="I6529" s="135">
        <v>4746168000</v>
      </c>
    </row>
    <row r="6530" spans="1:9" x14ac:dyDescent="0.2">
      <c r="A6530" s="134">
        <v>45781</v>
      </c>
      <c r="B6530" s="135">
        <f>YEAR(source[[#This Row],[report_date]])</f>
        <v>2025</v>
      </c>
      <c r="C6530" s="128">
        <f t="shared" si="304"/>
        <v>5</v>
      </c>
      <c r="D6530" s="136">
        <f t="shared" si="303"/>
        <v>18</v>
      </c>
      <c r="E6530" s="136">
        <f t="shared" si="305"/>
        <v>4</v>
      </c>
      <c r="F6530" s="128" t="s">
        <v>24</v>
      </c>
      <c r="G6530" s="128" t="str">
        <f>VLOOKUP(source[[#This Row],[lending_product_transform]],[3]Mapping!$B$4:$C$37,2,0)</f>
        <v>[Cake] - Cashloan</v>
      </c>
      <c r="H6530" s="128" t="str">
        <f>VLOOKUP(source[[#This Row],[lending_product_transform]],[3]Mapping!$B$3:$D$37,3,0)</f>
        <v>cashloan</v>
      </c>
      <c r="I6530" s="135">
        <v>0</v>
      </c>
    </row>
    <row r="6531" spans="1:9" x14ac:dyDescent="0.2">
      <c r="A6531" s="134">
        <v>45781</v>
      </c>
      <c r="B6531" s="135">
        <f>YEAR(source[[#This Row],[report_date]])</f>
        <v>2025</v>
      </c>
      <c r="C6531" s="128">
        <f t="shared" si="304"/>
        <v>5</v>
      </c>
      <c r="D6531" s="136">
        <f t="shared" ref="D6531:D6594" si="306">WEEKNUM(A6531,2)</f>
        <v>18</v>
      </c>
      <c r="E6531" s="136">
        <f t="shared" si="305"/>
        <v>4</v>
      </c>
      <c r="F6531" s="128" t="s">
        <v>24</v>
      </c>
      <c r="G6531" s="128" t="str">
        <f>VLOOKUP(source[[#This Row],[lending_product_transform]],[3]Mapping!$B$4:$C$37,2,0)</f>
        <v>[Cake] - Cashloan</v>
      </c>
      <c r="H6531" s="128" t="str">
        <f>VLOOKUP(source[[#This Row],[lending_product_transform]],[3]Mapping!$B$3:$D$37,3,0)</f>
        <v>cashloan</v>
      </c>
      <c r="I6531" s="135">
        <v>7601730000</v>
      </c>
    </row>
    <row r="6532" spans="1:9" x14ac:dyDescent="0.2">
      <c r="A6532" s="134">
        <v>45781</v>
      </c>
      <c r="B6532" s="135">
        <f>YEAR(source[[#This Row],[report_date]])</f>
        <v>2025</v>
      </c>
      <c r="C6532" s="128">
        <f t="shared" si="304"/>
        <v>5</v>
      </c>
      <c r="D6532" s="136">
        <f t="shared" si="306"/>
        <v>18</v>
      </c>
      <c r="E6532" s="136">
        <f t="shared" si="305"/>
        <v>4</v>
      </c>
      <c r="F6532" s="128" t="s">
        <v>24</v>
      </c>
      <c r="G6532" s="128" t="str">
        <f>VLOOKUP(source[[#This Row],[lending_product_transform]],[3]Mapping!$B$4:$C$37,2,0)</f>
        <v>[Cake] - Cashloan</v>
      </c>
      <c r="H6532" s="128" t="str">
        <f>VLOOKUP(source[[#This Row],[lending_product_transform]],[3]Mapping!$B$3:$D$37,3,0)</f>
        <v>cashloan</v>
      </c>
      <c r="I6532" s="135">
        <v>0</v>
      </c>
    </row>
    <row r="6533" spans="1:9" x14ac:dyDescent="0.2">
      <c r="A6533" s="134">
        <v>45781</v>
      </c>
      <c r="B6533" s="135">
        <f>YEAR(source[[#This Row],[report_date]])</f>
        <v>2025</v>
      </c>
      <c r="C6533" s="128">
        <f t="shared" si="304"/>
        <v>5</v>
      </c>
      <c r="D6533" s="136">
        <f t="shared" si="306"/>
        <v>18</v>
      </c>
      <c r="E6533" s="136">
        <f t="shared" si="305"/>
        <v>4</v>
      </c>
      <c r="F6533" s="128" t="s">
        <v>24</v>
      </c>
      <c r="G6533" s="128" t="str">
        <f>VLOOKUP(source[[#This Row],[lending_product_transform]],[3]Mapping!$B$4:$C$37,2,0)</f>
        <v>[Cake] - Cashloan</v>
      </c>
      <c r="H6533" s="128" t="str">
        <f>VLOOKUP(source[[#This Row],[lending_product_transform]],[3]Mapping!$B$3:$D$37,3,0)</f>
        <v>cashloan</v>
      </c>
      <c r="I6533" s="135">
        <v>0</v>
      </c>
    </row>
    <row r="6534" spans="1:9" x14ac:dyDescent="0.2">
      <c r="A6534" s="134">
        <v>45781</v>
      </c>
      <c r="B6534" s="135">
        <f>YEAR(source[[#This Row],[report_date]])</f>
        <v>2025</v>
      </c>
      <c r="C6534" s="128">
        <f t="shared" si="304"/>
        <v>5</v>
      </c>
      <c r="D6534" s="136">
        <f t="shared" si="306"/>
        <v>18</v>
      </c>
      <c r="E6534" s="136">
        <f t="shared" si="305"/>
        <v>4</v>
      </c>
      <c r="F6534" s="128" t="s">
        <v>24</v>
      </c>
      <c r="G6534" s="128" t="str">
        <f>VLOOKUP(source[[#This Row],[lending_product_transform]],[3]Mapping!$B$4:$C$37,2,0)</f>
        <v>[Cake] - Cashloan</v>
      </c>
      <c r="H6534" s="128" t="str">
        <f>VLOOKUP(source[[#This Row],[lending_product_transform]],[3]Mapping!$B$3:$D$37,3,0)</f>
        <v>cashloan</v>
      </c>
      <c r="I6534" s="135">
        <v>49272873</v>
      </c>
    </row>
    <row r="6535" spans="1:9" x14ac:dyDescent="0.2">
      <c r="A6535" s="134">
        <v>45781</v>
      </c>
      <c r="B6535" s="135">
        <f>YEAR(source[[#This Row],[report_date]])</f>
        <v>2025</v>
      </c>
      <c r="C6535" s="128">
        <f t="shared" si="304"/>
        <v>5</v>
      </c>
      <c r="D6535" s="136">
        <f t="shared" si="306"/>
        <v>18</v>
      </c>
      <c r="E6535" s="136">
        <f t="shared" si="305"/>
        <v>4</v>
      </c>
      <c r="F6535" s="128" t="s">
        <v>24</v>
      </c>
      <c r="G6535" s="128" t="str">
        <f>VLOOKUP(source[[#This Row],[lending_product_transform]],[3]Mapping!$B$4:$C$37,2,0)</f>
        <v>[Cake] - Cashloan</v>
      </c>
      <c r="H6535" s="128" t="str">
        <f>VLOOKUP(source[[#This Row],[lending_product_transform]],[3]Mapping!$B$3:$D$37,3,0)</f>
        <v>cashloan</v>
      </c>
      <c r="I6535" s="135">
        <v>0</v>
      </c>
    </row>
    <row r="6536" spans="1:9" x14ac:dyDescent="0.2">
      <c r="A6536" s="134">
        <v>45781</v>
      </c>
      <c r="B6536" s="135">
        <f>YEAR(source[[#This Row],[report_date]])</f>
        <v>2025</v>
      </c>
      <c r="C6536" s="128">
        <f t="shared" si="304"/>
        <v>5</v>
      </c>
      <c r="D6536" s="136">
        <f t="shared" si="306"/>
        <v>18</v>
      </c>
      <c r="E6536" s="136">
        <f t="shared" si="305"/>
        <v>4</v>
      </c>
      <c r="F6536" s="128" t="s">
        <v>24</v>
      </c>
      <c r="G6536" s="128" t="str">
        <f>VLOOKUP(source[[#This Row],[lending_product_transform]],[3]Mapping!$B$4:$C$37,2,0)</f>
        <v>[Cake] - Cashloan</v>
      </c>
      <c r="H6536" s="128" t="str">
        <f>VLOOKUP(source[[#This Row],[lending_product_transform]],[3]Mapping!$B$3:$D$37,3,0)</f>
        <v>cashloan</v>
      </c>
      <c r="I6536" s="135">
        <v>0</v>
      </c>
    </row>
    <row r="6537" spans="1:9" x14ac:dyDescent="0.2">
      <c r="A6537" s="134">
        <v>45781</v>
      </c>
      <c r="B6537" s="135">
        <f>YEAR(source[[#This Row],[report_date]])</f>
        <v>2025</v>
      </c>
      <c r="C6537" s="128">
        <f t="shared" si="304"/>
        <v>5</v>
      </c>
      <c r="D6537" s="136">
        <f t="shared" si="306"/>
        <v>18</v>
      </c>
      <c r="E6537" s="136">
        <f t="shared" si="305"/>
        <v>4</v>
      </c>
      <c r="F6537" s="128" t="s">
        <v>24</v>
      </c>
      <c r="G6537" s="128" t="str">
        <f>VLOOKUP(source[[#This Row],[lending_product_transform]],[3]Mapping!$B$4:$C$37,2,0)</f>
        <v>[Cake] - Cashloan</v>
      </c>
      <c r="H6537" s="128" t="str">
        <f>VLOOKUP(source[[#This Row],[lending_product_transform]],[3]Mapping!$B$3:$D$37,3,0)</f>
        <v>cashloan</v>
      </c>
      <c r="I6537" s="135">
        <v>31500000</v>
      </c>
    </row>
    <row r="6538" spans="1:9" x14ac:dyDescent="0.2">
      <c r="A6538" s="134">
        <v>45781</v>
      </c>
      <c r="B6538" s="135">
        <f>YEAR(source[[#This Row],[report_date]])</f>
        <v>2025</v>
      </c>
      <c r="C6538" s="128">
        <f t="shared" si="304"/>
        <v>5</v>
      </c>
      <c r="D6538" s="136">
        <f t="shared" si="306"/>
        <v>18</v>
      </c>
      <c r="E6538" s="136">
        <f t="shared" si="305"/>
        <v>4</v>
      </c>
      <c r="F6538" s="128" t="s">
        <v>24</v>
      </c>
      <c r="G6538" s="128" t="str">
        <f>VLOOKUP(source[[#This Row],[lending_product_transform]],[3]Mapping!$B$4:$C$37,2,0)</f>
        <v>[Cake] - Cashloan</v>
      </c>
      <c r="H6538" s="128" t="str">
        <f>VLOOKUP(source[[#This Row],[lending_product_transform]],[3]Mapping!$B$3:$D$37,3,0)</f>
        <v>cashloan</v>
      </c>
      <c r="I6538" s="135">
        <v>52000000</v>
      </c>
    </row>
    <row r="6539" spans="1:9" x14ac:dyDescent="0.2">
      <c r="A6539" s="134">
        <v>45781</v>
      </c>
      <c r="B6539" s="135">
        <f>YEAR(source[[#This Row],[report_date]])</f>
        <v>2025</v>
      </c>
      <c r="C6539" s="128">
        <f t="shared" si="304"/>
        <v>5</v>
      </c>
      <c r="D6539" s="136">
        <f t="shared" si="306"/>
        <v>18</v>
      </c>
      <c r="E6539" s="136">
        <f t="shared" si="305"/>
        <v>4</v>
      </c>
      <c r="F6539" s="128" t="s">
        <v>24</v>
      </c>
      <c r="G6539" s="128" t="str">
        <f>VLOOKUP(source[[#This Row],[lending_product_transform]],[3]Mapping!$B$4:$C$37,2,0)</f>
        <v>[Cake] - Cashloan</v>
      </c>
      <c r="H6539" s="128" t="str">
        <f>VLOOKUP(source[[#This Row],[lending_product_transform]],[3]Mapping!$B$3:$D$37,3,0)</f>
        <v>cashloan</v>
      </c>
      <c r="I6539" s="135">
        <v>0</v>
      </c>
    </row>
    <row r="6540" spans="1:9" x14ac:dyDescent="0.2">
      <c r="A6540" s="134">
        <v>45781</v>
      </c>
      <c r="B6540" s="135">
        <f>YEAR(source[[#This Row],[report_date]])</f>
        <v>2025</v>
      </c>
      <c r="C6540" s="128">
        <f t="shared" si="304"/>
        <v>5</v>
      </c>
      <c r="D6540" s="136">
        <f t="shared" si="306"/>
        <v>18</v>
      </c>
      <c r="E6540" s="136">
        <f t="shared" si="305"/>
        <v>4</v>
      </c>
      <c r="F6540" s="128" t="s">
        <v>24</v>
      </c>
      <c r="G6540" s="128" t="str">
        <f>VLOOKUP(source[[#This Row],[lending_product_transform]],[3]Mapping!$B$4:$C$37,2,0)</f>
        <v>[Cake] - Cashloan</v>
      </c>
      <c r="H6540" s="128" t="str">
        <f>VLOOKUP(source[[#This Row],[lending_product_transform]],[3]Mapping!$B$3:$D$37,3,0)</f>
        <v>cashloan</v>
      </c>
      <c r="I6540" s="135">
        <v>541420000</v>
      </c>
    </row>
    <row r="6541" spans="1:9" x14ac:dyDescent="0.2">
      <c r="A6541" s="134">
        <v>45781</v>
      </c>
      <c r="B6541" s="135">
        <f>YEAR(source[[#This Row],[report_date]])</f>
        <v>2025</v>
      </c>
      <c r="C6541" s="128">
        <f t="shared" si="304"/>
        <v>5</v>
      </c>
      <c r="D6541" s="136">
        <f t="shared" si="306"/>
        <v>18</v>
      </c>
      <c r="E6541" s="136">
        <f t="shared" si="305"/>
        <v>4</v>
      </c>
      <c r="F6541" s="128" t="s">
        <v>24</v>
      </c>
      <c r="G6541" s="128" t="str">
        <f>VLOOKUP(source[[#This Row],[lending_product_transform]],[3]Mapping!$B$4:$C$37,2,0)</f>
        <v>[Cake] - Cashloan</v>
      </c>
      <c r="H6541" s="128" t="str">
        <f>VLOOKUP(source[[#This Row],[lending_product_transform]],[3]Mapping!$B$3:$D$37,3,0)</f>
        <v>cashloan</v>
      </c>
      <c r="I6541" s="135">
        <v>820630000</v>
      </c>
    </row>
    <row r="6542" spans="1:9" x14ac:dyDescent="0.2">
      <c r="A6542" s="134">
        <v>45781</v>
      </c>
      <c r="B6542" s="135">
        <f>YEAR(source[[#This Row],[report_date]])</f>
        <v>2025</v>
      </c>
      <c r="C6542" s="128">
        <f t="shared" si="304"/>
        <v>5</v>
      </c>
      <c r="D6542" s="136">
        <f t="shared" si="306"/>
        <v>18</v>
      </c>
      <c r="E6542" s="136">
        <f t="shared" si="305"/>
        <v>4</v>
      </c>
      <c r="F6542" s="128" t="s">
        <v>24</v>
      </c>
      <c r="G6542" s="128" t="str">
        <f>VLOOKUP(source[[#This Row],[lending_product_transform]],[3]Mapping!$B$4:$C$37,2,0)</f>
        <v>[Cake] - Cashloan</v>
      </c>
      <c r="H6542" s="128" t="str">
        <f>VLOOKUP(source[[#This Row],[lending_product_transform]],[3]Mapping!$B$3:$D$37,3,0)</f>
        <v>cashloan</v>
      </c>
      <c r="I6542" s="135">
        <v>232283012</v>
      </c>
    </row>
    <row r="6543" spans="1:9" x14ac:dyDescent="0.2">
      <c r="A6543" s="134">
        <v>45781</v>
      </c>
      <c r="B6543" s="135">
        <f>YEAR(source[[#This Row],[report_date]])</f>
        <v>2025</v>
      </c>
      <c r="C6543" s="128">
        <f t="shared" si="304"/>
        <v>5</v>
      </c>
      <c r="D6543" s="136">
        <f t="shared" si="306"/>
        <v>18</v>
      </c>
      <c r="E6543" s="136">
        <f t="shared" si="305"/>
        <v>4</v>
      </c>
      <c r="F6543" s="128" t="s">
        <v>24</v>
      </c>
      <c r="G6543" s="128" t="str">
        <f>VLOOKUP(source[[#This Row],[lending_product_transform]],[3]Mapping!$B$4:$C$37,2,0)</f>
        <v>[Cake] - Cashloan</v>
      </c>
      <c r="H6543" s="128" t="str">
        <f>VLOOKUP(source[[#This Row],[lending_product_transform]],[3]Mapping!$B$3:$D$37,3,0)</f>
        <v>cashloan</v>
      </c>
      <c r="I6543" s="135">
        <v>1030025528</v>
      </c>
    </row>
    <row r="6544" spans="1:9" x14ac:dyDescent="0.2">
      <c r="A6544" s="134">
        <v>45781</v>
      </c>
      <c r="B6544" s="135">
        <f>YEAR(source[[#This Row],[report_date]])</f>
        <v>2025</v>
      </c>
      <c r="C6544" s="128">
        <f t="shared" si="304"/>
        <v>5</v>
      </c>
      <c r="D6544" s="136">
        <f t="shared" si="306"/>
        <v>18</v>
      </c>
      <c r="E6544" s="136">
        <f t="shared" si="305"/>
        <v>4</v>
      </c>
      <c r="F6544" s="128" t="s">
        <v>24</v>
      </c>
      <c r="G6544" s="128" t="str">
        <f>VLOOKUP(source[[#This Row],[lending_product_transform]],[3]Mapping!$B$4:$C$37,2,0)</f>
        <v>[Cake] - Cashloan</v>
      </c>
      <c r="H6544" s="128" t="str">
        <f>VLOOKUP(source[[#This Row],[lending_product_transform]],[3]Mapping!$B$3:$D$37,3,0)</f>
        <v>cashloan</v>
      </c>
      <c r="I6544" s="135">
        <v>4184796288</v>
      </c>
    </row>
    <row r="6545" spans="1:9" x14ac:dyDescent="0.2">
      <c r="A6545" s="134">
        <v>45781</v>
      </c>
      <c r="B6545" s="135">
        <f>YEAR(source[[#This Row],[report_date]])</f>
        <v>2025</v>
      </c>
      <c r="C6545" s="128">
        <f t="shared" si="304"/>
        <v>5</v>
      </c>
      <c r="D6545" s="136">
        <f t="shared" si="306"/>
        <v>18</v>
      </c>
      <c r="E6545" s="136">
        <f t="shared" si="305"/>
        <v>4</v>
      </c>
      <c r="F6545" s="128" t="s">
        <v>24</v>
      </c>
      <c r="G6545" s="128" t="str">
        <f>VLOOKUP(source[[#This Row],[lending_product_transform]],[3]Mapping!$B$4:$C$37,2,0)</f>
        <v>[Cake] - Cashloan</v>
      </c>
      <c r="H6545" s="128" t="str">
        <f>VLOOKUP(source[[#This Row],[lending_product_transform]],[3]Mapping!$B$3:$D$37,3,0)</f>
        <v>cashloan</v>
      </c>
      <c r="I6545" s="135">
        <v>427796971</v>
      </c>
    </row>
    <row r="6546" spans="1:9" x14ac:dyDescent="0.2">
      <c r="A6546" s="134">
        <v>45781</v>
      </c>
      <c r="B6546" s="135">
        <f>YEAR(source[[#This Row],[report_date]])</f>
        <v>2025</v>
      </c>
      <c r="C6546" s="128">
        <f t="shared" si="304"/>
        <v>5</v>
      </c>
      <c r="D6546" s="136">
        <f t="shared" si="306"/>
        <v>18</v>
      </c>
      <c r="E6546" s="136">
        <f t="shared" si="305"/>
        <v>4</v>
      </c>
      <c r="F6546" s="128" t="s">
        <v>24</v>
      </c>
      <c r="G6546" s="128" t="str">
        <f>VLOOKUP(source[[#This Row],[lending_product_transform]],[3]Mapping!$B$4:$C$37,2,0)</f>
        <v>[Cake] - Cashloan</v>
      </c>
      <c r="H6546" s="128" t="str">
        <f>VLOOKUP(source[[#This Row],[lending_product_transform]],[3]Mapping!$B$3:$D$37,3,0)</f>
        <v>cashloan</v>
      </c>
      <c r="I6546" s="135">
        <v>7396590000</v>
      </c>
    </row>
    <row r="6547" spans="1:9" x14ac:dyDescent="0.2">
      <c r="A6547" s="134">
        <v>45782</v>
      </c>
      <c r="B6547" s="135">
        <f>YEAR(source[[#This Row],[report_date]])</f>
        <v>2025</v>
      </c>
      <c r="C6547" s="128">
        <f t="shared" si="304"/>
        <v>5</v>
      </c>
      <c r="D6547" s="136">
        <f t="shared" si="306"/>
        <v>19</v>
      </c>
      <c r="E6547" s="136">
        <f t="shared" si="305"/>
        <v>5</v>
      </c>
      <c r="F6547" s="128" t="s">
        <v>24</v>
      </c>
      <c r="G6547" s="128" t="str">
        <f>VLOOKUP(source[[#This Row],[lending_product_transform]],[3]Mapping!$B$4:$C$37,2,0)</f>
        <v>[Cake] - Cashloan</v>
      </c>
      <c r="H6547" s="128" t="str">
        <f>VLOOKUP(source[[#This Row],[lending_product_transform]],[3]Mapping!$B$3:$D$37,3,0)</f>
        <v>cashloan</v>
      </c>
      <c r="I6547" s="135">
        <v>9829490000</v>
      </c>
    </row>
    <row r="6548" spans="1:9" x14ac:dyDescent="0.2">
      <c r="A6548" s="134">
        <v>45782</v>
      </c>
      <c r="B6548" s="135">
        <f>YEAR(source[[#This Row],[report_date]])</f>
        <v>2025</v>
      </c>
      <c r="C6548" s="128">
        <f t="shared" si="304"/>
        <v>5</v>
      </c>
      <c r="D6548" s="136">
        <f t="shared" si="306"/>
        <v>19</v>
      </c>
      <c r="E6548" s="136">
        <f t="shared" si="305"/>
        <v>5</v>
      </c>
      <c r="F6548" s="128" t="s">
        <v>24</v>
      </c>
      <c r="G6548" s="128" t="str">
        <f>VLOOKUP(source[[#This Row],[lending_product_transform]],[3]Mapping!$B$4:$C$37,2,0)</f>
        <v>[Cake] - Cashloan</v>
      </c>
      <c r="H6548" s="128" t="str">
        <f>VLOOKUP(source[[#This Row],[lending_product_transform]],[3]Mapping!$B$3:$D$37,3,0)</f>
        <v>cashloan</v>
      </c>
      <c r="I6548" s="135">
        <v>807810000</v>
      </c>
    </row>
    <row r="6549" spans="1:9" x14ac:dyDescent="0.2">
      <c r="A6549" s="134">
        <v>45782</v>
      </c>
      <c r="B6549" s="135">
        <f>YEAR(source[[#This Row],[report_date]])</f>
        <v>2025</v>
      </c>
      <c r="C6549" s="128">
        <f t="shared" si="304"/>
        <v>5</v>
      </c>
      <c r="D6549" s="136">
        <f t="shared" si="306"/>
        <v>19</v>
      </c>
      <c r="E6549" s="136">
        <f t="shared" si="305"/>
        <v>5</v>
      </c>
      <c r="F6549" s="128" t="s">
        <v>24</v>
      </c>
      <c r="G6549" s="128" t="str">
        <f>VLOOKUP(source[[#This Row],[lending_product_transform]],[3]Mapping!$B$4:$C$37,2,0)</f>
        <v>[Cake] - Cashloan</v>
      </c>
      <c r="H6549" s="128" t="str">
        <f>VLOOKUP(source[[#This Row],[lending_product_transform]],[3]Mapping!$B$3:$D$37,3,0)</f>
        <v>cashloan</v>
      </c>
      <c r="I6549" s="135">
        <v>0</v>
      </c>
    </row>
    <row r="6550" spans="1:9" x14ac:dyDescent="0.2">
      <c r="A6550" s="134">
        <v>45782</v>
      </c>
      <c r="B6550" s="135">
        <f>YEAR(source[[#This Row],[report_date]])</f>
        <v>2025</v>
      </c>
      <c r="C6550" s="128">
        <f t="shared" si="304"/>
        <v>5</v>
      </c>
      <c r="D6550" s="136">
        <f t="shared" si="306"/>
        <v>19</v>
      </c>
      <c r="E6550" s="136">
        <f t="shared" si="305"/>
        <v>5</v>
      </c>
      <c r="F6550" s="128" t="s">
        <v>24</v>
      </c>
      <c r="G6550" s="128" t="str">
        <f>VLOOKUP(source[[#This Row],[lending_product_transform]],[3]Mapping!$B$4:$C$37,2,0)</f>
        <v>[Cake] - Cashloan</v>
      </c>
      <c r="H6550" s="128" t="str">
        <f>VLOOKUP(source[[#This Row],[lending_product_transform]],[3]Mapping!$B$3:$D$37,3,0)</f>
        <v>cashloan</v>
      </c>
      <c r="I6550" s="135">
        <v>1151950000</v>
      </c>
    </row>
    <row r="6551" spans="1:9" x14ac:dyDescent="0.2">
      <c r="A6551" s="134">
        <v>45782</v>
      </c>
      <c r="B6551" s="135">
        <f>YEAR(source[[#This Row],[report_date]])</f>
        <v>2025</v>
      </c>
      <c r="C6551" s="128">
        <f t="shared" si="304"/>
        <v>5</v>
      </c>
      <c r="D6551" s="136">
        <f t="shared" si="306"/>
        <v>19</v>
      </c>
      <c r="E6551" s="136">
        <f t="shared" si="305"/>
        <v>5</v>
      </c>
      <c r="F6551" s="128" t="s">
        <v>24</v>
      </c>
      <c r="G6551" s="128" t="str">
        <f>VLOOKUP(source[[#This Row],[lending_product_transform]],[3]Mapping!$B$4:$C$37,2,0)</f>
        <v>[Cake] - Cashloan</v>
      </c>
      <c r="H6551" s="128" t="str">
        <f>VLOOKUP(source[[#This Row],[lending_product_transform]],[3]Mapping!$B$3:$D$37,3,0)</f>
        <v>cashloan</v>
      </c>
      <c r="I6551" s="135">
        <v>0</v>
      </c>
    </row>
    <row r="6552" spans="1:9" x14ac:dyDescent="0.2">
      <c r="A6552" s="134">
        <v>45782</v>
      </c>
      <c r="B6552" s="135">
        <f>YEAR(source[[#This Row],[report_date]])</f>
        <v>2025</v>
      </c>
      <c r="C6552" s="128">
        <f t="shared" si="304"/>
        <v>5</v>
      </c>
      <c r="D6552" s="136">
        <f t="shared" si="306"/>
        <v>19</v>
      </c>
      <c r="E6552" s="136">
        <f t="shared" si="305"/>
        <v>5</v>
      </c>
      <c r="F6552" s="128" t="s">
        <v>24</v>
      </c>
      <c r="G6552" s="128" t="str">
        <f>VLOOKUP(source[[#This Row],[lending_product_transform]],[3]Mapping!$B$4:$C$37,2,0)</f>
        <v>[Cake] - Cashloan</v>
      </c>
      <c r="H6552" s="128" t="str">
        <f>VLOOKUP(source[[#This Row],[lending_product_transform]],[3]Mapping!$B$3:$D$37,3,0)</f>
        <v>cashloan</v>
      </c>
      <c r="I6552" s="135">
        <v>60004546</v>
      </c>
    </row>
    <row r="6553" spans="1:9" x14ac:dyDescent="0.2">
      <c r="A6553" s="134">
        <v>45782</v>
      </c>
      <c r="B6553" s="135">
        <f>YEAR(source[[#This Row],[report_date]])</f>
        <v>2025</v>
      </c>
      <c r="C6553" s="128">
        <f t="shared" si="304"/>
        <v>5</v>
      </c>
      <c r="D6553" s="136">
        <f t="shared" si="306"/>
        <v>19</v>
      </c>
      <c r="E6553" s="136">
        <f t="shared" si="305"/>
        <v>5</v>
      </c>
      <c r="F6553" s="128" t="s">
        <v>24</v>
      </c>
      <c r="G6553" s="128" t="str">
        <f>VLOOKUP(source[[#This Row],[lending_product_transform]],[3]Mapping!$B$4:$C$37,2,0)</f>
        <v>[Cake] - Cashloan</v>
      </c>
      <c r="H6553" s="128" t="str">
        <f>VLOOKUP(source[[#This Row],[lending_product_transform]],[3]Mapping!$B$3:$D$37,3,0)</f>
        <v>cashloan</v>
      </c>
      <c r="I6553" s="135">
        <v>0</v>
      </c>
    </row>
    <row r="6554" spans="1:9" x14ac:dyDescent="0.2">
      <c r="A6554" s="134">
        <v>45782</v>
      </c>
      <c r="B6554" s="135">
        <f>YEAR(source[[#This Row],[report_date]])</f>
        <v>2025</v>
      </c>
      <c r="C6554" s="128">
        <f t="shared" si="304"/>
        <v>5</v>
      </c>
      <c r="D6554" s="136">
        <f t="shared" si="306"/>
        <v>19</v>
      </c>
      <c r="E6554" s="136">
        <f t="shared" si="305"/>
        <v>5</v>
      </c>
      <c r="F6554" s="128" t="s">
        <v>24</v>
      </c>
      <c r="G6554" s="128" t="str">
        <f>VLOOKUP(source[[#This Row],[lending_product_transform]],[3]Mapping!$B$4:$C$37,2,0)</f>
        <v>[Cake] - Cashloan</v>
      </c>
      <c r="H6554" s="128" t="str">
        <f>VLOOKUP(source[[#This Row],[lending_product_transform]],[3]Mapping!$B$3:$D$37,3,0)</f>
        <v>cashloan</v>
      </c>
      <c r="I6554" s="135">
        <v>0</v>
      </c>
    </row>
    <row r="6555" spans="1:9" x14ac:dyDescent="0.2">
      <c r="A6555" s="134">
        <v>45782</v>
      </c>
      <c r="B6555" s="135">
        <f>YEAR(source[[#This Row],[report_date]])</f>
        <v>2025</v>
      </c>
      <c r="C6555" s="128">
        <f t="shared" si="304"/>
        <v>5</v>
      </c>
      <c r="D6555" s="136">
        <f t="shared" si="306"/>
        <v>19</v>
      </c>
      <c r="E6555" s="136">
        <f t="shared" si="305"/>
        <v>5</v>
      </c>
      <c r="F6555" s="128" t="s">
        <v>24</v>
      </c>
      <c r="G6555" s="128" t="str">
        <f>VLOOKUP(source[[#This Row],[lending_product_transform]],[3]Mapping!$B$4:$C$37,2,0)</f>
        <v>[Cake] - Cashloan</v>
      </c>
      <c r="H6555" s="128" t="str">
        <f>VLOOKUP(source[[#This Row],[lending_product_transform]],[3]Mapping!$B$3:$D$37,3,0)</f>
        <v>cashloan</v>
      </c>
      <c r="I6555" s="135">
        <v>0</v>
      </c>
    </row>
    <row r="6556" spans="1:9" x14ac:dyDescent="0.2">
      <c r="A6556" s="134">
        <v>45782</v>
      </c>
      <c r="B6556" s="135">
        <f>YEAR(source[[#This Row],[report_date]])</f>
        <v>2025</v>
      </c>
      <c r="C6556" s="128">
        <f t="shared" si="304"/>
        <v>5</v>
      </c>
      <c r="D6556" s="136">
        <f t="shared" si="306"/>
        <v>19</v>
      </c>
      <c r="E6556" s="136">
        <f t="shared" si="305"/>
        <v>5</v>
      </c>
      <c r="F6556" s="128" t="s">
        <v>24</v>
      </c>
      <c r="G6556" s="128" t="str">
        <f>VLOOKUP(source[[#This Row],[lending_product_transform]],[3]Mapping!$B$4:$C$37,2,0)</f>
        <v>[Cake] - Cashloan</v>
      </c>
      <c r="H6556" s="128" t="str">
        <f>VLOOKUP(source[[#This Row],[lending_product_transform]],[3]Mapping!$B$3:$D$37,3,0)</f>
        <v>cashloan</v>
      </c>
      <c r="I6556" s="135">
        <v>0</v>
      </c>
    </row>
    <row r="6557" spans="1:9" x14ac:dyDescent="0.2">
      <c r="A6557" s="134">
        <v>45782</v>
      </c>
      <c r="B6557" s="135">
        <f>YEAR(source[[#This Row],[report_date]])</f>
        <v>2025</v>
      </c>
      <c r="C6557" s="128">
        <f t="shared" si="304"/>
        <v>5</v>
      </c>
      <c r="D6557" s="136">
        <f t="shared" si="306"/>
        <v>19</v>
      </c>
      <c r="E6557" s="136">
        <f t="shared" si="305"/>
        <v>5</v>
      </c>
      <c r="F6557" s="128" t="s">
        <v>24</v>
      </c>
      <c r="G6557" s="128" t="str">
        <f>VLOOKUP(source[[#This Row],[lending_product_transform]],[3]Mapping!$B$4:$C$37,2,0)</f>
        <v>[Cake] - Cashloan</v>
      </c>
      <c r="H6557" s="128" t="str">
        <f>VLOOKUP(source[[#This Row],[lending_product_transform]],[3]Mapping!$B$3:$D$37,3,0)</f>
        <v>cashloan</v>
      </c>
      <c r="I6557" s="135">
        <v>69350000</v>
      </c>
    </row>
    <row r="6558" spans="1:9" x14ac:dyDescent="0.2">
      <c r="A6558" s="134">
        <v>45782</v>
      </c>
      <c r="B6558" s="135">
        <f>YEAR(source[[#This Row],[report_date]])</f>
        <v>2025</v>
      </c>
      <c r="C6558" s="128">
        <f t="shared" si="304"/>
        <v>5</v>
      </c>
      <c r="D6558" s="136">
        <f t="shared" si="306"/>
        <v>19</v>
      </c>
      <c r="E6558" s="136">
        <f t="shared" si="305"/>
        <v>5</v>
      </c>
      <c r="F6558" s="128" t="s">
        <v>24</v>
      </c>
      <c r="G6558" s="128" t="str">
        <f>VLOOKUP(source[[#This Row],[lending_product_transform]],[3]Mapping!$B$4:$C$37,2,0)</f>
        <v>[Cake] - Cashloan</v>
      </c>
      <c r="H6558" s="128" t="str">
        <f>VLOOKUP(source[[#This Row],[lending_product_transform]],[3]Mapping!$B$3:$D$37,3,0)</f>
        <v>cashloan</v>
      </c>
      <c r="I6558" s="135">
        <v>34000000</v>
      </c>
    </row>
    <row r="6559" spans="1:9" x14ac:dyDescent="0.2">
      <c r="A6559" s="134">
        <v>45782</v>
      </c>
      <c r="B6559" s="135">
        <f>YEAR(source[[#This Row],[report_date]])</f>
        <v>2025</v>
      </c>
      <c r="C6559" s="128">
        <f t="shared" si="304"/>
        <v>5</v>
      </c>
      <c r="D6559" s="136">
        <f t="shared" si="306"/>
        <v>19</v>
      </c>
      <c r="E6559" s="136">
        <f t="shared" si="305"/>
        <v>5</v>
      </c>
      <c r="F6559" s="128" t="s">
        <v>24</v>
      </c>
      <c r="G6559" s="128" t="str">
        <f>VLOOKUP(source[[#This Row],[lending_product_transform]],[3]Mapping!$B$4:$C$37,2,0)</f>
        <v>[Cake] - Cashloan</v>
      </c>
      <c r="H6559" s="128" t="str">
        <f>VLOOKUP(source[[#This Row],[lending_product_transform]],[3]Mapping!$B$3:$D$37,3,0)</f>
        <v>cashloan</v>
      </c>
      <c r="I6559" s="135">
        <v>0</v>
      </c>
    </row>
    <row r="6560" spans="1:9" x14ac:dyDescent="0.2">
      <c r="A6560" s="134">
        <v>45782</v>
      </c>
      <c r="B6560" s="135">
        <f>YEAR(source[[#This Row],[report_date]])</f>
        <v>2025</v>
      </c>
      <c r="C6560" s="128">
        <f t="shared" si="304"/>
        <v>5</v>
      </c>
      <c r="D6560" s="136">
        <f t="shared" si="306"/>
        <v>19</v>
      </c>
      <c r="E6560" s="136">
        <f t="shared" si="305"/>
        <v>5</v>
      </c>
      <c r="F6560" s="128" t="s">
        <v>24</v>
      </c>
      <c r="G6560" s="128" t="str">
        <f>VLOOKUP(source[[#This Row],[lending_product_transform]],[3]Mapping!$B$4:$C$37,2,0)</f>
        <v>[Cake] - Cashloan</v>
      </c>
      <c r="H6560" s="128" t="str">
        <f>VLOOKUP(source[[#This Row],[lending_product_transform]],[3]Mapping!$B$3:$D$37,3,0)</f>
        <v>cashloan</v>
      </c>
      <c r="I6560" s="135">
        <v>6022404000</v>
      </c>
    </row>
    <row r="6561" spans="1:9" x14ac:dyDescent="0.2">
      <c r="A6561" s="134">
        <v>45782</v>
      </c>
      <c r="B6561" s="135">
        <f>YEAR(source[[#This Row],[report_date]])</f>
        <v>2025</v>
      </c>
      <c r="C6561" s="128">
        <f t="shared" si="304"/>
        <v>5</v>
      </c>
      <c r="D6561" s="136">
        <f t="shared" si="306"/>
        <v>19</v>
      </c>
      <c r="E6561" s="136">
        <f t="shared" si="305"/>
        <v>5</v>
      </c>
      <c r="F6561" s="128" t="s">
        <v>24</v>
      </c>
      <c r="G6561" s="128" t="str">
        <f>VLOOKUP(source[[#This Row],[lending_product_transform]],[3]Mapping!$B$4:$C$37,2,0)</f>
        <v>[Cake] - Cashloan</v>
      </c>
      <c r="H6561" s="128" t="str">
        <f>VLOOKUP(source[[#This Row],[lending_product_transform]],[3]Mapping!$B$3:$D$37,3,0)</f>
        <v>cashloan</v>
      </c>
      <c r="I6561" s="135">
        <v>382181504</v>
      </c>
    </row>
    <row r="6562" spans="1:9" x14ac:dyDescent="0.2">
      <c r="A6562" s="134">
        <v>45782</v>
      </c>
      <c r="B6562" s="135">
        <f>YEAR(source[[#This Row],[report_date]])</f>
        <v>2025</v>
      </c>
      <c r="C6562" s="128">
        <f t="shared" si="304"/>
        <v>5</v>
      </c>
      <c r="D6562" s="136">
        <f t="shared" si="306"/>
        <v>19</v>
      </c>
      <c r="E6562" s="136">
        <f t="shared" si="305"/>
        <v>5</v>
      </c>
      <c r="F6562" s="128" t="s">
        <v>24</v>
      </c>
      <c r="G6562" s="128" t="str">
        <f>VLOOKUP(source[[#This Row],[lending_product_transform]],[3]Mapping!$B$4:$C$37,2,0)</f>
        <v>[Cake] - Cashloan</v>
      </c>
      <c r="H6562" s="128" t="str">
        <f>VLOOKUP(source[[#This Row],[lending_product_transform]],[3]Mapping!$B$3:$D$37,3,0)</f>
        <v>cashloan</v>
      </c>
      <c r="I6562" s="135">
        <v>2041036355</v>
      </c>
    </row>
    <row r="6563" spans="1:9" x14ac:dyDescent="0.2">
      <c r="A6563" s="134">
        <v>45782</v>
      </c>
      <c r="B6563" s="135">
        <f>YEAR(source[[#This Row],[report_date]])</f>
        <v>2025</v>
      </c>
      <c r="C6563" s="128">
        <f t="shared" si="304"/>
        <v>5</v>
      </c>
      <c r="D6563" s="136">
        <f t="shared" si="306"/>
        <v>19</v>
      </c>
      <c r="E6563" s="136">
        <f t="shared" si="305"/>
        <v>5</v>
      </c>
      <c r="F6563" s="128" t="s">
        <v>24</v>
      </c>
      <c r="G6563" s="128" t="str">
        <f>VLOOKUP(source[[#This Row],[lending_product_transform]],[3]Mapping!$B$4:$C$37,2,0)</f>
        <v>[Cake] - Cashloan</v>
      </c>
      <c r="H6563" s="128" t="str">
        <f>VLOOKUP(source[[#This Row],[lending_product_transform]],[3]Mapping!$B$3:$D$37,3,0)</f>
        <v>cashloan</v>
      </c>
      <c r="I6563" s="135">
        <v>6882815552</v>
      </c>
    </row>
    <row r="6564" spans="1:9" x14ac:dyDescent="0.2">
      <c r="A6564" s="134">
        <v>45782</v>
      </c>
      <c r="B6564" s="135">
        <f>YEAR(source[[#This Row],[report_date]])</f>
        <v>2025</v>
      </c>
      <c r="C6564" s="128">
        <f t="shared" si="304"/>
        <v>5</v>
      </c>
      <c r="D6564" s="136">
        <f t="shared" si="306"/>
        <v>19</v>
      </c>
      <c r="E6564" s="136">
        <f t="shared" si="305"/>
        <v>5</v>
      </c>
      <c r="F6564" s="128" t="s">
        <v>24</v>
      </c>
      <c r="G6564" s="128" t="str">
        <f>VLOOKUP(source[[#This Row],[lending_product_transform]],[3]Mapping!$B$4:$C$37,2,0)</f>
        <v>[Cake] - Cashloan</v>
      </c>
      <c r="H6564" s="128" t="str">
        <f>VLOOKUP(source[[#This Row],[lending_product_transform]],[3]Mapping!$B$3:$D$37,3,0)</f>
        <v>cashloan</v>
      </c>
      <c r="I6564" s="135">
        <v>796884970</v>
      </c>
    </row>
    <row r="6565" spans="1:9" x14ac:dyDescent="0.2">
      <c r="A6565" s="134">
        <v>45782</v>
      </c>
      <c r="B6565" s="135">
        <f>YEAR(source[[#This Row],[report_date]])</f>
        <v>2025</v>
      </c>
      <c r="C6565" s="128">
        <f t="shared" si="304"/>
        <v>5</v>
      </c>
      <c r="D6565" s="136">
        <f t="shared" si="306"/>
        <v>19</v>
      </c>
      <c r="E6565" s="136">
        <f t="shared" si="305"/>
        <v>5</v>
      </c>
      <c r="F6565" s="128" t="s">
        <v>24</v>
      </c>
      <c r="G6565" s="128" t="str">
        <f>VLOOKUP(source[[#This Row],[lending_product_transform]],[3]Mapping!$B$4:$C$37,2,0)</f>
        <v>[Cake] - Cashloan</v>
      </c>
      <c r="H6565" s="128" t="str">
        <f>VLOOKUP(source[[#This Row],[lending_product_transform]],[3]Mapping!$B$3:$D$37,3,0)</f>
        <v>cashloan</v>
      </c>
      <c r="I6565" s="135">
        <v>10815890000</v>
      </c>
    </row>
    <row r="6566" spans="1:9" x14ac:dyDescent="0.2">
      <c r="A6566" s="134">
        <v>45783</v>
      </c>
      <c r="B6566" s="135">
        <f>YEAR(source[[#This Row],[report_date]])</f>
        <v>2025</v>
      </c>
      <c r="C6566" s="128">
        <f t="shared" si="304"/>
        <v>5</v>
      </c>
      <c r="D6566" s="136">
        <f t="shared" si="306"/>
        <v>19</v>
      </c>
      <c r="E6566" s="136">
        <f t="shared" si="305"/>
        <v>6</v>
      </c>
      <c r="F6566" s="128" t="s">
        <v>24</v>
      </c>
      <c r="G6566" s="128" t="str">
        <f>VLOOKUP(source[[#This Row],[lending_product_transform]],[3]Mapping!$B$4:$C$37,2,0)</f>
        <v>[Cake] - Cashloan</v>
      </c>
      <c r="H6566" s="128" t="str">
        <f>VLOOKUP(source[[#This Row],[lending_product_transform]],[3]Mapping!$B$3:$D$37,3,0)</f>
        <v>cashloan</v>
      </c>
      <c r="I6566" s="135">
        <v>5234652000</v>
      </c>
    </row>
    <row r="6567" spans="1:9" x14ac:dyDescent="0.2">
      <c r="A6567" s="134">
        <v>45783</v>
      </c>
      <c r="B6567" s="135">
        <f>YEAR(source[[#This Row],[report_date]])</f>
        <v>2025</v>
      </c>
      <c r="C6567" s="128">
        <f t="shared" si="304"/>
        <v>5</v>
      </c>
      <c r="D6567" s="136">
        <f t="shared" si="306"/>
        <v>19</v>
      </c>
      <c r="E6567" s="136">
        <f t="shared" si="305"/>
        <v>6</v>
      </c>
      <c r="F6567" s="128" t="s">
        <v>24</v>
      </c>
      <c r="G6567" s="128" t="str">
        <f>VLOOKUP(source[[#This Row],[lending_product_transform]],[3]Mapping!$B$4:$C$37,2,0)</f>
        <v>[Cake] - Cashloan</v>
      </c>
      <c r="H6567" s="128" t="str">
        <f>VLOOKUP(source[[#This Row],[lending_product_transform]],[3]Mapping!$B$3:$D$37,3,0)</f>
        <v>cashloan</v>
      </c>
      <c r="I6567" s="135">
        <v>8794860000</v>
      </c>
    </row>
    <row r="6568" spans="1:9" x14ac:dyDescent="0.2">
      <c r="A6568" s="134">
        <v>45783</v>
      </c>
      <c r="B6568" s="135">
        <f>YEAR(source[[#This Row],[report_date]])</f>
        <v>2025</v>
      </c>
      <c r="C6568" s="128">
        <f t="shared" si="304"/>
        <v>5</v>
      </c>
      <c r="D6568" s="136">
        <f t="shared" si="306"/>
        <v>19</v>
      </c>
      <c r="E6568" s="136">
        <f t="shared" si="305"/>
        <v>6</v>
      </c>
      <c r="F6568" s="128" t="s">
        <v>24</v>
      </c>
      <c r="G6568" s="128" t="str">
        <f>VLOOKUP(source[[#This Row],[lending_product_transform]],[3]Mapping!$B$4:$C$37,2,0)</f>
        <v>[Cake] - Cashloan</v>
      </c>
      <c r="H6568" s="128" t="str">
        <f>VLOOKUP(source[[#This Row],[lending_product_transform]],[3]Mapping!$B$3:$D$37,3,0)</f>
        <v>cashloan</v>
      </c>
      <c r="I6568" s="135">
        <v>8905980000</v>
      </c>
    </row>
    <row r="6569" spans="1:9" x14ac:dyDescent="0.2">
      <c r="A6569" s="134">
        <v>45783</v>
      </c>
      <c r="B6569" s="135">
        <f>YEAR(source[[#This Row],[report_date]])</f>
        <v>2025</v>
      </c>
      <c r="C6569" s="128">
        <f t="shared" si="304"/>
        <v>5</v>
      </c>
      <c r="D6569" s="136">
        <f t="shared" si="306"/>
        <v>19</v>
      </c>
      <c r="E6569" s="136">
        <f t="shared" si="305"/>
        <v>6</v>
      </c>
      <c r="F6569" s="128" t="s">
        <v>24</v>
      </c>
      <c r="G6569" s="128" t="str">
        <f>VLOOKUP(source[[#This Row],[lending_product_transform]],[3]Mapping!$B$4:$C$37,2,0)</f>
        <v>[Cake] - Cashloan</v>
      </c>
      <c r="H6569" s="128" t="str">
        <f>VLOOKUP(source[[#This Row],[lending_product_transform]],[3]Mapping!$B$3:$D$37,3,0)</f>
        <v>cashloan</v>
      </c>
      <c r="I6569" s="135">
        <v>0</v>
      </c>
    </row>
    <row r="6570" spans="1:9" x14ac:dyDescent="0.2">
      <c r="A6570" s="134">
        <v>45783</v>
      </c>
      <c r="B6570" s="135">
        <f>YEAR(source[[#This Row],[report_date]])</f>
        <v>2025</v>
      </c>
      <c r="C6570" s="128">
        <f t="shared" si="304"/>
        <v>5</v>
      </c>
      <c r="D6570" s="136">
        <f t="shared" si="306"/>
        <v>19</v>
      </c>
      <c r="E6570" s="136">
        <f t="shared" si="305"/>
        <v>6</v>
      </c>
      <c r="F6570" s="128" t="s">
        <v>24</v>
      </c>
      <c r="G6570" s="128" t="str">
        <f>VLOOKUP(source[[#This Row],[lending_product_transform]],[3]Mapping!$B$4:$C$37,2,0)</f>
        <v>[Cake] - Cashloan</v>
      </c>
      <c r="H6570" s="128" t="str">
        <f>VLOOKUP(source[[#This Row],[lending_product_transform]],[3]Mapping!$B$3:$D$37,3,0)</f>
        <v>cashloan</v>
      </c>
      <c r="I6570" s="135">
        <v>98567884</v>
      </c>
    </row>
    <row r="6571" spans="1:9" x14ac:dyDescent="0.2">
      <c r="A6571" s="134">
        <v>45783</v>
      </c>
      <c r="B6571" s="135">
        <f>YEAR(source[[#This Row],[report_date]])</f>
        <v>2025</v>
      </c>
      <c r="C6571" s="128">
        <f t="shared" si="304"/>
        <v>5</v>
      </c>
      <c r="D6571" s="136">
        <f t="shared" si="306"/>
        <v>19</v>
      </c>
      <c r="E6571" s="136">
        <f t="shared" si="305"/>
        <v>6</v>
      </c>
      <c r="F6571" s="128" t="s">
        <v>24</v>
      </c>
      <c r="G6571" s="128" t="str">
        <f>VLOOKUP(source[[#This Row],[lending_product_transform]],[3]Mapping!$B$4:$C$37,2,0)</f>
        <v>[Cake] - Cashloan</v>
      </c>
      <c r="H6571" s="128" t="str">
        <f>VLOOKUP(source[[#This Row],[lending_product_transform]],[3]Mapping!$B$3:$D$37,3,0)</f>
        <v>cashloan</v>
      </c>
      <c r="I6571" s="135">
        <v>0</v>
      </c>
    </row>
    <row r="6572" spans="1:9" x14ac:dyDescent="0.2">
      <c r="A6572" s="134">
        <v>45783</v>
      </c>
      <c r="B6572" s="135">
        <f>YEAR(source[[#This Row],[report_date]])</f>
        <v>2025</v>
      </c>
      <c r="C6572" s="128">
        <f t="shared" si="304"/>
        <v>5</v>
      </c>
      <c r="D6572" s="136">
        <f t="shared" si="306"/>
        <v>19</v>
      </c>
      <c r="E6572" s="136">
        <f t="shared" si="305"/>
        <v>6</v>
      </c>
      <c r="F6572" s="128" t="s">
        <v>24</v>
      </c>
      <c r="G6572" s="128" t="str">
        <f>VLOOKUP(source[[#This Row],[lending_product_transform]],[3]Mapping!$B$4:$C$37,2,0)</f>
        <v>[Cake] - Cashloan</v>
      </c>
      <c r="H6572" s="128" t="str">
        <f>VLOOKUP(source[[#This Row],[lending_product_transform]],[3]Mapping!$B$3:$D$37,3,0)</f>
        <v>cashloan</v>
      </c>
      <c r="I6572" s="135">
        <v>0</v>
      </c>
    </row>
    <row r="6573" spans="1:9" x14ac:dyDescent="0.2">
      <c r="A6573" s="134">
        <v>45783</v>
      </c>
      <c r="B6573" s="135">
        <f>YEAR(source[[#This Row],[report_date]])</f>
        <v>2025</v>
      </c>
      <c r="C6573" s="128">
        <f t="shared" si="304"/>
        <v>5</v>
      </c>
      <c r="D6573" s="136">
        <f t="shared" si="306"/>
        <v>19</v>
      </c>
      <c r="E6573" s="136">
        <f t="shared" si="305"/>
        <v>6</v>
      </c>
      <c r="F6573" s="128" t="s">
        <v>24</v>
      </c>
      <c r="G6573" s="128" t="str">
        <f>VLOOKUP(source[[#This Row],[lending_product_transform]],[3]Mapping!$B$4:$C$37,2,0)</f>
        <v>[Cake] - Cashloan</v>
      </c>
      <c r="H6573" s="128" t="str">
        <f>VLOOKUP(source[[#This Row],[lending_product_transform]],[3]Mapping!$B$3:$D$37,3,0)</f>
        <v>cashloan</v>
      </c>
      <c r="I6573" s="135">
        <v>0</v>
      </c>
    </row>
    <row r="6574" spans="1:9" x14ac:dyDescent="0.2">
      <c r="A6574" s="134">
        <v>45783</v>
      </c>
      <c r="B6574" s="135">
        <f>YEAR(source[[#This Row],[report_date]])</f>
        <v>2025</v>
      </c>
      <c r="C6574" s="128">
        <f t="shared" si="304"/>
        <v>5</v>
      </c>
      <c r="D6574" s="136">
        <f t="shared" si="306"/>
        <v>19</v>
      </c>
      <c r="E6574" s="136">
        <f t="shared" si="305"/>
        <v>6</v>
      </c>
      <c r="F6574" s="128" t="s">
        <v>24</v>
      </c>
      <c r="G6574" s="128" t="str">
        <f>VLOOKUP(source[[#This Row],[lending_product_transform]],[3]Mapping!$B$4:$C$37,2,0)</f>
        <v>[Cake] - Cashloan</v>
      </c>
      <c r="H6574" s="128" t="str">
        <f>VLOOKUP(source[[#This Row],[lending_product_transform]],[3]Mapping!$B$3:$D$37,3,0)</f>
        <v>cashloan</v>
      </c>
      <c r="I6574" s="135">
        <v>73500000</v>
      </c>
    </row>
    <row r="6575" spans="1:9" x14ac:dyDescent="0.2">
      <c r="A6575" s="134">
        <v>45783</v>
      </c>
      <c r="B6575" s="135">
        <f>YEAR(source[[#This Row],[report_date]])</f>
        <v>2025</v>
      </c>
      <c r="C6575" s="128">
        <f t="shared" si="304"/>
        <v>5</v>
      </c>
      <c r="D6575" s="136">
        <f t="shared" si="306"/>
        <v>19</v>
      </c>
      <c r="E6575" s="136">
        <f t="shared" si="305"/>
        <v>6</v>
      </c>
      <c r="F6575" s="128" t="s">
        <v>24</v>
      </c>
      <c r="G6575" s="128" t="str">
        <f>VLOOKUP(source[[#This Row],[lending_product_transform]],[3]Mapping!$B$4:$C$37,2,0)</f>
        <v>[Cake] - Cashloan</v>
      </c>
      <c r="H6575" s="128" t="str">
        <f>VLOOKUP(source[[#This Row],[lending_product_transform]],[3]Mapping!$B$3:$D$37,3,0)</f>
        <v>cashloan</v>
      </c>
      <c r="I6575" s="135">
        <v>63000000</v>
      </c>
    </row>
    <row r="6576" spans="1:9" x14ac:dyDescent="0.2">
      <c r="A6576" s="134">
        <v>45783</v>
      </c>
      <c r="B6576" s="135">
        <f>YEAR(source[[#This Row],[report_date]])</f>
        <v>2025</v>
      </c>
      <c r="C6576" s="128">
        <f t="shared" si="304"/>
        <v>5</v>
      </c>
      <c r="D6576" s="136">
        <f t="shared" si="306"/>
        <v>19</v>
      </c>
      <c r="E6576" s="136">
        <f t="shared" si="305"/>
        <v>6</v>
      </c>
      <c r="F6576" s="128" t="s">
        <v>24</v>
      </c>
      <c r="G6576" s="128" t="str">
        <f>VLOOKUP(source[[#This Row],[lending_product_transform]],[3]Mapping!$B$4:$C$37,2,0)</f>
        <v>[Cake] - Cashloan</v>
      </c>
      <c r="H6576" s="128" t="str">
        <f>VLOOKUP(source[[#This Row],[lending_product_transform]],[3]Mapping!$B$3:$D$37,3,0)</f>
        <v>cashloan</v>
      </c>
      <c r="I6576" s="135">
        <v>0</v>
      </c>
    </row>
    <row r="6577" spans="1:9" x14ac:dyDescent="0.2">
      <c r="A6577" s="134">
        <v>45783</v>
      </c>
      <c r="B6577" s="135">
        <f>YEAR(source[[#This Row],[report_date]])</f>
        <v>2025</v>
      </c>
      <c r="C6577" s="128">
        <f t="shared" si="304"/>
        <v>5</v>
      </c>
      <c r="D6577" s="136">
        <f t="shared" si="306"/>
        <v>19</v>
      </c>
      <c r="E6577" s="136">
        <f t="shared" si="305"/>
        <v>6</v>
      </c>
      <c r="F6577" s="128" t="s">
        <v>24</v>
      </c>
      <c r="G6577" s="128" t="str">
        <f>VLOOKUP(source[[#This Row],[lending_product_transform]],[3]Mapping!$B$4:$C$37,2,0)</f>
        <v>[Cake] - Cashloan</v>
      </c>
      <c r="H6577" s="128" t="str">
        <f>VLOOKUP(source[[#This Row],[lending_product_transform]],[3]Mapping!$B$3:$D$37,3,0)</f>
        <v>cashloan</v>
      </c>
      <c r="I6577" s="135">
        <v>0</v>
      </c>
    </row>
    <row r="6578" spans="1:9" x14ac:dyDescent="0.2">
      <c r="A6578" s="134">
        <v>45783</v>
      </c>
      <c r="B6578" s="135">
        <f>YEAR(source[[#This Row],[report_date]])</f>
        <v>2025</v>
      </c>
      <c r="C6578" s="128">
        <f t="shared" si="304"/>
        <v>5</v>
      </c>
      <c r="D6578" s="136">
        <f t="shared" si="306"/>
        <v>19</v>
      </c>
      <c r="E6578" s="136">
        <f t="shared" si="305"/>
        <v>6</v>
      </c>
      <c r="F6578" s="128" t="s">
        <v>24</v>
      </c>
      <c r="G6578" s="128" t="str">
        <f>VLOOKUP(source[[#This Row],[lending_product_transform]],[3]Mapping!$B$4:$C$37,2,0)</f>
        <v>[Cake] - Cashloan</v>
      </c>
      <c r="H6578" s="128" t="str">
        <f>VLOOKUP(source[[#This Row],[lending_product_transform]],[3]Mapping!$B$3:$D$37,3,0)</f>
        <v>cashloan</v>
      </c>
      <c r="I6578" s="135">
        <v>883320000</v>
      </c>
    </row>
    <row r="6579" spans="1:9" x14ac:dyDescent="0.2">
      <c r="A6579" s="134">
        <v>45783</v>
      </c>
      <c r="B6579" s="135">
        <f>YEAR(source[[#This Row],[report_date]])</f>
        <v>2025</v>
      </c>
      <c r="C6579" s="128">
        <f t="shared" si="304"/>
        <v>5</v>
      </c>
      <c r="D6579" s="136">
        <f t="shared" si="306"/>
        <v>19</v>
      </c>
      <c r="E6579" s="136">
        <f t="shared" si="305"/>
        <v>6</v>
      </c>
      <c r="F6579" s="128" t="s">
        <v>24</v>
      </c>
      <c r="G6579" s="128" t="str">
        <f>VLOOKUP(source[[#This Row],[lending_product_transform]],[3]Mapping!$B$4:$C$37,2,0)</f>
        <v>[Cake] - Cashloan</v>
      </c>
      <c r="H6579" s="128" t="str">
        <f>VLOOKUP(source[[#This Row],[lending_product_transform]],[3]Mapping!$B$3:$D$37,3,0)</f>
        <v>cashloan</v>
      </c>
      <c r="I6579" s="135">
        <v>1115800000</v>
      </c>
    </row>
    <row r="6580" spans="1:9" x14ac:dyDescent="0.2">
      <c r="A6580" s="134">
        <v>45783</v>
      </c>
      <c r="B6580" s="135">
        <f>YEAR(source[[#This Row],[report_date]])</f>
        <v>2025</v>
      </c>
      <c r="C6580" s="128">
        <f t="shared" si="304"/>
        <v>5</v>
      </c>
      <c r="D6580" s="136">
        <f t="shared" si="306"/>
        <v>19</v>
      </c>
      <c r="E6580" s="136">
        <f t="shared" si="305"/>
        <v>6</v>
      </c>
      <c r="F6580" s="128" t="s">
        <v>24</v>
      </c>
      <c r="G6580" s="128" t="str">
        <f>VLOOKUP(source[[#This Row],[lending_product_transform]],[3]Mapping!$B$4:$C$37,2,0)</f>
        <v>[Cake] - Cashloan</v>
      </c>
      <c r="H6580" s="128" t="str">
        <f>VLOOKUP(source[[#This Row],[lending_product_transform]],[3]Mapping!$B$3:$D$37,3,0)</f>
        <v>cashloan</v>
      </c>
      <c r="I6580" s="135">
        <v>0</v>
      </c>
    </row>
    <row r="6581" spans="1:9" x14ac:dyDescent="0.2">
      <c r="A6581" s="134">
        <v>45783</v>
      </c>
      <c r="B6581" s="135">
        <f>YEAR(source[[#This Row],[report_date]])</f>
        <v>2025</v>
      </c>
      <c r="C6581" s="128">
        <f t="shared" si="304"/>
        <v>5</v>
      </c>
      <c r="D6581" s="136">
        <f t="shared" si="306"/>
        <v>19</v>
      </c>
      <c r="E6581" s="136">
        <f t="shared" si="305"/>
        <v>6</v>
      </c>
      <c r="F6581" s="128" t="s">
        <v>24</v>
      </c>
      <c r="G6581" s="128" t="str">
        <f>VLOOKUP(source[[#This Row],[lending_product_transform]],[3]Mapping!$B$4:$C$37,2,0)</f>
        <v>[Cake] - Cashloan</v>
      </c>
      <c r="H6581" s="128" t="str">
        <f>VLOOKUP(source[[#This Row],[lending_product_transform]],[3]Mapping!$B$3:$D$37,3,0)</f>
        <v>cashloan</v>
      </c>
      <c r="I6581" s="135">
        <v>324335534</v>
      </c>
    </row>
    <row r="6582" spans="1:9" x14ac:dyDescent="0.2">
      <c r="A6582" s="134">
        <v>45783</v>
      </c>
      <c r="B6582" s="135">
        <f>YEAR(source[[#This Row],[report_date]])</f>
        <v>2025</v>
      </c>
      <c r="C6582" s="128">
        <f t="shared" ref="C6582:C6645" si="307">MONTH(A6582)</f>
        <v>5</v>
      </c>
      <c r="D6582" s="136">
        <f t="shared" si="306"/>
        <v>19</v>
      </c>
      <c r="E6582" s="136">
        <f t="shared" ref="E6582:E6645" si="308">DAY(A6582)</f>
        <v>6</v>
      </c>
      <c r="F6582" s="128" t="s">
        <v>24</v>
      </c>
      <c r="G6582" s="128" t="str">
        <f>VLOOKUP(source[[#This Row],[lending_product_transform]],[3]Mapping!$B$4:$C$37,2,0)</f>
        <v>[Cake] - Cashloan</v>
      </c>
      <c r="H6582" s="128" t="str">
        <f>VLOOKUP(source[[#This Row],[lending_product_transform]],[3]Mapping!$B$3:$D$37,3,0)</f>
        <v>cashloan</v>
      </c>
      <c r="I6582" s="135">
        <v>1175122658</v>
      </c>
    </row>
    <row r="6583" spans="1:9" x14ac:dyDescent="0.2">
      <c r="A6583" s="134">
        <v>45783</v>
      </c>
      <c r="B6583" s="135">
        <f>YEAR(source[[#This Row],[report_date]])</f>
        <v>2025</v>
      </c>
      <c r="C6583" s="128">
        <f t="shared" si="307"/>
        <v>5</v>
      </c>
      <c r="D6583" s="136">
        <f t="shared" si="306"/>
        <v>19</v>
      </c>
      <c r="E6583" s="136">
        <f t="shared" si="308"/>
        <v>6</v>
      </c>
      <c r="F6583" s="128" t="s">
        <v>24</v>
      </c>
      <c r="G6583" s="128" t="str">
        <f>VLOOKUP(source[[#This Row],[lending_product_transform]],[3]Mapping!$B$4:$C$37,2,0)</f>
        <v>[Cake] - Cashloan</v>
      </c>
      <c r="H6583" s="128" t="str">
        <f>VLOOKUP(source[[#This Row],[lending_product_transform]],[3]Mapping!$B$3:$D$37,3,0)</f>
        <v>cashloan</v>
      </c>
      <c r="I6583" s="135">
        <v>4159359673</v>
      </c>
    </row>
    <row r="6584" spans="1:9" x14ac:dyDescent="0.2">
      <c r="A6584" s="134">
        <v>45783</v>
      </c>
      <c r="B6584" s="135">
        <f>YEAR(source[[#This Row],[report_date]])</f>
        <v>2025</v>
      </c>
      <c r="C6584" s="128">
        <f t="shared" si="307"/>
        <v>5</v>
      </c>
      <c r="D6584" s="136">
        <f t="shared" si="306"/>
        <v>19</v>
      </c>
      <c r="E6584" s="136">
        <f t="shared" si="308"/>
        <v>6</v>
      </c>
      <c r="F6584" s="128" t="s">
        <v>24</v>
      </c>
      <c r="G6584" s="128" t="str">
        <f>VLOOKUP(source[[#This Row],[lending_product_transform]],[3]Mapping!$B$4:$C$37,2,0)</f>
        <v>[Cake] - Cashloan</v>
      </c>
      <c r="H6584" s="128" t="str">
        <f>VLOOKUP(source[[#This Row],[lending_product_transform]],[3]Mapping!$B$3:$D$37,3,0)</f>
        <v>cashloan</v>
      </c>
      <c r="I6584" s="135">
        <v>769928225</v>
      </c>
    </row>
    <row r="6585" spans="1:9" x14ac:dyDescent="0.2">
      <c r="A6585" s="134">
        <v>45784</v>
      </c>
      <c r="B6585" s="135">
        <f>YEAR(source[[#This Row],[report_date]])</f>
        <v>2025</v>
      </c>
      <c r="C6585" s="128">
        <f t="shared" si="307"/>
        <v>5</v>
      </c>
      <c r="D6585" s="136">
        <f t="shared" si="306"/>
        <v>19</v>
      </c>
      <c r="E6585" s="136">
        <f t="shared" si="308"/>
        <v>7</v>
      </c>
      <c r="F6585" s="128" t="s">
        <v>24</v>
      </c>
      <c r="G6585" s="128" t="str">
        <f>VLOOKUP(source[[#This Row],[lending_product_transform]],[3]Mapping!$B$4:$C$37,2,0)</f>
        <v>[Cake] - Cashloan</v>
      </c>
      <c r="H6585" s="128" t="str">
        <f>VLOOKUP(source[[#This Row],[lending_product_transform]],[3]Mapping!$B$3:$D$37,3,0)</f>
        <v>cashloan</v>
      </c>
      <c r="I6585" s="135">
        <v>5385204000</v>
      </c>
    </row>
    <row r="6586" spans="1:9" x14ac:dyDescent="0.2">
      <c r="A6586" s="134">
        <v>45784</v>
      </c>
      <c r="B6586" s="135">
        <f>YEAR(source[[#This Row],[report_date]])</f>
        <v>2025</v>
      </c>
      <c r="C6586" s="128">
        <f t="shared" si="307"/>
        <v>5</v>
      </c>
      <c r="D6586" s="136">
        <f t="shared" si="306"/>
        <v>19</v>
      </c>
      <c r="E6586" s="136">
        <f t="shared" si="308"/>
        <v>7</v>
      </c>
      <c r="F6586" s="128" t="s">
        <v>24</v>
      </c>
      <c r="G6586" s="128" t="str">
        <f>VLOOKUP(source[[#This Row],[lending_product_transform]],[3]Mapping!$B$4:$C$37,2,0)</f>
        <v>[Cake] - Cashloan</v>
      </c>
      <c r="H6586" s="128" t="str">
        <f>VLOOKUP(source[[#This Row],[lending_product_transform]],[3]Mapping!$B$3:$D$37,3,0)</f>
        <v>cashloan</v>
      </c>
      <c r="I6586" s="135">
        <v>8616410000</v>
      </c>
    </row>
    <row r="6587" spans="1:9" x14ac:dyDescent="0.2">
      <c r="A6587" s="134">
        <v>45784</v>
      </c>
      <c r="B6587" s="135">
        <f>YEAR(source[[#This Row],[report_date]])</f>
        <v>2025</v>
      </c>
      <c r="C6587" s="128">
        <f t="shared" si="307"/>
        <v>5</v>
      </c>
      <c r="D6587" s="136">
        <f t="shared" si="306"/>
        <v>19</v>
      </c>
      <c r="E6587" s="136">
        <f t="shared" si="308"/>
        <v>7</v>
      </c>
      <c r="F6587" s="128" t="s">
        <v>24</v>
      </c>
      <c r="G6587" s="128" t="str">
        <f>VLOOKUP(source[[#This Row],[lending_product_transform]],[3]Mapping!$B$4:$C$37,2,0)</f>
        <v>[Cake] - Cashloan</v>
      </c>
      <c r="H6587" s="128" t="str">
        <f>VLOOKUP(source[[#This Row],[lending_product_transform]],[3]Mapping!$B$3:$D$37,3,0)</f>
        <v>cashloan</v>
      </c>
      <c r="I6587" s="135">
        <v>0</v>
      </c>
    </row>
    <row r="6588" spans="1:9" x14ac:dyDescent="0.2">
      <c r="A6588" s="134">
        <v>45784</v>
      </c>
      <c r="B6588" s="135">
        <f>YEAR(source[[#This Row],[report_date]])</f>
        <v>2025</v>
      </c>
      <c r="C6588" s="128">
        <f t="shared" si="307"/>
        <v>5</v>
      </c>
      <c r="D6588" s="136">
        <f t="shared" si="306"/>
        <v>19</v>
      </c>
      <c r="E6588" s="136">
        <f t="shared" si="308"/>
        <v>7</v>
      </c>
      <c r="F6588" s="128" t="s">
        <v>24</v>
      </c>
      <c r="G6588" s="128" t="str">
        <f>VLOOKUP(source[[#This Row],[lending_product_transform]],[3]Mapping!$B$4:$C$37,2,0)</f>
        <v>[Cake] - Cashloan</v>
      </c>
      <c r="H6588" s="128" t="str">
        <f>VLOOKUP(source[[#This Row],[lending_product_transform]],[3]Mapping!$B$3:$D$37,3,0)</f>
        <v>cashloan</v>
      </c>
      <c r="I6588" s="135">
        <v>0</v>
      </c>
    </row>
    <row r="6589" spans="1:9" x14ac:dyDescent="0.2">
      <c r="A6589" s="134">
        <v>45784</v>
      </c>
      <c r="B6589" s="135">
        <f>YEAR(source[[#This Row],[report_date]])</f>
        <v>2025</v>
      </c>
      <c r="C6589" s="128">
        <f t="shared" si="307"/>
        <v>5</v>
      </c>
      <c r="D6589" s="136">
        <f t="shared" si="306"/>
        <v>19</v>
      </c>
      <c r="E6589" s="136">
        <f t="shared" si="308"/>
        <v>7</v>
      </c>
      <c r="F6589" s="128" t="s">
        <v>24</v>
      </c>
      <c r="G6589" s="128" t="str">
        <f>VLOOKUP(source[[#This Row],[lending_product_transform]],[3]Mapping!$B$4:$C$37,2,0)</f>
        <v>[Cake] - Cashloan</v>
      </c>
      <c r="H6589" s="128" t="str">
        <f>VLOOKUP(source[[#This Row],[lending_product_transform]],[3]Mapping!$B$3:$D$37,3,0)</f>
        <v>cashloan</v>
      </c>
      <c r="I6589" s="135">
        <v>690483096</v>
      </c>
    </row>
    <row r="6590" spans="1:9" x14ac:dyDescent="0.2">
      <c r="A6590" s="134">
        <v>45784</v>
      </c>
      <c r="B6590" s="135">
        <f>YEAR(source[[#This Row],[report_date]])</f>
        <v>2025</v>
      </c>
      <c r="C6590" s="128">
        <f t="shared" si="307"/>
        <v>5</v>
      </c>
      <c r="D6590" s="136">
        <f t="shared" si="306"/>
        <v>19</v>
      </c>
      <c r="E6590" s="136">
        <f t="shared" si="308"/>
        <v>7</v>
      </c>
      <c r="F6590" s="128" t="s">
        <v>24</v>
      </c>
      <c r="G6590" s="128" t="str">
        <f>VLOOKUP(source[[#This Row],[lending_product_transform]],[3]Mapping!$B$4:$C$37,2,0)</f>
        <v>[Cake] - Cashloan</v>
      </c>
      <c r="H6590" s="128" t="str">
        <f>VLOOKUP(source[[#This Row],[lending_product_transform]],[3]Mapping!$B$3:$D$37,3,0)</f>
        <v>cashloan</v>
      </c>
      <c r="I6590" s="135">
        <v>0</v>
      </c>
    </row>
    <row r="6591" spans="1:9" x14ac:dyDescent="0.2">
      <c r="A6591" s="134">
        <v>45784</v>
      </c>
      <c r="B6591" s="135">
        <f>YEAR(source[[#This Row],[report_date]])</f>
        <v>2025</v>
      </c>
      <c r="C6591" s="128">
        <f t="shared" si="307"/>
        <v>5</v>
      </c>
      <c r="D6591" s="136">
        <f t="shared" si="306"/>
        <v>19</v>
      </c>
      <c r="E6591" s="136">
        <f t="shared" si="308"/>
        <v>7</v>
      </c>
      <c r="F6591" s="128" t="s">
        <v>24</v>
      </c>
      <c r="G6591" s="128" t="str">
        <f>VLOOKUP(source[[#This Row],[lending_product_transform]],[3]Mapping!$B$4:$C$37,2,0)</f>
        <v>[Cake] - Cashloan</v>
      </c>
      <c r="H6591" s="128" t="str">
        <f>VLOOKUP(source[[#This Row],[lending_product_transform]],[3]Mapping!$B$3:$D$37,3,0)</f>
        <v>cashloan</v>
      </c>
      <c r="I6591" s="135">
        <v>8396070000</v>
      </c>
    </row>
    <row r="6592" spans="1:9" x14ac:dyDescent="0.2">
      <c r="A6592" s="134">
        <v>45784</v>
      </c>
      <c r="B6592" s="135">
        <f>YEAR(source[[#This Row],[report_date]])</f>
        <v>2025</v>
      </c>
      <c r="C6592" s="128">
        <f t="shared" si="307"/>
        <v>5</v>
      </c>
      <c r="D6592" s="136">
        <f t="shared" si="306"/>
        <v>19</v>
      </c>
      <c r="E6592" s="136">
        <f t="shared" si="308"/>
        <v>7</v>
      </c>
      <c r="F6592" s="128" t="s">
        <v>24</v>
      </c>
      <c r="G6592" s="128" t="str">
        <f>VLOOKUP(source[[#This Row],[lending_product_transform]],[3]Mapping!$B$4:$C$37,2,0)</f>
        <v>[Cake] - Cashloan</v>
      </c>
      <c r="H6592" s="128" t="str">
        <f>VLOOKUP(source[[#This Row],[lending_product_transform]],[3]Mapping!$B$3:$D$37,3,0)</f>
        <v>cashloan</v>
      </c>
      <c r="I6592" s="135">
        <v>0</v>
      </c>
    </row>
    <row r="6593" spans="1:9" x14ac:dyDescent="0.2">
      <c r="A6593" s="134">
        <v>45784</v>
      </c>
      <c r="B6593" s="135">
        <f>YEAR(source[[#This Row],[report_date]])</f>
        <v>2025</v>
      </c>
      <c r="C6593" s="128">
        <f t="shared" si="307"/>
        <v>5</v>
      </c>
      <c r="D6593" s="136">
        <f t="shared" si="306"/>
        <v>19</v>
      </c>
      <c r="E6593" s="136">
        <f t="shared" si="308"/>
        <v>7</v>
      </c>
      <c r="F6593" s="128" t="s">
        <v>24</v>
      </c>
      <c r="G6593" s="128" t="str">
        <f>VLOOKUP(source[[#This Row],[lending_product_transform]],[3]Mapping!$B$4:$C$37,2,0)</f>
        <v>[Cake] - Cashloan</v>
      </c>
      <c r="H6593" s="128" t="str">
        <f>VLOOKUP(source[[#This Row],[lending_product_transform]],[3]Mapping!$B$3:$D$37,3,0)</f>
        <v>cashloan</v>
      </c>
      <c r="I6593" s="135">
        <v>0</v>
      </c>
    </row>
    <row r="6594" spans="1:9" x14ac:dyDescent="0.2">
      <c r="A6594" s="134">
        <v>45784</v>
      </c>
      <c r="B6594" s="135">
        <f>YEAR(source[[#This Row],[report_date]])</f>
        <v>2025</v>
      </c>
      <c r="C6594" s="128">
        <f t="shared" si="307"/>
        <v>5</v>
      </c>
      <c r="D6594" s="136">
        <f t="shared" si="306"/>
        <v>19</v>
      </c>
      <c r="E6594" s="136">
        <f t="shared" si="308"/>
        <v>7</v>
      </c>
      <c r="F6594" s="128" t="s">
        <v>24</v>
      </c>
      <c r="G6594" s="128" t="str">
        <f>VLOOKUP(source[[#This Row],[lending_product_transform]],[3]Mapping!$B$4:$C$37,2,0)</f>
        <v>[Cake] - Cashloan</v>
      </c>
      <c r="H6594" s="128" t="str">
        <f>VLOOKUP(source[[#This Row],[lending_product_transform]],[3]Mapping!$B$3:$D$37,3,0)</f>
        <v>cashloan</v>
      </c>
      <c r="I6594" s="135">
        <v>52500000</v>
      </c>
    </row>
    <row r="6595" spans="1:9" x14ac:dyDescent="0.2">
      <c r="A6595" s="134">
        <v>45784</v>
      </c>
      <c r="B6595" s="135">
        <f>YEAR(source[[#This Row],[report_date]])</f>
        <v>2025</v>
      </c>
      <c r="C6595" s="128">
        <f t="shared" si="307"/>
        <v>5</v>
      </c>
      <c r="D6595" s="136">
        <f t="shared" ref="D6595:D6658" si="309">WEEKNUM(A6595,2)</f>
        <v>19</v>
      </c>
      <c r="E6595" s="136">
        <f t="shared" si="308"/>
        <v>7</v>
      </c>
      <c r="F6595" s="128" t="s">
        <v>24</v>
      </c>
      <c r="G6595" s="128" t="str">
        <f>VLOOKUP(source[[#This Row],[lending_product_transform]],[3]Mapping!$B$4:$C$37,2,0)</f>
        <v>[Cake] - Cashloan</v>
      </c>
      <c r="H6595" s="128" t="str">
        <f>VLOOKUP(source[[#This Row],[lending_product_transform]],[3]Mapping!$B$3:$D$37,3,0)</f>
        <v>cashloan</v>
      </c>
      <c r="I6595" s="135">
        <v>41000000</v>
      </c>
    </row>
    <row r="6596" spans="1:9" x14ac:dyDescent="0.2">
      <c r="A6596" s="134">
        <v>45784</v>
      </c>
      <c r="B6596" s="135">
        <f>YEAR(source[[#This Row],[report_date]])</f>
        <v>2025</v>
      </c>
      <c r="C6596" s="128">
        <f t="shared" si="307"/>
        <v>5</v>
      </c>
      <c r="D6596" s="136">
        <f t="shared" si="309"/>
        <v>19</v>
      </c>
      <c r="E6596" s="136">
        <f t="shared" si="308"/>
        <v>7</v>
      </c>
      <c r="F6596" s="128" t="s">
        <v>24</v>
      </c>
      <c r="G6596" s="128" t="str">
        <f>VLOOKUP(source[[#This Row],[lending_product_transform]],[3]Mapping!$B$4:$C$37,2,0)</f>
        <v>[Cake] - Cashloan</v>
      </c>
      <c r="H6596" s="128" t="str">
        <f>VLOOKUP(source[[#This Row],[lending_product_transform]],[3]Mapping!$B$3:$D$37,3,0)</f>
        <v>cashloan</v>
      </c>
      <c r="I6596" s="135">
        <v>0</v>
      </c>
    </row>
    <row r="6597" spans="1:9" x14ac:dyDescent="0.2">
      <c r="A6597" s="134">
        <v>45784</v>
      </c>
      <c r="B6597" s="135">
        <f>YEAR(source[[#This Row],[report_date]])</f>
        <v>2025</v>
      </c>
      <c r="C6597" s="128">
        <f t="shared" si="307"/>
        <v>5</v>
      </c>
      <c r="D6597" s="136">
        <f t="shared" si="309"/>
        <v>19</v>
      </c>
      <c r="E6597" s="136">
        <f t="shared" si="308"/>
        <v>7</v>
      </c>
      <c r="F6597" s="128" t="s">
        <v>24</v>
      </c>
      <c r="G6597" s="128" t="str">
        <f>VLOOKUP(source[[#This Row],[lending_product_transform]],[3]Mapping!$B$4:$C$37,2,0)</f>
        <v>[Cake] - Cashloan</v>
      </c>
      <c r="H6597" s="128" t="str">
        <f>VLOOKUP(source[[#This Row],[lending_product_transform]],[3]Mapping!$B$3:$D$37,3,0)</f>
        <v>cashloan</v>
      </c>
      <c r="I6597" s="135">
        <v>697650000</v>
      </c>
    </row>
    <row r="6598" spans="1:9" x14ac:dyDescent="0.2">
      <c r="A6598" s="134">
        <v>45784</v>
      </c>
      <c r="B6598" s="135">
        <f>YEAR(source[[#This Row],[report_date]])</f>
        <v>2025</v>
      </c>
      <c r="C6598" s="128">
        <f t="shared" si="307"/>
        <v>5</v>
      </c>
      <c r="D6598" s="136">
        <f t="shared" si="309"/>
        <v>19</v>
      </c>
      <c r="E6598" s="136">
        <f t="shared" si="308"/>
        <v>7</v>
      </c>
      <c r="F6598" s="128" t="s">
        <v>24</v>
      </c>
      <c r="G6598" s="128" t="str">
        <f>VLOOKUP(source[[#This Row],[lending_product_transform]],[3]Mapping!$B$4:$C$37,2,0)</f>
        <v>[Cake] - Cashloan</v>
      </c>
      <c r="H6598" s="128" t="str">
        <f>VLOOKUP(source[[#This Row],[lending_product_transform]],[3]Mapping!$B$3:$D$37,3,0)</f>
        <v>cashloan</v>
      </c>
      <c r="I6598" s="135">
        <v>1125390000</v>
      </c>
    </row>
    <row r="6599" spans="1:9" x14ac:dyDescent="0.2">
      <c r="A6599" s="134">
        <v>45784</v>
      </c>
      <c r="B6599" s="135">
        <f>YEAR(source[[#This Row],[report_date]])</f>
        <v>2025</v>
      </c>
      <c r="C6599" s="128">
        <f t="shared" si="307"/>
        <v>5</v>
      </c>
      <c r="D6599" s="136">
        <f t="shared" si="309"/>
        <v>19</v>
      </c>
      <c r="E6599" s="136">
        <f t="shared" si="308"/>
        <v>7</v>
      </c>
      <c r="F6599" s="128" t="s">
        <v>24</v>
      </c>
      <c r="G6599" s="128" t="str">
        <f>VLOOKUP(source[[#This Row],[lending_product_transform]],[3]Mapping!$B$4:$C$37,2,0)</f>
        <v>[Cake] - Cashloan</v>
      </c>
      <c r="H6599" s="128" t="str">
        <f>VLOOKUP(source[[#This Row],[lending_product_transform]],[3]Mapping!$B$3:$D$37,3,0)</f>
        <v>cashloan</v>
      </c>
      <c r="I6599" s="135">
        <v>0</v>
      </c>
    </row>
    <row r="6600" spans="1:9" x14ac:dyDescent="0.2">
      <c r="A6600" s="134">
        <v>45784</v>
      </c>
      <c r="B6600" s="135">
        <f>YEAR(source[[#This Row],[report_date]])</f>
        <v>2025</v>
      </c>
      <c r="C6600" s="128">
        <f t="shared" si="307"/>
        <v>5</v>
      </c>
      <c r="D6600" s="136">
        <f t="shared" si="309"/>
        <v>19</v>
      </c>
      <c r="E6600" s="136">
        <f t="shared" si="308"/>
        <v>7</v>
      </c>
      <c r="F6600" s="128" t="s">
        <v>24</v>
      </c>
      <c r="G6600" s="128" t="str">
        <f>VLOOKUP(source[[#This Row],[lending_product_transform]],[3]Mapping!$B$4:$C$37,2,0)</f>
        <v>[Cake] - Cashloan</v>
      </c>
      <c r="H6600" s="128" t="str">
        <f>VLOOKUP(source[[#This Row],[lending_product_transform]],[3]Mapping!$B$3:$D$37,3,0)</f>
        <v>cashloan</v>
      </c>
      <c r="I6600" s="135">
        <v>61243741</v>
      </c>
    </row>
    <row r="6601" spans="1:9" x14ac:dyDescent="0.2">
      <c r="A6601" s="134">
        <v>45784</v>
      </c>
      <c r="B6601" s="135">
        <f>YEAR(source[[#This Row],[report_date]])</f>
        <v>2025</v>
      </c>
      <c r="C6601" s="128">
        <f t="shared" si="307"/>
        <v>5</v>
      </c>
      <c r="D6601" s="136">
        <f t="shared" si="309"/>
        <v>19</v>
      </c>
      <c r="E6601" s="136">
        <f t="shared" si="308"/>
        <v>7</v>
      </c>
      <c r="F6601" s="128" t="s">
        <v>24</v>
      </c>
      <c r="G6601" s="128" t="str">
        <f>VLOOKUP(source[[#This Row],[lending_product_transform]],[3]Mapping!$B$4:$C$37,2,0)</f>
        <v>[Cake] - Cashloan</v>
      </c>
      <c r="H6601" s="128" t="str">
        <f>VLOOKUP(source[[#This Row],[lending_product_transform]],[3]Mapping!$B$3:$D$37,3,0)</f>
        <v>cashloan</v>
      </c>
      <c r="I6601" s="135">
        <v>298562334</v>
      </c>
    </row>
    <row r="6602" spans="1:9" x14ac:dyDescent="0.2">
      <c r="A6602" s="134">
        <v>45784</v>
      </c>
      <c r="B6602" s="135">
        <f>YEAR(source[[#This Row],[report_date]])</f>
        <v>2025</v>
      </c>
      <c r="C6602" s="128">
        <f t="shared" si="307"/>
        <v>5</v>
      </c>
      <c r="D6602" s="136">
        <f t="shared" si="309"/>
        <v>19</v>
      </c>
      <c r="E6602" s="136">
        <f t="shared" si="308"/>
        <v>7</v>
      </c>
      <c r="F6602" s="128" t="s">
        <v>24</v>
      </c>
      <c r="G6602" s="128" t="str">
        <f>VLOOKUP(source[[#This Row],[lending_product_transform]],[3]Mapping!$B$4:$C$37,2,0)</f>
        <v>[Cake] - Cashloan</v>
      </c>
      <c r="H6602" s="128" t="str">
        <f>VLOOKUP(source[[#This Row],[lending_product_transform]],[3]Mapping!$B$3:$D$37,3,0)</f>
        <v>cashloan</v>
      </c>
      <c r="I6602" s="135">
        <v>827449280</v>
      </c>
    </row>
    <row r="6603" spans="1:9" x14ac:dyDescent="0.2">
      <c r="A6603" s="134">
        <v>45784</v>
      </c>
      <c r="B6603" s="135">
        <f>YEAR(source[[#This Row],[report_date]])</f>
        <v>2025</v>
      </c>
      <c r="C6603" s="128">
        <f t="shared" si="307"/>
        <v>5</v>
      </c>
      <c r="D6603" s="136">
        <f t="shared" si="309"/>
        <v>19</v>
      </c>
      <c r="E6603" s="136">
        <f t="shared" si="308"/>
        <v>7</v>
      </c>
      <c r="F6603" s="128" t="s">
        <v>24</v>
      </c>
      <c r="G6603" s="128" t="str">
        <f>VLOOKUP(source[[#This Row],[lending_product_transform]],[3]Mapping!$B$4:$C$37,2,0)</f>
        <v>[Cake] - Cashloan</v>
      </c>
      <c r="H6603" s="128" t="str">
        <f>VLOOKUP(source[[#This Row],[lending_product_transform]],[3]Mapping!$B$3:$D$37,3,0)</f>
        <v>cashloan</v>
      </c>
      <c r="I6603" s="135">
        <v>3920422765</v>
      </c>
    </row>
    <row r="6604" spans="1:9" x14ac:dyDescent="0.2">
      <c r="A6604" s="134">
        <v>45785</v>
      </c>
      <c r="B6604" s="135">
        <f>YEAR(source[[#This Row],[report_date]])</f>
        <v>2025</v>
      </c>
      <c r="C6604" s="128">
        <f t="shared" si="307"/>
        <v>5</v>
      </c>
      <c r="D6604" s="136">
        <f t="shared" si="309"/>
        <v>19</v>
      </c>
      <c r="E6604" s="136">
        <f t="shared" si="308"/>
        <v>8</v>
      </c>
      <c r="F6604" s="128" t="s">
        <v>24</v>
      </c>
      <c r="G6604" s="128" t="str">
        <f>VLOOKUP(source[[#This Row],[lending_product_transform]],[3]Mapping!$B$4:$C$37,2,0)</f>
        <v>[Cake] - Cashloan</v>
      </c>
      <c r="H6604" s="128" t="str">
        <f>VLOOKUP(source[[#This Row],[lending_product_transform]],[3]Mapping!$B$3:$D$37,3,0)</f>
        <v>cashloan</v>
      </c>
      <c r="I6604" s="135">
        <v>8600700000</v>
      </c>
    </row>
    <row r="6605" spans="1:9" x14ac:dyDescent="0.2">
      <c r="A6605" s="134">
        <v>45785</v>
      </c>
      <c r="B6605" s="135">
        <f>YEAR(source[[#This Row],[report_date]])</f>
        <v>2025</v>
      </c>
      <c r="C6605" s="128">
        <f t="shared" si="307"/>
        <v>5</v>
      </c>
      <c r="D6605" s="136">
        <f t="shared" si="309"/>
        <v>19</v>
      </c>
      <c r="E6605" s="136">
        <f t="shared" si="308"/>
        <v>8</v>
      </c>
      <c r="F6605" s="128" t="s">
        <v>24</v>
      </c>
      <c r="G6605" s="128" t="str">
        <f>VLOOKUP(source[[#This Row],[lending_product_transform]],[3]Mapping!$B$4:$C$37,2,0)</f>
        <v>[Cake] - Cashloan</v>
      </c>
      <c r="H6605" s="128" t="str">
        <f>VLOOKUP(source[[#This Row],[lending_product_transform]],[3]Mapping!$B$3:$D$37,3,0)</f>
        <v>cashloan</v>
      </c>
      <c r="I6605" s="135">
        <v>4792824000</v>
      </c>
    </row>
    <row r="6606" spans="1:9" x14ac:dyDescent="0.2">
      <c r="A6606" s="134">
        <v>45785</v>
      </c>
      <c r="B6606" s="135">
        <f>YEAR(source[[#This Row],[report_date]])</f>
        <v>2025</v>
      </c>
      <c r="C6606" s="128">
        <f t="shared" si="307"/>
        <v>5</v>
      </c>
      <c r="D6606" s="136">
        <f t="shared" si="309"/>
        <v>19</v>
      </c>
      <c r="E6606" s="136">
        <f t="shared" si="308"/>
        <v>8</v>
      </c>
      <c r="F6606" s="128" t="s">
        <v>24</v>
      </c>
      <c r="G6606" s="128" t="str">
        <f>VLOOKUP(source[[#This Row],[lending_product_transform]],[3]Mapping!$B$4:$C$37,2,0)</f>
        <v>[Cake] - Cashloan</v>
      </c>
      <c r="H6606" s="128" t="str">
        <f>VLOOKUP(source[[#This Row],[lending_product_transform]],[3]Mapping!$B$3:$D$37,3,0)</f>
        <v>cashloan</v>
      </c>
      <c r="I6606" s="135">
        <v>8257610000</v>
      </c>
    </row>
    <row r="6607" spans="1:9" x14ac:dyDescent="0.2">
      <c r="A6607" s="134">
        <v>45785</v>
      </c>
      <c r="B6607" s="135">
        <f>YEAR(source[[#This Row],[report_date]])</f>
        <v>2025</v>
      </c>
      <c r="C6607" s="128">
        <f t="shared" si="307"/>
        <v>5</v>
      </c>
      <c r="D6607" s="136">
        <f t="shared" si="309"/>
        <v>19</v>
      </c>
      <c r="E6607" s="136">
        <f t="shared" si="308"/>
        <v>8</v>
      </c>
      <c r="F6607" s="128" t="s">
        <v>24</v>
      </c>
      <c r="G6607" s="128" t="str">
        <f>VLOOKUP(source[[#This Row],[lending_product_transform]],[3]Mapping!$B$4:$C$37,2,0)</f>
        <v>[Cake] - Cashloan</v>
      </c>
      <c r="H6607" s="128" t="str">
        <f>VLOOKUP(source[[#This Row],[lending_product_transform]],[3]Mapping!$B$3:$D$37,3,0)</f>
        <v>cashloan</v>
      </c>
      <c r="I6607" s="135">
        <v>540743072</v>
      </c>
    </row>
    <row r="6608" spans="1:9" x14ac:dyDescent="0.2">
      <c r="A6608" s="134">
        <v>45785</v>
      </c>
      <c r="B6608" s="135">
        <f>YEAR(source[[#This Row],[report_date]])</f>
        <v>2025</v>
      </c>
      <c r="C6608" s="128">
        <f t="shared" si="307"/>
        <v>5</v>
      </c>
      <c r="D6608" s="136">
        <f t="shared" si="309"/>
        <v>19</v>
      </c>
      <c r="E6608" s="136">
        <f t="shared" si="308"/>
        <v>8</v>
      </c>
      <c r="F6608" s="128" t="s">
        <v>24</v>
      </c>
      <c r="G6608" s="128" t="str">
        <f>VLOOKUP(source[[#This Row],[lending_product_transform]],[3]Mapping!$B$4:$C$37,2,0)</f>
        <v>[Cake] - Cashloan</v>
      </c>
      <c r="H6608" s="128" t="str">
        <f>VLOOKUP(source[[#This Row],[lending_product_transform]],[3]Mapping!$B$3:$D$37,3,0)</f>
        <v>cashloan</v>
      </c>
      <c r="I6608" s="135">
        <v>0</v>
      </c>
    </row>
    <row r="6609" spans="1:9" x14ac:dyDescent="0.2">
      <c r="A6609" s="134">
        <v>45785</v>
      </c>
      <c r="B6609" s="135">
        <f>YEAR(source[[#This Row],[report_date]])</f>
        <v>2025</v>
      </c>
      <c r="C6609" s="128">
        <f t="shared" si="307"/>
        <v>5</v>
      </c>
      <c r="D6609" s="136">
        <f t="shared" si="309"/>
        <v>19</v>
      </c>
      <c r="E6609" s="136">
        <f t="shared" si="308"/>
        <v>8</v>
      </c>
      <c r="F6609" s="128" t="s">
        <v>24</v>
      </c>
      <c r="G6609" s="128" t="str">
        <f>VLOOKUP(source[[#This Row],[lending_product_transform]],[3]Mapping!$B$4:$C$37,2,0)</f>
        <v>[Cake] - Cashloan</v>
      </c>
      <c r="H6609" s="128" t="str">
        <f>VLOOKUP(source[[#This Row],[lending_product_transform]],[3]Mapping!$B$3:$D$37,3,0)</f>
        <v>cashloan</v>
      </c>
      <c r="I6609" s="135">
        <v>0</v>
      </c>
    </row>
    <row r="6610" spans="1:9" x14ac:dyDescent="0.2">
      <c r="A6610" s="134">
        <v>45785</v>
      </c>
      <c r="B6610" s="135">
        <f>YEAR(source[[#This Row],[report_date]])</f>
        <v>2025</v>
      </c>
      <c r="C6610" s="128">
        <f t="shared" si="307"/>
        <v>5</v>
      </c>
      <c r="D6610" s="136">
        <f t="shared" si="309"/>
        <v>19</v>
      </c>
      <c r="E6610" s="136">
        <f t="shared" si="308"/>
        <v>8</v>
      </c>
      <c r="F6610" s="128" t="s">
        <v>24</v>
      </c>
      <c r="G6610" s="128" t="str">
        <f>VLOOKUP(source[[#This Row],[lending_product_transform]],[3]Mapping!$B$4:$C$37,2,0)</f>
        <v>[Cake] - Cashloan</v>
      </c>
      <c r="H6610" s="128" t="str">
        <f>VLOOKUP(source[[#This Row],[lending_product_transform]],[3]Mapping!$B$3:$D$37,3,0)</f>
        <v>cashloan</v>
      </c>
      <c r="I6610" s="135">
        <v>31758038</v>
      </c>
    </row>
    <row r="6611" spans="1:9" x14ac:dyDescent="0.2">
      <c r="A6611" s="134">
        <v>45785</v>
      </c>
      <c r="B6611" s="135">
        <f>YEAR(source[[#This Row],[report_date]])</f>
        <v>2025</v>
      </c>
      <c r="C6611" s="128">
        <f t="shared" si="307"/>
        <v>5</v>
      </c>
      <c r="D6611" s="136">
        <f t="shared" si="309"/>
        <v>19</v>
      </c>
      <c r="E6611" s="136">
        <f t="shared" si="308"/>
        <v>8</v>
      </c>
      <c r="F6611" s="128" t="s">
        <v>24</v>
      </c>
      <c r="G6611" s="128" t="str">
        <f>VLOOKUP(source[[#This Row],[lending_product_transform]],[3]Mapping!$B$4:$C$37,2,0)</f>
        <v>[Cake] - Cashloan</v>
      </c>
      <c r="H6611" s="128" t="str">
        <f>VLOOKUP(source[[#This Row],[lending_product_transform]],[3]Mapping!$B$3:$D$37,3,0)</f>
        <v>cashloan</v>
      </c>
      <c r="I6611" s="135">
        <v>0</v>
      </c>
    </row>
    <row r="6612" spans="1:9" x14ac:dyDescent="0.2">
      <c r="A6612" s="134">
        <v>45785</v>
      </c>
      <c r="B6612" s="135">
        <f>YEAR(source[[#This Row],[report_date]])</f>
        <v>2025</v>
      </c>
      <c r="C6612" s="128">
        <f t="shared" si="307"/>
        <v>5</v>
      </c>
      <c r="D6612" s="136">
        <f t="shared" si="309"/>
        <v>19</v>
      </c>
      <c r="E6612" s="136">
        <f t="shared" si="308"/>
        <v>8</v>
      </c>
      <c r="F6612" s="128" t="s">
        <v>24</v>
      </c>
      <c r="G6612" s="128" t="str">
        <f>VLOOKUP(source[[#This Row],[lending_product_transform]],[3]Mapping!$B$4:$C$37,2,0)</f>
        <v>[Cake] - Cashloan</v>
      </c>
      <c r="H6612" s="128" t="str">
        <f>VLOOKUP(source[[#This Row],[lending_product_transform]],[3]Mapping!$B$3:$D$37,3,0)</f>
        <v>cashloan</v>
      </c>
      <c r="I6612" s="135">
        <v>0</v>
      </c>
    </row>
    <row r="6613" spans="1:9" x14ac:dyDescent="0.2">
      <c r="A6613" s="134">
        <v>45785</v>
      </c>
      <c r="B6613" s="135">
        <f>YEAR(source[[#This Row],[report_date]])</f>
        <v>2025</v>
      </c>
      <c r="C6613" s="128">
        <f t="shared" si="307"/>
        <v>5</v>
      </c>
      <c r="D6613" s="136">
        <f t="shared" si="309"/>
        <v>19</v>
      </c>
      <c r="E6613" s="136">
        <f t="shared" si="308"/>
        <v>8</v>
      </c>
      <c r="F6613" s="128" t="s">
        <v>24</v>
      </c>
      <c r="G6613" s="128" t="str">
        <f>VLOOKUP(source[[#This Row],[lending_product_transform]],[3]Mapping!$B$4:$C$37,2,0)</f>
        <v>[Cake] - Cashloan</v>
      </c>
      <c r="H6613" s="128" t="str">
        <f>VLOOKUP(source[[#This Row],[lending_product_transform]],[3]Mapping!$B$3:$D$37,3,0)</f>
        <v>cashloan</v>
      </c>
      <c r="I6613" s="135">
        <v>566602787</v>
      </c>
    </row>
    <row r="6614" spans="1:9" x14ac:dyDescent="0.2">
      <c r="A6614" s="134">
        <v>45785</v>
      </c>
      <c r="B6614" s="135">
        <f>YEAR(source[[#This Row],[report_date]])</f>
        <v>2025</v>
      </c>
      <c r="C6614" s="128">
        <f t="shared" si="307"/>
        <v>5</v>
      </c>
      <c r="D6614" s="136">
        <f t="shared" si="309"/>
        <v>19</v>
      </c>
      <c r="E6614" s="136">
        <f t="shared" si="308"/>
        <v>8</v>
      </c>
      <c r="F6614" s="128" t="s">
        <v>24</v>
      </c>
      <c r="G6614" s="128" t="str">
        <f>VLOOKUP(source[[#This Row],[lending_product_transform]],[3]Mapping!$B$4:$C$37,2,0)</f>
        <v>[Cake] - Cashloan</v>
      </c>
      <c r="H6614" s="128" t="str">
        <f>VLOOKUP(source[[#This Row],[lending_product_transform]],[3]Mapping!$B$3:$D$37,3,0)</f>
        <v>cashloan</v>
      </c>
      <c r="I6614" s="135">
        <v>3588079949</v>
      </c>
    </row>
    <row r="6615" spans="1:9" x14ac:dyDescent="0.2">
      <c r="A6615" s="134">
        <v>45785</v>
      </c>
      <c r="B6615" s="135">
        <f>YEAR(source[[#This Row],[report_date]])</f>
        <v>2025</v>
      </c>
      <c r="C6615" s="128">
        <f t="shared" si="307"/>
        <v>5</v>
      </c>
      <c r="D6615" s="136">
        <f t="shared" si="309"/>
        <v>19</v>
      </c>
      <c r="E6615" s="136">
        <f t="shared" si="308"/>
        <v>8</v>
      </c>
      <c r="F6615" s="128" t="s">
        <v>24</v>
      </c>
      <c r="G6615" s="128" t="str">
        <f>VLOOKUP(source[[#This Row],[lending_product_transform]],[3]Mapping!$B$4:$C$37,2,0)</f>
        <v>[Cake] - Cashloan</v>
      </c>
      <c r="H6615" s="128" t="str">
        <f>VLOOKUP(source[[#This Row],[lending_product_transform]],[3]Mapping!$B$3:$D$37,3,0)</f>
        <v>cashloan</v>
      </c>
      <c r="I6615" s="135">
        <v>259471512</v>
      </c>
    </row>
    <row r="6616" spans="1:9" x14ac:dyDescent="0.2">
      <c r="A6616" s="134">
        <v>45785</v>
      </c>
      <c r="B6616" s="135">
        <f>YEAR(source[[#This Row],[report_date]])</f>
        <v>2025</v>
      </c>
      <c r="C6616" s="128">
        <f t="shared" si="307"/>
        <v>5</v>
      </c>
      <c r="D6616" s="136">
        <f t="shared" si="309"/>
        <v>19</v>
      </c>
      <c r="E6616" s="136">
        <f t="shared" si="308"/>
        <v>8</v>
      </c>
      <c r="F6616" s="128" t="s">
        <v>24</v>
      </c>
      <c r="G6616" s="128" t="str">
        <f>VLOOKUP(source[[#This Row],[lending_product_transform]],[3]Mapping!$B$4:$C$37,2,0)</f>
        <v>[Cake] - Cashloan</v>
      </c>
      <c r="H6616" s="128" t="str">
        <f>VLOOKUP(source[[#This Row],[lending_product_transform]],[3]Mapping!$B$3:$D$37,3,0)</f>
        <v>cashloan</v>
      </c>
      <c r="I6616" s="135">
        <v>0</v>
      </c>
    </row>
    <row r="6617" spans="1:9" x14ac:dyDescent="0.2">
      <c r="A6617" s="134">
        <v>45785</v>
      </c>
      <c r="B6617" s="135">
        <f>YEAR(source[[#This Row],[report_date]])</f>
        <v>2025</v>
      </c>
      <c r="C6617" s="128">
        <f t="shared" si="307"/>
        <v>5</v>
      </c>
      <c r="D6617" s="136">
        <f t="shared" si="309"/>
        <v>19</v>
      </c>
      <c r="E6617" s="136">
        <f t="shared" si="308"/>
        <v>8</v>
      </c>
      <c r="F6617" s="128" t="s">
        <v>24</v>
      </c>
      <c r="G6617" s="128" t="str">
        <f>VLOOKUP(source[[#This Row],[lending_product_transform]],[3]Mapping!$B$4:$C$37,2,0)</f>
        <v>[Cake] - Cashloan</v>
      </c>
      <c r="H6617" s="128" t="str">
        <f>VLOOKUP(source[[#This Row],[lending_product_transform]],[3]Mapping!$B$3:$D$37,3,0)</f>
        <v>cashloan</v>
      </c>
      <c r="I6617" s="135">
        <v>21000000</v>
      </c>
    </row>
    <row r="6618" spans="1:9" x14ac:dyDescent="0.2">
      <c r="A6618" s="134">
        <v>45785</v>
      </c>
      <c r="B6618" s="135">
        <f>YEAR(source[[#This Row],[report_date]])</f>
        <v>2025</v>
      </c>
      <c r="C6618" s="128">
        <f t="shared" si="307"/>
        <v>5</v>
      </c>
      <c r="D6618" s="136">
        <f t="shared" si="309"/>
        <v>19</v>
      </c>
      <c r="E6618" s="136">
        <f t="shared" si="308"/>
        <v>8</v>
      </c>
      <c r="F6618" s="128" t="s">
        <v>24</v>
      </c>
      <c r="G6618" s="128" t="str">
        <f>VLOOKUP(source[[#This Row],[lending_product_transform]],[3]Mapping!$B$4:$C$37,2,0)</f>
        <v>[Cake] - Cashloan</v>
      </c>
      <c r="H6618" s="128" t="str">
        <f>VLOOKUP(source[[#This Row],[lending_product_transform]],[3]Mapping!$B$3:$D$37,3,0)</f>
        <v>cashloan</v>
      </c>
      <c r="I6618" s="135">
        <v>1249280000</v>
      </c>
    </row>
    <row r="6619" spans="1:9" x14ac:dyDescent="0.2">
      <c r="A6619" s="134">
        <v>45785</v>
      </c>
      <c r="B6619" s="135">
        <f>YEAR(source[[#This Row],[report_date]])</f>
        <v>2025</v>
      </c>
      <c r="C6619" s="128">
        <f t="shared" si="307"/>
        <v>5</v>
      </c>
      <c r="D6619" s="136">
        <f t="shared" si="309"/>
        <v>19</v>
      </c>
      <c r="E6619" s="136">
        <f t="shared" si="308"/>
        <v>8</v>
      </c>
      <c r="F6619" s="128" t="s">
        <v>24</v>
      </c>
      <c r="G6619" s="128" t="str">
        <f>VLOOKUP(source[[#This Row],[lending_product_transform]],[3]Mapping!$B$4:$C$37,2,0)</f>
        <v>[Cake] - Cashloan</v>
      </c>
      <c r="H6619" s="128" t="str">
        <f>VLOOKUP(source[[#This Row],[lending_product_transform]],[3]Mapping!$B$3:$D$37,3,0)</f>
        <v>cashloan</v>
      </c>
      <c r="I6619" s="135">
        <v>0</v>
      </c>
    </row>
    <row r="6620" spans="1:9" x14ac:dyDescent="0.2">
      <c r="A6620" s="134">
        <v>45785</v>
      </c>
      <c r="B6620" s="135">
        <f>YEAR(source[[#This Row],[report_date]])</f>
        <v>2025</v>
      </c>
      <c r="C6620" s="128">
        <f t="shared" si="307"/>
        <v>5</v>
      </c>
      <c r="D6620" s="136">
        <f t="shared" si="309"/>
        <v>19</v>
      </c>
      <c r="E6620" s="136">
        <f t="shared" si="308"/>
        <v>8</v>
      </c>
      <c r="F6620" s="128" t="s">
        <v>24</v>
      </c>
      <c r="G6620" s="128" t="str">
        <f>VLOOKUP(source[[#This Row],[lending_product_transform]],[3]Mapping!$B$4:$C$37,2,0)</f>
        <v>[Cake] - Cashloan</v>
      </c>
      <c r="H6620" s="128" t="str">
        <f>VLOOKUP(source[[#This Row],[lending_product_transform]],[3]Mapping!$B$3:$D$37,3,0)</f>
        <v>cashloan</v>
      </c>
      <c r="I6620" s="135">
        <v>35000000</v>
      </c>
    </row>
    <row r="6621" spans="1:9" x14ac:dyDescent="0.2">
      <c r="A6621" s="134">
        <v>45785</v>
      </c>
      <c r="B6621" s="135">
        <f>YEAR(source[[#This Row],[report_date]])</f>
        <v>2025</v>
      </c>
      <c r="C6621" s="128">
        <f t="shared" si="307"/>
        <v>5</v>
      </c>
      <c r="D6621" s="136">
        <f t="shared" si="309"/>
        <v>19</v>
      </c>
      <c r="E6621" s="136">
        <f t="shared" si="308"/>
        <v>8</v>
      </c>
      <c r="F6621" s="128" t="s">
        <v>24</v>
      </c>
      <c r="G6621" s="128" t="str">
        <f>VLOOKUP(source[[#This Row],[lending_product_transform]],[3]Mapping!$B$4:$C$37,2,0)</f>
        <v>[Cake] - Cashloan</v>
      </c>
      <c r="H6621" s="128" t="str">
        <f>VLOOKUP(source[[#This Row],[lending_product_transform]],[3]Mapping!$B$3:$D$37,3,0)</f>
        <v>cashloan</v>
      </c>
      <c r="I6621" s="135">
        <v>0</v>
      </c>
    </row>
    <row r="6622" spans="1:9" x14ac:dyDescent="0.2">
      <c r="A6622" s="134">
        <v>45785</v>
      </c>
      <c r="B6622" s="135">
        <f>YEAR(source[[#This Row],[report_date]])</f>
        <v>2025</v>
      </c>
      <c r="C6622" s="128">
        <f t="shared" si="307"/>
        <v>5</v>
      </c>
      <c r="D6622" s="136">
        <f t="shared" si="309"/>
        <v>19</v>
      </c>
      <c r="E6622" s="136">
        <f t="shared" si="308"/>
        <v>8</v>
      </c>
      <c r="F6622" s="128" t="s">
        <v>24</v>
      </c>
      <c r="G6622" s="128" t="str">
        <f>VLOOKUP(source[[#This Row],[lending_product_transform]],[3]Mapping!$B$4:$C$37,2,0)</f>
        <v>[Cake] - Cashloan</v>
      </c>
      <c r="H6622" s="128" t="str">
        <f>VLOOKUP(source[[#This Row],[lending_product_transform]],[3]Mapping!$B$3:$D$37,3,0)</f>
        <v>cashloan</v>
      </c>
      <c r="I6622" s="135">
        <v>664520000</v>
      </c>
    </row>
    <row r="6623" spans="1:9" x14ac:dyDescent="0.2">
      <c r="A6623" s="134">
        <v>45786</v>
      </c>
      <c r="B6623" s="135">
        <f>YEAR(source[[#This Row],[report_date]])</f>
        <v>2025</v>
      </c>
      <c r="C6623" s="128">
        <f t="shared" si="307"/>
        <v>5</v>
      </c>
      <c r="D6623" s="136">
        <f t="shared" si="309"/>
        <v>19</v>
      </c>
      <c r="E6623" s="136">
        <f t="shared" si="308"/>
        <v>9</v>
      </c>
      <c r="F6623" s="128" t="s">
        <v>24</v>
      </c>
      <c r="G6623" s="128" t="str">
        <f>VLOOKUP(source[[#This Row],[lending_product_transform]],[3]Mapping!$B$4:$C$37,2,0)</f>
        <v>[Cake] - Cashloan</v>
      </c>
      <c r="H6623" s="128" t="str">
        <f>VLOOKUP(source[[#This Row],[lending_product_transform]],[3]Mapping!$B$3:$D$37,3,0)</f>
        <v>cashloan</v>
      </c>
      <c r="I6623" s="135">
        <v>7898560000</v>
      </c>
    </row>
    <row r="6624" spans="1:9" x14ac:dyDescent="0.2">
      <c r="A6624" s="134">
        <v>45786</v>
      </c>
      <c r="B6624" s="135">
        <f>YEAR(source[[#This Row],[report_date]])</f>
        <v>2025</v>
      </c>
      <c r="C6624" s="128">
        <f t="shared" si="307"/>
        <v>5</v>
      </c>
      <c r="D6624" s="136">
        <f t="shared" si="309"/>
        <v>19</v>
      </c>
      <c r="E6624" s="136">
        <f t="shared" si="308"/>
        <v>9</v>
      </c>
      <c r="F6624" s="128" t="s">
        <v>24</v>
      </c>
      <c r="G6624" s="128" t="str">
        <f>VLOOKUP(source[[#This Row],[lending_product_transform]],[3]Mapping!$B$4:$C$37,2,0)</f>
        <v>[Cake] - Cashloan</v>
      </c>
      <c r="H6624" s="128" t="str">
        <f>VLOOKUP(source[[#This Row],[lending_product_transform]],[3]Mapping!$B$3:$D$37,3,0)</f>
        <v>cashloan</v>
      </c>
      <c r="I6624" s="135">
        <v>0</v>
      </c>
    </row>
    <row r="6625" spans="1:9" x14ac:dyDescent="0.2">
      <c r="A6625" s="134">
        <v>45786</v>
      </c>
      <c r="B6625" s="135">
        <f>YEAR(source[[#This Row],[report_date]])</f>
        <v>2025</v>
      </c>
      <c r="C6625" s="128">
        <f t="shared" si="307"/>
        <v>5</v>
      </c>
      <c r="D6625" s="136">
        <f t="shared" si="309"/>
        <v>19</v>
      </c>
      <c r="E6625" s="136">
        <f t="shared" si="308"/>
        <v>9</v>
      </c>
      <c r="F6625" s="128" t="s">
        <v>24</v>
      </c>
      <c r="G6625" s="128" t="str">
        <f>VLOOKUP(source[[#This Row],[lending_product_transform]],[3]Mapping!$B$4:$C$37,2,0)</f>
        <v>[Cake] - Cashloan</v>
      </c>
      <c r="H6625" s="128" t="str">
        <f>VLOOKUP(source[[#This Row],[lending_product_transform]],[3]Mapping!$B$3:$D$37,3,0)</f>
        <v>cashloan</v>
      </c>
      <c r="I6625" s="135">
        <v>0</v>
      </c>
    </row>
    <row r="6626" spans="1:9" x14ac:dyDescent="0.2">
      <c r="A6626" s="134">
        <v>45786</v>
      </c>
      <c r="B6626" s="135">
        <f>YEAR(source[[#This Row],[report_date]])</f>
        <v>2025</v>
      </c>
      <c r="C6626" s="128">
        <f t="shared" si="307"/>
        <v>5</v>
      </c>
      <c r="D6626" s="136">
        <f t="shared" si="309"/>
        <v>19</v>
      </c>
      <c r="E6626" s="136">
        <f t="shared" si="308"/>
        <v>9</v>
      </c>
      <c r="F6626" s="128" t="s">
        <v>24</v>
      </c>
      <c r="G6626" s="128" t="str">
        <f>VLOOKUP(source[[#This Row],[lending_product_transform]],[3]Mapping!$B$4:$C$37,2,0)</f>
        <v>[Cake] - Cashloan</v>
      </c>
      <c r="H6626" s="128" t="str">
        <f>VLOOKUP(source[[#This Row],[lending_product_transform]],[3]Mapping!$B$3:$D$37,3,0)</f>
        <v>cashloan</v>
      </c>
      <c r="I6626" s="135">
        <v>3787989838</v>
      </c>
    </row>
    <row r="6627" spans="1:9" x14ac:dyDescent="0.2">
      <c r="A6627" s="134">
        <v>45786</v>
      </c>
      <c r="B6627" s="135">
        <f>YEAR(source[[#This Row],[report_date]])</f>
        <v>2025</v>
      </c>
      <c r="C6627" s="128">
        <f t="shared" si="307"/>
        <v>5</v>
      </c>
      <c r="D6627" s="136">
        <f t="shared" si="309"/>
        <v>19</v>
      </c>
      <c r="E6627" s="136">
        <f t="shared" si="308"/>
        <v>9</v>
      </c>
      <c r="F6627" s="128" t="s">
        <v>24</v>
      </c>
      <c r="G6627" s="128" t="str">
        <f>VLOOKUP(source[[#This Row],[lending_product_transform]],[3]Mapping!$B$4:$C$37,2,0)</f>
        <v>[Cake] - Cashloan</v>
      </c>
      <c r="H6627" s="128" t="str">
        <f>VLOOKUP(source[[#This Row],[lending_product_transform]],[3]Mapping!$B$3:$D$37,3,0)</f>
        <v>cashloan</v>
      </c>
      <c r="I6627" s="135">
        <v>0</v>
      </c>
    </row>
    <row r="6628" spans="1:9" x14ac:dyDescent="0.2">
      <c r="A6628" s="134">
        <v>45786</v>
      </c>
      <c r="B6628" s="135">
        <f>YEAR(source[[#This Row],[report_date]])</f>
        <v>2025</v>
      </c>
      <c r="C6628" s="128">
        <f t="shared" si="307"/>
        <v>5</v>
      </c>
      <c r="D6628" s="136">
        <f t="shared" si="309"/>
        <v>19</v>
      </c>
      <c r="E6628" s="136">
        <f t="shared" si="308"/>
        <v>9</v>
      </c>
      <c r="F6628" s="128" t="s">
        <v>24</v>
      </c>
      <c r="G6628" s="128" t="str">
        <f>VLOOKUP(source[[#This Row],[lending_product_transform]],[3]Mapping!$B$4:$C$37,2,0)</f>
        <v>[Cake] - Cashloan</v>
      </c>
      <c r="H6628" s="128" t="str">
        <f>VLOOKUP(source[[#This Row],[lending_product_transform]],[3]Mapping!$B$3:$D$37,3,0)</f>
        <v>cashloan</v>
      </c>
      <c r="I6628" s="135">
        <v>22423088</v>
      </c>
    </row>
    <row r="6629" spans="1:9" x14ac:dyDescent="0.2">
      <c r="A6629" s="134">
        <v>45786</v>
      </c>
      <c r="B6629" s="135">
        <f>YEAR(source[[#This Row],[report_date]])</f>
        <v>2025</v>
      </c>
      <c r="C6629" s="128">
        <f t="shared" si="307"/>
        <v>5</v>
      </c>
      <c r="D6629" s="136">
        <f t="shared" si="309"/>
        <v>19</v>
      </c>
      <c r="E6629" s="136">
        <f t="shared" si="308"/>
        <v>9</v>
      </c>
      <c r="F6629" s="128" t="s">
        <v>24</v>
      </c>
      <c r="G6629" s="128" t="str">
        <f>VLOOKUP(source[[#This Row],[lending_product_transform]],[3]Mapping!$B$4:$C$37,2,0)</f>
        <v>[Cake] - Cashloan</v>
      </c>
      <c r="H6629" s="128" t="str">
        <f>VLOOKUP(source[[#This Row],[lending_product_transform]],[3]Mapping!$B$3:$D$37,3,0)</f>
        <v>cashloan</v>
      </c>
      <c r="I6629" s="135">
        <v>457941232</v>
      </c>
    </row>
    <row r="6630" spans="1:9" x14ac:dyDescent="0.2">
      <c r="A6630" s="134">
        <v>45786</v>
      </c>
      <c r="B6630" s="135">
        <f>YEAR(source[[#This Row],[report_date]])</f>
        <v>2025</v>
      </c>
      <c r="C6630" s="128">
        <f t="shared" si="307"/>
        <v>5</v>
      </c>
      <c r="D6630" s="136">
        <f t="shared" si="309"/>
        <v>19</v>
      </c>
      <c r="E6630" s="136">
        <f t="shared" si="308"/>
        <v>9</v>
      </c>
      <c r="F6630" s="128" t="s">
        <v>24</v>
      </c>
      <c r="G6630" s="128" t="str">
        <f>VLOOKUP(source[[#This Row],[lending_product_transform]],[3]Mapping!$B$4:$C$37,2,0)</f>
        <v>[Cake] - Cashloan</v>
      </c>
      <c r="H6630" s="128" t="str">
        <f>VLOOKUP(source[[#This Row],[lending_product_transform]],[3]Mapping!$B$3:$D$37,3,0)</f>
        <v>cashloan</v>
      </c>
      <c r="I6630" s="135">
        <v>0</v>
      </c>
    </row>
    <row r="6631" spans="1:9" x14ac:dyDescent="0.2">
      <c r="A6631" s="134">
        <v>45786</v>
      </c>
      <c r="B6631" s="135">
        <f>YEAR(source[[#This Row],[report_date]])</f>
        <v>2025</v>
      </c>
      <c r="C6631" s="128">
        <f t="shared" si="307"/>
        <v>5</v>
      </c>
      <c r="D6631" s="136">
        <f t="shared" si="309"/>
        <v>19</v>
      </c>
      <c r="E6631" s="136">
        <f t="shared" si="308"/>
        <v>9</v>
      </c>
      <c r="F6631" s="128" t="s">
        <v>24</v>
      </c>
      <c r="G6631" s="128" t="str">
        <f>VLOOKUP(source[[#This Row],[lending_product_transform]],[3]Mapping!$B$4:$C$37,2,0)</f>
        <v>[Cake] - Cashloan</v>
      </c>
      <c r="H6631" s="128" t="str">
        <f>VLOOKUP(source[[#This Row],[lending_product_transform]],[3]Mapping!$B$3:$D$37,3,0)</f>
        <v>cashloan</v>
      </c>
      <c r="I6631" s="135">
        <v>0</v>
      </c>
    </row>
    <row r="6632" spans="1:9" x14ac:dyDescent="0.2">
      <c r="A6632" s="134">
        <v>45786</v>
      </c>
      <c r="B6632" s="135">
        <f>YEAR(source[[#This Row],[report_date]])</f>
        <v>2025</v>
      </c>
      <c r="C6632" s="128">
        <f t="shared" si="307"/>
        <v>5</v>
      </c>
      <c r="D6632" s="136">
        <f t="shared" si="309"/>
        <v>19</v>
      </c>
      <c r="E6632" s="136">
        <f t="shared" si="308"/>
        <v>9</v>
      </c>
      <c r="F6632" s="128" t="s">
        <v>24</v>
      </c>
      <c r="G6632" s="128" t="str">
        <f>VLOOKUP(source[[#This Row],[lending_product_transform]],[3]Mapping!$B$4:$C$37,2,0)</f>
        <v>[Cake] - Cashloan</v>
      </c>
      <c r="H6632" s="128" t="str">
        <f>VLOOKUP(source[[#This Row],[lending_product_transform]],[3]Mapping!$B$3:$D$37,3,0)</f>
        <v>cashloan</v>
      </c>
      <c r="I6632" s="135">
        <v>61500000</v>
      </c>
    </row>
    <row r="6633" spans="1:9" x14ac:dyDescent="0.2">
      <c r="A6633" s="134">
        <v>45786</v>
      </c>
      <c r="B6633" s="135">
        <f>YEAR(source[[#This Row],[report_date]])</f>
        <v>2025</v>
      </c>
      <c r="C6633" s="128">
        <f t="shared" si="307"/>
        <v>5</v>
      </c>
      <c r="D6633" s="136">
        <f t="shared" si="309"/>
        <v>19</v>
      </c>
      <c r="E6633" s="136">
        <f t="shared" si="308"/>
        <v>9</v>
      </c>
      <c r="F6633" s="128" t="s">
        <v>24</v>
      </c>
      <c r="G6633" s="128" t="str">
        <f>VLOOKUP(source[[#This Row],[lending_product_transform]],[3]Mapping!$B$4:$C$37,2,0)</f>
        <v>[Cake] - Cashloan</v>
      </c>
      <c r="H6633" s="128" t="str">
        <f>VLOOKUP(source[[#This Row],[lending_product_transform]],[3]Mapping!$B$3:$D$37,3,0)</f>
        <v>cashloan</v>
      </c>
      <c r="I6633" s="135">
        <v>38000000</v>
      </c>
    </row>
    <row r="6634" spans="1:9" x14ac:dyDescent="0.2">
      <c r="A6634" s="134">
        <v>45786</v>
      </c>
      <c r="B6634" s="135">
        <f>YEAR(source[[#This Row],[report_date]])</f>
        <v>2025</v>
      </c>
      <c r="C6634" s="128">
        <f t="shared" si="307"/>
        <v>5</v>
      </c>
      <c r="D6634" s="136">
        <f t="shared" si="309"/>
        <v>19</v>
      </c>
      <c r="E6634" s="136">
        <f t="shared" si="308"/>
        <v>9</v>
      </c>
      <c r="F6634" s="128" t="s">
        <v>24</v>
      </c>
      <c r="G6634" s="128" t="str">
        <f>VLOOKUP(source[[#This Row],[lending_product_transform]],[3]Mapping!$B$4:$C$37,2,0)</f>
        <v>[Cake] - Cashloan</v>
      </c>
      <c r="H6634" s="128" t="str">
        <f>VLOOKUP(source[[#This Row],[lending_product_transform]],[3]Mapping!$B$3:$D$37,3,0)</f>
        <v>cashloan</v>
      </c>
      <c r="I6634" s="135">
        <v>0</v>
      </c>
    </row>
    <row r="6635" spans="1:9" x14ac:dyDescent="0.2">
      <c r="A6635" s="134">
        <v>45786</v>
      </c>
      <c r="B6635" s="135">
        <f>YEAR(source[[#This Row],[report_date]])</f>
        <v>2025</v>
      </c>
      <c r="C6635" s="128">
        <f t="shared" si="307"/>
        <v>5</v>
      </c>
      <c r="D6635" s="136">
        <f t="shared" si="309"/>
        <v>19</v>
      </c>
      <c r="E6635" s="136">
        <f t="shared" si="308"/>
        <v>9</v>
      </c>
      <c r="F6635" s="128" t="s">
        <v>24</v>
      </c>
      <c r="G6635" s="128" t="str">
        <f>VLOOKUP(source[[#This Row],[lending_product_transform]],[3]Mapping!$B$4:$C$37,2,0)</f>
        <v>[Cake] - Cashloan</v>
      </c>
      <c r="H6635" s="128" t="str">
        <f>VLOOKUP(source[[#This Row],[lending_product_transform]],[3]Mapping!$B$3:$D$37,3,0)</f>
        <v>cashloan</v>
      </c>
      <c r="I6635" s="135">
        <v>699380000</v>
      </c>
    </row>
    <row r="6636" spans="1:9" x14ac:dyDescent="0.2">
      <c r="A6636" s="134">
        <v>45786</v>
      </c>
      <c r="B6636" s="135">
        <f>YEAR(source[[#This Row],[report_date]])</f>
        <v>2025</v>
      </c>
      <c r="C6636" s="128">
        <f t="shared" si="307"/>
        <v>5</v>
      </c>
      <c r="D6636" s="136">
        <f t="shared" si="309"/>
        <v>19</v>
      </c>
      <c r="E6636" s="136">
        <f t="shared" si="308"/>
        <v>9</v>
      </c>
      <c r="F6636" s="128" t="s">
        <v>24</v>
      </c>
      <c r="G6636" s="128" t="str">
        <f>VLOOKUP(source[[#This Row],[lending_product_transform]],[3]Mapping!$B$4:$C$37,2,0)</f>
        <v>[Cake] - Cashloan</v>
      </c>
      <c r="H6636" s="128" t="str">
        <f>VLOOKUP(source[[#This Row],[lending_product_transform]],[3]Mapping!$B$3:$D$37,3,0)</f>
        <v>cashloan</v>
      </c>
      <c r="I6636" s="135">
        <v>797280000</v>
      </c>
    </row>
    <row r="6637" spans="1:9" x14ac:dyDescent="0.2">
      <c r="A6637" s="134">
        <v>45786</v>
      </c>
      <c r="B6637" s="135">
        <f>YEAR(source[[#This Row],[report_date]])</f>
        <v>2025</v>
      </c>
      <c r="C6637" s="128">
        <f t="shared" si="307"/>
        <v>5</v>
      </c>
      <c r="D6637" s="136">
        <f t="shared" si="309"/>
        <v>19</v>
      </c>
      <c r="E6637" s="136">
        <f t="shared" si="308"/>
        <v>9</v>
      </c>
      <c r="F6637" s="128" t="s">
        <v>24</v>
      </c>
      <c r="G6637" s="128" t="str">
        <f>VLOOKUP(source[[#This Row],[lending_product_transform]],[3]Mapping!$B$4:$C$37,2,0)</f>
        <v>[Cake] - Cashloan</v>
      </c>
      <c r="H6637" s="128" t="str">
        <f>VLOOKUP(source[[#This Row],[lending_product_transform]],[3]Mapping!$B$3:$D$37,3,0)</f>
        <v>cashloan</v>
      </c>
      <c r="I6637" s="135">
        <v>7382920000</v>
      </c>
    </row>
    <row r="6638" spans="1:9" x14ac:dyDescent="0.2">
      <c r="A6638" s="134">
        <v>45786</v>
      </c>
      <c r="B6638" s="135">
        <f>YEAR(source[[#This Row],[report_date]])</f>
        <v>2025</v>
      </c>
      <c r="C6638" s="128">
        <f t="shared" si="307"/>
        <v>5</v>
      </c>
      <c r="D6638" s="136">
        <f t="shared" si="309"/>
        <v>19</v>
      </c>
      <c r="E6638" s="136">
        <f t="shared" si="308"/>
        <v>9</v>
      </c>
      <c r="F6638" s="128" t="s">
        <v>24</v>
      </c>
      <c r="G6638" s="128" t="str">
        <f>VLOOKUP(source[[#This Row],[lending_product_transform]],[3]Mapping!$B$4:$C$37,2,0)</f>
        <v>[Cake] - Cashloan</v>
      </c>
      <c r="H6638" s="128" t="str">
        <f>VLOOKUP(source[[#This Row],[lending_product_transform]],[3]Mapping!$B$3:$D$37,3,0)</f>
        <v>cashloan</v>
      </c>
      <c r="I6638" s="135">
        <v>0</v>
      </c>
    </row>
    <row r="6639" spans="1:9" x14ac:dyDescent="0.2">
      <c r="A6639" s="134">
        <v>45786</v>
      </c>
      <c r="B6639" s="135">
        <f>YEAR(source[[#This Row],[report_date]])</f>
        <v>2025</v>
      </c>
      <c r="C6639" s="128">
        <f t="shared" si="307"/>
        <v>5</v>
      </c>
      <c r="D6639" s="136">
        <f t="shared" si="309"/>
        <v>19</v>
      </c>
      <c r="E6639" s="136">
        <f t="shared" si="308"/>
        <v>9</v>
      </c>
      <c r="F6639" s="128" t="s">
        <v>24</v>
      </c>
      <c r="G6639" s="128" t="str">
        <f>VLOOKUP(source[[#This Row],[lending_product_transform]],[3]Mapping!$B$4:$C$37,2,0)</f>
        <v>[Cake] - Cashloan</v>
      </c>
      <c r="H6639" s="128" t="str">
        <f>VLOOKUP(source[[#This Row],[lending_product_transform]],[3]Mapping!$B$3:$D$37,3,0)</f>
        <v>cashloan</v>
      </c>
      <c r="I6639" s="135">
        <v>265382455</v>
      </c>
    </row>
    <row r="6640" spans="1:9" x14ac:dyDescent="0.2">
      <c r="A6640" s="134">
        <v>45786</v>
      </c>
      <c r="B6640" s="135">
        <f>YEAR(source[[#This Row],[report_date]])</f>
        <v>2025</v>
      </c>
      <c r="C6640" s="128">
        <f t="shared" si="307"/>
        <v>5</v>
      </c>
      <c r="D6640" s="136">
        <f t="shared" si="309"/>
        <v>19</v>
      </c>
      <c r="E6640" s="136">
        <f t="shared" si="308"/>
        <v>9</v>
      </c>
      <c r="F6640" s="128" t="s">
        <v>24</v>
      </c>
      <c r="G6640" s="128" t="str">
        <f>VLOOKUP(source[[#This Row],[lending_product_transform]],[3]Mapping!$B$4:$C$37,2,0)</f>
        <v>[Cake] - Cashloan</v>
      </c>
      <c r="H6640" s="128" t="str">
        <f>VLOOKUP(source[[#This Row],[lending_product_transform]],[3]Mapping!$B$3:$D$37,3,0)</f>
        <v>cashloan</v>
      </c>
      <c r="I6640" s="135">
        <v>563598907</v>
      </c>
    </row>
    <row r="6641" spans="1:9" x14ac:dyDescent="0.2">
      <c r="A6641" s="134">
        <v>45786</v>
      </c>
      <c r="B6641" s="135">
        <f>YEAR(source[[#This Row],[report_date]])</f>
        <v>2025</v>
      </c>
      <c r="C6641" s="128">
        <f t="shared" si="307"/>
        <v>5</v>
      </c>
      <c r="D6641" s="136">
        <f t="shared" si="309"/>
        <v>19</v>
      </c>
      <c r="E6641" s="136">
        <f t="shared" si="308"/>
        <v>9</v>
      </c>
      <c r="F6641" s="128" t="s">
        <v>24</v>
      </c>
      <c r="G6641" s="128" t="str">
        <f>VLOOKUP(source[[#This Row],[lending_product_transform]],[3]Mapping!$B$4:$C$37,2,0)</f>
        <v>[Cake] - Cashloan</v>
      </c>
      <c r="H6641" s="128" t="str">
        <f>VLOOKUP(source[[#This Row],[lending_product_transform]],[3]Mapping!$B$3:$D$37,3,0)</f>
        <v>cashloan</v>
      </c>
      <c r="I6641" s="135">
        <v>5836644000</v>
      </c>
    </row>
    <row r="6642" spans="1:9" x14ac:dyDescent="0.2">
      <c r="A6642" s="134">
        <v>45787</v>
      </c>
      <c r="B6642" s="135">
        <f>YEAR(source[[#This Row],[report_date]])</f>
        <v>2025</v>
      </c>
      <c r="C6642" s="128">
        <f t="shared" si="307"/>
        <v>5</v>
      </c>
      <c r="D6642" s="136">
        <f t="shared" si="309"/>
        <v>19</v>
      </c>
      <c r="E6642" s="136">
        <f t="shared" si="308"/>
        <v>10</v>
      </c>
      <c r="F6642" s="128" t="s">
        <v>24</v>
      </c>
      <c r="G6642" s="128" t="str">
        <f>VLOOKUP(source[[#This Row],[lending_product_transform]],[3]Mapping!$B$4:$C$37,2,0)</f>
        <v>[Cake] - Cashloan</v>
      </c>
      <c r="H6642" s="128" t="str">
        <f>VLOOKUP(source[[#This Row],[lending_product_transform]],[3]Mapping!$B$3:$D$37,3,0)</f>
        <v>cashloan</v>
      </c>
      <c r="I6642" s="135">
        <v>7138150000</v>
      </c>
    </row>
    <row r="6643" spans="1:9" x14ac:dyDescent="0.2">
      <c r="A6643" s="134">
        <v>45787</v>
      </c>
      <c r="B6643" s="135">
        <f>YEAR(source[[#This Row],[report_date]])</f>
        <v>2025</v>
      </c>
      <c r="C6643" s="128">
        <f t="shared" si="307"/>
        <v>5</v>
      </c>
      <c r="D6643" s="136">
        <f t="shared" si="309"/>
        <v>19</v>
      </c>
      <c r="E6643" s="136">
        <f t="shared" si="308"/>
        <v>10</v>
      </c>
      <c r="F6643" s="128" t="s">
        <v>24</v>
      </c>
      <c r="G6643" s="128" t="str">
        <f>VLOOKUP(source[[#This Row],[lending_product_transform]],[3]Mapping!$B$4:$C$37,2,0)</f>
        <v>[Cake] - Cashloan</v>
      </c>
      <c r="H6643" s="128" t="str">
        <f>VLOOKUP(source[[#This Row],[lending_product_transform]],[3]Mapping!$B$3:$D$37,3,0)</f>
        <v>cashloan</v>
      </c>
      <c r="I6643" s="135">
        <v>6603660000</v>
      </c>
    </row>
    <row r="6644" spans="1:9" x14ac:dyDescent="0.2">
      <c r="A6644" s="134">
        <v>45787</v>
      </c>
      <c r="B6644" s="135">
        <f>YEAR(source[[#This Row],[report_date]])</f>
        <v>2025</v>
      </c>
      <c r="C6644" s="128">
        <f t="shared" si="307"/>
        <v>5</v>
      </c>
      <c r="D6644" s="136">
        <f t="shared" si="309"/>
        <v>19</v>
      </c>
      <c r="E6644" s="136">
        <f t="shared" si="308"/>
        <v>10</v>
      </c>
      <c r="F6644" s="128" t="s">
        <v>24</v>
      </c>
      <c r="G6644" s="128" t="str">
        <f>VLOOKUP(source[[#This Row],[lending_product_transform]],[3]Mapping!$B$4:$C$37,2,0)</f>
        <v>[Cake] - Cashloan</v>
      </c>
      <c r="H6644" s="128" t="str">
        <f>VLOOKUP(source[[#This Row],[lending_product_transform]],[3]Mapping!$B$3:$D$37,3,0)</f>
        <v>cashloan</v>
      </c>
      <c r="I6644" s="135">
        <v>484643746</v>
      </c>
    </row>
    <row r="6645" spans="1:9" x14ac:dyDescent="0.2">
      <c r="A6645" s="134">
        <v>45787</v>
      </c>
      <c r="B6645" s="135">
        <f>YEAR(source[[#This Row],[report_date]])</f>
        <v>2025</v>
      </c>
      <c r="C6645" s="128">
        <f t="shared" si="307"/>
        <v>5</v>
      </c>
      <c r="D6645" s="136">
        <f t="shared" si="309"/>
        <v>19</v>
      </c>
      <c r="E6645" s="136">
        <f t="shared" si="308"/>
        <v>10</v>
      </c>
      <c r="F6645" s="128" t="s">
        <v>24</v>
      </c>
      <c r="G6645" s="128" t="str">
        <f>VLOOKUP(source[[#This Row],[lending_product_transform]],[3]Mapping!$B$4:$C$37,2,0)</f>
        <v>[Cake] - Cashloan</v>
      </c>
      <c r="H6645" s="128" t="str">
        <f>VLOOKUP(source[[#This Row],[lending_product_transform]],[3]Mapping!$B$3:$D$37,3,0)</f>
        <v>cashloan</v>
      </c>
      <c r="I6645" s="135">
        <v>9164060000</v>
      </c>
    </row>
    <row r="6646" spans="1:9" x14ac:dyDescent="0.2">
      <c r="A6646" s="134">
        <v>45787</v>
      </c>
      <c r="B6646" s="135">
        <f>YEAR(source[[#This Row],[report_date]])</f>
        <v>2025</v>
      </c>
      <c r="C6646" s="128">
        <f t="shared" ref="C6646:C6709" si="310">MONTH(A6646)</f>
        <v>5</v>
      </c>
      <c r="D6646" s="136">
        <f t="shared" si="309"/>
        <v>19</v>
      </c>
      <c r="E6646" s="136">
        <f t="shared" ref="E6646:E6709" si="311">DAY(A6646)</f>
        <v>10</v>
      </c>
      <c r="F6646" s="128" t="s">
        <v>24</v>
      </c>
      <c r="G6646" s="128" t="str">
        <f>VLOOKUP(source[[#This Row],[lending_product_transform]],[3]Mapping!$B$4:$C$37,2,0)</f>
        <v>[Cake] - Cashloan</v>
      </c>
      <c r="H6646" s="128" t="str">
        <f>VLOOKUP(source[[#This Row],[lending_product_transform]],[3]Mapping!$B$3:$D$37,3,0)</f>
        <v>cashloan</v>
      </c>
      <c r="I6646" s="135">
        <v>3743492408</v>
      </c>
    </row>
    <row r="6647" spans="1:9" x14ac:dyDescent="0.2">
      <c r="A6647" s="134">
        <v>45787</v>
      </c>
      <c r="B6647" s="135">
        <f>YEAR(source[[#This Row],[report_date]])</f>
        <v>2025</v>
      </c>
      <c r="C6647" s="128">
        <f t="shared" si="310"/>
        <v>5</v>
      </c>
      <c r="D6647" s="136">
        <f t="shared" si="309"/>
        <v>19</v>
      </c>
      <c r="E6647" s="136">
        <f t="shared" si="311"/>
        <v>10</v>
      </c>
      <c r="F6647" s="128" t="s">
        <v>24</v>
      </c>
      <c r="G6647" s="128" t="str">
        <f>VLOOKUP(source[[#This Row],[lending_product_transform]],[3]Mapping!$B$4:$C$37,2,0)</f>
        <v>[Cake] - Cashloan</v>
      </c>
      <c r="H6647" s="128" t="str">
        <f>VLOOKUP(source[[#This Row],[lending_product_transform]],[3]Mapping!$B$3:$D$37,3,0)</f>
        <v>cashloan</v>
      </c>
      <c r="I6647" s="135">
        <v>0</v>
      </c>
    </row>
    <row r="6648" spans="1:9" x14ac:dyDescent="0.2">
      <c r="A6648" s="134">
        <v>45787</v>
      </c>
      <c r="B6648" s="135">
        <f>YEAR(source[[#This Row],[report_date]])</f>
        <v>2025</v>
      </c>
      <c r="C6648" s="128">
        <f t="shared" si="310"/>
        <v>5</v>
      </c>
      <c r="D6648" s="136">
        <f t="shared" si="309"/>
        <v>19</v>
      </c>
      <c r="E6648" s="136">
        <f t="shared" si="311"/>
        <v>10</v>
      </c>
      <c r="F6648" s="128" t="s">
        <v>24</v>
      </c>
      <c r="G6648" s="128" t="str">
        <f>VLOOKUP(source[[#This Row],[lending_product_transform]],[3]Mapping!$B$4:$C$37,2,0)</f>
        <v>[Cake] - Cashloan</v>
      </c>
      <c r="H6648" s="128" t="str">
        <f>VLOOKUP(source[[#This Row],[lending_product_transform]],[3]Mapping!$B$3:$D$37,3,0)</f>
        <v>cashloan</v>
      </c>
      <c r="I6648" s="135">
        <v>31806656</v>
      </c>
    </row>
    <row r="6649" spans="1:9" x14ac:dyDescent="0.2">
      <c r="A6649" s="134">
        <v>45787</v>
      </c>
      <c r="B6649" s="135">
        <f>YEAR(source[[#This Row],[report_date]])</f>
        <v>2025</v>
      </c>
      <c r="C6649" s="128">
        <f t="shared" si="310"/>
        <v>5</v>
      </c>
      <c r="D6649" s="136">
        <f t="shared" si="309"/>
        <v>19</v>
      </c>
      <c r="E6649" s="136">
        <f t="shared" si="311"/>
        <v>10</v>
      </c>
      <c r="F6649" s="128" t="s">
        <v>24</v>
      </c>
      <c r="G6649" s="128" t="str">
        <f>VLOOKUP(source[[#This Row],[lending_product_transform]],[3]Mapping!$B$4:$C$37,2,0)</f>
        <v>[Cake] - Cashloan</v>
      </c>
      <c r="H6649" s="128" t="str">
        <f>VLOOKUP(source[[#This Row],[lending_product_transform]],[3]Mapping!$B$3:$D$37,3,0)</f>
        <v>cashloan</v>
      </c>
      <c r="I6649" s="135">
        <v>0</v>
      </c>
    </row>
    <row r="6650" spans="1:9" x14ac:dyDescent="0.2">
      <c r="A6650" s="134">
        <v>45787</v>
      </c>
      <c r="B6650" s="135">
        <f>YEAR(source[[#This Row],[report_date]])</f>
        <v>2025</v>
      </c>
      <c r="C6650" s="128">
        <f t="shared" si="310"/>
        <v>5</v>
      </c>
      <c r="D6650" s="136">
        <f t="shared" si="309"/>
        <v>19</v>
      </c>
      <c r="E6650" s="136">
        <f t="shared" si="311"/>
        <v>10</v>
      </c>
      <c r="F6650" s="128" t="s">
        <v>24</v>
      </c>
      <c r="G6650" s="128" t="str">
        <f>VLOOKUP(source[[#This Row],[lending_product_transform]],[3]Mapping!$B$4:$C$37,2,0)</f>
        <v>[Cake] - Cashloan</v>
      </c>
      <c r="H6650" s="128" t="str">
        <f>VLOOKUP(source[[#This Row],[lending_product_transform]],[3]Mapping!$B$3:$D$37,3,0)</f>
        <v>cashloan</v>
      </c>
      <c r="I6650" s="135">
        <v>3000000</v>
      </c>
    </row>
    <row r="6651" spans="1:9" x14ac:dyDescent="0.2">
      <c r="A6651" s="134">
        <v>45787</v>
      </c>
      <c r="B6651" s="135">
        <f>YEAR(source[[#This Row],[report_date]])</f>
        <v>2025</v>
      </c>
      <c r="C6651" s="128">
        <f t="shared" si="310"/>
        <v>5</v>
      </c>
      <c r="D6651" s="136">
        <f t="shared" si="309"/>
        <v>19</v>
      </c>
      <c r="E6651" s="136">
        <f t="shared" si="311"/>
        <v>10</v>
      </c>
      <c r="F6651" s="128" t="s">
        <v>24</v>
      </c>
      <c r="G6651" s="128" t="str">
        <f>VLOOKUP(source[[#This Row],[lending_product_transform]],[3]Mapping!$B$4:$C$37,2,0)</f>
        <v>[Cake] - Cashloan</v>
      </c>
      <c r="H6651" s="128" t="str">
        <f>VLOOKUP(source[[#This Row],[lending_product_transform]],[3]Mapping!$B$3:$D$37,3,0)</f>
        <v>cashloan</v>
      </c>
      <c r="I6651" s="135">
        <v>0</v>
      </c>
    </row>
    <row r="6652" spans="1:9" x14ac:dyDescent="0.2">
      <c r="A6652" s="134">
        <v>45787</v>
      </c>
      <c r="B6652" s="135">
        <f>YEAR(source[[#This Row],[report_date]])</f>
        <v>2025</v>
      </c>
      <c r="C6652" s="128">
        <f t="shared" si="310"/>
        <v>5</v>
      </c>
      <c r="D6652" s="136">
        <f t="shared" si="309"/>
        <v>19</v>
      </c>
      <c r="E6652" s="136">
        <f t="shared" si="311"/>
        <v>10</v>
      </c>
      <c r="F6652" s="128" t="s">
        <v>24</v>
      </c>
      <c r="G6652" s="128" t="str">
        <f>VLOOKUP(source[[#This Row],[lending_product_transform]],[3]Mapping!$B$4:$C$37,2,0)</f>
        <v>[Cake] - Cashloan</v>
      </c>
      <c r="H6652" s="128" t="str">
        <f>VLOOKUP(source[[#This Row],[lending_product_transform]],[3]Mapping!$B$3:$D$37,3,0)</f>
        <v>cashloan</v>
      </c>
      <c r="I6652" s="135">
        <v>0</v>
      </c>
    </row>
    <row r="6653" spans="1:9" x14ac:dyDescent="0.2">
      <c r="A6653" s="134">
        <v>45787</v>
      </c>
      <c r="B6653" s="135">
        <f>YEAR(source[[#This Row],[report_date]])</f>
        <v>2025</v>
      </c>
      <c r="C6653" s="128">
        <f t="shared" si="310"/>
        <v>5</v>
      </c>
      <c r="D6653" s="136">
        <f t="shared" si="309"/>
        <v>19</v>
      </c>
      <c r="E6653" s="136">
        <f t="shared" si="311"/>
        <v>10</v>
      </c>
      <c r="F6653" s="128" t="s">
        <v>24</v>
      </c>
      <c r="G6653" s="128" t="str">
        <f>VLOOKUP(source[[#This Row],[lending_product_transform]],[3]Mapping!$B$4:$C$37,2,0)</f>
        <v>[Cake] - Cashloan</v>
      </c>
      <c r="H6653" s="128" t="str">
        <f>VLOOKUP(source[[#This Row],[lending_product_transform]],[3]Mapping!$B$3:$D$37,3,0)</f>
        <v>cashloan</v>
      </c>
      <c r="I6653" s="135">
        <v>25500000</v>
      </c>
    </row>
    <row r="6654" spans="1:9" x14ac:dyDescent="0.2">
      <c r="A6654" s="134">
        <v>45787</v>
      </c>
      <c r="B6654" s="135">
        <f>YEAR(source[[#This Row],[report_date]])</f>
        <v>2025</v>
      </c>
      <c r="C6654" s="128">
        <f t="shared" si="310"/>
        <v>5</v>
      </c>
      <c r="D6654" s="136">
        <f t="shared" si="309"/>
        <v>19</v>
      </c>
      <c r="E6654" s="136">
        <f t="shared" si="311"/>
        <v>10</v>
      </c>
      <c r="F6654" s="128" t="s">
        <v>24</v>
      </c>
      <c r="G6654" s="128" t="str">
        <f>VLOOKUP(source[[#This Row],[lending_product_transform]],[3]Mapping!$B$4:$C$37,2,0)</f>
        <v>[Cake] - Cashloan</v>
      </c>
      <c r="H6654" s="128" t="str">
        <f>VLOOKUP(source[[#This Row],[lending_product_transform]],[3]Mapping!$B$3:$D$37,3,0)</f>
        <v>cashloan</v>
      </c>
      <c r="I6654" s="135">
        <v>34000000</v>
      </c>
    </row>
    <row r="6655" spans="1:9" x14ac:dyDescent="0.2">
      <c r="A6655" s="134">
        <v>45787</v>
      </c>
      <c r="B6655" s="135">
        <f>YEAR(source[[#This Row],[report_date]])</f>
        <v>2025</v>
      </c>
      <c r="C6655" s="128">
        <f t="shared" si="310"/>
        <v>5</v>
      </c>
      <c r="D6655" s="136">
        <f t="shared" si="309"/>
        <v>19</v>
      </c>
      <c r="E6655" s="136">
        <f t="shared" si="311"/>
        <v>10</v>
      </c>
      <c r="F6655" s="128" t="s">
        <v>24</v>
      </c>
      <c r="G6655" s="128" t="str">
        <f>VLOOKUP(source[[#This Row],[lending_product_transform]],[3]Mapping!$B$4:$C$37,2,0)</f>
        <v>[Cake] - Cashloan</v>
      </c>
      <c r="H6655" s="128" t="str">
        <f>VLOOKUP(source[[#This Row],[lending_product_transform]],[3]Mapping!$B$3:$D$37,3,0)</f>
        <v>cashloan</v>
      </c>
      <c r="I6655" s="135">
        <v>0</v>
      </c>
    </row>
    <row r="6656" spans="1:9" x14ac:dyDescent="0.2">
      <c r="A6656" s="134">
        <v>45787</v>
      </c>
      <c r="B6656" s="135">
        <f>YEAR(source[[#This Row],[report_date]])</f>
        <v>2025</v>
      </c>
      <c r="C6656" s="128">
        <f t="shared" si="310"/>
        <v>5</v>
      </c>
      <c r="D6656" s="136">
        <f t="shared" si="309"/>
        <v>19</v>
      </c>
      <c r="E6656" s="136">
        <f t="shared" si="311"/>
        <v>10</v>
      </c>
      <c r="F6656" s="128" t="s">
        <v>24</v>
      </c>
      <c r="G6656" s="128" t="str">
        <f>VLOOKUP(source[[#This Row],[lending_product_transform]],[3]Mapping!$B$4:$C$37,2,0)</f>
        <v>[Cake] - Cashloan</v>
      </c>
      <c r="H6656" s="128" t="str">
        <f>VLOOKUP(source[[#This Row],[lending_product_transform]],[3]Mapping!$B$3:$D$37,3,0)</f>
        <v>cashloan</v>
      </c>
      <c r="I6656" s="135">
        <v>824640000</v>
      </c>
    </row>
    <row r="6657" spans="1:9" x14ac:dyDescent="0.2">
      <c r="A6657" s="134">
        <v>45787</v>
      </c>
      <c r="B6657" s="135">
        <f>YEAR(source[[#This Row],[report_date]])</f>
        <v>2025</v>
      </c>
      <c r="C6657" s="128">
        <f t="shared" si="310"/>
        <v>5</v>
      </c>
      <c r="D6657" s="136">
        <f t="shared" si="309"/>
        <v>19</v>
      </c>
      <c r="E6657" s="136">
        <f t="shared" si="311"/>
        <v>10</v>
      </c>
      <c r="F6657" s="128" t="s">
        <v>24</v>
      </c>
      <c r="G6657" s="128" t="str">
        <f>VLOOKUP(source[[#This Row],[lending_product_transform]],[3]Mapping!$B$4:$C$37,2,0)</f>
        <v>[Cake] - Cashloan</v>
      </c>
      <c r="H6657" s="128" t="str">
        <f>VLOOKUP(source[[#This Row],[lending_product_transform]],[3]Mapping!$B$3:$D$37,3,0)</f>
        <v>cashloan</v>
      </c>
      <c r="I6657" s="135">
        <v>838020000</v>
      </c>
    </row>
    <row r="6658" spans="1:9" x14ac:dyDescent="0.2">
      <c r="A6658" s="134">
        <v>45787</v>
      </c>
      <c r="B6658" s="135">
        <f>YEAR(source[[#This Row],[report_date]])</f>
        <v>2025</v>
      </c>
      <c r="C6658" s="128">
        <f t="shared" si="310"/>
        <v>5</v>
      </c>
      <c r="D6658" s="136">
        <f t="shared" si="309"/>
        <v>19</v>
      </c>
      <c r="E6658" s="136">
        <f t="shared" si="311"/>
        <v>10</v>
      </c>
      <c r="F6658" s="128" t="s">
        <v>24</v>
      </c>
      <c r="G6658" s="128" t="str">
        <f>VLOOKUP(source[[#This Row],[lending_product_transform]],[3]Mapping!$B$4:$C$37,2,0)</f>
        <v>[Cake] - Cashloan</v>
      </c>
      <c r="H6658" s="128" t="str">
        <f>VLOOKUP(source[[#This Row],[lending_product_transform]],[3]Mapping!$B$3:$D$37,3,0)</f>
        <v>cashloan</v>
      </c>
      <c r="I6658" s="135">
        <v>0</v>
      </c>
    </row>
    <row r="6659" spans="1:9" x14ac:dyDescent="0.2">
      <c r="A6659" s="134">
        <v>45787</v>
      </c>
      <c r="B6659" s="135">
        <f>YEAR(source[[#This Row],[report_date]])</f>
        <v>2025</v>
      </c>
      <c r="C6659" s="128">
        <f t="shared" si="310"/>
        <v>5</v>
      </c>
      <c r="D6659" s="136">
        <f t="shared" ref="D6659:D6722" si="312">WEEKNUM(A6659,2)</f>
        <v>19</v>
      </c>
      <c r="E6659" s="136">
        <f t="shared" si="311"/>
        <v>10</v>
      </c>
      <c r="F6659" s="128" t="s">
        <v>24</v>
      </c>
      <c r="G6659" s="128" t="str">
        <f>VLOOKUP(source[[#This Row],[lending_product_transform]],[3]Mapping!$B$4:$C$37,2,0)</f>
        <v>[Cake] - Cashloan</v>
      </c>
      <c r="H6659" s="128" t="str">
        <f>VLOOKUP(source[[#This Row],[lending_product_transform]],[3]Mapping!$B$3:$D$37,3,0)</f>
        <v>cashloan</v>
      </c>
      <c r="I6659" s="135">
        <v>284916277</v>
      </c>
    </row>
    <row r="6660" spans="1:9" x14ac:dyDescent="0.2">
      <c r="A6660" s="134">
        <v>45787</v>
      </c>
      <c r="B6660" s="135">
        <f>YEAR(source[[#This Row],[report_date]])</f>
        <v>2025</v>
      </c>
      <c r="C6660" s="128">
        <f t="shared" si="310"/>
        <v>5</v>
      </c>
      <c r="D6660" s="136">
        <f t="shared" si="312"/>
        <v>19</v>
      </c>
      <c r="E6660" s="136">
        <f t="shared" si="311"/>
        <v>10</v>
      </c>
      <c r="F6660" s="128" t="s">
        <v>24</v>
      </c>
      <c r="G6660" s="128" t="str">
        <f>VLOOKUP(source[[#This Row],[lending_product_transform]],[3]Mapping!$B$4:$C$37,2,0)</f>
        <v>[Cake] - Cashloan</v>
      </c>
      <c r="H6660" s="128" t="str">
        <f>VLOOKUP(source[[#This Row],[lending_product_transform]],[3]Mapping!$B$3:$D$37,3,0)</f>
        <v>cashloan</v>
      </c>
      <c r="I6660" s="135">
        <v>551129547</v>
      </c>
    </row>
    <row r="6661" spans="1:9" x14ac:dyDescent="0.2">
      <c r="A6661" s="134">
        <v>45788</v>
      </c>
      <c r="B6661" s="135">
        <f>YEAR(source[[#This Row],[report_date]])</f>
        <v>2025</v>
      </c>
      <c r="C6661" s="128">
        <f t="shared" si="310"/>
        <v>5</v>
      </c>
      <c r="D6661" s="136">
        <f t="shared" si="312"/>
        <v>19</v>
      </c>
      <c r="E6661" s="136">
        <f t="shared" si="311"/>
        <v>11</v>
      </c>
      <c r="F6661" s="128" t="s">
        <v>24</v>
      </c>
      <c r="G6661" s="128" t="str">
        <f>VLOOKUP(source[[#This Row],[lending_product_transform]],[3]Mapping!$B$4:$C$37,2,0)</f>
        <v>[Cake] - Cashloan</v>
      </c>
      <c r="H6661" s="128" t="str">
        <f>VLOOKUP(source[[#This Row],[lending_product_transform]],[3]Mapping!$B$3:$D$37,3,0)</f>
        <v>cashloan</v>
      </c>
      <c r="I6661" s="135">
        <v>6326530000</v>
      </c>
    </row>
    <row r="6662" spans="1:9" x14ac:dyDescent="0.2">
      <c r="A6662" s="134">
        <v>45788</v>
      </c>
      <c r="B6662" s="135">
        <f>YEAR(source[[#This Row],[report_date]])</f>
        <v>2025</v>
      </c>
      <c r="C6662" s="128">
        <f t="shared" si="310"/>
        <v>5</v>
      </c>
      <c r="D6662" s="136">
        <f t="shared" si="312"/>
        <v>19</v>
      </c>
      <c r="E6662" s="136">
        <f t="shared" si="311"/>
        <v>11</v>
      </c>
      <c r="F6662" s="128" t="s">
        <v>24</v>
      </c>
      <c r="G6662" s="128" t="str">
        <f>VLOOKUP(source[[#This Row],[lending_product_transform]],[3]Mapping!$B$4:$C$37,2,0)</f>
        <v>[Cake] - Cashloan</v>
      </c>
      <c r="H6662" s="128" t="str">
        <f>VLOOKUP(source[[#This Row],[lending_product_transform]],[3]Mapping!$B$3:$D$37,3,0)</f>
        <v>cashloan</v>
      </c>
      <c r="I6662" s="135">
        <v>5293944000</v>
      </c>
    </row>
    <row r="6663" spans="1:9" x14ac:dyDescent="0.2">
      <c r="A6663" s="134">
        <v>45788</v>
      </c>
      <c r="B6663" s="135">
        <f>YEAR(source[[#This Row],[report_date]])</f>
        <v>2025</v>
      </c>
      <c r="C6663" s="128">
        <f t="shared" si="310"/>
        <v>5</v>
      </c>
      <c r="D6663" s="136">
        <f t="shared" si="312"/>
        <v>19</v>
      </c>
      <c r="E6663" s="136">
        <f t="shared" si="311"/>
        <v>11</v>
      </c>
      <c r="F6663" s="128" t="s">
        <v>24</v>
      </c>
      <c r="G6663" s="128" t="str">
        <f>VLOOKUP(source[[#This Row],[lending_product_transform]],[3]Mapping!$B$4:$C$37,2,0)</f>
        <v>[Cake] - Cashloan</v>
      </c>
      <c r="H6663" s="128" t="str">
        <f>VLOOKUP(source[[#This Row],[lending_product_transform]],[3]Mapping!$B$3:$D$37,3,0)</f>
        <v>cashloan</v>
      </c>
      <c r="I6663" s="135">
        <v>8335560000</v>
      </c>
    </row>
    <row r="6664" spans="1:9" x14ac:dyDescent="0.2">
      <c r="A6664" s="134">
        <v>45788</v>
      </c>
      <c r="B6664" s="135">
        <f>YEAR(source[[#This Row],[report_date]])</f>
        <v>2025</v>
      </c>
      <c r="C6664" s="128">
        <f t="shared" si="310"/>
        <v>5</v>
      </c>
      <c r="D6664" s="136">
        <f t="shared" si="312"/>
        <v>19</v>
      </c>
      <c r="E6664" s="136">
        <f t="shared" si="311"/>
        <v>11</v>
      </c>
      <c r="F6664" s="128" t="s">
        <v>24</v>
      </c>
      <c r="G6664" s="128" t="str">
        <f>VLOOKUP(source[[#This Row],[lending_product_transform]],[3]Mapping!$B$4:$C$37,2,0)</f>
        <v>[Cake] - Cashloan</v>
      </c>
      <c r="H6664" s="128" t="str">
        <f>VLOOKUP(source[[#This Row],[lending_product_transform]],[3]Mapping!$B$3:$D$37,3,0)</f>
        <v>cashloan</v>
      </c>
      <c r="I6664" s="135">
        <v>0</v>
      </c>
    </row>
    <row r="6665" spans="1:9" x14ac:dyDescent="0.2">
      <c r="A6665" s="134">
        <v>45788</v>
      </c>
      <c r="B6665" s="135">
        <f>YEAR(source[[#This Row],[report_date]])</f>
        <v>2025</v>
      </c>
      <c r="C6665" s="128">
        <f t="shared" si="310"/>
        <v>5</v>
      </c>
      <c r="D6665" s="136">
        <f t="shared" si="312"/>
        <v>19</v>
      </c>
      <c r="E6665" s="136">
        <f t="shared" si="311"/>
        <v>11</v>
      </c>
      <c r="F6665" s="128" t="s">
        <v>24</v>
      </c>
      <c r="G6665" s="128" t="str">
        <f>VLOOKUP(source[[#This Row],[lending_product_transform]],[3]Mapping!$B$4:$C$37,2,0)</f>
        <v>[Cake] - Cashloan</v>
      </c>
      <c r="H6665" s="128" t="str">
        <f>VLOOKUP(source[[#This Row],[lending_product_transform]],[3]Mapping!$B$3:$D$37,3,0)</f>
        <v>cashloan</v>
      </c>
      <c r="I6665" s="135">
        <v>12000000</v>
      </c>
    </row>
    <row r="6666" spans="1:9" x14ac:dyDescent="0.2">
      <c r="A6666" s="134">
        <v>45788</v>
      </c>
      <c r="B6666" s="135">
        <f>YEAR(source[[#This Row],[report_date]])</f>
        <v>2025</v>
      </c>
      <c r="C6666" s="128">
        <f t="shared" si="310"/>
        <v>5</v>
      </c>
      <c r="D6666" s="136">
        <f t="shared" si="312"/>
        <v>19</v>
      </c>
      <c r="E6666" s="136">
        <f t="shared" si="311"/>
        <v>11</v>
      </c>
      <c r="F6666" s="128" t="s">
        <v>24</v>
      </c>
      <c r="G6666" s="128" t="str">
        <f>VLOOKUP(source[[#This Row],[lending_product_transform]],[3]Mapping!$B$4:$C$37,2,0)</f>
        <v>[Cake] - Cashloan</v>
      </c>
      <c r="H6666" s="128" t="str">
        <f>VLOOKUP(source[[#This Row],[lending_product_transform]],[3]Mapping!$B$3:$D$37,3,0)</f>
        <v>cashloan</v>
      </c>
      <c r="I6666" s="135">
        <v>2808866</v>
      </c>
    </row>
    <row r="6667" spans="1:9" x14ac:dyDescent="0.2">
      <c r="A6667" s="134">
        <v>45788</v>
      </c>
      <c r="B6667" s="135">
        <f>YEAR(source[[#This Row],[report_date]])</f>
        <v>2025</v>
      </c>
      <c r="C6667" s="128">
        <f t="shared" si="310"/>
        <v>5</v>
      </c>
      <c r="D6667" s="136">
        <f t="shared" si="312"/>
        <v>19</v>
      </c>
      <c r="E6667" s="136">
        <f t="shared" si="311"/>
        <v>11</v>
      </c>
      <c r="F6667" s="128" t="s">
        <v>24</v>
      </c>
      <c r="G6667" s="128" t="str">
        <f>VLOOKUP(source[[#This Row],[lending_product_transform]],[3]Mapping!$B$4:$C$37,2,0)</f>
        <v>[Cake] - Cashloan</v>
      </c>
      <c r="H6667" s="128" t="str">
        <f>VLOOKUP(source[[#This Row],[lending_product_transform]],[3]Mapping!$B$3:$D$37,3,0)</f>
        <v>cashloan</v>
      </c>
      <c r="I6667" s="135">
        <v>0</v>
      </c>
    </row>
    <row r="6668" spans="1:9" x14ac:dyDescent="0.2">
      <c r="A6668" s="134">
        <v>45788</v>
      </c>
      <c r="B6668" s="135">
        <f>YEAR(source[[#This Row],[report_date]])</f>
        <v>2025</v>
      </c>
      <c r="C6668" s="128">
        <f t="shared" si="310"/>
        <v>5</v>
      </c>
      <c r="D6668" s="136">
        <f t="shared" si="312"/>
        <v>19</v>
      </c>
      <c r="E6668" s="136">
        <f t="shared" si="311"/>
        <v>11</v>
      </c>
      <c r="F6668" s="128" t="s">
        <v>24</v>
      </c>
      <c r="G6668" s="128" t="str">
        <f>VLOOKUP(source[[#This Row],[lending_product_transform]],[3]Mapping!$B$4:$C$37,2,0)</f>
        <v>[Cake] - Cashloan</v>
      </c>
      <c r="H6668" s="128" t="str">
        <f>VLOOKUP(source[[#This Row],[lending_product_transform]],[3]Mapping!$B$3:$D$37,3,0)</f>
        <v>cashloan</v>
      </c>
      <c r="I6668" s="135">
        <v>0</v>
      </c>
    </row>
    <row r="6669" spans="1:9" x14ac:dyDescent="0.2">
      <c r="A6669" s="134">
        <v>45788</v>
      </c>
      <c r="B6669" s="135">
        <f>YEAR(source[[#This Row],[report_date]])</f>
        <v>2025</v>
      </c>
      <c r="C6669" s="128">
        <f t="shared" si="310"/>
        <v>5</v>
      </c>
      <c r="D6669" s="136">
        <f t="shared" si="312"/>
        <v>19</v>
      </c>
      <c r="E6669" s="136">
        <f t="shared" si="311"/>
        <v>11</v>
      </c>
      <c r="F6669" s="128" t="s">
        <v>24</v>
      </c>
      <c r="G6669" s="128" t="str">
        <f>VLOOKUP(source[[#This Row],[lending_product_transform]],[3]Mapping!$B$4:$C$37,2,0)</f>
        <v>[Cake] - Cashloan</v>
      </c>
      <c r="H6669" s="128" t="str">
        <f>VLOOKUP(source[[#This Row],[lending_product_transform]],[3]Mapping!$B$3:$D$37,3,0)</f>
        <v>cashloan</v>
      </c>
      <c r="I6669" s="135">
        <v>0</v>
      </c>
    </row>
    <row r="6670" spans="1:9" x14ac:dyDescent="0.2">
      <c r="A6670" s="134">
        <v>45788</v>
      </c>
      <c r="B6670" s="135">
        <f>YEAR(source[[#This Row],[report_date]])</f>
        <v>2025</v>
      </c>
      <c r="C6670" s="128">
        <f t="shared" si="310"/>
        <v>5</v>
      </c>
      <c r="D6670" s="136">
        <f t="shared" si="312"/>
        <v>19</v>
      </c>
      <c r="E6670" s="136">
        <f t="shared" si="311"/>
        <v>11</v>
      </c>
      <c r="F6670" s="128" t="s">
        <v>24</v>
      </c>
      <c r="G6670" s="128" t="str">
        <f>VLOOKUP(source[[#This Row],[lending_product_transform]],[3]Mapping!$B$4:$C$37,2,0)</f>
        <v>[Cake] - Cashloan</v>
      </c>
      <c r="H6670" s="128" t="str">
        <f>VLOOKUP(source[[#This Row],[lending_product_transform]],[3]Mapping!$B$3:$D$37,3,0)</f>
        <v>cashloan</v>
      </c>
      <c r="I6670" s="135">
        <v>0</v>
      </c>
    </row>
    <row r="6671" spans="1:9" x14ac:dyDescent="0.2">
      <c r="A6671" s="134">
        <v>45788</v>
      </c>
      <c r="B6671" s="135">
        <f>YEAR(source[[#This Row],[report_date]])</f>
        <v>2025</v>
      </c>
      <c r="C6671" s="128">
        <f t="shared" si="310"/>
        <v>5</v>
      </c>
      <c r="D6671" s="136">
        <f t="shared" si="312"/>
        <v>19</v>
      </c>
      <c r="E6671" s="136">
        <f t="shared" si="311"/>
        <v>11</v>
      </c>
      <c r="F6671" s="128" t="s">
        <v>24</v>
      </c>
      <c r="G6671" s="128" t="str">
        <f>VLOOKUP(source[[#This Row],[lending_product_transform]],[3]Mapping!$B$4:$C$37,2,0)</f>
        <v>[Cake] - Cashloan</v>
      </c>
      <c r="H6671" s="128" t="str">
        <f>VLOOKUP(source[[#This Row],[lending_product_transform]],[3]Mapping!$B$3:$D$37,3,0)</f>
        <v>cashloan</v>
      </c>
      <c r="I6671" s="135">
        <v>36000000</v>
      </c>
    </row>
    <row r="6672" spans="1:9" x14ac:dyDescent="0.2">
      <c r="A6672" s="134">
        <v>45788</v>
      </c>
      <c r="B6672" s="135">
        <f>YEAR(source[[#This Row],[report_date]])</f>
        <v>2025</v>
      </c>
      <c r="C6672" s="128">
        <f t="shared" si="310"/>
        <v>5</v>
      </c>
      <c r="D6672" s="136">
        <f t="shared" si="312"/>
        <v>19</v>
      </c>
      <c r="E6672" s="136">
        <f t="shared" si="311"/>
        <v>11</v>
      </c>
      <c r="F6672" s="128" t="s">
        <v>24</v>
      </c>
      <c r="G6672" s="128" t="str">
        <f>VLOOKUP(source[[#This Row],[lending_product_transform]],[3]Mapping!$B$4:$C$37,2,0)</f>
        <v>[Cake] - Cashloan</v>
      </c>
      <c r="H6672" s="128" t="str">
        <f>VLOOKUP(source[[#This Row],[lending_product_transform]],[3]Mapping!$B$3:$D$37,3,0)</f>
        <v>cashloan</v>
      </c>
      <c r="I6672" s="135">
        <v>0</v>
      </c>
    </row>
    <row r="6673" spans="1:9" x14ac:dyDescent="0.2">
      <c r="A6673" s="134">
        <v>45788</v>
      </c>
      <c r="B6673" s="135">
        <f>YEAR(source[[#This Row],[report_date]])</f>
        <v>2025</v>
      </c>
      <c r="C6673" s="128">
        <f t="shared" si="310"/>
        <v>5</v>
      </c>
      <c r="D6673" s="136">
        <f t="shared" si="312"/>
        <v>19</v>
      </c>
      <c r="E6673" s="136">
        <f t="shared" si="311"/>
        <v>11</v>
      </c>
      <c r="F6673" s="128" t="s">
        <v>24</v>
      </c>
      <c r="G6673" s="128" t="str">
        <f>VLOOKUP(source[[#This Row],[lending_product_transform]],[3]Mapping!$B$4:$C$37,2,0)</f>
        <v>[Cake] - Cashloan</v>
      </c>
      <c r="H6673" s="128" t="str">
        <f>VLOOKUP(source[[#This Row],[lending_product_transform]],[3]Mapping!$B$3:$D$37,3,0)</f>
        <v>cashloan</v>
      </c>
      <c r="I6673" s="135">
        <v>494880000</v>
      </c>
    </row>
    <row r="6674" spans="1:9" x14ac:dyDescent="0.2">
      <c r="A6674" s="134">
        <v>45788</v>
      </c>
      <c r="B6674" s="135">
        <f>YEAR(source[[#This Row],[report_date]])</f>
        <v>2025</v>
      </c>
      <c r="C6674" s="128">
        <f t="shared" si="310"/>
        <v>5</v>
      </c>
      <c r="D6674" s="136">
        <f t="shared" si="312"/>
        <v>19</v>
      </c>
      <c r="E6674" s="136">
        <f t="shared" si="311"/>
        <v>11</v>
      </c>
      <c r="F6674" s="128" t="s">
        <v>24</v>
      </c>
      <c r="G6674" s="128" t="str">
        <f>VLOOKUP(source[[#This Row],[lending_product_transform]],[3]Mapping!$B$4:$C$37,2,0)</f>
        <v>[Cake] - Cashloan</v>
      </c>
      <c r="H6674" s="128" t="str">
        <f>VLOOKUP(source[[#This Row],[lending_product_transform]],[3]Mapping!$B$3:$D$37,3,0)</f>
        <v>cashloan</v>
      </c>
      <c r="I6674" s="135">
        <v>1241740000</v>
      </c>
    </row>
    <row r="6675" spans="1:9" x14ac:dyDescent="0.2">
      <c r="A6675" s="134">
        <v>45788</v>
      </c>
      <c r="B6675" s="135">
        <f>YEAR(source[[#This Row],[report_date]])</f>
        <v>2025</v>
      </c>
      <c r="C6675" s="128">
        <f t="shared" si="310"/>
        <v>5</v>
      </c>
      <c r="D6675" s="136">
        <f t="shared" si="312"/>
        <v>19</v>
      </c>
      <c r="E6675" s="136">
        <f t="shared" si="311"/>
        <v>11</v>
      </c>
      <c r="F6675" s="128" t="s">
        <v>24</v>
      </c>
      <c r="G6675" s="128" t="str">
        <f>VLOOKUP(source[[#This Row],[lending_product_transform]],[3]Mapping!$B$4:$C$37,2,0)</f>
        <v>[Cake] - Cashloan</v>
      </c>
      <c r="H6675" s="128" t="str">
        <f>VLOOKUP(source[[#This Row],[lending_product_transform]],[3]Mapping!$B$3:$D$37,3,0)</f>
        <v>cashloan</v>
      </c>
      <c r="I6675" s="135">
        <v>0</v>
      </c>
    </row>
    <row r="6676" spans="1:9" x14ac:dyDescent="0.2">
      <c r="A6676" s="134">
        <v>45788</v>
      </c>
      <c r="B6676" s="135">
        <f>YEAR(source[[#This Row],[report_date]])</f>
        <v>2025</v>
      </c>
      <c r="C6676" s="128">
        <f t="shared" si="310"/>
        <v>5</v>
      </c>
      <c r="D6676" s="136">
        <f t="shared" si="312"/>
        <v>19</v>
      </c>
      <c r="E6676" s="136">
        <f t="shared" si="311"/>
        <v>11</v>
      </c>
      <c r="F6676" s="128" t="s">
        <v>24</v>
      </c>
      <c r="G6676" s="128" t="str">
        <f>VLOOKUP(source[[#This Row],[lending_product_transform]],[3]Mapping!$B$4:$C$37,2,0)</f>
        <v>[Cake] - Cashloan</v>
      </c>
      <c r="H6676" s="128" t="str">
        <f>VLOOKUP(source[[#This Row],[lending_product_transform]],[3]Mapping!$B$3:$D$37,3,0)</f>
        <v>cashloan</v>
      </c>
      <c r="I6676" s="135">
        <v>235861316</v>
      </c>
    </row>
    <row r="6677" spans="1:9" x14ac:dyDescent="0.2">
      <c r="A6677" s="134">
        <v>45788</v>
      </c>
      <c r="B6677" s="135">
        <f>YEAR(source[[#This Row],[report_date]])</f>
        <v>2025</v>
      </c>
      <c r="C6677" s="128">
        <f t="shared" si="310"/>
        <v>5</v>
      </c>
      <c r="D6677" s="136">
        <f t="shared" si="312"/>
        <v>19</v>
      </c>
      <c r="E6677" s="136">
        <f t="shared" si="311"/>
        <v>11</v>
      </c>
      <c r="F6677" s="128" t="s">
        <v>24</v>
      </c>
      <c r="G6677" s="128" t="str">
        <f>VLOOKUP(source[[#This Row],[lending_product_transform]],[3]Mapping!$B$4:$C$37,2,0)</f>
        <v>[Cake] - Cashloan</v>
      </c>
      <c r="H6677" s="128" t="str">
        <f>VLOOKUP(source[[#This Row],[lending_product_transform]],[3]Mapping!$B$3:$D$37,3,0)</f>
        <v>cashloan</v>
      </c>
      <c r="I6677" s="135">
        <v>410398901</v>
      </c>
    </row>
    <row r="6678" spans="1:9" x14ac:dyDescent="0.2">
      <c r="A6678" s="134">
        <v>45788</v>
      </c>
      <c r="B6678" s="135">
        <f>YEAR(source[[#This Row],[report_date]])</f>
        <v>2025</v>
      </c>
      <c r="C6678" s="128">
        <f t="shared" si="310"/>
        <v>5</v>
      </c>
      <c r="D6678" s="136">
        <f t="shared" si="312"/>
        <v>19</v>
      </c>
      <c r="E6678" s="136">
        <f t="shared" si="311"/>
        <v>11</v>
      </c>
      <c r="F6678" s="128" t="s">
        <v>24</v>
      </c>
      <c r="G6678" s="128" t="str">
        <f>VLOOKUP(source[[#This Row],[lending_product_transform]],[3]Mapping!$B$4:$C$37,2,0)</f>
        <v>[Cake] - Cashloan</v>
      </c>
      <c r="H6678" s="128" t="str">
        <f>VLOOKUP(source[[#This Row],[lending_product_transform]],[3]Mapping!$B$3:$D$37,3,0)</f>
        <v>cashloan</v>
      </c>
      <c r="I6678" s="135">
        <v>3003863867</v>
      </c>
    </row>
    <row r="6679" spans="1:9" x14ac:dyDescent="0.2">
      <c r="A6679" s="134">
        <v>45788</v>
      </c>
      <c r="B6679" s="135">
        <f>YEAR(source[[#This Row],[report_date]])</f>
        <v>2025</v>
      </c>
      <c r="C6679" s="128">
        <f t="shared" si="310"/>
        <v>5</v>
      </c>
      <c r="D6679" s="136">
        <f t="shared" si="312"/>
        <v>19</v>
      </c>
      <c r="E6679" s="136">
        <f t="shared" si="311"/>
        <v>11</v>
      </c>
      <c r="F6679" s="128" t="s">
        <v>24</v>
      </c>
      <c r="G6679" s="128" t="str">
        <f>VLOOKUP(source[[#This Row],[lending_product_transform]],[3]Mapping!$B$4:$C$37,2,0)</f>
        <v>[Cake] - Cashloan</v>
      </c>
      <c r="H6679" s="128" t="str">
        <f>VLOOKUP(source[[#This Row],[lending_product_transform]],[3]Mapping!$B$3:$D$37,3,0)</f>
        <v>cashloan</v>
      </c>
      <c r="I6679" s="135">
        <v>391676933</v>
      </c>
    </row>
    <row r="6680" spans="1:9" x14ac:dyDescent="0.2">
      <c r="A6680" s="134">
        <v>45789</v>
      </c>
      <c r="B6680" s="135">
        <f>YEAR(source[[#This Row],[report_date]])</f>
        <v>2025</v>
      </c>
      <c r="C6680" s="128">
        <f t="shared" si="310"/>
        <v>5</v>
      </c>
      <c r="D6680" s="136">
        <f t="shared" si="312"/>
        <v>20</v>
      </c>
      <c r="E6680" s="136">
        <f t="shared" si="311"/>
        <v>12</v>
      </c>
      <c r="F6680" s="128" t="s">
        <v>24</v>
      </c>
      <c r="G6680" s="128" t="str">
        <f>VLOOKUP(source[[#This Row],[lending_product_transform]],[3]Mapping!$B$4:$C$37,2,0)</f>
        <v>[Cake] - Cashloan</v>
      </c>
      <c r="H6680" s="128" t="str">
        <f>VLOOKUP(source[[#This Row],[lending_product_transform]],[3]Mapping!$B$3:$D$37,3,0)</f>
        <v>cashloan</v>
      </c>
      <c r="I6680" s="135">
        <v>5774652000</v>
      </c>
    </row>
    <row r="6681" spans="1:9" x14ac:dyDescent="0.2">
      <c r="A6681" s="134">
        <v>45789</v>
      </c>
      <c r="B6681" s="135">
        <f>YEAR(source[[#This Row],[report_date]])</f>
        <v>2025</v>
      </c>
      <c r="C6681" s="128">
        <f t="shared" si="310"/>
        <v>5</v>
      </c>
      <c r="D6681" s="136">
        <f t="shared" si="312"/>
        <v>20</v>
      </c>
      <c r="E6681" s="136">
        <f t="shared" si="311"/>
        <v>12</v>
      </c>
      <c r="F6681" s="128" t="s">
        <v>24</v>
      </c>
      <c r="G6681" s="128" t="str">
        <f>VLOOKUP(source[[#This Row],[lending_product_transform]],[3]Mapping!$B$4:$C$37,2,0)</f>
        <v>[Cake] - Cashloan</v>
      </c>
      <c r="H6681" s="128" t="str">
        <f>VLOOKUP(source[[#This Row],[lending_product_transform]],[3]Mapping!$B$3:$D$37,3,0)</f>
        <v>cashloan</v>
      </c>
      <c r="I6681" s="135">
        <v>8904910000</v>
      </c>
    </row>
    <row r="6682" spans="1:9" x14ac:dyDescent="0.2">
      <c r="A6682" s="134">
        <v>45789</v>
      </c>
      <c r="B6682" s="135">
        <f>YEAR(source[[#This Row],[report_date]])</f>
        <v>2025</v>
      </c>
      <c r="C6682" s="128">
        <f t="shared" si="310"/>
        <v>5</v>
      </c>
      <c r="D6682" s="136">
        <f t="shared" si="312"/>
        <v>20</v>
      </c>
      <c r="E6682" s="136">
        <f t="shared" si="311"/>
        <v>12</v>
      </c>
      <c r="F6682" s="128" t="s">
        <v>24</v>
      </c>
      <c r="G6682" s="128" t="str">
        <f>VLOOKUP(source[[#This Row],[lending_product_transform]],[3]Mapping!$B$4:$C$37,2,0)</f>
        <v>[Cake] - Cashloan</v>
      </c>
      <c r="H6682" s="128" t="str">
        <f>VLOOKUP(source[[#This Row],[lending_product_transform]],[3]Mapping!$B$3:$D$37,3,0)</f>
        <v>cashloan</v>
      </c>
      <c r="I6682" s="135">
        <v>7488660000</v>
      </c>
    </row>
    <row r="6683" spans="1:9" x14ac:dyDescent="0.2">
      <c r="A6683" s="134">
        <v>45789</v>
      </c>
      <c r="B6683" s="135">
        <f>YEAR(source[[#This Row],[report_date]])</f>
        <v>2025</v>
      </c>
      <c r="C6683" s="128">
        <f t="shared" si="310"/>
        <v>5</v>
      </c>
      <c r="D6683" s="136">
        <f t="shared" si="312"/>
        <v>20</v>
      </c>
      <c r="E6683" s="136">
        <f t="shared" si="311"/>
        <v>12</v>
      </c>
      <c r="F6683" s="128" t="s">
        <v>24</v>
      </c>
      <c r="G6683" s="128" t="str">
        <f>VLOOKUP(source[[#This Row],[lending_product_transform]],[3]Mapping!$B$4:$C$37,2,0)</f>
        <v>[Cake] - Cashloan</v>
      </c>
      <c r="H6683" s="128" t="str">
        <f>VLOOKUP(source[[#This Row],[lending_product_transform]],[3]Mapping!$B$3:$D$37,3,0)</f>
        <v>cashloan</v>
      </c>
      <c r="I6683" s="135">
        <v>94000000</v>
      </c>
    </row>
    <row r="6684" spans="1:9" x14ac:dyDescent="0.2">
      <c r="A6684" s="134">
        <v>45789</v>
      </c>
      <c r="B6684" s="135">
        <f>YEAR(source[[#This Row],[report_date]])</f>
        <v>2025</v>
      </c>
      <c r="C6684" s="128">
        <f t="shared" si="310"/>
        <v>5</v>
      </c>
      <c r="D6684" s="136">
        <f t="shared" si="312"/>
        <v>20</v>
      </c>
      <c r="E6684" s="136">
        <f t="shared" si="311"/>
        <v>12</v>
      </c>
      <c r="F6684" s="128" t="s">
        <v>24</v>
      </c>
      <c r="G6684" s="128" t="str">
        <f>VLOOKUP(source[[#This Row],[lending_product_transform]],[3]Mapping!$B$4:$C$37,2,0)</f>
        <v>[Cake] - Cashloan</v>
      </c>
      <c r="H6684" s="128" t="str">
        <f>VLOOKUP(source[[#This Row],[lending_product_transform]],[3]Mapping!$B$3:$D$37,3,0)</f>
        <v>cashloan</v>
      </c>
      <c r="I6684" s="135">
        <v>27700180</v>
      </c>
    </row>
    <row r="6685" spans="1:9" x14ac:dyDescent="0.2">
      <c r="A6685" s="134">
        <v>45789</v>
      </c>
      <c r="B6685" s="135">
        <f>YEAR(source[[#This Row],[report_date]])</f>
        <v>2025</v>
      </c>
      <c r="C6685" s="128">
        <f t="shared" si="310"/>
        <v>5</v>
      </c>
      <c r="D6685" s="136">
        <f t="shared" si="312"/>
        <v>20</v>
      </c>
      <c r="E6685" s="136">
        <f t="shared" si="311"/>
        <v>12</v>
      </c>
      <c r="F6685" s="128" t="s">
        <v>24</v>
      </c>
      <c r="G6685" s="128" t="str">
        <f>VLOOKUP(source[[#This Row],[lending_product_transform]],[3]Mapping!$B$4:$C$37,2,0)</f>
        <v>[Cake] - Cashloan</v>
      </c>
      <c r="H6685" s="128" t="str">
        <f>VLOOKUP(source[[#This Row],[lending_product_transform]],[3]Mapping!$B$3:$D$37,3,0)</f>
        <v>cashloan</v>
      </c>
      <c r="I6685" s="135">
        <v>0</v>
      </c>
    </row>
    <row r="6686" spans="1:9" x14ac:dyDescent="0.2">
      <c r="A6686" s="134">
        <v>45789</v>
      </c>
      <c r="B6686" s="135">
        <f>YEAR(source[[#This Row],[report_date]])</f>
        <v>2025</v>
      </c>
      <c r="C6686" s="128">
        <f t="shared" si="310"/>
        <v>5</v>
      </c>
      <c r="D6686" s="136">
        <f t="shared" si="312"/>
        <v>20</v>
      </c>
      <c r="E6686" s="136">
        <f t="shared" si="311"/>
        <v>12</v>
      </c>
      <c r="F6686" s="128" t="s">
        <v>24</v>
      </c>
      <c r="G6686" s="128" t="str">
        <f>VLOOKUP(source[[#This Row],[lending_product_transform]],[3]Mapping!$B$4:$C$37,2,0)</f>
        <v>[Cake] - Cashloan</v>
      </c>
      <c r="H6686" s="128" t="str">
        <f>VLOOKUP(source[[#This Row],[lending_product_transform]],[3]Mapping!$B$3:$D$37,3,0)</f>
        <v>cashloan</v>
      </c>
      <c r="I6686" s="135">
        <v>0</v>
      </c>
    </row>
    <row r="6687" spans="1:9" x14ac:dyDescent="0.2">
      <c r="A6687" s="134">
        <v>45789</v>
      </c>
      <c r="B6687" s="135">
        <f>YEAR(source[[#This Row],[report_date]])</f>
        <v>2025</v>
      </c>
      <c r="C6687" s="128">
        <f t="shared" si="310"/>
        <v>5</v>
      </c>
      <c r="D6687" s="136">
        <f t="shared" si="312"/>
        <v>20</v>
      </c>
      <c r="E6687" s="136">
        <f t="shared" si="311"/>
        <v>12</v>
      </c>
      <c r="F6687" s="128" t="s">
        <v>24</v>
      </c>
      <c r="G6687" s="128" t="str">
        <f>VLOOKUP(source[[#This Row],[lending_product_transform]],[3]Mapping!$B$4:$C$37,2,0)</f>
        <v>[Cake] - Cashloan</v>
      </c>
      <c r="H6687" s="128" t="str">
        <f>VLOOKUP(source[[#This Row],[lending_product_transform]],[3]Mapping!$B$3:$D$37,3,0)</f>
        <v>cashloan</v>
      </c>
      <c r="I6687" s="135">
        <v>0</v>
      </c>
    </row>
    <row r="6688" spans="1:9" x14ac:dyDescent="0.2">
      <c r="A6688" s="134">
        <v>45789</v>
      </c>
      <c r="B6688" s="135">
        <f>YEAR(source[[#This Row],[report_date]])</f>
        <v>2025</v>
      </c>
      <c r="C6688" s="128">
        <f t="shared" si="310"/>
        <v>5</v>
      </c>
      <c r="D6688" s="136">
        <f t="shared" si="312"/>
        <v>20</v>
      </c>
      <c r="E6688" s="136">
        <f t="shared" si="311"/>
        <v>12</v>
      </c>
      <c r="F6688" s="128" t="s">
        <v>24</v>
      </c>
      <c r="G6688" s="128" t="str">
        <f>VLOOKUP(source[[#This Row],[lending_product_transform]],[3]Mapping!$B$4:$C$37,2,0)</f>
        <v>[Cake] - Cashloan</v>
      </c>
      <c r="H6688" s="128" t="str">
        <f>VLOOKUP(source[[#This Row],[lending_product_transform]],[3]Mapping!$B$3:$D$37,3,0)</f>
        <v>cashloan</v>
      </c>
      <c r="I6688" s="135">
        <v>42000000</v>
      </c>
    </row>
    <row r="6689" spans="1:9" x14ac:dyDescent="0.2">
      <c r="A6689" s="134">
        <v>45789</v>
      </c>
      <c r="B6689" s="135">
        <f>YEAR(source[[#This Row],[report_date]])</f>
        <v>2025</v>
      </c>
      <c r="C6689" s="128">
        <f t="shared" si="310"/>
        <v>5</v>
      </c>
      <c r="D6689" s="136">
        <f t="shared" si="312"/>
        <v>20</v>
      </c>
      <c r="E6689" s="136">
        <f t="shared" si="311"/>
        <v>12</v>
      </c>
      <c r="F6689" s="128" t="s">
        <v>24</v>
      </c>
      <c r="G6689" s="128" t="str">
        <f>VLOOKUP(source[[#This Row],[lending_product_transform]],[3]Mapping!$B$4:$C$37,2,0)</f>
        <v>[Cake] - Cashloan</v>
      </c>
      <c r="H6689" s="128" t="str">
        <f>VLOOKUP(source[[#This Row],[lending_product_transform]],[3]Mapping!$B$3:$D$37,3,0)</f>
        <v>cashloan</v>
      </c>
      <c r="I6689" s="135">
        <v>36000000</v>
      </c>
    </row>
    <row r="6690" spans="1:9" x14ac:dyDescent="0.2">
      <c r="A6690" s="134">
        <v>45789</v>
      </c>
      <c r="B6690" s="135">
        <f>YEAR(source[[#This Row],[report_date]])</f>
        <v>2025</v>
      </c>
      <c r="C6690" s="128">
        <f t="shared" si="310"/>
        <v>5</v>
      </c>
      <c r="D6690" s="136">
        <f t="shared" si="312"/>
        <v>20</v>
      </c>
      <c r="E6690" s="136">
        <f t="shared" si="311"/>
        <v>12</v>
      </c>
      <c r="F6690" s="128" t="s">
        <v>24</v>
      </c>
      <c r="G6690" s="128" t="str">
        <f>VLOOKUP(source[[#This Row],[lending_product_transform]],[3]Mapping!$B$4:$C$37,2,0)</f>
        <v>[Cake] - Cashloan</v>
      </c>
      <c r="H6690" s="128" t="str">
        <f>VLOOKUP(source[[#This Row],[lending_product_transform]],[3]Mapping!$B$3:$D$37,3,0)</f>
        <v>cashloan</v>
      </c>
      <c r="I6690" s="135">
        <v>0</v>
      </c>
    </row>
    <row r="6691" spans="1:9" x14ac:dyDescent="0.2">
      <c r="A6691" s="134">
        <v>45789</v>
      </c>
      <c r="B6691" s="135">
        <f>YEAR(source[[#This Row],[report_date]])</f>
        <v>2025</v>
      </c>
      <c r="C6691" s="128">
        <f t="shared" si="310"/>
        <v>5</v>
      </c>
      <c r="D6691" s="136">
        <f t="shared" si="312"/>
        <v>20</v>
      </c>
      <c r="E6691" s="136">
        <f t="shared" si="311"/>
        <v>12</v>
      </c>
      <c r="F6691" s="128" t="s">
        <v>24</v>
      </c>
      <c r="G6691" s="128" t="str">
        <f>VLOOKUP(source[[#This Row],[lending_product_transform]],[3]Mapping!$B$4:$C$37,2,0)</f>
        <v>[Cake] - Cashloan</v>
      </c>
      <c r="H6691" s="128" t="str">
        <f>VLOOKUP(source[[#This Row],[lending_product_transform]],[3]Mapping!$B$3:$D$37,3,0)</f>
        <v>cashloan</v>
      </c>
      <c r="I6691" s="135">
        <v>0</v>
      </c>
    </row>
    <row r="6692" spans="1:9" x14ac:dyDescent="0.2">
      <c r="A6692" s="134">
        <v>45789</v>
      </c>
      <c r="B6692" s="135">
        <f>YEAR(source[[#This Row],[report_date]])</f>
        <v>2025</v>
      </c>
      <c r="C6692" s="128">
        <f t="shared" si="310"/>
        <v>5</v>
      </c>
      <c r="D6692" s="136">
        <f t="shared" si="312"/>
        <v>20</v>
      </c>
      <c r="E6692" s="136">
        <f t="shared" si="311"/>
        <v>12</v>
      </c>
      <c r="F6692" s="128" t="s">
        <v>24</v>
      </c>
      <c r="G6692" s="128" t="str">
        <f>VLOOKUP(source[[#This Row],[lending_product_transform]],[3]Mapping!$B$4:$C$37,2,0)</f>
        <v>[Cake] - Cashloan</v>
      </c>
      <c r="H6692" s="128" t="str">
        <f>VLOOKUP(source[[#This Row],[lending_product_transform]],[3]Mapping!$B$3:$D$37,3,0)</f>
        <v>cashloan</v>
      </c>
      <c r="I6692" s="135">
        <v>959240000</v>
      </c>
    </row>
    <row r="6693" spans="1:9" x14ac:dyDescent="0.2">
      <c r="A6693" s="134">
        <v>45789</v>
      </c>
      <c r="B6693" s="135">
        <f>YEAR(source[[#This Row],[report_date]])</f>
        <v>2025</v>
      </c>
      <c r="C6693" s="128">
        <f t="shared" si="310"/>
        <v>5</v>
      </c>
      <c r="D6693" s="136">
        <f t="shared" si="312"/>
        <v>20</v>
      </c>
      <c r="E6693" s="136">
        <f t="shared" si="311"/>
        <v>12</v>
      </c>
      <c r="F6693" s="128" t="s">
        <v>24</v>
      </c>
      <c r="G6693" s="128" t="str">
        <f>VLOOKUP(source[[#This Row],[lending_product_transform]],[3]Mapping!$B$4:$C$37,2,0)</f>
        <v>[Cake] - Cashloan</v>
      </c>
      <c r="H6693" s="128" t="str">
        <f>VLOOKUP(source[[#This Row],[lending_product_transform]],[3]Mapping!$B$3:$D$37,3,0)</f>
        <v>cashloan</v>
      </c>
      <c r="I6693" s="135">
        <v>1238990000</v>
      </c>
    </row>
    <row r="6694" spans="1:9" x14ac:dyDescent="0.2">
      <c r="A6694" s="134">
        <v>45789</v>
      </c>
      <c r="B6694" s="135">
        <f>YEAR(source[[#This Row],[report_date]])</f>
        <v>2025</v>
      </c>
      <c r="C6694" s="128">
        <f t="shared" si="310"/>
        <v>5</v>
      </c>
      <c r="D6694" s="136">
        <f t="shared" si="312"/>
        <v>20</v>
      </c>
      <c r="E6694" s="136">
        <f t="shared" si="311"/>
        <v>12</v>
      </c>
      <c r="F6694" s="128" t="s">
        <v>24</v>
      </c>
      <c r="G6694" s="128" t="str">
        <f>VLOOKUP(source[[#This Row],[lending_product_transform]],[3]Mapping!$B$4:$C$37,2,0)</f>
        <v>[Cake] - Cashloan</v>
      </c>
      <c r="H6694" s="128" t="str">
        <f>VLOOKUP(source[[#This Row],[lending_product_transform]],[3]Mapping!$B$3:$D$37,3,0)</f>
        <v>cashloan</v>
      </c>
      <c r="I6694" s="135">
        <v>0</v>
      </c>
    </row>
    <row r="6695" spans="1:9" x14ac:dyDescent="0.2">
      <c r="A6695" s="134">
        <v>45789</v>
      </c>
      <c r="B6695" s="135">
        <f>YEAR(source[[#This Row],[report_date]])</f>
        <v>2025</v>
      </c>
      <c r="C6695" s="128">
        <f t="shared" si="310"/>
        <v>5</v>
      </c>
      <c r="D6695" s="136">
        <f t="shared" si="312"/>
        <v>20</v>
      </c>
      <c r="E6695" s="136">
        <f t="shared" si="311"/>
        <v>12</v>
      </c>
      <c r="F6695" s="128" t="s">
        <v>24</v>
      </c>
      <c r="G6695" s="128" t="str">
        <f>VLOOKUP(source[[#This Row],[lending_product_transform]],[3]Mapping!$B$4:$C$37,2,0)</f>
        <v>[Cake] - Cashloan</v>
      </c>
      <c r="H6695" s="128" t="str">
        <f>VLOOKUP(source[[#This Row],[lending_product_transform]],[3]Mapping!$B$3:$D$37,3,0)</f>
        <v>cashloan</v>
      </c>
      <c r="I6695" s="135">
        <v>203384969</v>
      </c>
    </row>
    <row r="6696" spans="1:9" x14ac:dyDescent="0.2">
      <c r="A6696" s="134">
        <v>45789</v>
      </c>
      <c r="B6696" s="135">
        <f>YEAR(source[[#This Row],[report_date]])</f>
        <v>2025</v>
      </c>
      <c r="C6696" s="128">
        <f t="shared" si="310"/>
        <v>5</v>
      </c>
      <c r="D6696" s="136">
        <f t="shared" si="312"/>
        <v>20</v>
      </c>
      <c r="E6696" s="136">
        <f t="shared" si="311"/>
        <v>12</v>
      </c>
      <c r="F6696" s="128" t="s">
        <v>24</v>
      </c>
      <c r="G6696" s="128" t="str">
        <f>VLOOKUP(source[[#This Row],[lending_product_transform]],[3]Mapping!$B$4:$C$37,2,0)</f>
        <v>[Cake] - Cashloan</v>
      </c>
      <c r="H6696" s="128" t="str">
        <f>VLOOKUP(source[[#This Row],[lending_product_transform]],[3]Mapping!$B$3:$D$37,3,0)</f>
        <v>cashloan</v>
      </c>
      <c r="I6696" s="135">
        <v>490473869</v>
      </c>
    </row>
    <row r="6697" spans="1:9" x14ac:dyDescent="0.2">
      <c r="A6697" s="134">
        <v>45789</v>
      </c>
      <c r="B6697" s="135">
        <f>YEAR(source[[#This Row],[report_date]])</f>
        <v>2025</v>
      </c>
      <c r="C6697" s="128">
        <f t="shared" si="310"/>
        <v>5</v>
      </c>
      <c r="D6697" s="136">
        <f t="shared" si="312"/>
        <v>20</v>
      </c>
      <c r="E6697" s="136">
        <f t="shared" si="311"/>
        <v>12</v>
      </c>
      <c r="F6697" s="128" t="s">
        <v>24</v>
      </c>
      <c r="G6697" s="128" t="str">
        <f>VLOOKUP(source[[#This Row],[lending_product_transform]],[3]Mapping!$B$4:$C$37,2,0)</f>
        <v>[Cake] - Cashloan</v>
      </c>
      <c r="H6697" s="128" t="str">
        <f>VLOOKUP(source[[#This Row],[lending_product_transform]],[3]Mapping!$B$3:$D$37,3,0)</f>
        <v>cashloan</v>
      </c>
      <c r="I6697" s="135">
        <v>3790545338</v>
      </c>
    </row>
    <row r="6698" spans="1:9" x14ac:dyDescent="0.2">
      <c r="A6698" s="134">
        <v>45789</v>
      </c>
      <c r="B6698" s="135">
        <f>YEAR(source[[#This Row],[report_date]])</f>
        <v>2025</v>
      </c>
      <c r="C6698" s="128">
        <f t="shared" si="310"/>
        <v>5</v>
      </c>
      <c r="D6698" s="136">
        <f t="shared" si="312"/>
        <v>20</v>
      </c>
      <c r="E6698" s="136">
        <f t="shared" si="311"/>
        <v>12</v>
      </c>
      <c r="F6698" s="128" t="s">
        <v>24</v>
      </c>
      <c r="G6698" s="128" t="str">
        <f>VLOOKUP(source[[#This Row],[lending_product_transform]],[3]Mapping!$B$4:$C$37,2,0)</f>
        <v>[Cake] - Cashloan</v>
      </c>
      <c r="H6698" s="128" t="str">
        <f>VLOOKUP(source[[#This Row],[lending_product_transform]],[3]Mapping!$B$3:$D$37,3,0)</f>
        <v>cashloan</v>
      </c>
      <c r="I6698" s="135">
        <v>393912460</v>
      </c>
    </row>
    <row r="6699" spans="1:9" x14ac:dyDescent="0.2">
      <c r="A6699" s="134">
        <v>45790</v>
      </c>
      <c r="B6699" s="135">
        <f>YEAR(source[[#This Row],[report_date]])</f>
        <v>2025</v>
      </c>
      <c r="C6699" s="128">
        <f t="shared" si="310"/>
        <v>5</v>
      </c>
      <c r="D6699" s="136">
        <f t="shared" si="312"/>
        <v>20</v>
      </c>
      <c r="E6699" s="136">
        <f t="shared" si="311"/>
        <v>13</v>
      </c>
      <c r="F6699" s="128" t="s">
        <v>24</v>
      </c>
      <c r="G6699" s="128" t="str">
        <f>VLOOKUP(source[[#This Row],[lending_product_transform]],[3]Mapping!$B$4:$C$37,2,0)</f>
        <v>[Cake] - Cashloan</v>
      </c>
      <c r="H6699" s="128" t="str">
        <f>VLOOKUP(source[[#This Row],[lending_product_transform]],[3]Mapping!$B$3:$D$37,3,0)</f>
        <v>cashloan</v>
      </c>
      <c r="I6699" s="135">
        <v>178306212</v>
      </c>
    </row>
    <row r="6700" spans="1:9" x14ac:dyDescent="0.2">
      <c r="A6700" s="134">
        <v>45790</v>
      </c>
      <c r="B6700" s="135">
        <f>YEAR(source[[#This Row],[report_date]])</f>
        <v>2025</v>
      </c>
      <c r="C6700" s="128">
        <f t="shared" si="310"/>
        <v>5</v>
      </c>
      <c r="D6700" s="136">
        <f t="shared" si="312"/>
        <v>20</v>
      </c>
      <c r="E6700" s="136">
        <f t="shared" si="311"/>
        <v>13</v>
      </c>
      <c r="F6700" s="128" t="s">
        <v>24</v>
      </c>
      <c r="G6700" s="128" t="str">
        <f>VLOOKUP(source[[#This Row],[lending_product_transform]],[3]Mapping!$B$4:$C$37,2,0)</f>
        <v>[Cake] - Cashloan</v>
      </c>
      <c r="H6700" s="128" t="str">
        <f>VLOOKUP(source[[#This Row],[lending_product_transform]],[3]Mapping!$B$3:$D$37,3,0)</f>
        <v>cashloan</v>
      </c>
      <c r="I6700" s="135">
        <v>410564387</v>
      </c>
    </row>
    <row r="6701" spans="1:9" x14ac:dyDescent="0.2">
      <c r="A6701" s="134">
        <v>45790</v>
      </c>
      <c r="B6701" s="135">
        <f>YEAR(source[[#This Row],[report_date]])</f>
        <v>2025</v>
      </c>
      <c r="C6701" s="128">
        <f t="shared" si="310"/>
        <v>5</v>
      </c>
      <c r="D6701" s="136">
        <f t="shared" si="312"/>
        <v>20</v>
      </c>
      <c r="E6701" s="136">
        <f t="shared" si="311"/>
        <v>13</v>
      </c>
      <c r="F6701" s="128" t="s">
        <v>24</v>
      </c>
      <c r="G6701" s="128" t="str">
        <f>VLOOKUP(source[[#This Row],[lending_product_transform]],[3]Mapping!$B$4:$C$37,2,0)</f>
        <v>[Cake] - Cashloan</v>
      </c>
      <c r="H6701" s="128" t="str">
        <f>VLOOKUP(source[[#This Row],[lending_product_transform]],[3]Mapping!$B$3:$D$37,3,0)</f>
        <v>cashloan</v>
      </c>
      <c r="I6701" s="135">
        <v>8227700000</v>
      </c>
    </row>
    <row r="6702" spans="1:9" x14ac:dyDescent="0.2">
      <c r="A6702" s="134">
        <v>45790</v>
      </c>
      <c r="B6702" s="135">
        <f>YEAR(source[[#This Row],[report_date]])</f>
        <v>2025</v>
      </c>
      <c r="C6702" s="128">
        <f t="shared" si="310"/>
        <v>5</v>
      </c>
      <c r="D6702" s="136">
        <f t="shared" si="312"/>
        <v>20</v>
      </c>
      <c r="E6702" s="136">
        <f t="shared" si="311"/>
        <v>13</v>
      </c>
      <c r="F6702" s="128" t="s">
        <v>24</v>
      </c>
      <c r="G6702" s="128" t="str">
        <f>VLOOKUP(source[[#This Row],[lending_product_transform]],[3]Mapping!$B$4:$C$37,2,0)</f>
        <v>[Cake] - Cashloan</v>
      </c>
      <c r="H6702" s="128" t="str">
        <f>VLOOKUP(source[[#This Row],[lending_product_transform]],[3]Mapping!$B$3:$D$37,3,0)</f>
        <v>cashloan</v>
      </c>
      <c r="I6702" s="135">
        <v>3423765456</v>
      </c>
    </row>
    <row r="6703" spans="1:9" x14ac:dyDescent="0.2">
      <c r="A6703" s="134">
        <v>45790</v>
      </c>
      <c r="B6703" s="135">
        <f>YEAR(source[[#This Row],[report_date]])</f>
        <v>2025</v>
      </c>
      <c r="C6703" s="128">
        <f t="shared" si="310"/>
        <v>5</v>
      </c>
      <c r="D6703" s="136">
        <f t="shared" si="312"/>
        <v>20</v>
      </c>
      <c r="E6703" s="136">
        <f t="shared" si="311"/>
        <v>13</v>
      </c>
      <c r="F6703" s="128" t="s">
        <v>24</v>
      </c>
      <c r="G6703" s="128" t="str">
        <f>VLOOKUP(source[[#This Row],[lending_product_transform]],[3]Mapping!$B$4:$C$37,2,0)</f>
        <v>[Cake] - Cashloan</v>
      </c>
      <c r="H6703" s="128" t="str">
        <f>VLOOKUP(source[[#This Row],[lending_product_transform]],[3]Mapping!$B$3:$D$37,3,0)</f>
        <v>cashloan</v>
      </c>
      <c r="I6703" s="135">
        <v>985210000</v>
      </c>
    </row>
    <row r="6704" spans="1:9" x14ac:dyDescent="0.2">
      <c r="A6704" s="134">
        <v>45790</v>
      </c>
      <c r="B6704" s="135">
        <f>YEAR(source[[#This Row],[report_date]])</f>
        <v>2025</v>
      </c>
      <c r="C6704" s="128">
        <f t="shared" si="310"/>
        <v>5</v>
      </c>
      <c r="D6704" s="136">
        <f t="shared" si="312"/>
        <v>20</v>
      </c>
      <c r="E6704" s="136">
        <f t="shared" si="311"/>
        <v>13</v>
      </c>
      <c r="F6704" s="128" t="s">
        <v>24</v>
      </c>
      <c r="G6704" s="128" t="str">
        <f>VLOOKUP(source[[#This Row],[lending_product_transform]],[3]Mapping!$B$4:$C$37,2,0)</f>
        <v>[Cake] - Cashloan</v>
      </c>
      <c r="H6704" s="128" t="str">
        <f>VLOOKUP(source[[#This Row],[lending_product_transform]],[3]Mapping!$B$3:$D$37,3,0)</f>
        <v>cashloan</v>
      </c>
      <c r="I6704" s="135">
        <v>365516589</v>
      </c>
    </row>
    <row r="6705" spans="1:9" x14ac:dyDescent="0.2">
      <c r="A6705" s="134">
        <v>45790</v>
      </c>
      <c r="B6705" s="135">
        <f>YEAR(source[[#This Row],[report_date]])</f>
        <v>2025</v>
      </c>
      <c r="C6705" s="128">
        <f t="shared" si="310"/>
        <v>5</v>
      </c>
      <c r="D6705" s="136">
        <f t="shared" si="312"/>
        <v>20</v>
      </c>
      <c r="E6705" s="136">
        <f t="shared" si="311"/>
        <v>13</v>
      </c>
      <c r="F6705" s="128" t="s">
        <v>24</v>
      </c>
      <c r="G6705" s="128" t="str">
        <f>VLOOKUP(source[[#This Row],[lending_product_transform]],[3]Mapping!$B$4:$C$37,2,0)</f>
        <v>[Cake] - Cashloan</v>
      </c>
      <c r="H6705" s="128" t="str">
        <f>VLOOKUP(source[[#This Row],[lending_product_transform]],[3]Mapping!$B$3:$D$37,3,0)</f>
        <v>cashloan</v>
      </c>
      <c r="I6705" s="135">
        <v>7051330000</v>
      </c>
    </row>
    <row r="6706" spans="1:9" x14ac:dyDescent="0.2">
      <c r="A6706" s="134">
        <v>45790</v>
      </c>
      <c r="B6706" s="135">
        <f>YEAR(source[[#This Row],[report_date]])</f>
        <v>2025</v>
      </c>
      <c r="C6706" s="128">
        <f t="shared" si="310"/>
        <v>5</v>
      </c>
      <c r="D6706" s="136">
        <f t="shared" si="312"/>
        <v>20</v>
      </c>
      <c r="E6706" s="136">
        <f t="shared" si="311"/>
        <v>13</v>
      </c>
      <c r="F6706" s="128" t="s">
        <v>24</v>
      </c>
      <c r="G6706" s="128" t="str">
        <f>VLOOKUP(source[[#This Row],[lending_product_transform]],[3]Mapping!$B$4:$C$37,2,0)</f>
        <v>[Cake] - Cashloan</v>
      </c>
      <c r="H6706" s="128" t="str">
        <f>VLOOKUP(source[[#This Row],[lending_product_transform]],[3]Mapping!$B$3:$D$37,3,0)</f>
        <v>cashloan</v>
      </c>
      <c r="I6706" s="135">
        <v>0</v>
      </c>
    </row>
    <row r="6707" spans="1:9" x14ac:dyDescent="0.2">
      <c r="A6707" s="134">
        <v>45790</v>
      </c>
      <c r="B6707" s="135">
        <f>YEAR(source[[#This Row],[report_date]])</f>
        <v>2025</v>
      </c>
      <c r="C6707" s="128">
        <f t="shared" si="310"/>
        <v>5</v>
      </c>
      <c r="D6707" s="136">
        <f t="shared" si="312"/>
        <v>20</v>
      </c>
      <c r="E6707" s="136">
        <f t="shared" si="311"/>
        <v>13</v>
      </c>
      <c r="F6707" s="128" t="s">
        <v>24</v>
      </c>
      <c r="G6707" s="128" t="str">
        <f>VLOOKUP(source[[#This Row],[lending_product_transform]],[3]Mapping!$B$4:$C$37,2,0)</f>
        <v>[Cake] - Cashloan</v>
      </c>
      <c r="H6707" s="128" t="str">
        <f>VLOOKUP(source[[#This Row],[lending_product_transform]],[3]Mapping!$B$3:$D$37,3,0)</f>
        <v>cashloan</v>
      </c>
      <c r="I6707" s="135">
        <v>0</v>
      </c>
    </row>
    <row r="6708" spans="1:9" x14ac:dyDescent="0.2">
      <c r="A6708" s="134">
        <v>45790</v>
      </c>
      <c r="B6708" s="135">
        <f>YEAR(source[[#This Row],[report_date]])</f>
        <v>2025</v>
      </c>
      <c r="C6708" s="128">
        <f t="shared" si="310"/>
        <v>5</v>
      </c>
      <c r="D6708" s="136">
        <f t="shared" si="312"/>
        <v>20</v>
      </c>
      <c r="E6708" s="136">
        <f t="shared" si="311"/>
        <v>13</v>
      </c>
      <c r="F6708" s="128" t="s">
        <v>24</v>
      </c>
      <c r="G6708" s="128" t="str">
        <f>VLOOKUP(source[[#This Row],[lending_product_transform]],[3]Mapping!$B$4:$C$37,2,0)</f>
        <v>[Cake] - Cashloan</v>
      </c>
      <c r="H6708" s="128" t="str">
        <f>VLOOKUP(source[[#This Row],[lending_product_transform]],[3]Mapping!$B$3:$D$37,3,0)</f>
        <v>cashloan</v>
      </c>
      <c r="I6708" s="135">
        <v>594000000</v>
      </c>
    </row>
    <row r="6709" spans="1:9" x14ac:dyDescent="0.2">
      <c r="A6709" s="134">
        <v>45790</v>
      </c>
      <c r="B6709" s="135">
        <f>YEAR(source[[#This Row],[report_date]])</f>
        <v>2025</v>
      </c>
      <c r="C6709" s="128">
        <f t="shared" si="310"/>
        <v>5</v>
      </c>
      <c r="D6709" s="136">
        <f t="shared" si="312"/>
        <v>20</v>
      </c>
      <c r="E6709" s="136">
        <f t="shared" si="311"/>
        <v>13</v>
      </c>
      <c r="F6709" s="128" t="s">
        <v>24</v>
      </c>
      <c r="G6709" s="128" t="str">
        <f>VLOOKUP(source[[#This Row],[lending_product_transform]],[3]Mapping!$B$4:$C$37,2,0)</f>
        <v>[Cake] - Cashloan</v>
      </c>
      <c r="H6709" s="128" t="str">
        <f>VLOOKUP(source[[#This Row],[lending_product_transform]],[3]Mapping!$B$3:$D$37,3,0)</f>
        <v>cashloan</v>
      </c>
      <c r="I6709" s="135">
        <v>25317378</v>
      </c>
    </row>
    <row r="6710" spans="1:9" x14ac:dyDescent="0.2">
      <c r="A6710" s="134">
        <v>45790</v>
      </c>
      <c r="B6710" s="135">
        <f>YEAR(source[[#This Row],[report_date]])</f>
        <v>2025</v>
      </c>
      <c r="C6710" s="128">
        <f t="shared" ref="C6710:C6773" si="313">MONTH(A6710)</f>
        <v>5</v>
      </c>
      <c r="D6710" s="136">
        <f t="shared" si="312"/>
        <v>20</v>
      </c>
      <c r="E6710" s="136">
        <f t="shared" ref="E6710:E6773" si="314">DAY(A6710)</f>
        <v>13</v>
      </c>
      <c r="F6710" s="128" t="s">
        <v>24</v>
      </c>
      <c r="G6710" s="128" t="str">
        <f>VLOOKUP(source[[#This Row],[lending_product_transform]],[3]Mapping!$B$4:$C$37,2,0)</f>
        <v>[Cake] - Cashloan</v>
      </c>
      <c r="H6710" s="128" t="str">
        <f>VLOOKUP(source[[#This Row],[lending_product_transform]],[3]Mapping!$B$3:$D$37,3,0)</f>
        <v>cashloan</v>
      </c>
      <c r="I6710" s="135">
        <v>0</v>
      </c>
    </row>
    <row r="6711" spans="1:9" x14ac:dyDescent="0.2">
      <c r="A6711" s="134">
        <v>45790</v>
      </c>
      <c r="B6711" s="135">
        <f>YEAR(source[[#This Row],[report_date]])</f>
        <v>2025</v>
      </c>
      <c r="C6711" s="128">
        <f t="shared" si="313"/>
        <v>5</v>
      </c>
      <c r="D6711" s="136">
        <f t="shared" si="312"/>
        <v>20</v>
      </c>
      <c r="E6711" s="136">
        <f t="shared" si="314"/>
        <v>13</v>
      </c>
      <c r="F6711" s="128" t="s">
        <v>24</v>
      </c>
      <c r="G6711" s="128" t="str">
        <f>VLOOKUP(source[[#This Row],[lending_product_transform]],[3]Mapping!$B$4:$C$37,2,0)</f>
        <v>[Cake] - Cashloan</v>
      </c>
      <c r="H6711" s="128" t="str">
        <f>VLOOKUP(source[[#This Row],[lending_product_transform]],[3]Mapping!$B$3:$D$37,3,0)</f>
        <v>cashloan</v>
      </c>
      <c r="I6711" s="135">
        <v>0</v>
      </c>
    </row>
    <row r="6712" spans="1:9" x14ac:dyDescent="0.2">
      <c r="A6712" s="134">
        <v>45790</v>
      </c>
      <c r="B6712" s="135">
        <f>YEAR(source[[#This Row],[report_date]])</f>
        <v>2025</v>
      </c>
      <c r="C6712" s="128">
        <f t="shared" si="313"/>
        <v>5</v>
      </c>
      <c r="D6712" s="136">
        <f t="shared" si="312"/>
        <v>20</v>
      </c>
      <c r="E6712" s="136">
        <f t="shared" si="314"/>
        <v>13</v>
      </c>
      <c r="F6712" s="128" t="s">
        <v>24</v>
      </c>
      <c r="G6712" s="128" t="str">
        <f>VLOOKUP(source[[#This Row],[lending_product_transform]],[3]Mapping!$B$4:$C$37,2,0)</f>
        <v>[Cake] - Cashloan</v>
      </c>
      <c r="H6712" s="128" t="str">
        <f>VLOOKUP(source[[#This Row],[lending_product_transform]],[3]Mapping!$B$3:$D$37,3,0)</f>
        <v>cashloan</v>
      </c>
      <c r="I6712" s="135">
        <v>0</v>
      </c>
    </row>
    <row r="6713" spans="1:9" x14ac:dyDescent="0.2">
      <c r="A6713" s="134">
        <v>45790</v>
      </c>
      <c r="B6713" s="135">
        <f>YEAR(source[[#This Row],[report_date]])</f>
        <v>2025</v>
      </c>
      <c r="C6713" s="128">
        <f t="shared" si="313"/>
        <v>5</v>
      </c>
      <c r="D6713" s="136">
        <f t="shared" si="312"/>
        <v>20</v>
      </c>
      <c r="E6713" s="136">
        <f t="shared" si="314"/>
        <v>13</v>
      </c>
      <c r="F6713" s="128" t="s">
        <v>24</v>
      </c>
      <c r="G6713" s="128" t="str">
        <f>VLOOKUP(source[[#This Row],[lending_product_transform]],[3]Mapping!$B$4:$C$37,2,0)</f>
        <v>[Cake] - Cashloan</v>
      </c>
      <c r="H6713" s="128" t="str">
        <f>VLOOKUP(source[[#This Row],[lending_product_transform]],[3]Mapping!$B$3:$D$37,3,0)</f>
        <v>cashloan</v>
      </c>
      <c r="I6713" s="135">
        <v>42000000</v>
      </c>
    </row>
    <row r="6714" spans="1:9" x14ac:dyDescent="0.2">
      <c r="A6714" s="134">
        <v>45790</v>
      </c>
      <c r="B6714" s="135">
        <f>YEAR(source[[#This Row],[report_date]])</f>
        <v>2025</v>
      </c>
      <c r="C6714" s="128">
        <f t="shared" si="313"/>
        <v>5</v>
      </c>
      <c r="D6714" s="136">
        <f t="shared" si="312"/>
        <v>20</v>
      </c>
      <c r="E6714" s="136">
        <f t="shared" si="314"/>
        <v>13</v>
      </c>
      <c r="F6714" s="128" t="s">
        <v>24</v>
      </c>
      <c r="G6714" s="128" t="str">
        <f>VLOOKUP(source[[#This Row],[lending_product_transform]],[3]Mapping!$B$4:$C$37,2,0)</f>
        <v>[Cake] - Cashloan</v>
      </c>
      <c r="H6714" s="128" t="str">
        <f>VLOOKUP(source[[#This Row],[lending_product_transform]],[3]Mapping!$B$3:$D$37,3,0)</f>
        <v>cashloan</v>
      </c>
      <c r="I6714" s="135">
        <v>5132484000</v>
      </c>
    </row>
    <row r="6715" spans="1:9" x14ac:dyDescent="0.2">
      <c r="A6715" s="134">
        <v>45790</v>
      </c>
      <c r="B6715" s="135">
        <f>YEAR(source[[#This Row],[report_date]])</f>
        <v>2025</v>
      </c>
      <c r="C6715" s="128">
        <f t="shared" si="313"/>
        <v>5</v>
      </c>
      <c r="D6715" s="136">
        <f t="shared" si="312"/>
        <v>20</v>
      </c>
      <c r="E6715" s="136">
        <f t="shared" si="314"/>
        <v>13</v>
      </c>
      <c r="F6715" s="128" t="s">
        <v>24</v>
      </c>
      <c r="G6715" s="128" t="str">
        <f>VLOOKUP(source[[#This Row],[lending_product_transform]],[3]Mapping!$B$4:$C$37,2,0)</f>
        <v>[Cake] - Cashloan</v>
      </c>
      <c r="H6715" s="128" t="str">
        <f>VLOOKUP(source[[#This Row],[lending_product_transform]],[3]Mapping!$B$3:$D$37,3,0)</f>
        <v>cashloan</v>
      </c>
      <c r="I6715" s="135">
        <v>33000000</v>
      </c>
    </row>
    <row r="6716" spans="1:9" x14ac:dyDescent="0.2">
      <c r="A6716" s="134">
        <v>45790</v>
      </c>
      <c r="B6716" s="135">
        <f>YEAR(source[[#This Row],[report_date]])</f>
        <v>2025</v>
      </c>
      <c r="C6716" s="128">
        <f t="shared" si="313"/>
        <v>5</v>
      </c>
      <c r="D6716" s="136">
        <f t="shared" si="312"/>
        <v>20</v>
      </c>
      <c r="E6716" s="136">
        <f t="shared" si="314"/>
        <v>13</v>
      </c>
      <c r="F6716" s="128" t="s">
        <v>24</v>
      </c>
      <c r="G6716" s="128" t="str">
        <f>VLOOKUP(source[[#This Row],[lending_product_transform]],[3]Mapping!$B$4:$C$37,2,0)</f>
        <v>[Cake] - Cashloan</v>
      </c>
      <c r="H6716" s="128" t="str">
        <f>VLOOKUP(source[[#This Row],[lending_product_transform]],[3]Mapping!$B$3:$D$37,3,0)</f>
        <v>cashloan</v>
      </c>
      <c r="I6716" s="135">
        <v>0</v>
      </c>
    </row>
    <row r="6717" spans="1:9" x14ac:dyDescent="0.2">
      <c r="A6717" s="134">
        <v>45790</v>
      </c>
      <c r="B6717" s="135">
        <f>YEAR(source[[#This Row],[report_date]])</f>
        <v>2025</v>
      </c>
      <c r="C6717" s="128">
        <f t="shared" si="313"/>
        <v>5</v>
      </c>
      <c r="D6717" s="136">
        <f t="shared" si="312"/>
        <v>20</v>
      </c>
      <c r="E6717" s="136">
        <f t="shared" si="314"/>
        <v>13</v>
      </c>
      <c r="F6717" s="128" t="s">
        <v>24</v>
      </c>
      <c r="G6717" s="128" t="str">
        <f>VLOOKUP(source[[#This Row],[lending_product_transform]],[3]Mapping!$B$4:$C$37,2,0)</f>
        <v>[Cake] - Cashloan</v>
      </c>
      <c r="H6717" s="128" t="str">
        <f>VLOOKUP(source[[#This Row],[lending_product_transform]],[3]Mapping!$B$3:$D$37,3,0)</f>
        <v>cashloan</v>
      </c>
      <c r="I6717" s="135">
        <v>476700000</v>
      </c>
    </row>
    <row r="6718" spans="1:9" x14ac:dyDescent="0.2">
      <c r="A6718" s="134">
        <v>45791</v>
      </c>
      <c r="B6718" s="135">
        <f>YEAR(source[[#This Row],[report_date]])</f>
        <v>2025</v>
      </c>
      <c r="C6718" s="128">
        <f t="shared" si="313"/>
        <v>5</v>
      </c>
      <c r="D6718" s="136">
        <f t="shared" si="312"/>
        <v>20</v>
      </c>
      <c r="E6718" s="136">
        <f t="shared" si="314"/>
        <v>14</v>
      </c>
      <c r="F6718" s="128" t="s">
        <v>24</v>
      </c>
      <c r="G6718" s="128" t="str">
        <f>VLOOKUP(source[[#This Row],[lending_product_transform]],[3]Mapping!$B$4:$C$37,2,0)</f>
        <v>[Cake] - Cashloan</v>
      </c>
      <c r="H6718" s="128" t="str">
        <f>VLOOKUP(source[[#This Row],[lending_product_transform]],[3]Mapping!$B$3:$D$37,3,0)</f>
        <v>cashloan</v>
      </c>
      <c r="I6718" s="135">
        <v>778070000</v>
      </c>
    </row>
    <row r="6719" spans="1:9" x14ac:dyDescent="0.2">
      <c r="A6719" s="134">
        <v>45791</v>
      </c>
      <c r="B6719" s="135">
        <f>YEAR(source[[#This Row],[report_date]])</f>
        <v>2025</v>
      </c>
      <c r="C6719" s="128">
        <f t="shared" si="313"/>
        <v>5</v>
      </c>
      <c r="D6719" s="136">
        <f t="shared" si="312"/>
        <v>20</v>
      </c>
      <c r="E6719" s="136">
        <f t="shared" si="314"/>
        <v>14</v>
      </c>
      <c r="F6719" s="128" t="s">
        <v>24</v>
      </c>
      <c r="G6719" s="128" t="str">
        <f>VLOOKUP(source[[#This Row],[lending_product_transform]],[3]Mapping!$B$4:$C$37,2,0)</f>
        <v>[Cake] - Cashloan</v>
      </c>
      <c r="H6719" s="128" t="str">
        <f>VLOOKUP(source[[#This Row],[lending_product_transform]],[3]Mapping!$B$3:$D$37,3,0)</f>
        <v>cashloan</v>
      </c>
      <c r="I6719" s="135">
        <v>1209660000</v>
      </c>
    </row>
    <row r="6720" spans="1:9" x14ac:dyDescent="0.2">
      <c r="A6720" s="134">
        <v>45791</v>
      </c>
      <c r="B6720" s="135">
        <f>YEAR(source[[#This Row],[report_date]])</f>
        <v>2025</v>
      </c>
      <c r="C6720" s="128">
        <f t="shared" si="313"/>
        <v>5</v>
      </c>
      <c r="D6720" s="136">
        <f t="shared" si="312"/>
        <v>20</v>
      </c>
      <c r="E6720" s="136">
        <f t="shared" si="314"/>
        <v>14</v>
      </c>
      <c r="F6720" s="128" t="s">
        <v>24</v>
      </c>
      <c r="G6720" s="128" t="str">
        <f>VLOOKUP(source[[#This Row],[lending_product_transform]],[3]Mapping!$B$4:$C$37,2,0)</f>
        <v>[Cake] - Cashloan</v>
      </c>
      <c r="H6720" s="128" t="str">
        <f>VLOOKUP(source[[#This Row],[lending_product_transform]],[3]Mapping!$B$3:$D$37,3,0)</f>
        <v>cashloan</v>
      </c>
      <c r="I6720" s="135">
        <v>0</v>
      </c>
    </row>
    <row r="6721" spans="1:9" x14ac:dyDescent="0.2">
      <c r="A6721" s="134">
        <v>45791</v>
      </c>
      <c r="B6721" s="135">
        <f>YEAR(source[[#This Row],[report_date]])</f>
        <v>2025</v>
      </c>
      <c r="C6721" s="128">
        <f t="shared" si="313"/>
        <v>5</v>
      </c>
      <c r="D6721" s="136">
        <f t="shared" si="312"/>
        <v>20</v>
      </c>
      <c r="E6721" s="136">
        <f t="shared" si="314"/>
        <v>14</v>
      </c>
      <c r="F6721" s="128" t="s">
        <v>24</v>
      </c>
      <c r="G6721" s="128" t="str">
        <f>VLOOKUP(source[[#This Row],[lending_product_transform]],[3]Mapping!$B$4:$C$37,2,0)</f>
        <v>[Cake] - Cashloan</v>
      </c>
      <c r="H6721" s="128" t="str">
        <f>VLOOKUP(source[[#This Row],[lending_product_transform]],[3]Mapping!$B$3:$D$37,3,0)</f>
        <v>cashloan</v>
      </c>
      <c r="I6721" s="135">
        <v>0</v>
      </c>
    </row>
    <row r="6722" spans="1:9" x14ac:dyDescent="0.2">
      <c r="A6722" s="134">
        <v>45791</v>
      </c>
      <c r="B6722" s="135">
        <f>YEAR(source[[#This Row],[report_date]])</f>
        <v>2025</v>
      </c>
      <c r="C6722" s="128">
        <f t="shared" si="313"/>
        <v>5</v>
      </c>
      <c r="D6722" s="136">
        <f t="shared" si="312"/>
        <v>20</v>
      </c>
      <c r="E6722" s="136">
        <f t="shared" si="314"/>
        <v>14</v>
      </c>
      <c r="F6722" s="128" t="s">
        <v>24</v>
      </c>
      <c r="G6722" s="128" t="str">
        <f>VLOOKUP(source[[#This Row],[lending_product_transform]],[3]Mapping!$B$4:$C$37,2,0)</f>
        <v>[Cake] - Cashloan</v>
      </c>
      <c r="H6722" s="128" t="str">
        <f>VLOOKUP(source[[#This Row],[lending_product_transform]],[3]Mapping!$B$3:$D$37,3,0)</f>
        <v>cashloan</v>
      </c>
      <c r="I6722" s="135">
        <v>204202663</v>
      </c>
    </row>
    <row r="6723" spans="1:9" x14ac:dyDescent="0.2">
      <c r="A6723" s="134">
        <v>45791</v>
      </c>
      <c r="B6723" s="135">
        <f>YEAR(source[[#This Row],[report_date]])</f>
        <v>2025</v>
      </c>
      <c r="C6723" s="128">
        <f t="shared" si="313"/>
        <v>5</v>
      </c>
      <c r="D6723" s="136">
        <f t="shared" ref="D6723:D6786" si="315">WEEKNUM(A6723,2)</f>
        <v>20</v>
      </c>
      <c r="E6723" s="136">
        <f t="shared" si="314"/>
        <v>14</v>
      </c>
      <c r="F6723" s="128" t="s">
        <v>24</v>
      </c>
      <c r="G6723" s="128" t="str">
        <f>VLOOKUP(source[[#This Row],[lending_product_transform]],[3]Mapping!$B$4:$C$37,2,0)</f>
        <v>[Cake] - Cashloan</v>
      </c>
      <c r="H6723" s="128" t="str">
        <f>VLOOKUP(source[[#This Row],[lending_product_transform]],[3]Mapping!$B$3:$D$37,3,0)</f>
        <v>cashloan</v>
      </c>
      <c r="I6723" s="135">
        <v>356655483</v>
      </c>
    </row>
    <row r="6724" spans="1:9" x14ac:dyDescent="0.2">
      <c r="A6724" s="134">
        <v>45791</v>
      </c>
      <c r="B6724" s="135">
        <f>YEAR(source[[#This Row],[report_date]])</f>
        <v>2025</v>
      </c>
      <c r="C6724" s="128">
        <f t="shared" si="313"/>
        <v>5</v>
      </c>
      <c r="D6724" s="136">
        <f t="shared" si="315"/>
        <v>20</v>
      </c>
      <c r="E6724" s="136">
        <f t="shared" si="314"/>
        <v>14</v>
      </c>
      <c r="F6724" s="128" t="s">
        <v>24</v>
      </c>
      <c r="G6724" s="128" t="str">
        <f>VLOOKUP(source[[#This Row],[lending_product_transform]],[3]Mapping!$B$4:$C$37,2,0)</f>
        <v>[Cake] - Cashloan</v>
      </c>
      <c r="H6724" s="128" t="str">
        <f>VLOOKUP(source[[#This Row],[lending_product_transform]],[3]Mapping!$B$3:$D$37,3,0)</f>
        <v>cashloan</v>
      </c>
      <c r="I6724" s="135">
        <v>3471797574</v>
      </c>
    </row>
    <row r="6725" spans="1:9" x14ac:dyDescent="0.2">
      <c r="A6725" s="134">
        <v>45791</v>
      </c>
      <c r="B6725" s="135">
        <f>YEAR(source[[#This Row],[report_date]])</f>
        <v>2025</v>
      </c>
      <c r="C6725" s="128">
        <f t="shared" si="313"/>
        <v>5</v>
      </c>
      <c r="D6725" s="136">
        <f t="shared" si="315"/>
        <v>20</v>
      </c>
      <c r="E6725" s="136">
        <f t="shared" si="314"/>
        <v>14</v>
      </c>
      <c r="F6725" s="128" t="s">
        <v>24</v>
      </c>
      <c r="G6725" s="128" t="str">
        <f>VLOOKUP(source[[#This Row],[lending_product_transform]],[3]Mapping!$B$4:$C$37,2,0)</f>
        <v>[Cake] - Cashloan</v>
      </c>
      <c r="H6725" s="128" t="str">
        <f>VLOOKUP(source[[#This Row],[lending_product_transform]],[3]Mapping!$B$3:$D$37,3,0)</f>
        <v>cashloan</v>
      </c>
      <c r="I6725" s="135">
        <v>342469772</v>
      </c>
    </row>
    <row r="6726" spans="1:9" x14ac:dyDescent="0.2">
      <c r="A6726" s="134">
        <v>45791</v>
      </c>
      <c r="B6726" s="135">
        <f>YEAR(source[[#This Row],[report_date]])</f>
        <v>2025</v>
      </c>
      <c r="C6726" s="128">
        <f t="shared" si="313"/>
        <v>5</v>
      </c>
      <c r="D6726" s="136">
        <f t="shared" si="315"/>
        <v>20</v>
      </c>
      <c r="E6726" s="136">
        <f t="shared" si="314"/>
        <v>14</v>
      </c>
      <c r="F6726" s="128" t="s">
        <v>24</v>
      </c>
      <c r="G6726" s="128" t="str">
        <f>VLOOKUP(source[[#This Row],[lending_product_transform]],[3]Mapping!$B$4:$C$37,2,0)</f>
        <v>[Cake] - Cashloan</v>
      </c>
      <c r="H6726" s="128" t="str">
        <f>VLOOKUP(source[[#This Row],[lending_product_transform]],[3]Mapping!$B$3:$D$37,3,0)</f>
        <v>cashloan</v>
      </c>
      <c r="I6726" s="135">
        <v>8724370000</v>
      </c>
    </row>
    <row r="6727" spans="1:9" x14ac:dyDescent="0.2">
      <c r="A6727" s="134">
        <v>45791</v>
      </c>
      <c r="B6727" s="135">
        <f>YEAR(source[[#This Row],[report_date]])</f>
        <v>2025</v>
      </c>
      <c r="C6727" s="128">
        <f t="shared" si="313"/>
        <v>5</v>
      </c>
      <c r="D6727" s="136">
        <f t="shared" si="315"/>
        <v>20</v>
      </c>
      <c r="E6727" s="136">
        <f t="shared" si="314"/>
        <v>14</v>
      </c>
      <c r="F6727" s="128" t="s">
        <v>24</v>
      </c>
      <c r="G6727" s="128" t="str">
        <f>VLOOKUP(source[[#This Row],[lending_product_transform]],[3]Mapping!$B$4:$C$37,2,0)</f>
        <v>[Cake] - Cashloan</v>
      </c>
      <c r="H6727" s="128" t="str">
        <f>VLOOKUP(source[[#This Row],[lending_product_transform]],[3]Mapping!$B$3:$D$37,3,0)</f>
        <v>cashloan</v>
      </c>
      <c r="I6727" s="135">
        <v>5676156000</v>
      </c>
    </row>
    <row r="6728" spans="1:9" x14ac:dyDescent="0.2">
      <c r="A6728" s="134">
        <v>45791</v>
      </c>
      <c r="B6728" s="135">
        <f>YEAR(source[[#This Row],[report_date]])</f>
        <v>2025</v>
      </c>
      <c r="C6728" s="128">
        <f t="shared" si="313"/>
        <v>5</v>
      </c>
      <c r="D6728" s="136">
        <f t="shared" si="315"/>
        <v>20</v>
      </c>
      <c r="E6728" s="136">
        <f t="shared" si="314"/>
        <v>14</v>
      </c>
      <c r="F6728" s="128" t="s">
        <v>24</v>
      </c>
      <c r="G6728" s="128" t="str">
        <f>VLOOKUP(source[[#This Row],[lending_product_transform]],[3]Mapping!$B$4:$C$37,2,0)</f>
        <v>[Cake] - Cashloan</v>
      </c>
      <c r="H6728" s="128" t="str">
        <f>VLOOKUP(source[[#This Row],[lending_product_transform]],[3]Mapping!$B$3:$D$37,3,0)</f>
        <v>cashloan</v>
      </c>
      <c r="I6728" s="135">
        <v>10500000</v>
      </c>
    </row>
    <row r="6729" spans="1:9" x14ac:dyDescent="0.2">
      <c r="A6729" s="134">
        <v>45791</v>
      </c>
      <c r="B6729" s="135">
        <f>YEAR(source[[#This Row],[report_date]])</f>
        <v>2025</v>
      </c>
      <c r="C6729" s="128">
        <f t="shared" si="313"/>
        <v>5</v>
      </c>
      <c r="D6729" s="136">
        <f t="shared" si="315"/>
        <v>20</v>
      </c>
      <c r="E6729" s="136">
        <f t="shared" si="314"/>
        <v>14</v>
      </c>
      <c r="F6729" s="128" t="s">
        <v>24</v>
      </c>
      <c r="G6729" s="128" t="str">
        <f>VLOOKUP(source[[#This Row],[lending_product_transform]],[3]Mapping!$B$4:$C$37,2,0)</f>
        <v>[Cake] - Cashloan</v>
      </c>
      <c r="H6729" s="128" t="str">
        <f>VLOOKUP(source[[#This Row],[lending_product_transform]],[3]Mapping!$B$3:$D$37,3,0)</f>
        <v>cashloan</v>
      </c>
      <c r="I6729" s="135">
        <v>31000000</v>
      </c>
    </row>
    <row r="6730" spans="1:9" x14ac:dyDescent="0.2">
      <c r="A6730" s="134">
        <v>45791</v>
      </c>
      <c r="B6730" s="135">
        <f>YEAR(source[[#This Row],[report_date]])</f>
        <v>2025</v>
      </c>
      <c r="C6730" s="128">
        <f t="shared" si="313"/>
        <v>5</v>
      </c>
      <c r="D6730" s="136">
        <f t="shared" si="315"/>
        <v>20</v>
      </c>
      <c r="E6730" s="136">
        <f t="shared" si="314"/>
        <v>14</v>
      </c>
      <c r="F6730" s="128" t="s">
        <v>24</v>
      </c>
      <c r="G6730" s="128" t="str">
        <f>VLOOKUP(source[[#This Row],[lending_product_transform]],[3]Mapping!$B$4:$C$37,2,0)</f>
        <v>[Cake] - Cashloan</v>
      </c>
      <c r="H6730" s="128" t="str">
        <f>VLOOKUP(source[[#This Row],[lending_product_transform]],[3]Mapping!$B$3:$D$37,3,0)</f>
        <v>cashloan</v>
      </c>
      <c r="I6730" s="135">
        <v>0</v>
      </c>
    </row>
    <row r="6731" spans="1:9" x14ac:dyDescent="0.2">
      <c r="A6731" s="134">
        <v>45791</v>
      </c>
      <c r="B6731" s="135">
        <f>YEAR(source[[#This Row],[report_date]])</f>
        <v>2025</v>
      </c>
      <c r="C6731" s="128">
        <f t="shared" si="313"/>
        <v>5</v>
      </c>
      <c r="D6731" s="136">
        <f t="shared" si="315"/>
        <v>20</v>
      </c>
      <c r="E6731" s="136">
        <f t="shared" si="314"/>
        <v>14</v>
      </c>
      <c r="F6731" s="128" t="s">
        <v>24</v>
      </c>
      <c r="G6731" s="128" t="str">
        <f>VLOOKUP(source[[#This Row],[lending_product_transform]],[3]Mapping!$B$4:$C$37,2,0)</f>
        <v>[Cake] - Cashloan</v>
      </c>
      <c r="H6731" s="128" t="str">
        <f>VLOOKUP(source[[#This Row],[lending_product_transform]],[3]Mapping!$B$3:$D$37,3,0)</f>
        <v>cashloan</v>
      </c>
      <c r="I6731" s="135">
        <v>8781380000</v>
      </c>
    </row>
    <row r="6732" spans="1:9" x14ac:dyDescent="0.2">
      <c r="A6732" s="134">
        <v>45791</v>
      </c>
      <c r="B6732" s="135">
        <f>YEAR(source[[#This Row],[report_date]])</f>
        <v>2025</v>
      </c>
      <c r="C6732" s="128">
        <f t="shared" si="313"/>
        <v>5</v>
      </c>
      <c r="D6732" s="136">
        <f t="shared" si="315"/>
        <v>20</v>
      </c>
      <c r="E6732" s="136">
        <f t="shared" si="314"/>
        <v>14</v>
      </c>
      <c r="F6732" s="128" t="s">
        <v>24</v>
      </c>
      <c r="G6732" s="128" t="str">
        <f>VLOOKUP(source[[#This Row],[lending_product_transform]],[3]Mapping!$B$4:$C$37,2,0)</f>
        <v>[Cake] - Cashloan</v>
      </c>
      <c r="H6732" s="128" t="str">
        <f>VLOOKUP(source[[#This Row],[lending_product_transform]],[3]Mapping!$B$3:$D$37,3,0)</f>
        <v>cashloan</v>
      </c>
      <c r="I6732" s="135">
        <v>0</v>
      </c>
    </row>
    <row r="6733" spans="1:9" x14ac:dyDescent="0.2">
      <c r="A6733" s="134">
        <v>45791</v>
      </c>
      <c r="B6733" s="135">
        <f>YEAR(source[[#This Row],[report_date]])</f>
        <v>2025</v>
      </c>
      <c r="C6733" s="128">
        <f t="shared" si="313"/>
        <v>5</v>
      </c>
      <c r="D6733" s="136">
        <f t="shared" si="315"/>
        <v>20</v>
      </c>
      <c r="E6733" s="136">
        <f t="shared" si="314"/>
        <v>14</v>
      </c>
      <c r="F6733" s="128" t="s">
        <v>24</v>
      </c>
      <c r="G6733" s="128" t="str">
        <f>VLOOKUP(source[[#This Row],[lending_product_transform]],[3]Mapping!$B$4:$C$37,2,0)</f>
        <v>[Cake] - Cashloan</v>
      </c>
      <c r="H6733" s="128" t="str">
        <f>VLOOKUP(source[[#This Row],[lending_product_transform]],[3]Mapping!$B$3:$D$37,3,0)</f>
        <v>cashloan</v>
      </c>
      <c r="I6733" s="135">
        <v>0</v>
      </c>
    </row>
    <row r="6734" spans="1:9" x14ac:dyDescent="0.2">
      <c r="A6734" s="134">
        <v>45791</v>
      </c>
      <c r="B6734" s="135">
        <f>YEAR(source[[#This Row],[report_date]])</f>
        <v>2025</v>
      </c>
      <c r="C6734" s="128">
        <f t="shared" si="313"/>
        <v>5</v>
      </c>
      <c r="D6734" s="136">
        <f t="shared" si="315"/>
        <v>20</v>
      </c>
      <c r="E6734" s="136">
        <f t="shared" si="314"/>
        <v>14</v>
      </c>
      <c r="F6734" s="128" t="s">
        <v>24</v>
      </c>
      <c r="G6734" s="128" t="str">
        <f>VLOOKUP(source[[#This Row],[lending_product_transform]],[3]Mapping!$B$4:$C$37,2,0)</f>
        <v>[Cake] - Cashloan</v>
      </c>
      <c r="H6734" s="128" t="str">
        <f>VLOOKUP(source[[#This Row],[lending_product_transform]],[3]Mapping!$B$3:$D$37,3,0)</f>
        <v>cashloan</v>
      </c>
      <c r="I6734" s="135">
        <v>0</v>
      </c>
    </row>
    <row r="6735" spans="1:9" x14ac:dyDescent="0.2">
      <c r="A6735" s="134">
        <v>45791</v>
      </c>
      <c r="B6735" s="135">
        <f>YEAR(source[[#This Row],[report_date]])</f>
        <v>2025</v>
      </c>
      <c r="C6735" s="128">
        <f t="shared" si="313"/>
        <v>5</v>
      </c>
      <c r="D6735" s="136">
        <f t="shared" si="315"/>
        <v>20</v>
      </c>
      <c r="E6735" s="136">
        <f t="shared" si="314"/>
        <v>14</v>
      </c>
      <c r="F6735" s="128" t="s">
        <v>24</v>
      </c>
      <c r="G6735" s="128" t="str">
        <f>VLOOKUP(source[[#This Row],[lending_product_transform]],[3]Mapping!$B$4:$C$37,2,0)</f>
        <v>[Cake] - Cashloan</v>
      </c>
      <c r="H6735" s="128" t="str">
        <f>VLOOKUP(source[[#This Row],[lending_product_transform]],[3]Mapping!$B$3:$D$37,3,0)</f>
        <v>cashloan</v>
      </c>
      <c r="I6735" s="135">
        <v>629000000</v>
      </c>
    </row>
    <row r="6736" spans="1:9" x14ac:dyDescent="0.2">
      <c r="A6736" s="134">
        <v>45791</v>
      </c>
      <c r="B6736" s="135">
        <f>YEAR(source[[#This Row],[report_date]])</f>
        <v>2025</v>
      </c>
      <c r="C6736" s="128">
        <f t="shared" si="313"/>
        <v>5</v>
      </c>
      <c r="D6736" s="136">
        <f t="shared" si="315"/>
        <v>20</v>
      </c>
      <c r="E6736" s="136">
        <f t="shared" si="314"/>
        <v>14</v>
      </c>
      <c r="F6736" s="128" t="s">
        <v>24</v>
      </c>
      <c r="G6736" s="128" t="str">
        <f>VLOOKUP(source[[#This Row],[lending_product_transform]],[3]Mapping!$B$4:$C$37,2,0)</f>
        <v>[Cake] - Cashloan</v>
      </c>
      <c r="H6736" s="128" t="str">
        <f>VLOOKUP(source[[#This Row],[lending_product_transform]],[3]Mapping!$B$3:$D$37,3,0)</f>
        <v>cashloan</v>
      </c>
      <c r="I6736" s="135">
        <v>19270670</v>
      </c>
    </row>
    <row r="6737" spans="1:9" x14ac:dyDescent="0.2">
      <c r="A6737" s="134">
        <v>45792</v>
      </c>
      <c r="B6737" s="135">
        <f>YEAR(source[[#This Row],[report_date]])</f>
        <v>2025</v>
      </c>
      <c r="C6737" s="128">
        <f t="shared" si="313"/>
        <v>5</v>
      </c>
      <c r="D6737" s="136">
        <f t="shared" si="315"/>
        <v>20</v>
      </c>
      <c r="E6737" s="136">
        <f t="shared" si="314"/>
        <v>15</v>
      </c>
      <c r="F6737" s="128" t="s">
        <v>24</v>
      </c>
      <c r="G6737" s="128" t="str">
        <f>VLOOKUP(source[[#This Row],[lending_product_transform]],[3]Mapping!$B$4:$C$37,2,0)</f>
        <v>[Cake] - Cashloan</v>
      </c>
      <c r="H6737" s="128" t="str">
        <f>VLOOKUP(source[[#This Row],[lending_product_transform]],[3]Mapping!$B$3:$D$37,3,0)</f>
        <v>cashloan</v>
      </c>
      <c r="I6737" s="135">
        <v>9308830000</v>
      </c>
    </row>
    <row r="6738" spans="1:9" x14ac:dyDescent="0.2">
      <c r="A6738" s="134">
        <v>45792</v>
      </c>
      <c r="B6738" s="135">
        <f>YEAR(source[[#This Row],[report_date]])</f>
        <v>2025</v>
      </c>
      <c r="C6738" s="128">
        <f t="shared" si="313"/>
        <v>5</v>
      </c>
      <c r="D6738" s="136">
        <f t="shared" si="315"/>
        <v>20</v>
      </c>
      <c r="E6738" s="136">
        <f t="shared" si="314"/>
        <v>15</v>
      </c>
      <c r="F6738" s="128" t="s">
        <v>24</v>
      </c>
      <c r="G6738" s="128" t="str">
        <f>VLOOKUP(source[[#This Row],[lending_product_transform]],[3]Mapping!$B$4:$C$37,2,0)</f>
        <v>[Cake] - Cashloan</v>
      </c>
      <c r="H6738" s="128" t="str">
        <f>VLOOKUP(source[[#This Row],[lending_product_transform]],[3]Mapping!$B$3:$D$37,3,0)</f>
        <v>cashloan</v>
      </c>
      <c r="I6738" s="135">
        <v>2079000</v>
      </c>
    </row>
    <row r="6739" spans="1:9" x14ac:dyDescent="0.2">
      <c r="A6739" s="134">
        <v>45792</v>
      </c>
      <c r="B6739" s="135">
        <f>YEAR(source[[#This Row],[report_date]])</f>
        <v>2025</v>
      </c>
      <c r="C6739" s="128">
        <f t="shared" si="313"/>
        <v>5</v>
      </c>
      <c r="D6739" s="136">
        <f t="shared" si="315"/>
        <v>20</v>
      </c>
      <c r="E6739" s="136">
        <f t="shared" si="314"/>
        <v>15</v>
      </c>
      <c r="F6739" s="128" t="s">
        <v>24</v>
      </c>
      <c r="G6739" s="128" t="str">
        <f>VLOOKUP(source[[#This Row],[lending_product_transform]],[3]Mapping!$B$4:$C$37,2,0)</f>
        <v>[Cake] - Cashloan</v>
      </c>
      <c r="H6739" s="128" t="str">
        <f>VLOOKUP(source[[#This Row],[lending_product_transform]],[3]Mapping!$B$3:$D$37,3,0)</f>
        <v>cashloan</v>
      </c>
      <c r="I6739" s="135">
        <v>3985096248</v>
      </c>
    </row>
    <row r="6740" spans="1:9" x14ac:dyDescent="0.2">
      <c r="A6740" s="134">
        <v>45792</v>
      </c>
      <c r="B6740" s="135">
        <f>YEAR(source[[#This Row],[report_date]])</f>
        <v>2025</v>
      </c>
      <c r="C6740" s="128">
        <f t="shared" si="313"/>
        <v>5</v>
      </c>
      <c r="D6740" s="136">
        <f t="shared" si="315"/>
        <v>20</v>
      </c>
      <c r="E6740" s="136">
        <f t="shared" si="314"/>
        <v>15</v>
      </c>
      <c r="F6740" s="128" t="s">
        <v>24</v>
      </c>
      <c r="G6740" s="128" t="str">
        <f>VLOOKUP(source[[#This Row],[lending_product_transform]],[3]Mapping!$B$4:$C$37,2,0)</f>
        <v>[Cake] - Cashloan</v>
      </c>
      <c r="H6740" s="128" t="str">
        <f>VLOOKUP(source[[#This Row],[lending_product_transform]],[3]Mapping!$B$3:$D$37,3,0)</f>
        <v>cashloan</v>
      </c>
      <c r="I6740" s="135">
        <v>957000000</v>
      </c>
    </row>
    <row r="6741" spans="1:9" x14ac:dyDescent="0.2">
      <c r="A6741" s="134">
        <v>45792</v>
      </c>
      <c r="B6741" s="135">
        <f>YEAR(source[[#This Row],[report_date]])</f>
        <v>2025</v>
      </c>
      <c r="C6741" s="128">
        <f t="shared" si="313"/>
        <v>5</v>
      </c>
      <c r="D6741" s="136">
        <f t="shared" si="315"/>
        <v>20</v>
      </c>
      <c r="E6741" s="136">
        <f t="shared" si="314"/>
        <v>15</v>
      </c>
      <c r="F6741" s="128" t="s">
        <v>24</v>
      </c>
      <c r="G6741" s="128" t="str">
        <f>VLOOKUP(source[[#This Row],[lending_product_transform]],[3]Mapping!$B$4:$C$37,2,0)</f>
        <v>[Cake] - Cashloan</v>
      </c>
      <c r="H6741" s="128" t="str">
        <f>VLOOKUP(source[[#This Row],[lending_product_transform]],[3]Mapping!$B$3:$D$37,3,0)</f>
        <v>cashloan</v>
      </c>
      <c r="I6741" s="135">
        <v>9310824</v>
      </c>
    </row>
    <row r="6742" spans="1:9" x14ac:dyDescent="0.2">
      <c r="A6742" s="134">
        <v>45792</v>
      </c>
      <c r="B6742" s="135">
        <f>YEAR(source[[#This Row],[report_date]])</f>
        <v>2025</v>
      </c>
      <c r="C6742" s="128">
        <f t="shared" si="313"/>
        <v>5</v>
      </c>
      <c r="D6742" s="136">
        <f t="shared" si="315"/>
        <v>20</v>
      </c>
      <c r="E6742" s="136">
        <f t="shared" si="314"/>
        <v>15</v>
      </c>
      <c r="F6742" s="128" t="s">
        <v>24</v>
      </c>
      <c r="G6742" s="128" t="str">
        <f>VLOOKUP(source[[#This Row],[lending_product_transform]],[3]Mapping!$B$4:$C$37,2,0)</f>
        <v>[Cake] - Cashloan</v>
      </c>
      <c r="H6742" s="128" t="str">
        <f>VLOOKUP(source[[#This Row],[lending_product_transform]],[3]Mapping!$B$3:$D$37,3,0)</f>
        <v>cashloan</v>
      </c>
      <c r="I6742" s="135">
        <v>369418163</v>
      </c>
    </row>
    <row r="6743" spans="1:9" x14ac:dyDescent="0.2">
      <c r="A6743" s="134">
        <v>45792</v>
      </c>
      <c r="B6743" s="135">
        <f>YEAR(source[[#This Row],[report_date]])</f>
        <v>2025</v>
      </c>
      <c r="C6743" s="128">
        <f t="shared" si="313"/>
        <v>5</v>
      </c>
      <c r="D6743" s="136">
        <f t="shared" si="315"/>
        <v>20</v>
      </c>
      <c r="E6743" s="136">
        <f t="shared" si="314"/>
        <v>15</v>
      </c>
      <c r="F6743" s="128" t="s">
        <v>24</v>
      </c>
      <c r="G6743" s="128" t="str">
        <f>VLOOKUP(source[[#This Row],[lending_product_transform]],[3]Mapping!$B$4:$C$37,2,0)</f>
        <v>[Cake] - Cashloan</v>
      </c>
      <c r="H6743" s="128" t="str">
        <f>VLOOKUP(source[[#This Row],[lending_product_transform]],[3]Mapping!$B$3:$D$37,3,0)</f>
        <v>cashloan</v>
      </c>
      <c r="I6743" s="135">
        <v>0</v>
      </c>
    </row>
    <row r="6744" spans="1:9" x14ac:dyDescent="0.2">
      <c r="A6744" s="134">
        <v>45792</v>
      </c>
      <c r="B6744" s="135">
        <f>YEAR(source[[#This Row],[report_date]])</f>
        <v>2025</v>
      </c>
      <c r="C6744" s="128">
        <f t="shared" si="313"/>
        <v>5</v>
      </c>
      <c r="D6744" s="136">
        <f t="shared" si="315"/>
        <v>20</v>
      </c>
      <c r="E6744" s="136">
        <f t="shared" si="314"/>
        <v>15</v>
      </c>
      <c r="F6744" s="128" t="s">
        <v>24</v>
      </c>
      <c r="G6744" s="128" t="str">
        <f>VLOOKUP(source[[#This Row],[lending_product_transform]],[3]Mapping!$B$4:$C$37,2,0)</f>
        <v>[Cake] - Cashloan</v>
      </c>
      <c r="H6744" s="128" t="str">
        <f>VLOOKUP(source[[#This Row],[lending_product_transform]],[3]Mapping!$B$3:$D$37,3,0)</f>
        <v>cashloan</v>
      </c>
      <c r="I6744" s="135">
        <v>0</v>
      </c>
    </row>
    <row r="6745" spans="1:9" x14ac:dyDescent="0.2">
      <c r="A6745" s="134">
        <v>45792</v>
      </c>
      <c r="B6745" s="135">
        <f>YEAR(source[[#This Row],[report_date]])</f>
        <v>2025</v>
      </c>
      <c r="C6745" s="128">
        <f t="shared" si="313"/>
        <v>5</v>
      </c>
      <c r="D6745" s="136">
        <f t="shared" si="315"/>
        <v>20</v>
      </c>
      <c r="E6745" s="136">
        <f t="shared" si="314"/>
        <v>15</v>
      </c>
      <c r="F6745" s="128" t="s">
        <v>24</v>
      </c>
      <c r="G6745" s="128" t="str">
        <f>VLOOKUP(source[[#This Row],[lending_product_transform]],[3]Mapping!$B$4:$C$37,2,0)</f>
        <v>[Cake] - Cashloan</v>
      </c>
      <c r="H6745" s="128" t="str">
        <f>VLOOKUP(source[[#This Row],[lending_product_transform]],[3]Mapping!$B$3:$D$37,3,0)</f>
        <v>cashloan</v>
      </c>
      <c r="I6745" s="135">
        <v>0</v>
      </c>
    </row>
    <row r="6746" spans="1:9" x14ac:dyDescent="0.2">
      <c r="A6746" s="134">
        <v>45792</v>
      </c>
      <c r="B6746" s="135">
        <f>YEAR(source[[#This Row],[report_date]])</f>
        <v>2025</v>
      </c>
      <c r="C6746" s="128">
        <f t="shared" si="313"/>
        <v>5</v>
      </c>
      <c r="D6746" s="136">
        <f t="shared" si="315"/>
        <v>20</v>
      </c>
      <c r="E6746" s="136">
        <f t="shared" si="314"/>
        <v>15</v>
      </c>
      <c r="F6746" s="128" t="s">
        <v>24</v>
      </c>
      <c r="G6746" s="128" t="str">
        <f>VLOOKUP(source[[#This Row],[lending_product_transform]],[3]Mapping!$B$4:$C$37,2,0)</f>
        <v>[Cake] - Cashloan</v>
      </c>
      <c r="H6746" s="128" t="str">
        <f>VLOOKUP(source[[#This Row],[lending_product_transform]],[3]Mapping!$B$3:$D$37,3,0)</f>
        <v>cashloan</v>
      </c>
      <c r="I6746" s="135">
        <v>48300000</v>
      </c>
    </row>
    <row r="6747" spans="1:9" x14ac:dyDescent="0.2">
      <c r="A6747" s="134">
        <v>45792</v>
      </c>
      <c r="B6747" s="135">
        <f>YEAR(source[[#This Row],[report_date]])</f>
        <v>2025</v>
      </c>
      <c r="C6747" s="128">
        <f t="shared" si="313"/>
        <v>5</v>
      </c>
      <c r="D6747" s="136">
        <f t="shared" si="315"/>
        <v>20</v>
      </c>
      <c r="E6747" s="136">
        <f t="shared" si="314"/>
        <v>15</v>
      </c>
      <c r="F6747" s="128" t="s">
        <v>24</v>
      </c>
      <c r="G6747" s="128" t="str">
        <f>VLOOKUP(source[[#This Row],[lending_product_transform]],[3]Mapping!$B$4:$C$37,2,0)</f>
        <v>[Cake] - Cashloan</v>
      </c>
      <c r="H6747" s="128" t="str">
        <f>VLOOKUP(source[[#This Row],[lending_product_transform]],[3]Mapping!$B$3:$D$37,3,0)</f>
        <v>cashloan</v>
      </c>
      <c r="I6747" s="135">
        <v>64000000</v>
      </c>
    </row>
    <row r="6748" spans="1:9" x14ac:dyDescent="0.2">
      <c r="A6748" s="134">
        <v>45792</v>
      </c>
      <c r="B6748" s="135">
        <f>YEAR(source[[#This Row],[report_date]])</f>
        <v>2025</v>
      </c>
      <c r="C6748" s="128">
        <f t="shared" si="313"/>
        <v>5</v>
      </c>
      <c r="D6748" s="136">
        <f t="shared" si="315"/>
        <v>20</v>
      </c>
      <c r="E6748" s="136">
        <f t="shared" si="314"/>
        <v>15</v>
      </c>
      <c r="F6748" s="128" t="s">
        <v>24</v>
      </c>
      <c r="G6748" s="128" t="str">
        <f>VLOOKUP(source[[#This Row],[lending_product_transform]],[3]Mapping!$B$4:$C$37,2,0)</f>
        <v>[Cake] - Cashloan</v>
      </c>
      <c r="H6748" s="128" t="str">
        <f>VLOOKUP(source[[#This Row],[lending_product_transform]],[3]Mapping!$B$3:$D$37,3,0)</f>
        <v>cashloan</v>
      </c>
      <c r="I6748" s="135">
        <v>0</v>
      </c>
    </row>
    <row r="6749" spans="1:9" x14ac:dyDescent="0.2">
      <c r="A6749" s="134">
        <v>45792</v>
      </c>
      <c r="B6749" s="135">
        <f>YEAR(source[[#This Row],[report_date]])</f>
        <v>2025</v>
      </c>
      <c r="C6749" s="128">
        <f t="shared" si="313"/>
        <v>5</v>
      </c>
      <c r="D6749" s="136">
        <f t="shared" si="315"/>
        <v>20</v>
      </c>
      <c r="E6749" s="136">
        <f t="shared" si="314"/>
        <v>15</v>
      </c>
      <c r="F6749" s="128" t="s">
        <v>24</v>
      </c>
      <c r="G6749" s="128" t="str">
        <f>VLOOKUP(source[[#This Row],[lending_product_transform]],[3]Mapping!$B$4:$C$37,2,0)</f>
        <v>[Cake] - Cashloan</v>
      </c>
      <c r="H6749" s="128" t="str">
        <f>VLOOKUP(source[[#This Row],[lending_product_transform]],[3]Mapping!$B$3:$D$37,3,0)</f>
        <v>cashloan</v>
      </c>
      <c r="I6749" s="135">
        <v>783440000</v>
      </c>
    </row>
    <row r="6750" spans="1:9" x14ac:dyDescent="0.2">
      <c r="A6750" s="134">
        <v>45792</v>
      </c>
      <c r="B6750" s="135">
        <f>YEAR(source[[#This Row],[report_date]])</f>
        <v>2025</v>
      </c>
      <c r="C6750" s="128">
        <f t="shared" si="313"/>
        <v>5</v>
      </c>
      <c r="D6750" s="136">
        <f t="shared" si="315"/>
        <v>20</v>
      </c>
      <c r="E6750" s="136">
        <f t="shared" si="314"/>
        <v>15</v>
      </c>
      <c r="F6750" s="128" t="s">
        <v>24</v>
      </c>
      <c r="G6750" s="128" t="str">
        <f>VLOOKUP(source[[#This Row],[lending_product_transform]],[3]Mapping!$B$4:$C$37,2,0)</f>
        <v>[Cake] - Cashloan</v>
      </c>
      <c r="H6750" s="128" t="str">
        <f>VLOOKUP(source[[#This Row],[lending_product_transform]],[3]Mapping!$B$3:$D$37,3,0)</f>
        <v>cashloan</v>
      </c>
      <c r="I6750" s="135">
        <v>1383110000</v>
      </c>
    </row>
    <row r="6751" spans="1:9" x14ac:dyDescent="0.2">
      <c r="A6751" s="134">
        <v>45792</v>
      </c>
      <c r="B6751" s="135">
        <f>YEAR(source[[#This Row],[report_date]])</f>
        <v>2025</v>
      </c>
      <c r="C6751" s="128">
        <f t="shared" si="313"/>
        <v>5</v>
      </c>
      <c r="D6751" s="136">
        <f t="shared" si="315"/>
        <v>20</v>
      </c>
      <c r="E6751" s="136">
        <f t="shared" si="314"/>
        <v>15</v>
      </c>
      <c r="F6751" s="128" t="s">
        <v>24</v>
      </c>
      <c r="G6751" s="128" t="str">
        <f>VLOOKUP(source[[#This Row],[lending_product_transform]],[3]Mapping!$B$4:$C$37,2,0)</f>
        <v>[Cake] - Cashloan</v>
      </c>
      <c r="H6751" s="128" t="str">
        <f>VLOOKUP(source[[#This Row],[lending_product_transform]],[3]Mapping!$B$3:$D$37,3,0)</f>
        <v>cashloan</v>
      </c>
      <c r="I6751" s="135">
        <v>8009810000</v>
      </c>
    </row>
    <row r="6752" spans="1:9" x14ac:dyDescent="0.2">
      <c r="A6752" s="134">
        <v>45792</v>
      </c>
      <c r="B6752" s="135">
        <f>YEAR(source[[#This Row],[report_date]])</f>
        <v>2025</v>
      </c>
      <c r="C6752" s="128">
        <f t="shared" si="313"/>
        <v>5</v>
      </c>
      <c r="D6752" s="136">
        <f t="shared" si="315"/>
        <v>20</v>
      </c>
      <c r="E6752" s="136">
        <f t="shared" si="314"/>
        <v>15</v>
      </c>
      <c r="F6752" s="128" t="s">
        <v>24</v>
      </c>
      <c r="G6752" s="128" t="str">
        <f>VLOOKUP(source[[#This Row],[lending_product_transform]],[3]Mapping!$B$4:$C$37,2,0)</f>
        <v>[Cake] - Cashloan</v>
      </c>
      <c r="H6752" s="128" t="str">
        <f>VLOOKUP(source[[#This Row],[lending_product_transform]],[3]Mapping!$B$3:$D$37,3,0)</f>
        <v>cashloan</v>
      </c>
      <c r="I6752" s="135">
        <v>0</v>
      </c>
    </row>
    <row r="6753" spans="1:9" x14ac:dyDescent="0.2">
      <c r="A6753" s="134">
        <v>45792</v>
      </c>
      <c r="B6753" s="135">
        <f>YEAR(source[[#This Row],[report_date]])</f>
        <v>2025</v>
      </c>
      <c r="C6753" s="128">
        <f t="shared" si="313"/>
        <v>5</v>
      </c>
      <c r="D6753" s="136">
        <f t="shared" si="315"/>
        <v>20</v>
      </c>
      <c r="E6753" s="136">
        <f t="shared" si="314"/>
        <v>15</v>
      </c>
      <c r="F6753" s="128" t="s">
        <v>24</v>
      </c>
      <c r="G6753" s="128" t="str">
        <f>VLOOKUP(source[[#This Row],[lending_product_transform]],[3]Mapping!$B$4:$C$37,2,0)</f>
        <v>[Cake] - Cashloan</v>
      </c>
      <c r="H6753" s="128" t="str">
        <f>VLOOKUP(source[[#This Row],[lending_product_transform]],[3]Mapping!$B$3:$D$37,3,0)</f>
        <v>cashloan</v>
      </c>
      <c r="I6753" s="135">
        <v>216801971</v>
      </c>
    </row>
    <row r="6754" spans="1:9" x14ac:dyDescent="0.2">
      <c r="A6754" s="134">
        <v>45792</v>
      </c>
      <c r="B6754" s="135">
        <f>YEAR(source[[#This Row],[report_date]])</f>
        <v>2025</v>
      </c>
      <c r="C6754" s="128">
        <f t="shared" si="313"/>
        <v>5</v>
      </c>
      <c r="D6754" s="136">
        <f t="shared" si="315"/>
        <v>20</v>
      </c>
      <c r="E6754" s="136">
        <f t="shared" si="314"/>
        <v>15</v>
      </c>
      <c r="F6754" s="128" t="s">
        <v>24</v>
      </c>
      <c r="G6754" s="128" t="str">
        <f>VLOOKUP(source[[#This Row],[lending_product_transform]],[3]Mapping!$B$4:$C$37,2,0)</f>
        <v>[Cake] - Cashloan</v>
      </c>
      <c r="H6754" s="128" t="str">
        <f>VLOOKUP(source[[#This Row],[lending_product_transform]],[3]Mapping!$B$3:$D$37,3,0)</f>
        <v>cashloan</v>
      </c>
      <c r="I6754" s="135">
        <v>336760732</v>
      </c>
    </row>
    <row r="6755" spans="1:9" x14ac:dyDescent="0.2">
      <c r="A6755" s="134">
        <v>45792</v>
      </c>
      <c r="B6755" s="135">
        <f>YEAR(source[[#This Row],[report_date]])</f>
        <v>2025</v>
      </c>
      <c r="C6755" s="128">
        <f t="shared" si="313"/>
        <v>5</v>
      </c>
      <c r="D6755" s="136">
        <f t="shared" si="315"/>
        <v>20</v>
      </c>
      <c r="E6755" s="136">
        <f t="shared" si="314"/>
        <v>15</v>
      </c>
      <c r="F6755" s="128" t="s">
        <v>24</v>
      </c>
      <c r="G6755" s="128" t="str">
        <f>VLOOKUP(source[[#This Row],[lending_product_transform]],[3]Mapping!$B$4:$C$37,2,0)</f>
        <v>[Cake] - Cashloan</v>
      </c>
      <c r="H6755" s="128" t="str">
        <f>VLOOKUP(source[[#This Row],[lending_product_transform]],[3]Mapping!$B$3:$D$37,3,0)</f>
        <v>cashloan</v>
      </c>
      <c r="I6755" s="135">
        <v>6775704000</v>
      </c>
    </row>
    <row r="6756" spans="1:9" x14ac:dyDescent="0.2">
      <c r="A6756" s="134">
        <v>45793</v>
      </c>
      <c r="B6756" s="135">
        <f>YEAR(source[[#This Row],[report_date]])</f>
        <v>2025</v>
      </c>
      <c r="C6756" s="128">
        <f t="shared" si="313"/>
        <v>5</v>
      </c>
      <c r="D6756" s="136">
        <f t="shared" si="315"/>
        <v>20</v>
      </c>
      <c r="E6756" s="136">
        <f t="shared" si="314"/>
        <v>16</v>
      </c>
      <c r="F6756" s="128" t="s">
        <v>24</v>
      </c>
      <c r="G6756" s="128" t="str">
        <f>VLOOKUP(source[[#This Row],[lending_product_transform]],[3]Mapping!$B$4:$C$37,2,0)</f>
        <v>[Cake] - Cashloan</v>
      </c>
      <c r="H6756" s="128" t="str">
        <f>VLOOKUP(source[[#This Row],[lending_product_transform]],[3]Mapping!$B$3:$D$37,3,0)</f>
        <v>cashloan</v>
      </c>
      <c r="I6756" s="135">
        <v>7951440000</v>
      </c>
    </row>
    <row r="6757" spans="1:9" x14ac:dyDescent="0.2">
      <c r="A6757" s="134">
        <v>45793</v>
      </c>
      <c r="B6757" s="135">
        <f>YEAR(source[[#This Row],[report_date]])</f>
        <v>2025</v>
      </c>
      <c r="C6757" s="128">
        <f t="shared" si="313"/>
        <v>5</v>
      </c>
      <c r="D6757" s="136">
        <f t="shared" si="315"/>
        <v>20</v>
      </c>
      <c r="E6757" s="136">
        <f t="shared" si="314"/>
        <v>16</v>
      </c>
      <c r="F6757" s="128" t="s">
        <v>24</v>
      </c>
      <c r="G6757" s="128" t="str">
        <f>VLOOKUP(source[[#This Row],[lending_product_transform]],[3]Mapping!$B$4:$C$37,2,0)</f>
        <v>[Cake] - Cashloan</v>
      </c>
      <c r="H6757" s="128" t="str">
        <f>VLOOKUP(source[[#This Row],[lending_product_transform]],[3]Mapping!$B$3:$D$37,3,0)</f>
        <v>cashloan</v>
      </c>
      <c r="I6757" s="135">
        <v>6000156000</v>
      </c>
    </row>
    <row r="6758" spans="1:9" x14ac:dyDescent="0.2">
      <c r="A6758" s="134">
        <v>45793</v>
      </c>
      <c r="B6758" s="135">
        <f>YEAR(source[[#This Row],[report_date]])</f>
        <v>2025</v>
      </c>
      <c r="C6758" s="128">
        <f t="shared" si="313"/>
        <v>5</v>
      </c>
      <c r="D6758" s="136">
        <f t="shared" si="315"/>
        <v>20</v>
      </c>
      <c r="E6758" s="136">
        <f t="shared" si="314"/>
        <v>16</v>
      </c>
      <c r="F6758" s="128" t="s">
        <v>24</v>
      </c>
      <c r="G6758" s="128" t="str">
        <f>VLOOKUP(source[[#This Row],[lending_product_transform]],[3]Mapping!$B$4:$C$37,2,0)</f>
        <v>[Cake] - Cashloan</v>
      </c>
      <c r="H6758" s="128" t="str">
        <f>VLOOKUP(source[[#This Row],[lending_product_transform]],[3]Mapping!$B$3:$D$37,3,0)</f>
        <v>cashloan</v>
      </c>
      <c r="I6758" s="135">
        <v>347838203</v>
      </c>
    </row>
    <row r="6759" spans="1:9" x14ac:dyDescent="0.2">
      <c r="A6759" s="134">
        <v>45793</v>
      </c>
      <c r="B6759" s="135">
        <f>YEAR(source[[#This Row],[report_date]])</f>
        <v>2025</v>
      </c>
      <c r="C6759" s="128">
        <f t="shared" si="313"/>
        <v>5</v>
      </c>
      <c r="D6759" s="136">
        <f t="shared" si="315"/>
        <v>20</v>
      </c>
      <c r="E6759" s="136">
        <f t="shared" si="314"/>
        <v>16</v>
      </c>
      <c r="F6759" s="128" t="s">
        <v>24</v>
      </c>
      <c r="G6759" s="128" t="str">
        <f>VLOOKUP(source[[#This Row],[lending_product_transform]],[3]Mapping!$B$4:$C$37,2,0)</f>
        <v>[Cake] - Cashloan</v>
      </c>
      <c r="H6759" s="128" t="str">
        <f>VLOOKUP(source[[#This Row],[lending_product_transform]],[3]Mapping!$B$3:$D$37,3,0)</f>
        <v>cashloan</v>
      </c>
      <c r="I6759" s="135">
        <v>7269460000</v>
      </c>
    </row>
    <row r="6760" spans="1:9" x14ac:dyDescent="0.2">
      <c r="A6760" s="134">
        <v>45793</v>
      </c>
      <c r="B6760" s="135">
        <f>YEAR(source[[#This Row],[report_date]])</f>
        <v>2025</v>
      </c>
      <c r="C6760" s="128">
        <f t="shared" si="313"/>
        <v>5</v>
      </c>
      <c r="D6760" s="136">
        <f t="shared" si="315"/>
        <v>20</v>
      </c>
      <c r="E6760" s="136">
        <f t="shared" si="314"/>
        <v>16</v>
      </c>
      <c r="F6760" s="128" t="s">
        <v>24</v>
      </c>
      <c r="G6760" s="128" t="str">
        <f>VLOOKUP(source[[#This Row],[lending_product_transform]],[3]Mapping!$B$4:$C$37,2,0)</f>
        <v>[Cake] - Cashloan</v>
      </c>
      <c r="H6760" s="128" t="str">
        <f>VLOOKUP(source[[#This Row],[lending_product_transform]],[3]Mapping!$B$3:$D$37,3,0)</f>
        <v>cashloan</v>
      </c>
      <c r="I6760" s="135">
        <v>0</v>
      </c>
    </row>
    <row r="6761" spans="1:9" x14ac:dyDescent="0.2">
      <c r="A6761" s="134">
        <v>45793</v>
      </c>
      <c r="B6761" s="135">
        <f>YEAR(source[[#This Row],[report_date]])</f>
        <v>2025</v>
      </c>
      <c r="C6761" s="128">
        <f t="shared" si="313"/>
        <v>5</v>
      </c>
      <c r="D6761" s="136">
        <f t="shared" si="315"/>
        <v>20</v>
      </c>
      <c r="E6761" s="136">
        <f t="shared" si="314"/>
        <v>16</v>
      </c>
      <c r="F6761" s="128" t="s">
        <v>24</v>
      </c>
      <c r="G6761" s="128" t="str">
        <f>VLOOKUP(source[[#This Row],[lending_product_transform]],[3]Mapping!$B$4:$C$37,2,0)</f>
        <v>[Cake] - Cashloan</v>
      </c>
      <c r="H6761" s="128" t="str">
        <f>VLOOKUP(source[[#This Row],[lending_product_transform]],[3]Mapping!$B$3:$D$37,3,0)</f>
        <v>cashloan</v>
      </c>
      <c r="I6761" s="135">
        <v>3400345990</v>
      </c>
    </row>
    <row r="6762" spans="1:9" x14ac:dyDescent="0.2">
      <c r="A6762" s="134">
        <v>45793</v>
      </c>
      <c r="B6762" s="135">
        <f>YEAR(source[[#This Row],[report_date]])</f>
        <v>2025</v>
      </c>
      <c r="C6762" s="128">
        <f t="shared" si="313"/>
        <v>5</v>
      </c>
      <c r="D6762" s="136">
        <f t="shared" si="315"/>
        <v>20</v>
      </c>
      <c r="E6762" s="136">
        <f t="shared" si="314"/>
        <v>16</v>
      </c>
      <c r="F6762" s="128" t="s">
        <v>24</v>
      </c>
      <c r="G6762" s="128" t="str">
        <f>VLOOKUP(source[[#This Row],[lending_product_transform]],[3]Mapping!$B$4:$C$37,2,0)</f>
        <v>[Cake] - Cashloan</v>
      </c>
      <c r="H6762" s="128" t="str">
        <f>VLOOKUP(source[[#This Row],[lending_product_transform]],[3]Mapping!$B$3:$D$37,3,0)</f>
        <v>cashloan</v>
      </c>
      <c r="I6762" s="135">
        <v>1418000000</v>
      </c>
    </row>
    <row r="6763" spans="1:9" x14ac:dyDescent="0.2">
      <c r="A6763" s="134">
        <v>45793</v>
      </c>
      <c r="B6763" s="135">
        <f>YEAR(source[[#This Row],[report_date]])</f>
        <v>2025</v>
      </c>
      <c r="C6763" s="128">
        <f t="shared" si="313"/>
        <v>5</v>
      </c>
      <c r="D6763" s="136">
        <f t="shared" si="315"/>
        <v>20</v>
      </c>
      <c r="E6763" s="136">
        <f t="shared" si="314"/>
        <v>16</v>
      </c>
      <c r="F6763" s="128" t="s">
        <v>24</v>
      </c>
      <c r="G6763" s="128" t="str">
        <f>VLOOKUP(source[[#This Row],[lending_product_transform]],[3]Mapping!$B$4:$C$37,2,0)</f>
        <v>[Cake] - Cashloan</v>
      </c>
      <c r="H6763" s="128" t="str">
        <f>VLOOKUP(source[[#This Row],[lending_product_transform]],[3]Mapping!$B$3:$D$37,3,0)</f>
        <v>cashloan</v>
      </c>
      <c r="I6763" s="135">
        <v>17040473</v>
      </c>
    </row>
    <row r="6764" spans="1:9" x14ac:dyDescent="0.2">
      <c r="A6764" s="134">
        <v>45793</v>
      </c>
      <c r="B6764" s="135">
        <f>YEAR(source[[#This Row],[report_date]])</f>
        <v>2025</v>
      </c>
      <c r="C6764" s="128">
        <f t="shared" si="313"/>
        <v>5</v>
      </c>
      <c r="D6764" s="136">
        <f t="shared" si="315"/>
        <v>20</v>
      </c>
      <c r="E6764" s="136">
        <f t="shared" si="314"/>
        <v>16</v>
      </c>
      <c r="F6764" s="128" t="s">
        <v>24</v>
      </c>
      <c r="G6764" s="128" t="str">
        <f>VLOOKUP(source[[#This Row],[lending_product_transform]],[3]Mapping!$B$4:$C$37,2,0)</f>
        <v>[Cake] - Cashloan</v>
      </c>
      <c r="H6764" s="128" t="str">
        <f>VLOOKUP(source[[#This Row],[lending_product_transform]],[3]Mapping!$B$3:$D$37,3,0)</f>
        <v>cashloan</v>
      </c>
      <c r="I6764" s="135">
        <v>0</v>
      </c>
    </row>
    <row r="6765" spans="1:9" x14ac:dyDescent="0.2">
      <c r="A6765" s="134">
        <v>45793</v>
      </c>
      <c r="B6765" s="135">
        <f>YEAR(source[[#This Row],[report_date]])</f>
        <v>2025</v>
      </c>
      <c r="C6765" s="128">
        <f t="shared" si="313"/>
        <v>5</v>
      </c>
      <c r="D6765" s="136">
        <f t="shared" si="315"/>
        <v>20</v>
      </c>
      <c r="E6765" s="136">
        <f t="shared" si="314"/>
        <v>16</v>
      </c>
      <c r="F6765" s="128" t="s">
        <v>24</v>
      </c>
      <c r="G6765" s="128" t="str">
        <f>VLOOKUP(source[[#This Row],[lending_product_transform]],[3]Mapping!$B$4:$C$37,2,0)</f>
        <v>[Cake] - Cashloan</v>
      </c>
      <c r="H6765" s="128" t="str">
        <f>VLOOKUP(source[[#This Row],[lending_product_transform]],[3]Mapping!$B$3:$D$37,3,0)</f>
        <v>cashloan</v>
      </c>
      <c r="I6765" s="135">
        <v>0</v>
      </c>
    </row>
    <row r="6766" spans="1:9" x14ac:dyDescent="0.2">
      <c r="A6766" s="134">
        <v>45793</v>
      </c>
      <c r="B6766" s="135">
        <f>YEAR(source[[#This Row],[report_date]])</f>
        <v>2025</v>
      </c>
      <c r="C6766" s="128">
        <f t="shared" si="313"/>
        <v>5</v>
      </c>
      <c r="D6766" s="136">
        <f t="shared" si="315"/>
        <v>20</v>
      </c>
      <c r="E6766" s="136">
        <f t="shared" si="314"/>
        <v>16</v>
      </c>
      <c r="F6766" s="128" t="s">
        <v>24</v>
      </c>
      <c r="G6766" s="128" t="str">
        <f>VLOOKUP(source[[#This Row],[lending_product_transform]],[3]Mapping!$B$4:$C$37,2,0)</f>
        <v>[Cake] - Cashloan</v>
      </c>
      <c r="H6766" s="128" t="str">
        <f>VLOOKUP(source[[#This Row],[lending_product_transform]],[3]Mapping!$B$3:$D$37,3,0)</f>
        <v>cashloan</v>
      </c>
      <c r="I6766" s="135">
        <v>0</v>
      </c>
    </row>
    <row r="6767" spans="1:9" x14ac:dyDescent="0.2">
      <c r="A6767" s="134">
        <v>45793</v>
      </c>
      <c r="B6767" s="135">
        <f>YEAR(source[[#This Row],[report_date]])</f>
        <v>2025</v>
      </c>
      <c r="C6767" s="128">
        <f t="shared" si="313"/>
        <v>5</v>
      </c>
      <c r="D6767" s="136">
        <f t="shared" si="315"/>
        <v>20</v>
      </c>
      <c r="E6767" s="136">
        <f t="shared" si="314"/>
        <v>16</v>
      </c>
      <c r="F6767" s="128" t="s">
        <v>24</v>
      </c>
      <c r="G6767" s="128" t="str">
        <f>VLOOKUP(source[[#This Row],[lending_product_transform]],[3]Mapping!$B$4:$C$37,2,0)</f>
        <v>[Cake] - Cashloan</v>
      </c>
      <c r="H6767" s="128" t="str">
        <f>VLOOKUP(source[[#This Row],[lending_product_transform]],[3]Mapping!$B$3:$D$37,3,0)</f>
        <v>cashloan</v>
      </c>
      <c r="I6767" s="135">
        <v>21000000</v>
      </c>
    </row>
    <row r="6768" spans="1:9" x14ac:dyDescent="0.2">
      <c r="A6768" s="134">
        <v>45793</v>
      </c>
      <c r="B6768" s="135">
        <f>YEAR(source[[#This Row],[report_date]])</f>
        <v>2025</v>
      </c>
      <c r="C6768" s="128">
        <f t="shared" si="313"/>
        <v>5</v>
      </c>
      <c r="D6768" s="136">
        <f t="shared" si="315"/>
        <v>20</v>
      </c>
      <c r="E6768" s="136">
        <f t="shared" si="314"/>
        <v>16</v>
      </c>
      <c r="F6768" s="128" t="s">
        <v>24</v>
      </c>
      <c r="G6768" s="128" t="str">
        <f>VLOOKUP(source[[#This Row],[lending_product_transform]],[3]Mapping!$B$4:$C$37,2,0)</f>
        <v>[Cake] - Cashloan</v>
      </c>
      <c r="H6768" s="128" t="str">
        <f>VLOOKUP(source[[#This Row],[lending_product_transform]],[3]Mapping!$B$3:$D$37,3,0)</f>
        <v>cashloan</v>
      </c>
      <c r="I6768" s="135">
        <v>20000000</v>
      </c>
    </row>
    <row r="6769" spans="1:9" x14ac:dyDescent="0.2">
      <c r="A6769" s="134">
        <v>45793</v>
      </c>
      <c r="B6769" s="135">
        <f>YEAR(source[[#This Row],[report_date]])</f>
        <v>2025</v>
      </c>
      <c r="C6769" s="128">
        <f t="shared" si="313"/>
        <v>5</v>
      </c>
      <c r="D6769" s="136">
        <f t="shared" si="315"/>
        <v>20</v>
      </c>
      <c r="E6769" s="136">
        <f t="shared" si="314"/>
        <v>16</v>
      </c>
      <c r="F6769" s="128" t="s">
        <v>24</v>
      </c>
      <c r="G6769" s="128" t="str">
        <f>VLOOKUP(source[[#This Row],[lending_product_transform]],[3]Mapping!$B$4:$C$37,2,0)</f>
        <v>[Cake] - Cashloan</v>
      </c>
      <c r="H6769" s="128" t="str">
        <f>VLOOKUP(source[[#This Row],[lending_product_transform]],[3]Mapping!$B$3:$D$37,3,0)</f>
        <v>cashloan</v>
      </c>
      <c r="I6769" s="135">
        <v>0</v>
      </c>
    </row>
    <row r="6770" spans="1:9" x14ac:dyDescent="0.2">
      <c r="A6770" s="134">
        <v>45793</v>
      </c>
      <c r="B6770" s="135">
        <f>YEAR(source[[#This Row],[report_date]])</f>
        <v>2025</v>
      </c>
      <c r="C6770" s="128">
        <f t="shared" si="313"/>
        <v>5</v>
      </c>
      <c r="D6770" s="136">
        <f t="shared" si="315"/>
        <v>20</v>
      </c>
      <c r="E6770" s="136">
        <f t="shared" si="314"/>
        <v>16</v>
      </c>
      <c r="F6770" s="128" t="s">
        <v>24</v>
      </c>
      <c r="G6770" s="128" t="str">
        <f>VLOOKUP(source[[#This Row],[lending_product_transform]],[3]Mapping!$B$4:$C$37,2,0)</f>
        <v>[Cake] - Cashloan</v>
      </c>
      <c r="H6770" s="128" t="str">
        <f>VLOOKUP(source[[#This Row],[lending_product_transform]],[3]Mapping!$B$3:$D$37,3,0)</f>
        <v>cashloan</v>
      </c>
      <c r="I6770" s="135">
        <v>442340000</v>
      </c>
    </row>
    <row r="6771" spans="1:9" x14ac:dyDescent="0.2">
      <c r="A6771" s="134">
        <v>45793</v>
      </c>
      <c r="B6771" s="135">
        <f>YEAR(source[[#This Row],[report_date]])</f>
        <v>2025</v>
      </c>
      <c r="C6771" s="128">
        <f t="shared" si="313"/>
        <v>5</v>
      </c>
      <c r="D6771" s="136">
        <f t="shared" si="315"/>
        <v>20</v>
      </c>
      <c r="E6771" s="136">
        <f t="shared" si="314"/>
        <v>16</v>
      </c>
      <c r="F6771" s="128" t="s">
        <v>24</v>
      </c>
      <c r="G6771" s="128" t="str">
        <f>VLOOKUP(source[[#This Row],[lending_product_transform]],[3]Mapping!$B$4:$C$37,2,0)</f>
        <v>[Cake] - Cashloan</v>
      </c>
      <c r="H6771" s="128" t="str">
        <f>VLOOKUP(source[[#This Row],[lending_product_transform]],[3]Mapping!$B$3:$D$37,3,0)</f>
        <v>cashloan</v>
      </c>
      <c r="I6771" s="135">
        <v>1358910000</v>
      </c>
    </row>
    <row r="6772" spans="1:9" x14ac:dyDescent="0.2">
      <c r="A6772" s="134">
        <v>45793</v>
      </c>
      <c r="B6772" s="135">
        <f>YEAR(source[[#This Row],[report_date]])</f>
        <v>2025</v>
      </c>
      <c r="C6772" s="128">
        <f t="shared" si="313"/>
        <v>5</v>
      </c>
      <c r="D6772" s="136">
        <f t="shared" si="315"/>
        <v>20</v>
      </c>
      <c r="E6772" s="136">
        <f t="shared" si="314"/>
        <v>16</v>
      </c>
      <c r="F6772" s="128" t="s">
        <v>24</v>
      </c>
      <c r="G6772" s="128" t="str">
        <f>VLOOKUP(source[[#This Row],[lending_product_transform]],[3]Mapping!$B$4:$C$37,2,0)</f>
        <v>[Cake] - Cashloan</v>
      </c>
      <c r="H6772" s="128" t="str">
        <f>VLOOKUP(source[[#This Row],[lending_product_transform]],[3]Mapping!$B$3:$D$37,3,0)</f>
        <v>cashloan</v>
      </c>
      <c r="I6772" s="135">
        <v>0</v>
      </c>
    </row>
    <row r="6773" spans="1:9" x14ac:dyDescent="0.2">
      <c r="A6773" s="134">
        <v>45793</v>
      </c>
      <c r="B6773" s="135">
        <f>YEAR(source[[#This Row],[report_date]])</f>
        <v>2025</v>
      </c>
      <c r="C6773" s="128">
        <f t="shared" si="313"/>
        <v>5</v>
      </c>
      <c r="D6773" s="136">
        <f t="shared" si="315"/>
        <v>20</v>
      </c>
      <c r="E6773" s="136">
        <f t="shared" si="314"/>
        <v>16</v>
      </c>
      <c r="F6773" s="128" t="s">
        <v>24</v>
      </c>
      <c r="G6773" s="128" t="str">
        <f>VLOOKUP(source[[#This Row],[lending_product_transform]],[3]Mapping!$B$4:$C$37,2,0)</f>
        <v>[Cake] - Cashloan</v>
      </c>
      <c r="H6773" s="128" t="str">
        <f>VLOOKUP(source[[#This Row],[lending_product_transform]],[3]Mapping!$B$3:$D$37,3,0)</f>
        <v>cashloan</v>
      </c>
      <c r="I6773" s="135">
        <v>225218077</v>
      </c>
    </row>
    <row r="6774" spans="1:9" x14ac:dyDescent="0.2">
      <c r="A6774" s="134">
        <v>45793</v>
      </c>
      <c r="B6774" s="135">
        <f>YEAR(source[[#This Row],[report_date]])</f>
        <v>2025</v>
      </c>
      <c r="C6774" s="128">
        <f t="shared" ref="C6774:C6837" si="316">MONTH(A6774)</f>
        <v>5</v>
      </c>
      <c r="D6774" s="136">
        <f t="shared" si="315"/>
        <v>20</v>
      </c>
      <c r="E6774" s="136">
        <f t="shared" ref="E6774:E6837" si="317">DAY(A6774)</f>
        <v>16</v>
      </c>
      <c r="F6774" s="128" t="s">
        <v>24</v>
      </c>
      <c r="G6774" s="128" t="str">
        <f>VLOOKUP(source[[#This Row],[lending_product_transform]],[3]Mapping!$B$4:$C$37,2,0)</f>
        <v>[Cake] - Cashloan</v>
      </c>
      <c r="H6774" s="128" t="str">
        <f>VLOOKUP(source[[#This Row],[lending_product_transform]],[3]Mapping!$B$3:$D$37,3,0)</f>
        <v>cashloan</v>
      </c>
      <c r="I6774" s="135">
        <v>302132131</v>
      </c>
    </row>
    <row r="6775" spans="1:9" x14ac:dyDescent="0.2">
      <c r="A6775" s="134">
        <v>45794</v>
      </c>
      <c r="B6775" s="135">
        <f>YEAR(source[[#This Row],[report_date]])</f>
        <v>2025</v>
      </c>
      <c r="C6775" s="128">
        <f t="shared" si="316"/>
        <v>5</v>
      </c>
      <c r="D6775" s="136">
        <f t="shared" si="315"/>
        <v>20</v>
      </c>
      <c r="E6775" s="136">
        <f t="shared" si="317"/>
        <v>17</v>
      </c>
      <c r="F6775" s="128" t="s">
        <v>24</v>
      </c>
      <c r="G6775" s="128" t="str">
        <f>VLOOKUP(source[[#This Row],[lending_product_transform]],[3]Mapping!$B$4:$C$37,2,0)</f>
        <v>[Cake] - Cashloan</v>
      </c>
      <c r="H6775" s="128" t="str">
        <f>VLOOKUP(source[[#This Row],[lending_product_transform]],[3]Mapping!$B$3:$D$37,3,0)</f>
        <v>cashloan</v>
      </c>
      <c r="I6775" s="135">
        <v>7487990000</v>
      </c>
    </row>
    <row r="6776" spans="1:9" x14ac:dyDescent="0.2">
      <c r="A6776" s="134">
        <v>45794</v>
      </c>
      <c r="B6776" s="135">
        <f>YEAR(source[[#This Row],[report_date]])</f>
        <v>2025</v>
      </c>
      <c r="C6776" s="128">
        <f t="shared" si="316"/>
        <v>5</v>
      </c>
      <c r="D6776" s="136">
        <f t="shared" si="315"/>
        <v>20</v>
      </c>
      <c r="E6776" s="136">
        <f t="shared" si="317"/>
        <v>17</v>
      </c>
      <c r="F6776" s="128" t="s">
        <v>24</v>
      </c>
      <c r="G6776" s="128" t="str">
        <f>VLOOKUP(source[[#This Row],[lending_product_transform]],[3]Mapping!$B$4:$C$37,2,0)</f>
        <v>[Cake] - Cashloan</v>
      </c>
      <c r="H6776" s="128" t="str">
        <f>VLOOKUP(source[[#This Row],[lending_product_transform]],[3]Mapping!$B$3:$D$37,3,0)</f>
        <v>cashloan</v>
      </c>
      <c r="I6776" s="135">
        <v>5514048000</v>
      </c>
    </row>
    <row r="6777" spans="1:9" x14ac:dyDescent="0.2">
      <c r="A6777" s="134">
        <v>45794</v>
      </c>
      <c r="B6777" s="135">
        <f>YEAR(source[[#This Row],[report_date]])</f>
        <v>2025</v>
      </c>
      <c r="C6777" s="128">
        <f t="shared" si="316"/>
        <v>5</v>
      </c>
      <c r="D6777" s="136">
        <f t="shared" si="315"/>
        <v>20</v>
      </c>
      <c r="E6777" s="136">
        <f t="shared" si="317"/>
        <v>17</v>
      </c>
      <c r="F6777" s="128" t="s">
        <v>24</v>
      </c>
      <c r="G6777" s="128" t="str">
        <f>VLOOKUP(source[[#This Row],[lending_product_transform]],[3]Mapping!$B$4:$C$37,2,0)</f>
        <v>[Cake] - Cashloan</v>
      </c>
      <c r="H6777" s="128" t="str">
        <f>VLOOKUP(source[[#This Row],[lending_product_transform]],[3]Mapping!$B$3:$D$37,3,0)</f>
        <v>cashloan</v>
      </c>
      <c r="I6777" s="135">
        <v>7572640000</v>
      </c>
    </row>
    <row r="6778" spans="1:9" x14ac:dyDescent="0.2">
      <c r="A6778" s="134">
        <v>45794</v>
      </c>
      <c r="B6778" s="135">
        <f>YEAR(source[[#This Row],[report_date]])</f>
        <v>2025</v>
      </c>
      <c r="C6778" s="128">
        <f t="shared" si="316"/>
        <v>5</v>
      </c>
      <c r="D6778" s="136">
        <f t="shared" si="315"/>
        <v>20</v>
      </c>
      <c r="E6778" s="136">
        <f t="shared" si="317"/>
        <v>17</v>
      </c>
      <c r="F6778" s="128" t="s">
        <v>24</v>
      </c>
      <c r="G6778" s="128" t="str">
        <f>VLOOKUP(source[[#This Row],[lending_product_transform]],[3]Mapping!$B$4:$C$37,2,0)</f>
        <v>[Cake] - Cashloan</v>
      </c>
      <c r="H6778" s="128" t="str">
        <f>VLOOKUP(source[[#This Row],[lending_product_transform]],[3]Mapping!$B$3:$D$37,3,0)</f>
        <v>cashloan</v>
      </c>
      <c r="I6778" s="135">
        <v>10000000</v>
      </c>
    </row>
    <row r="6779" spans="1:9" x14ac:dyDescent="0.2">
      <c r="A6779" s="134">
        <v>45794</v>
      </c>
      <c r="B6779" s="135">
        <f>YEAR(source[[#This Row],[report_date]])</f>
        <v>2025</v>
      </c>
      <c r="C6779" s="128">
        <f t="shared" si="316"/>
        <v>5</v>
      </c>
      <c r="D6779" s="136">
        <f t="shared" si="315"/>
        <v>20</v>
      </c>
      <c r="E6779" s="136">
        <f t="shared" si="317"/>
        <v>17</v>
      </c>
      <c r="F6779" s="128" t="s">
        <v>24</v>
      </c>
      <c r="G6779" s="128" t="str">
        <f>VLOOKUP(source[[#This Row],[lending_product_transform]],[3]Mapping!$B$4:$C$37,2,0)</f>
        <v>[Cake] - Cashloan</v>
      </c>
      <c r="H6779" s="128" t="str">
        <f>VLOOKUP(source[[#This Row],[lending_product_transform]],[3]Mapping!$B$3:$D$37,3,0)</f>
        <v>cashloan</v>
      </c>
      <c r="I6779" s="135">
        <v>2122000000</v>
      </c>
    </row>
    <row r="6780" spans="1:9" x14ac:dyDescent="0.2">
      <c r="A6780" s="134">
        <v>45794</v>
      </c>
      <c r="B6780" s="135">
        <f>YEAR(source[[#This Row],[report_date]])</f>
        <v>2025</v>
      </c>
      <c r="C6780" s="128">
        <f t="shared" si="316"/>
        <v>5</v>
      </c>
      <c r="D6780" s="136">
        <f t="shared" si="315"/>
        <v>20</v>
      </c>
      <c r="E6780" s="136">
        <f t="shared" si="317"/>
        <v>17</v>
      </c>
      <c r="F6780" s="128" t="s">
        <v>24</v>
      </c>
      <c r="G6780" s="128" t="str">
        <f>VLOOKUP(source[[#This Row],[lending_product_transform]],[3]Mapping!$B$4:$C$37,2,0)</f>
        <v>[Cake] - Cashloan</v>
      </c>
      <c r="H6780" s="128" t="str">
        <f>VLOOKUP(source[[#This Row],[lending_product_transform]],[3]Mapping!$B$3:$D$37,3,0)</f>
        <v>cashloan</v>
      </c>
      <c r="I6780" s="135">
        <v>14088975</v>
      </c>
    </row>
    <row r="6781" spans="1:9" x14ac:dyDescent="0.2">
      <c r="A6781" s="134">
        <v>45794</v>
      </c>
      <c r="B6781" s="135">
        <f>YEAR(source[[#This Row],[report_date]])</f>
        <v>2025</v>
      </c>
      <c r="C6781" s="128">
        <f t="shared" si="316"/>
        <v>5</v>
      </c>
      <c r="D6781" s="136">
        <f t="shared" si="315"/>
        <v>20</v>
      </c>
      <c r="E6781" s="136">
        <f t="shared" si="317"/>
        <v>17</v>
      </c>
      <c r="F6781" s="128" t="s">
        <v>24</v>
      </c>
      <c r="G6781" s="128" t="str">
        <f>VLOOKUP(source[[#This Row],[lending_product_transform]],[3]Mapping!$B$4:$C$37,2,0)</f>
        <v>[Cake] - Cashloan</v>
      </c>
      <c r="H6781" s="128" t="str">
        <f>VLOOKUP(source[[#This Row],[lending_product_transform]],[3]Mapping!$B$3:$D$37,3,0)</f>
        <v>cashloan</v>
      </c>
      <c r="I6781" s="135">
        <v>0</v>
      </c>
    </row>
    <row r="6782" spans="1:9" x14ac:dyDescent="0.2">
      <c r="A6782" s="134">
        <v>45794</v>
      </c>
      <c r="B6782" s="135">
        <f>YEAR(source[[#This Row],[report_date]])</f>
        <v>2025</v>
      </c>
      <c r="C6782" s="128">
        <f t="shared" si="316"/>
        <v>5</v>
      </c>
      <c r="D6782" s="136">
        <f t="shared" si="315"/>
        <v>20</v>
      </c>
      <c r="E6782" s="136">
        <f t="shared" si="317"/>
        <v>17</v>
      </c>
      <c r="F6782" s="128" t="s">
        <v>24</v>
      </c>
      <c r="G6782" s="128" t="str">
        <f>VLOOKUP(source[[#This Row],[lending_product_transform]],[3]Mapping!$B$4:$C$37,2,0)</f>
        <v>[Cake] - Cashloan</v>
      </c>
      <c r="H6782" s="128" t="str">
        <f>VLOOKUP(source[[#This Row],[lending_product_transform]],[3]Mapping!$B$3:$D$37,3,0)</f>
        <v>cashloan</v>
      </c>
      <c r="I6782" s="135">
        <v>0</v>
      </c>
    </row>
    <row r="6783" spans="1:9" x14ac:dyDescent="0.2">
      <c r="A6783" s="134">
        <v>45794</v>
      </c>
      <c r="B6783" s="135">
        <f>YEAR(source[[#This Row],[report_date]])</f>
        <v>2025</v>
      </c>
      <c r="C6783" s="128">
        <f t="shared" si="316"/>
        <v>5</v>
      </c>
      <c r="D6783" s="136">
        <f t="shared" si="315"/>
        <v>20</v>
      </c>
      <c r="E6783" s="136">
        <f t="shared" si="317"/>
        <v>17</v>
      </c>
      <c r="F6783" s="128" t="s">
        <v>24</v>
      </c>
      <c r="G6783" s="128" t="str">
        <f>VLOOKUP(source[[#This Row],[lending_product_transform]],[3]Mapping!$B$4:$C$37,2,0)</f>
        <v>[Cake] - Cashloan</v>
      </c>
      <c r="H6783" s="128" t="str">
        <f>VLOOKUP(source[[#This Row],[lending_product_transform]],[3]Mapping!$B$3:$D$37,3,0)</f>
        <v>cashloan</v>
      </c>
      <c r="I6783" s="135">
        <v>0</v>
      </c>
    </row>
    <row r="6784" spans="1:9" x14ac:dyDescent="0.2">
      <c r="A6784" s="134">
        <v>45794</v>
      </c>
      <c r="B6784" s="135">
        <f>YEAR(source[[#This Row],[report_date]])</f>
        <v>2025</v>
      </c>
      <c r="C6784" s="128">
        <f t="shared" si="316"/>
        <v>5</v>
      </c>
      <c r="D6784" s="136">
        <f t="shared" si="315"/>
        <v>20</v>
      </c>
      <c r="E6784" s="136">
        <f t="shared" si="317"/>
        <v>17</v>
      </c>
      <c r="F6784" s="128" t="s">
        <v>24</v>
      </c>
      <c r="G6784" s="128" t="str">
        <f>VLOOKUP(source[[#This Row],[lending_product_transform]],[3]Mapping!$B$4:$C$37,2,0)</f>
        <v>[Cake] - Cashloan</v>
      </c>
      <c r="H6784" s="128" t="str">
        <f>VLOOKUP(source[[#This Row],[lending_product_transform]],[3]Mapping!$B$3:$D$37,3,0)</f>
        <v>cashloan</v>
      </c>
      <c r="I6784" s="135">
        <v>10500000</v>
      </c>
    </row>
    <row r="6785" spans="1:9" x14ac:dyDescent="0.2">
      <c r="A6785" s="134">
        <v>45794</v>
      </c>
      <c r="B6785" s="135">
        <f>YEAR(source[[#This Row],[report_date]])</f>
        <v>2025</v>
      </c>
      <c r="C6785" s="128">
        <f t="shared" si="316"/>
        <v>5</v>
      </c>
      <c r="D6785" s="136">
        <f t="shared" si="315"/>
        <v>20</v>
      </c>
      <c r="E6785" s="136">
        <f t="shared" si="317"/>
        <v>17</v>
      </c>
      <c r="F6785" s="128" t="s">
        <v>24</v>
      </c>
      <c r="G6785" s="128" t="str">
        <f>VLOOKUP(source[[#This Row],[lending_product_transform]],[3]Mapping!$B$4:$C$37,2,0)</f>
        <v>[Cake] - Cashloan</v>
      </c>
      <c r="H6785" s="128" t="str">
        <f>VLOOKUP(source[[#This Row],[lending_product_transform]],[3]Mapping!$B$3:$D$37,3,0)</f>
        <v>cashloan</v>
      </c>
      <c r="I6785" s="135">
        <v>28000000</v>
      </c>
    </row>
    <row r="6786" spans="1:9" x14ac:dyDescent="0.2">
      <c r="A6786" s="134">
        <v>45794</v>
      </c>
      <c r="B6786" s="135">
        <f>YEAR(source[[#This Row],[report_date]])</f>
        <v>2025</v>
      </c>
      <c r="C6786" s="128">
        <f t="shared" si="316"/>
        <v>5</v>
      </c>
      <c r="D6786" s="136">
        <f t="shared" si="315"/>
        <v>20</v>
      </c>
      <c r="E6786" s="136">
        <f t="shared" si="317"/>
        <v>17</v>
      </c>
      <c r="F6786" s="128" t="s">
        <v>24</v>
      </c>
      <c r="G6786" s="128" t="str">
        <f>VLOOKUP(source[[#This Row],[lending_product_transform]],[3]Mapping!$B$4:$C$37,2,0)</f>
        <v>[Cake] - Cashloan</v>
      </c>
      <c r="H6786" s="128" t="str">
        <f>VLOOKUP(source[[#This Row],[lending_product_transform]],[3]Mapping!$B$3:$D$37,3,0)</f>
        <v>cashloan</v>
      </c>
      <c r="I6786" s="135">
        <v>0</v>
      </c>
    </row>
    <row r="6787" spans="1:9" x14ac:dyDescent="0.2">
      <c r="A6787" s="134">
        <v>45794</v>
      </c>
      <c r="B6787" s="135">
        <f>YEAR(source[[#This Row],[report_date]])</f>
        <v>2025</v>
      </c>
      <c r="C6787" s="128">
        <f t="shared" si="316"/>
        <v>5</v>
      </c>
      <c r="D6787" s="136">
        <f t="shared" ref="D6787:D6850" si="318">WEEKNUM(A6787,2)</f>
        <v>20</v>
      </c>
      <c r="E6787" s="136">
        <f t="shared" si="317"/>
        <v>17</v>
      </c>
      <c r="F6787" s="128" t="s">
        <v>24</v>
      </c>
      <c r="G6787" s="128" t="str">
        <f>VLOOKUP(source[[#This Row],[lending_product_transform]],[3]Mapping!$B$4:$C$37,2,0)</f>
        <v>[Cake] - Cashloan</v>
      </c>
      <c r="H6787" s="128" t="str">
        <f>VLOOKUP(source[[#This Row],[lending_product_transform]],[3]Mapping!$B$3:$D$37,3,0)</f>
        <v>cashloan</v>
      </c>
      <c r="I6787" s="135">
        <v>617610000</v>
      </c>
    </row>
    <row r="6788" spans="1:9" x14ac:dyDescent="0.2">
      <c r="A6788" s="134">
        <v>45794</v>
      </c>
      <c r="B6788" s="135">
        <f>YEAR(source[[#This Row],[report_date]])</f>
        <v>2025</v>
      </c>
      <c r="C6788" s="128">
        <f t="shared" si="316"/>
        <v>5</v>
      </c>
      <c r="D6788" s="136">
        <f t="shared" si="318"/>
        <v>20</v>
      </c>
      <c r="E6788" s="136">
        <f t="shared" si="317"/>
        <v>17</v>
      </c>
      <c r="F6788" s="128" t="s">
        <v>24</v>
      </c>
      <c r="G6788" s="128" t="str">
        <f>VLOOKUP(source[[#This Row],[lending_product_transform]],[3]Mapping!$B$4:$C$37,2,0)</f>
        <v>[Cake] - Cashloan</v>
      </c>
      <c r="H6788" s="128" t="str">
        <f>VLOOKUP(source[[#This Row],[lending_product_transform]],[3]Mapping!$B$3:$D$37,3,0)</f>
        <v>cashloan</v>
      </c>
      <c r="I6788" s="135">
        <v>1335720000</v>
      </c>
    </row>
    <row r="6789" spans="1:9" x14ac:dyDescent="0.2">
      <c r="A6789" s="134">
        <v>45794</v>
      </c>
      <c r="B6789" s="135">
        <f>YEAR(source[[#This Row],[report_date]])</f>
        <v>2025</v>
      </c>
      <c r="C6789" s="128">
        <f t="shared" si="316"/>
        <v>5</v>
      </c>
      <c r="D6789" s="136">
        <f t="shared" si="318"/>
        <v>20</v>
      </c>
      <c r="E6789" s="136">
        <f t="shared" si="317"/>
        <v>17</v>
      </c>
      <c r="F6789" s="128" t="s">
        <v>24</v>
      </c>
      <c r="G6789" s="128" t="str">
        <f>VLOOKUP(source[[#This Row],[lending_product_transform]],[3]Mapping!$B$4:$C$37,2,0)</f>
        <v>[Cake] - Cashloan</v>
      </c>
      <c r="H6789" s="128" t="str">
        <f>VLOOKUP(source[[#This Row],[lending_product_transform]],[3]Mapping!$B$3:$D$37,3,0)</f>
        <v>cashloan</v>
      </c>
      <c r="I6789" s="135">
        <v>0</v>
      </c>
    </row>
    <row r="6790" spans="1:9" x14ac:dyDescent="0.2">
      <c r="A6790" s="134">
        <v>45794</v>
      </c>
      <c r="B6790" s="135">
        <f>YEAR(source[[#This Row],[report_date]])</f>
        <v>2025</v>
      </c>
      <c r="C6790" s="128">
        <f t="shared" si="316"/>
        <v>5</v>
      </c>
      <c r="D6790" s="136">
        <f t="shared" si="318"/>
        <v>20</v>
      </c>
      <c r="E6790" s="136">
        <f t="shared" si="317"/>
        <v>17</v>
      </c>
      <c r="F6790" s="128" t="s">
        <v>24</v>
      </c>
      <c r="G6790" s="128" t="str">
        <f>VLOOKUP(source[[#This Row],[lending_product_transform]],[3]Mapping!$B$4:$C$37,2,0)</f>
        <v>[Cake] - Cashloan</v>
      </c>
      <c r="H6790" s="128" t="str">
        <f>VLOOKUP(source[[#This Row],[lending_product_transform]],[3]Mapping!$B$3:$D$37,3,0)</f>
        <v>cashloan</v>
      </c>
      <c r="I6790" s="135">
        <v>210307348</v>
      </c>
    </row>
    <row r="6791" spans="1:9" x14ac:dyDescent="0.2">
      <c r="A6791" s="134">
        <v>45794</v>
      </c>
      <c r="B6791" s="135">
        <f>YEAR(source[[#This Row],[report_date]])</f>
        <v>2025</v>
      </c>
      <c r="C6791" s="128">
        <f t="shared" si="316"/>
        <v>5</v>
      </c>
      <c r="D6791" s="136">
        <f t="shared" si="318"/>
        <v>20</v>
      </c>
      <c r="E6791" s="136">
        <f t="shared" si="317"/>
        <v>17</v>
      </c>
      <c r="F6791" s="128" t="s">
        <v>24</v>
      </c>
      <c r="G6791" s="128" t="str">
        <f>VLOOKUP(source[[#This Row],[lending_product_transform]],[3]Mapping!$B$4:$C$37,2,0)</f>
        <v>[Cake] - Cashloan</v>
      </c>
      <c r="H6791" s="128" t="str">
        <f>VLOOKUP(source[[#This Row],[lending_product_transform]],[3]Mapping!$B$3:$D$37,3,0)</f>
        <v>cashloan</v>
      </c>
      <c r="I6791" s="135">
        <v>243519168</v>
      </c>
    </row>
    <row r="6792" spans="1:9" x14ac:dyDescent="0.2">
      <c r="A6792" s="134">
        <v>45794</v>
      </c>
      <c r="B6792" s="135">
        <f>YEAR(source[[#This Row],[report_date]])</f>
        <v>2025</v>
      </c>
      <c r="C6792" s="128">
        <f t="shared" si="316"/>
        <v>5</v>
      </c>
      <c r="D6792" s="136">
        <f t="shared" si="318"/>
        <v>20</v>
      </c>
      <c r="E6792" s="136">
        <f t="shared" si="317"/>
        <v>17</v>
      </c>
      <c r="F6792" s="128" t="s">
        <v>24</v>
      </c>
      <c r="G6792" s="128" t="str">
        <f>VLOOKUP(source[[#This Row],[lending_product_transform]],[3]Mapping!$B$4:$C$37,2,0)</f>
        <v>[Cake] - Cashloan</v>
      </c>
      <c r="H6792" s="128" t="str">
        <f>VLOOKUP(source[[#This Row],[lending_product_transform]],[3]Mapping!$B$3:$D$37,3,0)</f>
        <v>cashloan</v>
      </c>
      <c r="I6792" s="135">
        <v>3198300842</v>
      </c>
    </row>
    <row r="6793" spans="1:9" x14ac:dyDescent="0.2">
      <c r="A6793" s="134">
        <v>45794</v>
      </c>
      <c r="B6793" s="135">
        <f>YEAR(source[[#This Row],[report_date]])</f>
        <v>2025</v>
      </c>
      <c r="C6793" s="128">
        <f t="shared" si="316"/>
        <v>5</v>
      </c>
      <c r="D6793" s="136">
        <f t="shared" si="318"/>
        <v>20</v>
      </c>
      <c r="E6793" s="136">
        <f t="shared" si="317"/>
        <v>17</v>
      </c>
      <c r="F6793" s="128" t="s">
        <v>24</v>
      </c>
      <c r="G6793" s="128" t="str">
        <f>VLOOKUP(source[[#This Row],[lending_product_transform]],[3]Mapping!$B$4:$C$37,2,0)</f>
        <v>[Cake] - Cashloan</v>
      </c>
      <c r="H6793" s="128" t="str">
        <f>VLOOKUP(source[[#This Row],[lending_product_transform]],[3]Mapping!$B$3:$D$37,3,0)</f>
        <v>cashloan</v>
      </c>
      <c r="I6793" s="135">
        <v>311212522</v>
      </c>
    </row>
    <row r="6794" spans="1:9" x14ac:dyDescent="0.2">
      <c r="A6794" s="134">
        <v>45795</v>
      </c>
      <c r="B6794" s="135">
        <f>YEAR(source[[#This Row],[report_date]])</f>
        <v>2025</v>
      </c>
      <c r="C6794" s="128">
        <f t="shared" si="316"/>
        <v>5</v>
      </c>
      <c r="D6794" s="136">
        <f t="shared" si="318"/>
        <v>20</v>
      </c>
      <c r="E6794" s="136">
        <f t="shared" si="317"/>
        <v>18</v>
      </c>
      <c r="F6794" s="128" t="s">
        <v>24</v>
      </c>
      <c r="G6794" s="128" t="str">
        <f>VLOOKUP(source[[#This Row],[lending_product_transform]],[3]Mapping!$B$4:$C$37,2,0)</f>
        <v>[Cake] - Cashloan</v>
      </c>
      <c r="H6794" s="128" t="str">
        <f>VLOOKUP(source[[#This Row],[lending_product_transform]],[3]Mapping!$B$3:$D$37,3,0)</f>
        <v>cashloan</v>
      </c>
      <c r="I6794" s="135">
        <v>7071770000</v>
      </c>
    </row>
    <row r="6795" spans="1:9" x14ac:dyDescent="0.2">
      <c r="A6795" s="134">
        <v>45795</v>
      </c>
      <c r="B6795" s="135">
        <f>YEAR(source[[#This Row],[report_date]])</f>
        <v>2025</v>
      </c>
      <c r="C6795" s="128">
        <f t="shared" si="316"/>
        <v>5</v>
      </c>
      <c r="D6795" s="136">
        <f t="shared" si="318"/>
        <v>20</v>
      </c>
      <c r="E6795" s="136">
        <f t="shared" si="317"/>
        <v>18</v>
      </c>
      <c r="F6795" s="128" t="s">
        <v>24</v>
      </c>
      <c r="G6795" s="128" t="str">
        <f>VLOOKUP(source[[#This Row],[lending_product_transform]],[3]Mapping!$B$4:$C$37,2,0)</f>
        <v>[Cake] - Cashloan</v>
      </c>
      <c r="H6795" s="128" t="str">
        <f>VLOOKUP(source[[#This Row],[lending_product_transform]],[3]Mapping!$B$3:$D$37,3,0)</f>
        <v>cashloan</v>
      </c>
      <c r="I6795" s="135">
        <v>5306256000</v>
      </c>
    </row>
    <row r="6796" spans="1:9" x14ac:dyDescent="0.2">
      <c r="A6796" s="134">
        <v>45795</v>
      </c>
      <c r="B6796" s="135">
        <f>YEAR(source[[#This Row],[report_date]])</f>
        <v>2025</v>
      </c>
      <c r="C6796" s="128">
        <f t="shared" si="316"/>
        <v>5</v>
      </c>
      <c r="D6796" s="136">
        <f t="shared" si="318"/>
        <v>20</v>
      </c>
      <c r="E6796" s="136">
        <f t="shared" si="317"/>
        <v>18</v>
      </c>
      <c r="F6796" s="128" t="s">
        <v>24</v>
      </c>
      <c r="G6796" s="128" t="str">
        <f>VLOOKUP(source[[#This Row],[lending_product_transform]],[3]Mapping!$B$4:$C$37,2,0)</f>
        <v>[Cake] - Cashloan</v>
      </c>
      <c r="H6796" s="128" t="str">
        <f>VLOOKUP(source[[#This Row],[lending_product_transform]],[3]Mapping!$B$3:$D$37,3,0)</f>
        <v>cashloan</v>
      </c>
      <c r="I6796" s="135">
        <v>6646680000</v>
      </c>
    </row>
    <row r="6797" spans="1:9" x14ac:dyDescent="0.2">
      <c r="A6797" s="134">
        <v>45795</v>
      </c>
      <c r="B6797" s="135">
        <f>YEAR(source[[#This Row],[report_date]])</f>
        <v>2025</v>
      </c>
      <c r="C6797" s="128">
        <f t="shared" si="316"/>
        <v>5</v>
      </c>
      <c r="D6797" s="136">
        <f t="shared" si="318"/>
        <v>20</v>
      </c>
      <c r="E6797" s="136">
        <f t="shared" si="317"/>
        <v>18</v>
      </c>
      <c r="F6797" s="128" t="s">
        <v>24</v>
      </c>
      <c r="G6797" s="128" t="str">
        <f>VLOOKUP(source[[#This Row],[lending_product_transform]],[3]Mapping!$B$4:$C$37,2,0)</f>
        <v>[Cake] - Cashloan</v>
      </c>
      <c r="H6797" s="128" t="str">
        <f>VLOOKUP(source[[#This Row],[lending_product_transform]],[3]Mapping!$B$3:$D$37,3,0)</f>
        <v>cashloan</v>
      </c>
      <c r="I6797" s="135">
        <v>0</v>
      </c>
    </row>
    <row r="6798" spans="1:9" x14ac:dyDescent="0.2">
      <c r="A6798" s="134">
        <v>45795</v>
      </c>
      <c r="B6798" s="135">
        <f>YEAR(source[[#This Row],[report_date]])</f>
        <v>2025</v>
      </c>
      <c r="C6798" s="128">
        <f t="shared" si="316"/>
        <v>5</v>
      </c>
      <c r="D6798" s="136">
        <f t="shared" si="318"/>
        <v>20</v>
      </c>
      <c r="E6798" s="136">
        <f t="shared" si="317"/>
        <v>18</v>
      </c>
      <c r="F6798" s="128" t="s">
        <v>24</v>
      </c>
      <c r="G6798" s="128" t="str">
        <f>VLOOKUP(source[[#This Row],[lending_product_transform]],[3]Mapping!$B$4:$C$37,2,0)</f>
        <v>[Cake] - Cashloan</v>
      </c>
      <c r="H6798" s="128" t="str">
        <f>VLOOKUP(source[[#This Row],[lending_product_transform]],[3]Mapping!$B$3:$D$37,3,0)</f>
        <v>cashloan</v>
      </c>
      <c r="I6798" s="135">
        <v>9107012</v>
      </c>
    </row>
    <row r="6799" spans="1:9" x14ac:dyDescent="0.2">
      <c r="A6799" s="134">
        <v>45795</v>
      </c>
      <c r="B6799" s="135">
        <f>YEAR(source[[#This Row],[report_date]])</f>
        <v>2025</v>
      </c>
      <c r="C6799" s="128">
        <f t="shared" si="316"/>
        <v>5</v>
      </c>
      <c r="D6799" s="136">
        <f t="shared" si="318"/>
        <v>20</v>
      </c>
      <c r="E6799" s="136">
        <f t="shared" si="317"/>
        <v>18</v>
      </c>
      <c r="F6799" s="128" t="s">
        <v>24</v>
      </c>
      <c r="G6799" s="128" t="str">
        <f>VLOOKUP(source[[#This Row],[lending_product_transform]],[3]Mapping!$B$4:$C$37,2,0)</f>
        <v>[Cake] - Cashloan</v>
      </c>
      <c r="H6799" s="128" t="str">
        <f>VLOOKUP(source[[#This Row],[lending_product_transform]],[3]Mapping!$B$3:$D$37,3,0)</f>
        <v>cashloan</v>
      </c>
      <c r="I6799" s="135">
        <v>1911000000</v>
      </c>
    </row>
    <row r="6800" spans="1:9" x14ac:dyDescent="0.2">
      <c r="A6800" s="134">
        <v>45795</v>
      </c>
      <c r="B6800" s="135">
        <f>YEAR(source[[#This Row],[report_date]])</f>
        <v>2025</v>
      </c>
      <c r="C6800" s="128">
        <f t="shared" si="316"/>
        <v>5</v>
      </c>
      <c r="D6800" s="136">
        <f t="shared" si="318"/>
        <v>20</v>
      </c>
      <c r="E6800" s="136">
        <f t="shared" si="317"/>
        <v>18</v>
      </c>
      <c r="F6800" s="128" t="s">
        <v>24</v>
      </c>
      <c r="G6800" s="128" t="str">
        <f>VLOOKUP(source[[#This Row],[lending_product_transform]],[3]Mapping!$B$4:$C$37,2,0)</f>
        <v>[Cake] - Cashloan</v>
      </c>
      <c r="H6800" s="128" t="str">
        <f>VLOOKUP(source[[#This Row],[lending_product_transform]],[3]Mapping!$B$3:$D$37,3,0)</f>
        <v>cashloan</v>
      </c>
      <c r="I6800" s="135">
        <v>0</v>
      </c>
    </row>
    <row r="6801" spans="1:9" x14ac:dyDescent="0.2">
      <c r="A6801" s="134">
        <v>45795</v>
      </c>
      <c r="B6801" s="135">
        <f>YEAR(source[[#This Row],[report_date]])</f>
        <v>2025</v>
      </c>
      <c r="C6801" s="128">
        <f t="shared" si="316"/>
        <v>5</v>
      </c>
      <c r="D6801" s="136">
        <f t="shared" si="318"/>
        <v>20</v>
      </c>
      <c r="E6801" s="136">
        <f t="shared" si="317"/>
        <v>18</v>
      </c>
      <c r="F6801" s="128" t="s">
        <v>24</v>
      </c>
      <c r="G6801" s="128" t="str">
        <f>VLOOKUP(source[[#This Row],[lending_product_transform]],[3]Mapping!$B$4:$C$37,2,0)</f>
        <v>[Cake] - Cashloan</v>
      </c>
      <c r="H6801" s="128" t="str">
        <f>VLOOKUP(source[[#This Row],[lending_product_transform]],[3]Mapping!$B$3:$D$37,3,0)</f>
        <v>cashloan</v>
      </c>
      <c r="I6801" s="135">
        <v>0</v>
      </c>
    </row>
    <row r="6802" spans="1:9" x14ac:dyDescent="0.2">
      <c r="A6802" s="134">
        <v>45795</v>
      </c>
      <c r="B6802" s="135">
        <f>YEAR(source[[#This Row],[report_date]])</f>
        <v>2025</v>
      </c>
      <c r="C6802" s="128">
        <f t="shared" si="316"/>
        <v>5</v>
      </c>
      <c r="D6802" s="136">
        <f t="shared" si="318"/>
        <v>20</v>
      </c>
      <c r="E6802" s="136">
        <f t="shared" si="317"/>
        <v>18</v>
      </c>
      <c r="F6802" s="128" t="s">
        <v>24</v>
      </c>
      <c r="G6802" s="128" t="str">
        <f>VLOOKUP(source[[#This Row],[lending_product_transform]],[3]Mapping!$B$4:$C$37,2,0)</f>
        <v>[Cake] - Cashloan</v>
      </c>
      <c r="H6802" s="128" t="str">
        <f>VLOOKUP(source[[#This Row],[lending_product_transform]],[3]Mapping!$B$3:$D$37,3,0)</f>
        <v>cashloan</v>
      </c>
      <c r="I6802" s="135">
        <v>20000000</v>
      </c>
    </row>
    <row r="6803" spans="1:9" x14ac:dyDescent="0.2">
      <c r="A6803" s="134">
        <v>45795</v>
      </c>
      <c r="B6803" s="135">
        <f>YEAR(source[[#This Row],[report_date]])</f>
        <v>2025</v>
      </c>
      <c r="C6803" s="128">
        <f t="shared" si="316"/>
        <v>5</v>
      </c>
      <c r="D6803" s="136">
        <f t="shared" si="318"/>
        <v>20</v>
      </c>
      <c r="E6803" s="136">
        <f t="shared" si="317"/>
        <v>18</v>
      </c>
      <c r="F6803" s="128" t="s">
        <v>24</v>
      </c>
      <c r="G6803" s="128" t="str">
        <f>VLOOKUP(source[[#This Row],[lending_product_transform]],[3]Mapping!$B$4:$C$37,2,0)</f>
        <v>[Cake] - Cashloan</v>
      </c>
      <c r="H6803" s="128" t="str">
        <f>VLOOKUP(source[[#This Row],[lending_product_transform]],[3]Mapping!$B$3:$D$37,3,0)</f>
        <v>cashloan</v>
      </c>
      <c r="I6803" s="135">
        <v>2000000</v>
      </c>
    </row>
    <row r="6804" spans="1:9" x14ac:dyDescent="0.2">
      <c r="A6804" s="134">
        <v>45795</v>
      </c>
      <c r="B6804" s="135">
        <f>YEAR(source[[#This Row],[report_date]])</f>
        <v>2025</v>
      </c>
      <c r="C6804" s="128">
        <f t="shared" si="316"/>
        <v>5</v>
      </c>
      <c r="D6804" s="136">
        <f t="shared" si="318"/>
        <v>20</v>
      </c>
      <c r="E6804" s="136">
        <f t="shared" si="317"/>
        <v>18</v>
      </c>
      <c r="F6804" s="128" t="s">
        <v>24</v>
      </c>
      <c r="G6804" s="128" t="str">
        <f>VLOOKUP(source[[#This Row],[lending_product_transform]],[3]Mapping!$B$4:$C$37,2,0)</f>
        <v>[Cake] - Cashloan</v>
      </c>
      <c r="H6804" s="128" t="str">
        <f>VLOOKUP(source[[#This Row],[lending_product_transform]],[3]Mapping!$B$3:$D$37,3,0)</f>
        <v>cashloan</v>
      </c>
      <c r="I6804" s="135">
        <v>0</v>
      </c>
    </row>
    <row r="6805" spans="1:9" x14ac:dyDescent="0.2">
      <c r="A6805" s="134">
        <v>45795</v>
      </c>
      <c r="B6805" s="135">
        <f>YEAR(source[[#This Row],[report_date]])</f>
        <v>2025</v>
      </c>
      <c r="C6805" s="128">
        <f t="shared" si="316"/>
        <v>5</v>
      </c>
      <c r="D6805" s="136">
        <f t="shared" si="318"/>
        <v>20</v>
      </c>
      <c r="E6805" s="136">
        <f t="shared" si="317"/>
        <v>18</v>
      </c>
      <c r="F6805" s="128" t="s">
        <v>24</v>
      </c>
      <c r="G6805" s="128" t="str">
        <f>VLOOKUP(source[[#This Row],[lending_product_transform]],[3]Mapping!$B$4:$C$37,2,0)</f>
        <v>[Cake] - Cashloan</v>
      </c>
      <c r="H6805" s="128" t="str">
        <f>VLOOKUP(source[[#This Row],[lending_product_transform]],[3]Mapping!$B$3:$D$37,3,0)</f>
        <v>cashloan</v>
      </c>
      <c r="I6805" s="135">
        <v>701070000</v>
      </c>
    </row>
    <row r="6806" spans="1:9" x14ac:dyDescent="0.2">
      <c r="A6806" s="134">
        <v>45795</v>
      </c>
      <c r="B6806" s="135">
        <f>YEAR(source[[#This Row],[report_date]])</f>
        <v>2025</v>
      </c>
      <c r="C6806" s="128">
        <f t="shared" si="316"/>
        <v>5</v>
      </c>
      <c r="D6806" s="136">
        <f t="shared" si="318"/>
        <v>20</v>
      </c>
      <c r="E6806" s="136">
        <f t="shared" si="317"/>
        <v>18</v>
      </c>
      <c r="F6806" s="128" t="s">
        <v>24</v>
      </c>
      <c r="G6806" s="128" t="str">
        <f>VLOOKUP(source[[#This Row],[lending_product_transform]],[3]Mapping!$B$4:$C$37,2,0)</f>
        <v>[Cake] - Cashloan</v>
      </c>
      <c r="H6806" s="128" t="str">
        <f>VLOOKUP(source[[#This Row],[lending_product_transform]],[3]Mapping!$B$3:$D$37,3,0)</f>
        <v>cashloan</v>
      </c>
      <c r="I6806" s="135">
        <v>0</v>
      </c>
    </row>
    <row r="6807" spans="1:9" x14ac:dyDescent="0.2">
      <c r="A6807" s="134">
        <v>45795</v>
      </c>
      <c r="B6807" s="135">
        <f>YEAR(source[[#This Row],[report_date]])</f>
        <v>2025</v>
      </c>
      <c r="C6807" s="128">
        <f t="shared" si="316"/>
        <v>5</v>
      </c>
      <c r="D6807" s="136">
        <f t="shared" si="318"/>
        <v>20</v>
      </c>
      <c r="E6807" s="136">
        <f t="shared" si="317"/>
        <v>18</v>
      </c>
      <c r="F6807" s="128" t="s">
        <v>24</v>
      </c>
      <c r="G6807" s="128" t="str">
        <f>VLOOKUP(source[[#This Row],[lending_product_transform]],[3]Mapping!$B$4:$C$37,2,0)</f>
        <v>[Cake] - Cashloan</v>
      </c>
      <c r="H6807" s="128" t="str">
        <f>VLOOKUP(source[[#This Row],[lending_product_transform]],[3]Mapping!$B$3:$D$37,3,0)</f>
        <v>cashloan</v>
      </c>
      <c r="I6807" s="135">
        <v>1549430000</v>
      </c>
    </row>
    <row r="6808" spans="1:9" x14ac:dyDescent="0.2">
      <c r="A6808" s="134">
        <v>45795</v>
      </c>
      <c r="B6808" s="135">
        <f>YEAR(source[[#This Row],[report_date]])</f>
        <v>2025</v>
      </c>
      <c r="C6808" s="128">
        <f t="shared" si="316"/>
        <v>5</v>
      </c>
      <c r="D6808" s="136">
        <f t="shared" si="318"/>
        <v>20</v>
      </c>
      <c r="E6808" s="136">
        <f t="shared" si="317"/>
        <v>18</v>
      </c>
      <c r="F6808" s="128" t="s">
        <v>24</v>
      </c>
      <c r="G6808" s="128" t="str">
        <f>VLOOKUP(source[[#This Row],[lending_product_transform]],[3]Mapping!$B$4:$C$37,2,0)</f>
        <v>[Cake] - Cashloan</v>
      </c>
      <c r="H6808" s="128" t="str">
        <f>VLOOKUP(source[[#This Row],[lending_product_transform]],[3]Mapping!$B$3:$D$37,3,0)</f>
        <v>cashloan</v>
      </c>
      <c r="I6808" s="135">
        <v>0</v>
      </c>
    </row>
    <row r="6809" spans="1:9" x14ac:dyDescent="0.2">
      <c r="A6809" s="134">
        <v>45795</v>
      </c>
      <c r="B6809" s="135">
        <f>YEAR(source[[#This Row],[report_date]])</f>
        <v>2025</v>
      </c>
      <c r="C6809" s="128">
        <f t="shared" si="316"/>
        <v>5</v>
      </c>
      <c r="D6809" s="136">
        <f t="shared" si="318"/>
        <v>20</v>
      </c>
      <c r="E6809" s="136">
        <f t="shared" si="317"/>
        <v>18</v>
      </c>
      <c r="F6809" s="128" t="s">
        <v>24</v>
      </c>
      <c r="G6809" s="128" t="str">
        <f>VLOOKUP(source[[#This Row],[lending_product_transform]],[3]Mapping!$B$4:$C$37,2,0)</f>
        <v>[Cake] - Cashloan</v>
      </c>
      <c r="H6809" s="128" t="str">
        <f>VLOOKUP(source[[#This Row],[lending_product_transform]],[3]Mapping!$B$3:$D$37,3,0)</f>
        <v>cashloan</v>
      </c>
      <c r="I6809" s="135">
        <v>221879249</v>
      </c>
    </row>
    <row r="6810" spans="1:9" x14ac:dyDescent="0.2">
      <c r="A6810" s="134">
        <v>45795</v>
      </c>
      <c r="B6810" s="135">
        <f>YEAR(source[[#This Row],[report_date]])</f>
        <v>2025</v>
      </c>
      <c r="C6810" s="128">
        <f t="shared" si="316"/>
        <v>5</v>
      </c>
      <c r="D6810" s="136">
        <f t="shared" si="318"/>
        <v>20</v>
      </c>
      <c r="E6810" s="136">
        <f t="shared" si="317"/>
        <v>18</v>
      </c>
      <c r="F6810" s="128" t="s">
        <v>24</v>
      </c>
      <c r="G6810" s="128" t="str">
        <f>VLOOKUP(source[[#This Row],[lending_product_transform]],[3]Mapping!$B$4:$C$37,2,0)</f>
        <v>[Cake] - Cashloan</v>
      </c>
      <c r="H6810" s="128" t="str">
        <f>VLOOKUP(source[[#This Row],[lending_product_transform]],[3]Mapping!$B$3:$D$37,3,0)</f>
        <v>cashloan</v>
      </c>
      <c r="I6810" s="135">
        <v>283581102</v>
      </c>
    </row>
    <row r="6811" spans="1:9" x14ac:dyDescent="0.2">
      <c r="A6811" s="134">
        <v>45795</v>
      </c>
      <c r="B6811" s="135">
        <f>YEAR(source[[#This Row],[report_date]])</f>
        <v>2025</v>
      </c>
      <c r="C6811" s="128">
        <f t="shared" si="316"/>
        <v>5</v>
      </c>
      <c r="D6811" s="136">
        <f t="shared" si="318"/>
        <v>20</v>
      </c>
      <c r="E6811" s="136">
        <f t="shared" si="317"/>
        <v>18</v>
      </c>
      <c r="F6811" s="128" t="s">
        <v>24</v>
      </c>
      <c r="G6811" s="128" t="str">
        <f>VLOOKUP(source[[#This Row],[lending_product_transform]],[3]Mapping!$B$4:$C$37,2,0)</f>
        <v>[Cake] - Cashloan</v>
      </c>
      <c r="H6811" s="128" t="str">
        <f>VLOOKUP(source[[#This Row],[lending_product_transform]],[3]Mapping!$B$3:$D$37,3,0)</f>
        <v>cashloan</v>
      </c>
      <c r="I6811" s="135">
        <v>3041198009</v>
      </c>
    </row>
    <row r="6812" spans="1:9" x14ac:dyDescent="0.2">
      <c r="A6812" s="134">
        <v>45795</v>
      </c>
      <c r="B6812" s="135">
        <f>YEAR(source[[#This Row],[report_date]])</f>
        <v>2025</v>
      </c>
      <c r="C6812" s="128">
        <f t="shared" si="316"/>
        <v>5</v>
      </c>
      <c r="D6812" s="136">
        <f t="shared" si="318"/>
        <v>20</v>
      </c>
      <c r="E6812" s="136">
        <f t="shared" si="317"/>
        <v>18</v>
      </c>
      <c r="F6812" s="128" t="s">
        <v>24</v>
      </c>
      <c r="G6812" s="128" t="str">
        <f>VLOOKUP(source[[#This Row],[lending_product_transform]],[3]Mapping!$B$4:$C$37,2,0)</f>
        <v>[Cake] - Cashloan</v>
      </c>
      <c r="H6812" s="128" t="str">
        <f>VLOOKUP(source[[#This Row],[lending_product_transform]],[3]Mapping!$B$3:$D$37,3,0)</f>
        <v>cashloan</v>
      </c>
      <c r="I6812" s="135">
        <v>277169547</v>
      </c>
    </row>
    <row r="6813" spans="1:9" x14ac:dyDescent="0.2">
      <c r="A6813" s="134">
        <v>45796</v>
      </c>
      <c r="B6813" s="135">
        <f>YEAR(source[[#This Row],[report_date]])</f>
        <v>2025</v>
      </c>
      <c r="C6813" s="128">
        <f t="shared" si="316"/>
        <v>5</v>
      </c>
      <c r="D6813" s="136">
        <f t="shared" si="318"/>
        <v>21</v>
      </c>
      <c r="E6813" s="136">
        <f t="shared" si="317"/>
        <v>19</v>
      </c>
      <c r="F6813" s="128" t="s">
        <v>24</v>
      </c>
      <c r="G6813" s="128" t="str">
        <f>VLOOKUP(source[[#This Row],[lending_product_transform]],[3]Mapping!$B$4:$C$37,2,0)</f>
        <v>[Cake] - Cashloan</v>
      </c>
      <c r="H6813" s="128" t="str">
        <f>VLOOKUP(source[[#This Row],[lending_product_transform]],[3]Mapping!$B$3:$D$37,3,0)</f>
        <v>cashloan</v>
      </c>
      <c r="I6813" s="135">
        <v>79800000</v>
      </c>
    </row>
    <row r="6814" spans="1:9" x14ac:dyDescent="0.2">
      <c r="A6814" s="134">
        <v>45796</v>
      </c>
      <c r="B6814" s="135">
        <f>YEAR(source[[#This Row],[report_date]])</f>
        <v>2025</v>
      </c>
      <c r="C6814" s="128">
        <f t="shared" si="316"/>
        <v>5</v>
      </c>
      <c r="D6814" s="136">
        <f t="shared" si="318"/>
        <v>21</v>
      </c>
      <c r="E6814" s="136">
        <f t="shared" si="317"/>
        <v>19</v>
      </c>
      <c r="F6814" s="128" t="s">
        <v>24</v>
      </c>
      <c r="G6814" s="128" t="str">
        <f>VLOOKUP(source[[#This Row],[lending_product_transform]],[3]Mapping!$B$4:$C$37,2,0)</f>
        <v>[Cake] - Cashloan</v>
      </c>
      <c r="H6814" s="128" t="str">
        <f>VLOOKUP(source[[#This Row],[lending_product_transform]],[3]Mapping!$B$3:$D$37,3,0)</f>
        <v>cashloan</v>
      </c>
      <c r="I6814" s="135">
        <v>29702834</v>
      </c>
    </row>
    <row r="6815" spans="1:9" x14ac:dyDescent="0.2">
      <c r="A6815" s="134">
        <v>45796</v>
      </c>
      <c r="B6815" s="135">
        <f>YEAR(source[[#This Row],[report_date]])</f>
        <v>2025</v>
      </c>
      <c r="C6815" s="128">
        <f t="shared" si="316"/>
        <v>5</v>
      </c>
      <c r="D6815" s="136">
        <f t="shared" si="318"/>
        <v>21</v>
      </c>
      <c r="E6815" s="136">
        <f t="shared" si="317"/>
        <v>19</v>
      </c>
      <c r="F6815" s="128" t="s">
        <v>24</v>
      </c>
      <c r="G6815" s="128" t="str">
        <f>VLOOKUP(source[[#This Row],[lending_product_transform]],[3]Mapping!$B$4:$C$37,2,0)</f>
        <v>[Cake] - Cashloan</v>
      </c>
      <c r="H6815" s="128" t="str">
        <f>VLOOKUP(source[[#This Row],[lending_product_transform]],[3]Mapping!$B$3:$D$37,3,0)</f>
        <v>cashloan</v>
      </c>
      <c r="I6815" s="135">
        <v>268906367</v>
      </c>
    </row>
    <row r="6816" spans="1:9" x14ac:dyDescent="0.2">
      <c r="A6816" s="134">
        <v>45796</v>
      </c>
      <c r="B6816" s="135">
        <f>YEAR(source[[#This Row],[report_date]])</f>
        <v>2025</v>
      </c>
      <c r="C6816" s="128">
        <f t="shared" si="316"/>
        <v>5</v>
      </c>
      <c r="D6816" s="136">
        <f t="shared" si="318"/>
        <v>21</v>
      </c>
      <c r="E6816" s="136">
        <f t="shared" si="317"/>
        <v>19</v>
      </c>
      <c r="F6816" s="128" t="s">
        <v>24</v>
      </c>
      <c r="G6816" s="128" t="str">
        <f>VLOOKUP(source[[#This Row],[lending_product_transform]],[3]Mapping!$B$4:$C$37,2,0)</f>
        <v>[Cake] - Cashloan</v>
      </c>
      <c r="H6816" s="128" t="str">
        <f>VLOOKUP(source[[#This Row],[lending_product_transform]],[3]Mapping!$B$3:$D$37,3,0)</f>
        <v>cashloan</v>
      </c>
      <c r="I6816" s="135">
        <v>2095000000</v>
      </c>
    </row>
    <row r="6817" spans="1:9" x14ac:dyDescent="0.2">
      <c r="A6817" s="134">
        <v>45796</v>
      </c>
      <c r="B6817" s="135">
        <f>YEAR(source[[#This Row],[report_date]])</f>
        <v>2025</v>
      </c>
      <c r="C6817" s="128">
        <f t="shared" si="316"/>
        <v>5</v>
      </c>
      <c r="D6817" s="136">
        <f t="shared" si="318"/>
        <v>21</v>
      </c>
      <c r="E6817" s="136">
        <f t="shared" si="317"/>
        <v>19</v>
      </c>
      <c r="F6817" s="128" t="s">
        <v>24</v>
      </c>
      <c r="G6817" s="128" t="str">
        <f>VLOOKUP(source[[#This Row],[lending_product_transform]],[3]Mapping!$B$4:$C$37,2,0)</f>
        <v>[Cake] - Cashloan</v>
      </c>
      <c r="H6817" s="128" t="str">
        <f>VLOOKUP(source[[#This Row],[lending_product_transform]],[3]Mapping!$B$3:$D$37,3,0)</f>
        <v>cashloan</v>
      </c>
      <c r="I6817" s="135">
        <v>0</v>
      </c>
    </row>
    <row r="6818" spans="1:9" x14ac:dyDescent="0.2">
      <c r="A6818" s="134">
        <v>45796</v>
      </c>
      <c r="B6818" s="135">
        <f>YEAR(source[[#This Row],[report_date]])</f>
        <v>2025</v>
      </c>
      <c r="C6818" s="128">
        <f t="shared" si="316"/>
        <v>5</v>
      </c>
      <c r="D6818" s="136">
        <f t="shared" si="318"/>
        <v>21</v>
      </c>
      <c r="E6818" s="136">
        <f t="shared" si="317"/>
        <v>19</v>
      </c>
      <c r="F6818" s="128" t="s">
        <v>24</v>
      </c>
      <c r="G6818" s="128" t="str">
        <f>VLOOKUP(source[[#This Row],[lending_product_transform]],[3]Mapping!$B$4:$C$37,2,0)</f>
        <v>[Cake] - Cashloan</v>
      </c>
      <c r="H6818" s="128" t="str">
        <f>VLOOKUP(source[[#This Row],[lending_product_transform]],[3]Mapping!$B$3:$D$37,3,0)</f>
        <v>cashloan</v>
      </c>
      <c r="I6818" s="135">
        <v>0</v>
      </c>
    </row>
    <row r="6819" spans="1:9" x14ac:dyDescent="0.2">
      <c r="A6819" s="134">
        <v>45796</v>
      </c>
      <c r="B6819" s="135">
        <f>YEAR(source[[#This Row],[report_date]])</f>
        <v>2025</v>
      </c>
      <c r="C6819" s="128">
        <f t="shared" si="316"/>
        <v>5</v>
      </c>
      <c r="D6819" s="136">
        <f t="shared" si="318"/>
        <v>21</v>
      </c>
      <c r="E6819" s="136">
        <f t="shared" si="317"/>
        <v>19</v>
      </c>
      <c r="F6819" s="128" t="s">
        <v>24</v>
      </c>
      <c r="G6819" s="128" t="str">
        <f>VLOOKUP(source[[#This Row],[lending_product_transform]],[3]Mapping!$B$4:$C$37,2,0)</f>
        <v>[Cake] - Cashloan</v>
      </c>
      <c r="H6819" s="128" t="str">
        <f>VLOOKUP(source[[#This Row],[lending_product_transform]],[3]Mapping!$B$3:$D$37,3,0)</f>
        <v>cashloan</v>
      </c>
      <c r="I6819" s="135">
        <v>13000000</v>
      </c>
    </row>
    <row r="6820" spans="1:9" x14ac:dyDescent="0.2">
      <c r="A6820" s="134">
        <v>45796</v>
      </c>
      <c r="B6820" s="135">
        <f>YEAR(source[[#This Row],[report_date]])</f>
        <v>2025</v>
      </c>
      <c r="C6820" s="128">
        <f t="shared" si="316"/>
        <v>5</v>
      </c>
      <c r="D6820" s="136">
        <f t="shared" si="318"/>
        <v>21</v>
      </c>
      <c r="E6820" s="136">
        <f t="shared" si="317"/>
        <v>19</v>
      </c>
      <c r="F6820" s="128" t="s">
        <v>24</v>
      </c>
      <c r="G6820" s="128" t="str">
        <f>VLOOKUP(source[[#This Row],[lending_product_transform]],[3]Mapping!$B$4:$C$37,2,0)</f>
        <v>[Cake] - Cashloan</v>
      </c>
      <c r="H6820" s="128" t="str">
        <f>VLOOKUP(source[[#This Row],[lending_product_transform]],[3]Mapping!$B$3:$D$37,3,0)</f>
        <v>cashloan</v>
      </c>
      <c r="I6820" s="135">
        <v>0</v>
      </c>
    </row>
    <row r="6821" spans="1:9" x14ac:dyDescent="0.2">
      <c r="A6821" s="134">
        <v>45796</v>
      </c>
      <c r="B6821" s="135">
        <f>YEAR(source[[#This Row],[report_date]])</f>
        <v>2025</v>
      </c>
      <c r="C6821" s="128">
        <f t="shared" si="316"/>
        <v>5</v>
      </c>
      <c r="D6821" s="136">
        <f t="shared" si="318"/>
        <v>21</v>
      </c>
      <c r="E6821" s="136">
        <f t="shared" si="317"/>
        <v>19</v>
      </c>
      <c r="F6821" s="128" t="s">
        <v>24</v>
      </c>
      <c r="G6821" s="128" t="str">
        <f>VLOOKUP(source[[#This Row],[lending_product_transform]],[3]Mapping!$B$4:$C$37,2,0)</f>
        <v>[Cake] - Cashloan</v>
      </c>
      <c r="H6821" s="128" t="str">
        <f>VLOOKUP(source[[#This Row],[lending_product_transform]],[3]Mapping!$B$3:$D$37,3,0)</f>
        <v>cashloan</v>
      </c>
      <c r="I6821" s="135">
        <v>633370000</v>
      </c>
    </row>
    <row r="6822" spans="1:9" x14ac:dyDescent="0.2">
      <c r="A6822" s="134">
        <v>45796</v>
      </c>
      <c r="B6822" s="135">
        <f>YEAR(source[[#This Row],[report_date]])</f>
        <v>2025</v>
      </c>
      <c r="C6822" s="128">
        <f t="shared" si="316"/>
        <v>5</v>
      </c>
      <c r="D6822" s="136">
        <f t="shared" si="318"/>
        <v>21</v>
      </c>
      <c r="E6822" s="136">
        <f t="shared" si="317"/>
        <v>19</v>
      </c>
      <c r="F6822" s="128" t="s">
        <v>24</v>
      </c>
      <c r="G6822" s="128" t="str">
        <f>VLOOKUP(source[[#This Row],[lending_product_transform]],[3]Mapping!$B$4:$C$37,2,0)</f>
        <v>[Cake] - Cashloan</v>
      </c>
      <c r="H6822" s="128" t="str">
        <f>VLOOKUP(source[[#This Row],[lending_product_transform]],[3]Mapping!$B$3:$D$37,3,0)</f>
        <v>cashloan</v>
      </c>
      <c r="I6822" s="135">
        <v>0</v>
      </c>
    </row>
    <row r="6823" spans="1:9" x14ac:dyDescent="0.2">
      <c r="A6823" s="134">
        <v>45796</v>
      </c>
      <c r="B6823" s="135">
        <f>YEAR(source[[#This Row],[report_date]])</f>
        <v>2025</v>
      </c>
      <c r="C6823" s="128">
        <f t="shared" si="316"/>
        <v>5</v>
      </c>
      <c r="D6823" s="136">
        <f t="shared" si="318"/>
        <v>21</v>
      </c>
      <c r="E6823" s="136">
        <f t="shared" si="317"/>
        <v>19</v>
      </c>
      <c r="F6823" s="128" t="s">
        <v>24</v>
      </c>
      <c r="G6823" s="128" t="str">
        <f>VLOOKUP(source[[#This Row],[lending_product_transform]],[3]Mapping!$B$4:$C$37,2,0)</f>
        <v>[Cake] - Cashloan</v>
      </c>
      <c r="H6823" s="128" t="str">
        <f>VLOOKUP(source[[#This Row],[lending_product_transform]],[3]Mapping!$B$3:$D$37,3,0)</f>
        <v>cashloan</v>
      </c>
      <c r="I6823" s="135">
        <v>0</v>
      </c>
    </row>
    <row r="6824" spans="1:9" x14ac:dyDescent="0.2">
      <c r="A6824" s="134">
        <v>45796</v>
      </c>
      <c r="B6824" s="135">
        <f>YEAR(source[[#This Row],[report_date]])</f>
        <v>2025</v>
      </c>
      <c r="C6824" s="128">
        <f t="shared" si="316"/>
        <v>5</v>
      </c>
      <c r="D6824" s="136">
        <f t="shared" si="318"/>
        <v>21</v>
      </c>
      <c r="E6824" s="136">
        <f t="shared" si="317"/>
        <v>19</v>
      </c>
      <c r="F6824" s="128" t="s">
        <v>24</v>
      </c>
      <c r="G6824" s="128" t="str">
        <f>VLOOKUP(source[[#This Row],[lending_product_transform]],[3]Mapping!$B$4:$C$37,2,0)</f>
        <v>[Cake] - Cashloan</v>
      </c>
      <c r="H6824" s="128" t="str">
        <f>VLOOKUP(source[[#This Row],[lending_product_transform]],[3]Mapping!$B$3:$D$37,3,0)</f>
        <v>cashloan</v>
      </c>
      <c r="I6824" s="135">
        <v>1300630000</v>
      </c>
    </row>
    <row r="6825" spans="1:9" x14ac:dyDescent="0.2">
      <c r="A6825" s="134">
        <v>45796</v>
      </c>
      <c r="B6825" s="135">
        <f>YEAR(source[[#This Row],[report_date]])</f>
        <v>2025</v>
      </c>
      <c r="C6825" s="128">
        <f t="shared" si="316"/>
        <v>5</v>
      </c>
      <c r="D6825" s="136">
        <f t="shared" si="318"/>
        <v>21</v>
      </c>
      <c r="E6825" s="136">
        <f t="shared" si="317"/>
        <v>19</v>
      </c>
      <c r="F6825" s="128" t="s">
        <v>24</v>
      </c>
      <c r="G6825" s="128" t="str">
        <f>VLOOKUP(source[[#This Row],[lending_product_transform]],[3]Mapping!$B$4:$C$37,2,0)</f>
        <v>[Cake] - Cashloan</v>
      </c>
      <c r="H6825" s="128" t="str">
        <f>VLOOKUP(source[[#This Row],[lending_product_transform]],[3]Mapping!$B$3:$D$37,3,0)</f>
        <v>cashloan</v>
      </c>
      <c r="I6825" s="135">
        <v>0</v>
      </c>
    </row>
    <row r="6826" spans="1:9" x14ac:dyDescent="0.2">
      <c r="A6826" s="134">
        <v>45796</v>
      </c>
      <c r="B6826" s="135">
        <f>YEAR(source[[#This Row],[report_date]])</f>
        <v>2025</v>
      </c>
      <c r="C6826" s="128">
        <f t="shared" si="316"/>
        <v>5</v>
      </c>
      <c r="D6826" s="136">
        <f t="shared" si="318"/>
        <v>21</v>
      </c>
      <c r="E6826" s="136">
        <f t="shared" si="317"/>
        <v>19</v>
      </c>
      <c r="F6826" s="128" t="s">
        <v>24</v>
      </c>
      <c r="G6826" s="128" t="str">
        <f>VLOOKUP(source[[#This Row],[lending_product_transform]],[3]Mapping!$B$4:$C$37,2,0)</f>
        <v>[Cake] - Cashloan</v>
      </c>
      <c r="H6826" s="128" t="str">
        <f>VLOOKUP(source[[#This Row],[lending_product_transform]],[3]Mapping!$B$3:$D$37,3,0)</f>
        <v>cashloan</v>
      </c>
      <c r="I6826" s="135">
        <v>216229778</v>
      </c>
    </row>
    <row r="6827" spans="1:9" x14ac:dyDescent="0.2">
      <c r="A6827" s="134">
        <v>45796</v>
      </c>
      <c r="B6827" s="135">
        <f>YEAR(source[[#This Row],[report_date]])</f>
        <v>2025</v>
      </c>
      <c r="C6827" s="128">
        <f t="shared" si="316"/>
        <v>5</v>
      </c>
      <c r="D6827" s="136">
        <f t="shared" si="318"/>
        <v>21</v>
      </c>
      <c r="E6827" s="136">
        <f t="shared" si="317"/>
        <v>19</v>
      </c>
      <c r="F6827" s="128" t="s">
        <v>24</v>
      </c>
      <c r="G6827" s="128" t="str">
        <f>VLOOKUP(source[[#This Row],[lending_product_transform]],[3]Mapping!$B$4:$C$37,2,0)</f>
        <v>[Cake] - Cashloan</v>
      </c>
      <c r="H6827" s="128" t="str">
        <f>VLOOKUP(source[[#This Row],[lending_product_transform]],[3]Mapping!$B$3:$D$37,3,0)</f>
        <v>cashloan</v>
      </c>
      <c r="I6827" s="135">
        <v>3737360275</v>
      </c>
    </row>
    <row r="6828" spans="1:9" x14ac:dyDescent="0.2">
      <c r="A6828" s="134">
        <v>45796</v>
      </c>
      <c r="B6828" s="135">
        <f>YEAR(source[[#This Row],[report_date]])</f>
        <v>2025</v>
      </c>
      <c r="C6828" s="128">
        <f t="shared" si="316"/>
        <v>5</v>
      </c>
      <c r="D6828" s="136">
        <f t="shared" si="318"/>
        <v>21</v>
      </c>
      <c r="E6828" s="136">
        <f t="shared" si="317"/>
        <v>19</v>
      </c>
      <c r="F6828" s="128" t="s">
        <v>24</v>
      </c>
      <c r="G6828" s="128" t="str">
        <f>VLOOKUP(source[[#This Row],[lending_product_transform]],[3]Mapping!$B$4:$C$37,2,0)</f>
        <v>[Cake] - Cashloan</v>
      </c>
      <c r="H6828" s="128" t="str">
        <f>VLOOKUP(source[[#This Row],[lending_product_transform]],[3]Mapping!$B$3:$D$37,3,0)</f>
        <v>cashloan</v>
      </c>
      <c r="I6828" s="135">
        <v>275556874</v>
      </c>
    </row>
    <row r="6829" spans="1:9" x14ac:dyDescent="0.2">
      <c r="A6829" s="134">
        <v>45796</v>
      </c>
      <c r="B6829" s="135">
        <f>YEAR(source[[#This Row],[report_date]])</f>
        <v>2025</v>
      </c>
      <c r="C6829" s="128">
        <f t="shared" si="316"/>
        <v>5</v>
      </c>
      <c r="D6829" s="136">
        <f t="shared" si="318"/>
        <v>21</v>
      </c>
      <c r="E6829" s="136">
        <f t="shared" si="317"/>
        <v>19</v>
      </c>
      <c r="F6829" s="128" t="s">
        <v>24</v>
      </c>
      <c r="G6829" s="128" t="str">
        <f>VLOOKUP(source[[#This Row],[lending_product_transform]],[3]Mapping!$B$4:$C$37,2,0)</f>
        <v>[Cake] - Cashloan</v>
      </c>
      <c r="H6829" s="128" t="str">
        <f>VLOOKUP(source[[#This Row],[lending_product_transform]],[3]Mapping!$B$3:$D$37,3,0)</f>
        <v>cashloan</v>
      </c>
      <c r="I6829" s="135">
        <v>7788130000</v>
      </c>
    </row>
    <row r="6830" spans="1:9" x14ac:dyDescent="0.2">
      <c r="A6830" s="134">
        <v>45796</v>
      </c>
      <c r="B6830" s="135">
        <f>YEAR(source[[#This Row],[report_date]])</f>
        <v>2025</v>
      </c>
      <c r="C6830" s="128">
        <f t="shared" si="316"/>
        <v>5</v>
      </c>
      <c r="D6830" s="136">
        <f t="shared" si="318"/>
        <v>21</v>
      </c>
      <c r="E6830" s="136">
        <f t="shared" si="317"/>
        <v>19</v>
      </c>
      <c r="F6830" s="128" t="s">
        <v>24</v>
      </c>
      <c r="G6830" s="128" t="str">
        <f>VLOOKUP(source[[#This Row],[lending_product_transform]],[3]Mapping!$B$4:$C$37,2,0)</f>
        <v>[Cake] - Cashloan</v>
      </c>
      <c r="H6830" s="128" t="str">
        <f>VLOOKUP(source[[#This Row],[lending_product_transform]],[3]Mapping!$B$3:$D$37,3,0)</f>
        <v>cashloan</v>
      </c>
      <c r="I6830" s="135">
        <v>7769060000</v>
      </c>
    </row>
    <row r="6831" spans="1:9" x14ac:dyDescent="0.2">
      <c r="A6831" s="134">
        <v>45796</v>
      </c>
      <c r="B6831" s="135">
        <f>YEAR(source[[#This Row],[report_date]])</f>
        <v>2025</v>
      </c>
      <c r="C6831" s="128">
        <f t="shared" si="316"/>
        <v>5</v>
      </c>
      <c r="D6831" s="136">
        <f t="shared" si="318"/>
        <v>21</v>
      </c>
      <c r="E6831" s="136">
        <f t="shared" si="317"/>
        <v>19</v>
      </c>
      <c r="F6831" s="128" t="s">
        <v>24</v>
      </c>
      <c r="G6831" s="128" t="str">
        <f>VLOOKUP(source[[#This Row],[lending_product_transform]],[3]Mapping!$B$4:$C$37,2,0)</f>
        <v>[Cake] - Cashloan</v>
      </c>
      <c r="H6831" s="128" t="str">
        <f>VLOOKUP(source[[#This Row],[lending_product_transform]],[3]Mapping!$B$3:$D$37,3,0)</f>
        <v>cashloan</v>
      </c>
      <c r="I6831" s="135">
        <v>5612544000</v>
      </c>
    </row>
    <row r="6832" spans="1:9" x14ac:dyDescent="0.2">
      <c r="A6832" s="134">
        <v>45797</v>
      </c>
      <c r="B6832" s="135">
        <f>YEAR(source[[#This Row],[report_date]])</f>
        <v>2025</v>
      </c>
      <c r="C6832" s="128">
        <f t="shared" si="316"/>
        <v>5</v>
      </c>
      <c r="D6832" s="136">
        <f t="shared" si="318"/>
        <v>21</v>
      </c>
      <c r="E6832" s="136">
        <f t="shared" si="317"/>
        <v>20</v>
      </c>
      <c r="F6832" s="128" t="s">
        <v>24</v>
      </c>
      <c r="G6832" s="128" t="str">
        <f>VLOOKUP(source[[#This Row],[lending_product_transform]],[3]Mapping!$B$4:$C$37,2,0)</f>
        <v>[Cake] - Cashloan</v>
      </c>
      <c r="H6832" s="128" t="str">
        <f>VLOOKUP(source[[#This Row],[lending_product_transform]],[3]Mapping!$B$3:$D$37,3,0)</f>
        <v>cashloan</v>
      </c>
      <c r="I6832" s="135">
        <v>0</v>
      </c>
    </row>
    <row r="6833" spans="1:9" x14ac:dyDescent="0.2">
      <c r="A6833" s="134">
        <v>45797</v>
      </c>
      <c r="B6833" s="135">
        <f>YEAR(source[[#This Row],[report_date]])</f>
        <v>2025</v>
      </c>
      <c r="C6833" s="128">
        <f t="shared" si="316"/>
        <v>5</v>
      </c>
      <c r="D6833" s="136">
        <f t="shared" si="318"/>
        <v>21</v>
      </c>
      <c r="E6833" s="136">
        <f t="shared" si="317"/>
        <v>20</v>
      </c>
      <c r="F6833" s="128" t="s">
        <v>24</v>
      </c>
      <c r="G6833" s="128" t="str">
        <f>VLOOKUP(source[[#This Row],[lending_product_transform]],[3]Mapping!$B$4:$C$37,2,0)</f>
        <v>[Cake] - Cashloan</v>
      </c>
      <c r="H6833" s="128" t="str">
        <f>VLOOKUP(source[[#This Row],[lending_product_transform]],[3]Mapping!$B$3:$D$37,3,0)</f>
        <v>cashloan</v>
      </c>
      <c r="I6833" s="135">
        <v>471810000</v>
      </c>
    </row>
    <row r="6834" spans="1:9" x14ac:dyDescent="0.2">
      <c r="A6834" s="134">
        <v>45797</v>
      </c>
      <c r="B6834" s="135">
        <f>YEAR(source[[#This Row],[report_date]])</f>
        <v>2025</v>
      </c>
      <c r="C6834" s="128">
        <f t="shared" si="316"/>
        <v>5</v>
      </c>
      <c r="D6834" s="136">
        <f t="shared" si="318"/>
        <v>21</v>
      </c>
      <c r="E6834" s="136">
        <f t="shared" si="317"/>
        <v>20</v>
      </c>
      <c r="F6834" s="128" t="s">
        <v>24</v>
      </c>
      <c r="G6834" s="128" t="str">
        <f>VLOOKUP(source[[#This Row],[lending_product_transform]],[3]Mapping!$B$4:$C$37,2,0)</f>
        <v>[Cake] - Cashloan</v>
      </c>
      <c r="H6834" s="128" t="str">
        <f>VLOOKUP(source[[#This Row],[lending_product_transform]],[3]Mapping!$B$3:$D$37,3,0)</f>
        <v>cashloan</v>
      </c>
      <c r="I6834" s="135">
        <v>3952412561</v>
      </c>
    </row>
    <row r="6835" spans="1:9" x14ac:dyDescent="0.2">
      <c r="A6835" s="134">
        <v>45797</v>
      </c>
      <c r="B6835" s="135">
        <f>YEAR(source[[#This Row],[report_date]])</f>
        <v>2025</v>
      </c>
      <c r="C6835" s="128">
        <f t="shared" si="316"/>
        <v>5</v>
      </c>
      <c r="D6835" s="136">
        <f t="shared" si="318"/>
        <v>21</v>
      </c>
      <c r="E6835" s="136">
        <f t="shared" si="317"/>
        <v>20</v>
      </c>
      <c r="F6835" s="128" t="s">
        <v>24</v>
      </c>
      <c r="G6835" s="128" t="str">
        <f>VLOOKUP(source[[#This Row],[lending_product_transform]],[3]Mapping!$B$4:$C$37,2,0)</f>
        <v>[Cake] - Cashloan</v>
      </c>
      <c r="H6835" s="128" t="str">
        <f>VLOOKUP(source[[#This Row],[lending_product_transform]],[3]Mapping!$B$3:$D$37,3,0)</f>
        <v>cashloan</v>
      </c>
      <c r="I6835" s="135">
        <v>1360330000</v>
      </c>
    </row>
    <row r="6836" spans="1:9" x14ac:dyDescent="0.2">
      <c r="A6836" s="134">
        <v>45797</v>
      </c>
      <c r="B6836" s="135">
        <f>YEAR(source[[#This Row],[report_date]])</f>
        <v>2025</v>
      </c>
      <c r="C6836" s="128">
        <f t="shared" si="316"/>
        <v>5</v>
      </c>
      <c r="D6836" s="136">
        <f t="shared" si="318"/>
        <v>21</v>
      </c>
      <c r="E6836" s="136">
        <f t="shared" si="317"/>
        <v>20</v>
      </c>
      <c r="F6836" s="128" t="s">
        <v>24</v>
      </c>
      <c r="G6836" s="128" t="str">
        <f>VLOOKUP(source[[#This Row],[lending_product_transform]],[3]Mapping!$B$4:$C$37,2,0)</f>
        <v>[Cake] - Cashloan</v>
      </c>
      <c r="H6836" s="128" t="str">
        <f>VLOOKUP(source[[#This Row],[lending_product_transform]],[3]Mapping!$B$3:$D$37,3,0)</f>
        <v>cashloan</v>
      </c>
      <c r="I6836" s="135">
        <v>0</v>
      </c>
    </row>
    <row r="6837" spans="1:9" x14ac:dyDescent="0.2">
      <c r="A6837" s="134">
        <v>45797</v>
      </c>
      <c r="B6837" s="135">
        <f>YEAR(source[[#This Row],[report_date]])</f>
        <v>2025</v>
      </c>
      <c r="C6837" s="128">
        <f t="shared" si="316"/>
        <v>5</v>
      </c>
      <c r="D6837" s="136">
        <f t="shared" si="318"/>
        <v>21</v>
      </c>
      <c r="E6837" s="136">
        <f t="shared" si="317"/>
        <v>20</v>
      </c>
      <c r="F6837" s="128" t="s">
        <v>24</v>
      </c>
      <c r="G6837" s="128" t="str">
        <f>VLOOKUP(source[[#This Row],[lending_product_transform]],[3]Mapping!$B$4:$C$37,2,0)</f>
        <v>[Cake] - Cashloan</v>
      </c>
      <c r="H6837" s="128" t="str">
        <f>VLOOKUP(source[[#This Row],[lending_product_transform]],[3]Mapping!$B$3:$D$37,3,0)</f>
        <v>cashloan</v>
      </c>
      <c r="I6837" s="135">
        <v>0</v>
      </c>
    </row>
    <row r="6838" spans="1:9" x14ac:dyDescent="0.2">
      <c r="A6838" s="134">
        <v>45797</v>
      </c>
      <c r="B6838" s="135">
        <f>YEAR(source[[#This Row],[report_date]])</f>
        <v>2025</v>
      </c>
      <c r="C6838" s="128">
        <f t="shared" ref="C6838:C6901" si="319">MONTH(A6838)</f>
        <v>5</v>
      </c>
      <c r="D6838" s="136">
        <f t="shared" si="318"/>
        <v>21</v>
      </c>
      <c r="E6838" s="136">
        <f t="shared" ref="E6838:E6901" si="320">DAY(A6838)</f>
        <v>20</v>
      </c>
      <c r="F6838" s="128" t="s">
        <v>24</v>
      </c>
      <c r="G6838" s="128" t="str">
        <f>VLOOKUP(source[[#This Row],[lending_product_transform]],[3]Mapping!$B$4:$C$37,2,0)</f>
        <v>[Cake] - Cashloan</v>
      </c>
      <c r="H6838" s="128" t="str">
        <f>VLOOKUP(source[[#This Row],[lending_product_transform]],[3]Mapping!$B$3:$D$37,3,0)</f>
        <v>cashloan</v>
      </c>
      <c r="I6838" s="135">
        <v>191310830</v>
      </c>
    </row>
    <row r="6839" spans="1:9" x14ac:dyDescent="0.2">
      <c r="A6839" s="134">
        <v>45797</v>
      </c>
      <c r="B6839" s="135">
        <f>YEAR(source[[#This Row],[report_date]])</f>
        <v>2025</v>
      </c>
      <c r="C6839" s="128">
        <f t="shared" si="319"/>
        <v>5</v>
      </c>
      <c r="D6839" s="136">
        <f t="shared" si="318"/>
        <v>21</v>
      </c>
      <c r="E6839" s="136">
        <f t="shared" si="320"/>
        <v>20</v>
      </c>
      <c r="F6839" s="128" t="s">
        <v>24</v>
      </c>
      <c r="G6839" s="128" t="str">
        <f>VLOOKUP(source[[#This Row],[lending_product_transform]],[3]Mapping!$B$4:$C$37,2,0)</f>
        <v>[Cake] - Cashloan</v>
      </c>
      <c r="H6839" s="128" t="str">
        <f>VLOOKUP(source[[#This Row],[lending_product_transform]],[3]Mapping!$B$3:$D$37,3,0)</f>
        <v>cashloan</v>
      </c>
      <c r="I6839" s="135">
        <v>20000000</v>
      </c>
    </row>
    <row r="6840" spans="1:9" x14ac:dyDescent="0.2">
      <c r="A6840" s="134">
        <v>45797</v>
      </c>
      <c r="B6840" s="135">
        <f>YEAR(source[[#This Row],[report_date]])</f>
        <v>2025</v>
      </c>
      <c r="C6840" s="128">
        <f t="shared" si="319"/>
        <v>5</v>
      </c>
      <c r="D6840" s="136">
        <f t="shared" si="318"/>
        <v>21</v>
      </c>
      <c r="E6840" s="136">
        <f t="shared" si="320"/>
        <v>20</v>
      </c>
      <c r="F6840" s="128" t="s">
        <v>24</v>
      </c>
      <c r="G6840" s="128" t="str">
        <f>VLOOKUP(source[[#This Row],[lending_product_transform]],[3]Mapping!$B$4:$C$37,2,0)</f>
        <v>[Cake] - Cashloan</v>
      </c>
      <c r="H6840" s="128" t="str">
        <f>VLOOKUP(source[[#This Row],[lending_product_transform]],[3]Mapping!$B$3:$D$37,3,0)</f>
        <v>cashloan</v>
      </c>
      <c r="I6840" s="135">
        <v>333542933</v>
      </c>
    </row>
    <row r="6841" spans="1:9" x14ac:dyDescent="0.2">
      <c r="A6841" s="134">
        <v>45797</v>
      </c>
      <c r="B6841" s="135">
        <f>YEAR(source[[#This Row],[report_date]])</f>
        <v>2025</v>
      </c>
      <c r="C6841" s="128">
        <f t="shared" si="319"/>
        <v>5</v>
      </c>
      <c r="D6841" s="136">
        <f t="shared" si="318"/>
        <v>21</v>
      </c>
      <c r="E6841" s="136">
        <f t="shared" si="320"/>
        <v>20</v>
      </c>
      <c r="F6841" s="128" t="s">
        <v>24</v>
      </c>
      <c r="G6841" s="128" t="str">
        <f>VLOOKUP(source[[#This Row],[lending_product_transform]],[3]Mapping!$B$4:$C$37,2,0)</f>
        <v>[Cake] - Cashloan</v>
      </c>
      <c r="H6841" s="128" t="str">
        <f>VLOOKUP(source[[#This Row],[lending_product_transform]],[3]Mapping!$B$3:$D$37,3,0)</f>
        <v>cashloan</v>
      </c>
      <c r="I6841" s="135">
        <v>8242600000</v>
      </c>
    </row>
    <row r="6842" spans="1:9" x14ac:dyDescent="0.2">
      <c r="A6842" s="134">
        <v>45797</v>
      </c>
      <c r="B6842" s="135">
        <f>YEAR(source[[#This Row],[report_date]])</f>
        <v>2025</v>
      </c>
      <c r="C6842" s="128">
        <f t="shared" si="319"/>
        <v>5</v>
      </c>
      <c r="D6842" s="136">
        <f t="shared" si="318"/>
        <v>21</v>
      </c>
      <c r="E6842" s="136">
        <f t="shared" si="320"/>
        <v>20</v>
      </c>
      <c r="F6842" s="128" t="s">
        <v>24</v>
      </c>
      <c r="G6842" s="128" t="str">
        <f>VLOOKUP(source[[#This Row],[lending_product_transform]],[3]Mapping!$B$4:$C$37,2,0)</f>
        <v>[Cake] - Cashloan</v>
      </c>
      <c r="H6842" s="128" t="str">
        <f>VLOOKUP(source[[#This Row],[lending_product_transform]],[3]Mapping!$B$3:$D$37,3,0)</f>
        <v>cashloan</v>
      </c>
      <c r="I6842" s="135">
        <v>5812344000</v>
      </c>
    </row>
    <row r="6843" spans="1:9" x14ac:dyDescent="0.2">
      <c r="A6843" s="134">
        <v>45797</v>
      </c>
      <c r="B6843" s="135">
        <f>YEAR(source[[#This Row],[report_date]])</f>
        <v>2025</v>
      </c>
      <c r="C6843" s="128">
        <f t="shared" si="319"/>
        <v>5</v>
      </c>
      <c r="D6843" s="136">
        <f t="shared" si="318"/>
        <v>21</v>
      </c>
      <c r="E6843" s="136">
        <f t="shared" si="320"/>
        <v>20</v>
      </c>
      <c r="F6843" s="128" t="s">
        <v>24</v>
      </c>
      <c r="G6843" s="128" t="str">
        <f>VLOOKUP(source[[#This Row],[lending_product_transform]],[3]Mapping!$B$4:$C$37,2,0)</f>
        <v>[Cake] - Cashloan</v>
      </c>
      <c r="H6843" s="128" t="str">
        <f>VLOOKUP(source[[#This Row],[lending_product_transform]],[3]Mapping!$B$3:$D$37,3,0)</f>
        <v>cashloan</v>
      </c>
      <c r="I6843" s="135">
        <v>7966470000</v>
      </c>
    </row>
    <row r="6844" spans="1:9" x14ac:dyDescent="0.2">
      <c r="A6844" s="134">
        <v>45797</v>
      </c>
      <c r="B6844" s="135">
        <f>YEAR(source[[#This Row],[report_date]])</f>
        <v>2025</v>
      </c>
      <c r="C6844" s="128">
        <f t="shared" si="319"/>
        <v>5</v>
      </c>
      <c r="D6844" s="136">
        <f t="shared" si="318"/>
        <v>21</v>
      </c>
      <c r="E6844" s="136">
        <f t="shared" si="320"/>
        <v>20</v>
      </c>
      <c r="F6844" s="128" t="s">
        <v>24</v>
      </c>
      <c r="G6844" s="128" t="str">
        <f>VLOOKUP(source[[#This Row],[lending_product_transform]],[3]Mapping!$B$4:$C$37,2,0)</f>
        <v>[Cake] - Cashloan</v>
      </c>
      <c r="H6844" s="128" t="str">
        <f>VLOOKUP(source[[#This Row],[lending_product_transform]],[3]Mapping!$B$3:$D$37,3,0)</f>
        <v>cashloan</v>
      </c>
      <c r="I6844" s="135">
        <v>0</v>
      </c>
    </row>
    <row r="6845" spans="1:9" x14ac:dyDescent="0.2">
      <c r="A6845" s="134">
        <v>45797</v>
      </c>
      <c r="B6845" s="135">
        <f>YEAR(source[[#This Row],[report_date]])</f>
        <v>2025</v>
      </c>
      <c r="C6845" s="128">
        <f t="shared" si="319"/>
        <v>5</v>
      </c>
      <c r="D6845" s="136">
        <f t="shared" si="318"/>
        <v>21</v>
      </c>
      <c r="E6845" s="136">
        <f t="shared" si="320"/>
        <v>20</v>
      </c>
      <c r="F6845" s="128" t="s">
        <v>24</v>
      </c>
      <c r="G6845" s="128" t="str">
        <f>VLOOKUP(source[[#This Row],[lending_product_transform]],[3]Mapping!$B$4:$C$37,2,0)</f>
        <v>[Cake] - Cashloan</v>
      </c>
      <c r="H6845" s="128" t="str">
        <f>VLOOKUP(source[[#This Row],[lending_product_transform]],[3]Mapping!$B$3:$D$37,3,0)</f>
        <v>cashloan</v>
      </c>
      <c r="I6845" s="135">
        <v>31500000</v>
      </c>
    </row>
    <row r="6846" spans="1:9" x14ac:dyDescent="0.2">
      <c r="A6846" s="134">
        <v>45797</v>
      </c>
      <c r="B6846" s="135">
        <f>YEAR(source[[#This Row],[report_date]])</f>
        <v>2025</v>
      </c>
      <c r="C6846" s="128">
        <f t="shared" si="319"/>
        <v>5</v>
      </c>
      <c r="D6846" s="136">
        <f t="shared" si="318"/>
        <v>21</v>
      </c>
      <c r="E6846" s="136">
        <f t="shared" si="320"/>
        <v>20</v>
      </c>
      <c r="F6846" s="128" t="s">
        <v>24</v>
      </c>
      <c r="G6846" s="128" t="str">
        <f>VLOOKUP(source[[#This Row],[lending_product_transform]],[3]Mapping!$B$4:$C$37,2,0)</f>
        <v>[Cake] - Cashloan</v>
      </c>
      <c r="H6846" s="128" t="str">
        <f>VLOOKUP(source[[#This Row],[lending_product_transform]],[3]Mapping!$B$3:$D$37,3,0)</f>
        <v>cashloan</v>
      </c>
      <c r="I6846" s="135">
        <v>0</v>
      </c>
    </row>
    <row r="6847" spans="1:9" x14ac:dyDescent="0.2">
      <c r="A6847" s="134">
        <v>45797</v>
      </c>
      <c r="B6847" s="135">
        <f>YEAR(source[[#This Row],[report_date]])</f>
        <v>2025</v>
      </c>
      <c r="C6847" s="128">
        <f t="shared" si="319"/>
        <v>5</v>
      </c>
      <c r="D6847" s="136">
        <f t="shared" si="318"/>
        <v>21</v>
      </c>
      <c r="E6847" s="136">
        <f t="shared" si="320"/>
        <v>20</v>
      </c>
      <c r="F6847" s="128" t="s">
        <v>24</v>
      </c>
      <c r="G6847" s="128" t="str">
        <f>VLOOKUP(source[[#This Row],[lending_product_transform]],[3]Mapping!$B$4:$C$37,2,0)</f>
        <v>[Cake] - Cashloan</v>
      </c>
      <c r="H6847" s="128" t="str">
        <f>VLOOKUP(source[[#This Row],[lending_product_transform]],[3]Mapping!$B$3:$D$37,3,0)</f>
        <v>cashloan</v>
      </c>
      <c r="I6847" s="135">
        <v>277153098</v>
      </c>
    </row>
    <row r="6848" spans="1:9" x14ac:dyDescent="0.2">
      <c r="A6848" s="134">
        <v>45797</v>
      </c>
      <c r="B6848" s="135">
        <f>YEAR(source[[#This Row],[report_date]])</f>
        <v>2025</v>
      </c>
      <c r="C6848" s="128">
        <f t="shared" si="319"/>
        <v>5</v>
      </c>
      <c r="D6848" s="136">
        <f t="shared" si="318"/>
        <v>21</v>
      </c>
      <c r="E6848" s="136">
        <f t="shared" si="320"/>
        <v>20</v>
      </c>
      <c r="F6848" s="128" t="s">
        <v>24</v>
      </c>
      <c r="G6848" s="128" t="str">
        <f>VLOOKUP(source[[#This Row],[lending_product_transform]],[3]Mapping!$B$4:$C$37,2,0)</f>
        <v>[Cake] - Cashloan</v>
      </c>
      <c r="H6848" s="128" t="str">
        <f>VLOOKUP(source[[#This Row],[lending_product_transform]],[3]Mapping!$B$3:$D$37,3,0)</f>
        <v>cashloan</v>
      </c>
      <c r="I6848" s="135">
        <v>28296470</v>
      </c>
    </row>
    <row r="6849" spans="1:9" x14ac:dyDescent="0.2">
      <c r="A6849" s="134">
        <v>45797</v>
      </c>
      <c r="B6849" s="135">
        <f>YEAR(source[[#This Row],[report_date]])</f>
        <v>2025</v>
      </c>
      <c r="C6849" s="128">
        <f t="shared" si="319"/>
        <v>5</v>
      </c>
      <c r="D6849" s="136">
        <f t="shared" si="318"/>
        <v>21</v>
      </c>
      <c r="E6849" s="136">
        <f t="shared" si="320"/>
        <v>20</v>
      </c>
      <c r="F6849" s="128" t="s">
        <v>24</v>
      </c>
      <c r="G6849" s="128" t="str">
        <f>VLOOKUP(source[[#This Row],[lending_product_transform]],[3]Mapping!$B$4:$C$37,2,0)</f>
        <v>[Cake] - Cashloan</v>
      </c>
      <c r="H6849" s="128" t="str">
        <f>VLOOKUP(source[[#This Row],[lending_product_transform]],[3]Mapping!$B$3:$D$37,3,0)</f>
        <v>cashloan</v>
      </c>
      <c r="I6849" s="135">
        <v>2685000000</v>
      </c>
    </row>
    <row r="6850" spans="1:9" x14ac:dyDescent="0.2">
      <c r="A6850" s="134">
        <v>45797</v>
      </c>
      <c r="B6850" s="135">
        <f>YEAR(source[[#This Row],[report_date]])</f>
        <v>2025</v>
      </c>
      <c r="C6850" s="128">
        <f t="shared" si="319"/>
        <v>5</v>
      </c>
      <c r="D6850" s="136">
        <f t="shared" si="318"/>
        <v>21</v>
      </c>
      <c r="E6850" s="136">
        <f t="shared" si="320"/>
        <v>20</v>
      </c>
      <c r="F6850" s="128" t="s">
        <v>24</v>
      </c>
      <c r="G6850" s="128" t="str">
        <f>VLOOKUP(source[[#This Row],[lending_product_transform]],[3]Mapping!$B$4:$C$37,2,0)</f>
        <v>[Cake] - Cashloan</v>
      </c>
      <c r="H6850" s="128" t="str">
        <f>VLOOKUP(source[[#This Row],[lending_product_transform]],[3]Mapping!$B$3:$D$37,3,0)</f>
        <v>cashloan</v>
      </c>
      <c r="I6850" s="135">
        <v>0</v>
      </c>
    </row>
    <row r="6851" spans="1:9" x14ac:dyDescent="0.2">
      <c r="A6851" s="134">
        <v>45798</v>
      </c>
      <c r="B6851" s="135">
        <f>YEAR(source[[#This Row],[report_date]])</f>
        <v>2025</v>
      </c>
      <c r="C6851" s="128">
        <f t="shared" si="319"/>
        <v>5</v>
      </c>
      <c r="D6851" s="136">
        <f t="shared" ref="D6851:D6914" si="321">WEEKNUM(A6851,2)</f>
        <v>21</v>
      </c>
      <c r="E6851" s="136">
        <f t="shared" si="320"/>
        <v>21</v>
      </c>
      <c r="F6851" s="128" t="s">
        <v>24</v>
      </c>
      <c r="G6851" s="128" t="str">
        <f>VLOOKUP(source[[#This Row],[lending_product_transform]],[3]Mapping!$B$4:$C$37,2,0)</f>
        <v>[Cake] - Cashloan</v>
      </c>
      <c r="H6851" s="128" t="str">
        <f>VLOOKUP(source[[#This Row],[lending_product_transform]],[3]Mapping!$B$3:$D$37,3,0)</f>
        <v>cashloan</v>
      </c>
      <c r="I6851" s="135">
        <v>0</v>
      </c>
    </row>
    <row r="6852" spans="1:9" x14ac:dyDescent="0.2">
      <c r="A6852" s="134">
        <v>45798</v>
      </c>
      <c r="B6852" s="135">
        <f>YEAR(source[[#This Row],[report_date]])</f>
        <v>2025</v>
      </c>
      <c r="C6852" s="128">
        <f t="shared" si="319"/>
        <v>5</v>
      </c>
      <c r="D6852" s="136">
        <f t="shared" si="321"/>
        <v>21</v>
      </c>
      <c r="E6852" s="136">
        <f t="shared" si="320"/>
        <v>21</v>
      </c>
      <c r="F6852" s="128" t="s">
        <v>24</v>
      </c>
      <c r="G6852" s="128" t="str">
        <f>VLOOKUP(source[[#This Row],[lending_product_transform]],[3]Mapping!$B$4:$C$37,2,0)</f>
        <v>[Cake] - Cashloan</v>
      </c>
      <c r="H6852" s="128" t="str">
        <f>VLOOKUP(source[[#This Row],[lending_product_transform]],[3]Mapping!$B$3:$D$37,3,0)</f>
        <v>cashloan</v>
      </c>
      <c r="I6852" s="135">
        <v>845280000</v>
      </c>
    </row>
    <row r="6853" spans="1:9" x14ac:dyDescent="0.2">
      <c r="A6853" s="134">
        <v>45798</v>
      </c>
      <c r="B6853" s="135">
        <f>YEAR(source[[#This Row],[report_date]])</f>
        <v>2025</v>
      </c>
      <c r="C6853" s="128">
        <f t="shared" si="319"/>
        <v>5</v>
      </c>
      <c r="D6853" s="136">
        <f t="shared" si="321"/>
        <v>21</v>
      </c>
      <c r="E6853" s="136">
        <f t="shared" si="320"/>
        <v>21</v>
      </c>
      <c r="F6853" s="128" t="s">
        <v>24</v>
      </c>
      <c r="G6853" s="128" t="str">
        <f>VLOOKUP(source[[#This Row],[lending_product_transform]],[3]Mapping!$B$4:$C$37,2,0)</f>
        <v>[Cake] - Cashloan</v>
      </c>
      <c r="H6853" s="128" t="str">
        <f>VLOOKUP(source[[#This Row],[lending_product_transform]],[3]Mapping!$B$3:$D$37,3,0)</f>
        <v>cashloan</v>
      </c>
      <c r="I6853" s="135">
        <v>1005000</v>
      </c>
    </row>
    <row r="6854" spans="1:9" x14ac:dyDescent="0.2">
      <c r="A6854" s="134">
        <v>45798</v>
      </c>
      <c r="B6854" s="135">
        <f>YEAR(source[[#This Row],[report_date]])</f>
        <v>2025</v>
      </c>
      <c r="C6854" s="128">
        <f t="shared" si="319"/>
        <v>5</v>
      </c>
      <c r="D6854" s="136">
        <f t="shared" si="321"/>
        <v>21</v>
      </c>
      <c r="E6854" s="136">
        <f t="shared" si="320"/>
        <v>21</v>
      </c>
      <c r="F6854" s="128" t="s">
        <v>24</v>
      </c>
      <c r="G6854" s="128" t="str">
        <f>VLOOKUP(source[[#This Row],[lending_product_transform]],[3]Mapping!$B$4:$C$37,2,0)</f>
        <v>[Cake] - Cashloan</v>
      </c>
      <c r="H6854" s="128" t="str">
        <f>VLOOKUP(source[[#This Row],[lending_product_transform]],[3]Mapping!$B$3:$D$37,3,0)</f>
        <v>cashloan</v>
      </c>
      <c r="I6854" s="135">
        <v>558340000</v>
      </c>
    </row>
    <row r="6855" spans="1:9" x14ac:dyDescent="0.2">
      <c r="A6855" s="134">
        <v>45798</v>
      </c>
      <c r="B6855" s="135">
        <f>YEAR(source[[#This Row],[report_date]])</f>
        <v>2025</v>
      </c>
      <c r="C6855" s="128">
        <f t="shared" si="319"/>
        <v>5</v>
      </c>
      <c r="D6855" s="136">
        <f t="shared" si="321"/>
        <v>21</v>
      </c>
      <c r="E6855" s="136">
        <f t="shared" si="320"/>
        <v>21</v>
      </c>
      <c r="F6855" s="128" t="s">
        <v>24</v>
      </c>
      <c r="G6855" s="128" t="str">
        <f>VLOOKUP(source[[#This Row],[lending_product_transform]],[3]Mapping!$B$4:$C$37,2,0)</f>
        <v>[Cake] - Cashloan</v>
      </c>
      <c r="H6855" s="128" t="str">
        <f>VLOOKUP(source[[#This Row],[lending_product_transform]],[3]Mapping!$B$3:$D$37,3,0)</f>
        <v>cashloan</v>
      </c>
      <c r="I6855" s="135">
        <v>223272236</v>
      </c>
    </row>
    <row r="6856" spans="1:9" x14ac:dyDescent="0.2">
      <c r="A6856" s="134">
        <v>45798</v>
      </c>
      <c r="B6856" s="135">
        <f>YEAR(source[[#This Row],[report_date]])</f>
        <v>2025</v>
      </c>
      <c r="C6856" s="128">
        <f t="shared" si="319"/>
        <v>5</v>
      </c>
      <c r="D6856" s="136">
        <f t="shared" si="321"/>
        <v>21</v>
      </c>
      <c r="E6856" s="136">
        <f t="shared" si="320"/>
        <v>21</v>
      </c>
      <c r="F6856" s="128" t="s">
        <v>24</v>
      </c>
      <c r="G6856" s="128" t="str">
        <f>VLOOKUP(source[[#This Row],[lending_product_transform]],[3]Mapping!$B$4:$C$37,2,0)</f>
        <v>[Cake] - Cashloan</v>
      </c>
      <c r="H6856" s="128" t="str">
        <f>VLOOKUP(source[[#This Row],[lending_product_transform]],[3]Mapping!$B$3:$D$37,3,0)</f>
        <v>cashloan</v>
      </c>
      <c r="I6856" s="135">
        <v>389092939</v>
      </c>
    </row>
    <row r="6857" spans="1:9" x14ac:dyDescent="0.2">
      <c r="A6857" s="134">
        <v>45798</v>
      </c>
      <c r="B6857" s="135">
        <f>YEAR(source[[#This Row],[report_date]])</f>
        <v>2025</v>
      </c>
      <c r="C6857" s="128">
        <f t="shared" si="319"/>
        <v>5</v>
      </c>
      <c r="D6857" s="136">
        <f t="shared" si="321"/>
        <v>21</v>
      </c>
      <c r="E6857" s="136">
        <f t="shared" si="320"/>
        <v>21</v>
      </c>
      <c r="F6857" s="128" t="s">
        <v>24</v>
      </c>
      <c r="G6857" s="128" t="str">
        <f>VLOOKUP(source[[#This Row],[lending_product_transform]],[3]Mapping!$B$4:$C$37,2,0)</f>
        <v>[Cake] - Cashloan</v>
      </c>
      <c r="H6857" s="128" t="str">
        <f>VLOOKUP(source[[#This Row],[lending_product_transform]],[3]Mapping!$B$3:$D$37,3,0)</f>
        <v>cashloan</v>
      </c>
      <c r="I6857" s="135">
        <v>4031866300</v>
      </c>
    </row>
    <row r="6858" spans="1:9" x14ac:dyDescent="0.2">
      <c r="A6858" s="134">
        <v>45798</v>
      </c>
      <c r="B6858" s="135">
        <f>YEAR(source[[#This Row],[report_date]])</f>
        <v>2025</v>
      </c>
      <c r="C6858" s="128">
        <f t="shared" si="319"/>
        <v>5</v>
      </c>
      <c r="D6858" s="136">
        <f t="shared" si="321"/>
        <v>21</v>
      </c>
      <c r="E6858" s="136">
        <f t="shared" si="320"/>
        <v>21</v>
      </c>
      <c r="F6858" s="128" t="s">
        <v>24</v>
      </c>
      <c r="G6858" s="128" t="str">
        <f>VLOOKUP(source[[#This Row],[lending_product_transform]],[3]Mapping!$B$4:$C$37,2,0)</f>
        <v>[Cake] - Cashloan</v>
      </c>
      <c r="H6858" s="128" t="str">
        <f>VLOOKUP(source[[#This Row],[lending_product_transform]],[3]Mapping!$B$3:$D$37,3,0)</f>
        <v>cashloan</v>
      </c>
      <c r="I6858" s="135">
        <v>355365878</v>
      </c>
    </row>
    <row r="6859" spans="1:9" x14ac:dyDescent="0.2">
      <c r="A6859" s="134">
        <v>45798</v>
      </c>
      <c r="B6859" s="135">
        <f>YEAR(source[[#This Row],[report_date]])</f>
        <v>2025</v>
      </c>
      <c r="C6859" s="128">
        <f t="shared" si="319"/>
        <v>5</v>
      </c>
      <c r="D6859" s="136">
        <f t="shared" si="321"/>
        <v>21</v>
      </c>
      <c r="E6859" s="136">
        <f t="shared" si="320"/>
        <v>21</v>
      </c>
      <c r="F6859" s="128" t="s">
        <v>24</v>
      </c>
      <c r="G6859" s="128" t="str">
        <f>VLOOKUP(source[[#This Row],[lending_product_transform]],[3]Mapping!$B$4:$C$37,2,0)</f>
        <v>[Cake] - Cashloan</v>
      </c>
      <c r="H6859" s="128" t="str">
        <f>VLOOKUP(source[[#This Row],[lending_product_transform]],[3]Mapping!$B$3:$D$37,3,0)</f>
        <v>cashloan</v>
      </c>
      <c r="I6859" s="135">
        <v>7941950000</v>
      </c>
    </row>
    <row r="6860" spans="1:9" x14ac:dyDescent="0.2">
      <c r="A6860" s="134">
        <v>45798</v>
      </c>
      <c r="B6860" s="135">
        <f>YEAR(source[[#This Row],[report_date]])</f>
        <v>2025</v>
      </c>
      <c r="C6860" s="128">
        <f t="shared" si="319"/>
        <v>5</v>
      </c>
      <c r="D6860" s="136">
        <f t="shared" si="321"/>
        <v>21</v>
      </c>
      <c r="E6860" s="136">
        <f t="shared" si="320"/>
        <v>21</v>
      </c>
      <c r="F6860" s="128" t="s">
        <v>24</v>
      </c>
      <c r="G6860" s="128" t="str">
        <f>VLOOKUP(source[[#This Row],[lending_product_transform]],[3]Mapping!$B$4:$C$37,2,0)</f>
        <v>[Cake] - Cashloan</v>
      </c>
      <c r="H6860" s="128" t="str">
        <f>VLOOKUP(source[[#This Row],[lending_product_transform]],[3]Mapping!$B$3:$D$37,3,0)</f>
        <v>cashloan</v>
      </c>
      <c r="I6860" s="135">
        <v>5508216000</v>
      </c>
    </row>
    <row r="6861" spans="1:9" x14ac:dyDescent="0.2">
      <c r="A6861" s="134">
        <v>45798</v>
      </c>
      <c r="B6861" s="135">
        <f>YEAR(source[[#This Row],[report_date]])</f>
        <v>2025</v>
      </c>
      <c r="C6861" s="128">
        <f t="shared" si="319"/>
        <v>5</v>
      </c>
      <c r="D6861" s="136">
        <f t="shared" si="321"/>
        <v>21</v>
      </c>
      <c r="E6861" s="136">
        <f t="shared" si="320"/>
        <v>21</v>
      </c>
      <c r="F6861" s="128" t="s">
        <v>24</v>
      </c>
      <c r="G6861" s="128" t="str">
        <f>VLOOKUP(source[[#This Row],[lending_product_transform]],[3]Mapping!$B$4:$C$37,2,0)</f>
        <v>[Cake] - Cashloan</v>
      </c>
      <c r="H6861" s="128" t="str">
        <f>VLOOKUP(source[[#This Row],[lending_product_transform]],[3]Mapping!$B$3:$D$37,3,0)</f>
        <v>cashloan</v>
      </c>
      <c r="I6861" s="135">
        <v>51000000</v>
      </c>
    </row>
    <row r="6862" spans="1:9" x14ac:dyDescent="0.2">
      <c r="A6862" s="134">
        <v>45798</v>
      </c>
      <c r="B6862" s="135">
        <f>YEAR(source[[#This Row],[report_date]])</f>
        <v>2025</v>
      </c>
      <c r="C6862" s="128">
        <f t="shared" si="319"/>
        <v>5</v>
      </c>
      <c r="D6862" s="136">
        <f t="shared" si="321"/>
        <v>21</v>
      </c>
      <c r="E6862" s="136">
        <f t="shared" si="320"/>
        <v>21</v>
      </c>
      <c r="F6862" s="128" t="s">
        <v>24</v>
      </c>
      <c r="G6862" s="128" t="str">
        <f>VLOOKUP(source[[#This Row],[lending_product_transform]],[3]Mapping!$B$4:$C$37,2,0)</f>
        <v>[Cake] - Cashloan</v>
      </c>
      <c r="H6862" s="128" t="str">
        <f>VLOOKUP(source[[#This Row],[lending_product_transform]],[3]Mapping!$B$3:$D$37,3,0)</f>
        <v>cashloan</v>
      </c>
      <c r="I6862" s="135">
        <v>0</v>
      </c>
    </row>
    <row r="6863" spans="1:9" x14ac:dyDescent="0.2">
      <c r="A6863" s="134">
        <v>45798</v>
      </c>
      <c r="B6863" s="135">
        <f>YEAR(source[[#This Row],[report_date]])</f>
        <v>2025</v>
      </c>
      <c r="C6863" s="128">
        <f t="shared" si="319"/>
        <v>5</v>
      </c>
      <c r="D6863" s="136">
        <f t="shared" si="321"/>
        <v>21</v>
      </c>
      <c r="E6863" s="136">
        <f t="shared" si="320"/>
        <v>21</v>
      </c>
      <c r="F6863" s="128" t="s">
        <v>24</v>
      </c>
      <c r="G6863" s="128" t="str">
        <f>VLOOKUP(source[[#This Row],[lending_product_transform]],[3]Mapping!$B$4:$C$37,2,0)</f>
        <v>[Cake] - Cashloan</v>
      </c>
      <c r="H6863" s="128" t="str">
        <f>VLOOKUP(source[[#This Row],[lending_product_transform]],[3]Mapping!$B$3:$D$37,3,0)</f>
        <v>cashloan</v>
      </c>
      <c r="I6863" s="135">
        <v>1803000000</v>
      </c>
    </row>
    <row r="6864" spans="1:9" x14ac:dyDescent="0.2">
      <c r="A6864" s="134">
        <v>45798</v>
      </c>
      <c r="B6864" s="135">
        <f>YEAR(source[[#This Row],[report_date]])</f>
        <v>2025</v>
      </c>
      <c r="C6864" s="128">
        <f t="shared" si="319"/>
        <v>5</v>
      </c>
      <c r="D6864" s="136">
        <f t="shared" si="321"/>
        <v>21</v>
      </c>
      <c r="E6864" s="136">
        <f t="shared" si="320"/>
        <v>21</v>
      </c>
      <c r="F6864" s="128" t="s">
        <v>24</v>
      </c>
      <c r="G6864" s="128" t="str">
        <f>VLOOKUP(source[[#This Row],[lending_product_transform]],[3]Mapping!$B$4:$C$37,2,0)</f>
        <v>[Cake] - Cashloan</v>
      </c>
      <c r="H6864" s="128" t="str">
        <f>VLOOKUP(source[[#This Row],[lending_product_transform]],[3]Mapping!$B$3:$D$37,3,0)</f>
        <v>cashloan</v>
      </c>
      <c r="I6864" s="135">
        <v>7746590000</v>
      </c>
    </row>
    <row r="6865" spans="1:9" x14ac:dyDescent="0.2">
      <c r="A6865" s="134">
        <v>45798</v>
      </c>
      <c r="B6865" s="135">
        <f>YEAR(source[[#This Row],[report_date]])</f>
        <v>2025</v>
      </c>
      <c r="C6865" s="128">
        <f t="shared" si="319"/>
        <v>5</v>
      </c>
      <c r="D6865" s="136">
        <f t="shared" si="321"/>
        <v>21</v>
      </c>
      <c r="E6865" s="136">
        <f t="shared" si="320"/>
        <v>21</v>
      </c>
      <c r="F6865" s="128" t="s">
        <v>24</v>
      </c>
      <c r="G6865" s="128" t="str">
        <f>VLOOKUP(source[[#This Row],[lending_product_transform]],[3]Mapping!$B$4:$C$37,2,0)</f>
        <v>[Cake] - Cashloan</v>
      </c>
      <c r="H6865" s="128" t="str">
        <f>VLOOKUP(source[[#This Row],[lending_product_transform]],[3]Mapping!$B$3:$D$37,3,0)</f>
        <v>cashloan</v>
      </c>
      <c r="I6865" s="135">
        <v>0</v>
      </c>
    </row>
    <row r="6866" spans="1:9" x14ac:dyDescent="0.2">
      <c r="A6866" s="134">
        <v>45798</v>
      </c>
      <c r="B6866" s="135">
        <f>YEAR(source[[#This Row],[report_date]])</f>
        <v>2025</v>
      </c>
      <c r="C6866" s="128">
        <f t="shared" si="319"/>
        <v>5</v>
      </c>
      <c r="D6866" s="136">
        <f t="shared" si="321"/>
        <v>21</v>
      </c>
      <c r="E6866" s="136">
        <f t="shared" si="320"/>
        <v>21</v>
      </c>
      <c r="F6866" s="128" t="s">
        <v>24</v>
      </c>
      <c r="G6866" s="128" t="str">
        <f>VLOOKUP(source[[#This Row],[lending_product_transform]],[3]Mapping!$B$4:$C$37,2,0)</f>
        <v>[Cake] - Cashloan</v>
      </c>
      <c r="H6866" s="128" t="str">
        <f>VLOOKUP(source[[#This Row],[lending_product_transform]],[3]Mapping!$B$3:$D$37,3,0)</f>
        <v>cashloan</v>
      </c>
      <c r="I6866" s="135">
        <v>21000000</v>
      </c>
    </row>
    <row r="6867" spans="1:9" x14ac:dyDescent="0.2">
      <c r="A6867" s="134">
        <v>45798</v>
      </c>
      <c r="B6867" s="135">
        <f>YEAR(source[[#This Row],[report_date]])</f>
        <v>2025</v>
      </c>
      <c r="C6867" s="128">
        <f t="shared" si="319"/>
        <v>5</v>
      </c>
      <c r="D6867" s="136">
        <f t="shared" si="321"/>
        <v>21</v>
      </c>
      <c r="E6867" s="136">
        <f t="shared" si="320"/>
        <v>21</v>
      </c>
      <c r="F6867" s="128" t="s">
        <v>24</v>
      </c>
      <c r="G6867" s="128" t="str">
        <f>VLOOKUP(source[[#This Row],[lending_product_transform]],[3]Mapping!$B$4:$C$37,2,0)</f>
        <v>[Cake] - Cashloan</v>
      </c>
      <c r="H6867" s="128" t="str">
        <f>VLOOKUP(source[[#This Row],[lending_product_transform]],[3]Mapping!$B$3:$D$37,3,0)</f>
        <v>cashloan</v>
      </c>
      <c r="I6867" s="135">
        <v>23100000</v>
      </c>
    </row>
    <row r="6868" spans="1:9" x14ac:dyDescent="0.2">
      <c r="A6868" s="134">
        <v>45798</v>
      </c>
      <c r="B6868" s="135">
        <f>YEAR(source[[#This Row],[report_date]])</f>
        <v>2025</v>
      </c>
      <c r="C6868" s="128">
        <f t="shared" si="319"/>
        <v>5</v>
      </c>
      <c r="D6868" s="136">
        <f t="shared" si="321"/>
        <v>21</v>
      </c>
      <c r="E6868" s="136">
        <f t="shared" si="320"/>
        <v>21</v>
      </c>
      <c r="F6868" s="128" t="s">
        <v>24</v>
      </c>
      <c r="G6868" s="128" t="str">
        <f>VLOOKUP(source[[#This Row],[lending_product_transform]],[3]Mapping!$B$4:$C$37,2,0)</f>
        <v>[Cake] - Cashloan</v>
      </c>
      <c r="H6868" s="128" t="str">
        <f>VLOOKUP(source[[#This Row],[lending_product_transform]],[3]Mapping!$B$3:$D$37,3,0)</f>
        <v>cashloan</v>
      </c>
      <c r="I6868" s="135">
        <v>20997671</v>
      </c>
    </row>
    <row r="6869" spans="1:9" x14ac:dyDescent="0.2">
      <c r="A6869" s="134">
        <v>45798</v>
      </c>
      <c r="B6869" s="135">
        <f>YEAR(source[[#This Row],[report_date]])</f>
        <v>2025</v>
      </c>
      <c r="C6869" s="128">
        <f t="shared" si="319"/>
        <v>5</v>
      </c>
      <c r="D6869" s="136">
        <f t="shared" si="321"/>
        <v>21</v>
      </c>
      <c r="E6869" s="136">
        <f t="shared" si="320"/>
        <v>21</v>
      </c>
      <c r="F6869" s="128" t="s">
        <v>24</v>
      </c>
      <c r="G6869" s="128" t="str">
        <f>VLOOKUP(source[[#This Row],[lending_product_transform]],[3]Mapping!$B$4:$C$37,2,0)</f>
        <v>[Cake] - Cashloan</v>
      </c>
      <c r="H6869" s="128" t="str">
        <f>VLOOKUP(source[[#This Row],[lending_product_transform]],[3]Mapping!$B$3:$D$37,3,0)</f>
        <v>cashloan</v>
      </c>
      <c r="I6869" s="135">
        <v>0</v>
      </c>
    </row>
    <row r="6870" spans="1:9" x14ac:dyDescent="0.2">
      <c r="A6870" s="134">
        <v>45799</v>
      </c>
      <c r="B6870" s="135">
        <f>YEAR(source[[#This Row],[report_date]])</f>
        <v>2025</v>
      </c>
      <c r="C6870" s="128">
        <f t="shared" si="319"/>
        <v>5</v>
      </c>
      <c r="D6870" s="136">
        <f t="shared" si="321"/>
        <v>21</v>
      </c>
      <c r="E6870" s="136">
        <f t="shared" si="320"/>
        <v>22</v>
      </c>
      <c r="F6870" s="128" t="s">
        <v>24</v>
      </c>
      <c r="G6870" s="128" t="str">
        <f>VLOOKUP(source[[#This Row],[lending_product_transform]],[3]Mapping!$B$4:$C$37,2,0)</f>
        <v>[Cake] - Cashloan</v>
      </c>
      <c r="H6870" s="128" t="str">
        <f>VLOOKUP(source[[#This Row],[lending_product_transform]],[3]Mapping!$B$3:$D$37,3,0)</f>
        <v>cashloan</v>
      </c>
      <c r="I6870" s="135">
        <v>6854500000</v>
      </c>
    </row>
    <row r="6871" spans="1:9" x14ac:dyDescent="0.2">
      <c r="A6871" s="134">
        <v>45799</v>
      </c>
      <c r="B6871" s="135">
        <f>YEAR(source[[#This Row],[report_date]])</f>
        <v>2025</v>
      </c>
      <c r="C6871" s="128">
        <f t="shared" si="319"/>
        <v>5</v>
      </c>
      <c r="D6871" s="136">
        <f t="shared" si="321"/>
        <v>21</v>
      </c>
      <c r="E6871" s="136">
        <f t="shared" si="320"/>
        <v>22</v>
      </c>
      <c r="F6871" s="128" t="s">
        <v>24</v>
      </c>
      <c r="G6871" s="128" t="str">
        <f>VLOOKUP(source[[#This Row],[lending_product_transform]],[3]Mapping!$B$4:$C$37,2,0)</f>
        <v>[Cake] - Cashloan</v>
      </c>
      <c r="H6871" s="128" t="str">
        <f>VLOOKUP(source[[#This Row],[lending_product_transform]],[3]Mapping!$B$3:$D$37,3,0)</f>
        <v>cashloan</v>
      </c>
      <c r="I6871" s="135">
        <v>5685000</v>
      </c>
    </row>
    <row r="6872" spans="1:9" x14ac:dyDescent="0.2">
      <c r="A6872" s="134">
        <v>45799</v>
      </c>
      <c r="B6872" s="135">
        <f>YEAR(source[[#This Row],[report_date]])</f>
        <v>2025</v>
      </c>
      <c r="C6872" s="128">
        <f t="shared" si="319"/>
        <v>5</v>
      </c>
      <c r="D6872" s="136">
        <f t="shared" si="321"/>
        <v>21</v>
      </c>
      <c r="E6872" s="136">
        <f t="shared" si="320"/>
        <v>22</v>
      </c>
      <c r="F6872" s="128" t="s">
        <v>24</v>
      </c>
      <c r="G6872" s="128" t="str">
        <f>VLOOKUP(source[[#This Row],[lending_product_transform]],[3]Mapping!$B$4:$C$37,2,0)</f>
        <v>[Cake] - Cashloan</v>
      </c>
      <c r="H6872" s="128" t="str">
        <f>VLOOKUP(source[[#This Row],[lending_product_transform]],[3]Mapping!$B$3:$D$37,3,0)</f>
        <v>cashloan</v>
      </c>
      <c r="I6872" s="135">
        <v>3594909614</v>
      </c>
    </row>
    <row r="6873" spans="1:9" x14ac:dyDescent="0.2">
      <c r="A6873" s="134">
        <v>45799</v>
      </c>
      <c r="B6873" s="135">
        <f>YEAR(source[[#This Row],[report_date]])</f>
        <v>2025</v>
      </c>
      <c r="C6873" s="128">
        <f t="shared" si="319"/>
        <v>5</v>
      </c>
      <c r="D6873" s="136">
        <f t="shared" si="321"/>
        <v>21</v>
      </c>
      <c r="E6873" s="136">
        <f t="shared" si="320"/>
        <v>22</v>
      </c>
      <c r="F6873" s="128" t="s">
        <v>24</v>
      </c>
      <c r="G6873" s="128" t="str">
        <f>VLOOKUP(source[[#This Row],[lending_product_transform]],[3]Mapping!$B$4:$C$37,2,0)</f>
        <v>[Cake] - Cashloan</v>
      </c>
      <c r="H6873" s="128" t="str">
        <f>VLOOKUP(source[[#This Row],[lending_product_transform]],[3]Mapping!$B$3:$D$37,3,0)</f>
        <v>cashloan</v>
      </c>
      <c r="I6873" s="135">
        <v>23768154</v>
      </c>
    </row>
    <row r="6874" spans="1:9" x14ac:dyDescent="0.2">
      <c r="A6874" s="134">
        <v>45799</v>
      </c>
      <c r="B6874" s="135">
        <f>YEAR(source[[#This Row],[report_date]])</f>
        <v>2025</v>
      </c>
      <c r="C6874" s="128">
        <f t="shared" si="319"/>
        <v>5</v>
      </c>
      <c r="D6874" s="136">
        <f t="shared" si="321"/>
        <v>21</v>
      </c>
      <c r="E6874" s="136">
        <f t="shared" si="320"/>
        <v>22</v>
      </c>
      <c r="F6874" s="128" t="s">
        <v>24</v>
      </c>
      <c r="G6874" s="128" t="str">
        <f>VLOOKUP(source[[#This Row],[lending_product_transform]],[3]Mapping!$B$4:$C$37,2,0)</f>
        <v>[Cake] - Cashloan</v>
      </c>
      <c r="H6874" s="128" t="str">
        <f>VLOOKUP(source[[#This Row],[lending_product_transform]],[3]Mapping!$B$3:$D$37,3,0)</f>
        <v>cashloan</v>
      </c>
      <c r="I6874" s="135">
        <v>0</v>
      </c>
    </row>
    <row r="6875" spans="1:9" x14ac:dyDescent="0.2">
      <c r="A6875" s="134">
        <v>45799</v>
      </c>
      <c r="B6875" s="135">
        <f>YEAR(source[[#This Row],[report_date]])</f>
        <v>2025</v>
      </c>
      <c r="C6875" s="128">
        <f t="shared" si="319"/>
        <v>5</v>
      </c>
      <c r="D6875" s="136">
        <f t="shared" si="321"/>
        <v>21</v>
      </c>
      <c r="E6875" s="136">
        <f t="shared" si="320"/>
        <v>22</v>
      </c>
      <c r="F6875" s="128" t="s">
        <v>24</v>
      </c>
      <c r="G6875" s="128" t="str">
        <f>VLOOKUP(source[[#This Row],[lending_product_transform]],[3]Mapping!$B$4:$C$37,2,0)</f>
        <v>[Cake] - Cashloan</v>
      </c>
      <c r="H6875" s="128" t="str">
        <f>VLOOKUP(source[[#This Row],[lending_product_transform]],[3]Mapping!$B$3:$D$37,3,0)</f>
        <v>cashloan</v>
      </c>
      <c r="I6875" s="135">
        <v>246638241</v>
      </c>
    </row>
    <row r="6876" spans="1:9" x14ac:dyDescent="0.2">
      <c r="A6876" s="134">
        <v>45799</v>
      </c>
      <c r="B6876" s="135">
        <f>YEAR(source[[#This Row],[report_date]])</f>
        <v>2025</v>
      </c>
      <c r="C6876" s="128">
        <f t="shared" si="319"/>
        <v>5</v>
      </c>
      <c r="D6876" s="136">
        <f t="shared" si="321"/>
        <v>21</v>
      </c>
      <c r="E6876" s="136">
        <f t="shared" si="320"/>
        <v>22</v>
      </c>
      <c r="F6876" s="128" t="s">
        <v>24</v>
      </c>
      <c r="G6876" s="128" t="str">
        <f>VLOOKUP(source[[#This Row],[lending_product_transform]],[3]Mapping!$B$4:$C$37,2,0)</f>
        <v>[Cake] - Cashloan</v>
      </c>
      <c r="H6876" s="128" t="str">
        <f>VLOOKUP(source[[#This Row],[lending_product_transform]],[3]Mapping!$B$3:$D$37,3,0)</f>
        <v>cashloan</v>
      </c>
      <c r="I6876" s="135">
        <v>63000000</v>
      </c>
    </row>
    <row r="6877" spans="1:9" x14ac:dyDescent="0.2">
      <c r="A6877" s="134">
        <v>45799</v>
      </c>
      <c r="B6877" s="135">
        <f>YEAR(source[[#This Row],[report_date]])</f>
        <v>2025</v>
      </c>
      <c r="C6877" s="128">
        <f t="shared" si="319"/>
        <v>5</v>
      </c>
      <c r="D6877" s="136">
        <f t="shared" si="321"/>
        <v>21</v>
      </c>
      <c r="E6877" s="136">
        <f t="shared" si="320"/>
        <v>22</v>
      </c>
      <c r="F6877" s="128" t="s">
        <v>24</v>
      </c>
      <c r="G6877" s="128" t="str">
        <f>VLOOKUP(source[[#This Row],[lending_product_transform]],[3]Mapping!$B$4:$C$37,2,0)</f>
        <v>[Cake] - Cashloan</v>
      </c>
      <c r="H6877" s="128" t="str">
        <f>VLOOKUP(source[[#This Row],[lending_product_transform]],[3]Mapping!$B$3:$D$37,3,0)</f>
        <v>cashloan</v>
      </c>
      <c r="I6877" s="135">
        <v>38000000</v>
      </c>
    </row>
    <row r="6878" spans="1:9" x14ac:dyDescent="0.2">
      <c r="A6878" s="134">
        <v>45799</v>
      </c>
      <c r="B6878" s="135">
        <f>YEAR(source[[#This Row],[report_date]])</f>
        <v>2025</v>
      </c>
      <c r="C6878" s="128">
        <f t="shared" si="319"/>
        <v>5</v>
      </c>
      <c r="D6878" s="136">
        <f t="shared" si="321"/>
        <v>21</v>
      </c>
      <c r="E6878" s="136">
        <f t="shared" si="320"/>
        <v>22</v>
      </c>
      <c r="F6878" s="128" t="s">
        <v>24</v>
      </c>
      <c r="G6878" s="128" t="str">
        <f>VLOOKUP(source[[#This Row],[lending_product_transform]],[3]Mapping!$B$4:$C$37,2,0)</f>
        <v>[Cake] - Cashloan</v>
      </c>
      <c r="H6878" s="128" t="str">
        <f>VLOOKUP(source[[#This Row],[lending_product_transform]],[3]Mapping!$B$3:$D$37,3,0)</f>
        <v>cashloan</v>
      </c>
      <c r="I6878" s="135">
        <v>0</v>
      </c>
    </row>
    <row r="6879" spans="1:9" x14ac:dyDescent="0.2">
      <c r="A6879" s="134">
        <v>45799</v>
      </c>
      <c r="B6879" s="135">
        <f>YEAR(source[[#This Row],[report_date]])</f>
        <v>2025</v>
      </c>
      <c r="C6879" s="128">
        <f t="shared" si="319"/>
        <v>5</v>
      </c>
      <c r="D6879" s="136">
        <f t="shared" si="321"/>
        <v>21</v>
      </c>
      <c r="E6879" s="136">
        <f t="shared" si="320"/>
        <v>22</v>
      </c>
      <c r="F6879" s="128" t="s">
        <v>24</v>
      </c>
      <c r="G6879" s="128" t="str">
        <f>VLOOKUP(source[[#This Row],[lending_product_transform]],[3]Mapping!$B$4:$C$37,2,0)</f>
        <v>[Cake] - Cashloan</v>
      </c>
      <c r="H6879" s="128" t="str">
        <f>VLOOKUP(source[[#This Row],[lending_product_transform]],[3]Mapping!$B$3:$D$37,3,0)</f>
        <v>cashloan</v>
      </c>
      <c r="I6879" s="135">
        <v>1703000000</v>
      </c>
    </row>
    <row r="6880" spans="1:9" x14ac:dyDescent="0.2">
      <c r="A6880" s="134">
        <v>45799</v>
      </c>
      <c r="B6880" s="135">
        <f>YEAR(source[[#This Row],[report_date]])</f>
        <v>2025</v>
      </c>
      <c r="C6880" s="128">
        <f t="shared" si="319"/>
        <v>5</v>
      </c>
      <c r="D6880" s="136">
        <f t="shared" si="321"/>
        <v>21</v>
      </c>
      <c r="E6880" s="136">
        <f t="shared" si="320"/>
        <v>22</v>
      </c>
      <c r="F6880" s="128" t="s">
        <v>24</v>
      </c>
      <c r="G6880" s="128" t="str">
        <f>VLOOKUP(source[[#This Row],[lending_product_transform]],[3]Mapping!$B$4:$C$37,2,0)</f>
        <v>[Cake] - Cashloan</v>
      </c>
      <c r="H6880" s="128" t="str">
        <f>VLOOKUP(source[[#This Row],[lending_product_transform]],[3]Mapping!$B$3:$D$37,3,0)</f>
        <v>cashloan</v>
      </c>
      <c r="I6880" s="135">
        <v>0</v>
      </c>
    </row>
    <row r="6881" spans="1:9" x14ac:dyDescent="0.2">
      <c r="A6881" s="134">
        <v>45799</v>
      </c>
      <c r="B6881" s="135">
        <f>YEAR(source[[#This Row],[report_date]])</f>
        <v>2025</v>
      </c>
      <c r="C6881" s="128">
        <f t="shared" si="319"/>
        <v>5</v>
      </c>
      <c r="D6881" s="136">
        <f t="shared" si="321"/>
        <v>21</v>
      </c>
      <c r="E6881" s="136">
        <f t="shared" si="320"/>
        <v>22</v>
      </c>
      <c r="F6881" s="128" t="s">
        <v>24</v>
      </c>
      <c r="G6881" s="128" t="str">
        <f>VLOOKUP(source[[#This Row],[lending_product_transform]],[3]Mapping!$B$4:$C$37,2,0)</f>
        <v>[Cake] - Cashloan</v>
      </c>
      <c r="H6881" s="128" t="str">
        <f>VLOOKUP(source[[#This Row],[lending_product_transform]],[3]Mapping!$B$3:$D$37,3,0)</f>
        <v>cashloan</v>
      </c>
      <c r="I6881" s="135">
        <v>500520000</v>
      </c>
    </row>
    <row r="6882" spans="1:9" x14ac:dyDescent="0.2">
      <c r="A6882" s="134">
        <v>45799</v>
      </c>
      <c r="B6882" s="135">
        <f>YEAR(source[[#This Row],[report_date]])</f>
        <v>2025</v>
      </c>
      <c r="C6882" s="128">
        <f t="shared" si="319"/>
        <v>5</v>
      </c>
      <c r="D6882" s="136">
        <f t="shared" si="321"/>
        <v>21</v>
      </c>
      <c r="E6882" s="136">
        <f t="shared" si="320"/>
        <v>22</v>
      </c>
      <c r="F6882" s="128" t="s">
        <v>24</v>
      </c>
      <c r="G6882" s="128" t="str">
        <f>VLOOKUP(source[[#This Row],[lending_product_transform]],[3]Mapping!$B$4:$C$37,2,0)</f>
        <v>[Cake] - Cashloan</v>
      </c>
      <c r="H6882" s="128" t="str">
        <f>VLOOKUP(source[[#This Row],[lending_product_transform]],[3]Mapping!$B$3:$D$37,3,0)</f>
        <v>cashloan</v>
      </c>
      <c r="I6882" s="135">
        <v>0</v>
      </c>
    </row>
    <row r="6883" spans="1:9" x14ac:dyDescent="0.2">
      <c r="A6883" s="134">
        <v>45799</v>
      </c>
      <c r="B6883" s="135">
        <f>YEAR(source[[#This Row],[report_date]])</f>
        <v>2025</v>
      </c>
      <c r="C6883" s="128">
        <f t="shared" si="319"/>
        <v>5</v>
      </c>
      <c r="D6883" s="136">
        <f t="shared" si="321"/>
        <v>21</v>
      </c>
      <c r="E6883" s="136">
        <f t="shared" si="320"/>
        <v>22</v>
      </c>
      <c r="F6883" s="128" t="s">
        <v>24</v>
      </c>
      <c r="G6883" s="128" t="str">
        <f>VLOOKUP(source[[#This Row],[lending_product_transform]],[3]Mapping!$B$4:$C$37,2,0)</f>
        <v>[Cake] - Cashloan</v>
      </c>
      <c r="H6883" s="128" t="str">
        <f>VLOOKUP(source[[#This Row],[lending_product_transform]],[3]Mapping!$B$3:$D$37,3,0)</f>
        <v>cashloan</v>
      </c>
      <c r="I6883" s="135">
        <v>1049190000</v>
      </c>
    </row>
    <row r="6884" spans="1:9" x14ac:dyDescent="0.2">
      <c r="A6884" s="134">
        <v>45799</v>
      </c>
      <c r="B6884" s="135">
        <f>YEAR(source[[#This Row],[report_date]])</f>
        <v>2025</v>
      </c>
      <c r="C6884" s="128">
        <f t="shared" si="319"/>
        <v>5</v>
      </c>
      <c r="D6884" s="136">
        <f t="shared" si="321"/>
        <v>21</v>
      </c>
      <c r="E6884" s="136">
        <f t="shared" si="320"/>
        <v>22</v>
      </c>
      <c r="F6884" s="128" t="s">
        <v>24</v>
      </c>
      <c r="G6884" s="128" t="str">
        <f>VLOOKUP(source[[#This Row],[lending_product_transform]],[3]Mapping!$B$4:$C$37,2,0)</f>
        <v>[Cake] - Cashloan</v>
      </c>
      <c r="H6884" s="128" t="str">
        <f>VLOOKUP(source[[#This Row],[lending_product_transform]],[3]Mapping!$B$3:$D$37,3,0)</f>
        <v>cashloan</v>
      </c>
      <c r="I6884" s="135">
        <v>7977230000</v>
      </c>
    </row>
    <row r="6885" spans="1:9" x14ac:dyDescent="0.2">
      <c r="A6885" s="134">
        <v>45799</v>
      </c>
      <c r="B6885" s="135">
        <f>YEAR(source[[#This Row],[report_date]])</f>
        <v>2025</v>
      </c>
      <c r="C6885" s="128">
        <f t="shared" si="319"/>
        <v>5</v>
      </c>
      <c r="D6885" s="136">
        <f t="shared" si="321"/>
        <v>21</v>
      </c>
      <c r="E6885" s="136">
        <f t="shared" si="320"/>
        <v>22</v>
      </c>
      <c r="F6885" s="128" t="s">
        <v>24</v>
      </c>
      <c r="G6885" s="128" t="str">
        <f>VLOOKUP(source[[#This Row],[lending_product_transform]],[3]Mapping!$B$4:$C$37,2,0)</f>
        <v>[Cake] - Cashloan</v>
      </c>
      <c r="H6885" s="128" t="str">
        <f>VLOOKUP(source[[#This Row],[lending_product_transform]],[3]Mapping!$B$3:$D$37,3,0)</f>
        <v>cashloan</v>
      </c>
      <c r="I6885" s="135">
        <v>0</v>
      </c>
    </row>
    <row r="6886" spans="1:9" x14ac:dyDescent="0.2">
      <c r="A6886" s="134">
        <v>45799</v>
      </c>
      <c r="B6886" s="135">
        <f>YEAR(source[[#This Row],[report_date]])</f>
        <v>2025</v>
      </c>
      <c r="C6886" s="128">
        <f t="shared" si="319"/>
        <v>5</v>
      </c>
      <c r="D6886" s="136">
        <f t="shared" si="321"/>
        <v>21</v>
      </c>
      <c r="E6886" s="136">
        <f t="shared" si="320"/>
        <v>22</v>
      </c>
      <c r="F6886" s="128" t="s">
        <v>24</v>
      </c>
      <c r="G6886" s="128" t="str">
        <f>VLOOKUP(source[[#This Row],[lending_product_transform]],[3]Mapping!$B$4:$C$37,2,0)</f>
        <v>[Cake] - Cashloan</v>
      </c>
      <c r="H6886" s="128" t="str">
        <f>VLOOKUP(source[[#This Row],[lending_product_transform]],[3]Mapping!$B$3:$D$37,3,0)</f>
        <v>cashloan</v>
      </c>
      <c r="I6886" s="135">
        <v>200363471</v>
      </c>
    </row>
    <row r="6887" spans="1:9" x14ac:dyDescent="0.2">
      <c r="A6887" s="134">
        <v>45799</v>
      </c>
      <c r="B6887" s="135">
        <f>YEAR(source[[#This Row],[report_date]])</f>
        <v>2025</v>
      </c>
      <c r="C6887" s="128">
        <f t="shared" si="319"/>
        <v>5</v>
      </c>
      <c r="D6887" s="136">
        <f t="shared" si="321"/>
        <v>21</v>
      </c>
      <c r="E6887" s="136">
        <f t="shared" si="320"/>
        <v>22</v>
      </c>
      <c r="F6887" s="128" t="s">
        <v>24</v>
      </c>
      <c r="G6887" s="128" t="str">
        <f>VLOOKUP(source[[#This Row],[lending_product_transform]],[3]Mapping!$B$4:$C$37,2,0)</f>
        <v>[Cake] - Cashloan</v>
      </c>
      <c r="H6887" s="128" t="str">
        <f>VLOOKUP(source[[#This Row],[lending_product_transform]],[3]Mapping!$B$3:$D$37,3,0)</f>
        <v>cashloan</v>
      </c>
      <c r="I6887" s="135">
        <v>362187891</v>
      </c>
    </row>
    <row r="6888" spans="1:9" x14ac:dyDescent="0.2">
      <c r="A6888" s="134">
        <v>45799</v>
      </c>
      <c r="B6888" s="135">
        <f>YEAR(source[[#This Row],[report_date]])</f>
        <v>2025</v>
      </c>
      <c r="C6888" s="128">
        <f t="shared" si="319"/>
        <v>5</v>
      </c>
      <c r="D6888" s="136">
        <f t="shared" si="321"/>
        <v>21</v>
      </c>
      <c r="E6888" s="136">
        <f t="shared" si="320"/>
        <v>22</v>
      </c>
      <c r="F6888" s="128" t="s">
        <v>24</v>
      </c>
      <c r="G6888" s="128" t="str">
        <f>VLOOKUP(source[[#This Row],[lending_product_transform]],[3]Mapping!$B$4:$C$37,2,0)</f>
        <v>[Cake] - Cashloan</v>
      </c>
      <c r="H6888" s="128" t="str">
        <f>VLOOKUP(source[[#This Row],[lending_product_transform]],[3]Mapping!$B$3:$D$37,3,0)</f>
        <v>cashloan</v>
      </c>
      <c r="I6888" s="135">
        <v>4883760000</v>
      </c>
    </row>
    <row r="6889" spans="1:9" x14ac:dyDescent="0.2">
      <c r="A6889" s="134">
        <v>45800</v>
      </c>
      <c r="B6889" s="135">
        <f>YEAR(source[[#This Row],[report_date]])</f>
        <v>2025</v>
      </c>
      <c r="C6889" s="128">
        <f t="shared" si="319"/>
        <v>5</v>
      </c>
      <c r="D6889" s="136">
        <f t="shared" si="321"/>
        <v>21</v>
      </c>
      <c r="E6889" s="136">
        <f t="shared" si="320"/>
        <v>23</v>
      </c>
      <c r="F6889" s="128" t="s">
        <v>24</v>
      </c>
      <c r="G6889" s="128" t="str">
        <f>VLOOKUP(source[[#This Row],[lending_product_transform]],[3]Mapping!$B$4:$C$37,2,0)</f>
        <v>[Cake] - Cashloan</v>
      </c>
      <c r="H6889" s="128" t="str">
        <f>VLOOKUP(source[[#This Row],[lending_product_transform]],[3]Mapping!$B$3:$D$37,3,0)</f>
        <v>cashloan</v>
      </c>
      <c r="I6889" s="135">
        <v>8380520000</v>
      </c>
    </row>
    <row r="6890" spans="1:9" x14ac:dyDescent="0.2">
      <c r="A6890" s="134">
        <v>45800</v>
      </c>
      <c r="B6890" s="135">
        <f>YEAR(source[[#This Row],[report_date]])</f>
        <v>2025</v>
      </c>
      <c r="C6890" s="128">
        <f t="shared" si="319"/>
        <v>5</v>
      </c>
      <c r="D6890" s="136">
        <f t="shared" si="321"/>
        <v>21</v>
      </c>
      <c r="E6890" s="136">
        <f t="shared" si="320"/>
        <v>23</v>
      </c>
      <c r="F6890" s="128" t="s">
        <v>24</v>
      </c>
      <c r="G6890" s="128" t="str">
        <f>VLOOKUP(source[[#This Row],[lending_product_transform]],[3]Mapping!$B$4:$C$37,2,0)</f>
        <v>[Cake] - Cashloan</v>
      </c>
      <c r="H6890" s="128" t="str">
        <f>VLOOKUP(source[[#This Row],[lending_product_transform]],[3]Mapping!$B$3:$D$37,3,0)</f>
        <v>cashloan</v>
      </c>
      <c r="I6890" s="135">
        <v>5058180000</v>
      </c>
    </row>
    <row r="6891" spans="1:9" x14ac:dyDescent="0.2">
      <c r="A6891" s="134">
        <v>45800</v>
      </c>
      <c r="B6891" s="135">
        <f>YEAR(source[[#This Row],[report_date]])</f>
        <v>2025</v>
      </c>
      <c r="C6891" s="128">
        <f t="shared" si="319"/>
        <v>5</v>
      </c>
      <c r="D6891" s="136">
        <f t="shared" si="321"/>
        <v>21</v>
      </c>
      <c r="E6891" s="136">
        <f t="shared" si="320"/>
        <v>23</v>
      </c>
      <c r="F6891" s="128" t="s">
        <v>24</v>
      </c>
      <c r="G6891" s="128" t="str">
        <f>VLOOKUP(source[[#This Row],[lending_product_transform]],[3]Mapping!$B$4:$C$37,2,0)</f>
        <v>[Cake] - Cashloan</v>
      </c>
      <c r="H6891" s="128" t="str">
        <f>VLOOKUP(source[[#This Row],[lending_product_transform]],[3]Mapping!$B$3:$D$37,3,0)</f>
        <v>cashloan</v>
      </c>
      <c r="I6891" s="135">
        <v>271712290</v>
      </c>
    </row>
    <row r="6892" spans="1:9" x14ac:dyDescent="0.2">
      <c r="A6892" s="134">
        <v>45800</v>
      </c>
      <c r="B6892" s="135">
        <f>YEAR(source[[#This Row],[report_date]])</f>
        <v>2025</v>
      </c>
      <c r="C6892" s="128">
        <f t="shared" si="319"/>
        <v>5</v>
      </c>
      <c r="D6892" s="136">
        <f t="shared" si="321"/>
        <v>21</v>
      </c>
      <c r="E6892" s="136">
        <f t="shared" si="320"/>
        <v>23</v>
      </c>
      <c r="F6892" s="128" t="s">
        <v>24</v>
      </c>
      <c r="G6892" s="128" t="str">
        <f>VLOOKUP(source[[#This Row],[lending_product_transform]],[3]Mapping!$B$4:$C$37,2,0)</f>
        <v>[Cake] - Cashloan</v>
      </c>
      <c r="H6892" s="128" t="str">
        <f>VLOOKUP(source[[#This Row],[lending_product_transform]],[3]Mapping!$B$3:$D$37,3,0)</f>
        <v>cashloan</v>
      </c>
      <c r="I6892" s="135">
        <v>6978990000</v>
      </c>
    </row>
    <row r="6893" spans="1:9" x14ac:dyDescent="0.2">
      <c r="A6893" s="134">
        <v>45800</v>
      </c>
      <c r="B6893" s="135">
        <f>YEAR(source[[#This Row],[report_date]])</f>
        <v>2025</v>
      </c>
      <c r="C6893" s="128">
        <f t="shared" si="319"/>
        <v>5</v>
      </c>
      <c r="D6893" s="136">
        <f t="shared" si="321"/>
        <v>21</v>
      </c>
      <c r="E6893" s="136">
        <f t="shared" si="320"/>
        <v>23</v>
      </c>
      <c r="F6893" s="128" t="s">
        <v>24</v>
      </c>
      <c r="G6893" s="128" t="str">
        <f>VLOOKUP(source[[#This Row],[lending_product_transform]],[3]Mapping!$B$4:$C$37,2,0)</f>
        <v>[Cake] - Cashloan</v>
      </c>
      <c r="H6893" s="128" t="str">
        <f>VLOOKUP(source[[#This Row],[lending_product_transform]],[3]Mapping!$B$3:$D$37,3,0)</f>
        <v>cashloan</v>
      </c>
      <c r="I6893" s="135">
        <v>3296498041</v>
      </c>
    </row>
    <row r="6894" spans="1:9" x14ac:dyDescent="0.2">
      <c r="A6894" s="134">
        <v>45800</v>
      </c>
      <c r="B6894" s="135">
        <f>YEAR(source[[#This Row],[report_date]])</f>
        <v>2025</v>
      </c>
      <c r="C6894" s="128">
        <f t="shared" si="319"/>
        <v>5</v>
      </c>
      <c r="D6894" s="136">
        <f t="shared" si="321"/>
        <v>21</v>
      </c>
      <c r="E6894" s="136">
        <f t="shared" si="320"/>
        <v>23</v>
      </c>
      <c r="F6894" s="128" t="s">
        <v>24</v>
      </c>
      <c r="G6894" s="128" t="str">
        <f>VLOOKUP(source[[#This Row],[lending_product_transform]],[3]Mapping!$B$4:$C$37,2,0)</f>
        <v>[Cake] - Cashloan</v>
      </c>
      <c r="H6894" s="128" t="str">
        <f>VLOOKUP(source[[#This Row],[lending_product_transform]],[3]Mapping!$B$3:$D$37,3,0)</f>
        <v>cashloan</v>
      </c>
      <c r="I6894" s="135">
        <v>33270375</v>
      </c>
    </row>
    <row r="6895" spans="1:9" x14ac:dyDescent="0.2">
      <c r="A6895" s="134">
        <v>45800</v>
      </c>
      <c r="B6895" s="135">
        <f>YEAR(source[[#This Row],[report_date]])</f>
        <v>2025</v>
      </c>
      <c r="C6895" s="128">
        <f t="shared" si="319"/>
        <v>5</v>
      </c>
      <c r="D6895" s="136">
        <f t="shared" si="321"/>
        <v>21</v>
      </c>
      <c r="E6895" s="136">
        <f t="shared" si="320"/>
        <v>23</v>
      </c>
      <c r="F6895" s="128" t="s">
        <v>24</v>
      </c>
      <c r="G6895" s="128" t="str">
        <f>VLOOKUP(source[[#This Row],[lending_product_transform]],[3]Mapping!$B$4:$C$37,2,0)</f>
        <v>[Cake] - Cashloan</v>
      </c>
      <c r="H6895" s="128" t="str">
        <f>VLOOKUP(source[[#This Row],[lending_product_transform]],[3]Mapping!$B$3:$D$37,3,0)</f>
        <v>cashloan</v>
      </c>
      <c r="I6895" s="135">
        <v>0</v>
      </c>
    </row>
    <row r="6896" spans="1:9" x14ac:dyDescent="0.2">
      <c r="A6896" s="134">
        <v>45800</v>
      </c>
      <c r="B6896" s="135">
        <f>YEAR(source[[#This Row],[report_date]])</f>
        <v>2025</v>
      </c>
      <c r="C6896" s="128">
        <f t="shared" si="319"/>
        <v>5</v>
      </c>
      <c r="D6896" s="136">
        <f t="shared" si="321"/>
        <v>21</v>
      </c>
      <c r="E6896" s="136">
        <f t="shared" si="320"/>
        <v>23</v>
      </c>
      <c r="F6896" s="128" t="s">
        <v>24</v>
      </c>
      <c r="G6896" s="128" t="str">
        <f>VLOOKUP(source[[#This Row],[lending_product_transform]],[3]Mapping!$B$4:$C$37,2,0)</f>
        <v>[Cake] - Cashloan</v>
      </c>
      <c r="H6896" s="128" t="str">
        <f>VLOOKUP(source[[#This Row],[lending_product_transform]],[3]Mapping!$B$3:$D$37,3,0)</f>
        <v>cashloan</v>
      </c>
      <c r="I6896" s="135">
        <v>0</v>
      </c>
    </row>
    <row r="6897" spans="1:9" x14ac:dyDescent="0.2">
      <c r="A6897" s="134">
        <v>45800</v>
      </c>
      <c r="B6897" s="135">
        <f>YEAR(source[[#This Row],[report_date]])</f>
        <v>2025</v>
      </c>
      <c r="C6897" s="128">
        <f t="shared" si="319"/>
        <v>5</v>
      </c>
      <c r="D6897" s="136">
        <f t="shared" si="321"/>
        <v>21</v>
      </c>
      <c r="E6897" s="136">
        <f t="shared" si="320"/>
        <v>23</v>
      </c>
      <c r="F6897" s="128" t="s">
        <v>24</v>
      </c>
      <c r="G6897" s="128" t="str">
        <f>VLOOKUP(source[[#This Row],[lending_product_transform]],[3]Mapping!$B$4:$C$37,2,0)</f>
        <v>[Cake] - Cashloan</v>
      </c>
      <c r="H6897" s="128" t="str">
        <f>VLOOKUP(source[[#This Row],[lending_product_transform]],[3]Mapping!$B$3:$D$37,3,0)</f>
        <v>cashloan</v>
      </c>
      <c r="I6897" s="135">
        <v>10000000</v>
      </c>
    </row>
    <row r="6898" spans="1:9" x14ac:dyDescent="0.2">
      <c r="A6898" s="134">
        <v>45800</v>
      </c>
      <c r="B6898" s="135">
        <f>YEAR(source[[#This Row],[report_date]])</f>
        <v>2025</v>
      </c>
      <c r="C6898" s="128">
        <f t="shared" si="319"/>
        <v>5</v>
      </c>
      <c r="D6898" s="136">
        <f t="shared" si="321"/>
        <v>21</v>
      </c>
      <c r="E6898" s="136">
        <f t="shared" si="320"/>
        <v>23</v>
      </c>
      <c r="F6898" s="128" t="s">
        <v>24</v>
      </c>
      <c r="G6898" s="128" t="str">
        <f>VLOOKUP(source[[#This Row],[lending_product_transform]],[3]Mapping!$B$4:$C$37,2,0)</f>
        <v>[Cake] - Cashloan</v>
      </c>
      <c r="H6898" s="128" t="str">
        <f>VLOOKUP(source[[#This Row],[lending_product_transform]],[3]Mapping!$B$3:$D$37,3,0)</f>
        <v>cashloan</v>
      </c>
      <c r="I6898" s="135">
        <v>46250000</v>
      </c>
    </row>
    <row r="6899" spans="1:9" x14ac:dyDescent="0.2">
      <c r="A6899" s="134">
        <v>45800</v>
      </c>
      <c r="B6899" s="135">
        <f>YEAR(source[[#This Row],[report_date]])</f>
        <v>2025</v>
      </c>
      <c r="C6899" s="128">
        <f t="shared" si="319"/>
        <v>5</v>
      </c>
      <c r="D6899" s="136">
        <f t="shared" si="321"/>
        <v>21</v>
      </c>
      <c r="E6899" s="136">
        <f t="shared" si="320"/>
        <v>23</v>
      </c>
      <c r="F6899" s="128" t="s">
        <v>24</v>
      </c>
      <c r="G6899" s="128" t="str">
        <f>VLOOKUP(source[[#This Row],[lending_product_transform]],[3]Mapping!$B$4:$C$37,2,0)</f>
        <v>[Cake] - Cashloan</v>
      </c>
      <c r="H6899" s="128" t="str">
        <f>VLOOKUP(source[[#This Row],[lending_product_transform]],[3]Mapping!$B$3:$D$37,3,0)</f>
        <v>cashloan</v>
      </c>
      <c r="I6899" s="135">
        <v>27000000</v>
      </c>
    </row>
    <row r="6900" spans="1:9" x14ac:dyDescent="0.2">
      <c r="A6900" s="134">
        <v>45800</v>
      </c>
      <c r="B6900" s="135">
        <f>YEAR(source[[#This Row],[report_date]])</f>
        <v>2025</v>
      </c>
      <c r="C6900" s="128">
        <f t="shared" si="319"/>
        <v>5</v>
      </c>
      <c r="D6900" s="136">
        <f t="shared" si="321"/>
        <v>21</v>
      </c>
      <c r="E6900" s="136">
        <f t="shared" si="320"/>
        <v>23</v>
      </c>
      <c r="F6900" s="128" t="s">
        <v>24</v>
      </c>
      <c r="G6900" s="128" t="str">
        <f>VLOOKUP(source[[#This Row],[lending_product_transform]],[3]Mapping!$B$4:$C$37,2,0)</f>
        <v>[Cake] - Cashloan</v>
      </c>
      <c r="H6900" s="128" t="str">
        <f>VLOOKUP(source[[#This Row],[lending_product_transform]],[3]Mapping!$B$3:$D$37,3,0)</f>
        <v>cashloan</v>
      </c>
      <c r="I6900" s="135">
        <v>1547000000</v>
      </c>
    </row>
    <row r="6901" spans="1:9" x14ac:dyDescent="0.2">
      <c r="A6901" s="134">
        <v>45800</v>
      </c>
      <c r="B6901" s="135">
        <f>YEAR(source[[#This Row],[report_date]])</f>
        <v>2025</v>
      </c>
      <c r="C6901" s="128">
        <f t="shared" si="319"/>
        <v>5</v>
      </c>
      <c r="D6901" s="136">
        <f t="shared" si="321"/>
        <v>21</v>
      </c>
      <c r="E6901" s="136">
        <f t="shared" si="320"/>
        <v>23</v>
      </c>
      <c r="F6901" s="128" t="s">
        <v>24</v>
      </c>
      <c r="G6901" s="128" t="str">
        <f>VLOOKUP(source[[#This Row],[lending_product_transform]],[3]Mapping!$B$4:$C$37,2,0)</f>
        <v>[Cake] - Cashloan</v>
      </c>
      <c r="H6901" s="128" t="str">
        <f>VLOOKUP(source[[#This Row],[lending_product_transform]],[3]Mapping!$B$3:$D$37,3,0)</f>
        <v>cashloan</v>
      </c>
      <c r="I6901" s="135">
        <v>0</v>
      </c>
    </row>
    <row r="6902" spans="1:9" x14ac:dyDescent="0.2">
      <c r="A6902" s="134">
        <v>45800</v>
      </c>
      <c r="B6902" s="135">
        <f>YEAR(source[[#This Row],[report_date]])</f>
        <v>2025</v>
      </c>
      <c r="C6902" s="128">
        <f t="shared" ref="C6902:C6965" si="322">MONTH(A6902)</f>
        <v>5</v>
      </c>
      <c r="D6902" s="136">
        <f t="shared" si="321"/>
        <v>21</v>
      </c>
      <c r="E6902" s="136">
        <f t="shared" ref="E6902:E6965" si="323">DAY(A6902)</f>
        <v>23</v>
      </c>
      <c r="F6902" s="128" t="s">
        <v>24</v>
      </c>
      <c r="G6902" s="128" t="str">
        <f>VLOOKUP(source[[#This Row],[lending_product_transform]],[3]Mapping!$B$4:$C$37,2,0)</f>
        <v>[Cake] - Cashloan</v>
      </c>
      <c r="H6902" s="128" t="str">
        <f>VLOOKUP(source[[#This Row],[lending_product_transform]],[3]Mapping!$B$3:$D$37,3,0)</f>
        <v>cashloan</v>
      </c>
      <c r="I6902" s="135">
        <v>616320000</v>
      </c>
    </row>
    <row r="6903" spans="1:9" x14ac:dyDescent="0.2">
      <c r="A6903" s="134">
        <v>45800</v>
      </c>
      <c r="B6903" s="135">
        <f>YEAR(source[[#This Row],[report_date]])</f>
        <v>2025</v>
      </c>
      <c r="C6903" s="128">
        <f t="shared" si="322"/>
        <v>5</v>
      </c>
      <c r="D6903" s="136">
        <f t="shared" si="321"/>
        <v>21</v>
      </c>
      <c r="E6903" s="136">
        <f t="shared" si="323"/>
        <v>23</v>
      </c>
      <c r="F6903" s="128" t="s">
        <v>24</v>
      </c>
      <c r="G6903" s="128" t="str">
        <f>VLOOKUP(source[[#This Row],[lending_product_transform]],[3]Mapping!$B$4:$C$37,2,0)</f>
        <v>[Cake] - Cashloan</v>
      </c>
      <c r="H6903" s="128" t="str">
        <f>VLOOKUP(source[[#This Row],[lending_product_transform]],[3]Mapping!$B$3:$D$37,3,0)</f>
        <v>cashloan</v>
      </c>
      <c r="I6903" s="135">
        <v>0</v>
      </c>
    </row>
    <row r="6904" spans="1:9" x14ac:dyDescent="0.2">
      <c r="A6904" s="134">
        <v>45800</v>
      </c>
      <c r="B6904" s="135">
        <f>YEAR(source[[#This Row],[report_date]])</f>
        <v>2025</v>
      </c>
      <c r="C6904" s="128">
        <f t="shared" si="322"/>
        <v>5</v>
      </c>
      <c r="D6904" s="136">
        <f t="shared" si="321"/>
        <v>21</v>
      </c>
      <c r="E6904" s="136">
        <f t="shared" si="323"/>
        <v>23</v>
      </c>
      <c r="F6904" s="128" t="s">
        <v>24</v>
      </c>
      <c r="G6904" s="128" t="str">
        <f>VLOOKUP(source[[#This Row],[lending_product_transform]],[3]Mapping!$B$4:$C$37,2,0)</f>
        <v>[Cake] - Cashloan</v>
      </c>
      <c r="H6904" s="128" t="str">
        <f>VLOOKUP(source[[#This Row],[lending_product_transform]],[3]Mapping!$B$3:$D$37,3,0)</f>
        <v>cashloan</v>
      </c>
      <c r="I6904" s="135">
        <v>843860000</v>
      </c>
    </row>
    <row r="6905" spans="1:9" x14ac:dyDescent="0.2">
      <c r="A6905" s="134">
        <v>45800</v>
      </c>
      <c r="B6905" s="135">
        <f>YEAR(source[[#This Row],[report_date]])</f>
        <v>2025</v>
      </c>
      <c r="C6905" s="128">
        <f t="shared" si="322"/>
        <v>5</v>
      </c>
      <c r="D6905" s="136">
        <f t="shared" si="321"/>
        <v>21</v>
      </c>
      <c r="E6905" s="136">
        <f t="shared" si="323"/>
        <v>23</v>
      </c>
      <c r="F6905" s="128" t="s">
        <v>24</v>
      </c>
      <c r="G6905" s="128" t="str">
        <f>VLOOKUP(source[[#This Row],[lending_product_transform]],[3]Mapping!$B$4:$C$37,2,0)</f>
        <v>[Cake] - Cashloan</v>
      </c>
      <c r="H6905" s="128" t="str">
        <f>VLOOKUP(source[[#This Row],[lending_product_transform]],[3]Mapping!$B$3:$D$37,3,0)</f>
        <v>cashloan</v>
      </c>
      <c r="I6905" s="135">
        <v>6858000</v>
      </c>
    </row>
    <row r="6906" spans="1:9" x14ac:dyDescent="0.2">
      <c r="A6906" s="134">
        <v>45800</v>
      </c>
      <c r="B6906" s="135">
        <f>YEAR(source[[#This Row],[report_date]])</f>
        <v>2025</v>
      </c>
      <c r="C6906" s="128">
        <f t="shared" si="322"/>
        <v>5</v>
      </c>
      <c r="D6906" s="136">
        <f t="shared" si="321"/>
        <v>21</v>
      </c>
      <c r="E6906" s="136">
        <f t="shared" si="323"/>
        <v>23</v>
      </c>
      <c r="F6906" s="128" t="s">
        <v>24</v>
      </c>
      <c r="G6906" s="128" t="str">
        <f>VLOOKUP(source[[#This Row],[lending_product_transform]],[3]Mapping!$B$4:$C$37,2,0)</f>
        <v>[Cake] - Cashloan</v>
      </c>
      <c r="H6906" s="128" t="str">
        <f>VLOOKUP(source[[#This Row],[lending_product_transform]],[3]Mapping!$B$3:$D$37,3,0)</f>
        <v>cashloan</v>
      </c>
      <c r="I6906" s="135">
        <v>223790459</v>
      </c>
    </row>
    <row r="6907" spans="1:9" x14ac:dyDescent="0.2">
      <c r="A6907" s="134">
        <v>45800</v>
      </c>
      <c r="B6907" s="135">
        <f>YEAR(source[[#This Row],[report_date]])</f>
        <v>2025</v>
      </c>
      <c r="C6907" s="128">
        <f t="shared" si="322"/>
        <v>5</v>
      </c>
      <c r="D6907" s="136">
        <f t="shared" si="321"/>
        <v>21</v>
      </c>
      <c r="E6907" s="136">
        <f t="shared" si="323"/>
        <v>23</v>
      </c>
      <c r="F6907" s="128" t="s">
        <v>24</v>
      </c>
      <c r="G6907" s="128" t="str">
        <f>VLOOKUP(source[[#This Row],[lending_product_transform]],[3]Mapping!$B$4:$C$37,2,0)</f>
        <v>[Cake] - Cashloan</v>
      </c>
      <c r="H6907" s="128" t="str">
        <f>VLOOKUP(source[[#This Row],[lending_product_transform]],[3]Mapping!$B$3:$D$37,3,0)</f>
        <v>cashloan</v>
      </c>
      <c r="I6907" s="135">
        <v>391715544</v>
      </c>
    </row>
    <row r="6908" spans="1:9" x14ac:dyDescent="0.2">
      <c r="A6908" s="134">
        <v>45801</v>
      </c>
      <c r="B6908" s="135">
        <f>YEAR(source[[#This Row],[report_date]])</f>
        <v>2025</v>
      </c>
      <c r="C6908" s="128">
        <f t="shared" si="322"/>
        <v>5</v>
      </c>
      <c r="D6908" s="136">
        <f t="shared" si="321"/>
        <v>21</v>
      </c>
      <c r="E6908" s="136">
        <f t="shared" si="323"/>
        <v>24</v>
      </c>
      <c r="F6908" s="128" t="s">
        <v>24</v>
      </c>
      <c r="G6908" s="128" t="str">
        <f>VLOOKUP(source[[#This Row],[lending_product_transform]],[3]Mapping!$B$4:$C$37,2,0)</f>
        <v>[Cake] - Cashloan</v>
      </c>
      <c r="H6908" s="128" t="str">
        <f>VLOOKUP(source[[#This Row],[lending_product_transform]],[3]Mapping!$B$3:$D$37,3,0)</f>
        <v>cashloan</v>
      </c>
      <c r="I6908" s="135">
        <v>5935110000</v>
      </c>
    </row>
    <row r="6909" spans="1:9" x14ac:dyDescent="0.2">
      <c r="A6909" s="134">
        <v>45801</v>
      </c>
      <c r="B6909" s="135">
        <f>YEAR(source[[#This Row],[report_date]])</f>
        <v>2025</v>
      </c>
      <c r="C6909" s="128">
        <f t="shared" si="322"/>
        <v>5</v>
      </c>
      <c r="D6909" s="136">
        <f t="shared" si="321"/>
        <v>21</v>
      </c>
      <c r="E6909" s="136">
        <f t="shared" si="323"/>
        <v>24</v>
      </c>
      <c r="F6909" s="128" t="s">
        <v>24</v>
      </c>
      <c r="G6909" s="128" t="str">
        <f>VLOOKUP(source[[#This Row],[lending_product_transform]],[3]Mapping!$B$4:$C$37,2,0)</f>
        <v>[Cake] - Cashloan</v>
      </c>
      <c r="H6909" s="128" t="str">
        <f>VLOOKUP(source[[#This Row],[lending_product_transform]],[3]Mapping!$B$3:$D$37,3,0)</f>
        <v>cashloan</v>
      </c>
      <c r="I6909" s="135">
        <v>4830624000</v>
      </c>
    </row>
    <row r="6910" spans="1:9" x14ac:dyDescent="0.2">
      <c r="A6910" s="134">
        <v>45801</v>
      </c>
      <c r="B6910" s="135">
        <f>YEAR(source[[#This Row],[report_date]])</f>
        <v>2025</v>
      </c>
      <c r="C6910" s="128">
        <f t="shared" si="322"/>
        <v>5</v>
      </c>
      <c r="D6910" s="136">
        <f t="shared" si="321"/>
        <v>21</v>
      </c>
      <c r="E6910" s="136">
        <f t="shared" si="323"/>
        <v>24</v>
      </c>
      <c r="F6910" s="128" t="s">
        <v>24</v>
      </c>
      <c r="G6910" s="128" t="str">
        <f>VLOOKUP(source[[#This Row],[lending_product_transform]],[3]Mapping!$B$4:$C$37,2,0)</f>
        <v>[Cake] - Cashloan</v>
      </c>
      <c r="H6910" s="128" t="str">
        <f>VLOOKUP(source[[#This Row],[lending_product_transform]],[3]Mapping!$B$3:$D$37,3,0)</f>
        <v>cashloan</v>
      </c>
      <c r="I6910" s="135">
        <v>6341190000</v>
      </c>
    </row>
    <row r="6911" spans="1:9" x14ac:dyDescent="0.2">
      <c r="A6911" s="134">
        <v>45801</v>
      </c>
      <c r="B6911" s="135">
        <f>YEAR(source[[#This Row],[report_date]])</f>
        <v>2025</v>
      </c>
      <c r="C6911" s="128">
        <f t="shared" si="322"/>
        <v>5</v>
      </c>
      <c r="D6911" s="136">
        <f t="shared" si="321"/>
        <v>21</v>
      </c>
      <c r="E6911" s="136">
        <f t="shared" si="323"/>
        <v>24</v>
      </c>
      <c r="F6911" s="128" t="s">
        <v>24</v>
      </c>
      <c r="G6911" s="128" t="str">
        <f>VLOOKUP(source[[#This Row],[lending_product_transform]],[3]Mapping!$B$4:$C$37,2,0)</f>
        <v>[Cake] - Cashloan</v>
      </c>
      <c r="H6911" s="128" t="str">
        <f>VLOOKUP(source[[#This Row],[lending_product_transform]],[3]Mapping!$B$3:$D$37,3,0)</f>
        <v>cashloan</v>
      </c>
      <c r="I6911" s="135">
        <v>0</v>
      </c>
    </row>
    <row r="6912" spans="1:9" x14ac:dyDescent="0.2">
      <c r="A6912" s="134">
        <v>45801</v>
      </c>
      <c r="B6912" s="135">
        <f>YEAR(source[[#This Row],[report_date]])</f>
        <v>2025</v>
      </c>
      <c r="C6912" s="128">
        <f t="shared" si="322"/>
        <v>5</v>
      </c>
      <c r="D6912" s="136">
        <f t="shared" si="321"/>
        <v>21</v>
      </c>
      <c r="E6912" s="136">
        <f t="shared" si="323"/>
        <v>24</v>
      </c>
      <c r="F6912" s="128" t="s">
        <v>24</v>
      </c>
      <c r="G6912" s="128" t="str">
        <f>VLOOKUP(source[[#This Row],[lending_product_transform]],[3]Mapping!$B$4:$C$37,2,0)</f>
        <v>[Cake] - Cashloan</v>
      </c>
      <c r="H6912" s="128" t="str">
        <f>VLOOKUP(source[[#This Row],[lending_product_transform]],[3]Mapping!$B$3:$D$37,3,0)</f>
        <v>cashloan</v>
      </c>
      <c r="I6912" s="135">
        <v>32222564</v>
      </c>
    </row>
    <row r="6913" spans="1:9" x14ac:dyDescent="0.2">
      <c r="A6913" s="134">
        <v>45801</v>
      </c>
      <c r="B6913" s="135">
        <f>YEAR(source[[#This Row],[report_date]])</f>
        <v>2025</v>
      </c>
      <c r="C6913" s="128">
        <f t="shared" si="322"/>
        <v>5</v>
      </c>
      <c r="D6913" s="136">
        <f t="shared" si="321"/>
        <v>21</v>
      </c>
      <c r="E6913" s="136">
        <f t="shared" si="323"/>
        <v>24</v>
      </c>
      <c r="F6913" s="128" t="s">
        <v>24</v>
      </c>
      <c r="G6913" s="128" t="str">
        <f>VLOOKUP(source[[#This Row],[lending_product_transform]],[3]Mapping!$B$4:$C$37,2,0)</f>
        <v>[Cake] - Cashloan</v>
      </c>
      <c r="H6913" s="128" t="str">
        <f>VLOOKUP(source[[#This Row],[lending_product_transform]],[3]Mapping!$B$3:$D$37,3,0)</f>
        <v>cashloan</v>
      </c>
      <c r="I6913" s="135">
        <v>0</v>
      </c>
    </row>
    <row r="6914" spans="1:9" x14ac:dyDescent="0.2">
      <c r="A6914" s="134">
        <v>45801</v>
      </c>
      <c r="B6914" s="135">
        <f>YEAR(source[[#This Row],[report_date]])</f>
        <v>2025</v>
      </c>
      <c r="C6914" s="128">
        <f t="shared" si="322"/>
        <v>5</v>
      </c>
      <c r="D6914" s="136">
        <f t="shared" si="321"/>
        <v>21</v>
      </c>
      <c r="E6914" s="136">
        <f t="shared" si="323"/>
        <v>24</v>
      </c>
      <c r="F6914" s="128" t="s">
        <v>24</v>
      </c>
      <c r="G6914" s="128" t="str">
        <f>VLOOKUP(source[[#This Row],[lending_product_transform]],[3]Mapping!$B$4:$C$37,2,0)</f>
        <v>[Cake] - Cashloan</v>
      </c>
      <c r="H6914" s="128" t="str">
        <f>VLOOKUP(source[[#This Row],[lending_product_transform]],[3]Mapping!$B$3:$D$37,3,0)</f>
        <v>cashloan</v>
      </c>
      <c r="I6914" s="135">
        <v>0</v>
      </c>
    </row>
    <row r="6915" spans="1:9" x14ac:dyDescent="0.2">
      <c r="A6915" s="134">
        <v>45801</v>
      </c>
      <c r="B6915" s="135">
        <f>YEAR(source[[#This Row],[report_date]])</f>
        <v>2025</v>
      </c>
      <c r="C6915" s="128">
        <f t="shared" si="322"/>
        <v>5</v>
      </c>
      <c r="D6915" s="136">
        <f t="shared" ref="D6915:D6978" si="324">WEEKNUM(A6915,2)</f>
        <v>21</v>
      </c>
      <c r="E6915" s="136">
        <f t="shared" si="323"/>
        <v>24</v>
      </c>
      <c r="F6915" s="128" t="s">
        <v>24</v>
      </c>
      <c r="G6915" s="128" t="str">
        <f>VLOOKUP(source[[#This Row],[lending_product_transform]],[3]Mapping!$B$4:$C$37,2,0)</f>
        <v>[Cake] - Cashloan</v>
      </c>
      <c r="H6915" s="128" t="str">
        <f>VLOOKUP(source[[#This Row],[lending_product_transform]],[3]Mapping!$B$3:$D$37,3,0)</f>
        <v>cashloan</v>
      </c>
      <c r="I6915" s="135">
        <v>25500000</v>
      </c>
    </row>
    <row r="6916" spans="1:9" x14ac:dyDescent="0.2">
      <c r="A6916" s="134">
        <v>45801</v>
      </c>
      <c r="B6916" s="135">
        <f>YEAR(source[[#This Row],[report_date]])</f>
        <v>2025</v>
      </c>
      <c r="C6916" s="128">
        <f t="shared" si="322"/>
        <v>5</v>
      </c>
      <c r="D6916" s="136">
        <f t="shared" si="324"/>
        <v>21</v>
      </c>
      <c r="E6916" s="136">
        <f t="shared" si="323"/>
        <v>24</v>
      </c>
      <c r="F6916" s="128" t="s">
        <v>24</v>
      </c>
      <c r="G6916" s="128" t="str">
        <f>VLOOKUP(source[[#This Row],[lending_product_transform]],[3]Mapping!$B$4:$C$37,2,0)</f>
        <v>[Cake] - Cashloan</v>
      </c>
      <c r="H6916" s="128" t="str">
        <f>VLOOKUP(source[[#This Row],[lending_product_transform]],[3]Mapping!$B$3:$D$37,3,0)</f>
        <v>cashloan</v>
      </c>
      <c r="I6916" s="135">
        <v>34000000</v>
      </c>
    </row>
    <row r="6917" spans="1:9" x14ac:dyDescent="0.2">
      <c r="A6917" s="134">
        <v>45801</v>
      </c>
      <c r="B6917" s="135">
        <f>YEAR(source[[#This Row],[report_date]])</f>
        <v>2025</v>
      </c>
      <c r="C6917" s="128">
        <f t="shared" si="322"/>
        <v>5</v>
      </c>
      <c r="D6917" s="136">
        <f t="shared" si="324"/>
        <v>21</v>
      </c>
      <c r="E6917" s="136">
        <f t="shared" si="323"/>
        <v>24</v>
      </c>
      <c r="F6917" s="128" t="s">
        <v>24</v>
      </c>
      <c r="G6917" s="128" t="str">
        <f>VLOOKUP(source[[#This Row],[lending_product_transform]],[3]Mapping!$B$4:$C$37,2,0)</f>
        <v>[Cake] - Cashloan</v>
      </c>
      <c r="H6917" s="128" t="str">
        <f>VLOOKUP(source[[#This Row],[lending_product_transform]],[3]Mapping!$B$3:$D$37,3,0)</f>
        <v>cashloan</v>
      </c>
      <c r="I6917" s="135">
        <v>1210000000</v>
      </c>
    </row>
    <row r="6918" spans="1:9" x14ac:dyDescent="0.2">
      <c r="A6918" s="134">
        <v>45801</v>
      </c>
      <c r="B6918" s="135">
        <f>YEAR(source[[#This Row],[report_date]])</f>
        <v>2025</v>
      </c>
      <c r="C6918" s="128">
        <f t="shared" si="322"/>
        <v>5</v>
      </c>
      <c r="D6918" s="136">
        <f t="shared" si="324"/>
        <v>21</v>
      </c>
      <c r="E6918" s="136">
        <f t="shared" si="323"/>
        <v>24</v>
      </c>
      <c r="F6918" s="128" t="s">
        <v>24</v>
      </c>
      <c r="G6918" s="128" t="str">
        <f>VLOOKUP(source[[#This Row],[lending_product_transform]],[3]Mapping!$B$4:$C$37,2,0)</f>
        <v>[Cake] - Cashloan</v>
      </c>
      <c r="H6918" s="128" t="str">
        <f>VLOOKUP(source[[#This Row],[lending_product_transform]],[3]Mapping!$B$3:$D$37,3,0)</f>
        <v>cashloan</v>
      </c>
      <c r="I6918" s="135">
        <v>0</v>
      </c>
    </row>
    <row r="6919" spans="1:9" x14ac:dyDescent="0.2">
      <c r="A6919" s="134">
        <v>45801</v>
      </c>
      <c r="B6919" s="135">
        <f>YEAR(source[[#This Row],[report_date]])</f>
        <v>2025</v>
      </c>
      <c r="C6919" s="128">
        <f t="shared" si="322"/>
        <v>5</v>
      </c>
      <c r="D6919" s="136">
        <f t="shared" si="324"/>
        <v>21</v>
      </c>
      <c r="E6919" s="136">
        <f t="shared" si="323"/>
        <v>24</v>
      </c>
      <c r="F6919" s="128" t="s">
        <v>24</v>
      </c>
      <c r="G6919" s="128" t="str">
        <f>VLOOKUP(source[[#This Row],[lending_product_transform]],[3]Mapping!$B$4:$C$37,2,0)</f>
        <v>[Cake] - Cashloan</v>
      </c>
      <c r="H6919" s="128" t="str">
        <f>VLOOKUP(source[[#This Row],[lending_product_transform]],[3]Mapping!$B$3:$D$37,3,0)</f>
        <v>cashloan</v>
      </c>
      <c r="I6919" s="135">
        <v>426590000</v>
      </c>
    </row>
    <row r="6920" spans="1:9" x14ac:dyDescent="0.2">
      <c r="A6920" s="134">
        <v>45801</v>
      </c>
      <c r="B6920" s="135">
        <f>YEAR(source[[#This Row],[report_date]])</f>
        <v>2025</v>
      </c>
      <c r="C6920" s="128">
        <f t="shared" si="322"/>
        <v>5</v>
      </c>
      <c r="D6920" s="136">
        <f t="shared" si="324"/>
        <v>21</v>
      </c>
      <c r="E6920" s="136">
        <f t="shared" si="323"/>
        <v>24</v>
      </c>
      <c r="F6920" s="128" t="s">
        <v>24</v>
      </c>
      <c r="G6920" s="128" t="str">
        <f>VLOOKUP(source[[#This Row],[lending_product_transform]],[3]Mapping!$B$4:$C$37,2,0)</f>
        <v>[Cake] - Cashloan</v>
      </c>
      <c r="H6920" s="128" t="str">
        <f>VLOOKUP(source[[#This Row],[lending_product_transform]],[3]Mapping!$B$3:$D$37,3,0)</f>
        <v>cashloan</v>
      </c>
      <c r="I6920" s="135">
        <v>0</v>
      </c>
    </row>
    <row r="6921" spans="1:9" x14ac:dyDescent="0.2">
      <c r="A6921" s="134">
        <v>45801</v>
      </c>
      <c r="B6921" s="135">
        <f>YEAR(source[[#This Row],[report_date]])</f>
        <v>2025</v>
      </c>
      <c r="C6921" s="128">
        <f t="shared" si="322"/>
        <v>5</v>
      </c>
      <c r="D6921" s="136">
        <f t="shared" si="324"/>
        <v>21</v>
      </c>
      <c r="E6921" s="136">
        <f t="shared" si="323"/>
        <v>24</v>
      </c>
      <c r="F6921" s="128" t="s">
        <v>24</v>
      </c>
      <c r="G6921" s="128" t="str">
        <f>VLOOKUP(source[[#This Row],[lending_product_transform]],[3]Mapping!$B$4:$C$37,2,0)</f>
        <v>[Cake] - Cashloan</v>
      </c>
      <c r="H6921" s="128" t="str">
        <f>VLOOKUP(source[[#This Row],[lending_product_transform]],[3]Mapping!$B$3:$D$37,3,0)</f>
        <v>cashloan</v>
      </c>
      <c r="I6921" s="135">
        <v>1079960000</v>
      </c>
    </row>
    <row r="6922" spans="1:9" x14ac:dyDescent="0.2">
      <c r="A6922" s="134">
        <v>45801</v>
      </c>
      <c r="B6922" s="135">
        <f>YEAR(source[[#This Row],[report_date]])</f>
        <v>2025</v>
      </c>
      <c r="C6922" s="128">
        <f t="shared" si="322"/>
        <v>5</v>
      </c>
      <c r="D6922" s="136">
        <f t="shared" si="324"/>
        <v>21</v>
      </c>
      <c r="E6922" s="136">
        <f t="shared" si="323"/>
        <v>24</v>
      </c>
      <c r="F6922" s="128" t="s">
        <v>24</v>
      </c>
      <c r="G6922" s="128" t="str">
        <f>VLOOKUP(source[[#This Row],[lending_product_transform]],[3]Mapping!$B$4:$C$37,2,0)</f>
        <v>[Cake] - Cashloan</v>
      </c>
      <c r="H6922" s="128" t="str">
        <f>VLOOKUP(source[[#This Row],[lending_product_transform]],[3]Mapping!$B$3:$D$37,3,0)</f>
        <v>cashloan</v>
      </c>
      <c r="I6922" s="135">
        <v>2283000</v>
      </c>
    </row>
    <row r="6923" spans="1:9" x14ac:dyDescent="0.2">
      <c r="A6923" s="134">
        <v>45801</v>
      </c>
      <c r="B6923" s="135">
        <f>YEAR(source[[#This Row],[report_date]])</f>
        <v>2025</v>
      </c>
      <c r="C6923" s="128">
        <f t="shared" si="322"/>
        <v>5</v>
      </c>
      <c r="D6923" s="136">
        <f t="shared" si="324"/>
        <v>21</v>
      </c>
      <c r="E6923" s="136">
        <f t="shared" si="323"/>
        <v>24</v>
      </c>
      <c r="F6923" s="128" t="s">
        <v>24</v>
      </c>
      <c r="G6923" s="128" t="str">
        <f>VLOOKUP(source[[#This Row],[lending_product_transform]],[3]Mapping!$B$4:$C$37,2,0)</f>
        <v>[Cake] - Cashloan</v>
      </c>
      <c r="H6923" s="128" t="str">
        <f>VLOOKUP(source[[#This Row],[lending_product_transform]],[3]Mapping!$B$3:$D$37,3,0)</f>
        <v>cashloan</v>
      </c>
      <c r="I6923" s="135">
        <v>234447888</v>
      </c>
    </row>
    <row r="6924" spans="1:9" x14ac:dyDescent="0.2">
      <c r="A6924" s="134">
        <v>45801</v>
      </c>
      <c r="B6924" s="135">
        <f>YEAR(source[[#This Row],[report_date]])</f>
        <v>2025</v>
      </c>
      <c r="C6924" s="128">
        <f t="shared" si="322"/>
        <v>5</v>
      </c>
      <c r="D6924" s="136">
        <f t="shared" si="324"/>
        <v>21</v>
      </c>
      <c r="E6924" s="136">
        <f t="shared" si="323"/>
        <v>24</v>
      </c>
      <c r="F6924" s="128" t="s">
        <v>24</v>
      </c>
      <c r="G6924" s="128" t="str">
        <f>VLOOKUP(source[[#This Row],[lending_product_transform]],[3]Mapping!$B$4:$C$37,2,0)</f>
        <v>[Cake] - Cashloan</v>
      </c>
      <c r="H6924" s="128" t="str">
        <f>VLOOKUP(source[[#This Row],[lending_product_transform]],[3]Mapping!$B$3:$D$37,3,0)</f>
        <v>cashloan</v>
      </c>
      <c r="I6924" s="135">
        <v>331136917</v>
      </c>
    </row>
    <row r="6925" spans="1:9" x14ac:dyDescent="0.2">
      <c r="A6925" s="134">
        <v>45801</v>
      </c>
      <c r="B6925" s="135">
        <f>YEAR(source[[#This Row],[report_date]])</f>
        <v>2025</v>
      </c>
      <c r="C6925" s="128">
        <f t="shared" si="322"/>
        <v>5</v>
      </c>
      <c r="D6925" s="136">
        <f t="shared" si="324"/>
        <v>21</v>
      </c>
      <c r="E6925" s="136">
        <f t="shared" si="323"/>
        <v>24</v>
      </c>
      <c r="F6925" s="128" t="s">
        <v>24</v>
      </c>
      <c r="G6925" s="128" t="str">
        <f>VLOOKUP(source[[#This Row],[lending_product_transform]],[3]Mapping!$B$4:$C$37,2,0)</f>
        <v>[Cake] - Cashloan</v>
      </c>
      <c r="H6925" s="128" t="str">
        <f>VLOOKUP(source[[#This Row],[lending_product_transform]],[3]Mapping!$B$3:$D$37,3,0)</f>
        <v>cashloan</v>
      </c>
      <c r="I6925" s="135">
        <v>2954735689</v>
      </c>
    </row>
    <row r="6926" spans="1:9" x14ac:dyDescent="0.2">
      <c r="A6926" s="134">
        <v>45801</v>
      </c>
      <c r="B6926" s="135">
        <f>YEAR(source[[#This Row],[report_date]])</f>
        <v>2025</v>
      </c>
      <c r="C6926" s="128">
        <f t="shared" si="322"/>
        <v>5</v>
      </c>
      <c r="D6926" s="136">
        <f t="shared" si="324"/>
        <v>21</v>
      </c>
      <c r="E6926" s="136">
        <f t="shared" si="323"/>
        <v>24</v>
      </c>
      <c r="F6926" s="128" t="s">
        <v>24</v>
      </c>
      <c r="G6926" s="128" t="str">
        <f>VLOOKUP(source[[#This Row],[lending_product_transform]],[3]Mapping!$B$4:$C$37,2,0)</f>
        <v>[Cake] - Cashloan</v>
      </c>
      <c r="H6926" s="128" t="str">
        <f>VLOOKUP(source[[#This Row],[lending_product_transform]],[3]Mapping!$B$3:$D$37,3,0)</f>
        <v>cashloan</v>
      </c>
      <c r="I6926" s="135">
        <v>250849292</v>
      </c>
    </row>
    <row r="6927" spans="1:9" x14ac:dyDescent="0.2">
      <c r="A6927" s="134">
        <v>45802</v>
      </c>
      <c r="B6927" s="135">
        <f>YEAR(source[[#This Row],[report_date]])</f>
        <v>2025</v>
      </c>
      <c r="C6927" s="128">
        <f t="shared" si="322"/>
        <v>5</v>
      </c>
      <c r="D6927" s="136">
        <f t="shared" si="324"/>
        <v>21</v>
      </c>
      <c r="E6927" s="136">
        <f t="shared" si="323"/>
        <v>25</v>
      </c>
      <c r="F6927" s="128" t="s">
        <v>24</v>
      </c>
      <c r="G6927" s="128" t="str">
        <f>VLOOKUP(source[[#This Row],[lending_product_transform]],[3]Mapping!$B$4:$C$37,2,0)</f>
        <v>[Cake] - Cashloan</v>
      </c>
      <c r="H6927" s="128" t="str">
        <f>VLOOKUP(source[[#This Row],[lending_product_transform]],[3]Mapping!$B$3:$D$37,3,0)</f>
        <v>cashloan</v>
      </c>
      <c r="I6927" s="135">
        <v>6236670000</v>
      </c>
    </row>
    <row r="6928" spans="1:9" x14ac:dyDescent="0.2">
      <c r="A6928" s="134">
        <v>45802</v>
      </c>
      <c r="B6928" s="135">
        <f>YEAR(source[[#This Row],[report_date]])</f>
        <v>2025</v>
      </c>
      <c r="C6928" s="128">
        <f t="shared" si="322"/>
        <v>5</v>
      </c>
      <c r="D6928" s="136">
        <f t="shared" si="324"/>
        <v>21</v>
      </c>
      <c r="E6928" s="136">
        <f t="shared" si="323"/>
        <v>25</v>
      </c>
      <c r="F6928" s="128" t="s">
        <v>24</v>
      </c>
      <c r="G6928" s="128" t="str">
        <f>VLOOKUP(source[[#This Row],[lending_product_transform]],[3]Mapping!$B$4:$C$37,2,0)</f>
        <v>[Cake] - Cashloan</v>
      </c>
      <c r="H6928" s="128" t="str">
        <f>VLOOKUP(source[[#This Row],[lending_product_transform]],[3]Mapping!$B$3:$D$37,3,0)</f>
        <v>cashloan</v>
      </c>
      <c r="I6928" s="135">
        <v>4842612000</v>
      </c>
    </row>
    <row r="6929" spans="1:9" x14ac:dyDescent="0.2">
      <c r="A6929" s="134">
        <v>45802</v>
      </c>
      <c r="B6929" s="135">
        <f>YEAR(source[[#This Row],[report_date]])</f>
        <v>2025</v>
      </c>
      <c r="C6929" s="128">
        <f t="shared" si="322"/>
        <v>5</v>
      </c>
      <c r="D6929" s="136">
        <f t="shared" si="324"/>
        <v>21</v>
      </c>
      <c r="E6929" s="136">
        <f t="shared" si="323"/>
        <v>25</v>
      </c>
      <c r="F6929" s="128" t="s">
        <v>24</v>
      </c>
      <c r="G6929" s="128" t="str">
        <f>VLOOKUP(source[[#This Row],[lending_product_transform]],[3]Mapping!$B$4:$C$37,2,0)</f>
        <v>[Cake] - Cashloan</v>
      </c>
      <c r="H6929" s="128" t="str">
        <f>VLOOKUP(source[[#This Row],[lending_product_transform]],[3]Mapping!$B$3:$D$37,3,0)</f>
        <v>cashloan</v>
      </c>
      <c r="I6929" s="135">
        <v>6879480000</v>
      </c>
    </row>
    <row r="6930" spans="1:9" x14ac:dyDescent="0.2">
      <c r="A6930" s="134">
        <v>45802</v>
      </c>
      <c r="B6930" s="135">
        <f>YEAR(source[[#This Row],[report_date]])</f>
        <v>2025</v>
      </c>
      <c r="C6930" s="128">
        <f t="shared" si="322"/>
        <v>5</v>
      </c>
      <c r="D6930" s="136">
        <f t="shared" si="324"/>
        <v>21</v>
      </c>
      <c r="E6930" s="136">
        <f t="shared" si="323"/>
        <v>25</v>
      </c>
      <c r="F6930" s="128" t="s">
        <v>24</v>
      </c>
      <c r="G6930" s="128" t="str">
        <f>VLOOKUP(source[[#This Row],[lending_product_transform]],[3]Mapping!$B$4:$C$37,2,0)</f>
        <v>[Cake] - Cashloan</v>
      </c>
      <c r="H6930" s="128" t="str">
        <f>VLOOKUP(source[[#This Row],[lending_product_transform]],[3]Mapping!$B$3:$D$37,3,0)</f>
        <v>cashloan</v>
      </c>
      <c r="I6930" s="135">
        <v>9337940</v>
      </c>
    </row>
    <row r="6931" spans="1:9" x14ac:dyDescent="0.2">
      <c r="A6931" s="134">
        <v>45802</v>
      </c>
      <c r="B6931" s="135">
        <f>YEAR(source[[#This Row],[report_date]])</f>
        <v>2025</v>
      </c>
      <c r="C6931" s="128">
        <f t="shared" si="322"/>
        <v>5</v>
      </c>
      <c r="D6931" s="136">
        <f t="shared" si="324"/>
        <v>21</v>
      </c>
      <c r="E6931" s="136">
        <f t="shared" si="323"/>
        <v>25</v>
      </c>
      <c r="F6931" s="128" t="s">
        <v>24</v>
      </c>
      <c r="G6931" s="128" t="str">
        <f>VLOOKUP(source[[#This Row],[lending_product_transform]],[3]Mapping!$B$4:$C$37,2,0)</f>
        <v>[Cake] - Cashloan</v>
      </c>
      <c r="H6931" s="128" t="str">
        <f>VLOOKUP(source[[#This Row],[lending_product_transform]],[3]Mapping!$B$3:$D$37,3,0)</f>
        <v>cashloan</v>
      </c>
      <c r="I6931" s="135">
        <v>0</v>
      </c>
    </row>
    <row r="6932" spans="1:9" x14ac:dyDescent="0.2">
      <c r="A6932" s="134">
        <v>45802</v>
      </c>
      <c r="B6932" s="135">
        <f>YEAR(source[[#This Row],[report_date]])</f>
        <v>2025</v>
      </c>
      <c r="C6932" s="128">
        <f t="shared" si="322"/>
        <v>5</v>
      </c>
      <c r="D6932" s="136">
        <f t="shared" si="324"/>
        <v>21</v>
      </c>
      <c r="E6932" s="136">
        <f t="shared" si="323"/>
        <v>25</v>
      </c>
      <c r="F6932" s="128" t="s">
        <v>24</v>
      </c>
      <c r="G6932" s="128" t="str">
        <f>VLOOKUP(source[[#This Row],[lending_product_transform]],[3]Mapping!$B$4:$C$37,2,0)</f>
        <v>[Cake] - Cashloan</v>
      </c>
      <c r="H6932" s="128" t="str">
        <f>VLOOKUP(source[[#This Row],[lending_product_transform]],[3]Mapping!$B$3:$D$37,3,0)</f>
        <v>cashloan</v>
      </c>
      <c r="I6932" s="135">
        <v>0</v>
      </c>
    </row>
    <row r="6933" spans="1:9" x14ac:dyDescent="0.2">
      <c r="A6933" s="134">
        <v>45802</v>
      </c>
      <c r="B6933" s="135">
        <f>YEAR(source[[#This Row],[report_date]])</f>
        <v>2025</v>
      </c>
      <c r="C6933" s="128">
        <f t="shared" si="322"/>
        <v>5</v>
      </c>
      <c r="D6933" s="136">
        <f t="shared" si="324"/>
        <v>21</v>
      </c>
      <c r="E6933" s="136">
        <f t="shared" si="323"/>
        <v>25</v>
      </c>
      <c r="F6933" s="128" t="s">
        <v>24</v>
      </c>
      <c r="G6933" s="128" t="str">
        <f>VLOOKUP(source[[#This Row],[lending_product_transform]],[3]Mapping!$B$4:$C$37,2,0)</f>
        <v>[Cake] - Cashloan</v>
      </c>
      <c r="H6933" s="128" t="str">
        <f>VLOOKUP(source[[#This Row],[lending_product_transform]],[3]Mapping!$B$3:$D$37,3,0)</f>
        <v>cashloan</v>
      </c>
      <c r="I6933" s="135">
        <v>0</v>
      </c>
    </row>
    <row r="6934" spans="1:9" x14ac:dyDescent="0.2">
      <c r="A6934" s="134">
        <v>45802</v>
      </c>
      <c r="B6934" s="135">
        <f>YEAR(source[[#This Row],[report_date]])</f>
        <v>2025</v>
      </c>
      <c r="C6934" s="128">
        <f t="shared" si="322"/>
        <v>5</v>
      </c>
      <c r="D6934" s="136">
        <f t="shared" si="324"/>
        <v>21</v>
      </c>
      <c r="E6934" s="136">
        <f t="shared" si="323"/>
        <v>25</v>
      </c>
      <c r="F6934" s="128" t="s">
        <v>24</v>
      </c>
      <c r="G6934" s="128" t="str">
        <f>VLOOKUP(source[[#This Row],[lending_product_transform]],[3]Mapping!$B$4:$C$37,2,0)</f>
        <v>[Cake] - Cashloan</v>
      </c>
      <c r="H6934" s="128" t="str">
        <f>VLOOKUP(source[[#This Row],[lending_product_transform]],[3]Mapping!$B$3:$D$37,3,0)</f>
        <v>cashloan</v>
      </c>
      <c r="I6934" s="135">
        <v>10500000</v>
      </c>
    </row>
    <row r="6935" spans="1:9" x14ac:dyDescent="0.2">
      <c r="A6935" s="134">
        <v>45802</v>
      </c>
      <c r="B6935" s="135">
        <f>YEAR(source[[#This Row],[report_date]])</f>
        <v>2025</v>
      </c>
      <c r="C6935" s="128">
        <f t="shared" si="322"/>
        <v>5</v>
      </c>
      <c r="D6935" s="136">
        <f t="shared" si="324"/>
        <v>21</v>
      </c>
      <c r="E6935" s="136">
        <f t="shared" si="323"/>
        <v>25</v>
      </c>
      <c r="F6935" s="128" t="s">
        <v>24</v>
      </c>
      <c r="G6935" s="128" t="str">
        <f>VLOOKUP(source[[#This Row],[lending_product_transform]],[3]Mapping!$B$4:$C$37,2,0)</f>
        <v>[Cake] - Cashloan</v>
      </c>
      <c r="H6935" s="128" t="str">
        <f>VLOOKUP(source[[#This Row],[lending_product_transform]],[3]Mapping!$B$3:$D$37,3,0)</f>
        <v>cashloan</v>
      </c>
      <c r="I6935" s="135">
        <v>23000000</v>
      </c>
    </row>
    <row r="6936" spans="1:9" x14ac:dyDescent="0.2">
      <c r="A6936" s="134">
        <v>45802</v>
      </c>
      <c r="B6936" s="135">
        <f>YEAR(source[[#This Row],[report_date]])</f>
        <v>2025</v>
      </c>
      <c r="C6936" s="128">
        <f t="shared" si="322"/>
        <v>5</v>
      </c>
      <c r="D6936" s="136">
        <f t="shared" si="324"/>
        <v>21</v>
      </c>
      <c r="E6936" s="136">
        <f t="shared" si="323"/>
        <v>25</v>
      </c>
      <c r="F6936" s="128" t="s">
        <v>24</v>
      </c>
      <c r="G6936" s="128" t="str">
        <f>VLOOKUP(source[[#This Row],[lending_product_transform]],[3]Mapping!$B$4:$C$37,2,0)</f>
        <v>[Cake] - Cashloan</v>
      </c>
      <c r="H6936" s="128" t="str">
        <f>VLOOKUP(source[[#This Row],[lending_product_transform]],[3]Mapping!$B$3:$D$37,3,0)</f>
        <v>cashloan</v>
      </c>
      <c r="I6936" s="135">
        <v>1297000000</v>
      </c>
    </row>
    <row r="6937" spans="1:9" x14ac:dyDescent="0.2">
      <c r="A6937" s="134">
        <v>45802</v>
      </c>
      <c r="B6937" s="135">
        <f>YEAR(source[[#This Row],[report_date]])</f>
        <v>2025</v>
      </c>
      <c r="C6937" s="128">
        <f t="shared" si="322"/>
        <v>5</v>
      </c>
      <c r="D6937" s="136">
        <f t="shared" si="324"/>
        <v>21</v>
      </c>
      <c r="E6937" s="136">
        <f t="shared" si="323"/>
        <v>25</v>
      </c>
      <c r="F6937" s="128" t="s">
        <v>24</v>
      </c>
      <c r="G6937" s="128" t="str">
        <f>VLOOKUP(source[[#This Row],[lending_product_transform]],[3]Mapping!$B$4:$C$37,2,0)</f>
        <v>[Cake] - Cashloan</v>
      </c>
      <c r="H6937" s="128" t="str">
        <f>VLOOKUP(source[[#This Row],[lending_product_transform]],[3]Mapping!$B$3:$D$37,3,0)</f>
        <v>cashloan</v>
      </c>
      <c r="I6937" s="135">
        <v>0</v>
      </c>
    </row>
    <row r="6938" spans="1:9" x14ac:dyDescent="0.2">
      <c r="A6938" s="134">
        <v>45802</v>
      </c>
      <c r="B6938" s="135">
        <f>YEAR(source[[#This Row],[report_date]])</f>
        <v>2025</v>
      </c>
      <c r="C6938" s="128">
        <f t="shared" si="322"/>
        <v>5</v>
      </c>
      <c r="D6938" s="136">
        <f t="shared" si="324"/>
        <v>21</v>
      </c>
      <c r="E6938" s="136">
        <f t="shared" si="323"/>
        <v>25</v>
      </c>
      <c r="F6938" s="128" t="s">
        <v>24</v>
      </c>
      <c r="G6938" s="128" t="str">
        <f>VLOOKUP(source[[#This Row],[lending_product_transform]],[3]Mapping!$B$4:$C$37,2,0)</f>
        <v>[Cake] - Cashloan</v>
      </c>
      <c r="H6938" s="128" t="str">
        <f>VLOOKUP(source[[#This Row],[lending_product_transform]],[3]Mapping!$B$3:$D$37,3,0)</f>
        <v>cashloan</v>
      </c>
      <c r="I6938" s="135">
        <v>368050000</v>
      </c>
    </row>
    <row r="6939" spans="1:9" x14ac:dyDescent="0.2">
      <c r="A6939" s="134">
        <v>45802</v>
      </c>
      <c r="B6939" s="135">
        <f>YEAR(source[[#This Row],[report_date]])</f>
        <v>2025</v>
      </c>
      <c r="C6939" s="128">
        <f t="shared" si="322"/>
        <v>5</v>
      </c>
      <c r="D6939" s="136">
        <f t="shared" si="324"/>
        <v>21</v>
      </c>
      <c r="E6939" s="136">
        <f t="shared" si="323"/>
        <v>25</v>
      </c>
      <c r="F6939" s="128" t="s">
        <v>24</v>
      </c>
      <c r="G6939" s="128" t="str">
        <f>VLOOKUP(source[[#This Row],[lending_product_transform]],[3]Mapping!$B$4:$C$37,2,0)</f>
        <v>[Cake] - Cashloan</v>
      </c>
      <c r="H6939" s="128" t="str">
        <f>VLOOKUP(source[[#This Row],[lending_product_transform]],[3]Mapping!$B$3:$D$37,3,0)</f>
        <v>cashloan</v>
      </c>
      <c r="I6939" s="135">
        <v>0</v>
      </c>
    </row>
    <row r="6940" spans="1:9" x14ac:dyDescent="0.2">
      <c r="A6940" s="134">
        <v>45802</v>
      </c>
      <c r="B6940" s="135">
        <f>YEAR(source[[#This Row],[report_date]])</f>
        <v>2025</v>
      </c>
      <c r="C6940" s="128">
        <f t="shared" si="322"/>
        <v>5</v>
      </c>
      <c r="D6940" s="136">
        <f t="shared" si="324"/>
        <v>21</v>
      </c>
      <c r="E6940" s="136">
        <f t="shared" si="323"/>
        <v>25</v>
      </c>
      <c r="F6940" s="128" t="s">
        <v>24</v>
      </c>
      <c r="G6940" s="128" t="str">
        <f>VLOOKUP(source[[#This Row],[lending_product_transform]],[3]Mapping!$B$4:$C$37,2,0)</f>
        <v>[Cake] - Cashloan</v>
      </c>
      <c r="H6940" s="128" t="str">
        <f>VLOOKUP(source[[#This Row],[lending_product_transform]],[3]Mapping!$B$3:$D$37,3,0)</f>
        <v>cashloan</v>
      </c>
      <c r="I6940" s="135">
        <v>470000</v>
      </c>
    </row>
    <row r="6941" spans="1:9" x14ac:dyDescent="0.2">
      <c r="A6941" s="134">
        <v>45802</v>
      </c>
      <c r="B6941" s="135">
        <f>YEAR(source[[#This Row],[report_date]])</f>
        <v>2025</v>
      </c>
      <c r="C6941" s="128">
        <f t="shared" si="322"/>
        <v>5</v>
      </c>
      <c r="D6941" s="136">
        <f t="shared" si="324"/>
        <v>21</v>
      </c>
      <c r="E6941" s="136">
        <f t="shared" si="323"/>
        <v>25</v>
      </c>
      <c r="F6941" s="128" t="s">
        <v>24</v>
      </c>
      <c r="G6941" s="128" t="str">
        <f>VLOOKUP(source[[#This Row],[lending_product_transform]],[3]Mapping!$B$4:$C$37,2,0)</f>
        <v>[Cake] - Cashloan</v>
      </c>
      <c r="H6941" s="128" t="str">
        <f>VLOOKUP(source[[#This Row],[lending_product_transform]],[3]Mapping!$B$3:$D$37,3,0)</f>
        <v>cashloan</v>
      </c>
      <c r="I6941" s="135">
        <v>1148140000</v>
      </c>
    </row>
    <row r="6942" spans="1:9" x14ac:dyDescent="0.2">
      <c r="A6942" s="134">
        <v>45802</v>
      </c>
      <c r="B6942" s="135">
        <f>YEAR(source[[#This Row],[report_date]])</f>
        <v>2025</v>
      </c>
      <c r="C6942" s="128">
        <f t="shared" si="322"/>
        <v>5</v>
      </c>
      <c r="D6942" s="136">
        <f t="shared" si="324"/>
        <v>21</v>
      </c>
      <c r="E6942" s="136">
        <f t="shared" si="323"/>
        <v>25</v>
      </c>
      <c r="F6942" s="128" t="s">
        <v>24</v>
      </c>
      <c r="G6942" s="128" t="str">
        <f>VLOOKUP(source[[#This Row],[lending_product_transform]],[3]Mapping!$B$4:$C$37,2,0)</f>
        <v>[Cake] - Cashloan</v>
      </c>
      <c r="H6942" s="128" t="str">
        <f>VLOOKUP(source[[#This Row],[lending_product_transform]],[3]Mapping!$B$3:$D$37,3,0)</f>
        <v>cashloan</v>
      </c>
      <c r="I6942" s="135">
        <v>228851732</v>
      </c>
    </row>
    <row r="6943" spans="1:9" x14ac:dyDescent="0.2">
      <c r="A6943" s="134">
        <v>45802</v>
      </c>
      <c r="B6943" s="135">
        <f>YEAR(source[[#This Row],[report_date]])</f>
        <v>2025</v>
      </c>
      <c r="C6943" s="128">
        <f t="shared" si="322"/>
        <v>5</v>
      </c>
      <c r="D6943" s="136">
        <f t="shared" si="324"/>
        <v>21</v>
      </c>
      <c r="E6943" s="136">
        <f t="shared" si="323"/>
        <v>25</v>
      </c>
      <c r="F6943" s="128" t="s">
        <v>24</v>
      </c>
      <c r="G6943" s="128" t="str">
        <f>VLOOKUP(source[[#This Row],[lending_product_transform]],[3]Mapping!$B$4:$C$37,2,0)</f>
        <v>[Cake] - Cashloan</v>
      </c>
      <c r="H6943" s="128" t="str">
        <f>VLOOKUP(source[[#This Row],[lending_product_transform]],[3]Mapping!$B$3:$D$37,3,0)</f>
        <v>cashloan</v>
      </c>
      <c r="I6943" s="135">
        <v>291355241</v>
      </c>
    </row>
    <row r="6944" spans="1:9" x14ac:dyDescent="0.2">
      <c r="A6944" s="134">
        <v>45802</v>
      </c>
      <c r="B6944" s="135">
        <f>YEAR(source[[#This Row],[report_date]])</f>
        <v>2025</v>
      </c>
      <c r="C6944" s="128">
        <f t="shared" si="322"/>
        <v>5</v>
      </c>
      <c r="D6944" s="136">
        <f t="shared" si="324"/>
        <v>21</v>
      </c>
      <c r="E6944" s="136">
        <f t="shared" si="323"/>
        <v>25</v>
      </c>
      <c r="F6944" s="128" t="s">
        <v>24</v>
      </c>
      <c r="G6944" s="128" t="str">
        <f>VLOOKUP(source[[#This Row],[lending_product_transform]],[3]Mapping!$B$4:$C$37,2,0)</f>
        <v>[Cake] - Cashloan</v>
      </c>
      <c r="H6944" s="128" t="str">
        <f>VLOOKUP(source[[#This Row],[lending_product_transform]],[3]Mapping!$B$3:$D$37,3,0)</f>
        <v>cashloan</v>
      </c>
      <c r="I6944" s="135">
        <v>3151529495</v>
      </c>
    </row>
    <row r="6945" spans="1:9" x14ac:dyDescent="0.2">
      <c r="A6945" s="134">
        <v>45802</v>
      </c>
      <c r="B6945" s="135">
        <f>YEAR(source[[#This Row],[report_date]])</f>
        <v>2025</v>
      </c>
      <c r="C6945" s="128">
        <f t="shared" si="322"/>
        <v>5</v>
      </c>
      <c r="D6945" s="136">
        <f t="shared" si="324"/>
        <v>21</v>
      </c>
      <c r="E6945" s="136">
        <f t="shared" si="323"/>
        <v>25</v>
      </c>
      <c r="F6945" s="128" t="s">
        <v>24</v>
      </c>
      <c r="G6945" s="128" t="str">
        <f>VLOOKUP(source[[#This Row],[lending_product_transform]],[3]Mapping!$B$4:$C$37,2,0)</f>
        <v>[Cake] - Cashloan</v>
      </c>
      <c r="H6945" s="128" t="str">
        <f>VLOOKUP(source[[#This Row],[lending_product_transform]],[3]Mapping!$B$3:$D$37,3,0)</f>
        <v>cashloan</v>
      </c>
      <c r="I6945" s="135">
        <v>240775550</v>
      </c>
    </row>
    <row r="6946" spans="1:9" x14ac:dyDescent="0.2">
      <c r="A6946" s="134">
        <v>45803</v>
      </c>
      <c r="B6946" s="135">
        <f>YEAR(source[[#This Row],[report_date]])</f>
        <v>2025</v>
      </c>
      <c r="C6946" s="128">
        <f t="shared" si="322"/>
        <v>5</v>
      </c>
      <c r="D6946" s="136">
        <f t="shared" si="324"/>
        <v>22</v>
      </c>
      <c r="E6946" s="136">
        <f t="shared" si="323"/>
        <v>26</v>
      </c>
      <c r="F6946" s="128" t="s">
        <v>24</v>
      </c>
      <c r="G6946" s="128" t="str">
        <f>VLOOKUP(source[[#This Row],[lending_product_transform]],[3]Mapping!$B$4:$C$37,2,0)</f>
        <v>[Cake] - Cashloan</v>
      </c>
      <c r="H6946" s="128" t="str">
        <f>VLOOKUP(source[[#This Row],[lending_product_transform]],[3]Mapping!$B$3:$D$37,3,0)</f>
        <v>cashloan</v>
      </c>
      <c r="I6946" s="135">
        <v>0</v>
      </c>
    </row>
    <row r="6947" spans="1:9" x14ac:dyDescent="0.2">
      <c r="A6947" s="134">
        <v>45803</v>
      </c>
      <c r="B6947" s="135">
        <f>YEAR(source[[#This Row],[report_date]])</f>
        <v>2025</v>
      </c>
      <c r="C6947" s="128">
        <f t="shared" si="322"/>
        <v>5</v>
      </c>
      <c r="D6947" s="136">
        <f t="shared" si="324"/>
        <v>22</v>
      </c>
      <c r="E6947" s="136">
        <f t="shared" si="323"/>
        <v>26</v>
      </c>
      <c r="F6947" s="128" t="s">
        <v>24</v>
      </c>
      <c r="G6947" s="128" t="str">
        <f>VLOOKUP(source[[#This Row],[lending_product_transform]],[3]Mapping!$B$4:$C$37,2,0)</f>
        <v>[Cake] - Cashloan</v>
      </c>
      <c r="H6947" s="128" t="str">
        <f>VLOOKUP(source[[#This Row],[lending_product_transform]],[3]Mapping!$B$3:$D$37,3,0)</f>
        <v>cashloan</v>
      </c>
      <c r="I6947" s="135">
        <v>607830000</v>
      </c>
    </row>
    <row r="6948" spans="1:9" x14ac:dyDescent="0.2">
      <c r="A6948" s="134">
        <v>45803</v>
      </c>
      <c r="B6948" s="135">
        <f>YEAR(source[[#This Row],[report_date]])</f>
        <v>2025</v>
      </c>
      <c r="C6948" s="128">
        <f t="shared" si="322"/>
        <v>5</v>
      </c>
      <c r="D6948" s="136">
        <f t="shared" si="324"/>
        <v>22</v>
      </c>
      <c r="E6948" s="136">
        <f t="shared" si="323"/>
        <v>26</v>
      </c>
      <c r="F6948" s="128" t="s">
        <v>24</v>
      </c>
      <c r="G6948" s="128" t="str">
        <f>VLOOKUP(source[[#This Row],[lending_product_transform]],[3]Mapping!$B$4:$C$37,2,0)</f>
        <v>[Cake] - Cashloan</v>
      </c>
      <c r="H6948" s="128" t="str">
        <f>VLOOKUP(source[[#This Row],[lending_product_transform]],[3]Mapping!$B$3:$D$37,3,0)</f>
        <v>cashloan</v>
      </c>
      <c r="I6948" s="135">
        <v>0</v>
      </c>
    </row>
    <row r="6949" spans="1:9" x14ac:dyDescent="0.2">
      <c r="A6949" s="134">
        <v>45803</v>
      </c>
      <c r="B6949" s="135">
        <f>YEAR(source[[#This Row],[report_date]])</f>
        <v>2025</v>
      </c>
      <c r="C6949" s="128">
        <f t="shared" si="322"/>
        <v>5</v>
      </c>
      <c r="D6949" s="136">
        <f t="shared" si="324"/>
        <v>22</v>
      </c>
      <c r="E6949" s="136">
        <f t="shared" si="323"/>
        <v>26</v>
      </c>
      <c r="F6949" s="128" t="s">
        <v>24</v>
      </c>
      <c r="G6949" s="128" t="str">
        <f>VLOOKUP(source[[#This Row],[lending_product_transform]],[3]Mapping!$B$4:$C$37,2,0)</f>
        <v>[Cake] - Cashloan</v>
      </c>
      <c r="H6949" s="128" t="str">
        <f>VLOOKUP(source[[#This Row],[lending_product_transform]],[3]Mapping!$B$3:$D$37,3,0)</f>
        <v>cashloan</v>
      </c>
      <c r="I6949" s="135">
        <v>1550000000</v>
      </c>
    </row>
    <row r="6950" spans="1:9" x14ac:dyDescent="0.2">
      <c r="A6950" s="134">
        <v>45803</v>
      </c>
      <c r="B6950" s="135">
        <f>YEAR(source[[#This Row],[report_date]])</f>
        <v>2025</v>
      </c>
      <c r="C6950" s="128">
        <f t="shared" si="322"/>
        <v>5</v>
      </c>
      <c r="D6950" s="136">
        <f t="shared" si="324"/>
        <v>22</v>
      </c>
      <c r="E6950" s="136">
        <f t="shared" si="323"/>
        <v>26</v>
      </c>
      <c r="F6950" s="128" t="s">
        <v>24</v>
      </c>
      <c r="G6950" s="128" t="str">
        <f>VLOOKUP(source[[#This Row],[lending_product_transform]],[3]Mapping!$B$4:$C$37,2,0)</f>
        <v>[Cake] - Cashloan</v>
      </c>
      <c r="H6950" s="128" t="str">
        <f>VLOOKUP(source[[#This Row],[lending_product_transform]],[3]Mapping!$B$3:$D$37,3,0)</f>
        <v>cashloan</v>
      </c>
      <c r="I6950" s="135">
        <v>0</v>
      </c>
    </row>
    <row r="6951" spans="1:9" x14ac:dyDescent="0.2">
      <c r="A6951" s="134">
        <v>45803</v>
      </c>
      <c r="B6951" s="135">
        <f>YEAR(source[[#This Row],[report_date]])</f>
        <v>2025</v>
      </c>
      <c r="C6951" s="128">
        <f t="shared" si="322"/>
        <v>5</v>
      </c>
      <c r="D6951" s="136">
        <f t="shared" si="324"/>
        <v>22</v>
      </c>
      <c r="E6951" s="136">
        <f t="shared" si="323"/>
        <v>26</v>
      </c>
      <c r="F6951" s="128" t="s">
        <v>24</v>
      </c>
      <c r="G6951" s="128" t="str">
        <f>VLOOKUP(source[[#This Row],[lending_product_transform]],[3]Mapping!$B$4:$C$37,2,0)</f>
        <v>[Cake] - Cashloan</v>
      </c>
      <c r="H6951" s="128" t="str">
        <f>VLOOKUP(source[[#This Row],[lending_product_transform]],[3]Mapping!$B$3:$D$37,3,0)</f>
        <v>cashloan</v>
      </c>
      <c r="I6951" s="135">
        <v>197002830</v>
      </c>
    </row>
    <row r="6952" spans="1:9" x14ac:dyDescent="0.2">
      <c r="A6952" s="134">
        <v>45803</v>
      </c>
      <c r="B6952" s="135">
        <f>YEAR(source[[#This Row],[report_date]])</f>
        <v>2025</v>
      </c>
      <c r="C6952" s="128">
        <f t="shared" si="322"/>
        <v>5</v>
      </c>
      <c r="D6952" s="136">
        <f t="shared" si="324"/>
        <v>22</v>
      </c>
      <c r="E6952" s="136">
        <f t="shared" si="323"/>
        <v>26</v>
      </c>
      <c r="F6952" s="128" t="s">
        <v>24</v>
      </c>
      <c r="G6952" s="128" t="str">
        <f>VLOOKUP(source[[#This Row],[lending_product_transform]],[3]Mapping!$B$4:$C$37,2,0)</f>
        <v>[Cake] - Cashloan</v>
      </c>
      <c r="H6952" s="128" t="str">
        <f>VLOOKUP(source[[#This Row],[lending_product_transform]],[3]Mapping!$B$3:$D$37,3,0)</f>
        <v>cashloan</v>
      </c>
      <c r="I6952" s="135">
        <v>4242879578</v>
      </c>
    </row>
    <row r="6953" spans="1:9" x14ac:dyDescent="0.2">
      <c r="A6953" s="134">
        <v>45803</v>
      </c>
      <c r="B6953" s="135">
        <f>YEAR(source[[#This Row],[report_date]])</f>
        <v>2025</v>
      </c>
      <c r="C6953" s="128">
        <f t="shared" si="322"/>
        <v>5</v>
      </c>
      <c r="D6953" s="136">
        <f t="shared" si="324"/>
        <v>22</v>
      </c>
      <c r="E6953" s="136">
        <f t="shared" si="323"/>
        <v>26</v>
      </c>
      <c r="F6953" s="128" t="s">
        <v>24</v>
      </c>
      <c r="G6953" s="128" t="str">
        <f>VLOOKUP(source[[#This Row],[lending_product_transform]],[3]Mapping!$B$4:$C$37,2,0)</f>
        <v>[Cake] - Cashloan</v>
      </c>
      <c r="H6953" s="128" t="str">
        <f>VLOOKUP(source[[#This Row],[lending_product_transform]],[3]Mapping!$B$3:$D$37,3,0)</f>
        <v>cashloan</v>
      </c>
      <c r="I6953" s="135">
        <v>1400950000</v>
      </c>
    </row>
    <row r="6954" spans="1:9" x14ac:dyDescent="0.2">
      <c r="A6954" s="134">
        <v>45803</v>
      </c>
      <c r="B6954" s="135">
        <f>YEAR(source[[#This Row],[report_date]])</f>
        <v>2025</v>
      </c>
      <c r="C6954" s="128">
        <f t="shared" si="322"/>
        <v>5</v>
      </c>
      <c r="D6954" s="136">
        <f t="shared" si="324"/>
        <v>22</v>
      </c>
      <c r="E6954" s="136">
        <f t="shared" si="323"/>
        <v>26</v>
      </c>
      <c r="F6954" s="128" t="s">
        <v>24</v>
      </c>
      <c r="G6954" s="128" t="str">
        <f>VLOOKUP(source[[#This Row],[lending_product_transform]],[3]Mapping!$B$4:$C$37,2,0)</f>
        <v>[Cake] - Cashloan</v>
      </c>
      <c r="H6954" s="128" t="str">
        <f>VLOOKUP(source[[#This Row],[lending_product_transform]],[3]Mapping!$B$3:$D$37,3,0)</f>
        <v>cashloan</v>
      </c>
      <c r="I6954" s="135">
        <v>7910020000</v>
      </c>
    </row>
    <row r="6955" spans="1:9" x14ac:dyDescent="0.2">
      <c r="A6955" s="134">
        <v>45803</v>
      </c>
      <c r="B6955" s="135">
        <f>YEAR(source[[#This Row],[report_date]])</f>
        <v>2025</v>
      </c>
      <c r="C6955" s="128">
        <f t="shared" si="322"/>
        <v>5</v>
      </c>
      <c r="D6955" s="136">
        <f t="shared" si="324"/>
        <v>22</v>
      </c>
      <c r="E6955" s="136">
        <f t="shared" si="323"/>
        <v>26</v>
      </c>
      <c r="F6955" s="128" t="s">
        <v>24</v>
      </c>
      <c r="G6955" s="128" t="str">
        <f>VLOOKUP(source[[#This Row],[lending_product_transform]],[3]Mapping!$B$4:$C$37,2,0)</f>
        <v>[Cake] - Cashloan</v>
      </c>
      <c r="H6955" s="128" t="str">
        <f>VLOOKUP(source[[#This Row],[lending_product_transform]],[3]Mapping!$B$3:$D$37,3,0)</f>
        <v>cashloan</v>
      </c>
      <c r="I6955" s="135">
        <v>16185205</v>
      </c>
    </row>
    <row r="6956" spans="1:9" x14ac:dyDescent="0.2">
      <c r="A6956" s="134">
        <v>45803</v>
      </c>
      <c r="B6956" s="135">
        <f>YEAR(source[[#This Row],[report_date]])</f>
        <v>2025</v>
      </c>
      <c r="C6956" s="128">
        <f t="shared" si="322"/>
        <v>5</v>
      </c>
      <c r="D6956" s="136">
        <f t="shared" si="324"/>
        <v>22</v>
      </c>
      <c r="E6956" s="136">
        <f t="shared" si="323"/>
        <v>26</v>
      </c>
      <c r="F6956" s="128" t="s">
        <v>24</v>
      </c>
      <c r="G6956" s="128" t="str">
        <f>VLOOKUP(source[[#This Row],[lending_product_transform]],[3]Mapping!$B$4:$C$37,2,0)</f>
        <v>[Cake] - Cashloan</v>
      </c>
      <c r="H6956" s="128" t="str">
        <f>VLOOKUP(source[[#This Row],[lending_product_transform]],[3]Mapping!$B$3:$D$37,3,0)</f>
        <v>cashloan</v>
      </c>
      <c r="I6956" s="135">
        <v>51500000</v>
      </c>
    </row>
    <row r="6957" spans="1:9" x14ac:dyDescent="0.2">
      <c r="A6957" s="134">
        <v>45803</v>
      </c>
      <c r="B6957" s="135">
        <f>YEAR(source[[#This Row],[report_date]])</f>
        <v>2025</v>
      </c>
      <c r="C6957" s="128">
        <f t="shared" si="322"/>
        <v>5</v>
      </c>
      <c r="D6957" s="136">
        <f t="shared" si="324"/>
        <v>22</v>
      </c>
      <c r="E6957" s="136">
        <f t="shared" si="323"/>
        <v>26</v>
      </c>
      <c r="F6957" s="128" t="s">
        <v>24</v>
      </c>
      <c r="G6957" s="128" t="str">
        <f>VLOOKUP(source[[#This Row],[lending_product_transform]],[3]Mapping!$B$4:$C$37,2,0)</f>
        <v>[Cake] - Cashloan</v>
      </c>
      <c r="H6957" s="128" t="str">
        <f>VLOOKUP(source[[#This Row],[lending_product_transform]],[3]Mapping!$B$3:$D$37,3,0)</f>
        <v>cashloan</v>
      </c>
      <c r="I6957" s="135">
        <v>11000000</v>
      </c>
    </row>
    <row r="6958" spans="1:9" x14ac:dyDescent="0.2">
      <c r="A6958" s="134">
        <v>45803</v>
      </c>
      <c r="B6958" s="135">
        <f>YEAR(source[[#This Row],[report_date]])</f>
        <v>2025</v>
      </c>
      <c r="C6958" s="128">
        <f t="shared" si="322"/>
        <v>5</v>
      </c>
      <c r="D6958" s="136">
        <f t="shared" si="324"/>
        <v>22</v>
      </c>
      <c r="E6958" s="136">
        <f t="shared" si="323"/>
        <v>26</v>
      </c>
      <c r="F6958" s="128" t="s">
        <v>24</v>
      </c>
      <c r="G6958" s="128" t="str">
        <f>VLOOKUP(source[[#This Row],[lending_product_transform]],[3]Mapping!$B$4:$C$37,2,0)</f>
        <v>[Cake] - Cashloan</v>
      </c>
      <c r="H6958" s="128" t="str">
        <f>VLOOKUP(source[[#This Row],[lending_product_transform]],[3]Mapping!$B$3:$D$37,3,0)</f>
        <v>cashloan</v>
      </c>
      <c r="I6958" s="135">
        <v>0</v>
      </c>
    </row>
    <row r="6959" spans="1:9" x14ac:dyDescent="0.2">
      <c r="A6959" s="134">
        <v>45803</v>
      </c>
      <c r="B6959" s="135">
        <f>YEAR(source[[#This Row],[report_date]])</f>
        <v>2025</v>
      </c>
      <c r="C6959" s="128">
        <f t="shared" si="322"/>
        <v>5</v>
      </c>
      <c r="D6959" s="136">
        <f t="shared" si="324"/>
        <v>22</v>
      </c>
      <c r="E6959" s="136">
        <f t="shared" si="323"/>
        <v>26</v>
      </c>
      <c r="F6959" s="128" t="s">
        <v>24</v>
      </c>
      <c r="G6959" s="128" t="str">
        <f>VLOOKUP(source[[#This Row],[lending_product_transform]],[3]Mapping!$B$4:$C$37,2,0)</f>
        <v>[Cake] - Cashloan</v>
      </c>
      <c r="H6959" s="128" t="str">
        <f>VLOOKUP(source[[#This Row],[lending_product_transform]],[3]Mapping!$B$3:$D$37,3,0)</f>
        <v>cashloan</v>
      </c>
      <c r="I6959" s="135">
        <v>306972700</v>
      </c>
    </row>
    <row r="6960" spans="1:9" x14ac:dyDescent="0.2">
      <c r="A6960" s="134">
        <v>45803</v>
      </c>
      <c r="B6960" s="135">
        <f>YEAR(source[[#This Row],[report_date]])</f>
        <v>2025</v>
      </c>
      <c r="C6960" s="128">
        <f t="shared" si="322"/>
        <v>5</v>
      </c>
      <c r="D6960" s="136">
        <f t="shared" si="324"/>
        <v>22</v>
      </c>
      <c r="E6960" s="136">
        <f t="shared" si="323"/>
        <v>26</v>
      </c>
      <c r="F6960" s="128" t="s">
        <v>24</v>
      </c>
      <c r="G6960" s="128" t="str">
        <f>VLOOKUP(source[[#This Row],[lending_product_transform]],[3]Mapping!$B$4:$C$37,2,0)</f>
        <v>[Cake] - Cashloan</v>
      </c>
      <c r="H6960" s="128" t="str">
        <f>VLOOKUP(source[[#This Row],[lending_product_transform]],[3]Mapping!$B$3:$D$37,3,0)</f>
        <v>cashloan</v>
      </c>
      <c r="I6960" s="135">
        <v>7453280000</v>
      </c>
    </row>
    <row r="6961" spans="1:9" x14ac:dyDescent="0.2">
      <c r="A6961" s="134">
        <v>45803</v>
      </c>
      <c r="B6961" s="135">
        <f>YEAR(source[[#This Row],[report_date]])</f>
        <v>2025</v>
      </c>
      <c r="C6961" s="128">
        <f t="shared" si="322"/>
        <v>5</v>
      </c>
      <c r="D6961" s="136">
        <f t="shared" si="324"/>
        <v>22</v>
      </c>
      <c r="E6961" s="136">
        <f t="shared" si="323"/>
        <v>26</v>
      </c>
      <c r="F6961" s="128" t="s">
        <v>24</v>
      </c>
      <c r="G6961" s="128" t="str">
        <f>VLOOKUP(source[[#This Row],[lending_product_transform]],[3]Mapping!$B$4:$C$37,2,0)</f>
        <v>[Cake] - Cashloan</v>
      </c>
      <c r="H6961" s="128" t="str">
        <f>VLOOKUP(source[[#This Row],[lending_product_transform]],[3]Mapping!$B$3:$D$37,3,0)</f>
        <v>cashloan</v>
      </c>
      <c r="I6961" s="135">
        <v>0</v>
      </c>
    </row>
    <row r="6962" spans="1:9" x14ac:dyDescent="0.2">
      <c r="A6962" s="134">
        <v>45803</v>
      </c>
      <c r="B6962" s="135">
        <f>YEAR(source[[#This Row],[report_date]])</f>
        <v>2025</v>
      </c>
      <c r="C6962" s="128">
        <f t="shared" si="322"/>
        <v>5</v>
      </c>
      <c r="D6962" s="136">
        <f t="shared" si="324"/>
        <v>22</v>
      </c>
      <c r="E6962" s="136">
        <f t="shared" si="323"/>
        <v>26</v>
      </c>
      <c r="F6962" s="128" t="s">
        <v>24</v>
      </c>
      <c r="G6962" s="128" t="str">
        <f>VLOOKUP(source[[#This Row],[lending_product_transform]],[3]Mapping!$B$4:$C$37,2,0)</f>
        <v>[Cake] - Cashloan</v>
      </c>
      <c r="H6962" s="128" t="str">
        <f>VLOOKUP(source[[#This Row],[lending_product_transform]],[3]Mapping!$B$3:$D$37,3,0)</f>
        <v>cashloan</v>
      </c>
      <c r="I6962" s="135">
        <v>371861682</v>
      </c>
    </row>
    <row r="6963" spans="1:9" x14ac:dyDescent="0.2">
      <c r="A6963" s="134">
        <v>45803</v>
      </c>
      <c r="B6963" s="135">
        <f>YEAR(source[[#This Row],[report_date]])</f>
        <v>2025</v>
      </c>
      <c r="C6963" s="128">
        <f t="shared" si="322"/>
        <v>5</v>
      </c>
      <c r="D6963" s="136">
        <f t="shared" si="324"/>
        <v>22</v>
      </c>
      <c r="E6963" s="136">
        <f t="shared" si="323"/>
        <v>26</v>
      </c>
      <c r="F6963" s="128" t="s">
        <v>24</v>
      </c>
      <c r="G6963" s="128" t="str">
        <f>VLOOKUP(source[[#This Row],[lending_product_transform]],[3]Mapping!$B$4:$C$37,2,0)</f>
        <v>[Cake] - Cashloan</v>
      </c>
      <c r="H6963" s="128" t="str">
        <f>VLOOKUP(source[[#This Row],[lending_product_transform]],[3]Mapping!$B$3:$D$37,3,0)</f>
        <v>cashloan</v>
      </c>
      <c r="I6963" s="135">
        <v>5293188000</v>
      </c>
    </row>
    <row r="6964" spans="1:9" x14ac:dyDescent="0.2">
      <c r="A6964" s="134">
        <v>45803</v>
      </c>
      <c r="B6964" s="135">
        <f>YEAR(source[[#This Row],[report_date]])</f>
        <v>2025</v>
      </c>
      <c r="C6964" s="128">
        <f t="shared" si="322"/>
        <v>5</v>
      </c>
      <c r="D6964" s="136">
        <f t="shared" si="324"/>
        <v>22</v>
      </c>
      <c r="E6964" s="136">
        <f t="shared" si="323"/>
        <v>26</v>
      </c>
      <c r="F6964" s="128" t="s">
        <v>24</v>
      </c>
      <c r="G6964" s="128" t="str">
        <f>VLOOKUP(source[[#This Row],[lending_product_transform]],[3]Mapping!$B$4:$C$37,2,0)</f>
        <v>[Cake] - Cashloan</v>
      </c>
      <c r="H6964" s="128" t="str">
        <f>VLOOKUP(source[[#This Row],[lending_product_transform]],[3]Mapping!$B$3:$D$37,3,0)</f>
        <v>cashloan</v>
      </c>
      <c r="I6964" s="135">
        <v>10000000</v>
      </c>
    </row>
    <row r="6965" spans="1:9" x14ac:dyDescent="0.2">
      <c r="A6965" s="134">
        <v>45804</v>
      </c>
      <c r="B6965" s="135">
        <f>YEAR(source[[#This Row],[report_date]])</f>
        <v>2025</v>
      </c>
      <c r="C6965" s="128">
        <f t="shared" si="322"/>
        <v>5</v>
      </c>
      <c r="D6965" s="136">
        <f t="shared" si="324"/>
        <v>22</v>
      </c>
      <c r="E6965" s="136">
        <f t="shared" si="323"/>
        <v>27</v>
      </c>
      <c r="F6965" s="128" t="s">
        <v>24</v>
      </c>
      <c r="G6965" s="128" t="str">
        <f>VLOOKUP(source[[#This Row],[lending_product_transform]],[3]Mapping!$B$4:$C$37,2,0)</f>
        <v>[Cake] - Cashloan</v>
      </c>
      <c r="H6965" s="128" t="str">
        <f>VLOOKUP(source[[#This Row],[lending_product_transform]],[3]Mapping!$B$3:$D$37,3,0)</f>
        <v>cashloan</v>
      </c>
      <c r="I6965" s="135">
        <v>18000000</v>
      </c>
    </row>
    <row r="6966" spans="1:9" x14ac:dyDescent="0.2">
      <c r="A6966" s="134">
        <v>45804</v>
      </c>
      <c r="B6966" s="135">
        <f>YEAR(source[[#This Row],[report_date]])</f>
        <v>2025</v>
      </c>
      <c r="C6966" s="128">
        <f t="shared" ref="C6966:C7029" si="325">MONTH(A6966)</f>
        <v>5</v>
      </c>
      <c r="D6966" s="136">
        <f t="shared" si="324"/>
        <v>22</v>
      </c>
      <c r="E6966" s="136">
        <f t="shared" ref="E6966:E7029" si="326">DAY(A6966)</f>
        <v>27</v>
      </c>
      <c r="F6966" s="128" t="s">
        <v>24</v>
      </c>
      <c r="G6966" s="128" t="str">
        <f>VLOOKUP(source[[#This Row],[lending_product_transform]],[3]Mapping!$B$4:$C$37,2,0)</f>
        <v>[Cake] - Cashloan</v>
      </c>
      <c r="H6966" s="128" t="str">
        <f>VLOOKUP(source[[#This Row],[lending_product_transform]],[3]Mapping!$B$3:$D$37,3,0)</f>
        <v>cashloan</v>
      </c>
      <c r="I6966" s="135">
        <v>186804420</v>
      </c>
    </row>
    <row r="6967" spans="1:9" x14ac:dyDescent="0.2">
      <c r="A6967" s="134">
        <v>45804</v>
      </c>
      <c r="B6967" s="135">
        <f>YEAR(source[[#This Row],[report_date]])</f>
        <v>2025</v>
      </c>
      <c r="C6967" s="128">
        <f t="shared" si="325"/>
        <v>5</v>
      </c>
      <c r="D6967" s="136">
        <f t="shared" si="324"/>
        <v>22</v>
      </c>
      <c r="E6967" s="136">
        <f t="shared" si="326"/>
        <v>27</v>
      </c>
      <c r="F6967" s="128" t="s">
        <v>24</v>
      </c>
      <c r="G6967" s="128" t="str">
        <f>VLOOKUP(source[[#This Row],[lending_product_transform]],[3]Mapping!$B$4:$C$37,2,0)</f>
        <v>[Cake] - Cashloan</v>
      </c>
      <c r="H6967" s="128" t="str">
        <f>VLOOKUP(source[[#This Row],[lending_product_transform]],[3]Mapping!$B$3:$D$37,3,0)</f>
        <v>cashloan</v>
      </c>
      <c r="I6967" s="135">
        <v>6570320000</v>
      </c>
    </row>
    <row r="6968" spans="1:9" x14ac:dyDescent="0.2">
      <c r="A6968" s="134">
        <v>45804</v>
      </c>
      <c r="B6968" s="135">
        <f>YEAR(source[[#This Row],[report_date]])</f>
        <v>2025</v>
      </c>
      <c r="C6968" s="128">
        <f t="shared" si="325"/>
        <v>5</v>
      </c>
      <c r="D6968" s="136">
        <f t="shared" si="324"/>
        <v>22</v>
      </c>
      <c r="E6968" s="136">
        <f t="shared" si="326"/>
        <v>27</v>
      </c>
      <c r="F6968" s="128" t="s">
        <v>24</v>
      </c>
      <c r="G6968" s="128" t="str">
        <f>VLOOKUP(source[[#This Row],[lending_product_transform]],[3]Mapping!$B$4:$C$37,2,0)</f>
        <v>[Cake] - Cashloan</v>
      </c>
      <c r="H6968" s="128" t="str">
        <f>VLOOKUP(source[[#This Row],[lending_product_transform]],[3]Mapping!$B$3:$D$37,3,0)</f>
        <v>cashloan</v>
      </c>
      <c r="I6968" s="135">
        <v>24255809</v>
      </c>
    </row>
    <row r="6969" spans="1:9" x14ac:dyDescent="0.2">
      <c r="A6969" s="134">
        <v>45804</v>
      </c>
      <c r="B6969" s="135">
        <f>YEAR(source[[#This Row],[report_date]])</f>
        <v>2025</v>
      </c>
      <c r="C6969" s="128">
        <f t="shared" si="325"/>
        <v>5</v>
      </c>
      <c r="D6969" s="136">
        <f t="shared" si="324"/>
        <v>22</v>
      </c>
      <c r="E6969" s="136">
        <f t="shared" si="326"/>
        <v>27</v>
      </c>
      <c r="F6969" s="128" t="s">
        <v>24</v>
      </c>
      <c r="G6969" s="128" t="str">
        <f>VLOOKUP(source[[#This Row],[lending_product_transform]],[3]Mapping!$B$4:$C$37,2,0)</f>
        <v>[Cake] - Cashloan</v>
      </c>
      <c r="H6969" s="128" t="str">
        <f>VLOOKUP(source[[#This Row],[lending_product_transform]],[3]Mapping!$B$3:$D$37,3,0)</f>
        <v>cashloan</v>
      </c>
      <c r="I6969" s="135">
        <v>0</v>
      </c>
    </row>
    <row r="6970" spans="1:9" x14ac:dyDescent="0.2">
      <c r="A6970" s="134">
        <v>45804</v>
      </c>
      <c r="B6970" s="135">
        <f>YEAR(source[[#This Row],[report_date]])</f>
        <v>2025</v>
      </c>
      <c r="C6970" s="128">
        <f t="shared" si="325"/>
        <v>5</v>
      </c>
      <c r="D6970" s="136">
        <f t="shared" si="324"/>
        <v>22</v>
      </c>
      <c r="E6970" s="136">
        <f t="shared" si="326"/>
        <v>27</v>
      </c>
      <c r="F6970" s="128" t="s">
        <v>24</v>
      </c>
      <c r="G6970" s="128" t="str">
        <f>VLOOKUP(source[[#This Row],[lending_product_transform]],[3]Mapping!$B$4:$C$37,2,0)</f>
        <v>[Cake] - Cashloan</v>
      </c>
      <c r="H6970" s="128" t="str">
        <f>VLOOKUP(source[[#This Row],[lending_product_transform]],[3]Mapping!$B$3:$D$37,3,0)</f>
        <v>cashloan</v>
      </c>
      <c r="I6970" s="135">
        <v>6876620000</v>
      </c>
    </row>
    <row r="6971" spans="1:9" x14ac:dyDescent="0.2">
      <c r="A6971" s="134">
        <v>45804</v>
      </c>
      <c r="B6971" s="135">
        <f>YEAR(source[[#This Row],[report_date]])</f>
        <v>2025</v>
      </c>
      <c r="C6971" s="128">
        <f t="shared" si="325"/>
        <v>5</v>
      </c>
      <c r="D6971" s="136">
        <f t="shared" si="324"/>
        <v>22</v>
      </c>
      <c r="E6971" s="136">
        <f t="shared" si="326"/>
        <v>27</v>
      </c>
      <c r="F6971" s="128" t="s">
        <v>24</v>
      </c>
      <c r="G6971" s="128" t="str">
        <f>VLOOKUP(source[[#This Row],[lending_product_transform]],[3]Mapping!$B$4:$C$37,2,0)</f>
        <v>[Cake] - Cashloan</v>
      </c>
      <c r="H6971" s="128" t="str">
        <f>VLOOKUP(source[[#This Row],[lending_product_transform]],[3]Mapping!$B$3:$D$37,3,0)</f>
        <v>cashloan</v>
      </c>
      <c r="I6971" s="135">
        <v>36750000</v>
      </c>
    </row>
    <row r="6972" spans="1:9" x14ac:dyDescent="0.2">
      <c r="A6972" s="134">
        <v>45804</v>
      </c>
      <c r="B6972" s="135">
        <f>YEAR(source[[#This Row],[report_date]])</f>
        <v>2025</v>
      </c>
      <c r="C6972" s="128">
        <f t="shared" si="325"/>
        <v>5</v>
      </c>
      <c r="D6972" s="136">
        <f t="shared" si="324"/>
        <v>22</v>
      </c>
      <c r="E6972" s="136">
        <f t="shared" si="326"/>
        <v>27</v>
      </c>
      <c r="F6972" s="128" t="s">
        <v>24</v>
      </c>
      <c r="G6972" s="128" t="str">
        <f>VLOOKUP(source[[#This Row],[lending_product_transform]],[3]Mapping!$B$4:$C$37,2,0)</f>
        <v>[Cake] - Cashloan</v>
      </c>
      <c r="H6972" s="128" t="str">
        <f>VLOOKUP(source[[#This Row],[lending_product_transform]],[3]Mapping!$B$3:$D$37,3,0)</f>
        <v>cashloan</v>
      </c>
      <c r="I6972" s="135">
        <v>1568000000</v>
      </c>
    </row>
    <row r="6973" spans="1:9" x14ac:dyDescent="0.2">
      <c r="A6973" s="134">
        <v>45804</v>
      </c>
      <c r="B6973" s="135">
        <f>YEAR(source[[#This Row],[report_date]])</f>
        <v>2025</v>
      </c>
      <c r="C6973" s="128">
        <f t="shared" si="325"/>
        <v>5</v>
      </c>
      <c r="D6973" s="136">
        <f t="shared" si="324"/>
        <v>22</v>
      </c>
      <c r="E6973" s="136">
        <f t="shared" si="326"/>
        <v>27</v>
      </c>
      <c r="F6973" s="128" t="s">
        <v>24</v>
      </c>
      <c r="G6973" s="128" t="str">
        <f>VLOOKUP(source[[#This Row],[lending_product_transform]],[3]Mapping!$B$4:$C$37,2,0)</f>
        <v>[Cake] - Cashloan</v>
      </c>
      <c r="H6973" s="128" t="str">
        <f>VLOOKUP(source[[#This Row],[lending_product_transform]],[3]Mapping!$B$3:$D$37,3,0)</f>
        <v>cashloan</v>
      </c>
      <c r="I6973" s="135">
        <v>0</v>
      </c>
    </row>
    <row r="6974" spans="1:9" x14ac:dyDescent="0.2">
      <c r="A6974" s="134">
        <v>45804</v>
      </c>
      <c r="B6974" s="135">
        <f>YEAR(source[[#This Row],[report_date]])</f>
        <v>2025</v>
      </c>
      <c r="C6974" s="128">
        <f t="shared" si="325"/>
        <v>5</v>
      </c>
      <c r="D6974" s="136">
        <f t="shared" si="324"/>
        <v>22</v>
      </c>
      <c r="E6974" s="136">
        <f t="shared" si="326"/>
        <v>27</v>
      </c>
      <c r="F6974" s="128" t="s">
        <v>24</v>
      </c>
      <c r="G6974" s="128" t="str">
        <f>VLOOKUP(source[[#This Row],[lending_product_transform]],[3]Mapping!$B$4:$C$37,2,0)</f>
        <v>[Cake] - Cashloan</v>
      </c>
      <c r="H6974" s="128" t="str">
        <f>VLOOKUP(source[[#This Row],[lending_product_transform]],[3]Mapping!$B$3:$D$37,3,0)</f>
        <v>cashloan</v>
      </c>
      <c r="I6974" s="135">
        <v>0</v>
      </c>
    </row>
    <row r="6975" spans="1:9" x14ac:dyDescent="0.2">
      <c r="A6975" s="134">
        <v>45804</v>
      </c>
      <c r="B6975" s="135">
        <f>YEAR(source[[#This Row],[report_date]])</f>
        <v>2025</v>
      </c>
      <c r="C6975" s="128">
        <f t="shared" si="325"/>
        <v>5</v>
      </c>
      <c r="D6975" s="136">
        <f t="shared" si="324"/>
        <v>22</v>
      </c>
      <c r="E6975" s="136">
        <f t="shared" si="326"/>
        <v>27</v>
      </c>
      <c r="F6975" s="128" t="s">
        <v>24</v>
      </c>
      <c r="G6975" s="128" t="str">
        <f>VLOOKUP(source[[#This Row],[lending_product_transform]],[3]Mapping!$B$4:$C$37,2,0)</f>
        <v>[Cake] - Cashloan</v>
      </c>
      <c r="H6975" s="128" t="str">
        <f>VLOOKUP(source[[#This Row],[lending_product_transform]],[3]Mapping!$B$3:$D$37,3,0)</f>
        <v>cashloan</v>
      </c>
      <c r="I6975" s="135">
        <v>668550000</v>
      </c>
    </row>
    <row r="6976" spans="1:9" x14ac:dyDescent="0.2">
      <c r="A6976" s="134">
        <v>45804</v>
      </c>
      <c r="B6976" s="135">
        <f>YEAR(source[[#This Row],[report_date]])</f>
        <v>2025</v>
      </c>
      <c r="C6976" s="128">
        <f t="shared" si="325"/>
        <v>5</v>
      </c>
      <c r="D6976" s="136">
        <f t="shared" si="324"/>
        <v>22</v>
      </c>
      <c r="E6976" s="136">
        <f t="shared" si="326"/>
        <v>27</v>
      </c>
      <c r="F6976" s="128" t="s">
        <v>24</v>
      </c>
      <c r="G6976" s="128" t="str">
        <f>VLOOKUP(source[[#This Row],[lending_product_transform]],[3]Mapping!$B$4:$C$37,2,0)</f>
        <v>[Cake] - Cashloan</v>
      </c>
      <c r="H6976" s="128" t="str">
        <f>VLOOKUP(source[[#This Row],[lending_product_transform]],[3]Mapping!$B$3:$D$37,3,0)</f>
        <v>cashloan</v>
      </c>
      <c r="I6976" s="135">
        <v>0</v>
      </c>
    </row>
    <row r="6977" spans="1:9" x14ac:dyDescent="0.2">
      <c r="A6977" s="134">
        <v>45804</v>
      </c>
      <c r="B6977" s="135">
        <f>YEAR(source[[#This Row],[report_date]])</f>
        <v>2025</v>
      </c>
      <c r="C6977" s="128">
        <f t="shared" si="325"/>
        <v>5</v>
      </c>
      <c r="D6977" s="136">
        <f t="shared" si="324"/>
        <v>22</v>
      </c>
      <c r="E6977" s="136">
        <f t="shared" si="326"/>
        <v>27</v>
      </c>
      <c r="F6977" s="128" t="s">
        <v>24</v>
      </c>
      <c r="G6977" s="128" t="str">
        <f>VLOOKUP(source[[#This Row],[lending_product_transform]],[3]Mapping!$B$4:$C$37,2,0)</f>
        <v>[Cake] - Cashloan</v>
      </c>
      <c r="H6977" s="128" t="str">
        <f>VLOOKUP(source[[#This Row],[lending_product_transform]],[3]Mapping!$B$3:$D$37,3,0)</f>
        <v>cashloan</v>
      </c>
      <c r="I6977" s="135">
        <v>2030000</v>
      </c>
    </row>
    <row r="6978" spans="1:9" x14ac:dyDescent="0.2">
      <c r="A6978" s="134">
        <v>45804</v>
      </c>
      <c r="B6978" s="135">
        <f>YEAR(source[[#This Row],[report_date]])</f>
        <v>2025</v>
      </c>
      <c r="C6978" s="128">
        <f t="shared" si="325"/>
        <v>5</v>
      </c>
      <c r="D6978" s="136">
        <f t="shared" si="324"/>
        <v>22</v>
      </c>
      <c r="E6978" s="136">
        <f t="shared" si="326"/>
        <v>27</v>
      </c>
      <c r="F6978" s="128" t="s">
        <v>24</v>
      </c>
      <c r="G6978" s="128" t="str">
        <f>VLOOKUP(source[[#This Row],[lending_product_transform]],[3]Mapping!$B$4:$C$37,2,0)</f>
        <v>[Cake] - Cashloan</v>
      </c>
      <c r="H6978" s="128" t="str">
        <f>VLOOKUP(source[[#This Row],[lending_product_transform]],[3]Mapping!$B$3:$D$37,3,0)</f>
        <v>cashloan</v>
      </c>
      <c r="I6978" s="135">
        <v>985750000</v>
      </c>
    </row>
    <row r="6979" spans="1:9" x14ac:dyDescent="0.2">
      <c r="A6979" s="134">
        <v>45804</v>
      </c>
      <c r="B6979" s="135">
        <f>YEAR(source[[#This Row],[report_date]])</f>
        <v>2025</v>
      </c>
      <c r="C6979" s="128">
        <f t="shared" si="325"/>
        <v>5</v>
      </c>
      <c r="D6979" s="136">
        <f t="shared" ref="D6979:D7042" si="327">WEEKNUM(A6979,2)</f>
        <v>22</v>
      </c>
      <c r="E6979" s="136">
        <f t="shared" si="326"/>
        <v>27</v>
      </c>
      <c r="F6979" s="128" t="s">
        <v>24</v>
      </c>
      <c r="G6979" s="128" t="str">
        <f>VLOOKUP(source[[#This Row],[lending_product_transform]],[3]Mapping!$B$4:$C$37,2,0)</f>
        <v>[Cake] - Cashloan</v>
      </c>
      <c r="H6979" s="128" t="str">
        <f>VLOOKUP(source[[#This Row],[lending_product_transform]],[3]Mapping!$B$3:$D$37,3,0)</f>
        <v>cashloan</v>
      </c>
      <c r="I6979" s="135">
        <v>4843476000</v>
      </c>
    </row>
    <row r="6980" spans="1:9" x14ac:dyDescent="0.2">
      <c r="A6980" s="134">
        <v>45804</v>
      </c>
      <c r="B6980" s="135">
        <f>YEAR(source[[#This Row],[report_date]])</f>
        <v>2025</v>
      </c>
      <c r="C6980" s="128">
        <f t="shared" si="325"/>
        <v>5</v>
      </c>
      <c r="D6980" s="136">
        <f t="shared" si="327"/>
        <v>22</v>
      </c>
      <c r="E6980" s="136">
        <f t="shared" si="326"/>
        <v>27</v>
      </c>
      <c r="F6980" s="128" t="s">
        <v>24</v>
      </c>
      <c r="G6980" s="128" t="str">
        <f>VLOOKUP(source[[#This Row],[lending_product_transform]],[3]Mapping!$B$4:$C$37,2,0)</f>
        <v>[Cake] - Cashloan</v>
      </c>
      <c r="H6980" s="128" t="str">
        <f>VLOOKUP(source[[#This Row],[lending_product_transform]],[3]Mapping!$B$3:$D$37,3,0)</f>
        <v>cashloan</v>
      </c>
      <c r="I6980" s="135">
        <v>0</v>
      </c>
    </row>
    <row r="6981" spans="1:9" x14ac:dyDescent="0.2">
      <c r="A6981" s="134">
        <v>45804</v>
      </c>
      <c r="B6981" s="135">
        <f>YEAR(source[[#This Row],[report_date]])</f>
        <v>2025</v>
      </c>
      <c r="C6981" s="128">
        <f t="shared" si="325"/>
        <v>5</v>
      </c>
      <c r="D6981" s="136">
        <f t="shared" si="327"/>
        <v>22</v>
      </c>
      <c r="E6981" s="136">
        <f t="shared" si="326"/>
        <v>27</v>
      </c>
      <c r="F6981" s="128" t="s">
        <v>24</v>
      </c>
      <c r="G6981" s="128" t="str">
        <f>VLOOKUP(source[[#This Row],[lending_product_transform]],[3]Mapping!$B$4:$C$37,2,0)</f>
        <v>[Cake] - Cashloan</v>
      </c>
      <c r="H6981" s="128" t="str">
        <f>VLOOKUP(source[[#This Row],[lending_product_transform]],[3]Mapping!$B$3:$D$37,3,0)</f>
        <v>cashloan</v>
      </c>
      <c r="I6981" s="135">
        <v>3252619837</v>
      </c>
    </row>
    <row r="6982" spans="1:9" x14ac:dyDescent="0.2">
      <c r="A6982" s="134">
        <v>45804</v>
      </c>
      <c r="B6982" s="135">
        <f>YEAR(source[[#This Row],[report_date]])</f>
        <v>2025</v>
      </c>
      <c r="C6982" s="128">
        <f t="shared" si="325"/>
        <v>5</v>
      </c>
      <c r="D6982" s="136">
        <f t="shared" si="327"/>
        <v>22</v>
      </c>
      <c r="E6982" s="136">
        <f t="shared" si="326"/>
        <v>27</v>
      </c>
      <c r="F6982" s="128" t="s">
        <v>24</v>
      </c>
      <c r="G6982" s="128" t="str">
        <f>VLOOKUP(source[[#This Row],[lending_product_transform]],[3]Mapping!$B$4:$C$37,2,0)</f>
        <v>[Cake] - Cashloan</v>
      </c>
      <c r="H6982" s="128" t="str">
        <f>VLOOKUP(source[[#This Row],[lending_product_transform]],[3]Mapping!$B$3:$D$37,3,0)</f>
        <v>cashloan</v>
      </c>
      <c r="I6982" s="135">
        <v>282314929</v>
      </c>
    </row>
    <row r="6983" spans="1:9" x14ac:dyDescent="0.2">
      <c r="A6983" s="134">
        <v>45804</v>
      </c>
      <c r="B6983" s="135">
        <f>YEAR(source[[#This Row],[report_date]])</f>
        <v>2025</v>
      </c>
      <c r="C6983" s="128">
        <f t="shared" si="325"/>
        <v>5</v>
      </c>
      <c r="D6983" s="136">
        <f t="shared" si="327"/>
        <v>22</v>
      </c>
      <c r="E6983" s="136">
        <f t="shared" si="326"/>
        <v>27</v>
      </c>
      <c r="F6983" s="128" t="s">
        <v>24</v>
      </c>
      <c r="G6983" s="128" t="str">
        <f>VLOOKUP(source[[#This Row],[lending_product_transform]],[3]Mapping!$B$4:$C$37,2,0)</f>
        <v>[Cake] - Cashloan</v>
      </c>
      <c r="H6983" s="128" t="str">
        <f>VLOOKUP(source[[#This Row],[lending_product_transform]],[3]Mapping!$B$3:$D$37,3,0)</f>
        <v>cashloan</v>
      </c>
      <c r="I6983" s="135">
        <v>402521737</v>
      </c>
    </row>
    <row r="6984" spans="1:9" x14ac:dyDescent="0.2">
      <c r="A6984" s="134">
        <v>45805</v>
      </c>
      <c r="B6984" s="135">
        <f>YEAR(source[[#This Row],[report_date]])</f>
        <v>2025</v>
      </c>
      <c r="C6984" s="128">
        <f t="shared" si="325"/>
        <v>5</v>
      </c>
      <c r="D6984" s="136">
        <f t="shared" si="327"/>
        <v>22</v>
      </c>
      <c r="E6984" s="136">
        <f t="shared" si="326"/>
        <v>28</v>
      </c>
      <c r="F6984" s="128" t="s">
        <v>24</v>
      </c>
      <c r="G6984" s="128" t="str">
        <f>VLOOKUP(source[[#This Row],[lending_product_transform]],[3]Mapping!$B$4:$C$37,2,0)</f>
        <v>[Cake] - Cashloan</v>
      </c>
      <c r="H6984" s="128" t="str">
        <f>VLOOKUP(source[[#This Row],[lending_product_transform]],[3]Mapping!$B$3:$D$37,3,0)</f>
        <v>cashloan</v>
      </c>
      <c r="I6984" s="135">
        <v>291376692</v>
      </c>
    </row>
    <row r="6985" spans="1:9" x14ac:dyDescent="0.2">
      <c r="A6985" s="134">
        <v>45805</v>
      </c>
      <c r="B6985" s="135">
        <f>YEAR(source[[#This Row],[report_date]])</f>
        <v>2025</v>
      </c>
      <c r="C6985" s="128">
        <f t="shared" si="325"/>
        <v>5</v>
      </c>
      <c r="D6985" s="136">
        <f t="shared" si="327"/>
        <v>22</v>
      </c>
      <c r="E6985" s="136">
        <f t="shared" si="326"/>
        <v>28</v>
      </c>
      <c r="F6985" s="128" t="s">
        <v>24</v>
      </c>
      <c r="G6985" s="128" t="str">
        <f>VLOOKUP(source[[#This Row],[lending_product_transform]],[3]Mapping!$B$4:$C$37,2,0)</f>
        <v>[Cake] - Cashloan</v>
      </c>
      <c r="H6985" s="128" t="str">
        <f>VLOOKUP(source[[#This Row],[lending_product_transform]],[3]Mapping!$B$3:$D$37,3,0)</f>
        <v>cashloan</v>
      </c>
      <c r="I6985" s="135">
        <v>7683630000</v>
      </c>
    </row>
    <row r="6986" spans="1:9" x14ac:dyDescent="0.2">
      <c r="A6986" s="134">
        <v>45805</v>
      </c>
      <c r="B6986" s="135">
        <f>YEAR(source[[#This Row],[report_date]])</f>
        <v>2025</v>
      </c>
      <c r="C6986" s="128">
        <f t="shared" si="325"/>
        <v>5</v>
      </c>
      <c r="D6986" s="136">
        <f t="shared" si="327"/>
        <v>22</v>
      </c>
      <c r="E6986" s="136">
        <f t="shared" si="326"/>
        <v>28</v>
      </c>
      <c r="F6986" s="128" t="s">
        <v>24</v>
      </c>
      <c r="G6986" s="128" t="str">
        <f>VLOOKUP(source[[#This Row],[lending_product_transform]],[3]Mapping!$B$4:$C$37,2,0)</f>
        <v>[Cake] - Cashloan</v>
      </c>
      <c r="H6986" s="128" t="str">
        <f>VLOOKUP(source[[#This Row],[lending_product_transform]],[3]Mapping!$B$3:$D$37,3,0)</f>
        <v>cashloan</v>
      </c>
      <c r="I6986" s="135">
        <v>3605860709</v>
      </c>
    </row>
    <row r="6987" spans="1:9" x14ac:dyDescent="0.2">
      <c r="A6987" s="134">
        <v>45805</v>
      </c>
      <c r="B6987" s="135">
        <f>YEAR(source[[#This Row],[report_date]])</f>
        <v>2025</v>
      </c>
      <c r="C6987" s="128">
        <f t="shared" si="325"/>
        <v>5</v>
      </c>
      <c r="D6987" s="136">
        <f t="shared" si="327"/>
        <v>22</v>
      </c>
      <c r="E6987" s="136">
        <f t="shared" si="326"/>
        <v>28</v>
      </c>
      <c r="F6987" s="128" t="s">
        <v>24</v>
      </c>
      <c r="G6987" s="128" t="str">
        <f>VLOOKUP(source[[#This Row],[lending_product_transform]],[3]Mapping!$B$4:$C$37,2,0)</f>
        <v>[Cake] - Cashloan</v>
      </c>
      <c r="H6987" s="128" t="str">
        <f>VLOOKUP(source[[#This Row],[lending_product_transform]],[3]Mapping!$B$3:$D$37,3,0)</f>
        <v>cashloan</v>
      </c>
      <c r="I6987" s="135">
        <v>6112960000</v>
      </c>
    </row>
    <row r="6988" spans="1:9" x14ac:dyDescent="0.2">
      <c r="A6988" s="134">
        <v>45805</v>
      </c>
      <c r="B6988" s="135">
        <f>YEAR(source[[#This Row],[report_date]])</f>
        <v>2025</v>
      </c>
      <c r="C6988" s="128">
        <f t="shared" si="325"/>
        <v>5</v>
      </c>
      <c r="D6988" s="136">
        <f t="shared" si="327"/>
        <v>22</v>
      </c>
      <c r="E6988" s="136">
        <f t="shared" si="326"/>
        <v>28</v>
      </c>
      <c r="F6988" s="128" t="s">
        <v>24</v>
      </c>
      <c r="G6988" s="128" t="str">
        <f>VLOOKUP(source[[#This Row],[lending_product_transform]],[3]Mapping!$B$4:$C$37,2,0)</f>
        <v>[Cake] - Cashloan</v>
      </c>
      <c r="H6988" s="128" t="str">
        <f>VLOOKUP(source[[#This Row],[lending_product_transform]],[3]Mapping!$B$3:$D$37,3,0)</f>
        <v>cashloan</v>
      </c>
      <c r="I6988" s="135">
        <v>211669161</v>
      </c>
    </row>
    <row r="6989" spans="1:9" x14ac:dyDescent="0.2">
      <c r="A6989" s="134">
        <v>45805</v>
      </c>
      <c r="B6989" s="135">
        <f>YEAR(source[[#This Row],[report_date]])</f>
        <v>2025</v>
      </c>
      <c r="C6989" s="128">
        <f t="shared" si="325"/>
        <v>5</v>
      </c>
      <c r="D6989" s="136">
        <f t="shared" si="327"/>
        <v>22</v>
      </c>
      <c r="E6989" s="136">
        <f t="shared" si="326"/>
        <v>28</v>
      </c>
      <c r="F6989" s="128" t="s">
        <v>24</v>
      </c>
      <c r="G6989" s="128" t="str">
        <f>VLOOKUP(source[[#This Row],[lending_product_transform]],[3]Mapping!$B$4:$C$37,2,0)</f>
        <v>[Cake] - Cashloan</v>
      </c>
      <c r="H6989" s="128" t="str">
        <f>VLOOKUP(source[[#This Row],[lending_product_transform]],[3]Mapping!$B$3:$D$37,3,0)</f>
        <v>cashloan</v>
      </c>
      <c r="I6989" s="135">
        <v>37733698</v>
      </c>
    </row>
    <row r="6990" spans="1:9" x14ac:dyDescent="0.2">
      <c r="A6990" s="134">
        <v>45805</v>
      </c>
      <c r="B6990" s="135">
        <f>YEAR(source[[#This Row],[report_date]])</f>
        <v>2025</v>
      </c>
      <c r="C6990" s="128">
        <f t="shared" si="325"/>
        <v>5</v>
      </c>
      <c r="D6990" s="136">
        <f t="shared" si="327"/>
        <v>22</v>
      </c>
      <c r="E6990" s="136">
        <f t="shared" si="326"/>
        <v>28</v>
      </c>
      <c r="F6990" s="128" t="s">
        <v>24</v>
      </c>
      <c r="G6990" s="128" t="str">
        <f>VLOOKUP(source[[#This Row],[lending_product_transform]],[3]Mapping!$B$4:$C$37,2,0)</f>
        <v>[Cake] - Cashloan</v>
      </c>
      <c r="H6990" s="128" t="str">
        <f>VLOOKUP(source[[#This Row],[lending_product_transform]],[3]Mapping!$B$3:$D$37,3,0)</f>
        <v>cashloan</v>
      </c>
      <c r="I6990" s="135">
        <v>0</v>
      </c>
    </row>
    <row r="6991" spans="1:9" x14ac:dyDescent="0.2">
      <c r="A6991" s="134">
        <v>45805</v>
      </c>
      <c r="B6991" s="135">
        <f>YEAR(source[[#This Row],[report_date]])</f>
        <v>2025</v>
      </c>
      <c r="C6991" s="128">
        <f t="shared" si="325"/>
        <v>5</v>
      </c>
      <c r="D6991" s="136">
        <f t="shared" si="327"/>
        <v>22</v>
      </c>
      <c r="E6991" s="136">
        <f t="shared" si="326"/>
        <v>28</v>
      </c>
      <c r="F6991" s="128" t="s">
        <v>24</v>
      </c>
      <c r="G6991" s="128" t="str">
        <f>VLOOKUP(source[[#This Row],[lending_product_transform]],[3]Mapping!$B$4:$C$37,2,0)</f>
        <v>[Cake] - Cashloan</v>
      </c>
      <c r="H6991" s="128" t="str">
        <f>VLOOKUP(source[[#This Row],[lending_product_transform]],[3]Mapping!$B$3:$D$37,3,0)</f>
        <v>cashloan</v>
      </c>
      <c r="I6991" s="135">
        <v>0</v>
      </c>
    </row>
    <row r="6992" spans="1:9" x14ac:dyDescent="0.2">
      <c r="A6992" s="134">
        <v>45805</v>
      </c>
      <c r="B6992" s="135">
        <f>YEAR(source[[#This Row],[report_date]])</f>
        <v>2025</v>
      </c>
      <c r="C6992" s="128">
        <f t="shared" si="325"/>
        <v>5</v>
      </c>
      <c r="D6992" s="136">
        <f t="shared" si="327"/>
        <v>22</v>
      </c>
      <c r="E6992" s="136">
        <f t="shared" si="326"/>
        <v>28</v>
      </c>
      <c r="F6992" s="128" t="s">
        <v>24</v>
      </c>
      <c r="G6992" s="128" t="str">
        <f>VLOOKUP(source[[#This Row],[lending_product_transform]],[3]Mapping!$B$4:$C$37,2,0)</f>
        <v>[Cake] - Cashloan</v>
      </c>
      <c r="H6992" s="128" t="str">
        <f>VLOOKUP(source[[#This Row],[lending_product_transform]],[3]Mapping!$B$3:$D$37,3,0)</f>
        <v>cashloan</v>
      </c>
      <c r="I6992" s="135">
        <v>0</v>
      </c>
    </row>
    <row r="6993" spans="1:9" x14ac:dyDescent="0.2">
      <c r="A6993" s="134">
        <v>45805</v>
      </c>
      <c r="B6993" s="135">
        <f>YEAR(source[[#This Row],[report_date]])</f>
        <v>2025</v>
      </c>
      <c r="C6993" s="128">
        <f t="shared" si="325"/>
        <v>5</v>
      </c>
      <c r="D6993" s="136">
        <f t="shared" si="327"/>
        <v>22</v>
      </c>
      <c r="E6993" s="136">
        <f t="shared" si="326"/>
        <v>28</v>
      </c>
      <c r="F6993" s="128" t="s">
        <v>24</v>
      </c>
      <c r="G6993" s="128" t="str">
        <f>VLOOKUP(source[[#This Row],[lending_product_transform]],[3]Mapping!$B$4:$C$37,2,0)</f>
        <v>[Cake] - Cashloan</v>
      </c>
      <c r="H6993" s="128" t="str">
        <f>VLOOKUP(source[[#This Row],[lending_product_transform]],[3]Mapping!$B$3:$D$37,3,0)</f>
        <v>cashloan</v>
      </c>
      <c r="I6993" s="135">
        <v>10500000</v>
      </c>
    </row>
    <row r="6994" spans="1:9" x14ac:dyDescent="0.2">
      <c r="A6994" s="134">
        <v>45805</v>
      </c>
      <c r="B6994" s="135">
        <f>YEAR(source[[#This Row],[report_date]])</f>
        <v>2025</v>
      </c>
      <c r="C6994" s="128">
        <f t="shared" si="325"/>
        <v>5</v>
      </c>
      <c r="D6994" s="136">
        <f t="shared" si="327"/>
        <v>22</v>
      </c>
      <c r="E6994" s="136">
        <f t="shared" si="326"/>
        <v>28</v>
      </c>
      <c r="F6994" s="128" t="s">
        <v>24</v>
      </c>
      <c r="G6994" s="128" t="str">
        <f>VLOOKUP(source[[#This Row],[lending_product_transform]],[3]Mapping!$B$4:$C$37,2,0)</f>
        <v>[Cake] - Cashloan</v>
      </c>
      <c r="H6994" s="128" t="str">
        <f>VLOOKUP(source[[#This Row],[lending_product_transform]],[3]Mapping!$B$3:$D$37,3,0)</f>
        <v>cashloan</v>
      </c>
      <c r="I6994" s="135">
        <v>22000000</v>
      </c>
    </row>
    <row r="6995" spans="1:9" x14ac:dyDescent="0.2">
      <c r="A6995" s="134">
        <v>45805</v>
      </c>
      <c r="B6995" s="135">
        <f>YEAR(source[[#This Row],[report_date]])</f>
        <v>2025</v>
      </c>
      <c r="C6995" s="128">
        <f t="shared" si="325"/>
        <v>5</v>
      </c>
      <c r="D6995" s="136">
        <f t="shared" si="327"/>
        <v>22</v>
      </c>
      <c r="E6995" s="136">
        <f t="shared" si="326"/>
        <v>28</v>
      </c>
      <c r="F6995" s="128" t="s">
        <v>24</v>
      </c>
      <c r="G6995" s="128" t="str">
        <f>VLOOKUP(source[[#This Row],[lending_product_transform]],[3]Mapping!$B$4:$C$37,2,0)</f>
        <v>[Cake] - Cashloan</v>
      </c>
      <c r="H6995" s="128" t="str">
        <f>VLOOKUP(source[[#This Row],[lending_product_transform]],[3]Mapping!$B$3:$D$37,3,0)</f>
        <v>cashloan</v>
      </c>
      <c r="I6995" s="135">
        <v>1288000000</v>
      </c>
    </row>
    <row r="6996" spans="1:9" x14ac:dyDescent="0.2">
      <c r="A6996" s="134">
        <v>45805</v>
      </c>
      <c r="B6996" s="135">
        <f>YEAR(source[[#This Row],[report_date]])</f>
        <v>2025</v>
      </c>
      <c r="C6996" s="128">
        <f t="shared" si="325"/>
        <v>5</v>
      </c>
      <c r="D6996" s="136">
        <f t="shared" si="327"/>
        <v>22</v>
      </c>
      <c r="E6996" s="136">
        <f t="shared" si="326"/>
        <v>28</v>
      </c>
      <c r="F6996" s="128" t="s">
        <v>24</v>
      </c>
      <c r="G6996" s="128" t="str">
        <f>VLOOKUP(source[[#This Row],[lending_product_transform]],[3]Mapping!$B$4:$C$37,2,0)</f>
        <v>[Cake] - Cashloan</v>
      </c>
      <c r="H6996" s="128" t="str">
        <f>VLOOKUP(source[[#This Row],[lending_product_transform]],[3]Mapping!$B$3:$D$37,3,0)</f>
        <v>cashloan</v>
      </c>
      <c r="I6996" s="135">
        <v>0</v>
      </c>
    </row>
    <row r="6997" spans="1:9" x14ac:dyDescent="0.2">
      <c r="A6997" s="134">
        <v>45805</v>
      </c>
      <c r="B6997" s="135">
        <f>YEAR(source[[#This Row],[report_date]])</f>
        <v>2025</v>
      </c>
      <c r="C6997" s="128">
        <f t="shared" si="325"/>
        <v>5</v>
      </c>
      <c r="D6997" s="136">
        <f t="shared" si="327"/>
        <v>22</v>
      </c>
      <c r="E6997" s="136">
        <f t="shared" si="326"/>
        <v>28</v>
      </c>
      <c r="F6997" s="128" t="s">
        <v>24</v>
      </c>
      <c r="G6997" s="128" t="str">
        <f>VLOOKUP(source[[#This Row],[lending_product_transform]],[3]Mapping!$B$4:$C$37,2,0)</f>
        <v>[Cake] - Cashloan</v>
      </c>
      <c r="H6997" s="128" t="str">
        <f>VLOOKUP(source[[#This Row],[lending_product_transform]],[3]Mapping!$B$3:$D$37,3,0)</f>
        <v>cashloan</v>
      </c>
      <c r="I6997" s="135">
        <v>457840000</v>
      </c>
    </row>
    <row r="6998" spans="1:9" x14ac:dyDescent="0.2">
      <c r="A6998" s="134">
        <v>45805</v>
      </c>
      <c r="B6998" s="135">
        <f>YEAR(source[[#This Row],[report_date]])</f>
        <v>2025</v>
      </c>
      <c r="C6998" s="128">
        <f t="shared" si="325"/>
        <v>5</v>
      </c>
      <c r="D6998" s="136">
        <f t="shared" si="327"/>
        <v>22</v>
      </c>
      <c r="E6998" s="136">
        <f t="shared" si="326"/>
        <v>28</v>
      </c>
      <c r="F6998" s="128" t="s">
        <v>24</v>
      </c>
      <c r="G6998" s="128" t="str">
        <f>VLOOKUP(source[[#This Row],[lending_product_transform]],[3]Mapping!$B$4:$C$37,2,0)</f>
        <v>[Cake] - Cashloan</v>
      </c>
      <c r="H6998" s="128" t="str">
        <f>VLOOKUP(source[[#This Row],[lending_product_transform]],[3]Mapping!$B$3:$D$37,3,0)</f>
        <v>cashloan</v>
      </c>
      <c r="I6998" s="135">
        <v>0</v>
      </c>
    </row>
    <row r="6999" spans="1:9" x14ac:dyDescent="0.2">
      <c r="A6999" s="134">
        <v>45805</v>
      </c>
      <c r="B6999" s="135">
        <f>YEAR(source[[#This Row],[report_date]])</f>
        <v>2025</v>
      </c>
      <c r="C6999" s="128">
        <f t="shared" si="325"/>
        <v>5</v>
      </c>
      <c r="D6999" s="136">
        <f t="shared" si="327"/>
        <v>22</v>
      </c>
      <c r="E6999" s="136">
        <f t="shared" si="326"/>
        <v>28</v>
      </c>
      <c r="F6999" s="128" t="s">
        <v>24</v>
      </c>
      <c r="G6999" s="128" t="str">
        <f>VLOOKUP(source[[#This Row],[lending_product_transform]],[3]Mapping!$B$4:$C$37,2,0)</f>
        <v>[Cake] - Cashloan</v>
      </c>
      <c r="H6999" s="128" t="str">
        <f>VLOOKUP(source[[#This Row],[lending_product_transform]],[3]Mapping!$B$3:$D$37,3,0)</f>
        <v>cashloan</v>
      </c>
      <c r="I6999" s="135">
        <v>5185296000</v>
      </c>
    </row>
    <row r="7000" spans="1:9" x14ac:dyDescent="0.2">
      <c r="A7000" s="134">
        <v>45805</v>
      </c>
      <c r="B7000" s="135">
        <f>YEAR(source[[#This Row],[report_date]])</f>
        <v>2025</v>
      </c>
      <c r="C7000" s="128">
        <f t="shared" si="325"/>
        <v>5</v>
      </c>
      <c r="D7000" s="136">
        <f t="shared" si="327"/>
        <v>22</v>
      </c>
      <c r="E7000" s="136">
        <f t="shared" si="326"/>
        <v>28</v>
      </c>
      <c r="F7000" s="128" t="s">
        <v>24</v>
      </c>
      <c r="G7000" s="128" t="str">
        <f>VLOOKUP(source[[#This Row],[lending_product_transform]],[3]Mapping!$B$4:$C$37,2,0)</f>
        <v>[Cake] - Cashloan</v>
      </c>
      <c r="H7000" s="128" t="str">
        <f>VLOOKUP(source[[#This Row],[lending_product_transform]],[3]Mapping!$B$3:$D$37,3,0)</f>
        <v>cashloan</v>
      </c>
      <c r="I7000" s="135">
        <v>407715786</v>
      </c>
    </row>
    <row r="7001" spans="1:9" x14ac:dyDescent="0.2">
      <c r="A7001" s="134">
        <v>45805</v>
      </c>
      <c r="B7001" s="135">
        <f>YEAR(source[[#This Row],[report_date]])</f>
        <v>2025</v>
      </c>
      <c r="C7001" s="128">
        <f t="shared" si="325"/>
        <v>5</v>
      </c>
      <c r="D7001" s="136">
        <f t="shared" si="327"/>
        <v>22</v>
      </c>
      <c r="E7001" s="136">
        <f t="shared" si="326"/>
        <v>28</v>
      </c>
      <c r="F7001" s="128" t="s">
        <v>24</v>
      </c>
      <c r="G7001" s="128" t="str">
        <f>VLOOKUP(source[[#This Row],[lending_product_transform]],[3]Mapping!$B$4:$C$37,2,0)</f>
        <v>[Cake] - Cashloan</v>
      </c>
      <c r="H7001" s="128" t="str">
        <f>VLOOKUP(source[[#This Row],[lending_product_transform]],[3]Mapping!$B$3:$D$37,3,0)</f>
        <v>cashloan</v>
      </c>
      <c r="I7001" s="135">
        <v>0</v>
      </c>
    </row>
    <row r="7002" spans="1:9" x14ac:dyDescent="0.2">
      <c r="A7002" s="134">
        <v>45805</v>
      </c>
      <c r="B7002" s="135">
        <f>YEAR(source[[#This Row],[report_date]])</f>
        <v>2025</v>
      </c>
      <c r="C7002" s="128">
        <f t="shared" si="325"/>
        <v>5</v>
      </c>
      <c r="D7002" s="136">
        <f t="shared" si="327"/>
        <v>22</v>
      </c>
      <c r="E7002" s="136">
        <f t="shared" si="326"/>
        <v>28</v>
      </c>
      <c r="F7002" s="128" t="s">
        <v>24</v>
      </c>
      <c r="G7002" s="128" t="str">
        <f>VLOOKUP(source[[#This Row],[lending_product_transform]],[3]Mapping!$B$4:$C$37,2,0)</f>
        <v>[Cake] - Cashloan</v>
      </c>
      <c r="H7002" s="128" t="str">
        <f>VLOOKUP(source[[#This Row],[lending_product_transform]],[3]Mapping!$B$3:$D$37,3,0)</f>
        <v>cashloan</v>
      </c>
      <c r="I7002" s="135">
        <v>724040000</v>
      </c>
    </row>
    <row r="7003" spans="1:9" x14ac:dyDescent="0.2">
      <c r="A7003" s="134">
        <v>45806</v>
      </c>
      <c r="B7003" s="135">
        <f>YEAR(source[[#This Row],[report_date]])</f>
        <v>2025</v>
      </c>
      <c r="C7003" s="128">
        <f t="shared" si="325"/>
        <v>5</v>
      </c>
      <c r="D7003" s="136">
        <f t="shared" si="327"/>
        <v>22</v>
      </c>
      <c r="E7003" s="136">
        <f t="shared" si="326"/>
        <v>29</v>
      </c>
      <c r="F7003" s="128" t="s">
        <v>24</v>
      </c>
      <c r="G7003" s="128" t="str">
        <f>VLOOKUP(source[[#This Row],[lending_product_transform]],[3]Mapping!$B$4:$C$37,2,0)</f>
        <v>[Cake] - Cashloan</v>
      </c>
      <c r="H7003" s="128" t="str">
        <f>VLOOKUP(source[[#This Row],[lending_product_transform]],[3]Mapping!$B$3:$D$37,3,0)</f>
        <v>cashloan</v>
      </c>
      <c r="I7003" s="135">
        <v>6905690000</v>
      </c>
    </row>
    <row r="7004" spans="1:9" x14ac:dyDescent="0.2">
      <c r="A7004" s="134">
        <v>45806</v>
      </c>
      <c r="B7004" s="135">
        <f>YEAR(source[[#This Row],[report_date]])</f>
        <v>2025</v>
      </c>
      <c r="C7004" s="128">
        <f t="shared" si="325"/>
        <v>5</v>
      </c>
      <c r="D7004" s="136">
        <f t="shared" si="327"/>
        <v>22</v>
      </c>
      <c r="E7004" s="136">
        <f t="shared" si="326"/>
        <v>29</v>
      </c>
      <c r="F7004" s="128" t="s">
        <v>24</v>
      </c>
      <c r="G7004" s="128" t="str">
        <f>VLOOKUP(source[[#This Row],[lending_product_transform]],[3]Mapping!$B$4:$C$37,2,0)</f>
        <v>[Cake] - Cashloan</v>
      </c>
      <c r="H7004" s="128" t="str">
        <f>VLOOKUP(source[[#This Row],[lending_product_transform]],[3]Mapping!$B$3:$D$37,3,0)</f>
        <v>cashloan</v>
      </c>
      <c r="I7004" s="135">
        <v>5380668000</v>
      </c>
    </row>
    <row r="7005" spans="1:9" x14ac:dyDescent="0.2">
      <c r="A7005" s="134">
        <v>45806</v>
      </c>
      <c r="B7005" s="135">
        <f>YEAR(source[[#This Row],[report_date]])</f>
        <v>2025</v>
      </c>
      <c r="C7005" s="128">
        <f t="shared" si="325"/>
        <v>5</v>
      </c>
      <c r="D7005" s="136">
        <f t="shared" si="327"/>
        <v>22</v>
      </c>
      <c r="E7005" s="136">
        <f t="shared" si="326"/>
        <v>29</v>
      </c>
      <c r="F7005" s="128" t="s">
        <v>24</v>
      </c>
      <c r="G7005" s="128" t="str">
        <f>VLOOKUP(source[[#This Row],[lending_product_transform]],[3]Mapping!$B$4:$C$37,2,0)</f>
        <v>[Cake] - Cashloan</v>
      </c>
      <c r="H7005" s="128" t="str">
        <f>VLOOKUP(source[[#This Row],[lending_product_transform]],[3]Mapping!$B$3:$D$37,3,0)</f>
        <v>cashloan</v>
      </c>
      <c r="I7005" s="135">
        <v>6269210000</v>
      </c>
    </row>
    <row r="7006" spans="1:9" x14ac:dyDescent="0.2">
      <c r="A7006" s="134">
        <v>45806</v>
      </c>
      <c r="B7006" s="135">
        <f>YEAR(source[[#This Row],[report_date]])</f>
        <v>2025</v>
      </c>
      <c r="C7006" s="128">
        <f t="shared" si="325"/>
        <v>5</v>
      </c>
      <c r="D7006" s="136">
        <f t="shared" si="327"/>
        <v>22</v>
      </c>
      <c r="E7006" s="136">
        <f t="shared" si="326"/>
        <v>29</v>
      </c>
      <c r="F7006" s="128" t="s">
        <v>24</v>
      </c>
      <c r="G7006" s="128" t="str">
        <f>VLOOKUP(source[[#This Row],[lending_product_transform]],[3]Mapping!$B$4:$C$37,2,0)</f>
        <v>[Cake] - Cashloan</v>
      </c>
      <c r="H7006" s="128" t="str">
        <f>VLOOKUP(source[[#This Row],[lending_product_transform]],[3]Mapping!$B$3:$D$37,3,0)</f>
        <v>cashloan</v>
      </c>
      <c r="I7006" s="135">
        <v>0</v>
      </c>
    </row>
    <row r="7007" spans="1:9" x14ac:dyDescent="0.2">
      <c r="A7007" s="134">
        <v>45806</v>
      </c>
      <c r="B7007" s="135">
        <f>YEAR(source[[#This Row],[report_date]])</f>
        <v>2025</v>
      </c>
      <c r="C7007" s="128">
        <f t="shared" si="325"/>
        <v>5</v>
      </c>
      <c r="D7007" s="136">
        <f t="shared" si="327"/>
        <v>22</v>
      </c>
      <c r="E7007" s="136">
        <f t="shared" si="326"/>
        <v>29</v>
      </c>
      <c r="F7007" s="128" t="s">
        <v>24</v>
      </c>
      <c r="G7007" s="128" t="str">
        <f>VLOOKUP(source[[#This Row],[lending_product_transform]],[3]Mapping!$B$4:$C$37,2,0)</f>
        <v>[Cake] - Cashloan</v>
      </c>
      <c r="H7007" s="128" t="str">
        <f>VLOOKUP(source[[#This Row],[lending_product_transform]],[3]Mapping!$B$3:$D$37,3,0)</f>
        <v>cashloan</v>
      </c>
      <c r="I7007" s="135">
        <v>31338616</v>
      </c>
    </row>
    <row r="7008" spans="1:9" x14ac:dyDescent="0.2">
      <c r="A7008" s="134">
        <v>45806</v>
      </c>
      <c r="B7008" s="135">
        <f>YEAR(source[[#This Row],[report_date]])</f>
        <v>2025</v>
      </c>
      <c r="C7008" s="128">
        <f t="shared" si="325"/>
        <v>5</v>
      </c>
      <c r="D7008" s="136">
        <f t="shared" si="327"/>
        <v>22</v>
      </c>
      <c r="E7008" s="136">
        <f t="shared" si="326"/>
        <v>29</v>
      </c>
      <c r="F7008" s="128" t="s">
        <v>24</v>
      </c>
      <c r="G7008" s="128" t="str">
        <f>VLOOKUP(source[[#This Row],[lending_product_transform]],[3]Mapping!$B$4:$C$37,2,0)</f>
        <v>[Cake] - Cashloan</v>
      </c>
      <c r="H7008" s="128" t="str">
        <f>VLOOKUP(source[[#This Row],[lending_product_transform]],[3]Mapping!$B$3:$D$37,3,0)</f>
        <v>cashloan</v>
      </c>
      <c r="I7008" s="135">
        <v>0</v>
      </c>
    </row>
    <row r="7009" spans="1:9" x14ac:dyDescent="0.2">
      <c r="A7009" s="134">
        <v>45806</v>
      </c>
      <c r="B7009" s="135">
        <f>YEAR(source[[#This Row],[report_date]])</f>
        <v>2025</v>
      </c>
      <c r="C7009" s="128">
        <f t="shared" si="325"/>
        <v>5</v>
      </c>
      <c r="D7009" s="136">
        <f t="shared" si="327"/>
        <v>22</v>
      </c>
      <c r="E7009" s="136">
        <f t="shared" si="326"/>
        <v>29</v>
      </c>
      <c r="F7009" s="128" t="s">
        <v>24</v>
      </c>
      <c r="G7009" s="128" t="str">
        <f>VLOOKUP(source[[#This Row],[lending_product_transform]],[3]Mapping!$B$4:$C$37,2,0)</f>
        <v>[Cake] - Cashloan</v>
      </c>
      <c r="H7009" s="128" t="str">
        <f>VLOOKUP(source[[#This Row],[lending_product_transform]],[3]Mapping!$B$3:$D$37,3,0)</f>
        <v>cashloan</v>
      </c>
      <c r="I7009" s="135">
        <v>0</v>
      </c>
    </row>
    <row r="7010" spans="1:9" x14ac:dyDescent="0.2">
      <c r="A7010" s="134">
        <v>45806</v>
      </c>
      <c r="B7010" s="135">
        <f>YEAR(source[[#This Row],[report_date]])</f>
        <v>2025</v>
      </c>
      <c r="C7010" s="128">
        <f t="shared" si="325"/>
        <v>5</v>
      </c>
      <c r="D7010" s="136">
        <f t="shared" si="327"/>
        <v>22</v>
      </c>
      <c r="E7010" s="136">
        <f t="shared" si="326"/>
        <v>29</v>
      </c>
      <c r="F7010" s="128" t="s">
        <v>24</v>
      </c>
      <c r="G7010" s="128" t="str">
        <f>VLOOKUP(source[[#This Row],[lending_product_transform]],[3]Mapping!$B$4:$C$37,2,0)</f>
        <v>[Cake] - Cashloan</v>
      </c>
      <c r="H7010" s="128" t="str">
        <f>VLOOKUP(source[[#This Row],[lending_product_transform]],[3]Mapping!$B$3:$D$37,3,0)</f>
        <v>cashloan</v>
      </c>
      <c r="I7010" s="135">
        <v>42000000</v>
      </c>
    </row>
    <row r="7011" spans="1:9" x14ac:dyDescent="0.2">
      <c r="A7011" s="134">
        <v>45806</v>
      </c>
      <c r="B7011" s="135">
        <f>YEAR(source[[#This Row],[report_date]])</f>
        <v>2025</v>
      </c>
      <c r="C7011" s="128">
        <f t="shared" si="325"/>
        <v>5</v>
      </c>
      <c r="D7011" s="136">
        <f t="shared" si="327"/>
        <v>22</v>
      </c>
      <c r="E7011" s="136">
        <f t="shared" si="326"/>
        <v>29</v>
      </c>
      <c r="F7011" s="128" t="s">
        <v>24</v>
      </c>
      <c r="G7011" s="128" t="str">
        <f>VLOOKUP(source[[#This Row],[lending_product_transform]],[3]Mapping!$B$4:$C$37,2,0)</f>
        <v>[Cake] - Cashloan</v>
      </c>
      <c r="H7011" s="128" t="str">
        <f>VLOOKUP(source[[#This Row],[lending_product_transform]],[3]Mapping!$B$3:$D$37,3,0)</f>
        <v>cashloan</v>
      </c>
      <c r="I7011" s="135">
        <v>34000000</v>
      </c>
    </row>
    <row r="7012" spans="1:9" x14ac:dyDescent="0.2">
      <c r="A7012" s="134">
        <v>45806</v>
      </c>
      <c r="B7012" s="135">
        <f>YEAR(source[[#This Row],[report_date]])</f>
        <v>2025</v>
      </c>
      <c r="C7012" s="128">
        <f t="shared" si="325"/>
        <v>5</v>
      </c>
      <c r="D7012" s="136">
        <f t="shared" si="327"/>
        <v>22</v>
      </c>
      <c r="E7012" s="136">
        <f t="shared" si="326"/>
        <v>29</v>
      </c>
      <c r="F7012" s="128" t="s">
        <v>24</v>
      </c>
      <c r="G7012" s="128" t="str">
        <f>VLOOKUP(source[[#This Row],[lending_product_transform]],[3]Mapping!$B$4:$C$37,2,0)</f>
        <v>[Cake] - Cashloan</v>
      </c>
      <c r="H7012" s="128" t="str">
        <f>VLOOKUP(source[[#This Row],[lending_product_transform]],[3]Mapping!$B$3:$D$37,3,0)</f>
        <v>cashloan</v>
      </c>
      <c r="I7012" s="135">
        <v>1795000000</v>
      </c>
    </row>
    <row r="7013" spans="1:9" x14ac:dyDescent="0.2">
      <c r="A7013" s="134">
        <v>45806</v>
      </c>
      <c r="B7013" s="135">
        <f>YEAR(source[[#This Row],[report_date]])</f>
        <v>2025</v>
      </c>
      <c r="C7013" s="128">
        <f t="shared" si="325"/>
        <v>5</v>
      </c>
      <c r="D7013" s="136">
        <f t="shared" si="327"/>
        <v>22</v>
      </c>
      <c r="E7013" s="136">
        <f t="shared" si="326"/>
        <v>29</v>
      </c>
      <c r="F7013" s="128" t="s">
        <v>24</v>
      </c>
      <c r="G7013" s="128" t="str">
        <f>VLOOKUP(source[[#This Row],[lending_product_transform]],[3]Mapping!$B$4:$C$37,2,0)</f>
        <v>[Cake] - Cashloan</v>
      </c>
      <c r="H7013" s="128" t="str">
        <f>VLOOKUP(source[[#This Row],[lending_product_transform]],[3]Mapping!$B$3:$D$37,3,0)</f>
        <v>cashloan</v>
      </c>
      <c r="I7013" s="135">
        <v>0</v>
      </c>
    </row>
    <row r="7014" spans="1:9" x14ac:dyDescent="0.2">
      <c r="A7014" s="134">
        <v>45806</v>
      </c>
      <c r="B7014" s="135">
        <f>YEAR(source[[#This Row],[report_date]])</f>
        <v>2025</v>
      </c>
      <c r="C7014" s="128">
        <f t="shared" si="325"/>
        <v>5</v>
      </c>
      <c r="D7014" s="136">
        <f t="shared" si="327"/>
        <v>22</v>
      </c>
      <c r="E7014" s="136">
        <f t="shared" si="326"/>
        <v>29</v>
      </c>
      <c r="F7014" s="128" t="s">
        <v>24</v>
      </c>
      <c r="G7014" s="128" t="str">
        <f>VLOOKUP(source[[#This Row],[lending_product_transform]],[3]Mapping!$B$4:$C$37,2,0)</f>
        <v>[Cake] - Cashloan</v>
      </c>
      <c r="H7014" s="128" t="str">
        <f>VLOOKUP(source[[#This Row],[lending_product_transform]],[3]Mapping!$B$3:$D$37,3,0)</f>
        <v>cashloan</v>
      </c>
      <c r="I7014" s="135">
        <v>545540000</v>
      </c>
    </row>
    <row r="7015" spans="1:9" x14ac:dyDescent="0.2">
      <c r="A7015" s="134">
        <v>45806</v>
      </c>
      <c r="B7015" s="135">
        <f>YEAR(source[[#This Row],[report_date]])</f>
        <v>2025</v>
      </c>
      <c r="C7015" s="128">
        <f t="shared" si="325"/>
        <v>5</v>
      </c>
      <c r="D7015" s="136">
        <f t="shared" si="327"/>
        <v>22</v>
      </c>
      <c r="E7015" s="136">
        <f t="shared" si="326"/>
        <v>29</v>
      </c>
      <c r="F7015" s="128" t="s">
        <v>24</v>
      </c>
      <c r="G7015" s="128" t="str">
        <f>VLOOKUP(source[[#This Row],[lending_product_transform]],[3]Mapping!$B$4:$C$37,2,0)</f>
        <v>[Cake] - Cashloan</v>
      </c>
      <c r="H7015" s="128" t="str">
        <f>VLOOKUP(source[[#This Row],[lending_product_transform]],[3]Mapping!$B$3:$D$37,3,0)</f>
        <v>cashloan</v>
      </c>
      <c r="I7015" s="135">
        <v>0</v>
      </c>
    </row>
    <row r="7016" spans="1:9" x14ac:dyDescent="0.2">
      <c r="A7016" s="134">
        <v>45806</v>
      </c>
      <c r="B7016" s="135">
        <f>YEAR(source[[#This Row],[report_date]])</f>
        <v>2025</v>
      </c>
      <c r="C7016" s="128">
        <f t="shared" si="325"/>
        <v>5</v>
      </c>
      <c r="D7016" s="136">
        <f t="shared" si="327"/>
        <v>22</v>
      </c>
      <c r="E7016" s="136">
        <f t="shared" si="326"/>
        <v>29</v>
      </c>
      <c r="F7016" s="128" t="s">
        <v>24</v>
      </c>
      <c r="G7016" s="128" t="str">
        <f>VLOOKUP(source[[#This Row],[lending_product_transform]],[3]Mapping!$B$4:$C$37,2,0)</f>
        <v>[Cake] - Cashloan</v>
      </c>
      <c r="H7016" s="128" t="str">
        <f>VLOOKUP(source[[#This Row],[lending_product_transform]],[3]Mapping!$B$3:$D$37,3,0)</f>
        <v>cashloan</v>
      </c>
      <c r="I7016" s="135">
        <v>0</v>
      </c>
    </row>
    <row r="7017" spans="1:9" x14ac:dyDescent="0.2">
      <c r="A7017" s="134">
        <v>45806</v>
      </c>
      <c r="B7017" s="135">
        <f>YEAR(source[[#This Row],[report_date]])</f>
        <v>2025</v>
      </c>
      <c r="C7017" s="128">
        <f t="shared" si="325"/>
        <v>5</v>
      </c>
      <c r="D7017" s="136">
        <f t="shared" si="327"/>
        <v>22</v>
      </c>
      <c r="E7017" s="136">
        <f t="shared" si="326"/>
        <v>29</v>
      </c>
      <c r="F7017" s="128" t="s">
        <v>24</v>
      </c>
      <c r="G7017" s="128" t="str">
        <f>VLOOKUP(source[[#This Row],[lending_product_transform]],[3]Mapping!$B$4:$C$37,2,0)</f>
        <v>[Cake] - Cashloan</v>
      </c>
      <c r="H7017" s="128" t="str">
        <f>VLOOKUP(source[[#This Row],[lending_product_transform]],[3]Mapping!$B$3:$D$37,3,0)</f>
        <v>cashloan</v>
      </c>
      <c r="I7017" s="135">
        <v>1023930000</v>
      </c>
    </row>
    <row r="7018" spans="1:9" x14ac:dyDescent="0.2">
      <c r="A7018" s="134">
        <v>45806</v>
      </c>
      <c r="B7018" s="135">
        <f>YEAR(source[[#This Row],[report_date]])</f>
        <v>2025</v>
      </c>
      <c r="C7018" s="128">
        <f t="shared" si="325"/>
        <v>5</v>
      </c>
      <c r="D7018" s="136">
        <f t="shared" si="327"/>
        <v>22</v>
      </c>
      <c r="E7018" s="136">
        <f t="shared" si="326"/>
        <v>29</v>
      </c>
      <c r="F7018" s="128" t="s">
        <v>24</v>
      </c>
      <c r="G7018" s="128" t="str">
        <f>VLOOKUP(source[[#This Row],[lending_product_transform]],[3]Mapping!$B$4:$C$37,2,0)</f>
        <v>[Cake] - Cashloan</v>
      </c>
      <c r="H7018" s="128" t="str">
        <f>VLOOKUP(source[[#This Row],[lending_product_transform]],[3]Mapping!$B$3:$D$37,3,0)</f>
        <v>cashloan</v>
      </c>
      <c r="I7018" s="135">
        <v>274254467</v>
      </c>
    </row>
    <row r="7019" spans="1:9" x14ac:dyDescent="0.2">
      <c r="A7019" s="134">
        <v>45806</v>
      </c>
      <c r="B7019" s="135">
        <f>YEAR(source[[#This Row],[report_date]])</f>
        <v>2025</v>
      </c>
      <c r="C7019" s="128">
        <f t="shared" si="325"/>
        <v>5</v>
      </c>
      <c r="D7019" s="136">
        <f t="shared" si="327"/>
        <v>22</v>
      </c>
      <c r="E7019" s="136">
        <f t="shared" si="326"/>
        <v>29</v>
      </c>
      <c r="F7019" s="128" t="s">
        <v>24</v>
      </c>
      <c r="G7019" s="128" t="str">
        <f>VLOOKUP(source[[#This Row],[lending_product_transform]],[3]Mapping!$B$4:$C$37,2,0)</f>
        <v>[Cake] - Cashloan</v>
      </c>
      <c r="H7019" s="128" t="str">
        <f>VLOOKUP(source[[#This Row],[lending_product_transform]],[3]Mapping!$B$3:$D$37,3,0)</f>
        <v>cashloan</v>
      </c>
      <c r="I7019" s="135">
        <v>402335059</v>
      </c>
    </row>
    <row r="7020" spans="1:9" x14ac:dyDescent="0.2">
      <c r="A7020" s="134">
        <v>45806</v>
      </c>
      <c r="B7020" s="135">
        <f>YEAR(source[[#This Row],[report_date]])</f>
        <v>2025</v>
      </c>
      <c r="C7020" s="128">
        <f t="shared" si="325"/>
        <v>5</v>
      </c>
      <c r="D7020" s="136">
        <f t="shared" si="327"/>
        <v>22</v>
      </c>
      <c r="E7020" s="136">
        <f t="shared" si="326"/>
        <v>29</v>
      </c>
      <c r="F7020" s="128" t="s">
        <v>24</v>
      </c>
      <c r="G7020" s="128" t="str">
        <f>VLOOKUP(source[[#This Row],[lending_product_transform]],[3]Mapping!$B$4:$C$37,2,0)</f>
        <v>[Cake] - Cashloan</v>
      </c>
      <c r="H7020" s="128" t="str">
        <f>VLOOKUP(source[[#This Row],[lending_product_transform]],[3]Mapping!$B$3:$D$37,3,0)</f>
        <v>cashloan</v>
      </c>
      <c r="I7020" s="135">
        <v>3612979634</v>
      </c>
    </row>
    <row r="7021" spans="1:9" x14ac:dyDescent="0.2">
      <c r="A7021" s="134">
        <v>45806</v>
      </c>
      <c r="B7021" s="135">
        <f>YEAR(source[[#This Row],[report_date]])</f>
        <v>2025</v>
      </c>
      <c r="C7021" s="128">
        <f t="shared" si="325"/>
        <v>5</v>
      </c>
      <c r="D7021" s="136">
        <f t="shared" si="327"/>
        <v>22</v>
      </c>
      <c r="E7021" s="136">
        <f t="shared" si="326"/>
        <v>29</v>
      </c>
      <c r="F7021" s="128" t="s">
        <v>24</v>
      </c>
      <c r="G7021" s="128" t="str">
        <f>VLOOKUP(source[[#This Row],[lending_product_transform]],[3]Mapping!$B$4:$C$37,2,0)</f>
        <v>[Cake] - Cashloan</v>
      </c>
      <c r="H7021" s="128" t="str">
        <f>VLOOKUP(source[[#This Row],[lending_product_transform]],[3]Mapping!$B$3:$D$37,3,0)</f>
        <v>cashloan</v>
      </c>
      <c r="I7021" s="135">
        <v>302021970</v>
      </c>
    </row>
    <row r="7022" spans="1:9" x14ac:dyDescent="0.2">
      <c r="A7022" s="134">
        <v>45807</v>
      </c>
      <c r="B7022" s="135">
        <f>YEAR(source[[#This Row],[report_date]])</f>
        <v>2025</v>
      </c>
      <c r="C7022" s="128">
        <f t="shared" si="325"/>
        <v>5</v>
      </c>
      <c r="D7022" s="136">
        <f t="shared" si="327"/>
        <v>22</v>
      </c>
      <c r="E7022" s="136">
        <f t="shared" si="326"/>
        <v>30</v>
      </c>
      <c r="F7022" s="128" t="s">
        <v>24</v>
      </c>
      <c r="G7022" s="128" t="str">
        <f>VLOOKUP(source[[#This Row],[lending_product_transform]],[3]Mapping!$B$4:$C$37,2,0)</f>
        <v>[Cake] - Cashloan</v>
      </c>
      <c r="H7022" s="128" t="str">
        <f>VLOOKUP(source[[#This Row],[lending_product_transform]],[3]Mapping!$B$3:$D$37,3,0)</f>
        <v>cashloan</v>
      </c>
      <c r="I7022" s="135">
        <v>0</v>
      </c>
    </row>
    <row r="7023" spans="1:9" x14ac:dyDescent="0.2">
      <c r="A7023" s="134">
        <v>45807</v>
      </c>
      <c r="B7023" s="135">
        <f>YEAR(source[[#This Row],[report_date]])</f>
        <v>2025</v>
      </c>
      <c r="C7023" s="128">
        <f t="shared" si="325"/>
        <v>5</v>
      </c>
      <c r="D7023" s="136">
        <f t="shared" si="327"/>
        <v>22</v>
      </c>
      <c r="E7023" s="136">
        <f t="shared" si="326"/>
        <v>30</v>
      </c>
      <c r="F7023" s="128" t="s">
        <v>24</v>
      </c>
      <c r="G7023" s="128" t="str">
        <f>VLOOKUP(source[[#This Row],[lending_product_transform]],[3]Mapping!$B$4:$C$37,2,0)</f>
        <v>[Cake] - Cashloan</v>
      </c>
      <c r="H7023" s="128" t="str">
        <f>VLOOKUP(source[[#This Row],[lending_product_transform]],[3]Mapping!$B$3:$D$37,3,0)</f>
        <v>cashloan</v>
      </c>
      <c r="I7023" s="135">
        <v>770080000</v>
      </c>
    </row>
    <row r="7024" spans="1:9" x14ac:dyDescent="0.2">
      <c r="A7024" s="134">
        <v>45807</v>
      </c>
      <c r="B7024" s="135">
        <f>YEAR(source[[#This Row],[report_date]])</f>
        <v>2025</v>
      </c>
      <c r="C7024" s="128">
        <f t="shared" si="325"/>
        <v>5</v>
      </c>
      <c r="D7024" s="136">
        <f t="shared" si="327"/>
        <v>22</v>
      </c>
      <c r="E7024" s="136">
        <f t="shared" si="326"/>
        <v>30</v>
      </c>
      <c r="F7024" s="128" t="s">
        <v>24</v>
      </c>
      <c r="G7024" s="128" t="str">
        <f>VLOOKUP(source[[#This Row],[lending_product_transform]],[3]Mapping!$B$4:$C$37,2,0)</f>
        <v>[Cake] - Cashloan</v>
      </c>
      <c r="H7024" s="128" t="str">
        <f>VLOOKUP(source[[#This Row],[lending_product_transform]],[3]Mapping!$B$3:$D$37,3,0)</f>
        <v>cashloan</v>
      </c>
      <c r="I7024" s="135">
        <v>1681000000</v>
      </c>
    </row>
    <row r="7025" spans="1:9" x14ac:dyDescent="0.2">
      <c r="A7025" s="134">
        <v>45807</v>
      </c>
      <c r="B7025" s="135">
        <f>YEAR(source[[#This Row],[report_date]])</f>
        <v>2025</v>
      </c>
      <c r="C7025" s="128">
        <f t="shared" si="325"/>
        <v>5</v>
      </c>
      <c r="D7025" s="136">
        <f t="shared" si="327"/>
        <v>22</v>
      </c>
      <c r="E7025" s="136">
        <f t="shared" si="326"/>
        <v>30</v>
      </c>
      <c r="F7025" s="128" t="s">
        <v>24</v>
      </c>
      <c r="G7025" s="128" t="str">
        <f>VLOOKUP(source[[#This Row],[lending_product_transform]],[3]Mapping!$B$4:$C$37,2,0)</f>
        <v>[Cake] - Cashloan</v>
      </c>
      <c r="H7025" s="128" t="str">
        <f>VLOOKUP(source[[#This Row],[lending_product_transform]],[3]Mapping!$B$3:$D$37,3,0)</f>
        <v>cashloan</v>
      </c>
      <c r="I7025" s="135">
        <v>0</v>
      </c>
    </row>
    <row r="7026" spans="1:9" x14ac:dyDescent="0.2">
      <c r="A7026" s="134">
        <v>45807</v>
      </c>
      <c r="B7026" s="135">
        <f>YEAR(source[[#This Row],[report_date]])</f>
        <v>2025</v>
      </c>
      <c r="C7026" s="128">
        <f t="shared" si="325"/>
        <v>5</v>
      </c>
      <c r="D7026" s="136">
        <f t="shared" si="327"/>
        <v>22</v>
      </c>
      <c r="E7026" s="136">
        <f t="shared" si="326"/>
        <v>30</v>
      </c>
      <c r="F7026" s="128" t="s">
        <v>24</v>
      </c>
      <c r="G7026" s="128" t="str">
        <f>VLOOKUP(source[[#This Row],[lending_product_transform]],[3]Mapping!$B$4:$C$37,2,0)</f>
        <v>[Cake] - Cashloan</v>
      </c>
      <c r="H7026" s="128" t="str">
        <f>VLOOKUP(source[[#This Row],[lending_product_transform]],[3]Mapping!$B$3:$D$37,3,0)</f>
        <v>cashloan</v>
      </c>
      <c r="I7026" s="135">
        <v>476000</v>
      </c>
    </row>
    <row r="7027" spans="1:9" x14ac:dyDescent="0.2">
      <c r="A7027" s="134">
        <v>45807</v>
      </c>
      <c r="B7027" s="135">
        <f>YEAR(source[[#This Row],[report_date]])</f>
        <v>2025</v>
      </c>
      <c r="C7027" s="128">
        <f t="shared" si="325"/>
        <v>5</v>
      </c>
      <c r="D7027" s="136">
        <f t="shared" si="327"/>
        <v>22</v>
      </c>
      <c r="E7027" s="136">
        <f t="shared" si="326"/>
        <v>30</v>
      </c>
      <c r="F7027" s="128" t="s">
        <v>24</v>
      </c>
      <c r="G7027" s="128" t="str">
        <f>VLOOKUP(source[[#This Row],[lending_product_transform]],[3]Mapping!$B$4:$C$37,2,0)</f>
        <v>[Cake] - Cashloan</v>
      </c>
      <c r="H7027" s="128" t="str">
        <f>VLOOKUP(source[[#This Row],[lending_product_transform]],[3]Mapping!$B$3:$D$37,3,0)</f>
        <v>cashloan</v>
      </c>
      <c r="I7027" s="135">
        <v>6136850000</v>
      </c>
    </row>
    <row r="7028" spans="1:9" x14ac:dyDescent="0.2">
      <c r="A7028" s="134">
        <v>45807</v>
      </c>
      <c r="B7028" s="135">
        <f>YEAR(source[[#This Row],[report_date]])</f>
        <v>2025</v>
      </c>
      <c r="C7028" s="128">
        <f t="shared" si="325"/>
        <v>5</v>
      </c>
      <c r="D7028" s="136">
        <f t="shared" si="327"/>
        <v>22</v>
      </c>
      <c r="E7028" s="136">
        <f t="shared" si="326"/>
        <v>30</v>
      </c>
      <c r="F7028" s="128" t="s">
        <v>24</v>
      </c>
      <c r="G7028" s="128" t="str">
        <f>VLOOKUP(source[[#This Row],[lending_product_transform]],[3]Mapping!$B$4:$C$37,2,0)</f>
        <v>[Cake] - Cashloan</v>
      </c>
      <c r="H7028" s="128" t="str">
        <f>VLOOKUP(source[[#This Row],[lending_product_transform]],[3]Mapping!$B$3:$D$37,3,0)</f>
        <v>cashloan</v>
      </c>
      <c r="I7028" s="135">
        <v>16000000</v>
      </c>
    </row>
    <row r="7029" spans="1:9" x14ac:dyDescent="0.2">
      <c r="A7029" s="134">
        <v>45807</v>
      </c>
      <c r="B7029" s="135">
        <f>YEAR(source[[#This Row],[report_date]])</f>
        <v>2025</v>
      </c>
      <c r="C7029" s="128">
        <f t="shared" si="325"/>
        <v>5</v>
      </c>
      <c r="D7029" s="136">
        <f t="shared" si="327"/>
        <v>22</v>
      </c>
      <c r="E7029" s="136">
        <f t="shared" si="326"/>
        <v>30</v>
      </c>
      <c r="F7029" s="128" t="s">
        <v>24</v>
      </c>
      <c r="G7029" s="128" t="str">
        <f>VLOOKUP(source[[#This Row],[lending_product_transform]],[3]Mapping!$B$4:$C$37,2,0)</f>
        <v>[Cake] - Cashloan</v>
      </c>
      <c r="H7029" s="128" t="str">
        <f>VLOOKUP(source[[#This Row],[lending_product_transform]],[3]Mapping!$B$3:$D$37,3,0)</f>
        <v>cashloan</v>
      </c>
      <c r="I7029" s="135">
        <v>232554002</v>
      </c>
    </row>
    <row r="7030" spans="1:9" x14ac:dyDescent="0.2">
      <c r="A7030" s="134">
        <v>45807</v>
      </c>
      <c r="B7030" s="135">
        <f>YEAR(source[[#This Row],[report_date]])</f>
        <v>2025</v>
      </c>
      <c r="C7030" s="128">
        <f t="shared" ref="C7030:C7093" si="328">MONTH(A7030)</f>
        <v>5</v>
      </c>
      <c r="D7030" s="136">
        <f t="shared" si="327"/>
        <v>22</v>
      </c>
      <c r="E7030" s="136">
        <f t="shared" ref="E7030:E7093" si="329">DAY(A7030)</f>
        <v>30</v>
      </c>
      <c r="F7030" s="128" t="s">
        <v>24</v>
      </c>
      <c r="G7030" s="128" t="str">
        <f>VLOOKUP(source[[#This Row],[lending_product_transform]],[3]Mapping!$B$4:$C$37,2,0)</f>
        <v>[Cake] - Cashloan</v>
      </c>
      <c r="H7030" s="128" t="str">
        <f>VLOOKUP(source[[#This Row],[lending_product_transform]],[3]Mapping!$B$3:$D$37,3,0)</f>
        <v>cashloan</v>
      </c>
      <c r="I7030" s="135">
        <v>516091104</v>
      </c>
    </row>
    <row r="7031" spans="1:9" x14ac:dyDescent="0.2">
      <c r="A7031" s="134">
        <v>45807</v>
      </c>
      <c r="B7031" s="135">
        <f>YEAR(source[[#This Row],[report_date]])</f>
        <v>2025</v>
      </c>
      <c r="C7031" s="128">
        <f t="shared" si="328"/>
        <v>5</v>
      </c>
      <c r="D7031" s="136">
        <f t="shared" si="327"/>
        <v>22</v>
      </c>
      <c r="E7031" s="136">
        <f t="shared" si="329"/>
        <v>30</v>
      </c>
      <c r="F7031" s="128" t="s">
        <v>24</v>
      </c>
      <c r="G7031" s="128" t="str">
        <f>VLOOKUP(source[[#This Row],[lending_product_transform]],[3]Mapping!$B$4:$C$37,2,0)</f>
        <v>[Cake] - Cashloan</v>
      </c>
      <c r="H7031" s="128" t="str">
        <f>VLOOKUP(source[[#This Row],[lending_product_transform]],[3]Mapping!$B$3:$D$37,3,0)</f>
        <v>cashloan</v>
      </c>
      <c r="I7031" s="135">
        <v>4186991628</v>
      </c>
    </row>
    <row r="7032" spans="1:9" x14ac:dyDescent="0.2">
      <c r="A7032" s="134">
        <v>45807</v>
      </c>
      <c r="B7032" s="135">
        <f>YEAR(source[[#This Row],[report_date]])</f>
        <v>2025</v>
      </c>
      <c r="C7032" s="128">
        <f t="shared" si="328"/>
        <v>5</v>
      </c>
      <c r="D7032" s="136">
        <f t="shared" si="327"/>
        <v>22</v>
      </c>
      <c r="E7032" s="136">
        <f t="shared" si="329"/>
        <v>30</v>
      </c>
      <c r="F7032" s="128" t="s">
        <v>24</v>
      </c>
      <c r="G7032" s="128" t="str">
        <f>VLOOKUP(source[[#This Row],[lending_product_transform]],[3]Mapping!$B$4:$C$37,2,0)</f>
        <v>[Cake] - Cashloan</v>
      </c>
      <c r="H7032" s="128" t="str">
        <f>VLOOKUP(source[[#This Row],[lending_product_transform]],[3]Mapping!$B$3:$D$37,3,0)</f>
        <v>cashloan</v>
      </c>
      <c r="I7032" s="135">
        <v>1253720000</v>
      </c>
    </row>
    <row r="7033" spans="1:9" x14ac:dyDescent="0.2">
      <c r="A7033" s="134">
        <v>45807</v>
      </c>
      <c r="B7033" s="135">
        <f>YEAR(source[[#This Row],[report_date]])</f>
        <v>2025</v>
      </c>
      <c r="C7033" s="128">
        <f t="shared" si="328"/>
        <v>5</v>
      </c>
      <c r="D7033" s="136">
        <f t="shared" si="327"/>
        <v>22</v>
      </c>
      <c r="E7033" s="136">
        <f t="shared" si="329"/>
        <v>30</v>
      </c>
      <c r="F7033" s="128" t="s">
        <v>24</v>
      </c>
      <c r="G7033" s="128" t="str">
        <f>VLOOKUP(source[[#This Row],[lending_product_transform]],[3]Mapping!$B$4:$C$37,2,0)</f>
        <v>[Cake] - Cashloan</v>
      </c>
      <c r="H7033" s="128" t="str">
        <f>VLOOKUP(source[[#This Row],[lending_product_transform]],[3]Mapping!$B$3:$D$37,3,0)</f>
        <v>cashloan</v>
      </c>
      <c r="I7033" s="135">
        <v>321522364</v>
      </c>
    </row>
    <row r="7034" spans="1:9" x14ac:dyDescent="0.2">
      <c r="A7034" s="134">
        <v>45807</v>
      </c>
      <c r="B7034" s="135">
        <f>YEAR(source[[#This Row],[report_date]])</f>
        <v>2025</v>
      </c>
      <c r="C7034" s="128">
        <f t="shared" si="328"/>
        <v>5</v>
      </c>
      <c r="D7034" s="136">
        <f t="shared" si="327"/>
        <v>22</v>
      </c>
      <c r="E7034" s="136">
        <f t="shared" si="329"/>
        <v>30</v>
      </c>
      <c r="F7034" s="128" t="s">
        <v>24</v>
      </c>
      <c r="G7034" s="128" t="str">
        <f>VLOOKUP(source[[#This Row],[lending_product_transform]],[3]Mapping!$B$4:$C$37,2,0)</f>
        <v>[Cake] - Cashloan</v>
      </c>
      <c r="H7034" s="128" t="str">
        <f>VLOOKUP(source[[#This Row],[lending_product_transform]],[3]Mapping!$B$3:$D$37,3,0)</f>
        <v>cashloan</v>
      </c>
      <c r="I7034" s="135">
        <v>7414200000</v>
      </c>
    </row>
    <row r="7035" spans="1:9" x14ac:dyDescent="0.2">
      <c r="A7035" s="134">
        <v>45807</v>
      </c>
      <c r="B7035" s="135">
        <f>YEAR(source[[#This Row],[report_date]])</f>
        <v>2025</v>
      </c>
      <c r="C7035" s="128">
        <f t="shared" si="328"/>
        <v>5</v>
      </c>
      <c r="D7035" s="136">
        <f t="shared" si="327"/>
        <v>22</v>
      </c>
      <c r="E7035" s="136">
        <f t="shared" si="329"/>
        <v>30</v>
      </c>
      <c r="F7035" s="128" t="s">
        <v>24</v>
      </c>
      <c r="G7035" s="128" t="str">
        <f>VLOOKUP(source[[#This Row],[lending_product_transform]],[3]Mapping!$B$4:$C$37,2,0)</f>
        <v>[Cake] - Cashloan</v>
      </c>
      <c r="H7035" s="128" t="str">
        <f>VLOOKUP(source[[#This Row],[lending_product_transform]],[3]Mapping!$B$3:$D$37,3,0)</f>
        <v>cashloan</v>
      </c>
      <c r="I7035" s="135">
        <v>5836320000</v>
      </c>
    </row>
    <row r="7036" spans="1:9" x14ac:dyDescent="0.2">
      <c r="A7036" s="134">
        <v>45807</v>
      </c>
      <c r="B7036" s="135">
        <f>YEAR(source[[#This Row],[report_date]])</f>
        <v>2025</v>
      </c>
      <c r="C7036" s="128">
        <f t="shared" si="328"/>
        <v>5</v>
      </c>
      <c r="D7036" s="136">
        <f t="shared" si="327"/>
        <v>22</v>
      </c>
      <c r="E7036" s="136">
        <f t="shared" si="329"/>
        <v>30</v>
      </c>
      <c r="F7036" s="128" t="s">
        <v>24</v>
      </c>
      <c r="G7036" s="128" t="str">
        <f>VLOOKUP(source[[#This Row],[lending_product_transform]],[3]Mapping!$B$4:$C$37,2,0)</f>
        <v>[Cake] - Cashloan</v>
      </c>
      <c r="H7036" s="128" t="str">
        <f>VLOOKUP(source[[#This Row],[lending_product_transform]],[3]Mapping!$B$3:$D$37,3,0)</f>
        <v>cashloan</v>
      </c>
      <c r="I7036" s="135">
        <v>25000000</v>
      </c>
    </row>
    <row r="7037" spans="1:9" x14ac:dyDescent="0.2">
      <c r="A7037" s="134">
        <v>45807</v>
      </c>
      <c r="B7037" s="135">
        <f>YEAR(source[[#This Row],[report_date]])</f>
        <v>2025</v>
      </c>
      <c r="C7037" s="128">
        <f t="shared" si="328"/>
        <v>5</v>
      </c>
      <c r="D7037" s="136">
        <f t="shared" si="327"/>
        <v>22</v>
      </c>
      <c r="E7037" s="136">
        <f t="shared" si="329"/>
        <v>30</v>
      </c>
      <c r="F7037" s="128" t="s">
        <v>24</v>
      </c>
      <c r="G7037" s="128" t="str">
        <f>VLOOKUP(source[[#This Row],[lending_product_transform]],[3]Mapping!$B$4:$C$37,2,0)</f>
        <v>[Cake] - Cashloan</v>
      </c>
      <c r="H7037" s="128" t="str">
        <f>VLOOKUP(source[[#This Row],[lending_product_transform]],[3]Mapping!$B$3:$D$37,3,0)</f>
        <v>cashloan</v>
      </c>
      <c r="I7037" s="135">
        <v>56386972</v>
      </c>
    </row>
    <row r="7038" spans="1:9" x14ac:dyDescent="0.2">
      <c r="A7038" s="134">
        <v>45807</v>
      </c>
      <c r="B7038" s="135">
        <f>YEAR(source[[#This Row],[report_date]])</f>
        <v>2025</v>
      </c>
      <c r="C7038" s="128">
        <f t="shared" si="328"/>
        <v>5</v>
      </c>
      <c r="D7038" s="136">
        <f t="shared" si="327"/>
        <v>22</v>
      </c>
      <c r="E7038" s="136">
        <f t="shared" si="329"/>
        <v>30</v>
      </c>
      <c r="F7038" s="128" t="s">
        <v>24</v>
      </c>
      <c r="G7038" s="128" t="str">
        <f>VLOOKUP(source[[#This Row],[lending_product_transform]],[3]Mapping!$B$4:$C$37,2,0)</f>
        <v>[Cake] - Cashloan</v>
      </c>
      <c r="H7038" s="128" t="str">
        <f>VLOOKUP(source[[#This Row],[lending_product_transform]],[3]Mapping!$B$3:$D$37,3,0)</f>
        <v>cashloan</v>
      </c>
      <c r="I7038" s="135">
        <v>0</v>
      </c>
    </row>
    <row r="7039" spans="1:9" x14ac:dyDescent="0.2">
      <c r="A7039" s="134">
        <v>45807</v>
      </c>
      <c r="B7039" s="135">
        <f>YEAR(source[[#This Row],[report_date]])</f>
        <v>2025</v>
      </c>
      <c r="C7039" s="128">
        <f t="shared" si="328"/>
        <v>5</v>
      </c>
      <c r="D7039" s="136">
        <f t="shared" si="327"/>
        <v>22</v>
      </c>
      <c r="E7039" s="136">
        <f t="shared" si="329"/>
        <v>30</v>
      </c>
      <c r="F7039" s="128" t="s">
        <v>24</v>
      </c>
      <c r="G7039" s="128" t="str">
        <f>VLOOKUP(source[[#This Row],[lending_product_transform]],[3]Mapping!$B$4:$C$37,2,0)</f>
        <v>[Cake] - Cashloan</v>
      </c>
      <c r="H7039" s="128" t="str">
        <f>VLOOKUP(source[[#This Row],[lending_product_transform]],[3]Mapping!$B$3:$D$37,3,0)</f>
        <v>cashloan</v>
      </c>
      <c r="I7039" s="135">
        <v>0</v>
      </c>
    </row>
    <row r="7040" spans="1:9" x14ac:dyDescent="0.2">
      <c r="A7040" s="134">
        <v>45807</v>
      </c>
      <c r="B7040" s="135">
        <f>YEAR(source[[#This Row],[report_date]])</f>
        <v>2025</v>
      </c>
      <c r="C7040" s="128">
        <f t="shared" si="328"/>
        <v>5</v>
      </c>
      <c r="D7040" s="136">
        <f t="shared" si="327"/>
        <v>22</v>
      </c>
      <c r="E7040" s="136">
        <f t="shared" si="329"/>
        <v>30</v>
      </c>
      <c r="F7040" s="128" t="s">
        <v>24</v>
      </c>
      <c r="G7040" s="128" t="str">
        <f>VLOOKUP(source[[#This Row],[lending_product_transform]],[3]Mapping!$B$4:$C$37,2,0)</f>
        <v>[Cake] - Cashloan</v>
      </c>
      <c r="H7040" s="128" t="str">
        <f>VLOOKUP(source[[#This Row],[lending_product_transform]],[3]Mapping!$B$3:$D$37,3,0)</f>
        <v>cashloan</v>
      </c>
      <c r="I7040" s="135">
        <v>42000000</v>
      </c>
    </row>
    <row r="7041" spans="1:9" x14ac:dyDescent="0.2">
      <c r="A7041" s="134">
        <v>45808</v>
      </c>
      <c r="B7041" s="135">
        <f>YEAR(source[[#This Row],[report_date]])</f>
        <v>2025</v>
      </c>
      <c r="C7041" s="128">
        <f t="shared" si="328"/>
        <v>5</v>
      </c>
      <c r="D7041" s="136">
        <f t="shared" si="327"/>
        <v>22</v>
      </c>
      <c r="E7041" s="136">
        <f t="shared" si="329"/>
        <v>31</v>
      </c>
      <c r="F7041" s="128" t="s">
        <v>24</v>
      </c>
      <c r="G7041" s="128" t="str">
        <f>VLOOKUP(source[[#This Row],[lending_product_transform]],[3]Mapping!$B$4:$C$37,2,0)</f>
        <v>[Cake] - Cashloan</v>
      </c>
      <c r="H7041" s="128" t="str">
        <f>VLOOKUP(source[[#This Row],[lending_product_transform]],[3]Mapping!$B$3:$D$37,3,0)</f>
        <v>cashloan</v>
      </c>
      <c r="I7041" s="135">
        <v>0</v>
      </c>
    </row>
    <row r="7042" spans="1:9" x14ac:dyDescent="0.2">
      <c r="A7042" s="134">
        <v>45808</v>
      </c>
      <c r="B7042" s="135">
        <f>YEAR(source[[#This Row],[report_date]])</f>
        <v>2025</v>
      </c>
      <c r="C7042" s="128">
        <f t="shared" si="328"/>
        <v>5</v>
      </c>
      <c r="D7042" s="136">
        <f t="shared" si="327"/>
        <v>22</v>
      </c>
      <c r="E7042" s="136">
        <f t="shared" si="329"/>
        <v>31</v>
      </c>
      <c r="F7042" s="128" t="s">
        <v>24</v>
      </c>
      <c r="G7042" s="128" t="str">
        <f>VLOOKUP(source[[#This Row],[lending_product_transform]],[3]Mapping!$B$4:$C$37,2,0)</f>
        <v>[Cake] - Cashloan</v>
      </c>
      <c r="H7042" s="128" t="str">
        <f>VLOOKUP(source[[#This Row],[lending_product_transform]],[3]Mapping!$B$3:$D$37,3,0)</f>
        <v>cashloan</v>
      </c>
      <c r="I7042" s="135">
        <v>5492880000</v>
      </c>
    </row>
    <row r="7043" spans="1:9" x14ac:dyDescent="0.2">
      <c r="A7043" s="134">
        <v>45808</v>
      </c>
      <c r="B7043" s="135">
        <f>YEAR(source[[#This Row],[report_date]])</f>
        <v>2025</v>
      </c>
      <c r="C7043" s="128">
        <f t="shared" si="328"/>
        <v>5</v>
      </c>
      <c r="D7043" s="136">
        <f t="shared" ref="D7043:D7106" si="330">WEEKNUM(A7043,2)</f>
        <v>22</v>
      </c>
      <c r="E7043" s="136">
        <f t="shared" si="329"/>
        <v>31</v>
      </c>
      <c r="F7043" s="128" t="s">
        <v>24</v>
      </c>
      <c r="G7043" s="128" t="str">
        <f>VLOOKUP(source[[#This Row],[lending_product_transform]],[3]Mapping!$B$4:$C$37,2,0)</f>
        <v>[Cake] - Cashloan</v>
      </c>
      <c r="H7043" s="128" t="str">
        <f>VLOOKUP(source[[#This Row],[lending_product_transform]],[3]Mapping!$B$3:$D$37,3,0)</f>
        <v>cashloan</v>
      </c>
      <c r="I7043" s="135">
        <v>6381890000</v>
      </c>
    </row>
    <row r="7044" spans="1:9" x14ac:dyDescent="0.2">
      <c r="A7044" s="134">
        <v>45808</v>
      </c>
      <c r="B7044" s="135">
        <f>YEAR(source[[#This Row],[report_date]])</f>
        <v>2025</v>
      </c>
      <c r="C7044" s="128">
        <f t="shared" si="328"/>
        <v>5</v>
      </c>
      <c r="D7044" s="136">
        <f t="shared" si="330"/>
        <v>22</v>
      </c>
      <c r="E7044" s="136">
        <f t="shared" si="329"/>
        <v>31</v>
      </c>
      <c r="F7044" s="128" t="s">
        <v>24</v>
      </c>
      <c r="G7044" s="128" t="str">
        <f>VLOOKUP(source[[#This Row],[lending_product_transform]],[3]Mapping!$B$4:$C$37,2,0)</f>
        <v>[Cake] - Cashloan</v>
      </c>
      <c r="H7044" s="128" t="str">
        <f>VLOOKUP(source[[#This Row],[lending_product_transform]],[3]Mapping!$B$3:$D$37,3,0)</f>
        <v>cashloan</v>
      </c>
      <c r="I7044" s="135">
        <v>2781000</v>
      </c>
    </row>
    <row r="7045" spans="1:9" x14ac:dyDescent="0.2">
      <c r="A7045" s="134">
        <v>45808</v>
      </c>
      <c r="B7045" s="135">
        <f>YEAR(source[[#This Row],[report_date]])</f>
        <v>2025</v>
      </c>
      <c r="C7045" s="128">
        <f t="shared" si="328"/>
        <v>5</v>
      </c>
      <c r="D7045" s="136">
        <f t="shared" si="330"/>
        <v>22</v>
      </c>
      <c r="E7045" s="136">
        <f t="shared" si="329"/>
        <v>31</v>
      </c>
      <c r="F7045" s="128" t="s">
        <v>24</v>
      </c>
      <c r="G7045" s="128" t="str">
        <f>VLOOKUP(source[[#This Row],[lending_product_transform]],[3]Mapping!$B$4:$C$37,2,0)</f>
        <v>[Cake] - Cashloan</v>
      </c>
      <c r="H7045" s="128" t="str">
        <f>VLOOKUP(source[[#This Row],[lending_product_transform]],[3]Mapping!$B$3:$D$37,3,0)</f>
        <v>cashloan</v>
      </c>
      <c r="I7045" s="135">
        <v>0</v>
      </c>
    </row>
    <row r="7046" spans="1:9" x14ac:dyDescent="0.2">
      <c r="A7046" s="134">
        <v>45808</v>
      </c>
      <c r="B7046" s="135">
        <f>YEAR(source[[#This Row],[report_date]])</f>
        <v>2025</v>
      </c>
      <c r="C7046" s="128">
        <f t="shared" si="328"/>
        <v>5</v>
      </c>
      <c r="D7046" s="136">
        <f t="shared" si="330"/>
        <v>22</v>
      </c>
      <c r="E7046" s="136">
        <f t="shared" si="329"/>
        <v>31</v>
      </c>
      <c r="F7046" s="128" t="s">
        <v>24</v>
      </c>
      <c r="G7046" s="128" t="str">
        <f>VLOOKUP(source[[#This Row],[lending_product_transform]],[3]Mapping!$B$4:$C$37,2,0)</f>
        <v>[Cake] - Cashloan</v>
      </c>
      <c r="H7046" s="128" t="str">
        <f>VLOOKUP(source[[#This Row],[lending_product_transform]],[3]Mapping!$B$3:$D$37,3,0)</f>
        <v>cashloan</v>
      </c>
      <c r="I7046" s="135">
        <v>1118030000</v>
      </c>
    </row>
    <row r="7047" spans="1:9" x14ac:dyDescent="0.2">
      <c r="A7047" s="134">
        <v>45808</v>
      </c>
      <c r="B7047" s="135">
        <f>YEAR(source[[#This Row],[report_date]])</f>
        <v>2025</v>
      </c>
      <c r="C7047" s="128">
        <f t="shared" si="328"/>
        <v>5</v>
      </c>
      <c r="D7047" s="136">
        <f t="shared" si="330"/>
        <v>22</v>
      </c>
      <c r="E7047" s="136">
        <f t="shared" si="329"/>
        <v>31</v>
      </c>
      <c r="F7047" s="128" t="s">
        <v>24</v>
      </c>
      <c r="G7047" s="128" t="str">
        <f>VLOOKUP(source[[#This Row],[lending_product_transform]],[3]Mapping!$B$4:$C$37,2,0)</f>
        <v>[Cake] - Cashloan</v>
      </c>
      <c r="H7047" s="128" t="str">
        <f>VLOOKUP(source[[#This Row],[lending_product_transform]],[3]Mapping!$B$3:$D$37,3,0)</f>
        <v>cashloan</v>
      </c>
      <c r="I7047" s="135">
        <v>13852762</v>
      </c>
    </row>
    <row r="7048" spans="1:9" x14ac:dyDescent="0.2">
      <c r="A7048" s="134">
        <v>45808</v>
      </c>
      <c r="B7048" s="135">
        <f>YEAR(source[[#This Row],[report_date]])</f>
        <v>2025</v>
      </c>
      <c r="C7048" s="128">
        <f t="shared" si="328"/>
        <v>5</v>
      </c>
      <c r="D7048" s="136">
        <f t="shared" si="330"/>
        <v>22</v>
      </c>
      <c r="E7048" s="136">
        <f t="shared" si="329"/>
        <v>31</v>
      </c>
      <c r="F7048" s="128" t="s">
        <v>24</v>
      </c>
      <c r="G7048" s="128" t="str">
        <f>VLOOKUP(source[[#This Row],[lending_product_transform]],[3]Mapping!$B$4:$C$37,2,0)</f>
        <v>[Cake] - Cashloan</v>
      </c>
      <c r="H7048" s="128" t="str">
        <f>VLOOKUP(source[[#This Row],[lending_product_transform]],[3]Mapping!$B$3:$D$37,3,0)</f>
        <v>cashloan</v>
      </c>
      <c r="I7048" s="135">
        <v>0</v>
      </c>
    </row>
    <row r="7049" spans="1:9" x14ac:dyDescent="0.2">
      <c r="A7049" s="134">
        <v>45808</v>
      </c>
      <c r="B7049" s="135">
        <f>YEAR(source[[#This Row],[report_date]])</f>
        <v>2025</v>
      </c>
      <c r="C7049" s="128">
        <f t="shared" si="328"/>
        <v>5</v>
      </c>
      <c r="D7049" s="136">
        <f t="shared" si="330"/>
        <v>22</v>
      </c>
      <c r="E7049" s="136">
        <f t="shared" si="329"/>
        <v>31</v>
      </c>
      <c r="F7049" s="128" t="s">
        <v>24</v>
      </c>
      <c r="G7049" s="128" t="str">
        <f>VLOOKUP(source[[#This Row],[lending_product_transform]],[3]Mapping!$B$4:$C$37,2,0)</f>
        <v>[Cake] - Cashloan</v>
      </c>
      <c r="H7049" s="128" t="str">
        <f>VLOOKUP(source[[#This Row],[lending_product_transform]],[3]Mapping!$B$3:$D$37,3,0)</f>
        <v>cashloan</v>
      </c>
      <c r="I7049" s="135">
        <v>302669713</v>
      </c>
    </row>
    <row r="7050" spans="1:9" x14ac:dyDescent="0.2">
      <c r="A7050" s="134">
        <v>45808</v>
      </c>
      <c r="B7050" s="135">
        <f>YEAR(source[[#This Row],[report_date]])</f>
        <v>2025</v>
      </c>
      <c r="C7050" s="128">
        <f t="shared" si="328"/>
        <v>5</v>
      </c>
      <c r="D7050" s="136">
        <f t="shared" si="330"/>
        <v>22</v>
      </c>
      <c r="E7050" s="136">
        <f t="shared" si="329"/>
        <v>31</v>
      </c>
      <c r="F7050" s="128" t="s">
        <v>24</v>
      </c>
      <c r="G7050" s="128" t="str">
        <f>VLOOKUP(source[[#This Row],[lending_product_transform]],[3]Mapping!$B$4:$C$37,2,0)</f>
        <v>[Cake] - Cashloan</v>
      </c>
      <c r="H7050" s="128" t="str">
        <f>VLOOKUP(source[[#This Row],[lending_product_transform]],[3]Mapping!$B$3:$D$37,3,0)</f>
        <v>cashloan</v>
      </c>
      <c r="I7050" s="135">
        <v>20000000</v>
      </c>
    </row>
    <row r="7051" spans="1:9" x14ac:dyDescent="0.2">
      <c r="A7051" s="134">
        <v>45808</v>
      </c>
      <c r="B7051" s="135">
        <f>YEAR(source[[#This Row],[report_date]])</f>
        <v>2025</v>
      </c>
      <c r="C7051" s="128">
        <f t="shared" si="328"/>
        <v>5</v>
      </c>
      <c r="D7051" s="136">
        <f t="shared" si="330"/>
        <v>22</v>
      </c>
      <c r="E7051" s="136">
        <f t="shared" si="329"/>
        <v>31</v>
      </c>
      <c r="F7051" s="128" t="s">
        <v>24</v>
      </c>
      <c r="G7051" s="128" t="str">
        <f>VLOOKUP(source[[#This Row],[lending_product_transform]],[3]Mapping!$B$4:$C$37,2,0)</f>
        <v>[Cake] - Cashloan</v>
      </c>
      <c r="H7051" s="128" t="str">
        <f>VLOOKUP(source[[#This Row],[lending_product_transform]],[3]Mapping!$B$3:$D$37,3,0)</f>
        <v>cashloan</v>
      </c>
      <c r="I7051" s="135">
        <v>21000000</v>
      </c>
    </row>
    <row r="7052" spans="1:9" x14ac:dyDescent="0.2">
      <c r="A7052" s="134">
        <v>45808</v>
      </c>
      <c r="B7052" s="135">
        <f>YEAR(source[[#This Row],[report_date]])</f>
        <v>2025</v>
      </c>
      <c r="C7052" s="128">
        <f t="shared" si="328"/>
        <v>5</v>
      </c>
      <c r="D7052" s="136">
        <f t="shared" si="330"/>
        <v>22</v>
      </c>
      <c r="E7052" s="136">
        <f t="shared" si="329"/>
        <v>31</v>
      </c>
      <c r="F7052" s="128" t="s">
        <v>24</v>
      </c>
      <c r="G7052" s="128" t="str">
        <f>VLOOKUP(source[[#This Row],[lending_product_transform]],[3]Mapping!$B$4:$C$37,2,0)</f>
        <v>[Cake] - Cashloan</v>
      </c>
      <c r="H7052" s="128" t="str">
        <f>VLOOKUP(source[[#This Row],[lending_product_transform]],[3]Mapping!$B$3:$D$37,3,0)</f>
        <v>cashloan</v>
      </c>
      <c r="I7052" s="135">
        <v>1215000000</v>
      </c>
    </row>
    <row r="7053" spans="1:9" x14ac:dyDescent="0.2">
      <c r="A7053" s="134">
        <v>45808</v>
      </c>
      <c r="B7053" s="135">
        <f>YEAR(source[[#This Row],[report_date]])</f>
        <v>2025</v>
      </c>
      <c r="C7053" s="128">
        <f t="shared" si="328"/>
        <v>5</v>
      </c>
      <c r="D7053" s="136">
        <f t="shared" si="330"/>
        <v>22</v>
      </c>
      <c r="E7053" s="136">
        <f t="shared" si="329"/>
        <v>31</v>
      </c>
      <c r="F7053" s="128" t="s">
        <v>24</v>
      </c>
      <c r="G7053" s="128" t="str">
        <f>VLOOKUP(source[[#This Row],[lending_product_transform]],[3]Mapping!$B$4:$C$37,2,0)</f>
        <v>[Cake] - Cashloan</v>
      </c>
      <c r="H7053" s="128" t="str">
        <f>VLOOKUP(source[[#This Row],[lending_product_transform]],[3]Mapping!$B$3:$D$37,3,0)</f>
        <v>cashloan</v>
      </c>
      <c r="I7053" s="135">
        <v>0</v>
      </c>
    </row>
    <row r="7054" spans="1:9" x14ac:dyDescent="0.2">
      <c r="A7054" s="134">
        <v>45808</v>
      </c>
      <c r="B7054" s="135">
        <f>YEAR(source[[#This Row],[report_date]])</f>
        <v>2025</v>
      </c>
      <c r="C7054" s="128">
        <f t="shared" si="328"/>
        <v>5</v>
      </c>
      <c r="D7054" s="136">
        <f t="shared" si="330"/>
        <v>22</v>
      </c>
      <c r="E7054" s="136">
        <f t="shared" si="329"/>
        <v>31</v>
      </c>
      <c r="F7054" s="128" t="s">
        <v>24</v>
      </c>
      <c r="G7054" s="128" t="str">
        <f>VLOOKUP(source[[#This Row],[lending_product_transform]],[3]Mapping!$B$4:$C$37,2,0)</f>
        <v>[Cake] - Cashloan</v>
      </c>
      <c r="H7054" s="128" t="str">
        <f>VLOOKUP(source[[#This Row],[lending_product_transform]],[3]Mapping!$B$3:$D$37,3,0)</f>
        <v>cashloan</v>
      </c>
      <c r="I7054" s="135">
        <v>444820000</v>
      </c>
    </row>
    <row r="7055" spans="1:9" x14ac:dyDescent="0.2">
      <c r="A7055" s="134">
        <v>45808</v>
      </c>
      <c r="B7055" s="135">
        <f>YEAR(source[[#This Row],[report_date]])</f>
        <v>2025</v>
      </c>
      <c r="C7055" s="128">
        <f t="shared" si="328"/>
        <v>5</v>
      </c>
      <c r="D7055" s="136">
        <f t="shared" si="330"/>
        <v>22</v>
      </c>
      <c r="E7055" s="136">
        <f t="shared" si="329"/>
        <v>31</v>
      </c>
      <c r="F7055" s="128" t="s">
        <v>24</v>
      </c>
      <c r="G7055" s="128" t="str">
        <f>VLOOKUP(source[[#This Row],[lending_product_transform]],[3]Mapping!$B$4:$C$37,2,0)</f>
        <v>[Cake] - Cashloan</v>
      </c>
      <c r="H7055" s="128" t="str">
        <f>VLOOKUP(source[[#This Row],[lending_product_transform]],[3]Mapping!$B$3:$D$37,3,0)</f>
        <v>cashloan</v>
      </c>
      <c r="I7055" s="135">
        <v>0</v>
      </c>
    </row>
    <row r="7056" spans="1:9" x14ac:dyDescent="0.2">
      <c r="A7056" s="134">
        <v>45808</v>
      </c>
      <c r="B7056" s="135">
        <f>YEAR(source[[#This Row],[report_date]])</f>
        <v>2025</v>
      </c>
      <c r="C7056" s="128">
        <f t="shared" si="328"/>
        <v>5</v>
      </c>
      <c r="D7056" s="136">
        <f t="shared" si="330"/>
        <v>22</v>
      </c>
      <c r="E7056" s="136">
        <f t="shared" si="329"/>
        <v>31</v>
      </c>
      <c r="F7056" s="128" t="s">
        <v>24</v>
      </c>
      <c r="G7056" s="128" t="str">
        <f>VLOOKUP(source[[#This Row],[lending_product_transform]],[3]Mapping!$B$4:$C$37,2,0)</f>
        <v>[Cake] - Cashloan</v>
      </c>
      <c r="H7056" s="128" t="str">
        <f>VLOOKUP(source[[#This Row],[lending_product_transform]],[3]Mapping!$B$3:$D$37,3,0)</f>
        <v>cashloan</v>
      </c>
      <c r="I7056" s="135">
        <v>6505060000</v>
      </c>
    </row>
    <row r="7057" spans="1:9" x14ac:dyDescent="0.2">
      <c r="A7057" s="134">
        <v>45808</v>
      </c>
      <c r="B7057" s="135">
        <f>YEAR(source[[#This Row],[report_date]])</f>
        <v>2025</v>
      </c>
      <c r="C7057" s="128">
        <f t="shared" si="328"/>
        <v>5</v>
      </c>
      <c r="D7057" s="136">
        <f t="shared" si="330"/>
        <v>22</v>
      </c>
      <c r="E7057" s="136">
        <f t="shared" si="329"/>
        <v>31</v>
      </c>
      <c r="F7057" s="128" t="s">
        <v>24</v>
      </c>
      <c r="G7057" s="128" t="str">
        <f>VLOOKUP(source[[#This Row],[lending_product_transform]],[3]Mapping!$B$4:$C$37,2,0)</f>
        <v>[Cake] - Cashloan</v>
      </c>
      <c r="H7057" s="128" t="str">
        <f>VLOOKUP(source[[#This Row],[lending_product_transform]],[3]Mapping!$B$3:$D$37,3,0)</f>
        <v>cashloan</v>
      </c>
      <c r="I7057" s="135">
        <v>220912336</v>
      </c>
    </row>
    <row r="7058" spans="1:9" x14ac:dyDescent="0.2">
      <c r="A7058" s="134">
        <v>45808</v>
      </c>
      <c r="B7058" s="135">
        <f>YEAR(source[[#This Row],[report_date]])</f>
        <v>2025</v>
      </c>
      <c r="C7058" s="128">
        <f t="shared" si="328"/>
        <v>5</v>
      </c>
      <c r="D7058" s="136">
        <f t="shared" si="330"/>
        <v>22</v>
      </c>
      <c r="E7058" s="136">
        <f t="shared" si="329"/>
        <v>31</v>
      </c>
      <c r="F7058" s="128" t="s">
        <v>24</v>
      </c>
      <c r="G7058" s="128" t="str">
        <f>VLOOKUP(source[[#This Row],[lending_product_transform]],[3]Mapping!$B$4:$C$37,2,0)</f>
        <v>[Cake] - Cashloan</v>
      </c>
      <c r="H7058" s="128" t="str">
        <f>VLOOKUP(source[[#This Row],[lending_product_transform]],[3]Mapping!$B$3:$D$37,3,0)</f>
        <v>cashloan</v>
      </c>
      <c r="I7058" s="135">
        <v>403660576</v>
      </c>
    </row>
    <row r="7059" spans="1:9" x14ac:dyDescent="0.2">
      <c r="A7059" s="134">
        <v>45808</v>
      </c>
      <c r="B7059" s="135">
        <f>YEAR(source[[#This Row],[report_date]])</f>
        <v>2025</v>
      </c>
      <c r="C7059" s="128">
        <f t="shared" si="328"/>
        <v>5</v>
      </c>
      <c r="D7059" s="136">
        <f t="shared" si="330"/>
        <v>22</v>
      </c>
      <c r="E7059" s="136">
        <f t="shared" si="329"/>
        <v>31</v>
      </c>
      <c r="F7059" s="128" t="s">
        <v>24</v>
      </c>
      <c r="G7059" s="128" t="str">
        <f>VLOOKUP(source[[#This Row],[lending_product_transform]],[3]Mapping!$B$4:$C$37,2,0)</f>
        <v>[Cake] - Cashloan</v>
      </c>
      <c r="H7059" s="128" t="str">
        <f>VLOOKUP(source[[#This Row],[lending_product_transform]],[3]Mapping!$B$3:$D$37,3,0)</f>
        <v>cashloan</v>
      </c>
      <c r="I7059" s="135">
        <v>3709380697</v>
      </c>
    </row>
    <row r="7060" spans="1:9" x14ac:dyDescent="0.2">
      <c r="A7060" s="134">
        <v>45809</v>
      </c>
      <c r="B7060" s="135">
        <f>YEAR(source[[#This Row],[report_date]])</f>
        <v>2025</v>
      </c>
      <c r="C7060" s="128">
        <f t="shared" si="328"/>
        <v>6</v>
      </c>
      <c r="D7060" s="136">
        <f t="shared" si="330"/>
        <v>22</v>
      </c>
      <c r="E7060" s="136">
        <f t="shared" si="329"/>
        <v>1</v>
      </c>
      <c r="F7060" s="128" t="s">
        <v>24</v>
      </c>
      <c r="G7060" s="128" t="str">
        <f>VLOOKUP(source[[#This Row],[lending_product_transform]],[3]Mapping!$B$4:$C$37,2,0)</f>
        <v>[Cake] - Cashloan</v>
      </c>
      <c r="H7060" s="128" t="str">
        <f>VLOOKUP(source[[#This Row],[lending_product_transform]],[3]Mapping!$B$3:$D$37,3,0)</f>
        <v>cashloan</v>
      </c>
      <c r="I7060" s="135">
        <v>0</v>
      </c>
    </row>
    <row r="7061" spans="1:9" x14ac:dyDescent="0.2">
      <c r="A7061" s="134">
        <v>45809</v>
      </c>
      <c r="B7061" s="135">
        <f>YEAR(source[[#This Row],[report_date]])</f>
        <v>2025</v>
      </c>
      <c r="C7061" s="128">
        <f t="shared" si="328"/>
        <v>6</v>
      </c>
      <c r="D7061" s="136">
        <f t="shared" si="330"/>
        <v>22</v>
      </c>
      <c r="E7061" s="136">
        <f t="shared" si="329"/>
        <v>1</v>
      </c>
      <c r="F7061" s="128" t="s">
        <v>24</v>
      </c>
      <c r="G7061" s="128" t="str">
        <f>VLOOKUP(source[[#This Row],[lending_product_transform]],[3]Mapping!$B$4:$C$37,2,0)</f>
        <v>[Cake] - Cashloan</v>
      </c>
      <c r="H7061" s="128" t="str">
        <f>VLOOKUP(source[[#This Row],[lending_product_transform]],[3]Mapping!$B$3:$D$37,3,0)</f>
        <v>cashloan</v>
      </c>
      <c r="I7061" s="135">
        <v>0</v>
      </c>
    </row>
    <row r="7062" spans="1:9" x14ac:dyDescent="0.2">
      <c r="A7062" s="134">
        <v>45809</v>
      </c>
      <c r="B7062" s="135">
        <f>YEAR(source[[#This Row],[report_date]])</f>
        <v>2025</v>
      </c>
      <c r="C7062" s="128">
        <f t="shared" si="328"/>
        <v>6</v>
      </c>
      <c r="D7062" s="136">
        <f t="shared" si="330"/>
        <v>22</v>
      </c>
      <c r="E7062" s="136">
        <f t="shared" si="329"/>
        <v>1</v>
      </c>
      <c r="F7062" s="128" t="s">
        <v>24</v>
      </c>
      <c r="G7062" s="128" t="str">
        <f>VLOOKUP(source[[#This Row],[lending_product_transform]],[3]Mapping!$B$4:$C$37,2,0)</f>
        <v>[Cake] - Cashloan</v>
      </c>
      <c r="H7062" s="128" t="str">
        <f>VLOOKUP(source[[#This Row],[lending_product_transform]],[3]Mapping!$B$3:$D$37,3,0)</f>
        <v>cashloan</v>
      </c>
      <c r="I7062" s="135">
        <v>0</v>
      </c>
    </row>
    <row r="7063" spans="1:9" x14ac:dyDescent="0.2">
      <c r="A7063" s="134">
        <v>45809</v>
      </c>
      <c r="B7063" s="135">
        <f>YEAR(source[[#This Row],[report_date]])</f>
        <v>2025</v>
      </c>
      <c r="C7063" s="128">
        <f t="shared" si="328"/>
        <v>6</v>
      </c>
      <c r="D7063" s="136">
        <f t="shared" si="330"/>
        <v>22</v>
      </c>
      <c r="E7063" s="136">
        <f t="shared" si="329"/>
        <v>1</v>
      </c>
      <c r="F7063" s="128" t="s">
        <v>24</v>
      </c>
      <c r="G7063" s="128" t="str">
        <f>VLOOKUP(source[[#This Row],[lending_product_transform]],[3]Mapping!$B$4:$C$37,2,0)</f>
        <v>[Cake] - Cashloan</v>
      </c>
      <c r="H7063" s="128" t="str">
        <f>VLOOKUP(source[[#This Row],[lending_product_transform]],[3]Mapping!$B$3:$D$37,3,0)</f>
        <v>cashloan</v>
      </c>
      <c r="I7063" s="135">
        <v>0</v>
      </c>
    </row>
    <row r="7064" spans="1:9" x14ac:dyDescent="0.2">
      <c r="A7064" s="134">
        <v>45809</v>
      </c>
      <c r="B7064" s="135">
        <f>YEAR(source[[#This Row],[report_date]])</f>
        <v>2025</v>
      </c>
      <c r="C7064" s="128">
        <f t="shared" si="328"/>
        <v>6</v>
      </c>
      <c r="D7064" s="136">
        <f t="shared" si="330"/>
        <v>22</v>
      </c>
      <c r="E7064" s="136">
        <f t="shared" si="329"/>
        <v>1</v>
      </c>
      <c r="F7064" s="128" t="s">
        <v>24</v>
      </c>
      <c r="G7064" s="128" t="str">
        <f>VLOOKUP(source[[#This Row],[lending_product_transform]],[3]Mapping!$B$4:$C$37,2,0)</f>
        <v>[Cake] - Cashloan</v>
      </c>
      <c r="H7064" s="128" t="str">
        <f>VLOOKUP(source[[#This Row],[lending_product_transform]],[3]Mapping!$B$3:$D$37,3,0)</f>
        <v>cashloan</v>
      </c>
      <c r="I7064" s="135">
        <v>1596000000</v>
      </c>
    </row>
    <row r="7065" spans="1:9" x14ac:dyDescent="0.2">
      <c r="A7065" s="134">
        <v>45809</v>
      </c>
      <c r="B7065" s="135">
        <f>YEAR(source[[#This Row],[report_date]])</f>
        <v>2025</v>
      </c>
      <c r="C7065" s="128">
        <f t="shared" si="328"/>
        <v>6</v>
      </c>
      <c r="D7065" s="136">
        <f t="shared" si="330"/>
        <v>22</v>
      </c>
      <c r="E7065" s="136">
        <f t="shared" si="329"/>
        <v>1</v>
      </c>
      <c r="F7065" s="128" t="s">
        <v>24</v>
      </c>
      <c r="G7065" s="128" t="str">
        <f>VLOOKUP(source[[#This Row],[lending_product_transform]],[3]Mapping!$B$4:$C$37,2,0)</f>
        <v>[Cake] - Cashloan</v>
      </c>
      <c r="H7065" s="128" t="str">
        <f>VLOOKUP(source[[#This Row],[lending_product_transform]],[3]Mapping!$B$3:$D$37,3,0)</f>
        <v>cashloan</v>
      </c>
      <c r="I7065" s="135">
        <v>6637810000</v>
      </c>
    </row>
    <row r="7066" spans="1:9" x14ac:dyDescent="0.2">
      <c r="A7066" s="134">
        <v>45809</v>
      </c>
      <c r="B7066" s="135">
        <f>YEAR(source[[#This Row],[report_date]])</f>
        <v>2025</v>
      </c>
      <c r="C7066" s="128">
        <f t="shared" si="328"/>
        <v>6</v>
      </c>
      <c r="D7066" s="136">
        <f t="shared" si="330"/>
        <v>22</v>
      </c>
      <c r="E7066" s="136">
        <f t="shared" si="329"/>
        <v>1</v>
      </c>
      <c r="F7066" s="128" t="s">
        <v>24</v>
      </c>
      <c r="G7066" s="128" t="str">
        <f>VLOOKUP(source[[#This Row],[lending_product_transform]],[3]Mapping!$B$4:$C$37,2,0)</f>
        <v>[Cake] - Cashloan</v>
      </c>
      <c r="H7066" s="128" t="str">
        <f>VLOOKUP(source[[#This Row],[lending_product_transform]],[3]Mapping!$B$3:$D$37,3,0)</f>
        <v>cashloan</v>
      </c>
      <c r="I7066" s="135">
        <v>294544742</v>
      </c>
    </row>
    <row r="7067" spans="1:9" x14ac:dyDescent="0.2">
      <c r="A7067" s="134">
        <v>45809</v>
      </c>
      <c r="B7067" s="135">
        <f>YEAR(source[[#This Row],[report_date]])</f>
        <v>2025</v>
      </c>
      <c r="C7067" s="128">
        <f t="shared" si="328"/>
        <v>6</v>
      </c>
      <c r="D7067" s="136">
        <f t="shared" si="330"/>
        <v>22</v>
      </c>
      <c r="E7067" s="136">
        <f t="shared" si="329"/>
        <v>1</v>
      </c>
      <c r="F7067" s="128" t="s">
        <v>24</v>
      </c>
      <c r="G7067" s="128" t="str">
        <f>VLOOKUP(source[[#This Row],[lending_product_transform]],[3]Mapping!$B$4:$C$37,2,0)</f>
        <v>[Cake] - Cashloan</v>
      </c>
      <c r="H7067" s="128" t="str">
        <f>VLOOKUP(source[[#This Row],[lending_product_transform]],[3]Mapping!$B$3:$D$37,3,0)</f>
        <v>cashloan</v>
      </c>
      <c r="I7067" s="135">
        <v>17000000</v>
      </c>
    </row>
    <row r="7068" spans="1:9" x14ac:dyDescent="0.2">
      <c r="A7068" s="134">
        <v>45809</v>
      </c>
      <c r="B7068" s="135">
        <f>YEAR(source[[#This Row],[report_date]])</f>
        <v>2025</v>
      </c>
      <c r="C7068" s="128">
        <f t="shared" si="328"/>
        <v>6</v>
      </c>
      <c r="D7068" s="136">
        <f t="shared" si="330"/>
        <v>22</v>
      </c>
      <c r="E7068" s="136">
        <f t="shared" si="329"/>
        <v>1</v>
      </c>
      <c r="F7068" s="128" t="s">
        <v>24</v>
      </c>
      <c r="G7068" s="128" t="str">
        <f>VLOOKUP(source[[#This Row],[lending_product_transform]],[3]Mapping!$B$4:$C$37,2,0)</f>
        <v>[Cake] - Cashloan</v>
      </c>
      <c r="H7068" s="128" t="str">
        <f>VLOOKUP(source[[#This Row],[lending_product_transform]],[3]Mapping!$B$3:$D$37,3,0)</f>
        <v>cashloan</v>
      </c>
      <c r="I7068" s="135">
        <v>36641396</v>
      </c>
    </row>
    <row r="7069" spans="1:9" x14ac:dyDescent="0.2">
      <c r="A7069" s="134">
        <v>45809</v>
      </c>
      <c r="B7069" s="135">
        <f>YEAR(source[[#This Row],[report_date]])</f>
        <v>2025</v>
      </c>
      <c r="C7069" s="128">
        <f t="shared" si="328"/>
        <v>6</v>
      </c>
      <c r="D7069" s="136">
        <f t="shared" si="330"/>
        <v>22</v>
      </c>
      <c r="E7069" s="136">
        <f t="shared" si="329"/>
        <v>1</v>
      </c>
      <c r="F7069" s="128" t="s">
        <v>24</v>
      </c>
      <c r="G7069" s="128" t="str">
        <f>VLOOKUP(source[[#This Row],[lending_product_transform]],[3]Mapping!$B$4:$C$37,2,0)</f>
        <v>[Cake] - Cashloan</v>
      </c>
      <c r="H7069" s="128" t="str">
        <f>VLOOKUP(source[[#This Row],[lending_product_transform]],[3]Mapping!$B$3:$D$37,3,0)</f>
        <v>cashloan</v>
      </c>
      <c r="I7069" s="135">
        <v>368176550</v>
      </c>
    </row>
    <row r="7070" spans="1:9" x14ac:dyDescent="0.2">
      <c r="A7070" s="134">
        <v>45809</v>
      </c>
      <c r="B7070" s="135">
        <f>YEAR(source[[#This Row],[report_date]])</f>
        <v>2025</v>
      </c>
      <c r="C7070" s="128">
        <f t="shared" si="328"/>
        <v>6</v>
      </c>
      <c r="D7070" s="136">
        <f t="shared" si="330"/>
        <v>22</v>
      </c>
      <c r="E7070" s="136">
        <f t="shared" si="329"/>
        <v>1</v>
      </c>
      <c r="F7070" s="128" t="s">
        <v>24</v>
      </c>
      <c r="G7070" s="128" t="str">
        <f>VLOOKUP(source[[#This Row],[lending_product_transform]],[3]Mapping!$B$4:$C$37,2,0)</f>
        <v>[Cake] - Cashloan</v>
      </c>
      <c r="H7070" s="128" t="str">
        <f>VLOOKUP(source[[#This Row],[lending_product_transform]],[3]Mapping!$B$3:$D$37,3,0)</f>
        <v>cashloan</v>
      </c>
      <c r="I7070" s="135">
        <v>6303930000</v>
      </c>
    </row>
    <row r="7071" spans="1:9" x14ac:dyDescent="0.2">
      <c r="A7071" s="134">
        <v>45809</v>
      </c>
      <c r="B7071" s="135">
        <f>YEAR(source[[#This Row],[report_date]])</f>
        <v>2025</v>
      </c>
      <c r="C7071" s="128">
        <f t="shared" si="328"/>
        <v>6</v>
      </c>
      <c r="D7071" s="136">
        <f t="shared" si="330"/>
        <v>22</v>
      </c>
      <c r="E7071" s="136">
        <f t="shared" si="329"/>
        <v>1</v>
      </c>
      <c r="F7071" s="128" t="s">
        <v>24</v>
      </c>
      <c r="G7071" s="128" t="str">
        <f>VLOOKUP(source[[#This Row],[lending_product_transform]],[3]Mapping!$B$4:$C$37,2,0)</f>
        <v>[Cake] - Cashloan</v>
      </c>
      <c r="H7071" s="128" t="str">
        <f>VLOOKUP(source[[#This Row],[lending_product_transform]],[3]Mapping!$B$3:$D$37,3,0)</f>
        <v>cashloan</v>
      </c>
      <c r="I7071" s="135">
        <v>1176750000</v>
      </c>
    </row>
    <row r="7072" spans="1:9" x14ac:dyDescent="0.2">
      <c r="A7072" s="134">
        <v>45809</v>
      </c>
      <c r="B7072" s="135">
        <f>YEAR(source[[#This Row],[report_date]])</f>
        <v>2025</v>
      </c>
      <c r="C7072" s="128">
        <f t="shared" si="328"/>
        <v>6</v>
      </c>
      <c r="D7072" s="136">
        <f t="shared" si="330"/>
        <v>22</v>
      </c>
      <c r="E7072" s="136">
        <f t="shared" si="329"/>
        <v>1</v>
      </c>
      <c r="F7072" s="128" t="s">
        <v>24</v>
      </c>
      <c r="G7072" s="128" t="str">
        <f>VLOOKUP(source[[#This Row],[lending_product_transform]],[3]Mapping!$B$4:$C$37,2,0)</f>
        <v>[Cake] - Cashloan</v>
      </c>
      <c r="H7072" s="128" t="str">
        <f>VLOOKUP(source[[#This Row],[lending_product_transform]],[3]Mapping!$B$3:$D$37,3,0)</f>
        <v>cashloan</v>
      </c>
      <c r="I7072" s="135">
        <v>5758867893</v>
      </c>
    </row>
    <row r="7073" spans="1:9" x14ac:dyDescent="0.2">
      <c r="A7073" s="134">
        <v>45809</v>
      </c>
      <c r="B7073" s="135">
        <f>YEAR(source[[#This Row],[report_date]])</f>
        <v>2025</v>
      </c>
      <c r="C7073" s="128">
        <f t="shared" si="328"/>
        <v>6</v>
      </c>
      <c r="D7073" s="136">
        <f t="shared" si="330"/>
        <v>22</v>
      </c>
      <c r="E7073" s="136">
        <f t="shared" si="329"/>
        <v>1</v>
      </c>
      <c r="F7073" s="128" t="s">
        <v>24</v>
      </c>
      <c r="G7073" s="128" t="str">
        <f>VLOOKUP(source[[#This Row],[lending_product_transform]],[3]Mapping!$B$4:$C$37,2,0)</f>
        <v>[Cake] - Cashloan</v>
      </c>
      <c r="H7073" s="128" t="str">
        <f>VLOOKUP(source[[#This Row],[lending_product_transform]],[3]Mapping!$B$3:$D$37,3,0)</f>
        <v>cashloan</v>
      </c>
      <c r="I7073" s="135">
        <v>5846256000</v>
      </c>
    </row>
    <row r="7074" spans="1:9" x14ac:dyDescent="0.2">
      <c r="A7074" s="134">
        <v>45809</v>
      </c>
      <c r="B7074" s="135">
        <f>YEAR(source[[#This Row],[report_date]])</f>
        <v>2025</v>
      </c>
      <c r="C7074" s="128">
        <f t="shared" si="328"/>
        <v>6</v>
      </c>
      <c r="D7074" s="136">
        <f t="shared" si="330"/>
        <v>22</v>
      </c>
      <c r="E7074" s="136">
        <f t="shared" si="329"/>
        <v>1</v>
      </c>
      <c r="F7074" s="128" t="s">
        <v>24</v>
      </c>
      <c r="G7074" s="128" t="str">
        <f>VLOOKUP(source[[#This Row],[lending_product_transform]],[3]Mapping!$B$4:$C$37,2,0)</f>
        <v>[Cake] - Cashloan</v>
      </c>
      <c r="H7074" s="128" t="str">
        <f>VLOOKUP(source[[#This Row],[lending_product_transform]],[3]Mapping!$B$3:$D$37,3,0)</f>
        <v>cashloan</v>
      </c>
      <c r="I7074" s="135">
        <v>722211486</v>
      </c>
    </row>
    <row r="7075" spans="1:9" x14ac:dyDescent="0.2">
      <c r="A7075" s="134">
        <v>45809</v>
      </c>
      <c r="B7075" s="135">
        <f>YEAR(source[[#This Row],[report_date]])</f>
        <v>2025</v>
      </c>
      <c r="C7075" s="128">
        <f t="shared" si="328"/>
        <v>6</v>
      </c>
      <c r="D7075" s="136">
        <f t="shared" si="330"/>
        <v>22</v>
      </c>
      <c r="E7075" s="136">
        <f t="shared" si="329"/>
        <v>1</v>
      </c>
      <c r="F7075" s="128" t="s">
        <v>24</v>
      </c>
      <c r="G7075" s="128" t="str">
        <f>VLOOKUP(source[[#This Row],[lending_product_transform]],[3]Mapping!$B$4:$C$37,2,0)</f>
        <v>[Cake] - Cashloan</v>
      </c>
      <c r="H7075" s="128" t="str">
        <f>VLOOKUP(source[[#This Row],[lending_product_transform]],[3]Mapping!$B$3:$D$37,3,0)</f>
        <v>cashloan</v>
      </c>
      <c r="I7075" s="135">
        <v>0</v>
      </c>
    </row>
    <row r="7076" spans="1:9" x14ac:dyDescent="0.2">
      <c r="A7076" s="134">
        <v>45809</v>
      </c>
      <c r="B7076" s="135">
        <f>YEAR(source[[#This Row],[report_date]])</f>
        <v>2025</v>
      </c>
      <c r="C7076" s="128">
        <f t="shared" si="328"/>
        <v>6</v>
      </c>
      <c r="D7076" s="136">
        <f t="shared" si="330"/>
        <v>22</v>
      </c>
      <c r="E7076" s="136">
        <f t="shared" si="329"/>
        <v>1</v>
      </c>
      <c r="F7076" s="128" t="s">
        <v>24</v>
      </c>
      <c r="G7076" s="128" t="str">
        <f>VLOOKUP(source[[#This Row],[lending_product_transform]],[3]Mapping!$B$4:$C$37,2,0)</f>
        <v>[Cake] - Cashloan</v>
      </c>
      <c r="H7076" s="128" t="str">
        <f>VLOOKUP(source[[#This Row],[lending_product_transform]],[3]Mapping!$B$3:$D$37,3,0)</f>
        <v>cashloan</v>
      </c>
      <c r="I7076" s="135">
        <v>10500000</v>
      </c>
    </row>
    <row r="7077" spans="1:9" x14ac:dyDescent="0.2">
      <c r="A7077" s="134">
        <v>45809</v>
      </c>
      <c r="B7077" s="135">
        <f>YEAR(source[[#This Row],[report_date]])</f>
        <v>2025</v>
      </c>
      <c r="C7077" s="128">
        <f t="shared" si="328"/>
        <v>6</v>
      </c>
      <c r="D7077" s="136">
        <f t="shared" si="330"/>
        <v>22</v>
      </c>
      <c r="E7077" s="136">
        <f t="shared" si="329"/>
        <v>1</v>
      </c>
      <c r="F7077" s="128" t="s">
        <v>24</v>
      </c>
      <c r="G7077" s="128" t="str">
        <f>VLOOKUP(source[[#This Row],[lending_product_transform]],[3]Mapping!$B$4:$C$37,2,0)</f>
        <v>[Cake] - Cashloan</v>
      </c>
      <c r="H7077" s="128" t="str">
        <f>VLOOKUP(source[[#This Row],[lending_product_transform]],[3]Mapping!$B$3:$D$37,3,0)</f>
        <v>cashloan</v>
      </c>
      <c r="I7077" s="135">
        <v>744300000</v>
      </c>
    </row>
    <row r="7078" spans="1:9" x14ac:dyDescent="0.2">
      <c r="A7078" s="134">
        <v>45810</v>
      </c>
      <c r="B7078" s="135">
        <f>YEAR(source[[#This Row],[report_date]])</f>
        <v>2025</v>
      </c>
      <c r="C7078" s="128">
        <f t="shared" si="328"/>
        <v>6</v>
      </c>
      <c r="D7078" s="136">
        <f t="shared" si="330"/>
        <v>23</v>
      </c>
      <c r="E7078" s="136">
        <f t="shared" si="329"/>
        <v>2</v>
      </c>
      <c r="F7078" s="128" t="s">
        <v>24</v>
      </c>
      <c r="G7078" s="128" t="str">
        <f>VLOOKUP(source[[#This Row],[lending_product_transform]],[3]Mapping!$B$4:$C$37,2,0)</f>
        <v>[Cake] - Cashloan</v>
      </c>
      <c r="H7078" s="128" t="str">
        <f>VLOOKUP(source[[#This Row],[lending_product_transform]],[3]Mapping!$B$3:$D$37,3,0)</f>
        <v>cashloan</v>
      </c>
      <c r="I7078" s="135">
        <v>2209000000</v>
      </c>
    </row>
    <row r="7079" spans="1:9" x14ac:dyDescent="0.2">
      <c r="A7079" s="134">
        <v>45810</v>
      </c>
      <c r="B7079" s="135">
        <f>YEAR(source[[#This Row],[report_date]])</f>
        <v>2025</v>
      </c>
      <c r="C7079" s="128">
        <f t="shared" si="328"/>
        <v>6</v>
      </c>
      <c r="D7079" s="136">
        <f t="shared" si="330"/>
        <v>23</v>
      </c>
      <c r="E7079" s="136">
        <f t="shared" si="329"/>
        <v>2</v>
      </c>
      <c r="F7079" s="128" t="s">
        <v>24</v>
      </c>
      <c r="G7079" s="128" t="str">
        <f>VLOOKUP(source[[#This Row],[lending_product_transform]],[3]Mapping!$B$4:$C$37,2,0)</f>
        <v>[Cake] - Cashloan</v>
      </c>
      <c r="H7079" s="128" t="str">
        <f>VLOOKUP(source[[#This Row],[lending_product_transform]],[3]Mapping!$B$3:$D$37,3,0)</f>
        <v>cashloan</v>
      </c>
      <c r="I7079" s="135">
        <v>42000000</v>
      </c>
    </row>
    <row r="7080" spans="1:9" x14ac:dyDescent="0.2">
      <c r="A7080" s="134">
        <v>45810</v>
      </c>
      <c r="B7080" s="135">
        <f>YEAR(source[[#This Row],[report_date]])</f>
        <v>2025</v>
      </c>
      <c r="C7080" s="128">
        <f t="shared" si="328"/>
        <v>6</v>
      </c>
      <c r="D7080" s="136">
        <f t="shared" si="330"/>
        <v>23</v>
      </c>
      <c r="E7080" s="136">
        <f t="shared" si="329"/>
        <v>2</v>
      </c>
      <c r="F7080" s="128" t="s">
        <v>24</v>
      </c>
      <c r="G7080" s="128" t="str">
        <f>VLOOKUP(source[[#This Row],[lending_product_transform]],[3]Mapping!$B$4:$C$37,2,0)</f>
        <v>[Cake] - Cashloan</v>
      </c>
      <c r="H7080" s="128" t="str">
        <f>VLOOKUP(source[[#This Row],[lending_product_transform]],[3]Mapping!$B$3:$D$37,3,0)</f>
        <v>cashloan</v>
      </c>
      <c r="I7080" s="135">
        <v>0</v>
      </c>
    </row>
    <row r="7081" spans="1:9" x14ac:dyDescent="0.2">
      <c r="A7081" s="134">
        <v>45810</v>
      </c>
      <c r="B7081" s="135">
        <f>YEAR(source[[#This Row],[report_date]])</f>
        <v>2025</v>
      </c>
      <c r="C7081" s="128">
        <f t="shared" si="328"/>
        <v>6</v>
      </c>
      <c r="D7081" s="136">
        <f t="shared" si="330"/>
        <v>23</v>
      </c>
      <c r="E7081" s="136">
        <f t="shared" si="329"/>
        <v>2</v>
      </c>
      <c r="F7081" s="128" t="s">
        <v>24</v>
      </c>
      <c r="G7081" s="128" t="str">
        <f>VLOOKUP(source[[#This Row],[lending_product_transform]],[3]Mapping!$B$4:$C$37,2,0)</f>
        <v>[Cake] - Cashloan</v>
      </c>
      <c r="H7081" s="128" t="str">
        <f>VLOOKUP(source[[#This Row],[lending_product_transform]],[3]Mapping!$B$3:$D$37,3,0)</f>
        <v>cashloan</v>
      </c>
      <c r="I7081" s="135">
        <v>969925569</v>
      </c>
    </row>
    <row r="7082" spans="1:9" x14ac:dyDescent="0.2">
      <c r="A7082" s="134">
        <v>45810</v>
      </c>
      <c r="B7082" s="135">
        <f>YEAR(source[[#This Row],[report_date]])</f>
        <v>2025</v>
      </c>
      <c r="C7082" s="128">
        <f t="shared" si="328"/>
        <v>6</v>
      </c>
      <c r="D7082" s="136">
        <f t="shared" si="330"/>
        <v>23</v>
      </c>
      <c r="E7082" s="136">
        <f t="shared" si="329"/>
        <v>2</v>
      </c>
      <c r="F7082" s="128" t="s">
        <v>24</v>
      </c>
      <c r="G7082" s="128" t="str">
        <f>VLOOKUP(source[[#This Row],[lending_product_transform]],[3]Mapping!$B$4:$C$37,2,0)</f>
        <v>[Cake] - Cashloan</v>
      </c>
      <c r="H7082" s="128" t="str">
        <f>VLOOKUP(source[[#This Row],[lending_product_transform]],[3]Mapping!$B$3:$D$37,3,0)</f>
        <v>cashloan</v>
      </c>
      <c r="I7082" s="135">
        <v>7488890000</v>
      </c>
    </row>
    <row r="7083" spans="1:9" x14ac:dyDescent="0.2">
      <c r="A7083" s="134">
        <v>45810</v>
      </c>
      <c r="B7083" s="135">
        <f>YEAR(source[[#This Row],[report_date]])</f>
        <v>2025</v>
      </c>
      <c r="C7083" s="128">
        <f t="shared" si="328"/>
        <v>6</v>
      </c>
      <c r="D7083" s="136">
        <f t="shared" si="330"/>
        <v>23</v>
      </c>
      <c r="E7083" s="136">
        <f t="shared" si="329"/>
        <v>2</v>
      </c>
      <c r="F7083" s="128" t="s">
        <v>24</v>
      </c>
      <c r="G7083" s="128" t="str">
        <f>VLOOKUP(source[[#This Row],[lending_product_transform]],[3]Mapping!$B$4:$C$37,2,0)</f>
        <v>[Cake] - Cashloan</v>
      </c>
      <c r="H7083" s="128" t="str">
        <f>VLOOKUP(source[[#This Row],[lending_product_transform]],[3]Mapping!$B$3:$D$37,3,0)</f>
        <v>cashloan</v>
      </c>
      <c r="I7083" s="135">
        <v>0</v>
      </c>
    </row>
    <row r="7084" spans="1:9" x14ac:dyDescent="0.2">
      <c r="A7084" s="134">
        <v>45810</v>
      </c>
      <c r="B7084" s="135">
        <f>YEAR(source[[#This Row],[report_date]])</f>
        <v>2025</v>
      </c>
      <c r="C7084" s="128">
        <f t="shared" si="328"/>
        <v>6</v>
      </c>
      <c r="D7084" s="136">
        <f t="shared" si="330"/>
        <v>23</v>
      </c>
      <c r="E7084" s="136">
        <f t="shared" si="329"/>
        <v>2</v>
      </c>
      <c r="F7084" s="128" t="s">
        <v>24</v>
      </c>
      <c r="G7084" s="128" t="str">
        <f>VLOOKUP(source[[#This Row],[lending_product_transform]],[3]Mapping!$B$4:$C$37,2,0)</f>
        <v>[Cake] - Cashloan</v>
      </c>
      <c r="H7084" s="128" t="str">
        <f>VLOOKUP(source[[#This Row],[lending_product_transform]],[3]Mapping!$B$3:$D$37,3,0)</f>
        <v>cashloan</v>
      </c>
      <c r="I7084" s="135">
        <v>12600000</v>
      </c>
    </row>
    <row r="7085" spans="1:9" x14ac:dyDescent="0.2">
      <c r="A7085" s="134">
        <v>45810</v>
      </c>
      <c r="B7085" s="135">
        <f>YEAR(source[[#This Row],[report_date]])</f>
        <v>2025</v>
      </c>
      <c r="C7085" s="128">
        <f t="shared" si="328"/>
        <v>6</v>
      </c>
      <c r="D7085" s="136">
        <f t="shared" si="330"/>
        <v>23</v>
      </c>
      <c r="E7085" s="136">
        <f t="shared" si="329"/>
        <v>2</v>
      </c>
      <c r="F7085" s="128" t="s">
        <v>24</v>
      </c>
      <c r="G7085" s="128" t="str">
        <f>VLOOKUP(source[[#This Row],[lending_product_transform]],[3]Mapping!$B$4:$C$37,2,0)</f>
        <v>[Cake] - Cashloan</v>
      </c>
      <c r="H7085" s="128" t="str">
        <f>VLOOKUP(source[[#This Row],[lending_product_transform]],[3]Mapping!$B$3:$D$37,3,0)</f>
        <v>cashloan</v>
      </c>
      <c r="I7085" s="135">
        <v>68350763</v>
      </c>
    </row>
    <row r="7086" spans="1:9" x14ac:dyDescent="0.2">
      <c r="A7086" s="134">
        <v>45810</v>
      </c>
      <c r="B7086" s="135">
        <f>YEAR(source[[#This Row],[report_date]])</f>
        <v>2025</v>
      </c>
      <c r="C7086" s="128">
        <f t="shared" si="328"/>
        <v>6</v>
      </c>
      <c r="D7086" s="136">
        <f t="shared" si="330"/>
        <v>23</v>
      </c>
      <c r="E7086" s="136">
        <f t="shared" si="329"/>
        <v>2</v>
      </c>
      <c r="F7086" s="128" t="s">
        <v>24</v>
      </c>
      <c r="G7086" s="128" t="str">
        <f>VLOOKUP(source[[#This Row],[lending_product_transform]],[3]Mapping!$B$4:$C$37,2,0)</f>
        <v>[Cake] - Cashloan</v>
      </c>
      <c r="H7086" s="128" t="str">
        <f>VLOOKUP(source[[#This Row],[lending_product_transform]],[3]Mapping!$B$3:$D$37,3,0)</f>
        <v>cashloan</v>
      </c>
      <c r="I7086" s="135">
        <v>44000000</v>
      </c>
    </row>
    <row r="7087" spans="1:9" x14ac:dyDescent="0.2">
      <c r="A7087" s="134">
        <v>45810</v>
      </c>
      <c r="B7087" s="135">
        <f>YEAR(source[[#This Row],[report_date]])</f>
        <v>2025</v>
      </c>
      <c r="C7087" s="128">
        <f t="shared" si="328"/>
        <v>6</v>
      </c>
      <c r="D7087" s="136">
        <f t="shared" si="330"/>
        <v>23</v>
      </c>
      <c r="E7087" s="136">
        <f t="shared" si="329"/>
        <v>2</v>
      </c>
      <c r="F7087" s="128" t="s">
        <v>24</v>
      </c>
      <c r="G7087" s="128" t="str">
        <f>VLOOKUP(source[[#This Row],[lending_product_transform]],[3]Mapping!$B$4:$C$37,2,0)</f>
        <v>[Cake] - Cashloan</v>
      </c>
      <c r="H7087" s="128" t="str">
        <f>VLOOKUP(source[[#This Row],[lending_product_transform]],[3]Mapping!$B$3:$D$37,3,0)</f>
        <v>cashloan</v>
      </c>
      <c r="I7087" s="135">
        <v>418050000</v>
      </c>
    </row>
    <row r="7088" spans="1:9" x14ac:dyDescent="0.2">
      <c r="A7088" s="134">
        <v>45810</v>
      </c>
      <c r="B7088" s="135">
        <f>YEAR(source[[#This Row],[report_date]])</f>
        <v>2025</v>
      </c>
      <c r="C7088" s="128">
        <f t="shared" si="328"/>
        <v>6</v>
      </c>
      <c r="D7088" s="136">
        <f t="shared" si="330"/>
        <v>23</v>
      </c>
      <c r="E7088" s="136">
        <f t="shared" si="329"/>
        <v>2</v>
      </c>
      <c r="F7088" s="128" t="s">
        <v>24</v>
      </c>
      <c r="G7088" s="128" t="str">
        <f>VLOOKUP(source[[#This Row],[lending_product_transform]],[3]Mapping!$B$4:$C$37,2,0)</f>
        <v>[Cake] - Cashloan</v>
      </c>
      <c r="H7088" s="128" t="str">
        <f>VLOOKUP(source[[#This Row],[lending_product_transform]],[3]Mapping!$B$3:$D$37,3,0)</f>
        <v>cashloan</v>
      </c>
      <c r="I7088" s="135">
        <v>0</v>
      </c>
    </row>
    <row r="7089" spans="1:9" x14ac:dyDescent="0.2">
      <c r="A7089" s="134">
        <v>45810</v>
      </c>
      <c r="B7089" s="135">
        <f>YEAR(source[[#This Row],[report_date]])</f>
        <v>2025</v>
      </c>
      <c r="C7089" s="128">
        <f t="shared" si="328"/>
        <v>6</v>
      </c>
      <c r="D7089" s="136">
        <f t="shared" si="330"/>
        <v>23</v>
      </c>
      <c r="E7089" s="136">
        <f t="shared" si="329"/>
        <v>2</v>
      </c>
      <c r="F7089" s="128" t="s">
        <v>24</v>
      </c>
      <c r="G7089" s="128" t="str">
        <f>VLOOKUP(source[[#This Row],[lending_product_transform]],[3]Mapping!$B$4:$C$37,2,0)</f>
        <v>[Cake] - Cashloan</v>
      </c>
      <c r="H7089" s="128" t="str">
        <f>VLOOKUP(source[[#This Row],[lending_product_transform]],[3]Mapping!$B$3:$D$37,3,0)</f>
        <v>cashloan</v>
      </c>
      <c r="I7089" s="135">
        <v>285370959</v>
      </c>
    </row>
    <row r="7090" spans="1:9" x14ac:dyDescent="0.2">
      <c r="A7090" s="134">
        <v>45810</v>
      </c>
      <c r="B7090" s="135">
        <f>YEAR(source[[#This Row],[report_date]])</f>
        <v>2025</v>
      </c>
      <c r="C7090" s="128">
        <f t="shared" si="328"/>
        <v>6</v>
      </c>
      <c r="D7090" s="136">
        <f t="shared" si="330"/>
        <v>23</v>
      </c>
      <c r="E7090" s="136">
        <f t="shared" si="329"/>
        <v>2</v>
      </c>
      <c r="F7090" s="128" t="s">
        <v>24</v>
      </c>
      <c r="G7090" s="128" t="str">
        <f>VLOOKUP(source[[#This Row],[lending_product_transform]],[3]Mapping!$B$4:$C$37,2,0)</f>
        <v>[Cake] - Cashloan</v>
      </c>
      <c r="H7090" s="128" t="str">
        <f>VLOOKUP(source[[#This Row],[lending_product_transform]],[3]Mapping!$B$3:$D$37,3,0)</f>
        <v>cashloan</v>
      </c>
      <c r="I7090" s="135">
        <v>378025986</v>
      </c>
    </row>
    <row r="7091" spans="1:9" x14ac:dyDescent="0.2">
      <c r="A7091" s="134">
        <v>45810</v>
      </c>
      <c r="B7091" s="135">
        <f>YEAR(source[[#This Row],[report_date]])</f>
        <v>2025</v>
      </c>
      <c r="C7091" s="128">
        <f t="shared" si="328"/>
        <v>6</v>
      </c>
      <c r="D7091" s="136">
        <f t="shared" si="330"/>
        <v>23</v>
      </c>
      <c r="E7091" s="136">
        <f t="shared" si="329"/>
        <v>2</v>
      </c>
      <c r="F7091" s="128" t="s">
        <v>24</v>
      </c>
      <c r="G7091" s="128" t="str">
        <f>VLOOKUP(source[[#This Row],[lending_product_transform]],[3]Mapping!$B$4:$C$37,2,0)</f>
        <v>[Cake] - Cashloan</v>
      </c>
      <c r="H7091" s="128" t="str">
        <f>VLOOKUP(source[[#This Row],[lending_product_transform]],[3]Mapping!$B$3:$D$37,3,0)</f>
        <v>cashloan</v>
      </c>
      <c r="I7091" s="135">
        <v>1569180000</v>
      </c>
    </row>
    <row r="7092" spans="1:9" x14ac:dyDescent="0.2">
      <c r="A7092" s="134">
        <v>45810</v>
      </c>
      <c r="B7092" s="135">
        <f>YEAR(source[[#This Row],[report_date]])</f>
        <v>2025</v>
      </c>
      <c r="C7092" s="128">
        <f t="shared" si="328"/>
        <v>6</v>
      </c>
      <c r="D7092" s="136">
        <f t="shared" si="330"/>
        <v>23</v>
      </c>
      <c r="E7092" s="136">
        <f t="shared" si="329"/>
        <v>2</v>
      </c>
      <c r="F7092" s="128" t="s">
        <v>24</v>
      </c>
      <c r="G7092" s="128" t="str">
        <f>VLOOKUP(source[[#This Row],[lending_product_transform]],[3]Mapping!$B$4:$C$37,2,0)</f>
        <v>[Cake] - Cashloan</v>
      </c>
      <c r="H7092" s="128" t="str">
        <f>VLOOKUP(source[[#This Row],[lending_product_transform]],[3]Mapping!$B$3:$D$37,3,0)</f>
        <v>cashloan</v>
      </c>
      <c r="I7092" s="135">
        <v>0</v>
      </c>
    </row>
    <row r="7093" spans="1:9" x14ac:dyDescent="0.2">
      <c r="A7093" s="134">
        <v>45810</v>
      </c>
      <c r="B7093" s="135">
        <f>YEAR(source[[#This Row],[report_date]])</f>
        <v>2025</v>
      </c>
      <c r="C7093" s="128">
        <f t="shared" si="328"/>
        <v>6</v>
      </c>
      <c r="D7093" s="136">
        <f t="shared" si="330"/>
        <v>23</v>
      </c>
      <c r="E7093" s="136">
        <f t="shared" si="329"/>
        <v>2</v>
      </c>
      <c r="F7093" s="128" t="s">
        <v>24</v>
      </c>
      <c r="G7093" s="128" t="str">
        <f>VLOOKUP(source[[#This Row],[lending_product_transform]],[3]Mapping!$B$4:$C$37,2,0)</f>
        <v>[Cake] - Cashloan</v>
      </c>
      <c r="H7093" s="128" t="str">
        <f>VLOOKUP(source[[#This Row],[lending_product_transform]],[3]Mapping!$B$3:$D$37,3,0)</f>
        <v>cashloan</v>
      </c>
      <c r="I7093" s="135">
        <v>5585163543</v>
      </c>
    </row>
    <row r="7094" spans="1:9" x14ac:dyDescent="0.2">
      <c r="A7094" s="134">
        <v>45810</v>
      </c>
      <c r="B7094" s="135">
        <f>YEAR(source[[#This Row],[report_date]])</f>
        <v>2025</v>
      </c>
      <c r="C7094" s="128">
        <f t="shared" ref="C7094:C7157" si="331">MONTH(A7094)</f>
        <v>6</v>
      </c>
      <c r="D7094" s="136">
        <f t="shared" si="330"/>
        <v>23</v>
      </c>
      <c r="E7094" s="136">
        <f t="shared" ref="E7094:E7157" si="332">DAY(A7094)</f>
        <v>2</v>
      </c>
      <c r="F7094" s="128" t="s">
        <v>24</v>
      </c>
      <c r="G7094" s="128" t="str">
        <f>VLOOKUP(source[[#This Row],[lending_product_transform]],[3]Mapping!$B$4:$C$37,2,0)</f>
        <v>[Cake] - Cashloan</v>
      </c>
      <c r="H7094" s="128" t="str">
        <f>VLOOKUP(source[[#This Row],[lending_product_transform]],[3]Mapping!$B$3:$D$37,3,0)</f>
        <v>cashloan</v>
      </c>
      <c r="I7094" s="135">
        <v>7615870000</v>
      </c>
    </row>
    <row r="7095" spans="1:9" x14ac:dyDescent="0.2">
      <c r="A7095" s="134">
        <v>45810</v>
      </c>
      <c r="B7095" s="135">
        <f>YEAR(source[[#This Row],[report_date]])</f>
        <v>2025</v>
      </c>
      <c r="C7095" s="128">
        <f t="shared" si="331"/>
        <v>6</v>
      </c>
      <c r="D7095" s="136">
        <f t="shared" si="330"/>
        <v>23</v>
      </c>
      <c r="E7095" s="136">
        <f t="shared" si="332"/>
        <v>2</v>
      </c>
      <c r="F7095" s="128" t="s">
        <v>24</v>
      </c>
      <c r="G7095" s="128" t="str">
        <f>VLOOKUP(source[[#This Row],[lending_product_transform]],[3]Mapping!$B$4:$C$37,2,0)</f>
        <v>[Cake] - Cashloan</v>
      </c>
      <c r="H7095" s="128" t="str">
        <f>VLOOKUP(source[[#This Row],[lending_product_transform]],[3]Mapping!$B$3:$D$37,3,0)</f>
        <v>cashloan</v>
      </c>
      <c r="I7095" s="135">
        <v>5868504000</v>
      </c>
    </row>
    <row r="7096" spans="1:9" x14ac:dyDescent="0.2">
      <c r="A7096" s="134">
        <v>45811</v>
      </c>
      <c r="B7096" s="135">
        <f>YEAR(source[[#This Row],[report_date]])</f>
        <v>2025</v>
      </c>
      <c r="C7096" s="128">
        <f t="shared" si="331"/>
        <v>6</v>
      </c>
      <c r="D7096" s="136">
        <f t="shared" si="330"/>
        <v>23</v>
      </c>
      <c r="E7096" s="136">
        <f t="shared" si="332"/>
        <v>3</v>
      </c>
      <c r="F7096" s="128" t="s">
        <v>24</v>
      </c>
      <c r="G7096" s="128" t="str">
        <f>VLOOKUP(source[[#This Row],[lending_product_transform]],[3]Mapping!$B$4:$C$37,2,0)</f>
        <v>[Cake] - Cashloan</v>
      </c>
      <c r="H7096" s="128" t="str">
        <f>VLOOKUP(source[[#This Row],[lending_product_transform]],[3]Mapping!$B$3:$D$37,3,0)</f>
        <v>cashloan</v>
      </c>
      <c r="I7096" s="135">
        <v>0</v>
      </c>
    </row>
    <row r="7097" spans="1:9" x14ac:dyDescent="0.2">
      <c r="A7097" s="134">
        <v>45811</v>
      </c>
      <c r="B7097" s="135">
        <f>YEAR(source[[#This Row],[report_date]])</f>
        <v>2025</v>
      </c>
      <c r="C7097" s="128">
        <f t="shared" si="331"/>
        <v>6</v>
      </c>
      <c r="D7097" s="136">
        <f t="shared" si="330"/>
        <v>23</v>
      </c>
      <c r="E7097" s="136">
        <f t="shared" si="332"/>
        <v>3</v>
      </c>
      <c r="F7097" s="128" t="s">
        <v>24</v>
      </c>
      <c r="G7097" s="128" t="str">
        <f>VLOOKUP(source[[#This Row],[lending_product_transform]],[3]Mapping!$B$4:$C$37,2,0)</f>
        <v>[Cake] - Cashloan</v>
      </c>
      <c r="H7097" s="128" t="str">
        <f>VLOOKUP(source[[#This Row],[lending_product_transform]],[3]Mapping!$B$3:$D$37,3,0)</f>
        <v>cashloan</v>
      </c>
      <c r="I7097" s="135">
        <v>4570116877</v>
      </c>
    </row>
    <row r="7098" spans="1:9" x14ac:dyDescent="0.2">
      <c r="A7098" s="134">
        <v>45811</v>
      </c>
      <c r="B7098" s="135">
        <f>YEAR(source[[#This Row],[report_date]])</f>
        <v>2025</v>
      </c>
      <c r="C7098" s="128">
        <f t="shared" si="331"/>
        <v>6</v>
      </c>
      <c r="D7098" s="136">
        <f t="shared" si="330"/>
        <v>23</v>
      </c>
      <c r="E7098" s="136">
        <f t="shared" si="332"/>
        <v>3</v>
      </c>
      <c r="F7098" s="128" t="s">
        <v>24</v>
      </c>
      <c r="G7098" s="128" t="str">
        <f>VLOOKUP(source[[#This Row],[lending_product_transform]],[3]Mapping!$B$4:$C$37,2,0)</f>
        <v>[Cake] - Cashloan</v>
      </c>
      <c r="H7098" s="128" t="str">
        <f>VLOOKUP(source[[#This Row],[lending_product_transform]],[3]Mapping!$B$3:$D$37,3,0)</f>
        <v>cashloan</v>
      </c>
      <c r="I7098" s="135">
        <v>534136304</v>
      </c>
    </row>
    <row r="7099" spans="1:9" x14ac:dyDescent="0.2">
      <c r="A7099" s="134">
        <v>45811</v>
      </c>
      <c r="B7099" s="135">
        <f>YEAR(source[[#This Row],[report_date]])</f>
        <v>2025</v>
      </c>
      <c r="C7099" s="128">
        <f t="shared" si="331"/>
        <v>6</v>
      </c>
      <c r="D7099" s="136">
        <f t="shared" si="330"/>
        <v>23</v>
      </c>
      <c r="E7099" s="136">
        <f t="shared" si="332"/>
        <v>3</v>
      </c>
      <c r="F7099" s="128" t="s">
        <v>24</v>
      </c>
      <c r="G7099" s="128" t="str">
        <f>VLOOKUP(source[[#This Row],[lending_product_transform]],[3]Mapping!$B$4:$C$37,2,0)</f>
        <v>[Cake] - Cashloan</v>
      </c>
      <c r="H7099" s="128" t="str">
        <f>VLOOKUP(source[[#This Row],[lending_product_transform]],[3]Mapping!$B$3:$D$37,3,0)</f>
        <v>cashloan</v>
      </c>
      <c r="I7099" s="135">
        <v>1157890000</v>
      </c>
    </row>
    <row r="7100" spans="1:9" x14ac:dyDescent="0.2">
      <c r="A7100" s="134">
        <v>45811</v>
      </c>
      <c r="B7100" s="135">
        <f>YEAR(source[[#This Row],[report_date]])</f>
        <v>2025</v>
      </c>
      <c r="C7100" s="128">
        <f t="shared" si="331"/>
        <v>6</v>
      </c>
      <c r="D7100" s="136">
        <f t="shared" si="330"/>
        <v>23</v>
      </c>
      <c r="E7100" s="136">
        <f t="shared" si="332"/>
        <v>3</v>
      </c>
      <c r="F7100" s="128" t="s">
        <v>24</v>
      </c>
      <c r="G7100" s="128" t="str">
        <f>VLOOKUP(source[[#This Row],[lending_product_transform]],[3]Mapping!$B$4:$C$37,2,0)</f>
        <v>[Cake] - Cashloan</v>
      </c>
      <c r="H7100" s="128" t="str">
        <f>VLOOKUP(source[[#This Row],[lending_product_transform]],[3]Mapping!$B$3:$D$37,3,0)</f>
        <v>cashloan</v>
      </c>
      <c r="I7100" s="135">
        <v>52000000</v>
      </c>
    </row>
    <row r="7101" spans="1:9" x14ac:dyDescent="0.2">
      <c r="A7101" s="134">
        <v>45811</v>
      </c>
      <c r="B7101" s="135">
        <f>YEAR(source[[#This Row],[report_date]])</f>
        <v>2025</v>
      </c>
      <c r="C7101" s="128">
        <f t="shared" si="331"/>
        <v>6</v>
      </c>
      <c r="D7101" s="136">
        <f t="shared" si="330"/>
        <v>23</v>
      </c>
      <c r="E7101" s="136">
        <f t="shared" si="332"/>
        <v>3</v>
      </c>
      <c r="F7101" s="128" t="s">
        <v>24</v>
      </c>
      <c r="G7101" s="128" t="str">
        <f>VLOOKUP(source[[#This Row],[lending_product_transform]],[3]Mapping!$B$4:$C$37,2,0)</f>
        <v>[Cake] - Cashloan</v>
      </c>
      <c r="H7101" s="128" t="str">
        <f>VLOOKUP(source[[#This Row],[lending_product_transform]],[3]Mapping!$B$3:$D$37,3,0)</f>
        <v>cashloan</v>
      </c>
      <c r="I7101" s="135">
        <v>7314810000</v>
      </c>
    </row>
    <row r="7102" spans="1:9" x14ac:dyDescent="0.2">
      <c r="A7102" s="134">
        <v>45811</v>
      </c>
      <c r="B7102" s="135">
        <f>YEAR(source[[#This Row],[report_date]])</f>
        <v>2025</v>
      </c>
      <c r="C7102" s="128">
        <f t="shared" si="331"/>
        <v>6</v>
      </c>
      <c r="D7102" s="136">
        <f t="shared" si="330"/>
        <v>23</v>
      </c>
      <c r="E7102" s="136">
        <f t="shared" si="332"/>
        <v>3</v>
      </c>
      <c r="F7102" s="128" t="s">
        <v>24</v>
      </c>
      <c r="G7102" s="128" t="str">
        <f>VLOOKUP(source[[#This Row],[lending_product_transform]],[3]Mapping!$B$4:$C$37,2,0)</f>
        <v>[Cake] - Cashloan</v>
      </c>
      <c r="H7102" s="128" t="str">
        <f>VLOOKUP(source[[#This Row],[lending_product_transform]],[3]Mapping!$B$3:$D$37,3,0)</f>
        <v>cashloan</v>
      </c>
      <c r="I7102" s="135">
        <v>9956120000</v>
      </c>
    </row>
    <row r="7103" spans="1:9" x14ac:dyDescent="0.2">
      <c r="A7103" s="134">
        <v>45811</v>
      </c>
      <c r="B7103" s="135">
        <f>YEAR(source[[#This Row],[report_date]])</f>
        <v>2025</v>
      </c>
      <c r="C7103" s="128">
        <f t="shared" si="331"/>
        <v>6</v>
      </c>
      <c r="D7103" s="136">
        <f t="shared" si="330"/>
        <v>23</v>
      </c>
      <c r="E7103" s="136">
        <f t="shared" si="332"/>
        <v>3</v>
      </c>
      <c r="F7103" s="128" t="s">
        <v>24</v>
      </c>
      <c r="G7103" s="128" t="str">
        <f>VLOOKUP(source[[#This Row],[lending_product_transform]],[3]Mapping!$B$4:$C$37,2,0)</f>
        <v>[Cake] - Cashloan</v>
      </c>
      <c r="H7103" s="128" t="str">
        <f>VLOOKUP(source[[#This Row],[lending_product_transform]],[3]Mapping!$B$3:$D$37,3,0)</f>
        <v>cashloan</v>
      </c>
      <c r="I7103" s="135">
        <v>0</v>
      </c>
    </row>
    <row r="7104" spans="1:9" x14ac:dyDescent="0.2">
      <c r="A7104" s="134">
        <v>45811</v>
      </c>
      <c r="B7104" s="135">
        <f>YEAR(source[[#This Row],[report_date]])</f>
        <v>2025</v>
      </c>
      <c r="C7104" s="128">
        <f t="shared" si="331"/>
        <v>6</v>
      </c>
      <c r="D7104" s="136">
        <f t="shared" si="330"/>
        <v>23</v>
      </c>
      <c r="E7104" s="136">
        <f t="shared" si="332"/>
        <v>3</v>
      </c>
      <c r="F7104" s="128" t="s">
        <v>24</v>
      </c>
      <c r="G7104" s="128" t="str">
        <f>VLOOKUP(source[[#This Row],[lending_product_transform]],[3]Mapping!$B$4:$C$37,2,0)</f>
        <v>[Cake] - Cashloan</v>
      </c>
      <c r="H7104" s="128" t="str">
        <f>VLOOKUP(source[[#This Row],[lending_product_transform]],[3]Mapping!$B$3:$D$37,3,0)</f>
        <v>cashloan</v>
      </c>
      <c r="I7104" s="135">
        <v>0</v>
      </c>
    </row>
    <row r="7105" spans="1:9" x14ac:dyDescent="0.2">
      <c r="A7105" s="134">
        <v>45811</v>
      </c>
      <c r="B7105" s="135">
        <f>YEAR(source[[#This Row],[report_date]])</f>
        <v>2025</v>
      </c>
      <c r="C7105" s="128">
        <f t="shared" si="331"/>
        <v>6</v>
      </c>
      <c r="D7105" s="136">
        <f t="shared" si="330"/>
        <v>23</v>
      </c>
      <c r="E7105" s="136">
        <f t="shared" si="332"/>
        <v>3</v>
      </c>
      <c r="F7105" s="128" t="s">
        <v>24</v>
      </c>
      <c r="G7105" s="128" t="str">
        <f>VLOOKUP(source[[#This Row],[lending_product_transform]],[3]Mapping!$B$4:$C$37,2,0)</f>
        <v>[Cake] - Cashloan</v>
      </c>
      <c r="H7105" s="128" t="str">
        <f>VLOOKUP(source[[#This Row],[lending_product_transform]],[3]Mapping!$B$3:$D$37,3,0)</f>
        <v>cashloan</v>
      </c>
      <c r="I7105" s="135">
        <v>56070279</v>
      </c>
    </row>
    <row r="7106" spans="1:9" x14ac:dyDescent="0.2">
      <c r="A7106" s="134">
        <v>45811</v>
      </c>
      <c r="B7106" s="135">
        <f>YEAR(source[[#This Row],[report_date]])</f>
        <v>2025</v>
      </c>
      <c r="C7106" s="128">
        <f t="shared" si="331"/>
        <v>6</v>
      </c>
      <c r="D7106" s="136">
        <f t="shared" si="330"/>
        <v>23</v>
      </c>
      <c r="E7106" s="136">
        <f t="shared" si="332"/>
        <v>3</v>
      </c>
      <c r="F7106" s="128" t="s">
        <v>24</v>
      </c>
      <c r="G7106" s="128" t="str">
        <f>VLOOKUP(source[[#This Row],[lending_product_transform]],[3]Mapping!$B$4:$C$37,2,0)</f>
        <v>[Cake] - Cashloan</v>
      </c>
      <c r="H7106" s="128" t="str">
        <f>VLOOKUP(source[[#This Row],[lending_product_transform]],[3]Mapping!$B$3:$D$37,3,0)</f>
        <v>cashloan</v>
      </c>
      <c r="I7106" s="135">
        <v>3244000000</v>
      </c>
    </row>
    <row r="7107" spans="1:9" x14ac:dyDescent="0.2">
      <c r="A7107" s="134">
        <v>45811</v>
      </c>
      <c r="B7107" s="135">
        <f>YEAR(source[[#This Row],[report_date]])</f>
        <v>2025</v>
      </c>
      <c r="C7107" s="128">
        <f t="shared" si="331"/>
        <v>6</v>
      </c>
      <c r="D7107" s="136">
        <f t="shared" ref="D7107:D7170" si="333">WEEKNUM(A7107,2)</f>
        <v>23</v>
      </c>
      <c r="E7107" s="136">
        <f t="shared" si="332"/>
        <v>3</v>
      </c>
      <c r="F7107" s="128" t="s">
        <v>24</v>
      </c>
      <c r="G7107" s="128" t="str">
        <f>VLOOKUP(source[[#This Row],[lending_product_transform]],[3]Mapping!$B$4:$C$37,2,0)</f>
        <v>[Cake] - Cashloan</v>
      </c>
      <c r="H7107" s="128" t="str">
        <f>VLOOKUP(source[[#This Row],[lending_product_transform]],[3]Mapping!$B$3:$D$37,3,0)</f>
        <v>cashloan</v>
      </c>
      <c r="I7107" s="135">
        <v>1220246387</v>
      </c>
    </row>
    <row r="7108" spans="1:9" x14ac:dyDescent="0.2">
      <c r="A7108" s="134">
        <v>45811</v>
      </c>
      <c r="B7108" s="135">
        <f>YEAR(source[[#This Row],[report_date]])</f>
        <v>2025</v>
      </c>
      <c r="C7108" s="128">
        <f t="shared" si="331"/>
        <v>6</v>
      </c>
      <c r="D7108" s="136">
        <f t="shared" si="333"/>
        <v>23</v>
      </c>
      <c r="E7108" s="136">
        <f t="shared" si="332"/>
        <v>3</v>
      </c>
      <c r="F7108" s="128" t="s">
        <v>24</v>
      </c>
      <c r="G7108" s="128" t="str">
        <f>VLOOKUP(source[[#This Row],[lending_product_transform]],[3]Mapping!$B$4:$C$37,2,0)</f>
        <v>[Cake] - Cashloan</v>
      </c>
      <c r="H7108" s="128" t="str">
        <f>VLOOKUP(source[[#This Row],[lending_product_transform]],[3]Mapping!$B$3:$D$37,3,0)</f>
        <v>cashloan</v>
      </c>
      <c r="I7108" s="135">
        <v>0</v>
      </c>
    </row>
    <row r="7109" spans="1:9" x14ac:dyDescent="0.2">
      <c r="A7109" s="134">
        <v>45811</v>
      </c>
      <c r="B7109" s="135">
        <f>YEAR(source[[#This Row],[report_date]])</f>
        <v>2025</v>
      </c>
      <c r="C7109" s="128">
        <f t="shared" si="331"/>
        <v>6</v>
      </c>
      <c r="D7109" s="136">
        <f t="shared" si="333"/>
        <v>23</v>
      </c>
      <c r="E7109" s="136">
        <f t="shared" si="332"/>
        <v>3</v>
      </c>
      <c r="F7109" s="128" t="s">
        <v>24</v>
      </c>
      <c r="G7109" s="128" t="str">
        <f>VLOOKUP(source[[#This Row],[lending_product_transform]],[3]Mapping!$B$4:$C$37,2,0)</f>
        <v>[Cake] - Cashloan</v>
      </c>
      <c r="H7109" s="128" t="str">
        <f>VLOOKUP(source[[#This Row],[lending_product_transform]],[3]Mapping!$B$3:$D$37,3,0)</f>
        <v>cashloan</v>
      </c>
      <c r="I7109" s="135">
        <v>324495184</v>
      </c>
    </row>
    <row r="7110" spans="1:9" x14ac:dyDescent="0.2">
      <c r="A7110" s="134">
        <v>45811</v>
      </c>
      <c r="B7110" s="135">
        <f>YEAR(source[[#This Row],[report_date]])</f>
        <v>2025</v>
      </c>
      <c r="C7110" s="128">
        <f t="shared" si="331"/>
        <v>6</v>
      </c>
      <c r="D7110" s="136">
        <f t="shared" si="333"/>
        <v>23</v>
      </c>
      <c r="E7110" s="136">
        <f t="shared" si="332"/>
        <v>3</v>
      </c>
      <c r="F7110" s="128" t="s">
        <v>24</v>
      </c>
      <c r="G7110" s="128" t="str">
        <f>VLOOKUP(source[[#This Row],[lending_product_transform]],[3]Mapping!$B$4:$C$37,2,0)</f>
        <v>[Cake] - Cashloan</v>
      </c>
      <c r="H7110" s="128" t="str">
        <f>VLOOKUP(source[[#This Row],[lending_product_transform]],[3]Mapping!$B$3:$D$37,3,0)</f>
        <v>cashloan</v>
      </c>
      <c r="I7110" s="135">
        <v>0</v>
      </c>
    </row>
    <row r="7111" spans="1:9" x14ac:dyDescent="0.2">
      <c r="A7111" s="134">
        <v>45811</v>
      </c>
      <c r="B7111" s="135">
        <f>YEAR(source[[#This Row],[report_date]])</f>
        <v>2025</v>
      </c>
      <c r="C7111" s="128">
        <f t="shared" si="331"/>
        <v>6</v>
      </c>
      <c r="D7111" s="136">
        <f t="shared" si="333"/>
        <v>23</v>
      </c>
      <c r="E7111" s="136">
        <f t="shared" si="332"/>
        <v>3</v>
      </c>
      <c r="F7111" s="128" t="s">
        <v>24</v>
      </c>
      <c r="G7111" s="128" t="str">
        <f>VLOOKUP(source[[#This Row],[lending_product_transform]],[3]Mapping!$B$4:$C$37,2,0)</f>
        <v>[Cake] - Cashloan</v>
      </c>
      <c r="H7111" s="128" t="str">
        <f>VLOOKUP(source[[#This Row],[lending_product_transform]],[3]Mapping!$B$3:$D$37,3,0)</f>
        <v>cashloan</v>
      </c>
      <c r="I7111" s="135">
        <v>628140000</v>
      </c>
    </row>
    <row r="7112" spans="1:9" x14ac:dyDescent="0.2">
      <c r="A7112" s="134">
        <v>45811</v>
      </c>
      <c r="B7112" s="135">
        <f>YEAR(source[[#This Row],[report_date]])</f>
        <v>2025</v>
      </c>
      <c r="C7112" s="128">
        <f t="shared" si="331"/>
        <v>6</v>
      </c>
      <c r="D7112" s="136">
        <f t="shared" si="333"/>
        <v>23</v>
      </c>
      <c r="E7112" s="136">
        <f t="shared" si="332"/>
        <v>3</v>
      </c>
      <c r="F7112" s="128" t="s">
        <v>24</v>
      </c>
      <c r="G7112" s="128" t="str">
        <f>VLOOKUP(source[[#This Row],[lending_product_transform]],[3]Mapping!$B$4:$C$37,2,0)</f>
        <v>[Cake] - Cashloan</v>
      </c>
      <c r="H7112" s="128" t="str">
        <f>VLOOKUP(source[[#This Row],[lending_product_transform]],[3]Mapping!$B$3:$D$37,3,0)</f>
        <v>cashloan</v>
      </c>
      <c r="I7112" s="135">
        <v>10500000</v>
      </c>
    </row>
    <row r="7113" spans="1:9" x14ac:dyDescent="0.2">
      <c r="A7113" s="134">
        <v>45811</v>
      </c>
      <c r="B7113" s="135">
        <f>YEAR(source[[#This Row],[report_date]])</f>
        <v>2025</v>
      </c>
      <c r="C7113" s="128">
        <f t="shared" si="331"/>
        <v>6</v>
      </c>
      <c r="D7113" s="136">
        <f t="shared" si="333"/>
        <v>23</v>
      </c>
      <c r="E7113" s="136">
        <f t="shared" si="332"/>
        <v>3</v>
      </c>
      <c r="F7113" s="128" t="s">
        <v>24</v>
      </c>
      <c r="G7113" s="128" t="str">
        <f>VLOOKUP(source[[#This Row],[lending_product_transform]],[3]Mapping!$B$4:$C$37,2,0)</f>
        <v>[Cake] - Cashloan</v>
      </c>
      <c r="H7113" s="128" t="str">
        <f>VLOOKUP(source[[#This Row],[lending_product_transform]],[3]Mapping!$B$3:$D$37,3,0)</f>
        <v>cashloan</v>
      </c>
      <c r="I7113" s="135">
        <v>5594076000</v>
      </c>
    </row>
    <row r="7114" spans="1:9" x14ac:dyDescent="0.2">
      <c r="A7114" s="134">
        <v>45812</v>
      </c>
      <c r="B7114" s="135">
        <f>YEAR(source[[#This Row],[report_date]])</f>
        <v>2025</v>
      </c>
      <c r="C7114" s="128">
        <f t="shared" si="331"/>
        <v>6</v>
      </c>
      <c r="D7114" s="136">
        <f t="shared" si="333"/>
        <v>23</v>
      </c>
      <c r="E7114" s="136">
        <f t="shared" si="332"/>
        <v>4</v>
      </c>
      <c r="F7114" s="128" t="s">
        <v>24</v>
      </c>
      <c r="G7114" s="128" t="str">
        <f>VLOOKUP(source[[#This Row],[lending_product_transform]],[3]Mapping!$B$4:$C$37,2,0)</f>
        <v>[Cake] - Cashloan</v>
      </c>
      <c r="H7114" s="128" t="str">
        <f>VLOOKUP(source[[#This Row],[lending_product_transform]],[3]Mapping!$B$3:$D$37,3,0)</f>
        <v>cashloan</v>
      </c>
      <c r="I7114" s="135">
        <v>9567990000</v>
      </c>
    </row>
    <row r="7115" spans="1:9" x14ac:dyDescent="0.2">
      <c r="A7115" s="134">
        <v>45812</v>
      </c>
      <c r="B7115" s="135">
        <f>YEAR(source[[#This Row],[report_date]])</f>
        <v>2025</v>
      </c>
      <c r="C7115" s="128">
        <f t="shared" si="331"/>
        <v>6</v>
      </c>
      <c r="D7115" s="136">
        <f t="shared" si="333"/>
        <v>23</v>
      </c>
      <c r="E7115" s="136">
        <f t="shared" si="332"/>
        <v>4</v>
      </c>
      <c r="F7115" s="128" t="s">
        <v>24</v>
      </c>
      <c r="G7115" s="128" t="str">
        <f>VLOOKUP(source[[#This Row],[lending_product_transform]],[3]Mapping!$B$4:$C$37,2,0)</f>
        <v>[Cake] - Cashloan</v>
      </c>
      <c r="H7115" s="128" t="str">
        <f>VLOOKUP(source[[#This Row],[lending_product_transform]],[3]Mapping!$B$3:$D$37,3,0)</f>
        <v>cashloan</v>
      </c>
      <c r="I7115" s="135">
        <v>14000000</v>
      </c>
    </row>
    <row r="7116" spans="1:9" x14ac:dyDescent="0.2">
      <c r="A7116" s="134">
        <v>45812</v>
      </c>
      <c r="B7116" s="135">
        <f>YEAR(source[[#This Row],[report_date]])</f>
        <v>2025</v>
      </c>
      <c r="C7116" s="128">
        <f t="shared" si="331"/>
        <v>6</v>
      </c>
      <c r="D7116" s="136">
        <f t="shared" si="333"/>
        <v>23</v>
      </c>
      <c r="E7116" s="136">
        <f t="shared" si="332"/>
        <v>4</v>
      </c>
      <c r="F7116" s="128" t="s">
        <v>24</v>
      </c>
      <c r="G7116" s="128" t="str">
        <f>VLOOKUP(source[[#This Row],[lending_product_transform]],[3]Mapping!$B$4:$C$37,2,0)</f>
        <v>[Cake] - Cashloan</v>
      </c>
      <c r="H7116" s="128" t="str">
        <f>VLOOKUP(source[[#This Row],[lending_product_transform]],[3]Mapping!$B$3:$D$37,3,0)</f>
        <v>cashloan</v>
      </c>
      <c r="I7116" s="135">
        <v>2417440000</v>
      </c>
    </row>
    <row r="7117" spans="1:9" x14ac:dyDescent="0.2">
      <c r="A7117" s="134">
        <v>45812</v>
      </c>
      <c r="B7117" s="135">
        <f>YEAR(source[[#This Row],[report_date]])</f>
        <v>2025</v>
      </c>
      <c r="C7117" s="128">
        <f t="shared" si="331"/>
        <v>6</v>
      </c>
      <c r="D7117" s="136">
        <f t="shared" si="333"/>
        <v>23</v>
      </c>
      <c r="E7117" s="136">
        <f t="shared" si="332"/>
        <v>4</v>
      </c>
      <c r="F7117" s="128" t="s">
        <v>24</v>
      </c>
      <c r="G7117" s="128" t="str">
        <f>VLOOKUP(source[[#This Row],[lending_product_transform]],[3]Mapping!$B$4:$C$37,2,0)</f>
        <v>[Cake] - Cashloan</v>
      </c>
      <c r="H7117" s="128" t="str">
        <f>VLOOKUP(source[[#This Row],[lending_product_transform]],[3]Mapping!$B$3:$D$37,3,0)</f>
        <v>cashloan</v>
      </c>
      <c r="I7117" s="135">
        <v>5751756000</v>
      </c>
    </row>
    <row r="7118" spans="1:9" x14ac:dyDescent="0.2">
      <c r="A7118" s="134">
        <v>45812</v>
      </c>
      <c r="B7118" s="135">
        <f>YEAR(source[[#This Row],[report_date]])</f>
        <v>2025</v>
      </c>
      <c r="C7118" s="128">
        <f t="shared" si="331"/>
        <v>6</v>
      </c>
      <c r="D7118" s="136">
        <f t="shared" si="333"/>
        <v>23</v>
      </c>
      <c r="E7118" s="136">
        <f t="shared" si="332"/>
        <v>4</v>
      </c>
      <c r="F7118" s="128" t="s">
        <v>24</v>
      </c>
      <c r="G7118" s="128" t="str">
        <f>VLOOKUP(source[[#This Row],[lending_product_transform]],[3]Mapping!$B$4:$C$37,2,0)</f>
        <v>[Cake] - Cashloan</v>
      </c>
      <c r="H7118" s="128" t="str">
        <f>VLOOKUP(source[[#This Row],[lending_product_transform]],[3]Mapping!$B$3:$D$37,3,0)</f>
        <v>cashloan</v>
      </c>
      <c r="I7118" s="135">
        <v>0</v>
      </c>
    </row>
    <row r="7119" spans="1:9" x14ac:dyDescent="0.2">
      <c r="A7119" s="134">
        <v>45812</v>
      </c>
      <c r="B7119" s="135">
        <f>YEAR(source[[#This Row],[report_date]])</f>
        <v>2025</v>
      </c>
      <c r="C7119" s="128">
        <f t="shared" si="331"/>
        <v>6</v>
      </c>
      <c r="D7119" s="136">
        <f t="shared" si="333"/>
        <v>23</v>
      </c>
      <c r="E7119" s="136">
        <f t="shared" si="332"/>
        <v>4</v>
      </c>
      <c r="F7119" s="128" t="s">
        <v>24</v>
      </c>
      <c r="G7119" s="128" t="str">
        <f>VLOOKUP(source[[#This Row],[lending_product_transform]],[3]Mapping!$B$4:$C$37,2,0)</f>
        <v>[Cake] - Cashloan</v>
      </c>
      <c r="H7119" s="128" t="str">
        <f>VLOOKUP(source[[#This Row],[lending_product_transform]],[3]Mapping!$B$3:$D$37,3,0)</f>
        <v>cashloan</v>
      </c>
      <c r="I7119" s="135">
        <v>816341257</v>
      </c>
    </row>
    <row r="7120" spans="1:9" x14ac:dyDescent="0.2">
      <c r="A7120" s="134">
        <v>45812</v>
      </c>
      <c r="B7120" s="135">
        <f>YEAR(source[[#This Row],[report_date]])</f>
        <v>2025</v>
      </c>
      <c r="C7120" s="128">
        <f t="shared" si="331"/>
        <v>6</v>
      </c>
      <c r="D7120" s="136">
        <f t="shared" si="333"/>
        <v>23</v>
      </c>
      <c r="E7120" s="136">
        <f t="shared" si="332"/>
        <v>4</v>
      </c>
      <c r="F7120" s="128" t="s">
        <v>24</v>
      </c>
      <c r="G7120" s="128" t="str">
        <f>VLOOKUP(source[[#This Row],[lending_product_transform]],[3]Mapping!$B$4:$C$37,2,0)</f>
        <v>[Cake] - Cashloan</v>
      </c>
      <c r="H7120" s="128" t="str">
        <f>VLOOKUP(source[[#This Row],[lending_product_transform]],[3]Mapping!$B$3:$D$37,3,0)</f>
        <v>cashloan</v>
      </c>
      <c r="I7120" s="135">
        <v>4857003911</v>
      </c>
    </row>
    <row r="7121" spans="1:9" x14ac:dyDescent="0.2">
      <c r="A7121" s="134">
        <v>45812</v>
      </c>
      <c r="B7121" s="135">
        <f>YEAR(source[[#This Row],[report_date]])</f>
        <v>2025</v>
      </c>
      <c r="C7121" s="128">
        <f t="shared" si="331"/>
        <v>6</v>
      </c>
      <c r="D7121" s="136">
        <f t="shared" si="333"/>
        <v>23</v>
      </c>
      <c r="E7121" s="136">
        <f t="shared" si="332"/>
        <v>4</v>
      </c>
      <c r="F7121" s="128" t="s">
        <v>24</v>
      </c>
      <c r="G7121" s="128" t="str">
        <f>VLOOKUP(source[[#This Row],[lending_product_transform]],[3]Mapping!$B$4:$C$37,2,0)</f>
        <v>[Cake] - Cashloan</v>
      </c>
      <c r="H7121" s="128" t="str">
        <f>VLOOKUP(source[[#This Row],[lending_product_transform]],[3]Mapping!$B$3:$D$37,3,0)</f>
        <v>cashloan</v>
      </c>
      <c r="I7121" s="135">
        <v>436802134</v>
      </c>
    </row>
    <row r="7122" spans="1:9" x14ac:dyDescent="0.2">
      <c r="A7122" s="134">
        <v>45812</v>
      </c>
      <c r="B7122" s="135">
        <f>YEAR(source[[#This Row],[report_date]])</f>
        <v>2025</v>
      </c>
      <c r="C7122" s="128">
        <f t="shared" si="331"/>
        <v>6</v>
      </c>
      <c r="D7122" s="136">
        <f t="shared" si="333"/>
        <v>23</v>
      </c>
      <c r="E7122" s="136">
        <f t="shared" si="332"/>
        <v>4</v>
      </c>
      <c r="F7122" s="128" t="s">
        <v>24</v>
      </c>
      <c r="G7122" s="128" t="str">
        <f>VLOOKUP(source[[#This Row],[lending_product_transform]],[3]Mapping!$B$4:$C$37,2,0)</f>
        <v>[Cake] - Cashloan</v>
      </c>
      <c r="H7122" s="128" t="str">
        <f>VLOOKUP(source[[#This Row],[lending_product_transform]],[3]Mapping!$B$3:$D$37,3,0)</f>
        <v>cashloan</v>
      </c>
      <c r="I7122" s="135">
        <v>0</v>
      </c>
    </row>
    <row r="7123" spans="1:9" x14ac:dyDescent="0.2">
      <c r="A7123" s="134">
        <v>45812</v>
      </c>
      <c r="B7123" s="135">
        <f>YEAR(source[[#This Row],[report_date]])</f>
        <v>2025</v>
      </c>
      <c r="C7123" s="128">
        <f t="shared" si="331"/>
        <v>6</v>
      </c>
      <c r="D7123" s="136">
        <f t="shared" si="333"/>
        <v>23</v>
      </c>
      <c r="E7123" s="136">
        <f t="shared" si="332"/>
        <v>4</v>
      </c>
      <c r="F7123" s="128" t="s">
        <v>24</v>
      </c>
      <c r="G7123" s="128" t="str">
        <f>VLOOKUP(source[[#This Row],[lending_product_transform]],[3]Mapping!$B$4:$C$37,2,0)</f>
        <v>[Cake] - Cashloan</v>
      </c>
      <c r="H7123" s="128" t="str">
        <f>VLOOKUP(source[[#This Row],[lending_product_transform]],[3]Mapping!$B$3:$D$37,3,0)</f>
        <v>cashloan</v>
      </c>
      <c r="I7123" s="135">
        <v>0</v>
      </c>
    </row>
    <row r="7124" spans="1:9" x14ac:dyDescent="0.2">
      <c r="A7124" s="134">
        <v>45812</v>
      </c>
      <c r="B7124" s="135">
        <f>YEAR(source[[#This Row],[report_date]])</f>
        <v>2025</v>
      </c>
      <c r="C7124" s="128">
        <f t="shared" si="331"/>
        <v>6</v>
      </c>
      <c r="D7124" s="136">
        <f t="shared" si="333"/>
        <v>23</v>
      </c>
      <c r="E7124" s="136">
        <f t="shared" si="332"/>
        <v>4</v>
      </c>
      <c r="F7124" s="128" t="s">
        <v>24</v>
      </c>
      <c r="G7124" s="128" t="str">
        <f>VLOOKUP(source[[#This Row],[lending_product_transform]],[3]Mapping!$B$4:$C$37,2,0)</f>
        <v>[Cake] - Cashloan</v>
      </c>
      <c r="H7124" s="128" t="str">
        <f>VLOOKUP(source[[#This Row],[lending_product_transform]],[3]Mapping!$B$3:$D$37,3,0)</f>
        <v>cashloan</v>
      </c>
      <c r="I7124" s="135">
        <v>1079490000</v>
      </c>
    </row>
    <row r="7125" spans="1:9" x14ac:dyDescent="0.2">
      <c r="A7125" s="134">
        <v>45812</v>
      </c>
      <c r="B7125" s="135">
        <f>YEAR(source[[#This Row],[report_date]])</f>
        <v>2025</v>
      </c>
      <c r="C7125" s="128">
        <f t="shared" si="331"/>
        <v>6</v>
      </c>
      <c r="D7125" s="136">
        <f t="shared" si="333"/>
        <v>23</v>
      </c>
      <c r="E7125" s="136">
        <f t="shared" si="332"/>
        <v>4</v>
      </c>
      <c r="F7125" s="128" t="s">
        <v>24</v>
      </c>
      <c r="G7125" s="128" t="str">
        <f>VLOOKUP(source[[#This Row],[lending_product_transform]],[3]Mapping!$B$4:$C$37,2,0)</f>
        <v>[Cake] - Cashloan</v>
      </c>
      <c r="H7125" s="128" t="str">
        <f>VLOOKUP(source[[#This Row],[lending_product_transform]],[3]Mapping!$B$3:$D$37,3,0)</f>
        <v>cashloan</v>
      </c>
      <c r="I7125" s="135">
        <v>658050000</v>
      </c>
    </row>
    <row r="7126" spans="1:9" x14ac:dyDescent="0.2">
      <c r="A7126" s="134">
        <v>45812</v>
      </c>
      <c r="B7126" s="135">
        <f>YEAR(source[[#This Row],[report_date]])</f>
        <v>2025</v>
      </c>
      <c r="C7126" s="128">
        <f t="shared" si="331"/>
        <v>6</v>
      </c>
      <c r="D7126" s="136">
        <f t="shared" si="333"/>
        <v>23</v>
      </c>
      <c r="E7126" s="136">
        <f t="shared" si="332"/>
        <v>4</v>
      </c>
      <c r="F7126" s="128" t="s">
        <v>24</v>
      </c>
      <c r="G7126" s="128" t="str">
        <f>VLOOKUP(source[[#This Row],[lending_product_transform]],[3]Mapping!$B$4:$C$37,2,0)</f>
        <v>[Cake] - Cashloan</v>
      </c>
      <c r="H7126" s="128" t="str">
        <f>VLOOKUP(source[[#This Row],[lending_product_transform]],[3]Mapping!$B$3:$D$37,3,0)</f>
        <v>cashloan</v>
      </c>
      <c r="I7126" s="135">
        <v>15750000</v>
      </c>
    </row>
    <row r="7127" spans="1:9" x14ac:dyDescent="0.2">
      <c r="A7127" s="134">
        <v>45812</v>
      </c>
      <c r="B7127" s="135">
        <f>YEAR(source[[#This Row],[report_date]])</f>
        <v>2025</v>
      </c>
      <c r="C7127" s="128">
        <f t="shared" si="331"/>
        <v>6</v>
      </c>
      <c r="D7127" s="136">
        <f t="shared" si="333"/>
        <v>23</v>
      </c>
      <c r="E7127" s="136">
        <f t="shared" si="332"/>
        <v>4</v>
      </c>
      <c r="F7127" s="128" t="s">
        <v>24</v>
      </c>
      <c r="G7127" s="128" t="str">
        <f>VLOOKUP(source[[#This Row],[lending_product_transform]],[3]Mapping!$B$4:$C$37,2,0)</f>
        <v>[Cake] - Cashloan</v>
      </c>
      <c r="H7127" s="128" t="str">
        <f>VLOOKUP(source[[#This Row],[lending_product_transform]],[3]Mapping!$B$3:$D$37,3,0)</f>
        <v>cashloan</v>
      </c>
      <c r="I7127" s="135">
        <v>21000000</v>
      </c>
    </row>
    <row r="7128" spans="1:9" x14ac:dyDescent="0.2">
      <c r="A7128" s="134">
        <v>45812</v>
      </c>
      <c r="B7128" s="135">
        <f>YEAR(source[[#This Row],[report_date]])</f>
        <v>2025</v>
      </c>
      <c r="C7128" s="128">
        <f t="shared" si="331"/>
        <v>6</v>
      </c>
      <c r="D7128" s="136">
        <f t="shared" si="333"/>
        <v>23</v>
      </c>
      <c r="E7128" s="136">
        <f t="shared" si="332"/>
        <v>4</v>
      </c>
      <c r="F7128" s="128" t="s">
        <v>24</v>
      </c>
      <c r="G7128" s="128" t="str">
        <f>VLOOKUP(source[[#This Row],[lending_product_transform]],[3]Mapping!$B$4:$C$37,2,0)</f>
        <v>[Cake] - Cashloan</v>
      </c>
      <c r="H7128" s="128" t="str">
        <f>VLOOKUP(source[[#This Row],[lending_product_transform]],[3]Mapping!$B$3:$D$37,3,0)</f>
        <v>cashloan</v>
      </c>
      <c r="I7128" s="135">
        <v>80029074</v>
      </c>
    </row>
    <row r="7129" spans="1:9" x14ac:dyDescent="0.2">
      <c r="A7129" s="134">
        <v>45812</v>
      </c>
      <c r="B7129" s="135">
        <f>YEAR(source[[#This Row],[report_date]])</f>
        <v>2025</v>
      </c>
      <c r="C7129" s="128">
        <f t="shared" si="331"/>
        <v>6</v>
      </c>
      <c r="D7129" s="136">
        <f t="shared" si="333"/>
        <v>23</v>
      </c>
      <c r="E7129" s="136">
        <f t="shared" si="332"/>
        <v>4</v>
      </c>
      <c r="F7129" s="128" t="s">
        <v>24</v>
      </c>
      <c r="G7129" s="128" t="str">
        <f>VLOOKUP(source[[#This Row],[lending_product_transform]],[3]Mapping!$B$4:$C$37,2,0)</f>
        <v>[Cake] - Cashloan</v>
      </c>
      <c r="H7129" s="128" t="str">
        <f>VLOOKUP(source[[#This Row],[lending_product_transform]],[3]Mapping!$B$3:$D$37,3,0)</f>
        <v>cashloan</v>
      </c>
      <c r="I7129" s="135">
        <v>2070625314</v>
      </c>
    </row>
    <row r="7130" spans="1:9" x14ac:dyDescent="0.2">
      <c r="A7130" s="134">
        <v>45812</v>
      </c>
      <c r="B7130" s="135">
        <f>YEAR(source[[#This Row],[report_date]])</f>
        <v>2025</v>
      </c>
      <c r="C7130" s="128">
        <f t="shared" si="331"/>
        <v>6</v>
      </c>
      <c r="D7130" s="136">
        <f t="shared" si="333"/>
        <v>23</v>
      </c>
      <c r="E7130" s="136">
        <f t="shared" si="332"/>
        <v>4</v>
      </c>
      <c r="F7130" s="128" t="s">
        <v>24</v>
      </c>
      <c r="G7130" s="128" t="str">
        <f>VLOOKUP(source[[#This Row],[lending_product_transform]],[3]Mapping!$B$4:$C$37,2,0)</f>
        <v>[Cake] - Cashloan</v>
      </c>
      <c r="H7130" s="128" t="str">
        <f>VLOOKUP(source[[#This Row],[lending_product_transform]],[3]Mapping!$B$3:$D$37,3,0)</f>
        <v>cashloan</v>
      </c>
      <c r="I7130" s="135">
        <v>7870210000</v>
      </c>
    </row>
    <row r="7131" spans="1:9" x14ac:dyDescent="0.2">
      <c r="A7131" s="134">
        <v>45812</v>
      </c>
      <c r="B7131" s="135">
        <f>YEAR(source[[#This Row],[report_date]])</f>
        <v>2025</v>
      </c>
      <c r="C7131" s="128">
        <f t="shared" si="331"/>
        <v>6</v>
      </c>
      <c r="D7131" s="136">
        <f t="shared" si="333"/>
        <v>23</v>
      </c>
      <c r="E7131" s="136">
        <f t="shared" si="332"/>
        <v>4</v>
      </c>
      <c r="F7131" s="128" t="s">
        <v>24</v>
      </c>
      <c r="G7131" s="128" t="str">
        <f>VLOOKUP(source[[#This Row],[lending_product_transform]],[3]Mapping!$B$4:$C$37,2,0)</f>
        <v>[Cake] - Cashloan</v>
      </c>
      <c r="H7131" s="128" t="str">
        <f>VLOOKUP(source[[#This Row],[lending_product_transform]],[3]Mapping!$B$3:$D$37,3,0)</f>
        <v>cashloan</v>
      </c>
      <c r="I7131" s="135">
        <v>23000000</v>
      </c>
    </row>
    <row r="7132" spans="1:9" x14ac:dyDescent="0.2">
      <c r="A7132" s="134">
        <v>45813</v>
      </c>
      <c r="B7132" s="135">
        <f>YEAR(source[[#This Row],[report_date]])</f>
        <v>2025</v>
      </c>
      <c r="C7132" s="128">
        <f t="shared" si="331"/>
        <v>6</v>
      </c>
      <c r="D7132" s="136">
        <f t="shared" si="333"/>
        <v>23</v>
      </c>
      <c r="E7132" s="136">
        <f t="shared" si="332"/>
        <v>5</v>
      </c>
      <c r="F7132" s="128" t="s">
        <v>24</v>
      </c>
      <c r="G7132" s="128" t="str">
        <f>VLOOKUP(source[[#This Row],[lending_product_transform]],[3]Mapping!$B$4:$C$37,2,0)</f>
        <v>[Cake] - Cashloan</v>
      </c>
      <c r="H7132" s="128" t="str">
        <f>VLOOKUP(source[[#This Row],[lending_product_transform]],[3]Mapping!$B$3:$D$37,3,0)</f>
        <v>cashloan</v>
      </c>
      <c r="I7132" s="135">
        <v>67814761</v>
      </c>
    </row>
    <row r="7133" spans="1:9" x14ac:dyDescent="0.2">
      <c r="A7133" s="134">
        <v>45813</v>
      </c>
      <c r="B7133" s="135">
        <f>YEAR(source[[#This Row],[report_date]])</f>
        <v>2025</v>
      </c>
      <c r="C7133" s="128">
        <f t="shared" si="331"/>
        <v>6</v>
      </c>
      <c r="D7133" s="136">
        <f t="shared" si="333"/>
        <v>23</v>
      </c>
      <c r="E7133" s="136">
        <f t="shared" si="332"/>
        <v>5</v>
      </c>
      <c r="F7133" s="128" t="s">
        <v>24</v>
      </c>
      <c r="G7133" s="128" t="str">
        <f>VLOOKUP(source[[#This Row],[lending_product_transform]],[3]Mapping!$B$4:$C$37,2,0)</f>
        <v>[Cake] - Cashloan</v>
      </c>
      <c r="H7133" s="128" t="str">
        <f>VLOOKUP(source[[#This Row],[lending_product_transform]],[3]Mapping!$B$3:$D$37,3,0)</f>
        <v>cashloan</v>
      </c>
      <c r="I7133" s="135">
        <v>9822970000</v>
      </c>
    </row>
    <row r="7134" spans="1:9" x14ac:dyDescent="0.2">
      <c r="A7134" s="134">
        <v>45813</v>
      </c>
      <c r="B7134" s="135">
        <f>YEAR(source[[#This Row],[report_date]])</f>
        <v>2025</v>
      </c>
      <c r="C7134" s="128">
        <f t="shared" si="331"/>
        <v>6</v>
      </c>
      <c r="D7134" s="136">
        <f t="shared" si="333"/>
        <v>23</v>
      </c>
      <c r="E7134" s="136">
        <f t="shared" si="332"/>
        <v>5</v>
      </c>
      <c r="F7134" s="128" t="s">
        <v>24</v>
      </c>
      <c r="G7134" s="128" t="str">
        <f>VLOOKUP(source[[#This Row],[lending_product_transform]],[3]Mapping!$B$4:$C$37,2,0)</f>
        <v>[Cake] - Cashloan</v>
      </c>
      <c r="H7134" s="128" t="str">
        <f>VLOOKUP(source[[#This Row],[lending_product_transform]],[3]Mapping!$B$3:$D$37,3,0)</f>
        <v>cashloan</v>
      </c>
      <c r="I7134" s="135">
        <v>0</v>
      </c>
    </row>
    <row r="7135" spans="1:9" x14ac:dyDescent="0.2">
      <c r="A7135" s="134">
        <v>45813</v>
      </c>
      <c r="B7135" s="135">
        <f>YEAR(source[[#This Row],[report_date]])</f>
        <v>2025</v>
      </c>
      <c r="C7135" s="128">
        <f t="shared" si="331"/>
        <v>6</v>
      </c>
      <c r="D7135" s="136">
        <f t="shared" si="333"/>
        <v>23</v>
      </c>
      <c r="E7135" s="136">
        <f t="shared" si="332"/>
        <v>5</v>
      </c>
      <c r="F7135" s="128" t="s">
        <v>24</v>
      </c>
      <c r="G7135" s="128" t="str">
        <f>VLOOKUP(source[[#This Row],[lending_product_transform]],[3]Mapping!$B$4:$C$37,2,0)</f>
        <v>[Cake] - Cashloan</v>
      </c>
      <c r="H7135" s="128" t="str">
        <f>VLOOKUP(source[[#This Row],[lending_product_transform]],[3]Mapping!$B$3:$D$37,3,0)</f>
        <v>cashloan</v>
      </c>
      <c r="I7135" s="135">
        <v>6697080000</v>
      </c>
    </row>
    <row r="7136" spans="1:9" x14ac:dyDescent="0.2">
      <c r="A7136" s="134">
        <v>45813</v>
      </c>
      <c r="B7136" s="135">
        <f>YEAR(source[[#This Row],[report_date]])</f>
        <v>2025</v>
      </c>
      <c r="C7136" s="128">
        <f t="shared" si="331"/>
        <v>6</v>
      </c>
      <c r="D7136" s="136">
        <f t="shared" si="333"/>
        <v>23</v>
      </c>
      <c r="E7136" s="136">
        <f t="shared" si="332"/>
        <v>5</v>
      </c>
      <c r="F7136" s="128" t="s">
        <v>24</v>
      </c>
      <c r="G7136" s="128" t="str">
        <f>VLOOKUP(source[[#This Row],[lending_product_transform]],[3]Mapping!$B$4:$C$37,2,0)</f>
        <v>[Cake] - Cashloan</v>
      </c>
      <c r="H7136" s="128" t="str">
        <f>VLOOKUP(source[[#This Row],[lending_product_transform]],[3]Mapping!$B$3:$D$37,3,0)</f>
        <v>cashloan</v>
      </c>
      <c r="I7136" s="135">
        <v>0</v>
      </c>
    </row>
    <row r="7137" spans="1:9" x14ac:dyDescent="0.2">
      <c r="A7137" s="134">
        <v>45813</v>
      </c>
      <c r="B7137" s="135">
        <f>YEAR(source[[#This Row],[report_date]])</f>
        <v>2025</v>
      </c>
      <c r="C7137" s="128">
        <f t="shared" si="331"/>
        <v>6</v>
      </c>
      <c r="D7137" s="136">
        <f t="shared" si="333"/>
        <v>23</v>
      </c>
      <c r="E7137" s="136">
        <f t="shared" si="332"/>
        <v>5</v>
      </c>
      <c r="F7137" s="128" t="s">
        <v>24</v>
      </c>
      <c r="G7137" s="128" t="str">
        <f>VLOOKUP(source[[#This Row],[lending_product_transform]],[3]Mapping!$B$4:$C$37,2,0)</f>
        <v>[Cake] - Cashloan</v>
      </c>
      <c r="H7137" s="128" t="str">
        <f>VLOOKUP(source[[#This Row],[lending_product_transform]],[3]Mapping!$B$3:$D$37,3,0)</f>
        <v>cashloan</v>
      </c>
      <c r="I7137" s="135">
        <v>0</v>
      </c>
    </row>
    <row r="7138" spans="1:9" x14ac:dyDescent="0.2">
      <c r="A7138" s="134">
        <v>45813</v>
      </c>
      <c r="B7138" s="135">
        <f>YEAR(source[[#This Row],[report_date]])</f>
        <v>2025</v>
      </c>
      <c r="C7138" s="128">
        <f t="shared" si="331"/>
        <v>6</v>
      </c>
      <c r="D7138" s="136">
        <f t="shared" si="333"/>
        <v>23</v>
      </c>
      <c r="E7138" s="136">
        <f t="shared" si="332"/>
        <v>5</v>
      </c>
      <c r="F7138" s="128" t="s">
        <v>24</v>
      </c>
      <c r="G7138" s="128" t="str">
        <f>VLOOKUP(source[[#This Row],[lending_product_transform]],[3]Mapping!$B$4:$C$37,2,0)</f>
        <v>[Cake] - Cashloan</v>
      </c>
      <c r="H7138" s="128" t="str">
        <f>VLOOKUP(source[[#This Row],[lending_product_transform]],[3]Mapping!$B$3:$D$37,3,0)</f>
        <v>cashloan</v>
      </c>
      <c r="I7138" s="135">
        <v>0</v>
      </c>
    </row>
    <row r="7139" spans="1:9" x14ac:dyDescent="0.2">
      <c r="A7139" s="134">
        <v>45813</v>
      </c>
      <c r="B7139" s="135">
        <f>YEAR(source[[#This Row],[report_date]])</f>
        <v>2025</v>
      </c>
      <c r="C7139" s="128">
        <f t="shared" si="331"/>
        <v>6</v>
      </c>
      <c r="D7139" s="136">
        <f t="shared" si="333"/>
        <v>23</v>
      </c>
      <c r="E7139" s="136">
        <f t="shared" si="332"/>
        <v>5</v>
      </c>
      <c r="F7139" s="128" t="s">
        <v>24</v>
      </c>
      <c r="G7139" s="128" t="str">
        <f>VLOOKUP(source[[#This Row],[lending_product_transform]],[3]Mapping!$B$4:$C$37,2,0)</f>
        <v>[Cake] - Cashloan</v>
      </c>
      <c r="H7139" s="128" t="str">
        <f>VLOOKUP(source[[#This Row],[lending_product_transform]],[3]Mapping!$B$3:$D$37,3,0)</f>
        <v>cashloan</v>
      </c>
      <c r="I7139" s="135">
        <v>0</v>
      </c>
    </row>
    <row r="7140" spans="1:9" x14ac:dyDescent="0.2">
      <c r="A7140" s="134">
        <v>45813</v>
      </c>
      <c r="B7140" s="135">
        <f>YEAR(source[[#This Row],[report_date]])</f>
        <v>2025</v>
      </c>
      <c r="C7140" s="128">
        <f t="shared" si="331"/>
        <v>6</v>
      </c>
      <c r="D7140" s="136">
        <f t="shared" si="333"/>
        <v>23</v>
      </c>
      <c r="E7140" s="136">
        <f t="shared" si="332"/>
        <v>5</v>
      </c>
      <c r="F7140" s="128" t="s">
        <v>24</v>
      </c>
      <c r="G7140" s="128" t="str">
        <f>VLOOKUP(source[[#This Row],[lending_product_transform]],[3]Mapping!$B$4:$C$37,2,0)</f>
        <v>[Cake] - Cashloan</v>
      </c>
      <c r="H7140" s="128" t="str">
        <f>VLOOKUP(source[[#This Row],[lending_product_transform]],[3]Mapping!$B$3:$D$37,3,0)</f>
        <v>cashloan</v>
      </c>
      <c r="I7140" s="135">
        <v>0</v>
      </c>
    </row>
    <row r="7141" spans="1:9" x14ac:dyDescent="0.2">
      <c r="A7141" s="134">
        <v>45813</v>
      </c>
      <c r="B7141" s="135">
        <f>YEAR(source[[#This Row],[report_date]])</f>
        <v>2025</v>
      </c>
      <c r="C7141" s="128">
        <f t="shared" si="331"/>
        <v>6</v>
      </c>
      <c r="D7141" s="136">
        <f t="shared" si="333"/>
        <v>23</v>
      </c>
      <c r="E7141" s="136">
        <f t="shared" si="332"/>
        <v>5</v>
      </c>
      <c r="F7141" s="128" t="s">
        <v>24</v>
      </c>
      <c r="G7141" s="128" t="str">
        <f>VLOOKUP(source[[#This Row],[lending_product_transform]],[3]Mapping!$B$4:$C$37,2,0)</f>
        <v>[Cake] - Cashloan</v>
      </c>
      <c r="H7141" s="128" t="str">
        <f>VLOOKUP(source[[#This Row],[lending_product_transform]],[3]Mapping!$B$3:$D$37,3,0)</f>
        <v>cashloan</v>
      </c>
      <c r="I7141" s="135">
        <v>9728400000</v>
      </c>
    </row>
    <row r="7142" spans="1:9" x14ac:dyDescent="0.2">
      <c r="A7142" s="134">
        <v>45813</v>
      </c>
      <c r="B7142" s="135">
        <f>YEAR(source[[#This Row],[report_date]])</f>
        <v>2025</v>
      </c>
      <c r="C7142" s="128">
        <f t="shared" si="331"/>
        <v>6</v>
      </c>
      <c r="D7142" s="136">
        <f t="shared" si="333"/>
        <v>23</v>
      </c>
      <c r="E7142" s="136">
        <f t="shared" si="332"/>
        <v>5</v>
      </c>
      <c r="F7142" s="128" t="s">
        <v>24</v>
      </c>
      <c r="G7142" s="128" t="str">
        <f>VLOOKUP(source[[#This Row],[lending_product_transform]],[3]Mapping!$B$4:$C$37,2,0)</f>
        <v>[Cake] - Cashloan</v>
      </c>
      <c r="H7142" s="128" t="str">
        <f>VLOOKUP(source[[#This Row],[lending_product_transform]],[3]Mapping!$B$3:$D$37,3,0)</f>
        <v>cashloan</v>
      </c>
      <c r="I7142" s="135">
        <v>1816590000</v>
      </c>
    </row>
    <row r="7143" spans="1:9" x14ac:dyDescent="0.2">
      <c r="A7143" s="134">
        <v>45813</v>
      </c>
      <c r="B7143" s="135">
        <f>YEAR(source[[#This Row],[report_date]])</f>
        <v>2025</v>
      </c>
      <c r="C7143" s="128">
        <f t="shared" si="331"/>
        <v>6</v>
      </c>
      <c r="D7143" s="136">
        <f t="shared" si="333"/>
        <v>23</v>
      </c>
      <c r="E7143" s="136">
        <f t="shared" si="332"/>
        <v>5</v>
      </c>
      <c r="F7143" s="128" t="s">
        <v>24</v>
      </c>
      <c r="G7143" s="128" t="str">
        <f>VLOOKUP(source[[#This Row],[lending_product_transform]],[3]Mapping!$B$4:$C$37,2,0)</f>
        <v>[Cake] - Cashloan</v>
      </c>
      <c r="H7143" s="128" t="str">
        <f>VLOOKUP(source[[#This Row],[lending_product_transform]],[3]Mapping!$B$3:$D$37,3,0)</f>
        <v>cashloan</v>
      </c>
      <c r="I7143" s="135">
        <v>708960000</v>
      </c>
    </row>
    <row r="7144" spans="1:9" x14ac:dyDescent="0.2">
      <c r="A7144" s="134">
        <v>45813</v>
      </c>
      <c r="B7144" s="135">
        <f>YEAR(source[[#This Row],[report_date]])</f>
        <v>2025</v>
      </c>
      <c r="C7144" s="128">
        <f t="shared" si="331"/>
        <v>6</v>
      </c>
      <c r="D7144" s="136">
        <f t="shared" si="333"/>
        <v>23</v>
      </c>
      <c r="E7144" s="136">
        <f t="shared" si="332"/>
        <v>5</v>
      </c>
      <c r="F7144" s="128" t="s">
        <v>24</v>
      </c>
      <c r="G7144" s="128" t="str">
        <f>VLOOKUP(source[[#This Row],[lending_product_transform]],[3]Mapping!$B$4:$C$37,2,0)</f>
        <v>[Cake] - Cashloan</v>
      </c>
      <c r="H7144" s="128" t="str">
        <f>VLOOKUP(source[[#This Row],[lending_product_transform]],[3]Mapping!$B$3:$D$37,3,0)</f>
        <v>cashloan</v>
      </c>
      <c r="I7144" s="135">
        <v>8472000</v>
      </c>
    </row>
    <row r="7145" spans="1:9" x14ac:dyDescent="0.2">
      <c r="A7145" s="134">
        <v>45813</v>
      </c>
      <c r="B7145" s="135">
        <f>YEAR(source[[#This Row],[report_date]])</f>
        <v>2025</v>
      </c>
      <c r="C7145" s="128">
        <f t="shared" si="331"/>
        <v>6</v>
      </c>
      <c r="D7145" s="136">
        <f t="shared" si="333"/>
        <v>23</v>
      </c>
      <c r="E7145" s="136">
        <f t="shared" si="332"/>
        <v>5</v>
      </c>
      <c r="F7145" s="128" t="s">
        <v>24</v>
      </c>
      <c r="G7145" s="128" t="str">
        <f>VLOOKUP(source[[#This Row],[lending_product_transform]],[3]Mapping!$B$4:$C$37,2,0)</f>
        <v>[Cake] - Cashloan</v>
      </c>
      <c r="H7145" s="128" t="str">
        <f>VLOOKUP(source[[#This Row],[lending_product_transform]],[3]Mapping!$B$3:$D$37,3,0)</f>
        <v>cashloan</v>
      </c>
      <c r="I7145" s="135">
        <v>1325980000</v>
      </c>
    </row>
    <row r="7146" spans="1:9" x14ac:dyDescent="0.2">
      <c r="A7146" s="134">
        <v>45813</v>
      </c>
      <c r="B7146" s="135">
        <f>YEAR(source[[#This Row],[report_date]])</f>
        <v>2025</v>
      </c>
      <c r="C7146" s="128">
        <f t="shared" si="331"/>
        <v>6</v>
      </c>
      <c r="D7146" s="136">
        <f t="shared" si="333"/>
        <v>23</v>
      </c>
      <c r="E7146" s="136">
        <f t="shared" si="332"/>
        <v>5</v>
      </c>
      <c r="F7146" s="128" t="s">
        <v>24</v>
      </c>
      <c r="G7146" s="128" t="str">
        <f>VLOOKUP(source[[#This Row],[lending_product_transform]],[3]Mapping!$B$4:$C$37,2,0)</f>
        <v>[Cake] - Cashloan</v>
      </c>
      <c r="H7146" s="128" t="str">
        <f>VLOOKUP(source[[#This Row],[lending_product_transform]],[3]Mapping!$B$3:$D$37,3,0)</f>
        <v>cashloan</v>
      </c>
      <c r="I7146" s="135">
        <v>377434595</v>
      </c>
    </row>
    <row r="7147" spans="1:9" x14ac:dyDescent="0.2">
      <c r="A7147" s="134">
        <v>45813</v>
      </c>
      <c r="B7147" s="135">
        <f>YEAR(source[[#This Row],[report_date]])</f>
        <v>2025</v>
      </c>
      <c r="C7147" s="128">
        <f t="shared" si="331"/>
        <v>6</v>
      </c>
      <c r="D7147" s="136">
        <f t="shared" si="333"/>
        <v>23</v>
      </c>
      <c r="E7147" s="136">
        <f t="shared" si="332"/>
        <v>5</v>
      </c>
      <c r="F7147" s="128" t="s">
        <v>24</v>
      </c>
      <c r="G7147" s="128" t="str">
        <f>VLOOKUP(source[[#This Row],[lending_product_transform]],[3]Mapping!$B$4:$C$37,2,0)</f>
        <v>[Cake] - Cashloan</v>
      </c>
      <c r="H7147" s="128" t="str">
        <f>VLOOKUP(source[[#This Row],[lending_product_transform]],[3]Mapping!$B$3:$D$37,3,0)</f>
        <v>cashloan</v>
      </c>
      <c r="I7147" s="135">
        <v>4997832148</v>
      </c>
    </row>
    <row r="7148" spans="1:9" x14ac:dyDescent="0.2">
      <c r="A7148" s="134">
        <v>45813</v>
      </c>
      <c r="B7148" s="135">
        <f>YEAR(source[[#This Row],[report_date]])</f>
        <v>2025</v>
      </c>
      <c r="C7148" s="128">
        <f t="shared" si="331"/>
        <v>6</v>
      </c>
      <c r="D7148" s="136">
        <f t="shared" si="333"/>
        <v>23</v>
      </c>
      <c r="E7148" s="136">
        <f t="shared" si="332"/>
        <v>5</v>
      </c>
      <c r="F7148" s="128" t="s">
        <v>24</v>
      </c>
      <c r="G7148" s="128" t="str">
        <f>VLOOKUP(source[[#This Row],[lending_product_transform]],[3]Mapping!$B$4:$C$37,2,0)</f>
        <v>[Cake] - Cashloan</v>
      </c>
      <c r="H7148" s="128" t="str">
        <f>VLOOKUP(source[[#This Row],[lending_product_transform]],[3]Mapping!$B$3:$D$37,3,0)</f>
        <v>cashloan</v>
      </c>
      <c r="I7148" s="135">
        <v>1436628343</v>
      </c>
    </row>
    <row r="7149" spans="1:9" x14ac:dyDescent="0.2">
      <c r="A7149" s="134">
        <v>45813</v>
      </c>
      <c r="B7149" s="135">
        <f>YEAR(source[[#This Row],[report_date]])</f>
        <v>2025</v>
      </c>
      <c r="C7149" s="128">
        <f t="shared" si="331"/>
        <v>6</v>
      </c>
      <c r="D7149" s="136">
        <f t="shared" si="333"/>
        <v>23</v>
      </c>
      <c r="E7149" s="136">
        <f t="shared" si="332"/>
        <v>5</v>
      </c>
      <c r="F7149" s="128" t="s">
        <v>24</v>
      </c>
      <c r="G7149" s="128" t="str">
        <f>VLOOKUP(source[[#This Row],[lending_product_transform]],[3]Mapping!$B$4:$C$37,2,0)</f>
        <v>[Cake] - Cashloan</v>
      </c>
      <c r="H7149" s="128" t="str">
        <f>VLOOKUP(source[[#This Row],[lending_product_transform]],[3]Mapping!$B$3:$D$37,3,0)</f>
        <v>cashloan</v>
      </c>
      <c r="I7149" s="135">
        <v>802987843</v>
      </c>
    </row>
    <row r="7150" spans="1:9" x14ac:dyDescent="0.2">
      <c r="A7150" s="134">
        <v>45814</v>
      </c>
      <c r="B7150" s="135">
        <f>YEAR(source[[#This Row],[report_date]])</f>
        <v>2025</v>
      </c>
      <c r="C7150" s="128">
        <f t="shared" si="331"/>
        <v>6</v>
      </c>
      <c r="D7150" s="136">
        <f t="shared" si="333"/>
        <v>23</v>
      </c>
      <c r="E7150" s="136">
        <f t="shared" si="332"/>
        <v>6</v>
      </c>
      <c r="F7150" s="128" t="s">
        <v>24</v>
      </c>
      <c r="G7150" s="128" t="str">
        <f>VLOOKUP(source[[#This Row],[lending_product_transform]],[3]Mapping!$B$4:$C$37,2,0)</f>
        <v>[Cake] - Cashloan</v>
      </c>
      <c r="H7150" s="128" t="str">
        <f>VLOOKUP(source[[#This Row],[lending_product_transform]],[3]Mapping!$B$3:$D$37,3,0)</f>
        <v>cashloan</v>
      </c>
      <c r="I7150" s="135">
        <v>359611999</v>
      </c>
    </row>
    <row r="7151" spans="1:9" x14ac:dyDescent="0.2">
      <c r="A7151" s="134">
        <v>45814</v>
      </c>
      <c r="B7151" s="135">
        <f>YEAR(source[[#This Row],[report_date]])</f>
        <v>2025</v>
      </c>
      <c r="C7151" s="128">
        <f t="shared" si="331"/>
        <v>6</v>
      </c>
      <c r="D7151" s="136">
        <f t="shared" si="333"/>
        <v>23</v>
      </c>
      <c r="E7151" s="136">
        <f t="shared" si="332"/>
        <v>6</v>
      </c>
      <c r="F7151" s="128" t="s">
        <v>24</v>
      </c>
      <c r="G7151" s="128" t="str">
        <f>VLOOKUP(source[[#This Row],[lending_product_transform]],[3]Mapping!$B$4:$C$37,2,0)</f>
        <v>[Cake] - Cashloan</v>
      </c>
      <c r="H7151" s="128" t="str">
        <f>VLOOKUP(source[[#This Row],[lending_product_transform]],[3]Mapping!$B$3:$D$37,3,0)</f>
        <v>cashloan</v>
      </c>
      <c r="I7151" s="135">
        <v>972653763</v>
      </c>
    </row>
    <row r="7152" spans="1:9" x14ac:dyDescent="0.2">
      <c r="A7152" s="134">
        <v>45814</v>
      </c>
      <c r="B7152" s="135">
        <f>YEAR(source[[#This Row],[report_date]])</f>
        <v>2025</v>
      </c>
      <c r="C7152" s="128">
        <f t="shared" si="331"/>
        <v>6</v>
      </c>
      <c r="D7152" s="136">
        <f t="shared" si="333"/>
        <v>23</v>
      </c>
      <c r="E7152" s="136">
        <f t="shared" si="332"/>
        <v>6</v>
      </c>
      <c r="F7152" s="128" t="s">
        <v>24</v>
      </c>
      <c r="G7152" s="128" t="str">
        <f>VLOOKUP(source[[#This Row],[lending_product_transform]],[3]Mapping!$B$4:$C$37,2,0)</f>
        <v>[Cake] - Cashloan</v>
      </c>
      <c r="H7152" s="128" t="str">
        <f>VLOOKUP(source[[#This Row],[lending_product_transform]],[3]Mapping!$B$3:$D$37,3,0)</f>
        <v>cashloan</v>
      </c>
      <c r="I7152" s="135">
        <v>4195013800</v>
      </c>
    </row>
    <row r="7153" spans="1:9" x14ac:dyDescent="0.2">
      <c r="A7153" s="134">
        <v>45814</v>
      </c>
      <c r="B7153" s="135">
        <f>YEAR(source[[#This Row],[report_date]])</f>
        <v>2025</v>
      </c>
      <c r="C7153" s="128">
        <f t="shared" si="331"/>
        <v>6</v>
      </c>
      <c r="D7153" s="136">
        <f t="shared" si="333"/>
        <v>23</v>
      </c>
      <c r="E7153" s="136">
        <f t="shared" si="332"/>
        <v>6</v>
      </c>
      <c r="F7153" s="128" t="s">
        <v>24</v>
      </c>
      <c r="G7153" s="128" t="str">
        <f>VLOOKUP(source[[#This Row],[lending_product_transform]],[3]Mapping!$B$4:$C$37,2,0)</f>
        <v>[Cake] - Cashloan</v>
      </c>
      <c r="H7153" s="128" t="str">
        <f>VLOOKUP(source[[#This Row],[lending_product_transform]],[3]Mapping!$B$3:$D$37,3,0)</f>
        <v>cashloan</v>
      </c>
      <c r="I7153" s="135">
        <v>1355640000</v>
      </c>
    </row>
    <row r="7154" spans="1:9" x14ac:dyDescent="0.2">
      <c r="A7154" s="134">
        <v>45814</v>
      </c>
      <c r="B7154" s="135">
        <f>YEAR(source[[#This Row],[report_date]])</f>
        <v>2025</v>
      </c>
      <c r="C7154" s="128">
        <f t="shared" si="331"/>
        <v>6</v>
      </c>
      <c r="D7154" s="136">
        <f t="shared" si="333"/>
        <v>23</v>
      </c>
      <c r="E7154" s="136">
        <f t="shared" si="332"/>
        <v>6</v>
      </c>
      <c r="F7154" s="128" t="s">
        <v>24</v>
      </c>
      <c r="G7154" s="128" t="str">
        <f>VLOOKUP(source[[#This Row],[lending_product_transform]],[3]Mapping!$B$4:$C$37,2,0)</f>
        <v>[Cake] - Cashloan</v>
      </c>
      <c r="H7154" s="128" t="str">
        <f>VLOOKUP(source[[#This Row],[lending_product_transform]],[3]Mapping!$B$3:$D$37,3,0)</f>
        <v>cashloan</v>
      </c>
      <c r="I7154" s="135">
        <v>639909019</v>
      </c>
    </row>
    <row r="7155" spans="1:9" x14ac:dyDescent="0.2">
      <c r="A7155" s="134">
        <v>45814</v>
      </c>
      <c r="B7155" s="135">
        <f>YEAR(source[[#This Row],[report_date]])</f>
        <v>2025</v>
      </c>
      <c r="C7155" s="128">
        <f t="shared" si="331"/>
        <v>6</v>
      </c>
      <c r="D7155" s="136">
        <f t="shared" si="333"/>
        <v>23</v>
      </c>
      <c r="E7155" s="136">
        <f t="shared" si="332"/>
        <v>6</v>
      </c>
      <c r="F7155" s="128" t="s">
        <v>24</v>
      </c>
      <c r="G7155" s="128" t="str">
        <f>VLOOKUP(source[[#This Row],[lending_product_transform]],[3]Mapping!$B$4:$C$37,2,0)</f>
        <v>[Cake] - Cashloan</v>
      </c>
      <c r="H7155" s="128" t="str">
        <f>VLOOKUP(source[[#This Row],[lending_product_transform]],[3]Mapping!$B$3:$D$37,3,0)</f>
        <v>cashloan</v>
      </c>
      <c r="I7155" s="135">
        <v>7853340000</v>
      </c>
    </row>
    <row r="7156" spans="1:9" x14ac:dyDescent="0.2">
      <c r="A7156" s="134">
        <v>45814</v>
      </c>
      <c r="B7156" s="135">
        <f>YEAR(source[[#This Row],[report_date]])</f>
        <v>2025</v>
      </c>
      <c r="C7156" s="128">
        <f t="shared" si="331"/>
        <v>6</v>
      </c>
      <c r="D7156" s="136">
        <f t="shared" si="333"/>
        <v>23</v>
      </c>
      <c r="E7156" s="136">
        <f t="shared" si="332"/>
        <v>6</v>
      </c>
      <c r="F7156" s="128" t="s">
        <v>24</v>
      </c>
      <c r="G7156" s="128" t="str">
        <f>VLOOKUP(source[[#This Row],[lending_product_transform]],[3]Mapping!$B$4:$C$37,2,0)</f>
        <v>[Cake] - Cashloan</v>
      </c>
      <c r="H7156" s="128" t="str">
        <f>VLOOKUP(source[[#This Row],[lending_product_transform]],[3]Mapping!$B$3:$D$37,3,0)</f>
        <v>cashloan</v>
      </c>
      <c r="I7156" s="135">
        <v>5949936000</v>
      </c>
    </row>
    <row r="7157" spans="1:9" x14ac:dyDescent="0.2">
      <c r="A7157" s="134">
        <v>45814</v>
      </c>
      <c r="B7157" s="135">
        <f>YEAR(source[[#This Row],[report_date]])</f>
        <v>2025</v>
      </c>
      <c r="C7157" s="128">
        <f t="shared" si="331"/>
        <v>6</v>
      </c>
      <c r="D7157" s="136">
        <f t="shared" si="333"/>
        <v>23</v>
      </c>
      <c r="E7157" s="136">
        <f t="shared" si="332"/>
        <v>6</v>
      </c>
      <c r="F7157" s="128" t="s">
        <v>24</v>
      </c>
      <c r="G7157" s="128" t="str">
        <f>VLOOKUP(source[[#This Row],[lending_product_transform]],[3]Mapping!$B$4:$C$37,2,0)</f>
        <v>[Cake] - Cashloan</v>
      </c>
      <c r="H7157" s="128" t="str">
        <f>VLOOKUP(source[[#This Row],[lending_product_transform]],[3]Mapping!$B$3:$D$37,3,0)</f>
        <v>cashloan</v>
      </c>
      <c r="I7157" s="135">
        <v>0</v>
      </c>
    </row>
    <row r="7158" spans="1:9" x14ac:dyDescent="0.2">
      <c r="A7158" s="134">
        <v>45814</v>
      </c>
      <c r="B7158" s="135">
        <f>YEAR(source[[#This Row],[report_date]])</f>
        <v>2025</v>
      </c>
      <c r="C7158" s="128">
        <f t="shared" ref="C7158:C7221" si="334">MONTH(A7158)</f>
        <v>6</v>
      </c>
      <c r="D7158" s="136">
        <f t="shared" si="333"/>
        <v>23</v>
      </c>
      <c r="E7158" s="136">
        <f t="shared" ref="E7158:E7221" si="335">DAY(A7158)</f>
        <v>6</v>
      </c>
      <c r="F7158" s="128" t="s">
        <v>24</v>
      </c>
      <c r="G7158" s="128" t="str">
        <f>VLOOKUP(source[[#This Row],[lending_product_transform]],[3]Mapping!$B$4:$C$37,2,0)</f>
        <v>[Cake] - Cashloan</v>
      </c>
      <c r="H7158" s="128" t="str">
        <f>VLOOKUP(source[[#This Row],[lending_product_transform]],[3]Mapping!$B$3:$D$37,3,0)</f>
        <v>cashloan</v>
      </c>
      <c r="I7158" s="135">
        <v>850000</v>
      </c>
    </row>
    <row r="7159" spans="1:9" x14ac:dyDescent="0.2">
      <c r="A7159" s="134">
        <v>45814</v>
      </c>
      <c r="B7159" s="135">
        <f>YEAR(source[[#This Row],[report_date]])</f>
        <v>2025</v>
      </c>
      <c r="C7159" s="128">
        <f t="shared" si="334"/>
        <v>6</v>
      </c>
      <c r="D7159" s="136">
        <f t="shared" si="333"/>
        <v>23</v>
      </c>
      <c r="E7159" s="136">
        <f t="shared" si="335"/>
        <v>6</v>
      </c>
      <c r="F7159" s="128" t="s">
        <v>24</v>
      </c>
      <c r="G7159" s="128" t="str">
        <f>VLOOKUP(source[[#This Row],[lending_product_transform]],[3]Mapping!$B$4:$C$37,2,0)</f>
        <v>[Cake] - Cashloan</v>
      </c>
      <c r="H7159" s="128" t="str">
        <f>VLOOKUP(source[[#This Row],[lending_product_transform]],[3]Mapping!$B$3:$D$37,3,0)</f>
        <v>cashloan</v>
      </c>
      <c r="I7159" s="135">
        <v>12000000</v>
      </c>
    </row>
    <row r="7160" spans="1:9" x14ac:dyDescent="0.2">
      <c r="A7160" s="134">
        <v>45814</v>
      </c>
      <c r="B7160" s="135">
        <f>YEAR(source[[#This Row],[report_date]])</f>
        <v>2025</v>
      </c>
      <c r="C7160" s="128">
        <f t="shared" si="334"/>
        <v>6</v>
      </c>
      <c r="D7160" s="136">
        <f t="shared" si="333"/>
        <v>23</v>
      </c>
      <c r="E7160" s="136">
        <f t="shared" si="335"/>
        <v>6</v>
      </c>
      <c r="F7160" s="128" t="s">
        <v>24</v>
      </c>
      <c r="G7160" s="128" t="str">
        <f>VLOOKUP(source[[#This Row],[lending_product_transform]],[3]Mapping!$B$4:$C$37,2,0)</f>
        <v>[Cake] - Cashloan</v>
      </c>
      <c r="H7160" s="128" t="str">
        <f>VLOOKUP(source[[#This Row],[lending_product_transform]],[3]Mapping!$B$3:$D$37,3,0)</f>
        <v>cashloan</v>
      </c>
      <c r="I7160" s="135">
        <v>1932080000</v>
      </c>
    </row>
    <row r="7161" spans="1:9" x14ac:dyDescent="0.2">
      <c r="A7161" s="134">
        <v>45814</v>
      </c>
      <c r="B7161" s="135">
        <f>YEAR(source[[#This Row],[report_date]])</f>
        <v>2025</v>
      </c>
      <c r="C7161" s="128">
        <f t="shared" si="334"/>
        <v>6</v>
      </c>
      <c r="D7161" s="136">
        <f t="shared" si="333"/>
        <v>23</v>
      </c>
      <c r="E7161" s="136">
        <f t="shared" si="335"/>
        <v>6</v>
      </c>
      <c r="F7161" s="128" t="s">
        <v>24</v>
      </c>
      <c r="G7161" s="128" t="str">
        <f>VLOOKUP(source[[#This Row],[lending_product_transform]],[3]Mapping!$B$4:$C$37,2,0)</f>
        <v>[Cake] - Cashloan</v>
      </c>
      <c r="H7161" s="128" t="str">
        <f>VLOOKUP(source[[#This Row],[lending_product_transform]],[3]Mapping!$B$3:$D$37,3,0)</f>
        <v>cashloan</v>
      </c>
      <c r="I7161" s="135">
        <v>9171120000</v>
      </c>
    </row>
    <row r="7162" spans="1:9" x14ac:dyDescent="0.2">
      <c r="A7162" s="134">
        <v>45814</v>
      </c>
      <c r="B7162" s="135">
        <f>YEAR(source[[#This Row],[report_date]])</f>
        <v>2025</v>
      </c>
      <c r="C7162" s="128">
        <f t="shared" si="334"/>
        <v>6</v>
      </c>
      <c r="D7162" s="136">
        <f t="shared" si="333"/>
        <v>23</v>
      </c>
      <c r="E7162" s="136">
        <f t="shared" si="335"/>
        <v>6</v>
      </c>
      <c r="F7162" s="128" t="s">
        <v>24</v>
      </c>
      <c r="G7162" s="128" t="str">
        <f>VLOOKUP(source[[#This Row],[lending_product_transform]],[3]Mapping!$B$4:$C$37,2,0)</f>
        <v>[Cake] - Cashloan</v>
      </c>
      <c r="H7162" s="128" t="str">
        <f>VLOOKUP(source[[#This Row],[lending_product_transform]],[3]Mapping!$B$3:$D$37,3,0)</f>
        <v>cashloan</v>
      </c>
      <c r="I7162" s="135">
        <v>534210000</v>
      </c>
    </row>
    <row r="7163" spans="1:9" x14ac:dyDescent="0.2">
      <c r="A7163" s="134">
        <v>45814</v>
      </c>
      <c r="B7163" s="135">
        <f>YEAR(source[[#This Row],[report_date]])</f>
        <v>2025</v>
      </c>
      <c r="C7163" s="128">
        <f t="shared" si="334"/>
        <v>6</v>
      </c>
      <c r="D7163" s="136">
        <f t="shared" si="333"/>
        <v>23</v>
      </c>
      <c r="E7163" s="136">
        <f t="shared" si="335"/>
        <v>6</v>
      </c>
      <c r="F7163" s="128" t="s">
        <v>24</v>
      </c>
      <c r="G7163" s="128" t="str">
        <f>VLOOKUP(source[[#This Row],[lending_product_transform]],[3]Mapping!$B$4:$C$37,2,0)</f>
        <v>[Cake] - Cashloan</v>
      </c>
      <c r="H7163" s="128" t="str">
        <f>VLOOKUP(source[[#This Row],[lending_product_transform]],[3]Mapping!$B$3:$D$37,3,0)</f>
        <v>cashloan</v>
      </c>
      <c r="I7163" s="135">
        <v>48795863</v>
      </c>
    </row>
    <row r="7164" spans="1:9" x14ac:dyDescent="0.2">
      <c r="A7164" s="134">
        <v>45814</v>
      </c>
      <c r="B7164" s="135">
        <f>YEAR(source[[#This Row],[report_date]])</f>
        <v>2025</v>
      </c>
      <c r="C7164" s="128">
        <f t="shared" si="334"/>
        <v>6</v>
      </c>
      <c r="D7164" s="136">
        <f t="shared" si="333"/>
        <v>23</v>
      </c>
      <c r="E7164" s="136">
        <f t="shared" si="335"/>
        <v>6</v>
      </c>
      <c r="F7164" s="128" t="s">
        <v>24</v>
      </c>
      <c r="G7164" s="128" t="str">
        <f>VLOOKUP(source[[#This Row],[lending_product_transform]],[3]Mapping!$B$4:$C$37,2,0)</f>
        <v>[Cake] - Cashloan</v>
      </c>
      <c r="H7164" s="128" t="str">
        <f>VLOOKUP(source[[#This Row],[lending_product_transform]],[3]Mapping!$B$3:$D$37,3,0)</f>
        <v>cashloan</v>
      </c>
      <c r="I7164" s="135">
        <v>0</v>
      </c>
    </row>
    <row r="7165" spans="1:9" x14ac:dyDescent="0.2">
      <c r="A7165" s="134">
        <v>45814</v>
      </c>
      <c r="B7165" s="135">
        <f>YEAR(source[[#This Row],[report_date]])</f>
        <v>2025</v>
      </c>
      <c r="C7165" s="128">
        <f t="shared" si="334"/>
        <v>6</v>
      </c>
      <c r="D7165" s="136">
        <f t="shared" si="333"/>
        <v>23</v>
      </c>
      <c r="E7165" s="136">
        <f t="shared" si="335"/>
        <v>6</v>
      </c>
      <c r="F7165" s="128" t="s">
        <v>24</v>
      </c>
      <c r="G7165" s="128" t="str">
        <f>VLOOKUP(source[[#This Row],[lending_product_transform]],[3]Mapping!$B$4:$C$37,2,0)</f>
        <v>[Cake] - Cashloan</v>
      </c>
      <c r="H7165" s="128" t="str">
        <f>VLOOKUP(source[[#This Row],[lending_product_transform]],[3]Mapping!$B$3:$D$37,3,0)</f>
        <v>cashloan</v>
      </c>
      <c r="I7165" s="135">
        <v>0</v>
      </c>
    </row>
    <row r="7166" spans="1:9" x14ac:dyDescent="0.2">
      <c r="A7166" s="134">
        <v>45814</v>
      </c>
      <c r="B7166" s="135">
        <f>YEAR(source[[#This Row],[report_date]])</f>
        <v>2025</v>
      </c>
      <c r="C7166" s="128">
        <f t="shared" si="334"/>
        <v>6</v>
      </c>
      <c r="D7166" s="136">
        <f t="shared" si="333"/>
        <v>23</v>
      </c>
      <c r="E7166" s="136">
        <f t="shared" si="335"/>
        <v>6</v>
      </c>
      <c r="F7166" s="128" t="s">
        <v>24</v>
      </c>
      <c r="G7166" s="128" t="str">
        <f>VLOOKUP(source[[#This Row],[lending_product_transform]],[3]Mapping!$B$4:$C$37,2,0)</f>
        <v>[Cake] - Cashloan</v>
      </c>
      <c r="H7166" s="128" t="str">
        <f>VLOOKUP(source[[#This Row],[lending_product_transform]],[3]Mapping!$B$3:$D$37,3,0)</f>
        <v>cashloan</v>
      </c>
      <c r="I7166" s="135">
        <v>0</v>
      </c>
    </row>
    <row r="7167" spans="1:9" x14ac:dyDescent="0.2">
      <c r="A7167" s="134">
        <v>45814</v>
      </c>
      <c r="B7167" s="135">
        <f>YEAR(source[[#This Row],[report_date]])</f>
        <v>2025</v>
      </c>
      <c r="C7167" s="128">
        <f t="shared" si="334"/>
        <v>6</v>
      </c>
      <c r="D7167" s="136">
        <f t="shared" si="333"/>
        <v>23</v>
      </c>
      <c r="E7167" s="136">
        <f t="shared" si="335"/>
        <v>6</v>
      </c>
      <c r="F7167" s="128" t="s">
        <v>24</v>
      </c>
      <c r="G7167" s="128" t="str">
        <f>VLOOKUP(source[[#This Row],[lending_product_transform]],[3]Mapping!$B$4:$C$37,2,0)</f>
        <v>[Cake] - Cashloan</v>
      </c>
      <c r="H7167" s="128" t="str">
        <f>VLOOKUP(source[[#This Row],[lending_product_transform]],[3]Mapping!$B$3:$D$37,3,0)</f>
        <v>cashloan</v>
      </c>
      <c r="I7167" s="135">
        <v>0</v>
      </c>
    </row>
    <row r="7168" spans="1:9" x14ac:dyDescent="0.2">
      <c r="A7168" s="134">
        <v>45815</v>
      </c>
      <c r="B7168" s="135">
        <f>YEAR(source[[#This Row],[report_date]])</f>
        <v>2025</v>
      </c>
      <c r="C7168" s="128">
        <f t="shared" si="334"/>
        <v>6</v>
      </c>
      <c r="D7168" s="136">
        <f t="shared" si="333"/>
        <v>23</v>
      </c>
      <c r="E7168" s="136">
        <f t="shared" si="335"/>
        <v>7</v>
      </c>
      <c r="F7168" s="128" t="s">
        <v>24</v>
      </c>
      <c r="G7168" s="128" t="str">
        <f>VLOOKUP(source[[#This Row],[lending_product_transform]],[3]Mapping!$B$4:$C$37,2,0)</f>
        <v>[Cake] - Cashloan</v>
      </c>
      <c r="H7168" s="128" t="str">
        <f>VLOOKUP(source[[#This Row],[lending_product_transform]],[3]Mapping!$B$3:$D$37,3,0)</f>
        <v>cashloan</v>
      </c>
      <c r="I7168" s="135">
        <v>7121460000</v>
      </c>
    </row>
    <row r="7169" spans="1:9" x14ac:dyDescent="0.2">
      <c r="A7169" s="134">
        <v>45815</v>
      </c>
      <c r="B7169" s="135">
        <f>YEAR(source[[#This Row],[report_date]])</f>
        <v>2025</v>
      </c>
      <c r="C7169" s="128">
        <f t="shared" si="334"/>
        <v>6</v>
      </c>
      <c r="D7169" s="136">
        <f t="shared" si="333"/>
        <v>23</v>
      </c>
      <c r="E7169" s="136">
        <f t="shared" si="335"/>
        <v>7</v>
      </c>
      <c r="F7169" s="128" t="s">
        <v>24</v>
      </c>
      <c r="G7169" s="128" t="str">
        <f>VLOOKUP(source[[#This Row],[lending_product_transform]],[3]Mapping!$B$4:$C$37,2,0)</f>
        <v>[Cake] - Cashloan</v>
      </c>
      <c r="H7169" s="128" t="str">
        <f>VLOOKUP(source[[#This Row],[lending_product_transform]],[3]Mapping!$B$3:$D$37,3,0)</f>
        <v>cashloan</v>
      </c>
      <c r="I7169" s="135">
        <v>13790000</v>
      </c>
    </row>
    <row r="7170" spans="1:9" x14ac:dyDescent="0.2">
      <c r="A7170" s="134">
        <v>45815</v>
      </c>
      <c r="B7170" s="135">
        <f>YEAR(source[[#This Row],[report_date]])</f>
        <v>2025</v>
      </c>
      <c r="C7170" s="128">
        <f t="shared" si="334"/>
        <v>6</v>
      </c>
      <c r="D7170" s="136">
        <f t="shared" si="333"/>
        <v>23</v>
      </c>
      <c r="E7170" s="136">
        <f t="shared" si="335"/>
        <v>7</v>
      </c>
      <c r="F7170" s="128" t="s">
        <v>24</v>
      </c>
      <c r="G7170" s="128" t="str">
        <f>VLOOKUP(source[[#This Row],[lending_product_transform]],[3]Mapping!$B$4:$C$37,2,0)</f>
        <v>[Cake] - Cashloan</v>
      </c>
      <c r="H7170" s="128" t="str">
        <f>VLOOKUP(source[[#This Row],[lending_product_transform]],[3]Mapping!$B$3:$D$37,3,0)</f>
        <v>cashloan</v>
      </c>
      <c r="I7170" s="135">
        <v>1382900000</v>
      </c>
    </row>
    <row r="7171" spans="1:9" x14ac:dyDescent="0.2">
      <c r="A7171" s="134">
        <v>45815</v>
      </c>
      <c r="B7171" s="135">
        <f>YEAR(source[[#This Row],[report_date]])</f>
        <v>2025</v>
      </c>
      <c r="C7171" s="128">
        <f t="shared" si="334"/>
        <v>6</v>
      </c>
      <c r="D7171" s="136">
        <f t="shared" ref="D7171:D7234" si="336">WEEKNUM(A7171,2)</f>
        <v>23</v>
      </c>
      <c r="E7171" s="136">
        <f t="shared" si="335"/>
        <v>7</v>
      </c>
      <c r="F7171" s="128" t="s">
        <v>24</v>
      </c>
      <c r="G7171" s="128" t="str">
        <f>VLOOKUP(source[[#This Row],[lending_product_transform]],[3]Mapping!$B$4:$C$37,2,0)</f>
        <v>[Cake] - Cashloan</v>
      </c>
      <c r="H7171" s="128" t="str">
        <f>VLOOKUP(source[[#This Row],[lending_product_transform]],[3]Mapping!$B$3:$D$37,3,0)</f>
        <v>cashloan</v>
      </c>
      <c r="I7171" s="135">
        <v>0</v>
      </c>
    </row>
    <row r="7172" spans="1:9" x14ac:dyDescent="0.2">
      <c r="A7172" s="134">
        <v>45815</v>
      </c>
      <c r="B7172" s="135">
        <f>YEAR(source[[#This Row],[report_date]])</f>
        <v>2025</v>
      </c>
      <c r="C7172" s="128">
        <f t="shared" si="334"/>
        <v>6</v>
      </c>
      <c r="D7172" s="136">
        <f t="shared" si="336"/>
        <v>23</v>
      </c>
      <c r="E7172" s="136">
        <f t="shared" si="335"/>
        <v>7</v>
      </c>
      <c r="F7172" s="128" t="s">
        <v>24</v>
      </c>
      <c r="G7172" s="128" t="str">
        <f>VLOOKUP(source[[#This Row],[lending_product_transform]],[3]Mapping!$B$4:$C$37,2,0)</f>
        <v>[Cake] - Cashloan</v>
      </c>
      <c r="H7172" s="128" t="str">
        <f>VLOOKUP(source[[#This Row],[lending_product_transform]],[3]Mapping!$B$3:$D$37,3,0)</f>
        <v>cashloan</v>
      </c>
      <c r="I7172" s="135">
        <v>5058504000</v>
      </c>
    </row>
    <row r="7173" spans="1:9" x14ac:dyDescent="0.2">
      <c r="A7173" s="134">
        <v>45815</v>
      </c>
      <c r="B7173" s="135">
        <f>YEAR(source[[#This Row],[report_date]])</f>
        <v>2025</v>
      </c>
      <c r="C7173" s="128">
        <f t="shared" si="334"/>
        <v>6</v>
      </c>
      <c r="D7173" s="136">
        <f t="shared" si="336"/>
        <v>23</v>
      </c>
      <c r="E7173" s="136">
        <f t="shared" si="335"/>
        <v>7</v>
      </c>
      <c r="F7173" s="128" t="s">
        <v>24</v>
      </c>
      <c r="G7173" s="128" t="str">
        <f>VLOOKUP(source[[#This Row],[lending_product_transform]],[3]Mapping!$B$4:$C$37,2,0)</f>
        <v>[Cake] - Cashloan</v>
      </c>
      <c r="H7173" s="128" t="str">
        <f>VLOOKUP(source[[#This Row],[lending_product_transform]],[3]Mapping!$B$3:$D$37,3,0)</f>
        <v>cashloan</v>
      </c>
      <c r="I7173" s="135">
        <v>0</v>
      </c>
    </row>
    <row r="7174" spans="1:9" x14ac:dyDescent="0.2">
      <c r="A7174" s="134">
        <v>45815</v>
      </c>
      <c r="B7174" s="135">
        <f>YEAR(source[[#This Row],[report_date]])</f>
        <v>2025</v>
      </c>
      <c r="C7174" s="128">
        <f t="shared" si="334"/>
        <v>6</v>
      </c>
      <c r="D7174" s="136">
        <f t="shared" si="336"/>
        <v>23</v>
      </c>
      <c r="E7174" s="136">
        <f t="shared" si="335"/>
        <v>7</v>
      </c>
      <c r="F7174" s="128" t="s">
        <v>24</v>
      </c>
      <c r="G7174" s="128" t="str">
        <f>VLOOKUP(source[[#This Row],[lending_product_transform]],[3]Mapping!$B$4:$C$37,2,0)</f>
        <v>[Cake] - Cashloan</v>
      </c>
      <c r="H7174" s="128" t="str">
        <f>VLOOKUP(source[[#This Row],[lending_product_transform]],[3]Mapping!$B$3:$D$37,3,0)</f>
        <v>cashloan</v>
      </c>
      <c r="I7174" s="135">
        <v>0</v>
      </c>
    </row>
    <row r="7175" spans="1:9" x14ac:dyDescent="0.2">
      <c r="A7175" s="134">
        <v>45815</v>
      </c>
      <c r="B7175" s="135">
        <f>YEAR(source[[#This Row],[report_date]])</f>
        <v>2025</v>
      </c>
      <c r="C7175" s="128">
        <f t="shared" si="334"/>
        <v>6</v>
      </c>
      <c r="D7175" s="136">
        <f t="shared" si="336"/>
        <v>23</v>
      </c>
      <c r="E7175" s="136">
        <f t="shared" si="335"/>
        <v>7</v>
      </c>
      <c r="F7175" s="128" t="s">
        <v>24</v>
      </c>
      <c r="G7175" s="128" t="str">
        <f>VLOOKUP(source[[#This Row],[lending_product_transform]],[3]Mapping!$B$4:$C$37,2,0)</f>
        <v>[Cake] - Cashloan</v>
      </c>
      <c r="H7175" s="128" t="str">
        <f>VLOOKUP(source[[#This Row],[lending_product_transform]],[3]Mapping!$B$3:$D$37,3,0)</f>
        <v>cashloan</v>
      </c>
      <c r="I7175" s="135">
        <v>23100000</v>
      </c>
    </row>
    <row r="7176" spans="1:9" x14ac:dyDescent="0.2">
      <c r="A7176" s="134">
        <v>45815</v>
      </c>
      <c r="B7176" s="135">
        <f>YEAR(source[[#This Row],[report_date]])</f>
        <v>2025</v>
      </c>
      <c r="C7176" s="128">
        <f t="shared" si="334"/>
        <v>6</v>
      </c>
      <c r="D7176" s="136">
        <f t="shared" si="336"/>
        <v>23</v>
      </c>
      <c r="E7176" s="136">
        <f t="shared" si="335"/>
        <v>7</v>
      </c>
      <c r="F7176" s="128" t="s">
        <v>24</v>
      </c>
      <c r="G7176" s="128" t="str">
        <f>VLOOKUP(source[[#This Row],[lending_product_transform]],[3]Mapping!$B$4:$C$37,2,0)</f>
        <v>[Cake] - Cashloan</v>
      </c>
      <c r="H7176" s="128" t="str">
        <f>VLOOKUP(source[[#This Row],[lending_product_transform]],[3]Mapping!$B$3:$D$37,3,0)</f>
        <v>cashloan</v>
      </c>
      <c r="I7176" s="135">
        <v>1231630000</v>
      </c>
    </row>
    <row r="7177" spans="1:9" x14ac:dyDescent="0.2">
      <c r="A7177" s="134">
        <v>45815</v>
      </c>
      <c r="B7177" s="135">
        <f>YEAR(source[[#This Row],[report_date]])</f>
        <v>2025</v>
      </c>
      <c r="C7177" s="128">
        <f t="shared" si="334"/>
        <v>6</v>
      </c>
      <c r="D7177" s="136">
        <f t="shared" si="336"/>
        <v>23</v>
      </c>
      <c r="E7177" s="136">
        <f t="shared" si="335"/>
        <v>7</v>
      </c>
      <c r="F7177" s="128" t="s">
        <v>24</v>
      </c>
      <c r="G7177" s="128" t="str">
        <f>VLOOKUP(source[[#This Row],[lending_product_transform]],[3]Mapping!$B$4:$C$37,2,0)</f>
        <v>[Cake] - Cashloan</v>
      </c>
      <c r="H7177" s="128" t="str">
        <f>VLOOKUP(source[[#This Row],[lending_product_transform]],[3]Mapping!$B$3:$D$37,3,0)</f>
        <v>cashloan</v>
      </c>
      <c r="I7177" s="135">
        <v>5252534</v>
      </c>
    </row>
    <row r="7178" spans="1:9" x14ac:dyDescent="0.2">
      <c r="A7178" s="134">
        <v>45815</v>
      </c>
      <c r="B7178" s="135">
        <f>YEAR(source[[#This Row],[report_date]])</f>
        <v>2025</v>
      </c>
      <c r="C7178" s="128">
        <f t="shared" si="334"/>
        <v>6</v>
      </c>
      <c r="D7178" s="136">
        <f t="shared" si="336"/>
        <v>23</v>
      </c>
      <c r="E7178" s="136">
        <f t="shared" si="335"/>
        <v>7</v>
      </c>
      <c r="F7178" s="128" t="s">
        <v>24</v>
      </c>
      <c r="G7178" s="128" t="str">
        <f>VLOOKUP(source[[#This Row],[lending_product_transform]],[3]Mapping!$B$4:$C$37,2,0)</f>
        <v>[Cake] - Cashloan</v>
      </c>
      <c r="H7178" s="128" t="str">
        <f>VLOOKUP(source[[#This Row],[lending_product_transform]],[3]Mapping!$B$3:$D$37,3,0)</f>
        <v>cashloan</v>
      </c>
      <c r="I7178" s="135">
        <v>284813171</v>
      </c>
    </row>
    <row r="7179" spans="1:9" x14ac:dyDescent="0.2">
      <c r="A7179" s="134">
        <v>45815</v>
      </c>
      <c r="B7179" s="135">
        <f>YEAR(source[[#This Row],[report_date]])</f>
        <v>2025</v>
      </c>
      <c r="C7179" s="128">
        <f t="shared" si="334"/>
        <v>6</v>
      </c>
      <c r="D7179" s="136">
        <f t="shared" si="336"/>
        <v>23</v>
      </c>
      <c r="E7179" s="136">
        <f t="shared" si="335"/>
        <v>7</v>
      </c>
      <c r="F7179" s="128" t="s">
        <v>24</v>
      </c>
      <c r="G7179" s="128" t="str">
        <f>VLOOKUP(source[[#This Row],[lending_product_transform]],[3]Mapping!$B$4:$C$37,2,0)</f>
        <v>[Cake] - Cashloan</v>
      </c>
      <c r="H7179" s="128" t="str">
        <f>VLOOKUP(source[[#This Row],[lending_product_transform]],[3]Mapping!$B$3:$D$37,3,0)</f>
        <v>cashloan</v>
      </c>
      <c r="I7179" s="135">
        <v>663940378</v>
      </c>
    </row>
    <row r="7180" spans="1:9" x14ac:dyDescent="0.2">
      <c r="A7180" s="134">
        <v>45815</v>
      </c>
      <c r="B7180" s="135">
        <f>YEAR(source[[#This Row],[report_date]])</f>
        <v>2025</v>
      </c>
      <c r="C7180" s="128">
        <f t="shared" si="334"/>
        <v>6</v>
      </c>
      <c r="D7180" s="136">
        <f t="shared" si="336"/>
        <v>23</v>
      </c>
      <c r="E7180" s="136">
        <f t="shared" si="335"/>
        <v>7</v>
      </c>
      <c r="F7180" s="128" t="s">
        <v>24</v>
      </c>
      <c r="G7180" s="128" t="str">
        <f>VLOOKUP(source[[#This Row],[lending_product_transform]],[3]Mapping!$B$4:$C$37,2,0)</f>
        <v>[Cake] - Cashloan</v>
      </c>
      <c r="H7180" s="128" t="str">
        <f>VLOOKUP(source[[#This Row],[lending_product_transform]],[3]Mapping!$B$3:$D$37,3,0)</f>
        <v>cashloan</v>
      </c>
      <c r="I7180" s="135">
        <v>0</v>
      </c>
    </row>
    <row r="7181" spans="1:9" x14ac:dyDescent="0.2">
      <c r="A7181" s="134">
        <v>45815</v>
      </c>
      <c r="B7181" s="135">
        <f>YEAR(source[[#This Row],[report_date]])</f>
        <v>2025</v>
      </c>
      <c r="C7181" s="128">
        <f t="shared" si="334"/>
        <v>6</v>
      </c>
      <c r="D7181" s="136">
        <f t="shared" si="336"/>
        <v>23</v>
      </c>
      <c r="E7181" s="136">
        <f t="shared" si="335"/>
        <v>7</v>
      </c>
      <c r="F7181" s="128" t="s">
        <v>24</v>
      </c>
      <c r="G7181" s="128" t="str">
        <f>VLOOKUP(source[[#This Row],[lending_product_transform]],[3]Mapping!$B$4:$C$37,2,0)</f>
        <v>[Cake] - Cashloan</v>
      </c>
      <c r="H7181" s="128" t="str">
        <f>VLOOKUP(source[[#This Row],[lending_product_transform]],[3]Mapping!$B$3:$D$37,3,0)</f>
        <v>cashloan</v>
      </c>
      <c r="I7181" s="135">
        <v>3740967626</v>
      </c>
    </row>
    <row r="7182" spans="1:9" x14ac:dyDescent="0.2">
      <c r="A7182" s="134">
        <v>45815</v>
      </c>
      <c r="B7182" s="135">
        <f>YEAR(source[[#This Row],[report_date]])</f>
        <v>2025</v>
      </c>
      <c r="C7182" s="128">
        <f t="shared" si="334"/>
        <v>6</v>
      </c>
      <c r="D7182" s="136">
        <f t="shared" si="336"/>
        <v>23</v>
      </c>
      <c r="E7182" s="136">
        <f t="shared" si="335"/>
        <v>7</v>
      </c>
      <c r="F7182" s="128" t="s">
        <v>24</v>
      </c>
      <c r="G7182" s="128" t="str">
        <f>VLOOKUP(source[[#This Row],[lending_product_transform]],[3]Mapping!$B$4:$C$37,2,0)</f>
        <v>[Cake] - Cashloan</v>
      </c>
      <c r="H7182" s="128" t="str">
        <f>VLOOKUP(source[[#This Row],[lending_product_transform]],[3]Mapping!$B$3:$D$37,3,0)</f>
        <v>cashloan</v>
      </c>
      <c r="I7182" s="135">
        <v>553700000</v>
      </c>
    </row>
    <row r="7183" spans="1:9" x14ac:dyDescent="0.2">
      <c r="A7183" s="134">
        <v>45815</v>
      </c>
      <c r="B7183" s="135">
        <f>YEAR(source[[#This Row],[report_date]])</f>
        <v>2025</v>
      </c>
      <c r="C7183" s="128">
        <f t="shared" si="334"/>
        <v>6</v>
      </c>
      <c r="D7183" s="136">
        <f t="shared" si="336"/>
        <v>23</v>
      </c>
      <c r="E7183" s="136">
        <f t="shared" si="335"/>
        <v>7</v>
      </c>
      <c r="F7183" s="128" t="s">
        <v>24</v>
      </c>
      <c r="G7183" s="128" t="str">
        <f>VLOOKUP(source[[#This Row],[lending_product_transform]],[3]Mapping!$B$4:$C$37,2,0)</f>
        <v>[Cake] - Cashloan</v>
      </c>
      <c r="H7183" s="128" t="str">
        <f>VLOOKUP(source[[#This Row],[lending_product_transform]],[3]Mapping!$B$3:$D$37,3,0)</f>
        <v>cashloan</v>
      </c>
      <c r="I7183" s="135">
        <v>492095209</v>
      </c>
    </row>
    <row r="7184" spans="1:9" x14ac:dyDescent="0.2">
      <c r="A7184" s="134">
        <v>45815</v>
      </c>
      <c r="B7184" s="135">
        <f>YEAR(source[[#This Row],[report_date]])</f>
        <v>2025</v>
      </c>
      <c r="C7184" s="128">
        <f t="shared" si="334"/>
        <v>6</v>
      </c>
      <c r="D7184" s="136">
        <f t="shared" si="336"/>
        <v>23</v>
      </c>
      <c r="E7184" s="136">
        <f t="shared" si="335"/>
        <v>7</v>
      </c>
      <c r="F7184" s="128" t="s">
        <v>24</v>
      </c>
      <c r="G7184" s="128" t="str">
        <f>VLOOKUP(source[[#This Row],[lending_product_transform]],[3]Mapping!$B$4:$C$37,2,0)</f>
        <v>[Cake] - Cashloan</v>
      </c>
      <c r="H7184" s="128" t="str">
        <f>VLOOKUP(source[[#This Row],[lending_product_transform]],[3]Mapping!$B$3:$D$37,3,0)</f>
        <v>cashloan</v>
      </c>
      <c r="I7184" s="135">
        <v>8464970000</v>
      </c>
    </row>
    <row r="7185" spans="1:9" x14ac:dyDescent="0.2">
      <c r="A7185" s="134">
        <v>45815</v>
      </c>
      <c r="B7185" s="135">
        <f>YEAR(source[[#This Row],[report_date]])</f>
        <v>2025</v>
      </c>
      <c r="C7185" s="128">
        <f t="shared" si="334"/>
        <v>6</v>
      </c>
      <c r="D7185" s="136">
        <f t="shared" si="336"/>
        <v>23</v>
      </c>
      <c r="E7185" s="136">
        <f t="shared" si="335"/>
        <v>7</v>
      </c>
      <c r="F7185" s="128" t="s">
        <v>24</v>
      </c>
      <c r="G7185" s="128" t="str">
        <f>VLOOKUP(source[[#This Row],[lending_product_transform]],[3]Mapping!$B$4:$C$37,2,0)</f>
        <v>[Cake] - Cashloan</v>
      </c>
      <c r="H7185" s="128" t="str">
        <f>VLOOKUP(source[[#This Row],[lending_product_transform]],[3]Mapping!$B$3:$D$37,3,0)</f>
        <v>cashloan</v>
      </c>
      <c r="I7185" s="135">
        <v>0</v>
      </c>
    </row>
    <row r="7186" spans="1:9" x14ac:dyDescent="0.2">
      <c r="A7186" s="134">
        <v>45816</v>
      </c>
      <c r="B7186" s="135">
        <f>YEAR(source[[#This Row],[report_date]])</f>
        <v>2025</v>
      </c>
      <c r="C7186" s="128">
        <f t="shared" si="334"/>
        <v>6</v>
      </c>
      <c r="D7186" s="136">
        <f t="shared" si="336"/>
        <v>23</v>
      </c>
      <c r="E7186" s="136">
        <f t="shared" si="335"/>
        <v>8</v>
      </c>
      <c r="F7186" s="128" t="s">
        <v>24</v>
      </c>
      <c r="G7186" s="128" t="str">
        <f>VLOOKUP(source[[#This Row],[lending_product_transform]],[3]Mapping!$B$4:$C$37,2,0)</f>
        <v>[Cake] - Cashloan</v>
      </c>
      <c r="H7186" s="128" t="str">
        <f>VLOOKUP(source[[#This Row],[lending_product_transform]],[3]Mapping!$B$3:$D$37,3,0)</f>
        <v>cashloan</v>
      </c>
      <c r="I7186" s="135">
        <v>266553615</v>
      </c>
    </row>
    <row r="7187" spans="1:9" x14ac:dyDescent="0.2">
      <c r="A7187" s="134">
        <v>45816</v>
      </c>
      <c r="B7187" s="135">
        <f>YEAR(source[[#This Row],[report_date]])</f>
        <v>2025</v>
      </c>
      <c r="C7187" s="128">
        <f t="shared" si="334"/>
        <v>6</v>
      </c>
      <c r="D7187" s="136">
        <f t="shared" si="336"/>
        <v>23</v>
      </c>
      <c r="E7187" s="136">
        <f t="shared" si="335"/>
        <v>8</v>
      </c>
      <c r="F7187" s="128" t="s">
        <v>24</v>
      </c>
      <c r="G7187" s="128" t="str">
        <f>VLOOKUP(source[[#This Row],[lending_product_transform]],[3]Mapping!$B$4:$C$37,2,0)</f>
        <v>[Cake] - Cashloan</v>
      </c>
      <c r="H7187" s="128" t="str">
        <f>VLOOKUP(source[[#This Row],[lending_product_transform]],[3]Mapping!$B$3:$D$37,3,0)</f>
        <v>cashloan</v>
      </c>
      <c r="I7187" s="135">
        <v>371270000</v>
      </c>
    </row>
    <row r="7188" spans="1:9" x14ac:dyDescent="0.2">
      <c r="A7188" s="134">
        <v>45816</v>
      </c>
      <c r="B7188" s="135">
        <f>YEAR(source[[#This Row],[report_date]])</f>
        <v>2025</v>
      </c>
      <c r="C7188" s="128">
        <f t="shared" si="334"/>
        <v>6</v>
      </c>
      <c r="D7188" s="136">
        <f t="shared" si="336"/>
        <v>23</v>
      </c>
      <c r="E7188" s="136">
        <f t="shared" si="335"/>
        <v>8</v>
      </c>
      <c r="F7188" s="128" t="s">
        <v>24</v>
      </c>
      <c r="G7188" s="128" t="str">
        <f>VLOOKUP(source[[#This Row],[lending_product_transform]],[3]Mapping!$B$4:$C$37,2,0)</f>
        <v>[Cake] - Cashloan</v>
      </c>
      <c r="H7188" s="128" t="str">
        <f>VLOOKUP(source[[#This Row],[lending_product_transform]],[3]Mapping!$B$3:$D$37,3,0)</f>
        <v>cashloan</v>
      </c>
      <c r="I7188" s="135">
        <v>0</v>
      </c>
    </row>
    <row r="7189" spans="1:9" x14ac:dyDescent="0.2">
      <c r="A7189" s="134">
        <v>45816</v>
      </c>
      <c r="B7189" s="135">
        <f>YEAR(source[[#This Row],[report_date]])</f>
        <v>2025</v>
      </c>
      <c r="C7189" s="128">
        <f t="shared" si="334"/>
        <v>6</v>
      </c>
      <c r="D7189" s="136">
        <f t="shared" si="336"/>
        <v>23</v>
      </c>
      <c r="E7189" s="136">
        <f t="shared" si="335"/>
        <v>8</v>
      </c>
      <c r="F7189" s="128" t="s">
        <v>24</v>
      </c>
      <c r="G7189" s="128" t="str">
        <f>VLOOKUP(source[[#This Row],[lending_product_transform]],[3]Mapping!$B$4:$C$37,2,0)</f>
        <v>[Cake] - Cashloan</v>
      </c>
      <c r="H7189" s="128" t="str">
        <f>VLOOKUP(source[[#This Row],[lending_product_transform]],[3]Mapping!$B$3:$D$37,3,0)</f>
        <v>cashloan</v>
      </c>
      <c r="I7189" s="135">
        <v>545865618</v>
      </c>
    </row>
    <row r="7190" spans="1:9" x14ac:dyDescent="0.2">
      <c r="A7190" s="134">
        <v>45816</v>
      </c>
      <c r="B7190" s="135">
        <f>YEAR(source[[#This Row],[report_date]])</f>
        <v>2025</v>
      </c>
      <c r="C7190" s="128">
        <f t="shared" si="334"/>
        <v>6</v>
      </c>
      <c r="D7190" s="136">
        <f t="shared" si="336"/>
        <v>23</v>
      </c>
      <c r="E7190" s="136">
        <f t="shared" si="335"/>
        <v>8</v>
      </c>
      <c r="F7190" s="128" t="s">
        <v>24</v>
      </c>
      <c r="G7190" s="128" t="str">
        <f>VLOOKUP(source[[#This Row],[lending_product_transform]],[3]Mapping!$B$4:$C$37,2,0)</f>
        <v>[Cake] - Cashloan</v>
      </c>
      <c r="H7190" s="128" t="str">
        <f>VLOOKUP(source[[#This Row],[lending_product_transform]],[3]Mapping!$B$3:$D$37,3,0)</f>
        <v>cashloan</v>
      </c>
      <c r="I7190" s="135">
        <v>0</v>
      </c>
    </row>
    <row r="7191" spans="1:9" x14ac:dyDescent="0.2">
      <c r="A7191" s="134">
        <v>45816</v>
      </c>
      <c r="B7191" s="135">
        <f>YEAR(source[[#This Row],[report_date]])</f>
        <v>2025</v>
      </c>
      <c r="C7191" s="128">
        <f t="shared" si="334"/>
        <v>6</v>
      </c>
      <c r="D7191" s="136">
        <f t="shared" si="336"/>
        <v>23</v>
      </c>
      <c r="E7191" s="136">
        <f t="shared" si="335"/>
        <v>8</v>
      </c>
      <c r="F7191" s="128" t="s">
        <v>24</v>
      </c>
      <c r="G7191" s="128" t="str">
        <f>VLOOKUP(source[[#This Row],[lending_product_transform]],[3]Mapping!$B$4:$C$37,2,0)</f>
        <v>[Cake] - Cashloan</v>
      </c>
      <c r="H7191" s="128" t="str">
        <f>VLOOKUP(source[[#This Row],[lending_product_transform]],[3]Mapping!$B$3:$D$37,3,0)</f>
        <v>cashloan</v>
      </c>
      <c r="I7191" s="135">
        <v>1156020000</v>
      </c>
    </row>
    <row r="7192" spans="1:9" x14ac:dyDescent="0.2">
      <c r="A7192" s="134">
        <v>45816</v>
      </c>
      <c r="B7192" s="135">
        <f>YEAR(source[[#This Row],[report_date]])</f>
        <v>2025</v>
      </c>
      <c r="C7192" s="128">
        <f t="shared" si="334"/>
        <v>6</v>
      </c>
      <c r="D7192" s="136">
        <f t="shared" si="336"/>
        <v>23</v>
      </c>
      <c r="E7192" s="136">
        <f t="shared" si="335"/>
        <v>8</v>
      </c>
      <c r="F7192" s="128" t="s">
        <v>24</v>
      </c>
      <c r="G7192" s="128" t="str">
        <f>VLOOKUP(source[[#This Row],[lending_product_transform]],[3]Mapping!$B$4:$C$37,2,0)</f>
        <v>[Cake] - Cashloan</v>
      </c>
      <c r="H7192" s="128" t="str">
        <f>VLOOKUP(source[[#This Row],[lending_product_transform]],[3]Mapping!$B$3:$D$37,3,0)</f>
        <v>cashloan</v>
      </c>
      <c r="I7192" s="135">
        <v>1156870000</v>
      </c>
    </row>
    <row r="7193" spans="1:9" x14ac:dyDescent="0.2">
      <c r="A7193" s="134">
        <v>45816</v>
      </c>
      <c r="B7193" s="135">
        <f>YEAR(source[[#This Row],[report_date]])</f>
        <v>2025</v>
      </c>
      <c r="C7193" s="128">
        <f t="shared" si="334"/>
        <v>6</v>
      </c>
      <c r="D7193" s="136">
        <f t="shared" si="336"/>
        <v>23</v>
      </c>
      <c r="E7193" s="136">
        <f t="shared" si="335"/>
        <v>8</v>
      </c>
      <c r="F7193" s="128" t="s">
        <v>24</v>
      </c>
      <c r="G7193" s="128" t="str">
        <f>VLOOKUP(source[[#This Row],[lending_product_transform]],[3]Mapping!$B$4:$C$37,2,0)</f>
        <v>[Cake] - Cashloan</v>
      </c>
      <c r="H7193" s="128" t="str">
        <f>VLOOKUP(source[[#This Row],[lending_product_transform]],[3]Mapping!$B$3:$D$37,3,0)</f>
        <v>cashloan</v>
      </c>
      <c r="I7193" s="135">
        <v>440093785</v>
      </c>
    </row>
    <row r="7194" spans="1:9" x14ac:dyDescent="0.2">
      <c r="A7194" s="134">
        <v>45816</v>
      </c>
      <c r="B7194" s="135">
        <f>YEAR(source[[#This Row],[report_date]])</f>
        <v>2025</v>
      </c>
      <c r="C7194" s="128">
        <f t="shared" si="334"/>
        <v>6</v>
      </c>
      <c r="D7194" s="136">
        <f t="shared" si="336"/>
        <v>23</v>
      </c>
      <c r="E7194" s="136">
        <f t="shared" si="335"/>
        <v>8</v>
      </c>
      <c r="F7194" s="128" t="s">
        <v>24</v>
      </c>
      <c r="G7194" s="128" t="str">
        <f>VLOOKUP(source[[#This Row],[lending_product_transform]],[3]Mapping!$B$4:$C$37,2,0)</f>
        <v>[Cake] - Cashloan</v>
      </c>
      <c r="H7194" s="128" t="str">
        <f>VLOOKUP(source[[#This Row],[lending_product_transform]],[3]Mapping!$B$3:$D$37,3,0)</f>
        <v>cashloan</v>
      </c>
      <c r="I7194" s="135">
        <v>3345949532</v>
      </c>
    </row>
    <row r="7195" spans="1:9" x14ac:dyDescent="0.2">
      <c r="A7195" s="134">
        <v>45816</v>
      </c>
      <c r="B7195" s="135">
        <f>YEAR(source[[#This Row],[report_date]])</f>
        <v>2025</v>
      </c>
      <c r="C7195" s="128">
        <f t="shared" si="334"/>
        <v>6</v>
      </c>
      <c r="D7195" s="136">
        <f t="shared" si="336"/>
        <v>23</v>
      </c>
      <c r="E7195" s="136">
        <f t="shared" si="335"/>
        <v>8</v>
      </c>
      <c r="F7195" s="128" t="s">
        <v>24</v>
      </c>
      <c r="G7195" s="128" t="str">
        <f>VLOOKUP(source[[#This Row],[lending_product_transform]],[3]Mapping!$B$4:$C$37,2,0)</f>
        <v>[Cake] - Cashloan</v>
      </c>
      <c r="H7195" s="128" t="str">
        <f>VLOOKUP(source[[#This Row],[lending_product_transform]],[3]Mapping!$B$3:$D$37,3,0)</f>
        <v>cashloan</v>
      </c>
      <c r="I7195" s="135">
        <v>8203840000</v>
      </c>
    </row>
    <row r="7196" spans="1:9" x14ac:dyDescent="0.2">
      <c r="A7196" s="134">
        <v>45816</v>
      </c>
      <c r="B7196" s="135">
        <f>YEAR(source[[#This Row],[report_date]])</f>
        <v>2025</v>
      </c>
      <c r="C7196" s="128">
        <f t="shared" si="334"/>
        <v>6</v>
      </c>
      <c r="D7196" s="136">
        <f t="shared" si="336"/>
        <v>23</v>
      </c>
      <c r="E7196" s="136">
        <f t="shared" si="335"/>
        <v>8</v>
      </c>
      <c r="F7196" s="128" t="s">
        <v>24</v>
      </c>
      <c r="G7196" s="128" t="str">
        <f>VLOOKUP(source[[#This Row],[lending_product_transform]],[3]Mapping!$B$4:$C$37,2,0)</f>
        <v>[Cake] - Cashloan</v>
      </c>
      <c r="H7196" s="128" t="str">
        <f>VLOOKUP(source[[#This Row],[lending_product_transform]],[3]Mapping!$B$3:$D$37,3,0)</f>
        <v>cashloan</v>
      </c>
      <c r="I7196" s="135">
        <v>7274480000</v>
      </c>
    </row>
    <row r="7197" spans="1:9" x14ac:dyDescent="0.2">
      <c r="A7197" s="134">
        <v>45816</v>
      </c>
      <c r="B7197" s="135">
        <f>YEAR(source[[#This Row],[report_date]])</f>
        <v>2025</v>
      </c>
      <c r="C7197" s="128">
        <f t="shared" si="334"/>
        <v>6</v>
      </c>
      <c r="D7197" s="136">
        <f t="shared" si="336"/>
        <v>23</v>
      </c>
      <c r="E7197" s="136">
        <f t="shared" si="335"/>
        <v>8</v>
      </c>
      <c r="F7197" s="128" t="s">
        <v>24</v>
      </c>
      <c r="G7197" s="128" t="str">
        <f>VLOOKUP(source[[#This Row],[lending_product_transform]],[3]Mapping!$B$4:$C$37,2,0)</f>
        <v>[Cake] - Cashloan</v>
      </c>
      <c r="H7197" s="128" t="str">
        <f>VLOOKUP(source[[#This Row],[lending_product_transform]],[3]Mapping!$B$3:$D$37,3,0)</f>
        <v>cashloan</v>
      </c>
      <c r="I7197" s="135">
        <v>4828356000</v>
      </c>
    </row>
    <row r="7198" spans="1:9" x14ac:dyDescent="0.2">
      <c r="A7198" s="134">
        <v>45816</v>
      </c>
      <c r="B7198" s="135">
        <f>YEAR(source[[#This Row],[report_date]])</f>
        <v>2025</v>
      </c>
      <c r="C7198" s="128">
        <f t="shared" si="334"/>
        <v>6</v>
      </c>
      <c r="D7198" s="136">
        <f t="shared" si="336"/>
        <v>23</v>
      </c>
      <c r="E7198" s="136">
        <f t="shared" si="335"/>
        <v>8</v>
      </c>
      <c r="F7198" s="128" t="s">
        <v>24</v>
      </c>
      <c r="G7198" s="128" t="str">
        <f>VLOOKUP(source[[#This Row],[lending_product_transform]],[3]Mapping!$B$4:$C$37,2,0)</f>
        <v>[Cake] - Cashloan</v>
      </c>
      <c r="H7198" s="128" t="str">
        <f>VLOOKUP(source[[#This Row],[lending_product_transform]],[3]Mapping!$B$3:$D$37,3,0)</f>
        <v>cashloan</v>
      </c>
      <c r="I7198" s="135">
        <v>740000</v>
      </c>
    </row>
    <row r="7199" spans="1:9" x14ac:dyDescent="0.2">
      <c r="A7199" s="134">
        <v>45816</v>
      </c>
      <c r="B7199" s="135">
        <f>YEAR(source[[#This Row],[report_date]])</f>
        <v>2025</v>
      </c>
      <c r="C7199" s="128">
        <f t="shared" si="334"/>
        <v>6</v>
      </c>
      <c r="D7199" s="136">
        <f t="shared" si="336"/>
        <v>23</v>
      </c>
      <c r="E7199" s="136">
        <f t="shared" si="335"/>
        <v>8</v>
      </c>
      <c r="F7199" s="128" t="s">
        <v>24</v>
      </c>
      <c r="G7199" s="128" t="str">
        <f>VLOOKUP(source[[#This Row],[lending_product_transform]],[3]Mapping!$B$4:$C$37,2,0)</f>
        <v>[Cake] - Cashloan</v>
      </c>
      <c r="H7199" s="128" t="str">
        <f>VLOOKUP(source[[#This Row],[lending_product_transform]],[3]Mapping!$B$3:$D$37,3,0)</f>
        <v>cashloan</v>
      </c>
      <c r="I7199" s="135">
        <v>12600000</v>
      </c>
    </row>
    <row r="7200" spans="1:9" x14ac:dyDescent="0.2">
      <c r="A7200" s="134">
        <v>45816</v>
      </c>
      <c r="B7200" s="135">
        <f>YEAR(source[[#This Row],[report_date]])</f>
        <v>2025</v>
      </c>
      <c r="C7200" s="128">
        <f t="shared" si="334"/>
        <v>6</v>
      </c>
      <c r="D7200" s="136">
        <f t="shared" si="336"/>
        <v>23</v>
      </c>
      <c r="E7200" s="136">
        <f t="shared" si="335"/>
        <v>8</v>
      </c>
      <c r="F7200" s="128" t="s">
        <v>24</v>
      </c>
      <c r="G7200" s="128" t="str">
        <f>VLOOKUP(source[[#This Row],[lending_product_transform]],[3]Mapping!$B$4:$C$37,2,0)</f>
        <v>[Cake] - Cashloan</v>
      </c>
      <c r="H7200" s="128" t="str">
        <f>VLOOKUP(source[[#This Row],[lending_product_transform]],[3]Mapping!$B$3:$D$37,3,0)</f>
        <v>cashloan</v>
      </c>
      <c r="I7200" s="135">
        <v>14923866</v>
      </c>
    </row>
    <row r="7201" spans="1:9" x14ac:dyDescent="0.2">
      <c r="A7201" s="134">
        <v>45816</v>
      </c>
      <c r="B7201" s="135">
        <f>YEAR(source[[#This Row],[report_date]])</f>
        <v>2025</v>
      </c>
      <c r="C7201" s="128">
        <f t="shared" si="334"/>
        <v>6</v>
      </c>
      <c r="D7201" s="136">
        <f t="shared" si="336"/>
        <v>23</v>
      </c>
      <c r="E7201" s="136">
        <f t="shared" si="335"/>
        <v>8</v>
      </c>
      <c r="F7201" s="128" t="s">
        <v>24</v>
      </c>
      <c r="G7201" s="128" t="str">
        <f>VLOOKUP(source[[#This Row],[lending_product_transform]],[3]Mapping!$B$4:$C$37,2,0)</f>
        <v>[Cake] - Cashloan</v>
      </c>
      <c r="H7201" s="128" t="str">
        <f>VLOOKUP(source[[#This Row],[lending_product_transform]],[3]Mapping!$B$3:$D$37,3,0)</f>
        <v>cashloan</v>
      </c>
      <c r="I7201" s="135">
        <v>0</v>
      </c>
    </row>
    <row r="7202" spans="1:9" x14ac:dyDescent="0.2">
      <c r="A7202" s="134">
        <v>45816</v>
      </c>
      <c r="B7202" s="135">
        <f>YEAR(source[[#This Row],[report_date]])</f>
        <v>2025</v>
      </c>
      <c r="C7202" s="128">
        <f t="shared" si="334"/>
        <v>6</v>
      </c>
      <c r="D7202" s="136">
        <f t="shared" si="336"/>
        <v>23</v>
      </c>
      <c r="E7202" s="136">
        <f t="shared" si="335"/>
        <v>8</v>
      </c>
      <c r="F7202" s="128" t="s">
        <v>24</v>
      </c>
      <c r="G7202" s="128" t="str">
        <f>VLOOKUP(source[[#This Row],[lending_product_transform]],[3]Mapping!$B$4:$C$37,2,0)</f>
        <v>[Cake] - Cashloan</v>
      </c>
      <c r="H7202" s="128" t="str">
        <f>VLOOKUP(source[[#This Row],[lending_product_transform]],[3]Mapping!$B$3:$D$37,3,0)</f>
        <v>cashloan</v>
      </c>
      <c r="I7202" s="135">
        <v>0</v>
      </c>
    </row>
    <row r="7203" spans="1:9" x14ac:dyDescent="0.2">
      <c r="A7203" s="134">
        <v>45816</v>
      </c>
      <c r="B7203" s="135">
        <f>YEAR(source[[#This Row],[report_date]])</f>
        <v>2025</v>
      </c>
      <c r="C7203" s="128">
        <f t="shared" si="334"/>
        <v>6</v>
      </c>
      <c r="D7203" s="136">
        <f t="shared" si="336"/>
        <v>23</v>
      </c>
      <c r="E7203" s="136">
        <f t="shared" si="335"/>
        <v>8</v>
      </c>
      <c r="F7203" s="128" t="s">
        <v>24</v>
      </c>
      <c r="G7203" s="128" t="str">
        <f>VLOOKUP(source[[#This Row],[lending_product_transform]],[3]Mapping!$B$4:$C$37,2,0)</f>
        <v>[Cake] - Cashloan</v>
      </c>
      <c r="H7203" s="128" t="str">
        <f>VLOOKUP(source[[#This Row],[lending_product_transform]],[3]Mapping!$B$3:$D$37,3,0)</f>
        <v>cashloan</v>
      </c>
      <c r="I7203" s="135">
        <v>0</v>
      </c>
    </row>
    <row r="7204" spans="1:9" x14ac:dyDescent="0.2">
      <c r="A7204" s="134">
        <v>45817</v>
      </c>
      <c r="B7204" s="135">
        <f>YEAR(source[[#This Row],[report_date]])</f>
        <v>2025</v>
      </c>
      <c r="C7204" s="128">
        <f t="shared" si="334"/>
        <v>6</v>
      </c>
      <c r="D7204" s="136">
        <f t="shared" si="336"/>
        <v>24</v>
      </c>
      <c r="E7204" s="136">
        <f t="shared" si="335"/>
        <v>9</v>
      </c>
      <c r="F7204" s="128" t="s">
        <v>24</v>
      </c>
      <c r="G7204" s="128" t="str">
        <f>VLOOKUP(source[[#This Row],[lending_product_transform]],[3]Mapping!$B$4:$C$37,2,0)</f>
        <v>[Cake] - Cashloan</v>
      </c>
      <c r="H7204" s="128" t="str">
        <f>VLOOKUP(source[[#This Row],[lending_product_transform]],[3]Mapping!$B$3:$D$37,3,0)</f>
        <v>cashloan</v>
      </c>
      <c r="I7204" s="135">
        <v>0</v>
      </c>
    </row>
    <row r="7205" spans="1:9" x14ac:dyDescent="0.2">
      <c r="A7205" s="134">
        <v>45817</v>
      </c>
      <c r="B7205" s="135">
        <f>YEAR(source[[#This Row],[report_date]])</f>
        <v>2025</v>
      </c>
      <c r="C7205" s="128">
        <f t="shared" si="334"/>
        <v>6</v>
      </c>
      <c r="D7205" s="136">
        <f t="shared" si="336"/>
        <v>24</v>
      </c>
      <c r="E7205" s="136">
        <f t="shared" si="335"/>
        <v>9</v>
      </c>
      <c r="F7205" s="128" t="s">
        <v>24</v>
      </c>
      <c r="G7205" s="128" t="str">
        <f>VLOOKUP(source[[#This Row],[lending_product_transform]],[3]Mapping!$B$4:$C$37,2,0)</f>
        <v>[Cake] - Cashloan</v>
      </c>
      <c r="H7205" s="128" t="str">
        <f>VLOOKUP(source[[#This Row],[lending_product_transform]],[3]Mapping!$B$3:$D$37,3,0)</f>
        <v>cashloan</v>
      </c>
      <c r="I7205" s="135">
        <v>286902440</v>
      </c>
    </row>
    <row r="7206" spans="1:9" x14ac:dyDescent="0.2">
      <c r="A7206" s="134">
        <v>45817</v>
      </c>
      <c r="B7206" s="135">
        <f>YEAR(source[[#This Row],[report_date]])</f>
        <v>2025</v>
      </c>
      <c r="C7206" s="128">
        <f t="shared" si="334"/>
        <v>6</v>
      </c>
      <c r="D7206" s="136">
        <f t="shared" si="336"/>
        <v>24</v>
      </c>
      <c r="E7206" s="136">
        <f t="shared" si="335"/>
        <v>9</v>
      </c>
      <c r="F7206" s="128" t="s">
        <v>24</v>
      </c>
      <c r="G7206" s="128" t="str">
        <f>VLOOKUP(source[[#This Row],[lending_product_transform]],[3]Mapping!$B$4:$C$37,2,0)</f>
        <v>[Cake] - Cashloan</v>
      </c>
      <c r="H7206" s="128" t="str">
        <f>VLOOKUP(source[[#This Row],[lending_product_transform]],[3]Mapping!$B$3:$D$37,3,0)</f>
        <v>cashloan</v>
      </c>
      <c r="I7206" s="135">
        <v>0</v>
      </c>
    </row>
    <row r="7207" spans="1:9" x14ac:dyDescent="0.2">
      <c r="A7207" s="134">
        <v>45817</v>
      </c>
      <c r="B7207" s="135">
        <f>YEAR(source[[#This Row],[report_date]])</f>
        <v>2025</v>
      </c>
      <c r="C7207" s="128">
        <f t="shared" si="334"/>
        <v>6</v>
      </c>
      <c r="D7207" s="136">
        <f t="shared" si="336"/>
        <v>24</v>
      </c>
      <c r="E7207" s="136">
        <f t="shared" si="335"/>
        <v>9</v>
      </c>
      <c r="F7207" s="128" t="s">
        <v>24</v>
      </c>
      <c r="G7207" s="128" t="str">
        <f>VLOOKUP(source[[#This Row],[lending_product_transform]],[3]Mapping!$B$4:$C$37,2,0)</f>
        <v>[Cake] - Cashloan</v>
      </c>
      <c r="H7207" s="128" t="str">
        <f>VLOOKUP(source[[#This Row],[lending_product_transform]],[3]Mapping!$B$3:$D$37,3,0)</f>
        <v>cashloan</v>
      </c>
      <c r="I7207" s="135">
        <v>0</v>
      </c>
    </row>
    <row r="7208" spans="1:9" x14ac:dyDescent="0.2">
      <c r="A7208" s="134">
        <v>45817</v>
      </c>
      <c r="B7208" s="135">
        <f>YEAR(source[[#This Row],[report_date]])</f>
        <v>2025</v>
      </c>
      <c r="C7208" s="128">
        <f t="shared" si="334"/>
        <v>6</v>
      </c>
      <c r="D7208" s="136">
        <f t="shared" si="336"/>
        <v>24</v>
      </c>
      <c r="E7208" s="136">
        <f t="shared" si="335"/>
        <v>9</v>
      </c>
      <c r="F7208" s="128" t="s">
        <v>24</v>
      </c>
      <c r="G7208" s="128" t="str">
        <f>VLOOKUP(source[[#This Row],[lending_product_transform]],[3]Mapping!$B$4:$C$37,2,0)</f>
        <v>[Cake] - Cashloan</v>
      </c>
      <c r="H7208" s="128" t="str">
        <f>VLOOKUP(source[[#This Row],[lending_product_transform]],[3]Mapping!$B$3:$D$37,3,0)</f>
        <v>cashloan</v>
      </c>
      <c r="I7208" s="135">
        <v>27600000</v>
      </c>
    </row>
    <row r="7209" spans="1:9" x14ac:dyDescent="0.2">
      <c r="A7209" s="134">
        <v>45817</v>
      </c>
      <c r="B7209" s="135">
        <f>YEAR(source[[#This Row],[report_date]])</f>
        <v>2025</v>
      </c>
      <c r="C7209" s="128">
        <f t="shared" si="334"/>
        <v>6</v>
      </c>
      <c r="D7209" s="136">
        <f t="shared" si="336"/>
        <v>24</v>
      </c>
      <c r="E7209" s="136">
        <f t="shared" si="335"/>
        <v>9</v>
      </c>
      <c r="F7209" s="128" t="s">
        <v>24</v>
      </c>
      <c r="G7209" s="128" t="str">
        <f>VLOOKUP(source[[#This Row],[lending_product_transform]],[3]Mapping!$B$4:$C$37,2,0)</f>
        <v>[Cake] - Cashloan</v>
      </c>
      <c r="H7209" s="128" t="str">
        <f>VLOOKUP(source[[#This Row],[lending_product_transform]],[3]Mapping!$B$3:$D$37,3,0)</f>
        <v>cashloan</v>
      </c>
      <c r="I7209" s="135">
        <v>5434236000</v>
      </c>
    </row>
    <row r="7210" spans="1:9" x14ac:dyDescent="0.2">
      <c r="A7210" s="134">
        <v>45817</v>
      </c>
      <c r="B7210" s="135">
        <f>YEAR(source[[#This Row],[report_date]])</f>
        <v>2025</v>
      </c>
      <c r="C7210" s="128">
        <f t="shared" si="334"/>
        <v>6</v>
      </c>
      <c r="D7210" s="136">
        <f t="shared" si="336"/>
        <v>24</v>
      </c>
      <c r="E7210" s="136">
        <f t="shared" si="335"/>
        <v>9</v>
      </c>
      <c r="F7210" s="128" t="s">
        <v>24</v>
      </c>
      <c r="G7210" s="128" t="str">
        <f>VLOOKUP(source[[#This Row],[lending_product_transform]],[3]Mapping!$B$4:$C$37,2,0)</f>
        <v>[Cake] - Cashloan</v>
      </c>
      <c r="H7210" s="128" t="str">
        <f>VLOOKUP(source[[#This Row],[lending_product_transform]],[3]Mapping!$B$3:$D$37,3,0)</f>
        <v>cashloan</v>
      </c>
      <c r="I7210" s="135">
        <v>48882354</v>
      </c>
    </row>
    <row r="7211" spans="1:9" x14ac:dyDescent="0.2">
      <c r="A7211" s="134">
        <v>45817</v>
      </c>
      <c r="B7211" s="135">
        <f>YEAR(source[[#This Row],[report_date]])</f>
        <v>2025</v>
      </c>
      <c r="C7211" s="128">
        <f t="shared" si="334"/>
        <v>6</v>
      </c>
      <c r="D7211" s="136">
        <f t="shared" si="336"/>
        <v>24</v>
      </c>
      <c r="E7211" s="136">
        <f t="shared" si="335"/>
        <v>9</v>
      </c>
      <c r="F7211" s="128" t="s">
        <v>24</v>
      </c>
      <c r="G7211" s="128" t="str">
        <f>VLOOKUP(source[[#This Row],[lending_product_transform]],[3]Mapping!$B$4:$C$37,2,0)</f>
        <v>[Cake] - Cashloan</v>
      </c>
      <c r="H7211" s="128" t="str">
        <f>VLOOKUP(source[[#This Row],[lending_product_transform]],[3]Mapping!$B$3:$D$37,3,0)</f>
        <v>cashloan</v>
      </c>
      <c r="I7211" s="135">
        <v>0</v>
      </c>
    </row>
    <row r="7212" spans="1:9" x14ac:dyDescent="0.2">
      <c r="A7212" s="134">
        <v>45817</v>
      </c>
      <c r="B7212" s="135">
        <f>YEAR(source[[#This Row],[report_date]])</f>
        <v>2025</v>
      </c>
      <c r="C7212" s="128">
        <f t="shared" si="334"/>
        <v>6</v>
      </c>
      <c r="D7212" s="136">
        <f t="shared" si="336"/>
        <v>24</v>
      </c>
      <c r="E7212" s="136">
        <f t="shared" si="335"/>
        <v>9</v>
      </c>
      <c r="F7212" s="128" t="s">
        <v>24</v>
      </c>
      <c r="G7212" s="128" t="str">
        <f>VLOOKUP(source[[#This Row],[lending_product_transform]],[3]Mapping!$B$4:$C$37,2,0)</f>
        <v>[Cake] - Cashloan</v>
      </c>
      <c r="H7212" s="128" t="str">
        <f>VLOOKUP(source[[#This Row],[lending_product_transform]],[3]Mapping!$B$3:$D$37,3,0)</f>
        <v>cashloan</v>
      </c>
      <c r="I7212" s="135">
        <v>0</v>
      </c>
    </row>
    <row r="7213" spans="1:9" x14ac:dyDescent="0.2">
      <c r="A7213" s="134">
        <v>45817</v>
      </c>
      <c r="B7213" s="135">
        <f>YEAR(source[[#This Row],[report_date]])</f>
        <v>2025</v>
      </c>
      <c r="C7213" s="128">
        <f t="shared" si="334"/>
        <v>6</v>
      </c>
      <c r="D7213" s="136">
        <f t="shared" si="336"/>
        <v>24</v>
      </c>
      <c r="E7213" s="136">
        <f t="shared" si="335"/>
        <v>9</v>
      </c>
      <c r="F7213" s="128" t="s">
        <v>24</v>
      </c>
      <c r="G7213" s="128" t="str">
        <f>VLOOKUP(source[[#This Row],[lending_product_transform]],[3]Mapping!$B$4:$C$37,2,0)</f>
        <v>[Cake] - Cashloan</v>
      </c>
      <c r="H7213" s="128" t="str">
        <f>VLOOKUP(source[[#This Row],[lending_product_transform]],[3]Mapping!$B$3:$D$37,3,0)</f>
        <v>cashloan</v>
      </c>
      <c r="I7213" s="135">
        <v>4070000</v>
      </c>
    </row>
    <row r="7214" spans="1:9" x14ac:dyDescent="0.2">
      <c r="A7214" s="134">
        <v>45817</v>
      </c>
      <c r="B7214" s="135">
        <f>YEAR(source[[#This Row],[report_date]])</f>
        <v>2025</v>
      </c>
      <c r="C7214" s="128">
        <f t="shared" si="334"/>
        <v>6</v>
      </c>
      <c r="D7214" s="136">
        <f t="shared" si="336"/>
        <v>24</v>
      </c>
      <c r="E7214" s="136">
        <f t="shared" si="335"/>
        <v>9</v>
      </c>
      <c r="F7214" s="128" t="s">
        <v>24</v>
      </c>
      <c r="G7214" s="128" t="str">
        <f>VLOOKUP(source[[#This Row],[lending_product_transform]],[3]Mapping!$B$4:$C$37,2,0)</f>
        <v>[Cake] - Cashloan</v>
      </c>
      <c r="H7214" s="128" t="str">
        <f>VLOOKUP(source[[#This Row],[lending_product_transform]],[3]Mapping!$B$3:$D$37,3,0)</f>
        <v>cashloan</v>
      </c>
      <c r="I7214" s="135">
        <v>1895880000</v>
      </c>
    </row>
    <row r="7215" spans="1:9" x14ac:dyDescent="0.2">
      <c r="A7215" s="134">
        <v>45817</v>
      </c>
      <c r="B7215" s="135">
        <f>YEAR(source[[#This Row],[report_date]])</f>
        <v>2025</v>
      </c>
      <c r="C7215" s="128">
        <f t="shared" si="334"/>
        <v>6</v>
      </c>
      <c r="D7215" s="136">
        <f t="shared" si="336"/>
        <v>24</v>
      </c>
      <c r="E7215" s="136">
        <f t="shared" si="335"/>
        <v>9</v>
      </c>
      <c r="F7215" s="128" t="s">
        <v>24</v>
      </c>
      <c r="G7215" s="128" t="str">
        <f>VLOOKUP(source[[#This Row],[lending_product_transform]],[3]Mapping!$B$4:$C$37,2,0)</f>
        <v>[Cake] - Cashloan</v>
      </c>
      <c r="H7215" s="128" t="str">
        <f>VLOOKUP(source[[#This Row],[lending_product_transform]],[3]Mapping!$B$3:$D$37,3,0)</f>
        <v>cashloan</v>
      </c>
      <c r="I7215" s="135">
        <v>509650000</v>
      </c>
    </row>
    <row r="7216" spans="1:9" x14ac:dyDescent="0.2">
      <c r="A7216" s="134">
        <v>45817</v>
      </c>
      <c r="B7216" s="135">
        <f>YEAR(source[[#This Row],[report_date]])</f>
        <v>2025</v>
      </c>
      <c r="C7216" s="128">
        <f t="shared" si="334"/>
        <v>6</v>
      </c>
      <c r="D7216" s="136">
        <f t="shared" si="336"/>
        <v>24</v>
      </c>
      <c r="E7216" s="136">
        <f t="shared" si="335"/>
        <v>9</v>
      </c>
      <c r="F7216" s="128" t="s">
        <v>24</v>
      </c>
      <c r="G7216" s="128" t="str">
        <f>VLOOKUP(source[[#This Row],[lending_product_transform]],[3]Mapping!$B$4:$C$37,2,0)</f>
        <v>[Cake] - Cashloan</v>
      </c>
      <c r="H7216" s="128" t="str">
        <f>VLOOKUP(source[[#This Row],[lending_product_transform]],[3]Mapping!$B$3:$D$37,3,0)</f>
        <v>cashloan</v>
      </c>
      <c r="I7216" s="135">
        <v>1566050000</v>
      </c>
    </row>
    <row r="7217" spans="1:9" x14ac:dyDescent="0.2">
      <c r="A7217" s="134">
        <v>45817</v>
      </c>
      <c r="B7217" s="135">
        <f>YEAR(source[[#This Row],[report_date]])</f>
        <v>2025</v>
      </c>
      <c r="C7217" s="128">
        <f t="shared" si="334"/>
        <v>6</v>
      </c>
      <c r="D7217" s="136">
        <f t="shared" si="336"/>
        <v>24</v>
      </c>
      <c r="E7217" s="136">
        <f t="shared" si="335"/>
        <v>9</v>
      </c>
      <c r="F7217" s="128" t="s">
        <v>24</v>
      </c>
      <c r="G7217" s="128" t="str">
        <f>VLOOKUP(source[[#This Row],[lending_product_transform]],[3]Mapping!$B$4:$C$37,2,0)</f>
        <v>[Cake] - Cashloan</v>
      </c>
      <c r="H7217" s="128" t="str">
        <f>VLOOKUP(source[[#This Row],[lending_product_transform]],[3]Mapping!$B$3:$D$37,3,0)</f>
        <v>cashloan</v>
      </c>
      <c r="I7217" s="135">
        <v>630085297</v>
      </c>
    </row>
    <row r="7218" spans="1:9" x14ac:dyDescent="0.2">
      <c r="A7218" s="134">
        <v>45817</v>
      </c>
      <c r="B7218" s="135">
        <f>YEAR(source[[#This Row],[report_date]])</f>
        <v>2025</v>
      </c>
      <c r="C7218" s="128">
        <f t="shared" si="334"/>
        <v>6</v>
      </c>
      <c r="D7218" s="136">
        <f t="shared" si="336"/>
        <v>24</v>
      </c>
      <c r="E7218" s="136">
        <f t="shared" si="335"/>
        <v>9</v>
      </c>
      <c r="F7218" s="128" t="s">
        <v>24</v>
      </c>
      <c r="G7218" s="128" t="str">
        <f>VLOOKUP(source[[#This Row],[lending_product_transform]],[3]Mapping!$B$4:$C$37,2,0)</f>
        <v>[Cake] - Cashloan</v>
      </c>
      <c r="H7218" s="128" t="str">
        <f>VLOOKUP(source[[#This Row],[lending_product_transform]],[3]Mapping!$B$3:$D$37,3,0)</f>
        <v>cashloan</v>
      </c>
      <c r="I7218" s="135">
        <v>4359147700</v>
      </c>
    </row>
    <row r="7219" spans="1:9" x14ac:dyDescent="0.2">
      <c r="A7219" s="134">
        <v>45817</v>
      </c>
      <c r="B7219" s="135">
        <f>YEAR(source[[#This Row],[report_date]])</f>
        <v>2025</v>
      </c>
      <c r="C7219" s="128">
        <f t="shared" si="334"/>
        <v>6</v>
      </c>
      <c r="D7219" s="136">
        <f t="shared" si="336"/>
        <v>24</v>
      </c>
      <c r="E7219" s="136">
        <f t="shared" si="335"/>
        <v>9</v>
      </c>
      <c r="F7219" s="128" t="s">
        <v>24</v>
      </c>
      <c r="G7219" s="128" t="str">
        <f>VLOOKUP(source[[#This Row],[lending_product_transform]],[3]Mapping!$B$4:$C$37,2,0)</f>
        <v>[Cake] - Cashloan</v>
      </c>
      <c r="H7219" s="128" t="str">
        <f>VLOOKUP(source[[#This Row],[lending_product_transform]],[3]Mapping!$B$3:$D$37,3,0)</f>
        <v>cashloan</v>
      </c>
      <c r="I7219" s="135">
        <v>9195550000</v>
      </c>
    </row>
    <row r="7220" spans="1:9" x14ac:dyDescent="0.2">
      <c r="A7220" s="134">
        <v>45817</v>
      </c>
      <c r="B7220" s="135">
        <f>YEAR(source[[#This Row],[report_date]])</f>
        <v>2025</v>
      </c>
      <c r="C7220" s="128">
        <f t="shared" si="334"/>
        <v>6</v>
      </c>
      <c r="D7220" s="136">
        <f t="shared" si="336"/>
        <v>24</v>
      </c>
      <c r="E7220" s="136">
        <f t="shared" si="335"/>
        <v>9</v>
      </c>
      <c r="F7220" s="128" t="s">
        <v>24</v>
      </c>
      <c r="G7220" s="128" t="str">
        <f>VLOOKUP(source[[#This Row],[lending_product_transform]],[3]Mapping!$B$4:$C$37,2,0)</f>
        <v>[Cake] - Cashloan</v>
      </c>
      <c r="H7220" s="128" t="str">
        <f>VLOOKUP(source[[#This Row],[lending_product_transform]],[3]Mapping!$B$3:$D$37,3,0)</f>
        <v>cashloan</v>
      </c>
      <c r="I7220" s="135">
        <v>10391060000</v>
      </c>
    </row>
    <row r="7221" spans="1:9" x14ac:dyDescent="0.2">
      <c r="A7221" s="134">
        <v>45817</v>
      </c>
      <c r="B7221" s="135">
        <f>YEAR(source[[#This Row],[report_date]])</f>
        <v>2025</v>
      </c>
      <c r="C7221" s="128">
        <f t="shared" si="334"/>
        <v>6</v>
      </c>
      <c r="D7221" s="136">
        <f t="shared" si="336"/>
        <v>24</v>
      </c>
      <c r="E7221" s="136">
        <f t="shared" si="335"/>
        <v>9</v>
      </c>
      <c r="F7221" s="128" t="s">
        <v>24</v>
      </c>
      <c r="G7221" s="128" t="str">
        <f>VLOOKUP(source[[#This Row],[lending_product_transform]],[3]Mapping!$B$4:$C$37,2,0)</f>
        <v>[Cake] - Cashloan</v>
      </c>
      <c r="H7221" s="128" t="str">
        <f>VLOOKUP(source[[#This Row],[lending_product_transform]],[3]Mapping!$B$3:$D$37,3,0)</f>
        <v>cashloan</v>
      </c>
      <c r="I7221" s="135">
        <v>438492477</v>
      </c>
    </row>
    <row r="7222" spans="1:9" x14ac:dyDescent="0.2">
      <c r="A7222" s="134">
        <v>45818</v>
      </c>
      <c r="B7222" s="135">
        <f>YEAR(source[[#This Row],[report_date]])</f>
        <v>2025</v>
      </c>
      <c r="C7222" s="128">
        <f t="shared" ref="C7222:C7285" si="337">MONTH(A7222)</f>
        <v>6</v>
      </c>
      <c r="D7222" s="136">
        <f t="shared" si="336"/>
        <v>24</v>
      </c>
      <c r="E7222" s="136">
        <f t="shared" ref="E7222:E7285" si="338">DAY(A7222)</f>
        <v>10</v>
      </c>
      <c r="F7222" s="128" t="s">
        <v>24</v>
      </c>
      <c r="G7222" s="128" t="str">
        <f>VLOOKUP(source[[#This Row],[lending_product_transform]],[3]Mapping!$B$4:$C$37,2,0)</f>
        <v>[Cake] - Cashloan</v>
      </c>
      <c r="H7222" s="128" t="str">
        <f>VLOOKUP(source[[#This Row],[lending_product_transform]],[3]Mapping!$B$3:$D$37,3,0)</f>
        <v>cashloan</v>
      </c>
      <c r="I7222" s="135">
        <v>5390000</v>
      </c>
    </row>
    <row r="7223" spans="1:9" x14ac:dyDescent="0.2">
      <c r="A7223" s="134">
        <v>45818</v>
      </c>
      <c r="B7223" s="135">
        <f>YEAR(source[[#This Row],[report_date]])</f>
        <v>2025</v>
      </c>
      <c r="C7223" s="128">
        <f t="shared" si="337"/>
        <v>6</v>
      </c>
      <c r="D7223" s="136">
        <f t="shared" si="336"/>
        <v>24</v>
      </c>
      <c r="E7223" s="136">
        <f t="shared" si="338"/>
        <v>10</v>
      </c>
      <c r="F7223" s="128" t="s">
        <v>24</v>
      </c>
      <c r="G7223" s="128" t="str">
        <f>VLOOKUP(source[[#This Row],[lending_product_transform]],[3]Mapping!$B$4:$C$37,2,0)</f>
        <v>[Cake] - Cashloan</v>
      </c>
      <c r="H7223" s="128" t="str">
        <f>VLOOKUP(source[[#This Row],[lending_product_transform]],[3]Mapping!$B$3:$D$37,3,0)</f>
        <v>cashloan</v>
      </c>
      <c r="I7223" s="135">
        <v>11845000000</v>
      </c>
    </row>
    <row r="7224" spans="1:9" x14ac:dyDescent="0.2">
      <c r="A7224" s="134">
        <v>45818</v>
      </c>
      <c r="B7224" s="135">
        <f>YEAR(source[[#This Row],[report_date]])</f>
        <v>2025</v>
      </c>
      <c r="C7224" s="128">
        <f t="shared" si="337"/>
        <v>6</v>
      </c>
      <c r="D7224" s="136">
        <f t="shared" si="336"/>
        <v>24</v>
      </c>
      <c r="E7224" s="136">
        <f t="shared" si="338"/>
        <v>10</v>
      </c>
      <c r="F7224" s="128" t="s">
        <v>24</v>
      </c>
      <c r="G7224" s="128" t="str">
        <f>VLOOKUP(source[[#This Row],[lending_product_transform]],[3]Mapping!$B$4:$C$37,2,0)</f>
        <v>[Cake] - Cashloan</v>
      </c>
      <c r="H7224" s="128" t="str">
        <f>VLOOKUP(source[[#This Row],[lending_product_transform]],[3]Mapping!$B$3:$D$37,3,0)</f>
        <v>cashloan</v>
      </c>
      <c r="I7224" s="135">
        <v>0</v>
      </c>
    </row>
    <row r="7225" spans="1:9" x14ac:dyDescent="0.2">
      <c r="A7225" s="134">
        <v>45818</v>
      </c>
      <c r="B7225" s="135">
        <f>YEAR(source[[#This Row],[report_date]])</f>
        <v>2025</v>
      </c>
      <c r="C7225" s="128">
        <f t="shared" si="337"/>
        <v>6</v>
      </c>
      <c r="D7225" s="136">
        <f t="shared" si="336"/>
        <v>24</v>
      </c>
      <c r="E7225" s="136">
        <f t="shared" si="338"/>
        <v>10</v>
      </c>
      <c r="F7225" s="128" t="s">
        <v>24</v>
      </c>
      <c r="G7225" s="128" t="str">
        <f>VLOOKUP(source[[#This Row],[lending_product_transform]],[3]Mapping!$B$4:$C$37,2,0)</f>
        <v>[Cake] - Cashloan</v>
      </c>
      <c r="H7225" s="128" t="str">
        <f>VLOOKUP(source[[#This Row],[lending_product_transform]],[3]Mapping!$B$3:$D$37,3,0)</f>
        <v>cashloan</v>
      </c>
      <c r="I7225" s="135">
        <v>501697103</v>
      </c>
    </row>
    <row r="7226" spans="1:9" x14ac:dyDescent="0.2">
      <c r="A7226" s="134">
        <v>45818</v>
      </c>
      <c r="B7226" s="135">
        <f>YEAR(source[[#This Row],[report_date]])</f>
        <v>2025</v>
      </c>
      <c r="C7226" s="128">
        <f t="shared" si="337"/>
        <v>6</v>
      </c>
      <c r="D7226" s="136">
        <f t="shared" si="336"/>
        <v>24</v>
      </c>
      <c r="E7226" s="136">
        <f t="shared" si="338"/>
        <v>10</v>
      </c>
      <c r="F7226" s="128" t="s">
        <v>24</v>
      </c>
      <c r="G7226" s="128" t="str">
        <f>VLOOKUP(source[[#This Row],[lending_product_transform]],[3]Mapping!$B$4:$C$37,2,0)</f>
        <v>[Cake] - Cashloan</v>
      </c>
      <c r="H7226" s="128" t="str">
        <f>VLOOKUP(source[[#This Row],[lending_product_transform]],[3]Mapping!$B$3:$D$37,3,0)</f>
        <v>cashloan</v>
      </c>
      <c r="I7226" s="135">
        <v>9359090000</v>
      </c>
    </row>
    <row r="7227" spans="1:9" x14ac:dyDescent="0.2">
      <c r="A7227" s="134">
        <v>45818</v>
      </c>
      <c r="B7227" s="135">
        <f>YEAR(source[[#This Row],[report_date]])</f>
        <v>2025</v>
      </c>
      <c r="C7227" s="128">
        <f t="shared" si="337"/>
        <v>6</v>
      </c>
      <c r="D7227" s="136">
        <f t="shared" si="336"/>
        <v>24</v>
      </c>
      <c r="E7227" s="136">
        <f t="shared" si="338"/>
        <v>10</v>
      </c>
      <c r="F7227" s="128" t="s">
        <v>24</v>
      </c>
      <c r="G7227" s="128" t="str">
        <f>VLOOKUP(source[[#This Row],[lending_product_transform]],[3]Mapping!$B$4:$C$37,2,0)</f>
        <v>[Cake] - Cashloan</v>
      </c>
      <c r="H7227" s="128" t="str">
        <f>VLOOKUP(source[[#This Row],[lending_product_transform]],[3]Mapping!$B$3:$D$37,3,0)</f>
        <v>cashloan</v>
      </c>
      <c r="I7227" s="135">
        <v>7186752000</v>
      </c>
    </row>
    <row r="7228" spans="1:9" x14ac:dyDescent="0.2">
      <c r="A7228" s="134">
        <v>45818</v>
      </c>
      <c r="B7228" s="135">
        <f>YEAR(source[[#This Row],[report_date]])</f>
        <v>2025</v>
      </c>
      <c r="C7228" s="128">
        <f t="shared" si="337"/>
        <v>6</v>
      </c>
      <c r="D7228" s="136">
        <f t="shared" si="336"/>
        <v>24</v>
      </c>
      <c r="E7228" s="136">
        <f t="shared" si="338"/>
        <v>10</v>
      </c>
      <c r="F7228" s="128" t="s">
        <v>24</v>
      </c>
      <c r="G7228" s="128" t="str">
        <f>VLOOKUP(source[[#This Row],[lending_product_transform]],[3]Mapping!$B$4:$C$37,2,0)</f>
        <v>[Cake] - Cashloan</v>
      </c>
      <c r="H7228" s="128" t="str">
        <f>VLOOKUP(source[[#This Row],[lending_product_transform]],[3]Mapping!$B$3:$D$37,3,0)</f>
        <v>cashloan</v>
      </c>
      <c r="I7228" s="135">
        <v>575910000</v>
      </c>
    </row>
    <row r="7229" spans="1:9" x14ac:dyDescent="0.2">
      <c r="A7229" s="134">
        <v>45818</v>
      </c>
      <c r="B7229" s="135">
        <f>YEAR(source[[#This Row],[report_date]])</f>
        <v>2025</v>
      </c>
      <c r="C7229" s="128">
        <f t="shared" si="337"/>
        <v>6</v>
      </c>
      <c r="D7229" s="136">
        <f t="shared" si="336"/>
        <v>24</v>
      </c>
      <c r="E7229" s="136">
        <f t="shared" si="338"/>
        <v>10</v>
      </c>
      <c r="F7229" s="128" t="s">
        <v>24</v>
      </c>
      <c r="G7229" s="128" t="str">
        <f>VLOOKUP(source[[#This Row],[lending_product_transform]],[3]Mapping!$B$4:$C$37,2,0)</f>
        <v>[Cake] - Cashloan</v>
      </c>
      <c r="H7229" s="128" t="str">
        <f>VLOOKUP(source[[#This Row],[lending_product_transform]],[3]Mapping!$B$3:$D$37,3,0)</f>
        <v>cashloan</v>
      </c>
      <c r="I7229" s="135">
        <v>0</v>
      </c>
    </row>
    <row r="7230" spans="1:9" x14ac:dyDescent="0.2">
      <c r="A7230" s="134">
        <v>45818</v>
      </c>
      <c r="B7230" s="135">
        <f>YEAR(source[[#This Row],[report_date]])</f>
        <v>2025</v>
      </c>
      <c r="C7230" s="128">
        <f t="shared" si="337"/>
        <v>6</v>
      </c>
      <c r="D7230" s="136">
        <f t="shared" si="336"/>
        <v>24</v>
      </c>
      <c r="E7230" s="136">
        <f t="shared" si="338"/>
        <v>10</v>
      </c>
      <c r="F7230" s="128" t="s">
        <v>24</v>
      </c>
      <c r="G7230" s="128" t="str">
        <f>VLOOKUP(source[[#This Row],[lending_product_transform]],[3]Mapping!$B$4:$C$37,2,0)</f>
        <v>[Cake] - Cashloan</v>
      </c>
      <c r="H7230" s="128" t="str">
        <f>VLOOKUP(source[[#This Row],[lending_product_transform]],[3]Mapping!$B$3:$D$37,3,0)</f>
        <v>cashloan</v>
      </c>
      <c r="I7230" s="135">
        <v>29400000</v>
      </c>
    </row>
    <row r="7231" spans="1:9" x14ac:dyDescent="0.2">
      <c r="A7231" s="134">
        <v>45818</v>
      </c>
      <c r="B7231" s="135">
        <f>YEAR(source[[#This Row],[report_date]])</f>
        <v>2025</v>
      </c>
      <c r="C7231" s="128">
        <f t="shared" si="337"/>
        <v>6</v>
      </c>
      <c r="D7231" s="136">
        <f t="shared" si="336"/>
        <v>24</v>
      </c>
      <c r="E7231" s="136">
        <f t="shared" si="338"/>
        <v>10</v>
      </c>
      <c r="F7231" s="128" t="s">
        <v>24</v>
      </c>
      <c r="G7231" s="128" t="str">
        <f>VLOOKUP(source[[#This Row],[lending_product_transform]],[3]Mapping!$B$4:$C$37,2,0)</f>
        <v>[Cake] - Cashloan</v>
      </c>
      <c r="H7231" s="128" t="str">
        <f>VLOOKUP(source[[#This Row],[lending_product_transform]],[3]Mapping!$B$3:$D$37,3,0)</f>
        <v>cashloan</v>
      </c>
      <c r="I7231" s="135">
        <v>33154760</v>
      </c>
    </row>
    <row r="7232" spans="1:9" x14ac:dyDescent="0.2">
      <c r="A7232" s="134">
        <v>45818</v>
      </c>
      <c r="B7232" s="135">
        <f>YEAR(source[[#This Row],[report_date]])</f>
        <v>2025</v>
      </c>
      <c r="C7232" s="128">
        <f t="shared" si="337"/>
        <v>6</v>
      </c>
      <c r="D7232" s="136">
        <f t="shared" si="336"/>
        <v>24</v>
      </c>
      <c r="E7232" s="136">
        <f t="shared" si="338"/>
        <v>10</v>
      </c>
      <c r="F7232" s="128" t="s">
        <v>24</v>
      </c>
      <c r="G7232" s="128" t="str">
        <f>VLOOKUP(source[[#This Row],[lending_product_transform]],[3]Mapping!$B$4:$C$37,2,0)</f>
        <v>[Cake] - Cashloan</v>
      </c>
      <c r="H7232" s="128" t="str">
        <f>VLOOKUP(source[[#This Row],[lending_product_transform]],[3]Mapping!$B$3:$D$37,3,0)</f>
        <v>cashloan</v>
      </c>
      <c r="I7232" s="135">
        <v>0</v>
      </c>
    </row>
    <row r="7233" spans="1:9" x14ac:dyDescent="0.2">
      <c r="A7233" s="134">
        <v>45818</v>
      </c>
      <c r="B7233" s="135">
        <f>YEAR(source[[#This Row],[report_date]])</f>
        <v>2025</v>
      </c>
      <c r="C7233" s="128">
        <f t="shared" si="337"/>
        <v>6</v>
      </c>
      <c r="D7233" s="136">
        <f t="shared" si="336"/>
        <v>24</v>
      </c>
      <c r="E7233" s="136">
        <f t="shared" si="338"/>
        <v>10</v>
      </c>
      <c r="F7233" s="128" t="s">
        <v>24</v>
      </c>
      <c r="G7233" s="128" t="str">
        <f>VLOOKUP(source[[#This Row],[lending_product_transform]],[3]Mapping!$B$4:$C$37,2,0)</f>
        <v>[Cake] - Cashloan</v>
      </c>
      <c r="H7233" s="128" t="str">
        <f>VLOOKUP(source[[#This Row],[lending_product_transform]],[3]Mapping!$B$3:$D$37,3,0)</f>
        <v>cashloan</v>
      </c>
      <c r="I7233" s="135">
        <v>0</v>
      </c>
    </row>
    <row r="7234" spans="1:9" x14ac:dyDescent="0.2">
      <c r="A7234" s="134">
        <v>45818</v>
      </c>
      <c r="B7234" s="135">
        <f>YEAR(source[[#This Row],[report_date]])</f>
        <v>2025</v>
      </c>
      <c r="C7234" s="128">
        <f t="shared" si="337"/>
        <v>6</v>
      </c>
      <c r="D7234" s="136">
        <f t="shared" si="336"/>
        <v>24</v>
      </c>
      <c r="E7234" s="136">
        <f t="shared" si="338"/>
        <v>10</v>
      </c>
      <c r="F7234" s="128" t="s">
        <v>24</v>
      </c>
      <c r="G7234" s="128" t="str">
        <f>VLOOKUP(source[[#This Row],[lending_product_transform]],[3]Mapping!$B$4:$C$37,2,0)</f>
        <v>[Cake] - Cashloan</v>
      </c>
      <c r="H7234" s="128" t="str">
        <f>VLOOKUP(source[[#This Row],[lending_product_transform]],[3]Mapping!$B$3:$D$37,3,0)</f>
        <v>cashloan</v>
      </c>
      <c r="I7234" s="135">
        <v>0</v>
      </c>
    </row>
    <row r="7235" spans="1:9" x14ac:dyDescent="0.2">
      <c r="A7235" s="134">
        <v>45818</v>
      </c>
      <c r="B7235" s="135">
        <f>YEAR(source[[#This Row],[report_date]])</f>
        <v>2025</v>
      </c>
      <c r="C7235" s="128">
        <f t="shared" si="337"/>
        <v>6</v>
      </c>
      <c r="D7235" s="136">
        <f t="shared" ref="D7235:D7298" si="339">WEEKNUM(A7235,2)</f>
        <v>24</v>
      </c>
      <c r="E7235" s="136">
        <f t="shared" si="338"/>
        <v>10</v>
      </c>
      <c r="F7235" s="128" t="s">
        <v>24</v>
      </c>
      <c r="G7235" s="128" t="str">
        <f>VLOOKUP(source[[#This Row],[lending_product_transform]],[3]Mapping!$B$4:$C$37,2,0)</f>
        <v>[Cake] - Cashloan</v>
      </c>
      <c r="H7235" s="128" t="str">
        <f>VLOOKUP(source[[#This Row],[lending_product_transform]],[3]Mapping!$B$3:$D$37,3,0)</f>
        <v>cashloan</v>
      </c>
      <c r="I7235" s="135">
        <v>0</v>
      </c>
    </row>
    <row r="7236" spans="1:9" x14ac:dyDescent="0.2">
      <c r="A7236" s="134">
        <v>45818</v>
      </c>
      <c r="B7236" s="135">
        <f>YEAR(source[[#This Row],[report_date]])</f>
        <v>2025</v>
      </c>
      <c r="C7236" s="128">
        <f t="shared" si="337"/>
        <v>6</v>
      </c>
      <c r="D7236" s="136">
        <f t="shared" si="339"/>
        <v>24</v>
      </c>
      <c r="E7236" s="136">
        <f t="shared" si="338"/>
        <v>10</v>
      </c>
      <c r="F7236" s="128" t="s">
        <v>24</v>
      </c>
      <c r="G7236" s="128" t="str">
        <f>VLOOKUP(source[[#This Row],[lending_product_transform]],[3]Mapping!$B$4:$C$37,2,0)</f>
        <v>[Cake] - Cashloan</v>
      </c>
      <c r="H7236" s="128" t="str">
        <f>VLOOKUP(source[[#This Row],[lending_product_transform]],[3]Mapping!$B$3:$D$37,3,0)</f>
        <v>cashloan</v>
      </c>
      <c r="I7236" s="135">
        <v>2017490000</v>
      </c>
    </row>
    <row r="7237" spans="1:9" x14ac:dyDescent="0.2">
      <c r="A7237" s="134">
        <v>45818</v>
      </c>
      <c r="B7237" s="135">
        <f>YEAR(source[[#This Row],[report_date]])</f>
        <v>2025</v>
      </c>
      <c r="C7237" s="128">
        <f t="shared" si="337"/>
        <v>6</v>
      </c>
      <c r="D7237" s="136">
        <f t="shared" si="339"/>
        <v>24</v>
      </c>
      <c r="E7237" s="136">
        <f t="shared" si="338"/>
        <v>10</v>
      </c>
      <c r="F7237" s="128" t="s">
        <v>24</v>
      </c>
      <c r="G7237" s="128" t="str">
        <f>VLOOKUP(source[[#This Row],[lending_product_transform]],[3]Mapping!$B$4:$C$37,2,0)</f>
        <v>[Cake] - Cashloan</v>
      </c>
      <c r="H7237" s="128" t="str">
        <f>VLOOKUP(source[[#This Row],[lending_product_transform]],[3]Mapping!$B$3:$D$37,3,0)</f>
        <v>cashloan</v>
      </c>
      <c r="I7237" s="135">
        <v>1462780000</v>
      </c>
    </row>
    <row r="7238" spans="1:9" x14ac:dyDescent="0.2">
      <c r="A7238" s="134">
        <v>45818</v>
      </c>
      <c r="B7238" s="135">
        <f>YEAR(source[[#This Row],[report_date]])</f>
        <v>2025</v>
      </c>
      <c r="C7238" s="128">
        <f t="shared" si="337"/>
        <v>6</v>
      </c>
      <c r="D7238" s="136">
        <f t="shared" si="339"/>
        <v>24</v>
      </c>
      <c r="E7238" s="136">
        <f t="shared" si="338"/>
        <v>10</v>
      </c>
      <c r="F7238" s="128" t="s">
        <v>24</v>
      </c>
      <c r="G7238" s="128" t="str">
        <f>VLOOKUP(source[[#This Row],[lending_product_transform]],[3]Mapping!$B$4:$C$37,2,0)</f>
        <v>[Cake] - Cashloan</v>
      </c>
      <c r="H7238" s="128" t="str">
        <f>VLOOKUP(source[[#This Row],[lending_product_transform]],[3]Mapping!$B$3:$D$37,3,0)</f>
        <v>cashloan</v>
      </c>
      <c r="I7238" s="135">
        <v>326220213</v>
      </c>
    </row>
    <row r="7239" spans="1:9" x14ac:dyDescent="0.2">
      <c r="A7239" s="134">
        <v>45818</v>
      </c>
      <c r="B7239" s="135">
        <f>YEAR(source[[#This Row],[report_date]])</f>
        <v>2025</v>
      </c>
      <c r="C7239" s="128">
        <f t="shared" si="337"/>
        <v>6</v>
      </c>
      <c r="D7239" s="136">
        <f t="shared" si="339"/>
        <v>24</v>
      </c>
      <c r="E7239" s="136">
        <f t="shared" si="338"/>
        <v>10</v>
      </c>
      <c r="F7239" s="128" t="s">
        <v>24</v>
      </c>
      <c r="G7239" s="128" t="str">
        <f>VLOOKUP(source[[#This Row],[lending_product_transform]],[3]Mapping!$B$4:$C$37,2,0)</f>
        <v>[Cake] - Cashloan</v>
      </c>
      <c r="H7239" s="128" t="str">
        <f>VLOOKUP(source[[#This Row],[lending_product_transform]],[3]Mapping!$B$3:$D$37,3,0)</f>
        <v>cashloan</v>
      </c>
      <c r="I7239" s="135">
        <v>597038254</v>
      </c>
    </row>
    <row r="7240" spans="1:9" x14ac:dyDescent="0.2">
      <c r="A7240" s="134">
        <v>45818</v>
      </c>
      <c r="B7240" s="135">
        <f>YEAR(source[[#This Row],[report_date]])</f>
        <v>2025</v>
      </c>
      <c r="C7240" s="128">
        <f t="shared" si="337"/>
        <v>6</v>
      </c>
      <c r="D7240" s="136">
        <f t="shared" si="339"/>
        <v>24</v>
      </c>
      <c r="E7240" s="136">
        <f t="shared" si="338"/>
        <v>10</v>
      </c>
      <c r="F7240" s="128" t="s">
        <v>24</v>
      </c>
      <c r="G7240" s="128" t="str">
        <f>VLOOKUP(source[[#This Row],[lending_product_transform]],[3]Mapping!$B$4:$C$37,2,0)</f>
        <v>[Cake] - Cashloan</v>
      </c>
      <c r="H7240" s="128" t="str">
        <f>VLOOKUP(source[[#This Row],[lending_product_transform]],[3]Mapping!$B$3:$D$37,3,0)</f>
        <v>cashloan</v>
      </c>
      <c r="I7240" s="135">
        <v>4471064340</v>
      </c>
    </row>
    <row r="7241" spans="1:9" x14ac:dyDescent="0.2">
      <c r="A7241" s="134">
        <v>45819</v>
      </c>
      <c r="B7241" s="135">
        <f>YEAR(source[[#This Row],[report_date]])</f>
        <v>2025</v>
      </c>
      <c r="C7241" s="128">
        <f t="shared" si="337"/>
        <v>6</v>
      </c>
      <c r="D7241" s="136">
        <f t="shared" si="339"/>
        <v>24</v>
      </c>
      <c r="E7241" s="136">
        <f t="shared" si="338"/>
        <v>11</v>
      </c>
      <c r="F7241" s="128" t="s">
        <v>24</v>
      </c>
      <c r="G7241" s="128" t="str">
        <f>VLOOKUP(source[[#This Row],[lending_product_transform]],[3]Mapping!$B$4:$C$37,2,0)</f>
        <v>[Cake] - Cashloan</v>
      </c>
      <c r="H7241" s="128" t="str">
        <f>VLOOKUP(source[[#This Row],[lending_product_transform]],[3]Mapping!$B$3:$D$37,3,0)</f>
        <v>cashloan</v>
      </c>
      <c r="I7241" s="135">
        <v>1741590000</v>
      </c>
    </row>
    <row r="7242" spans="1:9" x14ac:dyDescent="0.2">
      <c r="A7242" s="134">
        <v>45819</v>
      </c>
      <c r="B7242" s="135">
        <f>YEAR(source[[#This Row],[report_date]])</f>
        <v>2025</v>
      </c>
      <c r="C7242" s="128">
        <f t="shared" si="337"/>
        <v>6</v>
      </c>
      <c r="D7242" s="136">
        <f t="shared" si="339"/>
        <v>24</v>
      </c>
      <c r="E7242" s="136">
        <f t="shared" si="338"/>
        <v>11</v>
      </c>
      <c r="F7242" s="128" t="s">
        <v>24</v>
      </c>
      <c r="G7242" s="128" t="str">
        <f>VLOOKUP(source[[#This Row],[lending_product_transform]],[3]Mapping!$B$4:$C$37,2,0)</f>
        <v>[Cake] - Cashloan</v>
      </c>
      <c r="H7242" s="128" t="str">
        <f>VLOOKUP(source[[#This Row],[lending_product_transform]],[3]Mapping!$B$3:$D$37,3,0)</f>
        <v>cashloan</v>
      </c>
      <c r="I7242" s="135">
        <v>0</v>
      </c>
    </row>
    <row r="7243" spans="1:9" x14ac:dyDescent="0.2">
      <c r="A7243" s="134">
        <v>45819</v>
      </c>
      <c r="B7243" s="135">
        <f>YEAR(source[[#This Row],[report_date]])</f>
        <v>2025</v>
      </c>
      <c r="C7243" s="128">
        <f t="shared" si="337"/>
        <v>6</v>
      </c>
      <c r="D7243" s="136">
        <f t="shared" si="339"/>
        <v>24</v>
      </c>
      <c r="E7243" s="136">
        <f t="shared" si="338"/>
        <v>11</v>
      </c>
      <c r="F7243" s="128" t="s">
        <v>24</v>
      </c>
      <c r="G7243" s="128" t="str">
        <f>VLOOKUP(source[[#This Row],[lending_product_transform]],[3]Mapping!$B$4:$C$37,2,0)</f>
        <v>[Cake] - Cashloan</v>
      </c>
      <c r="H7243" s="128" t="str">
        <f>VLOOKUP(source[[#This Row],[lending_product_transform]],[3]Mapping!$B$3:$D$37,3,0)</f>
        <v>cashloan</v>
      </c>
      <c r="I7243" s="135">
        <v>10332810000</v>
      </c>
    </row>
    <row r="7244" spans="1:9" x14ac:dyDescent="0.2">
      <c r="A7244" s="134">
        <v>45819</v>
      </c>
      <c r="B7244" s="135">
        <f>YEAR(source[[#This Row],[report_date]])</f>
        <v>2025</v>
      </c>
      <c r="C7244" s="128">
        <f t="shared" si="337"/>
        <v>6</v>
      </c>
      <c r="D7244" s="136">
        <f t="shared" si="339"/>
        <v>24</v>
      </c>
      <c r="E7244" s="136">
        <f t="shared" si="338"/>
        <v>11</v>
      </c>
      <c r="F7244" s="128" t="s">
        <v>24</v>
      </c>
      <c r="G7244" s="128" t="str">
        <f>VLOOKUP(source[[#This Row],[lending_product_transform]],[3]Mapping!$B$4:$C$37,2,0)</f>
        <v>[Cake] - Cashloan</v>
      </c>
      <c r="H7244" s="128" t="str">
        <f>VLOOKUP(source[[#This Row],[lending_product_transform]],[3]Mapping!$B$3:$D$37,3,0)</f>
        <v>cashloan</v>
      </c>
      <c r="I7244" s="135">
        <v>0</v>
      </c>
    </row>
    <row r="7245" spans="1:9" x14ac:dyDescent="0.2">
      <c r="A7245" s="134">
        <v>45819</v>
      </c>
      <c r="B7245" s="135">
        <f>YEAR(source[[#This Row],[report_date]])</f>
        <v>2025</v>
      </c>
      <c r="C7245" s="128">
        <f t="shared" si="337"/>
        <v>6</v>
      </c>
      <c r="D7245" s="136">
        <f t="shared" si="339"/>
        <v>24</v>
      </c>
      <c r="E7245" s="136">
        <f t="shared" si="338"/>
        <v>11</v>
      </c>
      <c r="F7245" s="128" t="s">
        <v>24</v>
      </c>
      <c r="G7245" s="128" t="str">
        <f>VLOOKUP(source[[#This Row],[lending_product_transform]],[3]Mapping!$B$4:$C$37,2,0)</f>
        <v>[Cake] - Cashloan</v>
      </c>
      <c r="H7245" s="128" t="str">
        <f>VLOOKUP(source[[#This Row],[lending_product_transform]],[3]Mapping!$B$3:$D$37,3,0)</f>
        <v>cashloan</v>
      </c>
      <c r="I7245" s="135">
        <v>3560520794</v>
      </c>
    </row>
    <row r="7246" spans="1:9" x14ac:dyDescent="0.2">
      <c r="A7246" s="134">
        <v>45819</v>
      </c>
      <c r="B7246" s="135">
        <f>YEAR(source[[#This Row],[report_date]])</f>
        <v>2025</v>
      </c>
      <c r="C7246" s="128">
        <f t="shared" si="337"/>
        <v>6</v>
      </c>
      <c r="D7246" s="136">
        <f t="shared" si="339"/>
        <v>24</v>
      </c>
      <c r="E7246" s="136">
        <f t="shared" si="338"/>
        <v>11</v>
      </c>
      <c r="F7246" s="128" t="s">
        <v>24</v>
      </c>
      <c r="G7246" s="128" t="str">
        <f>VLOOKUP(source[[#This Row],[lending_product_transform]],[3]Mapping!$B$4:$C$37,2,0)</f>
        <v>[Cake] - Cashloan</v>
      </c>
      <c r="H7246" s="128" t="str">
        <f>VLOOKUP(source[[#This Row],[lending_product_transform]],[3]Mapping!$B$3:$D$37,3,0)</f>
        <v>cashloan</v>
      </c>
      <c r="I7246" s="135">
        <v>0</v>
      </c>
    </row>
    <row r="7247" spans="1:9" x14ac:dyDescent="0.2">
      <c r="A7247" s="134">
        <v>45819</v>
      </c>
      <c r="B7247" s="135">
        <f>YEAR(source[[#This Row],[report_date]])</f>
        <v>2025</v>
      </c>
      <c r="C7247" s="128">
        <f t="shared" si="337"/>
        <v>6</v>
      </c>
      <c r="D7247" s="136">
        <f t="shared" si="339"/>
        <v>24</v>
      </c>
      <c r="E7247" s="136">
        <f t="shared" si="338"/>
        <v>11</v>
      </c>
      <c r="F7247" s="128" t="s">
        <v>24</v>
      </c>
      <c r="G7247" s="128" t="str">
        <f>VLOOKUP(source[[#This Row],[lending_product_transform]],[3]Mapping!$B$4:$C$37,2,0)</f>
        <v>[Cake] - Cashloan</v>
      </c>
      <c r="H7247" s="128" t="str">
        <f>VLOOKUP(source[[#This Row],[lending_product_transform]],[3]Mapping!$B$3:$D$37,3,0)</f>
        <v>cashloan</v>
      </c>
      <c r="I7247" s="135">
        <v>7516741</v>
      </c>
    </row>
    <row r="7248" spans="1:9" x14ac:dyDescent="0.2">
      <c r="A7248" s="134">
        <v>45819</v>
      </c>
      <c r="B7248" s="135">
        <f>YEAR(source[[#This Row],[report_date]])</f>
        <v>2025</v>
      </c>
      <c r="C7248" s="128">
        <f t="shared" si="337"/>
        <v>6</v>
      </c>
      <c r="D7248" s="136">
        <f t="shared" si="339"/>
        <v>24</v>
      </c>
      <c r="E7248" s="136">
        <f t="shared" si="338"/>
        <v>11</v>
      </c>
      <c r="F7248" s="128" t="s">
        <v>24</v>
      </c>
      <c r="G7248" s="128" t="str">
        <f>VLOOKUP(source[[#This Row],[lending_product_transform]],[3]Mapping!$B$4:$C$37,2,0)</f>
        <v>[Cake] - Cashloan</v>
      </c>
      <c r="H7248" s="128" t="str">
        <f>VLOOKUP(source[[#This Row],[lending_product_transform]],[3]Mapping!$B$3:$D$37,3,0)</f>
        <v>cashloan</v>
      </c>
      <c r="I7248" s="135">
        <v>0</v>
      </c>
    </row>
    <row r="7249" spans="1:9" x14ac:dyDescent="0.2">
      <c r="A7249" s="134">
        <v>45819</v>
      </c>
      <c r="B7249" s="135">
        <f>YEAR(source[[#This Row],[report_date]])</f>
        <v>2025</v>
      </c>
      <c r="C7249" s="128">
        <f t="shared" si="337"/>
        <v>6</v>
      </c>
      <c r="D7249" s="136">
        <f t="shared" si="339"/>
        <v>24</v>
      </c>
      <c r="E7249" s="136">
        <f t="shared" si="338"/>
        <v>11</v>
      </c>
      <c r="F7249" s="128" t="s">
        <v>24</v>
      </c>
      <c r="G7249" s="128" t="str">
        <f>VLOOKUP(source[[#This Row],[lending_product_transform]],[3]Mapping!$B$4:$C$37,2,0)</f>
        <v>[Cake] - Cashloan</v>
      </c>
      <c r="H7249" s="128" t="str">
        <f>VLOOKUP(source[[#This Row],[lending_product_transform]],[3]Mapping!$B$3:$D$37,3,0)</f>
        <v>cashloan</v>
      </c>
      <c r="I7249" s="135">
        <v>0</v>
      </c>
    </row>
    <row r="7250" spans="1:9" x14ac:dyDescent="0.2">
      <c r="A7250" s="134">
        <v>45819</v>
      </c>
      <c r="B7250" s="135">
        <f>YEAR(source[[#This Row],[report_date]])</f>
        <v>2025</v>
      </c>
      <c r="C7250" s="128">
        <f t="shared" si="337"/>
        <v>6</v>
      </c>
      <c r="D7250" s="136">
        <f t="shared" si="339"/>
        <v>24</v>
      </c>
      <c r="E7250" s="136">
        <f t="shared" si="338"/>
        <v>11</v>
      </c>
      <c r="F7250" s="128" t="s">
        <v>24</v>
      </c>
      <c r="G7250" s="128" t="str">
        <f>VLOOKUP(source[[#This Row],[lending_product_transform]],[3]Mapping!$B$4:$C$37,2,0)</f>
        <v>[Cake] - Cashloan</v>
      </c>
      <c r="H7250" s="128" t="str">
        <f>VLOOKUP(source[[#This Row],[lending_product_transform]],[3]Mapping!$B$3:$D$37,3,0)</f>
        <v>cashloan</v>
      </c>
      <c r="I7250" s="135">
        <v>0</v>
      </c>
    </row>
    <row r="7251" spans="1:9" x14ac:dyDescent="0.2">
      <c r="A7251" s="134">
        <v>45819</v>
      </c>
      <c r="B7251" s="135">
        <f>YEAR(source[[#This Row],[report_date]])</f>
        <v>2025</v>
      </c>
      <c r="C7251" s="128">
        <f t="shared" si="337"/>
        <v>6</v>
      </c>
      <c r="D7251" s="136">
        <f t="shared" si="339"/>
        <v>24</v>
      </c>
      <c r="E7251" s="136">
        <f t="shared" si="338"/>
        <v>11</v>
      </c>
      <c r="F7251" s="128" t="s">
        <v>24</v>
      </c>
      <c r="G7251" s="128" t="str">
        <f>VLOOKUP(source[[#This Row],[lending_product_transform]],[3]Mapping!$B$4:$C$37,2,0)</f>
        <v>[Cake] - Cashloan</v>
      </c>
      <c r="H7251" s="128" t="str">
        <f>VLOOKUP(source[[#This Row],[lending_product_transform]],[3]Mapping!$B$3:$D$37,3,0)</f>
        <v>cashloan</v>
      </c>
      <c r="I7251" s="135">
        <v>630000</v>
      </c>
    </row>
    <row r="7252" spans="1:9" x14ac:dyDescent="0.2">
      <c r="A7252" s="134">
        <v>45819</v>
      </c>
      <c r="B7252" s="135">
        <f>YEAR(source[[#This Row],[report_date]])</f>
        <v>2025</v>
      </c>
      <c r="C7252" s="128">
        <f t="shared" si="337"/>
        <v>6</v>
      </c>
      <c r="D7252" s="136">
        <f t="shared" si="339"/>
        <v>24</v>
      </c>
      <c r="E7252" s="136">
        <f t="shared" si="338"/>
        <v>11</v>
      </c>
      <c r="F7252" s="128" t="s">
        <v>24</v>
      </c>
      <c r="G7252" s="128" t="str">
        <f>VLOOKUP(source[[#This Row],[lending_product_transform]],[3]Mapping!$B$4:$C$37,2,0)</f>
        <v>[Cake] - Cashloan</v>
      </c>
      <c r="H7252" s="128" t="str">
        <f>VLOOKUP(source[[#This Row],[lending_product_transform]],[3]Mapping!$B$3:$D$37,3,0)</f>
        <v>cashloan</v>
      </c>
      <c r="I7252" s="135">
        <v>0</v>
      </c>
    </row>
    <row r="7253" spans="1:9" x14ac:dyDescent="0.2">
      <c r="A7253" s="134">
        <v>45819</v>
      </c>
      <c r="B7253" s="135">
        <f>YEAR(source[[#This Row],[report_date]])</f>
        <v>2025</v>
      </c>
      <c r="C7253" s="128">
        <f t="shared" si="337"/>
        <v>6</v>
      </c>
      <c r="D7253" s="136">
        <f t="shared" si="339"/>
        <v>24</v>
      </c>
      <c r="E7253" s="136">
        <f t="shared" si="338"/>
        <v>11</v>
      </c>
      <c r="F7253" s="128" t="s">
        <v>24</v>
      </c>
      <c r="G7253" s="128" t="str">
        <f>VLOOKUP(source[[#This Row],[lending_product_transform]],[3]Mapping!$B$4:$C$37,2,0)</f>
        <v>[Cake] - Cashloan</v>
      </c>
      <c r="H7253" s="128" t="str">
        <f>VLOOKUP(source[[#This Row],[lending_product_transform]],[3]Mapping!$B$3:$D$37,3,0)</f>
        <v>cashloan</v>
      </c>
      <c r="I7253" s="135">
        <v>528456913</v>
      </c>
    </row>
    <row r="7254" spans="1:9" x14ac:dyDescent="0.2">
      <c r="A7254" s="134">
        <v>45819</v>
      </c>
      <c r="B7254" s="135">
        <f>YEAR(source[[#This Row],[report_date]])</f>
        <v>2025</v>
      </c>
      <c r="C7254" s="128">
        <f t="shared" si="337"/>
        <v>6</v>
      </c>
      <c r="D7254" s="136">
        <f t="shared" si="339"/>
        <v>24</v>
      </c>
      <c r="E7254" s="136">
        <f t="shared" si="338"/>
        <v>11</v>
      </c>
      <c r="F7254" s="128" t="s">
        <v>24</v>
      </c>
      <c r="G7254" s="128" t="str">
        <f>VLOOKUP(source[[#This Row],[lending_product_transform]],[3]Mapping!$B$4:$C$37,2,0)</f>
        <v>[Cake] - Cashloan</v>
      </c>
      <c r="H7254" s="128" t="str">
        <f>VLOOKUP(source[[#This Row],[lending_product_transform]],[3]Mapping!$B$3:$D$37,3,0)</f>
        <v>cashloan</v>
      </c>
      <c r="I7254" s="135">
        <v>507220000</v>
      </c>
    </row>
    <row r="7255" spans="1:9" x14ac:dyDescent="0.2">
      <c r="A7255" s="134">
        <v>45819</v>
      </c>
      <c r="B7255" s="135">
        <f>YEAR(source[[#This Row],[report_date]])</f>
        <v>2025</v>
      </c>
      <c r="C7255" s="128">
        <f t="shared" si="337"/>
        <v>6</v>
      </c>
      <c r="D7255" s="136">
        <f t="shared" si="339"/>
        <v>24</v>
      </c>
      <c r="E7255" s="136">
        <f t="shared" si="338"/>
        <v>11</v>
      </c>
      <c r="F7255" s="128" t="s">
        <v>24</v>
      </c>
      <c r="G7255" s="128" t="str">
        <f>VLOOKUP(source[[#This Row],[lending_product_transform]],[3]Mapping!$B$4:$C$37,2,0)</f>
        <v>[Cake] - Cashloan</v>
      </c>
      <c r="H7255" s="128" t="str">
        <f>VLOOKUP(source[[#This Row],[lending_product_transform]],[3]Mapping!$B$3:$D$37,3,0)</f>
        <v>cashloan</v>
      </c>
      <c r="I7255" s="135">
        <v>1267830000</v>
      </c>
    </row>
    <row r="7256" spans="1:9" x14ac:dyDescent="0.2">
      <c r="A7256" s="134">
        <v>45819</v>
      </c>
      <c r="B7256" s="135">
        <f>YEAR(source[[#This Row],[report_date]])</f>
        <v>2025</v>
      </c>
      <c r="C7256" s="128">
        <f t="shared" si="337"/>
        <v>6</v>
      </c>
      <c r="D7256" s="136">
        <f t="shared" si="339"/>
        <v>24</v>
      </c>
      <c r="E7256" s="136">
        <f t="shared" si="338"/>
        <v>11</v>
      </c>
      <c r="F7256" s="128" t="s">
        <v>24</v>
      </c>
      <c r="G7256" s="128" t="str">
        <f>VLOOKUP(source[[#This Row],[lending_product_transform]],[3]Mapping!$B$4:$C$37,2,0)</f>
        <v>[Cake] - Cashloan</v>
      </c>
      <c r="H7256" s="128" t="str">
        <f>VLOOKUP(source[[#This Row],[lending_product_transform]],[3]Mapping!$B$3:$D$37,3,0)</f>
        <v>cashloan</v>
      </c>
      <c r="I7256" s="135">
        <v>245249966</v>
      </c>
    </row>
    <row r="7257" spans="1:9" x14ac:dyDescent="0.2">
      <c r="A7257" s="134">
        <v>45819</v>
      </c>
      <c r="B7257" s="135">
        <f>YEAR(source[[#This Row],[report_date]])</f>
        <v>2025</v>
      </c>
      <c r="C7257" s="128">
        <f t="shared" si="337"/>
        <v>6</v>
      </c>
      <c r="D7257" s="136">
        <f t="shared" si="339"/>
        <v>24</v>
      </c>
      <c r="E7257" s="136">
        <f t="shared" si="338"/>
        <v>11</v>
      </c>
      <c r="F7257" s="128" t="s">
        <v>24</v>
      </c>
      <c r="G7257" s="128" t="str">
        <f>VLOOKUP(source[[#This Row],[lending_product_transform]],[3]Mapping!$B$4:$C$37,2,0)</f>
        <v>[Cake] - Cashloan</v>
      </c>
      <c r="H7257" s="128" t="str">
        <f>VLOOKUP(source[[#This Row],[lending_product_transform]],[3]Mapping!$B$3:$D$37,3,0)</f>
        <v>cashloan</v>
      </c>
      <c r="I7257" s="135">
        <v>419514377</v>
      </c>
    </row>
    <row r="7258" spans="1:9" x14ac:dyDescent="0.2">
      <c r="A7258" s="134">
        <v>45819</v>
      </c>
      <c r="B7258" s="135">
        <f>YEAR(source[[#This Row],[report_date]])</f>
        <v>2025</v>
      </c>
      <c r="C7258" s="128">
        <f t="shared" si="337"/>
        <v>6</v>
      </c>
      <c r="D7258" s="136">
        <f t="shared" si="339"/>
        <v>24</v>
      </c>
      <c r="E7258" s="136">
        <f t="shared" si="338"/>
        <v>11</v>
      </c>
      <c r="F7258" s="128" t="s">
        <v>24</v>
      </c>
      <c r="G7258" s="128" t="str">
        <f>VLOOKUP(source[[#This Row],[lending_product_transform]],[3]Mapping!$B$4:$C$37,2,0)</f>
        <v>[Cake] - Cashloan</v>
      </c>
      <c r="H7258" s="128" t="str">
        <f>VLOOKUP(source[[#This Row],[lending_product_transform]],[3]Mapping!$B$3:$D$37,3,0)</f>
        <v>cashloan</v>
      </c>
      <c r="I7258" s="135">
        <v>7655770000</v>
      </c>
    </row>
    <row r="7259" spans="1:9" x14ac:dyDescent="0.2">
      <c r="A7259" s="134">
        <v>45819</v>
      </c>
      <c r="B7259" s="135">
        <f>YEAR(source[[#This Row],[report_date]])</f>
        <v>2025</v>
      </c>
      <c r="C7259" s="128">
        <f t="shared" si="337"/>
        <v>6</v>
      </c>
      <c r="D7259" s="136">
        <f t="shared" si="339"/>
        <v>24</v>
      </c>
      <c r="E7259" s="136">
        <f t="shared" si="338"/>
        <v>11</v>
      </c>
      <c r="F7259" s="128" t="s">
        <v>24</v>
      </c>
      <c r="G7259" s="128" t="str">
        <f>VLOOKUP(source[[#This Row],[lending_product_transform]],[3]Mapping!$B$4:$C$37,2,0)</f>
        <v>[Cake] - Cashloan</v>
      </c>
      <c r="H7259" s="128" t="str">
        <f>VLOOKUP(source[[#This Row],[lending_product_transform]],[3]Mapping!$B$3:$D$37,3,0)</f>
        <v>cashloan</v>
      </c>
      <c r="I7259" s="135">
        <v>6133212000</v>
      </c>
    </row>
    <row r="7260" spans="1:9" x14ac:dyDescent="0.2">
      <c r="A7260" s="134">
        <v>45820</v>
      </c>
      <c r="B7260" s="135">
        <f>YEAR(source[[#This Row],[report_date]])</f>
        <v>2025</v>
      </c>
      <c r="C7260" s="128">
        <f t="shared" si="337"/>
        <v>6</v>
      </c>
      <c r="D7260" s="136">
        <f t="shared" si="339"/>
        <v>24</v>
      </c>
      <c r="E7260" s="136">
        <f t="shared" si="338"/>
        <v>12</v>
      </c>
      <c r="F7260" s="128" t="s">
        <v>24</v>
      </c>
      <c r="G7260" s="128" t="str">
        <f>VLOOKUP(source[[#This Row],[lending_product_transform]],[3]Mapping!$B$4:$C$37,2,0)</f>
        <v>[Cake] - Cashloan</v>
      </c>
      <c r="H7260" s="128" t="str">
        <f>VLOOKUP(source[[#This Row],[lending_product_transform]],[3]Mapping!$B$3:$D$37,3,0)</f>
        <v>cashloan</v>
      </c>
      <c r="I7260" s="135">
        <v>0</v>
      </c>
    </row>
    <row r="7261" spans="1:9" x14ac:dyDescent="0.2">
      <c r="A7261" s="134">
        <v>45820</v>
      </c>
      <c r="B7261" s="135">
        <f>YEAR(source[[#This Row],[report_date]])</f>
        <v>2025</v>
      </c>
      <c r="C7261" s="128">
        <f t="shared" si="337"/>
        <v>6</v>
      </c>
      <c r="D7261" s="136">
        <f t="shared" si="339"/>
        <v>24</v>
      </c>
      <c r="E7261" s="136">
        <f t="shared" si="338"/>
        <v>12</v>
      </c>
      <c r="F7261" s="128" t="s">
        <v>24</v>
      </c>
      <c r="G7261" s="128" t="str">
        <f>VLOOKUP(source[[#This Row],[lending_product_transform]],[3]Mapping!$B$4:$C$37,2,0)</f>
        <v>[Cake] - Cashloan</v>
      </c>
      <c r="H7261" s="128" t="str">
        <f>VLOOKUP(source[[#This Row],[lending_product_transform]],[3]Mapping!$B$3:$D$37,3,0)</f>
        <v>cashloan</v>
      </c>
      <c r="I7261" s="135">
        <v>55200000</v>
      </c>
    </row>
    <row r="7262" spans="1:9" x14ac:dyDescent="0.2">
      <c r="A7262" s="134">
        <v>45820</v>
      </c>
      <c r="B7262" s="135">
        <f>YEAR(source[[#This Row],[report_date]])</f>
        <v>2025</v>
      </c>
      <c r="C7262" s="128">
        <f t="shared" si="337"/>
        <v>6</v>
      </c>
      <c r="D7262" s="136">
        <f t="shared" si="339"/>
        <v>24</v>
      </c>
      <c r="E7262" s="136">
        <f t="shared" si="338"/>
        <v>12</v>
      </c>
      <c r="F7262" s="128" t="s">
        <v>24</v>
      </c>
      <c r="G7262" s="128" t="str">
        <f>VLOOKUP(source[[#This Row],[lending_product_transform]],[3]Mapping!$B$4:$C$37,2,0)</f>
        <v>[Cake] - Cashloan</v>
      </c>
      <c r="H7262" s="128" t="str">
        <f>VLOOKUP(source[[#This Row],[lending_product_transform]],[3]Mapping!$B$3:$D$37,3,0)</f>
        <v>cashloan</v>
      </c>
      <c r="I7262" s="135">
        <v>0</v>
      </c>
    </row>
    <row r="7263" spans="1:9" x14ac:dyDescent="0.2">
      <c r="A7263" s="134">
        <v>45820</v>
      </c>
      <c r="B7263" s="135">
        <f>YEAR(source[[#This Row],[report_date]])</f>
        <v>2025</v>
      </c>
      <c r="C7263" s="128">
        <f t="shared" si="337"/>
        <v>6</v>
      </c>
      <c r="D7263" s="136">
        <f t="shared" si="339"/>
        <v>24</v>
      </c>
      <c r="E7263" s="136">
        <f t="shared" si="338"/>
        <v>12</v>
      </c>
      <c r="F7263" s="128" t="s">
        <v>24</v>
      </c>
      <c r="G7263" s="128" t="str">
        <f>VLOOKUP(source[[#This Row],[lending_product_transform]],[3]Mapping!$B$4:$C$37,2,0)</f>
        <v>[Cake] - Cashloan</v>
      </c>
      <c r="H7263" s="128" t="str">
        <f>VLOOKUP(source[[#This Row],[lending_product_transform]],[3]Mapping!$B$3:$D$37,3,0)</f>
        <v>cashloan</v>
      </c>
      <c r="I7263" s="135">
        <v>0</v>
      </c>
    </row>
    <row r="7264" spans="1:9" x14ac:dyDescent="0.2">
      <c r="A7264" s="134">
        <v>45820</v>
      </c>
      <c r="B7264" s="135">
        <f>YEAR(source[[#This Row],[report_date]])</f>
        <v>2025</v>
      </c>
      <c r="C7264" s="128">
        <f t="shared" si="337"/>
        <v>6</v>
      </c>
      <c r="D7264" s="136">
        <f t="shared" si="339"/>
        <v>24</v>
      </c>
      <c r="E7264" s="136">
        <f t="shared" si="338"/>
        <v>12</v>
      </c>
      <c r="F7264" s="128" t="s">
        <v>24</v>
      </c>
      <c r="G7264" s="128" t="str">
        <f>VLOOKUP(source[[#This Row],[lending_product_transform]],[3]Mapping!$B$4:$C$37,2,0)</f>
        <v>[Cake] - Cashloan</v>
      </c>
      <c r="H7264" s="128" t="str">
        <f>VLOOKUP(source[[#This Row],[lending_product_transform]],[3]Mapping!$B$3:$D$37,3,0)</f>
        <v>cashloan</v>
      </c>
      <c r="I7264" s="135">
        <v>10500000</v>
      </c>
    </row>
    <row r="7265" spans="1:9" x14ac:dyDescent="0.2">
      <c r="A7265" s="134">
        <v>45820</v>
      </c>
      <c r="B7265" s="135">
        <f>YEAR(source[[#This Row],[report_date]])</f>
        <v>2025</v>
      </c>
      <c r="C7265" s="128">
        <f t="shared" si="337"/>
        <v>6</v>
      </c>
      <c r="D7265" s="136">
        <f t="shared" si="339"/>
        <v>24</v>
      </c>
      <c r="E7265" s="136">
        <f t="shared" si="338"/>
        <v>12</v>
      </c>
      <c r="F7265" s="128" t="s">
        <v>24</v>
      </c>
      <c r="G7265" s="128" t="str">
        <f>VLOOKUP(source[[#This Row],[lending_product_transform]],[3]Mapping!$B$4:$C$37,2,0)</f>
        <v>[Cake] - Cashloan</v>
      </c>
      <c r="H7265" s="128" t="str">
        <f>VLOOKUP(source[[#This Row],[lending_product_transform]],[3]Mapping!$B$3:$D$37,3,0)</f>
        <v>cashloan</v>
      </c>
      <c r="I7265" s="135">
        <v>1373540000</v>
      </c>
    </row>
    <row r="7266" spans="1:9" x14ac:dyDescent="0.2">
      <c r="A7266" s="134">
        <v>45820</v>
      </c>
      <c r="B7266" s="135">
        <f>YEAR(source[[#This Row],[report_date]])</f>
        <v>2025</v>
      </c>
      <c r="C7266" s="128">
        <f t="shared" si="337"/>
        <v>6</v>
      </c>
      <c r="D7266" s="136">
        <f t="shared" si="339"/>
        <v>24</v>
      </c>
      <c r="E7266" s="136">
        <f t="shared" si="338"/>
        <v>12</v>
      </c>
      <c r="F7266" s="128" t="s">
        <v>24</v>
      </c>
      <c r="G7266" s="128" t="str">
        <f>VLOOKUP(source[[#This Row],[lending_product_transform]],[3]Mapping!$B$4:$C$37,2,0)</f>
        <v>[Cake] - Cashloan</v>
      </c>
      <c r="H7266" s="128" t="str">
        <f>VLOOKUP(source[[#This Row],[lending_product_transform]],[3]Mapping!$B$3:$D$37,3,0)</f>
        <v>cashloan</v>
      </c>
      <c r="I7266" s="135">
        <v>607690000</v>
      </c>
    </row>
    <row r="7267" spans="1:9" x14ac:dyDescent="0.2">
      <c r="A7267" s="134">
        <v>45820</v>
      </c>
      <c r="B7267" s="135">
        <f>YEAR(source[[#This Row],[report_date]])</f>
        <v>2025</v>
      </c>
      <c r="C7267" s="128">
        <f t="shared" si="337"/>
        <v>6</v>
      </c>
      <c r="D7267" s="136">
        <f t="shared" si="339"/>
        <v>24</v>
      </c>
      <c r="E7267" s="136">
        <f t="shared" si="338"/>
        <v>12</v>
      </c>
      <c r="F7267" s="128" t="s">
        <v>24</v>
      </c>
      <c r="G7267" s="128" t="str">
        <f>VLOOKUP(source[[#This Row],[lending_product_transform]],[3]Mapping!$B$4:$C$37,2,0)</f>
        <v>[Cake] - Cashloan</v>
      </c>
      <c r="H7267" s="128" t="str">
        <f>VLOOKUP(source[[#This Row],[lending_product_transform]],[3]Mapping!$B$3:$D$37,3,0)</f>
        <v>cashloan</v>
      </c>
      <c r="I7267" s="135">
        <v>0</v>
      </c>
    </row>
    <row r="7268" spans="1:9" x14ac:dyDescent="0.2">
      <c r="A7268" s="134">
        <v>45820</v>
      </c>
      <c r="B7268" s="135">
        <f>YEAR(source[[#This Row],[report_date]])</f>
        <v>2025</v>
      </c>
      <c r="C7268" s="128">
        <f t="shared" si="337"/>
        <v>6</v>
      </c>
      <c r="D7268" s="136">
        <f t="shared" si="339"/>
        <v>24</v>
      </c>
      <c r="E7268" s="136">
        <f t="shared" si="338"/>
        <v>12</v>
      </c>
      <c r="F7268" s="128" t="s">
        <v>24</v>
      </c>
      <c r="G7268" s="128" t="str">
        <f>VLOOKUP(source[[#This Row],[lending_product_transform]],[3]Mapping!$B$4:$C$37,2,0)</f>
        <v>[Cake] - Cashloan</v>
      </c>
      <c r="H7268" s="128" t="str">
        <f>VLOOKUP(source[[#This Row],[lending_product_transform]],[3]Mapping!$B$3:$D$37,3,0)</f>
        <v>cashloan</v>
      </c>
      <c r="I7268" s="135">
        <v>1072050000</v>
      </c>
    </row>
    <row r="7269" spans="1:9" x14ac:dyDescent="0.2">
      <c r="A7269" s="134">
        <v>45820</v>
      </c>
      <c r="B7269" s="135">
        <f>YEAR(source[[#This Row],[report_date]])</f>
        <v>2025</v>
      </c>
      <c r="C7269" s="128">
        <f t="shared" si="337"/>
        <v>6</v>
      </c>
      <c r="D7269" s="136">
        <f t="shared" si="339"/>
        <v>24</v>
      </c>
      <c r="E7269" s="136">
        <f t="shared" si="338"/>
        <v>12</v>
      </c>
      <c r="F7269" s="128" t="s">
        <v>24</v>
      </c>
      <c r="G7269" s="128" t="str">
        <f>VLOOKUP(source[[#This Row],[lending_product_transform]],[3]Mapping!$B$4:$C$37,2,0)</f>
        <v>[Cake] - Cashloan</v>
      </c>
      <c r="H7269" s="128" t="str">
        <f>VLOOKUP(source[[#This Row],[lending_product_transform]],[3]Mapping!$B$3:$D$37,3,0)</f>
        <v>cashloan</v>
      </c>
      <c r="I7269" s="135">
        <v>232225370</v>
      </c>
    </row>
    <row r="7270" spans="1:9" x14ac:dyDescent="0.2">
      <c r="A7270" s="134">
        <v>45820</v>
      </c>
      <c r="B7270" s="135">
        <f>YEAR(source[[#This Row],[report_date]])</f>
        <v>2025</v>
      </c>
      <c r="C7270" s="128">
        <f t="shared" si="337"/>
        <v>6</v>
      </c>
      <c r="D7270" s="136">
        <f t="shared" si="339"/>
        <v>24</v>
      </c>
      <c r="E7270" s="136">
        <f t="shared" si="338"/>
        <v>12</v>
      </c>
      <c r="F7270" s="128" t="s">
        <v>24</v>
      </c>
      <c r="G7270" s="128" t="str">
        <f>VLOOKUP(source[[#This Row],[lending_product_transform]],[3]Mapping!$B$4:$C$37,2,0)</f>
        <v>[Cake] - Cashloan</v>
      </c>
      <c r="H7270" s="128" t="str">
        <f>VLOOKUP(source[[#This Row],[lending_product_transform]],[3]Mapping!$B$3:$D$37,3,0)</f>
        <v>cashloan</v>
      </c>
      <c r="I7270" s="135">
        <v>451427556</v>
      </c>
    </row>
    <row r="7271" spans="1:9" x14ac:dyDescent="0.2">
      <c r="A7271" s="134">
        <v>45820</v>
      </c>
      <c r="B7271" s="135">
        <f>YEAR(source[[#This Row],[report_date]])</f>
        <v>2025</v>
      </c>
      <c r="C7271" s="128">
        <f t="shared" si="337"/>
        <v>6</v>
      </c>
      <c r="D7271" s="136">
        <f t="shared" si="339"/>
        <v>24</v>
      </c>
      <c r="E7271" s="136">
        <f t="shared" si="338"/>
        <v>12</v>
      </c>
      <c r="F7271" s="128" t="s">
        <v>24</v>
      </c>
      <c r="G7271" s="128" t="str">
        <f>VLOOKUP(source[[#This Row],[lending_product_transform]],[3]Mapping!$B$4:$C$37,2,0)</f>
        <v>[Cake] - Cashloan</v>
      </c>
      <c r="H7271" s="128" t="str">
        <f>VLOOKUP(source[[#This Row],[lending_product_transform]],[3]Mapping!$B$3:$D$37,3,0)</f>
        <v>cashloan</v>
      </c>
      <c r="I7271" s="135">
        <v>483297578</v>
      </c>
    </row>
    <row r="7272" spans="1:9" x14ac:dyDescent="0.2">
      <c r="A7272" s="134">
        <v>45820</v>
      </c>
      <c r="B7272" s="135">
        <f>YEAR(source[[#This Row],[report_date]])</f>
        <v>2025</v>
      </c>
      <c r="C7272" s="128">
        <f t="shared" si="337"/>
        <v>6</v>
      </c>
      <c r="D7272" s="136">
        <f t="shared" si="339"/>
        <v>24</v>
      </c>
      <c r="E7272" s="136">
        <f t="shared" si="338"/>
        <v>12</v>
      </c>
      <c r="F7272" s="128" t="s">
        <v>24</v>
      </c>
      <c r="G7272" s="128" t="str">
        <f>VLOOKUP(source[[#This Row],[lending_product_transform]],[3]Mapping!$B$4:$C$37,2,0)</f>
        <v>[Cake] - Cashloan</v>
      </c>
      <c r="H7272" s="128" t="str">
        <f>VLOOKUP(source[[#This Row],[lending_product_transform]],[3]Mapping!$B$3:$D$37,3,0)</f>
        <v>cashloan</v>
      </c>
      <c r="I7272" s="135">
        <v>9083520000</v>
      </c>
    </row>
    <row r="7273" spans="1:9" x14ac:dyDescent="0.2">
      <c r="A7273" s="134">
        <v>45820</v>
      </c>
      <c r="B7273" s="135">
        <f>YEAR(source[[#This Row],[report_date]])</f>
        <v>2025</v>
      </c>
      <c r="C7273" s="128">
        <f t="shared" si="337"/>
        <v>6</v>
      </c>
      <c r="D7273" s="136">
        <f t="shared" si="339"/>
        <v>24</v>
      </c>
      <c r="E7273" s="136">
        <f t="shared" si="338"/>
        <v>12</v>
      </c>
      <c r="F7273" s="128" t="s">
        <v>24</v>
      </c>
      <c r="G7273" s="128" t="str">
        <f>VLOOKUP(source[[#This Row],[lending_product_transform]],[3]Mapping!$B$4:$C$37,2,0)</f>
        <v>[Cake] - Cashloan</v>
      </c>
      <c r="H7273" s="128" t="str">
        <f>VLOOKUP(source[[#This Row],[lending_product_transform]],[3]Mapping!$B$3:$D$37,3,0)</f>
        <v>cashloan</v>
      </c>
      <c r="I7273" s="135">
        <v>5834916000</v>
      </c>
    </row>
    <row r="7274" spans="1:9" x14ac:dyDescent="0.2">
      <c r="A7274" s="134">
        <v>45820</v>
      </c>
      <c r="B7274" s="135">
        <f>YEAR(source[[#This Row],[report_date]])</f>
        <v>2025</v>
      </c>
      <c r="C7274" s="128">
        <f t="shared" si="337"/>
        <v>6</v>
      </c>
      <c r="D7274" s="136">
        <f t="shared" si="339"/>
        <v>24</v>
      </c>
      <c r="E7274" s="136">
        <f t="shared" si="338"/>
        <v>12</v>
      </c>
      <c r="F7274" s="128" t="s">
        <v>24</v>
      </c>
      <c r="G7274" s="128" t="str">
        <f>VLOOKUP(source[[#This Row],[lending_product_transform]],[3]Mapping!$B$4:$C$37,2,0)</f>
        <v>[Cake] - Cashloan</v>
      </c>
      <c r="H7274" s="128" t="str">
        <f>VLOOKUP(source[[#This Row],[lending_product_transform]],[3]Mapping!$B$3:$D$37,3,0)</f>
        <v>cashloan</v>
      </c>
      <c r="I7274" s="135">
        <v>10075570000</v>
      </c>
    </row>
    <row r="7275" spans="1:9" x14ac:dyDescent="0.2">
      <c r="A7275" s="134">
        <v>45820</v>
      </c>
      <c r="B7275" s="135">
        <f>YEAR(source[[#This Row],[report_date]])</f>
        <v>2025</v>
      </c>
      <c r="C7275" s="128">
        <f t="shared" si="337"/>
        <v>6</v>
      </c>
      <c r="D7275" s="136">
        <f t="shared" si="339"/>
        <v>24</v>
      </c>
      <c r="E7275" s="136">
        <f t="shared" si="338"/>
        <v>12</v>
      </c>
      <c r="F7275" s="128" t="s">
        <v>24</v>
      </c>
      <c r="G7275" s="128" t="str">
        <f>VLOOKUP(source[[#This Row],[lending_product_transform]],[3]Mapping!$B$4:$C$37,2,0)</f>
        <v>[Cake] - Cashloan</v>
      </c>
      <c r="H7275" s="128" t="str">
        <f>VLOOKUP(source[[#This Row],[lending_product_transform]],[3]Mapping!$B$3:$D$37,3,0)</f>
        <v>cashloan</v>
      </c>
      <c r="I7275" s="135">
        <v>22141657</v>
      </c>
    </row>
    <row r="7276" spans="1:9" x14ac:dyDescent="0.2">
      <c r="A7276" s="134">
        <v>45820</v>
      </c>
      <c r="B7276" s="135">
        <f>YEAR(source[[#This Row],[report_date]])</f>
        <v>2025</v>
      </c>
      <c r="C7276" s="128">
        <f t="shared" si="337"/>
        <v>6</v>
      </c>
      <c r="D7276" s="136">
        <f t="shared" si="339"/>
        <v>24</v>
      </c>
      <c r="E7276" s="136">
        <f t="shared" si="338"/>
        <v>12</v>
      </c>
      <c r="F7276" s="128" t="s">
        <v>24</v>
      </c>
      <c r="G7276" s="128" t="str">
        <f>VLOOKUP(source[[#This Row],[lending_product_transform]],[3]Mapping!$B$4:$C$37,2,0)</f>
        <v>[Cake] - Cashloan</v>
      </c>
      <c r="H7276" s="128" t="str">
        <f>VLOOKUP(source[[#This Row],[lending_product_transform]],[3]Mapping!$B$3:$D$37,3,0)</f>
        <v>cashloan</v>
      </c>
      <c r="I7276" s="135">
        <v>3407039660</v>
      </c>
    </row>
    <row r="7277" spans="1:9" x14ac:dyDescent="0.2">
      <c r="A7277" s="134">
        <v>45820</v>
      </c>
      <c r="B7277" s="135">
        <f>YEAR(source[[#This Row],[report_date]])</f>
        <v>2025</v>
      </c>
      <c r="C7277" s="128">
        <f t="shared" si="337"/>
        <v>6</v>
      </c>
      <c r="D7277" s="136">
        <f t="shared" si="339"/>
        <v>24</v>
      </c>
      <c r="E7277" s="136">
        <f t="shared" si="338"/>
        <v>12</v>
      </c>
      <c r="F7277" s="128" t="s">
        <v>24</v>
      </c>
      <c r="G7277" s="128" t="str">
        <f>VLOOKUP(source[[#This Row],[lending_product_transform]],[3]Mapping!$B$4:$C$37,2,0)</f>
        <v>[Cake] - Cashloan</v>
      </c>
      <c r="H7277" s="128" t="str">
        <f>VLOOKUP(source[[#This Row],[lending_product_transform]],[3]Mapping!$B$3:$D$37,3,0)</f>
        <v>cashloan</v>
      </c>
      <c r="I7277" s="135">
        <v>2352000</v>
      </c>
    </row>
    <row r="7278" spans="1:9" x14ac:dyDescent="0.2">
      <c r="A7278" s="134">
        <v>45820</v>
      </c>
      <c r="B7278" s="135">
        <f>YEAR(source[[#This Row],[report_date]])</f>
        <v>2025</v>
      </c>
      <c r="C7278" s="128">
        <f t="shared" si="337"/>
        <v>6</v>
      </c>
      <c r="D7278" s="136">
        <f t="shared" si="339"/>
        <v>24</v>
      </c>
      <c r="E7278" s="136">
        <f t="shared" si="338"/>
        <v>12</v>
      </c>
      <c r="F7278" s="128" t="s">
        <v>24</v>
      </c>
      <c r="G7278" s="128" t="str">
        <f>VLOOKUP(source[[#This Row],[lending_product_transform]],[3]Mapping!$B$4:$C$37,2,0)</f>
        <v>[Cake] - Cashloan</v>
      </c>
      <c r="H7278" s="128" t="str">
        <f>VLOOKUP(source[[#This Row],[lending_product_transform]],[3]Mapping!$B$3:$D$37,3,0)</f>
        <v>cashloan</v>
      </c>
      <c r="I7278" s="135">
        <v>13000000</v>
      </c>
    </row>
    <row r="7279" spans="1:9" x14ac:dyDescent="0.2">
      <c r="A7279" s="134">
        <v>45821</v>
      </c>
      <c r="B7279" s="135">
        <f>YEAR(source[[#This Row],[report_date]])</f>
        <v>2025</v>
      </c>
      <c r="C7279" s="128">
        <f t="shared" si="337"/>
        <v>6</v>
      </c>
      <c r="D7279" s="136">
        <f t="shared" si="339"/>
        <v>24</v>
      </c>
      <c r="E7279" s="136">
        <f t="shared" si="338"/>
        <v>13</v>
      </c>
      <c r="F7279" s="128" t="s">
        <v>24</v>
      </c>
      <c r="G7279" s="128" t="str">
        <f>VLOOKUP(source[[#This Row],[lending_product_transform]],[3]Mapping!$B$4:$C$37,2,0)</f>
        <v>[Cake] - Cashloan</v>
      </c>
      <c r="H7279" s="128" t="str">
        <f>VLOOKUP(source[[#This Row],[lending_product_transform]],[3]Mapping!$B$3:$D$37,3,0)</f>
        <v>cashloan</v>
      </c>
      <c r="I7279" s="135">
        <v>51000000</v>
      </c>
    </row>
    <row r="7280" spans="1:9" x14ac:dyDescent="0.2">
      <c r="A7280" s="134">
        <v>45821</v>
      </c>
      <c r="B7280" s="135">
        <f>YEAR(source[[#This Row],[report_date]])</f>
        <v>2025</v>
      </c>
      <c r="C7280" s="128">
        <f t="shared" si="337"/>
        <v>6</v>
      </c>
      <c r="D7280" s="136">
        <f t="shared" si="339"/>
        <v>24</v>
      </c>
      <c r="E7280" s="136">
        <f t="shared" si="338"/>
        <v>13</v>
      </c>
      <c r="F7280" s="128" t="s">
        <v>24</v>
      </c>
      <c r="G7280" s="128" t="str">
        <f>VLOOKUP(source[[#This Row],[lending_product_transform]],[3]Mapping!$B$4:$C$37,2,0)</f>
        <v>[Cake] - Cashloan</v>
      </c>
      <c r="H7280" s="128" t="str">
        <f>VLOOKUP(source[[#This Row],[lending_product_transform]],[3]Mapping!$B$3:$D$37,3,0)</f>
        <v>cashloan</v>
      </c>
      <c r="I7280" s="135">
        <v>9867440000</v>
      </c>
    </row>
    <row r="7281" spans="1:9" x14ac:dyDescent="0.2">
      <c r="A7281" s="134">
        <v>45821</v>
      </c>
      <c r="B7281" s="135">
        <f>YEAR(source[[#This Row],[report_date]])</f>
        <v>2025</v>
      </c>
      <c r="C7281" s="128">
        <f t="shared" si="337"/>
        <v>6</v>
      </c>
      <c r="D7281" s="136">
        <f t="shared" si="339"/>
        <v>24</v>
      </c>
      <c r="E7281" s="136">
        <f t="shared" si="338"/>
        <v>13</v>
      </c>
      <c r="F7281" s="128" t="s">
        <v>24</v>
      </c>
      <c r="G7281" s="128" t="str">
        <f>VLOOKUP(source[[#This Row],[lending_product_transform]],[3]Mapping!$B$4:$C$37,2,0)</f>
        <v>[Cake] - Cashloan</v>
      </c>
      <c r="H7281" s="128" t="str">
        <f>VLOOKUP(source[[#This Row],[lending_product_transform]],[3]Mapping!$B$3:$D$37,3,0)</f>
        <v>cashloan</v>
      </c>
      <c r="I7281" s="135">
        <v>1432000</v>
      </c>
    </row>
    <row r="7282" spans="1:9" x14ac:dyDescent="0.2">
      <c r="A7282" s="134">
        <v>45821</v>
      </c>
      <c r="B7282" s="135">
        <f>YEAR(source[[#This Row],[report_date]])</f>
        <v>2025</v>
      </c>
      <c r="C7282" s="128">
        <f t="shared" si="337"/>
        <v>6</v>
      </c>
      <c r="D7282" s="136">
        <f t="shared" si="339"/>
        <v>24</v>
      </c>
      <c r="E7282" s="136">
        <f t="shared" si="338"/>
        <v>13</v>
      </c>
      <c r="F7282" s="128" t="s">
        <v>24</v>
      </c>
      <c r="G7282" s="128" t="str">
        <f>VLOOKUP(source[[#This Row],[lending_product_transform]],[3]Mapping!$B$4:$C$37,2,0)</f>
        <v>[Cake] - Cashloan</v>
      </c>
      <c r="H7282" s="128" t="str">
        <f>VLOOKUP(source[[#This Row],[lending_product_transform]],[3]Mapping!$B$3:$D$37,3,0)</f>
        <v>cashloan</v>
      </c>
      <c r="I7282" s="135">
        <v>6144336000</v>
      </c>
    </row>
    <row r="7283" spans="1:9" x14ac:dyDescent="0.2">
      <c r="A7283" s="134">
        <v>45821</v>
      </c>
      <c r="B7283" s="135">
        <f>YEAR(source[[#This Row],[report_date]])</f>
        <v>2025</v>
      </c>
      <c r="C7283" s="128">
        <f t="shared" si="337"/>
        <v>6</v>
      </c>
      <c r="D7283" s="136">
        <f t="shared" si="339"/>
        <v>24</v>
      </c>
      <c r="E7283" s="136">
        <f t="shared" si="338"/>
        <v>13</v>
      </c>
      <c r="F7283" s="128" t="s">
        <v>24</v>
      </c>
      <c r="G7283" s="128" t="str">
        <f>VLOOKUP(source[[#This Row],[lending_product_transform]],[3]Mapping!$B$4:$C$37,2,0)</f>
        <v>[Cake] - Cashloan</v>
      </c>
      <c r="H7283" s="128" t="str">
        <f>VLOOKUP(source[[#This Row],[lending_product_transform]],[3]Mapping!$B$3:$D$37,3,0)</f>
        <v>cashloan</v>
      </c>
      <c r="I7283" s="135">
        <v>9311220000</v>
      </c>
    </row>
    <row r="7284" spans="1:9" x14ac:dyDescent="0.2">
      <c r="A7284" s="134">
        <v>45821</v>
      </c>
      <c r="B7284" s="135">
        <f>YEAR(source[[#This Row],[report_date]])</f>
        <v>2025</v>
      </c>
      <c r="C7284" s="128">
        <f t="shared" si="337"/>
        <v>6</v>
      </c>
      <c r="D7284" s="136">
        <f t="shared" si="339"/>
        <v>24</v>
      </c>
      <c r="E7284" s="136">
        <f t="shared" si="338"/>
        <v>13</v>
      </c>
      <c r="F7284" s="128" t="s">
        <v>24</v>
      </c>
      <c r="G7284" s="128" t="str">
        <f>VLOOKUP(source[[#This Row],[lending_product_transform]],[3]Mapping!$B$4:$C$37,2,0)</f>
        <v>[Cake] - Cashloan</v>
      </c>
      <c r="H7284" s="128" t="str">
        <f>VLOOKUP(source[[#This Row],[lending_product_transform]],[3]Mapping!$B$3:$D$37,3,0)</f>
        <v>cashloan</v>
      </c>
      <c r="I7284" s="135">
        <v>3591531184</v>
      </c>
    </row>
    <row r="7285" spans="1:9" x14ac:dyDescent="0.2">
      <c r="A7285" s="134">
        <v>45821</v>
      </c>
      <c r="B7285" s="135">
        <f>YEAR(source[[#This Row],[report_date]])</f>
        <v>2025</v>
      </c>
      <c r="C7285" s="128">
        <f t="shared" si="337"/>
        <v>6</v>
      </c>
      <c r="D7285" s="136">
        <f t="shared" si="339"/>
        <v>24</v>
      </c>
      <c r="E7285" s="136">
        <f t="shared" si="338"/>
        <v>13</v>
      </c>
      <c r="F7285" s="128" t="s">
        <v>24</v>
      </c>
      <c r="G7285" s="128" t="str">
        <f>VLOOKUP(source[[#This Row],[lending_product_transform]],[3]Mapping!$B$4:$C$37,2,0)</f>
        <v>[Cake] - Cashloan</v>
      </c>
      <c r="H7285" s="128" t="str">
        <f>VLOOKUP(source[[#This Row],[lending_product_transform]],[3]Mapping!$B$3:$D$37,3,0)</f>
        <v>cashloan</v>
      </c>
      <c r="I7285" s="135">
        <v>371344668</v>
      </c>
    </row>
    <row r="7286" spans="1:9" x14ac:dyDescent="0.2">
      <c r="A7286" s="134">
        <v>45821</v>
      </c>
      <c r="B7286" s="135">
        <f>YEAR(source[[#This Row],[report_date]])</f>
        <v>2025</v>
      </c>
      <c r="C7286" s="128">
        <f t="shared" ref="C7286:C7349" si="340">MONTH(A7286)</f>
        <v>6</v>
      </c>
      <c r="D7286" s="136">
        <f t="shared" si="339"/>
        <v>24</v>
      </c>
      <c r="E7286" s="136">
        <f t="shared" ref="E7286:E7349" si="341">DAY(A7286)</f>
        <v>13</v>
      </c>
      <c r="F7286" s="128" t="s">
        <v>24</v>
      </c>
      <c r="G7286" s="128" t="str">
        <f>VLOOKUP(source[[#This Row],[lending_product_transform]],[3]Mapping!$B$4:$C$37,2,0)</f>
        <v>[Cake] - Cashloan</v>
      </c>
      <c r="H7286" s="128" t="str">
        <f>VLOOKUP(source[[#This Row],[lending_product_transform]],[3]Mapping!$B$3:$D$37,3,0)</f>
        <v>cashloan</v>
      </c>
      <c r="I7286" s="135">
        <v>21050000</v>
      </c>
    </row>
    <row r="7287" spans="1:9" x14ac:dyDescent="0.2">
      <c r="A7287" s="134">
        <v>45821</v>
      </c>
      <c r="B7287" s="135">
        <f>YEAR(source[[#This Row],[report_date]])</f>
        <v>2025</v>
      </c>
      <c r="C7287" s="128">
        <f t="shared" si="340"/>
        <v>6</v>
      </c>
      <c r="D7287" s="136">
        <f t="shared" si="339"/>
        <v>24</v>
      </c>
      <c r="E7287" s="136">
        <f t="shared" si="341"/>
        <v>13</v>
      </c>
      <c r="F7287" s="128" t="s">
        <v>24</v>
      </c>
      <c r="G7287" s="128" t="str">
        <f>VLOOKUP(source[[#This Row],[lending_product_transform]],[3]Mapping!$B$4:$C$37,2,0)</f>
        <v>[Cake] - Cashloan</v>
      </c>
      <c r="H7287" s="128" t="str">
        <f>VLOOKUP(source[[#This Row],[lending_product_transform]],[3]Mapping!$B$3:$D$37,3,0)</f>
        <v>cashloan</v>
      </c>
      <c r="I7287" s="135">
        <v>12600000</v>
      </c>
    </row>
    <row r="7288" spans="1:9" x14ac:dyDescent="0.2">
      <c r="A7288" s="134">
        <v>45821</v>
      </c>
      <c r="B7288" s="135">
        <f>YEAR(source[[#This Row],[report_date]])</f>
        <v>2025</v>
      </c>
      <c r="C7288" s="128">
        <f t="shared" si="340"/>
        <v>6</v>
      </c>
      <c r="D7288" s="136">
        <f t="shared" si="339"/>
        <v>24</v>
      </c>
      <c r="E7288" s="136">
        <f t="shared" si="341"/>
        <v>13</v>
      </c>
      <c r="F7288" s="128" t="s">
        <v>24</v>
      </c>
      <c r="G7288" s="128" t="str">
        <f>VLOOKUP(source[[#This Row],[lending_product_transform]],[3]Mapping!$B$4:$C$37,2,0)</f>
        <v>[Cake] - Cashloan</v>
      </c>
      <c r="H7288" s="128" t="str">
        <f>VLOOKUP(source[[#This Row],[lending_product_transform]],[3]Mapping!$B$3:$D$37,3,0)</f>
        <v>cashloan</v>
      </c>
      <c r="I7288" s="135">
        <v>20705883</v>
      </c>
    </row>
    <row r="7289" spans="1:9" x14ac:dyDescent="0.2">
      <c r="A7289" s="134">
        <v>45821</v>
      </c>
      <c r="B7289" s="135">
        <f>YEAR(source[[#This Row],[report_date]])</f>
        <v>2025</v>
      </c>
      <c r="C7289" s="128">
        <f t="shared" si="340"/>
        <v>6</v>
      </c>
      <c r="D7289" s="136">
        <f t="shared" si="339"/>
        <v>24</v>
      </c>
      <c r="E7289" s="136">
        <f t="shared" si="341"/>
        <v>13</v>
      </c>
      <c r="F7289" s="128" t="s">
        <v>24</v>
      </c>
      <c r="G7289" s="128" t="str">
        <f>VLOOKUP(source[[#This Row],[lending_product_transform]],[3]Mapping!$B$4:$C$37,2,0)</f>
        <v>[Cake] - Cashloan</v>
      </c>
      <c r="H7289" s="128" t="str">
        <f>VLOOKUP(source[[#This Row],[lending_product_transform]],[3]Mapping!$B$3:$D$37,3,0)</f>
        <v>cashloan</v>
      </c>
      <c r="I7289" s="135">
        <v>0</v>
      </c>
    </row>
    <row r="7290" spans="1:9" x14ac:dyDescent="0.2">
      <c r="A7290" s="134">
        <v>45821</v>
      </c>
      <c r="B7290" s="135">
        <f>YEAR(source[[#This Row],[report_date]])</f>
        <v>2025</v>
      </c>
      <c r="C7290" s="128">
        <f t="shared" si="340"/>
        <v>6</v>
      </c>
      <c r="D7290" s="136">
        <f t="shared" si="339"/>
        <v>24</v>
      </c>
      <c r="E7290" s="136">
        <f t="shared" si="341"/>
        <v>13</v>
      </c>
      <c r="F7290" s="128" t="s">
        <v>24</v>
      </c>
      <c r="G7290" s="128" t="str">
        <f>VLOOKUP(source[[#This Row],[lending_product_transform]],[3]Mapping!$B$4:$C$37,2,0)</f>
        <v>[Cake] - Cashloan</v>
      </c>
      <c r="H7290" s="128" t="str">
        <f>VLOOKUP(source[[#This Row],[lending_product_transform]],[3]Mapping!$B$3:$D$37,3,0)</f>
        <v>cashloan</v>
      </c>
      <c r="I7290" s="135">
        <v>0</v>
      </c>
    </row>
    <row r="7291" spans="1:9" x14ac:dyDescent="0.2">
      <c r="A7291" s="134">
        <v>45821</v>
      </c>
      <c r="B7291" s="135">
        <f>YEAR(source[[#This Row],[report_date]])</f>
        <v>2025</v>
      </c>
      <c r="C7291" s="128">
        <f t="shared" si="340"/>
        <v>6</v>
      </c>
      <c r="D7291" s="136">
        <f t="shared" si="339"/>
        <v>24</v>
      </c>
      <c r="E7291" s="136">
        <f t="shared" si="341"/>
        <v>13</v>
      </c>
      <c r="F7291" s="128" t="s">
        <v>24</v>
      </c>
      <c r="G7291" s="128" t="str">
        <f>VLOOKUP(source[[#This Row],[lending_product_transform]],[3]Mapping!$B$4:$C$37,2,0)</f>
        <v>[Cake] - Cashloan</v>
      </c>
      <c r="H7291" s="128" t="str">
        <f>VLOOKUP(source[[#This Row],[lending_product_transform]],[3]Mapping!$B$3:$D$37,3,0)</f>
        <v>cashloan</v>
      </c>
      <c r="I7291" s="135">
        <v>0</v>
      </c>
    </row>
    <row r="7292" spans="1:9" x14ac:dyDescent="0.2">
      <c r="A7292" s="134">
        <v>45821</v>
      </c>
      <c r="B7292" s="135">
        <f>YEAR(source[[#This Row],[report_date]])</f>
        <v>2025</v>
      </c>
      <c r="C7292" s="128">
        <f t="shared" si="340"/>
        <v>6</v>
      </c>
      <c r="D7292" s="136">
        <f t="shared" si="339"/>
        <v>24</v>
      </c>
      <c r="E7292" s="136">
        <f t="shared" si="341"/>
        <v>13</v>
      </c>
      <c r="F7292" s="128" t="s">
        <v>24</v>
      </c>
      <c r="G7292" s="128" t="str">
        <f>VLOOKUP(source[[#This Row],[lending_product_transform]],[3]Mapping!$B$4:$C$37,2,0)</f>
        <v>[Cake] - Cashloan</v>
      </c>
      <c r="H7292" s="128" t="str">
        <f>VLOOKUP(source[[#This Row],[lending_product_transform]],[3]Mapping!$B$3:$D$37,3,0)</f>
        <v>cashloan</v>
      </c>
      <c r="I7292" s="135">
        <v>0</v>
      </c>
    </row>
    <row r="7293" spans="1:9" x14ac:dyDescent="0.2">
      <c r="A7293" s="134">
        <v>45821</v>
      </c>
      <c r="B7293" s="135">
        <f>YEAR(source[[#This Row],[report_date]])</f>
        <v>2025</v>
      </c>
      <c r="C7293" s="128">
        <f t="shared" si="340"/>
        <v>6</v>
      </c>
      <c r="D7293" s="136">
        <f t="shared" si="339"/>
        <v>24</v>
      </c>
      <c r="E7293" s="136">
        <f t="shared" si="341"/>
        <v>13</v>
      </c>
      <c r="F7293" s="128" t="s">
        <v>24</v>
      </c>
      <c r="G7293" s="128" t="str">
        <f>VLOOKUP(source[[#This Row],[lending_product_transform]],[3]Mapping!$B$4:$C$37,2,0)</f>
        <v>[Cake] - Cashloan</v>
      </c>
      <c r="H7293" s="128" t="str">
        <f>VLOOKUP(source[[#This Row],[lending_product_transform]],[3]Mapping!$B$3:$D$37,3,0)</f>
        <v>cashloan</v>
      </c>
      <c r="I7293" s="135">
        <v>1471960000</v>
      </c>
    </row>
    <row r="7294" spans="1:9" x14ac:dyDescent="0.2">
      <c r="A7294" s="134">
        <v>45821</v>
      </c>
      <c r="B7294" s="135">
        <f>YEAR(source[[#This Row],[report_date]])</f>
        <v>2025</v>
      </c>
      <c r="C7294" s="128">
        <f t="shared" si="340"/>
        <v>6</v>
      </c>
      <c r="D7294" s="136">
        <f t="shared" si="339"/>
        <v>24</v>
      </c>
      <c r="E7294" s="136">
        <f t="shared" si="341"/>
        <v>13</v>
      </c>
      <c r="F7294" s="128" t="s">
        <v>24</v>
      </c>
      <c r="G7294" s="128" t="str">
        <f>VLOOKUP(source[[#This Row],[lending_product_transform]],[3]Mapping!$B$4:$C$37,2,0)</f>
        <v>[Cake] - Cashloan</v>
      </c>
      <c r="H7294" s="128" t="str">
        <f>VLOOKUP(source[[#This Row],[lending_product_transform]],[3]Mapping!$B$3:$D$37,3,0)</f>
        <v>cashloan</v>
      </c>
      <c r="I7294" s="135">
        <v>416530000</v>
      </c>
    </row>
    <row r="7295" spans="1:9" x14ac:dyDescent="0.2">
      <c r="A7295" s="134">
        <v>45821</v>
      </c>
      <c r="B7295" s="135">
        <f>YEAR(source[[#This Row],[report_date]])</f>
        <v>2025</v>
      </c>
      <c r="C7295" s="128">
        <f t="shared" si="340"/>
        <v>6</v>
      </c>
      <c r="D7295" s="136">
        <f t="shared" si="339"/>
        <v>24</v>
      </c>
      <c r="E7295" s="136">
        <f t="shared" si="341"/>
        <v>13</v>
      </c>
      <c r="F7295" s="128" t="s">
        <v>24</v>
      </c>
      <c r="G7295" s="128" t="str">
        <f>VLOOKUP(source[[#This Row],[lending_product_transform]],[3]Mapping!$B$4:$C$37,2,0)</f>
        <v>[Cake] - Cashloan</v>
      </c>
      <c r="H7295" s="128" t="str">
        <f>VLOOKUP(source[[#This Row],[lending_product_transform]],[3]Mapping!$B$3:$D$37,3,0)</f>
        <v>cashloan</v>
      </c>
      <c r="I7295" s="135">
        <v>1295850000</v>
      </c>
    </row>
    <row r="7296" spans="1:9" x14ac:dyDescent="0.2">
      <c r="A7296" s="134">
        <v>45821</v>
      </c>
      <c r="B7296" s="135">
        <f>YEAR(source[[#This Row],[report_date]])</f>
        <v>2025</v>
      </c>
      <c r="C7296" s="128">
        <f t="shared" si="340"/>
        <v>6</v>
      </c>
      <c r="D7296" s="136">
        <f t="shared" si="339"/>
        <v>24</v>
      </c>
      <c r="E7296" s="136">
        <f t="shared" si="341"/>
        <v>13</v>
      </c>
      <c r="F7296" s="128" t="s">
        <v>24</v>
      </c>
      <c r="G7296" s="128" t="str">
        <f>VLOOKUP(source[[#This Row],[lending_product_transform]],[3]Mapping!$B$4:$C$37,2,0)</f>
        <v>[Cake] - Cashloan</v>
      </c>
      <c r="H7296" s="128" t="str">
        <f>VLOOKUP(source[[#This Row],[lending_product_transform]],[3]Mapping!$B$3:$D$37,3,0)</f>
        <v>cashloan</v>
      </c>
      <c r="I7296" s="135">
        <v>223430809</v>
      </c>
    </row>
    <row r="7297" spans="1:9" x14ac:dyDescent="0.2">
      <c r="A7297" s="134">
        <v>45821</v>
      </c>
      <c r="B7297" s="135">
        <f>YEAR(source[[#This Row],[report_date]])</f>
        <v>2025</v>
      </c>
      <c r="C7297" s="128">
        <f t="shared" si="340"/>
        <v>6</v>
      </c>
      <c r="D7297" s="136">
        <f t="shared" si="339"/>
        <v>24</v>
      </c>
      <c r="E7297" s="136">
        <f t="shared" si="341"/>
        <v>13</v>
      </c>
      <c r="F7297" s="128" t="s">
        <v>24</v>
      </c>
      <c r="G7297" s="128" t="str">
        <f>VLOOKUP(source[[#This Row],[lending_product_transform]],[3]Mapping!$B$4:$C$37,2,0)</f>
        <v>[Cake] - Cashloan</v>
      </c>
      <c r="H7297" s="128" t="str">
        <f>VLOOKUP(source[[#This Row],[lending_product_transform]],[3]Mapping!$B$3:$D$37,3,0)</f>
        <v>cashloan</v>
      </c>
      <c r="I7297" s="135">
        <v>456654391</v>
      </c>
    </row>
    <row r="7298" spans="1:9" x14ac:dyDescent="0.2">
      <c r="A7298" s="134">
        <v>45822</v>
      </c>
      <c r="B7298" s="135">
        <f>YEAR(source[[#This Row],[report_date]])</f>
        <v>2025</v>
      </c>
      <c r="C7298" s="128">
        <f t="shared" si="340"/>
        <v>6</v>
      </c>
      <c r="D7298" s="136">
        <f t="shared" si="339"/>
        <v>24</v>
      </c>
      <c r="E7298" s="136">
        <f t="shared" si="341"/>
        <v>14</v>
      </c>
      <c r="F7298" s="128" t="s">
        <v>24</v>
      </c>
      <c r="G7298" s="128" t="str">
        <f>VLOOKUP(source[[#This Row],[lending_product_transform]],[3]Mapping!$B$4:$C$37,2,0)</f>
        <v>[Cake] - Cashloan</v>
      </c>
      <c r="H7298" s="128" t="str">
        <f>VLOOKUP(source[[#This Row],[lending_product_transform]],[3]Mapping!$B$3:$D$37,3,0)</f>
        <v>cashloan</v>
      </c>
      <c r="I7298" s="135">
        <v>14756340</v>
      </c>
    </row>
    <row r="7299" spans="1:9" x14ac:dyDescent="0.2">
      <c r="A7299" s="134">
        <v>45822</v>
      </c>
      <c r="B7299" s="135">
        <f>YEAR(source[[#This Row],[report_date]])</f>
        <v>2025</v>
      </c>
      <c r="C7299" s="128">
        <f t="shared" si="340"/>
        <v>6</v>
      </c>
      <c r="D7299" s="136">
        <f t="shared" ref="D7299:D7362" si="342">WEEKNUM(A7299,2)</f>
        <v>24</v>
      </c>
      <c r="E7299" s="136">
        <f t="shared" si="341"/>
        <v>14</v>
      </c>
      <c r="F7299" s="128" t="s">
        <v>24</v>
      </c>
      <c r="G7299" s="128" t="str">
        <f>VLOOKUP(source[[#This Row],[lending_product_transform]],[3]Mapping!$B$4:$C$37,2,0)</f>
        <v>[Cake] - Cashloan</v>
      </c>
      <c r="H7299" s="128" t="str">
        <f>VLOOKUP(source[[#This Row],[lending_product_transform]],[3]Mapping!$B$3:$D$37,3,0)</f>
        <v>cashloan</v>
      </c>
      <c r="I7299" s="135">
        <v>14000000</v>
      </c>
    </row>
    <row r="7300" spans="1:9" x14ac:dyDescent="0.2">
      <c r="A7300" s="134">
        <v>45822</v>
      </c>
      <c r="B7300" s="135">
        <f>YEAR(source[[#This Row],[report_date]])</f>
        <v>2025</v>
      </c>
      <c r="C7300" s="128">
        <f t="shared" si="340"/>
        <v>6</v>
      </c>
      <c r="D7300" s="136">
        <f t="shared" si="342"/>
        <v>24</v>
      </c>
      <c r="E7300" s="136">
        <f t="shared" si="341"/>
        <v>14</v>
      </c>
      <c r="F7300" s="128" t="s">
        <v>24</v>
      </c>
      <c r="G7300" s="128" t="str">
        <f>VLOOKUP(source[[#This Row],[lending_product_transform]],[3]Mapping!$B$4:$C$37,2,0)</f>
        <v>[Cake] - Cashloan</v>
      </c>
      <c r="H7300" s="128" t="str">
        <f>VLOOKUP(source[[#This Row],[lending_product_transform]],[3]Mapping!$B$3:$D$37,3,0)</f>
        <v>cashloan</v>
      </c>
      <c r="I7300" s="135">
        <v>0</v>
      </c>
    </row>
    <row r="7301" spans="1:9" x14ac:dyDescent="0.2">
      <c r="A7301" s="134">
        <v>45822</v>
      </c>
      <c r="B7301" s="135">
        <f>YEAR(source[[#This Row],[report_date]])</f>
        <v>2025</v>
      </c>
      <c r="C7301" s="128">
        <f t="shared" si="340"/>
        <v>6</v>
      </c>
      <c r="D7301" s="136">
        <f t="shared" si="342"/>
        <v>24</v>
      </c>
      <c r="E7301" s="136">
        <f t="shared" si="341"/>
        <v>14</v>
      </c>
      <c r="F7301" s="128" t="s">
        <v>24</v>
      </c>
      <c r="G7301" s="128" t="str">
        <f>VLOOKUP(source[[#This Row],[lending_product_transform]],[3]Mapping!$B$4:$C$37,2,0)</f>
        <v>[Cake] - Cashloan</v>
      </c>
      <c r="H7301" s="128" t="str">
        <f>VLOOKUP(source[[#This Row],[lending_product_transform]],[3]Mapping!$B$3:$D$37,3,0)</f>
        <v>cashloan</v>
      </c>
      <c r="I7301" s="135">
        <v>1475870000</v>
      </c>
    </row>
    <row r="7302" spans="1:9" x14ac:dyDescent="0.2">
      <c r="A7302" s="134">
        <v>45822</v>
      </c>
      <c r="B7302" s="135">
        <f>YEAR(source[[#This Row],[report_date]])</f>
        <v>2025</v>
      </c>
      <c r="C7302" s="128">
        <f t="shared" si="340"/>
        <v>6</v>
      </c>
      <c r="D7302" s="136">
        <f t="shared" si="342"/>
        <v>24</v>
      </c>
      <c r="E7302" s="136">
        <f t="shared" si="341"/>
        <v>14</v>
      </c>
      <c r="F7302" s="128" t="s">
        <v>24</v>
      </c>
      <c r="G7302" s="128" t="str">
        <f>VLOOKUP(source[[#This Row],[lending_product_transform]],[3]Mapping!$B$4:$C$37,2,0)</f>
        <v>[Cake] - Cashloan</v>
      </c>
      <c r="H7302" s="128" t="str">
        <f>VLOOKUP(source[[#This Row],[lending_product_transform]],[3]Mapping!$B$3:$D$37,3,0)</f>
        <v>cashloan</v>
      </c>
      <c r="I7302" s="135">
        <v>550000</v>
      </c>
    </row>
    <row r="7303" spans="1:9" x14ac:dyDescent="0.2">
      <c r="A7303" s="134">
        <v>45822</v>
      </c>
      <c r="B7303" s="135">
        <f>YEAR(source[[#This Row],[report_date]])</f>
        <v>2025</v>
      </c>
      <c r="C7303" s="128">
        <f t="shared" si="340"/>
        <v>6</v>
      </c>
      <c r="D7303" s="136">
        <f t="shared" si="342"/>
        <v>24</v>
      </c>
      <c r="E7303" s="136">
        <f t="shared" si="341"/>
        <v>14</v>
      </c>
      <c r="F7303" s="128" t="s">
        <v>24</v>
      </c>
      <c r="G7303" s="128" t="str">
        <f>VLOOKUP(source[[#This Row],[lending_product_transform]],[3]Mapping!$B$4:$C$37,2,0)</f>
        <v>[Cake] - Cashloan</v>
      </c>
      <c r="H7303" s="128" t="str">
        <f>VLOOKUP(source[[#This Row],[lending_product_transform]],[3]Mapping!$B$3:$D$37,3,0)</f>
        <v>cashloan</v>
      </c>
      <c r="I7303" s="135">
        <v>0</v>
      </c>
    </row>
    <row r="7304" spans="1:9" x14ac:dyDescent="0.2">
      <c r="A7304" s="134">
        <v>45822</v>
      </c>
      <c r="B7304" s="135">
        <f>YEAR(source[[#This Row],[report_date]])</f>
        <v>2025</v>
      </c>
      <c r="C7304" s="128">
        <f t="shared" si="340"/>
        <v>6</v>
      </c>
      <c r="D7304" s="136">
        <f t="shared" si="342"/>
        <v>24</v>
      </c>
      <c r="E7304" s="136">
        <f t="shared" si="341"/>
        <v>14</v>
      </c>
      <c r="F7304" s="128" t="s">
        <v>24</v>
      </c>
      <c r="G7304" s="128" t="str">
        <f>VLOOKUP(source[[#This Row],[lending_product_transform]],[3]Mapping!$B$4:$C$37,2,0)</f>
        <v>[Cake] - Cashloan</v>
      </c>
      <c r="H7304" s="128" t="str">
        <f>VLOOKUP(source[[#This Row],[lending_product_transform]],[3]Mapping!$B$3:$D$37,3,0)</f>
        <v>cashloan</v>
      </c>
      <c r="I7304" s="135">
        <v>0</v>
      </c>
    </row>
    <row r="7305" spans="1:9" x14ac:dyDescent="0.2">
      <c r="A7305" s="134">
        <v>45822</v>
      </c>
      <c r="B7305" s="135">
        <f>YEAR(source[[#This Row],[report_date]])</f>
        <v>2025</v>
      </c>
      <c r="C7305" s="128">
        <f t="shared" si="340"/>
        <v>6</v>
      </c>
      <c r="D7305" s="136">
        <f t="shared" si="342"/>
        <v>24</v>
      </c>
      <c r="E7305" s="136">
        <f t="shared" si="341"/>
        <v>14</v>
      </c>
      <c r="F7305" s="128" t="s">
        <v>24</v>
      </c>
      <c r="G7305" s="128" t="str">
        <f>VLOOKUP(source[[#This Row],[lending_product_transform]],[3]Mapping!$B$4:$C$37,2,0)</f>
        <v>[Cake] - Cashloan</v>
      </c>
      <c r="H7305" s="128" t="str">
        <f>VLOOKUP(source[[#This Row],[lending_product_transform]],[3]Mapping!$B$3:$D$37,3,0)</f>
        <v>cashloan</v>
      </c>
      <c r="I7305" s="135">
        <v>0</v>
      </c>
    </row>
    <row r="7306" spans="1:9" x14ac:dyDescent="0.2">
      <c r="A7306" s="134">
        <v>45822</v>
      </c>
      <c r="B7306" s="135">
        <f>YEAR(source[[#This Row],[report_date]])</f>
        <v>2025</v>
      </c>
      <c r="C7306" s="128">
        <f t="shared" si="340"/>
        <v>6</v>
      </c>
      <c r="D7306" s="136">
        <f t="shared" si="342"/>
        <v>24</v>
      </c>
      <c r="E7306" s="136">
        <f t="shared" si="341"/>
        <v>14</v>
      </c>
      <c r="F7306" s="128" t="s">
        <v>24</v>
      </c>
      <c r="G7306" s="128" t="str">
        <f>VLOOKUP(source[[#This Row],[lending_product_transform]],[3]Mapping!$B$4:$C$37,2,0)</f>
        <v>[Cake] - Cashloan</v>
      </c>
      <c r="H7306" s="128" t="str">
        <f>VLOOKUP(source[[#This Row],[lending_product_transform]],[3]Mapping!$B$3:$D$37,3,0)</f>
        <v>cashloan</v>
      </c>
      <c r="I7306" s="135">
        <v>21000000</v>
      </c>
    </row>
    <row r="7307" spans="1:9" x14ac:dyDescent="0.2">
      <c r="A7307" s="134">
        <v>45822</v>
      </c>
      <c r="B7307" s="135">
        <f>YEAR(source[[#This Row],[report_date]])</f>
        <v>2025</v>
      </c>
      <c r="C7307" s="128">
        <f t="shared" si="340"/>
        <v>6</v>
      </c>
      <c r="D7307" s="136">
        <f t="shared" si="342"/>
        <v>24</v>
      </c>
      <c r="E7307" s="136">
        <f t="shared" si="341"/>
        <v>14</v>
      </c>
      <c r="F7307" s="128" t="s">
        <v>24</v>
      </c>
      <c r="G7307" s="128" t="str">
        <f>VLOOKUP(source[[#This Row],[lending_product_transform]],[3]Mapping!$B$4:$C$37,2,0)</f>
        <v>[Cake] - Cashloan</v>
      </c>
      <c r="H7307" s="128" t="str">
        <f>VLOOKUP(source[[#This Row],[lending_product_transform]],[3]Mapping!$B$3:$D$37,3,0)</f>
        <v>cashloan</v>
      </c>
      <c r="I7307" s="135">
        <v>0</v>
      </c>
    </row>
    <row r="7308" spans="1:9" x14ac:dyDescent="0.2">
      <c r="A7308" s="134">
        <v>45822</v>
      </c>
      <c r="B7308" s="135">
        <f>YEAR(source[[#This Row],[report_date]])</f>
        <v>2025</v>
      </c>
      <c r="C7308" s="128">
        <f t="shared" si="340"/>
        <v>6</v>
      </c>
      <c r="D7308" s="136">
        <f t="shared" si="342"/>
        <v>24</v>
      </c>
      <c r="E7308" s="136">
        <f t="shared" si="341"/>
        <v>14</v>
      </c>
      <c r="F7308" s="128" t="s">
        <v>24</v>
      </c>
      <c r="G7308" s="128" t="str">
        <f>VLOOKUP(source[[#This Row],[lending_product_transform]],[3]Mapping!$B$4:$C$37,2,0)</f>
        <v>[Cake] - Cashloan</v>
      </c>
      <c r="H7308" s="128" t="str">
        <f>VLOOKUP(source[[#This Row],[lending_product_transform]],[3]Mapping!$B$3:$D$37,3,0)</f>
        <v>cashloan</v>
      </c>
      <c r="I7308" s="135">
        <v>533390000</v>
      </c>
    </row>
    <row r="7309" spans="1:9" x14ac:dyDescent="0.2">
      <c r="A7309" s="134">
        <v>45822</v>
      </c>
      <c r="B7309" s="135">
        <f>YEAR(source[[#This Row],[report_date]])</f>
        <v>2025</v>
      </c>
      <c r="C7309" s="128">
        <f t="shared" si="340"/>
        <v>6</v>
      </c>
      <c r="D7309" s="136">
        <f t="shared" si="342"/>
        <v>24</v>
      </c>
      <c r="E7309" s="136">
        <f t="shared" si="341"/>
        <v>14</v>
      </c>
      <c r="F7309" s="128" t="s">
        <v>24</v>
      </c>
      <c r="G7309" s="128" t="str">
        <f>VLOOKUP(source[[#This Row],[lending_product_transform]],[3]Mapping!$B$4:$C$37,2,0)</f>
        <v>[Cake] - Cashloan</v>
      </c>
      <c r="H7309" s="128" t="str">
        <f>VLOOKUP(source[[#This Row],[lending_product_transform]],[3]Mapping!$B$3:$D$37,3,0)</f>
        <v>cashloan</v>
      </c>
      <c r="I7309" s="135">
        <v>1474440000</v>
      </c>
    </row>
    <row r="7310" spans="1:9" x14ac:dyDescent="0.2">
      <c r="A7310" s="134">
        <v>45822</v>
      </c>
      <c r="B7310" s="135">
        <f>YEAR(source[[#This Row],[report_date]])</f>
        <v>2025</v>
      </c>
      <c r="C7310" s="128">
        <f t="shared" si="340"/>
        <v>6</v>
      </c>
      <c r="D7310" s="136">
        <f t="shared" si="342"/>
        <v>24</v>
      </c>
      <c r="E7310" s="136">
        <f t="shared" si="341"/>
        <v>14</v>
      </c>
      <c r="F7310" s="128" t="s">
        <v>24</v>
      </c>
      <c r="G7310" s="128" t="str">
        <f>VLOOKUP(source[[#This Row],[lending_product_transform]],[3]Mapping!$B$4:$C$37,2,0)</f>
        <v>[Cake] - Cashloan</v>
      </c>
      <c r="H7310" s="128" t="str">
        <f>VLOOKUP(source[[#This Row],[lending_product_transform]],[3]Mapping!$B$3:$D$37,3,0)</f>
        <v>cashloan</v>
      </c>
      <c r="I7310" s="135">
        <v>231030187</v>
      </c>
    </row>
    <row r="7311" spans="1:9" x14ac:dyDescent="0.2">
      <c r="A7311" s="134">
        <v>45822</v>
      </c>
      <c r="B7311" s="135">
        <f>YEAR(source[[#This Row],[report_date]])</f>
        <v>2025</v>
      </c>
      <c r="C7311" s="128">
        <f t="shared" si="340"/>
        <v>6</v>
      </c>
      <c r="D7311" s="136">
        <f t="shared" si="342"/>
        <v>24</v>
      </c>
      <c r="E7311" s="136">
        <f t="shared" si="341"/>
        <v>14</v>
      </c>
      <c r="F7311" s="128" t="s">
        <v>24</v>
      </c>
      <c r="G7311" s="128" t="str">
        <f>VLOOKUP(source[[#This Row],[lending_product_transform]],[3]Mapping!$B$4:$C$37,2,0)</f>
        <v>[Cake] - Cashloan</v>
      </c>
      <c r="H7311" s="128" t="str">
        <f>VLOOKUP(source[[#This Row],[lending_product_transform]],[3]Mapping!$B$3:$D$37,3,0)</f>
        <v>cashloan</v>
      </c>
      <c r="I7311" s="135">
        <v>331833930</v>
      </c>
    </row>
    <row r="7312" spans="1:9" x14ac:dyDescent="0.2">
      <c r="A7312" s="134">
        <v>45822</v>
      </c>
      <c r="B7312" s="135">
        <f>YEAR(source[[#This Row],[report_date]])</f>
        <v>2025</v>
      </c>
      <c r="C7312" s="128">
        <f t="shared" si="340"/>
        <v>6</v>
      </c>
      <c r="D7312" s="136">
        <f t="shared" si="342"/>
        <v>24</v>
      </c>
      <c r="E7312" s="136">
        <f t="shared" si="341"/>
        <v>14</v>
      </c>
      <c r="F7312" s="128" t="s">
        <v>24</v>
      </c>
      <c r="G7312" s="128" t="str">
        <f>VLOOKUP(source[[#This Row],[lending_product_transform]],[3]Mapping!$B$4:$C$37,2,0)</f>
        <v>[Cake] - Cashloan</v>
      </c>
      <c r="H7312" s="128" t="str">
        <f>VLOOKUP(source[[#This Row],[lending_product_transform]],[3]Mapping!$B$3:$D$37,3,0)</f>
        <v>cashloan</v>
      </c>
      <c r="I7312" s="135">
        <v>363429023</v>
      </c>
    </row>
    <row r="7313" spans="1:9" x14ac:dyDescent="0.2">
      <c r="A7313" s="134">
        <v>45822</v>
      </c>
      <c r="B7313" s="135">
        <f>YEAR(source[[#This Row],[report_date]])</f>
        <v>2025</v>
      </c>
      <c r="C7313" s="128">
        <f t="shared" si="340"/>
        <v>6</v>
      </c>
      <c r="D7313" s="136">
        <f t="shared" si="342"/>
        <v>24</v>
      </c>
      <c r="E7313" s="136">
        <f t="shared" si="341"/>
        <v>14</v>
      </c>
      <c r="F7313" s="128" t="s">
        <v>24</v>
      </c>
      <c r="G7313" s="128" t="str">
        <f>VLOOKUP(source[[#This Row],[lending_product_transform]],[3]Mapping!$B$4:$C$37,2,0)</f>
        <v>[Cake] - Cashloan</v>
      </c>
      <c r="H7313" s="128" t="str">
        <f>VLOOKUP(source[[#This Row],[lending_product_transform]],[3]Mapping!$B$3:$D$37,3,0)</f>
        <v>cashloan</v>
      </c>
      <c r="I7313" s="135">
        <v>5773032000</v>
      </c>
    </row>
    <row r="7314" spans="1:9" x14ac:dyDescent="0.2">
      <c r="A7314" s="134">
        <v>45822</v>
      </c>
      <c r="B7314" s="135">
        <f>YEAR(source[[#This Row],[report_date]])</f>
        <v>2025</v>
      </c>
      <c r="C7314" s="128">
        <f t="shared" si="340"/>
        <v>6</v>
      </c>
      <c r="D7314" s="136">
        <f t="shared" si="342"/>
        <v>24</v>
      </c>
      <c r="E7314" s="136">
        <f t="shared" si="341"/>
        <v>14</v>
      </c>
      <c r="F7314" s="128" t="s">
        <v>24</v>
      </c>
      <c r="G7314" s="128" t="str">
        <f>VLOOKUP(source[[#This Row],[lending_product_transform]],[3]Mapping!$B$4:$C$37,2,0)</f>
        <v>[Cake] - Cashloan</v>
      </c>
      <c r="H7314" s="128" t="str">
        <f>VLOOKUP(source[[#This Row],[lending_product_transform]],[3]Mapping!$B$3:$D$37,3,0)</f>
        <v>cashloan</v>
      </c>
      <c r="I7314" s="135">
        <v>8658770000</v>
      </c>
    </row>
    <row r="7315" spans="1:9" x14ac:dyDescent="0.2">
      <c r="A7315" s="134">
        <v>45822</v>
      </c>
      <c r="B7315" s="135">
        <f>YEAR(source[[#This Row],[report_date]])</f>
        <v>2025</v>
      </c>
      <c r="C7315" s="128">
        <f t="shared" si="340"/>
        <v>6</v>
      </c>
      <c r="D7315" s="136">
        <f t="shared" si="342"/>
        <v>24</v>
      </c>
      <c r="E7315" s="136">
        <f t="shared" si="341"/>
        <v>14</v>
      </c>
      <c r="F7315" s="128" t="s">
        <v>24</v>
      </c>
      <c r="G7315" s="128" t="str">
        <f>VLOOKUP(source[[#This Row],[lending_product_transform]],[3]Mapping!$B$4:$C$37,2,0)</f>
        <v>[Cake] - Cashloan</v>
      </c>
      <c r="H7315" s="128" t="str">
        <f>VLOOKUP(source[[#This Row],[lending_product_transform]],[3]Mapping!$B$3:$D$37,3,0)</f>
        <v>cashloan</v>
      </c>
      <c r="I7315" s="135">
        <v>3129557818</v>
      </c>
    </row>
    <row r="7316" spans="1:9" x14ac:dyDescent="0.2">
      <c r="A7316" s="134">
        <v>45822</v>
      </c>
      <c r="B7316" s="135">
        <f>YEAR(source[[#This Row],[report_date]])</f>
        <v>2025</v>
      </c>
      <c r="C7316" s="128">
        <f t="shared" si="340"/>
        <v>6</v>
      </c>
      <c r="D7316" s="136">
        <f t="shared" si="342"/>
        <v>24</v>
      </c>
      <c r="E7316" s="136">
        <f t="shared" si="341"/>
        <v>14</v>
      </c>
      <c r="F7316" s="128" t="s">
        <v>24</v>
      </c>
      <c r="G7316" s="128" t="str">
        <f>VLOOKUP(source[[#This Row],[lending_product_transform]],[3]Mapping!$B$4:$C$37,2,0)</f>
        <v>[Cake] - Cashloan</v>
      </c>
      <c r="H7316" s="128" t="str">
        <f>VLOOKUP(source[[#This Row],[lending_product_transform]],[3]Mapping!$B$3:$D$37,3,0)</f>
        <v>cashloan</v>
      </c>
      <c r="I7316" s="135">
        <v>7941780000</v>
      </c>
    </row>
    <row r="7317" spans="1:9" x14ac:dyDescent="0.2">
      <c r="A7317" s="134">
        <v>45823</v>
      </c>
      <c r="B7317" s="135">
        <f>YEAR(source[[#This Row],[report_date]])</f>
        <v>2025</v>
      </c>
      <c r="C7317" s="128">
        <f t="shared" si="340"/>
        <v>6</v>
      </c>
      <c r="D7317" s="136">
        <f t="shared" si="342"/>
        <v>24</v>
      </c>
      <c r="E7317" s="136">
        <f t="shared" si="341"/>
        <v>15</v>
      </c>
      <c r="F7317" s="128" t="s">
        <v>24</v>
      </c>
      <c r="G7317" s="128" t="str">
        <f>VLOOKUP(source[[#This Row],[lending_product_transform]],[3]Mapping!$B$4:$C$37,2,0)</f>
        <v>[Cake] - Cashloan</v>
      </c>
      <c r="H7317" s="128" t="str">
        <f>VLOOKUP(source[[#This Row],[lending_product_transform]],[3]Mapping!$B$3:$D$37,3,0)</f>
        <v>cashloan</v>
      </c>
      <c r="I7317" s="135">
        <v>10500000</v>
      </c>
    </row>
    <row r="7318" spans="1:9" x14ac:dyDescent="0.2">
      <c r="A7318" s="134">
        <v>45823</v>
      </c>
      <c r="B7318" s="135">
        <f>YEAR(source[[#This Row],[report_date]])</f>
        <v>2025</v>
      </c>
      <c r="C7318" s="128">
        <f t="shared" si="340"/>
        <v>6</v>
      </c>
      <c r="D7318" s="136">
        <f t="shared" si="342"/>
        <v>24</v>
      </c>
      <c r="E7318" s="136">
        <f t="shared" si="341"/>
        <v>15</v>
      </c>
      <c r="F7318" s="128" t="s">
        <v>24</v>
      </c>
      <c r="G7318" s="128" t="str">
        <f>VLOOKUP(source[[#This Row],[lending_product_transform]],[3]Mapping!$B$4:$C$37,2,0)</f>
        <v>[Cake] - Cashloan</v>
      </c>
      <c r="H7318" s="128" t="str">
        <f>VLOOKUP(source[[#This Row],[lending_product_transform]],[3]Mapping!$B$3:$D$37,3,0)</f>
        <v>cashloan</v>
      </c>
      <c r="I7318" s="135">
        <v>0</v>
      </c>
    </row>
    <row r="7319" spans="1:9" x14ac:dyDescent="0.2">
      <c r="A7319" s="134">
        <v>45823</v>
      </c>
      <c r="B7319" s="135">
        <f>YEAR(source[[#This Row],[report_date]])</f>
        <v>2025</v>
      </c>
      <c r="C7319" s="128">
        <f t="shared" si="340"/>
        <v>6</v>
      </c>
      <c r="D7319" s="136">
        <f t="shared" si="342"/>
        <v>24</v>
      </c>
      <c r="E7319" s="136">
        <f t="shared" si="341"/>
        <v>15</v>
      </c>
      <c r="F7319" s="128" t="s">
        <v>24</v>
      </c>
      <c r="G7319" s="128" t="str">
        <f>VLOOKUP(source[[#This Row],[lending_product_transform]],[3]Mapping!$B$4:$C$37,2,0)</f>
        <v>[Cake] - Cashloan</v>
      </c>
      <c r="H7319" s="128" t="str">
        <f>VLOOKUP(source[[#This Row],[lending_product_transform]],[3]Mapping!$B$3:$D$37,3,0)</f>
        <v>cashloan</v>
      </c>
      <c r="I7319" s="135">
        <v>1555930000</v>
      </c>
    </row>
    <row r="7320" spans="1:9" x14ac:dyDescent="0.2">
      <c r="A7320" s="134">
        <v>45823</v>
      </c>
      <c r="B7320" s="135">
        <f>YEAR(source[[#This Row],[report_date]])</f>
        <v>2025</v>
      </c>
      <c r="C7320" s="128">
        <f t="shared" si="340"/>
        <v>6</v>
      </c>
      <c r="D7320" s="136">
        <f t="shared" si="342"/>
        <v>24</v>
      </c>
      <c r="E7320" s="136">
        <f t="shared" si="341"/>
        <v>15</v>
      </c>
      <c r="F7320" s="128" t="s">
        <v>24</v>
      </c>
      <c r="G7320" s="128" t="str">
        <f>VLOOKUP(source[[#This Row],[lending_product_transform]],[3]Mapping!$B$4:$C$37,2,0)</f>
        <v>[Cake] - Cashloan</v>
      </c>
      <c r="H7320" s="128" t="str">
        <f>VLOOKUP(source[[#This Row],[lending_product_transform]],[3]Mapping!$B$3:$D$37,3,0)</f>
        <v>cashloan</v>
      </c>
      <c r="I7320" s="135">
        <v>0</v>
      </c>
    </row>
    <row r="7321" spans="1:9" x14ac:dyDescent="0.2">
      <c r="A7321" s="134">
        <v>45823</v>
      </c>
      <c r="B7321" s="135">
        <f>YEAR(source[[#This Row],[report_date]])</f>
        <v>2025</v>
      </c>
      <c r="C7321" s="128">
        <f t="shared" si="340"/>
        <v>6</v>
      </c>
      <c r="D7321" s="136">
        <f t="shared" si="342"/>
        <v>24</v>
      </c>
      <c r="E7321" s="136">
        <f t="shared" si="341"/>
        <v>15</v>
      </c>
      <c r="F7321" s="128" t="s">
        <v>24</v>
      </c>
      <c r="G7321" s="128" t="str">
        <f>VLOOKUP(source[[#This Row],[lending_product_transform]],[3]Mapping!$B$4:$C$37,2,0)</f>
        <v>[Cake] - Cashloan</v>
      </c>
      <c r="H7321" s="128" t="str">
        <f>VLOOKUP(source[[#This Row],[lending_product_transform]],[3]Mapping!$B$3:$D$37,3,0)</f>
        <v>cashloan</v>
      </c>
      <c r="I7321" s="135">
        <v>1466760000</v>
      </c>
    </row>
    <row r="7322" spans="1:9" x14ac:dyDescent="0.2">
      <c r="A7322" s="134">
        <v>45823</v>
      </c>
      <c r="B7322" s="135">
        <f>YEAR(source[[#This Row],[report_date]])</f>
        <v>2025</v>
      </c>
      <c r="C7322" s="128">
        <f t="shared" si="340"/>
        <v>6</v>
      </c>
      <c r="D7322" s="136">
        <f t="shared" si="342"/>
        <v>24</v>
      </c>
      <c r="E7322" s="136">
        <f t="shared" si="341"/>
        <v>15</v>
      </c>
      <c r="F7322" s="128" t="s">
        <v>24</v>
      </c>
      <c r="G7322" s="128" t="str">
        <f>VLOOKUP(source[[#This Row],[lending_product_transform]],[3]Mapping!$B$4:$C$37,2,0)</f>
        <v>[Cake] - Cashloan</v>
      </c>
      <c r="H7322" s="128" t="str">
        <f>VLOOKUP(source[[#This Row],[lending_product_transform]],[3]Mapping!$B$3:$D$37,3,0)</f>
        <v>cashloan</v>
      </c>
      <c r="I7322" s="135">
        <v>516520000</v>
      </c>
    </row>
    <row r="7323" spans="1:9" x14ac:dyDescent="0.2">
      <c r="A7323" s="134">
        <v>45823</v>
      </c>
      <c r="B7323" s="135">
        <f>YEAR(source[[#This Row],[report_date]])</f>
        <v>2025</v>
      </c>
      <c r="C7323" s="128">
        <f t="shared" si="340"/>
        <v>6</v>
      </c>
      <c r="D7323" s="136">
        <f t="shared" si="342"/>
        <v>24</v>
      </c>
      <c r="E7323" s="136">
        <f t="shared" si="341"/>
        <v>15</v>
      </c>
      <c r="F7323" s="128" t="s">
        <v>24</v>
      </c>
      <c r="G7323" s="128" t="str">
        <f>VLOOKUP(source[[#This Row],[lending_product_transform]],[3]Mapping!$B$4:$C$37,2,0)</f>
        <v>[Cake] - Cashloan</v>
      </c>
      <c r="H7323" s="128" t="str">
        <f>VLOOKUP(source[[#This Row],[lending_product_transform]],[3]Mapping!$B$3:$D$37,3,0)</f>
        <v>cashloan</v>
      </c>
      <c r="I7323" s="135">
        <v>0</v>
      </c>
    </row>
    <row r="7324" spans="1:9" x14ac:dyDescent="0.2">
      <c r="A7324" s="134">
        <v>45823</v>
      </c>
      <c r="B7324" s="135">
        <f>YEAR(source[[#This Row],[report_date]])</f>
        <v>2025</v>
      </c>
      <c r="C7324" s="128">
        <f t="shared" si="340"/>
        <v>6</v>
      </c>
      <c r="D7324" s="136">
        <f t="shared" si="342"/>
        <v>24</v>
      </c>
      <c r="E7324" s="136">
        <f t="shared" si="341"/>
        <v>15</v>
      </c>
      <c r="F7324" s="128" t="s">
        <v>24</v>
      </c>
      <c r="G7324" s="128" t="str">
        <f>VLOOKUP(source[[#This Row],[lending_product_transform]],[3]Mapping!$B$4:$C$37,2,0)</f>
        <v>[Cake] - Cashloan</v>
      </c>
      <c r="H7324" s="128" t="str">
        <f>VLOOKUP(source[[#This Row],[lending_product_transform]],[3]Mapping!$B$3:$D$37,3,0)</f>
        <v>cashloan</v>
      </c>
      <c r="I7324" s="135">
        <v>209999907</v>
      </c>
    </row>
    <row r="7325" spans="1:9" x14ac:dyDescent="0.2">
      <c r="A7325" s="134">
        <v>45823</v>
      </c>
      <c r="B7325" s="135">
        <f>YEAR(source[[#This Row],[report_date]])</f>
        <v>2025</v>
      </c>
      <c r="C7325" s="128">
        <f t="shared" si="340"/>
        <v>6</v>
      </c>
      <c r="D7325" s="136">
        <f t="shared" si="342"/>
        <v>24</v>
      </c>
      <c r="E7325" s="136">
        <f t="shared" si="341"/>
        <v>15</v>
      </c>
      <c r="F7325" s="128" t="s">
        <v>24</v>
      </c>
      <c r="G7325" s="128" t="str">
        <f>VLOOKUP(source[[#This Row],[lending_product_transform]],[3]Mapping!$B$4:$C$37,2,0)</f>
        <v>[Cake] - Cashloan</v>
      </c>
      <c r="H7325" s="128" t="str">
        <f>VLOOKUP(source[[#This Row],[lending_product_transform]],[3]Mapping!$B$3:$D$37,3,0)</f>
        <v>cashloan</v>
      </c>
      <c r="I7325" s="135">
        <v>362860236</v>
      </c>
    </row>
    <row r="7326" spans="1:9" x14ac:dyDescent="0.2">
      <c r="A7326" s="134">
        <v>45823</v>
      </c>
      <c r="B7326" s="135">
        <f>YEAR(source[[#This Row],[report_date]])</f>
        <v>2025</v>
      </c>
      <c r="C7326" s="128">
        <f t="shared" si="340"/>
        <v>6</v>
      </c>
      <c r="D7326" s="136">
        <f t="shared" si="342"/>
        <v>24</v>
      </c>
      <c r="E7326" s="136">
        <f t="shared" si="341"/>
        <v>15</v>
      </c>
      <c r="F7326" s="128" t="s">
        <v>24</v>
      </c>
      <c r="G7326" s="128" t="str">
        <f>VLOOKUP(source[[#This Row],[lending_product_transform]],[3]Mapping!$B$4:$C$37,2,0)</f>
        <v>[Cake] - Cashloan</v>
      </c>
      <c r="H7326" s="128" t="str">
        <f>VLOOKUP(source[[#This Row],[lending_product_transform]],[3]Mapping!$B$3:$D$37,3,0)</f>
        <v>cashloan</v>
      </c>
      <c r="I7326" s="135">
        <v>377915311</v>
      </c>
    </row>
    <row r="7327" spans="1:9" x14ac:dyDescent="0.2">
      <c r="A7327" s="134">
        <v>45823</v>
      </c>
      <c r="B7327" s="135">
        <f>YEAR(source[[#This Row],[report_date]])</f>
        <v>2025</v>
      </c>
      <c r="C7327" s="128">
        <f t="shared" si="340"/>
        <v>6</v>
      </c>
      <c r="D7327" s="136">
        <f t="shared" si="342"/>
        <v>24</v>
      </c>
      <c r="E7327" s="136">
        <f t="shared" si="341"/>
        <v>15</v>
      </c>
      <c r="F7327" s="128" t="s">
        <v>24</v>
      </c>
      <c r="G7327" s="128" t="str">
        <f>VLOOKUP(source[[#This Row],[lending_product_transform]],[3]Mapping!$B$4:$C$37,2,0)</f>
        <v>[Cake] - Cashloan</v>
      </c>
      <c r="H7327" s="128" t="str">
        <f>VLOOKUP(source[[#This Row],[lending_product_transform]],[3]Mapping!$B$3:$D$37,3,0)</f>
        <v>cashloan</v>
      </c>
      <c r="I7327" s="135">
        <v>7824960000</v>
      </c>
    </row>
    <row r="7328" spans="1:9" x14ac:dyDescent="0.2">
      <c r="A7328" s="134">
        <v>45823</v>
      </c>
      <c r="B7328" s="135">
        <f>YEAR(source[[#This Row],[report_date]])</f>
        <v>2025</v>
      </c>
      <c r="C7328" s="128">
        <f t="shared" si="340"/>
        <v>6</v>
      </c>
      <c r="D7328" s="136">
        <f t="shared" si="342"/>
        <v>24</v>
      </c>
      <c r="E7328" s="136">
        <f t="shared" si="341"/>
        <v>15</v>
      </c>
      <c r="F7328" s="128" t="s">
        <v>24</v>
      </c>
      <c r="G7328" s="128" t="str">
        <f>VLOOKUP(source[[#This Row],[lending_product_transform]],[3]Mapping!$B$4:$C$37,2,0)</f>
        <v>[Cake] - Cashloan</v>
      </c>
      <c r="H7328" s="128" t="str">
        <f>VLOOKUP(source[[#This Row],[lending_product_transform]],[3]Mapping!$B$3:$D$37,3,0)</f>
        <v>cashloan</v>
      </c>
      <c r="I7328" s="135">
        <v>0</v>
      </c>
    </row>
    <row r="7329" spans="1:9" x14ac:dyDescent="0.2">
      <c r="A7329" s="134">
        <v>45823</v>
      </c>
      <c r="B7329" s="135">
        <f>YEAR(source[[#This Row],[report_date]])</f>
        <v>2025</v>
      </c>
      <c r="C7329" s="128">
        <f t="shared" si="340"/>
        <v>6</v>
      </c>
      <c r="D7329" s="136">
        <f t="shared" si="342"/>
        <v>24</v>
      </c>
      <c r="E7329" s="136">
        <f t="shared" si="341"/>
        <v>15</v>
      </c>
      <c r="F7329" s="128" t="s">
        <v>24</v>
      </c>
      <c r="G7329" s="128" t="str">
        <f>VLOOKUP(source[[#This Row],[lending_product_transform]],[3]Mapping!$B$4:$C$37,2,0)</f>
        <v>[Cake] - Cashloan</v>
      </c>
      <c r="H7329" s="128" t="str">
        <f>VLOOKUP(source[[#This Row],[lending_product_transform]],[3]Mapping!$B$3:$D$37,3,0)</f>
        <v>cashloan</v>
      </c>
      <c r="I7329" s="135">
        <v>5881140000</v>
      </c>
    </row>
    <row r="7330" spans="1:9" x14ac:dyDescent="0.2">
      <c r="A7330" s="134">
        <v>45823</v>
      </c>
      <c r="B7330" s="135">
        <f>YEAR(source[[#This Row],[report_date]])</f>
        <v>2025</v>
      </c>
      <c r="C7330" s="128">
        <f t="shared" si="340"/>
        <v>6</v>
      </c>
      <c r="D7330" s="136">
        <f t="shared" si="342"/>
        <v>24</v>
      </c>
      <c r="E7330" s="136">
        <f t="shared" si="341"/>
        <v>15</v>
      </c>
      <c r="F7330" s="128" t="s">
        <v>24</v>
      </c>
      <c r="G7330" s="128" t="str">
        <f>VLOOKUP(source[[#This Row],[lending_product_transform]],[3]Mapping!$B$4:$C$37,2,0)</f>
        <v>[Cake] - Cashloan</v>
      </c>
      <c r="H7330" s="128" t="str">
        <f>VLOOKUP(source[[#This Row],[lending_product_transform]],[3]Mapping!$B$3:$D$37,3,0)</f>
        <v>cashloan</v>
      </c>
      <c r="I7330" s="135">
        <v>8904430000</v>
      </c>
    </row>
    <row r="7331" spans="1:9" x14ac:dyDescent="0.2">
      <c r="A7331" s="134">
        <v>45823</v>
      </c>
      <c r="B7331" s="135">
        <f>YEAR(source[[#This Row],[report_date]])</f>
        <v>2025</v>
      </c>
      <c r="C7331" s="128">
        <f t="shared" si="340"/>
        <v>6</v>
      </c>
      <c r="D7331" s="136">
        <f t="shared" si="342"/>
        <v>24</v>
      </c>
      <c r="E7331" s="136">
        <f t="shared" si="341"/>
        <v>15</v>
      </c>
      <c r="F7331" s="128" t="s">
        <v>24</v>
      </c>
      <c r="G7331" s="128" t="str">
        <f>VLOOKUP(source[[#This Row],[lending_product_transform]],[3]Mapping!$B$4:$C$37,2,0)</f>
        <v>[Cake] - Cashloan</v>
      </c>
      <c r="H7331" s="128" t="str">
        <f>VLOOKUP(source[[#This Row],[lending_product_transform]],[3]Mapping!$B$3:$D$37,3,0)</f>
        <v>cashloan</v>
      </c>
      <c r="I7331" s="135">
        <v>3173074623</v>
      </c>
    </row>
    <row r="7332" spans="1:9" x14ac:dyDescent="0.2">
      <c r="A7332" s="134">
        <v>45823</v>
      </c>
      <c r="B7332" s="135">
        <f>YEAR(source[[#This Row],[report_date]])</f>
        <v>2025</v>
      </c>
      <c r="C7332" s="128">
        <f t="shared" si="340"/>
        <v>6</v>
      </c>
      <c r="D7332" s="136">
        <f t="shared" si="342"/>
        <v>24</v>
      </c>
      <c r="E7332" s="136">
        <f t="shared" si="341"/>
        <v>15</v>
      </c>
      <c r="F7332" s="128" t="s">
        <v>24</v>
      </c>
      <c r="G7332" s="128" t="str">
        <f>VLOOKUP(source[[#This Row],[lending_product_transform]],[3]Mapping!$B$4:$C$37,2,0)</f>
        <v>[Cake] - Cashloan</v>
      </c>
      <c r="H7332" s="128" t="str">
        <f>VLOOKUP(source[[#This Row],[lending_product_transform]],[3]Mapping!$B$3:$D$37,3,0)</f>
        <v>cashloan</v>
      </c>
      <c r="I7332" s="135">
        <v>0</v>
      </c>
    </row>
    <row r="7333" spans="1:9" x14ac:dyDescent="0.2">
      <c r="A7333" s="134">
        <v>45823</v>
      </c>
      <c r="B7333" s="135">
        <f>YEAR(source[[#This Row],[report_date]])</f>
        <v>2025</v>
      </c>
      <c r="C7333" s="128">
        <f t="shared" si="340"/>
        <v>6</v>
      </c>
      <c r="D7333" s="136">
        <f t="shared" si="342"/>
        <v>24</v>
      </c>
      <c r="E7333" s="136">
        <f t="shared" si="341"/>
        <v>15</v>
      </c>
      <c r="F7333" s="128" t="s">
        <v>24</v>
      </c>
      <c r="G7333" s="128" t="str">
        <f>VLOOKUP(source[[#This Row],[lending_product_transform]],[3]Mapping!$B$4:$C$37,2,0)</f>
        <v>[Cake] - Cashloan</v>
      </c>
      <c r="H7333" s="128" t="str">
        <f>VLOOKUP(source[[#This Row],[lending_product_transform]],[3]Mapping!$B$3:$D$37,3,0)</f>
        <v>cashloan</v>
      </c>
      <c r="I7333" s="135">
        <v>39000000</v>
      </c>
    </row>
    <row r="7334" spans="1:9" x14ac:dyDescent="0.2">
      <c r="A7334" s="134">
        <v>45823</v>
      </c>
      <c r="B7334" s="135">
        <f>YEAR(source[[#This Row],[report_date]])</f>
        <v>2025</v>
      </c>
      <c r="C7334" s="128">
        <f t="shared" si="340"/>
        <v>6</v>
      </c>
      <c r="D7334" s="136">
        <f t="shared" si="342"/>
        <v>24</v>
      </c>
      <c r="E7334" s="136">
        <f t="shared" si="341"/>
        <v>15</v>
      </c>
      <c r="F7334" s="128" t="s">
        <v>24</v>
      </c>
      <c r="G7334" s="128" t="str">
        <f>VLOOKUP(source[[#This Row],[lending_product_transform]],[3]Mapping!$B$4:$C$37,2,0)</f>
        <v>[Cake] - Cashloan</v>
      </c>
      <c r="H7334" s="128" t="str">
        <f>VLOOKUP(source[[#This Row],[lending_product_transform]],[3]Mapping!$B$3:$D$37,3,0)</f>
        <v>cashloan</v>
      </c>
      <c r="I7334" s="135">
        <v>28485059</v>
      </c>
    </row>
    <row r="7335" spans="1:9" x14ac:dyDescent="0.2">
      <c r="A7335" s="134">
        <v>45823</v>
      </c>
      <c r="B7335" s="135">
        <f>YEAR(source[[#This Row],[report_date]])</f>
        <v>2025</v>
      </c>
      <c r="C7335" s="128">
        <f t="shared" si="340"/>
        <v>6</v>
      </c>
      <c r="D7335" s="136">
        <f t="shared" si="342"/>
        <v>24</v>
      </c>
      <c r="E7335" s="136">
        <f t="shared" si="341"/>
        <v>15</v>
      </c>
      <c r="F7335" s="128" t="s">
        <v>24</v>
      </c>
      <c r="G7335" s="128" t="str">
        <f>VLOOKUP(source[[#This Row],[lending_product_transform]],[3]Mapping!$B$4:$C$37,2,0)</f>
        <v>[Cake] - Cashloan</v>
      </c>
      <c r="H7335" s="128" t="str">
        <f>VLOOKUP(source[[#This Row],[lending_product_transform]],[3]Mapping!$B$3:$D$37,3,0)</f>
        <v>cashloan</v>
      </c>
      <c r="I7335" s="135">
        <v>0</v>
      </c>
    </row>
    <row r="7336" spans="1:9" x14ac:dyDescent="0.2">
      <c r="A7336" s="134">
        <v>45824</v>
      </c>
      <c r="B7336" s="135">
        <f>YEAR(source[[#This Row],[report_date]])</f>
        <v>2025</v>
      </c>
      <c r="C7336" s="128">
        <f t="shared" si="340"/>
        <v>6</v>
      </c>
      <c r="D7336" s="136">
        <f t="shared" si="342"/>
        <v>25</v>
      </c>
      <c r="E7336" s="136">
        <f t="shared" si="341"/>
        <v>16</v>
      </c>
      <c r="F7336" s="128" t="s">
        <v>24</v>
      </c>
      <c r="G7336" s="128" t="str">
        <f>VLOOKUP(source[[#This Row],[lending_product_transform]],[3]Mapping!$B$4:$C$37,2,0)</f>
        <v>[Cake] - Cashloan</v>
      </c>
      <c r="H7336" s="128" t="str">
        <f>VLOOKUP(source[[#This Row],[lending_product_transform]],[3]Mapping!$B$3:$D$37,3,0)</f>
        <v>cashloan</v>
      </c>
      <c r="I7336" s="135">
        <v>0</v>
      </c>
    </row>
    <row r="7337" spans="1:9" x14ac:dyDescent="0.2">
      <c r="A7337" s="134">
        <v>45824</v>
      </c>
      <c r="B7337" s="135">
        <f>YEAR(source[[#This Row],[report_date]])</f>
        <v>2025</v>
      </c>
      <c r="C7337" s="128">
        <f t="shared" si="340"/>
        <v>6</v>
      </c>
      <c r="D7337" s="136">
        <f t="shared" si="342"/>
        <v>25</v>
      </c>
      <c r="E7337" s="136">
        <f t="shared" si="341"/>
        <v>16</v>
      </c>
      <c r="F7337" s="128" t="s">
        <v>24</v>
      </c>
      <c r="G7337" s="128" t="str">
        <f>VLOOKUP(source[[#This Row],[lending_product_transform]],[3]Mapping!$B$4:$C$37,2,0)</f>
        <v>[Cake] - Cashloan</v>
      </c>
      <c r="H7337" s="128" t="str">
        <f>VLOOKUP(source[[#This Row],[lending_product_transform]],[3]Mapping!$B$3:$D$37,3,0)</f>
        <v>cashloan</v>
      </c>
      <c r="I7337" s="135">
        <v>11000000</v>
      </c>
    </row>
    <row r="7338" spans="1:9" x14ac:dyDescent="0.2">
      <c r="A7338" s="134">
        <v>45824</v>
      </c>
      <c r="B7338" s="135">
        <f>YEAR(source[[#This Row],[report_date]])</f>
        <v>2025</v>
      </c>
      <c r="C7338" s="128">
        <f t="shared" si="340"/>
        <v>6</v>
      </c>
      <c r="D7338" s="136">
        <f t="shared" si="342"/>
        <v>25</v>
      </c>
      <c r="E7338" s="136">
        <f t="shared" si="341"/>
        <v>16</v>
      </c>
      <c r="F7338" s="128" t="s">
        <v>24</v>
      </c>
      <c r="G7338" s="128" t="str">
        <f>VLOOKUP(source[[#This Row],[lending_product_transform]],[3]Mapping!$B$4:$C$37,2,0)</f>
        <v>[Cake] - Cashloan</v>
      </c>
      <c r="H7338" s="128" t="str">
        <f>VLOOKUP(source[[#This Row],[lending_product_transform]],[3]Mapping!$B$3:$D$37,3,0)</f>
        <v>cashloan</v>
      </c>
      <c r="I7338" s="135">
        <v>0</v>
      </c>
    </row>
    <row r="7339" spans="1:9" x14ac:dyDescent="0.2">
      <c r="A7339" s="134">
        <v>45824</v>
      </c>
      <c r="B7339" s="135">
        <f>YEAR(source[[#This Row],[report_date]])</f>
        <v>2025</v>
      </c>
      <c r="C7339" s="128">
        <f t="shared" si="340"/>
        <v>6</v>
      </c>
      <c r="D7339" s="136">
        <f t="shared" si="342"/>
        <v>25</v>
      </c>
      <c r="E7339" s="136">
        <f t="shared" si="341"/>
        <v>16</v>
      </c>
      <c r="F7339" s="128" t="s">
        <v>24</v>
      </c>
      <c r="G7339" s="128" t="str">
        <f>VLOOKUP(source[[#This Row],[lending_product_transform]],[3]Mapping!$B$4:$C$37,2,0)</f>
        <v>[Cake] - Cashloan</v>
      </c>
      <c r="H7339" s="128" t="str">
        <f>VLOOKUP(source[[#This Row],[lending_product_transform]],[3]Mapping!$B$3:$D$37,3,0)</f>
        <v>cashloan</v>
      </c>
      <c r="I7339" s="135">
        <v>0</v>
      </c>
    </row>
    <row r="7340" spans="1:9" x14ac:dyDescent="0.2">
      <c r="A7340" s="134">
        <v>45824</v>
      </c>
      <c r="B7340" s="135">
        <f>YEAR(source[[#This Row],[report_date]])</f>
        <v>2025</v>
      </c>
      <c r="C7340" s="128">
        <f t="shared" si="340"/>
        <v>6</v>
      </c>
      <c r="D7340" s="136">
        <f t="shared" si="342"/>
        <v>25</v>
      </c>
      <c r="E7340" s="136">
        <f t="shared" si="341"/>
        <v>16</v>
      </c>
      <c r="F7340" s="128" t="s">
        <v>24</v>
      </c>
      <c r="G7340" s="128" t="str">
        <f>VLOOKUP(source[[#This Row],[lending_product_transform]],[3]Mapping!$B$4:$C$37,2,0)</f>
        <v>[Cake] - Cashloan</v>
      </c>
      <c r="H7340" s="128" t="str">
        <f>VLOOKUP(source[[#This Row],[lending_product_transform]],[3]Mapping!$B$3:$D$37,3,0)</f>
        <v>cashloan</v>
      </c>
      <c r="I7340" s="135">
        <v>30000000</v>
      </c>
    </row>
    <row r="7341" spans="1:9" x14ac:dyDescent="0.2">
      <c r="A7341" s="134">
        <v>45824</v>
      </c>
      <c r="B7341" s="135">
        <f>YEAR(source[[#This Row],[report_date]])</f>
        <v>2025</v>
      </c>
      <c r="C7341" s="128">
        <f t="shared" si="340"/>
        <v>6</v>
      </c>
      <c r="D7341" s="136">
        <f t="shared" si="342"/>
        <v>25</v>
      </c>
      <c r="E7341" s="136">
        <f t="shared" si="341"/>
        <v>16</v>
      </c>
      <c r="F7341" s="128" t="s">
        <v>24</v>
      </c>
      <c r="G7341" s="128" t="str">
        <f>VLOOKUP(source[[#This Row],[lending_product_transform]],[3]Mapping!$B$4:$C$37,2,0)</f>
        <v>[Cake] - Cashloan</v>
      </c>
      <c r="H7341" s="128" t="str">
        <f>VLOOKUP(source[[#This Row],[lending_product_transform]],[3]Mapping!$B$3:$D$37,3,0)</f>
        <v>cashloan</v>
      </c>
      <c r="I7341" s="135">
        <v>379722415</v>
      </c>
    </row>
    <row r="7342" spans="1:9" x14ac:dyDescent="0.2">
      <c r="A7342" s="134">
        <v>45824</v>
      </c>
      <c r="B7342" s="135">
        <f>YEAR(source[[#This Row],[report_date]])</f>
        <v>2025</v>
      </c>
      <c r="C7342" s="128">
        <f t="shared" si="340"/>
        <v>6</v>
      </c>
      <c r="D7342" s="136">
        <f t="shared" si="342"/>
        <v>25</v>
      </c>
      <c r="E7342" s="136">
        <f t="shared" si="341"/>
        <v>16</v>
      </c>
      <c r="F7342" s="128" t="s">
        <v>24</v>
      </c>
      <c r="G7342" s="128" t="str">
        <f>VLOOKUP(source[[#This Row],[lending_product_transform]],[3]Mapping!$B$4:$C$37,2,0)</f>
        <v>[Cake] - Cashloan</v>
      </c>
      <c r="H7342" s="128" t="str">
        <f>VLOOKUP(source[[#This Row],[lending_product_transform]],[3]Mapping!$B$3:$D$37,3,0)</f>
        <v>cashloan</v>
      </c>
      <c r="I7342" s="135">
        <v>1507150000</v>
      </c>
    </row>
    <row r="7343" spans="1:9" x14ac:dyDescent="0.2">
      <c r="A7343" s="134">
        <v>45824</v>
      </c>
      <c r="B7343" s="135">
        <f>YEAR(source[[#This Row],[report_date]])</f>
        <v>2025</v>
      </c>
      <c r="C7343" s="128">
        <f t="shared" si="340"/>
        <v>6</v>
      </c>
      <c r="D7343" s="136">
        <f t="shared" si="342"/>
        <v>25</v>
      </c>
      <c r="E7343" s="136">
        <f t="shared" si="341"/>
        <v>16</v>
      </c>
      <c r="F7343" s="128" t="s">
        <v>24</v>
      </c>
      <c r="G7343" s="128" t="str">
        <f>VLOOKUP(source[[#This Row],[lending_product_transform]],[3]Mapping!$B$4:$C$37,2,0)</f>
        <v>[Cake] - Cashloan</v>
      </c>
      <c r="H7343" s="128" t="str">
        <f>VLOOKUP(source[[#This Row],[lending_product_transform]],[3]Mapping!$B$3:$D$37,3,0)</f>
        <v>cashloan</v>
      </c>
      <c r="I7343" s="135">
        <v>0</v>
      </c>
    </row>
    <row r="7344" spans="1:9" x14ac:dyDescent="0.2">
      <c r="A7344" s="134">
        <v>45824</v>
      </c>
      <c r="B7344" s="135">
        <f>YEAR(source[[#This Row],[report_date]])</f>
        <v>2025</v>
      </c>
      <c r="C7344" s="128">
        <f t="shared" si="340"/>
        <v>6</v>
      </c>
      <c r="D7344" s="136">
        <f t="shared" si="342"/>
        <v>25</v>
      </c>
      <c r="E7344" s="136">
        <f t="shared" si="341"/>
        <v>16</v>
      </c>
      <c r="F7344" s="128" t="s">
        <v>24</v>
      </c>
      <c r="G7344" s="128" t="str">
        <f>VLOOKUP(source[[#This Row],[lending_product_transform]],[3]Mapping!$B$4:$C$37,2,0)</f>
        <v>[Cake] - Cashloan</v>
      </c>
      <c r="H7344" s="128" t="str">
        <f>VLOOKUP(source[[#This Row],[lending_product_transform]],[3]Mapping!$B$3:$D$37,3,0)</f>
        <v>cashloan</v>
      </c>
      <c r="I7344" s="135">
        <v>459070000</v>
      </c>
    </row>
    <row r="7345" spans="1:9" x14ac:dyDescent="0.2">
      <c r="A7345" s="134">
        <v>45824</v>
      </c>
      <c r="B7345" s="135">
        <f>YEAR(source[[#This Row],[report_date]])</f>
        <v>2025</v>
      </c>
      <c r="C7345" s="128">
        <f t="shared" si="340"/>
        <v>6</v>
      </c>
      <c r="D7345" s="136">
        <f t="shared" si="342"/>
        <v>25</v>
      </c>
      <c r="E7345" s="136">
        <f t="shared" si="341"/>
        <v>16</v>
      </c>
      <c r="F7345" s="128" t="s">
        <v>24</v>
      </c>
      <c r="G7345" s="128" t="str">
        <f>VLOOKUP(source[[#This Row],[lending_product_transform]],[3]Mapping!$B$4:$C$37,2,0)</f>
        <v>[Cake] - Cashloan</v>
      </c>
      <c r="H7345" s="128" t="str">
        <f>VLOOKUP(source[[#This Row],[lending_product_transform]],[3]Mapping!$B$3:$D$37,3,0)</f>
        <v>cashloan</v>
      </c>
      <c r="I7345" s="135">
        <v>5694192000</v>
      </c>
    </row>
    <row r="7346" spans="1:9" x14ac:dyDescent="0.2">
      <c r="A7346" s="134">
        <v>45824</v>
      </c>
      <c r="B7346" s="135">
        <f>YEAR(source[[#This Row],[report_date]])</f>
        <v>2025</v>
      </c>
      <c r="C7346" s="128">
        <f t="shared" si="340"/>
        <v>6</v>
      </c>
      <c r="D7346" s="136">
        <f t="shared" si="342"/>
        <v>25</v>
      </c>
      <c r="E7346" s="136">
        <f t="shared" si="341"/>
        <v>16</v>
      </c>
      <c r="F7346" s="128" t="s">
        <v>24</v>
      </c>
      <c r="G7346" s="128" t="str">
        <f>VLOOKUP(source[[#This Row],[lending_product_transform]],[3]Mapping!$B$4:$C$37,2,0)</f>
        <v>[Cake] - Cashloan</v>
      </c>
      <c r="H7346" s="128" t="str">
        <f>VLOOKUP(source[[#This Row],[lending_product_transform]],[3]Mapping!$B$3:$D$37,3,0)</f>
        <v>cashloan</v>
      </c>
      <c r="I7346" s="135">
        <v>8118980000</v>
      </c>
    </row>
    <row r="7347" spans="1:9" x14ac:dyDescent="0.2">
      <c r="A7347" s="134">
        <v>45824</v>
      </c>
      <c r="B7347" s="135">
        <f>YEAR(source[[#This Row],[report_date]])</f>
        <v>2025</v>
      </c>
      <c r="C7347" s="128">
        <f t="shared" si="340"/>
        <v>6</v>
      </c>
      <c r="D7347" s="136">
        <f t="shared" si="342"/>
        <v>25</v>
      </c>
      <c r="E7347" s="136">
        <f t="shared" si="341"/>
        <v>16</v>
      </c>
      <c r="F7347" s="128" t="s">
        <v>24</v>
      </c>
      <c r="G7347" s="128" t="str">
        <f>VLOOKUP(source[[#This Row],[lending_product_transform]],[3]Mapping!$B$4:$C$37,2,0)</f>
        <v>[Cake] - Cashloan</v>
      </c>
      <c r="H7347" s="128" t="str">
        <f>VLOOKUP(source[[#This Row],[lending_product_transform]],[3]Mapping!$B$3:$D$37,3,0)</f>
        <v>cashloan</v>
      </c>
      <c r="I7347" s="135">
        <v>0</v>
      </c>
    </row>
    <row r="7348" spans="1:9" x14ac:dyDescent="0.2">
      <c r="A7348" s="134">
        <v>45824</v>
      </c>
      <c r="B7348" s="135">
        <f>YEAR(source[[#This Row],[report_date]])</f>
        <v>2025</v>
      </c>
      <c r="C7348" s="128">
        <f t="shared" si="340"/>
        <v>6</v>
      </c>
      <c r="D7348" s="136">
        <f t="shared" si="342"/>
        <v>25</v>
      </c>
      <c r="E7348" s="136">
        <f t="shared" si="341"/>
        <v>16</v>
      </c>
      <c r="F7348" s="128" t="s">
        <v>24</v>
      </c>
      <c r="G7348" s="128" t="str">
        <f>VLOOKUP(source[[#This Row],[lending_product_transform]],[3]Mapping!$B$4:$C$37,2,0)</f>
        <v>[Cake] - Cashloan</v>
      </c>
      <c r="H7348" s="128" t="str">
        <f>VLOOKUP(source[[#This Row],[lending_product_transform]],[3]Mapping!$B$3:$D$37,3,0)</f>
        <v>cashloan</v>
      </c>
      <c r="I7348" s="135">
        <v>9220010000</v>
      </c>
    </row>
    <row r="7349" spans="1:9" x14ac:dyDescent="0.2">
      <c r="A7349" s="134">
        <v>45824</v>
      </c>
      <c r="B7349" s="135">
        <f>YEAR(source[[#This Row],[report_date]])</f>
        <v>2025</v>
      </c>
      <c r="C7349" s="128">
        <f t="shared" si="340"/>
        <v>6</v>
      </c>
      <c r="D7349" s="136">
        <f t="shared" si="342"/>
        <v>25</v>
      </c>
      <c r="E7349" s="136">
        <f t="shared" si="341"/>
        <v>16</v>
      </c>
      <c r="F7349" s="128" t="s">
        <v>24</v>
      </c>
      <c r="G7349" s="128" t="str">
        <f>VLOOKUP(source[[#This Row],[lending_product_transform]],[3]Mapping!$B$4:$C$37,2,0)</f>
        <v>[Cake] - Cashloan</v>
      </c>
      <c r="H7349" s="128" t="str">
        <f>VLOOKUP(source[[#This Row],[lending_product_transform]],[3]Mapping!$B$3:$D$37,3,0)</f>
        <v>cashloan</v>
      </c>
      <c r="I7349" s="135">
        <v>1415420000</v>
      </c>
    </row>
    <row r="7350" spans="1:9" x14ac:dyDescent="0.2">
      <c r="A7350" s="134">
        <v>45824</v>
      </c>
      <c r="B7350" s="135">
        <f>YEAR(source[[#This Row],[report_date]])</f>
        <v>2025</v>
      </c>
      <c r="C7350" s="128">
        <f t="shared" ref="C7350:C7413" si="343">MONTH(A7350)</f>
        <v>6</v>
      </c>
      <c r="D7350" s="136">
        <f t="shared" si="342"/>
        <v>25</v>
      </c>
      <c r="E7350" s="136">
        <f t="shared" ref="E7350:E7413" si="344">DAY(A7350)</f>
        <v>16</v>
      </c>
      <c r="F7350" s="128" t="s">
        <v>24</v>
      </c>
      <c r="G7350" s="128" t="str">
        <f>VLOOKUP(source[[#This Row],[lending_product_transform]],[3]Mapping!$B$4:$C$37,2,0)</f>
        <v>[Cake] - Cashloan</v>
      </c>
      <c r="H7350" s="128" t="str">
        <f>VLOOKUP(source[[#This Row],[lending_product_transform]],[3]Mapping!$B$3:$D$37,3,0)</f>
        <v>cashloan</v>
      </c>
      <c r="I7350" s="135">
        <v>451388993</v>
      </c>
    </row>
    <row r="7351" spans="1:9" x14ac:dyDescent="0.2">
      <c r="A7351" s="134">
        <v>45824</v>
      </c>
      <c r="B7351" s="135">
        <f>YEAR(source[[#This Row],[report_date]])</f>
        <v>2025</v>
      </c>
      <c r="C7351" s="128">
        <f t="shared" si="343"/>
        <v>6</v>
      </c>
      <c r="D7351" s="136">
        <f t="shared" si="342"/>
        <v>25</v>
      </c>
      <c r="E7351" s="136">
        <f t="shared" si="344"/>
        <v>16</v>
      </c>
      <c r="F7351" s="128" t="s">
        <v>24</v>
      </c>
      <c r="G7351" s="128" t="str">
        <f>VLOOKUP(source[[#This Row],[lending_product_transform]],[3]Mapping!$B$4:$C$37,2,0)</f>
        <v>[Cake] - Cashloan</v>
      </c>
      <c r="H7351" s="128" t="str">
        <f>VLOOKUP(source[[#This Row],[lending_product_transform]],[3]Mapping!$B$3:$D$37,3,0)</f>
        <v>cashloan</v>
      </c>
      <c r="I7351" s="135">
        <v>226152076</v>
      </c>
    </row>
    <row r="7352" spans="1:9" x14ac:dyDescent="0.2">
      <c r="A7352" s="134">
        <v>45824</v>
      </c>
      <c r="B7352" s="135">
        <f>YEAR(source[[#This Row],[report_date]])</f>
        <v>2025</v>
      </c>
      <c r="C7352" s="128">
        <f t="shared" si="343"/>
        <v>6</v>
      </c>
      <c r="D7352" s="136">
        <f t="shared" si="342"/>
        <v>25</v>
      </c>
      <c r="E7352" s="136">
        <f t="shared" si="344"/>
        <v>16</v>
      </c>
      <c r="F7352" s="128" t="s">
        <v>24</v>
      </c>
      <c r="G7352" s="128" t="str">
        <f>VLOOKUP(source[[#This Row],[lending_product_transform]],[3]Mapping!$B$4:$C$37,2,0)</f>
        <v>[Cake] - Cashloan</v>
      </c>
      <c r="H7352" s="128" t="str">
        <f>VLOOKUP(source[[#This Row],[lending_product_transform]],[3]Mapping!$B$3:$D$37,3,0)</f>
        <v>cashloan</v>
      </c>
      <c r="I7352" s="135">
        <v>3860964742</v>
      </c>
    </row>
    <row r="7353" spans="1:9" x14ac:dyDescent="0.2">
      <c r="A7353" s="134">
        <v>45824</v>
      </c>
      <c r="B7353" s="135">
        <f>YEAR(source[[#This Row],[report_date]])</f>
        <v>2025</v>
      </c>
      <c r="C7353" s="128">
        <f t="shared" si="343"/>
        <v>6</v>
      </c>
      <c r="D7353" s="136">
        <f t="shared" si="342"/>
        <v>25</v>
      </c>
      <c r="E7353" s="136">
        <f t="shared" si="344"/>
        <v>16</v>
      </c>
      <c r="F7353" s="128" t="s">
        <v>24</v>
      </c>
      <c r="G7353" s="128" t="str">
        <f>VLOOKUP(source[[#This Row],[lending_product_transform]],[3]Mapping!$B$4:$C$37,2,0)</f>
        <v>[Cake] - Cashloan</v>
      </c>
      <c r="H7353" s="128" t="str">
        <f>VLOOKUP(source[[#This Row],[lending_product_transform]],[3]Mapping!$B$3:$D$37,3,0)</f>
        <v>cashloan</v>
      </c>
      <c r="I7353" s="135">
        <v>0</v>
      </c>
    </row>
    <row r="7354" spans="1:9" x14ac:dyDescent="0.2">
      <c r="A7354" s="134">
        <v>45824</v>
      </c>
      <c r="B7354" s="135">
        <f>YEAR(source[[#This Row],[report_date]])</f>
        <v>2025</v>
      </c>
      <c r="C7354" s="128">
        <f t="shared" si="343"/>
        <v>6</v>
      </c>
      <c r="D7354" s="136">
        <f t="shared" si="342"/>
        <v>25</v>
      </c>
      <c r="E7354" s="136">
        <f t="shared" si="344"/>
        <v>16</v>
      </c>
      <c r="F7354" s="128" t="s">
        <v>24</v>
      </c>
      <c r="G7354" s="128" t="str">
        <f>VLOOKUP(source[[#This Row],[lending_product_transform]],[3]Mapping!$B$4:$C$37,2,0)</f>
        <v>[Cake] - Cashloan</v>
      </c>
      <c r="H7354" s="128" t="str">
        <f>VLOOKUP(source[[#This Row],[lending_product_transform]],[3]Mapping!$B$3:$D$37,3,0)</f>
        <v>cashloan</v>
      </c>
      <c r="I7354" s="135">
        <v>9679056</v>
      </c>
    </row>
    <row r="7355" spans="1:9" x14ac:dyDescent="0.2">
      <c r="A7355" s="134">
        <v>45825</v>
      </c>
      <c r="B7355" s="135">
        <f>YEAR(source[[#This Row],[report_date]])</f>
        <v>2025</v>
      </c>
      <c r="C7355" s="128">
        <f t="shared" si="343"/>
        <v>6</v>
      </c>
      <c r="D7355" s="136">
        <f t="shared" si="342"/>
        <v>25</v>
      </c>
      <c r="E7355" s="136">
        <f t="shared" si="344"/>
        <v>17</v>
      </c>
      <c r="F7355" s="128" t="s">
        <v>24</v>
      </c>
      <c r="G7355" s="128" t="str">
        <f>VLOOKUP(source[[#This Row],[lending_product_transform]],[3]Mapping!$B$4:$C$37,2,0)</f>
        <v>[Cake] - Cashloan</v>
      </c>
      <c r="H7355" s="128" t="str">
        <f>VLOOKUP(source[[#This Row],[lending_product_transform]],[3]Mapping!$B$3:$D$37,3,0)</f>
        <v>cashloan</v>
      </c>
      <c r="I7355" s="135">
        <v>9116110000</v>
      </c>
    </row>
    <row r="7356" spans="1:9" x14ac:dyDescent="0.2">
      <c r="A7356" s="134">
        <v>45825</v>
      </c>
      <c r="B7356" s="135">
        <f>YEAR(source[[#This Row],[report_date]])</f>
        <v>2025</v>
      </c>
      <c r="C7356" s="128">
        <f t="shared" si="343"/>
        <v>6</v>
      </c>
      <c r="D7356" s="136">
        <f t="shared" si="342"/>
        <v>25</v>
      </c>
      <c r="E7356" s="136">
        <f t="shared" si="344"/>
        <v>17</v>
      </c>
      <c r="F7356" s="128" t="s">
        <v>24</v>
      </c>
      <c r="G7356" s="128" t="str">
        <f>VLOOKUP(source[[#This Row],[lending_product_transform]],[3]Mapping!$B$4:$C$37,2,0)</f>
        <v>[Cake] - Cashloan</v>
      </c>
      <c r="H7356" s="128" t="str">
        <f>VLOOKUP(source[[#This Row],[lending_product_transform]],[3]Mapping!$B$3:$D$37,3,0)</f>
        <v>cashloan</v>
      </c>
      <c r="I7356" s="135">
        <v>26293478</v>
      </c>
    </row>
    <row r="7357" spans="1:9" x14ac:dyDescent="0.2">
      <c r="A7357" s="134">
        <v>45825</v>
      </c>
      <c r="B7357" s="135">
        <f>YEAR(source[[#This Row],[report_date]])</f>
        <v>2025</v>
      </c>
      <c r="C7357" s="128">
        <f t="shared" si="343"/>
        <v>6</v>
      </c>
      <c r="D7357" s="136">
        <f t="shared" si="342"/>
        <v>25</v>
      </c>
      <c r="E7357" s="136">
        <f t="shared" si="344"/>
        <v>17</v>
      </c>
      <c r="F7357" s="128" t="s">
        <v>24</v>
      </c>
      <c r="G7357" s="128" t="str">
        <f>VLOOKUP(source[[#This Row],[lending_product_transform]],[3]Mapping!$B$4:$C$37,2,0)</f>
        <v>[Cake] - Cashloan</v>
      </c>
      <c r="H7357" s="128" t="str">
        <f>VLOOKUP(source[[#This Row],[lending_product_transform]],[3]Mapping!$B$3:$D$37,3,0)</f>
        <v>cashloan</v>
      </c>
      <c r="I7357" s="135">
        <v>75100000</v>
      </c>
    </row>
    <row r="7358" spans="1:9" x14ac:dyDescent="0.2">
      <c r="A7358" s="134">
        <v>45825</v>
      </c>
      <c r="B7358" s="135">
        <f>YEAR(source[[#This Row],[report_date]])</f>
        <v>2025</v>
      </c>
      <c r="C7358" s="128">
        <f t="shared" si="343"/>
        <v>6</v>
      </c>
      <c r="D7358" s="136">
        <f t="shared" si="342"/>
        <v>25</v>
      </c>
      <c r="E7358" s="136">
        <f t="shared" si="344"/>
        <v>17</v>
      </c>
      <c r="F7358" s="128" t="s">
        <v>24</v>
      </c>
      <c r="G7358" s="128" t="str">
        <f>VLOOKUP(source[[#This Row],[lending_product_transform]],[3]Mapping!$B$4:$C$37,2,0)</f>
        <v>[Cake] - Cashloan</v>
      </c>
      <c r="H7358" s="128" t="str">
        <f>VLOOKUP(source[[#This Row],[lending_product_transform]],[3]Mapping!$B$3:$D$37,3,0)</f>
        <v>cashloan</v>
      </c>
      <c r="I7358" s="135">
        <v>0</v>
      </c>
    </row>
    <row r="7359" spans="1:9" x14ac:dyDescent="0.2">
      <c r="A7359" s="134">
        <v>45825</v>
      </c>
      <c r="B7359" s="135">
        <f>YEAR(source[[#This Row],[report_date]])</f>
        <v>2025</v>
      </c>
      <c r="C7359" s="128">
        <f t="shared" si="343"/>
        <v>6</v>
      </c>
      <c r="D7359" s="136">
        <f t="shared" si="342"/>
        <v>25</v>
      </c>
      <c r="E7359" s="136">
        <f t="shared" si="344"/>
        <v>17</v>
      </c>
      <c r="F7359" s="128" t="s">
        <v>24</v>
      </c>
      <c r="G7359" s="128" t="str">
        <f>VLOOKUP(source[[#This Row],[lending_product_transform]],[3]Mapping!$B$4:$C$37,2,0)</f>
        <v>[Cake] - Cashloan</v>
      </c>
      <c r="H7359" s="128" t="str">
        <f>VLOOKUP(source[[#This Row],[lending_product_transform]],[3]Mapping!$B$3:$D$37,3,0)</f>
        <v>cashloan</v>
      </c>
      <c r="I7359" s="135">
        <v>8302350000</v>
      </c>
    </row>
    <row r="7360" spans="1:9" x14ac:dyDescent="0.2">
      <c r="A7360" s="134">
        <v>45825</v>
      </c>
      <c r="B7360" s="135">
        <f>YEAR(source[[#This Row],[report_date]])</f>
        <v>2025</v>
      </c>
      <c r="C7360" s="128">
        <f t="shared" si="343"/>
        <v>6</v>
      </c>
      <c r="D7360" s="136">
        <f t="shared" si="342"/>
        <v>25</v>
      </c>
      <c r="E7360" s="136">
        <f t="shared" si="344"/>
        <v>17</v>
      </c>
      <c r="F7360" s="128" t="s">
        <v>24</v>
      </c>
      <c r="G7360" s="128" t="str">
        <f>VLOOKUP(source[[#This Row],[lending_product_transform]],[3]Mapping!$B$4:$C$37,2,0)</f>
        <v>[Cake] - Cashloan</v>
      </c>
      <c r="H7360" s="128" t="str">
        <f>VLOOKUP(source[[#This Row],[lending_product_transform]],[3]Mapping!$B$3:$D$37,3,0)</f>
        <v>cashloan</v>
      </c>
      <c r="I7360" s="135">
        <v>4160268000</v>
      </c>
    </row>
    <row r="7361" spans="1:9" x14ac:dyDescent="0.2">
      <c r="A7361" s="134">
        <v>45825</v>
      </c>
      <c r="B7361" s="135">
        <f>YEAR(source[[#This Row],[report_date]])</f>
        <v>2025</v>
      </c>
      <c r="C7361" s="128">
        <f t="shared" si="343"/>
        <v>6</v>
      </c>
      <c r="D7361" s="136">
        <f t="shared" si="342"/>
        <v>25</v>
      </c>
      <c r="E7361" s="136">
        <f t="shared" si="344"/>
        <v>17</v>
      </c>
      <c r="F7361" s="128" t="s">
        <v>24</v>
      </c>
      <c r="G7361" s="128" t="str">
        <f>VLOOKUP(source[[#This Row],[lending_product_transform]],[3]Mapping!$B$4:$C$37,2,0)</f>
        <v>[Cake] - Cashloan</v>
      </c>
      <c r="H7361" s="128" t="str">
        <f>VLOOKUP(source[[#This Row],[lending_product_transform]],[3]Mapping!$B$3:$D$37,3,0)</f>
        <v>cashloan</v>
      </c>
      <c r="I7361" s="135">
        <v>0</v>
      </c>
    </row>
    <row r="7362" spans="1:9" x14ac:dyDescent="0.2">
      <c r="A7362" s="134">
        <v>45825</v>
      </c>
      <c r="B7362" s="135">
        <f>YEAR(source[[#This Row],[report_date]])</f>
        <v>2025</v>
      </c>
      <c r="C7362" s="128">
        <f t="shared" si="343"/>
        <v>6</v>
      </c>
      <c r="D7362" s="136">
        <f t="shared" si="342"/>
        <v>25</v>
      </c>
      <c r="E7362" s="136">
        <f t="shared" si="344"/>
        <v>17</v>
      </c>
      <c r="F7362" s="128" t="s">
        <v>24</v>
      </c>
      <c r="G7362" s="128" t="str">
        <f>VLOOKUP(source[[#This Row],[lending_product_transform]],[3]Mapping!$B$4:$C$37,2,0)</f>
        <v>[Cake] - Cashloan</v>
      </c>
      <c r="H7362" s="128" t="str">
        <f>VLOOKUP(source[[#This Row],[lending_product_transform]],[3]Mapping!$B$3:$D$37,3,0)</f>
        <v>cashloan</v>
      </c>
      <c r="I7362" s="135">
        <v>0</v>
      </c>
    </row>
    <row r="7363" spans="1:9" x14ac:dyDescent="0.2">
      <c r="A7363" s="134">
        <v>45825</v>
      </c>
      <c r="B7363" s="135">
        <f>YEAR(source[[#This Row],[report_date]])</f>
        <v>2025</v>
      </c>
      <c r="C7363" s="128">
        <f t="shared" si="343"/>
        <v>6</v>
      </c>
      <c r="D7363" s="136">
        <f t="shared" ref="D7363:D7426" si="345">WEEKNUM(A7363,2)</f>
        <v>25</v>
      </c>
      <c r="E7363" s="136">
        <f t="shared" si="344"/>
        <v>17</v>
      </c>
      <c r="F7363" s="128" t="s">
        <v>24</v>
      </c>
      <c r="G7363" s="128" t="str">
        <f>VLOOKUP(source[[#This Row],[lending_product_transform]],[3]Mapping!$B$4:$C$37,2,0)</f>
        <v>[Cake] - Cashloan</v>
      </c>
      <c r="H7363" s="128" t="str">
        <f>VLOOKUP(source[[#This Row],[lending_product_transform]],[3]Mapping!$B$3:$D$37,3,0)</f>
        <v>cashloan</v>
      </c>
      <c r="I7363" s="135">
        <v>21000000</v>
      </c>
    </row>
    <row r="7364" spans="1:9" x14ac:dyDescent="0.2">
      <c r="A7364" s="134">
        <v>45825</v>
      </c>
      <c r="B7364" s="135">
        <f>YEAR(source[[#This Row],[report_date]])</f>
        <v>2025</v>
      </c>
      <c r="C7364" s="128">
        <f t="shared" si="343"/>
        <v>6</v>
      </c>
      <c r="D7364" s="136">
        <f t="shared" si="345"/>
        <v>25</v>
      </c>
      <c r="E7364" s="136">
        <f t="shared" si="344"/>
        <v>17</v>
      </c>
      <c r="F7364" s="128" t="s">
        <v>24</v>
      </c>
      <c r="G7364" s="128" t="str">
        <f>VLOOKUP(source[[#This Row],[lending_product_transform]],[3]Mapping!$B$4:$C$37,2,0)</f>
        <v>[Cake] - Cashloan</v>
      </c>
      <c r="H7364" s="128" t="str">
        <f>VLOOKUP(source[[#This Row],[lending_product_transform]],[3]Mapping!$B$3:$D$37,3,0)</f>
        <v>cashloan</v>
      </c>
      <c r="I7364" s="135">
        <v>15000000</v>
      </c>
    </row>
    <row r="7365" spans="1:9" x14ac:dyDescent="0.2">
      <c r="A7365" s="134">
        <v>45825</v>
      </c>
      <c r="B7365" s="135">
        <f>YEAR(source[[#This Row],[report_date]])</f>
        <v>2025</v>
      </c>
      <c r="C7365" s="128">
        <f t="shared" si="343"/>
        <v>6</v>
      </c>
      <c r="D7365" s="136">
        <f t="shared" si="345"/>
        <v>25</v>
      </c>
      <c r="E7365" s="136">
        <f t="shared" si="344"/>
        <v>17</v>
      </c>
      <c r="F7365" s="128" t="s">
        <v>24</v>
      </c>
      <c r="G7365" s="128" t="str">
        <f>VLOOKUP(source[[#This Row],[lending_product_transform]],[3]Mapping!$B$4:$C$37,2,0)</f>
        <v>[Cake] - Cashloan</v>
      </c>
      <c r="H7365" s="128" t="str">
        <f>VLOOKUP(source[[#This Row],[lending_product_transform]],[3]Mapping!$B$3:$D$37,3,0)</f>
        <v>cashloan</v>
      </c>
      <c r="I7365" s="135">
        <v>0</v>
      </c>
    </row>
    <row r="7366" spans="1:9" x14ac:dyDescent="0.2">
      <c r="A7366" s="134">
        <v>45825</v>
      </c>
      <c r="B7366" s="135">
        <f>YEAR(source[[#This Row],[report_date]])</f>
        <v>2025</v>
      </c>
      <c r="C7366" s="128">
        <f t="shared" si="343"/>
        <v>6</v>
      </c>
      <c r="D7366" s="136">
        <f t="shared" si="345"/>
        <v>25</v>
      </c>
      <c r="E7366" s="136">
        <f t="shared" si="344"/>
        <v>17</v>
      </c>
      <c r="F7366" s="128" t="s">
        <v>24</v>
      </c>
      <c r="G7366" s="128" t="str">
        <f>VLOOKUP(source[[#This Row],[lending_product_transform]],[3]Mapping!$B$4:$C$37,2,0)</f>
        <v>[Cake] - Cashloan</v>
      </c>
      <c r="H7366" s="128" t="str">
        <f>VLOOKUP(source[[#This Row],[lending_product_transform]],[3]Mapping!$B$3:$D$37,3,0)</f>
        <v>cashloan</v>
      </c>
      <c r="I7366" s="135">
        <v>1327620000</v>
      </c>
    </row>
    <row r="7367" spans="1:9" x14ac:dyDescent="0.2">
      <c r="A7367" s="134">
        <v>45825</v>
      </c>
      <c r="B7367" s="135">
        <f>YEAR(source[[#This Row],[report_date]])</f>
        <v>2025</v>
      </c>
      <c r="C7367" s="128">
        <f t="shared" si="343"/>
        <v>6</v>
      </c>
      <c r="D7367" s="136">
        <f t="shared" si="345"/>
        <v>25</v>
      </c>
      <c r="E7367" s="136">
        <f t="shared" si="344"/>
        <v>17</v>
      </c>
      <c r="F7367" s="128" t="s">
        <v>24</v>
      </c>
      <c r="G7367" s="128" t="str">
        <f>VLOOKUP(source[[#This Row],[lending_product_transform]],[3]Mapping!$B$4:$C$37,2,0)</f>
        <v>[Cake] - Cashloan</v>
      </c>
      <c r="H7367" s="128" t="str">
        <f>VLOOKUP(source[[#This Row],[lending_product_transform]],[3]Mapping!$B$3:$D$37,3,0)</f>
        <v>cashloan</v>
      </c>
      <c r="I7367" s="135">
        <v>571820000</v>
      </c>
    </row>
    <row r="7368" spans="1:9" x14ac:dyDescent="0.2">
      <c r="A7368" s="134">
        <v>45825</v>
      </c>
      <c r="B7368" s="135">
        <f>YEAR(source[[#This Row],[report_date]])</f>
        <v>2025</v>
      </c>
      <c r="C7368" s="128">
        <f t="shared" si="343"/>
        <v>6</v>
      </c>
      <c r="D7368" s="136">
        <f t="shared" si="345"/>
        <v>25</v>
      </c>
      <c r="E7368" s="136">
        <f t="shared" si="344"/>
        <v>17</v>
      </c>
      <c r="F7368" s="128" t="s">
        <v>24</v>
      </c>
      <c r="G7368" s="128" t="str">
        <f>VLOOKUP(source[[#This Row],[lending_product_transform]],[3]Mapping!$B$4:$C$37,2,0)</f>
        <v>[Cake] - Cashloan</v>
      </c>
      <c r="H7368" s="128" t="str">
        <f>VLOOKUP(source[[#This Row],[lending_product_transform]],[3]Mapping!$B$3:$D$37,3,0)</f>
        <v>cashloan</v>
      </c>
      <c r="I7368" s="135">
        <v>32621000</v>
      </c>
    </row>
    <row r="7369" spans="1:9" x14ac:dyDescent="0.2">
      <c r="A7369" s="134">
        <v>45825</v>
      </c>
      <c r="B7369" s="135">
        <f>YEAR(source[[#This Row],[report_date]])</f>
        <v>2025</v>
      </c>
      <c r="C7369" s="128">
        <f t="shared" si="343"/>
        <v>6</v>
      </c>
      <c r="D7369" s="136">
        <f t="shared" si="345"/>
        <v>25</v>
      </c>
      <c r="E7369" s="136">
        <f t="shared" si="344"/>
        <v>17</v>
      </c>
      <c r="F7369" s="128" t="s">
        <v>24</v>
      </c>
      <c r="G7369" s="128" t="str">
        <f>VLOOKUP(source[[#This Row],[lending_product_transform]],[3]Mapping!$B$4:$C$37,2,0)</f>
        <v>[Cake] - Cashloan</v>
      </c>
      <c r="H7369" s="128" t="str">
        <f>VLOOKUP(source[[#This Row],[lending_product_transform]],[3]Mapping!$B$3:$D$37,3,0)</f>
        <v>cashloan</v>
      </c>
      <c r="I7369" s="135">
        <v>1252360000</v>
      </c>
    </row>
    <row r="7370" spans="1:9" x14ac:dyDescent="0.2">
      <c r="A7370" s="134">
        <v>45825</v>
      </c>
      <c r="B7370" s="135">
        <f>YEAR(source[[#This Row],[report_date]])</f>
        <v>2025</v>
      </c>
      <c r="C7370" s="128">
        <f t="shared" si="343"/>
        <v>6</v>
      </c>
      <c r="D7370" s="136">
        <f t="shared" si="345"/>
        <v>25</v>
      </c>
      <c r="E7370" s="136">
        <f t="shared" si="344"/>
        <v>17</v>
      </c>
      <c r="F7370" s="128" t="s">
        <v>24</v>
      </c>
      <c r="G7370" s="128" t="str">
        <f>VLOOKUP(source[[#This Row],[lending_product_transform]],[3]Mapping!$B$4:$C$37,2,0)</f>
        <v>[Cake] - Cashloan</v>
      </c>
      <c r="H7370" s="128" t="str">
        <f>VLOOKUP(source[[#This Row],[lending_product_transform]],[3]Mapping!$B$3:$D$37,3,0)</f>
        <v>cashloan</v>
      </c>
      <c r="I7370" s="135">
        <v>183898463</v>
      </c>
    </row>
    <row r="7371" spans="1:9" x14ac:dyDescent="0.2">
      <c r="A7371" s="134">
        <v>45825</v>
      </c>
      <c r="B7371" s="135">
        <f>YEAR(source[[#This Row],[report_date]])</f>
        <v>2025</v>
      </c>
      <c r="C7371" s="128">
        <f t="shared" si="343"/>
        <v>6</v>
      </c>
      <c r="D7371" s="136">
        <f t="shared" si="345"/>
        <v>25</v>
      </c>
      <c r="E7371" s="136">
        <f t="shared" si="344"/>
        <v>17</v>
      </c>
      <c r="F7371" s="128" t="s">
        <v>24</v>
      </c>
      <c r="G7371" s="128" t="str">
        <f>VLOOKUP(source[[#This Row],[lending_product_transform]],[3]Mapping!$B$4:$C$37,2,0)</f>
        <v>[Cake] - Cashloan</v>
      </c>
      <c r="H7371" s="128" t="str">
        <f>VLOOKUP(source[[#This Row],[lending_product_transform]],[3]Mapping!$B$3:$D$37,3,0)</f>
        <v>cashloan</v>
      </c>
      <c r="I7371" s="135">
        <v>322444552</v>
      </c>
    </row>
    <row r="7372" spans="1:9" x14ac:dyDescent="0.2">
      <c r="A7372" s="134">
        <v>45825</v>
      </c>
      <c r="B7372" s="135">
        <f>YEAR(source[[#This Row],[report_date]])</f>
        <v>2025</v>
      </c>
      <c r="C7372" s="128">
        <f t="shared" si="343"/>
        <v>6</v>
      </c>
      <c r="D7372" s="136">
        <f t="shared" si="345"/>
        <v>25</v>
      </c>
      <c r="E7372" s="136">
        <f t="shared" si="344"/>
        <v>17</v>
      </c>
      <c r="F7372" s="128" t="s">
        <v>24</v>
      </c>
      <c r="G7372" s="128" t="str">
        <f>VLOOKUP(source[[#This Row],[lending_product_transform]],[3]Mapping!$B$4:$C$37,2,0)</f>
        <v>[Cake] - Cashloan</v>
      </c>
      <c r="H7372" s="128" t="str">
        <f>VLOOKUP(source[[#This Row],[lending_product_transform]],[3]Mapping!$B$3:$D$37,3,0)</f>
        <v>cashloan</v>
      </c>
      <c r="I7372" s="135">
        <v>3713866317</v>
      </c>
    </row>
    <row r="7373" spans="1:9" x14ac:dyDescent="0.2">
      <c r="A7373" s="134">
        <v>45825</v>
      </c>
      <c r="B7373" s="135">
        <f>YEAR(source[[#This Row],[report_date]])</f>
        <v>2025</v>
      </c>
      <c r="C7373" s="128">
        <f t="shared" si="343"/>
        <v>6</v>
      </c>
      <c r="D7373" s="136">
        <f t="shared" si="345"/>
        <v>25</v>
      </c>
      <c r="E7373" s="136">
        <f t="shared" si="344"/>
        <v>17</v>
      </c>
      <c r="F7373" s="128" t="s">
        <v>24</v>
      </c>
      <c r="G7373" s="128" t="str">
        <f>VLOOKUP(source[[#This Row],[lending_product_transform]],[3]Mapping!$B$4:$C$37,2,0)</f>
        <v>[Cake] - Cashloan</v>
      </c>
      <c r="H7373" s="128" t="str">
        <f>VLOOKUP(source[[#This Row],[lending_product_transform]],[3]Mapping!$B$3:$D$37,3,0)</f>
        <v>cashloan</v>
      </c>
      <c r="I7373" s="135">
        <v>341455003</v>
      </c>
    </row>
    <row r="7374" spans="1:9" x14ac:dyDescent="0.2">
      <c r="A7374" s="134">
        <v>45826</v>
      </c>
      <c r="B7374" s="135">
        <f>YEAR(source[[#This Row],[report_date]])</f>
        <v>2025</v>
      </c>
      <c r="C7374" s="128">
        <f t="shared" si="343"/>
        <v>6</v>
      </c>
      <c r="D7374" s="136">
        <f t="shared" si="345"/>
        <v>25</v>
      </c>
      <c r="E7374" s="136">
        <f t="shared" si="344"/>
        <v>18</v>
      </c>
      <c r="F7374" s="128" t="s">
        <v>24</v>
      </c>
      <c r="G7374" s="128" t="str">
        <f>VLOOKUP(source[[#This Row],[lending_product_transform]],[3]Mapping!$B$4:$C$37,2,0)</f>
        <v>[Cake] - Cashloan</v>
      </c>
      <c r="H7374" s="128" t="str">
        <f>VLOOKUP(source[[#This Row],[lending_product_transform]],[3]Mapping!$B$3:$D$37,3,0)</f>
        <v>cashloan</v>
      </c>
      <c r="I7374" s="135">
        <v>9596090000</v>
      </c>
    </row>
    <row r="7375" spans="1:9" x14ac:dyDescent="0.2">
      <c r="A7375" s="134">
        <v>45826</v>
      </c>
      <c r="B7375" s="135">
        <f>YEAR(source[[#This Row],[report_date]])</f>
        <v>2025</v>
      </c>
      <c r="C7375" s="128">
        <f t="shared" si="343"/>
        <v>6</v>
      </c>
      <c r="D7375" s="136">
        <f t="shared" si="345"/>
        <v>25</v>
      </c>
      <c r="E7375" s="136">
        <f t="shared" si="344"/>
        <v>18</v>
      </c>
      <c r="F7375" s="128" t="s">
        <v>24</v>
      </c>
      <c r="G7375" s="128" t="str">
        <f>VLOOKUP(source[[#This Row],[lending_product_transform]],[3]Mapping!$B$4:$C$37,2,0)</f>
        <v>[Cake] - Cashloan</v>
      </c>
      <c r="H7375" s="128" t="str">
        <f>VLOOKUP(source[[#This Row],[lending_product_transform]],[3]Mapping!$B$3:$D$37,3,0)</f>
        <v>cashloan</v>
      </c>
      <c r="I7375" s="135">
        <v>5852412000</v>
      </c>
    </row>
    <row r="7376" spans="1:9" x14ac:dyDescent="0.2">
      <c r="A7376" s="134">
        <v>45826</v>
      </c>
      <c r="B7376" s="135">
        <f>YEAR(source[[#This Row],[report_date]])</f>
        <v>2025</v>
      </c>
      <c r="C7376" s="128">
        <f t="shared" si="343"/>
        <v>6</v>
      </c>
      <c r="D7376" s="136">
        <f t="shared" si="345"/>
        <v>25</v>
      </c>
      <c r="E7376" s="136">
        <f t="shared" si="344"/>
        <v>18</v>
      </c>
      <c r="F7376" s="128" t="s">
        <v>24</v>
      </c>
      <c r="G7376" s="128" t="str">
        <f>VLOOKUP(source[[#This Row],[lending_product_transform]],[3]Mapping!$B$4:$C$37,2,0)</f>
        <v>[Cake] - Cashloan</v>
      </c>
      <c r="H7376" s="128" t="str">
        <f>VLOOKUP(source[[#This Row],[lending_product_transform]],[3]Mapping!$B$3:$D$37,3,0)</f>
        <v>cashloan</v>
      </c>
      <c r="I7376" s="135">
        <v>17000000</v>
      </c>
    </row>
    <row r="7377" spans="1:9" x14ac:dyDescent="0.2">
      <c r="A7377" s="134">
        <v>45826</v>
      </c>
      <c r="B7377" s="135">
        <f>YEAR(source[[#This Row],[report_date]])</f>
        <v>2025</v>
      </c>
      <c r="C7377" s="128">
        <f t="shared" si="343"/>
        <v>6</v>
      </c>
      <c r="D7377" s="136">
        <f t="shared" si="345"/>
        <v>25</v>
      </c>
      <c r="E7377" s="136">
        <f t="shared" si="344"/>
        <v>18</v>
      </c>
      <c r="F7377" s="128" t="s">
        <v>24</v>
      </c>
      <c r="G7377" s="128" t="str">
        <f>VLOOKUP(source[[#This Row],[lending_product_transform]],[3]Mapping!$B$4:$C$37,2,0)</f>
        <v>[Cake] - Cashloan</v>
      </c>
      <c r="H7377" s="128" t="str">
        <f>VLOOKUP(source[[#This Row],[lending_product_transform]],[3]Mapping!$B$3:$D$37,3,0)</f>
        <v>cashloan</v>
      </c>
      <c r="I7377" s="135">
        <v>331064337</v>
      </c>
    </row>
    <row r="7378" spans="1:9" x14ac:dyDescent="0.2">
      <c r="A7378" s="134">
        <v>45826</v>
      </c>
      <c r="B7378" s="135">
        <f>YEAR(source[[#This Row],[report_date]])</f>
        <v>2025</v>
      </c>
      <c r="C7378" s="128">
        <f t="shared" si="343"/>
        <v>6</v>
      </c>
      <c r="D7378" s="136">
        <f t="shared" si="345"/>
        <v>25</v>
      </c>
      <c r="E7378" s="136">
        <f t="shared" si="344"/>
        <v>18</v>
      </c>
      <c r="F7378" s="128" t="s">
        <v>24</v>
      </c>
      <c r="G7378" s="128" t="str">
        <f>VLOOKUP(source[[#This Row],[lending_product_transform]],[3]Mapping!$B$4:$C$37,2,0)</f>
        <v>[Cake] - Cashloan</v>
      </c>
      <c r="H7378" s="128" t="str">
        <f>VLOOKUP(source[[#This Row],[lending_product_transform]],[3]Mapping!$B$3:$D$37,3,0)</f>
        <v>cashloan</v>
      </c>
      <c r="I7378" s="135">
        <v>8712570000</v>
      </c>
    </row>
    <row r="7379" spans="1:9" x14ac:dyDescent="0.2">
      <c r="A7379" s="134">
        <v>45826</v>
      </c>
      <c r="B7379" s="135">
        <f>YEAR(source[[#This Row],[report_date]])</f>
        <v>2025</v>
      </c>
      <c r="C7379" s="128">
        <f t="shared" si="343"/>
        <v>6</v>
      </c>
      <c r="D7379" s="136">
        <f t="shared" si="345"/>
        <v>25</v>
      </c>
      <c r="E7379" s="136">
        <f t="shared" si="344"/>
        <v>18</v>
      </c>
      <c r="F7379" s="128" t="s">
        <v>24</v>
      </c>
      <c r="G7379" s="128" t="str">
        <f>VLOOKUP(source[[#This Row],[lending_product_transform]],[3]Mapping!$B$4:$C$37,2,0)</f>
        <v>[Cake] - Cashloan</v>
      </c>
      <c r="H7379" s="128" t="str">
        <f>VLOOKUP(source[[#This Row],[lending_product_transform]],[3]Mapping!$B$3:$D$37,3,0)</f>
        <v>cashloan</v>
      </c>
      <c r="I7379" s="135">
        <v>23100000</v>
      </c>
    </row>
    <row r="7380" spans="1:9" x14ac:dyDescent="0.2">
      <c r="A7380" s="134">
        <v>45826</v>
      </c>
      <c r="B7380" s="135">
        <f>YEAR(source[[#This Row],[report_date]])</f>
        <v>2025</v>
      </c>
      <c r="C7380" s="128">
        <f t="shared" si="343"/>
        <v>6</v>
      </c>
      <c r="D7380" s="136">
        <f t="shared" si="345"/>
        <v>25</v>
      </c>
      <c r="E7380" s="136">
        <f t="shared" si="344"/>
        <v>18</v>
      </c>
      <c r="F7380" s="128" t="s">
        <v>24</v>
      </c>
      <c r="G7380" s="128" t="str">
        <f>VLOOKUP(source[[#This Row],[lending_product_transform]],[3]Mapping!$B$4:$C$37,2,0)</f>
        <v>[Cake] - Cashloan</v>
      </c>
      <c r="H7380" s="128" t="str">
        <f>VLOOKUP(source[[#This Row],[lending_product_transform]],[3]Mapping!$B$3:$D$37,3,0)</f>
        <v>cashloan</v>
      </c>
      <c r="I7380" s="135">
        <v>31541032</v>
      </c>
    </row>
    <row r="7381" spans="1:9" x14ac:dyDescent="0.2">
      <c r="A7381" s="134">
        <v>45826</v>
      </c>
      <c r="B7381" s="135">
        <f>YEAR(source[[#This Row],[report_date]])</f>
        <v>2025</v>
      </c>
      <c r="C7381" s="128">
        <f t="shared" si="343"/>
        <v>6</v>
      </c>
      <c r="D7381" s="136">
        <f t="shared" si="345"/>
        <v>25</v>
      </c>
      <c r="E7381" s="136">
        <f t="shared" si="344"/>
        <v>18</v>
      </c>
      <c r="F7381" s="128" t="s">
        <v>24</v>
      </c>
      <c r="G7381" s="128" t="str">
        <f>VLOOKUP(source[[#This Row],[lending_product_transform]],[3]Mapping!$B$4:$C$37,2,0)</f>
        <v>[Cake] - Cashloan</v>
      </c>
      <c r="H7381" s="128" t="str">
        <f>VLOOKUP(source[[#This Row],[lending_product_transform]],[3]Mapping!$B$3:$D$37,3,0)</f>
        <v>cashloan</v>
      </c>
      <c r="I7381" s="135">
        <v>0</v>
      </c>
    </row>
    <row r="7382" spans="1:9" x14ac:dyDescent="0.2">
      <c r="A7382" s="134">
        <v>45826</v>
      </c>
      <c r="B7382" s="135">
        <f>YEAR(source[[#This Row],[report_date]])</f>
        <v>2025</v>
      </c>
      <c r="C7382" s="128">
        <f t="shared" si="343"/>
        <v>6</v>
      </c>
      <c r="D7382" s="136">
        <f t="shared" si="345"/>
        <v>25</v>
      </c>
      <c r="E7382" s="136">
        <f t="shared" si="344"/>
        <v>18</v>
      </c>
      <c r="F7382" s="128" t="s">
        <v>24</v>
      </c>
      <c r="G7382" s="128" t="str">
        <f>VLOOKUP(source[[#This Row],[lending_product_transform]],[3]Mapping!$B$4:$C$37,2,0)</f>
        <v>[Cake] - Cashloan</v>
      </c>
      <c r="H7382" s="128" t="str">
        <f>VLOOKUP(source[[#This Row],[lending_product_transform]],[3]Mapping!$B$3:$D$37,3,0)</f>
        <v>cashloan</v>
      </c>
      <c r="I7382" s="135">
        <v>0</v>
      </c>
    </row>
    <row r="7383" spans="1:9" x14ac:dyDescent="0.2">
      <c r="A7383" s="134">
        <v>45826</v>
      </c>
      <c r="B7383" s="135">
        <f>YEAR(source[[#This Row],[report_date]])</f>
        <v>2025</v>
      </c>
      <c r="C7383" s="128">
        <f t="shared" si="343"/>
        <v>6</v>
      </c>
      <c r="D7383" s="136">
        <f t="shared" si="345"/>
        <v>25</v>
      </c>
      <c r="E7383" s="136">
        <f t="shared" si="344"/>
        <v>18</v>
      </c>
      <c r="F7383" s="128" t="s">
        <v>24</v>
      </c>
      <c r="G7383" s="128" t="str">
        <f>VLOOKUP(source[[#This Row],[lending_product_transform]],[3]Mapping!$B$4:$C$37,2,0)</f>
        <v>[Cake] - Cashloan</v>
      </c>
      <c r="H7383" s="128" t="str">
        <f>VLOOKUP(source[[#This Row],[lending_product_transform]],[3]Mapping!$B$3:$D$37,3,0)</f>
        <v>cashloan</v>
      </c>
      <c r="I7383" s="135">
        <v>0</v>
      </c>
    </row>
    <row r="7384" spans="1:9" x14ac:dyDescent="0.2">
      <c r="A7384" s="134">
        <v>45826</v>
      </c>
      <c r="B7384" s="135">
        <f>YEAR(source[[#This Row],[report_date]])</f>
        <v>2025</v>
      </c>
      <c r="C7384" s="128">
        <f t="shared" si="343"/>
        <v>6</v>
      </c>
      <c r="D7384" s="136">
        <f t="shared" si="345"/>
        <v>25</v>
      </c>
      <c r="E7384" s="136">
        <f t="shared" si="344"/>
        <v>18</v>
      </c>
      <c r="F7384" s="128" t="s">
        <v>24</v>
      </c>
      <c r="G7384" s="128" t="str">
        <f>VLOOKUP(source[[#This Row],[lending_product_transform]],[3]Mapping!$B$4:$C$37,2,0)</f>
        <v>[Cake] - Cashloan</v>
      </c>
      <c r="H7384" s="128" t="str">
        <f>VLOOKUP(source[[#This Row],[lending_product_transform]],[3]Mapping!$B$3:$D$37,3,0)</f>
        <v>cashloan</v>
      </c>
      <c r="I7384" s="135">
        <v>0</v>
      </c>
    </row>
    <row r="7385" spans="1:9" x14ac:dyDescent="0.2">
      <c r="A7385" s="134">
        <v>45826</v>
      </c>
      <c r="B7385" s="135">
        <f>YEAR(source[[#This Row],[report_date]])</f>
        <v>2025</v>
      </c>
      <c r="C7385" s="128">
        <f t="shared" si="343"/>
        <v>6</v>
      </c>
      <c r="D7385" s="136">
        <f t="shared" si="345"/>
        <v>25</v>
      </c>
      <c r="E7385" s="136">
        <f t="shared" si="344"/>
        <v>18</v>
      </c>
      <c r="F7385" s="128" t="s">
        <v>24</v>
      </c>
      <c r="G7385" s="128" t="str">
        <f>VLOOKUP(source[[#This Row],[lending_product_transform]],[3]Mapping!$B$4:$C$37,2,0)</f>
        <v>[Cake] - Cashloan</v>
      </c>
      <c r="H7385" s="128" t="str">
        <f>VLOOKUP(source[[#This Row],[lending_product_transform]],[3]Mapping!$B$3:$D$37,3,0)</f>
        <v>cashloan</v>
      </c>
      <c r="I7385" s="135">
        <v>0</v>
      </c>
    </row>
    <row r="7386" spans="1:9" x14ac:dyDescent="0.2">
      <c r="A7386" s="134">
        <v>45826</v>
      </c>
      <c r="B7386" s="135">
        <f>YEAR(source[[#This Row],[report_date]])</f>
        <v>2025</v>
      </c>
      <c r="C7386" s="128">
        <f t="shared" si="343"/>
        <v>6</v>
      </c>
      <c r="D7386" s="136">
        <f t="shared" si="345"/>
        <v>25</v>
      </c>
      <c r="E7386" s="136">
        <f t="shared" si="344"/>
        <v>18</v>
      </c>
      <c r="F7386" s="128" t="s">
        <v>24</v>
      </c>
      <c r="G7386" s="128" t="str">
        <f>VLOOKUP(source[[#This Row],[lending_product_transform]],[3]Mapping!$B$4:$C$37,2,0)</f>
        <v>[Cake] - Cashloan</v>
      </c>
      <c r="H7386" s="128" t="str">
        <f>VLOOKUP(source[[#This Row],[lending_product_transform]],[3]Mapping!$B$3:$D$37,3,0)</f>
        <v>cashloan</v>
      </c>
      <c r="I7386" s="135">
        <v>1334990000</v>
      </c>
    </row>
    <row r="7387" spans="1:9" x14ac:dyDescent="0.2">
      <c r="A7387" s="134">
        <v>45826</v>
      </c>
      <c r="B7387" s="135">
        <f>YEAR(source[[#This Row],[report_date]])</f>
        <v>2025</v>
      </c>
      <c r="C7387" s="128">
        <f t="shared" si="343"/>
        <v>6</v>
      </c>
      <c r="D7387" s="136">
        <f t="shared" si="345"/>
        <v>25</v>
      </c>
      <c r="E7387" s="136">
        <f t="shared" si="344"/>
        <v>18</v>
      </c>
      <c r="F7387" s="128" t="s">
        <v>24</v>
      </c>
      <c r="G7387" s="128" t="str">
        <f>VLOOKUP(source[[#This Row],[lending_product_transform]],[3]Mapping!$B$4:$C$37,2,0)</f>
        <v>[Cake] - Cashloan</v>
      </c>
      <c r="H7387" s="128" t="str">
        <f>VLOOKUP(source[[#This Row],[lending_product_transform]],[3]Mapping!$B$3:$D$37,3,0)</f>
        <v>cashloan</v>
      </c>
      <c r="I7387" s="135">
        <v>460610000</v>
      </c>
    </row>
    <row r="7388" spans="1:9" x14ac:dyDescent="0.2">
      <c r="A7388" s="134">
        <v>45826</v>
      </c>
      <c r="B7388" s="135">
        <f>YEAR(source[[#This Row],[report_date]])</f>
        <v>2025</v>
      </c>
      <c r="C7388" s="128">
        <f t="shared" si="343"/>
        <v>6</v>
      </c>
      <c r="D7388" s="136">
        <f t="shared" si="345"/>
        <v>25</v>
      </c>
      <c r="E7388" s="136">
        <f t="shared" si="344"/>
        <v>18</v>
      </c>
      <c r="F7388" s="128" t="s">
        <v>24</v>
      </c>
      <c r="G7388" s="128" t="str">
        <f>VLOOKUP(source[[#This Row],[lending_product_transform]],[3]Mapping!$B$4:$C$37,2,0)</f>
        <v>[Cake] - Cashloan</v>
      </c>
      <c r="H7388" s="128" t="str">
        <f>VLOOKUP(source[[#This Row],[lending_product_transform]],[3]Mapping!$B$3:$D$37,3,0)</f>
        <v>cashloan</v>
      </c>
      <c r="I7388" s="135">
        <v>56255000</v>
      </c>
    </row>
    <row r="7389" spans="1:9" x14ac:dyDescent="0.2">
      <c r="A7389" s="134">
        <v>45826</v>
      </c>
      <c r="B7389" s="135">
        <f>YEAR(source[[#This Row],[report_date]])</f>
        <v>2025</v>
      </c>
      <c r="C7389" s="128">
        <f t="shared" si="343"/>
        <v>6</v>
      </c>
      <c r="D7389" s="136">
        <f t="shared" si="345"/>
        <v>25</v>
      </c>
      <c r="E7389" s="136">
        <f t="shared" si="344"/>
        <v>18</v>
      </c>
      <c r="F7389" s="128" t="s">
        <v>24</v>
      </c>
      <c r="G7389" s="128" t="str">
        <f>VLOOKUP(source[[#This Row],[lending_product_transform]],[3]Mapping!$B$4:$C$37,2,0)</f>
        <v>[Cake] - Cashloan</v>
      </c>
      <c r="H7389" s="128" t="str">
        <f>VLOOKUP(source[[#This Row],[lending_product_transform]],[3]Mapping!$B$3:$D$37,3,0)</f>
        <v>cashloan</v>
      </c>
      <c r="I7389" s="135">
        <v>1311850000</v>
      </c>
    </row>
    <row r="7390" spans="1:9" x14ac:dyDescent="0.2">
      <c r="A7390" s="134">
        <v>45826</v>
      </c>
      <c r="B7390" s="135">
        <f>YEAR(source[[#This Row],[report_date]])</f>
        <v>2025</v>
      </c>
      <c r="C7390" s="128">
        <f t="shared" si="343"/>
        <v>6</v>
      </c>
      <c r="D7390" s="136">
        <f t="shared" si="345"/>
        <v>25</v>
      </c>
      <c r="E7390" s="136">
        <f t="shared" si="344"/>
        <v>18</v>
      </c>
      <c r="F7390" s="128" t="s">
        <v>24</v>
      </c>
      <c r="G7390" s="128" t="str">
        <f>VLOOKUP(source[[#This Row],[lending_product_transform]],[3]Mapping!$B$4:$C$37,2,0)</f>
        <v>[Cake] - Cashloan</v>
      </c>
      <c r="H7390" s="128" t="str">
        <f>VLOOKUP(source[[#This Row],[lending_product_transform]],[3]Mapping!$B$3:$D$37,3,0)</f>
        <v>cashloan</v>
      </c>
      <c r="I7390" s="135">
        <v>218889860</v>
      </c>
    </row>
    <row r="7391" spans="1:9" x14ac:dyDescent="0.2">
      <c r="A7391" s="134">
        <v>45826</v>
      </c>
      <c r="B7391" s="135">
        <f>YEAR(source[[#This Row],[report_date]])</f>
        <v>2025</v>
      </c>
      <c r="C7391" s="128">
        <f t="shared" si="343"/>
        <v>6</v>
      </c>
      <c r="D7391" s="136">
        <f t="shared" si="345"/>
        <v>25</v>
      </c>
      <c r="E7391" s="136">
        <f t="shared" si="344"/>
        <v>18</v>
      </c>
      <c r="F7391" s="128" t="s">
        <v>24</v>
      </c>
      <c r="G7391" s="128" t="str">
        <f>VLOOKUP(source[[#This Row],[lending_product_transform]],[3]Mapping!$B$4:$C$37,2,0)</f>
        <v>[Cake] - Cashloan</v>
      </c>
      <c r="H7391" s="128" t="str">
        <f>VLOOKUP(source[[#This Row],[lending_product_transform]],[3]Mapping!$B$3:$D$37,3,0)</f>
        <v>cashloan</v>
      </c>
      <c r="I7391" s="135">
        <v>277383118</v>
      </c>
    </row>
    <row r="7392" spans="1:9" x14ac:dyDescent="0.2">
      <c r="A7392" s="134">
        <v>45826</v>
      </c>
      <c r="B7392" s="135">
        <f>YEAR(source[[#This Row],[report_date]])</f>
        <v>2025</v>
      </c>
      <c r="C7392" s="128">
        <f t="shared" si="343"/>
        <v>6</v>
      </c>
      <c r="D7392" s="136">
        <f t="shared" si="345"/>
        <v>25</v>
      </c>
      <c r="E7392" s="136">
        <f t="shared" si="344"/>
        <v>18</v>
      </c>
      <c r="F7392" s="128" t="s">
        <v>24</v>
      </c>
      <c r="G7392" s="128" t="str">
        <f>VLOOKUP(source[[#This Row],[lending_product_transform]],[3]Mapping!$B$4:$C$37,2,0)</f>
        <v>[Cake] - Cashloan</v>
      </c>
      <c r="H7392" s="128" t="str">
        <f>VLOOKUP(source[[#This Row],[lending_product_transform]],[3]Mapping!$B$3:$D$37,3,0)</f>
        <v>cashloan</v>
      </c>
      <c r="I7392" s="135">
        <v>3453741499</v>
      </c>
    </row>
    <row r="7393" spans="1:9" x14ac:dyDescent="0.2">
      <c r="A7393" s="134">
        <v>45827</v>
      </c>
      <c r="B7393" s="135">
        <f>YEAR(source[[#This Row],[report_date]])</f>
        <v>2025</v>
      </c>
      <c r="C7393" s="128">
        <f t="shared" si="343"/>
        <v>6</v>
      </c>
      <c r="D7393" s="136">
        <f t="shared" si="345"/>
        <v>25</v>
      </c>
      <c r="E7393" s="136">
        <f t="shared" si="344"/>
        <v>19</v>
      </c>
      <c r="F7393" s="128" t="s">
        <v>24</v>
      </c>
      <c r="G7393" s="128" t="str">
        <f>VLOOKUP(source[[#This Row],[lending_product_transform]],[3]Mapping!$B$4:$C$37,2,0)</f>
        <v>[Cake] - Cashloan</v>
      </c>
      <c r="H7393" s="128" t="str">
        <f>VLOOKUP(source[[#This Row],[lending_product_transform]],[3]Mapping!$B$3:$D$37,3,0)</f>
        <v>cashloan</v>
      </c>
      <c r="I7393" s="135">
        <v>1209920000</v>
      </c>
    </row>
    <row r="7394" spans="1:9" x14ac:dyDescent="0.2">
      <c r="A7394" s="134">
        <v>45827</v>
      </c>
      <c r="B7394" s="135">
        <f>YEAR(source[[#This Row],[report_date]])</f>
        <v>2025</v>
      </c>
      <c r="C7394" s="128">
        <f t="shared" si="343"/>
        <v>6</v>
      </c>
      <c r="D7394" s="136">
        <f t="shared" si="345"/>
        <v>25</v>
      </c>
      <c r="E7394" s="136">
        <f t="shared" si="344"/>
        <v>19</v>
      </c>
      <c r="F7394" s="128" t="s">
        <v>24</v>
      </c>
      <c r="G7394" s="128" t="str">
        <f>VLOOKUP(source[[#This Row],[lending_product_transform]],[3]Mapping!$B$4:$C$37,2,0)</f>
        <v>[Cake] - Cashloan</v>
      </c>
      <c r="H7394" s="128" t="str">
        <f>VLOOKUP(source[[#This Row],[lending_product_transform]],[3]Mapping!$B$3:$D$37,3,0)</f>
        <v>cashloan</v>
      </c>
      <c r="I7394" s="135">
        <v>211141509</v>
      </c>
    </row>
    <row r="7395" spans="1:9" x14ac:dyDescent="0.2">
      <c r="A7395" s="134">
        <v>45827</v>
      </c>
      <c r="B7395" s="135">
        <f>YEAR(source[[#This Row],[report_date]])</f>
        <v>2025</v>
      </c>
      <c r="C7395" s="128">
        <f t="shared" si="343"/>
        <v>6</v>
      </c>
      <c r="D7395" s="136">
        <f t="shared" si="345"/>
        <v>25</v>
      </c>
      <c r="E7395" s="136">
        <f t="shared" si="344"/>
        <v>19</v>
      </c>
      <c r="F7395" s="128" t="s">
        <v>24</v>
      </c>
      <c r="G7395" s="128" t="str">
        <f>VLOOKUP(source[[#This Row],[lending_product_transform]],[3]Mapping!$B$4:$C$37,2,0)</f>
        <v>[Cake] - Cashloan</v>
      </c>
      <c r="H7395" s="128" t="str">
        <f>VLOOKUP(source[[#This Row],[lending_product_transform]],[3]Mapping!$B$3:$D$37,3,0)</f>
        <v>cashloan</v>
      </c>
      <c r="I7395" s="135">
        <v>274979379</v>
      </c>
    </row>
    <row r="7396" spans="1:9" x14ac:dyDescent="0.2">
      <c r="A7396" s="134">
        <v>45827</v>
      </c>
      <c r="B7396" s="135">
        <f>YEAR(source[[#This Row],[report_date]])</f>
        <v>2025</v>
      </c>
      <c r="C7396" s="128">
        <f t="shared" si="343"/>
        <v>6</v>
      </c>
      <c r="D7396" s="136">
        <f t="shared" si="345"/>
        <v>25</v>
      </c>
      <c r="E7396" s="136">
        <f t="shared" si="344"/>
        <v>19</v>
      </c>
      <c r="F7396" s="128" t="s">
        <v>24</v>
      </c>
      <c r="G7396" s="128" t="str">
        <f>VLOOKUP(source[[#This Row],[lending_product_transform]],[3]Mapping!$B$4:$C$37,2,0)</f>
        <v>[Cake] - Cashloan</v>
      </c>
      <c r="H7396" s="128" t="str">
        <f>VLOOKUP(source[[#This Row],[lending_product_transform]],[3]Mapping!$B$3:$D$37,3,0)</f>
        <v>cashloan</v>
      </c>
      <c r="I7396" s="135">
        <v>3477352126</v>
      </c>
    </row>
    <row r="7397" spans="1:9" x14ac:dyDescent="0.2">
      <c r="A7397" s="134">
        <v>45827</v>
      </c>
      <c r="B7397" s="135">
        <f>YEAR(source[[#This Row],[report_date]])</f>
        <v>2025</v>
      </c>
      <c r="C7397" s="128">
        <f t="shared" si="343"/>
        <v>6</v>
      </c>
      <c r="D7397" s="136">
        <f t="shared" si="345"/>
        <v>25</v>
      </c>
      <c r="E7397" s="136">
        <f t="shared" si="344"/>
        <v>19</v>
      </c>
      <c r="F7397" s="128" t="s">
        <v>24</v>
      </c>
      <c r="G7397" s="128" t="str">
        <f>VLOOKUP(source[[#This Row],[lending_product_transform]],[3]Mapping!$B$4:$C$37,2,0)</f>
        <v>[Cake] - Cashloan</v>
      </c>
      <c r="H7397" s="128" t="str">
        <f>VLOOKUP(source[[#This Row],[lending_product_transform]],[3]Mapping!$B$3:$D$37,3,0)</f>
        <v>cashloan</v>
      </c>
      <c r="I7397" s="135">
        <v>281647611</v>
      </c>
    </row>
    <row r="7398" spans="1:9" x14ac:dyDescent="0.2">
      <c r="A7398" s="134">
        <v>45827</v>
      </c>
      <c r="B7398" s="135">
        <f>YEAR(source[[#This Row],[report_date]])</f>
        <v>2025</v>
      </c>
      <c r="C7398" s="128">
        <f t="shared" si="343"/>
        <v>6</v>
      </c>
      <c r="D7398" s="136">
        <f t="shared" si="345"/>
        <v>25</v>
      </c>
      <c r="E7398" s="136">
        <f t="shared" si="344"/>
        <v>19</v>
      </c>
      <c r="F7398" s="128" t="s">
        <v>24</v>
      </c>
      <c r="G7398" s="128" t="str">
        <f>VLOOKUP(source[[#This Row],[lending_product_transform]],[3]Mapping!$B$4:$C$37,2,0)</f>
        <v>[Cake] - Cashloan</v>
      </c>
      <c r="H7398" s="128" t="str">
        <f>VLOOKUP(source[[#This Row],[lending_product_transform]],[3]Mapping!$B$3:$D$37,3,0)</f>
        <v>cashloan</v>
      </c>
      <c r="I7398" s="135">
        <v>9085150000</v>
      </c>
    </row>
    <row r="7399" spans="1:9" x14ac:dyDescent="0.2">
      <c r="A7399" s="134">
        <v>45827</v>
      </c>
      <c r="B7399" s="135">
        <f>YEAR(source[[#This Row],[report_date]])</f>
        <v>2025</v>
      </c>
      <c r="C7399" s="128">
        <f t="shared" si="343"/>
        <v>6</v>
      </c>
      <c r="D7399" s="136">
        <f t="shared" si="345"/>
        <v>25</v>
      </c>
      <c r="E7399" s="136">
        <f t="shared" si="344"/>
        <v>19</v>
      </c>
      <c r="F7399" s="128" t="s">
        <v>24</v>
      </c>
      <c r="G7399" s="128" t="str">
        <f>VLOOKUP(source[[#This Row],[lending_product_transform]],[3]Mapping!$B$4:$C$37,2,0)</f>
        <v>[Cake] - Cashloan</v>
      </c>
      <c r="H7399" s="128" t="str">
        <f>VLOOKUP(source[[#This Row],[lending_product_transform]],[3]Mapping!$B$3:$D$37,3,0)</f>
        <v>cashloan</v>
      </c>
      <c r="I7399" s="135">
        <v>4133160000</v>
      </c>
    </row>
    <row r="7400" spans="1:9" x14ac:dyDescent="0.2">
      <c r="A7400" s="134">
        <v>45827</v>
      </c>
      <c r="B7400" s="135">
        <f>YEAR(source[[#This Row],[report_date]])</f>
        <v>2025</v>
      </c>
      <c r="C7400" s="128">
        <f t="shared" si="343"/>
        <v>6</v>
      </c>
      <c r="D7400" s="136">
        <f t="shared" si="345"/>
        <v>25</v>
      </c>
      <c r="E7400" s="136">
        <f t="shared" si="344"/>
        <v>19</v>
      </c>
      <c r="F7400" s="128" t="s">
        <v>24</v>
      </c>
      <c r="G7400" s="128" t="str">
        <f>VLOOKUP(source[[#This Row],[lending_product_transform]],[3]Mapping!$B$4:$C$37,2,0)</f>
        <v>[Cake] - Cashloan</v>
      </c>
      <c r="H7400" s="128" t="str">
        <f>VLOOKUP(source[[#This Row],[lending_product_transform]],[3]Mapping!$B$3:$D$37,3,0)</f>
        <v>cashloan</v>
      </c>
      <c r="I7400" s="135">
        <v>7870140000</v>
      </c>
    </row>
    <row r="7401" spans="1:9" x14ac:dyDescent="0.2">
      <c r="A7401" s="134">
        <v>45827</v>
      </c>
      <c r="B7401" s="135">
        <f>YEAR(source[[#This Row],[report_date]])</f>
        <v>2025</v>
      </c>
      <c r="C7401" s="128">
        <f t="shared" si="343"/>
        <v>6</v>
      </c>
      <c r="D7401" s="136">
        <f t="shared" si="345"/>
        <v>25</v>
      </c>
      <c r="E7401" s="136">
        <f t="shared" si="344"/>
        <v>19</v>
      </c>
      <c r="F7401" s="128" t="s">
        <v>24</v>
      </c>
      <c r="G7401" s="128" t="str">
        <f>VLOOKUP(source[[#This Row],[lending_product_transform]],[3]Mapping!$B$4:$C$37,2,0)</f>
        <v>[Cake] - Cashloan</v>
      </c>
      <c r="H7401" s="128" t="str">
        <f>VLOOKUP(source[[#This Row],[lending_product_transform]],[3]Mapping!$B$3:$D$37,3,0)</f>
        <v>cashloan</v>
      </c>
      <c r="I7401" s="135">
        <v>0</v>
      </c>
    </row>
    <row r="7402" spans="1:9" x14ac:dyDescent="0.2">
      <c r="A7402" s="134">
        <v>45827</v>
      </c>
      <c r="B7402" s="135">
        <f>YEAR(source[[#This Row],[report_date]])</f>
        <v>2025</v>
      </c>
      <c r="C7402" s="128">
        <f t="shared" si="343"/>
        <v>6</v>
      </c>
      <c r="D7402" s="136">
        <f t="shared" si="345"/>
        <v>25</v>
      </c>
      <c r="E7402" s="136">
        <f t="shared" si="344"/>
        <v>19</v>
      </c>
      <c r="F7402" s="128" t="s">
        <v>24</v>
      </c>
      <c r="G7402" s="128" t="str">
        <f>VLOOKUP(source[[#This Row],[lending_product_transform]],[3]Mapping!$B$4:$C$37,2,0)</f>
        <v>[Cake] - Cashloan</v>
      </c>
      <c r="H7402" s="128" t="str">
        <f>VLOOKUP(source[[#This Row],[lending_product_transform]],[3]Mapping!$B$3:$D$37,3,0)</f>
        <v>cashloan</v>
      </c>
      <c r="I7402" s="135">
        <v>17330002</v>
      </c>
    </row>
    <row r="7403" spans="1:9" x14ac:dyDescent="0.2">
      <c r="A7403" s="134">
        <v>45827</v>
      </c>
      <c r="B7403" s="135">
        <f>YEAR(source[[#This Row],[report_date]])</f>
        <v>2025</v>
      </c>
      <c r="C7403" s="128">
        <f t="shared" si="343"/>
        <v>6</v>
      </c>
      <c r="D7403" s="136">
        <f t="shared" si="345"/>
        <v>25</v>
      </c>
      <c r="E7403" s="136">
        <f t="shared" si="344"/>
        <v>19</v>
      </c>
      <c r="F7403" s="128" t="s">
        <v>24</v>
      </c>
      <c r="G7403" s="128" t="str">
        <f>VLOOKUP(source[[#This Row],[lending_product_transform]],[3]Mapping!$B$4:$C$37,2,0)</f>
        <v>[Cake] - Cashloan</v>
      </c>
      <c r="H7403" s="128" t="str">
        <f>VLOOKUP(source[[#This Row],[lending_product_transform]],[3]Mapping!$B$3:$D$37,3,0)</f>
        <v>cashloan</v>
      </c>
      <c r="I7403" s="135">
        <v>1196550000</v>
      </c>
    </row>
    <row r="7404" spans="1:9" x14ac:dyDescent="0.2">
      <c r="A7404" s="134">
        <v>45827</v>
      </c>
      <c r="B7404" s="135">
        <f>YEAR(source[[#This Row],[report_date]])</f>
        <v>2025</v>
      </c>
      <c r="C7404" s="128">
        <f t="shared" si="343"/>
        <v>6</v>
      </c>
      <c r="D7404" s="136">
        <f t="shared" si="345"/>
        <v>25</v>
      </c>
      <c r="E7404" s="136">
        <f t="shared" si="344"/>
        <v>19</v>
      </c>
      <c r="F7404" s="128" t="s">
        <v>24</v>
      </c>
      <c r="G7404" s="128" t="str">
        <f>VLOOKUP(source[[#This Row],[lending_product_transform]],[3]Mapping!$B$4:$C$37,2,0)</f>
        <v>[Cake] - Cashloan</v>
      </c>
      <c r="H7404" s="128" t="str">
        <f>VLOOKUP(source[[#This Row],[lending_product_transform]],[3]Mapping!$B$3:$D$37,3,0)</f>
        <v>cashloan</v>
      </c>
      <c r="I7404" s="135">
        <v>0</v>
      </c>
    </row>
    <row r="7405" spans="1:9" x14ac:dyDescent="0.2">
      <c r="A7405" s="134">
        <v>45827</v>
      </c>
      <c r="B7405" s="135">
        <f>YEAR(source[[#This Row],[report_date]])</f>
        <v>2025</v>
      </c>
      <c r="C7405" s="128">
        <f t="shared" si="343"/>
        <v>6</v>
      </c>
      <c r="D7405" s="136">
        <f t="shared" si="345"/>
        <v>25</v>
      </c>
      <c r="E7405" s="136">
        <f t="shared" si="344"/>
        <v>19</v>
      </c>
      <c r="F7405" s="128" t="s">
        <v>24</v>
      </c>
      <c r="G7405" s="128" t="str">
        <f>VLOOKUP(source[[#This Row],[lending_product_transform]],[3]Mapping!$B$4:$C$37,2,0)</f>
        <v>[Cake] - Cashloan</v>
      </c>
      <c r="H7405" s="128" t="str">
        <f>VLOOKUP(source[[#This Row],[lending_product_transform]],[3]Mapping!$B$3:$D$37,3,0)</f>
        <v>cashloan</v>
      </c>
      <c r="I7405" s="135">
        <v>41500000</v>
      </c>
    </row>
    <row r="7406" spans="1:9" x14ac:dyDescent="0.2">
      <c r="A7406" s="134">
        <v>45827</v>
      </c>
      <c r="B7406" s="135">
        <f>YEAR(source[[#This Row],[report_date]])</f>
        <v>2025</v>
      </c>
      <c r="C7406" s="128">
        <f t="shared" si="343"/>
        <v>6</v>
      </c>
      <c r="D7406" s="136">
        <f t="shared" si="345"/>
        <v>25</v>
      </c>
      <c r="E7406" s="136">
        <f t="shared" si="344"/>
        <v>19</v>
      </c>
      <c r="F7406" s="128" t="s">
        <v>24</v>
      </c>
      <c r="G7406" s="128" t="str">
        <f>VLOOKUP(source[[#This Row],[lending_product_transform]],[3]Mapping!$B$4:$C$37,2,0)</f>
        <v>[Cake] - Cashloan</v>
      </c>
      <c r="H7406" s="128" t="str">
        <f>VLOOKUP(source[[#This Row],[lending_product_transform]],[3]Mapping!$B$3:$D$37,3,0)</f>
        <v>cashloan</v>
      </c>
      <c r="I7406" s="135">
        <v>491180000</v>
      </c>
    </row>
    <row r="7407" spans="1:9" x14ac:dyDescent="0.2">
      <c r="A7407" s="134">
        <v>45827</v>
      </c>
      <c r="B7407" s="135">
        <f>YEAR(source[[#This Row],[report_date]])</f>
        <v>2025</v>
      </c>
      <c r="C7407" s="128">
        <f t="shared" si="343"/>
        <v>6</v>
      </c>
      <c r="D7407" s="136">
        <f t="shared" si="345"/>
        <v>25</v>
      </c>
      <c r="E7407" s="136">
        <f t="shared" si="344"/>
        <v>19</v>
      </c>
      <c r="F7407" s="128" t="s">
        <v>24</v>
      </c>
      <c r="G7407" s="128" t="str">
        <f>VLOOKUP(source[[#This Row],[lending_product_transform]],[3]Mapping!$B$4:$C$37,2,0)</f>
        <v>[Cake] - Cashloan</v>
      </c>
      <c r="H7407" s="128" t="str">
        <f>VLOOKUP(source[[#This Row],[lending_product_transform]],[3]Mapping!$B$3:$D$37,3,0)</f>
        <v>cashloan</v>
      </c>
      <c r="I7407" s="135">
        <v>20000000</v>
      </c>
    </row>
    <row r="7408" spans="1:9" x14ac:dyDescent="0.2">
      <c r="A7408" s="134">
        <v>45827</v>
      </c>
      <c r="B7408" s="135">
        <f>YEAR(source[[#This Row],[report_date]])</f>
        <v>2025</v>
      </c>
      <c r="C7408" s="128">
        <f t="shared" si="343"/>
        <v>6</v>
      </c>
      <c r="D7408" s="136">
        <f t="shared" si="345"/>
        <v>25</v>
      </c>
      <c r="E7408" s="136">
        <f t="shared" si="344"/>
        <v>19</v>
      </c>
      <c r="F7408" s="128" t="s">
        <v>24</v>
      </c>
      <c r="G7408" s="128" t="str">
        <f>VLOOKUP(source[[#This Row],[lending_product_transform]],[3]Mapping!$B$4:$C$37,2,0)</f>
        <v>[Cake] - Cashloan</v>
      </c>
      <c r="H7408" s="128" t="str">
        <f>VLOOKUP(source[[#This Row],[lending_product_transform]],[3]Mapping!$B$3:$D$37,3,0)</f>
        <v>cashloan</v>
      </c>
      <c r="I7408" s="135">
        <v>0</v>
      </c>
    </row>
    <row r="7409" spans="1:9" x14ac:dyDescent="0.2">
      <c r="A7409" s="134">
        <v>45827</v>
      </c>
      <c r="B7409" s="135">
        <f>YEAR(source[[#This Row],[report_date]])</f>
        <v>2025</v>
      </c>
      <c r="C7409" s="128">
        <f t="shared" si="343"/>
        <v>6</v>
      </c>
      <c r="D7409" s="136">
        <f t="shared" si="345"/>
        <v>25</v>
      </c>
      <c r="E7409" s="136">
        <f t="shared" si="344"/>
        <v>19</v>
      </c>
      <c r="F7409" s="128" t="s">
        <v>24</v>
      </c>
      <c r="G7409" s="128" t="str">
        <f>VLOOKUP(source[[#This Row],[lending_product_transform]],[3]Mapping!$B$4:$C$37,2,0)</f>
        <v>[Cake] - Cashloan</v>
      </c>
      <c r="H7409" s="128" t="str">
        <f>VLOOKUP(source[[#This Row],[lending_product_transform]],[3]Mapping!$B$3:$D$37,3,0)</f>
        <v>cashloan</v>
      </c>
      <c r="I7409" s="135">
        <v>0</v>
      </c>
    </row>
    <row r="7410" spans="1:9" x14ac:dyDescent="0.2">
      <c r="A7410" s="134">
        <v>45827</v>
      </c>
      <c r="B7410" s="135">
        <f>YEAR(source[[#This Row],[report_date]])</f>
        <v>2025</v>
      </c>
      <c r="C7410" s="128">
        <f t="shared" si="343"/>
        <v>6</v>
      </c>
      <c r="D7410" s="136">
        <f t="shared" si="345"/>
        <v>25</v>
      </c>
      <c r="E7410" s="136">
        <f t="shared" si="344"/>
        <v>19</v>
      </c>
      <c r="F7410" s="128" t="s">
        <v>24</v>
      </c>
      <c r="G7410" s="128" t="str">
        <f>VLOOKUP(source[[#This Row],[lending_product_transform]],[3]Mapping!$B$4:$C$37,2,0)</f>
        <v>[Cake] - Cashloan</v>
      </c>
      <c r="H7410" s="128" t="str">
        <f>VLOOKUP(source[[#This Row],[lending_product_transform]],[3]Mapping!$B$3:$D$37,3,0)</f>
        <v>cashloan</v>
      </c>
      <c r="I7410" s="135">
        <v>0</v>
      </c>
    </row>
    <row r="7411" spans="1:9" x14ac:dyDescent="0.2">
      <c r="A7411" s="134">
        <v>45827</v>
      </c>
      <c r="B7411" s="135">
        <f>YEAR(source[[#This Row],[report_date]])</f>
        <v>2025</v>
      </c>
      <c r="C7411" s="128">
        <f t="shared" si="343"/>
        <v>6</v>
      </c>
      <c r="D7411" s="136">
        <f t="shared" si="345"/>
        <v>25</v>
      </c>
      <c r="E7411" s="136">
        <f t="shared" si="344"/>
        <v>19</v>
      </c>
      <c r="F7411" s="128" t="s">
        <v>24</v>
      </c>
      <c r="G7411" s="128" t="str">
        <f>VLOOKUP(source[[#This Row],[lending_product_transform]],[3]Mapping!$B$4:$C$37,2,0)</f>
        <v>[Cake] - Cashloan</v>
      </c>
      <c r="H7411" s="128" t="str">
        <f>VLOOKUP(source[[#This Row],[lending_product_transform]],[3]Mapping!$B$3:$D$37,3,0)</f>
        <v>cashloan</v>
      </c>
      <c r="I7411" s="135">
        <v>64225000</v>
      </c>
    </row>
    <row r="7412" spans="1:9" x14ac:dyDescent="0.2">
      <c r="A7412" s="134">
        <v>45828</v>
      </c>
      <c r="B7412" s="135">
        <f>YEAR(source[[#This Row],[report_date]])</f>
        <v>2025</v>
      </c>
      <c r="C7412" s="128">
        <f t="shared" si="343"/>
        <v>6</v>
      </c>
      <c r="D7412" s="136">
        <f t="shared" si="345"/>
        <v>25</v>
      </c>
      <c r="E7412" s="136">
        <f t="shared" si="344"/>
        <v>20</v>
      </c>
      <c r="F7412" s="128" t="s">
        <v>24</v>
      </c>
      <c r="G7412" s="128" t="str">
        <f>VLOOKUP(source[[#This Row],[lending_product_transform]],[3]Mapping!$B$4:$C$37,2,0)</f>
        <v>[Cake] - Cashloan</v>
      </c>
      <c r="H7412" s="128" t="str">
        <f>VLOOKUP(source[[#This Row],[lending_product_transform]],[3]Mapping!$B$3:$D$37,3,0)</f>
        <v>cashloan</v>
      </c>
      <c r="I7412" s="135">
        <v>5737608000</v>
      </c>
    </row>
    <row r="7413" spans="1:9" x14ac:dyDescent="0.2">
      <c r="A7413" s="134">
        <v>45828</v>
      </c>
      <c r="B7413" s="135">
        <f>YEAR(source[[#This Row],[report_date]])</f>
        <v>2025</v>
      </c>
      <c r="C7413" s="128">
        <f t="shared" si="343"/>
        <v>6</v>
      </c>
      <c r="D7413" s="136">
        <f t="shared" si="345"/>
        <v>25</v>
      </c>
      <c r="E7413" s="136">
        <f t="shared" si="344"/>
        <v>20</v>
      </c>
      <c r="F7413" s="128" t="s">
        <v>24</v>
      </c>
      <c r="G7413" s="128" t="str">
        <f>VLOOKUP(source[[#This Row],[lending_product_transform]],[3]Mapping!$B$4:$C$37,2,0)</f>
        <v>[Cake] - Cashloan</v>
      </c>
      <c r="H7413" s="128" t="str">
        <f>VLOOKUP(source[[#This Row],[lending_product_transform]],[3]Mapping!$B$3:$D$37,3,0)</f>
        <v>cashloan</v>
      </c>
      <c r="I7413" s="135">
        <v>8577810000</v>
      </c>
    </row>
    <row r="7414" spans="1:9" x14ac:dyDescent="0.2">
      <c r="A7414" s="134">
        <v>45828</v>
      </c>
      <c r="B7414" s="135">
        <f>YEAR(source[[#This Row],[report_date]])</f>
        <v>2025</v>
      </c>
      <c r="C7414" s="128">
        <f t="shared" ref="C7414:C7477" si="346">MONTH(A7414)</f>
        <v>6</v>
      </c>
      <c r="D7414" s="136">
        <f t="shared" si="345"/>
        <v>25</v>
      </c>
      <c r="E7414" s="136">
        <f t="shared" ref="E7414:E7477" si="347">DAY(A7414)</f>
        <v>20</v>
      </c>
      <c r="F7414" s="128" t="s">
        <v>24</v>
      </c>
      <c r="G7414" s="128" t="str">
        <f>VLOOKUP(source[[#This Row],[lending_product_transform]],[3]Mapping!$B$4:$C$37,2,0)</f>
        <v>[Cake] - Cashloan</v>
      </c>
      <c r="H7414" s="128" t="str">
        <f>VLOOKUP(source[[#This Row],[lending_product_transform]],[3]Mapping!$B$3:$D$37,3,0)</f>
        <v>cashloan</v>
      </c>
      <c r="I7414" s="135">
        <v>7776030000</v>
      </c>
    </row>
    <row r="7415" spans="1:9" x14ac:dyDescent="0.2">
      <c r="A7415" s="134">
        <v>45828</v>
      </c>
      <c r="B7415" s="135">
        <f>YEAR(source[[#This Row],[report_date]])</f>
        <v>2025</v>
      </c>
      <c r="C7415" s="128">
        <f t="shared" si="346"/>
        <v>6</v>
      </c>
      <c r="D7415" s="136">
        <f t="shared" si="345"/>
        <v>25</v>
      </c>
      <c r="E7415" s="136">
        <f t="shared" si="347"/>
        <v>20</v>
      </c>
      <c r="F7415" s="128" t="s">
        <v>24</v>
      </c>
      <c r="G7415" s="128" t="str">
        <f>VLOOKUP(source[[#This Row],[lending_product_transform]],[3]Mapping!$B$4:$C$37,2,0)</f>
        <v>[Cake] - Cashloan</v>
      </c>
      <c r="H7415" s="128" t="str">
        <f>VLOOKUP(source[[#This Row],[lending_product_transform]],[3]Mapping!$B$3:$D$37,3,0)</f>
        <v>cashloan</v>
      </c>
      <c r="I7415" s="135">
        <v>307858081</v>
      </c>
    </row>
    <row r="7416" spans="1:9" x14ac:dyDescent="0.2">
      <c r="A7416" s="134">
        <v>45828</v>
      </c>
      <c r="B7416" s="135">
        <f>YEAR(source[[#This Row],[report_date]])</f>
        <v>2025</v>
      </c>
      <c r="C7416" s="128">
        <f t="shared" si="346"/>
        <v>6</v>
      </c>
      <c r="D7416" s="136">
        <f t="shared" si="345"/>
        <v>25</v>
      </c>
      <c r="E7416" s="136">
        <f t="shared" si="347"/>
        <v>20</v>
      </c>
      <c r="F7416" s="128" t="s">
        <v>24</v>
      </c>
      <c r="G7416" s="128" t="str">
        <f>VLOOKUP(source[[#This Row],[lending_product_transform]],[3]Mapping!$B$4:$C$37,2,0)</f>
        <v>[Cake] - Cashloan</v>
      </c>
      <c r="H7416" s="128" t="str">
        <f>VLOOKUP(source[[#This Row],[lending_product_transform]],[3]Mapping!$B$3:$D$37,3,0)</f>
        <v>cashloan</v>
      </c>
      <c r="I7416" s="135">
        <v>33600000</v>
      </c>
    </row>
    <row r="7417" spans="1:9" x14ac:dyDescent="0.2">
      <c r="A7417" s="134">
        <v>45828</v>
      </c>
      <c r="B7417" s="135">
        <f>YEAR(source[[#This Row],[report_date]])</f>
        <v>2025</v>
      </c>
      <c r="C7417" s="128">
        <f t="shared" si="346"/>
        <v>6</v>
      </c>
      <c r="D7417" s="136">
        <f t="shared" si="345"/>
        <v>25</v>
      </c>
      <c r="E7417" s="136">
        <f t="shared" si="347"/>
        <v>20</v>
      </c>
      <c r="F7417" s="128" t="s">
        <v>24</v>
      </c>
      <c r="G7417" s="128" t="str">
        <f>VLOOKUP(source[[#This Row],[lending_product_transform]],[3]Mapping!$B$4:$C$37,2,0)</f>
        <v>[Cake] - Cashloan</v>
      </c>
      <c r="H7417" s="128" t="str">
        <f>VLOOKUP(source[[#This Row],[lending_product_transform]],[3]Mapping!$B$3:$D$37,3,0)</f>
        <v>cashloan</v>
      </c>
      <c r="I7417" s="135">
        <v>24235334</v>
      </c>
    </row>
    <row r="7418" spans="1:9" x14ac:dyDescent="0.2">
      <c r="A7418" s="134">
        <v>45828</v>
      </c>
      <c r="B7418" s="135">
        <f>YEAR(source[[#This Row],[report_date]])</f>
        <v>2025</v>
      </c>
      <c r="C7418" s="128">
        <f t="shared" si="346"/>
        <v>6</v>
      </c>
      <c r="D7418" s="136">
        <f t="shared" si="345"/>
        <v>25</v>
      </c>
      <c r="E7418" s="136">
        <f t="shared" si="347"/>
        <v>20</v>
      </c>
      <c r="F7418" s="128" t="s">
        <v>24</v>
      </c>
      <c r="G7418" s="128" t="str">
        <f>VLOOKUP(source[[#This Row],[lending_product_transform]],[3]Mapping!$B$4:$C$37,2,0)</f>
        <v>[Cake] - Cashloan</v>
      </c>
      <c r="H7418" s="128" t="str">
        <f>VLOOKUP(source[[#This Row],[lending_product_transform]],[3]Mapping!$B$3:$D$37,3,0)</f>
        <v>cashloan</v>
      </c>
      <c r="I7418" s="135">
        <v>0</v>
      </c>
    </row>
    <row r="7419" spans="1:9" x14ac:dyDescent="0.2">
      <c r="A7419" s="134">
        <v>45828</v>
      </c>
      <c r="B7419" s="135">
        <f>YEAR(source[[#This Row],[report_date]])</f>
        <v>2025</v>
      </c>
      <c r="C7419" s="128">
        <f t="shared" si="346"/>
        <v>6</v>
      </c>
      <c r="D7419" s="136">
        <f t="shared" si="345"/>
        <v>25</v>
      </c>
      <c r="E7419" s="136">
        <f t="shared" si="347"/>
        <v>20</v>
      </c>
      <c r="F7419" s="128" t="s">
        <v>24</v>
      </c>
      <c r="G7419" s="128" t="str">
        <f>VLOOKUP(source[[#This Row],[lending_product_transform]],[3]Mapping!$B$4:$C$37,2,0)</f>
        <v>[Cake] - Cashloan</v>
      </c>
      <c r="H7419" s="128" t="str">
        <f>VLOOKUP(source[[#This Row],[lending_product_transform]],[3]Mapping!$B$3:$D$37,3,0)</f>
        <v>cashloan</v>
      </c>
      <c r="I7419" s="135">
        <v>0</v>
      </c>
    </row>
    <row r="7420" spans="1:9" x14ac:dyDescent="0.2">
      <c r="A7420" s="134">
        <v>45828</v>
      </c>
      <c r="B7420" s="135">
        <f>YEAR(source[[#This Row],[report_date]])</f>
        <v>2025</v>
      </c>
      <c r="C7420" s="128">
        <f t="shared" si="346"/>
        <v>6</v>
      </c>
      <c r="D7420" s="136">
        <f t="shared" si="345"/>
        <v>25</v>
      </c>
      <c r="E7420" s="136">
        <f t="shared" si="347"/>
        <v>20</v>
      </c>
      <c r="F7420" s="128" t="s">
        <v>24</v>
      </c>
      <c r="G7420" s="128" t="str">
        <f>VLOOKUP(source[[#This Row],[lending_product_transform]],[3]Mapping!$B$4:$C$37,2,0)</f>
        <v>[Cake] - Cashloan</v>
      </c>
      <c r="H7420" s="128" t="str">
        <f>VLOOKUP(source[[#This Row],[lending_product_transform]],[3]Mapping!$B$3:$D$37,3,0)</f>
        <v>cashloan</v>
      </c>
      <c r="I7420" s="135">
        <v>52500000</v>
      </c>
    </row>
    <row r="7421" spans="1:9" x14ac:dyDescent="0.2">
      <c r="A7421" s="134">
        <v>45828</v>
      </c>
      <c r="B7421" s="135">
        <f>YEAR(source[[#This Row],[report_date]])</f>
        <v>2025</v>
      </c>
      <c r="C7421" s="128">
        <f t="shared" si="346"/>
        <v>6</v>
      </c>
      <c r="D7421" s="136">
        <f t="shared" si="345"/>
        <v>25</v>
      </c>
      <c r="E7421" s="136">
        <f t="shared" si="347"/>
        <v>20</v>
      </c>
      <c r="F7421" s="128" t="s">
        <v>24</v>
      </c>
      <c r="G7421" s="128" t="str">
        <f>VLOOKUP(source[[#This Row],[lending_product_transform]],[3]Mapping!$B$4:$C$37,2,0)</f>
        <v>[Cake] - Cashloan</v>
      </c>
      <c r="H7421" s="128" t="str">
        <f>VLOOKUP(source[[#This Row],[lending_product_transform]],[3]Mapping!$B$3:$D$37,3,0)</f>
        <v>cashloan</v>
      </c>
      <c r="I7421" s="135">
        <v>30000000</v>
      </c>
    </row>
    <row r="7422" spans="1:9" x14ac:dyDescent="0.2">
      <c r="A7422" s="134">
        <v>45828</v>
      </c>
      <c r="B7422" s="135">
        <f>YEAR(source[[#This Row],[report_date]])</f>
        <v>2025</v>
      </c>
      <c r="C7422" s="128">
        <f t="shared" si="346"/>
        <v>6</v>
      </c>
      <c r="D7422" s="136">
        <f t="shared" si="345"/>
        <v>25</v>
      </c>
      <c r="E7422" s="136">
        <f t="shared" si="347"/>
        <v>20</v>
      </c>
      <c r="F7422" s="128" t="s">
        <v>24</v>
      </c>
      <c r="G7422" s="128" t="str">
        <f>VLOOKUP(source[[#This Row],[lending_product_transform]],[3]Mapping!$B$4:$C$37,2,0)</f>
        <v>[Cake] - Cashloan</v>
      </c>
      <c r="H7422" s="128" t="str">
        <f>VLOOKUP(source[[#This Row],[lending_product_transform]],[3]Mapping!$B$3:$D$37,3,0)</f>
        <v>cashloan</v>
      </c>
      <c r="I7422" s="135">
        <v>0</v>
      </c>
    </row>
    <row r="7423" spans="1:9" x14ac:dyDescent="0.2">
      <c r="A7423" s="134">
        <v>45828</v>
      </c>
      <c r="B7423" s="135">
        <f>YEAR(source[[#This Row],[report_date]])</f>
        <v>2025</v>
      </c>
      <c r="C7423" s="128">
        <f t="shared" si="346"/>
        <v>6</v>
      </c>
      <c r="D7423" s="136">
        <f t="shared" si="345"/>
        <v>25</v>
      </c>
      <c r="E7423" s="136">
        <f t="shared" si="347"/>
        <v>20</v>
      </c>
      <c r="F7423" s="128" t="s">
        <v>24</v>
      </c>
      <c r="G7423" s="128" t="str">
        <f>VLOOKUP(source[[#This Row],[lending_product_transform]],[3]Mapping!$B$4:$C$37,2,0)</f>
        <v>[Cake] - Cashloan</v>
      </c>
      <c r="H7423" s="128" t="str">
        <f>VLOOKUP(source[[#This Row],[lending_product_transform]],[3]Mapping!$B$3:$D$37,3,0)</f>
        <v>cashloan</v>
      </c>
      <c r="I7423" s="135">
        <v>0</v>
      </c>
    </row>
    <row r="7424" spans="1:9" x14ac:dyDescent="0.2">
      <c r="A7424" s="134">
        <v>45828</v>
      </c>
      <c r="B7424" s="135">
        <f>YEAR(source[[#This Row],[report_date]])</f>
        <v>2025</v>
      </c>
      <c r="C7424" s="128">
        <f t="shared" si="346"/>
        <v>6</v>
      </c>
      <c r="D7424" s="136">
        <f t="shared" si="345"/>
        <v>25</v>
      </c>
      <c r="E7424" s="136">
        <f t="shared" si="347"/>
        <v>20</v>
      </c>
      <c r="F7424" s="128" t="s">
        <v>24</v>
      </c>
      <c r="G7424" s="128" t="str">
        <f>VLOOKUP(source[[#This Row],[lending_product_transform]],[3]Mapping!$B$4:$C$37,2,0)</f>
        <v>[Cake] - Cashloan</v>
      </c>
      <c r="H7424" s="128" t="str">
        <f>VLOOKUP(source[[#This Row],[lending_product_transform]],[3]Mapping!$B$3:$D$37,3,0)</f>
        <v>cashloan</v>
      </c>
      <c r="I7424" s="135">
        <v>1181020000</v>
      </c>
    </row>
    <row r="7425" spans="1:9" x14ac:dyDescent="0.2">
      <c r="A7425" s="134">
        <v>45828</v>
      </c>
      <c r="B7425" s="135">
        <f>YEAR(source[[#This Row],[report_date]])</f>
        <v>2025</v>
      </c>
      <c r="C7425" s="128">
        <f t="shared" si="346"/>
        <v>6</v>
      </c>
      <c r="D7425" s="136">
        <f t="shared" si="345"/>
        <v>25</v>
      </c>
      <c r="E7425" s="136">
        <f t="shared" si="347"/>
        <v>20</v>
      </c>
      <c r="F7425" s="128" t="s">
        <v>24</v>
      </c>
      <c r="G7425" s="128" t="str">
        <f>VLOOKUP(source[[#This Row],[lending_product_transform]],[3]Mapping!$B$4:$C$37,2,0)</f>
        <v>[Cake] - Cashloan</v>
      </c>
      <c r="H7425" s="128" t="str">
        <f>VLOOKUP(source[[#This Row],[lending_product_transform]],[3]Mapping!$B$3:$D$37,3,0)</f>
        <v>cashloan</v>
      </c>
      <c r="I7425" s="135">
        <v>661150000</v>
      </c>
    </row>
    <row r="7426" spans="1:9" x14ac:dyDescent="0.2">
      <c r="A7426" s="134">
        <v>45828</v>
      </c>
      <c r="B7426" s="135">
        <f>YEAR(source[[#This Row],[report_date]])</f>
        <v>2025</v>
      </c>
      <c r="C7426" s="128">
        <f t="shared" si="346"/>
        <v>6</v>
      </c>
      <c r="D7426" s="136">
        <f t="shared" si="345"/>
        <v>25</v>
      </c>
      <c r="E7426" s="136">
        <f t="shared" si="347"/>
        <v>20</v>
      </c>
      <c r="F7426" s="128" t="s">
        <v>24</v>
      </c>
      <c r="G7426" s="128" t="str">
        <f>VLOOKUP(source[[#This Row],[lending_product_transform]],[3]Mapping!$B$4:$C$37,2,0)</f>
        <v>[Cake] - Cashloan</v>
      </c>
      <c r="H7426" s="128" t="str">
        <f>VLOOKUP(source[[#This Row],[lending_product_transform]],[3]Mapping!$B$3:$D$37,3,0)</f>
        <v>cashloan</v>
      </c>
      <c r="I7426" s="135">
        <v>112285000</v>
      </c>
    </row>
    <row r="7427" spans="1:9" x14ac:dyDescent="0.2">
      <c r="A7427" s="134">
        <v>45828</v>
      </c>
      <c r="B7427" s="135">
        <f>YEAR(source[[#This Row],[report_date]])</f>
        <v>2025</v>
      </c>
      <c r="C7427" s="128">
        <f t="shared" si="346"/>
        <v>6</v>
      </c>
      <c r="D7427" s="136">
        <f t="shared" ref="D7427:D7490" si="348">WEEKNUM(A7427,2)</f>
        <v>25</v>
      </c>
      <c r="E7427" s="136">
        <f t="shared" si="347"/>
        <v>20</v>
      </c>
      <c r="F7427" s="128" t="s">
        <v>24</v>
      </c>
      <c r="G7427" s="128" t="str">
        <f>VLOOKUP(source[[#This Row],[lending_product_transform]],[3]Mapping!$B$4:$C$37,2,0)</f>
        <v>[Cake] - Cashloan</v>
      </c>
      <c r="H7427" s="128" t="str">
        <f>VLOOKUP(source[[#This Row],[lending_product_transform]],[3]Mapping!$B$3:$D$37,3,0)</f>
        <v>cashloan</v>
      </c>
      <c r="I7427" s="135">
        <v>1809070000</v>
      </c>
    </row>
    <row r="7428" spans="1:9" x14ac:dyDescent="0.2">
      <c r="A7428" s="134">
        <v>45828</v>
      </c>
      <c r="B7428" s="135">
        <f>YEAR(source[[#This Row],[report_date]])</f>
        <v>2025</v>
      </c>
      <c r="C7428" s="128">
        <f t="shared" si="346"/>
        <v>6</v>
      </c>
      <c r="D7428" s="136">
        <f t="shared" si="348"/>
        <v>25</v>
      </c>
      <c r="E7428" s="136">
        <f t="shared" si="347"/>
        <v>20</v>
      </c>
      <c r="F7428" s="128" t="s">
        <v>24</v>
      </c>
      <c r="G7428" s="128" t="str">
        <f>VLOOKUP(source[[#This Row],[lending_product_transform]],[3]Mapping!$B$4:$C$37,2,0)</f>
        <v>[Cake] - Cashloan</v>
      </c>
      <c r="H7428" s="128" t="str">
        <f>VLOOKUP(source[[#This Row],[lending_product_transform]],[3]Mapping!$B$3:$D$37,3,0)</f>
        <v>cashloan</v>
      </c>
      <c r="I7428" s="135">
        <v>217994103</v>
      </c>
    </row>
    <row r="7429" spans="1:9" x14ac:dyDescent="0.2">
      <c r="A7429" s="134">
        <v>45828</v>
      </c>
      <c r="B7429" s="135">
        <f>YEAR(source[[#This Row],[report_date]])</f>
        <v>2025</v>
      </c>
      <c r="C7429" s="128">
        <f t="shared" si="346"/>
        <v>6</v>
      </c>
      <c r="D7429" s="136">
        <f t="shared" si="348"/>
        <v>25</v>
      </c>
      <c r="E7429" s="136">
        <f t="shared" si="347"/>
        <v>20</v>
      </c>
      <c r="F7429" s="128" t="s">
        <v>24</v>
      </c>
      <c r="G7429" s="128" t="str">
        <f>VLOOKUP(source[[#This Row],[lending_product_transform]],[3]Mapping!$B$4:$C$37,2,0)</f>
        <v>[Cake] - Cashloan</v>
      </c>
      <c r="H7429" s="128" t="str">
        <f>VLOOKUP(source[[#This Row],[lending_product_transform]],[3]Mapping!$B$3:$D$37,3,0)</f>
        <v>cashloan</v>
      </c>
      <c r="I7429" s="135">
        <v>310865606</v>
      </c>
    </row>
    <row r="7430" spans="1:9" x14ac:dyDescent="0.2">
      <c r="A7430" s="134">
        <v>45828</v>
      </c>
      <c r="B7430" s="135">
        <f>YEAR(source[[#This Row],[report_date]])</f>
        <v>2025</v>
      </c>
      <c r="C7430" s="128">
        <f t="shared" si="346"/>
        <v>6</v>
      </c>
      <c r="D7430" s="136">
        <f t="shared" si="348"/>
        <v>25</v>
      </c>
      <c r="E7430" s="136">
        <f t="shared" si="347"/>
        <v>20</v>
      </c>
      <c r="F7430" s="128" t="s">
        <v>24</v>
      </c>
      <c r="G7430" s="128" t="str">
        <f>VLOOKUP(source[[#This Row],[lending_product_transform]],[3]Mapping!$B$4:$C$37,2,0)</f>
        <v>[Cake] - Cashloan</v>
      </c>
      <c r="H7430" s="128" t="str">
        <f>VLOOKUP(source[[#This Row],[lending_product_transform]],[3]Mapping!$B$3:$D$37,3,0)</f>
        <v>cashloan</v>
      </c>
      <c r="I7430" s="135">
        <v>3893018256</v>
      </c>
    </row>
    <row r="7431" spans="1:9" x14ac:dyDescent="0.2">
      <c r="A7431" s="134">
        <v>45829</v>
      </c>
      <c r="B7431" s="135">
        <f>YEAR(source[[#This Row],[report_date]])</f>
        <v>2025</v>
      </c>
      <c r="C7431" s="128">
        <f t="shared" si="346"/>
        <v>6</v>
      </c>
      <c r="D7431" s="136">
        <f t="shared" si="348"/>
        <v>25</v>
      </c>
      <c r="E7431" s="136">
        <f t="shared" si="347"/>
        <v>21</v>
      </c>
      <c r="F7431" s="128" t="s">
        <v>24</v>
      </c>
      <c r="G7431" s="128" t="str">
        <f>VLOOKUP(source[[#This Row],[lending_product_transform]],[3]Mapping!$B$4:$C$37,2,0)</f>
        <v>[Cake] - Cashloan</v>
      </c>
      <c r="H7431" s="128" t="str">
        <f>VLOOKUP(source[[#This Row],[lending_product_transform]],[3]Mapping!$B$3:$D$37,3,0)</f>
        <v>cashloan</v>
      </c>
      <c r="I7431" s="135">
        <v>1117120000</v>
      </c>
    </row>
    <row r="7432" spans="1:9" x14ac:dyDescent="0.2">
      <c r="A7432" s="134">
        <v>45829</v>
      </c>
      <c r="B7432" s="135">
        <f>YEAR(source[[#This Row],[report_date]])</f>
        <v>2025</v>
      </c>
      <c r="C7432" s="128">
        <f t="shared" si="346"/>
        <v>6</v>
      </c>
      <c r="D7432" s="136">
        <f t="shared" si="348"/>
        <v>25</v>
      </c>
      <c r="E7432" s="136">
        <f t="shared" si="347"/>
        <v>21</v>
      </c>
      <c r="F7432" s="128" t="s">
        <v>24</v>
      </c>
      <c r="G7432" s="128" t="str">
        <f>VLOOKUP(source[[#This Row],[lending_product_transform]],[3]Mapping!$B$4:$C$37,2,0)</f>
        <v>[Cake] - Cashloan</v>
      </c>
      <c r="H7432" s="128" t="str">
        <f>VLOOKUP(source[[#This Row],[lending_product_transform]],[3]Mapping!$B$3:$D$37,3,0)</f>
        <v>cashloan</v>
      </c>
      <c r="I7432" s="135">
        <v>0</v>
      </c>
    </row>
    <row r="7433" spans="1:9" x14ac:dyDescent="0.2">
      <c r="A7433" s="134">
        <v>45829</v>
      </c>
      <c r="B7433" s="135">
        <f>YEAR(source[[#This Row],[report_date]])</f>
        <v>2025</v>
      </c>
      <c r="C7433" s="128">
        <f t="shared" si="346"/>
        <v>6</v>
      </c>
      <c r="D7433" s="136">
        <f t="shared" si="348"/>
        <v>25</v>
      </c>
      <c r="E7433" s="136">
        <f t="shared" si="347"/>
        <v>21</v>
      </c>
      <c r="F7433" s="128" t="s">
        <v>24</v>
      </c>
      <c r="G7433" s="128" t="str">
        <f>VLOOKUP(source[[#This Row],[lending_product_transform]],[3]Mapping!$B$4:$C$37,2,0)</f>
        <v>[Cake] - Cashloan</v>
      </c>
      <c r="H7433" s="128" t="str">
        <f>VLOOKUP(source[[#This Row],[lending_product_transform]],[3]Mapping!$B$3:$D$37,3,0)</f>
        <v>cashloan</v>
      </c>
      <c r="I7433" s="135">
        <v>0</v>
      </c>
    </row>
    <row r="7434" spans="1:9" x14ac:dyDescent="0.2">
      <c r="A7434" s="134">
        <v>45829</v>
      </c>
      <c r="B7434" s="135">
        <f>YEAR(source[[#This Row],[report_date]])</f>
        <v>2025</v>
      </c>
      <c r="C7434" s="128">
        <f t="shared" si="346"/>
        <v>6</v>
      </c>
      <c r="D7434" s="136">
        <f t="shared" si="348"/>
        <v>25</v>
      </c>
      <c r="E7434" s="136">
        <f t="shared" si="347"/>
        <v>21</v>
      </c>
      <c r="F7434" s="128" t="s">
        <v>24</v>
      </c>
      <c r="G7434" s="128" t="str">
        <f>VLOOKUP(source[[#This Row],[lending_product_transform]],[3]Mapping!$B$4:$C$37,2,0)</f>
        <v>[Cake] - Cashloan</v>
      </c>
      <c r="H7434" s="128" t="str">
        <f>VLOOKUP(source[[#This Row],[lending_product_transform]],[3]Mapping!$B$3:$D$37,3,0)</f>
        <v>cashloan</v>
      </c>
      <c r="I7434" s="135">
        <v>0</v>
      </c>
    </row>
    <row r="7435" spans="1:9" x14ac:dyDescent="0.2">
      <c r="A7435" s="134">
        <v>45829</v>
      </c>
      <c r="B7435" s="135">
        <f>YEAR(source[[#This Row],[report_date]])</f>
        <v>2025</v>
      </c>
      <c r="C7435" s="128">
        <f t="shared" si="346"/>
        <v>6</v>
      </c>
      <c r="D7435" s="136">
        <f t="shared" si="348"/>
        <v>25</v>
      </c>
      <c r="E7435" s="136">
        <f t="shared" si="347"/>
        <v>21</v>
      </c>
      <c r="F7435" s="128" t="s">
        <v>24</v>
      </c>
      <c r="G7435" s="128" t="str">
        <f>VLOOKUP(source[[#This Row],[lending_product_transform]],[3]Mapping!$B$4:$C$37,2,0)</f>
        <v>[Cake] - Cashloan</v>
      </c>
      <c r="H7435" s="128" t="str">
        <f>VLOOKUP(source[[#This Row],[lending_product_transform]],[3]Mapping!$B$3:$D$37,3,0)</f>
        <v>cashloan</v>
      </c>
      <c r="I7435" s="135">
        <v>0</v>
      </c>
    </row>
    <row r="7436" spans="1:9" x14ac:dyDescent="0.2">
      <c r="A7436" s="134">
        <v>45829</v>
      </c>
      <c r="B7436" s="135">
        <f>YEAR(source[[#This Row],[report_date]])</f>
        <v>2025</v>
      </c>
      <c r="C7436" s="128">
        <f t="shared" si="346"/>
        <v>6</v>
      </c>
      <c r="D7436" s="136">
        <f t="shared" si="348"/>
        <v>25</v>
      </c>
      <c r="E7436" s="136">
        <f t="shared" si="347"/>
        <v>21</v>
      </c>
      <c r="F7436" s="128" t="s">
        <v>24</v>
      </c>
      <c r="G7436" s="128" t="str">
        <f>VLOOKUP(source[[#This Row],[lending_product_transform]],[3]Mapping!$B$4:$C$37,2,0)</f>
        <v>[Cake] - Cashloan</v>
      </c>
      <c r="H7436" s="128" t="str">
        <f>VLOOKUP(source[[#This Row],[lending_product_transform]],[3]Mapping!$B$3:$D$37,3,0)</f>
        <v>cashloan</v>
      </c>
      <c r="I7436" s="135">
        <v>0</v>
      </c>
    </row>
    <row r="7437" spans="1:9" x14ac:dyDescent="0.2">
      <c r="A7437" s="134">
        <v>45829</v>
      </c>
      <c r="B7437" s="135">
        <f>YEAR(source[[#This Row],[report_date]])</f>
        <v>2025</v>
      </c>
      <c r="C7437" s="128">
        <f t="shared" si="346"/>
        <v>6</v>
      </c>
      <c r="D7437" s="136">
        <f t="shared" si="348"/>
        <v>25</v>
      </c>
      <c r="E7437" s="136">
        <f t="shared" si="347"/>
        <v>21</v>
      </c>
      <c r="F7437" s="128" t="s">
        <v>24</v>
      </c>
      <c r="G7437" s="128" t="str">
        <f>VLOOKUP(source[[#This Row],[lending_product_transform]],[3]Mapping!$B$4:$C$37,2,0)</f>
        <v>[Cake] - Cashloan</v>
      </c>
      <c r="H7437" s="128" t="str">
        <f>VLOOKUP(source[[#This Row],[lending_product_transform]],[3]Mapping!$B$3:$D$37,3,0)</f>
        <v>cashloan</v>
      </c>
      <c r="I7437" s="135">
        <v>42000000</v>
      </c>
    </row>
    <row r="7438" spans="1:9" x14ac:dyDescent="0.2">
      <c r="A7438" s="134">
        <v>45829</v>
      </c>
      <c r="B7438" s="135">
        <f>YEAR(source[[#This Row],[report_date]])</f>
        <v>2025</v>
      </c>
      <c r="C7438" s="128">
        <f t="shared" si="346"/>
        <v>6</v>
      </c>
      <c r="D7438" s="136">
        <f t="shared" si="348"/>
        <v>25</v>
      </c>
      <c r="E7438" s="136">
        <f t="shared" si="347"/>
        <v>21</v>
      </c>
      <c r="F7438" s="128" t="s">
        <v>24</v>
      </c>
      <c r="G7438" s="128" t="str">
        <f>VLOOKUP(source[[#This Row],[lending_product_transform]],[3]Mapping!$B$4:$C$37,2,0)</f>
        <v>[Cake] - Cashloan</v>
      </c>
      <c r="H7438" s="128" t="str">
        <f>VLOOKUP(source[[#This Row],[lending_product_transform]],[3]Mapping!$B$3:$D$37,3,0)</f>
        <v>cashloan</v>
      </c>
      <c r="I7438" s="135">
        <v>13000000</v>
      </c>
    </row>
    <row r="7439" spans="1:9" x14ac:dyDescent="0.2">
      <c r="A7439" s="134">
        <v>45829</v>
      </c>
      <c r="B7439" s="135">
        <f>YEAR(source[[#This Row],[report_date]])</f>
        <v>2025</v>
      </c>
      <c r="C7439" s="128">
        <f t="shared" si="346"/>
        <v>6</v>
      </c>
      <c r="D7439" s="136">
        <f t="shared" si="348"/>
        <v>25</v>
      </c>
      <c r="E7439" s="136">
        <f t="shared" si="347"/>
        <v>21</v>
      </c>
      <c r="F7439" s="128" t="s">
        <v>24</v>
      </c>
      <c r="G7439" s="128" t="str">
        <f>VLOOKUP(source[[#This Row],[lending_product_transform]],[3]Mapping!$B$4:$C$37,2,0)</f>
        <v>[Cake] - Cashloan</v>
      </c>
      <c r="H7439" s="128" t="str">
        <f>VLOOKUP(source[[#This Row],[lending_product_transform]],[3]Mapping!$B$3:$D$37,3,0)</f>
        <v>cashloan</v>
      </c>
      <c r="I7439" s="135">
        <v>30590924</v>
      </c>
    </row>
    <row r="7440" spans="1:9" x14ac:dyDescent="0.2">
      <c r="A7440" s="134">
        <v>45829</v>
      </c>
      <c r="B7440" s="135">
        <f>YEAR(source[[#This Row],[report_date]])</f>
        <v>2025</v>
      </c>
      <c r="C7440" s="128">
        <f t="shared" si="346"/>
        <v>6</v>
      </c>
      <c r="D7440" s="136">
        <f t="shared" si="348"/>
        <v>25</v>
      </c>
      <c r="E7440" s="136">
        <f t="shared" si="347"/>
        <v>21</v>
      </c>
      <c r="F7440" s="128" t="s">
        <v>24</v>
      </c>
      <c r="G7440" s="128" t="str">
        <f>VLOOKUP(source[[#This Row],[lending_product_transform]],[3]Mapping!$B$4:$C$37,2,0)</f>
        <v>[Cake] - Cashloan</v>
      </c>
      <c r="H7440" s="128" t="str">
        <f>VLOOKUP(source[[#This Row],[lending_product_transform]],[3]Mapping!$B$3:$D$37,3,0)</f>
        <v>cashloan</v>
      </c>
      <c r="I7440" s="135">
        <v>516270000</v>
      </c>
    </row>
    <row r="7441" spans="1:9" x14ac:dyDescent="0.2">
      <c r="A7441" s="134">
        <v>45829</v>
      </c>
      <c r="B7441" s="135">
        <f>YEAR(source[[#This Row],[report_date]])</f>
        <v>2025</v>
      </c>
      <c r="C7441" s="128">
        <f t="shared" si="346"/>
        <v>6</v>
      </c>
      <c r="D7441" s="136">
        <f t="shared" si="348"/>
        <v>25</v>
      </c>
      <c r="E7441" s="136">
        <f t="shared" si="347"/>
        <v>21</v>
      </c>
      <c r="F7441" s="128" t="s">
        <v>24</v>
      </c>
      <c r="G7441" s="128" t="str">
        <f>VLOOKUP(source[[#This Row],[lending_product_transform]],[3]Mapping!$B$4:$C$37,2,0)</f>
        <v>[Cake] - Cashloan</v>
      </c>
      <c r="H7441" s="128" t="str">
        <f>VLOOKUP(source[[#This Row],[lending_product_transform]],[3]Mapping!$B$3:$D$37,3,0)</f>
        <v>cashloan</v>
      </c>
      <c r="I7441" s="135">
        <v>365079000</v>
      </c>
    </row>
    <row r="7442" spans="1:9" x14ac:dyDescent="0.2">
      <c r="A7442" s="134">
        <v>45829</v>
      </c>
      <c r="B7442" s="135">
        <f>YEAR(source[[#This Row],[report_date]])</f>
        <v>2025</v>
      </c>
      <c r="C7442" s="128">
        <f t="shared" si="346"/>
        <v>6</v>
      </c>
      <c r="D7442" s="136">
        <f t="shared" si="348"/>
        <v>25</v>
      </c>
      <c r="E7442" s="136">
        <f t="shared" si="347"/>
        <v>21</v>
      </c>
      <c r="F7442" s="128" t="s">
        <v>24</v>
      </c>
      <c r="G7442" s="128" t="str">
        <f>VLOOKUP(source[[#This Row],[lending_product_transform]],[3]Mapping!$B$4:$C$37,2,0)</f>
        <v>[Cake] - Cashloan</v>
      </c>
      <c r="H7442" s="128" t="str">
        <f>VLOOKUP(source[[#This Row],[lending_product_transform]],[3]Mapping!$B$3:$D$37,3,0)</f>
        <v>cashloan</v>
      </c>
      <c r="I7442" s="135">
        <v>1123010000</v>
      </c>
    </row>
    <row r="7443" spans="1:9" x14ac:dyDescent="0.2">
      <c r="A7443" s="134">
        <v>45829</v>
      </c>
      <c r="B7443" s="135">
        <f>YEAR(source[[#This Row],[report_date]])</f>
        <v>2025</v>
      </c>
      <c r="C7443" s="128">
        <f t="shared" si="346"/>
        <v>6</v>
      </c>
      <c r="D7443" s="136">
        <f t="shared" si="348"/>
        <v>25</v>
      </c>
      <c r="E7443" s="136">
        <f t="shared" si="347"/>
        <v>21</v>
      </c>
      <c r="F7443" s="128" t="s">
        <v>24</v>
      </c>
      <c r="G7443" s="128" t="str">
        <f>VLOOKUP(source[[#This Row],[lending_product_transform]],[3]Mapping!$B$4:$C$37,2,0)</f>
        <v>[Cake] - Cashloan</v>
      </c>
      <c r="H7443" s="128" t="str">
        <f>VLOOKUP(source[[#This Row],[lending_product_transform]],[3]Mapping!$B$3:$D$37,3,0)</f>
        <v>cashloan</v>
      </c>
      <c r="I7443" s="135">
        <v>222241873</v>
      </c>
    </row>
    <row r="7444" spans="1:9" x14ac:dyDescent="0.2">
      <c r="A7444" s="134">
        <v>45829</v>
      </c>
      <c r="B7444" s="135">
        <f>YEAR(source[[#This Row],[report_date]])</f>
        <v>2025</v>
      </c>
      <c r="C7444" s="128">
        <f t="shared" si="346"/>
        <v>6</v>
      </c>
      <c r="D7444" s="136">
        <f t="shared" si="348"/>
        <v>25</v>
      </c>
      <c r="E7444" s="136">
        <f t="shared" si="347"/>
        <v>21</v>
      </c>
      <c r="F7444" s="128" t="s">
        <v>24</v>
      </c>
      <c r="G7444" s="128" t="str">
        <f>VLOOKUP(source[[#This Row],[lending_product_transform]],[3]Mapping!$B$4:$C$37,2,0)</f>
        <v>[Cake] - Cashloan</v>
      </c>
      <c r="H7444" s="128" t="str">
        <f>VLOOKUP(source[[#This Row],[lending_product_transform]],[3]Mapping!$B$3:$D$37,3,0)</f>
        <v>cashloan</v>
      </c>
      <c r="I7444" s="135">
        <v>374023734</v>
      </c>
    </row>
    <row r="7445" spans="1:9" x14ac:dyDescent="0.2">
      <c r="A7445" s="134">
        <v>45829</v>
      </c>
      <c r="B7445" s="135">
        <f>YEAR(source[[#This Row],[report_date]])</f>
        <v>2025</v>
      </c>
      <c r="C7445" s="128">
        <f t="shared" si="346"/>
        <v>6</v>
      </c>
      <c r="D7445" s="136">
        <f t="shared" si="348"/>
        <v>25</v>
      </c>
      <c r="E7445" s="136">
        <f t="shared" si="347"/>
        <v>21</v>
      </c>
      <c r="F7445" s="128" t="s">
        <v>24</v>
      </c>
      <c r="G7445" s="128" t="str">
        <f>VLOOKUP(source[[#This Row],[lending_product_transform]],[3]Mapping!$B$4:$C$37,2,0)</f>
        <v>[Cake] - Cashloan</v>
      </c>
      <c r="H7445" s="128" t="str">
        <f>VLOOKUP(source[[#This Row],[lending_product_transform]],[3]Mapping!$B$3:$D$37,3,0)</f>
        <v>cashloan</v>
      </c>
      <c r="I7445" s="135">
        <v>4166316503</v>
      </c>
    </row>
    <row r="7446" spans="1:9" x14ac:dyDescent="0.2">
      <c r="A7446" s="134">
        <v>45829</v>
      </c>
      <c r="B7446" s="135">
        <f>YEAR(source[[#This Row],[report_date]])</f>
        <v>2025</v>
      </c>
      <c r="C7446" s="128">
        <f t="shared" si="346"/>
        <v>6</v>
      </c>
      <c r="D7446" s="136">
        <f t="shared" si="348"/>
        <v>25</v>
      </c>
      <c r="E7446" s="136">
        <f t="shared" si="347"/>
        <v>21</v>
      </c>
      <c r="F7446" s="128" t="s">
        <v>24</v>
      </c>
      <c r="G7446" s="128" t="str">
        <f>VLOOKUP(source[[#This Row],[lending_product_transform]],[3]Mapping!$B$4:$C$37,2,0)</f>
        <v>[Cake] - Cashloan</v>
      </c>
      <c r="H7446" s="128" t="str">
        <f>VLOOKUP(source[[#This Row],[lending_product_transform]],[3]Mapping!$B$3:$D$37,3,0)</f>
        <v>cashloan</v>
      </c>
      <c r="I7446" s="135">
        <v>351915054</v>
      </c>
    </row>
    <row r="7447" spans="1:9" x14ac:dyDescent="0.2">
      <c r="A7447" s="134">
        <v>45829</v>
      </c>
      <c r="B7447" s="135">
        <f>YEAR(source[[#This Row],[report_date]])</f>
        <v>2025</v>
      </c>
      <c r="C7447" s="128">
        <f t="shared" si="346"/>
        <v>6</v>
      </c>
      <c r="D7447" s="136">
        <f t="shared" si="348"/>
        <v>25</v>
      </c>
      <c r="E7447" s="136">
        <f t="shared" si="347"/>
        <v>21</v>
      </c>
      <c r="F7447" s="128" t="s">
        <v>24</v>
      </c>
      <c r="G7447" s="128" t="str">
        <f>VLOOKUP(source[[#This Row],[lending_product_transform]],[3]Mapping!$B$4:$C$37,2,0)</f>
        <v>[Cake] - Cashloan</v>
      </c>
      <c r="H7447" s="128" t="str">
        <f>VLOOKUP(source[[#This Row],[lending_product_transform]],[3]Mapping!$B$3:$D$37,3,0)</f>
        <v>cashloan</v>
      </c>
      <c r="I7447" s="135">
        <v>8575700000</v>
      </c>
    </row>
    <row r="7448" spans="1:9" x14ac:dyDescent="0.2">
      <c r="A7448" s="134">
        <v>45829</v>
      </c>
      <c r="B7448" s="135">
        <f>YEAR(source[[#This Row],[report_date]])</f>
        <v>2025</v>
      </c>
      <c r="C7448" s="128">
        <f t="shared" si="346"/>
        <v>6</v>
      </c>
      <c r="D7448" s="136">
        <f t="shared" si="348"/>
        <v>25</v>
      </c>
      <c r="E7448" s="136">
        <f t="shared" si="347"/>
        <v>21</v>
      </c>
      <c r="F7448" s="128" t="s">
        <v>24</v>
      </c>
      <c r="G7448" s="128" t="str">
        <f>VLOOKUP(source[[#This Row],[lending_product_transform]],[3]Mapping!$B$4:$C$37,2,0)</f>
        <v>[Cake] - Cashloan</v>
      </c>
      <c r="H7448" s="128" t="str">
        <f>VLOOKUP(source[[#This Row],[lending_product_transform]],[3]Mapping!$B$3:$D$37,3,0)</f>
        <v>cashloan</v>
      </c>
      <c r="I7448" s="135">
        <v>5618052000</v>
      </c>
    </row>
    <row r="7449" spans="1:9" x14ac:dyDescent="0.2">
      <c r="A7449" s="134">
        <v>45829</v>
      </c>
      <c r="B7449" s="135">
        <f>YEAR(source[[#This Row],[report_date]])</f>
        <v>2025</v>
      </c>
      <c r="C7449" s="128">
        <f t="shared" si="346"/>
        <v>6</v>
      </c>
      <c r="D7449" s="136">
        <f t="shared" si="348"/>
        <v>25</v>
      </c>
      <c r="E7449" s="136">
        <f t="shared" si="347"/>
        <v>21</v>
      </c>
      <c r="F7449" s="128" t="s">
        <v>24</v>
      </c>
      <c r="G7449" s="128" t="str">
        <f>VLOOKUP(source[[#This Row],[lending_product_transform]],[3]Mapping!$B$4:$C$37,2,0)</f>
        <v>[Cake] - Cashloan</v>
      </c>
      <c r="H7449" s="128" t="str">
        <f>VLOOKUP(source[[#This Row],[lending_product_transform]],[3]Mapping!$B$3:$D$37,3,0)</f>
        <v>cashloan</v>
      </c>
      <c r="I7449" s="135">
        <v>8947650000</v>
      </c>
    </row>
    <row r="7450" spans="1:9" x14ac:dyDescent="0.2">
      <c r="A7450" s="134">
        <v>45830</v>
      </c>
      <c r="B7450" s="135">
        <f>YEAR(source[[#This Row],[report_date]])</f>
        <v>2025</v>
      </c>
      <c r="C7450" s="128">
        <f t="shared" si="346"/>
        <v>6</v>
      </c>
      <c r="D7450" s="136">
        <f t="shared" si="348"/>
        <v>25</v>
      </c>
      <c r="E7450" s="136">
        <f t="shared" si="347"/>
        <v>22</v>
      </c>
      <c r="F7450" s="128" t="s">
        <v>24</v>
      </c>
      <c r="G7450" s="128" t="str">
        <f>VLOOKUP(source[[#This Row],[lending_product_transform]],[3]Mapping!$B$4:$C$37,2,0)</f>
        <v>[Cake] - Cashloan</v>
      </c>
      <c r="H7450" s="128" t="str">
        <f>VLOOKUP(source[[#This Row],[lending_product_transform]],[3]Mapping!$B$3:$D$37,3,0)</f>
        <v>cashloan</v>
      </c>
      <c r="I7450" s="135">
        <v>0</v>
      </c>
    </row>
    <row r="7451" spans="1:9" x14ac:dyDescent="0.2">
      <c r="A7451" s="134">
        <v>45830</v>
      </c>
      <c r="B7451" s="135">
        <f>YEAR(source[[#This Row],[report_date]])</f>
        <v>2025</v>
      </c>
      <c r="C7451" s="128">
        <f t="shared" si="346"/>
        <v>6</v>
      </c>
      <c r="D7451" s="136">
        <f t="shared" si="348"/>
        <v>25</v>
      </c>
      <c r="E7451" s="136">
        <f t="shared" si="347"/>
        <v>22</v>
      </c>
      <c r="F7451" s="128" t="s">
        <v>24</v>
      </c>
      <c r="G7451" s="128" t="str">
        <f>VLOOKUP(source[[#This Row],[lending_product_transform]],[3]Mapping!$B$4:$C$37,2,0)</f>
        <v>[Cake] - Cashloan</v>
      </c>
      <c r="H7451" s="128" t="str">
        <f>VLOOKUP(source[[#This Row],[lending_product_transform]],[3]Mapping!$B$3:$D$37,3,0)</f>
        <v>cashloan</v>
      </c>
      <c r="I7451" s="135">
        <v>0</v>
      </c>
    </row>
    <row r="7452" spans="1:9" x14ac:dyDescent="0.2">
      <c r="A7452" s="134">
        <v>45830</v>
      </c>
      <c r="B7452" s="135">
        <f>YEAR(source[[#This Row],[report_date]])</f>
        <v>2025</v>
      </c>
      <c r="C7452" s="128">
        <f t="shared" si="346"/>
        <v>6</v>
      </c>
      <c r="D7452" s="136">
        <f t="shared" si="348"/>
        <v>25</v>
      </c>
      <c r="E7452" s="136">
        <f t="shared" si="347"/>
        <v>22</v>
      </c>
      <c r="F7452" s="128" t="s">
        <v>24</v>
      </c>
      <c r="G7452" s="128" t="str">
        <f>VLOOKUP(source[[#This Row],[lending_product_transform]],[3]Mapping!$B$4:$C$37,2,0)</f>
        <v>[Cake] - Cashloan</v>
      </c>
      <c r="H7452" s="128" t="str">
        <f>VLOOKUP(source[[#This Row],[lending_product_transform]],[3]Mapping!$B$3:$D$37,3,0)</f>
        <v>cashloan</v>
      </c>
      <c r="I7452" s="135">
        <v>0</v>
      </c>
    </row>
    <row r="7453" spans="1:9" x14ac:dyDescent="0.2">
      <c r="A7453" s="134">
        <v>45830</v>
      </c>
      <c r="B7453" s="135">
        <f>YEAR(source[[#This Row],[report_date]])</f>
        <v>2025</v>
      </c>
      <c r="C7453" s="128">
        <f t="shared" si="346"/>
        <v>6</v>
      </c>
      <c r="D7453" s="136">
        <f t="shared" si="348"/>
        <v>25</v>
      </c>
      <c r="E7453" s="136">
        <f t="shared" si="347"/>
        <v>22</v>
      </c>
      <c r="F7453" s="128" t="s">
        <v>24</v>
      </c>
      <c r="G7453" s="128" t="str">
        <f>VLOOKUP(source[[#This Row],[lending_product_transform]],[3]Mapping!$B$4:$C$37,2,0)</f>
        <v>[Cake] - Cashloan</v>
      </c>
      <c r="H7453" s="128" t="str">
        <f>VLOOKUP(source[[#This Row],[lending_product_transform]],[3]Mapping!$B$3:$D$37,3,0)</f>
        <v>cashloan</v>
      </c>
      <c r="I7453" s="135">
        <v>5078518</v>
      </c>
    </row>
    <row r="7454" spans="1:9" x14ac:dyDescent="0.2">
      <c r="A7454" s="134">
        <v>45830</v>
      </c>
      <c r="B7454" s="135">
        <f>YEAR(source[[#This Row],[report_date]])</f>
        <v>2025</v>
      </c>
      <c r="C7454" s="128">
        <f t="shared" si="346"/>
        <v>6</v>
      </c>
      <c r="D7454" s="136">
        <f t="shared" si="348"/>
        <v>25</v>
      </c>
      <c r="E7454" s="136">
        <f t="shared" si="347"/>
        <v>22</v>
      </c>
      <c r="F7454" s="128" t="s">
        <v>24</v>
      </c>
      <c r="G7454" s="128" t="str">
        <f>VLOOKUP(source[[#This Row],[lending_product_transform]],[3]Mapping!$B$4:$C$37,2,0)</f>
        <v>[Cake] - Cashloan</v>
      </c>
      <c r="H7454" s="128" t="str">
        <f>VLOOKUP(source[[#This Row],[lending_product_transform]],[3]Mapping!$B$3:$D$37,3,0)</f>
        <v>cashloan</v>
      </c>
      <c r="I7454" s="135">
        <v>9112470000</v>
      </c>
    </row>
    <row r="7455" spans="1:9" x14ac:dyDescent="0.2">
      <c r="A7455" s="134">
        <v>45830</v>
      </c>
      <c r="B7455" s="135">
        <f>YEAR(source[[#This Row],[report_date]])</f>
        <v>2025</v>
      </c>
      <c r="C7455" s="128">
        <f t="shared" si="346"/>
        <v>6</v>
      </c>
      <c r="D7455" s="136">
        <f t="shared" si="348"/>
        <v>25</v>
      </c>
      <c r="E7455" s="136">
        <f t="shared" si="347"/>
        <v>22</v>
      </c>
      <c r="F7455" s="128" t="s">
        <v>24</v>
      </c>
      <c r="G7455" s="128" t="str">
        <f>VLOOKUP(source[[#This Row],[lending_product_transform]],[3]Mapping!$B$4:$C$37,2,0)</f>
        <v>[Cake] - Cashloan</v>
      </c>
      <c r="H7455" s="128" t="str">
        <f>VLOOKUP(source[[#This Row],[lending_product_transform]],[3]Mapping!$B$3:$D$37,3,0)</f>
        <v>cashloan</v>
      </c>
      <c r="I7455" s="135">
        <v>0</v>
      </c>
    </row>
    <row r="7456" spans="1:9" x14ac:dyDescent="0.2">
      <c r="A7456" s="134">
        <v>45830</v>
      </c>
      <c r="B7456" s="135">
        <f>YEAR(source[[#This Row],[report_date]])</f>
        <v>2025</v>
      </c>
      <c r="C7456" s="128">
        <f t="shared" si="346"/>
        <v>6</v>
      </c>
      <c r="D7456" s="136">
        <f t="shared" si="348"/>
        <v>25</v>
      </c>
      <c r="E7456" s="136">
        <f t="shared" si="347"/>
        <v>22</v>
      </c>
      <c r="F7456" s="128" t="s">
        <v>24</v>
      </c>
      <c r="G7456" s="128" t="str">
        <f>VLOOKUP(source[[#This Row],[lending_product_transform]],[3]Mapping!$B$4:$C$37,2,0)</f>
        <v>[Cake] - Cashloan</v>
      </c>
      <c r="H7456" s="128" t="str">
        <f>VLOOKUP(source[[#This Row],[lending_product_transform]],[3]Mapping!$B$3:$D$37,3,0)</f>
        <v>cashloan</v>
      </c>
      <c r="I7456" s="135">
        <v>0</v>
      </c>
    </row>
    <row r="7457" spans="1:9" x14ac:dyDescent="0.2">
      <c r="A7457" s="134">
        <v>45830</v>
      </c>
      <c r="B7457" s="135">
        <f>YEAR(source[[#This Row],[report_date]])</f>
        <v>2025</v>
      </c>
      <c r="C7457" s="128">
        <f t="shared" si="346"/>
        <v>6</v>
      </c>
      <c r="D7457" s="136">
        <f t="shared" si="348"/>
        <v>25</v>
      </c>
      <c r="E7457" s="136">
        <f t="shared" si="347"/>
        <v>22</v>
      </c>
      <c r="F7457" s="128" t="s">
        <v>24</v>
      </c>
      <c r="G7457" s="128" t="str">
        <f>VLOOKUP(source[[#This Row],[lending_product_transform]],[3]Mapping!$B$4:$C$37,2,0)</f>
        <v>[Cake] - Cashloan</v>
      </c>
      <c r="H7457" s="128" t="str">
        <f>VLOOKUP(source[[#This Row],[lending_product_transform]],[3]Mapping!$B$3:$D$37,3,0)</f>
        <v>cashloan</v>
      </c>
      <c r="I7457" s="135">
        <v>8352760000</v>
      </c>
    </row>
    <row r="7458" spans="1:9" x14ac:dyDescent="0.2">
      <c r="A7458" s="134">
        <v>45830</v>
      </c>
      <c r="B7458" s="135">
        <f>YEAR(source[[#This Row],[report_date]])</f>
        <v>2025</v>
      </c>
      <c r="C7458" s="128">
        <f t="shared" si="346"/>
        <v>6</v>
      </c>
      <c r="D7458" s="136">
        <f t="shared" si="348"/>
        <v>25</v>
      </c>
      <c r="E7458" s="136">
        <f t="shared" si="347"/>
        <v>22</v>
      </c>
      <c r="F7458" s="128" t="s">
        <v>24</v>
      </c>
      <c r="G7458" s="128" t="str">
        <f>VLOOKUP(source[[#This Row],[lending_product_transform]],[3]Mapping!$B$4:$C$37,2,0)</f>
        <v>[Cake] - Cashloan</v>
      </c>
      <c r="H7458" s="128" t="str">
        <f>VLOOKUP(source[[#This Row],[lending_product_transform]],[3]Mapping!$B$3:$D$37,3,0)</f>
        <v>cashloan</v>
      </c>
      <c r="I7458" s="135">
        <v>1030030000</v>
      </c>
    </row>
    <row r="7459" spans="1:9" x14ac:dyDescent="0.2">
      <c r="A7459" s="134">
        <v>45830</v>
      </c>
      <c r="B7459" s="135">
        <f>YEAR(source[[#This Row],[report_date]])</f>
        <v>2025</v>
      </c>
      <c r="C7459" s="128">
        <f t="shared" si="346"/>
        <v>6</v>
      </c>
      <c r="D7459" s="136">
        <f t="shared" si="348"/>
        <v>25</v>
      </c>
      <c r="E7459" s="136">
        <f t="shared" si="347"/>
        <v>22</v>
      </c>
      <c r="F7459" s="128" t="s">
        <v>24</v>
      </c>
      <c r="G7459" s="128" t="str">
        <f>VLOOKUP(source[[#This Row],[lending_product_transform]],[3]Mapping!$B$4:$C$37,2,0)</f>
        <v>[Cake] - Cashloan</v>
      </c>
      <c r="H7459" s="128" t="str">
        <f>VLOOKUP(source[[#This Row],[lending_product_transform]],[3]Mapping!$B$3:$D$37,3,0)</f>
        <v>cashloan</v>
      </c>
      <c r="I7459" s="135">
        <v>352900000</v>
      </c>
    </row>
    <row r="7460" spans="1:9" x14ac:dyDescent="0.2">
      <c r="A7460" s="134">
        <v>45830</v>
      </c>
      <c r="B7460" s="135">
        <f>YEAR(source[[#This Row],[report_date]])</f>
        <v>2025</v>
      </c>
      <c r="C7460" s="128">
        <f t="shared" si="346"/>
        <v>6</v>
      </c>
      <c r="D7460" s="136">
        <f t="shared" si="348"/>
        <v>25</v>
      </c>
      <c r="E7460" s="136">
        <f t="shared" si="347"/>
        <v>22</v>
      </c>
      <c r="F7460" s="128" t="s">
        <v>24</v>
      </c>
      <c r="G7460" s="128" t="str">
        <f>VLOOKUP(source[[#This Row],[lending_product_transform]],[3]Mapping!$B$4:$C$37,2,0)</f>
        <v>[Cake] - Cashloan</v>
      </c>
      <c r="H7460" s="128" t="str">
        <f>VLOOKUP(source[[#This Row],[lending_product_transform]],[3]Mapping!$B$3:$D$37,3,0)</f>
        <v>cashloan</v>
      </c>
      <c r="I7460" s="135">
        <v>377501650</v>
      </c>
    </row>
    <row r="7461" spans="1:9" x14ac:dyDescent="0.2">
      <c r="A7461" s="134">
        <v>45830</v>
      </c>
      <c r="B7461" s="135">
        <f>YEAR(source[[#This Row],[report_date]])</f>
        <v>2025</v>
      </c>
      <c r="C7461" s="128">
        <f t="shared" si="346"/>
        <v>6</v>
      </c>
      <c r="D7461" s="136">
        <f t="shared" si="348"/>
        <v>25</v>
      </c>
      <c r="E7461" s="136">
        <f t="shared" si="347"/>
        <v>22</v>
      </c>
      <c r="F7461" s="128" t="s">
        <v>24</v>
      </c>
      <c r="G7461" s="128" t="str">
        <f>VLOOKUP(source[[#This Row],[lending_product_transform]],[3]Mapping!$B$4:$C$37,2,0)</f>
        <v>[Cake] - Cashloan</v>
      </c>
      <c r="H7461" s="128" t="str">
        <f>VLOOKUP(source[[#This Row],[lending_product_transform]],[3]Mapping!$B$3:$D$37,3,0)</f>
        <v>cashloan</v>
      </c>
      <c r="I7461" s="135">
        <v>1487920000</v>
      </c>
    </row>
    <row r="7462" spans="1:9" x14ac:dyDescent="0.2">
      <c r="A7462" s="134">
        <v>45830</v>
      </c>
      <c r="B7462" s="135">
        <f>YEAR(source[[#This Row],[report_date]])</f>
        <v>2025</v>
      </c>
      <c r="C7462" s="128">
        <f t="shared" si="346"/>
        <v>6</v>
      </c>
      <c r="D7462" s="136">
        <f t="shared" si="348"/>
        <v>25</v>
      </c>
      <c r="E7462" s="136">
        <f t="shared" si="347"/>
        <v>22</v>
      </c>
      <c r="F7462" s="128" t="s">
        <v>24</v>
      </c>
      <c r="G7462" s="128" t="str">
        <f>VLOOKUP(source[[#This Row],[lending_product_transform]],[3]Mapping!$B$4:$C$37,2,0)</f>
        <v>[Cake] - Cashloan</v>
      </c>
      <c r="H7462" s="128" t="str">
        <f>VLOOKUP(source[[#This Row],[lending_product_transform]],[3]Mapping!$B$3:$D$37,3,0)</f>
        <v>cashloan</v>
      </c>
      <c r="I7462" s="135">
        <v>14000000</v>
      </c>
    </row>
    <row r="7463" spans="1:9" x14ac:dyDescent="0.2">
      <c r="A7463" s="134">
        <v>45830</v>
      </c>
      <c r="B7463" s="135">
        <f>YEAR(source[[#This Row],[report_date]])</f>
        <v>2025</v>
      </c>
      <c r="C7463" s="128">
        <f t="shared" si="346"/>
        <v>6</v>
      </c>
      <c r="D7463" s="136">
        <f t="shared" si="348"/>
        <v>25</v>
      </c>
      <c r="E7463" s="136">
        <f t="shared" si="347"/>
        <v>22</v>
      </c>
      <c r="F7463" s="128" t="s">
        <v>24</v>
      </c>
      <c r="G7463" s="128" t="str">
        <f>VLOOKUP(source[[#This Row],[lending_product_transform]],[3]Mapping!$B$4:$C$37,2,0)</f>
        <v>[Cake] - Cashloan</v>
      </c>
      <c r="H7463" s="128" t="str">
        <f>VLOOKUP(source[[#This Row],[lending_product_transform]],[3]Mapping!$B$3:$D$37,3,0)</f>
        <v>cashloan</v>
      </c>
      <c r="I7463" s="135">
        <v>0</v>
      </c>
    </row>
    <row r="7464" spans="1:9" x14ac:dyDescent="0.2">
      <c r="A7464" s="134">
        <v>45830</v>
      </c>
      <c r="B7464" s="135">
        <f>YEAR(source[[#This Row],[report_date]])</f>
        <v>2025</v>
      </c>
      <c r="C7464" s="128">
        <f t="shared" si="346"/>
        <v>6</v>
      </c>
      <c r="D7464" s="136">
        <f t="shared" si="348"/>
        <v>25</v>
      </c>
      <c r="E7464" s="136">
        <f t="shared" si="347"/>
        <v>22</v>
      </c>
      <c r="F7464" s="128" t="s">
        <v>24</v>
      </c>
      <c r="G7464" s="128" t="str">
        <f>VLOOKUP(source[[#This Row],[lending_product_transform]],[3]Mapping!$B$4:$C$37,2,0)</f>
        <v>[Cake] - Cashloan</v>
      </c>
      <c r="H7464" s="128" t="str">
        <f>VLOOKUP(source[[#This Row],[lending_product_transform]],[3]Mapping!$B$3:$D$37,3,0)</f>
        <v>cashloan</v>
      </c>
      <c r="I7464" s="135">
        <v>295856411</v>
      </c>
    </row>
    <row r="7465" spans="1:9" x14ac:dyDescent="0.2">
      <c r="A7465" s="134">
        <v>45830</v>
      </c>
      <c r="B7465" s="135">
        <f>YEAR(source[[#This Row],[report_date]])</f>
        <v>2025</v>
      </c>
      <c r="C7465" s="128">
        <f t="shared" si="346"/>
        <v>6</v>
      </c>
      <c r="D7465" s="136">
        <f t="shared" si="348"/>
        <v>25</v>
      </c>
      <c r="E7465" s="136">
        <f t="shared" si="347"/>
        <v>22</v>
      </c>
      <c r="F7465" s="128" t="s">
        <v>24</v>
      </c>
      <c r="G7465" s="128" t="str">
        <f>VLOOKUP(source[[#This Row],[lending_product_transform]],[3]Mapping!$B$4:$C$37,2,0)</f>
        <v>[Cake] - Cashloan</v>
      </c>
      <c r="H7465" s="128" t="str">
        <f>VLOOKUP(source[[#This Row],[lending_product_transform]],[3]Mapping!$B$3:$D$37,3,0)</f>
        <v>cashloan</v>
      </c>
      <c r="I7465" s="135">
        <v>3205774208</v>
      </c>
    </row>
    <row r="7466" spans="1:9" x14ac:dyDescent="0.2">
      <c r="A7466" s="134">
        <v>45830</v>
      </c>
      <c r="B7466" s="135">
        <f>YEAR(source[[#This Row],[report_date]])</f>
        <v>2025</v>
      </c>
      <c r="C7466" s="128">
        <f t="shared" si="346"/>
        <v>6</v>
      </c>
      <c r="D7466" s="136">
        <f t="shared" si="348"/>
        <v>25</v>
      </c>
      <c r="E7466" s="136">
        <f t="shared" si="347"/>
        <v>22</v>
      </c>
      <c r="F7466" s="128" t="s">
        <v>24</v>
      </c>
      <c r="G7466" s="128" t="str">
        <f>VLOOKUP(source[[#This Row],[lending_product_transform]],[3]Mapping!$B$4:$C$37,2,0)</f>
        <v>[Cake] - Cashloan</v>
      </c>
      <c r="H7466" s="128" t="str">
        <f>VLOOKUP(source[[#This Row],[lending_product_transform]],[3]Mapping!$B$3:$D$37,3,0)</f>
        <v>cashloan</v>
      </c>
      <c r="I7466" s="135">
        <v>306793410</v>
      </c>
    </row>
    <row r="7467" spans="1:9" x14ac:dyDescent="0.2">
      <c r="A7467" s="134">
        <v>45830</v>
      </c>
      <c r="B7467" s="135">
        <f>YEAR(source[[#This Row],[report_date]])</f>
        <v>2025</v>
      </c>
      <c r="C7467" s="128">
        <f t="shared" si="346"/>
        <v>6</v>
      </c>
      <c r="D7467" s="136">
        <f t="shared" si="348"/>
        <v>25</v>
      </c>
      <c r="E7467" s="136">
        <f t="shared" si="347"/>
        <v>22</v>
      </c>
      <c r="F7467" s="128" t="s">
        <v>24</v>
      </c>
      <c r="G7467" s="128" t="str">
        <f>VLOOKUP(source[[#This Row],[lending_product_transform]],[3]Mapping!$B$4:$C$37,2,0)</f>
        <v>[Cake] - Cashloan</v>
      </c>
      <c r="H7467" s="128" t="str">
        <f>VLOOKUP(source[[#This Row],[lending_product_transform]],[3]Mapping!$B$3:$D$37,3,0)</f>
        <v>cashloan</v>
      </c>
      <c r="I7467" s="135">
        <v>224895648</v>
      </c>
    </row>
    <row r="7468" spans="1:9" x14ac:dyDescent="0.2">
      <c r="A7468" s="134">
        <v>45830</v>
      </c>
      <c r="B7468" s="135">
        <f>YEAR(source[[#This Row],[report_date]])</f>
        <v>2025</v>
      </c>
      <c r="C7468" s="128">
        <f t="shared" si="346"/>
        <v>6</v>
      </c>
      <c r="D7468" s="136">
        <f t="shared" si="348"/>
        <v>25</v>
      </c>
      <c r="E7468" s="136">
        <f t="shared" si="347"/>
        <v>22</v>
      </c>
      <c r="F7468" s="128" t="s">
        <v>24</v>
      </c>
      <c r="G7468" s="128" t="str">
        <f>VLOOKUP(source[[#This Row],[lending_product_transform]],[3]Mapping!$B$4:$C$37,2,0)</f>
        <v>[Cake] - Cashloan</v>
      </c>
      <c r="H7468" s="128" t="str">
        <f>VLOOKUP(source[[#This Row],[lending_product_transform]],[3]Mapping!$B$3:$D$37,3,0)</f>
        <v>cashloan</v>
      </c>
      <c r="I7468" s="135">
        <v>5142636000</v>
      </c>
    </row>
    <row r="7469" spans="1:9" x14ac:dyDescent="0.2">
      <c r="A7469" s="134">
        <v>45831</v>
      </c>
      <c r="B7469" s="135">
        <f>YEAR(source[[#This Row],[report_date]])</f>
        <v>2025</v>
      </c>
      <c r="C7469" s="128">
        <f t="shared" si="346"/>
        <v>6</v>
      </c>
      <c r="D7469" s="136">
        <f t="shared" si="348"/>
        <v>26</v>
      </c>
      <c r="E7469" s="136">
        <f t="shared" si="347"/>
        <v>23</v>
      </c>
      <c r="F7469" s="128" t="s">
        <v>24</v>
      </c>
      <c r="G7469" s="128" t="str">
        <f>VLOOKUP(source[[#This Row],[lending_product_transform]],[3]Mapping!$B$4:$C$37,2,0)</f>
        <v>[Cake] - Cashloan</v>
      </c>
      <c r="H7469" s="128" t="str">
        <f>VLOOKUP(source[[#This Row],[lending_product_transform]],[3]Mapping!$B$3:$D$37,3,0)</f>
        <v>cashloan</v>
      </c>
      <c r="I7469" s="135">
        <v>11289630000</v>
      </c>
    </row>
    <row r="7470" spans="1:9" x14ac:dyDescent="0.2">
      <c r="A7470" s="134">
        <v>45831</v>
      </c>
      <c r="B7470" s="135">
        <f>YEAR(source[[#This Row],[report_date]])</f>
        <v>2025</v>
      </c>
      <c r="C7470" s="128">
        <f t="shared" si="346"/>
        <v>6</v>
      </c>
      <c r="D7470" s="136">
        <f t="shared" si="348"/>
        <v>26</v>
      </c>
      <c r="E7470" s="136">
        <f t="shared" si="347"/>
        <v>23</v>
      </c>
      <c r="F7470" s="128" t="s">
        <v>24</v>
      </c>
      <c r="G7470" s="128" t="str">
        <f>VLOOKUP(source[[#This Row],[lending_product_transform]],[3]Mapping!$B$4:$C$37,2,0)</f>
        <v>[Cake] - Cashloan</v>
      </c>
      <c r="H7470" s="128" t="str">
        <f>VLOOKUP(source[[#This Row],[lending_product_transform]],[3]Mapping!$B$3:$D$37,3,0)</f>
        <v>cashloan</v>
      </c>
      <c r="I7470" s="135">
        <v>5050404000</v>
      </c>
    </row>
    <row r="7471" spans="1:9" x14ac:dyDescent="0.2">
      <c r="A7471" s="134">
        <v>45831</v>
      </c>
      <c r="B7471" s="135">
        <f>YEAR(source[[#This Row],[report_date]])</f>
        <v>2025</v>
      </c>
      <c r="C7471" s="128">
        <f t="shared" si="346"/>
        <v>6</v>
      </c>
      <c r="D7471" s="136">
        <f t="shared" si="348"/>
        <v>26</v>
      </c>
      <c r="E7471" s="136">
        <f t="shared" si="347"/>
        <v>23</v>
      </c>
      <c r="F7471" s="128" t="s">
        <v>24</v>
      </c>
      <c r="G7471" s="128" t="str">
        <f>VLOOKUP(source[[#This Row],[lending_product_transform]],[3]Mapping!$B$4:$C$37,2,0)</f>
        <v>[Cake] - Cashloan</v>
      </c>
      <c r="H7471" s="128" t="str">
        <f>VLOOKUP(source[[#This Row],[lending_product_transform]],[3]Mapping!$B$3:$D$37,3,0)</f>
        <v>cashloan</v>
      </c>
      <c r="I7471" s="135">
        <v>372759602</v>
      </c>
    </row>
    <row r="7472" spans="1:9" x14ac:dyDescent="0.2">
      <c r="A7472" s="134">
        <v>45831</v>
      </c>
      <c r="B7472" s="135">
        <f>YEAR(source[[#This Row],[report_date]])</f>
        <v>2025</v>
      </c>
      <c r="C7472" s="128">
        <f t="shared" si="346"/>
        <v>6</v>
      </c>
      <c r="D7472" s="136">
        <f t="shared" si="348"/>
        <v>26</v>
      </c>
      <c r="E7472" s="136">
        <f t="shared" si="347"/>
        <v>23</v>
      </c>
      <c r="F7472" s="128" t="s">
        <v>24</v>
      </c>
      <c r="G7472" s="128" t="str">
        <f>VLOOKUP(source[[#This Row],[lending_product_transform]],[3]Mapping!$B$4:$C$37,2,0)</f>
        <v>[Cake] - Cashloan</v>
      </c>
      <c r="H7472" s="128" t="str">
        <f>VLOOKUP(source[[#This Row],[lending_product_transform]],[3]Mapping!$B$3:$D$37,3,0)</f>
        <v>cashloan</v>
      </c>
      <c r="I7472" s="135">
        <v>3616460194</v>
      </c>
    </row>
    <row r="7473" spans="1:9" x14ac:dyDescent="0.2">
      <c r="A7473" s="134">
        <v>45831</v>
      </c>
      <c r="B7473" s="135">
        <f>YEAR(source[[#This Row],[report_date]])</f>
        <v>2025</v>
      </c>
      <c r="C7473" s="128">
        <f t="shared" si="346"/>
        <v>6</v>
      </c>
      <c r="D7473" s="136">
        <f t="shared" si="348"/>
        <v>26</v>
      </c>
      <c r="E7473" s="136">
        <f t="shared" si="347"/>
        <v>23</v>
      </c>
      <c r="F7473" s="128" t="s">
        <v>24</v>
      </c>
      <c r="G7473" s="128" t="str">
        <f>VLOOKUP(source[[#This Row],[lending_product_transform]],[3]Mapping!$B$4:$C$37,2,0)</f>
        <v>[Cake] - Cashloan</v>
      </c>
      <c r="H7473" s="128" t="str">
        <f>VLOOKUP(source[[#This Row],[lending_product_transform]],[3]Mapping!$B$3:$D$37,3,0)</f>
        <v>cashloan</v>
      </c>
      <c r="I7473" s="135">
        <v>238142686</v>
      </c>
    </row>
    <row r="7474" spans="1:9" x14ac:dyDescent="0.2">
      <c r="A7474" s="134">
        <v>45831</v>
      </c>
      <c r="B7474" s="135">
        <f>YEAR(source[[#This Row],[report_date]])</f>
        <v>2025</v>
      </c>
      <c r="C7474" s="128">
        <f t="shared" si="346"/>
        <v>6</v>
      </c>
      <c r="D7474" s="136">
        <f t="shared" si="348"/>
        <v>26</v>
      </c>
      <c r="E7474" s="136">
        <f t="shared" si="347"/>
        <v>23</v>
      </c>
      <c r="F7474" s="128" t="s">
        <v>24</v>
      </c>
      <c r="G7474" s="128" t="str">
        <f>VLOOKUP(source[[#This Row],[lending_product_transform]],[3]Mapping!$B$4:$C$37,2,0)</f>
        <v>[Cake] - Cashloan</v>
      </c>
      <c r="H7474" s="128" t="str">
        <f>VLOOKUP(source[[#This Row],[lending_product_transform]],[3]Mapping!$B$3:$D$37,3,0)</f>
        <v>cashloan</v>
      </c>
      <c r="I7474" s="135">
        <v>293015500</v>
      </c>
    </row>
    <row r="7475" spans="1:9" x14ac:dyDescent="0.2">
      <c r="A7475" s="134">
        <v>45831</v>
      </c>
      <c r="B7475" s="135">
        <f>YEAR(source[[#This Row],[report_date]])</f>
        <v>2025</v>
      </c>
      <c r="C7475" s="128">
        <f t="shared" si="346"/>
        <v>6</v>
      </c>
      <c r="D7475" s="136">
        <f t="shared" si="348"/>
        <v>26</v>
      </c>
      <c r="E7475" s="136">
        <f t="shared" si="347"/>
        <v>23</v>
      </c>
      <c r="F7475" s="128" t="s">
        <v>24</v>
      </c>
      <c r="G7475" s="128" t="str">
        <f>VLOOKUP(source[[#This Row],[lending_product_transform]],[3]Mapping!$B$4:$C$37,2,0)</f>
        <v>[Cake] - Cashloan</v>
      </c>
      <c r="H7475" s="128" t="str">
        <f>VLOOKUP(source[[#This Row],[lending_product_transform]],[3]Mapping!$B$3:$D$37,3,0)</f>
        <v>cashloan</v>
      </c>
      <c r="I7475" s="135">
        <v>1243050000</v>
      </c>
    </row>
    <row r="7476" spans="1:9" x14ac:dyDescent="0.2">
      <c r="A7476" s="134">
        <v>45831</v>
      </c>
      <c r="B7476" s="135">
        <f>YEAR(source[[#This Row],[report_date]])</f>
        <v>2025</v>
      </c>
      <c r="C7476" s="128">
        <f t="shared" si="346"/>
        <v>6</v>
      </c>
      <c r="D7476" s="136">
        <f t="shared" si="348"/>
        <v>26</v>
      </c>
      <c r="E7476" s="136">
        <f t="shared" si="347"/>
        <v>23</v>
      </c>
      <c r="F7476" s="128" t="s">
        <v>24</v>
      </c>
      <c r="G7476" s="128" t="str">
        <f>VLOOKUP(source[[#This Row],[lending_product_transform]],[3]Mapping!$B$4:$C$37,2,0)</f>
        <v>[Cake] - Cashloan</v>
      </c>
      <c r="H7476" s="128" t="str">
        <f>VLOOKUP(source[[#This Row],[lending_product_transform]],[3]Mapping!$B$3:$D$37,3,0)</f>
        <v>cashloan</v>
      </c>
      <c r="I7476" s="135">
        <v>8806530000</v>
      </c>
    </row>
    <row r="7477" spans="1:9" x14ac:dyDescent="0.2">
      <c r="A7477" s="134">
        <v>45831</v>
      </c>
      <c r="B7477" s="135">
        <f>YEAR(source[[#This Row],[report_date]])</f>
        <v>2025</v>
      </c>
      <c r="C7477" s="128">
        <f t="shared" si="346"/>
        <v>6</v>
      </c>
      <c r="D7477" s="136">
        <f t="shared" si="348"/>
        <v>26</v>
      </c>
      <c r="E7477" s="136">
        <f t="shared" si="347"/>
        <v>23</v>
      </c>
      <c r="F7477" s="128" t="s">
        <v>24</v>
      </c>
      <c r="G7477" s="128" t="str">
        <f>VLOOKUP(source[[#This Row],[lending_product_transform]],[3]Mapping!$B$4:$C$37,2,0)</f>
        <v>[Cake] - Cashloan</v>
      </c>
      <c r="H7477" s="128" t="str">
        <f>VLOOKUP(source[[#This Row],[lending_product_transform]],[3]Mapping!$B$3:$D$37,3,0)</f>
        <v>cashloan</v>
      </c>
      <c r="I7477" s="135">
        <v>0</v>
      </c>
    </row>
    <row r="7478" spans="1:9" x14ac:dyDescent="0.2">
      <c r="A7478" s="134">
        <v>45831</v>
      </c>
      <c r="B7478" s="135">
        <f>YEAR(source[[#This Row],[report_date]])</f>
        <v>2025</v>
      </c>
      <c r="C7478" s="128">
        <f t="shared" ref="C7478:C7541" si="349">MONTH(A7478)</f>
        <v>6</v>
      </c>
      <c r="D7478" s="136">
        <f t="shared" si="348"/>
        <v>26</v>
      </c>
      <c r="E7478" s="136">
        <f t="shared" ref="E7478:E7541" si="350">DAY(A7478)</f>
        <v>23</v>
      </c>
      <c r="F7478" s="128" t="s">
        <v>24</v>
      </c>
      <c r="G7478" s="128" t="str">
        <f>VLOOKUP(source[[#This Row],[lending_product_transform]],[3]Mapping!$B$4:$C$37,2,0)</f>
        <v>[Cake] - Cashloan</v>
      </c>
      <c r="H7478" s="128" t="str">
        <f>VLOOKUP(source[[#This Row],[lending_product_transform]],[3]Mapping!$B$3:$D$37,3,0)</f>
        <v>cashloan</v>
      </c>
      <c r="I7478" s="135">
        <v>22447912</v>
      </c>
    </row>
    <row r="7479" spans="1:9" x14ac:dyDescent="0.2">
      <c r="A7479" s="134">
        <v>45831</v>
      </c>
      <c r="B7479" s="135">
        <f>YEAR(source[[#This Row],[report_date]])</f>
        <v>2025</v>
      </c>
      <c r="C7479" s="128">
        <f t="shared" si="349"/>
        <v>6</v>
      </c>
      <c r="D7479" s="136">
        <f t="shared" si="348"/>
        <v>26</v>
      </c>
      <c r="E7479" s="136">
        <f t="shared" si="350"/>
        <v>23</v>
      </c>
      <c r="F7479" s="128" t="s">
        <v>24</v>
      </c>
      <c r="G7479" s="128" t="str">
        <f>VLOOKUP(source[[#This Row],[lending_product_transform]],[3]Mapping!$B$4:$C$37,2,0)</f>
        <v>[Cake] - Cashloan</v>
      </c>
      <c r="H7479" s="128" t="str">
        <f>VLOOKUP(source[[#This Row],[lending_product_transform]],[3]Mapping!$B$3:$D$37,3,0)</f>
        <v>cashloan</v>
      </c>
      <c r="I7479" s="135">
        <v>12600000</v>
      </c>
    </row>
    <row r="7480" spans="1:9" x14ac:dyDescent="0.2">
      <c r="A7480" s="134">
        <v>45831</v>
      </c>
      <c r="B7480" s="135">
        <f>YEAR(source[[#This Row],[report_date]])</f>
        <v>2025</v>
      </c>
      <c r="C7480" s="128">
        <f t="shared" si="349"/>
        <v>6</v>
      </c>
      <c r="D7480" s="136">
        <f t="shared" si="348"/>
        <v>26</v>
      </c>
      <c r="E7480" s="136">
        <f t="shared" si="350"/>
        <v>23</v>
      </c>
      <c r="F7480" s="128" t="s">
        <v>24</v>
      </c>
      <c r="G7480" s="128" t="str">
        <f>VLOOKUP(source[[#This Row],[lending_product_transform]],[3]Mapping!$B$4:$C$37,2,0)</f>
        <v>[Cake] - Cashloan</v>
      </c>
      <c r="H7480" s="128" t="str">
        <f>VLOOKUP(source[[#This Row],[lending_product_transform]],[3]Mapping!$B$3:$D$37,3,0)</f>
        <v>cashloan</v>
      </c>
      <c r="I7480" s="135">
        <v>0</v>
      </c>
    </row>
    <row r="7481" spans="1:9" x14ac:dyDescent="0.2">
      <c r="A7481" s="134">
        <v>45831</v>
      </c>
      <c r="B7481" s="135">
        <f>YEAR(source[[#This Row],[report_date]])</f>
        <v>2025</v>
      </c>
      <c r="C7481" s="128">
        <f t="shared" si="349"/>
        <v>6</v>
      </c>
      <c r="D7481" s="136">
        <f t="shared" si="348"/>
        <v>26</v>
      </c>
      <c r="E7481" s="136">
        <f t="shared" si="350"/>
        <v>23</v>
      </c>
      <c r="F7481" s="128" t="s">
        <v>24</v>
      </c>
      <c r="G7481" s="128" t="str">
        <f>VLOOKUP(source[[#This Row],[lending_product_transform]],[3]Mapping!$B$4:$C$37,2,0)</f>
        <v>[Cake] - Cashloan</v>
      </c>
      <c r="H7481" s="128" t="str">
        <f>VLOOKUP(source[[#This Row],[lending_product_transform]],[3]Mapping!$B$3:$D$37,3,0)</f>
        <v>cashloan</v>
      </c>
      <c r="I7481" s="135">
        <v>0</v>
      </c>
    </row>
    <row r="7482" spans="1:9" x14ac:dyDescent="0.2">
      <c r="A7482" s="134">
        <v>45831</v>
      </c>
      <c r="B7482" s="135">
        <f>YEAR(source[[#This Row],[report_date]])</f>
        <v>2025</v>
      </c>
      <c r="C7482" s="128">
        <f t="shared" si="349"/>
        <v>6</v>
      </c>
      <c r="D7482" s="136">
        <f t="shared" si="348"/>
        <v>26</v>
      </c>
      <c r="E7482" s="136">
        <f t="shared" si="350"/>
        <v>23</v>
      </c>
      <c r="F7482" s="128" t="s">
        <v>24</v>
      </c>
      <c r="G7482" s="128" t="str">
        <f>VLOOKUP(source[[#This Row],[lending_product_transform]],[3]Mapping!$B$4:$C$37,2,0)</f>
        <v>[Cake] - Cashloan</v>
      </c>
      <c r="H7482" s="128" t="str">
        <f>VLOOKUP(source[[#This Row],[lending_product_transform]],[3]Mapping!$B$3:$D$37,3,0)</f>
        <v>cashloan</v>
      </c>
      <c r="I7482" s="135">
        <v>29000000</v>
      </c>
    </row>
    <row r="7483" spans="1:9" x14ac:dyDescent="0.2">
      <c r="A7483" s="134">
        <v>45831</v>
      </c>
      <c r="B7483" s="135">
        <f>YEAR(source[[#This Row],[report_date]])</f>
        <v>2025</v>
      </c>
      <c r="C7483" s="128">
        <f t="shared" si="349"/>
        <v>6</v>
      </c>
      <c r="D7483" s="136">
        <f t="shared" si="348"/>
        <v>26</v>
      </c>
      <c r="E7483" s="136">
        <f t="shared" si="350"/>
        <v>23</v>
      </c>
      <c r="F7483" s="128" t="s">
        <v>24</v>
      </c>
      <c r="G7483" s="128" t="str">
        <f>VLOOKUP(source[[#This Row],[lending_product_transform]],[3]Mapping!$B$4:$C$37,2,0)</f>
        <v>[Cake] - Cashloan</v>
      </c>
      <c r="H7483" s="128" t="str">
        <f>VLOOKUP(source[[#This Row],[lending_product_transform]],[3]Mapping!$B$3:$D$37,3,0)</f>
        <v>cashloan</v>
      </c>
      <c r="I7483" s="135">
        <v>0</v>
      </c>
    </row>
    <row r="7484" spans="1:9" x14ac:dyDescent="0.2">
      <c r="A7484" s="134">
        <v>45831</v>
      </c>
      <c r="B7484" s="135">
        <f>YEAR(source[[#This Row],[report_date]])</f>
        <v>2025</v>
      </c>
      <c r="C7484" s="128">
        <f t="shared" si="349"/>
        <v>6</v>
      </c>
      <c r="D7484" s="136">
        <f t="shared" si="348"/>
        <v>26</v>
      </c>
      <c r="E7484" s="136">
        <f t="shared" si="350"/>
        <v>23</v>
      </c>
      <c r="F7484" s="128" t="s">
        <v>24</v>
      </c>
      <c r="G7484" s="128" t="str">
        <f>VLOOKUP(source[[#This Row],[lending_product_transform]],[3]Mapping!$B$4:$C$37,2,0)</f>
        <v>[Cake] - Cashloan</v>
      </c>
      <c r="H7484" s="128" t="str">
        <f>VLOOKUP(source[[#This Row],[lending_product_transform]],[3]Mapping!$B$3:$D$37,3,0)</f>
        <v>cashloan</v>
      </c>
      <c r="I7484" s="135">
        <v>13650000</v>
      </c>
    </row>
    <row r="7485" spans="1:9" x14ac:dyDescent="0.2">
      <c r="A7485" s="134">
        <v>45831</v>
      </c>
      <c r="B7485" s="135">
        <f>YEAR(source[[#This Row],[report_date]])</f>
        <v>2025</v>
      </c>
      <c r="C7485" s="128">
        <f t="shared" si="349"/>
        <v>6</v>
      </c>
      <c r="D7485" s="136">
        <f t="shared" si="348"/>
        <v>26</v>
      </c>
      <c r="E7485" s="136">
        <f t="shared" si="350"/>
        <v>23</v>
      </c>
      <c r="F7485" s="128" t="s">
        <v>24</v>
      </c>
      <c r="G7485" s="128" t="str">
        <f>VLOOKUP(source[[#This Row],[lending_product_transform]],[3]Mapping!$B$4:$C$37,2,0)</f>
        <v>[Cake] - Cashloan</v>
      </c>
      <c r="H7485" s="128" t="str">
        <f>VLOOKUP(source[[#This Row],[lending_product_transform]],[3]Mapping!$B$3:$D$37,3,0)</f>
        <v>cashloan</v>
      </c>
      <c r="I7485" s="135">
        <v>1312070000</v>
      </c>
    </row>
    <row r="7486" spans="1:9" x14ac:dyDescent="0.2">
      <c r="A7486" s="134">
        <v>45831</v>
      </c>
      <c r="B7486" s="135">
        <f>YEAR(source[[#This Row],[report_date]])</f>
        <v>2025</v>
      </c>
      <c r="C7486" s="128">
        <f t="shared" si="349"/>
        <v>6</v>
      </c>
      <c r="D7486" s="136">
        <f t="shared" si="348"/>
        <v>26</v>
      </c>
      <c r="E7486" s="136">
        <f t="shared" si="350"/>
        <v>23</v>
      </c>
      <c r="F7486" s="128" t="s">
        <v>24</v>
      </c>
      <c r="G7486" s="128" t="str">
        <f>VLOOKUP(source[[#This Row],[lending_product_transform]],[3]Mapping!$B$4:$C$37,2,0)</f>
        <v>[Cake] - Cashloan</v>
      </c>
      <c r="H7486" s="128" t="str">
        <f>VLOOKUP(source[[#This Row],[lending_product_transform]],[3]Mapping!$B$3:$D$37,3,0)</f>
        <v>cashloan</v>
      </c>
      <c r="I7486" s="135">
        <v>747240000</v>
      </c>
    </row>
    <row r="7487" spans="1:9" x14ac:dyDescent="0.2">
      <c r="A7487" s="134">
        <v>45831</v>
      </c>
      <c r="B7487" s="135">
        <f>YEAR(source[[#This Row],[report_date]])</f>
        <v>2025</v>
      </c>
      <c r="C7487" s="128">
        <f t="shared" si="349"/>
        <v>6</v>
      </c>
      <c r="D7487" s="136">
        <f t="shared" si="348"/>
        <v>26</v>
      </c>
      <c r="E7487" s="136">
        <f t="shared" si="350"/>
        <v>23</v>
      </c>
      <c r="F7487" s="128" t="s">
        <v>24</v>
      </c>
      <c r="G7487" s="128" t="str">
        <f>VLOOKUP(source[[#This Row],[lending_product_transform]],[3]Mapping!$B$4:$C$37,2,0)</f>
        <v>[Cake] - Cashloan</v>
      </c>
      <c r="H7487" s="128" t="str">
        <f>VLOOKUP(source[[#This Row],[lending_product_transform]],[3]Mapping!$B$3:$D$37,3,0)</f>
        <v>cashloan</v>
      </c>
      <c r="I7487" s="135">
        <v>526478000</v>
      </c>
    </row>
    <row r="7488" spans="1:9" x14ac:dyDescent="0.2">
      <c r="A7488" s="134">
        <v>45832</v>
      </c>
      <c r="B7488" s="135">
        <f>YEAR(source[[#This Row],[report_date]])</f>
        <v>2025</v>
      </c>
      <c r="C7488" s="128">
        <f t="shared" si="349"/>
        <v>6</v>
      </c>
      <c r="D7488" s="136">
        <f t="shared" si="348"/>
        <v>26</v>
      </c>
      <c r="E7488" s="136">
        <f t="shared" si="350"/>
        <v>24</v>
      </c>
      <c r="F7488" s="128" t="s">
        <v>24</v>
      </c>
      <c r="G7488" s="128" t="str">
        <f>VLOOKUP(source[[#This Row],[lending_product_transform]],[3]Mapping!$B$4:$C$37,2,0)</f>
        <v>[Cake] - Cashloan</v>
      </c>
      <c r="H7488" s="128" t="str">
        <f>VLOOKUP(source[[#This Row],[lending_product_transform]],[3]Mapping!$B$3:$D$37,3,0)</f>
        <v>cashloan</v>
      </c>
      <c r="I7488" s="135">
        <v>10890740000</v>
      </c>
    </row>
    <row r="7489" spans="1:9" x14ac:dyDescent="0.2">
      <c r="A7489" s="134">
        <v>45832</v>
      </c>
      <c r="B7489" s="135">
        <f>YEAR(source[[#This Row],[report_date]])</f>
        <v>2025</v>
      </c>
      <c r="C7489" s="128">
        <f t="shared" si="349"/>
        <v>6</v>
      </c>
      <c r="D7489" s="136">
        <f t="shared" si="348"/>
        <v>26</v>
      </c>
      <c r="E7489" s="136">
        <f t="shared" si="350"/>
        <v>24</v>
      </c>
      <c r="F7489" s="128" t="s">
        <v>24</v>
      </c>
      <c r="G7489" s="128" t="str">
        <f>VLOOKUP(source[[#This Row],[lending_product_transform]],[3]Mapping!$B$4:$C$37,2,0)</f>
        <v>[Cake] - Cashloan</v>
      </c>
      <c r="H7489" s="128" t="str">
        <f>VLOOKUP(source[[#This Row],[lending_product_transform]],[3]Mapping!$B$3:$D$37,3,0)</f>
        <v>cashloan</v>
      </c>
      <c r="I7489" s="135">
        <v>283172521</v>
      </c>
    </row>
    <row r="7490" spans="1:9" x14ac:dyDescent="0.2">
      <c r="A7490" s="134">
        <v>45832</v>
      </c>
      <c r="B7490" s="135">
        <f>YEAR(source[[#This Row],[report_date]])</f>
        <v>2025</v>
      </c>
      <c r="C7490" s="128">
        <f t="shared" si="349"/>
        <v>6</v>
      </c>
      <c r="D7490" s="136">
        <f t="shared" si="348"/>
        <v>26</v>
      </c>
      <c r="E7490" s="136">
        <f t="shared" si="350"/>
        <v>24</v>
      </c>
      <c r="F7490" s="128" t="s">
        <v>24</v>
      </c>
      <c r="G7490" s="128" t="str">
        <f>VLOOKUP(source[[#This Row],[lending_product_transform]],[3]Mapping!$B$4:$C$37,2,0)</f>
        <v>[Cake] - Cashloan</v>
      </c>
      <c r="H7490" s="128" t="str">
        <f>VLOOKUP(source[[#This Row],[lending_product_transform]],[3]Mapping!$B$3:$D$37,3,0)</f>
        <v>cashloan</v>
      </c>
      <c r="I7490" s="135">
        <v>4985712000</v>
      </c>
    </row>
    <row r="7491" spans="1:9" x14ac:dyDescent="0.2">
      <c r="A7491" s="134">
        <v>45832</v>
      </c>
      <c r="B7491" s="135">
        <f>YEAR(source[[#This Row],[report_date]])</f>
        <v>2025</v>
      </c>
      <c r="C7491" s="128">
        <f t="shared" si="349"/>
        <v>6</v>
      </c>
      <c r="D7491" s="136">
        <f t="shared" ref="D7491:D7554" si="351">WEEKNUM(A7491,2)</f>
        <v>26</v>
      </c>
      <c r="E7491" s="136">
        <f t="shared" si="350"/>
        <v>24</v>
      </c>
      <c r="F7491" s="128" t="s">
        <v>24</v>
      </c>
      <c r="G7491" s="128" t="str">
        <f>VLOOKUP(source[[#This Row],[lending_product_transform]],[3]Mapping!$B$4:$C$37,2,0)</f>
        <v>[Cake] - Cashloan</v>
      </c>
      <c r="H7491" s="128" t="str">
        <f>VLOOKUP(source[[#This Row],[lending_product_transform]],[3]Mapping!$B$3:$D$37,3,0)</f>
        <v>cashloan</v>
      </c>
      <c r="I7491" s="135">
        <v>9368780000</v>
      </c>
    </row>
    <row r="7492" spans="1:9" x14ac:dyDescent="0.2">
      <c r="A7492" s="134">
        <v>45832</v>
      </c>
      <c r="B7492" s="135">
        <f>YEAR(source[[#This Row],[report_date]])</f>
        <v>2025</v>
      </c>
      <c r="C7492" s="128">
        <f t="shared" si="349"/>
        <v>6</v>
      </c>
      <c r="D7492" s="136">
        <f t="shared" si="351"/>
        <v>26</v>
      </c>
      <c r="E7492" s="136">
        <f t="shared" si="350"/>
        <v>24</v>
      </c>
      <c r="F7492" s="128" t="s">
        <v>24</v>
      </c>
      <c r="G7492" s="128" t="str">
        <f>VLOOKUP(source[[#This Row],[lending_product_transform]],[3]Mapping!$B$4:$C$37,2,0)</f>
        <v>[Cake] - Cashloan</v>
      </c>
      <c r="H7492" s="128" t="str">
        <f>VLOOKUP(source[[#This Row],[lending_product_transform]],[3]Mapping!$B$3:$D$37,3,0)</f>
        <v>cashloan</v>
      </c>
      <c r="I7492" s="135">
        <v>18472689</v>
      </c>
    </row>
    <row r="7493" spans="1:9" x14ac:dyDescent="0.2">
      <c r="A7493" s="134">
        <v>45832</v>
      </c>
      <c r="B7493" s="135">
        <f>YEAR(source[[#This Row],[report_date]])</f>
        <v>2025</v>
      </c>
      <c r="C7493" s="128">
        <f t="shared" si="349"/>
        <v>6</v>
      </c>
      <c r="D7493" s="136">
        <f t="shared" si="351"/>
        <v>26</v>
      </c>
      <c r="E7493" s="136">
        <f t="shared" si="350"/>
        <v>24</v>
      </c>
      <c r="F7493" s="128" t="s">
        <v>24</v>
      </c>
      <c r="G7493" s="128" t="str">
        <f>VLOOKUP(source[[#This Row],[lending_product_transform]],[3]Mapping!$B$4:$C$37,2,0)</f>
        <v>[Cake] - Cashloan</v>
      </c>
      <c r="H7493" s="128" t="str">
        <f>VLOOKUP(source[[#This Row],[lending_product_transform]],[3]Mapping!$B$3:$D$37,3,0)</f>
        <v>cashloan</v>
      </c>
      <c r="I7493" s="135">
        <v>0</v>
      </c>
    </row>
    <row r="7494" spans="1:9" x14ac:dyDescent="0.2">
      <c r="A7494" s="134">
        <v>45832</v>
      </c>
      <c r="B7494" s="135">
        <f>YEAR(source[[#This Row],[report_date]])</f>
        <v>2025</v>
      </c>
      <c r="C7494" s="128">
        <f t="shared" si="349"/>
        <v>6</v>
      </c>
      <c r="D7494" s="136">
        <f t="shared" si="351"/>
        <v>26</v>
      </c>
      <c r="E7494" s="136">
        <f t="shared" si="350"/>
        <v>24</v>
      </c>
      <c r="F7494" s="128" t="s">
        <v>24</v>
      </c>
      <c r="G7494" s="128" t="str">
        <f>VLOOKUP(source[[#This Row],[lending_product_transform]],[3]Mapping!$B$4:$C$37,2,0)</f>
        <v>[Cake] - Cashloan</v>
      </c>
      <c r="H7494" s="128" t="str">
        <f>VLOOKUP(source[[#This Row],[lending_product_transform]],[3]Mapping!$B$3:$D$37,3,0)</f>
        <v>cashloan</v>
      </c>
      <c r="I7494" s="135">
        <v>0</v>
      </c>
    </row>
    <row r="7495" spans="1:9" x14ac:dyDescent="0.2">
      <c r="A7495" s="134">
        <v>45832</v>
      </c>
      <c r="B7495" s="135">
        <f>YEAR(source[[#This Row],[report_date]])</f>
        <v>2025</v>
      </c>
      <c r="C7495" s="128">
        <f t="shared" si="349"/>
        <v>6</v>
      </c>
      <c r="D7495" s="136">
        <f t="shared" si="351"/>
        <v>26</v>
      </c>
      <c r="E7495" s="136">
        <f t="shared" si="350"/>
        <v>24</v>
      </c>
      <c r="F7495" s="128" t="s">
        <v>24</v>
      </c>
      <c r="G7495" s="128" t="str">
        <f>VLOOKUP(source[[#This Row],[lending_product_transform]],[3]Mapping!$B$4:$C$37,2,0)</f>
        <v>[Cake] - Cashloan</v>
      </c>
      <c r="H7495" s="128" t="str">
        <f>VLOOKUP(source[[#This Row],[lending_product_transform]],[3]Mapping!$B$3:$D$37,3,0)</f>
        <v>cashloan</v>
      </c>
      <c r="I7495" s="135">
        <v>3610204733</v>
      </c>
    </row>
    <row r="7496" spans="1:9" x14ac:dyDescent="0.2">
      <c r="A7496" s="134">
        <v>45832</v>
      </c>
      <c r="B7496" s="135">
        <f>YEAR(source[[#This Row],[report_date]])</f>
        <v>2025</v>
      </c>
      <c r="C7496" s="128">
        <f t="shared" si="349"/>
        <v>6</v>
      </c>
      <c r="D7496" s="136">
        <f t="shared" si="351"/>
        <v>26</v>
      </c>
      <c r="E7496" s="136">
        <f t="shared" si="350"/>
        <v>24</v>
      </c>
      <c r="F7496" s="128" t="s">
        <v>24</v>
      </c>
      <c r="G7496" s="128" t="str">
        <f>VLOOKUP(source[[#This Row],[lending_product_transform]],[3]Mapping!$B$4:$C$37,2,0)</f>
        <v>[Cake] - Cashloan</v>
      </c>
      <c r="H7496" s="128" t="str">
        <f>VLOOKUP(source[[#This Row],[lending_product_transform]],[3]Mapping!$B$3:$D$37,3,0)</f>
        <v>cashloan</v>
      </c>
      <c r="I7496" s="135">
        <v>0</v>
      </c>
    </row>
    <row r="7497" spans="1:9" x14ac:dyDescent="0.2">
      <c r="A7497" s="134">
        <v>45832</v>
      </c>
      <c r="B7497" s="135">
        <f>YEAR(source[[#This Row],[report_date]])</f>
        <v>2025</v>
      </c>
      <c r="C7497" s="128">
        <f t="shared" si="349"/>
        <v>6</v>
      </c>
      <c r="D7497" s="136">
        <f t="shared" si="351"/>
        <v>26</v>
      </c>
      <c r="E7497" s="136">
        <f t="shared" si="350"/>
        <v>24</v>
      </c>
      <c r="F7497" s="128" t="s">
        <v>24</v>
      </c>
      <c r="G7497" s="128" t="str">
        <f>VLOOKUP(source[[#This Row],[lending_product_transform]],[3]Mapping!$B$4:$C$37,2,0)</f>
        <v>[Cake] - Cashloan</v>
      </c>
      <c r="H7497" s="128" t="str">
        <f>VLOOKUP(source[[#This Row],[lending_product_transform]],[3]Mapping!$B$3:$D$37,3,0)</f>
        <v>cashloan</v>
      </c>
      <c r="I7497" s="135">
        <v>0</v>
      </c>
    </row>
    <row r="7498" spans="1:9" x14ac:dyDescent="0.2">
      <c r="A7498" s="134">
        <v>45832</v>
      </c>
      <c r="B7498" s="135">
        <f>YEAR(source[[#This Row],[report_date]])</f>
        <v>2025</v>
      </c>
      <c r="C7498" s="128">
        <f t="shared" si="349"/>
        <v>6</v>
      </c>
      <c r="D7498" s="136">
        <f t="shared" si="351"/>
        <v>26</v>
      </c>
      <c r="E7498" s="136">
        <f t="shared" si="350"/>
        <v>24</v>
      </c>
      <c r="F7498" s="128" t="s">
        <v>24</v>
      </c>
      <c r="G7498" s="128" t="str">
        <f>VLOOKUP(source[[#This Row],[lending_product_transform]],[3]Mapping!$B$4:$C$37,2,0)</f>
        <v>[Cake] - Cashloan</v>
      </c>
      <c r="H7498" s="128" t="str">
        <f>VLOOKUP(source[[#This Row],[lending_product_transform]],[3]Mapping!$B$3:$D$37,3,0)</f>
        <v>cashloan</v>
      </c>
      <c r="I7498" s="135">
        <v>15000000</v>
      </c>
    </row>
    <row r="7499" spans="1:9" x14ac:dyDescent="0.2">
      <c r="A7499" s="134">
        <v>45832</v>
      </c>
      <c r="B7499" s="135">
        <f>YEAR(source[[#This Row],[report_date]])</f>
        <v>2025</v>
      </c>
      <c r="C7499" s="128">
        <f t="shared" si="349"/>
        <v>6</v>
      </c>
      <c r="D7499" s="136">
        <f t="shared" si="351"/>
        <v>26</v>
      </c>
      <c r="E7499" s="136">
        <f t="shared" si="350"/>
        <v>24</v>
      </c>
      <c r="F7499" s="128" t="s">
        <v>24</v>
      </c>
      <c r="G7499" s="128" t="str">
        <f>VLOOKUP(source[[#This Row],[lending_product_transform]],[3]Mapping!$B$4:$C$37,2,0)</f>
        <v>[Cake] - Cashloan</v>
      </c>
      <c r="H7499" s="128" t="str">
        <f>VLOOKUP(source[[#This Row],[lending_product_transform]],[3]Mapping!$B$3:$D$37,3,0)</f>
        <v>cashloan</v>
      </c>
      <c r="I7499" s="135">
        <v>0</v>
      </c>
    </row>
    <row r="7500" spans="1:9" x14ac:dyDescent="0.2">
      <c r="A7500" s="134">
        <v>45832</v>
      </c>
      <c r="B7500" s="135">
        <f>YEAR(source[[#This Row],[report_date]])</f>
        <v>2025</v>
      </c>
      <c r="C7500" s="128">
        <f t="shared" si="349"/>
        <v>6</v>
      </c>
      <c r="D7500" s="136">
        <f t="shared" si="351"/>
        <v>26</v>
      </c>
      <c r="E7500" s="136">
        <f t="shared" si="350"/>
        <v>24</v>
      </c>
      <c r="F7500" s="128" t="s">
        <v>24</v>
      </c>
      <c r="G7500" s="128" t="str">
        <f>VLOOKUP(source[[#This Row],[lending_product_transform]],[3]Mapping!$B$4:$C$37,2,0)</f>
        <v>[Cake] - Cashloan</v>
      </c>
      <c r="H7500" s="128" t="str">
        <f>VLOOKUP(source[[#This Row],[lending_product_transform]],[3]Mapping!$B$3:$D$37,3,0)</f>
        <v>cashloan</v>
      </c>
      <c r="I7500" s="135">
        <v>43750000</v>
      </c>
    </row>
    <row r="7501" spans="1:9" x14ac:dyDescent="0.2">
      <c r="A7501" s="134">
        <v>45832</v>
      </c>
      <c r="B7501" s="135">
        <f>YEAR(source[[#This Row],[report_date]])</f>
        <v>2025</v>
      </c>
      <c r="C7501" s="128">
        <f t="shared" si="349"/>
        <v>6</v>
      </c>
      <c r="D7501" s="136">
        <f t="shared" si="351"/>
        <v>26</v>
      </c>
      <c r="E7501" s="136">
        <f t="shared" si="350"/>
        <v>24</v>
      </c>
      <c r="F7501" s="128" t="s">
        <v>24</v>
      </c>
      <c r="G7501" s="128" t="str">
        <f>VLOOKUP(source[[#This Row],[lending_product_transform]],[3]Mapping!$B$4:$C$37,2,0)</f>
        <v>[Cake] - Cashloan</v>
      </c>
      <c r="H7501" s="128" t="str">
        <f>VLOOKUP(source[[#This Row],[lending_product_transform]],[3]Mapping!$B$3:$D$37,3,0)</f>
        <v>cashloan</v>
      </c>
      <c r="I7501" s="135">
        <v>1552640000</v>
      </c>
    </row>
    <row r="7502" spans="1:9" x14ac:dyDescent="0.2">
      <c r="A7502" s="134">
        <v>45832</v>
      </c>
      <c r="B7502" s="135">
        <f>YEAR(source[[#This Row],[report_date]])</f>
        <v>2025</v>
      </c>
      <c r="C7502" s="128">
        <f t="shared" si="349"/>
        <v>6</v>
      </c>
      <c r="D7502" s="136">
        <f t="shared" si="351"/>
        <v>26</v>
      </c>
      <c r="E7502" s="136">
        <f t="shared" si="350"/>
        <v>24</v>
      </c>
      <c r="F7502" s="128" t="s">
        <v>24</v>
      </c>
      <c r="G7502" s="128" t="str">
        <f>VLOOKUP(source[[#This Row],[lending_product_transform]],[3]Mapping!$B$4:$C$37,2,0)</f>
        <v>[Cake] - Cashloan</v>
      </c>
      <c r="H7502" s="128" t="str">
        <f>VLOOKUP(source[[#This Row],[lending_product_transform]],[3]Mapping!$B$3:$D$37,3,0)</f>
        <v>cashloan</v>
      </c>
      <c r="I7502" s="135">
        <v>814000000</v>
      </c>
    </row>
    <row r="7503" spans="1:9" x14ac:dyDescent="0.2">
      <c r="A7503" s="134">
        <v>45832</v>
      </c>
      <c r="B7503" s="135">
        <f>YEAR(source[[#This Row],[report_date]])</f>
        <v>2025</v>
      </c>
      <c r="C7503" s="128">
        <f t="shared" si="349"/>
        <v>6</v>
      </c>
      <c r="D7503" s="136">
        <f t="shared" si="351"/>
        <v>26</v>
      </c>
      <c r="E7503" s="136">
        <f t="shared" si="350"/>
        <v>24</v>
      </c>
      <c r="F7503" s="128" t="s">
        <v>24</v>
      </c>
      <c r="G7503" s="128" t="str">
        <f>VLOOKUP(source[[#This Row],[lending_product_transform]],[3]Mapping!$B$4:$C$37,2,0)</f>
        <v>[Cake] - Cashloan</v>
      </c>
      <c r="H7503" s="128" t="str">
        <f>VLOOKUP(source[[#This Row],[lending_product_transform]],[3]Mapping!$B$3:$D$37,3,0)</f>
        <v>cashloan</v>
      </c>
      <c r="I7503" s="135">
        <v>567282300</v>
      </c>
    </row>
    <row r="7504" spans="1:9" x14ac:dyDescent="0.2">
      <c r="A7504" s="134">
        <v>45832</v>
      </c>
      <c r="B7504" s="135">
        <f>YEAR(source[[#This Row],[report_date]])</f>
        <v>2025</v>
      </c>
      <c r="C7504" s="128">
        <f t="shared" si="349"/>
        <v>6</v>
      </c>
      <c r="D7504" s="136">
        <f t="shared" si="351"/>
        <v>26</v>
      </c>
      <c r="E7504" s="136">
        <f t="shared" si="350"/>
        <v>24</v>
      </c>
      <c r="F7504" s="128" t="s">
        <v>24</v>
      </c>
      <c r="G7504" s="128" t="str">
        <f>VLOOKUP(source[[#This Row],[lending_product_transform]],[3]Mapping!$B$4:$C$37,2,0)</f>
        <v>[Cake] - Cashloan</v>
      </c>
      <c r="H7504" s="128" t="str">
        <f>VLOOKUP(source[[#This Row],[lending_product_transform]],[3]Mapping!$B$3:$D$37,3,0)</f>
        <v>cashloan</v>
      </c>
      <c r="I7504" s="135">
        <v>1478710000</v>
      </c>
    </row>
    <row r="7505" spans="1:9" x14ac:dyDescent="0.2">
      <c r="A7505" s="134">
        <v>45832</v>
      </c>
      <c r="B7505" s="135">
        <f>YEAR(source[[#This Row],[report_date]])</f>
        <v>2025</v>
      </c>
      <c r="C7505" s="128">
        <f t="shared" si="349"/>
        <v>6</v>
      </c>
      <c r="D7505" s="136">
        <f t="shared" si="351"/>
        <v>26</v>
      </c>
      <c r="E7505" s="136">
        <f t="shared" si="350"/>
        <v>24</v>
      </c>
      <c r="F7505" s="128" t="s">
        <v>24</v>
      </c>
      <c r="G7505" s="128" t="str">
        <f>VLOOKUP(source[[#This Row],[lending_product_transform]],[3]Mapping!$B$4:$C$37,2,0)</f>
        <v>[Cake] - Cashloan</v>
      </c>
      <c r="H7505" s="128" t="str">
        <f>VLOOKUP(source[[#This Row],[lending_product_transform]],[3]Mapping!$B$3:$D$37,3,0)</f>
        <v>cashloan</v>
      </c>
      <c r="I7505" s="135">
        <v>214796466</v>
      </c>
    </row>
    <row r="7506" spans="1:9" x14ac:dyDescent="0.2">
      <c r="A7506" s="134">
        <v>45832</v>
      </c>
      <c r="B7506" s="135">
        <f>YEAR(source[[#This Row],[report_date]])</f>
        <v>2025</v>
      </c>
      <c r="C7506" s="128">
        <f t="shared" si="349"/>
        <v>6</v>
      </c>
      <c r="D7506" s="136">
        <f t="shared" si="351"/>
        <v>26</v>
      </c>
      <c r="E7506" s="136">
        <f t="shared" si="350"/>
        <v>24</v>
      </c>
      <c r="F7506" s="128" t="s">
        <v>24</v>
      </c>
      <c r="G7506" s="128" t="str">
        <f>VLOOKUP(source[[#This Row],[lending_product_transform]],[3]Mapping!$B$4:$C$37,2,0)</f>
        <v>[Cake] - Cashloan</v>
      </c>
      <c r="H7506" s="128" t="str">
        <f>VLOOKUP(source[[#This Row],[lending_product_transform]],[3]Mapping!$B$3:$D$37,3,0)</f>
        <v>cashloan</v>
      </c>
      <c r="I7506" s="135">
        <v>397201217</v>
      </c>
    </row>
    <row r="7507" spans="1:9" x14ac:dyDescent="0.2">
      <c r="A7507" s="134">
        <v>45833</v>
      </c>
      <c r="B7507" s="135">
        <f>YEAR(source[[#This Row],[report_date]])</f>
        <v>2025</v>
      </c>
      <c r="C7507" s="128">
        <f t="shared" si="349"/>
        <v>6</v>
      </c>
      <c r="D7507" s="136">
        <f t="shared" si="351"/>
        <v>26</v>
      </c>
      <c r="E7507" s="136">
        <f t="shared" si="350"/>
        <v>25</v>
      </c>
      <c r="F7507" s="128" t="s">
        <v>24</v>
      </c>
      <c r="G7507" s="128" t="str">
        <f>VLOOKUP(source[[#This Row],[lending_product_transform]],[3]Mapping!$B$4:$C$37,2,0)</f>
        <v>[Cake] - Cashloan</v>
      </c>
      <c r="H7507" s="128" t="str">
        <f>VLOOKUP(source[[#This Row],[lending_product_transform]],[3]Mapping!$B$3:$D$37,3,0)</f>
        <v>cashloan</v>
      </c>
      <c r="I7507" s="135">
        <v>341215120</v>
      </c>
    </row>
    <row r="7508" spans="1:9" x14ac:dyDescent="0.2">
      <c r="A7508" s="134">
        <v>45833</v>
      </c>
      <c r="B7508" s="135">
        <f>YEAR(source[[#This Row],[report_date]])</f>
        <v>2025</v>
      </c>
      <c r="C7508" s="128">
        <f t="shared" si="349"/>
        <v>6</v>
      </c>
      <c r="D7508" s="136">
        <f t="shared" si="351"/>
        <v>26</v>
      </c>
      <c r="E7508" s="136">
        <f t="shared" si="350"/>
        <v>25</v>
      </c>
      <c r="F7508" s="128" t="s">
        <v>24</v>
      </c>
      <c r="G7508" s="128" t="str">
        <f>VLOOKUP(source[[#This Row],[lending_product_transform]],[3]Mapping!$B$4:$C$37,2,0)</f>
        <v>[Cake] - Cashloan</v>
      </c>
      <c r="H7508" s="128" t="str">
        <f>VLOOKUP(source[[#This Row],[lending_product_transform]],[3]Mapping!$B$3:$D$37,3,0)</f>
        <v>cashloan</v>
      </c>
      <c r="I7508" s="135">
        <v>11653690000</v>
      </c>
    </row>
    <row r="7509" spans="1:9" x14ac:dyDescent="0.2">
      <c r="A7509" s="134">
        <v>45833</v>
      </c>
      <c r="B7509" s="135">
        <f>YEAR(source[[#This Row],[report_date]])</f>
        <v>2025</v>
      </c>
      <c r="C7509" s="128">
        <f t="shared" si="349"/>
        <v>6</v>
      </c>
      <c r="D7509" s="136">
        <f t="shared" si="351"/>
        <v>26</v>
      </c>
      <c r="E7509" s="136">
        <f t="shared" si="350"/>
        <v>25</v>
      </c>
      <c r="F7509" s="128" t="s">
        <v>24</v>
      </c>
      <c r="G7509" s="128" t="str">
        <f>VLOOKUP(source[[#This Row],[lending_product_transform]],[3]Mapping!$B$4:$C$37,2,0)</f>
        <v>[Cake] - Cashloan</v>
      </c>
      <c r="H7509" s="128" t="str">
        <f>VLOOKUP(source[[#This Row],[lending_product_transform]],[3]Mapping!$B$3:$D$37,3,0)</f>
        <v>cashloan</v>
      </c>
      <c r="I7509" s="135">
        <v>3762696560</v>
      </c>
    </row>
    <row r="7510" spans="1:9" x14ac:dyDescent="0.2">
      <c r="A7510" s="134">
        <v>45833</v>
      </c>
      <c r="B7510" s="135">
        <f>YEAR(source[[#This Row],[report_date]])</f>
        <v>2025</v>
      </c>
      <c r="C7510" s="128">
        <f t="shared" si="349"/>
        <v>6</v>
      </c>
      <c r="D7510" s="136">
        <f t="shared" si="351"/>
        <v>26</v>
      </c>
      <c r="E7510" s="136">
        <f t="shared" si="350"/>
        <v>25</v>
      </c>
      <c r="F7510" s="128" t="s">
        <v>24</v>
      </c>
      <c r="G7510" s="128" t="str">
        <f>VLOOKUP(source[[#This Row],[lending_product_transform]],[3]Mapping!$B$4:$C$37,2,0)</f>
        <v>[Cake] - Cashloan</v>
      </c>
      <c r="H7510" s="128" t="str">
        <f>VLOOKUP(source[[#This Row],[lending_product_transform]],[3]Mapping!$B$3:$D$37,3,0)</f>
        <v>cashloan</v>
      </c>
      <c r="I7510" s="135">
        <v>4745628000</v>
      </c>
    </row>
    <row r="7511" spans="1:9" x14ac:dyDescent="0.2">
      <c r="A7511" s="134">
        <v>45833</v>
      </c>
      <c r="B7511" s="135">
        <f>YEAR(source[[#This Row],[report_date]])</f>
        <v>2025</v>
      </c>
      <c r="C7511" s="128">
        <f t="shared" si="349"/>
        <v>6</v>
      </c>
      <c r="D7511" s="136">
        <f t="shared" si="351"/>
        <v>26</v>
      </c>
      <c r="E7511" s="136">
        <f t="shared" si="350"/>
        <v>25</v>
      </c>
      <c r="F7511" s="128" t="s">
        <v>24</v>
      </c>
      <c r="G7511" s="128" t="str">
        <f>VLOOKUP(source[[#This Row],[lending_product_transform]],[3]Mapping!$B$4:$C$37,2,0)</f>
        <v>[Cake] - Cashloan</v>
      </c>
      <c r="H7511" s="128" t="str">
        <f>VLOOKUP(source[[#This Row],[lending_product_transform]],[3]Mapping!$B$3:$D$37,3,0)</f>
        <v>cashloan</v>
      </c>
      <c r="I7511" s="135">
        <v>0</v>
      </c>
    </row>
    <row r="7512" spans="1:9" x14ac:dyDescent="0.2">
      <c r="A7512" s="134">
        <v>45833</v>
      </c>
      <c r="B7512" s="135">
        <f>YEAR(source[[#This Row],[report_date]])</f>
        <v>2025</v>
      </c>
      <c r="C7512" s="128">
        <f t="shared" si="349"/>
        <v>6</v>
      </c>
      <c r="D7512" s="136">
        <f t="shared" si="351"/>
        <v>26</v>
      </c>
      <c r="E7512" s="136">
        <f t="shared" si="350"/>
        <v>25</v>
      </c>
      <c r="F7512" s="128" t="s">
        <v>24</v>
      </c>
      <c r="G7512" s="128" t="str">
        <f>VLOOKUP(source[[#This Row],[lending_product_transform]],[3]Mapping!$B$4:$C$37,2,0)</f>
        <v>[Cake] - Cashloan</v>
      </c>
      <c r="H7512" s="128" t="str">
        <f>VLOOKUP(source[[#This Row],[lending_product_transform]],[3]Mapping!$B$3:$D$37,3,0)</f>
        <v>cashloan</v>
      </c>
      <c r="I7512" s="135">
        <v>417988535</v>
      </c>
    </row>
    <row r="7513" spans="1:9" x14ac:dyDescent="0.2">
      <c r="A7513" s="134">
        <v>45833</v>
      </c>
      <c r="B7513" s="135">
        <f>YEAR(source[[#This Row],[report_date]])</f>
        <v>2025</v>
      </c>
      <c r="C7513" s="128">
        <f t="shared" si="349"/>
        <v>6</v>
      </c>
      <c r="D7513" s="136">
        <f t="shared" si="351"/>
        <v>26</v>
      </c>
      <c r="E7513" s="136">
        <f t="shared" si="350"/>
        <v>25</v>
      </c>
      <c r="F7513" s="128" t="s">
        <v>24</v>
      </c>
      <c r="G7513" s="128" t="str">
        <f>VLOOKUP(source[[#This Row],[lending_product_transform]],[3]Mapping!$B$4:$C$37,2,0)</f>
        <v>[Cake] - Cashloan</v>
      </c>
      <c r="H7513" s="128" t="str">
        <f>VLOOKUP(source[[#This Row],[lending_product_transform]],[3]Mapping!$B$3:$D$37,3,0)</f>
        <v>cashloan</v>
      </c>
      <c r="I7513" s="135">
        <v>7601010000</v>
      </c>
    </row>
    <row r="7514" spans="1:9" x14ac:dyDescent="0.2">
      <c r="A7514" s="134">
        <v>45833</v>
      </c>
      <c r="B7514" s="135">
        <f>YEAR(source[[#This Row],[report_date]])</f>
        <v>2025</v>
      </c>
      <c r="C7514" s="128">
        <f t="shared" si="349"/>
        <v>6</v>
      </c>
      <c r="D7514" s="136">
        <f t="shared" si="351"/>
        <v>26</v>
      </c>
      <c r="E7514" s="136">
        <f t="shared" si="350"/>
        <v>25</v>
      </c>
      <c r="F7514" s="128" t="s">
        <v>24</v>
      </c>
      <c r="G7514" s="128" t="str">
        <f>VLOOKUP(source[[#This Row],[lending_product_transform]],[3]Mapping!$B$4:$C$37,2,0)</f>
        <v>[Cake] - Cashloan</v>
      </c>
      <c r="H7514" s="128" t="str">
        <f>VLOOKUP(source[[#This Row],[lending_product_transform]],[3]Mapping!$B$3:$D$37,3,0)</f>
        <v>cashloan</v>
      </c>
      <c r="I7514" s="135">
        <v>10500000</v>
      </c>
    </row>
    <row r="7515" spans="1:9" x14ac:dyDescent="0.2">
      <c r="A7515" s="134">
        <v>45833</v>
      </c>
      <c r="B7515" s="135">
        <f>YEAR(source[[#This Row],[report_date]])</f>
        <v>2025</v>
      </c>
      <c r="C7515" s="128">
        <f t="shared" si="349"/>
        <v>6</v>
      </c>
      <c r="D7515" s="136">
        <f t="shared" si="351"/>
        <v>26</v>
      </c>
      <c r="E7515" s="136">
        <f t="shared" si="350"/>
        <v>25</v>
      </c>
      <c r="F7515" s="128" t="s">
        <v>24</v>
      </c>
      <c r="G7515" s="128" t="str">
        <f>VLOOKUP(source[[#This Row],[lending_product_transform]],[3]Mapping!$B$4:$C$37,2,0)</f>
        <v>[Cake] - Cashloan</v>
      </c>
      <c r="H7515" s="128" t="str">
        <f>VLOOKUP(source[[#This Row],[lending_product_transform]],[3]Mapping!$B$3:$D$37,3,0)</f>
        <v>cashloan</v>
      </c>
      <c r="I7515" s="135">
        <v>54422906</v>
      </c>
    </row>
    <row r="7516" spans="1:9" x14ac:dyDescent="0.2">
      <c r="A7516" s="134">
        <v>45833</v>
      </c>
      <c r="B7516" s="135">
        <f>YEAR(source[[#This Row],[report_date]])</f>
        <v>2025</v>
      </c>
      <c r="C7516" s="128">
        <f t="shared" si="349"/>
        <v>6</v>
      </c>
      <c r="D7516" s="136">
        <f t="shared" si="351"/>
        <v>26</v>
      </c>
      <c r="E7516" s="136">
        <f t="shared" si="350"/>
        <v>25</v>
      </c>
      <c r="F7516" s="128" t="s">
        <v>24</v>
      </c>
      <c r="G7516" s="128" t="str">
        <f>VLOOKUP(source[[#This Row],[lending_product_transform]],[3]Mapping!$B$4:$C$37,2,0)</f>
        <v>[Cake] - Cashloan</v>
      </c>
      <c r="H7516" s="128" t="str">
        <f>VLOOKUP(source[[#This Row],[lending_product_transform]],[3]Mapping!$B$3:$D$37,3,0)</f>
        <v>cashloan</v>
      </c>
      <c r="I7516" s="135">
        <v>0</v>
      </c>
    </row>
    <row r="7517" spans="1:9" x14ac:dyDescent="0.2">
      <c r="A7517" s="134">
        <v>45833</v>
      </c>
      <c r="B7517" s="135">
        <f>YEAR(source[[#This Row],[report_date]])</f>
        <v>2025</v>
      </c>
      <c r="C7517" s="128">
        <f t="shared" si="349"/>
        <v>6</v>
      </c>
      <c r="D7517" s="136">
        <f t="shared" si="351"/>
        <v>26</v>
      </c>
      <c r="E7517" s="136">
        <f t="shared" si="350"/>
        <v>25</v>
      </c>
      <c r="F7517" s="128" t="s">
        <v>24</v>
      </c>
      <c r="G7517" s="128" t="str">
        <f>VLOOKUP(source[[#This Row],[lending_product_transform]],[3]Mapping!$B$4:$C$37,2,0)</f>
        <v>[Cake] - Cashloan</v>
      </c>
      <c r="H7517" s="128" t="str">
        <f>VLOOKUP(source[[#This Row],[lending_product_transform]],[3]Mapping!$B$3:$D$37,3,0)</f>
        <v>cashloan</v>
      </c>
      <c r="I7517" s="135">
        <v>0</v>
      </c>
    </row>
    <row r="7518" spans="1:9" x14ac:dyDescent="0.2">
      <c r="A7518" s="134">
        <v>45833</v>
      </c>
      <c r="B7518" s="135">
        <f>YEAR(source[[#This Row],[report_date]])</f>
        <v>2025</v>
      </c>
      <c r="C7518" s="128">
        <f t="shared" si="349"/>
        <v>6</v>
      </c>
      <c r="D7518" s="136">
        <f t="shared" si="351"/>
        <v>26</v>
      </c>
      <c r="E7518" s="136">
        <f t="shared" si="350"/>
        <v>25</v>
      </c>
      <c r="F7518" s="128" t="s">
        <v>24</v>
      </c>
      <c r="G7518" s="128" t="str">
        <f>VLOOKUP(source[[#This Row],[lending_product_transform]],[3]Mapping!$B$4:$C$37,2,0)</f>
        <v>[Cake] - Cashloan</v>
      </c>
      <c r="H7518" s="128" t="str">
        <f>VLOOKUP(source[[#This Row],[lending_product_transform]],[3]Mapping!$B$3:$D$37,3,0)</f>
        <v>cashloan</v>
      </c>
      <c r="I7518" s="135">
        <v>20000000</v>
      </c>
    </row>
    <row r="7519" spans="1:9" x14ac:dyDescent="0.2">
      <c r="A7519" s="134">
        <v>45833</v>
      </c>
      <c r="B7519" s="135">
        <f>YEAR(source[[#This Row],[report_date]])</f>
        <v>2025</v>
      </c>
      <c r="C7519" s="128">
        <f t="shared" si="349"/>
        <v>6</v>
      </c>
      <c r="D7519" s="136">
        <f t="shared" si="351"/>
        <v>26</v>
      </c>
      <c r="E7519" s="136">
        <f t="shared" si="350"/>
        <v>25</v>
      </c>
      <c r="F7519" s="128" t="s">
        <v>24</v>
      </c>
      <c r="G7519" s="128" t="str">
        <f>VLOOKUP(source[[#This Row],[lending_product_transform]],[3]Mapping!$B$4:$C$37,2,0)</f>
        <v>[Cake] - Cashloan</v>
      </c>
      <c r="H7519" s="128" t="str">
        <f>VLOOKUP(source[[#This Row],[lending_product_transform]],[3]Mapping!$B$3:$D$37,3,0)</f>
        <v>cashloan</v>
      </c>
      <c r="I7519" s="135">
        <v>22000000</v>
      </c>
    </row>
    <row r="7520" spans="1:9" x14ac:dyDescent="0.2">
      <c r="A7520" s="134">
        <v>45833</v>
      </c>
      <c r="B7520" s="135">
        <f>YEAR(source[[#This Row],[report_date]])</f>
        <v>2025</v>
      </c>
      <c r="C7520" s="128">
        <f t="shared" si="349"/>
        <v>6</v>
      </c>
      <c r="D7520" s="136">
        <f t="shared" si="351"/>
        <v>26</v>
      </c>
      <c r="E7520" s="136">
        <f t="shared" si="350"/>
        <v>25</v>
      </c>
      <c r="F7520" s="128" t="s">
        <v>24</v>
      </c>
      <c r="G7520" s="128" t="str">
        <f>VLOOKUP(source[[#This Row],[lending_product_transform]],[3]Mapping!$B$4:$C$37,2,0)</f>
        <v>[Cake] - Cashloan</v>
      </c>
      <c r="H7520" s="128" t="str">
        <f>VLOOKUP(source[[#This Row],[lending_product_transform]],[3]Mapping!$B$3:$D$37,3,0)</f>
        <v>cashloan</v>
      </c>
      <c r="I7520" s="135">
        <v>5350000</v>
      </c>
    </row>
    <row r="7521" spans="1:9" x14ac:dyDescent="0.2">
      <c r="A7521" s="134">
        <v>45833</v>
      </c>
      <c r="B7521" s="135">
        <f>YEAR(source[[#This Row],[report_date]])</f>
        <v>2025</v>
      </c>
      <c r="C7521" s="128">
        <f t="shared" si="349"/>
        <v>6</v>
      </c>
      <c r="D7521" s="136">
        <f t="shared" si="351"/>
        <v>26</v>
      </c>
      <c r="E7521" s="136">
        <f t="shared" si="350"/>
        <v>25</v>
      </c>
      <c r="F7521" s="128" t="s">
        <v>24</v>
      </c>
      <c r="G7521" s="128" t="str">
        <f>VLOOKUP(source[[#This Row],[lending_product_transform]],[3]Mapping!$B$4:$C$37,2,0)</f>
        <v>[Cake] - Cashloan</v>
      </c>
      <c r="H7521" s="128" t="str">
        <f>VLOOKUP(source[[#This Row],[lending_product_transform]],[3]Mapping!$B$3:$D$37,3,0)</f>
        <v>cashloan</v>
      </c>
      <c r="I7521" s="135">
        <v>1244320000</v>
      </c>
    </row>
    <row r="7522" spans="1:9" x14ac:dyDescent="0.2">
      <c r="A7522" s="134">
        <v>45833</v>
      </c>
      <c r="B7522" s="135">
        <f>YEAR(source[[#This Row],[report_date]])</f>
        <v>2025</v>
      </c>
      <c r="C7522" s="128">
        <f t="shared" si="349"/>
        <v>6</v>
      </c>
      <c r="D7522" s="136">
        <f t="shared" si="351"/>
        <v>26</v>
      </c>
      <c r="E7522" s="136">
        <f t="shared" si="350"/>
        <v>25</v>
      </c>
      <c r="F7522" s="128" t="s">
        <v>24</v>
      </c>
      <c r="G7522" s="128" t="str">
        <f>VLOOKUP(source[[#This Row],[lending_product_transform]],[3]Mapping!$B$4:$C$37,2,0)</f>
        <v>[Cake] - Cashloan</v>
      </c>
      <c r="H7522" s="128" t="str">
        <f>VLOOKUP(source[[#This Row],[lending_product_transform]],[3]Mapping!$B$3:$D$37,3,0)</f>
        <v>cashloan</v>
      </c>
      <c r="I7522" s="135">
        <v>352550000</v>
      </c>
    </row>
    <row r="7523" spans="1:9" x14ac:dyDescent="0.2">
      <c r="A7523" s="134">
        <v>45833</v>
      </c>
      <c r="B7523" s="135">
        <f>YEAR(source[[#This Row],[report_date]])</f>
        <v>2025</v>
      </c>
      <c r="C7523" s="128">
        <f t="shared" si="349"/>
        <v>6</v>
      </c>
      <c r="D7523" s="136">
        <f t="shared" si="351"/>
        <v>26</v>
      </c>
      <c r="E7523" s="136">
        <f t="shared" si="350"/>
        <v>25</v>
      </c>
      <c r="F7523" s="128" t="s">
        <v>24</v>
      </c>
      <c r="G7523" s="128" t="str">
        <f>VLOOKUP(source[[#This Row],[lending_product_transform]],[3]Mapping!$B$4:$C$37,2,0)</f>
        <v>[Cake] - Cashloan</v>
      </c>
      <c r="H7523" s="128" t="str">
        <f>VLOOKUP(source[[#This Row],[lending_product_transform]],[3]Mapping!$B$3:$D$37,3,0)</f>
        <v>cashloan</v>
      </c>
      <c r="I7523" s="135">
        <v>344027500</v>
      </c>
    </row>
    <row r="7524" spans="1:9" x14ac:dyDescent="0.2">
      <c r="A7524" s="134">
        <v>45833</v>
      </c>
      <c r="B7524" s="135">
        <f>YEAR(source[[#This Row],[report_date]])</f>
        <v>2025</v>
      </c>
      <c r="C7524" s="128">
        <f t="shared" si="349"/>
        <v>6</v>
      </c>
      <c r="D7524" s="136">
        <f t="shared" si="351"/>
        <v>26</v>
      </c>
      <c r="E7524" s="136">
        <f t="shared" si="350"/>
        <v>25</v>
      </c>
      <c r="F7524" s="128" t="s">
        <v>24</v>
      </c>
      <c r="G7524" s="128" t="str">
        <f>VLOOKUP(source[[#This Row],[lending_product_transform]],[3]Mapping!$B$4:$C$37,2,0)</f>
        <v>[Cake] - Cashloan</v>
      </c>
      <c r="H7524" s="128" t="str">
        <f>VLOOKUP(source[[#This Row],[lending_product_transform]],[3]Mapping!$B$3:$D$37,3,0)</f>
        <v>cashloan</v>
      </c>
      <c r="I7524" s="135">
        <v>1040190000</v>
      </c>
    </row>
    <row r="7525" spans="1:9" x14ac:dyDescent="0.2">
      <c r="A7525" s="134">
        <v>45833</v>
      </c>
      <c r="B7525" s="135">
        <f>YEAR(source[[#This Row],[report_date]])</f>
        <v>2025</v>
      </c>
      <c r="C7525" s="128">
        <f t="shared" si="349"/>
        <v>6</v>
      </c>
      <c r="D7525" s="136">
        <f t="shared" si="351"/>
        <v>26</v>
      </c>
      <c r="E7525" s="136">
        <f t="shared" si="350"/>
        <v>25</v>
      </c>
      <c r="F7525" s="128" t="s">
        <v>24</v>
      </c>
      <c r="G7525" s="128" t="str">
        <f>VLOOKUP(source[[#This Row],[lending_product_transform]],[3]Mapping!$B$4:$C$37,2,0)</f>
        <v>[Cake] - Cashloan</v>
      </c>
      <c r="H7525" s="128" t="str">
        <f>VLOOKUP(source[[#This Row],[lending_product_transform]],[3]Mapping!$B$3:$D$37,3,0)</f>
        <v>cashloan</v>
      </c>
      <c r="I7525" s="135">
        <v>219392350</v>
      </c>
    </row>
    <row r="7526" spans="1:9" x14ac:dyDescent="0.2">
      <c r="A7526" s="134">
        <v>45834</v>
      </c>
      <c r="B7526" s="135">
        <f>YEAR(source[[#This Row],[report_date]])</f>
        <v>2025</v>
      </c>
      <c r="C7526" s="128">
        <f t="shared" si="349"/>
        <v>6</v>
      </c>
      <c r="D7526" s="136">
        <f t="shared" si="351"/>
        <v>26</v>
      </c>
      <c r="E7526" s="136">
        <f t="shared" si="350"/>
        <v>26</v>
      </c>
      <c r="F7526" s="128" t="s">
        <v>24</v>
      </c>
      <c r="G7526" s="128" t="str">
        <f>VLOOKUP(source[[#This Row],[lending_product_transform]],[3]Mapping!$B$4:$C$37,2,0)</f>
        <v>[Cake] - Cashloan</v>
      </c>
      <c r="H7526" s="128" t="str">
        <f>VLOOKUP(source[[#This Row],[lending_product_transform]],[3]Mapping!$B$3:$D$37,3,0)</f>
        <v>cashloan</v>
      </c>
      <c r="I7526" s="135">
        <v>430949488</v>
      </c>
    </row>
    <row r="7527" spans="1:9" x14ac:dyDescent="0.2">
      <c r="A7527" s="134">
        <v>45834</v>
      </c>
      <c r="B7527" s="135">
        <f>YEAR(source[[#This Row],[report_date]])</f>
        <v>2025</v>
      </c>
      <c r="C7527" s="128">
        <f t="shared" si="349"/>
        <v>6</v>
      </c>
      <c r="D7527" s="136">
        <f t="shared" si="351"/>
        <v>26</v>
      </c>
      <c r="E7527" s="136">
        <f t="shared" si="350"/>
        <v>26</v>
      </c>
      <c r="F7527" s="128" t="s">
        <v>24</v>
      </c>
      <c r="G7527" s="128" t="str">
        <f>VLOOKUP(source[[#This Row],[lending_product_transform]],[3]Mapping!$B$4:$C$37,2,0)</f>
        <v>[Cake] - Cashloan</v>
      </c>
      <c r="H7527" s="128" t="str">
        <f>VLOOKUP(source[[#This Row],[lending_product_transform]],[3]Mapping!$B$3:$D$37,3,0)</f>
        <v>cashloan</v>
      </c>
      <c r="I7527" s="135">
        <v>21000000</v>
      </c>
    </row>
    <row r="7528" spans="1:9" x14ac:dyDescent="0.2">
      <c r="A7528" s="134">
        <v>45834</v>
      </c>
      <c r="B7528" s="135">
        <f>YEAR(source[[#This Row],[report_date]])</f>
        <v>2025</v>
      </c>
      <c r="C7528" s="128">
        <f t="shared" si="349"/>
        <v>6</v>
      </c>
      <c r="D7528" s="136">
        <f t="shared" si="351"/>
        <v>26</v>
      </c>
      <c r="E7528" s="136">
        <f t="shared" si="350"/>
        <v>26</v>
      </c>
      <c r="F7528" s="128" t="s">
        <v>24</v>
      </c>
      <c r="G7528" s="128" t="str">
        <f>VLOOKUP(source[[#This Row],[lending_product_transform]],[3]Mapping!$B$4:$C$37,2,0)</f>
        <v>[Cake] - Cashloan</v>
      </c>
      <c r="H7528" s="128" t="str">
        <f>VLOOKUP(source[[#This Row],[lending_product_transform]],[3]Mapping!$B$3:$D$37,3,0)</f>
        <v>cashloan</v>
      </c>
      <c r="I7528" s="135">
        <v>231228094</v>
      </c>
    </row>
    <row r="7529" spans="1:9" x14ac:dyDescent="0.2">
      <c r="A7529" s="134">
        <v>45834</v>
      </c>
      <c r="B7529" s="135">
        <f>YEAR(source[[#This Row],[report_date]])</f>
        <v>2025</v>
      </c>
      <c r="C7529" s="128">
        <f t="shared" si="349"/>
        <v>6</v>
      </c>
      <c r="D7529" s="136">
        <f t="shared" si="351"/>
        <v>26</v>
      </c>
      <c r="E7529" s="136">
        <f t="shared" si="350"/>
        <v>26</v>
      </c>
      <c r="F7529" s="128" t="s">
        <v>24</v>
      </c>
      <c r="G7529" s="128" t="str">
        <f>VLOOKUP(source[[#This Row],[lending_product_transform]],[3]Mapping!$B$4:$C$37,2,0)</f>
        <v>[Cake] - Cashloan</v>
      </c>
      <c r="H7529" s="128" t="str">
        <f>VLOOKUP(source[[#This Row],[lending_product_transform]],[3]Mapping!$B$3:$D$37,3,0)</f>
        <v>cashloan</v>
      </c>
      <c r="I7529" s="135">
        <v>8066530000</v>
      </c>
    </row>
    <row r="7530" spans="1:9" x14ac:dyDescent="0.2">
      <c r="A7530" s="134">
        <v>45834</v>
      </c>
      <c r="B7530" s="135">
        <f>YEAR(source[[#This Row],[report_date]])</f>
        <v>2025</v>
      </c>
      <c r="C7530" s="128">
        <f t="shared" si="349"/>
        <v>6</v>
      </c>
      <c r="D7530" s="136">
        <f t="shared" si="351"/>
        <v>26</v>
      </c>
      <c r="E7530" s="136">
        <f t="shared" si="350"/>
        <v>26</v>
      </c>
      <c r="F7530" s="128" t="s">
        <v>24</v>
      </c>
      <c r="G7530" s="128" t="str">
        <f>VLOOKUP(source[[#This Row],[lending_product_transform]],[3]Mapping!$B$4:$C$37,2,0)</f>
        <v>[Cake] - Cashloan</v>
      </c>
      <c r="H7530" s="128" t="str">
        <f>VLOOKUP(source[[#This Row],[lending_product_transform]],[3]Mapping!$B$3:$D$37,3,0)</f>
        <v>cashloan</v>
      </c>
      <c r="I7530" s="135">
        <v>448470000</v>
      </c>
    </row>
    <row r="7531" spans="1:9" x14ac:dyDescent="0.2">
      <c r="A7531" s="134">
        <v>45834</v>
      </c>
      <c r="B7531" s="135">
        <f>YEAR(source[[#This Row],[report_date]])</f>
        <v>2025</v>
      </c>
      <c r="C7531" s="128">
        <f t="shared" si="349"/>
        <v>6</v>
      </c>
      <c r="D7531" s="136">
        <f t="shared" si="351"/>
        <v>26</v>
      </c>
      <c r="E7531" s="136">
        <f t="shared" si="350"/>
        <v>26</v>
      </c>
      <c r="F7531" s="128" t="s">
        <v>24</v>
      </c>
      <c r="G7531" s="128" t="str">
        <f>VLOOKUP(source[[#This Row],[lending_product_transform]],[3]Mapping!$B$4:$C$37,2,0)</f>
        <v>[Cake] - Cashloan</v>
      </c>
      <c r="H7531" s="128" t="str">
        <f>VLOOKUP(source[[#This Row],[lending_product_transform]],[3]Mapping!$B$3:$D$37,3,0)</f>
        <v>cashloan</v>
      </c>
      <c r="I7531" s="135">
        <v>18000000</v>
      </c>
    </row>
    <row r="7532" spans="1:9" x14ac:dyDescent="0.2">
      <c r="A7532" s="134">
        <v>45834</v>
      </c>
      <c r="B7532" s="135">
        <f>YEAR(source[[#This Row],[report_date]])</f>
        <v>2025</v>
      </c>
      <c r="C7532" s="128">
        <f t="shared" si="349"/>
        <v>6</v>
      </c>
      <c r="D7532" s="136">
        <f t="shared" si="351"/>
        <v>26</v>
      </c>
      <c r="E7532" s="136">
        <f t="shared" si="350"/>
        <v>26</v>
      </c>
      <c r="F7532" s="128" t="s">
        <v>24</v>
      </c>
      <c r="G7532" s="128" t="str">
        <f>VLOOKUP(source[[#This Row],[lending_product_transform]],[3]Mapping!$B$4:$C$37,2,0)</f>
        <v>[Cake] - Cashloan</v>
      </c>
      <c r="H7532" s="128" t="str">
        <f>VLOOKUP(source[[#This Row],[lending_product_transform]],[3]Mapping!$B$3:$D$37,3,0)</f>
        <v>cashloan</v>
      </c>
      <c r="I7532" s="135">
        <v>3688983369</v>
      </c>
    </row>
    <row r="7533" spans="1:9" x14ac:dyDescent="0.2">
      <c r="A7533" s="134">
        <v>45834</v>
      </c>
      <c r="B7533" s="135">
        <f>YEAR(source[[#This Row],[report_date]])</f>
        <v>2025</v>
      </c>
      <c r="C7533" s="128">
        <f t="shared" si="349"/>
        <v>6</v>
      </c>
      <c r="D7533" s="136">
        <f t="shared" si="351"/>
        <v>26</v>
      </c>
      <c r="E7533" s="136">
        <f t="shared" si="350"/>
        <v>26</v>
      </c>
      <c r="F7533" s="128" t="s">
        <v>24</v>
      </c>
      <c r="G7533" s="128" t="str">
        <f>VLOOKUP(source[[#This Row],[lending_product_transform]],[3]Mapping!$B$4:$C$37,2,0)</f>
        <v>[Cake] - Cashloan</v>
      </c>
      <c r="H7533" s="128" t="str">
        <f>VLOOKUP(source[[#This Row],[lending_product_transform]],[3]Mapping!$B$3:$D$37,3,0)</f>
        <v>cashloan</v>
      </c>
      <c r="I7533" s="135">
        <v>0</v>
      </c>
    </row>
    <row r="7534" spans="1:9" x14ac:dyDescent="0.2">
      <c r="A7534" s="134">
        <v>45834</v>
      </c>
      <c r="B7534" s="135">
        <f>YEAR(source[[#This Row],[report_date]])</f>
        <v>2025</v>
      </c>
      <c r="C7534" s="128">
        <f t="shared" si="349"/>
        <v>6</v>
      </c>
      <c r="D7534" s="136">
        <f t="shared" si="351"/>
        <v>26</v>
      </c>
      <c r="E7534" s="136">
        <f t="shared" si="350"/>
        <v>26</v>
      </c>
      <c r="F7534" s="128" t="s">
        <v>24</v>
      </c>
      <c r="G7534" s="128" t="str">
        <f>VLOOKUP(source[[#This Row],[lending_product_transform]],[3]Mapping!$B$4:$C$37,2,0)</f>
        <v>[Cake] - Cashloan</v>
      </c>
      <c r="H7534" s="128" t="str">
        <f>VLOOKUP(source[[#This Row],[lending_product_transform]],[3]Mapping!$B$3:$D$37,3,0)</f>
        <v>cashloan</v>
      </c>
      <c r="I7534" s="135">
        <v>16258627</v>
      </c>
    </row>
    <row r="7535" spans="1:9" x14ac:dyDescent="0.2">
      <c r="A7535" s="134">
        <v>45834</v>
      </c>
      <c r="B7535" s="135">
        <f>YEAR(source[[#This Row],[report_date]])</f>
        <v>2025</v>
      </c>
      <c r="C7535" s="128">
        <f t="shared" si="349"/>
        <v>6</v>
      </c>
      <c r="D7535" s="136">
        <f t="shared" si="351"/>
        <v>26</v>
      </c>
      <c r="E7535" s="136">
        <f t="shared" si="350"/>
        <v>26</v>
      </c>
      <c r="F7535" s="128" t="s">
        <v>24</v>
      </c>
      <c r="G7535" s="128" t="str">
        <f>VLOOKUP(source[[#This Row],[lending_product_transform]],[3]Mapping!$B$4:$C$37,2,0)</f>
        <v>[Cake] - Cashloan</v>
      </c>
      <c r="H7535" s="128" t="str">
        <f>VLOOKUP(source[[#This Row],[lending_product_transform]],[3]Mapping!$B$3:$D$37,3,0)</f>
        <v>cashloan</v>
      </c>
      <c r="I7535" s="135">
        <v>0</v>
      </c>
    </row>
    <row r="7536" spans="1:9" x14ac:dyDescent="0.2">
      <c r="A7536" s="134">
        <v>45834</v>
      </c>
      <c r="B7536" s="135">
        <f>YEAR(source[[#This Row],[report_date]])</f>
        <v>2025</v>
      </c>
      <c r="C7536" s="128">
        <f t="shared" si="349"/>
        <v>6</v>
      </c>
      <c r="D7536" s="136">
        <f t="shared" si="351"/>
        <v>26</v>
      </c>
      <c r="E7536" s="136">
        <f t="shared" si="350"/>
        <v>26</v>
      </c>
      <c r="F7536" s="128" t="s">
        <v>24</v>
      </c>
      <c r="G7536" s="128" t="str">
        <f>VLOOKUP(source[[#This Row],[lending_product_transform]],[3]Mapping!$B$4:$C$37,2,0)</f>
        <v>[Cake] - Cashloan</v>
      </c>
      <c r="H7536" s="128" t="str">
        <f>VLOOKUP(source[[#This Row],[lending_product_transform]],[3]Mapping!$B$3:$D$37,3,0)</f>
        <v>cashloan</v>
      </c>
      <c r="I7536" s="135">
        <v>11362950000</v>
      </c>
    </row>
    <row r="7537" spans="1:9" x14ac:dyDescent="0.2">
      <c r="A7537" s="134">
        <v>45834</v>
      </c>
      <c r="B7537" s="135">
        <f>YEAR(source[[#This Row],[report_date]])</f>
        <v>2025</v>
      </c>
      <c r="C7537" s="128">
        <f t="shared" si="349"/>
        <v>6</v>
      </c>
      <c r="D7537" s="136">
        <f t="shared" si="351"/>
        <v>26</v>
      </c>
      <c r="E7537" s="136">
        <f t="shared" si="350"/>
        <v>26</v>
      </c>
      <c r="F7537" s="128" t="s">
        <v>24</v>
      </c>
      <c r="G7537" s="128" t="str">
        <f>VLOOKUP(source[[#This Row],[lending_product_transform]],[3]Mapping!$B$4:$C$37,2,0)</f>
        <v>[Cake] - Cashloan</v>
      </c>
      <c r="H7537" s="128" t="str">
        <f>VLOOKUP(source[[#This Row],[lending_product_transform]],[3]Mapping!$B$3:$D$37,3,0)</f>
        <v>cashloan</v>
      </c>
      <c r="I7537" s="135">
        <v>4826412000</v>
      </c>
    </row>
    <row r="7538" spans="1:9" x14ac:dyDescent="0.2">
      <c r="A7538" s="134">
        <v>45834</v>
      </c>
      <c r="B7538" s="135">
        <f>YEAR(source[[#This Row],[report_date]])</f>
        <v>2025</v>
      </c>
      <c r="C7538" s="128">
        <f t="shared" si="349"/>
        <v>6</v>
      </c>
      <c r="D7538" s="136">
        <f t="shared" si="351"/>
        <v>26</v>
      </c>
      <c r="E7538" s="136">
        <f t="shared" si="350"/>
        <v>26</v>
      </c>
      <c r="F7538" s="128" t="s">
        <v>24</v>
      </c>
      <c r="G7538" s="128" t="str">
        <f>VLOOKUP(source[[#This Row],[lending_product_transform]],[3]Mapping!$B$4:$C$37,2,0)</f>
        <v>[Cake] - Cashloan</v>
      </c>
      <c r="H7538" s="128" t="str">
        <f>VLOOKUP(source[[#This Row],[lending_product_transform]],[3]Mapping!$B$3:$D$37,3,0)</f>
        <v>cashloan</v>
      </c>
      <c r="I7538" s="135">
        <v>0</v>
      </c>
    </row>
    <row r="7539" spans="1:9" x14ac:dyDescent="0.2">
      <c r="A7539" s="134">
        <v>45834</v>
      </c>
      <c r="B7539" s="135">
        <f>YEAR(source[[#This Row],[report_date]])</f>
        <v>2025</v>
      </c>
      <c r="C7539" s="128">
        <f t="shared" si="349"/>
        <v>6</v>
      </c>
      <c r="D7539" s="136">
        <f t="shared" si="351"/>
        <v>26</v>
      </c>
      <c r="E7539" s="136">
        <f t="shared" si="350"/>
        <v>26</v>
      </c>
      <c r="F7539" s="128" t="s">
        <v>24</v>
      </c>
      <c r="G7539" s="128" t="str">
        <f>VLOOKUP(source[[#This Row],[lending_product_transform]],[3]Mapping!$B$4:$C$37,2,0)</f>
        <v>[Cake] - Cashloan</v>
      </c>
      <c r="H7539" s="128" t="str">
        <f>VLOOKUP(source[[#This Row],[lending_product_transform]],[3]Mapping!$B$3:$D$37,3,0)</f>
        <v>cashloan</v>
      </c>
      <c r="I7539" s="135">
        <v>1119570000</v>
      </c>
    </row>
    <row r="7540" spans="1:9" x14ac:dyDescent="0.2">
      <c r="A7540" s="134">
        <v>45834</v>
      </c>
      <c r="B7540" s="135">
        <f>YEAR(source[[#This Row],[report_date]])</f>
        <v>2025</v>
      </c>
      <c r="C7540" s="128">
        <f t="shared" si="349"/>
        <v>6</v>
      </c>
      <c r="D7540" s="136">
        <f t="shared" si="351"/>
        <v>26</v>
      </c>
      <c r="E7540" s="136">
        <f t="shared" si="350"/>
        <v>26</v>
      </c>
      <c r="F7540" s="128" t="s">
        <v>24</v>
      </c>
      <c r="G7540" s="128" t="str">
        <f>VLOOKUP(source[[#This Row],[lending_product_transform]],[3]Mapping!$B$4:$C$37,2,0)</f>
        <v>[Cake] - Cashloan</v>
      </c>
      <c r="H7540" s="128" t="str">
        <f>VLOOKUP(source[[#This Row],[lending_product_transform]],[3]Mapping!$B$3:$D$37,3,0)</f>
        <v>cashloan</v>
      </c>
      <c r="I7540" s="135">
        <v>1001910000</v>
      </c>
    </row>
    <row r="7541" spans="1:9" x14ac:dyDescent="0.2">
      <c r="A7541" s="134">
        <v>45834</v>
      </c>
      <c r="B7541" s="135">
        <f>YEAR(source[[#This Row],[report_date]])</f>
        <v>2025</v>
      </c>
      <c r="C7541" s="128">
        <f t="shared" si="349"/>
        <v>6</v>
      </c>
      <c r="D7541" s="136">
        <f t="shared" si="351"/>
        <v>26</v>
      </c>
      <c r="E7541" s="136">
        <f t="shared" si="350"/>
        <v>26</v>
      </c>
      <c r="F7541" s="128" t="s">
        <v>24</v>
      </c>
      <c r="G7541" s="128" t="str">
        <f>VLOOKUP(source[[#This Row],[lending_product_transform]],[3]Mapping!$B$4:$C$37,2,0)</f>
        <v>[Cake] - Cashloan</v>
      </c>
      <c r="H7541" s="128" t="str">
        <f>VLOOKUP(source[[#This Row],[lending_product_transform]],[3]Mapping!$B$3:$D$37,3,0)</f>
        <v>cashloan</v>
      </c>
      <c r="I7541" s="135">
        <v>286015440</v>
      </c>
    </row>
    <row r="7542" spans="1:9" x14ac:dyDescent="0.2">
      <c r="A7542" s="134">
        <v>45834</v>
      </c>
      <c r="B7542" s="135">
        <f>YEAR(source[[#This Row],[report_date]])</f>
        <v>2025</v>
      </c>
      <c r="C7542" s="128">
        <f t="shared" ref="C7542:C7605" si="352">MONTH(A7542)</f>
        <v>6</v>
      </c>
      <c r="D7542" s="136">
        <f t="shared" si="351"/>
        <v>26</v>
      </c>
      <c r="E7542" s="136">
        <f t="shared" ref="E7542:E7605" si="353">DAY(A7542)</f>
        <v>26</v>
      </c>
      <c r="F7542" s="128" t="s">
        <v>24</v>
      </c>
      <c r="G7542" s="128" t="str">
        <f>VLOOKUP(source[[#This Row],[lending_product_transform]],[3]Mapping!$B$4:$C$37,2,0)</f>
        <v>[Cake] - Cashloan</v>
      </c>
      <c r="H7542" s="128" t="str">
        <f>VLOOKUP(source[[#This Row],[lending_product_transform]],[3]Mapping!$B$3:$D$37,3,0)</f>
        <v>cashloan</v>
      </c>
      <c r="I7542" s="135">
        <v>379370000</v>
      </c>
    </row>
    <row r="7543" spans="1:9" x14ac:dyDescent="0.2">
      <c r="A7543" s="134">
        <v>45834</v>
      </c>
      <c r="B7543" s="135">
        <f>YEAR(source[[#This Row],[report_date]])</f>
        <v>2025</v>
      </c>
      <c r="C7543" s="128">
        <f t="shared" si="352"/>
        <v>6</v>
      </c>
      <c r="D7543" s="136">
        <f t="shared" si="351"/>
        <v>26</v>
      </c>
      <c r="E7543" s="136">
        <f t="shared" si="353"/>
        <v>26</v>
      </c>
      <c r="F7543" s="128" t="s">
        <v>24</v>
      </c>
      <c r="G7543" s="128" t="str">
        <f>VLOOKUP(source[[#This Row],[lending_product_transform]],[3]Mapping!$B$4:$C$37,2,0)</f>
        <v>[Cake] - Cashloan</v>
      </c>
      <c r="H7543" s="128" t="str">
        <f>VLOOKUP(source[[#This Row],[lending_product_transform]],[3]Mapping!$B$3:$D$37,3,0)</f>
        <v>cashloan</v>
      </c>
      <c r="I7543" s="135">
        <v>0</v>
      </c>
    </row>
    <row r="7544" spans="1:9" x14ac:dyDescent="0.2">
      <c r="A7544" s="134">
        <v>45834</v>
      </c>
      <c r="B7544" s="135">
        <f>YEAR(source[[#This Row],[report_date]])</f>
        <v>2025</v>
      </c>
      <c r="C7544" s="128">
        <f t="shared" si="352"/>
        <v>6</v>
      </c>
      <c r="D7544" s="136">
        <f t="shared" si="351"/>
        <v>26</v>
      </c>
      <c r="E7544" s="136">
        <f t="shared" si="353"/>
        <v>26</v>
      </c>
      <c r="F7544" s="128" t="s">
        <v>24</v>
      </c>
      <c r="G7544" s="128" t="str">
        <f>VLOOKUP(source[[#This Row],[lending_product_transform]],[3]Mapping!$B$4:$C$37,2,0)</f>
        <v>[Cake] - Cashloan</v>
      </c>
      <c r="H7544" s="128" t="str">
        <f>VLOOKUP(source[[#This Row],[lending_product_transform]],[3]Mapping!$B$3:$D$37,3,0)</f>
        <v>cashloan</v>
      </c>
      <c r="I7544" s="135">
        <v>21000000</v>
      </c>
    </row>
    <row r="7545" spans="1:9" x14ac:dyDescent="0.2">
      <c r="A7545" s="134">
        <v>45835</v>
      </c>
      <c r="B7545" s="135">
        <f>YEAR(source[[#This Row],[report_date]])</f>
        <v>2025</v>
      </c>
      <c r="C7545" s="128">
        <f t="shared" si="352"/>
        <v>6</v>
      </c>
      <c r="D7545" s="136">
        <f t="shared" si="351"/>
        <v>26</v>
      </c>
      <c r="E7545" s="136">
        <f t="shared" si="353"/>
        <v>27</v>
      </c>
      <c r="F7545" s="128" t="s">
        <v>24</v>
      </c>
      <c r="G7545" s="128" t="str">
        <f>VLOOKUP(source[[#This Row],[lending_product_transform]],[3]Mapping!$B$4:$C$37,2,0)</f>
        <v>[Cake] - Cashloan</v>
      </c>
      <c r="H7545" s="128" t="str">
        <f>VLOOKUP(source[[#This Row],[lending_product_transform]],[3]Mapping!$B$3:$D$37,3,0)</f>
        <v>cashloan</v>
      </c>
      <c r="I7545" s="135">
        <v>306818743</v>
      </c>
    </row>
    <row r="7546" spans="1:9" x14ac:dyDescent="0.2">
      <c r="A7546" s="134">
        <v>45835</v>
      </c>
      <c r="B7546" s="135">
        <f>YEAR(source[[#This Row],[report_date]])</f>
        <v>2025</v>
      </c>
      <c r="C7546" s="128">
        <f t="shared" si="352"/>
        <v>6</v>
      </c>
      <c r="D7546" s="136">
        <f t="shared" si="351"/>
        <v>26</v>
      </c>
      <c r="E7546" s="136">
        <f t="shared" si="353"/>
        <v>27</v>
      </c>
      <c r="F7546" s="128" t="s">
        <v>24</v>
      </c>
      <c r="G7546" s="128" t="str">
        <f>VLOOKUP(source[[#This Row],[lending_product_transform]],[3]Mapping!$B$4:$C$37,2,0)</f>
        <v>[Cake] - Cashloan</v>
      </c>
      <c r="H7546" s="128" t="str">
        <f>VLOOKUP(source[[#This Row],[lending_product_transform]],[3]Mapping!$B$3:$D$37,3,0)</f>
        <v>cashloan</v>
      </c>
      <c r="I7546" s="135">
        <v>10616350000</v>
      </c>
    </row>
    <row r="7547" spans="1:9" x14ac:dyDescent="0.2">
      <c r="A7547" s="134">
        <v>45835</v>
      </c>
      <c r="B7547" s="135">
        <f>YEAR(source[[#This Row],[report_date]])</f>
        <v>2025</v>
      </c>
      <c r="C7547" s="128">
        <f t="shared" si="352"/>
        <v>6</v>
      </c>
      <c r="D7547" s="136">
        <f t="shared" si="351"/>
        <v>26</v>
      </c>
      <c r="E7547" s="136">
        <f t="shared" si="353"/>
        <v>27</v>
      </c>
      <c r="F7547" s="128" t="s">
        <v>24</v>
      </c>
      <c r="G7547" s="128" t="str">
        <f>VLOOKUP(source[[#This Row],[lending_product_transform]],[3]Mapping!$B$4:$C$37,2,0)</f>
        <v>[Cake] - Cashloan</v>
      </c>
      <c r="H7547" s="128" t="str">
        <f>VLOOKUP(source[[#This Row],[lending_product_transform]],[3]Mapping!$B$3:$D$37,3,0)</f>
        <v>cashloan</v>
      </c>
      <c r="I7547" s="135">
        <v>3355143850</v>
      </c>
    </row>
    <row r="7548" spans="1:9" x14ac:dyDescent="0.2">
      <c r="A7548" s="134">
        <v>45835</v>
      </c>
      <c r="B7548" s="135">
        <f>YEAR(source[[#This Row],[report_date]])</f>
        <v>2025</v>
      </c>
      <c r="C7548" s="128">
        <f t="shared" si="352"/>
        <v>6</v>
      </c>
      <c r="D7548" s="136">
        <f t="shared" si="351"/>
        <v>26</v>
      </c>
      <c r="E7548" s="136">
        <f t="shared" si="353"/>
        <v>27</v>
      </c>
      <c r="F7548" s="128" t="s">
        <v>24</v>
      </c>
      <c r="G7548" s="128" t="str">
        <f>VLOOKUP(source[[#This Row],[lending_product_transform]],[3]Mapping!$B$4:$C$37,2,0)</f>
        <v>[Cake] - Cashloan</v>
      </c>
      <c r="H7548" s="128" t="str">
        <f>VLOOKUP(source[[#This Row],[lending_product_transform]],[3]Mapping!$B$3:$D$37,3,0)</f>
        <v>cashloan</v>
      </c>
      <c r="I7548" s="135">
        <v>5236164000</v>
      </c>
    </row>
    <row r="7549" spans="1:9" x14ac:dyDescent="0.2">
      <c r="A7549" s="134">
        <v>45835</v>
      </c>
      <c r="B7549" s="135">
        <f>YEAR(source[[#This Row],[report_date]])</f>
        <v>2025</v>
      </c>
      <c r="C7549" s="128">
        <f t="shared" si="352"/>
        <v>6</v>
      </c>
      <c r="D7549" s="136">
        <f t="shared" si="351"/>
        <v>26</v>
      </c>
      <c r="E7549" s="136">
        <f t="shared" si="353"/>
        <v>27</v>
      </c>
      <c r="F7549" s="128" t="s">
        <v>24</v>
      </c>
      <c r="G7549" s="128" t="str">
        <f>VLOOKUP(source[[#This Row],[lending_product_transform]],[3]Mapping!$B$4:$C$37,2,0)</f>
        <v>[Cake] - Cashloan</v>
      </c>
      <c r="H7549" s="128" t="str">
        <f>VLOOKUP(source[[#This Row],[lending_product_transform]],[3]Mapping!$B$3:$D$37,3,0)</f>
        <v>cashloan</v>
      </c>
      <c r="I7549" s="135">
        <v>7000000</v>
      </c>
    </row>
    <row r="7550" spans="1:9" x14ac:dyDescent="0.2">
      <c r="A7550" s="134">
        <v>45835</v>
      </c>
      <c r="B7550" s="135">
        <f>YEAR(source[[#This Row],[report_date]])</f>
        <v>2025</v>
      </c>
      <c r="C7550" s="128">
        <f t="shared" si="352"/>
        <v>6</v>
      </c>
      <c r="D7550" s="136">
        <f t="shared" si="351"/>
        <v>26</v>
      </c>
      <c r="E7550" s="136">
        <f t="shared" si="353"/>
        <v>27</v>
      </c>
      <c r="F7550" s="128" t="s">
        <v>24</v>
      </c>
      <c r="G7550" s="128" t="str">
        <f>VLOOKUP(source[[#This Row],[lending_product_transform]],[3]Mapping!$B$4:$C$37,2,0)</f>
        <v>[Cake] - Cashloan</v>
      </c>
      <c r="H7550" s="128" t="str">
        <f>VLOOKUP(source[[#This Row],[lending_product_transform]],[3]Mapping!$B$3:$D$37,3,0)</f>
        <v>cashloan</v>
      </c>
      <c r="I7550" s="135">
        <v>9014050000</v>
      </c>
    </row>
    <row r="7551" spans="1:9" x14ac:dyDescent="0.2">
      <c r="A7551" s="134">
        <v>45835</v>
      </c>
      <c r="B7551" s="135">
        <f>YEAR(source[[#This Row],[report_date]])</f>
        <v>2025</v>
      </c>
      <c r="C7551" s="128">
        <f t="shared" si="352"/>
        <v>6</v>
      </c>
      <c r="D7551" s="136">
        <f t="shared" si="351"/>
        <v>26</v>
      </c>
      <c r="E7551" s="136">
        <f t="shared" si="353"/>
        <v>27</v>
      </c>
      <c r="F7551" s="128" t="s">
        <v>24</v>
      </c>
      <c r="G7551" s="128" t="str">
        <f>VLOOKUP(source[[#This Row],[lending_product_transform]],[3]Mapping!$B$4:$C$37,2,0)</f>
        <v>[Cake] - Cashloan</v>
      </c>
      <c r="H7551" s="128" t="str">
        <f>VLOOKUP(source[[#This Row],[lending_product_transform]],[3]Mapping!$B$3:$D$37,3,0)</f>
        <v>cashloan</v>
      </c>
      <c r="I7551" s="135">
        <v>38850000</v>
      </c>
    </row>
    <row r="7552" spans="1:9" x14ac:dyDescent="0.2">
      <c r="A7552" s="134">
        <v>45835</v>
      </c>
      <c r="B7552" s="135">
        <f>YEAR(source[[#This Row],[report_date]])</f>
        <v>2025</v>
      </c>
      <c r="C7552" s="128">
        <f t="shared" si="352"/>
        <v>6</v>
      </c>
      <c r="D7552" s="136">
        <f t="shared" si="351"/>
        <v>26</v>
      </c>
      <c r="E7552" s="136">
        <f t="shared" si="353"/>
        <v>27</v>
      </c>
      <c r="F7552" s="128" t="s">
        <v>24</v>
      </c>
      <c r="G7552" s="128" t="str">
        <f>VLOOKUP(source[[#This Row],[lending_product_transform]],[3]Mapping!$B$4:$C$37,2,0)</f>
        <v>[Cake] - Cashloan</v>
      </c>
      <c r="H7552" s="128" t="str">
        <f>VLOOKUP(source[[#This Row],[lending_product_transform]],[3]Mapping!$B$3:$D$37,3,0)</f>
        <v>cashloan</v>
      </c>
      <c r="I7552" s="135">
        <v>9076164</v>
      </c>
    </row>
    <row r="7553" spans="1:9" x14ac:dyDescent="0.2">
      <c r="A7553" s="134">
        <v>45835</v>
      </c>
      <c r="B7553" s="135">
        <f>YEAR(source[[#This Row],[report_date]])</f>
        <v>2025</v>
      </c>
      <c r="C7553" s="128">
        <f t="shared" si="352"/>
        <v>6</v>
      </c>
      <c r="D7553" s="136">
        <f t="shared" si="351"/>
        <v>26</v>
      </c>
      <c r="E7553" s="136">
        <f t="shared" si="353"/>
        <v>27</v>
      </c>
      <c r="F7553" s="128" t="s">
        <v>24</v>
      </c>
      <c r="G7553" s="128" t="str">
        <f>VLOOKUP(source[[#This Row],[lending_product_transform]],[3]Mapping!$B$4:$C$37,2,0)</f>
        <v>[Cake] - Cashloan</v>
      </c>
      <c r="H7553" s="128" t="str">
        <f>VLOOKUP(source[[#This Row],[lending_product_transform]],[3]Mapping!$B$3:$D$37,3,0)</f>
        <v>cashloan</v>
      </c>
      <c r="I7553" s="135">
        <v>0</v>
      </c>
    </row>
    <row r="7554" spans="1:9" x14ac:dyDescent="0.2">
      <c r="A7554" s="134">
        <v>45835</v>
      </c>
      <c r="B7554" s="135">
        <f>YEAR(source[[#This Row],[report_date]])</f>
        <v>2025</v>
      </c>
      <c r="C7554" s="128">
        <f t="shared" si="352"/>
        <v>6</v>
      </c>
      <c r="D7554" s="136">
        <f t="shared" si="351"/>
        <v>26</v>
      </c>
      <c r="E7554" s="136">
        <f t="shared" si="353"/>
        <v>27</v>
      </c>
      <c r="F7554" s="128" t="s">
        <v>24</v>
      </c>
      <c r="G7554" s="128" t="str">
        <f>VLOOKUP(source[[#This Row],[lending_product_transform]],[3]Mapping!$B$4:$C$37,2,0)</f>
        <v>[Cake] - Cashloan</v>
      </c>
      <c r="H7554" s="128" t="str">
        <f>VLOOKUP(source[[#This Row],[lending_product_transform]],[3]Mapping!$B$3:$D$37,3,0)</f>
        <v>cashloan</v>
      </c>
      <c r="I7554" s="135">
        <v>0</v>
      </c>
    </row>
    <row r="7555" spans="1:9" x14ac:dyDescent="0.2">
      <c r="A7555" s="134">
        <v>45835</v>
      </c>
      <c r="B7555" s="135">
        <f>YEAR(source[[#This Row],[report_date]])</f>
        <v>2025</v>
      </c>
      <c r="C7555" s="128">
        <f t="shared" si="352"/>
        <v>6</v>
      </c>
      <c r="D7555" s="136">
        <f t="shared" ref="D7555:D7618" si="354">WEEKNUM(A7555,2)</f>
        <v>26</v>
      </c>
      <c r="E7555" s="136">
        <f t="shared" si="353"/>
        <v>27</v>
      </c>
      <c r="F7555" s="128" t="s">
        <v>24</v>
      </c>
      <c r="G7555" s="128" t="str">
        <f>VLOOKUP(source[[#This Row],[lending_product_transform]],[3]Mapping!$B$4:$C$37,2,0)</f>
        <v>[Cake] - Cashloan</v>
      </c>
      <c r="H7555" s="128" t="str">
        <f>VLOOKUP(source[[#This Row],[lending_product_transform]],[3]Mapping!$B$3:$D$37,3,0)</f>
        <v>cashloan</v>
      </c>
      <c r="I7555" s="135">
        <v>20000000</v>
      </c>
    </row>
    <row r="7556" spans="1:9" x14ac:dyDescent="0.2">
      <c r="A7556" s="134">
        <v>45835</v>
      </c>
      <c r="B7556" s="135">
        <f>YEAR(source[[#This Row],[report_date]])</f>
        <v>2025</v>
      </c>
      <c r="C7556" s="128">
        <f t="shared" si="352"/>
        <v>6</v>
      </c>
      <c r="D7556" s="136">
        <f t="shared" si="354"/>
        <v>26</v>
      </c>
      <c r="E7556" s="136">
        <f t="shared" si="353"/>
        <v>27</v>
      </c>
      <c r="F7556" s="128" t="s">
        <v>24</v>
      </c>
      <c r="G7556" s="128" t="str">
        <f>VLOOKUP(source[[#This Row],[lending_product_transform]],[3]Mapping!$B$4:$C$37,2,0)</f>
        <v>[Cake] - Cashloan</v>
      </c>
      <c r="H7556" s="128" t="str">
        <f>VLOOKUP(source[[#This Row],[lending_product_transform]],[3]Mapping!$B$3:$D$37,3,0)</f>
        <v>cashloan</v>
      </c>
      <c r="I7556" s="135">
        <v>34000000</v>
      </c>
    </row>
    <row r="7557" spans="1:9" x14ac:dyDescent="0.2">
      <c r="A7557" s="134">
        <v>45835</v>
      </c>
      <c r="B7557" s="135">
        <f>YEAR(source[[#This Row],[report_date]])</f>
        <v>2025</v>
      </c>
      <c r="C7557" s="128">
        <f t="shared" si="352"/>
        <v>6</v>
      </c>
      <c r="D7557" s="136">
        <f t="shared" si="354"/>
        <v>26</v>
      </c>
      <c r="E7557" s="136">
        <f t="shared" si="353"/>
        <v>27</v>
      </c>
      <c r="F7557" s="128" t="s">
        <v>24</v>
      </c>
      <c r="G7557" s="128" t="str">
        <f>VLOOKUP(source[[#This Row],[lending_product_transform]],[3]Mapping!$B$4:$C$37,2,0)</f>
        <v>[Cake] - Cashloan</v>
      </c>
      <c r="H7557" s="128" t="str">
        <f>VLOOKUP(source[[#This Row],[lending_product_transform]],[3]Mapping!$B$3:$D$37,3,0)</f>
        <v>cashloan</v>
      </c>
      <c r="I7557" s="135">
        <v>0</v>
      </c>
    </row>
    <row r="7558" spans="1:9" x14ac:dyDescent="0.2">
      <c r="A7558" s="134">
        <v>45835</v>
      </c>
      <c r="B7558" s="135">
        <f>YEAR(source[[#This Row],[report_date]])</f>
        <v>2025</v>
      </c>
      <c r="C7558" s="128">
        <f t="shared" si="352"/>
        <v>6</v>
      </c>
      <c r="D7558" s="136">
        <f t="shared" si="354"/>
        <v>26</v>
      </c>
      <c r="E7558" s="136">
        <f t="shared" si="353"/>
        <v>27</v>
      </c>
      <c r="F7558" s="128" t="s">
        <v>24</v>
      </c>
      <c r="G7558" s="128" t="str">
        <f>VLOOKUP(source[[#This Row],[lending_product_transform]],[3]Mapping!$B$4:$C$37,2,0)</f>
        <v>[Cake] - Cashloan</v>
      </c>
      <c r="H7558" s="128" t="str">
        <f>VLOOKUP(source[[#This Row],[lending_product_transform]],[3]Mapping!$B$3:$D$37,3,0)</f>
        <v>cashloan</v>
      </c>
      <c r="I7558" s="135">
        <v>1992560000</v>
      </c>
    </row>
    <row r="7559" spans="1:9" x14ac:dyDescent="0.2">
      <c r="A7559" s="134">
        <v>45835</v>
      </c>
      <c r="B7559" s="135">
        <f>YEAR(source[[#This Row],[report_date]])</f>
        <v>2025</v>
      </c>
      <c r="C7559" s="128">
        <f t="shared" si="352"/>
        <v>6</v>
      </c>
      <c r="D7559" s="136">
        <f t="shared" si="354"/>
        <v>26</v>
      </c>
      <c r="E7559" s="136">
        <f t="shared" si="353"/>
        <v>27</v>
      </c>
      <c r="F7559" s="128" t="s">
        <v>24</v>
      </c>
      <c r="G7559" s="128" t="str">
        <f>VLOOKUP(source[[#This Row],[lending_product_transform]],[3]Mapping!$B$4:$C$37,2,0)</f>
        <v>[Cake] - Cashloan</v>
      </c>
      <c r="H7559" s="128" t="str">
        <f>VLOOKUP(source[[#This Row],[lending_product_transform]],[3]Mapping!$B$3:$D$37,3,0)</f>
        <v>cashloan</v>
      </c>
      <c r="I7559" s="135">
        <v>563810000</v>
      </c>
    </row>
    <row r="7560" spans="1:9" x14ac:dyDescent="0.2">
      <c r="A7560" s="134">
        <v>45835</v>
      </c>
      <c r="B7560" s="135">
        <f>YEAR(source[[#This Row],[report_date]])</f>
        <v>2025</v>
      </c>
      <c r="C7560" s="128">
        <f t="shared" si="352"/>
        <v>6</v>
      </c>
      <c r="D7560" s="136">
        <f t="shared" si="354"/>
        <v>26</v>
      </c>
      <c r="E7560" s="136">
        <f t="shared" si="353"/>
        <v>27</v>
      </c>
      <c r="F7560" s="128" t="s">
        <v>24</v>
      </c>
      <c r="G7560" s="128" t="str">
        <f>VLOOKUP(source[[#This Row],[lending_product_transform]],[3]Mapping!$B$4:$C$37,2,0)</f>
        <v>[Cake] - Cashloan</v>
      </c>
      <c r="H7560" s="128" t="str">
        <f>VLOOKUP(source[[#This Row],[lending_product_transform]],[3]Mapping!$B$3:$D$37,3,0)</f>
        <v>cashloan</v>
      </c>
      <c r="I7560" s="135">
        <v>314750000</v>
      </c>
    </row>
    <row r="7561" spans="1:9" x14ac:dyDescent="0.2">
      <c r="A7561" s="134">
        <v>45835</v>
      </c>
      <c r="B7561" s="135">
        <f>YEAR(source[[#This Row],[report_date]])</f>
        <v>2025</v>
      </c>
      <c r="C7561" s="128">
        <f t="shared" si="352"/>
        <v>6</v>
      </c>
      <c r="D7561" s="136">
        <f t="shared" si="354"/>
        <v>26</v>
      </c>
      <c r="E7561" s="136">
        <f t="shared" si="353"/>
        <v>27</v>
      </c>
      <c r="F7561" s="128" t="s">
        <v>24</v>
      </c>
      <c r="G7561" s="128" t="str">
        <f>VLOOKUP(source[[#This Row],[lending_product_transform]],[3]Mapping!$B$4:$C$37,2,0)</f>
        <v>[Cake] - Cashloan</v>
      </c>
      <c r="H7561" s="128" t="str">
        <f>VLOOKUP(source[[#This Row],[lending_product_transform]],[3]Mapping!$B$3:$D$37,3,0)</f>
        <v>cashloan</v>
      </c>
      <c r="I7561" s="135">
        <v>1147140000</v>
      </c>
    </row>
    <row r="7562" spans="1:9" x14ac:dyDescent="0.2">
      <c r="A7562" s="134">
        <v>45835</v>
      </c>
      <c r="B7562" s="135">
        <f>YEAR(source[[#This Row],[report_date]])</f>
        <v>2025</v>
      </c>
      <c r="C7562" s="128">
        <f t="shared" si="352"/>
        <v>6</v>
      </c>
      <c r="D7562" s="136">
        <f t="shared" si="354"/>
        <v>26</v>
      </c>
      <c r="E7562" s="136">
        <f t="shared" si="353"/>
        <v>27</v>
      </c>
      <c r="F7562" s="128" t="s">
        <v>24</v>
      </c>
      <c r="G7562" s="128" t="str">
        <f>VLOOKUP(source[[#This Row],[lending_product_transform]],[3]Mapping!$B$4:$C$37,2,0)</f>
        <v>[Cake] - Cashloan</v>
      </c>
      <c r="H7562" s="128" t="str">
        <f>VLOOKUP(source[[#This Row],[lending_product_transform]],[3]Mapping!$B$3:$D$37,3,0)</f>
        <v>cashloan</v>
      </c>
      <c r="I7562" s="135">
        <v>257598609</v>
      </c>
    </row>
    <row r="7563" spans="1:9" x14ac:dyDescent="0.2">
      <c r="A7563" s="134">
        <v>45835</v>
      </c>
      <c r="B7563" s="135">
        <f>YEAR(source[[#This Row],[report_date]])</f>
        <v>2025</v>
      </c>
      <c r="C7563" s="128">
        <f t="shared" si="352"/>
        <v>6</v>
      </c>
      <c r="D7563" s="136">
        <f t="shared" si="354"/>
        <v>26</v>
      </c>
      <c r="E7563" s="136">
        <f t="shared" si="353"/>
        <v>27</v>
      </c>
      <c r="F7563" s="128" t="s">
        <v>24</v>
      </c>
      <c r="G7563" s="128" t="str">
        <f>VLOOKUP(source[[#This Row],[lending_product_transform]],[3]Mapping!$B$4:$C$37,2,0)</f>
        <v>[Cake] - Cashloan</v>
      </c>
      <c r="H7563" s="128" t="str">
        <f>VLOOKUP(source[[#This Row],[lending_product_transform]],[3]Mapping!$B$3:$D$37,3,0)</f>
        <v>cashloan</v>
      </c>
      <c r="I7563" s="135">
        <v>376346449</v>
      </c>
    </row>
    <row r="7564" spans="1:9" x14ac:dyDescent="0.2">
      <c r="A7564" s="134">
        <v>45836</v>
      </c>
      <c r="B7564" s="135">
        <f>YEAR(source[[#This Row],[report_date]])</f>
        <v>2025</v>
      </c>
      <c r="C7564" s="128">
        <f t="shared" si="352"/>
        <v>6</v>
      </c>
      <c r="D7564" s="136">
        <f t="shared" si="354"/>
        <v>26</v>
      </c>
      <c r="E7564" s="136">
        <f t="shared" si="353"/>
        <v>28</v>
      </c>
      <c r="F7564" s="128" t="s">
        <v>24</v>
      </c>
      <c r="G7564" s="128" t="str">
        <f>VLOOKUP(source[[#This Row],[lending_product_transform]],[3]Mapping!$B$4:$C$37,2,0)</f>
        <v>[Cake] - Cashloan</v>
      </c>
      <c r="H7564" s="128" t="str">
        <f>VLOOKUP(source[[#This Row],[lending_product_transform]],[3]Mapping!$B$3:$D$37,3,0)</f>
        <v>cashloan</v>
      </c>
      <c r="I7564" s="135">
        <v>232429398</v>
      </c>
    </row>
    <row r="7565" spans="1:9" x14ac:dyDescent="0.2">
      <c r="A7565" s="134">
        <v>45836</v>
      </c>
      <c r="B7565" s="135">
        <f>YEAR(source[[#This Row],[report_date]])</f>
        <v>2025</v>
      </c>
      <c r="C7565" s="128">
        <f t="shared" si="352"/>
        <v>6</v>
      </c>
      <c r="D7565" s="136">
        <f t="shared" si="354"/>
        <v>26</v>
      </c>
      <c r="E7565" s="136">
        <f t="shared" si="353"/>
        <v>28</v>
      </c>
      <c r="F7565" s="128" t="s">
        <v>24</v>
      </c>
      <c r="G7565" s="128" t="str">
        <f>VLOOKUP(source[[#This Row],[lending_product_transform]],[3]Mapping!$B$4:$C$37,2,0)</f>
        <v>[Cake] - Cashloan</v>
      </c>
      <c r="H7565" s="128" t="str">
        <f>VLOOKUP(source[[#This Row],[lending_product_transform]],[3]Mapping!$B$3:$D$37,3,0)</f>
        <v>cashloan</v>
      </c>
      <c r="I7565" s="135">
        <v>10500000</v>
      </c>
    </row>
    <row r="7566" spans="1:9" x14ac:dyDescent="0.2">
      <c r="A7566" s="134">
        <v>45836</v>
      </c>
      <c r="B7566" s="135">
        <f>YEAR(source[[#This Row],[report_date]])</f>
        <v>2025</v>
      </c>
      <c r="C7566" s="128">
        <f t="shared" si="352"/>
        <v>6</v>
      </c>
      <c r="D7566" s="136">
        <f t="shared" si="354"/>
        <v>26</v>
      </c>
      <c r="E7566" s="136">
        <f t="shared" si="353"/>
        <v>28</v>
      </c>
      <c r="F7566" s="128" t="s">
        <v>24</v>
      </c>
      <c r="G7566" s="128" t="str">
        <f>VLOOKUP(source[[#This Row],[lending_product_transform]],[3]Mapping!$B$4:$C$37,2,0)</f>
        <v>[Cake] - Cashloan</v>
      </c>
      <c r="H7566" s="128" t="str">
        <f>VLOOKUP(source[[#This Row],[lending_product_transform]],[3]Mapping!$B$3:$D$37,3,0)</f>
        <v>cashloan</v>
      </c>
      <c r="I7566" s="135">
        <v>0</v>
      </c>
    </row>
    <row r="7567" spans="1:9" x14ac:dyDescent="0.2">
      <c r="A7567" s="134">
        <v>45836</v>
      </c>
      <c r="B7567" s="135">
        <f>YEAR(source[[#This Row],[report_date]])</f>
        <v>2025</v>
      </c>
      <c r="C7567" s="128">
        <f t="shared" si="352"/>
        <v>6</v>
      </c>
      <c r="D7567" s="136">
        <f t="shared" si="354"/>
        <v>26</v>
      </c>
      <c r="E7567" s="136">
        <f t="shared" si="353"/>
        <v>28</v>
      </c>
      <c r="F7567" s="128" t="s">
        <v>24</v>
      </c>
      <c r="G7567" s="128" t="str">
        <f>VLOOKUP(source[[#This Row],[lending_product_transform]],[3]Mapping!$B$4:$C$37,2,0)</f>
        <v>[Cake] - Cashloan</v>
      </c>
      <c r="H7567" s="128" t="str">
        <f>VLOOKUP(source[[#This Row],[lending_product_transform]],[3]Mapping!$B$3:$D$37,3,0)</f>
        <v>cashloan</v>
      </c>
      <c r="I7567" s="135">
        <v>0</v>
      </c>
    </row>
    <row r="7568" spans="1:9" x14ac:dyDescent="0.2">
      <c r="A7568" s="134">
        <v>45836</v>
      </c>
      <c r="B7568" s="135">
        <f>YEAR(source[[#This Row],[report_date]])</f>
        <v>2025</v>
      </c>
      <c r="C7568" s="128">
        <f t="shared" si="352"/>
        <v>6</v>
      </c>
      <c r="D7568" s="136">
        <f t="shared" si="354"/>
        <v>26</v>
      </c>
      <c r="E7568" s="136">
        <f t="shared" si="353"/>
        <v>28</v>
      </c>
      <c r="F7568" s="128" t="s">
        <v>24</v>
      </c>
      <c r="G7568" s="128" t="str">
        <f>VLOOKUP(source[[#This Row],[lending_product_transform]],[3]Mapping!$B$4:$C$37,2,0)</f>
        <v>[Cake] - Cashloan</v>
      </c>
      <c r="H7568" s="128" t="str">
        <f>VLOOKUP(source[[#This Row],[lending_product_transform]],[3]Mapping!$B$3:$D$37,3,0)</f>
        <v>cashloan</v>
      </c>
      <c r="I7568" s="135">
        <v>0</v>
      </c>
    </row>
    <row r="7569" spans="1:9" x14ac:dyDescent="0.2">
      <c r="A7569" s="134">
        <v>45836</v>
      </c>
      <c r="B7569" s="135">
        <f>YEAR(source[[#This Row],[report_date]])</f>
        <v>2025</v>
      </c>
      <c r="C7569" s="128">
        <f t="shared" si="352"/>
        <v>6</v>
      </c>
      <c r="D7569" s="136">
        <f t="shared" si="354"/>
        <v>26</v>
      </c>
      <c r="E7569" s="136">
        <f t="shared" si="353"/>
        <v>28</v>
      </c>
      <c r="F7569" s="128" t="s">
        <v>24</v>
      </c>
      <c r="G7569" s="128" t="str">
        <f>VLOOKUP(source[[#This Row],[lending_product_transform]],[3]Mapping!$B$4:$C$37,2,0)</f>
        <v>[Cake] - Cashloan</v>
      </c>
      <c r="H7569" s="128" t="str">
        <f>VLOOKUP(source[[#This Row],[lending_product_transform]],[3]Mapping!$B$3:$D$37,3,0)</f>
        <v>cashloan</v>
      </c>
      <c r="I7569" s="135">
        <v>21570985</v>
      </c>
    </row>
    <row r="7570" spans="1:9" x14ac:dyDescent="0.2">
      <c r="A7570" s="134">
        <v>45836</v>
      </c>
      <c r="B7570" s="135">
        <f>YEAR(source[[#This Row],[report_date]])</f>
        <v>2025</v>
      </c>
      <c r="C7570" s="128">
        <f t="shared" si="352"/>
        <v>6</v>
      </c>
      <c r="D7570" s="136">
        <f t="shared" si="354"/>
        <v>26</v>
      </c>
      <c r="E7570" s="136">
        <f t="shared" si="353"/>
        <v>28</v>
      </c>
      <c r="F7570" s="128" t="s">
        <v>24</v>
      </c>
      <c r="G7570" s="128" t="str">
        <f>VLOOKUP(source[[#This Row],[lending_product_transform]],[3]Mapping!$B$4:$C$37,2,0)</f>
        <v>[Cake] - Cashloan</v>
      </c>
      <c r="H7570" s="128" t="str">
        <f>VLOOKUP(source[[#This Row],[lending_product_transform]],[3]Mapping!$B$3:$D$37,3,0)</f>
        <v>cashloan</v>
      </c>
      <c r="I7570" s="135">
        <v>0</v>
      </c>
    </row>
    <row r="7571" spans="1:9" x14ac:dyDescent="0.2">
      <c r="A7571" s="134">
        <v>45836</v>
      </c>
      <c r="B7571" s="135">
        <f>YEAR(source[[#This Row],[report_date]])</f>
        <v>2025</v>
      </c>
      <c r="C7571" s="128">
        <f t="shared" si="352"/>
        <v>6</v>
      </c>
      <c r="D7571" s="136">
        <f t="shared" si="354"/>
        <v>26</v>
      </c>
      <c r="E7571" s="136">
        <f t="shared" si="353"/>
        <v>28</v>
      </c>
      <c r="F7571" s="128" t="s">
        <v>24</v>
      </c>
      <c r="G7571" s="128" t="str">
        <f>VLOOKUP(source[[#This Row],[lending_product_transform]],[3]Mapping!$B$4:$C$37,2,0)</f>
        <v>[Cake] - Cashloan</v>
      </c>
      <c r="H7571" s="128" t="str">
        <f>VLOOKUP(source[[#This Row],[lending_product_transform]],[3]Mapping!$B$3:$D$37,3,0)</f>
        <v>cashloan</v>
      </c>
      <c r="I7571" s="135">
        <v>10500000</v>
      </c>
    </row>
    <row r="7572" spans="1:9" x14ac:dyDescent="0.2">
      <c r="A7572" s="134">
        <v>45836</v>
      </c>
      <c r="B7572" s="135">
        <f>YEAR(source[[#This Row],[report_date]])</f>
        <v>2025</v>
      </c>
      <c r="C7572" s="128">
        <f t="shared" si="352"/>
        <v>6</v>
      </c>
      <c r="D7572" s="136">
        <f t="shared" si="354"/>
        <v>26</v>
      </c>
      <c r="E7572" s="136">
        <f t="shared" si="353"/>
        <v>28</v>
      </c>
      <c r="F7572" s="128" t="s">
        <v>24</v>
      </c>
      <c r="G7572" s="128" t="str">
        <f>VLOOKUP(source[[#This Row],[lending_product_transform]],[3]Mapping!$B$4:$C$37,2,0)</f>
        <v>[Cake] - Cashloan</v>
      </c>
      <c r="H7572" s="128" t="str">
        <f>VLOOKUP(source[[#This Row],[lending_product_transform]],[3]Mapping!$B$3:$D$37,3,0)</f>
        <v>cashloan</v>
      </c>
      <c r="I7572" s="135">
        <v>1348240000</v>
      </c>
    </row>
    <row r="7573" spans="1:9" x14ac:dyDescent="0.2">
      <c r="A7573" s="134">
        <v>45836</v>
      </c>
      <c r="B7573" s="135">
        <f>YEAR(source[[#This Row],[report_date]])</f>
        <v>2025</v>
      </c>
      <c r="C7573" s="128">
        <f t="shared" si="352"/>
        <v>6</v>
      </c>
      <c r="D7573" s="136">
        <f t="shared" si="354"/>
        <v>26</v>
      </c>
      <c r="E7573" s="136">
        <f t="shared" si="353"/>
        <v>28</v>
      </c>
      <c r="F7573" s="128" t="s">
        <v>24</v>
      </c>
      <c r="G7573" s="128" t="str">
        <f>VLOOKUP(source[[#This Row],[lending_product_transform]],[3]Mapping!$B$4:$C$37,2,0)</f>
        <v>[Cake] - Cashloan</v>
      </c>
      <c r="H7573" s="128" t="str">
        <f>VLOOKUP(source[[#This Row],[lending_product_transform]],[3]Mapping!$B$3:$D$37,3,0)</f>
        <v>cashloan</v>
      </c>
      <c r="I7573" s="135">
        <v>406610000</v>
      </c>
    </row>
    <row r="7574" spans="1:9" x14ac:dyDescent="0.2">
      <c r="A7574" s="134">
        <v>45836</v>
      </c>
      <c r="B7574" s="135">
        <f>YEAR(source[[#This Row],[report_date]])</f>
        <v>2025</v>
      </c>
      <c r="C7574" s="128">
        <f t="shared" si="352"/>
        <v>6</v>
      </c>
      <c r="D7574" s="136">
        <f t="shared" si="354"/>
        <v>26</v>
      </c>
      <c r="E7574" s="136">
        <f t="shared" si="353"/>
        <v>28</v>
      </c>
      <c r="F7574" s="128" t="s">
        <v>24</v>
      </c>
      <c r="G7574" s="128" t="str">
        <f>VLOOKUP(source[[#This Row],[lending_product_transform]],[3]Mapping!$B$4:$C$37,2,0)</f>
        <v>[Cake] - Cashloan</v>
      </c>
      <c r="H7574" s="128" t="str">
        <f>VLOOKUP(source[[#This Row],[lending_product_transform]],[3]Mapping!$B$3:$D$37,3,0)</f>
        <v>cashloan</v>
      </c>
      <c r="I7574" s="135">
        <v>1539810000</v>
      </c>
    </row>
    <row r="7575" spans="1:9" x14ac:dyDescent="0.2">
      <c r="A7575" s="134">
        <v>45836</v>
      </c>
      <c r="B7575" s="135">
        <f>YEAR(source[[#This Row],[report_date]])</f>
        <v>2025</v>
      </c>
      <c r="C7575" s="128">
        <f t="shared" si="352"/>
        <v>6</v>
      </c>
      <c r="D7575" s="136">
        <f t="shared" si="354"/>
        <v>26</v>
      </c>
      <c r="E7575" s="136">
        <f t="shared" si="353"/>
        <v>28</v>
      </c>
      <c r="F7575" s="128" t="s">
        <v>24</v>
      </c>
      <c r="G7575" s="128" t="str">
        <f>VLOOKUP(source[[#This Row],[lending_product_transform]],[3]Mapping!$B$4:$C$37,2,0)</f>
        <v>[Cake] - Cashloan</v>
      </c>
      <c r="H7575" s="128" t="str">
        <f>VLOOKUP(source[[#This Row],[lending_product_transform]],[3]Mapping!$B$3:$D$37,3,0)</f>
        <v>cashloan</v>
      </c>
      <c r="I7575" s="135">
        <v>16000000</v>
      </c>
    </row>
    <row r="7576" spans="1:9" x14ac:dyDescent="0.2">
      <c r="A7576" s="134">
        <v>45836</v>
      </c>
      <c r="B7576" s="135">
        <f>YEAR(source[[#This Row],[report_date]])</f>
        <v>2025</v>
      </c>
      <c r="C7576" s="128">
        <f t="shared" si="352"/>
        <v>6</v>
      </c>
      <c r="D7576" s="136">
        <f t="shared" si="354"/>
        <v>26</v>
      </c>
      <c r="E7576" s="136">
        <f t="shared" si="353"/>
        <v>28</v>
      </c>
      <c r="F7576" s="128" t="s">
        <v>24</v>
      </c>
      <c r="G7576" s="128" t="str">
        <f>VLOOKUP(source[[#This Row],[lending_product_transform]],[3]Mapping!$B$4:$C$37,2,0)</f>
        <v>[Cake] - Cashloan</v>
      </c>
      <c r="H7576" s="128" t="str">
        <f>VLOOKUP(source[[#This Row],[lending_product_transform]],[3]Mapping!$B$3:$D$37,3,0)</f>
        <v>cashloan</v>
      </c>
      <c r="I7576" s="135">
        <v>280682000</v>
      </c>
    </row>
    <row r="7577" spans="1:9" x14ac:dyDescent="0.2">
      <c r="A7577" s="134">
        <v>45836</v>
      </c>
      <c r="B7577" s="135">
        <f>YEAR(source[[#This Row],[report_date]])</f>
        <v>2025</v>
      </c>
      <c r="C7577" s="128">
        <f t="shared" si="352"/>
        <v>6</v>
      </c>
      <c r="D7577" s="136">
        <f t="shared" si="354"/>
        <v>26</v>
      </c>
      <c r="E7577" s="136">
        <f t="shared" si="353"/>
        <v>28</v>
      </c>
      <c r="F7577" s="128" t="s">
        <v>24</v>
      </c>
      <c r="G7577" s="128" t="str">
        <f>VLOOKUP(source[[#This Row],[lending_product_transform]],[3]Mapping!$B$4:$C$37,2,0)</f>
        <v>[Cake] - Cashloan</v>
      </c>
      <c r="H7577" s="128" t="str">
        <f>VLOOKUP(source[[#This Row],[lending_product_transform]],[3]Mapping!$B$3:$D$37,3,0)</f>
        <v>cashloan</v>
      </c>
      <c r="I7577" s="135">
        <v>400766090</v>
      </c>
    </row>
    <row r="7578" spans="1:9" x14ac:dyDescent="0.2">
      <c r="A7578" s="134">
        <v>45836</v>
      </c>
      <c r="B7578" s="135">
        <f>YEAR(source[[#This Row],[report_date]])</f>
        <v>2025</v>
      </c>
      <c r="C7578" s="128">
        <f t="shared" si="352"/>
        <v>6</v>
      </c>
      <c r="D7578" s="136">
        <f t="shared" si="354"/>
        <v>26</v>
      </c>
      <c r="E7578" s="136">
        <f t="shared" si="353"/>
        <v>28</v>
      </c>
      <c r="F7578" s="128" t="s">
        <v>24</v>
      </c>
      <c r="G7578" s="128" t="str">
        <f>VLOOKUP(source[[#This Row],[lending_product_transform]],[3]Mapping!$B$4:$C$37,2,0)</f>
        <v>[Cake] - Cashloan</v>
      </c>
      <c r="H7578" s="128" t="str">
        <f>VLOOKUP(source[[#This Row],[lending_product_transform]],[3]Mapping!$B$3:$D$37,3,0)</f>
        <v>cashloan</v>
      </c>
      <c r="I7578" s="135">
        <v>3437848505</v>
      </c>
    </row>
    <row r="7579" spans="1:9" x14ac:dyDescent="0.2">
      <c r="A7579" s="134">
        <v>45836</v>
      </c>
      <c r="B7579" s="135">
        <f>YEAR(source[[#This Row],[report_date]])</f>
        <v>2025</v>
      </c>
      <c r="C7579" s="128">
        <f t="shared" si="352"/>
        <v>6</v>
      </c>
      <c r="D7579" s="136">
        <f t="shared" si="354"/>
        <v>26</v>
      </c>
      <c r="E7579" s="136">
        <f t="shared" si="353"/>
        <v>28</v>
      </c>
      <c r="F7579" s="128" t="s">
        <v>24</v>
      </c>
      <c r="G7579" s="128" t="str">
        <f>VLOOKUP(source[[#This Row],[lending_product_transform]],[3]Mapping!$B$4:$C$37,2,0)</f>
        <v>[Cake] - Cashloan</v>
      </c>
      <c r="H7579" s="128" t="str">
        <f>VLOOKUP(source[[#This Row],[lending_product_transform]],[3]Mapping!$B$3:$D$37,3,0)</f>
        <v>cashloan</v>
      </c>
      <c r="I7579" s="135">
        <v>287592593</v>
      </c>
    </row>
    <row r="7580" spans="1:9" x14ac:dyDescent="0.2">
      <c r="A7580" s="134">
        <v>45836</v>
      </c>
      <c r="B7580" s="135">
        <f>YEAR(source[[#This Row],[report_date]])</f>
        <v>2025</v>
      </c>
      <c r="C7580" s="128">
        <f t="shared" si="352"/>
        <v>6</v>
      </c>
      <c r="D7580" s="136">
        <f t="shared" si="354"/>
        <v>26</v>
      </c>
      <c r="E7580" s="136">
        <f t="shared" si="353"/>
        <v>28</v>
      </c>
      <c r="F7580" s="128" t="s">
        <v>24</v>
      </c>
      <c r="G7580" s="128" t="str">
        <f>VLOOKUP(source[[#This Row],[lending_product_transform]],[3]Mapping!$B$4:$C$37,2,0)</f>
        <v>[Cake] - Cashloan</v>
      </c>
      <c r="H7580" s="128" t="str">
        <f>VLOOKUP(source[[#This Row],[lending_product_transform]],[3]Mapping!$B$3:$D$37,3,0)</f>
        <v>cashloan</v>
      </c>
      <c r="I7580" s="135">
        <v>9848090000</v>
      </c>
    </row>
    <row r="7581" spans="1:9" x14ac:dyDescent="0.2">
      <c r="A7581" s="134">
        <v>45836</v>
      </c>
      <c r="B7581" s="135">
        <f>YEAR(source[[#This Row],[report_date]])</f>
        <v>2025</v>
      </c>
      <c r="C7581" s="128">
        <f t="shared" si="352"/>
        <v>6</v>
      </c>
      <c r="D7581" s="136">
        <f t="shared" si="354"/>
        <v>26</v>
      </c>
      <c r="E7581" s="136">
        <f t="shared" si="353"/>
        <v>28</v>
      </c>
      <c r="F7581" s="128" t="s">
        <v>24</v>
      </c>
      <c r="G7581" s="128" t="str">
        <f>VLOOKUP(source[[#This Row],[lending_product_transform]],[3]Mapping!$B$4:$C$37,2,0)</f>
        <v>[Cake] - Cashloan</v>
      </c>
      <c r="H7581" s="128" t="str">
        <f>VLOOKUP(source[[#This Row],[lending_product_transform]],[3]Mapping!$B$3:$D$37,3,0)</f>
        <v>cashloan</v>
      </c>
      <c r="I7581" s="135">
        <v>4721004000</v>
      </c>
    </row>
    <row r="7582" spans="1:9" x14ac:dyDescent="0.2">
      <c r="A7582" s="134">
        <v>45836</v>
      </c>
      <c r="B7582" s="135">
        <f>YEAR(source[[#This Row],[report_date]])</f>
        <v>2025</v>
      </c>
      <c r="C7582" s="128">
        <f t="shared" si="352"/>
        <v>6</v>
      </c>
      <c r="D7582" s="136">
        <f t="shared" si="354"/>
        <v>26</v>
      </c>
      <c r="E7582" s="136">
        <f t="shared" si="353"/>
        <v>28</v>
      </c>
      <c r="F7582" s="128" t="s">
        <v>24</v>
      </c>
      <c r="G7582" s="128" t="str">
        <f>VLOOKUP(source[[#This Row],[lending_product_transform]],[3]Mapping!$B$4:$C$37,2,0)</f>
        <v>[Cake] - Cashloan</v>
      </c>
      <c r="H7582" s="128" t="str">
        <f>VLOOKUP(source[[#This Row],[lending_product_transform]],[3]Mapping!$B$3:$D$37,3,0)</f>
        <v>cashloan</v>
      </c>
      <c r="I7582" s="135">
        <v>7045830000</v>
      </c>
    </row>
    <row r="7583" spans="1:9" x14ac:dyDescent="0.2">
      <c r="A7583" s="134">
        <v>45837</v>
      </c>
      <c r="B7583" s="135">
        <f>YEAR(source[[#This Row],[report_date]])</f>
        <v>2025</v>
      </c>
      <c r="C7583" s="128">
        <f t="shared" si="352"/>
        <v>6</v>
      </c>
      <c r="D7583" s="136">
        <f t="shared" si="354"/>
        <v>26</v>
      </c>
      <c r="E7583" s="136">
        <f t="shared" si="353"/>
        <v>29</v>
      </c>
      <c r="F7583" s="128" t="s">
        <v>24</v>
      </c>
      <c r="G7583" s="128" t="str">
        <f>VLOOKUP(source[[#This Row],[lending_product_transform]],[3]Mapping!$B$4:$C$37,2,0)</f>
        <v>[Cake] - Cashloan</v>
      </c>
      <c r="H7583" s="128" t="str">
        <f>VLOOKUP(source[[#This Row],[lending_product_transform]],[3]Mapping!$B$3:$D$37,3,0)</f>
        <v>cashloan</v>
      </c>
      <c r="I7583" s="135">
        <v>326705000</v>
      </c>
    </row>
    <row r="7584" spans="1:9" x14ac:dyDescent="0.2">
      <c r="A7584" s="134">
        <v>45837</v>
      </c>
      <c r="B7584" s="135">
        <f>YEAR(source[[#This Row],[report_date]])</f>
        <v>2025</v>
      </c>
      <c r="C7584" s="128">
        <f t="shared" si="352"/>
        <v>6</v>
      </c>
      <c r="D7584" s="136">
        <f t="shared" si="354"/>
        <v>26</v>
      </c>
      <c r="E7584" s="136">
        <f t="shared" si="353"/>
        <v>29</v>
      </c>
      <c r="F7584" s="128" t="s">
        <v>24</v>
      </c>
      <c r="G7584" s="128" t="str">
        <f>VLOOKUP(source[[#This Row],[lending_product_transform]],[3]Mapping!$B$4:$C$37,2,0)</f>
        <v>[Cake] - Cashloan</v>
      </c>
      <c r="H7584" s="128" t="str">
        <f>VLOOKUP(source[[#This Row],[lending_product_transform]],[3]Mapping!$B$3:$D$37,3,0)</f>
        <v>cashloan</v>
      </c>
      <c r="I7584" s="135">
        <v>3301114872</v>
      </c>
    </row>
    <row r="7585" spans="1:9" x14ac:dyDescent="0.2">
      <c r="A7585" s="134">
        <v>45837</v>
      </c>
      <c r="B7585" s="135">
        <f>YEAR(source[[#This Row],[report_date]])</f>
        <v>2025</v>
      </c>
      <c r="C7585" s="128">
        <f t="shared" si="352"/>
        <v>6</v>
      </c>
      <c r="D7585" s="136">
        <f t="shared" si="354"/>
        <v>26</v>
      </c>
      <c r="E7585" s="136">
        <f t="shared" si="353"/>
        <v>29</v>
      </c>
      <c r="F7585" s="128" t="s">
        <v>24</v>
      </c>
      <c r="G7585" s="128" t="str">
        <f>VLOOKUP(source[[#This Row],[lending_product_transform]],[3]Mapping!$B$4:$C$37,2,0)</f>
        <v>[Cake] - Cashloan</v>
      </c>
      <c r="H7585" s="128" t="str">
        <f>VLOOKUP(source[[#This Row],[lending_product_transform]],[3]Mapping!$B$3:$D$37,3,0)</f>
        <v>cashloan</v>
      </c>
      <c r="I7585" s="135">
        <v>19523097</v>
      </c>
    </row>
    <row r="7586" spans="1:9" x14ac:dyDescent="0.2">
      <c r="A7586" s="134">
        <v>45837</v>
      </c>
      <c r="B7586" s="135">
        <f>YEAR(source[[#This Row],[report_date]])</f>
        <v>2025</v>
      </c>
      <c r="C7586" s="128">
        <f t="shared" si="352"/>
        <v>6</v>
      </c>
      <c r="D7586" s="136">
        <f t="shared" si="354"/>
        <v>26</v>
      </c>
      <c r="E7586" s="136">
        <f t="shared" si="353"/>
        <v>29</v>
      </c>
      <c r="F7586" s="128" t="s">
        <v>24</v>
      </c>
      <c r="G7586" s="128" t="str">
        <f>VLOOKUP(source[[#This Row],[lending_product_transform]],[3]Mapping!$B$4:$C$37,2,0)</f>
        <v>[Cake] - Cashloan</v>
      </c>
      <c r="H7586" s="128" t="str">
        <f>VLOOKUP(source[[#This Row],[lending_product_transform]],[3]Mapping!$B$3:$D$37,3,0)</f>
        <v>cashloan</v>
      </c>
      <c r="I7586" s="135">
        <v>300341139</v>
      </c>
    </row>
    <row r="7587" spans="1:9" x14ac:dyDescent="0.2">
      <c r="A7587" s="134">
        <v>45837</v>
      </c>
      <c r="B7587" s="135">
        <f>YEAR(source[[#This Row],[report_date]])</f>
        <v>2025</v>
      </c>
      <c r="C7587" s="128">
        <f t="shared" si="352"/>
        <v>6</v>
      </c>
      <c r="D7587" s="136">
        <f t="shared" si="354"/>
        <v>26</v>
      </c>
      <c r="E7587" s="136">
        <f t="shared" si="353"/>
        <v>29</v>
      </c>
      <c r="F7587" s="128" t="s">
        <v>24</v>
      </c>
      <c r="G7587" s="128" t="str">
        <f>VLOOKUP(source[[#This Row],[lending_product_transform]],[3]Mapping!$B$4:$C$37,2,0)</f>
        <v>[Cake] - Cashloan</v>
      </c>
      <c r="H7587" s="128" t="str">
        <f>VLOOKUP(source[[#This Row],[lending_product_transform]],[3]Mapping!$B$3:$D$37,3,0)</f>
        <v>cashloan</v>
      </c>
      <c r="I7587" s="135">
        <v>0</v>
      </c>
    </row>
    <row r="7588" spans="1:9" x14ac:dyDescent="0.2">
      <c r="A7588" s="134">
        <v>45837</v>
      </c>
      <c r="B7588" s="135">
        <f>YEAR(source[[#This Row],[report_date]])</f>
        <v>2025</v>
      </c>
      <c r="C7588" s="128">
        <f t="shared" si="352"/>
        <v>6</v>
      </c>
      <c r="D7588" s="136">
        <f t="shared" si="354"/>
        <v>26</v>
      </c>
      <c r="E7588" s="136">
        <f t="shared" si="353"/>
        <v>29</v>
      </c>
      <c r="F7588" s="128" t="s">
        <v>24</v>
      </c>
      <c r="G7588" s="128" t="str">
        <f>VLOOKUP(source[[#This Row],[lending_product_transform]],[3]Mapping!$B$4:$C$37,2,0)</f>
        <v>[Cake] - Cashloan</v>
      </c>
      <c r="H7588" s="128" t="str">
        <f>VLOOKUP(source[[#This Row],[lending_product_transform]],[3]Mapping!$B$3:$D$37,3,0)</f>
        <v>cashloan</v>
      </c>
      <c r="I7588" s="135">
        <v>9573120000</v>
      </c>
    </row>
    <row r="7589" spans="1:9" x14ac:dyDescent="0.2">
      <c r="A7589" s="134">
        <v>45837</v>
      </c>
      <c r="B7589" s="135">
        <f>YEAR(source[[#This Row],[report_date]])</f>
        <v>2025</v>
      </c>
      <c r="C7589" s="128">
        <f t="shared" si="352"/>
        <v>6</v>
      </c>
      <c r="D7589" s="136">
        <f t="shared" si="354"/>
        <v>26</v>
      </c>
      <c r="E7589" s="136">
        <f t="shared" si="353"/>
        <v>29</v>
      </c>
      <c r="F7589" s="128" t="s">
        <v>24</v>
      </c>
      <c r="G7589" s="128" t="str">
        <f>VLOOKUP(source[[#This Row],[lending_product_transform]],[3]Mapping!$B$4:$C$37,2,0)</f>
        <v>[Cake] - Cashloan</v>
      </c>
      <c r="H7589" s="128" t="str">
        <f>VLOOKUP(source[[#This Row],[lending_product_transform]],[3]Mapping!$B$3:$D$37,3,0)</f>
        <v>cashloan</v>
      </c>
      <c r="I7589" s="135">
        <v>0</v>
      </c>
    </row>
    <row r="7590" spans="1:9" x14ac:dyDescent="0.2">
      <c r="A7590" s="134">
        <v>45837</v>
      </c>
      <c r="B7590" s="135">
        <f>YEAR(source[[#This Row],[report_date]])</f>
        <v>2025</v>
      </c>
      <c r="C7590" s="128">
        <f t="shared" si="352"/>
        <v>6</v>
      </c>
      <c r="D7590" s="136">
        <f t="shared" si="354"/>
        <v>26</v>
      </c>
      <c r="E7590" s="136">
        <f t="shared" si="353"/>
        <v>29</v>
      </c>
      <c r="F7590" s="128" t="s">
        <v>24</v>
      </c>
      <c r="G7590" s="128" t="str">
        <f>VLOOKUP(source[[#This Row],[lending_product_transform]],[3]Mapping!$B$4:$C$37,2,0)</f>
        <v>[Cake] - Cashloan</v>
      </c>
      <c r="H7590" s="128" t="str">
        <f>VLOOKUP(source[[#This Row],[lending_product_transform]],[3]Mapping!$B$3:$D$37,3,0)</f>
        <v>cashloan</v>
      </c>
      <c r="I7590" s="135">
        <v>0</v>
      </c>
    </row>
    <row r="7591" spans="1:9" x14ac:dyDescent="0.2">
      <c r="A7591" s="134">
        <v>45837</v>
      </c>
      <c r="B7591" s="135">
        <f>YEAR(source[[#This Row],[report_date]])</f>
        <v>2025</v>
      </c>
      <c r="C7591" s="128">
        <f t="shared" si="352"/>
        <v>6</v>
      </c>
      <c r="D7591" s="136">
        <f t="shared" si="354"/>
        <v>26</v>
      </c>
      <c r="E7591" s="136">
        <f t="shared" si="353"/>
        <v>29</v>
      </c>
      <c r="F7591" s="128" t="s">
        <v>24</v>
      </c>
      <c r="G7591" s="128" t="str">
        <f>VLOOKUP(source[[#This Row],[lending_product_transform]],[3]Mapping!$B$4:$C$37,2,0)</f>
        <v>[Cake] - Cashloan</v>
      </c>
      <c r="H7591" s="128" t="str">
        <f>VLOOKUP(source[[#This Row],[lending_product_transform]],[3]Mapping!$B$3:$D$37,3,0)</f>
        <v>cashloan</v>
      </c>
      <c r="I7591" s="135">
        <v>50500000</v>
      </c>
    </row>
    <row r="7592" spans="1:9" x14ac:dyDescent="0.2">
      <c r="A7592" s="134">
        <v>45837</v>
      </c>
      <c r="B7592" s="135">
        <f>YEAR(source[[#This Row],[report_date]])</f>
        <v>2025</v>
      </c>
      <c r="C7592" s="128">
        <f t="shared" si="352"/>
        <v>6</v>
      </c>
      <c r="D7592" s="136">
        <f t="shared" si="354"/>
        <v>26</v>
      </c>
      <c r="E7592" s="136">
        <f t="shared" si="353"/>
        <v>29</v>
      </c>
      <c r="F7592" s="128" t="s">
        <v>24</v>
      </c>
      <c r="G7592" s="128" t="str">
        <f>VLOOKUP(source[[#This Row],[lending_product_transform]],[3]Mapping!$B$4:$C$37,2,0)</f>
        <v>[Cake] - Cashloan</v>
      </c>
      <c r="H7592" s="128" t="str">
        <f>VLOOKUP(source[[#This Row],[lending_product_transform]],[3]Mapping!$B$3:$D$37,3,0)</f>
        <v>cashloan</v>
      </c>
      <c r="I7592" s="135">
        <v>10000000</v>
      </c>
    </row>
    <row r="7593" spans="1:9" x14ac:dyDescent="0.2">
      <c r="A7593" s="134">
        <v>45837</v>
      </c>
      <c r="B7593" s="135">
        <f>YEAR(source[[#This Row],[report_date]])</f>
        <v>2025</v>
      </c>
      <c r="C7593" s="128">
        <f t="shared" si="352"/>
        <v>6</v>
      </c>
      <c r="D7593" s="136">
        <f t="shared" si="354"/>
        <v>26</v>
      </c>
      <c r="E7593" s="136">
        <f t="shared" si="353"/>
        <v>29</v>
      </c>
      <c r="F7593" s="128" t="s">
        <v>24</v>
      </c>
      <c r="G7593" s="128" t="str">
        <f>VLOOKUP(source[[#This Row],[lending_product_transform]],[3]Mapping!$B$4:$C$37,2,0)</f>
        <v>[Cake] - Cashloan</v>
      </c>
      <c r="H7593" s="128" t="str">
        <f>VLOOKUP(source[[#This Row],[lending_product_transform]],[3]Mapping!$B$3:$D$37,3,0)</f>
        <v>cashloan</v>
      </c>
      <c r="I7593" s="135">
        <v>0</v>
      </c>
    </row>
    <row r="7594" spans="1:9" x14ac:dyDescent="0.2">
      <c r="A7594" s="134">
        <v>45837</v>
      </c>
      <c r="B7594" s="135">
        <f>YEAR(source[[#This Row],[report_date]])</f>
        <v>2025</v>
      </c>
      <c r="C7594" s="128">
        <f t="shared" si="352"/>
        <v>6</v>
      </c>
      <c r="D7594" s="136">
        <f t="shared" si="354"/>
        <v>26</v>
      </c>
      <c r="E7594" s="136">
        <f t="shared" si="353"/>
        <v>29</v>
      </c>
      <c r="F7594" s="128" t="s">
        <v>24</v>
      </c>
      <c r="G7594" s="128" t="str">
        <f>VLOOKUP(source[[#This Row],[lending_product_transform]],[3]Mapping!$B$4:$C$37,2,0)</f>
        <v>[Cake] - Cashloan</v>
      </c>
      <c r="H7594" s="128" t="str">
        <f>VLOOKUP(source[[#This Row],[lending_product_transform]],[3]Mapping!$B$3:$D$37,3,0)</f>
        <v>cashloan</v>
      </c>
      <c r="I7594" s="135">
        <v>0</v>
      </c>
    </row>
    <row r="7595" spans="1:9" x14ac:dyDescent="0.2">
      <c r="A7595" s="134">
        <v>45837</v>
      </c>
      <c r="B7595" s="135">
        <f>YEAR(source[[#This Row],[report_date]])</f>
        <v>2025</v>
      </c>
      <c r="C7595" s="128">
        <f t="shared" si="352"/>
        <v>6</v>
      </c>
      <c r="D7595" s="136">
        <f t="shared" si="354"/>
        <v>26</v>
      </c>
      <c r="E7595" s="136">
        <f t="shared" si="353"/>
        <v>29</v>
      </c>
      <c r="F7595" s="128" t="s">
        <v>24</v>
      </c>
      <c r="G7595" s="128" t="str">
        <f>VLOOKUP(source[[#This Row],[lending_product_transform]],[3]Mapping!$B$4:$C$37,2,0)</f>
        <v>[Cake] - Cashloan</v>
      </c>
      <c r="H7595" s="128" t="str">
        <f>VLOOKUP(source[[#This Row],[lending_product_transform]],[3]Mapping!$B$3:$D$37,3,0)</f>
        <v>cashloan</v>
      </c>
      <c r="I7595" s="135">
        <v>389790000</v>
      </c>
    </row>
    <row r="7596" spans="1:9" x14ac:dyDescent="0.2">
      <c r="A7596" s="134">
        <v>45837</v>
      </c>
      <c r="B7596" s="135">
        <f>YEAR(source[[#This Row],[report_date]])</f>
        <v>2025</v>
      </c>
      <c r="C7596" s="128">
        <f t="shared" si="352"/>
        <v>6</v>
      </c>
      <c r="D7596" s="136">
        <f t="shared" si="354"/>
        <v>26</v>
      </c>
      <c r="E7596" s="136">
        <f t="shared" si="353"/>
        <v>29</v>
      </c>
      <c r="F7596" s="128" t="s">
        <v>24</v>
      </c>
      <c r="G7596" s="128" t="str">
        <f>VLOOKUP(source[[#This Row],[lending_product_transform]],[3]Mapping!$B$4:$C$37,2,0)</f>
        <v>[Cake] - Cashloan</v>
      </c>
      <c r="H7596" s="128" t="str">
        <f>VLOOKUP(source[[#This Row],[lending_product_transform]],[3]Mapping!$B$3:$D$37,3,0)</f>
        <v>cashloan</v>
      </c>
      <c r="I7596" s="135">
        <v>1451760000</v>
      </c>
    </row>
    <row r="7597" spans="1:9" x14ac:dyDescent="0.2">
      <c r="A7597" s="134">
        <v>45837</v>
      </c>
      <c r="B7597" s="135">
        <f>YEAR(source[[#This Row],[report_date]])</f>
        <v>2025</v>
      </c>
      <c r="C7597" s="128">
        <f t="shared" si="352"/>
        <v>6</v>
      </c>
      <c r="D7597" s="136">
        <f t="shared" si="354"/>
        <v>26</v>
      </c>
      <c r="E7597" s="136">
        <f t="shared" si="353"/>
        <v>29</v>
      </c>
      <c r="F7597" s="128" t="s">
        <v>24</v>
      </c>
      <c r="G7597" s="128" t="str">
        <f>VLOOKUP(source[[#This Row],[lending_product_transform]],[3]Mapping!$B$4:$C$37,2,0)</f>
        <v>[Cake] - Cashloan</v>
      </c>
      <c r="H7597" s="128" t="str">
        <f>VLOOKUP(source[[#This Row],[lending_product_transform]],[3]Mapping!$B$3:$D$37,3,0)</f>
        <v>cashloan</v>
      </c>
      <c r="I7597" s="135">
        <v>4356180000</v>
      </c>
    </row>
    <row r="7598" spans="1:9" x14ac:dyDescent="0.2">
      <c r="A7598" s="134">
        <v>45837</v>
      </c>
      <c r="B7598" s="135">
        <f>YEAR(source[[#This Row],[report_date]])</f>
        <v>2025</v>
      </c>
      <c r="C7598" s="128">
        <f t="shared" si="352"/>
        <v>6</v>
      </c>
      <c r="D7598" s="136">
        <f t="shared" si="354"/>
        <v>26</v>
      </c>
      <c r="E7598" s="136">
        <f t="shared" si="353"/>
        <v>29</v>
      </c>
      <c r="F7598" s="128" t="s">
        <v>24</v>
      </c>
      <c r="G7598" s="128" t="str">
        <f>VLOOKUP(source[[#This Row],[lending_product_transform]],[3]Mapping!$B$4:$C$37,2,0)</f>
        <v>[Cake] - Cashloan</v>
      </c>
      <c r="H7598" s="128" t="str">
        <f>VLOOKUP(source[[#This Row],[lending_product_transform]],[3]Mapping!$B$3:$D$37,3,0)</f>
        <v>cashloan</v>
      </c>
      <c r="I7598" s="135">
        <v>2005510000</v>
      </c>
    </row>
    <row r="7599" spans="1:9" x14ac:dyDescent="0.2">
      <c r="A7599" s="134">
        <v>45837</v>
      </c>
      <c r="B7599" s="135">
        <f>YEAR(source[[#This Row],[report_date]])</f>
        <v>2025</v>
      </c>
      <c r="C7599" s="128">
        <f t="shared" si="352"/>
        <v>6</v>
      </c>
      <c r="D7599" s="136">
        <f t="shared" si="354"/>
        <v>26</v>
      </c>
      <c r="E7599" s="136">
        <f t="shared" si="353"/>
        <v>29</v>
      </c>
      <c r="F7599" s="128" t="s">
        <v>24</v>
      </c>
      <c r="G7599" s="128" t="str">
        <f>VLOOKUP(source[[#This Row],[lending_product_transform]],[3]Mapping!$B$4:$C$37,2,0)</f>
        <v>[Cake] - Cashloan</v>
      </c>
      <c r="H7599" s="128" t="str">
        <f>VLOOKUP(source[[#This Row],[lending_product_transform]],[3]Mapping!$B$3:$D$37,3,0)</f>
        <v>cashloan</v>
      </c>
      <c r="I7599" s="135">
        <v>202402738</v>
      </c>
    </row>
    <row r="7600" spans="1:9" x14ac:dyDescent="0.2">
      <c r="A7600" s="134">
        <v>45837</v>
      </c>
      <c r="B7600" s="135">
        <f>YEAR(source[[#This Row],[report_date]])</f>
        <v>2025</v>
      </c>
      <c r="C7600" s="128">
        <f t="shared" si="352"/>
        <v>6</v>
      </c>
      <c r="D7600" s="136">
        <f t="shared" si="354"/>
        <v>26</v>
      </c>
      <c r="E7600" s="136">
        <f t="shared" si="353"/>
        <v>29</v>
      </c>
      <c r="F7600" s="128" t="s">
        <v>24</v>
      </c>
      <c r="G7600" s="128" t="str">
        <f>VLOOKUP(source[[#This Row],[lending_product_transform]],[3]Mapping!$B$4:$C$37,2,0)</f>
        <v>[Cake] - Cashloan</v>
      </c>
      <c r="H7600" s="128" t="str">
        <f>VLOOKUP(source[[#This Row],[lending_product_transform]],[3]Mapping!$B$3:$D$37,3,0)</f>
        <v>cashloan</v>
      </c>
      <c r="I7600" s="135">
        <v>471479527</v>
      </c>
    </row>
    <row r="7601" spans="1:9" x14ac:dyDescent="0.2">
      <c r="A7601" s="134">
        <v>45837</v>
      </c>
      <c r="B7601" s="135">
        <f>YEAR(source[[#This Row],[report_date]])</f>
        <v>2025</v>
      </c>
      <c r="C7601" s="128">
        <f t="shared" si="352"/>
        <v>6</v>
      </c>
      <c r="D7601" s="136">
        <f t="shared" si="354"/>
        <v>26</v>
      </c>
      <c r="E7601" s="136">
        <f t="shared" si="353"/>
        <v>29</v>
      </c>
      <c r="F7601" s="128" t="s">
        <v>24</v>
      </c>
      <c r="G7601" s="128" t="str">
        <f>VLOOKUP(source[[#This Row],[lending_product_transform]],[3]Mapping!$B$4:$C$37,2,0)</f>
        <v>[Cake] - Cashloan</v>
      </c>
      <c r="H7601" s="128" t="str">
        <f>VLOOKUP(source[[#This Row],[lending_product_transform]],[3]Mapping!$B$3:$D$37,3,0)</f>
        <v>cashloan</v>
      </c>
      <c r="I7601" s="135">
        <v>7051150000</v>
      </c>
    </row>
    <row r="7602" spans="1:9" x14ac:dyDescent="0.2">
      <c r="A7602" s="134">
        <v>45838</v>
      </c>
      <c r="B7602" s="135">
        <f>YEAR(source[[#This Row],[report_date]])</f>
        <v>2025</v>
      </c>
      <c r="C7602" s="128">
        <f t="shared" si="352"/>
        <v>6</v>
      </c>
      <c r="D7602" s="136">
        <f t="shared" si="354"/>
        <v>27</v>
      </c>
      <c r="E7602" s="136">
        <f t="shared" si="353"/>
        <v>30</v>
      </c>
      <c r="F7602" s="128" t="s">
        <v>24</v>
      </c>
      <c r="G7602" s="128" t="str">
        <f>VLOOKUP(source[[#This Row],[lending_product_transform]],[3]Mapping!$B$4:$C$37,2,0)</f>
        <v>[Cake] - Cashloan</v>
      </c>
      <c r="H7602" s="128" t="str">
        <f>VLOOKUP(source[[#This Row],[lending_product_transform]],[3]Mapping!$B$3:$D$37,3,0)</f>
        <v>cashloan</v>
      </c>
      <c r="I7602" s="135">
        <v>31500000</v>
      </c>
    </row>
    <row r="7603" spans="1:9" x14ac:dyDescent="0.2">
      <c r="A7603" s="134">
        <v>45838</v>
      </c>
      <c r="B7603" s="135">
        <f>YEAR(source[[#This Row],[report_date]])</f>
        <v>2025</v>
      </c>
      <c r="C7603" s="128">
        <f t="shared" si="352"/>
        <v>6</v>
      </c>
      <c r="D7603" s="136">
        <f t="shared" si="354"/>
        <v>27</v>
      </c>
      <c r="E7603" s="136">
        <f t="shared" si="353"/>
        <v>30</v>
      </c>
      <c r="F7603" s="128" t="s">
        <v>24</v>
      </c>
      <c r="G7603" s="128" t="str">
        <f>VLOOKUP(source[[#This Row],[lending_product_transform]],[3]Mapping!$B$4:$C$37,2,0)</f>
        <v>[Cake] - Cashloan</v>
      </c>
      <c r="H7603" s="128" t="str">
        <f>VLOOKUP(source[[#This Row],[lending_product_transform]],[3]Mapping!$B$3:$D$37,3,0)</f>
        <v>cashloan</v>
      </c>
      <c r="I7603" s="135">
        <v>8643170000</v>
      </c>
    </row>
    <row r="7604" spans="1:9" x14ac:dyDescent="0.2">
      <c r="A7604" s="134">
        <v>45838</v>
      </c>
      <c r="B7604" s="135">
        <f>YEAR(source[[#This Row],[report_date]])</f>
        <v>2025</v>
      </c>
      <c r="C7604" s="128">
        <f t="shared" si="352"/>
        <v>6</v>
      </c>
      <c r="D7604" s="136">
        <f t="shared" si="354"/>
        <v>27</v>
      </c>
      <c r="E7604" s="136">
        <f t="shared" si="353"/>
        <v>30</v>
      </c>
      <c r="F7604" s="128" t="s">
        <v>24</v>
      </c>
      <c r="G7604" s="128" t="str">
        <f>VLOOKUP(source[[#This Row],[lending_product_transform]],[3]Mapping!$B$4:$C$37,2,0)</f>
        <v>[Cake] - Cashloan</v>
      </c>
      <c r="H7604" s="128" t="str">
        <f>VLOOKUP(source[[#This Row],[lending_product_transform]],[3]Mapping!$B$3:$D$37,3,0)</f>
        <v>cashloan</v>
      </c>
      <c r="I7604" s="135">
        <v>12105490000</v>
      </c>
    </row>
    <row r="7605" spans="1:9" x14ac:dyDescent="0.2">
      <c r="A7605" s="134">
        <v>45838</v>
      </c>
      <c r="B7605" s="135">
        <f>YEAR(source[[#This Row],[report_date]])</f>
        <v>2025</v>
      </c>
      <c r="C7605" s="128">
        <f t="shared" si="352"/>
        <v>6</v>
      </c>
      <c r="D7605" s="136">
        <f t="shared" si="354"/>
        <v>27</v>
      </c>
      <c r="E7605" s="136">
        <f t="shared" si="353"/>
        <v>30</v>
      </c>
      <c r="F7605" s="128" t="s">
        <v>24</v>
      </c>
      <c r="G7605" s="128" t="str">
        <f>VLOOKUP(source[[#This Row],[lending_product_transform]],[3]Mapping!$B$4:$C$37,2,0)</f>
        <v>[Cake] - Cashloan</v>
      </c>
      <c r="H7605" s="128" t="str">
        <f>VLOOKUP(source[[#This Row],[lending_product_transform]],[3]Mapping!$B$3:$D$37,3,0)</f>
        <v>cashloan</v>
      </c>
      <c r="I7605" s="135">
        <v>559221742</v>
      </c>
    </row>
    <row r="7606" spans="1:9" x14ac:dyDescent="0.2">
      <c r="A7606" s="134">
        <v>45838</v>
      </c>
      <c r="B7606" s="135">
        <f>YEAR(source[[#This Row],[report_date]])</f>
        <v>2025</v>
      </c>
      <c r="C7606" s="128">
        <f t="shared" ref="C7606:C7669" si="355">MONTH(A7606)</f>
        <v>6</v>
      </c>
      <c r="D7606" s="136">
        <f t="shared" si="354"/>
        <v>27</v>
      </c>
      <c r="E7606" s="136">
        <f t="shared" ref="E7606:E7669" si="356">DAY(A7606)</f>
        <v>30</v>
      </c>
      <c r="F7606" s="128" t="s">
        <v>24</v>
      </c>
      <c r="G7606" s="128" t="str">
        <f>VLOOKUP(source[[#This Row],[lending_product_transform]],[3]Mapping!$B$4:$C$37,2,0)</f>
        <v>[Cake] - Cashloan</v>
      </c>
      <c r="H7606" s="128" t="str">
        <f>VLOOKUP(source[[#This Row],[lending_product_transform]],[3]Mapping!$B$3:$D$37,3,0)</f>
        <v>cashloan</v>
      </c>
      <c r="I7606" s="135">
        <v>5473164136</v>
      </c>
    </row>
    <row r="7607" spans="1:9" x14ac:dyDescent="0.2">
      <c r="A7607" s="134">
        <v>45838</v>
      </c>
      <c r="B7607" s="135">
        <f>YEAR(source[[#This Row],[report_date]])</f>
        <v>2025</v>
      </c>
      <c r="C7607" s="128">
        <f t="shared" si="355"/>
        <v>6</v>
      </c>
      <c r="D7607" s="136">
        <f t="shared" si="354"/>
        <v>27</v>
      </c>
      <c r="E7607" s="136">
        <f t="shared" si="356"/>
        <v>30</v>
      </c>
      <c r="F7607" s="128" t="s">
        <v>24</v>
      </c>
      <c r="G7607" s="128" t="str">
        <f>VLOOKUP(source[[#This Row],[lending_product_transform]],[3]Mapping!$B$4:$C$37,2,0)</f>
        <v>[Cake] - Cashloan</v>
      </c>
      <c r="H7607" s="128" t="str">
        <f>VLOOKUP(source[[#This Row],[lending_product_transform]],[3]Mapping!$B$3:$D$37,3,0)</f>
        <v>cashloan</v>
      </c>
      <c r="I7607" s="135">
        <v>53700000</v>
      </c>
    </row>
    <row r="7608" spans="1:9" x14ac:dyDescent="0.2">
      <c r="A7608" s="134">
        <v>45838</v>
      </c>
      <c r="B7608" s="135">
        <f>YEAR(source[[#This Row],[report_date]])</f>
        <v>2025</v>
      </c>
      <c r="C7608" s="128">
        <f t="shared" si="355"/>
        <v>6</v>
      </c>
      <c r="D7608" s="136">
        <f t="shared" si="354"/>
        <v>27</v>
      </c>
      <c r="E7608" s="136">
        <f t="shared" si="356"/>
        <v>30</v>
      </c>
      <c r="F7608" s="128" t="s">
        <v>24</v>
      </c>
      <c r="G7608" s="128" t="str">
        <f>VLOOKUP(source[[#This Row],[lending_product_transform]],[3]Mapping!$B$4:$C$37,2,0)</f>
        <v>[Cake] - Cashloan</v>
      </c>
      <c r="H7608" s="128" t="str">
        <f>VLOOKUP(source[[#This Row],[lending_product_transform]],[3]Mapping!$B$3:$D$37,3,0)</f>
        <v>cashloan</v>
      </c>
      <c r="I7608" s="135">
        <v>35724408</v>
      </c>
    </row>
    <row r="7609" spans="1:9" x14ac:dyDescent="0.2">
      <c r="A7609" s="134">
        <v>45838</v>
      </c>
      <c r="B7609" s="135">
        <f>YEAR(source[[#This Row],[report_date]])</f>
        <v>2025</v>
      </c>
      <c r="C7609" s="128">
        <f t="shared" si="355"/>
        <v>6</v>
      </c>
      <c r="D7609" s="136">
        <f t="shared" si="354"/>
        <v>27</v>
      </c>
      <c r="E7609" s="136">
        <f t="shared" si="356"/>
        <v>30</v>
      </c>
      <c r="F7609" s="128" t="s">
        <v>24</v>
      </c>
      <c r="G7609" s="128" t="str">
        <f>VLOOKUP(source[[#This Row],[lending_product_transform]],[3]Mapping!$B$4:$C$37,2,0)</f>
        <v>[Cake] - Cashloan</v>
      </c>
      <c r="H7609" s="128" t="str">
        <f>VLOOKUP(source[[#This Row],[lending_product_transform]],[3]Mapping!$B$3:$D$37,3,0)</f>
        <v>cashloan</v>
      </c>
      <c r="I7609" s="135">
        <v>0</v>
      </c>
    </row>
    <row r="7610" spans="1:9" x14ac:dyDescent="0.2">
      <c r="A7610" s="134">
        <v>45838</v>
      </c>
      <c r="B7610" s="135">
        <f>YEAR(source[[#This Row],[report_date]])</f>
        <v>2025</v>
      </c>
      <c r="C7610" s="128">
        <f t="shared" si="355"/>
        <v>6</v>
      </c>
      <c r="D7610" s="136">
        <f t="shared" si="354"/>
        <v>27</v>
      </c>
      <c r="E7610" s="136">
        <f t="shared" si="356"/>
        <v>30</v>
      </c>
      <c r="F7610" s="128" t="s">
        <v>24</v>
      </c>
      <c r="G7610" s="128" t="str">
        <f>VLOOKUP(source[[#This Row],[lending_product_transform]],[3]Mapping!$B$4:$C$37,2,0)</f>
        <v>[Cake] - Cashloan</v>
      </c>
      <c r="H7610" s="128" t="str">
        <f>VLOOKUP(source[[#This Row],[lending_product_transform]],[3]Mapping!$B$3:$D$37,3,0)</f>
        <v>cashloan</v>
      </c>
      <c r="I7610" s="135">
        <v>0</v>
      </c>
    </row>
    <row r="7611" spans="1:9" x14ac:dyDescent="0.2">
      <c r="A7611" s="134">
        <v>45838</v>
      </c>
      <c r="B7611" s="135">
        <f>YEAR(source[[#This Row],[report_date]])</f>
        <v>2025</v>
      </c>
      <c r="C7611" s="128">
        <f t="shared" si="355"/>
        <v>6</v>
      </c>
      <c r="D7611" s="136">
        <f t="shared" si="354"/>
        <v>27</v>
      </c>
      <c r="E7611" s="136">
        <f t="shared" si="356"/>
        <v>30</v>
      </c>
      <c r="F7611" s="128" t="s">
        <v>24</v>
      </c>
      <c r="G7611" s="128" t="str">
        <f>VLOOKUP(source[[#This Row],[lending_product_transform]],[3]Mapping!$B$4:$C$37,2,0)</f>
        <v>[Cake] - Cashloan</v>
      </c>
      <c r="H7611" s="128" t="str">
        <f>VLOOKUP(source[[#This Row],[lending_product_transform]],[3]Mapping!$B$3:$D$37,3,0)</f>
        <v>cashloan</v>
      </c>
      <c r="I7611" s="135">
        <v>5826708000</v>
      </c>
    </row>
    <row r="7612" spans="1:9" x14ac:dyDescent="0.2">
      <c r="A7612" s="134">
        <v>45838</v>
      </c>
      <c r="B7612" s="135">
        <f>YEAR(source[[#This Row],[report_date]])</f>
        <v>2025</v>
      </c>
      <c r="C7612" s="128">
        <f t="shared" si="355"/>
        <v>6</v>
      </c>
      <c r="D7612" s="136">
        <f t="shared" si="354"/>
        <v>27</v>
      </c>
      <c r="E7612" s="136">
        <f t="shared" si="356"/>
        <v>30</v>
      </c>
      <c r="F7612" s="128" t="s">
        <v>24</v>
      </c>
      <c r="G7612" s="128" t="str">
        <f>VLOOKUP(source[[#This Row],[lending_product_transform]],[3]Mapping!$B$4:$C$37,2,0)</f>
        <v>[Cake] - Cashloan</v>
      </c>
      <c r="H7612" s="128" t="str">
        <f>VLOOKUP(source[[#This Row],[lending_product_transform]],[3]Mapping!$B$3:$D$37,3,0)</f>
        <v>cashloan</v>
      </c>
      <c r="I7612" s="135">
        <v>19000000</v>
      </c>
    </row>
    <row r="7613" spans="1:9" x14ac:dyDescent="0.2">
      <c r="A7613" s="134">
        <v>45838</v>
      </c>
      <c r="B7613" s="135">
        <f>YEAR(source[[#This Row],[report_date]])</f>
        <v>2025</v>
      </c>
      <c r="C7613" s="128">
        <f t="shared" si="355"/>
        <v>6</v>
      </c>
      <c r="D7613" s="136">
        <f t="shared" si="354"/>
        <v>27</v>
      </c>
      <c r="E7613" s="136">
        <f t="shared" si="356"/>
        <v>30</v>
      </c>
      <c r="F7613" s="128" t="s">
        <v>24</v>
      </c>
      <c r="G7613" s="128" t="str">
        <f>VLOOKUP(source[[#This Row],[lending_product_transform]],[3]Mapping!$B$4:$C$37,2,0)</f>
        <v>[Cake] - Cashloan</v>
      </c>
      <c r="H7613" s="128" t="str">
        <f>VLOOKUP(source[[#This Row],[lending_product_transform]],[3]Mapping!$B$3:$D$37,3,0)</f>
        <v>cashloan</v>
      </c>
      <c r="I7613" s="135">
        <v>0</v>
      </c>
    </row>
    <row r="7614" spans="1:9" x14ac:dyDescent="0.2">
      <c r="A7614" s="134">
        <v>45838</v>
      </c>
      <c r="B7614" s="135">
        <f>YEAR(source[[#This Row],[report_date]])</f>
        <v>2025</v>
      </c>
      <c r="C7614" s="128">
        <f t="shared" si="355"/>
        <v>6</v>
      </c>
      <c r="D7614" s="136">
        <f t="shared" si="354"/>
        <v>27</v>
      </c>
      <c r="E7614" s="136">
        <f t="shared" si="356"/>
        <v>30</v>
      </c>
      <c r="F7614" s="128" t="s">
        <v>24</v>
      </c>
      <c r="G7614" s="128" t="str">
        <f>VLOOKUP(source[[#This Row],[lending_product_transform]],[3]Mapping!$B$4:$C$37,2,0)</f>
        <v>[Cake] - Cashloan</v>
      </c>
      <c r="H7614" s="128" t="str">
        <f>VLOOKUP(source[[#This Row],[lending_product_transform]],[3]Mapping!$B$3:$D$37,3,0)</f>
        <v>cashloan</v>
      </c>
      <c r="I7614" s="135">
        <v>0</v>
      </c>
    </row>
    <row r="7615" spans="1:9" x14ac:dyDescent="0.2">
      <c r="A7615" s="134">
        <v>45838</v>
      </c>
      <c r="B7615" s="135">
        <f>YEAR(source[[#This Row],[report_date]])</f>
        <v>2025</v>
      </c>
      <c r="C7615" s="128">
        <f t="shared" si="355"/>
        <v>6</v>
      </c>
      <c r="D7615" s="136">
        <f t="shared" si="354"/>
        <v>27</v>
      </c>
      <c r="E7615" s="136">
        <f t="shared" si="356"/>
        <v>30</v>
      </c>
      <c r="F7615" s="128" t="s">
        <v>24</v>
      </c>
      <c r="G7615" s="128" t="str">
        <f>VLOOKUP(source[[#This Row],[lending_product_transform]],[3]Mapping!$B$4:$C$37,2,0)</f>
        <v>[Cake] - Cashloan</v>
      </c>
      <c r="H7615" s="128" t="str">
        <f>VLOOKUP(source[[#This Row],[lending_product_transform]],[3]Mapping!$B$3:$D$37,3,0)</f>
        <v>cashloan</v>
      </c>
      <c r="I7615" s="135">
        <v>738870000</v>
      </c>
    </row>
    <row r="7616" spans="1:9" x14ac:dyDescent="0.2">
      <c r="A7616" s="134">
        <v>45838</v>
      </c>
      <c r="B7616" s="135">
        <f>YEAR(source[[#This Row],[report_date]])</f>
        <v>2025</v>
      </c>
      <c r="C7616" s="128">
        <f t="shared" si="355"/>
        <v>6</v>
      </c>
      <c r="D7616" s="136">
        <f t="shared" si="354"/>
        <v>27</v>
      </c>
      <c r="E7616" s="136">
        <f t="shared" si="356"/>
        <v>30</v>
      </c>
      <c r="F7616" s="128" t="s">
        <v>24</v>
      </c>
      <c r="G7616" s="128" t="str">
        <f>VLOOKUP(source[[#This Row],[lending_product_transform]],[3]Mapping!$B$4:$C$37,2,0)</f>
        <v>[Cake] - Cashloan</v>
      </c>
      <c r="H7616" s="128" t="str">
        <f>VLOOKUP(source[[#This Row],[lending_product_transform]],[3]Mapping!$B$3:$D$37,3,0)</f>
        <v>cashloan</v>
      </c>
      <c r="I7616" s="135">
        <v>1641010000</v>
      </c>
    </row>
    <row r="7617" spans="1:9" x14ac:dyDescent="0.2">
      <c r="A7617" s="134">
        <v>45838</v>
      </c>
      <c r="B7617" s="135">
        <f>YEAR(source[[#This Row],[report_date]])</f>
        <v>2025</v>
      </c>
      <c r="C7617" s="128">
        <f t="shared" si="355"/>
        <v>6</v>
      </c>
      <c r="D7617" s="136">
        <f t="shared" si="354"/>
        <v>27</v>
      </c>
      <c r="E7617" s="136">
        <f t="shared" si="356"/>
        <v>30</v>
      </c>
      <c r="F7617" s="128" t="s">
        <v>24</v>
      </c>
      <c r="G7617" s="128" t="str">
        <f>VLOOKUP(source[[#This Row],[lending_product_transform]],[3]Mapping!$B$4:$C$37,2,0)</f>
        <v>[Cake] - Cashloan</v>
      </c>
      <c r="H7617" s="128" t="str">
        <f>VLOOKUP(source[[#This Row],[lending_product_transform]],[3]Mapping!$B$3:$D$37,3,0)</f>
        <v>cashloan</v>
      </c>
      <c r="I7617" s="135">
        <v>332093000</v>
      </c>
    </row>
    <row r="7618" spans="1:9" x14ac:dyDescent="0.2">
      <c r="A7618" s="134">
        <v>45838</v>
      </c>
      <c r="B7618" s="135">
        <f>YEAR(source[[#This Row],[report_date]])</f>
        <v>2025</v>
      </c>
      <c r="C7618" s="128">
        <f t="shared" si="355"/>
        <v>6</v>
      </c>
      <c r="D7618" s="136">
        <f t="shared" si="354"/>
        <v>27</v>
      </c>
      <c r="E7618" s="136">
        <f t="shared" si="356"/>
        <v>30</v>
      </c>
      <c r="F7618" s="128" t="s">
        <v>24</v>
      </c>
      <c r="G7618" s="128" t="str">
        <f>VLOOKUP(source[[#This Row],[lending_product_transform]],[3]Mapping!$B$4:$C$37,2,0)</f>
        <v>[Cake] - Cashloan</v>
      </c>
      <c r="H7618" s="128" t="str">
        <f>VLOOKUP(source[[#This Row],[lending_product_transform]],[3]Mapping!$B$3:$D$37,3,0)</f>
        <v>cashloan</v>
      </c>
      <c r="I7618" s="135">
        <v>1773840000</v>
      </c>
    </row>
    <row r="7619" spans="1:9" x14ac:dyDescent="0.2">
      <c r="A7619" s="134">
        <v>45838</v>
      </c>
      <c r="B7619" s="135">
        <f>YEAR(source[[#This Row],[report_date]])</f>
        <v>2025</v>
      </c>
      <c r="C7619" s="128">
        <f t="shared" si="355"/>
        <v>6</v>
      </c>
      <c r="D7619" s="136">
        <f t="shared" ref="D7619:D7682" si="357">WEEKNUM(A7619,2)</f>
        <v>27</v>
      </c>
      <c r="E7619" s="136">
        <f t="shared" si="356"/>
        <v>30</v>
      </c>
      <c r="F7619" s="128" t="s">
        <v>24</v>
      </c>
      <c r="G7619" s="128" t="str">
        <f>VLOOKUP(source[[#This Row],[lending_product_transform]],[3]Mapping!$B$4:$C$37,2,0)</f>
        <v>[Cake] - Cashloan</v>
      </c>
      <c r="H7619" s="128" t="str">
        <f>VLOOKUP(source[[#This Row],[lending_product_transform]],[3]Mapping!$B$3:$D$37,3,0)</f>
        <v>cashloan</v>
      </c>
      <c r="I7619" s="135">
        <v>259399536</v>
      </c>
    </row>
    <row r="7620" spans="1:9" x14ac:dyDescent="0.2">
      <c r="A7620" s="134">
        <v>45838</v>
      </c>
      <c r="B7620" s="135">
        <f>YEAR(source[[#This Row],[report_date]])</f>
        <v>2025</v>
      </c>
      <c r="C7620" s="128">
        <f t="shared" si="355"/>
        <v>6</v>
      </c>
      <c r="D7620" s="136">
        <f t="shared" si="357"/>
        <v>27</v>
      </c>
      <c r="E7620" s="136">
        <f t="shared" si="356"/>
        <v>30</v>
      </c>
      <c r="F7620" s="128" t="s">
        <v>24</v>
      </c>
      <c r="G7620" s="128" t="str">
        <f>VLOOKUP(source[[#This Row],[lending_product_transform]],[3]Mapping!$B$4:$C$37,2,0)</f>
        <v>[Cake] - Cashloan</v>
      </c>
      <c r="H7620" s="128" t="str">
        <f>VLOOKUP(source[[#This Row],[lending_product_transform]],[3]Mapping!$B$3:$D$37,3,0)</f>
        <v>cashloan</v>
      </c>
      <c r="I7620" s="135">
        <v>357450135</v>
      </c>
    </row>
    <row r="7621" spans="1:9" x14ac:dyDescent="0.2">
      <c r="A7621" s="134">
        <v>45839</v>
      </c>
      <c r="B7621" s="135">
        <f>YEAR(source[[#This Row],[report_date]])</f>
        <v>2025</v>
      </c>
      <c r="C7621" s="128">
        <f t="shared" si="355"/>
        <v>7</v>
      </c>
      <c r="D7621" s="136">
        <f t="shared" si="357"/>
        <v>27</v>
      </c>
      <c r="E7621" s="136">
        <f t="shared" si="356"/>
        <v>1</v>
      </c>
      <c r="F7621" s="128" t="s">
        <v>24</v>
      </c>
      <c r="G7621" s="128" t="str">
        <f>VLOOKUP(source[[#This Row],[lending_product_transform]],[3]Mapping!$B$4:$C$37,2,0)</f>
        <v>[Cake] - Cashloan</v>
      </c>
      <c r="H7621" s="128" t="str">
        <f>VLOOKUP(source[[#This Row],[lending_product_transform]],[3]Mapping!$B$3:$D$37,3,0)</f>
        <v>cashloan</v>
      </c>
      <c r="I7621" s="135">
        <v>458920000</v>
      </c>
    </row>
    <row r="7622" spans="1:9" x14ac:dyDescent="0.2">
      <c r="A7622" s="134">
        <v>45839</v>
      </c>
      <c r="B7622" s="135">
        <f>YEAR(source[[#This Row],[report_date]])</f>
        <v>2025</v>
      </c>
      <c r="C7622" s="128">
        <f t="shared" si="355"/>
        <v>7</v>
      </c>
      <c r="D7622" s="136">
        <f t="shared" si="357"/>
        <v>27</v>
      </c>
      <c r="E7622" s="136">
        <f t="shared" si="356"/>
        <v>1</v>
      </c>
      <c r="F7622" s="128" t="s">
        <v>24</v>
      </c>
      <c r="G7622" s="128" t="str">
        <f>VLOOKUP(source[[#This Row],[lending_product_transform]],[3]Mapping!$B$4:$C$37,2,0)</f>
        <v>[Cake] - Cashloan</v>
      </c>
      <c r="H7622" s="128" t="str">
        <f>VLOOKUP(source[[#This Row],[lending_product_transform]],[3]Mapping!$B$3:$D$37,3,0)</f>
        <v>cashloan</v>
      </c>
      <c r="I7622" s="135">
        <v>1648580000</v>
      </c>
    </row>
    <row r="7623" spans="1:9" x14ac:dyDescent="0.2">
      <c r="A7623" s="134">
        <v>45839</v>
      </c>
      <c r="B7623" s="135">
        <f>YEAR(source[[#This Row],[report_date]])</f>
        <v>2025</v>
      </c>
      <c r="C7623" s="128">
        <f t="shared" si="355"/>
        <v>7</v>
      </c>
      <c r="D7623" s="136">
        <f t="shared" si="357"/>
        <v>27</v>
      </c>
      <c r="E7623" s="136">
        <f t="shared" si="356"/>
        <v>1</v>
      </c>
      <c r="F7623" s="128" t="s">
        <v>24</v>
      </c>
      <c r="G7623" s="128" t="str">
        <f>VLOOKUP(source[[#This Row],[lending_product_transform]],[3]Mapping!$B$4:$C$37,2,0)</f>
        <v>[Cake] - Cashloan</v>
      </c>
      <c r="H7623" s="128" t="str">
        <f>VLOOKUP(source[[#This Row],[lending_product_transform]],[3]Mapping!$B$3:$D$37,3,0)</f>
        <v>cashloan</v>
      </c>
      <c r="I7623" s="135">
        <v>1017803479</v>
      </c>
    </row>
    <row r="7624" spans="1:9" x14ac:dyDescent="0.2">
      <c r="A7624" s="134">
        <v>45839</v>
      </c>
      <c r="B7624" s="135">
        <f>YEAR(source[[#This Row],[report_date]])</f>
        <v>2025</v>
      </c>
      <c r="C7624" s="128">
        <f t="shared" si="355"/>
        <v>7</v>
      </c>
      <c r="D7624" s="136">
        <f t="shared" si="357"/>
        <v>27</v>
      </c>
      <c r="E7624" s="136">
        <f t="shared" si="356"/>
        <v>1</v>
      </c>
      <c r="F7624" s="128" t="s">
        <v>24</v>
      </c>
      <c r="G7624" s="128" t="str">
        <f>VLOOKUP(source[[#This Row],[lending_product_transform]],[3]Mapping!$B$4:$C$37,2,0)</f>
        <v>[Cake] - Cashloan</v>
      </c>
      <c r="H7624" s="128" t="str">
        <f>VLOOKUP(source[[#This Row],[lending_product_transform]],[3]Mapping!$B$3:$D$37,3,0)</f>
        <v>cashloan</v>
      </c>
      <c r="I7624" s="135">
        <v>1110790000</v>
      </c>
    </row>
    <row r="7625" spans="1:9" x14ac:dyDescent="0.2">
      <c r="A7625" s="134">
        <v>45839</v>
      </c>
      <c r="B7625" s="135">
        <f>YEAR(source[[#This Row],[report_date]])</f>
        <v>2025</v>
      </c>
      <c r="C7625" s="128">
        <f t="shared" si="355"/>
        <v>7</v>
      </c>
      <c r="D7625" s="136">
        <f t="shared" si="357"/>
        <v>27</v>
      </c>
      <c r="E7625" s="136">
        <f t="shared" si="356"/>
        <v>1</v>
      </c>
      <c r="F7625" s="128" t="s">
        <v>24</v>
      </c>
      <c r="G7625" s="128" t="str">
        <f>VLOOKUP(source[[#This Row],[lending_product_transform]],[3]Mapping!$B$4:$C$37,2,0)</f>
        <v>[Cake] - Cashloan</v>
      </c>
      <c r="H7625" s="128" t="str">
        <f>VLOOKUP(source[[#This Row],[lending_product_transform]],[3]Mapping!$B$3:$D$37,3,0)</f>
        <v>cashloan</v>
      </c>
      <c r="I7625" s="135">
        <v>0</v>
      </c>
    </row>
    <row r="7626" spans="1:9" x14ac:dyDescent="0.2">
      <c r="A7626" s="134">
        <v>45839</v>
      </c>
      <c r="B7626" s="135">
        <f>YEAR(source[[#This Row],[report_date]])</f>
        <v>2025</v>
      </c>
      <c r="C7626" s="128">
        <f t="shared" si="355"/>
        <v>7</v>
      </c>
      <c r="D7626" s="136">
        <f t="shared" si="357"/>
        <v>27</v>
      </c>
      <c r="E7626" s="136">
        <f t="shared" si="356"/>
        <v>1</v>
      </c>
      <c r="F7626" s="128" t="s">
        <v>24</v>
      </c>
      <c r="G7626" s="128" t="str">
        <f>VLOOKUP(source[[#This Row],[lending_product_transform]],[3]Mapping!$B$4:$C$37,2,0)</f>
        <v>[Cake] - Cashloan</v>
      </c>
      <c r="H7626" s="128" t="str">
        <f>VLOOKUP(source[[#This Row],[lending_product_transform]],[3]Mapping!$B$3:$D$37,3,0)</f>
        <v>cashloan</v>
      </c>
      <c r="I7626" s="135">
        <v>357850000</v>
      </c>
    </row>
    <row r="7627" spans="1:9" x14ac:dyDescent="0.2">
      <c r="A7627" s="134">
        <v>45839</v>
      </c>
      <c r="B7627" s="135">
        <f>YEAR(source[[#This Row],[report_date]])</f>
        <v>2025</v>
      </c>
      <c r="C7627" s="128">
        <f t="shared" si="355"/>
        <v>7</v>
      </c>
      <c r="D7627" s="136">
        <f t="shared" si="357"/>
        <v>27</v>
      </c>
      <c r="E7627" s="136">
        <f t="shared" si="356"/>
        <v>1</v>
      </c>
      <c r="F7627" s="128" t="s">
        <v>24</v>
      </c>
      <c r="G7627" s="128" t="str">
        <f>VLOOKUP(source[[#This Row],[lending_product_transform]],[3]Mapping!$B$4:$C$37,2,0)</f>
        <v>[Cake] - Cashloan</v>
      </c>
      <c r="H7627" s="128" t="str">
        <f>VLOOKUP(source[[#This Row],[lending_product_transform]],[3]Mapping!$B$3:$D$37,3,0)</f>
        <v>cashloan</v>
      </c>
      <c r="I7627" s="135">
        <v>0</v>
      </c>
    </row>
    <row r="7628" spans="1:9" x14ac:dyDescent="0.2">
      <c r="A7628" s="134">
        <v>45839</v>
      </c>
      <c r="B7628" s="135">
        <f>YEAR(source[[#This Row],[report_date]])</f>
        <v>2025</v>
      </c>
      <c r="C7628" s="128">
        <f t="shared" si="355"/>
        <v>7</v>
      </c>
      <c r="D7628" s="136">
        <f t="shared" si="357"/>
        <v>27</v>
      </c>
      <c r="E7628" s="136">
        <f t="shared" si="356"/>
        <v>1</v>
      </c>
      <c r="F7628" s="128" t="s">
        <v>24</v>
      </c>
      <c r="G7628" s="128" t="str">
        <f>VLOOKUP(source[[#This Row],[lending_product_transform]],[3]Mapping!$B$4:$C$37,2,0)</f>
        <v>[Cake] - Cashloan</v>
      </c>
      <c r="H7628" s="128" t="str">
        <f>VLOOKUP(source[[#This Row],[lending_product_transform]],[3]Mapping!$B$3:$D$37,3,0)</f>
        <v>cashloan</v>
      </c>
      <c r="I7628" s="135">
        <v>7088032604</v>
      </c>
    </row>
    <row r="7629" spans="1:9" x14ac:dyDescent="0.2">
      <c r="A7629" s="134">
        <v>45839</v>
      </c>
      <c r="B7629" s="135">
        <f>YEAR(source[[#This Row],[report_date]])</f>
        <v>2025</v>
      </c>
      <c r="C7629" s="128">
        <f t="shared" si="355"/>
        <v>7</v>
      </c>
      <c r="D7629" s="136">
        <f t="shared" si="357"/>
        <v>27</v>
      </c>
      <c r="E7629" s="136">
        <f t="shared" si="356"/>
        <v>1</v>
      </c>
      <c r="F7629" s="128" t="s">
        <v>24</v>
      </c>
      <c r="G7629" s="128" t="str">
        <f>VLOOKUP(source[[#This Row],[lending_product_transform]],[3]Mapping!$B$4:$C$37,2,0)</f>
        <v>[Cake] - Cashloan</v>
      </c>
      <c r="H7629" s="128" t="str">
        <f>VLOOKUP(source[[#This Row],[lending_product_transform]],[3]Mapping!$B$3:$D$37,3,0)</f>
        <v>cashloan</v>
      </c>
      <c r="I7629" s="135">
        <v>476748441</v>
      </c>
    </row>
    <row r="7630" spans="1:9" x14ac:dyDescent="0.2">
      <c r="A7630" s="134">
        <v>45839</v>
      </c>
      <c r="B7630" s="135">
        <f>YEAR(source[[#This Row],[report_date]])</f>
        <v>2025</v>
      </c>
      <c r="C7630" s="128">
        <f t="shared" si="355"/>
        <v>7</v>
      </c>
      <c r="D7630" s="136">
        <f t="shared" si="357"/>
        <v>27</v>
      </c>
      <c r="E7630" s="136">
        <f t="shared" si="356"/>
        <v>1</v>
      </c>
      <c r="F7630" s="128" t="s">
        <v>24</v>
      </c>
      <c r="G7630" s="128" t="str">
        <f>VLOOKUP(source[[#This Row],[lending_product_transform]],[3]Mapping!$B$4:$C$37,2,0)</f>
        <v>[Cake] - Cashloan</v>
      </c>
      <c r="H7630" s="128" t="str">
        <f>VLOOKUP(source[[#This Row],[lending_product_transform]],[3]Mapping!$B$3:$D$37,3,0)</f>
        <v>cashloan</v>
      </c>
      <c r="I7630" s="135">
        <v>12739180000</v>
      </c>
    </row>
    <row r="7631" spans="1:9" x14ac:dyDescent="0.2">
      <c r="A7631" s="134">
        <v>45839</v>
      </c>
      <c r="B7631" s="135">
        <f>YEAR(source[[#This Row],[report_date]])</f>
        <v>2025</v>
      </c>
      <c r="C7631" s="128">
        <f t="shared" si="355"/>
        <v>7</v>
      </c>
      <c r="D7631" s="136">
        <f t="shared" si="357"/>
        <v>27</v>
      </c>
      <c r="E7631" s="136">
        <f t="shared" si="356"/>
        <v>1</v>
      </c>
      <c r="F7631" s="128" t="s">
        <v>24</v>
      </c>
      <c r="G7631" s="128" t="str">
        <f>VLOOKUP(source[[#This Row],[lending_product_transform]],[3]Mapping!$B$4:$C$37,2,0)</f>
        <v>[Cake] - Cashloan</v>
      </c>
      <c r="H7631" s="128" t="str">
        <f>VLOOKUP(source[[#This Row],[lending_product_transform]],[3]Mapping!$B$3:$D$37,3,0)</f>
        <v>cashloan</v>
      </c>
      <c r="I7631" s="135">
        <v>5861592000</v>
      </c>
    </row>
    <row r="7632" spans="1:9" x14ac:dyDescent="0.2">
      <c r="A7632" s="134">
        <v>45839</v>
      </c>
      <c r="B7632" s="135">
        <f>YEAR(source[[#This Row],[report_date]])</f>
        <v>2025</v>
      </c>
      <c r="C7632" s="128">
        <f t="shared" si="355"/>
        <v>7</v>
      </c>
      <c r="D7632" s="136">
        <f t="shared" si="357"/>
        <v>27</v>
      </c>
      <c r="E7632" s="136">
        <f t="shared" si="356"/>
        <v>1</v>
      </c>
      <c r="F7632" s="128" t="s">
        <v>24</v>
      </c>
      <c r="G7632" s="128" t="str">
        <f>VLOOKUP(source[[#This Row],[lending_product_transform]],[3]Mapping!$B$4:$C$37,2,0)</f>
        <v>[Cake] - Cashloan</v>
      </c>
      <c r="H7632" s="128" t="str">
        <f>VLOOKUP(source[[#This Row],[lending_product_transform]],[3]Mapping!$B$3:$D$37,3,0)</f>
        <v>cashloan</v>
      </c>
      <c r="I7632" s="135">
        <v>5351470000</v>
      </c>
    </row>
    <row r="7633" spans="1:9" x14ac:dyDescent="0.2">
      <c r="A7633" s="134">
        <v>45839</v>
      </c>
      <c r="B7633" s="135">
        <f>YEAR(source[[#This Row],[report_date]])</f>
        <v>2025</v>
      </c>
      <c r="C7633" s="128">
        <f t="shared" si="355"/>
        <v>7</v>
      </c>
      <c r="D7633" s="136">
        <f t="shared" si="357"/>
        <v>27</v>
      </c>
      <c r="E7633" s="136">
        <f t="shared" si="356"/>
        <v>1</v>
      </c>
      <c r="F7633" s="128" t="s">
        <v>24</v>
      </c>
      <c r="G7633" s="128" t="str">
        <f>VLOOKUP(source[[#This Row],[lending_product_transform]],[3]Mapping!$B$4:$C$37,2,0)</f>
        <v>[Cake] - Cashloan</v>
      </c>
      <c r="H7633" s="128" t="str">
        <f>VLOOKUP(source[[#This Row],[lending_product_transform]],[3]Mapping!$B$3:$D$37,3,0)</f>
        <v>cashloan</v>
      </c>
      <c r="I7633" s="135">
        <v>0</v>
      </c>
    </row>
    <row r="7634" spans="1:9" x14ac:dyDescent="0.2">
      <c r="A7634" s="134">
        <v>45839</v>
      </c>
      <c r="B7634" s="135">
        <f>YEAR(source[[#This Row],[report_date]])</f>
        <v>2025</v>
      </c>
      <c r="C7634" s="128">
        <f t="shared" si="355"/>
        <v>7</v>
      </c>
      <c r="D7634" s="136">
        <f t="shared" si="357"/>
        <v>27</v>
      </c>
      <c r="E7634" s="136">
        <f t="shared" si="356"/>
        <v>1</v>
      </c>
      <c r="F7634" s="128" t="s">
        <v>24</v>
      </c>
      <c r="G7634" s="128" t="str">
        <f>VLOOKUP(source[[#This Row],[lending_product_transform]],[3]Mapping!$B$4:$C$37,2,0)</f>
        <v>[Cake] - Cashloan</v>
      </c>
      <c r="H7634" s="128" t="str">
        <f>VLOOKUP(source[[#This Row],[lending_product_transform]],[3]Mapping!$B$3:$D$37,3,0)</f>
        <v>cashloan</v>
      </c>
      <c r="I7634" s="135">
        <v>12000000</v>
      </c>
    </row>
    <row r="7635" spans="1:9" x14ac:dyDescent="0.2">
      <c r="A7635" s="134">
        <v>45839</v>
      </c>
      <c r="B7635" s="135">
        <f>YEAR(source[[#This Row],[report_date]])</f>
        <v>2025</v>
      </c>
      <c r="C7635" s="128">
        <f t="shared" si="355"/>
        <v>7</v>
      </c>
      <c r="D7635" s="136">
        <f t="shared" si="357"/>
        <v>27</v>
      </c>
      <c r="E7635" s="136">
        <f t="shared" si="356"/>
        <v>1</v>
      </c>
      <c r="F7635" s="128" t="s">
        <v>24</v>
      </c>
      <c r="G7635" s="128" t="str">
        <f>VLOOKUP(source[[#This Row],[lending_product_transform]],[3]Mapping!$B$4:$C$37,2,0)</f>
        <v>[Cake] - Cashloan</v>
      </c>
      <c r="H7635" s="128" t="str">
        <f>VLOOKUP(source[[#This Row],[lending_product_transform]],[3]Mapping!$B$3:$D$37,3,0)</f>
        <v>cashloan</v>
      </c>
      <c r="I7635" s="135">
        <v>244795714</v>
      </c>
    </row>
    <row r="7636" spans="1:9" x14ac:dyDescent="0.2">
      <c r="A7636" s="134">
        <v>45839</v>
      </c>
      <c r="B7636" s="135">
        <f>YEAR(source[[#This Row],[report_date]])</f>
        <v>2025</v>
      </c>
      <c r="C7636" s="128">
        <f t="shared" si="355"/>
        <v>7</v>
      </c>
      <c r="D7636" s="136">
        <f t="shared" si="357"/>
        <v>27</v>
      </c>
      <c r="E7636" s="136">
        <f t="shared" si="356"/>
        <v>1</v>
      </c>
      <c r="F7636" s="128" t="s">
        <v>24</v>
      </c>
      <c r="G7636" s="128" t="str">
        <f>VLOOKUP(source[[#This Row],[lending_product_transform]],[3]Mapping!$B$4:$C$37,2,0)</f>
        <v>[Cake] - Cashloan</v>
      </c>
      <c r="H7636" s="128" t="str">
        <f>VLOOKUP(source[[#This Row],[lending_product_transform]],[3]Mapping!$B$3:$D$37,3,0)</f>
        <v>cashloan</v>
      </c>
      <c r="I7636" s="135">
        <v>63437463</v>
      </c>
    </row>
    <row r="7637" spans="1:9" x14ac:dyDescent="0.2">
      <c r="A7637" s="134">
        <v>45839</v>
      </c>
      <c r="B7637" s="135">
        <f>YEAR(source[[#This Row],[report_date]])</f>
        <v>2025</v>
      </c>
      <c r="C7637" s="128">
        <f t="shared" si="355"/>
        <v>7</v>
      </c>
      <c r="D7637" s="136">
        <f t="shared" si="357"/>
        <v>27</v>
      </c>
      <c r="E7637" s="136">
        <f t="shared" si="356"/>
        <v>1</v>
      </c>
      <c r="F7637" s="128" t="s">
        <v>24</v>
      </c>
      <c r="G7637" s="128" t="str">
        <f>VLOOKUP(source[[#This Row],[lending_product_transform]],[3]Mapping!$B$4:$C$37,2,0)</f>
        <v>[Cake] - Cashloan</v>
      </c>
      <c r="H7637" s="128" t="str">
        <f>VLOOKUP(source[[#This Row],[lending_product_transform]],[3]Mapping!$B$3:$D$37,3,0)</f>
        <v>cashloan</v>
      </c>
      <c r="I7637" s="135">
        <v>0</v>
      </c>
    </row>
    <row r="7638" spans="1:9" x14ac:dyDescent="0.2">
      <c r="A7638" s="134">
        <v>45839</v>
      </c>
      <c r="B7638" s="135">
        <f>YEAR(source[[#This Row],[report_date]])</f>
        <v>2025</v>
      </c>
      <c r="C7638" s="128">
        <f t="shared" si="355"/>
        <v>7</v>
      </c>
      <c r="D7638" s="136">
        <f t="shared" si="357"/>
        <v>27</v>
      </c>
      <c r="E7638" s="136">
        <f t="shared" si="356"/>
        <v>1</v>
      </c>
      <c r="F7638" s="128" t="s">
        <v>24</v>
      </c>
      <c r="G7638" s="128" t="str">
        <f>VLOOKUP(source[[#This Row],[lending_product_transform]],[3]Mapping!$B$4:$C$37,2,0)</f>
        <v>[Cake] - Cashloan</v>
      </c>
      <c r="H7638" s="128" t="str">
        <f>VLOOKUP(source[[#This Row],[lending_product_transform]],[3]Mapping!$B$3:$D$37,3,0)</f>
        <v>cashloan</v>
      </c>
      <c r="I7638" s="135">
        <v>0</v>
      </c>
    </row>
    <row r="7639" spans="1:9" x14ac:dyDescent="0.2">
      <c r="A7639" s="134">
        <v>45839</v>
      </c>
      <c r="B7639" s="135">
        <f>YEAR(source[[#This Row],[report_date]])</f>
        <v>2025</v>
      </c>
      <c r="C7639" s="128">
        <f t="shared" si="355"/>
        <v>7</v>
      </c>
      <c r="D7639" s="136">
        <f t="shared" si="357"/>
        <v>27</v>
      </c>
      <c r="E7639" s="136">
        <f t="shared" si="356"/>
        <v>1</v>
      </c>
      <c r="F7639" s="128" t="s">
        <v>24</v>
      </c>
      <c r="G7639" s="128" t="str">
        <f>VLOOKUP(source[[#This Row],[lending_product_transform]],[3]Mapping!$B$4:$C$37,2,0)</f>
        <v>[Cake] - Cashloan</v>
      </c>
      <c r="H7639" s="128" t="str">
        <f>VLOOKUP(source[[#This Row],[lending_product_transform]],[3]Mapping!$B$3:$D$37,3,0)</f>
        <v>cashloan</v>
      </c>
      <c r="I7639" s="135">
        <v>0</v>
      </c>
    </row>
    <row r="7640" spans="1:9" x14ac:dyDescent="0.2">
      <c r="A7640" s="134">
        <v>45840</v>
      </c>
      <c r="B7640" s="135">
        <f>YEAR(source[[#This Row],[report_date]])</f>
        <v>2025</v>
      </c>
      <c r="C7640" s="128">
        <f t="shared" si="355"/>
        <v>7</v>
      </c>
      <c r="D7640" s="136">
        <f t="shared" si="357"/>
        <v>27</v>
      </c>
      <c r="E7640" s="136">
        <f t="shared" si="356"/>
        <v>2</v>
      </c>
      <c r="F7640" s="128" t="s">
        <v>24</v>
      </c>
      <c r="G7640" s="128" t="str">
        <f>VLOOKUP(source[[#This Row],[lending_product_transform]],[3]Mapping!$B$4:$C$37,2,0)</f>
        <v>[Cake] - Cashloan</v>
      </c>
      <c r="H7640" s="128" t="str">
        <f>VLOOKUP(source[[#This Row],[lending_product_transform]],[3]Mapping!$B$3:$D$37,3,0)</f>
        <v>cashloan</v>
      </c>
      <c r="I7640" s="135">
        <v>13389180000</v>
      </c>
    </row>
    <row r="7641" spans="1:9" x14ac:dyDescent="0.2">
      <c r="A7641" s="134">
        <v>45840</v>
      </c>
      <c r="B7641" s="135">
        <f>YEAR(source[[#This Row],[report_date]])</f>
        <v>2025</v>
      </c>
      <c r="C7641" s="128">
        <f t="shared" si="355"/>
        <v>7</v>
      </c>
      <c r="D7641" s="136">
        <f t="shared" si="357"/>
        <v>27</v>
      </c>
      <c r="E7641" s="136">
        <f t="shared" si="356"/>
        <v>2</v>
      </c>
      <c r="F7641" s="128" t="s">
        <v>24</v>
      </c>
      <c r="G7641" s="128" t="str">
        <f>VLOOKUP(source[[#This Row],[lending_product_transform]],[3]Mapping!$B$4:$C$37,2,0)</f>
        <v>[Cake] - Cashloan</v>
      </c>
      <c r="H7641" s="128" t="str">
        <f>VLOOKUP(source[[#This Row],[lending_product_transform]],[3]Mapping!$B$3:$D$37,3,0)</f>
        <v>cashloan</v>
      </c>
      <c r="I7641" s="135">
        <v>884202279</v>
      </c>
    </row>
    <row r="7642" spans="1:9" x14ac:dyDescent="0.2">
      <c r="A7642" s="134">
        <v>45840</v>
      </c>
      <c r="B7642" s="135">
        <f>YEAR(source[[#This Row],[report_date]])</f>
        <v>2025</v>
      </c>
      <c r="C7642" s="128">
        <f t="shared" si="355"/>
        <v>7</v>
      </c>
      <c r="D7642" s="136">
        <f t="shared" si="357"/>
        <v>27</v>
      </c>
      <c r="E7642" s="136">
        <f t="shared" si="356"/>
        <v>2</v>
      </c>
      <c r="F7642" s="128" t="s">
        <v>24</v>
      </c>
      <c r="G7642" s="128" t="str">
        <f>VLOOKUP(source[[#This Row],[lending_product_transform]],[3]Mapping!$B$4:$C$37,2,0)</f>
        <v>[Cake] - Cashloan</v>
      </c>
      <c r="H7642" s="128" t="str">
        <f>VLOOKUP(source[[#This Row],[lending_product_transform]],[3]Mapping!$B$3:$D$37,3,0)</f>
        <v>cashloan</v>
      </c>
      <c r="I7642" s="135">
        <v>0</v>
      </c>
    </row>
    <row r="7643" spans="1:9" x14ac:dyDescent="0.2">
      <c r="A7643" s="134">
        <v>45840</v>
      </c>
      <c r="B7643" s="135">
        <f>YEAR(source[[#This Row],[report_date]])</f>
        <v>2025</v>
      </c>
      <c r="C7643" s="128">
        <f t="shared" si="355"/>
        <v>7</v>
      </c>
      <c r="D7643" s="136">
        <f t="shared" si="357"/>
        <v>27</v>
      </c>
      <c r="E7643" s="136">
        <f t="shared" si="356"/>
        <v>2</v>
      </c>
      <c r="F7643" s="128" t="s">
        <v>24</v>
      </c>
      <c r="G7643" s="128" t="str">
        <f>VLOOKUP(source[[#This Row],[lending_product_transform]],[3]Mapping!$B$4:$C$37,2,0)</f>
        <v>[Cake] - Cashloan</v>
      </c>
      <c r="H7643" s="128" t="str">
        <f>VLOOKUP(source[[#This Row],[lending_product_transform]],[3]Mapping!$B$3:$D$37,3,0)</f>
        <v>cashloan</v>
      </c>
      <c r="I7643" s="135">
        <v>487840000</v>
      </c>
    </row>
    <row r="7644" spans="1:9" x14ac:dyDescent="0.2">
      <c r="A7644" s="134">
        <v>45840</v>
      </c>
      <c r="B7644" s="135">
        <f>YEAR(source[[#This Row],[report_date]])</f>
        <v>2025</v>
      </c>
      <c r="C7644" s="128">
        <f t="shared" si="355"/>
        <v>7</v>
      </c>
      <c r="D7644" s="136">
        <f t="shared" si="357"/>
        <v>27</v>
      </c>
      <c r="E7644" s="136">
        <f t="shared" si="356"/>
        <v>2</v>
      </c>
      <c r="F7644" s="128" t="s">
        <v>24</v>
      </c>
      <c r="G7644" s="128" t="str">
        <f>VLOOKUP(source[[#This Row],[lending_product_transform]],[3]Mapping!$B$4:$C$37,2,0)</f>
        <v>[Cake] - Cashloan</v>
      </c>
      <c r="H7644" s="128" t="str">
        <f>VLOOKUP(source[[#This Row],[lending_product_transform]],[3]Mapping!$B$3:$D$37,3,0)</f>
        <v>cashloan</v>
      </c>
      <c r="I7644" s="135">
        <v>22500000</v>
      </c>
    </row>
    <row r="7645" spans="1:9" x14ac:dyDescent="0.2">
      <c r="A7645" s="134">
        <v>45840</v>
      </c>
      <c r="B7645" s="135">
        <f>YEAR(source[[#This Row],[report_date]])</f>
        <v>2025</v>
      </c>
      <c r="C7645" s="128">
        <f t="shared" si="355"/>
        <v>7</v>
      </c>
      <c r="D7645" s="136">
        <f t="shared" si="357"/>
        <v>27</v>
      </c>
      <c r="E7645" s="136">
        <f t="shared" si="356"/>
        <v>2</v>
      </c>
      <c r="F7645" s="128" t="s">
        <v>24</v>
      </c>
      <c r="G7645" s="128" t="str">
        <f>VLOOKUP(source[[#This Row],[lending_product_transform]],[3]Mapping!$B$4:$C$37,2,0)</f>
        <v>[Cake] - Cashloan</v>
      </c>
      <c r="H7645" s="128" t="str">
        <f>VLOOKUP(source[[#This Row],[lending_product_transform]],[3]Mapping!$B$3:$D$37,3,0)</f>
        <v>cashloan</v>
      </c>
      <c r="I7645" s="135">
        <v>815150000</v>
      </c>
    </row>
    <row r="7646" spans="1:9" x14ac:dyDescent="0.2">
      <c r="A7646" s="134">
        <v>45840</v>
      </c>
      <c r="B7646" s="135">
        <f>YEAR(source[[#This Row],[report_date]])</f>
        <v>2025</v>
      </c>
      <c r="C7646" s="128">
        <f t="shared" si="355"/>
        <v>7</v>
      </c>
      <c r="D7646" s="136">
        <f t="shared" si="357"/>
        <v>27</v>
      </c>
      <c r="E7646" s="136">
        <f t="shared" si="356"/>
        <v>2</v>
      </c>
      <c r="F7646" s="128" t="s">
        <v>24</v>
      </c>
      <c r="G7646" s="128" t="str">
        <f>VLOOKUP(source[[#This Row],[lending_product_transform]],[3]Mapping!$B$4:$C$37,2,0)</f>
        <v>[Cake] - Cashloan</v>
      </c>
      <c r="H7646" s="128" t="str">
        <f>VLOOKUP(source[[#This Row],[lending_product_transform]],[3]Mapping!$B$3:$D$37,3,0)</f>
        <v>cashloan</v>
      </c>
      <c r="I7646" s="135">
        <v>0</v>
      </c>
    </row>
    <row r="7647" spans="1:9" x14ac:dyDescent="0.2">
      <c r="A7647" s="134">
        <v>45840</v>
      </c>
      <c r="B7647" s="135">
        <f>YEAR(source[[#This Row],[report_date]])</f>
        <v>2025</v>
      </c>
      <c r="C7647" s="128">
        <f t="shared" si="355"/>
        <v>7</v>
      </c>
      <c r="D7647" s="136">
        <f t="shared" si="357"/>
        <v>27</v>
      </c>
      <c r="E7647" s="136">
        <f t="shared" si="356"/>
        <v>2</v>
      </c>
      <c r="F7647" s="128" t="s">
        <v>24</v>
      </c>
      <c r="G7647" s="128" t="str">
        <f>VLOOKUP(source[[#This Row],[lending_product_transform]],[3]Mapping!$B$4:$C$37,2,0)</f>
        <v>[Cake] - Cashloan</v>
      </c>
      <c r="H7647" s="128" t="str">
        <f>VLOOKUP(source[[#This Row],[lending_product_transform]],[3]Mapping!$B$3:$D$37,3,0)</f>
        <v>cashloan</v>
      </c>
      <c r="I7647" s="135">
        <v>5647684016</v>
      </c>
    </row>
    <row r="7648" spans="1:9" x14ac:dyDescent="0.2">
      <c r="A7648" s="134">
        <v>45840</v>
      </c>
      <c r="B7648" s="135">
        <f>YEAR(source[[#This Row],[report_date]])</f>
        <v>2025</v>
      </c>
      <c r="C7648" s="128">
        <f t="shared" si="355"/>
        <v>7</v>
      </c>
      <c r="D7648" s="136">
        <f t="shared" si="357"/>
        <v>27</v>
      </c>
      <c r="E7648" s="136">
        <f t="shared" si="356"/>
        <v>2</v>
      </c>
      <c r="F7648" s="128" t="s">
        <v>24</v>
      </c>
      <c r="G7648" s="128" t="str">
        <f>VLOOKUP(source[[#This Row],[lending_product_transform]],[3]Mapping!$B$4:$C$37,2,0)</f>
        <v>[Cake] - Cashloan</v>
      </c>
      <c r="H7648" s="128" t="str">
        <f>VLOOKUP(source[[#This Row],[lending_product_transform]],[3]Mapping!$B$3:$D$37,3,0)</f>
        <v>cashloan</v>
      </c>
      <c r="I7648" s="135">
        <v>526491633</v>
      </c>
    </row>
    <row r="7649" spans="1:9" x14ac:dyDescent="0.2">
      <c r="A7649" s="134">
        <v>45840</v>
      </c>
      <c r="B7649" s="135">
        <f>YEAR(source[[#This Row],[report_date]])</f>
        <v>2025</v>
      </c>
      <c r="C7649" s="128">
        <f t="shared" si="355"/>
        <v>7</v>
      </c>
      <c r="D7649" s="136">
        <f t="shared" si="357"/>
        <v>27</v>
      </c>
      <c r="E7649" s="136">
        <f t="shared" si="356"/>
        <v>2</v>
      </c>
      <c r="F7649" s="128" t="s">
        <v>24</v>
      </c>
      <c r="G7649" s="128" t="str">
        <f>VLOOKUP(source[[#This Row],[lending_product_transform]],[3]Mapping!$B$4:$C$37,2,0)</f>
        <v>[Cake] - Cashloan</v>
      </c>
      <c r="H7649" s="128" t="str">
        <f>VLOOKUP(source[[#This Row],[lending_product_transform]],[3]Mapping!$B$3:$D$37,3,0)</f>
        <v>cashloan</v>
      </c>
      <c r="I7649" s="135">
        <v>0</v>
      </c>
    </row>
    <row r="7650" spans="1:9" x14ac:dyDescent="0.2">
      <c r="A7650" s="134">
        <v>45840</v>
      </c>
      <c r="B7650" s="135">
        <f>YEAR(source[[#This Row],[report_date]])</f>
        <v>2025</v>
      </c>
      <c r="C7650" s="128">
        <f t="shared" si="355"/>
        <v>7</v>
      </c>
      <c r="D7650" s="136">
        <f t="shared" si="357"/>
        <v>27</v>
      </c>
      <c r="E7650" s="136">
        <f t="shared" si="356"/>
        <v>2</v>
      </c>
      <c r="F7650" s="128" t="s">
        <v>24</v>
      </c>
      <c r="G7650" s="128" t="str">
        <f>VLOOKUP(source[[#This Row],[lending_product_transform]],[3]Mapping!$B$4:$C$37,2,0)</f>
        <v>[Cake] - Cashloan</v>
      </c>
      <c r="H7650" s="128" t="str">
        <f>VLOOKUP(source[[#This Row],[lending_product_transform]],[3]Mapping!$B$3:$D$37,3,0)</f>
        <v>cashloan</v>
      </c>
      <c r="I7650" s="135">
        <v>270950520</v>
      </c>
    </row>
    <row r="7651" spans="1:9" x14ac:dyDescent="0.2">
      <c r="A7651" s="134">
        <v>45840</v>
      </c>
      <c r="B7651" s="135">
        <f>YEAR(source[[#This Row],[report_date]])</f>
        <v>2025</v>
      </c>
      <c r="C7651" s="128">
        <f t="shared" si="355"/>
        <v>7</v>
      </c>
      <c r="D7651" s="136">
        <f t="shared" si="357"/>
        <v>27</v>
      </c>
      <c r="E7651" s="136">
        <f t="shared" si="356"/>
        <v>2</v>
      </c>
      <c r="F7651" s="128" t="s">
        <v>24</v>
      </c>
      <c r="G7651" s="128" t="str">
        <f>VLOOKUP(source[[#This Row],[lending_product_transform]],[3]Mapping!$B$4:$C$37,2,0)</f>
        <v>[Cake] - Cashloan</v>
      </c>
      <c r="H7651" s="128" t="str">
        <f>VLOOKUP(source[[#This Row],[lending_product_transform]],[3]Mapping!$B$3:$D$37,3,0)</f>
        <v>cashloan</v>
      </c>
      <c r="I7651" s="135">
        <v>6096276000</v>
      </c>
    </row>
    <row r="7652" spans="1:9" x14ac:dyDescent="0.2">
      <c r="A7652" s="134">
        <v>45840</v>
      </c>
      <c r="B7652" s="135">
        <f>YEAR(source[[#This Row],[report_date]])</f>
        <v>2025</v>
      </c>
      <c r="C7652" s="128">
        <f t="shared" si="355"/>
        <v>7</v>
      </c>
      <c r="D7652" s="136">
        <f t="shared" si="357"/>
        <v>27</v>
      </c>
      <c r="E7652" s="136">
        <f t="shared" si="356"/>
        <v>2</v>
      </c>
      <c r="F7652" s="128" t="s">
        <v>24</v>
      </c>
      <c r="G7652" s="128" t="str">
        <f>VLOOKUP(source[[#This Row],[lending_product_transform]],[3]Mapping!$B$4:$C$37,2,0)</f>
        <v>[Cake] - Cashloan</v>
      </c>
      <c r="H7652" s="128" t="str">
        <f>VLOOKUP(source[[#This Row],[lending_product_transform]],[3]Mapping!$B$3:$D$37,3,0)</f>
        <v>cashloan</v>
      </c>
      <c r="I7652" s="135">
        <v>43514718</v>
      </c>
    </row>
    <row r="7653" spans="1:9" x14ac:dyDescent="0.2">
      <c r="A7653" s="134">
        <v>45840</v>
      </c>
      <c r="B7653" s="135">
        <f>YEAR(source[[#This Row],[report_date]])</f>
        <v>2025</v>
      </c>
      <c r="C7653" s="128">
        <f t="shared" si="355"/>
        <v>7</v>
      </c>
      <c r="D7653" s="136">
        <f t="shared" si="357"/>
        <v>27</v>
      </c>
      <c r="E7653" s="136">
        <f t="shared" si="356"/>
        <v>2</v>
      </c>
      <c r="F7653" s="128" t="s">
        <v>24</v>
      </c>
      <c r="G7653" s="128" t="str">
        <f>VLOOKUP(source[[#This Row],[lending_product_transform]],[3]Mapping!$B$4:$C$37,2,0)</f>
        <v>[Cake] - Cashloan</v>
      </c>
      <c r="H7653" s="128" t="str">
        <f>VLOOKUP(source[[#This Row],[lending_product_transform]],[3]Mapping!$B$3:$D$37,3,0)</f>
        <v>cashloan</v>
      </c>
      <c r="I7653" s="135">
        <v>24147090000</v>
      </c>
    </row>
    <row r="7654" spans="1:9" x14ac:dyDescent="0.2">
      <c r="A7654" s="134">
        <v>45840</v>
      </c>
      <c r="B7654" s="135">
        <f>YEAR(source[[#This Row],[report_date]])</f>
        <v>2025</v>
      </c>
      <c r="C7654" s="128">
        <f t="shared" si="355"/>
        <v>7</v>
      </c>
      <c r="D7654" s="136">
        <f t="shared" si="357"/>
        <v>27</v>
      </c>
      <c r="E7654" s="136">
        <f t="shared" si="356"/>
        <v>2</v>
      </c>
      <c r="F7654" s="128" t="s">
        <v>24</v>
      </c>
      <c r="G7654" s="128" t="str">
        <f>VLOOKUP(source[[#This Row],[lending_product_transform]],[3]Mapping!$B$4:$C$37,2,0)</f>
        <v>[Cake] - Cashloan</v>
      </c>
      <c r="H7654" s="128" t="str">
        <f>VLOOKUP(source[[#This Row],[lending_product_transform]],[3]Mapping!$B$3:$D$37,3,0)</f>
        <v>cashloan</v>
      </c>
      <c r="I7654" s="135">
        <v>3927000000</v>
      </c>
    </row>
    <row r="7655" spans="1:9" x14ac:dyDescent="0.2">
      <c r="A7655" s="134">
        <v>45840</v>
      </c>
      <c r="B7655" s="135">
        <f>YEAR(source[[#This Row],[report_date]])</f>
        <v>2025</v>
      </c>
      <c r="C7655" s="128">
        <f t="shared" si="355"/>
        <v>7</v>
      </c>
      <c r="D7655" s="136">
        <f t="shared" si="357"/>
        <v>27</v>
      </c>
      <c r="E7655" s="136">
        <f t="shared" si="356"/>
        <v>2</v>
      </c>
      <c r="F7655" s="128" t="s">
        <v>24</v>
      </c>
      <c r="G7655" s="128" t="str">
        <f>VLOOKUP(source[[#This Row],[lending_product_transform]],[3]Mapping!$B$4:$C$37,2,0)</f>
        <v>[Cake] - Cashloan</v>
      </c>
      <c r="H7655" s="128" t="str">
        <f>VLOOKUP(source[[#This Row],[lending_product_transform]],[3]Mapping!$B$3:$D$37,3,0)</f>
        <v>cashloan</v>
      </c>
      <c r="I7655" s="135">
        <v>0</v>
      </c>
    </row>
    <row r="7656" spans="1:9" x14ac:dyDescent="0.2">
      <c r="A7656" s="134">
        <v>45840</v>
      </c>
      <c r="B7656" s="135">
        <f>YEAR(source[[#This Row],[report_date]])</f>
        <v>2025</v>
      </c>
      <c r="C7656" s="128">
        <f t="shared" si="355"/>
        <v>7</v>
      </c>
      <c r="D7656" s="136">
        <f t="shared" si="357"/>
        <v>27</v>
      </c>
      <c r="E7656" s="136">
        <f t="shared" si="356"/>
        <v>2</v>
      </c>
      <c r="F7656" s="128" t="s">
        <v>24</v>
      </c>
      <c r="G7656" s="128" t="str">
        <f>VLOOKUP(source[[#This Row],[lending_product_transform]],[3]Mapping!$B$4:$C$37,2,0)</f>
        <v>[Cake] - Cashloan</v>
      </c>
      <c r="H7656" s="128" t="str">
        <f>VLOOKUP(source[[#This Row],[lending_product_transform]],[3]Mapping!$B$3:$D$37,3,0)</f>
        <v>cashloan</v>
      </c>
      <c r="I7656" s="135">
        <v>0</v>
      </c>
    </row>
    <row r="7657" spans="1:9" x14ac:dyDescent="0.2">
      <c r="A7657" s="134">
        <v>45840</v>
      </c>
      <c r="B7657" s="135">
        <f>YEAR(source[[#This Row],[report_date]])</f>
        <v>2025</v>
      </c>
      <c r="C7657" s="128">
        <f t="shared" si="355"/>
        <v>7</v>
      </c>
      <c r="D7657" s="136">
        <f t="shared" si="357"/>
        <v>27</v>
      </c>
      <c r="E7657" s="136">
        <f t="shared" si="356"/>
        <v>2</v>
      </c>
      <c r="F7657" s="128" t="s">
        <v>24</v>
      </c>
      <c r="G7657" s="128" t="str">
        <f>VLOOKUP(source[[#This Row],[lending_product_transform]],[3]Mapping!$B$4:$C$37,2,0)</f>
        <v>[Cake] - Cashloan</v>
      </c>
      <c r="H7657" s="128" t="str">
        <f>VLOOKUP(source[[#This Row],[lending_product_transform]],[3]Mapping!$B$3:$D$37,3,0)</f>
        <v>cashloan</v>
      </c>
      <c r="I7657" s="135">
        <v>0</v>
      </c>
    </row>
    <row r="7658" spans="1:9" x14ac:dyDescent="0.2">
      <c r="A7658" s="134">
        <v>45840</v>
      </c>
      <c r="B7658" s="135">
        <f>YEAR(source[[#This Row],[report_date]])</f>
        <v>2025</v>
      </c>
      <c r="C7658" s="128">
        <f t="shared" si="355"/>
        <v>7</v>
      </c>
      <c r="D7658" s="136">
        <f t="shared" si="357"/>
        <v>27</v>
      </c>
      <c r="E7658" s="136">
        <f t="shared" si="356"/>
        <v>2</v>
      </c>
      <c r="F7658" s="128" t="s">
        <v>24</v>
      </c>
      <c r="G7658" s="128" t="str">
        <f>VLOOKUP(source[[#This Row],[lending_product_transform]],[3]Mapping!$B$4:$C$37,2,0)</f>
        <v>[Cake] - Cashloan</v>
      </c>
      <c r="H7658" s="128" t="str">
        <f>VLOOKUP(source[[#This Row],[lending_product_transform]],[3]Mapping!$B$3:$D$37,3,0)</f>
        <v>cashloan</v>
      </c>
      <c r="I7658" s="135">
        <v>361323000</v>
      </c>
    </row>
    <row r="7659" spans="1:9" x14ac:dyDescent="0.2">
      <c r="A7659" s="134">
        <v>45841</v>
      </c>
      <c r="B7659" s="135">
        <f>YEAR(source[[#This Row],[report_date]])</f>
        <v>2025</v>
      </c>
      <c r="C7659" s="128">
        <f t="shared" si="355"/>
        <v>7</v>
      </c>
      <c r="D7659" s="136">
        <f t="shared" si="357"/>
        <v>27</v>
      </c>
      <c r="E7659" s="136">
        <f t="shared" si="356"/>
        <v>3</v>
      </c>
      <c r="F7659" s="128" t="s">
        <v>24</v>
      </c>
      <c r="G7659" s="128" t="str">
        <f>VLOOKUP(source[[#This Row],[lending_product_transform]],[3]Mapping!$B$4:$C$37,2,0)</f>
        <v>[Cake] - Cashloan</v>
      </c>
      <c r="H7659" s="128" t="str">
        <f>VLOOKUP(source[[#This Row],[lending_product_transform]],[3]Mapping!$B$3:$D$37,3,0)</f>
        <v>cashloan</v>
      </c>
      <c r="I7659" s="135">
        <v>562060000</v>
      </c>
    </row>
    <row r="7660" spans="1:9" x14ac:dyDescent="0.2">
      <c r="A7660" s="134">
        <v>45841</v>
      </c>
      <c r="B7660" s="135">
        <f>YEAR(source[[#This Row],[report_date]])</f>
        <v>2025</v>
      </c>
      <c r="C7660" s="128">
        <f t="shared" si="355"/>
        <v>7</v>
      </c>
      <c r="D7660" s="136">
        <f t="shared" si="357"/>
        <v>27</v>
      </c>
      <c r="E7660" s="136">
        <f t="shared" si="356"/>
        <v>3</v>
      </c>
      <c r="F7660" s="128" t="s">
        <v>24</v>
      </c>
      <c r="G7660" s="128" t="str">
        <f>VLOOKUP(source[[#This Row],[lending_product_transform]],[3]Mapping!$B$4:$C$37,2,0)</f>
        <v>[Cake] - Cashloan</v>
      </c>
      <c r="H7660" s="128" t="str">
        <f>VLOOKUP(source[[#This Row],[lending_product_transform]],[3]Mapping!$B$3:$D$37,3,0)</f>
        <v>cashloan</v>
      </c>
      <c r="I7660" s="135">
        <v>630890000</v>
      </c>
    </row>
    <row r="7661" spans="1:9" x14ac:dyDescent="0.2">
      <c r="A7661" s="134">
        <v>45841</v>
      </c>
      <c r="B7661" s="135">
        <f>YEAR(source[[#This Row],[report_date]])</f>
        <v>2025</v>
      </c>
      <c r="C7661" s="128">
        <f t="shared" si="355"/>
        <v>7</v>
      </c>
      <c r="D7661" s="136">
        <f t="shared" si="357"/>
        <v>27</v>
      </c>
      <c r="E7661" s="136">
        <f t="shared" si="356"/>
        <v>3</v>
      </c>
      <c r="F7661" s="128" t="s">
        <v>24</v>
      </c>
      <c r="G7661" s="128" t="str">
        <f>VLOOKUP(source[[#This Row],[lending_product_transform]],[3]Mapping!$B$4:$C$37,2,0)</f>
        <v>[Cake] - Cashloan</v>
      </c>
      <c r="H7661" s="128" t="str">
        <f>VLOOKUP(source[[#This Row],[lending_product_transform]],[3]Mapping!$B$3:$D$37,3,0)</f>
        <v>cashloan</v>
      </c>
      <c r="I7661" s="135">
        <v>21000000</v>
      </c>
    </row>
    <row r="7662" spans="1:9" x14ac:dyDescent="0.2">
      <c r="A7662" s="134">
        <v>45841</v>
      </c>
      <c r="B7662" s="135">
        <f>YEAR(source[[#This Row],[report_date]])</f>
        <v>2025</v>
      </c>
      <c r="C7662" s="128">
        <f t="shared" si="355"/>
        <v>7</v>
      </c>
      <c r="D7662" s="136">
        <f t="shared" si="357"/>
        <v>27</v>
      </c>
      <c r="E7662" s="136">
        <f t="shared" si="356"/>
        <v>3</v>
      </c>
      <c r="F7662" s="128" t="s">
        <v>24</v>
      </c>
      <c r="G7662" s="128" t="str">
        <f>VLOOKUP(source[[#This Row],[lending_product_transform]],[3]Mapping!$B$4:$C$37,2,0)</f>
        <v>[Cake] - Cashloan</v>
      </c>
      <c r="H7662" s="128" t="str">
        <f>VLOOKUP(source[[#This Row],[lending_product_transform]],[3]Mapping!$B$3:$D$37,3,0)</f>
        <v>cashloan</v>
      </c>
      <c r="I7662" s="135">
        <v>322360513</v>
      </c>
    </row>
    <row r="7663" spans="1:9" x14ac:dyDescent="0.2">
      <c r="A7663" s="134">
        <v>45841</v>
      </c>
      <c r="B7663" s="135">
        <f>YEAR(source[[#This Row],[report_date]])</f>
        <v>2025</v>
      </c>
      <c r="C7663" s="128">
        <f t="shared" si="355"/>
        <v>7</v>
      </c>
      <c r="D7663" s="136">
        <f t="shared" si="357"/>
        <v>27</v>
      </c>
      <c r="E7663" s="136">
        <f t="shared" si="356"/>
        <v>3</v>
      </c>
      <c r="F7663" s="128" t="s">
        <v>24</v>
      </c>
      <c r="G7663" s="128" t="str">
        <f>VLOOKUP(source[[#This Row],[lending_product_transform]],[3]Mapping!$B$4:$C$37,2,0)</f>
        <v>[Cake] - Cashloan</v>
      </c>
      <c r="H7663" s="128" t="str">
        <f>VLOOKUP(source[[#This Row],[lending_product_transform]],[3]Mapping!$B$3:$D$37,3,0)</f>
        <v>cashloan</v>
      </c>
      <c r="I7663" s="135">
        <v>0</v>
      </c>
    </row>
    <row r="7664" spans="1:9" x14ac:dyDescent="0.2">
      <c r="A7664" s="134">
        <v>45841</v>
      </c>
      <c r="B7664" s="135">
        <f>YEAR(source[[#This Row],[report_date]])</f>
        <v>2025</v>
      </c>
      <c r="C7664" s="128">
        <f t="shared" si="355"/>
        <v>7</v>
      </c>
      <c r="D7664" s="136">
        <f t="shared" si="357"/>
        <v>27</v>
      </c>
      <c r="E7664" s="136">
        <f t="shared" si="356"/>
        <v>3</v>
      </c>
      <c r="F7664" s="128" t="s">
        <v>24</v>
      </c>
      <c r="G7664" s="128" t="str">
        <f>VLOOKUP(source[[#This Row],[lending_product_transform]],[3]Mapping!$B$4:$C$37,2,0)</f>
        <v>[Cake] - Cashloan</v>
      </c>
      <c r="H7664" s="128" t="str">
        <f>VLOOKUP(source[[#This Row],[lending_product_transform]],[3]Mapping!$B$3:$D$37,3,0)</f>
        <v>cashloan</v>
      </c>
      <c r="I7664" s="135">
        <v>0</v>
      </c>
    </row>
    <row r="7665" spans="1:9" x14ac:dyDescent="0.2">
      <c r="A7665" s="134">
        <v>45841</v>
      </c>
      <c r="B7665" s="135">
        <f>YEAR(source[[#This Row],[report_date]])</f>
        <v>2025</v>
      </c>
      <c r="C7665" s="128">
        <f t="shared" si="355"/>
        <v>7</v>
      </c>
      <c r="D7665" s="136">
        <f t="shared" si="357"/>
        <v>27</v>
      </c>
      <c r="E7665" s="136">
        <f t="shared" si="356"/>
        <v>3</v>
      </c>
      <c r="F7665" s="128" t="s">
        <v>24</v>
      </c>
      <c r="G7665" s="128" t="str">
        <f>VLOOKUP(source[[#This Row],[lending_product_transform]],[3]Mapping!$B$4:$C$37,2,0)</f>
        <v>[Cake] - Cashloan</v>
      </c>
      <c r="H7665" s="128" t="str">
        <f>VLOOKUP(source[[#This Row],[lending_product_transform]],[3]Mapping!$B$3:$D$37,3,0)</f>
        <v>cashloan</v>
      </c>
      <c r="I7665" s="135">
        <v>1080342036</v>
      </c>
    </row>
    <row r="7666" spans="1:9" x14ac:dyDescent="0.2">
      <c r="A7666" s="134">
        <v>45841</v>
      </c>
      <c r="B7666" s="135">
        <f>YEAR(source[[#This Row],[report_date]])</f>
        <v>2025</v>
      </c>
      <c r="C7666" s="128">
        <f t="shared" si="355"/>
        <v>7</v>
      </c>
      <c r="D7666" s="136">
        <f t="shared" si="357"/>
        <v>27</v>
      </c>
      <c r="E7666" s="136">
        <f t="shared" si="356"/>
        <v>3</v>
      </c>
      <c r="F7666" s="128" t="s">
        <v>24</v>
      </c>
      <c r="G7666" s="128" t="str">
        <f>VLOOKUP(source[[#This Row],[lending_product_transform]],[3]Mapping!$B$4:$C$37,2,0)</f>
        <v>[Cake] - Cashloan</v>
      </c>
      <c r="H7666" s="128" t="str">
        <f>VLOOKUP(source[[#This Row],[lending_product_transform]],[3]Mapping!$B$3:$D$37,3,0)</f>
        <v>cashloan</v>
      </c>
      <c r="I7666" s="135">
        <v>309352000</v>
      </c>
    </row>
    <row r="7667" spans="1:9" x14ac:dyDescent="0.2">
      <c r="A7667" s="134">
        <v>45841</v>
      </c>
      <c r="B7667" s="135">
        <f>YEAR(source[[#This Row],[report_date]])</f>
        <v>2025</v>
      </c>
      <c r="C7667" s="128">
        <f t="shared" si="355"/>
        <v>7</v>
      </c>
      <c r="D7667" s="136">
        <f t="shared" si="357"/>
        <v>27</v>
      </c>
      <c r="E7667" s="136">
        <f t="shared" si="356"/>
        <v>3</v>
      </c>
      <c r="F7667" s="128" t="s">
        <v>24</v>
      </c>
      <c r="G7667" s="128" t="str">
        <f>VLOOKUP(source[[#This Row],[lending_product_transform]],[3]Mapping!$B$4:$C$37,2,0)</f>
        <v>[Cake] - Cashloan</v>
      </c>
      <c r="H7667" s="128" t="str">
        <f>VLOOKUP(source[[#This Row],[lending_product_transform]],[3]Mapping!$B$3:$D$37,3,0)</f>
        <v>cashloan</v>
      </c>
      <c r="I7667" s="135">
        <v>21000000</v>
      </c>
    </row>
    <row r="7668" spans="1:9" x14ac:dyDescent="0.2">
      <c r="A7668" s="134">
        <v>45841</v>
      </c>
      <c r="B7668" s="135">
        <f>YEAR(source[[#This Row],[report_date]])</f>
        <v>2025</v>
      </c>
      <c r="C7668" s="128">
        <f t="shared" si="355"/>
        <v>7</v>
      </c>
      <c r="D7668" s="136">
        <f t="shared" si="357"/>
        <v>27</v>
      </c>
      <c r="E7668" s="136">
        <f t="shared" si="356"/>
        <v>3</v>
      </c>
      <c r="F7668" s="128" t="s">
        <v>24</v>
      </c>
      <c r="G7668" s="128" t="str">
        <f>VLOOKUP(source[[#This Row],[lending_product_transform]],[3]Mapping!$B$4:$C$37,2,0)</f>
        <v>[Cake] - Cashloan</v>
      </c>
      <c r="H7668" s="128" t="str">
        <f>VLOOKUP(source[[#This Row],[lending_product_transform]],[3]Mapping!$B$3:$D$37,3,0)</f>
        <v>cashloan</v>
      </c>
      <c r="I7668" s="135">
        <v>4690567383</v>
      </c>
    </row>
    <row r="7669" spans="1:9" x14ac:dyDescent="0.2">
      <c r="A7669" s="134">
        <v>45841</v>
      </c>
      <c r="B7669" s="135">
        <f>YEAR(source[[#This Row],[report_date]])</f>
        <v>2025</v>
      </c>
      <c r="C7669" s="128">
        <f t="shared" si="355"/>
        <v>7</v>
      </c>
      <c r="D7669" s="136">
        <f t="shared" si="357"/>
        <v>27</v>
      </c>
      <c r="E7669" s="136">
        <f t="shared" si="356"/>
        <v>3</v>
      </c>
      <c r="F7669" s="128" t="s">
        <v>24</v>
      </c>
      <c r="G7669" s="128" t="str">
        <f>VLOOKUP(source[[#This Row],[lending_product_transform]],[3]Mapping!$B$4:$C$37,2,0)</f>
        <v>[Cake] - Cashloan</v>
      </c>
      <c r="H7669" s="128" t="str">
        <f>VLOOKUP(source[[#This Row],[lending_product_transform]],[3]Mapping!$B$3:$D$37,3,0)</f>
        <v>cashloan</v>
      </c>
      <c r="I7669" s="135">
        <v>3669720000</v>
      </c>
    </row>
    <row r="7670" spans="1:9" x14ac:dyDescent="0.2">
      <c r="A7670" s="134">
        <v>45841</v>
      </c>
      <c r="B7670" s="135">
        <f>YEAR(source[[#This Row],[report_date]])</f>
        <v>2025</v>
      </c>
      <c r="C7670" s="128">
        <f t="shared" ref="C7670:C7733" si="358">MONTH(A7670)</f>
        <v>7</v>
      </c>
      <c r="D7670" s="136">
        <f t="shared" si="357"/>
        <v>27</v>
      </c>
      <c r="E7670" s="136">
        <f t="shared" ref="E7670:E7733" si="359">DAY(A7670)</f>
        <v>3</v>
      </c>
      <c r="F7670" s="128" t="s">
        <v>24</v>
      </c>
      <c r="G7670" s="128" t="str">
        <f>VLOOKUP(source[[#This Row],[lending_product_transform]],[3]Mapping!$B$4:$C$37,2,0)</f>
        <v>[Cake] - Cashloan</v>
      </c>
      <c r="H7670" s="128" t="str">
        <f>VLOOKUP(source[[#This Row],[lending_product_transform]],[3]Mapping!$B$3:$D$37,3,0)</f>
        <v>cashloan</v>
      </c>
      <c r="I7670" s="135">
        <v>96000000</v>
      </c>
    </row>
    <row r="7671" spans="1:9" x14ac:dyDescent="0.2">
      <c r="A7671" s="134">
        <v>45841</v>
      </c>
      <c r="B7671" s="135">
        <f>YEAR(source[[#This Row],[report_date]])</f>
        <v>2025</v>
      </c>
      <c r="C7671" s="128">
        <f t="shared" si="358"/>
        <v>7</v>
      </c>
      <c r="D7671" s="136">
        <f t="shared" si="357"/>
        <v>27</v>
      </c>
      <c r="E7671" s="136">
        <f t="shared" si="359"/>
        <v>3</v>
      </c>
      <c r="F7671" s="128" t="s">
        <v>24</v>
      </c>
      <c r="G7671" s="128" t="str">
        <f>VLOOKUP(source[[#This Row],[lending_product_transform]],[3]Mapping!$B$4:$C$37,2,0)</f>
        <v>[Cake] - Cashloan</v>
      </c>
      <c r="H7671" s="128" t="str">
        <f>VLOOKUP(source[[#This Row],[lending_product_transform]],[3]Mapping!$B$3:$D$37,3,0)</f>
        <v>cashloan</v>
      </c>
      <c r="I7671" s="135">
        <v>0</v>
      </c>
    </row>
    <row r="7672" spans="1:9" x14ac:dyDescent="0.2">
      <c r="A7672" s="134">
        <v>45841</v>
      </c>
      <c r="B7672" s="135">
        <f>YEAR(source[[#This Row],[report_date]])</f>
        <v>2025</v>
      </c>
      <c r="C7672" s="128">
        <f t="shared" si="358"/>
        <v>7</v>
      </c>
      <c r="D7672" s="136">
        <f t="shared" si="357"/>
        <v>27</v>
      </c>
      <c r="E7672" s="136">
        <f t="shared" si="359"/>
        <v>3</v>
      </c>
      <c r="F7672" s="128" t="s">
        <v>24</v>
      </c>
      <c r="G7672" s="128" t="str">
        <f>VLOOKUP(source[[#This Row],[lending_product_transform]],[3]Mapping!$B$4:$C$37,2,0)</f>
        <v>[Cake] - Cashloan</v>
      </c>
      <c r="H7672" s="128" t="str">
        <f>VLOOKUP(source[[#This Row],[lending_product_transform]],[3]Mapping!$B$3:$D$37,3,0)</f>
        <v>cashloan</v>
      </c>
      <c r="I7672" s="135">
        <v>0</v>
      </c>
    </row>
    <row r="7673" spans="1:9" x14ac:dyDescent="0.2">
      <c r="A7673" s="134">
        <v>45841</v>
      </c>
      <c r="B7673" s="135">
        <f>YEAR(source[[#This Row],[report_date]])</f>
        <v>2025</v>
      </c>
      <c r="C7673" s="128">
        <f t="shared" si="358"/>
        <v>7</v>
      </c>
      <c r="D7673" s="136">
        <f t="shared" si="357"/>
        <v>27</v>
      </c>
      <c r="E7673" s="136">
        <f t="shared" si="359"/>
        <v>3</v>
      </c>
      <c r="F7673" s="128" t="s">
        <v>24</v>
      </c>
      <c r="G7673" s="128" t="str">
        <f>VLOOKUP(source[[#This Row],[lending_product_transform]],[3]Mapping!$B$4:$C$37,2,0)</f>
        <v>[Cake] - Cashloan</v>
      </c>
      <c r="H7673" s="128" t="str">
        <f>VLOOKUP(source[[#This Row],[lending_product_transform]],[3]Mapping!$B$3:$D$37,3,0)</f>
        <v>cashloan</v>
      </c>
      <c r="I7673" s="135">
        <v>581660677</v>
      </c>
    </row>
    <row r="7674" spans="1:9" x14ac:dyDescent="0.2">
      <c r="A7674" s="134">
        <v>45841</v>
      </c>
      <c r="B7674" s="135">
        <f>YEAR(source[[#This Row],[report_date]])</f>
        <v>2025</v>
      </c>
      <c r="C7674" s="128">
        <f t="shared" si="358"/>
        <v>7</v>
      </c>
      <c r="D7674" s="136">
        <f t="shared" si="357"/>
        <v>27</v>
      </c>
      <c r="E7674" s="136">
        <f t="shared" si="359"/>
        <v>3</v>
      </c>
      <c r="F7674" s="128" t="s">
        <v>24</v>
      </c>
      <c r="G7674" s="128" t="str">
        <f>VLOOKUP(source[[#This Row],[lending_product_transform]],[3]Mapping!$B$4:$C$37,2,0)</f>
        <v>[Cake] - Cashloan</v>
      </c>
      <c r="H7674" s="128" t="str">
        <f>VLOOKUP(source[[#This Row],[lending_product_transform]],[3]Mapping!$B$3:$D$37,3,0)</f>
        <v>cashloan</v>
      </c>
      <c r="I7674" s="135">
        <v>13364480000</v>
      </c>
    </row>
    <row r="7675" spans="1:9" x14ac:dyDescent="0.2">
      <c r="A7675" s="134">
        <v>45841</v>
      </c>
      <c r="B7675" s="135">
        <f>YEAR(source[[#This Row],[report_date]])</f>
        <v>2025</v>
      </c>
      <c r="C7675" s="128">
        <f t="shared" si="358"/>
        <v>7</v>
      </c>
      <c r="D7675" s="136">
        <f t="shared" si="357"/>
        <v>27</v>
      </c>
      <c r="E7675" s="136">
        <f t="shared" si="359"/>
        <v>3</v>
      </c>
      <c r="F7675" s="128" t="s">
        <v>24</v>
      </c>
      <c r="G7675" s="128" t="str">
        <f>VLOOKUP(source[[#This Row],[lending_product_transform]],[3]Mapping!$B$4:$C$37,2,0)</f>
        <v>[Cake] - Cashloan</v>
      </c>
      <c r="H7675" s="128" t="str">
        <f>VLOOKUP(source[[#This Row],[lending_product_transform]],[3]Mapping!$B$3:$D$37,3,0)</f>
        <v>cashloan</v>
      </c>
      <c r="I7675" s="135">
        <v>5555736000</v>
      </c>
    </row>
    <row r="7676" spans="1:9" x14ac:dyDescent="0.2">
      <c r="A7676" s="134">
        <v>45841</v>
      </c>
      <c r="B7676" s="135">
        <f>YEAR(source[[#This Row],[report_date]])</f>
        <v>2025</v>
      </c>
      <c r="C7676" s="128">
        <f t="shared" si="358"/>
        <v>7</v>
      </c>
      <c r="D7676" s="136">
        <f t="shared" si="357"/>
        <v>27</v>
      </c>
      <c r="E7676" s="136">
        <f t="shared" si="359"/>
        <v>3</v>
      </c>
      <c r="F7676" s="128" t="s">
        <v>24</v>
      </c>
      <c r="G7676" s="128" t="str">
        <f>VLOOKUP(source[[#This Row],[lending_product_transform]],[3]Mapping!$B$4:$C$37,2,0)</f>
        <v>[Cake] - Cashloan</v>
      </c>
      <c r="H7676" s="128" t="str">
        <f>VLOOKUP(source[[#This Row],[lending_product_transform]],[3]Mapping!$B$3:$D$37,3,0)</f>
        <v>cashloan</v>
      </c>
      <c r="I7676" s="135">
        <v>72833972</v>
      </c>
    </row>
    <row r="7677" spans="1:9" x14ac:dyDescent="0.2">
      <c r="A7677" s="134">
        <v>45841</v>
      </c>
      <c r="B7677" s="135">
        <f>YEAR(source[[#This Row],[report_date]])</f>
        <v>2025</v>
      </c>
      <c r="C7677" s="128">
        <f t="shared" si="358"/>
        <v>7</v>
      </c>
      <c r="D7677" s="136">
        <f t="shared" si="357"/>
        <v>27</v>
      </c>
      <c r="E7677" s="136">
        <f t="shared" si="359"/>
        <v>3</v>
      </c>
      <c r="F7677" s="128" t="s">
        <v>24</v>
      </c>
      <c r="G7677" s="128" t="str">
        <f>VLOOKUP(source[[#This Row],[lending_product_transform]],[3]Mapping!$B$4:$C$37,2,0)</f>
        <v>[Cake] - Cashloan</v>
      </c>
      <c r="H7677" s="128" t="str">
        <f>VLOOKUP(source[[#This Row],[lending_product_transform]],[3]Mapping!$B$3:$D$37,3,0)</f>
        <v>cashloan</v>
      </c>
      <c r="I7677" s="135">
        <v>12233980000</v>
      </c>
    </row>
    <row r="7678" spans="1:9" x14ac:dyDescent="0.2">
      <c r="A7678" s="134">
        <v>45842</v>
      </c>
      <c r="B7678" s="135">
        <f>YEAR(source[[#This Row],[report_date]])</f>
        <v>2025</v>
      </c>
      <c r="C7678" s="128">
        <f t="shared" si="358"/>
        <v>7</v>
      </c>
      <c r="D7678" s="136">
        <f t="shared" si="357"/>
        <v>27</v>
      </c>
      <c r="E7678" s="136">
        <f t="shared" si="359"/>
        <v>4</v>
      </c>
      <c r="F7678" s="128" t="s">
        <v>24</v>
      </c>
      <c r="G7678" s="128" t="str">
        <f>VLOOKUP(source[[#This Row],[lending_product_transform]],[3]Mapping!$B$4:$C$37,2,0)</f>
        <v>[Cake] - Cashloan</v>
      </c>
      <c r="H7678" s="128" t="str">
        <f>VLOOKUP(source[[#This Row],[lending_product_transform]],[3]Mapping!$B$3:$D$37,3,0)</f>
        <v>cashloan</v>
      </c>
      <c r="I7678" s="135">
        <v>6492528000</v>
      </c>
    </row>
    <row r="7679" spans="1:9" x14ac:dyDescent="0.2">
      <c r="A7679" s="134">
        <v>45842</v>
      </c>
      <c r="B7679" s="135">
        <f>YEAR(source[[#This Row],[report_date]])</f>
        <v>2025</v>
      </c>
      <c r="C7679" s="128">
        <f t="shared" si="358"/>
        <v>7</v>
      </c>
      <c r="D7679" s="136">
        <f t="shared" si="357"/>
        <v>27</v>
      </c>
      <c r="E7679" s="136">
        <f t="shared" si="359"/>
        <v>4</v>
      </c>
      <c r="F7679" s="128" t="s">
        <v>24</v>
      </c>
      <c r="G7679" s="128" t="str">
        <f>VLOOKUP(source[[#This Row],[lending_product_transform]],[3]Mapping!$B$4:$C$37,2,0)</f>
        <v>[Cake] - Cashloan</v>
      </c>
      <c r="H7679" s="128" t="str">
        <f>VLOOKUP(source[[#This Row],[lending_product_transform]],[3]Mapping!$B$3:$D$37,3,0)</f>
        <v>cashloan</v>
      </c>
      <c r="I7679" s="135">
        <v>13581010000</v>
      </c>
    </row>
    <row r="7680" spans="1:9" x14ac:dyDescent="0.2">
      <c r="A7680" s="134">
        <v>45842</v>
      </c>
      <c r="B7680" s="135">
        <f>YEAR(source[[#This Row],[report_date]])</f>
        <v>2025</v>
      </c>
      <c r="C7680" s="128">
        <f t="shared" si="358"/>
        <v>7</v>
      </c>
      <c r="D7680" s="136">
        <f t="shared" si="357"/>
        <v>27</v>
      </c>
      <c r="E7680" s="136">
        <f t="shared" si="359"/>
        <v>4</v>
      </c>
      <c r="F7680" s="128" t="s">
        <v>24</v>
      </c>
      <c r="G7680" s="128" t="str">
        <f>VLOOKUP(source[[#This Row],[lending_product_transform]],[3]Mapping!$B$4:$C$37,2,0)</f>
        <v>[Cake] - Cashloan</v>
      </c>
      <c r="H7680" s="128" t="str">
        <f>VLOOKUP(source[[#This Row],[lending_product_transform]],[3]Mapping!$B$3:$D$37,3,0)</f>
        <v>cashloan</v>
      </c>
      <c r="I7680" s="135">
        <v>12350860000</v>
      </c>
    </row>
    <row r="7681" spans="1:9" x14ac:dyDescent="0.2">
      <c r="A7681" s="134">
        <v>45842</v>
      </c>
      <c r="B7681" s="135">
        <f>YEAR(source[[#This Row],[report_date]])</f>
        <v>2025</v>
      </c>
      <c r="C7681" s="128">
        <f t="shared" si="358"/>
        <v>7</v>
      </c>
      <c r="D7681" s="136">
        <f t="shared" si="357"/>
        <v>27</v>
      </c>
      <c r="E7681" s="136">
        <f t="shared" si="359"/>
        <v>4</v>
      </c>
      <c r="F7681" s="128" t="s">
        <v>24</v>
      </c>
      <c r="G7681" s="128" t="str">
        <f>VLOOKUP(source[[#This Row],[lending_product_transform]],[3]Mapping!$B$4:$C$37,2,0)</f>
        <v>[Cake] - Cashloan</v>
      </c>
      <c r="H7681" s="128" t="str">
        <f>VLOOKUP(source[[#This Row],[lending_product_transform]],[3]Mapping!$B$3:$D$37,3,0)</f>
        <v>cashloan</v>
      </c>
      <c r="I7681" s="135">
        <v>678722031</v>
      </c>
    </row>
    <row r="7682" spans="1:9" x14ac:dyDescent="0.2">
      <c r="A7682" s="134">
        <v>45842</v>
      </c>
      <c r="B7682" s="135">
        <f>YEAR(source[[#This Row],[report_date]])</f>
        <v>2025</v>
      </c>
      <c r="C7682" s="128">
        <f t="shared" si="358"/>
        <v>7</v>
      </c>
      <c r="D7682" s="136">
        <f t="shared" si="357"/>
        <v>27</v>
      </c>
      <c r="E7682" s="136">
        <f t="shared" si="359"/>
        <v>4</v>
      </c>
      <c r="F7682" s="128" t="s">
        <v>24</v>
      </c>
      <c r="G7682" s="128" t="str">
        <f>VLOOKUP(source[[#This Row],[lending_product_transform]],[3]Mapping!$B$4:$C$37,2,0)</f>
        <v>[Cake] - Cashloan</v>
      </c>
      <c r="H7682" s="128" t="str">
        <f>VLOOKUP(source[[#This Row],[lending_product_transform]],[3]Mapping!$B$3:$D$37,3,0)</f>
        <v>cashloan</v>
      </c>
      <c r="I7682" s="135">
        <v>0</v>
      </c>
    </row>
    <row r="7683" spans="1:9" x14ac:dyDescent="0.2">
      <c r="A7683" s="134">
        <v>45842</v>
      </c>
      <c r="B7683" s="135">
        <f>YEAR(source[[#This Row],[report_date]])</f>
        <v>2025</v>
      </c>
      <c r="C7683" s="128">
        <f t="shared" si="358"/>
        <v>7</v>
      </c>
      <c r="D7683" s="136">
        <f t="shared" ref="D7683:D7746" si="360">WEEKNUM(A7683,2)</f>
        <v>27</v>
      </c>
      <c r="E7683" s="136">
        <f t="shared" si="359"/>
        <v>4</v>
      </c>
      <c r="F7683" s="128" t="s">
        <v>24</v>
      </c>
      <c r="G7683" s="128" t="str">
        <f>VLOOKUP(source[[#This Row],[lending_product_transform]],[3]Mapping!$B$4:$C$37,2,0)</f>
        <v>[Cake] - Cashloan</v>
      </c>
      <c r="H7683" s="128" t="str">
        <f>VLOOKUP(source[[#This Row],[lending_product_transform]],[3]Mapping!$B$3:$D$37,3,0)</f>
        <v>cashloan</v>
      </c>
      <c r="I7683" s="135">
        <v>12000000</v>
      </c>
    </row>
    <row r="7684" spans="1:9" x14ac:dyDescent="0.2">
      <c r="A7684" s="134">
        <v>45842</v>
      </c>
      <c r="B7684" s="135">
        <f>YEAR(source[[#This Row],[report_date]])</f>
        <v>2025</v>
      </c>
      <c r="C7684" s="128">
        <f t="shared" si="358"/>
        <v>7</v>
      </c>
      <c r="D7684" s="136">
        <f t="shared" si="360"/>
        <v>27</v>
      </c>
      <c r="E7684" s="136">
        <f t="shared" si="359"/>
        <v>4</v>
      </c>
      <c r="F7684" s="128" t="s">
        <v>24</v>
      </c>
      <c r="G7684" s="128" t="str">
        <f>VLOOKUP(source[[#This Row],[lending_product_transform]],[3]Mapping!$B$4:$C$37,2,0)</f>
        <v>[Cake] - Cashloan</v>
      </c>
      <c r="H7684" s="128" t="str">
        <f>VLOOKUP(source[[#This Row],[lending_product_transform]],[3]Mapping!$B$3:$D$37,3,0)</f>
        <v>cashloan</v>
      </c>
      <c r="I7684" s="135">
        <v>81407736</v>
      </c>
    </row>
    <row r="7685" spans="1:9" x14ac:dyDescent="0.2">
      <c r="A7685" s="134">
        <v>45842</v>
      </c>
      <c r="B7685" s="135">
        <f>YEAR(source[[#This Row],[report_date]])</f>
        <v>2025</v>
      </c>
      <c r="C7685" s="128">
        <f t="shared" si="358"/>
        <v>7</v>
      </c>
      <c r="D7685" s="136">
        <f t="shared" si="360"/>
        <v>27</v>
      </c>
      <c r="E7685" s="136">
        <f t="shared" si="359"/>
        <v>4</v>
      </c>
      <c r="F7685" s="128" t="s">
        <v>24</v>
      </c>
      <c r="G7685" s="128" t="str">
        <f>VLOOKUP(source[[#This Row],[lending_product_transform]],[3]Mapping!$B$4:$C$37,2,0)</f>
        <v>[Cake] - Cashloan</v>
      </c>
      <c r="H7685" s="128" t="str">
        <f>VLOOKUP(source[[#This Row],[lending_product_transform]],[3]Mapping!$B$3:$D$37,3,0)</f>
        <v>cashloan</v>
      </c>
      <c r="I7685" s="135">
        <v>0</v>
      </c>
    </row>
    <row r="7686" spans="1:9" x14ac:dyDescent="0.2">
      <c r="A7686" s="134">
        <v>45842</v>
      </c>
      <c r="B7686" s="135">
        <f>YEAR(source[[#This Row],[report_date]])</f>
        <v>2025</v>
      </c>
      <c r="C7686" s="128">
        <f t="shared" si="358"/>
        <v>7</v>
      </c>
      <c r="D7686" s="136">
        <f t="shared" si="360"/>
        <v>27</v>
      </c>
      <c r="E7686" s="136">
        <f t="shared" si="359"/>
        <v>4</v>
      </c>
      <c r="F7686" s="128" t="s">
        <v>24</v>
      </c>
      <c r="G7686" s="128" t="str">
        <f>VLOOKUP(source[[#This Row],[lending_product_transform]],[3]Mapping!$B$4:$C$37,2,0)</f>
        <v>[Cake] - Cashloan</v>
      </c>
      <c r="H7686" s="128" t="str">
        <f>VLOOKUP(source[[#This Row],[lending_product_transform]],[3]Mapping!$B$3:$D$37,3,0)</f>
        <v>cashloan</v>
      </c>
      <c r="I7686" s="135">
        <v>0</v>
      </c>
    </row>
    <row r="7687" spans="1:9" x14ac:dyDescent="0.2">
      <c r="A7687" s="134">
        <v>45842</v>
      </c>
      <c r="B7687" s="135">
        <f>YEAR(source[[#This Row],[report_date]])</f>
        <v>2025</v>
      </c>
      <c r="C7687" s="128">
        <f t="shared" si="358"/>
        <v>7</v>
      </c>
      <c r="D7687" s="136">
        <f t="shared" si="360"/>
        <v>27</v>
      </c>
      <c r="E7687" s="136">
        <f t="shared" si="359"/>
        <v>4</v>
      </c>
      <c r="F7687" s="128" t="s">
        <v>24</v>
      </c>
      <c r="G7687" s="128" t="str">
        <f>VLOOKUP(source[[#This Row],[lending_product_transform]],[3]Mapping!$B$4:$C$37,2,0)</f>
        <v>[Cake] - Cashloan</v>
      </c>
      <c r="H7687" s="128" t="str">
        <f>VLOOKUP(source[[#This Row],[lending_product_transform]],[3]Mapping!$B$3:$D$37,3,0)</f>
        <v>cashloan</v>
      </c>
      <c r="I7687" s="135">
        <v>0</v>
      </c>
    </row>
    <row r="7688" spans="1:9" x14ac:dyDescent="0.2">
      <c r="A7688" s="134">
        <v>45842</v>
      </c>
      <c r="B7688" s="135">
        <f>YEAR(source[[#This Row],[report_date]])</f>
        <v>2025</v>
      </c>
      <c r="C7688" s="128">
        <f t="shared" si="358"/>
        <v>7</v>
      </c>
      <c r="D7688" s="136">
        <f t="shared" si="360"/>
        <v>27</v>
      </c>
      <c r="E7688" s="136">
        <f t="shared" si="359"/>
        <v>4</v>
      </c>
      <c r="F7688" s="128" t="s">
        <v>24</v>
      </c>
      <c r="G7688" s="128" t="str">
        <f>VLOOKUP(source[[#This Row],[lending_product_transform]],[3]Mapping!$B$4:$C$37,2,0)</f>
        <v>[Cake] - Cashloan</v>
      </c>
      <c r="H7688" s="128" t="str">
        <f>VLOOKUP(source[[#This Row],[lending_product_transform]],[3]Mapping!$B$3:$D$37,3,0)</f>
        <v>cashloan</v>
      </c>
      <c r="I7688" s="135">
        <v>49000000</v>
      </c>
    </row>
    <row r="7689" spans="1:9" x14ac:dyDescent="0.2">
      <c r="A7689" s="134">
        <v>45842</v>
      </c>
      <c r="B7689" s="135">
        <f>YEAR(source[[#This Row],[report_date]])</f>
        <v>2025</v>
      </c>
      <c r="C7689" s="128">
        <f t="shared" si="358"/>
        <v>7</v>
      </c>
      <c r="D7689" s="136">
        <f t="shared" si="360"/>
        <v>27</v>
      </c>
      <c r="E7689" s="136">
        <f t="shared" si="359"/>
        <v>4</v>
      </c>
      <c r="F7689" s="128" t="s">
        <v>24</v>
      </c>
      <c r="G7689" s="128" t="str">
        <f>VLOOKUP(source[[#This Row],[lending_product_transform]],[3]Mapping!$B$4:$C$37,2,0)</f>
        <v>[Cake] - Cashloan</v>
      </c>
      <c r="H7689" s="128" t="str">
        <f>VLOOKUP(source[[#This Row],[lending_product_transform]],[3]Mapping!$B$3:$D$37,3,0)</f>
        <v>cashloan</v>
      </c>
      <c r="I7689" s="135">
        <v>21000000</v>
      </c>
    </row>
    <row r="7690" spans="1:9" x14ac:dyDescent="0.2">
      <c r="A7690" s="134">
        <v>45842</v>
      </c>
      <c r="B7690" s="135">
        <f>YEAR(source[[#This Row],[report_date]])</f>
        <v>2025</v>
      </c>
      <c r="C7690" s="128">
        <f t="shared" si="358"/>
        <v>7</v>
      </c>
      <c r="D7690" s="136">
        <f t="shared" si="360"/>
        <v>27</v>
      </c>
      <c r="E7690" s="136">
        <f t="shared" si="359"/>
        <v>4</v>
      </c>
      <c r="F7690" s="128" t="s">
        <v>24</v>
      </c>
      <c r="G7690" s="128" t="str">
        <f>VLOOKUP(source[[#This Row],[lending_product_transform]],[3]Mapping!$B$4:$C$37,2,0)</f>
        <v>[Cake] - Cashloan</v>
      </c>
      <c r="H7690" s="128" t="str">
        <f>VLOOKUP(source[[#This Row],[lending_product_transform]],[3]Mapping!$B$3:$D$37,3,0)</f>
        <v>cashloan</v>
      </c>
      <c r="I7690" s="135">
        <v>578350000</v>
      </c>
    </row>
    <row r="7691" spans="1:9" x14ac:dyDescent="0.2">
      <c r="A7691" s="134">
        <v>45842</v>
      </c>
      <c r="B7691" s="135">
        <f>YEAR(source[[#This Row],[report_date]])</f>
        <v>2025</v>
      </c>
      <c r="C7691" s="128">
        <f t="shared" si="358"/>
        <v>7</v>
      </c>
      <c r="D7691" s="136">
        <f t="shared" si="360"/>
        <v>27</v>
      </c>
      <c r="E7691" s="136">
        <f t="shared" si="359"/>
        <v>4</v>
      </c>
      <c r="F7691" s="128" t="s">
        <v>24</v>
      </c>
      <c r="G7691" s="128" t="str">
        <f>VLOOKUP(source[[#This Row],[lending_product_transform]],[3]Mapping!$B$4:$C$37,2,0)</f>
        <v>[Cake] - Cashloan</v>
      </c>
      <c r="H7691" s="128" t="str">
        <f>VLOOKUP(source[[#This Row],[lending_product_transform]],[3]Mapping!$B$3:$D$37,3,0)</f>
        <v>cashloan</v>
      </c>
      <c r="I7691" s="135">
        <v>5787520000</v>
      </c>
    </row>
    <row r="7692" spans="1:9" x14ac:dyDescent="0.2">
      <c r="A7692" s="134">
        <v>45842</v>
      </c>
      <c r="B7692" s="135">
        <f>YEAR(source[[#This Row],[report_date]])</f>
        <v>2025</v>
      </c>
      <c r="C7692" s="128">
        <f t="shared" si="358"/>
        <v>7</v>
      </c>
      <c r="D7692" s="136">
        <f t="shared" si="360"/>
        <v>27</v>
      </c>
      <c r="E7692" s="136">
        <f t="shared" si="359"/>
        <v>4</v>
      </c>
      <c r="F7692" s="128" t="s">
        <v>24</v>
      </c>
      <c r="G7692" s="128" t="str">
        <f>VLOOKUP(source[[#This Row],[lending_product_transform]],[3]Mapping!$B$4:$C$37,2,0)</f>
        <v>[Cake] - Cashloan</v>
      </c>
      <c r="H7692" s="128" t="str">
        <f>VLOOKUP(source[[#This Row],[lending_product_transform]],[3]Mapping!$B$3:$D$37,3,0)</f>
        <v>cashloan</v>
      </c>
      <c r="I7692" s="135">
        <v>332605000</v>
      </c>
    </row>
    <row r="7693" spans="1:9" x14ac:dyDescent="0.2">
      <c r="A7693" s="134">
        <v>45842</v>
      </c>
      <c r="B7693" s="135">
        <f>YEAR(source[[#This Row],[report_date]])</f>
        <v>2025</v>
      </c>
      <c r="C7693" s="128">
        <f t="shared" si="358"/>
        <v>7</v>
      </c>
      <c r="D7693" s="136">
        <f t="shared" si="360"/>
        <v>27</v>
      </c>
      <c r="E7693" s="136">
        <f t="shared" si="359"/>
        <v>4</v>
      </c>
      <c r="F7693" s="128" t="s">
        <v>24</v>
      </c>
      <c r="G7693" s="128" t="str">
        <f>VLOOKUP(source[[#This Row],[lending_product_transform]],[3]Mapping!$B$4:$C$37,2,0)</f>
        <v>[Cake] - Cashloan</v>
      </c>
      <c r="H7693" s="128" t="str">
        <f>VLOOKUP(source[[#This Row],[lending_product_transform]],[3]Mapping!$B$3:$D$37,3,0)</f>
        <v>cashloan</v>
      </c>
      <c r="I7693" s="135">
        <v>1677280000</v>
      </c>
    </row>
    <row r="7694" spans="1:9" x14ac:dyDescent="0.2">
      <c r="A7694" s="134">
        <v>45842</v>
      </c>
      <c r="B7694" s="135">
        <f>YEAR(source[[#This Row],[report_date]])</f>
        <v>2025</v>
      </c>
      <c r="C7694" s="128">
        <f t="shared" si="358"/>
        <v>7</v>
      </c>
      <c r="D7694" s="136">
        <f t="shared" si="360"/>
        <v>27</v>
      </c>
      <c r="E7694" s="136">
        <f t="shared" si="359"/>
        <v>4</v>
      </c>
      <c r="F7694" s="128" t="s">
        <v>24</v>
      </c>
      <c r="G7694" s="128" t="str">
        <f>VLOOKUP(source[[#This Row],[lending_product_transform]],[3]Mapping!$B$4:$C$37,2,0)</f>
        <v>[Cake] - Cashloan</v>
      </c>
      <c r="H7694" s="128" t="str">
        <f>VLOOKUP(source[[#This Row],[lending_product_transform]],[3]Mapping!$B$3:$D$37,3,0)</f>
        <v>cashloan</v>
      </c>
      <c r="I7694" s="135">
        <v>361463064</v>
      </c>
    </row>
    <row r="7695" spans="1:9" x14ac:dyDescent="0.2">
      <c r="A7695" s="134">
        <v>45842</v>
      </c>
      <c r="B7695" s="135">
        <f>YEAR(source[[#This Row],[report_date]])</f>
        <v>2025</v>
      </c>
      <c r="C7695" s="128">
        <f t="shared" si="358"/>
        <v>7</v>
      </c>
      <c r="D7695" s="136">
        <f t="shared" si="360"/>
        <v>27</v>
      </c>
      <c r="E7695" s="136">
        <f t="shared" si="359"/>
        <v>4</v>
      </c>
      <c r="F7695" s="128" t="s">
        <v>24</v>
      </c>
      <c r="G7695" s="128" t="str">
        <f>VLOOKUP(source[[#This Row],[lending_product_transform]],[3]Mapping!$B$4:$C$37,2,0)</f>
        <v>[Cake] - Cashloan</v>
      </c>
      <c r="H7695" s="128" t="str">
        <f>VLOOKUP(source[[#This Row],[lending_product_transform]],[3]Mapping!$B$3:$D$37,3,0)</f>
        <v>cashloan</v>
      </c>
      <c r="I7695" s="135">
        <v>1413258778</v>
      </c>
    </row>
    <row r="7696" spans="1:9" x14ac:dyDescent="0.2">
      <c r="A7696" s="134">
        <v>45842</v>
      </c>
      <c r="B7696" s="135">
        <f>YEAR(source[[#This Row],[report_date]])</f>
        <v>2025</v>
      </c>
      <c r="C7696" s="128">
        <f t="shared" si="358"/>
        <v>7</v>
      </c>
      <c r="D7696" s="136">
        <f t="shared" si="360"/>
        <v>27</v>
      </c>
      <c r="E7696" s="136">
        <f t="shared" si="359"/>
        <v>4</v>
      </c>
      <c r="F7696" s="128" t="s">
        <v>24</v>
      </c>
      <c r="G7696" s="128" t="str">
        <f>VLOOKUP(source[[#This Row],[lending_product_transform]],[3]Mapping!$B$4:$C$37,2,0)</f>
        <v>[Cake] - Cashloan</v>
      </c>
      <c r="H7696" s="128" t="str">
        <f>VLOOKUP(source[[#This Row],[lending_product_transform]],[3]Mapping!$B$3:$D$37,3,0)</f>
        <v>cashloan</v>
      </c>
      <c r="I7696" s="135">
        <v>4584839714</v>
      </c>
    </row>
    <row r="7697" spans="1:9" x14ac:dyDescent="0.2">
      <c r="A7697" s="134">
        <v>45843</v>
      </c>
      <c r="B7697" s="135">
        <f>YEAR(source[[#This Row],[report_date]])</f>
        <v>2025</v>
      </c>
      <c r="C7697" s="128">
        <f t="shared" si="358"/>
        <v>7</v>
      </c>
      <c r="D7697" s="136">
        <f t="shared" si="360"/>
        <v>27</v>
      </c>
      <c r="E7697" s="136">
        <f t="shared" si="359"/>
        <v>5</v>
      </c>
      <c r="F7697" s="128" t="s">
        <v>24</v>
      </c>
      <c r="G7697" s="128" t="str">
        <f>VLOOKUP(source[[#This Row],[lending_product_transform]],[3]Mapping!$B$4:$C$37,2,0)</f>
        <v>[Cake] - Cashloan</v>
      </c>
      <c r="H7697" s="128" t="str">
        <f>VLOOKUP(source[[#This Row],[lending_product_transform]],[3]Mapping!$B$3:$D$37,3,0)</f>
        <v>cashloan</v>
      </c>
      <c r="I7697" s="135">
        <v>93165139</v>
      </c>
    </row>
    <row r="7698" spans="1:9" x14ac:dyDescent="0.2">
      <c r="A7698" s="134">
        <v>45843</v>
      </c>
      <c r="B7698" s="135">
        <f>YEAR(source[[#This Row],[report_date]])</f>
        <v>2025</v>
      </c>
      <c r="C7698" s="128">
        <f t="shared" si="358"/>
        <v>7</v>
      </c>
      <c r="D7698" s="136">
        <f t="shared" si="360"/>
        <v>27</v>
      </c>
      <c r="E7698" s="136">
        <f t="shared" si="359"/>
        <v>5</v>
      </c>
      <c r="F7698" s="128" t="s">
        <v>24</v>
      </c>
      <c r="G7698" s="128" t="str">
        <f>VLOOKUP(source[[#This Row],[lending_product_transform]],[3]Mapping!$B$4:$C$37,2,0)</f>
        <v>[Cake] - Cashloan</v>
      </c>
      <c r="H7698" s="128" t="str">
        <f>VLOOKUP(source[[#This Row],[lending_product_transform]],[3]Mapping!$B$3:$D$37,3,0)</f>
        <v>cashloan</v>
      </c>
      <c r="I7698" s="135">
        <v>6517692000</v>
      </c>
    </row>
    <row r="7699" spans="1:9" x14ac:dyDescent="0.2">
      <c r="A7699" s="134">
        <v>45843</v>
      </c>
      <c r="B7699" s="135">
        <f>YEAR(source[[#This Row],[report_date]])</f>
        <v>2025</v>
      </c>
      <c r="C7699" s="128">
        <f t="shared" si="358"/>
        <v>7</v>
      </c>
      <c r="D7699" s="136">
        <f t="shared" si="360"/>
        <v>27</v>
      </c>
      <c r="E7699" s="136">
        <f t="shared" si="359"/>
        <v>5</v>
      </c>
      <c r="F7699" s="128" t="s">
        <v>24</v>
      </c>
      <c r="G7699" s="128" t="str">
        <f>VLOOKUP(source[[#This Row],[lending_product_transform]],[3]Mapping!$B$4:$C$37,2,0)</f>
        <v>[Cake] - Cashloan</v>
      </c>
      <c r="H7699" s="128" t="str">
        <f>VLOOKUP(source[[#This Row],[lending_product_transform]],[3]Mapping!$B$3:$D$37,3,0)</f>
        <v>cashloan</v>
      </c>
      <c r="I7699" s="135">
        <v>14009900000</v>
      </c>
    </row>
    <row r="7700" spans="1:9" x14ac:dyDescent="0.2">
      <c r="A7700" s="134">
        <v>45843</v>
      </c>
      <c r="B7700" s="135">
        <f>YEAR(source[[#This Row],[report_date]])</f>
        <v>2025</v>
      </c>
      <c r="C7700" s="128">
        <f t="shared" si="358"/>
        <v>7</v>
      </c>
      <c r="D7700" s="136">
        <f t="shared" si="360"/>
        <v>27</v>
      </c>
      <c r="E7700" s="136">
        <f t="shared" si="359"/>
        <v>5</v>
      </c>
      <c r="F7700" s="128" t="s">
        <v>24</v>
      </c>
      <c r="G7700" s="128" t="str">
        <f>VLOOKUP(source[[#This Row],[lending_product_transform]],[3]Mapping!$B$4:$C$37,2,0)</f>
        <v>[Cake] - Cashloan</v>
      </c>
      <c r="H7700" s="128" t="str">
        <f>VLOOKUP(source[[#This Row],[lending_product_transform]],[3]Mapping!$B$3:$D$37,3,0)</f>
        <v>cashloan</v>
      </c>
      <c r="I7700" s="135">
        <v>4370919217</v>
      </c>
    </row>
    <row r="7701" spans="1:9" x14ac:dyDescent="0.2">
      <c r="A7701" s="134">
        <v>45843</v>
      </c>
      <c r="B7701" s="135">
        <f>YEAR(source[[#This Row],[report_date]])</f>
        <v>2025</v>
      </c>
      <c r="C7701" s="128">
        <f t="shared" si="358"/>
        <v>7</v>
      </c>
      <c r="D7701" s="136">
        <f t="shared" si="360"/>
        <v>27</v>
      </c>
      <c r="E7701" s="136">
        <f t="shared" si="359"/>
        <v>5</v>
      </c>
      <c r="F7701" s="128" t="s">
        <v>24</v>
      </c>
      <c r="G7701" s="128" t="str">
        <f>VLOOKUP(source[[#This Row],[lending_product_transform]],[3]Mapping!$B$4:$C$37,2,0)</f>
        <v>[Cake] - Cashloan</v>
      </c>
      <c r="H7701" s="128" t="str">
        <f>VLOOKUP(source[[#This Row],[lending_product_transform]],[3]Mapping!$B$3:$D$37,3,0)</f>
        <v>cashloan</v>
      </c>
      <c r="I7701" s="135">
        <v>43600000</v>
      </c>
    </row>
    <row r="7702" spans="1:9" x14ac:dyDescent="0.2">
      <c r="A7702" s="134">
        <v>45843</v>
      </c>
      <c r="B7702" s="135">
        <f>YEAR(source[[#This Row],[report_date]])</f>
        <v>2025</v>
      </c>
      <c r="C7702" s="128">
        <f t="shared" si="358"/>
        <v>7</v>
      </c>
      <c r="D7702" s="136">
        <f t="shared" si="360"/>
        <v>27</v>
      </c>
      <c r="E7702" s="136">
        <f t="shared" si="359"/>
        <v>5</v>
      </c>
      <c r="F7702" s="128" t="s">
        <v>24</v>
      </c>
      <c r="G7702" s="128" t="str">
        <f>VLOOKUP(source[[#This Row],[lending_product_transform]],[3]Mapping!$B$4:$C$37,2,0)</f>
        <v>[Cake] - Cashloan</v>
      </c>
      <c r="H7702" s="128" t="str">
        <f>VLOOKUP(source[[#This Row],[lending_product_transform]],[3]Mapping!$B$3:$D$37,3,0)</f>
        <v>cashloan</v>
      </c>
      <c r="I7702" s="135">
        <v>883984437</v>
      </c>
    </row>
    <row r="7703" spans="1:9" x14ac:dyDescent="0.2">
      <c r="A7703" s="134">
        <v>45843</v>
      </c>
      <c r="B7703" s="135">
        <f>YEAR(source[[#This Row],[report_date]])</f>
        <v>2025</v>
      </c>
      <c r="C7703" s="128">
        <f t="shared" si="358"/>
        <v>7</v>
      </c>
      <c r="D7703" s="136">
        <f t="shared" si="360"/>
        <v>27</v>
      </c>
      <c r="E7703" s="136">
        <f t="shared" si="359"/>
        <v>5</v>
      </c>
      <c r="F7703" s="128" t="s">
        <v>24</v>
      </c>
      <c r="G7703" s="128" t="str">
        <f>VLOOKUP(source[[#This Row],[lending_product_transform]],[3]Mapping!$B$4:$C$37,2,0)</f>
        <v>[Cake] - Cashloan</v>
      </c>
      <c r="H7703" s="128" t="str">
        <f>VLOOKUP(source[[#This Row],[lending_product_transform]],[3]Mapping!$B$3:$D$37,3,0)</f>
        <v>cashloan</v>
      </c>
      <c r="I7703" s="135">
        <v>0</v>
      </c>
    </row>
    <row r="7704" spans="1:9" x14ac:dyDescent="0.2">
      <c r="A7704" s="134">
        <v>45843</v>
      </c>
      <c r="B7704" s="135">
        <f>YEAR(source[[#This Row],[report_date]])</f>
        <v>2025</v>
      </c>
      <c r="C7704" s="128">
        <f t="shared" si="358"/>
        <v>7</v>
      </c>
      <c r="D7704" s="136">
        <f t="shared" si="360"/>
        <v>27</v>
      </c>
      <c r="E7704" s="136">
        <f t="shared" si="359"/>
        <v>5</v>
      </c>
      <c r="F7704" s="128" t="s">
        <v>24</v>
      </c>
      <c r="G7704" s="128" t="str">
        <f>VLOOKUP(source[[#This Row],[lending_product_transform]],[3]Mapping!$B$4:$C$37,2,0)</f>
        <v>[Cake] - Cashloan</v>
      </c>
      <c r="H7704" s="128" t="str">
        <f>VLOOKUP(source[[#This Row],[lending_product_transform]],[3]Mapping!$B$3:$D$37,3,0)</f>
        <v>cashloan</v>
      </c>
      <c r="I7704" s="135">
        <v>12780670000</v>
      </c>
    </row>
    <row r="7705" spans="1:9" x14ac:dyDescent="0.2">
      <c r="A7705" s="134">
        <v>45843</v>
      </c>
      <c r="B7705" s="135">
        <f>YEAR(source[[#This Row],[report_date]])</f>
        <v>2025</v>
      </c>
      <c r="C7705" s="128">
        <f t="shared" si="358"/>
        <v>7</v>
      </c>
      <c r="D7705" s="136">
        <f t="shared" si="360"/>
        <v>27</v>
      </c>
      <c r="E7705" s="136">
        <f t="shared" si="359"/>
        <v>5</v>
      </c>
      <c r="F7705" s="128" t="s">
        <v>24</v>
      </c>
      <c r="G7705" s="128" t="str">
        <f>VLOOKUP(source[[#This Row],[lending_product_transform]],[3]Mapping!$B$4:$C$37,2,0)</f>
        <v>[Cake] - Cashloan</v>
      </c>
      <c r="H7705" s="128" t="str">
        <f>VLOOKUP(source[[#This Row],[lending_product_transform]],[3]Mapping!$B$3:$D$37,3,0)</f>
        <v>cashloan</v>
      </c>
      <c r="I7705" s="135">
        <v>0</v>
      </c>
    </row>
    <row r="7706" spans="1:9" x14ac:dyDescent="0.2">
      <c r="A7706" s="134">
        <v>45843</v>
      </c>
      <c r="B7706" s="135">
        <f>YEAR(source[[#This Row],[report_date]])</f>
        <v>2025</v>
      </c>
      <c r="C7706" s="128">
        <f t="shared" si="358"/>
        <v>7</v>
      </c>
      <c r="D7706" s="136">
        <f t="shared" si="360"/>
        <v>27</v>
      </c>
      <c r="E7706" s="136">
        <f t="shared" si="359"/>
        <v>5</v>
      </c>
      <c r="F7706" s="128" t="s">
        <v>24</v>
      </c>
      <c r="G7706" s="128" t="str">
        <f>VLOOKUP(source[[#This Row],[lending_product_transform]],[3]Mapping!$B$4:$C$37,2,0)</f>
        <v>[Cake] - Cashloan</v>
      </c>
      <c r="H7706" s="128" t="str">
        <f>VLOOKUP(source[[#This Row],[lending_product_transform]],[3]Mapping!$B$3:$D$37,3,0)</f>
        <v>cashloan</v>
      </c>
      <c r="I7706" s="135">
        <v>0</v>
      </c>
    </row>
    <row r="7707" spans="1:9" x14ac:dyDescent="0.2">
      <c r="A7707" s="134">
        <v>45843</v>
      </c>
      <c r="B7707" s="135">
        <f>YEAR(source[[#This Row],[report_date]])</f>
        <v>2025</v>
      </c>
      <c r="C7707" s="128">
        <f t="shared" si="358"/>
        <v>7</v>
      </c>
      <c r="D7707" s="136">
        <f t="shared" si="360"/>
        <v>27</v>
      </c>
      <c r="E7707" s="136">
        <f t="shared" si="359"/>
        <v>5</v>
      </c>
      <c r="F7707" s="128" t="s">
        <v>24</v>
      </c>
      <c r="G7707" s="128" t="str">
        <f>VLOOKUP(source[[#This Row],[lending_product_transform]],[3]Mapping!$B$4:$C$37,2,0)</f>
        <v>[Cake] - Cashloan</v>
      </c>
      <c r="H7707" s="128" t="str">
        <f>VLOOKUP(source[[#This Row],[lending_product_transform]],[3]Mapping!$B$3:$D$37,3,0)</f>
        <v>cashloan</v>
      </c>
      <c r="I7707" s="135">
        <v>0</v>
      </c>
    </row>
    <row r="7708" spans="1:9" x14ac:dyDescent="0.2">
      <c r="A7708" s="134">
        <v>45843</v>
      </c>
      <c r="B7708" s="135">
        <f>YEAR(source[[#This Row],[report_date]])</f>
        <v>2025</v>
      </c>
      <c r="C7708" s="128">
        <f t="shared" si="358"/>
        <v>7</v>
      </c>
      <c r="D7708" s="136">
        <f t="shared" si="360"/>
        <v>27</v>
      </c>
      <c r="E7708" s="136">
        <f t="shared" si="359"/>
        <v>5</v>
      </c>
      <c r="F7708" s="128" t="s">
        <v>24</v>
      </c>
      <c r="G7708" s="128" t="str">
        <f>VLOOKUP(source[[#This Row],[lending_product_transform]],[3]Mapping!$B$4:$C$37,2,0)</f>
        <v>[Cake] - Cashloan</v>
      </c>
      <c r="H7708" s="128" t="str">
        <f>VLOOKUP(source[[#This Row],[lending_product_transform]],[3]Mapping!$B$3:$D$37,3,0)</f>
        <v>cashloan</v>
      </c>
      <c r="I7708" s="135">
        <v>0</v>
      </c>
    </row>
    <row r="7709" spans="1:9" x14ac:dyDescent="0.2">
      <c r="A7709" s="134">
        <v>45843</v>
      </c>
      <c r="B7709" s="135">
        <f>YEAR(source[[#This Row],[report_date]])</f>
        <v>2025</v>
      </c>
      <c r="C7709" s="128">
        <f t="shared" si="358"/>
        <v>7</v>
      </c>
      <c r="D7709" s="136">
        <f t="shared" si="360"/>
        <v>27</v>
      </c>
      <c r="E7709" s="136">
        <f t="shared" si="359"/>
        <v>5</v>
      </c>
      <c r="F7709" s="128" t="s">
        <v>24</v>
      </c>
      <c r="G7709" s="128" t="str">
        <f>VLOOKUP(source[[#This Row],[lending_product_transform]],[3]Mapping!$B$4:$C$37,2,0)</f>
        <v>[Cake] - Cashloan</v>
      </c>
      <c r="H7709" s="128" t="str">
        <f>VLOOKUP(source[[#This Row],[lending_product_transform]],[3]Mapping!$B$3:$D$37,3,0)</f>
        <v>cashloan</v>
      </c>
      <c r="I7709" s="135">
        <v>20000000</v>
      </c>
    </row>
    <row r="7710" spans="1:9" x14ac:dyDescent="0.2">
      <c r="A7710" s="134">
        <v>45843</v>
      </c>
      <c r="B7710" s="135">
        <f>YEAR(source[[#This Row],[report_date]])</f>
        <v>2025</v>
      </c>
      <c r="C7710" s="128">
        <f t="shared" si="358"/>
        <v>7</v>
      </c>
      <c r="D7710" s="136">
        <f t="shared" si="360"/>
        <v>27</v>
      </c>
      <c r="E7710" s="136">
        <f t="shared" si="359"/>
        <v>5</v>
      </c>
      <c r="F7710" s="128" t="s">
        <v>24</v>
      </c>
      <c r="G7710" s="128" t="str">
        <f>VLOOKUP(source[[#This Row],[lending_product_transform]],[3]Mapping!$B$4:$C$37,2,0)</f>
        <v>[Cake] - Cashloan</v>
      </c>
      <c r="H7710" s="128" t="str">
        <f>VLOOKUP(source[[#This Row],[lending_product_transform]],[3]Mapping!$B$3:$D$37,3,0)</f>
        <v>cashloan</v>
      </c>
      <c r="I7710" s="135">
        <v>499090000</v>
      </c>
    </row>
    <row r="7711" spans="1:9" x14ac:dyDescent="0.2">
      <c r="A7711" s="134">
        <v>45843</v>
      </c>
      <c r="B7711" s="135">
        <f>YEAR(source[[#This Row],[report_date]])</f>
        <v>2025</v>
      </c>
      <c r="C7711" s="128">
        <f t="shared" si="358"/>
        <v>7</v>
      </c>
      <c r="D7711" s="136">
        <f t="shared" si="360"/>
        <v>27</v>
      </c>
      <c r="E7711" s="136">
        <f t="shared" si="359"/>
        <v>5</v>
      </c>
      <c r="F7711" s="128" t="s">
        <v>24</v>
      </c>
      <c r="G7711" s="128" t="str">
        <f>VLOOKUP(source[[#This Row],[lending_product_transform]],[3]Mapping!$B$4:$C$37,2,0)</f>
        <v>[Cake] - Cashloan</v>
      </c>
      <c r="H7711" s="128" t="str">
        <f>VLOOKUP(source[[#This Row],[lending_product_transform]],[3]Mapping!$B$3:$D$37,3,0)</f>
        <v>cashloan</v>
      </c>
      <c r="I7711" s="135">
        <v>4517580000</v>
      </c>
    </row>
    <row r="7712" spans="1:9" x14ac:dyDescent="0.2">
      <c r="A7712" s="134">
        <v>45843</v>
      </c>
      <c r="B7712" s="135">
        <f>YEAR(source[[#This Row],[report_date]])</f>
        <v>2025</v>
      </c>
      <c r="C7712" s="128">
        <f t="shared" si="358"/>
        <v>7</v>
      </c>
      <c r="D7712" s="136">
        <f t="shared" si="360"/>
        <v>27</v>
      </c>
      <c r="E7712" s="136">
        <f t="shared" si="359"/>
        <v>5</v>
      </c>
      <c r="F7712" s="128" t="s">
        <v>24</v>
      </c>
      <c r="G7712" s="128" t="str">
        <f>VLOOKUP(source[[#This Row],[lending_product_transform]],[3]Mapping!$B$4:$C$37,2,0)</f>
        <v>[Cake] - Cashloan</v>
      </c>
      <c r="H7712" s="128" t="str">
        <f>VLOOKUP(source[[#This Row],[lending_product_transform]],[3]Mapping!$B$3:$D$37,3,0)</f>
        <v>cashloan</v>
      </c>
      <c r="I7712" s="135">
        <v>275139000</v>
      </c>
    </row>
    <row r="7713" spans="1:9" x14ac:dyDescent="0.2">
      <c r="A7713" s="134">
        <v>45843</v>
      </c>
      <c r="B7713" s="135">
        <f>YEAR(source[[#This Row],[report_date]])</f>
        <v>2025</v>
      </c>
      <c r="C7713" s="128">
        <f t="shared" si="358"/>
        <v>7</v>
      </c>
      <c r="D7713" s="136">
        <f t="shared" si="360"/>
        <v>27</v>
      </c>
      <c r="E7713" s="136">
        <f t="shared" si="359"/>
        <v>5</v>
      </c>
      <c r="F7713" s="128" t="s">
        <v>24</v>
      </c>
      <c r="G7713" s="128" t="str">
        <f>VLOOKUP(source[[#This Row],[lending_product_transform]],[3]Mapping!$B$4:$C$37,2,0)</f>
        <v>[Cake] - Cashloan</v>
      </c>
      <c r="H7713" s="128" t="str">
        <f>VLOOKUP(source[[#This Row],[lending_product_transform]],[3]Mapping!$B$3:$D$37,3,0)</f>
        <v>cashloan</v>
      </c>
      <c r="I7713" s="135">
        <v>1630470000</v>
      </c>
    </row>
    <row r="7714" spans="1:9" x14ac:dyDescent="0.2">
      <c r="A7714" s="134">
        <v>45843</v>
      </c>
      <c r="B7714" s="135">
        <f>YEAR(source[[#This Row],[report_date]])</f>
        <v>2025</v>
      </c>
      <c r="C7714" s="128">
        <f t="shared" si="358"/>
        <v>7</v>
      </c>
      <c r="D7714" s="136">
        <f t="shared" si="360"/>
        <v>27</v>
      </c>
      <c r="E7714" s="136">
        <f t="shared" si="359"/>
        <v>5</v>
      </c>
      <c r="F7714" s="128" t="s">
        <v>24</v>
      </c>
      <c r="G7714" s="128" t="str">
        <f>VLOOKUP(source[[#This Row],[lending_product_transform]],[3]Mapping!$B$4:$C$37,2,0)</f>
        <v>[Cake] - Cashloan</v>
      </c>
      <c r="H7714" s="128" t="str">
        <f>VLOOKUP(source[[#This Row],[lending_product_transform]],[3]Mapping!$B$3:$D$37,3,0)</f>
        <v>cashloan</v>
      </c>
      <c r="I7714" s="135">
        <v>491948326</v>
      </c>
    </row>
    <row r="7715" spans="1:9" x14ac:dyDescent="0.2">
      <c r="A7715" s="134">
        <v>45843</v>
      </c>
      <c r="B7715" s="135">
        <f>YEAR(source[[#This Row],[report_date]])</f>
        <v>2025</v>
      </c>
      <c r="C7715" s="128">
        <f t="shared" si="358"/>
        <v>7</v>
      </c>
      <c r="D7715" s="136">
        <f t="shared" si="360"/>
        <v>27</v>
      </c>
      <c r="E7715" s="136">
        <f t="shared" si="359"/>
        <v>5</v>
      </c>
      <c r="F7715" s="128" t="s">
        <v>24</v>
      </c>
      <c r="G7715" s="128" t="str">
        <f>VLOOKUP(source[[#This Row],[lending_product_transform]],[3]Mapping!$B$4:$C$37,2,0)</f>
        <v>[Cake] - Cashloan</v>
      </c>
      <c r="H7715" s="128" t="str">
        <f>VLOOKUP(source[[#This Row],[lending_product_transform]],[3]Mapping!$B$3:$D$37,3,0)</f>
        <v>cashloan</v>
      </c>
      <c r="I7715" s="135">
        <v>1920496340</v>
      </c>
    </row>
    <row r="7716" spans="1:9" x14ac:dyDescent="0.2">
      <c r="A7716" s="134">
        <v>45844</v>
      </c>
      <c r="B7716" s="135">
        <f>YEAR(source[[#This Row],[report_date]])</f>
        <v>2025</v>
      </c>
      <c r="C7716" s="128">
        <f t="shared" si="358"/>
        <v>7</v>
      </c>
      <c r="D7716" s="136">
        <f t="shared" si="360"/>
        <v>27</v>
      </c>
      <c r="E7716" s="136">
        <f t="shared" si="359"/>
        <v>6</v>
      </c>
      <c r="F7716" s="128" t="s">
        <v>24</v>
      </c>
      <c r="G7716" s="128" t="str">
        <f>VLOOKUP(source[[#This Row],[lending_product_transform]],[3]Mapping!$B$4:$C$37,2,0)</f>
        <v>[Cake] - Cashloan</v>
      </c>
      <c r="H7716" s="128" t="str">
        <f>VLOOKUP(source[[#This Row],[lending_product_transform]],[3]Mapping!$B$3:$D$37,3,0)</f>
        <v>cashloan</v>
      </c>
      <c r="I7716" s="135">
        <v>0</v>
      </c>
    </row>
    <row r="7717" spans="1:9" x14ac:dyDescent="0.2">
      <c r="A7717" s="134">
        <v>45844</v>
      </c>
      <c r="B7717" s="135">
        <f>YEAR(source[[#This Row],[report_date]])</f>
        <v>2025</v>
      </c>
      <c r="C7717" s="128">
        <f t="shared" si="358"/>
        <v>7</v>
      </c>
      <c r="D7717" s="136">
        <f t="shared" si="360"/>
        <v>27</v>
      </c>
      <c r="E7717" s="136">
        <f t="shared" si="359"/>
        <v>6</v>
      </c>
      <c r="F7717" s="128" t="s">
        <v>24</v>
      </c>
      <c r="G7717" s="128" t="str">
        <f>VLOOKUP(source[[#This Row],[lending_product_transform]],[3]Mapping!$B$4:$C$37,2,0)</f>
        <v>[Cake] - Cashloan</v>
      </c>
      <c r="H7717" s="128" t="str">
        <f>VLOOKUP(source[[#This Row],[lending_product_transform]],[3]Mapping!$B$3:$D$37,3,0)</f>
        <v>cashloan</v>
      </c>
      <c r="I7717" s="135">
        <v>10122190000</v>
      </c>
    </row>
    <row r="7718" spans="1:9" x14ac:dyDescent="0.2">
      <c r="A7718" s="134">
        <v>45844</v>
      </c>
      <c r="B7718" s="135">
        <f>YEAR(source[[#This Row],[report_date]])</f>
        <v>2025</v>
      </c>
      <c r="C7718" s="128">
        <f t="shared" si="358"/>
        <v>7</v>
      </c>
      <c r="D7718" s="136">
        <f t="shared" si="360"/>
        <v>27</v>
      </c>
      <c r="E7718" s="136">
        <f t="shared" si="359"/>
        <v>6</v>
      </c>
      <c r="F7718" s="128" t="s">
        <v>24</v>
      </c>
      <c r="G7718" s="128" t="str">
        <f>VLOOKUP(source[[#This Row],[lending_product_transform]],[3]Mapping!$B$4:$C$37,2,0)</f>
        <v>[Cake] - Cashloan</v>
      </c>
      <c r="H7718" s="128" t="str">
        <f>VLOOKUP(source[[#This Row],[lending_product_transform]],[3]Mapping!$B$3:$D$37,3,0)</f>
        <v>cashloan</v>
      </c>
      <c r="I7718" s="135">
        <v>0</v>
      </c>
    </row>
    <row r="7719" spans="1:9" x14ac:dyDescent="0.2">
      <c r="A7719" s="134">
        <v>45844</v>
      </c>
      <c r="B7719" s="135">
        <f>YEAR(source[[#This Row],[report_date]])</f>
        <v>2025</v>
      </c>
      <c r="C7719" s="128">
        <f t="shared" si="358"/>
        <v>7</v>
      </c>
      <c r="D7719" s="136">
        <f t="shared" si="360"/>
        <v>27</v>
      </c>
      <c r="E7719" s="136">
        <f t="shared" si="359"/>
        <v>6</v>
      </c>
      <c r="F7719" s="128" t="s">
        <v>24</v>
      </c>
      <c r="G7719" s="128" t="str">
        <f>VLOOKUP(source[[#This Row],[lending_product_transform]],[3]Mapping!$B$4:$C$37,2,0)</f>
        <v>[Cake] - Cashloan</v>
      </c>
      <c r="H7719" s="128" t="str">
        <f>VLOOKUP(source[[#This Row],[lending_product_transform]],[3]Mapping!$B$3:$D$37,3,0)</f>
        <v>cashloan</v>
      </c>
      <c r="I7719" s="135">
        <v>392240000</v>
      </c>
    </row>
    <row r="7720" spans="1:9" x14ac:dyDescent="0.2">
      <c r="A7720" s="134">
        <v>45844</v>
      </c>
      <c r="B7720" s="135">
        <f>YEAR(source[[#This Row],[report_date]])</f>
        <v>2025</v>
      </c>
      <c r="C7720" s="128">
        <f t="shared" si="358"/>
        <v>7</v>
      </c>
      <c r="D7720" s="136">
        <f t="shared" si="360"/>
        <v>27</v>
      </c>
      <c r="E7720" s="136">
        <f t="shared" si="359"/>
        <v>6</v>
      </c>
      <c r="F7720" s="128" t="s">
        <v>24</v>
      </c>
      <c r="G7720" s="128" t="str">
        <f>VLOOKUP(source[[#This Row],[lending_product_transform]],[3]Mapping!$B$4:$C$37,2,0)</f>
        <v>[Cake] - Cashloan</v>
      </c>
      <c r="H7720" s="128" t="str">
        <f>VLOOKUP(source[[#This Row],[lending_product_transform]],[3]Mapping!$B$3:$D$37,3,0)</f>
        <v>cashloan</v>
      </c>
      <c r="I7720" s="135">
        <v>2902860000</v>
      </c>
    </row>
    <row r="7721" spans="1:9" x14ac:dyDescent="0.2">
      <c r="A7721" s="134">
        <v>45844</v>
      </c>
      <c r="B7721" s="135">
        <f>YEAR(source[[#This Row],[report_date]])</f>
        <v>2025</v>
      </c>
      <c r="C7721" s="128">
        <f t="shared" si="358"/>
        <v>7</v>
      </c>
      <c r="D7721" s="136">
        <f t="shared" si="360"/>
        <v>27</v>
      </c>
      <c r="E7721" s="136">
        <f t="shared" si="359"/>
        <v>6</v>
      </c>
      <c r="F7721" s="128" t="s">
        <v>24</v>
      </c>
      <c r="G7721" s="128" t="str">
        <f>VLOOKUP(source[[#This Row],[lending_product_transform]],[3]Mapping!$B$4:$C$37,2,0)</f>
        <v>[Cake] - Cashloan</v>
      </c>
      <c r="H7721" s="128" t="str">
        <f>VLOOKUP(source[[#This Row],[lending_product_transform]],[3]Mapping!$B$3:$D$37,3,0)</f>
        <v>cashloan</v>
      </c>
      <c r="I7721" s="135">
        <v>22410701</v>
      </c>
    </row>
    <row r="7722" spans="1:9" x14ac:dyDescent="0.2">
      <c r="A7722" s="134">
        <v>45844</v>
      </c>
      <c r="B7722" s="135">
        <f>YEAR(source[[#This Row],[report_date]])</f>
        <v>2025</v>
      </c>
      <c r="C7722" s="128">
        <f t="shared" si="358"/>
        <v>7</v>
      </c>
      <c r="D7722" s="136">
        <f t="shared" si="360"/>
        <v>27</v>
      </c>
      <c r="E7722" s="136">
        <f t="shared" si="359"/>
        <v>6</v>
      </c>
      <c r="F7722" s="128" t="s">
        <v>24</v>
      </c>
      <c r="G7722" s="128" t="str">
        <f>VLOOKUP(source[[#This Row],[lending_product_transform]],[3]Mapping!$B$4:$C$37,2,0)</f>
        <v>[Cake] - Cashloan</v>
      </c>
      <c r="H7722" s="128" t="str">
        <f>VLOOKUP(source[[#This Row],[lending_product_transform]],[3]Mapping!$B$3:$D$37,3,0)</f>
        <v>cashloan</v>
      </c>
      <c r="I7722" s="135">
        <v>0</v>
      </c>
    </row>
    <row r="7723" spans="1:9" x14ac:dyDescent="0.2">
      <c r="A7723" s="134">
        <v>45844</v>
      </c>
      <c r="B7723" s="135">
        <f>YEAR(source[[#This Row],[report_date]])</f>
        <v>2025</v>
      </c>
      <c r="C7723" s="128">
        <f t="shared" si="358"/>
        <v>7</v>
      </c>
      <c r="D7723" s="136">
        <f t="shared" si="360"/>
        <v>27</v>
      </c>
      <c r="E7723" s="136">
        <f t="shared" si="359"/>
        <v>6</v>
      </c>
      <c r="F7723" s="128" t="s">
        <v>24</v>
      </c>
      <c r="G7723" s="128" t="str">
        <f>VLOOKUP(source[[#This Row],[lending_product_transform]],[3]Mapping!$B$4:$C$37,2,0)</f>
        <v>[Cake] - Cashloan</v>
      </c>
      <c r="H7723" s="128" t="str">
        <f>VLOOKUP(source[[#This Row],[lending_product_transform]],[3]Mapping!$B$3:$D$37,3,0)</f>
        <v>cashloan</v>
      </c>
      <c r="I7723" s="135">
        <v>0</v>
      </c>
    </row>
    <row r="7724" spans="1:9" x14ac:dyDescent="0.2">
      <c r="A7724" s="134">
        <v>45844</v>
      </c>
      <c r="B7724" s="135">
        <f>YEAR(source[[#This Row],[report_date]])</f>
        <v>2025</v>
      </c>
      <c r="C7724" s="128">
        <f t="shared" si="358"/>
        <v>7</v>
      </c>
      <c r="D7724" s="136">
        <f t="shared" si="360"/>
        <v>27</v>
      </c>
      <c r="E7724" s="136">
        <f t="shared" si="359"/>
        <v>6</v>
      </c>
      <c r="F7724" s="128" t="s">
        <v>24</v>
      </c>
      <c r="G7724" s="128" t="str">
        <f>VLOOKUP(source[[#This Row],[lending_product_transform]],[3]Mapping!$B$4:$C$37,2,0)</f>
        <v>[Cake] - Cashloan</v>
      </c>
      <c r="H7724" s="128" t="str">
        <f>VLOOKUP(source[[#This Row],[lending_product_transform]],[3]Mapping!$B$3:$D$37,3,0)</f>
        <v>cashloan</v>
      </c>
      <c r="I7724" s="135">
        <v>0</v>
      </c>
    </row>
    <row r="7725" spans="1:9" x14ac:dyDescent="0.2">
      <c r="A7725" s="134">
        <v>45844</v>
      </c>
      <c r="B7725" s="135">
        <f>YEAR(source[[#This Row],[report_date]])</f>
        <v>2025</v>
      </c>
      <c r="C7725" s="128">
        <f t="shared" si="358"/>
        <v>7</v>
      </c>
      <c r="D7725" s="136">
        <f t="shared" si="360"/>
        <v>27</v>
      </c>
      <c r="E7725" s="136">
        <f t="shared" si="359"/>
        <v>6</v>
      </c>
      <c r="F7725" s="128" t="s">
        <v>24</v>
      </c>
      <c r="G7725" s="128" t="str">
        <f>VLOOKUP(source[[#This Row],[lending_product_transform]],[3]Mapping!$B$4:$C$37,2,0)</f>
        <v>[Cake] - Cashloan</v>
      </c>
      <c r="H7725" s="128" t="str">
        <f>VLOOKUP(source[[#This Row],[lending_product_transform]],[3]Mapping!$B$3:$D$37,3,0)</f>
        <v>cashloan</v>
      </c>
      <c r="I7725" s="135">
        <v>0</v>
      </c>
    </row>
    <row r="7726" spans="1:9" x14ac:dyDescent="0.2">
      <c r="A7726" s="134">
        <v>45844</v>
      </c>
      <c r="B7726" s="135">
        <f>YEAR(source[[#This Row],[report_date]])</f>
        <v>2025</v>
      </c>
      <c r="C7726" s="128">
        <f t="shared" si="358"/>
        <v>7</v>
      </c>
      <c r="D7726" s="136">
        <f t="shared" si="360"/>
        <v>27</v>
      </c>
      <c r="E7726" s="136">
        <f t="shared" si="359"/>
        <v>6</v>
      </c>
      <c r="F7726" s="128" t="s">
        <v>24</v>
      </c>
      <c r="G7726" s="128" t="str">
        <f>VLOOKUP(source[[#This Row],[lending_product_transform]],[3]Mapping!$B$4:$C$37,2,0)</f>
        <v>[Cake] - Cashloan</v>
      </c>
      <c r="H7726" s="128" t="str">
        <f>VLOOKUP(source[[#This Row],[lending_product_transform]],[3]Mapping!$B$3:$D$37,3,0)</f>
        <v>cashloan</v>
      </c>
      <c r="I7726" s="135">
        <v>255752000</v>
      </c>
    </row>
    <row r="7727" spans="1:9" x14ac:dyDescent="0.2">
      <c r="A7727" s="134">
        <v>45844</v>
      </c>
      <c r="B7727" s="135">
        <f>YEAR(source[[#This Row],[report_date]])</f>
        <v>2025</v>
      </c>
      <c r="C7727" s="128">
        <f t="shared" si="358"/>
        <v>7</v>
      </c>
      <c r="D7727" s="136">
        <f t="shared" si="360"/>
        <v>27</v>
      </c>
      <c r="E7727" s="136">
        <f t="shared" si="359"/>
        <v>6</v>
      </c>
      <c r="F7727" s="128" t="s">
        <v>24</v>
      </c>
      <c r="G7727" s="128" t="str">
        <f>VLOOKUP(source[[#This Row],[lending_product_transform]],[3]Mapping!$B$4:$C$37,2,0)</f>
        <v>[Cake] - Cashloan</v>
      </c>
      <c r="H7727" s="128" t="str">
        <f>VLOOKUP(source[[#This Row],[lending_product_transform]],[3]Mapping!$B$3:$D$37,3,0)</f>
        <v>cashloan</v>
      </c>
      <c r="I7727" s="135">
        <v>1729730000</v>
      </c>
    </row>
    <row r="7728" spans="1:9" x14ac:dyDescent="0.2">
      <c r="A7728" s="134">
        <v>45844</v>
      </c>
      <c r="B7728" s="135">
        <f>YEAR(source[[#This Row],[report_date]])</f>
        <v>2025</v>
      </c>
      <c r="C7728" s="128">
        <f t="shared" si="358"/>
        <v>7</v>
      </c>
      <c r="D7728" s="136">
        <f t="shared" si="360"/>
        <v>27</v>
      </c>
      <c r="E7728" s="136">
        <f t="shared" si="359"/>
        <v>6</v>
      </c>
      <c r="F7728" s="128" t="s">
        <v>24</v>
      </c>
      <c r="G7728" s="128" t="str">
        <f>VLOOKUP(source[[#This Row],[lending_product_transform]],[3]Mapping!$B$4:$C$37,2,0)</f>
        <v>[Cake] - Cashloan</v>
      </c>
      <c r="H7728" s="128" t="str">
        <f>VLOOKUP(source[[#This Row],[lending_product_transform]],[3]Mapping!$B$3:$D$37,3,0)</f>
        <v>cashloan</v>
      </c>
      <c r="I7728" s="135">
        <v>378018012</v>
      </c>
    </row>
    <row r="7729" spans="1:9" x14ac:dyDescent="0.2">
      <c r="A7729" s="134">
        <v>45844</v>
      </c>
      <c r="B7729" s="135">
        <f>YEAR(source[[#This Row],[report_date]])</f>
        <v>2025</v>
      </c>
      <c r="C7729" s="128">
        <f t="shared" si="358"/>
        <v>7</v>
      </c>
      <c r="D7729" s="136">
        <f t="shared" si="360"/>
        <v>27</v>
      </c>
      <c r="E7729" s="136">
        <f t="shared" si="359"/>
        <v>6</v>
      </c>
      <c r="F7729" s="128" t="s">
        <v>24</v>
      </c>
      <c r="G7729" s="128" t="str">
        <f>VLOOKUP(source[[#This Row],[lending_product_transform]],[3]Mapping!$B$4:$C$37,2,0)</f>
        <v>[Cake] - Cashloan</v>
      </c>
      <c r="H7729" s="128" t="str">
        <f>VLOOKUP(source[[#This Row],[lending_product_transform]],[3]Mapping!$B$3:$D$37,3,0)</f>
        <v>cashloan</v>
      </c>
      <c r="I7729" s="135">
        <v>900661621</v>
      </c>
    </row>
    <row r="7730" spans="1:9" x14ac:dyDescent="0.2">
      <c r="A7730" s="134">
        <v>45844</v>
      </c>
      <c r="B7730" s="135">
        <f>YEAR(source[[#This Row],[report_date]])</f>
        <v>2025</v>
      </c>
      <c r="C7730" s="128">
        <f t="shared" si="358"/>
        <v>7</v>
      </c>
      <c r="D7730" s="136">
        <f t="shared" si="360"/>
        <v>27</v>
      </c>
      <c r="E7730" s="136">
        <f t="shared" si="359"/>
        <v>6</v>
      </c>
      <c r="F7730" s="128" t="s">
        <v>24</v>
      </c>
      <c r="G7730" s="128" t="str">
        <f>VLOOKUP(source[[#This Row],[lending_product_transform]],[3]Mapping!$B$4:$C$37,2,0)</f>
        <v>[Cake] - Cashloan</v>
      </c>
      <c r="H7730" s="128" t="str">
        <f>VLOOKUP(source[[#This Row],[lending_product_transform]],[3]Mapping!$B$3:$D$37,3,0)</f>
        <v>cashloan</v>
      </c>
      <c r="I7730" s="135">
        <v>12600000</v>
      </c>
    </row>
    <row r="7731" spans="1:9" x14ac:dyDescent="0.2">
      <c r="A7731" s="134">
        <v>45844</v>
      </c>
      <c r="B7731" s="135">
        <f>YEAR(source[[#This Row],[report_date]])</f>
        <v>2025</v>
      </c>
      <c r="C7731" s="128">
        <f t="shared" si="358"/>
        <v>7</v>
      </c>
      <c r="D7731" s="136">
        <f t="shared" si="360"/>
        <v>27</v>
      </c>
      <c r="E7731" s="136">
        <f t="shared" si="359"/>
        <v>6</v>
      </c>
      <c r="F7731" s="128" t="s">
        <v>24</v>
      </c>
      <c r="G7731" s="128" t="str">
        <f>VLOOKUP(source[[#This Row],[lending_product_transform]],[3]Mapping!$B$4:$C$37,2,0)</f>
        <v>[Cake] - Cashloan</v>
      </c>
      <c r="H7731" s="128" t="str">
        <f>VLOOKUP(source[[#This Row],[lending_product_transform]],[3]Mapping!$B$3:$D$37,3,0)</f>
        <v>cashloan</v>
      </c>
      <c r="I7731" s="135">
        <v>5506920000</v>
      </c>
    </row>
    <row r="7732" spans="1:9" x14ac:dyDescent="0.2">
      <c r="A7732" s="134">
        <v>45844</v>
      </c>
      <c r="B7732" s="135">
        <f>YEAR(source[[#This Row],[report_date]])</f>
        <v>2025</v>
      </c>
      <c r="C7732" s="128">
        <f t="shared" si="358"/>
        <v>7</v>
      </c>
      <c r="D7732" s="136">
        <f t="shared" si="360"/>
        <v>27</v>
      </c>
      <c r="E7732" s="136">
        <f t="shared" si="359"/>
        <v>6</v>
      </c>
      <c r="F7732" s="128" t="s">
        <v>24</v>
      </c>
      <c r="G7732" s="128" t="str">
        <f>VLOOKUP(source[[#This Row],[lending_product_transform]],[3]Mapping!$B$4:$C$37,2,0)</f>
        <v>[Cake] - Cashloan</v>
      </c>
      <c r="H7732" s="128" t="str">
        <f>VLOOKUP(source[[#This Row],[lending_product_transform]],[3]Mapping!$B$3:$D$37,3,0)</f>
        <v>cashloan</v>
      </c>
      <c r="I7732" s="135">
        <v>3508019763</v>
      </c>
    </row>
    <row r="7733" spans="1:9" x14ac:dyDescent="0.2">
      <c r="A7733" s="134">
        <v>45844</v>
      </c>
      <c r="B7733" s="135">
        <f>YEAR(source[[#This Row],[report_date]])</f>
        <v>2025</v>
      </c>
      <c r="C7733" s="128">
        <f t="shared" si="358"/>
        <v>7</v>
      </c>
      <c r="D7733" s="136">
        <f t="shared" si="360"/>
        <v>27</v>
      </c>
      <c r="E7733" s="136">
        <f t="shared" si="359"/>
        <v>6</v>
      </c>
      <c r="F7733" s="128" t="s">
        <v>24</v>
      </c>
      <c r="G7733" s="128" t="str">
        <f>VLOOKUP(source[[#This Row],[lending_product_transform]],[3]Mapping!$B$4:$C$37,2,0)</f>
        <v>[Cake] - Cashloan</v>
      </c>
      <c r="H7733" s="128" t="str">
        <f>VLOOKUP(source[[#This Row],[lending_product_transform]],[3]Mapping!$B$3:$D$37,3,0)</f>
        <v>cashloan</v>
      </c>
      <c r="I7733" s="135">
        <v>12198310000</v>
      </c>
    </row>
    <row r="7734" spans="1:9" x14ac:dyDescent="0.2">
      <c r="A7734" s="134">
        <v>45844</v>
      </c>
      <c r="B7734" s="135">
        <f>YEAR(source[[#This Row],[report_date]])</f>
        <v>2025</v>
      </c>
      <c r="C7734" s="128">
        <f t="shared" ref="C7734:C7797" si="361">MONTH(A7734)</f>
        <v>7</v>
      </c>
      <c r="D7734" s="136">
        <f t="shared" si="360"/>
        <v>27</v>
      </c>
      <c r="E7734" s="136">
        <f t="shared" ref="E7734:E7797" si="362">DAY(A7734)</f>
        <v>6</v>
      </c>
      <c r="F7734" s="128" t="s">
        <v>24</v>
      </c>
      <c r="G7734" s="128" t="str">
        <f>VLOOKUP(source[[#This Row],[lending_product_transform]],[3]Mapping!$B$4:$C$37,2,0)</f>
        <v>[Cake] - Cashloan</v>
      </c>
      <c r="H7734" s="128" t="str">
        <f>VLOOKUP(source[[#This Row],[lending_product_transform]],[3]Mapping!$B$3:$D$37,3,0)</f>
        <v>cashloan</v>
      </c>
      <c r="I7734" s="135">
        <v>680708864</v>
      </c>
    </row>
    <row r="7735" spans="1:9" x14ac:dyDescent="0.2">
      <c r="A7735" s="134">
        <v>45845</v>
      </c>
      <c r="B7735" s="135">
        <f>YEAR(source[[#This Row],[report_date]])</f>
        <v>2025</v>
      </c>
      <c r="C7735" s="128">
        <f t="shared" si="361"/>
        <v>7</v>
      </c>
      <c r="D7735" s="136">
        <f t="shared" si="360"/>
        <v>28</v>
      </c>
      <c r="E7735" s="136">
        <f t="shared" si="362"/>
        <v>7</v>
      </c>
      <c r="F7735" s="128" t="s">
        <v>24</v>
      </c>
      <c r="G7735" s="128" t="str">
        <f>VLOOKUP(source[[#This Row],[lending_product_transform]],[3]Mapping!$B$4:$C$37,2,0)</f>
        <v>[Cake] - Cashloan</v>
      </c>
      <c r="H7735" s="128" t="str">
        <f>VLOOKUP(source[[#This Row],[lending_product_transform]],[3]Mapping!$B$3:$D$37,3,0)</f>
        <v>cashloan</v>
      </c>
      <c r="I7735" s="135">
        <v>5953284000</v>
      </c>
    </row>
    <row r="7736" spans="1:9" x14ac:dyDescent="0.2">
      <c r="A7736" s="134">
        <v>45845</v>
      </c>
      <c r="B7736" s="135">
        <f>YEAR(source[[#This Row],[report_date]])</f>
        <v>2025</v>
      </c>
      <c r="C7736" s="128">
        <f t="shared" si="361"/>
        <v>7</v>
      </c>
      <c r="D7736" s="136">
        <f t="shared" si="360"/>
        <v>28</v>
      </c>
      <c r="E7736" s="136">
        <f t="shared" si="362"/>
        <v>7</v>
      </c>
      <c r="F7736" s="128" t="s">
        <v>24</v>
      </c>
      <c r="G7736" s="128" t="str">
        <f>VLOOKUP(source[[#This Row],[lending_product_transform]],[3]Mapping!$B$4:$C$37,2,0)</f>
        <v>[Cake] - Cashloan</v>
      </c>
      <c r="H7736" s="128" t="str">
        <f>VLOOKUP(source[[#This Row],[lending_product_transform]],[3]Mapping!$B$3:$D$37,3,0)</f>
        <v>cashloan</v>
      </c>
      <c r="I7736" s="135">
        <v>12185770000</v>
      </c>
    </row>
    <row r="7737" spans="1:9" x14ac:dyDescent="0.2">
      <c r="A7737" s="134">
        <v>45845</v>
      </c>
      <c r="B7737" s="135">
        <f>YEAR(source[[#This Row],[report_date]])</f>
        <v>2025</v>
      </c>
      <c r="C7737" s="128">
        <f t="shared" si="361"/>
        <v>7</v>
      </c>
      <c r="D7737" s="136">
        <f t="shared" si="360"/>
        <v>28</v>
      </c>
      <c r="E7737" s="136">
        <f t="shared" si="362"/>
        <v>7</v>
      </c>
      <c r="F7737" s="128" t="s">
        <v>24</v>
      </c>
      <c r="G7737" s="128" t="str">
        <f>VLOOKUP(source[[#This Row],[lending_product_transform]],[3]Mapping!$B$4:$C$37,2,0)</f>
        <v>[Cake] - Cashloan</v>
      </c>
      <c r="H7737" s="128" t="str">
        <f>VLOOKUP(source[[#This Row],[lending_product_transform]],[3]Mapping!$B$3:$D$37,3,0)</f>
        <v>cashloan</v>
      </c>
      <c r="I7737" s="135">
        <v>12865570000</v>
      </c>
    </row>
    <row r="7738" spans="1:9" x14ac:dyDescent="0.2">
      <c r="A7738" s="134">
        <v>45845</v>
      </c>
      <c r="B7738" s="135">
        <f>YEAR(source[[#This Row],[report_date]])</f>
        <v>2025</v>
      </c>
      <c r="C7738" s="128">
        <f t="shared" si="361"/>
        <v>7</v>
      </c>
      <c r="D7738" s="136">
        <f t="shared" si="360"/>
        <v>28</v>
      </c>
      <c r="E7738" s="136">
        <f t="shared" si="362"/>
        <v>7</v>
      </c>
      <c r="F7738" s="128" t="s">
        <v>24</v>
      </c>
      <c r="G7738" s="128" t="str">
        <f>VLOOKUP(source[[#This Row],[lending_product_transform]],[3]Mapping!$B$4:$C$37,2,0)</f>
        <v>[Cake] - Cashloan</v>
      </c>
      <c r="H7738" s="128" t="str">
        <f>VLOOKUP(source[[#This Row],[lending_product_transform]],[3]Mapping!$B$3:$D$37,3,0)</f>
        <v>cashloan</v>
      </c>
      <c r="I7738" s="135">
        <v>0</v>
      </c>
    </row>
    <row r="7739" spans="1:9" x14ac:dyDescent="0.2">
      <c r="A7739" s="134">
        <v>45845</v>
      </c>
      <c r="B7739" s="135">
        <f>YEAR(source[[#This Row],[report_date]])</f>
        <v>2025</v>
      </c>
      <c r="C7739" s="128">
        <f t="shared" si="361"/>
        <v>7</v>
      </c>
      <c r="D7739" s="136">
        <f t="shared" si="360"/>
        <v>28</v>
      </c>
      <c r="E7739" s="136">
        <f t="shared" si="362"/>
        <v>7</v>
      </c>
      <c r="F7739" s="128" t="s">
        <v>24</v>
      </c>
      <c r="G7739" s="128" t="str">
        <f>VLOOKUP(source[[#This Row],[lending_product_transform]],[3]Mapping!$B$4:$C$37,2,0)</f>
        <v>[Cake] - Cashloan</v>
      </c>
      <c r="H7739" s="128" t="str">
        <f>VLOOKUP(source[[#This Row],[lending_product_transform]],[3]Mapping!$B$3:$D$37,3,0)</f>
        <v>cashloan</v>
      </c>
      <c r="I7739" s="135">
        <v>12600000</v>
      </c>
    </row>
    <row r="7740" spans="1:9" x14ac:dyDescent="0.2">
      <c r="A7740" s="134">
        <v>45845</v>
      </c>
      <c r="B7740" s="135">
        <f>YEAR(source[[#This Row],[report_date]])</f>
        <v>2025</v>
      </c>
      <c r="C7740" s="128">
        <f t="shared" si="361"/>
        <v>7</v>
      </c>
      <c r="D7740" s="136">
        <f t="shared" si="360"/>
        <v>28</v>
      </c>
      <c r="E7740" s="136">
        <f t="shared" si="362"/>
        <v>7</v>
      </c>
      <c r="F7740" s="128" t="s">
        <v>24</v>
      </c>
      <c r="G7740" s="128" t="str">
        <f>VLOOKUP(source[[#This Row],[lending_product_transform]],[3]Mapping!$B$4:$C$37,2,0)</f>
        <v>[Cake] - Cashloan</v>
      </c>
      <c r="H7740" s="128" t="str">
        <f>VLOOKUP(source[[#This Row],[lending_product_transform]],[3]Mapping!$B$3:$D$37,3,0)</f>
        <v>cashloan</v>
      </c>
      <c r="I7740" s="135">
        <v>48157638</v>
      </c>
    </row>
    <row r="7741" spans="1:9" x14ac:dyDescent="0.2">
      <c r="A7741" s="134">
        <v>45845</v>
      </c>
      <c r="B7741" s="135">
        <f>YEAR(source[[#This Row],[report_date]])</f>
        <v>2025</v>
      </c>
      <c r="C7741" s="128">
        <f t="shared" si="361"/>
        <v>7</v>
      </c>
      <c r="D7741" s="136">
        <f t="shared" si="360"/>
        <v>28</v>
      </c>
      <c r="E7741" s="136">
        <f t="shared" si="362"/>
        <v>7</v>
      </c>
      <c r="F7741" s="128" t="s">
        <v>24</v>
      </c>
      <c r="G7741" s="128" t="str">
        <f>VLOOKUP(source[[#This Row],[lending_product_transform]],[3]Mapping!$B$4:$C$37,2,0)</f>
        <v>[Cake] - Cashloan</v>
      </c>
      <c r="H7741" s="128" t="str">
        <f>VLOOKUP(source[[#This Row],[lending_product_transform]],[3]Mapping!$B$3:$D$37,3,0)</f>
        <v>cashloan</v>
      </c>
      <c r="I7741" s="135">
        <v>0</v>
      </c>
    </row>
    <row r="7742" spans="1:9" x14ac:dyDescent="0.2">
      <c r="A7742" s="134">
        <v>45845</v>
      </c>
      <c r="B7742" s="135">
        <f>YEAR(source[[#This Row],[report_date]])</f>
        <v>2025</v>
      </c>
      <c r="C7742" s="128">
        <f t="shared" si="361"/>
        <v>7</v>
      </c>
      <c r="D7742" s="136">
        <f t="shared" si="360"/>
        <v>28</v>
      </c>
      <c r="E7742" s="136">
        <f t="shared" si="362"/>
        <v>7</v>
      </c>
      <c r="F7742" s="128" t="s">
        <v>24</v>
      </c>
      <c r="G7742" s="128" t="str">
        <f>VLOOKUP(source[[#This Row],[lending_product_transform]],[3]Mapping!$B$4:$C$37,2,0)</f>
        <v>[Cake] - Cashloan</v>
      </c>
      <c r="H7742" s="128" t="str">
        <f>VLOOKUP(source[[#This Row],[lending_product_transform]],[3]Mapping!$B$3:$D$37,3,0)</f>
        <v>cashloan</v>
      </c>
      <c r="I7742" s="135">
        <v>0</v>
      </c>
    </row>
    <row r="7743" spans="1:9" x14ac:dyDescent="0.2">
      <c r="A7743" s="134">
        <v>45845</v>
      </c>
      <c r="B7743" s="135">
        <f>YEAR(source[[#This Row],[report_date]])</f>
        <v>2025</v>
      </c>
      <c r="C7743" s="128">
        <f t="shared" si="361"/>
        <v>7</v>
      </c>
      <c r="D7743" s="136">
        <f t="shared" si="360"/>
        <v>28</v>
      </c>
      <c r="E7743" s="136">
        <f t="shared" si="362"/>
        <v>7</v>
      </c>
      <c r="F7743" s="128" t="s">
        <v>24</v>
      </c>
      <c r="G7743" s="128" t="str">
        <f>VLOOKUP(source[[#This Row],[lending_product_transform]],[3]Mapping!$B$4:$C$37,2,0)</f>
        <v>[Cake] - Cashloan</v>
      </c>
      <c r="H7743" s="128" t="str">
        <f>VLOOKUP(source[[#This Row],[lending_product_transform]],[3]Mapping!$B$3:$D$37,3,0)</f>
        <v>cashloan</v>
      </c>
      <c r="I7743" s="135">
        <v>31500000</v>
      </c>
    </row>
    <row r="7744" spans="1:9" x14ac:dyDescent="0.2">
      <c r="A7744" s="134">
        <v>45845</v>
      </c>
      <c r="B7744" s="135">
        <f>YEAR(source[[#This Row],[report_date]])</f>
        <v>2025</v>
      </c>
      <c r="C7744" s="128">
        <f t="shared" si="361"/>
        <v>7</v>
      </c>
      <c r="D7744" s="136">
        <f t="shared" si="360"/>
        <v>28</v>
      </c>
      <c r="E7744" s="136">
        <f t="shared" si="362"/>
        <v>7</v>
      </c>
      <c r="F7744" s="128" t="s">
        <v>24</v>
      </c>
      <c r="G7744" s="128" t="str">
        <f>VLOOKUP(source[[#This Row],[lending_product_transform]],[3]Mapping!$B$4:$C$37,2,0)</f>
        <v>[Cake] - Cashloan</v>
      </c>
      <c r="H7744" s="128" t="str">
        <f>VLOOKUP(source[[#This Row],[lending_product_transform]],[3]Mapping!$B$3:$D$37,3,0)</f>
        <v>cashloan</v>
      </c>
      <c r="I7744" s="135">
        <v>47000000</v>
      </c>
    </row>
    <row r="7745" spans="1:9" x14ac:dyDescent="0.2">
      <c r="A7745" s="134">
        <v>45845</v>
      </c>
      <c r="B7745" s="135">
        <f>YEAR(source[[#This Row],[report_date]])</f>
        <v>2025</v>
      </c>
      <c r="C7745" s="128">
        <f t="shared" si="361"/>
        <v>7</v>
      </c>
      <c r="D7745" s="136">
        <f t="shared" si="360"/>
        <v>28</v>
      </c>
      <c r="E7745" s="136">
        <f t="shared" si="362"/>
        <v>7</v>
      </c>
      <c r="F7745" s="128" t="s">
        <v>24</v>
      </c>
      <c r="G7745" s="128" t="str">
        <f>VLOOKUP(source[[#This Row],[lending_product_transform]],[3]Mapping!$B$4:$C$37,2,0)</f>
        <v>[Cake] - Cashloan</v>
      </c>
      <c r="H7745" s="128" t="str">
        <f>VLOOKUP(source[[#This Row],[lending_product_transform]],[3]Mapping!$B$3:$D$37,3,0)</f>
        <v>cashloan</v>
      </c>
      <c r="I7745" s="135">
        <v>0</v>
      </c>
    </row>
    <row r="7746" spans="1:9" x14ac:dyDescent="0.2">
      <c r="A7746" s="134">
        <v>45845</v>
      </c>
      <c r="B7746" s="135">
        <f>YEAR(source[[#This Row],[report_date]])</f>
        <v>2025</v>
      </c>
      <c r="C7746" s="128">
        <f t="shared" si="361"/>
        <v>7</v>
      </c>
      <c r="D7746" s="136">
        <f t="shared" si="360"/>
        <v>28</v>
      </c>
      <c r="E7746" s="136">
        <f t="shared" si="362"/>
        <v>7</v>
      </c>
      <c r="F7746" s="128" t="s">
        <v>24</v>
      </c>
      <c r="G7746" s="128" t="str">
        <f>VLOOKUP(source[[#This Row],[lending_product_transform]],[3]Mapping!$B$4:$C$37,2,0)</f>
        <v>[Cake] - Cashloan</v>
      </c>
      <c r="H7746" s="128" t="str">
        <f>VLOOKUP(source[[#This Row],[lending_product_transform]],[3]Mapping!$B$3:$D$37,3,0)</f>
        <v>cashloan</v>
      </c>
      <c r="I7746" s="135">
        <v>527630000</v>
      </c>
    </row>
    <row r="7747" spans="1:9" x14ac:dyDescent="0.2">
      <c r="A7747" s="134">
        <v>45845</v>
      </c>
      <c r="B7747" s="135">
        <f>YEAR(source[[#This Row],[report_date]])</f>
        <v>2025</v>
      </c>
      <c r="C7747" s="128">
        <f t="shared" si="361"/>
        <v>7</v>
      </c>
      <c r="D7747" s="136">
        <f t="shared" ref="D7747:D7810" si="363">WEEKNUM(A7747,2)</f>
        <v>28</v>
      </c>
      <c r="E7747" s="136">
        <f t="shared" si="362"/>
        <v>7</v>
      </c>
      <c r="F7747" s="128" t="s">
        <v>24</v>
      </c>
      <c r="G7747" s="128" t="str">
        <f>VLOOKUP(source[[#This Row],[lending_product_transform]],[3]Mapping!$B$4:$C$37,2,0)</f>
        <v>[Cake] - Cashloan</v>
      </c>
      <c r="H7747" s="128" t="str">
        <f>VLOOKUP(source[[#This Row],[lending_product_transform]],[3]Mapping!$B$3:$D$37,3,0)</f>
        <v>cashloan</v>
      </c>
      <c r="I7747" s="135">
        <v>3749090000</v>
      </c>
    </row>
    <row r="7748" spans="1:9" x14ac:dyDescent="0.2">
      <c r="A7748" s="134">
        <v>45845</v>
      </c>
      <c r="B7748" s="135">
        <f>YEAR(source[[#This Row],[report_date]])</f>
        <v>2025</v>
      </c>
      <c r="C7748" s="128">
        <f t="shared" si="361"/>
        <v>7</v>
      </c>
      <c r="D7748" s="136">
        <f t="shared" si="363"/>
        <v>28</v>
      </c>
      <c r="E7748" s="136">
        <f t="shared" si="362"/>
        <v>7</v>
      </c>
      <c r="F7748" s="128" t="s">
        <v>24</v>
      </c>
      <c r="G7748" s="128" t="str">
        <f>VLOOKUP(source[[#This Row],[lending_product_transform]],[3]Mapping!$B$4:$C$37,2,0)</f>
        <v>[Cake] - Cashloan</v>
      </c>
      <c r="H7748" s="128" t="str">
        <f>VLOOKUP(source[[#This Row],[lending_product_transform]],[3]Mapping!$B$3:$D$37,3,0)</f>
        <v>cashloan</v>
      </c>
      <c r="I7748" s="135">
        <v>268002000</v>
      </c>
    </row>
    <row r="7749" spans="1:9" x14ac:dyDescent="0.2">
      <c r="A7749" s="134">
        <v>45845</v>
      </c>
      <c r="B7749" s="135">
        <f>YEAR(source[[#This Row],[report_date]])</f>
        <v>2025</v>
      </c>
      <c r="C7749" s="128">
        <f t="shared" si="361"/>
        <v>7</v>
      </c>
      <c r="D7749" s="136">
        <f t="shared" si="363"/>
        <v>28</v>
      </c>
      <c r="E7749" s="136">
        <f t="shared" si="362"/>
        <v>7</v>
      </c>
      <c r="F7749" s="128" t="s">
        <v>24</v>
      </c>
      <c r="G7749" s="128" t="str">
        <f>VLOOKUP(source[[#This Row],[lending_product_transform]],[3]Mapping!$B$4:$C$37,2,0)</f>
        <v>[Cake] - Cashloan</v>
      </c>
      <c r="H7749" s="128" t="str">
        <f>VLOOKUP(source[[#This Row],[lending_product_transform]],[3]Mapping!$B$3:$D$37,3,0)</f>
        <v>cashloan</v>
      </c>
      <c r="I7749" s="135">
        <v>2127090000</v>
      </c>
    </row>
    <row r="7750" spans="1:9" x14ac:dyDescent="0.2">
      <c r="A7750" s="134">
        <v>45845</v>
      </c>
      <c r="B7750" s="135">
        <f>YEAR(source[[#This Row],[report_date]])</f>
        <v>2025</v>
      </c>
      <c r="C7750" s="128">
        <f t="shared" si="361"/>
        <v>7</v>
      </c>
      <c r="D7750" s="136">
        <f t="shared" si="363"/>
        <v>28</v>
      </c>
      <c r="E7750" s="136">
        <f t="shared" si="362"/>
        <v>7</v>
      </c>
      <c r="F7750" s="128" t="s">
        <v>24</v>
      </c>
      <c r="G7750" s="128" t="str">
        <f>VLOOKUP(source[[#This Row],[lending_product_transform]],[3]Mapping!$B$4:$C$37,2,0)</f>
        <v>[Cake] - Cashloan</v>
      </c>
      <c r="H7750" s="128" t="str">
        <f>VLOOKUP(source[[#This Row],[lending_product_transform]],[3]Mapping!$B$3:$D$37,3,0)</f>
        <v>cashloan</v>
      </c>
      <c r="I7750" s="135">
        <v>333439179</v>
      </c>
    </row>
    <row r="7751" spans="1:9" x14ac:dyDescent="0.2">
      <c r="A7751" s="134">
        <v>45845</v>
      </c>
      <c r="B7751" s="135">
        <f>YEAR(source[[#This Row],[report_date]])</f>
        <v>2025</v>
      </c>
      <c r="C7751" s="128">
        <f t="shared" si="361"/>
        <v>7</v>
      </c>
      <c r="D7751" s="136">
        <f t="shared" si="363"/>
        <v>28</v>
      </c>
      <c r="E7751" s="136">
        <f t="shared" si="362"/>
        <v>7</v>
      </c>
      <c r="F7751" s="128" t="s">
        <v>24</v>
      </c>
      <c r="G7751" s="128" t="str">
        <f>VLOOKUP(source[[#This Row],[lending_product_transform]],[3]Mapping!$B$4:$C$37,2,0)</f>
        <v>[Cake] - Cashloan</v>
      </c>
      <c r="H7751" s="128" t="str">
        <f>VLOOKUP(source[[#This Row],[lending_product_transform]],[3]Mapping!$B$3:$D$37,3,0)</f>
        <v>cashloan</v>
      </c>
      <c r="I7751" s="135">
        <v>925736442</v>
      </c>
    </row>
    <row r="7752" spans="1:9" x14ac:dyDescent="0.2">
      <c r="A7752" s="134">
        <v>45845</v>
      </c>
      <c r="B7752" s="135">
        <f>YEAR(source[[#This Row],[report_date]])</f>
        <v>2025</v>
      </c>
      <c r="C7752" s="128">
        <f t="shared" si="361"/>
        <v>7</v>
      </c>
      <c r="D7752" s="136">
        <f t="shared" si="363"/>
        <v>28</v>
      </c>
      <c r="E7752" s="136">
        <f t="shared" si="362"/>
        <v>7</v>
      </c>
      <c r="F7752" s="128" t="s">
        <v>24</v>
      </c>
      <c r="G7752" s="128" t="str">
        <f>VLOOKUP(source[[#This Row],[lending_product_transform]],[3]Mapping!$B$4:$C$37,2,0)</f>
        <v>[Cake] - Cashloan</v>
      </c>
      <c r="H7752" s="128" t="str">
        <f>VLOOKUP(source[[#This Row],[lending_product_transform]],[3]Mapping!$B$3:$D$37,3,0)</f>
        <v>cashloan</v>
      </c>
      <c r="I7752" s="135">
        <v>4462542748</v>
      </c>
    </row>
    <row r="7753" spans="1:9" x14ac:dyDescent="0.2">
      <c r="A7753" s="134">
        <v>45845</v>
      </c>
      <c r="B7753" s="135">
        <f>YEAR(source[[#This Row],[report_date]])</f>
        <v>2025</v>
      </c>
      <c r="C7753" s="128">
        <f t="shared" si="361"/>
        <v>7</v>
      </c>
      <c r="D7753" s="136">
        <f t="shared" si="363"/>
        <v>28</v>
      </c>
      <c r="E7753" s="136">
        <f t="shared" si="362"/>
        <v>7</v>
      </c>
      <c r="F7753" s="128" t="s">
        <v>24</v>
      </c>
      <c r="G7753" s="128" t="str">
        <f>VLOOKUP(source[[#This Row],[lending_product_transform]],[3]Mapping!$B$4:$C$37,2,0)</f>
        <v>[Cake] - Cashloan</v>
      </c>
      <c r="H7753" s="128" t="str">
        <f>VLOOKUP(source[[#This Row],[lending_product_transform]],[3]Mapping!$B$3:$D$37,3,0)</f>
        <v>cashloan</v>
      </c>
      <c r="I7753" s="135">
        <v>672515831</v>
      </c>
    </row>
    <row r="7754" spans="1:9" x14ac:dyDescent="0.2">
      <c r="A7754" s="134">
        <v>45846</v>
      </c>
      <c r="B7754" s="135">
        <f>YEAR(source[[#This Row],[report_date]])</f>
        <v>2025</v>
      </c>
      <c r="C7754" s="128">
        <f t="shared" si="361"/>
        <v>7</v>
      </c>
      <c r="D7754" s="136">
        <f t="shared" si="363"/>
        <v>28</v>
      </c>
      <c r="E7754" s="136">
        <f t="shared" si="362"/>
        <v>8</v>
      </c>
      <c r="F7754" s="128" t="s">
        <v>24</v>
      </c>
      <c r="G7754" s="128" t="str">
        <f>VLOOKUP(source[[#This Row],[lending_product_transform]],[3]Mapping!$B$4:$C$37,2,0)</f>
        <v>[Cake] - Cashloan</v>
      </c>
      <c r="H7754" s="128" t="str">
        <f>VLOOKUP(source[[#This Row],[lending_product_transform]],[3]Mapping!$B$3:$D$37,3,0)</f>
        <v>cashloan</v>
      </c>
      <c r="I7754" s="135">
        <v>13080430000</v>
      </c>
    </row>
    <row r="7755" spans="1:9" x14ac:dyDescent="0.2">
      <c r="A7755" s="134">
        <v>45846</v>
      </c>
      <c r="B7755" s="135">
        <f>YEAR(source[[#This Row],[report_date]])</f>
        <v>2025</v>
      </c>
      <c r="C7755" s="128">
        <f t="shared" si="361"/>
        <v>7</v>
      </c>
      <c r="D7755" s="136">
        <f t="shared" si="363"/>
        <v>28</v>
      </c>
      <c r="E7755" s="136">
        <f t="shared" si="362"/>
        <v>8</v>
      </c>
      <c r="F7755" s="128" t="s">
        <v>24</v>
      </c>
      <c r="G7755" s="128" t="str">
        <f>VLOOKUP(source[[#This Row],[lending_product_transform]],[3]Mapping!$B$4:$C$37,2,0)</f>
        <v>[Cake] - Cashloan</v>
      </c>
      <c r="H7755" s="128" t="str">
        <f>VLOOKUP(source[[#This Row],[lending_product_transform]],[3]Mapping!$B$3:$D$37,3,0)</f>
        <v>cashloan</v>
      </c>
      <c r="I7755" s="135">
        <v>11593100000</v>
      </c>
    </row>
    <row r="7756" spans="1:9" x14ac:dyDescent="0.2">
      <c r="A7756" s="134">
        <v>45846</v>
      </c>
      <c r="B7756" s="135">
        <f>YEAR(source[[#This Row],[report_date]])</f>
        <v>2025</v>
      </c>
      <c r="C7756" s="128">
        <f t="shared" si="361"/>
        <v>7</v>
      </c>
      <c r="D7756" s="136">
        <f t="shared" si="363"/>
        <v>28</v>
      </c>
      <c r="E7756" s="136">
        <f t="shared" si="362"/>
        <v>8</v>
      </c>
      <c r="F7756" s="128" t="s">
        <v>24</v>
      </c>
      <c r="G7756" s="128" t="str">
        <f>VLOOKUP(source[[#This Row],[lending_product_transform]],[3]Mapping!$B$4:$C$37,2,0)</f>
        <v>[Cake] - Cashloan</v>
      </c>
      <c r="H7756" s="128" t="str">
        <f>VLOOKUP(source[[#This Row],[lending_product_transform]],[3]Mapping!$B$3:$D$37,3,0)</f>
        <v>cashloan</v>
      </c>
      <c r="I7756" s="135">
        <v>658736982</v>
      </c>
    </row>
    <row r="7757" spans="1:9" x14ac:dyDescent="0.2">
      <c r="A7757" s="134">
        <v>45846</v>
      </c>
      <c r="B7757" s="135">
        <f>YEAR(source[[#This Row],[report_date]])</f>
        <v>2025</v>
      </c>
      <c r="C7757" s="128">
        <f t="shared" si="361"/>
        <v>7</v>
      </c>
      <c r="D7757" s="136">
        <f t="shared" si="363"/>
        <v>28</v>
      </c>
      <c r="E7757" s="136">
        <f t="shared" si="362"/>
        <v>8</v>
      </c>
      <c r="F7757" s="128" t="s">
        <v>24</v>
      </c>
      <c r="G7757" s="128" t="str">
        <f>VLOOKUP(source[[#This Row],[lending_product_transform]],[3]Mapping!$B$4:$C$37,2,0)</f>
        <v>[Cake] - Cashloan</v>
      </c>
      <c r="H7757" s="128" t="str">
        <f>VLOOKUP(source[[#This Row],[lending_product_transform]],[3]Mapping!$B$3:$D$37,3,0)</f>
        <v>cashloan</v>
      </c>
      <c r="I7757" s="135">
        <v>571290000</v>
      </c>
    </row>
    <row r="7758" spans="1:9" x14ac:dyDescent="0.2">
      <c r="A7758" s="134">
        <v>45846</v>
      </c>
      <c r="B7758" s="135">
        <f>YEAR(source[[#This Row],[report_date]])</f>
        <v>2025</v>
      </c>
      <c r="C7758" s="128">
        <f t="shared" si="361"/>
        <v>7</v>
      </c>
      <c r="D7758" s="136">
        <f t="shared" si="363"/>
        <v>28</v>
      </c>
      <c r="E7758" s="136">
        <f t="shared" si="362"/>
        <v>8</v>
      </c>
      <c r="F7758" s="128" t="s">
        <v>24</v>
      </c>
      <c r="G7758" s="128" t="str">
        <f>VLOOKUP(source[[#This Row],[lending_product_transform]],[3]Mapping!$B$4:$C$37,2,0)</f>
        <v>[Cake] - Cashloan</v>
      </c>
      <c r="H7758" s="128" t="str">
        <f>VLOOKUP(source[[#This Row],[lending_product_transform]],[3]Mapping!$B$3:$D$37,3,0)</f>
        <v>cashloan</v>
      </c>
      <c r="I7758" s="135">
        <v>0</v>
      </c>
    </row>
    <row r="7759" spans="1:9" x14ac:dyDescent="0.2">
      <c r="A7759" s="134">
        <v>45846</v>
      </c>
      <c r="B7759" s="135">
        <f>YEAR(source[[#This Row],[report_date]])</f>
        <v>2025</v>
      </c>
      <c r="C7759" s="128">
        <f t="shared" si="361"/>
        <v>7</v>
      </c>
      <c r="D7759" s="136">
        <f t="shared" si="363"/>
        <v>28</v>
      </c>
      <c r="E7759" s="136">
        <f t="shared" si="362"/>
        <v>8</v>
      </c>
      <c r="F7759" s="128" t="s">
        <v>24</v>
      </c>
      <c r="G7759" s="128" t="str">
        <f>VLOOKUP(source[[#This Row],[lending_product_transform]],[3]Mapping!$B$4:$C$37,2,0)</f>
        <v>[Cake] - Cashloan</v>
      </c>
      <c r="H7759" s="128" t="str">
        <f>VLOOKUP(source[[#This Row],[lending_product_transform]],[3]Mapping!$B$3:$D$37,3,0)</f>
        <v>cashloan</v>
      </c>
      <c r="I7759" s="135">
        <v>0</v>
      </c>
    </row>
    <row r="7760" spans="1:9" x14ac:dyDescent="0.2">
      <c r="A7760" s="134">
        <v>45846</v>
      </c>
      <c r="B7760" s="135">
        <f>YEAR(source[[#This Row],[report_date]])</f>
        <v>2025</v>
      </c>
      <c r="C7760" s="128">
        <f t="shared" si="361"/>
        <v>7</v>
      </c>
      <c r="D7760" s="136">
        <f t="shared" si="363"/>
        <v>28</v>
      </c>
      <c r="E7760" s="136">
        <f t="shared" si="362"/>
        <v>8</v>
      </c>
      <c r="F7760" s="128" t="s">
        <v>24</v>
      </c>
      <c r="G7760" s="128" t="str">
        <f>VLOOKUP(source[[#This Row],[lending_product_transform]],[3]Mapping!$B$4:$C$37,2,0)</f>
        <v>[Cake] - Cashloan</v>
      </c>
      <c r="H7760" s="128" t="str">
        <f>VLOOKUP(source[[#This Row],[lending_product_transform]],[3]Mapping!$B$3:$D$37,3,0)</f>
        <v>cashloan</v>
      </c>
      <c r="I7760" s="135">
        <v>1783870000</v>
      </c>
    </row>
    <row r="7761" spans="1:9" x14ac:dyDescent="0.2">
      <c r="A7761" s="134">
        <v>45846</v>
      </c>
      <c r="B7761" s="135">
        <f>YEAR(source[[#This Row],[report_date]])</f>
        <v>2025</v>
      </c>
      <c r="C7761" s="128">
        <f t="shared" si="361"/>
        <v>7</v>
      </c>
      <c r="D7761" s="136">
        <f t="shared" si="363"/>
        <v>28</v>
      </c>
      <c r="E7761" s="136">
        <f t="shared" si="362"/>
        <v>8</v>
      </c>
      <c r="F7761" s="128" t="s">
        <v>24</v>
      </c>
      <c r="G7761" s="128" t="str">
        <f>VLOOKUP(source[[#This Row],[lending_product_transform]],[3]Mapping!$B$4:$C$37,2,0)</f>
        <v>[Cake] - Cashloan</v>
      </c>
      <c r="H7761" s="128" t="str">
        <f>VLOOKUP(source[[#This Row],[lending_product_transform]],[3]Mapping!$B$3:$D$37,3,0)</f>
        <v>cashloan</v>
      </c>
      <c r="I7761" s="135">
        <v>320419110</v>
      </c>
    </row>
    <row r="7762" spans="1:9" x14ac:dyDescent="0.2">
      <c r="A7762" s="134">
        <v>45846</v>
      </c>
      <c r="B7762" s="135">
        <f>YEAR(source[[#This Row],[report_date]])</f>
        <v>2025</v>
      </c>
      <c r="C7762" s="128">
        <f t="shared" si="361"/>
        <v>7</v>
      </c>
      <c r="D7762" s="136">
        <f t="shared" si="363"/>
        <v>28</v>
      </c>
      <c r="E7762" s="136">
        <f t="shared" si="362"/>
        <v>8</v>
      </c>
      <c r="F7762" s="128" t="s">
        <v>24</v>
      </c>
      <c r="G7762" s="128" t="str">
        <f>VLOOKUP(source[[#This Row],[lending_product_transform]],[3]Mapping!$B$4:$C$37,2,0)</f>
        <v>[Cake] - Cashloan</v>
      </c>
      <c r="H7762" s="128" t="str">
        <f>VLOOKUP(source[[#This Row],[lending_product_transform]],[3]Mapping!$B$3:$D$37,3,0)</f>
        <v>cashloan</v>
      </c>
      <c r="I7762" s="135">
        <v>457099430</v>
      </c>
    </row>
    <row r="7763" spans="1:9" x14ac:dyDescent="0.2">
      <c r="A7763" s="134">
        <v>45846</v>
      </c>
      <c r="B7763" s="135">
        <f>YEAR(source[[#This Row],[report_date]])</f>
        <v>2025</v>
      </c>
      <c r="C7763" s="128">
        <f t="shared" si="361"/>
        <v>7</v>
      </c>
      <c r="D7763" s="136">
        <f t="shared" si="363"/>
        <v>28</v>
      </c>
      <c r="E7763" s="136">
        <f t="shared" si="362"/>
        <v>8</v>
      </c>
      <c r="F7763" s="128" t="s">
        <v>24</v>
      </c>
      <c r="G7763" s="128" t="str">
        <f>VLOOKUP(source[[#This Row],[lending_product_transform]],[3]Mapping!$B$4:$C$37,2,0)</f>
        <v>[Cake] - Cashloan</v>
      </c>
      <c r="H7763" s="128" t="str">
        <f>VLOOKUP(source[[#This Row],[lending_product_transform]],[3]Mapping!$B$3:$D$37,3,0)</f>
        <v>cashloan</v>
      </c>
      <c r="I7763" s="135">
        <v>348390969</v>
      </c>
    </row>
    <row r="7764" spans="1:9" x14ac:dyDescent="0.2">
      <c r="A7764" s="134">
        <v>45846</v>
      </c>
      <c r="B7764" s="135">
        <f>YEAR(source[[#This Row],[report_date]])</f>
        <v>2025</v>
      </c>
      <c r="C7764" s="128">
        <f t="shared" si="361"/>
        <v>7</v>
      </c>
      <c r="D7764" s="136">
        <f t="shared" si="363"/>
        <v>28</v>
      </c>
      <c r="E7764" s="136">
        <f t="shared" si="362"/>
        <v>8</v>
      </c>
      <c r="F7764" s="128" t="s">
        <v>24</v>
      </c>
      <c r="G7764" s="128" t="str">
        <f>VLOOKUP(source[[#This Row],[lending_product_transform]],[3]Mapping!$B$4:$C$37,2,0)</f>
        <v>[Cake] - Cashloan</v>
      </c>
      <c r="H7764" s="128" t="str">
        <f>VLOOKUP(source[[#This Row],[lending_product_transform]],[3]Mapping!$B$3:$D$37,3,0)</f>
        <v>cashloan</v>
      </c>
      <c r="I7764" s="135">
        <v>5448060000</v>
      </c>
    </row>
    <row r="7765" spans="1:9" x14ac:dyDescent="0.2">
      <c r="A7765" s="134">
        <v>45846</v>
      </c>
      <c r="B7765" s="135">
        <f>YEAR(source[[#This Row],[report_date]])</f>
        <v>2025</v>
      </c>
      <c r="C7765" s="128">
        <f t="shared" si="361"/>
        <v>7</v>
      </c>
      <c r="D7765" s="136">
        <f t="shared" si="363"/>
        <v>28</v>
      </c>
      <c r="E7765" s="136">
        <f t="shared" si="362"/>
        <v>8</v>
      </c>
      <c r="F7765" s="128" t="s">
        <v>24</v>
      </c>
      <c r="G7765" s="128" t="str">
        <f>VLOOKUP(source[[#This Row],[lending_product_transform]],[3]Mapping!$B$4:$C$37,2,0)</f>
        <v>[Cake] - Cashloan</v>
      </c>
      <c r="H7765" s="128" t="str">
        <f>VLOOKUP(source[[#This Row],[lending_product_transform]],[3]Mapping!$B$3:$D$37,3,0)</f>
        <v>cashloan</v>
      </c>
      <c r="I7765" s="135">
        <v>3699335581</v>
      </c>
    </row>
    <row r="7766" spans="1:9" x14ac:dyDescent="0.2">
      <c r="A7766" s="134">
        <v>45846</v>
      </c>
      <c r="B7766" s="135">
        <f>YEAR(source[[#This Row],[report_date]])</f>
        <v>2025</v>
      </c>
      <c r="C7766" s="128">
        <f t="shared" si="361"/>
        <v>7</v>
      </c>
      <c r="D7766" s="136">
        <f t="shared" si="363"/>
        <v>28</v>
      </c>
      <c r="E7766" s="136">
        <f t="shared" si="362"/>
        <v>8</v>
      </c>
      <c r="F7766" s="128" t="s">
        <v>24</v>
      </c>
      <c r="G7766" s="128" t="str">
        <f>VLOOKUP(source[[#This Row],[lending_product_transform]],[3]Mapping!$B$4:$C$37,2,0)</f>
        <v>[Cake] - Cashloan</v>
      </c>
      <c r="H7766" s="128" t="str">
        <f>VLOOKUP(source[[#This Row],[lending_product_transform]],[3]Mapping!$B$3:$D$37,3,0)</f>
        <v>cashloan</v>
      </c>
      <c r="I7766" s="135">
        <v>47250000</v>
      </c>
    </row>
    <row r="7767" spans="1:9" x14ac:dyDescent="0.2">
      <c r="A7767" s="134">
        <v>45846</v>
      </c>
      <c r="B7767" s="135">
        <f>YEAR(source[[#This Row],[report_date]])</f>
        <v>2025</v>
      </c>
      <c r="C7767" s="128">
        <f t="shared" si="361"/>
        <v>7</v>
      </c>
      <c r="D7767" s="136">
        <f t="shared" si="363"/>
        <v>28</v>
      </c>
      <c r="E7767" s="136">
        <f t="shared" si="362"/>
        <v>8</v>
      </c>
      <c r="F7767" s="128" t="s">
        <v>24</v>
      </c>
      <c r="G7767" s="128" t="str">
        <f>VLOOKUP(source[[#This Row],[lending_product_transform]],[3]Mapping!$B$4:$C$37,2,0)</f>
        <v>[Cake] - Cashloan</v>
      </c>
      <c r="H7767" s="128" t="str">
        <f>VLOOKUP(source[[#This Row],[lending_product_transform]],[3]Mapping!$B$3:$D$37,3,0)</f>
        <v>cashloan</v>
      </c>
      <c r="I7767" s="135">
        <v>0</v>
      </c>
    </row>
    <row r="7768" spans="1:9" x14ac:dyDescent="0.2">
      <c r="A7768" s="134">
        <v>45846</v>
      </c>
      <c r="B7768" s="135">
        <f>YEAR(source[[#This Row],[report_date]])</f>
        <v>2025</v>
      </c>
      <c r="C7768" s="128">
        <f t="shared" si="361"/>
        <v>7</v>
      </c>
      <c r="D7768" s="136">
        <f t="shared" si="363"/>
        <v>28</v>
      </c>
      <c r="E7768" s="136">
        <f t="shared" si="362"/>
        <v>8</v>
      </c>
      <c r="F7768" s="128" t="s">
        <v>24</v>
      </c>
      <c r="G7768" s="128" t="str">
        <f>VLOOKUP(source[[#This Row],[lending_product_transform]],[3]Mapping!$B$4:$C$37,2,0)</f>
        <v>[Cake] - Cashloan</v>
      </c>
      <c r="H7768" s="128" t="str">
        <f>VLOOKUP(source[[#This Row],[lending_product_transform]],[3]Mapping!$B$3:$D$37,3,0)</f>
        <v>cashloan</v>
      </c>
      <c r="I7768" s="135">
        <v>0</v>
      </c>
    </row>
    <row r="7769" spans="1:9" x14ac:dyDescent="0.2">
      <c r="A7769" s="134">
        <v>45846</v>
      </c>
      <c r="B7769" s="135">
        <f>YEAR(source[[#This Row],[report_date]])</f>
        <v>2025</v>
      </c>
      <c r="C7769" s="128">
        <f t="shared" si="361"/>
        <v>7</v>
      </c>
      <c r="D7769" s="136">
        <f t="shared" si="363"/>
        <v>28</v>
      </c>
      <c r="E7769" s="136">
        <f t="shared" si="362"/>
        <v>8</v>
      </c>
      <c r="F7769" s="128" t="s">
        <v>24</v>
      </c>
      <c r="G7769" s="128" t="str">
        <f>VLOOKUP(source[[#This Row],[lending_product_transform]],[3]Mapping!$B$4:$C$37,2,0)</f>
        <v>[Cake] - Cashloan</v>
      </c>
      <c r="H7769" s="128" t="str">
        <f>VLOOKUP(source[[#This Row],[lending_product_transform]],[3]Mapping!$B$3:$D$37,3,0)</f>
        <v>cashloan</v>
      </c>
      <c r="I7769" s="135">
        <v>38594533</v>
      </c>
    </row>
    <row r="7770" spans="1:9" x14ac:dyDescent="0.2">
      <c r="A7770" s="134">
        <v>45846</v>
      </c>
      <c r="B7770" s="135">
        <f>YEAR(source[[#This Row],[report_date]])</f>
        <v>2025</v>
      </c>
      <c r="C7770" s="128">
        <f t="shared" si="361"/>
        <v>7</v>
      </c>
      <c r="D7770" s="136">
        <f t="shared" si="363"/>
        <v>28</v>
      </c>
      <c r="E7770" s="136">
        <f t="shared" si="362"/>
        <v>8</v>
      </c>
      <c r="F7770" s="128" t="s">
        <v>24</v>
      </c>
      <c r="G7770" s="128" t="str">
        <f>VLOOKUP(source[[#This Row],[lending_product_transform]],[3]Mapping!$B$4:$C$37,2,0)</f>
        <v>[Cake] - Cashloan</v>
      </c>
      <c r="H7770" s="128" t="str">
        <f>VLOOKUP(source[[#This Row],[lending_product_transform]],[3]Mapping!$B$3:$D$37,3,0)</f>
        <v>cashloan</v>
      </c>
      <c r="I7770" s="135">
        <v>0</v>
      </c>
    </row>
    <row r="7771" spans="1:9" x14ac:dyDescent="0.2">
      <c r="A7771" s="134">
        <v>45846</v>
      </c>
      <c r="B7771" s="135">
        <f>YEAR(source[[#This Row],[report_date]])</f>
        <v>2025</v>
      </c>
      <c r="C7771" s="128">
        <f t="shared" si="361"/>
        <v>7</v>
      </c>
      <c r="D7771" s="136">
        <f t="shared" si="363"/>
        <v>28</v>
      </c>
      <c r="E7771" s="136">
        <f t="shared" si="362"/>
        <v>8</v>
      </c>
      <c r="F7771" s="128" t="s">
        <v>24</v>
      </c>
      <c r="G7771" s="128" t="str">
        <f>VLOOKUP(source[[#This Row],[lending_product_transform]],[3]Mapping!$B$4:$C$37,2,0)</f>
        <v>[Cake] - Cashloan</v>
      </c>
      <c r="H7771" s="128" t="str">
        <f>VLOOKUP(source[[#This Row],[lending_product_transform]],[3]Mapping!$B$3:$D$37,3,0)</f>
        <v>cashloan</v>
      </c>
      <c r="I7771" s="135">
        <v>0</v>
      </c>
    </row>
    <row r="7772" spans="1:9" x14ac:dyDescent="0.2">
      <c r="A7772" s="134">
        <v>45846</v>
      </c>
      <c r="B7772" s="135">
        <f>YEAR(source[[#This Row],[report_date]])</f>
        <v>2025</v>
      </c>
      <c r="C7772" s="128">
        <f t="shared" si="361"/>
        <v>7</v>
      </c>
      <c r="D7772" s="136">
        <f t="shared" si="363"/>
        <v>28</v>
      </c>
      <c r="E7772" s="136">
        <f t="shared" si="362"/>
        <v>8</v>
      </c>
      <c r="F7772" s="128" t="s">
        <v>24</v>
      </c>
      <c r="G7772" s="128" t="str">
        <f>VLOOKUP(source[[#This Row],[lending_product_transform]],[3]Mapping!$B$4:$C$37,2,0)</f>
        <v>[Cake] - Cashloan</v>
      </c>
      <c r="H7772" s="128" t="str">
        <f>VLOOKUP(source[[#This Row],[lending_product_transform]],[3]Mapping!$B$3:$D$37,3,0)</f>
        <v>cashloan</v>
      </c>
      <c r="I7772" s="135">
        <v>3596580000</v>
      </c>
    </row>
    <row r="7773" spans="1:9" x14ac:dyDescent="0.2">
      <c r="A7773" s="134">
        <v>45847</v>
      </c>
      <c r="B7773" s="135">
        <f>YEAR(source[[#This Row],[report_date]])</f>
        <v>2025</v>
      </c>
      <c r="C7773" s="128">
        <f t="shared" si="361"/>
        <v>7</v>
      </c>
      <c r="D7773" s="136">
        <f t="shared" si="363"/>
        <v>28</v>
      </c>
      <c r="E7773" s="136">
        <f t="shared" si="362"/>
        <v>9</v>
      </c>
      <c r="F7773" s="128" t="s">
        <v>24</v>
      </c>
      <c r="G7773" s="128" t="str">
        <f>VLOOKUP(source[[#This Row],[lending_product_transform]],[3]Mapping!$B$4:$C$37,2,0)</f>
        <v>[Cake] - Cashloan</v>
      </c>
      <c r="H7773" s="128" t="str">
        <f>VLOOKUP(source[[#This Row],[lending_product_transform]],[3]Mapping!$B$3:$D$37,3,0)</f>
        <v>cashloan</v>
      </c>
      <c r="I7773" s="135">
        <v>0</v>
      </c>
    </row>
    <row r="7774" spans="1:9" x14ac:dyDescent="0.2">
      <c r="A7774" s="134">
        <v>45847</v>
      </c>
      <c r="B7774" s="135">
        <f>YEAR(source[[#This Row],[report_date]])</f>
        <v>2025</v>
      </c>
      <c r="C7774" s="128">
        <f t="shared" si="361"/>
        <v>7</v>
      </c>
      <c r="D7774" s="136">
        <f t="shared" si="363"/>
        <v>28</v>
      </c>
      <c r="E7774" s="136">
        <f t="shared" si="362"/>
        <v>9</v>
      </c>
      <c r="F7774" s="128" t="s">
        <v>24</v>
      </c>
      <c r="G7774" s="128" t="str">
        <f>VLOOKUP(source[[#This Row],[lending_product_transform]],[3]Mapping!$B$4:$C$37,2,0)</f>
        <v>[Cake] - Cashloan</v>
      </c>
      <c r="H7774" s="128" t="str">
        <f>VLOOKUP(source[[#This Row],[lending_product_transform]],[3]Mapping!$B$3:$D$37,3,0)</f>
        <v>cashloan</v>
      </c>
      <c r="I7774" s="135">
        <v>0</v>
      </c>
    </row>
    <row r="7775" spans="1:9" x14ac:dyDescent="0.2">
      <c r="A7775" s="134">
        <v>45847</v>
      </c>
      <c r="B7775" s="135">
        <f>YEAR(source[[#This Row],[report_date]])</f>
        <v>2025</v>
      </c>
      <c r="C7775" s="128">
        <f t="shared" si="361"/>
        <v>7</v>
      </c>
      <c r="D7775" s="136">
        <f t="shared" si="363"/>
        <v>28</v>
      </c>
      <c r="E7775" s="136">
        <f t="shared" si="362"/>
        <v>9</v>
      </c>
      <c r="F7775" s="128" t="s">
        <v>24</v>
      </c>
      <c r="G7775" s="128" t="str">
        <f>VLOOKUP(source[[#This Row],[lending_product_transform]],[3]Mapping!$B$4:$C$37,2,0)</f>
        <v>[Cake] - Cashloan</v>
      </c>
      <c r="H7775" s="128" t="str">
        <f>VLOOKUP(source[[#This Row],[lending_product_transform]],[3]Mapping!$B$3:$D$37,3,0)</f>
        <v>cashloan</v>
      </c>
      <c r="I7775" s="135">
        <v>0</v>
      </c>
    </row>
    <row r="7776" spans="1:9" x14ac:dyDescent="0.2">
      <c r="A7776" s="134">
        <v>45847</v>
      </c>
      <c r="B7776" s="135">
        <f>YEAR(source[[#This Row],[report_date]])</f>
        <v>2025</v>
      </c>
      <c r="C7776" s="128">
        <f t="shared" si="361"/>
        <v>7</v>
      </c>
      <c r="D7776" s="136">
        <f t="shared" si="363"/>
        <v>28</v>
      </c>
      <c r="E7776" s="136">
        <f t="shared" si="362"/>
        <v>9</v>
      </c>
      <c r="F7776" s="128" t="s">
        <v>24</v>
      </c>
      <c r="G7776" s="128" t="str">
        <f>VLOOKUP(source[[#This Row],[lending_product_transform]],[3]Mapping!$B$4:$C$37,2,0)</f>
        <v>[Cake] - Cashloan</v>
      </c>
      <c r="H7776" s="128" t="str">
        <f>VLOOKUP(source[[#This Row],[lending_product_transform]],[3]Mapping!$B$3:$D$37,3,0)</f>
        <v>cashloan</v>
      </c>
      <c r="I7776" s="135">
        <v>11338750000</v>
      </c>
    </row>
    <row r="7777" spans="1:9" x14ac:dyDescent="0.2">
      <c r="A7777" s="134">
        <v>45847</v>
      </c>
      <c r="B7777" s="135">
        <f>YEAR(source[[#This Row],[report_date]])</f>
        <v>2025</v>
      </c>
      <c r="C7777" s="128">
        <f t="shared" si="361"/>
        <v>7</v>
      </c>
      <c r="D7777" s="136">
        <f t="shared" si="363"/>
        <v>28</v>
      </c>
      <c r="E7777" s="136">
        <f t="shared" si="362"/>
        <v>9</v>
      </c>
      <c r="F7777" s="128" t="s">
        <v>24</v>
      </c>
      <c r="G7777" s="128" t="str">
        <f>VLOOKUP(source[[#This Row],[lending_product_transform]],[3]Mapping!$B$4:$C$37,2,0)</f>
        <v>[Cake] - Cashloan</v>
      </c>
      <c r="H7777" s="128" t="str">
        <f>VLOOKUP(source[[#This Row],[lending_product_transform]],[3]Mapping!$B$3:$D$37,3,0)</f>
        <v>cashloan</v>
      </c>
      <c r="I7777" s="135">
        <v>23289970</v>
      </c>
    </row>
    <row r="7778" spans="1:9" x14ac:dyDescent="0.2">
      <c r="A7778" s="134">
        <v>45847</v>
      </c>
      <c r="B7778" s="135">
        <f>YEAR(source[[#This Row],[report_date]])</f>
        <v>2025</v>
      </c>
      <c r="C7778" s="128">
        <f t="shared" si="361"/>
        <v>7</v>
      </c>
      <c r="D7778" s="136">
        <f t="shared" si="363"/>
        <v>28</v>
      </c>
      <c r="E7778" s="136">
        <f t="shared" si="362"/>
        <v>9</v>
      </c>
      <c r="F7778" s="128" t="s">
        <v>24</v>
      </c>
      <c r="G7778" s="128" t="str">
        <f>VLOOKUP(source[[#This Row],[lending_product_transform]],[3]Mapping!$B$4:$C$37,2,0)</f>
        <v>[Cake] - Cashloan</v>
      </c>
      <c r="H7778" s="128" t="str">
        <f>VLOOKUP(source[[#This Row],[lending_product_transform]],[3]Mapping!$B$3:$D$37,3,0)</f>
        <v>cashloan</v>
      </c>
      <c r="I7778" s="135">
        <v>0</v>
      </c>
    </row>
    <row r="7779" spans="1:9" x14ac:dyDescent="0.2">
      <c r="A7779" s="134">
        <v>45847</v>
      </c>
      <c r="B7779" s="135">
        <f>YEAR(source[[#This Row],[report_date]])</f>
        <v>2025</v>
      </c>
      <c r="C7779" s="128">
        <f t="shared" si="361"/>
        <v>7</v>
      </c>
      <c r="D7779" s="136">
        <f t="shared" si="363"/>
        <v>28</v>
      </c>
      <c r="E7779" s="136">
        <f t="shared" si="362"/>
        <v>9</v>
      </c>
      <c r="F7779" s="128" t="s">
        <v>24</v>
      </c>
      <c r="G7779" s="128" t="str">
        <f>VLOOKUP(source[[#This Row],[lending_product_transform]],[3]Mapping!$B$4:$C$37,2,0)</f>
        <v>[Cake] - Cashloan</v>
      </c>
      <c r="H7779" s="128" t="str">
        <f>VLOOKUP(source[[#This Row],[lending_product_transform]],[3]Mapping!$B$3:$D$37,3,0)</f>
        <v>cashloan</v>
      </c>
      <c r="I7779" s="135">
        <v>0</v>
      </c>
    </row>
    <row r="7780" spans="1:9" x14ac:dyDescent="0.2">
      <c r="A7780" s="134">
        <v>45847</v>
      </c>
      <c r="B7780" s="135">
        <f>YEAR(source[[#This Row],[report_date]])</f>
        <v>2025</v>
      </c>
      <c r="C7780" s="128">
        <f t="shared" si="361"/>
        <v>7</v>
      </c>
      <c r="D7780" s="136">
        <f t="shared" si="363"/>
        <v>28</v>
      </c>
      <c r="E7780" s="136">
        <f t="shared" si="362"/>
        <v>9</v>
      </c>
      <c r="F7780" s="128" t="s">
        <v>24</v>
      </c>
      <c r="G7780" s="128" t="str">
        <f>VLOOKUP(source[[#This Row],[lending_product_transform]],[3]Mapping!$B$4:$C$37,2,0)</f>
        <v>[Cake] - Cashloan</v>
      </c>
      <c r="H7780" s="128" t="str">
        <f>VLOOKUP(source[[#This Row],[lending_product_transform]],[3]Mapping!$B$3:$D$37,3,0)</f>
        <v>cashloan</v>
      </c>
      <c r="I7780" s="135">
        <v>0</v>
      </c>
    </row>
    <row r="7781" spans="1:9" x14ac:dyDescent="0.2">
      <c r="A7781" s="134">
        <v>45847</v>
      </c>
      <c r="B7781" s="135">
        <f>YEAR(source[[#This Row],[report_date]])</f>
        <v>2025</v>
      </c>
      <c r="C7781" s="128">
        <f t="shared" si="361"/>
        <v>7</v>
      </c>
      <c r="D7781" s="136">
        <f t="shared" si="363"/>
        <v>28</v>
      </c>
      <c r="E7781" s="136">
        <f t="shared" si="362"/>
        <v>9</v>
      </c>
      <c r="F7781" s="128" t="s">
        <v>24</v>
      </c>
      <c r="G7781" s="128" t="str">
        <f>VLOOKUP(source[[#This Row],[lending_product_transform]],[3]Mapping!$B$4:$C$37,2,0)</f>
        <v>[Cake] - Cashloan</v>
      </c>
      <c r="H7781" s="128" t="str">
        <f>VLOOKUP(source[[#This Row],[lending_product_transform]],[3]Mapping!$B$3:$D$37,3,0)</f>
        <v>cashloan</v>
      </c>
      <c r="I7781" s="135">
        <v>0</v>
      </c>
    </row>
    <row r="7782" spans="1:9" x14ac:dyDescent="0.2">
      <c r="A7782" s="134">
        <v>45847</v>
      </c>
      <c r="B7782" s="135">
        <f>YEAR(source[[#This Row],[report_date]])</f>
        <v>2025</v>
      </c>
      <c r="C7782" s="128">
        <f t="shared" si="361"/>
        <v>7</v>
      </c>
      <c r="D7782" s="136">
        <f t="shared" si="363"/>
        <v>28</v>
      </c>
      <c r="E7782" s="136">
        <f t="shared" si="362"/>
        <v>9</v>
      </c>
      <c r="F7782" s="128" t="s">
        <v>24</v>
      </c>
      <c r="G7782" s="128" t="str">
        <f>VLOOKUP(source[[#This Row],[lending_product_transform]],[3]Mapping!$B$4:$C$37,2,0)</f>
        <v>[Cake] - Cashloan</v>
      </c>
      <c r="H7782" s="128" t="str">
        <f>VLOOKUP(source[[#This Row],[lending_product_transform]],[3]Mapping!$B$3:$D$37,3,0)</f>
        <v>cashloan</v>
      </c>
      <c r="I7782" s="135">
        <v>468450000</v>
      </c>
    </row>
    <row r="7783" spans="1:9" x14ac:dyDescent="0.2">
      <c r="A7783" s="134">
        <v>45847</v>
      </c>
      <c r="B7783" s="135">
        <f>YEAR(source[[#This Row],[report_date]])</f>
        <v>2025</v>
      </c>
      <c r="C7783" s="128">
        <f t="shared" si="361"/>
        <v>7</v>
      </c>
      <c r="D7783" s="136">
        <f t="shared" si="363"/>
        <v>28</v>
      </c>
      <c r="E7783" s="136">
        <f t="shared" si="362"/>
        <v>9</v>
      </c>
      <c r="F7783" s="128" t="s">
        <v>24</v>
      </c>
      <c r="G7783" s="128" t="str">
        <f>VLOOKUP(source[[#This Row],[lending_product_transform]],[3]Mapping!$B$4:$C$37,2,0)</f>
        <v>[Cake] - Cashloan</v>
      </c>
      <c r="H7783" s="128" t="str">
        <f>VLOOKUP(source[[#This Row],[lending_product_transform]],[3]Mapping!$B$3:$D$37,3,0)</f>
        <v>cashloan</v>
      </c>
      <c r="I7783" s="135">
        <v>5402268000</v>
      </c>
    </row>
    <row r="7784" spans="1:9" x14ac:dyDescent="0.2">
      <c r="A7784" s="134">
        <v>45847</v>
      </c>
      <c r="B7784" s="135">
        <f>YEAR(source[[#This Row],[report_date]])</f>
        <v>2025</v>
      </c>
      <c r="C7784" s="128">
        <f t="shared" si="361"/>
        <v>7</v>
      </c>
      <c r="D7784" s="136">
        <f t="shared" si="363"/>
        <v>28</v>
      </c>
      <c r="E7784" s="136">
        <f t="shared" si="362"/>
        <v>9</v>
      </c>
      <c r="F7784" s="128" t="s">
        <v>24</v>
      </c>
      <c r="G7784" s="128" t="str">
        <f>VLOOKUP(source[[#This Row],[lending_product_transform]],[3]Mapping!$B$4:$C$37,2,0)</f>
        <v>[Cake] - Cashloan</v>
      </c>
      <c r="H7784" s="128" t="str">
        <f>VLOOKUP(source[[#This Row],[lending_product_transform]],[3]Mapping!$B$3:$D$37,3,0)</f>
        <v>cashloan</v>
      </c>
      <c r="I7784" s="135">
        <v>12436980000</v>
      </c>
    </row>
    <row r="7785" spans="1:9" x14ac:dyDescent="0.2">
      <c r="A7785" s="134">
        <v>45847</v>
      </c>
      <c r="B7785" s="135">
        <f>YEAR(source[[#This Row],[report_date]])</f>
        <v>2025</v>
      </c>
      <c r="C7785" s="128">
        <f t="shared" si="361"/>
        <v>7</v>
      </c>
      <c r="D7785" s="136">
        <f t="shared" si="363"/>
        <v>28</v>
      </c>
      <c r="E7785" s="136">
        <f t="shared" si="362"/>
        <v>9</v>
      </c>
      <c r="F7785" s="128" t="s">
        <v>24</v>
      </c>
      <c r="G7785" s="128" t="str">
        <f>VLOOKUP(source[[#This Row],[lending_product_transform]],[3]Mapping!$B$4:$C$37,2,0)</f>
        <v>[Cake] - Cashloan</v>
      </c>
      <c r="H7785" s="128" t="str">
        <f>VLOOKUP(source[[#This Row],[lending_product_transform]],[3]Mapping!$B$3:$D$37,3,0)</f>
        <v>cashloan</v>
      </c>
      <c r="I7785" s="135">
        <v>4526630000</v>
      </c>
    </row>
    <row r="7786" spans="1:9" x14ac:dyDescent="0.2">
      <c r="A7786" s="134">
        <v>45847</v>
      </c>
      <c r="B7786" s="135">
        <f>YEAR(source[[#This Row],[report_date]])</f>
        <v>2025</v>
      </c>
      <c r="C7786" s="128">
        <f t="shared" si="361"/>
        <v>7</v>
      </c>
      <c r="D7786" s="136">
        <f t="shared" si="363"/>
        <v>28</v>
      </c>
      <c r="E7786" s="136">
        <f t="shared" si="362"/>
        <v>9</v>
      </c>
      <c r="F7786" s="128" t="s">
        <v>24</v>
      </c>
      <c r="G7786" s="128" t="str">
        <f>VLOOKUP(source[[#This Row],[lending_product_transform]],[3]Mapping!$B$4:$C$37,2,0)</f>
        <v>[Cake] - Cashloan</v>
      </c>
      <c r="H7786" s="128" t="str">
        <f>VLOOKUP(source[[#This Row],[lending_product_transform]],[3]Mapping!$B$3:$D$37,3,0)</f>
        <v>cashloan</v>
      </c>
      <c r="I7786" s="135">
        <v>2028600000</v>
      </c>
    </row>
    <row r="7787" spans="1:9" x14ac:dyDescent="0.2">
      <c r="A7787" s="134">
        <v>45847</v>
      </c>
      <c r="B7787" s="135">
        <f>YEAR(source[[#This Row],[report_date]])</f>
        <v>2025</v>
      </c>
      <c r="C7787" s="128">
        <f t="shared" si="361"/>
        <v>7</v>
      </c>
      <c r="D7787" s="136">
        <f t="shared" si="363"/>
        <v>28</v>
      </c>
      <c r="E7787" s="136">
        <f t="shared" si="362"/>
        <v>9</v>
      </c>
      <c r="F7787" s="128" t="s">
        <v>24</v>
      </c>
      <c r="G7787" s="128" t="str">
        <f>VLOOKUP(source[[#This Row],[lending_product_transform]],[3]Mapping!$B$4:$C$37,2,0)</f>
        <v>[Cake] - Cashloan</v>
      </c>
      <c r="H7787" s="128" t="str">
        <f>VLOOKUP(source[[#This Row],[lending_product_transform]],[3]Mapping!$B$3:$D$37,3,0)</f>
        <v>cashloan</v>
      </c>
      <c r="I7787" s="135">
        <v>3938924088</v>
      </c>
    </row>
    <row r="7788" spans="1:9" x14ac:dyDescent="0.2">
      <c r="A7788" s="134">
        <v>45847</v>
      </c>
      <c r="B7788" s="135">
        <f>YEAR(source[[#This Row],[report_date]])</f>
        <v>2025</v>
      </c>
      <c r="C7788" s="128">
        <f t="shared" si="361"/>
        <v>7</v>
      </c>
      <c r="D7788" s="136">
        <f t="shared" si="363"/>
        <v>28</v>
      </c>
      <c r="E7788" s="136">
        <f t="shared" si="362"/>
        <v>9</v>
      </c>
      <c r="F7788" s="128" t="s">
        <v>24</v>
      </c>
      <c r="G7788" s="128" t="str">
        <f>VLOOKUP(source[[#This Row],[lending_product_transform]],[3]Mapping!$B$4:$C$37,2,0)</f>
        <v>[Cake] - Cashloan</v>
      </c>
      <c r="H7788" s="128" t="str">
        <f>VLOOKUP(source[[#This Row],[lending_product_transform]],[3]Mapping!$B$3:$D$37,3,0)</f>
        <v>cashloan</v>
      </c>
      <c r="I7788" s="135">
        <v>442851978</v>
      </c>
    </row>
    <row r="7789" spans="1:9" x14ac:dyDescent="0.2">
      <c r="A7789" s="134">
        <v>45847</v>
      </c>
      <c r="B7789" s="135">
        <f>YEAR(source[[#This Row],[report_date]])</f>
        <v>2025</v>
      </c>
      <c r="C7789" s="128">
        <f t="shared" si="361"/>
        <v>7</v>
      </c>
      <c r="D7789" s="136">
        <f t="shared" si="363"/>
        <v>28</v>
      </c>
      <c r="E7789" s="136">
        <f t="shared" si="362"/>
        <v>9</v>
      </c>
      <c r="F7789" s="128" t="s">
        <v>24</v>
      </c>
      <c r="G7789" s="128" t="str">
        <f>VLOOKUP(source[[#This Row],[lending_product_transform]],[3]Mapping!$B$4:$C$37,2,0)</f>
        <v>[Cake] - Cashloan</v>
      </c>
      <c r="H7789" s="128" t="str">
        <f>VLOOKUP(source[[#This Row],[lending_product_transform]],[3]Mapping!$B$3:$D$37,3,0)</f>
        <v>cashloan</v>
      </c>
      <c r="I7789" s="135">
        <v>238390000</v>
      </c>
    </row>
    <row r="7790" spans="1:9" x14ac:dyDescent="0.2">
      <c r="A7790" s="134">
        <v>45847</v>
      </c>
      <c r="B7790" s="135">
        <f>YEAR(source[[#This Row],[report_date]])</f>
        <v>2025</v>
      </c>
      <c r="C7790" s="128">
        <f t="shared" si="361"/>
        <v>7</v>
      </c>
      <c r="D7790" s="136">
        <f t="shared" si="363"/>
        <v>28</v>
      </c>
      <c r="E7790" s="136">
        <f t="shared" si="362"/>
        <v>9</v>
      </c>
      <c r="F7790" s="128" t="s">
        <v>24</v>
      </c>
      <c r="G7790" s="128" t="str">
        <f>VLOOKUP(source[[#This Row],[lending_product_transform]],[3]Mapping!$B$4:$C$37,2,0)</f>
        <v>[Cake] - Cashloan</v>
      </c>
      <c r="H7790" s="128" t="str">
        <f>VLOOKUP(source[[#This Row],[lending_product_transform]],[3]Mapping!$B$3:$D$37,3,0)</f>
        <v>cashloan</v>
      </c>
      <c r="I7790" s="135">
        <v>326986319</v>
      </c>
    </row>
    <row r="7791" spans="1:9" x14ac:dyDescent="0.2">
      <c r="A7791" s="134">
        <v>45847</v>
      </c>
      <c r="B7791" s="135">
        <f>YEAR(source[[#This Row],[report_date]])</f>
        <v>2025</v>
      </c>
      <c r="C7791" s="128">
        <f t="shared" si="361"/>
        <v>7</v>
      </c>
      <c r="D7791" s="136">
        <f t="shared" si="363"/>
        <v>28</v>
      </c>
      <c r="E7791" s="136">
        <f t="shared" si="362"/>
        <v>9</v>
      </c>
      <c r="F7791" s="128" t="s">
        <v>24</v>
      </c>
      <c r="G7791" s="128" t="str">
        <f>VLOOKUP(source[[#This Row],[lending_product_transform]],[3]Mapping!$B$4:$C$37,2,0)</f>
        <v>[Cake] - Cashloan</v>
      </c>
      <c r="H7791" s="128" t="str">
        <f>VLOOKUP(source[[#This Row],[lending_product_transform]],[3]Mapping!$B$3:$D$37,3,0)</f>
        <v>cashloan</v>
      </c>
      <c r="I7791" s="135">
        <v>649685776</v>
      </c>
    </row>
    <row r="7792" spans="1:9" x14ac:dyDescent="0.2">
      <c r="A7792" s="134">
        <v>45848</v>
      </c>
      <c r="B7792" s="135">
        <f>YEAR(source[[#This Row],[report_date]])</f>
        <v>2025</v>
      </c>
      <c r="C7792" s="128">
        <f t="shared" si="361"/>
        <v>7</v>
      </c>
      <c r="D7792" s="136">
        <f t="shared" si="363"/>
        <v>28</v>
      </c>
      <c r="E7792" s="136">
        <f t="shared" si="362"/>
        <v>10</v>
      </c>
      <c r="F7792" s="128" t="s">
        <v>24</v>
      </c>
      <c r="G7792" s="128" t="str">
        <f>VLOOKUP(source[[#This Row],[lending_product_transform]],[3]Mapping!$B$4:$C$37,2,0)</f>
        <v>[Cake] - Cashloan</v>
      </c>
      <c r="H7792" s="128" t="str">
        <f>VLOOKUP(source[[#This Row],[lending_product_transform]],[3]Mapping!$B$3:$D$37,3,0)</f>
        <v>cashloan</v>
      </c>
      <c r="I7792" s="135">
        <v>15525090000</v>
      </c>
    </row>
    <row r="7793" spans="1:9" x14ac:dyDescent="0.2">
      <c r="A7793" s="134">
        <v>45848</v>
      </c>
      <c r="B7793" s="135">
        <f>YEAR(source[[#This Row],[report_date]])</f>
        <v>2025</v>
      </c>
      <c r="C7793" s="128">
        <f t="shared" si="361"/>
        <v>7</v>
      </c>
      <c r="D7793" s="136">
        <f t="shared" si="363"/>
        <v>28</v>
      </c>
      <c r="E7793" s="136">
        <f t="shared" si="362"/>
        <v>10</v>
      </c>
      <c r="F7793" s="128" t="s">
        <v>24</v>
      </c>
      <c r="G7793" s="128" t="str">
        <f>VLOOKUP(source[[#This Row],[lending_product_transform]],[3]Mapping!$B$4:$C$37,2,0)</f>
        <v>[Cake] - Cashloan</v>
      </c>
      <c r="H7793" s="128" t="str">
        <f>VLOOKUP(source[[#This Row],[lending_product_transform]],[3]Mapping!$B$3:$D$37,3,0)</f>
        <v>cashloan</v>
      </c>
      <c r="I7793" s="135">
        <v>2063570000</v>
      </c>
    </row>
    <row r="7794" spans="1:9" x14ac:dyDescent="0.2">
      <c r="A7794" s="134">
        <v>45848</v>
      </c>
      <c r="B7794" s="135">
        <f>YEAR(source[[#This Row],[report_date]])</f>
        <v>2025</v>
      </c>
      <c r="C7794" s="128">
        <f t="shared" si="361"/>
        <v>7</v>
      </c>
      <c r="D7794" s="136">
        <f t="shared" si="363"/>
        <v>28</v>
      </c>
      <c r="E7794" s="136">
        <f t="shared" si="362"/>
        <v>10</v>
      </c>
      <c r="F7794" s="128" t="s">
        <v>24</v>
      </c>
      <c r="G7794" s="128" t="str">
        <f>VLOOKUP(source[[#This Row],[lending_product_transform]],[3]Mapping!$B$4:$C$37,2,0)</f>
        <v>[Cake] - Cashloan</v>
      </c>
      <c r="H7794" s="128" t="str">
        <f>VLOOKUP(source[[#This Row],[lending_product_transform]],[3]Mapping!$B$3:$D$37,3,0)</f>
        <v>cashloan</v>
      </c>
      <c r="I7794" s="135">
        <v>0</v>
      </c>
    </row>
    <row r="7795" spans="1:9" x14ac:dyDescent="0.2">
      <c r="A7795" s="134">
        <v>45848</v>
      </c>
      <c r="B7795" s="135">
        <f>YEAR(source[[#This Row],[report_date]])</f>
        <v>2025</v>
      </c>
      <c r="C7795" s="128">
        <f t="shared" si="361"/>
        <v>7</v>
      </c>
      <c r="D7795" s="136">
        <f t="shared" si="363"/>
        <v>28</v>
      </c>
      <c r="E7795" s="136">
        <f t="shared" si="362"/>
        <v>10</v>
      </c>
      <c r="F7795" s="128" t="s">
        <v>24</v>
      </c>
      <c r="G7795" s="128" t="str">
        <f>VLOOKUP(source[[#This Row],[lending_product_transform]],[3]Mapping!$B$4:$C$37,2,0)</f>
        <v>[Cake] - Cashloan</v>
      </c>
      <c r="H7795" s="128" t="str">
        <f>VLOOKUP(source[[#This Row],[lending_product_transform]],[3]Mapping!$B$3:$D$37,3,0)</f>
        <v>cashloan</v>
      </c>
      <c r="I7795" s="135">
        <v>4898467042</v>
      </c>
    </row>
    <row r="7796" spans="1:9" x14ac:dyDescent="0.2">
      <c r="A7796" s="134">
        <v>45848</v>
      </c>
      <c r="B7796" s="135">
        <f>YEAR(source[[#This Row],[report_date]])</f>
        <v>2025</v>
      </c>
      <c r="C7796" s="128">
        <f t="shared" si="361"/>
        <v>7</v>
      </c>
      <c r="D7796" s="136">
        <f t="shared" si="363"/>
        <v>28</v>
      </c>
      <c r="E7796" s="136">
        <f t="shared" si="362"/>
        <v>10</v>
      </c>
      <c r="F7796" s="128" t="s">
        <v>24</v>
      </c>
      <c r="G7796" s="128" t="str">
        <f>VLOOKUP(source[[#This Row],[lending_product_transform]],[3]Mapping!$B$4:$C$37,2,0)</f>
        <v>[Cake] - Cashloan</v>
      </c>
      <c r="H7796" s="128" t="str">
        <f>VLOOKUP(source[[#This Row],[lending_product_transform]],[3]Mapping!$B$3:$D$37,3,0)</f>
        <v>cashloan</v>
      </c>
      <c r="I7796" s="135">
        <v>10500000</v>
      </c>
    </row>
    <row r="7797" spans="1:9" x14ac:dyDescent="0.2">
      <c r="A7797" s="134">
        <v>45848</v>
      </c>
      <c r="B7797" s="135">
        <f>YEAR(source[[#This Row],[report_date]])</f>
        <v>2025</v>
      </c>
      <c r="C7797" s="128">
        <f t="shared" si="361"/>
        <v>7</v>
      </c>
      <c r="D7797" s="136">
        <f t="shared" si="363"/>
        <v>28</v>
      </c>
      <c r="E7797" s="136">
        <f t="shared" si="362"/>
        <v>10</v>
      </c>
      <c r="F7797" s="128" t="s">
        <v>24</v>
      </c>
      <c r="G7797" s="128" t="str">
        <f>VLOOKUP(source[[#This Row],[lending_product_transform]],[3]Mapping!$B$4:$C$37,2,0)</f>
        <v>[Cake] - Cashloan</v>
      </c>
      <c r="H7797" s="128" t="str">
        <f>VLOOKUP(source[[#This Row],[lending_product_transform]],[3]Mapping!$B$3:$D$37,3,0)</f>
        <v>cashloan</v>
      </c>
      <c r="I7797" s="135">
        <v>31962154</v>
      </c>
    </row>
    <row r="7798" spans="1:9" x14ac:dyDescent="0.2">
      <c r="A7798" s="134">
        <v>45848</v>
      </c>
      <c r="B7798" s="135">
        <f>YEAR(source[[#This Row],[report_date]])</f>
        <v>2025</v>
      </c>
      <c r="C7798" s="128">
        <f t="shared" ref="C7798:C7861" si="364">MONTH(A7798)</f>
        <v>7</v>
      </c>
      <c r="D7798" s="136">
        <f t="shared" si="363"/>
        <v>28</v>
      </c>
      <c r="E7798" s="136">
        <f t="shared" ref="E7798:E7861" si="365">DAY(A7798)</f>
        <v>10</v>
      </c>
      <c r="F7798" s="128" t="s">
        <v>24</v>
      </c>
      <c r="G7798" s="128" t="str">
        <f>VLOOKUP(source[[#This Row],[lending_product_transform]],[3]Mapping!$B$4:$C$37,2,0)</f>
        <v>[Cake] - Cashloan</v>
      </c>
      <c r="H7798" s="128" t="str">
        <f>VLOOKUP(source[[#This Row],[lending_product_transform]],[3]Mapping!$B$3:$D$37,3,0)</f>
        <v>cashloan</v>
      </c>
      <c r="I7798" s="135">
        <v>482235632</v>
      </c>
    </row>
    <row r="7799" spans="1:9" x14ac:dyDescent="0.2">
      <c r="A7799" s="134">
        <v>45848</v>
      </c>
      <c r="B7799" s="135">
        <f>YEAR(source[[#This Row],[report_date]])</f>
        <v>2025</v>
      </c>
      <c r="C7799" s="128">
        <f t="shared" si="364"/>
        <v>7</v>
      </c>
      <c r="D7799" s="136">
        <f t="shared" si="363"/>
        <v>28</v>
      </c>
      <c r="E7799" s="136">
        <f t="shared" si="365"/>
        <v>10</v>
      </c>
      <c r="F7799" s="128" t="s">
        <v>24</v>
      </c>
      <c r="G7799" s="128" t="str">
        <f>VLOOKUP(source[[#This Row],[lending_product_transform]],[3]Mapping!$B$4:$C$37,2,0)</f>
        <v>[Cake] - Cashloan</v>
      </c>
      <c r="H7799" s="128" t="str">
        <f>VLOOKUP(source[[#This Row],[lending_product_transform]],[3]Mapping!$B$3:$D$37,3,0)</f>
        <v>cashloan</v>
      </c>
      <c r="I7799" s="135">
        <v>0</v>
      </c>
    </row>
    <row r="7800" spans="1:9" x14ac:dyDescent="0.2">
      <c r="A7800" s="134">
        <v>45848</v>
      </c>
      <c r="B7800" s="135">
        <f>YEAR(source[[#This Row],[report_date]])</f>
        <v>2025</v>
      </c>
      <c r="C7800" s="128">
        <f t="shared" si="364"/>
        <v>7</v>
      </c>
      <c r="D7800" s="136">
        <f t="shared" si="363"/>
        <v>28</v>
      </c>
      <c r="E7800" s="136">
        <f t="shared" si="365"/>
        <v>10</v>
      </c>
      <c r="F7800" s="128" t="s">
        <v>24</v>
      </c>
      <c r="G7800" s="128" t="str">
        <f>VLOOKUP(source[[#This Row],[lending_product_transform]],[3]Mapping!$B$4:$C$37,2,0)</f>
        <v>[Cake] - Cashloan</v>
      </c>
      <c r="H7800" s="128" t="str">
        <f>VLOOKUP(source[[#This Row],[lending_product_transform]],[3]Mapping!$B$3:$D$37,3,0)</f>
        <v>cashloan</v>
      </c>
      <c r="I7800" s="135">
        <v>42000000</v>
      </c>
    </row>
    <row r="7801" spans="1:9" x14ac:dyDescent="0.2">
      <c r="A7801" s="134">
        <v>45848</v>
      </c>
      <c r="B7801" s="135">
        <f>YEAR(source[[#This Row],[report_date]])</f>
        <v>2025</v>
      </c>
      <c r="C7801" s="128">
        <f t="shared" si="364"/>
        <v>7</v>
      </c>
      <c r="D7801" s="136">
        <f t="shared" si="363"/>
        <v>28</v>
      </c>
      <c r="E7801" s="136">
        <f t="shared" si="365"/>
        <v>10</v>
      </c>
      <c r="F7801" s="128" t="s">
        <v>24</v>
      </c>
      <c r="G7801" s="128" t="str">
        <f>VLOOKUP(source[[#This Row],[lending_product_transform]],[3]Mapping!$B$4:$C$37,2,0)</f>
        <v>[Cake] - Cashloan</v>
      </c>
      <c r="H7801" s="128" t="str">
        <f>VLOOKUP(source[[#This Row],[lending_product_transform]],[3]Mapping!$B$3:$D$37,3,0)</f>
        <v>cashloan</v>
      </c>
      <c r="I7801" s="135">
        <v>57000000</v>
      </c>
    </row>
    <row r="7802" spans="1:9" x14ac:dyDescent="0.2">
      <c r="A7802" s="134">
        <v>45848</v>
      </c>
      <c r="B7802" s="135">
        <f>YEAR(source[[#This Row],[report_date]])</f>
        <v>2025</v>
      </c>
      <c r="C7802" s="128">
        <f t="shared" si="364"/>
        <v>7</v>
      </c>
      <c r="D7802" s="136">
        <f t="shared" si="363"/>
        <v>28</v>
      </c>
      <c r="E7802" s="136">
        <f t="shared" si="365"/>
        <v>10</v>
      </c>
      <c r="F7802" s="128" t="s">
        <v>24</v>
      </c>
      <c r="G7802" s="128" t="str">
        <f>VLOOKUP(source[[#This Row],[lending_product_transform]],[3]Mapping!$B$4:$C$37,2,0)</f>
        <v>[Cake] - Cashloan</v>
      </c>
      <c r="H7802" s="128" t="str">
        <f>VLOOKUP(source[[#This Row],[lending_product_transform]],[3]Mapping!$B$3:$D$37,3,0)</f>
        <v>cashloan</v>
      </c>
      <c r="I7802" s="135">
        <v>0</v>
      </c>
    </row>
    <row r="7803" spans="1:9" x14ac:dyDescent="0.2">
      <c r="A7803" s="134">
        <v>45848</v>
      </c>
      <c r="B7803" s="135">
        <f>YEAR(source[[#This Row],[report_date]])</f>
        <v>2025</v>
      </c>
      <c r="C7803" s="128">
        <f t="shared" si="364"/>
        <v>7</v>
      </c>
      <c r="D7803" s="136">
        <f t="shared" si="363"/>
        <v>28</v>
      </c>
      <c r="E7803" s="136">
        <f t="shared" si="365"/>
        <v>10</v>
      </c>
      <c r="F7803" s="128" t="s">
        <v>24</v>
      </c>
      <c r="G7803" s="128" t="str">
        <f>VLOOKUP(source[[#This Row],[lending_product_transform]],[3]Mapping!$B$4:$C$37,2,0)</f>
        <v>[Cake] - Cashloan</v>
      </c>
      <c r="H7803" s="128" t="str">
        <f>VLOOKUP(source[[#This Row],[lending_product_transform]],[3]Mapping!$B$3:$D$37,3,0)</f>
        <v>cashloan</v>
      </c>
      <c r="I7803" s="135">
        <v>219040000</v>
      </c>
    </row>
    <row r="7804" spans="1:9" x14ac:dyDescent="0.2">
      <c r="A7804" s="134">
        <v>45848</v>
      </c>
      <c r="B7804" s="135">
        <f>YEAR(source[[#This Row],[report_date]])</f>
        <v>2025</v>
      </c>
      <c r="C7804" s="128">
        <f t="shared" si="364"/>
        <v>7</v>
      </c>
      <c r="D7804" s="136">
        <f t="shared" si="363"/>
        <v>28</v>
      </c>
      <c r="E7804" s="136">
        <f t="shared" si="365"/>
        <v>10</v>
      </c>
      <c r="F7804" s="128" t="s">
        <v>24</v>
      </c>
      <c r="G7804" s="128" t="str">
        <f>VLOOKUP(source[[#This Row],[lending_product_transform]],[3]Mapping!$B$4:$C$37,2,0)</f>
        <v>[Cake] - Cashloan</v>
      </c>
      <c r="H7804" s="128" t="str">
        <f>VLOOKUP(source[[#This Row],[lending_product_transform]],[3]Mapping!$B$3:$D$37,3,0)</f>
        <v>cashloan</v>
      </c>
      <c r="I7804" s="135">
        <v>4796530000</v>
      </c>
    </row>
    <row r="7805" spans="1:9" x14ac:dyDescent="0.2">
      <c r="A7805" s="134">
        <v>45848</v>
      </c>
      <c r="B7805" s="135">
        <f>YEAR(source[[#This Row],[report_date]])</f>
        <v>2025</v>
      </c>
      <c r="C7805" s="128">
        <f t="shared" si="364"/>
        <v>7</v>
      </c>
      <c r="D7805" s="136">
        <f t="shared" si="363"/>
        <v>28</v>
      </c>
      <c r="E7805" s="136">
        <f t="shared" si="365"/>
        <v>10</v>
      </c>
      <c r="F7805" s="128" t="s">
        <v>24</v>
      </c>
      <c r="G7805" s="128" t="str">
        <f>VLOOKUP(source[[#This Row],[lending_product_transform]],[3]Mapping!$B$4:$C$37,2,0)</f>
        <v>[Cake] - Cashloan</v>
      </c>
      <c r="H7805" s="128" t="str">
        <f>VLOOKUP(source[[#This Row],[lending_product_transform]],[3]Mapping!$B$3:$D$37,3,0)</f>
        <v>cashloan</v>
      </c>
      <c r="I7805" s="135">
        <v>234676000</v>
      </c>
    </row>
    <row r="7806" spans="1:9" x14ac:dyDescent="0.2">
      <c r="A7806" s="134">
        <v>45848</v>
      </c>
      <c r="B7806" s="135">
        <f>YEAR(source[[#This Row],[report_date]])</f>
        <v>2025</v>
      </c>
      <c r="C7806" s="128">
        <f t="shared" si="364"/>
        <v>7</v>
      </c>
      <c r="D7806" s="136">
        <f t="shared" si="363"/>
        <v>28</v>
      </c>
      <c r="E7806" s="136">
        <f t="shared" si="365"/>
        <v>10</v>
      </c>
      <c r="F7806" s="128" t="s">
        <v>24</v>
      </c>
      <c r="G7806" s="128" t="str">
        <f>VLOOKUP(source[[#This Row],[lending_product_transform]],[3]Mapping!$B$4:$C$37,2,0)</f>
        <v>[Cake] - Cashloan</v>
      </c>
      <c r="H7806" s="128" t="str">
        <f>VLOOKUP(source[[#This Row],[lending_product_transform]],[3]Mapping!$B$3:$D$37,3,0)</f>
        <v>cashloan</v>
      </c>
      <c r="I7806" s="135">
        <v>14791080000</v>
      </c>
    </row>
    <row r="7807" spans="1:9" x14ac:dyDescent="0.2">
      <c r="A7807" s="134">
        <v>45848</v>
      </c>
      <c r="B7807" s="135">
        <f>YEAR(source[[#This Row],[report_date]])</f>
        <v>2025</v>
      </c>
      <c r="C7807" s="128">
        <f t="shared" si="364"/>
        <v>7</v>
      </c>
      <c r="D7807" s="136">
        <f t="shared" si="363"/>
        <v>28</v>
      </c>
      <c r="E7807" s="136">
        <f t="shared" si="365"/>
        <v>10</v>
      </c>
      <c r="F7807" s="128" t="s">
        <v>24</v>
      </c>
      <c r="G7807" s="128" t="str">
        <f>VLOOKUP(source[[#This Row],[lending_product_transform]],[3]Mapping!$B$4:$C$37,2,0)</f>
        <v>[Cake] - Cashloan</v>
      </c>
      <c r="H7807" s="128" t="str">
        <f>VLOOKUP(source[[#This Row],[lending_product_transform]],[3]Mapping!$B$3:$D$37,3,0)</f>
        <v>cashloan</v>
      </c>
      <c r="I7807" s="135">
        <v>0</v>
      </c>
    </row>
    <row r="7808" spans="1:9" x14ac:dyDescent="0.2">
      <c r="A7808" s="134">
        <v>45848</v>
      </c>
      <c r="B7808" s="135">
        <f>YEAR(source[[#This Row],[report_date]])</f>
        <v>2025</v>
      </c>
      <c r="C7808" s="128">
        <f t="shared" si="364"/>
        <v>7</v>
      </c>
      <c r="D7808" s="136">
        <f t="shared" si="363"/>
        <v>28</v>
      </c>
      <c r="E7808" s="136">
        <f t="shared" si="365"/>
        <v>10</v>
      </c>
      <c r="F7808" s="128" t="s">
        <v>24</v>
      </c>
      <c r="G7808" s="128" t="str">
        <f>VLOOKUP(source[[#This Row],[lending_product_transform]],[3]Mapping!$B$4:$C$37,2,0)</f>
        <v>[Cake] - Cashloan</v>
      </c>
      <c r="H7808" s="128" t="str">
        <f>VLOOKUP(source[[#This Row],[lending_product_transform]],[3]Mapping!$B$3:$D$37,3,0)</f>
        <v>cashloan</v>
      </c>
      <c r="I7808" s="135">
        <v>320298603</v>
      </c>
    </row>
    <row r="7809" spans="1:9" x14ac:dyDescent="0.2">
      <c r="A7809" s="134">
        <v>45848</v>
      </c>
      <c r="B7809" s="135">
        <f>YEAR(source[[#This Row],[report_date]])</f>
        <v>2025</v>
      </c>
      <c r="C7809" s="128">
        <f t="shared" si="364"/>
        <v>7</v>
      </c>
      <c r="D7809" s="136">
        <f t="shared" si="363"/>
        <v>28</v>
      </c>
      <c r="E7809" s="136">
        <f t="shared" si="365"/>
        <v>10</v>
      </c>
      <c r="F7809" s="128" t="s">
        <v>24</v>
      </c>
      <c r="G7809" s="128" t="str">
        <f>VLOOKUP(source[[#This Row],[lending_product_transform]],[3]Mapping!$B$4:$C$37,2,0)</f>
        <v>[Cake] - Cashloan</v>
      </c>
      <c r="H7809" s="128" t="str">
        <f>VLOOKUP(source[[#This Row],[lending_product_transform]],[3]Mapping!$B$3:$D$37,3,0)</f>
        <v>cashloan</v>
      </c>
      <c r="I7809" s="135">
        <v>515272320</v>
      </c>
    </row>
    <row r="7810" spans="1:9" x14ac:dyDescent="0.2">
      <c r="A7810" s="134">
        <v>45848</v>
      </c>
      <c r="B7810" s="135">
        <f>YEAR(source[[#This Row],[report_date]])</f>
        <v>2025</v>
      </c>
      <c r="C7810" s="128">
        <f t="shared" si="364"/>
        <v>7</v>
      </c>
      <c r="D7810" s="136">
        <f t="shared" si="363"/>
        <v>28</v>
      </c>
      <c r="E7810" s="136">
        <f t="shared" si="365"/>
        <v>10</v>
      </c>
      <c r="F7810" s="128" t="s">
        <v>24</v>
      </c>
      <c r="G7810" s="128" t="str">
        <f>VLOOKUP(source[[#This Row],[lending_product_transform]],[3]Mapping!$B$4:$C$37,2,0)</f>
        <v>[Cake] - Cashloan</v>
      </c>
      <c r="H7810" s="128" t="str">
        <f>VLOOKUP(source[[#This Row],[lending_product_transform]],[3]Mapping!$B$3:$D$37,3,0)</f>
        <v>cashloan</v>
      </c>
      <c r="I7810" s="135">
        <v>8205300000</v>
      </c>
    </row>
    <row r="7811" spans="1:9" x14ac:dyDescent="0.2">
      <c r="A7811" s="134">
        <v>45849</v>
      </c>
      <c r="B7811" s="135">
        <f>YEAR(source[[#This Row],[report_date]])</f>
        <v>2025</v>
      </c>
      <c r="C7811" s="128">
        <f t="shared" si="364"/>
        <v>7</v>
      </c>
      <c r="D7811" s="136">
        <f t="shared" ref="D7811:D7874" si="366">WEEKNUM(A7811,2)</f>
        <v>28</v>
      </c>
      <c r="E7811" s="136">
        <f t="shared" si="365"/>
        <v>11</v>
      </c>
      <c r="F7811" s="128" t="s">
        <v>24</v>
      </c>
      <c r="G7811" s="128" t="str">
        <f>VLOOKUP(source[[#This Row],[lending_product_transform]],[3]Mapping!$B$4:$C$37,2,0)</f>
        <v>[Cake] - Cashloan</v>
      </c>
      <c r="H7811" s="128" t="str">
        <f>VLOOKUP(source[[#This Row],[lending_product_transform]],[3]Mapping!$B$3:$D$37,3,0)</f>
        <v>cashloan</v>
      </c>
      <c r="I7811" s="135">
        <v>13298120000</v>
      </c>
    </row>
    <row r="7812" spans="1:9" x14ac:dyDescent="0.2">
      <c r="A7812" s="134">
        <v>45849</v>
      </c>
      <c r="B7812" s="135">
        <f>YEAR(source[[#This Row],[report_date]])</f>
        <v>2025</v>
      </c>
      <c r="C7812" s="128">
        <f t="shared" si="364"/>
        <v>7</v>
      </c>
      <c r="D7812" s="136">
        <f t="shared" si="366"/>
        <v>28</v>
      </c>
      <c r="E7812" s="136">
        <f t="shared" si="365"/>
        <v>11</v>
      </c>
      <c r="F7812" s="128" t="s">
        <v>24</v>
      </c>
      <c r="G7812" s="128" t="str">
        <f>VLOOKUP(source[[#This Row],[lending_product_transform]],[3]Mapping!$B$4:$C$37,2,0)</f>
        <v>[Cake] - Cashloan</v>
      </c>
      <c r="H7812" s="128" t="str">
        <f>VLOOKUP(source[[#This Row],[lending_product_transform]],[3]Mapping!$B$3:$D$37,3,0)</f>
        <v>cashloan</v>
      </c>
      <c r="I7812" s="135">
        <v>7437312000</v>
      </c>
    </row>
    <row r="7813" spans="1:9" x14ac:dyDescent="0.2">
      <c r="A7813" s="134">
        <v>45849</v>
      </c>
      <c r="B7813" s="135">
        <f>YEAR(source[[#This Row],[report_date]])</f>
        <v>2025</v>
      </c>
      <c r="C7813" s="128">
        <f t="shared" si="364"/>
        <v>7</v>
      </c>
      <c r="D7813" s="136">
        <f t="shared" si="366"/>
        <v>28</v>
      </c>
      <c r="E7813" s="136">
        <f t="shared" si="365"/>
        <v>11</v>
      </c>
      <c r="F7813" s="128" t="s">
        <v>24</v>
      </c>
      <c r="G7813" s="128" t="str">
        <f>VLOOKUP(source[[#This Row],[lending_product_transform]],[3]Mapping!$B$4:$C$37,2,0)</f>
        <v>[Cake] - Cashloan</v>
      </c>
      <c r="H7813" s="128" t="str">
        <f>VLOOKUP(source[[#This Row],[lending_product_transform]],[3]Mapping!$B$3:$D$37,3,0)</f>
        <v>cashloan</v>
      </c>
      <c r="I7813" s="135">
        <v>348027184</v>
      </c>
    </row>
    <row r="7814" spans="1:9" x14ac:dyDescent="0.2">
      <c r="A7814" s="134">
        <v>45849</v>
      </c>
      <c r="B7814" s="135">
        <f>YEAR(source[[#This Row],[report_date]])</f>
        <v>2025</v>
      </c>
      <c r="C7814" s="128">
        <f t="shared" si="364"/>
        <v>7</v>
      </c>
      <c r="D7814" s="136">
        <f t="shared" si="366"/>
        <v>28</v>
      </c>
      <c r="E7814" s="136">
        <f t="shared" si="365"/>
        <v>11</v>
      </c>
      <c r="F7814" s="128" t="s">
        <v>24</v>
      </c>
      <c r="G7814" s="128" t="str">
        <f>VLOOKUP(source[[#This Row],[lending_product_transform]],[3]Mapping!$B$4:$C$37,2,0)</f>
        <v>[Cake] - Cashloan</v>
      </c>
      <c r="H7814" s="128" t="str">
        <f>VLOOKUP(source[[#This Row],[lending_product_transform]],[3]Mapping!$B$3:$D$37,3,0)</f>
        <v>cashloan</v>
      </c>
      <c r="I7814" s="135">
        <v>13300500000</v>
      </c>
    </row>
    <row r="7815" spans="1:9" x14ac:dyDescent="0.2">
      <c r="A7815" s="134">
        <v>45849</v>
      </c>
      <c r="B7815" s="135">
        <f>YEAR(source[[#This Row],[report_date]])</f>
        <v>2025</v>
      </c>
      <c r="C7815" s="128">
        <f t="shared" si="364"/>
        <v>7</v>
      </c>
      <c r="D7815" s="136">
        <f t="shared" si="366"/>
        <v>28</v>
      </c>
      <c r="E7815" s="136">
        <f t="shared" si="365"/>
        <v>11</v>
      </c>
      <c r="F7815" s="128" t="s">
        <v>24</v>
      </c>
      <c r="G7815" s="128" t="str">
        <f>VLOOKUP(source[[#This Row],[lending_product_transform]],[3]Mapping!$B$4:$C$37,2,0)</f>
        <v>[Cake] - Cashloan</v>
      </c>
      <c r="H7815" s="128" t="str">
        <f>VLOOKUP(source[[#This Row],[lending_product_transform]],[3]Mapping!$B$3:$D$37,3,0)</f>
        <v>cashloan</v>
      </c>
      <c r="I7815" s="135">
        <v>4302728522</v>
      </c>
    </row>
    <row r="7816" spans="1:9" x14ac:dyDescent="0.2">
      <c r="A7816" s="134">
        <v>45849</v>
      </c>
      <c r="B7816" s="135">
        <f>YEAR(source[[#This Row],[report_date]])</f>
        <v>2025</v>
      </c>
      <c r="C7816" s="128">
        <f t="shared" si="364"/>
        <v>7</v>
      </c>
      <c r="D7816" s="136">
        <f t="shared" si="366"/>
        <v>28</v>
      </c>
      <c r="E7816" s="136">
        <f t="shared" si="365"/>
        <v>11</v>
      </c>
      <c r="F7816" s="128" t="s">
        <v>24</v>
      </c>
      <c r="G7816" s="128" t="str">
        <f>VLOOKUP(source[[#This Row],[lending_product_transform]],[3]Mapping!$B$4:$C$37,2,0)</f>
        <v>[Cake] - Cashloan</v>
      </c>
      <c r="H7816" s="128" t="str">
        <f>VLOOKUP(source[[#This Row],[lending_product_transform]],[3]Mapping!$B$3:$D$37,3,0)</f>
        <v>cashloan</v>
      </c>
      <c r="I7816" s="135">
        <v>10500000</v>
      </c>
    </row>
    <row r="7817" spans="1:9" x14ac:dyDescent="0.2">
      <c r="A7817" s="134">
        <v>45849</v>
      </c>
      <c r="B7817" s="135">
        <f>YEAR(source[[#This Row],[report_date]])</f>
        <v>2025</v>
      </c>
      <c r="C7817" s="128">
        <f t="shared" si="364"/>
        <v>7</v>
      </c>
      <c r="D7817" s="136">
        <f t="shared" si="366"/>
        <v>28</v>
      </c>
      <c r="E7817" s="136">
        <f t="shared" si="365"/>
        <v>11</v>
      </c>
      <c r="F7817" s="128" t="s">
        <v>24</v>
      </c>
      <c r="G7817" s="128" t="str">
        <f>VLOOKUP(source[[#This Row],[lending_product_transform]],[3]Mapping!$B$4:$C$37,2,0)</f>
        <v>[Cake] - Cashloan</v>
      </c>
      <c r="H7817" s="128" t="str">
        <f>VLOOKUP(source[[#This Row],[lending_product_transform]],[3]Mapping!$B$3:$D$37,3,0)</f>
        <v>cashloan</v>
      </c>
      <c r="I7817" s="135">
        <v>11816744</v>
      </c>
    </row>
    <row r="7818" spans="1:9" x14ac:dyDescent="0.2">
      <c r="A7818" s="134">
        <v>45849</v>
      </c>
      <c r="B7818" s="135">
        <f>YEAR(source[[#This Row],[report_date]])</f>
        <v>2025</v>
      </c>
      <c r="C7818" s="128">
        <f t="shared" si="364"/>
        <v>7</v>
      </c>
      <c r="D7818" s="136">
        <f t="shared" si="366"/>
        <v>28</v>
      </c>
      <c r="E7818" s="136">
        <f t="shared" si="365"/>
        <v>11</v>
      </c>
      <c r="F7818" s="128" t="s">
        <v>24</v>
      </c>
      <c r="G7818" s="128" t="str">
        <f>VLOOKUP(source[[#This Row],[lending_product_transform]],[3]Mapping!$B$4:$C$37,2,0)</f>
        <v>[Cake] - Cashloan</v>
      </c>
      <c r="H7818" s="128" t="str">
        <f>VLOOKUP(source[[#This Row],[lending_product_transform]],[3]Mapping!$B$3:$D$37,3,0)</f>
        <v>cashloan</v>
      </c>
      <c r="I7818" s="135">
        <v>0</v>
      </c>
    </row>
    <row r="7819" spans="1:9" x14ac:dyDescent="0.2">
      <c r="A7819" s="134">
        <v>45849</v>
      </c>
      <c r="B7819" s="135">
        <f>YEAR(source[[#This Row],[report_date]])</f>
        <v>2025</v>
      </c>
      <c r="C7819" s="128">
        <f t="shared" si="364"/>
        <v>7</v>
      </c>
      <c r="D7819" s="136">
        <f t="shared" si="366"/>
        <v>28</v>
      </c>
      <c r="E7819" s="136">
        <f t="shared" si="365"/>
        <v>11</v>
      </c>
      <c r="F7819" s="128" t="s">
        <v>24</v>
      </c>
      <c r="G7819" s="128" t="str">
        <f>VLOOKUP(source[[#This Row],[lending_product_transform]],[3]Mapping!$B$4:$C$37,2,0)</f>
        <v>[Cake] - Cashloan</v>
      </c>
      <c r="H7819" s="128" t="str">
        <f>VLOOKUP(source[[#This Row],[lending_product_transform]],[3]Mapping!$B$3:$D$37,3,0)</f>
        <v>cashloan</v>
      </c>
      <c r="I7819" s="135">
        <v>0</v>
      </c>
    </row>
    <row r="7820" spans="1:9" x14ac:dyDescent="0.2">
      <c r="A7820" s="134">
        <v>45849</v>
      </c>
      <c r="B7820" s="135">
        <f>YEAR(source[[#This Row],[report_date]])</f>
        <v>2025</v>
      </c>
      <c r="C7820" s="128">
        <f t="shared" si="364"/>
        <v>7</v>
      </c>
      <c r="D7820" s="136">
        <f t="shared" si="366"/>
        <v>28</v>
      </c>
      <c r="E7820" s="136">
        <f t="shared" si="365"/>
        <v>11</v>
      </c>
      <c r="F7820" s="128" t="s">
        <v>24</v>
      </c>
      <c r="G7820" s="128" t="str">
        <f>VLOOKUP(source[[#This Row],[lending_product_transform]],[3]Mapping!$B$4:$C$37,2,0)</f>
        <v>[Cake] - Cashloan</v>
      </c>
      <c r="H7820" s="128" t="str">
        <f>VLOOKUP(source[[#This Row],[lending_product_transform]],[3]Mapping!$B$3:$D$37,3,0)</f>
        <v>cashloan</v>
      </c>
      <c r="I7820" s="135">
        <v>0</v>
      </c>
    </row>
    <row r="7821" spans="1:9" x14ac:dyDescent="0.2">
      <c r="A7821" s="134">
        <v>45849</v>
      </c>
      <c r="B7821" s="135">
        <f>YEAR(source[[#This Row],[report_date]])</f>
        <v>2025</v>
      </c>
      <c r="C7821" s="128">
        <f t="shared" si="364"/>
        <v>7</v>
      </c>
      <c r="D7821" s="136">
        <f t="shared" si="366"/>
        <v>28</v>
      </c>
      <c r="E7821" s="136">
        <f t="shared" si="365"/>
        <v>11</v>
      </c>
      <c r="F7821" s="128" t="s">
        <v>24</v>
      </c>
      <c r="G7821" s="128" t="str">
        <f>VLOOKUP(source[[#This Row],[lending_product_transform]],[3]Mapping!$B$4:$C$37,2,0)</f>
        <v>[Cake] - Cashloan</v>
      </c>
      <c r="H7821" s="128" t="str">
        <f>VLOOKUP(source[[#This Row],[lending_product_transform]],[3]Mapping!$B$3:$D$37,3,0)</f>
        <v>cashloan</v>
      </c>
      <c r="I7821" s="135">
        <v>0</v>
      </c>
    </row>
    <row r="7822" spans="1:9" x14ac:dyDescent="0.2">
      <c r="A7822" s="134">
        <v>45849</v>
      </c>
      <c r="B7822" s="135">
        <f>YEAR(source[[#This Row],[report_date]])</f>
        <v>2025</v>
      </c>
      <c r="C7822" s="128">
        <f t="shared" si="364"/>
        <v>7</v>
      </c>
      <c r="D7822" s="136">
        <f t="shared" si="366"/>
        <v>28</v>
      </c>
      <c r="E7822" s="136">
        <f t="shared" si="365"/>
        <v>11</v>
      </c>
      <c r="F7822" s="128" t="s">
        <v>24</v>
      </c>
      <c r="G7822" s="128" t="str">
        <f>VLOOKUP(source[[#This Row],[lending_product_transform]],[3]Mapping!$B$4:$C$37,2,0)</f>
        <v>[Cake] - Cashloan</v>
      </c>
      <c r="H7822" s="128" t="str">
        <f>VLOOKUP(source[[#This Row],[lending_product_transform]],[3]Mapping!$B$3:$D$37,3,0)</f>
        <v>cashloan</v>
      </c>
      <c r="I7822" s="135">
        <v>0</v>
      </c>
    </row>
    <row r="7823" spans="1:9" x14ac:dyDescent="0.2">
      <c r="A7823" s="134">
        <v>45849</v>
      </c>
      <c r="B7823" s="135">
        <f>YEAR(source[[#This Row],[report_date]])</f>
        <v>2025</v>
      </c>
      <c r="C7823" s="128">
        <f t="shared" si="364"/>
        <v>7</v>
      </c>
      <c r="D7823" s="136">
        <f t="shared" si="366"/>
        <v>28</v>
      </c>
      <c r="E7823" s="136">
        <f t="shared" si="365"/>
        <v>11</v>
      </c>
      <c r="F7823" s="128" t="s">
        <v>24</v>
      </c>
      <c r="G7823" s="128" t="str">
        <f>VLOOKUP(source[[#This Row],[lending_product_transform]],[3]Mapping!$B$4:$C$37,2,0)</f>
        <v>[Cake] - Cashloan</v>
      </c>
      <c r="H7823" s="128" t="str">
        <f>VLOOKUP(source[[#This Row],[lending_product_transform]],[3]Mapping!$B$3:$D$37,3,0)</f>
        <v>cashloan</v>
      </c>
      <c r="I7823" s="135">
        <v>0</v>
      </c>
    </row>
    <row r="7824" spans="1:9" x14ac:dyDescent="0.2">
      <c r="A7824" s="134">
        <v>45849</v>
      </c>
      <c r="B7824" s="135">
        <f>YEAR(source[[#This Row],[report_date]])</f>
        <v>2025</v>
      </c>
      <c r="C7824" s="128">
        <f t="shared" si="364"/>
        <v>7</v>
      </c>
      <c r="D7824" s="136">
        <f t="shared" si="366"/>
        <v>28</v>
      </c>
      <c r="E7824" s="136">
        <f t="shared" si="365"/>
        <v>11</v>
      </c>
      <c r="F7824" s="128" t="s">
        <v>24</v>
      </c>
      <c r="G7824" s="128" t="str">
        <f>VLOOKUP(source[[#This Row],[lending_product_transform]],[3]Mapping!$B$4:$C$37,2,0)</f>
        <v>[Cake] - Cashloan</v>
      </c>
      <c r="H7824" s="128" t="str">
        <f>VLOOKUP(source[[#This Row],[lending_product_transform]],[3]Mapping!$B$3:$D$37,3,0)</f>
        <v>cashloan</v>
      </c>
      <c r="I7824" s="135">
        <v>277370000</v>
      </c>
    </row>
    <row r="7825" spans="1:9" x14ac:dyDescent="0.2">
      <c r="A7825" s="134">
        <v>45849</v>
      </c>
      <c r="B7825" s="135">
        <f>YEAR(source[[#This Row],[report_date]])</f>
        <v>2025</v>
      </c>
      <c r="C7825" s="128">
        <f t="shared" si="364"/>
        <v>7</v>
      </c>
      <c r="D7825" s="136">
        <f t="shared" si="366"/>
        <v>28</v>
      </c>
      <c r="E7825" s="136">
        <f t="shared" si="365"/>
        <v>11</v>
      </c>
      <c r="F7825" s="128" t="s">
        <v>24</v>
      </c>
      <c r="G7825" s="128" t="str">
        <f>VLOOKUP(source[[#This Row],[lending_product_transform]],[3]Mapping!$B$4:$C$37,2,0)</f>
        <v>[Cake] - Cashloan</v>
      </c>
      <c r="H7825" s="128" t="str">
        <f>VLOOKUP(source[[#This Row],[lending_product_transform]],[3]Mapping!$B$3:$D$37,3,0)</f>
        <v>cashloan</v>
      </c>
      <c r="I7825" s="135">
        <v>4289370000</v>
      </c>
    </row>
    <row r="7826" spans="1:9" x14ac:dyDescent="0.2">
      <c r="A7826" s="134">
        <v>45849</v>
      </c>
      <c r="B7826" s="135">
        <f>YEAR(source[[#This Row],[report_date]])</f>
        <v>2025</v>
      </c>
      <c r="C7826" s="128">
        <f t="shared" si="364"/>
        <v>7</v>
      </c>
      <c r="D7826" s="136">
        <f t="shared" si="366"/>
        <v>28</v>
      </c>
      <c r="E7826" s="136">
        <f t="shared" si="365"/>
        <v>11</v>
      </c>
      <c r="F7826" s="128" t="s">
        <v>24</v>
      </c>
      <c r="G7826" s="128" t="str">
        <f>VLOOKUP(source[[#This Row],[lending_product_transform]],[3]Mapping!$B$4:$C$37,2,0)</f>
        <v>[Cake] - Cashloan</v>
      </c>
      <c r="H7826" s="128" t="str">
        <f>VLOOKUP(source[[#This Row],[lending_product_transform]],[3]Mapping!$B$3:$D$37,3,0)</f>
        <v>cashloan</v>
      </c>
      <c r="I7826" s="135">
        <v>198459000</v>
      </c>
    </row>
    <row r="7827" spans="1:9" x14ac:dyDescent="0.2">
      <c r="A7827" s="134">
        <v>45849</v>
      </c>
      <c r="B7827" s="135">
        <f>YEAR(source[[#This Row],[report_date]])</f>
        <v>2025</v>
      </c>
      <c r="C7827" s="128">
        <f t="shared" si="364"/>
        <v>7</v>
      </c>
      <c r="D7827" s="136">
        <f t="shared" si="366"/>
        <v>28</v>
      </c>
      <c r="E7827" s="136">
        <f t="shared" si="365"/>
        <v>11</v>
      </c>
      <c r="F7827" s="128" t="s">
        <v>24</v>
      </c>
      <c r="G7827" s="128" t="str">
        <f>VLOOKUP(source[[#This Row],[lending_product_transform]],[3]Mapping!$B$4:$C$37,2,0)</f>
        <v>[Cake] - Cashloan</v>
      </c>
      <c r="H7827" s="128" t="str">
        <f>VLOOKUP(source[[#This Row],[lending_product_transform]],[3]Mapping!$B$3:$D$37,3,0)</f>
        <v>cashloan</v>
      </c>
      <c r="I7827" s="135">
        <v>1983460000</v>
      </c>
    </row>
    <row r="7828" spans="1:9" x14ac:dyDescent="0.2">
      <c r="A7828" s="134">
        <v>45849</v>
      </c>
      <c r="B7828" s="135">
        <f>YEAR(source[[#This Row],[report_date]])</f>
        <v>2025</v>
      </c>
      <c r="C7828" s="128">
        <f t="shared" si="364"/>
        <v>7</v>
      </c>
      <c r="D7828" s="136">
        <f t="shared" si="366"/>
        <v>28</v>
      </c>
      <c r="E7828" s="136">
        <f t="shared" si="365"/>
        <v>11</v>
      </c>
      <c r="F7828" s="128" t="s">
        <v>24</v>
      </c>
      <c r="G7828" s="128" t="str">
        <f>VLOOKUP(source[[#This Row],[lending_product_transform]],[3]Mapping!$B$4:$C$37,2,0)</f>
        <v>[Cake] - Cashloan</v>
      </c>
      <c r="H7828" s="128" t="str">
        <f>VLOOKUP(source[[#This Row],[lending_product_transform]],[3]Mapping!$B$3:$D$37,3,0)</f>
        <v>cashloan</v>
      </c>
      <c r="I7828" s="135">
        <v>264800449</v>
      </c>
    </row>
    <row r="7829" spans="1:9" x14ac:dyDescent="0.2">
      <c r="A7829" s="134">
        <v>45849</v>
      </c>
      <c r="B7829" s="135">
        <f>YEAR(source[[#This Row],[report_date]])</f>
        <v>2025</v>
      </c>
      <c r="C7829" s="128">
        <f t="shared" si="364"/>
        <v>7</v>
      </c>
      <c r="D7829" s="136">
        <f t="shared" si="366"/>
        <v>28</v>
      </c>
      <c r="E7829" s="136">
        <f t="shared" si="365"/>
        <v>11</v>
      </c>
      <c r="F7829" s="128" t="s">
        <v>24</v>
      </c>
      <c r="G7829" s="128" t="str">
        <f>VLOOKUP(source[[#This Row],[lending_product_transform]],[3]Mapping!$B$4:$C$37,2,0)</f>
        <v>[Cake] - Cashloan</v>
      </c>
      <c r="H7829" s="128" t="str">
        <f>VLOOKUP(source[[#This Row],[lending_product_transform]],[3]Mapping!$B$3:$D$37,3,0)</f>
        <v>cashloan</v>
      </c>
      <c r="I7829" s="135">
        <v>455785655</v>
      </c>
    </row>
    <row r="7830" spans="1:9" x14ac:dyDescent="0.2">
      <c r="A7830" s="134">
        <v>45850</v>
      </c>
      <c r="B7830" s="135">
        <f>YEAR(source[[#This Row],[report_date]])</f>
        <v>2025</v>
      </c>
      <c r="C7830" s="128">
        <f t="shared" si="364"/>
        <v>7</v>
      </c>
      <c r="D7830" s="136">
        <f t="shared" si="366"/>
        <v>28</v>
      </c>
      <c r="E7830" s="136">
        <f t="shared" si="365"/>
        <v>12</v>
      </c>
      <c r="F7830" s="128" t="s">
        <v>24</v>
      </c>
      <c r="G7830" s="128" t="str">
        <f>VLOOKUP(source[[#This Row],[lending_product_transform]],[3]Mapping!$B$4:$C$37,2,0)</f>
        <v>[Cake] - Cashloan</v>
      </c>
      <c r="H7830" s="128" t="str">
        <f>VLOOKUP(source[[#This Row],[lending_product_transform]],[3]Mapping!$B$3:$D$37,3,0)</f>
        <v>cashloan</v>
      </c>
      <c r="I7830" s="135">
        <v>0</v>
      </c>
    </row>
    <row r="7831" spans="1:9" x14ac:dyDescent="0.2">
      <c r="A7831" s="134">
        <v>45850</v>
      </c>
      <c r="B7831" s="135">
        <f>YEAR(source[[#This Row],[report_date]])</f>
        <v>2025</v>
      </c>
      <c r="C7831" s="128">
        <f t="shared" si="364"/>
        <v>7</v>
      </c>
      <c r="D7831" s="136">
        <f t="shared" si="366"/>
        <v>28</v>
      </c>
      <c r="E7831" s="136">
        <f t="shared" si="365"/>
        <v>12</v>
      </c>
      <c r="F7831" s="128" t="s">
        <v>24</v>
      </c>
      <c r="G7831" s="128" t="str">
        <f>VLOOKUP(source[[#This Row],[lending_product_transform]],[3]Mapping!$B$4:$C$37,2,0)</f>
        <v>[Cake] - Cashloan</v>
      </c>
      <c r="H7831" s="128" t="str">
        <f>VLOOKUP(source[[#This Row],[lending_product_transform]],[3]Mapping!$B$3:$D$37,3,0)</f>
        <v>cashloan</v>
      </c>
      <c r="I7831" s="135">
        <v>0</v>
      </c>
    </row>
    <row r="7832" spans="1:9" x14ac:dyDescent="0.2">
      <c r="A7832" s="134">
        <v>45850</v>
      </c>
      <c r="B7832" s="135">
        <f>YEAR(source[[#This Row],[report_date]])</f>
        <v>2025</v>
      </c>
      <c r="C7832" s="128">
        <f t="shared" si="364"/>
        <v>7</v>
      </c>
      <c r="D7832" s="136">
        <f t="shared" si="366"/>
        <v>28</v>
      </c>
      <c r="E7832" s="136">
        <f t="shared" si="365"/>
        <v>12</v>
      </c>
      <c r="F7832" s="128" t="s">
        <v>24</v>
      </c>
      <c r="G7832" s="128" t="str">
        <f>VLOOKUP(source[[#This Row],[lending_product_transform]],[3]Mapping!$B$4:$C$37,2,0)</f>
        <v>[Cake] - Cashloan</v>
      </c>
      <c r="H7832" s="128" t="str">
        <f>VLOOKUP(source[[#This Row],[lending_product_transform]],[3]Mapping!$B$3:$D$37,3,0)</f>
        <v>cashloan</v>
      </c>
      <c r="I7832" s="135">
        <v>0</v>
      </c>
    </row>
    <row r="7833" spans="1:9" x14ac:dyDescent="0.2">
      <c r="A7833" s="134">
        <v>45850</v>
      </c>
      <c r="B7833" s="135">
        <f>YEAR(source[[#This Row],[report_date]])</f>
        <v>2025</v>
      </c>
      <c r="C7833" s="128">
        <f t="shared" si="364"/>
        <v>7</v>
      </c>
      <c r="D7833" s="136">
        <f t="shared" si="366"/>
        <v>28</v>
      </c>
      <c r="E7833" s="136">
        <f t="shared" si="365"/>
        <v>12</v>
      </c>
      <c r="F7833" s="128" t="s">
        <v>24</v>
      </c>
      <c r="G7833" s="128" t="str">
        <f>VLOOKUP(source[[#This Row],[lending_product_transform]],[3]Mapping!$B$4:$C$37,2,0)</f>
        <v>[Cake] - Cashloan</v>
      </c>
      <c r="H7833" s="128" t="str">
        <f>VLOOKUP(source[[#This Row],[lending_product_transform]],[3]Mapping!$B$3:$D$37,3,0)</f>
        <v>cashloan</v>
      </c>
      <c r="I7833" s="135">
        <v>0</v>
      </c>
    </row>
    <row r="7834" spans="1:9" x14ac:dyDescent="0.2">
      <c r="A7834" s="134">
        <v>45850</v>
      </c>
      <c r="B7834" s="135">
        <f>YEAR(source[[#This Row],[report_date]])</f>
        <v>2025</v>
      </c>
      <c r="C7834" s="128">
        <f t="shared" si="364"/>
        <v>7</v>
      </c>
      <c r="D7834" s="136">
        <f t="shared" si="366"/>
        <v>28</v>
      </c>
      <c r="E7834" s="136">
        <f t="shared" si="365"/>
        <v>12</v>
      </c>
      <c r="F7834" s="128" t="s">
        <v>24</v>
      </c>
      <c r="G7834" s="128" t="str">
        <f>VLOOKUP(source[[#This Row],[lending_product_transform]],[3]Mapping!$B$4:$C$37,2,0)</f>
        <v>[Cake] - Cashloan</v>
      </c>
      <c r="H7834" s="128" t="str">
        <f>VLOOKUP(source[[#This Row],[lending_product_transform]],[3]Mapping!$B$3:$D$37,3,0)</f>
        <v>cashloan</v>
      </c>
      <c r="I7834" s="135">
        <v>13091085</v>
      </c>
    </row>
    <row r="7835" spans="1:9" x14ac:dyDescent="0.2">
      <c r="A7835" s="134">
        <v>45850</v>
      </c>
      <c r="B7835" s="135">
        <f>YEAR(source[[#This Row],[report_date]])</f>
        <v>2025</v>
      </c>
      <c r="C7835" s="128">
        <f t="shared" si="364"/>
        <v>7</v>
      </c>
      <c r="D7835" s="136">
        <f t="shared" si="366"/>
        <v>28</v>
      </c>
      <c r="E7835" s="136">
        <f t="shared" si="365"/>
        <v>12</v>
      </c>
      <c r="F7835" s="128" t="s">
        <v>24</v>
      </c>
      <c r="G7835" s="128" t="str">
        <f>VLOOKUP(source[[#This Row],[lending_product_transform]],[3]Mapping!$B$4:$C$37,2,0)</f>
        <v>[Cake] - Cashloan</v>
      </c>
      <c r="H7835" s="128" t="str">
        <f>VLOOKUP(source[[#This Row],[lending_product_transform]],[3]Mapping!$B$3:$D$37,3,0)</f>
        <v>cashloan</v>
      </c>
      <c r="I7835" s="135">
        <v>0</v>
      </c>
    </row>
    <row r="7836" spans="1:9" x14ac:dyDescent="0.2">
      <c r="A7836" s="134">
        <v>45850</v>
      </c>
      <c r="B7836" s="135">
        <f>YEAR(source[[#This Row],[report_date]])</f>
        <v>2025</v>
      </c>
      <c r="C7836" s="128">
        <f t="shared" si="364"/>
        <v>7</v>
      </c>
      <c r="D7836" s="136">
        <f t="shared" si="366"/>
        <v>28</v>
      </c>
      <c r="E7836" s="136">
        <f t="shared" si="365"/>
        <v>12</v>
      </c>
      <c r="F7836" s="128" t="s">
        <v>24</v>
      </c>
      <c r="G7836" s="128" t="str">
        <f>VLOOKUP(source[[#This Row],[lending_product_transform]],[3]Mapping!$B$4:$C$37,2,0)</f>
        <v>[Cake] - Cashloan</v>
      </c>
      <c r="H7836" s="128" t="str">
        <f>VLOOKUP(source[[#This Row],[lending_product_transform]],[3]Mapping!$B$3:$D$37,3,0)</f>
        <v>cashloan</v>
      </c>
      <c r="I7836" s="135">
        <v>0</v>
      </c>
    </row>
    <row r="7837" spans="1:9" x14ac:dyDescent="0.2">
      <c r="A7837" s="134">
        <v>45850</v>
      </c>
      <c r="B7837" s="135">
        <f>YEAR(source[[#This Row],[report_date]])</f>
        <v>2025</v>
      </c>
      <c r="C7837" s="128">
        <f t="shared" si="364"/>
        <v>7</v>
      </c>
      <c r="D7837" s="136">
        <f t="shared" si="366"/>
        <v>28</v>
      </c>
      <c r="E7837" s="136">
        <f t="shared" si="365"/>
        <v>12</v>
      </c>
      <c r="F7837" s="128" t="s">
        <v>24</v>
      </c>
      <c r="G7837" s="128" t="str">
        <f>VLOOKUP(source[[#This Row],[lending_product_transform]],[3]Mapping!$B$4:$C$37,2,0)</f>
        <v>[Cake] - Cashloan</v>
      </c>
      <c r="H7837" s="128" t="str">
        <f>VLOOKUP(source[[#This Row],[lending_product_transform]],[3]Mapping!$B$3:$D$37,3,0)</f>
        <v>cashloan</v>
      </c>
      <c r="I7837" s="135">
        <v>0</v>
      </c>
    </row>
    <row r="7838" spans="1:9" x14ac:dyDescent="0.2">
      <c r="A7838" s="134">
        <v>45850</v>
      </c>
      <c r="B7838" s="135">
        <f>YEAR(source[[#This Row],[report_date]])</f>
        <v>2025</v>
      </c>
      <c r="C7838" s="128">
        <f t="shared" si="364"/>
        <v>7</v>
      </c>
      <c r="D7838" s="136">
        <f t="shared" si="366"/>
        <v>28</v>
      </c>
      <c r="E7838" s="136">
        <f t="shared" si="365"/>
        <v>12</v>
      </c>
      <c r="F7838" s="128" t="s">
        <v>24</v>
      </c>
      <c r="G7838" s="128" t="str">
        <f>VLOOKUP(source[[#This Row],[lending_product_transform]],[3]Mapping!$B$4:$C$37,2,0)</f>
        <v>[Cake] - Cashloan</v>
      </c>
      <c r="H7838" s="128" t="str">
        <f>VLOOKUP(source[[#This Row],[lending_product_transform]],[3]Mapping!$B$3:$D$37,3,0)</f>
        <v>cashloan</v>
      </c>
      <c r="I7838" s="135">
        <v>215760000</v>
      </c>
    </row>
    <row r="7839" spans="1:9" x14ac:dyDescent="0.2">
      <c r="A7839" s="134">
        <v>45850</v>
      </c>
      <c r="B7839" s="135">
        <f>YEAR(source[[#This Row],[report_date]])</f>
        <v>2025</v>
      </c>
      <c r="C7839" s="128">
        <f t="shared" si="364"/>
        <v>7</v>
      </c>
      <c r="D7839" s="136">
        <f t="shared" si="366"/>
        <v>28</v>
      </c>
      <c r="E7839" s="136">
        <f t="shared" si="365"/>
        <v>12</v>
      </c>
      <c r="F7839" s="128" t="s">
        <v>24</v>
      </c>
      <c r="G7839" s="128" t="str">
        <f>VLOOKUP(source[[#This Row],[lending_product_transform]],[3]Mapping!$B$4:$C$37,2,0)</f>
        <v>[Cake] - Cashloan</v>
      </c>
      <c r="H7839" s="128" t="str">
        <f>VLOOKUP(source[[#This Row],[lending_product_transform]],[3]Mapping!$B$3:$D$37,3,0)</f>
        <v>cashloan</v>
      </c>
      <c r="I7839" s="135">
        <v>3351880000</v>
      </c>
    </row>
    <row r="7840" spans="1:9" x14ac:dyDescent="0.2">
      <c r="A7840" s="134">
        <v>45850</v>
      </c>
      <c r="B7840" s="135">
        <f>YEAR(source[[#This Row],[report_date]])</f>
        <v>2025</v>
      </c>
      <c r="C7840" s="128">
        <f t="shared" si="364"/>
        <v>7</v>
      </c>
      <c r="D7840" s="136">
        <f t="shared" si="366"/>
        <v>28</v>
      </c>
      <c r="E7840" s="136">
        <f t="shared" si="365"/>
        <v>12</v>
      </c>
      <c r="F7840" s="128" t="s">
        <v>24</v>
      </c>
      <c r="G7840" s="128" t="str">
        <f>VLOOKUP(source[[#This Row],[lending_product_transform]],[3]Mapping!$B$4:$C$37,2,0)</f>
        <v>[Cake] - Cashloan</v>
      </c>
      <c r="H7840" s="128" t="str">
        <f>VLOOKUP(source[[#This Row],[lending_product_transform]],[3]Mapping!$B$3:$D$37,3,0)</f>
        <v>cashloan</v>
      </c>
      <c r="I7840" s="135">
        <v>281168550</v>
      </c>
    </row>
    <row r="7841" spans="1:9" x14ac:dyDescent="0.2">
      <c r="A7841" s="134">
        <v>45850</v>
      </c>
      <c r="B7841" s="135">
        <f>YEAR(source[[#This Row],[report_date]])</f>
        <v>2025</v>
      </c>
      <c r="C7841" s="128">
        <f t="shared" si="364"/>
        <v>7</v>
      </c>
      <c r="D7841" s="136">
        <f t="shared" si="366"/>
        <v>28</v>
      </c>
      <c r="E7841" s="136">
        <f t="shared" si="365"/>
        <v>12</v>
      </c>
      <c r="F7841" s="128" t="s">
        <v>24</v>
      </c>
      <c r="G7841" s="128" t="str">
        <f>VLOOKUP(source[[#This Row],[lending_product_transform]],[3]Mapping!$B$4:$C$37,2,0)</f>
        <v>[Cake] - Cashloan</v>
      </c>
      <c r="H7841" s="128" t="str">
        <f>VLOOKUP(source[[#This Row],[lending_product_transform]],[3]Mapping!$B$3:$D$37,3,0)</f>
        <v>cashloan</v>
      </c>
      <c r="I7841" s="135">
        <v>1989280000</v>
      </c>
    </row>
    <row r="7842" spans="1:9" x14ac:dyDescent="0.2">
      <c r="A7842" s="134">
        <v>45850</v>
      </c>
      <c r="B7842" s="135">
        <f>YEAR(source[[#This Row],[report_date]])</f>
        <v>2025</v>
      </c>
      <c r="C7842" s="128">
        <f t="shared" si="364"/>
        <v>7</v>
      </c>
      <c r="D7842" s="136">
        <f t="shared" si="366"/>
        <v>28</v>
      </c>
      <c r="E7842" s="136">
        <f t="shared" si="365"/>
        <v>12</v>
      </c>
      <c r="F7842" s="128" t="s">
        <v>24</v>
      </c>
      <c r="G7842" s="128" t="str">
        <f>VLOOKUP(source[[#This Row],[lending_product_transform]],[3]Mapping!$B$4:$C$37,2,0)</f>
        <v>[Cake] - Cashloan</v>
      </c>
      <c r="H7842" s="128" t="str">
        <f>VLOOKUP(source[[#This Row],[lending_product_transform]],[3]Mapping!$B$3:$D$37,3,0)</f>
        <v>cashloan</v>
      </c>
      <c r="I7842" s="135">
        <v>264727749</v>
      </c>
    </row>
    <row r="7843" spans="1:9" x14ac:dyDescent="0.2">
      <c r="A7843" s="134">
        <v>45850</v>
      </c>
      <c r="B7843" s="135">
        <f>YEAR(source[[#This Row],[report_date]])</f>
        <v>2025</v>
      </c>
      <c r="C7843" s="128">
        <f t="shared" si="364"/>
        <v>7</v>
      </c>
      <c r="D7843" s="136">
        <f t="shared" si="366"/>
        <v>28</v>
      </c>
      <c r="E7843" s="136">
        <f t="shared" si="365"/>
        <v>12</v>
      </c>
      <c r="F7843" s="128" t="s">
        <v>24</v>
      </c>
      <c r="G7843" s="128" t="str">
        <f>VLOOKUP(source[[#This Row],[lending_product_transform]],[3]Mapping!$B$4:$C$37,2,0)</f>
        <v>[Cake] - Cashloan</v>
      </c>
      <c r="H7843" s="128" t="str">
        <f>VLOOKUP(source[[#This Row],[lending_product_transform]],[3]Mapping!$B$3:$D$37,3,0)</f>
        <v>cashloan</v>
      </c>
      <c r="I7843" s="135">
        <v>368807762</v>
      </c>
    </row>
    <row r="7844" spans="1:9" x14ac:dyDescent="0.2">
      <c r="A7844" s="134">
        <v>45850</v>
      </c>
      <c r="B7844" s="135">
        <f>YEAR(source[[#This Row],[report_date]])</f>
        <v>2025</v>
      </c>
      <c r="C7844" s="128">
        <f t="shared" si="364"/>
        <v>7</v>
      </c>
      <c r="D7844" s="136">
        <f t="shared" si="366"/>
        <v>28</v>
      </c>
      <c r="E7844" s="136">
        <f t="shared" si="365"/>
        <v>12</v>
      </c>
      <c r="F7844" s="128" t="s">
        <v>24</v>
      </c>
      <c r="G7844" s="128" t="str">
        <f>VLOOKUP(source[[#This Row],[lending_product_transform]],[3]Mapping!$B$4:$C$37,2,0)</f>
        <v>[Cake] - Cashloan</v>
      </c>
      <c r="H7844" s="128" t="str">
        <f>VLOOKUP(source[[#This Row],[lending_product_transform]],[3]Mapping!$B$3:$D$37,3,0)</f>
        <v>cashloan</v>
      </c>
      <c r="I7844" s="135">
        <v>3615742715</v>
      </c>
    </row>
    <row r="7845" spans="1:9" x14ac:dyDescent="0.2">
      <c r="A7845" s="134">
        <v>45850</v>
      </c>
      <c r="B7845" s="135">
        <f>YEAR(source[[#This Row],[report_date]])</f>
        <v>2025</v>
      </c>
      <c r="C7845" s="128">
        <f t="shared" si="364"/>
        <v>7</v>
      </c>
      <c r="D7845" s="136">
        <f t="shared" si="366"/>
        <v>28</v>
      </c>
      <c r="E7845" s="136">
        <f t="shared" si="365"/>
        <v>12</v>
      </c>
      <c r="F7845" s="128" t="s">
        <v>24</v>
      </c>
      <c r="G7845" s="128" t="str">
        <f>VLOOKUP(source[[#This Row],[lending_product_transform]],[3]Mapping!$B$4:$C$37,2,0)</f>
        <v>[Cake] - Cashloan</v>
      </c>
      <c r="H7845" s="128" t="str">
        <f>VLOOKUP(source[[#This Row],[lending_product_transform]],[3]Mapping!$B$3:$D$37,3,0)</f>
        <v>cashloan</v>
      </c>
      <c r="I7845" s="135">
        <v>339184826</v>
      </c>
    </row>
    <row r="7846" spans="1:9" x14ac:dyDescent="0.2">
      <c r="A7846" s="134">
        <v>45850</v>
      </c>
      <c r="B7846" s="135">
        <f>YEAR(source[[#This Row],[report_date]])</f>
        <v>2025</v>
      </c>
      <c r="C7846" s="128">
        <f t="shared" si="364"/>
        <v>7</v>
      </c>
      <c r="D7846" s="136">
        <f t="shared" si="366"/>
        <v>28</v>
      </c>
      <c r="E7846" s="136">
        <f t="shared" si="365"/>
        <v>12</v>
      </c>
      <c r="F7846" s="128" t="s">
        <v>24</v>
      </c>
      <c r="G7846" s="128" t="str">
        <f>VLOOKUP(source[[#This Row],[lending_product_transform]],[3]Mapping!$B$4:$C$37,2,0)</f>
        <v>[Cake] - Cashloan</v>
      </c>
      <c r="H7846" s="128" t="str">
        <f>VLOOKUP(source[[#This Row],[lending_product_transform]],[3]Mapping!$B$3:$D$37,3,0)</f>
        <v>cashloan</v>
      </c>
      <c r="I7846" s="135">
        <v>10779820000</v>
      </c>
    </row>
    <row r="7847" spans="1:9" x14ac:dyDescent="0.2">
      <c r="A7847" s="134">
        <v>45850</v>
      </c>
      <c r="B7847" s="135">
        <f>YEAR(source[[#This Row],[report_date]])</f>
        <v>2025</v>
      </c>
      <c r="C7847" s="128">
        <f t="shared" si="364"/>
        <v>7</v>
      </c>
      <c r="D7847" s="136">
        <f t="shared" si="366"/>
        <v>28</v>
      </c>
      <c r="E7847" s="136">
        <f t="shared" si="365"/>
        <v>12</v>
      </c>
      <c r="F7847" s="128" t="s">
        <v>24</v>
      </c>
      <c r="G7847" s="128" t="str">
        <f>VLOOKUP(source[[#This Row],[lending_product_transform]],[3]Mapping!$B$4:$C$37,2,0)</f>
        <v>[Cake] - Cashloan</v>
      </c>
      <c r="H7847" s="128" t="str">
        <f>VLOOKUP(source[[#This Row],[lending_product_transform]],[3]Mapping!$B$3:$D$37,3,0)</f>
        <v>cashloan</v>
      </c>
      <c r="I7847" s="135">
        <v>6733584000</v>
      </c>
    </row>
    <row r="7848" spans="1:9" x14ac:dyDescent="0.2">
      <c r="A7848" s="134">
        <v>45850</v>
      </c>
      <c r="B7848" s="135">
        <f>YEAR(source[[#This Row],[report_date]])</f>
        <v>2025</v>
      </c>
      <c r="C7848" s="128">
        <f t="shared" si="364"/>
        <v>7</v>
      </c>
      <c r="D7848" s="136">
        <f t="shared" si="366"/>
        <v>28</v>
      </c>
      <c r="E7848" s="136">
        <f t="shared" si="365"/>
        <v>12</v>
      </c>
      <c r="F7848" s="128" t="s">
        <v>24</v>
      </c>
      <c r="G7848" s="128" t="str">
        <f>VLOOKUP(source[[#This Row],[lending_product_transform]],[3]Mapping!$B$4:$C$37,2,0)</f>
        <v>[Cake] - Cashloan</v>
      </c>
      <c r="H7848" s="128" t="str">
        <f>VLOOKUP(source[[#This Row],[lending_product_transform]],[3]Mapping!$B$3:$D$37,3,0)</f>
        <v>cashloan</v>
      </c>
      <c r="I7848" s="135">
        <v>12728790000</v>
      </c>
    </row>
    <row r="7849" spans="1:9" x14ac:dyDescent="0.2">
      <c r="A7849" s="134">
        <v>45851</v>
      </c>
      <c r="B7849" s="135">
        <f>YEAR(source[[#This Row],[report_date]])</f>
        <v>2025</v>
      </c>
      <c r="C7849" s="128">
        <f t="shared" si="364"/>
        <v>7</v>
      </c>
      <c r="D7849" s="136">
        <f t="shared" si="366"/>
        <v>28</v>
      </c>
      <c r="E7849" s="136">
        <f t="shared" si="365"/>
        <v>13</v>
      </c>
      <c r="F7849" s="128" t="s">
        <v>24</v>
      </c>
      <c r="G7849" s="128" t="str">
        <f>VLOOKUP(source[[#This Row],[lending_product_transform]],[3]Mapping!$B$4:$C$37,2,0)</f>
        <v>[Cake] - Cashloan</v>
      </c>
      <c r="H7849" s="128" t="str">
        <f>VLOOKUP(source[[#This Row],[lending_product_transform]],[3]Mapping!$B$3:$D$37,3,0)</f>
        <v>cashloan</v>
      </c>
      <c r="I7849" s="135">
        <v>0</v>
      </c>
    </row>
    <row r="7850" spans="1:9" x14ac:dyDescent="0.2">
      <c r="A7850" s="134">
        <v>45851</v>
      </c>
      <c r="B7850" s="135">
        <f>YEAR(source[[#This Row],[report_date]])</f>
        <v>2025</v>
      </c>
      <c r="C7850" s="128">
        <f t="shared" si="364"/>
        <v>7</v>
      </c>
      <c r="D7850" s="136">
        <f t="shared" si="366"/>
        <v>28</v>
      </c>
      <c r="E7850" s="136">
        <f t="shared" si="365"/>
        <v>13</v>
      </c>
      <c r="F7850" s="128" t="s">
        <v>24</v>
      </c>
      <c r="G7850" s="128" t="str">
        <f>VLOOKUP(source[[#This Row],[lending_product_transform]],[3]Mapping!$B$4:$C$37,2,0)</f>
        <v>[Cake] - Cashloan</v>
      </c>
      <c r="H7850" s="128" t="str">
        <f>VLOOKUP(source[[#This Row],[lending_product_transform]],[3]Mapping!$B$3:$D$37,3,0)</f>
        <v>cashloan</v>
      </c>
      <c r="I7850" s="135">
        <v>0</v>
      </c>
    </row>
    <row r="7851" spans="1:9" x14ac:dyDescent="0.2">
      <c r="A7851" s="134">
        <v>45851</v>
      </c>
      <c r="B7851" s="135">
        <f>YEAR(source[[#This Row],[report_date]])</f>
        <v>2025</v>
      </c>
      <c r="C7851" s="128">
        <f t="shared" si="364"/>
        <v>7</v>
      </c>
      <c r="D7851" s="136">
        <f t="shared" si="366"/>
        <v>28</v>
      </c>
      <c r="E7851" s="136">
        <f t="shared" si="365"/>
        <v>13</v>
      </c>
      <c r="F7851" s="128" t="s">
        <v>24</v>
      </c>
      <c r="G7851" s="128" t="str">
        <f>VLOOKUP(source[[#This Row],[lending_product_transform]],[3]Mapping!$B$4:$C$37,2,0)</f>
        <v>[Cake] - Cashloan</v>
      </c>
      <c r="H7851" s="128" t="str">
        <f>VLOOKUP(source[[#This Row],[lending_product_transform]],[3]Mapping!$B$3:$D$37,3,0)</f>
        <v>cashloan</v>
      </c>
      <c r="I7851" s="135">
        <v>0</v>
      </c>
    </row>
    <row r="7852" spans="1:9" x14ac:dyDescent="0.2">
      <c r="A7852" s="134">
        <v>45851</v>
      </c>
      <c r="B7852" s="135">
        <f>YEAR(source[[#This Row],[report_date]])</f>
        <v>2025</v>
      </c>
      <c r="C7852" s="128">
        <f t="shared" si="364"/>
        <v>7</v>
      </c>
      <c r="D7852" s="136">
        <f t="shared" si="366"/>
        <v>28</v>
      </c>
      <c r="E7852" s="136">
        <f t="shared" si="365"/>
        <v>13</v>
      </c>
      <c r="F7852" s="128" t="s">
        <v>24</v>
      </c>
      <c r="G7852" s="128" t="str">
        <f>VLOOKUP(source[[#This Row],[lending_product_transform]],[3]Mapping!$B$4:$C$37,2,0)</f>
        <v>[Cake] - Cashloan</v>
      </c>
      <c r="H7852" s="128" t="str">
        <f>VLOOKUP(source[[#This Row],[lending_product_transform]],[3]Mapping!$B$3:$D$37,3,0)</f>
        <v>cashloan</v>
      </c>
      <c r="I7852" s="135">
        <v>0</v>
      </c>
    </row>
    <row r="7853" spans="1:9" x14ac:dyDescent="0.2">
      <c r="A7853" s="134">
        <v>45851</v>
      </c>
      <c r="B7853" s="135">
        <f>YEAR(source[[#This Row],[report_date]])</f>
        <v>2025</v>
      </c>
      <c r="C7853" s="128">
        <f t="shared" si="364"/>
        <v>7</v>
      </c>
      <c r="D7853" s="136">
        <f t="shared" si="366"/>
        <v>28</v>
      </c>
      <c r="E7853" s="136">
        <f t="shared" si="365"/>
        <v>13</v>
      </c>
      <c r="F7853" s="128" t="s">
        <v>24</v>
      </c>
      <c r="G7853" s="128" t="str">
        <f>VLOOKUP(source[[#This Row],[lending_product_transform]],[3]Mapping!$B$4:$C$37,2,0)</f>
        <v>[Cake] - Cashloan</v>
      </c>
      <c r="H7853" s="128" t="str">
        <f>VLOOKUP(source[[#This Row],[lending_product_transform]],[3]Mapping!$B$3:$D$37,3,0)</f>
        <v>cashloan</v>
      </c>
      <c r="I7853" s="135">
        <v>9478505</v>
      </c>
    </row>
    <row r="7854" spans="1:9" x14ac:dyDescent="0.2">
      <c r="A7854" s="134">
        <v>45851</v>
      </c>
      <c r="B7854" s="135">
        <f>YEAR(source[[#This Row],[report_date]])</f>
        <v>2025</v>
      </c>
      <c r="C7854" s="128">
        <f t="shared" si="364"/>
        <v>7</v>
      </c>
      <c r="D7854" s="136">
        <f t="shared" si="366"/>
        <v>28</v>
      </c>
      <c r="E7854" s="136">
        <f t="shared" si="365"/>
        <v>13</v>
      </c>
      <c r="F7854" s="128" t="s">
        <v>24</v>
      </c>
      <c r="G7854" s="128" t="str">
        <f>VLOOKUP(source[[#This Row],[lending_product_transform]],[3]Mapping!$B$4:$C$37,2,0)</f>
        <v>[Cake] - Cashloan</v>
      </c>
      <c r="H7854" s="128" t="str">
        <f>VLOOKUP(source[[#This Row],[lending_product_transform]],[3]Mapping!$B$3:$D$37,3,0)</f>
        <v>cashloan</v>
      </c>
      <c r="I7854" s="135">
        <v>0</v>
      </c>
    </row>
    <row r="7855" spans="1:9" x14ac:dyDescent="0.2">
      <c r="A7855" s="134">
        <v>45851</v>
      </c>
      <c r="B7855" s="135">
        <f>YEAR(source[[#This Row],[report_date]])</f>
        <v>2025</v>
      </c>
      <c r="C7855" s="128">
        <f t="shared" si="364"/>
        <v>7</v>
      </c>
      <c r="D7855" s="136">
        <f t="shared" si="366"/>
        <v>28</v>
      </c>
      <c r="E7855" s="136">
        <f t="shared" si="365"/>
        <v>13</v>
      </c>
      <c r="F7855" s="128" t="s">
        <v>24</v>
      </c>
      <c r="G7855" s="128" t="str">
        <f>VLOOKUP(source[[#This Row],[lending_product_transform]],[3]Mapping!$B$4:$C$37,2,0)</f>
        <v>[Cake] - Cashloan</v>
      </c>
      <c r="H7855" s="128" t="str">
        <f>VLOOKUP(source[[#This Row],[lending_product_transform]],[3]Mapping!$B$3:$D$37,3,0)</f>
        <v>cashloan</v>
      </c>
      <c r="I7855" s="135">
        <v>0</v>
      </c>
    </row>
    <row r="7856" spans="1:9" x14ac:dyDescent="0.2">
      <c r="A7856" s="134">
        <v>45851</v>
      </c>
      <c r="B7856" s="135">
        <f>YEAR(source[[#This Row],[report_date]])</f>
        <v>2025</v>
      </c>
      <c r="C7856" s="128">
        <f t="shared" si="364"/>
        <v>7</v>
      </c>
      <c r="D7856" s="136">
        <f t="shared" si="366"/>
        <v>28</v>
      </c>
      <c r="E7856" s="136">
        <f t="shared" si="365"/>
        <v>13</v>
      </c>
      <c r="F7856" s="128" t="s">
        <v>24</v>
      </c>
      <c r="G7856" s="128" t="str">
        <f>VLOOKUP(source[[#This Row],[lending_product_transform]],[3]Mapping!$B$4:$C$37,2,0)</f>
        <v>[Cake] - Cashloan</v>
      </c>
      <c r="H7856" s="128" t="str">
        <f>VLOOKUP(source[[#This Row],[lending_product_transform]],[3]Mapping!$B$3:$D$37,3,0)</f>
        <v>cashloan</v>
      </c>
      <c r="I7856" s="135">
        <v>0</v>
      </c>
    </row>
    <row r="7857" spans="1:9" x14ac:dyDescent="0.2">
      <c r="A7857" s="134">
        <v>45851</v>
      </c>
      <c r="B7857" s="135">
        <f>YEAR(source[[#This Row],[report_date]])</f>
        <v>2025</v>
      </c>
      <c r="C7857" s="128">
        <f t="shared" si="364"/>
        <v>7</v>
      </c>
      <c r="D7857" s="136">
        <f t="shared" si="366"/>
        <v>28</v>
      </c>
      <c r="E7857" s="136">
        <f t="shared" si="365"/>
        <v>13</v>
      </c>
      <c r="F7857" s="128" t="s">
        <v>24</v>
      </c>
      <c r="G7857" s="128" t="str">
        <f>VLOOKUP(source[[#This Row],[lending_product_transform]],[3]Mapping!$B$4:$C$37,2,0)</f>
        <v>[Cake] - Cashloan</v>
      </c>
      <c r="H7857" s="128" t="str">
        <f>VLOOKUP(source[[#This Row],[lending_product_transform]],[3]Mapping!$B$3:$D$37,3,0)</f>
        <v>cashloan</v>
      </c>
      <c r="I7857" s="135">
        <v>174360000</v>
      </c>
    </row>
    <row r="7858" spans="1:9" x14ac:dyDescent="0.2">
      <c r="A7858" s="134">
        <v>45851</v>
      </c>
      <c r="B7858" s="135">
        <f>YEAR(source[[#This Row],[report_date]])</f>
        <v>2025</v>
      </c>
      <c r="C7858" s="128">
        <f t="shared" si="364"/>
        <v>7</v>
      </c>
      <c r="D7858" s="136">
        <f t="shared" si="366"/>
        <v>28</v>
      </c>
      <c r="E7858" s="136">
        <f t="shared" si="365"/>
        <v>13</v>
      </c>
      <c r="F7858" s="128" t="s">
        <v>24</v>
      </c>
      <c r="G7858" s="128" t="str">
        <f>VLOOKUP(source[[#This Row],[lending_product_transform]],[3]Mapping!$B$4:$C$37,2,0)</f>
        <v>[Cake] - Cashloan</v>
      </c>
      <c r="H7858" s="128" t="str">
        <f>VLOOKUP(source[[#This Row],[lending_product_transform]],[3]Mapping!$B$3:$D$37,3,0)</f>
        <v>cashloan</v>
      </c>
      <c r="I7858" s="135">
        <v>3415040000</v>
      </c>
    </row>
    <row r="7859" spans="1:9" x14ac:dyDescent="0.2">
      <c r="A7859" s="134">
        <v>45851</v>
      </c>
      <c r="B7859" s="135">
        <f>YEAR(source[[#This Row],[report_date]])</f>
        <v>2025</v>
      </c>
      <c r="C7859" s="128">
        <f t="shared" si="364"/>
        <v>7</v>
      </c>
      <c r="D7859" s="136">
        <f t="shared" si="366"/>
        <v>28</v>
      </c>
      <c r="E7859" s="136">
        <f t="shared" si="365"/>
        <v>13</v>
      </c>
      <c r="F7859" s="128" t="s">
        <v>24</v>
      </c>
      <c r="G7859" s="128" t="str">
        <f>VLOOKUP(source[[#This Row],[lending_product_transform]],[3]Mapping!$B$4:$C$37,2,0)</f>
        <v>[Cake] - Cashloan</v>
      </c>
      <c r="H7859" s="128" t="str">
        <f>VLOOKUP(source[[#This Row],[lending_product_transform]],[3]Mapping!$B$3:$D$37,3,0)</f>
        <v>cashloan</v>
      </c>
      <c r="I7859" s="135">
        <v>245233514</v>
      </c>
    </row>
    <row r="7860" spans="1:9" x14ac:dyDescent="0.2">
      <c r="A7860" s="134">
        <v>45851</v>
      </c>
      <c r="B7860" s="135">
        <f>YEAR(source[[#This Row],[report_date]])</f>
        <v>2025</v>
      </c>
      <c r="C7860" s="128">
        <f t="shared" si="364"/>
        <v>7</v>
      </c>
      <c r="D7860" s="136">
        <f t="shared" si="366"/>
        <v>28</v>
      </c>
      <c r="E7860" s="136">
        <f t="shared" si="365"/>
        <v>13</v>
      </c>
      <c r="F7860" s="128" t="s">
        <v>24</v>
      </c>
      <c r="G7860" s="128" t="str">
        <f>VLOOKUP(source[[#This Row],[lending_product_transform]],[3]Mapping!$B$4:$C$37,2,0)</f>
        <v>[Cake] - Cashloan</v>
      </c>
      <c r="H7860" s="128" t="str">
        <f>VLOOKUP(source[[#This Row],[lending_product_transform]],[3]Mapping!$B$3:$D$37,3,0)</f>
        <v>cashloan</v>
      </c>
      <c r="I7860" s="135">
        <v>324555815</v>
      </c>
    </row>
    <row r="7861" spans="1:9" x14ac:dyDescent="0.2">
      <c r="A7861" s="134">
        <v>45851</v>
      </c>
      <c r="B7861" s="135">
        <f>YEAR(source[[#This Row],[report_date]])</f>
        <v>2025</v>
      </c>
      <c r="C7861" s="128">
        <f t="shared" si="364"/>
        <v>7</v>
      </c>
      <c r="D7861" s="136">
        <f t="shared" si="366"/>
        <v>28</v>
      </c>
      <c r="E7861" s="136">
        <f t="shared" si="365"/>
        <v>13</v>
      </c>
      <c r="F7861" s="128" t="s">
        <v>24</v>
      </c>
      <c r="G7861" s="128" t="str">
        <f>VLOOKUP(source[[#This Row],[lending_product_transform]],[3]Mapping!$B$4:$C$37,2,0)</f>
        <v>[Cake] - Cashloan</v>
      </c>
      <c r="H7861" s="128" t="str">
        <f>VLOOKUP(source[[#This Row],[lending_product_transform]],[3]Mapping!$B$3:$D$37,3,0)</f>
        <v>cashloan</v>
      </c>
      <c r="I7861" s="135">
        <v>3163132367</v>
      </c>
    </row>
    <row r="7862" spans="1:9" x14ac:dyDescent="0.2">
      <c r="A7862" s="134">
        <v>45851</v>
      </c>
      <c r="B7862" s="135">
        <f>YEAR(source[[#This Row],[report_date]])</f>
        <v>2025</v>
      </c>
      <c r="C7862" s="128">
        <f t="shared" ref="C7862:C7925" si="367">MONTH(A7862)</f>
        <v>7</v>
      </c>
      <c r="D7862" s="136">
        <f t="shared" si="366"/>
        <v>28</v>
      </c>
      <c r="E7862" s="136">
        <f t="shared" ref="E7862:E7925" si="368">DAY(A7862)</f>
        <v>13</v>
      </c>
      <c r="F7862" s="128" t="s">
        <v>24</v>
      </c>
      <c r="G7862" s="128" t="str">
        <f>VLOOKUP(source[[#This Row],[lending_product_transform]],[3]Mapping!$B$4:$C$37,2,0)</f>
        <v>[Cake] - Cashloan</v>
      </c>
      <c r="H7862" s="128" t="str">
        <f>VLOOKUP(source[[#This Row],[lending_product_transform]],[3]Mapping!$B$3:$D$37,3,0)</f>
        <v>cashloan</v>
      </c>
      <c r="I7862" s="135">
        <v>299479528</v>
      </c>
    </row>
    <row r="7863" spans="1:9" x14ac:dyDescent="0.2">
      <c r="A7863" s="134">
        <v>45851</v>
      </c>
      <c r="B7863" s="135">
        <f>YEAR(source[[#This Row],[report_date]])</f>
        <v>2025</v>
      </c>
      <c r="C7863" s="128">
        <f t="shared" si="367"/>
        <v>7</v>
      </c>
      <c r="D7863" s="136">
        <f t="shared" si="366"/>
        <v>28</v>
      </c>
      <c r="E7863" s="136">
        <f t="shared" si="368"/>
        <v>13</v>
      </c>
      <c r="F7863" s="128" t="s">
        <v>24</v>
      </c>
      <c r="G7863" s="128" t="str">
        <f>VLOOKUP(source[[#This Row],[lending_product_transform]],[3]Mapping!$B$4:$C$37,2,0)</f>
        <v>[Cake] - Cashloan</v>
      </c>
      <c r="H7863" s="128" t="str">
        <f>VLOOKUP(source[[#This Row],[lending_product_transform]],[3]Mapping!$B$3:$D$37,3,0)</f>
        <v>cashloan</v>
      </c>
      <c r="I7863" s="135">
        <v>9952030000</v>
      </c>
    </row>
    <row r="7864" spans="1:9" x14ac:dyDescent="0.2">
      <c r="A7864" s="134">
        <v>45851</v>
      </c>
      <c r="B7864" s="135">
        <f>YEAR(source[[#This Row],[report_date]])</f>
        <v>2025</v>
      </c>
      <c r="C7864" s="128">
        <f t="shared" si="367"/>
        <v>7</v>
      </c>
      <c r="D7864" s="136">
        <f t="shared" si="366"/>
        <v>28</v>
      </c>
      <c r="E7864" s="136">
        <f t="shared" si="368"/>
        <v>13</v>
      </c>
      <c r="F7864" s="128" t="s">
        <v>24</v>
      </c>
      <c r="G7864" s="128" t="str">
        <f>VLOOKUP(source[[#This Row],[lending_product_transform]],[3]Mapping!$B$4:$C$37,2,0)</f>
        <v>[Cake] - Cashloan</v>
      </c>
      <c r="H7864" s="128" t="str">
        <f>VLOOKUP(source[[#This Row],[lending_product_transform]],[3]Mapping!$B$3:$D$37,3,0)</f>
        <v>cashloan</v>
      </c>
      <c r="I7864" s="135">
        <v>6410988000</v>
      </c>
    </row>
    <row r="7865" spans="1:9" x14ac:dyDescent="0.2">
      <c r="A7865" s="134">
        <v>45851</v>
      </c>
      <c r="B7865" s="135">
        <f>YEAR(source[[#This Row],[report_date]])</f>
        <v>2025</v>
      </c>
      <c r="C7865" s="128">
        <f t="shared" si="367"/>
        <v>7</v>
      </c>
      <c r="D7865" s="136">
        <f t="shared" si="366"/>
        <v>28</v>
      </c>
      <c r="E7865" s="136">
        <f t="shared" si="368"/>
        <v>13</v>
      </c>
      <c r="F7865" s="128" t="s">
        <v>24</v>
      </c>
      <c r="G7865" s="128" t="str">
        <f>VLOOKUP(source[[#This Row],[lending_product_transform]],[3]Mapping!$B$4:$C$37,2,0)</f>
        <v>[Cake] - Cashloan</v>
      </c>
      <c r="H7865" s="128" t="str">
        <f>VLOOKUP(source[[#This Row],[lending_product_transform]],[3]Mapping!$B$3:$D$37,3,0)</f>
        <v>cashloan</v>
      </c>
      <c r="I7865" s="135">
        <v>218508000</v>
      </c>
    </row>
    <row r="7866" spans="1:9" x14ac:dyDescent="0.2">
      <c r="A7866" s="134">
        <v>45851</v>
      </c>
      <c r="B7866" s="135">
        <f>YEAR(source[[#This Row],[report_date]])</f>
        <v>2025</v>
      </c>
      <c r="C7866" s="128">
        <f t="shared" si="367"/>
        <v>7</v>
      </c>
      <c r="D7866" s="136">
        <f t="shared" si="366"/>
        <v>28</v>
      </c>
      <c r="E7866" s="136">
        <f t="shared" si="368"/>
        <v>13</v>
      </c>
      <c r="F7866" s="128" t="s">
        <v>24</v>
      </c>
      <c r="G7866" s="128" t="str">
        <f>VLOOKUP(source[[#This Row],[lending_product_transform]],[3]Mapping!$B$4:$C$37,2,0)</f>
        <v>[Cake] - Cashloan</v>
      </c>
      <c r="H7866" s="128" t="str">
        <f>VLOOKUP(source[[#This Row],[lending_product_transform]],[3]Mapping!$B$3:$D$37,3,0)</f>
        <v>cashloan</v>
      </c>
      <c r="I7866" s="135">
        <v>2476460000</v>
      </c>
    </row>
    <row r="7867" spans="1:9" x14ac:dyDescent="0.2">
      <c r="A7867" s="134">
        <v>45851</v>
      </c>
      <c r="B7867" s="135">
        <f>YEAR(source[[#This Row],[report_date]])</f>
        <v>2025</v>
      </c>
      <c r="C7867" s="128">
        <f t="shared" si="367"/>
        <v>7</v>
      </c>
      <c r="D7867" s="136">
        <f t="shared" si="366"/>
        <v>28</v>
      </c>
      <c r="E7867" s="136">
        <f t="shared" si="368"/>
        <v>13</v>
      </c>
      <c r="F7867" s="128" t="s">
        <v>24</v>
      </c>
      <c r="G7867" s="128" t="str">
        <f>VLOOKUP(source[[#This Row],[lending_product_transform]],[3]Mapping!$B$4:$C$37,2,0)</f>
        <v>[Cake] - Cashloan</v>
      </c>
      <c r="H7867" s="128" t="str">
        <f>VLOOKUP(source[[#This Row],[lending_product_transform]],[3]Mapping!$B$3:$D$37,3,0)</f>
        <v>cashloan</v>
      </c>
      <c r="I7867" s="135">
        <v>11798300000</v>
      </c>
    </row>
    <row r="7868" spans="1:9" x14ac:dyDescent="0.2">
      <c r="A7868" s="134">
        <v>45852</v>
      </c>
      <c r="B7868" s="135">
        <f>YEAR(source[[#This Row],[report_date]])</f>
        <v>2025</v>
      </c>
      <c r="C7868" s="128">
        <f t="shared" si="367"/>
        <v>7</v>
      </c>
      <c r="D7868" s="136">
        <f t="shared" si="366"/>
        <v>29</v>
      </c>
      <c r="E7868" s="136">
        <f t="shared" si="368"/>
        <v>14</v>
      </c>
      <c r="F7868" s="128" t="s">
        <v>24</v>
      </c>
      <c r="G7868" s="128" t="str">
        <f>VLOOKUP(source[[#This Row],[lending_product_transform]],[3]Mapping!$B$4:$C$37,2,0)</f>
        <v>[Cake] - Cashloan</v>
      </c>
      <c r="H7868" s="128" t="str">
        <f>VLOOKUP(source[[#This Row],[lending_product_transform]],[3]Mapping!$B$3:$D$37,3,0)</f>
        <v>cashloan</v>
      </c>
      <c r="I7868" s="135">
        <v>0</v>
      </c>
    </row>
    <row r="7869" spans="1:9" x14ac:dyDescent="0.2">
      <c r="A7869" s="134">
        <v>45852</v>
      </c>
      <c r="B7869" s="135">
        <f>YEAR(source[[#This Row],[report_date]])</f>
        <v>2025</v>
      </c>
      <c r="C7869" s="128">
        <f t="shared" si="367"/>
        <v>7</v>
      </c>
      <c r="D7869" s="136">
        <f t="shared" si="366"/>
        <v>29</v>
      </c>
      <c r="E7869" s="136">
        <f t="shared" si="368"/>
        <v>14</v>
      </c>
      <c r="F7869" s="128" t="s">
        <v>24</v>
      </c>
      <c r="G7869" s="128" t="str">
        <f>VLOOKUP(source[[#This Row],[lending_product_transform]],[3]Mapping!$B$4:$C$37,2,0)</f>
        <v>[Cake] - Cashloan</v>
      </c>
      <c r="H7869" s="128" t="str">
        <f>VLOOKUP(source[[#This Row],[lending_product_transform]],[3]Mapping!$B$3:$D$37,3,0)</f>
        <v>cashloan</v>
      </c>
      <c r="I7869" s="135">
        <v>13798500000</v>
      </c>
    </row>
    <row r="7870" spans="1:9" x14ac:dyDescent="0.2">
      <c r="A7870" s="134">
        <v>45852</v>
      </c>
      <c r="B7870" s="135">
        <f>YEAR(source[[#This Row],[report_date]])</f>
        <v>2025</v>
      </c>
      <c r="C7870" s="128">
        <f t="shared" si="367"/>
        <v>7</v>
      </c>
      <c r="D7870" s="136">
        <f t="shared" si="366"/>
        <v>29</v>
      </c>
      <c r="E7870" s="136">
        <f t="shared" si="368"/>
        <v>14</v>
      </c>
      <c r="F7870" s="128" t="s">
        <v>24</v>
      </c>
      <c r="G7870" s="128" t="str">
        <f>VLOOKUP(source[[#This Row],[lending_product_transform]],[3]Mapping!$B$4:$C$37,2,0)</f>
        <v>[Cake] - Cashloan</v>
      </c>
      <c r="H7870" s="128" t="str">
        <f>VLOOKUP(source[[#This Row],[lending_product_transform]],[3]Mapping!$B$3:$D$37,3,0)</f>
        <v>cashloan</v>
      </c>
      <c r="I7870" s="135">
        <v>12850480000</v>
      </c>
    </row>
    <row r="7871" spans="1:9" x14ac:dyDescent="0.2">
      <c r="A7871" s="134">
        <v>45852</v>
      </c>
      <c r="B7871" s="135">
        <f>YEAR(source[[#This Row],[report_date]])</f>
        <v>2025</v>
      </c>
      <c r="C7871" s="128">
        <f t="shared" si="367"/>
        <v>7</v>
      </c>
      <c r="D7871" s="136">
        <f t="shared" si="366"/>
        <v>29</v>
      </c>
      <c r="E7871" s="136">
        <f t="shared" si="368"/>
        <v>14</v>
      </c>
      <c r="F7871" s="128" t="s">
        <v>24</v>
      </c>
      <c r="G7871" s="128" t="str">
        <f>VLOOKUP(source[[#This Row],[lending_product_transform]],[3]Mapping!$B$4:$C$37,2,0)</f>
        <v>[Cake] - Cashloan</v>
      </c>
      <c r="H7871" s="128" t="str">
        <f>VLOOKUP(source[[#This Row],[lending_product_transform]],[3]Mapping!$B$3:$D$37,3,0)</f>
        <v>cashloan</v>
      </c>
      <c r="I7871" s="135">
        <v>52500000</v>
      </c>
    </row>
    <row r="7872" spans="1:9" x14ac:dyDescent="0.2">
      <c r="A7872" s="134">
        <v>45852</v>
      </c>
      <c r="B7872" s="135">
        <f>YEAR(source[[#This Row],[report_date]])</f>
        <v>2025</v>
      </c>
      <c r="C7872" s="128">
        <f t="shared" si="367"/>
        <v>7</v>
      </c>
      <c r="D7872" s="136">
        <f t="shared" si="366"/>
        <v>29</v>
      </c>
      <c r="E7872" s="136">
        <f t="shared" si="368"/>
        <v>14</v>
      </c>
      <c r="F7872" s="128" t="s">
        <v>24</v>
      </c>
      <c r="G7872" s="128" t="str">
        <f>VLOOKUP(source[[#This Row],[lending_product_transform]],[3]Mapping!$B$4:$C$37,2,0)</f>
        <v>[Cake] - Cashloan</v>
      </c>
      <c r="H7872" s="128" t="str">
        <f>VLOOKUP(source[[#This Row],[lending_product_transform]],[3]Mapping!$B$3:$D$37,3,0)</f>
        <v>cashloan</v>
      </c>
      <c r="I7872" s="135">
        <v>58000000</v>
      </c>
    </row>
    <row r="7873" spans="1:9" x14ac:dyDescent="0.2">
      <c r="A7873" s="134">
        <v>45852</v>
      </c>
      <c r="B7873" s="135">
        <f>YEAR(source[[#This Row],[report_date]])</f>
        <v>2025</v>
      </c>
      <c r="C7873" s="128">
        <f t="shared" si="367"/>
        <v>7</v>
      </c>
      <c r="D7873" s="136">
        <f t="shared" si="366"/>
        <v>29</v>
      </c>
      <c r="E7873" s="136">
        <f t="shared" si="368"/>
        <v>14</v>
      </c>
      <c r="F7873" s="128" t="s">
        <v>24</v>
      </c>
      <c r="G7873" s="128" t="str">
        <f>VLOOKUP(source[[#This Row],[lending_product_transform]],[3]Mapping!$B$4:$C$37,2,0)</f>
        <v>[Cake] - Cashloan</v>
      </c>
      <c r="H7873" s="128" t="str">
        <f>VLOOKUP(source[[#This Row],[lending_product_transform]],[3]Mapping!$B$3:$D$37,3,0)</f>
        <v>cashloan</v>
      </c>
      <c r="I7873" s="135">
        <v>345279700</v>
      </c>
    </row>
    <row r="7874" spans="1:9" x14ac:dyDescent="0.2">
      <c r="A7874" s="134">
        <v>45852</v>
      </c>
      <c r="B7874" s="135">
        <f>YEAR(source[[#This Row],[report_date]])</f>
        <v>2025</v>
      </c>
      <c r="C7874" s="128">
        <f t="shared" si="367"/>
        <v>7</v>
      </c>
      <c r="D7874" s="136">
        <f t="shared" si="366"/>
        <v>29</v>
      </c>
      <c r="E7874" s="136">
        <f t="shared" si="368"/>
        <v>14</v>
      </c>
      <c r="F7874" s="128" t="s">
        <v>24</v>
      </c>
      <c r="G7874" s="128" t="str">
        <f>VLOOKUP(source[[#This Row],[lending_product_transform]],[3]Mapping!$B$4:$C$37,2,0)</f>
        <v>[Cake] - Cashloan</v>
      </c>
      <c r="H7874" s="128" t="str">
        <f>VLOOKUP(source[[#This Row],[lending_product_transform]],[3]Mapping!$B$3:$D$37,3,0)</f>
        <v>cashloan</v>
      </c>
      <c r="I7874" s="135">
        <v>0</v>
      </c>
    </row>
    <row r="7875" spans="1:9" x14ac:dyDescent="0.2">
      <c r="A7875" s="134">
        <v>45852</v>
      </c>
      <c r="B7875" s="135">
        <f>YEAR(source[[#This Row],[report_date]])</f>
        <v>2025</v>
      </c>
      <c r="C7875" s="128">
        <f t="shared" si="367"/>
        <v>7</v>
      </c>
      <c r="D7875" s="136">
        <f t="shared" ref="D7875:D7938" si="369">WEEKNUM(A7875,2)</f>
        <v>29</v>
      </c>
      <c r="E7875" s="136">
        <f t="shared" si="368"/>
        <v>14</v>
      </c>
      <c r="F7875" s="128" t="s">
        <v>24</v>
      </c>
      <c r="G7875" s="128" t="str">
        <f>VLOOKUP(source[[#This Row],[lending_product_transform]],[3]Mapping!$B$4:$C$37,2,0)</f>
        <v>[Cake] - Cashloan</v>
      </c>
      <c r="H7875" s="128" t="str">
        <f>VLOOKUP(source[[#This Row],[lending_product_transform]],[3]Mapping!$B$3:$D$37,3,0)</f>
        <v>cashloan</v>
      </c>
      <c r="I7875" s="135">
        <v>12600000</v>
      </c>
    </row>
    <row r="7876" spans="1:9" x14ac:dyDescent="0.2">
      <c r="A7876" s="134">
        <v>45852</v>
      </c>
      <c r="B7876" s="135">
        <f>YEAR(source[[#This Row],[report_date]])</f>
        <v>2025</v>
      </c>
      <c r="C7876" s="128">
        <f t="shared" si="367"/>
        <v>7</v>
      </c>
      <c r="D7876" s="136">
        <f t="shared" si="369"/>
        <v>29</v>
      </c>
      <c r="E7876" s="136">
        <f t="shared" si="368"/>
        <v>14</v>
      </c>
      <c r="F7876" s="128" t="s">
        <v>24</v>
      </c>
      <c r="G7876" s="128" t="str">
        <f>VLOOKUP(source[[#This Row],[lending_product_transform]],[3]Mapping!$B$4:$C$37,2,0)</f>
        <v>[Cake] - Cashloan</v>
      </c>
      <c r="H7876" s="128" t="str">
        <f>VLOOKUP(source[[#This Row],[lending_product_transform]],[3]Mapping!$B$3:$D$37,3,0)</f>
        <v>cashloan</v>
      </c>
      <c r="I7876" s="135">
        <v>18483719</v>
      </c>
    </row>
    <row r="7877" spans="1:9" x14ac:dyDescent="0.2">
      <c r="A7877" s="134">
        <v>45852</v>
      </c>
      <c r="B7877" s="135">
        <f>YEAR(source[[#This Row],[report_date]])</f>
        <v>2025</v>
      </c>
      <c r="C7877" s="128">
        <f t="shared" si="367"/>
        <v>7</v>
      </c>
      <c r="D7877" s="136">
        <f t="shared" si="369"/>
        <v>29</v>
      </c>
      <c r="E7877" s="136">
        <f t="shared" si="368"/>
        <v>14</v>
      </c>
      <c r="F7877" s="128" t="s">
        <v>24</v>
      </c>
      <c r="G7877" s="128" t="str">
        <f>VLOOKUP(source[[#This Row],[lending_product_transform]],[3]Mapping!$B$4:$C$37,2,0)</f>
        <v>[Cake] - Cashloan</v>
      </c>
      <c r="H7877" s="128" t="str">
        <f>VLOOKUP(source[[#This Row],[lending_product_transform]],[3]Mapping!$B$3:$D$37,3,0)</f>
        <v>cashloan</v>
      </c>
      <c r="I7877" s="135">
        <v>0</v>
      </c>
    </row>
    <row r="7878" spans="1:9" x14ac:dyDescent="0.2">
      <c r="A7878" s="134">
        <v>45852</v>
      </c>
      <c r="B7878" s="135">
        <f>YEAR(source[[#This Row],[report_date]])</f>
        <v>2025</v>
      </c>
      <c r="C7878" s="128">
        <f t="shared" si="367"/>
        <v>7</v>
      </c>
      <c r="D7878" s="136">
        <f t="shared" si="369"/>
        <v>29</v>
      </c>
      <c r="E7878" s="136">
        <f t="shared" si="368"/>
        <v>14</v>
      </c>
      <c r="F7878" s="128" t="s">
        <v>24</v>
      </c>
      <c r="G7878" s="128" t="str">
        <f>VLOOKUP(source[[#This Row],[lending_product_transform]],[3]Mapping!$B$4:$C$37,2,0)</f>
        <v>[Cake] - Cashloan</v>
      </c>
      <c r="H7878" s="128" t="str">
        <f>VLOOKUP(source[[#This Row],[lending_product_transform]],[3]Mapping!$B$3:$D$37,3,0)</f>
        <v>cashloan</v>
      </c>
      <c r="I7878" s="135">
        <v>6483996000</v>
      </c>
    </row>
    <row r="7879" spans="1:9" x14ac:dyDescent="0.2">
      <c r="A7879" s="134">
        <v>45852</v>
      </c>
      <c r="B7879" s="135">
        <f>YEAR(source[[#This Row],[report_date]])</f>
        <v>2025</v>
      </c>
      <c r="C7879" s="128">
        <f t="shared" si="367"/>
        <v>7</v>
      </c>
      <c r="D7879" s="136">
        <f t="shared" si="369"/>
        <v>29</v>
      </c>
      <c r="E7879" s="136">
        <f t="shared" si="368"/>
        <v>14</v>
      </c>
      <c r="F7879" s="128" t="s">
        <v>24</v>
      </c>
      <c r="G7879" s="128" t="str">
        <f>VLOOKUP(source[[#This Row],[lending_product_transform]],[3]Mapping!$B$4:$C$37,2,0)</f>
        <v>[Cake] - Cashloan</v>
      </c>
      <c r="H7879" s="128" t="str">
        <f>VLOOKUP(source[[#This Row],[lending_product_transform]],[3]Mapping!$B$3:$D$37,3,0)</f>
        <v>cashloan</v>
      </c>
      <c r="I7879" s="135">
        <v>0</v>
      </c>
    </row>
    <row r="7880" spans="1:9" x14ac:dyDescent="0.2">
      <c r="A7880" s="134">
        <v>45852</v>
      </c>
      <c r="B7880" s="135">
        <f>YEAR(source[[#This Row],[report_date]])</f>
        <v>2025</v>
      </c>
      <c r="C7880" s="128">
        <f t="shared" si="367"/>
        <v>7</v>
      </c>
      <c r="D7880" s="136">
        <f t="shared" si="369"/>
        <v>29</v>
      </c>
      <c r="E7880" s="136">
        <f t="shared" si="368"/>
        <v>14</v>
      </c>
      <c r="F7880" s="128" t="s">
        <v>24</v>
      </c>
      <c r="G7880" s="128" t="str">
        <f>VLOOKUP(source[[#This Row],[lending_product_transform]],[3]Mapping!$B$4:$C$37,2,0)</f>
        <v>[Cake] - Cashloan</v>
      </c>
      <c r="H7880" s="128" t="str">
        <f>VLOOKUP(source[[#This Row],[lending_product_transform]],[3]Mapping!$B$3:$D$37,3,0)</f>
        <v>cashloan</v>
      </c>
      <c r="I7880" s="135">
        <v>152000000</v>
      </c>
    </row>
    <row r="7881" spans="1:9" x14ac:dyDescent="0.2">
      <c r="A7881" s="134">
        <v>45852</v>
      </c>
      <c r="B7881" s="135">
        <f>YEAR(source[[#This Row],[report_date]])</f>
        <v>2025</v>
      </c>
      <c r="C7881" s="128">
        <f t="shared" si="367"/>
        <v>7</v>
      </c>
      <c r="D7881" s="136">
        <f t="shared" si="369"/>
        <v>29</v>
      </c>
      <c r="E7881" s="136">
        <f t="shared" si="368"/>
        <v>14</v>
      </c>
      <c r="F7881" s="128" t="s">
        <v>24</v>
      </c>
      <c r="G7881" s="128" t="str">
        <f>VLOOKUP(source[[#This Row],[lending_product_transform]],[3]Mapping!$B$4:$C$37,2,0)</f>
        <v>[Cake] - Cashloan</v>
      </c>
      <c r="H7881" s="128" t="str">
        <f>VLOOKUP(source[[#This Row],[lending_product_transform]],[3]Mapping!$B$3:$D$37,3,0)</f>
        <v>cashloan</v>
      </c>
      <c r="I7881" s="135">
        <v>4244850000</v>
      </c>
    </row>
    <row r="7882" spans="1:9" x14ac:dyDescent="0.2">
      <c r="A7882" s="134">
        <v>45852</v>
      </c>
      <c r="B7882" s="135">
        <f>YEAR(source[[#This Row],[report_date]])</f>
        <v>2025</v>
      </c>
      <c r="C7882" s="128">
        <f t="shared" si="367"/>
        <v>7</v>
      </c>
      <c r="D7882" s="136">
        <f t="shared" si="369"/>
        <v>29</v>
      </c>
      <c r="E7882" s="136">
        <f t="shared" si="368"/>
        <v>14</v>
      </c>
      <c r="F7882" s="128" t="s">
        <v>24</v>
      </c>
      <c r="G7882" s="128" t="str">
        <f>VLOOKUP(source[[#This Row],[lending_product_transform]],[3]Mapping!$B$4:$C$37,2,0)</f>
        <v>[Cake] - Cashloan</v>
      </c>
      <c r="H7882" s="128" t="str">
        <f>VLOOKUP(source[[#This Row],[lending_product_transform]],[3]Mapping!$B$3:$D$37,3,0)</f>
        <v>cashloan</v>
      </c>
      <c r="I7882" s="135">
        <v>179629699</v>
      </c>
    </row>
    <row r="7883" spans="1:9" x14ac:dyDescent="0.2">
      <c r="A7883" s="134">
        <v>45852</v>
      </c>
      <c r="B7883" s="135">
        <f>YEAR(source[[#This Row],[report_date]])</f>
        <v>2025</v>
      </c>
      <c r="C7883" s="128">
        <f t="shared" si="367"/>
        <v>7</v>
      </c>
      <c r="D7883" s="136">
        <f t="shared" si="369"/>
        <v>29</v>
      </c>
      <c r="E7883" s="136">
        <f t="shared" si="368"/>
        <v>14</v>
      </c>
      <c r="F7883" s="128" t="s">
        <v>24</v>
      </c>
      <c r="G7883" s="128" t="str">
        <f>VLOOKUP(source[[#This Row],[lending_product_transform]],[3]Mapping!$B$4:$C$37,2,0)</f>
        <v>[Cake] - Cashloan</v>
      </c>
      <c r="H7883" s="128" t="str">
        <f>VLOOKUP(source[[#This Row],[lending_product_transform]],[3]Mapping!$B$3:$D$37,3,0)</f>
        <v>cashloan</v>
      </c>
      <c r="I7883" s="135">
        <v>2084700000</v>
      </c>
    </row>
    <row r="7884" spans="1:9" x14ac:dyDescent="0.2">
      <c r="A7884" s="134">
        <v>45852</v>
      </c>
      <c r="B7884" s="135">
        <f>YEAR(source[[#This Row],[report_date]])</f>
        <v>2025</v>
      </c>
      <c r="C7884" s="128">
        <f t="shared" si="367"/>
        <v>7</v>
      </c>
      <c r="D7884" s="136">
        <f t="shared" si="369"/>
        <v>29</v>
      </c>
      <c r="E7884" s="136">
        <f t="shared" si="368"/>
        <v>14</v>
      </c>
      <c r="F7884" s="128" t="s">
        <v>24</v>
      </c>
      <c r="G7884" s="128" t="str">
        <f>VLOOKUP(source[[#This Row],[lending_product_transform]],[3]Mapping!$B$4:$C$37,2,0)</f>
        <v>[Cake] - Cashloan</v>
      </c>
      <c r="H7884" s="128" t="str">
        <f>VLOOKUP(source[[#This Row],[lending_product_transform]],[3]Mapping!$B$3:$D$37,3,0)</f>
        <v>cashloan</v>
      </c>
      <c r="I7884" s="135">
        <v>252302159</v>
      </c>
    </row>
    <row r="7885" spans="1:9" x14ac:dyDescent="0.2">
      <c r="A7885" s="134">
        <v>45852</v>
      </c>
      <c r="B7885" s="135">
        <f>YEAR(source[[#This Row],[report_date]])</f>
        <v>2025</v>
      </c>
      <c r="C7885" s="128">
        <f t="shared" si="367"/>
        <v>7</v>
      </c>
      <c r="D7885" s="136">
        <f t="shared" si="369"/>
        <v>29</v>
      </c>
      <c r="E7885" s="136">
        <f t="shared" si="368"/>
        <v>14</v>
      </c>
      <c r="F7885" s="128" t="s">
        <v>24</v>
      </c>
      <c r="G7885" s="128" t="str">
        <f>VLOOKUP(source[[#This Row],[lending_product_transform]],[3]Mapping!$B$4:$C$37,2,0)</f>
        <v>[Cake] - Cashloan</v>
      </c>
      <c r="H7885" s="128" t="str">
        <f>VLOOKUP(source[[#This Row],[lending_product_transform]],[3]Mapping!$B$3:$D$37,3,0)</f>
        <v>cashloan</v>
      </c>
      <c r="I7885" s="135">
        <v>395416116</v>
      </c>
    </row>
    <row r="7886" spans="1:9" x14ac:dyDescent="0.2">
      <c r="A7886" s="134">
        <v>45852</v>
      </c>
      <c r="B7886" s="135">
        <f>YEAR(source[[#This Row],[report_date]])</f>
        <v>2025</v>
      </c>
      <c r="C7886" s="128">
        <f t="shared" si="367"/>
        <v>7</v>
      </c>
      <c r="D7886" s="136">
        <f t="shared" si="369"/>
        <v>29</v>
      </c>
      <c r="E7886" s="136">
        <f t="shared" si="368"/>
        <v>14</v>
      </c>
      <c r="F7886" s="128" t="s">
        <v>24</v>
      </c>
      <c r="G7886" s="128" t="str">
        <f>VLOOKUP(source[[#This Row],[lending_product_transform]],[3]Mapping!$B$4:$C$37,2,0)</f>
        <v>[Cake] - Cashloan</v>
      </c>
      <c r="H7886" s="128" t="str">
        <f>VLOOKUP(source[[#This Row],[lending_product_transform]],[3]Mapping!$B$3:$D$37,3,0)</f>
        <v>cashloan</v>
      </c>
      <c r="I7886" s="135">
        <v>4001324306</v>
      </c>
    </row>
    <row r="7887" spans="1:9" x14ac:dyDescent="0.2">
      <c r="A7887" s="134">
        <v>45853</v>
      </c>
      <c r="B7887" s="135">
        <f>YEAR(source[[#This Row],[report_date]])</f>
        <v>2025</v>
      </c>
      <c r="C7887" s="128">
        <f t="shared" si="367"/>
        <v>7</v>
      </c>
      <c r="D7887" s="136">
        <f t="shared" si="369"/>
        <v>29</v>
      </c>
      <c r="E7887" s="136">
        <f t="shared" si="368"/>
        <v>15</v>
      </c>
      <c r="F7887" s="128" t="s">
        <v>24</v>
      </c>
      <c r="G7887" s="128" t="str">
        <f>VLOOKUP(source[[#This Row],[lending_product_transform]],[3]Mapping!$B$4:$C$37,2,0)</f>
        <v>[Cake] - Cashloan</v>
      </c>
      <c r="H7887" s="128" t="str">
        <f>VLOOKUP(source[[#This Row],[lending_product_transform]],[3]Mapping!$B$3:$D$37,3,0)</f>
        <v>cashloan</v>
      </c>
      <c r="I7887" s="135">
        <v>97000000</v>
      </c>
    </row>
    <row r="7888" spans="1:9" x14ac:dyDescent="0.2">
      <c r="A7888" s="134">
        <v>45853</v>
      </c>
      <c r="B7888" s="135">
        <f>YEAR(source[[#This Row],[report_date]])</f>
        <v>2025</v>
      </c>
      <c r="C7888" s="128">
        <f t="shared" si="367"/>
        <v>7</v>
      </c>
      <c r="D7888" s="136">
        <f t="shared" si="369"/>
        <v>29</v>
      </c>
      <c r="E7888" s="136">
        <f t="shared" si="368"/>
        <v>15</v>
      </c>
      <c r="F7888" s="128" t="s">
        <v>24</v>
      </c>
      <c r="G7888" s="128" t="str">
        <f>VLOOKUP(source[[#This Row],[lending_product_transform]],[3]Mapping!$B$4:$C$37,2,0)</f>
        <v>[Cake] - Cashloan</v>
      </c>
      <c r="H7888" s="128" t="str">
        <f>VLOOKUP(source[[#This Row],[lending_product_transform]],[3]Mapping!$B$3:$D$37,3,0)</f>
        <v>cashloan</v>
      </c>
      <c r="I7888" s="135">
        <v>4065693037</v>
      </c>
    </row>
    <row r="7889" spans="1:9" x14ac:dyDescent="0.2">
      <c r="A7889" s="134">
        <v>45853</v>
      </c>
      <c r="B7889" s="135">
        <f>YEAR(source[[#This Row],[report_date]])</f>
        <v>2025</v>
      </c>
      <c r="C7889" s="128">
        <f t="shared" si="367"/>
        <v>7</v>
      </c>
      <c r="D7889" s="136">
        <f t="shared" si="369"/>
        <v>29</v>
      </c>
      <c r="E7889" s="136">
        <f t="shared" si="368"/>
        <v>15</v>
      </c>
      <c r="F7889" s="128" t="s">
        <v>24</v>
      </c>
      <c r="G7889" s="128" t="str">
        <f>VLOOKUP(source[[#This Row],[lending_product_transform]],[3]Mapping!$B$4:$C$37,2,0)</f>
        <v>[Cake] - Cashloan</v>
      </c>
      <c r="H7889" s="128" t="str">
        <f>VLOOKUP(source[[#This Row],[lending_product_transform]],[3]Mapping!$B$3:$D$37,3,0)</f>
        <v>cashloan</v>
      </c>
      <c r="I7889" s="135">
        <v>14271099</v>
      </c>
    </row>
    <row r="7890" spans="1:9" x14ac:dyDescent="0.2">
      <c r="A7890" s="134">
        <v>45853</v>
      </c>
      <c r="B7890" s="135">
        <f>YEAR(source[[#This Row],[report_date]])</f>
        <v>2025</v>
      </c>
      <c r="C7890" s="128">
        <f t="shared" si="367"/>
        <v>7</v>
      </c>
      <c r="D7890" s="136">
        <f t="shared" si="369"/>
        <v>29</v>
      </c>
      <c r="E7890" s="136">
        <f t="shared" si="368"/>
        <v>15</v>
      </c>
      <c r="F7890" s="128" t="s">
        <v>24</v>
      </c>
      <c r="G7890" s="128" t="str">
        <f>VLOOKUP(source[[#This Row],[lending_product_transform]],[3]Mapping!$B$4:$C$37,2,0)</f>
        <v>[Cake] - Cashloan</v>
      </c>
      <c r="H7890" s="128" t="str">
        <f>VLOOKUP(source[[#This Row],[lending_product_transform]],[3]Mapping!$B$3:$D$37,3,0)</f>
        <v>cashloan</v>
      </c>
      <c r="I7890" s="135">
        <v>317746284</v>
      </c>
    </row>
    <row r="7891" spans="1:9" x14ac:dyDescent="0.2">
      <c r="A7891" s="134">
        <v>45853</v>
      </c>
      <c r="B7891" s="135">
        <f>YEAR(source[[#This Row],[report_date]])</f>
        <v>2025</v>
      </c>
      <c r="C7891" s="128">
        <f t="shared" si="367"/>
        <v>7</v>
      </c>
      <c r="D7891" s="136">
        <f t="shared" si="369"/>
        <v>29</v>
      </c>
      <c r="E7891" s="136">
        <f t="shared" si="368"/>
        <v>15</v>
      </c>
      <c r="F7891" s="128" t="s">
        <v>24</v>
      </c>
      <c r="G7891" s="128" t="str">
        <f>VLOOKUP(source[[#This Row],[lending_product_transform]],[3]Mapping!$B$4:$C$37,2,0)</f>
        <v>[Cake] - Cashloan</v>
      </c>
      <c r="H7891" s="128" t="str">
        <f>VLOOKUP(source[[#This Row],[lending_product_transform]],[3]Mapping!$B$3:$D$37,3,0)</f>
        <v>cashloan</v>
      </c>
      <c r="I7891" s="135">
        <v>0</v>
      </c>
    </row>
    <row r="7892" spans="1:9" x14ac:dyDescent="0.2">
      <c r="A7892" s="134">
        <v>45853</v>
      </c>
      <c r="B7892" s="135">
        <f>YEAR(source[[#This Row],[report_date]])</f>
        <v>2025</v>
      </c>
      <c r="C7892" s="128">
        <f t="shared" si="367"/>
        <v>7</v>
      </c>
      <c r="D7892" s="136">
        <f t="shared" si="369"/>
        <v>29</v>
      </c>
      <c r="E7892" s="136">
        <f t="shared" si="368"/>
        <v>15</v>
      </c>
      <c r="F7892" s="128" t="s">
        <v>24</v>
      </c>
      <c r="G7892" s="128" t="str">
        <f>VLOOKUP(source[[#This Row],[lending_product_transform]],[3]Mapping!$B$4:$C$37,2,0)</f>
        <v>[Cake] - Cashloan</v>
      </c>
      <c r="H7892" s="128" t="str">
        <f>VLOOKUP(source[[#This Row],[lending_product_transform]],[3]Mapping!$B$3:$D$37,3,0)</f>
        <v>cashloan</v>
      </c>
      <c r="I7892" s="135">
        <v>45150000</v>
      </c>
    </row>
    <row r="7893" spans="1:9" x14ac:dyDescent="0.2">
      <c r="A7893" s="134">
        <v>45853</v>
      </c>
      <c r="B7893" s="135">
        <f>YEAR(source[[#This Row],[report_date]])</f>
        <v>2025</v>
      </c>
      <c r="C7893" s="128">
        <f t="shared" si="367"/>
        <v>7</v>
      </c>
      <c r="D7893" s="136">
        <f t="shared" si="369"/>
        <v>29</v>
      </c>
      <c r="E7893" s="136">
        <f t="shared" si="368"/>
        <v>15</v>
      </c>
      <c r="F7893" s="128" t="s">
        <v>24</v>
      </c>
      <c r="G7893" s="128" t="str">
        <f>VLOOKUP(source[[#This Row],[lending_product_transform]],[3]Mapping!$B$4:$C$37,2,0)</f>
        <v>[Cake] - Cashloan</v>
      </c>
      <c r="H7893" s="128" t="str">
        <f>VLOOKUP(source[[#This Row],[lending_product_transform]],[3]Mapping!$B$3:$D$37,3,0)</f>
        <v>cashloan</v>
      </c>
      <c r="I7893" s="135">
        <v>14845900000</v>
      </c>
    </row>
    <row r="7894" spans="1:9" x14ac:dyDescent="0.2">
      <c r="A7894" s="134">
        <v>45853</v>
      </c>
      <c r="B7894" s="135">
        <f>YEAR(source[[#This Row],[report_date]])</f>
        <v>2025</v>
      </c>
      <c r="C7894" s="128">
        <f t="shared" si="367"/>
        <v>7</v>
      </c>
      <c r="D7894" s="136">
        <f t="shared" si="369"/>
        <v>29</v>
      </c>
      <c r="E7894" s="136">
        <f t="shared" si="368"/>
        <v>15</v>
      </c>
      <c r="F7894" s="128" t="s">
        <v>24</v>
      </c>
      <c r="G7894" s="128" t="str">
        <f>VLOOKUP(source[[#This Row],[lending_product_transform]],[3]Mapping!$B$4:$C$37,2,0)</f>
        <v>[Cake] - Cashloan</v>
      </c>
      <c r="H7894" s="128" t="str">
        <f>VLOOKUP(source[[#This Row],[lending_product_transform]],[3]Mapping!$B$3:$D$37,3,0)</f>
        <v>cashloan</v>
      </c>
      <c r="I7894" s="135">
        <v>0</v>
      </c>
    </row>
    <row r="7895" spans="1:9" x14ac:dyDescent="0.2">
      <c r="A7895" s="134">
        <v>45853</v>
      </c>
      <c r="B7895" s="135">
        <f>YEAR(source[[#This Row],[report_date]])</f>
        <v>2025</v>
      </c>
      <c r="C7895" s="128">
        <f t="shared" si="367"/>
        <v>7</v>
      </c>
      <c r="D7895" s="136">
        <f t="shared" si="369"/>
        <v>29</v>
      </c>
      <c r="E7895" s="136">
        <f t="shared" si="368"/>
        <v>15</v>
      </c>
      <c r="F7895" s="128" t="s">
        <v>24</v>
      </c>
      <c r="G7895" s="128" t="str">
        <f>VLOOKUP(source[[#This Row],[lending_product_transform]],[3]Mapping!$B$4:$C$37,2,0)</f>
        <v>[Cake] - Cashloan</v>
      </c>
      <c r="H7895" s="128" t="str">
        <f>VLOOKUP(source[[#This Row],[lending_product_transform]],[3]Mapping!$B$3:$D$37,3,0)</f>
        <v>cashloan</v>
      </c>
      <c r="I7895" s="135">
        <v>0</v>
      </c>
    </row>
    <row r="7896" spans="1:9" x14ac:dyDescent="0.2">
      <c r="A7896" s="134">
        <v>45853</v>
      </c>
      <c r="B7896" s="135">
        <f>YEAR(source[[#This Row],[report_date]])</f>
        <v>2025</v>
      </c>
      <c r="C7896" s="128">
        <f t="shared" si="367"/>
        <v>7</v>
      </c>
      <c r="D7896" s="136">
        <f t="shared" si="369"/>
        <v>29</v>
      </c>
      <c r="E7896" s="136">
        <f t="shared" si="368"/>
        <v>15</v>
      </c>
      <c r="F7896" s="128" t="s">
        <v>24</v>
      </c>
      <c r="G7896" s="128" t="str">
        <f>VLOOKUP(source[[#This Row],[lending_product_transform]],[3]Mapping!$B$4:$C$37,2,0)</f>
        <v>[Cake] - Cashloan</v>
      </c>
      <c r="H7896" s="128" t="str">
        <f>VLOOKUP(source[[#This Row],[lending_product_transform]],[3]Mapping!$B$3:$D$37,3,0)</f>
        <v>cashloan</v>
      </c>
      <c r="I7896" s="135">
        <v>141750000</v>
      </c>
    </row>
    <row r="7897" spans="1:9" x14ac:dyDescent="0.2">
      <c r="A7897" s="134">
        <v>45853</v>
      </c>
      <c r="B7897" s="135">
        <f>YEAR(source[[#This Row],[report_date]])</f>
        <v>2025</v>
      </c>
      <c r="C7897" s="128">
        <f t="shared" si="367"/>
        <v>7</v>
      </c>
      <c r="D7897" s="136">
        <f t="shared" si="369"/>
        <v>29</v>
      </c>
      <c r="E7897" s="136">
        <f t="shared" si="368"/>
        <v>15</v>
      </c>
      <c r="F7897" s="128" t="s">
        <v>24</v>
      </c>
      <c r="G7897" s="128" t="str">
        <f>VLOOKUP(source[[#This Row],[lending_product_transform]],[3]Mapping!$B$4:$C$37,2,0)</f>
        <v>[Cake] - Cashloan</v>
      </c>
      <c r="H7897" s="128" t="str">
        <f>VLOOKUP(source[[#This Row],[lending_product_transform]],[3]Mapping!$B$3:$D$37,3,0)</f>
        <v>cashloan</v>
      </c>
      <c r="I7897" s="135">
        <v>190409900</v>
      </c>
    </row>
    <row r="7898" spans="1:9" x14ac:dyDescent="0.2">
      <c r="A7898" s="134">
        <v>45853</v>
      </c>
      <c r="B7898" s="135">
        <f>YEAR(source[[#This Row],[report_date]])</f>
        <v>2025</v>
      </c>
      <c r="C7898" s="128">
        <f t="shared" si="367"/>
        <v>7</v>
      </c>
      <c r="D7898" s="136">
        <f t="shared" si="369"/>
        <v>29</v>
      </c>
      <c r="E7898" s="136">
        <f t="shared" si="368"/>
        <v>15</v>
      </c>
      <c r="F7898" s="128" t="s">
        <v>24</v>
      </c>
      <c r="G7898" s="128" t="str">
        <f>VLOOKUP(source[[#This Row],[lending_product_transform]],[3]Mapping!$B$4:$C$37,2,0)</f>
        <v>[Cake] - Cashloan</v>
      </c>
      <c r="H7898" s="128" t="str">
        <f>VLOOKUP(source[[#This Row],[lending_product_transform]],[3]Mapping!$B$3:$D$37,3,0)</f>
        <v>cashloan</v>
      </c>
      <c r="I7898" s="135">
        <v>21000000</v>
      </c>
    </row>
    <row r="7899" spans="1:9" x14ac:dyDescent="0.2">
      <c r="A7899" s="134">
        <v>45853</v>
      </c>
      <c r="B7899" s="135">
        <f>YEAR(source[[#This Row],[report_date]])</f>
        <v>2025</v>
      </c>
      <c r="C7899" s="128">
        <f t="shared" si="367"/>
        <v>7</v>
      </c>
      <c r="D7899" s="136">
        <f t="shared" si="369"/>
        <v>29</v>
      </c>
      <c r="E7899" s="136">
        <f t="shared" si="368"/>
        <v>15</v>
      </c>
      <c r="F7899" s="128" t="s">
        <v>24</v>
      </c>
      <c r="G7899" s="128" t="str">
        <f>VLOOKUP(source[[#This Row],[lending_product_transform]],[3]Mapping!$B$4:$C$37,2,0)</f>
        <v>[Cake] - Cashloan</v>
      </c>
      <c r="H7899" s="128" t="str">
        <f>VLOOKUP(source[[#This Row],[lending_product_transform]],[3]Mapping!$B$3:$D$37,3,0)</f>
        <v>cashloan</v>
      </c>
      <c r="I7899" s="135">
        <v>486120000</v>
      </c>
    </row>
    <row r="7900" spans="1:9" x14ac:dyDescent="0.2">
      <c r="A7900" s="134">
        <v>45853</v>
      </c>
      <c r="B7900" s="135">
        <f>YEAR(source[[#This Row],[report_date]])</f>
        <v>2025</v>
      </c>
      <c r="C7900" s="128">
        <f t="shared" si="367"/>
        <v>7</v>
      </c>
      <c r="D7900" s="136">
        <f t="shared" si="369"/>
        <v>29</v>
      </c>
      <c r="E7900" s="136">
        <f t="shared" si="368"/>
        <v>15</v>
      </c>
      <c r="F7900" s="128" t="s">
        <v>24</v>
      </c>
      <c r="G7900" s="128" t="str">
        <f>VLOOKUP(source[[#This Row],[lending_product_transform]],[3]Mapping!$B$4:$C$37,2,0)</f>
        <v>[Cake] - Cashloan</v>
      </c>
      <c r="H7900" s="128" t="str">
        <f>VLOOKUP(source[[#This Row],[lending_product_transform]],[3]Mapping!$B$3:$D$37,3,0)</f>
        <v>cashloan</v>
      </c>
      <c r="I7900" s="135">
        <v>2790000000</v>
      </c>
    </row>
    <row r="7901" spans="1:9" x14ac:dyDescent="0.2">
      <c r="A7901" s="134">
        <v>45853</v>
      </c>
      <c r="B7901" s="135">
        <f>YEAR(source[[#This Row],[report_date]])</f>
        <v>2025</v>
      </c>
      <c r="C7901" s="128">
        <f t="shared" si="367"/>
        <v>7</v>
      </c>
      <c r="D7901" s="136">
        <f t="shared" si="369"/>
        <v>29</v>
      </c>
      <c r="E7901" s="136">
        <f t="shared" si="368"/>
        <v>15</v>
      </c>
      <c r="F7901" s="128" t="s">
        <v>24</v>
      </c>
      <c r="G7901" s="128" t="str">
        <f>VLOOKUP(source[[#This Row],[lending_product_transform]],[3]Mapping!$B$4:$C$37,2,0)</f>
        <v>[Cake] - Cashloan</v>
      </c>
      <c r="H7901" s="128" t="str">
        <f>VLOOKUP(source[[#This Row],[lending_product_transform]],[3]Mapping!$B$3:$D$37,3,0)</f>
        <v>cashloan</v>
      </c>
      <c r="I7901" s="135">
        <v>7408368000</v>
      </c>
    </row>
    <row r="7902" spans="1:9" x14ac:dyDescent="0.2">
      <c r="A7902" s="134">
        <v>45853</v>
      </c>
      <c r="B7902" s="135">
        <f>YEAR(source[[#This Row],[report_date]])</f>
        <v>2025</v>
      </c>
      <c r="C7902" s="128">
        <f t="shared" si="367"/>
        <v>7</v>
      </c>
      <c r="D7902" s="136">
        <f t="shared" si="369"/>
        <v>29</v>
      </c>
      <c r="E7902" s="136">
        <f t="shared" si="368"/>
        <v>15</v>
      </c>
      <c r="F7902" s="128" t="s">
        <v>24</v>
      </c>
      <c r="G7902" s="128" t="str">
        <f>VLOOKUP(source[[#This Row],[lending_product_transform]],[3]Mapping!$B$4:$C$37,2,0)</f>
        <v>[Cake] - Cashloan</v>
      </c>
      <c r="H7902" s="128" t="str">
        <f>VLOOKUP(source[[#This Row],[lending_product_transform]],[3]Mapping!$B$3:$D$37,3,0)</f>
        <v>cashloan</v>
      </c>
      <c r="I7902" s="135">
        <v>1892630000</v>
      </c>
    </row>
    <row r="7903" spans="1:9" x14ac:dyDescent="0.2">
      <c r="A7903" s="134">
        <v>45853</v>
      </c>
      <c r="B7903" s="135">
        <f>YEAR(source[[#This Row],[report_date]])</f>
        <v>2025</v>
      </c>
      <c r="C7903" s="128">
        <f t="shared" si="367"/>
        <v>7</v>
      </c>
      <c r="D7903" s="136">
        <f t="shared" si="369"/>
        <v>29</v>
      </c>
      <c r="E7903" s="136">
        <f t="shared" si="368"/>
        <v>15</v>
      </c>
      <c r="F7903" s="128" t="s">
        <v>24</v>
      </c>
      <c r="G7903" s="128" t="str">
        <f>VLOOKUP(source[[#This Row],[lending_product_transform]],[3]Mapping!$B$4:$C$37,2,0)</f>
        <v>[Cake] - Cashloan</v>
      </c>
      <c r="H7903" s="128" t="str">
        <f>VLOOKUP(source[[#This Row],[lending_product_transform]],[3]Mapping!$B$3:$D$37,3,0)</f>
        <v>cashloan</v>
      </c>
      <c r="I7903" s="135">
        <v>226219301</v>
      </c>
    </row>
    <row r="7904" spans="1:9" x14ac:dyDescent="0.2">
      <c r="A7904" s="134">
        <v>45853</v>
      </c>
      <c r="B7904" s="135">
        <f>YEAR(source[[#This Row],[report_date]])</f>
        <v>2025</v>
      </c>
      <c r="C7904" s="128">
        <f t="shared" si="367"/>
        <v>7</v>
      </c>
      <c r="D7904" s="136">
        <f t="shared" si="369"/>
        <v>29</v>
      </c>
      <c r="E7904" s="136">
        <f t="shared" si="368"/>
        <v>15</v>
      </c>
      <c r="F7904" s="128" t="s">
        <v>24</v>
      </c>
      <c r="G7904" s="128" t="str">
        <f>VLOOKUP(source[[#This Row],[lending_product_transform]],[3]Mapping!$B$4:$C$37,2,0)</f>
        <v>[Cake] - Cashloan</v>
      </c>
      <c r="H7904" s="128" t="str">
        <f>VLOOKUP(source[[#This Row],[lending_product_transform]],[3]Mapping!$B$3:$D$37,3,0)</f>
        <v>cashloan</v>
      </c>
      <c r="I7904" s="135">
        <v>422564786</v>
      </c>
    </row>
    <row r="7905" spans="1:9" x14ac:dyDescent="0.2">
      <c r="A7905" s="134">
        <v>45853</v>
      </c>
      <c r="B7905" s="135">
        <f>YEAR(source[[#This Row],[report_date]])</f>
        <v>2025</v>
      </c>
      <c r="C7905" s="128">
        <f t="shared" si="367"/>
        <v>7</v>
      </c>
      <c r="D7905" s="136">
        <f t="shared" si="369"/>
        <v>29</v>
      </c>
      <c r="E7905" s="136">
        <f t="shared" si="368"/>
        <v>15</v>
      </c>
      <c r="F7905" s="128" t="s">
        <v>24</v>
      </c>
      <c r="G7905" s="128" t="str">
        <f>VLOOKUP(source[[#This Row],[lending_product_transform]],[3]Mapping!$B$4:$C$37,2,0)</f>
        <v>[Cake] - Cashloan</v>
      </c>
      <c r="H7905" s="128" t="str">
        <f>VLOOKUP(source[[#This Row],[lending_product_transform]],[3]Mapping!$B$3:$D$37,3,0)</f>
        <v>cashloan</v>
      </c>
      <c r="I7905" s="135">
        <v>14402530000</v>
      </c>
    </row>
    <row r="7906" spans="1:9" x14ac:dyDescent="0.2">
      <c r="A7906" s="134">
        <v>45854</v>
      </c>
      <c r="B7906" s="135">
        <f>YEAR(source[[#This Row],[report_date]])</f>
        <v>2025</v>
      </c>
      <c r="C7906" s="128">
        <f t="shared" si="367"/>
        <v>7</v>
      </c>
      <c r="D7906" s="136">
        <f t="shared" si="369"/>
        <v>29</v>
      </c>
      <c r="E7906" s="136">
        <f t="shared" si="368"/>
        <v>16</v>
      </c>
      <c r="F7906" s="128" t="s">
        <v>24</v>
      </c>
      <c r="G7906" s="128" t="str">
        <f>VLOOKUP(source[[#This Row],[lending_product_transform]],[3]Mapping!$B$4:$C$37,2,0)</f>
        <v>[Cake] - Cashloan</v>
      </c>
      <c r="H7906" s="128" t="str">
        <f>VLOOKUP(source[[#This Row],[lending_product_transform]],[3]Mapping!$B$3:$D$37,3,0)</f>
        <v>cashloan</v>
      </c>
      <c r="I7906" s="135">
        <v>58800000</v>
      </c>
    </row>
    <row r="7907" spans="1:9" x14ac:dyDescent="0.2">
      <c r="A7907" s="134">
        <v>45854</v>
      </c>
      <c r="B7907" s="135">
        <f>YEAR(source[[#This Row],[report_date]])</f>
        <v>2025</v>
      </c>
      <c r="C7907" s="128">
        <f t="shared" si="367"/>
        <v>7</v>
      </c>
      <c r="D7907" s="136">
        <f t="shared" si="369"/>
        <v>29</v>
      </c>
      <c r="E7907" s="136">
        <f t="shared" si="368"/>
        <v>16</v>
      </c>
      <c r="F7907" s="128" t="s">
        <v>24</v>
      </c>
      <c r="G7907" s="128" t="str">
        <f>VLOOKUP(source[[#This Row],[lending_product_transform]],[3]Mapping!$B$4:$C$37,2,0)</f>
        <v>[Cake] - Cashloan</v>
      </c>
      <c r="H7907" s="128" t="str">
        <f>VLOOKUP(source[[#This Row],[lending_product_transform]],[3]Mapping!$B$3:$D$37,3,0)</f>
        <v>cashloan</v>
      </c>
      <c r="I7907" s="135">
        <v>6656256000</v>
      </c>
    </row>
    <row r="7908" spans="1:9" x14ac:dyDescent="0.2">
      <c r="A7908" s="134">
        <v>45854</v>
      </c>
      <c r="B7908" s="135">
        <f>YEAR(source[[#This Row],[report_date]])</f>
        <v>2025</v>
      </c>
      <c r="C7908" s="128">
        <f t="shared" si="367"/>
        <v>7</v>
      </c>
      <c r="D7908" s="136">
        <f t="shared" si="369"/>
        <v>29</v>
      </c>
      <c r="E7908" s="136">
        <f t="shared" si="368"/>
        <v>16</v>
      </c>
      <c r="F7908" s="128" t="s">
        <v>24</v>
      </c>
      <c r="G7908" s="128" t="str">
        <f>VLOOKUP(source[[#This Row],[lending_product_transform]],[3]Mapping!$B$4:$C$37,2,0)</f>
        <v>[Cake] - Cashloan</v>
      </c>
      <c r="H7908" s="128" t="str">
        <f>VLOOKUP(source[[#This Row],[lending_product_transform]],[3]Mapping!$B$3:$D$37,3,0)</f>
        <v>cashloan</v>
      </c>
      <c r="I7908" s="135">
        <v>314304262</v>
      </c>
    </row>
    <row r="7909" spans="1:9" x14ac:dyDescent="0.2">
      <c r="A7909" s="134">
        <v>45854</v>
      </c>
      <c r="B7909" s="135">
        <f>YEAR(source[[#This Row],[report_date]])</f>
        <v>2025</v>
      </c>
      <c r="C7909" s="128">
        <f t="shared" si="367"/>
        <v>7</v>
      </c>
      <c r="D7909" s="136">
        <f t="shared" si="369"/>
        <v>29</v>
      </c>
      <c r="E7909" s="136">
        <f t="shared" si="368"/>
        <v>16</v>
      </c>
      <c r="F7909" s="128" t="s">
        <v>24</v>
      </c>
      <c r="G7909" s="128" t="str">
        <f>VLOOKUP(source[[#This Row],[lending_product_transform]],[3]Mapping!$B$4:$C$37,2,0)</f>
        <v>[Cake] - Cashloan</v>
      </c>
      <c r="H7909" s="128" t="str">
        <f>VLOOKUP(source[[#This Row],[lending_product_transform]],[3]Mapping!$B$3:$D$37,3,0)</f>
        <v>cashloan</v>
      </c>
      <c r="I7909" s="135">
        <v>12369430000</v>
      </c>
    </row>
    <row r="7910" spans="1:9" x14ac:dyDescent="0.2">
      <c r="A7910" s="134">
        <v>45854</v>
      </c>
      <c r="B7910" s="135">
        <f>YEAR(source[[#This Row],[report_date]])</f>
        <v>2025</v>
      </c>
      <c r="C7910" s="128">
        <f t="shared" si="367"/>
        <v>7</v>
      </c>
      <c r="D7910" s="136">
        <f t="shared" si="369"/>
        <v>29</v>
      </c>
      <c r="E7910" s="136">
        <f t="shared" si="368"/>
        <v>16</v>
      </c>
      <c r="F7910" s="128" t="s">
        <v>24</v>
      </c>
      <c r="G7910" s="128" t="str">
        <f>VLOOKUP(source[[#This Row],[lending_product_transform]],[3]Mapping!$B$4:$C$37,2,0)</f>
        <v>[Cake] - Cashloan</v>
      </c>
      <c r="H7910" s="128" t="str">
        <f>VLOOKUP(source[[#This Row],[lending_product_transform]],[3]Mapping!$B$3:$D$37,3,0)</f>
        <v>cashloan</v>
      </c>
      <c r="I7910" s="135">
        <v>0</v>
      </c>
    </row>
    <row r="7911" spans="1:9" x14ac:dyDescent="0.2">
      <c r="A7911" s="134">
        <v>45854</v>
      </c>
      <c r="B7911" s="135">
        <f>YEAR(source[[#This Row],[report_date]])</f>
        <v>2025</v>
      </c>
      <c r="C7911" s="128">
        <f t="shared" si="367"/>
        <v>7</v>
      </c>
      <c r="D7911" s="136">
        <f t="shared" si="369"/>
        <v>29</v>
      </c>
      <c r="E7911" s="136">
        <f t="shared" si="368"/>
        <v>16</v>
      </c>
      <c r="F7911" s="128" t="s">
        <v>24</v>
      </c>
      <c r="G7911" s="128" t="str">
        <f>VLOOKUP(source[[#This Row],[lending_product_transform]],[3]Mapping!$B$4:$C$37,2,0)</f>
        <v>[Cake] - Cashloan</v>
      </c>
      <c r="H7911" s="128" t="str">
        <f>VLOOKUP(source[[#This Row],[lending_product_transform]],[3]Mapping!$B$3:$D$37,3,0)</f>
        <v>cashloan</v>
      </c>
      <c r="I7911" s="135">
        <v>0</v>
      </c>
    </row>
    <row r="7912" spans="1:9" x14ac:dyDescent="0.2">
      <c r="A7912" s="134">
        <v>45854</v>
      </c>
      <c r="B7912" s="135">
        <f>YEAR(source[[#This Row],[report_date]])</f>
        <v>2025</v>
      </c>
      <c r="C7912" s="128">
        <f t="shared" si="367"/>
        <v>7</v>
      </c>
      <c r="D7912" s="136">
        <f t="shared" si="369"/>
        <v>29</v>
      </c>
      <c r="E7912" s="136">
        <f t="shared" si="368"/>
        <v>16</v>
      </c>
      <c r="F7912" s="128" t="s">
        <v>24</v>
      </c>
      <c r="G7912" s="128" t="str">
        <f>VLOOKUP(source[[#This Row],[lending_product_transform]],[3]Mapping!$B$4:$C$37,2,0)</f>
        <v>[Cake] - Cashloan</v>
      </c>
      <c r="H7912" s="128" t="str">
        <f>VLOOKUP(source[[#This Row],[lending_product_transform]],[3]Mapping!$B$3:$D$37,3,0)</f>
        <v>cashloan</v>
      </c>
      <c r="I7912" s="135">
        <v>52000000</v>
      </c>
    </row>
    <row r="7913" spans="1:9" x14ac:dyDescent="0.2">
      <c r="A7913" s="134">
        <v>45854</v>
      </c>
      <c r="B7913" s="135">
        <f>YEAR(source[[#This Row],[report_date]])</f>
        <v>2025</v>
      </c>
      <c r="C7913" s="128">
        <f t="shared" si="367"/>
        <v>7</v>
      </c>
      <c r="D7913" s="136">
        <f t="shared" si="369"/>
        <v>29</v>
      </c>
      <c r="E7913" s="136">
        <f t="shared" si="368"/>
        <v>16</v>
      </c>
      <c r="F7913" s="128" t="s">
        <v>24</v>
      </c>
      <c r="G7913" s="128" t="str">
        <f>VLOOKUP(source[[#This Row],[lending_product_transform]],[3]Mapping!$B$4:$C$37,2,0)</f>
        <v>[Cake] - Cashloan</v>
      </c>
      <c r="H7913" s="128" t="str">
        <f>VLOOKUP(source[[#This Row],[lending_product_transform]],[3]Mapping!$B$3:$D$37,3,0)</f>
        <v>cashloan</v>
      </c>
      <c r="I7913" s="135">
        <v>40000000</v>
      </c>
    </row>
    <row r="7914" spans="1:9" x14ac:dyDescent="0.2">
      <c r="A7914" s="134">
        <v>45854</v>
      </c>
      <c r="B7914" s="135">
        <f>YEAR(source[[#This Row],[report_date]])</f>
        <v>2025</v>
      </c>
      <c r="C7914" s="128">
        <f t="shared" si="367"/>
        <v>7</v>
      </c>
      <c r="D7914" s="136">
        <f t="shared" si="369"/>
        <v>29</v>
      </c>
      <c r="E7914" s="136">
        <f t="shared" si="368"/>
        <v>16</v>
      </c>
      <c r="F7914" s="128" t="s">
        <v>24</v>
      </c>
      <c r="G7914" s="128" t="str">
        <f>VLOOKUP(source[[#This Row],[lending_product_transform]],[3]Mapping!$B$4:$C$37,2,0)</f>
        <v>[Cake] - Cashloan</v>
      </c>
      <c r="H7914" s="128" t="str">
        <f>VLOOKUP(source[[#This Row],[lending_product_transform]],[3]Mapping!$B$3:$D$37,3,0)</f>
        <v>cashloan</v>
      </c>
      <c r="I7914" s="135">
        <v>0</v>
      </c>
    </row>
    <row r="7915" spans="1:9" x14ac:dyDescent="0.2">
      <c r="A7915" s="134">
        <v>45854</v>
      </c>
      <c r="B7915" s="135">
        <f>YEAR(source[[#This Row],[report_date]])</f>
        <v>2025</v>
      </c>
      <c r="C7915" s="128">
        <f t="shared" si="367"/>
        <v>7</v>
      </c>
      <c r="D7915" s="136">
        <f t="shared" si="369"/>
        <v>29</v>
      </c>
      <c r="E7915" s="136">
        <f t="shared" si="368"/>
        <v>16</v>
      </c>
      <c r="F7915" s="128" t="s">
        <v>24</v>
      </c>
      <c r="G7915" s="128" t="str">
        <f>VLOOKUP(source[[#This Row],[lending_product_transform]],[3]Mapping!$B$4:$C$37,2,0)</f>
        <v>[Cake] - Cashloan</v>
      </c>
      <c r="H7915" s="128" t="str">
        <f>VLOOKUP(source[[#This Row],[lending_product_transform]],[3]Mapping!$B$3:$D$37,3,0)</f>
        <v>cashloan</v>
      </c>
      <c r="I7915" s="135">
        <v>494680000</v>
      </c>
    </row>
    <row r="7916" spans="1:9" x14ac:dyDescent="0.2">
      <c r="A7916" s="134">
        <v>45854</v>
      </c>
      <c r="B7916" s="135">
        <f>YEAR(source[[#This Row],[report_date]])</f>
        <v>2025</v>
      </c>
      <c r="C7916" s="128">
        <f t="shared" si="367"/>
        <v>7</v>
      </c>
      <c r="D7916" s="136">
        <f t="shared" si="369"/>
        <v>29</v>
      </c>
      <c r="E7916" s="136">
        <f t="shared" si="368"/>
        <v>16</v>
      </c>
      <c r="F7916" s="128" t="s">
        <v>24</v>
      </c>
      <c r="G7916" s="128" t="str">
        <f>VLOOKUP(source[[#This Row],[lending_product_transform]],[3]Mapping!$B$4:$C$37,2,0)</f>
        <v>[Cake] - Cashloan</v>
      </c>
      <c r="H7916" s="128" t="str">
        <f>VLOOKUP(source[[#This Row],[lending_product_transform]],[3]Mapping!$B$3:$D$37,3,0)</f>
        <v>cashloan</v>
      </c>
      <c r="I7916" s="135">
        <v>2896250000</v>
      </c>
    </row>
    <row r="7917" spans="1:9" x14ac:dyDescent="0.2">
      <c r="A7917" s="134">
        <v>45854</v>
      </c>
      <c r="B7917" s="135">
        <f>YEAR(source[[#This Row],[report_date]])</f>
        <v>2025</v>
      </c>
      <c r="C7917" s="128">
        <f t="shared" si="367"/>
        <v>7</v>
      </c>
      <c r="D7917" s="136">
        <f t="shared" si="369"/>
        <v>29</v>
      </c>
      <c r="E7917" s="136">
        <f t="shared" si="368"/>
        <v>16</v>
      </c>
      <c r="F7917" s="128" t="s">
        <v>24</v>
      </c>
      <c r="G7917" s="128" t="str">
        <f>VLOOKUP(source[[#This Row],[lending_product_transform]],[3]Mapping!$B$4:$C$37,2,0)</f>
        <v>[Cake] - Cashloan</v>
      </c>
      <c r="H7917" s="128" t="str">
        <f>VLOOKUP(source[[#This Row],[lending_product_transform]],[3]Mapping!$B$3:$D$37,3,0)</f>
        <v>cashloan</v>
      </c>
      <c r="I7917" s="135">
        <v>7818253</v>
      </c>
    </row>
    <row r="7918" spans="1:9" x14ac:dyDescent="0.2">
      <c r="A7918" s="134">
        <v>45854</v>
      </c>
      <c r="B7918" s="135">
        <f>YEAR(source[[#This Row],[report_date]])</f>
        <v>2025</v>
      </c>
      <c r="C7918" s="128">
        <f t="shared" si="367"/>
        <v>7</v>
      </c>
      <c r="D7918" s="136">
        <f t="shared" si="369"/>
        <v>29</v>
      </c>
      <c r="E7918" s="136">
        <f t="shared" si="368"/>
        <v>16</v>
      </c>
      <c r="F7918" s="128" t="s">
        <v>24</v>
      </c>
      <c r="G7918" s="128" t="str">
        <f>VLOOKUP(source[[#This Row],[lending_product_transform]],[3]Mapping!$B$4:$C$37,2,0)</f>
        <v>[Cake] - Cashloan</v>
      </c>
      <c r="H7918" s="128" t="str">
        <f>VLOOKUP(source[[#This Row],[lending_product_transform]],[3]Mapping!$B$3:$D$37,3,0)</f>
        <v>cashloan</v>
      </c>
      <c r="I7918" s="135">
        <v>174837000</v>
      </c>
    </row>
    <row r="7919" spans="1:9" x14ac:dyDescent="0.2">
      <c r="A7919" s="134">
        <v>45854</v>
      </c>
      <c r="B7919" s="135">
        <f>YEAR(source[[#This Row],[report_date]])</f>
        <v>2025</v>
      </c>
      <c r="C7919" s="128">
        <f t="shared" si="367"/>
        <v>7</v>
      </c>
      <c r="D7919" s="136">
        <f t="shared" si="369"/>
        <v>29</v>
      </c>
      <c r="E7919" s="136">
        <f t="shared" si="368"/>
        <v>16</v>
      </c>
      <c r="F7919" s="128" t="s">
        <v>24</v>
      </c>
      <c r="G7919" s="128" t="str">
        <f>VLOOKUP(source[[#This Row],[lending_product_transform]],[3]Mapping!$B$4:$C$37,2,0)</f>
        <v>[Cake] - Cashloan</v>
      </c>
      <c r="H7919" s="128" t="str">
        <f>VLOOKUP(source[[#This Row],[lending_product_transform]],[3]Mapping!$B$3:$D$37,3,0)</f>
        <v>cashloan</v>
      </c>
      <c r="I7919" s="135">
        <v>1914220000</v>
      </c>
    </row>
    <row r="7920" spans="1:9" x14ac:dyDescent="0.2">
      <c r="A7920" s="134">
        <v>45854</v>
      </c>
      <c r="B7920" s="135">
        <f>YEAR(source[[#This Row],[report_date]])</f>
        <v>2025</v>
      </c>
      <c r="C7920" s="128">
        <f t="shared" si="367"/>
        <v>7</v>
      </c>
      <c r="D7920" s="136">
        <f t="shared" si="369"/>
        <v>29</v>
      </c>
      <c r="E7920" s="136">
        <f t="shared" si="368"/>
        <v>16</v>
      </c>
      <c r="F7920" s="128" t="s">
        <v>24</v>
      </c>
      <c r="G7920" s="128" t="str">
        <f>VLOOKUP(source[[#This Row],[lending_product_transform]],[3]Mapping!$B$4:$C$37,2,0)</f>
        <v>[Cake] - Cashloan</v>
      </c>
      <c r="H7920" s="128" t="str">
        <f>VLOOKUP(source[[#This Row],[lending_product_transform]],[3]Mapping!$B$3:$D$37,3,0)</f>
        <v>cashloan</v>
      </c>
      <c r="I7920" s="135">
        <v>201310089</v>
      </c>
    </row>
    <row r="7921" spans="1:9" x14ac:dyDescent="0.2">
      <c r="A7921" s="134">
        <v>45854</v>
      </c>
      <c r="B7921" s="135">
        <f>YEAR(source[[#This Row],[report_date]])</f>
        <v>2025</v>
      </c>
      <c r="C7921" s="128">
        <f t="shared" si="367"/>
        <v>7</v>
      </c>
      <c r="D7921" s="136">
        <f t="shared" si="369"/>
        <v>29</v>
      </c>
      <c r="E7921" s="136">
        <f t="shared" si="368"/>
        <v>16</v>
      </c>
      <c r="F7921" s="128" t="s">
        <v>24</v>
      </c>
      <c r="G7921" s="128" t="str">
        <f>VLOOKUP(source[[#This Row],[lending_product_transform]],[3]Mapping!$B$4:$C$37,2,0)</f>
        <v>[Cake] - Cashloan</v>
      </c>
      <c r="H7921" s="128" t="str">
        <f>VLOOKUP(source[[#This Row],[lending_product_transform]],[3]Mapping!$B$3:$D$37,3,0)</f>
        <v>cashloan</v>
      </c>
      <c r="I7921" s="135">
        <v>377881671</v>
      </c>
    </row>
    <row r="7922" spans="1:9" x14ac:dyDescent="0.2">
      <c r="A7922" s="134">
        <v>45854</v>
      </c>
      <c r="B7922" s="135">
        <f>YEAR(source[[#This Row],[report_date]])</f>
        <v>2025</v>
      </c>
      <c r="C7922" s="128">
        <f t="shared" si="367"/>
        <v>7</v>
      </c>
      <c r="D7922" s="136">
        <f t="shared" si="369"/>
        <v>29</v>
      </c>
      <c r="E7922" s="136">
        <f t="shared" si="368"/>
        <v>16</v>
      </c>
      <c r="F7922" s="128" t="s">
        <v>24</v>
      </c>
      <c r="G7922" s="128" t="str">
        <f>VLOOKUP(source[[#This Row],[lending_product_transform]],[3]Mapping!$B$4:$C$37,2,0)</f>
        <v>[Cake] - Cashloan</v>
      </c>
      <c r="H7922" s="128" t="str">
        <f>VLOOKUP(source[[#This Row],[lending_product_transform]],[3]Mapping!$B$3:$D$37,3,0)</f>
        <v>cashloan</v>
      </c>
      <c r="I7922" s="135">
        <v>3587457734</v>
      </c>
    </row>
    <row r="7923" spans="1:9" x14ac:dyDescent="0.2">
      <c r="A7923" s="134">
        <v>45854</v>
      </c>
      <c r="B7923" s="135">
        <f>YEAR(source[[#This Row],[report_date]])</f>
        <v>2025</v>
      </c>
      <c r="C7923" s="128">
        <f t="shared" si="367"/>
        <v>7</v>
      </c>
      <c r="D7923" s="136">
        <f t="shared" si="369"/>
        <v>29</v>
      </c>
      <c r="E7923" s="136">
        <f t="shared" si="368"/>
        <v>16</v>
      </c>
      <c r="F7923" s="128" t="s">
        <v>24</v>
      </c>
      <c r="G7923" s="128" t="str">
        <f>VLOOKUP(source[[#This Row],[lending_product_transform]],[3]Mapping!$B$4:$C$37,2,0)</f>
        <v>[Cake] - Cashloan</v>
      </c>
      <c r="H7923" s="128" t="str">
        <f>VLOOKUP(source[[#This Row],[lending_product_transform]],[3]Mapping!$B$3:$D$37,3,0)</f>
        <v>cashloan</v>
      </c>
      <c r="I7923" s="135">
        <v>13921780000</v>
      </c>
    </row>
    <row r="7924" spans="1:9" x14ac:dyDescent="0.2">
      <c r="A7924" s="134">
        <v>45854</v>
      </c>
      <c r="B7924" s="135">
        <f>YEAR(source[[#This Row],[report_date]])</f>
        <v>2025</v>
      </c>
      <c r="C7924" s="128">
        <f t="shared" si="367"/>
        <v>7</v>
      </c>
      <c r="D7924" s="136">
        <f t="shared" si="369"/>
        <v>29</v>
      </c>
      <c r="E7924" s="136">
        <f t="shared" si="368"/>
        <v>16</v>
      </c>
      <c r="F7924" s="128" t="s">
        <v>24</v>
      </c>
      <c r="G7924" s="128" t="str">
        <f>VLOOKUP(source[[#This Row],[lending_product_transform]],[3]Mapping!$B$4:$C$37,2,0)</f>
        <v>[Cake] - Cashloan</v>
      </c>
      <c r="H7924" s="128" t="str">
        <f>VLOOKUP(source[[#This Row],[lending_product_transform]],[3]Mapping!$B$3:$D$37,3,0)</f>
        <v>cashloan</v>
      </c>
      <c r="I7924" s="135">
        <v>0</v>
      </c>
    </row>
    <row r="7925" spans="1:9" x14ac:dyDescent="0.2">
      <c r="A7925" s="134">
        <v>45855</v>
      </c>
      <c r="B7925" s="135">
        <f>YEAR(source[[#This Row],[report_date]])</f>
        <v>2025</v>
      </c>
      <c r="C7925" s="128">
        <f t="shared" si="367"/>
        <v>7</v>
      </c>
      <c r="D7925" s="136">
        <f t="shared" si="369"/>
        <v>29</v>
      </c>
      <c r="E7925" s="136">
        <f t="shared" si="368"/>
        <v>17</v>
      </c>
      <c r="F7925" s="128" t="s">
        <v>24</v>
      </c>
      <c r="G7925" s="128" t="str">
        <f>VLOOKUP(source[[#This Row],[lending_product_transform]],[3]Mapping!$B$4:$C$37,2,0)</f>
        <v>[Cake] - Cashloan</v>
      </c>
      <c r="H7925" s="128" t="str">
        <f>VLOOKUP(source[[#This Row],[lending_product_transform]],[3]Mapping!$B$3:$D$37,3,0)</f>
        <v>cashloan</v>
      </c>
      <c r="I7925" s="135">
        <v>10500000</v>
      </c>
    </row>
    <row r="7926" spans="1:9" x14ac:dyDescent="0.2">
      <c r="A7926" s="134">
        <v>45855</v>
      </c>
      <c r="B7926" s="135">
        <f>YEAR(source[[#This Row],[report_date]])</f>
        <v>2025</v>
      </c>
      <c r="C7926" s="128">
        <f t="shared" ref="C7926:C7989" si="370">MONTH(A7926)</f>
        <v>7</v>
      </c>
      <c r="D7926" s="136">
        <f t="shared" si="369"/>
        <v>29</v>
      </c>
      <c r="E7926" s="136">
        <f t="shared" ref="E7926:E7989" si="371">DAY(A7926)</f>
        <v>17</v>
      </c>
      <c r="F7926" s="128" t="s">
        <v>24</v>
      </c>
      <c r="G7926" s="128" t="str">
        <f>VLOOKUP(source[[#This Row],[lending_product_transform]],[3]Mapping!$B$4:$C$37,2,0)</f>
        <v>[Cake] - Cashloan</v>
      </c>
      <c r="H7926" s="128" t="str">
        <f>VLOOKUP(source[[#This Row],[lending_product_transform]],[3]Mapping!$B$3:$D$37,3,0)</f>
        <v>cashloan</v>
      </c>
      <c r="I7926" s="135">
        <v>6197040000</v>
      </c>
    </row>
    <row r="7927" spans="1:9" x14ac:dyDescent="0.2">
      <c r="A7927" s="134">
        <v>45855</v>
      </c>
      <c r="B7927" s="135">
        <f>YEAR(source[[#This Row],[report_date]])</f>
        <v>2025</v>
      </c>
      <c r="C7927" s="128">
        <f t="shared" si="370"/>
        <v>7</v>
      </c>
      <c r="D7927" s="136">
        <f t="shared" si="369"/>
        <v>29</v>
      </c>
      <c r="E7927" s="136">
        <f t="shared" si="371"/>
        <v>17</v>
      </c>
      <c r="F7927" s="128" t="s">
        <v>24</v>
      </c>
      <c r="G7927" s="128" t="str">
        <f>VLOOKUP(source[[#This Row],[lending_product_transform]],[3]Mapping!$B$4:$C$37,2,0)</f>
        <v>[Cake] - Cashloan</v>
      </c>
      <c r="H7927" s="128" t="str">
        <f>VLOOKUP(source[[#This Row],[lending_product_transform]],[3]Mapping!$B$3:$D$37,3,0)</f>
        <v>cashloan</v>
      </c>
      <c r="I7927" s="135">
        <v>12450250000</v>
      </c>
    </row>
    <row r="7928" spans="1:9" x14ac:dyDescent="0.2">
      <c r="A7928" s="134">
        <v>45855</v>
      </c>
      <c r="B7928" s="135">
        <f>YEAR(source[[#This Row],[report_date]])</f>
        <v>2025</v>
      </c>
      <c r="C7928" s="128">
        <f t="shared" si="370"/>
        <v>7</v>
      </c>
      <c r="D7928" s="136">
        <f t="shared" si="369"/>
        <v>29</v>
      </c>
      <c r="E7928" s="136">
        <f t="shared" si="371"/>
        <v>17</v>
      </c>
      <c r="F7928" s="128" t="s">
        <v>24</v>
      </c>
      <c r="G7928" s="128" t="str">
        <f>VLOOKUP(source[[#This Row],[lending_product_transform]],[3]Mapping!$B$4:$C$37,2,0)</f>
        <v>[Cake] - Cashloan</v>
      </c>
      <c r="H7928" s="128" t="str">
        <f>VLOOKUP(source[[#This Row],[lending_product_transform]],[3]Mapping!$B$3:$D$37,3,0)</f>
        <v>cashloan</v>
      </c>
      <c r="I7928" s="135">
        <v>14620103</v>
      </c>
    </row>
    <row r="7929" spans="1:9" x14ac:dyDescent="0.2">
      <c r="A7929" s="134">
        <v>45855</v>
      </c>
      <c r="B7929" s="135">
        <f>YEAR(source[[#This Row],[report_date]])</f>
        <v>2025</v>
      </c>
      <c r="C7929" s="128">
        <f t="shared" si="370"/>
        <v>7</v>
      </c>
      <c r="D7929" s="136">
        <f t="shared" si="369"/>
        <v>29</v>
      </c>
      <c r="E7929" s="136">
        <f t="shared" si="371"/>
        <v>17</v>
      </c>
      <c r="F7929" s="128" t="s">
        <v>24</v>
      </c>
      <c r="G7929" s="128" t="str">
        <f>VLOOKUP(source[[#This Row],[lending_product_transform]],[3]Mapping!$B$4:$C$37,2,0)</f>
        <v>[Cake] - Cashloan</v>
      </c>
      <c r="H7929" s="128" t="str">
        <f>VLOOKUP(source[[#This Row],[lending_product_transform]],[3]Mapping!$B$3:$D$37,3,0)</f>
        <v>cashloan</v>
      </c>
      <c r="I7929" s="135">
        <v>279097273</v>
      </c>
    </row>
    <row r="7930" spans="1:9" x14ac:dyDescent="0.2">
      <c r="A7930" s="134">
        <v>45855</v>
      </c>
      <c r="B7930" s="135">
        <f>YEAR(source[[#This Row],[report_date]])</f>
        <v>2025</v>
      </c>
      <c r="C7930" s="128">
        <f t="shared" si="370"/>
        <v>7</v>
      </c>
      <c r="D7930" s="136">
        <f t="shared" si="369"/>
        <v>29</v>
      </c>
      <c r="E7930" s="136">
        <f t="shared" si="371"/>
        <v>17</v>
      </c>
      <c r="F7930" s="128" t="s">
        <v>24</v>
      </c>
      <c r="G7930" s="128" t="str">
        <f>VLOOKUP(source[[#This Row],[lending_product_transform]],[3]Mapping!$B$4:$C$37,2,0)</f>
        <v>[Cake] - Cashloan</v>
      </c>
      <c r="H7930" s="128" t="str">
        <f>VLOOKUP(source[[#This Row],[lending_product_transform]],[3]Mapping!$B$3:$D$37,3,0)</f>
        <v>cashloan</v>
      </c>
      <c r="I7930" s="135">
        <v>0</v>
      </c>
    </row>
    <row r="7931" spans="1:9" x14ac:dyDescent="0.2">
      <c r="A7931" s="134">
        <v>45855</v>
      </c>
      <c r="B7931" s="135">
        <f>YEAR(source[[#This Row],[report_date]])</f>
        <v>2025</v>
      </c>
      <c r="C7931" s="128">
        <f t="shared" si="370"/>
        <v>7</v>
      </c>
      <c r="D7931" s="136">
        <f t="shared" si="369"/>
        <v>29</v>
      </c>
      <c r="E7931" s="136">
        <f t="shared" si="371"/>
        <v>17</v>
      </c>
      <c r="F7931" s="128" t="s">
        <v>24</v>
      </c>
      <c r="G7931" s="128" t="str">
        <f>VLOOKUP(source[[#This Row],[lending_product_transform]],[3]Mapping!$B$4:$C$37,2,0)</f>
        <v>[Cake] - Cashloan</v>
      </c>
      <c r="H7931" s="128" t="str">
        <f>VLOOKUP(source[[#This Row],[lending_product_transform]],[3]Mapping!$B$3:$D$37,3,0)</f>
        <v>cashloan</v>
      </c>
      <c r="I7931" s="135">
        <v>11799950000</v>
      </c>
    </row>
    <row r="7932" spans="1:9" x14ac:dyDescent="0.2">
      <c r="A7932" s="134">
        <v>45855</v>
      </c>
      <c r="B7932" s="135">
        <f>YEAR(source[[#This Row],[report_date]])</f>
        <v>2025</v>
      </c>
      <c r="C7932" s="128">
        <f t="shared" si="370"/>
        <v>7</v>
      </c>
      <c r="D7932" s="136">
        <f t="shared" si="369"/>
        <v>29</v>
      </c>
      <c r="E7932" s="136">
        <f t="shared" si="371"/>
        <v>17</v>
      </c>
      <c r="F7932" s="128" t="s">
        <v>24</v>
      </c>
      <c r="G7932" s="128" t="str">
        <f>VLOOKUP(source[[#This Row],[lending_product_transform]],[3]Mapping!$B$4:$C$37,2,0)</f>
        <v>[Cake] - Cashloan</v>
      </c>
      <c r="H7932" s="128" t="str">
        <f>VLOOKUP(source[[#This Row],[lending_product_transform]],[3]Mapping!$B$3:$D$37,3,0)</f>
        <v>cashloan</v>
      </c>
      <c r="I7932" s="135">
        <v>0</v>
      </c>
    </row>
    <row r="7933" spans="1:9" x14ac:dyDescent="0.2">
      <c r="A7933" s="134">
        <v>45855</v>
      </c>
      <c r="B7933" s="135">
        <f>YEAR(source[[#This Row],[report_date]])</f>
        <v>2025</v>
      </c>
      <c r="C7933" s="128">
        <f t="shared" si="370"/>
        <v>7</v>
      </c>
      <c r="D7933" s="136">
        <f t="shared" si="369"/>
        <v>29</v>
      </c>
      <c r="E7933" s="136">
        <f t="shared" si="371"/>
        <v>17</v>
      </c>
      <c r="F7933" s="128" t="s">
        <v>24</v>
      </c>
      <c r="G7933" s="128" t="str">
        <f>VLOOKUP(source[[#This Row],[lending_product_transform]],[3]Mapping!$B$4:$C$37,2,0)</f>
        <v>[Cake] - Cashloan</v>
      </c>
      <c r="H7933" s="128" t="str">
        <f>VLOOKUP(source[[#This Row],[lending_product_transform]],[3]Mapping!$B$3:$D$37,3,0)</f>
        <v>cashloan</v>
      </c>
      <c r="I7933" s="135">
        <v>0</v>
      </c>
    </row>
    <row r="7934" spans="1:9" x14ac:dyDescent="0.2">
      <c r="A7934" s="134">
        <v>45855</v>
      </c>
      <c r="B7934" s="135">
        <f>YEAR(source[[#This Row],[report_date]])</f>
        <v>2025</v>
      </c>
      <c r="C7934" s="128">
        <f t="shared" si="370"/>
        <v>7</v>
      </c>
      <c r="D7934" s="136">
        <f t="shared" si="369"/>
        <v>29</v>
      </c>
      <c r="E7934" s="136">
        <f t="shared" si="371"/>
        <v>17</v>
      </c>
      <c r="F7934" s="128" t="s">
        <v>24</v>
      </c>
      <c r="G7934" s="128" t="str">
        <f>VLOOKUP(source[[#This Row],[lending_product_transform]],[3]Mapping!$B$4:$C$37,2,0)</f>
        <v>[Cake] - Cashloan</v>
      </c>
      <c r="H7934" s="128" t="str">
        <f>VLOOKUP(source[[#This Row],[lending_product_transform]],[3]Mapping!$B$3:$D$37,3,0)</f>
        <v>cashloan</v>
      </c>
      <c r="I7934" s="135">
        <v>0</v>
      </c>
    </row>
    <row r="7935" spans="1:9" x14ac:dyDescent="0.2">
      <c r="A7935" s="134">
        <v>45855</v>
      </c>
      <c r="B7935" s="135">
        <f>YEAR(source[[#This Row],[report_date]])</f>
        <v>2025</v>
      </c>
      <c r="C7935" s="128">
        <f t="shared" si="370"/>
        <v>7</v>
      </c>
      <c r="D7935" s="136">
        <f t="shared" si="369"/>
        <v>29</v>
      </c>
      <c r="E7935" s="136">
        <f t="shared" si="371"/>
        <v>17</v>
      </c>
      <c r="F7935" s="128" t="s">
        <v>24</v>
      </c>
      <c r="G7935" s="128" t="str">
        <f>VLOOKUP(source[[#This Row],[lending_product_transform]],[3]Mapping!$B$4:$C$37,2,0)</f>
        <v>[Cake] - Cashloan</v>
      </c>
      <c r="H7935" s="128" t="str">
        <f>VLOOKUP(source[[#This Row],[lending_product_transform]],[3]Mapping!$B$3:$D$37,3,0)</f>
        <v>cashloan</v>
      </c>
      <c r="I7935" s="135">
        <v>35000000</v>
      </c>
    </row>
    <row r="7936" spans="1:9" x14ac:dyDescent="0.2">
      <c r="A7936" s="134">
        <v>45855</v>
      </c>
      <c r="B7936" s="135">
        <f>YEAR(source[[#This Row],[report_date]])</f>
        <v>2025</v>
      </c>
      <c r="C7936" s="128">
        <f t="shared" si="370"/>
        <v>7</v>
      </c>
      <c r="D7936" s="136">
        <f t="shared" si="369"/>
        <v>29</v>
      </c>
      <c r="E7936" s="136">
        <f t="shared" si="371"/>
        <v>17</v>
      </c>
      <c r="F7936" s="128" t="s">
        <v>24</v>
      </c>
      <c r="G7936" s="128" t="str">
        <f>VLOOKUP(source[[#This Row],[lending_product_transform]],[3]Mapping!$B$4:$C$37,2,0)</f>
        <v>[Cake] - Cashloan</v>
      </c>
      <c r="H7936" s="128" t="str">
        <f>VLOOKUP(source[[#This Row],[lending_product_transform]],[3]Mapping!$B$3:$D$37,3,0)</f>
        <v>cashloan</v>
      </c>
      <c r="I7936" s="135">
        <v>0</v>
      </c>
    </row>
    <row r="7937" spans="1:9" x14ac:dyDescent="0.2">
      <c r="A7937" s="134">
        <v>45855</v>
      </c>
      <c r="B7937" s="135">
        <f>YEAR(source[[#This Row],[report_date]])</f>
        <v>2025</v>
      </c>
      <c r="C7937" s="128">
        <f t="shared" si="370"/>
        <v>7</v>
      </c>
      <c r="D7937" s="136">
        <f t="shared" si="369"/>
        <v>29</v>
      </c>
      <c r="E7937" s="136">
        <f t="shared" si="371"/>
        <v>17</v>
      </c>
      <c r="F7937" s="128" t="s">
        <v>24</v>
      </c>
      <c r="G7937" s="128" t="str">
        <f>VLOOKUP(source[[#This Row],[lending_product_transform]],[3]Mapping!$B$4:$C$37,2,0)</f>
        <v>[Cake] - Cashloan</v>
      </c>
      <c r="H7937" s="128" t="str">
        <f>VLOOKUP(source[[#This Row],[lending_product_transform]],[3]Mapping!$B$3:$D$37,3,0)</f>
        <v>cashloan</v>
      </c>
      <c r="I7937" s="135">
        <v>371860000</v>
      </c>
    </row>
    <row r="7938" spans="1:9" x14ac:dyDescent="0.2">
      <c r="A7938" s="134">
        <v>45855</v>
      </c>
      <c r="B7938" s="135">
        <f>YEAR(source[[#This Row],[report_date]])</f>
        <v>2025</v>
      </c>
      <c r="C7938" s="128">
        <f t="shared" si="370"/>
        <v>7</v>
      </c>
      <c r="D7938" s="136">
        <f t="shared" si="369"/>
        <v>29</v>
      </c>
      <c r="E7938" s="136">
        <f t="shared" si="371"/>
        <v>17</v>
      </c>
      <c r="F7938" s="128" t="s">
        <v>24</v>
      </c>
      <c r="G7938" s="128" t="str">
        <f>VLOOKUP(source[[#This Row],[lending_product_transform]],[3]Mapping!$B$4:$C$37,2,0)</f>
        <v>[Cake] - Cashloan</v>
      </c>
      <c r="H7938" s="128" t="str">
        <f>VLOOKUP(source[[#This Row],[lending_product_transform]],[3]Mapping!$B$3:$D$37,3,0)</f>
        <v>cashloan</v>
      </c>
      <c r="I7938" s="135">
        <v>2560660000</v>
      </c>
    </row>
    <row r="7939" spans="1:9" x14ac:dyDescent="0.2">
      <c r="A7939" s="134">
        <v>45855</v>
      </c>
      <c r="B7939" s="135">
        <f>YEAR(source[[#This Row],[report_date]])</f>
        <v>2025</v>
      </c>
      <c r="C7939" s="128">
        <f t="shared" si="370"/>
        <v>7</v>
      </c>
      <c r="D7939" s="136">
        <f t="shared" ref="D7939:D8002" si="372">WEEKNUM(A7939,2)</f>
        <v>29</v>
      </c>
      <c r="E7939" s="136">
        <f t="shared" si="371"/>
        <v>17</v>
      </c>
      <c r="F7939" s="128" t="s">
        <v>24</v>
      </c>
      <c r="G7939" s="128" t="str">
        <f>VLOOKUP(source[[#This Row],[lending_product_transform]],[3]Mapping!$B$4:$C$37,2,0)</f>
        <v>[Cake] - Cashloan</v>
      </c>
      <c r="H7939" s="128" t="str">
        <f>VLOOKUP(source[[#This Row],[lending_product_transform]],[3]Mapping!$B$3:$D$37,3,0)</f>
        <v>cashloan</v>
      </c>
      <c r="I7939" s="135">
        <v>201963000</v>
      </c>
    </row>
    <row r="7940" spans="1:9" x14ac:dyDescent="0.2">
      <c r="A7940" s="134">
        <v>45855</v>
      </c>
      <c r="B7940" s="135">
        <f>YEAR(source[[#This Row],[report_date]])</f>
        <v>2025</v>
      </c>
      <c r="C7940" s="128">
        <f t="shared" si="370"/>
        <v>7</v>
      </c>
      <c r="D7940" s="136">
        <f t="shared" si="372"/>
        <v>29</v>
      </c>
      <c r="E7940" s="136">
        <f t="shared" si="371"/>
        <v>17</v>
      </c>
      <c r="F7940" s="128" t="s">
        <v>24</v>
      </c>
      <c r="G7940" s="128" t="str">
        <f>VLOOKUP(source[[#This Row],[lending_product_transform]],[3]Mapping!$B$4:$C$37,2,0)</f>
        <v>[Cake] - Cashloan</v>
      </c>
      <c r="H7940" s="128" t="str">
        <f>VLOOKUP(source[[#This Row],[lending_product_transform]],[3]Mapping!$B$3:$D$37,3,0)</f>
        <v>cashloan</v>
      </c>
      <c r="I7940" s="135">
        <v>1648900000</v>
      </c>
    </row>
    <row r="7941" spans="1:9" x14ac:dyDescent="0.2">
      <c r="A7941" s="134">
        <v>45855</v>
      </c>
      <c r="B7941" s="135">
        <f>YEAR(source[[#This Row],[report_date]])</f>
        <v>2025</v>
      </c>
      <c r="C7941" s="128">
        <f t="shared" si="370"/>
        <v>7</v>
      </c>
      <c r="D7941" s="136">
        <f t="shared" si="372"/>
        <v>29</v>
      </c>
      <c r="E7941" s="136">
        <f t="shared" si="371"/>
        <v>17</v>
      </c>
      <c r="F7941" s="128" t="s">
        <v>24</v>
      </c>
      <c r="G7941" s="128" t="str">
        <f>VLOOKUP(source[[#This Row],[lending_product_transform]],[3]Mapping!$B$4:$C$37,2,0)</f>
        <v>[Cake] - Cashloan</v>
      </c>
      <c r="H7941" s="128" t="str">
        <f>VLOOKUP(source[[#This Row],[lending_product_transform]],[3]Mapping!$B$3:$D$37,3,0)</f>
        <v>cashloan</v>
      </c>
      <c r="I7941" s="135">
        <v>215171511</v>
      </c>
    </row>
    <row r="7942" spans="1:9" x14ac:dyDescent="0.2">
      <c r="A7942" s="134">
        <v>45855</v>
      </c>
      <c r="B7942" s="135">
        <f>YEAR(source[[#This Row],[report_date]])</f>
        <v>2025</v>
      </c>
      <c r="C7942" s="128">
        <f t="shared" si="370"/>
        <v>7</v>
      </c>
      <c r="D7942" s="136">
        <f t="shared" si="372"/>
        <v>29</v>
      </c>
      <c r="E7942" s="136">
        <f t="shared" si="371"/>
        <v>17</v>
      </c>
      <c r="F7942" s="128" t="s">
        <v>24</v>
      </c>
      <c r="G7942" s="128" t="str">
        <f>VLOOKUP(source[[#This Row],[lending_product_transform]],[3]Mapping!$B$4:$C$37,2,0)</f>
        <v>[Cake] - Cashloan</v>
      </c>
      <c r="H7942" s="128" t="str">
        <f>VLOOKUP(source[[#This Row],[lending_product_transform]],[3]Mapping!$B$3:$D$37,3,0)</f>
        <v>cashloan</v>
      </c>
      <c r="I7942" s="135">
        <v>298633018</v>
      </c>
    </row>
    <row r="7943" spans="1:9" x14ac:dyDescent="0.2">
      <c r="A7943" s="134">
        <v>45855</v>
      </c>
      <c r="B7943" s="135">
        <f>YEAR(source[[#This Row],[report_date]])</f>
        <v>2025</v>
      </c>
      <c r="C7943" s="128">
        <f t="shared" si="370"/>
        <v>7</v>
      </c>
      <c r="D7943" s="136">
        <f t="shared" si="372"/>
        <v>29</v>
      </c>
      <c r="E7943" s="136">
        <f t="shared" si="371"/>
        <v>17</v>
      </c>
      <c r="F7943" s="128" t="s">
        <v>24</v>
      </c>
      <c r="G7943" s="128" t="str">
        <f>VLOOKUP(source[[#This Row],[lending_product_transform]],[3]Mapping!$B$4:$C$37,2,0)</f>
        <v>[Cake] - Cashloan</v>
      </c>
      <c r="H7943" s="128" t="str">
        <f>VLOOKUP(source[[#This Row],[lending_product_transform]],[3]Mapping!$B$3:$D$37,3,0)</f>
        <v>cashloan</v>
      </c>
      <c r="I7943" s="135">
        <v>3233837883</v>
      </c>
    </row>
    <row r="7944" spans="1:9" x14ac:dyDescent="0.2">
      <c r="A7944" s="134">
        <v>45856</v>
      </c>
      <c r="B7944" s="135">
        <f>YEAR(source[[#This Row],[report_date]])</f>
        <v>2025</v>
      </c>
      <c r="C7944" s="128">
        <f t="shared" si="370"/>
        <v>7</v>
      </c>
      <c r="D7944" s="136">
        <f t="shared" si="372"/>
        <v>29</v>
      </c>
      <c r="E7944" s="136">
        <f t="shared" si="371"/>
        <v>18</v>
      </c>
      <c r="F7944" s="128" t="s">
        <v>24</v>
      </c>
      <c r="G7944" s="128" t="str">
        <f>VLOOKUP(source[[#This Row],[lending_product_transform]],[3]Mapping!$B$4:$C$37,2,0)</f>
        <v>[Cake] - Cashloan</v>
      </c>
      <c r="H7944" s="128" t="str">
        <f>VLOOKUP(source[[#This Row],[lending_product_transform]],[3]Mapping!$B$3:$D$37,3,0)</f>
        <v>cashloan</v>
      </c>
      <c r="I7944" s="135">
        <v>462830000</v>
      </c>
    </row>
    <row r="7945" spans="1:9" x14ac:dyDescent="0.2">
      <c r="A7945" s="134">
        <v>45856</v>
      </c>
      <c r="B7945" s="135">
        <f>YEAR(source[[#This Row],[report_date]])</f>
        <v>2025</v>
      </c>
      <c r="C7945" s="128">
        <f t="shared" si="370"/>
        <v>7</v>
      </c>
      <c r="D7945" s="136">
        <f t="shared" si="372"/>
        <v>29</v>
      </c>
      <c r="E7945" s="136">
        <f t="shared" si="371"/>
        <v>18</v>
      </c>
      <c r="F7945" s="128" t="s">
        <v>24</v>
      </c>
      <c r="G7945" s="128" t="str">
        <f>VLOOKUP(source[[#This Row],[lending_product_transform]],[3]Mapping!$B$4:$C$37,2,0)</f>
        <v>[Cake] - Cashloan</v>
      </c>
      <c r="H7945" s="128" t="str">
        <f>VLOOKUP(source[[#This Row],[lending_product_transform]],[3]Mapping!$B$3:$D$37,3,0)</f>
        <v>cashloan</v>
      </c>
      <c r="I7945" s="135">
        <v>2556130000</v>
      </c>
    </row>
    <row r="7946" spans="1:9" x14ac:dyDescent="0.2">
      <c r="A7946" s="134">
        <v>45856</v>
      </c>
      <c r="B7946" s="135">
        <f>YEAR(source[[#This Row],[report_date]])</f>
        <v>2025</v>
      </c>
      <c r="C7946" s="128">
        <f t="shared" si="370"/>
        <v>7</v>
      </c>
      <c r="D7946" s="136">
        <f t="shared" si="372"/>
        <v>29</v>
      </c>
      <c r="E7946" s="136">
        <f t="shared" si="371"/>
        <v>18</v>
      </c>
      <c r="F7946" s="128" t="s">
        <v>24</v>
      </c>
      <c r="G7946" s="128" t="str">
        <f>VLOOKUP(source[[#This Row],[lending_product_transform]],[3]Mapping!$B$4:$C$37,2,0)</f>
        <v>[Cake] - Cashloan</v>
      </c>
      <c r="H7946" s="128" t="str">
        <f>VLOOKUP(source[[#This Row],[lending_product_transform]],[3]Mapping!$B$3:$D$37,3,0)</f>
        <v>cashloan</v>
      </c>
      <c r="I7946" s="135">
        <v>0</v>
      </c>
    </row>
    <row r="7947" spans="1:9" x14ac:dyDescent="0.2">
      <c r="A7947" s="134">
        <v>45856</v>
      </c>
      <c r="B7947" s="135">
        <f>YEAR(source[[#This Row],[report_date]])</f>
        <v>2025</v>
      </c>
      <c r="C7947" s="128">
        <f t="shared" si="370"/>
        <v>7</v>
      </c>
      <c r="D7947" s="136">
        <f t="shared" si="372"/>
        <v>29</v>
      </c>
      <c r="E7947" s="136">
        <f t="shared" si="371"/>
        <v>18</v>
      </c>
      <c r="F7947" s="128" t="s">
        <v>24</v>
      </c>
      <c r="G7947" s="128" t="str">
        <f>VLOOKUP(source[[#This Row],[lending_product_transform]],[3]Mapping!$B$4:$C$37,2,0)</f>
        <v>[Cake] - Cashloan</v>
      </c>
      <c r="H7947" s="128" t="str">
        <f>VLOOKUP(source[[#This Row],[lending_product_transform]],[3]Mapping!$B$3:$D$37,3,0)</f>
        <v>cashloan</v>
      </c>
      <c r="I7947" s="135">
        <v>275416293</v>
      </c>
    </row>
    <row r="7948" spans="1:9" x14ac:dyDescent="0.2">
      <c r="A7948" s="134">
        <v>45856</v>
      </c>
      <c r="B7948" s="135">
        <f>YEAR(source[[#This Row],[report_date]])</f>
        <v>2025</v>
      </c>
      <c r="C7948" s="128">
        <f t="shared" si="370"/>
        <v>7</v>
      </c>
      <c r="D7948" s="136">
        <f t="shared" si="372"/>
        <v>29</v>
      </c>
      <c r="E7948" s="136">
        <f t="shared" si="371"/>
        <v>18</v>
      </c>
      <c r="F7948" s="128" t="s">
        <v>24</v>
      </c>
      <c r="G7948" s="128" t="str">
        <f>VLOOKUP(source[[#This Row],[lending_product_transform]],[3]Mapping!$B$4:$C$37,2,0)</f>
        <v>[Cake] - Cashloan</v>
      </c>
      <c r="H7948" s="128" t="str">
        <f>VLOOKUP(source[[#This Row],[lending_product_transform]],[3]Mapping!$B$3:$D$37,3,0)</f>
        <v>cashloan</v>
      </c>
      <c r="I7948" s="135">
        <v>83500000</v>
      </c>
    </row>
    <row r="7949" spans="1:9" x14ac:dyDescent="0.2">
      <c r="A7949" s="134">
        <v>45856</v>
      </c>
      <c r="B7949" s="135">
        <f>YEAR(source[[#This Row],[report_date]])</f>
        <v>2025</v>
      </c>
      <c r="C7949" s="128">
        <f t="shared" si="370"/>
        <v>7</v>
      </c>
      <c r="D7949" s="136">
        <f t="shared" si="372"/>
        <v>29</v>
      </c>
      <c r="E7949" s="136">
        <f t="shared" si="371"/>
        <v>18</v>
      </c>
      <c r="F7949" s="128" t="s">
        <v>24</v>
      </c>
      <c r="G7949" s="128" t="str">
        <f>VLOOKUP(source[[#This Row],[lending_product_transform]],[3]Mapping!$B$4:$C$37,2,0)</f>
        <v>[Cake] - Cashloan</v>
      </c>
      <c r="H7949" s="128" t="str">
        <f>VLOOKUP(source[[#This Row],[lending_product_transform]],[3]Mapping!$B$3:$D$37,3,0)</f>
        <v>cashloan</v>
      </c>
      <c r="I7949" s="135">
        <v>29000000</v>
      </c>
    </row>
    <row r="7950" spans="1:9" x14ac:dyDescent="0.2">
      <c r="A7950" s="134">
        <v>45856</v>
      </c>
      <c r="B7950" s="135">
        <f>YEAR(source[[#This Row],[report_date]])</f>
        <v>2025</v>
      </c>
      <c r="C7950" s="128">
        <f t="shared" si="370"/>
        <v>7</v>
      </c>
      <c r="D7950" s="136">
        <f t="shared" si="372"/>
        <v>29</v>
      </c>
      <c r="E7950" s="136">
        <f t="shared" si="371"/>
        <v>18</v>
      </c>
      <c r="F7950" s="128" t="s">
        <v>24</v>
      </c>
      <c r="G7950" s="128" t="str">
        <f>VLOOKUP(source[[#This Row],[lending_product_transform]],[3]Mapping!$B$4:$C$37,2,0)</f>
        <v>[Cake] - Cashloan</v>
      </c>
      <c r="H7950" s="128" t="str">
        <f>VLOOKUP(source[[#This Row],[lending_product_transform]],[3]Mapping!$B$3:$D$37,3,0)</f>
        <v>cashloan</v>
      </c>
      <c r="I7950" s="135">
        <v>269916864</v>
      </c>
    </row>
    <row r="7951" spans="1:9" x14ac:dyDescent="0.2">
      <c r="A7951" s="134">
        <v>45856</v>
      </c>
      <c r="B7951" s="135">
        <f>YEAR(source[[#This Row],[report_date]])</f>
        <v>2025</v>
      </c>
      <c r="C7951" s="128">
        <f t="shared" si="370"/>
        <v>7</v>
      </c>
      <c r="D7951" s="136">
        <f t="shared" si="372"/>
        <v>29</v>
      </c>
      <c r="E7951" s="136">
        <f t="shared" si="371"/>
        <v>18</v>
      </c>
      <c r="F7951" s="128" t="s">
        <v>24</v>
      </c>
      <c r="G7951" s="128" t="str">
        <f>VLOOKUP(source[[#This Row],[lending_product_transform]],[3]Mapping!$B$4:$C$37,2,0)</f>
        <v>[Cake] - Cashloan</v>
      </c>
      <c r="H7951" s="128" t="str">
        <f>VLOOKUP(source[[#This Row],[lending_product_transform]],[3]Mapping!$B$3:$D$37,3,0)</f>
        <v>cashloan</v>
      </c>
      <c r="I7951" s="135">
        <v>0</v>
      </c>
    </row>
    <row r="7952" spans="1:9" x14ac:dyDescent="0.2">
      <c r="A7952" s="134">
        <v>45856</v>
      </c>
      <c r="B7952" s="135">
        <f>YEAR(source[[#This Row],[report_date]])</f>
        <v>2025</v>
      </c>
      <c r="C7952" s="128">
        <f t="shared" si="370"/>
        <v>7</v>
      </c>
      <c r="D7952" s="136">
        <f t="shared" si="372"/>
        <v>29</v>
      </c>
      <c r="E7952" s="136">
        <f t="shared" si="371"/>
        <v>18</v>
      </c>
      <c r="F7952" s="128" t="s">
        <v>24</v>
      </c>
      <c r="G7952" s="128" t="str">
        <f>VLOOKUP(source[[#This Row],[lending_product_transform]],[3]Mapping!$B$4:$C$37,2,0)</f>
        <v>[Cake] - Cashloan</v>
      </c>
      <c r="H7952" s="128" t="str">
        <f>VLOOKUP(source[[#This Row],[lending_product_transform]],[3]Mapping!$B$3:$D$37,3,0)</f>
        <v>cashloan</v>
      </c>
      <c r="I7952" s="135">
        <v>2077120000</v>
      </c>
    </row>
    <row r="7953" spans="1:9" x14ac:dyDescent="0.2">
      <c r="A7953" s="134">
        <v>45856</v>
      </c>
      <c r="B7953" s="135">
        <f>YEAR(source[[#This Row],[report_date]])</f>
        <v>2025</v>
      </c>
      <c r="C7953" s="128">
        <f t="shared" si="370"/>
        <v>7</v>
      </c>
      <c r="D7953" s="136">
        <f t="shared" si="372"/>
        <v>29</v>
      </c>
      <c r="E7953" s="136">
        <f t="shared" si="371"/>
        <v>18</v>
      </c>
      <c r="F7953" s="128" t="s">
        <v>24</v>
      </c>
      <c r="G7953" s="128" t="str">
        <f>VLOOKUP(source[[#This Row],[lending_product_transform]],[3]Mapping!$B$4:$C$37,2,0)</f>
        <v>[Cake] - Cashloan</v>
      </c>
      <c r="H7953" s="128" t="str">
        <f>VLOOKUP(source[[#This Row],[lending_product_transform]],[3]Mapping!$B$3:$D$37,3,0)</f>
        <v>cashloan</v>
      </c>
      <c r="I7953" s="135">
        <v>210605000</v>
      </c>
    </row>
    <row r="7954" spans="1:9" x14ac:dyDescent="0.2">
      <c r="A7954" s="134">
        <v>45856</v>
      </c>
      <c r="B7954" s="135">
        <f>YEAR(source[[#This Row],[report_date]])</f>
        <v>2025</v>
      </c>
      <c r="C7954" s="128">
        <f t="shared" si="370"/>
        <v>7</v>
      </c>
      <c r="D7954" s="136">
        <f t="shared" si="372"/>
        <v>29</v>
      </c>
      <c r="E7954" s="136">
        <f t="shared" si="371"/>
        <v>18</v>
      </c>
      <c r="F7954" s="128" t="s">
        <v>24</v>
      </c>
      <c r="G7954" s="128" t="str">
        <f>VLOOKUP(source[[#This Row],[lending_product_transform]],[3]Mapping!$B$4:$C$37,2,0)</f>
        <v>[Cake] - Cashloan</v>
      </c>
      <c r="H7954" s="128" t="str">
        <f>VLOOKUP(source[[#This Row],[lending_product_transform]],[3]Mapping!$B$3:$D$37,3,0)</f>
        <v>cashloan</v>
      </c>
      <c r="I7954" s="135">
        <v>3398337065</v>
      </c>
    </row>
    <row r="7955" spans="1:9" x14ac:dyDescent="0.2">
      <c r="A7955" s="134">
        <v>45856</v>
      </c>
      <c r="B7955" s="135">
        <f>YEAR(source[[#This Row],[report_date]])</f>
        <v>2025</v>
      </c>
      <c r="C7955" s="128">
        <f t="shared" si="370"/>
        <v>7</v>
      </c>
      <c r="D7955" s="136">
        <f t="shared" si="372"/>
        <v>29</v>
      </c>
      <c r="E7955" s="136">
        <f t="shared" si="371"/>
        <v>18</v>
      </c>
      <c r="F7955" s="128" t="s">
        <v>24</v>
      </c>
      <c r="G7955" s="128" t="str">
        <f>VLOOKUP(source[[#This Row],[lending_product_transform]],[3]Mapping!$B$4:$C$37,2,0)</f>
        <v>[Cake] - Cashloan</v>
      </c>
      <c r="H7955" s="128" t="str">
        <f>VLOOKUP(source[[#This Row],[lending_product_transform]],[3]Mapping!$B$3:$D$37,3,0)</f>
        <v>cashloan</v>
      </c>
      <c r="I7955" s="135">
        <v>228610191</v>
      </c>
    </row>
    <row r="7956" spans="1:9" x14ac:dyDescent="0.2">
      <c r="A7956" s="134">
        <v>45856</v>
      </c>
      <c r="B7956" s="135">
        <f>YEAR(source[[#This Row],[report_date]])</f>
        <v>2025</v>
      </c>
      <c r="C7956" s="128">
        <f t="shared" si="370"/>
        <v>7</v>
      </c>
      <c r="D7956" s="136">
        <f t="shared" si="372"/>
        <v>29</v>
      </c>
      <c r="E7956" s="136">
        <f t="shared" si="371"/>
        <v>18</v>
      </c>
      <c r="F7956" s="128" t="s">
        <v>24</v>
      </c>
      <c r="G7956" s="128" t="str">
        <f>VLOOKUP(source[[#This Row],[lending_product_transform]],[3]Mapping!$B$4:$C$37,2,0)</f>
        <v>[Cake] - Cashloan</v>
      </c>
      <c r="H7956" s="128" t="str">
        <f>VLOOKUP(source[[#This Row],[lending_product_transform]],[3]Mapping!$B$3:$D$37,3,0)</f>
        <v>cashloan</v>
      </c>
      <c r="I7956" s="135">
        <v>11651060000</v>
      </c>
    </row>
    <row r="7957" spans="1:9" x14ac:dyDescent="0.2">
      <c r="A7957" s="134">
        <v>45856</v>
      </c>
      <c r="B7957" s="135">
        <f>YEAR(source[[#This Row],[report_date]])</f>
        <v>2025</v>
      </c>
      <c r="C7957" s="128">
        <f t="shared" si="370"/>
        <v>7</v>
      </c>
      <c r="D7957" s="136">
        <f t="shared" si="372"/>
        <v>29</v>
      </c>
      <c r="E7957" s="136">
        <f t="shared" si="371"/>
        <v>18</v>
      </c>
      <c r="F7957" s="128" t="s">
        <v>24</v>
      </c>
      <c r="G7957" s="128" t="str">
        <f>VLOOKUP(source[[#This Row],[lending_product_transform]],[3]Mapping!$B$4:$C$37,2,0)</f>
        <v>[Cake] - Cashloan</v>
      </c>
      <c r="H7957" s="128" t="str">
        <f>VLOOKUP(source[[#This Row],[lending_product_transform]],[3]Mapping!$B$3:$D$37,3,0)</f>
        <v>cashloan</v>
      </c>
      <c r="I7957" s="135">
        <v>5614164000</v>
      </c>
    </row>
    <row r="7958" spans="1:9" x14ac:dyDescent="0.2">
      <c r="A7958" s="134">
        <v>45856</v>
      </c>
      <c r="B7958" s="135">
        <f>YEAR(source[[#This Row],[report_date]])</f>
        <v>2025</v>
      </c>
      <c r="C7958" s="128">
        <f t="shared" si="370"/>
        <v>7</v>
      </c>
      <c r="D7958" s="136">
        <f t="shared" si="372"/>
        <v>29</v>
      </c>
      <c r="E7958" s="136">
        <f t="shared" si="371"/>
        <v>18</v>
      </c>
      <c r="F7958" s="128" t="s">
        <v>24</v>
      </c>
      <c r="G7958" s="128" t="str">
        <f>VLOOKUP(source[[#This Row],[lending_product_transform]],[3]Mapping!$B$4:$C$37,2,0)</f>
        <v>[Cake] - Cashloan</v>
      </c>
      <c r="H7958" s="128" t="str">
        <f>VLOOKUP(source[[#This Row],[lending_product_transform]],[3]Mapping!$B$3:$D$37,3,0)</f>
        <v>cashloan</v>
      </c>
      <c r="I7958" s="135">
        <v>20500000</v>
      </c>
    </row>
    <row r="7959" spans="1:9" x14ac:dyDescent="0.2">
      <c r="A7959" s="134">
        <v>45856</v>
      </c>
      <c r="B7959" s="135">
        <f>YEAR(source[[#This Row],[report_date]])</f>
        <v>2025</v>
      </c>
      <c r="C7959" s="128">
        <f t="shared" si="370"/>
        <v>7</v>
      </c>
      <c r="D7959" s="136">
        <f t="shared" si="372"/>
        <v>29</v>
      </c>
      <c r="E7959" s="136">
        <f t="shared" si="371"/>
        <v>18</v>
      </c>
      <c r="F7959" s="128" t="s">
        <v>24</v>
      </c>
      <c r="G7959" s="128" t="str">
        <f>VLOOKUP(source[[#This Row],[lending_product_transform]],[3]Mapping!$B$4:$C$37,2,0)</f>
        <v>[Cake] - Cashloan</v>
      </c>
      <c r="H7959" s="128" t="str">
        <f>VLOOKUP(source[[#This Row],[lending_product_transform]],[3]Mapping!$B$3:$D$37,3,0)</f>
        <v>cashloan</v>
      </c>
      <c r="I7959" s="135">
        <v>11388760000</v>
      </c>
    </row>
    <row r="7960" spans="1:9" x14ac:dyDescent="0.2">
      <c r="A7960" s="134">
        <v>45856</v>
      </c>
      <c r="B7960" s="135">
        <f>YEAR(source[[#This Row],[report_date]])</f>
        <v>2025</v>
      </c>
      <c r="C7960" s="128">
        <f t="shared" si="370"/>
        <v>7</v>
      </c>
      <c r="D7960" s="136">
        <f t="shared" si="372"/>
        <v>29</v>
      </c>
      <c r="E7960" s="136">
        <f t="shared" si="371"/>
        <v>18</v>
      </c>
      <c r="F7960" s="128" t="s">
        <v>24</v>
      </c>
      <c r="G7960" s="128" t="str">
        <f>VLOOKUP(source[[#This Row],[lending_product_transform]],[3]Mapping!$B$4:$C$37,2,0)</f>
        <v>[Cake] - Cashloan</v>
      </c>
      <c r="H7960" s="128" t="str">
        <f>VLOOKUP(source[[#This Row],[lending_product_transform]],[3]Mapping!$B$3:$D$37,3,0)</f>
        <v>cashloan</v>
      </c>
      <c r="I7960" s="135">
        <v>24013523</v>
      </c>
    </row>
    <row r="7961" spans="1:9" x14ac:dyDescent="0.2">
      <c r="A7961" s="134">
        <v>45856</v>
      </c>
      <c r="B7961" s="135">
        <f>YEAR(source[[#This Row],[report_date]])</f>
        <v>2025</v>
      </c>
      <c r="C7961" s="128">
        <f t="shared" si="370"/>
        <v>7</v>
      </c>
      <c r="D7961" s="136">
        <f t="shared" si="372"/>
        <v>29</v>
      </c>
      <c r="E7961" s="136">
        <f t="shared" si="371"/>
        <v>18</v>
      </c>
      <c r="F7961" s="128" t="s">
        <v>24</v>
      </c>
      <c r="G7961" s="128" t="str">
        <f>VLOOKUP(source[[#This Row],[lending_product_transform]],[3]Mapping!$B$4:$C$37,2,0)</f>
        <v>[Cake] - Cashloan</v>
      </c>
      <c r="H7961" s="128" t="str">
        <f>VLOOKUP(source[[#This Row],[lending_product_transform]],[3]Mapping!$B$3:$D$37,3,0)</f>
        <v>cashloan</v>
      </c>
      <c r="I7961" s="135">
        <v>0</v>
      </c>
    </row>
    <row r="7962" spans="1:9" x14ac:dyDescent="0.2">
      <c r="A7962" s="134">
        <v>45856</v>
      </c>
      <c r="B7962" s="135">
        <f>YEAR(source[[#This Row],[report_date]])</f>
        <v>2025</v>
      </c>
      <c r="C7962" s="128">
        <f t="shared" si="370"/>
        <v>7</v>
      </c>
      <c r="D7962" s="136">
        <f t="shared" si="372"/>
        <v>29</v>
      </c>
      <c r="E7962" s="136">
        <f t="shared" si="371"/>
        <v>18</v>
      </c>
      <c r="F7962" s="128" t="s">
        <v>24</v>
      </c>
      <c r="G7962" s="128" t="str">
        <f>VLOOKUP(source[[#This Row],[lending_product_transform]],[3]Mapping!$B$4:$C$37,2,0)</f>
        <v>[Cake] - Cashloan</v>
      </c>
      <c r="H7962" s="128" t="str">
        <f>VLOOKUP(source[[#This Row],[lending_product_transform]],[3]Mapping!$B$3:$D$37,3,0)</f>
        <v>cashloan</v>
      </c>
      <c r="I7962" s="135">
        <v>0</v>
      </c>
    </row>
    <row r="7963" spans="1:9" x14ac:dyDescent="0.2">
      <c r="A7963" s="134">
        <v>45857</v>
      </c>
      <c r="B7963" s="135">
        <f>YEAR(source[[#This Row],[report_date]])</f>
        <v>2025</v>
      </c>
      <c r="C7963" s="128">
        <f t="shared" si="370"/>
        <v>7</v>
      </c>
      <c r="D7963" s="136">
        <f t="shared" si="372"/>
        <v>29</v>
      </c>
      <c r="E7963" s="136">
        <f t="shared" si="371"/>
        <v>19</v>
      </c>
      <c r="F7963" s="128" t="s">
        <v>24</v>
      </c>
      <c r="G7963" s="128" t="str">
        <f>VLOOKUP(source[[#This Row],[lending_product_transform]],[3]Mapping!$B$4:$C$37,2,0)</f>
        <v>[Cake] - Cashloan</v>
      </c>
      <c r="H7963" s="128" t="str">
        <f>VLOOKUP(source[[#This Row],[lending_product_transform]],[3]Mapping!$B$3:$D$37,3,0)</f>
        <v>cashloan</v>
      </c>
      <c r="I7963" s="135">
        <v>0</v>
      </c>
    </row>
    <row r="7964" spans="1:9" x14ac:dyDescent="0.2">
      <c r="A7964" s="134">
        <v>45857</v>
      </c>
      <c r="B7964" s="135">
        <f>YEAR(source[[#This Row],[report_date]])</f>
        <v>2025</v>
      </c>
      <c r="C7964" s="128">
        <f t="shared" si="370"/>
        <v>7</v>
      </c>
      <c r="D7964" s="136">
        <f t="shared" si="372"/>
        <v>29</v>
      </c>
      <c r="E7964" s="136">
        <f t="shared" si="371"/>
        <v>19</v>
      </c>
      <c r="F7964" s="128" t="s">
        <v>24</v>
      </c>
      <c r="G7964" s="128" t="str">
        <f>VLOOKUP(source[[#This Row],[lending_product_transform]],[3]Mapping!$B$4:$C$37,2,0)</f>
        <v>[Cake] - Cashloan</v>
      </c>
      <c r="H7964" s="128" t="str">
        <f>VLOOKUP(source[[#This Row],[lending_product_transform]],[3]Mapping!$B$3:$D$37,3,0)</f>
        <v>cashloan</v>
      </c>
      <c r="I7964" s="135">
        <v>210759047</v>
      </c>
    </row>
    <row r="7965" spans="1:9" x14ac:dyDescent="0.2">
      <c r="A7965" s="134">
        <v>45857</v>
      </c>
      <c r="B7965" s="135">
        <f>YEAR(source[[#This Row],[report_date]])</f>
        <v>2025</v>
      </c>
      <c r="C7965" s="128">
        <f t="shared" si="370"/>
        <v>7</v>
      </c>
      <c r="D7965" s="136">
        <f t="shared" si="372"/>
        <v>29</v>
      </c>
      <c r="E7965" s="136">
        <f t="shared" si="371"/>
        <v>19</v>
      </c>
      <c r="F7965" s="128" t="s">
        <v>24</v>
      </c>
      <c r="G7965" s="128" t="str">
        <f>VLOOKUP(source[[#This Row],[lending_product_transform]],[3]Mapping!$B$4:$C$37,2,0)</f>
        <v>[Cake] - Cashloan</v>
      </c>
      <c r="H7965" s="128" t="str">
        <f>VLOOKUP(source[[#This Row],[lending_product_transform]],[3]Mapping!$B$3:$D$37,3,0)</f>
        <v>cashloan</v>
      </c>
      <c r="I7965" s="135">
        <v>41000000</v>
      </c>
    </row>
    <row r="7966" spans="1:9" x14ac:dyDescent="0.2">
      <c r="A7966" s="134">
        <v>45857</v>
      </c>
      <c r="B7966" s="135">
        <f>YEAR(source[[#This Row],[report_date]])</f>
        <v>2025</v>
      </c>
      <c r="C7966" s="128">
        <f t="shared" si="370"/>
        <v>7</v>
      </c>
      <c r="D7966" s="136">
        <f t="shared" si="372"/>
        <v>29</v>
      </c>
      <c r="E7966" s="136">
        <f t="shared" si="371"/>
        <v>19</v>
      </c>
      <c r="F7966" s="128" t="s">
        <v>24</v>
      </c>
      <c r="G7966" s="128" t="str">
        <f>VLOOKUP(source[[#This Row],[lending_product_transform]],[3]Mapping!$B$4:$C$37,2,0)</f>
        <v>[Cake] - Cashloan</v>
      </c>
      <c r="H7966" s="128" t="str">
        <f>VLOOKUP(source[[#This Row],[lending_product_transform]],[3]Mapping!$B$3:$D$37,3,0)</f>
        <v>cashloan</v>
      </c>
      <c r="I7966" s="135">
        <v>325335466</v>
      </c>
    </row>
    <row r="7967" spans="1:9" x14ac:dyDescent="0.2">
      <c r="A7967" s="134">
        <v>45857</v>
      </c>
      <c r="B7967" s="135">
        <f>YEAR(source[[#This Row],[report_date]])</f>
        <v>2025</v>
      </c>
      <c r="C7967" s="128">
        <f t="shared" si="370"/>
        <v>7</v>
      </c>
      <c r="D7967" s="136">
        <f t="shared" si="372"/>
        <v>29</v>
      </c>
      <c r="E7967" s="136">
        <f t="shared" si="371"/>
        <v>19</v>
      </c>
      <c r="F7967" s="128" t="s">
        <v>24</v>
      </c>
      <c r="G7967" s="128" t="str">
        <f>VLOOKUP(source[[#This Row],[lending_product_transform]],[3]Mapping!$B$4:$C$37,2,0)</f>
        <v>[Cake] - Cashloan</v>
      </c>
      <c r="H7967" s="128" t="str">
        <f>VLOOKUP(source[[#This Row],[lending_product_transform]],[3]Mapping!$B$3:$D$37,3,0)</f>
        <v>cashloan</v>
      </c>
      <c r="I7967" s="135">
        <v>0</v>
      </c>
    </row>
    <row r="7968" spans="1:9" x14ac:dyDescent="0.2">
      <c r="A7968" s="134">
        <v>45857</v>
      </c>
      <c r="B7968" s="135">
        <f>YEAR(source[[#This Row],[report_date]])</f>
        <v>2025</v>
      </c>
      <c r="C7968" s="128">
        <f t="shared" si="370"/>
        <v>7</v>
      </c>
      <c r="D7968" s="136">
        <f t="shared" si="372"/>
        <v>29</v>
      </c>
      <c r="E7968" s="136">
        <f t="shared" si="371"/>
        <v>19</v>
      </c>
      <c r="F7968" s="128" t="s">
        <v>24</v>
      </c>
      <c r="G7968" s="128" t="str">
        <f>VLOOKUP(source[[#This Row],[lending_product_transform]],[3]Mapping!$B$4:$C$37,2,0)</f>
        <v>[Cake] - Cashloan</v>
      </c>
      <c r="H7968" s="128" t="str">
        <f>VLOOKUP(source[[#This Row],[lending_product_transform]],[3]Mapping!$B$3:$D$37,3,0)</f>
        <v>cashloan</v>
      </c>
      <c r="I7968" s="135">
        <v>0</v>
      </c>
    </row>
    <row r="7969" spans="1:9" x14ac:dyDescent="0.2">
      <c r="A7969" s="134">
        <v>45857</v>
      </c>
      <c r="B7969" s="135">
        <f>YEAR(source[[#This Row],[report_date]])</f>
        <v>2025</v>
      </c>
      <c r="C7969" s="128">
        <f t="shared" si="370"/>
        <v>7</v>
      </c>
      <c r="D7969" s="136">
        <f t="shared" si="372"/>
        <v>29</v>
      </c>
      <c r="E7969" s="136">
        <f t="shared" si="371"/>
        <v>19</v>
      </c>
      <c r="F7969" s="128" t="s">
        <v>24</v>
      </c>
      <c r="G7969" s="128" t="str">
        <f>VLOOKUP(source[[#This Row],[lending_product_transform]],[3]Mapping!$B$4:$C$37,2,0)</f>
        <v>[Cake] - Cashloan</v>
      </c>
      <c r="H7969" s="128" t="str">
        <f>VLOOKUP(source[[#This Row],[lending_product_transform]],[3]Mapping!$B$3:$D$37,3,0)</f>
        <v>cashloan</v>
      </c>
      <c r="I7969" s="135">
        <v>0</v>
      </c>
    </row>
    <row r="7970" spans="1:9" x14ac:dyDescent="0.2">
      <c r="A7970" s="134">
        <v>45857</v>
      </c>
      <c r="B7970" s="135">
        <f>YEAR(source[[#This Row],[report_date]])</f>
        <v>2025</v>
      </c>
      <c r="C7970" s="128">
        <f t="shared" si="370"/>
        <v>7</v>
      </c>
      <c r="D7970" s="136">
        <f t="shared" si="372"/>
        <v>29</v>
      </c>
      <c r="E7970" s="136">
        <f t="shared" si="371"/>
        <v>19</v>
      </c>
      <c r="F7970" s="128" t="s">
        <v>24</v>
      </c>
      <c r="G7970" s="128" t="str">
        <f>VLOOKUP(source[[#This Row],[lending_product_transform]],[3]Mapping!$B$4:$C$37,2,0)</f>
        <v>[Cake] - Cashloan</v>
      </c>
      <c r="H7970" s="128" t="str">
        <f>VLOOKUP(source[[#This Row],[lending_product_transform]],[3]Mapping!$B$3:$D$37,3,0)</f>
        <v>cashloan</v>
      </c>
      <c r="I7970" s="135">
        <v>1660720000</v>
      </c>
    </row>
    <row r="7971" spans="1:9" x14ac:dyDescent="0.2">
      <c r="A7971" s="134">
        <v>45857</v>
      </c>
      <c r="B7971" s="135">
        <f>YEAR(source[[#This Row],[report_date]])</f>
        <v>2025</v>
      </c>
      <c r="C7971" s="128">
        <f t="shared" si="370"/>
        <v>7</v>
      </c>
      <c r="D7971" s="136">
        <f t="shared" si="372"/>
        <v>29</v>
      </c>
      <c r="E7971" s="136">
        <f t="shared" si="371"/>
        <v>19</v>
      </c>
      <c r="F7971" s="128" t="s">
        <v>24</v>
      </c>
      <c r="G7971" s="128" t="str">
        <f>VLOOKUP(source[[#This Row],[lending_product_transform]],[3]Mapping!$B$4:$C$37,2,0)</f>
        <v>[Cake] - Cashloan</v>
      </c>
      <c r="H7971" s="128" t="str">
        <f>VLOOKUP(source[[#This Row],[lending_product_transform]],[3]Mapping!$B$3:$D$37,3,0)</f>
        <v>cashloan</v>
      </c>
      <c r="I7971" s="135">
        <v>29000000</v>
      </c>
    </row>
    <row r="7972" spans="1:9" x14ac:dyDescent="0.2">
      <c r="A7972" s="134">
        <v>45857</v>
      </c>
      <c r="B7972" s="135">
        <f>YEAR(source[[#This Row],[report_date]])</f>
        <v>2025</v>
      </c>
      <c r="C7972" s="128">
        <f t="shared" si="370"/>
        <v>7</v>
      </c>
      <c r="D7972" s="136">
        <f t="shared" si="372"/>
        <v>29</v>
      </c>
      <c r="E7972" s="136">
        <f t="shared" si="371"/>
        <v>19</v>
      </c>
      <c r="F7972" s="128" t="s">
        <v>24</v>
      </c>
      <c r="G7972" s="128" t="str">
        <f>VLOOKUP(source[[#This Row],[lending_product_transform]],[3]Mapping!$B$4:$C$37,2,0)</f>
        <v>[Cake] - Cashloan</v>
      </c>
      <c r="H7972" s="128" t="str">
        <f>VLOOKUP(source[[#This Row],[lending_product_transform]],[3]Mapping!$B$3:$D$37,3,0)</f>
        <v>cashloan</v>
      </c>
      <c r="I7972" s="135">
        <v>0</v>
      </c>
    </row>
    <row r="7973" spans="1:9" x14ac:dyDescent="0.2">
      <c r="A7973" s="134">
        <v>45857</v>
      </c>
      <c r="B7973" s="135">
        <f>YEAR(source[[#This Row],[report_date]])</f>
        <v>2025</v>
      </c>
      <c r="C7973" s="128">
        <f t="shared" si="370"/>
        <v>7</v>
      </c>
      <c r="D7973" s="136">
        <f t="shared" si="372"/>
        <v>29</v>
      </c>
      <c r="E7973" s="136">
        <f t="shared" si="371"/>
        <v>19</v>
      </c>
      <c r="F7973" s="128" t="s">
        <v>24</v>
      </c>
      <c r="G7973" s="128" t="str">
        <f>VLOOKUP(source[[#This Row],[lending_product_transform]],[3]Mapping!$B$4:$C$37,2,0)</f>
        <v>[Cake] - Cashloan</v>
      </c>
      <c r="H7973" s="128" t="str">
        <f>VLOOKUP(source[[#This Row],[lending_product_transform]],[3]Mapping!$B$3:$D$37,3,0)</f>
        <v>cashloan</v>
      </c>
      <c r="I7973" s="135">
        <v>443000000</v>
      </c>
    </row>
    <row r="7974" spans="1:9" x14ac:dyDescent="0.2">
      <c r="A7974" s="134">
        <v>45857</v>
      </c>
      <c r="B7974" s="135">
        <f>YEAR(source[[#This Row],[report_date]])</f>
        <v>2025</v>
      </c>
      <c r="C7974" s="128">
        <f t="shared" si="370"/>
        <v>7</v>
      </c>
      <c r="D7974" s="136">
        <f t="shared" si="372"/>
        <v>29</v>
      </c>
      <c r="E7974" s="136">
        <f t="shared" si="371"/>
        <v>19</v>
      </c>
      <c r="F7974" s="128" t="s">
        <v>24</v>
      </c>
      <c r="G7974" s="128" t="str">
        <f>VLOOKUP(source[[#This Row],[lending_product_transform]],[3]Mapping!$B$4:$C$37,2,0)</f>
        <v>[Cake] - Cashloan</v>
      </c>
      <c r="H7974" s="128" t="str">
        <f>VLOOKUP(source[[#This Row],[lending_product_transform]],[3]Mapping!$B$3:$D$37,3,0)</f>
        <v>cashloan</v>
      </c>
      <c r="I7974" s="135">
        <v>1699370000</v>
      </c>
    </row>
    <row r="7975" spans="1:9" x14ac:dyDescent="0.2">
      <c r="A7975" s="134">
        <v>45857</v>
      </c>
      <c r="B7975" s="135">
        <f>YEAR(source[[#This Row],[report_date]])</f>
        <v>2025</v>
      </c>
      <c r="C7975" s="128">
        <f t="shared" si="370"/>
        <v>7</v>
      </c>
      <c r="D7975" s="136">
        <f t="shared" si="372"/>
        <v>29</v>
      </c>
      <c r="E7975" s="136">
        <f t="shared" si="371"/>
        <v>19</v>
      </c>
      <c r="F7975" s="128" t="s">
        <v>24</v>
      </c>
      <c r="G7975" s="128" t="str">
        <f>VLOOKUP(source[[#This Row],[lending_product_transform]],[3]Mapping!$B$4:$C$37,2,0)</f>
        <v>[Cake] - Cashloan</v>
      </c>
      <c r="H7975" s="128" t="str">
        <f>VLOOKUP(source[[#This Row],[lending_product_transform]],[3]Mapping!$B$3:$D$37,3,0)</f>
        <v>cashloan</v>
      </c>
      <c r="I7975" s="135">
        <v>178478000</v>
      </c>
    </row>
    <row r="7976" spans="1:9" x14ac:dyDescent="0.2">
      <c r="A7976" s="134">
        <v>45857</v>
      </c>
      <c r="B7976" s="135">
        <f>YEAR(source[[#This Row],[report_date]])</f>
        <v>2025</v>
      </c>
      <c r="C7976" s="128">
        <f t="shared" si="370"/>
        <v>7</v>
      </c>
      <c r="D7976" s="136">
        <f t="shared" si="372"/>
        <v>29</v>
      </c>
      <c r="E7976" s="136">
        <f t="shared" si="371"/>
        <v>19</v>
      </c>
      <c r="F7976" s="128" t="s">
        <v>24</v>
      </c>
      <c r="G7976" s="128" t="str">
        <f>VLOOKUP(source[[#This Row],[lending_product_transform]],[3]Mapping!$B$4:$C$37,2,0)</f>
        <v>[Cake] - Cashloan</v>
      </c>
      <c r="H7976" s="128" t="str">
        <f>VLOOKUP(source[[#This Row],[lending_product_transform]],[3]Mapping!$B$3:$D$37,3,0)</f>
        <v>cashloan</v>
      </c>
      <c r="I7976" s="135">
        <v>8499428</v>
      </c>
    </row>
    <row r="7977" spans="1:9" x14ac:dyDescent="0.2">
      <c r="A7977" s="134">
        <v>45857</v>
      </c>
      <c r="B7977" s="135">
        <f>YEAR(source[[#This Row],[report_date]])</f>
        <v>2025</v>
      </c>
      <c r="C7977" s="128">
        <f t="shared" si="370"/>
        <v>7</v>
      </c>
      <c r="D7977" s="136">
        <f t="shared" si="372"/>
        <v>29</v>
      </c>
      <c r="E7977" s="136">
        <f t="shared" si="371"/>
        <v>19</v>
      </c>
      <c r="F7977" s="128" t="s">
        <v>24</v>
      </c>
      <c r="G7977" s="128" t="str">
        <f>VLOOKUP(source[[#This Row],[lending_product_transform]],[3]Mapping!$B$4:$C$37,2,0)</f>
        <v>[Cake] - Cashloan</v>
      </c>
      <c r="H7977" s="128" t="str">
        <f>VLOOKUP(source[[#This Row],[lending_product_transform]],[3]Mapping!$B$3:$D$37,3,0)</f>
        <v>cashloan</v>
      </c>
      <c r="I7977" s="135">
        <v>3391048053</v>
      </c>
    </row>
    <row r="7978" spans="1:9" x14ac:dyDescent="0.2">
      <c r="A7978" s="134">
        <v>45857</v>
      </c>
      <c r="B7978" s="135">
        <f>YEAR(source[[#This Row],[report_date]])</f>
        <v>2025</v>
      </c>
      <c r="C7978" s="128">
        <f t="shared" si="370"/>
        <v>7</v>
      </c>
      <c r="D7978" s="136">
        <f t="shared" si="372"/>
        <v>29</v>
      </c>
      <c r="E7978" s="136">
        <f t="shared" si="371"/>
        <v>19</v>
      </c>
      <c r="F7978" s="128" t="s">
        <v>24</v>
      </c>
      <c r="G7978" s="128" t="str">
        <f>VLOOKUP(source[[#This Row],[lending_product_transform]],[3]Mapping!$B$4:$C$37,2,0)</f>
        <v>[Cake] - Cashloan</v>
      </c>
      <c r="H7978" s="128" t="str">
        <f>VLOOKUP(source[[#This Row],[lending_product_transform]],[3]Mapping!$B$3:$D$37,3,0)</f>
        <v>cashloan</v>
      </c>
      <c r="I7978" s="135">
        <v>237155085</v>
      </c>
    </row>
    <row r="7979" spans="1:9" x14ac:dyDescent="0.2">
      <c r="A7979" s="134">
        <v>45857</v>
      </c>
      <c r="B7979" s="135">
        <f>YEAR(source[[#This Row],[report_date]])</f>
        <v>2025</v>
      </c>
      <c r="C7979" s="128">
        <f t="shared" si="370"/>
        <v>7</v>
      </c>
      <c r="D7979" s="136">
        <f t="shared" si="372"/>
        <v>29</v>
      </c>
      <c r="E7979" s="136">
        <f t="shared" si="371"/>
        <v>19</v>
      </c>
      <c r="F7979" s="128" t="s">
        <v>24</v>
      </c>
      <c r="G7979" s="128" t="str">
        <f>VLOOKUP(source[[#This Row],[lending_product_transform]],[3]Mapping!$B$4:$C$37,2,0)</f>
        <v>[Cake] - Cashloan</v>
      </c>
      <c r="H7979" s="128" t="str">
        <f>VLOOKUP(source[[#This Row],[lending_product_transform]],[3]Mapping!$B$3:$D$37,3,0)</f>
        <v>cashloan</v>
      </c>
      <c r="I7979" s="135">
        <v>10927200000</v>
      </c>
    </row>
    <row r="7980" spans="1:9" x14ac:dyDescent="0.2">
      <c r="A7980" s="134">
        <v>45857</v>
      </c>
      <c r="B7980" s="135">
        <f>YEAR(source[[#This Row],[report_date]])</f>
        <v>2025</v>
      </c>
      <c r="C7980" s="128">
        <f t="shared" si="370"/>
        <v>7</v>
      </c>
      <c r="D7980" s="136">
        <f t="shared" si="372"/>
        <v>29</v>
      </c>
      <c r="E7980" s="136">
        <f t="shared" si="371"/>
        <v>19</v>
      </c>
      <c r="F7980" s="128" t="s">
        <v>24</v>
      </c>
      <c r="G7980" s="128" t="str">
        <f>VLOOKUP(source[[#This Row],[lending_product_transform]],[3]Mapping!$B$4:$C$37,2,0)</f>
        <v>[Cake] - Cashloan</v>
      </c>
      <c r="H7980" s="128" t="str">
        <f>VLOOKUP(source[[#This Row],[lending_product_transform]],[3]Mapping!$B$3:$D$37,3,0)</f>
        <v>cashloan</v>
      </c>
      <c r="I7980" s="135">
        <v>10805770000</v>
      </c>
    </row>
    <row r="7981" spans="1:9" x14ac:dyDescent="0.2">
      <c r="A7981" s="134">
        <v>45857</v>
      </c>
      <c r="B7981" s="135">
        <f>YEAR(source[[#This Row],[report_date]])</f>
        <v>2025</v>
      </c>
      <c r="C7981" s="128">
        <f t="shared" si="370"/>
        <v>7</v>
      </c>
      <c r="D7981" s="136">
        <f t="shared" si="372"/>
        <v>29</v>
      </c>
      <c r="E7981" s="136">
        <f t="shared" si="371"/>
        <v>19</v>
      </c>
      <c r="F7981" s="128" t="s">
        <v>24</v>
      </c>
      <c r="G7981" s="128" t="str">
        <f>VLOOKUP(source[[#This Row],[lending_product_transform]],[3]Mapping!$B$4:$C$37,2,0)</f>
        <v>[Cake] - Cashloan</v>
      </c>
      <c r="H7981" s="128" t="str">
        <f>VLOOKUP(source[[#This Row],[lending_product_transform]],[3]Mapping!$B$3:$D$37,3,0)</f>
        <v>cashloan</v>
      </c>
      <c r="I7981" s="135">
        <v>5683284000</v>
      </c>
    </row>
    <row r="7982" spans="1:9" x14ac:dyDescent="0.2">
      <c r="A7982" s="134">
        <v>45858</v>
      </c>
      <c r="B7982" s="135">
        <f>YEAR(source[[#This Row],[report_date]])</f>
        <v>2025</v>
      </c>
      <c r="C7982" s="128">
        <f t="shared" si="370"/>
        <v>7</v>
      </c>
      <c r="D7982" s="136">
        <f t="shared" si="372"/>
        <v>29</v>
      </c>
      <c r="E7982" s="136">
        <f t="shared" si="371"/>
        <v>20</v>
      </c>
      <c r="F7982" s="128" t="s">
        <v>24</v>
      </c>
      <c r="G7982" s="128" t="str">
        <f>VLOOKUP(source[[#This Row],[lending_product_transform]],[3]Mapping!$B$4:$C$37,2,0)</f>
        <v>[Cake] - Cashloan</v>
      </c>
      <c r="H7982" s="128" t="str">
        <f>VLOOKUP(source[[#This Row],[lending_product_transform]],[3]Mapping!$B$3:$D$37,3,0)</f>
        <v>cashloan</v>
      </c>
      <c r="I7982" s="135">
        <v>0</v>
      </c>
    </row>
    <row r="7983" spans="1:9" x14ac:dyDescent="0.2">
      <c r="A7983" s="134">
        <v>45858</v>
      </c>
      <c r="B7983" s="135">
        <f>YEAR(source[[#This Row],[report_date]])</f>
        <v>2025</v>
      </c>
      <c r="C7983" s="128">
        <f t="shared" si="370"/>
        <v>7</v>
      </c>
      <c r="D7983" s="136">
        <f t="shared" si="372"/>
        <v>29</v>
      </c>
      <c r="E7983" s="136">
        <f t="shared" si="371"/>
        <v>20</v>
      </c>
      <c r="F7983" s="128" t="s">
        <v>24</v>
      </c>
      <c r="G7983" s="128" t="str">
        <f>VLOOKUP(source[[#This Row],[lending_product_transform]],[3]Mapping!$B$4:$C$37,2,0)</f>
        <v>[Cake] - Cashloan</v>
      </c>
      <c r="H7983" s="128" t="str">
        <f>VLOOKUP(source[[#This Row],[lending_product_transform]],[3]Mapping!$B$3:$D$37,3,0)</f>
        <v>cashloan</v>
      </c>
      <c r="I7983" s="135">
        <v>0</v>
      </c>
    </row>
    <row r="7984" spans="1:9" x14ac:dyDescent="0.2">
      <c r="A7984" s="134">
        <v>45858</v>
      </c>
      <c r="B7984" s="135">
        <f>YEAR(source[[#This Row],[report_date]])</f>
        <v>2025</v>
      </c>
      <c r="C7984" s="128">
        <f t="shared" si="370"/>
        <v>7</v>
      </c>
      <c r="D7984" s="136">
        <f t="shared" si="372"/>
        <v>29</v>
      </c>
      <c r="E7984" s="136">
        <f t="shared" si="371"/>
        <v>20</v>
      </c>
      <c r="F7984" s="128" t="s">
        <v>24</v>
      </c>
      <c r="G7984" s="128" t="str">
        <f>VLOOKUP(source[[#This Row],[lending_product_transform]],[3]Mapping!$B$4:$C$37,2,0)</f>
        <v>[Cake] - Cashloan</v>
      </c>
      <c r="H7984" s="128" t="str">
        <f>VLOOKUP(source[[#This Row],[lending_product_transform]],[3]Mapping!$B$3:$D$37,3,0)</f>
        <v>cashloan</v>
      </c>
      <c r="I7984" s="135">
        <v>5211432000</v>
      </c>
    </row>
    <row r="7985" spans="1:9" x14ac:dyDescent="0.2">
      <c r="A7985" s="134">
        <v>45858</v>
      </c>
      <c r="B7985" s="135">
        <f>YEAR(source[[#This Row],[report_date]])</f>
        <v>2025</v>
      </c>
      <c r="C7985" s="128">
        <f t="shared" si="370"/>
        <v>7</v>
      </c>
      <c r="D7985" s="136">
        <f t="shared" si="372"/>
        <v>29</v>
      </c>
      <c r="E7985" s="136">
        <f t="shared" si="371"/>
        <v>20</v>
      </c>
      <c r="F7985" s="128" t="s">
        <v>24</v>
      </c>
      <c r="G7985" s="128" t="str">
        <f>VLOOKUP(source[[#This Row],[lending_product_transform]],[3]Mapping!$B$4:$C$37,2,0)</f>
        <v>[Cake] - Cashloan</v>
      </c>
      <c r="H7985" s="128" t="str">
        <f>VLOOKUP(source[[#This Row],[lending_product_transform]],[3]Mapping!$B$3:$D$37,3,0)</f>
        <v>cashloan</v>
      </c>
      <c r="I7985" s="135">
        <v>0</v>
      </c>
    </row>
    <row r="7986" spans="1:9" x14ac:dyDescent="0.2">
      <c r="A7986" s="134">
        <v>45858</v>
      </c>
      <c r="B7986" s="135">
        <f>YEAR(source[[#This Row],[report_date]])</f>
        <v>2025</v>
      </c>
      <c r="C7986" s="128">
        <f t="shared" si="370"/>
        <v>7</v>
      </c>
      <c r="D7986" s="136">
        <f t="shared" si="372"/>
        <v>29</v>
      </c>
      <c r="E7986" s="136">
        <f t="shared" si="371"/>
        <v>20</v>
      </c>
      <c r="F7986" s="128" t="s">
        <v>24</v>
      </c>
      <c r="G7986" s="128" t="str">
        <f>VLOOKUP(source[[#This Row],[lending_product_transform]],[3]Mapping!$B$4:$C$37,2,0)</f>
        <v>[Cake] - Cashloan</v>
      </c>
      <c r="H7986" s="128" t="str">
        <f>VLOOKUP(source[[#This Row],[lending_product_transform]],[3]Mapping!$B$3:$D$37,3,0)</f>
        <v>cashloan</v>
      </c>
      <c r="I7986" s="135">
        <v>0</v>
      </c>
    </row>
    <row r="7987" spans="1:9" x14ac:dyDescent="0.2">
      <c r="A7987" s="134">
        <v>45858</v>
      </c>
      <c r="B7987" s="135">
        <f>YEAR(source[[#This Row],[report_date]])</f>
        <v>2025</v>
      </c>
      <c r="C7987" s="128">
        <f t="shared" si="370"/>
        <v>7</v>
      </c>
      <c r="D7987" s="136">
        <f t="shared" si="372"/>
        <v>29</v>
      </c>
      <c r="E7987" s="136">
        <f t="shared" si="371"/>
        <v>20</v>
      </c>
      <c r="F7987" s="128" t="s">
        <v>24</v>
      </c>
      <c r="G7987" s="128" t="str">
        <f>VLOOKUP(source[[#This Row],[lending_product_transform]],[3]Mapping!$B$4:$C$37,2,0)</f>
        <v>[Cake] - Cashloan</v>
      </c>
      <c r="H7987" s="128" t="str">
        <f>VLOOKUP(source[[#This Row],[lending_product_transform]],[3]Mapping!$B$3:$D$37,3,0)</f>
        <v>cashloan</v>
      </c>
      <c r="I7987" s="135">
        <v>0</v>
      </c>
    </row>
    <row r="7988" spans="1:9" x14ac:dyDescent="0.2">
      <c r="A7988" s="134">
        <v>45858</v>
      </c>
      <c r="B7988" s="135">
        <f>YEAR(source[[#This Row],[report_date]])</f>
        <v>2025</v>
      </c>
      <c r="C7988" s="128">
        <f t="shared" si="370"/>
        <v>7</v>
      </c>
      <c r="D7988" s="136">
        <f t="shared" si="372"/>
        <v>29</v>
      </c>
      <c r="E7988" s="136">
        <f t="shared" si="371"/>
        <v>20</v>
      </c>
      <c r="F7988" s="128" t="s">
        <v>24</v>
      </c>
      <c r="G7988" s="128" t="str">
        <f>VLOOKUP(source[[#This Row],[lending_product_transform]],[3]Mapping!$B$4:$C$37,2,0)</f>
        <v>[Cake] - Cashloan</v>
      </c>
      <c r="H7988" s="128" t="str">
        <f>VLOOKUP(source[[#This Row],[lending_product_transform]],[3]Mapping!$B$3:$D$37,3,0)</f>
        <v>cashloan</v>
      </c>
      <c r="I7988" s="135">
        <v>40000000</v>
      </c>
    </row>
    <row r="7989" spans="1:9" x14ac:dyDescent="0.2">
      <c r="A7989" s="134">
        <v>45858</v>
      </c>
      <c r="B7989" s="135">
        <f>YEAR(source[[#This Row],[report_date]])</f>
        <v>2025</v>
      </c>
      <c r="C7989" s="128">
        <f t="shared" si="370"/>
        <v>7</v>
      </c>
      <c r="D7989" s="136">
        <f t="shared" si="372"/>
        <v>29</v>
      </c>
      <c r="E7989" s="136">
        <f t="shared" si="371"/>
        <v>20</v>
      </c>
      <c r="F7989" s="128" t="s">
        <v>24</v>
      </c>
      <c r="G7989" s="128" t="str">
        <f>VLOOKUP(source[[#This Row],[lending_product_transform]],[3]Mapping!$B$4:$C$37,2,0)</f>
        <v>[Cake] - Cashloan</v>
      </c>
      <c r="H7989" s="128" t="str">
        <f>VLOOKUP(source[[#This Row],[lending_product_transform]],[3]Mapping!$B$3:$D$37,3,0)</f>
        <v>cashloan</v>
      </c>
      <c r="I7989" s="135">
        <v>0</v>
      </c>
    </row>
    <row r="7990" spans="1:9" x14ac:dyDescent="0.2">
      <c r="A7990" s="134">
        <v>45858</v>
      </c>
      <c r="B7990" s="135">
        <f>YEAR(source[[#This Row],[report_date]])</f>
        <v>2025</v>
      </c>
      <c r="C7990" s="128">
        <f t="shared" ref="C7990:C8053" si="373">MONTH(A7990)</f>
        <v>7</v>
      </c>
      <c r="D7990" s="136">
        <f t="shared" si="372"/>
        <v>29</v>
      </c>
      <c r="E7990" s="136">
        <f t="shared" ref="E7990:E8053" si="374">DAY(A7990)</f>
        <v>20</v>
      </c>
      <c r="F7990" s="128" t="s">
        <v>24</v>
      </c>
      <c r="G7990" s="128" t="str">
        <f>VLOOKUP(source[[#This Row],[lending_product_transform]],[3]Mapping!$B$4:$C$37,2,0)</f>
        <v>[Cake] - Cashloan</v>
      </c>
      <c r="H7990" s="128" t="str">
        <f>VLOOKUP(source[[#This Row],[lending_product_transform]],[3]Mapping!$B$3:$D$37,3,0)</f>
        <v>cashloan</v>
      </c>
      <c r="I7990" s="135">
        <v>518840000</v>
      </c>
    </row>
    <row r="7991" spans="1:9" x14ac:dyDescent="0.2">
      <c r="A7991" s="134">
        <v>45858</v>
      </c>
      <c r="B7991" s="135">
        <f>YEAR(source[[#This Row],[report_date]])</f>
        <v>2025</v>
      </c>
      <c r="C7991" s="128">
        <f t="shared" si="373"/>
        <v>7</v>
      </c>
      <c r="D7991" s="136">
        <f t="shared" si="372"/>
        <v>29</v>
      </c>
      <c r="E7991" s="136">
        <f t="shared" si="374"/>
        <v>20</v>
      </c>
      <c r="F7991" s="128" t="s">
        <v>24</v>
      </c>
      <c r="G7991" s="128" t="str">
        <f>VLOOKUP(source[[#This Row],[lending_product_transform]],[3]Mapping!$B$4:$C$37,2,0)</f>
        <v>[Cake] - Cashloan</v>
      </c>
      <c r="H7991" s="128" t="str">
        <f>VLOOKUP(source[[#This Row],[lending_product_transform]],[3]Mapping!$B$3:$D$37,3,0)</f>
        <v>cashloan</v>
      </c>
      <c r="I7991" s="135">
        <v>1435900000</v>
      </c>
    </row>
    <row r="7992" spans="1:9" x14ac:dyDescent="0.2">
      <c r="A7992" s="134">
        <v>45858</v>
      </c>
      <c r="B7992" s="135">
        <f>YEAR(source[[#This Row],[report_date]])</f>
        <v>2025</v>
      </c>
      <c r="C7992" s="128">
        <f t="shared" si="373"/>
        <v>7</v>
      </c>
      <c r="D7992" s="136">
        <f t="shared" si="372"/>
        <v>29</v>
      </c>
      <c r="E7992" s="136">
        <f t="shared" si="374"/>
        <v>20</v>
      </c>
      <c r="F7992" s="128" t="s">
        <v>24</v>
      </c>
      <c r="G7992" s="128" t="str">
        <f>VLOOKUP(source[[#This Row],[lending_product_transform]],[3]Mapping!$B$4:$C$37,2,0)</f>
        <v>[Cake] - Cashloan</v>
      </c>
      <c r="H7992" s="128" t="str">
        <f>VLOOKUP(source[[#This Row],[lending_product_transform]],[3]Mapping!$B$3:$D$37,3,0)</f>
        <v>cashloan</v>
      </c>
      <c r="I7992" s="135">
        <v>23032937</v>
      </c>
    </row>
    <row r="7993" spans="1:9" x14ac:dyDescent="0.2">
      <c r="A7993" s="134">
        <v>45858</v>
      </c>
      <c r="B7993" s="135">
        <f>YEAR(source[[#This Row],[report_date]])</f>
        <v>2025</v>
      </c>
      <c r="C7993" s="128">
        <f t="shared" si="373"/>
        <v>7</v>
      </c>
      <c r="D7993" s="136">
        <f t="shared" si="372"/>
        <v>29</v>
      </c>
      <c r="E7993" s="136">
        <f t="shared" si="374"/>
        <v>20</v>
      </c>
      <c r="F7993" s="128" t="s">
        <v>24</v>
      </c>
      <c r="G7993" s="128" t="str">
        <f>VLOOKUP(source[[#This Row],[lending_product_transform]],[3]Mapping!$B$4:$C$37,2,0)</f>
        <v>[Cake] - Cashloan</v>
      </c>
      <c r="H7993" s="128" t="str">
        <f>VLOOKUP(source[[#This Row],[lending_product_transform]],[3]Mapping!$B$3:$D$37,3,0)</f>
        <v>cashloan</v>
      </c>
      <c r="I7993" s="135">
        <v>218611699</v>
      </c>
    </row>
    <row r="7994" spans="1:9" x14ac:dyDescent="0.2">
      <c r="A7994" s="134">
        <v>45858</v>
      </c>
      <c r="B7994" s="135">
        <f>YEAR(source[[#This Row],[report_date]])</f>
        <v>2025</v>
      </c>
      <c r="C7994" s="128">
        <f t="shared" si="373"/>
        <v>7</v>
      </c>
      <c r="D7994" s="136">
        <f t="shared" si="372"/>
        <v>29</v>
      </c>
      <c r="E7994" s="136">
        <f t="shared" si="374"/>
        <v>20</v>
      </c>
      <c r="F7994" s="128" t="s">
        <v>24</v>
      </c>
      <c r="G7994" s="128" t="str">
        <f>VLOOKUP(source[[#This Row],[lending_product_transform]],[3]Mapping!$B$4:$C$37,2,0)</f>
        <v>[Cake] - Cashloan</v>
      </c>
      <c r="H7994" s="128" t="str">
        <f>VLOOKUP(source[[#This Row],[lending_product_transform]],[3]Mapping!$B$3:$D$37,3,0)</f>
        <v>cashloan</v>
      </c>
      <c r="I7994" s="135">
        <v>1826950000</v>
      </c>
    </row>
    <row r="7995" spans="1:9" x14ac:dyDescent="0.2">
      <c r="A7995" s="134">
        <v>45858</v>
      </c>
      <c r="B7995" s="135">
        <f>YEAR(source[[#This Row],[report_date]])</f>
        <v>2025</v>
      </c>
      <c r="C7995" s="128">
        <f t="shared" si="373"/>
        <v>7</v>
      </c>
      <c r="D7995" s="136">
        <f t="shared" si="372"/>
        <v>29</v>
      </c>
      <c r="E7995" s="136">
        <f t="shared" si="374"/>
        <v>20</v>
      </c>
      <c r="F7995" s="128" t="s">
        <v>24</v>
      </c>
      <c r="G7995" s="128" t="str">
        <f>VLOOKUP(source[[#This Row],[lending_product_transform]],[3]Mapping!$B$4:$C$37,2,0)</f>
        <v>[Cake] - Cashloan</v>
      </c>
      <c r="H7995" s="128" t="str">
        <f>VLOOKUP(source[[#This Row],[lending_product_transform]],[3]Mapping!$B$3:$D$37,3,0)</f>
        <v>cashloan</v>
      </c>
      <c r="I7995" s="135">
        <v>261575597</v>
      </c>
    </row>
    <row r="7996" spans="1:9" x14ac:dyDescent="0.2">
      <c r="A7996" s="134">
        <v>45858</v>
      </c>
      <c r="B7996" s="135">
        <f>YEAR(source[[#This Row],[report_date]])</f>
        <v>2025</v>
      </c>
      <c r="C7996" s="128">
        <f t="shared" si="373"/>
        <v>7</v>
      </c>
      <c r="D7996" s="136">
        <f t="shared" si="372"/>
        <v>29</v>
      </c>
      <c r="E7996" s="136">
        <f t="shared" si="374"/>
        <v>20</v>
      </c>
      <c r="F7996" s="128" t="s">
        <v>24</v>
      </c>
      <c r="G7996" s="128" t="str">
        <f>VLOOKUP(source[[#This Row],[lending_product_transform]],[3]Mapping!$B$4:$C$37,2,0)</f>
        <v>[Cake] - Cashloan</v>
      </c>
      <c r="H7996" s="128" t="str">
        <f>VLOOKUP(source[[#This Row],[lending_product_transform]],[3]Mapping!$B$3:$D$37,3,0)</f>
        <v>cashloan</v>
      </c>
      <c r="I7996" s="135">
        <v>265068127</v>
      </c>
    </row>
    <row r="7997" spans="1:9" x14ac:dyDescent="0.2">
      <c r="A7997" s="134">
        <v>45858</v>
      </c>
      <c r="B7997" s="135">
        <f>YEAR(source[[#This Row],[report_date]])</f>
        <v>2025</v>
      </c>
      <c r="C7997" s="128">
        <f t="shared" si="373"/>
        <v>7</v>
      </c>
      <c r="D7997" s="136">
        <f t="shared" si="372"/>
        <v>29</v>
      </c>
      <c r="E7997" s="136">
        <f t="shared" si="374"/>
        <v>20</v>
      </c>
      <c r="F7997" s="128" t="s">
        <v>24</v>
      </c>
      <c r="G7997" s="128" t="str">
        <f>VLOOKUP(source[[#This Row],[lending_product_transform]],[3]Mapping!$B$4:$C$37,2,0)</f>
        <v>[Cake] - Cashloan</v>
      </c>
      <c r="H7997" s="128" t="str">
        <f>VLOOKUP(source[[#This Row],[lending_product_transform]],[3]Mapping!$B$3:$D$37,3,0)</f>
        <v>cashloan</v>
      </c>
      <c r="I7997" s="135">
        <v>3240751987</v>
      </c>
    </row>
    <row r="7998" spans="1:9" x14ac:dyDescent="0.2">
      <c r="A7998" s="134">
        <v>45858</v>
      </c>
      <c r="B7998" s="135">
        <f>YEAR(source[[#This Row],[report_date]])</f>
        <v>2025</v>
      </c>
      <c r="C7998" s="128">
        <f t="shared" si="373"/>
        <v>7</v>
      </c>
      <c r="D7998" s="136">
        <f t="shared" si="372"/>
        <v>29</v>
      </c>
      <c r="E7998" s="136">
        <f t="shared" si="374"/>
        <v>20</v>
      </c>
      <c r="F7998" s="128" t="s">
        <v>24</v>
      </c>
      <c r="G7998" s="128" t="str">
        <f>VLOOKUP(source[[#This Row],[lending_product_transform]],[3]Mapping!$B$4:$C$37,2,0)</f>
        <v>[Cake] - Cashloan</v>
      </c>
      <c r="H7998" s="128" t="str">
        <f>VLOOKUP(source[[#This Row],[lending_product_transform]],[3]Mapping!$B$3:$D$37,3,0)</f>
        <v>cashloan</v>
      </c>
      <c r="I7998" s="135">
        <v>263308286</v>
      </c>
    </row>
    <row r="7999" spans="1:9" x14ac:dyDescent="0.2">
      <c r="A7999" s="134">
        <v>45858</v>
      </c>
      <c r="B7999" s="135">
        <f>YEAR(source[[#This Row],[report_date]])</f>
        <v>2025</v>
      </c>
      <c r="C7999" s="128">
        <f t="shared" si="373"/>
        <v>7</v>
      </c>
      <c r="D7999" s="136">
        <f t="shared" si="372"/>
        <v>29</v>
      </c>
      <c r="E7999" s="136">
        <f t="shared" si="374"/>
        <v>20</v>
      </c>
      <c r="F7999" s="128" t="s">
        <v>24</v>
      </c>
      <c r="G7999" s="128" t="str">
        <f>VLOOKUP(source[[#This Row],[lending_product_transform]],[3]Mapping!$B$4:$C$37,2,0)</f>
        <v>[Cake] - Cashloan</v>
      </c>
      <c r="H7999" s="128" t="str">
        <f>VLOOKUP(source[[#This Row],[lending_product_transform]],[3]Mapping!$B$3:$D$37,3,0)</f>
        <v>cashloan</v>
      </c>
      <c r="I7999" s="135">
        <v>10704760000</v>
      </c>
    </row>
    <row r="8000" spans="1:9" x14ac:dyDescent="0.2">
      <c r="A8000" s="134">
        <v>45858</v>
      </c>
      <c r="B8000" s="135">
        <f>YEAR(source[[#This Row],[report_date]])</f>
        <v>2025</v>
      </c>
      <c r="C8000" s="128">
        <f t="shared" si="373"/>
        <v>7</v>
      </c>
      <c r="D8000" s="136">
        <f t="shared" si="372"/>
        <v>29</v>
      </c>
      <c r="E8000" s="136">
        <f t="shared" si="374"/>
        <v>20</v>
      </c>
      <c r="F8000" s="128" t="s">
        <v>24</v>
      </c>
      <c r="G8000" s="128" t="str">
        <f>VLOOKUP(source[[#This Row],[lending_product_transform]],[3]Mapping!$B$4:$C$37,2,0)</f>
        <v>[Cake] - Cashloan</v>
      </c>
      <c r="H8000" s="128" t="str">
        <f>VLOOKUP(source[[#This Row],[lending_product_transform]],[3]Mapping!$B$3:$D$37,3,0)</f>
        <v>cashloan</v>
      </c>
      <c r="I8000" s="135">
        <v>9998040000</v>
      </c>
    </row>
    <row r="8001" spans="1:9" x14ac:dyDescent="0.2">
      <c r="A8001" s="134">
        <v>45859</v>
      </c>
      <c r="B8001" s="135">
        <f>YEAR(source[[#This Row],[report_date]])</f>
        <v>2025</v>
      </c>
      <c r="C8001" s="128">
        <f t="shared" si="373"/>
        <v>7</v>
      </c>
      <c r="D8001" s="136">
        <f t="shared" si="372"/>
        <v>30</v>
      </c>
      <c r="E8001" s="136">
        <f t="shared" si="374"/>
        <v>21</v>
      </c>
      <c r="F8001" s="128" t="s">
        <v>24</v>
      </c>
      <c r="G8001" s="128" t="str">
        <f>VLOOKUP(source[[#This Row],[lending_product_transform]],[3]Mapping!$B$4:$C$37,2,0)</f>
        <v>[Cake] - Cashloan</v>
      </c>
      <c r="H8001" s="128" t="str">
        <f>VLOOKUP(source[[#This Row],[lending_product_transform]],[3]Mapping!$B$3:$D$37,3,0)</f>
        <v>cashloan</v>
      </c>
      <c r="I8001" s="135">
        <v>5769036000</v>
      </c>
    </row>
    <row r="8002" spans="1:9" x14ac:dyDescent="0.2">
      <c r="A8002" s="134">
        <v>45859</v>
      </c>
      <c r="B8002" s="135">
        <f>YEAR(source[[#This Row],[report_date]])</f>
        <v>2025</v>
      </c>
      <c r="C8002" s="128">
        <f t="shared" si="373"/>
        <v>7</v>
      </c>
      <c r="D8002" s="136">
        <f t="shared" si="372"/>
        <v>30</v>
      </c>
      <c r="E8002" s="136">
        <f t="shared" si="374"/>
        <v>21</v>
      </c>
      <c r="F8002" s="128" t="s">
        <v>24</v>
      </c>
      <c r="G8002" s="128" t="str">
        <f>VLOOKUP(source[[#This Row],[lending_product_transform]],[3]Mapping!$B$4:$C$37,2,0)</f>
        <v>[Cake] - Cashloan</v>
      </c>
      <c r="H8002" s="128" t="str">
        <f>VLOOKUP(source[[#This Row],[lending_product_transform]],[3]Mapping!$B$3:$D$37,3,0)</f>
        <v>cashloan</v>
      </c>
      <c r="I8002" s="135">
        <v>0</v>
      </c>
    </row>
    <row r="8003" spans="1:9" x14ac:dyDescent="0.2">
      <c r="A8003" s="134">
        <v>45859</v>
      </c>
      <c r="B8003" s="135">
        <f>YEAR(source[[#This Row],[report_date]])</f>
        <v>2025</v>
      </c>
      <c r="C8003" s="128">
        <f t="shared" si="373"/>
        <v>7</v>
      </c>
      <c r="D8003" s="136">
        <f t="shared" ref="D8003:D8066" si="375">WEEKNUM(A8003,2)</f>
        <v>30</v>
      </c>
      <c r="E8003" s="136">
        <f t="shared" si="374"/>
        <v>21</v>
      </c>
      <c r="F8003" s="128" t="s">
        <v>24</v>
      </c>
      <c r="G8003" s="128" t="str">
        <f>VLOOKUP(source[[#This Row],[lending_product_transform]],[3]Mapping!$B$4:$C$37,2,0)</f>
        <v>[Cake] - Cashloan</v>
      </c>
      <c r="H8003" s="128" t="str">
        <f>VLOOKUP(source[[#This Row],[lending_product_transform]],[3]Mapping!$B$3:$D$37,3,0)</f>
        <v>cashloan</v>
      </c>
      <c r="I8003" s="135">
        <v>22680000</v>
      </c>
    </row>
    <row r="8004" spans="1:9" x14ac:dyDescent="0.2">
      <c r="A8004" s="134">
        <v>45859</v>
      </c>
      <c r="B8004" s="135">
        <f>YEAR(source[[#This Row],[report_date]])</f>
        <v>2025</v>
      </c>
      <c r="C8004" s="128">
        <f t="shared" si="373"/>
        <v>7</v>
      </c>
      <c r="D8004" s="136">
        <f t="shared" si="375"/>
        <v>30</v>
      </c>
      <c r="E8004" s="136">
        <f t="shared" si="374"/>
        <v>21</v>
      </c>
      <c r="F8004" s="128" t="s">
        <v>24</v>
      </c>
      <c r="G8004" s="128" t="str">
        <f>VLOOKUP(source[[#This Row],[lending_product_transform]],[3]Mapping!$B$4:$C$37,2,0)</f>
        <v>[Cake] - Cashloan</v>
      </c>
      <c r="H8004" s="128" t="str">
        <f>VLOOKUP(source[[#This Row],[lending_product_transform]],[3]Mapping!$B$3:$D$37,3,0)</f>
        <v>cashloan</v>
      </c>
      <c r="I8004" s="135">
        <v>12003070000</v>
      </c>
    </row>
    <row r="8005" spans="1:9" x14ac:dyDescent="0.2">
      <c r="A8005" s="134">
        <v>45859</v>
      </c>
      <c r="B8005" s="135">
        <f>YEAR(source[[#This Row],[report_date]])</f>
        <v>2025</v>
      </c>
      <c r="C8005" s="128">
        <f t="shared" si="373"/>
        <v>7</v>
      </c>
      <c r="D8005" s="136">
        <f t="shared" si="375"/>
        <v>30</v>
      </c>
      <c r="E8005" s="136">
        <f t="shared" si="374"/>
        <v>21</v>
      </c>
      <c r="F8005" s="128" t="s">
        <v>24</v>
      </c>
      <c r="G8005" s="128" t="str">
        <f>VLOOKUP(source[[#This Row],[lending_product_transform]],[3]Mapping!$B$4:$C$37,2,0)</f>
        <v>[Cake] - Cashloan</v>
      </c>
      <c r="H8005" s="128" t="str">
        <f>VLOOKUP(source[[#This Row],[lending_product_transform]],[3]Mapping!$B$3:$D$37,3,0)</f>
        <v>cashloan</v>
      </c>
      <c r="I8005" s="135">
        <v>0</v>
      </c>
    </row>
    <row r="8006" spans="1:9" x14ac:dyDescent="0.2">
      <c r="A8006" s="134">
        <v>45859</v>
      </c>
      <c r="B8006" s="135">
        <f>YEAR(source[[#This Row],[report_date]])</f>
        <v>2025</v>
      </c>
      <c r="C8006" s="128">
        <f t="shared" si="373"/>
        <v>7</v>
      </c>
      <c r="D8006" s="136">
        <f t="shared" si="375"/>
        <v>30</v>
      </c>
      <c r="E8006" s="136">
        <f t="shared" si="374"/>
        <v>21</v>
      </c>
      <c r="F8006" s="128" t="s">
        <v>24</v>
      </c>
      <c r="G8006" s="128" t="str">
        <f>VLOOKUP(source[[#This Row],[lending_product_transform]],[3]Mapping!$B$4:$C$37,2,0)</f>
        <v>[Cake] - Cashloan</v>
      </c>
      <c r="H8006" s="128" t="str">
        <f>VLOOKUP(source[[#This Row],[lending_product_transform]],[3]Mapping!$B$3:$D$37,3,0)</f>
        <v>cashloan</v>
      </c>
      <c r="I8006" s="135">
        <v>10500000</v>
      </c>
    </row>
    <row r="8007" spans="1:9" x14ac:dyDescent="0.2">
      <c r="A8007" s="134">
        <v>45859</v>
      </c>
      <c r="B8007" s="135">
        <f>YEAR(source[[#This Row],[report_date]])</f>
        <v>2025</v>
      </c>
      <c r="C8007" s="128">
        <f t="shared" si="373"/>
        <v>7</v>
      </c>
      <c r="D8007" s="136">
        <f t="shared" si="375"/>
        <v>30</v>
      </c>
      <c r="E8007" s="136">
        <f t="shared" si="374"/>
        <v>21</v>
      </c>
      <c r="F8007" s="128" t="s">
        <v>24</v>
      </c>
      <c r="G8007" s="128" t="str">
        <f>VLOOKUP(source[[#This Row],[lending_product_transform]],[3]Mapping!$B$4:$C$37,2,0)</f>
        <v>[Cake] - Cashloan</v>
      </c>
      <c r="H8007" s="128" t="str">
        <f>VLOOKUP(source[[#This Row],[lending_product_transform]],[3]Mapping!$B$3:$D$37,3,0)</f>
        <v>cashloan</v>
      </c>
      <c r="I8007" s="135">
        <v>20500000</v>
      </c>
    </row>
    <row r="8008" spans="1:9" x14ac:dyDescent="0.2">
      <c r="A8008" s="134">
        <v>45859</v>
      </c>
      <c r="B8008" s="135">
        <f>YEAR(source[[#This Row],[report_date]])</f>
        <v>2025</v>
      </c>
      <c r="C8008" s="128">
        <f t="shared" si="373"/>
        <v>7</v>
      </c>
      <c r="D8008" s="136">
        <f t="shared" si="375"/>
        <v>30</v>
      </c>
      <c r="E8008" s="136">
        <f t="shared" si="374"/>
        <v>21</v>
      </c>
      <c r="F8008" s="128" t="s">
        <v>24</v>
      </c>
      <c r="G8008" s="128" t="str">
        <f>VLOOKUP(source[[#This Row],[lending_product_transform]],[3]Mapping!$B$4:$C$37,2,0)</f>
        <v>[Cake] - Cashloan</v>
      </c>
      <c r="H8008" s="128" t="str">
        <f>VLOOKUP(source[[#This Row],[lending_product_transform]],[3]Mapping!$B$3:$D$37,3,0)</f>
        <v>cashloan</v>
      </c>
      <c r="I8008" s="135">
        <v>35072214</v>
      </c>
    </row>
    <row r="8009" spans="1:9" x14ac:dyDescent="0.2">
      <c r="A8009" s="134">
        <v>45859</v>
      </c>
      <c r="B8009" s="135">
        <f>YEAR(source[[#This Row],[report_date]])</f>
        <v>2025</v>
      </c>
      <c r="C8009" s="128">
        <f t="shared" si="373"/>
        <v>7</v>
      </c>
      <c r="D8009" s="136">
        <f t="shared" si="375"/>
        <v>30</v>
      </c>
      <c r="E8009" s="136">
        <f t="shared" si="374"/>
        <v>21</v>
      </c>
      <c r="F8009" s="128" t="s">
        <v>24</v>
      </c>
      <c r="G8009" s="128" t="str">
        <f>VLOOKUP(source[[#This Row],[lending_product_transform]],[3]Mapping!$B$4:$C$37,2,0)</f>
        <v>[Cake] - Cashloan</v>
      </c>
      <c r="H8009" s="128" t="str">
        <f>VLOOKUP(source[[#This Row],[lending_product_transform]],[3]Mapping!$B$3:$D$37,3,0)</f>
        <v>cashloan</v>
      </c>
      <c r="I8009" s="135">
        <v>37000000</v>
      </c>
    </row>
    <row r="8010" spans="1:9" x14ac:dyDescent="0.2">
      <c r="A8010" s="134">
        <v>45859</v>
      </c>
      <c r="B8010" s="135">
        <f>YEAR(source[[#This Row],[report_date]])</f>
        <v>2025</v>
      </c>
      <c r="C8010" s="128">
        <f t="shared" si="373"/>
        <v>7</v>
      </c>
      <c r="D8010" s="136">
        <f t="shared" si="375"/>
        <v>30</v>
      </c>
      <c r="E8010" s="136">
        <f t="shared" si="374"/>
        <v>21</v>
      </c>
      <c r="F8010" s="128" t="s">
        <v>24</v>
      </c>
      <c r="G8010" s="128" t="str">
        <f>VLOOKUP(source[[#This Row],[lending_product_transform]],[3]Mapping!$B$4:$C$37,2,0)</f>
        <v>[Cake] - Cashloan</v>
      </c>
      <c r="H8010" s="128" t="str">
        <f>VLOOKUP(source[[#This Row],[lending_product_transform]],[3]Mapping!$B$3:$D$37,3,0)</f>
        <v>cashloan</v>
      </c>
      <c r="I8010" s="135">
        <v>0</v>
      </c>
    </row>
    <row r="8011" spans="1:9" x14ac:dyDescent="0.2">
      <c r="A8011" s="134">
        <v>45859</v>
      </c>
      <c r="B8011" s="135">
        <f>YEAR(source[[#This Row],[report_date]])</f>
        <v>2025</v>
      </c>
      <c r="C8011" s="128">
        <f t="shared" si="373"/>
        <v>7</v>
      </c>
      <c r="D8011" s="136">
        <f t="shared" si="375"/>
        <v>30</v>
      </c>
      <c r="E8011" s="136">
        <f t="shared" si="374"/>
        <v>21</v>
      </c>
      <c r="F8011" s="128" t="s">
        <v>24</v>
      </c>
      <c r="G8011" s="128" t="str">
        <f>VLOOKUP(source[[#This Row],[lending_product_transform]],[3]Mapping!$B$4:$C$37,2,0)</f>
        <v>[Cake] - Cashloan</v>
      </c>
      <c r="H8011" s="128" t="str">
        <f>VLOOKUP(source[[#This Row],[lending_product_transform]],[3]Mapping!$B$3:$D$37,3,0)</f>
        <v>cashloan</v>
      </c>
      <c r="I8011" s="135">
        <v>615480000</v>
      </c>
    </row>
    <row r="8012" spans="1:9" x14ac:dyDescent="0.2">
      <c r="A8012" s="134">
        <v>45859</v>
      </c>
      <c r="B8012" s="135">
        <f>YEAR(source[[#This Row],[report_date]])</f>
        <v>2025</v>
      </c>
      <c r="C8012" s="128">
        <f t="shared" si="373"/>
        <v>7</v>
      </c>
      <c r="D8012" s="136">
        <f t="shared" si="375"/>
        <v>30</v>
      </c>
      <c r="E8012" s="136">
        <f t="shared" si="374"/>
        <v>21</v>
      </c>
      <c r="F8012" s="128" t="s">
        <v>24</v>
      </c>
      <c r="G8012" s="128" t="str">
        <f>VLOOKUP(source[[#This Row],[lending_product_transform]],[3]Mapping!$B$4:$C$37,2,0)</f>
        <v>[Cake] - Cashloan</v>
      </c>
      <c r="H8012" s="128" t="str">
        <f>VLOOKUP(source[[#This Row],[lending_product_transform]],[3]Mapping!$B$3:$D$37,3,0)</f>
        <v>cashloan</v>
      </c>
      <c r="I8012" s="135">
        <v>2429990000</v>
      </c>
    </row>
    <row r="8013" spans="1:9" x14ac:dyDescent="0.2">
      <c r="A8013" s="134">
        <v>45859</v>
      </c>
      <c r="B8013" s="135">
        <f>YEAR(source[[#This Row],[report_date]])</f>
        <v>2025</v>
      </c>
      <c r="C8013" s="128">
        <f t="shared" si="373"/>
        <v>7</v>
      </c>
      <c r="D8013" s="136">
        <f t="shared" si="375"/>
        <v>30</v>
      </c>
      <c r="E8013" s="136">
        <f t="shared" si="374"/>
        <v>21</v>
      </c>
      <c r="F8013" s="128" t="s">
        <v>24</v>
      </c>
      <c r="G8013" s="128" t="str">
        <f>VLOOKUP(source[[#This Row],[lending_product_transform]],[3]Mapping!$B$4:$C$37,2,0)</f>
        <v>[Cake] - Cashloan</v>
      </c>
      <c r="H8013" s="128" t="str">
        <f>VLOOKUP(source[[#This Row],[lending_product_transform]],[3]Mapping!$B$3:$D$37,3,0)</f>
        <v>cashloan</v>
      </c>
      <c r="I8013" s="135">
        <v>1785400000</v>
      </c>
    </row>
    <row r="8014" spans="1:9" x14ac:dyDescent="0.2">
      <c r="A8014" s="134">
        <v>45859</v>
      </c>
      <c r="B8014" s="135">
        <f>YEAR(source[[#This Row],[report_date]])</f>
        <v>2025</v>
      </c>
      <c r="C8014" s="128">
        <f t="shared" si="373"/>
        <v>7</v>
      </c>
      <c r="D8014" s="136">
        <f t="shared" si="375"/>
        <v>30</v>
      </c>
      <c r="E8014" s="136">
        <f t="shared" si="374"/>
        <v>21</v>
      </c>
      <c r="F8014" s="128" t="s">
        <v>24</v>
      </c>
      <c r="G8014" s="128" t="str">
        <f>VLOOKUP(source[[#This Row],[lending_product_transform]],[3]Mapping!$B$4:$C$37,2,0)</f>
        <v>[Cake] - Cashloan</v>
      </c>
      <c r="H8014" s="128" t="str">
        <f>VLOOKUP(source[[#This Row],[lending_product_transform]],[3]Mapping!$B$3:$D$37,3,0)</f>
        <v>cashloan</v>
      </c>
      <c r="I8014" s="135">
        <v>243586676</v>
      </c>
    </row>
    <row r="8015" spans="1:9" x14ac:dyDescent="0.2">
      <c r="A8015" s="134">
        <v>45859</v>
      </c>
      <c r="B8015" s="135">
        <f>YEAR(source[[#This Row],[report_date]])</f>
        <v>2025</v>
      </c>
      <c r="C8015" s="128">
        <f t="shared" si="373"/>
        <v>7</v>
      </c>
      <c r="D8015" s="136">
        <f t="shared" si="375"/>
        <v>30</v>
      </c>
      <c r="E8015" s="136">
        <f t="shared" si="374"/>
        <v>21</v>
      </c>
      <c r="F8015" s="128" t="s">
        <v>24</v>
      </c>
      <c r="G8015" s="128" t="str">
        <f>VLOOKUP(source[[#This Row],[lending_product_transform]],[3]Mapping!$B$4:$C$37,2,0)</f>
        <v>[Cake] - Cashloan</v>
      </c>
      <c r="H8015" s="128" t="str">
        <f>VLOOKUP(source[[#This Row],[lending_product_transform]],[3]Mapping!$B$3:$D$37,3,0)</f>
        <v>cashloan</v>
      </c>
      <c r="I8015" s="135">
        <v>402075056</v>
      </c>
    </row>
    <row r="8016" spans="1:9" x14ac:dyDescent="0.2">
      <c r="A8016" s="134">
        <v>45859</v>
      </c>
      <c r="B8016" s="135">
        <f>YEAR(source[[#This Row],[report_date]])</f>
        <v>2025</v>
      </c>
      <c r="C8016" s="128">
        <f t="shared" si="373"/>
        <v>7</v>
      </c>
      <c r="D8016" s="136">
        <f t="shared" si="375"/>
        <v>30</v>
      </c>
      <c r="E8016" s="136">
        <f t="shared" si="374"/>
        <v>21</v>
      </c>
      <c r="F8016" s="128" t="s">
        <v>24</v>
      </c>
      <c r="G8016" s="128" t="str">
        <f>VLOOKUP(source[[#This Row],[lending_product_transform]],[3]Mapping!$B$4:$C$37,2,0)</f>
        <v>[Cake] - Cashloan</v>
      </c>
      <c r="H8016" s="128" t="str">
        <f>VLOOKUP(source[[#This Row],[lending_product_transform]],[3]Mapping!$B$3:$D$37,3,0)</f>
        <v>cashloan</v>
      </c>
      <c r="I8016" s="135">
        <v>227986000</v>
      </c>
    </row>
    <row r="8017" spans="1:9" x14ac:dyDescent="0.2">
      <c r="A8017" s="134">
        <v>45859</v>
      </c>
      <c r="B8017" s="135">
        <f>YEAR(source[[#This Row],[report_date]])</f>
        <v>2025</v>
      </c>
      <c r="C8017" s="128">
        <f t="shared" si="373"/>
        <v>7</v>
      </c>
      <c r="D8017" s="136">
        <f t="shared" si="375"/>
        <v>30</v>
      </c>
      <c r="E8017" s="136">
        <f t="shared" si="374"/>
        <v>21</v>
      </c>
      <c r="F8017" s="128" t="s">
        <v>24</v>
      </c>
      <c r="G8017" s="128" t="str">
        <f>VLOOKUP(source[[#This Row],[lending_product_transform]],[3]Mapping!$B$4:$C$37,2,0)</f>
        <v>[Cake] - Cashloan</v>
      </c>
      <c r="H8017" s="128" t="str">
        <f>VLOOKUP(source[[#This Row],[lending_product_transform]],[3]Mapping!$B$3:$D$37,3,0)</f>
        <v>cashloan</v>
      </c>
      <c r="I8017" s="135">
        <v>3546645448</v>
      </c>
    </row>
    <row r="8018" spans="1:9" x14ac:dyDescent="0.2">
      <c r="A8018" s="134">
        <v>45859</v>
      </c>
      <c r="B8018" s="135">
        <f>YEAR(source[[#This Row],[report_date]])</f>
        <v>2025</v>
      </c>
      <c r="C8018" s="128">
        <f t="shared" si="373"/>
        <v>7</v>
      </c>
      <c r="D8018" s="136">
        <f t="shared" si="375"/>
        <v>30</v>
      </c>
      <c r="E8018" s="136">
        <f t="shared" si="374"/>
        <v>21</v>
      </c>
      <c r="F8018" s="128" t="s">
        <v>24</v>
      </c>
      <c r="G8018" s="128" t="str">
        <f>VLOOKUP(source[[#This Row],[lending_product_transform]],[3]Mapping!$B$4:$C$37,2,0)</f>
        <v>[Cake] - Cashloan</v>
      </c>
      <c r="H8018" s="128" t="str">
        <f>VLOOKUP(source[[#This Row],[lending_product_transform]],[3]Mapping!$B$3:$D$37,3,0)</f>
        <v>cashloan</v>
      </c>
      <c r="I8018" s="135">
        <v>306959319</v>
      </c>
    </row>
    <row r="8019" spans="1:9" x14ac:dyDescent="0.2">
      <c r="A8019" s="134">
        <v>45859</v>
      </c>
      <c r="B8019" s="135">
        <f>YEAR(source[[#This Row],[report_date]])</f>
        <v>2025</v>
      </c>
      <c r="C8019" s="128">
        <f t="shared" si="373"/>
        <v>7</v>
      </c>
      <c r="D8019" s="136">
        <f t="shared" si="375"/>
        <v>30</v>
      </c>
      <c r="E8019" s="136">
        <f t="shared" si="374"/>
        <v>21</v>
      </c>
      <c r="F8019" s="128" t="s">
        <v>24</v>
      </c>
      <c r="G8019" s="128" t="str">
        <f>VLOOKUP(source[[#This Row],[lending_product_transform]],[3]Mapping!$B$4:$C$37,2,0)</f>
        <v>[Cake] - Cashloan</v>
      </c>
      <c r="H8019" s="128" t="str">
        <f>VLOOKUP(source[[#This Row],[lending_product_transform]],[3]Mapping!$B$3:$D$37,3,0)</f>
        <v>cashloan</v>
      </c>
      <c r="I8019" s="135">
        <v>12575310000</v>
      </c>
    </row>
    <row r="8020" spans="1:9" x14ac:dyDescent="0.2">
      <c r="A8020" s="134">
        <v>45860</v>
      </c>
      <c r="B8020" s="135">
        <f>YEAR(source[[#This Row],[report_date]])</f>
        <v>2025</v>
      </c>
      <c r="C8020" s="128">
        <f t="shared" si="373"/>
        <v>7</v>
      </c>
      <c r="D8020" s="136">
        <f t="shared" si="375"/>
        <v>30</v>
      </c>
      <c r="E8020" s="136">
        <f t="shared" si="374"/>
        <v>22</v>
      </c>
      <c r="F8020" s="128" t="s">
        <v>24</v>
      </c>
      <c r="G8020" s="128" t="str">
        <f>VLOOKUP(source[[#This Row],[lending_product_transform]],[3]Mapping!$B$4:$C$37,2,0)</f>
        <v>[Cake] - Cashloan</v>
      </c>
      <c r="H8020" s="128" t="str">
        <f>VLOOKUP(source[[#This Row],[lending_product_transform]],[3]Mapping!$B$3:$D$37,3,0)</f>
        <v>cashloan</v>
      </c>
      <c r="I8020" s="135">
        <v>0</v>
      </c>
    </row>
    <row r="8021" spans="1:9" x14ac:dyDescent="0.2">
      <c r="A8021" s="134">
        <v>45860</v>
      </c>
      <c r="B8021" s="135">
        <f>YEAR(source[[#This Row],[report_date]])</f>
        <v>2025</v>
      </c>
      <c r="C8021" s="128">
        <f t="shared" si="373"/>
        <v>7</v>
      </c>
      <c r="D8021" s="136">
        <f t="shared" si="375"/>
        <v>30</v>
      </c>
      <c r="E8021" s="136">
        <f t="shared" si="374"/>
        <v>22</v>
      </c>
      <c r="F8021" s="128" t="s">
        <v>24</v>
      </c>
      <c r="G8021" s="128" t="str">
        <f>VLOOKUP(source[[#This Row],[lending_product_transform]],[3]Mapping!$B$4:$C$37,2,0)</f>
        <v>[Cake] - Cashloan</v>
      </c>
      <c r="H8021" s="128" t="str">
        <f>VLOOKUP(source[[#This Row],[lending_product_transform]],[3]Mapping!$B$3:$D$37,3,0)</f>
        <v>cashloan</v>
      </c>
      <c r="I8021" s="135">
        <v>160234000</v>
      </c>
    </row>
    <row r="8022" spans="1:9" x14ac:dyDescent="0.2">
      <c r="A8022" s="134">
        <v>45860</v>
      </c>
      <c r="B8022" s="135">
        <f>YEAR(source[[#This Row],[report_date]])</f>
        <v>2025</v>
      </c>
      <c r="C8022" s="128">
        <f t="shared" si="373"/>
        <v>7</v>
      </c>
      <c r="D8022" s="136">
        <f t="shared" si="375"/>
        <v>30</v>
      </c>
      <c r="E8022" s="136">
        <f t="shared" si="374"/>
        <v>22</v>
      </c>
      <c r="F8022" s="128" t="s">
        <v>24</v>
      </c>
      <c r="G8022" s="128" t="str">
        <f>VLOOKUP(source[[#This Row],[lending_product_transform]],[3]Mapping!$B$4:$C$37,2,0)</f>
        <v>[Cake] - Cashloan</v>
      </c>
      <c r="H8022" s="128" t="str">
        <f>VLOOKUP(source[[#This Row],[lending_product_transform]],[3]Mapping!$B$3:$D$37,3,0)</f>
        <v>cashloan</v>
      </c>
      <c r="I8022" s="135">
        <v>381180000</v>
      </c>
    </row>
    <row r="8023" spans="1:9" x14ac:dyDescent="0.2">
      <c r="A8023" s="134">
        <v>45860</v>
      </c>
      <c r="B8023" s="135">
        <f>YEAR(source[[#This Row],[report_date]])</f>
        <v>2025</v>
      </c>
      <c r="C8023" s="128">
        <f t="shared" si="373"/>
        <v>7</v>
      </c>
      <c r="D8023" s="136">
        <f t="shared" si="375"/>
        <v>30</v>
      </c>
      <c r="E8023" s="136">
        <f t="shared" si="374"/>
        <v>22</v>
      </c>
      <c r="F8023" s="128" t="s">
        <v>24</v>
      </c>
      <c r="G8023" s="128" t="str">
        <f>VLOOKUP(source[[#This Row],[lending_product_transform]],[3]Mapping!$B$4:$C$37,2,0)</f>
        <v>[Cake] - Cashloan</v>
      </c>
      <c r="H8023" s="128" t="str">
        <f>VLOOKUP(source[[#This Row],[lending_product_transform]],[3]Mapping!$B$3:$D$37,3,0)</f>
        <v>cashloan</v>
      </c>
      <c r="I8023" s="135">
        <v>1676930000</v>
      </c>
    </row>
    <row r="8024" spans="1:9" x14ac:dyDescent="0.2">
      <c r="A8024" s="134">
        <v>45860</v>
      </c>
      <c r="B8024" s="135">
        <f>YEAR(source[[#This Row],[report_date]])</f>
        <v>2025</v>
      </c>
      <c r="C8024" s="128">
        <f t="shared" si="373"/>
        <v>7</v>
      </c>
      <c r="D8024" s="136">
        <f t="shared" si="375"/>
        <v>30</v>
      </c>
      <c r="E8024" s="136">
        <f t="shared" si="374"/>
        <v>22</v>
      </c>
      <c r="F8024" s="128" t="s">
        <v>24</v>
      </c>
      <c r="G8024" s="128" t="str">
        <f>VLOOKUP(source[[#This Row],[lending_product_transform]],[3]Mapping!$B$4:$C$37,2,0)</f>
        <v>[Cake] - Cashloan</v>
      </c>
      <c r="H8024" s="128" t="str">
        <f>VLOOKUP(source[[#This Row],[lending_product_transform]],[3]Mapping!$B$3:$D$37,3,0)</f>
        <v>cashloan</v>
      </c>
      <c r="I8024" s="135">
        <v>12204680000</v>
      </c>
    </row>
    <row r="8025" spans="1:9" x14ac:dyDescent="0.2">
      <c r="A8025" s="134">
        <v>45860</v>
      </c>
      <c r="B8025" s="135">
        <f>YEAR(source[[#This Row],[report_date]])</f>
        <v>2025</v>
      </c>
      <c r="C8025" s="128">
        <f t="shared" si="373"/>
        <v>7</v>
      </c>
      <c r="D8025" s="136">
        <f t="shared" si="375"/>
        <v>30</v>
      </c>
      <c r="E8025" s="136">
        <f t="shared" si="374"/>
        <v>22</v>
      </c>
      <c r="F8025" s="128" t="s">
        <v>24</v>
      </c>
      <c r="G8025" s="128" t="str">
        <f>VLOOKUP(source[[#This Row],[lending_product_transform]],[3]Mapping!$B$4:$C$37,2,0)</f>
        <v>[Cake] - Cashloan</v>
      </c>
      <c r="H8025" s="128" t="str">
        <f>VLOOKUP(source[[#This Row],[lending_product_transform]],[3]Mapping!$B$3:$D$37,3,0)</f>
        <v>cashloan</v>
      </c>
      <c r="I8025" s="135">
        <v>2928107322</v>
      </c>
    </row>
    <row r="8026" spans="1:9" x14ac:dyDescent="0.2">
      <c r="A8026" s="134">
        <v>45860</v>
      </c>
      <c r="B8026" s="135">
        <f>YEAR(source[[#This Row],[report_date]])</f>
        <v>2025</v>
      </c>
      <c r="C8026" s="128">
        <f t="shared" si="373"/>
        <v>7</v>
      </c>
      <c r="D8026" s="136">
        <f t="shared" si="375"/>
        <v>30</v>
      </c>
      <c r="E8026" s="136">
        <f t="shared" si="374"/>
        <v>22</v>
      </c>
      <c r="F8026" s="128" t="s">
        <v>24</v>
      </c>
      <c r="G8026" s="128" t="str">
        <f>VLOOKUP(source[[#This Row],[lending_product_transform]],[3]Mapping!$B$4:$C$37,2,0)</f>
        <v>[Cake] - Cashloan</v>
      </c>
      <c r="H8026" s="128" t="str">
        <f>VLOOKUP(source[[#This Row],[lending_product_transform]],[3]Mapping!$B$3:$D$37,3,0)</f>
        <v>cashloan</v>
      </c>
      <c r="I8026" s="135">
        <v>1226460000</v>
      </c>
    </row>
    <row r="8027" spans="1:9" x14ac:dyDescent="0.2">
      <c r="A8027" s="134">
        <v>45860</v>
      </c>
      <c r="B8027" s="135">
        <f>YEAR(source[[#This Row],[report_date]])</f>
        <v>2025</v>
      </c>
      <c r="C8027" s="128">
        <f t="shared" si="373"/>
        <v>7</v>
      </c>
      <c r="D8027" s="136">
        <f t="shared" si="375"/>
        <v>30</v>
      </c>
      <c r="E8027" s="136">
        <f t="shared" si="374"/>
        <v>22</v>
      </c>
      <c r="F8027" s="128" t="s">
        <v>24</v>
      </c>
      <c r="G8027" s="128" t="str">
        <f>VLOOKUP(source[[#This Row],[lending_product_transform]],[3]Mapping!$B$4:$C$37,2,0)</f>
        <v>[Cake] - Cashloan</v>
      </c>
      <c r="H8027" s="128" t="str">
        <f>VLOOKUP(source[[#This Row],[lending_product_transform]],[3]Mapping!$B$3:$D$37,3,0)</f>
        <v>cashloan</v>
      </c>
      <c r="I8027" s="135">
        <v>13274490000</v>
      </c>
    </row>
    <row r="8028" spans="1:9" x14ac:dyDescent="0.2">
      <c r="A8028" s="134">
        <v>45860</v>
      </c>
      <c r="B8028" s="135">
        <f>YEAR(source[[#This Row],[report_date]])</f>
        <v>2025</v>
      </c>
      <c r="C8028" s="128">
        <f t="shared" si="373"/>
        <v>7</v>
      </c>
      <c r="D8028" s="136">
        <f t="shared" si="375"/>
        <v>30</v>
      </c>
      <c r="E8028" s="136">
        <f t="shared" si="374"/>
        <v>22</v>
      </c>
      <c r="F8028" s="128" t="s">
        <v>24</v>
      </c>
      <c r="G8028" s="128" t="str">
        <f>VLOOKUP(source[[#This Row],[lending_product_transform]],[3]Mapping!$B$4:$C$37,2,0)</f>
        <v>[Cake] - Cashloan</v>
      </c>
      <c r="H8028" s="128" t="str">
        <f>VLOOKUP(source[[#This Row],[lending_product_transform]],[3]Mapping!$B$3:$D$37,3,0)</f>
        <v>cashloan</v>
      </c>
      <c r="I8028" s="135">
        <v>5577336000</v>
      </c>
    </row>
    <row r="8029" spans="1:9" x14ac:dyDescent="0.2">
      <c r="A8029" s="134">
        <v>45860</v>
      </c>
      <c r="B8029" s="135">
        <f>YEAR(source[[#This Row],[report_date]])</f>
        <v>2025</v>
      </c>
      <c r="C8029" s="128">
        <f t="shared" si="373"/>
        <v>7</v>
      </c>
      <c r="D8029" s="136">
        <f t="shared" si="375"/>
        <v>30</v>
      </c>
      <c r="E8029" s="136">
        <f t="shared" si="374"/>
        <v>22</v>
      </c>
      <c r="F8029" s="128" t="s">
        <v>24</v>
      </c>
      <c r="G8029" s="128" t="str">
        <f>VLOOKUP(source[[#This Row],[lending_product_transform]],[3]Mapping!$B$4:$C$37,2,0)</f>
        <v>[Cake] - Cashloan</v>
      </c>
      <c r="H8029" s="128" t="str">
        <f>VLOOKUP(source[[#This Row],[lending_product_transform]],[3]Mapping!$B$3:$D$37,3,0)</f>
        <v>cashloan</v>
      </c>
      <c r="I8029" s="135">
        <v>5771520000</v>
      </c>
    </row>
    <row r="8030" spans="1:9" x14ac:dyDescent="0.2">
      <c r="A8030" s="134">
        <v>45860</v>
      </c>
      <c r="B8030" s="135">
        <f>YEAR(source[[#This Row],[report_date]])</f>
        <v>2025</v>
      </c>
      <c r="C8030" s="128">
        <f t="shared" si="373"/>
        <v>7</v>
      </c>
      <c r="D8030" s="136">
        <f t="shared" si="375"/>
        <v>30</v>
      </c>
      <c r="E8030" s="136">
        <f t="shared" si="374"/>
        <v>22</v>
      </c>
      <c r="F8030" s="128" t="s">
        <v>24</v>
      </c>
      <c r="G8030" s="128" t="str">
        <f>VLOOKUP(source[[#This Row],[lending_product_transform]],[3]Mapping!$B$4:$C$37,2,0)</f>
        <v>[Cake] - Cashloan</v>
      </c>
      <c r="H8030" s="128" t="str">
        <f>VLOOKUP(source[[#This Row],[lending_product_transform]],[3]Mapping!$B$3:$D$37,3,0)</f>
        <v>cashloan</v>
      </c>
      <c r="I8030" s="135">
        <v>225226483</v>
      </c>
    </row>
    <row r="8031" spans="1:9" x14ac:dyDescent="0.2">
      <c r="A8031" s="134">
        <v>45860</v>
      </c>
      <c r="B8031" s="135">
        <f>YEAR(source[[#This Row],[report_date]])</f>
        <v>2025</v>
      </c>
      <c r="C8031" s="128">
        <f t="shared" si="373"/>
        <v>7</v>
      </c>
      <c r="D8031" s="136">
        <f t="shared" si="375"/>
        <v>30</v>
      </c>
      <c r="E8031" s="136">
        <f t="shared" si="374"/>
        <v>22</v>
      </c>
      <c r="F8031" s="128" t="s">
        <v>24</v>
      </c>
      <c r="G8031" s="128" t="str">
        <f>VLOOKUP(source[[#This Row],[lending_product_transform]],[3]Mapping!$B$4:$C$37,2,0)</f>
        <v>[Cake] - Cashloan</v>
      </c>
      <c r="H8031" s="128" t="str">
        <f>VLOOKUP(source[[#This Row],[lending_product_transform]],[3]Mapping!$B$3:$D$37,3,0)</f>
        <v>cashloan</v>
      </c>
      <c r="I8031" s="135">
        <v>361990371</v>
      </c>
    </row>
    <row r="8032" spans="1:9" x14ac:dyDescent="0.2">
      <c r="A8032" s="134">
        <v>45860</v>
      </c>
      <c r="B8032" s="135">
        <f>YEAR(source[[#This Row],[report_date]])</f>
        <v>2025</v>
      </c>
      <c r="C8032" s="128">
        <f t="shared" si="373"/>
        <v>7</v>
      </c>
      <c r="D8032" s="136">
        <f t="shared" si="375"/>
        <v>30</v>
      </c>
      <c r="E8032" s="136">
        <f t="shared" si="374"/>
        <v>22</v>
      </c>
      <c r="F8032" s="128" t="s">
        <v>24</v>
      </c>
      <c r="G8032" s="128" t="str">
        <f>VLOOKUP(source[[#This Row],[lending_product_transform]],[3]Mapping!$B$4:$C$37,2,0)</f>
        <v>[Cake] - Cashloan</v>
      </c>
      <c r="H8032" s="128" t="str">
        <f>VLOOKUP(source[[#This Row],[lending_product_transform]],[3]Mapping!$B$3:$D$37,3,0)</f>
        <v>cashloan</v>
      </c>
      <c r="I8032" s="135">
        <v>267185950</v>
      </c>
    </row>
    <row r="8033" spans="1:9" x14ac:dyDescent="0.2">
      <c r="A8033" s="134">
        <v>45860</v>
      </c>
      <c r="B8033" s="135">
        <f>YEAR(source[[#This Row],[report_date]])</f>
        <v>2025</v>
      </c>
      <c r="C8033" s="128">
        <f t="shared" si="373"/>
        <v>7</v>
      </c>
      <c r="D8033" s="136">
        <f t="shared" si="375"/>
        <v>30</v>
      </c>
      <c r="E8033" s="136">
        <f t="shared" si="374"/>
        <v>22</v>
      </c>
      <c r="F8033" s="128" t="s">
        <v>24</v>
      </c>
      <c r="G8033" s="128" t="str">
        <f>VLOOKUP(source[[#This Row],[lending_product_transform]],[3]Mapping!$B$4:$C$37,2,0)</f>
        <v>[Cake] - Cashloan</v>
      </c>
      <c r="H8033" s="128" t="str">
        <f>VLOOKUP(source[[#This Row],[lending_product_transform]],[3]Mapping!$B$3:$D$37,3,0)</f>
        <v>cashloan</v>
      </c>
      <c r="I8033" s="135">
        <v>0</v>
      </c>
    </row>
    <row r="8034" spans="1:9" x14ac:dyDescent="0.2">
      <c r="A8034" s="134">
        <v>45860</v>
      </c>
      <c r="B8034" s="135">
        <f>YEAR(source[[#This Row],[report_date]])</f>
        <v>2025</v>
      </c>
      <c r="C8034" s="128">
        <f t="shared" si="373"/>
        <v>7</v>
      </c>
      <c r="D8034" s="136">
        <f t="shared" si="375"/>
        <v>30</v>
      </c>
      <c r="E8034" s="136">
        <f t="shared" si="374"/>
        <v>22</v>
      </c>
      <c r="F8034" s="128" t="s">
        <v>24</v>
      </c>
      <c r="G8034" s="128" t="str">
        <f>VLOOKUP(source[[#This Row],[lending_product_transform]],[3]Mapping!$B$4:$C$37,2,0)</f>
        <v>[Cake] - Cashloan</v>
      </c>
      <c r="H8034" s="128" t="str">
        <f>VLOOKUP(source[[#This Row],[lending_product_transform]],[3]Mapping!$B$3:$D$37,3,0)</f>
        <v>cashloan</v>
      </c>
      <c r="I8034" s="135">
        <v>44100000</v>
      </c>
    </row>
    <row r="8035" spans="1:9" x14ac:dyDescent="0.2">
      <c r="A8035" s="134">
        <v>45860</v>
      </c>
      <c r="B8035" s="135">
        <f>YEAR(source[[#This Row],[report_date]])</f>
        <v>2025</v>
      </c>
      <c r="C8035" s="128">
        <f t="shared" si="373"/>
        <v>7</v>
      </c>
      <c r="D8035" s="136">
        <f t="shared" si="375"/>
        <v>30</v>
      </c>
      <c r="E8035" s="136">
        <f t="shared" si="374"/>
        <v>22</v>
      </c>
      <c r="F8035" s="128" t="s">
        <v>24</v>
      </c>
      <c r="G8035" s="128" t="str">
        <f>VLOOKUP(source[[#This Row],[lending_product_transform]],[3]Mapping!$B$4:$C$37,2,0)</f>
        <v>[Cake] - Cashloan</v>
      </c>
      <c r="H8035" s="128" t="str">
        <f>VLOOKUP(source[[#This Row],[lending_product_transform]],[3]Mapping!$B$3:$D$37,3,0)</f>
        <v>cashloan</v>
      </c>
      <c r="I8035" s="135">
        <v>21034164</v>
      </c>
    </row>
    <row r="8036" spans="1:9" x14ac:dyDescent="0.2">
      <c r="A8036" s="134">
        <v>45860</v>
      </c>
      <c r="B8036" s="135">
        <f>YEAR(source[[#This Row],[report_date]])</f>
        <v>2025</v>
      </c>
      <c r="C8036" s="128">
        <f t="shared" si="373"/>
        <v>7</v>
      </c>
      <c r="D8036" s="136">
        <f t="shared" si="375"/>
        <v>30</v>
      </c>
      <c r="E8036" s="136">
        <f t="shared" si="374"/>
        <v>22</v>
      </c>
      <c r="F8036" s="128" t="s">
        <v>24</v>
      </c>
      <c r="G8036" s="128" t="str">
        <f>VLOOKUP(source[[#This Row],[lending_product_transform]],[3]Mapping!$B$4:$C$37,2,0)</f>
        <v>[Cake] - Cashloan</v>
      </c>
      <c r="H8036" s="128" t="str">
        <f>VLOOKUP(source[[#This Row],[lending_product_transform]],[3]Mapping!$B$3:$D$37,3,0)</f>
        <v>cashloan</v>
      </c>
      <c r="I8036" s="135">
        <v>0</v>
      </c>
    </row>
    <row r="8037" spans="1:9" x14ac:dyDescent="0.2">
      <c r="A8037" s="134">
        <v>45860</v>
      </c>
      <c r="B8037" s="135">
        <f>YEAR(source[[#This Row],[report_date]])</f>
        <v>2025</v>
      </c>
      <c r="C8037" s="128">
        <f t="shared" si="373"/>
        <v>7</v>
      </c>
      <c r="D8037" s="136">
        <f t="shared" si="375"/>
        <v>30</v>
      </c>
      <c r="E8037" s="136">
        <f t="shared" si="374"/>
        <v>22</v>
      </c>
      <c r="F8037" s="128" t="s">
        <v>24</v>
      </c>
      <c r="G8037" s="128" t="str">
        <f>VLOOKUP(source[[#This Row],[lending_product_transform]],[3]Mapping!$B$4:$C$37,2,0)</f>
        <v>[Cake] - Cashloan</v>
      </c>
      <c r="H8037" s="128" t="str">
        <f>VLOOKUP(source[[#This Row],[lending_product_transform]],[3]Mapping!$B$3:$D$37,3,0)</f>
        <v>cashloan</v>
      </c>
      <c r="I8037" s="135">
        <v>26250000</v>
      </c>
    </row>
    <row r="8038" spans="1:9" x14ac:dyDescent="0.2">
      <c r="A8038" s="134">
        <v>45860</v>
      </c>
      <c r="B8038" s="135">
        <f>YEAR(source[[#This Row],[report_date]])</f>
        <v>2025</v>
      </c>
      <c r="C8038" s="128">
        <f t="shared" si="373"/>
        <v>7</v>
      </c>
      <c r="D8038" s="136">
        <f t="shared" si="375"/>
        <v>30</v>
      </c>
      <c r="E8038" s="136">
        <f t="shared" si="374"/>
        <v>22</v>
      </c>
      <c r="F8038" s="128" t="s">
        <v>24</v>
      </c>
      <c r="G8038" s="128" t="str">
        <f>VLOOKUP(source[[#This Row],[lending_product_transform]],[3]Mapping!$B$4:$C$37,2,0)</f>
        <v>[Cake] - Cashloan</v>
      </c>
      <c r="H8038" s="128" t="str">
        <f>VLOOKUP(source[[#This Row],[lending_product_transform]],[3]Mapping!$B$3:$D$37,3,0)</f>
        <v>cashloan</v>
      </c>
      <c r="I8038" s="135">
        <v>20000000</v>
      </c>
    </row>
    <row r="8039" spans="1:9" x14ac:dyDescent="0.2">
      <c r="A8039" s="134">
        <v>45861</v>
      </c>
      <c r="B8039" s="135">
        <f>YEAR(source[[#This Row],[report_date]])</f>
        <v>2025</v>
      </c>
      <c r="C8039" s="128">
        <f t="shared" si="373"/>
        <v>7</v>
      </c>
      <c r="D8039" s="136">
        <f t="shared" si="375"/>
        <v>30</v>
      </c>
      <c r="E8039" s="136">
        <f t="shared" si="374"/>
        <v>23</v>
      </c>
      <c r="F8039" s="128" t="s">
        <v>24</v>
      </c>
      <c r="G8039" s="128" t="str">
        <f>VLOOKUP(source[[#This Row],[lending_product_transform]],[3]Mapping!$B$4:$C$37,2,0)</f>
        <v>[Cake] - Cashloan</v>
      </c>
      <c r="H8039" s="128" t="str">
        <f>VLOOKUP(source[[#This Row],[lending_product_transform]],[3]Mapping!$B$3:$D$37,3,0)</f>
        <v>cashloan</v>
      </c>
      <c r="I8039" s="135">
        <v>290867470</v>
      </c>
    </row>
    <row r="8040" spans="1:9" x14ac:dyDescent="0.2">
      <c r="A8040" s="134">
        <v>45861</v>
      </c>
      <c r="B8040" s="135">
        <f>YEAR(source[[#This Row],[report_date]])</f>
        <v>2025</v>
      </c>
      <c r="C8040" s="128">
        <f t="shared" si="373"/>
        <v>7</v>
      </c>
      <c r="D8040" s="136">
        <f t="shared" si="375"/>
        <v>30</v>
      </c>
      <c r="E8040" s="136">
        <f t="shared" si="374"/>
        <v>23</v>
      </c>
      <c r="F8040" s="128" t="s">
        <v>24</v>
      </c>
      <c r="G8040" s="128" t="str">
        <f>VLOOKUP(source[[#This Row],[lending_product_transform]],[3]Mapping!$B$4:$C$37,2,0)</f>
        <v>[Cake] - Cashloan</v>
      </c>
      <c r="H8040" s="128" t="str">
        <f>VLOOKUP(source[[#This Row],[lending_product_transform]],[3]Mapping!$B$3:$D$37,3,0)</f>
        <v>cashloan</v>
      </c>
      <c r="I8040" s="135">
        <v>12894440000</v>
      </c>
    </row>
    <row r="8041" spans="1:9" x14ac:dyDescent="0.2">
      <c r="A8041" s="134">
        <v>45861</v>
      </c>
      <c r="B8041" s="135">
        <f>YEAR(source[[#This Row],[report_date]])</f>
        <v>2025</v>
      </c>
      <c r="C8041" s="128">
        <f t="shared" si="373"/>
        <v>7</v>
      </c>
      <c r="D8041" s="136">
        <f t="shared" si="375"/>
        <v>30</v>
      </c>
      <c r="E8041" s="136">
        <f t="shared" si="374"/>
        <v>23</v>
      </c>
      <c r="F8041" s="128" t="s">
        <v>24</v>
      </c>
      <c r="G8041" s="128" t="str">
        <f>VLOOKUP(source[[#This Row],[lending_product_transform]],[3]Mapping!$B$4:$C$37,2,0)</f>
        <v>[Cake] - Cashloan</v>
      </c>
      <c r="H8041" s="128" t="str">
        <f>VLOOKUP(source[[#This Row],[lending_product_transform]],[3]Mapping!$B$3:$D$37,3,0)</f>
        <v>cashloan</v>
      </c>
      <c r="I8041" s="135">
        <v>330710000</v>
      </c>
    </row>
    <row r="8042" spans="1:9" x14ac:dyDescent="0.2">
      <c r="A8042" s="134">
        <v>45861</v>
      </c>
      <c r="B8042" s="135">
        <f>YEAR(source[[#This Row],[report_date]])</f>
        <v>2025</v>
      </c>
      <c r="C8042" s="128">
        <f t="shared" si="373"/>
        <v>7</v>
      </c>
      <c r="D8042" s="136">
        <f t="shared" si="375"/>
        <v>30</v>
      </c>
      <c r="E8042" s="136">
        <f t="shared" si="374"/>
        <v>23</v>
      </c>
      <c r="F8042" s="128" t="s">
        <v>24</v>
      </c>
      <c r="G8042" s="128" t="str">
        <f>VLOOKUP(source[[#This Row],[lending_product_transform]],[3]Mapping!$B$4:$C$37,2,0)</f>
        <v>[Cake] - Cashloan</v>
      </c>
      <c r="H8042" s="128" t="str">
        <f>VLOOKUP(source[[#This Row],[lending_product_transform]],[3]Mapping!$B$3:$D$37,3,0)</f>
        <v>cashloan</v>
      </c>
      <c r="I8042" s="135">
        <v>5456808000</v>
      </c>
    </row>
    <row r="8043" spans="1:9" x14ac:dyDescent="0.2">
      <c r="A8043" s="134">
        <v>45861</v>
      </c>
      <c r="B8043" s="135">
        <f>YEAR(source[[#This Row],[report_date]])</f>
        <v>2025</v>
      </c>
      <c r="C8043" s="128">
        <f t="shared" si="373"/>
        <v>7</v>
      </c>
      <c r="D8043" s="136">
        <f t="shared" si="375"/>
        <v>30</v>
      </c>
      <c r="E8043" s="136">
        <f t="shared" si="374"/>
        <v>23</v>
      </c>
      <c r="F8043" s="128" t="s">
        <v>24</v>
      </c>
      <c r="G8043" s="128" t="str">
        <f>VLOOKUP(source[[#This Row],[lending_product_transform]],[3]Mapping!$B$4:$C$37,2,0)</f>
        <v>[Cake] - Cashloan</v>
      </c>
      <c r="H8043" s="128" t="str">
        <f>VLOOKUP(source[[#This Row],[lending_product_transform]],[3]Mapping!$B$3:$D$37,3,0)</f>
        <v>cashloan</v>
      </c>
      <c r="I8043" s="135">
        <v>0</v>
      </c>
    </row>
    <row r="8044" spans="1:9" x14ac:dyDescent="0.2">
      <c r="A8044" s="134">
        <v>45861</v>
      </c>
      <c r="B8044" s="135">
        <f>YEAR(source[[#This Row],[report_date]])</f>
        <v>2025</v>
      </c>
      <c r="C8044" s="128">
        <f t="shared" si="373"/>
        <v>7</v>
      </c>
      <c r="D8044" s="136">
        <f t="shared" si="375"/>
        <v>30</v>
      </c>
      <c r="E8044" s="136">
        <f t="shared" si="374"/>
        <v>23</v>
      </c>
      <c r="F8044" s="128" t="s">
        <v>24</v>
      </c>
      <c r="G8044" s="128" t="str">
        <f>VLOOKUP(source[[#This Row],[lending_product_transform]],[3]Mapping!$B$4:$C$37,2,0)</f>
        <v>[Cake] - Cashloan</v>
      </c>
      <c r="H8044" s="128" t="str">
        <f>VLOOKUP(source[[#This Row],[lending_product_transform]],[3]Mapping!$B$3:$D$37,3,0)</f>
        <v>cashloan</v>
      </c>
      <c r="I8044" s="135">
        <v>12774840000</v>
      </c>
    </row>
    <row r="8045" spans="1:9" x14ac:dyDescent="0.2">
      <c r="A8045" s="134">
        <v>45861</v>
      </c>
      <c r="B8045" s="135">
        <f>YEAR(source[[#This Row],[report_date]])</f>
        <v>2025</v>
      </c>
      <c r="C8045" s="128">
        <f t="shared" si="373"/>
        <v>7</v>
      </c>
      <c r="D8045" s="136">
        <f t="shared" si="375"/>
        <v>30</v>
      </c>
      <c r="E8045" s="136">
        <f t="shared" si="374"/>
        <v>23</v>
      </c>
      <c r="F8045" s="128" t="s">
        <v>24</v>
      </c>
      <c r="G8045" s="128" t="str">
        <f>VLOOKUP(source[[#This Row],[lending_product_transform]],[3]Mapping!$B$4:$C$37,2,0)</f>
        <v>[Cake] - Cashloan</v>
      </c>
      <c r="H8045" s="128" t="str">
        <f>VLOOKUP(source[[#This Row],[lending_product_transform]],[3]Mapping!$B$3:$D$37,3,0)</f>
        <v>cashloan</v>
      </c>
      <c r="I8045" s="135">
        <v>26940378</v>
      </c>
    </row>
    <row r="8046" spans="1:9" x14ac:dyDescent="0.2">
      <c r="A8046" s="134">
        <v>45861</v>
      </c>
      <c r="B8046" s="135">
        <f>YEAR(source[[#This Row],[report_date]])</f>
        <v>2025</v>
      </c>
      <c r="C8046" s="128">
        <f t="shared" si="373"/>
        <v>7</v>
      </c>
      <c r="D8046" s="136">
        <f t="shared" si="375"/>
        <v>30</v>
      </c>
      <c r="E8046" s="136">
        <f t="shared" si="374"/>
        <v>23</v>
      </c>
      <c r="F8046" s="128" t="s">
        <v>24</v>
      </c>
      <c r="G8046" s="128" t="str">
        <f>VLOOKUP(source[[#This Row],[lending_product_transform]],[3]Mapping!$B$4:$C$37,2,0)</f>
        <v>[Cake] - Cashloan</v>
      </c>
      <c r="H8046" s="128" t="str">
        <f>VLOOKUP(source[[#This Row],[lending_product_transform]],[3]Mapping!$B$3:$D$37,3,0)</f>
        <v>cashloan</v>
      </c>
      <c r="I8046" s="135">
        <v>0</v>
      </c>
    </row>
    <row r="8047" spans="1:9" x14ac:dyDescent="0.2">
      <c r="A8047" s="134">
        <v>45861</v>
      </c>
      <c r="B8047" s="135">
        <f>YEAR(source[[#This Row],[report_date]])</f>
        <v>2025</v>
      </c>
      <c r="C8047" s="128">
        <f t="shared" si="373"/>
        <v>7</v>
      </c>
      <c r="D8047" s="136">
        <f t="shared" si="375"/>
        <v>30</v>
      </c>
      <c r="E8047" s="136">
        <f t="shared" si="374"/>
        <v>23</v>
      </c>
      <c r="F8047" s="128" t="s">
        <v>24</v>
      </c>
      <c r="G8047" s="128" t="str">
        <f>VLOOKUP(source[[#This Row],[lending_product_transform]],[3]Mapping!$B$4:$C$37,2,0)</f>
        <v>[Cake] - Cashloan</v>
      </c>
      <c r="H8047" s="128" t="str">
        <f>VLOOKUP(source[[#This Row],[lending_product_transform]],[3]Mapping!$B$3:$D$37,3,0)</f>
        <v>cashloan</v>
      </c>
      <c r="I8047" s="135">
        <v>20500000</v>
      </c>
    </row>
    <row r="8048" spans="1:9" x14ac:dyDescent="0.2">
      <c r="A8048" s="134">
        <v>45861</v>
      </c>
      <c r="B8048" s="135">
        <f>YEAR(source[[#This Row],[report_date]])</f>
        <v>2025</v>
      </c>
      <c r="C8048" s="128">
        <f t="shared" si="373"/>
        <v>7</v>
      </c>
      <c r="D8048" s="136">
        <f t="shared" si="375"/>
        <v>30</v>
      </c>
      <c r="E8048" s="136">
        <f t="shared" si="374"/>
        <v>23</v>
      </c>
      <c r="F8048" s="128" t="s">
        <v>24</v>
      </c>
      <c r="G8048" s="128" t="str">
        <f>VLOOKUP(source[[#This Row],[lending_product_transform]],[3]Mapping!$B$4:$C$37,2,0)</f>
        <v>[Cake] - Cashloan</v>
      </c>
      <c r="H8048" s="128" t="str">
        <f>VLOOKUP(source[[#This Row],[lending_product_transform]],[3]Mapping!$B$3:$D$37,3,0)</f>
        <v>cashloan</v>
      </c>
      <c r="I8048" s="135">
        <v>34000000</v>
      </c>
    </row>
    <row r="8049" spans="1:9" x14ac:dyDescent="0.2">
      <c r="A8049" s="134">
        <v>45861</v>
      </c>
      <c r="B8049" s="135">
        <f>YEAR(source[[#This Row],[report_date]])</f>
        <v>2025</v>
      </c>
      <c r="C8049" s="128">
        <f t="shared" si="373"/>
        <v>7</v>
      </c>
      <c r="D8049" s="136">
        <f t="shared" si="375"/>
        <v>30</v>
      </c>
      <c r="E8049" s="136">
        <f t="shared" si="374"/>
        <v>23</v>
      </c>
      <c r="F8049" s="128" t="s">
        <v>24</v>
      </c>
      <c r="G8049" s="128" t="str">
        <f>VLOOKUP(source[[#This Row],[lending_product_transform]],[3]Mapping!$B$4:$C$37,2,0)</f>
        <v>[Cake] - Cashloan</v>
      </c>
      <c r="H8049" s="128" t="str">
        <f>VLOOKUP(source[[#This Row],[lending_product_transform]],[3]Mapping!$B$3:$D$37,3,0)</f>
        <v>cashloan</v>
      </c>
      <c r="I8049" s="135">
        <v>9132480000</v>
      </c>
    </row>
    <row r="8050" spans="1:9" x14ac:dyDescent="0.2">
      <c r="A8050" s="134">
        <v>45861</v>
      </c>
      <c r="B8050" s="135">
        <f>YEAR(source[[#This Row],[report_date]])</f>
        <v>2025</v>
      </c>
      <c r="C8050" s="128">
        <f t="shared" si="373"/>
        <v>7</v>
      </c>
      <c r="D8050" s="136">
        <f t="shared" si="375"/>
        <v>30</v>
      </c>
      <c r="E8050" s="136">
        <f t="shared" si="374"/>
        <v>23</v>
      </c>
      <c r="F8050" s="128" t="s">
        <v>24</v>
      </c>
      <c r="G8050" s="128" t="str">
        <f>VLOOKUP(source[[#This Row],[lending_product_transform]],[3]Mapping!$B$4:$C$37,2,0)</f>
        <v>[Cake] - Cashloan</v>
      </c>
      <c r="H8050" s="128" t="str">
        <f>VLOOKUP(source[[#This Row],[lending_product_transform]],[3]Mapping!$B$3:$D$37,3,0)</f>
        <v>cashloan</v>
      </c>
      <c r="I8050" s="135">
        <v>10500000</v>
      </c>
    </row>
    <row r="8051" spans="1:9" x14ac:dyDescent="0.2">
      <c r="A8051" s="134">
        <v>45861</v>
      </c>
      <c r="B8051" s="135">
        <f>YEAR(source[[#This Row],[report_date]])</f>
        <v>2025</v>
      </c>
      <c r="C8051" s="128">
        <f t="shared" si="373"/>
        <v>7</v>
      </c>
      <c r="D8051" s="136">
        <f t="shared" si="375"/>
        <v>30</v>
      </c>
      <c r="E8051" s="136">
        <f t="shared" si="374"/>
        <v>23</v>
      </c>
      <c r="F8051" s="128" t="s">
        <v>24</v>
      </c>
      <c r="G8051" s="128" t="str">
        <f>VLOOKUP(source[[#This Row],[lending_product_transform]],[3]Mapping!$B$4:$C$37,2,0)</f>
        <v>[Cake] - Cashloan</v>
      </c>
      <c r="H8051" s="128" t="str">
        <f>VLOOKUP(source[[#This Row],[lending_product_transform]],[3]Mapping!$B$3:$D$37,3,0)</f>
        <v>cashloan</v>
      </c>
      <c r="I8051" s="135">
        <v>0</v>
      </c>
    </row>
    <row r="8052" spans="1:9" x14ac:dyDescent="0.2">
      <c r="A8052" s="134">
        <v>45861</v>
      </c>
      <c r="B8052" s="135">
        <f>YEAR(source[[#This Row],[report_date]])</f>
        <v>2025</v>
      </c>
      <c r="C8052" s="128">
        <f t="shared" si="373"/>
        <v>7</v>
      </c>
      <c r="D8052" s="136">
        <f t="shared" si="375"/>
        <v>30</v>
      </c>
      <c r="E8052" s="136">
        <f t="shared" si="374"/>
        <v>23</v>
      </c>
      <c r="F8052" s="128" t="s">
        <v>24</v>
      </c>
      <c r="G8052" s="128" t="str">
        <f>VLOOKUP(source[[#This Row],[lending_product_transform]],[3]Mapping!$B$4:$C$37,2,0)</f>
        <v>[Cake] - Cashloan</v>
      </c>
      <c r="H8052" s="128" t="str">
        <f>VLOOKUP(source[[#This Row],[lending_product_transform]],[3]Mapping!$B$3:$D$37,3,0)</f>
        <v>cashloan</v>
      </c>
      <c r="I8052" s="135">
        <v>263302000</v>
      </c>
    </row>
    <row r="8053" spans="1:9" x14ac:dyDescent="0.2">
      <c r="A8053" s="134">
        <v>45861</v>
      </c>
      <c r="B8053" s="135">
        <f>YEAR(source[[#This Row],[report_date]])</f>
        <v>2025</v>
      </c>
      <c r="C8053" s="128">
        <f t="shared" si="373"/>
        <v>7</v>
      </c>
      <c r="D8053" s="136">
        <f t="shared" si="375"/>
        <v>30</v>
      </c>
      <c r="E8053" s="136">
        <f t="shared" si="374"/>
        <v>23</v>
      </c>
      <c r="F8053" s="128" t="s">
        <v>24</v>
      </c>
      <c r="G8053" s="128" t="str">
        <f>VLOOKUP(source[[#This Row],[lending_product_transform]],[3]Mapping!$B$4:$C$37,2,0)</f>
        <v>[Cake] - Cashloan</v>
      </c>
      <c r="H8053" s="128" t="str">
        <f>VLOOKUP(source[[#This Row],[lending_product_transform]],[3]Mapping!$B$3:$D$37,3,0)</f>
        <v>cashloan</v>
      </c>
      <c r="I8053" s="135">
        <v>1668380000</v>
      </c>
    </row>
    <row r="8054" spans="1:9" x14ac:dyDescent="0.2">
      <c r="A8054" s="134">
        <v>45861</v>
      </c>
      <c r="B8054" s="135">
        <f>YEAR(source[[#This Row],[report_date]])</f>
        <v>2025</v>
      </c>
      <c r="C8054" s="128">
        <f t="shared" ref="C8054:C8117" si="376">MONTH(A8054)</f>
        <v>7</v>
      </c>
      <c r="D8054" s="136">
        <f t="shared" si="375"/>
        <v>30</v>
      </c>
      <c r="E8054" s="136">
        <f t="shared" ref="E8054:E8117" si="377">DAY(A8054)</f>
        <v>23</v>
      </c>
      <c r="F8054" s="128" t="s">
        <v>24</v>
      </c>
      <c r="G8054" s="128" t="str">
        <f>VLOOKUP(source[[#This Row],[lending_product_transform]],[3]Mapping!$B$4:$C$37,2,0)</f>
        <v>[Cake] - Cashloan</v>
      </c>
      <c r="H8054" s="128" t="str">
        <f>VLOOKUP(source[[#This Row],[lending_product_transform]],[3]Mapping!$B$3:$D$37,3,0)</f>
        <v>cashloan</v>
      </c>
      <c r="I8054" s="135">
        <v>1710880000</v>
      </c>
    </row>
    <row r="8055" spans="1:9" x14ac:dyDescent="0.2">
      <c r="A8055" s="134">
        <v>45861</v>
      </c>
      <c r="B8055" s="135">
        <f>YEAR(source[[#This Row],[report_date]])</f>
        <v>2025</v>
      </c>
      <c r="C8055" s="128">
        <f t="shared" si="376"/>
        <v>7</v>
      </c>
      <c r="D8055" s="136">
        <f t="shared" si="375"/>
        <v>30</v>
      </c>
      <c r="E8055" s="136">
        <f t="shared" si="377"/>
        <v>23</v>
      </c>
      <c r="F8055" s="128" t="s">
        <v>24</v>
      </c>
      <c r="G8055" s="128" t="str">
        <f>VLOOKUP(source[[#This Row],[lending_product_transform]],[3]Mapping!$B$4:$C$37,2,0)</f>
        <v>[Cake] - Cashloan</v>
      </c>
      <c r="H8055" s="128" t="str">
        <f>VLOOKUP(source[[#This Row],[lending_product_transform]],[3]Mapping!$B$3:$D$37,3,0)</f>
        <v>cashloan</v>
      </c>
      <c r="I8055" s="135">
        <v>219583016</v>
      </c>
    </row>
    <row r="8056" spans="1:9" x14ac:dyDescent="0.2">
      <c r="A8056" s="134">
        <v>45861</v>
      </c>
      <c r="B8056" s="135">
        <f>YEAR(source[[#This Row],[report_date]])</f>
        <v>2025</v>
      </c>
      <c r="C8056" s="128">
        <f t="shared" si="376"/>
        <v>7</v>
      </c>
      <c r="D8056" s="136">
        <f t="shared" si="375"/>
        <v>30</v>
      </c>
      <c r="E8056" s="136">
        <f t="shared" si="377"/>
        <v>23</v>
      </c>
      <c r="F8056" s="128" t="s">
        <v>24</v>
      </c>
      <c r="G8056" s="128" t="str">
        <f>VLOOKUP(source[[#This Row],[lending_product_transform]],[3]Mapping!$B$4:$C$37,2,0)</f>
        <v>[Cake] - Cashloan</v>
      </c>
      <c r="H8056" s="128" t="str">
        <f>VLOOKUP(source[[#This Row],[lending_product_transform]],[3]Mapping!$B$3:$D$37,3,0)</f>
        <v>cashloan</v>
      </c>
      <c r="I8056" s="135">
        <v>348766331</v>
      </c>
    </row>
    <row r="8057" spans="1:9" x14ac:dyDescent="0.2">
      <c r="A8057" s="134">
        <v>45861</v>
      </c>
      <c r="B8057" s="135">
        <f>YEAR(source[[#This Row],[report_date]])</f>
        <v>2025</v>
      </c>
      <c r="C8057" s="128">
        <f t="shared" si="376"/>
        <v>7</v>
      </c>
      <c r="D8057" s="136">
        <f t="shared" si="375"/>
        <v>30</v>
      </c>
      <c r="E8057" s="136">
        <f t="shared" si="377"/>
        <v>23</v>
      </c>
      <c r="F8057" s="128" t="s">
        <v>24</v>
      </c>
      <c r="G8057" s="128" t="str">
        <f>VLOOKUP(source[[#This Row],[lending_product_transform]],[3]Mapping!$B$4:$C$37,2,0)</f>
        <v>[Cake] - Cashloan</v>
      </c>
      <c r="H8057" s="128" t="str">
        <f>VLOOKUP(source[[#This Row],[lending_product_transform]],[3]Mapping!$B$3:$D$37,3,0)</f>
        <v>cashloan</v>
      </c>
      <c r="I8057" s="135">
        <v>2965676863</v>
      </c>
    </row>
    <row r="8058" spans="1:9" x14ac:dyDescent="0.2">
      <c r="A8058" s="134">
        <v>45862</v>
      </c>
      <c r="B8058" s="135">
        <f>YEAR(source[[#This Row],[report_date]])</f>
        <v>2025</v>
      </c>
      <c r="C8058" s="128">
        <f t="shared" si="376"/>
        <v>7</v>
      </c>
      <c r="D8058" s="136">
        <f t="shared" si="375"/>
        <v>30</v>
      </c>
      <c r="E8058" s="136">
        <f t="shared" si="377"/>
        <v>24</v>
      </c>
      <c r="F8058" s="128" t="s">
        <v>24</v>
      </c>
      <c r="G8058" s="128" t="str">
        <f>VLOOKUP(source[[#This Row],[lending_product_transform]],[3]Mapping!$B$4:$C$37,2,0)</f>
        <v>[Cake] - Cashloan</v>
      </c>
      <c r="H8058" s="128" t="str">
        <f>VLOOKUP(source[[#This Row],[lending_product_transform]],[3]Mapping!$B$3:$D$37,3,0)</f>
        <v>cashloan</v>
      </c>
      <c r="I8058" s="135">
        <v>0</v>
      </c>
    </row>
    <row r="8059" spans="1:9" x14ac:dyDescent="0.2">
      <c r="A8059" s="134">
        <v>45862</v>
      </c>
      <c r="B8059" s="135">
        <f>YEAR(source[[#This Row],[report_date]])</f>
        <v>2025</v>
      </c>
      <c r="C8059" s="128">
        <f t="shared" si="376"/>
        <v>7</v>
      </c>
      <c r="D8059" s="136">
        <f t="shared" si="375"/>
        <v>30</v>
      </c>
      <c r="E8059" s="136">
        <f t="shared" si="377"/>
        <v>24</v>
      </c>
      <c r="F8059" s="128" t="s">
        <v>24</v>
      </c>
      <c r="G8059" s="128" t="str">
        <f>VLOOKUP(source[[#This Row],[lending_product_transform]],[3]Mapping!$B$4:$C$37,2,0)</f>
        <v>[Cake] - Cashloan</v>
      </c>
      <c r="H8059" s="128" t="str">
        <f>VLOOKUP(source[[#This Row],[lending_product_transform]],[3]Mapping!$B$3:$D$37,3,0)</f>
        <v>cashloan</v>
      </c>
      <c r="I8059" s="135">
        <v>219791581</v>
      </c>
    </row>
    <row r="8060" spans="1:9" x14ac:dyDescent="0.2">
      <c r="A8060" s="134">
        <v>45862</v>
      </c>
      <c r="B8060" s="135">
        <f>YEAR(source[[#This Row],[report_date]])</f>
        <v>2025</v>
      </c>
      <c r="C8060" s="128">
        <f t="shared" si="376"/>
        <v>7</v>
      </c>
      <c r="D8060" s="136">
        <f t="shared" si="375"/>
        <v>30</v>
      </c>
      <c r="E8060" s="136">
        <f t="shared" si="377"/>
        <v>24</v>
      </c>
      <c r="F8060" s="128" t="s">
        <v>24</v>
      </c>
      <c r="G8060" s="128" t="str">
        <f>VLOOKUP(source[[#This Row],[lending_product_transform]],[3]Mapping!$B$4:$C$37,2,0)</f>
        <v>[Cake] - Cashloan</v>
      </c>
      <c r="H8060" s="128" t="str">
        <f>VLOOKUP(source[[#This Row],[lending_product_transform]],[3]Mapping!$B$3:$D$37,3,0)</f>
        <v>cashloan</v>
      </c>
      <c r="I8060" s="135">
        <v>30513420</v>
      </c>
    </row>
    <row r="8061" spans="1:9" x14ac:dyDescent="0.2">
      <c r="A8061" s="134">
        <v>45862</v>
      </c>
      <c r="B8061" s="135">
        <f>YEAR(source[[#This Row],[report_date]])</f>
        <v>2025</v>
      </c>
      <c r="C8061" s="128">
        <f t="shared" si="376"/>
        <v>7</v>
      </c>
      <c r="D8061" s="136">
        <f t="shared" si="375"/>
        <v>30</v>
      </c>
      <c r="E8061" s="136">
        <f t="shared" si="377"/>
        <v>24</v>
      </c>
      <c r="F8061" s="128" t="s">
        <v>24</v>
      </c>
      <c r="G8061" s="128" t="str">
        <f>VLOOKUP(source[[#This Row],[lending_product_transform]],[3]Mapping!$B$4:$C$37,2,0)</f>
        <v>[Cake] - Cashloan</v>
      </c>
      <c r="H8061" s="128" t="str">
        <f>VLOOKUP(source[[#This Row],[lending_product_transform]],[3]Mapping!$B$3:$D$37,3,0)</f>
        <v>cashloan</v>
      </c>
      <c r="I8061" s="135">
        <v>0</v>
      </c>
    </row>
    <row r="8062" spans="1:9" x14ac:dyDescent="0.2">
      <c r="A8062" s="134">
        <v>45862</v>
      </c>
      <c r="B8062" s="135">
        <f>YEAR(source[[#This Row],[report_date]])</f>
        <v>2025</v>
      </c>
      <c r="C8062" s="128">
        <f t="shared" si="376"/>
        <v>7</v>
      </c>
      <c r="D8062" s="136">
        <f t="shared" si="375"/>
        <v>30</v>
      </c>
      <c r="E8062" s="136">
        <f t="shared" si="377"/>
        <v>24</v>
      </c>
      <c r="F8062" s="128" t="s">
        <v>24</v>
      </c>
      <c r="G8062" s="128" t="str">
        <f>VLOOKUP(source[[#This Row],[lending_product_transform]],[3]Mapping!$B$4:$C$37,2,0)</f>
        <v>[Cake] - Cashloan</v>
      </c>
      <c r="H8062" s="128" t="str">
        <f>VLOOKUP(source[[#This Row],[lending_product_transform]],[3]Mapping!$B$3:$D$37,3,0)</f>
        <v>cashloan</v>
      </c>
      <c r="I8062" s="135">
        <v>3049274664</v>
      </c>
    </row>
    <row r="8063" spans="1:9" x14ac:dyDescent="0.2">
      <c r="A8063" s="134">
        <v>45862</v>
      </c>
      <c r="B8063" s="135">
        <f>YEAR(source[[#This Row],[report_date]])</f>
        <v>2025</v>
      </c>
      <c r="C8063" s="128">
        <f t="shared" si="376"/>
        <v>7</v>
      </c>
      <c r="D8063" s="136">
        <f t="shared" si="375"/>
        <v>30</v>
      </c>
      <c r="E8063" s="136">
        <f t="shared" si="377"/>
        <v>24</v>
      </c>
      <c r="F8063" s="128" t="s">
        <v>24</v>
      </c>
      <c r="G8063" s="128" t="str">
        <f>VLOOKUP(source[[#This Row],[lending_product_transform]],[3]Mapping!$B$4:$C$37,2,0)</f>
        <v>[Cake] - Cashloan</v>
      </c>
      <c r="H8063" s="128" t="str">
        <f>VLOOKUP(source[[#This Row],[lending_product_transform]],[3]Mapping!$B$3:$D$37,3,0)</f>
        <v>cashloan</v>
      </c>
      <c r="I8063" s="135">
        <v>24000000</v>
      </c>
    </row>
    <row r="8064" spans="1:9" x14ac:dyDescent="0.2">
      <c r="A8064" s="134">
        <v>45862</v>
      </c>
      <c r="B8064" s="135">
        <f>YEAR(source[[#This Row],[report_date]])</f>
        <v>2025</v>
      </c>
      <c r="C8064" s="128">
        <f t="shared" si="376"/>
        <v>7</v>
      </c>
      <c r="D8064" s="136">
        <f t="shared" si="375"/>
        <v>30</v>
      </c>
      <c r="E8064" s="136">
        <f t="shared" si="377"/>
        <v>24</v>
      </c>
      <c r="F8064" s="128" t="s">
        <v>24</v>
      </c>
      <c r="G8064" s="128" t="str">
        <f>VLOOKUP(source[[#This Row],[lending_product_transform]],[3]Mapping!$B$4:$C$37,2,0)</f>
        <v>[Cake] - Cashloan</v>
      </c>
      <c r="H8064" s="128" t="str">
        <f>VLOOKUP(source[[#This Row],[lending_product_transform]],[3]Mapping!$B$3:$D$37,3,0)</f>
        <v>cashloan</v>
      </c>
      <c r="I8064" s="135">
        <v>7348320000</v>
      </c>
    </row>
    <row r="8065" spans="1:9" x14ac:dyDescent="0.2">
      <c r="A8065" s="134">
        <v>45862</v>
      </c>
      <c r="B8065" s="135">
        <f>YEAR(source[[#This Row],[report_date]])</f>
        <v>2025</v>
      </c>
      <c r="C8065" s="128">
        <f t="shared" si="376"/>
        <v>7</v>
      </c>
      <c r="D8065" s="136">
        <f t="shared" si="375"/>
        <v>30</v>
      </c>
      <c r="E8065" s="136">
        <f t="shared" si="377"/>
        <v>24</v>
      </c>
      <c r="F8065" s="128" t="s">
        <v>24</v>
      </c>
      <c r="G8065" s="128" t="str">
        <f>VLOOKUP(source[[#This Row],[lending_product_transform]],[3]Mapping!$B$4:$C$37,2,0)</f>
        <v>[Cake] - Cashloan</v>
      </c>
      <c r="H8065" s="128" t="str">
        <f>VLOOKUP(source[[#This Row],[lending_product_transform]],[3]Mapping!$B$3:$D$37,3,0)</f>
        <v>cashloan</v>
      </c>
      <c r="I8065" s="135">
        <v>42000000</v>
      </c>
    </row>
    <row r="8066" spans="1:9" x14ac:dyDescent="0.2">
      <c r="A8066" s="134">
        <v>45862</v>
      </c>
      <c r="B8066" s="135">
        <f>YEAR(source[[#This Row],[report_date]])</f>
        <v>2025</v>
      </c>
      <c r="C8066" s="128">
        <f t="shared" si="376"/>
        <v>7</v>
      </c>
      <c r="D8066" s="136">
        <f t="shared" si="375"/>
        <v>30</v>
      </c>
      <c r="E8066" s="136">
        <f t="shared" si="377"/>
        <v>24</v>
      </c>
      <c r="F8066" s="128" t="s">
        <v>24</v>
      </c>
      <c r="G8066" s="128" t="str">
        <f>VLOOKUP(source[[#This Row],[lending_product_transform]],[3]Mapping!$B$4:$C$37,2,0)</f>
        <v>[Cake] - Cashloan</v>
      </c>
      <c r="H8066" s="128" t="str">
        <f>VLOOKUP(source[[#This Row],[lending_product_transform]],[3]Mapping!$B$3:$D$37,3,0)</f>
        <v>cashloan</v>
      </c>
      <c r="I8066" s="135">
        <v>15750000</v>
      </c>
    </row>
    <row r="8067" spans="1:9" x14ac:dyDescent="0.2">
      <c r="A8067" s="134">
        <v>45862</v>
      </c>
      <c r="B8067" s="135">
        <f>YEAR(source[[#This Row],[report_date]])</f>
        <v>2025</v>
      </c>
      <c r="C8067" s="128">
        <f t="shared" si="376"/>
        <v>7</v>
      </c>
      <c r="D8067" s="136">
        <f t="shared" ref="D8067:D8130" si="378">WEEKNUM(A8067,2)</f>
        <v>30</v>
      </c>
      <c r="E8067" s="136">
        <f t="shared" si="377"/>
        <v>24</v>
      </c>
      <c r="F8067" s="128" t="s">
        <v>24</v>
      </c>
      <c r="G8067" s="128" t="str">
        <f>VLOOKUP(source[[#This Row],[lending_product_transform]],[3]Mapping!$B$4:$C$37,2,0)</f>
        <v>[Cake] - Cashloan</v>
      </c>
      <c r="H8067" s="128" t="str">
        <f>VLOOKUP(source[[#This Row],[lending_product_transform]],[3]Mapping!$B$3:$D$37,3,0)</f>
        <v>cashloan</v>
      </c>
      <c r="I8067" s="135">
        <v>504940000</v>
      </c>
    </row>
    <row r="8068" spans="1:9" x14ac:dyDescent="0.2">
      <c r="A8068" s="134">
        <v>45862</v>
      </c>
      <c r="B8068" s="135">
        <f>YEAR(source[[#This Row],[report_date]])</f>
        <v>2025</v>
      </c>
      <c r="C8068" s="128">
        <f t="shared" si="376"/>
        <v>7</v>
      </c>
      <c r="D8068" s="136">
        <f t="shared" si="378"/>
        <v>30</v>
      </c>
      <c r="E8068" s="136">
        <f t="shared" si="377"/>
        <v>24</v>
      </c>
      <c r="F8068" s="128" t="s">
        <v>24</v>
      </c>
      <c r="G8068" s="128" t="str">
        <f>VLOOKUP(source[[#This Row],[lending_product_transform]],[3]Mapping!$B$4:$C$37,2,0)</f>
        <v>[Cake] - Cashloan</v>
      </c>
      <c r="H8068" s="128" t="str">
        <f>VLOOKUP(source[[#This Row],[lending_product_transform]],[3]Mapping!$B$3:$D$37,3,0)</f>
        <v>cashloan</v>
      </c>
      <c r="I8068" s="135">
        <v>380776000</v>
      </c>
    </row>
    <row r="8069" spans="1:9" x14ac:dyDescent="0.2">
      <c r="A8069" s="134">
        <v>45862</v>
      </c>
      <c r="B8069" s="135">
        <f>YEAR(source[[#This Row],[report_date]])</f>
        <v>2025</v>
      </c>
      <c r="C8069" s="128">
        <f t="shared" si="376"/>
        <v>7</v>
      </c>
      <c r="D8069" s="136">
        <f t="shared" si="378"/>
        <v>30</v>
      </c>
      <c r="E8069" s="136">
        <f t="shared" si="377"/>
        <v>24</v>
      </c>
      <c r="F8069" s="128" t="s">
        <v>24</v>
      </c>
      <c r="G8069" s="128" t="str">
        <f>VLOOKUP(source[[#This Row],[lending_product_transform]],[3]Mapping!$B$4:$C$37,2,0)</f>
        <v>[Cake] - Cashloan</v>
      </c>
      <c r="H8069" s="128" t="str">
        <f>VLOOKUP(source[[#This Row],[lending_product_transform]],[3]Mapping!$B$3:$D$37,3,0)</f>
        <v>cashloan</v>
      </c>
      <c r="I8069" s="135">
        <v>1954410000</v>
      </c>
    </row>
    <row r="8070" spans="1:9" x14ac:dyDescent="0.2">
      <c r="A8070" s="134">
        <v>45862</v>
      </c>
      <c r="B8070" s="135">
        <f>YEAR(source[[#This Row],[report_date]])</f>
        <v>2025</v>
      </c>
      <c r="C8070" s="128">
        <f t="shared" si="376"/>
        <v>7</v>
      </c>
      <c r="D8070" s="136">
        <f t="shared" si="378"/>
        <v>30</v>
      </c>
      <c r="E8070" s="136">
        <f t="shared" si="377"/>
        <v>24</v>
      </c>
      <c r="F8070" s="128" t="s">
        <v>24</v>
      </c>
      <c r="G8070" s="128" t="str">
        <f>VLOOKUP(source[[#This Row],[lending_product_transform]],[3]Mapping!$B$4:$C$37,2,0)</f>
        <v>[Cake] - Cashloan</v>
      </c>
      <c r="H8070" s="128" t="str">
        <f>VLOOKUP(source[[#This Row],[lending_product_transform]],[3]Mapping!$B$3:$D$37,3,0)</f>
        <v>cashloan</v>
      </c>
      <c r="I8070" s="135">
        <v>1448600000</v>
      </c>
    </row>
    <row r="8071" spans="1:9" x14ac:dyDescent="0.2">
      <c r="A8071" s="134">
        <v>45862</v>
      </c>
      <c r="B8071" s="135">
        <f>YEAR(source[[#This Row],[report_date]])</f>
        <v>2025</v>
      </c>
      <c r="C8071" s="128">
        <f t="shared" si="376"/>
        <v>7</v>
      </c>
      <c r="D8071" s="136">
        <f t="shared" si="378"/>
        <v>30</v>
      </c>
      <c r="E8071" s="136">
        <f t="shared" si="377"/>
        <v>24</v>
      </c>
      <c r="F8071" s="128" t="s">
        <v>24</v>
      </c>
      <c r="G8071" s="128" t="str">
        <f>VLOOKUP(source[[#This Row],[lending_product_transform]],[3]Mapping!$B$4:$C$37,2,0)</f>
        <v>[Cake] - Cashloan</v>
      </c>
      <c r="H8071" s="128" t="str">
        <f>VLOOKUP(source[[#This Row],[lending_product_transform]],[3]Mapping!$B$3:$D$37,3,0)</f>
        <v>cashloan</v>
      </c>
      <c r="I8071" s="135">
        <v>251543641</v>
      </c>
    </row>
    <row r="8072" spans="1:9" x14ac:dyDescent="0.2">
      <c r="A8072" s="134">
        <v>45862</v>
      </c>
      <c r="B8072" s="135">
        <f>YEAR(source[[#This Row],[report_date]])</f>
        <v>2025</v>
      </c>
      <c r="C8072" s="128">
        <f t="shared" si="376"/>
        <v>7</v>
      </c>
      <c r="D8072" s="136">
        <f t="shared" si="378"/>
        <v>30</v>
      </c>
      <c r="E8072" s="136">
        <f t="shared" si="377"/>
        <v>24</v>
      </c>
      <c r="F8072" s="128" t="s">
        <v>24</v>
      </c>
      <c r="G8072" s="128" t="str">
        <f>VLOOKUP(source[[#This Row],[lending_product_transform]],[3]Mapping!$B$4:$C$37,2,0)</f>
        <v>[Cake] - Cashloan</v>
      </c>
      <c r="H8072" s="128" t="str">
        <f>VLOOKUP(source[[#This Row],[lending_product_transform]],[3]Mapping!$B$3:$D$37,3,0)</f>
        <v>cashloan</v>
      </c>
      <c r="I8072" s="135">
        <v>0</v>
      </c>
    </row>
    <row r="8073" spans="1:9" x14ac:dyDescent="0.2">
      <c r="A8073" s="134">
        <v>45862</v>
      </c>
      <c r="B8073" s="135">
        <f>YEAR(source[[#This Row],[report_date]])</f>
        <v>2025</v>
      </c>
      <c r="C8073" s="128">
        <f t="shared" si="376"/>
        <v>7</v>
      </c>
      <c r="D8073" s="136">
        <f t="shared" si="378"/>
        <v>30</v>
      </c>
      <c r="E8073" s="136">
        <f t="shared" si="377"/>
        <v>24</v>
      </c>
      <c r="F8073" s="128" t="s">
        <v>24</v>
      </c>
      <c r="G8073" s="128" t="str">
        <f>VLOOKUP(source[[#This Row],[lending_product_transform]],[3]Mapping!$B$4:$C$37,2,0)</f>
        <v>[Cake] - Cashloan</v>
      </c>
      <c r="H8073" s="128" t="str">
        <f>VLOOKUP(source[[#This Row],[lending_product_transform]],[3]Mapping!$B$3:$D$37,3,0)</f>
        <v>cashloan</v>
      </c>
      <c r="I8073" s="135">
        <v>359805824</v>
      </c>
    </row>
    <row r="8074" spans="1:9" x14ac:dyDescent="0.2">
      <c r="A8074" s="134">
        <v>45862</v>
      </c>
      <c r="B8074" s="135">
        <f>YEAR(source[[#This Row],[report_date]])</f>
        <v>2025</v>
      </c>
      <c r="C8074" s="128">
        <f t="shared" si="376"/>
        <v>7</v>
      </c>
      <c r="D8074" s="136">
        <f t="shared" si="378"/>
        <v>30</v>
      </c>
      <c r="E8074" s="136">
        <f t="shared" si="377"/>
        <v>24</v>
      </c>
      <c r="F8074" s="128" t="s">
        <v>24</v>
      </c>
      <c r="G8074" s="128" t="str">
        <f>VLOOKUP(source[[#This Row],[lending_product_transform]],[3]Mapping!$B$4:$C$37,2,0)</f>
        <v>[Cake] - Cashloan</v>
      </c>
      <c r="H8074" s="128" t="str">
        <f>VLOOKUP(source[[#This Row],[lending_product_transform]],[3]Mapping!$B$3:$D$37,3,0)</f>
        <v>cashloan</v>
      </c>
      <c r="I8074" s="135">
        <v>12134340000</v>
      </c>
    </row>
    <row r="8075" spans="1:9" x14ac:dyDescent="0.2">
      <c r="A8075" s="134">
        <v>45862</v>
      </c>
      <c r="B8075" s="135">
        <f>YEAR(source[[#This Row],[report_date]])</f>
        <v>2025</v>
      </c>
      <c r="C8075" s="128">
        <f t="shared" si="376"/>
        <v>7</v>
      </c>
      <c r="D8075" s="136">
        <f t="shared" si="378"/>
        <v>30</v>
      </c>
      <c r="E8075" s="136">
        <f t="shared" si="377"/>
        <v>24</v>
      </c>
      <c r="F8075" s="128" t="s">
        <v>24</v>
      </c>
      <c r="G8075" s="128" t="str">
        <f>VLOOKUP(source[[#This Row],[lending_product_transform]],[3]Mapping!$B$4:$C$37,2,0)</f>
        <v>[Cake] - Cashloan</v>
      </c>
      <c r="H8075" s="128" t="str">
        <f>VLOOKUP(source[[#This Row],[lending_product_transform]],[3]Mapping!$B$3:$D$37,3,0)</f>
        <v>cashloan</v>
      </c>
      <c r="I8075" s="135">
        <v>5293080000</v>
      </c>
    </row>
    <row r="8076" spans="1:9" x14ac:dyDescent="0.2">
      <c r="A8076" s="134">
        <v>45862</v>
      </c>
      <c r="B8076" s="135">
        <f>YEAR(source[[#This Row],[report_date]])</f>
        <v>2025</v>
      </c>
      <c r="C8076" s="128">
        <f t="shared" si="376"/>
        <v>7</v>
      </c>
      <c r="D8076" s="136">
        <f t="shared" si="378"/>
        <v>30</v>
      </c>
      <c r="E8076" s="136">
        <f t="shared" si="377"/>
        <v>24</v>
      </c>
      <c r="F8076" s="128" t="s">
        <v>24</v>
      </c>
      <c r="G8076" s="128" t="str">
        <f>VLOOKUP(source[[#This Row],[lending_product_transform]],[3]Mapping!$B$4:$C$37,2,0)</f>
        <v>[Cake] - Cashloan</v>
      </c>
      <c r="H8076" s="128" t="str">
        <f>VLOOKUP(source[[#This Row],[lending_product_transform]],[3]Mapping!$B$3:$D$37,3,0)</f>
        <v>cashloan</v>
      </c>
      <c r="I8076" s="135">
        <v>11256620000</v>
      </c>
    </row>
    <row r="8077" spans="1:9" x14ac:dyDescent="0.2">
      <c r="A8077" s="134">
        <v>45863</v>
      </c>
      <c r="B8077" s="135">
        <f>YEAR(source[[#This Row],[report_date]])</f>
        <v>2025</v>
      </c>
      <c r="C8077" s="128">
        <f t="shared" si="376"/>
        <v>7</v>
      </c>
      <c r="D8077" s="136">
        <f t="shared" si="378"/>
        <v>30</v>
      </c>
      <c r="E8077" s="136">
        <f t="shared" si="377"/>
        <v>25</v>
      </c>
      <c r="F8077" s="128" t="s">
        <v>24</v>
      </c>
      <c r="G8077" s="128" t="str">
        <f>VLOOKUP(source[[#This Row],[lending_product_transform]],[3]Mapping!$B$4:$C$37,2,0)</f>
        <v>[Cake] - Cashloan</v>
      </c>
      <c r="H8077" s="128" t="str">
        <f>VLOOKUP(source[[#This Row],[lending_product_transform]],[3]Mapping!$B$3:$D$37,3,0)</f>
        <v>cashloan</v>
      </c>
      <c r="I8077" s="135">
        <v>5129568000</v>
      </c>
    </row>
    <row r="8078" spans="1:9" x14ac:dyDescent="0.2">
      <c r="A8078" s="134">
        <v>45863</v>
      </c>
      <c r="B8078" s="135">
        <f>YEAR(source[[#This Row],[report_date]])</f>
        <v>2025</v>
      </c>
      <c r="C8078" s="128">
        <f t="shared" si="376"/>
        <v>7</v>
      </c>
      <c r="D8078" s="136">
        <f t="shared" si="378"/>
        <v>30</v>
      </c>
      <c r="E8078" s="136">
        <f t="shared" si="377"/>
        <v>25</v>
      </c>
      <c r="F8078" s="128" t="s">
        <v>24</v>
      </c>
      <c r="G8078" s="128" t="str">
        <f>VLOOKUP(source[[#This Row],[lending_product_transform]],[3]Mapping!$B$4:$C$37,2,0)</f>
        <v>[Cake] - Cashloan</v>
      </c>
      <c r="H8078" s="128" t="str">
        <f>VLOOKUP(source[[#This Row],[lending_product_transform]],[3]Mapping!$B$3:$D$37,3,0)</f>
        <v>cashloan</v>
      </c>
      <c r="I8078" s="135">
        <v>367605512</v>
      </c>
    </row>
    <row r="8079" spans="1:9" x14ac:dyDescent="0.2">
      <c r="A8079" s="134">
        <v>45863</v>
      </c>
      <c r="B8079" s="135">
        <f>YEAR(source[[#This Row],[report_date]])</f>
        <v>2025</v>
      </c>
      <c r="C8079" s="128">
        <f t="shared" si="376"/>
        <v>7</v>
      </c>
      <c r="D8079" s="136">
        <f t="shared" si="378"/>
        <v>30</v>
      </c>
      <c r="E8079" s="136">
        <f t="shared" si="377"/>
        <v>25</v>
      </c>
      <c r="F8079" s="128" t="s">
        <v>24</v>
      </c>
      <c r="G8079" s="128" t="str">
        <f>VLOOKUP(source[[#This Row],[lending_product_transform]],[3]Mapping!$B$4:$C$37,2,0)</f>
        <v>[Cake] - Cashloan</v>
      </c>
      <c r="H8079" s="128" t="str">
        <f>VLOOKUP(source[[#This Row],[lending_product_transform]],[3]Mapping!$B$3:$D$37,3,0)</f>
        <v>cashloan</v>
      </c>
      <c r="I8079" s="135">
        <v>11972720000</v>
      </c>
    </row>
    <row r="8080" spans="1:9" x14ac:dyDescent="0.2">
      <c r="A8080" s="134">
        <v>45863</v>
      </c>
      <c r="B8080" s="135">
        <f>YEAR(source[[#This Row],[report_date]])</f>
        <v>2025</v>
      </c>
      <c r="C8080" s="128">
        <f t="shared" si="376"/>
        <v>7</v>
      </c>
      <c r="D8080" s="136">
        <f t="shared" si="378"/>
        <v>30</v>
      </c>
      <c r="E8080" s="136">
        <f t="shared" si="377"/>
        <v>25</v>
      </c>
      <c r="F8080" s="128" t="s">
        <v>24</v>
      </c>
      <c r="G8080" s="128" t="str">
        <f>VLOOKUP(source[[#This Row],[lending_product_transform]],[3]Mapping!$B$4:$C$37,2,0)</f>
        <v>[Cake] - Cashloan</v>
      </c>
      <c r="H8080" s="128" t="str">
        <f>VLOOKUP(source[[#This Row],[lending_product_transform]],[3]Mapping!$B$3:$D$37,3,0)</f>
        <v>cashloan</v>
      </c>
      <c r="I8080" s="135">
        <v>3407163743</v>
      </c>
    </row>
    <row r="8081" spans="1:9" x14ac:dyDescent="0.2">
      <c r="A8081" s="134">
        <v>45863</v>
      </c>
      <c r="B8081" s="135">
        <f>YEAR(source[[#This Row],[report_date]])</f>
        <v>2025</v>
      </c>
      <c r="C8081" s="128">
        <f t="shared" si="376"/>
        <v>7</v>
      </c>
      <c r="D8081" s="136">
        <f t="shared" si="378"/>
        <v>30</v>
      </c>
      <c r="E8081" s="136">
        <f t="shared" si="377"/>
        <v>25</v>
      </c>
      <c r="F8081" s="128" t="s">
        <v>24</v>
      </c>
      <c r="G8081" s="128" t="str">
        <f>VLOOKUP(source[[#This Row],[lending_product_transform]],[3]Mapping!$B$4:$C$37,2,0)</f>
        <v>[Cake] - Cashloan</v>
      </c>
      <c r="H8081" s="128" t="str">
        <f>VLOOKUP(source[[#This Row],[lending_product_transform]],[3]Mapping!$B$3:$D$37,3,0)</f>
        <v>cashloan</v>
      </c>
      <c r="I8081" s="135">
        <v>221218234</v>
      </c>
    </row>
    <row r="8082" spans="1:9" x14ac:dyDescent="0.2">
      <c r="A8082" s="134">
        <v>45863</v>
      </c>
      <c r="B8082" s="135">
        <f>YEAR(source[[#This Row],[report_date]])</f>
        <v>2025</v>
      </c>
      <c r="C8082" s="128">
        <f t="shared" si="376"/>
        <v>7</v>
      </c>
      <c r="D8082" s="136">
        <f t="shared" si="378"/>
        <v>30</v>
      </c>
      <c r="E8082" s="136">
        <f t="shared" si="377"/>
        <v>25</v>
      </c>
      <c r="F8082" s="128" t="s">
        <v>24</v>
      </c>
      <c r="G8082" s="128" t="str">
        <f>VLOOKUP(source[[#This Row],[lending_product_transform]],[3]Mapping!$B$4:$C$37,2,0)</f>
        <v>[Cake] - Cashloan</v>
      </c>
      <c r="H8082" s="128" t="str">
        <f>VLOOKUP(source[[#This Row],[lending_product_transform]],[3]Mapping!$B$3:$D$37,3,0)</f>
        <v>cashloan</v>
      </c>
      <c r="I8082" s="135">
        <v>284215191</v>
      </c>
    </row>
    <row r="8083" spans="1:9" x14ac:dyDescent="0.2">
      <c r="A8083" s="134">
        <v>45863</v>
      </c>
      <c r="B8083" s="135">
        <f>YEAR(source[[#This Row],[report_date]])</f>
        <v>2025</v>
      </c>
      <c r="C8083" s="128">
        <f t="shared" si="376"/>
        <v>7</v>
      </c>
      <c r="D8083" s="136">
        <f t="shared" si="378"/>
        <v>30</v>
      </c>
      <c r="E8083" s="136">
        <f t="shared" si="377"/>
        <v>25</v>
      </c>
      <c r="F8083" s="128" t="s">
        <v>24</v>
      </c>
      <c r="G8083" s="128" t="str">
        <f>VLOOKUP(source[[#This Row],[lending_product_transform]],[3]Mapping!$B$4:$C$37,2,0)</f>
        <v>[Cake] - Cashloan</v>
      </c>
      <c r="H8083" s="128" t="str">
        <f>VLOOKUP(source[[#This Row],[lending_product_transform]],[3]Mapping!$B$3:$D$37,3,0)</f>
        <v>cashloan</v>
      </c>
      <c r="I8083" s="135">
        <v>0</v>
      </c>
    </row>
    <row r="8084" spans="1:9" x14ac:dyDescent="0.2">
      <c r="A8084" s="134">
        <v>45863</v>
      </c>
      <c r="B8084" s="135">
        <f>YEAR(source[[#This Row],[report_date]])</f>
        <v>2025</v>
      </c>
      <c r="C8084" s="128">
        <f t="shared" si="376"/>
        <v>7</v>
      </c>
      <c r="D8084" s="136">
        <f t="shared" si="378"/>
        <v>30</v>
      </c>
      <c r="E8084" s="136">
        <f t="shared" si="377"/>
        <v>25</v>
      </c>
      <c r="F8084" s="128" t="s">
        <v>24</v>
      </c>
      <c r="G8084" s="128" t="str">
        <f>VLOOKUP(source[[#This Row],[lending_product_transform]],[3]Mapping!$B$4:$C$37,2,0)</f>
        <v>[Cake] - Cashloan</v>
      </c>
      <c r="H8084" s="128" t="str">
        <f>VLOOKUP(source[[#This Row],[lending_product_transform]],[3]Mapping!$B$3:$D$37,3,0)</f>
        <v>cashloan</v>
      </c>
      <c r="I8084" s="135">
        <v>12088410000</v>
      </c>
    </row>
    <row r="8085" spans="1:9" x14ac:dyDescent="0.2">
      <c r="A8085" s="134">
        <v>45863</v>
      </c>
      <c r="B8085" s="135">
        <f>YEAR(source[[#This Row],[report_date]])</f>
        <v>2025</v>
      </c>
      <c r="C8085" s="128">
        <f t="shared" si="376"/>
        <v>7</v>
      </c>
      <c r="D8085" s="136">
        <f t="shared" si="378"/>
        <v>30</v>
      </c>
      <c r="E8085" s="136">
        <f t="shared" si="377"/>
        <v>25</v>
      </c>
      <c r="F8085" s="128" t="s">
        <v>24</v>
      </c>
      <c r="G8085" s="128" t="str">
        <f>VLOOKUP(source[[#This Row],[lending_product_transform]],[3]Mapping!$B$4:$C$37,2,0)</f>
        <v>[Cake] - Cashloan</v>
      </c>
      <c r="H8085" s="128" t="str">
        <f>VLOOKUP(source[[#This Row],[lending_product_transform]],[3]Mapping!$B$3:$D$37,3,0)</f>
        <v>cashloan</v>
      </c>
      <c r="I8085" s="135">
        <v>31500000</v>
      </c>
    </row>
    <row r="8086" spans="1:9" x14ac:dyDescent="0.2">
      <c r="A8086" s="134">
        <v>45863</v>
      </c>
      <c r="B8086" s="135">
        <f>YEAR(source[[#This Row],[report_date]])</f>
        <v>2025</v>
      </c>
      <c r="C8086" s="128">
        <f t="shared" si="376"/>
        <v>7</v>
      </c>
      <c r="D8086" s="136">
        <f t="shared" si="378"/>
        <v>30</v>
      </c>
      <c r="E8086" s="136">
        <f t="shared" si="377"/>
        <v>25</v>
      </c>
      <c r="F8086" s="128" t="s">
        <v>24</v>
      </c>
      <c r="G8086" s="128" t="str">
        <f>VLOOKUP(source[[#This Row],[lending_product_transform]],[3]Mapping!$B$4:$C$37,2,0)</f>
        <v>[Cake] - Cashloan</v>
      </c>
      <c r="H8086" s="128" t="str">
        <f>VLOOKUP(source[[#This Row],[lending_product_transform]],[3]Mapping!$B$3:$D$37,3,0)</f>
        <v>cashloan</v>
      </c>
      <c r="I8086" s="135">
        <v>13826754</v>
      </c>
    </row>
    <row r="8087" spans="1:9" x14ac:dyDescent="0.2">
      <c r="A8087" s="134">
        <v>45863</v>
      </c>
      <c r="B8087" s="135">
        <f>YEAR(source[[#This Row],[report_date]])</f>
        <v>2025</v>
      </c>
      <c r="C8087" s="128">
        <f t="shared" si="376"/>
        <v>7</v>
      </c>
      <c r="D8087" s="136">
        <f t="shared" si="378"/>
        <v>30</v>
      </c>
      <c r="E8087" s="136">
        <f t="shared" si="377"/>
        <v>25</v>
      </c>
      <c r="F8087" s="128" t="s">
        <v>24</v>
      </c>
      <c r="G8087" s="128" t="str">
        <f>VLOOKUP(source[[#This Row],[lending_product_transform]],[3]Mapping!$B$4:$C$37,2,0)</f>
        <v>[Cake] - Cashloan</v>
      </c>
      <c r="H8087" s="128" t="str">
        <f>VLOOKUP(source[[#This Row],[lending_product_transform]],[3]Mapping!$B$3:$D$37,3,0)</f>
        <v>cashloan</v>
      </c>
      <c r="I8087" s="135">
        <v>0</v>
      </c>
    </row>
    <row r="8088" spans="1:9" x14ac:dyDescent="0.2">
      <c r="A8088" s="134">
        <v>45863</v>
      </c>
      <c r="B8088" s="135">
        <f>YEAR(source[[#This Row],[report_date]])</f>
        <v>2025</v>
      </c>
      <c r="C8088" s="128">
        <f t="shared" si="376"/>
        <v>7</v>
      </c>
      <c r="D8088" s="136">
        <f t="shared" si="378"/>
        <v>30</v>
      </c>
      <c r="E8088" s="136">
        <f t="shared" si="377"/>
        <v>25</v>
      </c>
      <c r="F8088" s="128" t="s">
        <v>24</v>
      </c>
      <c r="G8088" s="128" t="str">
        <f>VLOOKUP(source[[#This Row],[lending_product_transform]],[3]Mapping!$B$4:$C$37,2,0)</f>
        <v>[Cake] - Cashloan</v>
      </c>
      <c r="H8088" s="128" t="str">
        <f>VLOOKUP(source[[#This Row],[lending_product_transform]],[3]Mapping!$B$3:$D$37,3,0)</f>
        <v>cashloan</v>
      </c>
      <c r="I8088" s="135">
        <v>48300000</v>
      </c>
    </row>
    <row r="8089" spans="1:9" x14ac:dyDescent="0.2">
      <c r="A8089" s="134">
        <v>45863</v>
      </c>
      <c r="B8089" s="135">
        <f>YEAR(source[[#This Row],[report_date]])</f>
        <v>2025</v>
      </c>
      <c r="C8089" s="128">
        <f t="shared" si="376"/>
        <v>7</v>
      </c>
      <c r="D8089" s="136">
        <f t="shared" si="378"/>
        <v>30</v>
      </c>
      <c r="E8089" s="136">
        <f t="shared" si="377"/>
        <v>25</v>
      </c>
      <c r="F8089" s="128" t="s">
        <v>24</v>
      </c>
      <c r="G8089" s="128" t="str">
        <f>VLOOKUP(source[[#This Row],[lending_product_transform]],[3]Mapping!$B$4:$C$37,2,0)</f>
        <v>[Cake] - Cashloan</v>
      </c>
      <c r="H8089" s="128" t="str">
        <f>VLOOKUP(source[[#This Row],[lending_product_transform]],[3]Mapping!$B$3:$D$37,3,0)</f>
        <v>cashloan</v>
      </c>
      <c r="I8089" s="135">
        <v>44000000</v>
      </c>
    </row>
    <row r="8090" spans="1:9" x14ac:dyDescent="0.2">
      <c r="A8090" s="134">
        <v>45863</v>
      </c>
      <c r="B8090" s="135">
        <f>YEAR(source[[#This Row],[report_date]])</f>
        <v>2025</v>
      </c>
      <c r="C8090" s="128">
        <f t="shared" si="376"/>
        <v>7</v>
      </c>
      <c r="D8090" s="136">
        <f t="shared" si="378"/>
        <v>30</v>
      </c>
      <c r="E8090" s="136">
        <f t="shared" si="377"/>
        <v>25</v>
      </c>
      <c r="F8090" s="128" t="s">
        <v>24</v>
      </c>
      <c r="G8090" s="128" t="str">
        <f>VLOOKUP(source[[#This Row],[lending_product_transform]],[3]Mapping!$B$4:$C$37,2,0)</f>
        <v>[Cake] - Cashloan</v>
      </c>
      <c r="H8090" s="128" t="str">
        <f>VLOOKUP(source[[#This Row],[lending_product_transform]],[3]Mapping!$B$3:$D$37,3,0)</f>
        <v>cashloan</v>
      </c>
      <c r="I8090" s="135">
        <v>6099840000</v>
      </c>
    </row>
    <row r="8091" spans="1:9" x14ac:dyDescent="0.2">
      <c r="A8091" s="134">
        <v>45863</v>
      </c>
      <c r="B8091" s="135">
        <f>YEAR(source[[#This Row],[report_date]])</f>
        <v>2025</v>
      </c>
      <c r="C8091" s="128">
        <f t="shared" si="376"/>
        <v>7</v>
      </c>
      <c r="D8091" s="136">
        <f t="shared" si="378"/>
        <v>30</v>
      </c>
      <c r="E8091" s="136">
        <f t="shared" si="377"/>
        <v>25</v>
      </c>
      <c r="F8091" s="128" t="s">
        <v>24</v>
      </c>
      <c r="G8091" s="128" t="str">
        <f>VLOOKUP(source[[#This Row],[lending_product_transform]],[3]Mapping!$B$4:$C$37,2,0)</f>
        <v>[Cake] - Cashloan</v>
      </c>
      <c r="H8091" s="128" t="str">
        <f>VLOOKUP(source[[#This Row],[lending_product_transform]],[3]Mapping!$B$3:$D$37,3,0)</f>
        <v>cashloan</v>
      </c>
      <c r="I8091" s="135">
        <v>0</v>
      </c>
    </row>
    <row r="8092" spans="1:9" x14ac:dyDescent="0.2">
      <c r="A8092" s="134">
        <v>45863</v>
      </c>
      <c r="B8092" s="135">
        <f>YEAR(source[[#This Row],[report_date]])</f>
        <v>2025</v>
      </c>
      <c r="C8092" s="128">
        <f t="shared" si="376"/>
        <v>7</v>
      </c>
      <c r="D8092" s="136">
        <f t="shared" si="378"/>
        <v>30</v>
      </c>
      <c r="E8092" s="136">
        <f t="shared" si="377"/>
        <v>25</v>
      </c>
      <c r="F8092" s="128" t="s">
        <v>24</v>
      </c>
      <c r="G8092" s="128" t="str">
        <f>VLOOKUP(source[[#This Row],[lending_product_transform]],[3]Mapping!$B$4:$C$37,2,0)</f>
        <v>[Cake] - Cashloan</v>
      </c>
      <c r="H8092" s="128" t="str">
        <f>VLOOKUP(source[[#This Row],[lending_product_transform]],[3]Mapping!$B$3:$D$37,3,0)</f>
        <v>cashloan</v>
      </c>
      <c r="I8092" s="135">
        <v>619340000</v>
      </c>
    </row>
    <row r="8093" spans="1:9" x14ac:dyDescent="0.2">
      <c r="A8093" s="134">
        <v>45863</v>
      </c>
      <c r="B8093" s="135">
        <f>YEAR(source[[#This Row],[report_date]])</f>
        <v>2025</v>
      </c>
      <c r="C8093" s="128">
        <f t="shared" si="376"/>
        <v>7</v>
      </c>
      <c r="D8093" s="136">
        <f t="shared" si="378"/>
        <v>30</v>
      </c>
      <c r="E8093" s="136">
        <f t="shared" si="377"/>
        <v>25</v>
      </c>
      <c r="F8093" s="128" t="s">
        <v>24</v>
      </c>
      <c r="G8093" s="128" t="str">
        <f>VLOOKUP(source[[#This Row],[lending_product_transform]],[3]Mapping!$B$4:$C$37,2,0)</f>
        <v>[Cake] - Cashloan</v>
      </c>
      <c r="H8093" s="128" t="str">
        <f>VLOOKUP(source[[#This Row],[lending_product_transform]],[3]Mapping!$B$3:$D$37,3,0)</f>
        <v>cashloan</v>
      </c>
      <c r="I8093" s="135">
        <v>314500600</v>
      </c>
    </row>
    <row r="8094" spans="1:9" x14ac:dyDescent="0.2">
      <c r="A8094" s="134">
        <v>45863</v>
      </c>
      <c r="B8094" s="135">
        <f>YEAR(source[[#This Row],[report_date]])</f>
        <v>2025</v>
      </c>
      <c r="C8094" s="128">
        <f t="shared" si="376"/>
        <v>7</v>
      </c>
      <c r="D8094" s="136">
        <f t="shared" si="378"/>
        <v>30</v>
      </c>
      <c r="E8094" s="136">
        <f t="shared" si="377"/>
        <v>25</v>
      </c>
      <c r="F8094" s="128" t="s">
        <v>24</v>
      </c>
      <c r="G8094" s="128" t="str">
        <f>VLOOKUP(source[[#This Row],[lending_product_transform]],[3]Mapping!$B$4:$C$37,2,0)</f>
        <v>[Cake] - Cashloan</v>
      </c>
      <c r="H8094" s="128" t="str">
        <f>VLOOKUP(source[[#This Row],[lending_product_transform]],[3]Mapping!$B$3:$D$37,3,0)</f>
        <v>cashloan</v>
      </c>
      <c r="I8094" s="135">
        <v>1722870000</v>
      </c>
    </row>
    <row r="8095" spans="1:9" x14ac:dyDescent="0.2">
      <c r="A8095" s="134">
        <v>45863</v>
      </c>
      <c r="B8095" s="135">
        <f>YEAR(source[[#This Row],[report_date]])</f>
        <v>2025</v>
      </c>
      <c r="C8095" s="128">
        <f t="shared" si="376"/>
        <v>7</v>
      </c>
      <c r="D8095" s="136">
        <f t="shared" si="378"/>
        <v>30</v>
      </c>
      <c r="E8095" s="136">
        <f t="shared" si="377"/>
        <v>25</v>
      </c>
      <c r="F8095" s="128" t="s">
        <v>24</v>
      </c>
      <c r="G8095" s="128" t="str">
        <f>VLOOKUP(source[[#This Row],[lending_product_transform]],[3]Mapping!$B$4:$C$37,2,0)</f>
        <v>[Cake] - Cashloan</v>
      </c>
      <c r="H8095" s="128" t="str">
        <f>VLOOKUP(source[[#This Row],[lending_product_transform]],[3]Mapping!$B$3:$D$37,3,0)</f>
        <v>cashloan</v>
      </c>
      <c r="I8095" s="135">
        <v>1425430000</v>
      </c>
    </row>
    <row r="8096" spans="1:9" x14ac:dyDescent="0.2">
      <c r="A8096" s="134">
        <v>45864</v>
      </c>
      <c r="B8096" s="135">
        <f>YEAR(source[[#This Row],[report_date]])</f>
        <v>2025</v>
      </c>
      <c r="C8096" s="128">
        <f t="shared" si="376"/>
        <v>7</v>
      </c>
      <c r="D8096" s="136">
        <f t="shared" si="378"/>
        <v>30</v>
      </c>
      <c r="E8096" s="136">
        <f t="shared" si="377"/>
        <v>26</v>
      </c>
      <c r="F8096" s="128" t="s">
        <v>24</v>
      </c>
      <c r="G8096" s="128" t="str">
        <f>VLOOKUP(source[[#This Row],[lending_product_transform]],[3]Mapping!$B$4:$C$37,2,0)</f>
        <v>[Cake] - Cashloan</v>
      </c>
      <c r="H8096" s="128" t="str">
        <f>VLOOKUP(source[[#This Row],[lending_product_transform]],[3]Mapping!$B$3:$D$37,3,0)</f>
        <v>cashloan</v>
      </c>
      <c r="I8096" s="135">
        <v>0</v>
      </c>
    </row>
    <row r="8097" spans="1:9" x14ac:dyDescent="0.2">
      <c r="A8097" s="134">
        <v>45864</v>
      </c>
      <c r="B8097" s="135">
        <f>YEAR(source[[#This Row],[report_date]])</f>
        <v>2025</v>
      </c>
      <c r="C8097" s="128">
        <f t="shared" si="376"/>
        <v>7</v>
      </c>
      <c r="D8097" s="136">
        <f t="shared" si="378"/>
        <v>30</v>
      </c>
      <c r="E8097" s="136">
        <f t="shared" si="377"/>
        <v>26</v>
      </c>
      <c r="F8097" s="128" t="s">
        <v>24</v>
      </c>
      <c r="G8097" s="128" t="str">
        <f>VLOOKUP(source[[#This Row],[lending_product_transform]],[3]Mapping!$B$4:$C$37,2,0)</f>
        <v>[Cake] - Cashloan</v>
      </c>
      <c r="H8097" s="128" t="str">
        <f>VLOOKUP(source[[#This Row],[lending_product_transform]],[3]Mapping!$B$3:$D$37,3,0)</f>
        <v>cashloan</v>
      </c>
      <c r="I8097" s="135">
        <v>5036256000</v>
      </c>
    </row>
    <row r="8098" spans="1:9" x14ac:dyDescent="0.2">
      <c r="A8098" s="134">
        <v>45864</v>
      </c>
      <c r="B8098" s="135">
        <f>YEAR(source[[#This Row],[report_date]])</f>
        <v>2025</v>
      </c>
      <c r="C8098" s="128">
        <f t="shared" si="376"/>
        <v>7</v>
      </c>
      <c r="D8098" s="136">
        <f t="shared" si="378"/>
        <v>30</v>
      </c>
      <c r="E8098" s="136">
        <f t="shared" si="377"/>
        <v>26</v>
      </c>
      <c r="F8098" s="128" t="s">
        <v>24</v>
      </c>
      <c r="G8098" s="128" t="str">
        <f>VLOOKUP(source[[#This Row],[lending_product_transform]],[3]Mapping!$B$4:$C$37,2,0)</f>
        <v>[Cake] - Cashloan</v>
      </c>
      <c r="H8098" s="128" t="str">
        <f>VLOOKUP(source[[#This Row],[lending_product_transform]],[3]Mapping!$B$3:$D$37,3,0)</f>
        <v>cashloan</v>
      </c>
      <c r="I8098" s="135">
        <v>10366510000</v>
      </c>
    </row>
    <row r="8099" spans="1:9" x14ac:dyDescent="0.2">
      <c r="A8099" s="134">
        <v>45864</v>
      </c>
      <c r="B8099" s="135">
        <f>YEAR(source[[#This Row],[report_date]])</f>
        <v>2025</v>
      </c>
      <c r="C8099" s="128">
        <f t="shared" si="376"/>
        <v>7</v>
      </c>
      <c r="D8099" s="136">
        <f t="shared" si="378"/>
        <v>30</v>
      </c>
      <c r="E8099" s="136">
        <f t="shared" si="377"/>
        <v>26</v>
      </c>
      <c r="F8099" s="128" t="s">
        <v>24</v>
      </c>
      <c r="G8099" s="128" t="str">
        <f>VLOOKUP(source[[#This Row],[lending_product_transform]],[3]Mapping!$B$4:$C$37,2,0)</f>
        <v>[Cake] - Cashloan</v>
      </c>
      <c r="H8099" s="128" t="str">
        <f>VLOOKUP(source[[#This Row],[lending_product_transform]],[3]Mapping!$B$3:$D$37,3,0)</f>
        <v>cashloan</v>
      </c>
      <c r="I8099" s="135">
        <v>10020860000</v>
      </c>
    </row>
    <row r="8100" spans="1:9" x14ac:dyDescent="0.2">
      <c r="A8100" s="134">
        <v>45864</v>
      </c>
      <c r="B8100" s="135">
        <f>YEAR(source[[#This Row],[report_date]])</f>
        <v>2025</v>
      </c>
      <c r="C8100" s="128">
        <f t="shared" si="376"/>
        <v>7</v>
      </c>
      <c r="D8100" s="136">
        <f t="shared" si="378"/>
        <v>30</v>
      </c>
      <c r="E8100" s="136">
        <f t="shared" si="377"/>
        <v>26</v>
      </c>
      <c r="F8100" s="128" t="s">
        <v>24</v>
      </c>
      <c r="G8100" s="128" t="str">
        <f>VLOOKUP(source[[#This Row],[lending_product_transform]],[3]Mapping!$B$4:$C$37,2,0)</f>
        <v>[Cake] - Cashloan</v>
      </c>
      <c r="H8100" s="128" t="str">
        <f>VLOOKUP(source[[#This Row],[lending_product_transform]],[3]Mapping!$B$3:$D$37,3,0)</f>
        <v>cashloan</v>
      </c>
      <c r="I8100" s="135">
        <v>31000000</v>
      </c>
    </row>
    <row r="8101" spans="1:9" x14ac:dyDescent="0.2">
      <c r="A8101" s="134">
        <v>45864</v>
      </c>
      <c r="B8101" s="135">
        <f>YEAR(source[[#This Row],[report_date]])</f>
        <v>2025</v>
      </c>
      <c r="C8101" s="128">
        <f t="shared" si="376"/>
        <v>7</v>
      </c>
      <c r="D8101" s="136">
        <f t="shared" si="378"/>
        <v>30</v>
      </c>
      <c r="E8101" s="136">
        <f t="shared" si="377"/>
        <v>26</v>
      </c>
      <c r="F8101" s="128" t="s">
        <v>24</v>
      </c>
      <c r="G8101" s="128" t="str">
        <f>VLOOKUP(source[[#This Row],[lending_product_transform]],[3]Mapping!$B$4:$C$37,2,0)</f>
        <v>[Cake] - Cashloan</v>
      </c>
      <c r="H8101" s="128" t="str">
        <f>VLOOKUP(source[[#This Row],[lending_product_transform]],[3]Mapping!$B$3:$D$37,3,0)</f>
        <v>cashloan</v>
      </c>
      <c r="I8101" s="135">
        <v>22600000</v>
      </c>
    </row>
    <row r="8102" spans="1:9" x14ac:dyDescent="0.2">
      <c r="A8102" s="134">
        <v>45864</v>
      </c>
      <c r="B8102" s="135">
        <f>YEAR(source[[#This Row],[report_date]])</f>
        <v>2025</v>
      </c>
      <c r="C8102" s="128">
        <f t="shared" si="376"/>
        <v>7</v>
      </c>
      <c r="D8102" s="136">
        <f t="shared" si="378"/>
        <v>30</v>
      </c>
      <c r="E8102" s="136">
        <f t="shared" si="377"/>
        <v>26</v>
      </c>
      <c r="F8102" s="128" t="s">
        <v>24</v>
      </c>
      <c r="G8102" s="128" t="str">
        <f>VLOOKUP(source[[#This Row],[lending_product_transform]],[3]Mapping!$B$4:$C$37,2,0)</f>
        <v>[Cake] - Cashloan</v>
      </c>
      <c r="H8102" s="128" t="str">
        <f>VLOOKUP(source[[#This Row],[lending_product_transform]],[3]Mapping!$B$3:$D$37,3,0)</f>
        <v>cashloan</v>
      </c>
      <c r="I8102" s="135">
        <v>4499280000</v>
      </c>
    </row>
    <row r="8103" spans="1:9" x14ac:dyDescent="0.2">
      <c r="A8103" s="134">
        <v>45864</v>
      </c>
      <c r="B8103" s="135">
        <f>YEAR(source[[#This Row],[report_date]])</f>
        <v>2025</v>
      </c>
      <c r="C8103" s="128">
        <f t="shared" si="376"/>
        <v>7</v>
      </c>
      <c r="D8103" s="136">
        <f t="shared" si="378"/>
        <v>30</v>
      </c>
      <c r="E8103" s="136">
        <f t="shared" si="377"/>
        <v>26</v>
      </c>
      <c r="F8103" s="128" t="s">
        <v>24</v>
      </c>
      <c r="G8103" s="128" t="str">
        <f>VLOOKUP(source[[#This Row],[lending_product_transform]],[3]Mapping!$B$4:$C$37,2,0)</f>
        <v>[Cake] - Cashloan</v>
      </c>
      <c r="H8103" s="128" t="str">
        <f>VLOOKUP(source[[#This Row],[lending_product_transform]],[3]Mapping!$B$3:$D$37,3,0)</f>
        <v>cashloan</v>
      </c>
      <c r="I8103" s="135">
        <v>0</v>
      </c>
    </row>
    <row r="8104" spans="1:9" x14ac:dyDescent="0.2">
      <c r="A8104" s="134">
        <v>45864</v>
      </c>
      <c r="B8104" s="135">
        <f>YEAR(source[[#This Row],[report_date]])</f>
        <v>2025</v>
      </c>
      <c r="C8104" s="128">
        <f t="shared" si="376"/>
        <v>7</v>
      </c>
      <c r="D8104" s="136">
        <f t="shared" si="378"/>
        <v>30</v>
      </c>
      <c r="E8104" s="136">
        <f t="shared" si="377"/>
        <v>26</v>
      </c>
      <c r="F8104" s="128" t="s">
        <v>24</v>
      </c>
      <c r="G8104" s="128" t="str">
        <f>VLOOKUP(source[[#This Row],[lending_product_transform]],[3]Mapping!$B$4:$C$37,2,0)</f>
        <v>[Cake] - Cashloan</v>
      </c>
      <c r="H8104" s="128" t="str">
        <f>VLOOKUP(source[[#This Row],[lending_product_transform]],[3]Mapping!$B$3:$D$37,3,0)</f>
        <v>cashloan</v>
      </c>
      <c r="I8104" s="135">
        <v>0</v>
      </c>
    </row>
    <row r="8105" spans="1:9" x14ac:dyDescent="0.2">
      <c r="A8105" s="134">
        <v>45864</v>
      </c>
      <c r="B8105" s="135">
        <f>YEAR(source[[#This Row],[report_date]])</f>
        <v>2025</v>
      </c>
      <c r="C8105" s="128">
        <f t="shared" si="376"/>
        <v>7</v>
      </c>
      <c r="D8105" s="136">
        <f t="shared" si="378"/>
        <v>30</v>
      </c>
      <c r="E8105" s="136">
        <f t="shared" si="377"/>
        <v>26</v>
      </c>
      <c r="F8105" s="128" t="s">
        <v>24</v>
      </c>
      <c r="G8105" s="128" t="str">
        <f>VLOOKUP(source[[#This Row],[lending_product_transform]],[3]Mapping!$B$4:$C$37,2,0)</f>
        <v>[Cake] - Cashloan</v>
      </c>
      <c r="H8105" s="128" t="str">
        <f>VLOOKUP(source[[#This Row],[lending_product_transform]],[3]Mapping!$B$3:$D$37,3,0)</f>
        <v>cashloan</v>
      </c>
      <c r="I8105" s="135">
        <v>10285203</v>
      </c>
    </row>
    <row r="8106" spans="1:9" x14ac:dyDescent="0.2">
      <c r="A8106" s="134">
        <v>45864</v>
      </c>
      <c r="B8106" s="135">
        <f>YEAR(source[[#This Row],[report_date]])</f>
        <v>2025</v>
      </c>
      <c r="C8106" s="128">
        <f t="shared" si="376"/>
        <v>7</v>
      </c>
      <c r="D8106" s="136">
        <f t="shared" si="378"/>
        <v>30</v>
      </c>
      <c r="E8106" s="136">
        <f t="shared" si="377"/>
        <v>26</v>
      </c>
      <c r="F8106" s="128" t="s">
        <v>24</v>
      </c>
      <c r="G8106" s="128" t="str">
        <f>VLOOKUP(source[[#This Row],[lending_product_transform]],[3]Mapping!$B$4:$C$37,2,0)</f>
        <v>[Cake] - Cashloan</v>
      </c>
      <c r="H8106" s="128" t="str">
        <f>VLOOKUP(source[[#This Row],[lending_product_transform]],[3]Mapping!$B$3:$D$37,3,0)</f>
        <v>cashloan</v>
      </c>
      <c r="I8106" s="135">
        <v>394450000</v>
      </c>
    </row>
    <row r="8107" spans="1:9" x14ac:dyDescent="0.2">
      <c r="A8107" s="134">
        <v>45864</v>
      </c>
      <c r="B8107" s="135">
        <f>YEAR(source[[#This Row],[report_date]])</f>
        <v>2025</v>
      </c>
      <c r="C8107" s="128">
        <f t="shared" si="376"/>
        <v>7</v>
      </c>
      <c r="D8107" s="136">
        <f t="shared" si="378"/>
        <v>30</v>
      </c>
      <c r="E8107" s="136">
        <f t="shared" si="377"/>
        <v>26</v>
      </c>
      <c r="F8107" s="128" t="s">
        <v>24</v>
      </c>
      <c r="G8107" s="128" t="str">
        <f>VLOOKUP(source[[#This Row],[lending_product_transform]],[3]Mapping!$B$4:$C$37,2,0)</f>
        <v>[Cake] - Cashloan</v>
      </c>
      <c r="H8107" s="128" t="str">
        <f>VLOOKUP(source[[#This Row],[lending_product_transform]],[3]Mapping!$B$3:$D$37,3,0)</f>
        <v>cashloan</v>
      </c>
      <c r="I8107" s="135">
        <v>467109150</v>
      </c>
    </row>
    <row r="8108" spans="1:9" x14ac:dyDescent="0.2">
      <c r="A8108" s="134">
        <v>45864</v>
      </c>
      <c r="B8108" s="135">
        <f>YEAR(source[[#This Row],[report_date]])</f>
        <v>2025</v>
      </c>
      <c r="C8108" s="128">
        <f t="shared" si="376"/>
        <v>7</v>
      </c>
      <c r="D8108" s="136">
        <f t="shared" si="378"/>
        <v>30</v>
      </c>
      <c r="E8108" s="136">
        <f t="shared" si="377"/>
        <v>26</v>
      </c>
      <c r="F8108" s="128" t="s">
        <v>24</v>
      </c>
      <c r="G8108" s="128" t="str">
        <f>VLOOKUP(source[[#This Row],[lending_product_transform]],[3]Mapping!$B$4:$C$37,2,0)</f>
        <v>[Cake] - Cashloan</v>
      </c>
      <c r="H8108" s="128" t="str">
        <f>VLOOKUP(source[[#This Row],[lending_product_transform]],[3]Mapping!$B$3:$D$37,3,0)</f>
        <v>cashloan</v>
      </c>
      <c r="I8108" s="135">
        <v>2208160000</v>
      </c>
    </row>
    <row r="8109" spans="1:9" x14ac:dyDescent="0.2">
      <c r="A8109" s="134">
        <v>45864</v>
      </c>
      <c r="B8109" s="135">
        <f>YEAR(source[[#This Row],[report_date]])</f>
        <v>2025</v>
      </c>
      <c r="C8109" s="128">
        <f t="shared" si="376"/>
        <v>7</v>
      </c>
      <c r="D8109" s="136">
        <f t="shared" si="378"/>
        <v>30</v>
      </c>
      <c r="E8109" s="136">
        <f t="shared" si="377"/>
        <v>26</v>
      </c>
      <c r="F8109" s="128" t="s">
        <v>24</v>
      </c>
      <c r="G8109" s="128" t="str">
        <f>VLOOKUP(source[[#This Row],[lending_product_transform]],[3]Mapping!$B$4:$C$37,2,0)</f>
        <v>[Cake] - Cashloan</v>
      </c>
      <c r="H8109" s="128" t="str">
        <f>VLOOKUP(source[[#This Row],[lending_product_transform]],[3]Mapping!$B$3:$D$37,3,0)</f>
        <v>cashloan</v>
      </c>
      <c r="I8109" s="135">
        <v>1215990000</v>
      </c>
    </row>
    <row r="8110" spans="1:9" x14ac:dyDescent="0.2">
      <c r="A8110" s="134">
        <v>45864</v>
      </c>
      <c r="B8110" s="135">
        <f>YEAR(source[[#This Row],[report_date]])</f>
        <v>2025</v>
      </c>
      <c r="C8110" s="128">
        <f t="shared" si="376"/>
        <v>7</v>
      </c>
      <c r="D8110" s="136">
        <f t="shared" si="378"/>
        <v>30</v>
      </c>
      <c r="E8110" s="136">
        <f t="shared" si="377"/>
        <v>26</v>
      </c>
      <c r="F8110" s="128" t="s">
        <v>24</v>
      </c>
      <c r="G8110" s="128" t="str">
        <f>VLOOKUP(source[[#This Row],[lending_product_transform]],[3]Mapping!$B$4:$C$37,2,0)</f>
        <v>[Cake] - Cashloan</v>
      </c>
      <c r="H8110" s="128" t="str">
        <f>VLOOKUP(source[[#This Row],[lending_product_transform]],[3]Mapping!$B$3:$D$37,3,0)</f>
        <v>cashloan</v>
      </c>
      <c r="I8110" s="135">
        <v>0</v>
      </c>
    </row>
    <row r="8111" spans="1:9" x14ac:dyDescent="0.2">
      <c r="A8111" s="134">
        <v>45864</v>
      </c>
      <c r="B8111" s="135">
        <f>YEAR(source[[#This Row],[report_date]])</f>
        <v>2025</v>
      </c>
      <c r="C8111" s="128">
        <f t="shared" si="376"/>
        <v>7</v>
      </c>
      <c r="D8111" s="136">
        <f t="shared" si="378"/>
        <v>30</v>
      </c>
      <c r="E8111" s="136">
        <f t="shared" si="377"/>
        <v>26</v>
      </c>
      <c r="F8111" s="128" t="s">
        <v>24</v>
      </c>
      <c r="G8111" s="128" t="str">
        <f>VLOOKUP(source[[#This Row],[lending_product_transform]],[3]Mapping!$B$4:$C$37,2,0)</f>
        <v>[Cake] - Cashloan</v>
      </c>
      <c r="H8111" s="128" t="str">
        <f>VLOOKUP(source[[#This Row],[lending_product_transform]],[3]Mapping!$B$3:$D$37,3,0)</f>
        <v>cashloan</v>
      </c>
      <c r="I8111" s="135">
        <v>354953458</v>
      </c>
    </row>
    <row r="8112" spans="1:9" x14ac:dyDescent="0.2">
      <c r="A8112" s="134">
        <v>45864</v>
      </c>
      <c r="B8112" s="135">
        <f>YEAR(source[[#This Row],[report_date]])</f>
        <v>2025</v>
      </c>
      <c r="C8112" s="128">
        <f t="shared" si="376"/>
        <v>7</v>
      </c>
      <c r="D8112" s="136">
        <f t="shared" si="378"/>
        <v>30</v>
      </c>
      <c r="E8112" s="136">
        <f t="shared" si="377"/>
        <v>26</v>
      </c>
      <c r="F8112" s="128" t="s">
        <v>24</v>
      </c>
      <c r="G8112" s="128" t="str">
        <f>VLOOKUP(source[[#This Row],[lending_product_transform]],[3]Mapping!$B$4:$C$37,2,0)</f>
        <v>[Cake] - Cashloan</v>
      </c>
      <c r="H8112" s="128" t="str">
        <f>VLOOKUP(source[[#This Row],[lending_product_transform]],[3]Mapping!$B$3:$D$37,3,0)</f>
        <v>cashloan</v>
      </c>
      <c r="I8112" s="135">
        <v>2701413427</v>
      </c>
    </row>
    <row r="8113" spans="1:9" x14ac:dyDescent="0.2">
      <c r="A8113" s="134">
        <v>45864</v>
      </c>
      <c r="B8113" s="135">
        <f>YEAR(source[[#This Row],[report_date]])</f>
        <v>2025</v>
      </c>
      <c r="C8113" s="128">
        <f t="shared" si="376"/>
        <v>7</v>
      </c>
      <c r="D8113" s="136">
        <f t="shared" si="378"/>
        <v>30</v>
      </c>
      <c r="E8113" s="136">
        <f t="shared" si="377"/>
        <v>26</v>
      </c>
      <c r="F8113" s="128" t="s">
        <v>24</v>
      </c>
      <c r="G8113" s="128" t="str">
        <f>VLOOKUP(source[[#This Row],[lending_product_transform]],[3]Mapping!$B$4:$C$37,2,0)</f>
        <v>[Cake] - Cashloan</v>
      </c>
      <c r="H8113" s="128" t="str">
        <f>VLOOKUP(source[[#This Row],[lending_product_transform]],[3]Mapping!$B$3:$D$37,3,0)</f>
        <v>cashloan</v>
      </c>
      <c r="I8113" s="135">
        <v>249570751</v>
      </c>
    </row>
    <row r="8114" spans="1:9" x14ac:dyDescent="0.2">
      <c r="A8114" s="134">
        <v>45864</v>
      </c>
      <c r="B8114" s="135">
        <f>YEAR(source[[#This Row],[report_date]])</f>
        <v>2025</v>
      </c>
      <c r="C8114" s="128">
        <f t="shared" si="376"/>
        <v>7</v>
      </c>
      <c r="D8114" s="136">
        <f t="shared" si="378"/>
        <v>30</v>
      </c>
      <c r="E8114" s="136">
        <f t="shared" si="377"/>
        <v>26</v>
      </c>
      <c r="F8114" s="128" t="s">
        <v>24</v>
      </c>
      <c r="G8114" s="128" t="str">
        <f>VLOOKUP(source[[#This Row],[lending_product_transform]],[3]Mapping!$B$4:$C$37,2,0)</f>
        <v>[Cake] - Cashloan</v>
      </c>
      <c r="H8114" s="128" t="str">
        <f>VLOOKUP(source[[#This Row],[lending_product_transform]],[3]Mapping!$B$3:$D$37,3,0)</f>
        <v>cashloan</v>
      </c>
      <c r="I8114" s="135">
        <v>225003767</v>
      </c>
    </row>
    <row r="8115" spans="1:9" x14ac:dyDescent="0.2">
      <c r="A8115" s="134">
        <v>45865</v>
      </c>
      <c r="B8115" s="135">
        <f>YEAR(source[[#This Row],[report_date]])</f>
        <v>2025</v>
      </c>
      <c r="C8115" s="128">
        <f t="shared" si="376"/>
        <v>7</v>
      </c>
      <c r="D8115" s="136">
        <f t="shared" si="378"/>
        <v>30</v>
      </c>
      <c r="E8115" s="136">
        <f t="shared" si="377"/>
        <v>27</v>
      </c>
      <c r="F8115" s="128" t="s">
        <v>24</v>
      </c>
      <c r="G8115" s="128" t="str">
        <f>VLOOKUP(source[[#This Row],[lending_product_transform]],[3]Mapping!$B$4:$C$37,2,0)</f>
        <v>[Cake] - Cashloan</v>
      </c>
      <c r="H8115" s="128" t="str">
        <f>VLOOKUP(source[[#This Row],[lending_product_transform]],[3]Mapping!$B$3:$D$37,3,0)</f>
        <v>cashloan</v>
      </c>
      <c r="I8115" s="135">
        <v>9966580000</v>
      </c>
    </row>
    <row r="8116" spans="1:9" x14ac:dyDescent="0.2">
      <c r="A8116" s="134">
        <v>45865</v>
      </c>
      <c r="B8116" s="135">
        <f>YEAR(source[[#This Row],[report_date]])</f>
        <v>2025</v>
      </c>
      <c r="C8116" s="128">
        <f t="shared" si="376"/>
        <v>7</v>
      </c>
      <c r="D8116" s="136">
        <f t="shared" si="378"/>
        <v>30</v>
      </c>
      <c r="E8116" s="136">
        <f t="shared" si="377"/>
        <v>27</v>
      </c>
      <c r="F8116" s="128" t="s">
        <v>24</v>
      </c>
      <c r="G8116" s="128" t="str">
        <f>VLOOKUP(source[[#This Row],[lending_product_transform]],[3]Mapping!$B$4:$C$37,2,0)</f>
        <v>[Cake] - Cashloan</v>
      </c>
      <c r="H8116" s="128" t="str">
        <f>VLOOKUP(source[[#This Row],[lending_product_transform]],[3]Mapping!$B$3:$D$37,3,0)</f>
        <v>cashloan</v>
      </c>
      <c r="I8116" s="135">
        <v>4944240000</v>
      </c>
    </row>
    <row r="8117" spans="1:9" x14ac:dyDescent="0.2">
      <c r="A8117" s="134">
        <v>45865</v>
      </c>
      <c r="B8117" s="135">
        <f>YEAR(source[[#This Row],[report_date]])</f>
        <v>2025</v>
      </c>
      <c r="C8117" s="128">
        <f t="shared" si="376"/>
        <v>7</v>
      </c>
      <c r="D8117" s="136">
        <f t="shared" si="378"/>
        <v>30</v>
      </c>
      <c r="E8117" s="136">
        <f t="shared" si="377"/>
        <v>27</v>
      </c>
      <c r="F8117" s="128" t="s">
        <v>24</v>
      </c>
      <c r="G8117" s="128" t="str">
        <f>VLOOKUP(source[[#This Row],[lending_product_transform]],[3]Mapping!$B$4:$C$37,2,0)</f>
        <v>[Cake] - Cashloan</v>
      </c>
      <c r="H8117" s="128" t="str">
        <f>VLOOKUP(source[[#This Row],[lending_product_transform]],[3]Mapping!$B$3:$D$37,3,0)</f>
        <v>cashloan</v>
      </c>
      <c r="I8117" s="135">
        <v>9965040000</v>
      </c>
    </row>
    <row r="8118" spans="1:9" x14ac:dyDescent="0.2">
      <c r="A8118" s="134">
        <v>45865</v>
      </c>
      <c r="B8118" s="135">
        <f>YEAR(source[[#This Row],[report_date]])</f>
        <v>2025</v>
      </c>
      <c r="C8118" s="128">
        <f t="shared" ref="C8118:C8181" si="379">MONTH(A8118)</f>
        <v>7</v>
      </c>
      <c r="D8118" s="136">
        <f t="shared" si="378"/>
        <v>30</v>
      </c>
      <c r="E8118" s="136">
        <f t="shared" ref="E8118:E8181" si="380">DAY(A8118)</f>
        <v>27</v>
      </c>
      <c r="F8118" s="128" t="s">
        <v>24</v>
      </c>
      <c r="G8118" s="128" t="str">
        <f>VLOOKUP(source[[#This Row],[lending_product_transform]],[3]Mapping!$B$4:$C$37,2,0)</f>
        <v>[Cake] - Cashloan</v>
      </c>
      <c r="H8118" s="128" t="str">
        <f>VLOOKUP(source[[#This Row],[lending_product_transform]],[3]Mapping!$B$3:$D$37,3,0)</f>
        <v>cashloan</v>
      </c>
      <c r="I8118" s="135">
        <v>0</v>
      </c>
    </row>
    <row r="8119" spans="1:9" x14ac:dyDescent="0.2">
      <c r="A8119" s="134">
        <v>45865</v>
      </c>
      <c r="B8119" s="135">
        <f>YEAR(source[[#This Row],[report_date]])</f>
        <v>2025</v>
      </c>
      <c r="C8119" s="128">
        <f t="shared" si="379"/>
        <v>7</v>
      </c>
      <c r="D8119" s="136">
        <f t="shared" si="378"/>
        <v>30</v>
      </c>
      <c r="E8119" s="136">
        <f t="shared" si="380"/>
        <v>27</v>
      </c>
      <c r="F8119" s="128" t="s">
        <v>24</v>
      </c>
      <c r="G8119" s="128" t="str">
        <f>VLOOKUP(source[[#This Row],[lending_product_transform]],[3]Mapping!$B$4:$C$37,2,0)</f>
        <v>[Cake] - Cashloan</v>
      </c>
      <c r="H8119" s="128" t="str">
        <f>VLOOKUP(source[[#This Row],[lending_product_transform]],[3]Mapping!$B$3:$D$37,3,0)</f>
        <v>cashloan</v>
      </c>
      <c r="I8119" s="135">
        <v>17473818</v>
      </c>
    </row>
    <row r="8120" spans="1:9" x14ac:dyDescent="0.2">
      <c r="A8120" s="134">
        <v>45865</v>
      </c>
      <c r="B8120" s="135">
        <f>YEAR(source[[#This Row],[report_date]])</f>
        <v>2025</v>
      </c>
      <c r="C8120" s="128">
        <f t="shared" si="379"/>
        <v>7</v>
      </c>
      <c r="D8120" s="136">
        <f t="shared" si="378"/>
        <v>30</v>
      </c>
      <c r="E8120" s="136">
        <f t="shared" si="380"/>
        <v>27</v>
      </c>
      <c r="F8120" s="128" t="s">
        <v>24</v>
      </c>
      <c r="G8120" s="128" t="str">
        <f>VLOOKUP(source[[#This Row],[lending_product_transform]],[3]Mapping!$B$4:$C$37,2,0)</f>
        <v>[Cake] - Cashloan</v>
      </c>
      <c r="H8120" s="128" t="str">
        <f>VLOOKUP(source[[#This Row],[lending_product_transform]],[3]Mapping!$B$3:$D$37,3,0)</f>
        <v>cashloan</v>
      </c>
      <c r="I8120" s="135">
        <v>0</v>
      </c>
    </row>
    <row r="8121" spans="1:9" x14ac:dyDescent="0.2">
      <c r="A8121" s="134">
        <v>45865</v>
      </c>
      <c r="B8121" s="135">
        <f>YEAR(source[[#This Row],[report_date]])</f>
        <v>2025</v>
      </c>
      <c r="C8121" s="128">
        <f t="shared" si="379"/>
        <v>7</v>
      </c>
      <c r="D8121" s="136">
        <f t="shared" si="378"/>
        <v>30</v>
      </c>
      <c r="E8121" s="136">
        <f t="shared" si="380"/>
        <v>27</v>
      </c>
      <c r="F8121" s="128" t="s">
        <v>24</v>
      </c>
      <c r="G8121" s="128" t="str">
        <f>VLOOKUP(source[[#This Row],[lending_product_transform]],[3]Mapping!$B$4:$C$37,2,0)</f>
        <v>[Cake] - Cashloan</v>
      </c>
      <c r="H8121" s="128" t="str">
        <f>VLOOKUP(source[[#This Row],[lending_product_transform]],[3]Mapping!$B$3:$D$37,3,0)</f>
        <v>cashloan</v>
      </c>
      <c r="I8121" s="135">
        <v>4148280000</v>
      </c>
    </row>
    <row r="8122" spans="1:9" x14ac:dyDescent="0.2">
      <c r="A8122" s="134">
        <v>45865</v>
      </c>
      <c r="B8122" s="135">
        <f>YEAR(source[[#This Row],[report_date]])</f>
        <v>2025</v>
      </c>
      <c r="C8122" s="128">
        <f t="shared" si="379"/>
        <v>7</v>
      </c>
      <c r="D8122" s="136">
        <f t="shared" si="378"/>
        <v>30</v>
      </c>
      <c r="E8122" s="136">
        <f t="shared" si="380"/>
        <v>27</v>
      </c>
      <c r="F8122" s="128" t="s">
        <v>24</v>
      </c>
      <c r="G8122" s="128" t="str">
        <f>VLOOKUP(source[[#This Row],[lending_product_transform]],[3]Mapping!$B$4:$C$37,2,0)</f>
        <v>[Cake] - Cashloan</v>
      </c>
      <c r="H8122" s="128" t="str">
        <f>VLOOKUP(source[[#This Row],[lending_product_transform]],[3]Mapping!$B$3:$D$37,3,0)</f>
        <v>cashloan</v>
      </c>
      <c r="I8122" s="135">
        <v>0</v>
      </c>
    </row>
    <row r="8123" spans="1:9" x14ac:dyDescent="0.2">
      <c r="A8123" s="134">
        <v>45865</v>
      </c>
      <c r="B8123" s="135">
        <f>YEAR(source[[#This Row],[report_date]])</f>
        <v>2025</v>
      </c>
      <c r="C8123" s="128">
        <f t="shared" si="379"/>
        <v>7</v>
      </c>
      <c r="D8123" s="136">
        <f t="shared" si="378"/>
        <v>30</v>
      </c>
      <c r="E8123" s="136">
        <f t="shared" si="380"/>
        <v>27</v>
      </c>
      <c r="F8123" s="128" t="s">
        <v>24</v>
      </c>
      <c r="G8123" s="128" t="str">
        <f>VLOOKUP(source[[#This Row],[lending_product_transform]],[3]Mapping!$B$4:$C$37,2,0)</f>
        <v>[Cake] - Cashloan</v>
      </c>
      <c r="H8123" s="128" t="str">
        <f>VLOOKUP(source[[#This Row],[lending_product_transform]],[3]Mapping!$B$3:$D$37,3,0)</f>
        <v>cashloan</v>
      </c>
      <c r="I8123" s="135">
        <v>57750000</v>
      </c>
    </row>
    <row r="8124" spans="1:9" x14ac:dyDescent="0.2">
      <c r="A8124" s="134">
        <v>45865</v>
      </c>
      <c r="B8124" s="135">
        <f>YEAR(source[[#This Row],[report_date]])</f>
        <v>2025</v>
      </c>
      <c r="C8124" s="128">
        <f t="shared" si="379"/>
        <v>7</v>
      </c>
      <c r="D8124" s="136">
        <f t="shared" si="378"/>
        <v>30</v>
      </c>
      <c r="E8124" s="136">
        <f t="shared" si="380"/>
        <v>27</v>
      </c>
      <c r="F8124" s="128" t="s">
        <v>24</v>
      </c>
      <c r="G8124" s="128" t="str">
        <f>VLOOKUP(source[[#This Row],[lending_product_transform]],[3]Mapping!$B$4:$C$37,2,0)</f>
        <v>[Cake] - Cashloan</v>
      </c>
      <c r="H8124" s="128" t="str">
        <f>VLOOKUP(source[[#This Row],[lending_product_transform]],[3]Mapping!$B$3:$D$37,3,0)</f>
        <v>cashloan</v>
      </c>
      <c r="I8124" s="135">
        <v>11000000</v>
      </c>
    </row>
    <row r="8125" spans="1:9" x14ac:dyDescent="0.2">
      <c r="A8125" s="134">
        <v>45865</v>
      </c>
      <c r="B8125" s="135">
        <f>YEAR(source[[#This Row],[report_date]])</f>
        <v>2025</v>
      </c>
      <c r="C8125" s="128">
        <f t="shared" si="379"/>
        <v>7</v>
      </c>
      <c r="D8125" s="136">
        <f t="shared" si="378"/>
        <v>30</v>
      </c>
      <c r="E8125" s="136">
        <f t="shared" si="380"/>
        <v>27</v>
      </c>
      <c r="F8125" s="128" t="s">
        <v>24</v>
      </c>
      <c r="G8125" s="128" t="str">
        <f>VLOOKUP(source[[#This Row],[lending_product_transform]],[3]Mapping!$B$4:$C$37,2,0)</f>
        <v>[Cake] - Cashloan</v>
      </c>
      <c r="H8125" s="128" t="str">
        <f>VLOOKUP(source[[#This Row],[lending_product_transform]],[3]Mapping!$B$3:$D$37,3,0)</f>
        <v>cashloan</v>
      </c>
      <c r="I8125" s="135">
        <v>408147875</v>
      </c>
    </row>
    <row r="8126" spans="1:9" x14ac:dyDescent="0.2">
      <c r="A8126" s="134">
        <v>45865</v>
      </c>
      <c r="B8126" s="135">
        <f>YEAR(source[[#This Row],[report_date]])</f>
        <v>2025</v>
      </c>
      <c r="C8126" s="128">
        <f t="shared" si="379"/>
        <v>7</v>
      </c>
      <c r="D8126" s="136">
        <f t="shared" si="378"/>
        <v>30</v>
      </c>
      <c r="E8126" s="136">
        <f t="shared" si="380"/>
        <v>27</v>
      </c>
      <c r="F8126" s="128" t="s">
        <v>24</v>
      </c>
      <c r="G8126" s="128" t="str">
        <f>VLOOKUP(source[[#This Row],[lending_product_transform]],[3]Mapping!$B$4:$C$37,2,0)</f>
        <v>[Cake] - Cashloan</v>
      </c>
      <c r="H8126" s="128" t="str">
        <f>VLOOKUP(source[[#This Row],[lending_product_transform]],[3]Mapping!$B$3:$D$37,3,0)</f>
        <v>cashloan</v>
      </c>
      <c r="I8126" s="135">
        <v>0</v>
      </c>
    </row>
    <row r="8127" spans="1:9" x14ac:dyDescent="0.2">
      <c r="A8127" s="134">
        <v>45865</v>
      </c>
      <c r="B8127" s="135">
        <f>YEAR(source[[#This Row],[report_date]])</f>
        <v>2025</v>
      </c>
      <c r="C8127" s="128">
        <f t="shared" si="379"/>
        <v>7</v>
      </c>
      <c r="D8127" s="136">
        <f t="shared" si="378"/>
        <v>30</v>
      </c>
      <c r="E8127" s="136">
        <f t="shared" si="380"/>
        <v>27</v>
      </c>
      <c r="F8127" s="128" t="s">
        <v>24</v>
      </c>
      <c r="G8127" s="128" t="str">
        <f>VLOOKUP(source[[#This Row],[lending_product_transform]],[3]Mapping!$B$4:$C$37,2,0)</f>
        <v>[Cake] - Cashloan</v>
      </c>
      <c r="H8127" s="128" t="str">
        <f>VLOOKUP(source[[#This Row],[lending_product_transform]],[3]Mapping!$B$3:$D$37,3,0)</f>
        <v>cashloan</v>
      </c>
      <c r="I8127" s="135">
        <v>443070000</v>
      </c>
    </row>
    <row r="8128" spans="1:9" x14ac:dyDescent="0.2">
      <c r="A8128" s="134">
        <v>45865</v>
      </c>
      <c r="B8128" s="135">
        <f>YEAR(source[[#This Row],[report_date]])</f>
        <v>2025</v>
      </c>
      <c r="C8128" s="128">
        <f t="shared" si="379"/>
        <v>7</v>
      </c>
      <c r="D8128" s="136">
        <f t="shared" si="378"/>
        <v>30</v>
      </c>
      <c r="E8128" s="136">
        <f t="shared" si="380"/>
        <v>27</v>
      </c>
      <c r="F8128" s="128" t="s">
        <v>24</v>
      </c>
      <c r="G8128" s="128" t="str">
        <f>VLOOKUP(source[[#This Row],[lending_product_transform]],[3]Mapping!$B$4:$C$37,2,0)</f>
        <v>[Cake] - Cashloan</v>
      </c>
      <c r="H8128" s="128" t="str">
        <f>VLOOKUP(source[[#This Row],[lending_product_transform]],[3]Mapping!$B$3:$D$37,3,0)</f>
        <v>cashloan</v>
      </c>
      <c r="I8128" s="135">
        <v>479004000</v>
      </c>
    </row>
    <row r="8129" spans="1:9" x14ac:dyDescent="0.2">
      <c r="A8129" s="134">
        <v>45865</v>
      </c>
      <c r="B8129" s="135">
        <f>YEAR(source[[#This Row],[report_date]])</f>
        <v>2025</v>
      </c>
      <c r="C8129" s="128">
        <f t="shared" si="379"/>
        <v>7</v>
      </c>
      <c r="D8129" s="136">
        <f t="shared" si="378"/>
        <v>30</v>
      </c>
      <c r="E8129" s="136">
        <f t="shared" si="380"/>
        <v>27</v>
      </c>
      <c r="F8129" s="128" t="s">
        <v>24</v>
      </c>
      <c r="G8129" s="128" t="str">
        <f>VLOOKUP(source[[#This Row],[lending_product_transform]],[3]Mapping!$B$4:$C$37,2,0)</f>
        <v>[Cake] - Cashloan</v>
      </c>
      <c r="H8129" s="128" t="str">
        <f>VLOOKUP(source[[#This Row],[lending_product_transform]],[3]Mapping!$B$3:$D$37,3,0)</f>
        <v>cashloan</v>
      </c>
      <c r="I8129" s="135">
        <v>1680320000</v>
      </c>
    </row>
    <row r="8130" spans="1:9" x14ac:dyDescent="0.2">
      <c r="A8130" s="134">
        <v>45865</v>
      </c>
      <c r="B8130" s="135">
        <f>YEAR(source[[#This Row],[report_date]])</f>
        <v>2025</v>
      </c>
      <c r="C8130" s="128">
        <f t="shared" si="379"/>
        <v>7</v>
      </c>
      <c r="D8130" s="136">
        <f t="shared" si="378"/>
        <v>30</v>
      </c>
      <c r="E8130" s="136">
        <f t="shared" si="380"/>
        <v>27</v>
      </c>
      <c r="F8130" s="128" t="s">
        <v>24</v>
      </c>
      <c r="G8130" s="128" t="str">
        <f>VLOOKUP(source[[#This Row],[lending_product_transform]],[3]Mapping!$B$4:$C$37,2,0)</f>
        <v>[Cake] - Cashloan</v>
      </c>
      <c r="H8130" s="128" t="str">
        <f>VLOOKUP(source[[#This Row],[lending_product_transform]],[3]Mapping!$B$3:$D$37,3,0)</f>
        <v>cashloan</v>
      </c>
      <c r="I8130" s="135">
        <v>1745220000</v>
      </c>
    </row>
    <row r="8131" spans="1:9" x14ac:dyDescent="0.2">
      <c r="A8131" s="134">
        <v>45865</v>
      </c>
      <c r="B8131" s="135">
        <f>YEAR(source[[#This Row],[report_date]])</f>
        <v>2025</v>
      </c>
      <c r="C8131" s="128">
        <f t="shared" si="379"/>
        <v>7</v>
      </c>
      <c r="D8131" s="136">
        <f t="shared" ref="D8131:D8194" si="381">WEEKNUM(A8131,2)</f>
        <v>30</v>
      </c>
      <c r="E8131" s="136">
        <f t="shared" si="380"/>
        <v>27</v>
      </c>
      <c r="F8131" s="128" t="s">
        <v>24</v>
      </c>
      <c r="G8131" s="128" t="str">
        <f>VLOOKUP(source[[#This Row],[lending_product_transform]],[3]Mapping!$B$4:$C$37,2,0)</f>
        <v>[Cake] - Cashloan</v>
      </c>
      <c r="H8131" s="128" t="str">
        <f>VLOOKUP(source[[#This Row],[lending_product_transform]],[3]Mapping!$B$3:$D$37,3,0)</f>
        <v>cashloan</v>
      </c>
      <c r="I8131" s="135">
        <v>220975391</v>
      </c>
    </row>
    <row r="8132" spans="1:9" x14ac:dyDescent="0.2">
      <c r="A8132" s="134">
        <v>45865</v>
      </c>
      <c r="B8132" s="135">
        <f>YEAR(source[[#This Row],[report_date]])</f>
        <v>2025</v>
      </c>
      <c r="C8132" s="128">
        <f t="shared" si="379"/>
        <v>7</v>
      </c>
      <c r="D8132" s="136">
        <f t="shared" si="381"/>
        <v>30</v>
      </c>
      <c r="E8132" s="136">
        <f t="shared" si="380"/>
        <v>27</v>
      </c>
      <c r="F8132" s="128" t="s">
        <v>24</v>
      </c>
      <c r="G8132" s="128" t="str">
        <f>VLOOKUP(source[[#This Row],[lending_product_transform]],[3]Mapping!$B$4:$C$37,2,0)</f>
        <v>[Cake] - Cashloan</v>
      </c>
      <c r="H8132" s="128" t="str">
        <f>VLOOKUP(source[[#This Row],[lending_product_transform]],[3]Mapping!$B$3:$D$37,3,0)</f>
        <v>cashloan</v>
      </c>
      <c r="I8132" s="135">
        <v>2589838848</v>
      </c>
    </row>
    <row r="8133" spans="1:9" x14ac:dyDescent="0.2">
      <c r="A8133" s="134">
        <v>45865</v>
      </c>
      <c r="B8133" s="135">
        <f>YEAR(source[[#This Row],[report_date]])</f>
        <v>2025</v>
      </c>
      <c r="C8133" s="128">
        <f t="shared" si="379"/>
        <v>7</v>
      </c>
      <c r="D8133" s="136">
        <f t="shared" si="381"/>
        <v>30</v>
      </c>
      <c r="E8133" s="136">
        <f t="shared" si="380"/>
        <v>27</v>
      </c>
      <c r="F8133" s="128" t="s">
        <v>24</v>
      </c>
      <c r="G8133" s="128" t="str">
        <f>VLOOKUP(source[[#This Row],[lending_product_transform]],[3]Mapping!$B$4:$C$37,2,0)</f>
        <v>[Cake] - Cashloan</v>
      </c>
      <c r="H8133" s="128" t="str">
        <f>VLOOKUP(source[[#This Row],[lending_product_transform]],[3]Mapping!$B$3:$D$37,3,0)</f>
        <v>cashloan</v>
      </c>
      <c r="I8133" s="135">
        <v>232925600</v>
      </c>
    </row>
    <row r="8134" spans="1:9" x14ac:dyDescent="0.2">
      <c r="A8134" s="134">
        <v>45866</v>
      </c>
      <c r="B8134" s="135">
        <f>YEAR(source[[#This Row],[report_date]])</f>
        <v>2025</v>
      </c>
      <c r="C8134" s="128">
        <f t="shared" si="379"/>
        <v>7</v>
      </c>
      <c r="D8134" s="136">
        <f t="shared" si="381"/>
        <v>31</v>
      </c>
      <c r="E8134" s="136">
        <f t="shared" si="380"/>
        <v>28</v>
      </c>
      <c r="F8134" s="128" t="s">
        <v>24</v>
      </c>
      <c r="G8134" s="128" t="str">
        <f>VLOOKUP(source[[#This Row],[lending_product_transform]],[3]Mapping!$B$4:$C$37,2,0)</f>
        <v>[Cake] - Cashloan</v>
      </c>
      <c r="H8134" s="128" t="str">
        <f>VLOOKUP(source[[#This Row],[lending_product_transform]],[3]Mapping!$B$3:$D$37,3,0)</f>
        <v>cashloan</v>
      </c>
      <c r="I8134" s="135">
        <v>437153680</v>
      </c>
    </row>
    <row r="8135" spans="1:9" x14ac:dyDescent="0.2">
      <c r="A8135" s="134">
        <v>45866</v>
      </c>
      <c r="B8135" s="135">
        <f>YEAR(source[[#This Row],[report_date]])</f>
        <v>2025</v>
      </c>
      <c r="C8135" s="128">
        <f t="shared" si="379"/>
        <v>7</v>
      </c>
      <c r="D8135" s="136">
        <f t="shared" si="381"/>
        <v>31</v>
      </c>
      <c r="E8135" s="136">
        <f t="shared" si="380"/>
        <v>28</v>
      </c>
      <c r="F8135" s="128" t="s">
        <v>24</v>
      </c>
      <c r="G8135" s="128" t="str">
        <f>VLOOKUP(source[[#This Row],[lending_product_transform]],[3]Mapping!$B$4:$C$37,2,0)</f>
        <v>[Cake] - Cashloan</v>
      </c>
      <c r="H8135" s="128" t="str">
        <f>VLOOKUP(source[[#This Row],[lending_product_transform]],[3]Mapping!$B$3:$D$37,3,0)</f>
        <v>cashloan</v>
      </c>
      <c r="I8135" s="135">
        <v>64000000</v>
      </c>
    </row>
    <row r="8136" spans="1:9" x14ac:dyDescent="0.2">
      <c r="A8136" s="134">
        <v>45866</v>
      </c>
      <c r="B8136" s="135">
        <f>YEAR(source[[#This Row],[report_date]])</f>
        <v>2025</v>
      </c>
      <c r="C8136" s="128">
        <f t="shared" si="379"/>
        <v>7</v>
      </c>
      <c r="D8136" s="136">
        <f t="shared" si="381"/>
        <v>31</v>
      </c>
      <c r="E8136" s="136">
        <f t="shared" si="380"/>
        <v>28</v>
      </c>
      <c r="F8136" s="128" t="s">
        <v>24</v>
      </c>
      <c r="G8136" s="128" t="str">
        <f>VLOOKUP(source[[#This Row],[lending_product_transform]],[3]Mapping!$B$4:$C$37,2,0)</f>
        <v>[Cake] - Cashloan</v>
      </c>
      <c r="H8136" s="128" t="str">
        <f>VLOOKUP(source[[#This Row],[lending_product_transform]],[3]Mapping!$B$3:$D$37,3,0)</f>
        <v>cashloan</v>
      </c>
      <c r="I8136" s="135">
        <v>51500000</v>
      </c>
    </row>
    <row r="8137" spans="1:9" x14ac:dyDescent="0.2">
      <c r="A8137" s="134">
        <v>45866</v>
      </c>
      <c r="B8137" s="135">
        <f>YEAR(source[[#This Row],[report_date]])</f>
        <v>2025</v>
      </c>
      <c r="C8137" s="128">
        <f t="shared" si="379"/>
        <v>7</v>
      </c>
      <c r="D8137" s="136">
        <f t="shared" si="381"/>
        <v>31</v>
      </c>
      <c r="E8137" s="136">
        <f t="shared" si="380"/>
        <v>28</v>
      </c>
      <c r="F8137" s="128" t="s">
        <v>24</v>
      </c>
      <c r="G8137" s="128" t="str">
        <f>VLOOKUP(source[[#This Row],[lending_product_transform]],[3]Mapping!$B$4:$C$37,2,0)</f>
        <v>[Cake] - Cashloan</v>
      </c>
      <c r="H8137" s="128" t="str">
        <f>VLOOKUP(source[[#This Row],[lending_product_transform]],[3]Mapping!$B$3:$D$37,3,0)</f>
        <v>cashloan</v>
      </c>
      <c r="I8137" s="135">
        <v>197709088</v>
      </c>
    </row>
    <row r="8138" spans="1:9" x14ac:dyDescent="0.2">
      <c r="A8138" s="134">
        <v>45866</v>
      </c>
      <c r="B8138" s="135">
        <f>YEAR(source[[#This Row],[report_date]])</f>
        <v>2025</v>
      </c>
      <c r="C8138" s="128">
        <f t="shared" si="379"/>
        <v>7</v>
      </c>
      <c r="D8138" s="136">
        <f t="shared" si="381"/>
        <v>31</v>
      </c>
      <c r="E8138" s="136">
        <f t="shared" si="380"/>
        <v>28</v>
      </c>
      <c r="F8138" s="128" t="s">
        <v>24</v>
      </c>
      <c r="G8138" s="128" t="str">
        <f>VLOOKUP(source[[#This Row],[lending_product_transform]],[3]Mapping!$B$4:$C$37,2,0)</f>
        <v>[Cake] - Cashloan</v>
      </c>
      <c r="H8138" s="128" t="str">
        <f>VLOOKUP(source[[#This Row],[lending_product_transform]],[3]Mapping!$B$3:$D$37,3,0)</f>
        <v>cashloan</v>
      </c>
      <c r="I8138" s="135">
        <v>12547670000</v>
      </c>
    </row>
    <row r="8139" spans="1:9" x14ac:dyDescent="0.2">
      <c r="A8139" s="134">
        <v>45866</v>
      </c>
      <c r="B8139" s="135">
        <f>YEAR(source[[#This Row],[report_date]])</f>
        <v>2025</v>
      </c>
      <c r="C8139" s="128">
        <f t="shared" si="379"/>
        <v>7</v>
      </c>
      <c r="D8139" s="136">
        <f t="shared" si="381"/>
        <v>31</v>
      </c>
      <c r="E8139" s="136">
        <f t="shared" si="380"/>
        <v>28</v>
      </c>
      <c r="F8139" s="128" t="s">
        <v>24</v>
      </c>
      <c r="G8139" s="128" t="str">
        <f>VLOOKUP(source[[#This Row],[lending_product_transform]],[3]Mapping!$B$4:$C$37,2,0)</f>
        <v>[Cake] - Cashloan</v>
      </c>
      <c r="H8139" s="128" t="str">
        <f>VLOOKUP(source[[#This Row],[lending_product_transform]],[3]Mapping!$B$3:$D$37,3,0)</f>
        <v>cashloan</v>
      </c>
      <c r="I8139" s="135">
        <v>13108199</v>
      </c>
    </row>
    <row r="8140" spans="1:9" x14ac:dyDescent="0.2">
      <c r="A8140" s="134">
        <v>45866</v>
      </c>
      <c r="B8140" s="135">
        <f>YEAR(source[[#This Row],[report_date]])</f>
        <v>2025</v>
      </c>
      <c r="C8140" s="128">
        <f t="shared" si="379"/>
        <v>7</v>
      </c>
      <c r="D8140" s="136">
        <f t="shared" si="381"/>
        <v>31</v>
      </c>
      <c r="E8140" s="136">
        <f t="shared" si="380"/>
        <v>28</v>
      </c>
      <c r="F8140" s="128" t="s">
        <v>24</v>
      </c>
      <c r="G8140" s="128" t="str">
        <f>VLOOKUP(source[[#This Row],[lending_product_transform]],[3]Mapping!$B$4:$C$37,2,0)</f>
        <v>[Cake] - Cashloan</v>
      </c>
      <c r="H8140" s="128" t="str">
        <f>VLOOKUP(source[[#This Row],[lending_product_transform]],[3]Mapping!$B$3:$D$37,3,0)</f>
        <v>cashloan</v>
      </c>
      <c r="I8140" s="135">
        <v>0</v>
      </c>
    </row>
    <row r="8141" spans="1:9" x14ac:dyDescent="0.2">
      <c r="A8141" s="134">
        <v>45866</v>
      </c>
      <c r="B8141" s="135">
        <f>YEAR(source[[#This Row],[report_date]])</f>
        <v>2025</v>
      </c>
      <c r="C8141" s="128">
        <f t="shared" si="379"/>
        <v>7</v>
      </c>
      <c r="D8141" s="136">
        <f t="shared" si="381"/>
        <v>31</v>
      </c>
      <c r="E8141" s="136">
        <f t="shared" si="380"/>
        <v>28</v>
      </c>
      <c r="F8141" s="128" t="s">
        <v>24</v>
      </c>
      <c r="G8141" s="128" t="str">
        <f>VLOOKUP(source[[#This Row],[lending_product_transform]],[3]Mapping!$B$4:$C$37,2,0)</f>
        <v>[Cake] - Cashloan</v>
      </c>
      <c r="H8141" s="128" t="str">
        <f>VLOOKUP(source[[#This Row],[lending_product_transform]],[3]Mapping!$B$3:$D$37,3,0)</f>
        <v>cashloan</v>
      </c>
      <c r="I8141" s="135">
        <v>3477561110</v>
      </c>
    </row>
    <row r="8142" spans="1:9" x14ac:dyDescent="0.2">
      <c r="A8142" s="134">
        <v>45866</v>
      </c>
      <c r="B8142" s="135">
        <f>YEAR(source[[#This Row],[report_date]])</f>
        <v>2025</v>
      </c>
      <c r="C8142" s="128">
        <f t="shared" si="379"/>
        <v>7</v>
      </c>
      <c r="D8142" s="136">
        <f t="shared" si="381"/>
        <v>31</v>
      </c>
      <c r="E8142" s="136">
        <f t="shared" si="380"/>
        <v>28</v>
      </c>
      <c r="F8142" s="128" t="s">
        <v>24</v>
      </c>
      <c r="G8142" s="128" t="str">
        <f>VLOOKUP(source[[#This Row],[lending_product_transform]],[3]Mapping!$B$4:$C$37,2,0)</f>
        <v>[Cake] - Cashloan</v>
      </c>
      <c r="H8142" s="128" t="str">
        <f>VLOOKUP(source[[#This Row],[lending_product_transform]],[3]Mapping!$B$3:$D$37,3,0)</f>
        <v>cashloan</v>
      </c>
      <c r="I8142" s="135">
        <v>252707363</v>
      </c>
    </row>
    <row r="8143" spans="1:9" x14ac:dyDescent="0.2">
      <c r="A8143" s="134">
        <v>45866</v>
      </c>
      <c r="B8143" s="135">
        <f>YEAR(source[[#This Row],[report_date]])</f>
        <v>2025</v>
      </c>
      <c r="C8143" s="128">
        <f t="shared" si="379"/>
        <v>7</v>
      </c>
      <c r="D8143" s="136">
        <f t="shared" si="381"/>
        <v>31</v>
      </c>
      <c r="E8143" s="136">
        <f t="shared" si="380"/>
        <v>28</v>
      </c>
      <c r="F8143" s="128" t="s">
        <v>24</v>
      </c>
      <c r="G8143" s="128" t="str">
        <f>VLOOKUP(source[[#This Row],[lending_product_transform]],[3]Mapping!$B$4:$C$37,2,0)</f>
        <v>[Cake] - Cashloan</v>
      </c>
      <c r="H8143" s="128" t="str">
        <f>VLOOKUP(source[[#This Row],[lending_product_transform]],[3]Mapping!$B$3:$D$37,3,0)</f>
        <v>cashloan</v>
      </c>
      <c r="I8143" s="135">
        <v>0</v>
      </c>
    </row>
    <row r="8144" spans="1:9" x14ac:dyDescent="0.2">
      <c r="A8144" s="134">
        <v>45866</v>
      </c>
      <c r="B8144" s="135">
        <f>YEAR(source[[#This Row],[report_date]])</f>
        <v>2025</v>
      </c>
      <c r="C8144" s="128">
        <f t="shared" si="379"/>
        <v>7</v>
      </c>
      <c r="D8144" s="136">
        <f t="shared" si="381"/>
        <v>31</v>
      </c>
      <c r="E8144" s="136">
        <f t="shared" si="380"/>
        <v>28</v>
      </c>
      <c r="F8144" s="128" t="s">
        <v>24</v>
      </c>
      <c r="G8144" s="128" t="str">
        <f>VLOOKUP(source[[#This Row],[lending_product_transform]],[3]Mapping!$B$4:$C$37,2,0)</f>
        <v>[Cake] - Cashloan</v>
      </c>
      <c r="H8144" s="128" t="str">
        <f>VLOOKUP(source[[#This Row],[lending_product_transform]],[3]Mapping!$B$3:$D$37,3,0)</f>
        <v>cashloan</v>
      </c>
      <c r="I8144" s="135">
        <v>5379480000</v>
      </c>
    </row>
    <row r="8145" spans="1:9" x14ac:dyDescent="0.2">
      <c r="A8145" s="134">
        <v>45866</v>
      </c>
      <c r="B8145" s="135">
        <f>YEAR(source[[#This Row],[report_date]])</f>
        <v>2025</v>
      </c>
      <c r="C8145" s="128">
        <f t="shared" si="379"/>
        <v>7</v>
      </c>
      <c r="D8145" s="136">
        <f t="shared" si="381"/>
        <v>31</v>
      </c>
      <c r="E8145" s="136">
        <f t="shared" si="380"/>
        <v>28</v>
      </c>
      <c r="F8145" s="128" t="s">
        <v>24</v>
      </c>
      <c r="G8145" s="128" t="str">
        <f>VLOOKUP(source[[#This Row],[lending_product_transform]],[3]Mapping!$B$4:$C$37,2,0)</f>
        <v>[Cake] - Cashloan</v>
      </c>
      <c r="H8145" s="128" t="str">
        <f>VLOOKUP(source[[#This Row],[lending_product_transform]],[3]Mapping!$B$3:$D$37,3,0)</f>
        <v>cashloan</v>
      </c>
      <c r="I8145" s="135">
        <v>5312304000</v>
      </c>
    </row>
    <row r="8146" spans="1:9" x14ac:dyDescent="0.2">
      <c r="A8146" s="134">
        <v>45866</v>
      </c>
      <c r="B8146" s="135">
        <f>YEAR(source[[#This Row],[report_date]])</f>
        <v>2025</v>
      </c>
      <c r="C8146" s="128">
        <f t="shared" si="379"/>
        <v>7</v>
      </c>
      <c r="D8146" s="136">
        <f t="shared" si="381"/>
        <v>31</v>
      </c>
      <c r="E8146" s="136">
        <f t="shared" si="380"/>
        <v>28</v>
      </c>
      <c r="F8146" s="128" t="s">
        <v>24</v>
      </c>
      <c r="G8146" s="128" t="str">
        <f>VLOOKUP(source[[#This Row],[lending_product_transform]],[3]Mapping!$B$4:$C$37,2,0)</f>
        <v>[Cake] - Cashloan</v>
      </c>
      <c r="H8146" s="128" t="str">
        <f>VLOOKUP(source[[#This Row],[lending_product_transform]],[3]Mapping!$B$3:$D$37,3,0)</f>
        <v>cashloan</v>
      </c>
      <c r="I8146" s="135">
        <v>369600000</v>
      </c>
    </row>
    <row r="8147" spans="1:9" x14ac:dyDescent="0.2">
      <c r="A8147" s="134">
        <v>45866</v>
      </c>
      <c r="B8147" s="135">
        <f>YEAR(source[[#This Row],[report_date]])</f>
        <v>2025</v>
      </c>
      <c r="C8147" s="128">
        <f t="shared" si="379"/>
        <v>7</v>
      </c>
      <c r="D8147" s="136">
        <f t="shared" si="381"/>
        <v>31</v>
      </c>
      <c r="E8147" s="136">
        <f t="shared" si="380"/>
        <v>28</v>
      </c>
      <c r="F8147" s="128" t="s">
        <v>24</v>
      </c>
      <c r="G8147" s="128" t="str">
        <f>VLOOKUP(source[[#This Row],[lending_product_transform]],[3]Mapping!$B$4:$C$37,2,0)</f>
        <v>[Cake] - Cashloan</v>
      </c>
      <c r="H8147" s="128" t="str">
        <f>VLOOKUP(source[[#This Row],[lending_product_transform]],[3]Mapping!$B$3:$D$37,3,0)</f>
        <v>cashloan</v>
      </c>
      <c r="I8147" s="135">
        <v>11569700000</v>
      </c>
    </row>
    <row r="8148" spans="1:9" x14ac:dyDescent="0.2">
      <c r="A8148" s="134">
        <v>45866</v>
      </c>
      <c r="B8148" s="135">
        <f>YEAR(source[[#This Row],[report_date]])</f>
        <v>2025</v>
      </c>
      <c r="C8148" s="128">
        <f t="shared" si="379"/>
        <v>7</v>
      </c>
      <c r="D8148" s="136">
        <f t="shared" si="381"/>
        <v>31</v>
      </c>
      <c r="E8148" s="136">
        <f t="shared" si="380"/>
        <v>28</v>
      </c>
      <c r="F8148" s="128" t="s">
        <v>24</v>
      </c>
      <c r="G8148" s="128" t="str">
        <f>VLOOKUP(source[[#This Row],[lending_product_transform]],[3]Mapping!$B$4:$C$37,2,0)</f>
        <v>[Cake] - Cashloan</v>
      </c>
      <c r="H8148" s="128" t="str">
        <f>VLOOKUP(source[[#This Row],[lending_product_transform]],[3]Mapping!$B$3:$D$37,3,0)</f>
        <v>cashloan</v>
      </c>
      <c r="I8148" s="135">
        <v>0</v>
      </c>
    </row>
    <row r="8149" spans="1:9" x14ac:dyDescent="0.2">
      <c r="A8149" s="134">
        <v>45866</v>
      </c>
      <c r="B8149" s="135">
        <f>YEAR(source[[#This Row],[report_date]])</f>
        <v>2025</v>
      </c>
      <c r="C8149" s="128">
        <f t="shared" si="379"/>
        <v>7</v>
      </c>
      <c r="D8149" s="136">
        <f t="shared" si="381"/>
        <v>31</v>
      </c>
      <c r="E8149" s="136">
        <f t="shared" si="380"/>
        <v>28</v>
      </c>
      <c r="F8149" s="128" t="s">
        <v>24</v>
      </c>
      <c r="G8149" s="128" t="str">
        <f>VLOOKUP(source[[#This Row],[lending_product_transform]],[3]Mapping!$B$4:$C$37,2,0)</f>
        <v>[Cake] - Cashloan</v>
      </c>
      <c r="H8149" s="128" t="str">
        <f>VLOOKUP(source[[#This Row],[lending_product_transform]],[3]Mapping!$B$3:$D$37,3,0)</f>
        <v>cashloan</v>
      </c>
      <c r="I8149" s="135">
        <v>324309000</v>
      </c>
    </row>
    <row r="8150" spans="1:9" x14ac:dyDescent="0.2">
      <c r="A8150" s="134">
        <v>45866</v>
      </c>
      <c r="B8150" s="135">
        <f>YEAR(source[[#This Row],[report_date]])</f>
        <v>2025</v>
      </c>
      <c r="C8150" s="128">
        <f t="shared" si="379"/>
        <v>7</v>
      </c>
      <c r="D8150" s="136">
        <f t="shared" si="381"/>
        <v>31</v>
      </c>
      <c r="E8150" s="136">
        <f t="shared" si="380"/>
        <v>28</v>
      </c>
      <c r="F8150" s="128" t="s">
        <v>24</v>
      </c>
      <c r="G8150" s="128" t="str">
        <f>VLOOKUP(source[[#This Row],[lending_product_transform]],[3]Mapping!$B$4:$C$37,2,0)</f>
        <v>[Cake] - Cashloan</v>
      </c>
      <c r="H8150" s="128" t="str">
        <f>VLOOKUP(source[[#This Row],[lending_product_transform]],[3]Mapping!$B$3:$D$37,3,0)</f>
        <v>cashloan</v>
      </c>
      <c r="I8150" s="135">
        <v>1435020000</v>
      </c>
    </row>
    <row r="8151" spans="1:9" x14ac:dyDescent="0.2">
      <c r="A8151" s="134">
        <v>45866</v>
      </c>
      <c r="B8151" s="135">
        <f>YEAR(source[[#This Row],[report_date]])</f>
        <v>2025</v>
      </c>
      <c r="C8151" s="128">
        <f t="shared" si="379"/>
        <v>7</v>
      </c>
      <c r="D8151" s="136">
        <f t="shared" si="381"/>
        <v>31</v>
      </c>
      <c r="E8151" s="136">
        <f t="shared" si="380"/>
        <v>28</v>
      </c>
      <c r="F8151" s="128" t="s">
        <v>24</v>
      </c>
      <c r="G8151" s="128" t="str">
        <f>VLOOKUP(source[[#This Row],[lending_product_transform]],[3]Mapping!$B$4:$C$37,2,0)</f>
        <v>[Cake] - Cashloan</v>
      </c>
      <c r="H8151" s="128" t="str">
        <f>VLOOKUP(source[[#This Row],[lending_product_transform]],[3]Mapping!$B$3:$D$37,3,0)</f>
        <v>cashloan</v>
      </c>
      <c r="I8151" s="135">
        <v>1716230000</v>
      </c>
    </row>
    <row r="8152" spans="1:9" x14ac:dyDescent="0.2">
      <c r="A8152" s="134">
        <v>45866</v>
      </c>
      <c r="B8152" s="135">
        <f>YEAR(source[[#This Row],[report_date]])</f>
        <v>2025</v>
      </c>
      <c r="C8152" s="128">
        <f t="shared" si="379"/>
        <v>7</v>
      </c>
      <c r="D8152" s="136">
        <f t="shared" si="381"/>
        <v>31</v>
      </c>
      <c r="E8152" s="136">
        <f t="shared" si="380"/>
        <v>28</v>
      </c>
      <c r="F8152" s="128" t="s">
        <v>24</v>
      </c>
      <c r="G8152" s="128" t="str">
        <f>VLOOKUP(source[[#This Row],[lending_product_transform]],[3]Mapping!$B$4:$C$37,2,0)</f>
        <v>[Cake] - Cashloan</v>
      </c>
      <c r="H8152" s="128" t="str">
        <f>VLOOKUP(source[[#This Row],[lending_product_transform]],[3]Mapping!$B$3:$D$37,3,0)</f>
        <v>cashloan</v>
      </c>
      <c r="I8152" s="135">
        <v>38900000</v>
      </c>
    </row>
    <row r="8153" spans="1:9" x14ac:dyDescent="0.2">
      <c r="A8153" s="134">
        <v>45867</v>
      </c>
      <c r="B8153" s="135">
        <f>YEAR(source[[#This Row],[report_date]])</f>
        <v>2025</v>
      </c>
      <c r="C8153" s="128">
        <f t="shared" si="379"/>
        <v>7</v>
      </c>
      <c r="D8153" s="136">
        <f t="shared" si="381"/>
        <v>31</v>
      </c>
      <c r="E8153" s="136">
        <f t="shared" si="380"/>
        <v>29</v>
      </c>
      <c r="F8153" s="128" t="s">
        <v>24</v>
      </c>
      <c r="G8153" s="128" t="str">
        <f>VLOOKUP(source[[#This Row],[lending_product_transform]],[3]Mapping!$B$4:$C$37,2,0)</f>
        <v>[Cake] - Cashloan</v>
      </c>
      <c r="H8153" s="128" t="str">
        <f>VLOOKUP(source[[#This Row],[lending_product_transform]],[3]Mapping!$B$3:$D$37,3,0)</f>
        <v>cashloan</v>
      </c>
      <c r="I8153" s="135">
        <v>0</v>
      </c>
    </row>
    <row r="8154" spans="1:9" x14ac:dyDescent="0.2">
      <c r="A8154" s="134">
        <v>45867</v>
      </c>
      <c r="B8154" s="135">
        <f>YEAR(source[[#This Row],[report_date]])</f>
        <v>2025</v>
      </c>
      <c r="C8154" s="128">
        <f t="shared" si="379"/>
        <v>7</v>
      </c>
      <c r="D8154" s="136">
        <f t="shared" si="381"/>
        <v>31</v>
      </c>
      <c r="E8154" s="136">
        <f t="shared" si="380"/>
        <v>29</v>
      </c>
      <c r="F8154" s="128" t="s">
        <v>24</v>
      </c>
      <c r="G8154" s="128" t="str">
        <f>VLOOKUP(source[[#This Row],[lending_product_transform]],[3]Mapping!$B$4:$C$37,2,0)</f>
        <v>[Cake] - Cashloan</v>
      </c>
      <c r="H8154" s="128" t="str">
        <f>VLOOKUP(source[[#This Row],[lending_product_transform]],[3]Mapping!$B$3:$D$37,3,0)</f>
        <v>cashloan</v>
      </c>
      <c r="I8154" s="135">
        <v>12255140000</v>
      </c>
    </row>
    <row r="8155" spans="1:9" x14ac:dyDescent="0.2">
      <c r="A8155" s="134">
        <v>45867</v>
      </c>
      <c r="B8155" s="135">
        <f>YEAR(source[[#This Row],[report_date]])</f>
        <v>2025</v>
      </c>
      <c r="C8155" s="128">
        <f t="shared" si="379"/>
        <v>7</v>
      </c>
      <c r="D8155" s="136">
        <f t="shared" si="381"/>
        <v>31</v>
      </c>
      <c r="E8155" s="136">
        <f t="shared" si="380"/>
        <v>29</v>
      </c>
      <c r="F8155" s="128" t="s">
        <v>24</v>
      </c>
      <c r="G8155" s="128" t="str">
        <f>VLOOKUP(source[[#This Row],[lending_product_transform]],[3]Mapping!$B$4:$C$37,2,0)</f>
        <v>[Cake] - Cashloan</v>
      </c>
      <c r="H8155" s="128" t="str">
        <f>VLOOKUP(source[[#This Row],[lending_product_transform]],[3]Mapping!$B$3:$D$37,3,0)</f>
        <v>cashloan</v>
      </c>
      <c r="I8155" s="135">
        <v>267557062</v>
      </c>
    </row>
    <row r="8156" spans="1:9" x14ac:dyDescent="0.2">
      <c r="A8156" s="134">
        <v>45867</v>
      </c>
      <c r="B8156" s="135">
        <f>YEAR(source[[#This Row],[report_date]])</f>
        <v>2025</v>
      </c>
      <c r="C8156" s="128">
        <f t="shared" si="379"/>
        <v>7</v>
      </c>
      <c r="D8156" s="136">
        <f t="shared" si="381"/>
        <v>31</v>
      </c>
      <c r="E8156" s="136">
        <f t="shared" si="380"/>
        <v>29</v>
      </c>
      <c r="F8156" s="128" t="s">
        <v>24</v>
      </c>
      <c r="G8156" s="128" t="str">
        <f>VLOOKUP(source[[#This Row],[lending_product_transform]],[3]Mapping!$B$4:$C$37,2,0)</f>
        <v>[Cake] - Cashloan</v>
      </c>
      <c r="H8156" s="128" t="str">
        <f>VLOOKUP(source[[#This Row],[lending_product_transform]],[3]Mapping!$B$3:$D$37,3,0)</f>
        <v>cashloan</v>
      </c>
      <c r="I8156" s="135">
        <v>0</v>
      </c>
    </row>
    <row r="8157" spans="1:9" x14ac:dyDescent="0.2">
      <c r="A8157" s="134">
        <v>45867</v>
      </c>
      <c r="B8157" s="135">
        <f>YEAR(source[[#This Row],[report_date]])</f>
        <v>2025</v>
      </c>
      <c r="C8157" s="128">
        <f t="shared" si="379"/>
        <v>7</v>
      </c>
      <c r="D8157" s="136">
        <f t="shared" si="381"/>
        <v>31</v>
      </c>
      <c r="E8157" s="136">
        <f t="shared" si="380"/>
        <v>29</v>
      </c>
      <c r="F8157" s="128" t="s">
        <v>24</v>
      </c>
      <c r="G8157" s="128" t="str">
        <f>VLOOKUP(source[[#This Row],[lending_product_transform]],[3]Mapping!$B$4:$C$37,2,0)</f>
        <v>[Cake] - Cashloan</v>
      </c>
      <c r="H8157" s="128" t="str">
        <f>VLOOKUP(source[[#This Row],[lending_product_transform]],[3]Mapping!$B$3:$D$37,3,0)</f>
        <v>cashloan</v>
      </c>
      <c r="I8157" s="135">
        <v>4815936000</v>
      </c>
    </row>
    <row r="8158" spans="1:9" x14ac:dyDescent="0.2">
      <c r="A8158" s="134">
        <v>45867</v>
      </c>
      <c r="B8158" s="135">
        <f>YEAR(source[[#This Row],[report_date]])</f>
        <v>2025</v>
      </c>
      <c r="C8158" s="128">
        <f t="shared" si="379"/>
        <v>7</v>
      </c>
      <c r="D8158" s="136">
        <f t="shared" si="381"/>
        <v>31</v>
      </c>
      <c r="E8158" s="136">
        <f t="shared" si="380"/>
        <v>29</v>
      </c>
      <c r="F8158" s="128" t="s">
        <v>24</v>
      </c>
      <c r="G8158" s="128" t="str">
        <f>VLOOKUP(source[[#This Row],[lending_product_transform]],[3]Mapping!$B$4:$C$37,2,0)</f>
        <v>[Cake] - Cashloan</v>
      </c>
      <c r="H8158" s="128" t="str">
        <f>VLOOKUP(source[[#This Row],[lending_product_transform]],[3]Mapping!$B$3:$D$37,3,0)</f>
        <v>cashloan</v>
      </c>
      <c r="I8158" s="135">
        <v>11378960000</v>
      </c>
    </row>
    <row r="8159" spans="1:9" x14ac:dyDescent="0.2">
      <c r="A8159" s="134">
        <v>45867</v>
      </c>
      <c r="B8159" s="135">
        <f>YEAR(source[[#This Row],[report_date]])</f>
        <v>2025</v>
      </c>
      <c r="C8159" s="128">
        <f t="shared" si="379"/>
        <v>7</v>
      </c>
      <c r="D8159" s="136">
        <f t="shared" si="381"/>
        <v>31</v>
      </c>
      <c r="E8159" s="136">
        <f t="shared" si="380"/>
        <v>29</v>
      </c>
      <c r="F8159" s="128" t="s">
        <v>24</v>
      </c>
      <c r="G8159" s="128" t="str">
        <f>VLOOKUP(source[[#This Row],[lending_product_transform]],[3]Mapping!$B$4:$C$37,2,0)</f>
        <v>[Cake] - Cashloan</v>
      </c>
      <c r="H8159" s="128" t="str">
        <f>VLOOKUP(source[[#This Row],[lending_product_transform]],[3]Mapping!$B$3:$D$37,3,0)</f>
        <v>cashloan</v>
      </c>
      <c r="I8159" s="135">
        <v>13883258</v>
      </c>
    </row>
    <row r="8160" spans="1:9" x14ac:dyDescent="0.2">
      <c r="A8160" s="134">
        <v>45867</v>
      </c>
      <c r="B8160" s="135">
        <f>YEAR(source[[#This Row],[report_date]])</f>
        <v>2025</v>
      </c>
      <c r="C8160" s="128">
        <f t="shared" si="379"/>
        <v>7</v>
      </c>
      <c r="D8160" s="136">
        <f t="shared" si="381"/>
        <v>31</v>
      </c>
      <c r="E8160" s="136">
        <f t="shared" si="380"/>
        <v>29</v>
      </c>
      <c r="F8160" s="128" t="s">
        <v>24</v>
      </c>
      <c r="G8160" s="128" t="str">
        <f>VLOOKUP(source[[#This Row],[lending_product_transform]],[3]Mapping!$B$4:$C$37,2,0)</f>
        <v>[Cake] - Cashloan</v>
      </c>
      <c r="H8160" s="128" t="str">
        <f>VLOOKUP(source[[#This Row],[lending_product_transform]],[3]Mapping!$B$3:$D$37,3,0)</f>
        <v>cashloan</v>
      </c>
      <c r="I8160" s="135">
        <v>0</v>
      </c>
    </row>
    <row r="8161" spans="1:9" x14ac:dyDescent="0.2">
      <c r="A8161" s="134">
        <v>45867</v>
      </c>
      <c r="B8161" s="135">
        <f>YEAR(source[[#This Row],[report_date]])</f>
        <v>2025</v>
      </c>
      <c r="C8161" s="128">
        <f t="shared" si="379"/>
        <v>7</v>
      </c>
      <c r="D8161" s="136">
        <f t="shared" si="381"/>
        <v>31</v>
      </c>
      <c r="E8161" s="136">
        <f t="shared" si="380"/>
        <v>29</v>
      </c>
      <c r="F8161" s="128" t="s">
        <v>24</v>
      </c>
      <c r="G8161" s="128" t="str">
        <f>VLOOKUP(source[[#This Row],[lending_product_transform]],[3]Mapping!$B$4:$C$37,2,0)</f>
        <v>[Cake] - Cashloan</v>
      </c>
      <c r="H8161" s="128" t="str">
        <f>VLOOKUP(source[[#This Row],[lending_product_transform]],[3]Mapping!$B$3:$D$37,3,0)</f>
        <v>cashloan</v>
      </c>
      <c r="I8161" s="135">
        <v>62000000</v>
      </c>
    </row>
    <row r="8162" spans="1:9" x14ac:dyDescent="0.2">
      <c r="A8162" s="134">
        <v>45867</v>
      </c>
      <c r="B8162" s="135">
        <f>YEAR(source[[#This Row],[report_date]])</f>
        <v>2025</v>
      </c>
      <c r="C8162" s="128">
        <f t="shared" si="379"/>
        <v>7</v>
      </c>
      <c r="D8162" s="136">
        <f t="shared" si="381"/>
        <v>31</v>
      </c>
      <c r="E8162" s="136">
        <f t="shared" si="380"/>
        <v>29</v>
      </c>
      <c r="F8162" s="128" t="s">
        <v>24</v>
      </c>
      <c r="G8162" s="128" t="str">
        <f>VLOOKUP(source[[#This Row],[lending_product_transform]],[3]Mapping!$B$4:$C$37,2,0)</f>
        <v>[Cake] - Cashloan</v>
      </c>
      <c r="H8162" s="128" t="str">
        <f>VLOOKUP(source[[#This Row],[lending_product_transform]],[3]Mapping!$B$3:$D$37,3,0)</f>
        <v>cashloan</v>
      </c>
      <c r="I8162" s="135">
        <v>22000000</v>
      </c>
    </row>
    <row r="8163" spans="1:9" x14ac:dyDescent="0.2">
      <c r="A8163" s="134">
        <v>45867</v>
      </c>
      <c r="B8163" s="135">
        <f>YEAR(source[[#This Row],[report_date]])</f>
        <v>2025</v>
      </c>
      <c r="C8163" s="128">
        <f t="shared" si="379"/>
        <v>7</v>
      </c>
      <c r="D8163" s="136">
        <f t="shared" si="381"/>
        <v>31</v>
      </c>
      <c r="E8163" s="136">
        <f t="shared" si="380"/>
        <v>29</v>
      </c>
      <c r="F8163" s="128" t="s">
        <v>24</v>
      </c>
      <c r="G8163" s="128" t="str">
        <f>VLOOKUP(source[[#This Row],[lending_product_transform]],[3]Mapping!$B$4:$C$37,2,0)</f>
        <v>[Cake] - Cashloan</v>
      </c>
      <c r="H8163" s="128" t="str">
        <f>VLOOKUP(source[[#This Row],[lending_product_transform]],[3]Mapping!$B$3:$D$37,3,0)</f>
        <v>cashloan</v>
      </c>
      <c r="I8163" s="135">
        <v>4553280000</v>
      </c>
    </row>
    <row r="8164" spans="1:9" x14ac:dyDescent="0.2">
      <c r="A8164" s="134">
        <v>45867</v>
      </c>
      <c r="B8164" s="135">
        <f>YEAR(source[[#This Row],[report_date]])</f>
        <v>2025</v>
      </c>
      <c r="C8164" s="128">
        <f t="shared" si="379"/>
        <v>7</v>
      </c>
      <c r="D8164" s="136">
        <f t="shared" si="381"/>
        <v>31</v>
      </c>
      <c r="E8164" s="136">
        <f t="shared" si="380"/>
        <v>29</v>
      </c>
      <c r="F8164" s="128" t="s">
        <v>24</v>
      </c>
      <c r="G8164" s="128" t="str">
        <f>VLOOKUP(source[[#This Row],[lending_product_transform]],[3]Mapping!$B$4:$C$37,2,0)</f>
        <v>[Cake] - Cashloan</v>
      </c>
      <c r="H8164" s="128" t="str">
        <f>VLOOKUP(source[[#This Row],[lending_product_transform]],[3]Mapping!$B$3:$D$37,3,0)</f>
        <v>cashloan</v>
      </c>
      <c r="I8164" s="135">
        <v>0</v>
      </c>
    </row>
    <row r="8165" spans="1:9" x14ac:dyDescent="0.2">
      <c r="A8165" s="134">
        <v>45867</v>
      </c>
      <c r="B8165" s="135">
        <f>YEAR(source[[#This Row],[report_date]])</f>
        <v>2025</v>
      </c>
      <c r="C8165" s="128">
        <f t="shared" si="379"/>
        <v>7</v>
      </c>
      <c r="D8165" s="136">
        <f t="shared" si="381"/>
        <v>31</v>
      </c>
      <c r="E8165" s="136">
        <f t="shared" si="380"/>
        <v>29</v>
      </c>
      <c r="F8165" s="128" t="s">
        <v>24</v>
      </c>
      <c r="G8165" s="128" t="str">
        <f>VLOOKUP(source[[#This Row],[lending_product_transform]],[3]Mapping!$B$4:$C$37,2,0)</f>
        <v>[Cake] - Cashloan</v>
      </c>
      <c r="H8165" s="128" t="str">
        <f>VLOOKUP(source[[#This Row],[lending_product_transform]],[3]Mapping!$B$3:$D$37,3,0)</f>
        <v>cashloan</v>
      </c>
      <c r="I8165" s="135">
        <v>410970000</v>
      </c>
    </row>
    <row r="8166" spans="1:9" x14ac:dyDescent="0.2">
      <c r="A8166" s="134">
        <v>45867</v>
      </c>
      <c r="B8166" s="135">
        <f>YEAR(source[[#This Row],[report_date]])</f>
        <v>2025</v>
      </c>
      <c r="C8166" s="128">
        <f t="shared" si="379"/>
        <v>7</v>
      </c>
      <c r="D8166" s="136">
        <f t="shared" si="381"/>
        <v>31</v>
      </c>
      <c r="E8166" s="136">
        <f t="shared" si="380"/>
        <v>29</v>
      </c>
      <c r="F8166" s="128" t="s">
        <v>24</v>
      </c>
      <c r="G8166" s="128" t="str">
        <f>VLOOKUP(source[[#This Row],[lending_product_transform]],[3]Mapping!$B$4:$C$37,2,0)</f>
        <v>[Cake] - Cashloan</v>
      </c>
      <c r="H8166" s="128" t="str">
        <f>VLOOKUP(source[[#This Row],[lending_product_transform]],[3]Mapping!$B$3:$D$37,3,0)</f>
        <v>cashloan</v>
      </c>
      <c r="I8166" s="135">
        <v>401087000</v>
      </c>
    </row>
    <row r="8167" spans="1:9" x14ac:dyDescent="0.2">
      <c r="A8167" s="134">
        <v>45867</v>
      </c>
      <c r="B8167" s="135">
        <f>YEAR(source[[#This Row],[report_date]])</f>
        <v>2025</v>
      </c>
      <c r="C8167" s="128">
        <f t="shared" si="379"/>
        <v>7</v>
      </c>
      <c r="D8167" s="136">
        <f t="shared" si="381"/>
        <v>31</v>
      </c>
      <c r="E8167" s="136">
        <f t="shared" si="380"/>
        <v>29</v>
      </c>
      <c r="F8167" s="128" t="s">
        <v>24</v>
      </c>
      <c r="G8167" s="128" t="str">
        <f>VLOOKUP(source[[#This Row],[lending_product_transform]],[3]Mapping!$B$4:$C$37,2,0)</f>
        <v>[Cake] - Cashloan</v>
      </c>
      <c r="H8167" s="128" t="str">
        <f>VLOOKUP(source[[#This Row],[lending_product_transform]],[3]Mapping!$B$3:$D$37,3,0)</f>
        <v>cashloan</v>
      </c>
      <c r="I8167" s="135">
        <v>2031860000</v>
      </c>
    </row>
    <row r="8168" spans="1:9" x14ac:dyDescent="0.2">
      <c r="A8168" s="134">
        <v>45867</v>
      </c>
      <c r="B8168" s="135">
        <f>YEAR(source[[#This Row],[report_date]])</f>
        <v>2025</v>
      </c>
      <c r="C8168" s="128">
        <f t="shared" si="379"/>
        <v>7</v>
      </c>
      <c r="D8168" s="136">
        <f t="shared" si="381"/>
        <v>31</v>
      </c>
      <c r="E8168" s="136">
        <f t="shared" si="380"/>
        <v>29</v>
      </c>
      <c r="F8168" s="128" t="s">
        <v>24</v>
      </c>
      <c r="G8168" s="128" t="str">
        <f>VLOOKUP(source[[#This Row],[lending_product_transform]],[3]Mapping!$B$4:$C$37,2,0)</f>
        <v>[Cake] - Cashloan</v>
      </c>
      <c r="H8168" s="128" t="str">
        <f>VLOOKUP(source[[#This Row],[lending_product_transform]],[3]Mapping!$B$3:$D$37,3,0)</f>
        <v>cashloan</v>
      </c>
      <c r="I8168" s="135">
        <v>1638690000</v>
      </c>
    </row>
    <row r="8169" spans="1:9" x14ac:dyDescent="0.2">
      <c r="A8169" s="134">
        <v>45867</v>
      </c>
      <c r="B8169" s="135">
        <f>YEAR(source[[#This Row],[report_date]])</f>
        <v>2025</v>
      </c>
      <c r="C8169" s="128">
        <f t="shared" si="379"/>
        <v>7</v>
      </c>
      <c r="D8169" s="136">
        <f t="shared" si="381"/>
        <v>31</v>
      </c>
      <c r="E8169" s="136">
        <f t="shared" si="380"/>
        <v>29</v>
      </c>
      <c r="F8169" s="128" t="s">
        <v>24</v>
      </c>
      <c r="G8169" s="128" t="str">
        <f>VLOOKUP(source[[#This Row],[lending_product_transform]],[3]Mapping!$B$4:$C$37,2,0)</f>
        <v>[Cake] - Cashloan</v>
      </c>
      <c r="H8169" s="128" t="str">
        <f>VLOOKUP(source[[#This Row],[lending_product_transform]],[3]Mapping!$B$3:$D$37,3,0)</f>
        <v>cashloan</v>
      </c>
      <c r="I8169" s="135">
        <v>196274965</v>
      </c>
    </row>
    <row r="8170" spans="1:9" x14ac:dyDescent="0.2">
      <c r="A8170" s="134">
        <v>45867</v>
      </c>
      <c r="B8170" s="135">
        <f>YEAR(source[[#This Row],[report_date]])</f>
        <v>2025</v>
      </c>
      <c r="C8170" s="128">
        <f t="shared" si="379"/>
        <v>7</v>
      </c>
      <c r="D8170" s="136">
        <f t="shared" si="381"/>
        <v>31</v>
      </c>
      <c r="E8170" s="136">
        <f t="shared" si="380"/>
        <v>29</v>
      </c>
      <c r="F8170" s="128" t="s">
        <v>24</v>
      </c>
      <c r="G8170" s="128" t="str">
        <f>VLOOKUP(source[[#This Row],[lending_product_transform]],[3]Mapping!$B$4:$C$37,2,0)</f>
        <v>[Cake] - Cashloan</v>
      </c>
      <c r="H8170" s="128" t="str">
        <f>VLOOKUP(source[[#This Row],[lending_product_transform]],[3]Mapping!$B$3:$D$37,3,0)</f>
        <v>cashloan</v>
      </c>
      <c r="I8170" s="135">
        <v>463003573</v>
      </c>
    </row>
    <row r="8171" spans="1:9" x14ac:dyDescent="0.2">
      <c r="A8171" s="134">
        <v>45867</v>
      </c>
      <c r="B8171" s="135">
        <f>YEAR(source[[#This Row],[report_date]])</f>
        <v>2025</v>
      </c>
      <c r="C8171" s="128">
        <f t="shared" si="379"/>
        <v>7</v>
      </c>
      <c r="D8171" s="136">
        <f t="shared" si="381"/>
        <v>31</v>
      </c>
      <c r="E8171" s="136">
        <f t="shared" si="380"/>
        <v>29</v>
      </c>
      <c r="F8171" s="128" t="s">
        <v>24</v>
      </c>
      <c r="G8171" s="128" t="str">
        <f>VLOOKUP(source[[#This Row],[lending_product_transform]],[3]Mapping!$B$4:$C$37,2,0)</f>
        <v>[Cake] - Cashloan</v>
      </c>
      <c r="H8171" s="128" t="str">
        <f>VLOOKUP(source[[#This Row],[lending_product_transform]],[3]Mapping!$B$3:$D$37,3,0)</f>
        <v>cashloan</v>
      </c>
      <c r="I8171" s="135">
        <v>2979513107</v>
      </c>
    </row>
    <row r="8172" spans="1:9" x14ac:dyDescent="0.2">
      <c r="A8172" s="134">
        <v>45868</v>
      </c>
      <c r="B8172" s="135">
        <f>YEAR(source[[#This Row],[report_date]])</f>
        <v>2025</v>
      </c>
      <c r="C8172" s="128">
        <f t="shared" si="379"/>
        <v>7</v>
      </c>
      <c r="D8172" s="136">
        <f t="shared" si="381"/>
        <v>31</v>
      </c>
      <c r="E8172" s="136">
        <f t="shared" si="380"/>
        <v>30</v>
      </c>
      <c r="F8172" s="128" t="s">
        <v>24</v>
      </c>
      <c r="G8172" s="128" t="str">
        <f>VLOOKUP(source[[#This Row],[lending_product_transform]],[3]Mapping!$B$4:$C$37,2,0)</f>
        <v>[Cake] - Cashloan</v>
      </c>
      <c r="H8172" s="128" t="str">
        <f>VLOOKUP(source[[#This Row],[lending_product_transform]],[3]Mapping!$B$3:$D$37,3,0)</f>
        <v>cashloan</v>
      </c>
      <c r="I8172" s="135">
        <v>38712877</v>
      </c>
    </row>
    <row r="8173" spans="1:9" x14ac:dyDescent="0.2">
      <c r="A8173" s="134">
        <v>45868</v>
      </c>
      <c r="B8173" s="135">
        <f>YEAR(source[[#This Row],[report_date]])</f>
        <v>2025</v>
      </c>
      <c r="C8173" s="128">
        <f t="shared" si="379"/>
        <v>7</v>
      </c>
      <c r="D8173" s="136">
        <f t="shared" si="381"/>
        <v>31</v>
      </c>
      <c r="E8173" s="136">
        <f t="shared" si="380"/>
        <v>30</v>
      </c>
      <c r="F8173" s="128" t="s">
        <v>24</v>
      </c>
      <c r="G8173" s="128" t="str">
        <f>VLOOKUP(source[[#This Row],[lending_product_transform]],[3]Mapping!$B$4:$C$37,2,0)</f>
        <v>[Cake] - Cashloan</v>
      </c>
      <c r="H8173" s="128" t="str">
        <f>VLOOKUP(source[[#This Row],[lending_product_transform]],[3]Mapping!$B$3:$D$37,3,0)</f>
        <v>cashloan</v>
      </c>
      <c r="I8173" s="135">
        <v>56700000</v>
      </c>
    </row>
    <row r="8174" spans="1:9" x14ac:dyDescent="0.2">
      <c r="A8174" s="134">
        <v>45868</v>
      </c>
      <c r="B8174" s="135">
        <f>YEAR(source[[#This Row],[report_date]])</f>
        <v>2025</v>
      </c>
      <c r="C8174" s="128">
        <f t="shared" si="379"/>
        <v>7</v>
      </c>
      <c r="D8174" s="136">
        <f t="shared" si="381"/>
        <v>31</v>
      </c>
      <c r="E8174" s="136">
        <f t="shared" si="380"/>
        <v>30</v>
      </c>
      <c r="F8174" s="128" t="s">
        <v>24</v>
      </c>
      <c r="G8174" s="128" t="str">
        <f>VLOOKUP(source[[#This Row],[lending_product_transform]],[3]Mapping!$B$4:$C$37,2,0)</f>
        <v>[Cake] - Cashloan</v>
      </c>
      <c r="H8174" s="128" t="str">
        <f>VLOOKUP(source[[#This Row],[lending_product_transform]],[3]Mapping!$B$3:$D$37,3,0)</f>
        <v>cashloan</v>
      </c>
      <c r="I8174" s="135">
        <v>11350020000</v>
      </c>
    </row>
    <row r="8175" spans="1:9" x14ac:dyDescent="0.2">
      <c r="A8175" s="134">
        <v>45868</v>
      </c>
      <c r="B8175" s="135">
        <f>YEAR(source[[#This Row],[report_date]])</f>
        <v>2025</v>
      </c>
      <c r="C8175" s="128">
        <f t="shared" si="379"/>
        <v>7</v>
      </c>
      <c r="D8175" s="136">
        <f t="shared" si="381"/>
        <v>31</v>
      </c>
      <c r="E8175" s="136">
        <f t="shared" si="380"/>
        <v>30</v>
      </c>
      <c r="F8175" s="128" t="s">
        <v>24</v>
      </c>
      <c r="G8175" s="128" t="str">
        <f>VLOOKUP(source[[#This Row],[lending_product_transform]],[3]Mapping!$B$4:$C$37,2,0)</f>
        <v>[Cake] - Cashloan</v>
      </c>
      <c r="H8175" s="128" t="str">
        <f>VLOOKUP(source[[#This Row],[lending_product_transform]],[3]Mapping!$B$3:$D$37,3,0)</f>
        <v>cashloan</v>
      </c>
      <c r="I8175" s="135">
        <v>0</v>
      </c>
    </row>
    <row r="8176" spans="1:9" x14ac:dyDescent="0.2">
      <c r="A8176" s="134">
        <v>45868</v>
      </c>
      <c r="B8176" s="135">
        <f>YEAR(source[[#This Row],[report_date]])</f>
        <v>2025</v>
      </c>
      <c r="C8176" s="128">
        <f t="shared" si="379"/>
        <v>7</v>
      </c>
      <c r="D8176" s="136">
        <f t="shared" si="381"/>
        <v>31</v>
      </c>
      <c r="E8176" s="136">
        <f t="shared" si="380"/>
        <v>30</v>
      </c>
      <c r="F8176" s="128" t="s">
        <v>24</v>
      </c>
      <c r="G8176" s="128" t="str">
        <f>VLOOKUP(source[[#This Row],[lending_product_transform]],[3]Mapping!$B$4:$C$37,2,0)</f>
        <v>[Cake] - Cashloan</v>
      </c>
      <c r="H8176" s="128" t="str">
        <f>VLOOKUP(source[[#This Row],[lending_product_transform]],[3]Mapping!$B$3:$D$37,3,0)</f>
        <v>cashloan</v>
      </c>
      <c r="I8176" s="135">
        <v>4693248000</v>
      </c>
    </row>
    <row r="8177" spans="1:9" x14ac:dyDescent="0.2">
      <c r="A8177" s="134">
        <v>45868</v>
      </c>
      <c r="B8177" s="135">
        <f>YEAR(source[[#This Row],[report_date]])</f>
        <v>2025</v>
      </c>
      <c r="C8177" s="128">
        <f t="shared" si="379"/>
        <v>7</v>
      </c>
      <c r="D8177" s="136">
        <f t="shared" si="381"/>
        <v>31</v>
      </c>
      <c r="E8177" s="136">
        <f t="shared" si="380"/>
        <v>30</v>
      </c>
      <c r="F8177" s="128" t="s">
        <v>24</v>
      </c>
      <c r="G8177" s="128" t="str">
        <f>VLOOKUP(source[[#This Row],[lending_product_transform]],[3]Mapping!$B$4:$C$37,2,0)</f>
        <v>[Cake] - Cashloan</v>
      </c>
      <c r="H8177" s="128" t="str">
        <f>VLOOKUP(source[[#This Row],[lending_product_transform]],[3]Mapping!$B$3:$D$37,3,0)</f>
        <v>cashloan</v>
      </c>
      <c r="I8177" s="135">
        <v>0</v>
      </c>
    </row>
    <row r="8178" spans="1:9" x14ac:dyDescent="0.2">
      <c r="A8178" s="134">
        <v>45868</v>
      </c>
      <c r="B8178" s="135">
        <f>YEAR(source[[#This Row],[report_date]])</f>
        <v>2025</v>
      </c>
      <c r="C8178" s="128">
        <f t="shared" si="379"/>
        <v>7</v>
      </c>
      <c r="D8178" s="136">
        <f t="shared" si="381"/>
        <v>31</v>
      </c>
      <c r="E8178" s="136">
        <f t="shared" si="380"/>
        <v>30</v>
      </c>
      <c r="F8178" s="128" t="s">
        <v>24</v>
      </c>
      <c r="G8178" s="128" t="str">
        <f>VLOOKUP(source[[#This Row],[lending_product_transform]],[3]Mapping!$B$4:$C$37,2,0)</f>
        <v>[Cake] - Cashloan</v>
      </c>
      <c r="H8178" s="128" t="str">
        <f>VLOOKUP(source[[#This Row],[lending_product_transform]],[3]Mapping!$B$3:$D$37,3,0)</f>
        <v>cashloan</v>
      </c>
      <c r="I8178" s="135">
        <v>0</v>
      </c>
    </row>
    <row r="8179" spans="1:9" x14ac:dyDescent="0.2">
      <c r="A8179" s="134">
        <v>45868</v>
      </c>
      <c r="B8179" s="135">
        <f>YEAR(source[[#This Row],[report_date]])</f>
        <v>2025</v>
      </c>
      <c r="C8179" s="128">
        <f t="shared" si="379"/>
        <v>7</v>
      </c>
      <c r="D8179" s="136">
        <f t="shared" si="381"/>
        <v>31</v>
      </c>
      <c r="E8179" s="136">
        <f t="shared" si="380"/>
        <v>30</v>
      </c>
      <c r="F8179" s="128" t="s">
        <v>24</v>
      </c>
      <c r="G8179" s="128" t="str">
        <f>VLOOKUP(source[[#This Row],[lending_product_transform]],[3]Mapping!$B$4:$C$37,2,0)</f>
        <v>[Cake] - Cashloan</v>
      </c>
      <c r="H8179" s="128" t="str">
        <f>VLOOKUP(source[[#This Row],[lending_product_transform]],[3]Mapping!$B$3:$D$37,3,0)</f>
        <v>cashloan</v>
      </c>
      <c r="I8179" s="135">
        <v>375850000</v>
      </c>
    </row>
    <row r="8180" spans="1:9" x14ac:dyDescent="0.2">
      <c r="A8180" s="134">
        <v>45868</v>
      </c>
      <c r="B8180" s="135">
        <f>YEAR(source[[#This Row],[report_date]])</f>
        <v>2025</v>
      </c>
      <c r="C8180" s="128">
        <f t="shared" si="379"/>
        <v>7</v>
      </c>
      <c r="D8180" s="136">
        <f t="shared" si="381"/>
        <v>31</v>
      </c>
      <c r="E8180" s="136">
        <f t="shared" si="380"/>
        <v>30</v>
      </c>
      <c r="F8180" s="128" t="s">
        <v>24</v>
      </c>
      <c r="G8180" s="128" t="str">
        <f>VLOOKUP(source[[#This Row],[lending_product_transform]],[3]Mapping!$B$4:$C$37,2,0)</f>
        <v>[Cake] - Cashloan</v>
      </c>
      <c r="H8180" s="128" t="str">
        <f>VLOOKUP(source[[#This Row],[lending_product_transform]],[3]Mapping!$B$3:$D$37,3,0)</f>
        <v>cashloan</v>
      </c>
      <c r="I8180" s="135">
        <v>7000000</v>
      </c>
    </row>
    <row r="8181" spans="1:9" x14ac:dyDescent="0.2">
      <c r="A8181" s="134">
        <v>45868</v>
      </c>
      <c r="B8181" s="135">
        <f>YEAR(source[[#This Row],[report_date]])</f>
        <v>2025</v>
      </c>
      <c r="C8181" s="128">
        <f t="shared" si="379"/>
        <v>7</v>
      </c>
      <c r="D8181" s="136">
        <f t="shared" si="381"/>
        <v>31</v>
      </c>
      <c r="E8181" s="136">
        <f t="shared" si="380"/>
        <v>30</v>
      </c>
      <c r="F8181" s="128" t="s">
        <v>24</v>
      </c>
      <c r="G8181" s="128" t="str">
        <f>VLOOKUP(source[[#This Row],[lending_product_transform]],[3]Mapping!$B$4:$C$37,2,0)</f>
        <v>[Cake] - Cashloan</v>
      </c>
      <c r="H8181" s="128" t="str">
        <f>VLOOKUP(source[[#This Row],[lending_product_transform]],[3]Mapping!$B$3:$D$37,3,0)</f>
        <v>cashloan</v>
      </c>
      <c r="I8181" s="135">
        <v>3837240000</v>
      </c>
    </row>
    <row r="8182" spans="1:9" x14ac:dyDescent="0.2">
      <c r="A8182" s="134">
        <v>45868</v>
      </c>
      <c r="B8182" s="135">
        <f>YEAR(source[[#This Row],[report_date]])</f>
        <v>2025</v>
      </c>
      <c r="C8182" s="128">
        <f t="shared" ref="C8182:C8245" si="382">MONTH(A8182)</f>
        <v>7</v>
      </c>
      <c r="D8182" s="136">
        <f t="shared" si="381"/>
        <v>31</v>
      </c>
      <c r="E8182" s="136">
        <f t="shared" ref="E8182:E8245" si="383">DAY(A8182)</f>
        <v>30</v>
      </c>
      <c r="F8182" s="128" t="s">
        <v>24</v>
      </c>
      <c r="G8182" s="128" t="str">
        <f>VLOOKUP(source[[#This Row],[lending_product_transform]],[3]Mapping!$B$4:$C$37,2,0)</f>
        <v>[Cake] - Cashloan</v>
      </c>
      <c r="H8182" s="128" t="str">
        <f>VLOOKUP(source[[#This Row],[lending_product_transform]],[3]Mapping!$B$3:$D$37,3,0)</f>
        <v>cashloan</v>
      </c>
      <c r="I8182" s="135">
        <v>14700000</v>
      </c>
    </row>
    <row r="8183" spans="1:9" x14ac:dyDescent="0.2">
      <c r="A8183" s="134">
        <v>45868</v>
      </c>
      <c r="B8183" s="135">
        <f>YEAR(source[[#This Row],[report_date]])</f>
        <v>2025</v>
      </c>
      <c r="C8183" s="128">
        <f t="shared" si="382"/>
        <v>7</v>
      </c>
      <c r="D8183" s="136">
        <f t="shared" si="381"/>
        <v>31</v>
      </c>
      <c r="E8183" s="136">
        <f t="shared" si="383"/>
        <v>30</v>
      </c>
      <c r="F8183" s="128" t="s">
        <v>24</v>
      </c>
      <c r="G8183" s="128" t="str">
        <f>VLOOKUP(source[[#This Row],[lending_product_transform]],[3]Mapping!$B$4:$C$37,2,0)</f>
        <v>[Cake] - Cashloan</v>
      </c>
      <c r="H8183" s="128" t="str">
        <f>VLOOKUP(source[[#This Row],[lending_product_transform]],[3]Mapping!$B$3:$D$37,3,0)</f>
        <v>cashloan</v>
      </c>
      <c r="I8183" s="135">
        <v>494872000</v>
      </c>
    </row>
    <row r="8184" spans="1:9" x14ac:dyDescent="0.2">
      <c r="A8184" s="134">
        <v>45868</v>
      </c>
      <c r="B8184" s="135">
        <f>YEAR(source[[#This Row],[report_date]])</f>
        <v>2025</v>
      </c>
      <c r="C8184" s="128">
        <f t="shared" si="382"/>
        <v>7</v>
      </c>
      <c r="D8184" s="136">
        <f t="shared" si="381"/>
        <v>31</v>
      </c>
      <c r="E8184" s="136">
        <f t="shared" si="383"/>
        <v>30</v>
      </c>
      <c r="F8184" s="128" t="s">
        <v>24</v>
      </c>
      <c r="G8184" s="128" t="str">
        <f>VLOOKUP(source[[#This Row],[lending_product_transform]],[3]Mapping!$B$4:$C$37,2,0)</f>
        <v>[Cake] - Cashloan</v>
      </c>
      <c r="H8184" s="128" t="str">
        <f>VLOOKUP(source[[#This Row],[lending_product_transform]],[3]Mapping!$B$3:$D$37,3,0)</f>
        <v>cashloan</v>
      </c>
      <c r="I8184" s="135">
        <v>1125190000</v>
      </c>
    </row>
    <row r="8185" spans="1:9" x14ac:dyDescent="0.2">
      <c r="A8185" s="134">
        <v>45868</v>
      </c>
      <c r="B8185" s="135">
        <f>YEAR(source[[#This Row],[report_date]])</f>
        <v>2025</v>
      </c>
      <c r="C8185" s="128">
        <f t="shared" si="382"/>
        <v>7</v>
      </c>
      <c r="D8185" s="136">
        <f t="shared" si="381"/>
        <v>31</v>
      </c>
      <c r="E8185" s="136">
        <f t="shared" si="383"/>
        <v>30</v>
      </c>
      <c r="F8185" s="128" t="s">
        <v>24</v>
      </c>
      <c r="G8185" s="128" t="str">
        <f>VLOOKUP(source[[#This Row],[lending_product_transform]],[3]Mapping!$B$4:$C$37,2,0)</f>
        <v>[Cake] - Cashloan</v>
      </c>
      <c r="H8185" s="128" t="str">
        <f>VLOOKUP(source[[#This Row],[lending_product_transform]],[3]Mapping!$B$3:$D$37,3,0)</f>
        <v>cashloan</v>
      </c>
      <c r="I8185" s="135">
        <v>1498430000</v>
      </c>
    </row>
    <row r="8186" spans="1:9" x14ac:dyDescent="0.2">
      <c r="A8186" s="134">
        <v>45868</v>
      </c>
      <c r="B8186" s="135">
        <f>YEAR(source[[#This Row],[report_date]])</f>
        <v>2025</v>
      </c>
      <c r="C8186" s="128">
        <f t="shared" si="382"/>
        <v>7</v>
      </c>
      <c r="D8186" s="136">
        <f t="shared" si="381"/>
        <v>31</v>
      </c>
      <c r="E8186" s="136">
        <f t="shared" si="383"/>
        <v>30</v>
      </c>
      <c r="F8186" s="128" t="s">
        <v>24</v>
      </c>
      <c r="G8186" s="128" t="str">
        <f>VLOOKUP(source[[#This Row],[lending_product_transform]],[3]Mapping!$B$4:$C$37,2,0)</f>
        <v>[Cake] - Cashloan</v>
      </c>
      <c r="H8186" s="128" t="str">
        <f>VLOOKUP(source[[#This Row],[lending_product_transform]],[3]Mapping!$B$3:$D$37,3,0)</f>
        <v>cashloan</v>
      </c>
      <c r="I8186" s="135">
        <v>190863787</v>
      </c>
    </row>
    <row r="8187" spans="1:9" x14ac:dyDescent="0.2">
      <c r="A8187" s="134">
        <v>45868</v>
      </c>
      <c r="B8187" s="135">
        <f>YEAR(source[[#This Row],[report_date]])</f>
        <v>2025</v>
      </c>
      <c r="C8187" s="128">
        <f t="shared" si="382"/>
        <v>7</v>
      </c>
      <c r="D8187" s="136">
        <f t="shared" si="381"/>
        <v>31</v>
      </c>
      <c r="E8187" s="136">
        <f t="shared" si="383"/>
        <v>30</v>
      </c>
      <c r="F8187" s="128" t="s">
        <v>24</v>
      </c>
      <c r="G8187" s="128" t="str">
        <f>VLOOKUP(source[[#This Row],[lending_product_transform]],[3]Mapping!$B$4:$C$37,2,0)</f>
        <v>[Cake] - Cashloan</v>
      </c>
      <c r="H8187" s="128" t="str">
        <f>VLOOKUP(source[[#This Row],[lending_product_transform]],[3]Mapping!$B$3:$D$37,3,0)</f>
        <v>cashloan</v>
      </c>
      <c r="I8187" s="135">
        <v>418310834</v>
      </c>
    </row>
    <row r="8188" spans="1:9" x14ac:dyDescent="0.2">
      <c r="A8188" s="134">
        <v>45868</v>
      </c>
      <c r="B8188" s="135">
        <f>YEAR(source[[#This Row],[report_date]])</f>
        <v>2025</v>
      </c>
      <c r="C8188" s="128">
        <f t="shared" si="382"/>
        <v>7</v>
      </c>
      <c r="D8188" s="136">
        <f t="shared" si="381"/>
        <v>31</v>
      </c>
      <c r="E8188" s="136">
        <f t="shared" si="383"/>
        <v>30</v>
      </c>
      <c r="F8188" s="128" t="s">
        <v>24</v>
      </c>
      <c r="G8188" s="128" t="str">
        <f>VLOOKUP(source[[#This Row],[lending_product_transform]],[3]Mapping!$B$4:$C$37,2,0)</f>
        <v>[Cake] - Cashloan</v>
      </c>
      <c r="H8188" s="128" t="str">
        <f>VLOOKUP(source[[#This Row],[lending_product_transform]],[3]Mapping!$B$3:$D$37,3,0)</f>
        <v>cashloan</v>
      </c>
      <c r="I8188" s="135">
        <v>3508995386</v>
      </c>
    </row>
    <row r="8189" spans="1:9" x14ac:dyDescent="0.2">
      <c r="A8189" s="134">
        <v>45868</v>
      </c>
      <c r="B8189" s="135">
        <f>YEAR(source[[#This Row],[report_date]])</f>
        <v>2025</v>
      </c>
      <c r="C8189" s="128">
        <f t="shared" si="382"/>
        <v>7</v>
      </c>
      <c r="D8189" s="136">
        <f t="shared" si="381"/>
        <v>31</v>
      </c>
      <c r="E8189" s="136">
        <f t="shared" si="383"/>
        <v>30</v>
      </c>
      <c r="F8189" s="128" t="s">
        <v>24</v>
      </c>
      <c r="G8189" s="128" t="str">
        <f>VLOOKUP(source[[#This Row],[lending_product_transform]],[3]Mapping!$B$4:$C$37,2,0)</f>
        <v>[Cake] - Cashloan</v>
      </c>
      <c r="H8189" s="128" t="str">
        <f>VLOOKUP(source[[#This Row],[lending_product_transform]],[3]Mapping!$B$3:$D$37,3,0)</f>
        <v>cashloan</v>
      </c>
      <c r="I8189" s="135">
        <v>250646826</v>
      </c>
    </row>
    <row r="8190" spans="1:9" x14ac:dyDescent="0.2">
      <c r="A8190" s="134">
        <v>45868</v>
      </c>
      <c r="B8190" s="135">
        <f>YEAR(source[[#This Row],[report_date]])</f>
        <v>2025</v>
      </c>
      <c r="C8190" s="128">
        <f t="shared" si="382"/>
        <v>7</v>
      </c>
      <c r="D8190" s="136">
        <f t="shared" si="381"/>
        <v>31</v>
      </c>
      <c r="E8190" s="136">
        <f t="shared" si="383"/>
        <v>30</v>
      </c>
      <c r="F8190" s="128" t="s">
        <v>24</v>
      </c>
      <c r="G8190" s="128" t="str">
        <f>VLOOKUP(source[[#This Row],[lending_product_transform]],[3]Mapping!$B$4:$C$37,2,0)</f>
        <v>[Cake] - Cashloan</v>
      </c>
      <c r="H8190" s="128" t="str">
        <f>VLOOKUP(source[[#This Row],[lending_product_transform]],[3]Mapping!$B$3:$D$37,3,0)</f>
        <v>cashloan</v>
      </c>
      <c r="I8190" s="135">
        <v>11287750000</v>
      </c>
    </row>
    <row r="8191" spans="1:9" x14ac:dyDescent="0.2">
      <c r="A8191" s="134">
        <v>45869</v>
      </c>
      <c r="B8191" s="135">
        <f>YEAR(source[[#This Row],[report_date]])</f>
        <v>2025</v>
      </c>
      <c r="C8191" s="128">
        <f t="shared" si="382"/>
        <v>7</v>
      </c>
      <c r="D8191" s="136">
        <f t="shared" si="381"/>
        <v>31</v>
      </c>
      <c r="E8191" s="136">
        <f t="shared" si="383"/>
        <v>31</v>
      </c>
      <c r="F8191" s="128" t="s">
        <v>24</v>
      </c>
      <c r="G8191" s="128" t="str">
        <f>VLOOKUP(source[[#This Row],[lending_product_transform]],[3]Mapping!$B$4:$C$37,2,0)</f>
        <v>[Cake] - Cashloan</v>
      </c>
      <c r="H8191" s="128" t="str">
        <f>VLOOKUP(source[[#This Row],[lending_product_transform]],[3]Mapping!$B$3:$D$37,3,0)</f>
        <v>cashloan</v>
      </c>
      <c r="I8191" s="135">
        <v>0</v>
      </c>
    </row>
    <row r="8192" spans="1:9" x14ac:dyDescent="0.2">
      <c r="A8192" s="134">
        <v>45869</v>
      </c>
      <c r="B8192" s="135">
        <f>YEAR(source[[#This Row],[report_date]])</f>
        <v>2025</v>
      </c>
      <c r="C8192" s="128">
        <f t="shared" si="382"/>
        <v>7</v>
      </c>
      <c r="D8192" s="136">
        <f t="shared" si="381"/>
        <v>31</v>
      </c>
      <c r="E8192" s="136">
        <f t="shared" si="383"/>
        <v>31</v>
      </c>
      <c r="F8192" s="128" t="s">
        <v>24</v>
      </c>
      <c r="G8192" s="128" t="str">
        <f>VLOOKUP(source[[#This Row],[lending_product_transform]],[3]Mapping!$B$4:$C$37,2,0)</f>
        <v>[Cake] - Cashloan</v>
      </c>
      <c r="H8192" s="128" t="str">
        <f>VLOOKUP(source[[#This Row],[lending_product_transform]],[3]Mapping!$B$3:$D$37,3,0)</f>
        <v>cashloan</v>
      </c>
      <c r="I8192" s="135">
        <v>1776480000</v>
      </c>
    </row>
    <row r="8193" spans="1:9" x14ac:dyDescent="0.2">
      <c r="A8193" s="134">
        <v>45869</v>
      </c>
      <c r="B8193" s="135">
        <f>YEAR(source[[#This Row],[report_date]])</f>
        <v>2025</v>
      </c>
      <c r="C8193" s="128">
        <f t="shared" si="382"/>
        <v>7</v>
      </c>
      <c r="D8193" s="136">
        <f t="shared" si="381"/>
        <v>31</v>
      </c>
      <c r="E8193" s="136">
        <f t="shared" si="383"/>
        <v>31</v>
      </c>
      <c r="F8193" s="128" t="s">
        <v>24</v>
      </c>
      <c r="G8193" s="128" t="str">
        <f>VLOOKUP(source[[#This Row],[lending_product_transform]],[3]Mapping!$B$4:$C$37,2,0)</f>
        <v>[Cake] - Cashloan</v>
      </c>
      <c r="H8193" s="128" t="str">
        <f>VLOOKUP(source[[#This Row],[lending_product_transform]],[3]Mapping!$B$3:$D$37,3,0)</f>
        <v>cashloan</v>
      </c>
      <c r="I8193" s="135">
        <v>29400000</v>
      </c>
    </row>
    <row r="8194" spans="1:9" x14ac:dyDescent="0.2">
      <c r="A8194" s="134">
        <v>45869</v>
      </c>
      <c r="B8194" s="135">
        <f>YEAR(source[[#This Row],[report_date]])</f>
        <v>2025</v>
      </c>
      <c r="C8194" s="128">
        <f t="shared" si="382"/>
        <v>7</v>
      </c>
      <c r="D8194" s="136">
        <f t="shared" si="381"/>
        <v>31</v>
      </c>
      <c r="E8194" s="136">
        <f t="shared" si="383"/>
        <v>31</v>
      </c>
      <c r="F8194" s="128" t="s">
        <v>24</v>
      </c>
      <c r="G8194" s="128" t="str">
        <f>VLOOKUP(source[[#This Row],[lending_product_transform]],[3]Mapping!$B$4:$C$37,2,0)</f>
        <v>[Cake] - Cashloan</v>
      </c>
      <c r="H8194" s="128" t="str">
        <f>VLOOKUP(source[[#This Row],[lending_product_transform]],[3]Mapping!$B$3:$D$37,3,0)</f>
        <v>cashloan</v>
      </c>
      <c r="I8194" s="135">
        <v>23000000</v>
      </c>
    </row>
    <row r="8195" spans="1:9" x14ac:dyDescent="0.2">
      <c r="A8195" s="134">
        <v>45869</v>
      </c>
      <c r="B8195" s="135">
        <f>YEAR(source[[#This Row],[report_date]])</f>
        <v>2025</v>
      </c>
      <c r="C8195" s="128">
        <f t="shared" si="382"/>
        <v>7</v>
      </c>
      <c r="D8195" s="136">
        <f t="shared" ref="D8195:D8258" si="384">WEEKNUM(A8195,2)</f>
        <v>31</v>
      </c>
      <c r="E8195" s="136">
        <f t="shared" si="383"/>
        <v>31</v>
      </c>
      <c r="F8195" s="128" t="s">
        <v>24</v>
      </c>
      <c r="G8195" s="128" t="str">
        <f>VLOOKUP(source[[#This Row],[lending_product_transform]],[3]Mapping!$B$4:$C$37,2,0)</f>
        <v>[Cake] - Cashloan</v>
      </c>
      <c r="H8195" s="128" t="str">
        <f>VLOOKUP(source[[#This Row],[lending_product_transform]],[3]Mapping!$B$3:$D$37,3,0)</f>
        <v>cashloan</v>
      </c>
      <c r="I8195" s="135">
        <v>1702480000</v>
      </c>
    </row>
    <row r="8196" spans="1:9" x14ac:dyDescent="0.2">
      <c r="A8196" s="134">
        <v>45869</v>
      </c>
      <c r="B8196" s="135">
        <f>YEAR(source[[#This Row],[report_date]])</f>
        <v>2025</v>
      </c>
      <c r="C8196" s="128">
        <f t="shared" si="382"/>
        <v>7</v>
      </c>
      <c r="D8196" s="136">
        <f t="shared" si="384"/>
        <v>31</v>
      </c>
      <c r="E8196" s="136">
        <f t="shared" si="383"/>
        <v>31</v>
      </c>
      <c r="F8196" s="128" t="s">
        <v>24</v>
      </c>
      <c r="G8196" s="128" t="str">
        <f>VLOOKUP(source[[#This Row],[lending_product_transform]],[3]Mapping!$B$4:$C$37,2,0)</f>
        <v>[Cake] - Cashloan</v>
      </c>
      <c r="H8196" s="128" t="str">
        <f>VLOOKUP(source[[#This Row],[lending_product_transform]],[3]Mapping!$B$3:$D$37,3,0)</f>
        <v>cashloan</v>
      </c>
      <c r="I8196" s="135">
        <v>32602726</v>
      </c>
    </row>
    <row r="8197" spans="1:9" x14ac:dyDescent="0.2">
      <c r="A8197" s="134">
        <v>45869</v>
      </c>
      <c r="B8197" s="135">
        <f>YEAR(source[[#This Row],[report_date]])</f>
        <v>2025</v>
      </c>
      <c r="C8197" s="128">
        <f t="shared" si="382"/>
        <v>7</v>
      </c>
      <c r="D8197" s="136">
        <f t="shared" si="384"/>
        <v>31</v>
      </c>
      <c r="E8197" s="136">
        <f t="shared" si="383"/>
        <v>31</v>
      </c>
      <c r="F8197" s="128" t="s">
        <v>24</v>
      </c>
      <c r="G8197" s="128" t="str">
        <f>VLOOKUP(source[[#This Row],[lending_product_transform]],[3]Mapping!$B$4:$C$37,2,0)</f>
        <v>[Cake] - Cashloan</v>
      </c>
      <c r="H8197" s="128" t="str">
        <f>VLOOKUP(source[[#This Row],[lending_product_transform]],[3]Mapping!$B$3:$D$37,3,0)</f>
        <v>cashloan</v>
      </c>
      <c r="I8197" s="135">
        <v>212622699</v>
      </c>
    </row>
    <row r="8198" spans="1:9" x14ac:dyDescent="0.2">
      <c r="A8198" s="134">
        <v>45869</v>
      </c>
      <c r="B8198" s="135">
        <f>YEAR(source[[#This Row],[report_date]])</f>
        <v>2025</v>
      </c>
      <c r="C8198" s="128">
        <f t="shared" si="382"/>
        <v>7</v>
      </c>
      <c r="D8198" s="136">
        <f t="shared" si="384"/>
        <v>31</v>
      </c>
      <c r="E8198" s="136">
        <f t="shared" si="383"/>
        <v>31</v>
      </c>
      <c r="F8198" s="128" t="s">
        <v>24</v>
      </c>
      <c r="G8198" s="128" t="str">
        <f>VLOOKUP(source[[#This Row],[lending_product_transform]],[3]Mapping!$B$4:$C$37,2,0)</f>
        <v>[Cake] - Cashloan</v>
      </c>
      <c r="H8198" s="128" t="str">
        <f>VLOOKUP(source[[#This Row],[lending_product_transform]],[3]Mapping!$B$3:$D$37,3,0)</f>
        <v>cashloan</v>
      </c>
      <c r="I8198" s="135">
        <v>3873960000</v>
      </c>
    </row>
    <row r="8199" spans="1:9" x14ac:dyDescent="0.2">
      <c r="A8199" s="134">
        <v>45869</v>
      </c>
      <c r="B8199" s="135">
        <f>YEAR(source[[#This Row],[report_date]])</f>
        <v>2025</v>
      </c>
      <c r="C8199" s="128">
        <f t="shared" si="382"/>
        <v>7</v>
      </c>
      <c r="D8199" s="136">
        <f t="shared" si="384"/>
        <v>31</v>
      </c>
      <c r="E8199" s="136">
        <f t="shared" si="383"/>
        <v>31</v>
      </c>
      <c r="F8199" s="128" t="s">
        <v>24</v>
      </c>
      <c r="G8199" s="128" t="str">
        <f>VLOOKUP(source[[#This Row],[lending_product_transform]],[3]Mapping!$B$4:$C$37,2,0)</f>
        <v>[Cake] - Cashloan</v>
      </c>
      <c r="H8199" s="128" t="str">
        <f>VLOOKUP(source[[#This Row],[lending_product_transform]],[3]Mapping!$B$3:$D$37,3,0)</f>
        <v>cashloan</v>
      </c>
      <c r="I8199" s="135">
        <v>0</v>
      </c>
    </row>
    <row r="8200" spans="1:9" x14ac:dyDescent="0.2">
      <c r="A8200" s="134">
        <v>45869</v>
      </c>
      <c r="B8200" s="135">
        <f>YEAR(source[[#This Row],[report_date]])</f>
        <v>2025</v>
      </c>
      <c r="C8200" s="128">
        <f t="shared" si="382"/>
        <v>7</v>
      </c>
      <c r="D8200" s="136">
        <f t="shared" si="384"/>
        <v>31</v>
      </c>
      <c r="E8200" s="136">
        <f t="shared" si="383"/>
        <v>31</v>
      </c>
      <c r="F8200" s="128" t="s">
        <v>24</v>
      </c>
      <c r="G8200" s="128" t="str">
        <f>VLOOKUP(source[[#This Row],[lending_product_transform]],[3]Mapping!$B$4:$C$37,2,0)</f>
        <v>[Cake] - Cashloan</v>
      </c>
      <c r="H8200" s="128" t="str">
        <f>VLOOKUP(source[[#This Row],[lending_product_transform]],[3]Mapping!$B$3:$D$37,3,0)</f>
        <v>cashloan</v>
      </c>
      <c r="I8200" s="135">
        <v>481210000</v>
      </c>
    </row>
    <row r="8201" spans="1:9" x14ac:dyDescent="0.2">
      <c r="A8201" s="134">
        <v>45869</v>
      </c>
      <c r="B8201" s="135">
        <f>YEAR(source[[#This Row],[report_date]])</f>
        <v>2025</v>
      </c>
      <c r="C8201" s="128">
        <f t="shared" si="382"/>
        <v>7</v>
      </c>
      <c r="D8201" s="136">
        <f t="shared" si="384"/>
        <v>31</v>
      </c>
      <c r="E8201" s="136">
        <f t="shared" si="383"/>
        <v>31</v>
      </c>
      <c r="F8201" s="128" t="s">
        <v>24</v>
      </c>
      <c r="G8201" s="128" t="str">
        <f>VLOOKUP(source[[#This Row],[lending_product_transform]],[3]Mapping!$B$4:$C$37,2,0)</f>
        <v>[Cake] - Cashloan</v>
      </c>
      <c r="H8201" s="128" t="str">
        <f>VLOOKUP(source[[#This Row],[lending_product_transform]],[3]Mapping!$B$3:$D$37,3,0)</f>
        <v>cashloan</v>
      </c>
      <c r="I8201" s="135">
        <v>413202000</v>
      </c>
    </row>
    <row r="8202" spans="1:9" x14ac:dyDescent="0.2">
      <c r="A8202" s="134">
        <v>45869</v>
      </c>
      <c r="B8202" s="135">
        <f>YEAR(source[[#This Row],[report_date]])</f>
        <v>2025</v>
      </c>
      <c r="C8202" s="128">
        <f t="shared" si="382"/>
        <v>7</v>
      </c>
      <c r="D8202" s="136">
        <f t="shared" si="384"/>
        <v>31</v>
      </c>
      <c r="E8202" s="136">
        <f t="shared" si="383"/>
        <v>31</v>
      </c>
      <c r="F8202" s="128" t="s">
        <v>24</v>
      </c>
      <c r="G8202" s="128" t="str">
        <f>VLOOKUP(source[[#This Row],[lending_product_transform]],[3]Mapping!$B$4:$C$37,2,0)</f>
        <v>[Cake] - Cashloan</v>
      </c>
      <c r="H8202" s="128" t="str">
        <f>VLOOKUP(source[[#This Row],[lending_product_transform]],[3]Mapping!$B$3:$D$37,3,0)</f>
        <v>cashloan</v>
      </c>
      <c r="I8202" s="135">
        <v>32550000</v>
      </c>
    </row>
    <row r="8203" spans="1:9" x14ac:dyDescent="0.2">
      <c r="A8203" s="134">
        <v>45869</v>
      </c>
      <c r="B8203" s="135">
        <f>YEAR(source[[#This Row],[report_date]])</f>
        <v>2025</v>
      </c>
      <c r="C8203" s="128">
        <f t="shared" si="382"/>
        <v>7</v>
      </c>
      <c r="D8203" s="136">
        <f t="shared" si="384"/>
        <v>31</v>
      </c>
      <c r="E8203" s="136">
        <f t="shared" si="383"/>
        <v>31</v>
      </c>
      <c r="F8203" s="128" t="s">
        <v>24</v>
      </c>
      <c r="G8203" s="128" t="str">
        <f>VLOOKUP(source[[#This Row],[lending_product_transform]],[3]Mapping!$B$4:$C$37,2,0)</f>
        <v>[Cake] - Cashloan</v>
      </c>
      <c r="H8203" s="128" t="str">
        <f>VLOOKUP(source[[#This Row],[lending_product_transform]],[3]Mapping!$B$3:$D$37,3,0)</f>
        <v>cashloan</v>
      </c>
      <c r="I8203" s="135">
        <v>268264489</v>
      </c>
    </row>
    <row r="8204" spans="1:9" x14ac:dyDescent="0.2">
      <c r="A8204" s="134">
        <v>45869</v>
      </c>
      <c r="B8204" s="135">
        <f>YEAR(source[[#This Row],[report_date]])</f>
        <v>2025</v>
      </c>
      <c r="C8204" s="128">
        <f t="shared" si="382"/>
        <v>7</v>
      </c>
      <c r="D8204" s="136">
        <f t="shared" si="384"/>
        <v>31</v>
      </c>
      <c r="E8204" s="136">
        <f t="shared" si="383"/>
        <v>31</v>
      </c>
      <c r="F8204" s="128" t="s">
        <v>24</v>
      </c>
      <c r="G8204" s="128" t="str">
        <f>VLOOKUP(source[[#This Row],[lending_product_transform]],[3]Mapping!$B$4:$C$37,2,0)</f>
        <v>[Cake] - Cashloan</v>
      </c>
      <c r="H8204" s="128" t="str">
        <f>VLOOKUP(source[[#This Row],[lending_product_transform]],[3]Mapping!$B$3:$D$37,3,0)</f>
        <v>cashloan</v>
      </c>
      <c r="I8204" s="135">
        <v>12034830000</v>
      </c>
    </row>
    <row r="8205" spans="1:9" x14ac:dyDescent="0.2">
      <c r="A8205" s="134">
        <v>45869</v>
      </c>
      <c r="B8205" s="135">
        <f>YEAR(source[[#This Row],[report_date]])</f>
        <v>2025</v>
      </c>
      <c r="C8205" s="128">
        <f t="shared" si="382"/>
        <v>7</v>
      </c>
      <c r="D8205" s="136">
        <f t="shared" si="384"/>
        <v>31</v>
      </c>
      <c r="E8205" s="136">
        <f t="shared" si="383"/>
        <v>31</v>
      </c>
      <c r="F8205" s="128" t="s">
        <v>24</v>
      </c>
      <c r="G8205" s="128" t="str">
        <f>VLOOKUP(source[[#This Row],[lending_product_transform]],[3]Mapping!$B$4:$C$37,2,0)</f>
        <v>[Cake] - Cashloan</v>
      </c>
      <c r="H8205" s="128" t="str">
        <f>VLOOKUP(source[[#This Row],[lending_product_transform]],[3]Mapping!$B$3:$D$37,3,0)</f>
        <v>cashloan</v>
      </c>
      <c r="I8205" s="135">
        <v>489329625</v>
      </c>
    </row>
    <row r="8206" spans="1:9" x14ac:dyDescent="0.2">
      <c r="A8206" s="134">
        <v>45869</v>
      </c>
      <c r="B8206" s="135">
        <f>YEAR(source[[#This Row],[report_date]])</f>
        <v>2025</v>
      </c>
      <c r="C8206" s="128">
        <f t="shared" si="382"/>
        <v>7</v>
      </c>
      <c r="D8206" s="136">
        <f t="shared" si="384"/>
        <v>31</v>
      </c>
      <c r="E8206" s="136">
        <f t="shared" si="383"/>
        <v>31</v>
      </c>
      <c r="F8206" s="128" t="s">
        <v>24</v>
      </c>
      <c r="G8206" s="128" t="str">
        <f>VLOOKUP(source[[#This Row],[lending_product_transform]],[3]Mapping!$B$4:$C$37,2,0)</f>
        <v>[Cake] - Cashloan</v>
      </c>
      <c r="H8206" s="128" t="str">
        <f>VLOOKUP(source[[#This Row],[lending_product_transform]],[3]Mapping!$B$3:$D$37,3,0)</f>
        <v>cashloan</v>
      </c>
      <c r="I8206" s="135">
        <v>8881780000</v>
      </c>
    </row>
    <row r="8207" spans="1:9" x14ac:dyDescent="0.2">
      <c r="A8207" s="134">
        <v>45869</v>
      </c>
      <c r="B8207" s="135">
        <f>YEAR(source[[#This Row],[report_date]])</f>
        <v>2025</v>
      </c>
      <c r="C8207" s="128">
        <f t="shared" si="382"/>
        <v>7</v>
      </c>
      <c r="D8207" s="136">
        <f t="shared" si="384"/>
        <v>31</v>
      </c>
      <c r="E8207" s="136">
        <f t="shared" si="383"/>
        <v>31</v>
      </c>
      <c r="F8207" s="128" t="s">
        <v>24</v>
      </c>
      <c r="G8207" s="128" t="str">
        <f>VLOOKUP(source[[#This Row],[lending_product_transform]],[3]Mapping!$B$4:$C$37,2,0)</f>
        <v>[Cake] - Cashloan</v>
      </c>
      <c r="H8207" s="128" t="str">
        <f>VLOOKUP(source[[#This Row],[lending_product_transform]],[3]Mapping!$B$3:$D$37,3,0)</f>
        <v>cashloan</v>
      </c>
      <c r="I8207" s="135">
        <v>4037137514</v>
      </c>
    </row>
    <row r="8208" spans="1:9" x14ac:dyDescent="0.2">
      <c r="A8208" s="134">
        <v>45869</v>
      </c>
      <c r="B8208" s="135">
        <f>YEAR(source[[#This Row],[report_date]])</f>
        <v>2025</v>
      </c>
      <c r="C8208" s="128">
        <f t="shared" si="382"/>
        <v>7</v>
      </c>
      <c r="D8208" s="136">
        <f t="shared" si="384"/>
        <v>31</v>
      </c>
      <c r="E8208" s="136">
        <f t="shared" si="383"/>
        <v>31</v>
      </c>
      <c r="F8208" s="128" t="s">
        <v>24</v>
      </c>
      <c r="G8208" s="128" t="str">
        <f>VLOOKUP(source[[#This Row],[lending_product_transform]],[3]Mapping!$B$4:$C$37,2,0)</f>
        <v>[Cake] - Cashloan</v>
      </c>
      <c r="H8208" s="128" t="str">
        <f>VLOOKUP(source[[#This Row],[lending_product_transform]],[3]Mapping!$B$3:$D$37,3,0)</f>
        <v>cashloan</v>
      </c>
      <c r="I8208" s="135">
        <v>4199688000</v>
      </c>
    </row>
    <row r="8209" spans="1:9" x14ac:dyDescent="0.2">
      <c r="A8209" s="134">
        <v>45869</v>
      </c>
      <c r="B8209" s="135">
        <f>YEAR(source[[#This Row],[report_date]])</f>
        <v>2025</v>
      </c>
      <c r="C8209" s="128">
        <f t="shared" si="382"/>
        <v>7</v>
      </c>
      <c r="D8209" s="136">
        <f t="shared" si="384"/>
        <v>31</v>
      </c>
      <c r="E8209" s="136">
        <f t="shared" si="383"/>
        <v>31</v>
      </c>
      <c r="F8209" s="128" t="s">
        <v>24</v>
      </c>
      <c r="G8209" s="128" t="str">
        <f>VLOOKUP(source[[#This Row],[lending_product_transform]],[3]Mapping!$B$4:$C$37,2,0)</f>
        <v>[Cake] - Cashloan</v>
      </c>
      <c r="H8209" s="128" t="str">
        <f>VLOOKUP(source[[#This Row],[lending_product_transform]],[3]Mapping!$B$3:$D$37,3,0)</f>
        <v>cashloan</v>
      </c>
      <c r="I8209" s="135">
        <v>0</v>
      </c>
    </row>
    <row r="8210" spans="1:9" x14ac:dyDescent="0.2">
      <c r="A8210" s="134">
        <v>45870</v>
      </c>
      <c r="B8210" s="135">
        <f>YEAR(source[[#This Row],[report_date]])</f>
        <v>2025</v>
      </c>
      <c r="C8210" s="128">
        <f t="shared" si="382"/>
        <v>8</v>
      </c>
      <c r="D8210" s="136">
        <f t="shared" si="384"/>
        <v>31</v>
      </c>
      <c r="E8210" s="136">
        <f t="shared" si="383"/>
        <v>1</v>
      </c>
      <c r="F8210" s="128" t="s">
        <v>24</v>
      </c>
      <c r="G8210" s="128" t="str">
        <f>VLOOKUP(source[[#This Row],[lending_product_transform]],[3]Mapping!$B$4:$C$37,2,0)</f>
        <v>[Cake] - Cashloan</v>
      </c>
      <c r="H8210" s="128" t="str">
        <f>VLOOKUP(source[[#This Row],[lending_product_transform]],[3]Mapping!$B$3:$D$37,3,0)</f>
        <v>cashloan</v>
      </c>
      <c r="I8210" s="173">
        <v>536478000</v>
      </c>
    </row>
    <row r="8211" spans="1:9" x14ac:dyDescent="0.2">
      <c r="A8211" s="134">
        <v>45870</v>
      </c>
      <c r="B8211" s="135">
        <f>YEAR(source[[#This Row],[report_date]])</f>
        <v>2025</v>
      </c>
      <c r="C8211" s="128">
        <f t="shared" si="382"/>
        <v>8</v>
      </c>
      <c r="D8211" s="136">
        <f t="shared" si="384"/>
        <v>31</v>
      </c>
      <c r="E8211" s="136">
        <f t="shared" si="383"/>
        <v>1</v>
      </c>
      <c r="F8211" s="128" t="s">
        <v>24</v>
      </c>
      <c r="G8211" s="128" t="str">
        <f>VLOOKUP(source[[#This Row],[lending_product_transform]],[3]Mapping!$B$4:$C$37,2,0)</f>
        <v>[Cake] - Cashloan</v>
      </c>
      <c r="H8211" s="128" t="str">
        <f>VLOOKUP(source[[#This Row],[lending_product_transform]],[3]Mapping!$B$3:$D$37,3,0)</f>
        <v>cashloan</v>
      </c>
      <c r="I8211" s="173">
        <v>10623570000</v>
      </c>
    </row>
    <row r="8212" spans="1:9" x14ac:dyDescent="0.2">
      <c r="A8212" s="134">
        <v>45870</v>
      </c>
      <c r="B8212" s="135">
        <f>YEAR(source[[#This Row],[report_date]])</f>
        <v>2025</v>
      </c>
      <c r="C8212" s="128">
        <f t="shared" si="382"/>
        <v>8</v>
      </c>
      <c r="D8212" s="136">
        <f t="shared" si="384"/>
        <v>31</v>
      </c>
      <c r="E8212" s="136">
        <f t="shared" si="383"/>
        <v>1</v>
      </c>
      <c r="F8212" s="128" t="s">
        <v>24</v>
      </c>
      <c r="G8212" s="128" t="str">
        <f>VLOOKUP(source[[#This Row],[lending_product_transform]],[3]Mapping!$B$4:$C$37,2,0)</f>
        <v>[Cake] - Cashloan</v>
      </c>
      <c r="H8212" s="128" t="str">
        <f>VLOOKUP(source[[#This Row],[lending_product_transform]],[3]Mapping!$B$3:$D$37,3,0)</f>
        <v>cashloan</v>
      </c>
      <c r="I8212" s="173">
        <v>840017961</v>
      </c>
    </row>
    <row r="8213" spans="1:9" x14ac:dyDescent="0.2">
      <c r="A8213" s="134">
        <v>45870</v>
      </c>
      <c r="B8213" s="135">
        <f>YEAR(source[[#This Row],[report_date]])</f>
        <v>2025</v>
      </c>
      <c r="C8213" s="128">
        <f t="shared" si="382"/>
        <v>8</v>
      </c>
      <c r="D8213" s="136">
        <f t="shared" si="384"/>
        <v>31</v>
      </c>
      <c r="E8213" s="136">
        <f t="shared" si="383"/>
        <v>1</v>
      </c>
      <c r="F8213" s="128" t="s">
        <v>24</v>
      </c>
      <c r="G8213" s="128" t="str">
        <f>VLOOKUP(source[[#This Row],[lending_product_transform]],[3]Mapping!$B$4:$C$37,2,0)</f>
        <v>[Cake] - Cashloan</v>
      </c>
      <c r="H8213" s="128" t="str">
        <f>VLOOKUP(source[[#This Row],[lending_product_transform]],[3]Mapping!$B$3:$D$37,3,0)</f>
        <v>cashloan</v>
      </c>
      <c r="I8213" s="173">
        <v>0</v>
      </c>
    </row>
    <row r="8214" spans="1:9" x14ac:dyDescent="0.2">
      <c r="A8214" s="134">
        <v>45870</v>
      </c>
      <c r="B8214" s="135">
        <f>YEAR(source[[#This Row],[report_date]])</f>
        <v>2025</v>
      </c>
      <c r="C8214" s="128">
        <f t="shared" si="382"/>
        <v>8</v>
      </c>
      <c r="D8214" s="136">
        <f t="shared" si="384"/>
        <v>31</v>
      </c>
      <c r="E8214" s="136">
        <f t="shared" si="383"/>
        <v>1</v>
      </c>
      <c r="F8214" s="128" t="s">
        <v>24</v>
      </c>
      <c r="G8214" s="128" t="str">
        <f>VLOOKUP(source[[#This Row],[lending_product_transform]],[3]Mapping!$B$4:$C$37,2,0)</f>
        <v>[Cake] - Cashloan</v>
      </c>
      <c r="H8214" s="128" t="str">
        <f>VLOOKUP(source[[#This Row],[lending_product_transform]],[3]Mapping!$B$3:$D$37,3,0)</f>
        <v>cashloan</v>
      </c>
      <c r="I8214" s="173">
        <v>244090911</v>
      </c>
    </row>
    <row r="8215" spans="1:9" x14ac:dyDescent="0.2">
      <c r="A8215" s="134">
        <v>45870</v>
      </c>
      <c r="B8215" s="135">
        <f>YEAR(source[[#This Row],[report_date]])</f>
        <v>2025</v>
      </c>
      <c r="C8215" s="128">
        <f t="shared" si="382"/>
        <v>8</v>
      </c>
      <c r="D8215" s="136">
        <f t="shared" si="384"/>
        <v>31</v>
      </c>
      <c r="E8215" s="136">
        <f t="shared" si="383"/>
        <v>1</v>
      </c>
      <c r="F8215" s="128" t="s">
        <v>24</v>
      </c>
      <c r="G8215" s="128" t="str">
        <f>VLOOKUP(source[[#This Row],[lending_product_transform]],[3]Mapping!$B$4:$C$37,2,0)</f>
        <v>[Cake] - Cashloan</v>
      </c>
      <c r="H8215" s="128" t="str">
        <f>VLOOKUP(source[[#This Row],[lending_product_transform]],[3]Mapping!$B$3:$D$37,3,0)</f>
        <v>cashloan</v>
      </c>
      <c r="I8215" s="173">
        <v>4689360000</v>
      </c>
    </row>
    <row r="8216" spans="1:9" x14ac:dyDescent="0.2">
      <c r="A8216" s="134">
        <v>45870</v>
      </c>
      <c r="B8216" s="135">
        <f>YEAR(source[[#This Row],[report_date]])</f>
        <v>2025</v>
      </c>
      <c r="C8216" s="128">
        <f t="shared" si="382"/>
        <v>8</v>
      </c>
      <c r="D8216" s="136">
        <f t="shared" si="384"/>
        <v>31</v>
      </c>
      <c r="E8216" s="136">
        <f t="shared" si="383"/>
        <v>1</v>
      </c>
      <c r="F8216" s="128" t="s">
        <v>24</v>
      </c>
      <c r="G8216" s="128" t="str">
        <f>VLOOKUP(source[[#This Row],[lending_product_transform]],[3]Mapping!$B$4:$C$37,2,0)</f>
        <v>[Cake] - Cashloan</v>
      </c>
      <c r="H8216" s="128" t="str">
        <f>VLOOKUP(source[[#This Row],[lending_product_transform]],[3]Mapping!$B$3:$D$37,3,0)</f>
        <v>cashloan</v>
      </c>
      <c r="I8216" s="173">
        <v>387150000</v>
      </c>
    </row>
    <row r="8217" spans="1:9" x14ac:dyDescent="0.2">
      <c r="A8217" s="134">
        <v>45870</v>
      </c>
      <c r="B8217" s="135">
        <f>YEAR(source[[#This Row],[report_date]])</f>
        <v>2025</v>
      </c>
      <c r="C8217" s="128">
        <f t="shared" si="382"/>
        <v>8</v>
      </c>
      <c r="D8217" s="136">
        <f t="shared" si="384"/>
        <v>31</v>
      </c>
      <c r="E8217" s="136">
        <f t="shared" si="383"/>
        <v>1</v>
      </c>
      <c r="F8217" s="128" t="s">
        <v>24</v>
      </c>
      <c r="G8217" s="128" t="str">
        <f>VLOOKUP(source[[#This Row],[lending_product_transform]],[3]Mapping!$B$4:$C$37,2,0)</f>
        <v>[Cake] - Cashloan</v>
      </c>
      <c r="H8217" s="128" t="str">
        <f>VLOOKUP(source[[#This Row],[lending_product_transform]],[3]Mapping!$B$3:$D$37,3,0)</f>
        <v>cashloan</v>
      </c>
      <c r="I8217" s="173">
        <v>0</v>
      </c>
    </row>
    <row r="8218" spans="1:9" x14ac:dyDescent="0.2">
      <c r="A8218" s="134">
        <v>45870</v>
      </c>
      <c r="B8218" s="135">
        <f>YEAR(source[[#This Row],[report_date]])</f>
        <v>2025</v>
      </c>
      <c r="C8218" s="128">
        <f t="shared" si="382"/>
        <v>8</v>
      </c>
      <c r="D8218" s="136">
        <f t="shared" si="384"/>
        <v>31</v>
      </c>
      <c r="E8218" s="136">
        <f t="shared" si="383"/>
        <v>1</v>
      </c>
      <c r="F8218" s="128" t="s">
        <v>24</v>
      </c>
      <c r="G8218" s="128" t="str">
        <f>VLOOKUP(source[[#This Row],[lending_product_transform]],[3]Mapping!$B$4:$C$37,2,0)</f>
        <v>[Cake] - Cashloan</v>
      </c>
      <c r="H8218" s="128" t="str">
        <f>VLOOKUP(source[[#This Row],[lending_product_transform]],[3]Mapping!$B$3:$D$37,3,0)</f>
        <v>cashloan</v>
      </c>
      <c r="I8218" s="173">
        <v>1997090000</v>
      </c>
    </row>
    <row r="8219" spans="1:9" x14ac:dyDescent="0.2">
      <c r="A8219" s="134">
        <v>45870</v>
      </c>
      <c r="B8219" s="135">
        <f>YEAR(source[[#This Row],[report_date]])</f>
        <v>2025</v>
      </c>
      <c r="C8219" s="128">
        <f t="shared" si="382"/>
        <v>8</v>
      </c>
      <c r="D8219" s="136">
        <f t="shared" si="384"/>
        <v>31</v>
      </c>
      <c r="E8219" s="136">
        <f t="shared" si="383"/>
        <v>1</v>
      </c>
      <c r="F8219" s="128" t="s">
        <v>24</v>
      </c>
      <c r="G8219" s="128" t="str">
        <f>VLOOKUP(source[[#This Row],[lending_product_transform]],[3]Mapping!$B$4:$C$37,2,0)</f>
        <v>[Cake] - Cashloan</v>
      </c>
      <c r="H8219" s="128" t="str">
        <f>VLOOKUP(source[[#This Row],[lending_product_transform]],[3]Mapping!$B$3:$D$37,3,0)</f>
        <v>cashloan</v>
      </c>
      <c r="I8219" s="173">
        <v>48000000</v>
      </c>
    </row>
    <row r="8220" spans="1:9" x14ac:dyDescent="0.2">
      <c r="A8220" s="134">
        <v>45870</v>
      </c>
      <c r="B8220" s="135">
        <f>YEAR(source[[#This Row],[report_date]])</f>
        <v>2025</v>
      </c>
      <c r="C8220" s="128">
        <f t="shared" si="382"/>
        <v>8</v>
      </c>
      <c r="D8220" s="136">
        <f t="shared" si="384"/>
        <v>31</v>
      </c>
      <c r="E8220" s="136">
        <f t="shared" si="383"/>
        <v>1</v>
      </c>
      <c r="F8220" s="128" t="s">
        <v>24</v>
      </c>
      <c r="G8220" s="128" t="str">
        <f>VLOOKUP(source[[#This Row],[lending_product_transform]],[3]Mapping!$B$4:$C$37,2,0)</f>
        <v>[Cake] - Cashloan</v>
      </c>
      <c r="H8220" s="128" t="str">
        <f>VLOOKUP(source[[#This Row],[lending_product_transform]],[3]Mapping!$B$3:$D$37,3,0)</f>
        <v>cashloan</v>
      </c>
      <c r="I8220" s="173">
        <v>13306750000</v>
      </c>
    </row>
    <row r="8221" spans="1:9" x14ac:dyDescent="0.2">
      <c r="A8221" s="134">
        <v>45870</v>
      </c>
      <c r="B8221" s="135">
        <f>YEAR(source[[#This Row],[report_date]])</f>
        <v>2025</v>
      </c>
      <c r="C8221" s="128">
        <f t="shared" si="382"/>
        <v>8</v>
      </c>
      <c r="D8221" s="136">
        <f t="shared" si="384"/>
        <v>31</v>
      </c>
      <c r="E8221" s="136">
        <f t="shared" si="383"/>
        <v>1</v>
      </c>
      <c r="F8221" s="128" t="s">
        <v>24</v>
      </c>
      <c r="G8221" s="128" t="str">
        <f>VLOOKUP(source[[#This Row],[lending_product_transform]],[3]Mapping!$B$4:$C$37,2,0)</f>
        <v>[Cake] - Cashloan</v>
      </c>
      <c r="H8221" s="128" t="str">
        <f>VLOOKUP(source[[#This Row],[lending_product_transform]],[3]Mapping!$B$3:$D$37,3,0)</f>
        <v>cashloan</v>
      </c>
      <c r="I8221" s="173">
        <v>4385190000</v>
      </c>
    </row>
    <row r="8222" spans="1:9" x14ac:dyDescent="0.2">
      <c r="A8222" s="134">
        <v>45870</v>
      </c>
      <c r="B8222" s="135">
        <f>YEAR(source[[#This Row],[report_date]])</f>
        <v>2025</v>
      </c>
      <c r="C8222" s="128">
        <f t="shared" si="382"/>
        <v>8</v>
      </c>
      <c r="D8222" s="136">
        <f t="shared" si="384"/>
        <v>31</v>
      </c>
      <c r="E8222" s="136">
        <f t="shared" si="383"/>
        <v>1</v>
      </c>
      <c r="F8222" s="128" t="s">
        <v>24</v>
      </c>
      <c r="G8222" s="128" t="str">
        <f>VLOOKUP(source[[#This Row],[lending_product_transform]],[3]Mapping!$B$4:$C$37,2,0)</f>
        <v>[Cake] - Cashloan</v>
      </c>
      <c r="H8222" s="128" t="str">
        <f>VLOOKUP(source[[#This Row],[lending_product_transform]],[3]Mapping!$B$3:$D$37,3,0)</f>
        <v>cashloan</v>
      </c>
      <c r="I8222" s="173">
        <v>34706573</v>
      </c>
    </row>
    <row r="8223" spans="1:9" x14ac:dyDescent="0.2">
      <c r="A8223" s="134">
        <v>45870</v>
      </c>
      <c r="B8223" s="135">
        <f>YEAR(source[[#This Row],[report_date]])</f>
        <v>2025</v>
      </c>
      <c r="C8223" s="128">
        <f t="shared" si="382"/>
        <v>8</v>
      </c>
      <c r="D8223" s="136">
        <f t="shared" si="384"/>
        <v>31</v>
      </c>
      <c r="E8223" s="136">
        <f t="shared" si="383"/>
        <v>1</v>
      </c>
      <c r="F8223" s="128" t="s">
        <v>24</v>
      </c>
      <c r="G8223" s="128" t="str">
        <f>VLOOKUP(source[[#This Row],[lending_product_transform]],[3]Mapping!$B$4:$C$37,2,0)</f>
        <v>[Cake] - Cashloan</v>
      </c>
      <c r="H8223" s="128" t="str">
        <f>VLOOKUP(source[[#This Row],[lending_product_transform]],[3]Mapping!$B$3:$D$37,3,0)</f>
        <v>cashloan</v>
      </c>
      <c r="I8223" s="173">
        <v>6042924000</v>
      </c>
    </row>
    <row r="8224" spans="1:9" x14ac:dyDescent="0.2">
      <c r="A8224" s="134">
        <v>45870</v>
      </c>
      <c r="B8224" s="135">
        <f>YEAR(source[[#This Row],[report_date]])</f>
        <v>2025</v>
      </c>
      <c r="C8224" s="128">
        <f t="shared" si="382"/>
        <v>8</v>
      </c>
      <c r="D8224" s="136">
        <f t="shared" si="384"/>
        <v>31</v>
      </c>
      <c r="E8224" s="136">
        <f t="shared" si="383"/>
        <v>1</v>
      </c>
      <c r="F8224" s="128" t="s">
        <v>24</v>
      </c>
      <c r="G8224" s="128" t="str">
        <f>VLOOKUP(source[[#This Row],[lending_product_transform]],[3]Mapping!$B$4:$C$37,2,0)</f>
        <v>[Cake] - Cashloan</v>
      </c>
      <c r="H8224" s="128" t="str">
        <f>VLOOKUP(source[[#This Row],[lending_product_transform]],[3]Mapping!$B$3:$D$37,3,0)</f>
        <v>cashloan</v>
      </c>
      <c r="I8224" s="173">
        <v>5948554474</v>
      </c>
    </row>
    <row r="8225" spans="1:9" x14ac:dyDescent="0.2">
      <c r="A8225" s="134">
        <v>45870</v>
      </c>
      <c r="B8225" s="135">
        <f>YEAR(source[[#This Row],[report_date]])</f>
        <v>2025</v>
      </c>
      <c r="C8225" s="128">
        <f t="shared" si="382"/>
        <v>8</v>
      </c>
      <c r="D8225" s="136">
        <f t="shared" si="384"/>
        <v>31</v>
      </c>
      <c r="E8225" s="136">
        <f t="shared" si="383"/>
        <v>1</v>
      </c>
      <c r="F8225" s="128" t="s">
        <v>24</v>
      </c>
      <c r="G8225" s="128" t="str">
        <f>VLOOKUP(source[[#This Row],[lending_product_transform]],[3]Mapping!$B$4:$C$37,2,0)</f>
        <v>[Cake] - Cashloan</v>
      </c>
      <c r="H8225" s="128" t="str">
        <f>VLOOKUP(source[[#This Row],[lending_product_transform]],[3]Mapping!$B$3:$D$37,3,0)</f>
        <v>cashloan</v>
      </c>
      <c r="I8225" s="173">
        <v>0</v>
      </c>
    </row>
    <row r="8226" spans="1:9" x14ac:dyDescent="0.2">
      <c r="A8226" s="134">
        <v>45870</v>
      </c>
      <c r="B8226" s="135">
        <f>YEAR(source[[#This Row],[report_date]])</f>
        <v>2025</v>
      </c>
      <c r="C8226" s="128">
        <f t="shared" si="382"/>
        <v>8</v>
      </c>
      <c r="D8226" s="136">
        <f t="shared" si="384"/>
        <v>31</v>
      </c>
      <c r="E8226" s="136">
        <f t="shared" si="383"/>
        <v>1</v>
      </c>
      <c r="F8226" s="128" t="s">
        <v>24</v>
      </c>
      <c r="G8226" s="128" t="str">
        <f>VLOOKUP(source[[#This Row],[lending_product_transform]],[3]Mapping!$B$4:$C$37,2,0)</f>
        <v>[Cake] - Cashloan</v>
      </c>
      <c r="H8226" s="128" t="str">
        <f>VLOOKUP(source[[#This Row],[lending_product_transform]],[3]Mapping!$B$3:$D$37,3,0)</f>
        <v>cashloan</v>
      </c>
      <c r="I8226" s="173">
        <v>18900000</v>
      </c>
    </row>
    <row r="8227" spans="1:9" x14ac:dyDescent="0.2">
      <c r="A8227" s="134">
        <v>45870</v>
      </c>
      <c r="B8227" s="135">
        <f>YEAR(source[[#This Row],[report_date]])</f>
        <v>2025</v>
      </c>
      <c r="C8227" s="128">
        <f t="shared" si="382"/>
        <v>8</v>
      </c>
      <c r="D8227" s="136">
        <f t="shared" si="384"/>
        <v>31</v>
      </c>
      <c r="E8227" s="136">
        <f t="shared" si="383"/>
        <v>1</v>
      </c>
      <c r="F8227" s="128" t="s">
        <v>24</v>
      </c>
      <c r="G8227" s="128" t="str">
        <f>VLOOKUP(source[[#This Row],[lending_product_transform]],[3]Mapping!$B$4:$C$37,2,0)</f>
        <v>[Cake] - Cashloan</v>
      </c>
      <c r="H8227" s="128" t="str">
        <f>VLOOKUP(source[[#This Row],[lending_product_transform]],[3]Mapping!$B$3:$D$37,3,0)</f>
        <v>cashloan</v>
      </c>
      <c r="I8227" s="173">
        <v>386816984</v>
      </c>
    </row>
    <row r="8228" spans="1:9" x14ac:dyDescent="0.2">
      <c r="A8228" s="134">
        <v>45871</v>
      </c>
      <c r="B8228" s="135">
        <f>YEAR(source[[#This Row],[report_date]])</f>
        <v>2025</v>
      </c>
      <c r="C8228" s="128">
        <f t="shared" si="382"/>
        <v>8</v>
      </c>
      <c r="D8228" s="136">
        <f t="shared" si="384"/>
        <v>31</v>
      </c>
      <c r="E8228" s="136">
        <f t="shared" si="383"/>
        <v>2</v>
      </c>
      <c r="F8228" s="128" t="s">
        <v>24</v>
      </c>
      <c r="G8228" s="128" t="str">
        <f>VLOOKUP(source[[#This Row],[lending_product_transform]],[3]Mapping!$B$4:$C$37,2,0)</f>
        <v>[Cake] - Cashloan</v>
      </c>
      <c r="H8228" s="128" t="str">
        <f>VLOOKUP(source[[#This Row],[lending_product_transform]],[3]Mapping!$B$3:$D$37,3,0)</f>
        <v>cashloan</v>
      </c>
      <c r="I8228" s="173">
        <v>924912215</v>
      </c>
    </row>
    <row r="8229" spans="1:9" x14ac:dyDescent="0.2">
      <c r="A8229" s="134">
        <v>45871</v>
      </c>
      <c r="B8229" s="135">
        <f>YEAR(source[[#This Row],[report_date]])</f>
        <v>2025</v>
      </c>
      <c r="C8229" s="128">
        <f t="shared" si="382"/>
        <v>8</v>
      </c>
      <c r="D8229" s="136">
        <f t="shared" si="384"/>
        <v>31</v>
      </c>
      <c r="E8229" s="136">
        <f t="shared" si="383"/>
        <v>2</v>
      </c>
      <c r="F8229" s="128" t="s">
        <v>24</v>
      </c>
      <c r="G8229" s="128" t="str">
        <f>VLOOKUP(source[[#This Row],[lending_product_transform]],[3]Mapping!$B$4:$C$37,2,0)</f>
        <v>[Cake] - Cashloan</v>
      </c>
      <c r="H8229" s="128" t="str">
        <f>VLOOKUP(source[[#This Row],[lending_product_transform]],[3]Mapping!$B$3:$D$37,3,0)</f>
        <v>cashloan</v>
      </c>
      <c r="I8229" s="173">
        <v>15750000</v>
      </c>
    </row>
    <row r="8230" spans="1:9" x14ac:dyDescent="0.2">
      <c r="A8230" s="134">
        <v>45871</v>
      </c>
      <c r="B8230" s="135">
        <f>YEAR(source[[#This Row],[report_date]])</f>
        <v>2025</v>
      </c>
      <c r="C8230" s="128">
        <f t="shared" si="382"/>
        <v>8</v>
      </c>
      <c r="D8230" s="136">
        <f t="shared" si="384"/>
        <v>31</v>
      </c>
      <c r="E8230" s="136">
        <f t="shared" si="383"/>
        <v>2</v>
      </c>
      <c r="F8230" s="128" t="s">
        <v>24</v>
      </c>
      <c r="G8230" s="128" t="str">
        <f>VLOOKUP(source[[#This Row],[lending_product_transform]],[3]Mapping!$B$4:$C$37,2,0)</f>
        <v>[Cake] - Cashloan</v>
      </c>
      <c r="H8230" s="128" t="str">
        <f>VLOOKUP(source[[#This Row],[lending_product_transform]],[3]Mapping!$B$3:$D$37,3,0)</f>
        <v>cashloan</v>
      </c>
      <c r="I8230" s="173">
        <v>10500000</v>
      </c>
    </row>
    <row r="8231" spans="1:9" x14ac:dyDescent="0.2">
      <c r="A8231" s="134">
        <v>45871</v>
      </c>
      <c r="B8231" s="135">
        <f>YEAR(source[[#This Row],[report_date]])</f>
        <v>2025</v>
      </c>
      <c r="C8231" s="128">
        <f t="shared" si="382"/>
        <v>8</v>
      </c>
      <c r="D8231" s="136">
        <f t="shared" si="384"/>
        <v>31</v>
      </c>
      <c r="E8231" s="136">
        <f t="shared" si="383"/>
        <v>2</v>
      </c>
      <c r="F8231" s="128" t="s">
        <v>24</v>
      </c>
      <c r="G8231" s="128" t="str">
        <f>VLOOKUP(source[[#This Row],[lending_product_transform]],[3]Mapping!$B$4:$C$37,2,0)</f>
        <v>[Cake] - Cashloan</v>
      </c>
      <c r="H8231" s="128" t="str">
        <f>VLOOKUP(source[[#This Row],[lending_product_transform]],[3]Mapping!$B$3:$D$37,3,0)</f>
        <v>cashloan</v>
      </c>
      <c r="I8231" s="173">
        <v>44000000</v>
      </c>
    </row>
    <row r="8232" spans="1:9" x14ac:dyDescent="0.2">
      <c r="A8232" s="134">
        <v>45871</v>
      </c>
      <c r="B8232" s="135">
        <f>YEAR(source[[#This Row],[report_date]])</f>
        <v>2025</v>
      </c>
      <c r="C8232" s="128">
        <f t="shared" si="382"/>
        <v>8</v>
      </c>
      <c r="D8232" s="136">
        <f t="shared" si="384"/>
        <v>31</v>
      </c>
      <c r="E8232" s="136">
        <f t="shared" si="383"/>
        <v>2</v>
      </c>
      <c r="F8232" s="128" t="s">
        <v>24</v>
      </c>
      <c r="G8232" s="128" t="str">
        <f>VLOOKUP(source[[#This Row],[lending_product_transform]],[3]Mapping!$B$4:$C$37,2,0)</f>
        <v>[Cake] - Cashloan</v>
      </c>
      <c r="H8232" s="128" t="str">
        <f>VLOOKUP(source[[#This Row],[lending_product_transform]],[3]Mapping!$B$3:$D$37,3,0)</f>
        <v>cashloan</v>
      </c>
      <c r="I8232" s="173">
        <v>3993587393</v>
      </c>
    </row>
    <row r="8233" spans="1:9" x14ac:dyDescent="0.2">
      <c r="A8233" s="134">
        <v>45871</v>
      </c>
      <c r="B8233" s="135">
        <f>YEAR(source[[#This Row],[report_date]])</f>
        <v>2025</v>
      </c>
      <c r="C8233" s="128">
        <f t="shared" si="382"/>
        <v>8</v>
      </c>
      <c r="D8233" s="136">
        <f t="shared" si="384"/>
        <v>31</v>
      </c>
      <c r="E8233" s="136">
        <f t="shared" si="383"/>
        <v>2</v>
      </c>
      <c r="F8233" s="128" t="s">
        <v>24</v>
      </c>
      <c r="G8233" s="128" t="str">
        <f>VLOOKUP(source[[#This Row],[lending_product_transform]],[3]Mapping!$B$4:$C$37,2,0)</f>
        <v>[Cake] - Cashloan</v>
      </c>
      <c r="H8233" s="128" t="str">
        <f>VLOOKUP(source[[#This Row],[lending_product_transform]],[3]Mapping!$B$3:$D$37,3,0)</f>
        <v>cashloan</v>
      </c>
      <c r="I8233" s="173">
        <v>5742360000</v>
      </c>
    </row>
    <row r="8234" spans="1:9" x14ac:dyDescent="0.2">
      <c r="A8234" s="134">
        <v>45871</v>
      </c>
      <c r="B8234" s="135">
        <f>YEAR(source[[#This Row],[report_date]])</f>
        <v>2025</v>
      </c>
      <c r="C8234" s="128">
        <f t="shared" si="382"/>
        <v>8</v>
      </c>
      <c r="D8234" s="136">
        <f t="shared" si="384"/>
        <v>31</v>
      </c>
      <c r="E8234" s="136">
        <f t="shared" si="383"/>
        <v>2</v>
      </c>
      <c r="F8234" s="128" t="s">
        <v>24</v>
      </c>
      <c r="G8234" s="128" t="str">
        <f>VLOOKUP(source[[#This Row],[lending_product_transform]],[3]Mapping!$B$4:$C$37,2,0)</f>
        <v>[Cake] - Cashloan</v>
      </c>
      <c r="H8234" s="128" t="str">
        <f>VLOOKUP(source[[#This Row],[lending_product_transform]],[3]Mapping!$B$3:$D$37,3,0)</f>
        <v>cashloan</v>
      </c>
      <c r="I8234" s="173">
        <v>376344027</v>
      </c>
    </row>
    <row r="8235" spans="1:9" x14ac:dyDescent="0.2">
      <c r="A8235" s="134">
        <v>45871</v>
      </c>
      <c r="B8235" s="135">
        <f>YEAR(source[[#This Row],[report_date]])</f>
        <v>2025</v>
      </c>
      <c r="C8235" s="128">
        <f t="shared" si="382"/>
        <v>8</v>
      </c>
      <c r="D8235" s="136">
        <f t="shared" si="384"/>
        <v>31</v>
      </c>
      <c r="E8235" s="136">
        <f t="shared" si="383"/>
        <v>2</v>
      </c>
      <c r="F8235" s="128" t="s">
        <v>24</v>
      </c>
      <c r="G8235" s="128" t="str">
        <f>VLOOKUP(source[[#This Row],[lending_product_transform]],[3]Mapping!$B$4:$C$37,2,0)</f>
        <v>[Cake] - Cashloan</v>
      </c>
      <c r="H8235" s="128" t="str">
        <f>VLOOKUP(source[[#This Row],[lending_product_transform]],[3]Mapping!$B$3:$D$37,3,0)</f>
        <v>cashloan</v>
      </c>
      <c r="I8235" s="173">
        <v>5511100000</v>
      </c>
    </row>
    <row r="8236" spans="1:9" x14ac:dyDescent="0.2">
      <c r="A8236" s="134">
        <v>45871</v>
      </c>
      <c r="B8236" s="135">
        <f>YEAR(source[[#This Row],[report_date]])</f>
        <v>2025</v>
      </c>
      <c r="C8236" s="128">
        <f t="shared" si="382"/>
        <v>8</v>
      </c>
      <c r="D8236" s="136">
        <f t="shared" si="384"/>
        <v>31</v>
      </c>
      <c r="E8236" s="136">
        <f t="shared" si="383"/>
        <v>2</v>
      </c>
      <c r="F8236" s="128" t="s">
        <v>24</v>
      </c>
      <c r="G8236" s="128" t="str">
        <f>VLOOKUP(source[[#This Row],[lending_product_transform]],[3]Mapping!$B$4:$C$37,2,0)</f>
        <v>[Cake] - Cashloan</v>
      </c>
      <c r="H8236" s="128" t="str">
        <f>VLOOKUP(source[[#This Row],[lending_product_transform]],[3]Mapping!$B$3:$D$37,3,0)</f>
        <v>cashloan</v>
      </c>
      <c r="I8236" s="173">
        <v>469870000</v>
      </c>
    </row>
    <row r="8237" spans="1:9" x14ac:dyDescent="0.2">
      <c r="A8237" s="134">
        <v>45871</v>
      </c>
      <c r="B8237" s="135">
        <f>YEAR(source[[#This Row],[report_date]])</f>
        <v>2025</v>
      </c>
      <c r="C8237" s="128">
        <f t="shared" si="382"/>
        <v>8</v>
      </c>
      <c r="D8237" s="136">
        <f t="shared" si="384"/>
        <v>31</v>
      </c>
      <c r="E8237" s="136">
        <f t="shared" si="383"/>
        <v>2</v>
      </c>
      <c r="F8237" s="128" t="s">
        <v>24</v>
      </c>
      <c r="G8237" s="128" t="str">
        <f>VLOOKUP(source[[#This Row],[lending_product_transform]],[3]Mapping!$B$4:$C$37,2,0)</f>
        <v>[Cake] - Cashloan</v>
      </c>
      <c r="H8237" s="128" t="str">
        <f>VLOOKUP(source[[#This Row],[lending_product_transform]],[3]Mapping!$B$3:$D$37,3,0)</f>
        <v>cashloan</v>
      </c>
      <c r="I8237" s="173">
        <v>0</v>
      </c>
    </row>
    <row r="8238" spans="1:9" x14ac:dyDescent="0.2">
      <c r="A8238" s="134">
        <v>45871</v>
      </c>
      <c r="B8238" s="135">
        <f>YEAR(source[[#This Row],[report_date]])</f>
        <v>2025</v>
      </c>
      <c r="C8238" s="128">
        <f t="shared" si="382"/>
        <v>8</v>
      </c>
      <c r="D8238" s="136">
        <f t="shared" si="384"/>
        <v>31</v>
      </c>
      <c r="E8238" s="136">
        <f t="shared" si="383"/>
        <v>2</v>
      </c>
      <c r="F8238" s="128" t="s">
        <v>24</v>
      </c>
      <c r="G8238" s="128" t="str">
        <f>VLOOKUP(source[[#This Row],[lending_product_transform]],[3]Mapping!$B$4:$C$37,2,0)</f>
        <v>[Cake] - Cashloan</v>
      </c>
      <c r="H8238" s="128" t="str">
        <f>VLOOKUP(source[[#This Row],[lending_product_transform]],[3]Mapping!$B$3:$D$37,3,0)</f>
        <v>cashloan</v>
      </c>
      <c r="I8238" s="173">
        <v>10662680000</v>
      </c>
    </row>
    <row r="8239" spans="1:9" x14ac:dyDescent="0.2">
      <c r="A8239" s="134">
        <v>45871</v>
      </c>
      <c r="B8239" s="135">
        <f>YEAR(source[[#This Row],[report_date]])</f>
        <v>2025</v>
      </c>
      <c r="C8239" s="128">
        <f t="shared" si="382"/>
        <v>8</v>
      </c>
      <c r="D8239" s="136">
        <f t="shared" si="384"/>
        <v>31</v>
      </c>
      <c r="E8239" s="136">
        <f t="shared" si="383"/>
        <v>2</v>
      </c>
      <c r="F8239" s="128" t="s">
        <v>24</v>
      </c>
      <c r="G8239" s="128" t="str">
        <f>VLOOKUP(source[[#This Row],[lending_product_transform]],[3]Mapping!$B$4:$C$37,2,0)</f>
        <v>[Cake] - Cashloan</v>
      </c>
      <c r="H8239" s="128" t="str">
        <f>VLOOKUP(source[[#This Row],[lending_product_transform]],[3]Mapping!$B$3:$D$37,3,0)</f>
        <v>cashloan</v>
      </c>
      <c r="I8239" s="173">
        <v>10801080000</v>
      </c>
    </row>
    <row r="8240" spans="1:9" x14ac:dyDescent="0.2">
      <c r="A8240" s="134">
        <v>45871</v>
      </c>
      <c r="B8240" s="135">
        <f>YEAR(source[[#This Row],[report_date]])</f>
        <v>2025</v>
      </c>
      <c r="C8240" s="128">
        <f t="shared" si="382"/>
        <v>8</v>
      </c>
      <c r="D8240" s="136">
        <f t="shared" si="384"/>
        <v>31</v>
      </c>
      <c r="E8240" s="136">
        <f t="shared" si="383"/>
        <v>2</v>
      </c>
      <c r="F8240" s="128" t="s">
        <v>24</v>
      </c>
      <c r="G8240" s="128" t="str">
        <f>VLOOKUP(source[[#This Row],[lending_product_transform]],[3]Mapping!$B$4:$C$37,2,0)</f>
        <v>[Cake] - Cashloan</v>
      </c>
      <c r="H8240" s="128" t="str">
        <f>VLOOKUP(source[[#This Row],[lending_product_transform]],[3]Mapping!$B$3:$D$37,3,0)</f>
        <v>cashloan</v>
      </c>
      <c r="I8240" s="173">
        <v>0</v>
      </c>
    </row>
    <row r="8241" spans="1:9" x14ac:dyDescent="0.2">
      <c r="A8241" s="134">
        <v>45871</v>
      </c>
      <c r="B8241" s="135">
        <f>YEAR(source[[#This Row],[report_date]])</f>
        <v>2025</v>
      </c>
      <c r="C8241" s="128">
        <f t="shared" si="382"/>
        <v>8</v>
      </c>
      <c r="D8241" s="136">
        <f t="shared" si="384"/>
        <v>31</v>
      </c>
      <c r="E8241" s="136">
        <f t="shared" si="383"/>
        <v>2</v>
      </c>
      <c r="F8241" s="128" t="s">
        <v>24</v>
      </c>
      <c r="G8241" s="128" t="str">
        <f>VLOOKUP(source[[#This Row],[lending_product_transform]],[3]Mapping!$B$4:$C$37,2,0)</f>
        <v>[Cake] - Cashloan</v>
      </c>
      <c r="H8241" s="128" t="str">
        <f>VLOOKUP(source[[#This Row],[lending_product_transform]],[3]Mapping!$B$3:$D$37,3,0)</f>
        <v>cashloan</v>
      </c>
      <c r="I8241" s="173">
        <v>228533030</v>
      </c>
    </row>
    <row r="8242" spans="1:9" x14ac:dyDescent="0.2">
      <c r="A8242" s="134">
        <v>45871</v>
      </c>
      <c r="B8242" s="135">
        <f>YEAR(source[[#This Row],[report_date]])</f>
        <v>2025</v>
      </c>
      <c r="C8242" s="128">
        <f t="shared" si="382"/>
        <v>8</v>
      </c>
      <c r="D8242" s="136">
        <f t="shared" si="384"/>
        <v>31</v>
      </c>
      <c r="E8242" s="136">
        <f t="shared" si="383"/>
        <v>2</v>
      </c>
      <c r="F8242" s="128" t="s">
        <v>24</v>
      </c>
      <c r="G8242" s="128" t="str">
        <f>VLOOKUP(source[[#This Row],[lending_product_transform]],[3]Mapping!$B$4:$C$37,2,0)</f>
        <v>[Cake] - Cashloan</v>
      </c>
      <c r="H8242" s="128" t="str">
        <f>VLOOKUP(source[[#This Row],[lending_product_transform]],[3]Mapping!$B$3:$D$37,3,0)</f>
        <v>cashloan</v>
      </c>
      <c r="I8242" s="173">
        <v>434009000</v>
      </c>
    </row>
    <row r="8243" spans="1:9" x14ac:dyDescent="0.2">
      <c r="A8243" s="134">
        <v>45871</v>
      </c>
      <c r="B8243" s="135">
        <f>YEAR(source[[#This Row],[report_date]])</f>
        <v>2025</v>
      </c>
      <c r="C8243" s="128">
        <f t="shared" si="382"/>
        <v>8</v>
      </c>
      <c r="D8243" s="136">
        <f t="shared" si="384"/>
        <v>31</v>
      </c>
      <c r="E8243" s="136">
        <f t="shared" si="383"/>
        <v>2</v>
      </c>
      <c r="F8243" s="128" t="s">
        <v>24</v>
      </c>
      <c r="G8243" s="128" t="str">
        <f>VLOOKUP(source[[#This Row],[lending_product_transform]],[3]Mapping!$B$4:$C$37,2,0)</f>
        <v>[Cake] - Cashloan</v>
      </c>
      <c r="H8243" s="128" t="str">
        <f>VLOOKUP(source[[#This Row],[lending_product_transform]],[3]Mapping!$B$3:$D$37,3,0)</f>
        <v>cashloan</v>
      </c>
      <c r="I8243" s="173">
        <v>47811452</v>
      </c>
    </row>
    <row r="8244" spans="1:9" x14ac:dyDescent="0.2">
      <c r="A8244" s="134">
        <v>45871</v>
      </c>
      <c r="B8244" s="135">
        <f>YEAR(source[[#This Row],[report_date]])</f>
        <v>2025</v>
      </c>
      <c r="C8244" s="128">
        <f t="shared" si="382"/>
        <v>8</v>
      </c>
      <c r="D8244" s="136">
        <f t="shared" si="384"/>
        <v>31</v>
      </c>
      <c r="E8244" s="136">
        <f t="shared" si="383"/>
        <v>2</v>
      </c>
      <c r="F8244" s="128" t="s">
        <v>24</v>
      </c>
      <c r="G8244" s="128" t="str">
        <f>VLOOKUP(source[[#This Row],[lending_product_transform]],[3]Mapping!$B$4:$C$37,2,0)</f>
        <v>[Cake] - Cashloan</v>
      </c>
      <c r="H8244" s="128" t="str">
        <f>VLOOKUP(source[[#This Row],[lending_product_transform]],[3]Mapping!$B$3:$D$37,3,0)</f>
        <v>cashloan</v>
      </c>
      <c r="I8244" s="173">
        <v>2080040000</v>
      </c>
    </row>
    <row r="8245" spans="1:9" x14ac:dyDescent="0.2">
      <c r="A8245" s="134">
        <v>45871</v>
      </c>
      <c r="B8245" s="135">
        <f>YEAR(source[[#This Row],[report_date]])</f>
        <v>2025</v>
      </c>
      <c r="C8245" s="128">
        <f t="shared" si="382"/>
        <v>8</v>
      </c>
      <c r="D8245" s="136">
        <f t="shared" si="384"/>
        <v>31</v>
      </c>
      <c r="E8245" s="136">
        <f t="shared" si="383"/>
        <v>2</v>
      </c>
      <c r="F8245" s="128" t="s">
        <v>24</v>
      </c>
      <c r="G8245" s="128" t="str">
        <f>VLOOKUP(source[[#This Row],[lending_product_transform]],[3]Mapping!$B$4:$C$37,2,0)</f>
        <v>[Cake] - Cashloan</v>
      </c>
      <c r="H8245" s="128" t="str">
        <f>VLOOKUP(source[[#This Row],[lending_product_transform]],[3]Mapping!$B$3:$D$37,3,0)</f>
        <v>cashloan</v>
      </c>
      <c r="I8245" s="173">
        <v>3180492000</v>
      </c>
    </row>
    <row r="8246" spans="1:9" x14ac:dyDescent="0.2">
      <c r="A8246" s="134">
        <v>45872</v>
      </c>
      <c r="B8246" s="135">
        <f>YEAR(source[[#This Row],[report_date]])</f>
        <v>2025</v>
      </c>
      <c r="C8246" s="128">
        <f t="shared" ref="C8246:C8309" si="385">MONTH(A8246)</f>
        <v>8</v>
      </c>
      <c r="D8246" s="136">
        <f t="shared" si="384"/>
        <v>31</v>
      </c>
      <c r="E8246" s="136">
        <f t="shared" ref="E8246:E8309" si="386">DAY(A8246)</f>
        <v>3</v>
      </c>
      <c r="F8246" s="128" t="s">
        <v>24</v>
      </c>
      <c r="G8246" s="128" t="str">
        <f>VLOOKUP(source[[#This Row],[lending_product_transform]],[3]Mapping!$B$4:$C$37,2,0)</f>
        <v>[Cake] - Cashloan</v>
      </c>
      <c r="H8246" s="128" t="str">
        <f>VLOOKUP(source[[#This Row],[lending_product_transform]],[3]Mapping!$B$3:$D$37,3,0)</f>
        <v>cashloan</v>
      </c>
      <c r="I8246" s="173">
        <v>458599130</v>
      </c>
    </row>
    <row r="8247" spans="1:9" x14ac:dyDescent="0.2">
      <c r="A8247" s="134">
        <v>45872</v>
      </c>
      <c r="B8247" s="135">
        <f>YEAR(source[[#This Row],[report_date]])</f>
        <v>2025</v>
      </c>
      <c r="C8247" s="128">
        <f t="shared" si="385"/>
        <v>8</v>
      </c>
      <c r="D8247" s="136">
        <f t="shared" si="384"/>
        <v>31</v>
      </c>
      <c r="E8247" s="136">
        <f t="shared" si="386"/>
        <v>3</v>
      </c>
      <c r="F8247" s="128" t="s">
        <v>24</v>
      </c>
      <c r="G8247" s="128" t="str">
        <f>VLOOKUP(source[[#This Row],[lending_product_transform]],[3]Mapping!$B$4:$C$37,2,0)</f>
        <v>[Cake] - Cashloan</v>
      </c>
      <c r="H8247" s="128" t="str">
        <f>VLOOKUP(source[[#This Row],[lending_product_transform]],[3]Mapping!$B$3:$D$37,3,0)</f>
        <v>cashloan</v>
      </c>
      <c r="I8247" s="173">
        <v>10306180000</v>
      </c>
    </row>
    <row r="8248" spans="1:9" x14ac:dyDescent="0.2">
      <c r="A8248" s="134">
        <v>45872</v>
      </c>
      <c r="B8248" s="135">
        <f>YEAR(source[[#This Row],[report_date]])</f>
        <v>2025</v>
      </c>
      <c r="C8248" s="128">
        <f t="shared" si="385"/>
        <v>8</v>
      </c>
      <c r="D8248" s="136">
        <f t="shared" si="384"/>
        <v>31</v>
      </c>
      <c r="E8248" s="136">
        <f t="shared" si="386"/>
        <v>3</v>
      </c>
      <c r="F8248" s="128" t="s">
        <v>24</v>
      </c>
      <c r="G8248" s="128" t="str">
        <f>VLOOKUP(source[[#This Row],[lending_product_transform]],[3]Mapping!$B$4:$C$37,2,0)</f>
        <v>[Cake] - Cashloan</v>
      </c>
      <c r="H8248" s="128" t="str">
        <f>VLOOKUP(source[[#This Row],[lending_product_transform]],[3]Mapping!$B$3:$D$37,3,0)</f>
        <v>cashloan</v>
      </c>
      <c r="I8248" s="173">
        <v>5013036000</v>
      </c>
    </row>
    <row r="8249" spans="1:9" x14ac:dyDescent="0.2">
      <c r="A8249" s="134">
        <v>45872</v>
      </c>
      <c r="B8249" s="135">
        <f>YEAR(source[[#This Row],[report_date]])</f>
        <v>2025</v>
      </c>
      <c r="C8249" s="128">
        <f t="shared" si="385"/>
        <v>8</v>
      </c>
      <c r="D8249" s="136">
        <f t="shared" si="384"/>
        <v>31</v>
      </c>
      <c r="E8249" s="136">
        <f t="shared" si="386"/>
        <v>3</v>
      </c>
      <c r="F8249" s="128" t="s">
        <v>24</v>
      </c>
      <c r="G8249" s="128" t="str">
        <f>VLOOKUP(source[[#This Row],[lending_product_transform]],[3]Mapping!$B$4:$C$37,2,0)</f>
        <v>[Cake] - Cashloan</v>
      </c>
      <c r="H8249" s="128" t="str">
        <f>VLOOKUP(source[[#This Row],[lending_product_transform]],[3]Mapping!$B$3:$D$37,3,0)</f>
        <v>cashloan</v>
      </c>
      <c r="I8249" s="173">
        <v>0</v>
      </c>
    </row>
    <row r="8250" spans="1:9" x14ac:dyDescent="0.2">
      <c r="A8250" s="134">
        <v>45872</v>
      </c>
      <c r="B8250" s="135">
        <f>YEAR(source[[#This Row],[report_date]])</f>
        <v>2025</v>
      </c>
      <c r="C8250" s="128">
        <f t="shared" si="385"/>
        <v>8</v>
      </c>
      <c r="D8250" s="136">
        <f t="shared" si="384"/>
        <v>31</v>
      </c>
      <c r="E8250" s="136">
        <f t="shared" si="386"/>
        <v>3</v>
      </c>
      <c r="F8250" s="128" t="s">
        <v>24</v>
      </c>
      <c r="G8250" s="128" t="str">
        <f>VLOOKUP(source[[#This Row],[lending_product_transform]],[3]Mapping!$B$4:$C$37,2,0)</f>
        <v>[Cake] - Cashloan</v>
      </c>
      <c r="H8250" s="128" t="str">
        <f>VLOOKUP(source[[#This Row],[lending_product_transform]],[3]Mapping!$B$3:$D$37,3,0)</f>
        <v>cashloan</v>
      </c>
      <c r="I8250" s="173">
        <v>294313357</v>
      </c>
    </row>
    <row r="8251" spans="1:9" x14ac:dyDescent="0.2">
      <c r="A8251" s="134">
        <v>45872</v>
      </c>
      <c r="B8251" s="135">
        <f>YEAR(source[[#This Row],[report_date]])</f>
        <v>2025</v>
      </c>
      <c r="C8251" s="128">
        <f t="shared" si="385"/>
        <v>8</v>
      </c>
      <c r="D8251" s="136">
        <f t="shared" si="384"/>
        <v>31</v>
      </c>
      <c r="E8251" s="136">
        <f t="shared" si="386"/>
        <v>3</v>
      </c>
      <c r="F8251" s="128" t="s">
        <v>24</v>
      </c>
      <c r="G8251" s="128" t="str">
        <f>VLOOKUP(source[[#This Row],[lending_product_transform]],[3]Mapping!$B$4:$C$37,2,0)</f>
        <v>[Cake] - Cashloan</v>
      </c>
      <c r="H8251" s="128" t="str">
        <f>VLOOKUP(source[[#This Row],[lending_product_transform]],[3]Mapping!$B$3:$D$37,3,0)</f>
        <v>cashloan</v>
      </c>
      <c r="I8251" s="173">
        <v>31500000</v>
      </c>
    </row>
    <row r="8252" spans="1:9" x14ac:dyDescent="0.2">
      <c r="A8252" s="134">
        <v>45872</v>
      </c>
      <c r="B8252" s="135">
        <f>YEAR(source[[#This Row],[report_date]])</f>
        <v>2025</v>
      </c>
      <c r="C8252" s="128">
        <f t="shared" si="385"/>
        <v>8</v>
      </c>
      <c r="D8252" s="136">
        <f t="shared" si="384"/>
        <v>31</v>
      </c>
      <c r="E8252" s="136">
        <f t="shared" si="386"/>
        <v>3</v>
      </c>
      <c r="F8252" s="128" t="s">
        <v>24</v>
      </c>
      <c r="G8252" s="128" t="str">
        <f>VLOOKUP(source[[#This Row],[lending_product_transform]],[3]Mapping!$B$4:$C$37,2,0)</f>
        <v>[Cake] - Cashloan</v>
      </c>
      <c r="H8252" s="128" t="str">
        <f>VLOOKUP(source[[#This Row],[lending_product_transform]],[3]Mapping!$B$3:$D$37,3,0)</f>
        <v>cashloan</v>
      </c>
      <c r="I8252" s="173">
        <v>87377679</v>
      </c>
    </row>
    <row r="8253" spans="1:9" x14ac:dyDescent="0.2">
      <c r="A8253" s="134">
        <v>45872</v>
      </c>
      <c r="B8253" s="135">
        <f>YEAR(source[[#This Row],[report_date]])</f>
        <v>2025</v>
      </c>
      <c r="C8253" s="128">
        <f t="shared" si="385"/>
        <v>8</v>
      </c>
      <c r="D8253" s="136">
        <f t="shared" si="384"/>
        <v>31</v>
      </c>
      <c r="E8253" s="136">
        <f t="shared" si="386"/>
        <v>3</v>
      </c>
      <c r="F8253" s="128" t="s">
        <v>24</v>
      </c>
      <c r="G8253" s="128" t="str">
        <f>VLOOKUP(source[[#This Row],[lending_product_transform]],[3]Mapping!$B$4:$C$37,2,0)</f>
        <v>[Cake] - Cashloan</v>
      </c>
      <c r="H8253" s="128" t="str">
        <f>VLOOKUP(source[[#This Row],[lending_product_transform]],[3]Mapping!$B$3:$D$37,3,0)</f>
        <v>cashloan</v>
      </c>
      <c r="I8253" s="173">
        <v>3408372000</v>
      </c>
    </row>
    <row r="8254" spans="1:9" x14ac:dyDescent="0.2">
      <c r="A8254" s="134">
        <v>45872</v>
      </c>
      <c r="B8254" s="135">
        <f>YEAR(source[[#This Row],[report_date]])</f>
        <v>2025</v>
      </c>
      <c r="C8254" s="128">
        <f t="shared" si="385"/>
        <v>8</v>
      </c>
      <c r="D8254" s="136">
        <f t="shared" si="384"/>
        <v>31</v>
      </c>
      <c r="E8254" s="136">
        <f t="shared" si="386"/>
        <v>3</v>
      </c>
      <c r="F8254" s="128" t="s">
        <v>24</v>
      </c>
      <c r="G8254" s="128" t="str">
        <f>VLOOKUP(source[[#This Row],[lending_product_transform]],[3]Mapping!$B$4:$C$37,2,0)</f>
        <v>[Cake] - Cashloan</v>
      </c>
      <c r="H8254" s="128" t="str">
        <f>VLOOKUP(source[[#This Row],[lending_product_transform]],[3]Mapping!$B$3:$D$37,3,0)</f>
        <v>cashloan</v>
      </c>
      <c r="I8254" s="173">
        <v>9687990000</v>
      </c>
    </row>
    <row r="8255" spans="1:9" x14ac:dyDescent="0.2">
      <c r="A8255" s="134">
        <v>45872</v>
      </c>
      <c r="B8255" s="135">
        <f>YEAR(source[[#This Row],[report_date]])</f>
        <v>2025</v>
      </c>
      <c r="C8255" s="128">
        <f t="shared" si="385"/>
        <v>8</v>
      </c>
      <c r="D8255" s="136">
        <f t="shared" si="384"/>
        <v>31</v>
      </c>
      <c r="E8255" s="136">
        <f t="shared" si="386"/>
        <v>3</v>
      </c>
      <c r="F8255" s="128" t="s">
        <v>24</v>
      </c>
      <c r="G8255" s="128" t="str">
        <f>VLOOKUP(source[[#This Row],[lending_product_transform]],[3]Mapping!$B$4:$C$37,2,0)</f>
        <v>[Cake] - Cashloan</v>
      </c>
      <c r="H8255" s="128" t="str">
        <f>VLOOKUP(source[[#This Row],[lending_product_transform]],[3]Mapping!$B$3:$D$37,3,0)</f>
        <v>cashloan</v>
      </c>
      <c r="I8255" s="173">
        <v>512150700</v>
      </c>
    </row>
    <row r="8256" spans="1:9" x14ac:dyDescent="0.2">
      <c r="A8256" s="134">
        <v>45872</v>
      </c>
      <c r="B8256" s="135">
        <f>YEAR(source[[#This Row],[report_date]])</f>
        <v>2025</v>
      </c>
      <c r="C8256" s="128">
        <f t="shared" si="385"/>
        <v>8</v>
      </c>
      <c r="D8256" s="136">
        <f t="shared" si="384"/>
        <v>31</v>
      </c>
      <c r="E8256" s="136">
        <f t="shared" si="386"/>
        <v>3</v>
      </c>
      <c r="F8256" s="128" t="s">
        <v>24</v>
      </c>
      <c r="G8256" s="128" t="str">
        <f>VLOOKUP(source[[#This Row],[lending_product_transform]],[3]Mapping!$B$4:$C$37,2,0)</f>
        <v>[Cake] - Cashloan</v>
      </c>
      <c r="H8256" s="128" t="str">
        <f>VLOOKUP(source[[#This Row],[lending_product_transform]],[3]Mapping!$B$3:$D$37,3,0)</f>
        <v>cashloan</v>
      </c>
      <c r="I8256" s="173">
        <v>30500000</v>
      </c>
    </row>
    <row r="8257" spans="1:9" x14ac:dyDescent="0.2">
      <c r="A8257" s="134">
        <v>45872</v>
      </c>
      <c r="B8257" s="135">
        <f>YEAR(source[[#This Row],[report_date]])</f>
        <v>2025</v>
      </c>
      <c r="C8257" s="128">
        <f t="shared" si="385"/>
        <v>8</v>
      </c>
      <c r="D8257" s="136">
        <f t="shared" si="384"/>
        <v>31</v>
      </c>
      <c r="E8257" s="136">
        <f t="shared" si="386"/>
        <v>3</v>
      </c>
      <c r="F8257" s="128" t="s">
        <v>24</v>
      </c>
      <c r="G8257" s="128" t="str">
        <f>VLOOKUP(source[[#This Row],[lending_product_transform]],[3]Mapping!$B$4:$C$37,2,0)</f>
        <v>[Cake] - Cashloan</v>
      </c>
      <c r="H8257" s="128" t="str">
        <f>VLOOKUP(source[[#This Row],[lending_product_transform]],[3]Mapping!$B$3:$D$37,3,0)</f>
        <v>cashloan</v>
      </c>
      <c r="I8257" s="173">
        <v>1953420000</v>
      </c>
    </row>
    <row r="8258" spans="1:9" x14ac:dyDescent="0.2">
      <c r="A8258" s="134">
        <v>45872</v>
      </c>
      <c r="B8258" s="135">
        <f>YEAR(source[[#This Row],[report_date]])</f>
        <v>2025</v>
      </c>
      <c r="C8258" s="128">
        <f t="shared" si="385"/>
        <v>8</v>
      </c>
      <c r="D8258" s="136">
        <f t="shared" si="384"/>
        <v>31</v>
      </c>
      <c r="E8258" s="136">
        <f t="shared" si="386"/>
        <v>3</v>
      </c>
      <c r="F8258" s="128" t="s">
        <v>24</v>
      </c>
      <c r="G8258" s="128" t="str">
        <f>VLOOKUP(source[[#This Row],[lending_product_transform]],[3]Mapping!$B$4:$C$37,2,0)</f>
        <v>[Cake] - Cashloan</v>
      </c>
      <c r="H8258" s="128" t="str">
        <f>VLOOKUP(source[[#This Row],[lending_product_transform]],[3]Mapping!$B$3:$D$37,3,0)</f>
        <v>cashloan</v>
      </c>
      <c r="I8258" s="173">
        <v>1015676958</v>
      </c>
    </row>
    <row r="8259" spans="1:9" x14ac:dyDescent="0.2">
      <c r="A8259" s="134">
        <v>45872</v>
      </c>
      <c r="B8259" s="135">
        <f>YEAR(source[[#This Row],[report_date]])</f>
        <v>2025</v>
      </c>
      <c r="C8259" s="128">
        <f t="shared" si="385"/>
        <v>8</v>
      </c>
      <c r="D8259" s="136">
        <f t="shared" ref="D8259:D8322" si="387">WEEKNUM(A8259,2)</f>
        <v>31</v>
      </c>
      <c r="E8259" s="136">
        <f t="shared" si="386"/>
        <v>3</v>
      </c>
      <c r="F8259" s="128" t="s">
        <v>24</v>
      </c>
      <c r="G8259" s="128" t="str">
        <f>VLOOKUP(source[[#This Row],[lending_product_transform]],[3]Mapping!$B$4:$C$37,2,0)</f>
        <v>[Cake] - Cashloan</v>
      </c>
      <c r="H8259" s="128" t="str">
        <f>VLOOKUP(source[[#This Row],[lending_product_transform]],[3]Mapping!$B$3:$D$37,3,0)</f>
        <v>cashloan</v>
      </c>
      <c r="I8259" s="173">
        <v>51000000</v>
      </c>
    </row>
    <row r="8260" spans="1:9" x14ac:dyDescent="0.2">
      <c r="A8260" s="134">
        <v>45872</v>
      </c>
      <c r="B8260" s="135">
        <f>YEAR(source[[#This Row],[report_date]])</f>
        <v>2025</v>
      </c>
      <c r="C8260" s="128">
        <f t="shared" si="385"/>
        <v>8</v>
      </c>
      <c r="D8260" s="136">
        <f t="shared" si="387"/>
        <v>31</v>
      </c>
      <c r="E8260" s="136">
        <f t="shared" si="386"/>
        <v>3</v>
      </c>
      <c r="F8260" s="128" t="s">
        <v>24</v>
      </c>
      <c r="G8260" s="128" t="str">
        <f>VLOOKUP(source[[#This Row],[lending_product_transform]],[3]Mapping!$B$4:$C$37,2,0)</f>
        <v>[Cake] - Cashloan</v>
      </c>
      <c r="H8260" s="128" t="str">
        <f>VLOOKUP(source[[#This Row],[lending_product_transform]],[3]Mapping!$B$3:$D$37,3,0)</f>
        <v>cashloan</v>
      </c>
      <c r="I8260" s="173">
        <v>5359710000</v>
      </c>
    </row>
    <row r="8261" spans="1:9" x14ac:dyDescent="0.2">
      <c r="A8261" s="134">
        <v>45872</v>
      </c>
      <c r="B8261" s="135">
        <f>YEAR(source[[#This Row],[report_date]])</f>
        <v>2025</v>
      </c>
      <c r="C8261" s="128">
        <f t="shared" si="385"/>
        <v>8</v>
      </c>
      <c r="D8261" s="136">
        <f t="shared" si="387"/>
        <v>31</v>
      </c>
      <c r="E8261" s="136">
        <f t="shared" si="386"/>
        <v>3</v>
      </c>
      <c r="F8261" s="128" t="s">
        <v>24</v>
      </c>
      <c r="G8261" s="128" t="str">
        <f>VLOOKUP(source[[#This Row],[lending_product_transform]],[3]Mapping!$B$4:$C$37,2,0)</f>
        <v>[Cake] - Cashloan</v>
      </c>
      <c r="H8261" s="128" t="str">
        <f>VLOOKUP(source[[#This Row],[lending_product_transform]],[3]Mapping!$B$3:$D$37,3,0)</f>
        <v>cashloan</v>
      </c>
      <c r="I8261" s="173">
        <v>399480000</v>
      </c>
    </row>
    <row r="8262" spans="1:9" x14ac:dyDescent="0.2">
      <c r="A8262" s="134">
        <v>45872</v>
      </c>
      <c r="B8262" s="135">
        <f>YEAR(source[[#This Row],[report_date]])</f>
        <v>2025</v>
      </c>
      <c r="C8262" s="128">
        <f t="shared" si="385"/>
        <v>8</v>
      </c>
      <c r="D8262" s="136">
        <f t="shared" si="387"/>
        <v>31</v>
      </c>
      <c r="E8262" s="136">
        <f t="shared" si="386"/>
        <v>3</v>
      </c>
      <c r="F8262" s="128" t="s">
        <v>24</v>
      </c>
      <c r="G8262" s="128" t="str">
        <f>VLOOKUP(source[[#This Row],[lending_product_transform]],[3]Mapping!$B$4:$C$37,2,0)</f>
        <v>[Cake] - Cashloan</v>
      </c>
      <c r="H8262" s="128" t="str">
        <f>VLOOKUP(source[[#This Row],[lending_product_transform]],[3]Mapping!$B$3:$D$37,3,0)</f>
        <v>cashloan</v>
      </c>
      <c r="I8262" s="173">
        <v>0</v>
      </c>
    </row>
    <row r="8263" spans="1:9" x14ac:dyDescent="0.2">
      <c r="A8263" s="134">
        <v>45872</v>
      </c>
      <c r="B8263" s="135">
        <f>YEAR(source[[#This Row],[report_date]])</f>
        <v>2025</v>
      </c>
      <c r="C8263" s="128">
        <f t="shared" si="385"/>
        <v>8</v>
      </c>
      <c r="D8263" s="136">
        <f t="shared" si="387"/>
        <v>31</v>
      </c>
      <c r="E8263" s="136">
        <f t="shared" si="386"/>
        <v>3</v>
      </c>
      <c r="F8263" s="128" t="s">
        <v>24</v>
      </c>
      <c r="G8263" s="128" t="str">
        <f>VLOOKUP(source[[#This Row],[lending_product_transform]],[3]Mapping!$B$4:$C$37,2,0)</f>
        <v>[Cake] - Cashloan</v>
      </c>
      <c r="H8263" s="128" t="str">
        <f>VLOOKUP(source[[#This Row],[lending_product_transform]],[3]Mapping!$B$3:$D$37,3,0)</f>
        <v>cashloan</v>
      </c>
      <c r="I8263" s="173">
        <v>3606519416</v>
      </c>
    </row>
    <row r="8264" spans="1:9" x14ac:dyDescent="0.2">
      <c r="A8264" s="134">
        <v>45873</v>
      </c>
      <c r="B8264" s="135">
        <f>YEAR(source[[#This Row],[report_date]])</f>
        <v>2025</v>
      </c>
      <c r="C8264" s="128">
        <f t="shared" si="385"/>
        <v>8</v>
      </c>
      <c r="D8264" s="136">
        <f t="shared" si="387"/>
        <v>32</v>
      </c>
      <c r="E8264" s="136">
        <f t="shared" si="386"/>
        <v>4</v>
      </c>
      <c r="F8264" s="128" t="s">
        <v>24</v>
      </c>
      <c r="G8264" s="128" t="str">
        <f>VLOOKUP(source[[#This Row],[lending_product_transform]],[3]Mapping!$B$4:$C$37,2,0)</f>
        <v>[Cake] - Cashloan</v>
      </c>
      <c r="H8264" s="128" t="str">
        <f>VLOOKUP(source[[#This Row],[lending_product_transform]],[3]Mapping!$B$3:$D$37,3,0)</f>
        <v>cashloan</v>
      </c>
      <c r="I8264" s="173">
        <v>329540000</v>
      </c>
    </row>
    <row r="8265" spans="1:9" x14ac:dyDescent="0.2">
      <c r="A8265" s="134">
        <v>45873</v>
      </c>
      <c r="B8265" s="135">
        <f>YEAR(source[[#This Row],[report_date]])</f>
        <v>2025</v>
      </c>
      <c r="C8265" s="128">
        <f t="shared" si="385"/>
        <v>8</v>
      </c>
      <c r="D8265" s="136">
        <f t="shared" si="387"/>
        <v>32</v>
      </c>
      <c r="E8265" s="136">
        <f t="shared" si="386"/>
        <v>4</v>
      </c>
      <c r="F8265" s="128" t="s">
        <v>24</v>
      </c>
      <c r="G8265" s="128" t="str">
        <f>VLOOKUP(source[[#This Row],[lending_product_transform]],[3]Mapping!$B$4:$C$37,2,0)</f>
        <v>[Cake] - Cashloan</v>
      </c>
      <c r="H8265" s="128" t="str">
        <f>VLOOKUP(source[[#This Row],[lending_product_transform]],[3]Mapping!$B$3:$D$37,3,0)</f>
        <v>cashloan</v>
      </c>
      <c r="I8265" s="173">
        <v>4918843321</v>
      </c>
    </row>
    <row r="8266" spans="1:9" x14ac:dyDescent="0.2">
      <c r="A8266" s="134">
        <v>45873</v>
      </c>
      <c r="B8266" s="135">
        <f>YEAR(source[[#This Row],[report_date]])</f>
        <v>2025</v>
      </c>
      <c r="C8266" s="128">
        <f t="shared" si="385"/>
        <v>8</v>
      </c>
      <c r="D8266" s="136">
        <f t="shared" si="387"/>
        <v>32</v>
      </c>
      <c r="E8266" s="136">
        <f t="shared" si="386"/>
        <v>4</v>
      </c>
      <c r="F8266" s="128" t="s">
        <v>24</v>
      </c>
      <c r="G8266" s="128" t="str">
        <f>VLOOKUP(source[[#This Row],[lending_product_transform]],[3]Mapping!$B$4:$C$37,2,0)</f>
        <v>[Cake] - Cashloan</v>
      </c>
      <c r="H8266" s="128" t="str">
        <f>VLOOKUP(source[[#This Row],[lending_product_transform]],[3]Mapping!$B$3:$D$37,3,0)</f>
        <v>cashloan</v>
      </c>
      <c r="I8266" s="173">
        <v>1854305938</v>
      </c>
    </row>
    <row r="8267" spans="1:9" x14ac:dyDescent="0.2">
      <c r="A8267" s="134">
        <v>45873</v>
      </c>
      <c r="B8267" s="135">
        <f>YEAR(source[[#This Row],[report_date]])</f>
        <v>2025</v>
      </c>
      <c r="C8267" s="128">
        <f t="shared" si="385"/>
        <v>8</v>
      </c>
      <c r="D8267" s="136">
        <f t="shared" si="387"/>
        <v>32</v>
      </c>
      <c r="E8267" s="136">
        <f t="shared" si="386"/>
        <v>4</v>
      </c>
      <c r="F8267" s="128" t="s">
        <v>24</v>
      </c>
      <c r="G8267" s="128" t="str">
        <f>VLOOKUP(source[[#This Row],[lending_product_transform]],[3]Mapping!$B$4:$C$37,2,0)</f>
        <v>[Cake] - Cashloan</v>
      </c>
      <c r="H8267" s="128" t="str">
        <f>VLOOKUP(source[[#This Row],[lending_product_transform]],[3]Mapping!$B$3:$D$37,3,0)</f>
        <v>cashloan</v>
      </c>
      <c r="I8267" s="173">
        <v>690621988</v>
      </c>
    </row>
    <row r="8268" spans="1:9" x14ac:dyDescent="0.2">
      <c r="A8268" s="134">
        <v>45873</v>
      </c>
      <c r="B8268" s="135">
        <f>YEAR(source[[#This Row],[report_date]])</f>
        <v>2025</v>
      </c>
      <c r="C8268" s="128">
        <f t="shared" si="385"/>
        <v>8</v>
      </c>
      <c r="D8268" s="136">
        <f t="shared" si="387"/>
        <v>32</v>
      </c>
      <c r="E8268" s="136">
        <f t="shared" si="386"/>
        <v>4</v>
      </c>
      <c r="F8268" s="128" t="s">
        <v>24</v>
      </c>
      <c r="G8268" s="128" t="str">
        <f>VLOOKUP(source[[#This Row],[lending_product_transform]],[3]Mapping!$B$4:$C$37,2,0)</f>
        <v>[Cake] - Cashloan</v>
      </c>
      <c r="H8268" s="128" t="str">
        <f>VLOOKUP(source[[#This Row],[lending_product_transform]],[3]Mapping!$B$3:$D$37,3,0)</f>
        <v>cashloan</v>
      </c>
      <c r="I8268" s="173">
        <v>388040691</v>
      </c>
    </row>
    <row r="8269" spans="1:9" x14ac:dyDescent="0.2">
      <c r="A8269" s="134">
        <v>45873</v>
      </c>
      <c r="B8269" s="135">
        <f>YEAR(source[[#This Row],[report_date]])</f>
        <v>2025</v>
      </c>
      <c r="C8269" s="128">
        <f t="shared" si="385"/>
        <v>8</v>
      </c>
      <c r="D8269" s="136">
        <f t="shared" si="387"/>
        <v>32</v>
      </c>
      <c r="E8269" s="136">
        <f t="shared" si="386"/>
        <v>4</v>
      </c>
      <c r="F8269" s="128" t="s">
        <v>24</v>
      </c>
      <c r="G8269" s="128" t="str">
        <f>VLOOKUP(source[[#This Row],[lending_product_transform]],[3]Mapping!$B$4:$C$37,2,0)</f>
        <v>[Cake] - Cashloan</v>
      </c>
      <c r="H8269" s="128" t="str">
        <f>VLOOKUP(source[[#This Row],[lending_product_transform]],[3]Mapping!$B$3:$D$37,3,0)</f>
        <v>cashloan</v>
      </c>
      <c r="I8269" s="173">
        <v>20000000</v>
      </c>
    </row>
    <row r="8270" spans="1:9" x14ac:dyDescent="0.2">
      <c r="A8270" s="134">
        <v>45873</v>
      </c>
      <c r="B8270" s="135">
        <f>YEAR(source[[#This Row],[report_date]])</f>
        <v>2025</v>
      </c>
      <c r="C8270" s="128">
        <f t="shared" si="385"/>
        <v>8</v>
      </c>
      <c r="D8270" s="136">
        <f t="shared" si="387"/>
        <v>32</v>
      </c>
      <c r="E8270" s="136">
        <f t="shared" si="386"/>
        <v>4</v>
      </c>
      <c r="F8270" s="128" t="s">
        <v>24</v>
      </c>
      <c r="G8270" s="128" t="str">
        <f>VLOOKUP(source[[#This Row],[lending_product_transform]],[3]Mapping!$B$4:$C$37,2,0)</f>
        <v>[Cake] - Cashloan</v>
      </c>
      <c r="H8270" s="128" t="str">
        <f>VLOOKUP(source[[#This Row],[lending_product_transform]],[3]Mapping!$B$3:$D$37,3,0)</f>
        <v>cashloan</v>
      </c>
      <c r="I8270" s="173">
        <v>3914784000</v>
      </c>
    </row>
    <row r="8271" spans="1:9" x14ac:dyDescent="0.2">
      <c r="A8271" s="134">
        <v>45873</v>
      </c>
      <c r="B8271" s="135">
        <f>YEAR(source[[#This Row],[report_date]])</f>
        <v>2025</v>
      </c>
      <c r="C8271" s="128">
        <f t="shared" si="385"/>
        <v>8</v>
      </c>
      <c r="D8271" s="136">
        <f t="shared" si="387"/>
        <v>32</v>
      </c>
      <c r="E8271" s="136">
        <f t="shared" si="386"/>
        <v>4</v>
      </c>
      <c r="F8271" s="128" t="s">
        <v>24</v>
      </c>
      <c r="G8271" s="128" t="str">
        <f>VLOOKUP(source[[#This Row],[lending_product_transform]],[3]Mapping!$B$4:$C$37,2,0)</f>
        <v>[Cake] - Cashloan</v>
      </c>
      <c r="H8271" s="128" t="str">
        <f>VLOOKUP(source[[#This Row],[lending_product_transform]],[3]Mapping!$B$3:$D$37,3,0)</f>
        <v>cashloan</v>
      </c>
      <c r="I8271" s="173">
        <v>1916050000</v>
      </c>
    </row>
    <row r="8272" spans="1:9" x14ac:dyDescent="0.2">
      <c r="A8272" s="134">
        <v>45873</v>
      </c>
      <c r="B8272" s="135">
        <f>YEAR(source[[#This Row],[report_date]])</f>
        <v>2025</v>
      </c>
      <c r="C8272" s="128">
        <f t="shared" si="385"/>
        <v>8</v>
      </c>
      <c r="D8272" s="136">
        <f t="shared" si="387"/>
        <v>32</v>
      </c>
      <c r="E8272" s="136">
        <f t="shared" si="386"/>
        <v>4</v>
      </c>
      <c r="F8272" s="128" t="s">
        <v>24</v>
      </c>
      <c r="G8272" s="128" t="str">
        <f>VLOOKUP(source[[#This Row],[lending_product_transform]],[3]Mapping!$B$4:$C$37,2,0)</f>
        <v>[Cake] - Cashloan</v>
      </c>
      <c r="H8272" s="128" t="str">
        <f>VLOOKUP(source[[#This Row],[lending_product_transform]],[3]Mapping!$B$3:$D$37,3,0)</f>
        <v>cashloan</v>
      </c>
      <c r="I8272" s="173">
        <v>11237680000</v>
      </c>
    </row>
    <row r="8273" spans="1:9" x14ac:dyDescent="0.2">
      <c r="A8273" s="134">
        <v>45873</v>
      </c>
      <c r="B8273" s="135">
        <f>YEAR(source[[#This Row],[report_date]])</f>
        <v>2025</v>
      </c>
      <c r="C8273" s="128">
        <f t="shared" si="385"/>
        <v>8</v>
      </c>
      <c r="D8273" s="136">
        <f t="shared" si="387"/>
        <v>32</v>
      </c>
      <c r="E8273" s="136">
        <f t="shared" si="386"/>
        <v>4</v>
      </c>
      <c r="F8273" s="128" t="s">
        <v>24</v>
      </c>
      <c r="G8273" s="128" t="str">
        <f>VLOOKUP(source[[#This Row],[lending_product_transform]],[3]Mapping!$B$4:$C$37,2,0)</f>
        <v>[Cake] - Cashloan</v>
      </c>
      <c r="H8273" s="128" t="str">
        <f>VLOOKUP(source[[#This Row],[lending_product_transform]],[3]Mapping!$B$3:$D$37,3,0)</f>
        <v>cashloan</v>
      </c>
      <c r="I8273" s="173">
        <v>11630880000</v>
      </c>
    </row>
    <row r="8274" spans="1:9" x14ac:dyDescent="0.2">
      <c r="A8274" s="134">
        <v>45873</v>
      </c>
      <c r="B8274" s="135">
        <f>YEAR(source[[#This Row],[report_date]])</f>
        <v>2025</v>
      </c>
      <c r="C8274" s="128">
        <f t="shared" si="385"/>
        <v>8</v>
      </c>
      <c r="D8274" s="136">
        <f t="shared" si="387"/>
        <v>32</v>
      </c>
      <c r="E8274" s="136">
        <f t="shared" si="386"/>
        <v>4</v>
      </c>
      <c r="F8274" s="128" t="s">
        <v>24</v>
      </c>
      <c r="G8274" s="128" t="str">
        <f>VLOOKUP(source[[#This Row],[lending_product_transform]],[3]Mapping!$B$4:$C$37,2,0)</f>
        <v>[Cake] - Cashloan</v>
      </c>
      <c r="H8274" s="128" t="str">
        <f>VLOOKUP(source[[#This Row],[lending_product_transform]],[3]Mapping!$B$3:$D$37,3,0)</f>
        <v>cashloan</v>
      </c>
      <c r="I8274" s="173">
        <v>6443210000</v>
      </c>
    </row>
    <row r="8275" spans="1:9" x14ac:dyDescent="0.2">
      <c r="A8275" s="134">
        <v>45873</v>
      </c>
      <c r="B8275" s="135">
        <f>YEAR(source[[#This Row],[report_date]])</f>
        <v>2025</v>
      </c>
      <c r="C8275" s="128">
        <f t="shared" si="385"/>
        <v>8</v>
      </c>
      <c r="D8275" s="136">
        <f t="shared" si="387"/>
        <v>32</v>
      </c>
      <c r="E8275" s="136">
        <f t="shared" si="386"/>
        <v>4</v>
      </c>
      <c r="F8275" s="128" t="s">
        <v>24</v>
      </c>
      <c r="G8275" s="128" t="str">
        <f>VLOOKUP(source[[#This Row],[lending_product_transform]],[3]Mapping!$B$4:$C$37,2,0)</f>
        <v>[Cake] - Cashloan</v>
      </c>
      <c r="H8275" s="128" t="str">
        <f>VLOOKUP(source[[#This Row],[lending_product_transform]],[3]Mapping!$B$3:$D$37,3,0)</f>
        <v>cashloan</v>
      </c>
      <c r="I8275" s="173">
        <v>5637708000</v>
      </c>
    </row>
    <row r="8276" spans="1:9" x14ac:dyDescent="0.2">
      <c r="A8276" s="134">
        <v>45873</v>
      </c>
      <c r="B8276" s="135">
        <f>YEAR(source[[#This Row],[report_date]])</f>
        <v>2025</v>
      </c>
      <c r="C8276" s="128">
        <f t="shared" si="385"/>
        <v>8</v>
      </c>
      <c r="D8276" s="136">
        <f t="shared" si="387"/>
        <v>32</v>
      </c>
      <c r="E8276" s="136">
        <f t="shared" si="386"/>
        <v>4</v>
      </c>
      <c r="F8276" s="128" t="s">
        <v>24</v>
      </c>
      <c r="G8276" s="128" t="str">
        <f>VLOOKUP(source[[#This Row],[lending_product_transform]],[3]Mapping!$B$4:$C$37,2,0)</f>
        <v>[Cake] - Cashloan</v>
      </c>
      <c r="H8276" s="128" t="str">
        <f>VLOOKUP(source[[#This Row],[lending_product_transform]],[3]Mapping!$B$3:$D$37,3,0)</f>
        <v>cashloan</v>
      </c>
      <c r="I8276" s="173">
        <v>130728438</v>
      </c>
    </row>
    <row r="8277" spans="1:9" x14ac:dyDescent="0.2">
      <c r="A8277" s="134">
        <v>45873</v>
      </c>
      <c r="B8277" s="135">
        <f>YEAR(source[[#This Row],[report_date]])</f>
        <v>2025</v>
      </c>
      <c r="C8277" s="128">
        <f t="shared" si="385"/>
        <v>8</v>
      </c>
      <c r="D8277" s="136">
        <f t="shared" si="387"/>
        <v>32</v>
      </c>
      <c r="E8277" s="136">
        <f t="shared" si="386"/>
        <v>4</v>
      </c>
      <c r="F8277" s="128" t="s">
        <v>24</v>
      </c>
      <c r="G8277" s="128" t="str">
        <f>VLOOKUP(source[[#This Row],[lending_product_transform]],[3]Mapping!$B$4:$C$37,2,0)</f>
        <v>[Cake] - Cashloan</v>
      </c>
      <c r="H8277" s="128" t="str">
        <f>VLOOKUP(source[[#This Row],[lending_product_transform]],[3]Mapping!$B$3:$D$37,3,0)</f>
        <v>cashloan</v>
      </c>
      <c r="I8277" s="173">
        <v>15750000</v>
      </c>
    </row>
    <row r="8278" spans="1:9" x14ac:dyDescent="0.2">
      <c r="A8278" s="134">
        <v>45873</v>
      </c>
      <c r="B8278" s="135">
        <f>YEAR(source[[#This Row],[report_date]])</f>
        <v>2025</v>
      </c>
      <c r="C8278" s="128">
        <f t="shared" si="385"/>
        <v>8</v>
      </c>
      <c r="D8278" s="136">
        <f t="shared" si="387"/>
        <v>32</v>
      </c>
      <c r="E8278" s="136">
        <f t="shared" si="386"/>
        <v>4</v>
      </c>
      <c r="F8278" s="128" t="s">
        <v>24</v>
      </c>
      <c r="G8278" s="128" t="str">
        <f>VLOOKUP(source[[#This Row],[lending_product_transform]],[3]Mapping!$B$4:$C$37,2,0)</f>
        <v>[Cake] - Cashloan</v>
      </c>
      <c r="H8278" s="128" t="str">
        <f>VLOOKUP(source[[#This Row],[lending_product_transform]],[3]Mapping!$B$3:$D$37,3,0)</f>
        <v>cashloan</v>
      </c>
      <c r="I8278" s="173">
        <v>49000000</v>
      </c>
    </row>
    <row r="8279" spans="1:9" x14ac:dyDescent="0.2">
      <c r="A8279" s="134">
        <v>45873</v>
      </c>
      <c r="B8279" s="135">
        <f>YEAR(source[[#This Row],[report_date]])</f>
        <v>2025</v>
      </c>
      <c r="C8279" s="128">
        <f t="shared" si="385"/>
        <v>8</v>
      </c>
      <c r="D8279" s="136">
        <f t="shared" si="387"/>
        <v>32</v>
      </c>
      <c r="E8279" s="136">
        <f t="shared" si="386"/>
        <v>4</v>
      </c>
      <c r="F8279" s="128" t="s">
        <v>24</v>
      </c>
      <c r="G8279" s="128" t="str">
        <f>VLOOKUP(source[[#This Row],[lending_product_transform]],[3]Mapping!$B$4:$C$37,2,0)</f>
        <v>[Cake] - Cashloan</v>
      </c>
      <c r="H8279" s="128" t="str">
        <f>VLOOKUP(source[[#This Row],[lending_product_transform]],[3]Mapping!$B$3:$D$37,3,0)</f>
        <v>cashloan</v>
      </c>
      <c r="I8279" s="173">
        <v>0</v>
      </c>
    </row>
    <row r="8280" spans="1:9" x14ac:dyDescent="0.2">
      <c r="A8280" s="134">
        <v>45873</v>
      </c>
      <c r="B8280" s="135">
        <f>YEAR(source[[#This Row],[report_date]])</f>
        <v>2025</v>
      </c>
      <c r="C8280" s="128">
        <f t="shared" si="385"/>
        <v>8</v>
      </c>
      <c r="D8280" s="136">
        <f t="shared" si="387"/>
        <v>32</v>
      </c>
      <c r="E8280" s="136">
        <f t="shared" si="386"/>
        <v>4</v>
      </c>
      <c r="F8280" s="128" t="s">
        <v>24</v>
      </c>
      <c r="G8280" s="128" t="str">
        <f>VLOOKUP(source[[#This Row],[lending_product_transform]],[3]Mapping!$B$4:$C$37,2,0)</f>
        <v>[Cake] - Cashloan</v>
      </c>
      <c r="H8280" s="128" t="str">
        <f>VLOOKUP(source[[#This Row],[lending_product_transform]],[3]Mapping!$B$3:$D$37,3,0)</f>
        <v>cashloan</v>
      </c>
      <c r="I8280" s="173">
        <v>0</v>
      </c>
    </row>
    <row r="8281" spans="1:9" x14ac:dyDescent="0.2">
      <c r="A8281" s="134">
        <v>45873</v>
      </c>
      <c r="B8281" s="135">
        <f>YEAR(source[[#This Row],[report_date]])</f>
        <v>2025</v>
      </c>
      <c r="C8281" s="128">
        <f t="shared" si="385"/>
        <v>8</v>
      </c>
      <c r="D8281" s="136">
        <f t="shared" si="387"/>
        <v>32</v>
      </c>
      <c r="E8281" s="136">
        <f t="shared" si="386"/>
        <v>4</v>
      </c>
      <c r="F8281" s="128" t="s">
        <v>24</v>
      </c>
      <c r="G8281" s="128" t="str">
        <f>VLOOKUP(source[[#This Row],[lending_product_transform]],[3]Mapping!$B$4:$C$37,2,0)</f>
        <v>[Cake] - Cashloan</v>
      </c>
      <c r="H8281" s="128" t="str">
        <f>VLOOKUP(source[[#This Row],[lending_product_transform]],[3]Mapping!$B$3:$D$37,3,0)</f>
        <v>cashloan</v>
      </c>
      <c r="I8281" s="173">
        <v>487873000</v>
      </c>
    </row>
    <row r="8282" spans="1:9" x14ac:dyDescent="0.2">
      <c r="A8282" s="134">
        <v>45874</v>
      </c>
      <c r="B8282" s="135">
        <f>YEAR(source[[#This Row],[report_date]])</f>
        <v>2025</v>
      </c>
      <c r="C8282" s="128">
        <f t="shared" si="385"/>
        <v>8</v>
      </c>
      <c r="D8282" s="136">
        <f t="shared" si="387"/>
        <v>32</v>
      </c>
      <c r="E8282" s="136">
        <f t="shared" si="386"/>
        <v>5</v>
      </c>
      <c r="F8282" s="128" t="s">
        <v>24</v>
      </c>
      <c r="G8282" s="128" t="str">
        <f>VLOOKUP(source[[#This Row],[lending_product_transform]],[3]Mapping!$B$4:$C$37,2,0)</f>
        <v>[Cake] - Cashloan</v>
      </c>
      <c r="H8282" s="128" t="str">
        <f>VLOOKUP(source[[#This Row],[lending_product_transform]],[3]Mapping!$B$3:$D$37,3,0)</f>
        <v>cashloan</v>
      </c>
      <c r="I8282" s="173">
        <v>522929000</v>
      </c>
    </row>
    <row r="8283" spans="1:9" x14ac:dyDescent="0.2">
      <c r="A8283" s="134">
        <v>45874</v>
      </c>
      <c r="B8283" s="135">
        <f>YEAR(source[[#This Row],[report_date]])</f>
        <v>2025</v>
      </c>
      <c r="C8283" s="128">
        <f t="shared" si="385"/>
        <v>8</v>
      </c>
      <c r="D8283" s="136">
        <f t="shared" si="387"/>
        <v>32</v>
      </c>
      <c r="E8283" s="136">
        <f t="shared" si="386"/>
        <v>5</v>
      </c>
      <c r="F8283" s="128" t="s">
        <v>24</v>
      </c>
      <c r="G8283" s="128" t="str">
        <f>VLOOKUP(source[[#This Row],[lending_product_transform]],[3]Mapping!$B$4:$C$37,2,0)</f>
        <v>[Cake] - Cashloan</v>
      </c>
      <c r="H8283" s="128" t="str">
        <f>VLOOKUP(source[[#This Row],[lending_product_transform]],[3]Mapping!$B$3:$D$37,3,0)</f>
        <v>cashloan</v>
      </c>
      <c r="I8283" s="173">
        <v>356656671</v>
      </c>
    </row>
    <row r="8284" spans="1:9" x14ac:dyDescent="0.2">
      <c r="A8284" s="134">
        <v>45874</v>
      </c>
      <c r="B8284" s="135">
        <f>YEAR(source[[#This Row],[report_date]])</f>
        <v>2025</v>
      </c>
      <c r="C8284" s="128">
        <f t="shared" si="385"/>
        <v>8</v>
      </c>
      <c r="D8284" s="136">
        <f t="shared" si="387"/>
        <v>32</v>
      </c>
      <c r="E8284" s="136">
        <f t="shared" si="386"/>
        <v>5</v>
      </c>
      <c r="F8284" s="128" t="s">
        <v>24</v>
      </c>
      <c r="G8284" s="128" t="str">
        <f>VLOOKUP(source[[#This Row],[lending_product_transform]],[3]Mapping!$B$4:$C$37,2,0)</f>
        <v>[Cake] - Cashloan</v>
      </c>
      <c r="H8284" s="128" t="str">
        <f>VLOOKUP(source[[#This Row],[lending_product_transform]],[3]Mapping!$B$3:$D$37,3,0)</f>
        <v>cashloan</v>
      </c>
      <c r="I8284" s="173">
        <v>1238761997</v>
      </c>
    </row>
    <row r="8285" spans="1:9" x14ac:dyDescent="0.2">
      <c r="A8285" s="134">
        <v>45874</v>
      </c>
      <c r="B8285" s="135">
        <f>YEAR(source[[#This Row],[report_date]])</f>
        <v>2025</v>
      </c>
      <c r="C8285" s="128">
        <f t="shared" si="385"/>
        <v>8</v>
      </c>
      <c r="D8285" s="136">
        <f t="shared" si="387"/>
        <v>32</v>
      </c>
      <c r="E8285" s="136">
        <f t="shared" si="386"/>
        <v>5</v>
      </c>
      <c r="F8285" s="128" t="s">
        <v>24</v>
      </c>
      <c r="G8285" s="128" t="str">
        <f>VLOOKUP(source[[#This Row],[lending_product_transform]],[3]Mapping!$B$4:$C$37,2,0)</f>
        <v>[Cake] - Cashloan</v>
      </c>
      <c r="H8285" s="128" t="str">
        <f>VLOOKUP(source[[#This Row],[lending_product_transform]],[3]Mapping!$B$3:$D$37,3,0)</f>
        <v>cashloan</v>
      </c>
      <c r="I8285" s="173">
        <v>11844870000</v>
      </c>
    </row>
    <row r="8286" spans="1:9" x14ac:dyDescent="0.2">
      <c r="A8286" s="134">
        <v>45874</v>
      </c>
      <c r="B8286" s="135">
        <f>YEAR(source[[#This Row],[report_date]])</f>
        <v>2025</v>
      </c>
      <c r="C8286" s="128">
        <f t="shared" si="385"/>
        <v>8</v>
      </c>
      <c r="D8286" s="136">
        <f t="shared" si="387"/>
        <v>32</v>
      </c>
      <c r="E8286" s="136">
        <f t="shared" si="386"/>
        <v>5</v>
      </c>
      <c r="F8286" s="128" t="s">
        <v>24</v>
      </c>
      <c r="G8286" s="128" t="str">
        <f>VLOOKUP(source[[#This Row],[lending_product_transform]],[3]Mapping!$B$4:$C$37,2,0)</f>
        <v>[Cake] - Cashloan</v>
      </c>
      <c r="H8286" s="128" t="str">
        <f>VLOOKUP(source[[#This Row],[lending_product_transform]],[3]Mapping!$B$3:$D$37,3,0)</f>
        <v>cashloan</v>
      </c>
      <c r="I8286" s="173">
        <v>0</v>
      </c>
    </row>
    <row r="8287" spans="1:9" x14ac:dyDescent="0.2">
      <c r="A8287" s="134">
        <v>45874</v>
      </c>
      <c r="B8287" s="135">
        <f>YEAR(source[[#This Row],[report_date]])</f>
        <v>2025</v>
      </c>
      <c r="C8287" s="128">
        <f t="shared" si="385"/>
        <v>8</v>
      </c>
      <c r="D8287" s="136">
        <f t="shared" si="387"/>
        <v>32</v>
      </c>
      <c r="E8287" s="136">
        <f t="shared" si="386"/>
        <v>5</v>
      </c>
      <c r="F8287" s="128" t="s">
        <v>24</v>
      </c>
      <c r="G8287" s="128" t="str">
        <f>VLOOKUP(source[[#This Row],[lending_product_transform]],[3]Mapping!$B$4:$C$37,2,0)</f>
        <v>[Cake] - Cashloan</v>
      </c>
      <c r="H8287" s="128" t="str">
        <f>VLOOKUP(source[[#This Row],[lending_product_transform]],[3]Mapping!$B$3:$D$37,3,0)</f>
        <v>cashloan</v>
      </c>
      <c r="I8287" s="173">
        <v>10500000</v>
      </c>
    </row>
    <row r="8288" spans="1:9" x14ac:dyDescent="0.2">
      <c r="A8288" s="134">
        <v>45874</v>
      </c>
      <c r="B8288" s="135">
        <f>YEAR(source[[#This Row],[report_date]])</f>
        <v>2025</v>
      </c>
      <c r="C8288" s="128">
        <f t="shared" si="385"/>
        <v>8</v>
      </c>
      <c r="D8288" s="136">
        <f t="shared" si="387"/>
        <v>32</v>
      </c>
      <c r="E8288" s="136">
        <f t="shared" si="386"/>
        <v>5</v>
      </c>
      <c r="F8288" s="128" t="s">
        <v>24</v>
      </c>
      <c r="G8288" s="128" t="str">
        <f>VLOOKUP(source[[#This Row],[lending_product_transform]],[3]Mapping!$B$4:$C$37,2,0)</f>
        <v>[Cake] - Cashloan</v>
      </c>
      <c r="H8288" s="128" t="str">
        <f>VLOOKUP(source[[#This Row],[lending_product_transform]],[3]Mapping!$B$3:$D$37,3,0)</f>
        <v>cashloan</v>
      </c>
      <c r="I8288" s="173">
        <v>642536295</v>
      </c>
    </row>
    <row r="8289" spans="1:9" x14ac:dyDescent="0.2">
      <c r="A8289" s="134">
        <v>45874</v>
      </c>
      <c r="B8289" s="135">
        <f>YEAR(source[[#This Row],[report_date]])</f>
        <v>2025</v>
      </c>
      <c r="C8289" s="128">
        <f t="shared" si="385"/>
        <v>8</v>
      </c>
      <c r="D8289" s="136">
        <f t="shared" si="387"/>
        <v>32</v>
      </c>
      <c r="E8289" s="136">
        <f t="shared" si="386"/>
        <v>5</v>
      </c>
      <c r="F8289" s="128" t="s">
        <v>24</v>
      </c>
      <c r="G8289" s="128" t="str">
        <f>VLOOKUP(source[[#This Row],[lending_product_transform]],[3]Mapping!$B$4:$C$37,2,0)</f>
        <v>[Cake] - Cashloan</v>
      </c>
      <c r="H8289" s="128" t="str">
        <f>VLOOKUP(source[[#This Row],[lending_product_transform]],[3]Mapping!$B$3:$D$37,3,0)</f>
        <v>cashloan</v>
      </c>
      <c r="I8289" s="173">
        <v>36000000</v>
      </c>
    </row>
    <row r="8290" spans="1:9" x14ac:dyDescent="0.2">
      <c r="A8290" s="134">
        <v>45874</v>
      </c>
      <c r="B8290" s="135">
        <f>YEAR(source[[#This Row],[report_date]])</f>
        <v>2025</v>
      </c>
      <c r="C8290" s="128">
        <f t="shared" si="385"/>
        <v>8</v>
      </c>
      <c r="D8290" s="136">
        <f t="shared" si="387"/>
        <v>32</v>
      </c>
      <c r="E8290" s="136">
        <f t="shared" si="386"/>
        <v>5</v>
      </c>
      <c r="F8290" s="128" t="s">
        <v>24</v>
      </c>
      <c r="G8290" s="128" t="str">
        <f>VLOOKUP(source[[#This Row],[lending_product_transform]],[3]Mapping!$B$4:$C$37,2,0)</f>
        <v>[Cake] - Cashloan</v>
      </c>
      <c r="H8290" s="128" t="str">
        <f>VLOOKUP(source[[#This Row],[lending_product_transform]],[3]Mapping!$B$3:$D$37,3,0)</f>
        <v>cashloan</v>
      </c>
      <c r="I8290" s="173">
        <v>6576552000</v>
      </c>
    </row>
    <row r="8291" spans="1:9" x14ac:dyDescent="0.2">
      <c r="A8291" s="134">
        <v>45874</v>
      </c>
      <c r="B8291" s="135">
        <f>YEAR(source[[#This Row],[report_date]])</f>
        <v>2025</v>
      </c>
      <c r="C8291" s="128">
        <f t="shared" si="385"/>
        <v>8</v>
      </c>
      <c r="D8291" s="136">
        <f t="shared" si="387"/>
        <v>32</v>
      </c>
      <c r="E8291" s="136">
        <f t="shared" si="386"/>
        <v>5</v>
      </c>
      <c r="F8291" s="128" t="s">
        <v>24</v>
      </c>
      <c r="G8291" s="128" t="str">
        <f>VLOOKUP(source[[#This Row],[lending_product_transform]],[3]Mapping!$B$4:$C$37,2,0)</f>
        <v>[Cake] - Cashloan</v>
      </c>
      <c r="H8291" s="128" t="str">
        <f>VLOOKUP(source[[#This Row],[lending_product_transform]],[3]Mapping!$B$3:$D$37,3,0)</f>
        <v>cashloan</v>
      </c>
      <c r="I8291" s="173">
        <v>3991722491</v>
      </c>
    </row>
    <row r="8292" spans="1:9" x14ac:dyDescent="0.2">
      <c r="A8292" s="134">
        <v>45874</v>
      </c>
      <c r="B8292" s="135">
        <f>YEAR(source[[#This Row],[report_date]])</f>
        <v>2025</v>
      </c>
      <c r="C8292" s="128">
        <f t="shared" si="385"/>
        <v>8</v>
      </c>
      <c r="D8292" s="136">
        <f t="shared" si="387"/>
        <v>32</v>
      </c>
      <c r="E8292" s="136">
        <f t="shared" si="386"/>
        <v>5</v>
      </c>
      <c r="F8292" s="128" t="s">
        <v>24</v>
      </c>
      <c r="G8292" s="128" t="str">
        <f>VLOOKUP(source[[#This Row],[lending_product_transform]],[3]Mapping!$B$4:$C$37,2,0)</f>
        <v>[Cake] - Cashloan</v>
      </c>
      <c r="H8292" s="128" t="str">
        <f>VLOOKUP(source[[#This Row],[lending_product_transform]],[3]Mapping!$B$3:$D$37,3,0)</f>
        <v>cashloan</v>
      </c>
      <c r="I8292" s="173">
        <v>3945024000</v>
      </c>
    </row>
    <row r="8293" spans="1:9" x14ac:dyDescent="0.2">
      <c r="A8293" s="134">
        <v>45874</v>
      </c>
      <c r="B8293" s="135">
        <f>YEAR(source[[#This Row],[report_date]])</f>
        <v>2025</v>
      </c>
      <c r="C8293" s="128">
        <f t="shared" si="385"/>
        <v>8</v>
      </c>
      <c r="D8293" s="136">
        <f t="shared" si="387"/>
        <v>32</v>
      </c>
      <c r="E8293" s="136">
        <f t="shared" si="386"/>
        <v>5</v>
      </c>
      <c r="F8293" s="128" t="s">
        <v>24</v>
      </c>
      <c r="G8293" s="128" t="str">
        <f>VLOOKUP(source[[#This Row],[lending_product_transform]],[3]Mapping!$B$4:$C$37,2,0)</f>
        <v>[Cake] - Cashloan</v>
      </c>
      <c r="H8293" s="128" t="str">
        <f>VLOOKUP(source[[#This Row],[lending_product_transform]],[3]Mapping!$B$3:$D$37,3,0)</f>
        <v>cashloan</v>
      </c>
      <c r="I8293" s="173">
        <v>1786840000</v>
      </c>
    </row>
    <row r="8294" spans="1:9" x14ac:dyDescent="0.2">
      <c r="A8294" s="134">
        <v>45874</v>
      </c>
      <c r="B8294" s="135">
        <f>YEAR(source[[#This Row],[report_date]])</f>
        <v>2025</v>
      </c>
      <c r="C8294" s="128">
        <f t="shared" si="385"/>
        <v>8</v>
      </c>
      <c r="D8294" s="136">
        <f t="shared" si="387"/>
        <v>32</v>
      </c>
      <c r="E8294" s="136">
        <f t="shared" si="386"/>
        <v>5</v>
      </c>
      <c r="F8294" s="128" t="s">
        <v>24</v>
      </c>
      <c r="G8294" s="128" t="str">
        <f>VLOOKUP(source[[#This Row],[lending_product_transform]],[3]Mapping!$B$4:$C$37,2,0)</f>
        <v>[Cake] - Cashloan</v>
      </c>
      <c r="H8294" s="128" t="str">
        <f>VLOOKUP(source[[#This Row],[lending_product_transform]],[3]Mapping!$B$3:$D$37,3,0)</f>
        <v>cashloan</v>
      </c>
      <c r="I8294" s="173">
        <v>6400020000</v>
      </c>
    </row>
    <row r="8295" spans="1:9" x14ac:dyDescent="0.2">
      <c r="A8295" s="134">
        <v>45874</v>
      </c>
      <c r="B8295" s="135">
        <f>YEAR(source[[#This Row],[report_date]])</f>
        <v>2025</v>
      </c>
      <c r="C8295" s="128">
        <f t="shared" si="385"/>
        <v>8</v>
      </c>
      <c r="D8295" s="136">
        <f t="shared" si="387"/>
        <v>32</v>
      </c>
      <c r="E8295" s="136">
        <f t="shared" si="386"/>
        <v>5</v>
      </c>
      <c r="F8295" s="128" t="s">
        <v>24</v>
      </c>
      <c r="G8295" s="128" t="str">
        <f>VLOOKUP(source[[#This Row],[lending_product_transform]],[3]Mapping!$B$4:$C$37,2,0)</f>
        <v>[Cake] - Cashloan</v>
      </c>
      <c r="H8295" s="128" t="str">
        <f>VLOOKUP(source[[#This Row],[lending_product_transform]],[3]Mapping!$B$3:$D$37,3,0)</f>
        <v>cashloan</v>
      </c>
      <c r="I8295" s="173">
        <v>57923586</v>
      </c>
    </row>
    <row r="8296" spans="1:9" x14ac:dyDescent="0.2">
      <c r="A8296" s="134">
        <v>45874</v>
      </c>
      <c r="B8296" s="135">
        <f>YEAR(source[[#This Row],[report_date]])</f>
        <v>2025</v>
      </c>
      <c r="C8296" s="128">
        <f t="shared" si="385"/>
        <v>8</v>
      </c>
      <c r="D8296" s="136">
        <f t="shared" si="387"/>
        <v>32</v>
      </c>
      <c r="E8296" s="136">
        <f t="shared" si="386"/>
        <v>5</v>
      </c>
      <c r="F8296" s="128" t="s">
        <v>24</v>
      </c>
      <c r="G8296" s="128" t="str">
        <f>VLOOKUP(source[[#This Row],[lending_product_transform]],[3]Mapping!$B$4:$C$37,2,0)</f>
        <v>[Cake] - Cashloan</v>
      </c>
      <c r="H8296" s="128" t="str">
        <f>VLOOKUP(source[[#This Row],[lending_product_transform]],[3]Mapping!$B$3:$D$37,3,0)</f>
        <v>cashloan</v>
      </c>
      <c r="I8296" s="173">
        <v>11461790000</v>
      </c>
    </row>
    <row r="8297" spans="1:9" x14ac:dyDescent="0.2">
      <c r="A8297" s="134">
        <v>45874</v>
      </c>
      <c r="B8297" s="135">
        <f>YEAR(source[[#This Row],[report_date]])</f>
        <v>2025</v>
      </c>
      <c r="C8297" s="128">
        <f t="shared" si="385"/>
        <v>8</v>
      </c>
      <c r="D8297" s="136">
        <f t="shared" si="387"/>
        <v>32</v>
      </c>
      <c r="E8297" s="136">
        <f t="shared" si="386"/>
        <v>5</v>
      </c>
      <c r="F8297" s="128" t="s">
        <v>24</v>
      </c>
      <c r="G8297" s="128" t="str">
        <f>VLOOKUP(source[[#This Row],[lending_product_transform]],[3]Mapping!$B$4:$C$37,2,0)</f>
        <v>[Cake] - Cashloan</v>
      </c>
      <c r="H8297" s="128" t="str">
        <f>VLOOKUP(source[[#This Row],[lending_product_transform]],[3]Mapping!$B$3:$D$37,3,0)</f>
        <v>cashloan</v>
      </c>
      <c r="I8297" s="173">
        <v>27300000</v>
      </c>
    </row>
    <row r="8298" spans="1:9" x14ac:dyDescent="0.2">
      <c r="A8298" s="134">
        <v>45874</v>
      </c>
      <c r="B8298" s="135">
        <f>YEAR(source[[#This Row],[report_date]])</f>
        <v>2025</v>
      </c>
      <c r="C8298" s="128">
        <f t="shared" si="385"/>
        <v>8</v>
      </c>
      <c r="D8298" s="136">
        <f t="shared" si="387"/>
        <v>32</v>
      </c>
      <c r="E8298" s="136">
        <f t="shared" si="386"/>
        <v>5</v>
      </c>
      <c r="F8298" s="128" t="s">
        <v>24</v>
      </c>
      <c r="G8298" s="128" t="str">
        <f>VLOOKUP(source[[#This Row],[lending_product_transform]],[3]Mapping!$B$4:$C$37,2,0)</f>
        <v>[Cake] - Cashloan</v>
      </c>
      <c r="H8298" s="128" t="str">
        <f>VLOOKUP(source[[#This Row],[lending_product_transform]],[3]Mapping!$B$3:$D$37,3,0)</f>
        <v>cashloan</v>
      </c>
      <c r="I8298" s="173">
        <v>717230000</v>
      </c>
    </row>
    <row r="8299" spans="1:9" x14ac:dyDescent="0.2">
      <c r="A8299" s="134">
        <v>45874</v>
      </c>
      <c r="B8299" s="135">
        <f>YEAR(source[[#This Row],[report_date]])</f>
        <v>2025</v>
      </c>
      <c r="C8299" s="128">
        <f t="shared" si="385"/>
        <v>8</v>
      </c>
      <c r="D8299" s="136">
        <f t="shared" si="387"/>
        <v>32</v>
      </c>
      <c r="E8299" s="136">
        <f t="shared" si="386"/>
        <v>5</v>
      </c>
      <c r="F8299" s="128" t="s">
        <v>24</v>
      </c>
      <c r="G8299" s="128" t="str">
        <f>VLOOKUP(source[[#This Row],[lending_product_transform]],[3]Mapping!$B$4:$C$37,2,0)</f>
        <v>[Cake] - Cashloan</v>
      </c>
      <c r="H8299" s="128" t="str">
        <f>VLOOKUP(source[[#This Row],[lending_product_transform]],[3]Mapping!$B$3:$D$37,3,0)</f>
        <v>cashloan</v>
      </c>
      <c r="I8299" s="173">
        <v>0</v>
      </c>
    </row>
    <row r="8300" spans="1:9" x14ac:dyDescent="0.2">
      <c r="A8300" s="134">
        <v>45875</v>
      </c>
      <c r="B8300" s="135">
        <f>YEAR(source[[#This Row],[report_date]])</f>
        <v>2025</v>
      </c>
      <c r="C8300" s="128">
        <f t="shared" si="385"/>
        <v>8</v>
      </c>
      <c r="D8300" s="136">
        <f t="shared" si="387"/>
        <v>32</v>
      </c>
      <c r="E8300" s="136">
        <f t="shared" si="386"/>
        <v>6</v>
      </c>
      <c r="F8300" s="128" t="s">
        <v>24</v>
      </c>
      <c r="G8300" s="128" t="str">
        <f>VLOOKUP(source[[#This Row],[lending_product_transform]],[3]Mapping!$B$4:$C$37,2,0)</f>
        <v>[Cake] - Cashloan</v>
      </c>
      <c r="H8300" s="128" t="str">
        <f>VLOOKUP(source[[#This Row],[lending_product_transform]],[3]Mapping!$B$3:$D$37,3,0)</f>
        <v>cashloan</v>
      </c>
      <c r="I8300" s="173">
        <v>0</v>
      </c>
    </row>
    <row r="8301" spans="1:9" x14ac:dyDescent="0.2">
      <c r="A8301" s="134">
        <v>45875</v>
      </c>
      <c r="B8301" s="135">
        <f>YEAR(source[[#This Row],[report_date]])</f>
        <v>2025</v>
      </c>
      <c r="C8301" s="128">
        <f t="shared" si="385"/>
        <v>8</v>
      </c>
      <c r="D8301" s="136">
        <f t="shared" si="387"/>
        <v>32</v>
      </c>
      <c r="E8301" s="136">
        <f t="shared" si="386"/>
        <v>6</v>
      </c>
      <c r="F8301" s="128" t="s">
        <v>24</v>
      </c>
      <c r="G8301" s="128" t="str">
        <f>VLOOKUP(source[[#This Row],[lending_product_transform]],[3]Mapping!$B$4:$C$37,2,0)</f>
        <v>[Cake] - Cashloan</v>
      </c>
      <c r="H8301" s="128" t="str">
        <f>VLOOKUP(source[[#This Row],[lending_product_transform]],[3]Mapping!$B$3:$D$37,3,0)</f>
        <v>cashloan</v>
      </c>
      <c r="I8301" s="173">
        <v>570730000</v>
      </c>
    </row>
    <row r="8302" spans="1:9" x14ac:dyDescent="0.2">
      <c r="A8302" s="134">
        <v>45875</v>
      </c>
      <c r="B8302" s="135">
        <f>YEAR(source[[#This Row],[report_date]])</f>
        <v>2025</v>
      </c>
      <c r="C8302" s="128">
        <f t="shared" si="385"/>
        <v>8</v>
      </c>
      <c r="D8302" s="136">
        <f t="shared" si="387"/>
        <v>32</v>
      </c>
      <c r="E8302" s="136">
        <f t="shared" si="386"/>
        <v>6</v>
      </c>
      <c r="F8302" s="128" t="s">
        <v>24</v>
      </c>
      <c r="G8302" s="128" t="str">
        <f>VLOOKUP(source[[#This Row],[lending_product_transform]],[3]Mapping!$B$4:$C$37,2,0)</f>
        <v>[Cake] - Cashloan</v>
      </c>
      <c r="H8302" s="128" t="str">
        <f>VLOOKUP(source[[#This Row],[lending_product_transform]],[3]Mapping!$B$3:$D$37,3,0)</f>
        <v>cashloan</v>
      </c>
      <c r="I8302" s="173">
        <v>11522020000</v>
      </c>
    </row>
    <row r="8303" spans="1:9" x14ac:dyDescent="0.2">
      <c r="A8303" s="134">
        <v>45875</v>
      </c>
      <c r="B8303" s="135">
        <f>YEAR(source[[#This Row],[report_date]])</f>
        <v>2025</v>
      </c>
      <c r="C8303" s="128">
        <f t="shared" si="385"/>
        <v>8</v>
      </c>
      <c r="D8303" s="136">
        <f t="shared" si="387"/>
        <v>32</v>
      </c>
      <c r="E8303" s="136">
        <f t="shared" si="386"/>
        <v>6</v>
      </c>
      <c r="F8303" s="128" t="s">
        <v>24</v>
      </c>
      <c r="G8303" s="128" t="str">
        <f>VLOOKUP(source[[#This Row],[lending_product_transform]],[3]Mapping!$B$4:$C$37,2,0)</f>
        <v>[Cake] - Cashloan</v>
      </c>
      <c r="H8303" s="128" t="str">
        <f>VLOOKUP(source[[#This Row],[lending_product_transform]],[3]Mapping!$B$3:$D$37,3,0)</f>
        <v>cashloan</v>
      </c>
      <c r="I8303" s="173">
        <v>683033527</v>
      </c>
    </row>
    <row r="8304" spans="1:9" x14ac:dyDescent="0.2">
      <c r="A8304" s="134">
        <v>45875</v>
      </c>
      <c r="B8304" s="135">
        <f>YEAR(source[[#This Row],[report_date]])</f>
        <v>2025</v>
      </c>
      <c r="C8304" s="128">
        <f t="shared" si="385"/>
        <v>8</v>
      </c>
      <c r="D8304" s="136">
        <f t="shared" si="387"/>
        <v>32</v>
      </c>
      <c r="E8304" s="136">
        <f t="shared" si="386"/>
        <v>6</v>
      </c>
      <c r="F8304" s="128" t="s">
        <v>24</v>
      </c>
      <c r="G8304" s="128" t="str">
        <f>VLOOKUP(source[[#This Row],[lending_product_transform]],[3]Mapping!$B$4:$C$37,2,0)</f>
        <v>[Cake] - Cashloan</v>
      </c>
      <c r="H8304" s="128" t="str">
        <f>VLOOKUP(source[[#This Row],[lending_product_transform]],[3]Mapping!$B$3:$D$37,3,0)</f>
        <v>cashloan</v>
      </c>
      <c r="I8304" s="173">
        <v>44272354</v>
      </c>
    </row>
    <row r="8305" spans="1:9" x14ac:dyDescent="0.2">
      <c r="A8305" s="134">
        <v>45875</v>
      </c>
      <c r="B8305" s="135">
        <f>YEAR(source[[#This Row],[report_date]])</f>
        <v>2025</v>
      </c>
      <c r="C8305" s="128">
        <f t="shared" si="385"/>
        <v>8</v>
      </c>
      <c r="D8305" s="136">
        <f t="shared" si="387"/>
        <v>32</v>
      </c>
      <c r="E8305" s="136">
        <f t="shared" si="386"/>
        <v>6</v>
      </c>
      <c r="F8305" s="128" t="s">
        <v>24</v>
      </c>
      <c r="G8305" s="128" t="str">
        <f>VLOOKUP(source[[#This Row],[lending_product_transform]],[3]Mapping!$B$4:$C$37,2,0)</f>
        <v>[Cake] - Cashloan</v>
      </c>
      <c r="H8305" s="128" t="str">
        <f>VLOOKUP(source[[#This Row],[lending_product_transform]],[3]Mapping!$B$3:$D$37,3,0)</f>
        <v>cashloan</v>
      </c>
      <c r="I8305" s="173">
        <v>5221390000</v>
      </c>
    </row>
    <row r="8306" spans="1:9" x14ac:dyDescent="0.2">
      <c r="A8306" s="134">
        <v>45875</v>
      </c>
      <c r="B8306" s="135">
        <f>YEAR(source[[#This Row],[report_date]])</f>
        <v>2025</v>
      </c>
      <c r="C8306" s="128">
        <f t="shared" si="385"/>
        <v>8</v>
      </c>
      <c r="D8306" s="136">
        <f t="shared" si="387"/>
        <v>32</v>
      </c>
      <c r="E8306" s="136">
        <f t="shared" si="386"/>
        <v>6</v>
      </c>
      <c r="F8306" s="128" t="s">
        <v>24</v>
      </c>
      <c r="G8306" s="128" t="str">
        <f>VLOOKUP(source[[#This Row],[lending_product_transform]],[3]Mapping!$B$4:$C$37,2,0)</f>
        <v>[Cake] - Cashloan</v>
      </c>
      <c r="H8306" s="128" t="str">
        <f>VLOOKUP(source[[#This Row],[lending_product_transform]],[3]Mapping!$B$3:$D$37,3,0)</f>
        <v>cashloan</v>
      </c>
      <c r="I8306" s="173">
        <v>0</v>
      </c>
    </row>
    <row r="8307" spans="1:9" x14ac:dyDescent="0.2">
      <c r="A8307" s="134">
        <v>45875</v>
      </c>
      <c r="B8307" s="135">
        <f>YEAR(source[[#This Row],[report_date]])</f>
        <v>2025</v>
      </c>
      <c r="C8307" s="128">
        <f t="shared" si="385"/>
        <v>8</v>
      </c>
      <c r="D8307" s="136">
        <f t="shared" si="387"/>
        <v>32</v>
      </c>
      <c r="E8307" s="136">
        <f t="shared" si="386"/>
        <v>6</v>
      </c>
      <c r="F8307" s="128" t="s">
        <v>24</v>
      </c>
      <c r="G8307" s="128" t="str">
        <f>VLOOKUP(source[[#This Row],[lending_product_transform]],[3]Mapping!$B$4:$C$37,2,0)</f>
        <v>[Cake] - Cashloan</v>
      </c>
      <c r="H8307" s="128" t="str">
        <f>VLOOKUP(source[[#This Row],[lending_product_transform]],[3]Mapping!$B$3:$D$37,3,0)</f>
        <v>cashloan</v>
      </c>
      <c r="I8307" s="173">
        <v>44000000</v>
      </c>
    </row>
    <row r="8308" spans="1:9" x14ac:dyDescent="0.2">
      <c r="A8308" s="134">
        <v>45875</v>
      </c>
      <c r="B8308" s="135">
        <f>YEAR(source[[#This Row],[report_date]])</f>
        <v>2025</v>
      </c>
      <c r="C8308" s="128">
        <f t="shared" si="385"/>
        <v>8</v>
      </c>
      <c r="D8308" s="136">
        <f t="shared" si="387"/>
        <v>32</v>
      </c>
      <c r="E8308" s="136">
        <f t="shared" si="386"/>
        <v>6</v>
      </c>
      <c r="F8308" s="128" t="s">
        <v>24</v>
      </c>
      <c r="G8308" s="128" t="str">
        <f>VLOOKUP(source[[#This Row],[lending_product_transform]],[3]Mapping!$B$4:$C$37,2,0)</f>
        <v>[Cake] - Cashloan</v>
      </c>
      <c r="H8308" s="128" t="str">
        <f>VLOOKUP(source[[#This Row],[lending_product_transform]],[3]Mapping!$B$3:$D$37,3,0)</f>
        <v>cashloan</v>
      </c>
      <c r="I8308" s="173">
        <v>42000000</v>
      </c>
    </row>
    <row r="8309" spans="1:9" x14ac:dyDescent="0.2">
      <c r="A8309" s="134">
        <v>45875</v>
      </c>
      <c r="B8309" s="135">
        <f>YEAR(source[[#This Row],[report_date]])</f>
        <v>2025</v>
      </c>
      <c r="C8309" s="128">
        <f t="shared" si="385"/>
        <v>8</v>
      </c>
      <c r="D8309" s="136">
        <f t="shared" si="387"/>
        <v>32</v>
      </c>
      <c r="E8309" s="136">
        <f t="shared" si="386"/>
        <v>6</v>
      </c>
      <c r="F8309" s="128" t="s">
        <v>24</v>
      </c>
      <c r="G8309" s="128" t="str">
        <f>VLOOKUP(source[[#This Row],[lending_product_transform]],[3]Mapping!$B$4:$C$37,2,0)</f>
        <v>[Cake] - Cashloan</v>
      </c>
      <c r="H8309" s="128" t="str">
        <f>VLOOKUP(source[[#This Row],[lending_product_transform]],[3]Mapping!$B$3:$D$37,3,0)</f>
        <v>cashloan</v>
      </c>
      <c r="I8309" s="173">
        <v>460736837</v>
      </c>
    </row>
    <row r="8310" spans="1:9" x14ac:dyDescent="0.2">
      <c r="A8310" s="134">
        <v>45875</v>
      </c>
      <c r="B8310" s="135">
        <f>YEAR(source[[#This Row],[report_date]])</f>
        <v>2025</v>
      </c>
      <c r="C8310" s="128">
        <f t="shared" ref="C8310:C8373" si="388">MONTH(A8310)</f>
        <v>8</v>
      </c>
      <c r="D8310" s="136">
        <f t="shared" si="387"/>
        <v>32</v>
      </c>
      <c r="E8310" s="136">
        <f t="shared" ref="E8310:E8373" si="389">DAY(A8310)</f>
        <v>6</v>
      </c>
      <c r="F8310" s="128" t="s">
        <v>24</v>
      </c>
      <c r="G8310" s="128" t="str">
        <f>VLOOKUP(source[[#This Row],[lending_product_transform]],[3]Mapping!$B$4:$C$37,2,0)</f>
        <v>[Cake] - Cashloan</v>
      </c>
      <c r="H8310" s="128" t="str">
        <f>VLOOKUP(source[[#This Row],[lending_product_transform]],[3]Mapping!$B$3:$D$37,3,0)</f>
        <v>cashloan</v>
      </c>
      <c r="I8310" s="173">
        <v>2371360000</v>
      </c>
    </row>
    <row r="8311" spans="1:9" x14ac:dyDescent="0.2">
      <c r="A8311" s="134">
        <v>45875</v>
      </c>
      <c r="B8311" s="135">
        <f>YEAR(source[[#This Row],[report_date]])</f>
        <v>2025</v>
      </c>
      <c r="C8311" s="128">
        <f t="shared" si="388"/>
        <v>8</v>
      </c>
      <c r="D8311" s="136">
        <f t="shared" si="387"/>
        <v>32</v>
      </c>
      <c r="E8311" s="136">
        <f t="shared" si="389"/>
        <v>6</v>
      </c>
      <c r="F8311" s="128" t="s">
        <v>24</v>
      </c>
      <c r="G8311" s="128" t="str">
        <f>VLOOKUP(source[[#This Row],[lending_product_transform]],[3]Mapping!$B$4:$C$37,2,0)</f>
        <v>[Cake] - Cashloan</v>
      </c>
      <c r="H8311" s="128" t="str">
        <f>VLOOKUP(source[[#This Row],[lending_product_transform]],[3]Mapping!$B$3:$D$37,3,0)</f>
        <v>cashloan</v>
      </c>
      <c r="I8311" s="173">
        <v>3540348000</v>
      </c>
    </row>
    <row r="8312" spans="1:9" x14ac:dyDescent="0.2">
      <c r="A8312" s="134">
        <v>45875</v>
      </c>
      <c r="B8312" s="135">
        <f>YEAR(source[[#This Row],[report_date]])</f>
        <v>2025</v>
      </c>
      <c r="C8312" s="128">
        <f t="shared" si="388"/>
        <v>8</v>
      </c>
      <c r="D8312" s="136">
        <f t="shared" si="387"/>
        <v>32</v>
      </c>
      <c r="E8312" s="136">
        <f t="shared" si="389"/>
        <v>6</v>
      </c>
      <c r="F8312" s="128" t="s">
        <v>24</v>
      </c>
      <c r="G8312" s="128" t="str">
        <f>VLOOKUP(source[[#This Row],[lending_product_transform]],[3]Mapping!$B$4:$C$37,2,0)</f>
        <v>[Cake] - Cashloan</v>
      </c>
      <c r="H8312" s="128" t="str">
        <f>VLOOKUP(source[[#This Row],[lending_product_transform]],[3]Mapping!$B$3:$D$37,3,0)</f>
        <v>cashloan</v>
      </c>
      <c r="I8312" s="173">
        <v>274532987</v>
      </c>
    </row>
    <row r="8313" spans="1:9" x14ac:dyDescent="0.2">
      <c r="A8313" s="134">
        <v>45875</v>
      </c>
      <c r="B8313" s="135">
        <f>YEAR(source[[#This Row],[report_date]])</f>
        <v>2025</v>
      </c>
      <c r="C8313" s="128">
        <f t="shared" si="388"/>
        <v>8</v>
      </c>
      <c r="D8313" s="136">
        <f t="shared" si="387"/>
        <v>32</v>
      </c>
      <c r="E8313" s="136">
        <f t="shared" si="389"/>
        <v>6</v>
      </c>
      <c r="F8313" s="128" t="s">
        <v>24</v>
      </c>
      <c r="G8313" s="128" t="str">
        <f>VLOOKUP(source[[#This Row],[lending_product_transform]],[3]Mapping!$B$4:$C$37,2,0)</f>
        <v>[Cake] - Cashloan</v>
      </c>
      <c r="H8313" s="128" t="str">
        <f>VLOOKUP(source[[#This Row],[lending_product_transform]],[3]Mapping!$B$3:$D$37,3,0)</f>
        <v>cashloan</v>
      </c>
      <c r="I8313" s="173">
        <v>5989464000</v>
      </c>
    </row>
    <row r="8314" spans="1:9" x14ac:dyDescent="0.2">
      <c r="A8314" s="134">
        <v>45875</v>
      </c>
      <c r="B8314" s="135">
        <f>YEAR(source[[#This Row],[report_date]])</f>
        <v>2025</v>
      </c>
      <c r="C8314" s="128">
        <f t="shared" si="388"/>
        <v>8</v>
      </c>
      <c r="D8314" s="136">
        <f t="shared" si="387"/>
        <v>32</v>
      </c>
      <c r="E8314" s="136">
        <f t="shared" si="389"/>
        <v>6</v>
      </c>
      <c r="F8314" s="128" t="s">
        <v>24</v>
      </c>
      <c r="G8314" s="128" t="str">
        <f>VLOOKUP(source[[#This Row],[lending_product_transform]],[3]Mapping!$B$4:$C$37,2,0)</f>
        <v>[Cake] - Cashloan</v>
      </c>
      <c r="H8314" s="128" t="str">
        <f>VLOOKUP(source[[#This Row],[lending_product_transform]],[3]Mapping!$B$3:$D$37,3,0)</f>
        <v>cashloan</v>
      </c>
      <c r="I8314" s="173">
        <v>3376398287</v>
      </c>
    </row>
    <row r="8315" spans="1:9" x14ac:dyDescent="0.2">
      <c r="A8315" s="134">
        <v>45875</v>
      </c>
      <c r="B8315" s="135">
        <f>YEAR(source[[#This Row],[report_date]])</f>
        <v>2025</v>
      </c>
      <c r="C8315" s="128">
        <f t="shared" si="388"/>
        <v>8</v>
      </c>
      <c r="D8315" s="136">
        <f t="shared" si="387"/>
        <v>32</v>
      </c>
      <c r="E8315" s="136">
        <f t="shared" si="389"/>
        <v>6</v>
      </c>
      <c r="F8315" s="128" t="s">
        <v>24</v>
      </c>
      <c r="G8315" s="128" t="str">
        <f>VLOOKUP(source[[#This Row],[lending_product_transform]],[3]Mapping!$B$4:$C$37,2,0)</f>
        <v>[Cake] - Cashloan</v>
      </c>
      <c r="H8315" s="128" t="str">
        <f>VLOOKUP(source[[#This Row],[lending_product_transform]],[3]Mapping!$B$3:$D$37,3,0)</f>
        <v>cashloan</v>
      </c>
      <c r="I8315" s="173">
        <v>547780000</v>
      </c>
    </row>
    <row r="8316" spans="1:9" x14ac:dyDescent="0.2">
      <c r="A8316" s="134">
        <v>45875</v>
      </c>
      <c r="B8316" s="135">
        <f>YEAR(source[[#This Row],[report_date]])</f>
        <v>2025</v>
      </c>
      <c r="C8316" s="128">
        <f t="shared" si="388"/>
        <v>8</v>
      </c>
      <c r="D8316" s="136">
        <f t="shared" si="387"/>
        <v>32</v>
      </c>
      <c r="E8316" s="136">
        <f t="shared" si="389"/>
        <v>6</v>
      </c>
      <c r="F8316" s="128" t="s">
        <v>24</v>
      </c>
      <c r="G8316" s="128" t="str">
        <f>VLOOKUP(source[[#This Row],[lending_product_transform]],[3]Mapping!$B$4:$C$37,2,0)</f>
        <v>[Cake] - Cashloan</v>
      </c>
      <c r="H8316" s="128" t="str">
        <f>VLOOKUP(source[[#This Row],[lending_product_transform]],[3]Mapping!$B$3:$D$37,3,0)</f>
        <v>cashloan</v>
      </c>
      <c r="I8316" s="173">
        <v>10134200000</v>
      </c>
    </row>
    <row r="8317" spans="1:9" x14ac:dyDescent="0.2">
      <c r="A8317" s="134">
        <v>45875</v>
      </c>
      <c r="B8317" s="135">
        <f>YEAR(source[[#This Row],[report_date]])</f>
        <v>2025</v>
      </c>
      <c r="C8317" s="128">
        <f t="shared" si="388"/>
        <v>8</v>
      </c>
      <c r="D8317" s="136">
        <f t="shared" si="387"/>
        <v>32</v>
      </c>
      <c r="E8317" s="136">
        <f t="shared" si="389"/>
        <v>6</v>
      </c>
      <c r="F8317" s="128" t="s">
        <v>24</v>
      </c>
      <c r="G8317" s="128" t="str">
        <f>VLOOKUP(source[[#This Row],[lending_product_transform]],[3]Mapping!$B$4:$C$37,2,0)</f>
        <v>[Cake] - Cashloan</v>
      </c>
      <c r="H8317" s="128" t="str">
        <f>VLOOKUP(source[[#This Row],[lending_product_transform]],[3]Mapping!$B$3:$D$37,3,0)</f>
        <v>cashloan</v>
      </c>
      <c r="I8317" s="173">
        <v>0</v>
      </c>
    </row>
    <row r="8318" spans="1:9" x14ac:dyDescent="0.2">
      <c r="A8318" s="134">
        <v>45876</v>
      </c>
      <c r="B8318" s="135">
        <f>YEAR(source[[#This Row],[report_date]])</f>
        <v>2025</v>
      </c>
      <c r="C8318" s="128">
        <f t="shared" si="388"/>
        <v>8</v>
      </c>
      <c r="D8318" s="136">
        <f t="shared" si="387"/>
        <v>32</v>
      </c>
      <c r="E8318" s="136">
        <f t="shared" si="389"/>
        <v>7</v>
      </c>
      <c r="F8318" s="128" t="s">
        <v>24</v>
      </c>
      <c r="G8318" s="128" t="str">
        <f>VLOOKUP(source[[#This Row],[lending_product_transform]],[3]Mapping!$B$4:$C$37,2,0)</f>
        <v>[Cake] - Cashloan</v>
      </c>
      <c r="H8318" s="128" t="str">
        <f>VLOOKUP(source[[#This Row],[lending_product_transform]],[3]Mapping!$B$3:$D$37,3,0)</f>
        <v>cashloan</v>
      </c>
      <c r="I8318" s="173">
        <v>362038363</v>
      </c>
    </row>
    <row r="8319" spans="1:9" x14ac:dyDescent="0.2">
      <c r="A8319" s="134">
        <v>45876</v>
      </c>
      <c r="B8319" s="135">
        <f>YEAR(source[[#This Row],[report_date]])</f>
        <v>2025</v>
      </c>
      <c r="C8319" s="128">
        <f t="shared" si="388"/>
        <v>8</v>
      </c>
      <c r="D8319" s="136">
        <f t="shared" si="387"/>
        <v>32</v>
      </c>
      <c r="E8319" s="136">
        <f t="shared" si="389"/>
        <v>7</v>
      </c>
      <c r="F8319" s="128" t="s">
        <v>24</v>
      </c>
      <c r="G8319" s="128" t="str">
        <f>VLOOKUP(source[[#This Row],[lending_product_transform]],[3]Mapping!$B$4:$C$37,2,0)</f>
        <v>[Cake] - Cashloan</v>
      </c>
      <c r="H8319" s="128" t="str">
        <f>VLOOKUP(source[[#This Row],[lending_product_transform]],[3]Mapping!$B$3:$D$37,3,0)</f>
        <v>cashloan</v>
      </c>
      <c r="I8319" s="173">
        <v>51000000</v>
      </c>
    </row>
    <row r="8320" spans="1:9" x14ac:dyDescent="0.2">
      <c r="A8320" s="134">
        <v>45876</v>
      </c>
      <c r="B8320" s="135">
        <f>YEAR(source[[#This Row],[report_date]])</f>
        <v>2025</v>
      </c>
      <c r="C8320" s="128">
        <f t="shared" si="388"/>
        <v>8</v>
      </c>
      <c r="D8320" s="136">
        <f t="shared" si="387"/>
        <v>32</v>
      </c>
      <c r="E8320" s="136">
        <f t="shared" si="389"/>
        <v>7</v>
      </c>
      <c r="F8320" s="128" t="s">
        <v>24</v>
      </c>
      <c r="G8320" s="128" t="str">
        <f>VLOOKUP(source[[#This Row],[lending_product_transform]],[3]Mapping!$B$4:$C$37,2,0)</f>
        <v>[Cake] - Cashloan</v>
      </c>
      <c r="H8320" s="128" t="str">
        <f>VLOOKUP(source[[#This Row],[lending_product_transform]],[3]Mapping!$B$3:$D$37,3,0)</f>
        <v>cashloan</v>
      </c>
      <c r="I8320" s="173">
        <v>3142283152</v>
      </c>
    </row>
    <row r="8321" spans="1:9" x14ac:dyDescent="0.2">
      <c r="A8321" s="134">
        <v>45876</v>
      </c>
      <c r="B8321" s="135">
        <f>YEAR(source[[#This Row],[report_date]])</f>
        <v>2025</v>
      </c>
      <c r="C8321" s="128">
        <f t="shared" si="388"/>
        <v>8</v>
      </c>
      <c r="D8321" s="136">
        <f t="shared" si="387"/>
        <v>32</v>
      </c>
      <c r="E8321" s="136">
        <f t="shared" si="389"/>
        <v>7</v>
      </c>
      <c r="F8321" s="128" t="s">
        <v>24</v>
      </c>
      <c r="G8321" s="128" t="str">
        <f>VLOOKUP(source[[#This Row],[lending_product_transform]],[3]Mapping!$B$4:$C$37,2,0)</f>
        <v>[Cake] - Cashloan</v>
      </c>
      <c r="H8321" s="128" t="str">
        <f>VLOOKUP(source[[#This Row],[lending_product_transform]],[3]Mapping!$B$3:$D$37,3,0)</f>
        <v>cashloan</v>
      </c>
      <c r="I8321" s="173">
        <v>243216942</v>
      </c>
    </row>
    <row r="8322" spans="1:9" x14ac:dyDescent="0.2">
      <c r="A8322" s="134">
        <v>45876</v>
      </c>
      <c r="B8322" s="135">
        <f>YEAR(source[[#This Row],[report_date]])</f>
        <v>2025</v>
      </c>
      <c r="C8322" s="128">
        <f t="shared" si="388"/>
        <v>8</v>
      </c>
      <c r="D8322" s="136">
        <f t="shared" si="387"/>
        <v>32</v>
      </c>
      <c r="E8322" s="136">
        <f t="shared" si="389"/>
        <v>7</v>
      </c>
      <c r="F8322" s="128" t="s">
        <v>24</v>
      </c>
      <c r="G8322" s="128" t="str">
        <f>VLOOKUP(source[[#This Row],[lending_product_transform]],[3]Mapping!$B$4:$C$37,2,0)</f>
        <v>[Cake] - Cashloan</v>
      </c>
      <c r="H8322" s="128" t="str">
        <f>VLOOKUP(source[[#This Row],[lending_product_transform]],[3]Mapping!$B$3:$D$37,3,0)</f>
        <v>cashloan</v>
      </c>
      <c r="I8322" s="173">
        <v>10500000</v>
      </c>
    </row>
    <row r="8323" spans="1:9" x14ac:dyDescent="0.2">
      <c r="A8323" s="134">
        <v>45876</v>
      </c>
      <c r="B8323" s="135">
        <f>YEAR(source[[#This Row],[report_date]])</f>
        <v>2025</v>
      </c>
      <c r="C8323" s="128">
        <f t="shared" si="388"/>
        <v>8</v>
      </c>
      <c r="D8323" s="136">
        <f t="shared" ref="D8323:D8386" si="390">WEEKNUM(A8323,2)</f>
        <v>32</v>
      </c>
      <c r="E8323" s="136">
        <f t="shared" si="389"/>
        <v>7</v>
      </c>
      <c r="F8323" s="128" t="s">
        <v>24</v>
      </c>
      <c r="G8323" s="128" t="str">
        <f>VLOOKUP(source[[#This Row],[lending_product_transform]],[3]Mapping!$B$4:$C$37,2,0)</f>
        <v>[Cake] - Cashloan</v>
      </c>
      <c r="H8323" s="128" t="str">
        <f>VLOOKUP(source[[#This Row],[lending_product_transform]],[3]Mapping!$B$3:$D$37,3,0)</f>
        <v>cashloan</v>
      </c>
      <c r="I8323" s="173">
        <v>431205650</v>
      </c>
    </row>
    <row r="8324" spans="1:9" x14ac:dyDescent="0.2">
      <c r="A8324" s="134">
        <v>45876</v>
      </c>
      <c r="B8324" s="135">
        <f>YEAR(source[[#This Row],[report_date]])</f>
        <v>2025</v>
      </c>
      <c r="C8324" s="128">
        <f t="shared" si="388"/>
        <v>8</v>
      </c>
      <c r="D8324" s="136">
        <f t="shared" si="390"/>
        <v>32</v>
      </c>
      <c r="E8324" s="136">
        <f t="shared" si="389"/>
        <v>7</v>
      </c>
      <c r="F8324" s="128" t="s">
        <v>24</v>
      </c>
      <c r="G8324" s="128" t="str">
        <f>VLOOKUP(source[[#This Row],[lending_product_transform]],[3]Mapping!$B$4:$C$37,2,0)</f>
        <v>[Cake] - Cashloan</v>
      </c>
      <c r="H8324" s="128" t="str">
        <f>VLOOKUP(source[[#This Row],[lending_product_transform]],[3]Mapping!$B$3:$D$37,3,0)</f>
        <v>cashloan</v>
      </c>
      <c r="I8324" s="173">
        <v>2184590000</v>
      </c>
    </row>
    <row r="8325" spans="1:9" x14ac:dyDescent="0.2">
      <c r="A8325" s="134">
        <v>45876</v>
      </c>
      <c r="B8325" s="135">
        <f>YEAR(source[[#This Row],[report_date]])</f>
        <v>2025</v>
      </c>
      <c r="C8325" s="128">
        <f t="shared" si="388"/>
        <v>8</v>
      </c>
      <c r="D8325" s="136">
        <f t="shared" si="390"/>
        <v>32</v>
      </c>
      <c r="E8325" s="136">
        <f t="shared" si="389"/>
        <v>7</v>
      </c>
      <c r="F8325" s="128" t="s">
        <v>24</v>
      </c>
      <c r="G8325" s="128" t="str">
        <f>VLOOKUP(source[[#This Row],[lending_product_transform]],[3]Mapping!$B$4:$C$37,2,0)</f>
        <v>[Cake] - Cashloan</v>
      </c>
      <c r="H8325" s="128" t="str">
        <f>VLOOKUP(source[[#This Row],[lending_product_transform]],[3]Mapping!$B$3:$D$37,3,0)</f>
        <v>cashloan</v>
      </c>
      <c r="I8325" s="173">
        <v>9758780000</v>
      </c>
    </row>
    <row r="8326" spans="1:9" x14ac:dyDescent="0.2">
      <c r="A8326" s="134">
        <v>45876</v>
      </c>
      <c r="B8326" s="135">
        <f>YEAR(source[[#This Row],[report_date]])</f>
        <v>2025</v>
      </c>
      <c r="C8326" s="128">
        <f t="shared" si="388"/>
        <v>8</v>
      </c>
      <c r="D8326" s="136">
        <f t="shared" si="390"/>
        <v>32</v>
      </c>
      <c r="E8326" s="136">
        <f t="shared" si="389"/>
        <v>7</v>
      </c>
      <c r="F8326" s="128" t="s">
        <v>24</v>
      </c>
      <c r="G8326" s="128" t="str">
        <f>VLOOKUP(source[[#This Row],[lending_product_transform]],[3]Mapping!$B$4:$C$37,2,0)</f>
        <v>[Cake] - Cashloan</v>
      </c>
      <c r="H8326" s="128" t="str">
        <f>VLOOKUP(source[[#This Row],[lending_product_transform]],[3]Mapping!$B$3:$D$37,3,0)</f>
        <v>cashloan</v>
      </c>
      <c r="I8326" s="173">
        <v>9703680000</v>
      </c>
    </row>
    <row r="8327" spans="1:9" x14ac:dyDescent="0.2">
      <c r="A8327" s="134">
        <v>45876</v>
      </c>
      <c r="B8327" s="135">
        <f>YEAR(source[[#This Row],[report_date]])</f>
        <v>2025</v>
      </c>
      <c r="C8327" s="128">
        <f t="shared" si="388"/>
        <v>8</v>
      </c>
      <c r="D8327" s="136">
        <f t="shared" si="390"/>
        <v>32</v>
      </c>
      <c r="E8327" s="136">
        <f t="shared" si="389"/>
        <v>7</v>
      </c>
      <c r="F8327" s="128" t="s">
        <v>24</v>
      </c>
      <c r="G8327" s="128" t="str">
        <f>VLOOKUP(source[[#This Row],[lending_product_transform]],[3]Mapping!$B$4:$C$37,2,0)</f>
        <v>[Cake] - Cashloan</v>
      </c>
      <c r="H8327" s="128" t="str">
        <f>VLOOKUP(source[[#This Row],[lending_product_transform]],[3]Mapping!$B$3:$D$37,3,0)</f>
        <v>cashloan</v>
      </c>
      <c r="I8327" s="173">
        <v>39876286</v>
      </c>
    </row>
    <row r="8328" spans="1:9" x14ac:dyDescent="0.2">
      <c r="A8328" s="134">
        <v>45876</v>
      </c>
      <c r="B8328" s="135">
        <f>YEAR(source[[#This Row],[report_date]])</f>
        <v>2025</v>
      </c>
      <c r="C8328" s="128">
        <f t="shared" si="388"/>
        <v>8</v>
      </c>
      <c r="D8328" s="136">
        <f t="shared" si="390"/>
        <v>32</v>
      </c>
      <c r="E8328" s="136">
        <f t="shared" si="389"/>
        <v>7</v>
      </c>
      <c r="F8328" s="128" t="s">
        <v>24</v>
      </c>
      <c r="G8328" s="128" t="str">
        <f>VLOOKUP(source[[#This Row],[lending_product_transform]],[3]Mapping!$B$4:$C$37,2,0)</f>
        <v>[Cake] - Cashloan</v>
      </c>
      <c r="H8328" s="128" t="str">
        <f>VLOOKUP(source[[#This Row],[lending_product_transform]],[3]Mapping!$B$3:$D$37,3,0)</f>
        <v>cashloan</v>
      </c>
      <c r="I8328" s="173">
        <v>3279852000</v>
      </c>
    </row>
    <row r="8329" spans="1:9" x14ac:dyDescent="0.2">
      <c r="A8329" s="134">
        <v>45876</v>
      </c>
      <c r="B8329" s="135">
        <f>YEAR(source[[#This Row],[report_date]])</f>
        <v>2025</v>
      </c>
      <c r="C8329" s="128">
        <f t="shared" si="388"/>
        <v>8</v>
      </c>
      <c r="D8329" s="136">
        <f t="shared" si="390"/>
        <v>32</v>
      </c>
      <c r="E8329" s="136">
        <f t="shared" si="389"/>
        <v>7</v>
      </c>
      <c r="F8329" s="128" t="s">
        <v>24</v>
      </c>
      <c r="G8329" s="128" t="str">
        <f>VLOOKUP(source[[#This Row],[lending_product_transform]],[3]Mapping!$B$4:$C$37,2,0)</f>
        <v>[Cake] - Cashloan</v>
      </c>
      <c r="H8329" s="128" t="str">
        <f>VLOOKUP(source[[#This Row],[lending_product_transform]],[3]Mapping!$B$3:$D$37,3,0)</f>
        <v>cashloan</v>
      </c>
      <c r="I8329" s="173">
        <v>5467870000</v>
      </c>
    </row>
    <row r="8330" spans="1:9" x14ac:dyDescent="0.2">
      <c r="A8330" s="134">
        <v>45876</v>
      </c>
      <c r="B8330" s="135">
        <f>YEAR(source[[#This Row],[report_date]])</f>
        <v>2025</v>
      </c>
      <c r="C8330" s="128">
        <f t="shared" si="388"/>
        <v>8</v>
      </c>
      <c r="D8330" s="136">
        <f t="shared" si="390"/>
        <v>32</v>
      </c>
      <c r="E8330" s="136">
        <f t="shared" si="389"/>
        <v>7</v>
      </c>
      <c r="F8330" s="128" t="s">
        <v>24</v>
      </c>
      <c r="G8330" s="128" t="str">
        <f>VLOOKUP(source[[#This Row],[lending_product_transform]],[3]Mapping!$B$4:$C$37,2,0)</f>
        <v>[Cake] - Cashloan</v>
      </c>
      <c r="H8330" s="128" t="str">
        <f>VLOOKUP(source[[#This Row],[lending_product_transform]],[3]Mapping!$B$3:$D$37,3,0)</f>
        <v>cashloan</v>
      </c>
      <c r="I8330" s="173">
        <v>0</v>
      </c>
    </row>
    <row r="8331" spans="1:9" x14ac:dyDescent="0.2">
      <c r="A8331" s="134">
        <v>45876</v>
      </c>
      <c r="B8331" s="135">
        <f>YEAR(source[[#This Row],[report_date]])</f>
        <v>2025</v>
      </c>
      <c r="C8331" s="128">
        <f t="shared" si="388"/>
        <v>8</v>
      </c>
      <c r="D8331" s="136">
        <f t="shared" si="390"/>
        <v>32</v>
      </c>
      <c r="E8331" s="136">
        <f t="shared" si="389"/>
        <v>7</v>
      </c>
      <c r="F8331" s="128" t="s">
        <v>24</v>
      </c>
      <c r="G8331" s="128" t="str">
        <f>VLOOKUP(source[[#This Row],[lending_product_transform]],[3]Mapping!$B$4:$C$37,2,0)</f>
        <v>[Cake] - Cashloan</v>
      </c>
      <c r="H8331" s="128" t="str">
        <f>VLOOKUP(source[[#This Row],[lending_product_transform]],[3]Mapping!$B$3:$D$37,3,0)</f>
        <v>cashloan</v>
      </c>
      <c r="I8331" s="173">
        <v>0</v>
      </c>
    </row>
    <row r="8332" spans="1:9" x14ac:dyDescent="0.2">
      <c r="A8332" s="134">
        <v>45876</v>
      </c>
      <c r="B8332" s="135">
        <f>YEAR(source[[#This Row],[report_date]])</f>
        <v>2025</v>
      </c>
      <c r="C8332" s="128">
        <f t="shared" si="388"/>
        <v>8</v>
      </c>
      <c r="D8332" s="136">
        <f t="shared" si="390"/>
        <v>32</v>
      </c>
      <c r="E8332" s="136">
        <f t="shared" si="389"/>
        <v>7</v>
      </c>
      <c r="F8332" s="128" t="s">
        <v>24</v>
      </c>
      <c r="G8332" s="128" t="str">
        <f>VLOOKUP(source[[#This Row],[lending_product_transform]],[3]Mapping!$B$4:$C$37,2,0)</f>
        <v>[Cake] - Cashloan</v>
      </c>
      <c r="H8332" s="128" t="str">
        <f>VLOOKUP(source[[#This Row],[lending_product_transform]],[3]Mapping!$B$3:$D$37,3,0)</f>
        <v>cashloan</v>
      </c>
      <c r="I8332" s="173">
        <v>5600124000</v>
      </c>
    </row>
    <row r="8333" spans="1:9" x14ac:dyDescent="0.2">
      <c r="A8333" s="134">
        <v>45876</v>
      </c>
      <c r="B8333" s="135">
        <f>YEAR(source[[#This Row],[report_date]])</f>
        <v>2025</v>
      </c>
      <c r="C8333" s="128">
        <f t="shared" si="388"/>
        <v>8</v>
      </c>
      <c r="D8333" s="136">
        <f t="shared" si="390"/>
        <v>32</v>
      </c>
      <c r="E8333" s="136">
        <f t="shared" si="389"/>
        <v>7</v>
      </c>
      <c r="F8333" s="128" t="s">
        <v>24</v>
      </c>
      <c r="G8333" s="128" t="str">
        <f>VLOOKUP(source[[#This Row],[lending_product_transform]],[3]Mapping!$B$4:$C$37,2,0)</f>
        <v>[Cake] - Cashloan</v>
      </c>
      <c r="H8333" s="128" t="str">
        <f>VLOOKUP(source[[#This Row],[lending_product_transform]],[3]Mapping!$B$3:$D$37,3,0)</f>
        <v>cashloan</v>
      </c>
      <c r="I8333" s="173">
        <v>558043177</v>
      </c>
    </row>
    <row r="8334" spans="1:9" x14ac:dyDescent="0.2">
      <c r="A8334" s="134">
        <v>45876</v>
      </c>
      <c r="B8334" s="135">
        <f>YEAR(source[[#This Row],[report_date]])</f>
        <v>2025</v>
      </c>
      <c r="C8334" s="128">
        <f t="shared" si="388"/>
        <v>8</v>
      </c>
      <c r="D8334" s="136">
        <f t="shared" si="390"/>
        <v>32</v>
      </c>
      <c r="E8334" s="136">
        <f t="shared" si="389"/>
        <v>7</v>
      </c>
      <c r="F8334" s="128" t="s">
        <v>24</v>
      </c>
      <c r="G8334" s="128" t="str">
        <f>VLOOKUP(source[[#This Row],[lending_product_transform]],[3]Mapping!$B$4:$C$37,2,0)</f>
        <v>[Cake] - Cashloan</v>
      </c>
      <c r="H8334" s="128" t="str">
        <f>VLOOKUP(source[[#This Row],[lending_product_transform]],[3]Mapping!$B$3:$D$37,3,0)</f>
        <v>cashloan</v>
      </c>
      <c r="I8334" s="173">
        <v>493940000</v>
      </c>
    </row>
    <row r="8335" spans="1:9" x14ac:dyDescent="0.2">
      <c r="A8335" s="134">
        <v>45876</v>
      </c>
      <c r="B8335" s="135">
        <f>YEAR(source[[#This Row],[report_date]])</f>
        <v>2025</v>
      </c>
      <c r="C8335" s="128">
        <f t="shared" si="388"/>
        <v>8</v>
      </c>
      <c r="D8335" s="136">
        <f t="shared" si="390"/>
        <v>32</v>
      </c>
      <c r="E8335" s="136">
        <f t="shared" si="389"/>
        <v>7</v>
      </c>
      <c r="F8335" s="128" t="s">
        <v>24</v>
      </c>
      <c r="G8335" s="128" t="str">
        <f>VLOOKUP(source[[#This Row],[lending_product_transform]],[3]Mapping!$B$4:$C$37,2,0)</f>
        <v>[Cake] - Cashloan</v>
      </c>
      <c r="H8335" s="128" t="str">
        <f>VLOOKUP(source[[#This Row],[lending_product_transform]],[3]Mapping!$B$3:$D$37,3,0)</f>
        <v>cashloan</v>
      </c>
      <c r="I8335" s="173">
        <v>0</v>
      </c>
    </row>
    <row r="8336" spans="1:9" x14ac:dyDescent="0.2">
      <c r="A8336" s="134">
        <v>45877</v>
      </c>
      <c r="B8336" s="135">
        <f>YEAR(source[[#This Row],[report_date]])</f>
        <v>2025</v>
      </c>
      <c r="C8336" s="128">
        <f t="shared" si="388"/>
        <v>8</v>
      </c>
      <c r="D8336" s="136">
        <f t="shared" si="390"/>
        <v>32</v>
      </c>
      <c r="E8336" s="136">
        <f t="shared" si="389"/>
        <v>8</v>
      </c>
      <c r="F8336" s="128" t="s">
        <v>24</v>
      </c>
      <c r="G8336" s="128" t="str">
        <f>VLOOKUP(source[[#This Row],[lending_product_transform]],[3]Mapping!$B$4:$C$37,2,0)</f>
        <v>[Cake] - Cashloan</v>
      </c>
      <c r="H8336" s="128" t="str">
        <f>VLOOKUP(source[[#This Row],[lending_product_transform]],[3]Mapping!$B$3:$D$37,3,0)</f>
        <v>cashloan</v>
      </c>
      <c r="I8336" s="173">
        <v>2134130000</v>
      </c>
    </row>
    <row r="8337" spans="1:9" x14ac:dyDescent="0.2">
      <c r="A8337" s="134">
        <v>45877</v>
      </c>
      <c r="B8337" s="135">
        <f>YEAR(source[[#This Row],[report_date]])</f>
        <v>2025</v>
      </c>
      <c r="C8337" s="128">
        <f t="shared" si="388"/>
        <v>8</v>
      </c>
      <c r="D8337" s="136">
        <f t="shared" si="390"/>
        <v>32</v>
      </c>
      <c r="E8337" s="136">
        <f t="shared" si="389"/>
        <v>8</v>
      </c>
      <c r="F8337" s="128" t="s">
        <v>24</v>
      </c>
      <c r="G8337" s="128" t="str">
        <f>VLOOKUP(source[[#This Row],[lending_product_transform]],[3]Mapping!$B$4:$C$37,2,0)</f>
        <v>[Cake] - Cashloan</v>
      </c>
      <c r="H8337" s="128" t="str">
        <f>VLOOKUP(source[[#This Row],[lending_product_transform]],[3]Mapping!$B$3:$D$37,3,0)</f>
        <v>cashloan</v>
      </c>
      <c r="I8337" s="173">
        <v>10875830000</v>
      </c>
    </row>
    <row r="8338" spans="1:9" x14ac:dyDescent="0.2">
      <c r="A8338" s="134">
        <v>45877</v>
      </c>
      <c r="B8338" s="135">
        <f>YEAR(source[[#This Row],[report_date]])</f>
        <v>2025</v>
      </c>
      <c r="C8338" s="128">
        <f t="shared" si="388"/>
        <v>8</v>
      </c>
      <c r="D8338" s="136">
        <f t="shared" si="390"/>
        <v>32</v>
      </c>
      <c r="E8338" s="136">
        <f t="shared" si="389"/>
        <v>8</v>
      </c>
      <c r="F8338" s="128" t="s">
        <v>24</v>
      </c>
      <c r="G8338" s="128" t="str">
        <f>VLOOKUP(source[[#This Row],[lending_product_transform]],[3]Mapping!$B$4:$C$37,2,0)</f>
        <v>[Cake] - Cashloan</v>
      </c>
      <c r="H8338" s="128" t="str">
        <f>VLOOKUP(source[[#This Row],[lending_product_transform]],[3]Mapping!$B$3:$D$37,3,0)</f>
        <v>cashloan</v>
      </c>
      <c r="I8338" s="173">
        <v>337405845</v>
      </c>
    </row>
    <row r="8339" spans="1:9" x14ac:dyDescent="0.2">
      <c r="A8339" s="134">
        <v>45877</v>
      </c>
      <c r="B8339" s="135">
        <f>YEAR(source[[#This Row],[report_date]])</f>
        <v>2025</v>
      </c>
      <c r="C8339" s="128">
        <f t="shared" si="388"/>
        <v>8</v>
      </c>
      <c r="D8339" s="136">
        <f t="shared" si="390"/>
        <v>32</v>
      </c>
      <c r="E8339" s="136">
        <f t="shared" si="389"/>
        <v>8</v>
      </c>
      <c r="F8339" s="128" t="s">
        <v>24</v>
      </c>
      <c r="G8339" s="128" t="str">
        <f>VLOOKUP(source[[#This Row],[lending_product_transform]],[3]Mapping!$B$4:$C$37,2,0)</f>
        <v>[Cake] - Cashloan</v>
      </c>
      <c r="H8339" s="128" t="str">
        <f>VLOOKUP(source[[#This Row],[lending_product_transform]],[3]Mapping!$B$3:$D$37,3,0)</f>
        <v>cashloan</v>
      </c>
      <c r="I8339" s="173">
        <v>6536700000</v>
      </c>
    </row>
    <row r="8340" spans="1:9" x14ac:dyDescent="0.2">
      <c r="A8340" s="134">
        <v>45877</v>
      </c>
      <c r="B8340" s="135">
        <f>YEAR(source[[#This Row],[report_date]])</f>
        <v>2025</v>
      </c>
      <c r="C8340" s="128">
        <f t="shared" si="388"/>
        <v>8</v>
      </c>
      <c r="D8340" s="136">
        <f t="shared" si="390"/>
        <v>32</v>
      </c>
      <c r="E8340" s="136">
        <f t="shared" si="389"/>
        <v>8</v>
      </c>
      <c r="F8340" s="128" t="s">
        <v>24</v>
      </c>
      <c r="G8340" s="128" t="str">
        <f>VLOOKUP(source[[#This Row],[lending_product_transform]],[3]Mapping!$B$4:$C$37,2,0)</f>
        <v>[Cake] - Cashloan</v>
      </c>
      <c r="H8340" s="128" t="str">
        <f>VLOOKUP(source[[#This Row],[lending_product_transform]],[3]Mapping!$B$3:$D$37,3,0)</f>
        <v>cashloan</v>
      </c>
      <c r="I8340" s="173">
        <v>11937810000</v>
      </c>
    </row>
    <row r="8341" spans="1:9" x14ac:dyDescent="0.2">
      <c r="A8341" s="134">
        <v>45877</v>
      </c>
      <c r="B8341" s="135">
        <f>YEAR(source[[#This Row],[report_date]])</f>
        <v>2025</v>
      </c>
      <c r="C8341" s="128">
        <f t="shared" si="388"/>
        <v>8</v>
      </c>
      <c r="D8341" s="136">
        <f t="shared" si="390"/>
        <v>32</v>
      </c>
      <c r="E8341" s="136">
        <f t="shared" si="389"/>
        <v>8</v>
      </c>
      <c r="F8341" s="128" t="s">
        <v>24</v>
      </c>
      <c r="G8341" s="128" t="str">
        <f>VLOOKUP(source[[#This Row],[lending_product_transform]],[3]Mapping!$B$4:$C$37,2,0)</f>
        <v>[Cake] - Cashloan</v>
      </c>
      <c r="H8341" s="128" t="str">
        <f>VLOOKUP(source[[#This Row],[lending_product_transform]],[3]Mapping!$B$3:$D$37,3,0)</f>
        <v>cashloan</v>
      </c>
      <c r="I8341" s="173">
        <v>3215431781</v>
      </c>
    </row>
    <row r="8342" spans="1:9" x14ac:dyDescent="0.2">
      <c r="A8342" s="134">
        <v>45877</v>
      </c>
      <c r="B8342" s="135">
        <f>YEAR(source[[#This Row],[report_date]])</f>
        <v>2025</v>
      </c>
      <c r="C8342" s="128">
        <f t="shared" si="388"/>
        <v>8</v>
      </c>
      <c r="D8342" s="136">
        <f t="shared" si="390"/>
        <v>32</v>
      </c>
      <c r="E8342" s="136">
        <f t="shared" si="389"/>
        <v>8</v>
      </c>
      <c r="F8342" s="128" t="s">
        <v>24</v>
      </c>
      <c r="G8342" s="128" t="str">
        <f>VLOOKUP(source[[#This Row],[lending_product_transform]],[3]Mapping!$B$4:$C$37,2,0)</f>
        <v>[Cake] - Cashloan</v>
      </c>
      <c r="H8342" s="128" t="str">
        <f>VLOOKUP(source[[#This Row],[lending_product_transform]],[3]Mapping!$B$3:$D$37,3,0)</f>
        <v>cashloan</v>
      </c>
      <c r="I8342" s="173">
        <v>27300000</v>
      </c>
    </row>
    <row r="8343" spans="1:9" x14ac:dyDescent="0.2">
      <c r="A8343" s="134">
        <v>45877</v>
      </c>
      <c r="B8343" s="135">
        <f>YEAR(source[[#This Row],[report_date]])</f>
        <v>2025</v>
      </c>
      <c r="C8343" s="128">
        <f t="shared" si="388"/>
        <v>8</v>
      </c>
      <c r="D8343" s="136">
        <f t="shared" si="390"/>
        <v>32</v>
      </c>
      <c r="E8343" s="136">
        <f t="shared" si="389"/>
        <v>8</v>
      </c>
      <c r="F8343" s="128" t="s">
        <v>24</v>
      </c>
      <c r="G8343" s="128" t="str">
        <f>VLOOKUP(source[[#This Row],[lending_product_transform]],[3]Mapping!$B$4:$C$37,2,0)</f>
        <v>[Cake] - Cashloan</v>
      </c>
      <c r="H8343" s="128" t="str">
        <f>VLOOKUP(source[[#This Row],[lending_product_transform]],[3]Mapping!$B$3:$D$37,3,0)</f>
        <v>cashloan</v>
      </c>
      <c r="I8343" s="173">
        <v>0</v>
      </c>
    </row>
    <row r="8344" spans="1:9" x14ac:dyDescent="0.2">
      <c r="A8344" s="134">
        <v>45877</v>
      </c>
      <c r="B8344" s="135">
        <f>YEAR(source[[#This Row],[report_date]])</f>
        <v>2025</v>
      </c>
      <c r="C8344" s="128">
        <f t="shared" si="388"/>
        <v>8</v>
      </c>
      <c r="D8344" s="136">
        <f t="shared" si="390"/>
        <v>32</v>
      </c>
      <c r="E8344" s="136">
        <f t="shared" si="389"/>
        <v>8</v>
      </c>
      <c r="F8344" s="128" t="s">
        <v>24</v>
      </c>
      <c r="G8344" s="128" t="str">
        <f>VLOOKUP(source[[#This Row],[lending_product_transform]],[3]Mapping!$B$4:$C$37,2,0)</f>
        <v>[Cake] - Cashloan</v>
      </c>
      <c r="H8344" s="128" t="str">
        <f>VLOOKUP(source[[#This Row],[lending_product_transform]],[3]Mapping!$B$3:$D$37,3,0)</f>
        <v>cashloan</v>
      </c>
      <c r="I8344" s="173">
        <v>13000000</v>
      </c>
    </row>
    <row r="8345" spans="1:9" x14ac:dyDescent="0.2">
      <c r="A8345" s="134">
        <v>45877</v>
      </c>
      <c r="B8345" s="135">
        <f>YEAR(source[[#This Row],[report_date]])</f>
        <v>2025</v>
      </c>
      <c r="C8345" s="128">
        <f t="shared" si="388"/>
        <v>8</v>
      </c>
      <c r="D8345" s="136">
        <f t="shared" si="390"/>
        <v>32</v>
      </c>
      <c r="E8345" s="136">
        <f t="shared" si="389"/>
        <v>8</v>
      </c>
      <c r="F8345" s="128" t="s">
        <v>24</v>
      </c>
      <c r="G8345" s="128" t="str">
        <f>VLOOKUP(source[[#This Row],[lending_product_transform]],[3]Mapping!$B$4:$C$37,2,0)</f>
        <v>[Cake] - Cashloan</v>
      </c>
      <c r="H8345" s="128" t="str">
        <f>VLOOKUP(source[[#This Row],[lending_product_transform]],[3]Mapping!$B$3:$D$37,3,0)</f>
        <v>cashloan</v>
      </c>
      <c r="I8345" s="173">
        <v>31500000</v>
      </c>
    </row>
    <row r="8346" spans="1:9" x14ac:dyDescent="0.2">
      <c r="A8346" s="134">
        <v>45877</v>
      </c>
      <c r="B8346" s="135">
        <f>YEAR(source[[#This Row],[report_date]])</f>
        <v>2025</v>
      </c>
      <c r="C8346" s="128">
        <f t="shared" si="388"/>
        <v>8</v>
      </c>
      <c r="D8346" s="136">
        <f t="shared" si="390"/>
        <v>32</v>
      </c>
      <c r="E8346" s="136">
        <f t="shared" si="389"/>
        <v>8</v>
      </c>
      <c r="F8346" s="128" t="s">
        <v>24</v>
      </c>
      <c r="G8346" s="128" t="str">
        <f>VLOOKUP(source[[#This Row],[lending_product_transform]],[3]Mapping!$B$4:$C$37,2,0)</f>
        <v>[Cake] - Cashloan</v>
      </c>
      <c r="H8346" s="128" t="str">
        <f>VLOOKUP(source[[#This Row],[lending_product_transform]],[3]Mapping!$B$3:$D$37,3,0)</f>
        <v>cashloan</v>
      </c>
      <c r="I8346" s="173">
        <v>43263278</v>
      </c>
    </row>
    <row r="8347" spans="1:9" x14ac:dyDescent="0.2">
      <c r="A8347" s="134">
        <v>45877</v>
      </c>
      <c r="B8347" s="135">
        <f>YEAR(source[[#This Row],[report_date]])</f>
        <v>2025</v>
      </c>
      <c r="C8347" s="128">
        <f t="shared" si="388"/>
        <v>8</v>
      </c>
      <c r="D8347" s="136">
        <f t="shared" si="390"/>
        <v>32</v>
      </c>
      <c r="E8347" s="136">
        <f t="shared" si="389"/>
        <v>8</v>
      </c>
      <c r="F8347" s="128" t="s">
        <v>24</v>
      </c>
      <c r="G8347" s="128" t="str">
        <f>VLOOKUP(source[[#This Row],[lending_product_transform]],[3]Mapping!$B$4:$C$37,2,0)</f>
        <v>[Cake] - Cashloan</v>
      </c>
      <c r="H8347" s="128" t="str">
        <f>VLOOKUP(source[[#This Row],[lending_product_transform]],[3]Mapping!$B$3:$D$37,3,0)</f>
        <v>cashloan</v>
      </c>
      <c r="I8347" s="173">
        <v>492821000</v>
      </c>
    </row>
    <row r="8348" spans="1:9" x14ac:dyDescent="0.2">
      <c r="A8348" s="134">
        <v>45877</v>
      </c>
      <c r="B8348" s="135">
        <f>YEAR(source[[#This Row],[report_date]])</f>
        <v>2025</v>
      </c>
      <c r="C8348" s="128">
        <f t="shared" si="388"/>
        <v>8</v>
      </c>
      <c r="D8348" s="136">
        <f t="shared" si="390"/>
        <v>32</v>
      </c>
      <c r="E8348" s="136">
        <f t="shared" si="389"/>
        <v>8</v>
      </c>
      <c r="F8348" s="128" t="s">
        <v>24</v>
      </c>
      <c r="G8348" s="128" t="str">
        <f>VLOOKUP(source[[#This Row],[lending_product_transform]],[3]Mapping!$B$4:$C$37,2,0)</f>
        <v>[Cake] - Cashloan</v>
      </c>
      <c r="H8348" s="128" t="str">
        <f>VLOOKUP(source[[#This Row],[lending_product_transform]],[3]Mapping!$B$3:$D$37,3,0)</f>
        <v>cashloan</v>
      </c>
      <c r="I8348" s="173">
        <v>411440000</v>
      </c>
    </row>
    <row r="8349" spans="1:9" x14ac:dyDescent="0.2">
      <c r="A8349" s="134">
        <v>45877</v>
      </c>
      <c r="B8349" s="135">
        <f>YEAR(source[[#This Row],[report_date]])</f>
        <v>2025</v>
      </c>
      <c r="C8349" s="128">
        <f t="shared" si="388"/>
        <v>8</v>
      </c>
      <c r="D8349" s="136">
        <f t="shared" si="390"/>
        <v>32</v>
      </c>
      <c r="E8349" s="136">
        <f t="shared" si="389"/>
        <v>8</v>
      </c>
      <c r="F8349" s="128" t="s">
        <v>24</v>
      </c>
      <c r="G8349" s="128" t="str">
        <f>VLOOKUP(source[[#This Row],[lending_product_transform]],[3]Mapping!$B$4:$C$37,2,0)</f>
        <v>[Cake] - Cashloan</v>
      </c>
      <c r="H8349" s="128" t="str">
        <f>VLOOKUP(source[[#This Row],[lending_product_transform]],[3]Mapping!$B$3:$D$37,3,0)</f>
        <v>cashloan</v>
      </c>
      <c r="I8349" s="173">
        <v>226544513</v>
      </c>
    </row>
    <row r="8350" spans="1:9" x14ac:dyDescent="0.2">
      <c r="A8350" s="134">
        <v>45877</v>
      </c>
      <c r="B8350" s="135">
        <f>YEAR(source[[#This Row],[report_date]])</f>
        <v>2025</v>
      </c>
      <c r="C8350" s="128">
        <f t="shared" si="388"/>
        <v>8</v>
      </c>
      <c r="D8350" s="136">
        <f t="shared" si="390"/>
        <v>32</v>
      </c>
      <c r="E8350" s="136">
        <f t="shared" si="389"/>
        <v>8</v>
      </c>
      <c r="F8350" s="128" t="s">
        <v>24</v>
      </c>
      <c r="G8350" s="128" t="str">
        <f>VLOOKUP(source[[#This Row],[lending_product_transform]],[3]Mapping!$B$4:$C$37,2,0)</f>
        <v>[Cake] - Cashloan</v>
      </c>
      <c r="H8350" s="128" t="str">
        <f>VLOOKUP(source[[#This Row],[lending_product_transform]],[3]Mapping!$B$3:$D$37,3,0)</f>
        <v>cashloan</v>
      </c>
      <c r="I8350" s="173">
        <v>493235347</v>
      </c>
    </row>
    <row r="8351" spans="1:9" x14ac:dyDescent="0.2">
      <c r="A8351" s="134">
        <v>45877</v>
      </c>
      <c r="B8351" s="135">
        <f>YEAR(source[[#This Row],[report_date]])</f>
        <v>2025</v>
      </c>
      <c r="C8351" s="128">
        <f t="shared" si="388"/>
        <v>8</v>
      </c>
      <c r="D8351" s="136">
        <f t="shared" si="390"/>
        <v>32</v>
      </c>
      <c r="E8351" s="136">
        <f t="shared" si="389"/>
        <v>8</v>
      </c>
      <c r="F8351" s="128" t="s">
        <v>24</v>
      </c>
      <c r="G8351" s="128" t="str">
        <f>VLOOKUP(source[[#This Row],[lending_product_transform]],[3]Mapping!$B$4:$C$37,2,0)</f>
        <v>[Cake] - Cashloan</v>
      </c>
      <c r="H8351" s="128" t="str">
        <f>VLOOKUP(source[[#This Row],[lending_product_transform]],[3]Mapping!$B$3:$D$37,3,0)</f>
        <v>cashloan</v>
      </c>
      <c r="I8351" s="173">
        <v>3465590000</v>
      </c>
    </row>
    <row r="8352" spans="1:9" x14ac:dyDescent="0.2">
      <c r="A8352" s="134">
        <v>45877</v>
      </c>
      <c r="B8352" s="135">
        <f>YEAR(source[[#This Row],[report_date]])</f>
        <v>2025</v>
      </c>
      <c r="C8352" s="128">
        <f t="shared" si="388"/>
        <v>8</v>
      </c>
      <c r="D8352" s="136">
        <f t="shared" si="390"/>
        <v>32</v>
      </c>
      <c r="E8352" s="136">
        <f t="shared" si="389"/>
        <v>8</v>
      </c>
      <c r="F8352" s="128" t="s">
        <v>24</v>
      </c>
      <c r="G8352" s="128" t="str">
        <f>VLOOKUP(source[[#This Row],[lending_product_transform]],[3]Mapping!$B$4:$C$37,2,0)</f>
        <v>[Cake] - Cashloan</v>
      </c>
      <c r="H8352" s="128" t="str">
        <f>VLOOKUP(source[[#This Row],[lending_product_transform]],[3]Mapping!$B$3:$D$37,3,0)</f>
        <v>cashloan</v>
      </c>
      <c r="I8352" s="173">
        <v>0</v>
      </c>
    </row>
    <row r="8353" spans="1:9" x14ac:dyDescent="0.2">
      <c r="A8353" s="134">
        <v>45877</v>
      </c>
      <c r="B8353" s="135">
        <f>YEAR(source[[#This Row],[report_date]])</f>
        <v>2025</v>
      </c>
      <c r="C8353" s="128">
        <f t="shared" si="388"/>
        <v>8</v>
      </c>
      <c r="D8353" s="136">
        <f t="shared" si="390"/>
        <v>32</v>
      </c>
      <c r="E8353" s="136">
        <f t="shared" si="389"/>
        <v>8</v>
      </c>
      <c r="F8353" s="128" t="s">
        <v>24</v>
      </c>
      <c r="G8353" s="128" t="str">
        <f>VLOOKUP(source[[#This Row],[lending_product_transform]],[3]Mapping!$B$4:$C$37,2,0)</f>
        <v>[Cake] - Cashloan</v>
      </c>
      <c r="H8353" s="128" t="str">
        <f>VLOOKUP(source[[#This Row],[lending_product_transform]],[3]Mapping!$B$3:$D$37,3,0)</f>
        <v>cashloan</v>
      </c>
      <c r="I8353" s="173">
        <v>3562812000</v>
      </c>
    </row>
    <row r="8354" spans="1:9" x14ac:dyDescent="0.2">
      <c r="A8354" s="134">
        <v>45878</v>
      </c>
      <c r="B8354" s="135">
        <f>YEAR(source[[#This Row],[report_date]])</f>
        <v>2025</v>
      </c>
      <c r="C8354" s="128">
        <f t="shared" si="388"/>
        <v>8</v>
      </c>
      <c r="D8354" s="136">
        <f t="shared" si="390"/>
        <v>32</v>
      </c>
      <c r="E8354" s="136">
        <f t="shared" si="389"/>
        <v>9</v>
      </c>
      <c r="F8354" s="128" t="s">
        <v>24</v>
      </c>
      <c r="G8354" s="128" t="str">
        <f>VLOOKUP(source[[#This Row],[lending_product_transform]],[3]Mapping!$B$4:$C$37,2,0)</f>
        <v>[Cake] - Cashloan</v>
      </c>
      <c r="H8354" s="128" t="str">
        <f>VLOOKUP(source[[#This Row],[lending_product_transform]],[3]Mapping!$B$3:$D$37,3,0)</f>
        <v>cashloan</v>
      </c>
      <c r="I8354" s="173">
        <v>15750000</v>
      </c>
    </row>
    <row r="8355" spans="1:9" x14ac:dyDescent="0.2">
      <c r="A8355" s="134">
        <v>45878</v>
      </c>
      <c r="B8355" s="135">
        <f>YEAR(source[[#This Row],[report_date]])</f>
        <v>2025</v>
      </c>
      <c r="C8355" s="128">
        <f t="shared" si="388"/>
        <v>8</v>
      </c>
      <c r="D8355" s="136">
        <f t="shared" si="390"/>
        <v>32</v>
      </c>
      <c r="E8355" s="136">
        <f t="shared" si="389"/>
        <v>9</v>
      </c>
      <c r="F8355" s="128" t="s">
        <v>24</v>
      </c>
      <c r="G8355" s="128" t="str">
        <f>VLOOKUP(source[[#This Row],[lending_product_transform]],[3]Mapping!$B$4:$C$37,2,0)</f>
        <v>[Cake] - Cashloan</v>
      </c>
      <c r="H8355" s="128" t="str">
        <f>VLOOKUP(source[[#This Row],[lending_product_transform]],[3]Mapping!$B$3:$D$37,3,0)</f>
        <v>cashloan</v>
      </c>
      <c r="I8355" s="173">
        <v>416117696</v>
      </c>
    </row>
    <row r="8356" spans="1:9" x14ac:dyDescent="0.2">
      <c r="A8356" s="134">
        <v>45878</v>
      </c>
      <c r="B8356" s="135">
        <f>YEAR(source[[#This Row],[report_date]])</f>
        <v>2025</v>
      </c>
      <c r="C8356" s="128">
        <f t="shared" si="388"/>
        <v>8</v>
      </c>
      <c r="D8356" s="136">
        <f t="shared" si="390"/>
        <v>32</v>
      </c>
      <c r="E8356" s="136">
        <f t="shared" si="389"/>
        <v>9</v>
      </c>
      <c r="F8356" s="128" t="s">
        <v>24</v>
      </c>
      <c r="G8356" s="128" t="str">
        <f>VLOOKUP(source[[#This Row],[lending_product_transform]],[3]Mapping!$B$4:$C$37,2,0)</f>
        <v>[Cake] - Cashloan</v>
      </c>
      <c r="H8356" s="128" t="str">
        <f>VLOOKUP(source[[#This Row],[lending_product_transform]],[3]Mapping!$B$3:$D$37,3,0)</f>
        <v>cashloan</v>
      </c>
      <c r="I8356" s="173">
        <v>395700000</v>
      </c>
    </row>
    <row r="8357" spans="1:9" x14ac:dyDescent="0.2">
      <c r="A8357" s="134">
        <v>45878</v>
      </c>
      <c r="B8357" s="135">
        <f>YEAR(source[[#This Row],[report_date]])</f>
        <v>2025</v>
      </c>
      <c r="C8357" s="128">
        <f t="shared" si="388"/>
        <v>8</v>
      </c>
      <c r="D8357" s="136">
        <f t="shared" si="390"/>
        <v>32</v>
      </c>
      <c r="E8357" s="136">
        <f t="shared" si="389"/>
        <v>9</v>
      </c>
      <c r="F8357" s="128" t="s">
        <v>24</v>
      </c>
      <c r="G8357" s="128" t="str">
        <f>VLOOKUP(source[[#This Row],[lending_product_transform]],[3]Mapping!$B$4:$C$37,2,0)</f>
        <v>[Cake] - Cashloan</v>
      </c>
      <c r="H8357" s="128" t="str">
        <f>VLOOKUP(source[[#This Row],[lending_product_transform]],[3]Mapping!$B$3:$D$37,3,0)</f>
        <v>cashloan</v>
      </c>
      <c r="I8357" s="173">
        <v>19032032</v>
      </c>
    </row>
    <row r="8358" spans="1:9" x14ac:dyDescent="0.2">
      <c r="A8358" s="134">
        <v>45878</v>
      </c>
      <c r="B8358" s="135">
        <f>YEAR(source[[#This Row],[report_date]])</f>
        <v>2025</v>
      </c>
      <c r="C8358" s="128">
        <f t="shared" si="388"/>
        <v>8</v>
      </c>
      <c r="D8358" s="136">
        <f t="shared" si="390"/>
        <v>32</v>
      </c>
      <c r="E8358" s="136">
        <f t="shared" si="389"/>
        <v>9</v>
      </c>
      <c r="F8358" s="128" t="s">
        <v>24</v>
      </c>
      <c r="G8358" s="128" t="str">
        <f>VLOOKUP(source[[#This Row],[lending_product_transform]],[3]Mapping!$B$4:$C$37,2,0)</f>
        <v>[Cake] - Cashloan</v>
      </c>
      <c r="H8358" s="128" t="str">
        <f>VLOOKUP(source[[#This Row],[lending_product_transform]],[3]Mapping!$B$3:$D$37,3,0)</f>
        <v>cashloan</v>
      </c>
      <c r="I8358" s="173">
        <v>352170000</v>
      </c>
    </row>
    <row r="8359" spans="1:9" x14ac:dyDescent="0.2">
      <c r="A8359" s="134">
        <v>45878</v>
      </c>
      <c r="B8359" s="135">
        <f>YEAR(source[[#This Row],[report_date]])</f>
        <v>2025</v>
      </c>
      <c r="C8359" s="128">
        <f t="shared" si="388"/>
        <v>8</v>
      </c>
      <c r="D8359" s="136">
        <f t="shared" si="390"/>
        <v>32</v>
      </c>
      <c r="E8359" s="136">
        <f t="shared" si="389"/>
        <v>9</v>
      </c>
      <c r="F8359" s="128" t="s">
        <v>24</v>
      </c>
      <c r="G8359" s="128" t="str">
        <f>VLOOKUP(source[[#This Row],[lending_product_transform]],[3]Mapping!$B$4:$C$37,2,0)</f>
        <v>[Cake] - Cashloan</v>
      </c>
      <c r="H8359" s="128" t="str">
        <f>VLOOKUP(source[[#This Row],[lending_product_transform]],[3]Mapping!$B$3:$D$37,3,0)</f>
        <v>cashloan</v>
      </c>
      <c r="I8359" s="173">
        <v>6368976000</v>
      </c>
    </row>
    <row r="8360" spans="1:9" x14ac:dyDescent="0.2">
      <c r="A8360" s="134">
        <v>45878</v>
      </c>
      <c r="B8360" s="135">
        <f>YEAR(source[[#This Row],[report_date]])</f>
        <v>2025</v>
      </c>
      <c r="C8360" s="128">
        <f t="shared" si="388"/>
        <v>8</v>
      </c>
      <c r="D8360" s="136">
        <f t="shared" si="390"/>
        <v>32</v>
      </c>
      <c r="E8360" s="136">
        <f t="shared" si="389"/>
        <v>9</v>
      </c>
      <c r="F8360" s="128" t="s">
        <v>24</v>
      </c>
      <c r="G8360" s="128" t="str">
        <f>VLOOKUP(source[[#This Row],[lending_product_transform]],[3]Mapping!$B$4:$C$37,2,0)</f>
        <v>[Cake] - Cashloan</v>
      </c>
      <c r="H8360" s="128" t="str">
        <f>VLOOKUP(source[[#This Row],[lending_product_transform]],[3]Mapping!$B$3:$D$37,3,0)</f>
        <v>cashloan</v>
      </c>
      <c r="I8360" s="173">
        <v>300034807</v>
      </c>
    </row>
    <row r="8361" spans="1:9" x14ac:dyDescent="0.2">
      <c r="A8361" s="134">
        <v>45878</v>
      </c>
      <c r="B8361" s="135">
        <f>YEAR(source[[#This Row],[report_date]])</f>
        <v>2025</v>
      </c>
      <c r="C8361" s="128">
        <f t="shared" si="388"/>
        <v>8</v>
      </c>
      <c r="D8361" s="136">
        <f t="shared" si="390"/>
        <v>32</v>
      </c>
      <c r="E8361" s="136">
        <f t="shared" si="389"/>
        <v>9</v>
      </c>
      <c r="F8361" s="128" t="s">
        <v>24</v>
      </c>
      <c r="G8361" s="128" t="str">
        <f>VLOOKUP(source[[#This Row],[lending_product_transform]],[3]Mapping!$B$4:$C$37,2,0)</f>
        <v>[Cake] - Cashloan</v>
      </c>
      <c r="H8361" s="128" t="str">
        <f>VLOOKUP(source[[#This Row],[lending_product_transform]],[3]Mapping!$B$3:$D$37,3,0)</f>
        <v>cashloan</v>
      </c>
      <c r="I8361" s="173">
        <v>12600000</v>
      </c>
    </row>
    <row r="8362" spans="1:9" x14ac:dyDescent="0.2">
      <c r="A8362" s="134">
        <v>45878</v>
      </c>
      <c r="B8362" s="135">
        <f>YEAR(source[[#This Row],[report_date]])</f>
        <v>2025</v>
      </c>
      <c r="C8362" s="128">
        <f t="shared" si="388"/>
        <v>8</v>
      </c>
      <c r="D8362" s="136">
        <f t="shared" si="390"/>
        <v>32</v>
      </c>
      <c r="E8362" s="136">
        <f t="shared" si="389"/>
        <v>9</v>
      </c>
      <c r="F8362" s="128" t="s">
        <v>24</v>
      </c>
      <c r="G8362" s="128" t="str">
        <f>VLOOKUP(source[[#This Row],[lending_product_transform]],[3]Mapping!$B$4:$C$37,2,0)</f>
        <v>[Cake] - Cashloan</v>
      </c>
      <c r="H8362" s="128" t="str">
        <f>VLOOKUP(source[[#This Row],[lending_product_transform]],[3]Mapping!$B$3:$D$37,3,0)</f>
        <v>cashloan</v>
      </c>
      <c r="I8362" s="173">
        <v>435664000</v>
      </c>
    </row>
    <row r="8363" spans="1:9" x14ac:dyDescent="0.2">
      <c r="A8363" s="134">
        <v>45878</v>
      </c>
      <c r="B8363" s="135">
        <f>YEAR(source[[#This Row],[report_date]])</f>
        <v>2025</v>
      </c>
      <c r="C8363" s="128">
        <f t="shared" si="388"/>
        <v>8</v>
      </c>
      <c r="D8363" s="136">
        <f t="shared" si="390"/>
        <v>32</v>
      </c>
      <c r="E8363" s="136">
        <f t="shared" si="389"/>
        <v>9</v>
      </c>
      <c r="F8363" s="128" t="s">
        <v>24</v>
      </c>
      <c r="G8363" s="128" t="str">
        <f>VLOOKUP(source[[#This Row],[lending_product_transform]],[3]Mapping!$B$4:$C$37,2,0)</f>
        <v>[Cake] - Cashloan</v>
      </c>
      <c r="H8363" s="128" t="str">
        <f>VLOOKUP(source[[#This Row],[lending_product_transform]],[3]Mapping!$B$3:$D$37,3,0)</f>
        <v>cashloan</v>
      </c>
      <c r="I8363" s="173">
        <v>2866701754</v>
      </c>
    </row>
    <row r="8364" spans="1:9" x14ac:dyDescent="0.2">
      <c r="A8364" s="134">
        <v>45878</v>
      </c>
      <c r="B8364" s="135">
        <f>YEAR(source[[#This Row],[report_date]])</f>
        <v>2025</v>
      </c>
      <c r="C8364" s="128">
        <f t="shared" si="388"/>
        <v>8</v>
      </c>
      <c r="D8364" s="136">
        <f t="shared" si="390"/>
        <v>32</v>
      </c>
      <c r="E8364" s="136">
        <f t="shared" si="389"/>
        <v>9</v>
      </c>
      <c r="F8364" s="128" t="s">
        <v>24</v>
      </c>
      <c r="G8364" s="128" t="str">
        <f>VLOOKUP(source[[#This Row],[lending_product_transform]],[3]Mapping!$B$4:$C$37,2,0)</f>
        <v>[Cake] - Cashloan</v>
      </c>
      <c r="H8364" s="128" t="str">
        <f>VLOOKUP(source[[#This Row],[lending_product_transform]],[3]Mapping!$B$3:$D$37,3,0)</f>
        <v>cashloan</v>
      </c>
      <c r="I8364" s="173">
        <v>2008640000</v>
      </c>
    </row>
    <row r="8365" spans="1:9" x14ac:dyDescent="0.2">
      <c r="A8365" s="134">
        <v>45878</v>
      </c>
      <c r="B8365" s="135">
        <f>YEAR(source[[#This Row],[report_date]])</f>
        <v>2025</v>
      </c>
      <c r="C8365" s="128">
        <f t="shared" si="388"/>
        <v>8</v>
      </c>
      <c r="D8365" s="136">
        <f t="shared" si="390"/>
        <v>32</v>
      </c>
      <c r="E8365" s="136">
        <f t="shared" si="389"/>
        <v>9</v>
      </c>
      <c r="F8365" s="128" t="s">
        <v>24</v>
      </c>
      <c r="G8365" s="128" t="str">
        <f>VLOOKUP(source[[#This Row],[lending_product_transform]],[3]Mapping!$B$4:$C$37,2,0)</f>
        <v>[Cake] - Cashloan</v>
      </c>
      <c r="H8365" s="128" t="str">
        <f>VLOOKUP(source[[#This Row],[lending_product_transform]],[3]Mapping!$B$3:$D$37,3,0)</f>
        <v>cashloan</v>
      </c>
      <c r="I8365" s="173">
        <v>10518470000</v>
      </c>
    </row>
    <row r="8366" spans="1:9" x14ac:dyDescent="0.2">
      <c r="A8366" s="134">
        <v>45878</v>
      </c>
      <c r="B8366" s="135">
        <f>YEAR(source[[#This Row],[report_date]])</f>
        <v>2025</v>
      </c>
      <c r="C8366" s="128">
        <f t="shared" si="388"/>
        <v>8</v>
      </c>
      <c r="D8366" s="136">
        <f t="shared" si="390"/>
        <v>32</v>
      </c>
      <c r="E8366" s="136">
        <f t="shared" si="389"/>
        <v>9</v>
      </c>
      <c r="F8366" s="128" t="s">
        <v>24</v>
      </c>
      <c r="G8366" s="128" t="str">
        <f>VLOOKUP(source[[#This Row],[lending_product_transform]],[3]Mapping!$B$4:$C$37,2,0)</f>
        <v>[Cake] - Cashloan</v>
      </c>
      <c r="H8366" s="128" t="str">
        <f>VLOOKUP(source[[#This Row],[lending_product_transform]],[3]Mapping!$B$3:$D$37,3,0)</f>
        <v>cashloan</v>
      </c>
      <c r="I8366" s="173">
        <v>28000000</v>
      </c>
    </row>
    <row r="8367" spans="1:9" x14ac:dyDescent="0.2">
      <c r="A8367" s="134">
        <v>45878</v>
      </c>
      <c r="B8367" s="135">
        <f>YEAR(source[[#This Row],[report_date]])</f>
        <v>2025</v>
      </c>
      <c r="C8367" s="128">
        <f t="shared" si="388"/>
        <v>8</v>
      </c>
      <c r="D8367" s="136">
        <f t="shared" si="390"/>
        <v>32</v>
      </c>
      <c r="E8367" s="136">
        <f t="shared" si="389"/>
        <v>9</v>
      </c>
      <c r="F8367" s="128" t="s">
        <v>24</v>
      </c>
      <c r="G8367" s="128" t="str">
        <f>VLOOKUP(source[[#This Row],[lending_product_transform]],[3]Mapping!$B$4:$C$37,2,0)</f>
        <v>[Cake] - Cashloan</v>
      </c>
      <c r="H8367" s="128" t="str">
        <f>VLOOKUP(source[[#This Row],[lending_product_transform]],[3]Mapping!$B$3:$D$37,3,0)</f>
        <v>cashloan</v>
      </c>
      <c r="I8367" s="173">
        <v>10496200000</v>
      </c>
    </row>
    <row r="8368" spans="1:9" x14ac:dyDescent="0.2">
      <c r="A8368" s="134">
        <v>45878</v>
      </c>
      <c r="B8368" s="135">
        <f>YEAR(source[[#This Row],[report_date]])</f>
        <v>2025</v>
      </c>
      <c r="C8368" s="128">
        <f t="shared" si="388"/>
        <v>8</v>
      </c>
      <c r="D8368" s="136">
        <f t="shared" si="390"/>
        <v>32</v>
      </c>
      <c r="E8368" s="136">
        <f t="shared" si="389"/>
        <v>9</v>
      </c>
      <c r="F8368" s="128" t="s">
        <v>24</v>
      </c>
      <c r="G8368" s="128" t="str">
        <f>VLOOKUP(source[[#This Row],[lending_product_transform]],[3]Mapping!$B$4:$C$37,2,0)</f>
        <v>[Cake] - Cashloan</v>
      </c>
      <c r="H8368" s="128" t="str">
        <f>VLOOKUP(source[[#This Row],[lending_product_transform]],[3]Mapping!$B$3:$D$37,3,0)</f>
        <v>cashloan</v>
      </c>
      <c r="I8368" s="173">
        <v>3352212000</v>
      </c>
    </row>
    <row r="8369" spans="1:9" x14ac:dyDescent="0.2">
      <c r="A8369" s="134">
        <v>45878</v>
      </c>
      <c r="B8369" s="135">
        <f>YEAR(source[[#This Row],[report_date]])</f>
        <v>2025</v>
      </c>
      <c r="C8369" s="128">
        <f t="shared" si="388"/>
        <v>8</v>
      </c>
      <c r="D8369" s="136">
        <f t="shared" si="390"/>
        <v>32</v>
      </c>
      <c r="E8369" s="136">
        <f t="shared" si="389"/>
        <v>9</v>
      </c>
      <c r="F8369" s="128" t="s">
        <v>24</v>
      </c>
      <c r="G8369" s="128" t="str">
        <f>VLOOKUP(source[[#This Row],[lending_product_transform]],[3]Mapping!$B$4:$C$37,2,0)</f>
        <v>[Cake] - Cashloan</v>
      </c>
      <c r="H8369" s="128" t="str">
        <f>VLOOKUP(source[[#This Row],[lending_product_transform]],[3]Mapping!$B$3:$D$37,3,0)</f>
        <v>cashloan</v>
      </c>
      <c r="I8369" s="173">
        <v>248871345</v>
      </c>
    </row>
    <row r="8370" spans="1:9" x14ac:dyDescent="0.2">
      <c r="A8370" s="134">
        <v>45878</v>
      </c>
      <c r="B8370" s="135">
        <f>YEAR(source[[#This Row],[report_date]])</f>
        <v>2025</v>
      </c>
      <c r="C8370" s="128">
        <f t="shared" si="388"/>
        <v>8</v>
      </c>
      <c r="D8370" s="136">
        <f t="shared" si="390"/>
        <v>32</v>
      </c>
      <c r="E8370" s="136">
        <f t="shared" si="389"/>
        <v>9</v>
      </c>
      <c r="F8370" s="128" t="s">
        <v>24</v>
      </c>
      <c r="G8370" s="128" t="str">
        <f>VLOOKUP(source[[#This Row],[lending_product_transform]],[3]Mapping!$B$4:$C$37,2,0)</f>
        <v>[Cake] - Cashloan</v>
      </c>
      <c r="H8370" s="128" t="str">
        <f>VLOOKUP(source[[#This Row],[lending_product_transform]],[3]Mapping!$B$3:$D$37,3,0)</f>
        <v>cashloan</v>
      </c>
      <c r="I8370" s="173">
        <v>0</v>
      </c>
    </row>
    <row r="8371" spans="1:9" x14ac:dyDescent="0.2">
      <c r="A8371" s="134">
        <v>45878</v>
      </c>
      <c r="B8371" s="135">
        <f>YEAR(source[[#This Row],[report_date]])</f>
        <v>2025</v>
      </c>
      <c r="C8371" s="128">
        <f t="shared" si="388"/>
        <v>8</v>
      </c>
      <c r="D8371" s="136">
        <f t="shared" si="390"/>
        <v>32</v>
      </c>
      <c r="E8371" s="136">
        <f t="shared" si="389"/>
        <v>9</v>
      </c>
      <c r="F8371" s="128" t="s">
        <v>24</v>
      </c>
      <c r="G8371" s="128" t="str">
        <f>VLOOKUP(source[[#This Row],[lending_product_transform]],[3]Mapping!$B$4:$C$37,2,0)</f>
        <v>[Cake] - Cashloan</v>
      </c>
      <c r="H8371" s="128" t="str">
        <f>VLOOKUP(source[[#This Row],[lending_product_transform]],[3]Mapping!$B$3:$D$37,3,0)</f>
        <v>cashloan</v>
      </c>
      <c r="I8371" s="173">
        <v>0</v>
      </c>
    </row>
    <row r="8372" spans="1:9" x14ac:dyDescent="0.2">
      <c r="A8372" s="134">
        <v>45879</v>
      </c>
      <c r="B8372" s="135">
        <f>YEAR(source[[#This Row],[report_date]])</f>
        <v>2025</v>
      </c>
      <c r="C8372" s="128">
        <f t="shared" si="388"/>
        <v>8</v>
      </c>
      <c r="D8372" s="136">
        <f t="shared" si="390"/>
        <v>32</v>
      </c>
      <c r="E8372" s="136">
        <f t="shared" si="389"/>
        <v>10</v>
      </c>
      <c r="F8372" s="128" t="s">
        <v>24</v>
      </c>
      <c r="G8372" s="128" t="str">
        <f>VLOOKUP(source[[#This Row],[lending_product_transform]],[3]Mapping!$B$4:$C$37,2,0)</f>
        <v>[Cake] - Cashloan</v>
      </c>
      <c r="H8372" s="128" t="str">
        <f>VLOOKUP(source[[#This Row],[lending_product_transform]],[3]Mapping!$B$3:$D$37,3,0)</f>
        <v>cashloan</v>
      </c>
      <c r="I8372" s="173">
        <v>10387270000</v>
      </c>
    </row>
    <row r="8373" spans="1:9" x14ac:dyDescent="0.2">
      <c r="A8373" s="134">
        <v>45879</v>
      </c>
      <c r="B8373" s="135">
        <f>YEAR(source[[#This Row],[report_date]])</f>
        <v>2025</v>
      </c>
      <c r="C8373" s="128">
        <f t="shared" si="388"/>
        <v>8</v>
      </c>
      <c r="D8373" s="136">
        <f t="shared" si="390"/>
        <v>32</v>
      </c>
      <c r="E8373" s="136">
        <f t="shared" si="389"/>
        <v>10</v>
      </c>
      <c r="F8373" s="128" t="s">
        <v>24</v>
      </c>
      <c r="G8373" s="128" t="str">
        <f>VLOOKUP(source[[#This Row],[lending_product_transform]],[3]Mapping!$B$4:$C$37,2,0)</f>
        <v>[Cake] - Cashloan</v>
      </c>
      <c r="H8373" s="128" t="str">
        <f>VLOOKUP(source[[#This Row],[lending_product_transform]],[3]Mapping!$B$3:$D$37,3,0)</f>
        <v>cashloan</v>
      </c>
      <c r="I8373" s="173">
        <v>259803553</v>
      </c>
    </row>
    <row r="8374" spans="1:9" x14ac:dyDescent="0.2">
      <c r="A8374" s="134">
        <v>45879</v>
      </c>
      <c r="B8374" s="135">
        <f>YEAR(source[[#This Row],[report_date]])</f>
        <v>2025</v>
      </c>
      <c r="C8374" s="128">
        <f t="shared" ref="C8374:C8437" si="391">MONTH(A8374)</f>
        <v>8</v>
      </c>
      <c r="D8374" s="136">
        <f t="shared" si="390"/>
        <v>32</v>
      </c>
      <c r="E8374" s="136">
        <f t="shared" ref="E8374:E8437" si="392">DAY(A8374)</f>
        <v>10</v>
      </c>
      <c r="F8374" s="128" t="s">
        <v>24</v>
      </c>
      <c r="G8374" s="128" t="str">
        <f>VLOOKUP(source[[#This Row],[lending_product_transform]],[3]Mapping!$B$4:$C$37,2,0)</f>
        <v>[Cake] - Cashloan</v>
      </c>
      <c r="H8374" s="128" t="str">
        <f>VLOOKUP(source[[#This Row],[lending_product_transform]],[3]Mapping!$B$3:$D$37,3,0)</f>
        <v>cashloan</v>
      </c>
      <c r="I8374" s="173">
        <v>446971150</v>
      </c>
    </row>
    <row r="8375" spans="1:9" x14ac:dyDescent="0.2">
      <c r="A8375" s="134">
        <v>45879</v>
      </c>
      <c r="B8375" s="135">
        <f>YEAR(source[[#This Row],[report_date]])</f>
        <v>2025</v>
      </c>
      <c r="C8375" s="128">
        <f t="shared" si="391"/>
        <v>8</v>
      </c>
      <c r="D8375" s="136">
        <f t="shared" si="390"/>
        <v>32</v>
      </c>
      <c r="E8375" s="136">
        <f t="shared" si="392"/>
        <v>10</v>
      </c>
      <c r="F8375" s="128" t="s">
        <v>24</v>
      </c>
      <c r="G8375" s="128" t="str">
        <f>VLOOKUP(source[[#This Row],[lending_product_transform]],[3]Mapping!$B$4:$C$37,2,0)</f>
        <v>[Cake] - Cashloan</v>
      </c>
      <c r="H8375" s="128" t="str">
        <f>VLOOKUP(source[[#This Row],[lending_product_transform]],[3]Mapping!$B$3:$D$37,3,0)</f>
        <v>cashloan</v>
      </c>
      <c r="I8375" s="173">
        <v>408048395</v>
      </c>
    </row>
    <row r="8376" spans="1:9" x14ac:dyDescent="0.2">
      <c r="A8376" s="134">
        <v>45879</v>
      </c>
      <c r="B8376" s="135">
        <f>YEAR(source[[#This Row],[report_date]])</f>
        <v>2025</v>
      </c>
      <c r="C8376" s="128">
        <f t="shared" si="391"/>
        <v>8</v>
      </c>
      <c r="D8376" s="136">
        <f t="shared" si="390"/>
        <v>32</v>
      </c>
      <c r="E8376" s="136">
        <f t="shared" si="392"/>
        <v>10</v>
      </c>
      <c r="F8376" s="128" t="s">
        <v>24</v>
      </c>
      <c r="G8376" s="128" t="str">
        <f>VLOOKUP(source[[#This Row],[lending_product_transform]],[3]Mapping!$B$4:$C$37,2,0)</f>
        <v>[Cake] - Cashloan</v>
      </c>
      <c r="H8376" s="128" t="str">
        <f>VLOOKUP(source[[#This Row],[lending_product_transform]],[3]Mapping!$B$3:$D$37,3,0)</f>
        <v>cashloan</v>
      </c>
      <c r="I8376" s="173">
        <v>2903260000</v>
      </c>
    </row>
    <row r="8377" spans="1:9" x14ac:dyDescent="0.2">
      <c r="A8377" s="134">
        <v>45879</v>
      </c>
      <c r="B8377" s="135">
        <f>YEAR(source[[#This Row],[report_date]])</f>
        <v>2025</v>
      </c>
      <c r="C8377" s="128">
        <f t="shared" si="391"/>
        <v>8</v>
      </c>
      <c r="D8377" s="136">
        <f t="shared" si="390"/>
        <v>32</v>
      </c>
      <c r="E8377" s="136">
        <f t="shared" si="392"/>
        <v>10</v>
      </c>
      <c r="F8377" s="128" t="s">
        <v>24</v>
      </c>
      <c r="G8377" s="128" t="str">
        <f>VLOOKUP(source[[#This Row],[lending_product_transform]],[3]Mapping!$B$4:$C$37,2,0)</f>
        <v>[Cake] - Cashloan</v>
      </c>
      <c r="H8377" s="128" t="str">
        <f>VLOOKUP(source[[#This Row],[lending_product_transform]],[3]Mapping!$B$3:$D$37,3,0)</f>
        <v>cashloan</v>
      </c>
      <c r="I8377" s="173">
        <v>293040000</v>
      </c>
    </row>
    <row r="8378" spans="1:9" x14ac:dyDescent="0.2">
      <c r="A8378" s="134">
        <v>45879</v>
      </c>
      <c r="B8378" s="135">
        <f>YEAR(source[[#This Row],[report_date]])</f>
        <v>2025</v>
      </c>
      <c r="C8378" s="128">
        <f t="shared" si="391"/>
        <v>8</v>
      </c>
      <c r="D8378" s="136">
        <f t="shared" si="390"/>
        <v>32</v>
      </c>
      <c r="E8378" s="136">
        <f t="shared" si="392"/>
        <v>10</v>
      </c>
      <c r="F8378" s="128" t="s">
        <v>24</v>
      </c>
      <c r="G8378" s="128" t="str">
        <f>VLOOKUP(source[[#This Row],[lending_product_transform]],[3]Mapping!$B$4:$C$37,2,0)</f>
        <v>[Cake] - Cashloan</v>
      </c>
      <c r="H8378" s="128" t="str">
        <f>VLOOKUP(source[[#This Row],[lending_product_transform]],[3]Mapping!$B$3:$D$37,3,0)</f>
        <v>cashloan</v>
      </c>
      <c r="I8378" s="173">
        <v>0</v>
      </c>
    </row>
    <row r="8379" spans="1:9" x14ac:dyDescent="0.2">
      <c r="A8379" s="134">
        <v>45879</v>
      </c>
      <c r="B8379" s="135">
        <f>YEAR(source[[#This Row],[report_date]])</f>
        <v>2025</v>
      </c>
      <c r="C8379" s="128">
        <f t="shared" si="391"/>
        <v>8</v>
      </c>
      <c r="D8379" s="136">
        <f t="shared" si="390"/>
        <v>32</v>
      </c>
      <c r="E8379" s="136">
        <f t="shared" si="392"/>
        <v>10</v>
      </c>
      <c r="F8379" s="128" t="s">
        <v>24</v>
      </c>
      <c r="G8379" s="128" t="str">
        <f>VLOOKUP(source[[#This Row],[lending_product_transform]],[3]Mapping!$B$4:$C$37,2,0)</f>
        <v>[Cake] - Cashloan</v>
      </c>
      <c r="H8379" s="128" t="str">
        <f>VLOOKUP(source[[#This Row],[lending_product_transform]],[3]Mapping!$B$3:$D$37,3,0)</f>
        <v>cashloan</v>
      </c>
      <c r="I8379" s="173">
        <v>6402456000</v>
      </c>
    </row>
    <row r="8380" spans="1:9" x14ac:dyDescent="0.2">
      <c r="A8380" s="134">
        <v>45879</v>
      </c>
      <c r="B8380" s="135">
        <f>YEAR(source[[#This Row],[report_date]])</f>
        <v>2025</v>
      </c>
      <c r="C8380" s="128">
        <f t="shared" si="391"/>
        <v>8</v>
      </c>
      <c r="D8380" s="136">
        <f t="shared" si="390"/>
        <v>32</v>
      </c>
      <c r="E8380" s="136">
        <f t="shared" si="392"/>
        <v>10</v>
      </c>
      <c r="F8380" s="128" t="s">
        <v>24</v>
      </c>
      <c r="G8380" s="128" t="str">
        <f>VLOOKUP(source[[#This Row],[lending_product_transform]],[3]Mapping!$B$4:$C$37,2,0)</f>
        <v>[Cake] - Cashloan</v>
      </c>
      <c r="H8380" s="128" t="str">
        <f>VLOOKUP(source[[#This Row],[lending_product_transform]],[3]Mapping!$B$3:$D$37,3,0)</f>
        <v>cashloan</v>
      </c>
      <c r="I8380" s="173">
        <v>3403296000</v>
      </c>
    </row>
    <row r="8381" spans="1:9" x14ac:dyDescent="0.2">
      <c r="A8381" s="134">
        <v>45879</v>
      </c>
      <c r="B8381" s="135">
        <f>YEAR(source[[#This Row],[report_date]])</f>
        <v>2025</v>
      </c>
      <c r="C8381" s="128">
        <f t="shared" si="391"/>
        <v>8</v>
      </c>
      <c r="D8381" s="136">
        <f t="shared" si="390"/>
        <v>32</v>
      </c>
      <c r="E8381" s="136">
        <f t="shared" si="392"/>
        <v>10</v>
      </c>
      <c r="F8381" s="128" t="s">
        <v>24</v>
      </c>
      <c r="G8381" s="128" t="str">
        <f>VLOOKUP(source[[#This Row],[lending_product_transform]],[3]Mapping!$B$4:$C$37,2,0)</f>
        <v>[Cake] - Cashloan</v>
      </c>
      <c r="H8381" s="128" t="str">
        <f>VLOOKUP(source[[#This Row],[lending_product_transform]],[3]Mapping!$B$3:$D$37,3,0)</f>
        <v>cashloan</v>
      </c>
      <c r="I8381" s="173">
        <v>19000000</v>
      </c>
    </row>
    <row r="8382" spans="1:9" x14ac:dyDescent="0.2">
      <c r="A8382" s="134">
        <v>45879</v>
      </c>
      <c r="B8382" s="135">
        <f>YEAR(source[[#This Row],[report_date]])</f>
        <v>2025</v>
      </c>
      <c r="C8382" s="128">
        <f t="shared" si="391"/>
        <v>8</v>
      </c>
      <c r="D8382" s="136">
        <f t="shared" si="390"/>
        <v>32</v>
      </c>
      <c r="E8382" s="136">
        <f t="shared" si="392"/>
        <v>10</v>
      </c>
      <c r="F8382" s="128" t="s">
        <v>24</v>
      </c>
      <c r="G8382" s="128" t="str">
        <f>VLOOKUP(source[[#This Row],[lending_product_transform]],[3]Mapping!$B$4:$C$37,2,0)</f>
        <v>[Cake] - Cashloan</v>
      </c>
      <c r="H8382" s="128" t="str">
        <f>VLOOKUP(source[[#This Row],[lending_product_transform]],[3]Mapping!$B$3:$D$37,3,0)</f>
        <v>cashloan</v>
      </c>
      <c r="I8382" s="173">
        <v>324859691</v>
      </c>
    </row>
    <row r="8383" spans="1:9" x14ac:dyDescent="0.2">
      <c r="A8383" s="134">
        <v>45879</v>
      </c>
      <c r="B8383" s="135">
        <f>YEAR(source[[#This Row],[report_date]])</f>
        <v>2025</v>
      </c>
      <c r="C8383" s="128">
        <f t="shared" si="391"/>
        <v>8</v>
      </c>
      <c r="D8383" s="136">
        <f t="shared" si="390"/>
        <v>32</v>
      </c>
      <c r="E8383" s="136">
        <f t="shared" si="392"/>
        <v>10</v>
      </c>
      <c r="F8383" s="128" t="s">
        <v>24</v>
      </c>
      <c r="G8383" s="128" t="str">
        <f>VLOOKUP(source[[#This Row],[lending_product_transform]],[3]Mapping!$B$4:$C$37,2,0)</f>
        <v>[Cake] - Cashloan</v>
      </c>
      <c r="H8383" s="128" t="str">
        <f>VLOOKUP(source[[#This Row],[lending_product_transform]],[3]Mapping!$B$3:$D$37,3,0)</f>
        <v>cashloan</v>
      </c>
      <c r="I8383" s="173">
        <v>0</v>
      </c>
    </row>
    <row r="8384" spans="1:9" x14ac:dyDescent="0.2">
      <c r="A8384" s="134">
        <v>45879</v>
      </c>
      <c r="B8384" s="135">
        <f>YEAR(source[[#This Row],[report_date]])</f>
        <v>2025</v>
      </c>
      <c r="C8384" s="128">
        <f t="shared" si="391"/>
        <v>8</v>
      </c>
      <c r="D8384" s="136">
        <f t="shared" si="390"/>
        <v>32</v>
      </c>
      <c r="E8384" s="136">
        <f t="shared" si="392"/>
        <v>10</v>
      </c>
      <c r="F8384" s="128" t="s">
        <v>24</v>
      </c>
      <c r="G8384" s="128" t="str">
        <f>VLOOKUP(source[[#This Row],[lending_product_transform]],[3]Mapping!$B$4:$C$37,2,0)</f>
        <v>[Cake] - Cashloan</v>
      </c>
      <c r="H8384" s="128" t="str">
        <f>VLOOKUP(source[[#This Row],[lending_product_transform]],[3]Mapping!$B$3:$D$37,3,0)</f>
        <v>cashloan</v>
      </c>
      <c r="I8384" s="173">
        <v>52500000</v>
      </c>
    </row>
    <row r="8385" spans="1:9" x14ac:dyDescent="0.2">
      <c r="A8385" s="134">
        <v>45879</v>
      </c>
      <c r="B8385" s="135">
        <f>YEAR(source[[#This Row],[report_date]])</f>
        <v>2025</v>
      </c>
      <c r="C8385" s="128">
        <f t="shared" si="391"/>
        <v>8</v>
      </c>
      <c r="D8385" s="136">
        <f t="shared" si="390"/>
        <v>32</v>
      </c>
      <c r="E8385" s="136">
        <f t="shared" si="392"/>
        <v>10</v>
      </c>
      <c r="F8385" s="128" t="s">
        <v>24</v>
      </c>
      <c r="G8385" s="128" t="str">
        <f>VLOOKUP(source[[#This Row],[lending_product_transform]],[3]Mapping!$B$4:$C$37,2,0)</f>
        <v>[Cake] - Cashloan</v>
      </c>
      <c r="H8385" s="128" t="str">
        <f>VLOOKUP(source[[#This Row],[lending_product_transform]],[3]Mapping!$B$3:$D$37,3,0)</f>
        <v>cashloan</v>
      </c>
      <c r="I8385" s="173">
        <v>0</v>
      </c>
    </row>
    <row r="8386" spans="1:9" x14ac:dyDescent="0.2">
      <c r="A8386" s="134">
        <v>45879</v>
      </c>
      <c r="B8386" s="135">
        <f>YEAR(source[[#This Row],[report_date]])</f>
        <v>2025</v>
      </c>
      <c r="C8386" s="128">
        <f t="shared" si="391"/>
        <v>8</v>
      </c>
      <c r="D8386" s="136">
        <f t="shared" si="390"/>
        <v>32</v>
      </c>
      <c r="E8386" s="136">
        <f t="shared" si="392"/>
        <v>10</v>
      </c>
      <c r="F8386" s="128" t="s">
        <v>24</v>
      </c>
      <c r="G8386" s="128" t="str">
        <f>VLOOKUP(source[[#This Row],[lending_product_transform]],[3]Mapping!$B$4:$C$37,2,0)</f>
        <v>[Cake] - Cashloan</v>
      </c>
      <c r="H8386" s="128" t="str">
        <f>VLOOKUP(source[[#This Row],[lending_product_transform]],[3]Mapping!$B$3:$D$37,3,0)</f>
        <v>cashloan</v>
      </c>
      <c r="I8386" s="173">
        <v>667620000</v>
      </c>
    </row>
    <row r="8387" spans="1:9" x14ac:dyDescent="0.2">
      <c r="A8387" s="134">
        <v>45879</v>
      </c>
      <c r="B8387" s="135">
        <f>YEAR(source[[#This Row],[report_date]])</f>
        <v>2025</v>
      </c>
      <c r="C8387" s="128">
        <f t="shared" si="391"/>
        <v>8</v>
      </c>
      <c r="D8387" s="136">
        <f t="shared" ref="D8387:D8450" si="393">WEEKNUM(A8387,2)</f>
        <v>32</v>
      </c>
      <c r="E8387" s="136">
        <f t="shared" si="392"/>
        <v>10</v>
      </c>
      <c r="F8387" s="128" t="s">
        <v>24</v>
      </c>
      <c r="G8387" s="128" t="str">
        <f>VLOOKUP(source[[#This Row],[lending_product_transform]],[3]Mapping!$B$4:$C$37,2,0)</f>
        <v>[Cake] - Cashloan</v>
      </c>
      <c r="H8387" s="128" t="str">
        <f>VLOOKUP(source[[#This Row],[lending_product_transform]],[3]Mapping!$B$3:$D$37,3,0)</f>
        <v>cashloan</v>
      </c>
      <c r="I8387" s="173">
        <v>3045419128</v>
      </c>
    </row>
    <row r="8388" spans="1:9" x14ac:dyDescent="0.2">
      <c r="A8388" s="134">
        <v>45879</v>
      </c>
      <c r="B8388" s="135">
        <f>YEAR(source[[#This Row],[report_date]])</f>
        <v>2025</v>
      </c>
      <c r="C8388" s="128">
        <f t="shared" si="391"/>
        <v>8</v>
      </c>
      <c r="D8388" s="136">
        <f t="shared" si="393"/>
        <v>32</v>
      </c>
      <c r="E8388" s="136">
        <f t="shared" si="392"/>
        <v>10</v>
      </c>
      <c r="F8388" s="128" t="s">
        <v>24</v>
      </c>
      <c r="G8388" s="128" t="str">
        <f>VLOOKUP(source[[#This Row],[lending_product_transform]],[3]Mapping!$B$4:$C$37,2,0)</f>
        <v>[Cake] - Cashloan</v>
      </c>
      <c r="H8388" s="128" t="str">
        <f>VLOOKUP(source[[#This Row],[lending_product_transform]],[3]Mapping!$B$3:$D$37,3,0)</f>
        <v>cashloan</v>
      </c>
      <c r="I8388" s="173">
        <v>20373564</v>
      </c>
    </row>
    <row r="8389" spans="1:9" x14ac:dyDescent="0.2">
      <c r="A8389" s="134">
        <v>45879</v>
      </c>
      <c r="B8389" s="135">
        <f>YEAR(source[[#This Row],[report_date]])</f>
        <v>2025</v>
      </c>
      <c r="C8389" s="128">
        <f t="shared" si="391"/>
        <v>8</v>
      </c>
      <c r="D8389" s="136">
        <f t="shared" si="393"/>
        <v>32</v>
      </c>
      <c r="E8389" s="136">
        <f t="shared" si="392"/>
        <v>10</v>
      </c>
      <c r="F8389" s="128" t="s">
        <v>24</v>
      </c>
      <c r="G8389" s="128" t="str">
        <f>VLOOKUP(source[[#This Row],[lending_product_transform]],[3]Mapping!$B$4:$C$37,2,0)</f>
        <v>[Cake] - Cashloan</v>
      </c>
      <c r="H8389" s="128" t="str">
        <f>VLOOKUP(source[[#This Row],[lending_product_transform]],[3]Mapping!$B$3:$D$37,3,0)</f>
        <v>cashloan</v>
      </c>
      <c r="I8389" s="173">
        <v>11676000000</v>
      </c>
    </row>
    <row r="8390" spans="1:9" x14ac:dyDescent="0.2">
      <c r="A8390" s="134">
        <v>45880</v>
      </c>
      <c r="B8390" s="135">
        <f>YEAR(source[[#This Row],[report_date]])</f>
        <v>2025</v>
      </c>
      <c r="C8390" s="128">
        <f t="shared" si="391"/>
        <v>8</v>
      </c>
      <c r="D8390" s="136">
        <f t="shared" si="393"/>
        <v>33</v>
      </c>
      <c r="E8390" s="136">
        <f t="shared" si="392"/>
        <v>11</v>
      </c>
      <c r="F8390" s="128" t="s">
        <v>24</v>
      </c>
      <c r="G8390" s="128" t="str">
        <f>VLOOKUP(source[[#This Row],[lending_product_transform]],[3]Mapping!$B$4:$C$37,2,0)</f>
        <v>[Cake] - Cashloan</v>
      </c>
      <c r="H8390" s="128" t="str">
        <f>VLOOKUP(source[[#This Row],[lending_product_transform]],[3]Mapping!$B$3:$D$37,3,0)</f>
        <v>cashloan</v>
      </c>
      <c r="I8390" s="173">
        <v>474040000</v>
      </c>
    </row>
    <row r="8391" spans="1:9" x14ac:dyDescent="0.2">
      <c r="A8391" s="134">
        <v>45880</v>
      </c>
      <c r="B8391" s="135">
        <f>YEAR(source[[#This Row],[report_date]])</f>
        <v>2025</v>
      </c>
      <c r="C8391" s="128">
        <f t="shared" si="391"/>
        <v>8</v>
      </c>
      <c r="D8391" s="136">
        <f t="shared" si="393"/>
        <v>33</v>
      </c>
      <c r="E8391" s="136">
        <f t="shared" si="392"/>
        <v>11</v>
      </c>
      <c r="F8391" s="128" t="s">
        <v>24</v>
      </c>
      <c r="G8391" s="128" t="str">
        <f>VLOOKUP(source[[#This Row],[lending_product_transform]],[3]Mapping!$B$4:$C$37,2,0)</f>
        <v>[Cake] - Cashloan</v>
      </c>
      <c r="H8391" s="128" t="str">
        <f>VLOOKUP(source[[#This Row],[lending_product_transform]],[3]Mapping!$B$3:$D$37,3,0)</f>
        <v>cashloan</v>
      </c>
      <c r="I8391" s="173">
        <v>39467928</v>
      </c>
    </row>
    <row r="8392" spans="1:9" x14ac:dyDescent="0.2">
      <c r="A8392" s="134">
        <v>45880</v>
      </c>
      <c r="B8392" s="135">
        <f>YEAR(source[[#This Row],[report_date]])</f>
        <v>2025</v>
      </c>
      <c r="C8392" s="128">
        <f t="shared" si="391"/>
        <v>8</v>
      </c>
      <c r="D8392" s="136">
        <f t="shared" si="393"/>
        <v>33</v>
      </c>
      <c r="E8392" s="136">
        <f t="shared" si="392"/>
        <v>11</v>
      </c>
      <c r="F8392" s="128" t="s">
        <v>24</v>
      </c>
      <c r="G8392" s="128" t="str">
        <f>VLOOKUP(source[[#This Row],[lending_product_transform]],[3]Mapping!$B$4:$C$37,2,0)</f>
        <v>[Cake] - Cashloan</v>
      </c>
      <c r="H8392" s="128" t="str">
        <f>VLOOKUP(source[[#This Row],[lending_product_transform]],[3]Mapping!$B$3:$D$37,3,0)</f>
        <v>cashloan</v>
      </c>
      <c r="I8392" s="173">
        <v>11878930000</v>
      </c>
    </row>
    <row r="8393" spans="1:9" x14ac:dyDescent="0.2">
      <c r="A8393" s="134">
        <v>45880</v>
      </c>
      <c r="B8393" s="135">
        <f>YEAR(source[[#This Row],[report_date]])</f>
        <v>2025</v>
      </c>
      <c r="C8393" s="128">
        <f t="shared" si="391"/>
        <v>8</v>
      </c>
      <c r="D8393" s="136">
        <f t="shared" si="393"/>
        <v>33</v>
      </c>
      <c r="E8393" s="136">
        <f t="shared" si="392"/>
        <v>11</v>
      </c>
      <c r="F8393" s="128" t="s">
        <v>24</v>
      </c>
      <c r="G8393" s="128" t="str">
        <f>VLOOKUP(source[[#This Row],[lending_product_transform]],[3]Mapping!$B$4:$C$37,2,0)</f>
        <v>[Cake] - Cashloan</v>
      </c>
      <c r="H8393" s="128" t="str">
        <f>VLOOKUP(source[[#This Row],[lending_product_transform]],[3]Mapping!$B$3:$D$37,3,0)</f>
        <v>cashloan</v>
      </c>
      <c r="I8393" s="173">
        <v>492370735</v>
      </c>
    </row>
    <row r="8394" spans="1:9" x14ac:dyDescent="0.2">
      <c r="A8394" s="134">
        <v>45880</v>
      </c>
      <c r="B8394" s="135">
        <f>YEAR(source[[#This Row],[report_date]])</f>
        <v>2025</v>
      </c>
      <c r="C8394" s="128">
        <f t="shared" si="391"/>
        <v>8</v>
      </c>
      <c r="D8394" s="136">
        <f t="shared" si="393"/>
        <v>33</v>
      </c>
      <c r="E8394" s="136">
        <f t="shared" si="392"/>
        <v>11</v>
      </c>
      <c r="F8394" s="128" t="s">
        <v>24</v>
      </c>
      <c r="G8394" s="128" t="str">
        <f>VLOOKUP(source[[#This Row],[lending_product_transform]],[3]Mapping!$B$4:$C$37,2,0)</f>
        <v>[Cake] - Cashloan</v>
      </c>
      <c r="H8394" s="128" t="str">
        <f>VLOOKUP(source[[#This Row],[lending_product_transform]],[3]Mapping!$B$3:$D$37,3,0)</f>
        <v>cashloan</v>
      </c>
      <c r="I8394" s="173">
        <v>20700000</v>
      </c>
    </row>
    <row r="8395" spans="1:9" x14ac:dyDescent="0.2">
      <c r="A8395" s="134">
        <v>45880</v>
      </c>
      <c r="B8395" s="135">
        <f>YEAR(source[[#This Row],[report_date]])</f>
        <v>2025</v>
      </c>
      <c r="C8395" s="128">
        <f t="shared" si="391"/>
        <v>8</v>
      </c>
      <c r="D8395" s="136">
        <f t="shared" si="393"/>
        <v>33</v>
      </c>
      <c r="E8395" s="136">
        <f t="shared" si="392"/>
        <v>11</v>
      </c>
      <c r="F8395" s="128" t="s">
        <v>24</v>
      </c>
      <c r="G8395" s="128" t="str">
        <f>VLOOKUP(source[[#This Row],[lending_product_transform]],[3]Mapping!$B$4:$C$37,2,0)</f>
        <v>[Cake] - Cashloan</v>
      </c>
      <c r="H8395" s="128" t="str">
        <f>VLOOKUP(source[[#This Row],[lending_product_transform]],[3]Mapping!$B$3:$D$37,3,0)</f>
        <v>cashloan</v>
      </c>
      <c r="I8395" s="173">
        <v>10000000</v>
      </c>
    </row>
    <row r="8396" spans="1:9" x14ac:dyDescent="0.2">
      <c r="A8396" s="134">
        <v>45880</v>
      </c>
      <c r="B8396" s="135">
        <f>YEAR(source[[#This Row],[report_date]])</f>
        <v>2025</v>
      </c>
      <c r="C8396" s="128">
        <f t="shared" si="391"/>
        <v>8</v>
      </c>
      <c r="D8396" s="136">
        <f t="shared" si="393"/>
        <v>33</v>
      </c>
      <c r="E8396" s="136">
        <f t="shared" si="392"/>
        <v>11</v>
      </c>
      <c r="F8396" s="128" t="s">
        <v>24</v>
      </c>
      <c r="G8396" s="128" t="str">
        <f>VLOOKUP(source[[#This Row],[lending_product_transform]],[3]Mapping!$B$4:$C$37,2,0)</f>
        <v>[Cake] - Cashloan</v>
      </c>
      <c r="H8396" s="128" t="str">
        <f>VLOOKUP(source[[#This Row],[lending_product_transform]],[3]Mapping!$B$3:$D$37,3,0)</f>
        <v>cashloan</v>
      </c>
      <c r="I8396" s="173">
        <v>0</v>
      </c>
    </row>
    <row r="8397" spans="1:9" x14ac:dyDescent="0.2">
      <c r="A8397" s="134">
        <v>45880</v>
      </c>
      <c r="B8397" s="135">
        <f>YEAR(source[[#This Row],[report_date]])</f>
        <v>2025</v>
      </c>
      <c r="C8397" s="128">
        <f t="shared" si="391"/>
        <v>8</v>
      </c>
      <c r="D8397" s="136">
        <f t="shared" si="393"/>
        <v>33</v>
      </c>
      <c r="E8397" s="136">
        <f t="shared" si="392"/>
        <v>11</v>
      </c>
      <c r="F8397" s="128" t="s">
        <v>24</v>
      </c>
      <c r="G8397" s="128" t="str">
        <f>VLOOKUP(source[[#This Row],[lending_product_transform]],[3]Mapping!$B$4:$C$37,2,0)</f>
        <v>[Cake] - Cashloan</v>
      </c>
      <c r="H8397" s="128" t="str">
        <f>VLOOKUP(source[[#This Row],[lending_product_transform]],[3]Mapping!$B$3:$D$37,3,0)</f>
        <v>cashloan</v>
      </c>
      <c r="I8397" s="173">
        <v>460492000</v>
      </c>
    </row>
    <row r="8398" spans="1:9" x14ac:dyDescent="0.2">
      <c r="A8398" s="134">
        <v>45880</v>
      </c>
      <c r="B8398" s="135">
        <f>YEAR(source[[#This Row],[report_date]])</f>
        <v>2025</v>
      </c>
      <c r="C8398" s="128">
        <f t="shared" si="391"/>
        <v>8</v>
      </c>
      <c r="D8398" s="136">
        <f t="shared" si="393"/>
        <v>33</v>
      </c>
      <c r="E8398" s="136">
        <f t="shared" si="392"/>
        <v>11</v>
      </c>
      <c r="F8398" s="128" t="s">
        <v>24</v>
      </c>
      <c r="G8398" s="128" t="str">
        <f>VLOOKUP(source[[#This Row],[lending_product_transform]],[3]Mapping!$B$4:$C$37,2,0)</f>
        <v>[Cake] - Cashloan</v>
      </c>
      <c r="H8398" s="128" t="str">
        <f>VLOOKUP(source[[#This Row],[lending_product_transform]],[3]Mapping!$B$3:$D$37,3,0)</f>
        <v>cashloan</v>
      </c>
      <c r="I8398" s="173">
        <v>0</v>
      </c>
    </row>
    <row r="8399" spans="1:9" x14ac:dyDescent="0.2">
      <c r="A8399" s="134">
        <v>45880</v>
      </c>
      <c r="B8399" s="135">
        <f>YEAR(source[[#This Row],[report_date]])</f>
        <v>2025</v>
      </c>
      <c r="C8399" s="128">
        <f t="shared" si="391"/>
        <v>8</v>
      </c>
      <c r="D8399" s="136">
        <f t="shared" si="393"/>
        <v>33</v>
      </c>
      <c r="E8399" s="136">
        <f t="shared" si="392"/>
        <v>11</v>
      </c>
      <c r="F8399" s="128" t="s">
        <v>24</v>
      </c>
      <c r="G8399" s="128" t="str">
        <f>VLOOKUP(source[[#This Row],[lending_product_transform]],[3]Mapping!$B$4:$C$37,2,0)</f>
        <v>[Cake] - Cashloan</v>
      </c>
      <c r="H8399" s="128" t="str">
        <f>VLOOKUP(source[[#This Row],[lending_product_transform]],[3]Mapping!$B$3:$D$37,3,0)</f>
        <v>cashloan</v>
      </c>
      <c r="I8399" s="173">
        <v>3704531016</v>
      </c>
    </row>
    <row r="8400" spans="1:9" x14ac:dyDescent="0.2">
      <c r="A8400" s="134">
        <v>45880</v>
      </c>
      <c r="B8400" s="135">
        <f>YEAR(source[[#This Row],[report_date]])</f>
        <v>2025</v>
      </c>
      <c r="C8400" s="128">
        <f t="shared" si="391"/>
        <v>8</v>
      </c>
      <c r="D8400" s="136">
        <f t="shared" si="393"/>
        <v>33</v>
      </c>
      <c r="E8400" s="136">
        <f t="shared" si="392"/>
        <v>11</v>
      </c>
      <c r="F8400" s="128" t="s">
        <v>24</v>
      </c>
      <c r="G8400" s="128" t="str">
        <f>VLOOKUP(source[[#This Row],[lending_product_transform]],[3]Mapping!$B$4:$C$37,2,0)</f>
        <v>[Cake] - Cashloan</v>
      </c>
      <c r="H8400" s="128" t="str">
        <f>VLOOKUP(source[[#This Row],[lending_product_transform]],[3]Mapping!$B$3:$D$37,3,0)</f>
        <v>cashloan</v>
      </c>
      <c r="I8400" s="173">
        <v>2070390000</v>
      </c>
    </row>
    <row r="8401" spans="1:9" x14ac:dyDescent="0.2">
      <c r="A8401" s="134">
        <v>45880</v>
      </c>
      <c r="B8401" s="135">
        <f>YEAR(source[[#This Row],[report_date]])</f>
        <v>2025</v>
      </c>
      <c r="C8401" s="128">
        <f t="shared" si="391"/>
        <v>8</v>
      </c>
      <c r="D8401" s="136">
        <f t="shared" si="393"/>
        <v>33</v>
      </c>
      <c r="E8401" s="136">
        <f t="shared" si="392"/>
        <v>11</v>
      </c>
      <c r="F8401" s="128" t="s">
        <v>24</v>
      </c>
      <c r="G8401" s="128" t="str">
        <f>VLOOKUP(source[[#This Row],[lending_product_transform]],[3]Mapping!$B$4:$C$37,2,0)</f>
        <v>[Cake] - Cashloan</v>
      </c>
      <c r="H8401" s="128" t="str">
        <f>VLOOKUP(source[[#This Row],[lending_product_transform]],[3]Mapping!$B$3:$D$37,3,0)</f>
        <v>cashloan</v>
      </c>
      <c r="I8401" s="173">
        <v>11606290000</v>
      </c>
    </row>
    <row r="8402" spans="1:9" x14ac:dyDescent="0.2">
      <c r="A8402" s="134">
        <v>45880</v>
      </c>
      <c r="B8402" s="135">
        <f>YEAR(source[[#This Row],[report_date]])</f>
        <v>2025</v>
      </c>
      <c r="C8402" s="128">
        <f t="shared" si="391"/>
        <v>8</v>
      </c>
      <c r="D8402" s="136">
        <f t="shared" si="393"/>
        <v>33</v>
      </c>
      <c r="E8402" s="136">
        <f t="shared" si="392"/>
        <v>11</v>
      </c>
      <c r="F8402" s="128" t="s">
        <v>24</v>
      </c>
      <c r="G8402" s="128" t="str">
        <f>VLOOKUP(source[[#This Row],[lending_product_transform]],[3]Mapping!$B$4:$C$37,2,0)</f>
        <v>[Cake] - Cashloan</v>
      </c>
      <c r="H8402" s="128" t="str">
        <f>VLOOKUP(source[[#This Row],[lending_product_transform]],[3]Mapping!$B$3:$D$37,3,0)</f>
        <v>cashloan</v>
      </c>
      <c r="I8402" s="173">
        <v>325203607</v>
      </c>
    </row>
    <row r="8403" spans="1:9" x14ac:dyDescent="0.2">
      <c r="A8403" s="134">
        <v>45880</v>
      </c>
      <c r="B8403" s="135">
        <f>YEAR(source[[#This Row],[report_date]])</f>
        <v>2025</v>
      </c>
      <c r="C8403" s="128">
        <f t="shared" si="391"/>
        <v>8</v>
      </c>
      <c r="D8403" s="136">
        <f t="shared" si="393"/>
        <v>33</v>
      </c>
      <c r="E8403" s="136">
        <f t="shared" si="392"/>
        <v>11</v>
      </c>
      <c r="F8403" s="128" t="s">
        <v>24</v>
      </c>
      <c r="G8403" s="128" t="str">
        <f>VLOOKUP(source[[#This Row],[lending_product_transform]],[3]Mapping!$B$4:$C$37,2,0)</f>
        <v>[Cake] - Cashloan</v>
      </c>
      <c r="H8403" s="128" t="str">
        <f>VLOOKUP(source[[#This Row],[lending_product_transform]],[3]Mapping!$B$3:$D$37,3,0)</f>
        <v>cashloan</v>
      </c>
      <c r="I8403" s="173">
        <v>315510000</v>
      </c>
    </row>
    <row r="8404" spans="1:9" x14ac:dyDescent="0.2">
      <c r="A8404" s="134">
        <v>45880</v>
      </c>
      <c r="B8404" s="135">
        <f>YEAR(source[[#This Row],[report_date]])</f>
        <v>2025</v>
      </c>
      <c r="C8404" s="128">
        <f t="shared" si="391"/>
        <v>8</v>
      </c>
      <c r="D8404" s="136">
        <f t="shared" si="393"/>
        <v>33</v>
      </c>
      <c r="E8404" s="136">
        <f t="shared" si="392"/>
        <v>11</v>
      </c>
      <c r="F8404" s="128" t="s">
        <v>24</v>
      </c>
      <c r="G8404" s="128" t="str">
        <f>VLOOKUP(source[[#This Row],[lending_product_transform]],[3]Mapping!$B$4:$C$37,2,0)</f>
        <v>[Cake] - Cashloan</v>
      </c>
      <c r="H8404" s="128" t="str">
        <f>VLOOKUP(source[[#This Row],[lending_product_transform]],[3]Mapping!$B$3:$D$37,3,0)</f>
        <v>cashloan</v>
      </c>
      <c r="I8404" s="173">
        <v>6837048000</v>
      </c>
    </row>
    <row r="8405" spans="1:9" x14ac:dyDescent="0.2">
      <c r="A8405" s="134">
        <v>45880</v>
      </c>
      <c r="B8405" s="135">
        <f>YEAR(source[[#This Row],[report_date]])</f>
        <v>2025</v>
      </c>
      <c r="C8405" s="128">
        <f t="shared" si="391"/>
        <v>8</v>
      </c>
      <c r="D8405" s="136">
        <f t="shared" si="393"/>
        <v>33</v>
      </c>
      <c r="E8405" s="136">
        <f t="shared" si="392"/>
        <v>11</v>
      </c>
      <c r="F8405" s="128" t="s">
        <v>24</v>
      </c>
      <c r="G8405" s="128" t="str">
        <f>VLOOKUP(source[[#This Row],[lending_product_transform]],[3]Mapping!$B$4:$C$37,2,0)</f>
        <v>[Cake] - Cashloan</v>
      </c>
      <c r="H8405" s="128" t="str">
        <f>VLOOKUP(source[[#This Row],[lending_product_transform]],[3]Mapping!$B$3:$D$37,3,0)</f>
        <v>cashloan</v>
      </c>
      <c r="I8405" s="173">
        <v>19000000</v>
      </c>
    </row>
    <row r="8406" spans="1:9" x14ac:dyDescent="0.2">
      <c r="A8406" s="134">
        <v>45880</v>
      </c>
      <c r="B8406" s="135">
        <f>YEAR(source[[#This Row],[report_date]])</f>
        <v>2025</v>
      </c>
      <c r="C8406" s="128">
        <f t="shared" si="391"/>
        <v>8</v>
      </c>
      <c r="D8406" s="136">
        <f t="shared" si="393"/>
        <v>33</v>
      </c>
      <c r="E8406" s="136">
        <f t="shared" si="392"/>
        <v>11</v>
      </c>
      <c r="F8406" s="128" t="s">
        <v>24</v>
      </c>
      <c r="G8406" s="128" t="str">
        <f>VLOOKUP(source[[#This Row],[lending_product_transform]],[3]Mapping!$B$4:$C$37,2,0)</f>
        <v>[Cake] - Cashloan</v>
      </c>
      <c r="H8406" s="128" t="str">
        <f>VLOOKUP(source[[#This Row],[lending_product_transform]],[3]Mapping!$B$3:$D$37,3,0)</f>
        <v>cashloan</v>
      </c>
      <c r="I8406" s="173">
        <v>244667714</v>
      </c>
    </row>
    <row r="8407" spans="1:9" x14ac:dyDescent="0.2">
      <c r="A8407" s="134">
        <v>45880</v>
      </c>
      <c r="B8407" s="135">
        <f>YEAR(source[[#This Row],[report_date]])</f>
        <v>2025</v>
      </c>
      <c r="C8407" s="128">
        <f t="shared" si="391"/>
        <v>8</v>
      </c>
      <c r="D8407" s="136">
        <f t="shared" si="393"/>
        <v>33</v>
      </c>
      <c r="E8407" s="136">
        <f t="shared" si="392"/>
        <v>11</v>
      </c>
      <c r="F8407" s="128" t="s">
        <v>24</v>
      </c>
      <c r="G8407" s="128" t="str">
        <f>VLOOKUP(source[[#This Row],[lending_product_transform]],[3]Mapping!$B$4:$C$37,2,0)</f>
        <v>[Cake] - Cashloan</v>
      </c>
      <c r="H8407" s="128" t="str">
        <f>VLOOKUP(source[[#This Row],[lending_product_transform]],[3]Mapping!$B$3:$D$37,3,0)</f>
        <v>cashloan</v>
      </c>
      <c r="I8407" s="173">
        <v>3374028000</v>
      </c>
    </row>
    <row r="8408" spans="1:9" x14ac:dyDescent="0.2">
      <c r="A8408" s="134">
        <v>45881</v>
      </c>
      <c r="B8408" s="135">
        <f>YEAR(source[[#This Row],[report_date]])</f>
        <v>2025</v>
      </c>
      <c r="C8408" s="128">
        <f t="shared" si="391"/>
        <v>8</v>
      </c>
      <c r="D8408" s="136">
        <f t="shared" si="393"/>
        <v>33</v>
      </c>
      <c r="E8408" s="136">
        <f t="shared" si="392"/>
        <v>12</v>
      </c>
      <c r="F8408" s="128" t="s">
        <v>24</v>
      </c>
      <c r="G8408" s="128" t="str">
        <f>VLOOKUP(source[[#This Row],[lending_product_transform]],[3]Mapping!$B$4:$C$37,2,0)</f>
        <v>[Cake] - Cashloan</v>
      </c>
      <c r="H8408" s="128" t="str">
        <f>VLOOKUP(source[[#This Row],[lending_product_transform]],[3]Mapping!$B$3:$D$37,3,0)</f>
        <v>cashloan</v>
      </c>
      <c r="I8408" s="173">
        <v>374360000</v>
      </c>
    </row>
    <row r="8409" spans="1:9" x14ac:dyDescent="0.2">
      <c r="A8409" s="134">
        <v>45881</v>
      </c>
      <c r="B8409" s="135">
        <f>YEAR(source[[#This Row],[report_date]])</f>
        <v>2025</v>
      </c>
      <c r="C8409" s="128">
        <f t="shared" si="391"/>
        <v>8</v>
      </c>
      <c r="D8409" s="136">
        <f t="shared" si="393"/>
        <v>33</v>
      </c>
      <c r="E8409" s="136">
        <f t="shared" si="392"/>
        <v>12</v>
      </c>
      <c r="F8409" s="128" t="s">
        <v>24</v>
      </c>
      <c r="G8409" s="128" t="str">
        <f>VLOOKUP(source[[#This Row],[lending_product_transform]],[3]Mapping!$B$4:$C$37,2,0)</f>
        <v>[Cake] - Cashloan</v>
      </c>
      <c r="H8409" s="128" t="str">
        <f>VLOOKUP(source[[#This Row],[lending_product_transform]],[3]Mapping!$B$3:$D$37,3,0)</f>
        <v>cashloan</v>
      </c>
      <c r="I8409" s="173">
        <v>2678560000</v>
      </c>
    </row>
    <row r="8410" spans="1:9" x14ac:dyDescent="0.2">
      <c r="A8410" s="134">
        <v>45881</v>
      </c>
      <c r="B8410" s="135">
        <f>YEAR(source[[#This Row],[report_date]])</f>
        <v>2025</v>
      </c>
      <c r="C8410" s="128">
        <f t="shared" si="391"/>
        <v>8</v>
      </c>
      <c r="D8410" s="136">
        <f t="shared" si="393"/>
        <v>33</v>
      </c>
      <c r="E8410" s="136">
        <f t="shared" si="392"/>
        <v>12</v>
      </c>
      <c r="F8410" s="128" t="s">
        <v>24</v>
      </c>
      <c r="G8410" s="128" t="str">
        <f>VLOOKUP(source[[#This Row],[lending_product_transform]],[3]Mapping!$B$4:$C$37,2,0)</f>
        <v>[Cake] - Cashloan</v>
      </c>
      <c r="H8410" s="128" t="str">
        <f>VLOOKUP(source[[#This Row],[lending_product_transform]],[3]Mapping!$B$3:$D$37,3,0)</f>
        <v>cashloan</v>
      </c>
      <c r="I8410" s="173">
        <v>6663492000</v>
      </c>
    </row>
    <row r="8411" spans="1:9" x14ac:dyDescent="0.2">
      <c r="A8411" s="134">
        <v>45881</v>
      </c>
      <c r="B8411" s="135">
        <f>YEAR(source[[#This Row],[report_date]])</f>
        <v>2025</v>
      </c>
      <c r="C8411" s="128">
        <f t="shared" si="391"/>
        <v>8</v>
      </c>
      <c r="D8411" s="136">
        <f t="shared" si="393"/>
        <v>33</v>
      </c>
      <c r="E8411" s="136">
        <f t="shared" si="392"/>
        <v>12</v>
      </c>
      <c r="F8411" s="128" t="s">
        <v>24</v>
      </c>
      <c r="G8411" s="128" t="str">
        <f>VLOOKUP(source[[#This Row],[lending_product_transform]],[3]Mapping!$B$4:$C$37,2,0)</f>
        <v>[Cake] - Cashloan</v>
      </c>
      <c r="H8411" s="128" t="str">
        <f>VLOOKUP(source[[#This Row],[lending_product_transform]],[3]Mapping!$B$3:$D$37,3,0)</f>
        <v>cashloan</v>
      </c>
      <c r="I8411" s="173">
        <v>439860000</v>
      </c>
    </row>
    <row r="8412" spans="1:9" x14ac:dyDescent="0.2">
      <c r="A8412" s="134">
        <v>45881</v>
      </c>
      <c r="B8412" s="135">
        <f>YEAR(source[[#This Row],[report_date]])</f>
        <v>2025</v>
      </c>
      <c r="C8412" s="128">
        <f t="shared" si="391"/>
        <v>8</v>
      </c>
      <c r="D8412" s="136">
        <f t="shared" si="393"/>
        <v>33</v>
      </c>
      <c r="E8412" s="136">
        <f t="shared" si="392"/>
        <v>12</v>
      </c>
      <c r="F8412" s="128" t="s">
        <v>24</v>
      </c>
      <c r="G8412" s="128" t="str">
        <f>VLOOKUP(source[[#This Row],[lending_product_transform]],[3]Mapping!$B$4:$C$37,2,0)</f>
        <v>[Cake] - Cashloan</v>
      </c>
      <c r="H8412" s="128" t="str">
        <f>VLOOKUP(source[[#This Row],[lending_product_transform]],[3]Mapping!$B$3:$D$37,3,0)</f>
        <v>cashloan</v>
      </c>
      <c r="I8412" s="173">
        <v>3013519631</v>
      </c>
    </row>
    <row r="8413" spans="1:9" x14ac:dyDescent="0.2">
      <c r="A8413" s="134">
        <v>45881</v>
      </c>
      <c r="B8413" s="135">
        <f>YEAR(source[[#This Row],[report_date]])</f>
        <v>2025</v>
      </c>
      <c r="C8413" s="128">
        <f t="shared" si="391"/>
        <v>8</v>
      </c>
      <c r="D8413" s="136">
        <f t="shared" si="393"/>
        <v>33</v>
      </c>
      <c r="E8413" s="136">
        <f t="shared" si="392"/>
        <v>12</v>
      </c>
      <c r="F8413" s="128" t="s">
        <v>24</v>
      </c>
      <c r="G8413" s="128" t="str">
        <f>VLOOKUP(source[[#This Row],[lending_product_transform]],[3]Mapping!$B$4:$C$37,2,0)</f>
        <v>[Cake] - Cashloan</v>
      </c>
      <c r="H8413" s="128" t="str">
        <f>VLOOKUP(source[[#This Row],[lending_product_transform]],[3]Mapping!$B$3:$D$37,3,0)</f>
        <v>cashloan</v>
      </c>
      <c r="I8413" s="173">
        <v>12177550000</v>
      </c>
    </row>
    <row r="8414" spans="1:9" x14ac:dyDescent="0.2">
      <c r="A8414" s="134">
        <v>45881</v>
      </c>
      <c r="B8414" s="135">
        <f>YEAR(source[[#This Row],[report_date]])</f>
        <v>2025</v>
      </c>
      <c r="C8414" s="128">
        <f t="shared" si="391"/>
        <v>8</v>
      </c>
      <c r="D8414" s="136">
        <f t="shared" si="393"/>
        <v>33</v>
      </c>
      <c r="E8414" s="136">
        <f t="shared" si="392"/>
        <v>12</v>
      </c>
      <c r="F8414" s="128" t="s">
        <v>24</v>
      </c>
      <c r="G8414" s="128" t="str">
        <f>VLOOKUP(source[[#This Row],[lending_product_transform]],[3]Mapping!$B$4:$C$37,2,0)</f>
        <v>[Cake] - Cashloan</v>
      </c>
      <c r="H8414" s="128" t="str">
        <f>VLOOKUP(source[[#This Row],[lending_product_transform]],[3]Mapping!$B$3:$D$37,3,0)</f>
        <v>cashloan</v>
      </c>
      <c r="I8414" s="173">
        <v>0</v>
      </c>
    </row>
    <row r="8415" spans="1:9" x14ac:dyDescent="0.2">
      <c r="A8415" s="134">
        <v>45881</v>
      </c>
      <c r="B8415" s="135">
        <f>YEAR(source[[#This Row],[report_date]])</f>
        <v>2025</v>
      </c>
      <c r="C8415" s="128">
        <f t="shared" si="391"/>
        <v>8</v>
      </c>
      <c r="D8415" s="136">
        <f t="shared" si="393"/>
        <v>33</v>
      </c>
      <c r="E8415" s="136">
        <f t="shared" si="392"/>
        <v>12</v>
      </c>
      <c r="F8415" s="128" t="s">
        <v>24</v>
      </c>
      <c r="G8415" s="128" t="str">
        <f>VLOOKUP(source[[#This Row],[lending_product_transform]],[3]Mapping!$B$4:$C$37,2,0)</f>
        <v>[Cake] - Cashloan</v>
      </c>
      <c r="H8415" s="128" t="str">
        <f>VLOOKUP(source[[#This Row],[lending_product_transform]],[3]Mapping!$B$3:$D$37,3,0)</f>
        <v>cashloan</v>
      </c>
      <c r="I8415" s="173">
        <v>301456704</v>
      </c>
    </row>
    <row r="8416" spans="1:9" x14ac:dyDescent="0.2">
      <c r="A8416" s="134">
        <v>45881</v>
      </c>
      <c r="B8416" s="135">
        <f>YEAR(source[[#This Row],[report_date]])</f>
        <v>2025</v>
      </c>
      <c r="C8416" s="128">
        <f t="shared" si="391"/>
        <v>8</v>
      </c>
      <c r="D8416" s="136">
        <f t="shared" si="393"/>
        <v>33</v>
      </c>
      <c r="E8416" s="136">
        <f t="shared" si="392"/>
        <v>12</v>
      </c>
      <c r="F8416" s="128" t="s">
        <v>24</v>
      </c>
      <c r="G8416" s="128" t="str">
        <f>VLOOKUP(source[[#This Row],[lending_product_transform]],[3]Mapping!$B$4:$C$37,2,0)</f>
        <v>[Cake] - Cashloan</v>
      </c>
      <c r="H8416" s="128" t="str">
        <f>VLOOKUP(source[[#This Row],[lending_product_transform]],[3]Mapping!$B$3:$D$37,3,0)</f>
        <v>cashloan</v>
      </c>
      <c r="I8416" s="173">
        <v>238027044</v>
      </c>
    </row>
    <row r="8417" spans="1:9" x14ac:dyDescent="0.2">
      <c r="A8417" s="134">
        <v>45881</v>
      </c>
      <c r="B8417" s="135">
        <f>YEAR(source[[#This Row],[report_date]])</f>
        <v>2025</v>
      </c>
      <c r="C8417" s="128">
        <f t="shared" si="391"/>
        <v>8</v>
      </c>
      <c r="D8417" s="136">
        <f t="shared" si="393"/>
        <v>33</v>
      </c>
      <c r="E8417" s="136">
        <f t="shared" si="392"/>
        <v>12</v>
      </c>
      <c r="F8417" s="128" t="s">
        <v>24</v>
      </c>
      <c r="G8417" s="128" t="str">
        <f>VLOOKUP(source[[#This Row],[lending_product_transform]],[3]Mapping!$B$4:$C$37,2,0)</f>
        <v>[Cake] - Cashloan</v>
      </c>
      <c r="H8417" s="128" t="str">
        <f>VLOOKUP(source[[#This Row],[lending_product_transform]],[3]Mapping!$B$3:$D$37,3,0)</f>
        <v>cashloan</v>
      </c>
      <c r="I8417" s="173">
        <v>47000000</v>
      </c>
    </row>
    <row r="8418" spans="1:9" x14ac:dyDescent="0.2">
      <c r="A8418" s="134">
        <v>45881</v>
      </c>
      <c r="B8418" s="135">
        <f>YEAR(source[[#This Row],[report_date]])</f>
        <v>2025</v>
      </c>
      <c r="C8418" s="128">
        <f t="shared" si="391"/>
        <v>8</v>
      </c>
      <c r="D8418" s="136">
        <f t="shared" si="393"/>
        <v>33</v>
      </c>
      <c r="E8418" s="136">
        <f t="shared" si="392"/>
        <v>12</v>
      </c>
      <c r="F8418" s="128" t="s">
        <v>24</v>
      </c>
      <c r="G8418" s="128" t="str">
        <f>VLOOKUP(source[[#This Row],[lending_product_transform]],[3]Mapping!$B$4:$C$37,2,0)</f>
        <v>[Cake] - Cashloan</v>
      </c>
      <c r="H8418" s="128" t="str">
        <f>VLOOKUP(source[[#This Row],[lending_product_transform]],[3]Mapping!$B$3:$D$37,3,0)</f>
        <v>cashloan</v>
      </c>
      <c r="I8418" s="173">
        <v>10995330000</v>
      </c>
    </row>
    <row r="8419" spans="1:9" x14ac:dyDescent="0.2">
      <c r="A8419" s="134">
        <v>45881</v>
      </c>
      <c r="B8419" s="135">
        <f>YEAR(source[[#This Row],[report_date]])</f>
        <v>2025</v>
      </c>
      <c r="C8419" s="128">
        <f t="shared" si="391"/>
        <v>8</v>
      </c>
      <c r="D8419" s="136">
        <f t="shared" si="393"/>
        <v>33</v>
      </c>
      <c r="E8419" s="136">
        <f t="shared" si="392"/>
        <v>12</v>
      </c>
      <c r="F8419" s="128" t="s">
        <v>24</v>
      </c>
      <c r="G8419" s="128" t="str">
        <f>VLOOKUP(source[[#This Row],[lending_product_transform]],[3]Mapping!$B$4:$C$37,2,0)</f>
        <v>[Cake] - Cashloan</v>
      </c>
      <c r="H8419" s="128" t="str">
        <f>VLOOKUP(source[[#This Row],[lending_product_transform]],[3]Mapping!$B$3:$D$37,3,0)</f>
        <v>cashloan</v>
      </c>
      <c r="I8419" s="173">
        <v>3114612000</v>
      </c>
    </row>
    <row r="8420" spans="1:9" x14ac:dyDescent="0.2">
      <c r="A8420" s="134">
        <v>45881</v>
      </c>
      <c r="B8420" s="135">
        <f>YEAR(source[[#This Row],[report_date]])</f>
        <v>2025</v>
      </c>
      <c r="C8420" s="128">
        <f t="shared" si="391"/>
        <v>8</v>
      </c>
      <c r="D8420" s="136">
        <f t="shared" si="393"/>
        <v>33</v>
      </c>
      <c r="E8420" s="136">
        <f t="shared" si="392"/>
        <v>12</v>
      </c>
      <c r="F8420" s="128" t="s">
        <v>24</v>
      </c>
      <c r="G8420" s="128" t="str">
        <f>VLOOKUP(source[[#This Row],[lending_product_transform]],[3]Mapping!$B$4:$C$37,2,0)</f>
        <v>[Cake] - Cashloan</v>
      </c>
      <c r="H8420" s="128" t="str">
        <f>VLOOKUP(source[[#This Row],[lending_product_transform]],[3]Mapping!$B$3:$D$37,3,0)</f>
        <v>cashloan</v>
      </c>
      <c r="I8420" s="173">
        <v>36750000</v>
      </c>
    </row>
    <row r="8421" spans="1:9" x14ac:dyDescent="0.2">
      <c r="A8421" s="134">
        <v>45881</v>
      </c>
      <c r="B8421" s="135">
        <f>YEAR(source[[#This Row],[report_date]])</f>
        <v>2025</v>
      </c>
      <c r="C8421" s="128">
        <f t="shared" si="391"/>
        <v>8</v>
      </c>
      <c r="D8421" s="136">
        <f t="shared" si="393"/>
        <v>33</v>
      </c>
      <c r="E8421" s="136">
        <f t="shared" si="392"/>
        <v>12</v>
      </c>
      <c r="F8421" s="128" t="s">
        <v>24</v>
      </c>
      <c r="G8421" s="128" t="str">
        <f>VLOOKUP(source[[#This Row],[lending_product_transform]],[3]Mapping!$B$4:$C$37,2,0)</f>
        <v>[Cake] - Cashloan</v>
      </c>
      <c r="H8421" s="128" t="str">
        <f>VLOOKUP(source[[#This Row],[lending_product_transform]],[3]Mapping!$B$3:$D$37,3,0)</f>
        <v>cashloan</v>
      </c>
      <c r="I8421" s="173">
        <v>24619598</v>
      </c>
    </row>
    <row r="8422" spans="1:9" x14ac:dyDescent="0.2">
      <c r="A8422" s="134">
        <v>45881</v>
      </c>
      <c r="B8422" s="135">
        <f>YEAR(source[[#This Row],[report_date]])</f>
        <v>2025</v>
      </c>
      <c r="C8422" s="128">
        <f t="shared" si="391"/>
        <v>8</v>
      </c>
      <c r="D8422" s="136">
        <f t="shared" si="393"/>
        <v>33</v>
      </c>
      <c r="E8422" s="136">
        <f t="shared" si="392"/>
        <v>12</v>
      </c>
      <c r="F8422" s="128" t="s">
        <v>24</v>
      </c>
      <c r="G8422" s="128" t="str">
        <f>VLOOKUP(source[[#This Row],[lending_product_transform]],[3]Mapping!$B$4:$C$37,2,0)</f>
        <v>[Cake] - Cashloan</v>
      </c>
      <c r="H8422" s="128" t="str">
        <f>VLOOKUP(source[[#This Row],[lending_product_transform]],[3]Mapping!$B$3:$D$37,3,0)</f>
        <v>cashloan</v>
      </c>
      <c r="I8422" s="173">
        <v>389346937</v>
      </c>
    </row>
    <row r="8423" spans="1:9" x14ac:dyDescent="0.2">
      <c r="A8423" s="134">
        <v>45881</v>
      </c>
      <c r="B8423" s="135">
        <f>YEAR(source[[#This Row],[report_date]])</f>
        <v>2025</v>
      </c>
      <c r="C8423" s="128">
        <f t="shared" si="391"/>
        <v>8</v>
      </c>
      <c r="D8423" s="136">
        <f t="shared" si="393"/>
        <v>33</v>
      </c>
      <c r="E8423" s="136">
        <f t="shared" si="392"/>
        <v>12</v>
      </c>
      <c r="F8423" s="128" t="s">
        <v>24</v>
      </c>
      <c r="G8423" s="128" t="str">
        <f>VLOOKUP(source[[#This Row],[lending_product_transform]],[3]Mapping!$B$4:$C$37,2,0)</f>
        <v>[Cake] - Cashloan</v>
      </c>
      <c r="H8423" s="128" t="str">
        <f>VLOOKUP(source[[#This Row],[lending_product_transform]],[3]Mapping!$B$3:$D$37,3,0)</f>
        <v>cashloan</v>
      </c>
      <c r="I8423" s="173">
        <v>10700000</v>
      </c>
    </row>
    <row r="8424" spans="1:9" x14ac:dyDescent="0.2">
      <c r="A8424" s="134">
        <v>45881</v>
      </c>
      <c r="B8424" s="135">
        <f>YEAR(source[[#This Row],[report_date]])</f>
        <v>2025</v>
      </c>
      <c r="C8424" s="128">
        <f t="shared" si="391"/>
        <v>8</v>
      </c>
      <c r="D8424" s="136">
        <f t="shared" si="393"/>
        <v>33</v>
      </c>
      <c r="E8424" s="136">
        <f t="shared" si="392"/>
        <v>12</v>
      </c>
      <c r="F8424" s="128" t="s">
        <v>24</v>
      </c>
      <c r="G8424" s="128" t="str">
        <f>VLOOKUP(source[[#This Row],[lending_product_transform]],[3]Mapping!$B$4:$C$37,2,0)</f>
        <v>[Cake] - Cashloan</v>
      </c>
      <c r="H8424" s="128" t="str">
        <f>VLOOKUP(source[[#This Row],[lending_product_transform]],[3]Mapping!$B$3:$D$37,3,0)</f>
        <v>cashloan</v>
      </c>
      <c r="I8424" s="173">
        <v>452252000</v>
      </c>
    </row>
    <row r="8425" spans="1:9" x14ac:dyDescent="0.2">
      <c r="A8425" s="134">
        <v>45881</v>
      </c>
      <c r="B8425" s="135">
        <f>YEAR(source[[#This Row],[report_date]])</f>
        <v>2025</v>
      </c>
      <c r="C8425" s="128">
        <f t="shared" si="391"/>
        <v>8</v>
      </c>
      <c r="D8425" s="136">
        <f t="shared" si="393"/>
        <v>33</v>
      </c>
      <c r="E8425" s="136">
        <f t="shared" si="392"/>
        <v>12</v>
      </c>
      <c r="F8425" s="128" t="s">
        <v>24</v>
      </c>
      <c r="G8425" s="128" t="str">
        <f>VLOOKUP(source[[#This Row],[lending_product_transform]],[3]Mapping!$B$4:$C$37,2,0)</f>
        <v>[Cake] - Cashloan</v>
      </c>
      <c r="H8425" s="128" t="str">
        <f>VLOOKUP(source[[#This Row],[lending_product_transform]],[3]Mapping!$B$3:$D$37,3,0)</f>
        <v>cashloan</v>
      </c>
      <c r="I8425" s="173">
        <v>42000000</v>
      </c>
    </row>
    <row r="8426" spans="1:9" x14ac:dyDescent="0.2">
      <c r="A8426" s="134">
        <v>45882</v>
      </c>
      <c r="B8426" s="135">
        <f>YEAR(source[[#This Row],[report_date]])</f>
        <v>2025</v>
      </c>
      <c r="C8426" s="128">
        <f t="shared" si="391"/>
        <v>8</v>
      </c>
      <c r="D8426" s="136">
        <f t="shared" si="393"/>
        <v>33</v>
      </c>
      <c r="E8426" s="136">
        <f t="shared" si="392"/>
        <v>13</v>
      </c>
      <c r="F8426" s="128" t="s">
        <v>24</v>
      </c>
      <c r="G8426" s="128" t="str">
        <f>VLOOKUP(source[[#This Row],[lending_product_transform]],[3]Mapping!$B$4:$C$37,2,0)</f>
        <v>[Cake] - Cashloan</v>
      </c>
      <c r="H8426" s="128" t="str">
        <f>VLOOKUP(source[[#This Row],[lending_product_transform]],[3]Mapping!$B$3:$D$37,3,0)</f>
        <v>cashloan</v>
      </c>
      <c r="I8426" s="173">
        <v>11273730000</v>
      </c>
    </row>
    <row r="8427" spans="1:9" x14ac:dyDescent="0.2">
      <c r="A8427" s="134">
        <v>45882</v>
      </c>
      <c r="B8427" s="135">
        <f>YEAR(source[[#This Row],[report_date]])</f>
        <v>2025</v>
      </c>
      <c r="C8427" s="128">
        <f t="shared" si="391"/>
        <v>8</v>
      </c>
      <c r="D8427" s="136">
        <f t="shared" si="393"/>
        <v>33</v>
      </c>
      <c r="E8427" s="136">
        <f t="shared" si="392"/>
        <v>13</v>
      </c>
      <c r="F8427" s="128" t="s">
        <v>24</v>
      </c>
      <c r="G8427" s="128" t="str">
        <f>VLOOKUP(source[[#This Row],[lending_product_transform]],[3]Mapping!$B$4:$C$37,2,0)</f>
        <v>[Cake] - Cashloan</v>
      </c>
      <c r="H8427" s="128" t="str">
        <f>VLOOKUP(source[[#This Row],[lending_product_transform]],[3]Mapping!$B$3:$D$37,3,0)</f>
        <v>cashloan</v>
      </c>
      <c r="I8427" s="173">
        <v>2881549375</v>
      </c>
    </row>
    <row r="8428" spans="1:9" x14ac:dyDescent="0.2">
      <c r="A8428" s="134">
        <v>45882</v>
      </c>
      <c r="B8428" s="135">
        <f>YEAR(source[[#This Row],[report_date]])</f>
        <v>2025</v>
      </c>
      <c r="C8428" s="128">
        <f t="shared" si="391"/>
        <v>8</v>
      </c>
      <c r="D8428" s="136">
        <f t="shared" si="393"/>
        <v>33</v>
      </c>
      <c r="E8428" s="136">
        <f t="shared" si="392"/>
        <v>13</v>
      </c>
      <c r="F8428" s="128" t="s">
        <v>24</v>
      </c>
      <c r="G8428" s="128" t="str">
        <f>VLOOKUP(source[[#This Row],[lending_product_transform]],[3]Mapping!$B$4:$C$37,2,0)</f>
        <v>[Cake] - Cashloan</v>
      </c>
      <c r="H8428" s="128" t="str">
        <f>VLOOKUP(source[[#This Row],[lending_product_transform]],[3]Mapping!$B$3:$D$37,3,0)</f>
        <v>cashloan</v>
      </c>
      <c r="I8428" s="173">
        <v>7000000</v>
      </c>
    </row>
    <row r="8429" spans="1:9" x14ac:dyDescent="0.2">
      <c r="A8429" s="134">
        <v>45882</v>
      </c>
      <c r="B8429" s="135">
        <f>YEAR(source[[#This Row],[report_date]])</f>
        <v>2025</v>
      </c>
      <c r="C8429" s="128">
        <f t="shared" si="391"/>
        <v>8</v>
      </c>
      <c r="D8429" s="136">
        <f t="shared" si="393"/>
        <v>33</v>
      </c>
      <c r="E8429" s="136">
        <f t="shared" si="392"/>
        <v>13</v>
      </c>
      <c r="F8429" s="128" t="s">
        <v>24</v>
      </c>
      <c r="G8429" s="128" t="str">
        <f>VLOOKUP(source[[#This Row],[lending_product_transform]],[3]Mapping!$B$4:$C$37,2,0)</f>
        <v>[Cake] - Cashloan</v>
      </c>
      <c r="H8429" s="128" t="str">
        <f>VLOOKUP(source[[#This Row],[lending_product_transform]],[3]Mapping!$B$3:$D$37,3,0)</f>
        <v>cashloan</v>
      </c>
      <c r="I8429" s="173">
        <v>221260000</v>
      </c>
    </row>
    <row r="8430" spans="1:9" x14ac:dyDescent="0.2">
      <c r="A8430" s="134">
        <v>45882</v>
      </c>
      <c r="B8430" s="135">
        <f>YEAR(source[[#This Row],[report_date]])</f>
        <v>2025</v>
      </c>
      <c r="C8430" s="128">
        <f t="shared" si="391"/>
        <v>8</v>
      </c>
      <c r="D8430" s="136">
        <f t="shared" si="393"/>
        <v>33</v>
      </c>
      <c r="E8430" s="136">
        <f t="shared" si="392"/>
        <v>13</v>
      </c>
      <c r="F8430" s="128" t="s">
        <v>24</v>
      </c>
      <c r="G8430" s="128" t="str">
        <f>VLOOKUP(source[[#This Row],[lending_product_transform]],[3]Mapping!$B$4:$C$37,2,0)</f>
        <v>[Cake] - Cashloan</v>
      </c>
      <c r="H8430" s="128" t="str">
        <f>VLOOKUP(source[[#This Row],[lending_product_transform]],[3]Mapping!$B$3:$D$37,3,0)</f>
        <v>cashloan</v>
      </c>
      <c r="I8430" s="173">
        <v>5967000000</v>
      </c>
    </row>
    <row r="8431" spans="1:9" x14ac:dyDescent="0.2">
      <c r="A8431" s="134">
        <v>45882</v>
      </c>
      <c r="B8431" s="135">
        <f>YEAR(source[[#This Row],[report_date]])</f>
        <v>2025</v>
      </c>
      <c r="C8431" s="128">
        <f t="shared" si="391"/>
        <v>8</v>
      </c>
      <c r="D8431" s="136">
        <f t="shared" si="393"/>
        <v>33</v>
      </c>
      <c r="E8431" s="136">
        <f t="shared" si="392"/>
        <v>13</v>
      </c>
      <c r="F8431" s="128" t="s">
        <v>24</v>
      </c>
      <c r="G8431" s="128" t="str">
        <f>VLOOKUP(source[[#This Row],[lending_product_transform]],[3]Mapping!$B$4:$C$37,2,0)</f>
        <v>[Cake] - Cashloan</v>
      </c>
      <c r="H8431" s="128" t="str">
        <f>VLOOKUP(source[[#This Row],[lending_product_transform]],[3]Mapping!$B$3:$D$37,3,0)</f>
        <v>cashloan</v>
      </c>
      <c r="I8431" s="173">
        <v>14138280</v>
      </c>
    </row>
    <row r="8432" spans="1:9" x14ac:dyDescent="0.2">
      <c r="A8432" s="134">
        <v>45882</v>
      </c>
      <c r="B8432" s="135">
        <f>YEAR(source[[#This Row],[report_date]])</f>
        <v>2025</v>
      </c>
      <c r="C8432" s="128">
        <f t="shared" si="391"/>
        <v>8</v>
      </c>
      <c r="D8432" s="136">
        <f t="shared" si="393"/>
        <v>33</v>
      </c>
      <c r="E8432" s="136">
        <f t="shared" si="392"/>
        <v>13</v>
      </c>
      <c r="F8432" s="128" t="s">
        <v>24</v>
      </c>
      <c r="G8432" s="128" t="str">
        <f>VLOOKUP(source[[#This Row],[lending_product_transform]],[3]Mapping!$B$4:$C$37,2,0)</f>
        <v>[Cake] - Cashloan</v>
      </c>
      <c r="H8432" s="128" t="str">
        <f>VLOOKUP(source[[#This Row],[lending_product_transform]],[3]Mapping!$B$3:$D$37,3,0)</f>
        <v>cashloan</v>
      </c>
      <c r="I8432" s="173">
        <v>213579925</v>
      </c>
    </row>
    <row r="8433" spans="1:9" x14ac:dyDescent="0.2">
      <c r="A8433" s="134">
        <v>45882</v>
      </c>
      <c r="B8433" s="135">
        <f>YEAR(source[[#This Row],[report_date]])</f>
        <v>2025</v>
      </c>
      <c r="C8433" s="128">
        <f t="shared" si="391"/>
        <v>8</v>
      </c>
      <c r="D8433" s="136">
        <f t="shared" si="393"/>
        <v>33</v>
      </c>
      <c r="E8433" s="136">
        <f t="shared" si="392"/>
        <v>13</v>
      </c>
      <c r="F8433" s="128" t="s">
        <v>24</v>
      </c>
      <c r="G8433" s="128" t="str">
        <f>VLOOKUP(source[[#This Row],[lending_product_transform]],[3]Mapping!$B$4:$C$37,2,0)</f>
        <v>[Cake] - Cashloan</v>
      </c>
      <c r="H8433" s="128" t="str">
        <f>VLOOKUP(source[[#This Row],[lending_product_transform]],[3]Mapping!$B$3:$D$37,3,0)</f>
        <v>cashloan</v>
      </c>
      <c r="I8433" s="173">
        <v>552730000</v>
      </c>
    </row>
    <row r="8434" spans="1:9" x14ac:dyDescent="0.2">
      <c r="A8434" s="134">
        <v>45882</v>
      </c>
      <c r="B8434" s="135">
        <f>YEAR(source[[#This Row],[report_date]])</f>
        <v>2025</v>
      </c>
      <c r="C8434" s="128">
        <f t="shared" si="391"/>
        <v>8</v>
      </c>
      <c r="D8434" s="136">
        <f t="shared" si="393"/>
        <v>33</v>
      </c>
      <c r="E8434" s="136">
        <f t="shared" si="392"/>
        <v>13</v>
      </c>
      <c r="F8434" s="128" t="s">
        <v>24</v>
      </c>
      <c r="G8434" s="128" t="str">
        <f>VLOOKUP(source[[#This Row],[lending_product_transform]],[3]Mapping!$B$4:$C$37,2,0)</f>
        <v>[Cake] - Cashloan</v>
      </c>
      <c r="H8434" s="128" t="str">
        <f>VLOOKUP(source[[#This Row],[lending_product_transform]],[3]Mapping!$B$3:$D$37,3,0)</f>
        <v>cashloan</v>
      </c>
      <c r="I8434" s="173">
        <v>35700000</v>
      </c>
    </row>
    <row r="8435" spans="1:9" x14ac:dyDescent="0.2">
      <c r="A8435" s="134">
        <v>45882</v>
      </c>
      <c r="B8435" s="135">
        <f>YEAR(source[[#This Row],[report_date]])</f>
        <v>2025</v>
      </c>
      <c r="C8435" s="128">
        <f t="shared" si="391"/>
        <v>8</v>
      </c>
      <c r="D8435" s="136">
        <f t="shared" si="393"/>
        <v>33</v>
      </c>
      <c r="E8435" s="136">
        <f t="shared" si="392"/>
        <v>13</v>
      </c>
      <c r="F8435" s="128" t="s">
        <v>24</v>
      </c>
      <c r="G8435" s="128" t="str">
        <f>VLOOKUP(source[[#This Row],[lending_product_transform]],[3]Mapping!$B$4:$C$37,2,0)</f>
        <v>[Cake] - Cashloan</v>
      </c>
      <c r="H8435" s="128" t="str">
        <f>VLOOKUP(source[[#This Row],[lending_product_transform]],[3]Mapping!$B$3:$D$37,3,0)</f>
        <v>cashloan</v>
      </c>
      <c r="I8435" s="173">
        <v>3111048000</v>
      </c>
    </row>
    <row r="8436" spans="1:9" x14ac:dyDescent="0.2">
      <c r="A8436" s="134">
        <v>45882</v>
      </c>
      <c r="B8436" s="135">
        <f>YEAR(source[[#This Row],[report_date]])</f>
        <v>2025</v>
      </c>
      <c r="C8436" s="128">
        <f t="shared" si="391"/>
        <v>8</v>
      </c>
      <c r="D8436" s="136">
        <f t="shared" si="393"/>
        <v>33</v>
      </c>
      <c r="E8436" s="136">
        <f t="shared" si="392"/>
        <v>13</v>
      </c>
      <c r="F8436" s="128" t="s">
        <v>24</v>
      </c>
      <c r="G8436" s="128" t="str">
        <f>VLOOKUP(source[[#This Row],[lending_product_transform]],[3]Mapping!$B$4:$C$37,2,0)</f>
        <v>[Cake] - Cashloan</v>
      </c>
      <c r="H8436" s="128" t="str">
        <f>VLOOKUP(source[[#This Row],[lending_product_transform]],[3]Mapping!$B$3:$D$37,3,0)</f>
        <v>cashloan</v>
      </c>
      <c r="I8436" s="173">
        <v>377653000</v>
      </c>
    </row>
    <row r="8437" spans="1:9" x14ac:dyDescent="0.2">
      <c r="A8437" s="134">
        <v>45882</v>
      </c>
      <c r="B8437" s="135">
        <f>YEAR(source[[#This Row],[report_date]])</f>
        <v>2025</v>
      </c>
      <c r="C8437" s="128">
        <f t="shared" si="391"/>
        <v>8</v>
      </c>
      <c r="D8437" s="136">
        <f t="shared" si="393"/>
        <v>33</v>
      </c>
      <c r="E8437" s="136">
        <f t="shared" si="392"/>
        <v>13</v>
      </c>
      <c r="F8437" s="128" t="s">
        <v>24</v>
      </c>
      <c r="G8437" s="128" t="str">
        <f>VLOOKUP(source[[#This Row],[lending_product_transform]],[3]Mapping!$B$4:$C$37,2,0)</f>
        <v>[Cake] - Cashloan</v>
      </c>
      <c r="H8437" s="128" t="str">
        <f>VLOOKUP(source[[#This Row],[lending_product_transform]],[3]Mapping!$B$3:$D$37,3,0)</f>
        <v>cashloan</v>
      </c>
      <c r="I8437" s="173">
        <v>256558706</v>
      </c>
    </row>
    <row r="8438" spans="1:9" x14ac:dyDescent="0.2">
      <c r="A8438" s="134">
        <v>45882</v>
      </c>
      <c r="B8438" s="135">
        <f>YEAR(source[[#This Row],[report_date]])</f>
        <v>2025</v>
      </c>
      <c r="C8438" s="128">
        <f t="shared" ref="C8438:C8501" si="394">MONTH(A8438)</f>
        <v>8</v>
      </c>
      <c r="D8438" s="136">
        <f t="shared" si="393"/>
        <v>33</v>
      </c>
      <c r="E8438" s="136">
        <f t="shared" ref="E8438:E8501" si="395">DAY(A8438)</f>
        <v>13</v>
      </c>
      <c r="F8438" s="128" t="s">
        <v>24</v>
      </c>
      <c r="G8438" s="128" t="str">
        <f>VLOOKUP(source[[#This Row],[lending_product_transform]],[3]Mapping!$B$4:$C$37,2,0)</f>
        <v>[Cake] - Cashloan</v>
      </c>
      <c r="H8438" s="128" t="str">
        <f>VLOOKUP(source[[#This Row],[lending_product_transform]],[3]Mapping!$B$3:$D$37,3,0)</f>
        <v>cashloan</v>
      </c>
      <c r="I8438" s="173">
        <v>62500000</v>
      </c>
    </row>
    <row r="8439" spans="1:9" x14ac:dyDescent="0.2">
      <c r="A8439" s="134">
        <v>45882</v>
      </c>
      <c r="B8439" s="135">
        <f>YEAR(source[[#This Row],[report_date]])</f>
        <v>2025</v>
      </c>
      <c r="C8439" s="128">
        <f t="shared" si="394"/>
        <v>8</v>
      </c>
      <c r="D8439" s="136">
        <f t="shared" si="393"/>
        <v>33</v>
      </c>
      <c r="E8439" s="136">
        <f t="shared" si="395"/>
        <v>13</v>
      </c>
      <c r="F8439" s="128" t="s">
        <v>24</v>
      </c>
      <c r="G8439" s="128" t="str">
        <f>VLOOKUP(source[[#This Row],[lending_product_transform]],[3]Mapping!$B$4:$C$37,2,0)</f>
        <v>[Cake] - Cashloan</v>
      </c>
      <c r="H8439" s="128" t="str">
        <f>VLOOKUP(source[[#This Row],[lending_product_transform]],[3]Mapping!$B$3:$D$37,3,0)</f>
        <v>cashloan</v>
      </c>
      <c r="I8439" s="173">
        <v>11000000</v>
      </c>
    </row>
    <row r="8440" spans="1:9" x14ac:dyDescent="0.2">
      <c r="A8440" s="134">
        <v>45882</v>
      </c>
      <c r="B8440" s="135">
        <f>YEAR(source[[#This Row],[report_date]])</f>
        <v>2025</v>
      </c>
      <c r="C8440" s="128">
        <f t="shared" si="394"/>
        <v>8</v>
      </c>
      <c r="D8440" s="136">
        <f t="shared" si="393"/>
        <v>33</v>
      </c>
      <c r="E8440" s="136">
        <f t="shared" si="395"/>
        <v>13</v>
      </c>
      <c r="F8440" s="128" t="s">
        <v>24</v>
      </c>
      <c r="G8440" s="128" t="str">
        <f>VLOOKUP(source[[#This Row],[lending_product_transform]],[3]Mapping!$B$4:$C$37,2,0)</f>
        <v>[Cake] - Cashloan</v>
      </c>
      <c r="H8440" s="128" t="str">
        <f>VLOOKUP(source[[#This Row],[lending_product_transform]],[3]Mapping!$B$3:$D$37,3,0)</f>
        <v>cashloan</v>
      </c>
      <c r="I8440" s="173">
        <v>343175049</v>
      </c>
    </row>
    <row r="8441" spans="1:9" x14ac:dyDescent="0.2">
      <c r="A8441" s="134">
        <v>45882</v>
      </c>
      <c r="B8441" s="135">
        <f>YEAR(source[[#This Row],[report_date]])</f>
        <v>2025</v>
      </c>
      <c r="C8441" s="128">
        <f t="shared" si="394"/>
        <v>8</v>
      </c>
      <c r="D8441" s="136">
        <f t="shared" si="393"/>
        <v>33</v>
      </c>
      <c r="E8441" s="136">
        <f t="shared" si="395"/>
        <v>13</v>
      </c>
      <c r="F8441" s="128" t="s">
        <v>24</v>
      </c>
      <c r="G8441" s="128" t="str">
        <f>VLOOKUP(source[[#This Row],[lending_product_transform]],[3]Mapping!$B$4:$C$37,2,0)</f>
        <v>[Cake] - Cashloan</v>
      </c>
      <c r="H8441" s="128" t="str">
        <f>VLOOKUP(source[[#This Row],[lending_product_transform]],[3]Mapping!$B$3:$D$37,3,0)</f>
        <v>cashloan</v>
      </c>
      <c r="I8441" s="173">
        <v>2194710000</v>
      </c>
    </row>
    <row r="8442" spans="1:9" x14ac:dyDescent="0.2">
      <c r="A8442" s="134">
        <v>45882</v>
      </c>
      <c r="B8442" s="135">
        <f>YEAR(source[[#This Row],[report_date]])</f>
        <v>2025</v>
      </c>
      <c r="C8442" s="128">
        <f t="shared" si="394"/>
        <v>8</v>
      </c>
      <c r="D8442" s="136">
        <f t="shared" si="393"/>
        <v>33</v>
      </c>
      <c r="E8442" s="136">
        <f t="shared" si="395"/>
        <v>13</v>
      </c>
      <c r="F8442" s="128" t="s">
        <v>24</v>
      </c>
      <c r="G8442" s="128" t="str">
        <f>VLOOKUP(source[[#This Row],[lending_product_transform]],[3]Mapping!$B$4:$C$37,2,0)</f>
        <v>[Cake] - Cashloan</v>
      </c>
      <c r="H8442" s="128" t="str">
        <f>VLOOKUP(source[[#This Row],[lending_product_transform]],[3]Mapping!$B$3:$D$37,3,0)</f>
        <v>cashloan</v>
      </c>
      <c r="I8442" s="173">
        <v>12591970000</v>
      </c>
    </row>
    <row r="8443" spans="1:9" x14ac:dyDescent="0.2">
      <c r="A8443" s="134">
        <v>45882</v>
      </c>
      <c r="B8443" s="135">
        <f>YEAR(source[[#This Row],[report_date]])</f>
        <v>2025</v>
      </c>
      <c r="C8443" s="128">
        <f t="shared" si="394"/>
        <v>8</v>
      </c>
      <c r="D8443" s="136">
        <f t="shared" si="393"/>
        <v>33</v>
      </c>
      <c r="E8443" s="136">
        <f t="shared" si="395"/>
        <v>13</v>
      </c>
      <c r="F8443" s="128" t="s">
        <v>24</v>
      </c>
      <c r="G8443" s="128" t="str">
        <f>VLOOKUP(source[[#This Row],[lending_product_transform]],[3]Mapping!$B$4:$C$37,2,0)</f>
        <v>[Cake] - Cashloan</v>
      </c>
      <c r="H8443" s="128" t="str">
        <f>VLOOKUP(source[[#This Row],[lending_product_transform]],[3]Mapping!$B$3:$D$37,3,0)</f>
        <v>cashloan</v>
      </c>
      <c r="I8443" s="173">
        <v>0</v>
      </c>
    </row>
    <row r="8444" spans="1:9" x14ac:dyDescent="0.2">
      <c r="A8444" s="134">
        <v>45883</v>
      </c>
      <c r="B8444" s="135">
        <f>YEAR(source[[#This Row],[report_date]])</f>
        <v>2025</v>
      </c>
      <c r="C8444" s="128">
        <f t="shared" si="394"/>
        <v>8</v>
      </c>
      <c r="D8444" s="136">
        <f t="shared" si="393"/>
        <v>33</v>
      </c>
      <c r="E8444" s="136">
        <f t="shared" si="395"/>
        <v>14</v>
      </c>
      <c r="F8444" s="128" t="s">
        <v>24</v>
      </c>
      <c r="G8444" s="128" t="str">
        <f>VLOOKUP(source[[#This Row],[lending_product_transform]],[3]Mapping!$B$4:$C$37,2,0)</f>
        <v>[Cake] - Cashloan</v>
      </c>
      <c r="H8444" s="128" t="str">
        <f>VLOOKUP(source[[#This Row],[lending_product_transform]],[3]Mapping!$B$3:$D$37,3,0)</f>
        <v>cashloan</v>
      </c>
      <c r="I8444" s="173">
        <v>2300740000</v>
      </c>
    </row>
    <row r="8445" spans="1:9" x14ac:dyDescent="0.2">
      <c r="A8445" s="134">
        <v>45883</v>
      </c>
      <c r="B8445" s="135">
        <f>YEAR(source[[#This Row],[report_date]])</f>
        <v>2025</v>
      </c>
      <c r="C8445" s="128">
        <f t="shared" si="394"/>
        <v>8</v>
      </c>
      <c r="D8445" s="136">
        <f t="shared" si="393"/>
        <v>33</v>
      </c>
      <c r="E8445" s="136">
        <f t="shared" si="395"/>
        <v>14</v>
      </c>
      <c r="F8445" s="128" t="s">
        <v>24</v>
      </c>
      <c r="G8445" s="128" t="str">
        <f>VLOOKUP(source[[#This Row],[lending_product_transform]],[3]Mapping!$B$4:$C$37,2,0)</f>
        <v>[Cake] - Cashloan</v>
      </c>
      <c r="H8445" s="128" t="str">
        <f>VLOOKUP(source[[#This Row],[lending_product_transform]],[3]Mapping!$B$3:$D$37,3,0)</f>
        <v>cashloan</v>
      </c>
      <c r="I8445" s="173">
        <v>374827000</v>
      </c>
    </row>
    <row r="8446" spans="1:9" x14ac:dyDescent="0.2">
      <c r="A8446" s="134">
        <v>45883</v>
      </c>
      <c r="B8446" s="135">
        <f>YEAR(source[[#This Row],[report_date]])</f>
        <v>2025</v>
      </c>
      <c r="C8446" s="128">
        <f t="shared" si="394"/>
        <v>8</v>
      </c>
      <c r="D8446" s="136">
        <f t="shared" si="393"/>
        <v>33</v>
      </c>
      <c r="E8446" s="136">
        <f t="shared" si="395"/>
        <v>14</v>
      </c>
      <c r="F8446" s="128" t="s">
        <v>24</v>
      </c>
      <c r="G8446" s="128" t="str">
        <f>VLOOKUP(source[[#This Row],[lending_product_transform]],[3]Mapping!$B$4:$C$37,2,0)</f>
        <v>[Cake] - Cashloan</v>
      </c>
      <c r="H8446" s="128" t="str">
        <f>VLOOKUP(source[[#This Row],[lending_product_transform]],[3]Mapping!$B$3:$D$37,3,0)</f>
        <v>cashloan</v>
      </c>
      <c r="I8446" s="173">
        <v>130640000</v>
      </c>
    </row>
    <row r="8447" spans="1:9" x14ac:dyDescent="0.2">
      <c r="A8447" s="134">
        <v>45883</v>
      </c>
      <c r="B8447" s="135">
        <f>YEAR(source[[#This Row],[report_date]])</f>
        <v>2025</v>
      </c>
      <c r="C8447" s="128">
        <f t="shared" si="394"/>
        <v>8</v>
      </c>
      <c r="D8447" s="136">
        <f t="shared" si="393"/>
        <v>33</v>
      </c>
      <c r="E8447" s="136">
        <f t="shared" si="395"/>
        <v>14</v>
      </c>
      <c r="F8447" s="128" t="s">
        <v>24</v>
      </c>
      <c r="G8447" s="128" t="str">
        <f>VLOOKUP(source[[#This Row],[lending_product_transform]],[3]Mapping!$B$4:$C$37,2,0)</f>
        <v>[Cake] - Cashloan</v>
      </c>
      <c r="H8447" s="128" t="str">
        <f>VLOOKUP(source[[#This Row],[lending_product_transform]],[3]Mapping!$B$3:$D$37,3,0)</f>
        <v>cashloan</v>
      </c>
      <c r="I8447" s="173">
        <v>344721380</v>
      </c>
    </row>
    <row r="8448" spans="1:9" x14ac:dyDescent="0.2">
      <c r="A8448" s="134">
        <v>45883</v>
      </c>
      <c r="B8448" s="135">
        <f>YEAR(source[[#This Row],[report_date]])</f>
        <v>2025</v>
      </c>
      <c r="C8448" s="128">
        <f t="shared" si="394"/>
        <v>8</v>
      </c>
      <c r="D8448" s="136">
        <f t="shared" si="393"/>
        <v>33</v>
      </c>
      <c r="E8448" s="136">
        <f t="shared" si="395"/>
        <v>14</v>
      </c>
      <c r="F8448" s="128" t="s">
        <v>24</v>
      </c>
      <c r="G8448" s="128" t="str">
        <f>VLOOKUP(source[[#This Row],[lending_product_transform]],[3]Mapping!$B$4:$C$37,2,0)</f>
        <v>[Cake] - Cashloan</v>
      </c>
      <c r="H8448" s="128" t="str">
        <f>VLOOKUP(source[[#This Row],[lending_product_transform]],[3]Mapping!$B$3:$D$37,3,0)</f>
        <v>cashloan</v>
      </c>
      <c r="I8448" s="173">
        <v>2591623735</v>
      </c>
    </row>
    <row r="8449" spans="1:9" x14ac:dyDescent="0.2">
      <c r="A8449" s="134">
        <v>45883</v>
      </c>
      <c r="B8449" s="135">
        <f>YEAR(source[[#This Row],[report_date]])</f>
        <v>2025</v>
      </c>
      <c r="C8449" s="128">
        <f t="shared" si="394"/>
        <v>8</v>
      </c>
      <c r="D8449" s="136">
        <f t="shared" si="393"/>
        <v>33</v>
      </c>
      <c r="E8449" s="136">
        <f t="shared" si="395"/>
        <v>14</v>
      </c>
      <c r="F8449" s="128" t="s">
        <v>24</v>
      </c>
      <c r="G8449" s="128" t="str">
        <f>VLOOKUP(source[[#This Row],[lending_product_transform]],[3]Mapping!$B$4:$C$37,2,0)</f>
        <v>[Cake] - Cashloan</v>
      </c>
      <c r="H8449" s="128" t="str">
        <f>VLOOKUP(source[[#This Row],[lending_product_transform]],[3]Mapping!$B$3:$D$37,3,0)</f>
        <v>cashloan</v>
      </c>
      <c r="I8449" s="173">
        <v>242520076</v>
      </c>
    </row>
    <row r="8450" spans="1:9" x14ac:dyDescent="0.2">
      <c r="A8450" s="134">
        <v>45883</v>
      </c>
      <c r="B8450" s="135">
        <f>YEAR(source[[#This Row],[report_date]])</f>
        <v>2025</v>
      </c>
      <c r="C8450" s="128">
        <f t="shared" si="394"/>
        <v>8</v>
      </c>
      <c r="D8450" s="136">
        <f t="shared" si="393"/>
        <v>33</v>
      </c>
      <c r="E8450" s="136">
        <f t="shared" si="395"/>
        <v>14</v>
      </c>
      <c r="F8450" s="128" t="s">
        <v>24</v>
      </c>
      <c r="G8450" s="128" t="str">
        <f>VLOOKUP(source[[#This Row],[lending_product_transform]],[3]Mapping!$B$4:$C$37,2,0)</f>
        <v>[Cake] - Cashloan</v>
      </c>
      <c r="H8450" s="128" t="str">
        <f>VLOOKUP(source[[#This Row],[lending_product_transform]],[3]Mapping!$B$3:$D$37,3,0)</f>
        <v>cashloan</v>
      </c>
      <c r="I8450" s="173">
        <v>10609820000</v>
      </c>
    </row>
    <row r="8451" spans="1:9" x14ac:dyDescent="0.2">
      <c r="A8451" s="134">
        <v>45883</v>
      </c>
      <c r="B8451" s="135">
        <f>YEAR(source[[#This Row],[report_date]])</f>
        <v>2025</v>
      </c>
      <c r="C8451" s="128">
        <f t="shared" si="394"/>
        <v>8</v>
      </c>
      <c r="D8451" s="136">
        <f t="shared" ref="D8451:D8514" si="396">WEEKNUM(A8451,2)</f>
        <v>33</v>
      </c>
      <c r="E8451" s="136">
        <f t="shared" si="395"/>
        <v>14</v>
      </c>
      <c r="F8451" s="128" t="s">
        <v>24</v>
      </c>
      <c r="G8451" s="128" t="str">
        <f>VLOOKUP(source[[#This Row],[lending_product_transform]],[3]Mapping!$B$4:$C$37,2,0)</f>
        <v>[Cake] - Cashloan</v>
      </c>
      <c r="H8451" s="128" t="str">
        <f>VLOOKUP(source[[#This Row],[lending_product_transform]],[3]Mapping!$B$3:$D$37,3,0)</f>
        <v>cashloan</v>
      </c>
      <c r="I8451" s="173">
        <v>0</v>
      </c>
    </row>
    <row r="8452" spans="1:9" x14ac:dyDescent="0.2">
      <c r="A8452" s="134">
        <v>45883</v>
      </c>
      <c r="B8452" s="135">
        <f>YEAR(source[[#This Row],[report_date]])</f>
        <v>2025</v>
      </c>
      <c r="C8452" s="128">
        <f t="shared" si="394"/>
        <v>8</v>
      </c>
      <c r="D8452" s="136">
        <f t="shared" si="396"/>
        <v>33</v>
      </c>
      <c r="E8452" s="136">
        <f t="shared" si="395"/>
        <v>14</v>
      </c>
      <c r="F8452" s="128" t="s">
        <v>24</v>
      </c>
      <c r="G8452" s="128" t="str">
        <f>VLOOKUP(source[[#This Row],[lending_product_transform]],[3]Mapping!$B$4:$C$37,2,0)</f>
        <v>[Cake] - Cashloan</v>
      </c>
      <c r="H8452" s="128" t="str">
        <f>VLOOKUP(source[[#This Row],[lending_product_transform]],[3]Mapping!$B$3:$D$37,3,0)</f>
        <v>cashloan</v>
      </c>
      <c r="I8452" s="173">
        <v>71500000</v>
      </c>
    </row>
    <row r="8453" spans="1:9" x14ac:dyDescent="0.2">
      <c r="A8453" s="134">
        <v>45883</v>
      </c>
      <c r="B8453" s="135">
        <f>YEAR(source[[#This Row],[report_date]])</f>
        <v>2025</v>
      </c>
      <c r="C8453" s="128">
        <f t="shared" si="394"/>
        <v>8</v>
      </c>
      <c r="D8453" s="136">
        <f t="shared" si="396"/>
        <v>33</v>
      </c>
      <c r="E8453" s="136">
        <f t="shared" si="395"/>
        <v>14</v>
      </c>
      <c r="F8453" s="128" t="s">
        <v>24</v>
      </c>
      <c r="G8453" s="128" t="str">
        <f>VLOOKUP(source[[#This Row],[lending_product_transform]],[3]Mapping!$B$4:$C$37,2,0)</f>
        <v>[Cake] - Cashloan</v>
      </c>
      <c r="H8453" s="128" t="str">
        <f>VLOOKUP(source[[#This Row],[lending_product_transform]],[3]Mapping!$B$3:$D$37,3,0)</f>
        <v>cashloan</v>
      </c>
      <c r="I8453" s="173">
        <v>440760000</v>
      </c>
    </row>
    <row r="8454" spans="1:9" x14ac:dyDescent="0.2">
      <c r="A8454" s="134">
        <v>45883</v>
      </c>
      <c r="B8454" s="135">
        <f>YEAR(source[[#This Row],[report_date]])</f>
        <v>2025</v>
      </c>
      <c r="C8454" s="128">
        <f t="shared" si="394"/>
        <v>8</v>
      </c>
      <c r="D8454" s="136">
        <f t="shared" si="396"/>
        <v>33</v>
      </c>
      <c r="E8454" s="136">
        <f t="shared" si="395"/>
        <v>14</v>
      </c>
      <c r="F8454" s="128" t="s">
        <v>24</v>
      </c>
      <c r="G8454" s="128" t="str">
        <f>VLOOKUP(source[[#This Row],[lending_product_transform]],[3]Mapping!$B$4:$C$37,2,0)</f>
        <v>[Cake] - Cashloan</v>
      </c>
      <c r="H8454" s="128" t="str">
        <f>VLOOKUP(source[[#This Row],[lending_product_transform]],[3]Mapping!$B$3:$D$37,3,0)</f>
        <v>cashloan</v>
      </c>
      <c r="I8454" s="173">
        <v>258642766</v>
      </c>
    </row>
    <row r="8455" spans="1:9" x14ac:dyDescent="0.2">
      <c r="A8455" s="134">
        <v>45883</v>
      </c>
      <c r="B8455" s="135">
        <f>YEAR(source[[#This Row],[report_date]])</f>
        <v>2025</v>
      </c>
      <c r="C8455" s="128">
        <f t="shared" si="394"/>
        <v>8</v>
      </c>
      <c r="D8455" s="136">
        <f t="shared" si="396"/>
        <v>33</v>
      </c>
      <c r="E8455" s="136">
        <f t="shared" si="395"/>
        <v>14</v>
      </c>
      <c r="F8455" s="128" t="s">
        <v>24</v>
      </c>
      <c r="G8455" s="128" t="str">
        <f>VLOOKUP(source[[#This Row],[lending_product_transform]],[3]Mapping!$B$4:$C$37,2,0)</f>
        <v>[Cake] - Cashloan</v>
      </c>
      <c r="H8455" s="128" t="str">
        <f>VLOOKUP(source[[#This Row],[lending_product_transform]],[3]Mapping!$B$3:$D$37,3,0)</f>
        <v>cashloan</v>
      </c>
      <c r="I8455" s="173">
        <v>20000000</v>
      </c>
    </row>
    <row r="8456" spans="1:9" x14ac:dyDescent="0.2">
      <c r="A8456" s="134">
        <v>45883</v>
      </c>
      <c r="B8456" s="135">
        <f>YEAR(source[[#This Row],[report_date]])</f>
        <v>2025</v>
      </c>
      <c r="C8456" s="128">
        <f t="shared" si="394"/>
        <v>8</v>
      </c>
      <c r="D8456" s="136">
        <f t="shared" si="396"/>
        <v>33</v>
      </c>
      <c r="E8456" s="136">
        <f t="shared" si="395"/>
        <v>14</v>
      </c>
      <c r="F8456" s="128" t="s">
        <v>24</v>
      </c>
      <c r="G8456" s="128" t="str">
        <f>VLOOKUP(source[[#This Row],[lending_product_transform]],[3]Mapping!$B$4:$C$37,2,0)</f>
        <v>[Cake] - Cashloan</v>
      </c>
      <c r="H8456" s="128" t="str">
        <f>VLOOKUP(source[[#This Row],[lending_product_transform]],[3]Mapping!$B$3:$D$37,3,0)</f>
        <v>cashloan</v>
      </c>
      <c r="I8456" s="173">
        <v>24849852</v>
      </c>
    </row>
    <row r="8457" spans="1:9" x14ac:dyDescent="0.2">
      <c r="A8457" s="134">
        <v>45883</v>
      </c>
      <c r="B8457" s="135">
        <f>YEAR(source[[#This Row],[report_date]])</f>
        <v>2025</v>
      </c>
      <c r="C8457" s="128">
        <f t="shared" si="394"/>
        <v>8</v>
      </c>
      <c r="D8457" s="136">
        <f t="shared" si="396"/>
        <v>33</v>
      </c>
      <c r="E8457" s="136">
        <f t="shared" si="395"/>
        <v>14</v>
      </c>
      <c r="F8457" s="128" t="s">
        <v>24</v>
      </c>
      <c r="G8457" s="128" t="str">
        <f>VLOOKUP(source[[#This Row],[lending_product_transform]],[3]Mapping!$B$4:$C$37,2,0)</f>
        <v>[Cake] - Cashloan</v>
      </c>
      <c r="H8457" s="128" t="str">
        <f>VLOOKUP(source[[#This Row],[lending_product_transform]],[3]Mapping!$B$3:$D$37,3,0)</f>
        <v>cashloan</v>
      </c>
      <c r="I8457" s="173">
        <v>11048900000</v>
      </c>
    </row>
    <row r="8458" spans="1:9" x14ac:dyDescent="0.2">
      <c r="A8458" s="134">
        <v>45883</v>
      </c>
      <c r="B8458" s="135">
        <f>YEAR(source[[#This Row],[report_date]])</f>
        <v>2025</v>
      </c>
      <c r="C8458" s="128">
        <f t="shared" si="394"/>
        <v>8</v>
      </c>
      <c r="D8458" s="136">
        <f t="shared" si="396"/>
        <v>33</v>
      </c>
      <c r="E8458" s="136">
        <f t="shared" si="395"/>
        <v>14</v>
      </c>
      <c r="F8458" s="128" t="s">
        <v>24</v>
      </c>
      <c r="G8458" s="128" t="str">
        <f>VLOOKUP(source[[#This Row],[lending_product_transform]],[3]Mapping!$B$4:$C$37,2,0)</f>
        <v>[Cake] - Cashloan</v>
      </c>
      <c r="H8458" s="128" t="str">
        <f>VLOOKUP(source[[#This Row],[lending_product_transform]],[3]Mapping!$B$3:$D$37,3,0)</f>
        <v>cashloan</v>
      </c>
      <c r="I8458" s="173">
        <v>5889996000</v>
      </c>
    </row>
    <row r="8459" spans="1:9" x14ac:dyDescent="0.2">
      <c r="A8459" s="134">
        <v>45883</v>
      </c>
      <c r="B8459" s="135">
        <f>YEAR(source[[#This Row],[report_date]])</f>
        <v>2025</v>
      </c>
      <c r="C8459" s="128">
        <f t="shared" si="394"/>
        <v>8</v>
      </c>
      <c r="D8459" s="136">
        <f t="shared" si="396"/>
        <v>33</v>
      </c>
      <c r="E8459" s="136">
        <f t="shared" si="395"/>
        <v>14</v>
      </c>
      <c r="F8459" s="128" t="s">
        <v>24</v>
      </c>
      <c r="G8459" s="128" t="str">
        <f>VLOOKUP(source[[#This Row],[lending_product_transform]],[3]Mapping!$B$4:$C$37,2,0)</f>
        <v>[Cake] - Cashloan</v>
      </c>
      <c r="H8459" s="128" t="str">
        <f>VLOOKUP(source[[#This Row],[lending_product_transform]],[3]Mapping!$B$3:$D$37,3,0)</f>
        <v>cashloan</v>
      </c>
      <c r="I8459" s="173">
        <v>3065580000</v>
      </c>
    </row>
    <row r="8460" spans="1:9" x14ac:dyDescent="0.2">
      <c r="A8460" s="134">
        <v>45883</v>
      </c>
      <c r="B8460" s="135">
        <f>YEAR(source[[#This Row],[report_date]])</f>
        <v>2025</v>
      </c>
      <c r="C8460" s="128">
        <f t="shared" si="394"/>
        <v>8</v>
      </c>
      <c r="D8460" s="136">
        <f t="shared" si="396"/>
        <v>33</v>
      </c>
      <c r="E8460" s="136">
        <f t="shared" si="395"/>
        <v>14</v>
      </c>
      <c r="F8460" s="128" t="s">
        <v>24</v>
      </c>
      <c r="G8460" s="128" t="str">
        <f>VLOOKUP(source[[#This Row],[lending_product_transform]],[3]Mapping!$B$4:$C$37,2,0)</f>
        <v>[Cake] - Cashloan</v>
      </c>
      <c r="H8460" s="128" t="str">
        <f>VLOOKUP(source[[#This Row],[lending_product_transform]],[3]Mapping!$B$3:$D$37,3,0)</f>
        <v>cashloan</v>
      </c>
      <c r="I8460" s="173">
        <v>0</v>
      </c>
    </row>
    <row r="8461" spans="1:9" x14ac:dyDescent="0.2">
      <c r="A8461" s="134">
        <v>45883</v>
      </c>
      <c r="B8461" s="135">
        <f>YEAR(source[[#This Row],[report_date]])</f>
        <v>2025</v>
      </c>
      <c r="C8461" s="128">
        <f t="shared" si="394"/>
        <v>8</v>
      </c>
      <c r="D8461" s="136">
        <f t="shared" si="396"/>
        <v>33</v>
      </c>
      <c r="E8461" s="136">
        <f t="shared" si="395"/>
        <v>14</v>
      </c>
      <c r="F8461" s="128" t="s">
        <v>24</v>
      </c>
      <c r="G8461" s="128" t="str">
        <f>VLOOKUP(source[[#This Row],[lending_product_transform]],[3]Mapping!$B$4:$C$37,2,0)</f>
        <v>[Cake] - Cashloan</v>
      </c>
      <c r="H8461" s="128" t="str">
        <f>VLOOKUP(source[[#This Row],[lending_product_transform]],[3]Mapping!$B$3:$D$37,3,0)</f>
        <v>cashloan</v>
      </c>
      <c r="I8461" s="173">
        <v>31500000</v>
      </c>
    </row>
    <row r="8462" spans="1:9" x14ac:dyDescent="0.2">
      <c r="A8462" s="134">
        <v>45884</v>
      </c>
      <c r="B8462" s="135">
        <f>YEAR(source[[#This Row],[report_date]])</f>
        <v>2025</v>
      </c>
      <c r="C8462" s="128">
        <f t="shared" si="394"/>
        <v>8</v>
      </c>
      <c r="D8462" s="136">
        <f t="shared" si="396"/>
        <v>33</v>
      </c>
      <c r="E8462" s="136">
        <f t="shared" si="395"/>
        <v>15</v>
      </c>
      <c r="F8462" s="128" t="s">
        <v>24</v>
      </c>
      <c r="G8462" s="128" t="str">
        <f>VLOOKUP(source[[#This Row],[lending_product_transform]],[3]Mapping!$B$4:$C$37,2,0)</f>
        <v>[Cake] - Cashloan</v>
      </c>
      <c r="H8462" s="128" t="str">
        <f>VLOOKUP(source[[#This Row],[lending_product_transform]],[3]Mapping!$B$3:$D$37,3,0)</f>
        <v>cashloan</v>
      </c>
      <c r="I8462" s="173">
        <v>0</v>
      </c>
    </row>
    <row r="8463" spans="1:9" x14ac:dyDescent="0.2">
      <c r="A8463" s="134">
        <v>45884</v>
      </c>
      <c r="B8463" s="135">
        <f>YEAR(source[[#This Row],[report_date]])</f>
        <v>2025</v>
      </c>
      <c r="C8463" s="128">
        <f t="shared" si="394"/>
        <v>8</v>
      </c>
      <c r="D8463" s="136">
        <f t="shared" si="396"/>
        <v>33</v>
      </c>
      <c r="E8463" s="136">
        <f t="shared" si="395"/>
        <v>15</v>
      </c>
      <c r="F8463" s="128" t="s">
        <v>24</v>
      </c>
      <c r="G8463" s="128" t="str">
        <f>VLOOKUP(source[[#This Row],[lending_product_transform]],[3]Mapping!$B$4:$C$37,2,0)</f>
        <v>[Cake] - Cashloan</v>
      </c>
      <c r="H8463" s="128" t="str">
        <f>VLOOKUP(source[[#This Row],[lending_product_transform]],[3]Mapping!$B$3:$D$37,3,0)</f>
        <v>cashloan</v>
      </c>
      <c r="I8463" s="173">
        <v>1720650000</v>
      </c>
    </row>
    <row r="8464" spans="1:9" x14ac:dyDescent="0.2">
      <c r="A8464" s="134">
        <v>45884</v>
      </c>
      <c r="B8464" s="135">
        <f>YEAR(source[[#This Row],[report_date]])</f>
        <v>2025</v>
      </c>
      <c r="C8464" s="128">
        <f t="shared" si="394"/>
        <v>8</v>
      </c>
      <c r="D8464" s="136">
        <f t="shared" si="396"/>
        <v>33</v>
      </c>
      <c r="E8464" s="136">
        <f t="shared" si="395"/>
        <v>15</v>
      </c>
      <c r="F8464" s="128" t="s">
        <v>24</v>
      </c>
      <c r="G8464" s="128" t="str">
        <f>VLOOKUP(source[[#This Row],[lending_product_transform]],[3]Mapping!$B$4:$C$37,2,0)</f>
        <v>[Cake] - Cashloan</v>
      </c>
      <c r="H8464" s="128" t="str">
        <f>VLOOKUP(source[[#This Row],[lending_product_transform]],[3]Mapping!$B$3:$D$37,3,0)</f>
        <v>cashloan</v>
      </c>
      <c r="I8464" s="173">
        <v>12600000</v>
      </c>
    </row>
    <row r="8465" spans="1:9" x14ac:dyDescent="0.2">
      <c r="A8465" s="134">
        <v>45884</v>
      </c>
      <c r="B8465" s="135">
        <f>YEAR(source[[#This Row],[report_date]])</f>
        <v>2025</v>
      </c>
      <c r="C8465" s="128">
        <f t="shared" si="394"/>
        <v>8</v>
      </c>
      <c r="D8465" s="136">
        <f t="shared" si="396"/>
        <v>33</v>
      </c>
      <c r="E8465" s="136">
        <f t="shared" si="395"/>
        <v>15</v>
      </c>
      <c r="F8465" s="128" t="s">
        <v>24</v>
      </c>
      <c r="G8465" s="128" t="str">
        <f>VLOOKUP(source[[#This Row],[lending_product_transform]],[3]Mapping!$B$4:$C$37,2,0)</f>
        <v>[Cake] - Cashloan</v>
      </c>
      <c r="H8465" s="128" t="str">
        <f>VLOOKUP(source[[#This Row],[lending_product_transform]],[3]Mapping!$B$3:$D$37,3,0)</f>
        <v>cashloan</v>
      </c>
      <c r="I8465" s="173">
        <v>0</v>
      </c>
    </row>
    <row r="8466" spans="1:9" x14ac:dyDescent="0.2">
      <c r="A8466" s="134">
        <v>45884</v>
      </c>
      <c r="B8466" s="135">
        <f>YEAR(source[[#This Row],[report_date]])</f>
        <v>2025</v>
      </c>
      <c r="C8466" s="128">
        <f t="shared" si="394"/>
        <v>8</v>
      </c>
      <c r="D8466" s="136">
        <f t="shared" si="396"/>
        <v>33</v>
      </c>
      <c r="E8466" s="136">
        <f t="shared" si="395"/>
        <v>15</v>
      </c>
      <c r="F8466" s="128" t="s">
        <v>24</v>
      </c>
      <c r="G8466" s="128" t="str">
        <f>VLOOKUP(source[[#This Row],[lending_product_transform]],[3]Mapping!$B$4:$C$37,2,0)</f>
        <v>[Cake] - Cashloan</v>
      </c>
      <c r="H8466" s="128" t="str">
        <f>VLOOKUP(source[[#This Row],[lending_product_transform]],[3]Mapping!$B$3:$D$37,3,0)</f>
        <v>cashloan</v>
      </c>
      <c r="I8466" s="173">
        <v>52500000</v>
      </c>
    </row>
    <row r="8467" spans="1:9" x14ac:dyDescent="0.2">
      <c r="A8467" s="134">
        <v>45884</v>
      </c>
      <c r="B8467" s="135">
        <f>YEAR(source[[#This Row],[report_date]])</f>
        <v>2025</v>
      </c>
      <c r="C8467" s="128">
        <f t="shared" si="394"/>
        <v>8</v>
      </c>
      <c r="D8467" s="136">
        <f t="shared" si="396"/>
        <v>33</v>
      </c>
      <c r="E8467" s="136">
        <f t="shared" si="395"/>
        <v>15</v>
      </c>
      <c r="F8467" s="128" t="s">
        <v>24</v>
      </c>
      <c r="G8467" s="128" t="str">
        <f>VLOOKUP(source[[#This Row],[lending_product_transform]],[3]Mapping!$B$4:$C$37,2,0)</f>
        <v>[Cake] - Cashloan</v>
      </c>
      <c r="H8467" s="128" t="str">
        <f>VLOOKUP(source[[#This Row],[lending_product_transform]],[3]Mapping!$B$3:$D$37,3,0)</f>
        <v>cashloan</v>
      </c>
      <c r="I8467" s="173">
        <v>522350000</v>
      </c>
    </row>
    <row r="8468" spans="1:9" x14ac:dyDescent="0.2">
      <c r="A8468" s="134">
        <v>45884</v>
      </c>
      <c r="B8468" s="135">
        <f>YEAR(source[[#This Row],[report_date]])</f>
        <v>2025</v>
      </c>
      <c r="C8468" s="128">
        <f t="shared" si="394"/>
        <v>8</v>
      </c>
      <c r="D8468" s="136">
        <f t="shared" si="396"/>
        <v>33</v>
      </c>
      <c r="E8468" s="136">
        <f t="shared" si="395"/>
        <v>15</v>
      </c>
      <c r="F8468" s="128" t="s">
        <v>24</v>
      </c>
      <c r="G8468" s="128" t="str">
        <f>VLOOKUP(source[[#This Row],[lending_product_transform]],[3]Mapping!$B$4:$C$37,2,0)</f>
        <v>[Cake] - Cashloan</v>
      </c>
      <c r="H8468" s="128" t="str">
        <f>VLOOKUP(source[[#This Row],[lending_product_transform]],[3]Mapping!$B$3:$D$37,3,0)</f>
        <v>cashloan</v>
      </c>
      <c r="I8468" s="173">
        <v>339344414</v>
      </c>
    </row>
    <row r="8469" spans="1:9" x14ac:dyDescent="0.2">
      <c r="A8469" s="134">
        <v>45884</v>
      </c>
      <c r="B8469" s="135">
        <f>YEAR(source[[#This Row],[report_date]])</f>
        <v>2025</v>
      </c>
      <c r="C8469" s="128">
        <f t="shared" si="394"/>
        <v>8</v>
      </c>
      <c r="D8469" s="136">
        <f t="shared" si="396"/>
        <v>33</v>
      </c>
      <c r="E8469" s="136">
        <f t="shared" si="395"/>
        <v>15</v>
      </c>
      <c r="F8469" s="128" t="s">
        <v>24</v>
      </c>
      <c r="G8469" s="128" t="str">
        <f>VLOOKUP(source[[#This Row],[lending_product_transform]],[3]Mapping!$B$4:$C$37,2,0)</f>
        <v>[Cake] - Cashloan</v>
      </c>
      <c r="H8469" s="128" t="str">
        <f>VLOOKUP(source[[#This Row],[lending_product_transform]],[3]Mapping!$B$3:$D$37,3,0)</f>
        <v>cashloan</v>
      </c>
      <c r="I8469" s="173">
        <v>46000000</v>
      </c>
    </row>
    <row r="8470" spans="1:9" x14ac:dyDescent="0.2">
      <c r="A8470" s="134">
        <v>45884</v>
      </c>
      <c r="B8470" s="135">
        <f>YEAR(source[[#This Row],[report_date]])</f>
        <v>2025</v>
      </c>
      <c r="C8470" s="128">
        <f t="shared" si="394"/>
        <v>8</v>
      </c>
      <c r="D8470" s="136">
        <f t="shared" si="396"/>
        <v>33</v>
      </c>
      <c r="E8470" s="136">
        <f t="shared" si="395"/>
        <v>15</v>
      </c>
      <c r="F8470" s="128" t="s">
        <v>24</v>
      </c>
      <c r="G8470" s="128" t="str">
        <f>VLOOKUP(source[[#This Row],[lending_product_transform]],[3]Mapping!$B$4:$C$37,2,0)</f>
        <v>[Cake] - Cashloan</v>
      </c>
      <c r="H8470" s="128" t="str">
        <f>VLOOKUP(source[[#This Row],[lending_product_transform]],[3]Mapping!$B$3:$D$37,3,0)</f>
        <v>cashloan</v>
      </c>
      <c r="I8470" s="173">
        <v>252120295</v>
      </c>
    </row>
    <row r="8471" spans="1:9" x14ac:dyDescent="0.2">
      <c r="A8471" s="134">
        <v>45884</v>
      </c>
      <c r="B8471" s="135">
        <f>YEAR(source[[#This Row],[report_date]])</f>
        <v>2025</v>
      </c>
      <c r="C8471" s="128">
        <f t="shared" si="394"/>
        <v>8</v>
      </c>
      <c r="D8471" s="136">
        <f t="shared" si="396"/>
        <v>33</v>
      </c>
      <c r="E8471" s="136">
        <f t="shared" si="395"/>
        <v>15</v>
      </c>
      <c r="F8471" s="128" t="s">
        <v>24</v>
      </c>
      <c r="G8471" s="128" t="str">
        <f>VLOOKUP(source[[#This Row],[lending_product_transform]],[3]Mapping!$B$4:$C$37,2,0)</f>
        <v>[Cake] - Cashloan</v>
      </c>
      <c r="H8471" s="128" t="str">
        <f>VLOOKUP(source[[#This Row],[lending_product_transform]],[3]Mapping!$B$3:$D$37,3,0)</f>
        <v>cashloan</v>
      </c>
      <c r="I8471" s="173">
        <v>3664654213</v>
      </c>
    </row>
    <row r="8472" spans="1:9" x14ac:dyDescent="0.2">
      <c r="A8472" s="134">
        <v>45884</v>
      </c>
      <c r="B8472" s="135">
        <f>YEAR(source[[#This Row],[report_date]])</f>
        <v>2025</v>
      </c>
      <c r="C8472" s="128">
        <f t="shared" si="394"/>
        <v>8</v>
      </c>
      <c r="D8472" s="136">
        <f t="shared" si="396"/>
        <v>33</v>
      </c>
      <c r="E8472" s="136">
        <f t="shared" si="395"/>
        <v>15</v>
      </c>
      <c r="F8472" s="128" t="s">
        <v>24</v>
      </c>
      <c r="G8472" s="128" t="str">
        <f>VLOOKUP(source[[#This Row],[lending_product_transform]],[3]Mapping!$B$4:$C$37,2,0)</f>
        <v>[Cake] - Cashloan</v>
      </c>
      <c r="H8472" s="128" t="str">
        <f>VLOOKUP(source[[#This Row],[lending_product_transform]],[3]Mapping!$B$3:$D$37,3,0)</f>
        <v>cashloan</v>
      </c>
      <c r="I8472" s="173">
        <v>266697191</v>
      </c>
    </row>
    <row r="8473" spans="1:9" x14ac:dyDescent="0.2">
      <c r="A8473" s="134">
        <v>45884</v>
      </c>
      <c r="B8473" s="135">
        <f>YEAR(source[[#This Row],[report_date]])</f>
        <v>2025</v>
      </c>
      <c r="C8473" s="128">
        <f t="shared" si="394"/>
        <v>8</v>
      </c>
      <c r="D8473" s="136">
        <f t="shared" si="396"/>
        <v>33</v>
      </c>
      <c r="E8473" s="136">
        <f t="shared" si="395"/>
        <v>15</v>
      </c>
      <c r="F8473" s="128" t="s">
        <v>24</v>
      </c>
      <c r="G8473" s="128" t="str">
        <f>VLOOKUP(source[[#This Row],[lending_product_transform]],[3]Mapping!$B$4:$C$37,2,0)</f>
        <v>[Cake] - Cashloan</v>
      </c>
      <c r="H8473" s="128" t="str">
        <f>VLOOKUP(source[[#This Row],[lending_product_transform]],[3]Mapping!$B$3:$D$37,3,0)</f>
        <v>cashloan</v>
      </c>
      <c r="I8473" s="173">
        <v>24144611</v>
      </c>
    </row>
    <row r="8474" spans="1:9" x14ac:dyDescent="0.2">
      <c r="A8474" s="134">
        <v>45884</v>
      </c>
      <c r="B8474" s="135">
        <f>YEAR(source[[#This Row],[report_date]])</f>
        <v>2025</v>
      </c>
      <c r="C8474" s="128">
        <f t="shared" si="394"/>
        <v>8</v>
      </c>
      <c r="D8474" s="136">
        <f t="shared" si="396"/>
        <v>33</v>
      </c>
      <c r="E8474" s="136">
        <f t="shared" si="395"/>
        <v>15</v>
      </c>
      <c r="F8474" s="128" t="s">
        <v>24</v>
      </c>
      <c r="G8474" s="128" t="str">
        <f>VLOOKUP(source[[#This Row],[lending_product_transform]],[3]Mapping!$B$4:$C$37,2,0)</f>
        <v>[Cake] - Cashloan</v>
      </c>
      <c r="H8474" s="128" t="str">
        <f>VLOOKUP(source[[#This Row],[lending_product_transform]],[3]Mapping!$B$3:$D$37,3,0)</f>
        <v>cashloan</v>
      </c>
      <c r="I8474" s="173">
        <v>11576850000</v>
      </c>
    </row>
    <row r="8475" spans="1:9" x14ac:dyDescent="0.2">
      <c r="A8475" s="134">
        <v>45884</v>
      </c>
      <c r="B8475" s="135">
        <f>YEAR(source[[#This Row],[report_date]])</f>
        <v>2025</v>
      </c>
      <c r="C8475" s="128">
        <f t="shared" si="394"/>
        <v>8</v>
      </c>
      <c r="D8475" s="136">
        <f t="shared" si="396"/>
        <v>33</v>
      </c>
      <c r="E8475" s="136">
        <f t="shared" si="395"/>
        <v>15</v>
      </c>
      <c r="F8475" s="128" t="s">
        <v>24</v>
      </c>
      <c r="G8475" s="128" t="str">
        <f>VLOOKUP(source[[#This Row],[lending_product_transform]],[3]Mapping!$B$4:$C$37,2,0)</f>
        <v>[Cake] - Cashloan</v>
      </c>
      <c r="H8475" s="128" t="str">
        <f>VLOOKUP(source[[#This Row],[lending_product_transform]],[3]Mapping!$B$3:$D$37,3,0)</f>
        <v>cashloan</v>
      </c>
      <c r="I8475" s="173">
        <v>7552980000</v>
      </c>
    </row>
    <row r="8476" spans="1:9" x14ac:dyDescent="0.2">
      <c r="A8476" s="134">
        <v>45884</v>
      </c>
      <c r="B8476" s="135">
        <f>YEAR(source[[#This Row],[report_date]])</f>
        <v>2025</v>
      </c>
      <c r="C8476" s="128">
        <f t="shared" si="394"/>
        <v>8</v>
      </c>
      <c r="D8476" s="136">
        <f t="shared" si="396"/>
        <v>33</v>
      </c>
      <c r="E8476" s="136">
        <f t="shared" si="395"/>
        <v>15</v>
      </c>
      <c r="F8476" s="128" t="s">
        <v>24</v>
      </c>
      <c r="G8476" s="128" t="str">
        <f>VLOOKUP(source[[#This Row],[lending_product_transform]],[3]Mapping!$B$4:$C$37,2,0)</f>
        <v>[Cake] - Cashloan</v>
      </c>
      <c r="H8476" s="128" t="str">
        <f>VLOOKUP(source[[#This Row],[lending_product_transform]],[3]Mapping!$B$3:$D$37,3,0)</f>
        <v>cashloan</v>
      </c>
      <c r="I8476" s="173">
        <v>2373340000</v>
      </c>
    </row>
    <row r="8477" spans="1:9" x14ac:dyDescent="0.2">
      <c r="A8477" s="134">
        <v>45884</v>
      </c>
      <c r="B8477" s="135">
        <f>YEAR(source[[#This Row],[report_date]])</f>
        <v>2025</v>
      </c>
      <c r="C8477" s="128">
        <f t="shared" si="394"/>
        <v>8</v>
      </c>
      <c r="D8477" s="136">
        <f t="shared" si="396"/>
        <v>33</v>
      </c>
      <c r="E8477" s="136">
        <f t="shared" si="395"/>
        <v>15</v>
      </c>
      <c r="F8477" s="128" t="s">
        <v>24</v>
      </c>
      <c r="G8477" s="128" t="str">
        <f>VLOOKUP(source[[#This Row],[lending_product_transform]],[3]Mapping!$B$4:$C$37,2,0)</f>
        <v>[Cake] - Cashloan</v>
      </c>
      <c r="H8477" s="128" t="str">
        <f>VLOOKUP(source[[#This Row],[lending_product_transform]],[3]Mapping!$B$3:$D$37,3,0)</f>
        <v>cashloan</v>
      </c>
      <c r="I8477" s="173">
        <v>3501036000</v>
      </c>
    </row>
    <row r="8478" spans="1:9" x14ac:dyDescent="0.2">
      <c r="A8478" s="134">
        <v>45884</v>
      </c>
      <c r="B8478" s="135">
        <f>YEAR(source[[#This Row],[report_date]])</f>
        <v>2025</v>
      </c>
      <c r="C8478" s="128">
        <f t="shared" si="394"/>
        <v>8</v>
      </c>
      <c r="D8478" s="136">
        <f t="shared" si="396"/>
        <v>33</v>
      </c>
      <c r="E8478" s="136">
        <f t="shared" si="395"/>
        <v>15</v>
      </c>
      <c r="F8478" s="128" t="s">
        <v>24</v>
      </c>
      <c r="G8478" s="128" t="str">
        <f>VLOOKUP(source[[#This Row],[lending_product_transform]],[3]Mapping!$B$4:$C$37,2,0)</f>
        <v>[Cake] - Cashloan</v>
      </c>
      <c r="H8478" s="128" t="str">
        <f>VLOOKUP(source[[#This Row],[lending_product_transform]],[3]Mapping!$B$3:$D$37,3,0)</f>
        <v>cashloan</v>
      </c>
      <c r="I8478" s="173">
        <v>341594000</v>
      </c>
    </row>
    <row r="8479" spans="1:9" x14ac:dyDescent="0.2">
      <c r="A8479" s="134">
        <v>45884</v>
      </c>
      <c r="B8479" s="135">
        <f>YEAR(source[[#This Row],[report_date]])</f>
        <v>2025</v>
      </c>
      <c r="C8479" s="128">
        <f t="shared" si="394"/>
        <v>8</v>
      </c>
      <c r="D8479" s="136">
        <f t="shared" si="396"/>
        <v>33</v>
      </c>
      <c r="E8479" s="136">
        <f t="shared" si="395"/>
        <v>15</v>
      </c>
      <c r="F8479" s="128" t="s">
        <v>24</v>
      </c>
      <c r="G8479" s="128" t="str">
        <f>VLOOKUP(source[[#This Row],[lending_product_transform]],[3]Mapping!$B$4:$C$37,2,0)</f>
        <v>[Cake] - Cashloan</v>
      </c>
      <c r="H8479" s="128" t="str">
        <f>VLOOKUP(source[[#This Row],[lending_product_transform]],[3]Mapping!$B$3:$D$37,3,0)</f>
        <v>cashloan</v>
      </c>
      <c r="I8479" s="173">
        <v>12896660000</v>
      </c>
    </row>
    <row r="8480" spans="1:9" x14ac:dyDescent="0.2">
      <c r="A8480" s="134">
        <v>45885</v>
      </c>
      <c r="B8480" s="135">
        <f>YEAR(source[[#This Row],[report_date]])</f>
        <v>2025</v>
      </c>
      <c r="C8480" s="128">
        <f t="shared" si="394"/>
        <v>8</v>
      </c>
      <c r="D8480" s="136">
        <f t="shared" si="396"/>
        <v>33</v>
      </c>
      <c r="E8480" s="136">
        <f t="shared" si="395"/>
        <v>16</v>
      </c>
      <c r="F8480" s="128" t="s">
        <v>24</v>
      </c>
      <c r="G8480" s="128" t="str">
        <f>VLOOKUP(source[[#This Row],[lending_product_transform]],[3]Mapping!$B$4:$C$37,2,0)</f>
        <v>[Cake] - Cashloan</v>
      </c>
      <c r="H8480" s="128" t="str">
        <f>VLOOKUP(source[[#This Row],[lending_product_transform]],[3]Mapping!$B$3:$D$37,3,0)</f>
        <v>cashloan</v>
      </c>
      <c r="I8480" s="173">
        <v>2632109261</v>
      </c>
    </row>
    <row r="8481" spans="1:9" x14ac:dyDescent="0.2">
      <c r="A8481" s="134">
        <v>45885</v>
      </c>
      <c r="B8481" s="135">
        <f>YEAR(source[[#This Row],[report_date]])</f>
        <v>2025</v>
      </c>
      <c r="C8481" s="128">
        <f t="shared" si="394"/>
        <v>8</v>
      </c>
      <c r="D8481" s="136">
        <f t="shared" si="396"/>
        <v>33</v>
      </c>
      <c r="E8481" s="136">
        <f t="shared" si="395"/>
        <v>16</v>
      </c>
      <c r="F8481" s="128" t="s">
        <v>24</v>
      </c>
      <c r="G8481" s="128" t="str">
        <f>VLOOKUP(source[[#This Row],[lending_product_transform]],[3]Mapping!$B$4:$C$37,2,0)</f>
        <v>[Cake] - Cashloan</v>
      </c>
      <c r="H8481" s="128" t="str">
        <f>VLOOKUP(source[[#This Row],[lending_product_transform]],[3]Mapping!$B$3:$D$37,3,0)</f>
        <v>cashloan</v>
      </c>
      <c r="I8481" s="173">
        <v>10866140000</v>
      </c>
    </row>
    <row r="8482" spans="1:9" x14ac:dyDescent="0.2">
      <c r="A8482" s="134">
        <v>45885</v>
      </c>
      <c r="B8482" s="135">
        <f>YEAR(source[[#This Row],[report_date]])</f>
        <v>2025</v>
      </c>
      <c r="C8482" s="128">
        <f t="shared" si="394"/>
        <v>8</v>
      </c>
      <c r="D8482" s="136">
        <f t="shared" si="396"/>
        <v>33</v>
      </c>
      <c r="E8482" s="136">
        <f t="shared" si="395"/>
        <v>16</v>
      </c>
      <c r="F8482" s="128" t="s">
        <v>24</v>
      </c>
      <c r="G8482" s="128" t="str">
        <f>VLOOKUP(source[[#This Row],[lending_product_transform]],[3]Mapping!$B$4:$C$37,2,0)</f>
        <v>[Cake] - Cashloan</v>
      </c>
      <c r="H8482" s="128" t="str">
        <f>VLOOKUP(source[[#This Row],[lending_product_transform]],[3]Mapping!$B$3:$D$37,3,0)</f>
        <v>cashloan</v>
      </c>
      <c r="I8482" s="173">
        <v>425420000</v>
      </c>
    </row>
    <row r="8483" spans="1:9" x14ac:dyDescent="0.2">
      <c r="A8483" s="134">
        <v>45885</v>
      </c>
      <c r="B8483" s="135">
        <f>YEAR(source[[#This Row],[report_date]])</f>
        <v>2025</v>
      </c>
      <c r="C8483" s="128">
        <f t="shared" si="394"/>
        <v>8</v>
      </c>
      <c r="D8483" s="136">
        <f t="shared" si="396"/>
        <v>33</v>
      </c>
      <c r="E8483" s="136">
        <f t="shared" si="395"/>
        <v>16</v>
      </c>
      <c r="F8483" s="128" t="s">
        <v>24</v>
      </c>
      <c r="G8483" s="128" t="str">
        <f>VLOOKUP(source[[#This Row],[lending_product_transform]],[3]Mapping!$B$4:$C$37,2,0)</f>
        <v>[Cake] - Cashloan</v>
      </c>
      <c r="H8483" s="128" t="str">
        <f>VLOOKUP(source[[#This Row],[lending_product_transform]],[3]Mapping!$B$3:$D$37,3,0)</f>
        <v>cashloan</v>
      </c>
      <c r="I8483" s="173">
        <v>3125736000</v>
      </c>
    </row>
    <row r="8484" spans="1:9" x14ac:dyDescent="0.2">
      <c r="A8484" s="134">
        <v>45885</v>
      </c>
      <c r="B8484" s="135">
        <f>YEAR(source[[#This Row],[report_date]])</f>
        <v>2025</v>
      </c>
      <c r="C8484" s="128">
        <f t="shared" si="394"/>
        <v>8</v>
      </c>
      <c r="D8484" s="136">
        <f t="shared" si="396"/>
        <v>33</v>
      </c>
      <c r="E8484" s="136">
        <f t="shared" si="395"/>
        <v>16</v>
      </c>
      <c r="F8484" s="128" t="s">
        <v>24</v>
      </c>
      <c r="G8484" s="128" t="str">
        <f>VLOOKUP(source[[#This Row],[lending_product_transform]],[3]Mapping!$B$4:$C$37,2,0)</f>
        <v>[Cake] - Cashloan</v>
      </c>
      <c r="H8484" s="128" t="str">
        <f>VLOOKUP(source[[#This Row],[lending_product_transform]],[3]Mapping!$B$3:$D$37,3,0)</f>
        <v>cashloan</v>
      </c>
      <c r="I8484" s="173">
        <v>0</v>
      </c>
    </row>
    <row r="8485" spans="1:9" x14ac:dyDescent="0.2">
      <c r="A8485" s="134">
        <v>45885</v>
      </c>
      <c r="B8485" s="135">
        <f>YEAR(source[[#This Row],[report_date]])</f>
        <v>2025</v>
      </c>
      <c r="C8485" s="128">
        <f t="shared" si="394"/>
        <v>8</v>
      </c>
      <c r="D8485" s="136">
        <f t="shared" si="396"/>
        <v>33</v>
      </c>
      <c r="E8485" s="136">
        <f t="shared" si="395"/>
        <v>16</v>
      </c>
      <c r="F8485" s="128" t="s">
        <v>24</v>
      </c>
      <c r="G8485" s="128" t="str">
        <f>VLOOKUP(source[[#This Row],[lending_product_transform]],[3]Mapping!$B$4:$C$37,2,0)</f>
        <v>[Cake] - Cashloan</v>
      </c>
      <c r="H8485" s="128" t="str">
        <f>VLOOKUP(source[[#This Row],[lending_product_transform]],[3]Mapping!$B$3:$D$37,3,0)</f>
        <v>cashloan</v>
      </c>
      <c r="I8485" s="173">
        <v>238037014</v>
      </c>
    </row>
    <row r="8486" spans="1:9" x14ac:dyDescent="0.2">
      <c r="A8486" s="134">
        <v>45885</v>
      </c>
      <c r="B8486" s="135">
        <f>YEAR(source[[#This Row],[report_date]])</f>
        <v>2025</v>
      </c>
      <c r="C8486" s="128">
        <f t="shared" si="394"/>
        <v>8</v>
      </c>
      <c r="D8486" s="136">
        <f t="shared" si="396"/>
        <v>33</v>
      </c>
      <c r="E8486" s="136">
        <f t="shared" si="395"/>
        <v>16</v>
      </c>
      <c r="F8486" s="128" t="s">
        <v>24</v>
      </c>
      <c r="G8486" s="128" t="str">
        <f>VLOOKUP(source[[#This Row],[lending_product_transform]],[3]Mapping!$B$4:$C$37,2,0)</f>
        <v>[Cake] - Cashloan</v>
      </c>
      <c r="H8486" s="128" t="str">
        <f>VLOOKUP(source[[#This Row],[lending_product_transform]],[3]Mapping!$B$3:$D$37,3,0)</f>
        <v>cashloan</v>
      </c>
      <c r="I8486" s="173">
        <v>15750000</v>
      </c>
    </row>
    <row r="8487" spans="1:9" x14ac:dyDescent="0.2">
      <c r="A8487" s="134">
        <v>45885</v>
      </c>
      <c r="B8487" s="135">
        <f>YEAR(source[[#This Row],[report_date]])</f>
        <v>2025</v>
      </c>
      <c r="C8487" s="128">
        <f t="shared" si="394"/>
        <v>8</v>
      </c>
      <c r="D8487" s="136">
        <f t="shared" si="396"/>
        <v>33</v>
      </c>
      <c r="E8487" s="136">
        <f t="shared" si="395"/>
        <v>16</v>
      </c>
      <c r="F8487" s="128" t="s">
        <v>24</v>
      </c>
      <c r="G8487" s="128" t="str">
        <f>VLOOKUP(source[[#This Row],[lending_product_transform]],[3]Mapping!$B$4:$C$37,2,0)</f>
        <v>[Cake] - Cashloan</v>
      </c>
      <c r="H8487" s="128" t="str">
        <f>VLOOKUP(source[[#This Row],[lending_product_transform]],[3]Mapping!$B$3:$D$37,3,0)</f>
        <v>cashloan</v>
      </c>
      <c r="I8487" s="173">
        <v>10000000</v>
      </c>
    </row>
    <row r="8488" spans="1:9" x14ac:dyDescent="0.2">
      <c r="A8488" s="134">
        <v>45885</v>
      </c>
      <c r="B8488" s="135">
        <f>YEAR(source[[#This Row],[report_date]])</f>
        <v>2025</v>
      </c>
      <c r="C8488" s="128">
        <f t="shared" si="394"/>
        <v>8</v>
      </c>
      <c r="D8488" s="136">
        <f t="shared" si="396"/>
        <v>33</v>
      </c>
      <c r="E8488" s="136">
        <f t="shared" si="395"/>
        <v>16</v>
      </c>
      <c r="F8488" s="128" t="s">
        <v>24</v>
      </c>
      <c r="G8488" s="128" t="str">
        <f>VLOOKUP(source[[#This Row],[lending_product_transform]],[3]Mapping!$B$4:$C$37,2,0)</f>
        <v>[Cake] - Cashloan</v>
      </c>
      <c r="H8488" s="128" t="str">
        <f>VLOOKUP(source[[#This Row],[lending_product_transform]],[3]Mapping!$B$3:$D$37,3,0)</f>
        <v>cashloan</v>
      </c>
      <c r="I8488" s="173">
        <v>2080030000</v>
      </c>
    </row>
    <row r="8489" spans="1:9" x14ac:dyDescent="0.2">
      <c r="A8489" s="134">
        <v>45885</v>
      </c>
      <c r="B8489" s="135">
        <f>YEAR(source[[#This Row],[report_date]])</f>
        <v>2025</v>
      </c>
      <c r="C8489" s="128">
        <f t="shared" si="394"/>
        <v>8</v>
      </c>
      <c r="D8489" s="136">
        <f t="shared" si="396"/>
        <v>33</v>
      </c>
      <c r="E8489" s="136">
        <f t="shared" si="395"/>
        <v>16</v>
      </c>
      <c r="F8489" s="128" t="s">
        <v>24</v>
      </c>
      <c r="G8489" s="128" t="str">
        <f>VLOOKUP(source[[#This Row],[lending_product_transform]],[3]Mapping!$B$4:$C$37,2,0)</f>
        <v>[Cake] - Cashloan</v>
      </c>
      <c r="H8489" s="128" t="str">
        <f>VLOOKUP(source[[#This Row],[lending_product_transform]],[3]Mapping!$B$3:$D$37,3,0)</f>
        <v>cashloan</v>
      </c>
      <c r="I8489" s="173">
        <v>21245998</v>
      </c>
    </row>
    <row r="8490" spans="1:9" x14ac:dyDescent="0.2">
      <c r="A8490" s="134">
        <v>45885</v>
      </c>
      <c r="B8490" s="135">
        <f>YEAR(source[[#This Row],[report_date]])</f>
        <v>2025</v>
      </c>
      <c r="C8490" s="128">
        <f t="shared" si="394"/>
        <v>8</v>
      </c>
      <c r="D8490" s="136">
        <f t="shared" si="396"/>
        <v>33</v>
      </c>
      <c r="E8490" s="136">
        <f t="shared" si="395"/>
        <v>16</v>
      </c>
      <c r="F8490" s="128" t="s">
        <v>24</v>
      </c>
      <c r="G8490" s="128" t="str">
        <f>VLOOKUP(source[[#This Row],[lending_product_transform]],[3]Mapping!$B$4:$C$37,2,0)</f>
        <v>[Cake] - Cashloan</v>
      </c>
      <c r="H8490" s="128" t="str">
        <f>VLOOKUP(source[[#This Row],[lending_product_transform]],[3]Mapping!$B$3:$D$37,3,0)</f>
        <v>cashloan</v>
      </c>
      <c r="I8490" s="173">
        <v>29000000</v>
      </c>
    </row>
    <row r="8491" spans="1:9" x14ac:dyDescent="0.2">
      <c r="A8491" s="134">
        <v>45885</v>
      </c>
      <c r="B8491" s="135">
        <f>YEAR(source[[#This Row],[report_date]])</f>
        <v>2025</v>
      </c>
      <c r="C8491" s="128">
        <f t="shared" si="394"/>
        <v>8</v>
      </c>
      <c r="D8491" s="136">
        <f t="shared" si="396"/>
        <v>33</v>
      </c>
      <c r="E8491" s="136">
        <f t="shared" si="395"/>
        <v>16</v>
      </c>
      <c r="F8491" s="128" t="s">
        <v>24</v>
      </c>
      <c r="G8491" s="128" t="str">
        <f>VLOOKUP(source[[#This Row],[lending_product_transform]],[3]Mapping!$B$4:$C$37,2,0)</f>
        <v>[Cake] - Cashloan</v>
      </c>
      <c r="H8491" s="128" t="str">
        <f>VLOOKUP(source[[#This Row],[lending_product_transform]],[3]Mapping!$B$3:$D$37,3,0)</f>
        <v>cashloan</v>
      </c>
      <c r="I8491" s="173">
        <v>0</v>
      </c>
    </row>
    <row r="8492" spans="1:9" x14ac:dyDescent="0.2">
      <c r="A8492" s="134">
        <v>45885</v>
      </c>
      <c r="B8492" s="135">
        <f>YEAR(source[[#This Row],[report_date]])</f>
        <v>2025</v>
      </c>
      <c r="C8492" s="128">
        <f t="shared" si="394"/>
        <v>8</v>
      </c>
      <c r="D8492" s="136">
        <f t="shared" si="396"/>
        <v>33</v>
      </c>
      <c r="E8492" s="136">
        <f t="shared" si="395"/>
        <v>16</v>
      </c>
      <c r="F8492" s="128" t="s">
        <v>24</v>
      </c>
      <c r="G8492" s="128" t="str">
        <f>VLOOKUP(source[[#This Row],[lending_product_transform]],[3]Mapping!$B$4:$C$37,2,0)</f>
        <v>[Cake] - Cashloan</v>
      </c>
      <c r="H8492" s="128" t="str">
        <f>VLOOKUP(source[[#This Row],[lending_product_transform]],[3]Mapping!$B$3:$D$37,3,0)</f>
        <v>cashloan</v>
      </c>
      <c r="I8492" s="173">
        <v>6818796000</v>
      </c>
    </row>
    <row r="8493" spans="1:9" x14ac:dyDescent="0.2">
      <c r="A8493" s="134">
        <v>45885</v>
      </c>
      <c r="B8493" s="135">
        <f>YEAR(source[[#This Row],[report_date]])</f>
        <v>2025</v>
      </c>
      <c r="C8493" s="128">
        <f t="shared" si="394"/>
        <v>8</v>
      </c>
      <c r="D8493" s="136">
        <f t="shared" si="396"/>
        <v>33</v>
      </c>
      <c r="E8493" s="136">
        <f t="shared" si="395"/>
        <v>16</v>
      </c>
      <c r="F8493" s="128" t="s">
        <v>24</v>
      </c>
      <c r="G8493" s="128" t="str">
        <f>VLOOKUP(source[[#This Row],[lending_product_transform]],[3]Mapping!$B$4:$C$37,2,0)</f>
        <v>[Cake] - Cashloan</v>
      </c>
      <c r="H8493" s="128" t="str">
        <f>VLOOKUP(source[[#This Row],[lending_product_transform]],[3]Mapping!$B$3:$D$37,3,0)</f>
        <v>cashloan</v>
      </c>
      <c r="I8493" s="173">
        <v>296011000</v>
      </c>
    </row>
    <row r="8494" spans="1:9" x14ac:dyDescent="0.2">
      <c r="A8494" s="134">
        <v>45885</v>
      </c>
      <c r="B8494" s="135">
        <f>YEAR(source[[#This Row],[report_date]])</f>
        <v>2025</v>
      </c>
      <c r="C8494" s="128">
        <f t="shared" si="394"/>
        <v>8</v>
      </c>
      <c r="D8494" s="136">
        <f t="shared" si="396"/>
        <v>33</v>
      </c>
      <c r="E8494" s="136">
        <f t="shared" si="395"/>
        <v>16</v>
      </c>
      <c r="F8494" s="128" t="s">
        <v>24</v>
      </c>
      <c r="G8494" s="128" t="str">
        <f>VLOOKUP(source[[#This Row],[lending_product_transform]],[3]Mapping!$B$4:$C$37,2,0)</f>
        <v>[Cake] - Cashloan</v>
      </c>
      <c r="H8494" s="128" t="str">
        <f>VLOOKUP(source[[#This Row],[lending_product_transform]],[3]Mapping!$B$3:$D$37,3,0)</f>
        <v>cashloan</v>
      </c>
      <c r="I8494" s="173">
        <v>224377487</v>
      </c>
    </row>
    <row r="8495" spans="1:9" x14ac:dyDescent="0.2">
      <c r="A8495" s="134">
        <v>45885</v>
      </c>
      <c r="B8495" s="135">
        <f>YEAR(source[[#This Row],[report_date]])</f>
        <v>2025</v>
      </c>
      <c r="C8495" s="128">
        <f t="shared" si="394"/>
        <v>8</v>
      </c>
      <c r="D8495" s="136">
        <f t="shared" si="396"/>
        <v>33</v>
      </c>
      <c r="E8495" s="136">
        <f t="shared" si="395"/>
        <v>16</v>
      </c>
      <c r="F8495" s="128" t="s">
        <v>24</v>
      </c>
      <c r="G8495" s="128" t="str">
        <f>VLOOKUP(source[[#This Row],[lending_product_transform]],[3]Mapping!$B$4:$C$37,2,0)</f>
        <v>[Cake] - Cashloan</v>
      </c>
      <c r="H8495" s="128" t="str">
        <f>VLOOKUP(source[[#This Row],[lending_product_transform]],[3]Mapping!$B$3:$D$37,3,0)</f>
        <v>cashloan</v>
      </c>
      <c r="I8495" s="173">
        <v>9889100000</v>
      </c>
    </row>
    <row r="8496" spans="1:9" x14ac:dyDescent="0.2">
      <c r="A8496" s="134">
        <v>45885</v>
      </c>
      <c r="B8496" s="135">
        <f>YEAR(source[[#This Row],[report_date]])</f>
        <v>2025</v>
      </c>
      <c r="C8496" s="128">
        <f t="shared" si="394"/>
        <v>8</v>
      </c>
      <c r="D8496" s="136">
        <f t="shared" si="396"/>
        <v>33</v>
      </c>
      <c r="E8496" s="136">
        <f t="shared" si="395"/>
        <v>16</v>
      </c>
      <c r="F8496" s="128" t="s">
        <v>24</v>
      </c>
      <c r="G8496" s="128" t="str">
        <f>VLOOKUP(source[[#This Row],[lending_product_transform]],[3]Mapping!$B$4:$C$37,2,0)</f>
        <v>[Cake] - Cashloan</v>
      </c>
      <c r="H8496" s="128" t="str">
        <f>VLOOKUP(source[[#This Row],[lending_product_transform]],[3]Mapping!$B$3:$D$37,3,0)</f>
        <v>cashloan</v>
      </c>
      <c r="I8496" s="173">
        <v>254057408</v>
      </c>
    </row>
    <row r="8497" spans="1:9" x14ac:dyDescent="0.2">
      <c r="A8497" s="134">
        <v>45885</v>
      </c>
      <c r="B8497" s="135">
        <f>YEAR(source[[#This Row],[report_date]])</f>
        <v>2025</v>
      </c>
      <c r="C8497" s="128">
        <f t="shared" si="394"/>
        <v>8</v>
      </c>
      <c r="D8497" s="136">
        <f t="shared" si="396"/>
        <v>33</v>
      </c>
      <c r="E8497" s="136">
        <f t="shared" si="395"/>
        <v>16</v>
      </c>
      <c r="F8497" s="128" t="s">
        <v>24</v>
      </c>
      <c r="G8497" s="128" t="str">
        <f>VLOOKUP(source[[#This Row],[lending_product_transform]],[3]Mapping!$B$4:$C$37,2,0)</f>
        <v>[Cake] - Cashloan</v>
      </c>
      <c r="H8497" s="128" t="str">
        <f>VLOOKUP(source[[#This Row],[lending_product_transform]],[3]Mapping!$B$3:$D$37,3,0)</f>
        <v>cashloan</v>
      </c>
      <c r="I8497" s="173">
        <v>4059270000</v>
      </c>
    </row>
    <row r="8498" spans="1:9" x14ac:dyDescent="0.2">
      <c r="A8498" s="134">
        <v>45886</v>
      </c>
      <c r="B8498" s="135">
        <f>YEAR(source[[#This Row],[report_date]])</f>
        <v>2025</v>
      </c>
      <c r="C8498" s="128">
        <f t="shared" si="394"/>
        <v>8</v>
      </c>
      <c r="D8498" s="136">
        <f t="shared" si="396"/>
        <v>33</v>
      </c>
      <c r="E8498" s="136">
        <f t="shared" si="395"/>
        <v>17</v>
      </c>
      <c r="F8498" s="128" t="s">
        <v>24</v>
      </c>
      <c r="G8498" s="128" t="str">
        <f>VLOOKUP(source[[#This Row],[lending_product_transform]],[3]Mapping!$B$4:$C$37,2,0)</f>
        <v>[Cake] - Cashloan</v>
      </c>
      <c r="H8498" s="128" t="str">
        <f>VLOOKUP(source[[#This Row],[lending_product_transform]],[3]Mapping!$B$3:$D$37,3,0)</f>
        <v>cashloan</v>
      </c>
      <c r="I8498" s="173">
        <v>13000000</v>
      </c>
    </row>
    <row r="8499" spans="1:9" x14ac:dyDescent="0.2">
      <c r="A8499" s="134">
        <v>45886</v>
      </c>
      <c r="B8499" s="135">
        <f>YEAR(source[[#This Row],[report_date]])</f>
        <v>2025</v>
      </c>
      <c r="C8499" s="128">
        <f t="shared" si="394"/>
        <v>8</v>
      </c>
      <c r="D8499" s="136">
        <f t="shared" si="396"/>
        <v>33</v>
      </c>
      <c r="E8499" s="136">
        <f t="shared" si="395"/>
        <v>17</v>
      </c>
      <c r="F8499" s="128" t="s">
        <v>24</v>
      </c>
      <c r="G8499" s="128" t="str">
        <f>VLOOKUP(source[[#This Row],[lending_product_transform]],[3]Mapping!$B$4:$C$37,2,0)</f>
        <v>[Cake] - Cashloan</v>
      </c>
      <c r="H8499" s="128" t="str">
        <f>VLOOKUP(source[[#This Row],[lending_product_transform]],[3]Mapping!$B$3:$D$37,3,0)</f>
        <v>cashloan</v>
      </c>
      <c r="I8499" s="173">
        <v>350338000</v>
      </c>
    </row>
    <row r="8500" spans="1:9" x14ac:dyDescent="0.2">
      <c r="A8500" s="134">
        <v>45886</v>
      </c>
      <c r="B8500" s="135">
        <f>YEAR(source[[#This Row],[report_date]])</f>
        <v>2025</v>
      </c>
      <c r="C8500" s="128">
        <f t="shared" si="394"/>
        <v>8</v>
      </c>
      <c r="D8500" s="136">
        <f t="shared" si="396"/>
        <v>33</v>
      </c>
      <c r="E8500" s="136">
        <f t="shared" si="395"/>
        <v>17</v>
      </c>
      <c r="F8500" s="128" t="s">
        <v>24</v>
      </c>
      <c r="G8500" s="128" t="str">
        <f>VLOOKUP(source[[#This Row],[lending_product_transform]],[3]Mapping!$B$4:$C$37,2,0)</f>
        <v>[Cake] - Cashloan</v>
      </c>
      <c r="H8500" s="128" t="str">
        <f>VLOOKUP(source[[#This Row],[lending_product_transform]],[3]Mapping!$B$3:$D$37,3,0)</f>
        <v>cashloan</v>
      </c>
      <c r="I8500" s="173">
        <v>226872076</v>
      </c>
    </row>
    <row r="8501" spans="1:9" x14ac:dyDescent="0.2">
      <c r="A8501" s="134">
        <v>45886</v>
      </c>
      <c r="B8501" s="135">
        <f>YEAR(source[[#This Row],[report_date]])</f>
        <v>2025</v>
      </c>
      <c r="C8501" s="128">
        <f t="shared" si="394"/>
        <v>8</v>
      </c>
      <c r="D8501" s="136">
        <f t="shared" si="396"/>
        <v>33</v>
      </c>
      <c r="E8501" s="136">
        <f t="shared" si="395"/>
        <v>17</v>
      </c>
      <c r="F8501" s="128" t="s">
        <v>24</v>
      </c>
      <c r="G8501" s="128" t="str">
        <f>VLOOKUP(source[[#This Row],[lending_product_transform]],[3]Mapping!$B$4:$C$37,2,0)</f>
        <v>[Cake] - Cashloan</v>
      </c>
      <c r="H8501" s="128" t="str">
        <f>VLOOKUP(source[[#This Row],[lending_product_transform]],[3]Mapping!$B$3:$D$37,3,0)</f>
        <v>cashloan</v>
      </c>
      <c r="I8501" s="173">
        <v>360230000</v>
      </c>
    </row>
    <row r="8502" spans="1:9" x14ac:dyDescent="0.2">
      <c r="A8502" s="134">
        <v>45886</v>
      </c>
      <c r="B8502" s="135">
        <f>YEAR(source[[#This Row],[report_date]])</f>
        <v>2025</v>
      </c>
      <c r="C8502" s="128">
        <f t="shared" ref="C8502:C8565" si="397">MONTH(A8502)</f>
        <v>8</v>
      </c>
      <c r="D8502" s="136">
        <f t="shared" si="396"/>
        <v>33</v>
      </c>
      <c r="E8502" s="136">
        <f t="shared" ref="E8502:E8565" si="398">DAY(A8502)</f>
        <v>17</v>
      </c>
      <c r="F8502" s="128" t="s">
        <v>24</v>
      </c>
      <c r="G8502" s="128" t="str">
        <f>VLOOKUP(source[[#This Row],[lending_product_transform]],[3]Mapping!$B$4:$C$37,2,0)</f>
        <v>[Cake] - Cashloan</v>
      </c>
      <c r="H8502" s="128" t="str">
        <f>VLOOKUP(source[[#This Row],[lending_product_transform]],[3]Mapping!$B$3:$D$37,3,0)</f>
        <v>cashloan</v>
      </c>
      <c r="I8502" s="173">
        <v>4216280000</v>
      </c>
    </row>
    <row r="8503" spans="1:9" x14ac:dyDescent="0.2">
      <c r="A8503" s="134">
        <v>45886</v>
      </c>
      <c r="B8503" s="135">
        <f>YEAR(source[[#This Row],[report_date]])</f>
        <v>2025</v>
      </c>
      <c r="C8503" s="128">
        <f t="shared" si="397"/>
        <v>8</v>
      </c>
      <c r="D8503" s="136">
        <f t="shared" si="396"/>
        <v>33</v>
      </c>
      <c r="E8503" s="136">
        <f t="shared" si="398"/>
        <v>17</v>
      </c>
      <c r="F8503" s="128" t="s">
        <v>24</v>
      </c>
      <c r="G8503" s="128" t="str">
        <f>VLOOKUP(source[[#This Row],[lending_product_transform]],[3]Mapping!$B$4:$C$37,2,0)</f>
        <v>[Cake] - Cashloan</v>
      </c>
      <c r="H8503" s="128" t="str">
        <f>VLOOKUP(source[[#This Row],[lending_product_transform]],[3]Mapping!$B$3:$D$37,3,0)</f>
        <v>cashloan</v>
      </c>
      <c r="I8503" s="173">
        <v>15750000</v>
      </c>
    </row>
    <row r="8504" spans="1:9" x14ac:dyDescent="0.2">
      <c r="A8504" s="134">
        <v>45886</v>
      </c>
      <c r="B8504" s="135">
        <f>YEAR(source[[#This Row],[report_date]])</f>
        <v>2025</v>
      </c>
      <c r="C8504" s="128">
        <f t="shared" si="397"/>
        <v>8</v>
      </c>
      <c r="D8504" s="136">
        <f t="shared" si="396"/>
        <v>33</v>
      </c>
      <c r="E8504" s="136">
        <f t="shared" si="398"/>
        <v>17</v>
      </c>
      <c r="F8504" s="128" t="s">
        <v>24</v>
      </c>
      <c r="G8504" s="128" t="str">
        <f>VLOOKUP(source[[#This Row],[lending_product_transform]],[3]Mapping!$B$4:$C$37,2,0)</f>
        <v>[Cake] - Cashloan</v>
      </c>
      <c r="H8504" s="128" t="str">
        <f>VLOOKUP(source[[#This Row],[lending_product_transform]],[3]Mapping!$B$3:$D$37,3,0)</f>
        <v>cashloan</v>
      </c>
      <c r="I8504" s="173">
        <v>8714390000</v>
      </c>
    </row>
    <row r="8505" spans="1:9" x14ac:dyDescent="0.2">
      <c r="A8505" s="134">
        <v>45886</v>
      </c>
      <c r="B8505" s="135">
        <f>YEAR(source[[#This Row],[report_date]])</f>
        <v>2025</v>
      </c>
      <c r="C8505" s="128">
        <f t="shared" si="397"/>
        <v>8</v>
      </c>
      <c r="D8505" s="136">
        <f t="shared" si="396"/>
        <v>33</v>
      </c>
      <c r="E8505" s="136">
        <f t="shared" si="398"/>
        <v>17</v>
      </c>
      <c r="F8505" s="128" t="s">
        <v>24</v>
      </c>
      <c r="G8505" s="128" t="str">
        <f>VLOOKUP(source[[#This Row],[lending_product_transform]],[3]Mapping!$B$4:$C$37,2,0)</f>
        <v>[Cake] - Cashloan</v>
      </c>
      <c r="H8505" s="128" t="str">
        <f>VLOOKUP(source[[#This Row],[lending_product_transform]],[3]Mapping!$B$3:$D$37,3,0)</f>
        <v>cashloan</v>
      </c>
      <c r="I8505" s="173">
        <v>6000480000</v>
      </c>
    </row>
    <row r="8506" spans="1:9" x14ac:dyDescent="0.2">
      <c r="A8506" s="134">
        <v>45886</v>
      </c>
      <c r="B8506" s="135">
        <f>YEAR(source[[#This Row],[report_date]])</f>
        <v>2025</v>
      </c>
      <c r="C8506" s="128">
        <f t="shared" si="397"/>
        <v>8</v>
      </c>
      <c r="D8506" s="136">
        <f t="shared" si="396"/>
        <v>33</v>
      </c>
      <c r="E8506" s="136">
        <f t="shared" si="398"/>
        <v>17</v>
      </c>
      <c r="F8506" s="128" t="s">
        <v>24</v>
      </c>
      <c r="G8506" s="128" t="str">
        <f>VLOOKUP(source[[#This Row],[lending_product_transform]],[3]Mapping!$B$4:$C$37,2,0)</f>
        <v>[Cake] - Cashloan</v>
      </c>
      <c r="H8506" s="128" t="str">
        <f>VLOOKUP(source[[#This Row],[lending_product_transform]],[3]Mapping!$B$3:$D$37,3,0)</f>
        <v>cashloan</v>
      </c>
      <c r="I8506" s="173">
        <v>183992084</v>
      </c>
    </row>
    <row r="8507" spans="1:9" x14ac:dyDescent="0.2">
      <c r="A8507" s="134">
        <v>45886</v>
      </c>
      <c r="B8507" s="135">
        <f>YEAR(source[[#This Row],[report_date]])</f>
        <v>2025</v>
      </c>
      <c r="C8507" s="128">
        <f t="shared" si="397"/>
        <v>8</v>
      </c>
      <c r="D8507" s="136">
        <f t="shared" si="396"/>
        <v>33</v>
      </c>
      <c r="E8507" s="136">
        <f t="shared" si="398"/>
        <v>17</v>
      </c>
      <c r="F8507" s="128" t="s">
        <v>24</v>
      </c>
      <c r="G8507" s="128" t="str">
        <f>VLOOKUP(source[[#This Row],[lending_product_transform]],[3]Mapping!$B$4:$C$37,2,0)</f>
        <v>[Cake] - Cashloan</v>
      </c>
      <c r="H8507" s="128" t="str">
        <f>VLOOKUP(source[[#This Row],[lending_product_transform]],[3]Mapping!$B$3:$D$37,3,0)</f>
        <v>cashloan</v>
      </c>
      <c r="I8507" s="173">
        <v>2318680000</v>
      </c>
    </row>
    <row r="8508" spans="1:9" x14ac:dyDescent="0.2">
      <c r="A8508" s="134">
        <v>45886</v>
      </c>
      <c r="B8508" s="135">
        <f>YEAR(source[[#This Row],[report_date]])</f>
        <v>2025</v>
      </c>
      <c r="C8508" s="128">
        <f t="shared" si="397"/>
        <v>8</v>
      </c>
      <c r="D8508" s="136">
        <f t="shared" si="396"/>
        <v>33</v>
      </c>
      <c r="E8508" s="136">
        <f t="shared" si="398"/>
        <v>17</v>
      </c>
      <c r="F8508" s="128" t="s">
        <v>24</v>
      </c>
      <c r="G8508" s="128" t="str">
        <f>VLOOKUP(source[[#This Row],[lending_product_transform]],[3]Mapping!$B$4:$C$37,2,0)</f>
        <v>[Cake] - Cashloan</v>
      </c>
      <c r="H8508" s="128" t="str">
        <f>VLOOKUP(source[[#This Row],[lending_product_transform]],[3]Mapping!$B$3:$D$37,3,0)</f>
        <v>cashloan</v>
      </c>
      <c r="I8508" s="173">
        <v>3093660000</v>
      </c>
    </row>
    <row r="8509" spans="1:9" x14ac:dyDescent="0.2">
      <c r="A8509" s="134">
        <v>45886</v>
      </c>
      <c r="B8509" s="135">
        <f>YEAR(source[[#This Row],[report_date]])</f>
        <v>2025</v>
      </c>
      <c r="C8509" s="128">
        <f t="shared" si="397"/>
        <v>8</v>
      </c>
      <c r="D8509" s="136">
        <f t="shared" si="396"/>
        <v>33</v>
      </c>
      <c r="E8509" s="136">
        <f t="shared" si="398"/>
        <v>17</v>
      </c>
      <c r="F8509" s="128" t="s">
        <v>24</v>
      </c>
      <c r="G8509" s="128" t="str">
        <f>VLOOKUP(source[[#This Row],[lending_product_transform]],[3]Mapping!$B$4:$C$37,2,0)</f>
        <v>[Cake] - Cashloan</v>
      </c>
      <c r="H8509" s="128" t="str">
        <f>VLOOKUP(source[[#This Row],[lending_product_transform]],[3]Mapping!$B$3:$D$37,3,0)</f>
        <v>cashloan</v>
      </c>
      <c r="I8509" s="173">
        <v>10609290000</v>
      </c>
    </row>
    <row r="8510" spans="1:9" x14ac:dyDescent="0.2">
      <c r="A8510" s="134">
        <v>45886</v>
      </c>
      <c r="B8510" s="135">
        <f>YEAR(source[[#This Row],[report_date]])</f>
        <v>2025</v>
      </c>
      <c r="C8510" s="128">
        <f t="shared" si="397"/>
        <v>8</v>
      </c>
      <c r="D8510" s="136">
        <f t="shared" si="396"/>
        <v>33</v>
      </c>
      <c r="E8510" s="136">
        <f t="shared" si="398"/>
        <v>17</v>
      </c>
      <c r="F8510" s="128" t="s">
        <v>24</v>
      </c>
      <c r="G8510" s="128" t="str">
        <f>VLOOKUP(source[[#This Row],[lending_product_transform]],[3]Mapping!$B$4:$C$37,2,0)</f>
        <v>[Cake] - Cashloan</v>
      </c>
      <c r="H8510" s="128" t="str">
        <f>VLOOKUP(source[[#This Row],[lending_product_transform]],[3]Mapping!$B$3:$D$37,3,0)</f>
        <v>cashloan</v>
      </c>
      <c r="I8510" s="173">
        <v>0</v>
      </c>
    </row>
    <row r="8511" spans="1:9" x14ac:dyDescent="0.2">
      <c r="A8511" s="134">
        <v>45886</v>
      </c>
      <c r="B8511" s="135">
        <f>YEAR(source[[#This Row],[report_date]])</f>
        <v>2025</v>
      </c>
      <c r="C8511" s="128">
        <f t="shared" si="397"/>
        <v>8</v>
      </c>
      <c r="D8511" s="136">
        <f t="shared" si="396"/>
        <v>33</v>
      </c>
      <c r="E8511" s="136">
        <f t="shared" si="398"/>
        <v>17</v>
      </c>
      <c r="F8511" s="128" t="s">
        <v>24</v>
      </c>
      <c r="G8511" s="128" t="str">
        <f>VLOOKUP(source[[#This Row],[lending_product_transform]],[3]Mapping!$B$4:$C$37,2,0)</f>
        <v>[Cake] - Cashloan</v>
      </c>
      <c r="H8511" s="128" t="str">
        <f>VLOOKUP(source[[#This Row],[lending_product_transform]],[3]Mapping!$B$3:$D$37,3,0)</f>
        <v>cashloan</v>
      </c>
      <c r="I8511" s="173">
        <v>2060072760</v>
      </c>
    </row>
    <row r="8512" spans="1:9" x14ac:dyDescent="0.2">
      <c r="A8512" s="134">
        <v>45886</v>
      </c>
      <c r="B8512" s="135">
        <f>YEAR(source[[#This Row],[report_date]])</f>
        <v>2025</v>
      </c>
      <c r="C8512" s="128">
        <f t="shared" si="397"/>
        <v>8</v>
      </c>
      <c r="D8512" s="136">
        <f t="shared" si="396"/>
        <v>33</v>
      </c>
      <c r="E8512" s="136">
        <f t="shared" si="398"/>
        <v>17</v>
      </c>
      <c r="F8512" s="128" t="s">
        <v>24</v>
      </c>
      <c r="G8512" s="128" t="str">
        <f>VLOOKUP(source[[#This Row],[lending_product_transform]],[3]Mapping!$B$4:$C$37,2,0)</f>
        <v>[Cake] - Cashloan</v>
      </c>
      <c r="H8512" s="128" t="str">
        <f>VLOOKUP(source[[#This Row],[lending_product_transform]],[3]Mapping!$B$3:$D$37,3,0)</f>
        <v>cashloan</v>
      </c>
      <c r="I8512" s="173">
        <v>277808910</v>
      </c>
    </row>
    <row r="8513" spans="1:9" x14ac:dyDescent="0.2">
      <c r="A8513" s="134">
        <v>45886</v>
      </c>
      <c r="B8513" s="135">
        <f>YEAR(source[[#This Row],[report_date]])</f>
        <v>2025</v>
      </c>
      <c r="C8513" s="128">
        <f t="shared" si="397"/>
        <v>8</v>
      </c>
      <c r="D8513" s="136">
        <f t="shared" si="396"/>
        <v>33</v>
      </c>
      <c r="E8513" s="136">
        <f t="shared" si="398"/>
        <v>17</v>
      </c>
      <c r="F8513" s="128" t="s">
        <v>24</v>
      </c>
      <c r="G8513" s="128" t="str">
        <f>VLOOKUP(source[[#This Row],[lending_product_transform]],[3]Mapping!$B$4:$C$37,2,0)</f>
        <v>[Cake] - Cashloan</v>
      </c>
      <c r="H8513" s="128" t="str">
        <f>VLOOKUP(source[[#This Row],[lending_product_transform]],[3]Mapping!$B$3:$D$37,3,0)</f>
        <v>cashloan</v>
      </c>
      <c r="I8513" s="173">
        <v>0</v>
      </c>
    </row>
    <row r="8514" spans="1:9" x14ac:dyDescent="0.2">
      <c r="A8514" s="134">
        <v>45886</v>
      </c>
      <c r="B8514" s="135">
        <f>YEAR(source[[#This Row],[report_date]])</f>
        <v>2025</v>
      </c>
      <c r="C8514" s="128">
        <f t="shared" si="397"/>
        <v>8</v>
      </c>
      <c r="D8514" s="136">
        <f t="shared" si="396"/>
        <v>33</v>
      </c>
      <c r="E8514" s="136">
        <f t="shared" si="398"/>
        <v>17</v>
      </c>
      <c r="F8514" s="128" t="s">
        <v>24</v>
      </c>
      <c r="G8514" s="128" t="str">
        <f>VLOOKUP(source[[#This Row],[lending_product_transform]],[3]Mapping!$B$4:$C$37,2,0)</f>
        <v>[Cake] - Cashloan</v>
      </c>
      <c r="H8514" s="128" t="str">
        <f>VLOOKUP(source[[#This Row],[lending_product_transform]],[3]Mapping!$B$3:$D$37,3,0)</f>
        <v>cashloan</v>
      </c>
      <c r="I8514" s="173">
        <v>0</v>
      </c>
    </row>
    <row r="8515" spans="1:9" x14ac:dyDescent="0.2">
      <c r="A8515" s="134">
        <v>45886</v>
      </c>
      <c r="B8515" s="135">
        <f>YEAR(source[[#This Row],[report_date]])</f>
        <v>2025</v>
      </c>
      <c r="C8515" s="128">
        <f t="shared" si="397"/>
        <v>8</v>
      </c>
      <c r="D8515" s="136">
        <f t="shared" ref="D8515:D8578" si="399">WEEKNUM(A8515,2)</f>
        <v>33</v>
      </c>
      <c r="E8515" s="136">
        <f t="shared" si="398"/>
        <v>17</v>
      </c>
      <c r="F8515" s="128" t="s">
        <v>24</v>
      </c>
      <c r="G8515" s="128" t="str">
        <f>VLOOKUP(source[[#This Row],[lending_product_transform]],[3]Mapping!$B$4:$C$37,2,0)</f>
        <v>[Cake] - Cashloan</v>
      </c>
      <c r="H8515" s="128" t="str">
        <f>VLOOKUP(source[[#This Row],[lending_product_transform]],[3]Mapping!$B$3:$D$37,3,0)</f>
        <v>cashloan</v>
      </c>
      <c r="I8515" s="173">
        <v>3770752</v>
      </c>
    </row>
    <row r="8516" spans="1:9" x14ac:dyDescent="0.2">
      <c r="A8516" s="134">
        <v>45887</v>
      </c>
      <c r="B8516" s="135">
        <f>YEAR(source[[#This Row],[report_date]])</f>
        <v>2025</v>
      </c>
      <c r="C8516" s="128">
        <f t="shared" si="397"/>
        <v>8</v>
      </c>
      <c r="D8516" s="136">
        <f t="shared" si="399"/>
        <v>34</v>
      </c>
      <c r="E8516" s="136">
        <f t="shared" si="398"/>
        <v>18</v>
      </c>
      <c r="F8516" s="128" t="s">
        <v>24</v>
      </c>
      <c r="G8516" s="128" t="str">
        <f>VLOOKUP(source[[#This Row],[lending_product_transform]],[3]Mapping!$B$4:$C$37,2,0)</f>
        <v>[Cake] - Cashloan</v>
      </c>
      <c r="H8516" s="128" t="str">
        <f>VLOOKUP(source[[#This Row],[lending_product_transform]],[3]Mapping!$B$3:$D$37,3,0)</f>
        <v>cashloan</v>
      </c>
      <c r="I8516" s="173">
        <v>469340000</v>
      </c>
    </row>
    <row r="8517" spans="1:9" x14ac:dyDescent="0.2">
      <c r="A8517" s="134">
        <v>45887</v>
      </c>
      <c r="B8517" s="135">
        <f>YEAR(source[[#This Row],[report_date]])</f>
        <v>2025</v>
      </c>
      <c r="C8517" s="128">
        <f t="shared" si="397"/>
        <v>8</v>
      </c>
      <c r="D8517" s="136">
        <f t="shared" si="399"/>
        <v>34</v>
      </c>
      <c r="E8517" s="136">
        <f t="shared" si="398"/>
        <v>18</v>
      </c>
      <c r="F8517" s="128" t="s">
        <v>24</v>
      </c>
      <c r="G8517" s="128" t="str">
        <f>VLOOKUP(source[[#This Row],[lending_product_transform]],[3]Mapping!$B$4:$C$37,2,0)</f>
        <v>[Cake] - Cashloan</v>
      </c>
      <c r="H8517" s="128" t="str">
        <f>VLOOKUP(source[[#This Row],[lending_product_transform]],[3]Mapping!$B$3:$D$37,3,0)</f>
        <v>cashloan</v>
      </c>
      <c r="I8517" s="173">
        <v>19263518</v>
      </c>
    </row>
    <row r="8518" spans="1:9" x14ac:dyDescent="0.2">
      <c r="A8518" s="134">
        <v>45887</v>
      </c>
      <c r="B8518" s="135">
        <f>YEAR(source[[#This Row],[report_date]])</f>
        <v>2025</v>
      </c>
      <c r="C8518" s="128">
        <f t="shared" si="397"/>
        <v>8</v>
      </c>
      <c r="D8518" s="136">
        <f t="shared" si="399"/>
        <v>34</v>
      </c>
      <c r="E8518" s="136">
        <f t="shared" si="398"/>
        <v>18</v>
      </c>
      <c r="F8518" s="128" t="s">
        <v>24</v>
      </c>
      <c r="G8518" s="128" t="str">
        <f>VLOOKUP(source[[#This Row],[lending_product_transform]],[3]Mapping!$B$4:$C$37,2,0)</f>
        <v>[Cake] - Cashloan</v>
      </c>
      <c r="H8518" s="128" t="str">
        <f>VLOOKUP(source[[#This Row],[lending_product_transform]],[3]Mapping!$B$3:$D$37,3,0)</f>
        <v>cashloan</v>
      </c>
      <c r="I8518" s="173">
        <v>6274152000</v>
      </c>
    </row>
    <row r="8519" spans="1:9" x14ac:dyDescent="0.2">
      <c r="A8519" s="134">
        <v>45887</v>
      </c>
      <c r="B8519" s="135">
        <f>YEAR(source[[#This Row],[report_date]])</f>
        <v>2025</v>
      </c>
      <c r="C8519" s="128">
        <f t="shared" si="397"/>
        <v>8</v>
      </c>
      <c r="D8519" s="136">
        <f t="shared" si="399"/>
        <v>34</v>
      </c>
      <c r="E8519" s="136">
        <f t="shared" si="398"/>
        <v>18</v>
      </c>
      <c r="F8519" s="128" t="s">
        <v>24</v>
      </c>
      <c r="G8519" s="128" t="str">
        <f>VLOOKUP(source[[#This Row],[lending_product_transform]],[3]Mapping!$B$4:$C$37,2,0)</f>
        <v>[Cake] - Cashloan</v>
      </c>
      <c r="H8519" s="128" t="str">
        <f>VLOOKUP(source[[#This Row],[lending_product_transform]],[3]Mapping!$B$3:$D$37,3,0)</f>
        <v>cashloan</v>
      </c>
      <c r="I8519" s="173">
        <v>3630550000</v>
      </c>
    </row>
    <row r="8520" spans="1:9" x14ac:dyDescent="0.2">
      <c r="A8520" s="134">
        <v>45887</v>
      </c>
      <c r="B8520" s="135">
        <f>YEAR(source[[#This Row],[report_date]])</f>
        <v>2025</v>
      </c>
      <c r="C8520" s="128">
        <f t="shared" si="397"/>
        <v>8</v>
      </c>
      <c r="D8520" s="136">
        <f t="shared" si="399"/>
        <v>34</v>
      </c>
      <c r="E8520" s="136">
        <f t="shared" si="398"/>
        <v>18</v>
      </c>
      <c r="F8520" s="128" t="s">
        <v>24</v>
      </c>
      <c r="G8520" s="128" t="str">
        <f>VLOOKUP(source[[#This Row],[lending_product_transform]],[3]Mapping!$B$4:$C$37,2,0)</f>
        <v>[Cake] - Cashloan</v>
      </c>
      <c r="H8520" s="128" t="str">
        <f>VLOOKUP(source[[#This Row],[lending_product_transform]],[3]Mapping!$B$3:$D$37,3,0)</f>
        <v>cashloan</v>
      </c>
      <c r="I8520" s="173">
        <v>0</v>
      </c>
    </row>
    <row r="8521" spans="1:9" x14ac:dyDescent="0.2">
      <c r="A8521" s="134">
        <v>45887</v>
      </c>
      <c r="B8521" s="135">
        <f>YEAR(source[[#This Row],[report_date]])</f>
        <v>2025</v>
      </c>
      <c r="C8521" s="128">
        <f t="shared" si="397"/>
        <v>8</v>
      </c>
      <c r="D8521" s="136">
        <f t="shared" si="399"/>
        <v>34</v>
      </c>
      <c r="E8521" s="136">
        <f t="shared" si="398"/>
        <v>18</v>
      </c>
      <c r="F8521" s="128" t="s">
        <v>24</v>
      </c>
      <c r="G8521" s="128" t="str">
        <f>VLOOKUP(source[[#This Row],[lending_product_transform]],[3]Mapping!$B$4:$C$37,2,0)</f>
        <v>[Cake] - Cashloan</v>
      </c>
      <c r="H8521" s="128" t="str">
        <f>VLOOKUP(source[[#This Row],[lending_product_transform]],[3]Mapping!$B$3:$D$37,3,0)</f>
        <v>cashloan</v>
      </c>
      <c r="I8521" s="173">
        <v>0</v>
      </c>
    </row>
    <row r="8522" spans="1:9" x14ac:dyDescent="0.2">
      <c r="A8522" s="134">
        <v>45887</v>
      </c>
      <c r="B8522" s="135">
        <f>YEAR(source[[#This Row],[report_date]])</f>
        <v>2025</v>
      </c>
      <c r="C8522" s="128">
        <f t="shared" si="397"/>
        <v>8</v>
      </c>
      <c r="D8522" s="136">
        <f t="shared" si="399"/>
        <v>34</v>
      </c>
      <c r="E8522" s="136">
        <f t="shared" si="398"/>
        <v>18</v>
      </c>
      <c r="F8522" s="128" t="s">
        <v>24</v>
      </c>
      <c r="G8522" s="128" t="str">
        <f>VLOOKUP(source[[#This Row],[lending_product_transform]],[3]Mapping!$B$4:$C$37,2,0)</f>
        <v>[Cake] - Cashloan</v>
      </c>
      <c r="H8522" s="128" t="str">
        <f>VLOOKUP(source[[#This Row],[lending_product_transform]],[3]Mapping!$B$3:$D$37,3,0)</f>
        <v>cashloan</v>
      </c>
      <c r="I8522" s="173">
        <v>56000000</v>
      </c>
    </row>
    <row r="8523" spans="1:9" x14ac:dyDescent="0.2">
      <c r="A8523" s="134">
        <v>45887</v>
      </c>
      <c r="B8523" s="135">
        <f>YEAR(source[[#This Row],[report_date]])</f>
        <v>2025</v>
      </c>
      <c r="C8523" s="128">
        <f t="shared" si="397"/>
        <v>8</v>
      </c>
      <c r="D8523" s="136">
        <f t="shared" si="399"/>
        <v>34</v>
      </c>
      <c r="E8523" s="136">
        <f t="shared" si="398"/>
        <v>18</v>
      </c>
      <c r="F8523" s="128" t="s">
        <v>24</v>
      </c>
      <c r="G8523" s="128" t="str">
        <f>VLOOKUP(source[[#This Row],[lending_product_transform]],[3]Mapping!$B$4:$C$37,2,0)</f>
        <v>[Cake] - Cashloan</v>
      </c>
      <c r="H8523" s="128" t="str">
        <f>VLOOKUP(source[[#This Row],[lending_product_transform]],[3]Mapping!$B$3:$D$37,3,0)</f>
        <v>cashloan</v>
      </c>
      <c r="I8523" s="173">
        <v>2983235210</v>
      </c>
    </row>
    <row r="8524" spans="1:9" x14ac:dyDescent="0.2">
      <c r="A8524" s="134">
        <v>45887</v>
      </c>
      <c r="B8524" s="135">
        <f>YEAR(source[[#This Row],[report_date]])</f>
        <v>2025</v>
      </c>
      <c r="C8524" s="128">
        <f t="shared" si="397"/>
        <v>8</v>
      </c>
      <c r="D8524" s="136">
        <f t="shared" si="399"/>
        <v>34</v>
      </c>
      <c r="E8524" s="136">
        <f t="shared" si="398"/>
        <v>18</v>
      </c>
      <c r="F8524" s="128" t="s">
        <v>24</v>
      </c>
      <c r="G8524" s="128" t="str">
        <f>VLOOKUP(source[[#This Row],[lending_product_transform]],[3]Mapping!$B$4:$C$37,2,0)</f>
        <v>[Cake] - Cashloan</v>
      </c>
      <c r="H8524" s="128" t="str">
        <f>VLOOKUP(source[[#This Row],[lending_product_transform]],[3]Mapping!$B$3:$D$37,3,0)</f>
        <v>cashloan</v>
      </c>
      <c r="I8524" s="173">
        <v>337066000</v>
      </c>
    </row>
    <row r="8525" spans="1:9" x14ac:dyDescent="0.2">
      <c r="A8525" s="134">
        <v>45887</v>
      </c>
      <c r="B8525" s="135">
        <f>YEAR(source[[#This Row],[report_date]])</f>
        <v>2025</v>
      </c>
      <c r="C8525" s="128">
        <f t="shared" si="397"/>
        <v>8</v>
      </c>
      <c r="D8525" s="136">
        <f t="shared" si="399"/>
        <v>34</v>
      </c>
      <c r="E8525" s="136">
        <f t="shared" si="398"/>
        <v>18</v>
      </c>
      <c r="F8525" s="128" t="s">
        <v>24</v>
      </c>
      <c r="G8525" s="128" t="str">
        <f>VLOOKUP(source[[#This Row],[lending_product_transform]],[3]Mapping!$B$4:$C$37,2,0)</f>
        <v>[Cake] - Cashloan</v>
      </c>
      <c r="H8525" s="128" t="str">
        <f>VLOOKUP(source[[#This Row],[lending_product_transform]],[3]Mapping!$B$3:$D$37,3,0)</f>
        <v>cashloan</v>
      </c>
      <c r="I8525" s="173">
        <v>48000000</v>
      </c>
    </row>
    <row r="8526" spans="1:9" x14ac:dyDescent="0.2">
      <c r="A8526" s="134">
        <v>45887</v>
      </c>
      <c r="B8526" s="135">
        <f>YEAR(source[[#This Row],[report_date]])</f>
        <v>2025</v>
      </c>
      <c r="C8526" s="128">
        <f t="shared" si="397"/>
        <v>8</v>
      </c>
      <c r="D8526" s="136">
        <f t="shared" si="399"/>
        <v>34</v>
      </c>
      <c r="E8526" s="136">
        <f t="shared" si="398"/>
        <v>18</v>
      </c>
      <c r="F8526" s="128" t="s">
        <v>24</v>
      </c>
      <c r="G8526" s="128" t="str">
        <f>VLOOKUP(source[[#This Row],[lending_product_transform]],[3]Mapping!$B$4:$C$37,2,0)</f>
        <v>[Cake] - Cashloan</v>
      </c>
      <c r="H8526" s="128" t="str">
        <f>VLOOKUP(source[[#This Row],[lending_product_transform]],[3]Mapping!$B$3:$D$37,3,0)</f>
        <v>cashloan</v>
      </c>
      <c r="I8526" s="173">
        <v>211283968</v>
      </c>
    </row>
    <row r="8527" spans="1:9" x14ac:dyDescent="0.2">
      <c r="A8527" s="134">
        <v>45887</v>
      </c>
      <c r="B8527" s="135">
        <f>YEAR(source[[#This Row],[report_date]])</f>
        <v>2025</v>
      </c>
      <c r="C8527" s="128">
        <f t="shared" si="397"/>
        <v>8</v>
      </c>
      <c r="D8527" s="136">
        <f t="shared" si="399"/>
        <v>34</v>
      </c>
      <c r="E8527" s="136">
        <f t="shared" si="398"/>
        <v>18</v>
      </c>
      <c r="F8527" s="128" t="s">
        <v>24</v>
      </c>
      <c r="G8527" s="128" t="str">
        <f>VLOOKUP(source[[#This Row],[lending_product_transform]],[3]Mapping!$B$4:$C$37,2,0)</f>
        <v>[Cake] - Cashloan</v>
      </c>
      <c r="H8527" s="128" t="str">
        <f>VLOOKUP(source[[#This Row],[lending_product_transform]],[3]Mapping!$B$3:$D$37,3,0)</f>
        <v>cashloan</v>
      </c>
      <c r="I8527" s="173">
        <v>1861780000</v>
      </c>
    </row>
    <row r="8528" spans="1:9" x14ac:dyDescent="0.2">
      <c r="A8528" s="134">
        <v>45887</v>
      </c>
      <c r="B8528" s="135">
        <f>YEAR(source[[#This Row],[report_date]])</f>
        <v>2025</v>
      </c>
      <c r="C8528" s="128">
        <f t="shared" si="397"/>
        <v>8</v>
      </c>
      <c r="D8528" s="136">
        <f t="shared" si="399"/>
        <v>34</v>
      </c>
      <c r="E8528" s="136">
        <f t="shared" si="398"/>
        <v>18</v>
      </c>
      <c r="F8528" s="128" t="s">
        <v>24</v>
      </c>
      <c r="G8528" s="128" t="str">
        <f>VLOOKUP(source[[#This Row],[lending_product_transform]],[3]Mapping!$B$4:$C$37,2,0)</f>
        <v>[Cake] - Cashloan</v>
      </c>
      <c r="H8528" s="128" t="str">
        <f>VLOOKUP(source[[#This Row],[lending_product_transform]],[3]Mapping!$B$3:$D$37,3,0)</f>
        <v>cashloan</v>
      </c>
      <c r="I8528" s="173">
        <v>323736439</v>
      </c>
    </row>
    <row r="8529" spans="1:9" x14ac:dyDescent="0.2">
      <c r="A8529" s="134">
        <v>45887</v>
      </c>
      <c r="B8529" s="135">
        <f>YEAR(source[[#This Row],[report_date]])</f>
        <v>2025</v>
      </c>
      <c r="C8529" s="128">
        <f t="shared" si="397"/>
        <v>8</v>
      </c>
      <c r="D8529" s="136">
        <f t="shared" si="399"/>
        <v>34</v>
      </c>
      <c r="E8529" s="136">
        <f t="shared" si="398"/>
        <v>18</v>
      </c>
      <c r="F8529" s="128" t="s">
        <v>24</v>
      </c>
      <c r="G8529" s="128" t="str">
        <f>VLOOKUP(source[[#This Row],[lending_product_transform]],[3]Mapping!$B$4:$C$37,2,0)</f>
        <v>[Cake] - Cashloan</v>
      </c>
      <c r="H8529" s="128" t="str">
        <f>VLOOKUP(source[[#This Row],[lending_product_transform]],[3]Mapping!$B$3:$D$37,3,0)</f>
        <v>cashloan</v>
      </c>
      <c r="I8529" s="173">
        <v>3456864000</v>
      </c>
    </row>
    <row r="8530" spans="1:9" x14ac:dyDescent="0.2">
      <c r="A8530" s="134">
        <v>45887</v>
      </c>
      <c r="B8530" s="135">
        <f>YEAR(source[[#This Row],[report_date]])</f>
        <v>2025</v>
      </c>
      <c r="C8530" s="128">
        <f t="shared" si="397"/>
        <v>8</v>
      </c>
      <c r="D8530" s="136">
        <f t="shared" si="399"/>
        <v>34</v>
      </c>
      <c r="E8530" s="136">
        <f t="shared" si="398"/>
        <v>18</v>
      </c>
      <c r="F8530" s="128" t="s">
        <v>24</v>
      </c>
      <c r="G8530" s="128" t="str">
        <f>VLOOKUP(source[[#This Row],[lending_product_transform]],[3]Mapping!$B$4:$C$37,2,0)</f>
        <v>[Cake] - Cashloan</v>
      </c>
      <c r="H8530" s="128" t="str">
        <f>VLOOKUP(source[[#This Row],[lending_product_transform]],[3]Mapping!$B$3:$D$37,3,0)</f>
        <v>cashloan</v>
      </c>
      <c r="I8530" s="173">
        <v>13105650000</v>
      </c>
    </row>
    <row r="8531" spans="1:9" x14ac:dyDescent="0.2">
      <c r="A8531" s="134">
        <v>45887</v>
      </c>
      <c r="B8531" s="135">
        <f>YEAR(source[[#This Row],[report_date]])</f>
        <v>2025</v>
      </c>
      <c r="C8531" s="128">
        <f t="shared" si="397"/>
        <v>8</v>
      </c>
      <c r="D8531" s="136">
        <f t="shared" si="399"/>
        <v>34</v>
      </c>
      <c r="E8531" s="136">
        <f t="shared" si="398"/>
        <v>18</v>
      </c>
      <c r="F8531" s="128" t="s">
        <v>24</v>
      </c>
      <c r="G8531" s="128" t="str">
        <f>VLOOKUP(source[[#This Row],[lending_product_transform]],[3]Mapping!$B$4:$C$37,2,0)</f>
        <v>[Cake] - Cashloan</v>
      </c>
      <c r="H8531" s="128" t="str">
        <f>VLOOKUP(source[[#This Row],[lending_product_transform]],[3]Mapping!$B$3:$D$37,3,0)</f>
        <v>cashloan</v>
      </c>
      <c r="I8531" s="173">
        <v>10608240000</v>
      </c>
    </row>
    <row r="8532" spans="1:9" x14ac:dyDescent="0.2">
      <c r="A8532" s="134">
        <v>45887</v>
      </c>
      <c r="B8532" s="135">
        <f>YEAR(source[[#This Row],[report_date]])</f>
        <v>2025</v>
      </c>
      <c r="C8532" s="128">
        <f t="shared" si="397"/>
        <v>8</v>
      </c>
      <c r="D8532" s="136">
        <f t="shared" si="399"/>
        <v>34</v>
      </c>
      <c r="E8532" s="136">
        <f t="shared" si="398"/>
        <v>18</v>
      </c>
      <c r="F8532" s="128" t="s">
        <v>24</v>
      </c>
      <c r="G8532" s="128" t="str">
        <f>VLOOKUP(source[[#This Row],[lending_product_transform]],[3]Mapping!$B$4:$C$37,2,0)</f>
        <v>[Cake] - Cashloan</v>
      </c>
      <c r="H8532" s="128" t="str">
        <f>VLOOKUP(source[[#This Row],[lending_product_transform]],[3]Mapping!$B$3:$D$37,3,0)</f>
        <v>cashloan</v>
      </c>
      <c r="I8532" s="173">
        <v>0</v>
      </c>
    </row>
    <row r="8533" spans="1:9" x14ac:dyDescent="0.2">
      <c r="A8533" s="134">
        <v>45887</v>
      </c>
      <c r="B8533" s="135">
        <f>YEAR(source[[#This Row],[report_date]])</f>
        <v>2025</v>
      </c>
      <c r="C8533" s="128">
        <f t="shared" si="397"/>
        <v>8</v>
      </c>
      <c r="D8533" s="136">
        <f t="shared" si="399"/>
        <v>34</v>
      </c>
      <c r="E8533" s="136">
        <f t="shared" si="398"/>
        <v>18</v>
      </c>
      <c r="F8533" s="128" t="s">
        <v>24</v>
      </c>
      <c r="G8533" s="128" t="str">
        <f>VLOOKUP(source[[#This Row],[lending_product_transform]],[3]Mapping!$B$4:$C$37,2,0)</f>
        <v>[Cake] - Cashloan</v>
      </c>
      <c r="H8533" s="128" t="str">
        <f>VLOOKUP(source[[#This Row],[lending_product_transform]],[3]Mapping!$B$3:$D$37,3,0)</f>
        <v>cashloan</v>
      </c>
      <c r="I8533" s="173">
        <v>214516847</v>
      </c>
    </row>
    <row r="8534" spans="1:9" x14ac:dyDescent="0.2">
      <c r="A8534" s="134">
        <v>45888</v>
      </c>
      <c r="B8534" s="135">
        <f>YEAR(source[[#This Row],[report_date]])</f>
        <v>2025</v>
      </c>
      <c r="C8534" s="128">
        <f t="shared" si="397"/>
        <v>8</v>
      </c>
      <c r="D8534" s="136">
        <f t="shared" si="399"/>
        <v>34</v>
      </c>
      <c r="E8534" s="136">
        <f t="shared" si="398"/>
        <v>19</v>
      </c>
      <c r="F8534" s="128" t="s">
        <v>24</v>
      </c>
      <c r="G8534" s="128" t="str">
        <f>VLOOKUP(source[[#This Row],[lending_product_transform]],[3]Mapping!$B$4:$C$37,2,0)</f>
        <v>[Cake] - Cashloan</v>
      </c>
      <c r="H8534" s="128" t="str">
        <f>VLOOKUP(source[[#This Row],[lending_product_transform]],[3]Mapping!$B$3:$D$37,3,0)</f>
        <v>cashloan</v>
      </c>
      <c r="I8534" s="173">
        <v>31000000</v>
      </c>
    </row>
    <row r="8535" spans="1:9" x14ac:dyDescent="0.2">
      <c r="A8535" s="134">
        <v>45888</v>
      </c>
      <c r="B8535" s="135">
        <f>YEAR(source[[#This Row],[report_date]])</f>
        <v>2025</v>
      </c>
      <c r="C8535" s="128">
        <f t="shared" si="397"/>
        <v>8</v>
      </c>
      <c r="D8535" s="136">
        <f t="shared" si="399"/>
        <v>34</v>
      </c>
      <c r="E8535" s="136">
        <f t="shared" si="398"/>
        <v>19</v>
      </c>
      <c r="F8535" s="128" t="s">
        <v>24</v>
      </c>
      <c r="G8535" s="128" t="str">
        <f>VLOOKUP(source[[#This Row],[lending_product_transform]],[3]Mapping!$B$4:$C$37,2,0)</f>
        <v>[Cake] - Cashloan</v>
      </c>
      <c r="H8535" s="128" t="str">
        <f>VLOOKUP(source[[#This Row],[lending_product_transform]],[3]Mapping!$B$3:$D$37,3,0)</f>
        <v>cashloan</v>
      </c>
      <c r="I8535" s="173">
        <v>1960930000</v>
      </c>
    </row>
    <row r="8536" spans="1:9" x14ac:dyDescent="0.2">
      <c r="A8536" s="134">
        <v>45888</v>
      </c>
      <c r="B8536" s="135">
        <f>YEAR(source[[#This Row],[report_date]])</f>
        <v>2025</v>
      </c>
      <c r="C8536" s="128">
        <f t="shared" si="397"/>
        <v>8</v>
      </c>
      <c r="D8536" s="136">
        <f t="shared" si="399"/>
        <v>34</v>
      </c>
      <c r="E8536" s="136">
        <f t="shared" si="398"/>
        <v>19</v>
      </c>
      <c r="F8536" s="128" t="s">
        <v>24</v>
      </c>
      <c r="G8536" s="128" t="str">
        <f>VLOOKUP(source[[#This Row],[lending_product_transform]],[3]Mapping!$B$4:$C$37,2,0)</f>
        <v>[Cake] - Cashloan</v>
      </c>
      <c r="H8536" s="128" t="str">
        <f>VLOOKUP(source[[#This Row],[lending_product_transform]],[3]Mapping!$B$3:$D$37,3,0)</f>
        <v>cashloan</v>
      </c>
      <c r="I8536" s="173">
        <v>219586167</v>
      </c>
    </row>
    <row r="8537" spans="1:9" x14ac:dyDescent="0.2">
      <c r="A8537" s="134">
        <v>45888</v>
      </c>
      <c r="B8537" s="135">
        <f>YEAR(source[[#This Row],[report_date]])</f>
        <v>2025</v>
      </c>
      <c r="C8537" s="128">
        <f t="shared" si="397"/>
        <v>8</v>
      </c>
      <c r="D8537" s="136">
        <f t="shared" si="399"/>
        <v>34</v>
      </c>
      <c r="E8537" s="136">
        <f t="shared" si="398"/>
        <v>19</v>
      </c>
      <c r="F8537" s="128" t="s">
        <v>24</v>
      </c>
      <c r="G8537" s="128" t="str">
        <f>VLOOKUP(source[[#This Row],[lending_product_transform]],[3]Mapping!$B$4:$C$37,2,0)</f>
        <v>[Cake] - Cashloan</v>
      </c>
      <c r="H8537" s="128" t="str">
        <f>VLOOKUP(source[[#This Row],[lending_product_transform]],[3]Mapping!$B$3:$D$37,3,0)</f>
        <v>cashloan</v>
      </c>
      <c r="I8537" s="173">
        <v>0</v>
      </c>
    </row>
    <row r="8538" spans="1:9" x14ac:dyDescent="0.2">
      <c r="A8538" s="134">
        <v>45888</v>
      </c>
      <c r="B8538" s="135">
        <f>YEAR(source[[#This Row],[report_date]])</f>
        <v>2025</v>
      </c>
      <c r="C8538" s="128">
        <f t="shared" si="397"/>
        <v>8</v>
      </c>
      <c r="D8538" s="136">
        <f t="shared" si="399"/>
        <v>34</v>
      </c>
      <c r="E8538" s="136">
        <f t="shared" si="398"/>
        <v>19</v>
      </c>
      <c r="F8538" s="128" t="s">
        <v>24</v>
      </c>
      <c r="G8538" s="128" t="str">
        <f>VLOOKUP(source[[#This Row],[lending_product_transform]],[3]Mapping!$B$4:$C$37,2,0)</f>
        <v>[Cake] - Cashloan</v>
      </c>
      <c r="H8538" s="128" t="str">
        <f>VLOOKUP(source[[#This Row],[lending_product_transform]],[3]Mapping!$B$3:$D$37,3,0)</f>
        <v>cashloan</v>
      </c>
      <c r="I8538" s="173">
        <v>10000000</v>
      </c>
    </row>
    <row r="8539" spans="1:9" x14ac:dyDescent="0.2">
      <c r="A8539" s="134">
        <v>45888</v>
      </c>
      <c r="B8539" s="135">
        <f>YEAR(source[[#This Row],[report_date]])</f>
        <v>2025</v>
      </c>
      <c r="C8539" s="128">
        <f t="shared" si="397"/>
        <v>8</v>
      </c>
      <c r="D8539" s="136">
        <f t="shared" si="399"/>
        <v>34</v>
      </c>
      <c r="E8539" s="136">
        <f t="shared" si="398"/>
        <v>19</v>
      </c>
      <c r="F8539" s="128" t="s">
        <v>24</v>
      </c>
      <c r="G8539" s="128" t="str">
        <f>VLOOKUP(source[[#This Row],[lending_product_transform]],[3]Mapping!$B$4:$C$37,2,0)</f>
        <v>[Cake] - Cashloan</v>
      </c>
      <c r="H8539" s="128" t="str">
        <f>VLOOKUP(source[[#This Row],[lending_product_transform]],[3]Mapping!$B$3:$D$37,3,0)</f>
        <v>cashloan</v>
      </c>
      <c r="I8539" s="173">
        <v>381621000</v>
      </c>
    </row>
    <row r="8540" spans="1:9" x14ac:dyDescent="0.2">
      <c r="A8540" s="134">
        <v>45888</v>
      </c>
      <c r="B8540" s="135">
        <f>YEAR(source[[#This Row],[report_date]])</f>
        <v>2025</v>
      </c>
      <c r="C8540" s="128">
        <f t="shared" si="397"/>
        <v>8</v>
      </c>
      <c r="D8540" s="136">
        <f t="shared" si="399"/>
        <v>34</v>
      </c>
      <c r="E8540" s="136">
        <f t="shared" si="398"/>
        <v>19</v>
      </c>
      <c r="F8540" s="128" t="s">
        <v>24</v>
      </c>
      <c r="G8540" s="128" t="str">
        <f>VLOOKUP(source[[#This Row],[lending_product_transform]],[3]Mapping!$B$4:$C$37,2,0)</f>
        <v>[Cake] - Cashloan</v>
      </c>
      <c r="H8540" s="128" t="str">
        <f>VLOOKUP(source[[#This Row],[lending_product_transform]],[3]Mapping!$B$3:$D$37,3,0)</f>
        <v>cashloan</v>
      </c>
      <c r="I8540" s="173">
        <v>11317770</v>
      </c>
    </row>
    <row r="8541" spans="1:9" x14ac:dyDescent="0.2">
      <c r="A8541" s="134">
        <v>45888</v>
      </c>
      <c r="B8541" s="135">
        <f>YEAR(source[[#This Row],[report_date]])</f>
        <v>2025</v>
      </c>
      <c r="C8541" s="128">
        <f t="shared" si="397"/>
        <v>8</v>
      </c>
      <c r="D8541" s="136">
        <f t="shared" si="399"/>
        <v>34</v>
      </c>
      <c r="E8541" s="136">
        <f t="shared" si="398"/>
        <v>19</v>
      </c>
      <c r="F8541" s="128" t="s">
        <v>24</v>
      </c>
      <c r="G8541" s="128" t="str">
        <f>VLOOKUP(source[[#This Row],[lending_product_transform]],[3]Mapping!$B$4:$C$37,2,0)</f>
        <v>[Cake] - Cashloan</v>
      </c>
      <c r="H8541" s="128" t="str">
        <f>VLOOKUP(source[[#This Row],[lending_product_transform]],[3]Mapping!$B$3:$D$37,3,0)</f>
        <v>cashloan</v>
      </c>
      <c r="I8541" s="173">
        <v>20500000</v>
      </c>
    </row>
    <row r="8542" spans="1:9" x14ac:dyDescent="0.2">
      <c r="A8542" s="134">
        <v>45888</v>
      </c>
      <c r="B8542" s="135">
        <f>YEAR(source[[#This Row],[report_date]])</f>
        <v>2025</v>
      </c>
      <c r="C8542" s="128">
        <f t="shared" si="397"/>
        <v>8</v>
      </c>
      <c r="D8542" s="136">
        <f t="shared" si="399"/>
        <v>34</v>
      </c>
      <c r="E8542" s="136">
        <f t="shared" si="398"/>
        <v>19</v>
      </c>
      <c r="F8542" s="128" t="s">
        <v>24</v>
      </c>
      <c r="G8542" s="128" t="str">
        <f>VLOOKUP(source[[#This Row],[lending_product_transform]],[3]Mapping!$B$4:$C$37,2,0)</f>
        <v>[Cake] - Cashloan</v>
      </c>
      <c r="H8542" s="128" t="str">
        <f>VLOOKUP(source[[#This Row],[lending_product_transform]],[3]Mapping!$B$3:$D$37,3,0)</f>
        <v>cashloan</v>
      </c>
      <c r="I8542" s="173">
        <v>2665510000</v>
      </c>
    </row>
    <row r="8543" spans="1:9" x14ac:dyDescent="0.2">
      <c r="A8543" s="134">
        <v>45888</v>
      </c>
      <c r="B8543" s="135">
        <f>YEAR(source[[#This Row],[report_date]])</f>
        <v>2025</v>
      </c>
      <c r="C8543" s="128">
        <f t="shared" si="397"/>
        <v>8</v>
      </c>
      <c r="D8543" s="136">
        <f t="shared" si="399"/>
        <v>34</v>
      </c>
      <c r="E8543" s="136">
        <f t="shared" si="398"/>
        <v>19</v>
      </c>
      <c r="F8543" s="128" t="s">
        <v>24</v>
      </c>
      <c r="G8543" s="128" t="str">
        <f>VLOOKUP(source[[#This Row],[lending_product_transform]],[3]Mapping!$B$4:$C$37,2,0)</f>
        <v>[Cake] - Cashloan</v>
      </c>
      <c r="H8543" s="128" t="str">
        <f>VLOOKUP(source[[#This Row],[lending_product_transform]],[3]Mapping!$B$3:$D$37,3,0)</f>
        <v>cashloan</v>
      </c>
      <c r="I8543" s="173">
        <v>2866961307</v>
      </c>
    </row>
    <row r="8544" spans="1:9" x14ac:dyDescent="0.2">
      <c r="A8544" s="134">
        <v>45888</v>
      </c>
      <c r="B8544" s="135">
        <f>YEAR(source[[#This Row],[report_date]])</f>
        <v>2025</v>
      </c>
      <c r="C8544" s="128">
        <f t="shared" si="397"/>
        <v>8</v>
      </c>
      <c r="D8544" s="136">
        <f t="shared" si="399"/>
        <v>34</v>
      </c>
      <c r="E8544" s="136">
        <f t="shared" si="398"/>
        <v>19</v>
      </c>
      <c r="F8544" s="128" t="s">
        <v>24</v>
      </c>
      <c r="G8544" s="128" t="str">
        <f>VLOOKUP(source[[#This Row],[lending_product_transform]],[3]Mapping!$B$4:$C$37,2,0)</f>
        <v>[Cake] - Cashloan</v>
      </c>
      <c r="H8544" s="128" t="str">
        <f>VLOOKUP(source[[#This Row],[lending_product_transform]],[3]Mapping!$B$3:$D$37,3,0)</f>
        <v>cashloan</v>
      </c>
      <c r="I8544" s="173">
        <v>452580000</v>
      </c>
    </row>
    <row r="8545" spans="1:9" x14ac:dyDescent="0.2">
      <c r="A8545" s="134">
        <v>45888</v>
      </c>
      <c r="B8545" s="135">
        <f>YEAR(source[[#This Row],[report_date]])</f>
        <v>2025</v>
      </c>
      <c r="C8545" s="128">
        <f t="shared" si="397"/>
        <v>8</v>
      </c>
      <c r="D8545" s="136">
        <f t="shared" si="399"/>
        <v>34</v>
      </c>
      <c r="E8545" s="136">
        <f t="shared" si="398"/>
        <v>19</v>
      </c>
      <c r="F8545" s="128" t="s">
        <v>24</v>
      </c>
      <c r="G8545" s="128" t="str">
        <f>VLOOKUP(source[[#This Row],[lending_product_transform]],[3]Mapping!$B$4:$C$37,2,0)</f>
        <v>[Cake] - Cashloan</v>
      </c>
      <c r="H8545" s="128" t="str">
        <f>VLOOKUP(source[[#This Row],[lending_product_transform]],[3]Mapping!$B$3:$D$37,3,0)</f>
        <v>cashloan</v>
      </c>
      <c r="I8545" s="173">
        <v>242386153</v>
      </c>
    </row>
    <row r="8546" spans="1:9" x14ac:dyDescent="0.2">
      <c r="A8546" s="134">
        <v>45888</v>
      </c>
      <c r="B8546" s="135">
        <f>YEAR(source[[#This Row],[report_date]])</f>
        <v>2025</v>
      </c>
      <c r="C8546" s="128">
        <f t="shared" si="397"/>
        <v>8</v>
      </c>
      <c r="D8546" s="136">
        <f t="shared" si="399"/>
        <v>34</v>
      </c>
      <c r="E8546" s="136">
        <f t="shared" si="398"/>
        <v>19</v>
      </c>
      <c r="F8546" s="128" t="s">
        <v>24</v>
      </c>
      <c r="G8546" s="128" t="str">
        <f>VLOOKUP(source[[#This Row],[lending_product_transform]],[3]Mapping!$B$4:$C$37,2,0)</f>
        <v>[Cake] - Cashloan</v>
      </c>
      <c r="H8546" s="128" t="str">
        <f>VLOOKUP(source[[#This Row],[lending_product_transform]],[3]Mapping!$B$3:$D$37,3,0)</f>
        <v>cashloan</v>
      </c>
      <c r="I8546" s="173">
        <v>24000000</v>
      </c>
    </row>
    <row r="8547" spans="1:9" x14ac:dyDescent="0.2">
      <c r="A8547" s="134">
        <v>45888</v>
      </c>
      <c r="B8547" s="135">
        <f>YEAR(source[[#This Row],[report_date]])</f>
        <v>2025</v>
      </c>
      <c r="C8547" s="128">
        <f t="shared" si="397"/>
        <v>8</v>
      </c>
      <c r="D8547" s="136">
        <f t="shared" si="399"/>
        <v>34</v>
      </c>
      <c r="E8547" s="136">
        <f t="shared" si="398"/>
        <v>19</v>
      </c>
      <c r="F8547" s="128" t="s">
        <v>24</v>
      </c>
      <c r="G8547" s="128" t="str">
        <f>VLOOKUP(source[[#This Row],[lending_product_transform]],[3]Mapping!$B$4:$C$37,2,0)</f>
        <v>[Cake] - Cashloan</v>
      </c>
      <c r="H8547" s="128" t="str">
        <f>VLOOKUP(source[[#This Row],[lending_product_transform]],[3]Mapping!$B$3:$D$37,3,0)</f>
        <v>cashloan</v>
      </c>
      <c r="I8547" s="173">
        <v>3861972000</v>
      </c>
    </row>
    <row r="8548" spans="1:9" x14ac:dyDescent="0.2">
      <c r="A8548" s="134">
        <v>45888</v>
      </c>
      <c r="B8548" s="135">
        <f>YEAR(source[[#This Row],[report_date]])</f>
        <v>2025</v>
      </c>
      <c r="C8548" s="128">
        <f t="shared" si="397"/>
        <v>8</v>
      </c>
      <c r="D8548" s="136">
        <f t="shared" si="399"/>
        <v>34</v>
      </c>
      <c r="E8548" s="136">
        <f t="shared" si="398"/>
        <v>19</v>
      </c>
      <c r="F8548" s="128" t="s">
        <v>24</v>
      </c>
      <c r="G8548" s="128" t="str">
        <f>VLOOKUP(source[[#This Row],[lending_product_transform]],[3]Mapping!$B$4:$C$37,2,0)</f>
        <v>[Cake] - Cashloan</v>
      </c>
      <c r="H8548" s="128" t="str">
        <f>VLOOKUP(source[[#This Row],[lending_product_transform]],[3]Mapping!$B$3:$D$37,3,0)</f>
        <v>cashloan</v>
      </c>
      <c r="I8548" s="173">
        <v>11592700000</v>
      </c>
    </row>
    <row r="8549" spans="1:9" x14ac:dyDescent="0.2">
      <c r="A8549" s="134">
        <v>45888</v>
      </c>
      <c r="B8549" s="135">
        <f>YEAR(source[[#This Row],[report_date]])</f>
        <v>2025</v>
      </c>
      <c r="C8549" s="128">
        <f t="shared" si="397"/>
        <v>8</v>
      </c>
      <c r="D8549" s="136">
        <f t="shared" si="399"/>
        <v>34</v>
      </c>
      <c r="E8549" s="136">
        <f t="shared" si="398"/>
        <v>19</v>
      </c>
      <c r="F8549" s="128" t="s">
        <v>24</v>
      </c>
      <c r="G8549" s="128" t="str">
        <f>VLOOKUP(source[[#This Row],[lending_product_transform]],[3]Mapping!$B$4:$C$37,2,0)</f>
        <v>[Cake] - Cashloan</v>
      </c>
      <c r="H8549" s="128" t="str">
        <f>VLOOKUP(source[[#This Row],[lending_product_transform]],[3]Mapping!$B$3:$D$37,3,0)</f>
        <v>cashloan</v>
      </c>
      <c r="I8549" s="173">
        <v>190716265</v>
      </c>
    </row>
    <row r="8550" spans="1:9" x14ac:dyDescent="0.2">
      <c r="A8550" s="134">
        <v>45888</v>
      </c>
      <c r="B8550" s="135">
        <f>YEAR(source[[#This Row],[report_date]])</f>
        <v>2025</v>
      </c>
      <c r="C8550" s="128">
        <f t="shared" si="397"/>
        <v>8</v>
      </c>
      <c r="D8550" s="136">
        <f t="shared" si="399"/>
        <v>34</v>
      </c>
      <c r="E8550" s="136">
        <f t="shared" si="398"/>
        <v>19</v>
      </c>
      <c r="F8550" s="128" t="s">
        <v>24</v>
      </c>
      <c r="G8550" s="128" t="str">
        <f>VLOOKUP(source[[#This Row],[lending_product_transform]],[3]Mapping!$B$4:$C$37,2,0)</f>
        <v>[Cake] - Cashloan</v>
      </c>
      <c r="H8550" s="128" t="str">
        <f>VLOOKUP(source[[#This Row],[lending_product_transform]],[3]Mapping!$B$3:$D$37,3,0)</f>
        <v>cashloan</v>
      </c>
      <c r="I8550" s="173">
        <v>5406156000</v>
      </c>
    </row>
    <row r="8551" spans="1:9" x14ac:dyDescent="0.2">
      <c r="A8551" s="134">
        <v>45888</v>
      </c>
      <c r="B8551" s="135">
        <f>YEAR(source[[#This Row],[report_date]])</f>
        <v>2025</v>
      </c>
      <c r="C8551" s="128">
        <f t="shared" si="397"/>
        <v>8</v>
      </c>
      <c r="D8551" s="136">
        <f t="shared" si="399"/>
        <v>34</v>
      </c>
      <c r="E8551" s="136">
        <f t="shared" si="398"/>
        <v>19</v>
      </c>
      <c r="F8551" s="128" t="s">
        <v>24</v>
      </c>
      <c r="G8551" s="128" t="str">
        <f>VLOOKUP(source[[#This Row],[lending_product_transform]],[3]Mapping!$B$4:$C$37,2,0)</f>
        <v>[Cake] - Cashloan</v>
      </c>
      <c r="H8551" s="128" t="str">
        <f>VLOOKUP(source[[#This Row],[lending_product_transform]],[3]Mapping!$B$3:$D$37,3,0)</f>
        <v>cashloan</v>
      </c>
      <c r="I8551" s="173">
        <v>9502530000</v>
      </c>
    </row>
    <row r="8552" spans="1:9" x14ac:dyDescent="0.2">
      <c r="A8552" s="134">
        <v>45889</v>
      </c>
      <c r="B8552" s="135">
        <f>YEAR(source[[#This Row],[report_date]])</f>
        <v>2025</v>
      </c>
      <c r="C8552" s="128">
        <f t="shared" si="397"/>
        <v>8</v>
      </c>
      <c r="D8552" s="136">
        <f t="shared" si="399"/>
        <v>34</v>
      </c>
      <c r="E8552" s="136">
        <f t="shared" si="398"/>
        <v>20</v>
      </c>
      <c r="F8552" s="128" t="s">
        <v>24</v>
      </c>
      <c r="G8552" s="128" t="str">
        <f>VLOOKUP(source[[#This Row],[lending_product_transform]],[3]Mapping!$B$4:$C$37,2,0)</f>
        <v>[Cake] - Cashloan</v>
      </c>
      <c r="H8552" s="128" t="str">
        <f>VLOOKUP(source[[#This Row],[lending_product_transform]],[3]Mapping!$B$3:$D$37,3,0)</f>
        <v>cashloan</v>
      </c>
      <c r="I8552" s="173">
        <v>19558614</v>
      </c>
    </row>
    <row r="8553" spans="1:9" x14ac:dyDescent="0.2">
      <c r="A8553" s="134">
        <v>45889</v>
      </c>
      <c r="B8553" s="135">
        <f>YEAR(source[[#This Row],[report_date]])</f>
        <v>2025</v>
      </c>
      <c r="C8553" s="128">
        <f t="shared" si="397"/>
        <v>8</v>
      </c>
      <c r="D8553" s="136">
        <f t="shared" si="399"/>
        <v>34</v>
      </c>
      <c r="E8553" s="136">
        <f t="shared" si="398"/>
        <v>20</v>
      </c>
      <c r="F8553" s="128" t="s">
        <v>24</v>
      </c>
      <c r="G8553" s="128" t="str">
        <f>VLOOKUP(source[[#This Row],[lending_product_transform]],[3]Mapping!$B$4:$C$37,2,0)</f>
        <v>[Cake] - Cashloan</v>
      </c>
      <c r="H8553" s="128" t="str">
        <f>VLOOKUP(source[[#This Row],[lending_product_transform]],[3]Mapping!$B$3:$D$37,3,0)</f>
        <v>cashloan</v>
      </c>
      <c r="I8553" s="173">
        <v>2638730000</v>
      </c>
    </row>
    <row r="8554" spans="1:9" x14ac:dyDescent="0.2">
      <c r="A8554" s="134">
        <v>45889</v>
      </c>
      <c r="B8554" s="135">
        <f>YEAR(source[[#This Row],[report_date]])</f>
        <v>2025</v>
      </c>
      <c r="C8554" s="128">
        <f t="shared" si="397"/>
        <v>8</v>
      </c>
      <c r="D8554" s="136">
        <f t="shared" si="399"/>
        <v>34</v>
      </c>
      <c r="E8554" s="136">
        <f t="shared" si="398"/>
        <v>20</v>
      </c>
      <c r="F8554" s="128" t="s">
        <v>24</v>
      </c>
      <c r="G8554" s="128" t="str">
        <f>VLOOKUP(source[[#This Row],[lending_product_transform]],[3]Mapping!$B$4:$C$37,2,0)</f>
        <v>[Cake] - Cashloan</v>
      </c>
      <c r="H8554" s="128" t="str">
        <f>VLOOKUP(source[[#This Row],[lending_product_transform]],[3]Mapping!$B$3:$D$37,3,0)</f>
        <v>cashloan</v>
      </c>
      <c r="I8554" s="173">
        <v>193102464</v>
      </c>
    </row>
    <row r="8555" spans="1:9" x14ac:dyDescent="0.2">
      <c r="A8555" s="134">
        <v>45889</v>
      </c>
      <c r="B8555" s="135">
        <f>YEAR(source[[#This Row],[report_date]])</f>
        <v>2025</v>
      </c>
      <c r="C8555" s="128">
        <f t="shared" si="397"/>
        <v>8</v>
      </c>
      <c r="D8555" s="136">
        <f t="shared" si="399"/>
        <v>34</v>
      </c>
      <c r="E8555" s="136">
        <f t="shared" si="398"/>
        <v>20</v>
      </c>
      <c r="F8555" s="128" t="s">
        <v>24</v>
      </c>
      <c r="G8555" s="128" t="str">
        <f>VLOOKUP(source[[#This Row],[lending_product_transform]],[3]Mapping!$B$4:$C$37,2,0)</f>
        <v>[Cake] - Cashloan</v>
      </c>
      <c r="H8555" s="128" t="str">
        <f>VLOOKUP(source[[#This Row],[lending_product_transform]],[3]Mapping!$B$3:$D$37,3,0)</f>
        <v>cashloan</v>
      </c>
      <c r="I8555" s="173">
        <v>10500000</v>
      </c>
    </row>
    <row r="8556" spans="1:9" x14ac:dyDescent="0.2">
      <c r="A8556" s="134">
        <v>45889</v>
      </c>
      <c r="B8556" s="135">
        <f>YEAR(source[[#This Row],[report_date]])</f>
        <v>2025</v>
      </c>
      <c r="C8556" s="128">
        <f t="shared" si="397"/>
        <v>8</v>
      </c>
      <c r="D8556" s="136">
        <f t="shared" si="399"/>
        <v>34</v>
      </c>
      <c r="E8556" s="136">
        <f t="shared" si="398"/>
        <v>20</v>
      </c>
      <c r="F8556" s="128" t="s">
        <v>24</v>
      </c>
      <c r="G8556" s="128" t="str">
        <f>VLOOKUP(source[[#This Row],[lending_product_transform]],[3]Mapping!$B$4:$C$37,2,0)</f>
        <v>[Cake] - Cashloan</v>
      </c>
      <c r="H8556" s="128" t="str">
        <f>VLOOKUP(source[[#This Row],[lending_product_transform]],[3]Mapping!$B$3:$D$37,3,0)</f>
        <v>cashloan</v>
      </c>
      <c r="I8556" s="173">
        <v>31500000</v>
      </c>
    </row>
    <row r="8557" spans="1:9" x14ac:dyDescent="0.2">
      <c r="A8557" s="134">
        <v>45889</v>
      </c>
      <c r="B8557" s="135">
        <f>YEAR(source[[#This Row],[report_date]])</f>
        <v>2025</v>
      </c>
      <c r="C8557" s="128">
        <f t="shared" si="397"/>
        <v>8</v>
      </c>
      <c r="D8557" s="136">
        <f t="shared" si="399"/>
        <v>34</v>
      </c>
      <c r="E8557" s="136">
        <f t="shared" si="398"/>
        <v>20</v>
      </c>
      <c r="F8557" s="128" t="s">
        <v>24</v>
      </c>
      <c r="G8557" s="128" t="str">
        <f>VLOOKUP(source[[#This Row],[lending_product_transform]],[3]Mapping!$B$4:$C$37,2,0)</f>
        <v>[Cake] - Cashloan</v>
      </c>
      <c r="H8557" s="128" t="str">
        <f>VLOOKUP(source[[#This Row],[lending_product_transform]],[3]Mapping!$B$3:$D$37,3,0)</f>
        <v>cashloan</v>
      </c>
      <c r="I8557" s="173">
        <v>12013560000</v>
      </c>
    </row>
    <row r="8558" spans="1:9" x14ac:dyDescent="0.2">
      <c r="A8558" s="134">
        <v>45889</v>
      </c>
      <c r="B8558" s="135">
        <f>YEAR(source[[#This Row],[report_date]])</f>
        <v>2025</v>
      </c>
      <c r="C8558" s="128">
        <f t="shared" si="397"/>
        <v>8</v>
      </c>
      <c r="D8558" s="136">
        <f t="shared" si="399"/>
        <v>34</v>
      </c>
      <c r="E8558" s="136">
        <f t="shared" si="398"/>
        <v>20</v>
      </c>
      <c r="F8558" s="128" t="s">
        <v>24</v>
      </c>
      <c r="G8558" s="128" t="str">
        <f>VLOOKUP(source[[#This Row],[lending_product_transform]],[3]Mapping!$B$4:$C$37,2,0)</f>
        <v>[Cake] - Cashloan</v>
      </c>
      <c r="H8558" s="128" t="str">
        <f>VLOOKUP(source[[#This Row],[lending_product_transform]],[3]Mapping!$B$3:$D$37,3,0)</f>
        <v>cashloan</v>
      </c>
      <c r="I8558" s="173">
        <v>24000000</v>
      </c>
    </row>
    <row r="8559" spans="1:9" x14ac:dyDescent="0.2">
      <c r="A8559" s="134">
        <v>45889</v>
      </c>
      <c r="B8559" s="135">
        <f>YEAR(source[[#This Row],[report_date]])</f>
        <v>2025</v>
      </c>
      <c r="C8559" s="128">
        <f t="shared" si="397"/>
        <v>8</v>
      </c>
      <c r="D8559" s="136">
        <f t="shared" si="399"/>
        <v>34</v>
      </c>
      <c r="E8559" s="136">
        <f t="shared" si="398"/>
        <v>20</v>
      </c>
      <c r="F8559" s="128" t="s">
        <v>24</v>
      </c>
      <c r="G8559" s="128" t="str">
        <f>VLOOKUP(source[[#This Row],[lending_product_transform]],[3]Mapping!$B$4:$C$37,2,0)</f>
        <v>[Cake] - Cashloan</v>
      </c>
      <c r="H8559" s="128" t="str">
        <f>VLOOKUP(source[[#This Row],[lending_product_transform]],[3]Mapping!$B$3:$D$37,3,0)</f>
        <v>cashloan</v>
      </c>
      <c r="I8559" s="173">
        <v>0</v>
      </c>
    </row>
    <row r="8560" spans="1:9" x14ac:dyDescent="0.2">
      <c r="A8560" s="134">
        <v>45889</v>
      </c>
      <c r="B8560" s="135">
        <f>YEAR(source[[#This Row],[report_date]])</f>
        <v>2025</v>
      </c>
      <c r="C8560" s="128">
        <f t="shared" si="397"/>
        <v>8</v>
      </c>
      <c r="D8560" s="136">
        <f t="shared" si="399"/>
        <v>34</v>
      </c>
      <c r="E8560" s="136">
        <f t="shared" si="398"/>
        <v>20</v>
      </c>
      <c r="F8560" s="128" t="s">
        <v>24</v>
      </c>
      <c r="G8560" s="128" t="str">
        <f>VLOOKUP(source[[#This Row],[lending_product_transform]],[3]Mapping!$B$4:$C$37,2,0)</f>
        <v>[Cake] - Cashloan</v>
      </c>
      <c r="H8560" s="128" t="str">
        <f>VLOOKUP(source[[#This Row],[lending_product_transform]],[3]Mapping!$B$3:$D$37,3,0)</f>
        <v>cashloan</v>
      </c>
      <c r="I8560" s="173">
        <v>10000000</v>
      </c>
    </row>
    <row r="8561" spans="1:9" x14ac:dyDescent="0.2">
      <c r="A8561" s="134">
        <v>45889</v>
      </c>
      <c r="B8561" s="135">
        <f>YEAR(source[[#This Row],[report_date]])</f>
        <v>2025</v>
      </c>
      <c r="C8561" s="128">
        <f t="shared" si="397"/>
        <v>8</v>
      </c>
      <c r="D8561" s="136">
        <f t="shared" si="399"/>
        <v>34</v>
      </c>
      <c r="E8561" s="136">
        <f t="shared" si="398"/>
        <v>20</v>
      </c>
      <c r="F8561" s="128" t="s">
        <v>24</v>
      </c>
      <c r="G8561" s="128" t="str">
        <f>VLOOKUP(source[[#This Row],[lending_product_transform]],[3]Mapping!$B$4:$C$37,2,0)</f>
        <v>[Cake] - Cashloan</v>
      </c>
      <c r="H8561" s="128" t="str">
        <f>VLOOKUP(source[[#This Row],[lending_product_transform]],[3]Mapping!$B$3:$D$37,3,0)</f>
        <v>cashloan</v>
      </c>
      <c r="I8561" s="173">
        <v>353690000</v>
      </c>
    </row>
    <row r="8562" spans="1:9" x14ac:dyDescent="0.2">
      <c r="A8562" s="134">
        <v>45889</v>
      </c>
      <c r="B8562" s="135">
        <f>YEAR(source[[#This Row],[report_date]])</f>
        <v>2025</v>
      </c>
      <c r="C8562" s="128">
        <f t="shared" si="397"/>
        <v>8</v>
      </c>
      <c r="D8562" s="136">
        <f t="shared" si="399"/>
        <v>34</v>
      </c>
      <c r="E8562" s="136">
        <f t="shared" si="398"/>
        <v>20</v>
      </c>
      <c r="F8562" s="128" t="s">
        <v>24</v>
      </c>
      <c r="G8562" s="128" t="str">
        <f>VLOOKUP(source[[#This Row],[lending_product_transform]],[3]Mapping!$B$4:$C$37,2,0)</f>
        <v>[Cake] - Cashloan</v>
      </c>
      <c r="H8562" s="128" t="str">
        <f>VLOOKUP(source[[#This Row],[lending_product_transform]],[3]Mapping!$B$3:$D$37,3,0)</f>
        <v>cashloan</v>
      </c>
      <c r="I8562" s="173">
        <v>365790000</v>
      </c>
    </row>
    <row r="8563" spans="1:9" x14ac:dyDescent="0.2">
      <c r="A8563" s="134">
        <v>45889</v>
      </c>
      <c r="B8563" s="135">
        <f>YEAR(source[[#This Row],[report_date]])</f>
        <v>2025</v>
      </c>
      <c r="C8563" s="128">
        <f t="shared" si="397"/>
        <v>8</v>
      </c>
      <c r="D8563" s="136">
        <f t="shared" si="399"/>
        <v>34</v>
      </c>
      <c r="E8563" s="136">
        <f t="shared" si="398"/>
        <v>20</v>
      </c>
      <c r="F8563" s="128" t="s">
        <v>24</v>
      </c>
      <c r="G8563" s="128" t="str">
        <f>VLOOKUP(source[[#This Row],[lending_product_transform]],[3]Mapping!$B$4:$C$37,2,0)</f>
        <v>[Cake] - Cashloan</v>
      </c>
      <c r="H8563" s="128" t="str">
        <f>VLOOKUP(source[[#This Row],[lending_product_transform]],[3]Mapping!$B$3:$D$37,3,0)</f>
        <v>cashloan</v>
      </c>
      <c r="I8563" s="173">
        <v>225755201</v>
      </c>
    </row>
    <row r="8564" spans="1:9" x14ac:dyDescent="0.2">
      <c r="A8564" s="134">
        <v>45889</v>
      </c>
      <c r="B8564" s="135">
        <f>YEAR(source[[#This Row],[report_date]])</f>
        <v>2025</v>
      </c>
      <c r="C8564" s="128">
        <f t="shared" si="397"/>
        <v>8</v>
      </c>
      <c r="D8564" s="136">
        <f t="shared" si="399"/>
        <v>34</v>
      </c>
      <c r="E8564" s="136">
        <f t="shared" si="398"/>
        <v>20</v>
      </c>
      <c r="F8564" s="128" t="s">
        <v>24</v>
      </c>
      <c r="G8564" s="128" t="str">
        <f>VLOOKUP(source[[#This Row],[lending_product_transform]],[3]Mapping!$B$4:$C$37,2,0)</f>
        <v>[Cake] - Cashloan</v>
      </c>
      <c r="H8564" s="128" t="str">
        <f>VLOOKUP(source[[#This Row],[lending_product_transform]],[3]Mapping!$B$3:$D$37,3,0)</f>
        <v>cashloan</v>
      </c>
      <c r="I8564" s="173">
        <v>1928170000</v>
      </c>
    </row>
    <row r="8565" spans="1:9" x14ac:dyDescent="0.2">
      <c r="A8565" s="134">
        <v>45889</v>
      </c>
      <c r="B8565" s="135">
        <f>YEAR(source[[#This Row],[report_date]])</f>
        <v>2025</v>
      </c>
      <c r="C8565" s="128">
        <f t="shared" si="397"/>
        <v>8</v>
      </c>
      <c r="D8565" s="136">
        <f t="shared" si="399"/>
        <v>34</v>
      </c>
      <c r="E8565" s="136">
        <f t="shared" si="398"/>
        <v>20</v>
      </c>
      <c r="F8565" s="128" t="s">
        <v>24</v>
      </c>
      <c r="G8565" s="128" t="str">
        <f>VLOOKUP(source[[#This Row],[lending_product_transform]],[3]Mapping!$B$4:$C$37,2,0)</f>
        <v>[Cake] - Cashloan</v>
      </c>
      <c r="H8565" s="128" t="str">
        <f>VLOOKUP(source[[#This Row],[lending_product_transform]],[3]Mapping!$B$3:$D$37,3,0)</f>
        <v>cashloan</v>
      </c>
      <c r="I8565" s="173">
        <v>267393452</v>
      </c>
    </row>
    <row r="8566" spans="1:9" x14ac:dyDescent="0.2">
      <c r="A8566" s="134">
        <v>45889</v>
      </c>
      <c r="B8566" s="135">
        <f>YEAR(source[[#This Row],[report_date]])</f>
        <v>2025</v>
      </c>
      <c r="C8566" s="128">
        <f t="shared" ref="C8566:C8629" si="400">MONTH(A8566)</f>
        <v>8</v>
      </c>
      <c r="D8566" s="136">
        <f t="shared" si="399"/>
        <v>34</v>
      </c>
      <c r="E8566" s="136">
        <f t="shared" ref="E8566:E8629" si="401">DAY(A8566)</f>
        <v>20</v>
      </c>
      <c r="F8566" s="128" t="s">
        <v>24</v>
      </c>
      <c r="G8566" s="128" t="str">
        <f>VLOOKUP(source[[#This Row],[lending_product_transform]],[3]Mapping!$B$4:$C$37,2,0)</f>
        <v>[Cake] - Cashloan</v>
      </c>
      <c r="H8566" s="128" t="str">
        <f>VLOOKUP(source[[#This Row],[lending_product_transform]],[3]Mapping!$B$3:$D$37,3,0)</f>
        <v>cashloan</v>
      </c>
      <c r="I8566" s="173">
        <v>6554520000</v>
      </c>
    </row>
    <row r="8567" spans="1:9" x14ac:dyDescent="0.2">
      <c r="A8567" s="134">
        <v>45889</v>
      </c>
      <c r="B8567" s="135">
        <f>YEAR(source[[#This Row],[report_date]])</f>
        <v>2025</v>
      </c>
      <c r="C8567" s="128">
        <f t="shared" si="400"/>
        <v>8</v>
      </c>
      <c r="D8567" s="136">
        <f t="shared" si="399"/>
        <v>34</v>
      </c>
      <c r="E8567" s="136">
        <f t="shared" si="401"/>
        <v>20</v>
      </c>
      <c r="F8567" s="128" t="s">
        <v>24</v>
      </c>
      <c r="G8567" s="128" t="str">
        <f>VLOOKUP(source[[#This Row],[lending_product_transform]],[3]Mapping!$B$4:$C$37,2,0)</f>
        <v>[Cake] - Cashloan</v>
      </c>
      <c r="H8567" s="128" t="str">
        <f>VLOOKUP(source[[#This Row],[lending_product_transform]],[3]Mapping!$B$3:$D$37,3,0)</f>
        <v>cashloan</v>
      </c>
      <c r="I8567" s="173">
        <v>4925448000</v>
      </c>
    </row>
    <row r="8568" spans="1:9" x14ac:dyDescent="0.2">
      <c r="A8568" s="134">
        <v>45889</v>
      </c>
      <c r="B8568" s="135">
        <f>YEAR(source[[#This Row],[report_date]])</f>
        <v>2025</v>
      </c>
      <c r="C8568" s="128">
        <f t="shared" si="400"/>
        <v>8</v>
      </c>
      <c r="D8568" s="136">
        <f t="shared" si="399"/>
        <v>34</v>
      </c>
      <c r="E8568" s="136">
        <f t="shared" si="401"/>
        <v>20</v>
      </c>
      <c r="F8568" s="128" t="s">
        <v>24</v>
      </c>
      <c r="G8568" s="128" t="str">
        <f>VLOOKUP(source[[#This Row],[lending_product_transform]],[3]Mapping!$B$4:$C$37,2,0)</f>
        <v>[Cake] - Cashloan</v>
      </c>
      <c r="H8568" s="128" t="str">
        <f>VLOOKUP(source[[#This Row],[lending_product_transform]],[3]Mapping!$B$3:$D$37,3,0)</f>
        <v>cashloan</v>
      </c>
      <c r="I8568" s="173">
        <v>2936956018</v>
      </c>
    </row>
    <row r="8569" spans="1:9" x14ac:dyDescent="0.2">
      <c r="A8569" s="134">
        <v>45889</v>
      </c>
      <c r="B8569" s="135">
        <f>YEAR(source[[#This Row],[report_date]])</f>
        <v>2025</v>
      </c>
      <c r="C8569" s="128">
        <f t="shared" si="400"/>
        <v>8</v>
      </c>
      <c r="D8569" s="136">
        <f t="shared" si="399"/>
        <v>34</v>
      </c>
      <c r="E8569" s="136">
        <f t="shared" si="401"/>
        <v>20</v>
      </c>
      <c r="F8569" s="128" t="s">
        <v>24</v>
      </c>
      <c r="G8569" s="128" t="str">
        <f>VLOOKUP(source[[#This Row],[lending_product_transform]],[3]Mapping!$B$4:$C$37,2,0)</f>
        <v>[Cake] - Cashloan</v>
      </c>
      <c r="H8569" s="128" t="str">
        <f>VLOOKUP(source[[#This Row],[lending_product_transform]],[3]Mapping!$B$3:$D$37,3,0)</f>
        <v>cashloan</v>
      </c>
      <c r="I8569" s="173">
        <v>11625880000</v>
      </c>
    </row>
    <row r="8570" spans="1:9" x14ac:dyDescent="0.2">
      <c r="A8570" s="134">
        <v>45890</v>
      </c>
      <c r="B8570" s="135">
        <f>YEAR(source[[#This Row],[report_date]])</f>
        <v>2025</v>
      </c>
      <c r="C8570" s="128">
        <f t="shared" si="400"/>
        <v>8</v>
      </c>
      <c r="D8570" s="136">
        <f t="shared" si="399"/>
        <v>34</v>
      </c>
      <c r="E8570" s="136">
        <f t="shared" si="401"/>
        <v>21</v>
      </c>
      <c r="F8570" s="128" t="s">
        <v>24</v>
      </c>
      <c r="G8570" s="128" t="str">
        <f>VLOOKUP(source[[#This Row],[lending_product_transform]],[3]Mapping!$B$4:$C$37,2,0)</f>
        <v>[Cake] - Cashloan</v>
      </c>
      <c r="H8570" s="128" t="str">
        <f>VLOOKUP(source[[#This Row],[lending_product_transform]],[3]Mapping!$B$3:$D$37,3,0)</f>
        <v>cashloan</v>
      </c>
      <c r="I8570" s="173">
        <v>5028480000</v>
      </c>
    </row>
    <row r="8571" spans="1:9" x14ac:dyDescent="0.2">
      <c r="A8571" s="134">
        <v>45890</v>
      </c>
      <c r="B8571" s="135">
        <f>YEAR(source[[#This Row],[report_date]])</f>
        <v>2025</v>
      </c>
      <c r="C8571" s="128">
        <f t="shared" si="400"/>
        <v>8</v>
      </c>
      <c r="D8571" s="136">
        <f t="shared" si="399"/>
        <v>34</v>
      </c>
      <c r="E8571" s="136">
        <f t="shared" si="401"/>
        <v>21</v>
      </c>
      <c r="F8571" s="128" t="s">
        <v>24</v>
      </c>
      <c r="G8571" s="128" t="str">
        <f>VLOOKUP(source[[#This Row],[lending_product_transform]],[3]Mapping!$B$4:$C$37,2,0)</f>
        <v>[Cake] - Cashloan</v>
      </c>
      <c r="H8571" s="128" t="str">
        <f>VLOOKUP(source[[#This Row],[lending_product_transform]],[3]Mapping!$B$3:$D$37,3,0)</f>
        <v>cashloan</v>
      </c>
      <c r="I8571" s="173">
        <v>11363960000</v>
      </c>
    </row>
    <row r="8572" spans="1:9" x14ac:dyDescent="0.2">
      <c r="A8572" s="134">
        <v>45890</v>
      </c>
      <c r="B8572" s="135">
        <f>YEAR(source[[#This Row],[report_date]])</f>
        <v>2025</v>
      </c>
      <c r="C8572" s="128">
        <f t="shared" si="400"/>
        <v>8</v>
      </c>
      <c r="D8572" s="136">
        <f t="shared" si="399"/>
        <v>34</v>
      </c>
      <c r="E8572" s="136">
        <f t="shared" si="401"/>
        <v>21</v>
      </c>
      <c r="F8572" s="128" t="s">
        <v>24</v>
      </c>
      <c r="G8572" s="128" t="str">
        <f>VLOOKUP(source[[#This Row],[lending_product_transform]],[3]Mapping!$B$4:$C$37,2,0)</f>
        <v>[Cake] - Cashloan</v>
      </c>
      <c r="H8572" s="128" t="str">
        <f>VLOOKUP(source[[#This Row],[lending_product_transform]],[3]Mapping!$B$3:$D$37,3,0)</f>
        <v>cashloan</v>
      </c>
      <c r="I8572" s="173">
        <v>2032870000</v>
      </c>
    </row>
    <row r="8573" spans="1:9" x14ac:dyDescent="0.2">
      <c r="A8573" s="134">
        <v>45890</v>
      </c>
      <c r="B8573" s="135">
        <f>YEAR(source[[#This Row],[report_date]])</f>
        <v>2025</v>
      </c>
      <c r="C8573" s="128">
        <f t="shared" si="400"/>
        <v>8</v>
      </c>
      <c r="D8573" s="136">
        <f t="shared" si="399"/>
        <v>34</v>
      </c>
      <c r="E8573" s="136">
        <f t="shared" si="401"/>
        <v>21</v>
      </c>
      <c r="F8573" s="128" t="s">
        <v>24</v>
      </c>
      <c r="G8573" s="128" t="str">
        <f>VLOOKUP(source[[#This Row],[lending_product_transform]],[3]Mapping!$B$4:$C$37,2,0)</f>
        <v>[Cake] - Cashloan</v>
      </c>
      <c r="H8573" s="128" t="str">
        <f>VLOOKUP(source[[#This Row],[lending_product_transform]],[3]Mapping!$B$3:$D$37,3,0)</f>
        <v>cashloan</v>
      </c>
      <c r="I8573" s="173">
        <v>2664330072</v>
      </c>
    </row>
    <row r="8574" spans="1:9" x14ac:dyDescent="0.2">
      <c r="A8574" s="134">
        <v>45890</v>
      </c>
      <c r="B8574" s="135">
        <f>YEAR(source[[#This Row],[report_date]])</f>
        <v>2025</v>
      </c>
      <c r="C8574" s="128">
        <f t="shared" si="400"/>
        <v>8</v>
      </c>
      <c r="D8574" s="136">
        <f t="shared" si="399"/>
        <v>34</v>
      </c>
      <c r="E8574" s="136">
        <f t="shared" si="401"/>
        <v>21</v>
      </c>
      <c r="F8574" s="128" t="s">
        <v>24</v>
      </c>
      <c r="G8574" s="128" t="str">
        <f>VLOOKUP(source[[#This Row],[lending_product_transform]],[3]Mapping!$B$4:$C$37,2,0)</f>
        <v>[Cake] - Cashloan</v>
      </c>
      <c r="H8574" s="128" t="str">
        <f>VLOOKUP(source[[#This Row],[lending_product_transform]],[3]Mapping!$B$3:$D$37,3,0)</f>
        <v>cashloan</v>
      </c>
      <c r="I8574" s="173">
        <v>6130296000</v>
      </c>
    </row>
    <row r="8575" spans="1:9" x14ac:dyDescent="0.2">
      <c r="A8575" s="134">
        <v>45890</v>
      </c>
      <c r="B8575" s="135">
        <f>YEAR(source[[#This Row],[report_date]])</f>
        <v>2025</v>
      </c>
      <c r="C8575" s="128">
        <f t="shared" si="400"/>
        <v>8</v>
      </c>
      <c r="D8575" s="136">
        <f t="shared" si="399"/>
        <v>34</v>
      </c>
      <c r="E8575" s="136">
        <f t="shared" si="401"/>
        <v>21</v>
      </c>
      <c r="F8575" s="128" t="s">
        <v>24</v>
      </c>
      <c r="G8575" s="128" t="str">
        <f>VLOOKUP(source[[#This Row],[lending_product_transform]],[3]Mapping!$B$4:$C$37,2,0)</f>
        <v>[Cake] - Cashloan</v>
      </c>
      <c r="H8575" s="128" t="str">
        <f>VLOOKUP(source[[#This Row],[lending_product_transform]],[3]Mapping!$B$3:$D$37,3,0)</f>
        <v>cashloan</v>
      </c>
      <c r="I8575" s="173">
        <v>30000000</v>
      </c>
    </row>
    <row r="8576" spans="1:9" x14ac:dyDescent="0.2">
      <c r="A8576" s="134">
        <v>45890</v>
      </c>
      <c r="B8576" s="135">
        <f>YEAR(source[[#This Row],[report_date]])</f>
        <v>2025</v>
      </c>
      <c r="C8576" s="128">
        <f t="shared" si="400"/>
        <v>8</v>
      </c>
      <c r="D8576" s="136">
        <f t="shared" si="399"/>
        <v>34</v>
      </c>
      <c r="E8576" s="136">
        <f t="shared" si="401"/>
        <v>21</v>
      </c>
      <c r="F8576" s="128" t="s">
        <v>24</v>
      </c>
      <c r="G8576" s="128" t="str">
        <f>VLOOKUP(source[[#This Row],[lending_product_transform]],[3]Mapping!$B$4:$C$37,2,0)</f>
        <v>[Cake] - Cashloan</v>
      </c>
      <c r="H8576" s="128" t="str">
        <f>VLOOKUP(source[[#This Row],[lending_product_transform]],[3]Mapping!$B$3:$D$37,3,0)</f>
        <v>cashloan</v>
      </c>
      <c r="I8576" s="173">
        <v>346184515</v>
      </c>
    </row>
    <row r="8577" spans="1:9" x14ac:dyDescent="0.2">
      <c r="A8577" s="134">
        <v>45890</v>
      </c>
      <c r="B8577" s="135">
        <f>YEAR(source[[#This Row],[report_date]])</f>
        <v>2025</v>
      </c>
      <c r="C8577" s="128">
        <f t="shared" si="400"/>
        <v>8</v>
      </c>
      <c r="D8577" s="136">
        <f t="shared" si="399"/>
        <v>34</v>
      </c>
      <c r="E8577" s="136">
        <f t="shared" si="401"/>
        <v>21</v>
      </c>
      <c r="F8577" s="128" t="s">
        <v>24</v>
      </c>
      <c r="G8577" s="128" t="str">
        <f>VLOOKUP(source[[#This Row],[lending_product_transform]],[3]Mapping!$B$4:$C$37,2,0)</f>
        <v>[Cake] - Cashloan</v>
      </c>
      <c r="H8577" s="128" t="str">
        <f>VLOOKUP(source[[#This Row],[lending_product_transform]],[3]Mapping!$B$3:$D$37,3,0)</f>
        <v>cashloan</v>
      </c>
      <c r="I8577" s="173">
        <v>2287020000</v>
      </c>
    </row>
    <row r="8578" spans="1:9" x14ac:dyDescent="0.2">
      <c r="A8578" s="134">
        <v>45890</v>
      </c>
      <c r="B8578" s="135">
        <f>YEAR(source[[#This Row],[report_date]])</f>
        <v>2025</v>
      </c>
      <c r="C8578" s="128">
        <f t="shared" si="400"/>
        <v>8</v>
      </c>
      <c r="D8578" s="136">
        <f t="shared" si="399"/>
        <v>34</v>
      </c>
      <c r="E8578" s="136">
        <f t="shared" si="401"/>
        <v>21</v>
      </c>
      <c r="F8578" s="128" t="s">
        <v>24</v>
      </c>
      <c r="G8578" s="128" t="str">
        <f>VLOOKUP(source[[#This Row],[lending_product_transform]],[3]Mapping!$B$4:$C$37,2,0)</f>
        <v>[Cake] - Cashloan</v>
      </c>
      <c r="H8578" s="128" t="str">
        <f>VLOOKUP(source[[#This Row],[lending_product_transform]],[3]Mapping!$B$3:$D$37,3,0)</f>
        <v>cashloan</v>
      </c>
      <c r="I8578" s="173">
        <v>254748232</v>
      </c>
    </row>
    <row r="8579" spans="1:9" x14ac:dyDescent="0.2">
      <c r="A8579" s="134">
        <v>45890</v>
      </c>
      <c r="B8579" s="135">
        <f>YEAR(source[[#This Row],[report_date]])</f>
        <v>2025</v>
      </c>
      <c r="C8579" s="128">
        <f t="shared" si="400"/>
        <v>8</v>
      </c>
      <c r="D8579" s="136">
        <f t="shared" ref="D8579:D8642" si="402">WEEKNUM(A8579,2)</f>
        <v>34</v>
      </c>
      <c r="E8579" s="136">
        <f t="shared" si="401"/>
        <v>21</v>
      </c>
      <c r="F8579" s="128" t="s">
        <v>24</v>
      </c>
      <c r="G8579" s="128" t="str">
        <f>VLOOKUP(source[[#This Row],[lending_product_transform]],[3]Mapping!$B$4:$C$37,2,0)</f>
        <v>[Cake] - Cashloan</v>
      </c>
      <c r="H8579" s="128" t="str">
        <f>VLOOKUP(source[[#This Row],[lending_product_transform]],[3]Mapping!$B$3:$D$37,3,0)</f>
        <v>cashloan</v>
      </c>
      <c r="I8579" s="173">
        <v>0</v>
      </c>
    </row>
    <row r="8580" spans="1:9" x14ac:dyDescent="0.2">
      <c r="A8580" s="134">
        <v>45890</v>
      </c>
      <c r="B8580" s="135">
        <f>YEAR(source[[#This Row],[report_date]])</f>
        <v>2025</v>
      </c>
      <c r="C8580" s="128">
        <f t="shared" si="400"/>
        <v>8</v>
      </c>
      <c r="D8580" s="136">
        <f t="shared" si="402"/>
        <v>34</v>
      </c>
      <c r="E8580" s="136">
        <f t="shared" si="401"/>
        <v>21</v>
      </c>
      <c r="F8580" s="128" t="s">
        <v>24</v>
      </c>
      <c r="G8580" s="128" t="str">
        <f>VLOOKUP(source[[#This Row],[lending_product_transform]],[3]Mapping!$B$4:$C$37,2,0)</f>
        <v>[Cake] - Cashloan</v>
      </c>
      <c r="H8580" s="128" t="str">
        <f>VLOOKUP(source[[#This Row],[lending_product_transform]],[3]Mapping!$B$3:$D$37,3,0)</f>
        <v>cashloan</v>
      </c>
      <c r="I8580" s="173">
        <v>258632190</v>
      </c>
    </row>
    <row r="8581" spans="1:9" x14ac:dyDescent="0.2">
      <c r="A8581" s="134">
        <v>45890</v>
      </c>
      <c r="B8581" s="135">
        <f>YEAR(source[[#This Row],[report_date]])</f>
        <v>2025</v>
      </c>
      <c r="C8581" s="128">
        <f t="shared" si="400"/>
        <v>8</v>
      </c>
      <c r="D8581" s="136">
        <f t="shared" si="402"/>
        <v>34</v>
      </c>
      <c r="E8581" s="136">
        <f t="shared" si="401"/>
        <v>21</v>
      </c>
      <c r="F8581" s="128" t="s">
        <v>24</v>
      </c>
      <c r="G8581" s="128" t="str">
        <f>VLOOKUP(source[[#This Row],[lending_product_transform]],[3]Mapping!$B$4:$C$37,2,0)</f>
        <v>[Cake] - Cashloan</v>
      </c>
      <c r="H8581" s="128" t="str">
        <f>VLOOKUP(source[[#This Row],[lending_product_transform]],[3]Mapping!$B$3:$D$37,3,0)</f>
        <v>cashloan</v>
      </c>
      <c r="I8581" s="173">
        <v>20500000</v>
      </c>
    </row>
    <row r="8582" spans="1:9" x14ac:dyDescent="0.2">
      <c r="A8582" s="134">
        <v>45890</v>
      </c>
      <c r="B8582" s="135">
        <f>YEAR(source[[#This Row],[report_date]])</f>
        <v>2025</v>
      </c>
      <c r="C8582" s="128">
        <f t="shared" si="400"/>
        <v>8</v>
      </c>
      <c r="D8582" s="136">
        <f t="shared" si="402"/>
        <v>34</v>
      </c>
      <c r="E8582" s="136">
        <f t="shared" si="401"/>
        <v>21</v>
      </c>
      <c r="F8582" s="128" t="s">
        <v>24</v>
      </c>
      <c r="G8582" s="128" t="str">
        <f>VLOOKUP(source[[#This Row],[lending_product_transform]],[3]Mapping!$B$4:$C$37,2,0)</f>
        <v>[Cake] - Cashloan</v>
      </c>
      <c r="H8582" s="128" t="str">
        <f>VLOOKUP(source[[#This Row],[lending_product_transform]],[3]Mapping!$B$3:$D$37,3,0)</f>
        <v>cashloan</v>
      </c>
      <c r="I8582" s="173">
        <v>0</v>
      </c>
    </row>
    <row r="8583" spans="1:9" x14ac:dyDescent="0.2">
      <c r="A8583" s="134">
        <v>45890</v>
      </c>
      <c r="B8583" s="135">
        <f>YEAR(source[[#This Row],[report_date]])</f>
        <v>2025</v>
      </c>
      <c r="C8583" s="128">
        <f t="shared" si="400"/>
        <v>8</v>
      </c>
      <c r="D8583" s="136">
        <f t="shared" si="402"/>
        <v>34</v>
      </c>
      <c r="E8583" s="136">
        <f t="shared" si="401"/>
        <v>21</v>
      </c>
      <c r="F8583" s="128" t="s">
        <v>24</v>
      </c>
      <c r="G8583" s="128" t="str">
        <f>VLOOKUP(source[[#This Row],[lending_product_transform]],[3]Mapping!$B$4:$C$37,2,0)</f>
        <v>[Cake] - Cashloan</v>
      </c>
      <c r="H8583" s="128" t="str">
        <f>VLOOKUP(source[[#This Row],[lending_product_transform]],[3]Mapping!$B$3:$D$37,3,0)</f>
        <v>cashloan</v>
      </c>
      <c r="I8583" s="173">
        <v>407360000</v>
      </c>
    </row>
    <row r="8584" spans="1:9" x14ac:dyDescent="0.2">
      <c r="A8584" s="134">
        <v>45890</v>
      </c>
      <c r="B8584" s="135">
        <f>YEAR(source[[#This Row],[report_date]])</f>
        <v>2025</v>
      </c>
      <c r="C8584" s="128">
        <f t="shared" si="400"/>
        <v>8</v>
      </c>
      <c r="D8584" s="136">
        <f t="shared" si="402"/>
        <v>34</v>
      </c>
      <c r="E8584" s="136">
        <f t="shared" si="401"/>
        <v>21</v>
      </c>
      <c r="F8584" s="128" t="s">
        <v>24</v>
      </c>
      <c r="G8584" s="128" t="str">
        <f>VLOOKUP(source[[#This Row],[lending_product_transform]],[3]Mapping!$B$4:$C$37,2,0)</f>
        <v>[Cake] - Cashloan</v>
      </c>
      <c r="H8584" s="128" t="str">
        <f>VLOOKUP(source[[#This Row],[lending_product_transform]],[3]Mapping!$B$3:$D$37,3,0)</f>
        <v>cashloan</v>
      </c>
      <c r="I8584" s="173">
        <v>349886000</v>
      </c>
    </row>
    <row r="8585" spans="1:9" x14ac:dyDescent="0.2">
      <c r="A8585" s="134">
        <v>45890</v>
      </c>
      <c r="B8585" s="135">
        <f>YEAR(source[[#This Row],[report_date]])</f>
        <v>2025</v>
      </c>
      <c r="C8585" s="128">
        <f t="shared" si="400"/>
        <v>8</v>
      </c>
      <c r="D8585" s="136">
        <f t="shared" si="402"/>
        <v>34</v>
      </c>
      <c r="E8585" s="136">
        <f t="shared" si="401"/>
        <v>21</v>
      </c>
      <c r="F8585" s="128" t="s">
        <v>24</v>
      </c>
      <c r="G8585" s="128" t="str">
        <f>VLOOKUP(source[[#This Row],[lending_product_transform]],[3]Mapping!$B$4:$C$37,2,0)</f>
        <v>[Cake] - Cashloan</v>
      </c>
      <c r="H8585" s="128" t="str">
        <f>VLOOKUP(source[[#This Row],[lending_product_transform]],[3]Mapping!$B$3:$D$37,3,0)</f>
        <v>cashloan</v>
      </c>
      <c r="I8585" s="173">
        <v>22332058</v>
      </c>
    </row>
    <row r="8586" spans="1:9" x14ac:dyDescent="0.2">
      <c r="A8586" s="134">
        <v>45890</v>
      </c>
      <c r="B8586" s="135">
        <f>YEAR(source[[#This Row],[report_date]])</f>
        <v>2025</v>
      </c>
      <c r="C8586" s="128">
        <f t="shared" si="400"/>
        <v>8</v>
      </c>
      <c r="D8586" s="136">
        <f t="shared" si="402"/>
        <v>34</v>
      </c>
      <c r="E8586" s="136">
        <f t="shared" si="401"/>
        <v>21</v>
      </c>
      <c r="F8586" s="128" t="s">
        <v>24</v>
      </c>
      <c r="G8586" s="128" t="str">
        <f>VLOOKUP(source[[#This Row],[lending_product_transform]],[3]Mapping!$B$4:$C$37,2,0)</f>
        <v>[Cake] - Cashloan</v>
      </c>
      <c r="H8586" s="128" t="str">
        <f>VLOOKUP(source[[#This Row],[lending_product_transform]],[3]Mapping!$B$3:$D$37,3,0)</f>
        <v>cashloan</v>
      </c>
      <c r="I8586" s="173">
        <v>11789010000</v>
      </c>
    </row>
    <row r="8587" spans="1:9" x14ac:dyDescent="0.2">
      <c r="A8587" s="134">
        <v>45890</v>
      </c>
      <c r="B8587" s="135">
        <f>YEAR(source[[#This Row],[report_date]])</f>
        <v>2025</v>
      </c>
      <c r="C8587" s="128">
        <f t="shared" si="400"/>
        <v>8</v>
      </c>
      <c r="D8587" s="136">
        <f t="shared" si="402"/>
        <v>34</v>
      </c>
      <c r="E8587" s="136">
        <f t="shared" si="401"/>
        <v>21</v>
      </c>
      <c r="F8587" s="128" t="s">
        <v>24</v>
      </c>
      <c r="G8587" s="128" t="str">
        <f>VLOOKUP(source[[#This Row],[lending_product_transform]],[3]Mapping!$B$4:$C$37,2,0)</f>
        <v>[Cake] - Cashloan</v>
      </c>
      <c r="H8587" s="128" t="str">
        <f>VLOOKUP(source[[#This Row],[lending_product_transform]],[3]Mapping!$B$3:$D$37,3,0)</f>
        <v>cashloan</v>
      </c>
      <c r="I8587" s="173">
        <v>73000000</v>
      </c>
    </row>
    <row r="8588" spans="1:9" x14ac:dyDescent="0.2">
      <c r="A8588" s="134">
        <v>45891</v>
      </c>
      <c r="B8588" s="135">
        <f>YEAR(source[[#This Row],[report_date]])</f>
        <v>2025</v>
      </c>
      <c r="C8588" s="128">
        <f t="shared" si="400"/>
        <v>8</v>
      </c>
      <c r="D8588" s="136">
        <f t="shared" si="402"/>
        <v>34</v>
      </c>
      <c r="E8588" s="136">
        <f t="shared" si="401"/>
        <v>22</v>
      </c>
      <c r="F8588" s="128" t="s">
        <v>24</v>
      </c>
      <c r="G8588" s="128" t="str">
        <f>VLOOKUP(source[[#This Row],[lending_product_transform]],[3]Mapping!$B$4:$C$37,2,0)</f>
        <v>[Cake] - Cashloan</v>
      </c>
      <c r="H8588" s="128" t="str">
        <f>VLOOKUP(source[[#This Row],[lending_product_transform]],[3]Mapping!$B$3:$D$37,3,0)</f>
        <v>cashloan</v>
      </c>
      <c r="I8588" s="173">
        <v>330247150</v>
      </c>
    </row>
    <row r="8589" spans="1:9" x14ac:dyDescent="0.2">
      <c r="A8589" s="134">
        <v>45891</v>
      </c>
      <c r="B8589" s="135">
        <f>YEAR(source[[#This Row],[report_date]])</f>
        <v>2025</v>
      </c>
      <c r="C8589" s="128">
        <f t="shared" si="400"/>
        <v>8</v>
      </c>
      <c r="D8589" s="136">
        <f t="shared" si="402"/>
        <v>34</v>
      </c>
      <c r="E8589" s="136">
        <f t="shared" si="401"/>
        <v>22</v>
      </c>
      <c r="F8589" s="128" t="s">
        <v>24</v>
      </c>
      <c r="G8589" s="128" t="str">
        <f>VLOOKUP(source[[#This Row],[lending_product_transform]],[3]Mapping!$B$4:$C$37,2,0)</f>
        <v>[Cake] - Cashloan</v>
      </c>
      <c r="H8589" s="128" t="str">
        <f>VLOOKUP(source[[#This Row],[lending_product_transform]],[3]Mapping!$B$3:$D$37,3,0)</f>
        <v>cashloan</v>
      </c>
      <c r="I8589" s="173">
        <v>5456808000</v>
      </c>
    </row>
    <row r="8590" spans="1:9" x14ac:dyDescent="0.2">
      <c r="A8590" s="134">
        <v>45891</v>
      </c>
      <c r="B8590" s="135">
        <f>YEAR(source[[#This Row],[report_date]])</f>
        <v>2025</v>
      </c>
      <c r="C8590" s="128">
        <f t="shared" si="400"/>
        <v>8</v>
      </c>
      <c r="D8590" s="136">
        <f t="shared" si="402"/>
        <v>34</v>
      </c>
      <c r="E8590" s="136">
        <f t="shared" si="401"/>
        <v>22</v>
      </c>
      <c r="F8590" s="128" t="s">
        <v>24</v>
      </c>
      <c r="G8590" s="128" t="str">
        <f>VLOOKUP(source[[#This Row],[lending_product_transform]],[3]Mapping!$B$4:$C$37,2,0)</f>
        <v>[Cake] - Cashloan</v>
      </c>
      <c r="H8590" s="128" t="str">
        <f>VLOOKUP(source[[#This Row],[lending_product_transform]],[3]Mapping!$B$3:$D$37,3,0)</f>
        <v>cashloan</v>
      </c>
      <c r="I8590" s="173">
        <v>388702524</v>
      </c>
    </row>
    <row r="8591" spans="1:9" x14ac:dyDescent="0.2">
      <c r="A8591" s="134">
        <v>45891</v>
      </c>
      <c r="B8591" s="135">
        <f>YEAR(source[[#This Row],[report_date]])</f>
        <v>2025</v>
      </c>
      <c r="C8591" s="128">
        <f t="shared" si="400"/>
        <v>8</v>
      </c>
      <c r="D8591" s="136">
        <f t="shared" si="402"/>
        <v>34</v>
      </c>
      <c r="E8591" s="136">
        <f t="shared" si="401"/>
        <v>22</v>
      </c>
      <c r="F8591" s="128" t="s">
        <v>24</v>
      </c>
      <c r="G8591" s="128" t="str">
        <f>VLOOKUP(source[[#This Row],[lending_product_transform]],[3]Mapping!$B$4:$C$37,2,0)</f>
        <v>[Cake] - Cashloan</v>
      </c>
      <c r="H8591" s="128" t="str">
        <f>VLOOKUP(source[[#This Row],[lending_product_transform]],[3]Mapping!$B$3:$D$37,3,0)</f>
        <v>cashloan</v>
      </c>
      <c r="I8591" s="173">
        <v>11467560000</v>
      </c>
    </row>
    <row r="8592" spans="1:9" x14ac:dyDescent="0.2">
      <c r="A8592" s="134">
        <v>45891</v>
      </c>
      <c r="B8592" s="135">
        <f>YEAR(source[[#This Row],[report_date]])</f>
        <v>2025</v>
      </c>
      <c r="C8592" s="128">
        <f t="shared" si="400"/>
        <v>8</v>
      </c>
      <c r="D8592" s="136">
        <f t="shared" si="402"/>
        <v>34</v>
      </c>
      <c r="E8592" s="136">
        <f t="shared" si="401"/>
        <v>22</v>
      </c>
      <c r="F8592" s="128" t="s">
        <v>24</v>
      </c>
      <c r="G8592" s="128" t="str">
        <f>VLOOKUP(source[[#This Row],[lending_product_transform]],[3]Mapping!$B$4:$C$37,2,0)</f>
        <v>[Cake] - Cashloan</v>
      </c>
      <c r="H8592" s="128" t="str">
        <f>VLOOKUP(source[[#This Row],[lending_product_transform]],[3]Mapping!$B$3:$D$37,3,0)</f>
        <v>cashloan</v>
      </c>
      <c r="I8592" s="173">
        <v>2650792281</v>
      </c>
    </row>
    <row r="8593" spans="1:9" x14ac:dyDescent="0.2">
      <c r="A8593" s="134">
        <v>45891</v>
      </c>
      <c r="B8593" s="135">
        <f>YEAR(source[[#This Row],[report_date]])</f>
        <v>2025</v>
      </c>
      <c r="C8593" s="128">
        <f t="shared" si="400"/>
        <v>8</v>
      </c>
      <c r="D8593" s="136">
        <f t="shared" si="402"/>
        <v>34</v>
      </c>
      <c r="E8593" s="136">
        <f t="shared" si="401"/>
        <v>22</v>
      </c>
      <c r="F8593" s="128" t="s">
        <v>24</v>
      </c>
      <c r="G8593" s="128" t="str">
        <f>VLOOKUP(source[[#This Row],[lending_product_transform]],[3]Mapping!$B$4:$C$37,2,0)</f>
        <v>[Cake] - Cashloan</v>
      </c>
      <c r="H8593" s="128" t="str">
        <f>VLOOKUP(source[[#This Row],[lending_product_transform]],[3]Mapping!$B$3:$D$37,3,0)</f>
        <v>cashloan</v>
      </c>
      <c r="I8593" s="173">
        <v>49500000</v>
      </c>
    </row>
    <row r="8594" spans="1:9" x14ac:dyDescent="0.2">
      <c r="A8594" s="134">
        <v>45891</v>
      </c>
      <c r="B8594" s="135">
        <f>YEAR(source[[#This Row],[report_date]])</f>
        <v>2025</v>
      </c>
      <c r="C8594" s="128">
        <f t="shared" si="400"/>
        <v>8</v>
      </c>
      <c r="D8594" s="136">
        <f t="shared" si="402"/>
        <v>34</v>
      </c>
      <c r="E8594" s="136">
        <f t="shared" si="401"/>
        <v>22</v>
      </c>
      <c r="F8594" s="128" t="s">
        <v>24</v>
      </c>
      <c r="G8594" s="128" t="str">
        <f>VLOOKUP(source[[#This Row],[lending_product_transform]],[3]Mapping!$B$4:$C$37,2,0)</f>
        <v>[Cake] - Cashloan</v>
      </c>
      <c r="H8594" s="128" t="str">
        <f>VLOOKUP(source[[#This Row],[lending_product_transform]],[3]Mapping!$B$3:$D$37,3,0)</f>
        <v>cashloan</v>
      </c>
      <c r="I8594" s="173">
        <v>0</v>
      </c>
    </row>
    <row r="8595" spans="1:9" x14ac:dyDescent="0.2">
      <c r="A8595" s="134">
        <v>45891</v>
      </c>
      <c r="B8595" s="135">
        <f>YEAR(source[[#This Row],[report_date]])</f>
        <v>2025</v>
      </c>
      <c r="C8595" s="128">
        <f t="shared" si="400"/>
        <v>8</v>
      </c>
      <c r="D8595" s="136">
        <f t="shared" si="402"/>
        <v>34</v>
      </c>
      <c r="E8595" s="136">
        <f t="shared" si="401"/>
        <v>22</v>
      </c>
      <c r="F8595" s="128" t="s">
        <v>24</v>
      </c>
      <c r="G8595" s="128" t="str">
        <f>VLOOKUP(source[[#This Row],[lending_product_transform]],[3]Mapping!$B$4:$C$37,2,0)</f>
        <v>[Cake] - Cashloan</v>
      </c>
      <c r="H8595" s="128" t="str">
        <f>VLOOKUP(source[[#This Row],[lending_product_transform]],[3]Mapping!$B$3:$D$37,3,0)</f>
        <v>cashloan</v>
      </c>
      <c r="I8595" s="173">
        <v>1664050000</v>
      </c>
    </row>
    <row r="8596" spans="1:9" x14ac:dyDescent="0.2">
      <c r="A8596" s="134">
        <v>45891</v>
      </c>
      <c r="B8596" s="135">
        <f>YEAR(source[[#This Row],[report_date]])</f>
        <v>2025</v>
      </c>
      <c r="C8596" s="128">
        <f t="shared" si="400"/>
        <v>8</v>
      </c>
      <c r="D8596" s="136">
        <f t="shared" si="402"/>
        <v>34</v>
      </c>
      <c r="E8596" s="136">
        <f t="shared" si="401"/>
        <v>22</v>
      </c>
      <c r="F8596" s="128" t="s">
        <v>24</v>
      </c>
      <c r="G8596" s="128" t="str">
        <f>VLOOKUP(source[[#This Row],[lending_product_transform]],[3]Mapping!$B$4:$C$37,2,0)</f>
        <v>[Cake] - Cashloan</v>
      </c>
      <c r="H8596" s="128" t="str">
        <f>VLOOKUP(source[[#This Row],[lending_product_transform]],[3]Mapping!$B$3:$D$37,3,0)</f>
        <v>cashloan</v>
      </c>
      <c r="I8596" s="173">
        <v>104000000</v>
      </c>
    </row>
    <row r="8597" spans="1:9" x14ac:dyDescent="0.2">
      <c r="A8597" s="134">
        <v>45891</v>
      </c>
      <c r="B8597" s="135">
        <f>YEAR(source[[#This Row],[report_date]])</f>
        <v>2025</v>
      </c>
      <c r="C8597" s="128">
        <f t="shared" si="400"/>
        <v>8</v>
      </c>
      <c r="D8597" s="136">
        <f t="shared" si="402"/>
        <v>34</v>
      </c>
      <c r="E8597" s="136">
        <f t="shared" si="401"/>
        <v>22</v>
      </c>
      <c r="F8597" s="128" t="s">
        <v>24</v>
      </c>
      <c r="G8597" s="128" t="str">
        <f>VLOOKUP(source[[#This Row],[lending_product_transform]],[3]Mapping!$B$4:$C$37,2,0)</f>
        <v>[Cake] - Cashloan</v>
      </c>
      <c r="H8597" s="128" t="str">
        <f>VLOOKUP(source[[#This Row],[lending_product_transform]],[3]Mapping!$B$3:$D$37,3,0)</f>
        <v>cashloan</v>
      </c>
      <c r="I8597" s="173">
        <v>10000000</v>
      </c>
    </row>
    <row r="8598" spans="1:9" x14ac:dyDescent="0.2">
      <c r="A8598" s="134">
        <v>45891</v>
      </c>
      <c r="B8598" s="135">
        <f>YEAR(source[[#This Row],[report_date]])</f>
        <v>2025</v>
      </c>
      <c r="C8598" s="128">
        <f t="shared" si="400"/>
        <v>8</v>
      </c>
      <c r="D8598" s="136">
        <f t="shared" si="402"/>
        <v>34</v>
      </c>
      <c r="E8598" s="136">
        <f t="shared" si="401"/>
        <v>22</v>
      </c>
      <c r="F8598" s="128" t="s">
        <v>24</v>
      </c>
      <c r="G8598" s="128" t="str">
        <f>VLOOKUP(source[[#This Row],[lending_product_transform]],[3]Mapping!$B$4:$C$37,2,0)</f>
        <v>[Cake] - Cashloan</v>
      </c>
      <c r="H8598" s="128" t="str">
        <f>VLOOKUP(source[[#This Row],[lending_product_transform]],[3]Mapping!$B$3:$D$37,3,0)</f>
        <v>cashloan</v>
      </c>
      <c r="I8598" s="173">
        <v>31684805</v>
      </c>
    </row>
    <row r="8599" spans="1:9" x14ac:dyDescent="0.2">
      <c r="A8599" s="134">
        <v>45891</v>
      </c>
      <c r="B8599" s="135">
        <f>YEAR(source[[#This Row],[report_date]])</f>
        <v>2025</v>
      </c>
      <c r="C8599" s="128">
        <f t="shared" si="400"/>
        <v>8</v>
      </c>
      <c r="D8599" s="136">
        <f t="shared" si="402"/>
        <v>34</v>
      </c>
      <c r="E8599" s="136">
        <f t="shared" si="401"/>
        <v>22</v>
      </c>
      <c r="F8599" s="128" t="s">
        <v>24</v>
      </c>
      <c r="G8599" s="128" t="str">
        <f>VLOOKUP(source[[#This Row],[lending_product_transform]],[3]Mapping!$B$4:$C$37,2,0)</f>
        <v>[Cake] - Cashloan</v>
      </c>
      <c r="H8599" s="128" t="str">
        <f>VLOOKUP(source[[#This Row],[lending_product_transform]],[3]Mapping!$B$3:$D$37,3,0)</f>
        <v>cashloan</v>
      </c>
      <c r="I8599" s="173">
        <v>40000000</v>
      </c>
    </row>
    <row r="8600" spans="1:9" x14ac:dyDescent="0.2">
      <c r="A8600" s="134">
        <v>45891</v>
      </c>
      <c r="B8600" s="135">
        <f>YEAR(source[[#This Row],[report_date]])</f>
        <v>2025</v>
      </c>
      <c r="C8600" s="128">
        <f t="shared" si="400"/>
        <v>8</v>
      </c>
      <c r="D8600" s="136">
        <f t="shared" si="402"/>
        <v>34</v>
      </c>
      <c r="E8600" s="136">
        <f t="shared" si="401"/>
        <v>22</v>
      </c>
      <c r="F8600" s="128" t="s">
        <v>24</v>
      </c>
      <c r="G8600" s="128" t="str">
        <f>VLOOKUP(source[[#This Row],[lending_product_transform]],[3]Mapping!$B$4:$C$37,2,0)</f>
        <v>[Cake] - Cashloan</v>
      </c>
      <c r="H8600" s="128" t="str">
        <f>VLOOKUP(source[[#This Row],[lending_product_transform]],[3]Mapping!$B$3:$D$37,3,0)</f>
        <v>cashloan</v>
      </c>
      <c r="I8600" s="173">
        <v>304380000</v>
      </c>
    </row>
    <row r="8601" spans="1:9" x14ac:dyDescent="0.2">
      <c r="A8601" s="134">
        <v>45891</v>
      </c>
      <c r="B8601" s="135">
        <f>YEAR(source[[#This Row],[report_date]])</f>
        <v>2025</v>
      </c>
      <c r="C8601" s="128">
        <f t="shared" si="400"/>
        <v>8</v>
      </c>
      <c r="D8601" s="136">
        <f t="shared" si="402"/>
        <v>34</v>
      </c>
      <c r="E8601" s="136">
        <f t="shared" si="401"/>
        <v>22</v>
      </c>
      <c r="F8601" s="128" t="s">
        <v>24</v>
      </c>
      <c r="G8601" s="128" t="str">
        <f>VLOOKUP(source[[#This Row],[lending_product_transform]],[3]Mapping!$B$4:$C$37,2,0)</f>
        <v>[Cake] - Cashloan</v>
      </c>
      <c r="H8601" s="128" t="str">
        <f>VLOOKUP(source[[#This Row],[lending_product_transform]],[3]Mapping!$B$3:$D$37,3,0)</f>
        <v>cashloan</v>
      </c>
      <c r="I8601" s="173">
        <v>207750195</v>
      </c>
    </row>
    <row r="8602" spans="1:9" x14ac:dyDescent="0.2">
      <c r="A8602" s="134">
        <v>45891</v>
      </c>
      <c r="B8602" s="135">
        <f>YEAR(source[[#This Row],[report_date]])</f>
        <v>2025</v>
      </c>
      <c r="C8602" s="128">
        <f t="shared" si="400"/>
        <v>8</v>
      </c>
      <c r="D8602" s="136">
        <f t="shared" si="402"/>
        <v>34</v>
      </c>
      <c r="E8602" s="136">
        <f t="shared" si="401"/>
        <v>22</v>
      </c>
      <c r="F8602" s="128" t="s">
        <v>24</v>
      </c>
      <c r="G8602" s="128" t="str">
        <f>VLOOKUP(source[[#This Row],[lending_product_transform]],[3]Mapping!$B$4:$C$37,2,0)</f>
        <v>[Cake] - Cashloan</v>
      </c>
      <c r="H8602" s="128" t="str">
        <f>VLOOKUP(source[[#This Row],[lending_product_transform]],[3]Mapping!$B$3:$D$37,3,0)</f>
        <v>cashloan</v>
      </c>
      <c r="I8602" s="173">
        <v>1886040000</v>
      </c>
    </row>
    <row r="8603" spans="1:9" x14ac:dyDescent="0.2">
      <c r="A8603" s="134">
        <v>45891</v>
      </c>
      <c r="B8603" s="135">
        <f>YEAR(source[[#This Row],[report_date]])</f>
        <v>2025</v>
      </c>
      <c r="C8603" s="128">
        <f t="shared" si="400"/>
        <v>8</v>
      </c>
      <c r="D8603" s="136">
        <f t="shared" si="402"/>
        <v>34</v>
      </c>
      <c r="E8603" s="136">
        <f t="shared" si="401"/>
        <v>22</v>
      </c>
      <c r="F8603" s="128" t="s">
        <v>24</v>
      </c>
      <c r="G8603" s="128" t="str">
        <f>VLOOKUP(source[[#This Row],[lending_product_transform]],[3]Mapping!$B$4:$C$37,2,0)</f>
        <v>[Cake] - Cashloan</v>
      </c>
      <c r="H8603" s="128" t="str">
        <f>VLOOKUP(source[[#This Row],[lending_product_transform]],[3]Mapping!$B$3:$D$37,3,0)</f>
        <v>cashloan</v>
      </c>
      <c r="I8603" s="173">
        <v>4607064000</v>
      </c>
    </row>
    <row r="8604" spans="1:9" x14ac:dyDescent="0.2">
      <c r="A8604" s="134">
        <v>45891</v>
      </c>
      <c r="B8604" s="135">
        <f>YEAR(source[[#This Row],[report_date]])</f>
        <v>2025</v>
      </c>
      <c r="C8604" s="128">
        <f t="shared" si="400"/>
        <v>8</v>
      </c>
      <c r="D8604" s="136">
        <f t="shared" si="402"/>
        <v>34</v>
      </c>
      <c r="E8604" s="136">
        <f t="shared" si="401"/>
        <v>22</v>
      </c>
      <c r="F8604" s="128" t="s">
        <v>24</v>
      </c>
      <c r="G8604" s="128" t="str">
        <f>VLOOKUP(source[[#This Row],[lending_product_transform]],[3]Mapping!$B$4:$C$37,2,0)</f>
        <v>[Cake] - Cashloan</v>
      </c>
      <c r="H8604" s="128" t="str">
        <f>VLOOKUP(source[[#This Row],[lending_product_transform]],[3]Mapping!$B$3:$D$37,3,0)</f>
        <v>cashloan</v>
      </c>
      <c r="I8604" s="173">
        <v>173755902</v>
      </c>
    </row>
    <row r="8605" spans="1:9" x14ac:dyDescent="0.2">
      <c r="A8605" s="134">
        <v>45891</v>
      </c>
      <c r="B8605" s="135">
        <f>YEAR(source[[#This Row],[report_date]])</f>
        <v>2025</v>
      </c>
      <c r="C8605" s="128">
        <f t="shared" si="400"/>
        <v>8</v>
      </c>
      <c r="D8605" s="136">
        <f t="shared" si="402"/>
        <v>34</v>
      </c>
      <c r="E8605" s="136">
        <f t="shared" si="401"/>
        <v>22</v>
      </c>
      <c r="F8605" s="128" t="s">
        <v>24</v>
      </c>
      <c r="G8605" s="128" t="str">
        <f>VLOOKUP(source[[#This Row],[lending_product_transform]],[3]Mapping!$B$4:$C$37,2,0)</f>
        <v>[Cake] - Cashloan</v>
      </c>
      <c r="H8605" s="128" t="str">
        <f>VLOOKUP(source[[#This Row],[lending_product_transform]],[3]Mapping!$B$3:$D$37,3,0)</f>
        <v>cashloan</v>
      </c>
      <c r="I8605" s="173">
        <v>9735540000</v>
      </c>
    </row>
    <row r="8606" spans="1:9" x14ac:dyDescent="0.2">
      <c r="A8606" s="134">
        <v>45892</v>
      </c>
      <c r="B8606" s="135">
        <f>YEAR(source[[#This Row],[report_date]])</f>
        <v>2025</v>
      </c>
      <c r="C8606" s="128">
        <f t="shared" si="400"/>
        <v>8</v>
      </c>
      <c r="D8606" s="136">
        <f t="shared" si="402"/>
        <v>34</v>
      </c>
      <c r="E8606" s="136">
        <f t="shared" si="401"/>
        <v>23</v>
      </c>
      <c r="F8606" s="128" t="s">
        <v>24</v>
      </c>
      <c r="G8606" s="128" t="str">
        <f>VLOOKUP(source[[#This Row],[lending_product_transform]],[3]Mapping!$B$4:$C$37,2,0)</f>
        <v>[Cake] - Cashloan</v>
      </c>
      <c r="H8606" s="128" t="str">
        <f>VLOOKUP(source[[#This Row],[lending_product_transform]],[3]Mapping!$B$3:$D$37,3,0)</f>
        <v>cashloan</v>
      </c>
      <c r="I8606" s="173">
        <v>4891104000</v>
      </c>
    </row>
    <row r="8607" spans="1:9" x14ac:dyDescent="0.2">
      <c r="A8607" s="134">
        <v>45892</v>
      </c>
      <c r="B8607" s="135">
        <f>YEAR(source[[#This Row],[report_date]])</f>
        <v>2025</v>
      </c>
      <c r="C8607" s="128">
        <f t="shared" si="400"/>
        <v>8</v>
      </c>
      <c r="D8607" s="136">
        <f t="shared" si="402"/>
        <v>34</v>
      </c>
      <c r="E8607" s="136">
        <f t="shared" si="401"/>
        <v>23</v>
      </c>
      <c r="F8607" s="128" t="s">
        <v>24</v>
      </c>
      <c r="G8607" s="128" t="str">
        <f>VLOOKUP(source[[#This Row],[lending_product_transform]],[3]Mapping!$B$4:$C$37,2,0)</f>
        <v>[Cake] - Cashloan</v>
      </c>
      <c r="H8607" s="128" t="str">
        <f>VLOOKUP(source[[#This Row],[lending_product_transform]],[3]Mapping!$B$3:$D$37,3,0)</f>
        <v>cashloan</v>
      </c>
      <c r="I8607" s="173">
        <v>325910000</v>
      </c>
    </row>
    <row r="8608" spans="1:9" x14ac:dyDescent="0.2">
      <c r="A8608" s="134">
        <v>45892</v>
      </c>
      <c r="B8608" s="135">
        <f>YEAR(source[[#This Row],[report_date]])</f>
        <v>2025</v>
      </c>
      <c r="C8608" s="128">
        <f t="shared" si="400"/>
        <v>8</v>
      </c>
      <c r="D8608" s="136">
        <f t="shared" si="402"/>
        <v>34</v>
      </c>
      <c r="E8608" s="136">
        <f t="shared" si="401"/>
        <v>23</v>
      </c>
      <c r="F8608" s="128" t="s">
        <v>24</v>
      </c>
      <c r="G8608" s="128" t="str">
        <f>VLOOKUP(source[[#This Row],[lending_product_transform]],[3]Mapping!$B$4:$C$37,2,0)</f>
        <v>[Cake] - Cashloan</v>
      </c>
      <c r="H8608" s="128" t="str">
        <f>VLOOKUP(source[[#This Row],[lending_product_transform]],[3]Mapping!$B$3:$D$37,3,0)</f>
        <v>cashloan</v>
      </c>
      <c r="I8608" s="173">
        <v>21000000</v>
      </c>
    </row>
    <row r="8609" spans="1:9" x14ac:dyDescent="0.2">
      <c r="A8609" s="134">
        <v>45892</v>
      </c>
      <c r="B8609" s="135">
        <f>YEAR(source[[#This Row],[report_date]])</f>
        <v>2025</v>
      </c>
      <c r="C8609" s="128">
        <f t="shared" si="400"/>
        <v>8</v>
      </c>
      <c r="D8609" s="136">
        <f t="shared" si="402"/>
        <v>34</v>
      </c>
      <c r="E8609" s="136">
        <f t="shared" si="401"/>
        <v>23</v>
      </c>
      <c r="F8609" s="128" t="s">
        <v>24</v>
      </c>
      <c r="G8609" s="128" t="str">
        <f>VLOOKUP(source[[#This Row],[lending_product_transform]],[3]Mapping!$B$4:$C$37,2,0)</f>
        <v>[Cake] - Cashloan</v>
      </c>
      <c r="H8609" s="128" t="str">
        <f>VLOOKUP(source[[#This Row],[lending_product_transform]],[3]Mapping!$B$3:$D$37,3,0)</f>
        <v>cashloan</v>
      </c>
      <c r="I8609" s="173">
        <v>14000000</v>
      </c>
    </row>
    <row r="8610" spans="1:9" x14ac:dyDescent="0.2">
      <c r="A8610" s="134">
        <v>45892</v>
      </c>
      <c r="B8610" s="135">
        <f>YEAR(source[[#This Row],[report_date]])</f>
        <v>2025</v>
      </c>
      <c r="C8610" s="128">
        <f t="shared" si="400"/>
        <v>8</v>
      </c>
      <c r="D8610" s="136">
        <f t="shared" si="402"/>
        <v>34</v>
      </c>
      <c r="E8610" s="136">
        <f t="shared" si="401"/>
        <v>23</v>
      </c>
      <c r="F8610" s="128" t="s">
        <v>24</v>
      </c>
      <c r="G8610" s="128" t="str">
        <f>VLOOKUP(source[[#This Row],[lending_product_transform]],[3]Mapping!$B$4:$C$37,2,0)</f>
        <v>[Cake] - Cashloan</v>
      </c>
      <c r="H8610" s="128" t="str">
        <f>VLOOKUP(source[[#This Row],[lending_product_transform]],[3]Mapping!$B$3:$D$37,3,0)</f>
        <v>cashloan</v>
      </c>
      <c r="I8610" s="173">
        <v>206934174</v>
      </c>
    </row>
    <row r="8611" spans="1:9" x14ac:dyDescent="0.2">
      <c r="A8611" s="134">
        <v>45892</v>
      </c>
      <c r="B8611" s="135">
        <f>YEAR(source[[#This Row],[report_date]])</f>
        <v>2025</v>
      </c>
      <c r="C8611" s="128">
        <f t="shared" si="400"/>
        <v>8</v>
      </c>
      <c r="D8611" s="136">
        <f t="shared" si="402"/>
        <v>34</v>
      </c>
      <c r="E8611" s="136">
        <f t="shared" si="401"/>
        <v>23</v>
      </c>
      <c r="F8611" s="128" t="s">
        <v>24</v>
      </c>
      <c r="G8611" s="128" t="str">
        <f>VLOOKUP(source[[#This Row],[lending_product_transform]],[3]Mapping!$B$4:$C$37,2,0)</f>
        <v>[Cake] - Cashloan</v>
      </c>
      <c r="H8611" s="128" t="str">
        <f>VLOOKUP(source[[#This Row],[lending_product_transform]],[3]Mapping!$B$3:$D$37,3,0)</f>
        <v>cashloan</v>
      </c>
      <c r="I8611" s="173">
        <v>21000000</v>
      </c>
    </row>
    <row r="8612" spans="1:9" x14ac:dyDescent="0.2">
      <c r="A8612" s="134">
        <v>45892</v>
      </c>
      <c r="B8612" s="135">
        <f>YEAR(source[[#This Row],[report_date]])</f>
        <v>2025</v>
      </c>
      <c r="C8612" s="128">
        <f t="shared" si="400"/>
        <v>8</v>
      </c>
      <c r="D8612" s="136">
        <f t="shared" si="402"/>
        <v>34</v>
      </c>
      <c r="E8612" s="136">
        <f t="shared" si="401"/>
        <v>23</v>
      </c>
      <c r="F8612" s="128" t="s">
        <v>24</v>
      </c>
      <c r="G8612" s="128" t="str">
        <f>VLOOKUP(source[[#This Row],[lending_product_transform]],[3]Mapping!$B$4:$C$37,2,0)</f>
        <v>[Cake] - Cashloan</v>
      </c>
      <c r="H8612" s="128" t="str">
        <f>VLOOKUP(source[[#This Row],[lending_product_transform]],[3]Mapping!$B$3:$D$37,3,0)</f>
        <v>cashloan</v>
      </c>
      <c r="I8612" s="173">
        <v>15647661</v>
      </c>
    </row>
    <row r="8613" spans="1:9" x14ac:dyDescent="0.2">
      <c r="A8613" s="134">
        <v>45892</v>
      </c>
      <c r="B8613" s="135">
        <f>YEAR(source[[#This Row],[report_date]])</f>
        <v>2025</v>
      </c>
      <c r="C8613" s="128">
        <f t="shared" si="400"/>
        <v>8</v>
      </c>
      <c r="D8613" s="136">
        <f t="shared" si="402"/>
        <v>34</v>
      </c>
      <c r="E8613" s="136">
        <f t="shared" si="401"/>
        <v>23</v>
      </c>
      <c r="F8613" s="128" t="s">
        <v>24</v>
      </c>
      <c r="G8613" s="128" t="str">
        <f>VLOOKUP(source[[#This Row],[lending_product_transform]],[3]Mapping!$B$4:$C$37,2,0)</f>
        <v>[Cake] - Cashloan</v>
      </c>
      <c r="H8613" s="128" t="str">
        <f>VLOOKUP(source[[#This Row],[lending_product_transform]],[3]Mapping!$B$3:$D$37,3,0)</f>
        <v>cashloan</v>
      </c>
      <c r="I8613" s="173">
        <v>337952397</v>
      </c>
    </row>
    <row r="8614" spans="1:9" x14ac:dyDescent="0.2">
      <c r="A8614" s="134">
        <v>45892</v>
      </c>
      <c r="B8614" s="135">
        <f>YEAR(source[[#This Row],[report_date]])</f>
        <v>2025</v>
      </c>
      <c r="C8614" s="128">
        <f t="shared" si="400"/>
        <v>8</v>
      </c>
      <c r="D8614" s="136">
        <f t="shared" si="402"/>
        <v>34</v>
      </c>
      <c r="E8614" s="136">
        <f t="shared" si="401"/>
        <v>23</v>
      </c>
      <c r="F8614" s="128" t="s">
        <v>24</v>
      </c>
      <c r="G8614" s="128" t="str">
        <f>VLOOKUP(source[[#This Row],[lending_product_transform]],[3]Mapping!$B$4:$C$37,2,0)</f>
        <v>[Cake] - Cashloan</v>
      </c>
      <c r="H8614" s="128" t="str">
        <f>VLOOKUP(source[[#This Row],[lending_product_transform]],[3]Mapping!$B$3:$D$37,3,0)</f>
        <v>cashloan</v>
      </c>
      <c r="I8614" s="173">
        <v>1934730000</v>
      </c>
    </row>
    <row r="8615" spans="1:9" x14ac:dyDescent="0.2">
      <c r="A8615" s="134">
        <v>45892</v>
      </c>
      <c r="B8615" s="135">
        <f>YEAR(source[[#This Row],[report_date]])</f>
        <v>2025</v>
      </c>
      <c r="C8615" s="128">
        <f t="shared" si="400"/>
        <v>8</v>
      </c>
      <c r="D8615" s="136">
        <f t="shared" si="402"/>
        <v>34</v>
      </c>
      <c r="E8615" s="136">
        <f t="shared" si="401"/>
        <v>23</v>
      </c>
      <c r="F8615" s="128" t="s">
        <v>24</v>
      </c>
      <c r="G8615" s="128" t="str">
        <f>VLOOKUP(source[[#This Row],[lending_product_transform]],[3]Mapping!$B$4:$C$37,2,0)</f>
        <v>[Cake] - Cashloan</v>
      </c>
      <c r="H8615" s="128" t="str">
        <f>VLOOKUP(source[[#This Row],[lending_product_transform]],[3]Mapping!$B$3:$D$37,3,0)</f>
        <v>cashloan</v>
      </c>
      <c r="I8615" s="173">
        <v>1688290000</v>
      </c>
    </row>
    <row r="8616" spans="1:9" x14ac:dyDescent="0.2">
      <c r="A8616" s="134">
        <v>45892</v>
      </c>
      <c r="B8616" s="135">
        <f>YEAR(source[[#This Row],[report_date]])</f>
        <v>2025</v>
      </c>
      <c r="C8616" s="128">
        <f t="shared" si="400"/>
        <v>8</v>
      </c>
      <c r="D8616" s="136">
        <f t="shared" si="402"/>
        <v>34</v>
      </c>
      <c r="E8616" s="136">
        <f t="shared" si="401"/>
        <v>23</v>
      </c>
      <c r="F8616" s="128" t="s">
        <v>24</v>
      </c>
      <c r="G8616" s="128" t="str">
        <f>VLOOKUP(source[[#This Row],[lending_product_transform]],[3]Mapping!$B$4:$C$37,2,0)</f>
        <v>[Cake] - Cashloan</v>
      </c>
      <c r="H8616" s="128" t="str">
        <f>VLOOKUP(source[[#This Row],[lending_product_transform]],[3]Mapping!$B$3:$D$37,3,0)</f>
        <v>cashloan</v>
      </c>
      <c r="I8616" s="173">
        <v>0</v>
      </c>
    </row>
    <row r="8617" spans="1:9" x14ac:dyDescent="0.2">
      <c r="A8617" s="134">
        <v>45892</v>
      </c>
      <c r="B8617" s="135">
        <f>YEAR(source[[#This Row],[report_date]])</f>
        <v>2025</v>
      </c>
      <c r="C8617" s="128">
        <f t="shared" si="400"/>
        <v>8</v>
      </c>
      <c r="D8617" s="136">
        <f t="shared" si="402"/>
        <v>34</v>
      </c>
      <c r="E8617" s="136">
        <f t="shared" si="401"/>
        <v>23</v>
      </c>
      <c r="F8617" s="128" t="s">
        <v>24</v>
      </c>
      <c r="G8617" s="128" t="str">
        <f>VLOOKUP(source[[#This Row],[lending_product_transform]],[3]Mapping!$B$4:$C$37,2,0)</f>
        <v>[Cake] - Cashloan</v>
      </c>
      <c r="H8617" s="128" t="str">
        <f>VLOOKUP(source[[#This Row],[lending_product_transform]],[3]Mapping!$B$3:$D$37,3,0)</f>
        <v>cashloan</v>
      </c>
      <c r="I8617" s="173">
        <v>2185920911</v>
      </c>
    </row>
    <row r="8618" spans="1:9" x14ac:dyDescent="0.2">
      <c r="A8618" s="134">
        <v>45892</v>
      </c>
      <c r="B8618" s="135">
        <f>YEAR(source[[#This Row],[report_date]])</f>
        <v>2025</v>
      </c>
      <c r="C8618" s="128">
        <f t="shared" si="400"/>
        <v>8</v>
      </c>
      <c r="D8618" s="136">
        <f t="shared" si="402"/>
        <v>34</v>
      </c>
      <c r="E8618" s="136">
        <f t="shared" si="401"/>
        <v>23</v>
      </c>
      <c r="F8618" s="128" t="s">
        <v>24</v>
      </c>
      <c r="G8618" s="128" t="str">
        <f>VLOOKUP(source[[#This Row],[lending_product_transform]],[3]Mapping!$B$4:$C$37,2,0)</f>
        <v>[Cake] - Cashloan</v>
      </c>
      <c r="H8618" s="128" t="str">
        <f>VLOOKUP(source[[#This Row],[lending_product_transform]],[3]Mapping!$B$3:$D$37,3,0)</f>
        <v>cashloan</v>
      </c>
      <c r="I8618" s="173">
        <v>0</v>
      </c>
    </row>
    <row r="8619" spans="1:9" x14ac:dyDescent="0.2">
      <c r="A8619" s="134">
        <v>45892</v>
      </c>
      <c r="B8619" s="135">
        <f>YEAR(source[[#This Row],[report_date]])</f>
        <v>2025</v>
      </c>
      <c r="C8619" s="128">
        <f t="shared" si="400"/>
        <v>8</v>
      </c>
      <c r="D8619" s="136">
        <f t="shared" si="402"/>
        <v>34</v>
      </c>
      <c r="E8619" s="136">
        <f t="shared" si="401"/>
        <v>23</v>
      </c>
      <c r="F8619" s="128" t="s">
        <v>24</v>
      </c>
      <c r="G8619" s="128" t="str">
        <f>VLOOKUP(source[[#This Row],[lending_product_transform]],[3]Mapping!$B$4:$C$37,2,0)</f>
        <v>[Cake] - Cashloan</v>
      </c>
      <c r="H8619" s="128" t="str">
        <f>VLOOKUP(source[[#This Row],[lending_product_transform]],[3]Mapping!$B$3:$D$37,3,0)</f>
        <v>cashloan</v>
      </c>
      <c r="I8619" s="173">
        <v>198839788</v>
      </c>
    </row>
    <row r="8620" spans="1:9" x14ac:dyDescent="0.2">
      <c r="A8620" s="134">
        <v>45892</v>
      </c>
      <c r="B8620" s="135">
        <f>YEAR(source[[#This Row],[report_date]])</f>
        <v>2025</v>
      </c>
      <c r="C8620" s="128">
        <f t="shared" si="400"/>
        <v>8</v>
      </c>
      <c r="D8620" s="136">
        <f t="shared" si="402"/>
        <v>34</v>
      </c>
      <c r="E8620" s="136">
        <f t="shared" si="401"/>
        <v>23</v>
      </c>
      <c r="F8620" s="128" t="s">
        <v>24</v>
      </c>
      <c r="G8620" s="128" t="str">
        <f>VLOOKUP(source[[#This Row],[lending_product_transform]],[3]Mapping!$B$4:$C$37,2,0)</f>
        <v>[Cake] - Cashloan</v>
      </c>
      <c r="H8620" s="128" t="str">
        <f>VLOOKUP(source[[#This Row],[lending_product_transform]],[3]Mapping!$B$3:$D$37,3,0)</f>
        <v>cashloan</v>
      </c>
      <c r="I8620" s="173">
        <v>5718924000</v>
      </c>
    </row>
    <row r="8621" spans="1:9" x14ac:dyDescent="0.2">
      <c r="A8621" s="134">
        <v>45892</v>
      </c>
      <c r="B8621" s="135">
        <f>YEAR(source[[#This Row],[report_date]])</f>
        <v>2025</v>
      </c>
      <c r="C8621" s="128">
        <f t="shared" si="400"/>
        <v>8</v>
      </c>
      <c r="D8621" s="136">
        <f t="shared" si="402"/>
        <v>34</v>
      </c>
      <c r="E8621" s="136">
        <f t="shared" si="401"/>
        <v>23</v>
      </c>
      <c r="F8621" s="128" t="s">
        <v>24</v>
      </c>
      <c r="G8621" s="128" t="str">
        <f>VLOOKUP(source[[#This Row],[lending_product_transform]],[3]Mapping!$B$4:$C$37,2,0)</f>
        <v>[Cake] - Cashloan</v>
      </c>
      <c r="H8621" s="128" t="str">
        <f>VLOOKUP(source[[#This Row],[lending_product_transform]],[3]Mapping!$B$3:$D$37,3,0)</f>
        <v>cashloan</v>
      </c>
      <c r="I8621" s="173">
        <v>10496620000</v>
      </c>
    </row>
    <row r="8622" spans="1:9" x14ac:dyDescent="0.2">
      <c r="A8622" s="134">
        <v>45892</v>
      </c>
      <c r="B8622" s="135">
        <f>YEAR(source[[#This Row],[report_date]])</f>
        <v>2025</v>
      </c>
      <c r="C8622" s="128">
        <f t="shared" si="400"/>
        <v>8</v>
      </c>
      <c r="D8622" s="136">
        <f t="shared" si="402"/>
        <v>34</v>
      </c>
      <c r="E8622" s="136">
        <f t="shared" si="401"/>
        <v>23</v>
      </c>
      <c r="F8622" s="128" t="s">
        <v>24</v>
      </c>
      <c r="G8622" s="128" t="str">
        <f>VLOOKUP(source[[#This Row],[lending_product_transform]],[3]Mapping!$B$4:$C$37,2,0)</f>
        <v>[Cake] - Cashloan</v>
      </c>
      <c r="H8622" s="128" t="str">
        <f>VLOOKUP(source[[#This Row],[lending_product_transform]],[3]Mapping!$B$3:$D$37,3,0)</f>
        <v>cashloan</v>
      </c>
      <c r="I8622" s="173">
        <v>10370420000</v>
      </c>
    </row>
    <row r="8623" spans="1:9" x14ac:dyDescent="0.2">
      <c r="A8623" s="134">
        <v>45892</v>
      </c>
      <c r="B8623" s="135">
        <f>YEAR(source[[#This Row],[report_date]])</f>
        <v>2025</v>
      </c>
      <c r="C8623" s="128">
        <f t="shared" si="400"/>
        <v>8</v>
      </c>
      <c r="D8623" s="136">
        <f t="shared" si="402"/>
        <v>34</v>
      </c>
      <c r="E8623" s="136">
        <f t="shared" si="401"/>
        <v>23</v>
      </c>
      <c r="F8623" s="128" t="s">
        <v>24</v>
      </c>
      <c r="G8623" s="128" t="str">
        <f>VLOOKUP(source[[#This Row],[lending_product_transform]],[3]Mapping!$B$4:$C$37,2,0)</f>
        <v>[Cake] - Cashloan</v>
      </c>
      <c r="H8623" s="128" t="str">
        <f>VLOOKUP(source[[#This Row],[lending_product_transform]],[3]Mapping!$B$3:$D$37,3,0)</f>
        <v>cashloan</v>
      </c>
      <c r="I8623" s="173">
        <v>301114000</v>
      </c>
    </row>
    <row r="8624" spans="1:9" x14ac:dyDescent="0.2">
      <c r="A8624" s="134">
        <v>45893</v>
      </c>
      <c r="B8624" s="135">
        <f>YEAR(source[[#This Row],[report_date]])</f>
        <v>2025</v>
      </c>
      <c r="C8624" s="128">
        <f t="shared" si="400"/>
        <v>8</v>
      </c>
      <c r="D8624" s="136">
        <f t="shared" si="402"/>
        <v>34</v>
      </c>
      <c r="E8624" s="136">
        <f t="shared" si="401"/>
        <v>24</v>
      </c>
      <c r="F8624" s="128" t="s">
        <v>24</v>
      </c>
      <c r="G8624" s="128" t="str">
        <f>VLOOKUP(source[[#This Row],[lending_product_transform]],[3]Mapping!$B$4:$C$37,2,0)</f>
        <v>[Cake] - Cashloan</v>
      </c>
      <c r="H8624" s="128" t="str">
        <f>VLOOKUP(source[[#This Row],[lending_product_transform]],[3]Mapping!$B$3:$D$37,3,0)</f>
        <v>cashloan</v>
      </c>
      <c r="I8624" s="173">
        <v>5551092000</v>
      </c>
    </row>
    <row r="8625" spans="1:9" x14ac:dyDescent="0.2">
      <c r="A8625" s="134">
        <v>45893</v>
      </c>
      <c r="B8625" s="135">
        <f>YEAR(source[[#This Row],[report_date]])</f>
        <v>2025</v>
      </c>
      <c r="C8625" s="128">
        <f t="shared" si="400"/>
        <v>8</v>
      </c>
      <c r="D8625" s="136">
        <f t="shared" si="402"/>
        <v>34</v>
      </c>
      <c r="E8625" s="136">
        <f t="shared" si="401"/>
        <v>24</v>
      </c>
      <c r="F8625" s="128" t="s">
        <v>24</v>
      </c>
      <c r="G8625" s="128" t="str">
        <f>VLOOKUP(source[[#This Row],[lending_product_transform]],[3]Mapping!$B$4:$C$37,2,0)</f>
        <v>[Cake] - Cashloan</v>
      </c>
      <c r="H8625" s="128" t="str">
        <f>VLOOKUP(source[[#This Row],[lending_product_transform]],[3]Mapping!$B$3:$D$37,3,0)</f>
        <v>cashloan</v>
      </c>
      <c r="I8625" s="173">
        <v>10239910000</v>
      </c>
    </row>
    <row r="8626" spans="1:9" x14ac:dyDescent="0.2">
      <c r="A8626" s="134">
        <v>45893</v>
      </c>
      <c r="B8626" s="135">
        <f>YEAR(source[[#This Row],[report_date]])</f>
        <v>2025</v>
      </c>
      <c r="C8626" s="128">
        <f t="shared" si="400"/>
        <v>8</v>
      </c>
      <c r="D8626" s="136">
        <f t="shared" si="402"/>
        <v>34</v>
      </c>
      <c r="E8626" s="136">
        <f t="shared" si="401"/>
        <v>24</v>
      </c>
      <c r="F8626" s="128" t="s">
        <v>24</v>
      </c>
      <c r="G8626" s="128" t="str">
        <f>VLOOKUP(source[[#This Row],[lending_product_transform]],[3]Mapping!$B$4:$C$37,2,0)</f>
        <v>[Cake] - Cashloan</v>
      </c>
      <c r="H8626" s="128" t="str">
        <f>VLOOKUP(source[[#This Row],[lending_product_transform]],[3]Mapping!$B$3:$D$37,3,0)</f>
        <v>cashloan</v>
      </c>
      <c r="I8626" s="173">
        <v>46000000</v>
      </c>
    </row>
    <row r="8627" spans="1:9" x14ac:dyDescent="0.2">
      <c r="A8627" s="134">
        <v>45893</v>
      </c>
      <c r="B8627" s="135">
        <f>YEAR(source[[#This Row],[report_date]])</f>
        <v>2025</v>
      </c>
      <c r="C8627" s="128">
        <f t="shared" si="400"/>
        <v>8</v>
      </c>
      <c r="D8627" s="136">
        <f t="shared" si="402"/>
        <v>34</v>
      </c>
      <c r="E8627" s="136">
        <f t="shared" si="401"/>
        <v>24</v>
      </c>
      <c r="F8627" s="128" t="s">
        <v>24</v>
      </c>
      <c r="G8627" s="128" t="str">
        <f>VLOOKUP(source[[#This Row],[lending_product_transform]],[3]Mapping!$B$4:$C$37,2,0)</f>
        <v>[Cake] - Cashloan</v>
      </c>
      <c r="H8627" s="128" t="str">
        <f>VLOOKUP(source[[#This Row],[lending_product_transform]],[3]Mapping!$B$3:$D$37,3,0)</f>
        <v>cashloan</v>
      </c>
      <c r="I8627" s="173">
        <v>432923000</v>
      </c>
    </row>
    <row r="8628" spans="1:9" x14ac:dyDescent="0.2">
      <c r="A8628" s="134">
        <v>45893</v>
      </c>
      <c r="B8628" s="135">
        <f>YEAR(source[[#This Row],[report_date]])</f>
        <v>2025</v>
      </c>
      <c r="C8628" s="128">
        <f t="shared" si="400"/>
        <v>8</v>
      </c>
      <c r="D8628" s="136">
        <f t="shared" si="402"/>
        <v>34</v>
      </c>
      <c r="E8628" s="136">
        <f t="shared" si="401"/>
        <v>24</v>
      </c>
      <c r="F8628" s="128" t="s">
        <v>24</v>
      </c>
      <c r="G8628" s="128" t="str">
        <f>VLOOKUP(source[[#This Row],[lending_product_transform]],[3]Mapping!$B$4:$C$37,2,0)</f>
        <v>[Cake] - Cashloan</v>
      </c>
      <c r="H8628" s="128" t="str">
        <f>VLOOKUP(source[[#This Row],[lending_product_transform]],[3]Mapping!$B$3:$D$37,3,0)</f>
        <v>cashloan</v>
      </c>
      <c r="I8628" s="173">
        <v>16727006</v>
      </c>
    </row>
    <row r="8629" spans="1:9" x14ac:dyDescent="0.2">
      <c r="A8629" s="134">
        <v>45893</v>
      </c>
      <c r="B8629" s="135">
        <f>YEAR(source[[#This Row],[report_date]])</f>
        <v>2025</v>
      </c>
      <c r="C8629" s="128">
        <f t="shared" si="400"/>
        <v>8</v>
      </c>
      <c r="D8629" s="136">
        <f t="shared" si="402"/>
        <v>34</v>
      </c>
      <c r="E8629" s="136">
        <f t="shared" si="401"/>
        <v>24</v>
      </c>
      <c r="F8629" s="128" t="s">
        <v>24</v>
      </c>
      <c r="G8629" s="128" t="str">
        <f>VLOOKUP(source[[#This Row],[lending_product_transform]],[3]Mapping!$B$4:$C$37,2,0)</f>
        <v>[Cake] - Cashloan</v>
      </c>
      <c r="H8629" s="128" t="str">
        <f>VLOOKUP(source[[#This Row],[lending_product_transform]],[3]Mapping!$B$3:$D$37,3,0)</f>
        <v>cashloan</v>
      </c>
      <c r="I8629" s="173">
        <v>21000000</v>
      </c>
    </row>
    <row r="8630" spans="1:9" x14ac:dyDescent="0.2">
      <c r="A8630" s="134">
        <v>45893</v>
      </c>
      <c r="B8630" s="135">
        <f>YEAR(source[[#This Row],[report_date]])</f>
        <v>2025</v>
      </c>
      <c r="C8630" s="128">
        <f t="shared" ref="C8630:C8693" si="403">MONTH(A8630)</f>
        <v>8</v>
      </c>
      <c r="D8630" s="136">
        <f t="shared" si="402"/>
        <v>34</v>
      </c>
      <c r="E8630" s="136">
        <f t="shared" ref="E8630:E8693" si="404">DAY(A8630)</f>
        <v>24</v>
      </c>
      <c r="F8630" s="128" t="s">
        <v>24</v>
      </c>
      <c r="G8630" s="128" t="str">
        <f>VLOOKUP(source[[#This Row],[lending_product_transform]],[3]Mapping!$B$4:$C$37,2,0)</f>
        <v>[Cake] - Cashloan</v>
      </c>
      <c r="H8630" s="128" t="str">
        <f>VLOOKUP(source[[#This Row],[lending_product_transform]],[3]Mapping!$B$3:$D$37,3,0)</f>
        <v>cashloan</v>
      </c>
      <c r="I8630" s="173">
        <v>0</v>
      </c>
    </row>
    <row r="8631" spans="1:9" x14ac:dyDescent="0.2">
      <c r="A8631" s="134">
        <v>45893</v>
      </c>
      <c r="B8631" s="135">
        <f>YEAR(source[[#This Row],[report_date]])</f>
        <v>2025</v>
      </c>
      <c r="C8631" s="128">
        <f t="shared" si="403"/>
        <v>8</v>
      </c>
      <c r="D8631" s="136">
        <f t="shared" si="402"/>
        <v>34</v>
      </c>
      <c r="E8631" s="136">
        <f t="shared" si="404"/>
        <v>24</v>
      </c>
      <c r="F8631" s="128" t="s">
        <v>24</v>
      </c>
      <c r="G8631" s="128" t="str">
        <f>VLOOKUP(source[[#This Row],[lending_product_transform]],[3]Mapping!$B$4:$C$37,2,0)</f>
        <v>[Cake] - Cashloan</v>
      </c>
      <c r="H8631" s="128" t="str">
        <f>VLOOKUP(source[[#This Row],[lending_product_transform]],[3]Mapping!$B$3:$D$37,3,0)</f>
        <v>cashloan</v>
      </c>
      <c r="I8631" s="173">
        <v>0</v>
      </c>
    </row>
    <row r="8632" spans="1:9" x14ac:dyDescent="0.2">
      <c r="A8632" s="134">
        <v>45893</v>
      </c>
      <c r="B8632" s="135">
        <f>YEAR(source[[#This Row],[report_date]])</f>
        <v>2025</v>
      </c>
      <c r="C8632" s="128">
        <f t="shared" si="403"/>
        <v>8</v>
      </c>
      <c r="D8632" s="136">
        <f t="shared" si="402"/>
        <v>34</v>
      </c>
      <c r="E8632" s="136">
        <f t="shared" si="404"/>
        <v>24</v>
      </c>
      <c r="F8632" s="128" t="s">
        <v>24</v>
      </c>
      <c r="G8632" s="128" t="str">
        <f>VLOOKUP(source[[#This Row],[lending_product_transform]],[3]Mapping!$B$4:$C$37,2,0)</f>
        <v>[Cake] - Cashloan</v>
      </c>
      <c r="H8632" s="128" t="str">
        <f>VLOOKUP(source[[#This Row],[lending_product_transform]],[3]Mapping!$B$3:$D$37,3,0)</f>
        <v>cashloan</v>
      </c>
      <c r="I8632" s="173">
        <v>350300000</v>
      </c>
    </row>
    <row r="8633" spans="1:9" x14ac:dyDescent="0.2">
      <c r="A8633" s="134">
        <v>45893</v>
      </c>
      <c r="B8633" s="135">
        <f>YEAR(source[[#This Row],[report_date]])</f>
        <v>2025</v>
      </c>
      <c r="C8633" s="128">
        <f t="shared" si="403"/>
        <v>8</v>
      </c>
      <c r="D8633" s="136">
        <f t="shared" si="402"/>
        <v>34</v>
      </c>
      <c r="E8633" s="136">
        <f t="shared" si="404"/>
        <v>24</v>
      </c>
      <c r="F8633" s="128" t="s">
        <v>24</v>
      </c>
      <c r="G8633" s="128" t="str">
        <f>VLOOKUP(source[[#This Row],[lending_product_transform]],[3]Mapping!$B$4:$C$37,2,0)</f>
        <v>[Cake] - Cashloan</v>
      </c>
      <c r="H8633" s="128" t="str">
        <f>VLOOKUP(source[[#This Row],[lending_product_transform]],[3]Mapping!$B$3:$D$37,3,0)</f>
        <v>cashloan</v>
      </c>
      <c r="I8633" s="173">
        <v>10500000</v>
      </c>
    </row>
    <row r="8634" spans="1:9" x14ac:dyDescent="0.2">
      <c r="A8634" s="134">
        <v>45893</v>
      </c>
      <c r="B8634" s="135">
        <f>YEAR(source[[#This Row],[report_date]])</f>
        <v>2025</v>
      </c>
      <c r="C8634" s="128">
        <f t="shared" si="403"/>
        <v>8</v>
      </c>
      <c r="D8634" s="136">
        <f t="shared" si="402"/>
        <v>34</v>
      </c>
      <c r="E8634" s="136">
        <f t="shared" si="404"/>
        <v>24</v>
      </c>
      <c r="F8634" s="128" t="s">
        <v>24</v>
      </c>
      <c r="G8634" s="128" t="str">
        <f>VLOOKUP(source[[#This Row],[lending_product_transform]],[3]Mapping!$B$4:$C$37,2,0)</f>
        <v>[Cake] - Cashloan</v>
      </c>
      <c r="H8634" s="128" t="str">
        <f>VLOOKUP(source[[#This Row],[lending_product_transform]],[3]Mapping!$B$3:$D$37,3,0)</f>
        <v>cashloan</v>
      </c>
      <c r="I8634" s="173">
        <v>228295626</v>
      </c>
    </row>
    <row r="8635" spans="1:9" x14ac:dyDescent="0.2">
      <c r="A8635" s="134">
        <v>45893</v>
      </c>
      <c r="B8635" s="135">
        <f>YEAR(source[[#This Row],[report_date]])</f>
        <v>2025</v>
      </c>
      <c r="C8635" s="128">
        <f t="shared" si="403"/>
        <v>8</v>
      </c>
      <c r="D8635" s="136">
        <f t="shared" si="402"/>
        <v>34</v>
      </c>
      <c r="E8635" s="136">
        <f t="shared" si="404"/>
        <v>24</v>
      </c>
      <c r="F8635" s="128" t="s">
        <v>24</v>
      </c>
      <c r="G8635" s="128" t="str">
        <f>VLOOKUP(source[[#This Row],[lending_product_transform]],[3]Mapping!$B$4:$C$37,2,0)</f>
        <v>[Cake] - Cashloan</v>
      </c>
      <c r="H8635" s="128" t="str">
        <f>VLOOKUP(source[[#This Row],[lending_product_transform]],[3]Mapping!$B$3:$D$37,3,0)</f>
        <v>cashloan</v>
      </c>
      <c r="I8635" s="173">
        <v>2527330000</v>
      </c>
    </row>
    <row r="8636" spans="1:9" x14ac:dyDescent="0.2">
      <c r="A8636" s="134">
        <v>45893</v>
      </c>
      <c r="B8636" s="135">
        <f>YEAR(source[[#This Row],[report_date]])</f>
        <v>2025</v>
      </c>
      <c r="C8636" s="128">
        <f t="shared" si="403"/>
        <v>8</v>
      </c>
      <c r="D8636" s="136">
        <f t="shared" si="402"/>
        <v>34</v>
      </c>
      <c r="E8636" s="136">
        <f t="shared" si="404"/>
        <v>24</v>
      </c>
      <c r="F8636" s="128" t="s">
        <v>24</v>
      </c>
      <c r="G8636" s="128" t="str">
        <f>VLOOKUP(source[[#This Row],[lending_product_transform]],[3]Mapping!$B$4:$C$37,2,0)</f>
        <v>[Cake] - Cashloan</v>
      </c>
      <c r="H8636" s="128" t="str">
        <f>VLOOKUP(source[[#This Row],[lending_product_transform]],[3]Mapping!$B$3:$D$37,3,0)</f>
        <v>cashloan</v>
      </c>
      <c r="I8636" s="173">
        <v>1360440000</v>
      </c>
    </row>
    <row r="8637" spans="1:9" x14ac:dyDescent="0.2">
      <c r="A8637" s="134">
        <v>45893</v>
      </c>
      <c r="B8637" s="135">
        <f>YEAR(source[[#This Row],[report_date]])</f>
        <v>2025</v>
      </c>
      <c r="C8637" s="128">
        <f t="shared" si="403"/>
        <v>8</v>
      </c>
      <c r="D8637" s="136">
        <f t="shared" si="402"/>
        <v>34</v>
      </c>
      <c r="E8637" s="136">
        <f t="shared" si="404"/>
        <v>24</v>
      </c>
      <c r="F8637" s="128" t="s">
        <v>24</v>
      </c>
      <c r="G8637" s="128" t="str">
        <f>VLOOKUP(source[[#This Row],[lending_product_transform]],[3]Mapping!$B$4:$C$37,2,0)</f>
        <v>[Cake] - Cashloan</v>
      </c>
      <c r="H8637" s="128" t="str">
        <f>VLOOKUP(source[[#This Row],[lending_product_transform]],[3]Mapping!$B$3:$D$37,3,0)</f>
        <v>cashloan</v>
      </c>
      <c r="I8637" s="173">
        <v>297181711</v>
      </c>
    </row>
    <row r="8638" spans="1:9" x14ac:dyDescent="0.2">
      <c r="A8638" s="134">
        <v>45893</v>
      </c>
      <c r="B8638" s="135">
        <f>YEAR(source[[#This Row],[report_date]])</f>
        <v>2025</v>
      </c>
      <c r="C8638" s="128">
        <f t="shared" si="403"/>
        <v>8</v>
      </c>
      <c r="D8638" s="136">
        <f t="shared" si="402"/>
        <v>34</v>
      </c>
      <c r="E8638" s="136">
        <f t="shared" si="404"/>
        <v>24</v>
      </c>
      <c r="F8638" s="128" t="s">
        <v>24</v>
      </c>
      <c r="G8638" s="128" t="str">
        <f>VLOOKUP(source[[#This Row],[lending_product_transform]],[3]Mapping!$B$4:$C$37,2,0)</f>
        <v>[Cake] - Cashloan</v>
      </c>
      <c r="H8638" s="128" t="str">
        <f>VLOOKUP(source[[#This Row],[lending_product_transform]],[3]Mapping!$B$3:$D$37,3,0)</f>
        <v>cashloan</v>
      </c>
      <c r="I8638" s="173">
        <v>4393872000</v>
      </c>
    </row>
    <row r="8639" spans="1:9" x14ac:dyDescent="0.2">
      <c r="A8639" s="134">
        <v>45893</v>
      </c>
      <c r="B8639" s="135">
        <f>YEAR(source[[#This Row],[report_date]])</f>
        <v>2025</v>
      </c>
      <c r="C8639" s="128">
        <f t="shared" si="403"/>
        <v>8</v>
      </c>
      <c r="D8639" s="136">
        <f t="shared" si="402"/>
        <v>34</v>
      </c>
      <c r="E8639" s="136">
        <f t="shared" si="404"/>
        <v>24</v>
      </c>
      <c r="F8639" s="128" t="s">
        <v>24</v>
      </c>
      <c r="G8639" s="128" t="str">
        <f>VLOOKUP(source[[#This Row],[lending_product_transform]],[3]Mapping!$B$4:$C$37,2,0)</f>
        <v>[Cake] - Cashloan</v>
      </c>
      <c r="H8639" s="128" t="str">
        <f>VLOOKUP(source[[#This Row],[lending_product_transform]],[3]Mapping!$B$3:$D$37,3,0)</f>
        <v>cashloan</v>
      </c>
      <c r="I8639" s="173">
        <v>2190294956</v>
      </c>
    </row>
    <row r="8640" spans="1:9" x14ac:dyDescent="0.2">
      <c r="A8640" s="134">
        <v>45893</v>
      </c>
      <c r="B8640" s="135">
        <f>YEAR(source[[#This Row],[report_date]])</f>
        <v>2025</v>
      </c>
      <c r="C8640" s="128">
        <f t="shared" si="403"/>
        <v>8</v>
      </c>
      <c r="D8640" s="136">
        <f t="shared" si="402"/>
        <v>34</v>
      </c>
      <c r="E8640" s="136">
        <f t="shared" si="404"/>
        <v>24</v>
      </c>
      <c r="F8640" s="128" t="s">
        <v>24</v>
      </c>
      <c r="G8640" s="128" t="str">
        <f>VLOOKUP(source[[#This Row],[lending_product_transform]],[3]Mapping!$B$4:$C$37,2,0)</f>
        <v>[Cake] - Cashloan</v>
      </c>
      <c r="H8640" s="128" t="str">
        <f>VLOOKUP(source[[#This Row],[lending_product_transform]],[3]Mapping!$B$3:$D$37,3,0)</f>
        <v>cashloan</v>
      </c>
      <c r="I8640" s="173">
        <v>190179404</v>
      </c>
    </row>
    <row r="8641" spans="1:9" x14ac:dyDescent="0.2">
      <c r="A8641" s="134">
        <v>45893</v>
      </c>
      <c r="B8641" s="135">
        <f>YEAR(source[[#This Row],[report_date]])</f>
        <v>2025</v>
      </c>
      <c r="C8641" s="128">
        <f t="shared" si="403"/>
        <v>8</v>
      </c>
      <c r="D8641" s="136">
        <f t="shared" si="402"/>
        <v>34</v>
      </c>
      <c r="E8641" s="136">
        <f t="shared" si="404"/>
        <v>24</v>
      </c>
      <c r="F8641" s="128" t="s">
        <v>24</v>
      </c>
      <c r="G8641" s="128" t="str">
        <f>VLOOKUP(source[[#This Row],[lending_product_transform]],[3]Mapping!$B$4:$C$37,2,0)</f>
        <v>[Cake] - Cashloan</v>
      </c>
      <c r="H8641" s="128" t="str">
        <f>VLOOKUP(source[[#This Row],[lending_product_transform]],[3]Mapping!$B$3:$D$37,3,0)</f>
        <v>cashloan</v>
      </c>
      <c r="I8641" s="173">
        <v>8946570000</v>
      </c>
    </row>
    <row r="8642" spans="1:9" x14ac:dyDescent="0.2">
      <c r="A8642" s="134">
        <v>45894</v>
      </c>
      <c r="B8642" s="135">
        <f>YEAR(source[[#This Row],[report_date]])</f>
        <v>2025</v>
      </c>
      <c r="C8642" s="128">
        <f t="shared" si="403"/>
        <v>8</v>
      </c>
      <c r="D8642" s="136">
        <f t="shared" si="402"/>
        <v>35</v>
      </c>
      <c r="E8642" s="136">
        <f t="shared" si="404"/>
        <v>25</v>
      </c>
      <c r="F8642" s="128" t="s">
        <v>24</v>
      </c>
      <c r="G8642" s="128" t="str">
        <f>VLOOKUP(source[[#This Row],[lending_product_transform]],[3]Mapping!$B$4:$C$37,2,0)</f>
        <v>[Cake] - Cashloan</v>
      </c>
      <c r="H8642" s="128" t="str">
        <f>VLOOKUP(source[[#This Row],[lending_product_transform]],[3]Mapping!$B$3:$D$37,3,0)</f>
        <v>cashloan</v>
      </c>
      <c r="I8642" s="173">
        <v>223281760</v>
      </c>
    </row>
    <row r="8643" spans="1:9" x14ac:dyDescent="0.2">
      <c r="A8643" s="134">
        <v>45894</v>
      </c>
      <c r="B8643" s="135">
        <f>YEAR(source[[#This Row],[report_date]])</f>
        <v>2025</v>
      </c>
      <c r="C8643" s="128">
        <f t="shared" si="403"/>
        <v>8</v>
      </c>
      <c r="D8643" s="136">
        <f t="shared" ref="D8643:D8706" si="405">WEEKNUM(A8643,2)</f>
        <v>35</v>
      </c>
      <c r="E8643" s="136">
        <f t="shared" si="404"/>
        <v>25</v>
      </c>
      <c r="F8643" s="128" t="s">
        <v>24</v>
      </c>
      <c r="G8643" s="128" t="str">
        <f>VLOOKUP(source[[#This Row],[lending_product_transform]],[3]Mapping!$B$4:$C$37,2,0)</f>
        <v>[Cake] - Cashloan</v>
      </c>
      <c r="H8643" s="128" t="str">
        <f>VLOOKUP(source[[#This Row],[lending_product_transform]],[3]Mapping!$B$3:$D$37,3,0)</f>
        <v>cashloan</v>
      </c>
      <c r="I8643" s="173">
        <v>12517810000</v>
      </c>
    </row>
    <row r="8644" spans="1:9" x14ac:dyDescent="0.2">
      <c r="A8644" s="134">
        <v>45894</v>
      </c>
      <c r="B8644" s="135">
        <f>YEAR(source[[#This Row],[report_date]])</f>
        <v>2025</v>
      </c>
      <c r="C8644" s="128">
        <f t="shared" si="403"/>
        <v>8</v>
      </c>
      <c r="D8644" s="136">
        <f t="shared" si="405"/>
        <v>35</v>
      </c>
      <c r="E8644" s="136">
        <f t="shared" si="404"/>
        <v>25</v>
      </c>
      <c r="F8644" s="128" t="s">
        <v>24</v>
      </c>
      <c r="G8644" s="128" t="str">
        <f>VLOOKUP(source[[#This Row],[lending_product_transform]],[3]Mapping!$B$4:$C$37,2,0)</f>
        <v>[Cake] - Cashloan</v>
      </c>
      <c r="H8644" s="128" t="str">
        <f>VLOOKUP(source[[#This Row],[lending_product_transform]],[3]Mapping!$B$3:$D$37,3,0)</f>
        <v>cashloan</v>
      </c>
      <c r="I8644" s="173">
        <v>35700000</v>
      </c>
    </row>
    <row r="8645" spans="1:9" x14ac:dyDescent="0.2">
      <c r="A8645" s="134">
        <v>45894</v>
      </c>
      <c r="B8645" s="135">
        <f>YEAR(source[[#This Row],[report_date]])</f>
        <v>2025</v>
      </c>
      <c r="C8645" s="128">
        <f t="shared" si="403"/>
        <v>8</v>
      </c>
      <c r="D8645" s="136">
        <f t="shared" si="405"/>
        <v>35</v>
      </c>
      <c r="E8645" s="136">
        <f t="shared" si="404"/>
        <v>25</v>
      </c>
      <c r="F8645" s="128" t="s">
        <v>24</v>
      </c>
      <c r="G8645" s="128" t="str">
        <f>VLOOKUP(source[[#This Row],[lending_product_transform]],[3]Mapping!$B$4:$C$37,2,0)</f>
        <v>[Cake] - Cashloan</v>
      </c>
      <c r="H8645" s="128" t="str">
        <f>VLOOKUP(source[[#This Row],[lending_product_transform]],[3]Mapping!$B$3:$D$37,3,0)</f>
        <v>cashloan</v>
      </c>
      <c r="I8645" s="173">
        <v>14191695</v>
      </c>
    </row>
    <row r="8646" spans="1:9" x14ac:dyDescent="0.2">
      <c r="A8646" s="134">
        <v>45894</v>
      </c>
      <c r="B8646" s="135">
        <f>YEAR(source[[#This Row],[report_date]])</f>
        <v>2025</v>
      </c>
      <c r="C8646" s="128">
        <f t="shared" si="403"/>
        <v>8</v>
      </c>
      <c r="D8646" s="136">
        <f t="shared" si="405"/>
        <v>35</v>
      </c>
      <c r="E8646" s="136">
        <f t="shared" si="404"/>
        <v>25</v>
      </c>
      <c r="F8646" s="128" t="s">
        <v>24</v>
      </c>
      <c r="G8646" s="128" t="str">
        <f>VLOOKUP(source[[#This Row],[lending_product_transform]],[3]Mapping!$B$4:$C$37,2,0)</f>
        <v>[Cake] - Cashloan</v>
      </c>
      <c r="H8646" s="128" t="str">
        <f>VLOOKUP(source[[#This Row],[lending_product_transform]],[3]Mapping!$B$3:$D$37,3,0)</f>
        <v>cashloan</v>
      </c>
      <c r="I8646" s="173">
        <v>6032016000</v>
      </c>
    </row>
    <row r="8647" spans="1:9" x14ac:dyDescent="0.2">
      <c r="A8647" s="134">
        <v>45894</v>
      </c>
      <c r="B8647" s="135">
        <f>YEAR(source[[#This Row],[report_date]])</f>
        <v>2025</v>
      </c>
      <c r="C8647" s="128">
        <f t="shared" si="403"/>
        <v>8</v>
      </c>
      <c r="D8647" s="136">
        <f t="shared" si="405"/>
        <v>35</v>
      </c>
      <c r="E8647" s="136">
        <f t="shared" si="404"/>
        <v>25</v>
      </c>
      <c r="F8647" s="128" t="s">
        <v>24</v>
      </c>
      <c r="G8647" s="128" t="str">
        <f>VLOOKUP(source[[#This Row],[lending_product_transform]],[3]Mapping!$B$4:$C$37,2,0)</f>
        <v>[Cake] - Cashloan</v>
      </c>
      <c r="H8647" s="128" t="str">
        <f>VLOOKUP(source[[#This Row],[lending_product_transform]],[3]Mapping!$B$3:$D$37,3,0)</f>
        <v>cashloan</v>
      </c>
      <c r="I8647" s="173">
        <v>27000000</v>
      </c>
    </row>
    <row r="8648" spans="1:9" x14ac:dyDescent="0.2">
      <c r="A8648" s="134">
        <v>45894</v>
      </c>
      <c r="B8648" s="135">
        <f>YEAR(source[[#This Row],[report_date]])</f>
        <v>2025</v>
      </c>
      <c r="C8648" s="128">
        <f t="shared" si="403"/>
        <v>8</v>
      </c>
      <c r="D8648" s="136">
        <f t="shared" si="405"/>
        <v>35</v>
      </c>
      <c r="E8648" s="136">
        <f t="shared" si="404"/>
        <v>25</v>
      </c>
      <c r="F8648" s="128" t="s">
        <v>24</v>
      </c>
      <c r="G8648" s="128" t="str">
        <f>VLOOKUP(source[[#This Row],[lending_product_transform]],[3]Mapping!$B$4:$C$37,2,0)</f>
        <v>[Cake] - Cashloan</v>
      </c>
      <c r="H8648" s="128" t="str">
        <f>VLOOKUP(source[[#This Row],[lending_product_transform]],[3]Mapping!$B$3:$D$37,3,0)</f>
        <v>cashloan</v>
      </c>
      <c r="I8648" s="173">
        <v>0</v>
      </c>
    </row>
    <row r="8649" spans="1:9" x14ac:dyDescent="0.2">
      <c r="A8649" s="134">
        <v>45894</v>
      </c>
      <c r="B8649" s="135">
        <f>YEAR(source[[#This Row],[report_date]])</f>
        <v>2025</v>
      </c>
      <c r="C8649" s="128">
        <f t="shared" si="403"/>
        <v>8</v>
      </c>
      <c r="D8649" s="136">
        <f t="shared" si="405"/>
        <v>35</v>
      </c>
      <c r="E8649" s="136">
        <f t="shared" si="404"/>
        <v>25</v>
      </c>
      <c r="F8649" s="128" t="s">
        <v>24</v>
      </c>
      <c r="G8649" s="128" t="str">
        <f>VLOOKUP(source[[#This Row],[lending_product_transform]],[3]Mapping!$B$4:$C$37,2,0)</f>
        <v>[Cake] - Cashloan</v>
      </c>
      <c r="H8649" s="128" t="str">
        <f>VLOOKUP(source[[#This Row],[lending_product_transform]],[3]Mapping!$B$3:$D$37,3,0)</f>
        <v>cashloan</v>
      </c>
      <c r="I8649" s="173">
        <v>469320000</v>
      </c>
    </row>
    <row r="8650" spans="1:9" x14ac:dyDescent="0.2">
      <c r="A8650" s="134">
        <v>45894</v>
      </c>
      <c r="B8650" s="135">
        <f>YEAR(source[[#This Row],[report_date]])</f>
        <v>2025</v>
      </c>
      <c r="C8650" s="128">
        <f t="shared" si="403"/>
        <v>8</v>
      </c>
      <c r="D8650" s="136">
        <f t="shared" si="405"/>
        <v>35</v>
      </c>
      <c r="E8650" s="136">
        <f t="shared" si="404"/>
        <v>25</v>
      </c>
      <c r="F8650" s="128" t="s">
        <v>24</v>
      </c>
      <c r="G8650" s="128" t="str">
        <f>VLOOKUP(source[[#This Row],[lending_product_transform]],[3]Mapping!$B$4:$C$37,2,0)</f>
        <v>[Cake] - Cashloan</v>
      </c>
      <c r="H8650" s="128" t="str">
        <f>VLOOKUP(source[[#This Row],[lending_product_transform]],[3]Mapping!$B$3:$D$37,3,0)</f>
        <v>cashloan</v>
      </c>
      <c r="I8650" s="173">
        <v>54914000</v>
      </c>
    </row>
    <row r="8651" spans="1:9" x14ac:dyDescent="0.2">
      <c r="A8651" s="134">
        <v>45894</v>
      </c>
      <c r="B8651" s="135">
        <f>YEAR(source[[#This Row],[report_date]])</f>
        <v>2025</v>
      </c>
      <c r="C8651" s="128">
        <f t="shared" si="403"/>
        <v>8</v>
      </c>
      <c r="D8651" s="136">
        <f t="shared" si="405"/>
        <v>35</v>
      </c>
      <c r="E8651" s="136">
        <f t="shared" si="404"/>
        <v>25</v>
      </c>
      <c r="F8651" s="128" t="s">
        <v>24</v>
      </c>
      <c r="G8651" s="128" t="str">
        <f>VLOOKUP(source[[#This Row],[lending_product_transform]],[3]Mapping!$B$4:$C$37,2,0)</f>
        <v>[Cake] - Cashloan</v>
      </c>
      <c r="H8651" s="128" t="str">
        <f>VLOOKUP(source[[#This Row],[lending_product_transform]],[3]Mapping!$B$3:$D$37,3,0)</f>
        <v>cashloan</v>
      </c>
      <c r="I8651" s="173">
        <v>0</v>
      </c>
    </row>
    <row r="8652" spans="1:9" x14ac:dyDescent="0.2">
      <c r="A8652" s="134">
        <v>45894</v>
      </c>
      <c r="B8652" s="135">
        <f>YEAR(source[[#This Row],[report_date]])</f>
        <v>2025</v>
      </c>
      <c r="C8652" s="128">
        <f t="shared" si="403"/>
        <v>8</v>
      </c>
      <c r="D8652" s="136">
        <f t="shared" si="405"/>
        <v>35</v>
      </c>
      <c r="E8652" s="136">
        <f t="shared" si="404"/>
        <v>25</v>
      </c>
      <c r="F8652" s="128" t="s">
        <v>24</v>
      </c>
      <c r="G8652" s="128" t="str">
        <f>VLOOKUP(source[[#This Row],[lending_product_transform]],[3]Mapping!$B$4:$C$37,2,0)</f>
        <v>[Cake] - Cashloan</v>
      </c>
      <c r="H8652" s="128" t="str">
        <f>VLOOKUP(source[[#This Row],[lending_product_transform]],[3]Mapping!$B$3:$D$37,3,0)</f>
        <v>cashloan</v>
      </c>
      <c r="I8652" s="173">
        <v>403171739</v>
      </c>
    </row>
    <row r="8653" spans="1:9" x14ac:dyDescent="0.2">
      <c r="A8653" s="134">
        <v>45894</v>
      </c>
      <c r="B8653" s="135">
        <f>YEAR(source[[#This Row],[report_date]])</f>
        <v>2025</v>
      </c>
      <c r="C8653" s="128">
        <f t="shared" si="403"/>
        <v>8</v>
      </c>
      <c r="D8653" s="136">
        <f t="shared" si="405"/>
        <v>35</v>
      </c>
      <c r="E8653" s="136">
        <f t="shared" si="404"/>
        <v>25</v>
      </c>
      <c r="F8653" s="128" t="s">
        <v>24</v>
      </c>
      <c r="G8653" s="128" t="str">
        <f>VLOOKUP(source[[#This Row],[lending_product_transform]],[3]Mapping!$B$4:$C$37,2,0)</f>
        <v>[Cake] - Cashloan</v>
      </c>
      <c r="H8653" s="128" t="str">
        <f>VLOOKUP(source[[#This Row],[lending_product_transform]],[3]Mapping!$B$3:$D$37,3,0)</f>
        <v>cashloan</v>
      </c>
      <c r="I8653" s="173">
        <v>2091990000</v>
      </c>
    </row>
    <row r="8654" spans="1:9" x14ac:dyDescent="0.2">
      <c r="A8654" s="134">
        <v>45894</v>
      </c>
      <c r="B8654" s="135">
        <f>YEAR(source[[#This Row],[report_date]])</f>
        <v>2025</v>
      </c>
      <c r="C8654" s="128">
        <f t="shared" si="403"/>
        <v>8</v>
      </c>
      <c r="D8654" s="136">
        <f t="shared" si="405"/>
        <v>35</v>
      </c>
      <c r="E8654" s="136">
        <f t="shared" si="404"/>
        <v>25</v>
      </c>
      <c r="F8654" s="128" t="s">
        <v>24</v>
      </c>
      <c r="G8654" s="128" t="str">
        <f>VLOOKUP(source[[#This Row],[lending_product_transform]],[3]Mapping!$B$4:$C$37,2,0)</f>
        <v>[Cake] - Cashloan</v>
      </c>
      <c r="H8654" s="128" t="str">
        <f>VLOOKUP(source[[#This Row],[lending_product_transform]],[3]Mapping!$B$3:$D$37,3,0)</f>
        <v>cashloan</v>
      </c>
      <c r="I8654" s="173">
        <v>2065930000</v>
      </c>
    </row>
    <row r="8655" spans="1:9" x14ac:dyDescent="0.2">
      <c r="A8655" s="134">
        <v>45894</v>
      </c>
      <c r="B8655" s="135">
        <f>YEAR(source[[#This Row],[report_date]])</f>
        <v>2025</v>
      </c>
      <c r="C8655" s="128">
        <f t="shared" si="403"/>
        <v>8</v>
      </c>
      <c r="D8655" s="136">
        <f t="shared" si="405"/>
        <v>35</v>
      </c>
      <c r="E8655" s="136">
        <f t="shared" si="404"/>
        <v>25</v>
      </c>
      <c r="F8655" s="128" t="s">
        <v>24</v>
      </c>
      <c r="G8655" s="128" t="str">
        <f>VLOOKUP(source[[#This Row],[lending_product_transform]],[3]Mapping!$B$4:$C$37,2,0)</f>
        <v>[Cake] - Cashloan</v>
      </c>
      <c r="H8655" s="128" t="str">
        <f>VLOOKUP(source[[#This Row],[lending_product_transform]],[3]Mapping!$B$3:$D$37,3,0)</f>
        <v>cashloan</v>
      </c>
      <c r="I8655" s="173">
        <v>11699920000</v>
      </c>
    </row>
    <row r="8656" spans="1:9" x14ac:dyDescent="0.2">
      <c r="A8656" s="134">
        <v>45894</v>
      </c>
      <c r="B8656" s="135">
        <f>YEAR(source[[#This Row],[report_date]])</f>
        <v>2025</v>
      </c>
      <c r="C8656" s="128">
        <f t="shared" si="403"/>
        <v>8</v>
      </c>
      <c r="D8656" s="136">
        <f t="shared" si="405"/>
        <v>35</v>
      </c>
      <c r="E8656" s="136">
        <f t="shared" si="404"/>
        <v>25</v>
      </c>
      <c r="F8656" s="128" t="s">
        <v>24</v>
      </c>
      <c r="G8656" s="128" t="str">
        <f>VLOOKUP(source[[#This Row],[lending_product_transform]],[3]Mapping!$B$4:$C$37,2,0)</f>
        <v>[Cake] - Cashloan</v>
      </c>
      <c r="H8656" s="128" t="str">
        <f>VLOOKUP(source[[#This Row],[lending_product_transform]],[3]Mapping!$B$3:$D$37,3,0)</f>
        <v>cashloan</v>
      </c>
      <c r="I8656" s="173">
        <v>51500000</v>
      </c>
    </row>
    <row r="8657" spans="1:9" x14ac:dyDescent="0.2">
      <c r="A8657" s="134">
        <v>45894</v>
      </c>
      <c r="B8657" s="135">
        <f>YEAR(source[[#This Row],[report_date]])</f>
        <v>2025</v>
      </c>
      <c r="C8657" s="128">
        <f t="shared" si="403"/>
        <v>8</v>
      </c>
      <c r="D8657" s="136">
        <f t="shared" si="405"/>
        <v>35</v>
      </c>
      <c r="E8657" s="136">
        <f t="shared" si="404"/>
        <v>25</v>
      </c>
      <c r="F8657" s="128" t="s">
        <v>24</v>
      </c>
      <c r="G8657" s="128" t="str">
        <f>VLOOKUP(source[[#This Row],[lending_product_transform]],[3]Mapping!$B$4:$C$37,2,0)</f>
        <v>[Cake] - Cashloan</v>
      </c>
      <c r="H8657" s="128" t="str">
        <f>VLOOKUP(source[[#This Row],[lending_product_transform]],[3]Mapping!$B$3:$D$37,3,0)</f>
        <v>cashloan</v>
      </c>
      <c r="I8657" s="173">
        <v>5454540000</v>
      </c>
    </row>
    <row r="8658" spans="1:9" x14ac:dyDescent="0.2">
      <c r="A8658" s="134">
        <v>45894</v>
      </c>
      <c r="B8658" s="135">
        <f>YEAR(source[[#This Row],[report_date]])</f>
        <v>2025</v>
      </c>
      <c r="C8658" s="128">
        <f t="shared" si="403"/>
        <v>8</v>
      </c>
      <c r="D8658" s="136">
        <f t="shared" si="405"/>
        <v>35</v>
      </c>
      <c r="E8658" s="136">
        <f t="shared" si="404"/>
        <v>25</v>
      </c>
      <c r="F8658" s="128" t="s">
        <v>24</v>
      </c>
      <c r="G8658" s="128" t="str">
        <f>VLOOKUP(source[[#This Row],[lending_product_transform]],[3]Mapping!$B$4:$C$37,2,0)</f>
        <v>[Cake] - Cashloan</v>
      </c>
      <c r="H8658" s="128" t="str">
        <f>VLOOKUP(source[[#This Row],[lending_product_transform]],[3]Mapping!$B$3:$D$37,3,0)</f>
        <v>cashloan</v>
      </c>
      <c r="I8658" s="173">
        <v>3263562545</v>
      </c>
    </row>
    <row r="8659" spans="1:9" x14ac:dyDescent="0.2">
      <c r="A8659" s="134">
        <v>45894</v>
      </c>
      <c r="B8659" s="135">
        <f>YEAR(source[[#This Row],[report_date]])</f>
        <v>2025</v>
      </c>
      <c r="C8659" s="128">
        <f t="shared" si="403"/>
        <v>8</v>
      </c>
      <c r="D8659" s="136">
        <f t="shared" si="405"/>
        <v>35</v>
      </c>
      <c r="E8659" s="136">
        <f t="shared" si="404"/>
        <v>25</v>
      </c>
      <c r="F8659" s="128" t="s">
        <v>24</v>
      </c>
      <c r="G8659" s="128" t="str">
        <f>VLOOKUP(source[[#This Row],[lending_product_transform]],[3]Mapping!$B$4:$C$37,2,0)</f>
        <v>[Cake] - Cashloan</v>
      </c>
      <c r="H8659" s="128" t="str">
        <f>VLOOKUP(source[[#This Row],[lending_product_transform]],[3]Mapping!$B$3:$D$37,3,0)</f>
        <v>cashloan</v>
      </c>
      <c r="I8659" s="173">
        <v>185616359</v>
      </c>
    </row>
    <row r="8660" spans="1:9" x14ac:dyDescent="0.2">
      <c r="A8660" s="134">
        <v>45894</v>
      </c>
      <c r="B8660" s="135">
        <f>YEAR(source[[#This Row],[report_date]])</f>
        <v>2025</v>
      </c>
      <c r="C8660" s="128">
        <f t="shared" si="403"/>
        <v>8</v>
      </c>
      <c r="D8660" s="136">
        <f t="shared" si="405"/>
        <v>35</v>
      </c>
      <c r="E8660" s="136">
        <f t="shared" si="404"/>
        <v>25</v>
      </c>
      <c r="F8660" s="128" t="s">
        <v>24</v>
      </c>
      <c r="G8660" s="128" t="str">
        <f>VLOOKUP(source[[#This Row],[lending_product_transform]],[3]Mapping!$B$4:$C$37,2,0)</f>
        <v>[Cake] - Cashloan</v>
      </c>
      <c r="H8660" s="128" t="str">
        <f>VLOOKUP(source[[#This Row],[lending_product_transform]],[3]Mapping!$B$3:$D$37,3,0)</f>
        <v>cashloan</v>
      </c>
      <c r="I8660" s="173">
        <v>306839000</v>
      </c>
    </row>
    <row r="8661" spans="1:9" x14ac:dyDescent="0.2">
      <c r="A8661" s="134">
        <v>45895</v>
      </c>
      <c r="B8661" s="135">
        <f>YEAR(source[[#This Row],[report_date]])</f>
        <v>2025</v>
      </c>
      <c r="C8661" s="128">
        <f t="shared" si="403"/>
        <v>8</v>
      </c>
      <c r="D8661" s="136">
        <f t="shared" si="405"/>
        <v>35</v>
      </c>
      <c r="E8661" s="136">
        <f t="shared" si="404"/>
        <v>26</v>
      </c>
      <c r="F8661" s="128" t="s">
        <v>24</v>
      </c>
      <c r="G8661" s="128" t="str">
        <f>VLOOKUP(source[[#This Row],[lending_product_transform]],[3]Mapping!$B$4:$C$37,2,0)</f>
        <v>[Cake] - Cashloan</v>
      </c>
      <c r="H8661" s="128" t="str">
        <f>VLOOKUP(source[[#This Row],[lending_product_transform]],[3]Mapping!$B$3:$D$37,3,0)</f>
        <v>cashloan</v>
      </c>
      <c r="I8661" s="173">
        <v>222740000</v>
      </c>
    </row>
    <row r="8662" spans="1:9" x14ac:dyDescent="0.2">
      <c r="A8662" s="134">
        <v>45895</v>
      </c>
      <c r="B8662" s="135">
        <f>YEAR(source[[#This Row],[report_date]])</f>
        <v>2025</v>
      </c>
      <c r="C8662" s="128">
        <f t="shared" si="403"/>
        <v>8</v>
      </c>
      <c r="D8662" s="136">
        <f t="shared" si="405"/>
        <v>35</v>
      </c>
      <c r="E8662" s="136">
        <f t="shared" si="404"/>
        <v>26</v>
      </c>
      <c r="F8662" s="128" t="s">
        <v>24</v>
      </c>
      <c r="G8662" s="128" t="str">
        <f>VLOOKUP(source[[#This Row],[lending_product_transform]],[3]Mapping!$B$4:$C$37,2,0)</f>
        <v>[Cake] - Cashloan</v>
      </c>
      <c r="H8662" s="128" t="str">
        <f>VLOOKUP(source[[#This Row],[lending_product_transform]],[3]Mapping!$B$3:$D$37,3,0)</f>
        <v>cashloan</v>
      </c>
      <c r="I8662" s="173">
        <v>192833050</v>
      </c>
    </row>
    <row r="8663" spans="1:9" x14ac:dyDescent="0.2">
      <c r="A8663" s="134">
        <v>45895</v>
      </c>
      <c r="B8663" s="135">
        <f>YEAR(source[[#This Row],[report_date]])</f>
        <v>2025</v>
      </c>
      <c r="C8663" s="128">
        <f t="shared" si="403"/>
        <v>8</v>
      </c>
      <c r="D8663" s="136">
        <f t="shared" si="405"/>
        <v>35</v>
      </c>
      <c r="E8663" s="136">
        <f t="shared" si="404"/>
        <v>26</v>
      </c>
      <c r="F8663" s="128" t="s">
        <v>24</v>
      </c>
      <c r="G8663" s="128" t="str">
        <f>VLOOKUP(source[[#This Row],[lending_product_transform]],[3]Mapping!$B$4:$C$37,2,0)</f>
        <v>[Cake] - Cashloan</v>
      </c>
      <c r="H8663" s="128" t="str">
        <f>VLOOKUP(source[[#This Row],[lending_product_transform]],[3]Mapping!$B$3:$D$37,3,0)</f>
        <v>cashloan</v>
      </c>
      <c r="I8663" s="173">
        <v>2066030000</v>
      </c>
    </row>
    <row r="8664" spans="1:9" x14ac:dyDescent="0.2">
      <c r="A8664" s="134">
        <v>45895</v>
      </c>
      <c r="B8664" s="135">
        <f>YEAR(source[[#This Row],[report_date]])</f>
        <v>2025</v>
      </c>
      <c r="C8664" s="128">
        <f t="shared" si="403"/>
        <v>8</v>
      </c>
      <c r="D8664" s="136">
        <f t="shared" si="405"/>
        <v>35</v>
      </c>
      <c r="E8664" s="136">
        <f t="shared" si="404"/>
        <v>26</v>
      </c>
      <c r="F8664" s="128" t="s">
        <v>24</v>
      </c>
      <c r="G8664" s="128" t="str">
        <f>VLOOKUP(source[[#This Row],[lending_product_transform]],[3]Mapping!$B$4:$C$37,2,0)</f>
        <v>[Cake] - Cashloan</v>
      </c>
      <c r="H8664" s="128" t="str">
        <f>VLOOKUP(source[[#This Row],[lending_product_transform]],[3]Mapping!$B$3:$D$37,3,0)</f>
        <v>cashloan</v>
      </c>
      <c r="I8664" s="173">
        <v>10448800000</v>
      </c>
    </row>
    <row r="8665" spans="1:9" x14ac:dyDescent="0.2">
      <c r="A8665" s="134">
        <v>45895</v>
      </c>
      <c r="B8665" s="135">
        <f>YEAR(source[[#This Row],[report_date]])</f>
        <v>2025</v>
      </c>
      <c r="C8665" s="128">
        <f t="shared" si="403"/>
        <v>8</v>
      </c>
      <c r="D8665" s="136">
        <f t="shared" si="405"/>
        <v>35</v>
      </c>
      <c r="E8665" s="136">
        <f t="shared" si="404"/>
        <v>26</v>
      </c>
      <c r="F8665" s="128" t="s">
        <v>24</v>
      </c>
      <c r="G8665" s="128" t="str">
        <f>VLOOKUP(source[[#This Row],[lending_product_transform]],[3]Mapping!$B$4:$C$37,2,0)</f>
        <v>[Cake] - Cashloan</v>
      </c>
      <c r="H8665" s="128" t="str">
        <f>VLOOKUP(source[[#This Row],[lending_product_transform]],[3]Mapping!$B$3:$D$37,3,0)</f>
        <v>cashloan</v>
      </c>
      <c r="I8665" s="173">
        <v>31500000</v>
      </c>
    </row>
    <row r="8666" spans="1:9" x14ac:dyDescent="0.2">
      <c r="A8666" s="134">
        <v>45895</v>
      </c>
      <c r="B8666" s="135">
        <f>YEAR(source[[#This Row],[report_date]])</f>
        <v>2025</v>
      </c>
      <c r="C8666" s="128">
        <f t="shared" si="403"/>
        <v>8</v>
      </c>
      <c r="D8666" s="136">
        <f t="shared" si="405"/>
        <v>35</v>
      </c>
      <c r="E8666" s="136">
        <f t="shared" si="404"/>
        <v>26</v>
      </c>
      <c r="F8666" s="128" t="s">
        <v>24</v>
      </c>
      <c r="G8666" s="128" t="str">
        <f>VLOOKUP(source[[#This Row],[lending_product_transform]],[3]Mapping!$B$4:$C$37,2,0)</f>
        <v>[Cake] - Cashloan</v>
      </c>
      <c r="H8666" s="128" t="str">
        <f>VLOOKUP(source[[#This Row],[lending_product_transform]],[3]Mapping!$B$3:$D$37,3,0)</f>
        <v>cashloan</v>
      </c>
      <c r="I8666" s="173">
        <v>27921421</v>
      </c>
    </row>
    <row r="8667" spans="1:9" x14ac:dyDescent="0.2">
      <c r="A8667" s="134">
        <v>45895</v>
      </c>
      <c r="B8667" s="135">
        <f>YEAR(source[[#This Row],[report_date]])</f>
        <v>2025</v>
      </c>
      <c r="C8667" s="128">
        <f t="shared" si="403"/>
        <v>8</v>
      </c>
      <c r="D8667" s="136">
        <f t="shared" si="405"/>
        <v>35</v>
      </c>
      <c r="E8667" s="136">
        <f t="shared" si="404"/>
        <v>26</v>
      </c>
      <c r="F8667" s="128" t="s">
        <v>24</v>
      </c>
      <c r="G8667" s="128" t="str">
        <f>VLOOKUP(source[[#This Row],[lending_product_transform]],[3]Mapping!$B$4:$C$37,2,0)</f>
        <v>[Cake] - Cashloan</v>
      </c>
      <c r="H8667" s="128" t="str">
        <f>VLOOKUP(source[[#This Row],[lending_product_transform]],[3]Mapping!$B$3:$D$37,3,0)</f>
        <v>cashloan</v>
      </c>
      <c r="I8667" s="173">
        <v>52500000</v>
      </c>
    </row>
    <row r="8668" spans="1:9" x14ac:dyDescent="0.2">
      <c r="A8668" s="134">
        <v>45895</v>
      </c>
      <c r="B8668" s="135">
        <f>YEAR(source[[#This Row],[report_date]])</f>
        <v>2025</v>
      </c>
      <c r="C8668" s="128">
        <f t="shared" si="403"/>
        <v>8</v>
      </c>
      <c r="D8668" s="136">
        <f t="shared" si="405"/>
        <v>35</v>
      </c>
      <c r="E8668" s="136">
        <f t="shared" si="404"/>
        <v>26</v>
      </c>
      <c r="F8668" s="128" t="s">
        <v>24</v>
      </c>
      <c r="G8668" s="128" t="str">
        <f>VLOOKUP(source[[#This Row],[lending_product_transform]],[3]Mapping!$B$4:$C$37,2,0)</f>
        <v>[Cake] - Cashloan</v>
      </c>
      <c r="H8668" s="128" t="str">
        <f>VLOOKUP(source[[#This Row],[lending_product_transform]],[3]Mapping!$B$3:$D$37,3,0)</f>
        <v>cashloan</v>
      </c>
      <c r="I8668" s="173">
        <v>39000000</v>
      </c>
    </row>
    <row r="8669" spans="1:9" x14ac:dyDescent="0.2">
      <c r="A8669" s="134">
        <v>45895</v>
      </c>
      <c r="B8669" s="135">
        <f>YEAR(source[[#This Row],[report_date]])</f>
        <v>2025</v>
      </c>
      <c r="C8669" s="128">
        <f t="shared" si="403"/>
        <v>8</v>
      </c>
      <c r="D8669" s="136">
        <f t="shared" si="405"/>
        <v>35</v>
      </c>
      <c r="E8669" s="136">
        <f t="shared" si="404"/>
        <v>26</v>
      </c>
      <c r="F8669" s="128" t="s">
        <v>24</v>
      </c>
      <c r="G8669" s="128" t="str">
        <f>VLOOKUP(source[[#This Row],[lending_product_transform]],[3]Mapping!$B$4:$C$37,2,0)</f>
        <v>[Cake] - Cashloan</v>
      </c>
      <c r="H8669" s="128" t="str">
        <f>VLOOKUP(source[[#This Row],[lending_product_transform]],[3]Mapping!$B$3:$D$37,3,0)</f>
        <v>cashloan</v>
      </c>
      <c r="I8669" s="173">
        <v>0</v>
      </c>
    </row>
    <row r="8670" spans="1:9" x14ac:dyDescent="0.2">
      <c r="A8670" s="134">
        <v>45895</v>
      </c>
      <c r="B8670" s="135">
        <f>YEAR(source[[#This Row],[report_date]])</f>
        <v>2025</v>
      </c>
      <c r="C8670" s="128">
        <f t="shared" si="403"/>
        <v>8</v>
      </c>
      <c r="D8670" s="136">
        <f t="shared" si="405"/>
        <v>35</v>
      </c>
      <c r="E8670" s="136">
        <f t="shared" si="404"/>
        <v>26</v>
      </c>
      <c r="F8670" s="128" t="s">
        <v>24</v>
      </c>
      <c r="G8670" s="128" t="str">
        <f>VLOOKUP(source[[#This Row],[lending_product_transform]],[3]Mapping!$B$4:$C$37,2,0)</f>
        <v>[Cake] - Cashloan</v>
      </c>
      <c r="H8670" s="128" t="str">
        <f>VLOOKUP(source[[#This Row],[lending_product_transform]],[3]Mapping!$B$3:$D$37,3,0)</f>
        <v>cashloan</v>
      </c>
      <c r="I8670" s="173">
        <v>322739000</v>
      </c>
    </row>
    <row r="8671" spans="1:9" x14ac:dyDescent="0.2">
      <c r="A8671" s="134">
        <v>45895</v>
      </c>
      <c r="B8671" s="135">
        <f>YEAR(source[[#This Row],[report_date]])</f>
        <v>2025</v>
      </c>
      <c r="C8671" s="128">
        <f t="shared" si="403"/>
        <v>8</v>
      </c>
      <c r="D8671" s="136">
        <f t="shared" si="405"/>
        <v>35</v>
      </c>
      <c r="E8671" s="136">
        <f t="shared" si="404"/>
        <v>26</v>
      </c>
      <c r="F8671" s="128" t="s">
        <v>24</v>
      </c>
      <c r="G8671" s="128" t="str">
        <f>VLOOKUP(source[[#This Row],[lending_product_transform]],[3]Mapping!$B$4:$C$37,2,0)</f>
        <v>[Cake] - Cashloan</v>
      </c>
      <c r="H8671" s="128" t="str">
        <f>VLOOKUP(source[[#This Row],[lending_product_transform]],[3]Mapping!$B$3:$D$37,3,0)</f>
        <v>cashloan</v>
      </c>
      <c r="I8671" s="173">
        <v>48508000</v>
      </c>
    </row>
    <row r="8672" spans="1:9" x14ac:dyDescent="0.2">
      <c r="A8672" s="134">
        <v>45895</v>
      </c>
      <c r="B8672" s="135">
        <f>YEAR(source[[#This Row],[report_date]])</f>
        <v>2025</v>
      </c>
      <c r="C8672" s="128">
        <f t="shared" si="403"/>
        <v>8</v>
      </c>
      <c r="D8672" s="136">
        <f t="shared" si="405"/>
        <v>35</v>
      </c>
      <c r="E8672" s="136">
        <f t="shared" si="404"/>
        <v>26</v>
      </c>
      <c r="F8672" s="128" t="s">
        <v>24</v>
      </c>
      <c r="G8672" s="128" t="str">
        <f>VLOOKUP(source[[#This Row],[lending_product_transform]],[3]Mapping!$B$4:$C$37,2,0)</f>
        <v>[Cake] - Cashloan</v>
      </c>
      <c r="H8672" s="128" t="str">
        <f>VLOOKUP(source[[#This Row],[lending_product_transform]],[3]Mapping!$B$3:$D$37,3,0)</f>
        <v>cashloan</v>
      </c>
      <c r="I8672" s="173">
        <v>0</v>
      </c>
    </row>
    <row r="8673" spans="1:9" x14ac:dyDescent="0.2">
      <c r="A8673" s="134">
        <v>45895</v>
      </c>
      <c r="B8673" s="135">
        <f>YEAR(source[[#This Row],[report_date]])</f>
        <v>2025</v>
      </c>
      <c r="C8673" s="128">
        <f t="shared" si="403"/>
        <v>8</v>
      </c>
      <c r="D8673" s="136">
        <f t="shared" si="405"/>
        <v>35</v>
      </c>
      <c r="E8673" s="136">
        <f t="shared" si="404"/>
        <v>26</v>
      </c>
      <c r="F8673" s="128" t="s">
        <v>24</v>
      </c>
      <c r="G8673" s="128" t="str">
        <f>VLOOKUP(source[[#This Row],[lending_product_transform]],[3]Mapping!$B$4:$C$37,2,0)</f>
        <v>[Cake] - Cashloan</v>
      </c>
      <c r="H8673" s="128" t="str">
        <f>VLOOKUP(source[[#This Row],[lending_product_transform]],[3]Mapping!$B$3:$D$37,3,0)</f>
        <v>cashloan</v>
      </c>
      <c r="I8673" s="173">
        <v>255218126</v>
      </c>
    </row>
    <row r="8674" spans="1:9" x14ac:dyDescent="0.2">
      <c r="A8674" s="134">
        <v>45895</v>
      </c>
      <c r="B8674" s="135">
        <f>YEAR(source[[#This Row],[report_date]])</f>
        <v>2025</v>
      </c>
      <c r="C8674" s="128">
        <f t="shared" si="403"/>
        <v>8</v>
      </c>
      <c r="D8674" s="136">
        <f t="shared" si="405"/>
        <v>35</v>
      </c>
      <c r="E8674" s="136">
        <f t="shared" si="404"/>
        <v>26</v>
      </c>
      <c r="F8674" s="128" t="s">
        <v>24</v>
      </c>
      <c r="G8674" s="128" t="str">
        <f>VLOOKUP(source[[#This Row],[lending_product_transform]],[3]Mapping!$B$4:$C$37,2,0)</f>
        <v>[Cake] - Cashloan</v>
      </c>
      <c r="H8674" s="128" t="str">
        <f>VLOOKUP(source[[#This Row],[lending_product_transform]],[3]Mapping!$B$3:$D$37,3,0)</f>
        <v>cashloan</v>
      </c>
      <c r="I8674" s="173">
        <v>2104610000</v>
      </c>
    </row>
    <row r="8675" spans="1:9" x14ac:dyDescent="0.2">
      <c r="A8675" s="134">
        <v>45895</v>
      </c>
      <c r="B8675" s="135">
        <f>YEAR(source[[#This Row],[report_date]])</f>
        <v>2025</v>
      </c>
      <c r="C8675" s="128">
        <f t="shared" si="403"/>
        <v>8</v>
      </c>
      <c r="D8675" s="136">
        <f t="shared" si="405"/>
        <v>35</v>
      </c>
      <c r="E8675" s="136">
        <f t="shared" si="404"/>
        <v>26</v>
      </c>
      <c r="F8675" s="128" t="s">
        <v>24</v>
      </c>
      <c r="G8675" s="128" t="str">
        <f>VLOOKUP(source[[#This Row],[lending_product_transform]],[3]Mapping!$B$4:$C$37,2,0)</f>
        <v>[Cake] - Cashloan</v>
      </c>
      <c r="H8675" s="128" t="str">
        <f>VLOOKUP(source[[#This Row],[lending_product_transform]],[3]Mapping!$B$3:$D$37,3,0)</f>
        <v>cashloan</v>
      </c>
      <c r="I8675" s="173">
        <v>472163638</v>
      </c>
    </row>
    <row r="8676" spans="1:9" x14ac:dyDescent="0.2">
      <c r="A8676" s="134">
        <v>45895</v>
      </c>
      <c r="B8676" s="135">
        <f>YEAR(source[[#This Row],[report_date]])</f>
        <v>2025</v>
      </c>
      <c r="C8676" s="128">
        <f t="shared" si="403"/>
        <v>8</v>
      </c>
      <c r="D8676" s="136">
        <f t="shared" si="405"/>
        <v>35</v>
      </c>
      <c r="E8676" s="136">
        <f t="shared" si="404"/>
        <v>26</v>
      </c>
      <c r="F8676" s="128" t="s">
        <v>24</v>
      </c>
      <c r="G8676" s="128" t="str">
        <f>VLOOKUP(source[[#This Row],[lending_product_transform]],[3]Mapping!$B$4:$C$37,2,0)</f>
        <v>[Cake] - Cashloan</v>
      </c>
      <c r="H8676" s="128" t="str">
        <f>VLOOKUP(source[[#This Row],[lending_product_transform]],[3]Mapping!$B$3:$D$37,3,0)</f>
        <v>cashloan</v>
      </c>
      <c r="I8676" s="173">
        <v>4941540000</v>
      </c>
    </row>
    <row r="8677" spans="1:9" x14ac:dyDescent="0.2">
      <c r="A8677" s="134">
        <v>45895</v>
      </c>
      <c r="B8677" s="135">
        <f>YEAR(source[[#This Row],[report_date]])</f>
        <v>2025</v>
      </c>
      <c r="C8677" s="128">
        <f t="shared" si="403"/>
        <v>8</v>
      </c>
      <c r="D8677" s="136">
        <f t="shared" si="405"/>
        <v>35</v>
      </c>
      <c r="E8677" s="136">
        <f t="shared" si="404"/>
        <v>26</v>
      </c>
      <c r="F8677" s="128" t="s">
        <v>24</v>
      </c>
      <c r="G8677" s="128" t="str">
        <f>VLOOKUP(source[[#This Row],[lending_product_transform]],[3]Mapping!$B$4:$C$37,2,0)</f>
        <v>[Cake] - Cashloan</v>
      </c>
      <c r="H8677" s="128" t="str">
        <f>VLOOKUP(source[[#This Row],[lending_product_transform]],[3]Mapping!$B$3:$D$37,3,0)</f>
        <v>cashloan</v>
      </c>
      <c r="I8677" s="173">
        <v>2565995316</v>
      </c>
    </row>
    <row r="8678" spans="1:9" x14ac:dyDescent="0.2">
      <c r="A8678" s="134">
        <v>45895</v>
      </c>
      <c r="B8678" s="135">
        <f>YEAR(source[[#This Row],[report_date]])</f>
        <v>2025</v>
      </c>
      <c r="C8678" s="128">
        <f t="shared" si="403"/>
        <v>8</v>
      </c>
      <c r="D8678" s="136">
        <f t="shared" si="405"/>
        <v>35</v>
      </c>
      <c r="E8678" s="136">
        <f t="shared" si="404"/>
        <v>26</v>
      </c>
      <c r="F8678" s="128" t="s">
        <v>24</v>
      </c>
      <c r="G8678" s="128" t="str">
        <f>VLOOKUP(source[[#This Row],[lending_product_transform]],[3]Mapping!$B$4:$C$37,2,0)</f>
        <v>[Cake] - Cashloan</v>
      </c>
      <c r="H8678" s="128" t="str">
        <f>VLOOKUP(source[[#This Row],[lending_product_transform]],[3]Mapping!$B$3:$D$37,3,0)</f>
        <v>cashloan</v>
      </c>
      <c r="I8678" s="173">
        <v>12900850000</v>
      </c>
    </row>
    <row r="8679" spans="1:9" x14ac:dyDescent="0.2">
      <c r="A8679" s="134">
        <v>45895</v>
      </c>
      <c r="B8679" s="135">
        <f>YEAR(source[[#This Row],[report_date]])</f>
        <v>2025</v>
      </c>
      <c r="C8679" s="128">
        <f t="shared" si="403"/>
        <v>8</v>
      </c>
      <c r="D8679" s="136">
        <f t="shared" si="405"/>
        <v>35</v>
      </c>
      <c r="E8679" s="136">
        <f t="shared" si="404"/>
        <v>26</v>
      </c>
      <c r="F8679" s="128" t="s">
        <v>24</v>
      </c>
      <c r="G8679" s="128" t="str">
        <f>VLOOKUP(source[[#This Row],[lending_product_transform]],[3]Mapping!$B$4:$C$37,2,0)</f>
        <v>[Cake] - Cashloan</v>
      </c>
      <c r="H8679" s="128" t="str">
        <f>VLOOKUP(source[[#This Row],[lending_product_transform]],[3]Mapping!$B$3:$D$37,3,0)</f>
        <v>cashloan</v>
      </c>
      <c r="I8679" s="173">
        <v>5830056000</v>
      </c>
    </row>
    <row r="8680" spans="1:9" x14ac:dyDescent="0.2">
      <c r="A8680" s="134">
        <v>45896</v>
      </c>
      <c r="B8680" s="135">
        <f>YEAR(source[[#This Row],[report_date]])</f>
        <v>2025</v>
      </c>
      <c r="C8680" s="128">
        <f t="shared" si="403"/>
        <v>8</v>
      </c>
      <c r="D8680" s="136">
        <f t="shared" si="405"/>
        <v>35</v>
      </c>
      <c r="E8680" s="136">
        <f t="shared" si="404"/>
        <v>27</v>
      </c>
      <c r="F8680" s="128" t="s">
        <v>24</v>
      </c>
      <c r="G8680" s="128" t="str">
        <f>VLOOKUP(source[[#This Row],[lending_product_transform]],[3]Mapping!$B$4:$C$37,2,0)</f>
        <v>[Cake] - Cashloan</v>
      </c>
      <c r="H8680" s="128" t="str">
        <f>VLOOKUP(source[[#This Row],[lending_product_transform]],[3]Mapping!$B$3:$D$37,3,0)</f>
        <v>cashloan</v>
      </c>
      <c r="I8680" s="173">
        <v>351360000</v>
      </c>
    </row>
    <row r="8681" spans="1:9" x14ac:dyDescent="0.2">
      <c r="A8681" s="134">
        <v>45896</v>
      </c>
      <c r="B8681" s="135">
        <f>YEAR(source[[#This Row],[report_date]])</f>
        <v>2025</v>
      </c>
      <c r="C8681" s="128">
        <f t="shared" si="403"/>
        <v>8</v>
      </c>
      <c r="D8681" s="136">
        <f t="shared" si="405"/>
        <v>35</v>
      </c>
      <c r="E8681" s="136">
        <f t="shared" si="404"/>
        <v>27</v>
      </c>
      <c r="F8681" s="128" t="s">
        <v>24</v>
      </c>
      <c r="G8681" s="128" t="str">
        <f>VLOOKUP(source[[#This Row],[lending_product_transform]],[3]Mapping!$B$4:$C$37,2,0)</f>
        <v>[Cake] - Cashloan</v>
      </c>
      <c r="H8681" s="128" t="str">
        <f>VLOOKUP(source[[#This Row],[lending_product_transform]],[3]Mapping!$B$3:$D$37,3,0)</f>
        <v>cashloan</v>
      </c>
      <c r="I8681" s="173">
        <v>50000000</v>
      </c>
    </row>
    <row r="8682" spans="1:9" x14ac:dyDescent="0.2">
      <c r="A8682" s="134">
        <v>45896</v>
      </c>
      <c r="B8682" s="135">
        <f>YEAR(source[[#This Row],[report_date]])</f>
        <v>2025</v>
      </c>
      <c r="C8682" s="128">
        <f t="shared" si="403"/>
        <v>8</v>
      </c>
      <c r="D8682" s="136">
        <f t="shared" si="405"/>
        <v>35</v>
      </c>
      <c r="E8682" s="136">
        <f t="shared" si="404"/>
        <v>27</v>
      </c>
      <c r="F8682" s="128" t="s">
        <v>24</v>
      </c>
      <c r="G8682" s="128" t="str">
        <f>VLOOKUP(source[[#This Row],[lending_product_transform]],[3]Mapping!$B$4:$C$37,2,0)</f>
        <v>[Cake] - Cashloan</v>
      </c>
      <c r="H8682" s="128" t="str">
        <f>VLOOKUP(source[[#This Row],[lending_product_transform]],[3]Mapping!$B$3:$D$37,3,0)</f>
        <v>cashloan</v>
      </c>
      <c r="I8682" s="173">
        <v>20000000</v>
      </c>
    </row>
    <row r="8683" spans="1:9" x14ac:dyDescent="0.2">
      <c r="A8683" s="134">
        <v>45896</v>
      </c>
      <c r="B8683" s="135">
        <f>YEAR(source[[#This Row],[report_date]])</f>
        <v>2025</v>
      </c>
      <c r="C8683" s="128">
        <f t="shared" si="403"/>
        <v>8</v>
      </c>
      <c r="D8683" s="136">
        <f t="shared" si="405"/>
        <v>35</v>
      </c>
      <c r="E8683" s="136">
        <f t="shared" si="404"/>
        <v>27</v>
      </c>
      <c r="F8683" s="128" t="s">
        <v>24</v>
      </c>
      <c r="G8683" s="128" t="str">
        <f>VLOOKUP(source[[#This Row],[lending_product_transform]],[3]Mapping!$B$4:$C$37,2,0)</f>
        <v>[Cake] - Cashloan</v>
      </c>
      <c r="H8683" s="128" t="str">
        <f>VLOOKUP(source[[#This Row],[lending_product_transform]],[3]Mapping!$B$3:$D$37,3,0)</f>
        <v>cashloan</v>
      </c>
      <c r="I8683" s="173">
        <v>51000000</v>
      </c>
    </row>
    <row r="8684" spans="1:9" x14ac:dyDescent="0.2">
      <c r="A8684" s="134">
        <v>45896</v>
      </c>
      <c r="B8684" s="135">
        <f>YEAR(source[[#This Row],[report_date]])</f>
        <v>2025</v>
      </c>
      <c r="C8684" s="128">
        <f t="shared" si="403"/>
        <v>8</v>
      </c>
      <c r="D8684" s="136">
        <f t="shared" si="405"/>
        <v>35</v>
      </c>
      <c r="E8684" s="136">
        <f t="shared" si="404"/>
        <v>27</v>
      </c>
      <c r="F8684" s="128" t="s">
        <v>24</v>
      </c>
      <c r="G8684" s="128" t="str">
        <f>VLOOKUP(source[[#This Row],[lending_product_transform]],[3]Mapping!$B$4:$C$37,2,0)</f>
        <v>[Cake] - Cashloan</v>
      </c>
      <c r="H8684" s="128" t="str">
        <f>VLOOKUP(source[[#This Row],[lending_product_transform]],[3]Mapping!$B$3:$D$37,3,0)</f>
        <v>cashloan</v>
      </c>
      <c r="I8684" s="173">
        <v>10289206</v>
      </c>
    </row>
    <row r="8685" spans="1:9" x14ac:dyDescent="0.2">
      <c r="A8685" s="134">
        <v>45896</v>
      </c>
      <c r="B8685" s="135">
        <f>YEAR(source[[#This Row],[report_date]])</f>
        <v>2025</v>
      </c>
      <c r="C8685" s="128">
        <f t="shared" si="403"/>
        <v>8</v>
      </c>
      <c r="D8685" s="136">
        <f t="shared" si="405"/>
        <v>35</v>
      </c>
      <c r="E8685" s="136">
        <f t="shared" si="404"/>
        <v>27</v>
      </c>
      <c r="F8685" s="128" t="s">
        <v>24</v>
      </c>
      <c r="G8685" s="128" t="str">
        <f>VLOOKUP(source[[#This Row],[lending_product_transform]],[3]Mapping!$B$4:$C$37,2,0)</f>
        <v>[Cake] - Cashloan</v>
      </c>
      <c r="H8685" s="128" t="str">
        <f>VLOOKUP(source[[#This Row],[lending_product_transform]],[3]Mapping!$B$3:$D$37,3,0)</f>
        <v>cashloan</v>
      </c>
      <c r="I8685" s="173">
        <v>31000000</v>
      </c>
    </row>
    <row r="8686" spans="1:9" x14ac:dyDescent="0.2">
      <c r="A8686" s="134">
        <v>45896</v>
      </c>
      <c r="B8686" s="135">
        <f>YEAR(source[[#This Row],[report_date]])</f>
        <v>2025</v>
      </c>
      <c r="C8686" s="128">
        <f t="shared" si="403"/>
        <v>8</v>
      </c>
      <c r="D8686" s="136">
        <f t="shared" si="405"/>
        <v>35</v>
      </c>
      <c r="E8686" s="136">
        <f t="shared" si="404"/>
        <v>27</v>
      </c>
      <c r="F8686" s="128" t="s">
        <v>24</v>
      </c>
      <c r="G8686" s="128" t="str">
        <f>VLOOKUP(source[[#This Row],[lending_product_transform]],[3]Mapping!$B$4:$C$37,2,0)</f>
        <v>[Cake] - Cashloan</v>
      </c>
      <c r="H8686" s="128" t="str">
        <f>VLOOKUP(source[[#This Row],[lending_product_transform]],[3]Mapping!$B$3:$D$37,3,0)</f>
        <v>cashloan</v>
      </c>
      <c r="I8686" s="173">
        <v>30769000</v>
      </c>
    </row>
    <row r="8687" spans="1:9" x14ac:dyDescent="0.2">
      <c r="A8687" s="134">
        <v>45896</v>
      </c>
      <c r="B8687" s="135">
        <f>YEAR(source[[#This Row],[report_date]])</f>
        <v>2025</v>
      </c>
      <c r="C8687" s="128">
        <f t="shared" si="403"/>
        <v>8</v>
      </c>
      <c r="D8687" s="136">
        <f t="shared" si="405"/>
        <v>35</v>
      </c>
      <c r="E8687" s="136">
        <f t="shared" si="404"/>
        <v>27</v>
      </c>
      <c r="F8687" s="128" t="s">
        <v>24</v>
      </c>
      <c r="G8687" s="128" t="str">
        <f>VLOOKUP(source[[#This Row],[lending_product_transform]],[3]Mapping!$B$4:$C$37,2,0)</f>
        <v>[Cake] - Cashloan</v>
      </c>
      <c r="H8687" s="128" t="str">
        <f>VLOOKUP(source[[#This Row],[lending_product_transform]],[3]Mapping!$B$3:$D$37,3,0)</f>
        <v>cashloan</v>
      </c>
      <c r="I8687" s="173">
        <v>0</v>
      </c>
    </row>
    <row r="8688" spans="1:9" x14ac:dyDescent="0.2">
      <c r="A8688" s="134">
        <v>45896</v>
      </c>
      <c r="B8688" s="135">
        <f>YEAR(source[[#This Row],[report_date]])</f>
        <v>2025</v>
      </c>
      <c r="C8688" s="128">
        <f t="shared" si="403"/>
        <v>8</v>
      </c>
      <c r="D8688" s="136">
        <f t="shared" si="405"/>
        <v>35</v>
      </c>
      <c r="E8688" s="136">
        <f t="shared" si="404"/>
        <v>27</v>
      </c>
      <c r="F8688" s="128" t="s">
        <v>24</v>
      </c>
      <c r="G8688" s="128" t="str">
        <f>VLOOKUP(source[[#This Row],[lending_product_transform]],[3]Mapping!$B$4:$C$37,2,0)</f>
        <v>[Cake] - Cashloan</v>
      </c>
      <c r="H8688" s="128" t="str">
        <f>VLOOKUP(source[[#This Row],[lending_product_transform]],[3]Mapping!$B$3:$D$37,3,0)</f>
        <v>cashloan</v>
      </c>
      <c r="I8688" s="173">
        <v>340711000</v>
      </c>
    </row>
    <row r="8689" spans="1:9" x14ac:dyDescent="0.2">
      <c r="A8689" s="134">
        <v>45896</v>
      </c>
      <c r="B8689" s="135">
        <f>YEAR(source[[#This Row],[report_date]])</f>
        <v>2025</v>
      </c>
      <c r="C8689" s="128">
        <f t="shared" si="403"/>
        <v>8</v>
      </c>
      <c r="D8689" s="136">
        <f t="shared" si="405"/>
        <v>35</v>
      </c>
      <c r="E8689" s="136">
        <f t="shared" si="404"/>
        <v>27</v>
      </c>
      <c r="F8689" s="128" t="s">
        <v>24</v>
      </c>
      <c r="G8689" s="128" t="str">
        <f>VLOOKUP(source[[#This Row],[lending_product_transform]],[3]Mapping!$B$4:$C$37,2,0)</f>
        <v>[Cake] - Cashloan</v>
      </c>
      <c r="H8689" s="128" t="str">
        <f>VLOOKUP(source[[#This Row],[lending_product_transform]],[3]Mapping!$B$3:$D$37,3,0)</f>
        <v>cashloan</v>
      </c>
      <c r="I8689" s="173">
        <v>254160960</v>
      </c>
    </row>
    <row r="8690" spans="1:9" x14ac:dyDescent="0.2">
      <c r="A8690" s="134">
        <v>45896</v>
      </c>
      <c r="B8690" s="135">
        <f>YEAR(source[[#This Row],[report_date]])</f>
        <v>2025</v>
      </c>
      <c r="C8690" s="128">
        <f t="shared" si="403"/>
        <v>8</v>
      </c>
      <c r="D8690" s="136">
        <f t="shared" si="405"/>
        <v>35</v>
      </c>
      <c r="E8690" s="136">
        <f t="shared" si="404"/>
        <v>27</v>
      </c>
      <c r="F8690" s="128" t="s">
        <v>24</v>
      </c>
      <c r="G8690" s="128" t="str">
        <f>VLOOKUP(source[[#This Row],[lending_product_transform]],[3]Mapping!$B$4:$C$37,2,0)</f>
        <v>[Cake] - Cashloan</v>
      </c>
      <c r="H8690" s="128" t="str">
        <f>VLOOKUP(source[[#This Row],[lending_product_transform]],[3]Mapping!$B$3:$D$37,3,0)</f>
        <v>cashloan</v>
      </c>
      <c r="I8690" s="173">
        <v>5054184000</v>
      </c>
    </row>
    <row r="8691" spans="1:9" x14ac:dyDescent="0.2">
      <c r="A8691" s="134">
        <v>45896</v>
      </c>
      <c r="B8691" s="135">
        <f>YEAR(source[[#This Row],[report_date]])</f>
        <v>2025</v>
      </c>
      <c r="C8691" s="128">
        <f t="shared" si="403"/>
        <v>8</v>
      </c>
      <c r="D8691" s="136">
        <f t="shared" si="405"/>
        <v>35</v>
      </c>
      <c r="E8691" s="136">
        <f t="shared" si="404"/>
        <v>27</v>
      </c>
      <c r="F8691" s="128" t="s">
        <v>24</v>
      </c>
      <c r="G8691" s="128" t="str">
        <f>VLOOKUP(source[[#This Row],[lending_product_transform]],[3]Mapping!$B$4:$C$37,2,0)</f>
        <v>[Cake] - Cashloan</v>
      </c>
      <c r="H8691" s="128" t="str">
        <f>VLOOKUP(source[[#This Row],[lending_product_transform]],[3]Mapping!$B$3:$D$37,3,0)</f>
        <v>cashloan</v>
      </c>
      <c r="I8691" s="173">
        <v>2644917355</v>
      </c>
    </row>
    <row r="8692" spans="1:9" x14ac:dyDescent="0.2">
      <c r="A8692" s="134">
        <v>45896</v>
      </c>
      <c r="B8692" s="135">
        <f>YEAR(source[[#This Row],[report_date]])</f>
        <v>2025</v>
      </c>
      <c r="C8692" s="128">
        <f t="shared" si="403"/>
        <v>8</v>
      </c>
      <c r="D8692" s="136">
        <f t="shared" si="405"/>
        <v>35</v>
      </c>
      <c r="E8692" s="136">
        <f t="shared" si="404"/>
        <v>27</v>
      </c>
      <c r="F8692" s="128" t="s">
        <v>24</v>
      </c>
      <c r="G8692" s="128" t="str">
        <f>VLOOKUP(source[[#This Row],[lending_product_transform]],[3]Mapping!$B$4:$C$37,2,0)</f>
        <v>[Cake] - Cashloan</v>
      </c>
      <c r="H8692" s="128" t="str">
        <f>VLOOKUP(source[[#This Row],[lending_product_transform]],[3]Mapping!$B$3:$D$37,3,0)</f>
        <v>cashloan</v>
      </c>
      <c r="I8692" s="173">
        <v>184632309</v>
      </c>
    </row>
    <row r="8693" spans="1:9" x14ac:dyDescent="0.2">
      <c r="A8693" s="134">
        <v>45896</v>
      </c>
      <c r="B8693" s="135">
        <f>YEAR(source[[#This Row],[report_date]])</f>
        <v>2025</v>
      </c>
      <c r="C8693" s="128">
        <f t="shared" si="403"/>
        <v>8</v>
      </c>
      <c r="D8693" s="136">
        <f t="shared" si="405"/>
        <v>35</v>
      </c>
      <c r="E8693" s="136">
        <f t="shared" si="404"/>
        <v>27</v>
      </c>
      <c r="F8693" s="128" t="s">
        <v>24</v>
      </c>
      <c r="G8693" s="128" t="str">
        <f>VLOOKUP(source[[#This Row],[lending_product_transform]],[3]Mapping!$B$4:$C$37,2,0)</f>
        <v>[Cake] - Cashloan</v>
      </c>
      <c r="H8693" s="128" t="str">
        <f>VLOOKUP(source[[#This Row],[lending_product_transform]],[3]Mapping!$B$3:$D$37,3,0)</f>
        <v>cashloan</v>
      </c>
      <c r="I8693" s="173">
        <v>429580502</v>
      </c>
    </row>
    <row r="8694" spans="1:9" x14ac:dyDescent="0.2">
      <c r="A8694" s="134">
        <v>45896</v>
      </c>
      <c r="B8694" s="135">
        <f>YEAR(source[[#This Row],[report_date]])</f>
        <v>2025</v>
      </c>
      <c r="C8694" s="128">
        <f t="shared" ref="C8694:C8757" si="406">MONTH(A8694)</f>
        <v>8</v>
      </c>
      <c r="D8694" s="136">
        <f t="shared" si="405"/>
        <v>35</v>
      </c>
      <c r="E8694" s="136">
        <f t="shared" ref="E8694:E8757" si="407">DAY(A8694)</f>
        <v>27</v>
      </c>
      <c r="F8694" s="128" t="s">
        <v>24</v>
      </c>
      <c r="G8694" s="128" t="str">
        <f>VLOOKUP(source[[#This Row],[lending_product_transform]],[3]Mapping!$B$4:$C$37,2,0)</f>
        <v>[Cake] - Cashloan</v>
      </c>
      <c r="H8694" s="128" t="str">
        <f>VLOOKUP(source[[#This Row],[lending_product_transform]],[3]Mapping!$B$3:$D$37,3,0)</f>
        <v>cashloan</v>
      </c>
      <c r="I8694" s="173">
        <v>12732220000</v>
      </c>
    </row>
    <row r="8695" spans="1:9" x14ac:dyDescent="0.2">
      <c r="A8695" s="134">
        <v>45896</v>
      </c>
      <c r="B8695" s="135">
        <f>YEAR(source[[#This Row],[report_date]])</f>
        <v>2025</v>
      </c>
      <c r="C8695" s="128">
        <f t="shared" si="406"/>
        <v>8</v>
      </c>
      <c r="D8695" s="136">
        <f t="shared" si="405"/>
        <v>35</v>
      </c>
      <c r="E8695" s="136">
        <f t="shared" si="407"/>
        <v>27</v>
      </c>
      <c r="F8695" s="128" t="s">
        <v>24</v>
      </c>
      <c r="G8695" s="128" t="str">
        <f>VLOOKUP(source[[#This Row],[lending_product_transform]],[3]Mapping!$B$4:$C$37,2,0)</f>
        <v>[Cake] - Cashloan</v>
      </c>
      <c r="H8695" s="128" t="str">
        <f>VLOOKUP(source[[#This Row],[lending_product_transform]],[3]Mapping!$B$3:$D$37,3,0)</f>
        <v>cashloan</v>
      </c>
      <c r="I8695" s="173">
        <v>5454756000</v>
      </c>
    </row>
    <row r="8696" spans="1:9" x14ac:dyDescent="0.2">
      <c r="A8696" s="134">
        <v>45896</v>
      </c>
      <c r="B8696" s="135">
        <f>YEAR(source[[#This Row],[report_date]])</f>
        <v>2025</v>
      </c>
      <c r="C8696" s="128">
        <f t="shared" si="406"/>
        <v>8</v>
      </c>
      <c r="D8696" s="136">
        <f t="shared" si="405"/>
        <v>35</v>
      </c>
      <c r="E8696" s="136">
        <f t="shared" si="407"/>
        <v>27</v>
      </c>
      <c r="F8696" s="128" t="s">
        <v>24</v>
      </c>
      <c r="G8696" s="128" t="str">
        <f>VLOOKUP(source[[#This Row],[lending_product_transform]],[3]Mapping!$B$4:$C$37,2,0)</f>
        <v>[Cake] - Cashloan</v>
      </c>
      <c r="H8696" s="128" t="str">
        <f>VLOOKUP(source[[#This Row],[lending_product_transform]],[3]Mapping!$B$3:$D$37,3,0)</f>
        <v>cashloan</v>
      </c>
      <c r="I8696" s="173">
        <v>1814790000</v>
      </c>
    </row>
    <row r="8697" spans="1:9" x14ac:dyDescent="0.2">
      <c r="A8697" s="134">
        <v>45896</v>
      </c>
      <c r="B8697" s="135">
        <f>YEAR(source[[#This Row],[report_date]])</f>
        <v>2025</v>
      </c>
      <c r="C8697" s="128">
        <f t="shared" si="406"/>
        <v>8</v>
      </c>
      <c r="D8697" s="136">
        <f t="shared" si="405"/>
        <v>35</v>
      </c>
      <c r="E8697" s="136">
        <f t="shared" si="407"/>
        <v>27</v>
      </c>
      <c r="F8697" s="128" t="s">
        <v>24</v>
      </c>
      <c r="G8697" s="128" t="str">
        <f>VLOOKUP(source[[#This Row],[lending_product_transform]],[3]Mapping!$B$4:$C$37,2,0)</f>
        <v>[Cake] - Cashloan</v>
      </c>
      <c r="H8697" s="128" t="str">
        <f>VLOOKUP(source[[#This Row],[lending_product_transform]],[3]Mapping!$B$3:$D$37,3,0)</f>
        <v>cashloan</v>
      </c>
      <c r="I8697" s="173">
        <v>1841330000</v>
      </c>
    </row>
    <row r="8698" spans="1:9" x14ac:dyDescent="0.2">
      <c r="A8698" s="134">
        <v>45896</v>
      </c>
      <c r="B8698" s="135">
        <f>YEAR(source[[#This Row],[report_date]])</f>
        <v>2025</v>
      </c>
      <c r="C8698" s="128">
        <f t="shared" si="406"/>
        <v>8</v>
      </c>
      <c r="D8698" s="136">
        <f t="shared" si="405"/>
        <v>35</v>
      </c>
      <c r="E8698" s="136">
        <f t="shared" si="407"/>
        <v>27</v>
      </c>
      <c r="F8698" s="128" t="s">
        <v>24</v>
      </c>
      <c r="G8698" s="128" t="str">
        <f>VLOOKUP(source[[#This Row],[lending_product_transform]],[3]Mapping!$B$4:$C$37,2,0)</f>
        <v>[Cake] - Cashloan</v>
      </c>
      <c r="H8698" s="128" t="str">
        <f>VLOOKUP(source[[#This Row],[lending_product_transform]],[3]Mapping!$B$3:$D$37,3,0)</f>
        <v>cashloan</v>
      </c>
      <c r="I8698" s="173">
        <v>11192340000</v>
      </c>
    </row>
    <row r="8699" spans="1:9" x14ac:dyDescent="0.2">
      <c r="A8699" s="134">
        <v>45897</v>
      </c>
      <c r="B8699" s="135">
        <f>YEAR(source[[#This Row],[report_date]])</f>
        <v>2025</v>
      </c>
      <c r="C8699" s="128">
        <f t="shared" si="406"/>
        <v>8</v>
      </c>
      <c r="D8699" s="136">
        <f t="shared" si="405"/>
        <v>35</v>
      </c>
      <c r="E8699" s="136">
        <f t="shared" si="407"/>
        <v>28</v>
      </c>
      <c r="F8699" s="128" t="s">
        <v>24</v>
      </c>
      <c r="G8699" s="128" t="str">
        <f>VLOOKUP(source[[#This Row],[lending_product_transform]],[3]Mapping!$B$4:$C$37,2,0)</f>
        <v>[Cake] - Cashloan</v>
      </c>
      <c r="H8699" s="128" t="str">
        <f>VLOOKUP(source[[#This Row],[lending_product_transform]],[3]Mapping!$B$3:$D$37,3,0)</f>
        <v>cashloan</v>
      </c>
      <c r="I8699" s="173">
        <v>333534000</v>
      </c>
    </row>
    <row r="8700" spans="1:9" x14ac:dyDescent="0.2">
      <c r="A8700" s="134">
        <v>45897</v>
      </c>
      <c r="B8700" s="135">
        <f>YEAR(source[[#This Row],[report_date]])</f>
        <v>2025</v>
      </c>
      <c r="C8700" s="128">
        <f t="shared" si="406"/>
        <v>8</v>
      </c>
      <c r="D8700" s="136">
        <f t="shared" si="405"/>
        <v>35</v>
      </c>
      <c r="E8700" s="136">
        <f t="shared" si="407"/>
        <v>28</v>
      </c>
      <c r="F8700" s="128" t="s">
        <v>24</v>
      </c>
      <c r="G8700" s="128" t="str">
        <f>VLOOKUP(source[[#This Row],[lending_product_transform]],[3]Mapping!$B$4:$C$37,2,0)</f>
        <v>[Cake] - Cashloan</v>
      </c>
      <c r="H8700" s="128" t="str">
        <f>VLOOKUP(source[[#This Row],[lending_product_transform]],[3]Mapping!$B$3:$D$37,3,0)</f>
        <v>cashloan</v>
      </c>
      <c r="I8700" s="173">
        <v>11913630000</v>
      </c>
    </row>
    <row r="8701" spans="1:9" x14ac:dyDescent="0.2">
      <c r="A8701" s="134">
        <v>45897</v>
      </c>
      <c r="B8701" s="135">
        <f>YEAR(source[[#This Row],[report_date]])</f>
        <v>2025</v>
      </c>
      <c r="C8701" s="128">
        <f t="shared" si="406"/>
        <v>8</v>
      </c>
      <c r="D8701" s="136">
        <f t="shared" si="405"/>
        <v>35</v>
      </c>
      <c r="E8701" s="136">
        <f t="shared" si="407"/>
        <v>28</v>
      </c>
      <c r="F8701" s="128" t="s">
        <v>24</v>
      </c>
      <c r="G8701" s="128" t="str">
        <f>VLOOKUP(source[[#This Row],[lending_product_transform]],[3]Mapping!$B$4:$C$37,2,0)</f>
        <v>[Cake] - Cashloan</v>
      </c>
      <c r="H8701" s="128" t="str">
        <f>VLOOKUP(source[[#This Row],[lending_product_transform]],[3]Mapping!$B$3:$D$37,3,0)</f>
        <v>cashloan</v>
      </c>
      <c r="I8701" s="173">
        <v>11893740000</v>
      </c>
    </row>
    <row r="8702" spans="1:9" x14ac:dyDescent="0.2">
      <c r="A8702" s="134">
        <v>45897</v>
      </c>
      <c r="B8702" s="135">
        <f>YEAR(source[[#This Row],[report_date]])</f>
        <v>2025</v>
      </c>
      <c r="C8702" s="128">
        <f t="shared" si="406"/>
        <v>8</v>
      </c>
      <c r="D8702" s="136">
        <f t="shared" si="405"/>
        <v>35</v>
      </c>
      <c r="E8702" s="136">
        <f t="shared" si="407"/>
        <v>28</v>
      </c>
      <c r="F8702" s="128" t="s">
        <v>24</v>
      </c>
      <c r="G8702" s="128" t="str">
        <f>VLOOKUP(source[[#This Row],[lending_product_transform]],[3]Mapping!$B$4:$C$37,2,0)</f>
        <v>[Cake] - Cashloan</v>
      </c>
      <c r="H8702" s="128" t="str">
        <f>VLOOKUP(source[[#This Row],[lending_product_transform]],[3]Mapping!$B$3:$D$37,3,0)</f>
        <v>cashloan</v>
      </c>
      <c r="I8702" s="173">
        <v>7000000</v>
      </c>
    </row>
    <row r="8703" spans="1:9" x14ac:dyDescent="0.2">
      <c r="A8703" s="134">
        <v>45897</v>
      </c>
      <c r="B8703" s="135">
        <f>YEAR(source[[#This Row],[report_date]])</f>
        <v>2025</v>
      </c>
      <c r="C8703" s="128">
        <f t="shared" si="406"/>
        <v>8</v>
      </c>
      <c r="D8703" s="136">
        <f t="shared" si="405"/>
        <v>35</v>
      </c>
      <c r="E8703" s="136">
        <f t="shared" si="407"/>
        <v>28</v>
      </c>
      <c r="F8703" s="128" t="s">
        <v>24</v>
      </c>
      <c r="G8703" s="128" t="str">
        <f>VLOOKUP(source[[#This Row],[lending_product_transform]],[3]Mapping!$B$4:$C$37,2,0)</f>
        <v>[Cake] - Cashloan</v>
      </c>
      <c r="H8703" s="128" t="str">
        <f>VLOOKUP(source[[#This Row],[lending_product_transform]],[3]Mapping!$B$3:$D$37,3,0)</f>
        <v>cashloan</v>
      </c>
      <c r="I8703" s="173">
        <v>58412000</v>
      </c>
    </row>
    <row r="8704" spans="1:9" x14ac:dyDescent="0.2">
      <c r="A8704" s="134">
        <v>45897</v>
      </c>
      <c r="B8704" s="135">
        <f>YEAR(source[[#This Row],[report_date]])</f>
        <v>2025</v>
      </c>
      <c r="C8704" s="128">
        <f t="shared" si="406"/>
        <v>8</v>
      </c>
      <c r="D8704" s="136">
        <f t="shared" si="405"/>
        <v>35</v>
      </c>
      <c r="E8704" s="136">
        <f t="shared" si="407"/>
        <v>28</v>
      </c>
      <c r="F8704" s="128" t="s">
        <v>24</v>
      </c>
      <c r="G8704" s="128" t="str">
        <f>VLOOKUP(source[[#This Row],[lending_product_transform]],[3]Mapping!$B$4:$C$37,2,0)</f>
        <v>[Cake] - Cashloan</v>
      </c>
      <c r="H8704" s="128" t="str">
        <f>VLOOKUP(source[[#This Row],[lending_product_transform]],[3]Mapping!$B$3:$D$37,3,0)</f>
        <v>cashloan</v>
      </c>
      <c r="I8704" s="173">
        <v>197451640</v>
      </c>
    </row>
    <row r="8705" spans="1:9" x14ac:dyDescent="0.2">
      <c r="A8705" s="134">
        <v>45897</v>
      </c>
      <c r="B8705" s="135">
        <f>YEAR(source[[#This Row],[report_date]])</f>
        <v>2025</v>
      </c>
      <c r="C8705" s="128">
        <f t="shared" si="406"/>
        <v>8</v>
      </c>
      <c r="D8705" s="136">
        <f t="shared" si="405"/>
        <v>35</v>
      </c>
      <c r="E8705" s="136">
        <f t="shared" si="407"/>
        <v>28</v>
      </c>
      <c r="F8705" s="128" t="s">
        <v>24</v>
      </c>
      <c r="G8705" s="128" t="str">
        <f>VLOOKUP(source[[#This Row],[lending_product_transform]],[3]Mapping!$B$4:$C$37,2,0)</f>
        <v>[Cake] - Cashloan</v>
      </c>
      <c r="H8705" s="128" t="str">
        <f>VLOOKUP(source[[#This Row],[lending_product_transform]],[3]Mapping!$B$3:$D$37,3,0)</f>
        <v>cashloan</v>
      </c>
      <c r="I8705" s="173">
        <v>19811977</v>
      </c>
    </row>
    <row r="8706" spans="1:9" x14ac:dyDescent="0.2">
      <c r="A8706" s="134">
        <v>45897</v>
      </c>
      <c r="B8706" s="135">
        <f>YEAR(source[[#This Row],[report_date]])</f>
        <v>2025</v>
      </c>
      <c r="C8706" s="128">
        <f t="shared" si="406"/>
        <v>8</v>
      </c>
      <c r="D8706" s="136">
        <f t="shared" si="405"/>
        <v>35</v>
      </c>
      <c r="E8706" s="136">
        <f t="shared" si="407"/>
        <v>28</v>
      </c>
      <c r="F8706" s="128" t="s">
        <v>24</v>
      </c>
      <c r="G8706" s="128" t="str">
        <f>VLOOKUP(source[[#This Row],[lending_product_transform]],[3]Mapping!$B$4:$C$37,2,0)</f>
        <v>[Cake] - Cashloan</v>
      </c>
      <c r="H8706" s="128" t="str">
        <f>VLOOKUP(source[[#This Row],[lending_product_transform]],[3]Mapping!$B$3:$D$37,3,0)</f>
        <v>cashloan</v>
      </c>
      <c r="I8706" s="173">
        <v>26250000</v>
      </c>
    </row>
    <row r="8707" spans="1:9" x14ac:dyDescent="0.2">
      <c r="A8707" s="134">
        <v>45897</v>
      </c>
      <c r="B8707" s="135">
        <f>YEAR(source[[#This Row],[report_date]])</f>
        <v>2025</v>
      </c>
      <c r="C8707" s="128">
        <f t="shared" si="406"/>
        <v>8</v>
      </c>
      <c r="D8707" s="136">
        <f t="shared" ref="D8707:D8770" si="408">WEEKNUM(A8707,2)</f>
        <v>35</v>
      </c>
      <c r="E8707" s="136">
        <f t="shared" si="407"/>
        <v>28</v>
      </c>
      <c r="F8707" s="128" t="s">
        <v>24</v>
      </c>
      <c r="G8707" s="128" t="str">
        <f>VLOOKUP(source[[#This Row],[lending_product_transform]],[3]Mapping!$B$4:$C$37,2,0)</f>
        <v>[Cake] - Cashloan</v>
      </c>
      <c r="H8707" s="128" t="str">
        <f>VLOOKUP(source[[#This Row],[lending_product_transform]],[3]Mapping!$B$3:$D$37,3,0)</f>
        <v>cashloan</v>
      </c>
      <c r="I8707" s="173">
        <v>26000000</v>
      </c>
    </row>
    <row r="8708" spans="1:9" x14ac:dyDescent="0.2">
      <c r="A8708" s="134">
        <v>45897</v>
      </c>
      <c r="B8708" s="135">
        <f>YEAR(source[[#This Row],[report_date]])</f>
        <v>2025</v>
      </c>
      <c r="C8708" s="128">
        <f t="shared" si="406"/>
        <v>8</v>
      </c>
      <c r="D8708" s="136">
        <f t="shared" si="408"/>
        <v>35</v>
      </c>
      <c r="E8708" s="136">
        <f t="shared" si="407"/>
        <v>28</v>
      </c>
      <c r="F8708" s="128" t="s">
        <v>24</v>
      </c>
      <c r="G8708" s="128" t="str">
        <f>VLOOKUP(source[[#This Row],[lending_product_transform]],[3]Mapping!$B$4:$C$37,2,0)</f>
        <v>[Cake] - Cashloan</v>
      </c>
      <c r="H8708" s="128" t="str">
        <f>VLOOKUP(source[[#This Row],[lending_product_transform]],[3]Mapping!$B$3:$D$37,3,0)</f>
        <v>cashloan</v>
      </c>
      <c r="I8708" s="173">
        <v>21500000</v>
      </c>
    </row>
    <row r="8709" spans="1:9" x14ac:dyDescent="0.2">
      <c r="A8709" s="134">
        <v>45897</v>
      </c>
      <c r="B8709" s="135">
        <f>YEAR(source[[#This Row],[report_date]])</f>
        <v>2025</v>
      </c>
      <c r="C8709" s="128">
        <f t="shared" si="406"/>
        <v>8</v>
      </c>
      <c r="D8709" s="136">
        <f t="shared" si="408"/>
        <v>35</v>
      </c>
      <c r="E8709" s="136">
        <f t="shared" si="407"/>
        <v>28</v>
      </c>
      <c r="F8709" s="128" t="s">
        <v>24</v>
      </c>
      <c r="G8709" s="128" t="str">
        <f>VLOOKUP(source[[#This Row],[lending_product_transform]],[3]Mapping!$B$4:$C$37,2,0)</f>
        <v>[Cake] - Cashloan</v>
      </c>
      <c r="H8709" s="128" t="str">
        <f>VLOOKUP(source[[#This Row],[lending_product_transform]],[3]Mapping!$B$3:$D$37,3,0)</f>
        <v>cashloan</v>
      </c>
      <c r="I8709" s="173">
        <v>0</v>
      </c>
    </row>
    <row r="8710" spans="1:9" x14ac:dyDescent="0.2">
      <c r="A8710" s="134">
        <v>45897</v>
      </c>
      <c r="B8710" s="135">
        <f>YEAR(source[[#This Row],[report_date]])</f>
        <v>2025</v>
      </c>
      <c r="C8710" s="128">
        <f t="shared" si="406"/>
        <v>8</v>
      </c>
      <c r="D8710" s="136">
        <f t="shared" si="408"/>
        <v>35</v>
      </c>
      <c r="E8710" s="136">
        <f t="shared" si="407"/>
        <v>28</v>
      </c>
      <c r="F8710" s="128" t="s">
        <v>24</v>
      </c>
      <c r="G8710" s="128" t="str">
        <f>VLOOKUP(source[[#This Row],[lending_product_transform]],[3]Mapping!$B$4:$C$37,2,0)</f>
        <v>[Cake] - Cashloan</v>
      </c>
      <c r="H8710" s="128" t="str">
        <f>VLOOKUP(source[[#This Row],[lending_product_transform]],[3]Mapping!$B$3:$D$37,3,0)</f>
        <v>cashloan</v>
      </c>
      <c r="I8710" s="173">
        <v>628260000</v>
      </c>
    </row>
    <row r="8711" spans="1:9" x14ac:dyDescent="0.2">
      <c r="A8711" s="134">
        <v>45897</v>
      </c>
      <c r="B8711" s="135">
        <f>YEAR(source[[#This Row],[report_date]])</f>
        <v>2025</v>
      </c>
      <c r="C8711" s="128">
        <f t="shared" si="406"/>
        <v>8</v>
      </c>
      <c r="D8711" s="136">
        <f t="shared" si="408"/>
        <v>35</v>
      </c>
      <c r="E8711" s="136">
        <f t="shared" si="407"/>
        <v>28</v>
      </c>
      <c r="F8711" s="128" t="s">
        <v>24</v>
      </c>
      <c r="G8711" s="128" t="str">
        <f>VLOOKUP(source[[#This Row],[lending_product_transform]],[3]Mapping!$B$4:$C$37,2,0)</f>
        <v>[Cake] - Cashloan</v>
      </c>
      <c r="H8711" s="128" t="str">
        <f>VLOOKUP(source[[#This Row],[lending_product_transform]],[3]Mapping!$B$3:$D$37,3,0)</f>
        <v>cashloan</v>
      </c>
      <c r="I8711" s="173">
        <v>5738364000</v>
      </c>
    </row>
    <row r="8712" spans="1:9" x14ac:dyDescent="0.2">
      <c r="A8712" s="134">
        <v>45897</v>
      </c>
      <c r="B8712" s="135">
        <f>YEAR(source[[#This Row],[report_date]])</f>
        <v>2025</v>
      </c>
      <c r="C8712" s="128">
        <f t="shared" si="406"/>
        <v>8</v>
      </c>
      <c r="D8712" s="136">
        <f t="shared" si="408"/>
        <v>35</v>
      </c>
      <c r="E8712" s="136">
        <f t="shared" si="407"/>
        <v>28</v>
      </c>
      <c r="F8712" s="128" t="s">
        <v>24</v>
      </c>
      <c r="G8712" s="128" t="str">
        <f>VLOOKUP(source[[#This Row],[lending_product_transform]],[3]Mapping!$B$4:$C$37,2,0)</f>
        <v>[Cake] - Cashloan</v>
      </c>
      <c r="H8712" s="128" t="str">
        <f>VLOOKUP(source[[#This Row],[lending_product_transform]],[3]Mapping!$B$3:$D$37,3,0)</f>
        <v>cashloan</v>
      </c>
      <c r="I8712" s="173">
        <v>242316913</v>
      </c>
    </row>
    <row r="8713" spans="1:9" x14ac:dyDescent="0.2">
      <c r="A8713" s="134">
        <v>45897</v>
      </c>
      <c r="B8713" s="135">
        <f>YEAR(source[[#This Row],[report_date]])</f>
        <v>2025</v>
      </c>
      <c r="C8713" s="128">
        <f t="shared" si="406"/>
        <v>8</v>
      </c>
      <c r="D8713" s="136">
        <f t="shared" si="408"/>
        <v>35</v>
      </c>
      <c r="E8713" s="136">
        <f t="shared" si="407"/>
        <v>28</v>
      </c>
      <c r="F8713" s="128" t="s">
        <v>24</v>
      </c>
      <c r="G8713" s="128" t="str">
        <f>VLOOKUP(source[[#This Row],[lending_product_transform]],[3]Mapping!$B$4:$C$37,2,0)</f>
        <v>[Cake] - Cashloan</v>
      </c>
      <c r="H8713" s="128" t="str">
        <f>VLOOKUP(source[[#This Row],[lending_product_transform]],[3]Mapping!$B$3:$D$37,3,0)</f>
        <v>cashloan</v>
      </c>
      <c r="I8713" s="173">
        <v>1763460000</v>
      </c>
    </row>
    <row r="8714" spans="1:9" x14ac:dyDescent="0.2">
      <c r="A8714" s="134">
        <v>45897</v>
      </c>
      <c r="B8714" s="135">
        <f>YEAR(source[[#This Row],[report_date]])</f>
        <v>2025</v>
      </c>
      <c r="C8714" s="128">
        <f t="shared" si="406"/>
        <v>8</v>
      </c>
      <c r="D8714" s="136">
        <f t="shared" si="408"/>
        <v>35</v>
      </c>
      <c r="E8714" s="136">
        <f t="shared" si="407"/>
        <v>28</v>
      </c>
      <c r="F8714" s="128" t="s">
        <v>24</v>
      </c>
      <c r="G8714" s="128" t="str">
        <f>VLOOKUP(source[[#This Row],[lending_product_transform]],[3]Mapping!$B$4:$C$37,2,0)</f>
        <v>[Cake] - Cashloan</v>
      </c>
      <c r="H8714" s="128" t="str">
        <f>VLOOKUP(source[[#This Row],[lending_product_transform]],[3]Mapping!$B$3:$D$37,3,0)</f>
        <v>cashloan</v>
      </c>
      <c r="I8714" s="173">
        <v>2012160000</v>
      </c>
    </row>
    <row r="8715" spans="1:9" x14ac:dyDescent="0.2">
      <c r="A8715" s="134">
        <v>45897</v>
      </c>
      <c r="B8715" s="135">
        <f>YEAR(source[[#This Row],[report_date]])</f>
        <v>2025</v>
      </c>
      <c r="C8715" s="128">
        <f t="shared" si="406"/>
        <v>8</v>
      </c>
      <c r="D8715" s="136">
        <f t="shared" si="408"/>
        <v>35</v>
      </c>
      <c r="E8715" s="136">
        <f t="shared" si="407"/>
        <v>28</v>
      </c>
      <c r="F8715" s="128" t="s">
        <v>24</v>
      </c>
      <c r="G8715" s="128" t="str">
        <f>VLOOKUP(source[[#This Row],[lending_product_transform]],[3]Mapping!$B$4:$C$37,2,0)</f>
        <v>[Cake] - Cashloan</v>
      </c>
      <c r="H8715" s="128" t="str">
        <f>VLOOKUP(source[[#This Row],[lending_product_transform]],[3]Mapping!$B$3:$D$37,3,0)</f>
        <v>cashloan</v>
      </c>
      <c r="I8715" s="173">
        <v>488304408</v>
      </c>
    </row>
    <row r="8716" spans="1:9" x14ac:dyDescent="0.2">
      <c r="A8716" s="134">
        <v>45897</v>
      </c>
      <c r="B8716" s="135">
        <f>YEAR(source[[#This Row],[report_date]])</f>
        <v>2025</v>
      </c>
      <c r="C8716" s="128">
        <f t="shared" si="406"/>
        <v>8</v>
      </c>
      <c r="D8716" s="136">
        <f t="shared" si="408"/>
        <v>35</v>
      </c>
      <c r="E8716" s="136">
        <f t="shared" si="407"/>
        <v>28</v>
      </c>
      <c r="F8716" s="128" t="s">
        <v>24</v>
      </c>
      <c r="G8716" s="128" t="str">
        <f>VLOOKUP(source[[#This Row],[lending_product_transform]],[3]Mapping!$B$4:$C$37,2,0)</f>
        <v>[Cake] - Cashloan</v>
      </c>
      <c r="H8716" s="128" t="str">
        <f>VLOOKUP(source[[#This Row],[lending_product_transform]],[3]Mapping!$B$3:$D$37,3,0)</f>
        <v>cashloan</v>
      </c>
      <c r="I8716" s="173">
        <v>5445144000</v>
      </c>
    </row>
    <row r="8717" spans="1:9" x14ac:dyDescent="0.2">
      <c r="A8717" s="134">
        <v>45897</v>
      </c>
      <c r="B8717" s="135">
        <f>YEAR(source[[#This Row],[report_date]])</f>
        <v>2025</v>
      </c>
      <c r="C8717" s="128">
        <f t="shared" si="406"/>
        <v>8</v>
      </c>
      <c r="D8717" s="136">
        <f t="shared" si="408"/>
        <v>35</v>
      </c>
      <c r="E8717" s="136">
        <f t="shared" si="407"/>
        <v>28</v>
      </c>
      <c r="F8717" s="128" t="s">
        <v>24</v>
      </c>
      <c r="G8717" s="128" t="str">
        <f>VLOOKUP(source[[#This Row],[lending_product_transform]],[3]Mapping!$B$4:$C$37,2,0)</f>
        <v>[Cake] - Cashloan</v>
      </c>
      <c r="H8717" s="128" t="str">
        <f>VLOOKUP(source[[#This Row],[lending_product_transform]],[3]Mapping!$B$3:$D$37,3,0)</f>
        <v>cashloan</v>
      </c>
      <c r="I8717" s="173">
        <v>2926586023</v>
      </c>
    </row>
    <row r="8718" spans="1:9" x14ac:dyDescent="0.2">
      <c r="A8718" s="134">
        <v>45898</v>
      </c>
      <c r="B8718" s="135">
        <f>YEAR(source[[#This Row],[report_date]])</f>
        <v>2025</v>
      </c>
      <c r="C8718" s="128">
        <f t="shared" si="406"/>
        <v>8</v>
      </c>
      <c r="D8718" s="136">
        <f t="shared" si="408"/>
        <v>35</v>
      </c>
      <c r="E8718" s="136">
        <f t="shared" si="407"/>
        <v>29</v>
      </c>
      <c r="F8718" s="128" t="s">
        <v>24</v>
      </c>
      <c r="G8718" s="128" t="str">
        <f>VLOOKUP(source[[#This Row],[lending_product_transform]],[3]Mapping!$B$4:$C$37,2,0)</f>
        <v>[Cake] - Cashloan</v>
      </c>
      <c r="H8718" s="128" t="str">
        <f>VLOOKUP(source[[#This Row],[lending_product_transform]],[3]Mapping!$B$3:$D$37,3,0)</f>
        <v>cashloan</v>
      </c>
      <c r="I8718" s="173">
        <v>45578000</v>
      </c>
    </row>
    <row r="8719" spans="1:9" x14ac:dyDescent="0.2">
      <c r="A8719" s="134">
        <v>45898</v>
      </c>
      <c r="B8719" s="135">
        <f>YEAR(source[[#This Row],[report_date]])</f>
        <v>2025</v>
      </c>
      <c r="C8719" s="128">
        <f t="shared" si="406"/>
        <v>8</v>
      </c>
      <c r="D8719" s="136">
        <f t="shared" si="408"/>
        <v>35</v>
      </c>
      <c r="E8719" s="136">
        <f t="shared" si="407"/>
        <v>29</v>
      </c>
      <c r="F8719" s="128" t="s">
        <v>24</v>
      </c>
      <c r="G8719" s="128" t="str">
        <f>VLOOKUP(source[[#This Row],[lending_product_transform]],[3]Mapping!$B$4:$C$37,2,0)</f>
        <v>[Cake] - Cashloan</v>
      </c>
      <c r="H8719" s="128" t="str">
        <f>VLOOKUP(source[[#This Row],[lending_product_transform]],[3]Mapping!$B$3:$D$37,3,0)</f>
        <v>cashloan</v>
      </c>
      <c r="I8719" s="173">
        <v>247694000</v>
      </c>
    </row>
    <row r="8720" spans="1:9" x14ac:dyDescent="0.2">
      <c r="A8720" s="134">
        <v>45898</v>
      </c>
      <c r="B8720" s="135">
        <f>YEAR(source[[#This Row],[report_date]])</f>
        <v>2025</v>
      </c>
      <c r="C8720" s="128">
        <f t="shared" si="406"/>
        <v>8</v>
      </c>
      <c r="D8720" s="136">
        <f t="shared" si="408"/>
        <v>35</v>
      </c>
      <c r="E8720" s="136">
        <f t="shared" si="407"/>
        <v>29</v>
      </c>
      <c r="F8720" s="128" t="s">
        <v>24</v>
      </c>
      <c r="G8720" s="128" t="str">
        <f>VLOOKUP(source[[#This Row],[lending_product_transform]],[3]Mapping!$B$4:$C$37,2,0)</f>
        <v>[Cake] - Cashloan</v>
      </c>
      <c r="H8720" s="128" t="str">
        <f>VLOOKUP(source[[#This Row],[lending_product_transform]],[3]Mapping!$B$3:$D$37,3,0)</f>
        <v>cashloan</v>
      </c>
      <c r="I8720" s="173">
        <v>5159808000</v>
      </c>
    </row>
    <row r="8721" spans="1:9" x14ac:dyDescent="0.2">
      <c r="A8721" s="134">
        <v>45898</v>
      </c>
      <c r="B8721" s="135">
        <f>YEAR(source[[#This Row],[report_date]])</f>
        <v>2025</v>
      </c>
      <c r="C8721" s="128">
        <f t="shared" si="406"/>
        <v>8</v>
      </c>
      <c r="D8721" s="136">
        <f t="shared" si="408"/>
        <v>35</v>
      </c>
      <c r="E8721" s="136">
        <f t="shared" si="407"/>
        <v>29</v>
      </c>
      <c r="F8721" s="128" t="s">
        <v>24</v>
      </c>
      <c r="G8721" s="128" t="str">
        <f>VLOOKUP(source[[#This Row],[lending_product_transform]],[3]Mapping!$B$4:$C$37,2,0)</f>
        <v>[Cake] - Cashloan</v>
      </c>
      <c r="H8721" s="128" t="str">
        <f>VLOOKUP(source[[#This Row],[lending_product_transform]],[3]Mapping!$B$3:$D$37,3,0)</f>
        <v>cashloan</v>
      </c>
      <c r="I8721" s="173">
        <v>8324310000</v>
      </c>
    </row>
    <row r="8722" spans="1:9" x14ac:dyDescent="0.2">
      <c r="A8722" s="134">
        <v>45898</v>
      </c>
      <c r="B8722" s="135">
        <f>YEAR(source[[#This Row],[report_date]])</f>
        <v>2025</v>
      </c>
      <c r="C8722" s="128">
        <f t="shared" si="406"/>
        <v>8</v>
      </c>
      <c r="D8722" s="136">
        <f t="shared" si="408"/>
        <v>35</v>
      </c>
      <c r="E8722" s="136">
        <f t="shared" si="407"/>
        <v>29</v>
      </c>
      <c r="F8722" s="128" t="s">
        <v>24</v>
      </c>
      <c r="G8722" s="128" t="str">
        <f>VLOOKUP(source[[#This Row],[lending_product_transform]],[3]Mapping!$B$4:$C$37,2,0)</f>
        <v>[Cake] - Cashloan</v>
      </c>
      <c r="H8722" s="128" t="str">
        <f>VLOOKUP(source[[#This Row],[lending_product_transform]],[3]Mapping!$B$3:$D$37,3,0)</f>
        <v>cashloan</v>
      </c>
      <c r="I8722" s="173">
        <v>35700000</v>
      </c>
    </row>
    <row r="8723" spans="1:9" x14ac:dyDescent="0.2">
      <c r="A8723" s="134">
        <v>45898</v>
      </c>
      <c r="B8723" s="135">
        <f>YEAR(source[[#This Row],[report_date]])</f>
        <v>2025</v>
      </c>
      <c r="C8723" s="128">
        <f t="shared" si="406"/>
        <v>8</v>
      </c>
      <c r="D8723" s="136">
        <f t="shared" si="408"/>
        <v>35</v>
      </c>
      <c r="E8723" s="136">
        <f t="shared" si="407"/>
        <v>29</v>
      </c>
      <c r="F8723" s="128" t="s">
        <v>24</v>
      </c>
      <c r="G8723" s="128" t="str">
        <f>VLOOKUP(source[[#This Row],[lending_product_transform]],[3]Mapping!$B$4:$C$37,2,0)</f>
        <v>[Cake] - Cashloan</v>
      </c>
      <c r="H8723" s="128" t="str">
        <f>VLOOKUP(source[[#This Row],[lending_product_transform]],[3]Mapping!$B$3:$D$37,3,0)</f>
        <v>cashloan</v>
      </c>
      <c r="I8723" s="173">
        <v>10700000</v>
      </c>
    </row>
    <row r="8724" spans="1:9" x14ac:dyDescent="0.2">
      <c r="A8724" s="134">
        <v>45898</v>
      </c>
      <c r="B8724" s="135">
        <f>YEAR(source[[#This Row],[report_date]])</f>
        <v>2025</v>
      </c>
      <c r="C8724" s="128">
        <f t="shared" si="406"/>
        <v>8</v>
      </c>
      <c r="D8724" s="136">
        <f t="shared" si="408"/>
        <v>35</v>
      </c>
      <c r="E8724" s="136">
        <f t="shared" si="407"/>
        <v>29</v>
      </c>
      <c r="F8724" s="128" t="s">
        <v>24</v>
      </c>
      <c r="G8724" s="128" t="str">
        <f>VLOOKUP(source[[#This Row],[lending_product_transform]],[3]Mapping!$B$4:$C$37,2,0)</f>
        <v>[Cake] - Cashloan</v>
      </c>
      <c r="H8724" s="128" t="str">
        <f>VLOOKUP(source[[#This Row],[lending_product_transform]],[3]Mapping!$B$3:$D$37,3,0)</f>
        <v>cashloan</v>
      </c>
      <c r="I8724" s="173">
        <v>501987119</v>
      </c>
    </row>
    <row r="8725" spans="1:9" x14ac:dyDescent="0.2">
      <c r="A8725" s="134">
        <v>45898</v>
      </c>
      <c r="B8725" s="135">
        <f>YEAR(source[[#This Row],[report_date]])</f>
        <v>2025</v>
      </c>
      <c r="C8725" s="128">
        <f t="shared" si="406"/>
        <v>8</v>
      </c>
      <c r="D8725" s="136">
        <f t="shared" si="408"/>
        <v>35</v>
      </c>
      <c r="E8725" s="136">
        <f t="shared" si="407"/>
        <v>29</v>
      </c>
      <c r="F8725" s="128" t="s">
        <v>24</v>
      </c>
      <c r="G8725" s="128" t="str">
        <f>VLOOKUP(source[[#This Row],[lending_product_transform]],[3]Mapping!$B$4:$C$37,2,0)</f>
        <v>[Cake] - Cashloan</v>
      </c>
      <c r="H8725" s="128" t="str">
        <f>VLOOKUP(source[[#This Row],[lending_product_transform]],[3]Mapping!$B$3:$D$37,3,0)</f>
        <v>cashloan</v>
      </c>
      <c r="I8725" s="173">
        <v>55000000</v>
      </c>
    </row>
    <row r="8726" spans="1:9" x14ac:dyDescent="0.2">
      <c r="A8726" s="134">
        <v>45898</v>
      </c>
      <c r="B8726" s="135">
        <f>YEAR(source[[#This Row],[report_date]])</f>
        <v>2025</v>
      </c>
      <c r="C8726" s="128">
        <f t="shared" si="406"/>
        <v>8</v>
      </c>
      <c r="D8726" s="136">
        <f t="shared" si="408"/>
        <v>35</v>
      </c>
      <c r="E8726" s="136">
        <f t="shared" si="407"/>
        <v>29</v>
      </c>
      <c r="F8726" s="128" t="s">
        <v>24</v>
      </c>
      <c r="G8726" s="128" t="str">
        <f>VLOOKUP(source[[#This Row],[lending_product_transform]],[3]Mapping!$B$4:$C$37,2,0)</f>
        <v>[Cake] - Cashloan</v>
      </c>
      <c r="H8726" s="128" t="str">
        <f>VLOOKUP(source[[#This Row],[lending_product_transform]],[3]Mapping!$B$3:$D$37,3,0)</f>
        <v>cashloan</v>
      </c>
      <c r="I8726" s="173">
        <v>0</v>
      </c>
    </row>
    <row r="8727" spans="1:9" x14ac:dyDescent="0.2">
      <c r="A8727" s="134">
        <v>45898</v>
      </c>
      <c r="B8727" s="135">
        <f>YEAR(source[[#This Row],[report_date]])</f>
        <v>2025</v>
      </c>
      <c r="C8727" s="128">
        <f t="shared" si="406"/>
        <v>8</v>
      </c>
      <c r="D8727" s="136">
        <f t="shared" si="408"/>
        <v>35</v>
      </c>
      <c r="E8727" s="136">
        <f t="shared" si="407"/>
        <v>29</v>
      </c>
      <c r="F8727" s="128" t="s">
        <v>24</v>
      </c>
      <c r="G8727" s="128" t="str">
        <f>VLOOKUP(source[[#This Row],[lending_product_transform]],[3]Mapping!$B$4:$C$37,2,0)</f>
        <v>[Cake] - Cashloan</v>
      </c>
      <c r="H8727" s="128" t="str">
        <f>VLOOKUP(source[[#This Row],[lending_product_transform]],[3]Mapping!$B$3:$D$37,3,0)</f>
        <v>cashloan</v>
      </c>
      <c r="I8727" s="173">
        <v>271200000</v>
      </c>
    </row>
    <row r="8728" spans="1:9" x14ac:dyDescent="0.2">
      <c r="A8728" s="134">
        <v>45898</v>
      </c>
      <c r="B8728" s="135">
        <f>YEAR(source[[#This Row],[report_date]])</f>
        <v>2025</v>
      </c>
      <c r="C8728" s="128">
        <f t="shared" si="406"/>
        <v>8</v>
      </c>
      <c r="D8728" s="136">
        <f t="shared" si="408"/>
        <v>35</v>
      </c>
      <c r="E8728" s="136">
        <f t="shared" si="407"/>
        <v>29</v>
      </c>
      <c r="F8728" s="128" t="s">
        <v>24</v>
      </c>
      <c r="G8728" s="128" t="str">
        <f>VLOOKUP(source[[#This Row],[lending_product_transform]],[3]Mapping!$B$4:$C$37,2,0)</f>
        <v>[Cake] - Cashloan</v>
      </c>
      <c r="H8728" s="128" t="str">
        <f>VLOOKUP(source[[#This Row],[lending_product_transform]],[3]Mapping!$B$3:$D$37,3,0)</f>
        <v>cashloan</v>
      </c>
      <c r="I8728" s="173">
        <v>3202918636</v>
      </c>
    </row>
    <row r="8729" spans="1:9" x14ac:dyDescent="0.2">
      <c r="A8729" s="134">
        <v>45898</v>
      </c>
      <c r="B8729" s="135">
        <f>YEAR(source[[#This Row],[report_date]])</f>
        <v>2025</v>
      </c>
      <c r="C8729" s="128">
        <f t="shared" si="406"/>
        <v>8</v>
      </c>
      <c r="D8729" s="136">
        <f t="shared" si="408"/>
        <v>35</v>
      </c>
      <c r="E8729" s="136">
        <f t="shared" si="407"/>
        <v>29</v>
      </c>
      <c r="F8729" s="128" t="s">
        <v>24</v>
      </c>
      <c r="G8729" s="128" t="str">
        <f>VLOOKUP(source[[#This Row],[lending_product_transform]],[3]Mapping!$B$4:$C$37,2,0)</f>
        <v>[Cake] - Cashloan</v>
      </c>
      <c r="H8729" s="128" t="str">
        <f>VLOOKUP(source[[#This Row],[lending_product_transform]],[3]Mapping!$B$3:$D$37,3,0)</f>
        <v>cashloan</v>
      </c>
      <c r="I8729" s="173">
        <v>1714850000</v>
      </c>
    </row>
    <row r="8730" spans="1:9" x14ac:dyDescent="0.2">
      <c r="A8730" s="134">
        <v>45898</v>
      </c>
      <c r="B8730" s="135">
        <f>YEAR(source[[#This Row],[report_date]])</f>
        <v>2025</v>
      </c>
      <c r="C8730" s="128">
        <f t="shared" si="406"/>
        <v>8</v>
      </c>
      <c r="D8730" s="136">
        <f t="shared" si="408"/>
        <v>35</v>
      </c>
      <c r="E8730" s="136">
        <f t="shared" si="407"/>
        <v>29</v>
      </c>
      <c r="F8730" s="128" t="s">
        <v>24</v>
      </c>
      <c r="G8730" s="128" t="str">
        <f>VLOOKUP(source[[#This Row],[lending_product_transform]],[3]Mapping!$B$4:$C$37,2,0)</f>
        <v>[Cake] - Cashloan</v>
      </c>
      <c r="H8730" s="128" t="str">
        <f>VLOOKUP(source[[#This Row],[lending_product_transform]],[3]Mapping!$B$3:$D$37,3,0)</f>
        <v>cashloan</v>
      </c>
      <c r="I8730" s="173">
        <v>1302060000</v>
      </c>
    </row>
    <row r="8731" spans="1:9" x14ac:dyDescent="0.2">
      <c r="A8731" s="134">
        <v>45898</v>
      </c>
      <c r="B8731" s="135">
        <f>YEAR(source[[#This Row],[report_date]])</f>
        <v>2025</v>
      </c>
      <c r="C8731" s="128">
        <f t="shared" si="406"/>
        <v>8</v>
      </c>
      <c r="D8731" s="136">
        <f t="shared" si="408"/>
        <v>35</v>
      </c>
      <c r="E8731" s="136">
        <f t="shared" si="407"/>
        <v>29</v>
      </c>
      <c r="F8731" s="128" t="s">
        <v>24</v>
      </c>
      <c r="G8731" s="128" t="str">
        <f>VLOOKUP(source[[#This Row],[lending_product_transform]],[3]Mapping!$B$4:$C$37,2,0)</f>
        <v>[Cake] - Cashloan</v>
      </c>
      <c r="H8731" s="128" t="str">
        <f>VLOOKUP(source[[#This Row],[lending_product_transform]],[3]Mapping!$B$3:$D$37,3,0)</f>
        <v>cashloan</v>
      </c>
      <c r="I8731" s="173">
        <v>6408612000</v>
      </c>
    </row>
    <row r="8732" spans="1:9" x14ac:dyDescent="0.2">
      <c r="A8732" s="134">
        <v>45898</v>
      </c>
      <c r="B8732" s="135">
        <f>YEAR(source[[#This Row],[report_date]])</f>
        <v>2025</v>
      </c>
      <c r="C8732" s="128">
        <f t="shared" si="406"/>
        <v>8</v>
      </c>
      <c r="D8732" s="136">
        <f t="shared" si="408"/>
        <v>35</v>
      </c>
      <c r="E8732" s="136">
        <f t="shared" si="407"/>
        <v>29</v>
      </c>
      <c r="F8732" s="128" t="s">
        <v>24</v>
      </c>
      <c r="G8732" s="128" t="str">
        <f>VLOOKUP(source[[#This Row],[lending_product_transform]],[3]Mapping!$B$4:$C$37,2,0)</f>
        <v>[Cake] - Cashloan</v>
      </c>
      <c r="H8732" s="128" t="str">
        <f>VLOOKUP(source[[#This Row],[lending_product_transform]],[3]Mapping!$B$3:$D$37,3,0)</f>
        <v>cashloan</v>
      </c>
      <c r="I8732" s="173">
        <v>193658500</v>
      </c>
    </row>
    <row r="8733" spans="1:9" x14ac:dyDescent="0.2">
      <c r="A8733" s="134">
        <v>45898</v>
      </c>
      <c r="B8733" s="135">
        <f>YEAR(source[[#This Row],[report_date]])</f>
        <v>2025</v>
      </c>
      <c r="C8733" s="128">
        <f t="shared" si="406"/>
        <v>8</v>
      </c>
      <c r="D8733" s="136">
        <f t="shared" si="408"/>
        <v>35</v>
      </c>
      <c r="E8733" s="136">
        <f t="shared" si="407"/>
        <v>29</v>
      </c>
      <c r="F8733" s="128" t="s">
        <v>24</v>
      </c>
      <c r="G8733" s="128" t="str">
        <f>VLOOKUP(source[[#This Row],[lending_product_transform]],[3]Mapping!$B$4:$C$37,2,0)</f>
        <v>[Cake] - Cashloan</v>
      </c>
      <c r="H8733" s="128" t="str">
        <f>VLOOKUP(source[[#This Row],[lending_product_transform]],[3]Mapping!$B$3:$D$37,3,0)</f>
        <v>cashloan</v>
      </c>
      <c r="I8733" s="173">
        <v>10500000</v>
      </c>
    </row>
    <row r="8734" spans="1:9" x14ac:dyDescent="0.2">
      <c r="A8734" s="134">
        <v>45898</v>
      </c>
      <c r="B8734" s="135">
        <f>YEAR(source[[#This Row],[report_date]])</f>
        <v>2025</v>
      </c>
      <c r="C8734" s="128">
        <f t="shared" si="406"/>
        <v>8</v>
      </c>
      <c r="D8734" s="136">
        <f t="shared" si="408"/>
        <v>35</v>
      </c>
      <c r="E8734" s="136">
        <f t="shared" si="407"/>
        <v>29</v>
      </c>
      <c r="F8734" s="128" t="s">
        <v>24</v>
      </c>
      <c r="G8734" s="128" t="str">
        <f>VLOOKUP(source[[#This Row],[lending_product_transform]],[3]Mapping!$B$4:$C$37,2,0)</f>
        <v>[Cake] - Cashloan</v>
      </c>
      <c r="H8734" s="128" t="str">
        <f>VLOOKUP(source[[#This Row],[lending_product_transform]],[3]Mapping!$B$3:$D$37,3,0)</f>
        <v>cashloan</v>
      </c>
      <c r="I8734" s="173">
        <v>11142540000</v>
      </c>
    </row>
    <row r="8735" spans="1:9" x14ac:dyDescent="0.2">
      <c r="A8735" s="134">
        <v>45898</v>
      </c>
      <c r="B8735" s="135">
        <f>YEAR(source[[#This Row],[report_date]])</f>
        <v>2025</v>
      </c>
      <c r="C8735" s="128">
        <f t="shared" si="406"/>
        <v>8</v>
      </c>
      <c r="D8735" s="136">
        <f t="shared" si="408"/>
        <v>35</v>
      </c>
      <c r="E8735" s="136">
        <f t="shared" si="407"/>
        <v>29</v>
      </c>
      <c r="F8735" s="128" t="s">
        <v>24</v>
      </c>
      <c r="G8735" s="128" t="str">
        <f>VLOOKUP(source[[#This Row],[lending_product_transform]],[3]Mapping!$B$4:$C$37,2,0)</f>
        <v>[Cake] - Cashloan</v>
      </c>
      <c r="H8735" s="128" t="str">
        <f>VLOOKUP(source[[#This Row],[lending_product_transform]],[3]Mapping!$B$3:$D$37,3,0)</f>
        <v>cashloan</v>
      </c>
      <c r="I8735" s="173">
        <v>290062937</v>
      </c>
    </row>
    <row r="8736" spans="1:9" x14ac:dyDescent="0.2">
      <c r="A8736" s="134">
        <v>45898</v>
      </c>
      <c r="B8736" s="135">
        <f>YEAR(source[[#This Row],[report_date]])</f>
        <v>2025</v>
      </c>
      <c r="C8736" s="128">
        <f t="shared" si="406"/>
        <v>8</v>
      </c>
      <c r="D8736" s="136">
        <f t="shared" si="408"/>
        <v>35</v>
      </c>
      <c r="E8736" s="136">
        <f t="shared" si="407"/>
        <v>29</v>
      </c>
      <c r="F8736" s="128" t="s">
        <v>24</v>
      </c>
      <c r="G8736" s="128" t="str">
        <f>VLOOKUP(source[[#This Row],[lending_product_transform]],[3]Mapping!$B$4:$C$37,2,0)</f>
        <v>[Cake] - Cashloan</v>
      </c>
      <c r="H8736" s="128" t="str">
        <f>VLOOKUP(source[[#This Row],[lending_product_transform]],[3]Mapping!$B$3:$D$37,3,0)</f>
        <v>cashloan</v>
      </c>
      <c r="I8736" s="173">
        <v>19759643</v>
      </c>
    </row>
    <row r="8737" spans="1:9" x14ac:dyDescent="0.2">
      <c r="A8737" s="134">
        <v>45899</v>
      </c>
      <c r="B8737" s="135">
        <f>YEAR(source[[#This Row],[report_date]])</f>
        <v>2025</v>
      </c>
      <c r="C8737" s="128">
        <f t="shared" si="406"/>
        <v>8</v>
      </c>
      <c r="D8737" s="136">
        <f t="shared" si="408"/>
        <v>35</v>
      </c>
      <c r="E8737" s="136">
        <f t="shared" si="407"/>
        <v>30</v>
      </c>
      <c r="F8737" s="128" t="s">
        <v>24</v>
      </c>
      <c r="G8737" s="128" t="str">
        <f>VLOOKUP(source[[#This Row],[lending_product_transform]],[3]Mapping!$B$4:$C$37,2,0)</f>
        <v>[Cake] - Cashloan</v>
      </c>
      <c r="H8737" s="128" t="str">
        <f>VLOOKUP(source[[#This Row],[lending_product_transform]],[3]Mapping!$B$3:$D$37,3,0)</f>
        <v>cashloan</v>
      </c>
      <c r="I8737" s="173">
        <v>0</v>
      </c>
    </row>
    <row r="8738" spans="1:9" x14ac:dyDescent="0.2">
      <c r="A8738" s="134">
        <v>45899</v>
      </c>
      <c r="B8738" s="135">
        <f>YEAR(source[[#This Row],[report_date]])</f>
        <v>2025</v>
      </c>
      <c r="C8738" s="128">
        <f t="shared" si="406"/>
        <v>8</v>
      </c>
      <c r="D8738" s="136">
        <f t="shared" si="408"/>
        <v>35</v>
      </c>
      <c r="E8738" s="136">
        <f t="shared" si="407"/>
        <v>30</v>
      </c>
      <c r="F8738" s="128" t="s">
        <v>24</v>
      </c>
      <c r="G8738" s="128" t="str">
        <f>VLOOKUP(source[[#This Row],[lending_product_transform]],[3]Mapping!$B$4:$C$37,2,0)</f>
        <v>[Cake] - Cashloan</v>
      </c>
      <c r="H8738" s="128" t="str">
        <f>VLOOKUP(source[[#This Row],[lending_product_transform]],[3]Mapping!$B$3:$D$37,3,0)</f>
        <v>cashloan</v>
      </c>
      <c r="I8738" s="173">
        <v>43000000</v>
      </c>
    </row>
    <row r="8739" spans="1:9" x14ac:dyDescent="0.2">
      <c r="A8739" s="134">
        <v>45899</v>
      </c>
      <c r="B8739" s="135">
        <f>YEAR(source[[#This Row],[report_date]])</f>
        <v>2025</v>
      </c>
      <c r="C8739" s="128">
        <f t="shared" si="406"/>
        <v>8</v>
      </c>
      <c r="D8739" s="136">
        <f t="shared" si="408"/>
        <v>35</v>
      </c>
      <c r="E8739" s="136">
        <f t="shared" si="407"/>
        <v>30</v>
      </c>
      <c r="F8739" s="128" t="s">
        <v>24</v>
      </c>
      <c r="G8739" s="128" t="str">
        <f>VLOOKUP(source[[#This Row],[lending_product_transform]],[3]Mapping!$B$4:$C$37,2,0)</f>
        <v>[Cake] - Cashloan</v>
      </c>
      <c r="H8739" s="128" t="str">
        <f>VLOOKUP(source[[#This Row],[lending_product_transform]],[3]Mapping!$B$3:$D$37,3,0)</f>
        <v>cashloan</v>
      </c>
      <c r="I8739" s="173">
        <v>581410000</v>
      </c>
    </row>
    <row r="8740" spans="1:9" x14ac:dyDescent="0.2">
      <c r="A8740" s="134">
        <v>45899</v>
      </c>
      <c r="B8740" s="135">
        <f>YEAR(source[[#This Row],[report_date]])</f>
        <v>2025</v>
      </c>
      <c r="C8740" s="128">
        <f t="shared" si="406"/>
        <v>8</v>
      </c>
      <c r="D8740" s="136">
        <f t="shared" si="408"/>
        <v>35</v>
      </c>
      <c r="E8740" s="136">
        <f t="shared" si="407"/>
        <v>30</v>
      </c>
      <c r="F8740" s="128" t="s">
        <v>24</v>
      </c>
      <c r="G8740" s="128" t="str">
        <f>VLOOKUP(source[[#This Row],[lending_product_transform]],[3]Mapping!$B$4:$C$37,2,0)</f>
        <v>[Cake] - Cashloan</v>
      </c>
      <c r="H8740" s="128" t="str">
        <f>VLOOKUP(source[[#This Row],[lending_product_transform]],[3]Mapping!$B$3:$D$37,3,0)</f>
        <v>cashloan</v>
      </c>
      <c r="I8740" s="173">
        <v>58479000</v>
      </c>
    </row>
    <row r="8741" spans="1:9" x14ac:dyDescent="0.2">
      <c r="A8741" s="134">
        <v>45899</v>
      </c>
      <c r="B8741" s="135">
        <f>YEAR(source[[#This Row],[report_date]])</f>
        <v>2025</v>
      </c>
      <c r="C8741" s="128">
        <f t="shared" si="406"/>
        <v>8</v>
      </c>
      <c r="D8741" s="136">
        <f t="shared" si="408"/>
        <v>35</v>
      </c>
      <c r="E8741" s="136">
        <f t="shared" si="407"/>
        <v>30</v>
      </c>
      <c r="F8741" s="128" t="s">
        <v>24</v>
      </c>
      <c r="G8741" s="128" t="str">
        <f>VLOOKUP(source[[#This Row],[lending_product_transform]],[3]Mapping!$B$4:$C$37,2,0)</f>
        <v>[Cake] - Cashloan</v>
      </c>
      <c r="H8741" s="128" t="str">
        <f>VLOOKUP(source[[#This Row],[lending_product_transform]],[3]Mapping!$B$3:$D$37,3,0)</f>
        <v>cashloan</v>
      </c>
      <c r="I8741" s="173">
        <v>0</v>
      </c>
    </row>
    <row r="8742" spans="1:9" x14ac:dyDescent="0.2">
      <c r="A8742" s="134">
        <v>45899</v>
      </c>
      <c r="B8742" s="135">
        <f>YEAR(source[[#This Row],[report_date]])</f>
        <v>2025</v>
      </c>
      <c r="C8742" s="128">
        <f t="shared" si="406"/>
        <v>8</v>
      </c>
      <c r="D8742" s="136">
        <f t="shared" si="408"/>
        <v>35</v>
      </c>
      <c r="E8742" s="136">
        <f t="shared" si="407"/>
        <v>30</v>
      </c>
      <c r="F8742" s="128" t="s">
        <v>24</v>
      </c>
      <c r="G8742" s="128" t="str">
        <f>VLOOKUP(source[[#This Row],[lending_product_transform]],[3]Mapping!$B$4:$C$37,2,0)</f>
        <v>[Cake] - Cashloan</v>
      </c>
      <c r="H8742" s="128" t="str">
        <f>VLOOKUP(source[[#This Row],[lending_product_transform]],[3]Mapping!$B$3:$D$37,3,0)</f>
        <v>cashloan</v>
      </c>
      <c r="I8742" s="173">
        <v>1894890000</v>
      </c>
    </row>
    <row r="8743" spans="1:9" x14ac:dyDescent="0.2">
      <c r="A8743" s="134">
        <v>45899</v>
      </c>
      <c r="B8743" s="135">
        <f>YEAR(source[[#This Row],[report_date]])</f>
        <v>2025</v>
      </c>
      <c r="C8743" s="128">
        <f t="shared" si="406"/>
        <v>8</v>
      </c>
      <c r="D8743" s="136">
        <f t="shared" si="408"/>
        <v>35</v>
      </c>
      <c r="E8743" s="136">
        <f t="shared" si="407"/>
        <v>30</v>
      </c>
      <c r="F8743" s="128" t="s">
        <v>24</v>
      </c>
      <c r="G8743" s="128" t="str">
        <f>VLOOKUP(source[[#This Row],[lending_product_transform]],[3]Mapping!$B$4:$C$37,2,0)</f>
        <v>[Cake] - Cashloan</v>
      </c>
      <c r="H8743" s="128" t="str">
        <f>VLOOKUP(source[[#This Row],[lending_product_transform]],[3]Mapping!$B$3:$D$37,3,0)</f>
        <v>cashloan</v>
      </c>
      <c r="I8743" s="173">
        <v>301702445</v>
      </c>
    </row>
    <row r="8744" spans="1:9" x14ac:dyDescent="0.2">
      <c r="A8744" s="134">
        <v>45899</v>
      </c>
      <c r="B8744" s="135">
        <f>YEAR(source[[#This Row],[report_date]])</f>
        <v>2025</v>
      </c>
      <c r="C8744" s="128">
        <f t="shared" si="406"/>
        <v>8</v>
      </c>
      <c r="D8744" s="136">
        <f t="shared" si="408"/>
        <v>35</v>
      </c>
      <c r="E8744" s="136">
        <f t="shared" si="407"/>
        <v>30</v>
      </c>
      <c r="F8744" s="128" t="s">
        <v>24</v>
      </c>
      <c r="G8744" s="128" t="str">
        <f>VLOOKUP(source[[#This Row],[lending_product_transform]],[3]Mapping!$B$4:$C$37,2,0)</f>
        <v>[Cake] - Cashloan</v>
      </c>
      <c r="H8744" s="128" t="str">
        <f>VLOOKUP(source[[#This Row],[lending_product_transform]],[3]Mapping!$B$3:$D$37,3,0)</f>
        <v>cashloan</v>
      </c>
      <c r="I8744" s="173">
        <v>2153450000</v>
      </c>
    </row>
    <row r="8745" spans="1:9" x14ac:dyDescent="0.2">
      <c r="A8745" s="134">
        <v>45899</v>
      </c>
      <c r="B8745" s="135">
        <f>YEAR(source[[#This Row],[report_date]])</f>
        <v>2025</v>
      </c>
      <c r="C8745" s="128">
        <f t="shared" si="406"/>
        <v>8</v>
      </c>
      <c r="D8745" s="136">
        <f t="shared" si="408"/>
        <v>35</v>
      </c>
      <c r="E8745" s="136">
        <f t="shared" si="407"/>
        <v>30</v>
      </c>
      <c r="F8745" s="128" t="s">
        <v>24</v>
      </c>
      <c r="G8745" s="128" t="str">
        <f>VLOOKUP(source[[#This Row],[lending_product_transform]],[3]Mapping!$B$4:$C$37,2,0)</f>
        <v>[Cake] - Cashloan</v>
      </c>
      <c r="H8745" s="128" t="str">
        <f>VLOOKUP(source[[#This Row],[lending_product_transform]],[3]Mapping!$B$3:$D$37,3,0)</f>
        <v>cashloan</v>
      </c>
      <c r="I8745" s="173">
        <v>514047889</v>
      </c>
    </row>
    <row r="8746" spans="1:9" x14ac:dyDescent="0.2">
      <c r="A8746" s="134">
        <v>45899</v>
      </c>
      <c r="B8746" s="135">
        <f>YEAR(source[[#This Row],[report_date]])</f>
        <v>2025</v>
      </c>
      <c r="C8746" s="128">
        <f t="shared" si="406"/>
        <v>8</v>
      </c>
      <c r="D8746" s="136">
        <f t="shared" si="408"/>
        <v>35</v>
      </c>
      <c r="E8746" s="136">
        <f t="shared" si="407"/>
        <v>30</v>
      </c>
      <c r="F8746" s="128" t="s">
        <v>24</v>
      </c>
      <c r="G8746" s="128" t="str">
        <f>VLOOKUP(source[[#This Row],[lending_product_transform]],[3]Mapping!$B$4:$C$37,2,0)</f>
        <v>[Cake] - Cashloan</v>
      </c>
      <c r="H8746" s="128" t="str">
        <f>VLOOKUP(source[[#This Row],[lending_product_transform]],[3]Mapping!$B$3:$D$37,3,0)</f>
        <v>cashloan</v>
      </c>
      <c r="I8746" s="173">
        <v>4542372000</v>
      </c>
    </row>
    <row r="8747" spans="1:9" x14ac:dyDescent="0.2">
      <c r="A8747" s="134">
        <v>45899</v>
      </c>
      <c r="B8747" s="135">
        <f>YEAR(source[[#This Row],[report_date]])</f>
        <v>2025</v>
      </c>
      <c r="C8747" s="128">
        <f t="shared" si="406"/>
        <v>8</v>
      </c>
      <c r="D8747" s="136">
        <f t="shared" si="408"/>
        <v>35</v>
      </c>
      <c r="E8747" s="136">
        <f t="shared" si="407"/>
        <v>30</v>
      </c>
      <c r="F8747" s="128" t="s">
        <v>24</v>
      </c>
      <c r="G8747" s="128" t="str">
        <f>VLOOKUP(source[[#This Row],[lending_product_transform]],[3]Mapping!$B$4:$C$37,2,0)</f>
        <v>[Cake] - Cashloan</v>
      </c>
      <c r="H8747" s="128" t="str">
        <f>VLOOKUP(source[[#This Row],[lending_product_transform]],[3]Mapping!$B$3:$D$37,3,0)</f>
        <v>cashloan</v>
      </c>
      <c r="I8747" s="173">
        <v>313397000</v>
      </c>
    </row>
    <row r="8748" spans="1:9" x14ac:dyDescent="0.2">
      <c r="A8748" s="134">
        <v>45899</v>
      </c>
      <c r="B8748" s="135">
        <f>YEAR(source[[#This Row],[report_date]])</f>
        <v>2025</v>
      </c>
      <c r="C8748" s="128">
        <f t="shared" si="406"/>
        <v>8</v>
      </c>
      <c r="D8748" s="136">
        <f t="shared" si="408"/>
        <v>35</v>
      </c>
      <c r="E8748" s="136">
        <f t="shared" si="407"/>
        <v>30</v>
      </c>
      <c r="F8748" s="128" t="s">
        <v>24</v>
      </c>
      <c r="G8748" s="128" t="str">
        <f>VLOOKUP(source[[#This Row],[lending_product_transform]],[3]Mapping!$B$4:$C$37,2,0)</f>
        <v>[Cake] - Cashloan</v>
      </c>
      <c r="H8748" s="128" t="str">
        <f>VLOOKUP(source[[#This Row],[lending_product_transform]],[3]Mapping!$B$3:$D$37,3,0)</f>
        <v>cashloan</v>
      </c>
      <c r="I8748" s="173">
        <v>2761661984</v>
      </c>
    </row>
    <row r="8749" spans="1:9" x14ac:dyDescent="0.2">
      <c r="A8749" s="134">
        <v>45899</v>
      </c>
      <c r="B8749" s="135">
        <f>YEAR(source[[#This Row],[report_date]])</f>
        <v>2025</v>
      </c>
      <c r="C8749" s="128">
        <f t="shared" si="406"/>
        <v>8</v>
      </c>
      <c r="D8749" s="136">
        <f t="shared" si="408"/>
        <v>35</v>
      </c>
      <c r="E8749" s="136">
        <f t="shared" si="407"/>
        <v>30</v>
      </c>
      <c r="F8749" s="128" t="s">
        <v>24</v>
      </c>
      <c r="G8749" s="128" t="str">
        <f>VLOOKUP(source[[#This Row],[lending_product_transform]],[3]Mapping!$B$4:$C$37,2,0)</f>
        <v>[Cake] - Cashloan</v>
      </c>
      <c r="H8749" s="128" t="str">
        <f>VLOOKUP(source[[#This Row],[lending_product_transform]],[3]Mapping!$B$3:$D$37,3,0)</f>
        <v>cashloan</v>
      </c>
      <c r="I8749" s="173">
        <v>202520023</v>
      </c>
    </row>
    <row r="8750" spans="1:9" x14ac:dyDescent="0.2">
      <c r="A8750" s="134">
        <v>45899</v>
      </c>
      <c r="B8750" s="135">
        <f>YEAR(source[[#This Row],[report_date]])</f>
        <v>2025</v>
      </c>
      <c r="C8750" s="128">
        <f t="shared" si="406"/>
        <v>8</v>
      </c>
      <c r="D8750" s="136">
        <f t="shared" si="408"/>
        <v>35</v>
      </c>
      <c r="E8750" s="136">
        <f t="shared" si="407"/>
        <v>30</v>
      </c>
      <c r="F8750" s="128" t="s">
        <v>24</v>
      </c>
      <c r="G8750" s="128" t="str">
        <f>VLOOKUP(source[[#This Row],[lending_product_transform]],[3]Mapping!$B$4:$C$37,2,0)</f>
        <v>[Cake] - Cashloan</v>
      </c>
      <c r="H8750" s="128" t="str">
        <f>VLOOKUP(source[[#This Row],[lending_product_transform]],[3]Mapping!$B$3:$D$37,3,0)</f>
        <v>cashloan</v>
      </c>
      <c r="I8750" s="173">
        <v>11802930000</v>
      </c>
    </row>
    <row r="8751" spans="1:9" x14ac:dyDescent="0.2">
      <c r="A8751" s="134">
        <v>45899</v>
      </c>
      <c r="B8751" s="135">
        <f>YEAR(source[[#This Row],[report_date]])</f>
        <v>2025</v>
      </c>
      <c r="C8751" s="128">
        <f t="shared" si="406"/>
        <v>8</v>
      </c>
      <c r="D8751" s="136">
        <f t="shared" si="408"/>
        <v>35</v>
      </c>
      <c r="E8751" s="136">
        <f t="shared" si="407"/>
        <v>30</v>
      </c>
      <c r="F8751" s="128" t="s">
        <v>24</v>
      </c>
      <c r="G8751" s="128" t="str">
        <f>VLOOKUP(source[[#This Row],[lending_product_transform]],[3]Mapping!$B$4:$C$37,2,0)</f>
        <v>[Cake] - Cashloan</v>
      </c>
      <c r="H8751" s="128" t="str">
        <f>VLOOKUP(source[[#This Row],[lending_product_transform]],[3]Mapping!$B$3:$D$37,3,0)</f>
        <v>cashloan</v>
      </c>
      <c r="I8751" s="173">
        <v>10810820000</v>
      </c>
    </row>
    <row r="8752" spans="1:9" x14ac:dyDescent="0.2">
      <c r="A8752" s="134">
        <v>45899</v>
      </c>
      <c r="B8752" s="135">
        <f>YEAR(source[[#This Row],[report_date]])</f>
        <v>2025</v>
      </c>
      <c r="C8752" s="128">
        <f t="shared" si="406"/>
        <v>8</v>
      </c>
      <c r="D8752" s="136">
        <f t="shared" si="408"/>
        <v>35</v>
      </c>
      <c r="E8752" s="136">
        <f t="shared" si="407"/>
        <v>30</v>
      </c>
      <c r="F8752" s="128" t="s">
        <v>24</v>
      </c>
      <c r="G8752" s="128" t="str">
        <f>VLOOKUP(source[[#This Row],[lending_product_transform]],[3]Mapping!$B$4:$C$37,2,0)</f>
        <v>[Cake] - Cashloan</v>
      </c>
      <c r="H8752" s="128" t="str">
        <f>VLOOKUP(source[[#This Row],[lending_product_transform]],[3]Mapping!$B$3:$D$37,3,0)</f>
        <v>cashloan</v>
      </c>
      <c r="I8752" s="173">
        <v>6189912000</v>
      </c>
    </row>
    <row r="8753" spans="1:9" x14ac:dyDescent="0.2">
      <c r="A8753" s="134">
        <v>45899</v>
      </c>
      <c r="B8753" s="135">
        <f>YEAR(source[[#This Row],[report_date]])</f>
        <v>2025</v>
      </c>
      <c r="C8753" s="128">
        <f t="shared" si="406"/>
        <v>8</v>
      </c>
      <c r="D8753" s="136">
        <f t="shared" si="408"/>
        <v>35</v>
      </c>
      <c r="E8753" s="136">
        <f t="shared" si="407"/>
        <v>30</v>
      </c>
      <c r="F8753" s="128" t="s">
        <v>24</v>
      </c>
      <c r="G8753" s="128" t="str">
        <f>VLOOKUP(source[[#This Row],[lending_product_transform]],[3]Mapping!$B$4:$C$37,2,0)</f>
        <v>[Cake] - Cashloan</v>
      </c>
      <c r="H8753" s="128" t="str">
        <f>VLOOKUP(source[[#This Row],[lending_product_transform]],[3]Mapping!$B$3:$D$37,3,0)</f>
        <v>cashloan</v>
      </c>
      <c r="I8753" s="173">
        <v>0</v>
      </c>
    </row>
    <row r="8754" spans="1:9" x14ac:dyDescent="0.2">
      <c r="A8754" s="134">
        <v>45899</v>
      </c>
      <c r="B8754" s="135">
        <f>YEAR(source[[#This Row],[report_date]])</f>
        <v>2025</v>
      </c>
      <c r="C8754" s="128">
        <f t="shared" si="406"/>
        <v>8</v>
      </c>
      <c r="D8754" s="136">
        <f t="shared" si="408"/>
        <v>35</v>
      </c>
      <c r="E8754" s="136">
        <f t="shared" si="407"/>
        <v>30</v>
      </c>
      <c r="F8754" s="128" t="s">
        <v>24</v>
      </c>
      <c r="G8754" s="128" t="str">
        <f>VLOOKUP(source[[#This Row],[lending_product_transform]],[3]Mapping!$B$4:$C$37,2,0)</f>
        <v>[Cake] - Cashloan</v>
      </c>
      <c r="H8754" s="128" t="str">
        <f>VLOOKUP(source[[#This Row],[lending_product_transform]],[3]Mapping!$B$3:$D$37,3,0)</f>
        <v>cashloan</v>
      </c>
      <c r="I8754" s="173">
        <v>21350134</v>
      </c>
    </row>
    <row r="8755" spans="1:9" x14ac:dyDescent="0.2">
      <c r="A8755" s="134">
        <v>45899</v>
      </c>
      <c r="B8755" s="135">
        <f>YEAR(source[[#This Row],[report_date]])</f>
        <v>2025</v>
      </c>
      <c r="C8755" s="128">
        <f t="shared" si="406"/>
        <v>8</v>
      </c>
      <c r="D8755" s="136">
        <f t="shared" si="408"/>
        <v>35</v>
      </c>
      <c r="E8755" s="136">
        <f t="shared" si="407"/>
        <v>30</v>
      </c>
      <c r="F8755" s="128" t="s">
        <v>24</v>
      </c>
      <c r="G8755" s="128" t="str">
        <f>VLOOKUP(source[[#This Row],[lending_product_transform]],[3]Mapping!$B$4:$C$37,2,0)</f>
        <v>[Cake] - Cashloan</v>
      </c>
      <c r="H8755" s="128" t="str">
        <f>VLOOKUP(source[[#This Row],[lending_product_transform]],[3]Mapping!$B$3:$D$37,3,0)</f>
        <v>cashloan</v>
      </c>
      <c r="I8755" s="173">
        <v>42000000</v>
      </c>
    </row>
    <row r="8756" spans="1:9" x14ac:dyDescent="0.2">
      <c r="A8756" s="134">
        <v>45900</v>
      </c>
      <c r="B8756" s="135">
        <f>YEAR(source[[#This Row],[report_date]])</f>
        <v>2025</v>
      </c>
      <c r="C8756" s="128">
        <f t="shared" si="406"/>
        <v>8</v>
      </c>
      <c r="D8756" s="136">
        <f t="shared" si="408"/>
        <v>35</v>
      </c>
      <c r="E8756" s="136">
        <f t="shared" si="407"/>
        <v>31</v>
      </c>
      <c r="F8756" s="128" t="s">
        <v>24</v>
      </c>
      <c r="G8756" s="128" t="str">
        <f>VLOOKUP(source[[#This Row],[lending_product_transform]],[3]Mapping!$B$4:$C$37,2,0)</f>
        <v>[Cake] - Cashloan</v>
      </c>
      <c r="H8756" s="128" t="str">
        <f>VLOOKUP(source[[#This Row],[lending_product_transform]],[3]Mapping!$B$3:$D$37,3,0)</f>
        <v>cashloan</v>
      </c>
      <c r="I8756" s="173">
        <v>4320972000</v>
      </c>
    </row>
    <row r="8757" spans="1:9" x14ac:dyDescent="0.2">
      <c r="A8757" s="134">
        <v>45900</v>
      </c>
      <c r="B8757" s="135">
        <f>YEAR(source[[#This Row],[report_date]])</f>
        <v>2025</v>
      </c>
      <c r="C8757" s="128">
        <f t="shared" si="406"/>
        <v>8</v>
      </c>
      <c r="D8757" s="136">
        <f t="shared" si="408"/>
        <v>35</v>
      </c>
      <c r="E8757" s="136">
        <f t="shared" si="407"/>
        <v>31</v>
      </c>
      <c r="F8757" s="128" t="s">
        <v>24</v>
      </c>
      <c r="G8757" s="128" t="str">
        <f>VLOOKUP(source[[#This Row],[lending_product_transform]],[3]Mapping!$B$4:$C$37,2,0)</f>
        <v>[Cake] - Cashloan</v>
      </c>
      <c r="H8757" s="128" t="str">
        <f>VLOOKUP(source[[#This Row],[lending_product_transform]],[3]Mapping!$B$3:$D$37,3,0)</f>
        <v>cashloan</v>
      </c>
      <c r="I8757" s="173">
        <v>5764824000</v>
      </c>
    </row>
    <row r="8758" spans="1:9" x14ac:dyDescent="0.2">
      <c r="A8758" s="134">
        <v>45900</v>
      </c>
      <c r="B8758" s="135">
        <f>YEAR(source[[#This Row],[report_date]])</f>
        <v>2025</v>
      </c>
      <c r="C8758" s="128">
        <f t="shared" ref="C8758:C8821" si="409">MONTH(A8758)</f>
        <v>8</v>
      </c>
      <c r="D8758" s="136">
        <f t="shared" si="408"/>
        <v>35</v>
      </c>
      <c r="E8758" s="136">
        <f t="shared" ref="E8758:E8821" si="410">DAY(A8758)</f>
        <v>31</v>
      </c>
      <c r="F8758" s="128" t="s">
        <v>24</v>
      </c>
      <c r="G8758" s="128" t="str">
        <f>VLOOKUP(source[[#This Row],[lending_product_transform]],[3]Mapping!$B$4:$C$37,2,0)</f>
        <v>[Cake] - Cashloan</v>
      </c>
      <c r="H8758" s="128" t="str">
        <f>VLOOKUP(source[[#This Row],[lending_product_transform]],[3]Mapping!$B$3:$D$37,3,0)</f>
        <v>cashloan</v>
      </c>
      <c r="I8758" s="173">
        <v>9955890000</v>
      </c>
    </row>
    <row r="8759" spans="1:9" x14ac:dyDescent="0.2">
      <c r="A8759" s="134">
        <v>45900</v>
      </c>
      <c r="B8759" s="135">
        <f>YEAR(source[[#This Row],[report_date]])</f>
        <v>2025</v>
      </c>
      <c r="C8759" s="128">
        <f t="shared" si="409"/>
        <v>8</v>
      </c>
      <c r="D8759" s="136">
        <f t="shared" si="408"/>
        <v>35</v>
      </c>
      <c r="E8759" s="136">
        <f t="shared" si="410"/>
        <v>31</v>
      </c>
      <c r="F8759" s="128" t="s">
        <v>24</v>
      </c>
      <c r="G8759" s="128" t="str">
        <f>VLOOKUP(source[[#This Row],[lending_product_transform]],[3]Mapping!$B$4:$C$37,2,0)</f>
        <v>[Cake] - Cashloan</v>
      </c>
      <c r="H8759" s="128" t="str">
        <f>VLOOKUP(source[[#This Row],[lending_product_transform]],[3]Mapping!$B$3:$D$37,3,0)</f>
        <v>cashloan</v>
      </c>
      <c r="I8759" s="173">
        <v>58275000</v>
      </c>
    </row>
    <row r="8760" spans="1:9" x14ac:dyDescent="0.2">
      <c r="A8760" s="134">
        <v>45900</v>
      </c>
      <c r="B8760" s="135">
        <f>YEAR(source[[#This Row],[report_date]])</f>
        <v>2025</v>
      </c>
      <c r="C8760" s="128">
        <f t="shared" si="409"/>
        <v>8</v>
      </c>
      <c r="D8760" s="136">
        <f t="shared" si="408"/>
        <v>35</v>
      </c>
      <c r="E8760" s="136">
        <f t="shared" si="410"/>
        <v>31</v>
      </c>
      <c r="F8760" s="128" t="s">
        <v>24</v>
      </c>
      <c r="G8760" s="128" t="str">
        <f>VLOOKUP(source[[#This Row],[lending_product_transform]],[3]Mapping!$B$4:$C$37,2,0)</f>
        <v>[Cake] - Cashloan</v>
      </c>
      <c r="H8760" s="128" t="str">
        <f>VLOOKUP(source[[#This Row],[lending_product_transform]],[3]Mapping!$B$3:$D$37,3,0)</f>
        <v>cashloan</v>
      </c>
      <c r="I8760" s="173">
        <v>9310180000</v>
      </c>
    </row>
    <row r="8761" spans="1:9" x14ac:dyDescent="0.2">
      <c r="A8761" s="134">
        <v>45900</v>
      </c>
      <c r="B8761" s="135">
        <f>YEAR(source[[#This Row],[report_date]])</f>
        <v>2025</v>
      </c>
      <c r="C8761" s="128">
        <f t="shared" si="409"/>
        <v>8</v>
      </c>
      <c r="D8761" s="136">
        <f t="shared" si="408"/>
        <v>35</v>
      </c>
      <c r="E8761" s="136">
        <f t="shared" si="410"/>
        <v>31</v>
      </c>
      <c r="F8761" s="128" t="s">
        <v>24</v>
      </c>
      <c r="G8761" s="128" t="str">
        <f>VLOOKUP(source[[#This Row],[lending_product_transform]],[3]Mapping!$B$4:$C$37,2,0)</f>
        <v>[Cake] - Cashloan</v>
      </c>
      <c r="H8761" s="128" t="str">
        <f>VLOOKUP(source[[#This Row],[lending_product_transform]],[3]Mapping!$B$3:$D$37,3,0)</f>
        <v>cashloan</v>
      </c>
      <c r="I8761" s="173">
        <v>1568370000</v>
      </c>
    </row>
    <row r="8762" spans="1:9" x14ac:dyDescent="0.2">
      <c r="A8762" s="134">
        <v>45900</v>
      </c>
      <c r="B8762" s="135">
        <f>YEAR(source[[#This Row],[report_date]])</f>
        <v>2025</v>
      </c>
      <c r="C8762" s="128">
        <f t="shared" si="409"/>
        <v>8</v>
      </c>
      <c r="D8762" s="136">
        <f t="shared" si="408"/>
        <v>35</v>
      </c>
      <c r="E8762" s="136">
        <f t="shared" si="410"/>
        <v>31</v>
      </c>
      <c r="F8762" s="128" t="s">
        <v>24</v>
      </c>
      <c r="G8762" s="128" t="str">
        <f>VLOOKUP(source[[#This Row],[lending_product_transform]],[3]Mapping!$B$4:$C$37,2,0)</f>
        <v>[Cake] - Cashloan</v>
      </c>
      <c r="H8762" s="128" t="str">
        <f>VLOOKUP(source[[#This Row],[lending_product_transform]],[3]Mapping!$B$3:$D$37,3,0)</f>
        <v>cashloan</v>
      </c>
      <c r="I8762" s="173">
        <v>367338000</v>
      </c>
    </row>
    <row r="8763" spans="1:9" x14ac:dyDescent="0.2">
      <c r="A8763" s="134">
        <v>45900</v>
      </c>
      <c r="B8763" s="135">
        <f>YEAR(source[[#This Row],[report_date]])</f>
        <v>2025</v>
      </c>
      <c r="C8763" s="128">
        <f t="shared" si="409"/>
        <v>8</v>
      </c>
      <c r="D8763" s="136">
        <f t="shared" si="408"/>
        <v>35</v>
      </c>
      <c r="E8763" s="136">
        <f t="shared" si="410"/>
        <v>31</v>
      </c>
      <c r="F8763" s="128" t="s">
        <v>24</v>
      </c>
      <c r="G8763" s="128" t="str">
        <f>VLOOKUP(source[[#This Row],[lending_product_transform]],[3]Mapping!$B$4:$C$37,2,0)</f>
        <v>[Cake] - Cashloan</v>
      </c>
      <c r="H8763" s="128" t="str">
        <f>VLOOKUP(source[[#This Row],[lending_product_transform]],[3]Mapping!$B$3:$D$37,3,0)</f>
        <v>cashloan</v>
      </c>
      <c r="I8763" s="173">
        <v>153758097</v>
      </c>
    </row>
    <row r="8764" spans="1:9" x14ac:dyDescent="0.2">
      <c r="A8764" s="134">
        <v>45900</v>
      </c>
      <c r="B8764" s="135">
        <f>YEAR(source[[#This Row],[report_date]])</f>
        <v>2025</v>
      </c>
      <c r="C8764" s="128">
        <f t="shared" si="409"/>
        <v>8</v>
      </c>
      <c r="D8764" s="136">
        <f t="shared" si="408"/>
        <v>35</v>
      </c>
      <c r="E8764" s="136">
        <f t="shared" si="410"/>
        <v>31</v>
      </c>
      <c r="F8764" s="128" t="s">
        <v>24</v>
      </c>
      <c r="G8764" s="128" t="str">
        <f>VLOOKUP(source[[#This Row],[lending_product_transform]],[3]Mapping!$B$4:$C$37,2,0)</f>
        <v>[Cake] - Cashloan</v>
      </c>
      <c r="H8764" s="128" t="str">
        <f>VLOOKUP(source[[#This Row],[lending_product_transform]],[3]Mapping!$B$3:$D$37,3,0)</f>
        <v>cashloan</v>
      </c>
      <c r="I8764" s="173">
        <v>1630820000</v>
      </c>
    </row>
    <row r="8765" spans="1:9" x14ac:dyDescent="0.2">
      <c r="A8765" s="134">
        <v>45900</v>
      </c>
      <c r="B8765" s="135">
        <f>YEAR(source[[#This Row],[report_date]])</f>
        <v>2025</v>
      </c>
      <c r="C8765" s="128">
        <f t="shared" si="409"/>
        <v>8</v>
      </c>
      <c r="D8765" s="136">
        <f t="shared" si="408"/>
        <v>35</v>
      </c>
      <c r="E8765" s="136">
        <f t="shared" si="410"/>
        <v>31</v>
      </c>
      <c r="F8765" s="128" t="s">
        <v>24</v>
      </c>
      <c r="G8765" s="128" t="str">
        <f>VLOOKUP(source[[#This Row],[lending_product_transform]],[3]Mapping!$B$4:$C$37,2,0)</f>
        <v>[Cake] - Cashloan</v>
      </c>
      <c r="H8765" s="128" t="str">
        <f>VLOOKUP(source[[#This Row],[lending_product_transform]],[3]Mapping!$B$3:$D$37,3,0)</f>
        <v>cashloan</v>
      </c>
      <c r="I8765" s="173">
        <v>358554311</v>
      </c>
    </row>
    <row r="8766" spans="1:9" x14ac:dyDescent="0.2">
      <c r="A8766" s="134">
        <v>45900</v>
      </c>
      <c r="B8766" s="135">
        <f>YEAR(source[[#This Row],[report_date]])</f>
        <v>2025</v>
      </c>
      <c r="C8766" s="128">
        <f t="shared" si="409"/>
        <v>8</v>
      </c>
      <c r="D8766" s="136">
        <f t="shared" si="408"/>
        <v>35</v>
      </c>
      <c r="E8766" s="136">
        <f t="shared" si="410"/>
        <v>31</v>
      </c>
      <c r="F8766" s="128" t="s">
        <v>24</v>
      </c>
      <c r="G8766" s="128" t="str">
        <f>VLOOKUP(source[[#This Row],[lending_product_transform]],[3]Mapping!$B$4:$C$37,2,0)</f>
        <v>[Cake] - Cashloan</v>
      </c>
      <c r="H8766" s="128" t="str">
        <f>VLOOKUP(source[[#This Row],[lending_product_transform]],[3]Mapping!$B$3:$D$37,3,0)</f>
        <v>cashloan</v>
      </c>
      <c r="I8766" s="173">
        <v>238610000</v>
      </c>
    </row>
    <row r="8767" spans="1:9" x14ac:dyDescent="0.2">
      <c r="A8767" s="134">
        <v>45900</v>
      </c>
      <c r="B8767" s="135">
        <f>YEAR(source[[#This Row],[report_date]])</f>
        <v>2025</v>
      </c>
      <c r="C8767" s="128">
        <f t="shared" si="409"/>
        <v>8</v>
      </c>
      <c r="D8767" s="136">
        <f t="shared" si="408"/>
        <v>35</v>
      </c>
      <c r="E8767" s="136">
        <f t="shared" si="410"/>
        <v>31</v>
      </c>
      <c r="F8767" s="128" t="s">
        <v>24</v>
      </c>
      <c r="G8767" s="128" t="str">
        <f>VLOOKUP(source[[#This Row],[lending_product_transform]],[3]Mapping!$B$4:$C$37,2,0)</f>
        <v>[Cake] - Cashloan</v>
      </c>
      <c r="H8767" s="128" t="str">
        <f>VLOOKUP(source[[#This Row],[lending_product_transform]],[3]Mapping!$B$3:$D$37,3,0)</f>
        <v>cashloan</v>
      </c>
      <c r="I8767" s="173">
        <v>0</v>
      </c>
    </row>
    <row r="8768" spans="1:9" x14ac:dyDescent="0.2">
      <c r="A8768" s="134">
        <v>45900</v>
      </c>
      <c r="B8768" s="135">
        <f>YEAR(source[[#This Row],[report_date]])</f>
        <v>2025</v>
      </c>
      <c r="C8768" s="128">
        <f t="shared" si="409"/>
        <v>8</v>
      </c>
      <c r="D8768" s="136">
        <f t="shared" si="408"/>
        <v>35</v>
      </c>
      <c r="E8768" s="136">
        <f t="shared" si="410"/>
        <v>31</v>
      </c>
      <c r="F8768" s="128" t="s">
        <v>24</v>
      </c>
      <c r="G8768" s="128" t="str">
        <f>VLOOKUP(source[[#This Row],[lending_product_transform]],[3]Mapping!$B$4:$C$37,2,0)</f>
        <v>[Cake] - Cashloan</v>
      </c>
      <c r="H8768" s="128" t="str">
        <f>VLOOKUP(source[[#This Row],[lending_product_transform]],[3]Mapping!$B$3:$D$37,3,0)</f>
        <v>cashloan</v>
      </c>
      <c r="I8768" s="173">
        <v>70000000</v>
      </c>
    </row>
    <row r="8769" spans="1:9" x14ac:dyDescent="0.2">
      <c r="A8769" s="134">
        <v>45900</v>
      </c>
      <c r="B8769" s="135">
        <f>YEAR(source[[#This Row],[report_date]])</f>
        <v>2025</v>
      </c>
      <c r="C8769" s="128">
        <f t="shared" si="409"/>
        <v>8</v>
      </c>
      <c r="D8769" s="136">
        <f t="shared" si="408"/>
        <v>35</v>
      </c>
      <c r="E8769" s="136">
        <f t="shared" si="410"/>
        <v>31</v>
      </c>
      <c r="F8769" s="128" t="s">
        <v>24</v>
      </c>
      <c r="G8769" s="128" t="str">
        <f>VLOOKUP(source[[#This Row],[lending_product_transform]],[3]Mapping!$B$4:$C$37,2,0)</f>
        <v>[Cake] - Cashloan</v>
      </c>
      <c r="H8769" s="128" t="str">
        <f>VLOOKUP(source[[#This Row],[lending_product_transform]],[3]Mapping!$B$3:$D$37,3,0)</f>
        <v>cashloan</v>
      </c>
      <c r="I8769" s="173">
        <v>2806615346</v>
      </c>
    </row>
    <row r="8770" spans="1:9" x14ac:dyDescent="0.2">
      <c r="A8770" s="134">
        <v>45900</v>
      </c>
      <c r="B8770" s="135">
        <f>YEAR(source[[#This Row],[report_date]])</f>
        <v>2025</v>
      </c>
      <c r="C8770" s="128">
        <f t="shared" si="409"/>
        <v>8</v>
      </c>
      <c r="D8770" s="136">
        <f t="shared" si="408"/>
        <v>35</v>
      </c>
      <c r="E8770" s="136">
        <f t="shared" si="410"/>
        <v>31</v>
      </c>
      <c r="F8770" s="128" t="s">
        <v>24</v>
      </c>
      <c r="G8770" s="128" t="str">
        <f>VLOOKUP(source[[#This Row],[lending_product_transform]],[3]Mapping!$B$4:$C$37,2,0)</f>
        <v>[Cake] - Cashloan</v>
      </c>
      <c r="H8770" s="128" t="str">
        <f>VLOOKUP(source[[#This Row],[lending_product_transform]],[3]Mapping!$B$3:$D$37,3,0)</f>
        <v>cashloan</v>
      </c>
      <c r="I8770" s="173">
        <v>13918240</v>
      </c>
    </row>
    <row r="8771" spans="1:9" x14ac:dyDescent="0.2">
      <c r="A8771" s="134">
        <v>45900</v>
      </c>
      <c r="B8771" s="135">
        <f>YEAR(source[[#This Row],[report_date]])</f>
        <v>2025</v>
      </c>
      <c r="C8771" s="128">
        <f t="shared" si="409"/>
        <v>8</v>
      </c>
      <c r="D8771" s="136">
        <f t="shared" ref="D8771:D8834" si="411">WEEKNUM(A8771,2)</f>
        <v>35</v>
      </c>
      <c r="E8771" s="136">
        <f t="shared" si="410"/>
        <v>31</v>
      </c>
      <c r="F8771" s="128" t="s">
        <v>24</v>
      </c>
      <c r="G8771" s="128" t="str">
        <f>VLOOKUP(source[[#This Row],[lending_product_transform]],[3]Mapping!$B$4:$C$37,2,0)</f>
        <v>[Cake] - Cashloan</v>
      </c>
      <c r="H8771" s="128" t="str">
        <f>VLOOKUP(source[[#This Row],[lending_product_transform]],[3]Mapping!$B$3:$D$37,3,0)</f>
        <v>cashloan</v>
      </c>
      <c r="I8771" s="173">
        <v>10500000</v>
      </c>
    </row>
    <row r="8772" spans="1:9" x14ac:dyDescent="0.2">
      <c r="A8772" s="134">
        <v>45900</v>
      </c>
      <c r="B8772" s="135">
        <f>YEAR(source[[#This Row],[report_date]])</f>
        <v>2025</v>
      </c>
      <c r="C8772" s="128">
        <f t="shared" si="409"/>
        <v>8</v>
      </c>
      <c r="D8772" s="136">
        <f t="shared" si="411"/>
        <v>35</v>
      </c>
      <c r="E8772" s="136">
        <f t="shared" si="410"/>
        <v>31</v>
      </c>
      <c r="F8772" s="128" t="s">
        <v>24</v>
      </c>
      <c r="G8772" s="128" t="str">
        <f>VLOOKUP(source[[#This Row],[lending_product_transform]],[3]Mapping!$B$4:$C$37,2,0)</f>
        <v>[Cake] - Cashloan</v>
      </c>
      <c r="H8772" s="128" t="str">
        <f>VLOOKUP(source[[#This Row],[lending_product_transform]],[3]Mapping!$B$3:$D$37,3,0)</f>
        <v>cashloan</v>
      </c>
      <c r="I8772" s="173">
        <v>31500000</v>
      </c>
    </row>
    <row r="8773" spans="1:9" x14ac:dyDescent="0.2">
      <c r="A8773" s="134">
        <v>45900</v>
      </c>
      <c r="B8773" s="135">
        <f>YEAR(source[[#This Row],[report_date]])</f>
        <v>2025</v>
      </c>
      <c r="C8773" s="128">
        <f t="shared" si="409"/>
        <v>8</v>
      </c>
      <c r="D8773" s="136">
        <f t="shared" si="411"/>
        <v>35</v>
      </c>
      <c r="E8773" s="136">
        <f t="shared" si="410"/>
        <v>31</v>
      </c>
      <c r="F8773" s="128" t="s">
        <v>24</v>
      </c>
      <c r="G8773" s="128" t="str">
        <f>VLOOKUP(source[[#This Row],[lending_product_transform]],[3]Mapping!$B$4:$C$37,2,0)</f>
        <v>[Cake] - Cashloan</v>
      </c>
      <c r="H8773" s="128" t="str">
        <f>VLOOKUP(source[[#This Row],[lending_product_transform]],[3]Mapping!$B$3:$D$37,3,0)</f>
        <v>cashloan</v>
      </c>
      <c r="I8773" s="173">
        <v>0</v>
      </c>
    </row>
    <row r="8774" spans="1:9" x14ac:dyDescent="0.2">
      <c r="A8774" s="134">
        <v>45900</v>
      </c>
      <c r="B8774" s="135">
        <f>YEAR(source[[#This Row],[report_date]])</f>
        <v>2025</v>
      </c>
      <c r="C8774" s="128">
        <f t="shared" si="409"/>
        <v>8</v>
      </c>
      <c r="D8774" s="136">
        <f t="shared" si="411"/>
        <v>35</v>
      </c>
      <c r="E8774" s="136">
        <f t="shared" si="410"/>
        <v>31</v>
      </c>
      <c r="F8774" s="128" t="s">
        <v>24</v>
      </c>
      <c r="G8774" s="128" t="str">
        <f>VLOOKUP(source[[#This Row],[lending_product_transform]],[3]Mapping!$B$4:$C$37,2,0)</f>
        <v>[Cake] - Cashloan</v>
      </c>
      <c r="H8774" s="128" t="str">
        <f>VLOOKUP(source[[#This Row],[lending_product_transform]],[3]Mapping!$B$3:$D$37,3,0)</f>
        <v>cashloan</v>
      </c>
      <c r="I8774" s="173">
        <v>257267158</v>
      </c>
    </row>
    <row r="8775" spans="1:9" x14ac:dyDescent="0.2">
      <c r="A8775" s="172">
        <v>45901</v>
      </c>
      <c r="B8775" s="135">
        <f>YEAR(source[[#This Row],[report_date]])</f>
        <v>2025</v>
      </c>
      <c r="C8775" s="128">
        <f t="shared" si="409"/>
        <v>9</v>
      </c>
      <c r="D8775" s="136">
        <f t="shared" si="411"/>
        <v>36</v>
      </c>
      <c r="E8775" s="136">
        <f t="shared" si="410"/>
        <v>1</v>
      </c>
      <c r="F8775" s="137" t="s">
        <v>24</v>
      </c>
      <c r="G8775" s="128" t="str">
        <f>VLOOKUP(source[[#This Row],[lending_product_transform]],[3]Mapping!$B$4:$C$37,2,0)</f>
        <v>[Cake] - Cashloan</v>
      </c>
      <c r="H8775" s="128" t="str">
        <f>VLOOKUP(source[[#This Row],[lending_product_transform]],[3]Mapping!$B$3:$D$37,3,0)</f>
        <v>cashloan</v>
      </c>
      <c r="I8775" s="143">
        <v>0</v>
      </c>
    </row>
    <row r="8776" spans="1:9" x14ac:dyDescent="0.2">
      <c r="A8776" s="172">
        <v>45901</v>
      </c>
      <c r="B8776" s="135">
        <f>YEAR(source[[#This Row],[report_date]])</f>
        <v>2025</v>
      </c>
      <c r="C8776" s="128">
        <f t="shared" si="409"/>
        <v>9</v>
      </c>
      <c r="D8776" s="136">
        <f t="shared" si="411"/>
        <v>36</v>
      </c>
      <c r="E8776" s="136">
        <f t="shared" si="410"/>
        <v>1</v>
      </c>
      <c r="F8776" s="137" t="s">
        <v>24</v>
      </c>
      <c r="G8776" s="128" t="str">
        <f>VLOOKUP(source[[#This Row],[lending_product_transform]],[3]Mapping!$B$4:$C$37,2,0)</f>
        <v>[Cake] - Cashloan</v>
      </c>
      <c r="H8776" s="128" t="str">
        <f>VLOOKUP(source[[#This Row],[lending_product_transform]],[3]Mapping!$B$3:$D$37,3,0)</f>
        <v>cashloan</v>
      </c>
      <c r="I8776" s="143">
        <v>264745797</v>
      </c>
    </row>
    <row r="8777" spans="1:9" x14ac:dyDescent="0.2">
      <c r="A8777" s="172">
        <v>45901</v>
      </c>
      <c r="B8777" s="135">
        <f>YEAR(source[[#This Row],[report_date]])</f>
        <v>2025</v>
      </c>
      <c r="C8777" s="128">
        <f t="shared" si="409"/>
        <v>9</v>
      </c>
      <c r="D8777" s="136">
        <f t="shared" si="411"/>
        <v>36</v>
      </c>
      <c r="E8777" s="136">
        <f t="shared" si="410"/>
        <v>1</v>
      </c>
      <c r="F8777" s="137" t="s">
        <v>24</v>
      </c>
      <c r="G8777" s="128" t="str">
        <f>VLOOKUP(source[[#This Row],[lending_product_transform]],[3]Mapping!$B$4:$C$37,2,0)</f>
        <v>[Cake] - Cashloan</v>
      </c>
      <c r="H8777" s="128" t="str">
        <f>VLOOKUP(source[[#This Row],[lending_product_transform]],[3]Mapping!$B$3:$D$37,3,0)</f>
        <v>cashloan</v>
      </c>
      <c r="I8777" s="143">
        <v>8975040000</v>
      </c>
    </row>
    <row r="8778" spans="1:9" x14ac:dyDescent="0.2">
      <c r="A8778" s="172">
        <v>45901</v>
      </c>
      <c r="B8778" s="135">
        <f>YEAR(source[[#This Row],[report_date]])</f>
        <v>2025</v>
      </c>
      <c r="C8778" s="128">
        <f t="shared" si="409"/>
        <v>9</v>
      </c>
      <c r="D8778" s="136">
        <f t="shared" si="411"/>
        <v>36</v>
      </c>
      <c r="E8778" s="136">
        <f t="shared" si="410"/>
        <v>1</v>
      </c>
      <c r="F8778" s="137" t="s">
        <v>24</v>
      </c>
      <c r="G8778" s="128" t="str">
        <f>VLOOKUP(source[[#This Row],[lending_product_transform]],[3]Mapping!$B$4:$C$37,2,0)</f>
        <v>[Cake] - Cashloan</v>
      </c>
      <c r="H8778" s="128" t="str">
        <f>VLOOKUP(source[[#This Row],[lending_product_transform]],[3]Mapping!$B$3:$D$37,3,0)</f>
        <v>cashloan</v>
      </c>
      <c r="I8778" s="143">
        <v>4216937048</v>
      </c>
    </row>
    <row r="8779" spans="1:9" x14ac:dyDescent="0.2">
      <c r="A8779" s="172">
        <v>45901</v>
      </c>
      <c r="B8779" s="135">
        <f>YEAR(source[[#This Row],[report_date]])</f>
        <v>2025</v>
      </c>
      <c r="C8779" s="128">
        <f t="shared" si="409"/>
        <v>9</v>
      </c>
      <c r="D8779" s="136">
        <f t="shared" si="411"/>
        <v>36</v>
      </c>
      <c r="E8779" s="136">
        <f t="shared" si="410"/>
        <v>1</v>
      </c>
      <c r="F8779" s="137" t="s">
        <v>24</v>
      </c>
      <c r="G8779" s="128" t="str">
        <f>VLOOKUP(source[[#This Row],[lending_product_transform]],[3]Mapping!$B$4:$C$37,2,0)</f>
        <v>[Cake] - Cashloan</v>
      </c>
      <c r="H8779" s="128" t="str">
        <f>VLOOKUP(source[[#This Row],[lending_product_transform]],[3]Mapping!$B$3:$D$37,3,0)</f>
        <v>cashloan</v>
      </c>
      <c r="I8779" s="143">
        <v>4276908000</v>
      </c>
    </row>
    <row r="8780" spans="1:9" x14ac:dyDescent="0.2">
      <c r="A8780" s="172">
        <v>45901</v>
      </c>
      <c r="B8780" s="135">
        <f>YEAR(source[[#This Row],[report_date]])</f>
        <v>2025</v>
      </c>
      <c r="C8780" s="128">
        <f t="shared" si="409"/>
        <v>9</v>
      </c>
      <c r="D8780" s="136">
        <f t="shared" si="411"/>
        <v>36</v>
      </c>
      <c r="E8780" s="136">
        <f t="shared" si="410"/>
        <v>1</v>
      </c>
      <c r="F8780" s="137" t="s">
        <v>24</v>
      </c>
      <c r="G8780" s="128" t="str">
        <f>VLOOKUP(source[[#This Row],[lending_product_transform]],[3]Mapping!$B$4:$C$37,2,0)</f>
        <v>[Cake] - Cashloan</v>
      </c>
      <c r="H8780" s="128" t="str">
        <f>VLOOKUP(source[[#This Row],[lending_product_transform]],[3]Mapping!$B$3:$D$37,3,0)</f>
        <v>cashloan</v>
      </c>
      <c r="I8780" s="143">
        <v>40705729</v>
      </c>
    </row>
    <row r="8781" spans="1:9" x14ac:dyDescent="0.2">
      <c r="A8781" s="172">
        <v>45901</v>
      </c>
      <c r="B8781" s="135">
        <f>YEAR(source[[#This Row],[report_date]])</f>
        <v>2025</v>
      </c>
      <c r="C8781" s="128">
        <f t="shared" si="409"/>
        <v>9</v>
      </c>
      <c r="D8781" s="136">
        <f t="shared" si="411"/>
        <v>36</v>
      </c>
      <c r="E8781" s="136">
        <f t="shared" si="410"/>
        <v>1</v>
      </c>
      <c r="F8781" s="137" t="s">
        <v>24</v>
      </c>
      <c r="G8781" s="128" t="str">
        <f>VLOOKUP(source[[#This Row],[lending_product_transform]],[3]Mapping!$B$4:$C$37,2,0)</f>
        <v>[Cake] - Cashloan</v>
      </c>
      <c r="H8781" s="128" t="str">
        <f>VLOOKUP(source[[#This Row],[lending_product_transform]],[3]Mapping!$B$3:$D$37,3,0)</f>
        <v>cashloan</v>
      </c>
      <c r="I8781" s="143">
        <v>1700710000</v>
      </c>
    </row>
    <row r="8782" spans="1:9" x14ac:dyDescent="0.2">
      <c r="A8782" s="172">
        <v>45901</v>
      </c>
      <c r="B8782" s="135">
        <f>YEAR(source[[#This Row],[report_date]])</f>
        <v>2025</v>
      </c>
      <c r="C8782" s="128">
        <f t="shared" si="409"/>
        <v>9</v>
      </c>
      <c r="D8782" s="136">
        <f t="shared" si="411"/>
        <v>36</v>
      </c>
      <c r="E8782" s="136">
        <f t="shared" si="410"/>
        <v>1</v>
      </c>
      <c r="F8782" s="137" t="s">
        <v>24</v>
      </c>
      <c r="G8782" s="128" t="str">
        <f>VLOOKUP(source[[#This Row],[lending_product_transform]],[3]Mapping!$B$4:$C$37,2,0)</f>
        <v>[Cake] - Cashloan</v>
      </c>
      <c r="H8782" s="128" t="str">
        <f>VLOOKUP(source[[#This Row],[lending_product_transform]],[3]Mapping!$B$3:$D$37,3,0)</f>
        <v>cashloan</v>
      </c>
      <c r="I8782" s="143">
        <v>10633000</v>
      </c>
    </row>
    <row r="8783" spans="1:9" x14ac:dyDescent="0.2">
      <c r="A8783" s="172">
        <v>45901</v>
      </c>
      <c r="B8783" s="135">
        <f>YEAR(source[[#This Row],[report_date]])</f>
        <v>2025</v>
      </c>
      <c r="C8783" s="128">
        <f t="shared" si="409"/>
        <v>9</v>
      </c>
      <c r="D8783" s="136">
        <f t="shared" si="411"/>
        <v>36</v>
      </c>
      <c r="E8783" s="136">
        <f t="shared" si="410"/>
        <v>1</v>
      </c>
      <c r="F8783" s="137" t="s">
        <v>24</v>
      </c>
      <c r="G8783" s="128" t="str">
        <f>VLOOKUP(source[[#This Row],[lending_product_transform]],[3]Mapping!$B$4:$C$37,2,0)</f>
        <v>[Cake] - Cashloan</v>
      </c>
      <c r="H8783" s="128" t="str">
        <f>VLOOKUP(source[[#This Row],[lending_product_transform]],[3]Mapping!$B$3:$D$37,3,0)</f>
        <v>cashloan</v>
      </c>
      <c r="I8783" s="143">
        <v>295327149</v>
      </c>
    </row>
    <row r="8784" spans="1:9" x14ac:dyDescent="0.2">
      <c r="A8784" s="172">
        <v>45901</v>
      </c>
      <c r="B8784" s="135">
        <f>YEAR(source[[#This Row],[report_date]])</f>
        <v>2025</v>
      </c>
      <c r="C8784" s="128">
        <f t="shared" si="409"/>
        <v>9</v>
      </c>
      <c r="D8784" s="136">
        <f t="shared" si="411"/>
        <v>36</v>
      </c>
      <c r="E8784" s="136">
        <f t="shared" si="410"/>
        <v>1</v>
      </c>
      <c r="F8784" s="137" t="s">
        <v>24</v>
      </c>
      <c r="G8784" s="128" t="str">
        <f>VLOOKUP(source[[#This Row],[lending_product_transform]],[3]Mapping!$B$4:$C$37,2,0)</f>
        <v>[Cake] - Cashloan</v>
      </c>
      <c r="H8784" s="128" t="str">
        <f>VLOOKUP(source[[#This Row],[lending_product_transform]],[3]Mapping!$B$3:$D$37,3,0)</f>
        <v>cashloan</v>
      </c>
      <c r="I8784" s="143">
        <v>0</v>
      </c>
    </row>
    <row r="8785" spans="1:9" x14ac:dyDescent="0.2">
      <c r="A8785" s="172">
        <v>45901</v>
      </c>
      <c r="B8785" s="135">
        <f>YEAR(source[[#This Row],[report_date]])</f>
        <v>2025</v>
      </c>
      <c r="C8785" s="128">
        <f t="shared" si="409"/>
        <v>9</v>
      </c>
      <c r="D8785" s="136">
        <f t="shared" si="411"/>
        <v>36</v>
      </c>
      <c r="E8785" s="136">
        <f t="shared" si="410"/>
        <v>1</v>
      </c>
      <c r="F8785" s="137" t="s">
        <v>24</v>
      </c>
      <c r="G8785" s="128" t="str">
        <f>VLOOKUP(source[[#This Row],[lending_product_transform]],[3]Mapping!$B$4:$C$37,2,0)</f>
        <v>[Cake] - Cashloan</v>
      </c>
      <c r="H8785" s="128" t="str">
        <f>VLOOKUP(source[[#This Row],[lending_product_transform]],[3]Mapping!$B$3:$D$37,3,0)</f>
        <v>cashloan</v>
      </c>
      <c r="I8785" s="143">
        <v>0</v>
      </c>
    </row>
    <row r="8786" spans="1:9" x14ac:dyDescent="0.2">
      <c r="A8786" s="172">
        <v>45901</v>
      </c>
      <c r="B8786" s="135">
        <f>YEAR(source[[#This Row],[report_date]])</f>
        <v>2025</v>
      </c>
      <c r="C8786" s="128">
        <f t="shared" si="409"/>
        <v>9</v>
      </c>
      <c r="D8786" s="136">
        <f t="shared" si="411"/>
        <v>36</v>
      </c>
      <c r="E8786" s="136">
        <f t="shared" si="410"/>
        <v>1</v>
      </c>
      <c r="F8786" s="137" t="s">
        <v>24</v>
      </c>
      <c r="G8786" s="128" t="str">
        <f>VLOOKUP(source[[#This Row],[lending_product_transform]],[3]Mapping!$B$4:$C$37,2,0)</f>
        <v>[Cake] - Cashloan</v>
      </c>
      <c r="H8786" s="128" t="str">
        <f>VLOOKUP(source[[#This Row],[lending_product_transform]],[3]Mapping!$B$3:$D$37,3,0)</f>
        <v>cashloan</v>
      </c>
      <c r="I8786" s="143">
        <v>9636770000</v>
      </c>
    </row>
    <row r="8787" spans="1:9" x14ac:dyDescent="0.2">
      <c r="A8787" s="172">
        <v>45901</v>
      </c>
      <c r="B8787" s="135">
        <f>YEAR(source[[#This Row],[report_date]])</f>
        <v>2025</v>
      </c>
      <c r="C8787" s="128">
        <f t="shared" si="409"/>
        <v>9</v>
      </c>
      <c r="D8787" s="136">
        <f t="shared" si="411"/>
        <v>36</v>
      </c>
      <c r="E8787" s="136">
        <f t="shared" si="410"/>
        <v>1</v>
      </c>
      <c r="F8787" s="137" t="s">
        <v>24</v>
      </c>
      <c r="G8787" s="128" t="str">
        <f>VLOOKUP(source[[#This Row],[lending_product_transform]],[3]Mapping!$B$4:$C$37,2,0)</f>
        <v>[Cake] - Cashloan</v>
      </c>
      <c r="H8787" s="128" t="str">
        <f>VLOOKUP(source[[#This Row],[lending_product_transform]],[3]Mapping!$B$3:$D$37,3,0)</f>
        <v>cashloan</v>
      </c>
      <c r="I8787" s="143">
        <v>0</v>
      </c>
    </row>
    <row r="8788" spans="1:9" x14ac:dyDescent="0.2">
      <c r="A8788" s="172">
        <v>45901</v>
      </c>
      <c r="B8788" s="135">
        <f>YEAR(source[[#This Row],[report_date]])</f>
        <v>2025</v>
      </c>
      <c r="C8788" s="128">
        <f t="shared" si="409"/>
        <v>9</v>
      </c>
      <c r="D8788" s="136">
        <f t="shared" si="411"/>
        <v>36</v>
      </c>
      <c r="E8788" s="136">
        <f t="shared" si="410"/>
        <v>1</v>
      </c>
      <c r="F8788" s="137" t="s">
        <v>24</v>
      </c>
      <c r="G8788" s="128" t="str">
        <f>VLOOKUP(source[[#This Row],[lending_product_transform]],[3]Mapping!$B$4:$C$37,2,0)</f>
        <v>[Cake] - Cashloan</v>
      </c>
      <c r="H8788" s="128" t="str">
        <f>VLOOKUP(source[[#This Row],[lending_product_transform]],[3]Mapping!$B$3:$D$37,3,0)</f>
        <v>cashloan</v>
      </c>
      <c r="I8788" s="143">
        <v>0</v>
      </c>
    </row>
    <row r="8789" spans="1:9" x14ac:dyDescent="0.2">
      <c r="A8789" s="172">
        <v>45901</v>
      </c>
      <c r="B8789" s="135">
        <f>YEAR(source[[#This Row],[report_date]])</f>
        <v>2025</v>
      </c>
      <c r="C8789" s="128">
        <f t="shared" si="409"/>
        <v>9</v>
      </c>
      <c r="D8789" s="136">
        <f t="shared" si="411"/>
        <v>36</v>
      </c>
      <c r="E8789" s="136">
        <f t="shared" si="410"/>
        <v>1</v>
      </c>
      <c r="F8789" s="137" t="s">
        <v>24</v>
      </c>
      <c r="G8789" s="128" t="str">
        <f>VLOOKUP(source[[#This Row],[lending_product_transform]],[3]Mapping!$B$4:$C$37,2,0)</f>
        <v>[Cake] - Cashloan</v>
      </c>
      <c r="H8789" s="128" t="str">
        <f>VLOOKUP(source[[#This Row],[lending_product_transform]],[3]Mapping!$B$3:$D$37,3,0)</f>
        <v>cashloan</v>
      </c>
      <c r="I8789" s="143">
        <v>0</v>
      </c>
    </row>
    <row r="8790" spans="1:9" x14ac:dyDescent="0.2">
      <c r="A8790" s="172">
        <v>45901</v>
      </c>
      <c r="B8790" s="135">
        <f>YEAR(source[[#This Row],[report_date]])</f>
        <v>2025</v>
      </c>
      <c r="C8790" s="128">
        <f t="shared" si="409"/>
        <v>9</v>
      </c>
      <c r="D8790" s="136">
        <f t="shared" si="411"/>
        <v>36</v>
      </c>
      <c r="E8790" s="136">
        <f t="shared" si="410"/>
        <v>1</v>
      </c>
      <c r="F8790" s="137" t="s">
        <v>24</v>
      </c>
      <c r="G8790" s="128" t="str">
        <f>VLOOKUP(source[[#This Row],[lending_product_transform]],[3]Mapping!$B$4:$C$37,2,0)</f>
        <v>[Cake] - Cashloan</v>
      </c>
      <c r="H8790" s="128" t="str">
        <f>VLOOKUP(source[[#This Row],[lending_product_transform]],[3]Mapping!$B$3:$D$37,3,0)</f>
        <v>cashloan</v>
      </c>
      <c r="I8790" s="143">
        <v>0</v>
      </c>
    </row>
    <row r="8791" spans="1:9" x14ac:dyDescent="0.2">
      <c r="A8791" s="172">
        <v>45901</v>
      </c>
      <c r="B8791" s="135">
        <f>YEAR(source[[#This Row],[report_date]])</f>
        <v>2025</v>
      </c>
      <c r="C8791" s="128">
        <f t="shared" si="409"/>
        <v>9</v>
      </c>
      <c r="D8791" s="136">
        <f t="shared" si="411"/>
        <v>36</v>
      </c>
      <c r="E8791" s="136">
        <f t="shared" si="410"/>
        <v>1</v>
      </c>
      <c r="F8791" s="137" t="s">
        <v>24</v>
      </c>
      <c r="G8791" s="128" t="str">
        <f>VLOOKUP(source[[#This Row],[lending_product_transform]],[3]Mapping!$B$4:$C$37,2,0)</f>
        <v>[Cake] - Cashloan</v>
      </c>
      <c r="H8791" s="128" t="str">
        <f>VLOOKUP(source[[#This Row],[lending_product_transform]],[3]Mapping!$B$3:$D$37,3,0)</f>
        <v>cashloan</v>
      </c>
      <c r="I8791" s="143">
        <v>6054372000</v>
      </c>
    </row>
    <row r="8792" spans="1:9" x14ac:dyDescent="0.2">
      <c r="A8792" s="172">
        <v>45901</v>
      </c>
      <c r="B8792" s="135">
        <f>YEAR(source[[#This Row],[report_date]])</f>
        <v>2025</v>
      </c>
      <c r="C8792" s="128">
        <f t="shared" si="409"/>
        <v>9</v>
      </c>
      <c r="D8792" s="136">
        <f t="shared" si="411"/>
        <v>36</v>
      </c>
      <c r="E8792" s="136">
        <f t="shared" si="410"/>
        <v>1</v>
      </c>
      <c r="F8792" s="137" t="s">
        <v>24</v>
      </c>
      <c r="G8792" s="128" t="str">
        <f>VLOOKUP(source[[#This Row],[lending_product_transform]],[3]Mapping!$B$4:$C$37,2,0)</f>
        <v>[Cake] - Cashloan</v>
      </c>
      <c r="H8792" s="128" t="str">
        <f>VLOOKUP(source[[#This Row],[lending_product_transform]],[3]Mapping!$B$3:$D$37,3,0)</f>
        <v>cashloan</v>
      </c>
      <c r="I8792" s="143">
        <v>486330232</v>
      </c>
    </row>
    <row r="8793" spans="1:9" x14ac:dyDescent="0.2">
      <c r="A8793" s="172">
        <v>45901</v>
      </c>
      <c r="B8793" s="135">
        <f>YEAR(source[[#This Row],[report_date]])</f>
        <v>2025</v>
      </c>
      <c r="C8793" s="128">
        <f t="shared" si="409"/>
        <v>9</v>
      </c>
      <c r="D8793" s="136">
        <f t="shared" si="411"/>
        <v>36</v>
      </c>
      <c r="E8793" s="136">
        <f t="shared" si="410"/>
        <v>1</v>
      </c>
      <c r="F8793" s="137" t="s">
        <v>24</v>
      </c>
      <c r="G8793" s="128" t="str">
        <f>VLOOKUP(source[[#This Row],[lending_product_transform]],[3]Mapping!$B$4:$C$37,2,0)</f>
        <v>[Cake] - Cashloan</v>
      </c>
      <c r="H8793" s="128" t="str">
        <f>VLOOKUP(source[[#This Row],[lending_product_transform]],[3]Mapping!$B$3:$D$37,3,0)</f>
        <v>cashloan</v>
      </c>
      <c r="I8793" s="143">
        <v>31500000</v>
      </c>
    </row>
    <row r="8794" spans="1:9" x14ac:dyDescent="0.2">
      <c r="A8794" s="172">
        <v>45901</v>
      </c>
      <c r="B8794" s="135">
        <f>YEAR(source[[#This Row],[report_date]])</f>
        <v>2025</v>
      </c>
      <c r="C8794" s="128">
        <f t="shared" si="409"/>
        <v>9</v>
      </c>
      <c r="D8794" s="136">
        <f t="shared" si="411"/>
        <v>36</v>
      </c>
      <c r="E8794" s="136">
        <f t="shared" si="410"/>
        <v>1</v>
      </c>
      <c r="F8794" s="137" t="s">
        <v>24</v>
      </c>
      <c r="G8794" s="128" t="str">
        <f>VLOOKUP(source[[#This Row],[lending_product_transform]],[3]Mapping!$B$4:$C$37,2,0)</f>
        <v>[Cake] - Cashloan</v>
      </c>
      <c r="H8794" s="128" t="str">
        <f>VLOOKUP(source[[#This Row],[lending_product_transform]],[3]Mapping!$B$3:$D$37,3,0)</f>
        <v>cashloan</v>
      </c>
      <c r="I8794" s="143">
        <v>28000000</v>
      </c>
    </row>
    <row r="8795" spans="1:9" x14ac:dyDescent="0.2">
      <c r="A8795" s="172">
        <v>45901</v>
      </c>
      <c r="B8795" s="135">
        <f>YEAR(source[[#This Row],[report_date]])</f>
        <v>2025</v>
      </c>
      <c r="C8795" s="128">
        <f t="shared" si="409"/>
        <v>9</v>
      </c>
      <c r="D8795" s="136">
        <f t="shared" si="411"/>
        <v>36</v>
      </c>
      <c r="E8795" s="136">
        <f t="shared" si="410"/>
        <v>1</v>
      </c>
      <c r="F8795" s="137" t="s">
        <v>24</v>
      </c>
      <c r="G8795" s="128" t="str">
        <f>VLOOKUP(source[[#This Row],[lending_product_transform]],[3]Mapping!$B$4:$C$37,2,0)</f>
        <v>[Cake] - Cashloan</v>
      </c>
      <c r="H8795" s="128" t="str">
        <f>VLOOKUP(source[[#This Row],[lending_product_transform]],[3]Mapping!$B$3:$D$37,3,0)</f>
        <v>cashloan</v>
      </c>
      <c r="I8795" s="143">
        <v>482200000</v>
      </c>
    </row>
    <row r="8796" spans="1:9" x14ac:dyDescent="0.2">
      <c r="A8796" s="172">
        <v>45901</v>
      </c>
      <c r="B8796" s="135">
        <f>YEAR(source[[#This Row],[report_date]])</f>
        <v>2025</v>
      </c>
      <c r="C8796" s="128">
        <f t="shared" si="409"/>
        <v>9</v>
      </c>
      <c r="D8796" s="136">
        <f t="shared" si="411"/>
        <v>36</v>
      </c>
      <c r="E8796" s="136">
        <f t="shared" si="410"/>
        <v>1</v>
      </c>
      <c r="F8796" s="137" t="s">
        <v>24</v>
      </c>
      <c r="G8796" s="128" t="str">
        <f>VLOOKUP(source[[#This Row],[lending_product_transform]],[3]Mapping!$B$4:$C$37,2,0)</f>
        <v>[Cake] - Cashloan</v>
      </c>
      <c r="H8796" s="128" t="str">
        <f>VLOOKUP(source[[#This Row],[lending_product_transform]],[3]Mapping!$B$3:$D$37,3,0)</f>
        <v>cashloan</v>
      </c>
      <c r="I8796" s="143">
        <v>598762599</v>
      </c>
    </row>
    <row r="8797" spans="1:9" x14ac:dyDescent="0.2">
      <c r="A8797" s="172">
        <v>45901</v>
      </c>
      <c r="B8797" s="135">
        <f>YEAR(source[[#This Row],[report_date]])</f>
        <v>2025</v>
      </c>
      <c r="C8797" s="128">
        <f t="shared" si="409"/>
        <v>9</v>
      </c>
      <c r="D8797" s="136">
        <f t="shared" si="411"/>
        <v>36</v>
      </c>
      <c r="E8797" s="136">
        <f t="shared" si="410"/>
        <v>1</v>
      </c>
      <c r="F8797" s="137" t="s">
        <v>24</v>
      </c>
      <c r="G8797" s="128" t="str">
        <f>VLOOKUP(source[[#This Row],[lending_product_transform]],[3]Mapping!$B$4:$C$37,2,0)</f>
        <v>[Cake] - Cashloan</v>
      </c>
      <c r="H8797" s="128" t="str">
        <f>VLOOKUP(source[[#This Row],[lending_product_transform]],[3]Mapping!$B$3:$D$37,3,0)</f>
        <v>cashloan</v>
      </c>
      <c r="I8797" s="143">
        <v>3592260000</v>
      </c>
    </row>
    <row r="8798" spans="1:9" x14ac:dyDescent="0.2">
      <c r="A8798" s="172">
        <v>45902</v>
      </c>
      <c r="B8798" s="135">
        <f>YEAR(source[[#This Row],[report_date]])</f>
        <v>2025</v>
      </c>
      <c r="C8798" s="128">
        <f t="shared" si="409"/>
        <v>9</v>
      </c>
      <c r="D8798" s="136">
        <f t="shared" si="411"/>
        <v>36</v>
      </c>
      <c r="E8798" s="136">
        <f t="shared" si="410"/>
        <v>2</v>
      </c>
      <c r="F8798" s="137" t="s">
        <v>24</v>
      </c>
      <c r="G8798" s="128" t="str">
        <f>VLOOKUP(source[[#This Row],[lending_product_transform]],[3]Mapping!$B$4:$C$37,2,0)</f>
        <v>[Cake] - Cashloan</v>
      </c>
      <c r="H8798" s="128" t="str">
        <f>VLOOKUP(source[[#This Row],[lending_product_transform]],[3]Mapping!$B$3:$D$37,3,0)</f>
        <v>cashloan</v>
      </c>
      <c r="I8798" s="143">
        <v>0</v>
      </c>
    </row>
    <row r="8799" spans="1:9" x14ac:dyDescent="0.2">
      <c r="A8799" s="172">
        <v>45902</v>
      </c>
      <c r="B8799" s="135">
        <f>YEAR(source[[#This Row],[report_date]])</f>
        <v>2025</v>
      </c>
      <c r="C8799" s="128">
        <f t="shared" si="409"/>
        <v>9</v>
      </c>
      <c r="D8799" s="136">
        <f t="shared" si="411"/>
        <v>36</v>
      </c>
      <c r="E8799" s="136">
        <f t="shared" si="410"/>
        <v>2</v>
      </c>
      <c r="F8799" s="137" t="s">
        <v>24</v>
      </c>
      <c r="G8799" s="128" t="str">
        <f>VLOOKUP(source[[#This Row],[lending_product_transform]],[3]Mapping!$B$4:$C$37,2,0)</f>
        <v>[Cake] - Cashloan</v>
      </c>
      <c r="H8799" s="128" t="str">
        <f>VLOOKUP(source[[#This Row],[lending_product_transform]],[3]Mapping!$B$3:$D$37,3,0)</f>
        <v>cashloan</v>
      </c>
      <c r="I8799" s="143">
        <v>351421543</v>
      </c>
    </row>
    <row r="8800" spans="1:9" x14ac:dyDescent="0.2">
      <c r="A8800" s="172">
        <v>45902</v>
      </c>
      <c r="B8800" s="135">
        <f>YEAR(source[[#This Row],[report_date]])</f>
        <v>2025</v>
      </c>
      <c r="C8800" s="128">
        <f t="shared" si="409"/>
        <v>9</v>
      </c>
      <c r="D8800" s="136">
        <f t="shared" si="411"/>
        <v>36</v>
      </c>
      <c r="E8800" s="136">
        <f t="shared" si="410"/>
        <v>2</v>
      </c>
      <c r="F8800" s="137" t="s">
        <v>24</v>
      </c>
      <c r="G8800" s="128" t="str">
        <f>VLOOKUP(source[[#This Row],[lending_product_transform]],[3]Mapping!$B$4:$C$37,2,0)</f>
        <v>[Cake] - Cashloan</v>
      </c>
      <c r="H8800" s="128" t="str">
        <f>VLOOKUP(source[[#This Row],[lending_product_transform]],[3]Mapping!$B$3:$D$37,3,0)</f>
        <v>cashloan</v>
      </c>
      <c r="I8800" s="143">
        <v>8113040000</v>
      </c>
    </row>
    <row r="8801" spans="1:9" x14ac:dyDescent="0.2">
      <c r="A8801" s="172">
        <v>45902</v>
      </c>
      <c r="B8801" s="135">
        <f>YEAR(source[[#This Row],[report_date]])</f>
        <v>2025</v>
      </c>
      <c r="C8801" s="128">
        <f t="shared" si="409"/>
        <v>9</v>
      </c>
      <c r="D8801" s="136">
        <f t="shared" si="411"/>
        <v>36</v>
      </c>
      <c r="E8801" s="136">
        <f t="shared" si="410"/>
        <v>2</v>
      </c>
      <c r="F8801" s="137" t="s">
        <v>24</v>
      </c>
      <c r="G8801" s="128" t="str">
        <f>VLOOKUP(source[[#This Row],[lending_product_transform]],[3]Mapping!$B$4:$C$37,2,0)</f>
        <v>[Cake] - Cashloan</v>
      </c>
      <c r="H8801" s="128" t="str">
        <f>VLOOKUP(source[[#This Row],[lending_product_transform]],[3]Mapping!$B$3:$D$37,3,0)</f>
        <v>cashloan</v>
      </c>
      <c r="I8801" s="143">
        <v>3300880486</v>
      </c>
    </row>
    <row r="8802" spans="1:9" x14ac:dyDescent="0.2">
      <c r="A8802" s="172">
        <v>45902</v>
      </c>
      <c r="B8802" s="135">
        <f>YEAR(source[[#This Row],[report_date]])</f>
        <v>2025</v>
      </c>
      <c r="C8802" s="128">
        <f t="shared" si="409"/>
        <v>9</v>
      </c>
      <c r="D8802" s="136">
        <f t="shared" si="411"/>
        <v>36</v>
      </c>
      <c r="E8802" s="136">
        <f t="shared" si="410"/>
        <v>2</v>
      </c>
      <c r="F8802" s="137" t="s">
        <v>24</v>
      </c>
      <c r="G8802" s="128" t="str">
        <f>VLOOKUP(source[[#This Row],[lending_product_transform]],[3]Mapping!$B$4:$C$37,2,0)</f>
        <v>[Cake] - Cashloan</v>
      </c>
      <c r="H8802" s="128" t="str">
        <f>VLOOKUP(source[[#This Row],[lending_product_transform]],[3]Mapping!$B$3:$D$37,3,0)</f>
        <v>cashloan</v>
      </c>
      <c r="I8802" s="143">
        <v>4030560000</v>
      </c>
    </row>
    <row r="8803" spans="1:9" x14ac:dyDescent="0.2">
      <c r="A8803" s="172">
        <v>45902</v>
      </c>
      <c r="B8803" s="135">
        <f>YEAR(source[[#This Row],[report_date]])</f>
        <v>2025</v>
      </c>
      <c r="C8803" s="128">
        <f t="shared" si="409"/>
        <v>9</v>
      </c>
      <c r="D8803" s="136">
        <f t="shared" si="411"/>
        <v>36</v>
      </c>
      <c r="E8803" s="136">
        <f t="shared" si="410"/>
        <v>2</v>
      </c>
      <c r="F8803" s="137" t="s">
        <v>24</v>
      </c>
      <c r="G8803" s="128" t="str">
        <f>VLOOKUP(source[[#This Row],[lending_product_transform]],[3]Mapping!$B$4:$C$37,2,0)</f>
        <v>[Cake] - Cashloan</v>
      </c>
      <c r="H8803" s="128" t="str">
        <f>VLOOKUP(source[[#This Row],[lending_product_transform]],[3]Mapping!$B$3:$D$37,3,0)</f>
        <v>cashloan</v>
      </c>
      <c r="I8803" s="143">
        <v>39834256</v>
      </c>
    </row>
    <row r="8804" spans="1:9" x14ac:dyDescent="0.2">
      <c r="A8804" s="172">
        <v>45902</v>
      </c>
      <c r="B8804" s="135">
        <f>YEAR(source[[#This Row],[report_date]])</f>
        <v>2025</v>
      </c>
      <c r="C8804" s="128">
        <f t="shared" si="409"/>
        <v>9</v>
      </c>
      <c r="D8804" s="136">
        <f t="shared" si="411"/>
        <v>36</v>
      </c>
      <c r="E8804" s="136">
        <f t="shared" si="410"/>
        <v>2</v>
      </c>
      <c r="F8804" s="137" t="s">
        <v>24</v>
      </c>
      <c r="G8804" s="128" t="str">
        <f>VLOOKUP(source[[#This Row],[lending_product_transform]],[3]Mapping!$B$4:$C$37,2,0)</f>
        <v>[Cake] - Cashloan</v>
      </c>
      <c r="H8804" s="128" t="str">
        <f>VLOOKUP(source[[#This Row],[lending_product_transform]],[3]Mapping!$B$3:$D$37,3,0)</f>
        <v>cashloan</v>
      </c>
      <c r="I8804" s="143">
        <v>1224120000</v>
      </c>
    </row>
    <row r="8805" spans="1:9" x14ac:dyDescent="0.2">
      <c r="A8805" s="172">
        <v>45902</v>
      </c>
      <c r="B8805" s="135">
        <f>YEAR(source[[#This Row],[report_date]])</f>
        <v>2025</v>
      </c>
      <c r="C8805" s="128">
        <f t="shared" si="409"/>
        <v>9</v>
      </c>
      <c r="D8805" s="136">
        <f t="shared" si="411"/>
        <v>36</v>
      </c>
      <c r="E8805" s="136">
        <f t="shared" si="410"/>
        <v>2</v>
      </c>
      <c r="F8805" s="137" t="s">
        <v>24</v>
      </c>
      <c r="G8805" s="128" t="str">
        <f>VLOOKUP(source[[#This Row],[lending_product_transform]],[3]Mapping!$B$4:$C$37,2,0)</f>
        <v>[Cake] - Cashloan</v>
      </c>
      <c r="H8805" s="128" t="str">
        <f>VLOOKUP(source[[#This Row],[lending_product_transform]],[3]Mapping!$B$3:$D$37,3,0)</f>
        <v>cashloan</v>
      </c>
      <c r="I8805" s="143">
        <v>43452000</v>
      </c>
    </row>
    <row r="8806" spans="1:9" x14ac:dyDescent="0.2">
      <c r="A8806" s="172">
        <v>45902</v>
      </c>
      <c r="B8806" s="135">
        <f>YEAR(source[[#This Row],[report_date]])</f>
        <v>2025</v>
      </c>
      <c r="C8806" s="128">
        <f t="shared" si="409"/>
        <v>9</v>
      </c>
      <c r="D8806" s="136">
        <f t="shared" si="411"/>
        <v>36</v>
      </c>
      <c r="E8806" s="136">
        <f t="shared" si="410"/>
        <v>2</v>
      </c>
      <c r="F8806" s="137" t="s">
        <v>24</v>
      </c>
      <c r="G8806" s="128" t="str">
        <f>VLOOKUP(source[[#This Row],[lending_product_transform]],[3]Mapping!$B$4:$C$37,2,0)</f>
        <v>[Cake] - Cashloan</v>
      </c>
      <c r="H8806" s="128" t="str">
        <f>VLOOKUP(source[[#This Row],[lending_product_transform]],[3]Mapping!$B$3:$D$37,3,0)</f>
        <v>cashloan</v>
      </c>
      <c r="I8806" s="143">
        <v>303340650</v>
      </c>
    </row>
    <row r="8807" spans="1:9" x14ac:dyDescent="0.2">
      <c r="A8807" s="172">
        <v>45902</v>
      </c>
      <c r="B8807" s="135">
        <f>YEAR(source[[#This Row],[report_date]])</f>
        <v>2025</v>
      </c>
      <c r="C8807" s="128">
        <f t="shared" si="409"/>
        <v>9</v>
      </c>
      <c r="D8807" s="136">
        <f t="shared" si="411"/>
        <v>36</v>
      </c>
      <c r="E8807" s="136">
        <f t="shared" si="410"/>
        <v>2</v>
      </c>
      <c r="F8807" s="137" t="s">
        <v>24</v>
      </c>
      <c r="G8807" s="128" t="str">
        <f>VLOOKUP(source[[#This Row],[lending_product_transform]],[3]Mapping!$B$4:$C$37,2,0)</f>
        <v>[Cake] - Cashloan</v>
      </c>
      <c r="H8807" s="128" t="str">
        <f>VLOOKUP(source[[#This Row],[lending_product_transform]],[3]Mapping!$B$3:$D$37,3,0)</f>
        <v>cashloan</v>
      </c>
      <c r="I8807" s="143">
        <v>0</v>
      </c>
    </row>
    <row r="8808" spans="1:9" x14ac:dyDescent="0.2">
      <c r="A8808" s="172">
        <v>45902</v>
      </c>
      <c r="B8808" s="135">
        <f>YEAR(source[[#This Row],[report_date]])</f>
        <v>2025</v>
      </c>
      <c r="C8808" s="128">
        <f t="shared" si="409"/>
        <v>9</v>
      </c>
      <c r="D8808" s="136">
        <f t="shared" si="411"/>
        <v>36</v>
      </c>
      <c r="E8808" s="136">
        <f t="shared" si="410"/>
        <v>2</v>
      </c>
      <c r="F8808" s="137" t="s">
        <v>24</v>
      </c>
      <c r="G8808" s="128" t="str">
        <f>VLOOKUP(source[[#This Row],[lending_product_transform]],[3]Mapping!$B$4:$C$37,2,0)</f>
        <v>[Cake] - Cashloan</v>
      </c>
      <c r="H8808" s="128" t="str">
        <f>VLOOKUP(source[[#This Row],[lending_product_transform]],[3]Mapping!$B$3:$D$37,3,0)</f>
        <v>cashloan</v>
      </c>
      <c r="I8808" s="143">
        <v>30900000</v>
      </c>
    </row>
    <row r="8809" spans="1:9" x14ac:dyDescent="0.2">
      <c r="A8809" s="172">
        <v>45902</v>
      </c>
      <c r="B8809" s="135">
        <f>YEAR(source[[#This Row],[report_date]])</f>
        <v>2025</v>
      </c>
      <c r="C8809" s="128">
        <f t="shared" si="409"/>
        <v>9</v>
      </c>
      <c r="D8809" s="136">
        <f t="shared" si="411"/>
        <v>36</v>
      </c>
      <c r="E8809" s="136">
        <f t="shared" si="410"/>
        <v>2</v>
      </c>
      <c r="F8809" s="137" t="s">
        <v>24</v>
      </c>
      <c r="G8809" s="128" t="str">
        <f>VLOOKUP(source[[#This Row],[lending_product_transform]],[3]Mapping!$B$4:$C$37,2,0)</f>
        <v>[Cake] - Cashloan</v>
      </c>
      <c r="H8809" s="128" t="str">
        <f>VLOOKUP(source[[#This Row],[lending_product_transform]],[3]Mapping!$B$3:$D$37,3,0)</f>
        <v>cashloan</v>
      </c>
      <c r="I8809" s="143">
        <v>9244160000</v>
      </c>
    </row>
    <row r="8810" spans="1:9" x14ac:dyDescent="0.2">
      <c r="A8810" s="172">
        <v>45902</v>
      </c>
      <c r="B8810" s="135">
        <f>YEAR(source[[#This Row],[report_date]])</f>
        <v>2025</v>
      </c>
      <c r="C8810" s="128">
        <f t="shared" si="409"/>
        <v>9</v>
      </c>
      <c r="D8810" s="136">
        <f t="shared" si="411"/>
        <v>36</v>
      </c>
      <c r="E8810" s="136">
        <f t="shared" si="410"/>
        <v>2</v>
      </c>
      <c r="F8810" s="137" t="s">
        <v>24</v>
      </c>
      <c r="G8810" s="128" t="str">
        <f>VLOOKUP(source[[#This Row],[lending_product_transform]],[3]Mapping!$B$4:$C$37,2,0)</f>
        <v>[Cake] - Cashloan</v>
      </c>
      <c r="H8810" s="128" t="str">
        <f>VLOOKUP(source[[#This Row],[lending_product_transform]],[3]Mapping!$B$3:$D$37,3,0)</f>
        <v>cashloan</v>
      </c>
      <c r="I8810" s="143">
        <v>0</v>
      </c>
    </row>
    <row r="8811" spans="1:9" x14ac:dyDescent="0.2">
      <c r="A8811" s="172">
        <v>45902</v>
      </c>
      <c r="B8811" s="135">
        <f>YEAR(source[[#This Row],[report_date]])</f>
        <v>2025</v>
      </c>
      <c r="C8811" s="128">
        <f t="shared" si="409"/>
        <v>9</v>
      </c>
      <c r="D8811" s="136">
        <f t="shared" si="411"/>
        <v>36</v>
      </c>
      <c r="E8811" s="136">
        <f t="shared" si="410"/>
        <v>2</v>
      </c>
      <c r="F8811" s="137" t="s">
        <v>24</v>
      </c>
      <c r="G8811" s="128" t="str">
        <f>VLOOKUP(source[[#This Row],[lending_product_transform]],[3]Mapping!$B$4:$C$37,2,0)</f>
        <v>[Cake] - Cashloan</v>
      </c>
      <c r="H8811" s="128" t="str">
        <f>VLOOKUP(source[[#This Row],[lending_product_transform]],[3]Mapping!$B$3:$D$37,3,0)</f>
        <v>cashloan</v>
      </c>
      <c r="I8811" s="143">
        <v>0</v>
      </c>
    </row>
    <row r="8812" spans="1:9" x14ac:dyDescent="0.2">
      <c r="A8812" s="172">
        <v>45902</v>
      </c>
      <c r="B8812" s="135">
        <f>YEAR(source[[#This Row],[report_date]])</f>
        <v>2025</v>
      </c>
      <c r="C8812" s="128">
        <f t="shared" si="409"/>
        <v>9</v>
      </c>
      <c r="D8812" s="136">
        <f t="shared" si="411"/>
        <v>36</v>
      </c>
      <c r="E8812" s="136">
        <f t="shared" si="410"/>
        <v>2</v>
      </c>
      <c r="F8812" s="137" t="s">
        <v>24</v>
      </c>
      <c r="G8812" s="128" t="str">
        <f>VLOOKUP(source[[#This Row],[lending_product_transform]],[3]Mapping!$B$4:$C$37,2,0)</f>
        <v>[Cake] - Cashloan</v>
      </c>
      <c r="H8812" s="128" t="str">
        <f>VLOOKUP(source[[#This Row],[lending_product_transform]],[3]Mapping!$B$3:$D$37,3,0)</f>
        <v>cashloan</v>
      </c>
      <c r="I8812" s="143">
        <v>0</v>
      </c>
    </row>
    <row r="8813" spans="1:9" x14ac:dyDescent="0.2">
      <c r="A8813" s="172">
        <v>45902</v>
      </c>
      <c r="B8813" s="135">
        <f>YEAR(source[[#This Row],[report_date]])</f>
        <v>2025</v>
      </c>
      <c r="C8813" s="128">
        <f t="shared" si="409"/>
        <v>9</v>
      </c>
      <c r="D8813" s="136">
        <f t="shared" si="411"/>
        <v>36</v>
      </c>
      <c r="E8813" s="136">
        <f t="shared" si="410"/>
        <v>2</v>
      </c>
      <c r="F8813" s="137" t="s">
        <v>24</v>
      </c>
      <c r="G8813" s="128" t="str">
        <f>VLOOKUP(source[[#This Row],[lending_product_transform]],[3]Mapping!$B$4:$C$37,2,0)</f>
        <v>[Cake] - Cashloan</v>
      </c>
      <c r="H8813" s="128" t="str">
        <f>VLOOKUP(source[[#This Row],[lending_product_transform]],[3]Mapping!$B$3:$D$37,3,0)</f>
        <v>cashloan</v>
      </c>
      <c r="I8813" s="143">
        <v>0</v>
      </c>
    </row>
    <row r="8814" spans="1:9" x14ac:dyDescent="0.2">
      <c r="A8814" s="172">
        <v>45902</v>
      </c>
      <c r="B8814" s="135">
        <f>YEAR(source[[#This Row],[report_date]])</f>
        <v>2025</v>
      </c>
      <c r="C8814" s="128">
        <f t="shared" si="409"/>
        <v>9</v>
      </c>
      <c r="D8814" s="136">
        <f t="shared" si="411"/>
        <v>36</v>
      </c>
      <c r="E8814" s="136">
        <f t="shared" si="410"/>
        <v>2</v>
      </c>
      <c r="F8814" s="137" t="s">
        <v>24</v>
      </c>
      <c r="G8814" s="128" t="str">
        <f>VLOOKUP(source[[#This Row],[lending_product_transform]],[3]Mapping!$B$4:$C$37,2,0)</f>
        <v>[Cake] - Cashloan</v>
      </c>
      <c r="H8814" s="128" t="str">
        <f>VLOOKUP(source[[#This Row],[lending_product_transform]],[3]Mapping!$B$3:$D$37,3,0)</f>
        <v>cashloan</v>
      </c>
      <c r="I8814" s="143">
        <v>5256360000</v>
      </c>
    </row>
    <row r="8815" spans="1:9" x14ac:dyDescent="0.2">
      <c r="A8815" s="172">
        <v>45902</v>
      </c>
      <c r="B8815" s="135">
        <f>YEAR(source[[#This Row],[report_date]])</f>
        <v>2025</v>
      </c>
      <c r="C8815" s="128">
        <f t="shared" si="409"/>
        <v>9</v>
      </c>
      <c r="D8815" s="136">
        <f t="shared" si="411"/>
        <v>36</v>
      </c>
      <c r="E8815" s="136">
        <f t="shared" si="410"/>
        <v>2</v>
      </c>
      <c r="F8815" s="137" t="s">
        <v>24</v>
      </c>
      <c r="G8815" s="128" t="str">
        <f>VLOOKUP(source[[#This Row],[lending_product_transform]],[3]Mapping!$B$4:$C$37,2,0)</f>
        <v>[Cake] - Cashloan</v>
      </c>
      <c r="H8815" s="128" t="str">
        <f>VLOOKUP(source[[#This Row],[lending_product_transform]],[3]Mapping!$B$3:$D$37,3,0)</f>
        <v>cashloan</v>
      </c>
      <c r="I8815" s="143">
        <v>338126075</v>
      </c>
    </row>
    <row r="8816" spans="1:9" x14ac:dyDescent="0.2">
      <c r="A8816" s="172">
        <v>45902</v>
      </c>
      <c r="B8816" s="135">
        <f>YEAR(source[[#This Row],[report_date]])</f>
        <v>2025</v>
      </c>
      <c r="C8816" s="128">
        <f t="shared" si="409"/>
        <v>9</v>
      </c>
      <c r="D8816" s="136">
        <f t="shared" si="411"/>
        <v>36</v>
      </c>
      <c r="E8816" s="136">
        <f t="shared" si="410"/>
        <v>2</v>
      </c>
      <c r="F8816" s="137" t="s">
        <v>24</v>
      </c>
      <c r="G8816" s="128" t="str">
        <f>VLOOKUP(source[[#This Row],[lending_product_transform]],[3]Mapping!$B$4:$C$37,2,0)</f>
        <v>[Cake] - Cashloan</v>
      </c>
      <c r="H8816" s="128" t="str">
        <f>VLOOKUP(source[[#This Row],[lending_product_transform]],[3]Mapping!$B$3:$D$37,3,0)</f>
        <v>cashloan</v>
      </c>
      <c r="I8816" s="143">
        <v>10500000</v>
      </c>
    </row>
    <row r="8817" spans="1:9" x14ac:dyDescent="0.2">
      <c r="A8817" s="172">
        <v>45902</v>
      </c>
      <c r="B8817" s="135">
        <f>YEAR(source[[#This Row],[report_date]])</f>
        <v>2025</v>
      </c>
      <c r="C8817" s="128">
        <f t="shared" si="409"/>
        <v>9</v>
      </c>
      <c r="D8817" s="136">
        <f t="shared" si="411"/>
        <v>36</v>
      </c>
      <c r="E8817" s="136">
        <f t="shared" si="410"/>
        <v>2</v>
      </c>
      <c r="F8817" s="137" t="s">
        <v>24</v>
      </c>
      <c r="G8817" s="128" t="str">
        <f>VLOOKUP(source[[#This Row],[lending_product_transform]],[3]Mapping!$B$4:$C$37,2,0)</f>
        <v>[Cake] - Cashloan</v>
      </c>
      <c r="H8817" s="128" t="str">
        <f>VLOOKUP(source[[#This Row],[lending_product_transform]],[3]Mapping!$B$3:$D$37,3,0)</f>
        <v>cashloan</v>
      </c>
      <c r="I8817" s="143">
        <v>19000000</v>
      </c>
    </row>
    <row r="8818" spans="1:9" x14ac:dyDescent="0.2">
      <c r="A8818" s="172">
        <v>45902</v>
      </c>
      <c r="B8818" s="135">
        <f>YEAR(source[[#This Row],[report_date]])</f>
        <v>2025</v>
      </c>
      <c r="C8818" s="128">
        <f t="shared" si="409"/>
        <v>9</v>
      </c>
      <c r="D8818" s="136">
        <f t="shared" si="411"/>
        <v>36</v>
      </c>
      <c r="E8818" s="136">
        <f t="shared" si="410"/>
        <v>2</v>
      </c>
      <c r="F8818" s="137" t="s">
        <v>24</v>
      </c>
      <c r="G8818" s="128" t="str">
        <f>VLOOKUP(source[[#This Row],[lending_product_transform]],[3]Mapping!$B$4:$C$37,2,0)</f>
        <v>[Cake] - Cashloan</v>
      </c>
      <c r="H8818" s="128" t="str">
        <f>VLOOKUP(source[[#This Row],[lending_product_transform]],[3]Mapping!$B$3:$D$37,3,0)</f>
        <v>cashloan</v>
      </c>
      <c r="I8818" s="143">
        <v>346970000</v>
      </c>
    </row>
    <row r="8819" spans="1:9" x14ac:dyDescent="0.2">
      <c r="A8819" s="172">
        <v>45902</v>
      </c>
      <c r="B8819" s="135">
        <f>YEAR(source[[#This Row],[report_date]])</f>
        <v>2025</v>
      </c>
      <c r="C8819" s="128">
        <f t="shared" si="409"/>
        <v>9</v>
      </c>
      <c r="D8819" s="136">
        <f t="shared" si="411"/>
        <v>36</v>
      </c>
      <c r="E8819" s="136">
        <f t="shared" si="410"/>
        <v>2</v>
      </c>
      <c r="F8819" s="137" t="s">
        <v>24</v>
      </c>
      <c r="G8819" s="128" t="str">
        <f>VLOOKUP(source[[#This Row],[lending_product_transform]],[3]Mapping!$B$4:$C$37,2,0)</f>
        <v>[Cake] - Cashloan</v>
      </c>
      <c r="H8819" s="128" t="str">
        <f>VLOOKUP(source[[#This Row],[lending_product_transform]],[3]Mapping!$B$3:$D$37,3,0)</f>
        <v>cashloan</v>
      </c>
      <c r="I8819" s="143">
        <v>646015302</v>
      </c>
    </row>
    <row r="8820" spans="1:9" x14ac:dyDescent="0.2">
      <c r="A8820" s="172">
        <v>45902</v>
      </c>
      <c r="B8820" s="135">
        <f>YEAR(source[[#This Row],[report_date]])</f>
        <v>2025</v>
      </c>
      <c r="C8820" s="128">
        <f t="shared" si="409"/>
        <v>9</v>
      </c>
      <c r="D8820" s="136">
        <f t="shared" si="411"/>
        <v>36</v>
      </c>
      <c r="E8820" s="136">
        <f t="shared" si="410"/>
        <v>2</v>
      </c>
      <c r="F8820" s="137" t="s">
        <v>24</v>
      </c>
      <c r="G8820" s="128" t="str">
        <f>VLOOKUP(source[[#This Row],[lending_product_transform]],[3]Mapping!$B$4:$C$37,2,0)</f>
        <v>[Cake] - Cashloan</v>
      </c>
      <c r="H8820" s="128" t="str">
        <f>VLOOKUP(source[[#This Row],[lending_product_transform]],[3]Mapping!$B$3:$D$37,3,0)</f>
        <v>cashloan</v>
      </c>
      <c r="I8820" s="143">
        <v>4072340000</v>
      </c>
    </row>
    <row r="8821" spans="1:9" x14ac:dyDescent="0.2">
      <c r="A8821" s="172">
        <v>45903</v>
      </c>
      <c r="B8821" s="135">
        <f>YEAR(source[[#This Row],[report_date]])</f>
        <v>2025</v>
      </c>
      <c r="C8821" s="128">
        <f t="shared" si="409"/>
        <v>9</v>
      </c>
      <c r="D8821" s="136">
        <f t="shared" si="411"/>
        <v>36</v>
      </c>
      <c r="E8821" s="136">
        <f t="shared" si="410"/>
        <v>3</v>
      </c>
      <c r="F8821" s="137" t="s">
        <v>24</v>
      </c>
      <c r="G8821" s="128" t="str">
        <f>VLOOKUP(source[[#This Row],[lending_product_transform]],[3]Mapping!$B$4:$C$37,2,0)</f>
        <v>[Cake] - Cashloan</v>
      </c>
      <c r="H8821" s="128" t="str">
        <f>VLOOKUP(source[[#This Row],[lending_product_transform]],[3]Mapping!$B$3:$D$37,3,0)</f>
        <v>cashloan</v>
      </c>
      <c r="I8821" s="143">
        <v>0</v>
      </c>
    </row>
    <row r="8822" spans="1:9" x14ac:dyDescent="0.2">
      <c r="A8822" s="172">
        <v>45903</v>
      </c>
      <c r="B8822" s="135">
        <f>YEAR(source[[#This Row],[report_date]])</f>
        <v>2025</v>
      </c>
      <c r="C8822" s="128">
        <f t="shared" ref="C8822:C8885" si="412">MONTH(A8822)</f>
        <v>9</v>
      </c>
      <c r="D8822" s="136">
        <f t="shared" si="411"/>
        <v>36</v>
      </c>
      <c r="E8822" s="136">
        <f t="shared" ref="E8822:E8885" si="413">DAY(A8822)</f>
        <v>3</v>
      </c>
      <c r="F8822" s="137" t="s">
        <v>24</v>
      </c>
      <c r="G8822" s="128" t="str">
        <f>VLOOKUP(source[[#This Row],[lending_product_transform]],[3]Mapping!$B$4:$C$37,2,0)</f>
        <v>[Cake] - Cashloan</v>
      </c>
      <c r="H8822" s="128" t="str">
        <f>VLOOKUP(source[[#This Row],[lending_product_transform]],[3]Mapping!$B$3:$D$37,3,0)</f>
        <v>cashloan</v>
      </c>
      <c r="I8822" s="143">
        <v>335505657</v>
      </c>
    </row>
    <row r="8823" spans="1:9" x14ac:dyDescent="0.2">
      <c r="A8823" s="172">
        <v>45903</v>
      </c>
      <c r="B8823" s="135">
        <f>YEAR(source[[#This Row],[report_date]])</f>
        <v>2025</v>
      </c>
      <c r="C8823" s="128">
        <f t="shared" si="412"/>
        <v>9</v>
      </c>
      <c r="D8823" s="136">
        <f t="shared" si="411"/>
        <v>36</v>
      </c>
      <c r="E8823" s="136">
        <f t="shared" si="413"/>
        <v>3</v>
      </c>
      <c r="F8823" s="137" t="s">
        <v>24</v>
      </c>
      <c r="G8823" s="128" t="str">
        <f>VLOOKUP(source[[#This Row],[lending_product_transform]],[3]Mapping!$B$4:$C$37,2,0)</f>
        <v>[Cake] - Cashloan</v>
      </c>
      <c r="H8823" s="128" t="str">
        <f>VLOOKUP(source[[#This Row],[lending_product_transform]],[3]Mapping!$B$3:$D$37,3,0)</f>
        <v>cashloan</v>
      </c>
      <c r="I8823" s="143">
        <v>13823860000</v>
      </c>
    </row>
    <row r="8824" spans="1:9" x14ac:dyDescent="0.2">
      <c r="A8824" s="172">
        <v>45903</v>
      </c>
      <c r="B8824" s="135">
        <f>YEAR(source[[#This Row],[report_date]])</f>
        <v>2025</v>
      </c>
      <c r="C8824" s="128">
        <f t="shared" si="412"/>
        <v>9</v>
      </c>
      <c r="D8824" s="136">
        <f t="shared" si="411"/>
        <v>36</v>
      </c>
      <c r="E8824" s="136">
        <f t="shared" si="413"/>
        <v>3</v>
      </c>
      <c r="F8824" s="137" t="s">
        <v>24</v>
      </c>
      <c r="G8824" s="128" t="str">
        <f>VLOOKUP(source[[#This Row],[lending_product_transform]],[3]Mapping!$B$4:$C$37,2,0)</f>
        <v>[Cake] - Cashloan</v>
      </c>
      <c r="H8824" s="128" t="str">
        <f>VLOOKUP(source[[#This Row],[lending_product_transform]],[3]Mapping!$B$3:$D$37,3,0)</f>
        <v>cashloan</v>
      </c>
      <c r="I8824" s="143">
        <v>4335473747</v>
      </c>
    </row>
    <row r="8825" spans="1:9" x14ac:dyDescent="0.2">
      <c r="A8825" s="172">
        <v>45903</v>
      </c>
      <c r="B8825" s="135">
        <f>YEAR(source[[#This Row],[report_date]])</f>
        <v>2025</v>
      </c>
      <c r="C8825" s="128">
        <f t="shared" si="412"/>
        <v>9</v>
      </c>
      <c r="D8825" s="136">
        <f t="shared" si="411"/>
        <v>36</v>
      </c>
      <c r="E8825" s="136">
        <f t="shared" si="413"/>
        <v>3</v>
      </c>
      <c r="F8825" s="137" t="s">
        <v>24</v>
      </c>
      <c r="G8825" s="128" t="str">
        <f>VLOOKUP(source[[#This Row],[lending_product_transform]],[3]Mapping!$B$4:$C$37,2,0)</f>
        <v>[Cake] - Cashloan</v>
      </c>
      <c r="H8825" s="128" t="str">
        <f>VLOOKUP(source[[#This Row],[lending_product_transform]],[3]Mapping!$B$3:$D$37,3,0)</f>
        <v>cashloan</v>
      </c>
      <c r="I8825" s="143">
        <v>5313276000</v>
      </c>
    </row>
    <row r="8826" spans="1:9" x14ac:dyDescent="0.2">
      <c r="A8826" s="172">
        <v>45903</v>
      </c>
      <c r="B8826" s="135">
        <f>YEAR(source[[#This Row],[report_date]])</f>
        <v>2025</v>
      </c>
      <c r="C8826" s="128">
        <f t="shared" si="412"/>
        <v>9</v>
      </c>
      <c r="D8826" s="136">
        <f t="shared" si="411"/>
        <v>36</v>
      </c>
      <c r="E8826" s="136">
        <f t="shared" si="413"/>
        <v>3</v>
      </c>
      <c r="F8826" s="137" t="s">
        <v>24</v>
      </c>
      <c r="G8826" s="128" t="str">
        <f>VLOOKUP(source[[#This Row],[lending_product_transform]],[3]Mapping!$B$4:$C$37,2,0)</f>
        <v>[Cake] - Cashloan</v>
      </c>
      <c r="H8826" s="128" t="str">
        <f>VLOOKUP(source[[#This Row],[lending_product_transform]],[3]Mapping!$B$3:$D$37,3,0)</f>
        <v>cashloan</v>
      </c>
      <c r="I8826" s="143">
        <v>117398600</v>
      </c>
    </row>
    <row r="8827" spans="1:9" x14ac:dyDescent="0.2">
      <c r="A8827" s="172">
        <v>45903</v>
      </c>
      <c r="B8827" s="135">
        <f>YEAR(source[[#This Row],[report_date]])</f>
        <v>2025</v>
      </c>
      <c r="C8827" s="128">
        <f t="shared" si="412"/>
        <v>9</v>
      </c>
      <c r="D8827" s="136">
        <f t="shared" si="411"/>
        <v>36</v>
      </c>
      <c r="E8827" s="136">
        <f t="shared" si="413"/>
        <v>3</v>
      </c>
      <c r="F8827" s="137" t="s">
        <v>24</v>
      </c>
      <c r="G8827" s="128" t="str">
        <f>VLOOKUP(source[[#This Row],[lending_product_transform]],[3]Mapping!$B$4:$C$37,2,0)</f>
        <v>[Cake] - Cashloan</v>
      </c>
      <c r="H8827" s="128" t="str">
        <f>VLOOKUP(source[[#This Row],[lending_product_transform]],[3]Mapping!$B$3:$D$37,3,0)</f>
        <v>cashloan</v>
      </c>
      <c r="I8827" s="143">
        <v>2517700000</v>
      </c>
    </row>
    <row r="8828" spans="1:9" x14ac:dyDescent="0.2">
      <c r="A8828" s="172">
        <v>45903</v>
      </c>
      <c r="B8828" s="135">
        <f>YEAR(source[[#This Row],[report_date]])</f>
        <v>2025</v>
      </c>
      <c r="C8828" s="128">
        <f t="shared" si="412"/>
        <v>9</v>
      </c>
      <c r="D8828" s="136">
        <f t="shared" si="411"/>
        <v>36</v>
      </c>
      <c r="E8828" s="136">
        <f t="shared" si="413"/>
        <v>3</v>
      </c>
      <c r="F8828" s="137" t="s">
        <v>24</v>
      </c>
      <c r="G8828" s="128" t="str">
        <f>VLOOKUP(source[[#This Row],[lending_product_transform]],[3]Mapping!$B$4:$C$37,2,0)</f>
        <v>[Cake] - Cashloan</v>
      </c>
      <c r="H8828" s="128" t="str">
        <f>VLOOKUP(source[[#This Row],[lending_product_transform]],[3]Mapping!$B$3:$D$37,3,0)</f>
        <v>cashloan</v>
      </c>
      <c r="I8828" s="143">
        <v>43438000</v>
      </c>
    </row>
    <row r="8829" spans="1:9" x14ac:dyDescent="0.2">
      <c r="A8829" s="172">
        <v>45903</v>
      </c>
      <c r="B8829" s="135">
        <f>YEAR(source[[#This Row],[report_date]])</f>
        <v>2025</v>
      </c>
      <c r="C8829" s="128">
        <f t="shared" si="412"/>
        <v>9</v>
      </c>
      <c r="D8829" s="136">
        <f t="shared" si="411"/>
        <v>36</v>
      </c>
      <c r="E8829" s="136">
        <f t="shared" si="413"/>
        <v>3</v>
      </c>
      <c r="F8829" s="137" t="s">
        <v>24</v>
      </c>
      <c r="G8829" s="128" t="str">
        <f>VLOOKUP(source[[#This Row],[lending_product_transform]],[3]Mapping!$B$4:$C$37,2,0)</f>
        <v>[Cake] - Cashloan</v>
      </c>
      <c r="H8829" s="128" t="str">
        <f>VLOOKUP(source[[#This Row],[lending_product_transform]],[3]Mapping!$B$3:$D$37,3,0)</f>
        <v>cashloan</v>
      </c>
      <c r="I8829" s="143">
        <v>391108000</v>
      </c>
    </row>
    <row r="8830" spans="1:9" x14ac:dyDescent="0.2">
      <c r="A8830" s="172">
        <v>45903</v>
      </c>
      <c r="B8830" s="135">
        <f>YEAR(source[[#This Row],[report_date]])</f>
        <v>2025</v>
      </c>
      <c r="C8830" s="128">
        <f t="shared" si="412"/>
        <v>9</v>
      </c>
      <c r="D8830" s="136">
        <f t="shared" si="411"/>
        <v>36</v>
      </c>
      <c r="E8830" s="136">
        <f t="shared" si="413"/>
        <v>3</v>
      </c>
      <c r="F8830" s="137" t="s">
        <v>24</v>
      </c>
      <c r="G8830" s="128" t="str">
        <f>VLOOKUP(source[[#This Row],[lending_product_transform]],[3]Mapping!$B$4:$C$37,2,0)</f>
        <v>[Cake] - Cashloan</v>
      </c>
      <c r="H8830" s="128" t="str">
        <f>VLOOKUP(source[[#This Row],[lending_product_transform]],[3]Mapping!$B$3:$D$37,3,0)</f>
        <v>cashloan</v>
      </c>
      <c r="I8830" s="143">
        <v>0</v>
      </c>
    </row>
    <row r="8831" spans="1:9" x14ac:dyDescent="0.2">
      <c r="A8831" s="172">
        <v>45903</v>
      </c>
      <c r="B8831" s="135">
        <f>YEAR(source[[#This Row],[report_date]])</f>
        <v>2025</v>
      </c>
      <c r="C8831" s="128">
        <f t="shared" si="412"/>
        <v>9</v>
      </c>
      <c r="D8831" s="136">
        <f t="shared" si="411"/>
        <v>36</v>
      </c>
      <c r="E8831" s="136">
        <f t="shared" si="413"/>
        <v>3</v>
      </c>
      <c r="F8831" s="137" t="s">
        <v>24</v>
      </c>
      <c r="G8831" s="128" t="str">
        <f>VLOOKUP(source[[#This Row],[lending_product_transform]],[3]Mapping!$B$4:$C$37,2,0)</f>
        <v>[Cake] - Cashloan</v>
      </c>
      <c r="H8831" s="128" t="str">
        <f>VLOOKUP(source[[#This Row],[lending_product_transform]],[3]Mapping!$B$3:$D$37,3,0)</f>
        <v>cashloan</v>
      </c>
      <c r="I8831" s="143">
        <v>10500000</v>
      </c>
    </row>
    <row r="8832" spans="1:9" x14ac:dyDescent="0.2">
      <c r="A8832" s="172">
        <v>45903</v>
      </c>
      <c r="B8832" s="135">
        <f>YEAR(source[[#This Row],[report_date]])</f>
        <v>2025</v>
      </c>
      <c r="C8832" s="128">
        <f t="shared" si="412"/>
        <v>9</v>
      </c>
      <c r="D8832" s="136">
        <f t="shared" si="411"/>
        <v>36</v>
      </c>
      <c r="E8832" s="136">
        <f t="shared" si="413"/>
        <v>3</v>
      </c>
      <c r="F8832" s="137" t="s">
        <v>24</v>
      </c>
      <c r="G8832" s="128" t="str">
        <f>VLOOKUP(source[[#This Row],[lending_product_transform]],[3]Mapping!$B$4:$C$37,2,0)</f>
        <v>[Cake] - Cashloan</v>
      </c>
      <c r="H8832" s="128" t="str">
        <f>VLOOKUP(source[[#This Row],[lending_product_transform]],[3]Mapping!$B$3:$D$37,3,0)</f>
        <v>cashloan</v>
      </c>
      <c r="I8832" s="143">
        <v>12469570000</v>
      </c>
    </row>
    <row r="8833" spans="1:9" x14ac:dyDescent="0.2">
      <c r="A8833" s="172">
        <v>45903</v>
      </c>
      <c r="B8833" s="135">
        <f>YEAR(source[[#This Row],[report_date]])</f>
        <v>2025</v>
      </c>
      <c r="C8833" s="128">
        <f t="shared" si="412"/>
        <v>9</v>
      </c>
      <c r="D8833" s="136">
        <f t="shared" si="411"/>
        <v>36</v>
      </c>
      <c r="E8833" s="136">
        <f t="shared" si="413"/>
        <v>3</v>
      </c>
      <c r="F8833" s="137" t="s">
        <v>24</v>
      </c>
      <c r="G8833" s="128" t="str">
        <f>VLOOKUP(source[[#This Row],[lending_product_transform]],[3]Mapping!$B$4:$C$37,2,0)</f>
        <v>[Cake] - Cashloan</v>
      </c>
      <c r="H8833" s="128" t="str">
        <f>VLOOKUP(source[[#This Row],[lending_product_transform]],[3]Mapping!$B$3:$D$37,3,0)</f>
        <v>cashloan</v>
      </c>
      <c r="I8833" s="143">
        <v>0</v>
      </c>
    </row>
    <row r="8834" spans="1:9" x14ac:dyDescent="0.2">
      <c r="A8834" s="172">
        <v>45903</v>
      </c>
      <c r="B8834" s="135">
        <f>YEAR(source[[#This Row],[report_date]])</f>
        <v>2025</v>
      </c>
      <c r="C8834" s="128">
        <f t="shared" si="412"/>
        <v>9</v>
      </c>
      <c r="D8834" s="136">
        <f t="shared" si="411"/>
        <v>36</v>
      </c>
      <c r="E8834" s="136">
        <f t="shared" si="413"/>
        <v>3</v>
      </c>
      <c r="F8834" s="137" t="s">
        <v>24</v>
      </c>
      <c r="G8834" s="128" t="str">
        <f>VLOOKUP(source[[#This Row],[lending_product_transform]],[3]Mapping!$B$4:$C$37,2,0)</f>
        <v>[Cake] - Cashloan</v>
      </c>
      <c r="H8834" s="128" t="str">
        <f>VLOOKUP(source[[#This Row],[lending_product_transform]],[3]Mapping!$B$3:$D$37,3,0)</f>
        <v>cashloan</v>
      </c>
      <c r="I8834" s="143">
        <v>0</v>
      </c>
    </row>
    <row r="8835" spans="1:9" x14ac:dyDescent="0.2">
      <c r="A8835" s="172">
        <v>45903</v>
      </c>
      <c r="B8835" s="135">
        <f>YEAR(source[[#This Row],[report_date]])</f>
        <v>2025</v>
      </c>
      <c r="C8835" s="128">
        <f t="shared" si="412"/>
        <v>9</v>
      </c>
      <c r="D8835" s="136">
        <f t="shared" ref="D8835:D8898" si="414">WEEKNUM(A8835,2)</f>
        <v>36</v>
      </c>
      <c r="E8835" s="136">
        <f t="shared" si="413"/>
        <v>3</v>
      </c>
      <c r="F8835" s="137" t="s">
        <v>24</v>
      </c>
      <c r="G8835" s="128" t="str">
        <f>VLOOKUP(source[[#This Row],[lending_product_transform]],[3]Mapping!$B$4:$C$37,2,0)</f>
        <v>[Cake] - Cashloan</v>
      </c>
      <c r="H8835" s="128" t="str">
        <f>VLOOKUP(source[[#This Row],[lending_product_transform]],[3]Mapping!$B$3:$D$37,3,0)</f>
        <v>cashloan</v>
      </c>
      <c r="I8835" s="143">
        <v>0</v>
      </c>
    </row>
    <row r="8836" spans="1:9" x14ac:dyDescent="0.2">
      <c r="A8836" s="172">
        <v>45903</v>
      </c>
      <c r="B8836" s="135">
        <f>YEAR(source[[#This Row],[report_date]])</f>
        <v>2025</v>
      </c>
      <c r="C8836" s="128">
        <f t="shared" si="412"/>
        <v>9</v>
      </c>
      <c r="D8836" s="136">
        <f t="shared" si="414"/>
        <v>36</v>
      </c>
      <c r="E8836" s="136">
        <f t="shared" si="413"/>
        <v>3</v>
      </c>
      <c r="F8836" s="137" t="s">
        <v>24</v>
      </c>
      <c r="G8836" s="128" t="str">
        <f>VLOOKUP(source[[#This Row],[lending_product_transform]],[3]Mapping!$B$4:$C$37,2,0)</f>
        <v>[Cake] - Cashloan</v>
      </c>
      <c r="H8836" s="128" t="str">
        <f>VLOOKUP(source[[#This Row],[lending_product_transform]],[3]Mapping!$B$3:$D$37,3,0)</f>
        <v>cashloan</v>
      </c>
      <c r="I8836" s="143">
        <v>0</v>
      </c>
    </row>
    <row r="8837" spans="1:9" x14ac:dyDescent="0.2">
      <c r="A8837" s="172">
        <v>45903</v>
      </c>
      <c r="B8837" s="135">
        <f>YEAR(source[[#This Row],[report_date]])</f>
        <v>2025</v>
      </c>
      <c r="C8837" s="128">
        <f t="shared" si="412"/>
        <v>9</v>
      </c>
      <c r="D8837" s="136">
        <f t="shared" si="414"/>
        <v>36</v>
      </c>
      <c r="E8837" s="136">
        <f t="shared" si="413"/>
        <v>3</v>
      </c>
      <c r="F8837" s="137" t="s">
        <v>24</v>
      </c>
      <c r="G8837" s="128" t="str">
        <f>VLOOKUP(source[[#This Row],[lending_product_transform]],[3]Mapping!$B$4:$C$37,2,0)</f>
        <v>[Cake] - Cashloan</v>
      </c>
      <c r="H8837" s="128" t="str">
        <f>VLOOKUP(source[[#This Row],[lending_product_transform]],[3]Mapping!$B$3:$D$37,3,0)</f>
        <v>cashloan</v>
      </c>
      <c r="I8837" s="143">
        <v>6503760000</v>
      </c>
    </row>
    <row r="8838" spans="1:9" x14ac:dyDescent="0.2">
      <c r="A8838" s="172">
        <v>45903</v>
      </c>
      <c r="B8838" s="135">
        <f>YEAR(source[[#This Row],[report_date]])</f>
        <v>2025</v>
      </c>
      <c r="C8838" s="128">
        <f t="shared" si="412"/>
        <v>9</v>
      </c>
      <c r="D8838" s="136">
        <f t="shared" si="414"/>
        <v>36</v>
      </c>
      <c r="E8838" s="136">
        <f t="shared" si="413"/>
        <v>3</v>
      </c>
      <c r="F8838" s="137" t="s">
        <v>24</v>
      </c>
      <c r="G8838" s="128" t="str">
        <f>VLOOKUP(source[[#This Row],[lending_product_transform]],[3]Mapping!$B$4:$C$37,2,0)</f>
        <v>[Cake] - Cashloan</v>
      </c>
      <c r="H8838" s="128" t="str">
        <f>VLOOKUP(source[[#This Row],[lending_product_transform]],[3]Mapping!$B$3:$D$37,3,0)</f>
        <v>cashloan</v>
      </c>
      <c r="I8838" s="143">
        <v>571500648</v>
      </c>
    </row>
    <row r="8839" spans="1:9" x14ac:dyDescent="0.2">
      <c r="A8839" s="172">
        <v>45903</v>
      </c>
      <c r="B8839" s="135">
        <f>YEAR(source[[#This Row],[report_date]])</f>
        <v>2025</v>
      </c>
      <c r="C8839" s="128">
        <f t="shared" si="412"/>
        <v>9</v>
      </c>
      <c r="D8839" s="136">
        <f t="shared" si="414"/>
        <v>36</v>
      </c>
      <c r="E8839" s="136">
        <f t="shared" si="413"/>
        <v>3</v>
      </c>
      <c r="F8839" s="137" t="s">
        <v>24</v>
      </c>
      <c r="G8839" s="128" t="str">
        <f>VLOOKUP(source[[#This Row],[lending_product_transform]],[3]Mapping!$B$4:$C$37,2,0)</f>
        <v>[Cake] - Cashloan</v>
      </c>
      <c r="H8839" s="128" t="str">
        <f>VLOOKUP(source[[#This Row],[lending_product_transform]],[3]Mapping!$B$3:$D$37,3,0)</f>
        <v>cashloan</v>
      </c>
      <c r="I8839" s="143">
        <v>26250000</v>
      </c>
    </row>
    <row r="8840" spans="1:9" x14ac:dyDescent="0.2">
      <c r="A8840" s="172">
        <v>45903</v>
      </c>
      <c r="B8840" s="135">
        <f>YEAR(source[[#This Row],[report_date]])</f>
        <v>2025</v>
      </c>
      <c r="C8840" s="128">
        <f t="shared" si="412"/>
        <v>9</v>
      </c>
      <c r="D8840" s="136">
        <f t="shared" si="414"/>
        <v>36</v>
      </c>
      <c r="E8840" s="136">
        <f t="shared" si="413"/>
        <v>3</v>
      </c>
      <c r="F8840" s="137" t="s">
        <v>24</v>
      </c>
      <c r="G8840" s="128" t="str">
        <f>VLOOKUP(source[[#This Row],[lending_product_transform]],[3]Mapping!$B$4:$C$37,2,0)</f>
        <v>[Cake] - Cashloan</v>
      </c>
      <c r="H8840" s="128" t="str">
        <f>VLOOKUP(source[[#This Row],[lending_product_transform]],[3]Mapping!$B$3:$D$37,3,0)</f>
        <v>cashloan</v>
      </c>
      <c r="I8840" s="143">
        <v>45000000</v>
      </c>
    </row>
    <row r="8841" spans="1:9" x14ac:dyDescent="0.2">
      <c r="A8841" s="172">
        <v>45903</v>
      </c>
      <c r="B8841" s="135">
        <f>YEAR(source[[#This Row],[report_date]])</f>
        <v>2025</v>
      </c>
      <c r="C8841" s="128">
        <f t="shared" si="412"/>
        <v>9</v>
      </c>
      <c r="D8841" s="136">
        <f t="shared" si="414"/>
        <v>36</v>
      </c>
      <c r="E8841" s="136">
        <f t="shared" si="413"/>
        <v>3</v>
      </c>
      <c r="F8841" s="137" t="s">
        <v>24</v>
      </c>
      <c r="G8841" s="128" t="str">
        <f>VLOOKUP(source[[#This Row],[lending_product_transform]],[3]Mapping!$B$4:$C$37,2,0)</f>
        <v>[Cake] - Cashloan</v>
      </c>
      <c r="H8841" s="128" t="str">
        <f>VLOOKUP(source[[#This Row],[lending_product_transform]],[3]Mapping!$B$3:$D$37,3,0)</f>
        <v>cashloan</v>
      </c>
      <c r="I8841" s="143">
        <v>445180000</v>
      </c>
    </row>
    <row r="8842" spans="1:9" x14ac:dyDescent="0.2">
      <c r="A8842" s="172">
        <v>45903</v>
      </c>
      <c r="B8842" s="135">
        <f>YEAR(source[[#This Row],[report_date]])</f>
        <v>2025</v>
      </c>
      <c r="C8842" s="128">
        <f t="shared" si="412"/>
        <v>9</v>
      </c>
      <c r="D8842" s="136">
        <f t="shared" si="414"/>
        <v>36</v>
      </c>
      <c r="E8842" s="136">
        <f t="shared" si="413"/>
        <v>3</v>
      </c>
      <c r="F8842" s="137" t="s">
        <v>24</v>
      </c>
      <c r="G8842" s="128" t="str">
        <f>VLOOKUP(source[[#This Row],[lending_product_transform]],[3]Mapping!$B$4:$C$37,2,0)</f>
        <v>[Cake] - Cashloan</v>
      </c>
      <c r="H8842" s="128" t="str">
        <f>VLOOKUP(source[[#This Row],[lending_product_transform]],[3]Mapping!$B$3:$D$37,3,0)</f>
        <v>cashloan</v>
      </c>
      <c r="I8842" s="143">
        <v>1181851452</v>
      </c>
    </row>
    <row r="8843" spans="1:9" x14ac:dyDescent="0.2">
      <c r="A8843" s="172">
        <v>45903</v>
      </c>
      <c r="B8843" s="135">
        <f>YEAR(source[[#This Row],[report_date]])</f>
        <v>2025</v>
      </c>
      <c r="C8843" s="128">
        <f t="shared" si="412"/>
        <v>9</v>
      </c>
      <c r="D8843" s="136">
        <f t="shared" si="414"/>
        <v>36</v>
      </c>
      <c r="E8843" s="136">
        <f t="shared" si="413"/>
        <v>3</v>
      </c>
      <c r="F8843" s="137" t="s">
        <v>24</v>
      </c>
      <c r="G8843" s="128" t="str">
        <f>VLOOKUP(source[[#This Row],[lending_product_transform]],[3]Mapping!$B$4:$C$37,2,0)</f>
        <v>[Cake] - Cashloan</v>
      </c>
      <c r="H8843" s="128" t="str">
        <f>VLOOKUP(source[[#This Row],[lending_product_transform]],[3]Mapping!$B$3:$D$37,3,0)</f>
        <v>cashloan</v>
      </c>
      <c r="I8843" s="143">
        <v>3897470000</v>
      </c>
    </row>
    <row r="8844" spans="1:9" x14ac:dyDescent="0.2">
      <c r="A8844" s="172">
        <v>45904</v>
      </c>
      <c r="B8844" s="135">
        <f>YEAR(source[[#This Row],[report_date]])</f>
        <v>2025</v>
      </c>
      <c r="C8844" s="128">
        <f t="shared" si="412"/>
        <v>9</v>
      </c>
      <c r="D8844" s="136">
        <f t="shared" si="414"/>
        <v>36</v>
      </c>
      <c r="E8844" s="136">
        <f t="shared" si="413"/>
        <v>4</v>
      </c>
      <c r="F8844" s="137" t="s">
        <v>24</v>
      </c>
      <c r="G8844" s="128" t="str">
        <f>VLOOKUP(source[[#This Row],[lending_product_transform]],[3]Mapping!$B$4:$C$37,2,0)</f>
        <v>[Cake] - Cashloan</v>
      </c>
      <c r="H8844" s="128" t="str">
        <f>VLOOKUP(source[[#This Row],[lending_product_transform]],[3]Mapping!$B$3:$D$37,3,0)</f>
        <v>cashloan</v>
      </c>
      <c r="I8844" s="143">
        <v>0</v>
      </c>
    </row>
    <row r="8845" spans="1:9" x14ac:dyDescent="0.2">
      <c r="A8845" s="172">
        <v>45904</v>
      </c>
      <c r="B8845" s="135">
        <f>YEAR(source[[#This Row],[report_date]])</f>
        <v>2025</v>
      </c>
      <c r="C8845" s="128">
        <f t="shared" si="412"/>
        <v>9</v>
      </c>
      <c r="D8845" s="136">
        <f t="shared" si="414"/>
        <v>36</v>
      </c>
      <c r="E8845" s="136">
        <f t="shared" si="413"/>
        <v>4</v>
      </c>
      <c r="F8845" s="137" t="s">
        <v>24</v>
      </c>
      <c r="G8845" s="128" t="str">
        <f>VLOOKUP(source[[#This Row],[lending_product_transform]],[3]Mapping!$B$4:$C$37,2,0)</f>
        <v>[Cake] - Cashloan</v>
      </c>
      <c r="H8845" s="128" t="str">
        <f>VLOOKUP(source[[#This Row],[lending_product_transform]],[3]Mapping!$B$3:$D$37,3,0)</f>
        <v>cashloan</v>
      </c>
      <c r="I8845" s="143">
        <v>390438365</v>
      </c>
    </row>
    <row r="8846" spans="1:9" x14ac:dyDescent="0.2">
      <c r="A8846" s="172">
        <v>45904</v>
      </c>
      <c r="B8846" s="135">
        <f>YEAR(source[[#This Row],[report_date]])</f>
        <v>2025</v>
      </c>
      <c r="C8846" s="128">
        <f t="shared" si="412"/>
        <v>9</v>
      </c>
      <c r="D8846" s="136">
        <f t="shared" si="414"/>
        <v>36</v>
      </c>
      <c r="E8846" s="136">
        <f t="shared" si="413"/>
        <v>4</v>
      </c>
      <c r="F8846" s="137" t="s">
        <v>24</v>
      </c>
      <c r="G8846" s="128" t="str">
        <f>VLOOKUP(source[[#This Row],[lending_product_transform]],[3]Mapping!$B$4:$C$37,2,0)</f>
        <v>[Cake] - Cashloan</v>
      </c>
      <c r="H8846" s="128" t="str">
        <f>VLOOKUP(source[[#This Row],[lending_product_transform]],[3]Mapping!$B$3:$D$37,3,0)</f>
        <v>cashloan</v>
      </c>
      <c r="I8846" s="143">
        <v>20535450000</v>
      </c>
    </row>
    <row r="8847" spans="1:9" x14ac:dyDescent="0.2">
      <c r="A8847" s="172">
        <v>45904</v>
      </c>
      <c r="B8847" s="135">
        <f>YEAR(source[[#This Row],[report_date]])</f>
        <v>2025</v>
      </c>
      <c r="C8847" s="128">
        <f t="shared" si="412"/>
        <v>9</v>
      </c>
      <c r="D8847" s="136">
        <f t="shared" si="414"/>
        <v>36</v>
      </c>
      <c r="E8847" s="136">
        <f t="shared" si="413"/>
        <v>4</v>
      </c>
      <c r="F8847" s="137" t="s">
        <v>24</v>
      </c>
      <c r="G8847" s="128" t="str">
        <f>VLOOKUP(source[[#This Row],[lending_product_transform]],[3]Mapping!$B$4:$C$37,2,0)</f>
        <v>[Cake] - Cashloan</v>
      </c>
      <c r="H8847" s="128" t="str">
        <f>VLOOKUP(source[[#This Row],[lending_product_transform]],[3]Mapping!$B$3:$D$37,3,0)</f>
        <v>cashloan</v>
      </c>
      <c r="I8847" s="143">
        <v>3914917889</v>
      </c>
    </row>
    <row r="8848" spans="1:9" x14ac:dyDescent="0.2">
      <c r="A8848" s="172">
        <v>45904</v>
      </c>
      <c r="B8848" s="135">
        <f>YEAR(source[[#This Row],[report_date]])</f>
        <v>2025</v>
      </c>
      <c r="C8848" s="128">
        <f t="shared" si="412"/>
        <v>9</v>
      </c>
      <c r="D8848" s="136">
        <f t="shared" si="414"/>
        <v>36</v>
      </c>
      <c r="E8848" s="136">
        <f t="shared" si="413"/>
        <v>4</v>
      </c>
      <c r="F8848" s="137" t="s">
        <v>24</v>
      </c>
      <c r="G8848" s="128" t="str">
        <f>VLOOKUP(source[[#This Row],[lending_product_transform]],[3]Mapping!$B$4:$C$37,2,0)</f>
        <v>[Cake] - Cashloan</v>
      </c>
      <c r="H8848" s="128" t="str">
        <f>VLOOKUP(source[[#This Row],[lending_product_transform]],[3]Mapping!$B$3:$D$37,3,0)</f>
        <v>cashloan</v>
      </c>
      <c r="I8848" s="143">
        <v>5437476000</v>
      </c>
    </row>
    <row r="8849" spans="1:9" x14ac:dyDescent="0.2">
      <c r="A8849" s="172">
        <v>45904</v>
      </c>
      <c r="B8849" s="135">
        <f>YEAR(source[[#This Row],[report_date]])</f>
        <v>2025</v>
      </c>
      <c r="C8849" s="128">
        <f t="shared" si="412"/>
        <v>9</v>
      </c>
      <c r="D8849" s="136">
        <f t="shared" si="414"/>
        <v>36</v>
      </c>
      <c r="E8849" s="136">
        <f t="shared" si="413"/>
        <v>4</v>
      </c>
      <c r="F8849" s="137" t="s">
        <v>24</v>
      </c>
      <c r="G8849" s="128" t="str">
        <f>VLOOKUP(source[[#This Row],[lending_product_transform]],[3]Mapping!$B$4:$C$37,2,0)</f>
        <v>[Cake] - Cashloan</v>
      </c>
      <c r="H8849" s="128" t="str">
        <f>VLOOKUP(source[[#This Row],[lending_product_transform]],[3]Mapping!$B$3:$D$37,3,0)</f>
        <v>cashloan</v>
      </c>
      <c r="I8849" s="143">
        <v>120336278</v>
      </c>
    </row>
    <row r="8850" spans="1:9" x14ac:dyDescent="0.2">
      <c r="A8850" s="172">
        <v>45904</v>
      </c>
      <c r="B8850" s="135">
        <f>YEAR(source[[#This Row],[report_date]])</f>
        <v>2025</v>
      </c>
      <c r="C8850" s="128">
        <f t="shared" si="412"/>
        <v>9</v>
      </c>
      <c r="D8850" s="136">
        <f t="shared" si="414"/>
        <v>36</v>
      </c>
      <c r="E8850" s="136">
        <f t="shared" si="413"/>
        <v>4</v>
      </c>
      <c r="F8850" s="137" t="s">
        <v>24</v>
      </c>
      <c r="G8850" s="128" t="str">
        <f>VLOOKUP(source[[#This Row],[lending_product_transform]],[3]Mapping!$B$4:$C$37,2,0)</f>
        <v>[Cake] - Cashloan</v>
      </c>
      <c r="H8850" s="128" t="str">
        <f>VLOOKUP(source[[#This Row],[lending_product_transform]],[3]Mapping!$B$3:$D$37,3,0)</f>
        <v>cashloan</v>
      </c>
      <c r="I8850" s="143">
        <v>2742940000</v>
      </c>
    </row>
    <row r="8851" spans="1:9" x14ac:dyDescent="0.2">
      <c r="A8851" s="172">
        <v>45904</v>
      </c>
      <c r="B8851" s="135">
        <f>YEAR(source[[#This Row],[report_date]])</f>
        <v>2025</v>
      </c>
      <c r="C8851" s="128">
        <f t="shared" si="412"/>
        <v>9</v>
      </c>
      <c r="D8851" s="136">
        <f t="shared" si="414"/>
        <v>36</v>
      </c>
      <c r="E8851" s="136">
        <f t="shared" si="413"/>
        <v>4</v>
      </c>
      <c r="F8851" s="137" t="s">
        <v>24</v>
      </c>
      <c r="G8851" s="128" t="str">
        <f>VLOOKUP(source[[#This Row],[lending_product_transform]],[3]Mapping!$B$4:$C$37,2,0)</f>
        <v>[Cake] - Cashloan</v>
      </c>
      <c r="H8851" s="128" t="str">
        <f>VLOOKUP(source[[#This Row],[lending_product_transform]],[3]Mapping!$B$3:$D$37,3,0)</f>
        <v>cashloan</v>
      </c>
      <c r="I8851" s="143">
        <v>98672000</v>
      </c>
    </row>
    <row r="8852" spans="1:9" x14ac:dyDescent="0.2">
      <c r="A8852" s="172">
        <v>45904</v>
      </c>
      <c r="B8852" s="135">
        <f>YEAR(source[[#This Row],[report_date]])</f>
        <v>2025</v>
      </c>
      <c r="C8852" s="128">
        <f t="shared" si="412"/>
        <v>9</v>
      </c>
      <c r="D8852" s="136">
        <f t="shared" si="414"/>
        <v>36</v>
      </c>
      <c r="E8852" s="136">
        <f t="shared" si="413"/>
        <v>4</v>
      </c>
      <c r="F8852" s="137" t="s">
        <v>24</v>
      </c>
      <c r="G8852" s="128" t="str">
        <f>VLOOKUP(source[[#This Row],[lending_product_transform]],[3]Mapping!$B$4:$C$37,2,0)</f>
        <v>[Cake] - Cashloan</v>
      </c>
      <c r="H8852" s="128" t="str">
        <f>VLOOKUP(source[[#This Row],[lending_product_transform]],[3]Mapping!$B$3:$D$37,3,0)</f>
        <v>cashloan</v>
      </c>
      <c r="I8852" s="143">
        <v>416159150</v>
      </c>
    </row>
    <row r="8853" spans="1:9" x14ac:dyDescent="0.2">
      <c r="A8853" s="172">
        <v>45904</v>
      </c>
      <c r="B8853" s="135">
        <f>YEAR(source[[#This Row],[report_date]])</f>
        <v>2025</v>
      </c>
      <c r="C8853" s="128">
        <f t="shared" si="412"/>
        <v>9</v>
      </c>
      <c r="D8853" s="136">
        <f t="shared" si="414"/>
        <v>36</v>
      </c>
      <c r="E8853" s="136">
        <f t="shared" si="413"/>
        <v>4</v>
      </c>
      <c r="F8853" s="137" t="s">
        <v>24</v>
      </c>
      <c r="G8853" s="128" t="str">
        <f>VLOOKUP(source[[#This Row],[lending_product_transform]],[3]Mapping!$B$4:$C$37,2,0)</f>
        <v>[Cake] - Cashloan</v>
      </c>
      <c r="H8853" s="128" t="str">
        <f>VLOOKUP(source[[#This Row],[lending_product_transform]],[3]Mapping!$B$3:$D$37,3,0)</f>
        <v>cashloan</v>
      </c>
      <c r="I8853" s="143">
        <v>0</v>
      </c>
    </row>
    <row r="8854" spans="1:9" x14ac:dyDescent="0.2">
      <c r="A8854" s="172">
        <v>45904</v>
      </c>
      <c r="B8854" s="135">
        <f>YEAR(source[[#This Row],[report_date]])</f>
        <v>2025</v>
      </c>
      <c r="C8854" s="128">
        <f t="shared" si="412"/>
        <v>9</v>
      </c>
      <c r="D8854" s="136">
        <f t="shared" si="414"/>
        <v>36</v>
      </c>
      <c r="E8854" s="136">
        <f t="shared" si="413"/>
        <v>4</v>
      </c>
      <c r="F8854" s="137" t="s">
        <v>24</v>
      </c>
      <c r="G8854" s="128" t="str">
        <f>VLOOKUP(source[[#This Row],[lending_product_transform]],[3]Mapping!$B$4:$C$37,2,0)</f>
        <v>[Cake] - Cashloan</v>
      </c>
      <c r="H8854" s="128" t="str">
        <f>VLOOKUP(source[[#This Row],[lending_product_transform]],[3]Mapping!$B$3:$D$37,3,0)</f>
        <v>cashloan</v>
      </c>
      <c r="I8854" s="143">
        <v>35700000</v>
      </c>
    </row>
    <row r="8855" spans="1:9" x14ac:dyDescent="0.2">
      <c r="A8855" s="172">
        <v>45904</v>
      </c>
      <c r="B8855" s="135">
        <f>YEAR(source[[#This Row],[report_date]])</f>
        <v>2025</v>
      </c>
      <c r="C8855" s="128">
        <f t="shared" si="412"/>
        <v>9</v>
      </c>
      <c r="D8855" s="136">
        <f t="shared" si="414"/>
        <v>36</v>
      </c>
      <c r="E8855" s="136">
        <f t="shared" si="413"/>
        <v>4</v>
      </c>
      <c r="F8855" s="137" t="s">
        <v>24</v>
      </c>
      <c r="G8855" s="128" t="str">
        <f>VLOOKUP(source[[#This Row],[lending_product_transform]],[3]Mapping!$B$4:$C$37,2,0)</f>
        <v>[Cake] - Cashloan</v>
      </c>
      <c r="H8855" s="128" t="str">
        <f>VLOOKUP(source[[#This Row],[lending_product_transform]],[3]Mapping!$B$3:$D$37,3,0)</f>
        <v>cashloan</v>
      </c>
      <c r="I8855" s="143">
        <v>14832730000</v>
      </c>
    </row>
    <row r="8856" spans="1:9" x14ac:dyDescent="0.2">
      <c r="A8856" s="172">
        <v>45904</v>
      </c>
      <c r="B8856" s="135">
        <f>YEAR(source[[#This Row],[report_date]])</f>
        <v>2025</v>
      </c>
      <c r="C8856" s="128">
        <f t="shared" si="412"/>
        <v>9</v>
      </c>
      <c r="D8856" s="136">
        <f t="shared" si="414"/>
        <v>36</v>
      </c>
      <c r="E8856" s="136">
        <f t="shared" si="413"/>
        <v>4</v>
      </c>
      <c r="F8856" s="137" t="s">
        <v>24</v>
      </c>
      <c r="G8856" s="128" t="str">
        <f>VLOOKUP(source[[#This Row],[lending_product_transform]],[3]Mapping!$B$4:$C$37,2,0)</f>
        <v>[Cake] - Cashloan</v>
      </c>
      <c r="H8856" s="128" t="str">
        <f>VLOOKUP(source[[#This Row],[lending_product_transform]],[3]Mapping!$B$3:$D$37,3,0)</f>
        <v>cashloan</v>
      </c>
      <c r="I8856" s="143">
        <v>0</v>
      </c>
    </row>
    <row r="8857" spans="1:9" x14ac:dyDescent="0.2">
      <c r="A8857" s="172">
        <v>45904</v>
      </c>
      <c r="B8857" s="135">
        <f>YEAR(source[[#This Row],[report_date]])</f>
        <v>2025</v>
      </c>
      <c r="C8857" s="128">
        <f t="shared" si="412"/>
        <v>9</v>
      </c>
      <c r="D8857" s="136">
        <f t="shared" si="414"/>
        <v>36</v>
      </c>
      <c r="E8857" s="136">
        <f t="shared" si="413"/>
        <v>4</v>
      </c>
      <c r="F8857" s="137" t="s">
        <v>24</v>
      </c>
      <c r="G8857" s="128" t="str">
        <f>VLOOKUP(source[[#This Row],[lending_product_transform]],[3]Mapping!$B$4:$C$37,2,0)</f>
        <v>[Cake] - Cashloan</v>
      </c>
      <c r="H8857" s="128" t="str">
        <f>VLOOKUP(source[[#This Row],[lending_product_transform]],[3]Mapping!$B$3:$D$37,3,0)</f>
        <v>cashloan</v>
      </c>
      <c r="I8857" s="143">
        <v>0</v>
      </c>
    </row>
    <row r="8858" spans="1:9" x14ac:dyDescent="0.2">
      <c r="A8858" s="172">
        <v>45904</v>
      </c>
      <c r="B8858" s="135">
        <f>YEAR(source[[#This Row],[report_date]])</f>
        <v>2025</v>
      </c>
      <c r="C8858" s="128">
        <f t="shared" si="412"/>
        <v>9</v>
      </c>
      <c r="D8858" s="136">
        <f t="shared" si="414"/>
        <v>36</v>
      </c>
      <c r="E8858" s="136">
        <f t="shared" si="413"/>
        <v>4</v>
      </c>
      <c r="F8858" s="137" t="s">
        <v>24</v>
      </c>
      <c r="G8858" s="128" t="str">
        <f>VLOOKUP(source[[#This Row],[lending_product_transform]],[3]Mapping!$B$4:$C$37,2,0)</f>
        <v>[Cake] - Cashloan</v>
      </c>
      <c r="H8858" s="128" t="str">
        <f>VLOOKUP(source[[#This Row],[lending_product_transform]],[3]Mapping!$B$3:$D$37,3,0)</f>
        <v>cashloan</v>
      </c>
      <c r="I8858" s="143">
        <v>0</v>
      </c>
    </row>
    <row r="8859" spans="1:9" x14ac:dyDescent="0.2">
      <c r="A8859" s="172">
        <v>45904</v>
      </c>
      <c r="B8859" s="135">
        <f>YEAR(source[[#This Row],[report_date]])</f>
        <v>2025</v>
      </c>
      <c r="C8859" s="128">
        <f t="shared" si="412"/>
        <v>9</v>
      </c>
      <c r="D8859" s="136">
        <f t="shared" si="414"/>
        <v>36</v>
      </c>
      <c r="E8859" s="136">
        <f t="shared" si="413"/>
        <v>4</v>
      </c>
      <c r="F8859" s="137" t="s">
        <v>24</v>
      </c>
      <c r="G8859" s="128" t="str">
        <f>VLOOKUP(source[[#This Row],[lending_product_transform]],[3]Mapping!$B$4:$C$37,2,0)</f>
        <v>[Cake] - Cashloan</v>
      </c>
      <c r="H8859" s="128" t="str">
        <f>VLOOKUP(source[[#This Row],[lending_product_transform]],[3]Mapping!$B$3:$D$37,3,0)</f>
        <v>cashloan</v>
      </c>
      <c r="I8859" s="143">
        <v>0</v>
      </c>
    </row>
    <row r="8860" spans="1:9" x14ac:dyDescent="0.2">
      <c r="A8860" s="172">
        <v>45904</v>
      </c>
      <c r="B8860" s="135">
        <f>YEAR(source[[#This Row],[report_date]])</f>
        <v>2025</v>
      </c>
      <c r="C8860" s="128">
        <f t="shared" si="412"/>
        <v>9</v>
      </c>
      <c r="D8860" s="136">
        <f t="shared" si="414"/>
        <v>36</v>
      </c>
      <c r="E8860" s="136">
        <f t="shared" si="413"/>
        <v>4</v>
      </c>
      <c r="F8860" s="137" t="s">
        <v>24</v>
      </c>
      <c r="G8860" s="128" t="str">
        <f>VLOOKUP(source[[#This Row],[lending_product_transform]],[3]Mapping!$B$4:$C$37,2,0)</f>
        <v>[Cake] - Cashloan</v>
      </c>
      <c r="H8860" s="128" t="str">
        <f>VLOOKUP(source[[#This Row],[lending_product_transform]],[3]Mapping!$B$3:$D$37,3,0)</f>
        <v>cashloan</v>
      </c>
      <c r="I8860" s="143">
        <v>7606332000</v>
      </c>
    </row>
    <row r="8861" spans="1:9" x14ac:dyDescent="0.2">
      <c r="A8861" s="172">
        <v>45904</v>
      </c>
      <c r="B8861" s="135">
        <f>YEAR(source[[#This Row],[report_date]])</f>
        <v>2025</v>
      </c>
      <c r="C8861" s="128">
        <f t="shared" si="412"/>
        <v>9</v>
      </c>
      <c r="D8861" s="136">
        <f t="shared" si="414"/>
        <v>36</v>
      </c>
      <c r="E8861" s="136">
        <f t="shared" si="413"/>
        <v>4</v>
      </c>
      <c r="F8861" s="137" t="s">
        <v>24</v>
      </c>
      <c r="G8861" s="128" t="str">
        <f>VLOOKUP(source[[#This Row],[lending_product_transform]],[3]Mapping!$B$4:$C$37,2,0)</f>
        <v>[Cake] - Cashloan</v>
      </c>
      <c r="H8861" s="128" t="str">
        <f>VLOOKUP(source[[#This Row],[lending_product_transform]],[3]Mapping!$B$3:$D$37,3,0)</f>
        <v>cashloan</v>
      </c>
      <c r="I8861" s="143">
        <v>759961334</v>
      </c>
    </row>
    <row r="8862" spans="1:9" x14ac:dyDescent="0.2">
      <c r="A8862" s="172">
        <v>45904</v>
      </c>
      <c r="B8862" s="135">
        <f>YEAR(source[[#This Row],[report_date]])</f>
        <v>2025</v>
      </c>
      <c r="C8862" s="128">
        <f t="shared" si="412"/>
        <v>9</v>
      </c>
      <c r="D8862" s="136">
        <f t="shared" si="414"/>
        <v>36</v>
      </c>
      <c r="E8862" s="136">
        <f t="shared" si="413"/>
        <v>4</v>
      </c>
      <c r="F8862" s="137" t="s">
        <v>24</v>
      </c>
      <c r="G8862" s="128" t="str">
        <f>VLOOKUP(source[[#This Row],[lending_product_transform]],[3]Mapping!$B$4:$C$37,2,0)</f>
        <v>[Cake] - Cashloan</v>
      </c>
      <c r="H8862" s="128" t="str">
        <f>VLOOKUP(source[[#This Row],[lending_product_transform]],[3]Mapping!$B$3:$D$37,3,0)</f>
        <v>cashloan</v>
      </c>
      <c r="I8862" s="143">
        <v>31500000</v>
      </c>
    </row>
    <row r="8863" spans="1:9" x14ac:dyDescent="0.2">
      <c r="A8863" s="172">
        <v>45904</v>
      </c>
      <c r="B8863" s="135">
        <f>YEAR(source[[#This Row],[report_date]])</f>
        <v>2025</v>
      </c>
      <c r="C8863" s="128">
        <f t="shared" si="412"/>
        <v>9</v>
      </c>
      <c r="D8863" s="136">
        <f t="shared" si="414"/>
        <v>36</v>
      </c>
      <c r="E8863" s="136">
        <f t="shared" si="413"/>
        <v>4</v>
      </c>
      <c r="F8863" s="137" t="s">
        <v>24</v>
      </c>
      <c r="G8863" s="128" t="str">
        <f>VLOOKUP(source[[#This Row],[lending_product_transform]],[3]Mapping!$B$4:$C$37,2,0)</f>
        <v>[Cake] - Cashloan</v>
      </c>
      <c r="H8863" s="128" t="str">
        <f>VLOOKUP(source[[#This Row],[lending_product_transform]],[3]Mapping!$B$3:$D$37,3,0)</f>
        <v>cashloan</v>
      </c>
      <c r="I8863" s="143">
        <v>39000000</v>
      </c>
    </row>
    <row r="8864" spans="1:9" x14ac:dyDescent="0.2">
      <c r="A8864" s="172">
        <v>45904</v>
      </c>
      <c r="B8864" s="135">
        <f>YEAR(source[[#This Row],[report_date]])</f>
        <v>2025</v>
      </c>
      <c r="C8864" s="128">
        <f t="shared" si="412"/>
        <v>9</v>
      </c>
      <c r="D8864" s="136">
        <f t="shared" si="414"/>
        <v>36</v>
      </c>
      <c r="E8864" s="136">
        <f t="shared" si="413"/>
        <v>4</v>
      </c>
      <c r="F8864" s="137" t="s">
        <v>24</v>
      </c>
      <c r="G8864" s="128" t="str">
        <f>VLOOKUP(source[[#This Row],[lending_product_transform]],[3]Mapping!$B$4:$C$37,2,0)</f>
        <v>[Cake] - Cashloan</v>
      </c>
      <c r="H8864" s="128" t="str">
        <f>VLOOKUP(source[[#This Row],[lending_product_transform]],[3]Mapping!$B$3:$D$37,3,0)</f>
        <v>cashloan</v>
      </c>
      <c r="I8864" s="143">
        <v>506100000</v>
      </c>
    </row>
    <row r="8865" spans="1:9" x14ac:dyDescent="0.2">
      <c r="A8865" s="172">
        <v>45904</v>
      </c>
      <c r="B8865" s="135">
        <f>YEAR(source[[#This Row],[report_date]])</f>
        <v>2025</v>
      </c>
      <c r="C8865" s="128">
        <f t="shared" si="412"/>
        <v>9</v>
      </c>
      <c r="D8865" s="136">
        <f t="shared" si="414"/>
        <v>36</v>
      </c>
      <c r="E8865" s="136">
        <f t="shared" si="413"/>
        <v>4</v>
      </c>
      <c r="F8865" s="137" t="s">
        <v>24</v>
      </c>
      <c r="G8865" s="128" t="str">
        <f>VLOOKUP(source[[#This Row],[lending_product_transform]],[3]Mapping!$B$4:$C$37,2,0)</f>
        <v>[Cake] - Cashloan</v>
      </c>
      <c r="H8865" s="128" t="str">
        <f>VLOOKUP(source[[#This Row],[lending_product_transform]],[3]Mapping!$B$3:$D$37,3,0)</f>
        <v>cashloan</v>
      </c>
      <c r="I8865" s="143">
        <v>1999410565</v>
      </c>
    </row>
    <row r="8866" spans="1:9" x14ac:dyDescent="0.2">
      <c r="A8866" s="172">
        <v>45904</v>
      </c>
      <c r="B8866" s="135">
        <f>YEAR(source[[#This Row],[report_date]])</f>
        <v>2025</v>
      </c>
      <c r="C8866" s="128">
        <f t="shared" si="412"/>
        <v>9</v>
      </c>
      <c r="D8866" s="136">
        <f t="shared" si="414"/>
        <v>36</v>
      </c>
      <c r="E8866" s="136">
        <f t="shared" si="413"/>
        <v>4</v>
      </c>
      <c r="F8866" s="137" t="s">
        <v>24</v>
      </c>
      <c r="G8866" s="128" t="str">
        <f>VLOOKUP(source[[#This Row],[lending_product_transform]],[3]Mapping!$B$4:$C$37,2,0)</f>
        <v>[Cake] - Cashloan</v>
      </c>
      <c r="H8866" s="128" t="str">
        <f>VLOOKUP(source[[#This Row],[lending_product_transform]],[3]Mapping!$B$3:$D$37,3,0)</f>
        <v>cashloan</v>
      </c>
      <c r="I8866" s="143">
        <v>3401020000</v>
      </c>
    </row>
    <row r="8867" spans="1:9" x14ac:dyDescent="0.2">
      <c r="A8867" s="172">
        <v>45905</v>
      </c>
      <c r="B8867" s="135">
        <f>YEAR(source[[#This Row],[report_date]])</f>
        <v>2025</v>
      </c>
      <c r="C8867" s="128">
        <f t="shared" si="412"/>
        <v>9</v>
      </c>
      <c r="D8867" s="136">
        <f t="shared" si="414"/>
        <v>36</v>
      </c>
      <c r="E8867" s="136">
        <f t="shared" si="413"/>
        <v>5</v>
      </c>
      <c r="F8867" s="137" t="s">
        <v>24</v>
      </c>
      <c r="G8867" s="128" t="str">
        <f>VLOOKUP(source[[#This Row],[lending_product_transform]],[3]Mapping!$B$4:$C$37,2,0)</f>
        <v>[Cake] - Cashloan</v>
      </c>
      <c r="H8867" s="128" t="str">
        <f>VLOOKUP(source[[#This Row],[lending_product_transform]],[3]Mapping!$B$3:$D$37,3,0)</f>
        <v>cashloan</v>
      </c>
      <c r="I8867" s="143">
        <v>0</v>
      </c>
    </row>
    <row r="8868" spans="1:9" x14ac:dyDescent="0.2">
      <c r="A8868" s="172">
        <v>45905</v>
      </c>
      <c r="B8868" s="135">
        <f>YEAR(source[[#This Row],[report_date]])</f>
        <v>2025</v>
      </c>
      <c r="C8868" s="128">
        <f t="shared" si="412"/>
        <v>9</v>
      </c>
      <c r="D8868" s="136">
        <f t="shared" si="414"/>
        <v>36</v>
      </c>
      <c r="E8868" s="136">
        <f t="shared" si="413"/>
        <v>5</v>
      </c>
      <c r="F8868" s="137" t="s">
        <v>24</v>
      </c>
      <c r="G8868" s="128" t="str">
        <f>VLOOKUP(source[[#This Row],[lending_product_transform]],[3]Mapping!$B$4:$C$37,2,0)</f>
        <v>[Cake] - Cashloan</v>
      </c>
      <c r="H8868" s="128" t="str">
        <f>VLOOKUP(source[[#This Row],[lending_product_transform]],[3]Mapping!$B$3:$D$37,3,0)</f>
        <v>cashloan</v>
      </c>
      <c r="I8868" s="143">
        <v>387385588</v>
      </c>
    </row>
    <row r="8869" spans="1:9" x14ac:dyDescent="0.2">
      <c r="A8869" s="172">
        <v>45905</v>
      </c>
      <c r="B8869" s="135">
        <f>YEAR(source[[#This Row],[report_date]])</f>
        <v>2025</v>
      </c>
      <c r="C8869" s="128">
        <f t="shared" si="412"/>
        <v>9</v>
      </c>
      <c r="D8869" s="136">
        <f t="shared" si="414"/>
        <v>36</v>
      </c>
      <c r="E8869" s="136">
        <f t="shared" si="413"/>
        <v>5</v>
      </c>
      <c r="F8869" s="137" t="s">
        <v>24</v>
      </c>
      <c r="G8869" s="128" t="str">
        <f>VLOOKUP(source[[#This Row],[lending_product_transform]],[3]Mapping!$B$4:$C$37,2,0)</f>
        <v>[Cake] - Cashloan</v>
      </c>
      <c r="H8869" s="128" t="str">
        <f>VLOOKUP(source[[#This Row],[lending_product_transform]],[3]Mapping!$B$3:$D$37,3,0)</f>
        <v>cashloan</v>
      </c>
      <c r="I8869" s="143">
        <v>21233180000</v>
      </c>
    </row>
    <row r="8870" spans="1:9" x14ac:dyDescent="0.2">
      <c r="A8870" s="172">
        <v>45905</v>
      </c>
      <c r="B8870" s="135">
        <f>YEAR(source[[#This Row],[report_date]])</f>
        <v>2025</v>
      </c>
      <c r="C8870" s="128">
        <f t="shared" si="412"/>
        <v>9</v>
      </c>
      <c r="D8870" s="136">
        <f t="shared" si="414"/>
        <v>36</v>
      </c>
      <c r="E8870" s="136">
        <f t="shared" si="413"/>
        <v>5</v>
      </c>
      <c r="F8870" s="137" t="s">
        <v>24</v>
      </c>
      <c r="G8870" s="128" t="str">
        <f>VLOOKUP(source[[#This Row],[lending_product_transform]],[3]Mapping!$B$4:$C$37,2,0)</f>
        <v>[Cake] - Cashloan</v>
      </c>
      <c r="H8870" s="128" t="str">
        <f>VLOOKUP(source[[#This Row],[lending_product_transform]],[3]Mapping!$B$3:$D$37,3,0)</f>
        <v>cashloan</v>
      </c>
      <c r="I8870" s="143">
        <v>3702187350</v>
      </c>
    </row>
    <row r="8871" spans="1:9" x14ac:dyDescent="0.2">
      <c r="A8871" s="172">
        <v>45905</v>
      </c>
      <c r="B8871" s="135">
        <f>YEAR(source[[#This Row],[report_date]])</f>
        <v>2025</v>
      </c>
      <c r="C8871" s="128">
        <f t="shared" si="412"/>
        <v>9</v>
      </c>
      <c r="D8871" s="136">
        <f t="shared" si="414"/>
        <v>36</v>
      </c>
      <c r="E8871" s="136">
        <f t="shared" si="413"/>
        <v>5</v>
      </c>
      <c r="F8871" s="137" t="s">
        <v>24</v>
      </c>
      <c r="G8871" s="128" t="str">
        <f>VLOOKUP(source[[#This Row],[lending_product_transform]],[3]Mapping!$B$4:$C$37,2,0)</f>
        <v>[Cake] - Cashloan</v>
      </c>
      <c r="H8871" s="128" t="str">
        <f>VLOOKUP(source[[#This Row],[lending_product_transform]],[3]Mapping!$B$3:$D$37,3,0)</f>
        <v>cashloan</v>
      </c>
      <c r="I8871" s="143">
        <v>5375916000</v>
      </c>
    </row>
    <row r="8872" spans="1:9" x14ac:dyDescent="0.2">
      <c r="A8872" s="172">
        <v>45905</v>
      </c>
      <c r="B8872" s="135">
        <f>YEAR(source[[#This Row],[report_date]])</f>
        <v>2025</v>
      </c>
      <c r="C8872" s="128">
        <f t="shared" si="412"/>
        <v>9</v>
      </c>
      <c r="D8872" s="136">
        <f t="shared" si="414"/>
        <v>36</v>
      </c>
      <c r="E8872" s="136">
        <f t="shared" si="413"/>
        <v>5</v>
      </c>
      <c r="F8872" s="137" t="s">
        <v>24</v>
      </c>
      <c r="G8872" s="128" t="str">
        <f>VLOOKUP(source[[#This Row],[lending_product_transform]],[3]Mapping!$B$4:$C$37,2,0)</f>
        <v>[Cake] - Cashloan</v>
      </c>
      <c r="H8872" s="128" t="str">
        <f>VLOOKUP(source[[#This Row],[lending_product_transform]],[3]Mapping!$B$3:$D$37,3,0)</f>
        <v>cashloan</v>
      </c>
      <c r="I8872" s="143">
        <v>75263128</v>
      </c>
    </row>
    <row r="8873" spans="1:9" x14ac:dyDescent="0.2">
      <c r="A8873" s="172">
        <v>45905</v>
      </c>
      <c r="B8873" s="135">
        <f>YEAR(source[[#This Row],[report_date]])</f>
        <v>2025</v>
      </c>
      <c r="C8873" s="128">
        <f t="shared" si="412"/>
        <v>9</v>
      </c>
      <c r="D8873" s="136">
        <f t="shared" si="414"/>
        <v>36</v>
      </c>
      <c r="E8873" s="136">
        <f t="shared" si="413"/>
        <v>5</v>
      </c>
      <c r="F8873" s="137" t="s">
        <v>24</v>
      </c>
      <c r="G8873" s="128" t="str">
        <f>VLOOKUP(source[[#This Row],[lending_product_transform]],[3]Mapping!$B$4:$C$37,2,0)</f>
        <v>[Cake] - Cashloan</v>
      </c>
      <c r="H8873" s="128" t="str">
        <f>VLOOKUP(source[[#This Row],[lending_product_transform]],[3]Mapping!$B$3:$D$37,3,0)</f>
        <v>cashloan</v>
      </c>
      <c r="I8873" s="143">
        <v>3046390000</v>
      </c>
    </row>
    <row r="8874" spans="1:9" x14ac:dyDescent="0.2">
      <c r="A8874" s="172">
        <v>45905</v>
      </c>
      <c r="B8874" s="135">
        <f>YEAR(source[[#This Row],[report_date]])</f>
        <v>2025</v>
      </c>
      <c r="C8874" s="128">
        <f t="shared" si="412"/>
        <v>9</v>
      </c>
      <c r="D8874" s="136">
        <f t="shared" si="414"/>
        <v>36</v>
      </c>
      <c r="E8874" s="136">
        <f t="shared" si="413"/>
        <v>5</v>
      </c>
      <c r="F8874" s="137" t="s">
        <v>24</v>
      </c>
      <c r="G8874" s="128" t="str">
        <f>VLOOKUP(source[[#This Row],[lending_product_transform]],[3]Mapping!$B$4:$C$37,2,0)</f>
        <v>[Cake] - Cashloan</v>
      </c>
      <c r="H8874" s="128" t="str">
        <f>VLOOKUP(source[[#This Row],[lending_product_transform]],[3]Mapping!$B$3:$D$37,3,0)</f>
        <v>cashloan</v>
      </c>
      <c r="I8874" s="143">
        <v>80634000</v>
      </c>
    </row>
    <row r="8875" spans="1:9" x14ac:dyDescent="0.2">
      <c r="A8875" s="172">
        <v>45905</v>
      </c>
      <c r="B8875" s="135">
        <f>YEAR(source[[#This Row],[report_date]])</f>
        <v>2025</v>
      </c>
      <c r="C8875" s="128">
        <f t="shared" si="412"/>
        <v>9</v>
      </c>
      <c r="D8875" s="136">
        <f t="shared" si="414"/>
        <v>36</v>
      </c>
      <c r="E8875" s="136">
        <f t="shared" si="413"/>
        <v>5</v>
      </c>
      <c r="F8875" s="137" t="s">
        <v>24</v>
      </c>
      <c r="G8875" s="128" t="str">
        <f>VLOOKUP(source[[#This Row],[lending_product_transform]],[3]Mapping!$B$4:$C$37,2,0)</f>
        <v>[Cake] - Cashloan</v>
      </c>
      <c r="H8875" s="128" t="str">
        <f>VLOOKUP(source[[#This Row],[lending_product_transform]],[3]Mapping!$B$3:$D$37,3,0)</f>
        <v>cashloan</v>
      </c>
      <c r="I8875" s="143">
        <v>352679000</v>
      </c>
    </row>
    <row r="8876" spans="1:9" x14ac:dyDescent="0.2">
      <c r="A8876" s="172">
        <v>45905</v>
      </c>
      <c r="B8876" s="135">
        <f>YEAR(source[[#This Row],[report_date]])</f>
        <v>2025</v>
      </c>
      <c r="C8876" s="128">
        <f t="shared" si="412"/>
        <v>9</v>
      </c>
      <c r="D8876" s="136">
        <f t="shared" si="414"/>
        <v>36</v>
      </c>
      <c r="E8876" s="136">
        <f t="shared" si="413"/>
        <v>5</v>
      </c>
      <c r="F8876" s="137" t="s">
        <v>24</v>
      </c>
      <c r="G8876" s="128" t="str">
        <f>VLOOKUP(source[[#This Row],[lending_product_transform]],[3]Mapping!$B$4:$C$37,2,0)</f>
        <v>[Cake] - Cashloan</v>
      </c>
      <c r="H8876" s="128" t="str">
        <f>VLOOKUP(source[[#This Row],[lending_product_transform]],[3]Mapping!$B$3:$D$37,3,0)</f>
        <v>cashloan</v>
      </c>
      <c r="I8876" s="143">
        <v>0</v>
      </c>
    </row>
    <row r="8877" spans="1:9" x14ac:dyDescent="0.2">
      <c r="A8877" s="172">
        <v>45905</v>
      </c>
      <c r="B8877" s="135">
        <f>YEAR(source[[#This Row],[report_date]])</f>
        <v>2025</v>
      </c>
      <c r="C8877" s="128">
        <f t="shared" si="412"/>
        <v>9</v>
      </c>
      <c r="D8877" s="136">
        <f t="shared" si="414"/>
        <v>36</v>
      </c>
      <c r="E8877" s="136">
        <f t="shared" si="413"/>
        <v>5</v>
      </c>
      <c r="F8877" s="137" t="s">
        <v>24</v>
      </c>
      <c r="G8877" s="128" t="str">
        <f>VLOOKUP(source[[#This Row],[lending_product_transform]],[3]Mapping!$B$4:$C$37,2,0)</f>
        <v>[Cake] - Cashloan</v>
      </c>
      <c r="H8877" s="128" t="str">
        <f>VLOOKUP(source[[#This Row],[lending_product_transform]],[3]Mapping!$B$3:$D$37,3,0)</f>
        <v>cashloan</v>
      </c>
      <c r="I8877" s="143">
        <v>27750000</v>
      </c>
    </row>
    <row r="8878" spans="1:9" x14ac:dyDescent="0.2">
      <c r="A8878" s="172">
        <v>45905</v>
      </c>
      <c r="B8878" s="135">
        <f>YEAR(source[[#This Row],[report_date]])</f>
        <v>2025</v>
      </c>
      <c r="C8878" s="128">
        <f t="shared" si="412"/>
        <v>9</v>
      </c>
      <c r="D8878" s="136">
        <f t="shared" si="414"/>
        <v>36</v>
      </c>
      <c r="E8878" s="136">
        <f t="shared" si="413"/>
        <v>5</v>
      </c>
      <c r="F8878" s="137" t="s">
        <v>24</v>
      </c>
      <c r="G8878" s="128" t="str">
        <f>VLOOKUP(source[[#This Row],[lending_product_transform]],[3]Mapping!$B$4:$C$37,2,0)</f>
        <v>[Cake] - Cashloan</v>
      </c>
      <c r="H8878" s="128" t="str">
        <f>VLOOKUP(source[[#This Row],[lending_product_transform]],[3]Mapping!$B$3:$D$37,3,0)</f>
        <v>cashloan</v>
      </c>
      <c r="I8878" s="143">
        <v>15939580000</v>
      </c>
    </row>
    <row r="8879" spans="1:9" x14ac:dyDescent="0.2">
      <c r="A8879" s="172">
        <v>45905</v>
      </c>
      <c r="B8879" s="135">
        <f>YEAR(source[[#This Row],[report_date]])</f>
        <v>2025</v>
      </c>
      <c r="C8879" s="128">
        <f t="shared" si="412"/>
        <v>9</v>
      </c>
      <c r="D8879" s="136">
        <f t="shared" si="414"/>
        <v>36</v>
      </c>
      <c r="E8879" s="136">
        <f t="shared" si="413"/>
        <v>5</v>
      </c>
      <c r="F8879" s="137" t="s">
        <v>24</v>
      </c>
      <c r="G8879" s="128" t="str">
        <f>VLOOKUP(source[[#This Row],[lending_product_transform]],[3]Mapping!$B$4:$C$37,2,0)</f>
        <v>[Cake] - Cashloan</v>
      </c>
      <c r="H8879" s="128" t="str">
        <f>VLOOKUP(source[[#This Row],[lending_product_transform]],[3]Mapping!$B$3:$D$37,3,0)</f>
        <v>cashloan</v>
      </c>
      <c r="I8879" s="143">
        <v>0</v>
      </c>
    </row>
    <row r="8880" spans="1:9" x14ac:dyDescent="0.2">
      <c r="A8880" s="172">
        <v>45905</v>
      </c>
      <c r="B8880" s="135">
        <f>YEAR(source[[#This Row],[report_date]])</f>
        <v>2025</v>
      </c>
      <c r="C8880" s="128">
        <f t="shared" si="412"/>
        <v>9</v>
      </c>
      <c r="D8880" s="136">
        <f t="shared" si="414"/>
        <v>36</v>
      </c>
      <c r="E8880" s="136">
        <f t="shared" si="413"/>
        <v>5</v>
      </c>
      <c r="F8880" s="137" t="s">
        <v>24</v>
      </c>
      <c r="G8880" s="128" t="str">
        <f>VLOOKUP(source[[#This Row],[lending_product_transform]],[3]Mapping!$B$4:$C$37,2,0)</f>
        <v>[Cake] - Cashloan</v>
      </c>
      <c r="H8880" s="128" t="str">
        <f>VLOOKUP(source[[#This Row],[lending_product_transform]],[3]Mapping!$B$3:$D$37,3,0)</f>
        <v>cashloan</v>
      </c>
      <c r="I8880" s="143">
        <v>0</v>
      </c>
    </row>
    <row r="8881" spans="1:9" x14ac:dyDescent="0.2">
      <c r="A8881" s="172">
        <v>45905</v>
      </c>
      <c r="B8881" s="135">
        <f>YEAR(source[[#This Row],[report_date]])</f>
        <v>2025</v>
      </c>
      <c r="C8881" s="128">
        <f t="shared" si="412"/>
        <v>9</v>
      </c>
      <c r="D8881" s="136">
        <f t="shared" si="414"/>
        <v>36</v>
      </c>
      <c r="E8881" s="136">
        <f t="shared" si="413"/>
        <v>5</v>
      </c>
      <c r="F8881" s="137" t="s">
        <v>24</v>
      </c>
      <c r="G8881" s="128" t="str">
        <f>VLOOKUP(source[[#This Row],[lending_product_transform]],[3]Mapping!$B$4:$C$37,2,0)</f>
        <v>[Cake] - Cashloan</v>
      </c>
      <c r="H8881" s="128" t="str">
        <f>VLOOKUP(source[[#This Row],[lending_product_transform]],[3]Mapping!$B$3:$D$37,3,0)</f>
        <v>cashloan</v>
      </c>
      <c r="I8881" s="143">
        <v>0</v>
      </c>
    </row>
    <row r="8882" spans="1:9" x14ac:dyDescent="0.2">
      <c r="A8882" s="172">
        <v>45905</v>
      </c>
      <c r="B8882" s="135">
        <f>YEAR(source[[#This Row],[report_date]])</f>
        <v>2025</v>
      </c>
      <c r="C8882" s="128">
        <f t="shared" si="412"/>
        <v>9</v>
      </c>
      <c r="D8882" s="136">
        <f t="shared" si="414"/>
        <v>36</v>
      </c>
      <c r="E8882" s="136">
        <f t="shared" si="413"/>
        <v>5</v>
      </c>
      <c r="F8882" s="137" t="s">
        <v>24</v>
      </c>
      <c r="G8882" s="128" t="str">
        <f>VLOOKUP(source[[#This Row],[lending_product_transform]],[3]Mapping!$B$4:$C$37,2,0)</f>
        <v>[Cake] - Cashloan</v>
      </c>
      <c r="H8882" s="128" t="str">
        <f>VLOOKUP(source[[#This Row],[lending_product_transform]],[3]Mapping!$B$3:$D$37,3,0)</f>
        <v>cashloan</v>
      </c>
      <c r="I8882" s="143">
        <v>0</v>
      </c>
    </row>
    <row r="8883" spans="1:9" x14ac:dyDescent="0.2">
      <c r="A8883" s="172">
        <v>45905</v>
      </c>
      <c r="B8883" s="135">
        <f>YEAR(source[[#This Row],[report_date]])</f>
        <v>2025</v>
      </c>
      <c r="C8883" s="128">
        <f t="shared" si="412"/>
        <v>9</v>
      </c>
      <c r="D8883" s="136">
        <f t="shared" si="414"/>
        <v>36</v>
      </c>
      <c r="E8883" s="136">
        <f t="shared" si="413"/>
        <v>5</v>
      </c>
      <c r="F8883" s="137" t="s">
        <v>24</v>
      </c>
      <c r="G8883" s="128" t="str">
        <f>VLOOKUP(source[[#This Row],[lending_product_transform]],[3]Mapping!$B$4:$C$37,2,0)</f>
        <v>[Cake] - Cashloan</v>
      </c>
      <c r="H8883" s="128" t="str">
        <f>VLOOKUP(source[[#This Row],[lending_product_transform]],[3]Mapping!$B$3:$D$37,3,0)</f>
        <v>cashloan</v>
      </c>
      <c r="I8883" s="143">
        <v>9873360000</v>
      </c>
    </row>
    <row r="8884" spans="1:9" x14ac:dyDescent="0.2">
      <c r="A8884" s="172">
        <v>45905</v>
      </c>
      <c r="B8884" s="135">
        <f>YEAR(source[[#This Row],[report_date]])</f>
        <v>2025</v>
      </c>
      <c r="C8884" s="128">
        <f t="shared" si="412"/>
        <v>9</v>
      </c>
      <c r="D8884" s="136">
        <f t="shared" si="414"/>
        <v>36</v>
      </c>
      <c r="E8884" s="136">
        <f t="shared" si="413"/>
        <v>5</v>
      </c>
      <c r="F8884" s="137" t="s">
        <v>24</v>
      </c>
      <c r="G8884" s="128" t="str">
        <f>VLOOKUP(source[[#This Row],[lending_product_transform]],[3]Mapping!$B$4:$C$37,2,0)</f>
        <v>[Cake] - Cashloan</v>
      </c>
      <c r="H8884" s="128" t="str">
        <f>VLOOKUP(source[[#This Row],[lending_product_transform]],[3]Mapping!$B$3:$D$37,3,0)</f>
        <v>cashloan</v>
      </c>
      <c r="I8884" s="143">
        <v>658644323</v>
      </c>
    </row>
    <row r="8885" spans="1:9" x14ac:dyDescent="0.2">
      <c r="A8885" s="172">
        <v>45905</v>
      </c>
      <c r="B8885" s="135">
        <f>YEAR(source[[#This Row],[report_date]])</f>
        <v>2025</v>
      </c>
      <c r="C8885" s="128">
        <f t="shared" si="412"/>
        <v>9</v>
      </c>
      <c r="D8885" s="136">
        <f t="shared" si="414"/>
        <v>36</v>
      </c>
      <c r="E8885" s="136">
        <f t="shared" si="413"/>
        <v>5</v>
      </c>
      <c r="F8885" s="137" t="s">
        <v>24</v>
      </c>
      <c r="G8885" s="128" t="str">
        <f>VLOOKUP(source[[#This Row],[lending_product_transform]],[3]Mapping!$B$4:$C$37,2,0)</f>
        <v>[Cake] - Cashloan</v>
      </c>
      <c r="H8885" s="128" t="str">
        <f>VLOOKUP(source[[#This Row],[lending_product_transform]],[3]Mapping!$B$3:$D$37,3,0)</f>
        <v>cashloan</v>
      </c>
      <c r="I8885" s="143">
        <v>35000000</v>
      </c>
    </row>
    <row r="8886" spans="1:9" x14ac:dyDescent="0.2">
      <c r="A8886" s="172">
        <v>45905</v>
      </c>
      <c r="B8886" s="135">
        <f>YEAR(source[[#This Row],[report_date]])</f>
        <v>2025</v>
      </c>
      <c r="C8886" s="128">
        <f t="shared" ref="C8886:C8949" si="415">MONTH(A8886)</f>
        <v>9</v>
      </c>
      <c r="D8886" s="136">
        <f t="shared" si="414"/>
        <v>36</v>
      </c>
      <c r="E8886" s="136">
        <f t="shared" ref="E8886:E8949" si="416">DAY(A8886)</f>
        <v>5</v>
      </c>
      <c r="F8886" s="137" t="s">
        <v>24</v>
      </c>
      <c r="G8886" s="128" t="str">
        <f>VLOOKUP(source[[#This Row],[lending_product_transform]],[3]Mapping!$B$4:$C$37,2,0)</f>
        <v>[Cake] - Cashloan</v>
      </c>
      <c r="H8886" s="128" t="str">
        <f>VLOOKUP(source[[#This Row],[lending_product_transform]],[3]Mapping!$B$3:$D$37,3,0)</f>
        <v>cashloan</v>
      </c>
      <c r="I8886" s="143">
        <v>49000000</v>
      </c>
    </row>
    <row r="8887" spans="1:9" x14ac:dyDescent="0.2">
      <c r="A8887" s="172">
        <v>45905</v>
      </c>
      <c r="B8887" s="135">
        <f>YEAR(source[[#This Row],[report_date]])</f>
        <v>2025</v>
      </c>
      <c r="C8887" s="128">
        <f t="shared" si="415"/>
        <v>9</v>
      </c>
      <c r="D8887" s="136">
        <f t="shared" si="414"/>
        <v>36</v>
      </c>
      <c r="E8887" s="136">
        <f t="shared" si="416"/>
        <v>5</v>
      </c>
      <c r="F8887" s="137" t="s">
        <v>24</v>
      </c>
      <c r="G8887" s="128" t="str">
        <f>VLOOKUP(source[[#This Row],[lending_product_transform]],[3]Mapping!$B$4:$C$37,2,0)</f>
        <v>[Cake] - Cashloan</v>
      </c>
      <c r="H8887" s="128" t="str">
        <f>VLOOKUP(source[[#This Row],[lending_product_transform]],[3]Mapping!$B$3:$D$37,3,0)</f>
        <v>cashloan</v>
      </c>
      <c r="I8887" s="143">
        <v>423370000</v>
      </c>
    </row>
    <row r="8888" spans="1:9" x14ac:dyDescent="0.2">
      <c r="A8888" s="172">
        <v>45905</v>
      </c>
      <c r="B8888" s="135">
        <f>YEAR(source[[#This Row],[report_date]])</f>
        <v>2025</v>
      </c>
      <c r="C8888" s="128">
        <f t="shared" si="415"/>
        <v>9</v>
      </c>
      <c r="D8888" s="136">
        <f t="shared" si="414"/>
        <v>36</v>
      </c>
      <c r="E8888" s="136">
        <f t="shared" si="416"/>
        <v>5</v>
      </c>
      <c r="F8888" s="137" t="s">
        <v>24</v>
      </c>
      <c r="G8888" s="128" t="str">
        <f>VLOOKUP(source[[#This Row],[lending_product_transform]],[3]Mapping!$B$4:$C$37,2,0)</f>
        <v>[Cake] - Cashloan</v>
      </c>
      <c r="H8888" s="128" t="str">
        <f>VLOOKUP(source[[#This Row],[lending_product_transform]],[3]Mapping!$B$3:$D$37,3,0)</f>
        <v>cashloan</v>
      </c>
      <c r="I8888" s="143">
        <v>1204056755</v>
      </c>
    </row>
    <row r="8889" spans="1:9" x14ac:dyDescent="0.2">
      <c r="A8889" s="172">
        <v>45905</v>
      </c>
      <c r="B8889" s="135">
        <f>YEAR(source[[#This Row],[report_date]])</f>
        <v>2025</v>
      </c>
      <c r="C8889" s="128">
        <f t="shared" si="415"/>
        <v>9</v>
      </c>
      <c r="D8889" s="136">
        <f t="shared" si="414"/>
        <v>36</v>
      </c>
      <c r="E8889" s="136">
        <f t="shared" si="416"/>
        <v>5</v>
      </c>
      <c r="F8889" s="137" t="s">
        <v>24</v>
      </c>
      <c r="G8889" s="128" t="str">
        <f>VLOOKUP(source[[#This Row],[lending_product_transform]],[3]Mapping!$B$4:$C$37,2,0)</f>
        <v>[Cake] - Cashloan</v>
      </c>
      <c r="H8889" s="128" t="str">
        <f>VLOOKUP(source[[#This Row],[lending_product_transform]],[3]Mapping!$B$3:$D$37,3,0)</f>
        <v>cashloan</v>
      </c>
      <c r="I8889" s="143">
        <v>3823550000</v>
      </c>
    </row>
    <row r="8890" spans="1:9" x14ac:dyDescent="0.2">
      <c r="A8890" s="172">
        <v>45906</v>
      </c>
      <c r="B8890" s="135">
        <f>YEAR(source[[#This Row],[report_date]])</f>
        <v>2025</v>
      </c>
      <c r="C8890" s="128">
        <f t="shared" si="415"/>
        <v>9</v>
      </c>
      <c r="D8890" s="136">
        <f t="shared" si="414"/>
        <v>36</v>
      </c>
      <c r="E8890" s="136">
        <f t="shared" si="416"/>
        <v>6</v>
      </c>
      <c r="F8890" s="137" t="s">
        <v>24</v>
      </c>
      <c r="G8890" s="128" t="str">
        <f>VLOOKUP(source[[#This Row],[lending_product_transform]],[3]Mapping!$B$4:$C$37,2,0)</f>
        <v>[Cake] - Cashloan</v>
      </c>
      <c r="H8890" s="128" t="str">
        <f>VLOOKUP(source[[#This Row],[lending_product_transform]],[3]Mapping!$B$3:$D$37,3,0)</f>
        <v>cashloan</v>
      </c>
      <c r="I8890" s="143">
        <v>0</v>
      </c>
    </row>
    <row r="8891" spans="1:9" x14ac:dyDescent="0.2">
      <c r="A8891" s="172">
        <v>45906</v>
      </c>
      <c r="B8891" s="135">
        <f>YEAR(source[[#This Row],[report_date]])</f>
        <v>2025</v>
      </c>
      <c r="C8891" s="128">
        <f t="shared" si="415"/>
        <v>9</v>
      </c>
      <c r="D8891" s="136">
        <f t="shared" si="414"/>
        <v>36</v>
      </c>
      <c r="E8891" s="136">
        <f t="shared" si="416"/>
        <v>6</v>
      </c>
      <c r="F8891" s="137" t="s">
        <v>24</v>
      </c>
      <c r="G8891" s="128" t="str">
        <f>VLOOKUP(source[[#This Row],[lending_product_transform]],[3]Mapping!$B$4:$C$37,2,0)</f>
        <v>[Cake] - Cashloan</v>
      </c>
      <c r="H8891" s="128" t="str">
        <f>VLOOKUP(source[[#This Row],[lending_product_transform]],[3]Mapping!$B$3:$D$37,3,0)</f>
        <v>cashloan</v>
      </c>
      <c r="I8891" s="143">
        <v>316842882</v>
      </c>
    </row>
    <row r="8892" spans="1:9" x14ac:dyDescent="0.2">
      <c r="A8892" s="172">
        <v>45906</v>
      </c>
      <c r="B8892" s="135">
        <f>YEAR(source[[#This Row],[report_date]])</f>
        <v>2025</v>
      </c>
      <c r="C8892" s="128">
        <f t="shared" si="415"/>
        <v>9</v>
      </c>
      <c r="D8892" s="136">
        <f t="shared" si="414"/>
        <v>36</v>
      </c>
      <c r="E8892" s="136">
        <f t="shared" si="416"/>
        <v>6</v>
      </c>
      <c r="F8892" s="137" t="s">
        <v>24</v>
      </c>
      <c r="G8892" s="128" t="str">
        <f>VLOOKUP(source[[#This Row],[lending_product_transform]],[3]Mapping!$B$4:$C$37,2,0)</f>
        <v>[Cake] - Cashloan</v>
      </c>
      <c r="H8892" s="128" t="str">
        <f>VLOOKUP(source[[#This Row],[lending_product_transform]],[3]Mapping!$B$3:$D$37,3,0)</f>
        <v>cashloan</v>
      </c>
      <c r="I8892" s="143">
        <v>17101920000</v>
      </c>
    </row>
    <row r="8893" spans="1:9" x14ac:dyDescent="0.2">
      <c r="A8893" s="172">
        <v>45906</v>
      </c>
      <c r="B8893" s="135">
        <f>YEAR(source[[#This Row],[report_date]])</f>
        <v>2025</v>
      </c>
      <c r="C8893" s="128">
        <f t="shared" si="415"/>
        <v>9</v>
      </c>
      <c r="D8893" s="136">
        <f t="shared" si="414"/>
        <v>36</v>
      </c>
      <c r="E8893" s="136">
        <f t="shared" si="416"/>
        <v>6</v>
      </c>
      <c r="F8893" s="137" t="s">
        <v>24</v>
      </c>
      <c r="G8893" s="128" t="str">
        <f>VLOOKUP(source[[#This Row],[lending_product_transform]],[3]Mapping!$B$4:$C$37,2,0)</f>
        <v>[Cake] - Cashloan</v>
      </c>
      <c r="H8893" s="128" t="str">
        <f>VLOOKUP(source[[#This Row],[lending_product_transform]],[3]Mapping!$B$3:$D$37,3,0)</f>
        <v>cashloan</v>
      </c>
      <c r="I8893" s="143">
        <v>2685258053</v>
      </c>
    </row>
    <row r="8894" spans="1:9" x14ac:dyDescent="0.2">
      <c r="A8894" s="172">
        <v>45906</v>
      </c>
      <c r="B8894" s="135">
        <f>YEAR(source[[#This Row],[report_date]])</f>
        <v>2025</v>
      </c>
      <c r="C8894" s="128">
        <f t="shared" si="415"/>
        <v>9</v>
      </c>
      <c r="D8894" s="136">
        <f t="shared" si="414"/>
        <v>36</v>
      </c>
      <c r="E8894" s="136">
        <f t="shared" si="416"/>
        <v>6</v>
      </c>
      <c r="F8894" s="137" t="s">
        <v>24</v>
      </c>
      <c r="G8894" s="128" t="str">
        <f>VLOOKUP(source[[#This Row],[lending_product_transform]],[3]Mapping!$B$4:$C$37,2,0)</f>
        <v>[Cake] - Cashloan</v>
      </c>
      <c r="H8894" s="128" t="str">
        <f>VLOOKUP(source[[#This Row],[lending_product_transform]],[3]Mapping!$B$3:$D$37,3,0)</f>
        <v>cashloan</v>
      </c>
      <c r="I8894" s="143">
        <v>4417632000</v>
      </c>
    </row>
    <row r="8895" spans="1:9" x14ac:dyDescent="0.2">
      <c r="A8895" s="172">
        <v>45906</v>
      </c>
      <c r="B8895" s="135">
        <f>YEAR(source[[#This Row],[report_date]])</f>
        <v>2025</v>
      </c>
      <c r="C8895" s="128">
        <f t="shared" si="415"/>
        <v>9</v>
      </c>
      <c r="D8895" s="136">
        <f t="shared" si="414"/>
        <v>36</v>
      </c>
      <c r="E8895" s="136">
        <f t="shared" si="416"/>
        <v>6</v>
      </c>
      <c r="F8895" s="137" t="s">
        <v>24</v>
      </c>
      <c r="G8895" s="128" t="str">
        <f>VLOOKUP(source[[#This Row],[lending_product_transform]],[3]Mapping!$B$4:$C$37,2,0)</f>
        <v>[Cake] - Cashloan</v>
      </c>
      <c r="H8895" s="128" t="str">
        <f>VLOOKUP(source[[#This Row],[lending_product_transform]],[3]Mapping!$B$3:$D$37,3,0)</f>
        <v>cashloan</v>
      </c>
      <c r="I8895" s="143">
        <v>35855988</v>
      </c>
    </row>
    <row r="8896" spans="1:9" x14ac:dyDescent="0.2">
      <c r="A8896" s="172">
        <v>45906</v>
      </c>
      <c r="B8896" s="135">
        <f>YEAR(source[[#This Row],[report_date]])</f>
        <v>2025</v>
      </c>
      <c r="C8896" s="128">
        <f t="shared" si="415"/>
        <v>9</v>
      </c>
      <c r="D8896" s="136">
        <f t="shared" si="414"/>
        <v>36</v>
      </c>
      <c r="E8896" s="136">
        <f t="shared" si="416"/>
        <v>6</v>
      </c>
      <c r="F8896" s="137" t="s">
        <v>24</v>
      </c>
      <c r="G8896" s="128" t="str">
        <f>VLOOKUP(source[[#This Row],[lending_product_transform]],[3]Mapping!$B$4:$C$37,2,0)</f>
        <v>[Cake] - Cashloan</v>
      </c>
      <c r="H8896" s="128" t="str">
        <f>VLOOKUP(source[[#This Row],[lending_product_transform]],[3]Mapping!$B$3:$D$37,3,0)</f>
        <v>cashloan</v>
      </c>
      <c r="I8896" s="143">
        <v>3120380000</v>
      </c>
    </row>
    <row r="8897" spans="1:9" x14ac:dyDescent="0.2">
      <c r="A8897" s="172">
        <v>45906</v>
      </c>
      <c r="B8897" s="135">
        <f>YEAR(source[[#This Row],[report_date]])</f>
        <v>2025</v>
      </c>
      <c r="C8897" s="128">
        <f t="shared" si="415"/>
        <v>9</v>
      </c>
      <c r="D8897" s="136">
        <f t="shared" si="414"/>
        <v>36</v>
      </c>
      <c r="E8897" s="136">
        <f t="shared" si="416"/>
        <v>6</v>
      </c>
      <c r="F8897" s="137" t="s">
        <v>24</v>
      </c>
      <c r="G8897" s="128" t="str">
        <f>VLOOKUP(source[[#This Row],[lending_product_transform]],[3]Mapping!$B$4:$C$37,2,0)</f>
        <v>[Cake] - Cashloan</v>
      </c>
      <c r="H8897" s="128" t="str">
        <f>VLOOKUP(source[[#This Row],[lending_product_transform]],[3]Mapping!$B$3:$D$37,3,0)</f>
        <v>cashloan</v>
      </c>
      <c r="I8897" s="143">
        <v>68558000</v>
      </c>
    </row>
    <row r="8898" spans="1:9" x14ac:dyDescent="0.2">
      <c r="A8898" s="172">
        <v>45906</v>
      </c>
      <c r="B8898" s="135">
        <f>YEAR(source[[#This Row],[report_date]])</f>
        <v>2025</v>
      </c>
      <c r="C8898" s="128">
        <f t="shared" si="415"/>
        <v>9</v>
      </c>
      <c r="D8898" s="136">
        <f t="shared" si="414"/>
        <v>36</v>
      </c>
      <c r="E8898" s="136">
        <f t="shared" si="416"/>
        <v>6</v>
      </c>
      <c r="F8898" s="137" t="s">
        <v>24</v>
      </c>
      <c r="G8898" s="128" t="str">
        <f>VLOOKUP(source[[#This Row],[lending_product_transform]],[3]Mapping!$B$4:$C$37,2,0)</f>
        <v>[Cake] - Cashloan</v>
      </c>
      <c r="H8898" s="128" t="str">
        <f>VLOOKUP(source[[#This Row],[lending_product_transform]],[3]Mapping!$B$3:$D$37,3,0)</f>
        <v>cashloan</v>
      </c>
      <c r="I8898" s="143">
        <v>570047000</v>
      </c>
    </row>
    <row r="8899" spans="1:9" x14ac:dyDescent="0.2">
      <c r="A8899" s="172">
        <v>45906</v>
      </c>
      <c r="B8899" s="135">
        <f>YEAR(source[[#This Row],[report_date]])</f>
        <v>2025</v>
      </c>
      <c r="C8899" s="128">
        <f t="shared" si="415"/>
        <v>9</v>
      </c>
      <c r="D8899" s="136">
        <f t="shared" ref="D8899:D8962" si="417">WEEKNUM(A8899,2)</f>
        <v>36</v>
      </c>
      <c r="E8899" s="136">
        <f t="shared" si="416"/>
        <v>6</v>
      </c>
      <c r="F8899" s="137" t="s">
        <v>24</v>
      </c>
      <c r="G8899" s="128" t="str">
        <f>VLOOKUP(source[[#This Row],[lending_product_transform]],[3]Mapping!$B$4:$C$37,2,0)</f>
        <v>[Cake] - Cashloan</v>
      </c>
      <c r="H8899" s="128" t="str">
        <f>VLOOKUP(source[[#This Row],[lending_product_transform]],[3]Mapping!$B$3:$D$37,3,0)</f>
        <v>cashloan</v>
      </c>
      <c r="I8899" s="143">
        <v>0</v>
      </c>
    </row>
    <row r="8900" spans="1:9" x14ac:dyDescent="0.2">
      <c r="A8900" s="172">
        <v>45906</v>
      </c>
      <c r="B8900" s="135">
        <f>YEAR(source[[#This Row],[report_date]])</f>
        <v>2025</v>
      </c>
      <c r="C8900" s="128">
        <f t="shared" si="415"/>
        <v>9</v>
      </c>
      <c r="D8900" s="136">
        <f t="shared" si="417"/>
        <v>36</v>
      </c>
      <c r="E8900" s="136">
        <f t="shared" si="416"/>
        <v>6</v>
      </c>
      <c r="F8900" s="137" t="s">
        <v>24</v>
      </c>
      <c r="G8900" s="128" t="str">
        <f>VLOOKUP(source[[#This Row],[lending_product_transform]],[3]Mapping!$B$4:$C$37,2,0)</f>
        <v>[Cake] - Cashloan</v>
      </c>
      <c r="H8900" s="128" t="str">
        <f>VLOOKUP(source[[#This Row],[lending_product_transform]],[3]Mapping!$B$3:$D$37,3,0)</f>
        <v>cashloan</v>
      </c>
      <c r="I8900" s="143">
        <v>42000000</v>
      </c>
    </row>
    <row r="8901" spans="1:9" x14ac:dyDescent="0.2">
      <c r="A8901" s="172">
        <v>45906</v>
      </c>
      <c r="B8901" s="135">
        <f>YEAR(source[[#This Row],[report_date]])</f>
        <v>2025</v>
      </c>
      <c r="C8901" s="128">
        <f t="shared" si="415"/>
        <v>9</v>
      </c>
      <c r="D8901" s="136">
        <f t="shared" si="417"/>
        <v>36</v>
      </c>
      <c r="E8901" s="136">
        <f t="shared" si="416"/>
        <v>6</v>
      </c>
      <c r="F8901" s="137" t="s">
        <v>24</v>
      </c>
      <c r="G8901" s="128" t="str">
        <f>VLOOKUP(source[[#This Row],[lending_product_transform]],[3]Mapping!$B$4:$C$37,2,0)</f>
        <v>[Cake] - Cashloan</v>
      </c>
      <c r="H8901" s="128" t="str">
        <f>VLOOKUP(source[[#This Row],[lending_product_transform]],[3]Mapping!$B$3:$D$37,3,0)</f>
        <v>cashloan</v>
      </c>
      <c r="I8901" s="143">
        <v>15060960000</v>
      </c>
    </row>
    <row r="8902" spans="1:9" x14ac:dyDescent="0.2">
      <c r="A8902" s="172">
        <v>45906</v>
      </c>
      <c r="B8902" s="135">
        <f>YEAR(source[[#This Row],[report_date]])</f>
        <v>2025</v>
      </c>
      <c r="C8902" s="128">
        <f t="shared" si="415"/>
        <v>9</v>
      </c>
      <c r="D8902" s="136">
        <f t="shared" si="417"/>
        <v>36</v>
      </c>
      <c r="E8902" s="136">
        <f t="shared" si="416"/>
        <v>6</v>
      </c>
      <c r="F8902" s="137" t="s">
        <v>24</v>
      </c>
      <c r="G8902" s="128" t="str">
        <f>VLOOKUP(source[[#This Row],[lending_product_transform]],[3]Mapping!$B$4:$C$37,2,0)</f>
        <v>[Cake] - Cashloan</v>
      </c>
      <c r="H8902" s="128" t="str">
        <f>VLOOKUP(source[[#This Row],[lending_product_transform]],[3]Mapping!$B$3:$D$37,3,0)</f>
        <v>cashloan</v>
      </c>
      <c r="I8902" s="143">
        <v>0</v>
      </c>
    </row>
    <row r="8903" spans="1:9" x14ac:dyDescent="0.2">
      <c r="A8903" s="172">
        <v>45906</v>
      </c>
      <c r="B8903" s="135">
        <f>YEAR(source[[#This Row],[report_date]])</f>
        <v>2025</v>
      </c>
      <c r="C8903" s="128">
        <f t="shared" si="415"/>
        <v>9</v>
      </c>
      <c r="D8903" s="136">
        <f t="shared" si="417"/>
        <v>36</v>
      </c>
      <c r="E8903" s="136">
        <f t="shared" si="416"/>
        <v>6</v>
      </c>
      <c r="F8903" s="137" t="s">
        <v>24</v>
      </c>
      <c r="G8903" s="128" t="str">
        <f>VLOOKUP(source[[#This Row],[lending_product_transform]],[3]Mapping!$B$4:$C$37,2,0)</f>
        <v>[Cake] - Cashloan</v>
      </c>
      <c r="H8903" s="128" t="str">
        <f>VLOOKUP(source[[#This Row],[lending_product_transform]],[3]Mapping!$B$3:$D$37,3,0)</f>
        <v>cashloan</v>
      </c>
      <c r="I8903" s="143">
        <v>0</v>
      </c>
    </row>
    <row r="8904" spans="1:9" x14ac:dyDescent="0.2">
      <c r="A8904" s="172">
        <v>45906</v>
      </c>
      <c r="B8904" s="135">
        <f>YEAR(source[[#This Row],[report_date]])</f>
        <v>2025</v>
      </c>
      <c r="C8904" s="128">
        <f t="shared" si="415"/>
        <v>9</v>
      </c>
      <c r="D8904" s="136">
        <f t="shared" si="417"/>
        <v>36</v>
      </c>
      <c r="E8904" s="136">
        <f t="shared" si="416"/>
        <v>6</v>
      </c>
      <c r="F8904" s="137" t="s">
        <v>24</v>
      </c>
      <c r="G8904" s="128" t="str">
        <f>VLOOKUP(source[[#This Row],[lending_product_transform]],[3]Mapping!$B$4:$C$37,2,0)</f>
        <v>[Cake] - Cashloan</v>
      </c>
      <c r="H8904" s="128" t="str">
        <f>VLOOKUP(source[[#This Row],[lending_product_transform]],[3]Mapping!$B$3:$D$37,3,0)</f>
        <v>cashloan</v>
      </c>
      <c r="I8904" s="143">
        <v>0</v>
      </c>
    </row>
    <row r="8905" spans="1:9" x14ac:dyDescent="0.2">
      <c r="A8905" s="172">
        <v>45906</v>
      </c>
      <c r="B8905" s="135">
        <f>YEAR(source[[#This Row],[report_date]])</f>
        <v>2025</v>
      </c>
      <c r="C8905" s="128">
        <f t="shared" si="415"/>
        <v>9</v>
      </c>
      <c r="D8905" s="136">
        <f t="shared" si="417"/>
        <v>36</v>
      </c>
      <c r="E8905" s="136">
        <f t="shared" si="416"/>
        <v>6</v>
      </c>
      <c r="F8905" s="137" t="s">
        <v>24</v>
      </c>
      <c r="G8905" s="128" t="str">
        <f>VLOOKUP(source[[#This Row],[lending_product_transform]],[3]Mapping!$B$4:$C$37,2,0)</f>
        <v>[Cake] - Cashloan</v>
      </c>
      <c r="H8905" s="128" t="str">
        <f>VLOOKUP(source[[#This Row],[lending_product_transform]],[3]Mapping!$B$3:$D$37,3,0)</f>
        <v>cashloan</v>
      </c>
      <c r="I8905" s="143">
        <v>0</v>
      </c>
    </row>
    <row r="8906" spans="1:9" x14ac:dyDescent="0.2">
      <c r="A8906" s="172">
        <v>45906</v>
      </c>
      <c r="B8906" s="135">
        <f>YEAR(source[[#This Row],[report_date]])</f>
        <v>2025</v>
      </c>
      <c r="C8906" s="128">
        <f t="shared" si="415"/>
        <v>9</v>
      </c>
      <c r="D8906" s="136">
        <f t="shared" si="417"/>
        <v>36</v>
      </c>
      <c r="E8906" s="136">
        <f t="shared" si="416"/>
        <v>6</v>
      </c>
      <c r="F8906" s="137" t="s">
        <v>24</v>
      </c>
      <c r="G8906" s="128" t="str">
        <f>VLOOKUP(source[[#This Row],[lending_product_transform]],[3]Mapping!$B$4:$C$37,2,0)</f>
        <v>[Cake] - Cashloan</v>
      </c>
      <c r="H8906" s="128" t="str">
        <f>VLOOKUP(source[[#This Row],[lending_product_transform]],[3]Mapping!$B$3:$D$37,3,0)</f>
        <v>cashloan</v>
      </c>
      <c r="I8906" s="143">
        <v>8235324000</v>
      </c>
    </row>
    <row r="8907" spans="1:9" x14ac:dyDescent="0.2">
      <c r="A8907" s="172">
        <v>45906</v>
      </c>
      <c r="B8907" s="135">
        <f>YEAR(source[[#This Row],[report_date]])</f>
        <v>2025</v>
      </c>
      <c r="C8907" s="128">
        <f t="shared" si="415"/>
        <v>9</v>
      </c>
      <c r="D8907" s="136">
        <f t="shared" si="417"/>
        <v>36</v>
      </c>
      <c r="E8907" s="136">
        <f t="shared" si="416"/>
        <v>6</v>
      </c>
      <c r="F8907" s="137" t="s">
        <v>24</v>
      </c>
      <c r="G8907" s="128" t="str">
        <f>VLOOKUP(source[[#This Row],[lending_product_transform]],[3]Mapping!$B$4:$C$37,2,0)</f>
        <v>[Cake] - Cashloan</v>
      </c>
      <c r="H8907" s="128" t="str">
        <f>VLOOKUP(source[[#This Row],[lending_product_transform]],[3]Mapping!$B$3:$D$37,3,0)</f>
        <v>cashloan</v>
      </c>
      <c r="I8907" s="143">
        <v>466600028</v>
      </c>
    </row>
    <row r="8908" spans="1:9" x14ac:dyDescent="0.2">
      <c r="A8908" s="172">
        <v>45906</v>
      </c>
      <c r="B8908" s="135">
        <f>YEAR(source[[#This Row],[report_date]])</f>
        <v>2025</v>
      </c>
      <c r="C8908" s="128">
        <f t="shared" si="415"/>
        <v>9</v>
      </c>
      <c r="D8908" s="136">
        <f t="shared" si="417"/>
        <v>36</v>
      </c>
      <c r="E8908" s="136">
        <f t="shared" si="416"/>
        <v>6</v>
      </c>
      <c r="F8908" s="137" t="s">
        <v>24</v>
      </c>
      <c r="G8908" s="128" t="str">
        <f>VLOOKUP(source[[#This Row],[lending_product_transform]],[3]Mapping!$B$4:$C$37,2,0)</f>
        <v>[Cake] - Cashloan</v>
      </c>
      <c r="H8908" s="128" t="str">
        <f>VLOOKUP(source[[#This Row],[lending_product_transform]],[3]Mapping!$B$3:$D$37,3,0)</f>
        <v>cashloan</v>
      </c>
      <c r="I8908" s="143">
        <v>10500000</v>
      </c>
    </row>
    <row r="8909" spans="1:9" x14ac:dyDescent="0.2">
      <c r="A8909" s="172">
        <v>45906</v>
      </c>
      <c r="B8909" s="135">
        <f>YEAR(source[[#This Row],[report_date]])</f>
        <v>2025</v>
      </c>
      <c r="C8909" s="128">
        <f t="shared" si="415"/>
        <v>9</v>
      </c>
      <c r="D8909" s="136">
        <f t="shared" si="417"/>
        <v>36</v>
      </c>
      <c r="E8909" s="136">
        <f t="shared" si="416"/>
        <v>6</v>
      </c>
      <c r="F8909" s="137" t="s">
        <v>24</v>
      </c>
      <c r="G8909" s="128" t="str">
        <f>VLOOKUP(source[[#This Row],[lending_product_transform]],[3]Mapping!$B$4:$C$37,2,0)</f>
        <v>[Cake] - Cashloan</v>
      </c>
      <c r="H8909" s="128" t="str">
        <f>VLOOKUP(source[[#This Row],[lending_product_transform]],[3]Mapping!$B$3:$D$37,3,0)</f>
        <v>cashloan</v>
      </c>
      <c r="I8909" s="143">
        <v>49000000</v>
      </c>
    </row>
    <row r="8910" spans="1:9" x14ac:dyDescent="0.2">
      <c r="A8910" s="172">
        <v>45906</v>
      </c>
      <c r="B8910" s="135">
        <f>YEAR(source[[#This Row],[report_date]])</f>
        <v>2025</v>
      </c>
      <c r="C8910" s="128">
        <f t="shared" si="415"/>
        <v>9</v>
      </c>
      <c r="D8910" s="136">
        <f t="shared" si="417"/>
        <v>36</v>
      </c>
      <c r="E8910" s="136">
        <f t="shared" si="416"/>
        <v>6</v>
      </c>
      <c r="F8910" s="137" t="s">
        <v>24</v>
      </c>
      <c r="G8910" s="128" t="str">
        <f>VLOOKUP(source[[#This Row],[lending_product_transform]],[3]Mapping!$B$4:$C$37,2,0)</f>
        <v>[Cake] - Cashloan</v>
      </c>
      <c r="H8910" s="128" t="str">
        <f>VLOOKUP(source[[#This Row],[lending_product_transform]],[3]Mapping!$B$3:$D$37,3,0)</f>
        <v>cashloan</v>
      </c>
      <c r="I8910" s="143">
        <v>327890000</v>
      </c>
    </row>
    <row r="8911" spans="1:9" x14ac:dyDescent="0.2">
      <c r="A8911" s="172">
        <v>45906</v>
      </c>
      <c r="B8911" s="135">
        <f>YEAR(source[[#This Row],[report_date]])</f>
        <v>2025</v>
      </c>
      <c r="C8911" s="128">
        <f t="shared" si="415"/>
        <v>9</v>
      </c>
      <c r="D8911" s="136">
        <f t="shared" si="417"/>
        <v>36</v>
      </c>
      <c r="E8911" s="136">
        <f t="shared" si="416"/>
        <v>6</v>
      </c>
      <c r="F8911" s="137" t="s">
        <v>24</v>
      </c>
      <c r="G8911" s="128" t="str">
        <f>VLOOKUP(source[[#This Row],[lending_product_transform]],[3]Mapping!$B$4:$C$37,2,0)</f>
        <v>[Cake] - Cashloan</v>
      </c>
      <c r="H8911" s="128" t="str">
        <f>VLOOKUP(source[[#This Row],[lending_product_transform]],[3]Mapping!$B$3:$D$37,3,0)</f>
        <v>cashloan</v>
      </c>
      <c r="I8911" s="143">
        <v>542700430</v>
      </c>
    </row>
    <row r="8912" spans="1:9" x14ac:dyDescent="0.2">
      <c r="A8912" s="172">
        <v>45906</v>
      </c>
      <c r="B8912" s="135">
        <f>YEAR(source[[#This Row],[report_date]])</f>
        <v>2025</v>
      </c>
      <c r="C8912" s="128">
        <f t="shared" si="415"/>
        <v>9</v>
      </c>
      <c r="D8912" s="136">
        <f t="shared" si="417"/>
        <v>36</v>
      </c>
      <c r="E8912" s="136">
        <f t="shared" si="416"/>
        <v>6</v>
      </c>
      <c r="F8912" s="137" t="s">
        <v>24</v>
      </c>
      <c r="G8912" s="128" t="str">
        <f>VLOOKUP(source[[#This Row],[lending_product_transform]],[3]Mapping!$B$4:$C$37,2,0)</f>
        <v>[Cake] - Cashloan</v>
      </c>
      <c r="H8912" s="128" t="str">
        <f>VLOOKUP(source[[#This Row],[lending_product_transform]],[3]Mapping!$B$3:$D$37,3,0)</f>
        <v>cashloan</v>
      </c>
      <c r="I8912" s="143">
        <v>2636100000</v>
      </c>
    </row>
    <row r="8913" spans="1:9" x14ac:dyDescent="0.2">
      <c r="A8913" s="172">
        <v>45907</v>
      </c>
      <c r="B8913" s="135">
        <f>YEAR(source[[#This Row],[report_date]])</f>
        <v>2025</v>
      </c>
      <c r="C8913" s="128">
        <f t="shared" si="415"/>
        <v>9</v>
      </c>
      <c r="D8913" s="136">
        <f t="shared" si="417"/>
        <v>36</v>
      </c>
      <c r="E8913" s="136">
        <f t="shared" si="416"/>
        <v>7</v>
      </c>
      <c r="F8913" s="137" t="s">
        <v>24</v>
      </c>
      <c r="G8913" s="128" t="str">
        <f>VLOOKUP(source[[#This Row],[lending_product_transform]],[3]Mapping!$B$4:$C$37,2,0)</f>
        <v>[Cake] - Cashloan</v>
      </c>
      <c r="H8913" s="128" t="str">
        <f>VLOOKUP(source[[#This Row],[lending_product_transform]],[3]Mapping!$B$3:$D$37,3,0)</f>
        <v>cashloan</v>
      </c>
      <c r="I8913" s="143">
        <v>0</v>
      </c>
    </row>
    <row r="8914" spans="1:9" x14ac:dyDescent="0.2">
      <c r="A8914" s="172">
        <v>45907</v>
      </c>
      <c r="B8914" s="135">
        <f>YEAR(source[[#This Row],[report_date]])</f>
        <v>2025</v>
      </c>
      <c r="C8914" s="128">
        <f t="shared" si="415"/>
        <v>9</v>
      </c>
      <c r="D8914" s="136">
        <f t="shared" si="417"/>
        <v>36</v>
      </c>
      <c r="E8914" s="136">
        <f t="shared" si="416"/>
        <v>7</v>
      </c>
      <c r="F8914" s="137" t="s">
        <v>24</v>
      </c>
      <c r="G8914" s="128" t="str">
        <f>VLOOKUP(source[[#This Row],[lending_product_transform]],[3]Mapping!$B$4:$C$37,2,0)</f>
        <v>[Cake] - Cashloan</v>
      </c>
      <c r="H8914" s="128" t="str">
        <f>VLOOKUP(source[[#This Row],[lending_product_transform]],[3]Mapping!$B$3:$D$37,3,0)</f>
        <v>cashloan</v>
      </c>
      <c r="I8914" s="143">
        <v>343546244</v>
      </c>
    </row>
    <row r="8915" spans="1:9" x14ac:dyDescent="0.2">
      <c r="A8915" s="172">
        <v>45907</v>
      </c>
      <c r="B8915" s="135">
        <f>YEAR(source[[#This Row],[report_date]])</f>
        <v>2025</v>
      </c>
      <c r="C8915" s="128">
        <f t="shared" si="415"/>
        <v>9</v>
      </c>
      <c r="D8915" s="136">
        <f t="shared" si="417"/>
        <v>36</v>
      </c>
      <c r="E8915" s="136">
        <f t="shared" si="416"/>
        <v>7</v>
      </c>
      <c r="F8915" s="137" t="s">
        <v>24</v>
      </c>
      <c r="G8915" s="128" t="str">
        <f>VLOOKUP(source[[#This Row],[lending_product_transform]],[3]Mapping!$B$4:$C$37,2,0)</f>
        <v>[Cake] - Cashloan</v>
      </c>
      <c r="H8915" s="128" t="str">
        <f>VLOOKUP(source[[#This Row],[lending_product_transform]],[3]Mapping!$B$3:$D$37,3,0)</f>
        <v>cashloan</v>
      </c>
      <c r="I8915" s="143">
        <v>15749720000</v>
      </c>
    </row>
    <row r="8916" spans="1:9" x14ac:dyDescent="0.2">
      <c r="A8916" s="172">
        <v>45907</v>
      </c>
      <c r="B8916" s="135">
        <f>YEAR(source[[#This Row],[report_date]])</f>
        <v>2025</v>
      </c>
      <c r="C8916" s="128">
        <f t="shared" si="415"/>
        <v>9</v>
      </c>
      <c r="D8916" s="136">
        <f t="shared" si="417"/>
        <v>36</v>
      </c>
      <c r="E8916" s="136">
        <f t="shared" si="416"/>
        <v>7</v>
      </c>
      <c r="F8916" s="137" t="s">
        <v>24</v>
      </c>
      <c r="G8916" s="128" t="str">
        <f>VLOOKUP(source[[#This Row],[lending_product_transform]],[3]Mapping!$B$4:$C$37,2,0)</f>
        <v>[Cake] - Cashloan</v>
      </c>
      <c r="H8916" s="128" t="str">
        <f>VLOOKUP(source[[#This Row],[lending_product_transform]],[3]Mapping!$B$3:$D$37,3,0)</f>
        <v>cashloan</v>
      </c>
      <c r="I8916" s="143">
        <v>2488382624</v>
      </c>
    </row>
    <row r="8917" spans="1:9" x14ac:dyDescent="0.2">
      <c r="A8917" s="172">
        <v>45907</v>
      </c>
      <c r="B8917" s="135">
        <f>YEAR(source[[#This Row],[report_date]])</f>
        <v>2025</v>
      </c>
      <c r="C8917" s="128">
        <f t="shared" si="415"/>
        <v>9</v>
      </c>
      <c r="D8917" s="136">
        <f t="shared" si="417"/>
        <v>36</v>
      </c>
      <c r="E8917" s="136">
        <f t="shared" si="416"/>
        <v>7</v>
      </c>
      <c r="F8917" s="137" t="s">
        <v>24</v>
      </c>
      <c r="G8917" s="128" t="str">
        <f>VLOOKUP(source[[#This Row],[lending_product_transform]],[3]Mapping!$B$4:$C$37,2,0)</f>
        <v>[Cake] - Cashloan</v>
      </c>
      <c r="H8917" s="128" t="str">
        <f>VLOOKUP(source[[#This Row],[lending_product_transform]],[3]Mapping!$B$3:$D$37,3,0)</f>
        <v>cashloan</v>
      </c>
      <c r="I8917" s="143">
        <v>4054644000</v>
      </c>
    </row>
    <row r="8918" spans="1:9" x14ac:dyDescent="0.2">
      <c r="A8918" s="172">
        <v>45907</v>
      </c>
      <c r="B8918" s="135">
        <f>YEAR(source[[#This Row],[report_date]])</f>
        <v>2025</v>
      </c>
      <c r="C8918" s="128">
        <f t="shared" si="415"/>
        <v>9</v>
      </c>
      <c r="D8918" s="136">
        <f t="shared" si="417"/>
        <v>36</v>
      </c>
      <c r="E8918" s="136">
        <f t="shared" si="416"/>
        <v>7</v>
      </c>
      <c r="F8918" s="137" t="s">
        <v>24</v>
      </c>
      <c r="G8918" s="128" t="str">
        <f>VLOOKUP(source[[#This Row],[lending_product_transform]],[3]Mapping!$B$4:$C$37,2,0)</f>
        <v>[Cake] - Cashloan</v>
      </c>
      <c r="H8918" s="128" t="str">
        <f>VLOOKUP(source[[#This Row],[lending_product_transform]],[3]Mapping!$B$3:$D$37,3,0)</f>
        <v>cashloan</v>
      </c>
      <c r="I8918" s="143">
        <v>40314204</v>
      </c>
    </row>
    <row r="8919" spans="1:9" x14ac:dyDescent="0.2">
      <c r="A8919" s="172">
        <v>45907</v>
      </c>
      <c r="B8919" s="135">
        <f>YEAR(source[[#This Row],[report_date]])</f>
        <v>2025</v>
      </c>
      <c r="C8919" s="128">
        <f t="shared" si="415"/>
        <v>9</v>
      </c>
      <c r="D8919" s="136">
        <f t="shared" si="417"/>
        <v>36</v>
      </c>
      <c r="E8919" s="136">
        <f t="shared" si="416"/>
        <v>7</v>
      </c>
      <c r="F8919" s="137" t="s">
        <v>24</v>
      </c>
      <c r="G8919" s="128" t="str">
        <f>VLOOKUP(source[[#This Row],[lending_product_transform]],[3]Mapping!$B$4:$C$37,2,0)</f>
        <v>[Cake] - Cashloan</v>
      </c>
      <c r="H8919" s="128" t="str">
        <f>VLOOKUP(source[[#This Row],[lending_product_transform]],[3]Mapping!$B$3:$D$37,3,0)</f>
        <v>cashloan</v>
      </c>
      <c r="I8919" s="143">
        <v>2971390000</v>
      </c>
    </row>
    <row r="8920" spans="1:9" x14ac:dyDescent="0.2">
      <c r="A8920" s="172">
        <v>45907</v>
      </c>
      <c r="B8920" s="135">
        <f>YEAR(source[[#This Row],[report_date]])</f>
        <v>2025</v>
      </c>
      <c r="C8920" s="128">
        <f t="shared" si="415"/>
        <v>9</v>
      </c>
      <c r="D8920" s="136">
        <f t="shared" si="417"/>
        <v>36</v>
      </c>
      <c r="E8920" s="136">
        <f t="shared" si="416"/>
        <v>7</v>
      </c>
      <c r="F8920" s="137" t="s">
        <v>24</v>
      </c>
      <c r="G8920" s="128" t="str">
        <f>VLOOKUP(source[[#This Row],[lending_product_transform]],[3]Mapping!$B$4:$C$37,2,0)</f>
        <v>[Cake] - Cashloan</v>
      </c>
      <c r="H8920" s="128" t="str">
        <f>VLOOKUP(source[[#This Row],[lending_product_transform]],[3]Mapping!$B$3:$D$37,3,0)</f>
        <v>cashloan</v>
      </c>
      <c r="I8920" s="143">
        <v>26271000</v>
      </c>
    </row>
    <row r="8921" spans="1:9" x14ac:dyDescent="0.2">
      <c r="A8921" s="172">
        <v>45907</v>
      </c>
      <c r="B8921" s="135">
        <f>YEAR(source[[#This Row],[report_date]])</f>
        <v>2025</v>
      </c>
      <c r="C8921" s="128">
        <f t="shared" si="415"/>
        <v>9</v>
      </c>
      <c r="D8921" s="136">
        <f t="shared" si="417"/>
        <v>36</v>
      </c>
      <c r="E8921" s="136">
        <f t="shared" si="416"/>
        <v>7</v>
      </c>
      <c r="F8921" s="137" t="s">
        <v>24</v>
      </c>
      <c r="G8921" s="128" t="str">
        <f>VLOOKUP(source[[#This Row],[lending_product_transform]],[3]Mapping!$B$4:$C$37,2,0)</f>
        <v>[Cake] - Cashloan</v>
      </c>
      <c r="H8921" s="128" t="str">
        <f>VLOOKUP(source[[#This Row],[lending_product_transform]],[3]Mapping!$B$3:$D$37,3,0)</f>
        <v>cashloan</v>
      </c>
      <c r="I8921" s="143">
        <v>467462000</v>
      </c>
    </row>
    <row r="8922" spans="1:9" x14ac:dyDescent="0.2">
      <c r="A8922" s="172">
        <v>45907</v>
      </c>
      <c r="B8922" s="135">
        <f>YEAR(source[[#This Row],[report_date]])</f>
        <v>2025</v>
      </c>
      <c r="C8922" s="128">
        <f t="shared" si="415"/>
        <v>9</v>
      </c>
      <c r="D8922" s="136">
        <f t="shared" si="417"/>
        <v>36</v>
      </c>
      <c r="E8922" s="136">
        <f t="shared" si="416"/>
        <v>7</v>
      </c>
      <c r="F8922" s="137" t="s">
        <v>24</v>
      </c>
      <c r="G8922" s="128" t="str">
        <f>VLOOKUP(source[[#This Row],[lending_product_transform]],[3]Mapping!$B$4:$C$37,2,0)</f>
        <v>[Cake] - Cashloan</v>
      </c>
      <c r="H8922" s="128" t="str">
        <f>VLOOKUP(source[[#This Row],[lending_product_transform]],[3]Mapping!$B$3:$D$37,3,0)</f>
        <v>cashloan</v>
      </c>
      <c r="I8922" s="143">
        <v>0</v>
      </c>
    </row>
    <row r="8923" spans="1:9" x14ac:dyDescent="0.2">
      <c r="A8923" s="172">
        <v>45907</v>
      </c>
      <c r="B8923" s="135">
        <f>YEAR(source[[#This Row],[report_date]])</f>
        <v>2025</v>
      </c>
      <c r="C8923" s="128">
        <f t="shared" si="415"/>
        <v>9</v>
      </c>
      <c r="D8923" s="136">
        <f t="shared" si="417"/>
        <v>36</v>
      </c>
      <c r="E8923" s="136">
        <f t="shared" si="416"/>
        <v>7</v>
      </c>
      <c r="F8923" s="137" t="s">
        <v>24</v>
      </c>
      <c r="G8923" s="128" t="str">
        <f>VLOOKUP(source[[#This Row],[lending_product_transform]],[3]Mapping!$B$4:$C$37,2,0)</f>
        <v>[Cake] - Cashloan</v>
      </c>
      <c r="H8923" s="128" t="str">
        <f>VLOOKUP(source[[#This Row],[lending_product_transform]],[3]Mapping!$B$3:$D$37,3,0)</f>
        <v>cashloan</v>
      </c>
      <c r="I8923" s="143">
        <v>0</v>
      </c>
    </row>
    <row r="8924" spans="1:9" x14ac:dyDescent="0.2">
      <c r="A8924" s="172">
        <v>45907</v>
      </c>
      <c r="B8924" s="135">
        <f>YEAR(source[[#This Row],[report_date]])</f>
        <v>2025</v>
      </c>
      <c r="C8924" s="128">
        <f t="shared" si="415"/>
        <v>9</v>
      </c>
      <c r="D8924" s="136">
        <f t="shared" si="417"/>
        <v>36</v>
      </c>
      <c r="E8924" s="136">
        <f t="shared" si="416"/>
        <v>7</v>
      </c>
      <c r="F8924" s="137" t="s">
        <v>24</v>
      </c>
      <c r="G8924" s="128" t="str">
        <f>VLOOKUP(source[[#This Row],[lending_product_transform]],[3]Mapping!$B$4:$C$37,2,0)</f>
        <v>[Cake] - Cashloan</v>
      </c>
      <c r="H8924" s="128" t="str">
        <f>VLOOKUP(source[[#This Row],[lending_product_transform]],[3]Mapping!$B$3:$D$37,3,0)</f>
        <v>cashloan</v>
      </c>
      <c r="I8924" s="143">
        <v>14106160000</v>
      </c>
    </row>
    <row r="8925" spans="1:9" x14ac:dyDescent="0.2">
      <c r="A8925" s="172">
        <v>45907</v>
      </c>
      <c r="B8925" s="135">
        <f>YEAR(source[[#This Row],[report_date]])</f>
        <v>2025</v>
      </c>
      <c r="C8925" s="128">
        <f t="shared" si="415"/>
        <v>9</v>
      </c>
      <c r="D8925" s="136">
        <f t="shared" si="417"/>
        <v>36</v>
      </c>
      <c r="E8925" s="136">
        <f t="shared" si="416"/>
        <v>7</v>
      </c>
      <c r="F8925" s="137" t="s">
        <v>24</v>
      </c>
      <c r="G8925" s="128" t="str">
        <f>VLOOKUP(source[[#This Row],[lending_product_transform]],[3]Mapping!$B$4:$C$37,2,0)</f>
        <v>[Cake] - Cashloan</v>
      </c>
      <c r="H8925" s="128" t="str">
        <f>VLOOKUP(source[[#This Row],[lending_product_transform]],[3]Mapping!$B$3:$D$37,3,0)</f>
        <v>cashloan</v>
      </c>
      <c r="I8925" s="143">
        <v>0</v>
      </c>
    </row>
    <row r="8926" spans="1:9" x14ac:dyDescent="0.2">
      <c r="A8926" s="172">
        <v>45907</v>
      </c>
      <c r="B8926" s="135">
        <f>YEAR(source[[#This Row],[report_date]])</f>
        <v>2025</v>
      </c>
      <c r="C8926" s="128">
        <f t="shared" si="415"/>
        <v>9</v>
      </c>
      <c r="D8926" s="136">
        <f t="shared" si="417"/>
        <v>36</v>
      </c>
      <c r="E8926" s="136">
        <f t="shared" si="416"/>
        <v>7</v>
      </c>
      <c r="F8926" s="137" t="s">
        <v>24</v>
      </c>
      <c r="G8926" s="128" t="str">
        <f>VLOOKUP(source[[#This Row],[lending_product_transform]],[3]Mapping!$B$4:$C$37,2,0)</f>
        <v>[Cake] - Cashloan</v>
      </c>
      <c r="H8926" s="128" t="str">
        <f>VLOOKUP(source[[#This Row],[lending_product_transform]],[3]Mapping!$B$3:$D$37,3,0)</f>
        <v>cashloan</v>
      </c>
      <c r="I8926" s="143">
        <v>0</v>
      </c>
    </row>
    <row r="8927" spans="1:9" x14ac:dyDescent="0.2">
      <c r="A8927" s="172">
        <v>45907</v>
      </c>
      <c r="B8927" s="135">
        <f>YEAR(source[[#This Row],[report_date]])</f>
        <v>2025</v>
      </c>
      <c r="C8927" s="128">
        <f t="shared" si="415"/>
        <v>9</v>
      </c>
      <c r="D8927" s="136">
        <f t="shared" si="417"/>
        <v>36</v>
      </c>
      <c r="E8927" s="136">
        <f t="shared" si="416"/>
        <v>7</v>
      </c>
      <c r="F8927" s="137" t="s">
        <v>24</v>
      </c>
      <c r="G8927" s="128" t="str">
        <f>VLOOKUP(source[[#This Row],[lending_product_transform]],[3]Mapping!$B$4:$C$37,2,0)</f>
        <v>[Cake] - Cashloan</v>
      </c>
      <c r="H8927" s="128" t="str">
        <f>VLOOKUP(source[[#This Row],[lending_product_transform]],[3]Mapping!$B$3:$D$37,3,0)</f>
        <v>cashloan</v>
      </c>
      <c r="I8927" s="143">
        <v>0</v>
      </c>
    </row>
    <row r="8928" spans="1:9" x14ac:dyDescent="0.2">
      <c r="A8928" s="172">
        <v>45907</v>
      </c>
      <c r="B8928" s="135">
        <f>YEAR(source[[#This Row],[report_date]])</f>
        <v>2025</v>
      </c>
      <c r="C8928" s="128">
        <f t="shared" si="415"/>
        <v>9</v>
      </c>
      <c r="D8928" s="136">
        <f t="shared" si="417"/>
        <v>36</v>
      </c>
      <c r="E8928" s="136">
        <f t="shared" si="416"/>
        <v>7</v>
      </c>
      <c r="F8928" s="137" t="s">
        <v>24</v>
      </c>
      <c r="G8928" s="128" t="str">
        <f>VLOOKUP(source[[#This Row],[lending_product_transform]],[3]Mapping!$B$4:$C$37,2,0)</f>
        <v>[Cake] - Cashloan</v>
      </c>
      <c r="H8928" s="128" t="str">
        <f>VLOOKUP(source[[#This Row],[lending_product_transform]],[3]Mapping!$B$3:$D$37,3,0)</f>
        <v>cashloan</v>
      </c>
      <c r="I8928" s="143">
        <v>0</v>
      </c>
    </row>
    <row r="8929" spans="1:9" x14ac:dyDescent="0.2">
      <c r="A8929" s="172">
        <v>45907</v>
      </c>
      <c r="B8929" s="135">
        <f>YEAR(source[[#This Row],[report_date]])</f>
        <v>2025</v>
      </c>
      <c r="C8929" s="128">
        <f t="shared" si="415"/>
        <v>9</v>
      </c>
      <c r="D8929" s="136">
        <f t="shared" si="417"/>
        <v>36</v>
      </c>
      <c r="E8929" s="136">
        <f t="shared" si="416"/>
        <v>7</v>
      </c>
      <c r="F8929" s="137" t="s">
        <v>24</v>
      </c>
      <c r="G8929" s="128" t="str">
        <f>VLOOKUP(source[[#This Row],[lending_product_transform]],[3]Mapping!$B$4:$C$37,2,0)</f>
        <v>[Cake] - Cashloan</v>
      </c>
      <c r="H8929" s="128" t="str">
        <f>VLOOKUP(source[[#This Row],[lending_product_transform]],[3]Mapping!$B$3:$D$37,3,0)</f>
        <v>cashloan</v>
      </c>
      <c r="I8929" s="143">
        <v>7793280000</v>
      </c>
    </row>
    <row r="8930" spans="1:9" x14ac:dyDescent="0.2">
      <c r="A8930" s="172">
        <v>45907</v>
      </c>
      <c r="B8930" s="135">
        <f>YEAR(source[[#This Row],[report_date]])</f>
        <v>2025</v>
      </c>
      <c r="C8930" s="128">
        <f t="shared" si="415"/>
        <v>9</v>
      </c>
      <c r="D8930" s="136">
        <f t="shared" si="417"/>
        <v>36</v>
      </c>
      <c r="E8930" s="136">
        <f t="shared" si="416"/>
        <v>7</v>
      </c>
      <c r="F8930" s="137" t="s">
        <v>24</v>
      </c>
      <c r="G8930" s="128" t="str">
        <f>VLOOKUP(source[[#This Row],[lending_product_transform]],[3]Mapping!$B$4:$C$37,2,0)</f>
        <v>[Cake] - Cashloan</v>
      </c>
      <c r="H8930" s="128" t="str">
        <f>VLOOKUP(source[[#This Row],[lending_product_transform]],[3]Mapping!$B$3:$D$37,3,0)</f>
        <v>cashloan</v>
      </c>
      <c r="I8930" s="143">
        <v>319561562</v>
      </c>
    </row>
    <row r="8931" spans="1:9" x14ac:dyDescent="0.2">
      <c r="A8931" s="172">
        <v>45907</v>
      </c>
      <c r="B8931" s="135">
        <f>YEAR(source[[#This Row],[report_date]])</f>
        <v>2025</v>
      </c>
      <c r="C8931" s="128">
        <f t="shared" si="415"/>
        <v>9</v>
      </c>
      <c r="D8931" s="136">
        <f t="shared" si="417"/>
        <v>36</v>
      </c>
      <c r="E8931" s="136">
        <f t="shared" si="416"/>
        <v>7</v>
      </c>
      <c r="F8931" s="137" t="s">
        <v>24</v>
      </c>
      <c r="G8931" s="128" t="str">
        <f>VLOOKUP(source[[#This Row],[lending_product_transform]],[3]Mapping!$B$4:$C$37,2,0)</f>
        <v>[Cake] - Cashloan</v>
      </c>
      <c r="H8931" s="128" t="str">
        <f>VLOOKUP(source[[#This Row],[lending_product_transform]],[3]Mapping!$B$3:$D$37,3,0)</f>
        <v>cashloan</v>
      </c>
      <c r="I8931" s="143">
        <v>31000000</v>
      </c>
    </row>
    <row r="8932" spans="1:9" x14ac:dyDescent="0.2">
      <c r="A8932" s="172">
        <v>45907</v>
      </c>
      <c r="B8932" s="135">
        <f>YEAR(source[[#This Row],[report_date]])</f>
        <v>2025</v>
      </c>
      <c r="C8932" s="128">
        <f t="shared" si="415"/>
        <v>9</v>
      </c>
      <c r="D8932" s="136">
        <f t="shared" si="417"/>
        <v>36</v>
      </c>
      <c r="E8932" s="136">
        <f t="shared" si="416"/>
        <v>7</v>
      </c>
      <c r="F8932" s="137" t="s">
        <v>24</v>
      </c>
      <c r="G8932" s="128" t="str">
        <f>VLOOKUP(source[[#This Row],[lending_product_transform]],[3]Mapping!$B$4:$C$37,2,0)</f>
        <v>[Cake] - Cashloan</v>
      </c>
      <c r="H8932" s="128" t="str">
        <f>VLOOKUP(source[[#This Row],[lending_product_transform]],[3]Mapping!$B$3:$D$37,3,0)</f>
        <v>cashloan</v>
      </c>
      <c r="I8932" s="143">
        <v>41000000</v>
      </c>
    </row>
    <row r="8933" spans="1:9" x14ac:dyDescent="0.2">
      <c r="A8933" s="172">
        <v>45907</v>
      </c>
      <c r="B8933" s="135">
        <f>YEAR(source[[#This Row],[report_date]])</f>
        <v>2025</v>
      </c>
      <c r="C8933" s="128">
        <f t="shared" si="415"/>
        <v>9</v>
      </c>
      <c r="D8933" s="136">
        <f t="shared" si="417"/>
        <v>36</v>
      </c>
      <c r="E8933" s="136">
        <f t="shared" si="416"/>
        <v>7</v>
      </c>
      <c r="F8933" s="137" t="s">
        <v>24</v>
      </c>
      <c r="G8933" s="128" t="str">
        <f>VLOOKUP(source[[#This Row],[lending_product_transform]],[3]Mapping!$B$4:$C$37,2,0)</f>
        <v>[Cake] - Cashloan</v>
      </c>
      <c r="H8933" s="128" t="str">
        <f>VLOOKUP(source[[#This Row],[lending_product_transform]],[3]Mapping!$B$3:$D$37,3,0)</f>
        <v>cashloan</v>
      </c>
      <c r="I8933" s="143">
        <v>482140000</v>
      </c>
    </row>
    <row r="8934" spans="1:9" x14ac:dyDescent="0.2">
      <c r="A8934" s="172">
        <v>45907</v>
      </c>
      <c r="B8934" s="135">
        <f>YEAR(source[[#This Row],[report_date]])</f>
        <v>2025</v>
      </c>
      <c r="C8934" s="128">
        <f t="shared" si="415"/>
        <v>9</v>
      </c>
      <c r="D8934" s="136">
        <f t="shared" si="417"/>
        <v>36</v>
      </c>
      <c r="E8934" s="136">
        <f t="shared" si="416"/>
        <v>7</v>
      </c>
      <c r="F8934" s="137" t="s">
        <v>24</v>
      </c>
      <c r="G8934" s="128" t="str">
        <f>VLOOKUP(source[[#This Row],[lending_product_transform]],[3]Mapping!$B$4:$C$37,2,0)</f>
        <v>[Cake] - Cashloan</v>
      </c>
      <c r="H8934" s="128" t="str">
        <f>VLOOKUP(source[[#This Row],[lending_product_transform]],[3]Mapping!$B$3:$D$37,3,0)</f>
        <v>cashloan</v>
      </c>
      <c r="I8934" s="143">
        <v>426615143</v>
      </c>
    </row>
    <row r="8935" spans="1:9" x14ac:dyDescent="0.2">
      <c r="A8935" s="172">
        <v>45907</v>
      </c>
      <c r="B8935" s="135">
        <f>YEAR(source[[#This Row],[report_date]])</f>
        <v>2025</v>
      </c>
      <c r="C8935" s="128">
        <f t="shared" si="415"/>
        <v>9</v>
      </c>
      <c r="D8935" s="136">
        <f t="shared" si="417"/>
        <v>36</v>
      </c>
      <c r="E8935" s="136">
        <f t="shared" si="416"/>
        <v>7</v>
      </c>
      <c r="F8935" s="137" t="s">
        <v>24</v>
      </c>
      <c r="G8935" s="128" t="str">
        <f>VLOOKUP(source[[#This Row],[lending_product_transform]],[3]Mapping!$B$4:$C$37,2,0)</f>
        <v>[Cake] - Cashloan</v>
      </c>
      <c r="H8935" s="128" t="str">
        <f>VLOOKUP(source[[#This Row],[lending_product_transform]],[3]Mapping!$B$3:$D$37,3,0)</f>
        <v>cashloan</v>
      </c>
      <c r="I8935" s="143">
        <v>2716360000</v>
      </c>
    </row>
    <row r="8936" spans="1:9" x14ac:dyDescent="0.2">
      <c r="A8936" s="172">
        <v>45908</v>
      </c>
      <c r="B8936" s="135">
        <f>YEAR(source[[#This Row],[report_date]])</f>
        <v>2025</v>
      </c>
      <c r="C8936" s="128">
        <f t="shared" si="415"/>
        <v>9</v>
      </c>
      <c r="D8936" s="136">
        <f t="shared" si="417"/>
        <v>37</v>
      </c>
      <c r="E8936" s="136">
        <f t="shared" si="416"/>
        <v>8</v>
      </c>
      <c r="F8936" s="137" t="s">
        <v>24</v>
      </c>
      <c r="G8936" s="128" t="str">
        <f>VLOOKUP(source[[#This Row],[lending_product_transform]],[3]Mapping!$B$4:$C$37,2,0)</f>
        <v>[Cake] - Cashloan</v>
      </c>
      <c r="H8936" s="128" t="str">
        <f>VLOOKUP(source[[#This Row],[lending_product_transform]],[3]Mapping!$B$3:$D$37,3,0)</f>
        <v>cashloan</v>
      </c>
      <c r="I8936" s="143">
        <v>0</v>
      </c>
    </row>
    <row r="8937" spans="1:9" x14ac:dyDescent="0.2">
      <c r="A8937" s="172">
        <v>45908</v>
      </c>
      <c r="B8937" s="135">
        <f>YEAR(source[[#This Row],[report_date]])</f>
        <v>2025</v>
      </c>
      <c r="C8937" s="128">
        <f t="shared" si="415"/>
        <v>9</v>
      </c>
      <c r="D8937" s="136">
        <f t="shared" si="417"/>
        <v>37</v>
      </c>
      <c r="E8937" s="136">
        <f t="shared" si="416"/>
        <v>8</v>
      </c>
      <c r="F8937" s="137" t="s">
        <v>24</v>
      </c>
      <c r="G8937" s="128" t="str">
        <f>VLOOKUP(source[[#This Row],[lending_product_transform]],[3]Mapping!$B$4:$C$37,2,0)</f>
        <v>[Cake] - Cashloan</v>
      </c>
      <c r="H8937" s="128" t="str">
        <f>VLOOKUP(source[[#This Row],[lending_product_transform]],[3]Mapping!$B$3:$D$37,3,0)</f>
        <v>cashloan</v>
      </c>
      <c r="I8937" s="143">
        <v>318899449</v>
      </c>
    </row>
    <row r="8938" spans="1:9" x14ac:dyDescent="0.2">
      <c r="A8938" s="172">
        <v>45908</v>
      </c>
      <c r="B8938" s="135">
        <f>YEAR(source[[#This Row],[report_date]])</f>
        <v>2025</v>
      </c>
      <c r="C8938" s="128">
        <f t="shared" si="415"/>
        <v>9</v>
      </c>
      <c r="D8938" s="136">
        <f t="shared" si="417"/>
        <v>37</v>
      </c>
      <c r="E8938" s="136">
        <f t="shared" si="416"/>
        <v>8</v>
      </c>
      <c r="F8938" s="137" t="s">
        <v>24</v>
      </c>
      <c r="G8938" s="128" t="str">
        <f>VLOOKUP(source[[#This Row],[lending_product_transform]],[3]Mapping!$B$4:$C$37,2,0)</f>
        <v>[Cake] - Cashloan</v>
      </c>
      <c r="H8938" s="128" t="str">
        <f>VLOOKUP(source[[#This Row],[lending_product_transform]],[3]Mapping!$B$3:$D$37,3,0)</f>
        <v>cashloan</v>
      </c>
      <c r="I8938" s="143">
        <v>19450990000</v>
      </c>
    </row>
    <row r="8939" spans="1:9" x14ac:dyDescent="0.2">
      <c r="A8939" s="172">
        <v>45908</v>
      </c>
      <c r="B8939" s="135">
        <f>YEAR(source[[#This Row],[report_date]])</f>
        <v>2025</v>
      </c>
      <c r="C8939" s="128">
        <f t="shared" si="415"/>
        <v>9</v>
      </c>
      <c r="D8939" s="136">
        <f t="shared" si="417"/>
        <v>37</v>
      </c>
      <c r="E8939" s="136">
        <f t="shared" si="416"/>
        <v>8</v>
      </c>
      <c r="F8939" s="137" t="s">
        <v>24</v>
      </c>
      <c r="G8939" s="128" t="str">
        <f>VLOOKUP(source[[#This Row],[lending_product_transform]],[3]Mapping!$B$4:$C$37,2,0)</f>
        <v>[Cake] - Cashloan</v>
      </c>
      <c r="H8939" s="128" t="str">
        <f>VLOOKUP(source[[#This Row],[lending_product_transform]],[3]Mapping!$B$3:$D$37,3,0)</f>
        <v>cashloan</v>
      </c>
      <c r="I8939" s="143">
        <v>3235316502</v>
      </c>
    </row>
    <row r="8940" spans="1:9" x14ac:dyDescent="0.2">
      <c r="A8940" s="172">
        <v>45908</v>
      </c>
      <c r="B8940" s="135">
        <f>YEAR(source[[#This Row],[report_date]])</f>
        <v>2025</v>
      </c>
      <c r="C8940" s="128">
        <f t="shared" si="415"/>
        <v>9</v>
      </c>
      <c r="D8940" s="136">
        <f t="shared" si="417"/>
        <v>37</v>
      </c>
      <c r="E8940" s="136">
        <f t="shared" si="416"/>
        <v>8</v>
      </c>
      <c r="F8940" s="137" t="s">
        <v>24</v>
      </c>
      <c r="G8940" s="128" t="str">
        <f>VLOOKUP(source[[#This Row],[lending_product_transform]],[3]Mapping!$B$4:$C$37,2,0)</f>
        <v>[Cake] - Cashloan</v>
      </c>
      <c r="H8940" s="128" t="str">
        <f>VLOOKUP(source[[#This Row],[lending_product_transform]],[3]Mapping!$B$3:$D$37,3,0)</f>
        <v>cashloan</v>
      </c>
      <c r="I8940" s="143">
        <v>4550040000</v>
      </c>
    </row>
    <row r="8941" spans="1:9" x14ac:dyDescent="0.2">
      <c r="A8941" s="172">
        <v>45908</v>
      </c>
      <c r="B8941" s="135">
        <f>YEAR(source[[#This Row],[report_date]])</f>
        <v>2025</v>
      </c>
      <c r="C8941" s="128">
        <f t="shared" si="415"/>
        <v>9</v>
      </c>
      <c r="D8941" s="136">
        <f t="shared" si="417"/>
        <v>37</v>
      </c>
      <c r="E8941" s="136">
        <f t="shared" si="416"/>
        <v>8</v>
      </c>
      <c r="F8941" s="137" t="s">
        <v>24</v>
      </c>
      <c r="G8941" s="128" t="str">
        <f>VLOOKUP(source[[#This Row],[lending_product_transform]],[3]Mapping!$B$4:$C$37,2,0)</f>
        <v>[Cake] - Cashloan</v>
      </c>
      <c r="H8941" s="128" t="str">
        <f>VLOOKUP(source[[#This Row],[lending_product_transform]],[3]Mapping!$B$3:$D$37,3,0)</f>
        <v>cashloan</v>
      </c>
      <c r="I8941" s="143">
        <v>26872587</v>
      </c>
    </row>
    <row r="8942" spans="1:9" x14ac:dyDescent="0.2">
      <c r="A8942" s="172">
        <v>45908</v>
      </c>
      <c r="B8942" s="135">
        <f>YEAR(source[[#This Row],[report_date]])</f>
        <v>2025</v>
      </c>
      <c r="C8942" s="128">
        <f t="shared" si="415"/>
        <v>9</v>
      </c>
      <c r="D8942" s="136">
        <f t="shared" si="417"/>
        <v>37</v>
      </c>
      <c r="E8942" s="136">
        <f t="shared" si="416"/>
        <v>8</v>
      </c>
      <c r="F8942" s="137" t="s">
        <v>24</v>
      </c>
      <c r="G8942" s="128" t="str">
        <f>VLOOKUP(source[[#This Row],[lending_product_transform]],[3]Mapping!$B$4:$C$37,2,0)</f>
        <v>[Cake] - Cashloan</v>
      </c>
      <c r="H8942" s="128" t="str">
        <f>VLOOKUP(source[[#This Row],[lending_product_transform]],[3]Mapping!$B$3:$D$37,3,0)</f>
        <v>cashloan</v>
      </c>
      <c r="I8942" s="143">
        <v>3599640000</v>
      </c>
    </row>
    <row r="8943" spans="1:9" x14ac:dyDescent="0.2">
      <c r="A8943" s="172">
        <v>45908</v>
      </c>
      <c r="B8943" s="135">
        <f>YEAR(source[[#This Row],[report_date]])</f>
        <v>2025</v>
      </c>
      <c r="C8943" s="128">
        <f t="shared" si="415"/>
        <v>9</v>
      </c>
      <c r="D8943" s="136">
        <f t="shared" si="417"/>
        <v>37</v>
      </c>
      <c r="E8943" s="136">
        <f t="shared" si="416"/>
        <v>8</v>
      </c>
      <c r="F8943" s="137" t="s">
        <v>24</v>
      </c>
      <c r="G8943" s="128" t="str">
        <f>VLOOKUP(source[[#This Row],[lending_product_transform]],[3]Mapping!$B$4:$C$37,2,0)</f>
        <v>[Cake] - Cashloan</v>
      </c>
      <c r="H8943" s="128" t="str">
        <f>VLOOKUP(source[[#This Row],[lending_product_transform]],[3]Mapping!$B$3:$D$37,3,0)</f>
        <v>cashloan</v>
      </c>
      <c r="I8943" s="143">
        <v>24967000</v>
      </c>
    </row>
    <row r="8944" spans="1:9" x14ac:dyDescent="0.2">
      <c r="A8944" s="172">
        <v>45908</v>
      </c>
      <c r="B8944" s="135">
        <f>YEAR(source[[#This Row],[report_date]])</f>
        <v>2025</v>
      </c>
      <c r="C8944" s="128">
        <f t="shared" si="415"/>
        <v>9</v>
      </c>
      <c r="D8944" s="136">
        <f t="shared" si="417"/>
        <v>37</v>
      </c>
      <c r="E8944" s="136">
        <f t="shared" si="416"/>
        <v>8</v>
      </c>
      <c r="F8944" s="137" t="s">
        <v>24</v>
      </c>
      <c r="G8944" s="128" t="str">
        <f>VLOOKUP(source[[#This Row],[lending_product_transform]],[3]Mapping!$B$4:$C$37,2,0)</f>
        <v>[Cake] - Cashloan</v>
      </c>
      <c r="H8944" s="128" t="str">
        <f>VLOOKUP(source[[#This Row],[lending_product_transform]],[3]Mapping!$B$3:$D$37,3,0)</f>
        <v>cashloan</v>
      </c>
      <c r="I8944" s="143">
        <v>396339000</v>
      </c>
    </row>
    <row r="8945" spans="1:9" x14ac:dyDescent="0.2">
      <c r="A8945" s="172">
        <v>45908</v>
      </c>
      <c r="B8945" s="135">
        <f>YEAR(source[[#This Row],[report_date]])</f>
        <v>2025</v>
      </c>
      <c r="C8945" s="128">
        <f t="shared" si="415"/>
        <v>9</v>
      </c>
      <c r="D8945" s="136">
        <f t="shared" si="417"/>
        <v>37</v>
      </c>
      <c r="E8945" s="136">
        <f t="shared" si="416"/>
        <v>8</v>
      </c>
      <c r="F8945" s="137" t="s">
        <v>24</v>
      </c>
      <c r="G8945" s="128" t="str">
        <f>VLOOKUP(source[[#This Row],[lending_product_transform]],[3]Mapping!$B$4:$C$37,2,0)</f>
        <v>[Cake] - Cashloan</v>
      </c>
      <c r="H8945" s="128" t="str">
        <f>VLOOKUP(source[[#This Row],[lending_product_transform]],[3]Mapping!$B$3:$D$37,3,0)</f>
        <v>cashloan</v>
      </c>
      <c r="I8945" s="143">
        <v>0</v>
      </c>
    </row>
    <row r="8946" spans="1:9" x14ac:dyDescent="0.2">
      <c r="A8946" s="172">
        <v>45908</v>
      </c>
      <c r="B8946" s="135">
        <f>YEAR(source[[#This Row],[report_date]])</f>
        <v>2025</v>
      </c>
      <c r="C8946" s="128">
        <f t="shared" si="415"/>
        <v>9</v>
      </c>
      <c r="D8946" s="136">
        <f t="shared" si="417"/>
        <v>37</v>
      </c>
      <c r="E8946" s="136">
        <f t="shared" si="416"/>
        <v>8</v>
      </c>
      <c r="F8946" s="137" t="s">
        <v>24</v>
      </c>
      <c r="G8946" s="128" t="str">
        <f>VLOOKUP(source[[#This Row],[lending_product_transform]],[3]Mapping!$B$4:$C$37,2,0)</f>
        <v>[Cake] - Cashloan</v>
      </c>
      <c r="H8946" s="128" t="str">
        <f>VLOOKUP(source[[#This Row],[lending_product_transform]],[3]Mapping!$B$3:$D$37,3,0)</f>
        <v>cashloan</v>
      </c>
      <c r="I8946" s="143">
        <v>33100000</v>
      </c>
    </row>
    <row r="8947" spans="1:9" x14ac:dyDescent="0.2">
      <c r="A8947" s="172">
        <v>45908</v>
      </c>
      <c r="B8947" s="135">
        <f>YEAR(source[[#This Row],[report_date]])</f>
        <v>2025</v>
      </c>
      <c r="C8947" s="128">
        <f t="shared" si="415"/>
        <v>9</v>
      </c>
      <c r="D8947" s="136">
        <f t="shared" si="417"/>
        <v>37</v>
      </c>
      <c r="E8947" s="136">
        <f t="shared" si="416"/>
        <v>8</v>
      </c>
      <c r="F8947" s="137" t="s">
        <v>24</v>
      </c>
      <c r="G8947" s="128" t="str">
        <f>VLOOKUP(source[[#This Row],[lending_product_transform]],[3]Mapping!$B$4:$C$37,2,0)</f>
        <v>[Cake] - Cashloan</v>
      </c>
      <c r="H8947" s="128" t="str">
        <f>VLOOKUP(source[[#This Row],[lending_product_transform]],[3]Mapping!$B$3:$D$37,3,0)</f>
        <v>cashloan</v>
      </c>
      <c r="I8947" s="143">
        <v>17449860000</v>
      </c>
    </row>
    <row r="8948" spans="1:9" x14ac:dyDescent="0.2">
      <c r="A8948" s="172">
        <v>45908</v>
      </c>
      <c r="B8948" s="135">
        <f>YEAR(source[[#This Row],[report_date]])</f>
        <v>2025</v>
      </c>
      <c r="C8948" s="128">
        <f t="shared" si="415"/>
        <v>9</v>
      </c>
      <c r="D8948" s="136">
        <f t="shared" si="417"/>
        <v>37</v>
      </c>
      <c r="E8948" s="136">
        <f t="shared" si="416"/>
        <v>8</v>
      </c>
      <c r="F8948" s="137" t="s">
        <v>24</v>
      </c>
      <c r="G8948" s="128" t="str">
        <f>VLOOKUP(source[[#This Row],[lending_product_transform]],[3]Mapping!$B$4:$C$37,2,0)</f>
        <v>[Cake] - Cashloan</v>
      </c>
      <c r="H8948" s="128" t="str">
        <f>VLOOKUP(source[[#This Row],[lending_product_transform]],[3]Mapping!$B$3:$D$37,3,0)</f>
        <v>cashloan</v>
      </c>
      <c r="I8948" s="143">
        <v>0</v>
      </c>
    </row>
    <row r="8949" spans="1:9" x14ac:dyDescent="0.2">
      <c r="A8949" s="172">
        <v>45908</v>
      </c>
      <c r="B8949" s="135">
        <f>YEAR(source[[#This Row],[report_date]])</f>
        <v>2025</v>
      </c>
      <c r="C8949" s="128">
        <f t="shared" si="415"/>
        <v>9</v>
      </c>
      <c r="D8949" s="136">
        <f t="shared" si="417"/>
        <v>37</v>
      </c>
      <c r="E8949" s="136">
        <f t="shared" si="416"/>
        <v>8</v>
      </c>
      <c r="F8949" s="137" t="s">
        <v>24</v>
      </c>
      <c r="G8949" s="128" t="str">
        <f>VLOOKUP(source[[#This Row],[lending_product_transform]],[3]Mapping!$B$4:$C$37,2,0)</f>
        <v>[Cake] - Cashloan</v>
      </c>
      <c r="H8949" s="128" t="str">
        <f>VLOOKUP(source[[#This Row],[lending_product_transform]],[3]Mapping!$B$3:$D$37,3,0)</f>
        <v>cashloan</v>
      </c>
      <c r="I8949" s="143">
        <v>0</v>
      </c>
    </row>
    <row r="8950" spans="1:9" x14ac:dyDescent="0.2">
      <c r="A8950" s="172">
        <v>45908</v>
      </c>
      <c r="B8950" s="135">
        <f>YEAR(source[[#This Row],[report_date]])</f>
        <v>2025</v>
      </c>
      <c r="C8950" s="128">
        <f t="shared" ref="C8950:C9013" si="418">MONTH(A8950)</f>
        <v>9</v>
      </c>
      <c r="D8950" s="136">
        <f t="shared" si="417"/>
        <v>37</v>
      </c>
      <c r="E8950" s="136">
        <f t="shared" ref="E8950:E9013" si="419">DAY(A8950)</f>
        <v>8</v>
      </c>
      <c r="F8950" s="137" t="s">
        <v>24</v>
      </c>
      <c r="G8950" s="128" t="str">
        <f>VLOOKUP(source[[#This Row],[lending_product_transform]],[3]Mapping!$B$4:$C$37,2,0)</f>
        <v>[Cake] - Cashloan</v>
      </c>
      <c r="H8950" s="128" t="str">
        <f>VLOOKUP(source[[#This Row],[lending_product_transform]],[3]Mapping!$B$3:$D$37,3,0)</f>
        <v>cashloan</v>
      </c>
      <c r="I8950" s="143">
        <v>0</v>
      </c>
    </row>
    <row r="8951" spans="1:9" x14ac:dyDescent="0.2">
      <c r="A8951" s="172">
        <v>45908</v>
      </c>
      <c r="B8951" s="135">
        <f>YEAR(source[[#This Row],[report_date]])</f>
        <v>2025</v>
      </c>
      <c r="C8951" s="128">
        <f t="shared" si="418"/>
        <v>9</v>
      </c>
      <c r="D8951" s="136">
        <f t="shared" si="417"/>
        <v>37</v>
      </c>
      <c r="E8951" s="136">
        <f t="shared" si="419"/>
        <v>8</v>
      </c>
      <c r="F8951" s="137" t="s">
        <v>24</v>
      </c>
      <c r="G8951" s="128" t="str">
        <f>VLOOKUP(source[[#This Row],[lending_product_transform]],[3]Mapping!$B$4:$C$37,2,0)</f>
        <v>[Cake] - Cashloan</v>
      </c>
      <c r="H8951" s="128" t="str">
        <f>VLOOKUP(source[[#This Row],[lending_product_transform]],[3]Mapping!$B$3:$D$37,3,0)</f>
        <v>cashloan</v>
      </c>
      <c r="I8951" s="143">
        <v>0</v>
      </c>
    </row>
    <row r="8952" spans="1:9" x14ac:dyDescent="0.2">
      <c r="A8952" s="172">
        <v>45908</v>
      </c>
      <c r="B8952" s="135">
        <f>YEAR(source[[#This Row],[report_date]])</f>
        <v>2025</v>
      </c>
      <c r="C8952" s="128">
        <f t="shared" si="418"/>
        <v>9</v>
      </c>
      <c r="D8952" s="136">
        <f t="shared" si="417"/>
        <v>37</v>
      </c>
      <c r="E8952" s="136">
        <f t="shared" si="419"/>
        <v>8</v>
      </c>
      <c r="F8952" s="137" t="s">
        <v>24</v>
      </c>
      <c r="G8952" s="128" t="str">
        <f>VLOOKUP(source[[#This Row],[lending_product_transform]],[3]Mapping!$B$4:$C$37,2,0)</f>
        <v>[Cake] - Cashloan</v>
      </c>
      <c r="H8952" s="128" t="str">
        <f>VLOOKUP(source[[#This Row],[lending_product_transform]],[3]Mapping!$B$3:$D$37,3,0)</f>
        <v>cashloan</v>
      </c>
      <c r="I8952" s="143">
        <v>8825220000</v>
      </c>
    </row>
    <row r="8953" spans="1:9" x14ac:dyDescent="0.2">
      <c r="A8953" s="172">
        <v>45908</v>
      </c>
      <c r="B8953" s="135">
        <f>YEAR(source[[#This Row],[report_date]])</f>
        <v>2025</v>
      </c>
      <c r="C8953" s="128">
        <f t="shared" si="418"/>
        <v>9</v>
      </c>
      <c r="D8953" s="136">
        <f t="shared" si="417"/>
        <v>37</v>
      </c>
      <c r="E8953" s="136">
        <f t="shared" si="419"/>
        <v>8</v>
      </c>
      <c r="F8953" s="137" t="s">
        <v>24</v>
      </c>
      <c r="G8953" s="128" t="str">
        <f>VLOOKUP(source[[#This Row],[lending_product_transform]],[3]Mapping!$B$4:$C$37,2,0)</f>
        <v>[Cake] - Cashloan</v>
      </c>
      <c r="H8953" s="128" t="str">
        <f>VLOOKUP(source[[#This Row],[lending_product_transform]],[3]Mapping!$B$3:$D$37,3,0)</f>
        <v>cashloan</v>
      </c>
      <c r="I8953" s="143">
        <v>326659216</v>
      </c>
    </row>
    <row r="8954" spans="1:9" x14ac:dyDescent="0.2">
      <c r="A8954" s="172">
        <v>45908</v>
      </c>
      <c r="B8954" s="135">
        <f>YEAR(source[[#This Row],[report_date]])</f>
        <v>2025</v>
      </c>
      <c r="C8954" s="128">
        <f t="shared" si="418"/>
        <v>9</v>
      </c>
      <c r="D8954" s="136">
        <f t="shared" si="417"/>
        <v>37</v>
      </c>
      <c r="E8954" s="136">
        <f t="shared" si="419"/>
        <v>8</v>
      </c>
      <c r="F8954" s="137" t="s">
        <v>24</v>
      </c>
      <c r="G8954" s="128" t="str">
        <f>VLOOKUP(source[[#This Row],[lending_product_transform]],[3]Mapping!$B$4:$C$37,2,0)</f>
        <v>[Cake] - Cashloan</v>
      </c>
      <c r="H8954" s="128" t="str">
        <f>VLOOKUP(source[[#This Row],[lending_product_transform]],[3]Mapping!$B$3:$D$37,3,0)</f>
        <v>cashloan</v>
      </c>
      <c r="I8954" s="143">
        <v>81000000</v>
      </c>
    </row>
    <row r="8955" spans="1:9" x14ac:dyDescent="0.2">
      <c r="A8955" s="172">
        <v>45908</v>
      </c>
      <c r="B8955" s="135">
        <f>YEAR(source[[#This Row],[report_date]])</f>
        <v>2025</v>
      </c>
      <c r="C8955" s="128">
        <f t="shared" si="418"/>
        <v>9</v>
      </c>
      <c r="D8955" s="136">
        <f t="shared" si="417"/>
        <v>37</v>
      </c>
      <c r="E8955" s="136">
        <f t="shared" si="419"/>
        <v>8</v>
      </c>
      <c r="F8955" s="137" t="s">
        <v>24</v>
      </c>
      <c r="G8955" s="128" t="str">
        <f>VLOOKUP(source[[#This Row],[lending_product_transform]],[3]Mapping!$B$4:$C$37,2,0)</f>
        <v>[Cake] - Cashloan</v>
      </c>
      <c r="H8955" s="128" t="str">
        <f>VLOOKUP(source[[#This Row],[lending_product_transform]],[3]Mapping!$B$3:$D$37,3,0)</f>
        <v>cashloan</v>
      </c>
      <c r="I8955" s="143">
        <v>20000000</v>
      </c>
    </row>
    <row r="8956" spans="1:9" x14ac:dyDescent="0.2">
      <c r="A8956" s="172">
        <v>45908</v>
      </c>
      <c r="B8956" s="135">
        <f>YEAR(source[[#This Row],[report_date]])</f>
        <v>2025</v>
      </c>
      <c r="C8956" s="128">
        <f t="shared" si="418"/>
        <v>9</v>
      </c>
      <c r="D8956" s="136">
        <f t="shared" si="417"/>
        <v>37</v>
      </c>
      <c r="E8956" s="136">
        <f t="shared" si="419"/>
        <v>8</v>
      </c>
      <c r="F8956" s="137" t="s">
        <v>24</v>
      </c>
      <c r="G8956" s="128" t="str">
        <f>VLOOKUP(source[[#This Row],[lending_product_transform]],[3]Mapping!$B$4:$C$37,2,0)</f>
        <v>[Cake] - Cashloan</v>
      </c>
      <c r="H8956" s="128" t="str">
        <f>VLOOKUP(source[[#This Row],[lending_product_transform]],[3]Mapping!$B$3:$D$37,3,0)</f>
        <v>cashloan</v>
      </c>
      <c r="I8956" s="143">
        <v>440580000</v>
      </c>
    </row>
    <row r="8957" spans="1:9" x14ac:dyDescent="0.2">
      <c r="A8957" s="172">
        <v>45908</v>
      </c>
      <c r="B8957" s="135">
        <f>YEAR(source[[#This Row],[report_date]])</f>
        <v>2025</v>
      </c>
      <c r="C8957" s="128">
        <f t="shared" si="418"/>
        <v>9</v>
      </c>
      <c r="D8957" s="136">
        <f t="shared" si="417"/>
        <v>37</v>
      </c>
      <c r="E8957" s="136">
        <f t="shared" si="419"/>
        <v>8</v>
      </c>
      <c r="F8957" s="137" t="s">
        <v>24</v>
      </c>
      <c r="G8957" s="128" t="str">
        <f>VLOOKUP(source[[#This Row],[lending_product_transform]],[3]Mapping!$B$4:$C$37,2,0)</f>
        <v>[Cake] - Cashloan</v>
      </c>
      <c r="H8957" s="128" t="str">
        <f>VLOOKUP(source[[#This Row],[lending_product_transform]],[3]Mapping!$B$3:$D$37,3,0)</f>
        <v>cashloan</v>
      </c>
      <c r="I8957" s="143">
        <v>482281754</v>
      </c>
    </row>
    <row r="8958" spans="1:9" x14ac:dyDescent="0.2">
      <c r="A8958" s="172">
        <v>45908</v>
      </c>
      <c r="B8958" s="135">
        <f>YEAR(source[[#This Row],[report_date]])</f>
        <v>2025</v>
      </c>
      <c r="C8958" s="128">
        <f t="shared" si="418"/>
        <v>9</v>
      </c>
      <c r="D8958" s="136">
        <f t="shared" si="417"/>
        <v>37</v>
      </c>
      <c r="E8958" s="136">
        <f t="shared" si="419"/>
        <v>8</v>
      </c>
      <c r="F8958" s="137" t="s">
        <v>24</v>
      </c>
      <c r="G8958" s="128" t="str">
        <f>VLOOKUP(source[[#This Row],[lending_product_transform]],[3]Mapping!$B$4:$C$37,2,0)</f>
        <v>[Cake] - Cashloan</v>
      </c>
      <c r="H8958" s="128" t="str">
        <f>VLOOKUP(source[[#This Row],[lending_product_transform]],[3]Mapping!$B$3:$D$37,3,0)</f>
        <v>cashloan</v>
      </c>
      <c r="I8958" s="143">
        <v>3281080000</v>
      </c>
    </row>
    <row r="8959" spans="1:9" x14ac:dyDescent="0.2">
      <c r="A8959" s="172">
        <v>45909</v>
      </c>
      <c r="B8959" s="135">
        <f>YEAR(source[[#This Row],[report_date]])</f>
        <v>2025</v>
      </c>
      <c r="C8959" s="128">
        <f t="shared" si="418"/>
        <v>9</v>
      </c>
      <c r="D8959" s="136">
        <f t="shared" si="417"/>
        <v>37</v>
      </c>
      <c r="E8959" s="136">
        <f t="shared" si="419"/>
        <v>9</v>
      </c>
      <c r="F8959" s="137" t="s">
        <v>24</v>
      </c>
      <c r="G8959" s="128" t="str">
        <f>VLOOKUP(source[[#This Row],[lending_product_transform]],[3]Mapping!$B$4:$C$37,2,0)</f>
        <v>[Cake] - Cashloan</v>
      </c>
      <c r="H8959" s="128" t="str">
        <f>VLOOKUP(source[[#This Row],[lending_product_transform]],[3]Mapping!$B$3:$D$37,3,0)</f>
        <v>cashloan</v>
      </c>
      <c r="I8959" s="143">
        <v>0</v>
      </c>
    </row>
    <row r="8960" spans="1:9" x14ac:dyDescent="0.2">
      <c r="A8960" s="172">
        <v>45909</v>
      </c>
      <c r="B8960" s="135">
        <f>YEAR(source[[#This Row],[report_date]])</f>
        <v>2025</v>
      </c>
      <c r="C8960" s="128">
        <f t="shared" si="418"/>
        <v>9</v>
      </c>
      <c r="D8960" s="136">
        <f t="shared" si="417"/>
        <v>37</v>
      </c>
      <c r="E8960" s="136">
        <f t="shared" si="419"/>
        <v>9</v>
      </c>
      <c r="F8960" s="137" t="s">
        <v>24</v>
      </c>
      <c r="G8960" s="128" t="str">
        <f>VLOOKUP(source[[#This Row],[lending_product_transform]],[3]Mapping!$B$4:$C$37,2,0)</f>
        <v>[Cake] - Cashloan</v>
      </c>
      <c r="H8960" s="128" t="str">
        <f>VLOOKUP(source[[#This Row],[lending_product_transform]],[3]Mapping!$B$3:$D$37,3,0)</f>
        <v>cashloan</v>
      </c>
      <c r="I8960" s="143">
        <v>274063589</v>
      </c>
    </row>
    <row r="8961" spans="1:9" x14ac:dyDescent="0.2">
      <c r="A8961" s="172">
        <v>45909</v>
      </c>
      <c r="B8961" s="135">
        <f>YEAR(source[[#This Row],[report_date]])</f>
        <v>2025</v>
      </c>
      <c r="C8961" s="128">
        <f t="shared" si="418"/>
        <v>9</v>
      </c>
      <c r="D8961" s="136">
        <f t="shared" si="417"/>
        <v>37</v>
      </c>
      <c r="E8961" s="136">
        <f t="shared" si="419"/>
        <v>9</v>
      </c>
      <c r="F8961" s="137" t="s">
        <v>24</v>
      </c>
      <c r="G8961" s="128" t="str">
        <f>VLOOKUP(source[[#This Row],[lending_product_transform]],[3]Mapping!$B$4:$C$37,2,0)</f>
        <v>[Cake] - Cashloan</v>
      </c>
      <c r="H8961" s="128" t="str">
        <f>VLOOKUP(source[[#This Row],[lending_product_transform]],[3]Mapping!$B$3:$D$37,3,0)</f>
        <v>cashloan</v>
      </c>
      <c r="I8961" s="143">
        <v>21719520000</v>
      </c>
    </row>
    <row r="8962" spans="1:9" x14ac:dyDescent="0.2">
      <c r="A8962" s="172">
        <v>45909</v>
      </c>
      <c r="B8962" s="135">
        <f>YEAR(source[[#This Row],[report_date]])</f>
        <v>2025</v>
      </c>
      <c r="C8962" s="128">
        <f t="shared" si="418"/>
        <v>9</v>
      </c>
      <c r="D8962" s="136">
        <f t="shared" si="417"/>
        <v>37</v>
      </c>
      <c r="E8962" s="136">
        <f t="shared" si="419"/>
        <v>9</v>
      </c>
      <c r="F8962" s="137" t="s">
        <v>24</v>
      </c>
      <c r="G8962" s="128" t="str">
        <f>VLOOKUP(source[[#This Row],[lending_product_transform]],[3]Mapping!$B$4:$C$37,2,0)</f>
        <v>[Cake] - Cashloan</v>
      </c>
      <c r="H8962" s="128" t="str">
        <f>VLOOKUP(source[[#This Row],[lending_product_transform]],[3]Mapping!$B$3:$D$37,3,0)</f>
        <v>cashloan</v>
      </c>
      <c r="I8962" s="143">
        <v>3305460848</v>
      </c>
    </row>
    <row r="8963" spans="1:9" x14ac:dyDescent="0.2">
      <c r="A8963" s="172">
        <v>45909</v>
      </c>
      <c r="B8963" s="135">
        <f>YEAR(source[[#This Row],[report_date]])</f>
        <v>2025</v>
      </c>
      <c r="C8963" s="128">
        <f t="shared" si="418"/>
        <v>9</v>
      </c>
      <c r="D8963" s="136">
        <f t="shared" ref="D8963:D9026" si="420">WEEKNUM(A8963,2)</f>
        <v>37</v>
      </c>
      <c r="E8963" s="136">
        <f t="shared" si="419"/>
        <v>9</v>
      </c>
      <c r="F8963" s="137" t="s">
        <v>24</v>
      </c>
      <c r="G8963" s="128" t="str">
        <f>VLOOKUP(source[[#This Row],[lending_product_transform]],[3]Mapping!$B$4:$C$37,2,0)</f>
        <v>[Cake] - Cashloan</v>
      </c>
      <c r="H8963" s="128" t="str">
        <f>VLOOKUP(source[[#This Row],[lending_product_transform]],[3]Mapping!$B$3:$D$37,3,0)</f>
        <v>cashloan</v>
      </c>
      <c r="I8963" s="143">
        <v>6350724000</v>
      </c>
    </row>
    <row r="8964" spans="1:9" x14ac:dyDescent="0.2">
      <c r="A8964" s="172">
        <v>45909</v>
      </c>
      <c r="B8964" s="135">
        <f>YEAR(source[[#This Row],[report_date]])</f>
        <v>2025</v>
      </c>
      <c r="C8964" s="128">
        <f t="shared" si="418"/>
        <v>9</v>
      </c>
      <c r="D8964" s="136">
        <f t="shared" si="420"/>
        <v>37</v>
      </c>
      <c r="E8964" s="136">
        <f t="shared" si="419"/>
        <v>9</v>
      </c>
      <c r="F8964" s="137" t="s">
        <v>24</v>
      </c>
      <c r="G8964" s="128" t="str">
        <f>VLOOKUP(source[[#This Row],[lending_product_transform]],[3]Mapping!$B$4:$C$37,2,0)</f>
        <v>[Cake] - Cashloan</v>
      </c>
      <c r="H8964" s="128" t="str">
        <f>VLOOKUP(source[[#This Row],[lending_product_transform]],[3]Mapping!$B$3:$D$37,3,0)</f>
        <v>cashloan</v>
      </c>
      <c r="I8964" s="143">
        <v>28362047</v>
      </c>
    </row>
    <row r="8965" spans="1:9" x14ac:dyDescent="0.2">
      <c r="A8965" s="172">
        <v>45909</v>
      </c>
      <c r="B8965" s="135">
        <f>YEAR(source[[#This Row],[report_date]])</f>
        <v>2025</v>
      </c>
      <c r="C8965" s="128">
        <f t="shared" si="418"/>
        <v>9</v>
      </c>
      <c r="D8965" s="136">
        <f t="shared" si="420"/>
        <v>37</v>
      </c>
      <c r="E8965" s="136">
        <f t="shared" si="419"/>
        <v>9</v>
      </c>
      <c r="F8965" s="137" t="s">
        <v>24</v>
      </c>
      <c r="G8965" s="128" t="str">
        <f>VLOOKUP(source[[#This Row],[lending_product_transform]],[3]Mapping!$B$4:$C$37,2,0)</f>
        <v>[Cake] - Cashloan</v>
      </c>
      <c r="H8965" s="128" t="str">
        <f>VLOOKUP(source[[#This Row],[lending_product_transform]],[3]Mapping!$B$3:$D$37,3,0)</f>
        <v>cashloan</v>
      </c>
      <c r="I8965" s="143">
        <v>3915760000</v>
      </c>
    </row>
    <row r="8966" spans="1:9" x14ac:dyDescent="0.2">
      <c r="A8966" s="172">
        <v>45909</v>
      </c>
      <c r="B8966" s="135">
        <f>YEAR(source[[#This Row],[report_date]])</f>
        <v>2025</v>
      </c>
      <c r="C8966" s="128">
        <f t="shared" si="418"/>
        <v>9</v>
      </c>
      <c r="D8966" s="136">
        <f t="shared" si="420"/>
        <v>37</v>
      </c>
      <c r="E8966" s="136">
        <f t="shared" si="419"/>
        <v>9</v>
      </c>
      <c r="F8966" s="137" t="s">
        <v>24</v>
      </c>
      <c r="G8966" s="128" t="str">
        <f>VLOOKUP(source[[#This Row],[lending_product_transform]],[3]Mapping!$B$4:$C$37,2,0)</f>
        <v>[Cake] - Cashloan</v>
      </c>
      <c r="H8966" s="128" t="str">
        <f>VLOOKUP(source[[#This Row],[lending_product_transform]],[3]Mapping!$B$3:$D$37,3,0)</f>
        <v>cashloan</v>
      </c>
      <c r="I8966" s="143">
        <v>35650000</v>
      </c>
    </row>
    <row r="8967" spans="1:9" x14ac:dyDescent="0.2">
      <c r="A8967" s="172">
        <v>45909</v>
      </c>
      <c r="B8967" s="135">
        <f>YEAR(source[[#This Row],[report_date]])</f>
        <v>2025</v>
      </c>
      <c r="C8967" s="128">
        <f t="shared" si="418"/>
        <v>9</v>
      </c>
      <c r="D8967" s="136">
        <f t="shared" si="420"/>
        <v>37</v>
      </c>
      <c r="E8967" s="136">
        <f t="shared" si="419"/>
        <v>9</v>
      </c>
      <c r="F8967" s="137" t="s">
        <v>24</v>
      </c>
      <c r="G8967" s="128" t="str">
        <f>VLOOKUP(source[[#This Row],[lending_product_transform]],[3]Mapping!$B$4:$C$37,2,0)</f>
        <v>[Cake] - Cashloan</v>
      </c>
      <c r="H8967" s="128" t="str">
        <f>VLOOKUP(source[[#This Row],[lending_product_transform]],[3]Mapping!$B$3:$D$37,3,0)</f>
        <v>cashloan</v>
      </c>
      <c r="I8967" s="143">
        <v>504246000</v>
      </c>
    </row>
    <row r="8968" spans="1:9" x14ac:dyDescent="0.2">
      <c r="A8968" s="172">
        <v>45909</v>
      </c>
      <c r="B8968" s="135">
        <f>YEAR(source[[#This Row],[report_date]])</f>
        <v>2025</v>
      </c>
      <c r="C8968" s="128">
        <f t="shared" si="418"/>
        <v>9</v>
      </c>
      <c r="D8968" s="136">
        <f t="shared" si="420"/>
        <v>37</v>
      </c>
      <c r="E8968" s="136">
        <f t="shared" si="419"/>
        <v>9</v>
      </c>
      <c r="F8968" s="137" t="s">
        <v>24</v>
      </c>
      <c r="G8968" s="128" t="str">
        <f>VLOOKUP(source[[#This Row],[lending_product_transform]],[3]Mapping!$B$4:$C$37,2,0)</f>
        <v>[Cake] - Cashloan</v>
      </c>
      <c r="H8968" s="128" t="str">
        <f>VLOOKUP(source[[#This Row],[lending_product_transform]],[3]Mapping!$B$3:$D$37,3,0)</f>
        <v>cashloan</v>
      </c>
      <c r="I8968" s="143">
        <v>0</v>
      </c>
    </row>
    <row r="8969" spans="1:9" x14ac:dyDescent="0.2">
      <c r="A8969" s="172">
        <v>45909</v>
      </c>
      <c r="B8969" s="135">
        <f>YEAR(source[[#This Row],[report_date]])</f>
        <v>2025</v>
      </c>
      <c r="C8969" s="128">
        <f t="shared" si="418"/>
        <v>9</v>
      </c>
      <c r="D8969" s="136">
        <f t="shared" si="420"/>
        <v>37</v>
      </c>
      <c r="E8969" s="136">
        <f t="shared" si="419"/>
        <v>9</v>
      </c>
      <c r="F8969" s="137" t="s">
        <v>24</v>
      </c>
      <c r="G8969" s="128" t="str">
        <f>VLOOKUP(source[[#This Row],[lending_product_transform]],[3]Mapping!$B$4:$C$37,2,0)</f>
        <v>[Cake] - Cashloan</v>
      </c>
      <c r="H8969" s="128" t="str">
        <f>VLOOKUP(source[[#This Row],[lending_product_transform]],[3]Mapping!$B$3:$D$37,3,0)</f>
        <v>cashloan</v>
      </c>
      <c r="I8969" s="143">
        <v>52500000</v>
      </c>
    </row>
    <row r="8970" spans="1:9" x14ac:dyDescent="0.2">
      <c r="A8970" s="172">
        <v>45909</v>
      </c>
      <c r="B8970" s="135">
        <f>YEAR(source[[#This Row],[report_date]])</f>
        <v>2025</v>
      </c>
      <c r="C8970" s="128">
        <f t="shared" si="418"/>
        <v>9</v>
      </c>
      <c r="D8970" s="136">
        <f t="shared" si="420"/>
        <v>37</v>
      </c>
      <c r="E8970" s="136">
        <f t="shared" si="419"/>
        <v>9</v>
      </c>
      <c r="F8970" s="137" t="s">
        <v>24</v>
      </c>
      <c r="G8970" s="128" t="str">
        <f>VLOOKUP(source[[#This Row],[lending_product_transform]],[3]Mapping!$B$4:$C$37,2,0)</f>
        <v>[Cake] - Cashloan</v>
      </c>
      <c r="H8970" s="128" t="str">
        <f>VLOOKUP(source[[#This Row],[lending_product_transform]],[3]Mapping!$B$3:$D$37,3,0)</f>
        <v>cashloan</v>
      </c>
      <c r="I8970" s="143">
        <v>17984220000</v>
      </c>
    </row>
    <row r="8971" spans="1:9" x14ac:dyDescent="0.2">
      <c r="A8971" s="172">
        <v>45909</v>
      </c>
      <c r="B8971" s="135">
        <f>YEAR(source[[#This Row],[report_date]])</f>
        <v>2025</v>
      </c>
      <c r="C8971" s="128">
        <f t="shared" si="418"/>
        <v>9</v>
      </c>
      <c r="D8971" s="136">
        <f t="shared" si="420"/>
        <v>37</v>
      </c>
      <c r="E8971" s="136">
        <f t="shared" si="419"/>
        <v>9</v>
      </c>
      <c r="F8971" s="137" t="s">
        <v>24</v>
      </c>
      <c r="G8971" s="128" t="str">
        <f>VLOOKUP(source[[#This Row],[lending_product_transform]],[3]Mapping!$B$4:$C$37,2,0)</f>
        <v>[Cake] - Cashloan</v>
      </c>
      <c r="H8971" s="128" t="str">
        <f>VLOOKUP(source[[#This Row],[lending_product_transform]],[3]Mapping!$B$3:$D$37,3,0)</f>
        <v>cashloan</v>
      </c>
      <c r="I8971" s="143">
        <v>0</v>
      </c>
    </row>
    <row r="8972" spans="1:9" x14ac:dyDescent="0.2">
      <c r="A8972" s="172">
        <v>45909</v>
      </c>
      <c r="B8972" s="135">
        <f>YEAR(source[[#This Row],[report_date]])</f>
        <v>2025</v>
      </c>
      <c r="C8972" s="128">
        <f t="shared" si="418"/>
        <v>9</v>
      </c>
      <c r="D8972" s="136">
        <f t="shared" si="420"/>
        <v>37</v>
      </c>
      <c r="E8972" s="136">
        <f t="shared" si="419"/>
        <v>9</v>
      </c>
      <c r="F8972" s="137" t="s">
        <v>24</v>
      </c>
      <c r="G8972" s="128" t="str">
        <f>VLOOKUP(source[[#This Row],[lending_product_transform]],[3]Mapping!$B$4:$C$37,2,0)</f>
        <v>[Cake] - Cashloan</v>
      </c>
      <c r="H8972" s="128" t="str">
        <f>VLOOKUP(source[[#This Row],[lending_product_transform]],[3]Mapping!$B$3:$D$37,3,0)</f>
        <v>cashloan</v>
      </c>
      <c r="I8972" s="143">
        <v>0</v>
      </c>
    </row>
    <row r="8973" spans="1:9" x14ac:dyDescent="0.2">
      <c r="A8973" s="172">
        <v>45909</v>
      </c>
      <c r="B8973" s="135">
        <f>YEAR(source[[#This Row],[report_date]])</f>
        <v>2025</v>
      </c>
      <c r="C8973" s="128">
        <f t="shared" si="418"/>
        <v>9</v>
      </c>
      <c r="D8973" s="136">
        <f t="shared" si="420"/>
        <v>37</v>
      </c>
      <c r="E8973" s="136">
        <f t="shared" si="419"/>
        <v>9</v>
      </c>
      <c r="F8973" s="137" t="s">
        <v>24</v>
      </c>
      <c r="G8973" s="128" t="str">
        <f>VLOOKUP(source[[#This Row],[lending_product_transform]],[3]Mapping!$B$4:$C$37,2,0)</f>
        <v>[Cake] - Cashloan</v>
      </c>
      <c r="H8973" s="128" t="str">
        <f>VLOOKUP(source[[#This Row],[lending_product_transform]],[3]Mapping!$B$3:$D$37,3,0)</f>
        <v>cashloan</v>
      </c>
      <c r="I8973" s="143">
        <v>0</v>
      </c>
    </row>
    <row r="8974" spans="1:9" x14ac:dyDescent="0.2">
      <c r="A8974" s="172">
        <v>45909</v>
      </c>
      <c r="B8974" s="135">
        <f>YEAR(source[[#This Row],[report_date]])</f>
        <v>2025</v>
      </c>
      <c r="C8974" s="128">
        <f t="shared" si="418"/>
        <v>9</v>
      </c>
      <c r="D8974" s="136">
        <f t="shared" si="420"/>
        <v>37</v>
      </c>
      <c r="E8974" s="136">
        <f t="shared" si="419"/>
        <v>9</v>
      </c>
      <c r="F8974" s="137" t="s">
        <v>24</v>
      </c>
      <c r="G8974" s="128" t="str">
        <f>VLOOKUP(source[[#This Row],[lending_product_transform]],[3]Mapping!$B$4:$C$37,2,0)</f>
        <v>[Cake] - Cashloan</v>
      </c>
      <c r="H8974" s="128" t="str">
        <f>VLOOKUP(source[[#This Row],[lending_product_transform]],[3]Mapping!$B$3:$D$37,3,0)</f>
        <v>cashloan</v>
      </c>
      <c r="I8974" s="143">
        <v>0</v>
      </c>
    </row>
    <row r="8975" spans="1:9" x14ac:dyDescent="0.2">
      <c r="A8975" s="172">
        <v>45909</v>
      </c>
      <c r="B8975" s="135">
        <f>YEAR(source[[#This Row],[report_date]])</f>
        <v>2025</v>
      </c>
      <c r="C8975" s="128">
        <f t="shared" si="418"/>
        <v>9</v>
      </c>
      <c r="D8975" s="136">
        <f t="shared" si="420"/>
        <v>37</v>
      </c>
      <c r="E8975" s="136">
        <f t="shared" si="419"/>
        <v>9</v>
      </c>
      <c r="F8975" s="137" t="s">
        <v>24</v>
      </c>
      <c r="G8975" s="128" t="str">
        <f>VLOOKUP(source[[#This Row],[lending_product_transform]],[3]Mapping!$B$4:$C$37,2,0)</f>
        <v>[Cake] - Cashloan</v>
      </c>
      <c r="H8975" s="128" t="str">
        <f>VLOOKUP(source[[#This Row],[lending_product_transform]],[3]Mapping!$B$3:$D$37,3,0)</f>
        <v>cashloan</v>
      </c>
      <c r="I8975" s="143">
        <v>8932032000</v>
      </c>
    </row>
    <row r="8976" spans="1:9" x14ac:dyDescent="0.2">
      <c r="A8976" s="172">
        <v>45909</v>
      </c>
      <c r="B8976" s="135">
        <f>YEAR(source[[#This Row],[report_date]])</f>
        <v>2025</v>
      </c>
      <c r="C8976" s="128">
        <f t="shared" si="418"/>
        <v>9</v>
      </c>
      <c r="D8976" s="136">
        <f t="shared" si="420"/>
        <v>37</v>
      </c>
      <c r="E8976" s="136">
        <f t="shared" si="419"/>
        <v>9</v>
      </c>
      <c r="F8976" s="137" t="s">
        <v>24</v>
      </c>
      <c r="G8976" s="128" t="str">
        <f>VLOOKUP(source[[#This Row],[lending_product_transform]],[3]Mapping!$B$4:$C$37,2,0)</f>
        <v>[Cake] - Cashloan</v>
      </c>
      <c r="H8976" s="128" t="str">
        <f>VLOOKUP(source[[#This Row],[lending_product_transform]],[3]Mapping!$B$3:$D$37,3,0)</f>
        <v>cashloan</v>
      </c>
      <c r="I8976" s="143">
        <v>361592108</v>
      </c>
    </row>
    <row r="8977" spans="1:9" x14ac:dyDescent="0.2">
      <c r="A8977" s="172">
        <v>45909</v>
      </c>
      <c r="B8977" s="135">
        <f>YEAR(source[[#This Row],[report_date]])</f>
        <v>2025</v>
      </c>
      <c r="C8977" s="128">
        <f t="shared" si="418"/>
        <v>9</v>
      </c>
      <c r="D8977" s="136">
        <f t="shared" si="420"/>
        <v>37</v>
      </c>
      <c r="E8977" s="136">
        <f t="shared" si="419"/>
        <v>9</v>
      </c>
      <c r="F8977" s="137" t="s">
        <v>24</v>
      </c>
      <c r="G8977" s="128" t="str">
        <f>VLOOKUP(source[[#This Row],[lending_product_transform]],[3]Mapping!$B$4:$C$37,2,0)</f>
        <v>[Cake] - Cashloan</v>
      </c>
      <c r="H8977" s="128" t="str">
        <f>VLOOKUP(source[[#This Row],[lending_product_transform]],[3]Mapping!$B$3:$D$37,3,0)</f>
        <v>cashloan</v>
      </c>
      <c r="I8977" s="143">
        <v>67250000</v>
      </c>
    </row>
    <row r="8978" spans="1:9" x14ac:dyDescent="0.2">
      <c r="A8978" s="172">
        <v>45909</v>
      </c>
      <c r="B8978" s="135">
        <f>YEAR(source[[#This Row],[report_date]])</f>
        <v>2025</v>
      </c>
      <c r="C8978" s="128">
        <f t="shared" si="418"/>
        <v>9</v>
      </c>
      <c r="D8978" s="136">
        <f t="shared" si="420"/>
        <v>37</v>
      </c>
      <c r="E8978" s="136">
        <f t="shared" si="419"/>
        <v>9</v>
      </c>
      <c r="F8978" s="137" t="s">
        <v>24</v>
      </c>
      <c r="G8978" s="128" t="str">
        <f>VLOOKUP(source[[#This Row],[lending_product_transform]],[3]Mapping!$B$4:$C$37,2,0)</f>
        <v>[Cake] - Cashloan</v>
      </c>
      <c r="H8978" s="128" t="str">
        <f>VLOOKUP(source[[#This Row],[lending_product_transform]],[3]Mapping!$B$3:$D$37,3,0)</f>
        <v>cashloan</v>
      </c>
      <c r="I8978" s="143">
        <v>34000000</v>
      </c>
    </row>
    <row r="8979" spans="1:9" x14ac:dyDescent="0.2">
      <c r="A8979" s="172">
        <v>45909</v>
      </c>
      <c r="B8979" s="135">
        <f>YEAR(source[[#This Row],[report_date]])</f>
        <v>2025</v>
      </c>
      <c r="C8979" s="128">
        <f t="shared" si="418"/>
        <v>9</v>
      </c>
      <c r="D8979" s="136">
        <f t="shared" si="420"/>
        <v>37</v>
      </c>
      <c r="E8979" s="136">
        <f t="shared" si="419"/>
        <v>9</v>
      </c>
      <c r="F8979" s="137" t="s">
        <v>24</v>
      </c>
      <c r="G8979" s="128" t="str">
        <f>VLOOKUP(source[[#This Row],[lending_product_transform]],[3]Mapping!$B$4:$C$37,2,0)</f>
        <v>[Cake] - Cashloan</v>
      </c>
      <c r="H8979" s="128" t="str">
        <f>VLOOKUP(source[[#This Row],[lending_product_transform]],[3]Mapping!$B$3:$D$37,3,0)</f>
        <v>cashloan</v>
      </c>
      <c r="I8979" s="143">
        <v>677340000</v>
      </c>
    </row>
    <row r="8980" spans="1:9" x14ac:dyDescent="0.2">
      <c r="A8980" s="172">
        <v>45909</v>
      </c>
      <c r="B8980" s="135">
        <f>YEAR(source[[#This Row],[report_date]])</f>
        <v>2025</v>
      </c>
      <c r="C8980" s="128">
        <f t="shared" si="418"/>
        <v>9</v>
      </c>
      <c r="D8980" s="136">
        <f t="shared" si="420"/>
        <v>37</v>
      </c>
      <c r="E8980" s="136">
        <f t="shared" si="419"/>
        <v>9</v>
      </c>
      <c r="F8980" s="137" t="s">
        <v>24</v>
      </c>
      <c r="G8980" s="128" t="str">
        <f>VLOOKUP(source[[#This Row],[lending_product_transform]],[3]Mapping!$B$4:$C$37,2,0)</f>
        <v>[Cake] - Cashloan</v>
      </c>
      <c r="H8980" s="128" t="str">
        <f>VLOOKUP(source[[#This Row],[lending_product_transform]],[3]Mapping!$B$3:$D$37,3,0)</f>
        <v>cashloan</v>
      </c>
      <c r="I8980" s="143">
        <v>411585102</v>
      </c>
    </row>
    <row r="8981" spans="1:9" x14ac:dyDescent="0.2">
      <c r="A8981" s="172">
        <v>45909</v>
      </c>
      <c r="B8981" s="135">
        <f>YEAR(source[[#This Row],[report_date]])</f>
        <v>2025</v>
      </c>
      <c r="C8981" s="128">
        <f t="shared" si="418"/>
        <v>9</v>
      </c>
      <c r="D8981" s="136">
        <f t="shared" si="420"/>
        <v>37</v>
      </c>
      <c r="E8981" s="136">
        <f t="shared" si="419"/>
        <v>9</v>
      </c>
      <c r="F8981" s="137" t="s">
        <v>24</v>
      </c>
      <c r="G8981" s="128" t="str">
        <f>VLOOKUP(source[[#This Row],[lending_product_transform]],[3]Mapping!$B$4:$C$37,2,0)</f>
        <v>[Cake] - Cashloan</v>
      </c>
      <c r="H8981" s="128" t="str">
        <f>VLOOKUP(source[[#This Row],[lending_product_transform]],[3]Mapping!$B$3:$D$37,3,0)</f>
        <v>cashloan</v>
      </c>
      <c r="I8981" s="143">
        <v>3185040000</v>
      </c>
    </row>
    <row r="8982" spans="1:9" x14ac:dyDescent="0.2">
      <c r="A8982" s="172">
        <v>45910</v>
      </c>
      <c r="B8982" s="135">
        <f>YEAR(source[[#This Row],[report_date]])</f>
        <v>2025</v>
      </c>
      <c r="C8982" s="128">
        <f t="shared" si="418"/>
        <v>9</v>
      </c>
      <c r="D8982" s="136">
        <f t="shared" si="420"/>
        <v>37</v>
      </c>
      <c r="E8982" s="136">
        <f t="shared" si="419"/>
        <v>10</v>
      </c>
      <c r="F8982" s="137" t="s">
        <v>24</v>
      </c>
      <c r="G8982" s="128" t="str">
        <f>VLOOKUP(source[[#This Row],[lending_product_transform]],[3]Mapping!$B$4:$C$37,2,0)</f>
        <v>[Cake] - Cashloan</v>
      </c>
      <c r="H8982" s="128" t="str">
        <f>VLOOKUP(source[[#This Row],[lending_product_transform]],[3]Mapping!$B$3:$D$37,3,0)</f>
        <v>cashloan</v>
      </c>
      <c r="I8982" s="143">
        <v>10500000</v>
      </c>
    </row>
    <row r="8983" spans="1:9" x14ac:dyDescent="0.2">
      <c r="A8983" s="172">
        <v>45910</v>
      </c>
      <c r="B8983" s="135">
        <f>YEAR(source[[#This Row],[report_date]])</f>
        <v>2025</v>
      </c>
      <c r="C8983" s="128">
        <f t="shared" si="418"/>
        <v>9</v>
      </c>
      <c r="D8983" s="136">
        <f t="shared" si="420"/>
        <v>37</v>
      </c>
      <c r="E8983" s="136">
        <f t="shared" si="419"/>
        <v>10</v>
      </c>
      <c r="F8983" s="137" t="s">
        <v>24</v>
      </c>
      <c r="G8983" s="128" t="str">
        <f>VLOOKUP(source[[#This Row],[lending_product_transform]],[3]Mapping!$B$4:$C$37,2,0)</f>
        <v>[Cake] - Cashloan</v>
      </c>
      <c r="H8983" s="128" t="str">
        <f>VLOOKUP(source[[#This Row],[lending_product_transform]],[3]Mapping!$B$3:$D$37,3,0)</f>
        <v>cashloan</v>
      </c>
      <c r="I8983" s="143">
        <v>281975886</v>
      </c>
    </row>
    <row r="8984" spans="1:9" x14ac:dyDescent="0.2">
      <c r="A8984" s="172">
        <v>45910</v>
      </c>
      <c r="B8984" s="135">
        <f>YEAR(source[[#This Row],[report_date]])</f>
        <v>2025</v>
      </c>
      <c r="C8984" s="128">
        <f t="shared" si="418"/>
        <v>9</v>
      </c>
      <c r="D8984" s="136">
        <f t="shared" si="420"/>
        <v>37</v>
      </c>
      <c r="E8984" s="136">
        <f t="shared" si="419"/>
        <v>10</v>
      </c>
      <c r="F8984" s="137" t="s">
        <v>24</v>
      </c>
      <c r="G8984" s="128" t="str">
        <f>VLOOKUP(source[[#This Row],[lending_product_transform]],[3]Mapping!$B$4:$C$37,2,0)</f>
        <v>[Cake] - Cashloan</v>
      </c>
      <c r="H8984" s="128" t="str">
        <f>VLOOKUP(source[[#This Row],[lending_product_transform]],[3]Mapping!$B$3:$D$37,3,0)</f>
        <v>cashloan</v>
      </c>
      <c r="I8984" s="143">
        <v>21183110000</v>
      </c>
    </row>
    <row r="8985" spans="1:9" x14ac:dyDescent="0.2">
      <c r="A8985" s="172">
        <v>45910</v>
      </c>
      <c r="B8985" s="135">
        <f>YEAR(source[[#This Row],[report_date]])</f>
        <v>2025</v>
      </c>
      <c r="C8985" s="128">
        <f t="shared" si="418"/>
        <v>9</v>
      </c>
      <c r="D8985" s="136">
        <f t="shared" si="420"/>
        <v>37</v>
      </c>
      <c r="E8985" s="136">
        <f t="shared" si="419"/>
        <v>10</v>
      </c>
      <c r="F8985" s="137" t="s">
        <v>24</v>
      </c>
      <c r="G8985" s="128" t="str">
        <f>VLOOKUP(source[[#This Row],[lending_product_transform]],[3]Mapping!$B$4:$C$37,2,0)</f>
        <v>[Cake] - Cashloan</v>
      </c>
      <c r="H8985" s="128" t="str">
        <f>VLOOKUP(source[[#This Row],[lending_product_transform]],[3]Mapping!$B$3:$D$37,3,0)</f>
        <v>cashloan</v>
      </c>
      <c r="I8985" s="143">
        <v>3251404982</v>
      </c>
    </row>
    <row r="8986" spans="1:9" x14ac:dyDescent="0.2">
      <c r="A8986" s="172">
        <v>45910</v>
      </c>
      <c r="B8986" s="135">
        <f>YEAR(source[[#This Row],[report_date]])</f>
        <v>2025</v>
      </c>
      <c r="C8986" s="128">
        <f t="shared" si="418"/>
        <v>9</v>
      </c>
      <c r="D8986" s="136">
        <f t="shared" si="420"/>
        <v>37</v>
      </c>
      <c r="E8986" s="136">
        <f t="shared" si="419"/>
        <v>10</v>
      </c>
      <c r="F8986" s="137" t="s">
        <v>24</v>
      </c>
      <c r="G8986" s="128" t="str">
        <f>VLOOKUP(source[[#This Row],[lending_product_transform]],[3]Mapping!$B$4:$C$37,2,0)</f>
        <v>[Cake] - Cashloan</v>
      </c>
      <c r="H8986" s="128" t="str">
        <f>VLOOKUP(source[[#This Row],[lending_product_transform]],[3]Mapping!$B$3:$D$37,3,0)</f>
        <v>cashloan</v>
      </c>
      <c r="I8986" s="143">
        <v>8059176000</v>
      </c>
    </row>
    <row r="8987" spans="1:9" x14ac:dyDescent="0.2">
      <c r="A8987" s="172">
        <v>45910</v>
      </c>
      <c r="B8987" s="135">
        <f>YEAR(source[[#This Row],[report_date]])</f>
        <v>2025</v>
      </c>
      <c r="C8987" s="128">
        <f t="shared" si="418"/>
        <v>9</v>
      </c>
      <c r="D8987" s="136">
        <f t="shared" si="420"/>
        <v>37</v>
      </c>
      <c r="E8987" s="136">
        <f t="shared" si="419"/>
        <v>10</v>
      </c>
      <c r="F8987" s="137" t="s">
        <v>24</v>
      </c>
      <c r="G8987" s="128" t="str">
        <f>VLOOKUP(source[[#This Row],[lending_product_transform]],[3]Mapping!$B$4:$C$37,2,0)</f>
        <v>[Cake] - Cashloan</v>
      </c>
      <c r="H8987" s="128" t="str">
        <f>VLOOKUP(source[[#This Row],[lending_product_transform]],[3]Mapping!$B$3:$D$37,3,0)</f>
        <v>cashloan</v>
      </c>
      <c r="I8987" s="143">
        <v>16324310</v>
      </c>
    </row>
    <row r="8988" spans="1:9" x14ac:dyDescent="0.2">
      <c r="A8988" s="172">
        <v>45910</v>
      </c>
      <c r="B8988" s="135">
        <f>YEAR(source[[#This Row],[report_date]])</f>
        <v>2025</v>
      </c>
      <c r="C8988" s="128">
        <f t="shared" si="418"/>
        <v>9</v>
      </c>
      <c r="D8988" s="136">
        <f t="shared" si="420"/>
        <v>37</v>
      </c>
      <c r="E8988" s="136">
        <f t="shared" si="419"/>
        <v>10</v>
      </c>
      <c r="F8988" s="137" t="s">
        <v>24</v>
      </c>
      <c r="G8988" s="128" t="str">
        <f>VLOOKUP(source[[#This Row],[lending_product_transform]],[3]Mapping!$B$4:$C$37,2,0)</f>
        <v>[Cake] - Cashloan</v>
      </c>
      <c r="H8988" s="128" t="str">
        <f>VLOOKUP(source[[#This Row],[lending_product_transform]],[3]Mapping!$B$3:$D$37,3,0)</f>
        <v>cashloan</v>
      </c>
      <c r="I8988" s="143">
        <v>4427200000</v>
      </c>
    </row>
    <row r="8989" spans="1:9" x14ac:dyDescent="0.2">
      <c r="A8989" s="172">
        <v>45910</v>
      </c>
      <c r="B8989" s="135">
        <f>YEAR(source[[#This Row],[report_date]])</f>
        <v>2025</v>
      </c>
      <c r="C8989" s="128">
        <f t="shared" si="418"/>
        <v>9</v>
      </c>
      <c r="D8989" s="136">
        <f t="shared" si="420"/>
        <v>37</v>
      </c>
      <c r="E8989" s="136">
        <f t="shared" si="419"/>
        <v>10</v>
      </c>
      <c r="F8989" s="137" t="s">
        <v>24</v>
      </c>
      <c r="G8989" s="128" t="str">
        <f>VLOOKUP(source[[#This Row],[lending_product_transform]],[3]Mapping!$B$4:$C$37,2,0)</f>
        <v>[Cake] - Cashloan</v>
      </c>
      <c r="H8989" s="128" t="str">
        <f>VLOOKUP(source[[#This Row],[lending_product_transform]],[3]Mapping!$B$3:$D$37,3,0)</f>
        <v>cashloan</v>
      </c>
      <c r="I8989" s="143">
        <v>24836000</v>
      </c>
    </row>
    <row r="8990" spans="1:9" x14ac:dyDescent="0.2">
      <c r="A8990" s="172">
        <v>45910</v>
      </c>
      <c r="B8990" s="135">
        <f>YEAR(source[[#This Row],[report_date]])</f>
        <v>2025</v>
      </c>
      <c r="C8990" s="128">
        <f t="shared" si="418"/>
        <v>9</v>
      </c>
      <c r="D8990" s="136">
        <f t="shared" si="420"/>
        <v>37</v>
      </c>
      <c r="E8990" s="136">
        <f t="shared" si="419"/>
        <v>10</v>
      </c>
      <c r="F8990" s="137" t="s">
        <v>24</v>
      </c>
      <c r="G8990" s="128" t="str">
        <f>VLOOKUP(source[[#This Row],[lending_product_transform]],[3]Mapping!$B$4:$C$37,2,0)</f>
        <v>[Cake] - Cashloan</v>
      </c>
      <c r="H8990" s="128" t="str">
        <f>VLOOKUP(source[[#This Row],[lending_product_transform]],[3]Mapping!$B$3:$D$37,3,0)</f>
        <v>cashloan</v>
      </c>
      <c r="I8990" s="143">
        <v>350737000</v>
      </c>
    </row>
    <row r="8991" spans="1:9" x14ac:dyDescent="0.2">
      <c r="A8991" s="172">
        <v>45910</v>
      </c>
      <c r="B8991" s="135">
        <f>YEAR(source[[#This Row],[report_date]])</f>
        <v>2025</v>
      </c>
      <c r="C8991" s="128">
        <f t="shared" si="418"/>
        <v>9</v>
      </c>
      <c r="D8991" s="136">
        <f t="shared" si="420"/>
        <v>37</v>
      </c>
      <c r="E8991" s="136">
        <f t="shared" si="419"/>
        <v>10</v>
      </c>
      <c r="F8991" s="137" t="s">
        <v>24</v>
      </c>
      <c r="G8991" s="128" t="str">
        <f>VLOOKUP(source[[#This Row],[lending_product_transform]],[3]Mapping!$B$4:$C$37,2,0)</f>
        <v>[Cake] - Cashloan</v>
      </c>
      <c r="H8991" s="128" t="str">
        <f>VLOOKUP(source[[#This Row],[lending_product_transform]],[3]Mapping!$B$3:$D$37,3,0)</f>
        <v>cashloan</v>
      </c>
      <c r="I8991" s="143">
        <v>0</v>
      </c>
    </row>
    <row r="8992" spans="1:9" x14ac:dyDescent="0.2">
      <c r="A8992" s="172">
        <v>45910</v>
      </c>
      <c r="B8992" s="135">
        <f>YEAR(source[[#This Row],[report_date]])</f>
        <v>2025</v>
      </c>
      <c r="C8992" s="128">
        <f t="shared" si="418"/>
        <v>9</v>
      </c>
      <c r="D8992" s="136">
        <f t="shared" si="420"/>
        <v>37</v>
      </c>
      <c r="E8992" s="136">
        <f t="shared" si="419"/>
        <v>10</v>
      </c>
      <c r="F8992" s="137" t="s">
        <v>24</v>
      </c>
      <c r="G8992" s="128" t="str">
        <f>VLOOKUP(source[[#This Row],[lending_product_transform]],[3]Mapping!$B$4:$C$37,2,0)</f>
        <v>[Cake] - Cashloan</v>
      </c>
      <c r="H8992" s="128" t="str">
        <f>VLOOKUP(source[[#This Row],[lending_product_transform]],[3]Mapping!$B$3:$D$37,3,0)</f>
        <v>cashloan</v>
      </c>
      <c r="I8992" s="143">
        <v>28900000</v>
      </c>
    </row>
    <row r="8993" spans="1:9" x14ac:dyDescent="0.2">
      <c r="A8993" s="172">
        <v>45910</v>
      </c>
      <c r="B8993" s="135">
        <f>YEAR(source[[#This Row],[report_date]])</f>
        <v>2025</v>
      </c>
      <c r="C8993" s="128">
        <f t="shared" si="418"/>
        <v>9</v>
      </c>
      <c r="D8993" s="136">
        <f t="shared" si="420"/>
        <v>37</v>
      </c>
      <c r="E8993" s="136">
        <f t="shared" si="419"/>
        <v>10</v>
      </c>
      <c r="F8993" s="137" t="s">
        <v>24</v>
      </c>
      <c r="G8993" s="128" t="str">
        <f>VLOOKUP(source[[#This Row],[lending_product_transform]],[3]Mapping!$B$4:$C$37,2,0)</f>
        <v>[Cake] - Cashloan</v>
      </c>
      <c r="H8993" s="128" t="str">
        <f>VLOOKUP(source[[#This Row],[lending_product_transform]],[3]Mapping!$B$3:$D$37,3,0)</f>
        <v>cashloan</v>
      </c>
      <c r="I8993" s="143">
        <v>20043400000</v>
      </c>
    </row>
    <row r="8994" spans="1:9" x14ac:dyDescent="0.2">
      <c r="A8994" s="172">
        <v>45910</v>
      </c>
      <c r="B8994" s="135">
        <f>YEAR(source[[#This Row],[report_date]])</f>
        <v>2025</v>
      </c>
      <c r="C8994" s="128">
        <f t="shared" si="418"/>
        <v>9</v>
      </c>
      <c r="D8994" s="136">
        <f t="shared" si="420"/>
        <v>37</v>
      </c>
      <c r="E8994" s="136">
        <f t="shared" si="419"/>
        <v>10</v>
      </c>
      <c r="F8994" s="137" t="s">
        <v>24</v>
      </c>
      <c r="G8994" s="128" t="str">
        <f>VLOOKUP(source[[#This Row],[lending_product_transform]],[3]Mapping!$B$4:$C$37,2,0)</f>
        <v>[Cake] - Cashloan</v>
      </c>
      <c r="H8994" s="128" t="str">
        <f>VLOOKUP(source[[#This Row],[lending_product_transform]],[3]Mapping!$B$3:$D$37,3,0)</f>
        <v>cashloan</v>
      </c>
      <c r="I8994" s="143">
        <v>0</v>
      </c>
    </row>
    <row r="8995" spans="1:9" x14ac:dyDescent="0.2">
      <c r="A8995" s="172">
        <v>45910</v>
      </c>
      <c r="B8995" s="135">
        <f>YEAR(source[[#This Row],[report_date]])</f>
        <v>2025</v>
      </c>
      <c r="C8995" s="128">
        <f t="shared" si="418"/>
        <v>9</v>
      </c>
      <c r="D8995" s="136">
        <f t="shared" si="420"/>
        <v>37</v>
      </c>
      <c r="E8995" s="136">
        <f t="shared" si="419"/>
        <v>10</v>
      </c>
      <c r="F8995" s="137" t="s">
        <v>24</v>
      </c>
      <c r="G8995" s="128" t="str">
        <f>VLOOKUP(source[[#This Row],[lending_product_transform]],[3]Mapping!$B$4:$C$37,2,0)</f>
        <v>[Cake] - Cashloan</v>
      </c>
      <c r="H8995" s="128" t="str">
        <f>VLOOKUP(source[[#This Row],[lending_product_transform]],[3]Mapping!$B$3:$D$37,3,0)</f>
        <v>cashloan</v>
      </c>
      <c r="I8995" s="143">
        <v>0</v>
      </c>
    </row>
    <row r="8996" spans="1:9" x14ac:dyDescent="0.2">
      <c r="A8996" s="172">
        <v>45910</v>
      </c>
      <c r="B8996" s="135">
        <f>YEAR(source[[#This Row],[report_date]])</f>
        <v>2025</v>
      </c>
      <c r="C8996" s="128">
        <f t="shared" si="418"/>
        <v>9</v>
      </c>
      <c r="D8996" s="136">
        <f t="shared" si="420"/>
        <v>37</v>
      </c>
      <c r="E8996" s="136">
        <f t="shared" si="419"/>
        <v>10</v>
      </c>
      <c r="F8996" s="137" t="s">
        <v>24</v>
      </c>
      <c r="G8996" s="128" t="str">
        <f>VLOOKUP(source[[#This Row],[lending_product_transform]],[3]Mapping!$B$4:$C$37,2,0)</f>
        <v>[Cake] - Cashloan</v>
      </c>
      <c r="H8996" s="128" t="str">
        <f>VLOOKUP(source[[#This Row],[lending_product_transform]],[3]Mapping!$B$3:$D$37,3,0)</f>
        <v>cashloan</v>
      </c>
      <c r="I8996" s="143">
        <v>0</v>
      </c>
    </row>
    <row r="8997" spans="1:9" x14ac:dyDescent="0.2">
      <c r="A8997" s="172">
        <v>45910</v>
      </c>
      <c r="B8997" s="135">
        <f>YEAR(source[[#This Row],[report_date]])</f>
        <v>2025</v>
      </c>
      <c r="C8997" s="128">
        <f t="shared" si="418"/>
        <v>9</v>
      </c>
      <c r="D8997" s="136">
        <f t="shared" si="420"/>
        <v>37</v>
      </c>
      <c r="E8997" s="136">
        <f t="shared" si="419"/>
        <v>10</v>
      </c>
      <c r="F8997" s="137" t="s">
        <v>24</v>
      </c>
      <c r="G8997" s="128" t="str">
        <f>VLOOKUP(source[[#This Row],[lending_product_transform]],[3]Mapping!$B$4:$C$37,2,0)</f>
        <v>[Cake] - Cashloan</v>
      </c>
      <c r="H8997" s="128" t="str">
        <f>VLOOKUP(source[[#This Row],[lending_product_transform]],[3]Mapping!$B$3:$D$37,3,0)</f>
        <v>cashloan</v>
      </c>
      <c r="I8997" s="143">
        <v>0</v>
      </c>
    </row>
    <row r="8998" spans="1:9" x14ac:dyDescent="0.2">
      <c r="A8998" s="172">
        <v>45910</v>
      </c>
      <c r="B8998" s="135">
        <f>YEAR(source[[#This Row],[report_date]])</f>
        <v>2025</v>
      </c>
      <c r="C8998" s="128">
        <f t="shared" si="418"/>
        <v>9</v>
      </c>
      <c r="D8998" s="136">
        <f t="shared" si="420"/>
        <v>37</v>
      </c>
      <c r="E8998" s="136">
        <f t="shared" si="419"/>
        <v>10</v>
      </c>
      <c r="F8998" s="137" t="s">
        <v>24</v>
      </c>
      <c r="G8998" s="128" t="str">
        <f>VLOOKUP(source[[#This Row],[lending_product_transform]],[3]Mapping!$B$4:$C$37,2,0)</f>
        <v>[Cake] - Cashloan</v>
      </c>
      <c r="H8998" s="128" t="str">
        <f>VLOOKUP(source[[#This Row],[lending_product_transform]],[3]Mapping!$B$3:$D$37,3,0)</f>
        <v>cashloan</v>
      </c>
      <c r="I8998" s="143">
        <v>11740464000</v>
      </c>
    </row>
    <row r="8999" spans="1:9" x14ac:dyDescent="0.2">
      <c r="A8999" s="172">
        <v>45910</v>
      </c>
      <c r="B8999" s="135">
        <f>YEAR(source[[#This Row],[report_date]])</f>
        <v>2025</v>
      </c>
      <c r="C8999" s="128">
        <f t="shared" si="418"/>
        <v>9</v>
      </c>
      <c r="D8999" s="136">
        <f t="shared" si="420"/>
        <v>37</v>
      </c>
      <c r="E8999" s="136">
        <f t="shared" si="419"/>
        <v>10</v>
      </c>
      <c r="F8999" s="137" t="s">
        <v>24</v>
      </c>
      <c r="G8999" s="128" t="str">
        <f>VLOOKUP(source[[#This Row],[lending_product_transform]],[3]Mapping!$B$4:$C$37,2,0)</f>
        <v>[Cake] - Cashloan</v>
      </c>
      <c r="H8999" s="128" t="str">
        <f>VLOOKUP(source[[#This Row],[lending_product_transform]],[3]Mapping!$B$3:$D$37,3,0)</f>
        <v>cashloan</v>
      </c>
      <c r="I8999" s="143">
        <v>352481094</v>
      </c>
    </row>
    <row r="9000" spans="1:9" x14ac:dyDescent="0.2">
      <c r="A9000" s="172">
        <v>45910</v>
      </c>
      <c r="B9000" s="135">
        <f>YEAR(source[[#This Row],[report_date]])</f>
        <v>2025</v>
      </c>
      <c r="C9000" s="128">
        <f t="shared" si="418"/>
        <v>9</v>
      </c>
      <c r="D9000" s="136">
        <f t="shared" si="420"/>
        <v>37</v>
      </c>
      <c r="E9000" s="136">
        <f t="shared" si="419"/>
        <v>10</v>
      </c>
      <c r="F9000" s="137" t="s">
        <v>24</v>
      </c>
      <c r="G9000" s="128" t="str">
        <f>VLOOKUP(source[[#This Row],[lending_product_transform]],[3]Mapping!$B$4:$C$37,2,0)</f>
        <v>[Cake] - Cashloan</v>
      </c>
      <c r="H9000" s="128" t="str">
        <f>VLOOKUP(source[[#This Row],[lending_product_transform]],[3]Mapping!$B$3:$D$37,3,0)</f>
        <v>cashloan</v>
      </c>
      <c r="I9000" s="143">
        <v>0</v>
      </c>
    </row>
    <row r="9001" spans="1:9" x14ac:dyDescent="0.2">
      <c r="A9001" s="172">
        <v>45910</v>
      </c>
      <c r="B9001" s="135">
        <f>YEAR(source[[#This Row],[report_date]])</f>
        <v>2025</v>
      </c>
      <c r="C9001" s="128">
        <f t="shared" si="418"/>
        <v>9</v>
      </c>
      <c r="D9001" s="136">
        <f t="shared" si="420"/>
        <v>37</v>
      </c>
      <c r="E9001" s="136">
        <f t="shared" si="419"/>
        <v>10</v>
      </c>
      <c r="F9001" s="137" t="s">
        <v>24</v>
      </c>
      <c r="G9001" s="128" t="str">
        <f>VLOOKUP(source[[#This Row],[lending_product_transform]],[3]Mapping!$B$4:$C$37,2,0)</f>
        <v>[Cake] - Cashloan</v>
      </c>
      <c r="H9001" s="128" t="str">
        <f>VLOOKUP(source[[#This Row],[lending_product_transform]],[3]Mapping!$B$3:$D$37,3,0)</f>
        <v>cashloan</v>
      </c>
      <c r="I9001" s="143">
        <v>42000000</v>
      </c>
    </row>
    <row r="9002" spans="1:9" x14ac:dyDescent="0.2">
      <c r="A9002" s="172">
        <v>45910</v>
      </c>
      <c r="B9002" s="135">
        <f>YEAR(source[[#This Row],[report_date]])</f>
        <v>2025</v>
      </c>
      <c r="C9002" s="128">
        <f t="shared" si="418"/>
        <v>9</v>
      </c>
      <c r="D9002" s="136">
        <f t="shared" si="420"/>
        <v>37</v>
      </c>
      <c r="E9002" s="136">
        <f t="shared" si="419"/>
        <v>10</v>
      </c>
      <c r="F9002" s="137" t="s">
        <v>24</v>
      </c>
      <c r="G9002" s="128" t="str">
        <f>VLOOKUP(source[[#This Row],[lending_product_transform]],[3]Mapping!$B$4:$C$37,2,0)</f>
        <v>[Cake] - Cashloan</v>
      </c>
      <c r="H9002" s="128" t="str">
        <f>VLOOKUP(source[[#This Row],[lending_product_transform]],[3]Mapping!$B$3:$D$37,3,0)</f>
        <v>cashloan</v>
      </c>
      <c r="I9002" s="143">
        <v>879280000</v>
      </c>
    </row>
    <row r="9003" spans="1:9" x14ac:dyDescent="0.2">
      <c r="A9003" s="172">
        <v>45910</v>
      </c>
      <c r="B9003" s="135">
        <f>YEAR(source[[#This Row],[report_date]])</f>
        <v>2025</v>
      </c>
      <c r="C9003" s="128">
        <f t="shared" si="418"/>
        <v>9</v>
      </c>
      <c r="D9003" s="136">
        <f t="shared" si="420"/>
        <v>37</v>
      </c>
      <c r="E9003" s="136">
        <f t="shared" si="419"/>
        <v>10</v>
      </c>
      <c r="F9003" s="137" t="s">
        <v>24</v>
      </c>
      <c r="G9003" s="128" t="str">
        <f>VLOOKUP(source[[#This Row],[lending_product_transform]],[3]Mapping!$B$4:$C$37,2,0)</f>
        <v>[Cake] - Cashloan</v>
      </c>
      <c r="H9003" s="128" t="str">
        <f>VLOOKUP(source[[#This Row],[lending_product_transform]],[3]Mapping!$B$3:$D$37,3,0)</f>
        <v>cashloan</v>
      </c>
      <c r="I9003" s="143">
        <v>530106380</v>
      </c>
    </row>
    <row r="9004" spans="1:9" x14ac:dyDescent="0.2">
      <c r="A9004" s="172">
        <v>45910</v>
      </c>
      <c r="B9004" s="135">
        <f>YEAR(source[[#This Row],[report_date]])</f>
        <v>2025</v>
      </c>
      <c r="C9004" s="128">
        <f t="shared" si="418"/>
        <v>9</v>
      </c>
      <c r="D9004" s="136">
        <f t="shared" si="420"/>
        <v>37</v>
      </c>
      <c r="E9004" s="136">
        <f t="shared" si="419"/>
        <v>10</v>
      </c>
      <c r="F9004" s="137" t="s">
        <v>24</v>
      </c>
      <c r="G9004" s="128" t="str">
        <f>VLOOKUP(source[[#This Row],[lending_product_transform]],[3]Mapping!$B$4:$C$37,2,0)</f>
        <v>[Cake] - Cashloan</v>
      </c>
      <c r="H9004" s="128" t="str">
        <f>VLOOKUP(source[[#This Row],[lending_product_transform]],[3]Mapping!$B$3:$D$37,3,0)</f>
        <v>cashloan</v>
      </c>
      <c r="I9004" s="143">
        <v>3177730000</v>
      </c>
    </row>
    <row r="9005" spans="1:9" x14ac:dyDescent="0.2">
      <c r="A9005" s="172">
        <v>45911</v>
      </c>
      <c r="B9005" s="135">
        <f>YEAR(source[[#This Row],[report_date]])</f>
        <v>2025</v>
      </c>
      <c r="C9005" s="128">
        <f t="shared" si="418"/>
        <v>9</v>
      </c>
      <c r="D9005" s="136">
        <f t="shared" si="420"/>
        <v>37</v>
      </c>
      <c r="E9005" s="136">
        <f t="shared" si="419"/>
        <v>11</v>
      </c>
      <c r="F9005" s="137" t="s">
        <v>24</v>
      </c>
      <c r="G9005" s="128" t="str">
        <f>VLOOKUP(source[[#This Row],[lending_product_transform]],[3]Mapping!$B$4:$C$37,2,0)</f>
        <v>[Cake] - Cashloan</v>
      </c>
      <c r="H9005" s="128" t="str">
        <f>VLOOKUP(source[[#This Row],[lending_product_transform]],[3]Mapping!$B$3:$D$37,3,0)</f>
        <v>cashloan</v>
      </c>
      <c r="I9005" s="143">
        <v>0</v>
      </c>
    </row>
    <row r="9006" spans="1:9" x14ac:dyDescent="0.2">
      <c r="A9006" s="172">
        <v>45911</v>
      </c>
      <c r="B9006" s="135">
        <f>YEAR(source[[#This Row],[report_date]])</f>
        <v>2025</v>
      </c>
      <c r="C9006" s="128">
        <f t="shared" si="418"/>
        <v>9</v>
      </c>
      <c r="D9006" s="136">
        <f t="shared" si="420"/>
        <v>37</v>
      </c>
      <c r="E9006" s="136">
        <f t="shared" si="419"/>
        <v>11</v>
      </c>
      <c r="F9006" s="137" t="s">
        <v>24</v>
      </c>
      <c r="G9006" s="128" t="str">
        <f>VLOOKUP(source[[#This Row],[lending_product_transform]],[3]Mapping!$B$4:$C$37,2,0)</f>
        <v>[Cake] - Cashloan</v>
      </c>
      <c r="H9006" s="128" t="str">
        <f>VLOOKUP(source[[#This Row],[lending_product_transform]],[3]Mapping!$B$3:$D$37,3,0)</f>
        <v>cashloan</v>
      </c>
      <c r="I9006" s="143">
        <v>273632884</v>
      </c>
    </row>
    <row r="9007" spans="1:9" x14ac:dyDescent="0.2">
      <c r="A9007" s="172">
        <v>45911</v>
      </c>
      <c r="B9007" s="135">
        <f>YEAR(source[[#This Row],[report_date]])</f>
        <v>2025</v>
      </c>
      <c r="C9007" s="128">
        <f t="shared" si="418"/>
        <v>9</v>
      </c>
      <c r="D9007" s="136">
        <f t="shared" si="420"/>
        <v>37</v>
      </c>
      <c r="E9007" s="136">
        <f t="shared" si="419"/>
        <v>11</v>
      </c>
      <c r="F9007" s="137" t="s">
        <v>24</v>
      </c>
      <c r="G9007" s="128" t="str">
        <f>VLOOKUP(source[[#This Row],[lending_product_transform]],[3]Mapping!$B$4:$C$37,2,0)</f>
        <v>[Cake] - Cashloan</v>
      </c>
      <c r="H9007" s="128" t="str">
        <f>VLOOKUP(source[[#This Row],[lending_product_transform]],[3]Mapping!$B$3:$D$37,3,0)</f>
        <v>cashloan</v>
      </c>
      <c r="I9007" s="143">
        <v>18649630000</v>
      </c>
    </row>
    <row r="9008" spans="1:9" x14ac:dyDescent="0.2">
      <c r="A9008" s="172">
        <v>45911</v>
      </c>
      <c r="B9008" s="135">
        <f>YEAR(source[[#This Row],[report_date]])</f>
        <v>2025</v>
      </c>
      <c r="C9008" s="128">
        <f t="shared" si="418"/>
        <v>9</v>
      </c>
      <c r="D9008" s="136">
        <f t="shared" si="420"/>
        <v>37</v>
      </c>
      <c r="E9008" s="136">
        <f t="shared" si="419"/>
        <v>11</v>
      </c>
      <c r="F9008" s="137" t="s">
        <v>24</v>
      </c>
      <c r="G9008" s="128" t="str">
        <f>VLOOKUP(source[[#This Row],[lending_product_transform]],[3]Mapping!$B$4:$C$37,2,0)</f>
        <v>[Cake] - Cashloan</v>
      </c>
      <c r="H9008" s="128" t="str">
        <f>VLOOKUP(source[[#This Row],[lending_product_transform]],[3]Mapping!$B$3:$D$37,3,0)</f>
        <v>cashloan</v>
      </c>
      <c r="I9008" s="143">
        <v>2739869093</v>
      </c>
    </row>
    <row r="9009" spans="1:9" x14ac:dyDescent="0.2">
      <c r="A9009" s="172">
        <v>45911</v>
      </c>
      <c r="B9009" s="135">
        <f>YEAR(source[[#This Row],[report_date]])</f>
        <v>2025</v>
      </c>
      <c r="C9009" s="128">
        <f t="shared" si="418"/>
        <v>9</v>
      </c>
      <c r="D9009" s="136">
        <f t="shared" si="420"/>
        <v>37</v>
      </c>
      <c r="E9009" s="136">
        <f t="shared" si="419"/>
        <v>11</v>
      </c>
      <c r="F9009" s="137" t="s">
        <v>24</v>
      </c>
      <c r="G9009" s="128" t="str">
        <f>VLOOKUP(source[[#This Row],[lending_product_transform]],[3]Mapping!$B$4:$C$37,2,0)</f>
        <v>[Cake] - Cashloan</v>
      </c>
      <c r="H9009" s="128" t="str">
        <f>VLOOKUP(source[[#This Row],[lending_product_transform]],[3]Mapping!$B$3:$D$37,3,0)</f>
        <v>cashloan</v>
      </c>
      <c r="I9009" s="143">
        <v>7020432000</v>
      </c>
    </row>
    <row r="9010" spans="1:9" x14ac:dyDescent="0.2">
      <c r="A9010" s="172">
        <v>45911</v>
      </c>
      <c r="B9010" s="135">
        <f>YEAR(source[[#This Row],[report_date]])</f>
        <v>2025</v>
      </c>
      <c r="C9010" s="128">
        <f t="shared" si="418"/>
        <v>9</v>
      </c>
      <c r="D9010" s="136">
        <f t="shared" si="420"/>
        <v>37</v>
      </c>
      <c r="E9010" s="136">
        <f t="shared" si="419"/>
        <v>11</v>
      </c>
      <c r="F9010" s="137" t="s">
        <v>24</v>
      </c>
      <c r="G9010" s="128" t="str">
        <f>VLOOKUP(source[[#This Row],[lending_product_transform]],[3]Mapping!$B$4:$C$37,2,0)</f>
        <v>[Cake] - Cashloan</v>
      </c>
      <c r="H9010" s="128" t="str">
        <f>VLOOKUP(source[[#This Row],[lending_product_transform]],[3]Mapping!$B$3:$D$37,3,0)</f>
        <v>cashloan</v>
      </c>
      <c r="I9010" s="143">
        <v>18966131</v>
      </c>
    </row>
    <row r="9011" spans="1:9" x14ac:dyDescent="0.2">
      <c r="A9011" s="172">
        <v>45911</v>
      </c>
      <c r="B9011" s="135">
        <f>YEAR(source[[#This Row],[report_date]])</f>
        <v>2025</v>
      </c>
      <c r="C9011" s="128">
        <f t="shared" si="418"/>
        <v>9</v>
      </c>
      <c r="D9011" s="136">
        <f t="shared" si="420"/>
        <v>37</v>
      </c>
      <c r="E9011" s="136">
        <f t="shared" si="419"/>
        <v>11</v>
      </c>
      <c r="F9011" s="137" t="s">
        <v>24</v>
      </c>
      <c r="G9011" s="128" t="str">
        <f>VLOOKUP(source[[#This Row],[lending_product_transform]],[3]Mapping!$B$4:$C$37,2,0)</f>
        <v>[Cake] - Cashloan</v>
      </c>
      <c r="H9011" s="128" t="str">
        <f>VLOOKUP(source[[#This Row],[lending_product_transform]],[3]Mapping!$B$3:$D$37,3,0)</f>
        <v>cashloan</v>
      </c>
      <c r="I9011" s="143">
        <v>3593420000</v>
      </c>
    </row>
    <row r="9012" spans="1:9" x14ac:dyDescent="0.2">
      <c r="A9012" s="172">
        <v>45911</v>
      </c>
      <c r="B9012" s="135">
        <f>YEAR(source[[#This Row],[report_date]])</f>
        <v>2025</v>
      </c>
      <c r="C9012" s="128">
        <f t="shared" si="418"/>
        <v>9</v>
      </c>
      <c r="D9012" s="136">
        <f t="shared" si="420"/>
        <v>37</v>
      </c>
      <c r="E9012" s="136">
        <f t="shared" si="419"/>
        <v>11</v>
      </c>
      <c r="F9012" s="137" t="s">
        <v>24</v>
      </c>
      <c r="G9012" s="128" t="str">
        <f>VLOOKUP(source[[#This Row],[lending_product_transform]],[3]Mapping!$B$4:$C$37,2,0)</f>
        <v>[Cake] - Cashloan</v>
      </c>
      <c r="H9012" s="128" t="str">
        <f>VLOOKUP(source[[#This Row],[lending_product_transform]],[3]Mapping!$B$3:$D$37,3,0)</f>
        <v>cashloan</v>
      </c>
      <c r="I9012" s="143">
        <v>15168000</v>
      </c>
    </row>
    <row r="9013" spans="1:9" x14ac:dyDescent="0.2">
      <c r="A9013" s="172">
        <v>45911</v>
      </c>
      <c r="B9013" s="135">
        <f>YEAR(source[[#This Row],[report_date]])</f>
        <v>2025</v>
      </c>
      <c r="C9013" s="128">
        <f t="shared" si="418"/>
        <v>9</v>
      </c>
      <c r="D9013" s="136">
        <f t="shared" si="420"/>
        <v>37</v>
      </c>
      <c r="E9013" s="136">
        <f t="shared" si="419"/>
        <v>11</v>
      </c>
      <c r="F9013" s="137" t="s">
        <v>24</v>
      </c>
      <c r="G9013" s="128" t="str">
        <f>VLOOKUP(source[[#This Row],[lending_product_transform]],[3]Mapping!$B$4:$C$37,2,0)</f>
        <v>[Cake] - Cashloan</v>
      </c>
      <c r="H9013" s="128" t="str">
        <f>VLOOKUP(source[[#This Row],[lending_product_transform]],[3]Mapping!$B$3:$D$37,3,0)</f>
        <v>cashloan</v>
      </c>
      <c r="I9013" s="143">
        <v>298096150</v>
      </c>
    </row>
    <row r="9014" spans="1:9" x14ac:dyDescent="0.2">
      <c r="A9014" s="172">
        <v>45911</v>
      </c>
      <c r="B9014" s="135">
        <f>YEAR(source[[#This Row],[report_date]])</f>
        <v>2025</v>
      </c>
      <c r="C9014" s="128">
        <f t="shared" ref="C9014:C9077" si="421">MONTH(A9014)</f>
        <v>9</v>
      </c>
      <c r="D9014" s="136">
        <f t="shared" si="420"/>
        <v>37</v>
      </c>
      <c r="E9014" s="136">
        <f t="shared" ref="E9014:E9077" si="422">DAY(A9014)</f>
        <v>11</v>
      </c>
      <c r="F9014" s="137" t="s">
        <v>24</v>
      </c>
      <c r="G9014" s="128" t="str">
        <f>VLOOKUP(source[[#This Row],[lending_product_transform]],[3]Mapping!$B$4:$C$37,2,0)</f>
        <v>[Cake] - Cashloan</v>
      </c>
      <c r="H9014" s="128" t="str">
        <f>VLOOKUP(source[[#This Row],[lending_product_transform]],[3]Mapping!$B$3:$D$37,3,0)</f>
        <v>cashloan</v>
      </c>
      <c r="I9014" s="143">
        <v>0</v>
      </c>
    </row>
    <row r="9015" spans="1:9" x14ac:dyDescent="0.2">
      <c r="A9015" s="172">
        <v>45911</v>
      </c>
      <c r="B9015" s="135">
        <f>YEAR(source[[#This Row],[report_date]])</f>
        <v>2025</v>
      </c>
      <c r="C9015" s="128">
        <f t="shared" si="421"/>
        <v>9</v>
      </c>
      <c r="D9015" s="136">
        <f t="shared" si="420"/>
        <v>37</v>
      </c>
      <c r="E9015" s="136">
        <f t="shared" si="422"/>
        <v>11</v>
      </c>
      <c r="F9015" s="137" t="s">
        <v>24</v>
      </c>
      <c r="G9015" s="128" t="str">
        <f>VLOOKUP(source[[#This Row],[lending_product_transform]],[3]Mapping!$B$4:$C$37,2,0)</f>
        <v>[Cake] - Cashloan</v>
      </c>
      <c r="H9015" s="128" t="str">
        <f>VLOOKUP(source[[#This Row],[lending_product_transform]],[3]Mapping!$B$3:$D$37,3,0)</f>
        <v>cashloan</v>
      </c>
      <c r="I9015" s="143">
        <v>81450000</v>
      </c>
    </row>
    <row r="9016" spans="1:9" x14ac:dyDescent="0.2">
      <c r="A9016" s="172">
        <v>45911</v>
      </c>
      <c r="B9016" s="135">
        <f>YEAR(source[[#This Row],[report_date]])</f>
        <v>2025</v>
      </c>
      <c r="C9016" s="128">
        <f t="shared" si="421"/>
        <v>9</v>
      </c>
      <c r="D9016" s="136">
        <f t="shared" si="420"/>
        <v>37</v>
      </c>
      <c r="E9016" s="136">
        <f t="shared" si="422"/>
        <v>11</v>
      </c>
      <c r="F9016" s="137" t="s">
        <v>24</v>
      </c>
      <c r="G9016" s="128" t="str">
        <f>VLOOKUP(source[[#This Row],[lending_product_transform]],[3]Mapping!$B$4:$C$37,2,0)</f>
        <v>[Cake] - Cashloan</v>
      </c>
      <c r="H9016" s="128" t="str">
        <f>VLOOKUP(source[[#This Row],[lending_product_transform]],[3]Mapping!$B$3:$D$37,3,0)</f>
        <v>cashloan</v>
      </c>
      <c r="I9016" s="143">
        <v>19586100000</v>
      </c>
    </row>
    <row r="9017" spans="1:9" x14ac:dyDescent="0.2">
      <c r="A9017" s="172">
        <v>45911</v>
      </c>
      <c r="B9017" s="135">
        <f>YEAR(source[[#This Row],[report_date]])</f>
        <v>2025</v>
      </c>
      <c r="C9017" s="128">
        <f t="shared" si="421"/>
        <v>9</v>
      </c>
      <c r="D9017" s="136">
        <f t="shared" si="420"/>
        <v>37</v>
      </c>
      <c r="E9017" s="136">
        <f t="shared" si="422"/>
        <v>11</v>
      </c>
      <c r="F9017" s="137" t="s">
        <v>24</v>
      </c>
      <c r="G9017" s="128" t="str">
        <f>VLOOKUP(source[[#This Row],[lending_product_transform]],[3]Mapping!$B$4:$C$37,2,0)</f>
        <v>[Cake] - Cashloan</v>
      </c>
      <c r="H9017" s="128" t="str">
        <f>VLOOKUP(source[[#This Row],[lending_product_transform]],[3]Mapping!$B$3:$D$37,3,0)</f>
        <v>cashloan</v>
      </c>
      <c r="I9017" s="143">
        <v>0</v>
      </c>
    </row>
    <row r="9018" spans="1:9" x14ac:dyDescent="0.2">
      <c r="A9018" s="172">
        <v>45911</v>
      </c>
      <c r="B9018" s="135">
        <f>YEAR(source[[#This Row],[report_date]])</f>
        <v>2025</v>
      </c>
      <c r="C9018" s="128">
        <f t="shared" si="421"/>
        <v>9</v>
      </c>
      <c r="D9018" s="136">
        <f t="shared" si="420"/>
        <v>37</v>
      </c>
      <c r="E9018" s="136">
        <f t="shared" si="422"/>
        <v>11</v>
      </c>
      <c r="F9018" s="137" t="s">
        <v>24</v>
      </c>
      <c r="G9018" s="128" t="str">
        <f>VLOOKUP(source[[#This Row],[lending_product_transform]],[3]Mapping!$B$4:$C$37,2,0)</f>
        <v>[Cake] - Cashloan</v>
      </c>
      <c r="H9018" s="128" t="str">
        <f>VLOOKUP(source[[#This Row],[lending_product_transform]],[3]Mapping!$B$3:$D$37,3,0)</f>
        <v>cashloan</v>
      </c>
      <c r="I9018" s="143">
        <v>0</v>
      </c>
    </row>
    <row r="9019" spans="1:9" x14ac:dyDescent="0.2">
      <c r="A9019" s="172">
        <v>45911</v>
      </c>
      <c r="B9019" s="135">
        <f>YEAR(source[[#This Row],[report_date]])</f>
        <v>2025</v>
      </c>
      <c r="C9019" s="128">
        <f t="shared" si="421"/>
        <v>9</v>
      </c>
      <c r="D9019" s="136">
        <f t="shared" si="420"/>
        <v>37</v>
      </c>
      <c r="E9019" s="136">
        <f t="shared" si="422"/>
        <v>11</v>
      </c>
      <c r="F9019" s="137" t="s">
        <v>24</v>
      </c>
      <c r="G9019" s="128" t="str">
        <f>VLOOKUP(source[[#This Row],[lending_product_transform]],[3]Mapping!$B$4:$C$37,2,0)</f>
        <v>[Cake] - Cashloan</v>
      </c>
      <c r="H9019" s="128" t="str">
        <f>VLOOKUP(source[[#This Row],[lending_product_transform]],[3]Mapping!$B$3:$D$37,3,0)</f>
        <v>cashloan</v>
      </c>
      <c r="I9019" s="143">
        <v>0</v>
      </c>
    </row>
    <row r="9020" spans="1:9" x14ac:dyDescent="0.2">
      <c r="A9020" s="172">
        <v>45911</v>
      </c>
      <c r="B9020" s="135">
        <f>YEAR(source[[#This Row],[report_date]])</f>
        <v>2025</v>
      </c>
      <c r="C9020" s="128">
        <f t="shared" si="421"/>
        <v>9</v>
      </c>
      <c r="D9020" s="136">
        <f t="shared" si="420"/>
        <v>37</v>
      </c>
      <c r="E9020" s="136">
        <f t="shared" si="422"/>
        <v>11</v>
      </c>
      <c r="F9020" s="137" t="s">
        <v>24</v>
      </c>
      <c r="G9020" s="128" t="str">
        <f>VLOOKUP(source[[#This Row],[lending_product_transform]],[3]Mapping!$B$4:$C$37,2,0)</f>
        <v>[Cake] - Cashloan</v>
      </c>
      <c r="H9020" s="128" t="str">
        <f>VLOOKUP(source[[#This Row],[lending_product_transform]],[3]Mapping!$B$3:$D$37,3,0)</f>
        <v>cashloan</v>
      </c>
      <c r="I9020" s="143">
        <v>16700000</v>
      </c>
    </row>
    <row r="9021" spans="1:9" x14ac:dyDescent="0.2">
      <c r="A9021" s="172">
        <v>45911</v>
      </c>
      <c r="B9021" s="135">
        <f>YEAR(source[[#This Row],[report_date]])</f>
        <v>2025</v>
      </c>
      <c r="C9021" s="128">
        <f t="shared" si="421"/>
        <v>9</v>
      </c>
      <c r="D9021" s="136">
        <f t="shared" si="420"/>
        <v>37</v>
      </c>
      <c r="E9021" s="136">
        <f t="shared" si="422"/>
        <v>11</v>
      </c>
      <c r="F9021" s="137" t="s">
        <v>24</v>
      </c>
      <c r="G9021" s="128" t="str">
        <f>VLOOKUP(source[[#This Row],[lending_product_transform]],[3]Mapping!$B$4:$C$37,2,0)</f>
        <v>[Cake] - Cashloan</v>
      </c>
      <c r="H9021" s="128" t="str">
        <f>VLOOKUP(source[[#This Row],[lending_product_transform]],[3]Mapping!$B$3:$D$37,3,0)</f>
        <v>cashloan</v>
      </c>
      <c r="I9021" s="143">
        <v>10569960000</v>
      </c>
    </row>
    <row r="9022" spans="1:9" x14ac:dyDescent="0.2">
      <c r="A9022" s="172">
        <v>45911</v>
      </c>
      <c r="B9022" s="135">
        <f>YEAR(source[[#This Row],[report_date]])</f>
        <v>2025</v>
      </c>
      <c r="C9022" s="128">
        <f t="shared" si="421"/>
        <v>9</v>
      </c>
      <c r="D9022" s="136">
        <f t="shared" si="420"/>
        <v>37</v>
      </c>
      <c r="E9022" s="136">
        <f t="shared" si="422"/>
        <v>11</v>
      </c>
      <c r="F9022" s="137" t="s">
        <v>24</v>
      </c>
      <c r="G9022" s="128" t="str">
        <f>VLOOKUP(source[[#This Row],[lending_product_transform]],[3]Mapping!$B$4:$C$37,2,0)</f>
        <v>[Cake] - Cashloan</v>
      </c>
      <c r="H9022" s="128" t="str">
        <f>VLOOKUP(source[[#This Row],[lending_product_transform]],[3]Mapping!$B$3:$D$37,3,0)</f>
        <v>cashloan</v>
      </c>
      <c r="I9022" s="143">
        <v>254261036</v>
      </c>
    </row>
    <row r="9023" spans="1:9" x14ac:dyDescent="0.2">
      <c r="A9023" s="172">
        <v>45911</v>
      </c>
      <c r="B9023" s="135">
        <f>YEAR(source[[#This Row],[report_date]])</f>
        <v>2025</v>
      </c>
      <c r="C9023" s="128">
        <f t="shared" si="421"/>
        <v>9</v>
      </c>
      <c r="D9023" s="136">
        <f t="shared" si="420"/>
        <v>37</v>
      </c>
      <c r="E9023" s="136">
        <f t="shared" si="422"/>
        <v>11</v>
      </c>
      <c r="F9023" s="137" t="s">
        <v>24</v>
      </c>
      <c r="G9023" s="128" t="str">
        <f>VLOOKUP(source[[#This Row],[lending_product_transform]],[3]Mapping!$B$4:$C$37,2,0)</f>
        <v>[Cake] - Cashloan</v>
      </c>
      <c r="H9023" s="128" t="str">
        <f>VLOOKUP(source[[#This Row],[lending_product_transform]],[3]Mapping!$B$3:$D$37,3,0)</f>
        <v>cashloan</v>
      </c>
      <c r="I9023" s="143">
        <v>83000000</v>
      </c>
    </row>
    <row r="9024" spans="1:9" x14ac:dyDescent="0.2">
      <c r="A9024" s="172">
        <v>45911</v>
      </c>
      <c r="B9024" s="135">
        <f>YEAR(source[[#This Row],[report_date]])</f>
        <v>2025</v>
      </c>
      <c r="C9024" s="128">
        <f t="shared" si="421"/>
        <v>9</v>
      </c>
      <c r="D9024" s="136">
        <f t="shared" si="420"/>
        <v>37</v>
      </c>
      <c r="E9024" s="136">
        <f t="shared" si="422"/>
        <v>11</v>
      </c>
      <c r="F9024" s="137" t="s">
        <v>24</v>
      </c>
      <c r="G9024" s="128" t="str">
        <f>VLOOKUP(source[[#This Row],[lending_product_transform]],[3]Mapping!$B$4:$C$37,2,0)</f>
        <v>[Cake] - Cashloan</v>
      </c>
      <c r="H9024" s="128" t="str">
        <f>VLOOKUP(source[[#This Row],[lending_product_transform]],[3]Mapping!$B$3:$D$37,3,0)</f>
        <v>cashloan</v>
      </c>
      <c r="I9024" s="143">
        <v>57000000</v>
      </c>
    </row>
    <row r="9025" spans="1:9" x14ac:dyDescent="0.2">
      <c r="A9025" s="172">
        <v>45911</v>
      </c>
      <c r="B9025" s="135">
        <f>YEAR(source[[#This Row],[report_date]])</f>
        <v>2025</v>
      </c>
      <c r="C9025" s="128">
        <f t="shared" si="421"/>
        <v>9</v>
      </c>
      <c r="D9025" s="136">
        <f t="shared" si="420"/>
        <v>37</v>
      </c>
      <c r="E9025" s="136">
        <f t="shared" si="422"/>
        <v>11</v>
      </c>
      <c r="F9025" s="137" t="s">
        <v>24</v>
      </c>
      <c r="G9025" s="128" t="str">
        <f>VLOOKUP(source[[#This Row],[lending_product_transform]],[3]Mapping!$B$4:$C$37,2,0)</f>
        <v>[Cake] - Cashloan</v>
      </c>
      <c r="H9025" s="128" t="str">
        <f>VLOOKUP(source[[#This Row],[lending_product_transform]],[3]Mapping!$B$3:$D$37,3,0)</f>
        <v>cashloan</v>
      </c>
      <c r="I9025" s="143">
        <v>836670000</v>
      </c>
    </row>
    <row r="9026" spans="1:9" x14ac:dyDescent="0.2">
      <c r="A9026" s="172">
        <v>45911</v>
      </c>
      <c r="B9026" s="135">
        <f>YEAR(source[[#This Row],[report_date]])</f>
        <v>2025</v>
      </c>
      <c r="C9026" s="128">
        <f t="shared" si="421"/>
        <v>9</v>
      </c>
      <c r="D9026" s="136">
        <f t="shared" si="420"/>
        <v>37</v>
      </c>
      <c r="E9026" s="136">
        <f t="shared" si="422"/>
        <v>11</v>
      </c>
      <c r="F9026" s="137" t="s">
        <v>24</v>
      </c>
      <c r="G9026" s="128" t="str">
        <f>VLOOKUP(source[[#This Row],[lending_product_transform]],[3]Mapping!$B$4:$C$37,2,0)</f>
        <v>[Cake] - Cashloan</v>
      </c>
      <c r="H9026" s="128" t="str">
        <f>VLOOKUP(source[[#This Row],[lending_product_transform]],[3]Mapping!$B$3:$D$37,3,0)</f>
        <v>cashloan</v>
      </c>
      <c r="I9026" s="143">
        <v>6480000</v>
      </c>
    </row>
    <row r="9027" spans="1:9" x14ac:dyDescent="0.2">
      <c r="A9027" s="172">
        <v>45911</v>
      </c>
      <c r="B9027" s="135">
        <f>YEAR(source[[#This Row],[report_date]])</f>
        <v>2025</v>
      </c>
      <c r="C9027" s="128">
        <f t="shared" si="421"/>
        <v>9</v>
      </c>
      <c r="D9027" s="136">
        <f t="shared" ref="D9027:D9090" si="423">WEEKNUM(A9027,2)</f>
        <v>37</v>
      </c>
      <c r="E9027" s="136">
        <f t="shared" si="422"/>
        <v>11</v>
      </c>
      <c r="F9027" s="137" t="s">
        <v>24</v>
      </c>
      <c r="G9027" s="128" t="str">
        <f>VLOOKUP(source[[#This Row],[lending_product_transform]],[3]Mapping!$B$4:$C$37,2,0)</f>
        <v>[Cake] - Cashloan</v>
      </c>
      <c r="H9027" s="128" t="str">
        <f>VLOOKUP(source[[#This Row],[lending_product_transform]],[3]Mapping!$B$3:$D$37,3,0)</f>
        <v>cashloan</v>
      </c>
      <c r="I9027" s="143">
        <v>408682853</v>
      </c>
    </row>
    <row r="9028" spans="1:9" x14ac:dyDescent="0.2">
      <c r="A9028" s="172">
        <v>45911</v>
      </c>
      <c r="B9028" s="135">
        <f>YEAR(source[[#This Row],[report_date]])</f>
        <v>2025</v>
      </c>
      <c r="C9028" s="128">
        <f t="shared" si="421"/>
        <v>9</v>
      </c>
      <c r="D9028" s="136">
        <f t="shared" si="423"/>
        <v>37</v>
      </c>
      <c r="E9028" s="136">
        <f t="shared" si="422"/>
        <v>11</v>
      </c>
      <c r="F9028" s="137" t="s">
        <v>24</v>
      </c>
      <c r="G9028" s="128" t="str">
        <f>VLOOKUP(source[[#This Row],[lending_product_transform]],[3]Mapping!$B$4:$C$37,2,0)</f>
        <v>[Cake] - Cashloan</v>
      </c>
      <c r="H9028" s="128" t="str">
        <f>VLOOKUP(source[[#This Row],[lending_product_transform]],[3]Mapping!$B$3:$D$37,3,0)</f>
        <v>cashloan</v>
      </c>
      <c r="I9028" s="143">
        <v>2705690000</v>
      </c>
    </row>
    <row r="9029" spans="1:9" x14ac:dyDescent="0.2">
      <c r="A9029" s="172">
        <v>45912</v>
      </c>
      <c r="B9029" s="135">
        <f>YEAR(source[[#This Row],[report_date]])</f>
        <v>2025</v>
      </c>
      <c r="C9029" s="128">
        <f t="shared" si="421"/>
        <v>9</v>
      </c>
      <c r="D9029" s="136">
        <f t="shared" si="423"/>
        <v>37</v>
      </c>
      <c r="E9029" s="136">
        <f t="shared" si="422"/>
        <v>12</v>
      </c>
      <c r="F9029" s="137" t="s">
        <v>24</v>
      </c>
      <c r="G9029" s="128" t="str">
        <f>VLOOKUP(source[[#This Row],[lending_product_transform]],[3]Mapping!$B$4:$C$37,2,0)</f>
        <v>[Cake] - Cashloan</v>
      </c>
      <c r="H9029" s="128" t="str">
        <f>VLOOKUP(source[[#This Row],[lending_product_transform]],[3]Mapping!$B$3:$D$37,3,0)</f>
        <v>cashloan</v>
      </c>
      <c r="I9029" s="143">
        <v>0</v>
      </c>
    </row>
    <row r="9030" spans="1:9" x14ac:dyDescent="0.2">
      <c r="A9030" s="172">
        <v>45912</v>
      </c>
      <c r="B9030" s="135">
        <f>YEAR(source[[#This Row],[report_date]])</f>
        <v>2025</v>
      </c>
      <c r="C9030" s="128">
        <f t="shared" si="421"/>
        <v>9</v>
      </c>
      <c r="D9030" s="136">
        <f t="shared" si="423"/>
        <v>37</v>
      </c>
      <c r="E9030" s="136">
        <f t="shared" si="422"/>
        <v>12</v>
      </c>
      <c r="F9030" s="137" t="s">
        <v>24</v>
      </c>
      <c r="G9030" s="128" t="str">
        <f>VLOOKUP(source[[#This Row],[lending_product_transform]],[3]Mapping!$B$4:$C$37,2,0)</f>
        <v>[Cake] - Cashloan</v>
      </c>
      <c r="H9030" s="128" t="str">
        <f>VLOOKUP(source[[#This Row],[lending_product_transform]],[3]Mapping!$B$3:$D$37,3,0)</f>
        <v>cashloan</v>
      </c>
      <c r="I9030" s="143">
        <v>220400583</v>
      </c>
    </row>
    <row r="9031" spans="1:9" x14ac:dyDescent="0.2">
      <c r="A9031" s="172">
        <v>45912</v>
      </c>
      <c r="B9031" s="135">
        <f>YEAR(source[[#This Row],[report_date]])</f>
        <v>2025</v>
      </c>
      <c r="C9031" s="128">
        <f t="shared" si="421"/>
        <v>9</v>
      </c>
      <c r="D9031" s="136">
        <f t="shared" si="423"/>
        <v>37</v>
      </c>
      <c r="E9031" s="136">
        <f t="shared" si="422"/>
        <v>12</v>
      </c>
      <c r="F9031" s="137" t="s">
        <v>24</v>
      </c>
      <c r="G9031" s="128" t="str">
        <f>VLOOKUP(source[[#This Row],[lending_product_transform]],[3]Mapping!$B$4:$C$37,2,0)</f>
        <v>[Cake] - Cashloan</v>
      </c>
      <c r="H9031" s="128" t="str">
        <f>VLOOKUP(source[[#This Row],[lending_product_transform]],[3]Mapping!$B$3:$D$37,3,0)</f>
        <v>cashloan</v>
      </c>
      <c r="I9031" s="143">
        <v>15207610000</v>
      </c>
    </row>
    <row r="9032" spans="1:9" x14ac:dyDescent="0.2">
      <c r="A9032" s="172">
        <v>45912</v>
      </c>
      <c r="B9032" s="135">
        <f>YEAR(source[[#This Row],[report_date]])</f>
        <v>2025</v>
      </c>
      <c r="C9032" s="128">
        <f t="shared" si="421"/>
        <v>9</v>
      </c>
      <c r="D9032" s="136">
        <f t="shared" si="423"/>
        <v>37</v>
      </c>
      <c r="E9032" s="136">
        <f t="shared" si="422"/>
        <v>12</v>
      </c>
      <c r="F9032" s="137" t="s">
        <v>24</v>
      </c>
      <c r="G9032" s="128" t="str">
        <f>VLOOKUP(source[[#This Row],[lending_product_transform]],[3]Mapping!$B$4:$C$37,2,0)</f>
        <v>[Cake] - Cashloan</v>
      </c>
      <c r="H9032" s="128" t="str">
        <f>VLOOKUP(source[[#This Row],[lending_product_transform]],[3]Mapping!$B$3:$D$37,3,0)</f>
        <v>cashloan</v>
      </c>
      <c r="I9032" s="143">
        <v>2698386806</v>
      </c>
    </row>
    <row r="9033" spans="1:9" x14ac:dyDescent="0.2">
      <c r="A9033" s="172">
        <v>45912</v>
      </c>
      <c r="B9033" s="135">
        <f>YEAR(source[[#This Row],[report_date]])</f>
        <v>2025</v>
      </c>
      <c r="C9033" s="128">
        <f t="shared" si="421"/>
        <v>9</v>
      </c>
      <c r="D9033" s="136">
        <f t="shared" si="423"/>
        <v>37</v>
      </c>
      <c r="E9033" s="136">
        <f t="shared" si="422"/>
        <v>12</v>
      </c>
      <c r="F9033" s="137" t="s">
        <v>24</v>
      </c>
      <c r="G9033" s="128" t="str">
        <f>VLOOKUP(source[[#This Row],[lending_product_transform]],[3]Mapping!$B$4:$C$37,2,0)</f>
        <v>[Cake] - Cashloan</v>
      </c>
      <c r="H9033" s="128" t="str">
        <f>VLOOKUP(source[[#This Row],[lending_product_transform]],[3]Mapping!$B$3:$D$37,3,0)</f>
        <v>cashloan</v>
      </c>
      <c r="I9033" s="143">
        <v>6878844000</v>
      </c>
    </row>
    <row r="9034" spans="1:9" x14ac:dyDescent="0.2">
      <c r="A9034" s="172">
        <v>45912</v>
      </c>
      <c r="B9034" s="135">
        <f>YEAR(source[[#This Row],[report_date]])</f>
        <v>2025</v>
      </c>
      <c r="C9034" s="128">
        <f t="shared" si="421"/>
        <v>9</v>
      </c>
      <c r="D9034" s="136">
        <f t="shared" si="423"/>
        <v>37</v>
      </c>
      <c r="E9034" s="136">
        <f t="shared" si="422"/>
        <v>12</v>
      </c>
      <c r="F9034" s="137" t="s">
        <v>24</v>
      </c>
      <c r="G9034" s="128" t="str">
        <f>VLOOKUP(source[[#This Row],[lending_product_transform]],[3]Mapping!$B$4:$C$37,2,0)</f>
        <v>[Cake] - Cashloan</v>
      </c>
      <c r="H9034" s="128" t="str">
        <f>VLOOKUP(source[[#This Row],[lending_product_transform]],[3]Mapping!$B$3:$D$37,3,0)</f>
        <v>cashloan</v>
      </c>
      <c r="I9034" s="143">
        <v>28448876</v>
      </c>
    </row>
    <row r="9035" spans="1:9" x14ac:dyDescent="0.2">
      <c r="A9035" s="172">
        <v>45912</v>
      </c>
      <c r="B9035" s="135">
        <f>YEAR(source[[#This Row],[report_date]])</f>
        <v>2025</v>
      </c>
      <c r="C9035" s="128">
        <f t="shared" si="421"/>
        <v>9</v>
      </c>
      <c r="D9035" s="136">
        <f t="shared" si="423"/>
        <v>37</v>
      </c>
      <c r="E9035" s="136">
        <f t="shared" si="422"/>
        <v>12</v>
      </c>
      <c r="F9035" s="137" t="s">
        <v>24</v>
      </c>
      <c r="G9035" s="128" t="str">
        <f>VLOOKUP(source[[#This Row],[lending_product_transform]],[3]Mapping!$B$4:$C$37,2,0)</f>
        <v>[Cake] - Cashloan</v>
      </c>
      <c r="H9035" s="128" t="str">
        <f>VLOOKUP(source[[#This Row],[lending_product_transform]],[3]Mapping!$B$3:$D$37,3,0)</f>
        <v>cashloan</v>
      </c>
      <c r="I9035" s="143">
        <v>4220860000</v>
      </c>
    </row>
    <row r="9036" spans="1:9" x14ac:dyDescent="0.2">
      <c r="A9036" s="172">
        <v>45912</v>
      </c>
      <c r="B9036" s="135">
        <f>YEAR(source[[#This Row],[report_date]])</f>
        <v>2025</v>
      </c>
      <c r="C9036" s="128">
        <f t="shared" si="421"/>
        <v>9</v>
      </c>
      <c r="D9036" s="136">
        <f t="shared" si="423"/>
        <v>37</v>
      </c>
      <c r="E9036" s="136">
        <f t="shared" si="422"/>
        <v>12</v>
      </c>
      <c r="F9036" s="137" t="s">
        <v>24</v>
      </c>
      <c r="G9036" s="128" t="str">
        <f>VLOOKUP(source[[#This Row],[lending_product_transform]],[3]Mapping!$B$4:$C$37,2,0)</f>
        <v>[Cake] - Cashloan</v>
      </c>
      <c r="H9036" s="128" t="str">
        <f>VLOOKUP(source[[#This Row],[lending_product_transform]],[3]Mapping!$B$3:$D$37,3,0)</f>
        <v>cashloan</v>
      </c>
      <c r="I9036" s="143">
        <v>18038000</v>
      </c>
    </row>
    <row r="9037" spans="1:9" x14ac:dyDescent="0.2">
      <c r="A9037" s="172">
        <v>45912</v>
      </c>
      <c r="B9037" s="135">
        <f>YEAR(source[[#This Row],[report_date]])</f>
        <v>2025</v>
      </c>
      <c r="C9037" s="128">
        <f t="shared" si="421"/>
        <v>9</v>
      </c>
      <c r="D9037" s="136">
        <f t="shared" si="423"/>
        <v>37</v>
      </c>
      <c r="E9037" s="136">
        <f t="shared" si="422"/>
        <v>12</v>
      </c>
      <c r="F9037" s="137" t="s">
        <v>24</v>
      </c>
      <c r="G9037" s="128" t="str">
        <f>VLOOKUP(source[[#This Row],[lending_product_transform]],[3]Mapping!$B$4:$C$37,2,0)</f>
        <v>[Cake] - Cashloan</v>
      </c>
      <c r="H9037" s="128" t="str">
        <f>VLOOKUP(source[[#This Row],[lending_product_transform]],[3]Mapping!$B$3:$D$37,3,0)</f>
        <v>cashloan</v>
      </c>
      <c r="I9037" s="143">
        <v>383484000</v>
      </c>
    </row>
    <row r="9038" spans="1:9" x14ac:dyDescent="0.2">
      <c r="A9038" s="172">
        <v>45912</v>
      </c>
      <c r="B9038" s="135">
        <f>YEAR(source[[#This Row],[report_date]])</f>
        <v>2025</v>
      </c>
      <c r="C9038" s="128">
        <f t="shared" si="421"/>
        <v>9</v>
      </c>
      <c r="D9038" s="136">
        <f t="shared" si="423"/>
        <v>37</v>
      </c>
      <c r="E9038" s="136">
        <f t="shared" si="422"/>
        <v>12</v>
      </c>
      <c r="F9038" s="137" t="s">
        <v>24</v>
      </c>
      <c r="G9038" s="128" t="str">
        <f>VLOOKUP(source[[#This Row],[lending_product_transform]],[3]Mapping!$B$4:$C$37,2,0)</f>
        <v>[Cake] - Cashloan</v>
      </c>
      <c r="H9038" s="128" t="str">
        <f>VLOOKUP(source[[#This Row],[lending_product_transform]],[3]Mapping!$B$3:$D$37,3,0)</f>
        <v>cashloan</v>
      </c>
      <c r="I9038" s="143">
        <v>0</v>
      </c>
    </row>
    <row r="9039" spans="1:9" x14ac:dyDescent="0.2">
      <c r="A9039" s="172">
        <v>45912</v>
      </c>
      <c r="B9039" s="135">
        <f>YEAR(source[[#This Row],[report_date]])</f>
        <v>2025</v>
      </c>
      <c r="C9039" s="128">
        <f t="shared" si="421"/>
        <v>9</v>
      </c>
      <c r="D9039" s="136">
        <f t="shared" si="423"/>
        <v>37</v>
      </c>
      <c r="E9039" s="136">
        <f t="shared" si="422"/>
        <v>12</v>
      </c>
      <c r="F9039" s="137" t="s">
        <v>24</v>
      </c>
      <c r="G9039" s="128" t="str">
        <f>VLOOKUP(source[[#This Row],[lending_product_transform]],[3]Mapping!$B$4:$C$37,2,0)</f>
        <v>[Cake] - Cashloan</v>
      </c>
      <c r="H9039" s="128" t="str">
        <f>VLOOKUP(source[[#This Row],[lending_product_transform]],[3]Mapping!$B$3:$D$37,3,0)</f>
        <v>cashloan</v>
      </c>
      <c r="I9039" s="143">
        <v>178500000</v>
      </c>
    </row>
    <row r="9040" spans="1:9" x14ac:dyDescent="0.2">
      <c r="A9040" s="172">
        <v>45912</v>
      </c>
      <c r="B9040" s="135">
        <f>YEAR(source[[#This Row],[report_date]])</f>
        <v>2025</v>
      </c>
      <c r="C9040" s="128">
        <f t="shared" si="421"/>
        <v>9</v>
      </c>
      <c r="D9040" s="136">
        <f t="shared" si="423"/>
        <v>37</v>
      </c>
      <c r="E9040" s="136">
        <f t="shared" si="422"/>
        <v>12</v>
      </c>
      <c r="F9040" s="137" t="s">
        <v>24</v>
      </c>
      <c r="G9040" s="128" t="str">
        <f>VLOOKUP(source[[#This Row],[lending_product_transform]],[3]Mapping!$B$4:$C$37,2,0)</f>
        <v>[Cake] - Cashloan</v>
      </c>
      <c r="H9040" s="128" t="str">
        <f>VLOOKUP(source[[#This Row],[lending_product_transform]],[3]Mapping!$B$3:$D$37,3,0)</f>
        <v>cashloan</v>
      </c>
      <c r="I9040" s="143">
        <v>15965090000</v>
      </c>
    </row>
    <row r="9041" spans="1:9" x14ac:dyDescent="0.2">
      <c r="A9041" s="172">
        <v>45912</v>
      </c>
      <c r="B9041" s="135">
        <f>YEAR(source[[#This Row],[report_date]])</f>
        <v>2025</v>
      </c>
      <c r="C9041" s="128">
        <f t="shared" si="421"/>
        <v>9</v>
      </c>
      <c r="D9041" s="136">
        <f t="shared" si="423"/>
        <v>37</v>
      </c>
      <c r="E9041" s="136">
        <f t="shared" si="422"/>
        <v>12</v>
      </c>
      <c r="F9041" s="137" t="s">
        <v>24</v>
      </c>
      <c r="G9041" s="128" t="str">
        <f>VLOOKUP(source[[#This Row],[lending_product_transform]],[3]Mapping!$B$4:$C$37,2,0)</f>
        <v>[Cake] - Cashloan</v>
      </c>
      <c r="H9041" s="128" t="str">
        <f>VLOOKUP(source[[#This Row],[lending_product_transform]],[3]Mapping!$B$3:$D$37,3,0)</f>
        <v>cashloan</v>
      </c>
      <c r="I9041" s="143">
        <v>0</v>
      </c>
    </row>
    <row r="9042" spans="1:9" x14ac:dyDescent="0.2">
      <c r="A9042" s="172">
        <v>45912</v>
      </c>
      <c r="B9042" s="135">
        <f>YEAR(source[[#This Row],[report_date]])</f>
        <v>2025</v>
      </c>
      <c r="C9042" s="128">
        <f t="shared" si="421"/>
        <v>9</v>
      </c>
      <c r="D9042" s="136">
        <f t="shared" si="423"/>
        <v>37</v>
      </c>
      <c r="E9042" s="136">
        <f t="shared" si="422"/>
        <v>12</v>
      </c>
      <c r="F9042" s="137" t="s">
        <v>24</v>
      </c>
      <c r="G9042" s="128" t="str">
        <f>VLOOKUP(source[[#This Row],[lending_product_transform]],[3]Mapping!$B$4:$C$37,2,0)</f>
        <v>[Cake] - Cashloan</v>
      </c>
      <c r="H9042" s="128" t="str">
        <f>VLOOKUP(source[[#This Row],[lending_product_transform]],[3]Mapping!$B$3:$D$37,3,0)</f>
        <v>cashloan</v>
      </c>
      <c r="I9042" s="143">
        <v>0</v>
      </c>
    </row>
    <row r="9043" spans="1:9" x14ac:dyDescent="0.2">
      <c r="A9043" s="172">
        <v>45912</v>
      </c>
      <c r="B9043" s="135">
        <f>YEAR(source[[#This Row],[report_date]])</f>
        <v>2025</v>
      </c>
      <c r="C9043" s="128">
        <f t="shared" si="421"/>
        <v>9</v>
      </c>
      <c r="D9043" s="136">
        <f t="shared" si="423"/>
        <v>37</v>
      </c>
      <c r="E9043" s="136">
        <f t="shared" si="422"/>
        <v>12</v>
      </c>
      <c r="F9043" s="137" t="s">
        <v>24</v>
      </c>
      <c r="G9043" s="128" t="str">
        <f>VLOOKUP(source[[#This Row],[lending_product_transform]],[3]Mapping!$B$4:$C$37,2,0)</f>
        <v>[Cake] - Cashloan</v>
      </c>
      <c r="H9043" s="128" t="str">
        <f>VLOOKUP(source[[#This Row],[lending_product_transform]],[3]Mapping!$B$3:$D$37,3,0)</f>
        <v>cashloan</v>
      </c>
      <c r="I9043" s="143">
        <v>0</v>
      </c>
    </row>
    <row r="9044" spans="1:9" x14ac:dyDescent="0.2">
      <c r="A9044" s="172">
        <v>45912</v>
      </c>
      <c r="B9044" s="135">
        <f>YEAR(source[[#This Row],[report_date]])</f>
        <v>2025</v>
      </c>
      <c r="C9044" s="128">
        <f t="shared" si="421"/>
        <v>9</v>
      </c>
      <c r="D9044" s="136">
        <f t="shared" si="423"/>
        <v>37</v>
      </c>
      <c r="E9044" s="136">
        <f t="shared" si="422"/>
        <v>12</v>
      </c>
      <c r="F9044" s="137" t="s">
        <v>24</v>
      </c>
      <c r="G9044" s="128" t="str">
        <f>VLOOKUP(source[[#This Row],[lending_product_transform]],[3]Mapping!$B$4:$C$37,2,0)</f>
        <v>[Cake] - Cashloan</v>
      </c>
      <c r="H9044" s="128" t="str">
        <f>VLOOKUP(source[[#This Row],[lending_product_transform]],[3]Mapping!$B$3:$D$37,3,0)</f>
        <v>cashloan</v>
      </c>
      <c r="I9044" s="143">
        <v>0</v>
      </c>
    </row>
    <row r="9045" spans="1:9" x14ac:dyDescent="0.2">
      <c r="A9045" s="172">
        <v>45912</v>
      </c>
      <c r="B9045" s="135">
        <f>YEAR(source[[#This Row],[report_date]])</f>
        <v>2025</v>
      </c>
      <c r="C9045" s="128">
        <f t="shared" si="421"/>
        <v>9</v>
      </c>
      <c r="D9045" s="136">
        <f t="shared" si="423"/>
        <v>37</v>
      </c>
      <c r="E9045" s="136">
        <f t="shared" si="422"/>
        <v>12</v>
      </c>
      <c r="F9045" s="137" t="s">
        <v>24</v>
      </c>
      <c r="G9045" s="128" t="str">
        <f>VLOOKUP(source[[#This Row],[lending_product_transform]],[3]Mapping!$B$4:$C$37,2,0)</f>
        <v>[Cake] - Cashloan</v>
      </c>
      <c r="H9045" s="128" t="str">
        <f>VLOOKUP(source[[#This Row],[lending_product_transform]],[3]Mapping!$B$3:$D$37,3,0)</f>
        <v>cashloan</v>
      </c>
      <c r="I9045" s="143">
        <v>9867096000</v>
      </c>
    </row>
    <row r="9046" spans="1:9" x14ac:dyDescent="0.2">
      <c r="A9046" s="172">
        <v>45912</v>
      </c>
      <c r="B9046" s="135">
        <f>YEAR(source[[#This Row],[report_date]])</f>
        <v>2025</v>
      </c>
      <c r="C9046" s="128">
        <f t="shared" si="421"/>
        <v>9</v>
      </c>
      <c r="D9046" s="136">
        <f t="shared" si="423"/>
        <v>37</v>
      </c>
      <c r="E9046" s="136">
        <f t="shared" si="422"/>
        <v>12</v>
      </c>
      <c r="F9046" s="137" t="s">
        <v>24</v>
      </c>
      <c r="G9046" s="128" t="str">
        <f>VLOOKUP(source[[#This Row],[lending_product_transform]],[3]Mapping!$B$4:$C$37,2,0)</f>
        <v>[Cake] - Cashloan</v>
      </c>
      <c r="H9046" s="128" t="str">
        <f>VLOOKUP(source[[#This Row],[lending_product_transform]],[3]Mapping!$B$3:$D$37,3,0)</f>
        <v>cashloan</v>
      </c>
      <c r="I9046" s="143">
        <v>259778314</v>
      </c>
    </row>
    <row r="9047" spans="1:9" x14ac:dyDescent="0.2">
      <c r="A9047" s="172">
        <v>45912</v>
      </c>
      <c r="B9047" s="135">
        <f>YEAR(source[[#This Row],[report_date]])</f>
        <v>2025</v>
      </c>
      <c r="C9047" s="128">
        <f t="shared" si="421"/>
        <v>9</v>
      </c>
      <c r="D9047" s="136">
        <f t="shared" si="423"/>
        <v>37</v>
      </c>
      <c r="E9047" s="136">
        <f t="shared" si="422"/>
        <v>12</v>
      </c>
      <c r="F9047" s="137" t="s">
        <v>24</v>
      </c>
      <c r="G9047" s="128" t="str">
        <f>VLOOKUP(source[[#This Row],[lending_product_transform]],[3]Mapping!$B$4:$C$37,2,0)</f>
        <v>[Cake] - Cashloan</v>
      </c>
      <c r="H9047" s="128" t="str">
        <f>VLOOKUP(source[[#This Row],[lending_product_transform]],[3]Mapping!$B$3:$D$37,3,0)</f>
        <v>cashloan</v>
      </c>
      <c r="I9047" s="143">
        <v>63000000</v>
      </c>
    </row>
    <row r="9048" spans="1:9" x14ac:dyDescent="0.2">
      <c r="A9048" s="172">
        <v>45912</v>
      </c>
      <c r="B9048" s="135">
        <f>YEAR(source[[#This Row],[report_date]])</f>
        <v>2025</v>
      </c>
      <c r="C9048" s="128">
        <f t="shared" si="421"/>
        <v>9</v>
      </c>
      <c r="D9048" s="136">
        <f t="shared" si="423"/>
        <v>37</v>
      </c>
      <c r="E9048" s="136">
        <f t="shared" si="422"/>
        <v>12</v>
      </c>
      <c r="F9048" s="137" t="s">
        <v>24</v>
      </c>
      <c r="G9048" s="128" t="str">
        <f>VLOOKUP(source[[#This Row],[lending_product_transform]],[3]Mapping!$B$4:$C$37,2,0)</f>
        <v>[Cake] - Cashloan</v>
      </c>
      <c r="H9048" s="128" t="str">
        <f>VLOOKUP(source[[#This Row],[lending_product_transform]],[3]Mapping!$B$3:$D$37,3,0)</f>
        <v>cashloan</v>
      </c>
      <c r="I9048" s="143">
        <v>49000000</v>
      </c>
    </row>
    <row r="9049" spans="1:9" x14ac:dyDescent="0.2">
      <c r="A9049" s="172">
        <v>45912</v>
      </c>
      <c r="B9049" s="135">
        <f>YEAR(source[[#This Row],[report_date]])</f>
        <v>2025</v>
      </c>
      <c r="C9049" s="128">
        <f t="shared" si="421"/>
        <v>9</v>
      </c>
      <c r="D9049" s="136">
        <f t="shared" si="423"/>
        <v>37</v>
      </c>
      <c r="E9049" s="136">
        <f t="shared" si="422"/>
        <v>12</v>
      </c>
      <c r="F9049" s="137" t="s">
        <v>24</v>
      </c>
      <c r="G9049" s="128" t="str">
        <f>VLOOKUP(source[[#This Row],[lending_product_transform]],[3]Mapping!$B$4:$C$37,2,0)</f>
        <v>[Cake] - Cashloan</v>
      </c>
      <c r="H9049" s="128" t="str">
        <f>VLOOKUP(source[[#This Row],[lending_product_transform]],[3]Mapping!$B$3:$D$37,3,0)</f>
        <v>cashloan</v>
      </c>
      <c r="I9049" s="143">
        <v>952030000</v>
      </c>
    </row>
    <row r="9050" spans="1:9" x14ac:dyDescent="0.2">
      <c r="A9050" s="172">
        <v>45912</v>
      </c>
      <c r="B9050" s="135">
        <f>YEAR(source[[#This Row],[report_date]])</f>
        <v>2025</v>
      </c>
      <c r="C9050" s="128">
        <f t="shared" si="421"/>
        <v>9</v>
      </c>
      <c r="D9050" s="136">
        <f t="shared" si="423"/>
        <v>37</v>
      </c>
      <c r="E9050" s="136">
        <f t="shared" si="422"/>
        <v>12</v>
      </c>
      <c r="F9050" s="137" t="s">
        <v>24</v>
      </c>
      <c r="G9050" s="128" t="str">
        <f>VLOOKUP(source[[#This Row],[lending_product_transform]],[3]Mapping!$B$4:$C$37,2,0)</f>
        <v>[Cake] - Cashloan</v>
      </c>
      <c r="H9050" s="128" t="str">
        <f>VLOOKUP(source[[#This Row],[lending_product_transform]],[3]Mapping!$B$3:$D$37,3,0)</f>
        <v>cashloan</v>
      </c>
      <c r="I9050" s="143">
        <v>9720000</v>
      </c>
    </row>
    <row r="9051" spans="1:9" x14ac:dyDescent="0.2">
      <c r="A9051" s="172">
        <v>45912</v>
      </c>
      <c r="B9051" s="135">
        <f>YEAR(source[[#This Row],[report_date]])</f>
        <v>2025</v>
      </c>
      <c r="C9051" s="128">
        <f t="shared" si="421"/>
        <v>9</v>
      </c>
      <c r="D9051" s="136">
        <f t="shared" si="423"/>
        <v>37</v>
      </c>
      <c r="E9051" s="136">
        <f t="shared" si="422"/>
        <v>12</v>
      </c>
      <c r="F9051" s="137" t="s">
        <v>24</v>
      </c>
      <c r="G9051" s="128" t="str">
        <f>VLOOKUP(source[[#This Row],[lending_product_transform]],[3]Mapping!$B$4:$C$37,2,0)</f>
        <v>[Cake] - Cashloan</v>
      </c>
      <c r="H9051" s="128" t="str">
        <f>VLOOKUP(source[[#This Row],[lending_product_transform]],[3]Mapping!$B$3:$D$37,3,0)</f>
        <v>cashloan</v>
      </c>
      <c r="I9051" s="143">
        <v>371886559</v>
      </c>
    </row>
    <row r="9052" spans="1:9" x14ac:dyDescent="0.2">
      <c r="A9052" s="172">
        <v>45912</v>
      </c>
      <c r="B9052" s="135">
        <f>YEAR(source[[#This Row],[report_date]])</f>
        <v>2025</v>
      </c>
      <c r="C9052" s="128">
        <f t="shared" si="421"/>
        <v>9</v>
      </c>
      <c r="D9052" s="136">
        <f t="shared" si="423"/>
        <v>37</v>
      </c>
      <c r="E9052" s="136">
        <f t="shared" si="422"/>
        <v>12</v>
      </c>
      <c r="F9052" s="137" t="s">
        <v>24</v>
      </c>
      <c r="G9052" s="128" t="str">
        <f>VLOOKUP(source[[#This Row],[lending_product_transform]],[3]Mapping!$B$4:$C$37,2,0)</f>
        <v>[Cake] - Cashloan</v>
      </c>
      <c r="H9052" s="128" t="str">
        <f>VLOOKUP(source[[#This Row],[lending_product_transform]],[3]Mapping!$B$3:$D$37,3,0)</f>
        <v>cashloan</v>
      </c>
      <c r="I9052" s="143">
        <v>2754130000</v>
      </c>
    </row>
    <row r="9053" spans="1:9" x14ac:dyDescent="0.2">
      <c r="A9053" s="172">
        <v>45913</v>
      </c>
      <c r="B9053" s="135">
        <f>YEAR(source[[#This Row],[report_date]])</f>
        <v>2025</v>
      </c>
      <c r="C9053" s="128">
        <f t="shared" si="421"/>
        <v>9</v>
      </c>
      <c r="D9053" s="136">
        <f t="shared" si="423"/>
        <v>37</v>
      </c>
      <c r="E9053" s="136">
        <f t="shared" si="422"/>
        <v>13</v>
      </c>
      <c r="F9053" s="137" t="s">
        <v>24</v>
      </c>
      <c r="G9053" s="128" t="str">
        <f>VLOOKUP(source[[#This Row],[lending_product_transform]],[3]Mapping!$B$4:$C$37,2,0)</f>
        <v>[Cake] - Cashloan</v>
      </c>
      <c r="H9053" s="128" t="str">
        <f>VLOOKUP(source[[#This Row],[lending_product_transform]],[3]Mapping!$B$3:$D$37,3,0)</f>
        <v>cashloan</v>
      </c>
      <c r="I9053" s="143">
        <v>0</v>
      </c>
    </row>
    <row r="9054" spans="1:9" x14ac:dyDescent="0.2">
      <c r="A9054" s="172">
        <v>45913</v>
      </c>
      <c r="B9054" s="135">
        <f>YEAR(source[[#This Row],[report_date]])</f>
        <v>2025</v>
      </c>
      <c r="C9054" s="128">
        <f t="shared" si="421"/>
        <v>9</v>
      </c>
      <c r="D9054" s="136">
        <f t="shared" si="423"/>
        <v>37</v>
      </c>
      <c r="E9054" s="136">
        <f t="shared" si="422"/>
        <v>13</v>
      </c>
      <c r="F9054" s="137" t="s">
        <v>24</v>
      </c>
      <c r="G9054" s="128" t="str">
        <f>VLOOKUP(source[[#This Row],[lending_product_transform]],[3]Mapping!$B$4:$C$37,2,0)</f>
        <v>[Cake] - Cashloan</v>
      </c>
      <c r="H9054" s="128" t="str">
        <f>VLOOKUP(source[[#This Row],[lending_product_transform]],[3]Mapping!$B$3:$D$37,3,0)</f>
        <v>cashloan</v>
      </c>
      <c r="I9054" s="143">
        <v>239686446</v>
      </c>
    </row>
    <row r="9055" spans="1:9" x14ac:dyDescent="0.2">
      <c r="A9055" s="172">
        <v>45913</v>
      </c>
      <c r="B9055" s="135">
        <f>YEAR(source[[#This Row],[report_date]])</f>
        <v>2025</v>
      </c>
      <c r="C9055" s="128">
        <f t="shared" si="421"/>
        <v>9</v>
      </c>
      <c r="D9055" s="136">
        <f t="shared" si="423"/>
        <v>37</v>
      </c>
      <c r="E9055" s="136">
        <f t="shared" si="422"/>
        <v>13</v>
      </c>
      <c r="F9055" s="137" t="s">
        <v>24</v>
      </c>
      <c r="G9055" s="128" t="str">
        <f>VLOOKUP(source[[#This Row],[lending_product_transform]],[3]Mapping!$B$4:$C$37,2,0)</f>
        <v>[Cake] - Cashloan</v>
      </c>
      <c r="H9055" s="128" t="str">
        <f>VLOOKUP(source[[#This Row],[lending_product_transform]],[3]Mapping!$B$3:$D$37,3,0)</f>
        <v>cashloan</v>
      </c>
      <c r="I9055" s="143">
        <v>15540590000</v>
      </c>
    </row>
    <row r="9056" spans="1:9" x14ac:dyDescent="0.2">
      <c r="A9056" s="172">
        <v>45913</v>
      </c>
      <c r="B9056" s="135">
        <f>YEAR(source[[#This Row],[report_date]])</f>
        <v>2025</v>
      </c>
      <c r="C9056" s="128">
        <f t="shared" si="421"/>
        <v>9</v>
      </c>
      <c r="D9056" s="136">
        <f t="shared" si="423"/>
        <v>37</v>
      </c>
      <c r="E9056" s="136">
        <f t="shared" si="422"/>
        <v>13</v>
      </c>
      <c r="F9056" s="137" t="s">
        <v>24</v>
      </c>
      <c r="G9056" s="128" t="str">
        <f>VLOOKUP(source[[#This Row],[lending_product_transform]],[3]Mapping!$B$4:$C$37,2,0)</f>
        <v>[Cake] - Cashloan</v>
      </c>
      <c r="H9056" s="128" t="str">
        <f>VLOOKUP(source[[#This Row],[lending_product_transform]],[3]Mapping!$B$3:$D$37,3,0)</f>
        <v>cashloan</v>
      </c>
      <c r="I9056" s="143">
        <v>2236905594</v>
      </c>
    </row>
    <row r="9057" spans="1:9" x14ac:dyDescent="0.2">
      <c r="A9057" s="172">
        <v>45913</v>
      </c>
      <c r="B9057" s="135">
        <f>YEAR(source[[#This Row],[report_date]])</f>
        <v>2025</v>
      </c>
      <c r="C9057" s="128">
        <f t="shared" si="421"/>
        <v>9</v>
      </c>
      <c r="D9057" s="136">
        <f t="shared" si="423"/>
        <v>37</v>
      </c>
      <c r="E9057" s="136">
        <f t="shared" si="422"/>
        <v>13</v>
      </c>
      <c r="F9057" s="137" t="s">
        <v>24</v>
      </c>
      <c r="G9057" s="128" t="str">
        <f>VLOOKUP(source[[#This Row],[lending_product_transform]],[3]Mapping!$B$4:$C$37,2,0)</f>
        <v>[Cake] - Cashloan</v>
      </c>
      <c r="H9057" s="128" t="str">
        <f>VLOOKUP(source[[#This Row],[lending_product_transform]],[3]Mapping!$B$3:$D$37,3,0)</f>
        <v>cashloan</v>
      </c>
      <c r="I9057" s="143">
        <v>6368328000</v>
      </c>
    </row>
    <row r="9058" spans="1:9" x14ac:dyDescent="0.2">
      <c r="A9058" s="172">
        <v>45913</v>
      </c>
      <c r="B9058" s="135">
        <f>YEAR(source[[#This Row],[report_date]])</f>
        <v>2025</v>
      </c>
      <c r="C9058" s="128">
        <f t="shared" si="421"/>
        <v>9</v>
      </c>
      <c r="D9058" s="136">
        <f t="shared" si="423"/>
        <v>37</v>
      </c>
      <c r="E9058" s="136">
        <f t="shared" si="422"/>
        <v>13</v>
      </c>
      <c r="F9058" s="137" t="s">
        <v>24</v>
      </c>
      <c r="G9058" s="128" t="str">
        <f>VLOOKUP(source[[#This Row],[lending_product_transform]],[3]Mapping!$B$4:$C$37,2,0)</f>
        <v>[Cake] - Cashloan</v>
      </c>
      <c r="H9058" s="128" t="str">
        <f>VLOOKUP(source[[#This Row],[lending_product_transform]],[3]Mapping!$B$3:$D$37,3,0)</f>
        <v>cashloan</v>
      </c>
      <c r="I9058" s="143">
        <v>12340165</v>
      </c>
    </row>
    <row r="9059" spans="1:9" x14ac:dyDescent="0.2">
      <c r="A9059" s="172">
        <v>45913</v>
      </c>
      <c r="B9059" s="135">
        <f>YEAR(source[[#This Row],[report_date]])</f>
        <v>2025</v>
      </c>
      <c r="C9059" s="128">
        <f t="shared" si="421"/>
        <v>9</v>
      </c>
      <c r="D9059" s="136">
        <f t="shared" si="423"/>
        <v>37</v>
      </c>
      <c r="E9059" s="136">
        <f t="shared" si="422"/>
        <v>13</v>
      </c>
      <c r="F9059" s="137" t="s">
        <v>24</v>
      </c>
      <c r="G9059" s="128" t="str">
        <f>VLOOKUP(source[[#This Row],[lending_product_transform]],[3]Mapping!$B$4:$C$37,2,0)</f>
        <v>[Cake] - Cashloan</v>
      </c>
      <c r="H9059" s="128" t="str">
        <f>VLOOKUP(source[[#This Row],[lending_product_transform]],[3]Mapping!$B$3:$D$37,3,0)</f>
        <v>cashloan</v>
      </c>
      <c r="I9059" s="143">
        <v>3722890000</v>
      </c>
    </row>
    <row r="9060" spans="1:9" x14ac:dyDescent="0.2">
      <c r="A9060" s="172">
        <v>45913</v>
      </c>
      <c r="B9060" s="135">
        <f>YEAR(source[[#This Row],[report_date]])</f>
        <v>2025</v>
      </c>
      <c r="C9060" s="128">
        <f t="shared" si="421"/>
        <v>9</v>
      </c>
      <c r="D9060" s="136">
        <f t="shared" si="423"/>
        <v>37</v>
      </c>
      <c r="E9060" s="136">
        <f t="shared" si="422"/>
        <v>13</v>
      </c>
      <c r="F9060" s="137" t="s">
        <v>24</v>
      </c>
      <c r="G9060" s="128" t="str">
        <f>VLOOKUP(source[[#This Row],[lending_product_transform]],[3]Mapping!$B$4:$C$37,2,0)</f>
        <v>[Cake] - Cashloan</v>
      </c>
      <c r="H9060" s="128" t="str">
        <f>VLOOKUP(source[[#This Row],[lending_product_transform]],[3]Mapping!$B$3:$D$37,3,0)</f>
        <v>cashloan</v>
      </c>
      <c r="I9060" s="143">
        <v>9790000</v>
      </c>
    </row>
    <row r="9061" spans="1:9" x14ac:dyDescent="0.2">
      <c r="A9061" s="172">
        <v>45913</v>
      </c>
      <c r="B9061" s="135">
        <f>YEAR(source[[#This Row],[report_date]])</f>
        <v>2025</v>
      </c>
      <c r="C9061" s="128">
        <f t="shared" si="421"/>
        <v>9</v>
      </c>
      <c r="D9061" s="136">
        <f t="shared" si="423"/>
        <v>37</v>
      </c>
      <c r="E9061" s="136">
        <f t="shared" si="422"/>
        <v>13</v>
      </c>
      <c r="F9061" s="137" t="s">
        <v>24</v>
      </c>
      <c r="G9061" s="128" t="str">
        <f>VLOOKUP(source[[#This Row],[lending_product_transform]],[3]Mapping!$B$4:$C$37,2,0)</f>
        <v>[Cake] - Cashloan</v>
      </c>
      <c r="H9061" s="128" t="str">
        <f>VLOOKUP(source[[#This Row],[lending_product_transform]],[3]Mapping!$B$3:$D$37,3,0)</f>
        <v>cashloan</v>
      </c>
      <c r="I9061" s="143">
        <v>368198500</v>
      </c>
    </row>
    <row r="9062" spans="1:9" x14ac:dyDescent="0.2">
      <c r="A9062" s="172">
        <v>45913</v>
      </c>
      <c r="B9062" s="135">
        <f>YEAR(source[[#This Row],[report_date]])</f>
        <v>2025</v>
      </c>
      <c r="C9062" s="128">
        <f t="shared" si="421"/>
        <v>9</v>
      </c>
      <c r="D9062" s="136">
        <f t="shared" si="423"/>
        <v>37</v>
      </c>
      <c r="E9062" s="136">
        <f t="shared" si="422"/>
        <v>13</v>
      </c>
      <c r="F9062" s="137" t="s">
        <v>24</v>
      </c>
      <c r="G9062" s="128" t="str">
        <f>VLOOKUP(source[[#This Row],[lending_product_transform]],[3]Mapping!$B$4:$C$37,2,0)</f>
        <v>[Cake] - Cashloan</v>
      </c>
      <c r="H9062" s="128" t="str">
        <f>VLOOKUP(source[[#This Row],[lending_product_transform]],[3]Mapping!$B$3:$D$37,3,0)</f>
        <v>cashloan</v>
      </c>
      <c r="I9062" s="143">
        <v>0</v>
      </c>
    </row>
    <row r="9063" spans="1:9" x14ac:dyDescent="0.2">
      <c r="A9063" s="172">
        <v>45913</v>
      </c>
      <c r="B9063" s="135">
        <f>YEAR(source[[#This Row],[report_date]])</f>
        <v>2025</v>
      </c>
      <c r="C9063" s="128">
        <f t="shared" si="421"/>
        <v>9</v>
      </c>
      <c r="D9063" s="136">
        <f t="shared" si="423"/>
        <v>37</v>
      </c>
      <c r="E9063" s="136">
        <f t="shared" si="422"/>
        <v>13</v>
      </c>
      <c r="F9063" s="137" t="s">
        <v>24</v>
      </c>
      <c r="G9063" s="128" t="str">
        <f>VLOOKUP(source[[#This Row],[lending_product_transform]],[3]Mapping!$B$4:$C$37,2,0)</f>
        <v>[Cake] - Cashloan</v>
      </c>
      <c r="H9063" s="128" t="str">
        <f>VLOOKUP(source[[#This Row],[lending_product_transform]],[3]Mapping!$B$3:$D$37,3,0)</f>
        <v>cashloan</v>
      </c>
      <c r="I9063" s="143">
        <v>110250000</v>
      </c>
    </row>
    <row r="9064" spans="1:9" x14ac:dyDescent="0.2">
      <c r="A9064" s="172">
        <v>45913</v>
      </c>
      <c r="B9064" s="135">
        <f>YEAR(source[[#This Row],[report_date]])</f>
        <v>2025</v>
      </c>
      <c r="C9064" s="128">
        <f t="shared" si="421"/>
        <v>9</v>
      </c>
      <c r="D9064" s="136">
        <f t="shared" si="423"/>
        <v>37</v>
      </c>
      <c r="E9064" s="136">
        <f t="shared" si="422"/>
        <v>13</v>
      </c>
      <c r="F9064" s="137" t="s">
        <v>24</v>
      </c>
      <c r="G9064" s="128" t="str">
        <f>VLOOKUP(source[[#This Row],[lending_product_transform]],[3]Mapping!$B$4:$C$37,2,0)</f>
        <v>[Cake] - Cashloan</v>
      </c>
      <c r="H9064" s="128" t="str">
        <f>VLOOKUP(source[[#This Row],[lending_product_transform]],[3]Mapping!$B$3:$D$37,3,0)</f>
        <v>cashloan</v>
      </c>
      <c r="I9064" s="143">
        <v>15612350000</v>
      </c>
    </row>
    <row r="9065" spans="1:9" x14ac:dyDescent="0.2">
      <c r="A9065" s="172">
        <v>45913</v>
      </c>
      <c r="B9065" s="135">
        <f>YEAR(source[[#This Row],[report_date]])</f>
        <v>2025</v>
      </c>
      <c r="C9065" s="128">
        <f t="shared" si="421"/>
        <v>9</v>
      </c>
      <c r="D9065" s="136">
        <f t="shared" si="423"/>
        <v>37</v>
      </c>
      <c r="E9065" s="136">
        <f t="shared" si="422"/>
        <v>13</v>
      </c>
      <c r="F9065" s="137" t="s">
        <v>24</v>
      </c>
      <c r="G9065" s="128" t="str">
        <f>VLOOKUP(source[[#This Row],[lending_product_transform]],[3]Mapping!$B$4:$C$37,2,0)</f>
        <v>[Cake] - Cashloan</v>
      </c>
      <c r="H9065" s="128" t="str">
        <f>VLOOKUP(source[[#This Row],[lending_product_transform]],[3]Mapping!$B$3:$D$37,3,0)</f>
        <v>cashloan</v>
      </c>
      <c r="I9065" s="143">
        <v>0</v>
      </c>
    </row>
    <row r="9066" spans="1:9" x14ac:dyDescent="0.2">
      <c r="A9066" s="172">
        <v>45913</v>
      </c>
      <c r="B9066" s="135">
        <f>YEAR(source[[#This Row],[report_date]])</f>
        <v>2025</v>
      </c>
      <c r="C9066" s="128">
        <f t="shared" si="421"/>
        <v>9</v>
      </c>
      <c r="D9066" s="136">
        <f t="shared" si="423"/>
        <v>37</v>
      </c>
      <c r="E9066" s="136">
        <f t="shared" si="422"/>
        <v>13</v>
      </c>
      <c r="F9066" s="137" t="s">
        <v>24</v>
      </c>
      <c r="G9066" s="128" t="str">
        <f>VLOOKUP(source[[#This Row],[lending_product_transform]],[3]Mapping!$B$4:$C$37,2,0)</f>
        <v>[Cake] - Cashloan</v>
      </c>
      <c r="H9066" s="128" t="str">
        <f>VLOOKUP(source[[#This Row],[lending_product_transform]],[3]Mapping!$B$3:$D$37,3,0)</f>
        <v>cashloan</v>
      </c>
      <c r="I9066" s="143">
        <v>0</v>
      </c>
    </row>
    <row r="9067" spans="1:9" x14ac:dyDescent="0.2">
      <c r="A9067" s="172">
        <v>45913</v>
      </c>
      <c r="B9067" s="135">
        <f>YEAR(source[[#This Row],[report_date]])</f>
        <v>2025</v>
      </c>
      <c r="C9067" s="128">
        <f t="shared" si="421"/>
        <v>9</v>
      </c>
      <c r="D9067" s="136">
        <f t="shared" si="423"/>
        <v>37</v>
      </c>
      <c r="E9067" s="136">
        <f t="shared" si="422"/>
        <v>13</v>
      </c>
      <c r="F9067" s="137" t="s">
        <v>24</v>
      </c>
      <c r="G9067" s="128" t="str">
        <f>VLOOKUP(source[[#This Row],[lending_product_transform]],[3]Mapping!$B$4:$C$37,2,0)</f>
        <v>[Cake] - Cashloan</v>
      </c>
      <c r="H9067" s="128" t="str">
        <f>VLOOKUP(source[[#This Row],[lending_product_transform]],[3]Mapping!$B$3:$D$37,3,0)</f>
        <v>cashloan</v>
      </c>
      <c r="I9067" s="143">
        <v>0</v>
      </c>
    </row>
    <row r="9068" spans="1:9" x14ac:dyDescent="0.2">
      <c r="A9068" s="172">
        <v>45913</v>
      </c>
      <c r="B9068" s="135">
        <f>YEAR(source[[#This Row],[report_date]])</f>
        <v>2025</v>
      </c>
      <c r="C9068" s="128">
        <f t="shared" si="421"/>
        <v>9</v>
      </c>
      <c r="D9068" s="136">
        <f t="shared" si="423"/>
        <v>37</v>
      </c>
      <c r="E9068" s="136">
        <f t="shared" si="422"/>
        <v>13</v>
      </c>
      <c r="F9068" s="137" t="s">
        <v>24</v>
      </c>
      <c r="G9068" s="128" t="str">
        <f>VLOOKUP(source[[#This Row],[lending_product_transform]],[3]Mapping!$B$4:$C$37,2,0)</f>
        <v>[Cake] - Cashloan</v>
      </c>
      <c r="H9068" s="128" t="str">
        <f>VLOOKUP(source[[#This Row],[lending_product_transform]],[3]Mapping!$B$3:$D$37,3,0)</f>
        <v>cashloan</v>
      </c>
      <c r="I9068" s="143">
        <v>0</v>
      </c>
    </row>
    <row r="9069" spans="1:9" x14ac:dyDescent="0.2">
      <c r="A9069" s="172">
        <v>45913</v>
      </c>
      <c r="B9069" s="135">
        <f>YEAR(source[[#This Row],[report_date]])</f>
        <v>2025</v>
      </c>
      <c r="C9069" s="128">
        <f t="shared" si="421"/>
        <v>9</v>
      </c>
      <c r="D9069" s="136">
        <f t="shared" si="423"/>
        <v>37</v>
      </c>
      <c r="E9069" s="136">
        <f t="shared" si="422"/>
        <v>13</v>
      </c>
      <c r="F9069" s="137" t="s">
        <v>24</v>
      </c>
      <c r="G9069" s="128" t="str">
        <f>VLOOKUP(source[[#This Row],[lending_product_transform]],[3]Mapping!$B$4:$C$37,2,0)</f>
        <v>[Cake] - Cashloan</v>
      </c>
      <c r="H9069" s="128" t="str">
        <f>VLOOKUP(source[[#This Row],[lending_product_transform]],[3]Mapping!$B$3:$D$37,3,0)</f>
        <v>cashloan</v>
      </c>
      <c r="I9069" s="143">
        <v>8947476000</v>
      </c>
    </row>
    <row r="9070" spans="1:9" x14ac:dyDescent="0.2">
      <c r="A9070" s="172">
        <v>45913</v>
      </c>
      <c r="B9070" s="135">
        <f>YEAR(source[[#This Row],[report_date]])</f>
        <v>2025</v>
      </c>
      <c r="C9070" s="128">
        <f t="shared" si="421"/>
        <v>9</v>
      </c>
      <c r="D9070" s="136">
        <f t="shared" si="423"/>
        <v>37</v>
      </c>
      <c r="E9070" s="136">
        <f t="shared" si="422"/>
        <v>13</v>
      </c>
      <c r="F9070" s="137" t="s">
        <v>24</v>
      </c>
      <c r="G9070" s="128" t="str">
        <f>VLOOKUP(source[[#This Row],[lending_product_transform]],[3]Mapping!$B$4:$C$37,2,0)</f>
        <v>[Cake] - Cashloan</v>
      </c>
      <c r="H9070" s="128" t="str">
        <f>VLOOKUP(source[[#This Row],[lending_product_transform]],[3]Mapping!$B$3:$D$37,3,0)</f>
        <v>cashloan</v>
      </c>
      <c r="I9070" s="143">
        <v>260955610</v>
      </c>
    </row>
    <row r="9071" spans="1:9" x14ac:dyDescent="0.2">
      <c r="A9071" s="172">
        <v>45913</v>
      </c>
      <c r="B9071" s="135">
        <f>YEAR(source[[#This Row],[report_date]])</f>
        <v>2025</v>
      </c>
      <c r="C9071" s="128">
        <f t="shared" si="421"/>
        <v>9</v>
      </c>
      <c r="D9071" s="136">
        <f t="shared" si="423"/>
        <v>37</v>
      </c>
      <c r="E9071" s="136">
        <f t="shared" si="422"/>
        <v>13</v>
      </c>
      <c r="F9071" s="137" t="s">
        <v>24</v>
      </c>
      <c r="G9071" s="128" t="str">
        <f>VLOOKUP(source[[#This Row],[lending_product_transform]],[3]Mapping!$B$4:$C$37,2,0)</f>
        <v>[Cake] - Cashloan</v>
      </c>
      <c r="H9071" s="128" t="str">
        <f>VLOOKUP(source[[#This Row],[lending_product_transform]],[3]Mapping!$B$3:$D$37,3,0)</f>
        <v>cashloan</v>
      </c>
      <c r="I9071" s="143">
        <v>10500000</v>
      </c>
    </row>
    <row r="9072" spans="1:9" x14ac:dyDescent="0.2">
      <c r="A9072" s="172">
        <v>45913</v>
      </c>
      <c r="B9072" s="135">
        <f>YEAR(source[[#This Row],[report_date]])</f>
        <v>2025</v>
      </c>
      <c r="C9072" s="128">
        <f t="shared" si="421"/>
        <v>9</v>
      </c>
      <c r="D9072" s="136">
        <f t="shared" si="423"/>
        <v>37</v>
      </c>
      <c r="E9072" s="136">
        <f t="shared" si="422"/>
        <v>13</v>
      </c>
      <c r="F9072" s="137" t="s">
        <v>24</v>
      </c>
      <c r="G9072" s="128" t="str">
        <f>VLOOKUP(source[[#This Row],[lending_product_transform]],[3]Mapping!$B$4:$C$37,2,0)</f>
        <v>[Cake] - Cashloan</v>
      </c>
      <c r="H9072" s="128" t="str">
        <f>VLOOKUP(source[[#This Row],[lending_product_transform]],[3]Mapping!$B$3:$D$37,3,0)</f>
        <v>cashloan</v>
      </c>
      <c r="I9072" s="143">
        <v>0</v>
      </c>
    </row>
    <row r="9073" spans="1:9" x14ac:dyDescent="0.2">
      <c r="A9073" s="172">
        <v>45913</v>
      </c>
      <c r="B9073" s="135">
        <f>YEAR(source[[#This Row],[report_date]])</f>
        <v>2025</v>
      </c>
      <c r="C9073" s="128">
        <f t="shared" si="421"/>
        <v>9</v>
      </c>
      <c r="D9073" s="136">
        <f t="shared" si="423"/>
        <v>37</v>
      </c>
      <c r="E9073" s="136">
        <f t="shared" si="422"/>
        <v>13</v>
      </c>
      <c r="F9073" s="137" t="s">
        <v>24</v>
      </c>
      <c r="G9073" s="128" t="str">
        <f>VLOOKUP(source[[#This Row],[lending_product_transform]],[3]Mapping!$B$4:$C$37,2,0)</f>
        <v>[Cake] - Cashloan</v>
      </c>
      <c r="H9073" s="128" t="str">
        <f>VLOOKUP(source[[#This Row],[lending_product_transform]],[3]Mapping!$B$3:$D$37,3,0)</f>
        <v>cashloan</v>
      </c>
      <c r="I9073" s="143">
        <v>635550000</v>
      </c>
    </row>
    <row r="9074" spans="1:9" x14ac:dyDescent="0.2">
      <c r="A9074" s="172">
        <v>45913</v>
      </c>
      <c r="B9074" s="135">
        <f>YEAR(source[[#This Row],[report_date]])</f>
        <v>2025</v>
      </c>
      <c r="C9074" s="128">
        <f t="shared" si="421"/>
        <v>9</v>
      </c>
      <c r="D9074" s="136">
        <f t="shared" si="423"/>
        <v>37</v>
      </c>
      <c r="E9074" s="136">
        <f t="shared" si="422"/>
        <v>13</v>
      </c>
      <c r="F9074" s="137" t="s">
        <v>24</v>
      </c>
      <c r="G9074" s="128" t="str">
        <f>VLOOKUP(source[[#This Row],[lending_product_transform]],[3]Mapping!$B$4:$C$37,2,0)</f>
        <v>[Cake] - Cashloan</v>
      </c>
      <c r="H9074" s="128" t="str">
        <f>VLOOKUP(source[[#This Row],[lending_product_transform]],[3]Mapping!$B$3:$D$37,3,0)</f>
        <v>cashloan</v>
      </c>
      <c r="I9074" s="143">
        <v>0</v>
      </c>
    </row>
    <row r="9075" spans="1:9" x14ac:dyDescent="0.2">
      <c r="A9075" s="172">
        <v>45913</v>
      </c>
      <c r="B9075" s="135">
        <f>YEAR(source[[#This Row],[report_date]])</f>
        <v>2025</v>
      </c>
      <c r="C9075" s="128">
        <f t="shared" si="421"/>
        <v>9</v>
      </c>
      <c r="D9075" s="136">
        <f t="shared" si="423"/>
        <v>37</v>
      </c>
      <c r="E9075" s="136">
        <f t="shared" si="422"/>
        <v>13</v>
      </c>
      <c r="F9075" s="137" t="s">
        <v>24</v>
      </c>
      <c r="G9075" s="128" t="str">
        <f>VLOOKUP(source[[#This Row],[lending_product_transform]],[3]Mapping!$B$4:$C$37,2,0)</f>
        <v>[Cake] - Cashloan</v>
      </c>
      <c r="H9075" s="128" t="str">
        <f>VLOOKUP(source[[#This Row],[lending_product_transform]],[3]Mapping!$B$3:$D$37,3,0)</f>
        <v>cashloan</v>
      </c>
      <c r="I9075" s="143">
        <v>313419094</v>
      </c>
    </row>
    <row r="9076" spans="1:9" x14ac:dyDescent="0.2">
      <c r="A9076" s="172">
        <v>45913</v>
      </c>
      <c r="B9076" s="135">
        <f>YEAR(source[[#This Row],[report_date]])</f>
        <v>2025</v>
      </c>
      <c r="C9076" s="128">
        <f t="shared" si="421"/>
        <v>9</v>
      </c>
      <c r="D9076" s="136">
        <f t="shared" si="423"/>
        <v>37</v>
      </c>
      <c r="E9076" s="136">
        <f t="shared" si="422"/>
        <v>13</v>
      </c>
      <c r="F9076" s="137" t="s">
        <v>24</v>
      </c>
      <c r="G9076" s="128" t="str">
        <f>VLOOKUP(source[[#This Row],[lending_product_transform]],[3]Mapping!$B$4:$C$37,2,0)</f>
        <v>[Cake] - Cashloan</v>
      </c>
      <c r="H9076" s="128" t="str">
        <f>VLOOKUP(source[[#This Row],[lending_product_transform]],[3]Mapping!$B$3:$D$37,3,0)</f>
        <v>cashloan</v>
      </c>
      <c r="I9076" s="143">
        <v>2016080000</v>
      </c>
    </row>
    <row r="9077" spans="1:9" x14ac:dyDescent="0.2">
      <c r="A9077" s="172">
        <v>45914</v>
      </c>
      <c r="B9077" s="135">
        <f>YEAR(source[[#This Row],[report_date]])</f>
        <v>2025</v>
      </c>
      <c r="C9077" s="128">
        <f t="shared" si="421"/>
        <v>9</v>
      </c>
      <c r="D9077" s="136">
        <f t="shared" si="423"/>
        <v>37</v>
      </c>
      <c r="E9077" s="136">
        <f t="shared" si="422"/>
        <v>14</v>
      </c>
      <c r="F9077" s="137" t="s">
        <v>24</v>
      </c>
      <c r="G9077" s="128" t="str">
        <f>VLOOKUP(source[[#This Row],[lending_product_transform]],[3]Mapping!$B$4:$C$37,2,0)</f>
        <v>[Cake] - Cashloan</v>
      </c>
      <c r="H9077" s="128" t="str">
        <f>VLOOKUP(source[[#This Row],[lending_product_transform]],[3]Mapping!$B$3:$D$37,3,0)</f>
        <v>cashloan</v>
      </c>
      <c r="I9077" s="143">
        <v>0</v>
      </c>
    </row>
    <row r="9078" spans="1:9" x14ac:dyDescent="0.2">
      <c r="A9078" s="172">
        <v>45914</v>
      </c>
      <c r="B9078" s="135">
        <f>YEAR(source[[#This Row],[report_date]])</f>
        <v>2025</v>
      </c>
      <c r="C9078" s="128">
        <f t="shared" ref="C9078:C9141" si="424">MONTH(A9078)</f>
        <v>9</v>
      </c>
      <c r="D9078" s="136">
        <f t="shared" si="423"/>
        <v>37</v>
      </c>
      <c r="E9078" s="136">
        <f t="shared" ref="E9078:E9141" si="425">DAY(A9078)</f>
        <v>14</v>
      </c>
      <c r="F9078" s="137" t="s">
        <v>24</v>
      </c>
      <c r="G9078" s="128" t="str">
        <f>VLOOKUP(source[[#This Row],[lending_product_transform]],[3]Mapping!$B$4:$C$37,2,0)</f>
        <v>[Cake] - Cashloan</v>
      </c>
      <c r="H9078" s="128" t="str">
        <f>VLOOKUP(source[[#This Row],[lending_product_transform]],[3]Mapping!$B$3:$D$37,3,0)</f>
        <v>cashloan</v>
      </c>
      <c r="I9078" s="143">
        <v>219805621</v>
      </c>
    </row>
    <row r="9079" spans="1:9" x14ac:dyDescent="0.2">
      <c r="A9079" s="172">
        <v>45914</v>
      </c>
      <c r="B9079" s="135">
        <f>YEAR(source[[#This Row],[report_date]])</f>
        <v>2025</v>
      </c>
      <c r="C9079" s="128">
        <f t="shared" si="424"/>
        <v>9</v>
      </c>
      <c r="D9079" s="136">
        <f t="shared" si="423"/>
        <v>37</v>
      </c>
      <c r="E9079" s="136">
        <f t="shared" si="425"/>
        <v>14</v>
      </c>
      <c r="F9079" s="137" t="s">
        <v>24</v>
      </c>
      <c r="G9079" s="128" t="str">
        <f>VLOOKUP(source[[#This Row],[lending_product_transform]],[3]Mapping!$B$4:$C$37,2,0)</f>
        <v>[Cake] - Cashloan</v>
      </c>
      <c r="H9079" s="128" t="str">
        <f>VLOOKUP(source[[#This Row],[lending_product_transform]],[3]Mapping!$B$3:$D$37,3,0)</f>
        <v>cashloan</v>
      </c>
      <c r="I9079" s="143">
        <v>13353090000</v>
      </c>
    </row>
    <row r="9080" spans="1:9" x14ac:dyDescent="0.2">
      <c r="A9080" s="172">
        <v>45914</v>
      </c>
      <c r="B9080" s="135">
        <f>YEAR(source[[#This Row],[report_date]])</f>
        <v>2025</v>
      </c>
      <c r="C9080" s="128">
        <f t="shared" si="424"/>
        <v>9</v>
      </c>
      <c r="D9080" s="136">
        <f t="shared" si="423"/>
        <v>37</v>
      </c>
      <c r="E9080" s="136">
        <f t="shared" si="425"/>
        <v>14</v>
      </c>
      <c r="F9080" s="137" t="s">
        <v>24</v>
      </c>
      <c r="G9080" s="128" t="str">
        <f>VLOOKUP(source[[#This Row],[lending_product_transform]],[3]Mapping!$B$4:$C$37,2,0)</f>
        <v>[Cake] - Cashloan</v>
      </c>
      <c r="H9080" s="128" t="str">
        <f>VLOOKUP(source[[#This Row],[lending_product_transform]],[3]Mapping!$B$3:$D$37,3,0)</f>
        <v>cashloan</v>
      </c>
      <c r="I9080" s="143">
        <v>2342623577</v>
      </c>
    </row>
    <row r="9081" spans="1:9" x14ac:dyDescent="0.2">
      <c r="A9081" s="172">
        <v>45914</v>
      </c>
      <c r="B9081" s="135">
        <f>YEAR(source[[#This Row],[report_date]])</f>
        <v>2025</v>
      </c>
      <c r="C9081" s="128">
        <f t="shared" si="424"/>
        <v>9</v>
      </c>
      <c r="D9081" s="136">
        <f t="shared" si="423"/>
        <v>37</v>
      </c>
      <c r="E9081" s="136">
        <f t="shared" si="425"/>
        <v>14</v>
      </c>
      <c r="F9081" s="137" t="s">
        <v>24</v>
      </c>
      <c r="G9081" s="128" t="str">
        <f>VLOOKUP(source[[#This Row],[lending_product_transform]],[3]Mapping!$B$4:$C$37,2,0)</f>
        <v>[Cake] - Cashloan</v>
      </c>
      <c r="H9081" s="128" t="str">
        <f>VLOOKUP(source[[#This Row],[lending_product_transform]],[3]Mapping!$B$3:$D$37,3,0)</f>
        <v>cashloan</v>
      </c>
      <c r="I9081" s="143">
        <v>6439500000</v>
      </c>
    </row>
    <row r="9082" spans="1:9" x14ac:dyDescent="0.2">
      <c r="A9082" s="172">
        <v>45914</v>
      </c>
      <c r="B9082" s="135">
        <f>YEAR(source[[#This Row],[report_date]])</f>
        <v>2025</v>
      </c>
      <c r="C9082" s="128">
        <f t="shared" si="424"/>
        <v>9</v>
      </c>
      <c r="D9082" s="136">
        <f t="shared" si="423"/>
        <v>37</v>
      </c>
      <c r="E9082" s="136">
        <f t="shared" si="425"/>
        <v>14</v>
      </c>
      <c r="F9082" s="137" t="s">
        <v>24</v>
      </c>
      <c r="G9082" s="128" t="str">
        <f>VLOOKUP(source[[#This Row],[lending_product_transform]],[3]Mapping!$B$4:$C$37,2,0)</f>
        <v>[Cake] - Cashloan</v>
      </c>
      <c r="H9082" s="128" t="str">
        <f>VLOOKUP(source[[#This Row],[lending_product_transform]],[3]Mapping!$B$3:$D$37,3,0)</f>
        <v>cashloan</v>
      </c>
      <c r="I9082" s="143">
        <v>17030536</v>
      </c>
    </row>
    <row r="9083" spans="1:9" x14ac:dyDescent="0.2">
      <c r="A9083" s="172">
        <v>45914</v>
      </c>
      <c r="B9083" s="135">
        <f>YEAR(source[[#This Row],[report_date]])</f>
        <v>2025</v>
      </c>
      <c r="C9083" s="128">
        <f t="shared" si="424"/>
        <v>9</v>
      </c>
      <c r="D9083" s="136">
        <f t="shared" si="423"/>
        <v>37</v>
      </c>
      <c r="E9083" s="136">
        <f t="shared" si="425"/>
        <v>14</v>
      </c>
      <c r="F9083" s="137" t="s">
        <v>24</v>
      </c>
      <c r="G9083" s="128" t="str">
        <f>VLOOKUP(source[[#This Row],[lending_product_transform]],[3]Mapping!$B$4:$C$37,2,0)</f>
        <v>[Cake] - Cashloan</v>
      </c>
      <c r="H9083" s="128" t="str">
        <f>VLOOKUP(source[[#This Row],[lending_product_transform]],[3]Mapping!$B$3:$D$37,3,0)</f>
        <v>cashloan</v>
      </c>
      <c r="I9083" s="143">
        <v>4398280000</v>
      </c>
    </row>
    <row r="9084" spans="1:9" x14ac:dyDescent="0.2">
      <c r="A9084" s="172">
        <v>45914</v>
      </c>
      <c r="B9084" s="135">
        <f>YEAR(source[[#This Row],[report_date]])</f>
        <v>2025</v>
      </c>
      <c r="C9084" s="128">
        <f t="shared" si="424"/>
        <v>9</v>
      </c>
      <c r="D9084" s="136">
        <f t="shared" si="423"/>
        <v>37</v>
      </c>
      <c r="E9084" s="136">
        <f t="shared" si="425"/>
        <v>14</v>
      </c>
      <c r="F9084" s="137" t="s">
        <v>24</v>
      </c>
      <c r="G9084" s="128" t="str">
        <f>VLOOKUP(source[[#This Row],[lending_product_transform]],[3]Mapping!$B$4:$C$37,2,0)</f>
        <v>[Cake] - Cashloan</v>
      </c>
      <c r="H9084" s="128" t="str">
        <f>VLOOKUP(source[[#This Row],[lending_product_transform]],[3]Mapping!$B$3:$D$37,3,0)</f>
        <v>cashloan</v>
      </c>
      <c r="I9084" s="143">
        <v>25788000</v>
      </c>
    </row>
    <row r="9085" spans="1:9" x14ac:dyDescent="0.2">
      <c r="A9085" s="172">
        <v>45914</v>
      </c>
      <c r="B9085" s="135">
        <f>YEAR(source[[#This Row],[report_date]])</f>
        <v>2025</v>
      </c>
      <c r="C9085" s="128">
        <f t="shared" si="424"/>
        <v>9</v>
      </c>
      <c r="D9085" s="136">
        <f t="shared" si="423"/>
        <v>37</v>
      </c>
      <c r="E9085" s="136">
        <f t="shared" si="425"/>
        <v>14</v>
      </c>
      <c r="F9085" s="137" t="s">
        <v>24</v>
      </c>
      <c r="G9085" s="128" t="str">
        <f>VLOOKUP(source[[#This Row],[lending_product_transform]],[3]Mapping!$B$4:$C$37,2,0)</f>
        <v>[Cake] - Cashloan</v>
      </c>
      <c r="H9085" s="128" t="str">
        <f>VLOOKUP(source[[#This Row],[lending_product_transform]],[3]Mapping!$B$3:$D$37,3,0)</f>
        <v>cashloan</v>
      </c>
      <c r="I9085" s="143">
        <v>440610000</v>
      </c>
    </row>
    <row r="9086" spans="1:9" x14ac:dyDescent="0.2">
      <c r="A9086" s="172">
        <v>45914</v>
      </c>
      <c r="B9086" s="135">
        <f>YEAR(source[[#This Row],[report_date]])</f>
        <v>2025</v>
      </c>
      <c r="C9086" s="128">
        <f t="shared" si="424"/>
        <v>9</v>
      </c>
      <c r="D9086" s="136">
        <f t="shared" si="423"/>
        <v>37</v>
      </c>
      <c r="E9086" s="136">
        <f t="shared" si="425"/>
        <v>14</v>
      </c>
      <c r="F9086" s="137" t="s">
        <v>24</v>
      </c>
      <c r="G9086" s="128" t="str">
        <f>VLOOKUP(source[[#This Row],[lending_product_transform]],[3]Mapping!$B$4:$C$37,2,0)</f>
        <v>[Cake] - Cashloan</v>
      </c>
      <c r="H9086" s="128" t="str">
        <f>VLOOKUP(source[[#This Row],[lending_product_transform]],[3]Mapping!$B$3:$D$37,3,0)</f>
        <v>cashloan</v>
      </c>
      <c r="I9086" s="143">
        <v>0</v>
      </c>
    </row>
    <row r="9087" spans="1:9" x14ac:dyDescent="0.2">
      <c r="A9087" s="172">
        <v>45914</v>
      </c>
      <c r="B9087" s="135">
        <f>YEAR(source[[#This Row],[report_date]])</f>
        <v>2025</v>
      </c>
      <c r="C9087" s="128">
        <f t="shared" si="424"/>
        <v>9</v>
      </c>
      <c r="D9087" s="136">
        <f t="shared" si="423"/>
        <v>37</v>
      </c>
      <c r="E9087" s="136">
        <f t="shared" si="425"/>
        <v>14</v>
      </c>
      <c r="F9087" s="137" t="s">
        <v>24</v>
      </c>
      <c r="G9087" s="128" t="str">
        <f>VLOOKUP(source[[#This Row],[lending_product_transform]],[3]Mapping!$B$4:$C$37,2,0)</f>
        <v>[Cake] - Cashloan</v>
      </c>
      <c r="H9087" s="128" t="str">
        <f>VLOOKUP(source[[#This Row],[lending_product_transform]],[3]Mapping!$B$3:$D$37,3,0)</f>
        <v>cashloan</v>
      </c>
      <c r="I9087" s="143">
        <v>78750000</v>
      </c>
    </row>
    <row r="9088" spans="1:9" x14ac:dyDescent="0.2">
      <c r="A9088" s="172">
        <v>45914</v>
      </c>
      <c r="B9088" s="135">
        <f>YEAR(source[[#This Row],[report_date]])</f>
        <v>2025</v>
      </c>
      <c r="C9088" s="128">
        <f t="shared" si="424"/>
        <v>9</v>
      </c>
      <c r="D9088" s="136">
        <f t="shared" si="423"/>
        <v>37</v>
      </c>
      <c r="E9088" s="136">
        <f t="shared" si="425"/>
        <v>14</v>
      </c>
      <c r="F9088" s="137" t="s">
        <v>24</v>
      </c>
      <c r="G9088" s="128" t="str">
        <f>VLOOKUP(source[[#This Row],[lending_product_transform]],[3]Mapping!$B$4:$C$37,2,0)</f>
        <v>[Cake] - Cashloan</v>
      </c>
      <c r="H9088" s="128" t="str">
        <f>VLOOKUP(source[[#This Row],[lending_product_transform]],[3]Mapping!$B$3:$D$37,3,0)</f>
        <v>cashloan</v>
      </c>
      <c r="I9088" s="143">
        <v>16173830000</v>
      </c>
    </row>
    <row r="9089" spans="1:9" x14ac:dyDescent="0.2">
      <c r="A9089" s="172">
        <v>45914</v>
      </c>
      <c r="B9089" s="135">
        <f>YEAR(source[[#This Row],[report_date]])</f>
        <v>2025</v>
      </c>
      <c r="C9089" s="128">
        <f t="shared" si="424"/>
        <v>9</v>
      </c>
      <c r="D9089" s="136">
        <f t="shared" si="423"/>
        <v>37</v>
      </c>
      <c r="E9089" s="136">
        <f t="shared" si="425"/>
        <v>14</v>
      </c>
      <c r="F9089" s="137" t="s">
        <v>24</v>
      </c>
      <c r="G9089" s="128" t="str">
        <f>VLOOKUP(source[[#This Row],[lending_product_transform]],[3]Mapping!$B$4:$C$37,2,0)</f>
        <v>[Cake] - Cashloan</v>
      </c>
      <c r="H9089" s="128" t="str">
        <f>VLOOKUP(source[[#This Row],[lending_product_transform]],[3]Mapping!$B$3:$D$37,3,0)</f>
        <v>cashloan</v>
      </c>
      <c r="I9089" s="143">
        <v>0</v>
      </c>
    </row>
    <row r="9090" spans="1:9" x14ac:dyDescent="0.2">
      <c r="A9090" s="172">
        <v>45914</v>
      </c>
      <c r="B9090" s="135">
        <f>YEAR(source[[#This Row],[report_date]])</f>
        <v>2025</v>
      </c>
      <c r="C9090" s="128">
        <f t="shared" si="424"/>
        <v>9</v>
      </c>
      <c r="D9090" s="136">
        <f t="shared" si="423"/>
        <v>37</v>
      </c>
      <c r="E9090" s="136">
        <f t="shared" si="425"/>
        <v>14</v>
      </c>
      <c r="F9090" s="137" t="s">
        <v>24</v>
      </c>
      <c r="G9090" s="128" t="str">
        <f>VLOOKUP(source[[#This Row],[lending_product_transform]],[3]Mapping!$B$4:$C$37,2,0)</f>
        <v>[Cake] - Cashloan</v>
      </c>
      <c r="H9090" s="128" t="str">
        <f>VLOOKUP(source[[#This Row],[lending_product_transform]],[3]Mapping!$B$3:$D$37,3,0)</f>
        <v>cashloan</v>
      </c>
      <c r="I9090" s="143">
        <v>0</v>
      </c>
    </row>
    <row r="9091" spans="1:9" x14ac:dyDescent="0.2">
      <c r="A9091" s="172">
        <v>45914</v>
      </c>
      <c r="B9091" s="135">
        <f>YEAR(source[[#This Row],[report_date]])</f>
        <v>2025</v>
      </c>
      <c r="C9091" s="128">
        <f t="shared" si="424"/>
        <v>9</v>
      </c>
      <c r="D9091" s="136">
        <f t="shared" ref="D9091:D9154" si="426">WEEKNUM(A9091,2)</f>
        <v>37</v>
      </c>
      <c r="E9091" s="136">
        <f t="shared" si="425"/>
        <v>14</v>
      </c>
      <c r="F9091" s="137" t="s">
        <v>24</v>
      </c>
      <c r="G9091" s="128" t="str">
        <f>VLOOKUP(source[[#This Row],[lending_product_transform]],[3]Mapping!$B$4:$C$37,2,0)</f>
        <v>[Cake] - Cashloan</v>
      </c>
      <c r="H9091" s="128" t="str">
        <f>VLOOKUP(source[[#This Row],[lending_product_transform]],[3]Mapping!$B$3:$D$37,3,0)</f>
        <v>cashloan</v>
      </c>
      <c r="I9091" s="143">
        <v>0</v>
      </c>
    </row>
    <row r="9092" spans="1:9" x14ac:dyDescent="0.2">
      <c r="A9092" s="172">
        <v>45914</v>
      </c>
      <c r="B9092" s="135">
        <f>YEAR(source[[#This Row],[report_date]])</f>
        <v>2025</v>
      </c>
      <c r="C9092" s="128">
        <f t="shared" si="424"/>
        <v>9</v>
      </c>
      <c r="D9092" s="136">
        <f t="shared" si="426"/>
        <v>37</v>
      </c>
      <c r="E9092" s="136">
        <f t="shared" si="425"/>
        <v>14</v>
      </c>
      <c r="F9092" s="137" t="s">
        <v>24</v>
      </c>
      <c r="G9092" s="128" t="str">
        <f>VLOOKUP(source[[#This Row],[lending_product_transform]],[3]Mapping!$B$4:$C$37,2,0)</f>
        <v>[Cake] - Cashloan</v>
      </c>
      <c r="H9092" s="128" t="str">
        <f>VLOOKUP(source[[#This Row],[lending_product_transform]],[3]Mapping!$B$3:$D$37,3,0)</f>
        <v>cashloan</v>
      </c>
      <c r="I9092" s="143">
        <v>0</v>
      </c>
    </row>
    <row r="9093" spans="1:9" x14ac:dyDescent="0.2">
      <c r="A9093" s="172">
        <v>45914</v>
      </c>
      <c r="B9093" s="135">
        <f>YEAR(source[[#This Row],[report_date]])</f>
        <v>2025</v>
      </c>
      <c r="C9093" s="128">
        <f t="shared" si="424"/>
        <v>9</v>
      </c>
      <c r="D9093" s="136">
        <f t="shared" si="426"/>
        <v>37</v>
      </c>
      <c r="E9093" s="136">
        <f t="shared" si="425"/>
        <v>14</v>
      </c>
      <c r="F9093" s="137" t="s">
        <v>24</v>
      </c>
      <c r="G9093" s="128" t="str">
        <f>VLOOKUP(source[[#This Row],[lending_product_transform]],[3]Mapping!$B$4:$C$37,2,0)</f>
        <v>[Cake] - Cashloan</v>
      </c>
      <c r="H9093" s="128" t="str">
        <f>VLOOKUP(source[[#This Row],[lending_product_transform]],[3]Mapping!$B$3:$D$37,3,0)</f>
        <v>cashloan</v>
      </c>
      <c r="I9093" s="143">
        <v>9027180000</v>
      </c>
    </row>
    <row r="9094" spans="1:9" x14ac:dyDescent="0.2">
      <c r="A9094" s="172">
        <v>45914</v>
      </c>
      <c r="B9094" s="135">
        <f>YEAR(source[[#This Row],[report_date]])</f>
        <v>2025</v>
      </c>
      <c r="C9094" s="128">
        <f t="shared" si="424"/>
        <v>9</v>
      </c>
      <c r="D9094" s="136">
        <f t="shared" si="426"/>
        <v>37</v>
      </c>
      <c r="E9094" s="136">
        <f t="shared" si="425"/>
        <v>14</v>
      </c>
      <c r="F9094" s="137" t="s">
        <v>24</v>
      </c>
      <c r="G9094" s="128" t="str">
        <f>VLOOKUP(source[[#This Row],[lending_product_transform]],[3]Mapping!$B$4:$C$37,2,0)</f>
        <v>[Cake] - Cashloan</v>
      </c>
      <c r="H9094" s="128" t="str">
        <f>VLOOKUP(source[[#This Row],[lending_product_transform]],[3]Mapping!$B$3:$D$37,3,0)</f>
        <v>cashloan</v>
      </c>
      <c r="I9094" s="143">
        <v>274513091</v>
      </c>
    </row>
    <row r="9095" spans="1:9" x14ac:dyDescent="0.2">
      <c r="A9095" s="172">
        <v>45914</v>
      </c>
      <c r="B9095" s="135">
        <f>YEAR(source[[#This Row],[report_date]])</f>
        <v>2025</v>
      </c>
      <c r="C9095" s="128">
        <f t="shared" si="424"/>
        <v>9</v>
      </c>
      <c r="D9095" s="136">
        <f t="shared" si="426"/>
        <v>37</v>
      </c>
      <c r="E9095" s="136">
        <f t="shared" si="425"/>
        <v>14</v>
      </c>
      <c r="F9095" s="137" t="s">
        <v>24</v>
      </c>
      <c r="G9095" s="128" t="str">
        <f>VLOOKUP(source[[#This Row],[lending_product_transform]],[3]Mapping!$B$4:$C$37,2,0)</f>
        <v>[Cake] - Cashloan</v>
      </c>
      <c r="H9095" s="128" t="str">
        <f>VLOOKUP(source[[#This Row],[lending_product_transform]],[3]Mapping!$B$3:$D$37,3,0)</f>
        <v>cashloan</v>
      </c>
      <c r="I9095" s="143">
        <v>10000000</v>
      </c>
    </row>
    <row r="9096" spans="1:9" x14ac:dyDescent="0.2">
      <c r="A9096" s="172">
        <v>45914</v>
      </c>
      <c r="B9096" s="135">
        <f>YEAR(source[[#This Row],[report_date]])</f>
        <v>2025</v>
      </c>
      <c r="C9096" s="128">
        <f t="shared" si="424"/>
        <v>9</v>
      </c>
      <c r="D9096" s="136">
        <f t="shared" si="426"/>
        <v>37</v>
      </c>
      <c r="E9096" s="136">
        <f t="shared" si="425"/>
        <v>14</v>
      </c>
      <c r="F9096" s="137" t="s">
        <v>24</v>
      </c>
      <c r="G9096" s="128" t="str">
        <f>VLOOKUP(source[[#This Row],[lending_product_transform]],[3]Mapping!$B$4:$C$37,2,0)</f>
        <v>[Cake] - Cashloan</v>
      </c>
      <c r="H9096" s="128" t="str">
        <f>VLOOKUP(source[[#This Row],[lending_product_transform]],[3]Mapping!$B$3:$D$37,3,0)</f>
        <v>cashloan</v>
      </c>
      <c r="I9096" s="143">
        <v>34000000</v>
      </c>
    </row>
    <row r="9097" spans="1:9" x14ac:dyDescent="0.2">
      <c r="A9097" s="172">
        <v>45914</v>
      </c>
      <c r="B9097" s="135">
        <f>YEAR(source[[#This Row],[report_date]])</f>
        <v>2025</v>
      </c>
      <c r="C9097" s="128">
        <f t="shared" si="424"/>
        <v>9</v>
      </c>
      <c r="D9097" s="136">
        <f t="shared" si="426"/>
        <v>37</v>
      </c>
      <c r="E9097" s="136">
        <f t="shared" si="425"/>
        <v>14</v>
      </c>
      <c r="F9097" s="137" t="s">
        <v>24</v>
      </c>
      <c r="G9097" s="128" t="str">
        <f>VLOOKUP(source[[#This Row],[lending_product_transform]],[3]Mapping!$B$4:$C$37,2,0)</f>
        <v>[Cake] - Cashloan</v>
      </c>
      <c r="H9097" s="128" t="str">
        <f>VLOOKUP(source[[#This Row],[lending_product_transform]],[3]Mapping!$B$3:$D$37,3,0)</f>
        <v>cashloan</v>
      </c>
      <c r="I9097" s="143">
        <v>561790000</v>
      </c>
    </row>
    <row r="9098" spans="1:9" x14ac:dyDescent="0.2">
      <c r="A9098" s="172">
        <v>45914</v>
      </c>
      <c r="B9098" s="135">
        <f>YEAR(source[[#This Row],[report_date]])</f>
        <v>2025</v>
      </c>
      <c r="C9098" s="128">
        <f t="shared" si="424"/>
        <v>9</v>
      </c>
      <c r="D9098" s="136">
        <f t="shared" si="426"/>
        <v>37</v>
      </c>
      <c r="E9098" s="136">
        <f t="shared" si="425"/>
        <v>14</v>
      </c>
      <c r="F9098" s="137" t="s">
        <v>24</v>
      </c>
      <c r="G9098" s="128" t="str">
        <f>VLOOKUP(source[[#This Row],[lending_product_transform]],[3]Mapping!$B$4:$C$37,2,0)</f>
        <v>[Cake] - Cashloan</v>
      </c>
      <c r="H9098" s="128" t="str">
        <f>VLOOKUP(source[[#This Row],[lending_product_transform]],[3]Mapping!$B$3:$D$37,3,0)</f>
        <v>cashloan</v>
      </c>
      <c r="I9098" s="143">
        <v>0</v>
      </c>
    </row>
    <row r="9099" spans="1:9" x14ac:dyDescent="0.2">
      <c r="A9099" s="172">
        <v>45914</v>
      </c>
      <c r="B9099" s="135">
        <f>YEAR(source[[#This Row],[report_date]])</f>
        <v>2025</v>
      </c>
      <c r="C9099" s="128">
        <f t="shared" si="424"/>
        <v>9</v>
      </c>
      <c r="D9099" s="136">
        <f t="shared" si="426"/>
        <v>37</v>
      </c>
      <c r="E9099" s="136">
        <f t="shared" si="425"/>
        <v>14</v>
      </c>
      <c r="F9099" s="137" t="s">
        <v>24</v>
      </c>
      <c r="G9099" s="128" t="str">
        <f>VLOOKUP(source[[#This Row],[lending_product_transform]],[3]Mapping!$B$4:$C$37,2,0)</f>
        <v>[Cake] - Cashloan</v>
      </c>
      <c r="H9099" s="128" t="str">
        <f>VLOOKUP(source[[#This Row],[lending_product_transform]],[3]Mapping!$B$3:$D$37,3,0)</f>
        <v>cashloan</v>
      </c>
      <c r="I9099" s="143">
        <v>330817276</v>
      </c>
    </row>
    <row r="9100" spans="1:9" x14ac:dyDescent="0.2">
      <c r="A9100" s="172">
        <v>45914</v>
      </c>
      <c r="B9100" s="135">
        <f>YEAR(source[[#This Row],[report_date]])</f>
        <v>2025</v>
      </c>
      <c r="C9100" s="128">
        <f t="shared" si="424"/>
        <v>9</v>
      </c>
      <c r="D9100" s="136">
        <f t="shared" si="426"/>
        <v>37</v>
      </c>
      <c r="E9100" s="136">
        <f t="shared" si="425"/>
        <v>14</v>
      </c>
      <c r="F9100" s="137" t="s">
        <v>24</v>
      </c>
      <c r="G9100" s="128" t="str">
        <f>VLOOKUP(source[[#This Row],[lending_product_transform]],[3]Mapping!$B$4:$C$37,2,0)</f>
        <v>[Cake] - Cashloan</v>
      </c>
      <c r="H9100" s="128" t="str">
        <f>VLOOKUP(source[[#This Row],[lending_product_transform]],[3]Mapping!$B$3:$D$37,3,0)</f>
        <v>cashloan</v>
      </c>
      <c r="I9100" s="143">
        <v>2064840000</v>
      </c>
    </row>
    <row r="9101" spans="1:9" x14ac:dyDescent="0.2">
      <c r="A9101" s="172">
        <v>45915</v>
      </c>
      <c r="B9101" s="135">
        <f>YEAR(source[[#This Row],[report_date]])</f>
        <v>2025</v>
      </c>
      <c r="C9101" s="128">
        <f t="shared" si="424"/>
        <v>9</v>
      </c>
      <c r="D9101" s="136">
        <f t="shared" si="426"/>
        <v>38</v>
      </c>
      <c r="E9101" s="136">
        <f t="shared" si="425"/>
        <v>15</v>
      </c>
      <c r="F9101" s="137" t="s">
        <v>24</v>
      </c>
      <c r="G9101" s="128" t="str">
        <f>VLOOKUP(source[[#This Row],[lending_product_transform]],[3]Mapping!$B$4:$C$37,2,0)</f>
        <v>[Cake] - Cashloan</v>
      </c>
      <c r="H9101" s="128" t="str">
        <f>VLOOKUP(source[[#This Row],[lending_product_transform]],[3]Mapping!$B$3:$D$37,3,0)</f>
        <v>cashloan</v>
      </c>
      <c r="I9101" s="143">
        <v>0</v>
      </c>
    </row>
    <row r="9102" spans="1:9" x14ac:dyDescent="0.2">
      <c r="A9102" s="172">
        <v>45915</v>
      </c>
      <c r="B9102" s="135">
        <f>YEAR(source[[#This Row],[report_date]])</f>
        <v>2025</v>
      </c>
      <c r="C9102" s="128">
        <f t="shared" si="424"/>
        <v>9</v>
      </c>
      <c r="D9102" s="136">
        <f t="shared" si="426"/>
        <v>38</v>
      </c>
      <c r="E9102" s="136">
        <f t="shared" si="425"/>
        <v>15</v>
      </c>
      <c r="F9102" s="137" t="s">
        <v>24</v>
      </c>
      <c r="G9102" s="128" t="str">
        <f>VLOOKUP(source[[#This Row],[lending_product_transform]],[3]Mapping!$B$4:$C$37,2,0)</f>
        <v>[Cake] - Cashloan</v>
      </c>
      <c r="H9102" s="128" t="str">
        <f>VLOOKUP(source[[#This Row],[lending_product_transform]],[3]Mapping!$B$3:$D$37,3,0)</f>
        <v>cashloan</v>
      </c>
      <c r="I9102" s="143">
        <v>249614833</v>
      </c>
    </row>
    <row r="9103" spans="1:9" x14ac:dyDescent="0.2">
      <c r="A9103" s="172">
        <v>45915</v>
      </c>
      <c r="B9103" s="135">
        <f>YEAR(source[[#This Row],[report_date]])</f>
        <v>2025</v>
      </c>
      <c r="C9103" s="128">
        <f t="shared" si="424"/>
        <v>9</v>
      </c>
      <c r="D9103" s="136">
        <f t="shared" si="426"/>
        <v>38</v>
      </c>
      <c r="E9103" s="136">
        <f t="shared" si="425"/>
        <v>15</v>
      </c>
      <c r="F9103" s="137" t="s">
        <v>24</v>
      </c>
      <c r="G9103" s="128" t="str">
        <f>VLOOKUP(source[[#This Row],[lending_product_transform]],[3]Mapping!$B$4:$C$37,2,0)</f>
        <v>[Cake] - Cashloan</v>
      </c>
      <c r="H9103" s="128" t="str">
        <f>VLOOKUP(source[[#This Row],[lending_product_transform]],[3]Mapping!$B$3:$D$37,3,0)</f>
        <v>cashloan</v>
      </c>
      <c r="I9103" s="143">
        <v>17202190000</v>
      </c>
    </row>
    <row r="9104" spans="1:9" x14ac:dyDescent="0.2">
      <c r="A9104" s="172">
        <v>45915</v>
      </c>
      <c r="B9104" s="135">
        <f>YEAR(source[[#This Row],[report_date]])</f>
        <v>2025</v>
      </c>
      <c r="C9104" s="128">
        <f t="shared" si="424"/>
        <v>9</v>
      </c>
      <c r="D9104" s="136">
        <f t="shared" si="426"/>
        <v>38</v>
      </c>
      <c r="E9104" s="136">
        <f t="shared" si="425"/>
        <v>15</v>
      </c>
      <c r="F9104" s="137" t="s">
        <v>24</v>
      </c>
      <c r="G9104" s="128" t="str">
        <f>VLOOKUP(source[[#This Row],[lending_product_transform]],[3]Mapping!$B$4:$C$37,2,0)</f>
        <v>[Cake] - Cashloan</v>
      </c>
      <c r="H9104" s="128" t="str">
        <f>VLOOKUP(source[[#This Row],[lending_product_transform]],[3]Mapping!$B$3:$D$37,3,0)</f>
        <v>cashloan</v>
      </c>
      <c r="I9104" s="143">
        <v>3081162507</v>
      </c>
    </row>
    <row r="9105" spans="1:9" x14ac:dyDescent="0.2">
      <c r="A9105" s="172">
        <v>45915</v>
      </c>
      <c r="B9105" s="135">
        <f>YEAR(source[[#This Row],[report_date]])</f>
        <v>2025</v>
      </c>
      <c r="C9105" s="128">
        <f t="shared" si="424"/>
        <v>9</v>
      </c>
      <c r="D9105" s="136">
        <f t="shared" si="426"/>
        <v>38</v>
      </c>
      <c r="E9105" s="136">
        <f t="shared" si="425"/>
        <v>15</v>
      </c>
      <c r="F9105" s="137" t="s">
        <v>24</v>
      </c>
      <c r="G9105" s="128" t="str">
        <f>VLOOKUP(source[[#This Row],[lending_product_transform]],[3]Mapping!$B$4:$C$37,2,0)</f>
        <v>[Cake] - Cashloan</v>
      </c>
      <c r="H9105" s="128" t="str">
        <f>VLOOKUP(source[[#This Row],[lending_product_transform]],[3]Mapping!$B$3:$D$37,3,0)</f>
        <v>cashloan</v>
      </c>
      <c r="I9105" s="143">
        <v>8291052000</v>
      </c>
    </row>
    <row r="9106" spans="1:9" x14ac:dyDescent="0.2">
      <c r="A9106" s="172">
        <v>45915</v>
      </c>
      <c r="B9106" s="135">
        <f>YEAR(source[[#This Row],[report_date]])</f>
        <v>2025</v>
      </c>
      <c r="C9106" s="128">
        <f t="shared" si="424"/>
        <v>9</v>
      </c>
      <c r="D9106" s="136">
        <f t="shared" si="426"/>
        <v>38</v>
      </c>
      <c r="E9106" s="136">
        <f t="shared" si="425"/>
        <v>15</v>
      </c>
      <c r="F9106" s="137" t="s">
        <v>24</v>
      </c>
      <c r="G9106" s="128" t="str">
        <f>VLOOKUP(source[[#This Row],[lending_product_transform]],[3]Mapping!$B$4:$C$37,2,0)</f>
        <v>[Cake] - Cashloan</v>
      </c>
      <c r="H9106" s="128" t="str">
        <f>VLOOKUP(source[[#This Row],[lending_product_transform]],[3]Mapping!$B$3:$D$37,3,0)</f>
        <v>cashloan</v>
      </c>
      <c r="I9106" s="143">
        <v>30926552</v>
      </c>
    </row>
    <row r="9107" spans="1:9" x14ac:dyDescent="0.2">
      <c r="A9107" s="172">
        <v>45915</v>
      </c>
      <c r="B9107" s="135">
        <f>YEAR(source[[#This Row],[report_date]])</f>
        <v>2025</v>
      </c>
      <c r="C9107" s="128">
        <f t="shared" si="424"/>
        <v>9</v>
      </c>
      <c r="D9107" s="136">
        <f t="shared" si="426"/>
        <v>38</v>
      </c>
      <c r="E9107" s="136">
        <f t="shared" si="425"/>
        <v>15</v>
      </c>
      <c r="F9107" s="137" t="s">
        <v>24</v>
      </c>
      <c r="G9107" s="128" t="str">
        <f>VLOOKUP(source[[#This Row],[lending_product_transform]],[3]Mapping!$B$4:$C$37,2,0)</f>
        <v>[Cake] - Cashloan</v>
      </c>
      <c r="H9107" s="128" t="str">
        <f>VLOOKUP(source[[#This Row],[lending_product_transform]],[3]Mapping!$B$3:$D$37,3,0)</f>
        <v>cashloan</v>
      </c>
      <c r="I9107" s="143">
        <v>4798880000</v>
      </c>
    </row>
    <row r="9108" spans="1:9" x14ac:dyDescent="0.2">
      <c r="A9108" s="172">
        <v>45915</v>
      </c>
      <c r="B9108" s="135">
        <f>YEAR(source[[#This Row],[report_date]])</f>
        <v>2025</v>
      </c>
      <c r="C9108" s="128">
        <f t="shared" si="424"/>
        <v>9</v>
      </c>
      <c r="D9108" s="136">
        <f t="shared" si="426"/>
        <v>38</v>
      </c>
      <c r="E9108" s="136">
        <f t="shared" si="425"/>
        <v>15</v>
      </c>
      <c r="F9108" s="137" t="s">
        <v>24</v>
      </c>
      <c r="G9108" s="128" t="str">
        <f>VLOOKUP(source[[#This Row],[lending_product_transform]],[3]Mapping!$B$4:$C$37,2,0)</f>
        <v>[Cake] - Cashloan</v>
      </c>
      <c r="H9108" s="128" t="str">
        <f>VLOOKUP(source[[#This Row],[lending_product_transform]],[3]Mapping!$B$3:$D$37,3,0)</f>
        <v>cashloan</v>
      </c>
      <c r="I9108" s="143">
        <v>15542000</v>
      </c>
    </row>
    <row r="9109" spans="1:9" x14ac:dyDescent="0.2">
      <c r="A9109" s="172">
        <v>45915</v>
      </c>
      <c r="B9109" s="135">
        <f>YEAR(source[[#This Row],[report_date]])</f>
        <v>2025</v>
      </c>
      <c r="C9109" s="128">
        <f t="shared" si="424"/>
        <v>9</v>
      </c>
      <c r="D9109" s="136">
        <f t="shared" si="426"/>
        <v>38</v>
      </c>
      <c r="E9109" s="136">
        <f t="shared" si="425"/>
        <v>15</v>
      </c>
      <c r="F9109" s="137" t="s">
        <v>24</v>
      </c>
      <c r="G9109" s="128" t="str">
        <f>VLOOKUP(source[[#This Row],[lending_product_transform]],[3]Mapping!$B$4:$C$37,2,0)</f>
        <v>[Cake] - Cashloan</v>
      </c>
      <c r="H9109" s="128" t="str">
        <f>VLOOKUP(source[[#This Row],[lending_product_transform]],[3]Mapping!$B$3:$D$37,3,0)</f>
        <v>cashloan</v>
      </c>
      <c r="I9109" s="143">
        <v>288632000</v>
      </c>
    </row>
    <row r="9110" spans="1:9" x14ac:dyDescent="0.2">
      <c r="A9110" s="172">
        <v>45915</v>
      </c>
      <c r="B9110" s="135">
        <f>YEAR(source[[#This Row],[report_date]])</f>
        <v>2025</v>
      </c>
      <c r="C9110" s="128">
        <f t="shared" si="424"/>
        <v>9</v>
      </c>
      <c r="D9110" s="136">
        <f t="shared" si="426"/>
        <v>38</v>
      </c>
      <c r="E9110" s="136">
        <f t="shared" si="425"/>
        <v>15</v>
      </c>
      <c r="F9110" s="137" t="s">
        <v>24</v>
      </c>
      <c r="G9110" s="128" t="str">
        <f>VLOOKUP(source[[#This Row],[lending_product_transform]],[3]Mapping!$B$4:$C$37,2,0)</f>
        <v>[Cake] - Cashloan</v>
      </c>
      <c r="H9110" s="128" t="str">
        <f>VLOOKUP(source[[#This Row],[lending_product_transform]],[3]Mapping!$B$3:$D$37,3,0)</f>
        <v>cashloan</v>
      </c>
      <c r="I9110" s="143">
        <v>0</v>
      </c>
    </row>
    <row r="9111" spans="1:9" x14ac:dyDescent="0.2">
      <c r="A9111" s="172">
        <v>45915</v>
      </c>
      <c r="B9111" s="135">
        <f>YEAR(source[[#This Row],[report_date]])</f>
        <v>2025</v>
      </c>
      <c r="C9111" s="128">
        <f t="shared" si="424"/>
        <v>9</v>
      </c>
      <c r="D9111" s="136">
        <f t="shared" si="426"/>
        <v>38</v>
      </c>
      <c r="E9111" s="136">
        <f t="shared" si="425"/>
        <v>15</v>
      </c>
      <c r="F9111" s="137" t="s">
        <v>24</v>
      </c>
      <c r="G9111" s="128" t="str">
        <f>VLOOKUP(source[[#This Row],[lending_product_transform]],[3]Mapping!$B$4:$C$37,2,0)</f>
        <v>[Cake] - Cashloan</v>
      </c>
      <c r="H9111" s="128" t="str">
        <f>VLOOKUP(source[[#This Row],[lending_product_transform]],[3]Mapping!$B$3:$D$37,3,0)</f>
        <v>cashloan</v>
      </c>
      <c r="I9111" s="143">
        <v>84000000</v>
      </c>
    </row>
    <row r="9112" spans="1:9" x14ac:dyDescent="0.2">
      <c r="A9112" s="172">
        <v>45915</v>
      </c>
      <c r="B9112" s="135">
        <f>YEAR(source[[#This Row],[report_date]])</f>
        <v>2025</v>
      </c>
      <c r="C9112" s="128">
        <f t="shared" si="424"/>
        <v>9</v>
      </c>
      <c r="D9112" s="136">
        <f t="shared" si="426"/>
        <v>38</v>
      </c>
      <c r="E9112" s="136">
        <f t="shared" si="425"/>
        <v>15</v>
      </c>
      <c r="F9112" s="137" t="s">
        <v>24</v>
      </c>
      <c r="G9112" s="128" t="str">
        <f>VLOOKUP(source[[#This Row],[lending_product_transform]],[3]Mapping!$B$4:$C$37,2,0)</f>
        <v>[Cake] - Cashloan</v>
      </c>
      <c r="H9112" s="128" t="str">
        <f>VLOOKUP(source[[#This Row],[lending_product_transform]],[3]Mapping!$B$3:$D$37,3,0)</f>
        <v>cashloan</v>
      </c>
      <c r="I9112" s="143">
        <v>19777860000</v>
      </c>
    </row>
    <row r="9113" spans="1:9" x14ac:dyDescent="0.2">
      <c r="A9113" s="172">
        <v>45915</v>
      </c>
      <c r="B9113" s="135">
        <f>YEAR(source[[#This Row],[report_date]])</f>
        <v>2025</v>
      </c>
      <c r="C9113" s="128">
        <f t="shared" si="424"/>
        <v>9</v>
      </c>
      <c r="D9113" s="136">
        <f t="shared" si="426"/>
        <v>38</v>
      </c>
      <c r="E9113" s="136">
        <f t="shared" si="425"/>
        <v>15</v>
      </c>
      <c r="F9113" s="137" t="s">
        <v>24</v>
      </c>
      <c r="G9113" s="128" t="str">
        <f>VLOOKUP(source[[#This Row],[lending_product_transform]],[3]Mapping!$B$4:$C$37,2,0)</f>
        <v>[Cake] - Cashloan</v>
      </c>
      <c r="H9113" s="128" t="str">
        <f>VLOOKUP(source[[#This Row],[lending_product_transform]],[3]Mapping!$B$3:$D$37,3,0)</f>
        <v>cashloan</v>
      </c>
      <c r="I9113" s="143">
        <v>0</v>
      </c>
    </row>
    <row r="9114" spans="1:9" x14ac:dyDescent="0.2">
      <c r="A9114" s="172">
        <v>45915</v>
      </c>
      <c r="B9114" s="135">
        <f>YEAR(source[[#This Row],[report_date]])</f>
        <v>2025</v>
      </c>
      <c r="C9114" s="128">
        <f t="shared" si="424"/>
        <v>9</v>
      </c>
      <c r="D9114" s="136">
        <f t="shared" si="426"/>
        <v>38</v>
      </c>
      <c r="E9114" s="136">
        <f t="shared" si="425"/>
        <v>15</v>
      </c>
      <c r="F9114" s="137" t="s">
        <v>24</v>
      </c>
      <c r="G9114" s="128" t="str">
        <f>VLOOKUP(source[[#This Row],[lending_product_transform]],[3]Mapping!$B$4:$C$37,2,0)</f>
        <v>[Cake] - Cashloan</v>
      </c>
      <c r="H9114" s="128" t="str">
        <f>VLOOKUP(source[[#This Row],[lending_product_transform]],[3]Mapping!$B$3:$D$37,3,0)</f>
        <v>cashloan</v>
      </c>
      <c r="I9114" s="143">
        <v>0</v>
      </c>
    </row>
    <row r="9115" spans="1:9" x14ac:dyDescent="0.2">
      <c r="A9115" s="172">
        <v>45915</v>
      </c>
      <c r="B9115" s="135">
        <f>YEAR(source[[#This Row],[report_date]])</f>
        <v>2025</v>
      </c>
      <c r="C9115" s="128">
        <f t="shared" si="424"/>
        <v>9</v>
      </c>
      <c r="D9115" s="136">
        <f t="shared" si="426"/>
        <v>38</v>
      </c>
      <c r="E9115" s="136">
        <f t="shared" si="425"/>
        <v>15</v>
      </c>
      <c r="F9115" s="137" t="s">
        <v>24</v>
      </c>
      <c r="G9115" s="128" t="str">
        <f>VLOOKUP(source[[#This Row],[lending_product_transform]],[3]Mapping!$B$4:$C$37,2,0)</f>
        <v>[Cake] - Cashloan</v>
      </c>
      <c r="H9115" s="128" t="str">
        <f>VLOOKUP(source[[#This Row],[lending_product_transform]],[3]Mapping!$B$3:$D$37,3,0)</f>
        <v>cashloan</v>
      </c>
      <c r="I9115" s="143">
        <v>0</v>
      </c>
    </row>
    <row r="9116" spans="1:9" x14ac:dyDescent="0.2">
      <c r="A9116" s="172">
        <v>45915</v>
      </c>
      <c r="B9116" s="135">
        <f>YEAR(source[[#This Row],[report_date]])</f>
        <v>2025</v>
      </c>
      <c r="C9116" s="128">
        <f t="shared" si="424"/>
        <v>9</v>
      </c>
      <c r="D9116" s="136">
        <f t="shared" si="426"/>
        <v>38</v>
      </c>
      <c r="E9116" s="136">
        <f t="shared" si="425"/>
        <v>15</v>
      </c>
      <c r="F9116" s="137" t="s">
        <v>24</v>
      </c>
      <c r="G9116" s="128" t="str">
        <f>VLOOKUP(source[[#This Row],[lending_product_transform]],[3]Mapping!$B$4:$C$37,2,0)</f>
        <v>[Cake] - Cashloan</v>
      </c>
      <c r="H9116" s="128" t="str">
        <f>VLOOKUP(source[[#This Row],[lending_product_transform]],[3]Mapping!$B$3:$D$37,3,0)</f>
        <v>cashloan</v>
      </c>
      <c r="I9116" s="143">
        <v>0</v>
      </c>
    </row>
    <row r="9117" spans="1:9" x14ac:dyDescent="0.2">
      <c r="A9117" s="172">
        <v>45915</v>
      </c>
      <c r="B9117" s="135">
        <f>YEAR(source[[#This Row],[report_date]])</f>
        <v>2025</v>
      </c>
      <c r="C9117" s="128">
        <f t="shared" si="424"/>
        <v>9</v>
      </c>
      <c r="D9117" s="136">
        <f t="shared" si="426"/>
        <v>38</v>
      </c>
      <c r="E9117" s="136">
        <f t="shared" si="425"/>
        <v>15</v>
      </c>
      <c r="F9117" s="137" t="s">
        <v>24</v>
      </c>
      <c r="G9117" s="128" t="str">
        <f>VLOOKUP(source[[#This Row],[lending_product_transform]],[3]Mapping!$B$4:$C$37,2,0)</f>
        <v>[Cake] - Cashloan</v>
      </c>
      <c r="H9117" s="128" t="str">
        <f>VLOOKUP(source[[#This Row],[lending_product_transform]],[3]Mapping!$B$3:$D$37,3,0)</f>
        <v>cashloan</v>
      </c>
      <c r="I9117" s="143">
        <v>11043756000</v>
      </c>
    </row>
    <row r="9118" spans="1:9" x14ac:dyDescent="0.2">
      <c r="A9118" s="172">
        <v>45915</v>
      </c>
      <c r="B9118" s="135">
        <f>YEAR(source[[#This Row],[report_date]])</f>
        <v>2025</v>
      </c>
      <c r="C9118" s="128">
        <f t="shared" si="424"/>
        <v>9</v>
      </c>
      <c r="D9118" s="136">
        <f t="shared" si="426"/>
        <v>38</v>
      </c>
      <c r="E9118" s="136">
        <f t="shared" si="425"/>
        <v>15</v>
      </c>
      <c r="F9118" s="137" t="s">
        <v>24</v>
      </c>
      <c r="G9118" s="128" t="str">
        <f>VLOOKUP(source[[#This Row],[lending_product_transform]],[3]Mapping!$B$4:$C$37,2,0)</f>
        <v>[Cake] - Cashloan</v>
      </c>
      <c r="H9118" s="128" t="str">
        <f>VLOOKUP(source[[#This Row],[lending_product_transform]],[3]Mapping!$B$3:$D$37,3,0)</f>
        <v>cashloan</v>
      </c>
      <c r="I9118" s="143">
        <v>247534593</v>
      </c>
    </row>
    <row r="9119" spans="1:9" x14ac:dyDescent="0.2">
      <c r="A9119" s="172">
        <v>45915</v>
      </c>
      <c r="B9119" s="135">
        <f>YEAR(source[[#This Row],[report_date]])</f>
        <v>2025</v>
      </c>
      <c r="C9119" s="128">
        <f t="shared" si="424"/>
        <v>9</v>
      </c>
      <c r="D9119" s="136">
        <f t="shared" si="426"/>
        <v>38</v>
      </c>
      <c r="E9119" s="136">
        <f t="shared" si="425"/>
        <v>15</v>
      </c>
      <c r="F9119" s="137" t="s">
        <v>24</v>
      </c>
      <c r="G9119" s="128" t="str">
        <f>VLOOKUP(source[[#This Row],[lending_product_transform]],[3]Mapping!$B$4:$C$37,2,0)</f>
        <v>[Cake] - Cashloan</v>
      </c>
      <c r="H9119" s="128" t="str">
        <f>VLOOKUP(source[[#This Row],[lending_product_transform]],[3]Mapping!$B$3:$D$37,3,0)</f>
        <v>cashloan</v>
      </c>
      <c r="I9119" s="143">
        <v>31500000</v>
      </c>
    </row>
    <row r="9120" spans="1:9" x14ac:dyDescent="0.2">
      <c r="A9120" s="172">
        <v>45915</v>
      </c>
      <c r="B9120" s="135">
        <f>YEAR(source[[#This Row],[report_date]])</f>
        <v>2025</v>
      </c>
      <c r="C9120" s="128">
        <f t="shared" si="424"/>
        <v>9</v>
      </c>
      <c r="D9120" s="136">
        <f t="shared" si="426"/>
        <v>38</v>
      </c>
      <c r="E9120" s="136">
        <f t="shared" si="425"/>
        <v>15</v>
      </c>
      <c r="F9120" s="137" t="s">
        <v>24</v>
      </c>
      <c r="G9120" s="128" t="str">
        <f>VLOOKUP(source[[#This Row],[lending_product_transform]],[3]Mapping!$B$4:$C$37,2,0)</f>
        <v>[Cake] - Cashloan</v>
      </c>
      <c r="H9120" s="128" t="str">
        <f>VLOOKUP(source[[#This Row],[lending_product_transform]],[3]Mapping!$B$3:$D$37,3,0)</f>
        <v>cashloan</v>
      </c>
      <c r="I9120" s="143">
        <v>32000000</v>
      </c>
    </row>
    <row r="9121" spans="1:9" x14ac:dyDescent="0.2">
      <c r="A9121" s="172">
        <v>45915</v>
      </c>
      <c r="B9121" s="135">
        <f>YEAR(source[[#This Row],[report_date]])</f>
        <v>2025</v>
      </c>
      <c r="C9121" s="128">
        <f t="shared" si="424"/>
        <v>9</v>
      </c>
      <c r="D9121" s="136">
        <f t="shared" si="426"/>
        <v>38</v>
      </c>
      <c r="E9121" s="136">
        <f t="shared" si="425"/>
        <v>15</v>
      </c>
      <c r="F9121" s="137" t="s">
        <v>24</v>
      </c>
      <c r="G9121" s="128" t="str">
        <f>VLOOKUP(source[[#This Row],[lending_product_transform]],[3]Mapping!$B$4:$C$37,2,0)</f>
        <v>[Cake] - Cashloan</v>
      </c>
      <c r="H9121" s="128" t="str">
        <f>VLOOKUP(source[[#This Row],[lending_product_transform]],[3]Mapping!$B$3:$D$37,3,0)</f>
        <v>cashloan</v>
      </c>
      <c r="I9121" s="143">
        <v>851430000</v>
      </c>
    </row>
    <row r="9122" spans="1:9" x14ac:dyDescent="0.2">
      <c r="A9122" s="172">
        <v>45915</v>
      </c>
      <c r="B9122" s="135">
        <f>YEAR(source[[#This Row],[report_date]])</f>
        <v>2025</v>
      </c>
      <c r="C9122" s="128">
        <f t="shared" si="424"/>
        <v>9</v>
      </c>
      <c r="D9122" s="136">
        <f t="shared" si="426"/>
        <v>38</v>
      </c>
      <c r="E9122" s="136">
        <f t="shared" si="425"/>
        <v>15</v>
      </c>
      <c r="F9122" s="137" t="s">
        <v>24</v>
      </c>
      <c r="G9122" s="128" t="str">
        <f>VLOOKUP(source[[#This Row],[lending_product_transform]],[3]Mapping!$B$4:$C$37,2,0)</f>
        <v>[Cake] - Cashloan</v>
      </c>
      <c r="H9122" s="128" t="str">
        <f>VLOOKUP(source[[#This Row],[lending_product_transform]],[3]Mapping!$B$3:$D$37,3,0)</f>
        <v>cashloan</v>
      </c>
      <c r="I9122" s="143">
        <v>0</v>
      </c>
    </row>
    <row r="9123" spans="1:9" x14ac:dyDescent="0.2">
      <c r="A9123" s="172">
        <v>45915</v>
      </c>
      <c r="B9123" s="135">
        <f>YEAR(source[[#This Row],[report_date]])</f>
        <v>2025</v>
      </c>
      <c r="C9123" s="128">
        <f t="shared" si="424"/>
        <v>9</v>
      </c>
      <c r="D9123" s="136">
        <f t="shared" si="426"/>
        <v>38</v>
      </c>
      <c r="E9123" s="136">
        <f t="shared" si="425"/>
        <v>15</v>
      </c>
      <c r="F9123" s="137" t="s">
        <v>24</v>
      </c>
      <c r="G9123" s="128" t="str">
        <f>VLOOKUP(source[[#This Row],[lending_product_transform]],[3]Mapping!$B$4:$C$37,2,0)</f>
        <v>[Cake] - Cashloan</v>
      </c>
      <c r="H9123" s="128" t="str">
        <f>VLOOKUP(source[[#This Row],[lending_product_transform]],[3]Mapping!$B$3:$D$37,3,0)</f>
        <v>cashloan</v>
      </c>
      <c r="I9123" s="143">
        <v>328188946</v>
      </c>
    </row>
    <row r="9124" spans="1:9" x14ac:dyDescent="0.2">
      <c r="A9124" s="172">
        <v>45915</v>
      </c>
      <c r="B9124" s="135">
        <f>YEAR(source[[#This Row],[report_date]])</f>
        <v>2025</v>
      </c>
      <c r="C9124" s="128">
        <f t="shared" si="424"/>
        <v>9</v>
      </c>
      <c r="D9124" s="136">
        <f t="shared" si="426"/>
        <v>38</v>
      </c>
      <c r="E9124" s="136">
        <f t="shared" si="425"/>
        <v>15</v>
      </c>
      <c r="F9124" s="137" t="s">
        <v>24</v>
      </c>
      <c r="G9124" s="128" t="str">
        <f>VLOOKUP(source[[#This Row],[lending_product_transform]],[3]Mapping!$B$4:$C$37,2,0)</f>
        <v>[Cake] - Cashloan</v>
      </c>
      <c r="H9124" s="128" t="str">
        <f>VLOOKUP(source[[#This Row],[lending_product_transform]],[3]Mapping!$B$3:$D$37,3,0)</f>
        <v>cashloan</v>
      </c>
      <c r="I9124" s="143">
        <v>2741230000</v>
      </c>
    </row>
    <row r="9125" spans="1:9" x14ac:dyDescent="0.2">
      <c r="A9125" s="172">
        <v>45916</v>
      </c>
      <c r="B9125" s="135">
        <f>YEAR(source[[#This Row],[report_date]])</f>
        <v>2025</v>
      </c>
      <c r="C9125" s="128">
        <f t="shared" si="424"/>
        <v>9</v>
      </c>
      <c r="D9125" s="136">
        <f t="shared" si="426"/>
        <v>38</v>
      </c>
      <c r="E9125" s="136">
        <f t="shared" si="425"/>
        <v>16</v>
      </c>
      <c r="F9125" s="137" t="s">
        <v>24</v>
      </c>
      <c r="G9125" s="128" t="str">
        <f>VLOOKUP(source[[#This Row],[lending_product_transform]],[3]Mapping!$B$4:$C$37,2,0)</f>
        <v>[Cake] - Cashloan</v>
      </c>
      <c r="H9125" s="128" t="str">
        <f>VLOOKUP(source[[#This Row],[lending_product_transform]],[3]Mapping!$B$3:$D$37,3,0)</f>
        <v>cashloan</v>
      </c>
      <c r="I9125" s="143">
        <v>21000000</v>
      </c>
    </row>
    <row r="9126" spans="1:9" x14ac:dyDescent="0.2">
      <c r="A9126" s="172">
        <v>45916</v>
      </c>
      <c r="B9126" s="135">
        <f>YEAR(source[[#This Row],[report_date]])</f>
        <v>2025</v>
      </c>
      <c r="C9126" s="128">
        <f t="shared" si="424"/>
        <v>9</v>
      </c>
      <c r="D9126" s="136">
        <f t="shared" si="426"/>
        <v>38</v>
      </c>
      <c r="E9126" s="136">
        <f t="shared" si="425"/>
        <v>16</v>
      </c>
      <c r="F9126" s="137" t="s">
        <v>24</v>
      </c>
      <c r="G9126" s="128" t="str">
        <f>VLOOKUP(source[[#This Row],[lending_product_transform]],[3]Mapping!$B$4:$C$37,2,0)</f>
        <v>[Cake] - Cashloan</v>
      </c>
      <c r="H9126" s="128" t="str">
        <f>VLOOKUP(source[[#This Row],[lending_product_transform]],[3]Mapping!$B$3:$D$37,3,0)</f>
        <v>cashloan</v>
      </c>
      <c r="I9126" s="143">
        <v>191545830</v>
      </c>
    </row>
    <row r="9127" spans="1:9" x14ac:dyDescent="0.2">
      <c r="A9127" s="172">
        <v>45916</v>
      </c>
      <c r="B9127" s="135">
        <f>YEAR(source[[#This Row],[report_date]])</f>
        <v>2025</v>
      </c>
      <c r="C9127" s="128">
        <f t="shared" si="424"/>
        <v>9</v>
      </c>
      <c r="D9127" s="136">
        <f t="shared" si="426"/>
        <v>38</v>
      </c>
      <c r="E9127" s="136">
        <f t="shared" si="425"/>
        <v>16</v>
      </c>
      <c r="F9127" s="137" t="s">
        <v>24</v>
      </c>
      <c r="G9127" s="128" t="str">
        <f>VLOOKUP(source[[#This Row],[lending_product_transform]],[3]Mapping!$B$4:$C$37,2,0)</f>
        <v>[Cake] - Cashloan</v>
      </c>
      <c r="H9127" s="128" t="str">
        <f>VLOOKUP(source[[#This Row],[lending_product_transform]],[3]Mapping!$B$3:$D$37,3,0)</f>
        <v>cashloan</v>
      </c>
      <c r="I9127" s="143">
        <v>16348740000</v>
      </c>
    </row>
    <row r="9128" spans="1:9" x14ac:dyDescent="0.2">
      <c r="A9128" s="172">
        <v>45916</v>
      </c>
      <c r="B9128" s="135">
        <f>YEAR(source[[#This Row],[report_date]])</f>
        <v>2025</v>
      </c>
      <c r="C9128" s="128">
        <f t="shared" si="424"/>
        <v>9</v>
      </c>
      <c r="D9128" s="136">
        <f t="shared" si="426"/>
        <v>38</v>
      </c>
      <c r="E9128" s="136">
        <f t="shared" si="425"/>
        <v>16</v>
      </c>
      <c r="F9128" s="137" t="s">
        <v>24</v>
      </c>
      <c r="G9128" s="128" t="str">
        <f>VLOOKUP(source[[#This Row],[lending_product_transform]],[3]Mapping!$B$4:$C$37,2,0)</f>
        <v>[Cake] - Cashloan</v>
      </c>
      <c r="H9128" s="128" t="str">
        <f>VLOOKUP(source[[#This Row],[lending_product_transform]],[3]Mapping!$B$3:$D$37,3,0)</f>
        <v>cashloan</v>
      </c>
      <c r="I9128" s="143">
        <v>2838285293</v>
      </c>
    </row>
    <row r="9129" spans="1:9" x14ac:dyDescent="0.2">
      <c r="A9129" s="172">
        <v>45916</v>
      </c>
      <c r="B9129" s="135">
        <f>YEAR(source[[#This Row],[report_date]])</f>
        <v>2025</v>
      </c>
      <c r="C9129" s="128">
        <f t="shared" si="424"/>
        <v>9</v>
      </c>
      <c r="D9129" s="136">
        <f t="shared" si="426"/>
        <v>38</v>
      </c>
      <c r="E9129" s="136">
        <f t="shared" si="425"/>
        <v>16</v>
      </c>
      <c r="F9129" s="137" t="s">
        <v>24</v>
      </c>
      <c r="G9129" s="128" t="str">
        <f>VLOOKUP(source[[#This Row],[lending_product_transform]],[3]Mapping!$B$4:$C$37,2,0)</f>
        <v>[Cake] - Cashloan</v>
      </c>
      <c r="H9129" s="128" t="str">
        <f>VLOOKUP(source[[#This Row],[lending_product_transform]],[3]Mapping!$B$3:$D$37,3,0)</f>
        <v>cashloan</v>
      </c>
      <c r="I9129" s="143">
        <v>7494120000</v>
      </c>
    </row>
    <row r="9130" spans="1:9" x14ac:dyDescent="0.2">
      <c r="A9130" s="172">
        <v>45916</v>
      </c>
      <c r="B9130" s="135">
        <f>YEAR(source[[#This Row],[report_date]])</f>
        <v>2025</v>
      </c>
      <c r="C9130" s="128">
        <f t="shared" si="424"/>
        <v>9</v>
      </c>
      <c r="D9130" s="136">
        <f t="shared" si="426"/>
        <v>38</v>
      </c>
      <c r="E9130" s="136">
        <f t="shared" si="425"/>
        <v>16</v>
      </c>
      <c r="F9130" s="137" t="s">
        <v>24</v>
      </c>
      <c r="G9130" s="128" t="str">
        <f>VLOOKUP(source[[#This Row],[lending_product_transform]],[3]Mapping!$B$4:$C$37,2,0)</f>
        <v>[Cake] - Cashloan</v>
      </c>
      <c r="H9130" s="128" t="str">
        <f>VLOOKUP(source[[#This Row],[lending_product_transform]],[3]Mapping!$B$3:$D$37,3,0)</f>
        <v>cashloan</v>
      </c>
      <c r="I9130" s="143">
        <v>21212451</v>
      </c>
    </row>
    <row r="9131" spans="1:9" x14ac:dyDescent="0.2">
      <c r="A9131" s="172">
        <v>45916</v>
      </c>
      <c r="B9131" s="135">
        <f>YEAR(source[[#This Row],[report_date]])</f>
        <v>2025</v>
      </c>
      <c r="C9131" s="128">
        <f t="shared" si="424"/>
        <v>9</v>
      </c>
      <c r="D9131" s="136">
        <f t="shared" si="426"/>
        <v>38</v>
      </c>
      <c r="E9131" s="136">
        <f t="shared" si="425"/>
        <v>16</v>
      </c>
      <c r="F9131" s="137" t="s">
        <v>24</v>
      </c>
      <c r="G9131" s="128" t="str">
        <f>VLOOKUP(source[[#This Row],[lending_product_transform]],[3]Mapping!$B$4:$C$37,2,0)</f>
        <v>[Cake] - Cashloan</v>
      </c>
      <c r="H9131" s="128" t="str">
        <f>VLOOKUP(source[[#This Row],[lending_product_transform]],[3]Mapping!$B$3:$D$37,3,0)</f>
        <v>cashloan</v>
      </c>
      <c r="I9131" s="143">
        <v>3972180000</v>
      </c>
    </row>
    <row r="9132" spans="1:9" x14ac:dyDescent="0.2">
      <c r="A9132" s="172">
        <v>45916</v>
      </c>
      <c r="B9132" s="135">
        <f>YEAR(source[[#This Row],[report_date]])</f>
        <v>2025</v>
      </c>
      <c r="C9132" s="128">
        <f t="shared" si="424"/>
        <v>9</v>
      </c>
      <c r="D9132" s="136">
        <f t="shared" si="426"/>
        <v>38</v>
      </c>
      <c r="E9132" s="136">
        <f t="shared" si="425"/>
        <v>16</v>
      </c>
      <c r="F9132" s="137" t="s">
        <v>24</v>
      </c>
      <c r="G9132" s="128" t="str">
        <f>VLOOKUP(source[[#This Row],[lending_product_transform]],[3]Mapping!$B$4:$C$37,2,0)</f>
        <v>[Cake] - Cashloan</v>
      </c>
      <c r="H9132" s="128" t="str">
        <f>VLOOKUP(source[[#This Row],[lending_product_transform]],[3]Mapping!$B$3:$D$37,3,0)</f>
        <v>cashloan</v>
      </c>
      <c r="I9132" s="143">
        <v>11908000</v>
      </c>
    </row>
    <row r="9133" spans="1:9" x14ac:dyDescent="0.2">
      <c r="A9133" s="172">
        <v>45916</v>
      </c>
      <c r="B9133" s="135">
        <f>YEAR(source[[#This Row],[report_date]])</f>
        <v>2025</v>
      </c>
      <c r="C9133" s="128">
        <f t="shared" si="424"/>
        <v>9</v>
      </c>
      <c r="D9133" s="136">
        <f t="shared" si="426"/>
        <v>38</v>
      </c>
      <c r="E9133" s="136">
        <f t="shared" si="425"/>
        <v>16</v>
      </c>
      <c r="F9133" s="137" t="s">
        <v>24</v>
      </c>
      <c r="G9133" s="128" t="str">
        <f>VLOOKUP(source[[#This Row],[lending_product_transform]],[3]Mapping!$B$4:$C$37,2,0)</f>
        <v>[Cake] - Cashloan</v>
      </c>
      <c r="H9133" s="128" t="str">
        <f>VLOOKUP(source[[#This Row],[lending_product_transform]],[3]Mapping!$B$3:$D$37,3,0)</f>
        <v>cashloan</v>
      </c>
      <c r="I9133" s="143">
        <v>353240000</v>
      </c>
    </row>
    <row r="9134" spans="1:9" x14ac:dyDescent="0.2">
      <c r="A9134" s="172">
        <v>45916</v>
      </c>
      <c r="B9134" s="135">
        <f>YEAR(source[[#This Row],[report_date]])</f>
        <v>2025</v>
      </c>
      <c r="C9134" s="128">
        <f t="shared" si="424"/>
        <v>9</v>
      </c>
      <c r="D9134" s="136">
        <f t="shared" si="426"/>
        <v>38</v>
      </c>
      <c r="E9134" s="136">
        <f t="shared" si="425"/>
        <v>16</v>
      </c>
      <c r="F9134" s="137" t="s">
        <v>24</v>
      </c>
      <c r="G9134" s="128" t="str">
        <f>VLOOKUP(source[[#This Row],[lending_product_transform]],[3]Mapping!$B$4:$C$37,2,0)</f>
        <v>[Cake] - Cashloan</v>
      </c>
      <c r="H9134" s="128" t="str">
        <f>VLOOKUP(source[[#This Row],[lending_product_transform]],[3]Mapping!$B$3:$D$37,3,0)</f>
        <v>cashloan</v>
      </c>
      <c r="I9134" s="143">
        <v>0</v>
      </c>
    </row>
    <row r="9135" spans="1:9" x14ac:dyDescent="0.2">
      <c r="A9135" s="172">
        <v>45916</v>
      </c>
      <c r="B9135" s="135">
        <f>YEAR(source[[#This Row],[report_date]])</f>
        <v>2025</v>
      </c>
      <c r="C9135" s="128">
        <f t="shared" si="424"/>
        <v>9</v>
      </c>
      <c r="D9135" s="136">
        <f t="shared" si="426"/>
        <v>38</v>
      </c>
      <c r="E9135" s="136">
        <f t="shared" si="425"/>
        <v>16</v>
      </c>
      <c r="F9135" s="137" t="s">
        <v>24</v>
      </c>
      <c r="G9135" s="128" t="str">
        <f>VLOOKUP(source[[#This Row],[lending_product_transform]],[3]Mapping!$B$4:$C$37,2,0)</f>
        <v>[Cake] - Cashloan</v>
      </c>
      <c r="H9135" s="128" t="str">
        <f>VLOOKUP(source[[#This Row],[lending_product_transform]],[3]Mapping!$B$3:$D$37,3,0)</f>
        <v>cashloan</v>
      </c>
      <c r="I9135" s="143">
        <v>144500000</v>
      </c>
    </row>
    <row r="9136" spans="1:9" x14ac:dyDescent="0.2">
      <c r="A9136" s="172">
        <v>45916</v>
      </c>
      <c r="B9136" s="135">
        <f>YEAR(source[[#This Row],[report_date]])</f>
        <v>2025</v>
      </c>
      <c r="C9136" s="128">
        <f t="shared" si="424"/>
        <v>9</v>
      </c>
      <c r="D9136" s="136">
        <f t="shared" si="426"/>
        <v>38</v>
      </c>
      <c r="E9136" s="136">
        <f t="shared" si="425"/>
        <v>16</v>
      </c>
      <c r="F9136" s="137" t="s">
        <v>24</v>
      </c>
      <c r="G9136" s="128" t="str">
        <f>VLOOKUP(source[[#This Row],[lending_product_transform]],[3]Mapping!$B$4:$C$37,2,0)</f>
        <v>[Cake] - Cashloan</v>
      </c>
      <c r="H9136" s="128" t="str">
        <f>VLOOKUP(source[[#This Row],[lending_product_transform]],[3]Mapping!$B$3:$D$37,3,0)</f>
        <v>cashloan</v>
      </c>
      <c r="I9136" s="143">
        <v>17955450000</v>
      </c>
    </row>
    <row r="9137" spans="1:9" x14ac:dyDescent="0.2">
      <c r="A9137" s="172">
        <v>45916</v>
      </c>
      <c r="B9137" s="135">
        <f>YEAR(source[[#This Row],[report_date]])</f>
        <v>2025</v>
      </c>
      <c r="C9137" s="128">
        <f t="shared" si="424"/>
        <v>9</v>
      </c>
      <c r="D9137" s="136">
        <f t="shared" si="426"/>
        <v>38</v>
      </c>
      <c r="E9137" s="136">
        <f t="shared" si="425"/>
        <v>16</v>
      </c>
      <c r="F9137" s="137" t="s">
        <v>24</v>
      </c>
      <c r="G9137" s="128" t="str">
        <f>VLOOKUP(source[[#This Row],[lending_product_transform]],[3]Mapping!$B$4:$C$37,2,0)</f>
        <v>[Cake] - Cashloan</v>
      </c>
      <c r="H9137" s="128" t="str">
        <f>VLOOKUP(source[[#This Row],[lending_product_transform]],[3]Mapping!$B$3:$D$37,3,0)</f>
        <v>cashloan</v>
      </c>
      <c r="I9137" s="143">
        <v>0</v>
      </c>
    </row>
    <row r="9138" spans="1:9" x14ac:dyDescent="0.2">
      <c r="A9138" s="172">
        <v>45916</v>
      </c>
      <c r="B9138" s="135">
        <f>YEAR(source[[#This Row],[report_date]])</f>
        <v>2025</v>
      </c>
      <c r="C9138" s="128">
        <f t="shared" si="424"/>
        <v>9</v>
      </c>
      <c r="D9138" s="136">
        <f t="shared" si="426"/>
        <v>38</v>
      </c>
      <c r="E9138" s="136">
        <f t="shared" si="425"/>
        <v>16</v>
      </c>
      <c r="F9138" s="137" t="s">
        <v>24</v>
      </c>
      <c r="G9138" s="128" t="str">
        <f>VLOOKUP(source[[#This Row],[lending_product_transform]],[3]Mapping!$B$4:$C$37,2,0)</f>
        <v>[Cake] - Cashloan</v>
      </c>
      <c r="H9138" s="128" t="str">
        <f>VLOOKUP(source[[#This Row],[lending_product_transform]],[3]Mapping!$B$3:$D$37,3,0)</f>
        <v>cashloan</v>
      </c>
      <c r="I9138" s="143">
        <v>0</v>
      </c>
    </row>
    <row r="9139" spans="1:9" x14ac:dyDescent="0.2">
      <c r="A9139" s="172">
        <v>45916</v>
      </c>
      <c r="B9139" s="135">
        <f>YEAR(source[[#This Row],[report_date]])</f>
        <v>2025</v>
      </c>
      <c r="C9139" s="128">
        <f t="shared" si="424"/>
        <v>9</v>
      </c>
      <c r="D9139" s="136">
        <f t="shared" si="426"/>
        <v>38</v>
      </c>
      <c r="E9139" s="136">
        <f t="shared" si="425"/>
        <v>16</v>
      </c>
      <c r="F9139" s="137" t="s">
        <v>24</v>
      </c>
      <c r="G9139" s="128" t="str">
        <f>VLOOKUP(source[[#This Row],[lending_product_transform]],[3]Mapping!$B$4:$C$37,2,0)</f>
        <v>[Cake] - Cashloan</v>
      </c>
      <c r="H9139" s="128" t="str">
        <f>VLOOKUP(source[[#This Row],[lending_product_transform]],[3]Mapping!$B$3:$D$37,3,0)</f>
        <v>cashloan</v>
      </c>
      <c r="I9139" s="143">
        <v>0</v>
      </c>
    </row>
    <row r="9140" spans="1:9" x14ac:dyDescent="0.2">
      <c r="A9140" s="172">
        <v>45916</v>
      </c>
      <c r="B9140" s="135">
        <f>YEAR(source[[#This Row],[report_date]])</f>
        <v>2025</v>
      </c>
      <c r="C9140" s="128">
        <f t="shared" si="424"/>
        <v>9</v>
      </c>
      <c r="D9140" s="136">
        <f t="shared" si="426"/>
        <v>38</v>
      </c>
      <c r="E9140" s="136">
        <f t="shared" si="425"/>
        <v>16</v>
      </c>
      <c r="F9140" s="137" t="s">
        <v>24</v>
      </c>
      <c r="G9140" s="128" t="str">
        <f>VLOOKUP(source[[#This Row],[lending_product_transform]],[3]Mapping!$B$4:$C$37,2,0)</f>
        <v>[Cake] - Cashloan</v>
      </c>
      <c r="H9140" s="128" t="str">
        <f>VLOOKUP(source[[#This Row],[lending_product_transform]],[3]Mapping!$B$3:$D$37,3,0)</f>
        <v>cashloan</v>
      </c>
      <c r="I9140" s="143">
        <v>0</v>
      </c>
    </row>
    <row r="9141" spans="1:9" x14ac:dyDescent="0.2">
      <c r="A9141" s="172">
        <v>45916</v>
      </c>
      <c r="B9141" s="135">
        <f>YEAR(source[[#This Row],[report_date]])</f>
        <v>2025</v>
      </c>
      <c r="C9141" s="128">
        <f t="shared" si="424"/>
        <v>9</v>
      </c>
      <c r="D9141" s="136">
        <f t="shared" si="426"/>
        <v>38</v>
      </c>
      <c r="E9141" s="136">
        <f t="shared" si="425"/>
        <v>16</v>
      </c>
      <c r="F9141" s="137" t="s">
        <v>24</v>
      </c>
      <c r="G9141" s="128" t="str">
        <f>VLOOKUP(source[[#This Row],[lending_product_transform]],[3]Mapping!$B$4:$C$37,2,0)</f>
        <v>[Cake] - Cashloan</v>
      </c>
      <c r="H9141" s="128" t="str">
        <f>VLOOKUP(source[[#This Row],[lending_product_transform]],[3]Mapping!$B$3:$D$37,3,0)</f>
        <v>cashloan</v>
      </c>
      <c r="I9141" s="143">
        <v>9841824000</v>
      </c>
    </row>
    <row r="9142" spans="1:9" x14ac:dyDescent="0.2">
      <c r="A9142" s="172">
        <v>45916</v>
      </c>
      <c r="B9142" s="135">
        <f>YEAR(source[[#This Row],[report_date]])</f>
        <v>2025</v>
      </c>
      <c r="C9142" s="128">
        <f t="shared" ref="C9142:C9205" si="427">MONTH(A9142)</f>
        <v>9</v>
      </c>
      <c r="D9142" s="136">
        <f t="shared" si="426"/>
        <v>38</v>
      </c>
      <c r="E9142" s="136">
        <f t="shared" ref="E9142:E9205" si="428">DAY(A9142)</f>
        <v>16</v>
      </c>
      <c r="F9142" s="137" t="s">
        <v>24</v>
      </c>
      <c r="G9142" s="128" t="str">
        <f>VLOOKUP(source[[#This Row],[lending_product_transform]],[3]Mapping!$B$4:$C$37,2,0)</f>
        <v>[Cake] - Cashloan</v>
      </c>
      <c r="H9142" s="128" t="str">
        <f>VLOOKUP(source[[#This Row],[lending_product_transform]],[3]Mapping!$B$3:$D$37,3,0)</f>
        <v>cashloan</v>
      </c>
      <c r="I9142" s="143">
        <v>219595886</v>
      </c>
    </row>
    <row r="9143" spans="1:9" x14ac:dyDescent="0.2">
      <c r="A9143" s="172">
        <v>45916</v>
      </c>
      <c r="B9143" s="135">
        <f>YEAR(source[[#This Row],[report_date]])</f>
        <v>2025</v>
      </c>
      <c r="C9143" s="128">
        <f t="shared" si="427"/>
        <v>9</v>
      </c>
      <c r="D9143" s="136">
        <f t="shared" si="426"/>
        <v>38</v>
      </c>
      <c r="E9143" s="136">
        <f t="shared" si="428"/>
        <v>16</v>
      </c>
      <c r="F9143" s="137" t="s">
        <v>24</v>
      </c>
      <c r="G9143" s="128" t="str">
        <f>VLOOKUP(source[[#This Row],[lending_product_transform]],[3]Mapping!$B$4:$C$37,2,0)</f>
        <v>[Cake] - Cashloan</v>
      </c>
      <c r="H9143" s="128" t="str">
        <f>VLOOKUP(source[[#This Row],[lending_product_transform]],[3]Mapping!$B$3:$D$37,3,0)</f>
        <v>cashloan</v>
      </c>
      <c r="I9143" s="143">
        <v>21000000</v>
      </c>
    </row>
    <row r="9144" spans="1:9" x14ac:dyDescent="0.2">
      <c r="A9144" s="172">
        <v>45916</v>
      </c>
      <c r="B9144" s="135">
        <f>YEAR(source[[#This Row],[report_date]])</f>
        <v>2025</v>
      </c>
      <c r="C9144" s="128">
        <f t="shared" si="427"/>
        <v>9</v>
      </c>
      <c r="D9144" s="136">
        <f t="shared" si="426"/>
        <v>38</v>
      </c>
      <c r="E9144" s="136">
        <f t="shared" si="428"/>
        <v>16</v>
      </c>
      <c r="F9144" s="137" t="s">
        <v>24</v>
      </c>
      <c r="G9144" s="128" t="str">
        <f>VLOOKUP(source[[#This Row],[lending_product_transform]],[3]Mapping!$B$4:$C$37,2,0)</f>
        <v>[Cake] - Cashloan</v>
      </c>
      <c r="H9144" s="128" t="str">
        <f>VLOOKUP(source[[#This Row],[lending_product_transform]],[3]Mapping!$B$3:$D$37,3,0)</f>
        <v>cashloan</v>
      </c>
      <c r="I9144" s="143">
        <v>19000000</v>
      </c>
    </row>
    <row r="9145" spans="1:9" x14ac:dyDescent="0.2">
      <c r="A9145" s="172">
        <v>45916</v>
      </c>
      <c r="B9145" s="135">
        <f>YEAR(source[[#This Row],[report_date]])</f>
        <v>2025</v>
      </c>
      <c r="C9145" s="128">
        <f t="shared" si="427"/>
        <v>9</v>
      </c>
      <c r="D9145" s="136">
        <f t="shared" si="426"/>
        <v>38</v>
      </c>
      <c r="E9145" s="136">
        <f t="shared" si="428"/>
        <v>16</v>
      </c>
      <c r="F9145" s="137" t="s">
        <v>24</v>
      </c>
      <c r="G9145" s="128" t="str">
        <f>VLOOKUP(source[[#This Row],[lending_product_transform]],[3]Mapping!$B$4:$C$37,2,0)</f>
        <v>[Cake] - Cashloan</v>
      </c>
      <c r="H9145" s="128" t="str">
        <f>VLOOKUP(source[[#This Row],[lending_product_transform]],[3]Mapping!$B$3:$D$37,3,0)</f>
        <v>cashloan</v>
      </c>
      <c r="I9145" s="143">
        <v>1238160000</v>
      </c>
    </row>
    <row r="9146" spans="1:9" x14ac:dyDescent="0.2">
      <c r="A9146" s="172">
        <v>45916</v>
      </c>
      <c r="B9146" s="135">
        <f>YEAR(source[[#This Row],[report_date]])</f>
        <v>2025</v>
      </c>
      <c r="C9146" s="128">
        <f t="shared" si="427"/>
        <v>9</v>
      </c>
      <c r="D9146" s="136">
        <f t="shared" si="426"/>
        <v>38</v>
      </c>
      <c r="E9146" s="136">
        <f t="shared" si="428"/>
        <v>16</v>
      </c>
      <c r="F9146" s="137" t="s">
        <v>24</v>
      </c>
      <c r="G9146" s="128" t="str">
        <f>VLOOKUP(source[[#This Row],[lending_product_transform]],[3]Mapping!$B$4:$C$37,2,0)</f>
        <v>[Cake] - Cashloan</v>
      </c>
      <c r="H9146" s="128" t="str">
        <f>VLOOKUP(source[[#This Row],[lending_product_transform]],[3]Mapping!$B$3:$D$37,3,0)</f>
        <v>cashloan</v>
      </c>
      <c r="I9146" s="143">
        <v>0</v>
      </c>
    </row>
    <row r="9147" spans="1:9" x14ac:dyDescent="0.2">
      <c r="A9147" s="172">
        <v>45916</v>
      </c>
      <c r="B9147" s="135">
        <f>YEAR(source[[#This Row],[report_date]])</f>
        <v>2025</v>
      </c>
      <c r="C9147" s="128">
        <f t="shared" si="427"/>
        <v>9</v>
      </c>
      <c r="D9147" s="136">
        <f t="shared" si="426"/>
        <v>38</v>
      </c>
      <c r="E9147" s="136">
        <f t="shared" si="428"/>
        <v>16</v>
      </c>
      <c r="F9147" s="137" t="s">
        <v>24</v>
      </c>
      <c r="G9147" s="128" t="str">
        <f>VLOOKUP(source[[#This Row],[lending_product_transform]],[3]Mapping!$B$4:$C$37,2,0)</f>
        <v>[Cake] - Cashloan</v>
      </c>
      <c r="H9147" s="128" t="str">
        <f>VLOOKUP(source[[#This Row],[lending_product_transform]],[3]Mapping!$B$3:$D$37,3,0)</f>
        <v>cashloan</v>
      </c>
      <c r="I9147" s="143">
        <v>306118713</v>
      </c>
    </row>
    <row r="9148" spans="1:9" x14ac:dyDescent="0.2">
      <c r="A9148" s="172">
        <v>45916</v>
      </c>
      <c r="B9148" s="135">
        <f>YEAR(source[[#This Row],[report_date]])</f>
        <v>2025</v>
      </c>
      <c r="C9148" s="128">
        <f t="shared" si="427"/>
        <v>9</v>
      </c>
      <c r="D9148" s="136">
        <f t="shared" si="426"/>
        <v>38</v>
      </c>
      <c r="E9148" s="136">
        <f t="shared" si="428"/>
        <v>16</v>
      </c>
      <c r="F9148" s="137" t="s">
        <v>24</v>
      </c>
      <c r="G9148" s="128" t="str">
        <f>VLOOKUP(source[[#This Row],[lending_product_transform]],[3]Mapping!$B$4:$C$37,2,0)</f>
        <v>[Cake] - Cashloan</v>
      </c>
      <c r="H9148" s="128" t="str">
        <f>VLOOKUP(source[[#This Row],[lending_product_transform]],[3]Mapping!$B$3:$D$37,3,0)</f>
        <v>cashloan</v>
      </c>
      <c r="I9148" s="143">
        <v>2613340000</v>
      </c>
    </row>
    <row r="9149" spans="1:9" x14ac:dyDescent="0.2">
      <c r="A9149" s="172">
        <v>45917</v>
      </c>
      <c r="B9149" s="135">
        <f>YEAR(source[[#This Row],[report_date]])</f>
        <v>2025</v>
      </c>
      <c r="C9149" s="128">
        <f t="shared" si="427"/>
        <v>9</v>
      </c>
      <c r="D9149" s="136">
        <f t="shared" si="426"/>
        <v>38</v>
      </c>
      <c r="E9149" s="136">
        <f t="shared" si="428"/>
        <v>17</v>
      </c>
      <c r="F9149" s="137" t="s">
        <v>24</v>
      </c>
      <c r="G9149" s="128" t="str">
        <f>VLOOKUP(source[[#This Row],[lending_product_transform]],[3]Mapping!$B$4:$C$37,2,0)</f>
        <v>[Cake] - Cashloan</v>
      </c>
      <c r="H9149" s="128" t="str">
        <f>VLOOKUP(source[[#This Row],[lending_product_transform]],[3]Mapping!$B$3:$D$37,3,0)</f>
        <v>cashloan</v>
      </c>
      <c r="I9149" s="143">
        <v>0</v>
      </c>
    </row>
    <row r="9150" spans="1:9" x14ac:dyDescent="0.2">
      <c r="A9150" s="172">
        <v>45917</v>
      </c>
      <c r="B9150" s="135">
        <f>YEAR(source[[#This Row],[report_date]])</f>
        <v>2025</v>
      </c>
      <c r="C9150" s="128">
        <f t="shared" si="427"/>
        <v>9</v>
      </c>
      <c r="D9150" s="136">
        <f t="shared" si="426"/>
        <v>38</v>
      </c>
      <c r="E9150" s="136">
        <f t="shared" si="428"/>
        <v>17</v>
      </c>
      <c r="F9150" s="137" t="s">
        <v>24</v>
      </c>
      <c r="G9150" s="128" t="str">
        <f>VLOOKUP(source[[#This Row],[lending_product_transform]],[3]Mapping!$B$4:$C$37,2,0)</f>
        <v>[Cake] - Cashloan</v>
      </c>
      <c r="H9150" s="128" t="str">
        <f>VLOOKUP(source[[#This Row],[lending_product_transform]],[3]Mapping!$B$3:$D$37,3,0)</f>
        <v>cashloan</v>
      </c>
      <c r="I9150" s="143">
        <v>197345881</v>
      </c>
    </row>
    <row r="9151" spans="1:9" x14ac:dyDescent="0.2">
      <c r="A9151" s="172">
        <v>45917</v>
      </c>
      <c r="B9151" s="135">
        <f>YEAR(source[[#This Row],[report_date]])</f>
        <v>2025</v>
      </c>
      <c r="C9151" s="128">
        <f t="shared" si="427"/>
        <v>9</v>
      </c>
      <c r="D9151" s="136">
        <f t="shared" si="426"/>
        <v>38</v>
      </c>
      <c r="E9151" s="136">
        <f t="shared" si="428"/>
        <v>17</v>
      </c>
      <c r="F9151" s="137" t="s">
        <v>24</v>
      </c>
      <c r="G9151" s="128" t="str">
        <f>VLOOKUP(source[[#This Row],[lending_product_transform]],[3]Mapping!$B$4:$C$37,2,0)</f>
        <v>[Cake] - Cashloan</v>
      </c>
      <c r="H9151" s="128" t="str">
        <f>VLOOKUP(source[[#This Row],[lending_product_transform]],[3]Mapping!$B$3:$D$37,3,0)</f>
        <v>cashloan</v>
      </c>
      <c r="I9151" s="143">
        <v>16401320000</v>
      </c>
    </row>
    <row r="9152" spans="1:9" x14ac:dyDescent="0.2">
      <c r="A9152" s="172">
        <v>45917</v>
      </c>
      <c r="B9152" s="135">
        <f>YEAR(source[[#This Row],[report_date]])</f>
        <v>2025</v>
      </c>
      <c r="C9152" s="128">
        <f t="shared" si="427"/>
        <v>9</v>
      </c>
      <c r="D9152" s="136">
        <f t="shared" si="426"/>
        <v>38</v>
      </c>
      <c r="E9152" s="136">
        <f t="shared" si="428"/>
        <v>17</v>
      </c>
      <c r="F9152" s="137" t="s">
        <v>24</v>
      </c>
      <c r="G9152" s="128" t="str">
        <f>VLOOKUP(source[[#This Row],[lending_product_transform]],[3]Mapping!$B$4:$C$37,2,0)</f>
        <v>[Cake] - Cashloan</v>
      </c>
      <c r="H9152" s="128" t="str">
        <f>VLOOKUP(source[[#This Row],[lending_product_transform]],[3]Mapping!$B$3:$D$37,3,0)</f>
        <v>cashloan</v>
      </c>
      <c r="I9152" s="143">
        <v>2603693473</v>
      </c>
    </row>
    <row r="9153" spans="1:9" x14ac:dyDescent="0.2">
      <c r="A9153" s="172">
        <v>45917</v>
      </c>
      <c r="B9153" s="135">
        <f>YEAR(source[[#This Row],[report_date]])</f>
        <v>2025</v>
      </c>
      <c r="C9153" s="128">
        <f t="shared" si="427"/>
        <v>9</v>
      </c>
      <c r="D9153" s="136">
        <f t="shared" si="426"/>
        <v>38</v>
      </c>
      <c r="E9153" s="136">
        <f t="shared" si="428"/>
        <v>17</v>
      </c>
      <c r="F9153" s="137" t="s">
        <v>24</v>
      </c>
      <c r="G9153" s="128" t="str">
        <f>VLOOKUP(source[[#This Row],[lending_product_transform]],[3]Mapping!$B$4:$C$37,2,0)</f>
        <v>[Cake] - Cashloan</v>
      </c>
      <c r="H9153" s="128" t="str">
        <f>VLOOKUP(source[[#This Row],[lending_product_transform]],[3]Mapping!$B$3:$D$37,3,0)</f>
        <v>cashloan</v>
      </c>
      <c r="I9153" s="143">
        <v>7918344000</v>
      </c>
    </row>
    <row r="9154" spans="1:9" x14ac:dyDescent="0.2">
      <c r="A9154" s="172">
        <v>45917</v>
      </c>
      <c r="B9154" s="135">
        <f>YEAR(source[[#This Row],[report_date]])</f>
        <v>2025</v>
      </c>
      <c r="C9154" s="128">
        <f t="shared" si="427"/>
        <v>9</v>
      </c>
      <c r="D9154" s="136">
        <f t="shared" si="426"/>
        <v>38</v>
      </c>
      <c r="E9154" s="136">
        <f t="shared" si="428"/>
        <v>17</v>
      </c>
      <c r="F9154" s="137" t="s">
        <v>24</v>
      </c>
      <c r="G9154" s="128" t="str">
        <f>VLOOKUP(source[[#This Row],[lending_product_transform]],[3]Mapping!$B$4:$C$37,2,0)</f>
        <v>[Cake] - Cashloan</v>
      </c>
      <c r="H9154" s="128" t="str">
        <f>VLOOKUP(source[[#This Row],[lending_product_transform]],[3]Mapping!$B$3:$D$37,3,0)</f>
        <v>cashloan</v>
      </c>
      <c r="I9154" s="143">
        <v>3740250</v>
      </c>
    </row>
    <row r="9155" spans="1:9" x14ac:dyDescent="0.2">
      <c r="A9155" s="172">
        <v>45917</v>
      </c>
      <c r="B9155" s="135">
        <f>YEAR(source[[#This Row],[report_date]])</f>
        <v>2025</v>
      </c>
      <c r="C9155" s="128">
        <f t="shared" si="427"/>
        <v>9</v>
      </c>
      <c r="D9155" s="136">
        <f t="shared" ref="D9155:D9218" si="429">WEEKNUM(A9155,2)</f>
        <v>38</v>
      </c>
      <c r="E9155" s="136">
        <f t="shared" si="428"/>
        <v>17</v>
      </c>
      <c r="F9155" s="137" t="s">
        <v>24</v>
      </c>
      <c r="G9155" s="128" t="str">
        <f>VLOOKUP(source[[#This Row],[lending_product_transform]],[3]Mapping!$B$4:$C$37,2,0)</f>
        <v>[Cake] - Cashloan</v>
      </c>
      <c r="H9155" s="128" t="str">
        <f>VLOOKUP(source[[#This Row],[lending_product_transform]],[3]Mapping!$B$3:$D$37,3,0)</f>
        <v>cashloan</v>
      </c>
      <c r="I9155" s="143">
        <v>3223620000</v>
      </c>
    </row>
    <row r="9156" spans="1:9" x14ac:dyDescent="0.2">
      <c r="A9156" s="172">
        <v>45917</v>
      </c>
      <c r="B9156" s="135">
        <f>YEAR(source[[#This Row],[report_date]])</f>
        <v>2025</v>
      </c>
      <c r="C9156" s="128">
        <f t="shared" si="427"/>
        <v>9</v>
      </c>
      <c r="D9156" s="136">
        <f t="shared" si="429"/>
        <v>38</v>
      </c>
      <c r="E9156" s="136">
        <f t="shared" si="428"/>
        <v>17</v>
      </c>
      <c r="F9156" s="137" t="s">
        <v>24</v>
      </c>
      <c r="G9156" s="128" t="str">
        <f>VLOOKUP(source[[#This Row],[lending_product_transform]],[3]Mapping!$B$4:$C$37,2,0)</f>
        <v>[Cake] - Cashloan</v>
      </c>
      <c r="H9156" s="128" t="str">
        <f>VLOOKUP(source[[#This Row],[lending_product_transform]],[3]Mapping!$B$3:$D$37,3,0)</f>
        <v>cashloan</v>
      </c>
      <c r="I9156" s="143">
        <v>17647000</v>
      </c>
    </row>
    <row r="9157" spans="1:9" x14ac:dyDescent="0.2">
      <c r="A9157" s="172">
        <v>45917</v>
      </c>
      <c r="B9157" s="135">
        <f>YEAR(source[[#This Row],[report_date]])</f>
        <v>2025</v>
      </c>
      <c r="C9157" s="128">
        <f t="shared" si="427"/>
        <v>9</v>
      </c>
      <c r="D9157" s="136">
        <f t="shared" si="429"/>
        <v>38</v>
      </c>
      <c r="E9157" s="136">
        <f t="shared" si="428"/>
        <v>17</v>
      </c>
      <c r="F9157" s="137" t="s">
        <v>24</v>
      </c>
      <c r="G9157" s="128" t="str">
        <f>VLOOKUP(source[[#This Row],[lending_product_transform]],[3]Mapping!$B$4:$C$37,2,0)</f>
        <v>[Cake] - Cashloan</v>
      </c>
      <c r="H9157" s="128" t="str">
        <f>VLOOKUP(source[[#This Row],[lending_product_transform]],[3]Mapping!$B$3:$D$37,3,0)</f>
        <v>cashloan</v>
      </c>
      <c r="I9157" s="143">
        <v>413718575</v>
      </c>
    </row>
    <row r="9158" spans="1:9" x14ac:dyDescent="0.2">
      <c r="A9158" s="172">
        <v>45917</v>
      </c>
      <c r="B9158" s="135">
        <f>YEAR(source[[#This Row],[report_date]])</f>
        <v>2025</v>
      </c>
      <c r="C9158" s="128">
        <f t="shared" si="427"/>
        <v>9</v>
      </c>
      <c r="D9158" s="136">
        <f t="shared" si="429"/>
        <v>38</v>
      </c>
      <c r="E9158" s="136">
        <f t="shared" si="428"/>
        <v>17</v>
      </c>
      <c r="F9158" s="137" t="s">
        <v>24</v>
      </c>
      <c r="G9158" s="128" t="str">
        <f>VLOOKUP(source[[#This Row],[lending_product_transform]],[3]Mapping!$B$4:$C$37,2,0)</f>
        <v>[Cake] - Cashloan</v>
      </c>
      <c r="H9158" s="128" t="str">
        <f>VLOOKUP(source[[#This Row],[lending_product_transform]],[3]Mapping!$B$3:$D$37,3,0)</f>
        <v>cashloan</v>
      </c>
      <c r="I9158" s="143">
        <v>0</v>
      </c>
    </row>
    <row r="9159" spans="1:9" x14ac:dyDescent="0.2">
      <c r="A9159" s="172">
        <v>45917</v>
      </c>
      <c r="B9159" s="135">
        <f>YEAR(source[[#This Row],[report_date]])</f>
        <v>2025</v>
      </c>
      <c r="C9159" s="128">
        <f t="shared" si="427"/>
        <v>9</v>
      </c>
      <c r="D9159" s="136">
        <f t="shared" si="429"/>
        <v>38</v>
      </c>
      <c r="E9159" s="136">
        <f t="shared" si="428"/>
        <v>17</v>
      </c>
      <c r="F9159" s="137" t="s">
        <v>24</v>
      </c>
      <c r="G9159" s="128" t="str">
        <f>VLOOKUP(source[[#This Row],[lending_product_transform]],[3]Mapping!$B$4:$C$37,2,0)</f>
        <v>[Cake] - Cashloan</v>
      </c>
      <c r="H9159" s="128" t="str">
        <f>VLOOKUP(source[[#This Row],[lending_product_transform]],[3]Mapping!$B$3:$D$37,3,0)</f>
        <v>cashloan</v>
      </c>
      <c r="I9159" s="143">
        <v>167250000</v>
      </c>
    </row>
    <row r="9160" spans="1:9" x14ac:dyDescent="0.2">
      <c r="A9160" s="172">
        <v>45917</v>
      </c>
      <c r="B9160" s="135">
        <f>YEAR(source[[#This Row],[report_date]])</f>
        <v>2025</v>
      </c>
      <c r="C9160" s="128">
        <f t="shared" si="427"/>
        <v>9</v>
      </c>
      <c r="D9160" s="136">
        <f t="shared" si="429"/>
        <v>38</v>
      </c>
      <c r="E9160" s="136">
        <f t="shared" si="428"/>
        <v>17</v>
      </c>
      <c r="F9160" s="137" t="s">
        <v>24</v>
      </c>
      <c r="G9160" s="128" t="str">
        <f>VLOOKUP(source[[#This Row],[lending_product_transform]],[3]Mapping!$B$4:$C$37,2,0)</f>
        <v>[Cake] - Cashloan</v>
      </c>
      <c r="H9160" s="128" t="str">
        <f>VLOOKUP(source[[#This Row],[lending_product_transform]],[3]Mapping!$B$3:$D$37,3,0)</f>
        <v>cashloan</v>
      </c>
      <c r="I9160" s="143">
        <v>17549340000</v>
      </c>
    </row>
    <row r="9161" spans="1:9" x14ac:dyDescent="0.2">
      <c r="A9161" s="172">
        <v>45917</v>
      </c>
      <c r="B9161" s="135">
        <f>YEAR(source[[#This Row],[report_date]])</f>
        <v>2025</v>
      </c>
      <c r="C9161" s="128">
        <f t="shared" si="427"/>
        <v>9</v>
      </c>
      <c r="D9161" s="136">
        <f t="shared" si="429"/>
        <v>38</v>
      </c>
      <c r="E9161" s="136">
        <f t="shared" si="428"/>
        <v>17</v>
      </c>
      <c r="F9161" s="137" t="s">
        <v>24</v>
      </c>
      <c r="G9161" s="128" t="str">
        <f>VLOOKUP(source[[#This Row],[lending_product_transform]],[3]Mapping!$B$4:$C$37,2,0)</f>
        <v>[Cake] - Cashloan</v>
      </c>
      <c r="H9161" s="128" t="str">
        <f>VLOOKUP(source[[#This Row],[lending_product_transform]],[3]Mapping!$B$3:$D$37,3,0)</f>
        <v>cashloan</v>
      </c>
      <c r="I9161" s="143">
        <v>0</v>
      </c>
    </row>
    <row r="9162" spans="1:9" x14ac:dyDescent="0.2">
      <c r="A9162" s="172">
        <v>45917</v>
      </c>
      <c r="B9162" s="135">
        <f>YEAR(source[[#This Row],[report_date]])</f>
        <v>2025</v>
      </c>
      <c r="C9162" s="128">
        <f t="shared" si="427"/>
        <v>9</v>
      </c>
      <c r="D9162" s="136">
        <f t="shared" si="429"/>
        <v>38</v>
      </c>
      <c r="E9162" s="136">
        <f t="shared" si="428"/>
        <v>17</v>
      </c>
      <c r="F9162" s="137" t="s">
        <v>24</v>
      </c>
      <c r="G9162" s="128" t="str">
        <f>VLOOKUP(source[[#This Row],[lending_product_transform]],[3]Mapping!$B$4:$C$37,2,0)</f>
        <v>[Cake] - Cashloan</v>
      </c>
      <c r="H9162" s="128" t="str">
        <f>VLOOKUP(source[[#This Row],[lending_product_transform]],[3]Mapping!$B$3:$D$37,3,0)</f>
        <v>cashloan</v>
      </c>
      <c r="I9162" s="143">
        <v>0</v>
      </c>
    </row>
    <row r="9163" spans="1:9" x14ac:dyDescent="0.2">
      <c r="A9163" s="172">
        <v>45917</v>
      </c>
      <c r="B9163" s="135">
        <f>YEAR(source[[#This Row],[report_date]])</f>
        <v>2025</v>
      </c>
      <c r="C9163" s="128">
        <f t="shared" si="427"/>
        <v>9</v>
      </c>
      <c r="D9163" s="136">
        <f t="shared" si="429"/>
        <v>38</v>
      </c>
      <c r="E9163" s="136">
        <f t="shared" si="428"/>
        <v>17</v>
      </c>
      <c r="F9163" s="137" t="s">
        <v>24</v>
      </c>
      <c r="G9163" s="128" t="str">
        <f>VLOOKUP(source[[#This Row],[lending_product_transform]],[3]Mapping!$B$4:$C$37,2,0)</f>
        <v>[Cake] - Cashloan</v>
      </c>
      <c r="H9163" s="128" t="str">
        <f>VLOOKUP(source[[#This Row],[lending_product_transform]],[3]Mapping!$B$3:$D$37,3,0)</f>
        <v>cashloan</v>
      </c>
      <c r="I9163" s="143">
        <v>0</v>
      </c>
    </row>
    <row r="9164" spans="1:9" x14ac:dyDescent="0.2">
      <c r="A9164" s="172">
        <v>45917</v>
      </c>
      <c r="B9164" s="135">
        <f>YEAR(source[[#This Row],[report_date]])</f>
        <v>2025</v>
      </c>
      <c r="C9164" s="128">
        <f t="shared" si="427"/>
        <v>9</v>
      </c>
      <c r="D9164" s="136">
        <f t="shared" si="429"/>
        <v>38</v>
      </c>
      <c r="E9164" s="136">
        <f t="shared" si="428"/>
        <v>17</v>
      </c>
      <c r="F9164" s="137" t="s">
        <v>24</v>
      </c>
      <c r="G9164" s="128" t="str">
        <f>VLOOKUP(source[[#This Row],[lending_product_transform]],[3]Mapping!$B$4:$C$37,2,0)</f>
        <v>[Cake] - Cashloan</v>
      </c>
      <c r="H9164" s="128" t="str">
        <f>VLOOKUP(source[[#This Row],[lending_product_transform]],[3]Mapping!$B$3:$D$37,3,0)</f>
        <v>cashloan</v>
      </c>
      <c r="I9164" s="143">
        <v>0</v>
      </c>
    </row>
    <row r="9165" spans="1:9" x14ac:dyDescent="0.2">
      <c r="A9165" s="172">
        <v>45917</v>
      </c>
      <c r="B9165" s="135">
        <f>YEAR(source[[#This Row],[report_date]])</f>
        <v>2025</v>
      </c>
      <c r="C9165" s="128">
        <f t="shared" si="427"/>
        <v>9</v>
      </c>
      <c r="D9165" s="136">
        <f t="shared" si="429"/>
        <v>38</v>
      </c>
      <c r="E9165" s="136">
        <f t="shared" si="428"/>
        <v>17</v>
      </c>
      <c r="F9165" s="137" t="s">
        <v>24</v>
      </c>
      <c r="G9165" s="128" t="str">
        <f>VLOOKUP(source[[#This Row],[lending_product_transform]],[3]Mapping!$B$4:$C$37,2,0)</f>
        <v>[Cake] - Cashloan</v>
      </c>
      <c r="H9165" s="128" t="str">
        <f>VLOOKUP(source[[#This Row],[lending_product_transform]],[3]Mapping!$B$3:$D$37,3,0)</f>
        <v>cashloan</v>
      </c>
      <c r="I9165" s="143">
        <v>9293400000</v>
      </c>
    </row>
    <row r="9166" spans="1:9" x14ac:dyDescent="0.2">
      <c r="A9166" s="172">
        <v>45917</v>
      </c>
      <c r="B9166" s="135">
        <f>YEAR(source[[#This Row],[report_date]])</f>
        <v>2025</v>
      </c>
      <c r="C9166" s="128">
        <f t="shared" si="427"/>
        <v>9</v>
      </c>
      <c r="D9166" s="136">
        <f t="shared" si="429"/>
        <v>38</v>
      </c>
      <c r="E9166" s="136">
        <f t="shared" si="428"/>
        <v>17</v>
      </c>
      <c r="F9166" s="137" t="s">
        <v>24</v>
      </c>
      <c r="G9166" s="128" t="str">
        <f>VLOOKUP(source[[#This Row],[lending_product_transform]],[3]Mapping!$B$4:$C$37,2,0)</f>
        <v>[Cake] - Cashloan</v>
      </c>
      <c r="H9166" s="128" t="str">
        <f>VLOOKUP(source[[#This Row],[lending_product_transform]],[3]Mapping!$B$3:$D$37,3,0)</f>
        <v>cashloan</v>
      </c>
      <c r="I9166" s="143">
        <v>167702866</v>
      </c>
    </row>
    <row r="9167" spans="1:9" x14ac:dyDescent="0.2">
      <c r="A9167" s="172">
        <v>45917</v>
      </c>
      <c r="B9167" s="135">
        <f>YEAR(source[[#This Row],[report_date]])</f>
        <v>2025</v>
      </c>
      <c r="C9167" s="128">
        <f t="shared" si="427"/>
        <v>9</v>
      </c>
      <c r="D9167" s="136">
        <f t="shared" si="429"/>
        <v>38</v>
      </c>
      <c r="E9167" s="136">
        <f t="shared" si="428"/>
        <v>17</v>
      </c>
      <c r="F9167" s="137" t="s">
        <v>24</v>
      </c>
      <c r="G9167" s="128" t="str">
        <f>VLOOKUP(source[[#This Row],[lending_product_transform]],[3]Mapping!$B$4:$C$37,2,0)</f>
        <v>[Cake] - Cashloan</v>
      </c>
      <c r="H9167" s="128" t="str">
        <f>VLOOKUP(source[[#This Row],[lending_product_transform]],[3]Mapping!$B$3:$D$37,3,0)</f>
        <v>cashloan</v>
      </c>
      <c r="I9167" s="143">
        <v>21000000</v>
      </c>
    </row>
    <row r="9168" spans="1:9" x14ac:dyDescent="0.2">
      <c r="A9168" s="172">
        <v>45917</v>
      </c>
      <c r="B9168" s="135">
        <f>YEAR(source[[#This Row],[report_date]])</f>
        <v>2025</v>
      </c>
      <c r="C9168" s="128">
        <f t="shared" si="427"/>
        <v>9</v>
      </c>
      <c r="D9168" s="136">
        <f t="shared" si="429"/>
        <v>38</v>
      </c>
      <c r="E9168" s="136">
        <f t="shared" si="428"/>
        <v>17</v>
      </c>
      <c r="F9168" s="137" t="s">
        <v>24</v>
      </c>
      <c r="G9168" s="128" t="str">
        <f>VLOOKUP(source[[#This Row],[lending_product_transform]],[3]Mapping!$B$4:$C$37,2,0)</f>
        <v>[Cake] - Cashloan</v>
      </c>
      <c r="H9168" s="128" t="str">
        <f>VLOOKUP(source[[#This Row],[lending_product_transform]],[3]Mapping!$B$3:$D$37,3,0)</f>
        <v>cashloan</v>
      </c>
      <c r="I9168" s="143">
        <v>32000000</v>
      </c>
    </row>
    <row r="9169" spans="1:9" x14ac:dyDescent="0.2">
      <c r="A9169" s="172">
        <v>45917</v>
      </c>
      <c r="B9169" s="135">
        <f>YEAR(source[[#This Row],[report_date]])</f>
        <v>2025</v>
      </c>
      <c r="C9169" s="128">
        <f t="shared" si="427"/>
        <v>9</v>
      </c>
      <c r="D9169" s="136">
        <f t="shared" si="429"/>
        <v>38</v>
      </c>
      <c r="E9169" s="136">
        <f t="shared" si="428"/>
        <v>17</v>
      </c>
      <c r="F9169" s="137" t="s">
        <v>24</v>
      </c>
      <c r="G9169" s="128" t="str">
        <f>VLOOKUP(source[[#This Row],[lending_product_transform]],[3]Mapping!$B$4:$C$37,2,0)</f>
        <v>[Cake] - Cashloan</v>
      </c>
      <c r="H9169" s="128" t="str">
        <f>VLOOKUP(source[[#This Row],[lending_product_transform]],[3]Mapping!$B$3:$D$37,3,0)</f>
        <v>cashloan</v>
      </c>
      <c r="I9169" s="143">
        <v>1046770000</v>
      </c>
    </row>
    <row r="9170" spans="1:9" x14ac:dyDescent="0.2">
      <c r="A9170" s="172">
        <v>45917</v>
      </c>
      <c r="B9170" s="135">
        <f>YEAR(source[[#This Row],[report_date]])</f>
        <v>2025</v>
      </c>
      <c r="C9170" s="128">
        <f t="shared" si="427"/>
        <v>9</v>
      </c>
      <c r="D9170" s="136">
        <f t="shared" si="429"/>
        <v>38</v>
      </c>
      <c r="E9170" s="136">
        <f t="shared" si="428"/>
        <v>17</v>
      </c>
      <c r="F9170" s="137" t="s">
        <v>24</v>
      </c>
      <c r="G9170" s="128" t="str">
        <f>VLOOKUP(source[[#This Row],[lending_product_transform]],[3]Mapping!$B$4:$C$37,2,0)</f>
        <v>[Cake] - Cashloan</v>
      </c>
      <c r="H9170" s="128" t="str">
        <f>VLOOKUP(source[[#This Row],[lending_product_transform]],[3]Mapping!$B$3:$D$37,3,0)</f>
        <v>cashloan</v>
      </c>
      <c r="I9170" s="143">
        <v>3240000</v>
      </c>
    </row>
    <row r="9171" spans="1:9" x14ac:dyDescent="0.2">
      <c r="A9171" s="172">
        <v>45917</v>
      </c>
      <c r="B9171" s="135">
        <f>YEAR(source[[#This Row],[report_date]])</f>
        <v>2025</v>
      </c>
      <c r="C9171" s="128">
        <f t="shared" si="427"/>
        <v>9</v>
      </c>
      <c r="D9171" s="136">
        <f t="shared" si="429"/>
        <v>38</v>
      </c>
      <c r="E9171" s="136">
        <f t="shared" si="428"/>
        <v>17</v>
      </c>
      <c r="F9171" s="137" t="s">
        <v>24</v>
      </c>
      <c r="G9171" s="128" t="str">
        <f>VLOOKUP(source[[#This Row],[lending_product_transform]],[3]Mapping!$B$4:$C$37,2,0)</f>
        <v>[Cake] - Cashloan</v>
      </c>
      <c r="H9171" s="128" t="str">
        <f>VLOOKUP(source[[#This Row],[lending_product_transform]],[3]Mapping!$B$3:$D$37,3,0)</f>
        <v>cashloan</v>
      </c>
      <c r="I9171" s="143">
        <v>269874348</v>
      </c>
    </row>
    <row r="9172" spans="1:9" x14ac:dyDescent="0.2">
      <c r="A9172" s="172">
        <v>45917</v>
      </c>
      <c r="B9172" s="135">
        <f>YEAR(source[[#This Row],[report_date]])</f>
        <v>2025</v>
      </c>
      <c r="C9172" s="128">
        <f t="shared" si="427"/>
        <v>9</v>
      </c>
      <c r="D9172" s="136">
        <f t="shared" si="429"/>
        <v>38</v>
      </c>
      <c r="E9172" s="136">
        <f t="shared" si="428"/>
        <v>17</v>
      </c>
      <c r="F9172" s="137" t="s">
        <v>24</v>
      </c>
      <c r="G9172" s="128" t="str">
        <f>VLOOKUP(source[[#This Row],[lending_product_transform]],[3]Mapping!$B$4:$C$37,2,0)</f>
        <v>[Cake] - Cashloan</v>
      </c>
      <c r="H9172" s="128" t="str">
        <f>VLOOKUP(source[[#This Row],[lending_product_transform]],[3]Mapping!$B$3:$D$37,3,0)</f>
        <v>cashloan</v>
      </c>
      <c r="I9172" s="143">
        <v>2069200000</v>
      </c>
    </row>
    <row r="9173" spans="1:9" x14ac:dyDescent="0.2">
      <c r="A9173" s="172">
        <v>45918</v>
      </c>
      <c r="B9173" s="135">
        <f>YEAR(source[[#This Row],[report_date]])</f>
        <v>2025</v>
      </c>
      <c r="C9173" s="128">
        <f t="shared" si="427"/>
        <v>9</v>
      </c>
      <c r="D9173" s="136">
        <f t="shared" si="429"/>
        <v>38</v>
      </c>
      <c r="E9173" s="136">
        <f t="shared" si="428"/>
        <v>18</v>
      </c>
      <c r="F9173" s="137" t="s">
        <v>24</v>
      </c>
      <c r="G9173" s="128" t="str">
        <f>VLOOKUP(source[[#This Row],[lending_product_transform]],[3]Mapping!$B$4:$C$37,2,0)</f>
        <v>[Cake] - Cashloan</v>
      </c>
      <c r="H9173" s="128" t="str">
        <f>VLOOKUP(source[[#This Row],[lending_product_transform]],[3]Mapping!$B$3:$D$37,3,0)</f>
        <v>cashloan</v>
      </c>
      <c r="I9173" s="143">
        <v>0</v>
      </c>
    </row>
    <row r="9174" spans="1:9" x14ac:dyDescent="0.2">
      <c r="A9174" s="172">
        <v>45918</v>
      </c>
      <c r="B9174" s="135">
        <f>YEAR(source[[#This Row],[report_date]])</f>
        <v>2025</v>
      </c>
      <c r="C9174" s="128">
        <f t="shared" si="427"/>
        <v>9</v>
      </c>
      <c r="D9174" s="136">
        <f t="shared" si="429"/>
        <v>38</v>
      </c>
      <c r="E9174" s="136">
        <f t="shared" si="428"/>
        <v>18</v>
      </c>
      <c r="F9174" s="137" t="s">
        <v>24</v>
      </c>
      <c r="G9174" s="128" t="str">
        <f>VLOOKUP(source[[#This Row],[lending_product_transform]],[3]Mapping!$B$4:$C$37,2,0)</f>
        <v>[Cake] - Cashloan</v>
      </c>
      <c r="H9174" s="128" t="str">
        <f>VLOOKUP(source[[#This Row],[lending_product_transform]],[3]Mapping!$B$3:$D$37,3,0)</f>
        <v>cashloan</v>
      </c>
      <c r="I9174" s="143">
        <v>237179920</v>
      </c>
    </row>
    <row r="9175" spans="1:9" x14ac:dyDescent="0.2">
      <c r="A9175" s="172">
        <v>45918</v>
      </c>
      <c r="B9175" s="135">
        <f>YEAR(source[[#This Row],[report_date]])</f>
        <v>2025</v>
      </c>
      <c r="C9175" s="128">
        <f t="shared" si="427"/>
        <v>9</v>
      </c>
      <c r="D9175" s="136">
        <f t="shared" si="429"/>
        <v>38</v>
      </c>
      <c r="E9175" s="136">
        <f t="shared" si="428"/>
        <v>18</v>
      </c>
      <c r="F9175" s="137" t="s">
        <v>24</v>
      </c>
      <c r="G9175" s="128" t="str">
        <f>VLOOKUP(source[[#This Row],[lending_product_transform]],[3]Mapping!$B$4:$C$37,2,0)</f>
        <v>[Cake] - Cashloan</v>
      </c>
      <c r="H9175" s="128" t="str">
        <f>VLOOKUP(source[[#This Row],[lending_product_transform]],[3]Mapping!$B$3:$D$37,3,0)</f>
        <v>cashloan</v>
      </c>
      <c r="I9175" s="143">
        <v>16592680000</v>
      </c>
    </row>
    <row r="9176" spans="1:9" x14ac:dyDescent="0.2">
      <c r="A9176" s="172">
        <v>45918</v>
      </c>
      <c r="B9176" s="135">
        <f>YEAR(source[[#This Row],[report_date]])</f>
        <v>2025</v>
      </c>
      <c r="C9176" s="128">
        <f t="shared" si="427"/>
        <v>9</v>
      </c>
      <c r="D9176" s="136">
        <f t="shared" si="429"/>
        <v>38</v>
      </c>
      <c r="E9176" s="136">
        <f t="shared" si="428"/>
        <v>18</v>
      </c>
      <c r="F9176" s="137" t="s">
        <v>24</v>
      </c>
      <c r="G9176" s="128" t="str">
        <f>VLOOKUP(source[[#This Row],[lending_product_transform]],[3]Mapping!$B$4:$C$37,2,0)</f>
        <v>[Cake] - Cashloan</v>
      </c>
      <c r="H9176" s="128" t="str">
        <f>VLOOKUP(source[[#This Row],[lending_product_transform]],[3]Mapping!$B$3:$D$37,3,0)</f>
        <v>cashloan</v>
      </c>
      <c r="I9176" s="143">
        <v>2561413310</v>
      </c>
    </row>
    <row r="9177" spans="1:9" x14ac:dyDescent="0.2">
      <c r="A9177" s="172">
        <v>45918</v>
      </c>
      <c r="B9177" s="135">
        <f>YEAR(source[[#This Row],[report_date]])</f>
        <v>2025</v>
      </c>
      <c r="C9177" s="128">
        <f t="shared" si="427"/>
        <v>9</v>
      </c>
      <c r="D9177" s="136">
        <f t="shared" si="429"/>
        <v>38</v>
      </c>
      <c r="E9177" s="136">
        <f t="shared" si="428"/>
        <v>18</v>
      </c>
      <c r="F9177" s="137" t="s">
        <v>24</v>
      </c>
      <c r="G9177" s="128" t="str">
        <f>VLOOKUP(source[[#This Row],[lending_product_transform]],[3]Mapping!$B$4:$C$37,2,0)</f>
        <v>[Cake] - Cashloan</v>
      </c>
      <c r="H9177" s="128" t="str">
        <f>VLOOKUP(source[[#This Row],[lending_product_transform]],[3]Mapping!$B$3:$D$37,3,0)</f>
        <v>cashloan</v>
      </c>
      <c r="I9177" s="143">
        <v>7552872000</v>
      </c>
    </row>
    <row r="9178" spans="1:9" x14ac:dyDescent="0.2">
      <c r="A9178" s="172">
        <v>45918</v>
      </c>
      <c r="B9178" s="135">
        <f>YEAR(source[[#This Row],[report_date]])</f>
        <v>2025</v>
      </c>
      <c r="C9178" s="128">
        <f t="shared" si="427"/>
        <v>9</v>
      </c>
      <c r="D9178" s="136">
        <f t="shared" si="429"/>
        <v>38</v>
      </c>
      <c r="E9178" s="136">
        <f t="shared" si="428"/>
        <v>18</v>
      </c>
      <c r="F9178" s="137" t="s">
        <v>24</v>
      </c>
      <c r="G9178" s="128" t="str">
        <f>VLOOKUP(source[[#This Row],[lending_product_transform]],[3]Mapping!$B$4:$C$37,2,0)</f>
        <v>[Cake] - Cashloan</v>
      </c>
      <c r="H9178" s="128" t="str">
        <f>VLOOKUP(source[[#This Row],[lending_product_transform]],[3]Mapping!$B$3:$D$37,3,0)</f>
        <v>cashloan</v>
      </c>
      <c r="I9178" s="143">
        <v>9782771</v>
      </c>
    </row>
    <row r="9179" spans="1:9" x14ac:dyDescent="0.2">
      <c r="A9179" s="172">
        <v>45918</v>
      </c>
      <c r="B9179" s="135">
        <f>YEAR(source[[#This Row],[report_date]])</f>
        <v>2025</v>
      </c>
      <c r="C9179" s="128">
        <f t="shared" si="427"/>
        <v>9</v>
      </c>
      <c r="D9179" s="136">
        <f t="shared" si="429"/>
        <v>38</v>
      </c>
      <c r="E9179" s="136">
        <f t="shared" si="428"/>
        <v>18</v>
      </c>
      <c r="F9179" s="137" t="s">
        <v>24</v>
      </c>
      <c r="G9179" s="128" t="str">
        <f>VLOOKUP(source[[#This Row],[lending_product_transform]],[3]Mapping!$B$4:$C$37,2,0)</f>
        <v>[Cake] - Cashloan</v>
      </c>
      <c r="H9179" s="128" t="str">
        <f>VLOOKUP(source[[#This Row],[lending_product_transform]],[3]Mapping!$B$3:$D$37,3,0)</f>
        <v>cashloan</v>
      </c>
      <c r="I9179" s="143">
        <v>3004720000</v>
      </c>
    </row>
    <row r="9180" spans="1:9" x14ac:dyDescent="0.2">
      <c r="A9180" s="172">
        <v>45918</v>
      </c>
      <c r="B9180" s="135">
        <f>YEAR(source[[#This Row],[report_date]])</f>
        <v>2025</v>
      </c>
      <c r="C9180" s="128">
        <f t="shared" si="427"/>
        <v>9</v>
      </c>
      <c r="D9180" s="136">
        <f t="shared" si="429"/>
        <v>38</v>
      </c>
      <c r="E9180" s="136">
        <f t="shared" si="428"/>
        <v>18</v>
      </c>
      <c r="F9180" s="137" t="s">
        <v>24</v>
      </c>
      <c r="G9180" s="128" t="str">
        <f>VLOOKUP(source[[#This Row],[lending_product_transform]],[3]Mapping!$B$4:$C$37,2,0)</f>
        <v>[Cake] - Cashloan</v>
      </c>
      <c r="H9180" s="128" t="str">
        <f>VLOOKUP(source[[#This Row],[lending_product_transform]],[3]Mapping!$B$3:$D$37,3,0)</f>
        <v>cashloan</v>
      </c>
      <c r="I9180" s="143">
        <v>19539000</v>
      </c>
    </row>
    <row r="9181" spans="1:9" x14ac:dyDescent="0.2">
      <c r="A9181" s="172">
        <v>45918</v>
      </c>
      <c r="B9181" s="135">
        <f>YEAR(source[[#This Row],[report_date]])</f>
        <v>2025</v>
      </c>
      <c r="C9181" s="128">
        <f t="shared" si="427"/>
        <v>9</v>
      </c>
      <c r="D9181" s="136">
        <f t="shared" si="429"/>
        <v>38</v>
      </c>
      <c r="E9181" s="136">
        <f t="shared" si="428"/>
        <v>18</v>
      </c>
      <c r="F9181" s="137" t="s">
        <v>24</v>
      </c>
      <c r="G9181" s="128" t="str">
        <f>VLOOKUP(source[[#This Row],[lending_product_transform]],[3]Mapping!$B$4:$C$37,2,0)</f>
        <v>[Cake] - Cashloan</v>
      </c>
      <c r="H9181" s="128" t="str">
        <f>VLOOKUP(source[[#This Row],[lending_product_transform]],[3]Mapping!$B$3:$D$37,3,0)</f>
        <v>cashloan</v>
      </c>
      <c r="I9181" s="143">
        <v>317193000</v>
      </c>
    </row>
    <row r="9182" spans="1:9" x14ac:dyDescent="0.2">
      <c r="A9182" s="172">
        <v>45918</v>
      </c>
      <c r="B9182" s="135">
        <f>YEAR(source[[#This Row],[report_date]])</f>
        <v>2025</v>
      </c>
      <c r="C9182" s="128">
        <f t="shared" si="427"/>
        <v>9</v>
      </c>
      <c r="D9182" s="136">
        <f t="shared" si="429"/>
        <v>38</v>
      </c>
      <c r="E9182" s="136">
        <f t="shared" si="428"/>
        <v>18</v>
      </c>
      <c r="F9182" s="137" t="s">
        <v>24</v>
      </c>
      <c r="G9182" s="128" t="str">
        <f>VLOOKUP(source[[#This Row],[lending_product_transform]],[3]Mapping!$B$4:$C$37,2,0)</f>
        <v>[Cake] - Cashloan</v>
      </c>
      <c r="H9182" s="128" t="str">
        <f>VLOOKUP(source[[#This Row],[lending_product_transform]],[3]Mapping!$B$3:$D$37,3,0)</f>
        <v>cashloan</v>
      </c>
      <c r="I9182" s="143">
        <v>0</v>
      </c>
    </row>
    <row r="9183" spans="1:9" x14ac:dyDescent="0.2">
      <c r="A9183" s="172">
        <v>45918</v>
      </c>
      <c r="B9183" s="135">
        <f>YEAR(source[[#This Row],[report_date]])</f>
        <v>2025</v>
      </c>
      <c r="C9183" s="128">
        <f t="shared" si="427"/>
        <v>9</v>
      </c>
      <c r="D9183" s="136">
        <f t="shared" si="429"/>
        <v>38</v>
      </c>
      <c r="E9183" s="136">
        <f t="shared" si="428"/>
        <v>18</v>
      </c>
      <c r="F9183" s="137" t="s">
        <v>24</v>
      </c>
      <c r="G9183" s="128" t="str">
        <f>VLOOKUP(source[[#This Row],[lending_product_transform]],[3]Mapping!$B$4:$C$37,2,0)</f>
        <v>[Cake] - Cashloan</v>
      </c>
      <c r="H9183" s="128" t="str">
        <f>VLOOKUP(source[[#This Row],[lending_product_transform]],[3]Mapping!$B$3:$D$37,3,0)</f>
        <v>cashloan</v>
      </c>
      <c r="I9183" s="143">
        <v>78000000</v>
      </c>
    </row>
    <row r="9184" spans="1:9" x14ac:dyDescent="0.2">
      <c r="A9184" s="172">
        <v>45918</v>
      </c>
      <c r="B9184" s="135">
        <f>YEAR(source[[#This Row],[report_date]])</f>
        <v>2025</v>
      </c>
      <c r="C9184" s="128">
        <f t="shared" si="427"/>
        <v>9</v>
      </c>
      <c r="D9184" s="136">
        <f t="shared" si="429"/>
        <v>38</v>
      </c>
      <c r="E9184" s="136">
        <f t="shared" si="428"/>
        <v>18</v>
      </c>
      <c r="F9184" s="137" t="s">
        <v>24</v>
      </c>
      <c r="G9184" s="128" t="str">
        <f>VLOOKUP(source[[#This Row],[lending_product_transform]],[3]Mapping!$B$4:$C$37,2,0)</f>
        <v>[Cake] - Cashloan</v>
      </c>
      <c r="H9184" s="128" t="str">
        <f>VLOOKUP(source[[#This Row],[lending_product_transform]],[3]Mapping!$B$3:$D$37,3,0)</f>
        <v>cashloan</v>
      </c>
      <c r="I9184" s="143">
        <v>16535470000</v>
      </c>
    </row>
    <row r="9185" spans="1:9" x14ac:dyDescent="0.2">
      <c r="A9185" s="172">
        <v>45918</v>
      </c>
      <c r="B9185" s="135">
        <f>YEAR(source[[#This Row],[report_date]])</f>
        <v>2025</v>
      </c>
      <c r="C9185" s="128">
        <f t="shared" si="427"/>
        <v>9</v>
      </c>
      <c r="D9185" s="136">
        <f t="shared" si="429"/>
        <v>38</v>
      </c>
      <c r="E9185" s="136">
        <f t="shared" si="428"/>
        <v>18</v>
      </c>
      <c r="F9185" s="137" t="s">
        <v>24</v>
      </c>
      <c r="G9185" s="128" t="str">
        <f>VLOOKUP(source[[#This Row],[lending_product_transform]],[3]Mapping!$B$4:$C$37,2,0)</f>
        <v>[Cake] - Cashloan</v>
      </c>
      <c r="H9185" s="128" t="str">
        <f>VLOOKUP(source[[#This Row],[lending_product_transform]],[3]Mapping!$B$3:$D$37,3,0)</f>
        <v>cashloan</v>
      </c>
      <c r="I9185" s="143">
        <v>0</v>
      </c>
    </row>
    <row r="9186" spans="1:9" x14ac:dyDescent="0.2">
      <c r="A9186" s="172">
        <v>45918</v>
      </c>
      <c r="B9186" s="135">
        <f>YEAR(source[[#This Row],[report_date]])</f>
        <v>2025</v>
      </c>
      <c r="C9186" s="128">
        <f t="shared" si="427"/>
        <v>9</v>
      </c>
      <c r="D9186" s="136">
        <f t="shared" si="429"/>
        <v>38</v>
      </c>
      <c r="E9186" s="136">
        <f t="shared" si="428"/>
        <v>18</v>
      </c>
      <c r="F9186" s="137" t="s">
        <v>24</v>
      </c>
      <c r="G9186" s="128" t="str">
        <f>VLOOKUP(source[[#This Row],[lending_product_transform]],[3]Mapping!$B$4:$C$37,2,0)</f>
        <v>[Cake] - Cashloan</v>
      </c>
      <c r="H9186" s="128" t="str">
        <f>VLOOKUP(source[[#This Row],[lending_product_transform]],[3]Mapping!$B$3:$D$37,3,0)</f>
        <v>cashloan</v>
      </c>
      <c r="I9186" s="143">
        <v>0</v>
      </c>
    </row>
    <row r="9187" spans="1:9" x14ac:dyDescent="0.2">
      <c r="A9187" s="172">
        <v>45918</v>
      </c>
      <c r="B9187" s="135">
        <f>YEAR(source[[#This Row],[report_date]])</f>
        <v>2025</v>
      </c>
      <c r="C9187" s="128">
        <f t="shared" si="427"/>
        <v>9</v>
      </c>
      <c r="D9187" s="136">
        <f t="shared" si="429"/>
        <v>38</v>
      </c>
      <c r="E9187" s="136">
        <f t="shared" si="428"/>
        <v>18</v>
      </c>
      <c r="F9187" s="137" t="s">
        <v>24</v>
      </c>
      <c r="G9187" s="128" t="str">
        <f>VLOOKUP(source[[#This Row],[lending_product_transform]],[3]Mapping!$B$4:$C$37,2,0)</f>
        <v>[Cake] - Cashloan</v>
      </c>
      <c r="H9187" s="128" t="str">
        <f>VLOOKUP(source[[#This Row],[lending_product_transform]],[3]Mapping!$B$3:$D$37,3,0)</f>
        <v>cashloan</v>
      </c>
      <c r="I9187" s="143">
        <v>0</v>
      </c>
    </row>
    <row r="9188" spans="1:9" x14ac:dyDescent="0.2">
      <c r="A9188" s="172">
        <v>45918</v>
      </c>
      <c r="B9188" s="135">
        <f>YEAR(source[[#This Row],[report_date]])</f>
        <v>2025</v>
      </c>
      <c r="C9188" s="128">
        <f t="shared" si="427"/>
        <v>9</v>
      </c>
      <c r="D9188" s="136">
        <f t="shared" si="429"/>
        <v>38</v>
      </c>
      <c r="E9188" s="136">
        <f t="shared" si="428"/>
        <v>18</v>
      </c>
      <c r="F9188" s="137" t="s">
        <v>24</v>
      </c>
      <c r="G9188" s="128" t="str">
        <f>VLOOKUP(source[[#This Row],[lending_product_transform]],[3]Mapping!$B$4:$C$37,2,0)</f>
        <v>[Cake] - Cashloan</v>
      </c>
      <c r="H9188" s="128" t="str">
        <f>VLOOKUP(source[[#This Row],[lending_product_transform]],[3]Mapping!$B$3:$D$37,3,0)</f>
        <v>cashloan</v>
      </c>
      <c r="I9188" s="143">
        <v>0</v>
      </c>
    </row>
    <row r="9189" spans="1:9" x14ac:dyDescent="0.2">
      <c r="A9189" s="172">
        <v>45918</v>
      </c>
      <c r="B9189" s="135">
        <f>YEAR(source[[#This Row],[report_date]])</f>
        <v>2025</v>
      </c>
      <c r="C9189" s="128">
        <f t="shared" si="427"/>
        <v>9</v>
      </c>
      <c r="D9189" s="136">
        <f t="shared" si="429"/>
        <v>38</v>
      </c>
      <c r="E9189" s="136">
        <f t="shared" si="428"/>
        <v>18</v>
      </c>
      <c r="F9189" s="137" t="s">
        <v>24</v>
      </c>
      <c r="G9189" s="128" t="str">
        <f>VLOOKUP(source[[#This Row],[lending_product_transform]],[3]Mapping!$B$4:$C$37,2,0)</f>
        <v>[Cake] - Cashloan</v>
      </c>
      <c r="H9189" s="128" t="str">
        <f>VLOOKUP(source[[#This Row],[lending_product_transform]],[3]Mapping!$B$3:$D$37,3,0)</f>
        <v>cashloan</v>
      </c>
      <c r="I9189" s="143">
        <v>9430128000</v>
      </c>
    </row>
    <row r="9190" spans="1:9" x14ac:dyDescent="0.2">
      <c r="A9190" s="172">
        <v>45918</v>
      </c>
      <c r="B9190" s="135">
        <f>YEAR(source[[#This Row],[report_date]])</f>
        <v>2025</v>
      </c>
      <c r="C9190" s="128">
        <f t="shared" si="427"/>
        <v>9</v>
      </c>
      <c r="D9190" s="136">
        <f t="shared" si="429"/>
        <v>38</v>
      </c>
      <c r="E9190" s="136">
        <f t="shared" si="428"/>
        <v>18</v>
      </c>
      <c r="F9190" s="137" t="s">
        <v>24</v>
      </c>
      <c r="G9190" s="128" t="str">
        <f>VLOOKUP(source[[#This Row],[lending_product_transform]],[3]Mapping!$B$4:$C$37,2,0)</f>
        <v>[Cake] - Cashloan</v>
      </c>
      <c r="H9190" s="128" t="str">
        <f>VLOOKUP(source[[#This Row],[lending_product_transform]],[3]Mapping!$B$3:$D$37,3,0)</f>
        <v>cashloan</v>
      </c>
      <c r="I9190" s="143">
        <v>170136405</v>
      </c>
    </row>
    <row r="9191" spans="1:9" x14ac:dyDescent="0.2">
      <c r="A9191" s="172">
        <v>45918</v>
      </c>
      <c r="B9191" s="135">
        <f>YEAR(source[[#This Row],[report_date]])</f>
        <v>2025</v>
      </c>
      <c r="C9191" s="128">
        <f t="shared" si="427"/>
        <v>9</v>
      </c>
      <c r="D9191" s="136">
        <f t="shared" si="429"/>
        <v>38</v>
      </c>
      <c r="E9191" s="136">
        <f t="shared" si="428"/>
        <v>18</v>
      </c>
      <c r="F9191" s="137" t="s">
        <v>24</v>
      </c>
      <c r="G9191" s="128" t="str">
        <f>VLOOKUP(source[[#This Row],[lending_product_transform]],[3]Mapping!$B$4:$C$37,2,0)</f>
        <v>[Cake] - Cashloan</v>
      </c>
      <c r="H9191" s="128" t="str">
        <f>VLOOKUP(source[[#This Row],[lending_product_transform]],[3]Mapping!$B$3:$D$37,3,0)</f>
        <v>cashloan</v>
      </c>
      <c r="I9191" s="143">
        <v>0</v>
      </c>
    </row>
    <row r="9192" spans="1:9" x14ac:dyDescent="0.2">
      <c r="A9192" s="172">
        <v>45918</v>
      </c>
      <c r="B9192" s="135">
        <f>YEAR(source[[#This Row],[report_date]])</f>
        <v>2025</v>
      </c>
      <c r="C9192" s="128">
        <f t="shared" si="427"/>
        <v>9</v>
      </c>
      <c r="D9192" s="136">
        <f t="shared" si="429"/>
        <v>38</v>
      </c>
      <c r="E9192" s="136">
        <f t="shared" si="428"/>
        <v>18</v>
      </c>
      <c r="F9192" s="137" t="s">
        <v>24</v>
      </c>
      <c r="G9192" s="128" t="str">
        <f>VLOOKUP(source[[#This Row],[lending_product_transform]],[3]Mapping!$B$4:$C$37,2,0)</f>
        <v>[Cake] - Cashloan</v>
      </c>
      <c r="H9192" s="128" t="str">
        <f>VLOOKUP(source[[#This Row],[lending_product_transform]],[3]Mapping!$B$3:$D$37,3,0)</f>
        <v>cashloan</v>
      </c>
      <c r="I9192" s="143">
        <v>18000000</v>
      </c>
    </row>
    <row r="9193" spans="1:9" x14ac:dyDescent="0.2">
      <c r="A9193" s="172">
        <v>45918</v>
      </c>
      <c r="B9193" s="135">
        <f>YEAR(source[[#This Row],[report_date]])</f>
        <v>2025</v>
      </c>
      <c r="C9193" s="128">
        <f t="shared" si="427"/>
        <v>9</v>
      </c>
      <c r="D9193" s="136">
        <f t="shared" si="429"/>
        <v>38</v>
      </c>
      <c r="E9193" s="136">
        <f t="shared" si="428"/>
        <v>18</v>
      </c>
      <c r="F9193" s="137" t="s">
        <v>24</v>
      </c>
      <c r="G9193" s="128" t="str">
        <f>VLOOKUP(source[[#This Row],[lending_product_transform]],[3]Mapping!$B$4:$C$37,2,0)</f>
        <v>[Cake] - Cashloan</v>
      </c>
      <c r="H9193" s="128" t="str">
        <f>VLOOKUP(source[[#This Row],[lending_product_transform]],[3]Mapping!$B$3:$D$37,3,0)</f>
        <v>cashloan</v>
      </c>
      <c r="I9193" s="143">
        <v>841710000</v>
      </c>
    </row>
    <row r="9194" spans="1:9" x14ac:dyDescent="0.2">
      <c r="A9194" s="172">
        <v>45918</v>
      </c>
      <c r="B9194" s="135">
        <f>YEAR(source[[#This Row],[report_date]])</f>
        <v>2025</v>
      </c>
      <c r="C9194" s="128">
        <f t="shared" si="427"/>
        <v>9</v>
      </c>
      <c r="D9194" s="136">
        <f t="shared" si="429"/>
        <v>38</v>
      </c>
      <c r="E9194" s="136">
        <f t="shared" si="428"/>
        <v>18</v>
      </c>
      <c r="F9194" s="137" t="s">
        <v>24</v>
      </c>
      <c r="G9194" s="128" t="str">
        <f>VLOOKUP(source[[#This Row],[lending_product_transform]],[3]Mapping!$B$4:$C$37,2,0)</f>
        <v>[Cake] - Cashloan</v>
      </c>
      <c r="H9194" s="128" t="str">
        <f>VLOOKUP(source[[#This Row],[lending_product_transform]],[3]Mapping!$B$3:$D$37,3,0)</f>
        <v>cashloan</v>
      </c>
      <c r="I9194" s="143">
        <v>0</v>
      </c>
    </row>
    <row r="9195" spans="1:9" x14ac:dyDescent="0.2">
      <c r="A9195" s="172">
        <v>45918</v>
      </c>
      <c r="B9195" s="135">
        <f>YEAR(source[[#This Row],[report_date]])</f>
        <v>2025</v>
      </c>
      <c r="C9195" s="128">
        <f t="shared" si="427"/>
        <v>9</v>
      </c>
      <c r="D9195" s="136">
        <f t="shared" si="429"/>
        <v>38</v>
      </c>
      <c r="E9195" s="136">
        <f t="shared" si="428"/>
        <v>18</v>
      </c>
      <c r="F9195" s="137" t="s">
        <v>24</v>
      </c>
      <c r="G9195" s="128" t="str">
        <f>VLOOKUP(source[[#This Row],[lending_product_transform]],[3]Mapping!$B$4:$C$37,2,0)</f>
        <v>[Cake] - Cashloan</v>
      </c>
      <c r="H9195" s="128" t="str">
        <f>VLOOKUP(source[[#This Row],[lending_product_transform]],[3]Mapping!$B$3:$D$37,3,0)</f>
        <v>cashloan</v>
      </c>
      <c r="I9195" s="143">
        <v>281357184</v>
      </c>
    </row>
    <row r="9196" spans="1:9" x14ac:dyDescent="0.2">
      <c r="A9196" s="172">
        <v>45918</v>
      </c>
      <c r="B9196" s="135">
        <f>YEAR(source[[#This Row],[report_date]])</f>
        <v>2025</v>
      </c>
      <c r="C9196" s="128">
        <f t="shared" si="427"/>
        <v>9</v>
      </c>
      <c r="D9196" s="136">
        <f t="shared" si="429"/>
        <v>38</v>
      </c>
      <c r="E9196" s="136">
        <f t="shared" si="428"/>
        <v>18</v>
      </c>
      <c r="F9196" s="137" t="s">
        <v>24</v>
      </c>
      <c r="G9196" s="128" t="str">
        <f>VLOOKUP(source[[#This Row],[lending_product_transform]],[3]Mapping!$B$4:$C$37,2,0)</f>
        <v>[Cake] - Cashloan</v>
      </c>
      <c r="H9196" s="128" t="str">
        <f>VLOOKUP(source[[#This Row],[lending_product_transform]],[3]Mapping!$B$3:$D$37,3,0)</f>
        <v>cashloan</v>
      </c>
      <c r="I9196" s="143">
        <v>2152310000</v>
      </c>
    </row>
    <row r="9197" spans="1:9" x14ac:dyDescent="0.2">
      <c r="A9197" s="172">
        <v>45919</v>
      </c>
      <c r="B9197" s="135">
        <f>YEAR(source[[#This Row],[report_date]])</f>
        <v>2025</v>
      </c>
      <c r="C9197" s="128">
        <f t="shared" si="427"/>
        <v>9</v>
      </c>
      <c r="D9197" s="136">
        <f t="shared" si="429"/>
        <v>38</v>
      </c>
      <c r="E9197" s="136">
        <f t="shared" si="428"/>
        <v>19</v>
      </c>
      <c r="F9197" s="137" t="s">
        <v>24</v>
      </c>
      <c r="G9197" s="128" t="str">
        <f>VLOOKUP(source[[#This Row],[lending_product_transform]],[3]Mapping!$B$4:$C$37,2,0)</f>
        <v>[Cake] - Cashloan</v>
      </c>
      <c r="H9197" s="128" t="str">
        <f>VLOOKUP(source[[#This Row],[lending_product_transform]],[3]Mapping!$B$3:$D$37,3,0)</f>
        <v>cashloan</v>
      </c>
      <c r="I9197" s="143">
        <v>0</v>
      </c>
    </row>
    <row r="9198" spans="1:9" x14ac:dyDescent="0.2">
      <c r="A9198" s="172">
        <v>45919</v>
      </c>
      <c r="B9198" s="135">
        <f>YEAR(source[[#This Row],[report_date]])</f>
        <v>2025</v>
      </c>
      <c r="C9198" s="128">
        <f t="shared" si="427"/>
        <v>9</v>
      </c>
      <c r="D9198" s="136">
        <f t="shared" si="429"/>
        <v>38</v>
      </c>
      <c r="E9198" s="136">
        <f t="shared" si="428"/>
        <v>19</v>
      </c>
      <c r="F9198" s="137" t="s">
        <v>24</v>
      </c>
      <c r="G9198" s="128" t="str">
        <f>VLOOKUP(source[[#This Row],[lending_product_transform]],[3]Mapping!$B$4:$C$37,2,0)</f>
        <v>[Cake] - Cashloan</v>
      </c>
      <c r="H9198" s="128" t="str">
        <f>VLOOKUP(source[[#This Row],[lending_product_transform]],[3]Mapping!$B$3:$D$37,3,0)</f>
        <v>cashloan</v>
      </c>
      <c r="I9198" s="143">
        <v>208849457</v>
      </c>
    </row>
    <row r="9199" spans="1:9" x14ac:dyDescent="0.2">
      <c r="A9199" s="172">
        <v>45919</v>
      </c>
      <c r="B9199" s="135">
        <f>YEAR(source[[#This Row],[report_date]])</f>
        <v>2025</v>
      </c>
      <c r="C9199" s="128">
        <f t="shared" si="427"/>
        <v>9</v>
      </c>
      <c r="D9199" s="136">
        <f t="shared" si="429"/>
        <v>38</v>
      </c>
      <c r="E9199" s="136">
        <f t="shared" si="428"/>
        <v>19</v>
      </c>
      <c r="F9199" s="137" t="s">
        <v>24</v>
      </c>
      <c r="G9199" s="128" t="str">
        <f>VLOOKUP(source[[#This Row],[lending_product_transform]],[3]Mapping!$B$4:$C$37,2,0)</f>
        <v>[Cake] - Cashloan</v>
      </c>
      <c r="H9199" s="128" t="str">
        <f>VLOOKUP(source[[#This Row],[lending_product_transform]],[3]Mapping!$B$3:$D$37,3,0)</f>
        <v>cashloan</v>
      </c>
      <c r="I9199" s="143">
        <v>15707010000</v>
      </c>
    </row>
    <row r="9200" spans="1:9" x14ac:dyDescent="0.2">
      <c r="A9200" s="172">
        <v>45919</v>
      </c>
      <c r="B9200" s="135">
        <f>YEAR(source[[#This Row],[report_date]])</f>
        <v>2025</v>
      </c>
      <c r="C9200" s="128">
        <f t="shared" si="427"/>
        <v>9</v>
      </c>
      <c r="D9200" s="136">
        <f t="shared" si="429"/>
        <v>38</v>
      </c>
      <c r="E9200" s="136">
        <f t="shared" si="428"/>
        <v>19</v>
      </c>
      <c r="F9200" s="137" t="s">
        <v>24</v>
      </c>
      <c r="G9200" s="128" t="str">
        <f>VLOOKUP(source[[#This Row],[lending_product_transform]],[3]Mapping!$B$4:$C$37,2,0)</f>
        <v>[Cake] - Cashloan</v>
      </c>
      <c r="H9200" s="128" t="str">
        <f>VLOOKUP(source[[#This Row],[lending_product_transform]],[3]Mapping!$B$3:$D$37,3,0)</f>
        <v>cashloan</v>
      </c>
      <c r="I9200" s="143">
        <v>2744565142</v>
      </c>
    </row>
    <row r="9201" spans="1:9" x14ac:dyDescent="0.2">
      <c r="A9201" s="172">
        <v>45919</v>
      </c>
      <c r="B9201" s="135">
        <f>YEAR(source[[#This Row],[report_date]])</f>
        <v>2025</v>
      </c>
      <c r="C9201" s="128">
        <f t="shared" si="427"/>
        <v>9</v>
      </c>
      <c r="D9201" s="136">
        <f t="shared" si="429"/>
        <v>38</v>
      </c>
      <c r="E9201" s="136">
        <f t="shared" si="428"/>
        <v>19</v>
      </c>
      <c r="F9201" s="137" t="s">
        <v>24</v>
      </c>
      <c r="G9201" s="128" t="str">
        <f>VLOOKUP(source[[#This Row],[lending_product_transform]],[3]Mapping!$B$4:$C$37,2,0)</f>
        <v>[Cake] - Cashloan</v>
      </c>
      <c r="H9201" s="128" t="str">
        <f>VLOOKUP(source[[#This Row],[lending_product_transform]],[3]Mapping!$B$3:$D$37,3,0)</f>
        <v>cashloan</v>
      </c>
      <c r="I9201" s="143">
        <v>7456968000</v>
      </c>
    </row>
    <row r="9202" spans="1:9" x14ac:dyDescent="0.2">
      <c r="A9202" s="172">
        <v>45919</v>
      </c>
      <c r="B9202" s="135">
        <f>YEAR(source[[#This Row],[report_date]])</f>
        <v>2025</v>
      </c>
      <c r="C9202" s="128">
        <f t="shared" si="427"/>
        <v>9</v>
      </c>
      <c r="D9202" s="136">
        <f t="shared" si="429"/>
        <v>38</v>
      </c>
      <c r="E9202" s="136">
        <f t="shared" si="428"/>
        <v>19</v>
      </c>
      <c r="F9202" s="137" t="s">
        <v>24</v>
      </c>
      <c r="G9202" s="128" t="str">
        <f>VLOOKUP(source[[#This Row],[lending_product_transform]],[3]Mapping!$B$4:$C$37,2,0)</f>
        <v>[Cake] - Cashloan</v>
      </c>
      <c r="H9202" s="128" t="str">
        <f>VLOOKUP(source[[#This Row],[lending_product_transform]],[3]Mapping!$B$3:$D$37,3,0)</f>
        <v>cashloan</v>
      </c>
      <c r="I9202" s="143">
        <v>8087886</v>
      </c>
    </row>
    <row r="9203" spans="1:9" x14ac:dyDescent="0.2">
      <c r="A9203" s="172">
        <v>45919</v>
      </c>
      <c r="B9203" s="135">
        <f>YEAR(source[[#This Row],[report_date]])</f>
        <v>2025</v>
      </c>
      <c r="C9203" s="128">
        <f t="shared" si="427"/>
        <v>9</v>
      </c>
      <c r="D9203" s="136">
        <f t="shared" si="429"/>
        <v>38</v>
      </c>
      <c r="E9203" s="136">
        <f t="shared" si="428"/>
        <v>19</v>
      </c>
      <c r="F9203" s="137" t="s">
        <v>24</v>
      </c>
      <c r="G9203" s="128" t="str">
        <f>VLOOKUP(source[[#This Row],[lending_product_transform]],[3]Mapping!$B$4:$C$37,2,0)</f>
        <v>[Cake] - Cashloan</v>
      </c>
      <c r="H9203" s="128" t="str">
        <f>VLOOKUP(source[[#This Row],[lending_product_transform]],[3]Mapping!$B$3:$D$37,3,0)</f>
        <v>cashloan</v>
      </c>
      <c r="I9203" s="143">
        <v>3975570000</v>
      </c>
    </row>
    <row r="9204" spans="1:9" x14ac:dyDescent="0.2">
      <c r="A9204" s="172">
        <v>45919</v>
      </c>
      <c r="B9204" s="135">
        <f>YEAR(source[[#This Row],[report_date]])</f>
        <v>2025</v>
      </c>
      <c r="C9204" s="128">
        <f t="shared" si="427"/>
        <v>9</v>
      </c>
      <c r="D9204" s="136">
        <f t="shared" si="429"/>
        <v>38</v>
      </c>
      <c r="E9204" s="136">
        <f t="shared" si="428"/>
        <v>19</v>
      </c>
      <c r="F9204" s="137" t="s">
        <v>24</v>
      </c>
      <c r="G9204" s="128" t="str">
        <f>VLOOKUP(source[[#This Row],[lending_product_transform]],[3]Mapping!$B$4:$C$37,2,0)</f>
        <v>[Cake] - Cashloan</v>
      </c>
      <c r="H9204" s="128" t="str">
        <f>VLOOKUP(source[[#This Row],[lending_product_transform]],[3]Mapping!$B$3:$D$37,3,0)</f>
        <v>cashloan</v>
      </c>
      <c r="I9204" s="143">
        <v>32461000</v>
      </c>
    </row>
    <row r="9205" spans="1:9" x14ac:dyDescent="0.2">
      <c r="A9205" s="172">
        <v>45919</v>
      </c>
      <c r="B9205" s="135">
        <f>YEAR(source[[#This Row],[report_date]])</f>
        <v>2025</v>
      </c>
      <c r="C9205" s="128">
        <f t="shared" si="427"/>
        <v>9</v>
      </c>
      <c r="D9205" s="136">
        <f t="shared" si="429"/>
        <v>38</v>
      </c>
      <c r="E9205" s="136">
        <f t="shared" si="428"/>
        <v>19</v>
      </c>
      <c r="F9205" s="137" t="s">
        <v>24</v>
      </c>
      <c r="G9205" s="128" t="str">
        <f>VLOOKUP(source[[#This Row],[lending_product_transform]],[3]Mapping!$B$4:$C$37,2,0)</f>
        <v>[Cake] - Cashloan</v>
      </c>
      <c r="H9205" s="128" t="str">
        <f>VLOOKUP(source[[#This Row],[lending_product_transform]],[3]Mapping!$B$3:$D$37,3,0)</f>
        <v>cashloan</v>
      </c>
      <c r="I9205" s="143">
        <v>515400000</v>
      </c>
    </row>
    <row r="9206" spans="1:9" x14ac:dyDescent="0.2">
      <c r="A9206" s="172">
        <v>45919</v>
      </c>
      <c r="B9206" s="135">
        <f>YEAR(source[[#This Row],[report_date]])</f>
        <v>2025</v>
      </c>
      <c r="C9206" s="128">
        <f t="shared" ref="C9206:C9269" si="430">MONTH(A9206)</f>
        <v>9</v>
      </c>
      <c r="D9206" s="136">
        <f t="shared" si="429"/>
        <v>38</v>
      </c>
      <c r="E9206" s="136">
        <f t="shared" ref="E9206:E9269" si="431">DAY(A9206)</f>
        <v>19</v>
      </c>
      <c r="F9206" s="137" t="s">
        <v>24</v>
      </c>
      <c r="G9206" s="128" t="str">
        <f>VLOOKUP(source[[#This Row],[lending_product_transform]],[3]Mapping!$B$4:$C$37,2,0)</f>
        <v>[Cake] - Cashloan</v>
      </c>
      <c r="H9206" s="128" t="str">
        <f>VLOOKUP(source[[#This Row],[lending_product_transform]],[3]Mapping!$B$3:$D$37,3,0)</f>
        <v>cashloan</v>
      </c>
      <c r="I9206" s="143">
        <v>0</v>
      </c>
    </row>
    <row r="9207" spans="1:9" x14ac:dyDescent="0.2">
      <c r="A9207" s="172">
        <v>45919</v>
      </c>
      <c r="B9207" s="135">
        <f>YEAR(source[[#This Row],[report_date]])</f>
        <v>2025</v>
      </c>
      <c r="C9207" s="128">
        <f t="shared" si="430"/>
        <v>9</v>
      </c>
      <c r="D9207" s="136">
        <f t="shared" si="429"/>
        <v>38</v>
      </c>
      <c r="E9207" s="136">
        <f t="shared" si="431"/>
        <v>19</v>
      </c>
      <c r="F9207" s="137" t="s">
        <v>24</v>
      </c>
      <c r="G9207" s="128" t="str">
        <f>VLOOKUP(source[[#This Row],[lending_product_transform]],[3]Mapping!$B$4:$C$37,2,0)</f>
        <v>[Cake] - Cashloan</v>
      </c>
      <c r="H9207" s="128" t="str">
        <f>VLOOKUP(source[[#This Row],[lending_product_transform]],[3]Mapping!$B$3:$D$37,3,0)</f>
        <v>cashloan</v>
      </c>
      <c r="I9207" s="143">
        <v>121250000</v>
      </c>
    </row>
    <row r="9208" spans="1:9" x14ac:dyDescent="0.2">
      <c r="A9208" s="172">
        <v>45919</v>
      </c>
      <c r="B9208" s="135">
        <f>YEAR(source[[#This Row],[report_date]])</f>
        <v>2025</v>
      </c>
      <c r="C9208" s="128">
        <f t="shared" si="430"/>
        <v>9</v>
      </c>
      <c r="D9208" s="136">
        <f t="shared" si="429"/>
        <v>38</v>
      </c>
      <c r="E9208" s="136">
        <f t="shared" si="431"/>
        <v>19</v>
      </c>
      <c r="F9208" s="137" t="s">
        <v>24</v>
      </c>
      <c r="G9208" s="128" t="str">
        <f>VLOOKUP(source[[#This Row],[lending_product_transform]],[3]Mapping!$B$4:$C$37,2,0)</f>
        <v>[Cake] - Cashloan</v>
      </c>
      <c r="H9208" s="128" t="str">
        <f>VLOOKUP(source[[#This Row],[lending_product_transform]],[3]Mapping!$B$3:$D$37,3,0)</f>
        <v>cashloan</v>
      </c>
      <c r="I9208" s="143">
        <v>15013820000</v>
      </c>
    </row>
    <row r="9209" spans="1:9" x14ac:dyDescent="0.2">
      <c r="A9209" s="172">
        <v>45919</v>
      </c>
      <c r="B9209" s="135">
        <f>YEAR(source[[#This Row],[report_date]])</f>
        <v>2025</v>
      </c>
      <c r="C9209" s="128">
        <f t="shared" si="430"/>
        <v>9</v>
      </c>
      <c r="D9209" s="136">
        <f t="shared" si="429"/>
        <v>38</v>
      </c>
      <c r="E9209" s="136">
        <f t="shared" si="431"/>
        <v>19</v>
      </c>
      <c r="F9209" s="137" t="s">
        <v>24</v>
      </c>
      <c r="G9209" s="128" t="str">
        <f>VLOOKUP(source[[#This Row],[lending_product_transform]],[3]Mapping!$B$4:$C$37,2,0)</f>
        <v>[Cake] - Cashloan</v>
      </c>
      <c r="H9209" s="128" t="str">
        <f>VLOOKUP(source[[#This Row],[lending_product_transform]],[3]Mapping!$B$3:$D$37,3,0)</f>
        <v>cashloan</v>
      </c>
      <c r="I9209" s="143">
        <v>0</v>
      </c>
    </row>
    <row r="9210" spans="1:9" x14ac:dyDescent="0.2">
      <c r="A9210" s="172">
        <v>45919</v>
      </c>
      <c r="B9210" s="135">
        <f>YEAR(source[[#This Row],[report_date]])</f>
        <v>2025</v>
      </c>
      <c r="C9210" s="128">
        <f t="shared" si="430"/>
        <v>9</v>
      </c>
      <c r="D9210" s="136">
        <f t="shared" si="429"/>
        <v>38</v>
      </c>
      <c r="E9210" s="136">
        <f t="shared" si="431"/>
        <v>19</v>
      </c>
      <c r="F9210" s="137" t="s">
        <v>24</v>
      </c>
      <c r="G9210" s="128" t="str">
        <f>VLOOKUP(source[[#This Row],[lending_product_transform]],[3]Mapping!$B$4:$C$37,2,0)</f>
        <v>[Cake] - Cashloan</v>
      </c>
      <c r="H9210" s="128" t="str">
        <f>VLOOKUP(source[[#This Row],[lending_product_transform]],[3]Mapping!$B$3:$D$37,3,0)</f>
        <v>cashloan</v>
      </c>
      <c r="I9210" s="143">
        <v>0</v>
      </c>
    </row>
    <row r="9211" spans="1:9" x14ac:dyDescent="0.2">
      <c r="A9211" s="172">
        <v>45919</v>
      </c>
      <c r="B9211" s="135">
        <f>YEAR(source[[#This Row],[report_date]])</f>
        <v>2025</v>
      </c>
      <c r="C9211" s="128">
        <f t="shared" si="430"/>
        <v>9</v>
      </c>
      <c r="D9211" s="136">
        <f t="shared" si="429"/>
        <v>38</v>
      </c>
      <c r="E9211" s="136">
        <f t="shared" si="431"/>
        <v>19</v>
      </c>
      <c r="F9211" s="137" t="s">
        <v>24</v>
      </c>
      <c r="G9211" s="128" t="str">
        <f>VLOOKUP(source[[#This Row],[lending_product_transform]],[3]Mapping!$B$4:$C$37,2,0)</f>
        <v>[Cake] - Cashloan</v>
      </c>
      <c r="H9211" s="128" t="str">
        <f>VLOOKUP(source[[#This Row],[lending_product_transform]],[3]Mapping!$B$3:$D$37,3,0)</f>
        <v>cashloan</v>
      </c>
      <c r="I9211" s="143">
        <v>0</v>
      </c>
    </row>
    <row r="9212" spans="1:9" x14ac:dyDescent="0.2">
      <c r="A9212" s="172">
        <v>45919</v>
      </c>
      <c r="B9212" s="135">
        <f>YEAR(source[[#This Row],[report_date]])</f>
        <v>2025</v>
      </c>
      <c r="C9212" s="128">
        <f t="shared" si="430"/>
        <v>9</v>
      </c>
      <c r="D9212" s="136">
        <f t="shared" si="429"/>
        <v>38</v>
      </c>
      <c r="E9212" s="136">
        <f t="shared" si="431"/>
        <v>19</v>
      </c>
      <c r="F9212" s="137" t="s">
        <v>24</v>
      </c>
      <c r="G9212" s="128" t="str">
        <f>VLOOKUP(source[[#This Row],[lending_product_transform]],[3]Mapping!$B$4:$C$37,2,0)</f>
        <v>[Cake] - Cashloan</v>
      </c>
      <c r="H9212" s="128" t="str">
        <f>VLOOKUP(source[[#This Row],[lending_product_transform]],[3]Mapping!$B$3:$D$37,3,0)</f>
        <v>cashloan</v>
      </c>
      <c r="I9212" s="143">
        <v>0</v>
      </c>
    </row>
    <row r="9213" spans="1:9" x14ac:dyDescent="0.2">
      <c r="A9213" s="172">
        <v>45919</v>
      </c>
      <c r="B9213" s="135">
        <f>YEAR(source[[#This Row],[report_date]])</f>
        <v>2025</v>
      </c>
      <c r="C9213" s="128">
        <f t="shared" si="430"/>
        <v>9</v>
      </c>
      <c r="D9213" s="136">
        <f t="shared" si="429"/>
        <v>38</v>
      </c>
      <c r="E9213" s="136">
        <f t="shared" si="431"/>
        <v>19</v>
      </c>
      <c r="F9213" s="137" t="s">
        <v>24</v>
      </c>
      <c r="G9213" s="128" t="str">
        <f>VLOOKUP(source[[#This Row],[lending_product_transform]],[3]Mapping!$B$4:$C$37,2,0)</f>
        <v>[Cake] - Cashloan</v>
      </c>
      <c r="H9213" s="128" t="str">
        <f>VLOOKUP(source[[#This Row],[lending_product_transform]],[3]Mapping!$B$3:$D$37,3,0)</f>
        <v>cashloan</v>
      </c>
      <c r="I9213" s="143">
        <v>9548388000</v>
      </c>
    </row>
    <row r="9214" spans="1:9" x14ac:dyDescent="0.2">
      <c r="A9214" s="172">
        <v>45919</v>
      </c>
      <c r="B9214" s="135">
        <f>YEAR(source[[#This Row],[report_date]])</f>
        <v>2025</v>
      </c>
      <c r="C9214" s="128">
        <f t="shared" si="430"/>
        <v>9</v>
      </c>
      <c r="D9214" s="136">
        <f t="shared" si="429"/>
        <v>38</v>
      </c>
      <c r="E9214" s="136">
        <f t="shared" si="431"/>
        <v>19</v>
      </c>
      <c r="F9214" s="137" t="s">
        <v>24</v>
      </c>
      <c r="G9214" s="128" t="str">
        <f>VLOOKUP(source[[#This Row],[lending_product_transform]],[3]Mapping!$B$4:$C$37,2,0)</f>
        <v>[Cake] - Cashloan</v>
      </c>
      <c r="H9214" s="128" t="str">
        <f>VLOOKUP(source[[#This Row],[lending_product_transform]],[3]Mapping!$B$3:$D$37,3,0)</f>
        <v>cashloan</v>
      </c>
      <c r="I9214" s="143">
        <v>166864876</v>
      </c>
    </row>
    <row r="9215" spans="1:9" x14ac:dyDescent="0.2">
      <c r="A9215" s="172">
        <v>45919</v>
      </c>
      <c r="B9215" s="135">
        <f>YEAR(source[[#This Row],[report_date]])</f>
        <v>2025</v>
      </c>
      <c r="C9215" s="128">
        <f t="shared" si="430"/>
        <v>9</v>
      </c>
      <c r="D9215" s="136">
        <f t="shared" si="429"/>
        <v>38</v>
      </c>
      <c r="E9215" s="136">
        <f t="shared" si="431"/>
        <v>19</v>
      </c>
      <c r="F9215" s="137" t="s">
        <v>24</v>
      </c>
      <c r="G9215" s="128" t="str">
        <f>VLOOKUP(source[[#This Row],[lending_product_transform]],[3]Mapping!$B$4:$C$37,2,0)</f>
        <v>[Cake] - Cashloan</v>
      </c>
      <c r="H9215" s="128" t="str">
        <f>VLOOKUP(source[[#This Row],[lending_product_transform]],[3]Mapping!$B$3:$D$37,3,0)</f>
        <v>cashloan</v>
      </c>
      <c r="I9215" s="143">
        <v>0</v>
      </c>
    </row>
    <row r="9216" spans="1:9" x14ac:dyDescent="0.2">
      <c r="A9216" s="172">
        <v>45919</v>
      </c>
      <c r="B9216" s="135">
        <f>YEAR(source[[#This Row],[report_date]])</f>
        <v>2025</v>
      </c>
      <c r="C9216" s="128">
        <f t="shared" si="430"/>
        <v>9</v>
      </c>
      <c r="D9216" s="136">
        <f t="shared" si="429"/>
        <v>38</v>
      </c>
      <c r="E9216" s="136">
        <f t="shared" si="431"/>
        <v>19</v>
      </c>
      <c r="F9216" s="137" t="s">
        <v>24</v>
      </c>
      <c r="G9216" s="128" t="str">
        <f>VLOOKUP(source[[#This Row],[lending_product_transform]],[3]Mapping!$B$4:$C$37,2,0)</f>
        <v>[Cake] - Cashloan</v>
      </c>
      <c r="H9216" s="128" t="str">
        <f>VLOOKUP(source[[#This Row],[lending_product_transform]],[3]Mapping!$B$3:$D$37,3,0)</f>
        <v>cashloan</v>
      </c>
      <c r="I9216" s="143">
        <v>38000000</v>
      </c>
    </row>
    <row r="9217" spans="1:9" x14ac:dyDescent="0.2">
      <c r="A9217" s="172">
        <v>45919</v>
      </c>
      <c r="B9217" s="135">
        <f>YEAR(source[[#This Row],[report_date]])</f>
        <v>2025</v>
      </c>
      <c r="C9217" s="128">
        <f t="shared" si="430"/>
        <v>9</v>
      </c>
      <c r="D9217" s="136">
        <f t="shared" si="429"/>
        <v>38</v>
      </c>
      <c r="E9217" s="136">
        <f t="shared" si="431"/>
        <v>19</v>
      </c>
      <c r="F9217" s="137" t="s">
        <v>24</v>
      </c>
      <c r="G9217" s="128" t="str">
        <f>VLOOKUP(source[[#This Row],[lending_product_transform]],[3]Mapping!$B$4:$C$37,2,0)</f>
        <v>[Cake] - Cashloan</v>
      </c>
      <c r="H9217" s="128" t="str">
        <f>VLOOKUP(source[[#This Row],[lending_product_transform]],[3]Mapping!$B$3:$D$37,3,0)</f>
        <v>cashloan</v>
      </c>
      <c r="I9217" s="143">
        <v>955480000</v>
      </c>
    </row>
    <row r="9218" spans="1:9" x14ac:dyDescent="0.2">
      <c r="A9218" s="172">
        <v>45919</v>
      </c>
      <c r="B9218" s="135">
        <f>YEAR(source[[#This Row],[report_date]])</f>
        <v>2025</v>
      </c>
      <c r="C9218" s="128">
        <f t="shared" si="430"/>
        <v>9</v>
      </c>
      <c r="D9218" s="136">
        <f t="shared" si="429"/>
        <v>38</v>
      </c>
      <c r="E9218" s="136">
        <f t="shared" si="431"/>
        <v>19</v>
      </c>
      <c r="F9218" s="137" t="s">
        <v>24</v>
      </c>
      <c r="G9218" s="128" t="str">
        <f>VLOOKUP(source[[#This Row],[lending_product_transform]],[3]Mapping!$B$4:$C$37,2,0)</f>
        <v>[Cake] - Cashloan</v>
      </c>
      <c r="H9218" s="128" t="str">
        <f>VLOOKUP(source[[#This Row],[lending_product_transform]],[3]Mapping!$B$3:$D$37,3,0)</f>
        <v>cashloan</v>
      </c>
      <c r="I9218" s="143">
        <v>0</v>
      </c>
    </row>
    <row r="9219" spans="1:9" x14ac:dyDescent="0.2">
      <c r="A9219" s="172">
        <v>45919</v>
      </c>
      <c r="B9219" s="135">
        <f>YEAR(source[[#This Row],[report_date]])</f>
        <v>2025</v>
      </c>
      <c r="C9219" s="128">
        <f t="shared" si="430"/>
        <v>9</v>
      </c>
      <c r="D9219" s="136">
        <f t="shared" ref="D9219:D9282" si="432">WEEKNUM(A9219,2)</f>
        <v>38</v>
      </c>
      <c r="E9219" s="136">
        <f t="shared" si="431"/>
        <v>19</v>
      </c>
      <c r="F9219" s="137" t="s">
        <v>24</v>
      </c>
      <c r="G9219" s="128" t="str">
        <f>VLOOKUP(source[[#This Row],[lending_product_transform]],[3]Mapping!$B$4:$C$37,2,0)</f>
        <v>[Cake] - Cashloan</v>
      </c>
      <c r="H9219" s="128" t="str">
        <f>VLOOKUP(source[[#This Row],[lending_product_transform]],[3]Mapping!$B$3:$D$37,3,0)</f>
        <v>cashloan</v>
      </c>
      <c r="I9219" s="143">
        <v>340570542</v>
      </c>
    </row>
    <row r="9220" spans="1:9" x14ac:dyDescent="0.2">
      <c r="A9220" s="172">
        <v>45919</v>
      </c>
      <c r="B9220" s="135">
        <f>YEAR(source[[#This Row],[report_date]])</f>
        <v>2025</v>
      </c>
      <c r="C9220" s="128">
        <f t="shared" si="430"/>
        <v>9</v>
      </c>
      <c r="D9220" s="136">
        <f t="shared" si="432"/>
        <v>38</v>
      </c>
      <c r="E9220" s="136">
        <f t="shared" si="431"/>
        <v>19</v>
      </c>
      <c r="F9220" s="137" t="s">
        <v>24</v>
      </c>
      <c r="G9220" s="128" t="str">
        <f>VLOOKUP(source[[#This Row],[lending_product_transform]],[3]Mapping!$B$4:$C$37,2,0)</f>
        <v>[Cake] - Cashloan</v>
      </c>
      <c r="H9220" s="128" t="str">
        <f>VLOOKUP(source[[#This Row],[lending_product_transform]],[3]Mapping!$B$3:$D$37,3,0)</f>
        <v>cashloan</v>
      </c>
      <c r="I9220" s="143">
        <v>3018290000</v>
      </c>
    </row>
    <row r="9221" spans="1:9" x14ac:dyDescent="0.2">
      <c r="A9221" s="172">
        <v>45920</v>
      </c>
      <c r="B9221" s="135">
        <f>YEAR(source[[#This Row],[report_date]])</f>
        <v>2025</v>
      </c>
      <c r="C9221" s="128">
        <f t="shared" si="430"/>
        <v>9</v>
      </c>
      <c r="D9221" s="136">
        <f t="shared" si="432"/>
        <v>38</v>
      </c>
      <c r="E9221" s="136">
        <f t="shared" si="431"/>
        <v>20</v>
      </c>
      <c r="F9221" s="137" t="s">
        <v>24</v>
      </c>
      <c r="G9221" s="128" t="str">
        <f>VLOOKUP(source[[#This Row],[lending_product_transform]],[3]Mapping!$B$4:$C$37,2,0)</f>
        <v>[Cake] - Cashloan</v>
      </c>
      <c r="H9221" s="128" t="str">
        <f>VLOOKUP(source[[#This Row],[lending_product_transform]],[3]Mapping!$B$3:$D$37,3,0)</f>
        <v>cashloan</v>
      </c>
      <c r="I9221" s="143">
        <v>0</v>
      </c>
    </row>
    <row r="9222" spans="1:9" x14ac:dyDescent="0.2">
      <c r="A9222" s="172">
        <v>45920</v>
      </c>
      <c r="B9222" s="135">
        <f>YEAR(source[[#This Row],[report_date]])</f>
        <v>2025</v>
      </c>
      <c r="C9222" s="128">
        <f t="shared" si="430"/>
        <v>9</v>
      </c>
      <c r="D9222" s="136">
        <f t="shared" si="432"/>
        <v>38</v>
      </c>
      <c r="E9222" s="136">
        <f t="shared" si="431"/>
        <v>20</v>
      </c>
      <c r="F9222" s="137" t="s">
        <v>24</v>
      </c>
      <c r="G9222" s="128" t="str">
        <f>VLOOKUP(source[[#This Row],[lending_product_transform]],[3]Mapping!$B$4:$C$37,2,0)</f>
        <v>[Cake] - Cashloan</v>
      </c>
      <c r="H9222" s="128" t="str">
        <f>VLOOKUP(source[[#This Row],[lending_product_transform]],[3]Mapping!$B$3:$D$37,3,0)</f>
        <v>cashloan</v>
      </c>
      <c r="I9222" s="143">
        <v>225179220</v>
      </c>
    </row>
    <row r="9223" spans="1:9" x14ac:dyDescent="0.2">
      <c r="A9223" s="172">
        <v>45920</v>
      </c>
      <c r="B9223" s="135">
        <f>YEAR(source[[#This Row],[report_date]])</f>
        <v>2025</v>
      </c>
      <c r="C9223" s="128">
        <f t="shared" si="430"/>
        <v>9</v>
      </c>
      <c r="D9223" s="136">
        <f t="shared" si="432"/>
        <v>38</v>
      </c>
      <c r="E9223" s="136">
        <f t="shared" si="431"/>
        <v>20</v>
      </c>
      <c r="F9223" s="137" t="s">
        <v>24</v>
      </c>
      <c r="G9223" s="128" t="str">
        <f>VLOOKUP(source[[#This Row],[lending_product_transform]],[3]Mapping!$B$4:$C$37,2,0)</f>
        <v>[Cake] - Cashloan</v>
      </c>
      <c r="H9223" s="128" t="str">
        <f>VLOOKUP(source[[#This Row],[lending_product_transform]],[3]Mapping!$B$3:$D$37,3,0)</f>
        <v>cashloan</v>
      </c>
      <c r="I9223" s="143">
        <v>15053370000</v>
      </c>
    </row>
    <row r="9224" spans="1:9" x14ac:dyDescent="0.2">
      <c r="A9224" s="172">
        <v>45920</v>
      </c>
      <c r="B9224" s="135">
        <f>YEAR(source[[#This Row],[report_date]])</f>
        <v>2025</v>
      </c>
      <c r="C9224" s="128">
        <f t="shared" si="430"/>
        <v>9</v>
      </c>
      <c r="D9224" s="136">
        <f t="shared" si="432"/>
        <v>38</v>
      </c>
      <c r="E9224" s="136">
        <f t="shared" si="431"/>
        <v>20</v>
      </c>
      <c r="F9224" s="137" t="s">
        <v>24</v>
      </c>
      <c r="G9224" s="128" t="str">
        <f>VLOOKUP(source[[#This Row],[lending_product_transform]],[3]Mapping!$B$4:$C$37,2,0)</f>
        <v>[Cake] - Cashloan</v>
      </c>
      <c r="H9224" s="128" t="str">
        <f>VLOOKUP(source[[#This Row],[lending_product_transform]],[3]Mapping!$B$3:$D$37,3,0)</f>
        <v>cashloan</v>
      </c>
      <c r="I9224" s="143">
        <v>2499449576</v>
      </c>
    </row>
    <row r="9225" spans="1:9" x14ac:dyDescent="0.2">
      <c r="A9225" s="172">
        <v>45920</v>
      </c>
      <c r="B9225" s="135">
        <f>YEAR(source[[#This Row],[report_date]])</f>
        <v>2025</v>
      </c>
      <c r="C9225" s="128">
        <f t="shared" si="430"/>
        <v>9</v>
      </c>
      <c r="D9225" s="136">
        <f t="shared" si="432"/>
        <v>38</v>
      </c>
      <c r="E9225" s="136">
        <f t="shared" si="431"/>
        <v>20</v>
      </c>
      <c r="F9225" s="137" t="s">
        <v>24</v>
      </c>
      <c r="G9225" s="128" t="str">
        <f>VLOOKUP(source[[#This Row],[lending_product_transform]],[3]Mapping!$B$4:$C$37,2,0)</f>
        <v>[Cake] - Cashloan</v>
      </c>
      <c r="H9225" s="128" t="str">
        <f>VLOOKUP(source[[#This Row],[lending_product_transform]],[3]Mapping!$B$3:$D$37,3,0)</f>
        <v>cashloan</v>
      </c>
      <c r="I9225" s="143">
        <v>6960168000</v>
      </c>
    </row>
    <row r="9226" spans="1:9" x14ac:dyDescent="0.2">
      <c r="A9226" s="172">
        <v>45920</v>
      </c>
      <c r="B9226" s="135">
        <f>YEAR(source[[#This Row],[report_date]])</f>
        <v>2025</v>
      </c>
      <c r="C9226" s="128">
        <f t="shared" si="430"/>
        <v>9</v>
      </c>
      <c r="D9226" s="136">
        <f t="shared" si="432"/>
        <v>38</v>
      </c>
      <c r="E9226" s="136">
        <f t="shared" si="431"/>
        <v>20</v>
      </c>
      <c r="F9226" s="137" t="s">
        <v>24</v>
      </c>
      <c r="G9226" s="128" t="str">
        <f>VLOOKUP(source[[#This Row],[lending_product_transform]],[3]Mapping!$B$4:$C$37,2,0)</f>
        <v>[Cake] - Cashloan</v>
      </c>
      <c r="H9226" s="128" t="str">
        <f>VLOOKUP(source[[#This Row],[lending_product_transform]],[3]Mapping!$B$3:$D$37,3,0)</f>
        <v>cashloan</v>
      </c>
      <c r="I9226" s="143">
        <v>13550238</v>
      </c>
    </row>
    <row r="9227" spans="1:9" x14ac:dyDescent="0.2">
      <c r="A9227" s="172">
        <v>45920</v>
      </c>
      <c r="B9227" s="135">
        <f>YEAR(source[[#This Row],[report_date]])</f>
        <v>2025</v>
      </c>
      <c r="C9227" s="128">
        <f t="shared" si="430"/>
        <v>9</v>
      </c>
      <c r="D9227" s="136">
        <f t="shared" si="432"/>
        <v>38</v>
      </c>
      <c r="E9227" s="136">
        <f t="shared" si="431"/>
        <v>20</v>
      </c>
      <c r="F9227" s="137" t="s">
        <v>24</v>
      </c>
      <c r="G9227" s="128" t="str">
        <f>VLOOKUP(source[[#This Row],[lending_product_transform]],[3]Mapping!$B$4:$C$37,2,0)</f>
        <v>[Cake] - Cashloan</v>
      </c>
      <c r="H9227" s="128" t="str">
        <f>VLOOKUP(source[[#This Row],[lending_product_transform]],[3]Mapping!$B$3:$D$37,3,0)</f>
        <v>cashloan</v>
      </c>
      <c r="I9227" s="143">
        <v>3515300000</v>
      </c>
    </row>
    <row r="9228" spans="1:9" x14ac:dyDescent="0.2">
      <c r="A9228" s="172">
        <v>45920</v>
      </c>
      <c r="B9228" s="135">
        <f>YEAR(source[[#This Row],[report_date]])</f>
        <v>2025</v>
      </c>
      <c r="C9228" s="128">
        <f t="shared" si="430"/>
        <v>9</v>
      </c>
      <c r="D9228" s="136">
        <f t="shared" si="432"/>
        <v>38</v>
      </c>
      <c r="E9228" s="136">
        <f t="shared" si="431"/>
        <v>20</v>
      </c>
      <c r="F9228" s="137" t="s">
        <v>24</v>
      </c>
      <c r="G9228" s="128" t="str">
        <f>VLOOKUP(source[[#This Row],[lending_product_transform]],[3]Mapping!$B$4:$C$37,2,0)</f>
        <v>[Cake] - Cashloan</v>
      </c>
      <c r="H9228" s="128" t="str">
        <f>VLOOKUP(source[[#This Row],[lending_product_transform]],[3]Mapping!$B$3:$D$37,3,0)</f>
        <v>cashloan</v>
      </c>
      <c r="I9228" s="143">
        <v>62992850</v>
      </c>
    </row>
    <row r="9229" spans="1:9" x14ac:dyDescent="0.2">
      <c r="A9229" s="172">
        <v>45920</v>
      </c>
      <c r="B9229" s="135">
        <f>YEAR(source[[#This Row],[report_date]])</f>
        <v>2025</v>
      </c>
      <c r="C9229" s="128">
        <f t="shared" si="430"/>
        <v>9</v>
      </c>
      <c r="D9229" s="136">
        <f t="shared" si="432"/>
        <v>38</v>
      </c>
      <c r="E9229" s="136">
        <f t="shared" si="431"/>
        <v>20</v>
      </c>
      <c r="F9229" s="137" t="s">
        <v>24</v>
      </c>
      <c r="G9229" s="128" t="str">
        <f>VLOOKUP(source[[#This Row],[lending_product_transform]],[3]Mapping!$B$4:$C$37,2,0)</f>
        <v>[Cake] - Cashloan</v>
      </c>
      <c r="H9229" s="128" t="str">
        <f>VLOOKUP(source[[#This Row],[lending_product_transform]],[3]Mapping!$B$3:$D$37,3,0)</f>
        <v>cashloan</v>
      </c>
      <c r="I9229" s="143">
        <v>389591000</v>
      </c>
    </row>
    <row r="9230" spans="1:9" x14ac:dyDescent="0.2">
      <c r="A9230" s="172">
        <v>45920</v>
      </c>
      <c r="B9230" s="135">
        <f>YEAR(source[[#This Row],[report_date]])</f>
        <v>2025</v>
      </c>
      <c r="C9230" s="128">
        <f t="shared" si="430"/>
        <v>9</v>
      </c>
      <c r="D9230" s="136">
        <f t="shared" si="432"/>
        <v>38</v>
      </c>
      <c r="E9230" s="136">
        <f t="shared" si="431"/>
        <v>20</v>
      </c>
      <c r="F9230" s="137" t="s">
        <v>24</v>
      </c>
      <c r="G9230" s="128" t="str">
        <f>VLOOKUP(source[[#This Row],[lending_product_transform]],[3]Mapping!$B$4:$C$37,2,0)</f>
        <v>[Cake] - Cashloan</v>
      </c>
      <c r="H9230" s="128" t="str">
        <f>VLOOKUP(source[[#This Row],[lending_product_transform]],[3]Mapping!$B$3:$D$37,3,0)</f>
        <v>cashloan</v>
      </c>
      <c r="I9230" s="143">
        <v>0</v>
      </c>
    </row>
    <row r="9231" spans="1:9" x14ac:dyDescent="0.2">
      <c r="A9231" s="172">
        <v>45920</v>
      </c>
      <c r="B9231" s="135">
        <f>YEAR(source[[#This Row],[report_date]])</f>
        <v>2025</v>
      </c>
      <c r="C9231" s="128">
        <f t="shared" si="430"/>
        <v>9</v>
      </c>
      <c r="D9231" s="136">
        <f t="shared" si="432"/>
        <v>38</v>
      </c>
      <c r="E9231" s="136">
        <f t="shared" si="431"/>
        <v>20</v>
      </c>
      <c r="F9231" s="137" t="s">
        <v>24</v>
      </c>
      <c r="G9231" s="128" t="str">
        <f>VLOOKUP(source[[#This Row],[lending_product_transform]],[3]Mapping!$B$4:$C$37,2,0)</f>
        <v>[Cake] - Cashloan</v>
      </c>
      <c r="H9231" s="128" t="str">
        <f>VLOOKUP(source[[#This Row],[lending_product_transform]],[3]Mapping!$B$3:$D$37,3,0)</f>
        <v>cashloan</v>
      </c>
      <c r="I9231" s="143">
        <v>0</v>
      </c>
    </row>
    <row r="9232" spans="1:9" x14ac:dyDescent="0.2">
      <c r="A9232" s="172">
        <v>45920</v>
      </c>
      <c r="B9232" s="135">
        <f>YEAR(source[[#This Row],[report_date]])</f>
        <v>2025</v>
      </c>
      <c r="C9232" s="128">
        <f t="shared" si="430"/>
        <v>9</v>
      </c>
      <c r="D9232" s="136">
        <f t="shared" si="432"/>
        <v>38</v>
      </c>
      <c r="E9232" s="136">
        <f t="shared" si="431"/>
        <v>20</v>
      </c>
      <c r="F9232" s="137" t="s">
        <v>24</v>
      </c>
      <c r="G9232" s="128" t="str">
        <f>VLOOKUP(source[[#This Row],[lending_product_transform]],[3]Mapping!$B$4:$C$37,2,0)</f>
        <v>[Cake] - Cashloan</v>
      </c>
      <c r="H9232" s="128" t="str">
        <f>VLOOKUP(source[[#This Row],[lending_product_transform]],[3]Mapping!$B$3:$D$37,3,0)</f>
        <v>cashloan</v>
      </c>
      <c r="I9232" s="143">
        <v>15148980000</v>
      </c>
    </row>
    <row r="9233" spans="1:9" x14ac:dyDescent="0.2">
      <c r="A9233" s="172">
        <v>45920</v>
      </c>
      <c r="B9233" s="135">
        <f>YEAR(source[[#This Row],[report_date]])</f>
        <v>2025</v>
      </c>
      <c r="C9233" s="128">
        <f t="shared" si="430"/>
        <v>9</v>
      </c>
      <c r="D9233" s="136">
        <f t="shared" si="432"/>
        <v>38</v>
      </c>
      <c r="E9233" s="136">
        <f t="shared" si="431"/>
        <v>20</v>
      </c>
      <c r="F9233" s="137" t="s">
        <v>24</v>
      </c>
      <c r="G9233" s="128" t="str">
        <f>VLOOKUP(source[[#This Row],[lending_product_transform]],[3]Mapping!$B$4:$C$37,2,0)</f>
        <v>[Cake] - Cashloan</v>
      </c>
      <c r="H9233" s="128" t="str">
        <f>VLOOKUP(source[[#This Row],[lending_product_transform]],[3]Mapping!$B$3:$D$37,3,0)</f>
        <v>cashloan</v>
      </c>
      <c r="I9233" s="143">
        <v>0</v>
      </c>
    </row>
    <row r="9234" spans="1:9" x14ac:dyDescent="0.2">
      <c r="A9234" s="172">
        <v>45920</v>
      </c>
      <c r="B9234" s="135">
        <f>YEAR(source[[#This Row],[report_date]])</f>
        <v>2025</v>
      </c>
      <c r="C9234" s="128">
        <f t="shared" si="430"/>
        <v>9</v>
      </c>
      <c r="D9234" s="136">
        <f t="shared" si="432"/>
        <v>38</v>
      </c>
      <c r="E9234" s="136">
        <f t="shared" si="431"/>
        <v>20</v>
      </c>
      <c r="F9234" s="137" t="s">
        <v>24</v>
      </c>
      <c r="G9234" s="128" t="str">
        <f>VLOOKUP(source[[#This Row],[lending_product_transform]],[3]Mapping!$B$4:$C$37,2,0)</f>
        <v>[Cake] - Cashloan</v>
      </c>
      <c r="H9234" s="128" t="str">
        <f>VLOOKUP(source[[#This Row],[lending_product_transform]],[3]Mapping!$B$3:$D$37,3,0)</f>
        <v>cashloan</v>
      </c>
      <c r="I9234" s="143">
        <v>0</v>
      </c>
    </row>
    <row r="9235" spans="1:9" x14ac:dyDescent="0.2">
      <c r="A9235" s="172">
        <v>45920</v>
      </c>
      <c r="B9235" s="135">
        <f>YEAR(source[[#This Row],[report_date]])</f>
        <v>2025</v>
      </c>
      <c r="C9235" s="128">
        <f t="shared" si="430"/>
        <v>9</v>
      </c>
      <c r="D9235" s="136">
        <f t="shared" si="432"/>
        <v>38</v>
      </c>
      <c r="E9235" s="136">
        <f t="shared" si="431"/>
        <v>20</v>
      </c>
      <c r="F9235" s="137" t="s">
        <v>24</v>
      </c>
      <c r="G9235" s="128" t="str">
        <f>VLOOKUP(source[[#This Row],[lending_product_transform]],[3]Mapping!$B$4:$C$37,2,0)</f>
        <v>[Cake] - Cashloan</v>
      </c>
      <c r="H9235" s="128" t="str">
        <f>VLOOKUP(source[[#This Row],[lending_product_transform]],[3]Mapping!$B$3:$D$37,3,0)</f>
        <v>cashloan</v>
      </c>
      <c r="I9235" s="143">
        <v>0</v>
      </c>
    </row>
    <row r="9236" spans="1:9" x14ac:dyDescent="0.2">
      <c r="A9236" s="172">
        <v>45920</v>
      </c>
      <c r="B9236" s="135">
        <f>YEAR(source[[#This Row],[report_date]])</f>
        <v>2025</v>
      </c>
      <c r="C9236" s="128">
        <f t="shared" si="430"/>
        <v>9</v>
      </c>
      <c r="D9236" s="136">
        <f t="shared" si="432"/>
        <v>38</v>
      </c>
      <c r="E9236" s="136">
        <f t="shared" si="431"/>
        <v>20</v>
      </c>
      <c r="F9236" s="137" t="s">
        <v>24</v>
      </c>
      <c r="G9236" s="128" t="str">
        <f>VLOOKUP(source[[#This Row],[lending_product_transform]],[3]Mapping!$B$4:$C$37,2,0)</f>
        <v>[Cake] - Cashloan</v>
      </c>
      <c r="H9236" s="128" t="str">
        <f>VLOOKUP(source[[#This Row],[lending_product_transform]],[3]Mapping!$B$3:$D$37,3,0)</f>
        <v>cashloan</v>
      </c>
      <c r="I9236" s="143">
        <v>7000000</v>
      </c>
    </row>
    <row r="9237" spans="1:9" x14ac:dyDescent="0.2">
      <c r="A9237" s="172">
        <v>45920</v>
      </c>
      <c r="B9237" s="135">
        <f>YEAR(source[[#This Row],[report_date]])</f>
        <v>2025</v>
      </c>
      <c r="C9237" s="128">
        <f t="shared" si="430"/>
        <v>9</v>
      </c>
      <c r="D9237" s="136">
        <f t="shared" si="432"/>
        <v>38</v>
      </c>
      <c r="E9237" s="136">
        <f t="shared" si="431"/>
        <v>20</v>
      </c>
      <c r="F9237" s="137" t="s">
        <v>24</v>
      </c>
      <c r="G9237" s="128" t="str">
        <f>VLOOKUP(source[[#This Row],[lending_product_transform]],[3]Mapping!$B$4:$C$37,2,0)</f>
        <v>[Cake] - Cashloan</v>
      </c>
      <c r="H9237" s="128" t="str">
        <f>VLOOKUP(source[[#This Row],[lending_product_transform]],[3]Mapping!$B$3:$D$37,3,0)</f>
        <v>cashloan</v>
      </c>
      <c r="I9237" s="143">
        <v>9736848000</v>
      </c>
    </row>
    <row r="9238" spans="1:9" x14ac:dyDescent="0.2">
      <c r="A9238" s="172">
        <v>45920</v>
      </c>
      <c r="B9238" s="135">
        <f>YEAR(source[[#This Row],[report_date]])</f>
        <v>2025</v>
      </c>
      <c r="C9238" s="128">
        <f t="shared" si="430"/>
        <v>9</v>
      </c>
      <c r="D9238" s="136">
        <f t="shared" si="432"/>
        <v>38</v>
      </c>
      <c r="E9238" s="136">
        <f t="shared" si="431"/>
        <v>20</v>
      </c>
      <c r="F9238" s="137" t="s">
        <v>24</v>
      </c>
      <c r="G9238" s="128" t="str">
        <f>VLOOKUP(source[[#This Row],[lending_product_transform]],[3]Mapping!$B$4:$C$37,2,0)</f>
        <v>[Cake] - Cashloan</v>
      </c>
      <c r="H9238" s="128" t="str">
        <f>VLOOKUP(source[[#This Row],[lending_product_transform]],[3]Mapping!$B$3:$D$37,3,0)</f>
        <v>cashloan</v>
      </c>
      <c r="I9238" s="143">
        <v>171937601</v>
      </c>
    </row>
    <row r="9239" spans="1:9" x14ac:dyDescent="0.2">
      <c r="A9239" s="172">
        <v>45920</v>
      </c>
      <c r="B9239" s="135">
        <f>YEAR(source[[#This Row],[report_date]])</f>
        <v>2025</v>
      </c>
      <c r="C9239" s="128">
        <f t="shared" si="430"/>
        <v>9</v>
      </c>
      <c r="D9239" s="136">
        <f t="shared" si="432"/>
        <v>38</v>
      </c>
      <c r="E9239" s="136">
        <f t="shared" si="431"/>
        <v>20</v>
      </c>
      <c r="F9239" s="137" t="s">
        <v>24</v>
      </c>
      <c r="G9239" s="128" t="str">
        <f>VLOOKUP(source[[#This Row],[lending_product_transform]],[3]Mapping!$B$4:$C$37,2,0)</f>
        <v>[Cake] - Cashloan</v>
      </c>
      <c r="H9239" s="128" t="str">
        <f>VLOOKUP(source[[#This Row],[lending_product_transform]],[3]Mapping!$B$3:$D$37,3,0)</f>
        <v>cashloan</v>
      </c>
      <c r="I9239" s="143">
        <v>21000000</v>
      </c>
    </row>
    <row r="9240" spans="1:9" x14ac:dyDescent="0.2">
      <c r="A9240" s="172">
        <v>45920</v>
      </c>
      <c r="B9240" s="135">
        <f>YEAR(source[[#This Row],[report_date]])</f>
        <v>2025</v>
      </c>
      <c r="C9240" s="128">
        <f t="shared" si="430"/>
        <v>9</v>
      </c>
      <c r="D9240" s="136">
        <f t="shared" si="432"/>
        <v>38</v>
      </c>
      <c r="E9240" s="136">
        <f t="shared" si="431"/>
        <v>20</v>
      </c>
      <c r="F9240" s="137" t="s">
        <v>24</v>
      </c>
      <c r="G9240" s="128" t="str">
        <f>VLOOKUP(source[[#This Row],[lending_product_transform]],[3]Mapping!$B$4:$C$37,2,0)</f>
        <v>[Cake] - Cashloan</v>
      </c>
      <c r="H9240" s="128" t="str">
        <f>VLOOKUP(source[[#This Row],[lending_product_transform]],[3]Mapping!$B$3:$D$37,3,0)</f>
        <v>cashloan</v>
      </c>
      <c r="I9240" s="143">
        <v>38000000</v>
      </c>
    </row>
    <row r="9241" spans="1:9" x14ac:dyDescent="0.2">
      <c r="A9241" s="172">
        <v>45920</v>
      </c>
      <c r="B9241" s="135">
        <f>YEAR(source[[#This Row],[report_date]])</f>
        <v>2025</v>
      </c>
      <c r="C9241" s="128">
        <f t="shared" si="430"/>
        <v>9</v>
      </c>
      <c r="D9241" s="136">
        <f t="shared" si="432"/>
        <v>38</v>
      </c>
      <c r="E9241" s="136">
        <f t="shared" si="431"/>
        <v>20</v>
      </c>
      <c r="F9241" s="137" t="s">
        <v>24</v>
      </c>
      <c r="G9241" s="128" t="str">
        <f>VLOOKUP(source[[#This Row],[lending_product_transform]],[3]Mapping!$B$4:$C$37,2,0)</f>
        <v>[Cake] - Cashloan</v>
      </c>
      <c r="H9241" s="128" t="str">
        <f>VLOOKUP(source[[#This Row],[lending_product_transform]],[3]Mapping!$B$3:$D$37,3,0)</f>
        <v>cashloan</v>
      </c>
      <c r="I9241" s="143">
        <v>883800000</v>
      </c>
    </row>
    <row r="9242" spans="1:9" x14ac:dyDescent="0.2">
      <c r="A9242" s="172">
        <v>45920</v>
      </c>
      <c r="B9242" s="135">
        <f>YEAR(source[[#This Row],[report_date]])</f>
        <v>2025</v>
      </c>
      <c r="C9242" s="128">
        <f t="shared" si="430"/>
        <v>9</v>
      </c>
      <c r="D9242" s="136">
        <f t="shared" si="432"/>
        <v>38</v>
      </c>
      <c r="E9242" s="136">
        <f t="shared" si="431"/>
        <v>20</v>
      </c>
      <c r="F9242" s="137" t="s">
        <v>24</v>
      </c>
      <c r="G9242" s="128" t="str">
        <f>VLOOKUP(source[[#This Row],[lending_product_transform]],[3]Mapping!$B$4:$C$37,2,0)</f>
        <v>[Cake] - Cashloan</v>
      </c>
      <c r="H9242" s="128" t="str">
        <f>VLOOKUP(source[[#This Row],[lending_product_transform]],[3]Mapping!$B$3:$D$37,3,0)</f>
        <v>cashloan</v>
      </c>
      <c r="I9242" s="143">
        <v>0</v>
      </c>
    </row>
    <row r="9243" spans="1:9" x14ac:dyDescent="0.2">
      <c r="A9243" s="172">
        <v>45920</v>
      </c>
      <c r="B9243" s="135">
        <f>YEAR(source[[#This Row],[report_date]])</f>
        <v>2025</v>
      </c>
      <c r="C9243" s="128">
        <f t="shared" si="430"/>
        <v>9</v>
      </c>
      <c r="D9243" s="136">
        <f t="shared" si="432"/>
        <v>38</v>
      </c>
      <c r="E9243" s="136">
        <f t="shared" si="431"/>
        <v>20</v>
      </c>
      <c r="F9243" s="137" t="s">
        <v>24</v>
      </c>
      <c r="G9243" s="128" t="str">
        <f>VLOOKUP(source[[#This Row],[lending_product_transform]],[3]Mapping!$B$4:$C$37,2,0)</f>
        <v>[Cake] - Cashloan</v>
      </c>
      <c r="H9243" s="128" t="str">
        <f>VLOOKUP(source[[#This Row],[lending_product_transform]],[3]Mapping!$B$3:$D$37,3,0)</f>
        <v>cashloan</v>
      </c>
      <c r="I9243" s="143">
        <v>258382219</v>
      </c>
    </row>
    <row r="9244" spans="1:9" x14ac:dyDescent="0.2">
      <c r="A9244" s="172">
        <v>45920</v>
      </c>
      <c r="B9244" s="135">
        <f>YEAR(source[[#This Row],[report_date]])</f>
        <v>2025</v>
      </c>
      <c r="C9244" s="128">
        <f t="shared" si="430"/>
        <v>9</v>
      </c>
      <c r="D9244" s="136">
        <f t="shared" si="432"/>
        <v>38</v>
      </c>
      <c r="E9244" s="136">
        <f t="shared" si="431"/>
        <v>20</v>
      </c>
      <c r="F9244" s="137" t="s">
        <v>24</v>
      </c>
      <c r="G9244" s="128" t="str">
        <f>VLOOKUP(source[[#This Row],[lending_product_transform]],[3]Mapping!$B$4:$C$37,2,0)</f>
        <v>[Cake] - Cashloan</v>
      </c>
      <c r="H9244" s="128" t="str">
        <f>VLOOKUP(source[[#This Row],[lending_product_transform]],[3]Mapping!$B$3:$D$37,3,0)</f>
        <v>cashloan</v>
      </c>
      <c r="I9244" s="143">
        <v>2038840000</v>
      </c>
    </row>
    <row r="9245" spans="1:9" x14ac:dyDescent="0.2">
      <c r="A9245" s="172">
        <v>45921</v>
      </c>
      <c r="B9245" s="135">
        <f>YEAR(source[[#This Row],[report_date]])</f>
        <v>2025</v>
      </c>
      <c r="C9245" s="128">
        <f t="shared" si="430"/>
        <v>9</v>
      </c>
      <c r="D9245" s="136">
        <f t="shared" si="432"/>
        <v>38</v>
      </c>
      <c r="E9245" s="136">
        <f t="shared" si="431"/>
        <v>21</v>
      </c>
      <c r="F9245" s="137" t="s">
        <v>24</v>
      </c>
      <c r="G9245" s="128" t="str">
        <f>VLOOKUP(source[[#This Row],[lending_product_transform]],[3]Mapping!$B$4:$C$37,2,0)</f>
        <v>[Cake] - Cashloan</v>
      </c>
      <c r="H9245" s="128" t="str">
        <f>VLOOKUP(source[[#This Row],[lending_product_transform]],[3]Mapping!$B$3:$D$37,3,0)</f>
        <v>cashloan</v>
      </c>
      <c r="I9245" s="143">
        <v>0</v>
      </c>
    </row>
    <row r="9246" spans="1:9" x14ac:dyDescent="0.2">
      <c r="A9246" s="172">
        <v>45921</v>
      </c>
      <c r="B9246" s="135">
        <f>YEAR(source[[#This Row],[report_date]])</f>
        <v>2025</v>
      </c>
      <c r="C9246" s="128">
        <f t="shared" si="430"/>
        <v>9</v>
      </c>
      <c r="D9246" s="136">
        <f t="shared" si="432"/>
        <v>38</v>
      </c>
      <c r="E9246" s="136">
        <f t="shared" si="431"/>
        <v>21</v>
      </c>
      <c r="F9246" s="137" t="s">
        <v>24</v>
      </c>
      <c r="G9246" s="128" t="str">
        <f>VLOOKUP(source[[#This Row],[lending_product_transform]],[3]Mapping!$B$4:$C$37,2,0)</f>
        <v>[Cake] - Cashloan</v>
      </c>
      <c r="H9246" s="128" t="str">
        <f>VLOOKUP(source[[#This Row],[lending_product_transform]],[3]Mapping!$B$3:$D$37,3,0)</f>
        <v>cashloan</v>
      </c>
      <c r="I9246" s="143">
        <v>189470911</v>
      </c>
    </row>
    <row r="9247" spans="1:9" x14ac:dyDescent="0.2">
      <c r="A9247" s="172">
        <v>45921</v>
      </c>
      <c r="B9247" s="135">
        <f>YEAR(source[[#This Row],[report_date]])</f>
        <v>2025</v>
      </c>
      <c r="C9247" s="128">
        <f t="shared" si="430"/>
        <v>9</v>
      </c>
      <c r="D9247" s="136">
        <f t="shared" si="432"/>
        <v>38</v>
      </c>
      <c r="E9247" s="136">
        <f t="shared" si="431"/>
        <v>21</v>
      </c>
      <c r="F9247" s="137" t="s">
        <v>24</v>
      </c>
      <c r="G9247" s="128" t="str">
        <f>VLOOKUP(source[[#This Row],[lending_product_transform]],[3]Mapping!$B$4:$C$37,2,0)</f>
        <v>[Cake] - Cashloan</v>
      </c>
      <c r="H9247" s="128" t="str">
        <f>VLOOKUP(source[[#This Row],[lending_product_transform]],[3]Mapping!$B$3:$D$37,3,0)</f>
        <v>cashloan</v>
      </c>
      <c r="I9247" s="143">
        <v>12908210000</v>
      </c>
    </row>
    <row r="9248" spans="1:9" x14ac:dyDescent="0.2">
      <c r="A9248" s="172">
        <v>45921</v>
      </c>
      <c r="B9248" s="135">
        <f>YEAR(source[[#This Row],[report_date]])</f>
        <v>2025</v>
      </c>
      <c r="C9248" s="128">
        <f t="shared" si="430"/>
        <v>9</v>
      </c>
      <c r="D9248" s="136">
        <f t="shared" si="432"/>
        <v>38</v>
      </c>
      <c r="E9248" s="136">
        <f t="shared" si="431"/>
        <v>21</v>
      </c>
      <c r="F9248" s="137" t="s">
        <v>24</v>
      </c>
      <c r="G9248" s="128" t="str">
        <f>VLOOKUP(source[[#This Row],[lending_product_transform]],[3]Mapping!$B$4:$C$37,2,0)</f>
        <v>[Cake] - Cashloan</v>
      </c>
      <c r="H9248" s="128" t="str">
        <f>VLOOKUP(source[[#This Row],[lending_product_transform]],[3]Mapping!$B$3:$D$37,3,0)</f>
        <v>cashloan</v>
      </c>
      <c r="I9248" s="143">
        <v>2147317200</v>
      </c>
    </row>
    <row r="9249" spans="1:9" x14ac:dyDescent="0.2">
      <c r="A9249" s="172">
        <v>45921</v>
      </c>
      <c r="B9249" s="135">
        <f>YEAR(source[[#This Row],[report_date]])</f>
        <v>2025</v>
      </c>
      <c r="C9249" s="128">
        <f t="shared" si="430"/>
        <v>9</v>
      </c>
      <c r="D9249" s="136">
        <f t="shared" si="432"/>
        <v>38</v>
      </c>
      <c r="E9249" s="136">
        <f t="shared" si="431"/>
        <v>21</v>
      </c>
      <c r="F9249" s="137" t="s">
        <v>24</v>
      </c>
      <c r="G9249" s="128" t="str">
        <f>VLOOKUP(source[[#This Row],[lending_product_transform]],[3]Mapping!$B$4:$C$37,2,0)</f>
        <v>[Cake] - Cashloan</v>
      </c>
      <c r="H9249" s="128" t="str">
        <f>VLOOKUP(source[[#This Row],[lending_product_transform]],[3]Mapping!$B$3:$D$37,3,0)</f>
        <v>cashloan</v>
      </c>
      <c r="I9249" s="143">
        <v>6600636000</v>
      </c>
    </row>
    <row r="9250" spans="1:9" x14ac:dyDescent="0.2">
      <c r="A9250" s="172">
        <v>45921</v>
      </c>
      <c r="B9250" s="135">
        <f>YEAR(source[[#This Row],[report_date]])</f>
        <v>2025</v>
      </c>
      <c r="C9250" s="128">
        <f t="shared" si="430"/>
        <v>9</v>
      </c>
      <c r="D9250" s="136">
        <f t="shared" si="432"/>
        <v>38</v>
      </c>
      <c r="E9250" s="136">
        <f t="shared" si="431"/>
        <v>21</v>
      </c>
      <c r="F9250" s="137" t="s">
        <v>24</v>
      </c>
      <c r="G9250" s="128" t="str">
        <f>VLOOKUP(source[[#This Row],[lending_product_transform]],[3]Mapping!$B$4:$C$37,2,0)</f>
        <v>[Cake] - Cashloan</v>
      </c>
      <c r="H9250" s="128" t="str">
        <f>VLOOKUP(source[[#This Row],[lending_product_transform]],[3]Mapping!$B$3:$D$37,3,0)</f>
        <v>cashloan</v>
      </c>
      <c r="I9250" s="143">
        <v>15726277</v>
      </c>
    </row>
    <row r="9251" spans="1:9" x14ac:dyDescent="0.2">
      <c r="A9251" s="172">
        <v>45921</v>
      </c>
      <c r="B9251" s="135">
        <f>YEAR(source[[#This Row],[report_date]])</f>
        <v>2025</v>
      </c>
      <c r="C9251" s="128">
        <f t="shared" si="430"/>
        <v>9</v>
      </c>
      <c r="D9251" s="136">
        <f t="shared" si="432"/>
        <v>38</v>
      </c>
      <c r="E9251" s="136">
        <f t="shared" si="431"/>
        <v>21</v>
      </c>
      <c r="F9251" s="137" t="s">
        <v>24</v>
      </c>
      <c r="G9251" s="128" t="str">
        <f>VLOOKUP(source[[#This Row],[lending_product_transform]],[3]Mapping!$B$4:$C$37,2,0)</f>
        <v>[Cake] - Cashloan</v>
      </c>
      <c r="H9251" s="128" t="str">
        <f>VLOOKUP(source[[#This Row],[lending_product_transform]],[3]Mapping!$B$3:$D$37,3,0)</f>
        <v>cashloan</v>
      </c>
      <c r="I9251" s="143">
        <v>3845160000</v>
      </c>
    </row>
    <row r="9252" spans="1:9" x14ac:dyDescent="0.2">
      <c r="A9252" s="172">
        <v>45921</v>
      </c>
      <c r="B9252" s="135">
        <f>YEAR(source[[#This Row],[report_date]])</f>
        <v>2025</v>
      </c>
      <c r="C9252" s="128">
        <f t="shared" si="430"/>
        <v>9</v>
      </c>
      <c r="D9252" s="136">
        <f t="shared" si="432"/>
        <v>38</v>
      </c>
      <c r="E9252" s="136">
        <f t="shared" si="431"/>
        <v>21</v>
      </c>
      <c r="F9252" s="137" t="s">
        <v>24</v>
      </c>
      <c r="G9252" s="128" t="str">
        <f>VLOOKUP(source[[#This Row],[lending_product_transform]],[3]Mapping!$B$4:$C$37,2,0)</f>
        <v>[Cake] - Cashloan</v>
      </c>
      <c r="H9252" s="128" t="str">
        <f>VLOOKUP(source[[#This Row],[lending_product_transform]],[3]Mapping!$B$3:$D$37,3,0)</f>
        <v>cashloan</v>
      </c>
      <c r="I9252" s="143">
        <v>133195000</v>
      </c>
    </row>
    <row r="9253" spans="1:9" x14ac:dyDescent="0.2">
      <c r="A9253" s="172">
        <v>45921</v>
      </c>
      <c r="B9253" s="135">
        <f>YEAR(source[[#This Row],[report_date]])</f>
        <v>2025</v>
      </c>
      <c r="C9253" s="128">
        <f t="shared" si="430"/>
        <v>9</v>
      </c>
      <c r="D9253" s="136">
        <f t="shared" si="432"/>
        <v>38</v>
      </c>
      <c r="E9253" s="136">
        <f t="shared" si="431"/>
        <v>21</v>
      </c>
      <c r="F9253" s="137" t="s">
        <v>24</v>
      </c>
      <c r="G9253" s="128" t="str">
        <f>VLOOKUP(source[[#This Row],[lending_product_transform]],[3]Mapping!$B$4:$C$37,2,0)</f>
        <v>[Cake] - Cashloan</v>
      </c>
      <c r="H9253" s="128" t="str">
        <f>VLOOKUP(source[[#This Row],[lending_product_transform]],[3]Mapping!$B$3:$D$37,3,0)</f>
        <v>cashloan</v>
      </c>
      <c r="I9253" s="143">
        <v>406720800</v>
      </c>
    </row>
    <row r="9254" spans="1:9" x14ac:dyDescent="0.2">
      <c r="A9254" s="172">
        <v>45921</v>
      </c>
      <c r="B9254" s="135">
        <f>YEAR(source[[#This Row],[report_date]])</f>
        <v>2025</v>
      </c>
      <c r="C9254" s="128">
        <f t="shared" si="430"/>
        <v>9</v>
      </c>
      <c r="D9254" s="136">
        <f t="shared" si="432"/>
        <v>38</v>
      </c>
      <c r="E9254" s="136">
        <f t="shared" si="431"/>
        <v>21</v>
      </c>
      <c r="F9254" s="137" t="s">
        <v>24</v>
      </c>
      <c r="G9254" s="128" t="str">
        <f>VLOOKUP(source[[#This Row],[lending_product_transform]],[3]Mapping!$B$4:$C$37,2,0)</f>
        <v>[Cake] - Cashloan</v>
      </c>
      <c r="H9254" s="128" t="str">
        <f>VLOOKUP(source[[#This Row],[lending_product_transform]],[3]Mapping!$B$3:$D$37,3,0)</f>
        <v>cashloan</v>
      </c>
      <c r="I9254" s="143">
        <v>0</v>
      </c>
    </row>
    <row r="9255" spans="1:9" x14ac:dyDescent="0.2">
      <c r="A9255" s="172">
        <v>45921</v>
      </c>
      <c r="B9255" s="135">
        <f>YEAR(source[[#This Row],[report_date]])</f>
        <v>2025</v>
      </c>
      <c r="C9255" s="128">
        <f t="shared" si="430"/>
        <v>9</v>
      </c>
      <c r="D9255" s="136">
        <f t="shared" si="432"/>
        <v>38</v>
      </c>
      <c r="E9255" s="136">
        <f t="shared" si="431"/>
        <v>21</v>
      </c>
      <c r="F9255" s="137" t="s">
        <v>24</v>
      </c>
      <c r="G9255" s="128" t="str">
        <f>VLOOKUP(source[[#This Row],[lending_product_transform]],[3]Mapping!$B$4:$C$37,2,0)</f>
        <v>[Cake] - Cashloan</v>
      </c>
      <c r="H9255" s="128" t="str">
        <f>VLOOKUP(source[[#This Row],[lending_product_transform]],[3]Mapping!$B$3:$D$37,3,0)</f>
        <v>cashloan</v>
      </c>
      <c r="I9255" s="143">
        <v>21000000</v>
      </c>
    </row>
    <row r="9256" spans="1:9" x14ac:dyDescent="0.2">
      <c r="A9256" s="172">
        <v>45921</v>
      </c>
      <c r="B9256" s="135">
        <f>YEAR(source[[#This Row],[report_date]])</f>
        <v>2025</v>
      </c>
      <c r="C9256" s="128">
        <f t="shared" si="430"/>
        <v>9</v>
      </c>
      <c r="D9256" s="136">
        <f t="shared" si="432"/>
        <v>38</v>
      </c>
      <c r="E9256" s="136">
        <f t="shared" si="431"/>
        <v>21</v>
      </c>
      <c r="F9256" s="137" t="s">
        <v>24</v>
      </c>
      <c r="G9256" s="128" t="str">
        <f>VLOOKUP(source[[#This Row],[lending_product_transform]],[3]Mapping!$B$4:$C$37,2,0)</f>
        <v>[Cake] - Cashloan</v>
      </c>
      <c r="H9256" s="128" t="str">
        <f>VLOOKUP(source[[#This Row],[lending_product_transform]],[3]Mapping!$B$3:$D$37,3,0)</f>
        <v>cashloan</v>
      </c>
      <c r="I9256" s="143">
        <v>14362830000</v>
      </c>
    </row>
    <row r="9257" spans="1:9" x14ac:dyDescent="0.2">
      <c r="A9257" s="172">
        <v>45921</v>
      </c>
      <c r="B9257" s="135">
        <f>YEAR(source[[#This Row],[report_date]])</f>
        <v>2025</v>
      </c>
      <c r="C9257" s="128">
        <f t="shared" si="430"/>
        <v>9</v>
      </c>
      <c r="D9257" s="136">
        <f t="shared" si="432"/>
        <v>38</v>
      </c>
      <c r="E9257" s="136">
        <f t="shared" si="431"/>
        <v>21</v>
      </c>
      <c r="F9257" s="137" t="s">
        <v>24</v>
      </c>
      <c r="G9257" s="128" t="str">
        <f>VLOOKUP(source[[#This Row],[lending_product_transform]],[3]Mapping!$B$4:$C$37,2,0)</f>
        <v>[Cake] - Cashloan</v>
      </c>
      <c r="H9257" s="128" t="str">
        <f>VLOOKUP(source[[#This Row],[lending_product_transform]],[3]Mapping!$B$3:$D$37,3,0)</f>
        <v>cashloan</v>
      </c>
      <c r="I9257" s="143">
        <v>0</v>
      </c>
    </row>
    <row r="9258" spans="1:9" x14ac:dyDescent="0.2">
      <c r="A9258" s="172">
        <v>45921</v>
      </c>
      <c r="B9258" s="135">
        <f>YEAR(source[[#This Row],[report_date]])</f>
        <v>2025</v>
      </c>
      <c r="C9258" s="128">
        <f t="shared" si="430"/>
        <v>9</v>
      </c>
      <c r="D9258" s="136">
        <f t="shared" si="432"/>
        <v>38</v>
      </c>
      <c r="E9258" s="136">
        <f t="shared" si="431"/>
        <v>21</v>
      </c>
      <c r="F9258" s="137" t="s">
        <v>24</v>
      </c>
      <c r="G9258" s="128" t="str">
        <f>VLOOKUP(source[[#This Row],[lending_product_transform]],[3]Mapping!$B$4:$C$37,2,0)</f>
        <v>[Cake] - Cashloan</v>
      </c>
      <c r="H9258" s="128" t="str">
        <f>VLOOKUP(source[[#This Row],[lending_product_transform]],[3]Mapping!$B$3:$D$37,3,0)</f>
        <v>cashloan</v>
      </c>
      <c r="I9258" s="143">
        <v>0</v>
      </c>
    </row>
    <row r="9259" spans="1:9" x14ac:dyDescent="0.2">
      <c r="A9259" s="172">
        <v>45921</v>
      </c>
      <c r="B9259" s="135">
        <f>YEAR(source[[#This Row],[report_date]])</f>
        <v>2025</v>
      </c>
      <c r="C9259" s="128">
        <f t="shared" si="430"/>
        <v>9</v>
      </c>
      <c r="D9259" s="136">
        <f t="shared" si="432"/>
        <v>38</v>
      </c>
      <c r="E9259" s="136">
        <f t="shared" si="431"/>
        <v>21</v>
      </c>
      <c r="F9259" s="137" t="s">
        <v>24</v>
      </c>
      <c r="G9259" s="128" t="str">
        <f>VLOOKUP(source[[#This Row],[lending_product_transform]],[3]Mapping!$B$4:$C$37,2,0)</f>
        <v>[Cake] - Cashloan</v>
      </c>
      <c r="H9259" s="128" t="str">
        <f>VLOOKUP(source[[#This Row],[lending_product_transform]],[3]Mapping!$B$3:$D$37,3,0)</f>
        <v>cashloan</v>
      </c>
      <c r="I9259" s="143">
        <v>0</v>
      </c>
    </row>
    <row r="9260" spans="1:9" x14ac:dyDescent="0.2">
      <c r="A9260" s="172">
        <v>45921</v>
      </c>
      <c r="B9260" s="135">
        <f>YEAR(source[[#This Row],[report_date]])</f>
        <v>2025</v>
      </c>
      <c r="C9260" s="128">
        <f t="shared" si="430"/>
        <v>9</v>
      </c>
      <c r="D9260" s="136">
        <f t="shared" si="432"/>
        <v>38</v>
      </c>
      <c r="E9260" s="136">
        <f t="shared" si="431"/>
        <v>21</v>
      </c>
      <c r="F9260" s="137" t="s">
        <v>24</v>
      </c>
      <c r="G9260" s="128" t="str">
        <f>VLOOKUP(source[[#This Row],[lending_product_transform]],[3]Mapping!$B$4:$C$37,2,0)</f>
        <v>[Cake] - Cashloan</v>
      </c>
      <c r="H9260" s="128" t="str">
        <f>VLOOKUP(source[[#This Row],[lending_product_transform]],[3]Mapping!$B$3:$D$37,3,0)</f>
        <v>cashloan</v>
      </c>
      <c r="I9260" s="143">
        <v>0</v>
      </c>
    </row>
    <row r="9261" spans="1:9" x14ac:dyDescent="0.2">
      <c r="A9261" s="172">
        <v>45921</v>
      </c>
      <c r="B9261" s="135">
        <f>YEAR(source[[#This Row],[report_date]])</f>
        <v>2025</v>
      </c>
      <c r="C9261" s="128">
        <f t="shared" si="430"/>
        <v>9</v>
      </c>
      <c r="D9261" s="136">
        <f t="shared" si="432"/>
        <v>38</v>
      </c>
      <c r="E9261" s="136">
        <f t="shared" si="431"/>
        <v>21</v>
      </c>
      <c r="F9261" s="137" t="s">
        <v>24</v>
      </c>
      <c r="G9261" s="128" t="str">
        <f>VLOOKUP(source[[#This Row],[lending_product_transform]],[3]Mapping!$B$4:$C$37,2,0)</f>
        <v>[Cake] - Cashloan</v>
      </c>
      <c r="H9261" s="128" t="str">
        <f>VLOOKUP(source[[#This Row],[lending_product_transform]],[3]Mapping!$B$3:$D$37,3,0)</f>
        <v>cashloan</v>
      </c>
      <c r="I9261" s="143">
        <v>9102888000</v>
      </c>
    </row>
    <row r="9262" spans="1:9" x14ac:dyDescent="0.2">
      <c r="A9262" s="172">
        <v>45921</v>
      </c>
      <c r="B9262" s="135">
        <f>YEAR(source[[#This Row],[report_date]])</f>
        <v>2025</v>
      </c>
      <c r="C9262" s="128">
        <f t="shared" si="430"/>
        <v>9</v>
      </c>
      <c r="D9262" s="136">
        <f t="shared" si="432"/>
        <v>38</v>
      </c>
      <c r="E9262" s="136">
        <f t="shared" si="431"/>
        <v>21</v>
      </c>
      <c r="F9262" s="137" t="s">
        <v>24</v>
      </c>
      <c r="G9262" s="128" t="str">
        <f>VLOOKUP(source[[#This Row],[lending_product_transform]],[3]Mapping!$B$4:$C$37,2,0)</f>
        <v>[Cake] - Cashloan</v>
      </c>
      <c r="H9262" s="128" t="str">
        <f>VLOOKUP(source[[#This Row],[lending_product_transform]],[3]Mapping!$B$3:$D$37,3,0)</f>
        <v>cashloan</v>
      </c>
      <c r="I9262" s="143">
        <v>214207393</v>
      </c>
    </row>
    <row r="9263" spans="1:9" x14ac:dyDescent="0.2">
      <c r="A9263" s="172">
        <v>45921</v>
      </c>
      <c r="B9263" s="135">
        <f>YEAR(source[[#This Row],[report_date]])</f>
        <v>2025</v>
      </c>
      <c r="C9263" s="128">
        <f t="shared" si="430"/>
        <v>9</v>
      </c>
      <c r="D9263" s="136">
        <f t="shared" si="432"/>
        <v>38</v>
      </c>
      <c r="E9263" s="136">
        <f t="shared" si="431"/>
        <v>21</v>
      </c>
      <c r="F9263" s="137" t="s">
        <v>24</v>
      </c>
      <c r="G9263" s="128" t="str">
        <f>VLOOKUP(source[[#This Row],[lending_product_transform]],[3]Mapping!$B$4:$C$37,2,0)</f>
        <v>[Cake] - Cashloan</v>
      </c>
      <c r="H9263" s="128" t="str">
        <f>VLOOKUP(source[[#This Row],[lending_product_transform]],[3]Mapping!$B$3:$D$37,3,0)</f>
        <v>cashloan</v>
      </c>
      <c r="I9263" s="143">
        <v>31500000</v>
      </c>
    </row>
    <row r="9264" spans="1:9" x14ac:dyDescent="0.2">
      <c r="A9264" s="172">
        <v>45921</v>
      </c>
      <c r="B9264" s="135">
        <f>YEAR(source[[#This Row],[report_date]])</f>
        <v>2025</v>
      </c>
      <c r="C9264" s="128">
        <f t="shared" si="430"/>
        <v>9</v>
      </c>
      <c r="D9264" s="136">
        <f t="shared" si="432"/>
        <v>38</v>
      </c>
      <c r="E9264" s="136">
        <f t="shared" si="431"/>
        <v>21</v>
      </c>
      <c r="F9264" s="137" t="s">
        <v>24</v>
      </c>
      <c r="G9264" s="128" t="str">
        <f>VLOOKUP(source[[#This Row],[lending_product_transform]],[3]Mapping!$B$4:$C$37,2,0)</f>
        <v>[Cake] - Cashloan</v>
      </c>
      <c r="H9264" s="128" t="str">
        <f>VLOOKUP(source[[#This Row],[lending_product_transform]],[3]Mapping!$B$3:$D$37,3,0)</f>
        <v>cashloan</v>
      </c>
      <c r="I9264" s="143">
        <v>53000000</v>
      </c>
    </row>
    <row r="9265" spans="1:9" x14ac:dyDescent="0.2">
      <c r="A9265" s="172">
        <v>45921</v>
      </c>
      <c r="B9265" s="135">
        <f>YEAR(source[[#This Row],[report_date]])</f>
        <v>2025</v>
      </c>
      <c r="C9265" s="128">
        <f t="shared" si="430"/>
        <v>9</v>
      </c>
      <c r="D9265" s="136">
        <f t="shared" si="432"/>
        <v>38</v>
      </c>
      <c r="E9265" s="136">
        <f t="shared" si="431"/>
        <v>21</v>
      </c>
      <c r="F9265" s="137" t="s">
        <v>24</v>
      </c>
      <c r="G9265" s="128" t="str">
        <f>VLOOKUP(source[[#This Row],[lending_product_transform]],[3]Mapping!$B$4:$C$37,2,0)</f>
        <v>[Cake] - Cashloan</v>
      </c>
      <c r="H9265" s="128" t="str">
        <f>VLOOKUP(source[[#This Row],[lending_product_transform]],[3]Mapping!$B$3:$D$37,3,0)</f>
        <v>cashloan</v>
      </c>
      <c r="I9265" s="143">
        <v>569990000</v>
      </c>
    </row>
    <row r="9266" spans="1:9" x14ac:dyDescent="0.2">
      <c r="A9266" s="172">
        <v>45921</v>
      </c>
      <c r="B9266" s="135">
        <f>YEAR(source[[#This Row],[report_date]])</f>
        <v>2025</v>
      </c>
      <c r="C9266" s="128">
        <f t="shared" si="430"/>
        <v>9</v>
      </c>
      <c r="D9266" s="136">
        <f t="shared" si="432"/>
        <v>38</v>
      </c>
      <c r="E9266" s="136">
        <f t="shared" si="431"/>
        <v>21</v>
      </c>
      <c r="F9266" s="137" t="s">
        <v>24</v>
      </c>
      <c r="G9266" s="128" t="str">
        <f>VLOOKUP(source[[#This Row],[lending_product_transform]],[3]Mapping!$B$4:$C$37,2,0)</f>
        <v>[Cake] - Cashloan</v>
      </c>
      <c r="H9266" s="128" t="str">
        <f>VLOOKUP(source[[#This Row],[lending_product_transform]],[3]Mapping!$B$3:$D$37,3,0)</f>
        <v>cashloan</v>
      </c>
      <c r="I9266" s="143">
        <v>0</v>
      </c>
    </row>
    <row r="9267" spans="1:9" x14ac:dyDescent="0.2">
      <c r="A9267" s="172">
        <v>45921</v>
      </c>
      <c r="B9267" s="135">
        <f>YEAR(source[[#This Row],[report_date]])</f>
        <v>2025</v>
      </c>
      <c r="C9267" s="128">
        <f t="shared" si="430"/>
        <v>9</v>
      </c>
      <c r="D9267" s="136">
        <f t="shared" si="432"/>
        <v>38</v>
      </c>
      <c r="E9267" s="136">
        <f t="shared" si="431"/>
        <v>21</v>
      </c>
      <c r="F9267" s="137" t="s">
        <v>24</v>
      </c>
      <c r="G9267" s="128" t="str">
        <f>VLOOKUP(source[[#This Row],[lending_product_transform]],[3]Mapping!$B$4:$C$37,2,0)</f>
        <v>[Cake] - Cashloan</v>
      </c>
      <c r="H9267" s="128" t="str">
        <f>VLOOKUP(source[[#This Row],[lending_product_transform]],[3]Mapping!$B$3:$D$37,3,0)</f>
        <v>cashloan</v>
      </c>
      <c r="I9267" s="143">
        <v>389806551</v>
      </c>
    </row>
    <row r="9268" spans="1:9" x14ac:dyDescent="0.2">
      <c r="A9268" s="172">
        <v>45921</v>
      </c>
      <c r="B9268" s="135">
        <f>YEAR(source[[#This Row],[report_date]])</f>
        <v>2025</v>
      </c>
      <c r="C9268" s="128">
        <f t="shared" si="430"/>
        <v>9</v>
      </c>
      <c r="D9268" s="136">
        <f t="shared" si="432"/>
        <v>38</v>
      </c>
      <c r="E9268" s="136">
        <f t="shared" si="431"/>
        <v>21</v>
      </c>
      <c r="F9268" s="137" t="s">
        <v>24</v>
      </c>
      <c r="G9268" s="128" t="str">
        <f>VLOOKUP(source[[#This Row],[lending_product_transform]],[3]Mapping!$B$4:$C$37,2,0)</f>
        <v>[Cake] - Cashloan</v>
      </c>
      <c r="H9268" s="128" t="str">
        <f>VLOOKUP(source[[#This Row],[lending_product_transform]],[3]Mapping!$B$3:$D$37,3,0)</f>
        <v>cashloan</v>
      </c>
      <c r="I9268" s="143">
        <v>2135730000</v>
      </c>
    </row>
    <row r="9269" spans="1:9" x14ac:dyDescent="0.2">
      <c r="A9269" s="172">
        <v>45922</v>
      </c>
      <c r="B9269" s="135">
        <f>YEAR(source[[#This Row],[report_date]])</f>
        <v>2025</v>
      </c>
      <c r="C9269" s="128">
        <f t="shared" si="430"/>
        <v>9</v>
      </c>
      <c r="D9269" s="136">
        <f t="shared" si="432"/>
        <v>39</v>
      </c>
      <c r="E9269" s="136">
        <f t="shared" si="431"/>
        <v>22</v>
      </c>
      <c r="F9269" s="137" t="s">
        <v>24</v>
      </c>
      <c r="G9269" s="128" t="str">
        <f>VLOOKUP(source[[#This Row],[lending_product_transform]],[3]Mapping!$B$4:$C$37,2,0)</f>
        <v>[Cake] - Cashloan</v>
      </c>
      <c r="H9269" s="128" t="str">
        <f>VLOOKUP(source[[#This Row],[lending_product_transform]],[3]Mapping!$B$3:$D$37,3,0)</f>
        <v>cashloan</v>
      </c>
      <c r="I9269" s="143">
        <v>0</v>
      </c>
    </row>
    <row r="9270" spans="1:9" x14ac:dyDescent="0.2">
      <c r="A9270" s="172">
        <v>45922</v>
      </c>
      <c r="B9270" s="135">
        <f>YEAR(source[[#This Row],[report_date]])</f>
        <v>2025</v>
      </c>
      <c r="C9270" s="128">
        <f t="shared" ref="C9270:C9333" si="433">MONTH(A9270)</f>
        <v>9</v>
      </c>
      <c r="D9270" s="136">
        <f t="shared" si="432"/>
        <v>39</v>
      </c>
      <c r="E9270" s="136">
        <f t="shared" ref="E9270:E9333" si="434">DAY(A9270)</f>
        <v>22</v>
      </c>
      <c r="F9270" s="137" t="s">
        <v>24</v>
      </c>
      <c r="G9270" s="128" t="str">
        <f>VLOOKUP(source[[#This Row],[lending_product_transform]],[3]Mapping!$B$4:$C$37,2,0)</f>
        <v>[Cake] - Cashloan</v>
      </c>
      <c r="H9270" s="128" t="str">
        <f>VLOOKUP(source[[#This Row],[lending_product_transform]],[3]Mapping!$B$3:$D$37,3,0)</f>
        <v>cashloan</v>
      </c>
      <c r="I9270" s="143">
        <v>213842168</v>
      </c>
    </row>
    <row r="9271" spans="1:9" x14ac:dyDescent="0.2">
      <c r="A9271" s="172">
        <v>45922</v>
      </c>
      <c r="B9271" s="135">
        <f>YEAR(source[[#This Row],[report_date]])</f>
        <v>2025</v>
      </c>
      <c r="C9271" s="128">
        <f t="shared" si="433"/>
        <v>9</v>
      </c>
      <c r="D9271" s="136">
        <f t="shared" si="432"/>
        <v>39</v>
      </c>
      <c r="E9271" s="136">
        <f t="shared" si="434"/>
        <v>22</v>
      </c>
      <c r="F9271" s="137" t="s">
        <v>24</v>
      </c>
      <c r="G9271" s="128" t="str">
        <f>VLOOKUP(source[[#This Row],[lending_product_transform]],[3]Mapping!$B$4:$C$37,2,0)</f>
        <v>[Cake] - Cashloan</v>
      </c>
      <c r="H9271" s="128" t="str">
        <f>VLOOKUP(source[[#This Row],[lending_product_transform]],[3]Mapping!$B$3:$D$37,3,0)</f>
        <v>cashloan</v>
      </c>
      <c r="I9271" s="143">
        <v>16989730000</v>
      </c>
    </row>
    <row r="9272" spans="1:9" x14ac:dyDescent="0.2">
      <c r="A9272" s="172">
        <v>45922</v>
      </c>
      <c r="B9272" s="135">
        <f>YEAR(source[[#This Row],[report_date]])</f>
        <v>2025</v>
      </c>
      <c r="C9272" s="128">
        <f t="shared" si="433"/>
        <v>9</v>
      </c>
      <c r="D9272" s="136">
        <f t="shared" si="432"/>
        <v>39</v>
      </c>
      <c r="E9272" s="136">
        <f t="shared" si="434"/>
        <v>22</v>
      </c>
      <c r="F9272" s="137" t="s">
        <v>24</v>
      </c>
      <c r="G9272" s="128" t="str">
        <f>VLOOKUP(source[[#This Row],[lending_product_transform]],[3]Mapping!$B$4:$C$37,2,0)</f>
        <v>[Cake] - Cashloan</v>
      </c>
      <c r="H9272" s="128" t="str">
        <f>VLOOKUP(source[[#This Row],[lending_product_transform]],[3]Mapping!$B$3:$D$37,3,0)</f>
        <v>cashloan</v>
      </c>
      <c r="I9272" s="143">
        <v>2719257827</v>
      </c>
    </row>
    <row r="9273" spans="1:9" x14ac:dyDescent="0.2">
      <c r="A9273" s="172">
        <v>45922</v>
      </c>
      <c r="B9273" s="135">
        <f>YEAR(source[[#This Row],[report_date]])</f>
        <v>2025</v>
      </c>
      <c r="C9273" s="128">
        <f t="shared" si="433"/>
        <v>9</v>
      </c>
      <c r="D9273" s="136">
        <f t="shared" si="432"/>
        <v>39</v>
      </c>
      <c r="E9273" s="136">
        <f t="shared" si="434"/>
        <v>22</v>
      </c>
      <c r="F9273" s="137" t="s">
        <v>24</v>
      </c>
      <c r="G9273" s="128" t="str">
        <f>VLOOKUP(source[[#This Row],[lending_product_transform]],[3]Mapping!$B$4:$C$37,2,0)</f>
        <v>[Cake] - Cashloan</v>
      </c>
      <c r="H9273" s="128" t="str">
        <f>VLOOKUP(source[[#This Row],[lending_product_transform]],[3]Mapping!$B$3:$D$37,3,0)</f>
        <v>cashloan</v>
      </c>
      <c r="I9273" s="143">
        <v>7318620000</v>
      </c>
    </row>
    <row r="9274" spans="1:9" x14ac:dyDescent="0.2">
      <c r="A9274" s="172">
        <v>45922</v>
      </c>
      <c r="B9274" s="135">
        <f>YEAR(source[[#This Row],[report_date]])</f>
        <v>2025</v>
      </c>
      <c r="C9274" s="128">
        <f t="shared" si="433"/>
        <v>9</v>
      </c>
      <c r="D9274" s="136">
        <f t="shared" si="432"/>
        <v>39</v>
      </c>
      <c r="E9274" s="136">
        <f t="shared" si="434"/>
        <v>22</v>
      </c>
      <c r="F9274" s="137" t="s">
        <v>24</v>
      </c>
      <c r="G9274" s="128" t="str">
        <f>VLOOKUP(source[[#This Row],[lending_product_transform]],[3]Mapping!$B$4:$C$37,2,0)</f>
        <v>[Cake] - Cashloan</v>
      </c>
      <c r="H9274" s="128" t="str">
        <f>VLOOKUP(source[[#This Row],[lending_product_transform]],[3]Mapping!$B$3:$D$37,3,0)</f>
        <v>cashloan</v>
      </c>
      <c r="I9274" s="143">
        <v>18862756</v>
      </c>
    </row>
    <row r="9275" spans="1:9" x14ac:dyDescent="0.2">
      <c r="A9275" s="172">
        <v>45922</v>
      </c>
      <c r="B9275" s="135">
        <f>YEAR(source[[#This Row],[report_date]])</f>
        <v>2025</v>
      </c>
      <c r="C9275" s="128">
        <f t="shared" si="433"/>
        <v>9</v>
      </c>
      <c r="D9275" s="136">
        <f t="shared" si="432"/>
        <v>39</v>
      </c>
      <c r="E9275" s="136">
        <f t="shared" si="434"/>
        <v>22</v>
      </c>
      <c r="F9275" s="137" t="s">
        <v>24</v>
      </c>
      <c r="G9275" s="128" t="str">
        <f>VLOOKUP(source[[#This Row],[lending_product_transform]],[3]Mapping!$B$4:$C$37,2,0)</f>
        <v>[Cake] - Cashloan</v>
      </c>
      <c r="H9275" s="128" t="str">
        <f>VLOOKUP(source[[#This Row],[lending_product_transform]],[3]Mapping!$B$3:$D$37,3,0)</f>
        <v>cashloan</v>
      </c>
      <c r="I9275" s="143">
        <v>2896440000</v>
      </c>
    </row>
    <row r="9276" spans="1:9" x14ac:dyDescent="0.2">
      <c r="A9276" s="172">
        <v>45922</v>
      </c>
      <c r="B9276" s="135">
        <f>YEAR(source[[#This Row],[report_date]])</f>
        <v>2025</v>
      </c>
      <c r="C9276" s="128">
        <f t="shared" si="433"/>
        <v>9</v>
      </c>
      <c r="D9276" s="136">
        <f t="shared" si="432"/>
        <v>39</v>
      </c>
      <c r="E9276" s="136">
        <f t="shared" si="434"/>
        <v>22</v>
      </c>
      <c r="F9276" s="137" t="s">
        <v>24</v>
      </c>
      <c r="G9276" s="128" t="str">
        <f>VLOOKUP(source[[#This Row],[lending_product_transform]],[3]Mapping!$B$4:$C$37,2,0)</f>
        <v>[Cake] - Cashloan</v>
      </c>
      <c r="H9276" s="128" t="str">
        <f>VLOOKUP(source[[#This Row],[lending_product_transform]],[3]Mapping!$B$3:$D$37,3,0)</f>
        <v>cashloan</v>
      </c>
      <c r="I9276" s="143">
        <v>52726000</v>
      </c>
    </row>
    <row r="9277" spans="1:9" x14ac:dyDescent="0.2">
      <c r="A9277" s="172">
        <v>45922</v>
      </c>
      <c r="B9277" s="135">
        <f>YEAR(source[[#This Row],[report_date]])</f>
        <v>2025</v>
      </c>
      <c r="C9277" s="128">
        <f t="shared" si="433"/>
        <v>9</v>
      </c>
      <c r="D9277" s="136">
        <f t="shared" si="432"/>
        <v>39</v>
      </c>
      <c r="E9277" s="136">
        <f t="shared" si="434"/>
        <v>22</v>
      </c>
      <c r="F9277" s="137" t="s">
        <v>24</v>
      </c>
      <c r="G9277" s="128" t="str">
        <f>VLOOKUP(source[[#This Row],[lending_product_transform]],[3]Mapping!$B$4:$C$37,2,0)</f>
        <v>[Cake] - Cashloan</v>
      </c>
      <c r="H9277" s="128" t="str">
        <f>VLOOKUP(source[[#This Row],[lending_product_transform]],[3]Mapping!$B$3:$D$37,3,0)</f>
        <v>cashloan</v>
      </c>
      <c r="I9277" s="143">
        <v>255663000</v>
      </c>
    </row>
    <row r="9278" spans="1:9" x14ac:dyDescent="0.2">
      <c r="A9278" s="172">
        <v>45922</v>
      </c>
      <c r="B9278" s="135">
        <f>YEAR(source[[#This Row],[report_date]])</f>
        <v>2025</v>
      </c>
      <c r="C9278" s="128">
        <f t="shared" si="433"/>
        <v>9</v>
      </c>
      <c r="D9278" s="136">
        <f t="shared" si="432"/>
        <v>39</v>
      </c>
      <c r="E9278" s="136">
        <f t="shared" si="434"/>
        <v>22</v>
      </c>
      <c r="F9278" s="137" t="s">
        <v>24</v>
      </c>
      <c r="G9278" s="128" t="str">
        <f>VLOOKUP(source[[#This Row],[lending_product_transform]],[3]Mapping!$B$4:$C$37,2,0)</f>
        <v>[Cake] - Cashloan</v>
      </c>
      <c r="H9278" s="128" t="str">
        <f>VLOOKUP(source[[#This Row],[lending_product_transform]],[3]Mapping!$B$3:$D$37,3,0)</f>
        <v>cashloan</v>
      </c>
      <c r="I9278" s="143">
        <v>0</v>
      </c>
    </row>
    <row r="9279" spans="1:9" x14ac:dyDescent="0.2">
      <c r="A9279" s="172">
        <v>45922</v>
      </c>
      <c r="B9279" s="135">
        <f>YEAR(source[[#This Row],[report_date]])</f>
        <v>2025</v>
      </c>
      <c r="C9279" s="128">
        <f t="shared" si="433"/>
        <v>9</v>
      </c>
      <c r="D9279" s="136">
        <f t="shared" si="432"/>
        <v>39</v>
      </c>
      <c r="E9279" s="136">
        <f t="shared" si="434"/>
        <v>22</v>
      </c>
      <c r="F9279" s="137" t="s">
        <v>24</v>
      </c>
      <c r="G9279" s="128" t="str">
        <f>VLOOKUP(source[[#This Row],[lending_product_transform]],[3]Mapping!$B$4:$C$37,2,0)</f>
        <v>[Cake] - Cashloan</v>
      </c>
      <c r="H9279" s="128" t="str">
        <f>VLOOKUP(source[[#This Row],[lending_product_transform]],[3]Mapping!$B$3:$D$37,3,0)</f>
        <v>cashloan</v>
      </c>
      <c r="I9279" s="143">
        <v>179000000</v>
      </c>
    </row>
    <row r="9280" spans="1:9" x14ac:dyDescent="0.2">
      <c r="A9280" s="172">
        <v>45922</v>
      </c>
      <c r="B9280" s="135">
        <f>YEAR(source[[#This Row],[report_date]])</f>
        <v>2025</v>
      </c>
      <c r="C9280" s="128">
        <f t="shared" si="433"/>
        <v>9</v>
      </c>
      <c r="D9280" s="136">
        <f t="shared" si="432"/>
        <v>39</v>
      </c>
      <c r="E9280" s="136">
        <f t="shared" si="434"/>
        <v>22</v>
      </c>
      <c r="F9280" s="137" t="s">
        <v>24</v>
      </c>
      <c r="G9280" s="128" t="str">
        <f>VLOOKUP(source[[#This Row],[lending_product_transform]],[3]Mapping!$B$4:$C$37,2,0)</f>
        <v>[Cake] - Cashloan</v>
      </c>
      <c r="H9280" s="128" t="str">
        <f>VLOOKUP(source[[#This Row],[lending_product_transform]],[3]Mapping!$B$3:$D$37,3,0)</f>
        <v>cashloan</v>
      </c>
      <c r="I9280" s="143">
        <v>15302390000</v>
      </c>
    </row>
    <row r="9281" spans="1:9" x14ac:dyDescent="0.2">
      <c r="A9281" s="172">
        <v>45922</v>
      </c>
      <c r="B9281" s="135">
        <f>YEAR(source[[#This Row],[report_date]])</f>
        <v>2025</v>
      </c>
      <c r="C9281" s="128">
        <f t="shared" si="433"/>
        <v>9</v>
      </c>
      <c r="D9281" s="136">
        <f t="shared" si="432"/>
        <v>39</v>
      </c>
      <c r="E9281" s="136">
        <f t="shared" si="434"/>
        <v>22</v>
      </c>
      <c r="F9281" s="137" t="s">
        <v>24</v>
      </c>
      <c r="G9281" s="128" t="str">
        <f>VLOOKUP(source[[#This Row],[lending_product_transform]],[3]Mapping!$B$4:$C$37,2,0)</f>
        <v>[Cake] - Cashloan</v>
      </c>
      <c r="H9281" s="128" t="str">
        <f>VLOOKUP(source[[#This Row],[lending_product_transform]],[3]Mapping!$B$3:$D$37,3,0)</f>
        <v>cashloan</v>
      </c>
      <c r="I9281" s="143">
        <v>0</v>
      </c>
    </row>
    <row r="9282" spans="1:9" x14ac:dyDescent="0.2">
      <c r="A9282" s="172">
        <v>45922</v>
      </c>
      <c r="B9282" s="135">
        <f>YEAR(source[[#This Row],[report_date]])</f>
        <v>2025</v>
      </c>
      <c r="C9282" s="128">
        <f t="shared" si="433"/>
        <v>9</v>
      </c>
      <c r="D9282" s="136">
        <f t="shared" si="432"/>
        <v>39</v>
      </c>
      <c r="E9282" s="136">
        <f t="shared" si="434"/>
        <v>22</v>
      </c>
      <c r="F9282" s="137" t="s">
        <v>24</v>
      </c>
      <c r="G9282" s="128" t="str">
        <f>VLOOKUP(source[[#This Row],[lending_product_transform]],[3]Mapping!$B$4:$C$37,2,0)</f>
        <v>[Cake] - Cashloan</v>
      </c>
      <c r="H9282" s="128" t="str">
        <f>VLOOKUP(source[[#This Row],[lending_product_transform]],[3]Mapping!$B$3:$D$37,3,0)</f>
        <v>cashloan</v>
      </c>
      <c r="I9282" s="143">
        <v>0</v>
      </c>
    </row>
    <row r="9283" spans="1:9" x14ac:dyDescent="0.2">
      <c r="A9283" s="172">
        <v>45922</v>
      </c>
      <c r="B9283" s="135">
        <f>YEAR(source[[#This Row],[report_date]])</f>
        <v>2025</v>
      </c>
      <c r="C9283" s="128">
        <f t="shared" si="433"/>
        <v>9</v>
      </c>
      <c r="D9283" s="136">
        <f t="shared" ref="D9283:D9346" si="435">WEEKNUM(A9283,2)</f>
        <v>39</v>
      </c>
      <c r="E9283" s="136">
        <f t="shared" si="434"/>
        <v>22</v>
      </c>
      <c r="F9283" s="137" t="s">
        <v>24</v>
      </c>
      <c r="G9283" s="128" t="str">
        <f>VLOOKUP(source[[#This Row],[lending_product_transform]],[3]Mapping!$B$4:$C$37,2,0)</f>
        <v>[Cake] - Cashloan</v>
      </c>
      <c r="H9283" s="128" t="str">
        <f>VLOOKUP(source[[#This Row],[lending_product_transform]],[3]Mapping!$B$3:$D$37,3,0)</f>
        <v>cashloan</v>
      </c>
      <c r="I9283" s="143">
        <v>0</v>
      </c>
    </row>
    <row r="9284" spans="1:9" x14ac:dyDescent="0.2">
      <c r="A9284" s="172">
        <v>45922</v>
      </c>
      <c r="B9284" s="135">
        <f>YEAR(source[[#This Row],[report_date]])</f>
        <v>2025</v>
      </c>
      <c r="C9284" s="128">
        <f t="shared" si="433"/>
        <v>9</v>
      </c>
      <c r="D9284" s="136">
        <f t="shared" si="435"/>
        <v>39</v>
      </c>
      <c r="E9284" s="136">
        <f t="shared" si="434"/>
        <v>22</v>
      </c>
      <c r="F9284" s="137" t="s">
        <v>24</v>
      </c>
      <c r="G9284" s="128" t="str">
        <f>VLOOKUP(source[[#This Row],[lending_product_transform]],[3]Mapping!$B$4:$C$37,2,0)</f>
        <v>[Cake] - Cashloan</v>
      </c>
      <c r="H9284" s="128" t="str">
        <f>VLOOKUP(source[[#This Row],[lending_product_transform]],[3]Mapping!$B$3:$D$37,3,0)</f>
        <v>cashloan</v>
      </c>
      <c r="I9284" s="143">
        <v>0</v>
      </c>
    </row>
    <row r="9285" spans="1:9" x14ac:dyDescent="0.2">
      <c r="A9285" s="172">
        <v>45922</v>
      </c>
      <c r="B9285" s="135">
        <f>YEAR(source[[#This Row],[report_date]])</f>
        <v>2025</v>
      </c>
      <c r="C9285" s="128">
        <f t="shared" si="433"/>
        <v>9</v>
      </c>
      <c r="D9285" s="136">
        <f t="shared" si="435"/>
        <v>39</v>
      </c>
      <c r="E9285" s="136">
        <f t="shared" si="434"/>
        <v>22</v>
      </c>
      <c r="F9285" s="137" t="s">
        <v>24</v>
      </c>
      <c r="G9285" s="128" t="str">
        <f>VLOOKUP(source[[#This Row],[lending_product_transform]],[3]Mapping!$B$4:$C$37,2,0)</f>
        <v>[Cake] - Cashloan</v>
      </c>
      <c r="H9285" s="128" t="str">
        <f>VLOOKUP(source[[#This Row],[lending_product_transform]],[3]Mapping!$B$3:$D$37,3,0)</f>
        <v>cashloan</v>
      </c>
      <c r="I9285" s="143">
        <v>9357984000</v>
      </c>
    </row>
    <row r="9286" spans="1:9" x14ac:dyDescent="0.2">
      <c r="A9286" s="172">
        <v>45922</v>
      </c>
      <c r="B9286" s="135">
        <f>YEAR(source[[#This Row],[report_date]])</f>
        <v>2025</v>
      </c>
      <c r="C9286" s="128">
        <f t="shared" si="433"/>
        <v>9</v>
      </c>
      <c r="D9286" s="136">
        <f t="shared" si="435"/>
        <v>39</v>
      </c>
      <c r="E9286" s="136">
        <f t="shared" si="434"/>
        <v>22</v>
      </c>
      <c r="F9286" s="137" t="s">
        <v>24</v>
      </c>
      <c r="G9286" s="128" t="str">
        <f>VLOOKUP(source[[#This Row],[lending_product_transform]],[3]Mapping!$B$4:$C$37,2,0)</f>
        <v>[Cake] - Cashloan</v>
      </c>
      <c r="H9286" s="128" t="str">
        <f>VLOOKUP(source[[#This Row],[lending_product_transform]],[3]Mapping!$B$3:$D$37,3,0)</f>
        <v>cashloan</v>
      </c>
      <c r="I9286" s="143">
        <v>191266315</v>
      </c>
    </row>
    <row r="9287" spans="1:9" x14ac:dyDescent="0.2">
      <c r="A9287" s="172">
        <v>45922</v>
      </c>
      <c r="B9287" s="135">
        <f>YEAR(source[[#This Row],[report_date]])</f>
        <v>2025</v>
      </c>
      <c r="C9287" s="128">
        <f t="shared" si="433"/>
        <v>9</v>
      </c>
      <c r="D9287" s="136">
        <f t="shared" si="435"/>
        <v>39</v>
      </c>
      <c r="E9287" s="136">
        <f t="shared" si="434"/>
        <v>22</v>
      </c>
      <c r="F9287" s="137" t="s">
        <v>24</v>
      </c>
      <c r="G9287" s="128" t="str">
        <f>VLOOKUP(source[[#This Row],[lending_product_transform]],[3]Mapping!$B$4:$C$37,2,0)</f>
        <v>[Cake] - Cashloan</v>
      </c>
      <c r="H9287" s="128" t="str">
        <f>VLOOKUP(source[[#This Row],[lending_product_transform]],[3]Mapping!$B$3:$D$37,3,0)</f>
        <v>cashloan</v>
      </c>
      <c r="I9287" s="143">
        <v>10500000</v>
      </c>
    </row>
    <row r="9288" spans="1:9" x14ac:dyDescent="0.2">
      <c r="A9288" s="172">
        <v>45922</v>
      </c>
      <c r="B9288" s="135">
        <f>YEAR(source[[#This Row],[report_date]])</f>
        <v>2025</v>
      </c>
      <c r="C9288" s="128">
        <f t="shared" si="433"/>
        <v>9</v>
      </c>
      <c r="D9288" s="136">
        <f t="shared" si="435"/>
        <v>39</v>
      </c>
      <c r="E9288" s="136">
        <f t="shared" si="434"/>
        <v>22</v>
      </c>
      <c r="F9288" s="137" t="s">
        <v>24</v>
      </c>
      <c r="G9288" s="128" t="str">
        <f>VLOOKUP(source[[#This Row],[lending_product_transform]],[3]Mapping!$B$4:$C$37,2,0)</f>
        <v>[Cake] - Cashloan</v>
      </c>
      <c r="H9288" s="128" t="str">
        <f>VLOOKUP(source[[#This Row],[lending_product_transform]],[3]Mapping!$B$3:$D$37,3,0)</f>
        <v>cashloan</v>
      </c>
      <c r="I9288" s="143">
        <v>47000000</v>
      </c>
    </row>
    <row r="9289" spans="1:9" x14ac:dyDescent="0.2">
      <c r="A9289" s="172">
        <v>45922</v>
      </c>
      <c r="B9289" s="135">
        <f>YEAR(source[[#This Row],[report_date]])</f>
        <v>2025</v>
      </c>
      <c r="C9289" s="128">
        <f t="shared" si="433"/>
        <v>9</v>
      </c>
      <c r="D9289" s="136">
        <f t="shared" si="435"/>
        <v>39</v>
      </c>
      <c r="E9289" s="136">
        <f t="shared" si="434"/>
        <v>22</v>
      </c>
      <c r="F9289" s="137" t="s">
        <v>24</v>
      </c>
      <c r="G9289" s="128" t="str">
        <f>VLOOKUP(source[[#This Row],[lending_product_transform]],[3]Mapping!$B$4:$C$37,2,0)</f>
        <v>[Cake] - Cashloan</v>
      </c>
      <c r="H9289" s="128" t="str">
        <f>VLOOKUP(source[[#This Row],[lending_product_transform]],[3]Mapping!$B$3:$D$37,3,0)</f>
        <v>cashloan</v>
      </c>
      <c r="I9289" s="143">
        <v>712300000</v>
      </c>
    </row>
    <row r="9290" spans="1:9" x14ac:dyDescent="0.2">
      <c r="A9290" s="172">
        <v>45922</v>
      </c>
      <c r="B9290" s="135">
        <f>YEAR(source[[#This Row],[report_date]])</f>
        <v>2025</v>
      </c>
      <c r="C9290" s="128">
        <f t="shared" si="433"/>
        <v>9</v>
      </c>
      <c r="D9290" s="136">
        <f t="shared" si="435"/>
        <v>39</v>
      </c>
      <c r="E9290" s="136">
        <f t="shared" si="434"/>
        <v>22</v>
      </c>
      <c r="F9290" s="137" t="s">
        <v>24</v>
      </c>
      <c r="G9290" s="128" t="str">
        <f>VLOOKUP(source[[#This Row],[lending_product_transform]],[3]Mapping!$B$4:$C$37,2,0)</f>
        <v>[Cake] - Cashloan</v>
      </c>
      <c r="H9290" s="128" t="str">
        <f>VLOOKUP(source[[#This Row],[lending_product_transform]],[3]Mapping!$B$3:$D$37,3,0)</f>
        <v>cashloan</v>
      </c>
      <c r="I9290" s="143">
        <v>0</v>
      </c>
    </row>
    <row r="9291" spans="1:9" x14ac:dyDescent="0.2">
      <c r="A9291" s="172">
        <v>45922</v>
      </c>
      <c r="B9291" s="135">
        <f>YEAR(source[[#This Row],[report_date]])</f>
        <v>2025</v>
      </c>
      <c r="C9291" s="128">
        <f t="shared" si="433"/>
        <v>9</v>
      </c>
      <c r="D9291" s="136">
        <f t="shared" si="435"/>
        <v>39</v>
      </c>
      <c r="E9291" s="136">
        <f t="shared" si="434"/>
        <v>22</v>
      </c>
      <c r="F9291" s="137" t="s">
        <v>24</v>
      </c>
      <c r="G9291" s="128" t="str">
        <f>VLOOKUP(source[[#This Row],[lending_product_transform]],[3]Mapping!$B$4:$C$37,2,0)</f>
        <v>[Cake] - Cashloan</v>
      </c>
      <c r="H9291" s="128" t="str">
        <f>VLOOKUP(source[[#This Row],[lending_product_transform]],[3]Mapping!$B$3:$D$37,3,0)</f>
        <v>cashloan</v>
      </c>
      <c r="I9291" s="143">
        <v>393669018</v>
      </c>
    </row>
    <row r="9292" spans="1:9" x14ac:dyDescent="0.2">
      <c r="A9292" s="172">
        <v>45922</v>
      </c>
      <c r="B9292" s="135">
        <f>YEAR(source[[#This Row],[report_date]])</f>
        <v>2025</v>
      </c>
      <c r="C9292" s="128">
        <f t="shared" si="433"/>
        <v>9</v>
      </c>
      <c r="D9292" s="136">
        <f t="shared" si="435"/>
        <v>39</v>
      </c>
      <c r="E9292" s="136">
        <f t="shared" si="434"/>
        <v>22</v>
      </c>
      <c r="F9292" s="137" t="s">
        <v>24</v>
      </c>
      <c r="G9292" s="128" t="str">
        <f>VLOOKUP(source[[#This Row],[lending_product_transform]],[3]Mapping!$B$4:$C$37,2,0)</f>
        <v>[Cake] - Cashloan</v>
      </c>
      <c r="H9292" s="128" t="str">
        <f>VLOOKUP(source[[#This Row],[lending_product_transform]],[3]Mapping!$B$3:$D$37,3,0)</f>
        <v>cashloan</v>
      </c>
      <c r="I9292" s="143">
        <v>2941960000</v>
      </c>
    </row>
    <row r="9293" spans="1:9" x14ac:dyDescent="0.2">
      <c r="A9293" s="172">
        <v>45923</v>
      </c>
      <c r="B9293" s="135">
        <f>YEAR(source[[#This Row],[report_date]])</f>
        <v>2025</v>
      </c>
      <c r="C9293" s="128">
        <f t="shared" si="433"/>
        <v>9</v>
      </c>
      <c r="D9293" s="136">
        <f t="shared" si="435"/>
        <v>39</v>
      </c>
      <c r="E9293" s="136">
        <f t="shared" si="434"/>
        <v>23</v>
      </c>
      <c r="F9293" s="137" t="s">
        <v>24</v>
      </c>
      <c r="G9293" s="128" t="str">
        <f>VLOOKUP(source[[#This Row],[lending_product_transform]],[3]Mapping!$B$4:$C$37,2,0)</f>
        <v>[Cake] - Cashloan</v>
      </c>
      <c r="H9293" s="128" t="str">
        <f>VLOOKUP(source[[#This Row],[lending_product_transform]],[3]Mapping!$B$3:$D$37,3,0)</f>
        <v>cashloan</v>
      </c>
      <c r="I9293" s="143">
        <v>10500000</v>
      </c>
    </row>
    <row r="9294" spans="1:9" x14ac:dyDescent="0.2">
      <c r="A9294" s="172">
        <v>45923</v>
      </c>
      <c r="B9294" s="135">
        <f>YEAR(source[[#This Row],[report_date]])</f>
        <v>2025</v>
      </c>
      <c r="C9294" s="128">
        <f t="shared" si="433"/>
        <v>9</v>
      </c>
      <c r="D9294" s="136">
        <f t="shared" si="435"/>
        <v>39</v>
      </c>
      <c r="E9294" s="136">
        <f t="shared" si="434"/>
        <v>23</v>
      </c>
      <c r="F9294" s="137" t="s">
        <v>24</v>
      </c>
      <c r="G9294" s="128" t="str">
        <f>VLOOKUP(source[[#This Row],[lending_product_transform]],[3]Mapping!$B$4:$C$37,2,0)</f>
        <v>[Cake] - Cashloan</v>
      </c>
      <c r="H9294" s="128" t="str">
        <f>VLOOKUP(source[[#This Row],[lending_product_transform]],[3]Mapping!$B$3:$D$37,3,0)</f>
        <v>cashloan</v>
      </c>
      <c r="I9294" s="143">
        <v>213618555</v>
      </c>
    </row>
    <row r="9295" spans="1:9" x14ac:dyDescent="0.2">
      <c r="A9295" s="172">
        <v>45923</v>
      </c>
      <c r="B9295" s="135">
        <f>YEAR(source[[#This Row],[report_date]])</f>
        <v>2025</v>
      </c>
      <c r="C9295" s="128">
        <f t="shared" si="433"/>
        <v>9</v>
      </c>
      <c r="D9295" s="136">
        <f t="shared" si="435"/>
        <v>39</v>
      </c>
      <c r="E9295" s="136">
        <f t="shared" si="434"/>
        <v>23</v>
      </c>
      <c r="F9295" s="137" t="s">
        <v>24</v>
      </c>
      <c r="G9295" s="128" t="str">
        <f>VLOOKUP(source[[#This Row],[lending_product_transform]],[3]Mapping!$B$4:$C$37,2,0)</f>
        <v>[Cake] - Cashloan</v>
      </c>
      <c r="H9295" s="128" t="str">
        <f>VLOOKUP(source[[#This Row],[lending_product_transform]],[3]Mapping!$B$3:$D$37,3,0)</f>
        <v>cashloan</v>
      </c>
      <c r="I9295" s="143">
        <v>16967530000</v>
      </c>
    </row>
    <row r="9296" spans="1:9" x14ac:dyDescent="0.2">
      <c r="A9296" s="172">
        <v>45923</v>
      </c>
      <c r="B9296" s="135">
        <f>YEAR(source[[#This Row],[report_date]])</f>
        <v>2025</v>
      </c>
      <c r="C9296" s="128">
        <f t="shared" si="433"/>
        <v>9</v>
      </c>
      <c r="D9296" s="136">
        <f t="shared" si="435"/>
        <v>39</v>
      </c>
      <c r="E9296" s="136">
        <f t="shared" si="434"/>
        <v>23</v>
      </c>
      <c r="F9296" s="137" t="s">
        <v>24</v>
      </c>
      <c r="G9296" s="128" t="str">
        <f>VLOOKUP(source[[#This Row],[lending_product_transform]],[3]Mapping!$B$4:$C$37,2,0)</f>
        <v>[Cake] - Cashloan</v>
      </c>
      <c r="H9296" s="128" t="str">
        <f>VLOOKUP(source[[#This Row],[lending_product_transform]],[3]Mapping!$B$3:$D$37,3,0)</f>
        <v>cashloan</v>
      </c>
      <c r="I9296" s="143">
        <v>2615531913</v>
      </c>
    </row>
    <row r="9297" spans="1:9" x14ac:dyDescent="0.2">
      <c r="A9297" s="172">
        <v>45923</v>
      </c>
      <c r="B9297" s="135">
        <f>YEAR(source[[#This Row],[report_date]])</f>
        <v>2025</v>
      </c>
      <c r="C9297" s="128">
        <f t="shared" si="433"/>
        <v>9</v>
      </c>
      <c r="D9297" s="136">
        <f t="shared" si="435"/>
        <v>39</v>
      </c>
      <c r="E9297" s="136">
        <f t="shared" si="434"/>
        <v>23</v>
      </c>
      <c r="F9297" s="137" t="s">
        <v>24</v>
      </c>
      <c r="G9297" s="128" t="str">
        <f>VLOOKUP(source[[#This Row],[lending_product_transform]],[3]Mapping!$B$4:$C$37,2,0)</f>
        <v>[Cake] - Cashloan</v>
      </c>
      <c r="H9297" s="128" t="str">
        <f>VLOOKUP(source[[#This Row],[lending_product_transform]],[3]Mapping!$B$3:$D$37,3,0)</f>
        <v>cashloan</v>
      </c>
      <c r="I9297" s="143">
        <v>7445304000</v>
      </c>
    </row>
    <row r="9298" spans="1:9" x14ac:dyDescent="0.2">
      <c r="A9298" s="172">
        <v>45923</v>
      </c>
      <c r="B9298" s="135">
        <f>YEAR(source[[#This Row],[report_date]])</f>
        <v>2025</v>
      </c>
      <c r="C9298" s="128">
        <f t="shared" si="433"/>
        <v>9</v>
      </c>
      <c r="D9298" s="136">
        <f t="shared" si="435"/>
        <v>39</v>
      </c>
      <c r="E9298" s="136">
        <f t="shared" si="434"/>
        <v>23</v>
      </c>
      <c r="F9298" s="137" t="s">
        <v>24</v>
      </c>
      <c r="G9298" s="128" t="str">
        <f>VLOOKUP(source[[#This Row],[lending_product_transform]],[3]Mapping!$B$4:$C$37,2,0)</f>
        <v>[Cake] - Cashloan</v>
      </c>
      <c r="H9298" s="128" t="str">
        <f>VLOOKUP(source[[#This Row],[lending_product_transform]],[3]Mapping!$B$3:$D$37,3,0)</f>
        <v>cashloan</v>
      </c>
      <c r="I9298" s="143">
        <v>14172417</v>
      </c>
    </row>
    <row r="9299" spans="1:9" x14ac:dyDescent="0.2">
      <c r="A9299" s="172">
        <v>45923</v>
      </c>
      <c r="B9299" s="135">
        <f>YEAR(source[[#This Row],[report_date]])</f>
        <v>2025</v>
      </c>
      <c r="C9299" s="128">
        <f t="shared" si="433"/>
        <v>9</v>
      </c>
      <c r="D9299" s="136">
        <f t="shared" si="435"/>
        <v>39</v>
      </c>
      <c r="E9299" s="136">
        <f t="shared" si="434"/>
        <v>23</v>
      </c>
      <c r="F9299" s="137" t="s">
        <v>24</v>
      </c>
      <c r="G9299" s="128" t="str">
        <f>VLOOKUP(source[[#This Row],[lending_product_transform]],[3]Mapping!$B$4:$C$37,2,0)</f>
        <v>[Cake] - Cashloan</v>
      </c>
      <c r="H9299" s="128" t="str">
        <f>VLOOKUP(source[[#This Row],[lending_product_transform]],[3]Mapping!$B$3:$D$37,3,0)</f>
        <v>cashloan</v>
      </c>
      <c r="I9299" s="143">
        <v>3103000000</v>
      </c>
    </row>
    <row r="9300" spans="1:9" x14ac:dyDescent="0.2">
      <c r="A9300" s="172">
        <v>45923</v>
      </c>
      <c r="B9300" s="135">
        <f>YEAR(source[[#This Row],[report_date]])</f>
        <v>2025</v>
      </c>
      <c r="C9300" s="128">
        <f t="shared" si="433"/>
        <v>9</v>
      </c>
      <c r="D9300" s="136">
        <f t="shared" si="435"/>
        <v>39</v>
      </c>
      <c r="E9300" s="136">
        <f t="shared" si="434"/>
        <v>23</v>
      </c>
      <c r="F9300" s="137" t="s">
        <v>24</v>
      </c>
      <c r="G9300" s="128" t="str">
        <f>VLOOKUP(source[[#This Row],[lending_product_transform]],[3]Mapping!$B$4:$C$37,2,0)</f>
        <v>[Cake] - Cashloan</v>
      </c>
      <c r="H9300" s="128" t="str">
        <f>VLOOKUP(source[[#This Row],[lending_product_transform]],[3]Mapping!$B$3:$D$37,3,0)</f>
        <v>cashloan</v>
      </c>
      <c r="I9300" s="143">
        <v>370000</v>
      </c>
    </row>
    <row r="9301" spans="1:9" x14ac:dyDescent="0.2">
      <c r="A9301" s="172">
        <v>45923</v>
      </c>
      <c r="B9301" s="135">
        <f>YEAR(source[[#This Row],[report_date]])</f>
        <v>2025</v>
      </c>
      <c r="C9301" s="128">
        <f t="shared" si="433"/>
        <v>9</v>
      </c>
      <c r="D9301" s="136">
        <f t="shared" si="435"/>
        <v>39</v>
      </c>
      <c r="E9301" s="136">
        <f t="shared" si="434"/>
        <v>23</v>
      </c>
      <c r="F9301" s="137" t="s">
        <v>24</v>
      </c>
      <c r="G9301" s="128" t="str">
        <f>VLOOKUP(source[[#This Row],[lending_product_transform]],[3]Mapping!$B$4:$C$37,2,0)</f>
        <v>[Cake] - Cashloan</v>
      </c>
      <c r="H9301" s="128" t="str">
        <f>VLOOKUP(source[[#This Row],[lending_product_transform]],[3]Mapping!$B$3:$D$37,3,0)</f>
        <v>cashloan</v>
      </c>
      <c r="I9301" s="143">
        <v>390700000</v>
      </c>
    </row>
    <row r="9302" spans="1:9" x14ac:dyDescent="0.2">
      <c r="A9302" s="172">
        <v>45923</v>
      </c>
      <c r="B9302" s="135">
        <f>YEAR(source[[#This Row],[report_date]])</f>
        <v>2025</v>
      </c>
      <c r="C9302" s="128">
        <f t="shared" si="433"/>
        <v>9</v>
      </c>
      <c r="D9302" s="136">
        <f t="shared" si="435"/>
        <v>39</v>
      </c>
      <c r="E9302" s="136">
        <f t="shared" si="434"/>
        <v>23</v>
      </c>
      <c r="F9302" s="137" t="s">
        <v>24</v>
      </c>
      <c r="G9302" s="128" t="str">
        <f>VLOOKUP(source[[#This Row],[lending_product_transform]],[3]Mapping!$B$4:$C$37,2,0)</f>
        <v>[Cake] - Cashloan</v>
      </c>
      <c r="H9302" s="128" t="str">
        <f>VLOOKUP(source[[#This Row],[lending_product_transform]],[3]Mapping!$B$3:$D$37,3,0)</f>
        <v>cashloan</v>
      </c>
      <c r="I9302" s="143">
        <v>0</v>
      </c>
    </row>
    <row r="9303" spans="1:9" x14ac:dyDescent="0.2">
      <c r="A9303" s="172">
        <v>45923</v>
      </c>
      <c r="B9303" s="135">
        <f>YEAR(source[[#This Row],[report_date]])</f>
        <v>2025</v>
      </c>
      <c r="C9303" s="128">
        <f t="shared" si="433"/>
        <v>9</v>
      </c>
      <c r="D9303" s="136">
        <f t="shared" si="435"/>
        <v>39</v>
      </c>
      <c r="E9303" s="136">
        <f t="shared" si="434"/>
        <v>23</v>
      </c>
      <c r="F9303" s="137" t="s">
        <v>24</v>
      </c>
      <c r="G9303" s="128" t="str">
        <f>VLOOKUP(source[[#This Row],[lending_product_transform]],[3]Mapping!$B$4:$C$37,2,0)</f>
        <v>[Cake] - Cashloan</v>
      </c>
      <c r="H9303" s="128" t="str">
        <f>VLOOKUP(source[[#This Row],[lending_product_transform]],[3]Mapping!$B$3:$D$37,3,0)</f>
        <v>cashloan</v>
      </c>
      <c r="I9303" s="143">
        <v>124950000</v>
      </c>
    </row>
    <row r="9304" spans="1:9" x14ac:dyDescent="0.2">
      <c r="A9304" s="172">
        <v>45923</v>
      </c>
      <c r="B9304" s="135">
        <f>YEAR(source[[#This Row],[report_date]])</f>
        <v>2025</v>
      </c>
      <c r="C9304" s="128">
        <f t="shared" si="433"/>
        <v>9</v>
      </c>
      <c r="D9304" s="136">
        <f t="shared" si="435"/>
        <v>39</v>
      </c>
      <c r="E9304" s="136">
        <f t="shared" si="434"/>
        <v>23</v>
      </c>
      <c r="F9304" s="137" t="s">
        <v>24</v>
      </c>
      <c r="G9304" s="128" t="str">
        <f>VLOOKUP(source[[#This Row],[lending_product_transform]],[3]Mapping!$B$4:$C$37,2,0)</f>
        <v>[Cake] - Cashloan</v>
      </c>
      <c r="H9304" s="128" t="str">
        <f>VLOOKUP(source[[#This Row],[lending_product_transform]],[3]Mapping!$B$3:$D$37,3,0)</f>
        <v>cashloan</v>
      </c>
      <c r="I9304" s="143">
        <v>15773520000</v>
      </c>
    </row>
    <row r="9305" spans="1:9" x14ac:dyDescent="0.2">
      <c r="A9305" s="172">
        <v>45923</v>
      </c>
      <c r="B9305" s="135">
        <f>YEAR(source[[#This Row],[report_date]])</f>
        <v>2025</v>
      </c>
      <c r="C9305" s="128">
        <f t="shared" si="433"/>
        <v>9</v>
      </c>
      <c r="D9305" s="136">
        <f t="shared" si="435"/>
        <v>39</v>
      </c>
      <c r="E9305" s="136">
        <f t="shared" si="434"/>
        <v>23</v>
      </c>
      <c r="F9305" s="137" t="s">
        <v>24</v>
      </c>
      <c r="G9305" s="128" t="str">
        <f>VLOOKUP(source[[#This Row],[lending_product_transform]],[3]Mapping!$B$4:$C$37,2,0)</f>
        <v>[Cake] - Cashloan</v>
      </c>
      <c r="H9305" s="128" t="str">
        <f>VLOOKUP(source[[#This Row],[lending_product_transform]],[3]Mapping!$B$3:$D$37,3,0)</f>
        <v>cashloan</v>
      </c>
      <c r="I9305" s="143">
        <v>0</v>
      </c>
    </row>
    <row r="9306" spans="1:9" x14ac:dyDescent="0.2">
      <c r="A9306" s="172">
        <v>45923</v>
      </c>
      <c r="B9306" s="135">
        <f>YEAR(source[[#This Row],[report_date]])</f>
        <v>2025</v>
      </c>
      <c r="C9306" s="128">
        <f t="shared" si="433"/>
        <v>9</v>
      </c>
      <c r="D9306" s="136">
        <f t="shared" si="435"/>
        <v>39</v>
      </c>
      <c r="E9306" s="136">
        <f t="shared" si="434"/>
        <v>23</v>
      </c>
      <c r="F9306" s="137" t="s">
        <v>24</v>
      </c>
      <c r="G9306" s="128" t="str">
        <f>VLOOKUP(source[[#This Row],[lending_product_transform]],[3]Mapping!$B$4:$C$37,2,0)</f>
        <v>[Cake] - Cashloan</v>
      </c>
      <c r="H9306" s="128" t="str">
        <f>VLOOKUP(source[[#This Row],[lending_product_transform]],[3]Mapping!$B$3:$D$37,3,0)</f>
        <v>cashloan</v>
      </c>
      <c r="I9306" s="143">
        <v>0</v>
      </c>
    </row>
    <row r="9307" spans="1:9" x14ac:dyDescent="0.2">
      <c r="A9307" s="172">
        <v>45923</v>
      </c>
      <c r="B9307" s="135">
        <f>YEAR(source[[#This Row],[report_date]])</f>
        <v>2025</v>
      </c>
      <c r="C9307" s="128">
        <f t="shared" si="433"/>
        <v>9</v>
      </c>
      <c r="D9307" s="136">
        <f t="shared" si="435"/>
        <v>39</v>
      </c>
      <c r="E9307" s="136">
        <f t="shared" si="434"/>
        <v>23</v>
      </c>
      <c r="F9307" s="137" t="s">
        <v>24</v>
      </c>
      <c r="G9307" s="128" t="str">
        <f>VLOOKUP(source[[#This Row],[lending_product_transform]],[3]Mapping!$B$4:$C$37,2,0)</f>
        <v>[Cake] - Cashloan</v>
      </c>
      <c r="H9307" s="128" t="str">
        <f>VLOOKUP(source[[#This Row],[lending_product_transform]],[3]Mapping!$B$3:$D$37,3,0)</f>
        <v>cashloan</v>
      </c>
      <c r="I9307" s="143">
        <v>0</v>
      </c>
    </row>
    <row r="9308" spans="1:9" x14ac:dyDescent="0.2">
      <c r="A9308" s="172">
        <v>45923</v>
      </c>
      <c r="B9308" s="135">
        <f>YEAR(source[[#This Row],[report_date]])</f>
        <v>2025</v>
      </c>
      <c r="C9308" s="128">
        <f t="shared" si="433"/>
        <v>9</v>
      </c>
      <c r="D9308" s="136">
        <f t="shared" si="435"/>
        <v>39</v>
      </c>
      <c r="E9308" s="136">
        <f t="shared" si="434"/>
        <v>23</v>
      </c>
      <c r="F9308" s="137" t="s">
        <v>24</v>
      </c>
      <c r="G9308" s="128" t="str">
        <f>VLOOKUP(source[[#This Row],[lending_product_transform]],[3]Mapping!$B$4:$C$37,2,0)</f>
        <v>[Cake] - Cashloan</v>
      </c>
      <c r="H9308" s="128" t="str">
        <f>VLOOKUP(source[[#This Row],[lending_product_transform]],[3]Mapping!$B$3:$D$37,3,0)</f>
        <v>cashloan</v>
      </c>
      <c r="I9308" s="143">
        <v>0</v>
      </c>
    </row>
    <row r="9309" spans="1:9" x14ac:dyDescent="0.2">
      <c r="A9309" s="172">
        <v>45923</v>
      </c>
      <c r="B9309" s="135">
        <f>YEAR(source[[#This Row],[report_date]])</f>
        <v>2025</v>
      </c>
      <c r="C9309" s="128">
        <f t="shared" si="433"/>
        <v>9</v>
      </c>
      <c r="D9309" s="136">
        <f t="shared" si="435"/>
        <v>39</v>
      </c>
      <c r="E9309" s="136">
        <f t="shared" si="434"/>
        <v>23</v>
      </c>
      <c r="F9309" s="137" t="s">
        <v>24</v>
      </c>
      <c r="G9309" s="128" t="str">
        <f>VLOOKUP(source[[#This Row],[lending_product_transform]],[3]Mapping!$B$4:$C$37,2,0)</f>
        <v>[Cake] - Cashloan</v>
      </c>
      <c r="H9309" s="128" t="str">
        <f>VLOOKUP(source[[#This Row],[lending_product_transform]],[3]Mapping!$B$3:$D$37,3,0)</f>
        <v>cashloan</v>
      </c>
      <c r="I9309" s="143">
        <v>9145656000</v>
      </c>
    </row>
    <row r="9310" spans="1:9" x14ac:dyDescent="0.2">
      <c r="A9310" s="172">
        <v>45923</v>
      </c>
      <c r="B9310" s="135">
        <f>YEAR(source[[#This Row],[report_date]])</f>
        <v>2025</v>
      </c>
      <c r="C9310" s="128">
        <f t="shared" si="433"/>
        <v>9</v>
      </c>
      <c r="D9310" s="136">
        <f t="shared" si="435"/>
        <v>39</v>
      </c>
      <c r="E9310" s="136">
        <f t="shared" si="434"/>
        <v>23</v>
      </c>
      <c r="F9310" s="137" t="s">
        <v>24</v>
      </c>
      <c r="G9310" s="128" t="str">
        <f>VLOOKUP(source[[#This Row],[lending_product_transform]],[3]Mapping!$B$4:$C$37,2,0)</f>
        <v>[Cake] - Cashloan</v>
      </c>
      <c r="H9310" s="128" t="str">
        <f>VLOOKUP(source[[#This Row],[lending_product_transform]],[3]Mapping!$B$3:$D$37,3,0)</f>
        <v>cashloan</v>
      </c>
      <c r="I9310" s="143">
        <v>170271467</v>
      </c>
    </row>
    <row r="9311" spans="1:9" x14ac:dyDescent="0.2">
      <c r="A9311" s="172">
        <v>45923</v>
      </c>
      <c r="B9311" s="135">
        <f>YEAR(source[[#This Row],[report_date]])</f>
        <v>2025</v>
      </c>
      <c r="C9311" s="128">
        <f t="shared" si="433"/>
        <v>9</v>
      </c>
      <c r="D9311" s="136">
        <f t="shared" si="435"/>
        <v>39</v>
      </c>
      <c r="E9311" s="136">
        <f t="shared" si="434"/>
        <v>23</v>
      </c>
      <c r="F9311" s="137" t="s">
        <v>24</v>
      </c>
      <c r="G9311" s="128" t="str">
        <f>VLOOKUP(source[[#This Row],[lending_product_transform]],[3]Mapping!$B$4:$C$37,2,0)</f>
        <v>[Cake] - Cashloan</v>
      </c>
      <c r="H9311" s="128" t="str">
        <f>VLOOKUP(source[[#This Row],[lending_product_transform]],[3]Mapping!$B$3:$D$37,3,0)</f>
        <v>cashloan</v>
      </c>
      <c r="I9311" s="143">
        <v>71500000</v>
      </c>
    </row>
    <row r="9312" spans="1:9" x14ac:dyDescent="0.2">
      <c r="A9312" s="172">
        <v>45923</v>
      </c>
      <c r="B9312" s="135">
        <f>YEAR(source[[#This Row],[report_date]])</f>
        <v>2025</v>
      </c>
      <c r="C9312" s="128">
        <f t="shared" si="433"/>
        <v>9</v>
      </c>
      <c r="D9312" s="136">
        <f t="shared" si="435"/>
        <v>39</v>
      </c>
      <c r="E9312" s="136">
        <f t="shared" si="434"/>
        <v>23</v>
      </c>
      <c r="F9312" s="137" t="s">
        <v>24</v>
      </c>
      <c r="G9312" s="128" t="str">
        <f>VLOOKUP(source[[#This Row],[lending_product_transform]],[3]Mapping!$B$4:$C$37,2,0)</f>
        <v>[Cake] - Cashloan</v>
      </c>
      <c r="H9312" s="128" t="str">
        <f>VLOOKUP(source[[#This Row],[lending_product_transform]],[3]Mapping!$B$3:$D$37,3,0)</f>
        <v>cashloan</v>
      </c>
      <c r="I9312" s="143">
        <v>35000000</v>
      </c>
    </row>
    <row r="9313" spans="1:9" x14ac:dyDescent="0.2">
      <c r="A9313" s="172">
        <v>45923</v>
      </c>
      <c r="B9313" s="135">
        <f>YEAR(source[[#This Row],[report_date]])</f>
        <v>2025</v>
      </c>
      <c r="C9313" s="128">
        <f t="shared" si="433"/>
        <v>9</v>
      </c>
      <c r="D9313" s="136">
        <f t="shared" si="435"/>
        <v>39</v>
      </c>
      <c r="E9313" s="136">
        <f t="shared" si="434"/>
        <v>23</v>
      </c>
      <c r="F9313" s="137" t="s">
        <v>24</v>
      </c>
      <c r="G9313" s="128" t="str">
        <f>VLOOKUP(source[[#This Row],[lending_product_transform]],[3]Mapping!$B$4:$C$37,2,0)</f>
        <v>[Cake] - Cashloan</v>
      </c>
      <c r="H9313" s="128" t="str">
        <f>VLOOKUP(source[[#This Row],[lending_product_transform]],[3]Mapping!$B$3:$D$37,3,0)</f>
        <v>cashloan</v>
      </c>
      <c r="I9313" s="143">
        <v>882190000</v>
      </c>
    </row>
    <row r="9314" spans="1:9" x14ac:dyDescent="0.2">
      <c r="A9314" s="172">
        <v>45923</v>
      </c>
      <c r="B9314" s="135">
        <f>YEAR(source[[#This Row],[report_date]])</f>
        <v>2025</v>
      </c>
      <c r="C9314" s="128">
        <f t="shared" si="433"/>
        <v>9</v>
      </c>
      <c r="D9314" s="136">
        <f t="shared" si="435"/>
        <v>39</v>
      </c>
      <c r="E9314" s="136">
        <f t="shared" si="434"/>
        <v>23</v>
      </c>
      <c r="F9314" s="137" t="s">
        <v>24</v>
      </c>
      <c r="G9314" s="128" t="str">
        <f>VLOOKUP(source[[#This Row],[lending_product_transform]],[3]Mapping!$B$4:$C$37,2,0)</f>
        <v>[Cake] - Cashloan</v>
      </c>
      <c r="H9314" s="128" t="str">
        <f>VLOOKUP(source[[#This Row],[lending_product_transform]],[3]Mapping!$B$3:$D$37,3,0)</f>
        <v>cashloan</v>
      </c>
      <c r="I9314" s="143">
        <v>3240000</v>
      </c>
    </row>
    <row r="9315" spans="1:9" x14ac:dyDescent="0.2">
      <c r="A9315" s="172">
        <v>45923</v>
      </c>
      <c r="B9315" s="135">
        <f>YEAR(source[[#This Row],[report_date]])</f>
        <v>2025</v>
      </c>
      <c r="C9315" s="128">
        <f t="shared" si="433"/>
        <v>9</v>
      </c>
      <c r="D9315" s="136">
        <f t="shared" si="435"/>
        <v>39</v>
      </c>
      <c r="E9315" s="136">
        <f t="shared" si="434"/>
        <v>23</v>
      </c>
      <c r="F9315" s="137" t="s">
        <v>24</v>
      </c>
      <c r="G9315" s="128" t="str">
        <f>VLOOKUP(source[[#This Row],[lending_product_transform]],[3]Mapping!$B$4:$C$37,2,0)</f>
        <v>[Cake] - Cashloan</v>
      </c>
      <c r="H9315" s="128" t="str">
        <f>VLOOKUP(source[[#This Row],[lending_product_transform]],[3]Mapping!$B$3:$D$37,3,0)</f>
        <v>cashloan</v>
      </c>
      <c r="I9315" s="143">
        <v>384294493</v>
      </c>
    </row>
    <row r="9316" spans="1:9" x14ac:dyDescent="0.2">
      <c r="A9316" s="172">
        <v>45923</v>
      </c>
      <c r="B9316" s="135">
        <f>YEAR(source[[#This Row],[report_date]])</f>
        <v>2025</v>
      </c>
      <c r="C9316" s="128">
        <f t="shared" si="433"/>
        <v>9</v>
      </c>
      <c r="D9316" s="136">
        <f t="shared" si="435"/>
        <v>39</v>
      </c>
      <c r="E9316" s="136">
        <f t="shared" si="434"/>
        <v>23</v>
      </c>
      <c r="F9316" s="137" t="s">
        <v>24</v>
      </c>
      <c r="G9316" s="128" t="str">
        <f>VLOOKUP(source[[#This Row],[lending_product_transform]],[3]Mapping!$B$4:$C$37,2,0)</f>
        <v>[Cake] - Cashloan</v>
      </c>
      <c r="H9316" s="128" t="str">
        <f>VLOOKUP(source[[#This Row],[lending_product_transform]],[3]Mapping!$B$3:$D$37,3,0)</f>
        <v>cashloan</v>
      </c>
      <c r="I9316" s="143">
        <v>2689980000</v>
      </c>
    </row>
    <row r="9317" spans="1:9" x14ac:dyDescent="0.2">
      <c r="A9317" s="172">
        <v>45924</v>
      </c>
      <c r="B9317" s="135">
        <f>YEAR(source[[#This Row],[report_date]])</f>
        <v>2025</v>
      </c>
      <c r="C9317" s="128">
        <f t="shared" si="433"/>
        <v>9</v>
      </c>
      <c r="D9317" s="136">
        <f t="shared" si="435"/>
        <v>39</v>
      </c>
      <c r="E9317" s="136">
        <f t="shared" si="434"/>
        <v>24</v>
      </c>
      <c r="F9317" s="137" t="s">
        <v>24</v>
      </c>
      <c r="G9317" s="128" t="str">
        <f>VLOOKUP(source[[#This Row],[lending_product_transform]],[3]Mapping!$B$4:$C$37,2,0)</f>
        <v>[Cake] - Cashloan</v>
      </c>
      <c r="H9317" s="128" t="str">
        <f>VLOOKUP(source[[#This Row],[lending_product_transform]],[3]Mapping!$B$3:$D$37,3,0)</f>
        <v>cashloan</v>
      </c>
      <c r="I9317" s="143">
        <v>0</v>
      </c>
    </row>
    <row r="9318" spans="1:9" x14ac:dyDescent="0.2">
      <c r="A9318" s="172">
        <v>45924</v>
      </c>
      <c r="B9318" s="135">
        <f>YEAR(source[[#This Row],[report_date]])</f>
        <v>2025</v>
      </c>
      <c r="C9318" s="128">
        <f t="shared" si="433"/>
        <v>9</v>
      </c>
      <c r="D9318" s="136">
        <f t="shared" si="435"/>
        <v>39</v>
      </c>
      <c r="E9318" s="136">
        <f t="shared" si="434"/>
        <v>24</v>
      </c>
      <c r="F9318" s="137" t="s">
        <v>24</v>
      </c>
      <c r="G9318" s="128" t="str">
        <f>VLOOKUP(source[[#This Row],[lending_product_transform]],[3]Mapping!$B$4:$C$37,2,0)</f>
        <v>[Cake] - Cashloan</v>
      </c>
      <c r="H9318" s="128" t="str">
        <f>VLOOKUP(source[[#This Row],[lending_product_transform]],[3]Mapping!$B$3:$D$37,3,0)</f>
        <v>cashloan</v>
      </c>
      <c r="I9318" s="143">
        <v>195117847</v>
      </c>
    </row>
    <row r="9319" spans="1:9" x14ac:dyDescent="0.2">
      <c r="A9319" s="172">
        <v>45924</v>
      </c>
      <c r="B9319" s="135">
        <f>YEAR(source[[#This Row],[report_date]])</f>
        <v>2025</v>
      </c>
      <c r="C9319" s="128">
        <f t="shared" si="433"/>
        <v>9</v>
      </c>
      <c r="D9319" s="136">
        <f t="shared" si="435"/>
        <v>39</v>
      </c>
      <c r="E9319" s="136">
        <f t="shared" si="434"/>
        <v>24</v>
      </c>
      <c r="F9319" s="137" t="s">
        <v>24</v>
      </c>
      <c r="G9319" s="128" t="str">
        <f>VLOOKUP(source[[#This Row],[lending_product_transform]],[3]Mapping!$B$4:$C$37,2,0)</f>
        <v>[Cake] - Cashloan</v>
      </c>
      <c r="H9319" s="128" t="str">
        <f>VLOOKUP(source[[#This Row],[lending_product_transform]],[3]Mapping!$B$3:$D$37,3,0)</f>
        <v>cashloan</v>
      </c>
      <c r="I9319" s="143">
        <v>17138260000</v>
      </c>
    </row>
    <row r="9320" spans="1:9" x14ac:dyDescent="0.2">
      <c r="A9320" s="172">
        <v>45924</v>
      </c>
      <c r="B9320" s="135">
        <f>YEAR(source[[#This Row],[report_date]])</f>
        <v>2025</v>
      </c>
      <c r="C9320" s="128">
        <f t="shared" si="433"/>
        <v>9</v>
      </c>
      <c r="D9320" s="136">
        <f t="shared" si="435"/>
        <v>39</v>
      </c>
      <c r="E9320" s="136">
        <f t="shared" si="434"/>
        <v>24</v>
      </c>
      <c r="F9320" s="137" t="s">
        <v>24</v>
      </c>
      <c r="G9320" s="128" t="str">
        <f>VLOOKUP(source[[#This Row],[lending_product_transform]],[3]Mapping!$B$4:$C$37,2,0)</f>
        <v>[Cake] - Cashloan</v>
      </c>
      <c r="H9320" s="128" t="str">
        <f>VLOOKUP(source[[#This Row],[lending_product_transform]],[3]Mapping!$B$3:$D$37,3,0)</f>
        <v>cashloan</v>
      </c>
      <c r="I9320" s="143">
        <v>2412603186</v>
      </c>
    </row>
    <row r="9321" spans="1:9" x14ac:dyDescent="0.2">
      <c r="A9321" s="172">
        <v>45924</v>
      </c>
      <c r="B9321" s="135">
        <f>YEAR(source[[#This Row],[report_date]])</f>
        <v>2025</v>
      </c>
      <c r="C9321" s="128">
        <f t="shared" si="433"/>
        <v>9</v>
      </c>
      <c r="D9321" s="136">
        <f t="shared" si="435"/>
        <v>39</v>
      </c>
      <c r="E9321" s="136">
        <f t="shared" si="434"/>
        <v>24</v>
      </c>
      <c r="F9321" s="137" t="s">
        <v>24</v>
      </c>
      <c r="G9321" s="128" t="str">
        <f>VLOOKUP(source[[#This Row],[lending_product_transform]],[3]Mapping!$B$4:$C$37,2,0)</f>
        <v>[Cake] - Cashloan</v>
      </c>
      <c r="H9321" s="128" t="str">
        <f>VLOOKUP(source[[#This Row],[lending_product_transform]],[3]Mapping!$B$3:$D$37,3,0)</f>
        <v>cashloan</v>
      </c>
      <c r="I9321" s="143">
        <v>7060500000</v>
      </c>
    </row>
    <row r="9322" spans="1:9" x14ac:dyDescent="0.2">
      <c r="A9322" s="172">
        <v>45924</v>
      </c>
      <c r="B9322" s="135">
        <f>YEAR(source[[#This Row],[report_date]])</f>
        <v>2025</v>
      </c>
      <c r="C9322" s="128">
        <f t="shared" si="433"/>
        <v>9</v>
      </c>
      <c r="D9322" s="136">
        <f t="shared" si="435"/>
        <v>39</v>
      </c>
      <c r="E9322" s="136">
        <f t="shared" si="434"/>
        <v>24</v>
      </c>
      <c r="F9322" s="137" t="s">
        <v>24</v>
      </c>
      <c r="G9322" s="128" t="str">
        <f>VLOOKUP(source[[#This Row],[lending_product_transform]],[3]Mapping!$B$4:$C$37,2,0)</f>
        <v>[Cake] - Cashloan</v>
      </c>
      <c r="H9322" s="128" t="str">
        <f>VLOOKUP(source[[#This Row],[lending_product_transform]],[3]Mapping!$B$3:$D$37,3,0)</f>
        <v>cashloan</v>
      </c>
      <c r="I9322" s="143">
        <v>21129863</v>
      </c>
    </row>
    <row r="9323" spans="1:9" x14ac:dyDescent="0.2">
      <c r="A9323" s="172">
        <v>45924</v>
      </c>
      <c r="B9323" s="135">
        <f>YEAR(source[[#This Row],[report_date]])</f>
        <v>2025</v>
      </c>
      <c r="C9323" s="128">
        <f t="shared" si="433"/>
        <v>9</v>
      </c>
      <c r="D9323" s="136">
        <f t="shared" si="435"/>
        <v>39</v>
      </c>
      <c r="E9323" s="136">
        <f t="shared" si="434"/>
        <v>24</v>
      </c>
      <c r="F9323" s="137" t="s">
        <v>24</v>
      </c>
      <c r="G9323" s="128" t="str">
        <f>VLOOKUP(source[[#This Row],[lending_product_transform]],[3]Mapping!$B$4:$C$37,2,0)</f>
        <v>[Cake] - Cashloan</v>
      </c>
      <c r="H9323" s="128" t="str">
        <f>VLOOKUP(source[[#This Row],[lending_product_transform]],[3]Mapping!$B$3:$D$37,3,0)</f>
        <v>cashloan</v>
      </c>
      <c r="I9323" s="143">
        <v>3515000000</v>
      </c>
    </row>
    <row r="9324" spans="1:9" x14ac:dyDescent="0.2">
      <c r="A9324" s="172">
        <v>45924</v>
      </c>
      <c r="B9324" s="135">
        <f>YEAR(source[[#This Row],[report_date]])</f>
        <v>2025</v>
      </c>
      <c r="C9324" s="128">
        <f t="shared" si="433"/>
        <v>9</v>
      </c>
      <c r="D9324" s="136">
        <f t="shared" si="435"/>
        <v>39</v>
      </c>
      <c r="E9324" s="136">
        <f t="shared" si="434"/>
        <v>24</v>
      </c>
      <c r="F9324" s="137" t="s">
        <v>24</v>
      </c>
      <c r="G9324" s="128" t="str">
        <f>VLOOKUP(source[[#This Row],[lending_product_transform]],[3]Mapping!$B$4:$C$37,2,0)</f>
        <v>[Cake] - Cashloan</v>
      </c>
      <c r="H9324" s="128" t="str">
        <f>VLOOKUP(source[[#This Row],[lending_product_transform]],[3]Mapping!$B$3:$D$37,3,0)</f>
        <v>cashloan</v>
      </c>
      <c r="I9324" s="143">
        <v>39326000</v>
      </c>
    </row>
    <row r="9325" spans="1:9" x14ac:dyDescent="0.2">
      <c r="A9325" s="172">
        <v>45924</v>
      </c>
      <c r="B9325" s="135">
        <f>YEAR(source[[#This Row],[report_date]])</f>
        <v>2025</v>
      </c>
      <c r="C9325" s="128">
        <f t="shared" si="433"/>
        <v>9</v>
      </c>
      <c r="D9325" s="136">
        <f t="shared" si="435"/>
        <v>39</v>
      </c>
      <c r="E9325" s="136">
        <f t="shared" si="434"/>
        <v>24</v>
      </c>
      <c r="F9325" s="137" t="s">
        <v>24</v>
      </c>
      <c r="G9325" s="128" t="str">
        <f>VLOOKUP(source[[#This Row],[lending_product_transform]],[3]Mapping!$B$4:$C$37,2,0)</f>
        <v>[Cake] - Cashloan</v>
      </c>
      <c r="H9325" s="128" t="str">
        <f>VLOOKUP(source[[#This Row],[lending_product_transform]],[3]Mapping!$B$3:$D$37,3,0)</f>
        <v>cashloan</v>
      </c>
      <c r="I9325" s="143">
        <v>573388000</v>
      </c>
    </row>
    <row r="9326" spans="1:9" x14ac:dyDescent="0.2">
      <c r="A9326" s="172">
        <v>45924</v>
      </c>
      <c r="B9326" s="135">
        <f>YEAR(source[[#This Row],[report_date]])</f>
        <v>2025</v>
      </c>
      <c r="C9326" s="128">
        <f t="shared" si="433"/>
        <v>9</v>
      </c>
      <c r="D9326" s="136">
        <f t="shared" si="435"/>
        <v>39</v>
      </c>
      <c r="E9326" s="136">
        <f t="shared" si="434"/>
        <v>24</v>
      </c>
      <c r="F9326" s="137" t="s">
        <v>24</v>
      </c>
      <c r="G9326" s="128" t="str">
        <f>VLOOKUP(source[[#This Row],[lending_product_transform]],[3]Mapping!$B$4:$C$37,2,0)</f>
        <v>[Cake] - Cashloan</v>
      </c>
      <c r="H9326" s="128" t="str">
        <f>VLOOKUP(source[[#This Row],[lending_product_transform]],[3]Mapping!$B$3:$D$37,3,0)</f>
        <v>cashloan</v>
      </c>
      <c r="I9326" s="143">
        <v>0</v>
      </c>
    </row>
    <row r="9327" spans="1:9" x14ac:dyDescent="0.2">
      <c r="A9327" s="172">
        <v>45924</v>
      </c>
      <c r="B9327" s="135">
        <f>YEAR(source[[#This Row],[report_date]])</f>
        <v>2025</v>
      </c>
      <c r="C9327" s="128">
        <f t="shared" si="433"/>
        <v>9</v>
      </c>
      <c r="D9327" s="136">
        <f t="shared" si="435"/>
        <v>39</v>
      </c>
      <c r="E9327" s="136">
        <f t="shared" si="434"/>
        <v>24</v>
      </c>
      <c r="F9327" s="137" t="s">
        <v>24</v>
      </c>
      <c r="G9327" s="128" t="str">
        <f>VLOOKUP(source[[#This Row],[lending_product_transform]],[3]Mapping!$B$4:$C$37,2,0)</f>
        <v>[Cake] - Cashloan</v>
      </c>
      <c r="H9327" s="128" t="str">
        <f>VLOOKUP(source[[#This Row],[lending_product_transform]],[3]Mapping!$B$3:$D$37,3,0)</f>
        <v>cashloan</v>
      </c>
      <c r="I9327" s="143">
        <v>103000000</v>
      </c>
    </row>
    <row r="9328" spans="1:9" x14ac:dyDescent="0.2">
      <c r="A9328" s="172">
        <v>45924</v>
      </c>
      <c r="B9328" s="135">
        <f>YEAR(source[[#This Row],[report_date]])</f>
        <v>2025</v>
      </c>
      <c r="C9328" s="128">
        <f t="shared" si="433"/>
        <v>9</v>
      </c>
      <c r="D9328" s="136">
        <f t="shared" si="435"/>
        <v>39</v>
      </c>
      <c r="E9328" s="136">
        <f t="shared" si="434"/>
        <v>24</v>
      </c>
      <c r="F9328" s="137" t="s">
        <v>24</v>
      </c>
      <c r="G9328" s="128" t="str">
        <f>VLOOKUP(source[[#This Row],[lending_product_transform]],[3]Mapping!$B$4:$C$37,2,0)</f>
        <v>[Cake] - Cashloan</v>
      </c>
      <c r="H9328" s="128" t="str">
        <f>VLOOKUP(source[[#This Row],[lending_product_transform]],[3]Mapping!$B$3:$D$37,3,0)</f>
        <v>cashloan</v>
      </c>
      <c r="I9328" s="143">
        <v>15299920000</v>
      </c>
    </row>
    <row r="9329" spans="1:9" x14ac:dyDescent="0.2">
      <c r="A9329" s="172">
        <v>45924</v>
      </c>
      <c r="B9329" s="135">
        <f>YEAR(source[[#This Row],[report_date]])</f>
        <v>2025</v>
      </c>
      <c r="C9329" s="128">
        <f t="shared" si="433"/>
        <v>9</v>
      </c>
      <c r="D9329" s="136">
        <f t="shared" si="435"/>
        <v>39</v>
      </c>
      <c r="E9329" s="136">
        <f t="shared" si="434"/>
        <v>24</v>
      </c>
      <c r="F9329" s="137" t="s">
        <v>24</v>
      </c>
      <c r="G9329" s="128" t="str">
        <f>VLOOKUP(source[[#This Row],[lending_product_transform]],[3]Mapping!$B$4:$C$37,2,0)</f>
        <v>[Cake] - Cashloan</v>
      </c>
      <c r="H9329" s="128" t="str">
        <f>VLOOKUP(source[[#This Row],[lending_product_transform]],[3]Mapping!$B$3:$D$37,3,0)</f>
        <v>cashloan</v>
      </c>
      <c r="I9329" s="143">
        <v>0</v>
      </c>
    </row>
    <row r="9330" spans="1:9" x14ac:dyDescent="0.2">
      <c r="A9330" s="172">
        <v>45924</v>
      </c>
      <c r="B9330" s="135">
        <f>YEAR(source[[#This Row],[report_date]])</f>
        <v>2025</v>
      </c>
      <c r="C9330" s="128">
        <f t="shared" si="433"/>
        <v>9</v>
      </c>
      <c r="D9330" s="136">
        <f t="shared" si="435"/>
        <v>39</v>
      </c>
      <c r="E9330" s="136">
        <f t="shared" si="434"/>
        <v>24</v>
      </c>
      <c r="F9330" s="137" t="s">
        <v>24</v>
      </c>
      <c r="G9330" s="128" t="str">
        <f>VLOOKUP(source[[#This Row],[lending_product_transform]],[3]Mapping!$B$4:$C$37,2,0)</f>
        <v>[Cake] - Cashloan</v>
      </c>
      <c r="H9330" s="128" t="str">
        <f>VLOOKUP(source[[#This Row],[lending_product_transform]],[3]Mapping!$B$3:$D$37,3,0)</f>
        <v>cashloan</v>
      </c>
      <c r="I9330" s="143">
        <v>0</v>
      </c>
    </row>
    <row r="9331" spans="1:9" x14ac:dyDescent="0.2">
      <c r="A9331" s="172">
        <v>45924</v>
      </c>
      <c r="B9331" s="135">
        <f>YEAR(source[[#This Row],[report_date]])</f>
        <v>2025</v>
      </c>
      <c r="C9331" s="128">
        <f t="shared" si="433"/>
        <v>9</v>
      </c>
      <c r="D9331" s="136">
        <f t="shared" si="435"/>
        <v>39</v>
      </c>
      <c r="E9331" s="136">
        <f t="shared" si="434"/>
        <v>24</v>
      </c>
      <c r="F9331" s="137" t="s">
        <v>24</v>
      </c>
      <c r="G9331" s="128" t="str">
        <f>VLOOKUP(source[[#This Row],[lending_product_transform]],[3]Mapping!$B$4:$C$37,2,0)</f>
        <v>[Cake] - Cashloan</v>
      </c>
      <c r="H9331" s="128" t="str">
        <f>VLOOKUP(source[[#This Row],[lending_product_transform]],[3]Mapping!$B$3:$D$37,3,0)</f>
        <v>cashloan</v>
      </c>
      <c r="I9331" s="143">
        <v>0</v>
      </c>
    </row>
    <row r="9332" spans="1:9" x14ac:dyDescent="0.2">
      <c r="A9332" s="172">
        <v>45924</v>
      </c>
      <c r="B9332" s="135">
        <f>YEAR(source[[#This Row],[report_date]])</f>
        <v>2025</v>
      </c>
      <c r="C9332" s="128">
        <f t="shared" si="433"/>
        <v>9</v>
      </c>
      <c r="D9332" s="136">
        <f t="shared" si="435"/>
        <v>39</v>
      </c>
      <c r="E9332" s="136">
        <f t="shared" si="434"/>
        <v>24</v>
      </c>
      <c r="F9332" s="137" t="s">
        <v>24</v>
      </c>
      <c r="G9332" s="128" t="str">
        <f>VLOOKUP(source[[#This Row],[lending_product_transform]],[3]Mapping!$B$4:$C$37,2,0)</f>
        <v>[Cake] - Cashloan</v>
      </c>
      <c r="H9332" s="128" t="str">
        <f>VLOOKUP(source[[#This Row],[lending_product_transform]],[3]Mapping!$B$3:$D$37,3,0)</f>
        <v>cashloan</v>
      </c>
      <c r="I9332" s="143">
        <v>0</v>
      </c>
    </row>
    <row r="9333" spans="1:9" x14ac:dyDescent="0.2">
      <c r="A9333" s="172">
        <v>45924</v>
      </c>
      <c r="B9333" s="135">
        <f>YEAR(source[[#This Row],[report_date]])</f>
        <v>2025</v>
      </c>
      <c r="C9333" s="128">
        <f t="shared" si="433"/>
        <v>9</v>
      </c>
      <c r="D9333" s="136">
        <f t="shared" si="435"/>
        <v>39</v>
      </c>
      <c r="E9333" s="136">
        <f t="shared" si="434"/>
        <v>24</v>
      </c>
      <c r="F9333" s="137" t="s">
        <v>24</v>
      </c>
      <c r="G9333" s="128" t="str">
        <f>VLOOKUP(source[[#This Row],[lending_product_transform]],[3]Mapping!$B$4:$C$37,2,0)</f>
        <v>[Cake] - Cashloan</v>
      </c>
      <c r="H9333" s="128" t="str">
        <f>VLOOKUP(source[[#This Row],[lending_product_transform]],[3]Mapping!$B$3:$D$37,3,0)</f>
        <v>cashloan</v>
      </c>
      <c r="I9333" s="143">
        <v>8967456000</v>
      </c>
    </row>
    <row r="9334" spans="1:9" x14ac:dyDescent="0.2">
      <c r="A9334" s="172">
        <v>45924</v>
      </c>
      <c r="B9334" s="135">
        <f>YEAR(source[[#This Row],[report_date]])</f>
        <v>2025</v>
      </c>
      <c r="C9334" s="128">
        <f t="shared" ref="C9334:C9397" si="436">MONTH(A9334)</f>
        <v>9</v>
      </c>
      <c r="D9334" s="136">
        <f t="shared" si="435"/>
        <v>39</v>
      </c>
      <c r="E9334" s="136">
        <f t="shared" ref="E9334:E9397" si="437">DAY(A9334)</f>
        <v>24</v>
      </c>
      <c r="F9334" s="137" t="s">
        <v>24</v>
      </c>
      <c r="G9334" s="128" t="str">
        <f>VLOOKUP(source[[#This Row],[lending_product_transform]],[3]Mapping!$B$4:$C$37,2,0)</f>
        <v>[Cake] - Cashloan</v>
      </c>
      <c r="H9334" s="128" t="str">
        <f>VLOOKUP(source[[#This Row],[lending_product_transform]],[3]Mapping!$B$3:$D$37,3,0)</f>
        <v>cashloan</v>
      </c>
      <c r="I9334" s="143">
        <v>155867002</v>
      </c>
    </row>
    <row r="9335" spans="1:9" x14ac:dyDescent="0.2">
      <c r="A9335" s="172">
        <v>45924</v>
      </c>
      <c r="B9335" s="135">
        <f>YEAR(source[[#This Row],[report_date]])</f>
        <v>2025</v>
      </c>
      <c r="C9335" s="128">
        <f t="shared" si="436"/>
        <v>9</v>
      </c>
      <c r="D9335" s="136">
        <f t="shared" si="435"/>
        <v>39</v>
      </c>
      <c r="E9335" s="136">
        <f t="shared" si="437"/>
        <v>24</v>
      </c>
      <c r="F9335" s="137" t="s">
        <v>24</v>
      </c>
      <c r="G9335" s="128" t="str">
        <f>VLOOKUP(source[[#This Row],[lending_product_transform]],[3]Mapping!$B$4:$C$37,2,0)</f>
        <v>[Cake] - Cashloan</v>
      </c>
      <c r="H9335" s="128" t="str">
        <f>VLOOKUP(source[[#This Row],[lending_product_transform]],[3]Mapping!$B$3:$D$37,3,0)</f>
        <v>cashloan</v>
      </c>
      <c r="I9335" s="143">
        <v>61000000</v>
      </c>
    </row>
    <row r="9336" spans="1:9" x14ac:dyDescent="0.2">
      <c r="A9336" s="172">
        <v>45924</v>
      </c>
      <c r="B9336" s="135">
        <f>YEAR(source[[#This Row],[report_date]])</f>
        <v>2025</v>
      </c>
      <c r="C9336" s="128">
        <f t="shared" si="436"/>
        <v>9</v>
      </c>
      <c r="D9336" s="136">
        <f t="shared" si="435"/>
        <v>39</v>
      </c>
      <c r="E9336" s="136">
        <f t="shared" si="437"/>
        <v>24</v>
      </c>
      <c r="F9336" s="137" t="s">
        <v>24</v>
      </c>
      <c r="G9336" s="128" t="str">
        <f>VLOOKUP(source[[#This Row],[lending_product_transform]],[3]Mapping!$B$4:$C$37,2,0)</f>
        <v>[Cake] - Cashloan</v>
      </c>
      <c r="H9336" s="128" t="str">
        <f>VLOOKUP(source[[#This Row],[lending_product_transform]],[3]Mapping!$B$3:$D$37,3,0)</f>
        <v>cashloan</v>
      </c>
      <c r="I9336" s="143">
        <v>55000000</v>
      </c>
    </row>
    <row r="9337" spans="1:9" x14ac:dyDescent="0.2">
      <c r="A9337" s="172">
        <v>45924</v>
      </c>
      <c r="B9337" s="135">
        <f>YEAR(source[[#This Row],[report_date]])</f>
        <v>2025</v>
      </c>
      <c r="C9337" s="128">
        <f t="shared" si="436"/>
        <v>9</v>
      </c>
      <c r="D9337" s="136">
        <f t="shared" si="435"/>
        <v>39</v>
      </c>
      <c r="E9337" s="136">
        <f t="shared" si="437"/>
        <v>24</v>
      </c>
      <c r="F9337" s="137" t="s">
        <v>24</v>
      </c>
      <c r="G9337" s="128" t="str">
        <f>VLOOKUP(source[[#This Row],[lending_product_transform]],[3]Mapping!$B$4:$C$37,2,0)</f>
        <v>[Cake] - Cashloan</v>
      </c>
      <c r="H9337" s="128" t="str">
        <f>VLOOKUP(source[[#This Row],[lending_product_transform]],[3]Mapping!$B$3:$D$37,3,0)</f>
        <v>cashloan</v>
      </c>
      <c r="I9337" s="143">
        <v>776760000</v>
      </c>
    </row>
    <row r="9338" spans="1:9" x14ac:dyDescent="0.2">
      <c r="A9338" s="172">
        <v>45924</v>
      </c>
      <c r="B9338" s="135">
        <f>YEAR(source[[#This Row],[report_date]])</f>
        <v>2025</v>
      </c>
      <c r="C9338" s="128">
        <f t="shared" si="436"/>
        <v>9</v>
      </c>
      <c r="D9338" s="136">
        <f t="shared" si="435"/>
        <v>39</v>
      </c>
      <c r="E9338" s="136">
        <f t="shared" si="437"/>
        <v>24</v>
      </c>
      <c r="F9338" s="137" t="s">
        <v>24</v>
      </c>
      <c r="G9338" s="128" t="str">
        <f>VLOOKUP(source[[#This Row],[lending_product_transform]],[3]Mapping!$B$4:$C$37,2,0)</f>
        <v>[Cake] - Cashloan</v>
      </c>
      <c r="H9338" s="128" t="str">
        <f>VLOOKUP(source[[#This Row],[lending_product_transform]],[3]Mapping!$B$3:$D$37,3,0)</f>
        <v>cashloan</v>
      </c>
      <c r="I9338" s="143">
        <v>0</v>
      </c>
    </row>
    <row r="9339" spans="1:9" x14ac:dyDescent="0.2">
      <c r="A9339" s="172">
        <v>45924</v>
      </c>
      <c r="B9339" s="135">
        <f>YEAR(source[[#This Row],[report_date]])</f>
        <v>2025</v>
      </c>
      <c r="C9339" s="128">
        <f t="shared" si="436"/>
        <v>9</v>
      </c>
      <c r="D9339" s="136">
        <f t="shared" si="435"/>
        <v>39</v>
      </c>
      <c r="E9339" s="136">
        <f t="shared" si="437"/>
        <v>24</v>
      </c>
      <c r="F9339" s="137" t="s">
        <v>24</v>
      </c>
      <c r="G9339" s="128" t="str">
        <f>VLOOKUP(source[[#This Row],[lending_product_transform]],[3]Mapping!$B$4:$C$37,2,0)</f>
        <v>[Cake] - Cashloan</v>
      </c>
      <c r="H9339" s="128" t="str">
        <f>VLOOKUP(source[[#This Row],[lending_product_transform]],[3]Mapping!$B$3:$D$37,3,0)</f>
        <v>cashloan</v>
      </c>
      <c r="I9339" s="143">
        <v>386987044</v>
      </c>
    </row>
    <row r="9340" spans="1:9" x14ac:dyDescent="0.2">
      <c r="A9340" s="172">
        <v>45924</v>
      </c>
      <c r="B9340" s="135">
        <f>YEAR(source[[#This Row],[report_date]])</f>
        <v>2025</v>
      </c>
      <c r="C9340" s="128">
        <f t="shared" si="436"/>
        <v>9</v>
      </c>
      <c r="D9340" s="136">
        <f t="shared" si="435"/>
        <v>39</v>
      </c>
      <c r="E9340" s="136">
        <f t="shared" si="437"/>
        <v>24</v>
      </c>
      <c r="F9340" s="137" t="s">
        <v>24</v>
      </c>
      <c r="G9340" s="128" t="str">
        <f>VLOOKUP(source[[#This Row],[lending_product_transform]],[3]Mapping!$B$4:$C$37,2,0)</f>
        <v>[Cake] - Cashloan</v>
      </c>
      <c r="H9340" s="128" t="str">
        <f>VLOOKUP(source[[#This Row],[lending_product_transform]],[3]Mapping!$B$3:$D$37,3,0)</f>
        <v>cashloan</v>
      </c>
      <c r="I9340" s="143">
        <v>2535800000</v>
      </c>
    </row>
    <row r="9341" spans="1:9" x14ac:dyDescent="0.2">
      <c r="A9341" s="172">
        <v>45925</v>
      </c>
      <c r="B9341" s="135">
        <f>YEAR(source[[#This Row],[report_date]])</f>
        <v>2025</v>
      </c>
      <c r="C9341" s="128">
        <f t="shared" si="436"/>
        <v>9</v>
      </c>
      <c r="D9341" s="136">
        <f t="shared" si="435"/>
        <v>39</v>
      </c>
      <c r="E9341" s="136">
        <f t="shared" si="437"/>
        <v>25</v>
      </c>
      <c r="F9341" s="137" t="s">
        <v>24</v>
      </c>
      <c r="G9341" s="128" t="str">
        <f>VLOOKUP(source[[#This Row],[lending_product_transform]],[3]Mapping!$B$4:$C$37,2,0)</f>
        <v>[Cake] - Cashloan</v>
      </c>
      <c r="H9341" s="128" t="str">
        <f>VLOOKUP(source[[#This Row],[lending_product_transform]],[3]Mapping!$B$3:$D$37,3,0)</f>
        <v>cashloan</v>
      </c>
      <c r="I9341" s="143">
        <v>0</v>
      </c>
    </row>
    <row r="9342" spans="1:9" x14ac:dyDescent="0.2">
      <c r="A9342" s="172">
        <v>45925</v>
      </c>
      <c r="B9342" s="135">
        <f>YEAR(source[[#This Row],[report_date]])</f>
        <v>2025</v>
      </c>
      <c r="C9342" s="128">
        <f t="shared" si="436"/>
        <v>9</v>
      </c>
      <c r="D9342" s="136">
        <f t="shared" si="435"/>
        <v>39</v>
      </c>
      <c r="E9342" s="136">
        <f t="shared" si="437"/>
        <v>25</v>
      </c>
      <c r="F9342" s="137" t="s">
        <v>24</v>
      </c>
      <c r="G9342" s="128" t="str">
        <f>VLOOKUP(source[[#This Row],[lending_product_transform]],[3]Mapping!$B$4:$C$37,2,0)</f>
        <v>[Cake] - Cashloan</v>
      </c>
      <c r="H9342" s="128" t="str">
        <f>VLOOKUP(source[[#This Row],[lending_product_transform]],[3]Mapping!$B$3:$D$37,3,0)</f>
        <v>cashloan</v>
      </c>
      <c r="I9342" s="143">
        <v>242011253</v>
      </c>
    </row>
    <row r="9343" spans="1:9" x14ac:dyDescent="0.2">
      <c r="A9343" s="172">
        <v>45925</v>
      </c>
      <c r="B9343" s="135">
        <f>YEAR(source[[#This Row],[report_date]])</f>
        <v>2025</v>
      </c>
      <c r="C9343" s="128">
        <f t="shared" si="436"/>
        <v>9</v>
      </c>
      <c r="D9343" s="136">
        <f t="shared" si="435"/>
        <v>39</v>
      </c>
      <c r="E9343" s="136">
        <f t="shared" si="437"/>
        <v>25</v>
      </c>
      <c r="F9343" s="137" t="s">
        <v>24</v>
      </c>
      <c r="G9343" s="128" t="str">
        <f>VLOOKUP(source[[#This Row],[lending_product_transform]],[3]Mapping!$B$4:$C$37,2,0)</f>
        <v>[Cake] - Cashloan</v>
      </c>
      <c r="H9343" s="128" t="str">
        <f>VLOOKUP(source[[#This Row],[lending_product_transform]],[3]Mapping!$B$3:$D$37,3,0)</f>
        <v>cashloan</v>
      </c>
      <c r="I9343" s="143">
        <v>16711690000</v>
      </c>
    </row>
    <row r="9344" spans="1:9" x14ac:dyDescent="0.2">
      <c r="A9344" s="172">
        <v>45925</v>
      </c>
      <c r="B9344" s="135">
        <f>YEAR(source[[#This Row],[report_date]])</f>
        <v>2025</v>
      </c>
      <c r="C9344" s="128">
        <f t="shared" si="436"/>
        <v>9</v>
      </c>
      <c r="D9344" s="136">
        <f t="shared" si="435"/>
        <v>39</v>
      </c>
      <c r="E9344" s="136">
        <f t="shared" si="437"/>
        <v>25</v>
      </c>
      <c r="F9344" s="137" t="s">
        <v>24</v>
      </c>
      <c r="G9344" s="128" t="str">
        <f>VLOOKUP(source[[#This Row],[lending_product_transform]],[3]Mapping!$B$4:$C$37,2,0)</f>
        <v>[Cake] - Cashloan</v>
      </c>
      <c r="H9344" s="128" t="str">
        <f>VLOOKUP(source[[#This Row],[lending_product_transform]],[3]Mapping!$B$3:$D$37,3,0)</f>
        <v>cashloan</v>
      </c>
      <c r="I9344" s="143">
        <v>2439328289</v>
      </c>
    </row>
    <row r="9345" spans="1:9" x14ac:dyDescent="0.2">
      <c r="A9345" s="172">
        <v>45925</v>
      </c>
      <c r="B9345" s="135">
        <f>YEAR(source[[#This Row],[report_date]])</f>
        <v>2025</v>
      </c>
      <c r="C9345" s="128">
        <f t="shared" si="436"/>
        <v>9</v>
      </c>
      <c r="D9345" s="136">
        <f t="shared" si="435"/>
        <v>39</v>
      </c>
      <c r="E9345" s="136">
        <f t="shared" si="437"/>
        <v>25</v>
      </c>
      <c r="F9345" s="137" t="s">
        <v>24</v>
      </c>
      <c r="G9345" s="128" t="str">
        <f>VLOOKUP(source[[#This Row],[lending_product_transform]],[3]Mapping!$B$4:$C$37,2,0)</f>
        <v>[Cake] - Cashloan</v>
      </c>
      <c r="H9345" s="128" t="str">
        <f>VLOOKUP(source[[#This Row],[lending_product_transform]],[3]Mapping!$B$3:$D$37,3,0)</f>
        <v>cashloan</v>
      </c>
      <c r="I9345" s="143">
        <v>7386768000</v>
      </c>
    </row>
    <row r="9346" spans="1:9" x14ac:dyDescent="0.2">
      <c r="A9346" s="172">
        <v>45925</v>
      </c>
      <c r="B9346" s="135">
        <f>YEAR(source[[#This Row],[report_date]])</f>
        <v>2025</v>
      </c>
      <c r="C9346" s="128">
        <f t="shared" si="436"/>
        <v>9</v>
      </c>
      <c r="D9346" s="136">
        <f t="shared" si="435"/>
        <v>39</v>
      </c>
      <c r="E9346" s="136">
        <f t="shared" si="437"/>
        <v>25</v>
      </c>
      <c r="F9346" s="137" t="s">
        <v>24</v>
      </c>
      <c r="G9346" s="128" t="str">
        <f>VLOOKUP(source[[#This Row],[lending_product_transform]],[3]Mapping!$B$4:$C$37,2,0)</f>
        <v>[Cake] - Cashloan</v>
      </c>
      <c r="H9346" s="128" t="str">
        <f>VLOOKUP(source[[#This Row],[lending_product_transform]],[3]Mapping!$B$3:$D$37,3,0)</f>
        <v>cashloan</v>
      </c>
      <c r="I9346" s="143">
        <v>24253111</v>
      </c>
    </row>
    <row r="9347" spans="1:9" x14ac:dyDescent="0.2">
      <c r="A9347" s="172">
        <v>45925</v>
      </c>
      <c r="B9347" s="135">
        <f>YEAR(source[[#This Row],[report_date]])</f>
        <v>2025</v>
      </c>
      <c r="C9347" s="128">
        <f t="shared" si="436"/>
        <v>9</v>
      </c>
      <c r="D9347" s="136">
        <f t="shared" ref="D9347:D9410" si="438">WEEKNUM(A9347,2)</f>
        <v>39</v>
      </c>
      <c r="E9347" s="136">
        <f t="shared" si="437"/>
        <v>25</v>
      </c>
      <c r="F9347" s="137" t="s">
        <v>24</v>
      </c>
      <c r="G9347" s="128" t="str">
        <f>VLOOKUP(source[[#This Row],[lending_product_transform]],[3]Mapping!$B$4:$C$37,2,0)</f>
        <v>[Cake] - Cashloan</v>
      </c>
      <c r="H9347" s="128" t="str">
        <f>VLOOKUP(source[[#This Row],[lending_product_transform]],[3]Mapping!$B$3:$D$37,3,0)</f>
        <v>cashloan</v>
      </c>
      <c r="I9347" s="143">
        <v>3293400000</v>
      </c>
    </row>
    <row r="9348" spans="1:9" x14ac:dyDescent="0.2">
      <c r="A9348" s="172">
        <v>45925</v>
      </c>
      <c r="B9348" s="135">
        <f>YEAR(source[[#This Row],[report_date]])</f>
        <v>2025</v>
      </c>
      <c r="C9348" s="128">
        <f t="shared" si="436"/>
        <v>9</v>
      </c>
      <c r="D9348" s="136">
        <f t="shared" si="438"/>
        <v>39</v>
      </c>
      <c r="E9348" s="136">
        <f t="shared" si="437"/>
        <v>25</v>
      </c>
      <c r="F9348" s="137" t="s">
        <v>24</v>
      </c>
      <c r="G9348" s="128" t="str">
        <f>VLOOKUP(source[[#This Row],[lending_product_transform]],[3]Mapping!$B$4:$C$37,2,0)</f>
        <v>[Cake] - Cashloan</v>
      </c>
      <c r="H9348" s="128" t="str">
        <f>VLOOKUP(source[[#This Row],[lending_product_transform]],[3]Mapping!$B$3:$D$37,3,0)</f>
        <v>cashloan</v>
      </c>
      <c r="I9348" s="143">
        <v>18628000</v>
      </c>
    </row>
    <row r="9349" spans="1:9" x14ac:dyDescent="0.2">
      <c r="A9349" s="172">
        <v>45925</v>
      </c>
      <c r="B9349" s="135">
        <f>YEAR(source[[#This Row],[report_date]])</f>
        <v>2025</v>
      </c>
      <c r="C9349" s="128">
        <f t="shared" si="436"/>
        <v>9</v>
      </c>
      <c r="D9349" s="136">
        <f t="shared" si="438"/>
        <v>39</v>
      </c>
      <c r="E9349" s="136">
        <f t="shared" si="437"/>
        <v>25</v>
      </c>
      <c r="F9349" s="137" t="s">
        <v>24</v>
      </c>
      <c r="G9349" s="128" t="str">
        <f>VLOOKUP(source[[#This Row],[lending_product_transform]],[3]Mapping!$B$4:$C$37,2,0)</f>
        <v>[Cake] - Cashloan</v>
      </c>
      <c r="H9349" s="128" t="str">
        <f>VLOOKUP(source[[#This Row],[lending_product_transform]],[3]Mapping!$B$3:$D$37,3,0)</f>
        <v>cashloan</v>
      </c>
      <c r="I9349" s="143">
        <v>549953000</v>
      </c>
    </row>
    <row r="9350" spans="1:9" x14ac:dyDescent="0.2">
      <c r="A9350" s="172">
        <v>45925</v>
      </c>
      <c r="B9350" s="135">
        <f>YEAR(source[[#This Row],[report_date]])</f>
        <v>2025</v>
      </c>
      <c r="C9350" s="128">
        <f t="shared" si="436"/>
        <v>9</v>
      </c>
      <c r="D9350" s="136">
        <f t="shared" si="438"/>
        <v>39</v>
      </c>
      <c r="E9350" s="136">
        <f t="shared" si="437"/>
        <v>25</v>
      </c>
      <c r="F9350" s="137" t="s">
        <v>24</v>
      </c>
      <c r="G9350" s="128" t="str">
        <f>VLOOKUP(source[[#This Row],[lending_product_transform]],[3]Mapping!$B$4:$C$37,2,0)</f>
        <v>[Cake] - Cashloan</v>
      </c>
      <c r="H9350" s="128" t="str">
        <f>VLOOKUP(source[[#This Row],[lending_product_transform]],[3]Mapping!$B$3:$D$37,3,0)</f>
        <v>cashloan</v>
      </c>
      <c r="I9350" s="143">
        <v>0</v>
      </c>
    </row>
    <row r="9351" spans="1:9" x14ac:dyDescent="0.2">
      <c r="A9351" s="172">
        <v>45925</v>
      </c>
      <c r="B9351" s="135">
        <f>YEAR(source[[#This Row],[report_date]])</f>
        <v>2025</v>
      </c>
      <c r="C9351" s="128">
        <f t="shared" si="436"/>
        <v>9</v>
      </c>
      <c r="D9351" s="136">
        <f t="shared" si="438"/>
        <v>39</v>
      </c>
      <c r="E9351" s="136">
        <f t="shared" si="437"/>
        <v>25</v>
      </c>
      <c r="F9351" s="137" t="s">
        <v>24</v>
      </c>
      <c r="G9351" s="128" t="str">
        <f>VLOOKUP(source[[#This Row],[lending_product_transform]],[3]Mapping!$B$4:$C$37,2,0)</f>
        <v>[Cake] - Cashloan</v>
      </c>
      <c r="H9351" s="128" t="str">
        <f>VLOOKUP(source[[#This Row],[lending_product_transform]],[3]Mapping!$B$3:$D$37,3,0)</f>
        <v>cashloan</v>
      </c>
      <c r="I9351" s="143">
        <v>166500000</v>
      </c>
    </row>
    <row r="9352" spans="1:9" x14ac:dyDescent="0.2">
      <c r="A9352" s="172">
        <v>45925</v>
      </c>
      <c r="B9352" s="135">
        <f>YEAR(source[[#This Row],[report_date]])</f>
        <v>2025</v>
      </c>
      <c r="C9352" s="128">
        <f t="shared" si="436"/>
        <v>9</v>
      </c>
      <c r="D9352" s="136">
        <f t="shared" si="438"/>
        <v>39</v>
      </c>
      <c r="E9352" s="136">
        <f t="shared" si="437"/>
        <v>25</v>
      </c>
      <c r="F9352" s="137" t="s">
        <v>24</v>
      </c>
      <c r="G9352" s="128" t="str">
        <f>VLOOKUP(source[[#This Row],[lending_product_transform]],[3]Mapping!$B$4:$C$37,2,0)</f>
        <v>[Cake] - Cashloan</v>
      </c>
      <c r="H9352" s="128" t="str">
        <f>VLOOKUP(source[[#This Row],[lending_product_transform]],[3]Mapping!$B$3:$D$37,3,0)</f>
        <v>cashloan</v>
      </c>
      <c r="I9352" s="143">
        <v>15193770000</v>
      </c>
    </row>
    <row r="9353" spans="1:9" x14ac:dyDescent="0.2">
      <c r="A9353" s="172">
        <v>45925</v>
      </c>
      <c r="B9353" s="135">
        <f>YEAR(source[[#This Row],[report_date]])</f>
        <v>2025</v>
      </c>
      <c r="C9353" s="128">
        <f t="shared" si="436"/>
        <v>9</v>
      </c>
      <c r="D9353" s="136">
        <f t="shared" si="438"/>
        <v>39</v>
      </c>
      <c r="E9353" s="136">
        <f t="shared" si="437"/>
        <v>25</v>
      </c>
      <c r="F9353" s="137" t="s">
        <v>24</v>
      </c>
      <c r="G9353" s="128" t="str">
        <f>VLOOKUP(source[[#This Row],[lending_product_transform]],[3]Mapping!$B$4:$C$37,2,0)</f>
        <v>[Cake] - Cashloan</v>
      </c>
      <c r="H9353" s="128" t="str">
        <f>VLOOKUP(source[[#This Row],[lending_product_transform]],[3]Mapping!$B$3:$D$37,3,0)</f>
        <v>cashloan</v>
      </c>
      <c r="I9353" s="143">
        <v>0</v>
      </c>
    </row>
    <row r="9354" spans="1:9" x14ac:dyDescent="0.2">
      <c r="A9354" s="172">
        <v>45925</v>
      </c>
      <c r="B9354" s="135">
        <f>YEAR(source[[#This Row],[report_date]])</f>
        <v>2025</v>
      </c>
      <c r="C9354" s="128">
        <f t="shared" si="436"/>
        <v>9</v>
      </c>
      <c r="D9354" s="136">
        <f t="shared" si="438"/>
        <v>39</v>
      </c>
      <c r="E9354" s="136">
        <f t="shared" si="437"/>
        <v>25</v>
      </c>
      <c r="F9354" s="137" t="s">
        <v>24</v>
      </c>
      <c r="G9354" s="128" t="str">
        <f>VLOOKUP(source[[#This Row],[lending_product_transform]],[3]Mapping!$B$4:$C$37,2,0)</f>
        <v>[Cake] - Cashloan</v>
      </c>
      <c r="H9354" s="128" t="str">
        <f>VLOOKUP(source[[#This Row],[lending_product_transform]],[3]Mapping!$B$3:$D$37,3,0)</f>
        <v>cashloan</v>
      </c>
      <c r="I9354" s="143">
        <v>0</v>
      </c>
    </row>
    <row r="9355" spans="1:9" x14ac:dyDescent="0.2">
      <c r="A9355" s="172">
        <v>45925</v>
      </c>
      <c r="B9355" s="135">
        <f>YEAR(source[[#This Row],[report_date]])</f>
        <v>2025</v>
      </c>
      <c r="C9355" s="128">
        <f t="shared" si="436"/>
        <v>9</v>
      </c>
      <c r="D9355" s="136">
        <f t="shared" si="438"/>
        <v>39</v>
      </c>
      <c r="E9355" s="136">
        <f t="shared" si="437"/>
        <v>25</v>
      </c>
      <c r="F9355" s="137" t="s">
        <v>24</v>
      </c>
      <c r="G9355" s="128" t="str">
        <f>VLOOKUP(source[[#This Row],[lending_product_transform]],[3]Mapping!$B$4:$C$37,2,0)</f>
        <v>[Cake] - Cashloan</v>
      </c>
      <c r="H9355" s="128" t="str">
        <f>VLOOKUP(source[[#This Row],[lending_product_transform]],[3]Mapping!$B$3:$D$37,3,0)</f>
        <v>cashloan</v>
      </c>
      <c r="I9355" s="143">
        <v>0</v>
      </c>
    </row>
    <row r="9356" spans="1:9" x14ac:dyDescent="0.2">
      <c r="A9356" s="172">
        <v>45925</v>
      </c>
      <c r="B9356" s="135">
        <f>YEAR(source[[#This Row],[report_date]])</f>
        <v>2025</v>
      </c>
      <c r="C9356" s="128">
        <f t="shared" si="436"/>
        <v>9</v>
      </c>
      <c r="D9356" s="136">
        <f t="shared" si="438"/>
        <v>39</v>
      </c>
      <c r="E9356" s="136">
        <f t="shared" si="437"/>
        <v>25</v>
      </c>
      <c r="F9356" s="137" t="s">
        <v>24</v>
      </c>
      <c r="G9356" s="128" t="str">
        <f>VLOOKUP(source[[#This Row],[lending_product_transform]],[3]Mapping!$B$4:$C$37,2,0)</f>
        <v>[Cake] - Cashloan</v>
      </c>
      <c r="H9356" s="128" t="str">
        <f>VLOOKUP(source[[#This Row],[lending_product_transform]],[3]Mapping!$B$3:$D$37,3,0)</f>
        <v>cashloan</v>
      </c>
      <c r="I9356" s="143">
        <v>0</v>
      </c>
    </row>
    <row r="9357" spans="1:9" x14ac:dyDescent="0.2">
      <c r="A9357" s="172">
        <v>45925</v>
      </c>
      <c r="B9357" s="135">
        <f>YEAR(source[[#This Row],[report_date]])</f>
        <v>2025</v>
      </c>
      <c r="C9357" s="128">
        <f t="shared" si="436"/>
        <v>9</v>
      </c>
      <c r="D9357" s="136">
        <f t="shared" si="438"/>
        <v>39</v>
      </c>
      <c r="E9357" s="136">
        <f t="shared" si="437"/>
        <v>25</v>
      </c>
      <c r="F9357" s="137" t="s">
        <v>24</v>
      </c>
      <c r="G9357" s="128" t="str">
        <f>VLOOKUP(source[[#This Row],[lending_product_transform]],[3]Mapping!$B$4:$C$37,2,0)</f>
        <v>[Cake] - Cashloan</v>
      </c>
      <c r="H9357" s="128" t="str">
        <f>VLOOKUP(source[[#This Row],[lending_product_transform]],[3]Mapping!$B$3:$D$37,3,0)</f>
        <v>cashloan</v>
      </c>
      <c r="I9357" s="143">
        <v>9673128000</v>
      </c>
    </row>
    <row r="9358" spans="1:9" x14ac:dyDescent="0.2">
      <c r="A9358" s="172">
        <v>45925</v>
      </c>
      <c r="B9358" s="135">
        <f>YEAR(source[[#This Row],[report_date]])</f>
        <v>2025</v>
      </c>
      <c r="C9358" s="128">
        <f t="shared" si="436"/>
        <v>9</v>
      </c>
      <c r="D9358" s="136">
        <f t="shared" si="438"/>
        <v>39</v>
      </c>
      <c r="E9358" s="136">
        <f t="shared" si="437"/>
        <v>25</v>
      </c>
      <c r="F9358" s="137" t="s">
        <v>24</v>
      </c>
      <c r="G9358" s="128" t="str">
        <f>VLOOKUP(source[[#This Row],[lending_product_transform]],[3]Mapping!$B$4:$C$37,2,0)</f>
        <v>[Cake] - Cashloan</v>
      </c>
      <c r="H9358" s="128" t="str">
        <f>VLOOKUP(source[[#This Row],[lending_product_transform]],[3]Mapping!$B$3:$D$37,3,0)</f>
        <v>cashloan</v>
      </c>
      <c r="I9358" s="143">
        <v>162814452</v>
      </c>
    </row>
    <row r="9359" spans="1:9" x14ac:dyDescent="0.2">
      <c r="A9359" s="172">
        <v>45925</v>
      </c>
      <c r="B9359" s="135">
        <f>YEAR(source[[#This Row],[report_date]])</f>
        <v>2025</v>
      </c>
      <c r="C9359" s="128">
        <f t="shared" si="436"/>
        <v>9</v>
      </c>
      <c r="D9359" s="136">
        <f t="shared" si="438"/>
        <v>39</v>
      </c>
      <c r="E9359" s="136">
        <f t="shared" si="437"/>
        <v>25</v>
      </c>
      <c r="F9359" s="137" t="s">
        <v>24</v>
      </c>
      <c r="G9359" s="128" t="str">
        <f>VLOOKUP(source[[#This Row],[lending_product_transform]],[3]Mapping!$B$4:$C$37,2,0)</f>
        <v>[Cake] - Cashloan</v>
      </c>
      <c r="H9359" s="128" t="str">
        <f>VLOOKUP(source[[#This Row],[lending_product_transform]],[3]Mapping!$B$3:$D$37,3,0)</f>
        <v>cashloan</v>
      </c>
      <c r="I9359" s="143">
        <v>73500000</v>
      </c>
    </row>
    <row r="9360" spans="1:9" x14ac:dyDescent="0.2">
      <c r="A9360" s="172">
        <v>45925</v>
      </c>
      <c r="B9360" s="135">
        <f>YEAR(source[[#This Row],[report_date]])</f>
        <v>2025</v>
      </c>
      <c r="C9360" s="128">
        <f t="shared" si="436"/>
        <v>9</v>
      </c>
      <c r="D9360" s="136">
        <f t="shared" si="438"/>
        <v>39</v>
      </c>
      <c r="E9360" s="136">
        <f t="shared" si="437"/>
        <v>25</v>
      </c>
      <c r="F9360" s="137" t="s">
        <v>24</v>
      </c>
      <c r="G9360" s="128" t="str">
        <f>VLOOKUP(source[[#This Row],[lending_product_transform]],[3]Mapping!$B$4:$C$37,2,0)</f>
        <v>[Cake] - Cashloan</v>
      </c>
      <c r="H9360" s="128" t="str">
        <f>VLOOKUP(source[[#This Row],[lending_product_transform]],[3]Mapping!$B$3:$D$37,3,0)</f>
        <v>cashloan</v>
      </c>
      <c r="I9360" s="143">
        <v>102000000</v>
      </c>
    </row>
    <row r="9361" spans="1:9" x14ac:dyDescent="0.2">
      <c r="A9361" s="172">
        <v>45925</v>
      </c>
      <c r="B9361" s="135">
        <f>YEAR(source[[#This Row],[report_date]])</f>
        <v>2025</v>
      </c>
      <c r="C9361" s="128">
        <f t="shared" si="436"/>
        <v>9</v>
      </c>
      <c r="D9361" s="136">
        <f t="shared" si="438"/>
        <v>39</v>
      </c>
      <c r="E9361" s="136">
        <f t="shared" si="437"/>
        <v>25</v>
      </c>
      <c r="F9361" s="137" t="s">
        <v>24</v>
      </c>
      <c r="G9361" s="128" t="str">
        <f>VLOOKUP(source[[#This Row],[lending_product_transform]],[3]Mapping!$B$4:$C$37,2,0)</f>
        <v>[Cake] - Cashloan</v>
      </c>
      <c r="H9361" s="128" t="str">
        <f>VLOOKUP(source[[#This Row],[lending_product_transform]],[3]Mapping!$B$3:$D$37,3,0)</f>
        <v>cashloan</v>
      </c>
      <c r="I9361" s="143">
        <v>681000000</v>
      </c>
    </row>
    <row r="9362" spans="1:9" x14ac:dyDescent="0.2">
      <c r="A9362" s="172">
        <v>45925</v>
      </c>
      <c r="B9362" s="135">
        <f>YEAR(source[[#This Row],[report_date]])</f>
        <v>2025</v>
      </c>
      <c r="C9362" s="128">
        <f t="shared" si="436"/>
        <v>9</v>
      </c>
      <c r="D9362" s="136">
        <f t="shared" si="438"/>
        <v>39</v>
      </c>
      <c r="E9362" s="136">
        <f t="shared" si="437"/>
        <v>25</v>
      </c>
      <c r="F9362" s="137" t="s">
        <v>24</v>
      </c>
      <c r="G9362" s="128" t="str">
        <f>VLOOKUP(source[[#This Row],[lending_product_transform]],[3]Mapping!$B$4:$C$37,2,0)</f>
        <v>[Cake] - Cashloan</v>
      </c>
      <c r="H9362" s="128" t="str">
        <f>VLOOKUP(source[[#This Row],[lending_product_transform]],[3]Mapping!$B$3:$D$37,3,0)</f>
        <v>cashloan</v>
      </c>
      <c r="I9362" s="143">
        <v>6480000</v>
      </c>
    </row>
    <row r="9363" spans="1:9" x14ac:dyDescent="0.2">
      <c r="A9363" s="172">
        <v>45925</v>
      </c>
      <c r="B9363" s="135">
        <f>YEAR(source[[#This Row],[report_date]])</f>
        <v>2025</v>
      </c>
      <c r="C9363" s="128">
        <f t="shared" si="436"/>
        <v>9</v>
      </c>
      <c r="D9363" s="136">
        <f t="shared" si="438"/>
        <v>39</v>
      </c>
      <c r="E9363" s="136">
        <f t="shared" si="437"/>
        <v>25</v>
      </c>
      <c r="F9363" s="137" t="s">
        <v>24</v>
      </c>
      <c r="G9363" s="128" t="str">
        <f>VLOOKUP(source[[#This Row],[lending_product_transform]],[3]Mapping!$B$4:$C$37,2,0)</f>
        <v>[Cake] - Cashloan</v>
      </c>
      <c r="H9363" s="128" t="str">
        <f>VLOOKUP(source[[#This Row],[lending_product_transform]],[3]Mapping!$B$3:$D$37,3,0)</f>
        <v>cashloan</v>
      </c>
      <c r="I9363" s="143">
        <v>373148299</v>
      </c>
    </row>
    <row r="9364" spans="1:9" x14ac:dyDescent="0.2">
      <c r="A9364" s="172">
        <v>45925</v>
      </c>
      <c r="B9364" s="135">
        <f>YEAR(source[[#This Row],[report_date]])</f>
        <v>2025</v>
      </c>
      <c r="C9364" s="128">
        <f t="shared" si="436"/>
        <v>9</v>
      </c>
      <c r="D9364" s="136">
        <f t="shared" si="438"/>
        <v>39</v>
      </c>
      <c r="E9364" s="136">
        <f t="shared" si="437"/>
        <v>25</v>
      </c>
      <c r="F9364" s="137" t="s">
        <v>24</v>
      </c>
      <c r="G9364" s="128" t="str">
        <f>VLOOKUP(source[[#This Row],[lending_product_transform]],[3]Mapping!$B$4:$C$37,2,0)</f>
        <v>[Cake] - Cashloan</v>
      </c>
      <c r="H9364" s="128" t="str">
        <f>VLOOKUP(source[[#This Row],[lending_product_transform]],[3]Mapping!$B$3:$D$37,3,0)</f>
        <v>cashloan</v>
      </c>
      <c r="I9364" s="143">
        <v>2743130000</v>
      </c>
    </row>
    <row r="9365" spans="1:9" x14ac:dyDescent="0.2">
      <c r="A9365" s="172">
        <v>45926</v>
      </c>
      <c r="B9365" s="135">
        <f>YEAR(source[[#This Row],[report_date]])</f>
        <v>2025</v>
      </c>
      <c r="C9365" s="128">
        <f t="shared" si="436"/>
        <v>9</v>
      </c>
      <c r="D9365" s="136">
        <f t="shared" si="438"/>
        <v>39</v>
      </c>
      <c r="E9365" s="136">
        <f t="shared" si="437"/>
        <v>26</v>
      </c>
      <c r="F9365" s="137" t="s">
        <v>24</v>
      </c>
      <c r="G9365" s="128" t="str">
        <f>VLOOKUP(source[[#This Row],[lending_product_transform]],[3]Mapping!$B$4:$C$37,2,0)</f>
        <v>[Cake] - Cashloan</v>
      </c>
      <c r="H9365" s="128" t="str">
        <f>VLOOKUP(source[[#This Row],[lending_product_transform]],[3]Mapping!$B$3:$D$37,3,0)</f>
        <v>cashloan</v>
      </c>
      <c r="I9365" s="143">
        <v>0</v>
      </c>
    </row>
    <row r="9366" spans="1:9" x14ac:dyDescent="0.2">
      <c r="A9366" s="172">
        <v>45926</v>
      </c>
      <c r="B9366" s="135">
        <f>YEAR(source[[#This Row],[report_date]])</f>
        <v>2025</v>
      </c>
      <c r="C9366" s="128">
        <f t="shared" si="436"/>
        <v>9</v>
      </c>
      <c r="D9366" s="136">
        <f t="shared" si="438"/>
        <v>39</v>
      </c>
      <c r="E9366" s="136">
        <f t="shared" si="437"/>
        <v>26</v>
      </c>
      <c r="F9366" s="137" t="s">
        <v>24</v>
      </c>
      <c r="G9366" s="128" t="str">
        <f>VLOOKUP(source[[#This Row],[lending_product_transform]],[3]Mapping!$B$4:$C$37,2,0)</f>
        <v>[Cake] - Cashloan</v>
      </c>
      <c r="H9366" s="128" t="str">
        <f>VLOOKUP(source[[#This Row],[lending_product_transform]],[3]Mapping!$B$3:$D$37,3,0)</f>
        <v>cashloan</v>
      </c>
      <c r="I9366" s="143">
        <v>257068279</v>
      </c>
    </row>
    <row r="9367" spans="1:9" x14ac:dyDescent="0.2">
      <c r="A9367" s="172">
        <v>45926</v>
      </c>
      <c r="B9367" s="135">
        <f>YEAR(source[[#This Row],[report_date]])</f>
        <v>2025</v>
      </c>
      <c r="C9367" s="128">
        <f t="shared" si="436"/>
        <v>9</v>
      </c>
      <c r="D9367" s="136">
        <f t="shared" si="438"/>
        <v>39</v>
      </c>
      <c r="E9367" s="136">
        <f t="shared" si="437"/>
        <v>26</v>
      </c>
      <c r="F9367" s="137" t="s">
        <v>24</v>
      </c>
      <c r="G9367" s="128" t="str">
        <f>VLOOKUP(source[[#This Row],[lending_product_transform]],[3]Mapping!$B$4:$C$37,2,0)</f>
        <v>[Cake] - Cashloan</v>
      </c>
      <c r="H9367" s="128" t="str">
        <f>VLOOKUP(source[[#This Row],[lending_product_transform]],[3]Mapping!$B$3:$D$37,3,0)</f>
        <v>cashloan</v>
      </c>
      <c r="I9367" s="143">
        <v>16349130000</v>
      </c>
    </row>
    <row r="9368" spans="1:9" x14ac:dyDescent="0.2">
      <c r="A9368" s="172">
        <v>45926</v>
      </c>
      <c r="B9368" s="135">
        <f>YEAR(source[[#This Row],[report_date]])</f>
        <v>2025</v>
      </c>
      <c r="C9368" s="128">
        <f t="shared" si="436"/>
        <v>9</v>
      </c>
      <c r="D9368" s="136">
        <f t="shared" si="438"/>
        <v>39</v>
      </c>
      <c r="E9368" s="136">
        <f t="shared" si="437"/>
        <v>26</v>
      </c>
      <c r="F9368" s="137" t="s">
        <v>24</v>
      </c>
      <c r="G9368" s="128" t="str">
        <f>VLOOKUP(source[[#This Row],[lending_product_transform]],[3]Mapping!$B$4:$C$37,2,0)</f>
        <v>[Cake] - Cashloan</v>
      </c>
      <c r="H9368" s="128" t="str">
        <f>VLOOKUP(source[[#This Row],[lending_product_transform]],[3]Mapping!$B$3:$D$37,3,0)</f>
        <v>cashloan</v>
      </c>
      <c r="I9368" s="143">
        <v>2354376754</v>
      </c>
    </row>
    <row r="9369" spans="1:9" x14ac:dyDescent="0.2">
      <c r="A9369" s="172">
        <v>45926</v>
      </c>
      <c r="B9369" s="135">
        <f>YEAR(source[[#This Row],[report_date]])</f>
        <v>2025</v>
      </c>
      <c r="C9369" s="128">
        <f t="shared" si="436"/>
        <v>9</v>
      </c>
      <c r="D9369" s="136">
        <f t="shared" si="438"/>
        <v>39</v>
      </c>
      <c r="E9369" s="136">
        <f t="shared" si="437"/>
        <v>26</v>
      </c>
      <c r="F9369" s="137" t="s">
        <v>24</v>
      </c>
      <c r="G9369" s="128" t="str">
        <f>VLOOKUP(source[[#This Row],[lending_product_transform]],[3]Mapping!$B$4:$C$37,2,0)</f>
        <v>[Cake] - Cashloan</v>
      </c>
      <c r="H9369" s="128" t="str">
        <f>VLOOKUP(source[[#This Row],[lending_product_transform]],[3]Mapping!$B$3:$D$37,3,0)</f>
        <v>cashloan</v>
      </c>
      <c r="I9369" s="143">
        <v>7191396000</v>
      </c>
    </row>
    <row r="9370" spans="1:9" x14ac:dyDescent="0.2">
      <c r="A9370" s="172">
        <v>45926</v>
      </c>
      <c r="B9370" s="135">
        <f>YEAR(source[[#This Row],[report_date]])</f>
        <v>2025</v>
      </c>
      <c r="C9370" s="128">
        <f t="shared" si="436"/>
        <v>9</v>
      </c>
      <c r="D9370" s="136">
        <f t="shared" si="438"/>
        <v>39</v>
      </c>
      <c r="E9370" s="136">
        <f t="shared" si="437"/>
        <v>26</v>
      </c>
      <c r="F9370" s="137" t="s">
        <v>24</v>
      </c>
      <c r="G9370" s="128" t="str">
        <f>VLOOKUP(source[[#This Row],[lending_product_transform]],[3]Mapping!$B$4:$C$37,2,0)</f>
        <v>[Cake] - Cashloan</v>
      </c>
      <c r="H9370" s="128" t="str">
        <f>VLOOKUP(source[[#This Row],[lending_product_transform]],[3]Mapping!$B$3:$D$37,3,0)</f>
        <v>cashloan</v>
      </c>
      <c r="I9370" s="143">
        <v>9586341</v>
      </c>
    </row>
    <row r="9371" spans="1:9" x14ac:dyDescent="0.2">
      <c r="A9371" s="172">
        <v>45926</v>
      </c>
      <c r="B9371" s="135">
        <f>YEAR(source[[#This Row],[report_date]])</f>
        <v>2025</v>
      </c>
      <c r="C9371" s="128">
        <f t="shared" si="436"/>
        <v>9</v>
      </c>
      <c r="D9371" s="136">
        <f t="shared" si="438"/>
        <v>39</v>
      </c>
      <c r="E9371" s="136">
        <f t="shared" si="437"/>
        <v>26</v>
      </c>
      <c r="F9371" s="137" t="s">
        <v>24</v>
      </c>
      <c r="G9371" s="128" t="str">
        <f>VLOOKUP(source[[#This Row],[lending_product_transform]],[3]Mapping!$B$4:$C$37,2,0)</f>
        <v>[Cake] - Cashloan</v>
      </c>
      <c r="H9371" s="128" t="str">
        <f>VLOOKUP(source[[#This Row],[lending_product_transform]],[3]Mapping!$B$3:$D$37,3,0)</f>
        <v>cashloan</v>
      </c>
      <c r="I9371" s="143">
        <v>2680620000</v>
      </c>
    </row>
    <row r="9372" spans="1:9" x14ac:dyDescent="0.2">
      <c r="A9372" s="172">
        <v>45926</v>
      </c>
      <c r="B9372" s="135">
        <f>YEAR(source[[#This Row],[report_date]])</f>
        <v>2025</v>
      </c>
      <c r="C9372" s="128">
        <f t="shared" si="436"/>
        <v>9</v>
      </c>
      <c r="D9372" s="136">
        <f t="shared" si="438"/>
        <v>39</v>
      </c>
      <c r="E9372" s="136">
        <f t="shared" si="437"/>
        <v>26</v>
      </c>
      <c r="F9372" s="137" t="s">
        <v>24</v>
      </c>
      <c r="G9372" s="128" t="str">
        <f>VLOOKUP(source[[#This Row],[lending_product_transform]],[3]Mapping!$B$4:$C$37,2,0)</f>
        <v>[Cake] - Cashloan</v>
      </c>
      <c r="H9372" s="128" t="str">
        <f>VLOOKUP(source[[#This Row],[lending_product_transform]],[3]Mapping!$B$3:$D$37,3,0)</f>
        <v>cashloan</v>
      </c>
      <c r="I9372" s="143">
        <v>15490000</v>
      </c>
    </row>
    <row r="9373" spans="1:9" x14ac:dyDescent="0.2">
      <c r="A9373" s="172">
        <v>45926</v>
      </c>
      <c r="B9373" s="135">
        <f>YEAR(source[[#This Row],[report_date]])</f>
        <v>2025</v>
      </c>
      <c r="C9373" s="128">
        <f t="shared" si="436"/>
        <v>9</v>
      </c>
      <c r="D9373" s="136">
        <f t="shared" si="438"/>
        <v>39</v>
      </c>
      <c r="E9373" s="136">
        <f t="shared" si="437"/>
        <v>26</v>
      </c>
      <c r="F9373" s="137" t="s">
        <v>24</v>
      </c>
      <c r="G9373" s="128" t="str">
        <f>VLOOKUP(source[[#This Row],[lending_product_transform]],[3]Mapping!$B$4:$C$37,2,0)</f>
        <v>[Cake] - Cashloan</v>
      </c>
      <c r="H9373" s="128" t="str">
        <f>VLOOKUP(source[[#This Row],[lending_product_transform]],[3]Mapping!$B$3:$D$37,3,0)</f>
        <v>cashloan</v>
      </c>
      <c r="I9373" s="143">
        <v>400183000</v>
      </c>
    </row>
    <row r="9374" spans="1:9" x14ac:dyDescent="0.2">
      <c r="A9374" s="172">
        <v>45926</v>
      </c>
      <c r="B9374" s="135">
        <f>YEAR(source[[#This Row],[report_date]])</f>
        <v>2025</v>
      </c>
      <c r="C9374" s="128">
        <f t="shared" si="436"/>
        <v>9</v>
      </c>
      <c r="D9374" s="136">
        <f t="shared" si="438"/>
        <v>39</v>
      </c>
      <c r="E9374" s="136">
        <f t="shared" si="437"/>
        <v>26</v>
      </c>
      <c r="F9374" s="137" t="s">
        <v>24</v>
      </c>
      <c r="G9374" s="128" t="str">
        <f>VLOOKUP(source[[#This Row],[lending_product_transform]],[3]Mapping!$B$4:$C$37,2,0)</f>
        <v>[Cake] - Cashloan</v>
      </c>
      <c r="H9374" s="128" t="str">
        <f>VLOOKUP(source[[#This Row],[lending_product_transform]],[3]Mapping!$B$3:$D$37,3,0)</f>
        <v>cashloan</v>
      </c>
      <c r="I9374" s="143">
        <v>0</v>
      </c>
    </row>
    <row r="9375" spans="1:9" x14ac:dyDescent="0.2">
      <c r="A9375" s="172">
        <v>45926</v>
      </c>
      <c r="B9375" s="135">
        <f>YEAR(source[[#This Row],[report_date]])</f>
        <v>2025</v>
      </c>
      <c r="C9375" s="128">
        <f t="shared" si="436"/>
        <v>9</v>
      </c>
      <c r="D9375" s="136">
        <f t="shared" si="438"/>
        <v>39</v>
      </c>
      <c r="E9375" s="136">
        <f t="shared" si="437"/>
        <v>26</v>
      </c>
      <c r="F9375" s="137" t="s">
        <v>24</v>
      </c>
      <c r="G9375" s="128" t="str">
        <f>VLOOKUP(source[[#This Row],[lending_product_transform]],[3]Mapping!$B$4:$C$37,2,0)</f>
        <v>[Cake] - Cashloan</v>
      </c>
      <c r="H9375" s="128" t="str">
        <f>VLOOKUP(source[[#This Row],[lending_product_transform]],[3]Mapping!$B$3:$D$37,3,0)</f>
        <v>cashloan</v>
      </c>
      <c r="I9375" s="143">
        <v>147000000</v>
      </c>
    </row>
    <row r="9376" spans="1:9" x14ac:dyDescent="0.2">
      <c r="A9376" s="172">
        <v>45926</v>
      </c>
      <c r="B9376" s="135">
        <f>YEAR(source[[#This Row],[report_date]])</f>
        <v>2025</v>
      </c>
      <c r="C9376" s="128">
        <f t="shared" si="436"/>
        <v>9</v>
      </c>
      <c r="D9376" s="136">
        <f t="shared" si="438"/>
        <v>39</v>
      </c>
      <c r="E9376" s="136">
        <f t="shared" si="437"/>
        <v>26</v>
      </c>
      <c r="F9376" s="137" t="s">
        <v>24</v>
      </c>
      <c r="G9376" s="128" t="str">
        <f>VLOOKUP(source[[#This Row],[lending_product_transform]],[3]Mapping!$B$4:$C$37,2,0)</f>
        <v>[Cake] - Cashloan</v>
      </c>
      <c r="H9376" s="128" t="str">
        <f>VLOOKUP(source[[#This Row],[lending_product_transform]],[3]Mapping!$B$3:$D$37,3,0)</f>
        <v>cashloan</v>
      </c>
      <c r="I9376" s="143">
        <v>15759770000</v>
      </c>
    </row>
    <row r="9377" spans="1:9" x14ac:dyDescent="0.2">
      <c r="A9377" s="172">
        <v>45926</v>
      </c>
      <c r="B9377" s="135">
        <f>YEAR(source[[#This Row],[report_date]])</f>
        <v>2025</v>
      </c>
      <c r="C9377" s="128">
        <f t="shared" si="436"/>
        <v>9</v>
      </c>
      <c r="D9377" s="136">
        <f t="shared" si="438"/>
        <v>39</v>
      </c>
      <c r="E9377" s="136">
        <f t="shared" si="437"/>
        <v>26</v>
      </c>
      <c r="F9377" s="137" t="s">
        <v>24</v>
      </c>
      <c r="G9377" s="128" t="str">
        <f>VLOOKUP(source[[#This Row],[lending_product_transform]],[3]Mapping!$B$4:$C$37,2,0)</f>
        <v>[Cake] - Cashloan</v>
      </c>
      <c r="H9377" s="128" t="str">
        <f>VLOOKUP(source[[#This Row],[lending_product_transform]],[3]Mapping!$B$3:$D$37,3,0)</f>
        <v>cashloan</v>
      </c>
      <c r="I9377" s="143">
        <v>0</v>
      </c>
    </row>
    <row r="9378" spans="1:9" x14ac:dyDescent="0.2">
      <c r="A9378" s="172">
        <v>45926</v>
      </c>
      <c r="B9378" s="135">
        <f>YEAR(source[[#This Row],[report_date]])</f>
        <v>2025</v>
      </c>
      <c r="C9378" s="128">
        <f t="shared" si="436"/>
        <v>9</v>
      </c>
      <c r="D9378" s="136">
        <f t="shared" si="438"/>
        <v>39</v>
      </c>
      <c r="E9378" s="136">
        <f t="shared" si="437"/>
        <v>26</v>
      </c>
      <c r="F9378" s="137" t="s">
        <v>24</v>
      </c>
      <c r="G9378" s="128" t="str">
        <f>VLOOKUP(source[[#This Row],[lending_product_transform]],[3]Mapping!$B$4:$C$37,2,0)</f>
        <v>[Cake] - Cashloan</v>
      </c>
      <c r="H9378" s="128" t="str">
        <f>VLOOKUP(source[[#This Row],[lending_product_transform]],[3]Mapping!$B$3:$D$37,3,0)</f>
        <v>cashloan</v>
      </c>
      <c r="I9378" s="143">
        <v>0</v>
      </c>
    </row>
    <row r="9379" spans="1:9" x14ac:dyDescent="0.2">
      <c r="A9379" s="172">
        <v>45926</v>
      </c>
      <c r="B9379" s="135">
        <f>YEAR(source[[#This Row],[report_date]])</f>
        <v>2025</v>
      </c>
      <c r="C9379" s="128">
        <f t="shared" si="436"/>
        <v>9</v>
      </c>
      <c r="D9379" s="136">
        <f t="shared" si="438"/>
        <v>39</v>
      </c>
      <c r="E9379" s="136">
        <f t="shared" si="437"/>
        <v>26</v>
      </c>
      <c r="F9379" s="137" t="s">
        <v>24</v>
      </c>
      <c r="G9379" s="128" t="str">
        <f>VLOOKUP(source[[#This Row],[lending_product_transform]],[3]Mapping!$B$4:$C$37,2,0)</f>
        <v>[Cake] - Cashloan</v>
      </c>
      <c r="H9379" s="128" t="str">
        <f>VLOOKUP(source[[#This Row],[lending_product_transform]],[3]Mapping!$B$3:$D$37,3,0)</f>
        <v>cashloan</v>
      </c>
      <c r="I9379" s="143">
        <v>0</v>
      </c>
    </row>
    <row r="9380" spans="1:9" x14ac:dyDescent="0.2">
      <c r="A9380" s="172">
        <v>45926</v>
      </c>
      <c r="B9380" s="135">
        <f>YEAR(source[[#This Row],[report_date]])</f>
        <v>2025</v>
      </c>
      <c r="C9380" s="128">
        <f t="shared" si="436"/>
        <v>9</v>
      </c>
      <c r="D9380" s="136">
        <f t="shared" si="438"/>
        <v>39</v>
      </c>
      <c r="E9380" s="136">
        <f t="shared" si="437"/>
        <v>26</v>
      </c>
      <c r="F9380" s="137" t="s">
        <v>24</v>
      </c>
      <c r="G9380" s="128" t="str">
        <f>VLOOKUP(source[[#This Row],[lending_product_transform]],[3]Mapping!$B$4:$C$37,2,0)</f>
        <v>[Cake] - Cashloan</v>
      </c>
      <c r="H9380" s="128" t="str">
        <f>VLOOKUP(source[[#This Row],[lending_product_transform]],[3]Mapping!$B$3:$D$37,3,0)</f>
        <v>cashloan</v>
      </c>
      <c r="I9380" s="143">
        <v>0</v>
      </c>
    </row>
    <row r="9381" spans="1:9" x14ac:dyDescent="0.2">
      <c r="A9381" s="172">
        <v>45926</v>
      </c>
      <c r="B9381" s="135">
        <f>YEAR(source[[#This Row],[report_date]])</f>
        <v>2025</v>
      </c>
      <c r="C9381" s="128">
        <f t="shared" si="436"/>
        <v>9</v>
      </c>
      <c r="D9381" s="136">
        <f t="shared" si="438"/>
        <v>39</v>
      </c>
      <c r="E9381" s="136">
        <f t="shared" si="437"/>
        <v>26</v>
      </c>
      <c r="F9381" s="137" t="s">
        <v>24</v>
      </c>
      <c r="G9381" s="128" t="str">
        <f>VLOOKUP(source[[#This Row],[lending_product_transform]],[3]Mapping!$B$4:$C$37,2,0)</f>
        <v>[Cake] - Cashloan</v>
      </c>
      <c r="H9381" s="128" t="str">
        <f>VLOOKUP(source[[#This Row],[lending_product_transform]],[3]Mapping!$B$3:$D$37,3,0)</f>
        <v>cashloan</v>
      </c>
      <c r="I9381" s="143">
        <v>9709416000</v>
      </c>
    </row>
    <row r="9382" spans="1:9" x14ac:dyDescent="0.2">
      <c r="A9382" s="172">
        <v>45926</v>
      </c>
      <c r="B9382" s="135">
        <f>YEAR(source[[#This Row],[report_date]])</f>
        <v>2025</v>
      </c>
      <c r="C9382" s="128">
        <f t="shared" si="436"/>
        <v>9</v>
      </c>
      <c r="D9382" s="136">
        <f t="shared" si="438"/>
        <v>39</v>
      </c>
      <c r="E9382" s="136">
        <f t="shared" si="437"/>
        <v>26</v>
      </c>
      <c r="F9382" s="137" t="s">
        <v>24</v>
      </c>
      <c r="G9382" s="128" t="str">
        <f>VLOOKUP(source[[#This Row],[lending_product_transform]],[3]Mapping!$B$4:$C$37,2,0)</f>
        <v>[Cake] - Cashloan</v>
      </c>
      <c r="H9382" s="128" t="str">
        <f>VLOOKUP(source[[#This Row],[lending_product_transform]],[3]Mapping!$B$3:$D$37,3,0)</f>
        <v>cashloan</v>
      </c>
      <c r="I9382" s="143">
        <v>183526992</v>
      </c>
    </row>
    <row r="9383" spans="1:9" x14ac:dyDescent="0.2">
      <c r="A9383" s="172">
        <v>45926</v>
      </c>
      <c r="B9383" s="135">
        <f>YEAR(source[[#This Row],[report_date]])</f>
        <v>2025</v>
      </c>
      <c r="C9383" s="128">
        <f t="shared" si="436"/>
        <v>9</v>
      </c>
      <c r="D9383" s="136">
        <f t="shared" si="438"/>
        <v>39</v>
      </c>
      <c r="E9383" s="136">
        <f t="shared" si="437"/>
        <v>26</v>
      </c>
      <c r="F9383" s="137" t="s">
        <v>24</v>
      </c>
      <c r="G9383" s="128" t="str">
        <f>VLOOKUP(source[[#This Row],[lending_product_transform]],[3]Mapping!$B$4:$C$37,2,0)</f>
        <v>[Cake] - Cashloan</v>
      </c>
      <c r="H9383" s="128" t="str">
        <f>VLOOKUP(source[[#This Row],[lending_product_transform]],[3]Mapping!$B$3:$D$37,3,0)</f>
        <v>cashloan</v>
      </c>
      <c r="I9383" s="143">
        <v>31500000</v>
      </c>
    </row>
    <row r="9384" spans="1:9" x14ac:dyDescent="0.2">
      <c r="A9384" s="172">
        <v>45926</v>
      </c>
      <c r="B9384" s="135">
        <f>YEAR(source[[#This Row],[report_date]])</f>
        <v>2025</v>
      </c>
      <c r="C9384" s="128">
        <f t="shared" si="436"/>
        <v>9</v>
      </c>
      <c r="D9384" s="136">
        <f t="shared" si="438"/>
        <v>39</v>
      </c>
      <c r="E9384" s="136">
        <f t="shared" si="437"/>
        <v>26</v>
      </c>
      <c r="F9384" s="137" t="s">
        <v>24</v>
      </c>
      <c r="G9384" s="128" t="str">
        <f>VLOOKUP(source[[#This Row],[lending_product_transform]],[3]Mapping!$B$4:$C$37,2,0)</f>
        <v>[Cake] - Cashloan</v>
      </c>
      <c r="H9384" s="128" t="str">
        <f>VLOOKUP(source[[#This Row],[lending_product_transform]],[3]Mapping!$B$3:$D$37,3,0)</f>
        <v>cashloan</v>
      </c>
      <c r="I9384" s="143">
        <v>52000000</v>
      </c>
    </row>
    <row r="9385" spans="1:9" x14ac:dyDescent="0.2">
      <c r="A9385" s="172">
        <v>45926</v>
      </c>
      <c r="B9385" s="135">
        <f>YEAR(source[[#This Row],[report_date]])</f>
        <v>2025</v>
      </c>
      <c r="C9385" s="128">
        <f t="shared" si="436"/>
        <v>9</v>
      </c>
      <c r="D9385" s="136">
        <f t="shared" si="438"/>
        <v>39</v>
      </c>
      <c r="E9385" s="136">
        <f t="shared" si="437"/>
        <v>26</v>
      </c>
      <c r="F9385" s="137" t="s">
        <v>24</v>
      </c>
      <c r="G9385" s="128" t="str">
        <f>VLOOKUP(source[[#This Row],[lending_product_transform]],[3]Mapping!$B$4:$C$37,2,0)</f>
        <v>[Cake] - Cashloan</v>
      </c>
      <c r="H9385" s="128" t="str">
        <f>VLOOKUP(source[[#This Row],[lending_product_transform]],[3]Mapping!$B$3:$D$37,3,0)</f>
        <v>cashloan</v>
      </c>
      <c r="I9385" s="143">
        <v>1016090000</v>
      </c>
    </row>
    <row r="9386" spans="1:9" x14ac:dyDescent="0.2">
      <c r="A9386" s="172">
        <v>45926</v>
      </c>
      <c r="B9386" s="135">
        <f>YEAR(source[[#This Row],[report_date]])</f>
        <v>2025</v>
      </c>
      <c r="C9386" s="128">
        <f t="shared" si="436"/>
        <v>9</v>
      </c>
      <c r="D9386" s="136">
        <f t="shared" si="438"/>
        <v>39</v>
      </c>
      <c r="E9386" s="136">
        <f t="shared" si="437"/>
        <v>26</v>
      </c>
      <c r="F9386" s="137" t="s">
        <v>24</v>
      </c>
      <c r="G9386" s="128" t="str">
        <f>VLOOKUP(source[[#This Row],[lending_product_transform]],[3]Mapping!$B$4:$C$37,2,0)</f>
        <v>[Cake] - Cashloan</v>
      </c>
      <c r="H9386" s="128" t="str">
        <f>VLOOKUP(source[[#This Row],[lending_product_transform]],[3]Mapping!$B$3:$D$37,3,0)</f>
        <v>cashloan</v>
      </c>
      <c r="I9386" s="143">
        <v>85320000</v>
      </c>
    </row>
    <row r="9387" spans="1:9" x14ac:dyDescent="0.2">
      <c r="A9387" s="172">
        <v>45926</v>
      </c>
      <c r="B9387" s="135">
        <f>YEAR(source[[#This Row],[report_date]])</f>
        <v>2025</v>
      </c>
      <c r="C9387" s="128">
        <f t="shared" si="436"/>
        <v>9</v>
      </c>
      <c r="D9387" s="136">
        <f t="shared" si="438"/>
        <v>39</v>
      </c>
      <c r="E9387" s="136">
        <f t="shared" si="437"/>
        <v>26</v>
      </c>
      <c r="F9387" s="137" t="s">
        <v>24</v>
      </c>
      <c r="G9387" s="128" t="str">
        <f>VLOOKUP(source[[#This Row],[lending_product_transform]],[3]Mapping!$B$4:$C$37,2,0)</f>
        <v>[Cake] - Cashloan</v>
      </c>
      <c r="H9387" s="128" t="str">
        <f>VLOOKUP(source[[#This Row],[lending_product_transform]],[3]Mapping!$B$3:$D$37,3,0)</f>
        <v>cashloan</v>
      </c>
      <c r="I9387" s="143">
        <v>416250774</v>
      </c>
    </row>
    <row r="9388" spans="1:9" x14ac:dyDescent="0.2">
      <c r="A9388" s="172">
        <v>45926</v>
      </c>
      <c r="B9388" s="135">
        <f>YEAR(source[[#This Row],[report_date]])</f>
        <v>2025</v>
      </c>
      <c r="C9388" s="128">
        <f t="shared" si="436"/>
        <v>9</v>
      </c>
      <c r="D9388" s="136">
        <f t="shared" si="438"/>
        <v>39</v>
      </c>
      <c r="E9388" s="136">
        <f t="shared" si="437"/>
        <v>26</v>
      </c>
      <c r="F9388" s="137" t="s">
        <v>24</v>
      </c>
      <c r="G9388" s="128" t="str">
        <f>VLOOKUP(source[[#This Row],[lending_product_transform]],[3]Mapping!$B$4:$C$37,2,0)</f>
        <v>[Cake] - Cashloan</v>
      </c>
      <c r="H9388" s="128" t="str">
        <f>VLOOKUP(source[[#This Row],[lending_product_transform]],[3]Mapping!$B$3:$D$37,3,0)</f>
        <v>cashloan</v>
      </c>
      <c r="I9388" s="143">
        <v>2788640000</v>
      </c>
    </row>
    <row r="9389" spans="1:9" x14ac:dyDescent="0.2">
      <c r="A9389" s="172">
        <v>45927</v>
      </c>
      <c r="B9389" s="135">
        <f>YEAR(source[[#This Row],[report_date]])</f>
        <v>2025</v>
      </c>
      <c r="C9389" s="128">
        <f t="shared" si="436"/>
        <v>9</v>
      </c>
      <c r="D9389" s="136">
        <f t="shared" si="438"/>
        <v>39</v>
      </c>
      <c r="E9389" s="136">
        <f t="shared" si="437"/>
        <v>27</v>
      </c>
      <c r="F9389" s="137" t="s">
        <v>24</v>
      </c>
      <c r="G9389" s="128" t="str">
        <f>VLOOKUP(source[[#This Row],[lending_product_transform]],[3]Mapping!$B$4:$C$37,2,0)</f>
        <v>[Cake] - Cashloan</v>
      </c>
      <c r="H9389" s="128" t="str">
        <f>VLOOKUP(source[[#This Row],[lending_product_transform]],[3]Mapping!$B$3:$D$37,3,0)</f>
        <v>cashloan</v>
      </c>
      <c r="I9389" s="143">
        <v>0</v>
      </c>
    </row>
    <row r="9390" spans="1:9" x14ac:dyDescent="0.2">
      <c r="A9390" s="172">
        <v>45927</v>
      </c>
      <c r="B9390" s="135">
        <f>YEAR(source[[#This Row],[report_date]])</f>
        <v>2025</v>
      </c>
      <c r="C9390" s="128">
        <f t="shared" si="436"/>
        <v>9</v>
      </c>
      <c r="D9390" s="136">
        <f t="shared" si="438"/>
        <v>39</v>
      </c>
      <c r="E9390" s="136">
        <f t="shared" si="437"/>
        <v>27</v>
      </c>
      <c r="F9390" s="137" t="s">
        <v>24</v>
      </c>
      <c r="G9390" s="128" t="str">
        <f>VLOOKUP(source[[#This Row],[lending_product_transform]],[3]Mapping!$B$4:$C$37,2,0)</f>
        <v>[Cake] - Cashloan</v>
      </c>
      <c r="H9390" s="128" t="str">
        <f>VLOOKUP(source[[#This Row],[lending_product_transform]],[3]Mapping!$B$3:$D$37,3,0)</f>
        <v>cashloan</v>
      </c>
      <c r="I9390" s="143">
        <v>286713673</v>
      </c>
    </row>
    <row r="9391" spans="1:9" x14ac:dyDescent="0.2">
      <c r="A9391" s="172">
        <v>45927</v>
      </c>
      <c r="B9391" s="135">
        <f>YEAR(source[[#This Row],[report_date]])</f>
        <v>2025</v>
      </c>
      <c r="C9391" s="128">
        <f t="shared" si="436"/>
        <v>9</v>
      </c>
      <c r="D9391" s="136">
        <f t="shared" si="438"/>
        <v>39</v>
      </c>
      <c r="E9391" s="136">
        <f t="shared" si="437"/>
        <v>27</v>
      </c>
      <c r="F9391" s="137" t="s">
        <v>24</v>
      </c>
      <c r="G9391" s="128" t="str">
        <f>VLOOKUP(source[[#This Row],[lending_product_transform]],[3]Mapping!$B$4:$C$37,2,0)</f>
        <v>[Cake] - Cashloan</v>
      </c>
      <c r="H9391" s="128" t="str">
        <f>VLOOKUP(source[[#This Row],[lending_product_transform]],[3]Mapping!$B$3:$D$37,3,0)</f>
        <v>cashloan</v>
      </c>
      <c r="I9391" s="143">
        <v>14949560000</v>
      </c>
    </row>
    <row r="9392" spans="1:9" x14ac:dyDescent="0.2">
      <c r="A9392" s="172">
        <v>45927</v>
      </c>
      <c r="B9392" s="135">
        <f>YEAR(source[[#This Row],[report_date]])</f>
        <v>2025</v>
      </c>
      <c r="C9392" s="128">
        <f t="shared" si="436"/>
        <v>9</v>
      </c>
      <c r="D9392" s="136">
        <f t="shared" si="438"/>
        <v>39</v>
      </c>
      <c r="E9392" s="136">
        <f t="shared" si="437"/>
        <v>27</v>
      </c>
      <c r="F9392" s="137" t="s">
        <v>24</v>
      </c>
      <c r="G9392" s="128" t="str">
        <f>VLOOKUP(source[[#This Row],[lending_product_transform]],[3]Mapping!$B$4:$C$37,2,0)</f>
        <v>[Cake] - Cashloan</v>
      </c>
      <c r="H9392" s="128" t="str">
        <f>VLOOKUP(source[[#This Row],[lending_product_transform]],[3]Mapping!$B$3:$D$37,3,0)</f>
        <v>cashloan</v>
      </c>
      <c r="I9392" s="143">
        <v>2287385369</v>
      </c>
    </row>
    <row r="9393" spans="1:9" x14ac:dyDescent="0.2">
      <c r="A9393" s="172">
        <v>45927</v>
      </c>
      <c r="B9393" s="135">
        <f>YEAR(source[[#This Row],[report_date]])</f>
        <v>2025</v>
      </c>
      <c r="C9393" s="128">
        <f t="shared" si="436"/>
        <v>9</v>
      </c>
      <c r="D9393" s="136">
        <f t="shared" si="438"/>
        <v>39</v>
      </c>
      <c r="E9393" s="136">
        <f t="shared" si="437"/>
        <v>27</v>
      </c>
      <c r="F9393" s="137" t="s">
        <v>24</v>
      </c>
      <c r="G9393" s="128" t="str">
        <f>VLOOKUP(source[[#This Row],[lending_product_transform]],[3]Mapping!$B$4:$C$37,2,0)</f>
        <v>[Cake] - Cashloan</v>
      </c>
      <c r="H9393" s="128" t="str">
        <f>VLOOKUP(source[[#This Row],[lending_product_transform]],[3]Mapping!$B$3:$D$37,3,0)</f>
        <v>cashloan</v>
      </c>
      <c r="I9393" s="143">
        <v>6984792000</v>
      </c>
    </row>
    <row r="9394" spans="1:9" x14ac:dyDescent="0.2">
      <c r="A9394" s="172">
        <v>45927</v>
      </c>
      <c r="B9394" s="135">
        <f>YEAR(source[[#This Row],[report_date]])</f>
        <v>2025</v>
      </c>
      <c r="C9394" s="128">
        <f t="shared" si="436"/>
        <v>9</v>
      </c>
      <c r="D9394" s="136">
        <f t="shared" si="438"/>
        <v>39</v>
      </c>
      <c r="E9394" s="136">
        <f t="shared" si="437"/>
        <v>27</v>
      </c>
      <c r="F9394" s="137" t="s">
        <v>24</v>
      </c>
      <c r="G9394" s="128" t="str">
        <f>VLOOKUP(source[[#This Row],[lending_product_transform]],[3]Mapping!$B$4:$C$37,2,0)</f>
        <v>[Cake] - Cashloan</v>
      </c>
      <c r="H9394" s="128" t="str">
        <f>VLOOKUP(source[[#This Row],[lending_product_transform]],[3]Mapping!$B$3:$D$37,3,0)</f>
        <v>cashloan</v>
      </c>
      <c r="I9394" s="143">
        <v>40643091</v>
      </c>
    </row>
    <row r="9395" spans="1:9" x14ac:dyDescent="0.2">
      <c r="A9395" s="172">
        <v>45927</v>
      </c>
      <c r="B9395" s="135">
        <f>YEAR(source[[#This Row],[report_date]])</f>
        <v>2025</v>
      </c>
      <c r="C9395" s="128">
        <f t="shared" si="436"/>
        <v>9</v>
      </c>
      <c r="D9395" s="136">
        <f t="shared" si="438"/>
        <v>39</v>
      </c>
      <c r="E9395" s="136">
        <f t="shared" si="437"/>
        <v>27</v>
      </c>
      <c r="F9395" s="137" t="s">
        <v>24</v>
      </c>
      <c r="G9395" s="128" t="str">
        <f>VLOOKUP(source[[#This Row],[lending_product_transform]],[3]Mapping!$B$4:$C$37,2,0)</f>
        <v>[Cake] - Cashloan</v>
      </c>
      <c r="H9395" s="128" t="str">
        <f>VLOOKUP(source[[#This Row],[lending_product_transform]],[3]Mapping!$B$3:$D$37,3,0)</f>
        <v>cashloan</v>
      </c>
      <c r="I9395" s="143">
        <v>3158470000</v>
      </c>
    </row>
    <row r="9396" spans="1:9" x14ac:dyDescent="0.2">
      <c r="A9396" s="172">
        <v>45927</v>
      </c>
      <c r="B9396" s="135">
        <f>YEAR(source[[#This Row],[report_date]])</f>
        <v>2025</v>
      </c>
      <c r="C9396" s="128">
        <f t="shared" si="436"/>
        <v>9</v>
      </c>
      <c r="D9396" s="136">
        <f t="shared" si="438"/>
        <v>39</v>
      </c>
      <c r="E9396" s="136">
        <f t="shared" si="437"/>
        <v>27</v>
      </c>
      <c r="F9396" s="137" t="s">
        <v>24</v>
      </c>
      <c r="G9396" s="128" t="str">
        <f>VLOOKUP(source[[#This Row],[lending_product_transform]],[3]Mapping!$B$4:$C$37,2,0)</f>
        <v>[Cake] - Cashloan</v>
      </c>
      <c r="H9396" s="128" t="str">
        <f>VLOOKUP(source[[#This Row],[lending_product_transform]],[3]Mapping!$B$3:$D$37,3,0)</f>
        <v>cashloan</v>
      </c>
      <c r="I9396" s="143">
        <v>12793000</v>
      </c>
    </row>
    <row r="9397" spans="1:9" x14ac:dyDescent="0.2">
      <c r="A9397" s="172">
        <v>45927</v>
      </c>
      <c r="B9397" s="135">
        <f>YEAR(source[[#This Row],[report_date]])</f>
        <v>2025</v>
      </c>
      <c r="C9397" s="128">
        <f t="shared" si="436"/>
        <v>9</v>
      </c>
      <c r="D9397" s="136">
        <f t="shared" si="438"/>
        <v>39</v>
      </c>
      <c r="E9397" s="136">
        <f t="shared" si="437"/>
        <v>27</v>
      </c>
      <c r="F9397" s="137" t="s">
        <v>24</v>
      </c>
      <c r="G9397" s="128" t="str">
        <f>VLOOKUP(source[[#This Row],[lending_product_transform]],[3]Mapping!$B$4:$C$37,2,0)</f>
        <v>[Cake] - Cashloan</v>
      </c>
      <c r="H9397" s="128" t="str">
        <f>VLOOKUP(source[[#This Row],[lending_product_transform]],[3]Mapping!$B$3:$D$37,3,0)</f>
        <v>cashloan</v>
      </c>
      <c r="I9397" s="143">
        <v>424941000</v>
      </c>
    </row>
    <row r="9398" spans="1:9" x14ac:dyDescent="0.2">
      <c r="A9398" s="172">
        <v>45927</v>
      </c>
      <c r="B9398" s="135">
        <f>YEAR(source[[#This Row],[report_date]])</f>
        <v>2025</v>
      </c>
      <c r="C9398" s="128">
        <f t="shared" ref="C9398:C9461" si="439">MONTH(A9398)</f>
        <v>9</v>
      </c>
      <c r="D9398" s="136">
        <f t="shared" si="438"/>
        <v>39</v>
      </c>
      <c r="E9398" s="136">
        <f t="shared" ref="E9398:E9461" si="440">DAY(A9398)</f>
        <v>27</v>
      </c>
      <c r="F9398" s="137" t="s">
        <v>24</v>
      </c>
      <c r="G9398" s="128" t="str">
        <f>VLOOKUP(source[[#This Row],[lending_product_transform]],[3]Mapping!$B$4:$C$37,2,0)</f>
        <v>[Cake] - Cashloan</v>
      </c>
      <c r="H9398" s="128" t="str">
        <f>VLOOKUP(source[[#This Row],[lending_product_transform]],[3]Mapping!$B$3:$D$37,3,0)</f>
        <v>cashloan</v>
      </c>
      <c r="I9398" s="143">
        <v>0</v>
      </c>
    </row>
    <row r="9399" spans="1:9" x14ac:dyDescent="0.2">
      <c r="A9399" s="172">
        <v>45927</v>
      </c>
      <c r="B9399" s="135">
        <f>YEAR(source[[#This Row],[report_date]])</f>
        <v>2025</v>
      </c>
      <c r="C9399" s="128">
        <f t="shared" si="439"/>
        <v>9</v>
      </c>
      <c r="D9399" s="136">
        <f t="shared" si="438"/>
        <v>39</v>
      </c>
      <c r="E9399" s="136">
        <f t="shared" si="440"/>
        <v>27</v>
      </c>
      <c r="F9399" s="137" t="s">
        <v>24</v>
      </c>
      <c r="G9399" s="128" t="str">
        <f>VLOOKUP(source[[#This Row],[lending_product_transform]],[3]Mapping!$B$4:$C$37,2,0)</f>
        <v>[Cake] - Cashloan</v>
      </c>
      <c r="H9399" s="128" t="str">
        <f>VLOOKUP(source[[#This Row],[lending_product_transform]],[3]Mapping!$B$3:$D$37,3,0)</f>
        <v>cashloan</v>
      </c>
      <c r="I9399" s="143">
        <v>62000000</v>
      </c>
    </row>
    <row r="9400" spans="1:9" x14ac:dyDescent="0.2">
      <c r="A9400" s="172">
        <v>45927</v>
      </c>
      <c r="B9400" s="135">
        <f>YEAR(source[[#This Row],[report_date]])</f>
        <v>2025</v>
      </c>
      <c r="C9400" s="128">
        <f t="shared" si="439"/>
        <v>9</v>
      </c>
      <c r="D9400" s="136">
        <f t="shared" si="438"/>
        <v>39</v>
      </c>
      <c r="E9400" s="136">
        <f t="shared" si="440"/>
        <v>27</v>
      </c>
      <c r="F9400" s="137" t="s">
        <v>24</v>
      </c>
      <c r="G9400" s="128" t="str">
        <f>VLOOKUP(source[[#This Row],[lending_product_transform]],[3]Mapping!$B$4:$C$37,2,0)</f>
        <v>[Cake] - Cashloan</v>
      </c>
      <c r="H9400" s="128" t="str">
        <f>VLOOKUP(source[[#This Row],[lending_product_transform]],[3]Mapping!$B$3:$D$37,3,0)</f>
        <v>cashloan</v>
      </c>
      <c r="I9400" s="143">
        <v>13869930000</v>
      </c>
    </row>
    <row r="9401" spans="1:9" x14ac:dyDescent="0.2">
      <c r="A9401" s="172">
        <v>45927</v>
      </c>
      <c r="B9401" s="135">
        <f>YEAR(source[[#This Row],[report_date]])</f>
        <v>2025</v>
      </c>
      <c r="C9401" s="128">
        <f t="shared" si="439"/>
        <v>9</v>
      </c>
      <c r="D9401" s="136">
        <f t="shared" si="438"/>
        <v>39</v>
      </c>
      <c r="E9401" s="136">
        <f t="shared" si="440"/>
        <v>27</v>
      </c>
      <c r="F9401" s="137" t="s">
        <v>24</v>
      </c>
      <c r="G9401" s="128" t="str">
        <f>VLOOKUP(source[[#This Row],[lending_product_transform]],[3]Mapping!$B$4:$C$37,2,0)</f>
        <v>[Cake] - Cashloan</v>
      </c>
      <c r="H9401" s="128" t="str">
        <f>VLOOKUP(source[[#This Row],[lending_product_transform]],[3]Mapping!$B$3:$D$37,3,0)</f>
        <v>cashloan</v>
      </c>
      <c r="I9401" s="143">
        <v>0</v>
      </c>
    </row>
    <row r="9402" spans="1:9" x14ac:dyDescent="0.2">
      <c r="A9402" s="172">
        <v>45927</v>
      </c>
      <c r="B9402" s="135">
        <f>YEAR(source[[#This Row],[report_date]])</f>
        <v>2025</v>
      </c>
      <c r="C9402" s="128">
        <f t="shared" si="439"/>
        <v>9</v>
      </c>
      <c r="D9402" s="136">
        <f t="shared" si="438"/>
        <v>39</v>
      </c>
      <c r="E9402" s="136">
        <f t="shared" si="440"/>
        <v>27</v>
      </c>
      <c r="F9402" s="137" t="s">
        <v>24</v>
      </c>
      <c r="G9402" s="128" t="str">
        <f>VLOOKUP(source[[#This Row],[lending_product_transform]],[3]Mapping!$B$4:$C$37,2,0)</f>
        <v>[Cake] - Cashloan</v>
      </c>
      <c r="H9402" s="128" t="str">
        <f>VLOOKUP(source[[#This Row],[lending_product_transform]],[3]Mapping!$B$3:$D$37,3,0)</f>
        <v>cashloan</v>
      </c>
      <c r="I9402" s="143">
        <v>0</v>
      </c>
    </row>
    <row r="9403" spans="1:9" x14ac:dyDescent="0.2">
      <c r="A9403" s="172">
        <v>45927</v>
      </c>
      <c r="B9403" s="135">
        <f>YEAR(source[[#This Row],[report_date]])</f>
        <v>2025</v>
      </c>
      <c r="C9403" s="128">
        <f t="shared" si="439"/>
        <v>9</v>
      </c>
      <c r="D9403" s="136">
        <f t="shared" si="438"/>
        <v>39</v>
      </c>
      <c r="E9403" s="136">
        <f t="shared" si="440"/>
        <v>27</v>
      </c>
      <c r="F9403" s="137" t="s">
        <v>24</v>
      </c>
      <c r="G9403" s="128" t="str">
        <f>VLOOKUP(source[[#This Row],[lending_product_transform]],[3]Mapping!$B$4:$C$37,2,0)</f>
        <v>[Cake] - Cashloan</v>
      </c>
      <c r="H9403" s="128" t="str">
        <f>VLOOKUP(source[[#This Row],[lending_product_transform]],[3]Mapping!$B$3:$D$37,3,0)</f>
        <v>cashloan</v>
      </c>
      <c r="I9403" s="143">
        <v>0</v>
      </c>
    </row>
    <row r="9404" spans="1:9" x14ac:dyDescent="0.2">
      <c r="A9404" s="172">
        <v>45927</v>
      </c>
      <c r="B9404" s="135">
        <f>YEAR(source[[#This Row],[report_date]])</f>
        <v>2025</v>
      </c>
      <c r="C9404" s="128">
        <f t="shared" si="439"/>
        <v>9</v>
      </c>
      <c r="D9404" s="136">
        <f t="shared" si="438"/>
        <v>39</v>
      </c>
      <c r="E9404" s="136">
        <f t="shared" si="440"/>
        <v>27</v>
      </c>
      <c r="F9404" s="137" t="s">
        <v>24</v>
      </c>
      <c r="G9404" s="128" t="str">
        <f>VLOOKUP(source[[#This Row],[lending_product_transform]],[3]Mapping!$B$4:$C$37,2,0)</f>
        <v>[Cake] - Cashloan</v>
      </c>
      <c r="H9404" s="128" t="str">
        <f>VLOOKUP(source[[#This Row],[lending_product_transform]],[3]Mapping!$B$3:$D$37,3,0)</f>
        <v>cashloan</v>
      </c>
      <c r="I9404" s="143">
        <v>0</v>
      </c>
    </row>
    <row r="9405" spans="1:9" x14ac:dyDescent="0.2">
      <c r="A9405" s="172">
        <v>45927</v>
      </c>
      <c r="B9405" s="135">
        <f>YEAR(source[[#This Row],[report_date]])</f>
        <v>2025</v>
      </c>
      <c r="C9405" s="128">
        <f t="shared" si="439"/>
        <v>9</v>
      </c>
      <c r="D9405" s="136">
        <f t="shared" si="438"/>
        <v>39</v>
      </c>
      <c r="E9405" s="136">
        <f t="shared" si="440"/>
        <v>27</v>
      </c>
      <c r="F9405" s="137" t="s">
        <v>24</v>
      </c>
      <c r="G9405" s="128" t="str">
        <f>VLOOKUP(source[[#This Row],[lending_product_transform]],[3]Mapping!$B$4:$C$37,2,0)</f>
        <v>[Cake] - Cashloan</v>
      </c>
      <c r="H9405" s="128" t="str">
        <f>VLOOKUP(source[[#This Row],[lending_product_transform]],[3]Mapping!$B$3:$D$37,3,0)</f>
        <v>cashloan</v>
      </c>
      <c r="I9405" s="143">
        <v>8715708000</v>
      </c>
    </row>
    <row r="9406" spans="1:9" x14ac:dyDescent="0.2">
      <c r="A9406" s="172">
        <v>45927</v>
      </c>
      <c r="B9406" s="135">
        <f>YEAR(source[[#This Row],[report_date]])</f>
        <v>2025</v>
      </c>
      <c r="C9406" s="128">
        <f t="shared" si="439"/>
        <v>9</v>
      </c>
      <c r="D9406" s="136">
        <f t="shared" si="438"/>
        <v>39</v>
      </c>
      <c r="E9406" s="136">
        <f t="shared" si="440"/>
        <v>27</v>
      </c>
      <c r="F9406" s="137" t="s">
        <v>24</v>
      </c>
      <c r="G9406" s="128" t="str">
        <f>VLOOKUP(source[[#This Row],[lending_product_transform]],[3]Mapping!$B$4:$C$37,2,0)</f>
        <v>[Cake] - Cashloan</v>
      </c>
      <c r="H9406" s="128" t="str">
        <f>VLOOKUP(source[[#This Row],[lending_product_transform]],[3]Mapping!$B$3:$D$37,3,0)</f>
        <v>cashloan</v>
      </c>
      <c r="I9406" s="143">
        <v>165694313</v>
      </c>
    </row>
    <row r="9407" spans="1:9" x14ac:dyDescent="0.2">
      <c r="A9407" s="172">
        <v>45927</v>
      </c>
      <c r="B9407" s="135">
        <f>YEAR(source[[#This Row],[report_date]])</f>
        <v>2025</v>
      </c>
      <c r="C9407" s="128">
        <f t="shared" si="439"/>
        <v>9</v>
      </c>
      <c r="D9407" s="136">
        <f t="shared" si="438"/>
        <v>39</v>
      </c>
      <c r="E9407" s="136">
        <f t="shared" si="440"/>
        <v>27</v>
      </c>
      <c r="F9407" s="137" t="s">
        <v>24</v>
      </c>
      <c r="G9407" s="128" t="str">
        <f>VLOOKUP(source[[#This Row],[lending_product_transform]],[3]Mapping!$B$4:$C$37,2,0)</f>
        <v>[Cake] - Cashloan</v>
      </c>
      <c r="H9407" s="128" t="str">
        <f>VLOOKUP(source[[#This Row],[lending_product_transform]],[3]Mapping!$B$3:$D$37,3,0)</f>
        <v>cashloan</v>
      </c>
      <c r="I9407" s="143">
        <v>21000000</v>
      </c>
    </row>
    <row r="9408" spans="1:9" x14ac:dyDescent="0.2">
      <c r="A9408" s="172">
        <v>45927</v>
      </c>
      <c r="B9408" s="135">
        <f>YEAR(source[[#This Row],[report_date]])</f>
        <v>2025</v>
      </c>
      <c r="C9408" s="128">
        <f t="shared" si="439"/>
        <v>9</v>
      </c>
      <c r="D9408" s="136">
        <f t="shared" si="438"/>
        <v>39</v>
      </c>
      <c r="E9408" s="136">
        <f t="shared" si="440"/>
        <v>27</v>
      </c>
      <c r="F9408" s="137" t="s">
        <v>24</v>
      </c>
      <c r="G9408" s="128" t="str">
        <f>VLOOKUP(source[[#This Row],[lending_product_transform]],[3]Mapping!$B$4:$C$37,2,0)</f>
        <v>[Cake] - Cashloan</v>
      </c>
      <c r="H9408" s="128" t="str">
        <f>VLOOKUP(source[[#This Row],[lending_product_transform]],[3]Mapping!$B$3:$D$37,3,0)</f>
        <v>cashloan</v>
      </c>
      <c r="I9408" s="143">
        <v>41000000</v>
      </c>
    </row>
    <row r="9409" spans="1:9" x14ac:dyDescent="0.2">
      <c r="A9409" s="172">
        <v>45927</v>
      </c>
      <c r="B9409" s="135">
        <f>YEAR(source[[#This Row],[report_date]])</f>
        <v>2025</v>
      </c>
      <c r="C9409" s="128">
        <f t="shared" si="439"/>
        <v>9</v>
      </c>
      <c r="D9409" s="136">
        <f t="shared" si="438"/>
        <v>39</v>
      </c>
      <c r="E9409" s="136">
        <f t="shared" si="440"/>
        <v>27</v>
      </c>
      <c r="F9409" s="137" t="s">
        <v>24</v>
      </c>
      <c r="G9409" s="128" t="str">
        <f>VLOOKUP(source[[#This Row],[lending_product_transform]],[3]Mapping!$B$4:$C$37,2,0)</f>
        <v>[Cake] - Cashloan</v>
      </c>
      <c r="H9409" s="128" t="str">
        <f>VLOOKUP(source[[#This Row],[lending_product_transform]],[3]Mapping!$B$3:$D$37,3,0)</f>
        <v>cashloan</v>
      </c>
      <c r="I9409" s="143">
        <v>443960000</v>
      </c>
    </row>
    <row r="9410" spans="1:9" x14ac:dyDescent="0.2">
      <c r="A9410" s="172">
        <v>45927</v>
      </c>
      <c r="B9410" s="135">
        <f>YEAR(source[[#This Row],[report_date]])</f>
        <v>2025</v>
      </c>
      <c r="C9410" s="128">
        <f t="shared" si="439"/>
        <v>9</v>
      </c>
      <c r="D9410" s="136">
        <f t="shared" si="438"/>
        <v>39</v>
      </c>
      <c r="E9410" s="136">
        <f t="shared" si="440"/>
        <v>27</v>
      </c>
      <c r="F9410" s="137" t="s">
        <v>24</v>
      </c>
      <c r="G9410" s="128" t="str">
        <f>VLOOKUP(source[[#This Row],[lending_product_transform]],[3]Mapping!$B$4:$C$37,2,0)</f>
        <v>[Cake] - Cashloan</v>
      </c>
      <c r="H9410" s="128" t="str">
        <f>VLOOKUP(source[[#This Row],[lending_product_transform]],[3]Mapping!$B$3:$D$37,3,0)</f>
        <v>cashloan</v>
      </c>
      <c r="I9410" s="143">
        <v>154440000</v>
      </c>
    </row>
    <row r="9411" spans="1:9" x14ac:dyDescent="0.2">
      <c r="A9411" s="172">
        <v>45927</v>
      </c>
      <c r="B9411" s="135">
        <f>YEAR(source[[#This Row],[report_date]])</f>
        <v>2025</v>
      </c>
      <c r="C9411" s="128">
        <f t="shared" si="439"/>
        <v>9</v>
      </c>
      <c r="D9411" s="136">
        <f t="shared" ref="D9411:D9474" si="441">WEEKNUM(A9411,2)</f>
        <v>39</v>
      </c>
      <c r="E9411" s="136">
        <f t="shared" si="440"/>
        <v>27</v>
      </c>
      <c r="F9411" s="137" t="s">
        <v>24</v>
      </c>
      <c r="G9411" s="128" t="str">
        <f>VLOOKUP(source[[#This Row],[lending_product_transform]],[3]Mapping!$B$4:$C$37,2,0)</f>
        <v>[Cake] - Cashloan</v>
      </c>
      <c r="H9411" s="128" t="str">
        <f>VLOOKUP(source[[#This Row],[lending_product_transform]],[3]Mapping!$B$3:$D$37,3,0)</f>
        <v>cashloan</v>
      </c>
      <c r="I9411" s="143">
        <v>453298720</v>
      </c>
    </row>
    <row r="9412" spans="1:9" x14ac:dyDescent="0.2">
      <c r="A9412" s="172">
        <v>45927</v>
      </c>
      <c r="B9412" s="135">
        <f>YEAR(source[[#This Row],[report_date]])</f>
        <v>2025</v>
      </c>
      <c r="C9412" s="128">
        <f t="shared" si="439"/>
        <v>9</v>
      </c>
      <c r="D9412" s="136">
        <f t="shared" si="441"/>
        <v>39</v>
      </c>
      <c r="E9412" s="136">
        <f t="shared" si="440"/>
        <v>27</v>
      </c>
      <c r="F9412" s="137" t="s">
        <v>24</v>
      </c>
      <c r="G9412" s="128" t="str">
        <f>VLOOKUP(source[[#This Row],[lending_product_transform]],[3]Mapping!$B$4:$C$37,2,0)</f>
        <v>[Cake] - Cashloan</v>
      </c>
      <c r="H9412" s="128" t="str">
        <f>VLOOKUP(source[[#This Row],[lending_product_transform]],[3]Mapping!$B$3:$D$37,3,0)</f>
        <v>cashloan</v>
      </c>
      <c r="I9412" s="143">
        <v>2019170000</v>
      </c>
    </row>
    <row r="9413" spans="1:9" x14ac:dyDescent="0.2">
      <c r="A9413" s="172">
        <v>45928</v>
      </c>
      <c r="B9413" s="135">
        <f>YEAR(source[[#This Row],[report_date]])</f>
        <v>2025</v>
      </c>
      <c r="C9413" s="128">
        <f t="shared" si="439"/>
        <v>9</v>
      </c>
      <c r="D9413" s="136">
        <f t="shared" si="441"/>
        <v>39</v>
      </c>
      <c r="E9413" s="136">
        <f t="shared" si="440"/>
        <v>28</v>
      </c>
      <c r="F9413" s="137" t="s">
        <v>24</v>
      </c>
      <c r="G9413" s="128" t="str">
        <f>VLOOKUP(source[[#This Row],[lending_product_transform]],[3]Mapping!$B$4:$C$37,2,0)</f>
        <v>[Cake] - Cashloan</v>
      </c>
      <c r="H9413" s="128" t="str">
        <f>VLOOKUP(source[[#This Row],[lending_product_transform]],[3]Mapping!$B$3:$D$37,3,0)</f>
        <v>cashloan</v>
      </c>
      <c r="I9413" s="143">
        <v>0</v>
      </c>
    </row>
    <row r="9414" spans="1:9" x14ac:dyDescent="0.2">
      <c r="A9414" s="172">
        <v>45928</v>
      </c>
      <c r="B9414" s="135">
        <f>YEAR(source[[#This Row],[report_date]])</f>
        <v>2025</v>
      </c>
      <c r="C9414" s="128">
        <f t="shared" si="439"/>
        <v>9</v>
      </c>
      <c r="D9414" s="136">
        <f t="shared" si="441"/>
        <v>39</v>
      </c>
      <c r="E9414" s="136">
        <f t="shared" si="440"/>
        <v>28</v>
      </c>
      <c r="F9414" s="137" t="s">
        <v>24</v>
      </c>
      <c r="G9414" s="128" t="str">
        <f>VLOOKUP(source[[#This Row],[lending_product_transform]],[3]Mapping!$B$4:$C$37,2,0)</f>
        <v>[Cake] - Cashloan</v>
      </c>
      <c r="H9414" s="128" t="str">
        <f>VLOOKUP(source[[#This Row],[lending_product_transform]],[3]Mapping!$B$3:$D$37,3,0)</f>
        <v>cashloan</v>
      </c>
      <c r="I9414" s="143">
        <v>266079883</v>
      </c>
    </row>
    <row r="9415" spans="1:9" x14ac:dyDescent="0.2">
      <c r="A9415" s="172">
        <v>45928</v>
      </c>
      <c r="B9415" s="135">
        <f>YEAR(source[[#This Row],[report_date]])</f>
        <v>2025</v>
      </c>
      <c r="C9415" s="128">
        <f t="shared" si="439"/>
        <v>9</v>
      </c>
      <c r="D9415" s="136">
        <f t="shared" si="441"/>
        <v>39</v>
      </c>
      <c r="E9415" s="136">
        <f t="shared" si="440"/>
        <v>28</v>
      </c>
      <c r="F9415" s="137" t="s">
        <v>24</v>
      </c>
      <c r="G9415" s="128" t="str">
        <f>VLOOKUP(source[[#This Row],[lending_product_transform]],[3]Mapping!$B$4:$C$37,2,0)</f>
        <v>[Cake] - Cashloan</v>
      </c>
      <c r="H9415" s="128" t="str">
        <f>VLOOKUP(source[[#This Row],[lending_product_transform]],[3]Mapping!$B$3:$D$37,3,0)</f>
        <v>cashloan</v>
      </c>
      <c r="I9415" s="143">
        <v>12362760000</v>
      </c>
    </row>
    <row r="9416" spans="1:9" x14ac:dyDescent="0.2">
      <c r="A9416" s="172">
        <v>45928</v>
      </c>
      <c r="B9416" s="135">
        <f>YEAR(source[[#This Row],[report_date]])</f>
        <v>2025</v>
      </c>
      <c r="C9416" s="128">
        <f t="shared" si="439"/>
        <v>9</v>
      </c>
      <c r="D9416" s="136">
        <f t="shared" si="441"/>
        <v>39</v>
      </c>
      <c r="E9416" s="136">
        <f t="shared" si="440"/>
        <v>28</v>
      </c>
      <c r="F9416" s="137" t="s">
        <v>24</v>
      </c>
      <c r="G9416" s="128" t="str">
        <f>VLOOKUP(source[[#This Row],[lending_product_transform]],[3]Mapping!$B$4:$C$37,2,0)</f>
        <v>[Cake] - Cashloan</v>
      </c>
      <c r="H9416" s="128" t="str">
        <f>VLOOKUP(source[[#This Row],[lending_product_transform]],[3]Mapping!$B$3:$D$37,3,0)</f>
        <v>cashloan</v>
      </c>
      <c r="I9416" s="143">
        <v>2256599120</v>
      </c>
    </row>
    <row r="9417" spans="1:9" x14ac:dyDescent="0.2">
      <c r="A9417" s="172">
        <v>45928</v>
      </c>
      <c r="B9417" s="135">
        <f>YEAR(source[[#This Row],[report_date]])</f>
        <v>2025</v>
      </c>
      <c r="C9417" s="128">
        <f t="shared" si="439"/>
        <v>9</v>
      </c>
      <c r="D9417" s="136">
        <f t="shared" si="441"/>
        <v>39</v>
      </c>
      <c r="E9417" s="136">
        <f t="shared" si="440"/>
        <v>28</v>
      </c>
      <c r="F9417" s="137" t="s">
        <v>24</v>
      </c>
      <c r="G9417" s="128" t="str">
        <f>VLOOKUP(source[[#This Row],[lending_product_transform]],[3]Mapping!$B$4:$C$37,2,0)</f>
        <v>[Cake] - Cashloan</v>
      </c>
      <c r="H9417" s="128" t="str">
        <f>VLOOKUP(source[[#This Row],[lending_product_transform]],[3]Mapping!$B$3:$D$37,3,0)</f>
        <v>cashloan</v>
      </c>
      <c r="I9417" s="143">
        <v>6587244000</v>
      </c>
    </row>
    <row r="9418" spans="1:9" x14ac:dyDescent="0.2">
      <c r="A9418" s="172">
        <v>45928</v>
      </c>
      <c r="B9418" s="135">
        <f>YEAR(source[[#This Row],[report_date]])</f>
        <v>2025</v>
      </c>
      <c r="C9418" s="128">
        <f t="shared" si="439"/>
        <v>9</v>
      </c>
      <c r="D9418" s="136">
        <f t="shared" si="441"/>
        <v>39</v>
      </c>
      <c r="E9418" s="136">
        <f t="shared" si="440"/>
        <v>28</v>
      </c>
      <c r="F9418" s="137" t="s">
        <v>24</v>
      </c>
      <c r="G9418" s="128" t="str">
        <f>VLOOKUP(source[[#This Row],[lending_product_transform]],[3]Mapping!$B$4:$C$37,2,0)</f>
        <v>[Cake] - Cashloan</v>
      </c>
      <c r="H9418" s="128" t="str">
        <f>VLOOKUP(source[[#This Row],[lending_product_transform]],[3]Mapping!$B$3:$D$37,3,0)</f>
        <v>cashloan</v>
      </c>
      <c r="I9418" s="143">
        <v>11342323</v>
      </c>
    </row>
    <row r="9419" spans="1:9" x14ac:dyDescent="0.2">
      <c r="A9419" s="172">
        <v>45928</v>
      </c>
      <c r="B9419" s="135">
        <f>YEAR(source[[#This Row],[report_date]])</f>
        <v>2025</v>
      </c>
      <c r="C9419" s="128">
        <f t="shared" si="439"/>
        <v>9</v>
      </c>
      <c r="D9419" s="136">
        <f t="shared" si="441"/>
        <v>39</v>
      </c>
      <c r="E9419" s="136">
        <f t="shared" si="440"/>
        <v>28</v>
      </c>
      <c r="F9419" s="137" t="s">
        <v>24</v>
      </c>
      <c r="G9419" s="128" t="str">
        <f>VLOOKUP(source[[#This Row],[lending_product_transform]],[3]Mapping!$B$4:$C$37,2,0)</f>
        <v>[Cake] - Cashloan</v>
      </c>
      <c r="H9419" s="128" t="str">
        <f>VLOOKUP(source[[#This Row],[lending_product_transform]],[3]Mapping!$B$3:$D$37,3,0)</f>
        <v>cashloan</v>
      </c>
      <c r="I9419" s="143">
        <v>3146200000</v>
      </c>
    </row>
    <row r="9420" spans="1:9" x14ac:dyDescent="0.2">
      <c r="A9420" s="172">
        <v>45928</v>
      </c>
      <c r="B9420" s="135">
        <f>YEAR(source[[#This Row],[report_date]])</f>
        <v>2025</v>
      </c>
      <c r="C9420" s="128">
        <f t="shared" si="439"/>
        <v>9</v>
      </c>
      <c r="D9420" s="136">
        <f t="shared" si="441"/>
        <v>39</v>
      </c>
      <c r="E9420" s="136">
        <f t="shared" si="440"/>
        <v>28</v>
      </c>
      <c r="F9420" s="137" t="s">
        <v>24</v>
      </c>
      <c r="G9420" s="128" t="str">
        <f>VLOOKUP(source[[#This Row],[lending_product_transform]],[3]Mapping!$B$4:$C$37,2,0)</f>
        <v>[Cake] - Cashloan</v>
      </c>
      <c r="H9420" s="128" t="str">
        <f>VLOOKUP(source[[#This Row],[lending_product_transform]],[3]Mapping!$B$3:$D$37,3,0)</f>
        <v>cashloan</v>
      </c>
      <c r="I9420" s="143">
        <v>13751000</v>
      </c>
    </row>
    <row r="9421" spans="1:9" x14ac:dyDescent="0.2">
      <c r="A9421" s="172">
        <v>45928</v>
      </c>
      <c r="B9421" s="135">
        <f>YEAR(source[[#This Row],[report_date]])</f>
        <v>2025</v>
      </c>
      <c r="C9421" s="128">
        <f t="shared" si="439"/>
        <v>9</v>
      </c>
      <c r="D9421" s="136">
        <f t="shared" si="441"/>
        <v>39</v>
      </c>
      <c r="E9421" s="136">
        <f t="shared" si="440"/>
        <v>28</v>
      </c>
      <c r="F9421" s="137" t="s">
        <v>24</v>
      </c>
      <c r="G9421" s="128" t="str">
        <f>VLOOKUP(source[[#This Row],[lending_product_transform]],[3]Mapping!$B$4:$C$37,2,0)</f>
        <v>[Cake] - Cashloan</v>
      </c>
      <c r="H9421" s="128" t="str">
        <f>VLOOKUP(source[[#This Row],[lending_product_transform]],[3]Mapping!$B$3:$D$37,3,0)</f>
        <v>cashloan</v>
      </c>
      <c r="I9421" s="143">
        <v>484967000</v>
      </c>
    </row>
    <row r="9422" spans="1:9" x14ac:dyDescent="0.2">
      <c r="A9422" s="172">
        <v>45928</v>
      </c>
      <c r="B9422" s="135">
        <f>YEAR(source[[#This Row],[report_date]])</f>
        <v>2025</v>
      </c>
      <c r="C9422" s="128">
        <f t="shared" si="439"/>
        <v>9</v>
      </c>
      <c r="D9422" s="136">
        <f t="shared" si="441"/>
        <v>39</v>
      </c>
      <c r="E9422" s="136">
        <f t="shared" si="440"/>
        <v>28</v>
      </c>
      <c r="F9422" s="137" t="s">
        <v>24</v>
      </c>
      <c r="G9422" s="128" t="str">
        <f>VLOOKUP(source[[#This Row],[lending_product_transform]],[3]Mapping!$B$4:$C$37,2,0)</f>
        <v>[Cake] - Cashloan</v>
      </c>
      <c r="H9422" s="128" t="str">
        <f>VLOOKUP(source[[#This Row],[lending_product_transform]],[3]Mapping!$B$3:$D$37,3,0)</f>
        <v>cashloan</v>
      </c>
      <c r="I9422" s="143">
        <v>0</v>
      </c>
    </row>
    <row r="9423" spans="1:9" x14ac:dyDescent="0.2">
      <c r="A9423" s="172">
        <v>45928</v>
      </c>
      <c r="B9423" s="135">
        <f>YEAR(source[[#This Row],[report_date]])</f>
        <v>2025</v>
      </c>
      <c r="C9423" s="128">
        <f t="shared" si="439"/>
        <v>9</v>
      </c>
      <c r="D9423" s="136">
        <f t="shared" si="441"/>
        <v>39</v>
      </c>
      <c r="E9423" s="136">
        <f t="shared" si="440"/>
        <v>28</v>
      </c>
      <c r="F9423" s="137" t="s">
        <v>24</v>
      </c>
      <c r="G9423" s="128" t="str">
        <f>VLOOKUP(source[[#This Row],[lending_product_transform]],[3]Mapping!$B$4:$C$37,2,0)</f>
        <v>[Cake] - Cashloan</v>
      </c>
      <c r="H9423" s="128" t="str">
        <f>VLOOKUP(source[[#This Row],[lending_product_transform]],[3]Mapping!$B$3:$D$37,3,0)</f>
        <v>cashloan</v>
      </c>
      <c r="I9423" s="143">
        <v>108250000</v>
      </c>
    </row>
    <row r="9424" spans="1:9" x14ac:dyDescent="0.2">
      <c r="A9424" s="172">
        <v>45928</v>
      </c>
      <c r="B9424" s="135">
        <f>YEAR(source[[#This Row],[report_date]])</f>
        <v>2025</v>
      </c>
      <c r="C9424" s="128">
        <f t="shared" si="439"/>
        <v>9</v>
      </c>
      <c r="D9424" s="136">
        <f t="shared" si="441"/>
        <v>39</v>
      </c>
      <c r="E9424" s="136">
        <f t="shared" si="440"/>
        <v>28</v>
      </c>
      <c r="F9424" s="137" t="s">
        <v>24</v>
      </c>
      <c r="G9424" s="128" t="str">
        <f>VLOOKUP(source[[#This Row],[lending_product_transform]],[3]Mapping!$B$4:$C$37,2,0)</f>
        <v>[Cake] - Cashloan</v>
      </c>
      <c r="H9424" s="128" t="str">
        <f>VLOOKUP(source[[#This Row],[lending_product_transform]],[3]Mapping!$B$3:$D$37,3,0)</f>
        <v>cashloan</v>
      </c>
      <c r="I9424" s="143">
        <v>13088800000</v>
      </c>
    </row>
    <row r="9425" spans="1:9" x14ac:dyDescent="0.2">
      <c r="A9425" s="172">
        <v>45928</v>
      </c>
      <c r="B9425" s="135">
        <f>YEAR(source[[#This Row],[report_date]])</f>
        <v>2025</v>
      </c>
      <c r="C9425" s="128">
        <f t="shared" si="439"/>
        <v>9</v>
      </c>
      <c r="D9425" s="136">
        <f t="shared" si="441"/>
        <v>39</v>
      </c>
      <c r="E9425" s="136">
        <f t="shared" si="440"/>
        <v>28</v>
      </c>
      <c r="F9425" s="137" t="s">
        <v>24</v>
      </c>
      <c r="G9425" s="128" t="str">
        <f>VLOOKUP(source[[#This Row],[lending_product_transform]],[3]Mapping!$B$4:$C$37,2,0)</f>
        <v>[Cake] - Cashloan</v>
      </c>
      <c r="H9425" s="128" t="str">
        <f>VLOOKUP(source[[#This Row],[lending_product_transform]],[3]Mapping!$B$3:$D$37,3,0)</f>
        <v>cashloan</v>
      </c>
      <c r="I9425" s="143">
        <v>0</v>
      </c>
    </row>
    <row r="9426" spans="1:9" x14ac:dyDescent="0.2">
      <c r="A9426" s="172">
        <v>45928</v>
      </c>
      <c r="B9426" s="135">
        <f>YEAR(source[[#This Row],[report_date]])</f>
        <v>2025</v>
      </c>
      <c r="C9426" s="128">
        <f t="shared" si="439"/>
        <v>9</v>
      </c>
      <c r="D9426" s="136">
        <f t="shared" si="441"/>
        <v>39</v>
      </c>
      <c r="E9426" s="136">
        <f t="shared" si="440"/>
        <v>28</v>
      </c>
      <c r="F9426" s="137" t="s">
        <v>24</v>
      </c>
      <c r="G9426" s="128" t="str">
        <f>VLOOKUP(source[[#This Row],[lending_product_transform]],[3]Mapping!$B$4:$C$37,2,0)</f>
        <v>[Cake] - Cashloan</v>
      </c>
      <c r="H9426" s="128" t="str">
        <f>VLOOKUP(source[[#This Row],[lending_product_transform]],[3]Mapping!$B$3:$D$37,3,0)</f>
        <v>cashloan</v>
      </c>
      <c r="I9426" s="143">
        <v>0</v>
      </c>
    </row>
    <row r="9427" spans="1:9" x14ac:dyDescent="0.2">
      <c r="A9427" s="172">
        <v>45928</v>
      </c>
      <c r="B9427" s="135">
        <f>YEAR(source[[#This Row],[report_date]])</f>
        <v>2025</v>
      </c>
      <c r="C9427" s="128">
        <f t="shared" si="439"/>
        <v>9</v>
      </c>
      <c r="D9427" s="136">
        <f t="shared" si="441"/>
        <v>39</v>
      </c>
      <c r="E9427" s="136">
        <f t="shared" si="440"/>
        <v>28</v>
      </c>
      <c r="F9427" s="137" t="s">
        <v>24</v>
      </c>
      <c r="G9427" s="128" t="str">
        <f>VLOOKUP(source[[#This Row],[lending_product_transform]],[3]Mapping!$B$4:$C$37,2,0)</f>
        <v>[Cake] - Cashloan</v>
      </c>
      <c r="H9427" s="128" t="str">
        <f>VLOOKUP(source[[#This Row],[lending_product_transform]],[3]Mapping!$B$3:$D$37,3,0)</f>
        <v>cashloan</v>
      </c>
      <c r="I9427" s="143">
        <v>0</v>
      </c>
    </row>
    <row r="9428" spans="1:9" x14ac:dyDescent="0.2">
      <c r="A9428" s="172">
        <v>45928</v>
      </c>
      <c r="B9428" s="135">
        <f>YEAR(source[[#This Row],[report_date]])</f>
        <v>2025</v>
      </c>
      <c r="C9428" s="128">
        <f t="shared" si="439"/>
        <v>9</v>
      </c>
      <c r="D9428" s="136">
        <f t="shared" si="441"/>
        <v>39</v>
      </c>
      <c r="E9428" s="136">
        <f t="shared" si="440"/>
        <v>28</v>
      </c>
      <c r="F9428" s="137" t="s">
        <v>24</v>
      </c>
      <c r="G9428" s="128" t="str">
        <f>VLOOKUP(source[[#This Row],[lending_product_transform]],[3]Mapping!$B$4:$C$37,2,0)</f>
        <v>[Cake] - Cashloan</v>
      </c>
      <c r="H9428" s="128" t="str">
        <f>VLOOKUP(source[[#This Row],[lending_product_transform]],[3]Mapping!$B$3:$D$37,3,0)</f>
        <v>cashloan</v>
      </c>
      <c r="I9428" s="143">
        <v>0</v>
      </c>
    </row>
    <row r="9429" spans="1:9" x14ac:dyDescent="0.2">
      <c r="A9429" s="172">
        <v>45928</v>
      </c>
      <c r="B9429" s="135">
        <f>YEAR(source[[#This Row],[report_date]])</f>
        <v>2025</v>
      </c>
      <c r="C9429" s="128">
        <f t="shared" si="439"/>
        <v>9</v>
      </c>
      <c r="D9429" s="136">
        <f t="shared" si="441"/>
        <v>39</v>
      </c>
      <c r="E9429" s="136">
        <f t="shared" si="440"/>
        <v>28</v>
      </c>
      <c r="F9429" s="137" t="s">
        <v>24</v>
      </c>
      <c r="G9429" s="128" t="str">
        <f>VLOOKUP(source[[#This Row],[lending_product_transform]],[3]Mapping!$B$4:$C$37,2,0)</f>
        <v>[Cake] - Cashloan</v>
      </c>
      <c r="H9429" s="128" t="str">
        <f>VLOOKUP(source[[#This Row],[lending_product_transform]],[3]Mapping!$B$3:$D$37,3,0)</f>
        <v>cashloan</v>
      </c>
      <c r="I9429" s="143">
        <v>8819064000</v>
      </c>
    </row>
    <row r="9430" spans="1:9" x14ac:dyDescent="0.2">
      <c r="A9430" s="172">
        <v>45928</v>
      </c>
      <c r="B9430" s="135">
        <f>YEAR(source[[#This Row],[report_date]])</f>
        <v>2025</v>
      </c>
      <c r="C9430" s="128">
        <f t="shared" si="439"/>
        <v>9</v>
      </c>
      <c r="D9430" s="136">
        <f t="shared" si="441"/>
        <v>39</v>
      </c>
      <c r="E9430" s="136">
        <f t="shared" si="440"/>
        <v>28</v>
      </c>
      <c r="F9430" s="137" t="s">
        <v>24</v>
      </c>
      <c r="G9430" s="128" t="str">
        <f>VLOOKUP(source[[#This Row],[lending_product_transform]],[3]Mapping!$B$4:$C$37,2,0)</f>
        <v>[Cake] - Cashloan</v>
      </c>
      <c r="H9430" s="128" t="str">
        <f>VLOOKUP(source[[#This Row],[lending_product_transform]],[3]Mapping!$B$3:$D$37,3,0)</f>
        <v>cashloan</v>
      </c>
      <c r="I9430" s="143">
        <v>196143768</v>
      </c>
    </row>
    <row r="9431" spans="1:9" x14ac:dyDescent="0.2">
      <c r="A9431" s="172">
        <v>45928</v>
      </c>
      <c r="B9431" s="135">
        <f>YEAR(source[[#This Row],[report_date]])</f>
        <v>2025</v>
      </c>
      <c r="C9431" s="128">
        <f t="shared" si="439"/>
        <v>9</v>
      </c>
      <c r="D9431" s="136">
        <f t="shared" si="441"/>
        <v>39</v>
      </c>
      <c r="E9431" s="136">
        <f t="shared" si="440"/>
        <v>28</v>
      </c>
      <c r="F9431" s="137" t="s">
        <v>24</v>
      </c>
      <c r="G9431" s="128" t="str">
        <f>VLOOKUP(source[[#This Row],[lending_product_transform]],[3]Mapping!$B$4:$C$37,2,0)</f>
        <v>[Cake] - Cashloan</v>
      </c>
      <c r="H9431" s="128" t="str">
        <f>VLOOKUP(source[[#This Row],[lending_product_transform]],[3]Mapping!$B$3:$D$37,3,0)</f>
        <v>cashloan</v>
      </c>
      <c r="I9431" s="143">
        <v>0</v>
      </c>
    </row>
    <row r="9432" spans="1:9" x14ac:dyDescent="0.2">
      <c r="A9432" s="172">
        <v>45928</v>
      </c>
      <c r="B9432" s="135">
        <f>YEAR(source[[#This Row],[report_date]])</f>
        <v>2025</v>
      </c>
      <c r="C9432" s="128">
        <f t="shared" si="439"/>
        <v>9</v>
      </c>
      <c r="D9432" s="136">
        <f t="shared" si="441"/>
        <v>39</v>
      </c>
      <c r="E9432" s="136">
        <f t="shared" si="440"/>
        <v>28</v>
      </c>
      <c r="F9432" s="137" t="s">
        <v>24</v>
      </c>
      <c r="G9432" s="128" t="str">
        <f>VLOOKUP(source[[#This Row],[lending_product_transform]],[3]Mapping!$B$4:$C$37,2,0)</f>
        <v>[Cake] - Cashloan</v>
      </c>
      <c r="H9432" s="128" t="str">
        <f>VLOOKUP(source[[#This Row],[lending_product_transform]],[3]Mapping!$B$3:$D$37,3,0)</f>
        <v>cashloan</v>
      </c>
      <c r="I9432" s="143">
        <v>18000000</v>
      </c>
    </row>
    <row r="9433" spans="1:9" x14ac:dyDescent="0.2">
      <c r="A9433" s="172">
        <v>45928</v>
      </c>
      <c r="B9433" s="135">
        <f>YEAR(source[[#This Row],[report_date]])</f>
        <v>2025</v>
      </c>
      <c r="C9433" s="128">
        <f t="shared" si="439"/>
        <v>9</v>
      </c>
      <c r="D9433" s="136">
        <f t="shared" si="441"/>
        <v>39</v>
      </c>
      <c r="E9433" s="136">
        <f t="shared" si="440"/>
        <v>28</v>
      </c>
      <c r="F9433" s="137" t="s">
        <v>24</v>
      </c>
      <c r="G9433" s="128" t="str">
        <f>VLOOKUP(source[[#This Row],[lending_product_transform]],[3]Mapping!$B$4:$C$37,2,0)</f>
        <v>[Cake] - Cashloan</v>
      </c>
      <c r="H9433" s="128" t="str">
        <f>VLOOKUP(source[[#This Row],[lending_product_transform]],[3]Mapping!$B$3:$D$37,3,0)</f>
        <v>cashloan</v>
      </c>
      <c r="I9433" s="143">
        <v>702500000</v>
      </c>
    </row>
    <row r="9434" spans="1:9" x14ac:dyDescent="0.2">
      <c r="A9434" s="172">
        <v>45928</v>
      </c>
      <c r="B9434" s="135">
        <f>YEAR(source[[#This Row],[report_date]])</f>
        <v>2025</v>
      </c>
      <c r="C9434" s="128">
        <f t="shared" si="439"/>
        <v>9</v>
      </c>
      <c r="D9434" s="136">
        <f t="shared" si="441"/>
        <v>39</v>
      </c>
      <c r="E9434" s="136">
        <f t="shared" si="440"/>
        <v>28</v>
      </c>
      <c r="F9434" s="137" t="s">
        <v>24</v>
      </c>
      <c r="G9434" s="128" t="str">
        <f>VLOOKUP(source[[#This Row],[lending_product_transform]],[3]Mapping!$B$4:$C$37,2,0)</f>
        <v>[Cake] - Cashloan</v>
      </c>
      <c r="H9434" s="128" t="str">
        <f>VLOOKUP(source[[#This Row],[lending_product_transform]],[3]Mapping!$B$3:$D$37,3,0)</f>
        <v>cashloan</v>
      </c>
      <c r="I9434" s="143">
        <v>122040000</v>
      </c>
    </row>
    <row r="9435" spans="1:9" x14ac:dyDescent="0.2">
      <c r="A9435" s="172">
        <v>45928</v>
      </c>
      <c r="B9435" s="135">
        <f>YEAR(source[[#This Row],[report_date]])</f>
        <v>2025</v>
      </c>
      <c r="C9435" s="128">
        <f t="shared" si="439"/>
        <v>9</v>
      </c>
      <c r="D9435" s="136">
        <f t="shared" si="441"/>
        <v>39</v>
      </c>
      <c r="E9435" s="136">
        <f t="shared" si="440"/>
        <v>28</v>
      </c>
      <c r="F9435" s="137" t="s">
        <v>24</v>
      </c>
      <c r="G9435" s="128" t="str">
        <f>VLOOKUP(source[[#This Row],[lending_product_transform]],[3]Mapping!$B$4:$C$37,2,0)</f>
        <v>[Cake] - Cashloan</v>
      </c>
      <c r="H9435" s="128" t="str">
        <f>VLOOKUP(source[[#This Row],[lending_product_transform]],[3]Mapping!$B$3:$D$37,3,0)</f>
        <v>cashloan</v>
      </c>
      <c r="I9435" s="143">
        <v>410018600</v>
      </c>
    </row>
    <row r="9436" spans="1:9" x14ac:dyDescent="0.2">
      <c r="A9436" s="172">
        <v>45928</v>
      </c>
      <c r="B9436" s="135">
        <f>YEAR(source[[#This Row],[report_date]])</f>
        <v>2025</v>
      </c>
      <c r="C9436" s="128">
        <f t="shared" si="439"/>
        <v>9</v>
      </c>
      <c r="D9436" s="136">
        <f t="shared" si="441"/>
        <v>39</v>
      </c>
      <c r="E9436" s="136">
        <f t="shared" si="440"/>
        <v>28</v>
      </c>
      <c r="F9436" s="137" t="s">
        <v>24</v>
      </c>
      <c r="G9436" s="128" t="str">
        <f>VLOOKUP(source[[#This Row],[lending_product_transform]],[3]Mapping!$B$4:$C$37,2,0)</f>
        <v>[Cake] - Cashloan</v>
      </c>
      <c r="H9436" s="128" t="str">
        <f>VLOOKUP(source[[#This Row],[lending_product_transform]],[3]Mapping!$B$3:$D$37,3,0)</f>
        <v>cashloan</v>
      </c>
      <c r="I9436" s="143">
        <v>1967440000</v>
      </c>
    </row>
    <row r="9437" spans="1:9" x14ac:dyDescent="0.2">
      <c r="A9437" s="134">
        <v>45929</v>
      </c>
      <c r="B9437" s="135">
        <f>YEAR(source[[#This Row],[report_date]])</f>
        <v>2025</v>
      </c>
      <c r="C9437" s="128">
        <f t="shared" si="439"/>
        <v>9</v>
      </c>
      <c r="D9437" s="136">
        <f t="shared" si="441"/>
        <v>40</v>
      </c>
      <c r="E9437" s="136">
        <f t="shared" si="440"/>
        <v>29</v>
      </c>
      <c r="F9437" s="137" t="s">
        <v>24</v>
      </c>
      <c r="G9437" s="128" t="str">
        <f>VLOOKUP(source[[#This Row],[lending_product_transform]],[3]Mapping!$B$4:$C$37,2,0)</f>
        <v>[Cake] - Cashloan</v>
      </c>
      <c r="H9437" s="128" t="str">
        <f>VLOOKUP(source[[#This Row],[lending_product_transform]],[3]Mapping!$B$3:$D$37,3,0)</f>
        <v>cashloan</v>
      </c>
      <c r="I9437" s="143">
        <v>16728180000</v>
      </c>
    </row>
    <row r="9438" spans="1:9" x14ac:dyDescent="0.2">
      <c r="A9438" s="134">
        <v>45929</v>
      </c>
      <c r="B9438" s="135">
        <f>YEAR(source[[#This Row],[report_date]])</f>
        <v>2025</v>
      </c>
      <c r="C9438" s="128">
        <f t="shared" si="439"/>
        <v>9</v>
      </c>
      <c r="D9438" s="136">
        <f t="shared" si="441"/>
        <v>40</v>
      </c>
      <c r="E9438" s="136">
        <f t="shared" si="440"/>
        <v>29</v>
      </c>
      <c r="F9438" s="137" t="s">
        <v>24</v>
      </c>
      <c r="G9438" s="128" t="str">
        <f>VLOOKUP(source[[#This Row],[lending_product_transform]],[3]Mapping!$B$4:$C$37,2,0)</f>
        <v>[Cake] - Cashloan</v>
      </c>
      <c r="H9438" s="128" t="str">
        <f>VLOOKUP(source[[#This Row],[lending_product_transform]],[3]Mapping!$B$3:$D$37,3,0)</f>
        <v>cashloan</v>
      </c>
      <c r="I9438" s="143">
        <v>37000000</v>
      </c>
    </row>
    <row r="9439" spans="1:9" x14ac:dyDescent="0.2">
      <c r="A9439" s="134">
        <v>45929</v>
      </c>
      <c r="B9439" s="135">
        <f>YEAR(source[[#This Row],[report_date]])</f>
        <v>2025</v>
      </c>
      <c r="C9439" s="128">
        <f t="shared" si="439"/>
        <v>9</v>
      </c>
      <c r="D9439" s="136">
        <f t="shared" si="441"/>
        <v>40</v>
      </c>
      <c r="E9439" s="136">
        <f t="shared" si="440"/>
        <v>29</v>
      </c>
      <c r="F9439" s="137" t="s">
        <v>24</v>
      </c>
      <c r="G9439" s="128" t="str">
        <f>VLOOKUP(source[[#This Row],[lending_product_transform]],[3]Mapping!$B$4:$C$37,2,0)</f>
        <v>[Cake] - Cashloan</v>
      </c>
      <c r="H9439" s="128" t="str">
        <f>VLOOKUP(source[[#This Row],[lending_product_transform]],[3]Mapping!$B$3:$D$37,3,0)</f>
        <v>cashloan</v>
      </c>
      <c r="I9439" s="143">
        <v>177120000</v>
      </c>
    </row>
    <row r="9440" spans="1:9" x14ac:dyDescent="0.2">
      <c r="A9440" s="134">
        <v>45929</v>
      </c>
      <c r="B9440" s="135">
        <f>YEAR(source[[#This Row],[report_date]])</f>
        <v>2025</v>
      </c>
      <c r="C9440" s="128">
        <f t="shared" si="439"/>
        <v>9</v>
      </c>
      <c r="D9440" s="136">
        <f t="shared" si="441"/>
        <v>40</v>
      </c>
      <c r="E9440" s="136">
        <f t="shared" si="440"/>
        <v>29</v>
      </c>
      <c r="F9440" s="137" t="s">
        <v>24</v>
      </c>
      <c r="G9440" s="128" t="str">
        <f>VLOOKUP(source[[#This Row],[lending_product_transform]],[3]Mapping!$B$4:$C$37,2,0)</f>
        <v>[Cake] - Cashloan</v>
      </c>
      <c r="H9440" s="128" t="str">
        <f>VLOOKUP(source[[#This Row],[lending_product_transform]],[3]Mapping!$B$3:$D$37,3,0)</f>
        <v>cashloan</v>
      </c>
      <c r="I9440" s="143">
        <v>20150000</v>
      </c>
    </row>
    <row r="9441" spans="1:9" x14ac:dyDescent="0.2">
      <c r="A9441" s="134">
        <v>45929</v>
      </c>
      <c r="B9441" s="135">
        <f>YEAR(source[[#This Row],[report_date]])</f>
        <v>2025</v>
      </c>
      <c r="C9441" s="128">
        <f t="shared" si="439"/>
        <v>9</v>
      </c>
      <c r="D9441" s="136">
        <f t="shared" si="441"/>
        <v>40</v>
      </c>
      <c r="E9441" s="136">
        <f t="shared" si="440"/>
        <v>29</v>
      </c>
      <c r="F9441" s="137" t="s">
        <v>24</v>
      </c>
      <c r="G9441" s="128" t="str">
        <f>VLOOKUP(source[[#This Row],[lending_product_transform]],[3]Mapping!$B$4:$C$37,2,0)</f>
        <v>[Cake] - Cashloan</v>
      </c>
      <c r="H9441" s="128" t="str">
        <f>VLOOKUP(source[[#This Row],[lending_product_transform]],[3]Mapping!$B$3:$D$37,3,0)</f>
        <v>cashloan</v>
      </c>
      <c r="I9441" s="143">
        <v>7323696000</v>
      </c>
    </row>
    <row r="9442" spans="1:9" x14ac:dyDescent="0.2">
      <c r="A9442" s="134">
        <v>45929</v>
      </c>
      <c r="B9442" s="135">
        <f>YEAR(source[[#This Row],[report_date]])</f>
        <v>2025</v>
      </c>
      <c r="C9442" s="128">
        <f t="shared" si="439"/>
        <v>9</v>
      </c>
      <c r="D9442" s="136">
        <f t="shared" si="441"/>
        <v>40</v>
      </c>
      <c r="E9442" s="136">
        <f t="shared" si="440"/>
        <v>29</v>
      </c>
      <c r="F9442" s="137" t="s">
        <v>24</v>
      </c>
      <c r="G9442" s="128" t="str">
        <f>VLOOKUP(source[[#This Row],[lending_product_transform]],[3]Mapping!$B$4:$C$37,2,0)</f>
        <v>[Cake] - Cashloan</v>
      </c>
      <c r="H9442" s="128" t="str">
        <f>VLOOKUP(source[[#This Row],[lending_product_transform]],[3]Mapping!$B$3:$D$37,3,0)</f>
        <v>cashloan</v>
      </c>
      <c r="I9442" s="143">
        <v>154309000</v>
      </c>
    </row>
    <row r="9443" spans="1:9" x14ac:dyDescent="0.2">
      <c r="A9443" s="134">
        <v>45929</v>
      </c>
      <c r="B9443" s="135">
        <f>YEAR(source[[#This Row],[report_date]])</f>
        <v>2025</v>
      </c>
      <c r="C9443" s="128">
        <f t="shared" si="439"/>
        <v>9</v>
      </c>
      <c r="D9443" s="136">
        <f t="shared" si="441"/>
        <v>40</v>
      </c>
      <c r="E9443" s="136">
        <f t="shared" si="440"/>
        <v>29</v>
      </c>
      <c r="F9443" s="137" t="s">
        <v>24</v>
      </c>
      <c r="G9443" s="128" t="str">
        <f>VLOOKUP(source[[#This Row],[lending_product_transform]],[3]Mapping!$B$4:$C$37,2,0)</f>
        <v>[Cake] - Cashloan</v>
      </c>
      <c r="H9443" s="128" t="str">
        <f>VLOOKUP(source[[#This Row],[lending_product_transform]],[3]Mapping!$B$3:$D$37,3,0)</f>
        <v>cashloan</v>
      </c>
      <c r="I9443" s="143">
        <v>35356357</v>
      </c>
    </row>
    <row r="9444" spans="1:9" x14ac:dyDescent="0.2">
      <c r="A9444" s="134">
        <v>45929</v>
      </c>
      <c r="B9444" s="135">
        <f>YEAR(source[[#This Row],[report_date]])</f>
        <v>2025</v>
      </c>
      <c r="C9444" s="128">
        <f t="shared" si="439"/>
        <v>9</v>
      </c>
      <c r="D9444" s="136">
        <f t="shared" si="441"/>
        <v>40</v>
      </c>
      <c r="E9444" s="136">
        <f t="shared" si="440"/>
        <v>29</v>
      </c>
      <c r="F9444" s="137" t="s">
        <v>24</v>
      </c>
      <c r="G9444" s="128" t="str">
        <f>VLOOKUP(source[[#This Row],[lending_product_transform]],[3]Mapping!$B$4:$C$37,2,0)</f>
        <v>[Cake] - Cashloan</v>
      </c>
      <c r="H9444" s="128" t="str">
        <f>VLOOKUP(source[[#This Row],[lending_product_transform]],[3]Mapping!$B$3:$D$37,3,0)</f>
        <v>cashloan</v>
      </c>
      <c r="I9444" s="143">
        <v>171111826</v>
      </c>
    </row>
    <row r="9445" spans="1:9" x14ac:dyDescent="0.2">
      <c r="A9445" s="134">
        <v>45929</v>
      </c>
      <c r="B9445" s="135">
        <f>YEAR(source[[#This Row],[report_date]])</f>
        <v>2025</v>
      </c>
      <c r="C9445" s="128">
        <f t="shared" si="439"/>
        <v>9</v>
      </c>
      <c r="D9445" s="136">
        <f t="shared" si="441"/>
        <v>40</v>
      </c>
      <c r="E9445" s="136">
        <f t="shared" si="440"/>
        <v>29</v>
      </c>
      <c r="F9445" s="137" t="s">
        <v>24</v>
      </c>
      <c r="G9445" s="128" t="str">
        <f>VLOOKUP(source[[#This Row],[lending_product_transform]],[3]Mapping!$B$4:$C$37,2,0)</f>
        <v>[Cake] - Cashloan</v>
      </c>
      <c r="H9445" s="128" t="str">
        <f>VLOOKUP(source[[#This Row],[lending_product_transform]],[3]Mapping!$B$3:$D$37,3,0)</f>
        <v>cashloan</v>
      </c>
      <c r="I9445" s="143">
        <v>504570000</v>
      </c>
    </row>
    <row r="9446" spans="1:9" x14ac:dyDescent="0.2">
      <c r="A9446" s="134">
        <v>45929</v>
      </c>
      <c r="B9446" s="135">
        <f>YEAR(source[[#This Row],[report_date]])</f>
        <v>2025</v>
      </c>
      <c r="C9446" s="128">
        <f t="shared" si="439"/>
        <v>9</v>
      </c>
      <c r="D9446" s="136">
        <f t="shared" si="441"/>
        <v>40</v>
      </c>
      <c r="E9446" s="136">
        <f t="shared" si="440"/>
        <v>29</v>
      </c>
      <c r="F9446" s="137" t="s">
        <v>24</v>
      </c>
      <c r="G9446" s="128" t="str">
        <f>VLOOKUP(source[[#This Row],[lending_product_transform]],[3]Mapping!$B$4:$C$37,2,0)</f>
        <v>[Cake] - Cashloan</v>
      </c>
      <c r="H9446" s="128" t="str">
        <f>VLOOKUP(source[[#This Row],[lending_product_transform]],[3]Mapping!$B$3:$D$37,3,0)</f>
        <v>cashloan</v>
      </c>
      <c r="I9446" s="143">
        <v>2950224433</v>
      </c>
    </row>
    <row r="9447" spans="1:9" x14ac:dyDescent="0.2">
      <c r="A9447" s="134">
        <v>45929</v>
      </c>
      <c r="B9447" s="135">
        <f>YEAR(source[[#This Row],[report_date]])</f>
        <v>2025</v>
      </c>
      <c r="C9447" s="128">
        <f t="shared" si="439"/>
        <v>9</v>
      </c>
      <c r="D9447" s="136">
        <f t="shared" si="441"/>
        <v>40</v>
      </c>
      <c r="E9447" s="136">
        <f t="shared" si="440"/>
        <v>29</v>
      </c>
      <c r="F9447" s="137" t="s">
        <v>24</v>
      </c>
      <c r="G9447" s="128" t="str">
        <f>VLOOKUP(source[[#This Row],[lending_product_transform]],[3]Mapping!$B$4:$C$37,2,0)</f>
        <v>[Cake] - Cashloan</v>
      </c>
      <c r="H9447" s="128" t="str">
        <f>VLOOKUP(source[[#This Row],[lending_product_transform]],[3]Mapping!$B$3:$D$37,3,0)</f>
        <v>cashloan</v>
      </c>
      <c r="I9447" s="143">
        <v>260666921</v>
      </c>
    </row>
    <row r="9448" spans="1:9" x14ac:dyDescent="0.2">
      <c r="A9448" s="134">
        <v>45929</v>
      </c>
      <c r="B9448" s="135">
        <f>YEAR(source[[#This Row],[report_date]])</f>
        <v>2025</v>
      </c>
      <c r="C9448" s="128">
        <f t="shared" si="439"/>
        <v>9</v>
      </c>
      <c r="D9448" s="136">
        <f t="shared" si="441"/>
        <v>40</v>
      </c>
      <c r="E9448" s="136">
        <f t="shared" si="440"/>
        <v>29</v>
      </c>
      <c r="F9448" s="137" t="s">
        <v>24</v>
      </c>
      <c r="G9448" s="128" t="str">
        <f>VLOOKUP(source[[#This Row],[lending_product_transform]],[3]Mapping!$B$4:$C$37,2,0)</f>
        <v>[Cake] - Cashloan</v>
      </c>
      <c r="H9448" s="128" t="str">
        <f>VLOOKUP(source[[#This Row],[lending_product_transform]],[3]Mapping!$B$3:$D$37,3,0)</f>
        <v>cashloan</v>
      </c>
      <c r="I9448" s="143">
        <v>15225250000</v>
      </c>
    </row>
    <row r="9449" spans="1:9" x14ac:dyDescent="0.2">
      <c r="A9449" s="134">
        <v>45929</v>
      </c>
      <c r="B9449" s="135">
        <f>YEAR(source[[#This Row],[report_date]])</f>
        <v>2025</v>
      </c>
      <c r="C9449" s="128">
        <f t="shared" si="439"/>
        <v>9</v>
      </c>
      <c r="D9449" s="136">
        <f t="shared" si="441"/>
        <v>40</v>
      </c>
      <c r="E9449" s="136">
        <f t="shared" si="440"/>
        <v>29</v>
      </c>
      <c r="F9449" s="137" t="s">
        <v>24</v>
      </c>
      <c r="G9449" s="128" t="str">
        <f>VLOOKUP(source[[#This Row],[lending_product_transform]],[3]Mapping!$B$4:$C$37,2,0)</f>
        <v>[Cake] - Cashloan</v>
      </c>
      <c r="H9449" s="128" t="str">
        <f>VLOOKUP(source[[#This Row],[lending_product_transform]],[3]Mapping!$B$3:$D$37,3,0)</f>
        <v>cashloan</v>
      </c>
      <c r="I9449" s="143">
        <v>89250000</v>
      </c>
    </row>
    <row r="9450" spans="1:9" x14ac:dyDescent="0.2">
      <c r="A9450" s="134">
        <v>45929</v>
      </c>
      <c r="B9450" s="135">
        <f>YEAR(source[[#This Row],[report_date]])</f>
        <v>2025</v>
      </c>
      <c r="C9450" s="128">
        <f t="shared" si="439"/>
        <v>9</v>
      </c>
      <c r="D9450" s="136">
        <f t="shared" si="441"/>
        <v>40</v>
      </c>
      <c r="E9450" s="136">
        <f t="shared" si="440"/>
        <v>29</v>
      </c>
      <c r="F9450" s="137" t="s">
        <v>24</v>
      </c>
      <c r="G9450" s="128" t="str">
        <f>VLOOKUP(source[[#This Row],[lending_product_transform]],[3]Mapping!$B$4:$C$37,2,0)</f>
        <v>[Cake] - Cashloan</v>
      </c>
      <c r="H9450" s="128" t="str">
        <f>VLOOKUP(source[[#This Row],[lending_product_transform]],[3]Mapping!$B$3:$D$37,3,0)</f>
        <v>cashloan</v>
      </c>
      <c r="I9450" s="143">
        <v>12420000</v>
      </c>
    </row>
    <row r="9451" spans="1:9" x14ac:dyDescent="0.2">
      <c r="A9451" s="134">
        <v>45929</v>
      </c>
      <c r="B9451" s="135">
        <f>YEAR(source[[#This Row],[report_date]])</f>
        <v>2025</v>
      </c>
      <c r="C9451" s="128">
        <f t="shared" si="439"/>
        <v>9</v>
      </c>
      <c r="D9451" s="136">
        <f t="shared" si="441"/>
        <v>40</v>
      </c>
      <c r="E9451" s="136">
        <f t="shared" si="440"/>
        <v>29</v>
      </c>
      <c r="F9451" s="137" t="s">
        <v>24</v>
      </c>
      <c r="G9451" s="128" t="str">
        <f>VLOOKUP(source[[#This Row],[lending_product_transform]],[3]Mapping!$B$4:$C$37,2,0)</f>
        <v>[Cake] - Cashloan</v>
      </c>
      <c r="H9451" s="128" t="str">
        <f>VLOOKUP(source[[#This Row],[lending_product_transform]],[3]Mapping!$B$3:$D$37,3,0)</f>
        <v>cashloan</v>
      </c>
      <c r="I9451" s="143">
        <v>391603814</v>
      </c>
    </row>
    <row r="9452" spans="1:9" x14ac:dyDescent="0.2">
      <c r="A9452" s="134">
        <v>45929</v>
      </c>
      <c r="B9452" s="135">
        <f>YEAR(source[[#This Row],[report_date]])</f>
        <v>2025</v>
      </c>
      <c r="C9452" s="128">
        <f t="shared" si="439"/>
        <v>9</v>
      </c>
      <c r="D9452" s="136">
        <f t="shared" si="441"/>
        <v>40</v>
      </c>
      <c r="E9452" s="136">
        <f t="shared" si="440"/>
        <v>29</v>
      </c>
      <c r="F9452" s="137" t="s">
        <v>24</v>
      </c>
      <c r="G9452" s="128" t="str">
        <f>VLOOKUP(source[[#This Row],[lending_product_transform]],[3]Mapping!$B$4:$C$37,2,0)</f>
        <v>[Cake] - Cashloan</v>
      </c>
      <c r="H9452" s="128" t="str">
        <f>VLOOKUP(source[[#This Row],[lending_product_transform]],[3]Mapping!$B$3:$D$37,3,0)</f>
        <v>cashloan</v>
      </c>
      <c r="I9452" s="143">
        <v>2719850000</v>
      </c>
    </row>
    <row r="9453" spans="1:9" x14ac:dyDescent="0.2">
      <c r="A9453" s="134">
        <v>45929</v>
      </c>
      <c r="B9453" s="135">
        <f>YEAR(source[[#This Row],[report_date]])</f>
        <v>2025</v>
      </c>
      <c r="C9453" s="128">
        <f t="shared" si="439"/>
        <v>9</v>
      </c>
      <c r="D9453" s="136">
        <f t="shared" si="441"/>
        <v>40</v>
      </c>
      <c r="E9453" s="136">
        <f t="shared" si="440"/>
        <v>29</v>
      </c>
      <c r="F9453" s="137" t="s">
        <v>24</v>
      </c>
      <c r="G9453" s="128" t="str">
        <f>VLOOKUP(source[[#This Row],[lending_product_transform]],[3]Mapping!$B$4:$C$37,2,0)</f>
        <v>[Cake] - Cashloan</v>
      </c>
      <c r="H9453" s="128" t="str">
        <f>VLOOKUP(source[[#This Row],[lending_product_transform]],[3]Mapping!$B$3:$D$37,3,0)</f>
        <v>cashloan</v>
      </c>
      <c r="I9453" s="143">
        <v>57000000</v>
      </c>
    </row>
    <row r="9454" spans="1:9" x14ac:dyDescent="0.2">
      <c r="A9454" s="134">
        <v>45929</v>
      </c>
      <c r="B9454" s="135">
        <f>YEAR(source[[#This Row],[report_date]])</f>
        <v>2025</v>
      </c>
      <c r="C9454" s="128">
        <f t="shared" si="439"/>
        <v>9</v>
      </c>
      <c r="D9454" s="136">
        <f t="shared" si="441"/>
        <v>40</v>
      </c>
      <c r="E9454" s="136">
        <f t="shared" si="440"/>
        <v>29</v>
      </c>
      <c r="F9454" s="137" t="s">
        <v>24</v>
      </c>
      <c r="G9454" s="128" t="str">
        <f>VLOOKUP(source[[#This Row],[lending_product_transform]],[3]Mapping!$B$4:$C$37,2,0)</f>
        <v>[Cake] - Cashloan</v>
      </c>
      <c r="H9454" s="128" t="str">
        <f>VLOOKUP(source[[#This Row],[lending_product_transform]],[3]Mapping!$B$3:$D$37,3,0)</f>
        <v>cashloan</v>
      </c>
      <c r="I9454" s="143">
        <v>8875224000</v>
      </c>
    </row>
    <row r="9455" spans="1:9" x14ac:dyDescent="0.2">
      <c r="A9455" s="134">
        <v>45929</v>
      </c>
      <c r="B9455" s="135">
        <f>YEAR(source[[#This Row],[report_date]])</f>
        <v>2025</v>
      </c>
      <c r="C9455" s="128">
        <f t="shared" si="439"/>
        <v>9</v>
      </c>
      <c r="D9455" s="136">
        <f t="shared" si="441"/>
        <v>40</v>
      </c>
      <c r="E9455" s="136">
        <f t="shared" si="440"/>
        <v>29</v>
      </c>
      <c r="F9455" s="137" t="s">
        <v>24</v>
      </c>
      <c r="G9455" s="128" t="str">
        <f>VLOOKUP(source[[#This Row],[lending_product_transform]],[3]Mapping!$B$4:$C$37,2,0)</f>
        <v>[Cake] - Cashloan</v>
      </c>
      <c r="H9455" s="128" t="str">
        <f>VLOOKUP(source[[#This Row],[lending_product_transform]],[3]Mapping!$B$3:$D$37,3,0)</f>
        <v>cashloan</v>
      </c>
      <c r="I9455" s="143">
        <v>3767780000</v>
      </c>
    </row>
    <row r="9456" spans="1:9" x14ac:dyDescent="0.2">
      <c r="A9456" s="134">
        <v>45930</v>
      </c>
      <c r="B9456" s="135">
        <f>YEAR(source[[#This Row],[report_date]])</f>
        <v>2025</v>
      </c>
      <c r="C9456" s="128">
        <f t="shared" si="439"/>
        <v>9</v>
      </c>
      <c r="D9456" s="136">
        <f t="shared" si="441"/>
        <v>40</v>
      </c>
      <c r="E9456" s="136">
        <f t="shared" si="440"/>
        <v>30</v>
      </c>
      <c r="F9456" s="137" t="s">
        <v>24</v>
      </c>
      <c r="G9456" s="128" t="str">
        <f>VLOOKUP(source[[#This Row],[lending_product_transform]],[3]Mapping!$B$4:$C$37,2,0)</f>
        <v>[Cake] - Cashloan</v>
      </c>
      <c r="H9456" s="128" t="str">
        <f>VLOOKUP(source[[#This Row],[lending_product_transform]],[3]Mapping!$B$3:$D$37,3,0)</f>
        <v>cashloan</v>
      </c>
      <c r="I9456" s="143">
        <v>344721090</v>
      </c>
    </row>
    <row r="9457" spans="1:9" x14ac:dyDescent="0.2">
      <c r="A9457" s="134">
        <v>45930</v>
      </c>
      <c r="B9457" s="135">
        <f>YEAR(source[[#This Row],[report_date]])</f>
        <v>2025</v>
      </c>
      <c r="C9457" s="128">
        <f t="shared" si="439"/>
        <v>9</v>
      </c>
      <c r="D9457" s="136">
        <f t="shared" si="441"/>
        <v>40</v>
      </c>
      <c r="E9457" s="136">
        <f t="shared" si="440"/>
        <v>30</v>
      </c>
      <c r="F9457" s="137" t="s">
        <v>24</v>
      </c>
      <c r="G9457" s="128" t="str">
        <f>VLOOKUP(source[[#This Row],[lending_product_transform]],[3]Mapping!$B$4:$C$37,2,0)</f>
        <v>[Cake] - Cashloan</v>
      </c>
      <c r="H9457" s="128" t="str">
        <f>VLOOKUP(source[[#This Row],[lending_product_transform]],[3]Mapping!$B$3:$D$37,3,0)</f>
        <v>cashloan</v>
      </c>
      <c r="I9457" s="143">
        <v>2535630000</v>
      </c>
    </row>
    <row r="9458" spans="1:9" x14ac:dyDescent="0.2">
      <c r="A9458" s="134">
        <v>45930</v>
      </c>
      <c r="B9458" s="135">
        <f>YEAR(source[[#This Row],[report_date]])</f>
        <v>2025</v>
      </c>
      <c r="C9458" s="128">
        <f t="shared" si="439"/>
        <v>9</v>
      </c>
      <c r="D9458" s="136">
        <f t="shared" si="441"/>
        <v>40</v>
      </c>
      <c r="E9458" s="136">
        <f t="shared" si="440"/>
        <v>30</v>
      </c>
      <c r="F9458" s="137" t="s">
        <v>24</v>
      </c>
      <c r="G9458" s="128" t="str">
        <f>VLOOKUP(source[[#This Row],[lending_product_transform]],[3]Mapping!$B$4:$C$37,2,0)</f>
        <v>[Cake] - Cashloan</v>
      </c>
      <c r="H9458" s="128" t="str">
        <f>VLOOKUP(source[[#This Row],[lending_product_transform]],[3]Mapping!$B$3:$D$37,3,0)</f>
        <v>cashloan</v>
      </c>
      <c r="I9458" s="143">
        <v>187920000</v>
      </c>
    </row>
    <row r="9459" spans="1:9" x14ac:dyDescent="0.2">
      <c r="A9459" s="134">
        <v>45930</v>
      </c>
      <c r="B9459" s="135">
        <f>YEAR(source[[#This Row],[report_date]])</f>
        <v>2025</v>
      </c>
      <c r="C9459" s="128">
        <f t="shared" si="439"/>
        <v>9</v>
      </c>
      <c r="D9459" s="136">
        <f t="shared" si="441"/>
        <v>40</v>
      </c>
      <c r="E9459" s="136">
        <f t="shared" si="440"/>
        <v>30</v>
      </c>
      <c r="F9459" s="137" t="s">
        <v>24</v>
      </c>
      <c r="G9459" s="128" t="str">
        <f>VLOOKUP(source[[#This Row],[lending_product_transform]],[3]Mapping!$B$4:$C$37,2,0)</f>
        <v>[Cake] - Cashloan</v>
      </c>
      <c r="H9459" s="128" t="str">
        <f>VLOOKUP(source[[#This Row],[lending_product_transform]],[3]Mapping!$B$3:$D$37,3,0)</f>
        <v>cashloan</v>
      </c>
      <c r="I9459" s="143">
        <v>3293965145</v>
      </c>
    </row>
    <row r="9460" spans="1:9" x14ac:dyDescent="0.2">
      <c r="A9460" s="134">
        <v>45930</v>
      </c>
      <c r="B9460" s="135">
        <f>YEAR(source[[#This Row],[report_date]])</f>
        <v>2025</v>
      </c>
      <c r="C9460" s="128">
        <f t="shared" si="439"/>
        <v>9</v>
      </c>
      <c r="D9460" s="136">
        <f t="shared" si="441"/>
        <v>40</v>
      </c>
      <c r="E9460" s="136">
        <f t="shared" si="440"/>
        <v>30</v>
      </c>
      <c r="F9460" s="137" t="s">
        <v>24</v>
      </c>
      <c r="G9460" s="128" t="str">
        <f>VLOOKUP(source[[#This Row],[lending_product_transform]],[3]Mapping!$B$4:$C$37,2,0)</f>
        <v>[Cake] - Cashloan</v>
      </c>
      <c r="H9460" s="128" t="str">
        <f>VLOOKUP(source[[#This Row],[lending_product_transform]],[3]Mapping!$B$3:$D$37,3,0)</f>
        <v>cashloan</v>
      </c>
      <c r="I9460" s="143">
        <v>17147950000</v>
      </c>
    </row>
    <row r="9461" spans="1:9" x14ac:dyDescent="0.2">
      <c r="A9461" s="134">
        <v>45930</v>
      </c>
      <c r="B9461" s="135">
        <f>YEAR(source[[#This Row],[report_date]])</f>
        <v>2025</v>
      </c>
      <c r="C9461" s="128">
        <f t="shared" si="439"/>
        <v>9</v>
      </c>
      <c r="D9461" s="136">
        <f t="shared" si="441"/>
        <v>40</v>
      </c>
      <c r="E9461" s="136">
        <f t="shared" si="440"/>
        <v>30</v>
      </c>
      <c r="F9461" s="137" t="s">
        <v>24</v>
      </c>
      <c r="G9461" s="128" t="str">
        <f>VLOOKUP(source[[#This Row],[lending_product_transform]],[3]Mapping!$B$4:$C$37,2,0)</f>
        <v>[Cake] - Cashloan</v>
      </c>
      <c r="H9461" s="128" t="str">
        <f>VLOOKUP(source[[#This Row],[lending_product_transform]],[3]Mapping!$B$3:$D$37,3,0)</f>
        <v>cashloan</v>
      </c>
      <c r="I9461" s="143">
        <v>197500000</v>
      </c>
    </row>
    <row r="9462" spans="1:9" x14ac:dyDescent="0.2">
      <c r="A9462" s="134">
        <v>45930</v>
      </c>
      <c r="B9462" s="135">
        <f>YEAR(source[[#This Row],[report_date]])</f>
        <v>2025</v>
      </c>
      <c r="C9462" s="128">
        <f t="shared" ref="C9462:C9525" si="442">MONTH(A9462)</f>
        <v>9</v>
      </c>
      <c r="D9462" s="136">
        <f t="shared" si="441"/>
        <v>40</v>
      </c>
      <c r="E9462" s="136">
        <f t="shared" ref="E9462:E9525" si="443">DAY(A9462)</f>
        <v>30</v>
      </c>
      <c r="F9462" s="137" t="s">
        <v>24</v>
      </c>
      <c r="G9462" s="128" t="str">
        <f>VLOOKUP(source[[#This Row],[lending_product_transform]],[3]Mapping!$B$4:$C$37,2,0)</f>
        <v>[Cake] - Cashloan</v>
      </c>
      <c r="H9462" s="128" t="str">
        <f>VLOOKUP(source[[#This Row],[lending_product_transform]],[3]Mapping!$B$3:$D$37,3,0)</f>
        <v>cashloan</v>
      </c>
      <c r="I9462" s="143">
        <v>0</v>
      </c>
    </row>
    <row r="9463" spans="1:9" x14ac:dyDescent="0.2">
      <c r="A9463" s="134">
        <v>45930</v>
      </c>
      <c r="B9463" s="135">
        <f>YEAR(source[[#This Row],[report_date]])</f>
        <v>2025</v>
      </c>
      <c r="C9463" s="128">
        <f t="shared" si="442"/>
        <v>9</v>
      </c>
      <c r="D9463" s="136">
        <f t="shared" si="441"/>
        <v>40</v>
      </c>
      <c r="E9463" s="136">
        <f t="shared" si="443"/>
        <v>30</v>
      </c>
      <c r="F9463" s="137" t="s">
        <v>24</v>
      </c>
      <c r="G9463" s="128" t="str">
        <f>VLOOKUP(source[[#This Row],[lending_product_transform]],[3]Mapping!$B$4:$C$37,2,0)</f>
        <v>[Cake] - Cashloan</v>
      </c>
      <c r="H9463" s="128" t="str">
        <f>VLOOKUP(source[[#This Row],[lending_product_transform]],[3]Mapping!$B$3:$D$37,3,0)</f>
        <v>cashloan</v>
      </c>
      <c r="I9463" s="143">
        <v>3671380000</v>
      </c>
    </row>
    <row r="9464" spans="1:9" x14ac:dyDescent="0.2">
      <c r="A9464" s="134">
        <v>45930</v>
      </c>
      <c r="B9464" s="135">
        <f>YEAR(source[[#This Row],[report_date]])</f>
        <v>2025</v>
      </c>
      <c r="C9464" s="128">
        <f t="shared" si="442"/>
        <v>9</v>
      </c>
      <c r="D9464" s="136">
        <f t="shared" si="441"/>
        <v>40</v>
      </c>
      <c r="E9464" s="136">
        <f t="shared" si="443"/>
        <v>30</v>
      </c>
      <c r="F9464" s="137" t="s">
        <v>24</v>
      </c>
      <c r="G9464" s="128" t="str">
        <f>VLOOKUP(source[[#This Row],[lending_product_transform]],[3]Mapping!$B$4:$C$37,2,0)</f>
        <v>[Cake] - Cashloan</v>
      </c>
      <c r="H9464" s="128" t="str">
        <f>VLOOKUP(source[[#This Row],[lending_product_transform]],[3]Mapping!$B$3:$D$37,3,0)</f>
        <v>cashloan</v>
      </c>
      <c r="I9464" s="143">
        <v>10500000</v>
      </c>
    </row>
    <row r="9465" spans="1:9" x14ac:dyDescent="0.2">
      <c r="A9465" s="134">
        <v>45930</v>
      </c>
      <c r="B9465" s="135">
        <f>YEAR(source[[#This Row],[report_date]])</f>
        <v>2025</v>
      </c>
      <c r="C9465" s="128">
        <f t="shared" si="442"/>
        <v>9</v>
      </c>
      <c r="D9465" s="136">
        <f t="shared" si="441"/>
        <v>40</v>
      </c>
      <c r="E9465" s="136">
        <f t="shared" si="443"/>
        <v>30</v>
      </c>
      <c r="F9465" s="137" t="s">
        <v>24</v>
      </c>
      <c r="G9465" s="128" t="str">
        <f>VLOOKUP(source[[#This Row],[lending_product_transform]],[3]Mapping!$B$4:$C$37,2,0)</f>
        <v>[Cake] - Cashloan</v>
      </c>
      <c r="H9465" s="128" t="str">
        <f>VLOOKUP(source[[#This Row],[lending_product_transform]],[3]Mapping!$B$3:$D$37,3,0)</f>
        <v>cashloan</v>
      </c>
      <c r="I9465" s="143">
        <v>946600000</v>
      </c>
    </row>
    <row r="9466" spans="1:9" x14ac:dyDescent="0.2">
      <c r="A9466" s="134">
        <v>45930</v>
      </c>
      <c r="B9466" s="135">
        <f>YEAR(source[[#This Row],[report_date]])</f>
        <v>2025</v>
      </c>
      <c r="C9466" s="128">
        <f t="shared" si="442"/>
        <v>9</v>
      </c>
      <c r="D9466" s="136">
        <f t="shared" si="441"/>
        <v>40</v>
      </c>
      <c r="E9466" s="136">
        <f t="shared" si="443"/>
        <v>30</v>
      </c>
      <c r="F9466" s="137" t="s">
        <v>24</v>
      </c>
      <c r="G9466" s="128" t="str">
        <f>VLOOKUP(source[[#This Row],[lending_product_transform]],[3]Mapping!$B$4:$C$37,2,0)</f>
        <v>[Cake] - Cashloan</v>
      </c>
      <c r="H9466" s="128" t="str">
        <f>VLOOKUP(source[[#This Row],[lending_product_transform]],[3]Mapping!$B$3:$D$37,3,0)</f>
        <v>cashloan</v>
      </c>
      <c r="I9466" s="143">
        <v>15280440000</v>
      </c>
    </row>
    <row r="9467" spans="1:9" x14ac:dyDescent="0.2">
      <c r="A9467" s="134">
        <v>45930</v>
      </c>
      <c r="B9467" s="135">
        <f>YEAR(source[[#This Row],[report_date]])</f>
        <v>2025</v>
      </c>
      <c r="C9467" s="128">
        <f t="shared" si="442"/>
        <v>9</v>
      </c>
      <c r="D9467" s="136">
        <f t="shared" si="441"/>
        <v>40</v>
      </c>
      <c r="E9467" s="136">
        <f t="shared" si="443"/>
        <v>30</v>
      </c>
      <c r="F9467" s="137" t="s">
        <v>24</v>
      </c>
      <c r="G9467" s="128" t="str">
        <f>VLOOKUP(source[[#This Row],[lending_product_transform]],[3]Mapping!$B$4:$C$37,2,0)</f>
        <v>[Cake] - Cashloan</v>
      </c>
      <c r="H9467" s="128" t="str">
        <f>VLOOKUP(source[[#This Row],[lending_product_transform]],[3]Mapping!$B$3:$D$37,3,0)</f>
        <v>cashloan</v>
      </c>
      <c r="I9467" s="143">
        <v>203646139</v>
      </c>
    </row>
    <row r="9468" spans="1:9" x14ac:dyDescent="0.2">
      <c r="A9468" s="134">
        <v>45930</v>
      </c>
      <c r="B9468" s="135">
        <f>YEAR(source[[#This Row],[report_date]])</f>
        <v>2025</v>
      </c>
      <c r="C9468" s="128">
        <f t="shared" si="442"/>
        <v>9</v>
      </c>
      <c r="D9468" s="136">
        <f t="shared" si="441"/>
        <v>40</v>
      </c>
      <c r="E9468" s="136">
        <f t="shared" si="443"/>
        <v>30</v>
      </c>
      <c r="F9468" s="137" t="s">
        <v>24</v>
      </c>
      <c r="G9468" s="128" t="str">
        <f>VLOOKUP(source[[#This Row],[lending_product_transform]],[3]Mapping!$B$4:$C$37,2,0)</f>
        <v>[Cake] - Cashloan</v>
      </c>
      <c r="H9468" s="128" t="str">
        <f>VLOOKUP(source[[#This Row],[lending_product_transform]],[3]Mapping!$B$3:$D$37,3,0)</f>
        <v>cashloan</v>
      </c>
      <c r="I9468" s="143">
        <v>444166741</v>
      </c>
    </row>
    <row r="9469" spans="1:9" x14ac:dyDescent="0.2">
      <c r="A9469" s="134">
        <v>45930</v>
      </c>
      <c r="B9469" s="135">
        <f>YEAR(source[[#This Row],[report_date]])</f>
        <v>2025</v>
      </c>
      <c r="C9469" s="128">
        <f t="shared" si="442"/>
        <v>9</v>
      </c>
      <c r="D9469" s="136">
        <f t="shared" si="441"/>
        <v>40</v>
      </c>
      <c r="E9469" s="136">
        <f t="shared" si="443"/>
        <v>30</v>
      </c>
      <c r="F9469" s="137" t="s">
        <v>24</v>
      </c>
      <c r="G9469" s="128" t="str">
        <f>VLOOKUP(source[[#This Row],[lending_product_transform]],[3]Mapping!$B$4:$C$37,2,0)</f>
        <v>[Cake] - Cashloan</v>
      </c>
      <c r="H9469" s="128" t="str">
        <f>VLOOKUP(source[[#This Row],[lending_product_transform]],[3]Mapping!$B$3:$D$37,3,0)</f>
        <v>cashloan</v>
      </c>
      <c r="I9469" s="143">
        <v>273546083</v>
      </c>
    </row>
    <row r="9470" spans="1:9" x14ac:dyDescent="0.2">
      <c r="A9470" s="134">
        <v>45930</v>
      </c>
      <c r="B9470" s="135">
        <f>YEAR(source[[#This Row],[report_date]])</f>
        <v>2025</v>
      </c>
      <c r="C9470" s="128">
        <f t="shared" si="442"/>
        <v>9</v>
      </c>
      <c r="D9470" s="136">
        <f t="shared" si="441"/>
        <v>40</v>
      </c>
      <c r="E9470" s="136">
        <f t="shared" si="443"/>
        <v>30</v>
      </c>
      <c r="F9470" s="137" t="s">
        <v>24</v>
      </c>
      <c r="G9470" s="128" t="str">
        <f>VLOOKUP(source[[#This Row],[lending_product_transform]],[3]Mapping!$B$4:$C$37,2,0)</f>
        <v>[Cake] - Cashloan</v>
      </c>
      <c r="H9470" s="128" t="str">
        <f>VLOOKUP(source[[#This Row],[lending_product_transform]],[3]Mapping!$B$3:$D$37,3,0)</f>
        <v>cashloan</v>
      </c>
      <c r="I9470" s="143">
        <v>8743032000</v>
      </c>
    </row>
    <row r="9471" spans="1:9" x14ac:dyDescent="0.2">
      <c r="A9471" s="134">
        <v>45930</v>
      </c>
      <c r="B9471" s="135">
        <f>YEAR(source[[#This Row],[report_date]])</f>
        <v>2025</v>
      </c>
      <c r="C9471" s="128">
        <f t="shared" si="442"/>
        <v>9</v>
      </c>
      <c r="D9471" s="136">
        <f t="shared" si="441"/>
        <v>40</v>
      </c>
      <c r="E9471" s="136">
        <f t="shared" si="443"/>
        <v>30</v>
      </c>
      <c r="F9471" s="137" t="s">
        <v>24</v>
      </c>
      <c r="G9471" s="128" t="str">
        <f>VLOOKUP(source[[#This Row],[lending_product_transform]],[3]Mapping!$B$4:$C$37,2,0)</f>
        <v>[Cake] - Cashloan</v>
      </c>
      <c r="H9471" s="128" t="str">
        <f>VLOOKUP(source[[#This Row],[lending_product_transform]],[3]Mapping!$B$3:$D$37,3,0)</f>
        <v>cashloan</v>
      </c>
      <c r="I9471" s="143">
        <v>30647000</v>
      </c>
    </row>
    <row r="9472" spans="1:9" x14ac:dyDescent="0.2">
      <c r="A9472" s="134">
        <v>45930</v>
      </c>
      <c r="B9472" s="135">
        <f>YEAR(source[[#This Row],[report_date]])</f>
        <v>2025</v>
      </c>
      <c r="C9472" s="128">
        <f t="shared" si="442"/>
        <v>9</v>
      </c>
      <c r="D9472" s="136">
        <f t="shared" si="441"/>
        <v>40</v>
      </c>
      <c r="E9472" s="136">
        <f t="shared" si="443"/>
        <v>30</v>
      </c>
      <c r="F9472" s="137" t="s">
        <v>24</v>
      </c>
      <c r="G9472" s="128" t="str">
        <f>VLOOKUP(source[[#This Row],[lending_product_transform]],[3]Mapping!$B$4:$C$37,2,0)</f>
        <v>[Cake] - Cashloan</v>
      </c>
      <c r="H9472" s="128" t="str">
        <f>VLOOKUP(source[[#This Row],[lending_product_transform]],[3]Mapping!$B$3:$D$37,3,0)</f>
        <v>cashloan</v>
      </c>
      <c r="I9472" s="143">
        <v>36339367</v>
      </c>
    </row>
    <row r="9473" spans="1:9" x14ac:dyDescent="0.2">
      <c r="A9473" s="134">
        <v>45930</v>
      </c>
      <c r="B9473" s="135">
        <f>YEAR(source[[#This Row],[report_date]])</f>
        <v>2025</v>
      </c>
      <c r="C9473" s="128">
        <f t="shared" si="442"/>
        <v>9</v>
      </c>
      <c r="D9473" s="136">
        <f t="shared" si="441"/>
        <v>40</v>
      </c>
      <c r="E9473" s="136">
        <f t="shared" si="443"/>
        <v>30</v>
      </c>
      <c r="F9473" s="137" t="s">
        <v>24</v>
      </c>
      <c r="G9473" s="128" t="str">
        <f>VLOOKUP(source[[#This Row],[lending_product_transform]],[3]Mapping!$B$4:$C$37,2,0)</f>
        <v>[Cake] - Cashloan</v>
      </c>
      <c r="H9473" s="128" t="str">
        <f>VLOOKUP(source[[#This Row],[lending_product_transform]],[3]Mapping!$B$3:$D$37,3,0)</f>
        <v>cashloan</v>
      </c>
      <c r="I9473" s="143">
        <v>66000000</v>
      </c>
    </row>
    <row r="9474" spans="1:9" x14ac:dyDescent="0.2">
      <c r="A9474" s="134">
        <v>45930</v>
      </c>
      <c r="B9474" s="135">
        <f>YEAR(source[[#This Row],[report_date]])</f>
        <v>2025</v>
      </c>
      <c r="C9474" s="128">
        <f t="shared" si="442"/>
        <v>9</v>
      </c>
      <c r="D9474" s="136">
        <f t="shared" si="441"/>
        <v>40</v>
      </c>
      <c r="E9474" s="136">
        <f t="shared" si="443"/>
        <v>30</v>
      </c>
      <c r="F9474" s="137" t="s">
        <v>24</v>
      </c>
      <c r="G9474" s="128" t="str">
        <f>VLOOKUP(source[[#This Row],[lending_product_transform]],[3]Mapping!$B$4:$C$37,2,0)</f>
        <v>[Cake] - Cashloan</v>
      </c>
      <c r="H9474" s="128" t="str">
        <f>VLOOKUP(source[[#This Row],[lending_product_transform]],[3]Mapping!$B$3:$D$37,3,0)</f>
        <v>cashloan</v>
      </c>
      <c r="I9474" s="143">
        <v>9046944000</v>
      </c>
    </row>
    <row r="9475" spans="1:9" x14ac:dyDescent="0.2">
      <c r="A9475" s="172">
        <v>45931</v>
      </c>
      <c r="B9475" s="135">
        <f>YEAR(source[[#This Row],[report_date]])</f>
        <v>2025</v>
      </c>
      <c r="C9475" s="128">
        <f t="shared" si="442"/>
        <v>10</v>
      </c>
      <c r="D9475" s="136">
        <f t="shared" ref="D9475:D9538" si="444">WEEKNUM(A9475,2)</f>
        <v>40</v>
      </c>
      <c r="E9475" s="136">
        <f t="shared" si="443"/>
        <v>1</v>
      </c>
      <c r="F9475" s="137" t="s">
        <v>24</v>
      </c>
      <c r="G9475" s="128" t="str">
        <f>VLOOKUP(source[[#This Row],[lending_product_transform]],[3]Mapping!$B$4:$C$37,2,0)</f>
        <v>[Cake] - Cashloan</v>
      </c>
      <c r="H9475" s="128" t="str">
        <f>VLOOKUP(source[[#This Row],[lending_product_transform]],[3]Mapping!$B$3:$D$37,3,0)</f>
        <v>cashloan</v>
      </c>
      <c r="I9475" s="143">
        <v>0</v>
      </c>
    </row>
    <row r="9476" spans="1:9" x14ac:dyDescent="0.2">
      <c r="A9476" s="172">
        <v>45931</v>
      </c>
      <c r="B9476" s="135">
        <f>YEAR(source[[#This Row],[report_date]])</f>
        <v>2025</v>
      </c>
      <c r="C9476" s="128">
        <f t="shared" si="442"/>
        <v>10</v>
      </c>
      <c r="D9476" s="136">
        <f t="shared" si="444"/>
        <v>40</v>
      </c>
      <c r="E9476" s="136">
        <f t="shared" si="443"/>
        <v>1</v>
      </c>
      <c r="F9476" s="137" t="s">
        <v>24</v>
      </c>
      <c r="G9476" s="128" t="str">
        <f>VLOOKUP(source[[#This Row],[lending_product_transform]],[3]Mapping!$B$4:$C$37,2,0)</f>
        <v>[Cake] - Cashloan</v>
      </c>
      <c r="H9476" s="128" t="str">
        <f>VLOOKUP(source[[#This Row],[lending_product_transform]],[3]Mapping!$B$3:$D$37,3,0)</f>
        <v>cashloan</v>
      </c>
      <c r="I9476" s="143">
        <v>387837957</v>
      </c>
    </row>
    <row r="9477" spans="1:9" x14ac:dyDescent="0.2">
      <c r="A9477" s="172">
        <v>45931</v>
      </c>
      <c r="B9477" s="135">
        <f>YEAR(source[[#This Row],[report_date]])</f>
        <v>2025</v>
      </c>
      <c r="C9477" s="128">
        <f t="shared" si="442"/>
        <v>10</v>
      </c>
      <c r="D9477" s="136">
        <f t="shared" si="444"/>
        <v>40</v>
      </c>
      <c r="E9477" s="136">
        <f t="shared" si="443"/>
        <v>1</v>
      </c>
      <c r="F9477" s="137" t="s">
        <v>24</v>
      </c>
      <c r="G9477" s="128" t="str">
        <f>VLOOKUP(source[[#This Row],[lending_product_transform]],[3]Mapping!$B$4:$C$37,2,0)</f>
        <v>[Cake] - Cashloan</v>
      </c>
      <c r="H9477" s="128" t="str">
        <f>VLOOKUP(source[[#This Row],[lending_product_transform]],[3]Mapping!$B$3:$D$37,3,0)</f>
        <v>cashloan</v>
      </c>
      <c r="I9477" s="143">
        <v>18283740000</v>
      </c>
    </row>
    <row r="9478" spans="1:9" x14ac:dyDescent="0.2">
      <c r="A9478" s="172">
        <v>45931</v>
      </c>
      <c r="B9478" s="135">
        <f>YEAR(source[[#This Row],[report_date]])</f>
        <v>2025</v>
      </c>
      <c r="C9478" s="128">
        <f t="shared" si="442"/>
        <v>10</v>
      </c>
      <c r="D9478" s="136">
        <f t="shared" si="444"/>
        <v>40</v>
      </c>
      <c r="E9478" s="136">
        <f t="shared" si="443"/>
        <v>1</v>
      </c>
      <c r="F9478" s="137" t="s">
        <v>24</v>
      </c>
      <c r="G9478" s="128" t="str">
        <f>VLOOKUP(source[[#This Row],[lending_product_transform]],[3]Mapping!$B$4:$C$37,2,0)</f>
        <v>[Cake] - Cashloan</v>
      </c>
      <c r="H9478" s="128" t="str">
        <f>VLOOKUP(source[[#This Row],[lending_product_transform]],[3]Mapping!$B$3:$D$37,3,0)</f>
        <v>cashloan</v>
      </c>
      <c r="I9478" s="143">
        <v>5202779389</v>
      </c>
    </row>
    <row r="9479" spans="1:9" x14ac:dyDescent="0.2">
      <c r="A9479" s="172">
        <v>45931</v>
      </c>
      <c r="B9479" s="135">
        <f>YEAR(source[[#This Row],[report_date]])</f>
        <v>2025</v>
      </c>
      <c r="C9479" s="128">
        <f t="shared" si="442"/>
        <v>10</v>
      </c>
      <c r="D9479" s="136">
        <f t="shared" si="444"/>
        <v>40</v>
      </c>
      <c r="E9479" s="136">
        <f t="shared" si="443"/>
        <v>1</v>
      </c>
      <c r="F9479" s="137" t="s">
        <v>24</v>
      </c>
      <c r="G9479" s="128" t="str">
        <f>VLOOKUP(source[[#This Row],[lending_product_transform]],[3]Mapping!$B$4:$C$37,2,0)</f>
        <v>[Cake] - Cashloan</v>
      </c>
      <c r="H9479" s="128" t="str">
        <f>VLOOKUP(source[[#This Row],[lending_product_transform]],[3]Mapping!$B$3:$D$37,3,0)</f>
        <v>cashloan</v>
      </c>
      <c r="I9479" s="143">
        <v>8973504000</v>
      </c>
    </row>
    <row r="9480" spans="1:9" x14ac:dyDescent="0.2">
      <c r="A9480" s="172">
        <v>45931</v>
      </c>
      <c r="B9480" s="135">
        <f>YEAR(source[[#This Row],[report_date]])</f>
        <v>2025</v>
      </c>
      <c r="C9480" s="128">
        <f t="shared" si="442"/>
        <v>10</v>
      </c>
      <c r="D9480" s="136">
        <f t="shared" si="444"/>
        <v>40</v>
      </c>
      <c r="E9480" s="136">
        <f t="shared" si="443"/>
        <v>1</v>
      </c>
      <c r="F9480" s="137" t="s">
        <v>24</v>
      </c>
      <c r="G9480" s="128" t="str">
        <f>VLOOKUP(source[[#This Row],[lending_product_transform]],[3]Mapping!$B$4:$C$37,2,0)</f>
        <v>[Cake] - Cashloan</v>
      </c>
      <c r="H9480" s="128" t="str">
        <f>VLOOKUP(source[[#This Row],[lending_product_transform]],[3]Mapping!$B$3:$D$37,3,0)</f>
        <v>cashloan</v>
      </c>
      <c r="I9480" s="143">
        <v>43742841</v>
      </c>
    </row>
    <row r="9481" spans="1:9" x14ac:dyDescent="0.2">
      <c r="A9481" s="172">
        <v>45931</v>
      </c>
      <c r="B9481" s="135">
        <f>YEAR(source[[#This Row],[report_date]])</f>
        <v>2025</v>
      </c>
      <c r="C9481" s="128">
        <f t="shared" si="442"/>
        <v>10</v>
      </c>
      <c r="D9481" s="136">
        <f t="shared" si="444"/>
        <v>40</v>
      </c>
      <c r="E9481" s="136">
        <f t="shared" si="443"/>
        <v>1</v>
      </c>
      <c r="F9481" s="137" t="s">
        <v>24</v>
      </c>
      <c r="G9481" s="128" t="str">
        <f>VLOOKUP(source[[#This Row],[lending_product_transform]],[3]Mapping!$B$4:$C$37,2,0)</f>
        <v>[Cake] - Cashloan</v>
      </c>
      <c r="H9481" s="128" t="str">
        <f>VLOOKUP(source[[#This Row],[lending_product_transform]],[3]Mapping!$B$3:$D$37,3,0)</f>
        <v>cashloan</v>
      </c>
      <c r="I9481" s="143">
        <v>3311600000</v>
      </c>
    </row>
    <row r="9482" spans="1:9" x14ac:dyDescent="0.2">
      <c r="A9482" s="172">
        <v>45931</v>
      </c>
      <c r="B9482" s="135">
        <f>YEAR(source[[#This Row],[report_date]])</f>
        <v>2025</v>
      </c>
      <c r="C9482" s="128">
        <f t="shared" si="442"/>
        <v>10</v>
      </c>
      <c r="D9482" s="136">
        <f t="shared" si="444"/>
        <v>40</v>
      </c>
      <c r="E9482" s="136">
        <f t="shared" si="443"/>
        <v>1</v>
      </c>
      <c r="F9482" s="137" t="s">
        <v>24</v>
      </c>
      <c r="G9482" s="128" t="str">
        <f>VLOOKUP(source[[#This Row],[lending_product_transform]],[3]Mapping!$B$4:$C$37,2,0)</f>
        <v>[Cake] - Cashloan</v>
      </c>
      <c r="H9482" s="128" t="str">
        <f>VLOOKUP(source[[#This Row],[lending_product_transform]],[3]Mapping!$B$3:$D$37,3,0)</f>
        <v>cashloan</v>
      </c>
      <c r="I9482" s="143">
        <v>5738000</v>
      </c>
    </row>
    <row r="9483" spans="1:9" x14ac:dyDescent="0.2">
      <c r="A9483" s="172">
        <v>45931</v>
      </c>
      <c r="B9483" s="135">
        <f>YEAR(source[[#This Row],[report_date]])</f>
        <v>2025</v>
      </c>
      <c r="C9483" s="128">
        <f t="shared" si="442"/>
        <v>10</v>
      </c>
      <c r="D9483" s="136">
        <f t="shared" si="444"/>
        <v>40</v>
      </c>
      <c r="E9483" s="136">
        <f t="shared" si="443"/>
        <v>1</v>
      </c>
      <c r="F9483" s="137" t="s">
        <v>24</v>
      </c>
      <c r="G9483" s="128" t="str">
        <f>VLOOKUP(source[[#This Row],[lending_product_transform]],[3]Mapping!$B$4:$C$37,2,0)</f>
        <v>[Cake] - Cashloan</v>
      </c>
      <c r="H9483" s="128" t="str">
        <f>VLOOKUP(source[[#This Row],[lending_product_transform]],[3]Mapping!$B$3:$D$37,3,0)</f>
        <v>cashloan</v>
      </c>
      <c r="I9483" s="143">
        <v>446785000</v>
      </c>
    </row>
    <row r="9484" spans="1:9" x14ac:dyDescent="0.2">
      <c r="A9484" s="172">
        <v>45931</v>
      </c>
      <c r="B9484" s="135">
        <f>YEAR(source[[#This Row],[report_date]])</f>
        <v>2025</v>
      </c>
      <c r="C9484" s="128">
        <f t="shared" si="442"/>
        <v>10</v>
      </c>
      <c r="D9484" s="136">
        <f t="shared" si="444"/>
        <v>40</v>
      </c>
      <c r="E9484" s="136">
        <f t="shared" si="443"/>
        <v>1</v>
      </c>
      <c r="F9484" s="137" t="s">
        <v>24</v>
      </c>
      <c r="G9484" s="128" t="str">
        <f>VLOOKUP(source[[#This Row],[lending_product_transform]],[3]Mapping!$B$4:$C$37,2,0)</f>
        <v>[Cake] - Cashloan</v>
      </c>
      <c r="H9484" s="128" t="str">
        <f>VLOOKUP(source[[#This Row],[lending_product_transform]],[3]Mapping!$B$3:$D$37,3,0)</f>
        <v>cashloan</v>
      </c>
      <c r="I9484" s="143">
        <v>0</v>
      </c>
    </row>
    <row r="9485" spans="1:9" x14ac:dyDescent="0.2">
      <c r="A9485" s="172">
        <v>45931</v>
      </c>
      <c r="B9485" s="135">
        <f>YEAR(source[[#This Row],[report_date]])</f>
        <v>2025</v>
      </c>
      <c r="C9485" s="128">
        <f t="shared" si="442"/>
        <v>10</v>
      </c>
      <c r="D9485" s="136">
        <f t="shared" si="444"/>
        <v>40</v>
      </c>
      <c r="E9485" s="136">
        <f t="shared" si="443"/>
        <v>1</v>
      </c>
      <c r="F9485" s="137" t="s">
        <v>24</v>
      </c>
      <c r="G9485" s="128" t="str">
        <f>VLOOKUP(source[[#This Row],[lending_product_transform]],[3]Mapping!$B$4:$C$37,2,0)</f>
        <v>[Cake] - Cashloan</v>
      </c>
      <c r="H9485" s="128" t="str">
        <f>VLOOKUP(source[[#This Row],[lending_product_transform]],[3]Mapping!$B$3:$D$37,3,0)</f>
        <v>cashloan</v>
      </c>
      <c r="I9485" s="143">
        <v>177000000</v>
      </c>
    </row>
    <row r="9486" spans="1:9" x14ac:dyDescent="0.2">
      <c r="A9486" s="172">
        <v>45931</v>
      </c>
      <c r="B9486" s="135">
        <f>YEAR(source[[#This Row],[report_date]])</f>
        <v>2025</v>
      </c>
      <c r="C9486" s="128">
        <f t="shared" si="442"/>
        <v>10</v>
      </c>
      <c r="D9486" s="136">
        <f t="shared" si="444"/>
        <v>40</v>
      </c>
      <c r="E9486" s="136">
        <f t="shared" si="443"/>
        <v>1</v>
      </c>
      <c r="F9486" s="137" t="s">
        <v>24</v>
      </c>
      <c r="G9486" s="128" t="str">
        <f>VLOOKUP(source[[#This Row],[lending_product_transform]],[3]Mapping!$B$4:$C$37,2,0)</f>
        <v>[Cake] - Cashloan</v>
      </c>
      <c r="H9486" s="128" t="str">
        <f>VLOOKUP(source[[#This Row],[lending_product_transform]],[3]Mapping!$B$3:$D$37,3,0)</f>
        <v>cashloan</v>
      </c>
      <c r="I9486" s="143">
        <v>16725630000</v>
      </c>
    </row>
    <row r="9487" spans="1:9" x14ac:dyDescent="0.2">
      <c r="A9487" s="172">
        <v>45931</v>
      </c>
      <c r="B9487" s="135">
        <f>YEAR(source[[#This Row],[report_date]])</f>
        <v>2025</v>
      </c>
      <c r="C9487" s="128">
        <f t="shared" si="442"/>
        <v>10</v>
      </c>
      <c r="D9487" s="136">
        <f t="shared" si="444"/>
        <v>40</v>
      </c>
      <c r="E9487" s="136">
        <f t="shared" si="443"/>
        <v>1</v>
      </c>
      <c r="F9487" s="137" t="s">
        <v>24</v>
      </c>
      <c r="G9487" s="128" t="str">
        <f>VLOOKUP(source[[#This Row],[lending_product_transform]],[3]Mapping!$B$4:$C$37,2,0)</f>
        <v>[Cake] - Cashloan</v>
      </c>
      <c r="H9487" s="128" t="str">
        <f>VLOOKUP(source[[#This Row],[lending_product_transform]],[3]Mapping!$B$3:$D$37,3,0)</f>
        <v>cashloan</v>
      </c>
      <c r="I9487" s="143">
        <v>0</v>
      </c>
    </row>
    <row r="9488" spans="1:9" x14ac:dyDescent="0.2">
      <c r="A9488" s="172">
        <v>45931</v>
      </c>
      <c r="B9488" s="135">
        <f>YEAR(source[[#This Row],[report_date]])</f>
        <v>2025</v>
      </c>
      <c r="C9488" s="128">
        <f t="shared" si="442"/>
        <v>10</v>
      </c>
      <c r="D9488" s="136">
        <f t="shared" si="444"/>
        <v>40</v>
      </c>
      <c r="E9488" s="136">
        <f t="shared" si="443"/>
        <v>1</v>
      </c>
      <c r="F9488" s="137" t="s">
        <v>24</v>
      </c>
      <c r="G9488" s="128" t="str">
        <f>VLOOKUP(source[[#This Row],[lending_product_transform]],[3]Mapping!$B$4:$C$37,2,0)</f>
        <v>[Cake] - Cashloan</v>
      </c>
      <c r="H9488" s="128" t="str">
        <f>VLOOKUP(source[[#This Row],[lending_product_transform]],[3]Mapping!$B$3:$D$37,3,0)</f>
        <v>cashloan</v>
      </c>
      <c r="I9488" s="143">
        <v>0</v>
      </c>
    </row>
    <row r="9489" spans="1:9" x14ac:dyDescent="0.2">
      <c r="A9489" s="172">
        <v>45931</v>
      </c>
      <c r="B9489" s="135">
        <f>YEAR(source[[#This Row],[report_date]])</f>
        <v>2025</v>
      </c>
      <c r="C9489" s="128">
        <f t="shared" si="442"/>
        <v>10</v>
      </c>
      <c r="D9489" s="136">
        <f t="shared" si="444"/>
        <v>40</v>
      </c>
      <c r="E9489" s="136">
        <f t="shared" si="443"/>
        <v>1</v>
      </c>
      <c r="F9489" s="137" t="s">
        <v>24</v>
      </c>
      <c r="G9489" s="128" t="str">
        <f>VLOOKUP(source[[#This Row],[lending_product_transform]],[3]Mapping!$B$4:$C$37,2,0)</f>
        <v>[Cake] - Cashloan</v>
      </c>
      <c r="H9489" s="128" t="str">
        <f>VLOOKUP(source[[#This Row],[lending_product_transform]],[3]Mapping!$B$3:$D$37,3,0)</f>
        <v>cashloan</v>
      </c>
      <c r="I9489" s="143">
        <v>0</v>
      </c>
    </row>
    <row r="9490" spans="1:9" x14ac:dyDescent="0.2">
      <c r="A9490" s="172">
        <v>45931</v>
      </c>
      <c r="B9490" s="135">
        <f>YEAR(source[[#This Row],[report_date]])</f>
        <v>2025</v>
      </c>
      <c r="C9490" s="128">
        <f t="shared" si="442"/>
        <v>10</v>
      </c>
      <c r="D9490" s="136">
        <f t="shared" si="444"/>
        <v>40</v>
      </c>
      <c r="E9490" s="136">
        <f t="shared" si="443"/>
        <v>1</v>
      </c>
      <c r="F9490" s="137" t="s">
        <v>24</v>
      </c>
      <c r="G9490" s="128" t="str">
        <f>VLOOKUP(source[[#This Row],[lending_product_transform]],[3]Mapping!$B$4:$C$37,2,0)</f>
        <v>[Cake] - Cashloan</v>
      </c>
      <c r="H9490" s="128" t="str">
        <f>VLOOKUP(source[[#This Row],[lending_product_transform]],[3]Mapping!$B$3:$D$37,3,0)</f>
        <v>cashloan</v>
      </c>
      <c r="I9490" s="143">
        <v>0</v>
      </c>
    </row>
    <row r="9491" spans="1:9" x14ac:dyDescent="0.2">
      <c r="A9491" s="172">
        <v>45931</v>
      </c>
      <c r="B9491" s="135">
        <f>YEAR(source[[#This Row],[report_date]])</f>
        <v>2025</v>
      </c>
      <c r="C9491" s="128">
        <f t="shared" si="442"/>
        <v>10</v>
      </c>
      <c r="D9491" s="136">
        <f t="shared" si="444"/>
        <v>40</v>
      </c>
      <c r="E9491" s="136">
        <f t="shared" si="443"/>
        <v>1</v>
      </c>
      <c r="F9491" s="137" t="s">
        <v>24</v>
      </c>
      <c r="G9491" s="128" t="str">
        <f>VLOOKUP(source[[#This Row],[lending_product_transform]],[3]Mapping!$B$4:$C$37,2,0)</f>
        <v>[Cake] - Cashloan</v>
      </c>
      <c r="H9491" s="128" t="str">
        <f>VLOOKUP(source[[#This Row],[lending_product_transform]],[3]Mapping!$B$3:$D$37,3,0)</f>
        <v>cashloan</v>
      </c>
      <c r="I9491" s="143">
        <v>11017296000</v>
      </c>
    </row>
    <row r="9492" spans="1:9" x14ac:dyDescent="0.2">
      <c r="A9492" s="172">
        <v>45931</v>
      </c>
      <c r="B9492" s="135">
        <f>YEAR(source[[#This Row],[report_date]])</f>
        <v>2025</v>
      </c>
      <c r="C9492" s="128">
        <f t="shared" si="442"/>
        <v>10</v>
      </c>
      <c r="D9492" s="136">
        <f t="shared" si="444"/>
        <v>40</v>
      </c>
      <c r="E9492" s="136">
        <f t="shared" si="443"/>
        <v>1</v>
      </c>
      <c r="F9492" s="137" t="s">
        <v>24</v>
      </c>
      <c r="G9492" s="128" t="str">
        <f>VLOOKUP(source[[#This Row],[lending_product_transform]],[3]Mapping!$B$4:$C$37,2,0)</f>
        <v>[Cake] - Cashloan</v>
      </c>
      <c r="H9492" s="128" t="str">
        <f>VLOOKUP(source[[#This Row],[lending_product_transform]],[3]Mapping!$B$3:$D$37,3,0)</f>
        <v>cashloan</v>
      </c>
      <c r="I9492" s="143">
        <v>589346031</v>
      </c>
    </row>
    <row r="9493" spans="1:9" x14ac:dyDescent="0.2">
      <c r="A9493" s="172">
        <v>45931</v>
      </c>
      <c r="B9493" s="135">
        <f>YEAR(source[[#This Row],[report_date]])</f>
        <v>2025</v>
      </c>
      <c r="C9493" s="128">
        <f t="shared" si="442"/>
        <v>10</v>
      </c>
      <c r="D9493" s="136">
        <f t="shared" si="444"/>
        <v>40</v>
      </c>
      <c r="E9493" s="136">
        <f t="shared" si="443"/>
        <v>1</v>
      </c>
      <c r="F9493" s="137" t="s">
        <v>24</v>
      </c>
      <c r="G9493" s="128" t="str">
        <f>VLOOKUP(source[[#This Row],[lending_product_transform]],[3]Mapping!$B$4:$C$37,2,0)</f>
        <v>[Cake] - Cashloan</v>
      </c>
      <c r="H9493" s="128" t="str">
        <f>VLOOKUP(source[[#This Row],[lending_product_transform]],[3]Mapping!$B$3:$D$37,3,0)</f>
        <v>cashloan</v>
      </c>
      <c r="I9493" s="143">
        <v>21000000</v>
      </c>
    </row>
    <row r="9494" spans="1:9" x14ac:dyDescent="0.2">
      <c r="A9494" s="172">
        <v>45931</v>
      </c>
      <c r="B9494" s="135">
        <f>YEAR(source[[#This Row],[report_date]])</f>
        <v>2025</v>
      </c>
      <c r="C9494" s="128">
        <f t="shared" si="442"/>
        <v>10</v>
      </c>
      <c r="D9494" s="136">
        <f t="shared" si="444"/>
        <v>40</v>
      </c>
      <c r="E9494" s="136">
        <f t="shared" si="443"/>
        <v>1</v>
      </c>
      <c r="F9494" s="137" t="s">
        <v>24</v>
      </c>
      <c r="G9494" s="128" t="str">
        <f>VLOOKUP(source[[#This Row],[lending_product_transform]],[3]Mapping!$B$4:$C$37,2,0)</f>
        <v>[Cake] - Cashloan</v>
      </c>
      <c r="H9494" s="128" t="str">
        <f>VLOOKUP(source[[#This Row],[lending_product_transform]],[3]Mapping!$B$3:$D$37,3,0)</f>
        <v>cashloan</v>
      </c>
      <c r="I9494" s="143">
        <v>42000000</v>
      </c>
    </row>
    <row r="9495" spans="1:9" x14ac:dyDescent="0.2">
      <c r="A9495" s="172">
        <v>45931</v>
      </c>
      <c r="B9495" s="135">
        <f>YEAR(source[[#This Row],[report_date]])</f>
        <v>2025</v>
      </c>
      <c r="C9495" s="128">
        <f t="shared" si="442"/>
        <v>10</v>
      </c>
      <c r="D9495" s="136">
        <f t="shared" si="444"/>
        <v>40</v>
      </c>
      <c r="E9495" s="136">
        <f t="shared" si="443"/>
        <v>1</v>
      </c>
      <c r="F9495" s="137" t="s">
        <v>24</v>
      </c>
      <c r="G9495" s="128" t="str">
        <f>VLOOKUP(source[[#This Row],[lending_product_transform]],[3]Mapping!$B$4:$C$37,2,0)</f>
        <v>[Cake] - Cashloan</v>
      </c>
      <c r="H9495" s="128" t="str">
        <f>VLOOKUP(source[[#This Row],[lending_product_transform]],[3]Mapping!$B$3:$D$37,3,0)</f>
        <v>cashloan</v>
      </c>
      <c r="I9495" s="143">
        <v>663040000</v>
      </c>
    </row>
    <row r="9496" spans="1:9" x14ac:dyDescent="0.2">
      <c r="A9496" s="172">
        <v>45931</v>
      </c>
      <c r="B9496" s="135">
        <f>YEAR(source[[#This Row],[report_date]])</f>
        <v>2025</v>
      </c>
      <c r="C9496" s="128">
        <f t="shared" si="442"/>
        <v>10</v>
      </c>
      <c r="D9496" s="136">
        <f t="shared" si="444"/>
        <v>40</v>
      </c>
      <c r="E9496" s="136">
        <f t="shared" si="443"/>
        <v>1</v>
      </c>
      <c r="F9496" s="137" t="s">
        <v>24</v>
      </c>
      <c r="G9496" s="128" t="str">
        <f>VLOOKUP(source[[#This Row],[lending_product_transform]],[3]Mapping!$B$4:$C$37,2,0)</f>
        <v>[Cake] - Cashloan</v>
      </c>
      <c r="H9496" s="128" t="str">
        <f>VLOOKUP(source[[#This Row],[lending_product_transform]],[3]Mapping!$B$3:$D$37,3,0)</f>
        <v>cashloan</v>
      </c>
      <c r="I9496" s="143">
        <v>181440000</v>
      </c>
    </row>
    <row r="9497" spans="1:9" x14ac:dyDescent="0.2">
      <c r="A9497" s="172">
        <v>45931</v>
      </c>
      <c r="B9497" s="135">
        <f>YEAR(source[[#This Row],[report_date]])</f>
        <v>2025</v>
      </c>
      <c r="C9497" s="128">
        <f t="shared" si="442"/>
        <v>10</v>
      </c>
      <c r="D9497" s="136">
        <f t="shared" si="444"/>
        <v>40</v>
      </c>
      <c r="E9497" s="136">
        <f t="shared" si="443"/>
        <v>1</v>
      </c>
      <c r="F9497" s="137" t="s">
        <v>24</v>
      </c>
      <c r="G9497" s="128" t="str">
        <f>VLOOKUP(source[[#This Row],[lending_product_transform]],[3]Mapping!$B$4:$C$37,2,0)</f>
        <v>[Cake] - Cashloan</v>
      </c>
      <c r="H9497" s="128" t="str">
        <f>VLOOKUP(source[[#This Row],[lending_product_transform]],[3]Mapping!$B$3:$D$37,3,0)</f>
        <v>cashloan</v>
      </c>
      <c r="I9497" s="143">
        <v>786642530</v>
      </c>
    </row>
    <row r="9498" spans="1:9" x14ac:dyDescent="0.2">
      <c r="A9498" s="172">
        <v>45931</v>
      </c>
      <c r="B9498" s="135">
        <f>YEAR(source[[#This Row],[report_date]])</f>
        <v>2025</v>
      </c>
      <c r="C9498" s="128">
        <f t="shared" si="442"/>
        <v>10</v>
      </c>
      <c r="D9498" s="136">
        <f t="shared" si="444"/>
        <v>40</v>
      </c>
      <c r="E9498" s="136">
        <f t="shared" si="443"/>
        <v>1</v>
      </c>
      <c r="F9498" s="137" t="s">
        <v>24</v>
      </c>
      <c r="G9498" s="128" t="str">
        <f>VLOOKUP(source[[#This Row],[lending_product_transform]],[3]Mapping!$B$4:$C$37,2,0)</f>
        <v>[Cake] - Cashloan</v>
      </c>
      <c r="H9498" s="128" t="str">
        <f>VLOOKUP(source[[#This Row],[lending_product_transform]],[3]Mapping!$B$3:$D$37,3,0)</f>
        <v>cashloan</v>
      </c>
      <c r="I9498" s="143">
        <v>4655920000</v>
      </c>
    </row>
    <row r="9499" spans="1:9" x14ac:dyDescent="0.2">
      <c r="A9499" s="172">
        <v>45932</v>
      </c>
      <c r="B9499" s="135">
        <f>YEAR(source[[#This Row],[report_date]])</f>
        <v>2025</v>
      </c>
      <c r="C9499" s="128">
        <f t="shared" si="442"/>
        <v>10</v>
      </c>
      <c r="D9499" s="136">
        <f t="shared" si="444"/>
        <v>40</v>
      </c>
      <c r="E9499" s="136">
        <f t="shared" si="443"/>
        <v>2</v>
      </c>
      <c r="F9499" s="137" t="s">
        <v>24</v>
      </c>
      <c r="G9499" s="128" t="str">
        <f>VLOOKUP(source[[#This Row],[lending_product_transform]],[3]Mapping!$B$4:$C$37,2,0)</f>
        <v>[Cake] - Cashloan</v>
      </c>
      <c r="H9499" s="128" t="str">
        <f>VLOOKUP(source[[#This Row],[lending_product_transform]],[3]Mapping!$B$3:$D$37,3,0)</f>
        <v>cashloan</v>
      </c>
      <c r="I9499" s="143">
        <v>0</v>
      </c>
    </row>
    <row r="9500" spans="1:9" x14ac:dyDescent="0.2">
      <c r="A9500" s="172">
        <v>45932</v>
      </c>
      <c r="B9500" s="135">
        <f>YEAR(source[[#This Row],[report_date]])</f>
        <v>2025</v>
      </c>
      <c r="C9500" s="128">
        <f t="shared" si="442"/>
        <v>10</v>
      </c>
      <c r="D9500" s="136">
        <f t="shared" si="444"/>
        <v>40</v>
      </c>
      <c r="E9500" s="136">
        <f t="shared" si="443"/>
        <v>2</v>
      </c>
      <c r="F9500" s="137" t="s">
        <v>24</v>
      </c>
      <c r="G9500" s="128" t="str">
        <f>VLOOKUP(source[[#This Row],[lending_product_transform]],[3]Mapping!$B$4:$C$37,2,0)</f>
        <v>[Cake] - Cashloan</v>
      </c>
      <c r="H9500" s="128" t="str">
        <f>VLOOKUP(source[[#This Row],[lending_product_transform]],[3]Mapping!$B$3:$D$37,3,0)</f>
        <v>cashloan</v>
      </c>
      <c r="I9500" s="143">
        <v>417007761</v>
      </c>
    </row>
    <row r="9501" spans="1:9" x14ac:dyDescent="0.2">
      <c r="A9501" s="172">
        <v>45932</v>
      </c>
      <c r="B9501" s="135">
        <f>YEAR(source[[#This Row],[report_date]])</f>
        <v>2025</v>
      </c>
      <c r="C9501" s="128">
        <f t="shared" si="442"/>
        <v>10</v>
      </c>
      <c r="D9501" s="136">
        <f t="shared" si="444"/>
        <v>40</v>
      </c>
      <c r="E9501" s="136">
        <f t="shared" si="443"/>
        <v>2</v>
      </c>
      <c r="F9501" s="137" t="s">
        <v>24</v>
      </c>
      <c r="G9501" s="128" t="str">
        <f>VLOOKUP(source[[#This Row],[lending_product_transform]],[3]Mapping!$B$4:$C$37,2,0)</f>
        <v>[Cake] - Cashloan</v>
      </c>
      <c r="H9501" s="128" t="str">
        <f>VLOOKUP(source[[#This Row],[lending_product_transform]],[3]Mapping!$B$3:$D$37,3,0)</f>
        <v>cashloan</v>
      </c>
      <c r="I9501" s="143">
        <v>17907240000</v>
      </c>
    </row>
    <row r="9502" spans="1:9" x14ac:dyDescent="0.2">
      <c r="A9502" s="172">
        <v>45932</v>
      </c>
      <c r="B9502" s="135">
        <f>YEAR(source[[#This Row],[report_date]])</f>
        <v>2025</v>
      </c>
      <c r="C9502" s="128">
        <f t="shared" si="442"/>
        <v>10</v>
      </c>
      <c r="D9502" s="136">
        <f t="shared" si="444"/>
        <v>40</v>
      </c>
      <c r="E9502" s="136">
        <f t="shared" si="443"/>
        <v>2</v>
      </c>
      <c r="F9502" s="137" t="s">
        <v>24</v>
      </c>
      <c r="G9502" s="128" t="str">
        <f>VLOOKUP(source[[#This Row],[lending_product_transform]],[3]Mapping!$B$4:$C$37,2,0)</f>
        <v>[Cake] - Cashloan</v>
      </c>
      <c r="H9502" s="128" t="str">
        <f>VLOOKUP(source[[#This Row],[lending_product_transform]],[3]Mapping!$B$3:$D$37,3,0)</f>
        <v>cashloan</v>
      </c>
      <c r="I9502" s="143">
        <v>4060398979</v>
      </c>
    </row>
    <row r="9503" spans="1:9" x14ac:dyDescent="0.2">
      <c r="A9503" s="172">
        <v>45932</v>
      </c>
      <c r="B9503" s="135">
        <f>YEAR(source[[#This Row],[report_date]])</f>
        <v>2025</v>
      </c>
      <c r="C9503" s="128">
        <f t="shared" si="442"/>
        <v>10</v>
      </c>
      <c r="D9503" s="136">
        <f t="shared" si="444"/>
        <v>40</v>
      </c>
      <c r="E9503" s="136">
        <f t="shared" si="443"/>
        <v>2</v>
      </c>
      <c r="F9503" s="137" t="s">
        <v>24</v>
      </c>
      <c r="G9503" s="128" t="str">
        <f>VLOOKUP(source[[#This Row],[lending_product_transform]],[3]Mapping!$B$4:$C$37,2,0)</f>
        <v>[Cake] - Cashloan</v>
      </c>
      <c r="H9503" s="128" t="str">
        <f>VLOOKUP(source[[#This Row],[lending_product_transform]],[3]Mapping!$B$3:$D$37,3,0)</f>
        <v>cashloan</v>
      </c>
      <c r="I9503" s="143">
        <v>8175924000</v>
      </c>
    </row>
    <row r="9504" spans="1:9" x14ac:dyDescent="0.2">
      <c r="A9504" s="172">
        <v>45932</v>
      </c>
      <c r="B9504" s="135">
        <f>YEAR(source[[#This Row],[report_date]])</f>
        <v>2025</v>
      </c>
      <c r="C9504" s="128">
        <f t="shared" si="442"/>
        <v>10</v>
      </c>
      <c r="D9504" s="136">
        <f t="shared" si="444"/>
        <v>40</v>
      </c>
      <c r="E9504" s="136">
        <f t="shared" si="443"/>
        <v>2</v>
      </c>
      <c r="F9504" s="137" t="s">
        <v>24</v>
      </c>
      <c r="G9504" s="128" t="str">
        <f>VLOOKUP(source[[#This Row],[lending_product_transform]],[3]Mapping!$B$4:$C$37,2,0)</f>
        <v>[Cake] - Cashloan</v>
      </c>
      <c r="H9504" s="128" t="str">
        <f>VLOOKUP(source[[#This Row],[lending_product_transform]],[3]Mapping!$B$3:$D$37,3,0)</f>
        <v>cashloan</v>
      </c>
      <c r="I9504" s="143">
        <v>46110944</v>
      </c>
    </row>
    <row r="9505" spans="1:9" x14ac:dyDescent="0.2">
      <c r="A9505" s="172">
        <v>45932</v>
      </c>
      <c r="B9505" s="135">
        <f>YEAR(source[[#This Row],[report_date]])</f>
        <v>2025</v>
      </c>
      <c r="C9505" s="128">
        <f t="shared" si="442"/>
        <v>10</v>
      </c>
      <c r="D9505" s="136">
        <f t="shared" si="444"/>
        <v>40</v>
      </c>
      <c r="E9505" s="136">
        <f t="shared" si="443"/>
        <v>2</v>
      </c>
      <c r="F9505" s="137" t="s">
        <v>24</v>
      </c>
      <c r="G9505" s="128" t="str">
        <f>VLOOKUP(source[[#This Row],[lending_product_transform]],[3]Mapping!$B$4:$C$37,2,0)</f>
        <v>[Cake] - Cashloan</v>
      </c>
      <c r="H9505" s="128" t="str">
        <f>VLOOKUP(source[[#This Row],[lending_product_transform]],[3]Mapping!$B$3:$D$37,3,0)</f>
        <v>cashloan</v>
      </c>
      <c r="I9505" s="143">
        <v>3982450000</v>
      </c>
    </row>
    <row r="9506" spans="1:9" x14ac:dyDescent="0.2">
      <c r="A9506" s="172">
        <v>45932</v>
      </c>
      <c r="B9506" s="135">
        <f>YEAR(source[[#This Row],[report_date]])</f>
        <v>2025</v>
      </c>
      <c r="C9506" s="128">
        <f t="shared" si="442"/>
        <v>10</v>
      </c>
      <c r="D9506" s="136">
        <f t="shared" si="444"/>
        <v>40</v>
      </c>
      <c r="E9506" s="136">
        <f t="shared" si="443"/>
        <v>2</v>
      </c>
      <c r="F9506" s="137" t="s">
        <v>24</v>
      </c>
      <c r="G9506" s="128" t="str">
        <f>VLOOKUP(source[[#This Row],[lending_product_transform]],[3]Mapping!$B$4:$C$37,2,0)</f>
        <v>[Cake] - Cashloan</v>
      </c>
      <c r="H9506" s="128" t="str">
        <f>VLOOKUP(source[[#This Row],[lending_product_transform]],[3]Mapping!$B$3:$D$37,3,0)</f>
        <v>cashloan</v>
      </c>
      <c r="I9506" s="143">
        <v>17101000</v>
      </c>
    </row>
    <row r="9507" spans="1:9" x14ac:dyDescent="0.2">
      <c r="A9507" s="172">
        <v>45932</v>
      </c>
      <c r="B9507" s="135">
        <f>YEAR(source[[#This Row],[report_date]])</f>
        <v>2025</v>
      </c>
      <c r="C9507" s="128">
        <f t="shared" si="442"/>
        <v>10</v>
      </c>
      <c r="D9507" s="136">
        <f t="shared" si="444"/>
        <v>40</v>
      </c>
      <c r="E9507" s="136">
        <f t="shared" si="443"/>
        <v>2</v>
      </c>
      <c r="F9507" s="137" t="s">
        <v>24</v>
      </c>
      <c r="G9507" s="128" t="str">
        <f>VLOOKUP(source[[#This Row],[lending_product_transform]],[3]Mapping!$B$4:$C$37,2,0)</f>
        <v>[Cake] - Cashloan</v>
      </c>
      <c r="H9507" s="128" t="str">
        <f>VLOOKUP(source[[#This Row],[lending_product_transform]],[3]Mapping!$B$3:$D$37,3,0)</f>
        <v>cashloan</v>
      </c>
      <c r="I9507" s="143">
        <v>445272000</v>
      </c>
    </row>
    <row r="9508" spans="1:9" x14ac:dyDescent="0.2">
      <c r="A9508" s="172">
        <v>45932</v>
      </c>
      <c r="B9508" s="135">
        <f>YEAR(source[[#This Row],[report_date]])</f>
        <v>2025</v>
      </c>
      <c r="C9508" s="128">
        <f t="shared" si="442"/>
        <v>10</v>
      </c>
      <c r="D9508" s="136">
        <f t="shared" si="444"/>
        <v>40</v>
      </c>
      <c r="E9508" s="136">
        <f t="shared" si="443"/>
        <v>2</v>
      </c>
      <c r="F9508" s="137" t="s">
        <v>24</v>
      </c>
      <c r="G9508" s="128" t="str">
        <f>VLOOKUP(source[[#This Row],[lending_product_transform]],[3]Mapping!$B$4:$C$37,2,0)</f>
        <v>[Cake] - Cashloan</v>
      </c>
      <c r="H9508" s="128" t="str">
        <f>VLOOKUP(source[[#This Row],[lending_product_transform]],[3]Mapping!$B$3:$D$37,3,0)</f>
        <v>cashloan</v>
      </c>
      <c r="I9508" s="143">
        <v>0</v>
      </c>
    </row>
    <row r="9509" spans="1:9" x14ac:dyDescent="0.2">
      <c r="A9509" s="172">
        <v>45932</v>
      </c>
      <c r="B9509" s="135">
        <f>YEAR(source[[#This Row],[report_date]])</f>
        <v>2025</v>
      </c>
      <c r="C9509" s="128">
        <f t="shared" si="442"/>
        <v>10</v>
      </c>
      <c r="D9509" s="136">
        <f t="shared" si="444"/>
        <v>40</v>
      </c>
      <c r="E9509" s="136">
        <f t="shared" si="443"/>
        <v>2</v>
      </c>
      <c r="F9509" s="137" t="s">
        <v>24</v>
      </c>
      <c r="G9509" s="128" t="str">
        <f>VLOOKUP(source[[#This Row],[lending_product_transform]],[3]Mapping!$B$4:$C$37,2,0)</f>
        <v>[Cake] - Cashloan</v>
      </c>
      <c r="H9509" s="128" t="str">
        <f>VLOOKUP(source[[#This Row],[lending_product_transform]],[3]Mapping!$B$3:$D$37,3,0)</f>
        <v>cashloan</v>
      </c>
      <c r="I9509" s="143">
        <v>177000000</v>
      </c>
    </row>
    <row r="9510" spans="1:9" x14ac:dyDescent="0.2">
      <c r="A9510" s="172">
        <v>45932</v>
      </c>
      <c r="B9510" s="135">
        <f>YEAR(source[[#This Row],[report_date]])</f>
        <v>2025</v>
      </c>
      <c r="C9510" s="128">
        <f t="shared" si="442"/>
        <v>10</v>
      </c>
      <c r="D9510" s="136">
        <f t="shared" si="444"/>
        <v>40</v>
      </c>
      <c r="E9510" s="136">
        <f t="shared" si="443"/>
        <v>2</v>
      </c>
      <c r="F9510" s="137" t="s">
        <v>24</v>
      </c>
      <c r="G9510" s="128" t="str">
        <f>VLOOKUP(source[[#This Row],[lending_product_transform]],[3]Mapping!$B$4:$C$37,2,0)</f>
        <v>[Cake] - Cashloan</v>
      </c>
      <c r="H9510" s="128" t="str">
        <f>VLOOKUP(source[[#This Row],[lending_product_transform]],[3]Mapping!$B$3:$D$37,3,0)</f>
        <v>cashloan</v>
      </c>
      <c r="I9510" s="143">
        <v>16369720000</v>
      </c>
    </row>
    <row r="9511" spans="1:9" x14ac:dyDescent="0.2">
      <c r="A9511" s="172">
        <v>45932</v>
      </c>
      <c r="B9511" s="135">
        <f>YEAR(source[[#This Row],[report_date]])</f>
        <v>2025</v>
      </c>
      <c r="C9511" s="128">
        <f t="shared" si="442"/>
        <v>10</v>
      </c>
      <c r="D9511" s="136">
        <f t="shared" si="444"/>
        <v>40</v>
      </c>
      <c r="E9511" s="136">
        <f t="shared" si="443"/>
        <v>2</v>
      </c>
      <c r="F9511" s="137" t="s">
        <v>24</v>
      </c>
      <c r="G9511" s="128" t="str">
        <f>VLOOKUP(source[[#This Row],[lending_product_transform]],[3]Mapping!$B$4:$C$37,2,0)</f>
        <v>[Cake] - Cashloan</v>
      </c>
      <c r="H9511" s="128" t="str">
        <f>VLOOKUP(source[[#This Row],[lending_product_transform]],[3]Mapping!$B$3:$D$37,3,0)</f>
        <v>cashloan</v>
      </c>
      <c r="I9511" s="143">
        <v>0</v>
      </c>
    </row>
    <row r="9512" spans="1:9" x14ac:dyDescent="0.2">
      <c r="A9512" s="172">
        <v>45932</v>
      </c>
      <c r="B9512" s="135">
        <f>YEAR(source[[#This Row],[report_date]])</f>
        <v>2025</v>
      </c>
      <c r="C9512" s="128">
        <f t="shared" si="442"/>
        <v>10</v>
      </c>
      <c r="D9512" s="136">
        <f t="shared" si="444"/>
        <v>40</v>
      </c>
      <c r="E9512" s="136">
        <f t="shared" si="443"/>
        <v>2</v>
      </c>
      <c r="F9512" s="137" t="s">
        <v>24</v>
      </c>
      <c r="G9512" s="128" t="str">
        <f>VLOOKUP(source[[#This Row],[lending_product_transform]],[3]Mapping!$B$4:$C$37,2,0)</f>
        <v>[Cake] - Cashloan</v>
      </c>
      <c r="H9512" s="128" t="str">
        <f>VLOOKUP(source[[#This Row],[lending_product_transform]],[3]Mapping!$B$3:$D$37,3,0)</f>
        <v>cashloan</v>
      </c>
      <c r="I9512" s="143">
        <v>0</v>
      </c>
    </row>
    <row r="9513" spans="1:9" x14ac:dyDescent="0.2">
      <c r="A9513" s="172">
        <v>45932</v>
      </c>
      <c r="B9513" s="135">
        <f>YEAR(source[[#This Row],[report_date]])</f>
        <v>2025</v>
      </c>
      <c r="C9513" s="128">
        <f t="shared" si="442"/>
        <v>10</v>
      </c>
      <c r="D9513" s="136">
        <f t="shared" si="444"/>
        <v>40</v>
      </c>
      <c r="E9513" s="136">
        <f t="shared" si="443"/>
        <v>2</v>
      </c>
      <c r="F9513" s="137" t="s">
        <v>24</v>
      </c>
      <c r="G9513" s="128" t="str">
        <f>VLOOKUP(source[[#This Row],[lending_product_transform]],[3]Mapping!$B$4:$C$37,2,0)</f>
        <v>[Cake] - Cashloan</v>
      </c>
      <c r="H9513" s="128" t="str">
        <f>VLOOKUP(source[[#This Row],[lending_product_transform]],[3]Mapping!$B$3:$D$37,3,0)</f>
        <v>cashloan</v>
      </c>
      <c r="I9513" s="143">
        <v>0</v>
      </c>
    </row>
    <row r="9514" spans="1:9" x14ac:dyDescent="0.2">
      <c r="A9514" s="172">
        <v>45932</v>
      </c>
      <c r="B9514" s="135">
        <f>YEAR(source[[#This Row],[report_date]])</f>
        <v>2025</v>
      </c>
      <c r="C9514" s="128">
        <f t="shared" si="442"/>
        <v>10</v>
      </c>
      <c r="D9514" s="136">
        <f t="shared" si="444"/>
        <v>40</v>
      </c>
      <c r="E9514" s="136">
        <f t="shared" si="443"/>
        <v>2</v>
      </c>
      <c r="F9514" s="137" t="s">
        <v>24</v>
      </c>
      <c r="G9514" s="128" t="str">
        <f>VLOOKUP(source[[#This Row],[lending_product_transform]],[3]Mapping!$B$4:$C$37,2,0)</f>
        <v>[Cake] - Cashloan</v>
      </c>
      <c r="H9514" s="128" t="str">
        <f>VLOOKUP(source[[#This Row],[lending_product_transform]],[3]Mapping!$B$3:$D$37,3,0)</f>
        <v>cashloan</v>
      </c>
      <c r="I9514" s="143">
        <v>0</v>
      </c>
    </row>
    <row r="9515" spans="1:9" x14ac:dyDescent="0.2">
      <c r="A9515" s="172">
        <v>45932</v>
      </c>
      <c r="B9515" s="135">
        <f>YEAR(source[[#This Row],[report_date]])</f>
        <v>2025</v>
      </c>
      <c r="C9515" s="128">
        <f t="shared" si="442"/>
        <v>10</v>
      </c>
      <c r="D9515" s="136">
        <f t="shared" si="444"/>
        <v>40</v>
      </c>
      <c r="E9515" s="136">
        <f t="shared" si="443"/>
        <v>2</v>
      </c>
      <c r="F9515" s="137" t="s">
        <v>24</v>
      </c>
      <c r="G9515" s="128" t="str">
        <f>VLOOKUP(source[[#This Row],[lending_product_transform]],[3]Mapping!$B$4:$C$37,2,0)</f>
        <v>[Cake] - Cashloan</v>
      </c>
      <c r="H9515" s="128" t="str">
        <f>VLOOKUP(source[[#This Row],[lending_product_transform]],[3]Mapping!$B$3:$D$37,3,0)</f>
        <v>cashloan</v>
      </c>
      <c r="I9515" s="143">
        <v>9980820000</v>
      </c>
    </row>
    <row r="9516" spans="1:9" x14ac:dyDescent="0.2">
      <c r="A9516" s="172">
        <v>45932</v>
      </c>
      <c r="B9516" s="135">
        <f>YEAR(source[[#This Row],[report_date]])</f>
        <v>2025</v>
      </c>
      <c r="C9516" s="128">
        <f t="shared" si="442"/>
        <v>10</v>
      </c>
      <c r="D9516" s="136">
        <f t="shared" si="444"/>
        <v>40</v>
      </c>
      <c r="E9516" s="136">
        <f t="shared" si="443"/>
        <v>2</v>
      </c>
      <c r="F9516" s="137" t="s">
        <v>24</v>
      </c>
      <c r="G9516" s="128" t="str">
        <f>VLOOKUP(source[[#This Row],[lending_product_transform]],[3]Mapping!$B$4:$C$37,2,0)</f>
        <v>[Cake] - Cashloan</v>
      </c>
      <c r="H9516" s="128" t="str">
        <f>VLOOKUP(source[[#This Row],[lending_product_transform]],[3]Mapping!$B$3:$D$37,3,0)</f>
        <v>cashloan</v>
      </c>
      <c r="I9516" s="143">
        <v>424049334</v>
      </c>
    </row>
    <row r="9517" spans="1:9" x14ac:dyDescent="0.2">
      <c r="A9517" s="172">
        <v>45932</v>
      </c>
      <c r="B9517" s="135">
        <f>YEAR(source[[#This Row],[report_date]])</f>
        <v>2025</v>
      </c>
      <c r="C9517" s="128">
        <f t="shared" si="442"/>
        <v>10</v>
      </c>
      <c r="D9517" s="136">
        <f t="shared" si="444"/>
        <v>40</v>
      </c>
      <c r="E9517" s="136">
        <f t="shared" si="443"/>
        <v>2</v>
      </c>
      <c r="F9517" s="137" t="s">
        <v>24</v>
      </c>
      <c r="G9517" s="128" t="str">
        <f>VLOOKUP(source[[#This Row],[lending_product_transform]],[3]Mapping!$B$4:$C$37,2,0)</f>
        <v>[Cake] - Cashloan</v>
      </c>
      <c r="H9517" s="128" t="str">
        <f>VLOOKUP(source[[#This Row],[lending_product_transform]],[3]Mapping!$B$3:$D$37,3,0)</f>
        <v>cashloan</v>
      </c>
      <c r="I9517" s="143">
        <v>105000000</v>
      </c>
    </row>
    <row r="9518" spans="1:9" x14ac:dyDescent="0.2">
      <c r="A9518" s="172">
        <v>45932</v>
      </c>
      <c r="B9518" s="135">
        <f>YEAR(source[[#This Row],[report_date]])</f>
        <v>2025</v>
      </c>
      <c r="C9518" s="128">
        <f t="shared" si="442"/>
        <v>10</v>
      </c>
      <c r="D9518" s="136">
        <f t="shared" si="444"/>
        <v>40</v>
      </c>
      <c r="E9518" s="136">
        <f t="shared" si="443"/>
        <v>2</v>
      </c>
      <c r="F9518" s="137" t="s">
        <v>24</v>
      </c>
      <c r="G9518" s="128" t="str">
        <f>VLOOKUP(source[[#This Row],[lending_product_transform]],[3]Mapping!$B$4:$C$37,2,0)</f>
        <v>[Cake] - Cashloan</v>
      </c>
      <c r="H9518" s="128" t="str">
        <f>VLOOKUP(source[[#This Row],[lending_product_transform]],[3]Mapping!$B$3:$D$37,3,0)</f>
        <v>cashloan</v>
      </c>
      <c r="I9518" s="143">
        <v>44000000</v>
      </c>
    </row>
    <row r="9519" spans="1:9" x14ac:dyDescent="0.2">
      <c r="A9519" s="172">
        <v>45932</v>
      </c>
      <c r="B9519" s="135">
        <f>YEAR(source[[#This Row],[report_date]])</f>
        <v>2025</v>
      </c>
      <c r="C9519" s="128">
        <f t="shared" si="442"/>
        <v>10</v>
      </c>
      <c r="D9519" s="136">
        <f t="shared" si="444"/>
        <v>40</v>
      </c>
      <c r="E9519" s="136">
        <f t="shared" si="443"/>
        <v>2</v>
      </c>
      <c r="F9519" s="137" t="s">
        <v>24</v>
      </c>
      <c r="G9519" s="128" t="str">
        <f>VLOOKUP(source[[#This Row],[lending_product_transform]],[3]Mapping!$B$4:$C$37,2,0)</f>
        <v>[Cake] - Cashloan</v>
      </c>
      <c r="H9519" s="128" t="str">
        <f>VLOOKUP(source[[#This Row],[lending_product_transform]],[3]Mapping!$B$3:$D$37,3,0)</f>
        <v>cashloan</v>
      </c>
      <c r="I9519" s="143">
        <v>885270000</v>
      </c>
    </row>
    <row r="9520" spans="1:9" x14ac:dyDescent="0.2">
      <c r="A9520" s="172">
        <v>45932</v>
      </c>
      <c r="B9520" s="135">
        <f>YEAR(source[[#This Row],[report_date]])</f>
        <v>2025</v>
      </c>
      <c r="C9520" s="128">
        <f t="shared" si="442"/>
        <v>10</v>
      </c>
      <c r="D9520" s="136">
        <f t="shared" si="444"/>
        <v>40</v>
      </c>
      <c r="E9520" s="136">
        <f t="shared" si="443"/>
        <v>2</v>
      </c>
      <c r="F9520" s="137" t="s">
        <v>24</v>
      </c>
      <c r="G9520" s="128" t="str">
        <f>VLOOKUP(source[[#This Row],[lending_product_transform]],[3]Mapping!$B$4:$C$37,2,0)</f>
        <v>[Cake] - Cashloan</v>
      </c>
      <c r="H9520" s="128" t="str">
        <f>VLOOKUP(source[[#This Row],[lending_product_transform]],[3]Mapping!$B$3:$D$37,3,0)</f>
        <v>cashloan</v>
      </c>
      <c r="I9520" s="143">
        <v>214920000</v>
      </c>
    </row>
    <row r="9521" spans="1:9" x14ac:dyDescent="0.2">
      <c r="A9521" s="172">
        <v>45932</v>
      </c>
      <c r="B9521" s="135">
        <f>YEAR(source[[#This Row],[report_date]])</f>
        <v>2025</v>
      </c>
      <c r="C9521" s="128">
        <f t="shared" si="442"/>
        <v>10</v>
      </c>
      <c r="D9521" s="136">
        <f t="shared" si="444"/>
        <v>40</v>
      </c>
      <c r="E9521" s="136">
        <f t="shared" si="443"/>
        <v>2</v>
      </c>
      <c r="F9521" s="137" t="s">
        <v>24</v>
      </c>
      <c r="G9521" s="128" t="str">
        <f>VLOOKUP(source[[#This Row],[lending_product_transform]],[3]Mapping!$B$4:$C$37,2,0)</f>
        <v>[Cake] - Cashloan</v>
      </c>
      <c r="H9521" s="128" t="str">
        <f>VLOOKUP(source[[#This Row],[lending_product_transform]],[3]Mapping!$B$3:$D$37,3,0)</f>
        <v>cashloan</v>
      </c>
      <c r="I9521" s="143">
        <v>779570363</v>
      </c>
    </row>
    <row r="9522" spans="1:9" x14ac:dyDescent="0.2">
      <c r="A9522" s="172">
        <v>45932</v>
      </c>
      <c r="B9522" s="135">
        <f>YEAR(source[[#This Row],[report_date]])</f>
        <v>2025</v>
      </c>
      <c r="C9522" s="128">
        <f t="shared" si="442"/>
        <v>10</v>
      </c>
      <c r="D9522" s="136">
        <f t="shared" si="444"/>
        <v>40</v>
      </c>
      <c r="E9522" s="136">
        <f t="shared" si="443"/>
        <v>2</v>
      </c>
      <c r="F9522" s="137" t="s">
        <v>24</v>
      </c>
      <c r="G9522" s="128" t="str">
        <f>VLOOKUP(source[[#This Row],[lending_product_transform]],[3]Mapping!$B$4:$C$37,2,0)</f>
        <v>[Cake] - Cashloan</v>
      </c>
      <c r="H9522" s="128" t="str">
        <f>VLOOKUP(source[[#This Row],[lending_product_transform]],[3]Mapping!$B$3:$D$37,3,0)</f>
        <v>cashloan</v>
      </c>
      <c r="I9522" s="143">
        <v>4671980000</v>
      </c>
    </row>
    <row r="9523" spans="1:9" x14ac:dyDescent="0.2">
      <c r="A9523" s="172">
        <v>45933</v>
      </c>
      <c r="B9523" s="135">
        <f>YEAR(source[[#This Row],[report_date]])</f>
        <v>2025</v>
      </c>
      <c r="C9523" s="128">
        <f t="shared" si="442"/>
        <v>10</v>
      </c>
      <c r="D9523" s="136">
        <f t="shared" si="444"/>
        <v>40</v>
      </c>
      <c r="E9523" s="136">
        <f t="shared" si="443"/>
        <v>3</v>
      </c>
      <c r="F9523" s="137" t="s">
        <v>24</v>
      </c>
      <c r="G9523" s="128" t="str">
        <f>VLOOKUP(source[[#This Row],[lending_product_transform]],[3]Mapping!$B$4:$C$37,2,0)</f>
        <v>[Cake] - Cashloan</v>
      </c>
      <c r="H9523" s="128" t="str">
        <f>VLOOKUP(source[[#This Row],[lending_product_transform]],[3]Mapping!$B$3:$D$37,3,0)</f>
        <v>cashloan</v>
      </c>
      <c r="I9523" s="143">
        <v>0</v>
      </c>
    </row>
    <row r="9524" spans="1:9" x14ac:dyDescent="0.2">
      <c r="A9524" s="172">
        <v>45933</v>
      </c>
      <c r="B9524" s="135">
        <f>YEAR(source[[#This Row],[report_date]])</f>
        <v>2025</v>
      </c>
      <c r="C9524" s="128">
        <f t="shared" si="442"/>
        <v>10</v>
      </c>
      <c r="D9524" s="136">
        <f t="shared" si="444"/>
        <v>40</v>
      </c>
      <c r="E9524" s="136">
        <f t="shared" si="443"/>
        <v>3</v>
      </c>
      <c r="F9524" s="137" t="s">
        <v>24</v>
      </c>
      <c r="G9524" s="128" t="str">
        <f>VLOOKUP(source[[#This Row],[lending_product_transform]],[3]Mapping!$B$4:$C$37,2,0)</f>
        <v>[Cake] - Cashloan</v>
      </c>
      <c r="H9524" s="128" t="str">
        <f>VLOOKUP(source[[#This Row],[lending_product_transform]],[3]Mapping!$B$3:$D$37,3,0)</f>
        <v>cashloan</v>
      </c>
      <c r="I9524" s="143">
        <v>412923349</v>
      </c>
    </row>
    <row r="9525" spans="1:9" x14ac:dyDescent="0.2">
      <c r="A9525" s="172">
        <v>45933</v>
      </c>
      <c r="B9525" s="135">
        <f>YEAR(source[[#This Row],[report_date]])</f>
        <v>2025</v>
      </c>
      <c r="C9525" s="128">
        <f t="shared" si="442"/>
        <v>10</v>
      </c>
      <c r="D9525" s="136">
        <f t="shared" si="444"/>
        <v>40</v>
      </c>
      <c r="E9525" s="136">
        <f t="shared" si="443"/>
        <v>3</v>
      </c>
      <c r="F9525" s="137" t="s">
        <v>24</v>
      </c>
      <c r="G9525" s="128" t="str">
        <f>VLOOKUP(source[[#This Row],[lending_product_transform]],[3]Mapping!$B$4:$C$37,2,0)</f>
        <v>[Cake] - Cashloan</v>
      </c>
      <c r="H9525" s="128" t="str">
        <f>VLOOKUP(source[[#This Row],[lending_product_transform]],[3]Mapping!$B$3:$D$37,3,0)</f>
        <v>cashloan</v>
      </c>
      <c r="I9525" s="143">
        <v>17301990000</v>
      </c>
    </row>
    <row r="9526" spans="1:9" x14ac:dyDescent="0.2">
      <c r="A9526" s="172">
        <v>45933</v>
      </c>
      <c r="B9526" s="135">
        <f>YEAR(source[[#This Row],[report_date]])</f>
        <v>2025</v>
      </c>
      <c r="C9526" s="128">
        <f t="shared" ref="C9526:C9589" si="445">MONTH(A9526)</f>
        <v>10</v>
      </c>
      <c r="D9526" s="136">
        <f t="shared" si="444"/>
        <v>40</v>
      </c>
      <c r="E9526" s="136">
        <f t="shared" ref="E9526:E9589" si="446">DAY(A9526)</f>
        <v>3</v>
      </c>
      <c r="F9526" s="137" t="s">
        <v>24</v>
      </c>
      <c r="G9526" s="128" t="str">
        <f>VLOOKUP(source[[#This Row],[lending_product_transform]],[3]Mapping!$B$4:$C$37,2,0)</f>
        <v>[Cake] - Cashloan</v>
      </c>
      <c r="H9526" s="128" t="str">
        <f>VLOOKUP(source[[#This Row],[lending_product_transform]],[3]Mapping!$B$3:$D$37,3,0)</f>
        <v>cashloan</v>
      </c>
      <c r="I9526" s="143">
        <v>3389350031</v>
      </c>
    </row>
    <row r="9527" spans="1:9" x14ac:dyDescent="0.2">
      <c r="A9527" s="172">
        <v>45933</v>
      </c>
      <c r="B9527" s="135">
        <f>YEAR(source[[#This Row],[report_date]])</f>
        <v>2025</v>
      </c>
      <c r="C9527" s="128">
        <f t="shared" si="445"/>
        <v>10</v>
      </c>
      <c r="D9527" s="136">
        <f t="shared" si="444"/>
        <v>40</v>
      </c>
      <c r="E9527" s="136">
        <f t="shared" si="446"/>
        <v>3</v>
      </c>
      <c r="F9527" s="137" t="s">
        <v>24</v>
      </c>
      <c r="G9527" s="128" t="str">
        <f>VLOOKUP(source[[#This Row],[lending_product_transform]],[3]Mapping!$B$4:$C$37,2,0)</f>
        <v>[Cake] - Cashloan</v>
      </c>
      <c r="H9527" s="128" t="str">
        <f>VLOOKUP(source[[#This Row],[lending_product_transform]],[3]Mapping!$B$3:$D$37,3,0)</f>
        <v>cashloan</v>
      </c>
      <c r="I9527" s="143">
        <v>8448408000</v>
      </c>
    </row>
    <row r="9528" spans="1:9" x14ac:dyDescent="0.2">
      <c r="A9528" s="172">
        <v>45933</v>
      </c>
      <c r="B9528" s="135">
        <f>YEAR(source[[#This Row],[report_date]])</f>
        <v>2025</v>
      </c>
      <c r="C9528" s="128">
        <f t="shared" si="445"/>
        <v>10</v>
      </c>
      <c r="D9528" s="136">
        <f t="shared" si="444"/>
        <v>40</v>
      </c>
      <c r="E9528" s="136">
        <f t="shared" si="446"/>
        <v>3</v>
      </c>
      <c r="F9528" s="137" t="s">
        <v>24</v>
      </c>
      <c r="G9528" s="128" t="str">
        <f>VLOOKUP(source[[#This Row],[lending_product_transform]],[3]Mapping!$B$4:$C$37,2,0)</f>
        <v>[Cake] - Cashloan</v>
      </c>
      <c r="H9528" s="128" t="str">
        <f>VLOOKUP(source[[#This Row],[lending_product_transform]],[3]Mapping!$B$3:$D$37,3,0)</f>
        <v>cashloan</v>
      </c>
      <c r="I9528" s="143">
        <v>61926106</v>
      </c>
    </row>
    <row r="9529" spans="1:9" x14ac:dyDescent="0.2">
      <c r="A9529" s="172">
        <v>45933</v>
      </c>
      <c r="B9529" s="135">
        <f>YEAR(source[[#This Row],[report_date]])</f>
        <v>2025</v>
      </c>
      <c r="C9529" s="128">
        <f t="shared" si="445"/>
        <v>10</v>
      </c>
      <c r="D9529" s="136">
        <f t="shared" si="444"/>
        <v>40</v>
      </c>
      <c r="E9529" s="136">
        <f t="shared" si="446"/>
        <v>3</v>
      </c>
      <c r="F9529" s="137" t="s">
        <v>24</v>
      </c>
      <c r="G9529" s="128" t="str">
        <f>VLOOKUP(source[[#This Row],[lending_product_transform]],[3]Mapping!$B$4:$C$37,2,0)</f>
        <v>[Cake] - Cashloan</v>
      </c>
      <c r="H9529" s="128" t="str">
        <f>VLOOKUP(source[[#This Row],[lending_product_transform]],[3]Mapping!$B$3:$D$37,3,0)</f>
        <v>cashloan</v>
      </c>
      <c r="I9529" s="143">
        <v>2490510000</v>
      </c>
    </row>
    <row r="9530" spans="1:9" x14ac:dyDescent="0.2">
      <c r="A9530" s="172">
        <v>45933</v>
      </c>
      <c r="B9530" s="135">
        <f>YEAR(source[[#This Row],[report_date]])</f>
        <v>2025</v>
      </c>
      <c r="C9530" s="128">
        <f t="shared" si="445"/>
        <v>10</v>
      </c>
      <c r="D9530" s="136">
        <f t="shared" si="444"/>
        <v>40</v>
      </c>
      <c r="E9530" s="136">
        <f t="shared" si="446"/>
        <v>3</v>
      </c>
      <c r="F9530" s="137" t="s">
        <v>24</v>
      </c>
      <c r="G9530" s="128" t="str">
        <f>VLOOKUP(source[[#This Row],[lending_product_transform]],[3]Mapping!$B$4:$C$37,2,0)</f>
        <v>[Cake] - Cashloan</v>
      </c>
      <c r="H9530" s="128" t="str">
        <f>VLOOKUP(source[[#This Row],[lending_product_transform]],[3]Mapping!$B$3:$D$37,3,0)</f>
        <v>cashloan</v>
      </c>
      <c r="I9530" s="143">
        <v>47447000</v>
      </c>
    </row>
    <row r="9531" spans="1:9" x14ac:dyDescent="0.2">
      <c r="A9531" s="172">
        <v>45933</v>
      </c>
      <c r="B9531" s="135">
        <f>YEAR(source[[#This Row],[report_date]])</f>
        <v>2025</v>
      </c>
      <c r="C9531" s="128">
        <f t="shared" si="445"/>
        <v>10</v>
      </c>
      <c r="D9531" s="136">
        <f t="shared" si="444"/>
        <v>40</v>
      </c>
      <c r="E9531" s="136">
        <f t="shared" si="446"/>
        <v>3</v>
      </c>
      <c r="F9531" s="137" t="s">
        <v>24</v>
      </c>
      <c r="G9531" s="128" t="str">
        <f>VLOOKUP(source[[#This Row],[lending_product_transform]],[3]Mapping!$B$4:$C$37,2,0)</f>
        <v>[Cake] - Cashloan</v>
      </c>
      <c r="H9531" s="128" t="str">
        <f>VLOOKUP(source[[#This Row],[lending_product_transform]],[3]Mapping!$B$3:$D$37,3,0)</f>
        <v>cashloan</v>
      </c>
      <c r="I9531" s="143">
        <v>329621000</v>
      </c>
    </row>
    <row r="9532" spans="1:9" x14ac:dyDescent="0.2">
      <c r="A9532" s="172">
        <v>45933</v>
      </c>
      <c r="B9532" s="135">
        <f>YEAR(source[[#This Row],[report_date]])</f>
        <v>2025</v>
      </c>
      <c r="C9532" s="128">
        <f t="shared" si="445"/>
        <v>10</v>
      </c>
      <c r="D9532" s="136">
        <f t="shared" si="444"/>
        <v>40</v>
      </c>
      <c r="E9532" s="136">
        <f t="shared" si="446"/>
        <v>3</v>
      </c>
      <c r="F9532" s="137" t="s">
        <v>24</v>
      </c>
      <c r="G9532" s="128" t="str">
        <f>VLOOKUP(source[[#This Row],[lending_product_transform]],[3]Mapping!$B$4:$C$37,2,0)</f>
        <v>[Cake] - Cashloan</v>
      </c>
      <c r="H9532" s="128" t="str">
        <f>VLOOKUP(source[[#This Row],[lending_product_transform]],[3]Mapping!$B$3:$D$37,3,0)</f>
        <v>cashloan</v>
      </c>
      <c r="I9532" s="143">
        <v>0</v>
      </c>
    </row>
    <row r="9533" spans="1:9" x14ac:dyDescent="0.2">
      <c r="A9533" s="172">
        <v>45933</v>
      </c>
      <c r="B9533" s="135">
        <f>YEAR(source[[#This Row],[report_date]])</f>
        <v>2025</v>
      </c>
      <c r="C9533" s="128">
        <f t="shared" si="445"/>
        <v>10</v>
      </c>
      <c r="D9533" s="136">
        <f t="shared" si="444"/>
        <v>40</v>
      </c>
      <c r="E9533" s="136">
        <f t="shared" si="446"/>
        <v>3</v>
      </c>
      <c r="F9533" s="137" t="s">
        <v>24</v>
      </c>
      <c r="G9533" s="128" t="str">
        <f>VLOOKUP(source[[#This Row],[lending_product_transform]],[3]Mapping!$B$4:$C$37,2,0)</f>
        <v>[Cake] - Cashloan</v>
      </c>
      <c r="H9533" s="128" t="str">
        <f>VLOOKUP(source[[#This Row],[lending_product_transform]],[3]Mapping!$B$3:$D$37,3,0)</f>
        <v>cashloan</v>
      </c>
      <c r="I9533" s="143">
        <v>194850000</v>
      </c>
    </row>
    <row r="9534" spans="1:9" x14ac:dyDescent="0.2">
      <c r="A9534" s="172">
        <v>45933</v>
      </c>
      <c r="B9534" s="135">
        <f>YEAR(source[[#This Row],[report_date]])</f>
        <v>2025</v>
      </c>
      <c r="C9534" s="128">
        <f t="shared" si="445"/>
        <v>10</v>
      </c>
      <c r="D9534" s="136">
        <f t="shared" si="444"/>
        <v>40</v>
      </c>
      <c r="E9534" s="136">
        <f t="shared" si="446"/>
        <v>3</v>
      </c>
      <c r="F9534" s="137" t="s">
        <v>24</v>
      </c>
      <c r="G9534" s="128" t="str">
        <f>VLOOKUP(source[[#This Row],[lending_product_transform]],[3]Mapping!$B$4:$C$37,2,0)</f>
        <v>[Cake] - Cashloan</v>
      </c>
      <c r="H9534" s="128" t="str">
        <f>VLOOKUP(source[[#This Row],[lending_product_transform]],[3]Mapping!$B$3:$D$37,3,0)</f>
        <v>cashloan</v>
      </c>
      <c r="I9534" s="143">
        <v>16404800000</v>
      </c>
    </row>
    <row r="9535" spans="1:9" x14ac:dyDescent="0.2">
      <c r="A9535" s="172">
        <v>45933</v>
      </c>
      <c r="B9535" s="135">
        <f>YEAR(source[[#This Row],[report_date]])</f>
        <v>2025</v>
      </c>
      <c r="C9535" s="128">
        <f t="shared" si="445"/>
        <v>10</v>
      </c>
      <c r="D9535" s="136">
        <f t="shared" si="444"/>
        <v>40</v>
      </c>
      <c r="E9535" s="136">
        <f t="shared" si="446"/>
        <v>3</v>
      </c>
      <c r="F9535" s="137" t="s">
        <v>24</v>
      </c>
      <c r="G9535" s="128" t="str">
        <f>VLOOKUP(source[[#This Row],[lending_product_transform]],[3]Mapping!$B$4:$C$37,2,0)</f>
        <v>[Cake] - Cashloan</v>
      </c>
      <c r="H9535" s="128" t="str">
        <f>VLOOKUP(source[[#This Row],[lending_product_transform]],[3]Mapping!$B$3:$D$37,3,0)</f>
        <v>cashloan</v>
      </c>
      <c r="I9535" s="143">
        <v>0</v>
      </c>
    </row>
    <row r="9536" spans="1:9" x14ac:dyDescent="0.2">
      <c r="A9536" s="172">
        <v>45933</v>
      </c>
      <c r="B9536" s="135">
        <f>YEAR(source[[#This Row],[report_date]])</f>
        <v>2025</v>
      </c>
      <c r="C9536" s="128">
        <f t="shared" si="445"/>
        <v>10</v>
      </c>
      <c r="D9536" s="136">
        <f t="shared" si="444"/>
        <v>40</v>
      </c>
      <c r="E9536" s="136">
        <f t="shared" si="446"/>
        <v>3</v>
      </c>
      <c r="F9536" s="137" t="s">
        <v>24</v>
      </c>
      <c r="G9536" s="128" t="str">
        <f>VLOOKUP(source[[#This Row],[lending_product_transform]],[3]Mapping!$B$4:$C$37,2,0)</f>
        <v>[Cake] - Cashloan</v>
      </c>
      <c r="H9536" s="128" t="str">
        <f>VLOOKUP(source[[#This Row],[lending_product_transform]],[3]Mapping!$B$3:$D$37,3,0)</f>
        <v>cashloan</v>
      </c>
      <c r="I9536" s="143">
        <v>0</v>
      </c>
    </row>
    <row r="9537" spans="1:9" x14ac:dyDescent="0.2">
      <c r="A9537" s="172">
        <v>45933</v>
      </c>
      <c r="B9537" s="135">
        <f>YEAR(source[[#This Row],[report_date]])</f>
        <v>2025</v>
      </c>
      <c r="C9537" s="128">
        <f t="shared" si="445"/>
        <v>10</v>
      </c>
      <c r="D9537" s="136">
        <f t="shared" si="444"/>
        <v>40</v>
      </c>
      <c r="E9537" s="136">
        <f t="shared" si="446"/>
        <v>3</v>
      </c>
      <c r="F9537" s="137" t="s">
        <v>24</v>
      </c>
      <c r="G9537" s="128" t="str">
        <f>VLOOKUP(source[[#This Row],[lending_product_transform]],[3]Mapping!$B$4:$C$37,2,0)</f>
        <v>[Cake] - Cashloan</v>
      </c>
      <c r="H9537" s="128" t="str">
        <f>VLOOKUP(source[[#This Row],[lending_product_transform]],[3]Mapping!$B$3:$D$37,3,0)</f>
        <v>cashloan</v>
      </c>
      <c r="I9537" s="143">
        <v>0</v>
      </c>
    </row>
    <row r="9538" spans="1:9" x14ac:dyDescent="0.2">
      <c r="A9538" s="172">
        <v>45933</v>
      </c>
      <c r="B9538" s="135">
        <f>YEAR(source[[#This Row],[report_date]])</f>
        <v>2025</v>
      </c>
      <c r="C9538" s="128">
        <f t="shared" si="445"/>
        <v>10</v>
      </c>
      <c r="D9538" s="136">
        <f t="shared" si="444"/>
        <v>40</v>
      </c>
      <c r="E9538" s="136">
        <f t="shared" si="446"/>
        <v>3</v>
      </c>
      <c r="F9538" s="137" t="s">
        <v>24</v>
      </c>
      <c r="G9538" s="128" t="str">
        <f>VLOOKUP(source[[#This Row],[lending_product_transform]],[3]Mapping!$B$4:$C$37,2,0)</f>
        <v>[Cake] - Cashloan</v>
      </c>
      <c r="H9538" s="128" t="str">
        <f>VLOOKUP(source[[#This Row],[lending_product_transform]],[3]Mapping!$B$3:$D$37,3,0)</f>
        <v>cashloan</v>
      </c>
      <c r="I9538" s="143">
        <v>0</v>
      </c>
    </row>
    <row r="9539" spans="1:9" x14ac:dyDescent="0.2">
      <c r="A9539" s="172">
        <v>45933</v>
      </c>
      <c r="B9539" s="135">
        <f>YEAR(source[[#This Row],[report_date]])</f>
        <v>2025</v>
      </c>
      <c r="C9539" s="128">
        <f t="shared" si="445"/>
        <v>10</v>
      </c>
      <c r="D9539" s="136">
        <f t="shared" ref="D9539:D9602" si="447">WEEKNUM(A9539,2)</f>
        <v>40</v>
      </c>
      <c r="E9539" s="136">
        <f t="shared" si="446"/>
        <v>3</v>
      </c>
      <c r="F9539" s="137" t="s">
        <v>24</v>
      </c>
      <c r="G9539" s="128" t="str">
        <f>VLOOKUP(source[[#This Row],[lending_product_transform]],[3]Mapping!$B$4:$C$37,2,0)</f>
        <v>[Cake] - Cashloan</v>
      </c>
      <c r="H9539" s="128" t="str">
        <f>VLOOKUP(source[[#This Row],[lending_product_transform]],[3]Mapping!$B$3:$D$37,3,0)</f>
        <v>cashloan</v>
      </c>
      <c r="I9539" s="143">
        <v>10260108000</v>
      </c>
    </row>
    <row r="9540" spans="1:9" x14ac:dyDescent="0.2">
      <c r="A9540" s="172">
        <v>45933</v>
      </c>
      <c r="B9540" s="135">
        <f>YEAR(source[[#This Row],[report_date]])</f>
        <v>2025</v>
      </c>
      <c r="C9540" s="128">
        <f t="shared" si="445"/>
        <v>10</v>
      </c>
      <c r="D9540" s="136">
        <f t="shared" si="447"/>
        <v>40</v>
      </c>
      <c r="E9540" s="136">
        <f t="shared" si="446"/>
        <v>3</v>
      </c>
      <c r="F9540" s="137" t="s">
        <v>24</v>
      </c>
      <c r="G9540" s="128" t="str">
        <f>VLOOKUP(source[[#This Row],[lending_product_transform]],[3]Mapping!$B$4:$C$37,2,0)</f>
        <v>[Cake] - Cashloan</v>
      </c>
      <c r="H9540" s="128" t="str">
        <f>VLOOKUP(source[[#This Row],[lending_product_transform]],[3]Mapping!$B$3:$D$37,3,0)</f>
        <v>cashloan</v>
      </c>
      <c r="I9540" s="143">
        <v>441094730</v>
      </c>
    </row>
    <row r="9541" spans="1:9" x14ac:dyDescent="0.2">
      <c r="A9541" s="172">
        <v>45933</v>
      </c>
      <c r="B9541" s="135">
        <f>YEAR(source[[#This Row],[report_date]])</f>
        <v>2025</v>
      </c>
      <c r="C9541" s="128">
        <f t="shared" si="445"/>
        <v>10</v>
      </c>
      <c r="D9541" s="136">
        <f t="shared" si="447"/>
        <v>40</v>
      </c>
      <c r="E9541" s="136">
        <f t="shared" si="446"/>
        <v>3</v>
      </c>
      <c r="F9541" s="137" t="s">
        <v>24</v>
      </c>
      <c r="G9541" s="128" t="str">
        <f>VLOOKUP(source[[#This Row],[lending_product_transform]],[3]Mapping!$B$4:$C$37,2,0)</f>
        <v>[Cake] - Cashloan</v>
      </c>
      <c r="H9541" s="128" t="str">
        <f>VLOOKUP(source[[#This Row],[lending_product_transform]],[3]Mapping!$B$3:$D$37,3,0)</f>
        <v>cashloan</v>
      </c>
      <c r="I9541" s="143">
        <v>21000000</v>
      </c>
    </row>
    <row r="9542" spans="1:9" x14ac:dyDescent="0.2">
      <c r="A9542" s="172">
        <v>45933</v>
      </c>
      <c r="B9542" s="135">
        <f>YEAR(source[[#This Row],[report_date]])</f>
        <v>2025</v>
      </c>
      <c r="C9542" s="128">
        <f t="shared" si="445"/>
        <v>10</v>
      </c>
      <c r="D9542" s="136">
        <f t="shared" si="447"/>
        <v>40</v>
      </c>
      <c r="E9542" s="136">
        <f t="shared" si="446"/>
        <v>3</v>
      </c>
      <c r="F9542" s="137" t="s">
        <v>24</v>
      </c>
      <c r="G9542" s="128" t="str">
        <f>VLOOKUP(source[[#This Row],[lending_product_transform]],[3]Mapping!$B$4:$C$37,2,0)</f>
        <v>[Cake] - Cashloan</v>
      </c>
      <c r="H9542" s="128" t="str">
        <f>VLOOKUP(source[[#This Row],[lending_product_transform]],[3]Mapping!$B$3:$D$37,3,0)</f>
        <v>cashloan</v>
      </c>
      <c r="I9542" s="143">
        <v>31000000</v>
      </c>
    </row>
    <row r="9543" spans="1:9" x14ac:dyDescent="0.2">
      <c r="A9543" s="172">
        <v>45933</v>
      </c>
      <c r="B9543" s="135">
        <f>YEAR(source[[#This Row],[report_date]])</f>
        <v>2025</v>
      </c>
      <c r="C9543" s="128">
        <f t="shared" si="445"/>
        <v>10</v>
      </c>
      <c r="D9543" s="136">
        <f t="shared" si="447"/>
        <v>40</v>
      </c>
      <c r="E9543" s="136">
        <f t="shared" si="446"/>
        <v>3</v>
      </c>
      <c r="F9543" s="137" t="s">
        <v>24</v>
      </c>
      <c r="G9543" s="128" t="str">
        <f>VLOOKUP(source[[#This Row],[lending_product_transform]],[3]Mapping!$B$4:$C$37,2,0)</f>
        <v>[Cake] - Cashloan</v>
      </c>
      <c r="H9543" s="128" t="str">
        <f>VLOOKUP(source[[#This Row],[lending_product_transform]],[3]Mapping!$B$3:$D$37,3,0)</f>
        <v>cashloan</v>
      </c>
      <c r="I9543" s="143">
        <v>734030000</v>
      </c>
    </row>
    <row r="9544" spans="1:9" x14ac:dyDescent="0.2">
      <c r="A9544" s="172">
        <v>45933</v>
      </c>
      <c r="B9544" s="135">
        <f>YEAR(source[[#This Row],[report_date]])</f>
        <v>2025</v>
      </c>
      <c r="C9544" s="128">
        <f t="shared" si="445"/>
        <v>10</v>
      </c>
      <c r="D9544" s="136">
        <f t="shared" si="447"/>
        <v>40</v>
      </c>
      <c r="E9544" s="136">
        <f t="shared" si="446"/>
        <v>3</v>
      </c>
      <c r="F9544" s="137" t="s">
        <v>24</v>
      </c>
      <c r="G9544" s="128" t="str">
        <f>VLOOKUP(source[[#This Row],[lending_product_transform]],[3]Mapping!$B$4:$C$37,2,0)</f>
        <v>[Cake] - Cashloan</v>
      </c>
      <c r="H9544" s="128" t="str">
        <f>VLOOKUP(source[[#This Row],[lending_product_transform]],[3]Mapping!$B$3:$D$37,3,0)</f>
        <v>cashloan</v>
      </c>
      <c r="I9544" s="143">
        <v>212760000</v>
      </c>
    </row>
    <row r="9545" spans="1:9" x14ac:dyDescent="0.2">
      <c r="A9545" s="172">
        <v>45933</v>
      </c>
      <c r="B9545" s="135">
        <f>YEAR(source[[#This Row],[report_date]])</f>
        <v>2025</v>
      </c>
      <c r="C9545" s="128">
        <f t="shared" si="445"/>
        <v>10</v>
      </c>
      <c r="D9545" s="136">
        <f t="shared" si="447"/>
        <v>40</v>
      </c>
      <c r="E9545" s="136">
        <f t="shared" si="446"/>
        <v>3</v>
      </c>
      <c r="F9545" s="137" t="s">
        <v>24</v>
      </c>
      <c r="G9545" s="128" t="str">
        <f>VLOOKUP(source[[#This Row],[lending_product_transform]],[3]Mapping!$B$4:$C$37,2,0)</f>
        <v>[Cake] - Cashloan</v>
      </c>
      <c r="H9545" s="128" t="str">
        <f>VLOOKUP(source[[#This Row],[lending_product_transform]],[3]Mapping!$B$3:$D$37,3,0)</f>
        <v>cashloan</v>
      </c>
      <c r="I9545" s="143">
        <v>975670968</v>
      </c>
    </row>
    <row r="9546" spans="1:9" x14ac:dyDescent="0.2">
      <c r="A9546" s="172">
        <v>45933</v>
      </c>
      <c r="B9546" s="135">
        <f>YEAR(source[[#This Row],[report_date]])</f>
        <v>2025</v>
      </c>
      <c r="C9546" s="128">
        <f t="shared" si="445"/>
        <v>10</v>
      </c>
      <c r="D9546" s="136">
        <f t="shared" si="447"/>
        <v>40</v>
      </c>
      <c r="E9546" s="136">
        <f t="shared" si="446"/>
        <v>3</v>
      </c>
      <c r="F9546" s="137" t="s">
        <v>24</v>
      </c>
      <c r="G9546" s="128" t="str">
        <f>VLOOKUP(source[[#This Row],[lending_product_transform]],[3]Mapping!$B$4:$C$37,2,0)</f>
        <v>[Cake] - Cashloan</v>
      </c>
      <c r="H9546" s="128" t="str">
        <f>VLOOKUP(source[[#This Row],[lending_product_transform]],[3]Mapping!$B$3:$D$37,3,0)</f>
        <v>cashloan</v>
      </c>
      <c r="I9546" s="143">
        <v>5663080000</v>
      </c>
    </row>
    <row r="9547" spans="1:9" x14ac:dyDescent="0.2">
      <c r="A9547" s="172">
        <v>45934</v>
      </c>
      <c r="B9547" s="135">
        <f>YEAR(source[[#This Row],[report_date]])</f>
        <v>2025</v>
      </c>
      <c r="C9547" s="128">
        <f t="shared" si="445"/>
        <v>10</v>
      </c>
      <c r="D9547" s="136">
        <f t="shared" si="447"/>
        <v>40</v>
      </c>
      <c r="E9547" s="136">
        <f t="shared" si="446"/>
        <v>4</v>
      </c>
      <c r="F9547" s="137" t="s">
        <v>24</v>
      </c>
      <c r="G9547" s="128" t="str">
        <f>VLOOKUP(source[[#This Row],[lending_product_transform]],[3]Mapping!$B$4:$C$37,2,0)</f>
        <v>[Cake] - Cashloan</v>
      </c>
      <c r="H9547" s="128" t="str">
        <f>VLOOKUP(source[[#This Row],[lending_product_transform]],[3]Mapping!$B$3:$D$37,3,0)</f>
        <v>cashloan</v>
      </c>
      <c r="I9547" s="143">
        <v>0</v>
      </c>
    </row>
    <row r="9548" spans="1:9" x14ac:dyDescent="0.2">
      <c r="A9548" s="172">
        <v>45934</v>
      </c>
      <c r="B9548" s="135">
        <f>YEAR(source[[#This Row],[report_date]])</f>
        <v>2025</v>
      </c>
      <c r="C9548" s="128">
        <f t="shared" si="445"/>
        <v>10</v>
      </c>
      <c r="D9548" s="136">
        <f t="shared" si="447"/>
        <v>40</v>
      </c>
      <c r="E9548" s="136">
        <f t="shared" si="446"/>
        <v>4</v>
      </c>
      <c r="F9548" s="137" t="s">
        <v>24</v>
      </c>
      <c r="G9548" s="128" t="str">
        <f>VLOOKUP(source[[#This Row],[lending_product_transform]],[3]Mapping!$B$4:$C$37,2,0)</f>
        <v>[Cake] - Cashloan</v>
      </c>
      <c r="H9548" s="128" t="str">
        <f>VLOOKUP(source[[#This Row],[lending_product_transform]],[3]Mapping!$B$3:$D$37,3,0)</f>
        <v>cashloan</v>
      </c>
      <c r="I9548" s="143">
        <v>445619544</v>
      </c>
    </row>
    <row r="9549" spans="1:9" x14ac:dyDescent="0.2">
      <c r="A9549" s="172">
        <v>45934</v>
      </c>
      <c r="B9549" s="135">
        <f>YEAR(source[[#This Row],[report_date]])</f>
        <v>2025</v>
      </c>
      <c r="C9549" s="128">
        <f t="shared" si="445"/>
        <v>10</v>
      </c>
      <c r="D9549" s="136">
        <f t="shared" si="447"/>
        <v>40</v>
      </c>
      <c r="E9549" s="136">
        <f t="shared" si="446"/>
        <v>4</v>
      </c>
      <c r="F9549" s="137" t="s">
        <v>24</v>
      </c>
      <c r="G9549" s="128" t="str">
        <f>VLOOKUP(source[[#This Row],[lending_product_transform]],[3]Mapping!$B$4:$C$37,2,0)</f>
        <v>[Cake] - Cashloan</v>
      </c>
      <c r="H9549" s="128" t="str">
        <f>VLOOKUP(source[[#This Row],[lending_product_transform]],[3]Mapping!$B$3:$D$37,3,0)</f>
        <v>cashloan</v>
      </c>
      <c r="I9549" s="143">
        <v>15352420000</v>
      </c>
    </row>
    <row r="9550" spans="1:9" x14ac:dyDescent="0.2">
      <c r="A9550" s="172">
        <v>45934</v>
      </c>
      <c r="B9550" s="135">
        <f>YEAR(source[[#This Row],[report_date]])</f>
        <v>2025</v>
      </c>
      <c r="C9550" s="128">
        <f t="shared" si="445"/>
        <v>10</v>
      </c>
      <c r="D9550" s="136">
        <f t="shared" si="447"/>
        <v>40</v>
      </c>
      <c r="E9550" s="136">
        <f t="shared" si="446"/>
        <v>4</v>
      </c>
      <c r="F9550" s="137" t="s">
        <v>24</v>
      </c>
      <c r="G9550" s="128" t="str">
        <f>VLOOKUP(source[[#This Row],[lending_product_transform]],[3]Mapping!$B$4:$C$37,2,0)</f>
        <v>[Cake] - Cashloan</v>
      </c>
      <c r="H9550" s="128" t="str">
        <f>VLOOKUP(source[[#This Row],[lending_product_transform]],[3]Mapping!$B$3:$D$37,3,0)</f>
        <v>cashloan</v>
      </c>
      <c r="I9550" s="143">
        <v>3146313137</v>
      </c>
    </row>
    <row r="9551" spans="1:9" x14ac:dyDescent="0.2">
      <c r="A9551" s="172">
        <v>45934</v>
      </c>
      <c r="B9551" s="135">
        <f>YEAR(source[[#This Row],[report_date]])</f>
        <v>2025</v>
      </c>
      <c r="C9551" s="128">
        <f t="shared" si="445"/>
        <v>10</v>
      </c>
      <c r="D9551" s="136">
        <f t="shared" si="447"/>
        <v>40</v>
      </c>
      <c r="E9551" s="136">
        <f t="shared" si="446"/>
        <v>4</v>
      </c>
      <c r="F9551" s="137" t="s">
        <v>24</v>
      </c>
      <c r="G9551" s="128" t="str">
        <f>VLOOKUP(source[[#This Row],[lending_product_transform]],[3]Mapping!$B$4:$C$37,2,0)</f>
        <v>[Cake] - Cashloan</v>
      </c>
      <c r="H9551" s="128" t="str">
        <f>VLOOKUP(source[[#This Row],[lending_product_transform]],[3]Mapping!$B$3:$D$37,3,0)</f>
        <v>cashloan</v>
      </c>
      <c r="I9551" s="143">
        <v>8249472000</v>
      </c>
    </row>
    <row r="9552" spans="1:9" x14ac:dyDescent="0.2">
      <c r="A9552" s="172">
        <v>45934</v>
      </c>
      <c r="B9552" s="135">
        <f>YEAR(source[[#This Row],[report_date]])</f>
        <v>2025</v>
      </c>
      <c r="C9552" s="128">
        <f t="shared" si="445"/>
        <v>10</v>
      </c>
      <c r="D9552" s="136">
        <f t="shared" si="447"/>
        <v>40</v>
      </c>
      <c r="E9552" s="136">
        <f t="shared" si="446"/>
        <v>4</v>
      </c>
      <c r="F9552" s="137" t="s">
        <v>24</v>
      </c>
      <c r="G9552" s="128" t="str">
        <f>VLOOKUP(source[[#This Row],[lending_product_transform]],[3]Mapping!$B$4:$C$37,2,0)</f>
        <v>[Cake] - Cashloan</v>
      </c>
      <c r="H9552" s="128" t="str">
        <f>VLOOKUP(source[[#This Row],[lending_product_transform]],[3]Mapping!$B$3:$D$37,3,0)</f>
        <v>cashloan</v>
      </c>
      <c r="I9552" s="143">
        <v>83436836</v>
      </c>
    </row>
    <row r="9553" spans="1:9" x14ac:dyDescent="0.2">
      <c r="A9553" s="172">
        <v>45934</v>
      </c>
      <c r="B9553" s="135">
        <f>YEAR(source[[#This Row],[report_date]])</f>
        <v>2025</v>
      </c>
      <c r="C9553" s="128">
        <f t="shared" si="445"/>
        <v>10</v>
      </c>
      <c r="D9553" s="136">
        <f t="shared" si="447"/>
        <v>40</v>
      </c>
      <c r="E9553" s="136">
        <f t="shared" si="446"/>
        <v>4</v>
      </c>
      <c r="F9553" s="137" t="s">
        <v>24</v>
      </c>
      <c r="G9553" s="128" t="str">
        <f>VLOOKUP(source[[#This Row],[lending_product_transform]],[3]Mapping!$B$4:$C$37,2,0)</f>
        <v>[Cake] - Cashloan</v>
      </c>
      <c r="H9553" s="128" t="str">
        <f>VLOOKUP(source[[#This Row],[lending_product_transform]],[3]Mapping!$B$3:$D$37,3,0)</f>
        <v>cashloan</v>
      </c>
      <c r="I9553" s="143">
        <v>3477140000</v>
      </c>
    </row>
    <row r="9554" spans="1:9" x14ac:dyDescent="0.2">
      <c r="A9554" s="172">
        <v>45934</v>
      </c>
      <c r="B9554" s="135">
        <f>YEAR(source[[#This Row],[report_date]])</f>
        <v>2025</v>
      </c>
      <c r="C9554" s="128">
        <f t="shared" si="445"/>
        <v>10</v>
      </c>
      <c r="D9554" s="136">
        <f t="shared" si="447"/>
        <v>40</v>
      </c>
      <c r="E9554" s="136">
        <f t="shared" si="446"/>
        <v>4</v>
      </c>
      <c r="F9554" s="137" t="s">
        <v>24</v>
      </c>
      <c r="G9554" s="128" t="str">
        <f>VLOOKUP(source[[#This Row],[lending_product_transform]],[3]Mapping!$B$4:$C$37,2,0)</f>
        <v>[Cake] - Cashloan</v>
      </c>
      <c r="H9554" s="128" t="str">
        <f>VLOOKUP(source[[#This Row],[lending_product_transform]],[3]Mapping!$B$3:$D$37,3,0)</f>
        <v>cashloan</v>
      </c>
      <c r="I9554" s="143">
        <v>47503000</v>
      </c>
    </row>
    <row r="9555" spans="1:9" x14ac:dyDescent="0.2">
      <c r="A9555" s="172">
        <v>45934</v>
      </c>
      <c r="B9555" s="135">
        <f>YEAR(source[[#This Row],[report_date]])</f>
        <v>2025</v>
      </c>
      <c r="C9555" s="128">
        <f t="shared" si="445"/>
        <v>10</v>
      </c>
      <c r="D9555" s="136">
        <f t="shared" si="447"/>
        <v>40</v>
      </c>
      <c r="E9555" s="136">
        <f t="shared" si="446"/>
        <v>4</v>
      </c>
      <c r="F9555" s="137" t="s">
        <v>24</v>
      </c>
      <c r="G9555" s="128" t="str">
        <f>VLOOKUP(source[[#This Row],[lending_product_transform]],[3]Mapping!$B$4:$C$37,2,0)</f>
        <v>[Cake] - Cashloan</v>
      </c>
      <c r="H9555" s="128" t="str">
        <f>VLOOKUP(source[[#This Row],[lending_product_transform]],[3]Mapping!$B$3:$D$37,3,0)</f>
        <v>cashloan</v>
      </c>
      <c r="I9555" s="143">
        <v>844663000</v>
      </c>
    </row>
    <row r="9556" spans="1:9" x14ac:dyDescent="0.2">
      <c r="A9556" s="172">
        <v>45934</v>
      </c>
      <c r="B9556" s="135">
        <f>YEAR(source[[#This Row],[report_date]])</f>
        <v>2025</v>
      </c>
      <c r="C9556" s="128">
        <f t="shared" si="445"/>
        <v>10</v>
      </c>
      <c r="D9556" s="136">
        <f t="shared" si="447"/>
        <v>40</v>
      </c>
      <c r="E9556" s="136">
        <f t="shared" si="446"/>
        <v>4</v>
      </c>
      <c r="F9556" s="137" t="s">
        <v>24</v>
      </c>
      <c r="G9556" s="128" t="str">
        <f>VLOOKUP(source[[#This Row],[lending_product_transform]],[3]Mapping!$B$4:$C$37,2,0)</f>
        <v>[Cake] - Cashloan</v>
      </c>
      <c r="H9556" s="128" t="str">
        <f>VLOOKUP(source[[#This Row],[lending_product_transform]],[3]Mapping!$B$3:$D$37,3,0)</f>
        <v>cashloan</v>
      </c>
      <c r="I9556" s="143">
        <v>0</v>
      </c>
    </row>
    <row r="9557" spans="1:9" x14ac:dyDescent="0.2">
      <c r="A9557" s="172">
        <v>45934</v>
      </c>
      <c r="B9557" s="135">
        <f>YEAR(source[[#This Row],[report_date]])</f>
        <v>2025</v>
      </c>
      <c r="C9557" s="128">
        <f t="shared" si="445"/>
        <v>10</v>
      </c>
      <c r="D9557" s="136">
        <f t="shared" si="447"/>
        <v>40</v>
      </c>
      <c r="E9557" s="136">
        <f t="shared" si="446"/>
        <v>4</v>
      </c>
      <c r="F9557" s="137" t="s">
        <v>24</v>
      </c>
      <c r="G9557" s="128" t="str">
        <f>VLOOKUP(source[[#This Row],[lending_product_transform]],[3]Mapping!$B$4:$C$37,2,0)</f>
        <v>[Cake] - Cashloan</v>
      </c>
      <c r="H9557" s="128" t="str">
        <f>VLOOKUP(source[[#This Row],[lending_product_transform]],[3]Mapping!$B$3:$D$37,3,0)</f>
        <v>cashloan</v>
      </c>
      <c r="I9557" s="143">
        <v>210000000</v>
      </c>
    </row>
    <row r="9558" spans="1:9" x14ac:dyDescent="0.2">
      <c r="A9558" s="172">
        <v>45934</v>
      </c>
      <c r="B9558" s="135">
        <f>YEAR(source[[#This Row],[report_date]])</f>
        <v>2025</v>
      </c>
      <c r="C9558" s="128">
        <f t="shared" si="445"/>
        <v>10</v>
      </c>
      <c r="D9558" s="136">
        <f t="shared" si="447"/>
        <v>40</v>
      </c>
      <c r="E9558" s="136">
        <f t="shared" si="446"/>
        <v>4</v>
      </c>
      <c r="F9558" s="137" t="s">
        <v>24</v>
      </c>
      <c r="G9558" s="128" t="str">
        <f>VLOOKUP(source[[#This Row],[lending_product_transform]],[3]Mapping!$B$4:$C$37,2,0)</f>
        <v>[Cake] - Cashloan</v>
      </c>
      <c r="H9558" s="128" t="str">
        <f>VLOOKUP(source[[#This Row],[lending_product_transform]],[3]Mapping!$B$3:$D$37,3,0)</f>
        <v>cashloan</v>
      </c>
      <c r="I9558" s="143">
        <v>15912470000</v>
      </c>
    </row>
    <row r="9559" spans="1:9" x14ac:dyDescent="0.2">
      <c r="A9559" s="172">
        <v>45934</v>
      </c>
      <c r="B9559" s="135">
        <f>YEAR(source[[#This Row],[report_date]])</f>
        <v>2025</v>
      </c>
      <c r="C9559" s="128">
        <f t="shared" si="445"/>
        <v>10</v>
      </c>
      <c r="D9559" s="136">
        <f t="shared" si="447"/>
        <v>40</v>
      </c>
      <c r="E9559" s="136">
        <f t="shared" si="446"/>
        <v>4</v>
      </c>
      <c r="F9559" s="137" t="s">
        <v>24</v>
      </c>
      <c r="G9559" s="128" t="str">
        <f>VLOOKUP(source[[#This Row],[lending_product_transform]],[3]Mapping!$B$4:$C$37,2,0)</f>
        <v>[Cake] - Cashloan</v>
      </c>
      <c r="H9559" s="128" t="str">
        <f>VLOOKUP(source[[#This Row],[lending_product_transform]],[3]Mapping!$B$3:$D$37,3,0)</f>
        <v>cashloan</v>
      </c>
      <c r="I9559" s="143">
        <v>0</v>
      </c>
    </row>
    <row r="9560" spans="1:9" x14ac:dyDescent="0.2">
      <c r="A9560" s="172">
        <v>45934</v>
      </c>
      <c r="B9560" s="135">
        <f>YEAR(source[[#This Row],[report_date]])</f>
        <v>2025</v>
      </c>
      <c r="C9560" s="128">
        <f t="shared" si="445"/>
        <v>10</v>
      </c>
      <c r="D9560" s="136">
        <f t="shared" si="447"/>
        <v>40</v>
      </c>
      <c r="E9560" s="136">
        <f t="shared" si="446"/>
        <v>4</v>
      </c>
      <c r="F9560" s="137" t="s">
        <v>24</v>
      </c>
      <c r="G9560" s="128" t="str">
        <f>VLOOKUP(source[[#This Row],[lending_product_transform]],[3]Mapping!$B$4:$C$37,2,0)</f>
        <v>[Cake] - Cashloan</v>
      </c>
      <c r="H9560" s="128" t="str">
        <f>VLOOKUP(source[[#This Row],[lending_product_transform]],[3]Mapping!$B$3:$D$37,3,0)</f>
        <v>cashloan</v>
      </c>
      <c r="I9560" s="143">
        <v>0</v>
      </c>
    </row>
    <row r="9561" spans="1:9" x14ac:dyDescent="0.2">
      <c r="A9561" s="172">
        <v>45934</v>
      </c>
      <c r="B9561" s="135">
        <f>YEAR(source[[#This Row],[report_date]])</f>
        <v>2025</v>
      </c>
      <c r="C9561" s="128">
        <f t="shared" si="445"/>
        <v>10</v>
      </c>
      <c r="D9561" s="136">
        <f t="shared" si="447"/>
        <v>40</v>
      </c>
      <c r="E9561" s="136">
        <f t="shared" si="446"/>
        <v>4</v>
      </c>
      <c r="F9561" s="137" t="s">
        <v>24</v>
      </c>
      <c r="G9561" s="128" t="str">
        <f>VLOOKUP(source[[#This Row],[lending_product_transform]],[3]Mapping!$B$4:$C$37,2,0)</f>
        <v>[Cake] - Cashloan</v>
      </c>
      <c r="H9561" s="128" t="str">
        <f>VLOOKUP(source[[#This Row],[lending_product_transform]],[3]Mapping!$B$3:$D$37,3,0)</f>
        <v>cashloan</v>
      </c>
      <c r="I9561" s="143">
        <v>0</v>
      </c>
    </row>
    <row r="9562" spans="1:9" x14ac:dyDescent="0.2">
      <c r="A9562" s="172">
        <v>45934</v>
      </c>
      <c r="B9562" s="135">
        <f>YEAR(source[[#This Row],[report_date]])</f>
        <v>2025</v>
      </c>
      <c r="C9562" s="128">
        <f t="shared" si="445"/>
        <v>10</v>
      </c>
      <c r="D9562" s="136">
        <f t="shared" si="447"/>
        <v>40</v>
      </c>
      <c r="E9562" s="136">
        <f t="shared" si="446"/>
        <v>4</v>
      </c>
      <c r="F9562" s="137" t="s">
        <v>24</v>
      </c>
      <c r="G9562" s="128" t="str">
        <f>VLOOKUP(source[[#This Row],[lending_product_transform]],[3]Mapping!$B$4:$C$37,2,0)</f>
        <v>[Cake] - Cashloan</v>
      </c>
      <c r="H9562" s="128" t="str">
        <f>VLOOKUP(source[[#This Row],[lending_product_transform]],[3]Mapping!$B$3:$D$37,3,0)</f>
        <v>cashloan</v>
      </c>
      <c r="I9562" s="143">
        <v>0</v>
      </c>
    </row>
    <row r="9563" spans="1:9" x14ac:dyDescent="0.2">
      <c r="A9563" s="172">
        <v>45934</v>
      </c>
      <c r="B9563" s="135">
        <f>YEAR(source[[#This Row],[report_date]])</f>
        <v>2025</v>
      </c>
      <c r="C9563" s="128">
        <f t="shared" si="445"/>
        <v>10</v>
      </c>
      <c r="D9563" s="136">
        <f t="shared" si="447"/>
        <v>40</v>
      </c>
      <c r="E9563" s="136">
        <f t="shared" si="446"/>
        <v>4</v>
      </c>
      <c r="F9563" s="137" t="s">
        <v>24</v>
      </c>
      <c r="G9563" s="128" t="str">
        <f>VLOOKUP(source[[#This Row],[lending_product_transform]],[3]Mapping!$B$4:$C$37,2,0)</f>
        <v>[Cake] - Cashloan</v>
      </c>
      <c r="H9563" s="128" t="str">
        <f>VLOOKUP(source[[#This Row],[lending_product_transform]],[3]Mapping!$B$3:$D$37,3,0)</f>
        <v>cashloan</v>
      </c>
      <c r="I9563" s="143">
        <v>9941832000</v>
      </c>
    </row>
    <row r="9564" spans="1:9" x14ac:dyDescent="0.2">
      <c r="A9564" s="172">
        <v>45934</v>
      </c>
      <c r="B9564" s="135">
        <f>YEAR(source[[#This Row],[report_date]])</f>
        <v>2025</v>
      </c>
      <c r="C9564" s="128">
        <f t="shared" si="445"/>
        <v>10</v>
      </c>
      <c r="D9564" s="136">
        <f t="shared" si="447"/>
        <v>40</v>
      </c>
      <c r="E9564" s="136">
        <f t="shared" si="446"/>
        <v>4</v>
      </c>
      <c r="F9564" s="137" t="s">
        <v>24</v>
      </c>
      <c r="G9564" s="128" t="str">
        <f>VLOOKUP(source[[#This Row],[lending_product_transform]],[3]Mapping!$B$4:$C$37,2,0)</f>
        <v>[Cake] - Cashloan</v>
      </c>
      <c r="H9564" s="128" t="str">
        <f>VLOOKUP(source[[#This Row],[lending_product_transform]],[3]Mapping!$B$3:$D$37,3,0)</f>
        <v>cashloan</v>
      </c>
      <c r="I9564" s="143">
        <v>498992532</v>
      </c>
    </row>
    <row r="9565" spans="1:9" x14ac:dyDescent="0.2">
      <c r="A9565" s="172">
        <v>45934</v>
      </c>
      <c r="B9565" s="135">
        <f>YEAR(source[[#This Row],[report_date]])</f>
        <v>2025</v>
      </c>
      <c r="C9565" s="128">
        <f t="shared" si="445"/>
        <v>10</v>
      </c>
      <c r="D9565" s="136">
        <f t="shared" si="447"/>
        <v>40</v>
      </c>
      <c r="E9565" s="136">
        <f t="shared" si="446"/>
        <v>4</v>
      </c>
      <c r="F9565" s="137" t="s">
        <v>24</v>
      </c>
      <c r="G9565" s="128" t="str">
        <f>VLOOKUP(source[[#This Row],[lending_product_transform]],[3]Mapping!$B$4:$C$37,2,0)</f>
        <v>[Cake] - Cashloan</v>
      </c>
      <c r="H9565" s="128" t="str">
        <f>VLOOKUP(source[[#This Row],[lending_product_transform]],[3]Mapping!$B$3:$D$37,3,0)</f>
        <v>cashloan</v>
      </c>
      <c r="I9565" s="143">
        <v>0</v>
      </c>
    </row>
    <row r="9566" spans="1:9" x14ac:dyDescent="0.2">
      <c r="A9566" s="172">
        <v>45934</v>
      </c>
      <c r="B9566" s="135">
        <f>YEAR(source[[#This Row],[report_date]])</f>
        <v>2025</v>
      </c>
      <c r="C9566" s="128">
        <f t="shared" si="445"/>
        <v>10</v>
      </c>
      <c r="D9566" s="136">
        <f t="shared" si="447"/>
        <v>40</v>
      </c>
      <c r="E9566" s="136">
        <f t="shared" si="446"/>
        <v>4</v>
      </c>
      <c r="F9566" s="137" t="s">
        <v>24</v>
      </c>
      <c r="G9566" s="128" t="str">
        <f>VLOOKUP(source[[#This Row],[lending_product_transform]],[3]Mapping!$B$4:$C$37,2,0)</f>
        <v>[Cake] - Cashloan</v>
      </c>
      <c r="H9566" s="128" t="str">
        <f>VLOOKUP(source[[#This Row],[lending_product_transform]],[3]Mapping!$B$3:$D$37,3,0)</f>
        <v>cashloan</v>
      </c>
      <c r="I9566" s="143">
        <v>48000000</v>
      </c>
    </row>
    <row r="9567" spans="1:9" x14ac:dyDescent="0.2">
      <c r="A9567" s="172">
        <v>45934</v>
      </c>
      <c r="B9567" s="135">
        <f>YEAR(source[[#This Row],[report_date]])</f>
        <v>2025</v>
      </c>
      <c r="C9567" s="128">
        <f t="shared" si="445"/>
        <v>10</v>
      </c>
      <c r="D9567" s="136">
        <f t="shared" si="447"/>
        <v>40</v>
      </c>
      <c r="E9567" s="136">
        <f t="shared" si="446"/>
        <v>4</v>
      </c>
      <c r="F9567" s="137" t="s">
        <v>24</v>
      </c>
      <c r="G9567" s="128" t="str">
        <f>VLOOKUP(source[[#This Row],[lending_product_transform]],[3]Mapping!$B$4:$C$37,2,0)</f>
        <v>[Cake] - Cashloan</v>
      </c>
      <c r="H9567" s="128" t="str">
        <f>VLOOKUP(source[[#This Row],[lending_product_transform]],[3]Mapping!$B$3:$D$37,3,0)</f>
        <v>cashloan</v>
      </c>
      <c r="I9567" s="143">
        <v>422780000</v>
      </c>
    </row>
    <row r="9568" spans="1:9" x14ac:dyDescent="0.2">
      <c r="A9568" s="172">
        <v>45934</v>
      </c>
      <c r="B9568" s="135">
        <f>YEAR(source[[#This Row],[report_date]])</f>
        <v>2025</v>
      </c>
      <c r="C9568" s="128">
        <f t="shared" si="445"/>
        <v>10</v>
      </c>
      <c r="D9568" s="136">
        <f t="shared" si="447"/>
        <v>40</v>
      </c>
      <c r="E9568" s="136">
        <f t="shared" si="446"/>
        <v>4</v>
      </c>
      <c r="F9568" s="137" t="s">
        <v>24</v>
      </c>
      <c r="G9568" s="128" t="str">
        <f>VLOOKUP(source[[#This Row],[lending_product_transform]],[3]Mapping!$B$4:$C$37,2,0)</f>
        <v>[Cake] - Cashloan</v>
      </c>
      <c r="H9568" s="128" t="str">
        <f>VLOOKUP(source[[#This Row],[lending_product_transform]],[3]Mapping!$B$3:$D$37,3,0)</f>
        <v>cashloan</v>
      </c>
      <c r="I9568" s="143">
        <v>198720000</v>
      </c>
    </row>
    <row r="9569" spans="1:9" x14ac:dyDescent="0.2">
      <c r="A9569" s="172">
        <v>45934</v>
      </c>
      <c r="B9569" s="135">
        <f>YEAR(source[[#This Row],[report_date]])</f>
        <v>2025</v>
      </c>
      <c r="C9569" s="128">
        <f t="shared" si="445"/>
        <v>10</v>
      </c>
      <c r="D9569" s="136">
        <f t="shared" si="447"/>
        <v>40</v>
      </c>
      <c r="E9569" s="136">
        <f t="shared" si="446"/>
        <v>4</v>
      </c>
      <c r="F9569" s="137" t="s">
        <v>24</v>
      </c>
      <c r="G9569" s="128" t="str">
        <f>VLOOKUP(source[[#This Row],[lending_product_transform]],[3]Mapping!$B$4:$C$37,2,0)</f>
        <v>[Cake] - Cashloan</v>
      </c>
      <c r="H9569" s="128" t="str">
        <f>VLOOKUP(source[[#This Row],[lending_product_transform]],[3]Mapping!$B$3:$D$37,3,0)</f>
        <v>cashloan</v>
      </c>
      <c r="I9569" s="143">
        <v>1114121332</v>
      </c>
    </row>
    <row r="9570" spans="1:9" x14ac:dyDescent="0.2">
      <c r="A9570" s="172">
        <v>45934</v>
      </c>
      <c r="B9570" s="135">
        <f>YEAR(source[[#This Row],[report_date]])</f>
        <v>2025</v>
      </c>
      <c r="C9570" s="128">
        <f t="shared" si="445"/>
        <v>10</v>
      </c>
      <c r="D9570" s="136">
        <f t="shared" si="447"/>
        <v>40</v>
      </c>
      <c r="E9570" s="136">
        <f t="shared" si="446"/>
        <v>4</v>
      </c>
      <c r="F9570" s="137" t="s">
        <v>24</v>
      </c>
      <c r="G9570" s="128" t="str">
        <f>VLOOKUP(source[[#This Row],[lending_product_transform]],[3]Mapping!$B$4:$C$37,2,0)</f>
        <v>[Cake] - Cashloan</v>
      </c>
      <c r="H9570" s="128" t="str">
        <f>VLOOKUP(source[[#This Row],[lending_product_transform]],[3]Mapping!$B$3:$D$37,3,0)</f>
        <v>cashloan</v>
      </c>
      <c r="I9570" s="143">
        <v>4744330000</v>
      </c>
    </row>
    <row r="9571" spans="1:9" x14ac:dyDescent="0.2">
      <c r="A9571" s="172">
        <v>45935</v>
      </c>
      <c r="B9571" s="135">
        <f>YEAR(source[[#This Row],[report_date]])</f>
        <v>2025</v>
      </c>
      <c r="C9571" s="128">
        <f t="shared" si="445"/>
        <v>10</v>
      </c>
      <c r="D9571" s="136">
        <f t="shared" si="447"/>
        <v>40</v>
      </c>
      <c r="E9571" s="136">
        <f t="shared" si="446"/>
        <v>5</v>
      </c>
      <c r="F9571" s="137" t="s">
        <v>24</v>
      </c>
      <c r="G9571" s="128" t="str">
        <f>VLOOKUP(source[[#This Row],[lending_product_transform]],[3]Mapping!$B$4:$C$37,2,0)</f>
        <v>[Cake] - Cashloan</v>
      </c>
      <c r="H9571" s="128" t="str">
        <f>VLOOKUP(source[[#This Row],[lending_product_transform]],[3]Mapping!$B$3:$D$37,3,0)</f>
        <v>cashloan</v>
      </c>
      <c r="I9571" s="143">
        <v>0</v>
      </c>
    </row>
    <row r="9572" spans="1:9" x14ac:dyDescent="0.2">
      <c r="A9572" s="172">
        <v>45935</v>
      </c>
      <c r="B9572" s="135">
        <f>YEAR(source[[#This Row],[report_date]])</f>
        <v>2025</v>
      </c>
      <c r="C9572" s="128">
        <f t="shared" si="445"/>
        <v>10</v>
      </c>
      <c r="D9572" s="136">
        <f t="shared" si="447"/>
        <v>40</v>
      </c>
      <c r="E9572" s="136">
        <f t="shared" si="446"/>
        <v>5</v>
      </c>
      <c r="F9572" s="137" t="s">
        <v>24</v>
      </c>
      <c r="G9572" s="128" t="str">
        <f>VLOOKUP(source[[#This Row],[lending_product_transform]],[3]Mapping!$B$4:$C$37,2,0)</f>
        <v>[Cake] - Cashloan</v>
      </c>
      <c r="H9572" s="128" t="str">
        <f>VLOOKUP(source[[#This Row],[lending_product_transform]],[3]Mapping!$B$3:$D$37,3,0)</f>
        <v>cashloan</v>
      </c>
      <c r="I9572" s="143">
        <v>457613524</v>
      </c>
    </row>
    <row r="9573" spans="1:9" x14ac:dyDescent="0.2">
      <c r="A9573" s="172">
        <v>45935</v>
      </c>
      <c r="B9573" s="135">
        <f>YEAR(source[[#This Row],[report_date]])</f>
        <v>2025</v>
      </c>
      <c r="C9573" s="128">
        <f t="shared" si="445"/>
        <v>10</v>
      </c>
      <c r="D9573" s="136">
        <f t="shared" si="447"/>
        <v>40</v>
      </c>
      <c r="E9573" s="136">
        <f t="shared" si="446"/>
        <v>5</v>
      </c>
      <c r="F9573" s="137" t="s">
        <v>24</v>
      </c>
      <c r="G9573" s="128" t="str">
        <f>VLOOKUP(source[[#This Row],[lending_product_transform]],[3]Mapping!$B$4:$C$37,2,0)</f>
        <v>[Cake] - Cashloan</v>
      </c>
      <c r="H9573" s="128" t="str">
        <f>VLOOKUP(source[[#This Row],[lending_product_transform]],[3]Mapping!$B$3:$D$37,3,0)</f>
        <v>cashloan</v>
      </c>
      <c r="I9573" s="143">
        <v>14344150000</v>
      </c>
    </row>
    <row r="9574" spans="1:9" x14ac:dyDescent="0.2">
      <c r="A9574" s="172">
        <v>45935</v>
      </c>
      <c r="B9574" s="135">
        <f>YEAR(source[[#This Row],[report_date]])</f>
        <v>2025</v>
      </c>
      <c r="C9574" s="128">
        <f t="shared" si="445"/>
        <v>10</v>
      </c>
      <c r="D9574" s="136">
        <f t="shared" si="447"/>
        <v>40</v>
      </c>
      <c r="E9574" s="136">
        <f t="shared" si="446"/>
        <v>5</v>
      </c>
      <c r="F9574" s="137" t="s">
        <v>24</v>
      </c>
      <c r="G9574" s="128" t="str">
        <f>VLOOKUP(source[[#This Row],[lending_product_transform]],[3]Mapping!$B$4:$C$37,2,0)</f>
        <v>[Cake] - Cashloan</v>
      </c>
      <c r="H9574" s="128" t="str">
        <f>VLOOKUP(source[[#This Row],[lending_product_transform]],[3]Mapping!$B$3:$D$37,3,0)</f>
        <v>cashloan</v>
      </c>
      <c r="I9574" s="143">
        <v>2972278700</v>
      </c>
    </row>
    <row r="9575" spans="1:9" x14ac:dyDescent="0.2">
      <c r="A9575" s="172">
        <v>45935</v>
      </c>
      <c r="B9575" s="135">
        <f>YEAR(source[[#This Row],[report_date]])</f>
        <v>2025</v>
      </c>
      <c r="C9575" s="128">
        <f t="shared" si="445"/>
        <v>10</v>
      </c>
      <c r="D9575" s="136">
        <f t="shared" si="447"/>
        <v>40</v>
      </c>
      <c r="E9575" s="136">
        <f t="shared" si="446"/>
        <v>5</v>
      </c>
      <c r="F9575" s="137" t="s">
        <v>24</v>
      </c>
      <c r="G9575" s="128" t="str">
        <f>VLOOKUP(source[[#This Row],[lending_product_transform]],[3]Mapping!$B$4:$C$37,2,0)</f>
        <v>[Cake] - Cashloan</v>
      </c>
      <c r="H9575" s="128" t="str">
        <f>VLOOKUP(source[[#This Row],[lending_product_transform]],[3]Mapping!$B$3:$D$37,3,0)</f>
        <v>cashloan</v>
      </c>
      <c r="I9575" s="143">
        <v>8378964000</v>
      </c>
    </row>
    <row r="9576" spans="1:9" x14ac:dyDescent="0.2">
      <c r="A9576" s="172">
        <v>45935</v>
      </c>
      <c r="B9576" s="135">
        <f>YEAR(source[[#This Row],[report_date]])</f>
        <v>2025</v>
      </c>
      <c r="C9576" s="128">
        <f t="shared" si="445"/>
        <v>10</v>
      </c>
      <c r="D9576" s="136">
        <f t="shared" si="447"/>
        <v>40</v>
      </c>
      <c r="E9576" s="136">
        <f t="shared" si="446"/>
        <v>5</v>
      </c>
      <c r="F9576" s="137" t="s">
        <v>24</v>
      </c>
      <c r="G9576" s="128" t="str">
        <f>VLOOKUP(source[[#This Row],[lending_product_transform]],[3]Mapping!$B$4:$C$37,2,0)</f>
        <v>[Cake] - Cashloan</v>
      </c>
      <c r="H9576" s="128" t="str">
        <f>VLOOKUP(source[[#This Row],[lending_product_transform]],[3]Mapping!$B$3:$D$37,3,0)</f>
        <v>cashloan</v>
      </c>
      <c r="I9576" s="143">
        <v>82154344</v>
      </c>
    </row>
    <row r="9577" spans="1:9" x14ac:dyDescent="0.2">
      <c r="A9577" s="172">
        <v>45935</v>
      </c>
      <c r="B9577" s="135">
        <f>YEAR(source[[#This Row],[report_date]])</f>
        <v>2025</v>
      </c>
      <c r="C9577" s="128">
        <f t="shared" si="445"/>
        <v>10</v>
      </c>
      <c r="D9577" s="136">
        <f t="shared" si="447"/>
        <v>40</v>
      </c>
      <c r="E9577" s="136">
        <f t="shared" si="446"/>
        <v>5</v>
      </c>
      <c r="F9577" s="137" t="s">
        <v>24</v>
      </c>
      <c r="G9577" s="128" t="str">
        <f>VLOOKUP(source[[#This Row],[lending_product_transform]],[3]Mapping!$B$4:$C$37,2,0)</f>
        <v>[Cake] - Cashloan</v>
      </c>
      <c r="H9577" s="128" t="str">
        <f>VLOOKUP(source[[#This Row],[lending_product_transform]],[3]Mapping!$B$3:$D$37,3,0)</f>
        <v>cashloan</v>
      </c>
      <c r="I9577" s="143">
        <v>3427220000</v>
      </c>
    </row>
    <row r="9578" spans="1:9" x14ac:dyDescent="0.2">
      <c r="A9578" s="172">
        <v>45935</v>
      </c>
      <c r="B9578" s="135">
        <f>YEAR(source[[#This Row],[report_date]])</f>
        <v>2025</v>
      </c>
      <c r="C9578" s="128">
        <f t="shared" si="445"/>
        <v>10</v>
      </c>
      <c r="D9578" s="136">
        <f t="shared" si="447"/>
        <v>40</v>
      </c>
      <c r="E9578" s="136">
        <f t="shared" si="446"/>
        <v>5</v>
      </c>
      <c r="F9578" s="137" t="s">
        <v>24</v>
      </c>
      <c r="G9578" s="128" t="str">
        <f>VLOOKUP(source[[#This Row],[lending_product_transform]],[3]Mapping!$B$4:$C$37,2,0)</f>
        <v>[Cake] - Cashloan</v>
      </c>
      <c r="H9578" s="128" t="str">
        <f>VLOOKUP(source[[#This Row],[lending_product_transform]],[3]Mapping!$B$3:$D$37,3,0)</f>
        <v>cashloan</v>
      </c>
      <c r="I9578" s="143">
        <v>44289000</v>
      </c>
    </row>
    <row r="9579" spans="1:9" x14ac:dyDescent="0.2">
      <c r="A9579" s="172">
        <v>45935</v>
      </c>
      <c r="B9579" s="135">
        <f>YEAR(source[[#This Row],[report_date]])</f>
        <v>2025</v>
      </c>
      <c r="C9579" s="128">
        <f t="shared" si="445"/>
        <v>10</v>
      </c>
      <c r="D9579" s="136">
        <f t="shared" si="447"/>
        <v>40</v>
      </c>
      <c r="E9579" s="136">
        <f t="shared" si="446"/>
        <v>5</v>
      </c>
      <c r="F9579" s="137" t="s">
        <v>24</v>
      </c>
      <c r="G9579" s="128" t="str">
        <f>VLOOKUP(source[[#This Row],[lending_product_transform]],[3]Mapping!$B$4:$C$37,2,0)</f>
        <v>[Cake] - Cashloan</v>
      </c>
      <c r="H9579" s="128" t="str">
        <f>VLOOKUP(source[[#This Row],[lending_product_transform]],[3]Mapping!$B$3:$D$37,3,0)</f>
        <v>cashloan</v>
      </c>
      <c r="I9579" s="143">
        <v>869855000</v>
      </c>
    </row>
    <row r="9580" spans="1:9" x14ac:dyDescent="0.2">
      <c r="A9580" s="172">
        <v>45935</v>
      </c>
      <c r="B9580" s="135">
        <f>YEAR(source[[#This Row],[report_date]])</f>
        <v>2025</v>
      </c>
      <c r="C9580" s="128">
        <f t="shared" si="445"/>
        <v>10</v>
      </c>
      <c r="D9580" s="136">
        <f t="shared" si="447"/>
        <v>40</v>
      </c>
      <c r="E9580" s="136">
        <f t="shared" si="446"/>
        <v>5</v>
      </c>
      <c r="F9580" s="137" t="s">
        <v>24</v>
      </c>
      <c r="G9580" s="128" t="str">
        <f>VLOOKUP(source[[#This Row],[lending_product_transform]],[3]Mapping!$B$4:$C$37,2,0)</f>
        <v>[Cake] - Cashloan</v>
      </c>
      <c r="H9580" s="128" t="str">
        <f>VLOOKUP(source[[#This Row],[lending_product_transform]],[3]Mapping!$B$3:$D$37,3,0)</f>
        <v>cashloan</v>
      </c>
      <c r="I9580" s="143">
        <v>0</v>
      </c>
    </row>
    <row r="9581" spans="1:9" x14ac:dyDescent="0.2">
      <c r="A9581" s="172">
        <v>45935</v>
      </c>
      <c r="B9581" s="135">
        <f>YEAR(source[[#This Row],[report_date]])</f>
        <v>2025</v>
      </c>
      <c r="C9581" s="128">
        <f t="shared" si="445"/>
        <v>10</v>
      </c>
      <c r="D9581" s="136">
        <f t="shared" si="447"/>
        <v>40</v>
      </c>
      <c r="E9581" s="136">
        <f t="shared" si="446"/>
        <v>5</v>
      </c>
      <c r="F9581" s="137" t="s">
        <v>24</v>
      </c>
      <c r="G9581" s="128" t="str">
        <f>VLOOKUP(source[[#This Row],[lending_product_transform]],[3]Mapping!$B$4:$C$37,2,0)</f>
        <v>[Cake] - Cashloan</v>
      </c>
      <c r="H9581" s="128" t="str">
        <f>VLOOKUP(source[[#This Row],[lending_product_transform]],[3]Mapping!$B$3:$D$37,3,0)</f>
        <v>cashloan</v>
      </c>
      <c r="I9581" s="143">
        <v>220500000</v>
      </c>
    </row>
    <row r="9582" spans="1:9" x14ac:dyDescent="0.2">
      <c r="A9582" s="172">
        <v>45935</v>
      </c>
      <c r="B9582" s="135">
        <f>YEAR(source[[#This Row],[report_date]])</f>
        <v>2025</v>
      </c>
      <c r="C9582" s="128">
        <f t="shared" si="445"/>
        <v>10</v>
      </c>
      <c r="D9582" s="136">
        <f t="shared" si="447"/>
        <v>40</v>
      </c>
      <c r="E9582" s="136">
        <f t="shared" si="446"/>
        <v>5</v>
      </c>
      <c r="F9582" s="137" t="s">
        <v>24</v>
      </c>
      <c r="G9582" s="128" t="str">
        <f>VLOOKUP(source[[#This Row],[lending_product_transform]],[3]Mapping!$B$4:$C$37,2,0)</f>
        <v>[Cake] - Cashloan</v>
      </c>
      <c r="H9582" s="128" t="str">
        <f>VLOOKUP(source[[#This Row],[lending_product_transform]],[3]Mapping!$B$3:$D$37,3,0)</f>
        <v>cashloan</v>
      </c>
      <c r="I9582" s="143">
        <v>15158110000</v>
      </c>
    </row>
    <row r="9583" spans="1:9" x14ac:dyDescent="0.2">
      <c r="A9583" s="172">
        <v>45935</v>
      </c>
      <c r="B9583" s="135">
        <f>YEAR(source[[#This Row],[report_date]])</f>
        <v>2025</v>
      </c>
      <c r="C9583" s="128">
        <f t="shared" si="445"/>
        <v>10</v>
      </c>
      <c r="D9583" s="136">
        <f t="shared" si="447"/>
        <v>40</v>
      </c>
      <c r="E9583" s="136">
        <f t="shared" si="446"/>
        <v>5</v>
      </c>
      <c r="F9583" s="137" t="s">
        <v>24</v>
      </c>
      <c r="G9583" s="128" t="str">
        <f>VLOOKUP(source[[#This Row],[lending_product_transform]],[3]Mapping!$B$4:$C$37,2,0)</f>
        <v>[Cake] - Cashloan</v>
      </c>
      <c r="H9583" s="128" t="str">
        <f>VLOOKUP(source[[#This Row],[lending_product_transform]],[3]Mapping!$B$3:$D$37,3,0)</f>
        <v>cashloan</v>
      </c>
      <c r="I9583" s="143">
        <v>0</v>
      </c>
    </row>
    <row r="9584" spans="1:9" x14ac:dyDescent="0.2">
      <c r="A9584" s="172">
        <v>45935</v>
      </c>
      <c r="B9584" s="135">
        <f>YEAR(source[[#This Row],[report_date]])</f>
        <v>2025</v>
      </c>
      <c r="C9584" s="128">
        <f t="shared" si="445"/>
        <v>10</v>
      </c>
      <c r="D9584" s="136">
        <f t="shared" si="447"/>
        <v>40</v>
      </c>
      <c r="E9584" s="136">
        <f t="shared" si="446"/>
        <v>5</v>
      </c>
      <c r="F9584" s="137" t="s">
        <v>24</v>
      </c>
      <c r="G9584" s="128" t="str">
        <f>VLOOKUP(source[[#This Row],[lending_product_transform]],[3]Mapping!$B$4:$C$37,2,0)</f>
        <v>[Cake] - Cashloan</v>
      </c>
      <c r="H9584" s="128" t="str">
        <f>VLOOKUP(source[[#This Row],[lending_product_transform]],[3]Mapping!$B$3:$D$37,3,0)</f>
        <v>cashloan</v>
      </c>
      <c r="I9584" s="143">
        <v>0</v>
      </c>
    </row>
    <row r="9585" spans="1:9" x14ac:dyDescent="0.2">
      <c r="A9585" s="172">
        <v>45935</v>
      </c>
      <c r="B9585" s="135">
        <f>YEAR(source[[#This Row],[report_date]])</f>
        <v>2025</v>
      </c>
      <c r="C9585" s="128">
        <f t="shared" si="445"/>
        <v>10</v>
      </c>
      <c r="D9585" s="136">
        <f t="shared" si="447"/>
        <v>40</v>
      </c>
      <c r="E9585" s="136">
        <f t="shared" si="446"/>
        <v>5</v>
      </c>
      <c r="F9585" s="137" t="s">
        <v>24</v>
      </c>
      <c r="G9585" s="128" t="str">
        <f>VLOOKUP(source[[#This Row],[lending_product_transform]],[3]Mapping!$B$4:$C$37,2,0)</f>
        <v>[Cake] - Cashloan</v>
      </c>
      <c r="H9585" s="128" t="str">
        <f>VLOOKUP(source[[#This Row],[lending_product_transform]],[3]Mapping!$B$3:$D$37,3,0)</f>
        <v>cashloan</v>
      </c>
      <c r="I9585" s="143">
        <v>0</v>
      </c>
    </row>
    <row r="9586" spans="1:9" x14ac:dyDescent="0.2">
      <c r="A9586" s="172">
        <v>45935</v>
      </c>
      <c r="B9586" s="135">
        <f>YEAR(source[[#This Row],[report_date]])</f>
        <v>2025</v>
      </c>
      <c r="C9586" s="128">
        <f t="shared" si="445"/>
        <v>10</v>
      </c>
      <c r="D9586" s="136">
        <f t="shared" si="447"/>
        <v>40</v>
      </c>
      <c r="E9586" s="136">
        <f t="shared" si="446"/>
        <v>5</v>
      </c>
      <c r="F9586" s="137" t="s">
        <v>24</v>
      </c>
      <c r="G9586" s="128" t="str">
        <f>VLOOKUP(source[[#This Row],[lending_product_transform]],[3]Mapping!$B$4:$C$37,2,0)</f>
        <v>[Cake] - Cashloan</v>
      </c>
      <c r="H9586" s="128" t="str">
        <f>VLOOKUP(source[[#This Row],[lending_product_transform]],[3]Mapping!$B$3:$D$37,3,0)</f>
        <v>cashloan</v>
      </c>
      <c r="I9586" s="143">
        <v>5000000</v>
      </c>
    </row>
    <row r="9587" spans="1:9" x14ac:dyDescent="0.2">
      <c r="A9587" s="172">
        <v>45935</v>
      </c>
      <c r="B9587" s="135">
        <f>YEAR(source[[#This Row],[report_date]])</f>
        <v>2025</v>
      </c>
      <c r="C9587" s="128">
        <f t="shared" si="445"/>
        <v>10</v>
      </c>
      <c r="D9587" s="136">
        <f t="shared" si="447"/>
        <v>40</v>
      </c>
      <c r="E9587" s="136">
        <f t="shared" si="446"/>
        <v>5</v>
      </c>
      <c r="F9587" s="137" t="s">
        <v>24</v>
      </c>
      <c r="G9587" s="128" t="str">
        <f>VLOOKUP(source[[#This Row],[lending_product_transform]],[3]Mapping!$B$4:$C$37,2,0)</f>
        <v>[Cake] - Cashloan</v>
      </c>
      <c r="H9587" s="128" t="str">
        <f>VLOOKUP(source[[#This Row],[lending_product_transform]],[3]Mapping!$B$3:$D$37,3,0)</f>
        <v>cashloan</v>
      </c>
      <c r="I9587" s="143">
        <v>10601928000</v>
      </c>
    </row>
    <row r="9588" spans="1:9" x14ac:dyDescent="0.2">
      <c r="A9588" s="172">
        <v>45935</v>
      </c>
      <c r="B9588" s="135">
        <f>YEAR(source[[#This Row],[report_date]])</f>
        <v>2025</v>
      </c>
      <c r="C9588" s="128">
        <f t="shared" si="445"/>
        <v>10</v>
      </c>
      <c r="D9588" s="136">
        <f t="shared" si="447"/>
        <v>40</v>
      </c>
      <c r="E9588" s="136">
        <f t="shared" si="446"/>
        <v>5</v>
      </c>
      <c r="F9588" s="137" t="s">
        <v>24</v>
      </c>
      <c r="G9588" s="128" t="str">
        <f>VLOOKUP(source[[#This Row],[lending_product_transform]],[3]Mapping!$B$4:$C$37,2,0)</f>
        <v>[Cake] - Cashloan</v>
      </c>
      <c r="H9588" s="128" t="str">
        <f>VLOOKUP(source[[#This Row],[lending_product_transform]],[3]Mapping!$B$3:$D$37,3,0)</f>
        <v>cashloan</v>
      </c>
      <c r="I9588" s="143">
        <v>634902889</v>
      </c>
    </row>
    <row r="9589" spans="1:9" x14ac:dyDescent="0.2">
      <c r="A9589" s="172">
        <v>45935</v>
      </c>
      <c r="B9589" s="135">
        <f>YEAR(source[[#This Row],[report_date]])</f>
        <v>2025</v>
      </c>
      <c r="C9589" s="128">
        <f t="shared" si="445"/>
        <v>10</v>
      </c>
      <c r="D9589" s="136">
        <f t="shared" si="447"/>
        <v>40</v>
      </c>
      <c r="E9589" s="136">
        <f t="shared" si="446"/>
        <v>5</v>
      </c>
      <c r="F9589" s="137" t="s">
        <v>24</v>
      </c>
      <c r="G9589" s="128" t="str">
        <f>VLOOKUP(source[[#This Row],[lending_product_transform]],[3]Mapping!$B$4:$C$37,2,0)</f>
        <v>[Cake] - Cashloan</v>
      </c>
      <c r="H9589" s="128" t="str">
        <f>VLOOKUP(source[[#This Row],[lending_product_transform]],[3]Mapping!$B$3:$D$37,3,0)</f>
        <v>cashloan</v>
      </c>
      <c r="I9589" s="143">
        <v>52500000</v>
      </c>
    </row>
    <row r="9590" spans="1:9" x14ac:dyDescent="0.2">
      <c r="A9590" s="172">
        <v>45935</v>
      </c>
      <c r="B9590" s="135">
        <f>YEAR(source[[#This Row],[report_date]])</f>
        <v>2025</v>
      </c>
      <c r="C9590" s="128">
        <f t="shared" ref="C9590:C9653" si="448">MONTH(A9590)</f>
        <v>10</v>
      </c>
      <c r="D9590" s="136">
        <f t="shared" si="447"/>
        <v>40</v>
      </c>
      <c r="E9590" s="136">
        <f t="shared" ref="E9590:E9653" si="449">DAY(A9590)</f>
        <v>5</v>
      </c>
      <c r="F9590" s="137" t="s">
        <v>24</v>
      </c>
      <c r="G9590" s="128" t="str">
        <f>VLOOKUP(source[[#This Row],[lending_product_transform]],[3]Mapping!$B$4:$C$37,2,0)</f>
        <v>[Cake] - Cashloan</v>
      </c>
      <c r="H9590" s="128" t="str">
        <f>VLOOKUP(source[[#This Row],[lending_product_transform]],[3]Mapping!$B$3:$D$37,3,0)</f>
        <v>cashloan</v>
      </c>
      <c r="I9590" s="143">
        <v>50000000</v>
      </c>
    </row>
    <row r="9591" spans="1:9" x14ac:dyDescent="0.2">
      <c r="A9591" s="172">
        <v>45935</v>
      </c>
      <c r="B9591" s="135">
        <f>YEAR(source[[#This Row],[report_date]])</f>
        <v>2025</v>
      </c>
      <c r="C9591" s="128">
        <f t="shared" si="448"/>
        <v>10</v>
      </c>
      <c r="D9591" s="136">
        <f t="shared" si="447"/>
        <v>40</v>
      </c>
      <c r="E9591" s="136">
        <f t="shared" si="449"/>
        <v>5</v>
      </c>
      <c r="F9591" s="137" t="s">
        <v>24</v>
      </c>
      <c r="G9591" s="128" t="str">
        <f>VLOOKUP(source[[#This Row],[lending_product_transform]],[3]Mapping!$B$4:$C$37,2,0)</f>
        <v>[Cake] - Cashloan</v>
      </c>
      <c r="H9591" s="128" t="str">
        <f>VLOOKUP(source[[#This Row],[lending_product_transform]],[3]Mapping!$B$3:$D$37,3,0)</f>
        <v>cashloan</v>
      </c>
      <c r="I9591" s="143">
        <v>537110000</v>
      </c>
    </row>
    <row r="9592" spans="1:9" x14ac:dyDescent="0.2">
      <c r="A9592" s="172">
        <v>45935</v>
      </c>
      <c r="B9592" s="135">
        <f>YEAR(source[[#This Row],[report_date]])</f>
        <v>2025</v>
      </c>
      <c r="C9592" s="128">
        <f t="shared" si="448"/>
        <v>10</v>
      </c>
      <c r="D9592" s="136">
        <f t="shared" si="447"/>
        <v>40</v>
      </c>
      <c r="E9592" s="136">
        <f t="shared" si="449"/>
        <v>5</v>
      </c>
      <c r="F9592" s="137" t="s">
        <v>24</v>
      </c>
      <c r="G9592" s="128" t="str">
        <f>VLOOKUP(source[[#This Row],[lending_product_transform]],[3]Mapping!$B$4:$C$37,2,0)</f>
        <v>[Cake] - Cashloan</v>
      </c>
      <c r="H9592" s="128" t="str">
        <f>VLOOKUP(source[[#This Row],[lending_product_transform]],[3]Mapping!$B$3:$D$37,3,0)</f>
        <v>cashloan</v>
      </c>
      <c r="I9592" s="143">
        <v>223560000</v>
      </c>
    </row>
    <row r="9593" spans="1:9" x14ac:dyDescent="0.2">
      <c r="A9593" s="172">
        <v>45935</v>
      </c>
      <c r="B9593" s="135">
        <f>YEAR(source[[#This Row],[report_date]])</f>
        <v>2025</v>
      </c>
      <c r="C9593" s="128">
        <f t="shared" si="448"/>
        <v>10</v>
      </c>
      <c r="D9593" s="136">
        <f t="shared" si="447"/>
        <v>40</v>
      </c>
      <c r="E9593" s="136">
        <f t="shared" si="449"/>
        <v>5</v>
      </c>
      <c r="F9593" s="137" t="s">
        <v>24</v>
      </c>
      <c r="G9593" s="128" t="str">
        <f>VLOOKUP(source[[#This Row],[lending_product_transform]],[3]Mapping!$B$4:$C$37,2,0)</f>
        <v>[Cake] - Cashloan</v>
      </c>
      <c r="H9593" s="128" t="str">
        <f>VLOOKUP(source[[#This Row],[lending_product_transform]],[3]Mapping!$B$3:$D$37,3,0)</f>
        <v>cashloan</v>
      </c>
      <c r="I9593" s="143">
        <v>1372434879</v>
      </c>
    </row>
    <row r="9594" spans="1:9" x14ac:dyDescent="0.2">
      <c r="A9594" s="172">
        <v>45935</v>
      </c>
      <c r="B9594" s="135">
        <f>YEAR(source[[#This Row],[report_date]])</f>
        <v>2025</v>
      </c>
      <c r="C9594" s="128">
        <f t="shared" si="448"/>
        <v>10</v>
      </c>
      <c r="D9594" s="136">
        <f t="shared" si="447"/>
        <v>40</v>
      </c>
      <c r="E9594" s="136">
        <f t="shared" si="449"/>
        <v>5</v>
      </c>
      <c r="F9594" s="137" t="s">
        <v>24</v>
      </c>
      <c r="G9594" s="128" t="str">
        <f>VLOOKUP(source[[#This Row],[lending_product_transform]],[3]Mapping!$B$4:$C$37,2,0)</f>
        <v>[Cake] - Cashloan</v>
      </c>
      <c r="H9594" s="128" t="str">
        <f>VLOOKUP(source[[#This Row],[lending_product_transform]],[3]Mapping!$B$3:$D$37,3,0)</f>
        <v>cashloan</v>
      </c>
      <c r="I9594" s="143">
        <v>4576410000</v>
      </c>
    </row>
    <row r="9595" spans="1:9" x14ac:dyDescent="0.2">
      <c r="A9595" s="172">
        <v>45936</v>
      </c>
      <c r="B9595" s="135">
        <f>YEAR(source[[#This Row],[report_date]])</f>
        <v>2025</v>
      </c>
      <c r="C9595" s="128">
        <f t="shared" si="448"/>
        <v>10</v>
      </c>
      <c r="D9595" s="136">
        <f t="shared" si="447"/>
        <v>41</v>
      </c>
      <c r="E9595" s="136">
        <f t="shared" si="449"/>
        <v>6</v>
      </c>
      <c r="F9595" s="137" t="s">
        <v>24</v>
      </c>
      <c r="G9595" s="128" t="str">
        <f>VLOOKUP(source[[#This Row],[lending_product_transform]],[3]Mapping!$B$4:$C$37,2,0)</f>
        <v>[Cake] - Cashloan</v>
      </c>
      <c r="H9595" s="128" t="str">
        <f>VLOOKUP(source[[#This Row],[lending_product_transform]],[3]Mapping!$B$3:$D$37,3,0)</f>
        <v>cashloan</v>
      </c>
      <c r="I9595" s="143">
        <v>0</v>
      </c>
    </row>
    <row r="9596" spans="1:9" x14ac:dyDescent="0.2">
      <c r="A9596" s="172">
        <v>45936</v>
      </c>
      <c r="B9596" s="135">
        <f>YEAR(source[[#This Row],[report_date]])</f>
        <v>2025</v>
      </c>
      <c r="C9596" s="128">
        <f t="shared" si="448"/>
        <v>10</v>
      </c>
      <c r="D9596" s="136">
        <f t="shared" si="447"/>
        <v>41</v>
      </c>
      <c r="E9596" s="136">
        <f t="shared" si="449"/>
        <v>6</v>
      </c>
      <c r="F9596" s="137" t="s">
        <v>24</v>
      </c>
      <c r="G9596" s="128" t="str">
        <f>VLOOKUP(source[[#This Row],[lending_product_transform]],[3]Mapping!$B$4:$C$37,2,0)</f>
        <v>[Cake] - Cashloan</v>
      </c>
      <c r="H9596" s="128" t="str">
        <f>VLOOKUP(source[[#This Row],[lending_product_transform]],[3]Mapping!$B$3:$D$37,3,0)</f>
        <v>cashloan</v>
      </c>
      <c r="I9596" s="143">
        <v>427333920</v>
      </c>
    </row>
    <row r="9597" spans="1:9" x14ac:dyDescent="0.2">
      <c r="A9597" s="172">
        <v>45936</v>
      </c>
      <c r="B9597" s="135">
        <f>YEAR(source[[#This Row],[report_date]])</f>
        <v>2025</v>
      </c>
      <c r="C9597" s="128">
        <f t="shared" si="448"/>
        <v>10</v>
      </c>
      <c r="D9597" s="136">
        <f t="shared" si="447"/>
        <v>41</v>
      </c>
      <c r="E9597" s="136">
        <f t="shared" si="449"/>
        <v>6</v>
      </c>
      <c r="F9597" s="137" t="s">
        <v>24</v>
      </c>
      <c r="G9597" s="128" t="str">
        <f>VLOOKUP(source[[#This Row],[lending_product_transform]],[3]Mapping!$B$4:$C$37,2,0)</f>
        <v>[Cake] - Cashloan</v>
      </c>
      <c r="H9597" s="128" t="str">
        <f>VLOOKUP(source[[#This Row],[lending_product_transform]],[3]Mapping!$B$3:$D$37,3,0)</f>
        <v>cashloan</v>
      </c>
      <c r="I9597" s="143">
        <v>18221070000</v>
      </c>
    </row>
    <row r="9598" spans="1:9" x14ac:dyDescent="0.2">
      <c r="A9598" s="172">
        <v>45936</v>
      </c>
      <c r="B9598" s="135">
        <f>YEAR(source[[#This Row],[report_date]])</f>
        <v>2025</v>
      </c>
      <c r="C9598" s="128">
        <f t="shared" si="448"/>
        <v>10</v>
      </c>
      <c r="D9598" s="136">
        <f t="shared" si="447"/>
        <v>41</v>
      </c>
      <c r="E9598" s="136">
        <f t="shared" si="449"/>
        <v>6</v>
      </c>
      <c r="F9598" s="137" t="s">
        <v>24</v>
      </c>
      <c r="G9598" s="128" t="str">
        <f>VLOOKUP(source[[#This Row],[lending_product_transform]],[3]Mapping!$B$4:$C$37,2,0)</f>
        <v>[Cake] - Cashloan</v>
      </c>
      <c r="H9598" s="128" t="str">
        <f>VLOOKUP(source[[#This Row],[lending_product_transform]],[3]Mapping!$B$3:$D$37,3,0)</f>
        <v>cashloan</v>
      </c>
      <c r="I9598" s="143">
        <v>3097890504</v>
      </c>
    </row>
    <row r="9599" spans="1:9" x14ac:dyDescent="0.2">
      <c r="A9599" s="172">
        <v>45936</v>
      </c>
      <c r="B9599" s="135">
        <f>YEAR(source[[#This Row],[report_date]])</f>
        <v>2025</v>
      </c>
      <c r="C9599" s="128">
        <f t="shared" si="448"/>
        <v>10</v>
      </c>
      <c r="D9599" s="136">
        <f t="shared" si="447"/>
        <v>41</v>
      </c>
      <c r="E9599" s="136">
        <f t="shared" si="449"/>
        <v>6</v>
      </c>
      <c r="F9599" s="137" t="s">
        <v>24</v>
      </c>
      <c r="G9599" s="128" t="str">
        <f>VLOOKUP(source[[#This Row],[lending_product_transform]],[3]Mapping!$B$4:$C$37,2,0)</f>
        <v>[Cake] - Cashloan</v>
      </c>
      <c r="H9599" s="128" t="str">
        <f>VLOOKUP(source[[#This Row],[lending_product_transform]],[3]Mapping!$B$3:$D$37,3,0)</f>
        <v>cashloan</v>
      </c>
      <c r="I9599" s="143">
        <v>8674344000</v>
      </c>
    </row>
    <row r="9600" spans="1:9" x14ac:dyDescent="0.2">
      <c r="A9600" s="172">
        <v>45936</v>
      </c>
      <c r="B9600" s="135">
        <f>YEAR(source[[#This Row],[report_date]])</f>
        <v>2025</v>
      </c>
      <c r="C9600" s="128">
        <f t="shared" si="448"/>
        <v>10</v>
      </c>
      <c r="D9600" s="136">
        <f t="shared" si="447"/>
        <v>41</v>
      </c>
      <c r="E9600" s="136">
        <f t="shared" si="449"/>
        <v>6</v>
      </c>
      <c r="F9600" s="137" t="s">
        <v>24</v>
      </c>
      <c r="G9600" s="128" t="str">
        <f>VLOOKUP(source[[#This Row],[lending_product_transform]],[3]Mapping!$B$4:$C$37,2,0)</f>
        <v>[Cake] - Cashloan</v>
      </c>
      <c r="H9600" s="128" t="str">
        <f>VLOOKUP(source[[#This Row],[lending_product_transform]],[3]Mapping!$B$3:$D$37,3,0)</f>
        <v>cashloan</v>
      </c>
      <c r="I9600" s="143">
        <v>58503911</v>
      </c>
    </row>
    <row r="9601" spans="1:9" x14ac:dyDescent="0.2">
      <c r="A9601" s="172">
        <v>45936</v>
      </c>
      <c r="B9601" s="135">
        <f>YEAR(source[[#This Row],[report_date]])</f>
        <v>2025</v>
      </c>
      <c r="C9601" s="128">
        <f t="shared" si="448"/>
        <v>10</v>
      </c>
      <c r="D9601" s="136">
        <f t="shared" si="447"/>
        <v>41</v>
      </c>
      <c r="E9601" s="136">
        <f t="shared" si="449"/>
        <v>6</v>
      </c>
      <c r="F9601" s="137" t="s">
        <v>24</v>
      </c>
      <c r="G9601" s="128" t="str">
        <f>VLOOKUP(source[[#This Row],[lending_product_transform]],[3]Mapping!$B$4:$C$37,2,0)</f>
        <v>[Cake] - Cashloan</v>
      </c>
      <c r="H9601" s="128" t="str">
        <f>VLOOKUP(source[[#This Row],[lending_product_transform]],[3]Mapping!$B$3:$D$37,3,0)</f>
        <v>cashloan</v>
      </c>
      <c r="I9601" s="143">
        <v>3918050000</v>
      </c>
    </row>
    <row r="9602" spans="1:9" x14ac:dyDescent="0.2">
      <c r="A9602" s="172">
        <v>45936</v>
      </c>
      <c r="B9602" s="135">
        <f>YEAR(source[[#This Row],[report_date]])</f>
        <v>2025</v>
      </c>
      <c r="C9602" s="128">
        <f t="shared" si="448"/>
        <v>10</v>
      </c>
      <c r="D9602" s="136">
        <f t="shared" si="447"/>
        <v>41</v>
      </c>
      <c r="E9602" s="136">
        <f t="shared" si="449"/>
        <v>6</v>
      </c>
      <c r="F9602" s="137" t="s">
        <v>24</v>
      </c>
      <c r="G9602" s="128" t="str">
        <f>VLOOKUP(source[[#This Row],[lending_product_transform]],[3]Mapping!$B$4:$C$37,2,0)</f>
        <v>[Cake] - Cashloan</v>
      </c>
      <c r="H9602" s="128" t="str">
        <f>VLOOKUP(source[[#This Row],[lending_product_transform]],[3]Mapping!$B$3:$D$37,3,0)</f>
        <v>cashloan</v>
      </c>
      <c r="I9602" s="143">
        <v>26777000</v>
      </c>
    </row>
    <row r="9603" spans="1:9" x14ac:dyDescent="0.2">
      <c r="A9603" s="172">
        <v>45936</v>
      </c>
      <c r="B9603" s="135">
        <f>YEAR(source[[#This Row],[report_date]])</f>
        <v>2025</v>
      </c>
      <c r="C9603" s="128">
        <f t="shared" si="448"/>
        <v>10</v>
      </c>
      <c r="D9603" s="136">
        <f t="shared" ref="D9603:D9666" si="450">WEEKNUM(A9603,2)</f>
        <v>41</v>
      </c>
      <c r="E9603" s="136">
        <f t="shared" si="449"/>
        <v>6</v>
      </c>
      <c r="F9603" s="137" t="s">
        <v>24</v>
      </c>
      <c r="G9603" s="128" t="str">
        <f>VLOOKUP(source[[#This Row],[lending_product_transform]],[3]Mapping!$B$4:$C$37,2,0)</f>
        <v>[Cake] - Cashloan</v>
      </c>
      <c r="H9603" s="128" t="str">
        <f>VLOOKUP(source[[#This Row],[lending_product_transform]],[3]Mapping!$B$3:$D$37,3,0)</f>
        <v>cashloan</v>
      </c>
      <c r="I9603" s="143">
        <v>651295000</v>
      </c>
    </row>
    <row r="9604" spans="1:9" x14ac:dyDescent="0.2">
      <c r="A9604" s="172">
        <v>45936</v>
      </c>
      <c r="B9604" s="135">
        <f>YEAR(source[[#This Row],[report_date]])</f>
        <v>2025</v>
      </c>
      <c r="C9604" s="128">
        <f t="shared" si="448"/>
        <v>10</v>
      </c>
      <c r="D9604" s="136">
        <f t="shared" si="450"/>
        <v>41</v>
      </c>
      <c r="E9604" s="136">
        <f t="shared" si="449"/>
        <v>6</v>
      </c>
      <c r="F9604" s="137" t="s">
        <v>24</v>
      </c>
      <c r="G9604" s="128" t="str">
        <f>VLOOKUP(source[[#This Row],[lending_product_transform]],[3]Mapping!$B$4:$C$37,2,0)</f>
        <v>[Cake] - Cashloan</v>
      </c>
      <c r="H9604" s="128" t="str">
        <f>VLOOKUP(source[[#This Row],[lending_product_transform]],[3]Mapping!$B$3:$D$37,3,0)</f>
        <v>cashloan</v>
      </c>
      <c r="I9604" s="143">
        <v>0</v>
      </c>
    </row>
    <row r="9605" spans="1:9" x14ac:dyDescent="0.2">
      <c r="A9605" s="172">
        <v>45936</v>
      </c>
      <c r="B9605" s="135">
        <f>YEAR(source[[#This Row],[report_date]])</f>
        <v>2025</v>
      </c>
      <c r="C9605" s="128">
        <f t="shared" si="448"/>
        <v>10</v>
      </c>
      <c r="D9605" s="136">
        <f t="shared" si="450"/>
        <v>41</v>
      </c>
      <c r="E9605" s="136">
        <f t="shared" si="449"/>
        <v>6</v>
      </c>
      <c r="F9605" s="137" t="s">
        <v>24</v>
      </c>
      <c r="G9605" s="128" t="str">
        <f>VLOOKUP(source[[#This Row],[lending_product_transform]],[3]Mapping!$B$4:$C$37,2,0)</f>
        <v>[Cake] - Cashloan</v>
      </c>
      <c r="H9605" s="128" t="str">
        <f>VLOOKUP(source[[#This Row],[lending_product_transform]],[3]Mapping!$B$3:$D$37,3,0)</f>
        <v>cashloan</v>
      </c>
      <c r="I9605" s="143">
        <v>237850000</v>
      </c>
    </row>
    <row r="9606" spans="1:9" x14ac:dyDescent="0.2">
      <c r="A9606" s="172">
        <v>45936</v>
      </c>
      <c r="B9606" s="135">
        <f>YEAR(source[[#This Row],[report_date]])</f>
        <v>2025</v>
      </c>
      <c r="C9606" s="128">
        <f t="shared" si="448"/>
        <v>10</v>
      </c>
      <c r="D9606" s="136">
        <f t="shared" si="450"/>
        <v>41</v>
      </c>
      <c r="E9606" s="136">
        <f t="shared" si="449"/>
        <v>6</v>
      </c>
      <c r="F9606" s="137" t="s">
        <v>24</v>
      </c>
      <c r="G9606" s="128" t="str">
        <f>VLOOKUP(source[[#This Row],[lending_product_transform]],[3]Mapping!$B$4:$C$37,2,0)</f>
        <v>[Cake] - Cashloan</v>
      </c>
      <c r="H9606" s="128" t="str">
        <f>VLOOKUP(source[[#This Row],[lending_product_transform]],[3]Mapping!$B$3:$D$37,3,0)</f>
        <v>cashloan</v>
      </c>
      <c r="I9606" s="143">
        <v>16442240000</v>
      </c>
    </row>
    <row r="9607" spans="1:9" x14ac:dyDescent="0.2">
      <c r="A9607" s="172">
        <v>45936</v>
      </c>
      <c r="B9607" s="135">
        <f>YEAR(source[[#This Row],[report_date]])</f>
        <v>2025</v>
      </c>
      <c r="C9607" s="128">
        <f t="shared" si="448"/>
        <v>10</v>
      </c>
      <c r="D9607" s="136">
        <f t="shared" si="450"/>
        <v>41</v>
      </c>
      <c r="E9607" s="136">
        <f t="shared" si="449"/>
        <v>6</v>
      </c>
      <c r="F9607" s="137" t="s">
        <v>24</v>
      </c>
      <c r="G9607" s="128" t="str">
        <f>VLOOKUP(source[[#This Row],[lending_product_transform]],[3]Mapping!$B$4:$C$37,2,0)</f>
        <v>[Cake] - Cashloan</v>
      </c>
      <c r="H9607" s="128" t="str">
        <f>VLOOKUP(source[[#This Row],[lending_product_transform]],[3]Mapping!$B$3:$D$37,3,0)</f>
        <v>cashloan</v>
      </c>
      <c r="I9607" s="143">
        <v>0</v>
      </c>
    </row>
    <row r="9608" spans="1:9" x14ac:dyDescent="0.2">
      <c r="A9608" s="172">
        <v>45936</v>
      </c>
      <c r="B9608" s="135">
        <f>YEAR(source[[#This Row],[report_date]])</f>
        <v>2025</v>
      </c>
      <c r="C9608" s="128">
        <f t="shared" si="448"/>
        <v>10</v>
      </c>
      <c r="D9608" s="136">
        <f t="shared" si="450"/>
        <v>41</v>
      </c>
      <c r="E9608" s="136">
        <f t="shared" si="449"/>
        <v>6</v>
      </c>
      <c r="F9608" s="137" t="s">
        <v>24</v>
      </c>
      <c r="G9608" s="128" t="str">
        <f>VLOOKUP(source[[#This Row],[lending_product_transform]],[3]Mapping!$B$4:$C$37,2,0)</f>
        <v>[Cake] - Cashloan</v>
      </c>
      <c r="H9608" s="128" t="str">
        <f>VLOOKUP(source[[#This Row],[lending_product_transform]],[3]Mapping!$B$3:$D$37,3,0)</f>
        <v>cashloan</v>
      </c>
      <c r="I9608" s="143">
        <v>0</v>
      </c>
    </row>
    <row r="9609" spans="1:9" x14ac:dyDescent="0.2">
      <c r="A9609" s="172">
        <v>45936</v>
      </c>
      <c r="B9609" s="135">
        <f>YEAR(source[[#This Row],[report_date]])</f>
        <v>2025</v>
      </c>
      <c r="C9609" s="128">
        <f t="shared" si="448"/>
        <v>10</v>
      </c>
      <c r="D9609" s="136">
        <f t="shared" si="450"/>
        <v>41</v>
      </c>
      <c r="E9609" s="136">
        <f t="shared" si="449"/>
        <v>6</v>
      </c>
      <c r="F9609" s="137" t="s">
        <v>24</v>
      </c>
      <c r="G9609" s="128" t="str">
        <f>VLOOKUP(source[[#This Row],[lending_product_transform]],[3]Mapping!$B$4:$C$37,2,0)</f>
        <v>[Cake] - Cashloan</v>
      </c>
      <c r="H9609" s="128" t="str">
        <f>VLOOKUP(source[[#This Row],[lending_product_transform]],[3]Mapping!$B$3:$D$37,3,0)</f>
        <v>cashloan</v>
      </c>
      <c r="I9609" s="143">
        <v>0</v>
      </c>
    </row>
    <row r="9610" spans="1:9" x14ac:dyDescent="0.2">
      <c r="A9610" s="172">
        <v>45936</v>
      </c>
      <c r="B9610" s="135">
        <f>YEAR(source[[#This Row],[report_date]])</f>
        <v>2025</v>
      </c>
      <c r="C9610" s="128">
        <f t="shared" si="448"/>
        <v>10</v>
      </c>
      <c r="D9610" s="136">
        <f t="shared" si="450"/>
        <v>41</v>
      </c>
      <c r="E9610" s="136">
        <f t="shared" si="449"/>
        <v>6</v>
      </c>
      <c r="F9610" s="137" t="s">
        <v>24</v>
      </c>
      <c r="G9610" s="128" t="str">
        <f>VLOOKUP(source[[#This Row],[lending_product_transform]],[3]Mapping!$B$4:$C$37,2,0)</f>
        <v>[Cake] - Cashloan</v>
      </c>
      <c r="H9610" s="128" t="str">
        <f>VLOOKUP(source[[#This Row],[lending_product_transform]],[3]Mapping!$B$3:$D$37,3,0)</f>
        <v>cashloan</v>
      </c>
      <c r="I9610" s="143">
        <v>0</v>
      </c>
    </row>
    <row r="9611" spans="1:9" x14ac:dyDescent="0.2">
      <c r="A9611" s="172">
        <v>45936</v>
      </c>
      <c r="B9611" s="135">
        <f>YEAR(source[[#This Row],[report_date]])</f>
        <v>2025</v>
      </c>
      <c r="C9611" s="128">
        <f t="shared" si="448"/>
        <v>10</v>
      </c>
      <c r="D9611" s="136">
        <f t="shared" si="450"/>
        <v>41</v>
      </c>
      <c r="E9611" s="136">
        <f t="shared" si="449"/>
        <v>6</v>
      </c>
      <c r="F9611" s="137" t="s">
        <v>24</v>
      </c>
      <c r="G9611" s="128" t="str">
        <f>VLOOKUP(source[[#This Row],[lending_product_transform]],[3]Mapping!$B$4:$C$37,2,0)</f>
        <v>[Cake] - Cashloan</v>
      </c>
      <c r="H9611" s="128" t="str">
        <f>VLOOKUP(source[[#This Row],[lending_product_transform]],[3]Mapping!$B$3:$D$37,3,0)</f>
        <v>cashloan</v>
      </c>
      <c r="I9611" s="143">
        <v>11158020000</v>
      </c>
    </row>
    <row r="9612" spans="1:9" x14ac:dyDescent="0.2">
      <c r="A9612" s="172">
        <v>45936</v>
      </c>
      <c r="B9612" s="135">
        <f>YEAR(source[[#This Row],[report_date]])</f>
        <v>2025</v>
      </c>
      <c r="C9612" s="128">
        <f t="shared" si="448"/>
        <v>10</v>
      </c>
      <c r="D9612" s="136">
        <f t="shared" si="450"/>
        <v>41</v>
      </c>
      <c r="E9612" s="136">
        <f t="shared" si="449"/>
        <v>6</v>
      </c>
      <c r="F9612" s="137" t="s">
        <v>24</v>
      </c>
      <c r="G9612" s="128" t="str">
        <f>VLOOKUP(source[[#This Row],[lending_product_transform]],[3]Mapping!$B$4:$C$37,2,0)</f>
        <v>[Cake] - Cashloan</v>
      </c>
      <c r="H9612" s="128" t="str">
        <f>VLOOKUP(source[[#This Row],[lending_product_transform]],[3]Mapping!$B$3:$D$37,3,0)</f>
        <v>cashloan</v>
      </c>
      <c r="I9612" s="143">
        <v>449403829</v>
      </c>
    </row>
    <row r="9613" spans="1:9" x14ac:dyDescent="0.2">
      <c r="A9613" s="172">
        <v>45936</v>
      </c>
      <c r="B9613" s="135">
        <f>YEAR(source[[#This Row],[report_date]])</f>
        <v>2025</v>
      </c>
      <c r="C9613" s="128">
        <f t="shared" si="448"/>
        <v>10</v>
      </c>
      <c r="D9613" s="136">
        <f t="shared" si="450"/>
        <v>41</v>
      </c>
      <c r="E9613" s="136">
        <f t="shared" si="449"/>
        <v>6</v>
      </c>
      <c r="F9613" s="137" t="s">
        <v>24</v>
      </c>
      <c r="G9613" s="128" t="str">
        <f>VLOOKUP(source[[#This Row],[lending_product_transform]],[3]Mapping!$B$4:$C$37,2,0)</f>
        <v>[Cake] - Cashloan</v>
      </c>
      <c r="H9613" s="128" t="str">
        <f>VLOOKUP(source[[#This Row],[lending_product_transform]],[3]Mapping!$B$3:$D$37,3,0)</f>
        <v>cashloan</v>
      </c>
      <c r="I9613" s="143">
        <v>37800000</v>
      </c>
    </row>
    <row r="9614" spans="1:9" x14ac:dyDescent="0.2">
      <c r="A9614" s="172">
        <v>45936</v>
      </c>
      <c r="B9614" s="135">
        <f>YEAR(source[[#This Row],[report_date]])</f>
        <v>2025</v>
      </c>
      <c r="C9614" s="128">
        <f t="shared" si="448"/>
        <v>10</v>
      </c>
      <c r="D9614" s="136">
        <f t="shared" si="450"/>
        <v>41</v>
      </c>
      <c r="E9614" s="136">
        <f t="shared" si="449"/>
        <v>6</v>
      </c>
      <c r="F9614" s="137" t="s">
        <v>24</v>
      </c>
      <c r="G9614" s="128" t="str">
        <f>VLOOKUP(source[[#This Row],[lending_product_transform]],[3]Mapping!$B$4:$C$37,2,0)</f>
        <v>[Cake] - Cashloan</v>
      </c>
      <c r="H9614" s="128" t="str">
        <f>VLOOKUP(source[[#This Row],[lending_product_transform]],[3]Mapping!$B$3:$D$37,3,0)</f>
        <v>cashloan</v>
      </c>
      <c r="I9614" s="143">
        <v>54000000</v>
      </c>
    </row>
    <row r="9615" spans="1:9" x14ac:dyDescent="0.2">
      <c r="A9615" s="172">
        <v>45936</v>
      </c>
      <c r="B9615" s="135">
        <f>YEAR(source[[#This Row],[report_date]])</f>
        <v>2025</v>
      </c>
      <c r="C9615" s="128">
        <f t="shared" si="448"/>
        <v>10</v>
      </c>
      <c r="D9615" s="136">
        <f t="shared" si="450"/>
        <v>41</v>
      </c>
      <c r="E9615" s="136">
        <f t="shared" si="449"/>
        <v>6</v>
      </c>
      <c r="F9615" s="137" t="s">
        <v>24</v>
      </c>
      <c r="G9615" s="128" t="str">
        <f>VLOOKUP(source[[#This Row],[lending_product_transform]],[3]Mapping!$B$4:$C$37,2,0)</f>
        <v>[Cake] - Cashloan</v>
      </c>
      <c r="H9615" s="128" t="str">
        <f>VLOOKUP(source[[#This Row],[lending_product_transform]],[3]Mapping!$B$3:$D$37,3,0)</f>
        <v>cashloan</v>
      </c>
      <c r="I9615" s="143">
        <v>698720000</v>
      </c>
    </row>
    <row r="9616" spans="1:9" x14ac:dyDescent="0.2">
      <c r="A9616" s="172">
        <v>45936</v>
      </c>
      <c r="B9616" s="135">
        <f>YEAR(source[[#This Row],[report_date]])</f>
        <v>2025</v>
      </c>
      <c r="C9616" s="128">
        <f t="shared" si="448"/>
        <v>10</v>
      </c>
      <c r="D9616" s="136">
        <f t="shared" si="450"/>
        <v>41</v>
      </c>
      <c r="E9616" s="136">
        <f t="shared" si="449"/>
        <v>6</v>
      </c>
      <c r="F9616" s="137" t="s">
        <v>24</v>
      </c>
      <c r="G9616" s="128" t="str">
        <f>VLOOKUP(source[[#This Row],[lending_product_transform]],[3]Mapping!$B$4:$C$37,2,0)</f>
        <v>[Cake] - Cashloan</v>
      </c>
      <c r="H9616" s="128" t="str">
        <f>VLOOKUP(source[[#This Row],[lending_product_transform]],[3]Mapping!$B$3:$D$37,3,0)</f>
        <v>cashloan</v>
      </c>
      <c r="I9616" s="143">
        <v>250560000</v>
      </c>
    </row>
    <row r="9617" spans="1:9" x14ac:dyDescent="0.2">
      <c r="A9617" s="172">
        <v>45936</v>
      </c>
      <c r="B9617" s="135">
        <f>YEAR(source[[#This Row],[report_date]])</f>
        <v>2025</v>
      </c>
      <c r="C9617" s="128">
        <f t="shared" si="448"/>
        <v>10</v>
      </c>
      <c r="D9617" s="136">
        <f t="shared" si="450"/>
        <v>41</v>
      </c>
      <c r="E9617" s="136">
        <f t="shared" si="449"/>
        <v>6</v>
      </c>
      <c r="F9617" s="137" t="s">
        <v>24</v>
      </c>
      <c r="G9617" s="128" t="str">
        <f>VLOOKUP(source[[#This Row],[lending_product_transform]],[3]Mapping!$B$4:$C$37,2,0)</f>
        <v>[Cake] - Cashloan</v>
      </c>
      <c r="H9617" s="128" t="str">
        <f>VLOOKUP(source[[#This Row],[lending_product_transform]],[3]Mapping!$B$3:$D$37,3,0)</f>
        <v>cashloan</v>
      </c>
      <c r="I9617" s="143">
        <v>823132949</v>
      </c>
    </row>
    <row r="9618" spans="1:9" x14ac:dyDescent="0.2">
      <c r="A9618" s="172">
        <v>45936</v>
      </c>
      <c r="B9618" s="135">
        <f>YEAR(source[[#This Row],[report_date]])</f>
        <v>2025</v>
      </c>
      <c r="C9618" s="128">
        <f t="shared" si="448"/>
        <v>10</v>
      </c>
      <c r="D9618" s="136">
        <f t="shared" si="450"/>
        <v>41</v>
      </c>
      <c r="E9618" s="136">
        <f t="shared" si="449"/>
        <v>6</v>
      </c>
      <c r="F9618" s="137" t="s">
        <v>24</v>
      </c>
      <c r="G9618" s="128" t="str">
        <f>VLOOKUP(source[[#This Row],[lending_product_transform]],[3]Mapping!$B$4:$C$37,2,0)</f>
        <v>[Cake] - Cashloan</v>
      </c>
      <c r="H9618" s="128" t="str">
        <f>VLOOKUP(source[[#This Row],[lending_product_transform]],[3]Mapping!$B$3:$D$37,3,0)</f>
        <v>cashloan</v>
      </c>
      <c r="I9618" s="143">
        <v>5601680000</v>
      </c>
    </row>
    <row r="9619" spans="1:9" x14ac:dyDescent="0.2">
      <c r="A9619" s="172">
        <v>45937</v>
      </c>
      <c r="B9619" s="135">
        <f>YEAR(source[[#This Row],[report_date]])</f>
        <v>2025</v>
      </c>
      <c r="C9619" s="128">
        <f t="shared" si="448"/>
        <v>10</v>
      </c>
      <c r="D9619" s="136">
        <f t="shared" si="450"/>
        <v>41</v>
      </c>
      <c r="E9619" s="136">
        <f t="shared" si="449"/>
        <v>7</v>
      </c>
      <c r="F9619" s="137" t="s">
        <v>24</v>
      </c>
      <c r="G9619" s="128" t="str">
        <f>VLOOKUP(source[[#This Row],[lending_product_transform]],[3]Mapping!$B$4:$C$37,2,0)</f>
        <v>[Cake] - Cashloan</v>
      </c>
      <c r="H9619" s="128" t="str">
        <f>VLOOKUP(source[[#This Row],[lending_product_transform]],[3]Mapping!$B$3:$D$37,3,0)</f>
        <v>cashloan</v>
      </c>
      <c r="I9619" s="143">
        <v>0</v>
      </c>
    </row>
    <row r="9620" spans="1:9" x14ac:dyDescent="0.2">
      <c r="A9620" s="172">
        <v>45937</v>
      </c>
      <c r="B9620" s="135">
        <f>YEAR(source[[#This Row],[report_date]])</f>
        <v>2025</v>
      </c>
      <c r="C9620" s="128">
        <f t="shared" si="448"/>
        <v>10</v>
      </c>
      <c r="D9620" s="136">
        <f t="shared" si="450"/>
        <v>41</v>
      </c>
      <c r="E9620" s="136">
        <f t="shared" si="449"/>
        <v>7</v>
      </c>
      <c r="F9620" s="137" t="s">
        <v>24</v>
      </c>
      <c r="G9620" s="128" t="str">
        <f>VLOOKUP(source[[#This Row],[lending_product_transform]],[3]Mapping!$B$4:$C$37,2,0)</f>
        <v>[Cake] - Cashloan</v>
      </c>
      <c r="H9620" s="128" t="str">
        <f>VLOOKUP(source[[#This Row],[lending_product_transform]],[3]Mapping!$B$3:$D$37,3,0)</f>
        <v>cashloan</v>
      </c>
      <c r="I9620" s="143">
        <v>361899704</v>
      </c>
    </row>
    <row r="9621" spans="1:9" x14ac:dyDescent="0.2">
      <c r="A9621" s="172">
        <v>45937</v>
      </c>
      <c r="B9621" s="135">
        <f>YEAR(source[[#This Row],[report_date]])</f>
        <v>2025</v>
      </c>
      <c r="C9621" s="128">
        <f t="shared" si="448"/>
        <v>10</v>
      </c>
      <c r="D9621" s="136">
        <f t="shared" si="450"/>
        <v>41</v>
      </c>
      <c r="E9621" s="136">
        <f t="shared" si="449"/>
        <v>7</v>
      </c>
      <c r="F9621" s="137" t="s">
        <v>24</v>
      </c>
      <c r="G9621" s="128" t="str">
        <f>VLOOKUP(source[[#This Row],[lending_product_transform]],[3]Mapping!$B$4:$C$37,2,0)</f>
        <v>[Cake] - Cashloan</v>
      </c>
      <c r="H9621" s="128" t="str">
        <f>VLOOKUP(source[[#This Row],[lending_product_transform]],[3]Mapping!$B$3:$D$37,3,0)</f>
        <v>cashloan</v>
      </c>
      <c r="I9621" s="143">
        <v>16477900000</v>
      </c>
    </row>
    <row r="9622" spans="1:9" x14ac:dyDescent="0.2">
      <c r="A9622" s="172">
        <v>45937</v>
      </c>
      <c r="B9622" s="135">
        <f>YEAR(source[[#This Row],[report_date]])</f>
        <v>2025</v>
      </c>
      <c r="C9622" s="128">
        <f t="shared" si="448"/>
        <v>10</v>
      </c>
      <c r="D9622" s="136">
        <f t="shared" si="450"/>
        <v>41</v>
      </c>
      <c r="E9622" s="136">
        <f t="shared" si="449"/>
        <v>7</v>
      </c>
      <c r="F9622" s="137" t="s">
        <v>24</v>
      </c>
      <c r="G9622" s="128" t="str">
        <f>VLOOKUP(source[[#This Row],[lending_product_transform]],[3]Mapping!$B$4:$C$37,2,0)</f>
        <v>[Cake] - Cashloan</v>
      </c>
      <c r="H9622" s="128" t="str">
        <f>VLOOKUP(source[[#This Row],[lending_product_transform]],[3]Mapping!$B$3:$D$37,3,0)</f>
        <v>cashloan</v>
      </c>
      <c r="I9622" s="143">
        <v>2558351192</v>
      </c>
    </row>
    <row r="9623" spans="1:9" x14ac:dyDescent="0.2">
      <c r="A9623" s="172">
        <v>45937</v>
      </c>
      <c r="B9623" s="135">
        <f>YEAR(source[[#This Row],[report_date]])</f>
        <v>2025</v>
      </c>
      <c r="C9623" s="128">
        <f t="shared" si="448"/>
        <v>10</v>
      </c>
      <c r="D9623" s="136">
        <f t="shared" si="450"/>
        <v>41</v>
      </c>
      <c r="E9623" s="136">
        <f t="shared" si="449"/>
        <v>7</v>
      </c>
      <c r="F9623" s="137" t="s">
        <v>24</v>
      </c>
      <c r="G9623" s="128" t="str">
        <f>VLOOKUP(source[[#This Row],[lending_product_transform]],[3]Mapping!$B$4:$C$37,2,0)</f>
        <v>[Cake] - Cashloan</v>
      </c>
      <c r="H9623" s="128" t="str">
        <f>VLOOKUP(source[[#This Row],[lending_product_transform]],[3]Mapping!$B$3:$D$37,3,0)</f>
        <v>cashloan</v>
      </c>
      <c r="I9623" s="143">
        <v>8253576000</v>
      </c>
    </row>
    <row r="9624" spans="1:9" x14ac:dyDescent="0.2">
      <c r="A9624" s="172">
        <v>45937</v>
      </c>
      <c r="B9624" s="135">
        <f>YEAR(source[[#This Row],[report_date]])</f>
        <v>2025</v>
      </c>
      <c r="C9624" s="128">
        <f t="shared" si="448"/>
        <v>10</v>
      </c>
      <c r="D9624" s="136">
        <f t="shared" si="450"/>
        <v>41</v>
      </c>
      <c r="E9624" s="136">
        <f t="shared" si="449"/>
        <v>7</v>
      </c>
      <c r="F9624" s="137" t="s">
        <v>24</v>
      </c>
      <c r="G9624" s="128" t="str">
        <f>VLOOKUP(source[[#This Row],[lending_product_transform]],[3]Mapping!$B$4:$C$37,2,0)</f>
        <v>[Cake] - Cashloan</v>
      </c>
      <c r="H9624" s="128" t="str">
        <f>VLOOKUP(source[[#This Row],[lending_product_transform]],[3]Mapping!$B$3:$D$37,3,0)</f>
        <v>cashloan</v>
      </c>
      <c r="I9624" s="143">
        <v>49361549</v>
      </c>
    </row>
    <row r="9625" spans="1:9" x14ac:dyDescent="0.2">
      <c r="A9625" s="172">
        <v>45937</v>
      </c>
      <c r="B9625" s="135">
        <f>YEAR(source[[#This Row],[report_date]])</f>
        <v>2025</v>
      </c>
      <c r="C9625" s="128">
        <f t="shared" si="448"/>
        <v>10</v>
      </c>
      <c r="D9625" s="136">
        <f t="shared" si="450"/>
        <v>41</v>
      </c>
      <c r="E9625" s="136">
        <f t="shared" si="449"/>
        <v>7</v>
      </c>
      <c r="F9625" s="137" t="s">
        <v>24</v>
      </c>
      <c r="G9625" s="128" t="str">
        <f>VLOOKUP(source[[#This Row],[lending_product_transform]],[3]Mapping!$B$4:$C$37,2,0)</f>
        <v>[Cake] - Cashloan</v>
      </c>
      <c r="H9625" s="128" t="str">
        <f>VLOOKUP(source[[#This Row],[lending_product_transform]],[3]Mapping!$B$3:$D$37,3,0)</f>
        <v>cashloan</v>
      </c>
      <c r="I9625" s="143">
        <v>3446210000</v>
      </c>
    </row>
    <row r="9626" spans="1:9" x14ac:dyDescent="0.2">
      <c r="A9626" s="172">
        <v>45937</v>
      </c>
      <c r="B9626" s="135">
        <f>YEAR(source[[#This Row],[report_date]])</f>
        <v>2025</v>
      </c>
      <c r="C9626" s="128">
        <f t="shared" si="448"/>
        <v>10</v>
      </c>
      <c r="D9626" s="136">
        <f t="shared" si="450"/>
        <v>41</v>
      </c>
      <c r="E9626" s="136">
        <f t="shared" si="449"/>
        <v>7</v>
      </c>
      <c r="F9626" s="137" t="s">
        <v>24</v>
      </c>
      <c r="G9626" s="128" t="str">
        <f>VLOOKUP(source[[#This Row],[lending_product_transform]],[3]Mapping!$B$4:$C$37,2,0)</f>
        <v>[Cake] - Cashloan</v>
      </c>
      <c r="H9626" s="128" t="str">
        <f>VLOOKUP(source[[#This Row],[lending_product_transform]],[3]Mapping!$B$3:$D$37,3,0)</f>
        <v>cashloan</v>
      </c>
      <c r="I9626" s="143">
        <v>7930000</v>
      </c>
    </row>
    <row r="9627" spans="1:9" x14ac:dyDescent="0.2">
      <c r="A9627" s="172">
        <v>45937</v>
      </c>
      <c r="B9627" s="135">
        <f>YEAR(source[[#This Row],[report_date]])</f>
        <v>2025</v>
      </c>
      <c r="C9627" s="128">
        <f t="shared" si="448"/>
        <v>10</v>
      </c>
      <c r="D9627" s="136">
        <f t="shared" si="450"/>
        <v>41</v>
      </c>
      <c r="E9627" s="136">
        <f t="shared" si="449"/>
        <v>7</v>
      </c>
      <c r="F9627" s="137" t="s">
        <v>24</v>
      </c>
      <c r="G9627" s="128" t="str">
        <f>VLOOKUP(source[[#This Row],[lending_product_transform]],[3]Mapping!$B$4:$C$37,2,0)</f>
        <v>[Cake] - Cashloan</v>
      </c>
      <c r="H9627" s="128" t="str">
        <f>VLOOKUP(source[[#This Row],[lending_product_transform]],[3]Mapping!$B$3:$D$37,3,0)</f>
        <v>cashloan</v>
      </c>
      <c r="I9627" s="143">
        <v>686173000</v>
      </c>
    </row>
    <row r="9628" spans="1:9" x14ac:dyDescent="0.2">
      <c r="A9628" s="172">
        <v>45937</v>
      </c>
      <c r="B9628" s="135">
        <f>YEAR(source[[#This Row],[report_date]])</f>
        <v>2025</v>
      </c>
      <c r="C9628" s="128">
        <f t="shared" si="448"/>
        <v>10</v>
      </c>
      <c r="D9628" s="136">
        <f t="shared" si="450"/>
        <v>41</v>
      </c>
      <c r="E9628" s="136">
        <f t="shared" si="449"/>
        <v>7</v>
      </c>
      <c r="F9628" s="137" t="s">
        <v>24</v>
      </c>
      <c r="G9628" s="128" t="str">
        <f>VLOOKUP(source[[#This Row],[lending_product_transform]],[3]Mapping!$B$4:$C$37,2,0)</f>
        <v>[Cake] - Cashloan</v>
      </c>
      <c r="H9628" s="128" t="str">
        <f>VLOOKUP(source[[#This Row],[lending_product_transform]],[3]Mapping!$B$3:$D$37,3,0)</f>
        <v>cashloan</v>
      </c>
      <c r="I9628" s="143">
        <v>0</v>
      </c>
    </row>
    <row r="9629" spans="1:9" x14ac:dyDescent="0.2">
      <c r="A9629" s="172">
        <v>45937</v>
      </c>
      <c r="B9629" s="135">
        <f>YEAR(source[[#This Row],[report_date]])</f>
        <v>2025</v>
      </c>
      <c r="C9629" s="128">
        <f t="shared" si="448"/>
        <v>10</v>
      </c>
      <c r="D9629" s="136">
        <f t="shared" si="450"/>
        <v>41</v>
      </c>
      <c r="E9629" s="136">
        <f t="shared" si="449"/>
        <v>7</v>
      </c>
      <c r="F9629" s="137" t="s">
        <v>24</v>
      </c>
      <c r="G9629" s="128" t="str">
        <f>VLOOKUP(source[[#This Row],[lending_product_transform]],[3]Mapping!$B$4:$C$37,2,0)</f>
        <v>[Cake] - Cashloan</v>
      </c>
      <c r="H9629" s="128" t="str">
        <f>VLOOKUP(source[[#This Row],[lending_product_transform]],[3]Mapping!$B$3:$D$37,3,0)</f>
        <v>cashloan</v>
      </c>
      <c r="I9629" s="143">
        <v>167500000</v>
      </c>
    </row>
    <row r="9630" spans="1:9" x14ac:dyDescent="0.2">
      <c r="A9630" s="172">
        <v>45937</v>
      </c>
      <c r="B9630" s="135">
        <f>YEAR(source[[#This Row],[report_date]])</f>
        <v>2025</v>
      </c>
      <c r="C9630" s="128">
        <f t="shared" si="448"/>
        <v>10</v>
      </c>
      <c r="D9630" s="136">
        <f t="shared" si="450"/>
        <v>41</v>
      </c>
      <c r="E9630" s="136">
        <f t="shared" si="449"/>
        <v>7</v>
      </c>
      <c r="F9630" s="137" t="s">
        <v>24</v>
      </c>
      <c r="G9630" s="128" t="str">
        <f>VLOOKUP(source[[#This Row],[lending_product_transform]],[3]Mapping!$B$4:$C$37,2,0)</f>
        <v>[Cake] - Cashloan</v>
      </c>
      <c r="H9630" s="128" t="str">
        <f>VLOOKUP(source[[#This Row],[lending_product_transform]],[3]Mapping!$B$3:$D$37,3,0)</f>
        <v>cashloan</v>
      </c>
      <c r="I9630" s="143">
        <v>15264610000</v>
      </c>
    </row>
    <row r="9631" spans="1:9" x14ac:dyDescent="0.2">
      <c r="A9631" s="172">
        <v>45937</v>
      </c>
      <c r="B9631" s="135">
        <f>YEAR(source[[#This Row],[report_date]])</f>
        <v>2025</v>
      </c>
      <c r="C9631" s="128">
        <f t="shared" si="448"/>
        <v>10</v>
      </c>
      <c r="D9631" s="136">
        <f t="shared" si="450"/>
        <v>41</v>
      </c>
      <c r="E9631" s="136">
        <f t="shared" si="449"/>
        <v>7</v>
      </c>
      <c r="F9631" s="137" t="s">
        <v>24</v>
      </c>
      <c r="G9631" s="128" t="str">
        <f>VLOOKUP(source[[#This Row],[lending_product_transform]],[3]Mapping!$B$4:$C$37,2,0)</f>
        <v>[Cake] - Cashloan</v>
      </c>
      <c r="H9631" s="128" t="str">
        <f>VLOOKUP(source[[#This Row],[lending_product_transform]],[3]Mapping!$B$3:$D$37,3,0)</f>
        <v>cashloan</v>
      </c>
      <c r="I9631" s="143">
        <v>0</v>
      </c>
    </row>
    <row r="9632" spans="1:9" x14ac:dyDescent="0.2">
      <c r="A9632" s="172">
        <v>45937</v>
      </c>
      <c r="B9632" s="135">
        <f>YEAR(source[[#This Row],[report_date]])</f>
        <v>2025</v>
      </c>
      <c r="C9632" s="128">
        <f t="shared" si="448"/>
        <v>10</v>
      </c>
      <c r="D9632" s="136">
        <f t="shared" si="450"/>
        <v>41</v>
      </c>
      <c r="E9632" s="136">
        <f t="shared" si="449"/>
        <v>7</v>
      </c>
      <c r="F9632" s="137" t="s">
        <v>24</v>
      </c>
      <c r="G9632" s="128" t="str">
        <f>VLOOKUP(source[[#This Row],[lending_product_transform]],[3]Mapping!$B$4:$C$37,2,0)</f>
        <v>[Cake] - Cashloan</v>
      </c>
      <c r="H9632" s="128" t="str">
        <f>VLOOKUP(source[[#This Row],[lending_product_transform]],[3]Mapping!$B$3:$D$37,3,0)</f>
        <v>cashloan</v>
      </c>
      <c r="I9632" s="143">
        <v>0</v>
      </c>
    </row>
    <row r="9633" spans="1:9" x14ac:dyDescent="0.2">
      <c r="A9633" s="172">
        <v>45937</v>
      </c>
      <c r="B9633" s="135">
        <f>YEAR(source[[#This Row],[report_date]])</f>
        <v>2025</v>
      </c>
      <c r="C9633" s="128">
        <f t="shared" si="448"/>
        <v>10</v>
      </c>
      <c r="D9633" s="136">
        <f t="shared" si="450"/>
        <v>41</v>
      </c>
      <c r="E9633" s="136">
        <f t="shared" si="449"/>
        <v>7</v>
      </c>
      <c r="F9633" s="137" t="s">
        <v>24</v>
      </c>
      <c r="G9633" s="128" t="str">
        <f>VLOOKUP(source[[#This Row],[lending_product_transform]],[3]Mapping!$B$4:$C$37,2,0)</f>
        <v>[Cake] - Cashloan</v>
      </c>
      <c r="H9633" s="128" t="str">
        <f>VLOOKUP(source[[#This Row],[lending_product_transform]],[3]Mapping!$B$3:$D$37,3,0)</f>
        <v>cashloan</v>
      </c>
      <c r="I9633" s="143">
        <v>0</v>
      </c>
    </row>
    <row r="9634" spans="1:9" x14ac:dyDescent="0.2">
      <c r="A9634" s="172">
        <v>45937</v>
      </c>
      <c r="B9634" s="135">
        <f>YEAR(source[[#This Row],[report_date]])</f>
        <v>2025</v>
      </c>
      <c r="C9634" s="128">
        <f t="shared" si="448"/>
        <v>10</v>
      </c>
      <c r="D9634" s="136">
        <f t="shared" si="450"/>
        <v>41</v>
      </c>
      <c r="E9634" s="136">
        <f t="shared" si="449"/>
        <v>7</v>
      </c>
      <c r="F9634" s="137" t="s">
        <v>24</v>
      </c>
      <c r="G9634" s="128" t="str">
        <f>VLOOKUP(source[[#This Row],[lending_product_transform]],[3]Mapping!$B$4:$C$37,2,0)</f>
        <v>[Cake] - Cashloan</v>
      </c>
      <c r="H9634" s="128" t="str">
        <f>VLOOKUP(source[[#This Row],[lending_product_transform]],[3]Mapping!$B$3:$D$37,3,0)</f>
        <v>cashloan</v>
      </c>
      <c r="I9634" s="143">
        <v>18000000</v>
      </c>
    </row>
    <row r="9635" spans="1:9" x14ac:dyDescent="0.2">
      <c r="A9635" s="172">
        <v>45937</v>
      </c>
      <c r="B9635" s="135">
        <f>YEAR(source[[#This Row],[report_date]])</f>
        <v>2025</v>
      </c>
      <c r="C9635" s="128">
        <f t="shared" si="448"/>
        <v>10</v>
      </c>
      <c r="D9635" s="136">
        <f t="shared" si="450"/>
        <v>41</v>
      </c>
      <c r="E9635" s="136">
        <f t="shared" si="449"/>
        <v>7</v>
      </c>
      <c r="F9635" s="137" t="s">
        <v>24</v>
      </c>
      <c r="G9635" s="128" t="str">
        <f>VLOOKUP(source[[#This Row],[lending_product_transform]],[3]Mapping!$B$4:$C$37,2,0)</f>
        <v>[Cake] - Cashloan</v>
      </c>
      <c r="H9635" s="128" t="str">
        <f>VLOOKUP(source[[#This Row],[lending_product_transform]],[3]Mapping!$B$3:$D$37,3,0)</f>
        <v>cashloan</v>
      </c>
      <c r="I9635" s="143">
        <v>10362384000</v>
      </c>
    </row>
    <row r="9636" spans="1:9" x14ac:dyDescent="0.2">
      <c r="A9636" s="172">
        <v>45937</v>
      </c>
      <c r="B9636" s="135">
        <f>YEAR(source[[#This Row],[report_date]])</f>
        <v>2025</v>
      </c>
      <c r="C9636" s="128">
        <f t="shared" si="448"/>
        <v>10</v>
      </c>
      <c r="D9636" s="136">
        <f t="shared" si="450"/>
        <v>41</v>
      </c>
      <c r="E9636" s="136">
        <f t="shared" si="449"/>
        <v>7</v>
      </c>
      <c r="F9636" s="137" t="s">
        <v>24</v>
      </c>
      <c r="G9636" s="128" t="str">
        <f>VLOOKUP(source[[#This Row],[lending_product_transform]],[3]Mapping!$B$4:$C$37,2,0)</f>
        <v>[Cake] - Cashloan</v>
      </c>
      <c r="H9636" s="128" t="str">
        <f>VLOOKUP(source[[#This Row],[lending_product_transform]],[3]Mapping!$B$3:$D$37,3,0)</f>
        <v>cashloan</v>
      </c>
      <c r="I9636" s="143">
        <v>391843592</v>
      </c>
    </row>
    <row r="9637" spans="1:9" x14ac:dyDescent="0.2">
      <c r="A9637" s="172">
        <v>45937</v>
      </c>
      <c r="B9637" s="135">
        <f>YEAR(source[[#This Row],[report_date]])</f>
        <v>2025</v>
      </c>
      <c r="C9637" s="128">
        <f t="shared" si="448"/>
        <v>10</v>
      </c>
      <c r="D9637" s="136">
        <f t="shared" si="450"/>
        <v>41</v>
      </c>
      <c r="E9637" s="136">
        <f t="shared" si="449"/>
        <v>7</v>
      </c>
      <c r="F9637" s="137" t="s">
        <v>24</v>
      </c>
      <c r="G9637" s="128" t="str">
        <f>VLOOKUP(source[[#This Row],[lending_product_transform]],[3]Mapping!$B$4:$C$37,2,0)</f>
        <v>[Cake] - Cashloan</v>
      </c>
      <c r="H9637" s="128" t="str">
        <f>VLOOKUP(source[[#This Row],[lending_product_transform]],[3]Mapping!$B$3:$D$37,3,0)</f>
        <v>cashloan</v>
      </c>
      <c r="I9637" s="143">
        <v>52500000</v>
      </c>
    </row>
    <row r="9638" spans="1:9" x14ac:dyDescent="0.2">
      <c r="A9638" s="172">
        <v>45937</v>
      </c>
      <c r="B9638" s="135">
        <f>YEAR(source[[#This Row],[report_date]])</f>
        <v>2025</v>
      </c>
      <c r="C9638" s="128">
        <f t="shared" si="448"/>
        <v>10</v>
      </c>
      <c r="D9638" s="136">
        <f t="shared" si="450"/>
        <v>41</v>
      </c>
      <c r="E9638" s="136">
        <f t="shared" si="449"/>
        <v>7</v>
      </c>
      <c r="F9638" s="137" t="s">
        <v>24</v>
      </c>
      <c r="G9638" s="128" t="str">
        <f>VLOOKUP(source[[#This Row],[lending_product_transform]],[3]Mapping!$B$4:$C$37,2,0)</f>
        <v>[Cake] - Cashloan</v>
      </c>
      <c r="H9638" s="128" t="str">
        <f>VLOOKUP(source[[#This Row],[lending_product_transform]],[3]Mapping!$B$3:$D$37,3,0)</f>
        <v>cashloan</v>
      </c>
      <c r="I9638" s="143">
        <v>52000000</v>
      </c>
    </row>
    <row r="9639" spans="1:9" x14ac:dyDescent="0.2">
      <c r="A9639" s="172">
        <v>45937</v>
      </c>
      <c r="B9639" s="135">
        <f>YEAR(source[[#This Row],[report_date]])</f>
        <v>2025</v>
      </c>
      <c r="C9639" s="128">
        <f t="shared" si="448"/>
        <v>10</v>
      </c>
      <c r="D9639" s="136">
        <f t="shared" si="450"/>
        <v>41</v>
      </c>
      <c r="E9639" s="136">
        <f t="shared" si="449"/>
        <v>7</v>
      </c>
      <c r="F9639" s="137" t="s">
        <v>24</v>
      </c>
      <c r="G9639" s="128" t="str">
        <f>VLOOKUP(source[[#This Row],[lending_product_transform]],[3]Mapping!$B$4:$C$37,2,0)</f>
        <v>[Cake] - Cashloan</v>
      </c>
      <c r="H9639" s="128" t="str">
        <f>VLOOKUP(source[[#This Row],[lending_product_transform]],[3]Mapping!$B$3:$D$37,3,0)</f>
        <v>cashloan</v>
      </c>
      <c r="I9639" s="143">
        <v>497260000</v>
      </c>
    </row>
    <row r="9640" spans="1:9" x14ac:dyDescent="0.2">
      <c r="A9640" s="172">
        <v>45937</v>
      </c>
      <c r="B9640" s="135">
        <f>YEAR(source[[#This Row],[report_date]])</f>
        <v>2025</v>
      </c>
      <c r="C9640" s="128">
        <f t="shared" si="448"/>
        <v>10</v>
      </c>
      <c r="D9640" s="136">
        <f t="shared" si="450"/>
        <v>41</v>
      </c>
      <c r="E9640" s="136">
        <f t="shared" si="449"/>
        <v>7</v>
      </c>
      <c r="F9640" s="137" t="s">
        <v>24</v>
      </c>
      <c r="G9640" s="128" t="str">
        <f>VLOOKUP(source[[#This Row],[lending_product_transform]],[3]Mapping!$B$4:$C$37,2,0)</f>
        <v>[Cake] - Cashloan</v>
      </c>
      <c r="H9640" s="128" t="str">
        <f>VLOOKUP(source[[#This Row],[lending_product_transform]],[3]Mapping!$B$3:$D$37,3,0)</f>
        <v>cashloan</v>
      </c>
      <c r="I9640" s="143">
        <v>205200000</v>
      </c>
    </row>
    <row r="9641" spans="1:9" x14ac:dyDescent="0.2">
      <c r="A9641" s="172">
        <v>45937</v>
      </c>
      <c r="B9641" s="135">
        <f>YEAR(source[[#This Row],[report_date]])</f>
        <v>2025</v>
      </c>
      <c r="C9641" s="128">
        <f t="shared" si="448"/>
        <v>10</v>
      </c>
      <c r="D9641" s="136">
        <f t="shared" si="450"/>
        <v>41</v>
      </c>
      <c r="E9641" s="136">
        <f t="shared" si="449"/>
        <v>7</v>
      </c>
      <c r="F9641" s="137" t="s">
        <v>24</v>
      </c>
      <c r="G9641" s="128" t="str">
        <f>VLOOKUP(source[[#This Row],[lending_product_transform]],[3]Mapping!$B$4:$C$37,2,0)</f>
        <v>[Cake] - Cashloan</v>
      </c>
      <c r="H9641" s="128" t="str">
        <f>VLOOKUP(source[[#This Row],[lending_product_transform]],[3]Mapping!$B$3:$D$37,3,0)</f>
        <v>cashloan</v>
      </c>
      <c r="I9641" s="143">
        <v>515645297</v>
      </c>
    </row>
    <row r="9642" spans="1:9" x14ac:dyDescent="0.2">
      <c r="A9642" s="172">
        <v>45937</v>
      </c>
      <c r="B9642" s="135">
        <f>YEAR(source[[#This Row],[report_date]])</f>
        <v>2025</v>
      </c>
      <c r="C9642" s="128">
        <f t="shared" si="448"/>
        <v>10</v>
      </c>
      <c r="D9642" s="136">
        <f t="shared" si="450"/>
        <v>41</v>
      </c>
      <c r="E9642" s="136">
        <f t="shared" si="449"/>
        <v>7</v>
      </c>
      <c r="F9642" s="137" t="s">
        <v>24</v>
      </c>
      <c r="G9642" s="128" t="str">
        <f>VLOOKUP(source[[#This Row],[lending_product_transform]],[3]Mapping!$B$4:$C$37,2,0)</f>
        <v>[Cake] - Cashloan</v>
      </c>
      <c r="H9642" s="128" t="str">
        <f>VLOOKUP(source[[#This Row],[lending_product_transform]],[3]Mapping!$B$3:$D$37,3,0)</f>
        <v>cashloan</v>
      </c>
      <c r="I9642" s="143">
        <v>4730820000</v>
      </c>
    </row>
    <row r="9643" spans="1:9" x14ac:dyDescent="0.2">
      <c r="A9643" s="172">
        <v>45938</v>
      </c>
      <c r="B9643" s="135">
        <f>YEAR(source[[#This Row],[report_date]])</f>
        <v>2025</v>
      </c>
      <c r="C9643" s="128">
        <f t="shared" si="448"/>
        <v>10</v>
      </c>
      <c r="D9643" s="136">
        <f t="shared" si="450"/>
        <v>41</v>
      </c>
      <c r="E9643" s="136">
        <f t="shared" si="449"/>
        <v>8</v>
      </c>
      <c r="F9643" s="137" t="s">
        <v>24</v>
      </c>
      <c r="G9643" s="128" t="str">
        <f>VLOOKUP(source[[#This Row],[lending_product_transform]],[3]Mapping!$B$4:$C$37,2,0)</f>
        <v>[Cake] - Cashloan</v>
      </c>
      <c r="H9643" s="128" t="str">
        <f>VLOOKUP(source[[#This Row],[lending_product_transform]],[3]Mapping!$B$3:$D$37,3,0)</f>
        <v>cashloan</v>
      </c>
      <c r="I9643" s="143">
        <v>0</v>
      </c>
    </row>
    <row r="9644" spans="1:9" x14ac:dyDescent="0.2">
      <c r="A9644" s="172">
        <v>45938</v>
      </c>
      <c r="B9644" s="135">
        <f>YEAR(source[[#This Row],[report_date]])</f>
        <v>2025</v>
      </c>
      <c r="C9644" s="128">
        <f t="shared" si="448"/>
        <v>10</v>
      </c>
      <c r="D9644" s="136">
        <f t="shared" si="450"/>
        <v>41</v>
      </c>
      <c r="E9644" s="136">
        <f t="shared" si="449"/>
        <v>8</v>
      </c>
      <c r="F9644" s="137" t="s">
        <v>24</v>
      </c>
      <c r="G9644" s="128" t="str">
        <f>VLOOKUP(source[[#This Row],[lending_product_transform]],[3]Mapping!$B$4:$C$37,2,0)</f>
        <v>[Cake] - Cashloan</v>
      </c>
      <c r="H9644" s="128" t="str">
        <f>VLOOKUP(source[[#This Row],[lending_product_transform]],[3]Mapping!$B$3:$D$37,3,0)</f>
        <v>cashloan</v>
      </c>
      <c r="I9644" s="143">
        <v>393819032</v>
      </c>
    </row>
    <row r="9645" spans="1:9" x14ac:dyDescent="0.2">
      <c r="A9645" s="172">
        <v>45938</v>
      </c>
      <c r="B9645" s="135">
        <f>YEAR(source[[#This Row],[report_date]])</f>
        <v>2025</v>
      </c>
      <c r="C9645" s="128">
        <f t="shared" si="448"/>
        <v>10</v>
      </c>
      <c r="D9645" s="136">
        <f t="shared" si="450"/>
        <v>41</v>
      </c>
      <c r="E9645" s="136">
        <f t="shared" si="449"/>
        <v>8</v>
      </c>
      <c r="F9645" s="137" t="s">
        <v>24</v>
      </c>
      <c r="G9645" s="128" t="str">
        <f>VLOOKUP(source[[#This Row],[lending_product_transform]],[3]Mapping!$B$4:$C$37,2,0)</f>
        <v>[Cake] - Cashloan</v>
      </c>
      <c r="H9645" s="128" t="str">
        <f>VLOOKUP(source[[#This Row],[lending_product_transform]],[3]Mapping!$B$3:$D$37,3,0)</f>
        <v>cashloan</v>
      </c>
      <c r="I9645" s="143">
        <v>18102810000</v>
      </c>
    </row>
    <row r="9646" spans="1:9" x14ac:dyDescent="0.2">
      <c r="A9646" s="172">
        <v>45938</v>
      </c>
      <c r="B9646" s="135">
        <f>YEAR(source[[#This Row],[report_date]])</f>
        <v>2025</v>
      </c>
      <c r="C9646" s="128">
        <f t="shared" si="448"/>
        <v>10</v>
      </c>
      <c r="D9646" s="136">
        <f t="shared" si="450"/>
        <v>41</v>
      </c>
      <c r="E9646" s="136">
        <f t="shared" si="449"/>
        <v>8</v>
      </c>
      <c r="F9646" s="137" t="s">
        <v>24</v>
      </c>
      <c r="G9646" s="128" t="str">
        <f>VLOOKUP(source[[#This Row],[lending_product_transform]],[3]Mapping!$B$4:$C$37,2,0)</f>
        <v>[Cake] - Cashloan</v>
      </c>
      <c r="H9646" s="128" t="str">
        <f>VLOOKUP(source[[#This Row],[lending_product_transform]],[3]Mapping!$B$3:$D$37,3,0)</f>
        <v>cashloan</v>
      </c>
      <c r="I9646" s="143">
        <v>2897845636</v>
      </c>
    </row>
    <row r="9647" spans="1:9" x14ac:dyDescent="0.2">
      <c r="A9647" s="172">
        <v>45938</v>
      </c>
      <c r="B9647" s="135">
        <f>YEAR(source[[#This Row],[report_date]])</f>
        <v>2025</v>
      </c>
      <c r="C9647" s="128">
        <f t="shared" si="448"/>
        <v>10</v>
      </c>
      <c r="D9647" s="136">
        <f t="shared" si="450"/>
        <v>41</v>
      </c>
      <c r="E9647" s="136">
        <f t="shared" si="449"/>
        <v>8</v>
      </c>
      <c r="F9647" s="137" t="s">
        <v>24</v>
      </c>
      <c r="G9647" s="128" t="str">
        <f>VLOOKUP(source[[#This Row],[lending_product_transform]],[3]Mapping!$B$4:$C$37,2,0)</f>
        <v>[Cake] - Cashloan</v>
      </c>
      <c r="H9647" s="128" t="str">
        <f>VLOOKUP(source[[#This Row],[lending_product_transform]],[3]Mapping!$B$3:$D$37,3,0)</f>
        <v>cashloan</v>
      </c>
      <c r="I9647" s="143">
        <v>8362764000</v>
      </c>
    </row>
    <row r="9648" spans="1:9" x14ac:dyDescent="0.2">
      <c r="A9648" s="172">
        <v>45938</v>
      </c>
      <c r="B9648" s="135">
        <f>YEAR(source[[#This Row],[report_date]])</f>
        <v>2025</v>
      </c>
      <c r="C9648" s="128">
        <f t="shared" si="448"/>
        <v>10</v>
      </c>
      <c r="D9648" s="136">
        <f t="shared" si="450"/>
        <v>41</v>
      </c>
      <c r="E9648" s="136">
        <f t="shared" si="449"/>
        <v>8</v>
      </c>
      <c r="F9648" s="137" t="s">
        <v>24</v>
      </c>
      <c r="G9648" s="128" t="str">
        <f>VLOOKUP(source[[#This Row],[lending_product_transform]],[3]Mapping!$B$4:$C$37,2,0)</f>
        <v>[Cake] - Cashloan</v>
      </c>
      <c r="H9648" s="128" t="str">
        <f>VLOOKUP(source[[#This Row],[lending_product_transform]],[3]Mapping!$B$3:$D$37,3,0)</f>
        <v>cashloan</v>
      </c>
      <c r="I9648" s="143">
        <v>31939457</v>
      </c>
    </row>
    <row r="9649" spans="1:9" x14ac:dyDescent="0.2">
      <c r="A9649" s="172">
        <v>45938</v>
      </c>
      <c r="B9649" s="135">
        <f>YEAR(source[[#This Row],[report_date]])</f>
        <v>2025</v>
      </c>
      <c r="C9649" s="128">
        <f t="shared" si="448"/>
        <v>10</v>
      </c>
      <c r="D9649" s="136">
        <f t="shared" si="450"/>
        <v>41</v>
      </c>
      <c r="E9649" s="136">
        <f t="shared" si="449"/>
        <v>8</v>
      </c>
      <c r="F9649" s="137" t="s">
        <v>24</v>
      </c>
      <c r="G9649" s="128" t="str">
        <f>VLOOKUP(source[[#This Row],[lending_product_transform]],[3]Mapping!$B$4:$C$37,2,0)</f>
        <v>[Cake] - Cashloan</v>
      </c>
      <c r="H9649" s="128" t="str">
        <f>VLOOKUP(source[[#This Row],[lending_product_transform]],[3]Mapping!$B$3:$D$37,3,0)</f>
        <v>cashloan</v>
      </c>
      <c r="I9649" s="143">
        <v>2628360000</v>
      </c>
    </row>
    <row r="9650" spans="1:9" x14ac:dyDescent="0.2">
      <c r="A9650" s="172">
        <v>45938</v>
      </c>
      <c r="B9650" s="135">
        <f>YEAR(source[[#This Row],[report_date]])</f>
        <v>2025</v>
      </c>
      <c r="C9650" s="128">
        <f t="shared" si="448"/>
        <v>10</v>
      </c>
      <c r="D9650" s="136">
        <f t="shared" si="450"/>
        <v>41</v>
      </c>
      <c r="E9650" s="136">
        <f t="shared" si="449"/>
        <v>8</v>
      </c>
      <c r="F9650" s="137" t="s">
        <v>24</v>
      </c>
      <c r="G9650" s="128" t="str">
        <f>VLOOKUP(source[[#This Row],[lending_product_transform]],[3]Mapping!$B$4:$C$37,2,0)</f>
        <v>[Cake] - Cashloan</v>
      </c>
      <c r="H9650" s="128" t="str">
        <f>VLOOKUP(source[[#This Row],[lending_product_transform]],[3]Mapping!$B$3:$D$37,3,0)</f>
        <v>cashloan</v>
      </c>
      <c r="I9650" s="143">
        <v>17738000</v>
      </c>
    </row>
    <row r="9651" spans="1:9" x14ac:dyDescent="0.2">
      <c r="A9651" s="172">
        <v>45938</v>
      </c>
      <c r="B9651" s="135">
        <f>YEAR(source[[#This Row],[report_date]])</f>
        <v>2025</v>
      </c>
      <c r="C9651" s="128">
        <f t="shared" si="448"/>
        <v>10</v>
      </c>
      <c r="D9651" s="136">
        <f t="shared" si="450"/>
        <v>41</v>
      </c>
      <c r="E9651" s="136">
        <f t="shared" si="449"/>
        <v>8</v>
      </c>
      <c r="F9651" s="137" t="s">
        <v>24</v>
      </c>
      <c r="G9651" s="128" t="str">
        <f>VLOOKUP(source[[#This Row],[lending_product_transform]],[3]Mapping!$B$4:$C$37,2,0)</f>
        <v>[Cake] - Cashloan</v>
      </c>
      <c r="H9651" s="128" t="str">
        <f>VLOOKUP(source[[#This Row],[lending_product_transform]],[3]Mapping!$B$3:$D$37,3,0)</f>
        <v>cashloan</v>
      </c>
      <c r="I9651" s="143">
        <v>587017000</v>
      </c>
    </row>
    <row r="9652" spans="1:9" x14ac:dyDescent="0.2">
      <c r="A9652" s="172">
        <v>45938</v>
      </c>
      <c r="B9652" s="135">
        <f>YEAR(source[[#This Row],[report_date]])</f>
        <v>2025</v>
      </c>
      <c r="C9652" s="128">
        <f t="shared" si="448"/>
        <v>10</v>
      </c>
      <c r="D9652" s="136">
        <f t="shared" si="450"/>
        <v>41</v>
      </c>
      <c r="E9652" s="136">
        <f t="shared" si="449"/>
        <v>8</v>
      </c>
      <c r="F9652" s="137" t="s">
        <v>24</v>
      </c>
      <c r="G9652" s="128" t="str">
        <f>VLOOKUP(source[[#This Row],[lending_product_transform]],[3]Mapping!$B$4:$C$37,2,0)</f>
        <v>[Cake] - Cashloan</v>
      </c>
      <c r="H9652" s="128" t="str">
        <f>VLOOKUP(source[[#This Row],[lending_product_transform]],[3]Mapping!$B$3:$D$37,3,0)</f>
        <v>cashloan</v>
      </c>
      <c r="I9652" s="143">
        <v>0</v>
      </c>
    </row>
    <row r="9653" spans="1:9" x14ac:dyDescent="0.2">
      <c r="A9653" s="172">
        <v>45938</v>
      </c>
      <c r="B9653" s="135">
        <f>YEAR(source[[#This Row],[report_date]])</f>
        <v>2025</v>
      </c>
      <c r="C9653" s="128">
        <f t="shared" si="448"/>
        <v>10</v>
      </c>
      <c r="D9653" s="136">
        <f t="shared" si="450"/>
        <v>41</v>
      </c>
      <c r="E9653" s="136">
        <f t="shared" si="449"/>
        <v>8</v>
      </c>
      <c r="F9653" s="137" t="s">
        <v>24</v>
      </c>
      <c r="G9653" s="128" t="str">
        <f>VLOOKUP(source[[#This Row],[lending_product_transform]],[3]Mapping!$B$4:$C$37,2,0)</f>
        <v>[Cake] - Cashloan</v>
      </c>
      <c r="H9653" s="128" t="str">
        <f>VLOOKUP(source[[#This Row],[lending_product_transform]],[3]Mapping!$B$3:$D$37,3,0)</f>
        <v>cashloan</v>
      </c>
      <c r="I9653" s="143">
        <v>265500000</v>
      </c>
    </row>
    <row r="9654" spans="1:9" x14ac:dyDescent="0.2">
      <c r="A9654" s="172">
        <v>45938</v>
      </c>
      <c r="B9654" s="135">
        <f>YEAR(source[[#This Row],[report_date]])</f>
        <v>2025</v>
      </c>
      <c r="C9654" s="128">
        <f t="shared" ref="C9654:C9717" si="451">MONTH(A9654)</f>
        <v>10</v>
      </c>
      <c r="D9654" s="136">
        <f t="shared" si="450"/>
        <v>41</v>
      </c>
      <c r="E9654" s="136">
        <f t="shared" ref="E9654:E9717" si="452">DAY(A9654)</f>
        <v>8</v>
      </c>
      <c r="F9654" s="137" t="s">
        <v>24</v>
      </c>
      <c r="G9654" s="128" t="str">
        <f>VLOOKUP(source[[#This Row],[lending_product_transform]],[3]Mapping!$B$4:$C$37,2,0)</f>
        <v>[Cake] - Cashloan</v>
      </c>
      <c r="H9654" s="128" t="str">
        <f>VLOOKUP(source[[#This Row],[lending_product_transform]],[3]Mapping!$B$3:$D$37,3,0)</f>
        <v>cashloan</v>
      </c>
      <c r="I9654" s="143">
        <v>15882360000</v>
      </c>
    </row>
    <row r="9655" spans="1:9" x14ac:dyDescent="0.2">
      <c r="A9655" s="172">
        <v>45938</v>
      </c>
      <c r="B9655" s="135">
        <f>YEAR(source[[#This Row],[report_date]])</f>
        <v>2025</v>
      </c>
      <c r="C9655" s="128">
        <f t="shared" si="451"/>
        <v>10</v>
      </c>
      <c r="D9655" s="136">
        <f t="shared" si="450"/>
        <v>41</v>
      </c>
      <c r="E9655" s="136">
        <f t="shared" si="452"/>
        <v>8</v>
      </c>
      <c r="F9655" s="137" t="s">
        <v>24</v>
      </c>
      <c r="G9655" s="128" t="str">
        <f>VLOOKUP(source[[#This Row],[lending_product_transform]],[3]Mapping!$B$4:$C$37,2,0)</f>
        <v>[Cake] - Cashloan</v>
      </c>
      <c r="H9655" s="128" t="str">
        <f>VLOOKUP(source[[#This Row],[lending_product_transform]],[3]Mapping!$B$3:$D$37,3,0)</f>
        <v>cashloan</v>
      </c>
      <c r="I9655" s="143">
        <v>0</v>
      </c>
    </row>
    <row r="9656" spans="1:9" x14ac:dyDescent="0.2">
      <c r="A9656" s="172">
        <v>45938</v>
      </c>
      <c r="B9656" s="135">
        <f>YEAR(source[[#This Row],[report_date]])</f>
        <v>2025</v>
      </c>
      <c r="C9656" s="128">
        <f t="shared" si="451"/>
        <v>10</v>
      </c>
      <c r="D9656" s="136">
        <f t="shared" si="450"/>
        <v>41</v>
      </c>
      <c r="E9656" s="136">
        <f t="shared" si="452"/>
        <v>8</v>
      </c>
      <c r="F9656" s="137" t="s">
        <v>24</v>
      </c>
      <c r="G9656" s="128" t="str">
        <f>VLOOKUP(source[[#This Row],[lending_product_transform]],[3]Mapping!$B$4:$C$37,2,0)</f>
        <v>[Cake] - Cashloan</v>
      </c>
      <c r="H9656" s="128" t="str">
        <f>VLOOKUP(source[[#This Row],[lending_product_transform]],[3]Mapping!$B$3:$D$37,3,0)</f>
        <v>cashloan</v>
      </c>
      <c r="I9656" s="143">
        <v>0</v>
      </c>
    </row>
    <row r="9657" spans="1:9" x14ac:dyDescent="0.2">
      <c r="A9657" s="172">
        <v>45938</v>
      </c>
      <c r="B9657" s="135">
        <f>YEAR(source[[#This Row],[report_date]])</f>
        <v>2025</v>
      </c>
      <c r="C9657" s="128">
        <f t="shared" si="451"/>
        <v>10</v>
      </c>
      <c r="D9657" s="136">
        <f t="shared" si="450"/>
        <v>41</v>
      </c>
      <c r="E9657" s="136">
        <f t="shared" si="452"/>
        <v>8</v>
      </c>
      <c r="F9657" s="137" t="s">
        <v>24</v>
      </c>
      <c r="G9657" s="128" t="str">
        <f>VLOOKUP(source[[#This Row],[lending_product_transform]],[3]Mapping!$B$4:$C$37,2,0)</f>
        <v>[Cake] - Cashloan</v>
      </c>
      <c r="H9657" s="128" t="str">
        <f>VLOOKUP(source[[#This Row],[lending_product_transform]],[3]Mapping!$B$3:$D$37,3,0)</f>
        <v>cashloan</v>
      </c>
      <c r="I9657" s="143">
        <v>0</v>
      </c>
    </row>
    <row r="9658" spans="1:9" x14ac:dyDescent="0.2">
      <c r="A9658" s="172">
        <v>45938</v>
      </c>
      <c r="B9658" s="135">
        <f>YEAR(source[[#This Row],[report_date]])</f>
        <v>2025</v>
      </c>
      <c r="C9658" s="128">
        <f t="shared" si="451"/>
        <v>10</v>
      </c>
      <c r="D9658" s="136">
        <f t="shared" si="450"/>
        <v>41</v>
      </c>
      <c r="E9658" s="136">
        <f t="shared" si="452"/>
        <v>8</v>
      </c>
      <c r="F9658" s="137" t="s">
        <v>24</v>
      </c>
      <c r="G9658" s="128" t="str">
        <f>VLOOKUP(source[[#This Row],[lending_product_transform]],[3]Mapping!$B$4:$C$37,2,0)</f>
        <v>[Cake] - Cashloan</v>
      </c>
      <c r="H9658" s="128" t="str">
        <f>VLOOKUP(source[[#This Row],[lending_product_transform]],[3]Mapping!$B$3:$D$37,3,0)</f>
        <v>cashloan</v>
      </c>
      <c r="I9658" s="143">
        <v>57000000</v>
      </c>
    </row>
    <row r="9659" spans="1:9" x14ac:dyDescent="0.2">
      <c r="A9659" s="172">
        <v>45938</v>
      </c>
      <c r="B9659" s="135">
        <f>YEAR(source[[#This Row],[report_date]])</f>
        <v>2025</v>
      </c>
      <c r="C9659" s="128">
        <f t="shared" si="451"/>
        <v>10</v>
      </c>
      <c r="D9659" s="136">
        <f t="shared" si="450"/>
        <v>41</v>
      </c>
      <c r="E9659" s="136">
        <f t="shared" si="452"/>
        <v>8</v>
      </c>
      <c r="F9659" s="137" t="s">
        <v>24</v>
      </c>
      <c r="G9659" s="128" t="str">
        <f>VLOOKUP(source[[#This Row],[lending_product_transform]],[3]Mapping!$B$4:$C$37,2,0)</f>
        <v>[Cake] - Cashloan</v>
      </c>
      <c r="H9659" s="128" t="str">
        <f>VLOOKUP(source[[#This Row],[lending_product_transform]],[3]Mapping!$B$3:$D$37,3,0)</f>
        <v>cashloan</v>
      </c>
      <c r="I9659" s="143">
        <v>10276308000</v>
      </c>
    </row>
    <row r="9660" spans="1:9" x14ac:dyDescent="0.2">
      <c r="A9660" s="172">
        <v>45938</v>
      </c>
      <c r="B9660" s="135">
        <f>YEAR(source[[#This Row],[report_date]])</f>
        <v>2025</v>
      </c>
      <c r="C9660" s="128">
        <f t="shared" si="451"/>
        <v>10</v>
      </c>
      <c r="D9660" s="136">
        <f t="shared" si="450"/>
        <v>41</v>
      </c>
      <c r="E9660" s="136">
        <f t="shared" si="452"/>
        <v>8</v>
      </c>
      <c r="F9660" s="137" t="s">
        <v>24</v>
      </c>
      <c r="G9660" s="128" t="str">
        <f>VLOOKUP(source[[#This Row],[lending_product_transform]],[3]Mapping!$B$4:$C$37,2,0)</f>
        <v>[Cake] - Cashloan</v>
      </c>
      <c r="H9660" s="128" t="str">
        <f>VLOOKUP(source[[#This Row],[lending_product_transform]],[3]Mapping!$B$3:$D$37,3,0)</f>
        <v>cashloan</v>
      </c>
      <c r="I9660" s="143">
        <v>363932231</v>
      </c>
    </row>
    <row r="9661" spans="1:9" x14ac:dyDescent="0.2">
      <c r="A9661" s="172">
        <v>45938</v>
      </c>
      <c r="B9661" s="135">
        <f>YEAR(source[[#This Row],[report_date]])</f>
        <v>2025</v>
      </c>
      <c r="C9661" s="128">
        <f t="shared" si="451"/>
        <v>10</v>
      </c>
      <c r="D9661" s="136">
        <f t="shared" si="450"/>
        <v>41</v>
      </c>
      <c r="E9661" s="136">
        <f t="shared" si="452"/>
        <v>8</v>
      </c>
      <c r="F9661" s="137" t="s">
        <v>24</v>
      </c>
      <c r="G9661" s="128" t="str">
        <f>VLOOKUP(source[[#This Row],[lending_product_transform]],[3]Mapping!$B$4:$C$37,2,0)</f>
        <v>[Cake] - Cashloan</v>
      </c>
      <c r="H9661" s="128" t="str">
        <f>VLOOKUP(source[[#This Row],[lending_product_transform]],[3]Mapping!$B$3:$D$37,3,0)</f>
        <v>cashloan</v>
      </c>
      <c r="I9661" s="143">
        <v>52500000</v>
      </c>
    </row>
    <row r="9662" spans="1:9" x14ac:dyDescent="0.2">
      <c r="A9662" s="172">
        <v>45938</v>
      </c>
      <c r="B9662" s="135">
        <f>YEAR(source[[#This Row],[report_date]])</f>
        <v>2025</v>
      </c>
      <c r="C9662" s="128">
        <f t="shared" si="451"/>
        <v>10</v>
      </c>
      <c r="D9662" s="136">
        <f t="shared" si="450"/>
        <v>41</v>
      </c>
      <c r="E9662" s="136">
        <f t="shared" si="452"/>
        <v>8</v>
      </c>
      <c r="F9662" s="137" t="s">
        <v>24</v>
      </c>
      <c r="G9662" s="128" t="str">
        <f>VLOOKUP(source[[#This Row],[lending_product_transform]],[3]Mapping!$B$4:$C$37,2,0)</f>
        <v>[Cake] - Cashloan</v>
      </c>
      <c r="H9662" s="128" t="str">
        <f>VLOOKUP(source[[#This Row],[lending_product_transform]],[3]Mapping!$B$3:$D$37,3,0)</f>
        <v>cashloan</v>
      </c>
      <c r="I9662" s="143">
        <v>21000000</v>
      </c>
    </row>
    <row r="9663" spans="1:9" x14ac:dyDescent="0.2">
      <c r="A9663" s="172">
        <v>45938</v>
      </c>
      <c r="B9663" s="135">
        <f>YEAR(source[[#This Row],[report_date]])</f>
        <v>2025</v>
      </c>
      <c r="C9663" s="128">
        <f t="shared" si="451"/>
        <v>10</v>
      </c>
      <c r="D9663" s="136">
        <f t="shared" si="450"/>
        <v>41</v>
      </c>
      <c r="E9663" s="136">
        <f t="shared" si="452"/>
        <v>8</v>
      </c>
      <c r="F9663" s="137" t="s">
        <v>24</v>
      </c>
      <c r="G9663" s="128" t="str">
        <f>VLOOKUP(source[[#This Row],[lending_product_transform]],[3]Mapping!$B$4:$C$37,2,0)</f>
        <v>[Cake] - Cashloan</v>
      </c>
      <c r="H9663" s="128" t="str">
        <f>VLOOKUP(source[[#This Row],[lending_product_transform]],[3]Mapping!$B$3:$D$37,3,0)</f>
        <v>cashloan</v>
      </c>
      <c r="I9663" s="143">
        <v>753380000</v>
      </c>
    </row>
    <row r="9664" spans="1:9" x14ac:dyDescent="0.2">
      <c r="A9664" s="172">
        <v>45938</v>
      </c>
      <c r="B9664" s="135">
        <f>YEAR(source[[#This Row],[report_date]])</f>
        <v>2025</v>
      </c>
      <c r="C9664" s="128">
        <f t="shared" si="451"/>
        <v>10</v>
      </c>
      <c r="D9664" s="136">
        <f t="shared" si="450"/>
        <v>41</v>
      </c>
      <c r="E9664" s="136">
        <f t="shared" si="452"/>
        <v>8</v>
      </c>
      <c r="F9664" s="137" t="s">
        <v>24</v>
      </c>
      <c r="G9664" s="128" t="str">
        <f>VLOOKUP(source[[#This Row],[lending_product_transform]],[3]Mapping!$B$4:$C$37,2,0)</f>
        <v>[Cake] - Cashloan</v>
      </c>
      <c r="H9664" s="128" t="str">
        <f>VLOOKUP(source[[#This Row],[lending_product_transform]],[3]Mapping!$B$3:$D$37,3,0)</f>
        <v>cashloan</v>
      </c>
      <c r="I9664" s="143">
        <v>198720000</v>
      </c>
    </row>
    <row r="9665" spans="1:9" x14ac:dyDescent="0.2">
      <c r="A9665" s="172">
        <v>45938</v>
      </c>
      <c r="B9665" s="135">
        <f>YEAR(source[[#This Row],[report_date]])</f>
        <v>2025</v>
      </c>
      <c r="C9665" s="128">
        <f t="shared" si="451"/>
        <v>10</v>
      </c>
      <c r="D9665" s="136">
        <f t="shared" si="450"/>
        <v>41</v>
      </c>
      <c r="E9665" s="136">
        <f t="shared" si="452"/>
        <v>8</v>
      </c>
      <c r="F9665" s="137" t="s">
        <v>24</v>
      </c>
      <c r="G9665" s="128" t="str">
        <f>VLOOKUP(source[[#This Row],[lending_product_transform]],[3]Mapping!$B$4:$C$37,2,0)</f>
        <v>[Cake] - Cashloan</v>
      </c>
      <c r="H9665" s="128" t="str">
        <f>VLOOKUP(source[[#This Row],[lending_product_transform]],[3]Mapping!$B$3:$D$37,3,0)</f>
        <v>cashloan</v>
      </c>
      <c r="I9665" s="143">
        <v>436032451</v>
      </c>
    </row>
    <row r="9666" spans="1:9" x14ac:dyDescent="0.2">
      <c r="A9666" s="172">
        <v>45938</v>
      </c>
      <c r="B9666" s="135">
        <f>YEAR(source[[#This Row],[report_date]])</f>
        <v>2025</v>
      </c>
      <c r="C9666" s="128">
        <f t="shared" si="451"/>
        <v>10</v>
      </c>
      <c r="D9666" s="136">
        <f t="shared" si="450"/>
        <v>41</v>
      </c>
      <c r="E9666" s="136">
        <f t="shared" si="452"/>
        <v>8</v>
      </c>
      <c r="F9666" s="137" t="s">
        <v>24</v>
      </c>
      <c r="G9666" s="128" t="str">
        <f>VLOOKUP(source[[#This Row],[lending_product_transform]],[3]Mapping!$B$4:$C$37,2,0)</f>
        <v>[Cake] - Cashloan</v>
      </c>
      <c r="H9666" s="128" t="str">
        <f>VLOOKUP(source[[#This Row],[lending_product_transform]],[3]Mapping!$B$3:$D$37,3,0)</f>
        <v>cashloan</v>
      </c>
      <c r="I9666" s="143">
        <v>4437630000</v>
      </c>
    </row>
    <row r="9667" spans="1:9" x14ac:dyDescent="0.2">
      <c r="A9667" s="172">
        <v>45939</v>
      </c>
      <c r="B9667" s="135">
        <f>YEAR(source[[#This Row],[report_date]])</f>
        <v>2025</v>
      </c>
      <c r="C9667" s="128">
        <f t="shared" si="451"/>
        <v>10</v>
      </c>
      <c r="D9667" s="136">
        <f t="shared" ref="D9667:D9730" si="453">WEEKNUM(A9667,2)</f>
        <v>41</v>
      </c>
      <c r="E9667" s="136">
        <f t="shared" si="452"/>
        <v>9</v>
      </c>
      <c r="F9667" s="137" t="s">
        <v>24</v>
      </c>
      <c r="G9667" s="128" t="str">
        <f>VLOOKUP(source[[#This Row],[lending_product_transform]],[3]Mapping!$B$4:$C$37,2,0)</f>
        <v>[Cake] - Cashloan</v>
      </c>
      <c r="H9667" s="128" t="str">
        <f>VLOOKUP(source[[#This Row],[lending_product_transform]],[3]Mapping!$B$3:$D$37,3,0)</f>
        <v>cashloan</v>
      </c>
      <c r="I9667" s="143">
        <v>0</v>
      </c>
    </row>
    <row r="9668" spans="1:9" x14ac:dyDescent="0.2">
      <c r="A9668" s="172">
        <v>45939</v>
      </c>
      <c r="B9668" s="135">
        <f>YEAR(source[[#This Row],[report_date]])</f>
        <v>2025</v>
      </c>
      <c r="C9668" s="128">
        <f t="shared" si="451"/>
        <v>10</v>
      </c>
      <c r="D9668" s="136">
        <f t="shared" si="453"/>
        <v>41</v>
      </c>
      <c r="E9668" s="136">
        <f t="shared" si="452"/>
        <v>9</v>
      </c>
      <c r="F9668" s="137" t="s">
        <v>24</v>
      </c>
      <c r="G9668" s="128" t="str">
        <f>VLOOKUP(source[[#This Row],[lending_product_transform]],[3]Mapping!$B$4:$C$37,2,0)</f>
        <v>[Cake] - Cashloan</v>
      </c>
      <c r="H9668" s="128" t="str">
        <f>VLOOKUP(source[[#This Row],[lending_product_transform]],[3]Mapping!$B$3:$D$37,3,0)</f>
        <v>cashloan</v>
      </c>
      <c r="I9668" s="143">
        <v>319276311</v>
      </c>
    </row>
    <row r="9669" spans="1:9" x14ac:dyDescent="0.2">
      <c r="A9669" s="172">
        <v>45939</v>
      </c>
      <c r="B9669" s="135">
        <f>YEAR(source[[#This Row],[report_date]])</f>
        <v>2025</v>
      </c>
      <c r="C9669" s="128">
        <f t="shared" si="451"/>
        <v>10</v>
      </c>
      <c r="D9669" s="136">
        <f t="shared" si="453"/>
        <v>41</v>
      </c>
      <c r="E9669" s="136">
        <f t="shared" si="452"/>
        <v>9</v>
      </c>
      <c r="F9669" s="137" t="s">
        <v>24</v>
      </c>
      <c r="G9669" s="128" t="str">
        <f>VLOOKUP(source[[#This Row],[lending_product_transform]],[3]Mapping!$B$4:$C$37,2,0)</f>
        <v>[Cake] - Cashloan</v>
      </c>
      <c r="H9669" s="128" t="str">
        <f>VLOOKUP(source[[#This Row],[lending_product_transform]],[3]Mapping!$B$3:$D$37,3,0)</f>
        <v>cashloan</v>
      </c>
      <c r="I9669" s="143">
        <v>17245320000</v>
      </c>
    </row>
    <row r="9670" spans="1:9" x14ac:dyDescent="0.2">
      <c r="A9670" s="172">
        <v>45939</v>
      </c>
      <c r="B9670" s="135">
        <f>YEAR(source[[#This Row],[report_date]])</f>
        <v>2025</v>
      </c>
      <c r="C9670" s="128">
        <f t="shared" si="451"/>
        <v>10</v>
      </c>
      <c r="D9670" s="136">
        <f t="shared" si="453"/>
        <v>41</v>
      </c>
      <c r="E9670" s="136">
        <f t="shared" si="452"/>
        <v>9</v>
      </c>
      <c r="F9670" s="137" t="s">
        <v>24</v>
      </c>
      <c r="G9670" s="128" t="str">
        <f>VLOOKUP(source[[#This Row],[lending_product_transform]],[3]Mapping!$B$4:$C$37,2,0)</f>
        <v>[Cake] - Cashloan</v>
      </c>
      <c r="H9670" s="128" t="str">
        <f>VLOOKUP(source[[#This Row],[lending_product_transform]],[3]Mapping!$B$3:$D$37,3,0)</f>
        <v>cashloan</v>
      </c>
      <c r="I9670" s="143">
        <v>2955455172</v>
      </c>
    </row>
    <row r="9671" spans="1:9" x14ac:dyDescent="0.2">
      <c r="A9671" s="172">
        <v>45939</v>
      </c>
      <c r="B9671" s="135">
        <f>YEAR(source[[#This Row],[report_date]])</f>
        <v>2025</v>
      </c>
      <c r="C9671" s="128">
        <f t="shared" si="451"/>
        <v>10</v>
      </c>
      <c r="D9671" s="136">
        <f t="shared" si="453"/>
        <v>41</v>
      </c>
      <c r="E9671" s="136">
        <f t="shared" si="452"/>
        <v>9</v>
      </c>
      <c r="F9671" s="137" t="s">
        <v>24</v>
      </c>
      <c r="G9671" s="128" t="str">
        <f>VLOOKUP(source[[#This Row],[lending_product_transform]],[3]Mapping!$B$4:$C$37,2,0)</f>
        <v>[Cake] - Cashloan</v>
      </c>
      <c r="H9671" s="128" t="str">
        <f>VLOOKUP(source[[#This Row],[lending_product_transform]],[3]Mapping!$B$3:$D$37,3,0)</f>
        <v>cashloan</v>
      </c>
      <c r="I9671" s="143">
        <v>8826300000</v>
      </c>
    </row>
    <row r="9672" spans="1:9" x14ac:dyDescent="0.2">
      <c r="A9672" s="172">
        <v>45939</v>
      </c>
      <c r="B9672" s="135">
        <f>YEAR(source[[#This Row],[report_date]])</f>
        <v>2025</v>
      </c>
      <c r="C9672" s="128">
        <f t="shared" si="451"/>
        <v>10</v>
      </c>
      <c r="D9672" s="136">
        <f t="shared" si="453"/>
        <v>41</v>
      </c>
      <c r="E9672" s="136">
        <f t="shared" si="452"/>
        <v>9</v>
      </c>
      <c r="F9672" s="137" t="s">
        <v>24</v>
      </c>
      <c r="G9672" s="128" t="str">
        <f>VLOOKUP(source[[#This Row],[lending_product_transform]],[3]Mapping!$B$4:$C$37,2,0)</f>
        <v>[Cake] - Cashloan</v>
      </c>
      <c r="H9672" s="128" t="str">
        <f>VLOOKUP(source[[#This Row],[lending_product_transform]],[3]Mapping!$B$3:$D$37,3,0)</f>
        <v>cashloan</v>
      </c>
      <c r="I9672" s="143">
        <v>29691868</v>
      </c>
    </row>
    <row r="9673" spans="1:9" x14ac:dyDescent="0.2">
      <c r="A9673" s="172">
        <v>45939</v>
      </c>
      <c r="B9673" s="135">
        <f>YEAR(source[[#This Row],[report_date]])</f>
        <v>2025</v>
      </c>
      <c r="C9673" s="128">
        <f t="shared" si="451"/>
        <v>10</v>
      </c>
      <c r="D9673" s="136">
        <f t="shared" si="453"/>
        <v>41</v>
      </c>
      <c r="E9673" s="136">
        <f t="shared" si="452"/>
        <v>9</v>
      </c>
      <c r="F9673" s="137" t="s">
        <v>24</v>
      </c>
      <c r="G9673" s="128" t="str">
        <f>VLOOKUP(source[[#This Row],[lending_product_transform]],[3]Mapping!$B$4:$C$37,2,0)</f>
        <v>[Cake] - Cashloan</v>
      </c>
      <c r="H9673" s="128" t="str">
        <f>VLOOKUP(source[[#This Row],[lending_product_transform]],[3]Mapping!$B$3:$D$37,3,0)</f>
        <v>cashloan</v>
      </c>
      <c r="I9673" s="143">
        <v>2933710000</v>
      </c>
    </row>
    <row r="9674" spans="1:9" x14ac:dyDescent="0.2">
      <c r="A9674" s="172">
        <v>45939</v>
      </c>
      <c r="B9674" s="135">
        <f>YEAR(source[[#This Row],[report_date]])</f>
        <v>2025</v>
      </c>
      <c r="C9674" s="128">
        <f t="shared" si="451"/>
        <v>10</v>
      </c>
      <c r="D9674" s="136">
        <f t="shared" si="453"/>
        <v>41</v>
      </c>
      <c r="E9674" s="136">
        <f t="shared" si="452"/>
        <v>9</v>
      </c>
      <c r="F9674" s="137" t="s">
        <v>24</v>
      </c>
      <c r="G9674" s="128" t="str">
        <f>VLOOKUP(source[[#This Row],[lending_product_transform]],[3]Mapping!$B$4:$C$37,2,0)</f>
        <v>[Cake] - Cashloan</v>
      </c>
      <c r="H9674" s="128" t="str">
        <f>VLOOKUP(source[[#This Row],[lending_product_transform]],[3]Mapping!$B$3:$D$37,3,0)</f>
        <v>cashloan</v>
      </c>
      <c r="I9674" s="143">
        <v>26820000</v>
      </c>
    </row>
    <row r="9675" spans="1:9" x14ac:dyDescent="0.2">
      <c r="A9675" s="172">
        <v>45939</v>
      </c>
      <c r="B9675" s="135">
        <f>YEAR(source[[#This Row],[report_date]])</f>
        <v>2025</v>
      </c>
      <c r="C9675" s="128">
        <f t="shared" si="451"/>
        <v>10</v>
      </c>
      <c r="D9675" s="136">
        <f t="shared" si="453"/>
        <v>41</v>
      </c>
      <c r="E9675" s="136">
        <f t="shared" si="452"/>
        <v>9</v>
      </c>
      <c r="F9675" s="137" t="s">
        <v>24</v>
      </c>
      <c r="G9675" s="128" t="str">
        <f>VLOOKUP(source[[#This Row],[lending_product_transform]],[3]Mapping!$B$4:$C$37,2,0)</f>
        <v>[Cake] - Cashloan</v>
      </c>
      <c r="H9675" s="128" t="str">
        <f>VLOOKUP(source[[#This Row],[lending_product_transform]],[3]Mapping!$B$3:$D$37,3,0)</f>
        <v>cashloan</v>
      </c>
      <c r="I9675" s="143">
        <v>645346650</v>
      </c>
    </row>
    <row r="9676" spans="1:9" x14ac:dyDescent="0.2">
      <c r="A9676" s="172">
        <v>45939</v>
      </c>
      <c r="B9676" s="135">
        <f>YEAR(source[[#This Row],[report_date]])</f>
        <v>2025</v>
      </c>
      <c r="C9676" s="128">
        <f t="shared" si="451"/>
        <v>10</v>
      </c>
      <c r="D9676" s="136">
        <f t="shared" si="453"/>
        <v>41</v>
      </c>
      <c r="E9676" s="136">
        <f t="shared" si="452"/>
        <v>9</v>
      </c>
      <c r="F9676" s="137" t="s">
        <v>24</v>
      </c>
      <c r="G9676" s="128" t="str">
        <f>VLOOKUP(source[[#This Row],[lending_product_transform]],[3]Mapping!$B$4:$C$37,2,0)</f>
        <v>[Cake] - Cashloan</v>
      </c>
      <c r="H9676" s="128" t="str">
        <f>VLOOKUP(source[[#This Row],[lending_product_transform]],[3]Mapping!$B$3:$D$37,3,0)</f>
        <v>cashloan</v>
      </c>
      <c r="I9676" s="143">
        <v>0</v>
      </c>
    </row>
    <row r="9677" spans="1:9" x14ac:dyDescent="0.2">
      <c r="A9677" s="172">
        <v>45939</v>
      </c>
      <c r="B9677" s="135">
        <f>YEAR(source[[#This Row],[report_date]])</f>
        <v>2025</v>
      </c>
      <c r="C9677" s="128">
        <f t="shared" si="451"/>
        <v>10</v>
      </c>
      <c r="D9677" s="136">
        <f t="shared" si="453"/>
        <v>41</v>
      </c>
      <c r="E9677" s="136">
        <f t="shared" si="452"/>
        <v>9</v>
      </c>
      <c r="F9677" s="137" t="s">
        <v>24</v>
      </c>
      <c r="G9677" s="128" t="str">
        <f>VLOOKUP(source[[#This Row],[lending_product_transform]],[3]Mapping!$B$4:$C$37,2,0)</f>
        <v>[Cake] - Cashloan</v>
      </c>
      <c r="H9677" s="128" t="str">
        <f>VLOOKUP(source[[#This Row],[lending_product_transform]],[3]Mapping!$B$3:$D$37,3,0)</f>
        <v>cashloan</v>
      </c>
      <c r="I9677" s="143">
        <v>361350000</v>
      </c>
    </row>
    <row r="9678" spans="1:9" x14ac:dyDescent="0.2">
      <c r="A9678" s="172">
        <v>45939</v>
      </c>
      <c r="B9678" s="135">
        <f>YEAR(source[[#This Row],[report_date]])</f>
        <v>2025</v>
      </c>
      <c r="C9678" s="128">
        <f t="shared" si="451"/>
        <v>10</v>
      </c>
      <c r="D9678" s="136">
        <f t="shared" si="453"/>
        <v>41</v>
      </c>
      <c r="E9678" s="136">
        <f t="shared" si="452"/>
        <v>9</v>
      </c>
      <c r="F9678" s="137" t="s">
        <v>24</v>
      </c>
      <c r="G9678" s="128" t="str">
        <f>VLOOKUP(source[[#This Row],[lending_product_transform]],[3]Mapping!$B$4:$C$37,2,0)</f>
        <v>[Cake] - Cashloan</v>
      </c>
      <c r="H9678" s="128" t="str">
        <f>VLOOKUP(source[[#This Row],[lending_product_transform]],[3]Mapping!$B$3:$D$37,3,0)</f>
        <v>cashloan</v>
      </c>
      <c r="I9678" s="143">
        <v>16271270000</v>
      </c>
    </row>
    <row r="9679" spans="1:9" x14ac:dyDescent="0.2">
      <c r="A9679" s="172">
        <v>45939</v>
      </c>
      <c r="B9679" s="135">
        <f>YEAR(source[[#This Row],[report_date]])</f>
        <v>2025</v>
      </c>
      <c r="C9679" s="128">
        <f t="shared" si="451"/>
        <v>10</v>
      </c>
      <c r="D9679" s="136">
        <f t="shared" si="453"/>
        <v>41</v>
      </c>
      <c r="E9679" s="136">
        <f t="shared" si="452"/>
        <v>9</v>
      </c>
      <c r="F9679" s="137" t="s">
        <v>24</v>
      </c>
      <c r="G9679" s="128" t="str">
        <f>VLOOKUP(source[[#This Row],[lending_product_transform]],[3]Mapping!$B$4:$C$37,2,0)</f>
        <v>[Cake] - Cashloan</v>
      </c>
      <c r="H9679" s="128" t="str">
        <f>VLOOKUP(source[[#This Row],[lending_product_transform]],[3]Mapping!$B$3:$D$37,3,0)</f>
        <v>cashloan</v>
      </c>
      <c r="I9679" s="143">
        <v>0</v>
      </c>
    </row>
    <row r="9680" spans="1:9" x14ac:dyDescent="0.2">
      <c r="A9680" s="172">
        <v>45939</v>
      </c>
      <c r="B9680" s="135">
        <f>YEAR(source[[#This Row],[report_date]])</f>
        <v>2025</v>
      </c>
      <c r="C9680" s="128">
        <f t="shared" si="451"/>
        <v>10</v>
      </c>
      <c r="D9680" s="136">
        <f t="shared" si="453"/>
        <v>41</v>
      </c>
      <c r="E9680" s="136">
        <f t="shared" si="452"/>
        <v>9</v>
      </c>
      <c r="F9680" s="137" t="s">
        <v>24</v>
      </c>
      <c r="G9680" s="128" t="str">
        <f>VLOOKUP(source[[#This Row],[lending_product_transform]],[3]Mapping!$B$4:$C$37,2,0)</f>
        <v>[Cake] - Cashloan</v>
      </c>
      <c r="H9680" s="128" t="str">
        <f>VLOOKUP(source[[#This Row],[lending_product_transform]],[3]Mapping!$B$3:$D$37,3,0)</f>
        <v>cashloan</v>
      </c>
      <c r="I9680" s="143">
        <v>0</v>
      </c>
    </row>
    <row r="9681" spans="1:9" x14ac:dyDescent="0.2">
      <c r="A9681" s="172">
        <v>45939</v>
      </c>
      <c r="B9681" s="135">
        <f>YEAR(source[[#This Row],[report_date]])</f>
        <v>2025</v>
      </c>
      <c r="C9681" s="128">
        <f t="shared" si="451"/>
        <v>10</v>
      </c>
      <c r="D9681" s="136">
        <f t="shared" si="453"/>
        <v>41</v>
      </c>
      <c r="E9681" s="136">
        <f t="shared" si="452"/>
        <v>9</v>
      </c>
      <c r="F9681" s="137" t="s">
        <v>24</v>
      </c>
      <c r="G9681" s="128" t="str">
        <f>VLOOKUP(source[[#This Row],[lending_product_transform]],[3]Mapping!$B$4:$C$37,2,0)</f>
        <v>[Cake] - Cashloan</v>
      </c>
      <c r="H9681" s="128" t="str">
        <f>VLOOKUP(source[[#This Row],[lending_product_transform]],[3]Mapping!$B$3:$D$37,3,0)</f>
        <v>cashloan</v>
      </c>
      <c r="I9681" s="143">
        <v>0</v>
      </c>
    </row>
    <row r="9682" spans="1:9" x14ac:dyDescent="0.2">
      <c r="A9682" s="172">
        <v>45939</v>
      </c>
      <c r="B9682" s="135">
        <f>YEAR(source[[#This Row],[report_date]])</f>
        <v>2025</v>
      </c>
      <c r="C9682" s="128">
        <f t="shared" si="451"/>
        <v>10</v>
      </c>
      <c r="D9682" s="136">
        <f t="shared" si="453"/>
        <v>41</v>
      </c>
      <c r="E9682" s="136">
        <f t="shared" si="452"/>
        <v>9</v>
      </c>
      <c r="F9682" s="137" t="s">
        <v>24</v>
      </c>
      <c r="G9682" s="128" t="str">
        <f>VLOOKUP(source[[#This Row],[lending_product_transform]],[3]Mapping!$B$4:$C$37,2,0)</f>
        <v>[Cake] - Cashloan</v>
      </c>
      <c r="H9682" s="128" t="str">
        <f>VLOOKUP(source[[#This Row],[lending_product_transform]],[3]Mapping!$B$3:$D$37,3,0)</f>
        <v>cashloan</v>
      </c>
      <c r="I9682" s="143">
        <v>0</v>
      </c>
    </row>
    <row r="9683" spans="1:9" x14ac:dyDescent="0.2">
      <c r="A9683" s="172">
        <v>45939</v>
      </c>
      <c r="B9683" s="135">
        <f>YEAR(source[[#This Row],[report_date]])</f>
        <v>2025</v>
      </c>
      <c r="C9683" s="128">
        <f t="shared" si="451"/>
        <v>10</v>
      </c>
      <c r="D9683" s="136">
        <f t="shared" si="453"/>
        <v>41</v>
      </c>
      <c r="E9683" s="136">
        <f t="shared" si="452"/>
        <v>9</v>
      </c>
      <c r="F9683" s="137" t="s">
        <v>24</v>
      </c>
      <c r="G9683" s="128" t="str">
        <f>VLOOKUP(source[[#This Row],[lending_product_transform]],[3]Mapping!$B$4:$C$37,2,0)</f>
        <v>[Cake] - Cashloan</v>
      </c>
      <c r="H9683" s="128" t="str">
        <f>VLOOKUP(source[[#This Row],[lending_product_transform]],[3]Mapping!$B$3:$D$37,3,0)</f>
        <v>cashloan</v>
      </c>
      <c r="I9683" s="143">
        <v>8928684000</v>
      </c>
    </row>
    <row r="9684" spans="1:9" x14ac:dyDescent="0.2">
      <c r="A9684" s="172">
        <v>45939</v>
      </c>
      <c r="B9684" s="135">
        <f>YEAR(source[[#This Row],[report_date]])</f>
        <v>2025</v>
      </c>
      <c r="C9684" s="128">
        <f t="shared" si="451"/>
        <v>10</v>
      </c>
      <c r="D9684" s="136">
        <f t="shared" si="453"/>
        <v>41</v>
      </c>
      <c r="E9684" s="136">
        <f t="shared" si="452"/>
        <v>9</v>
      </c>
      <c r="F9684" s="137" t="s">
        <v>24</v>
      </c>
      <c r="G9684" s="128" t="str">
        <f>VLOOKUP(source[[#This Row],[lending_product_transform]],[3]Mapping!$B$4:$C$37,2,0)</f>
        <v>[Cake] - Cashloan</v>
      </c>
      <c r="H9684" s="128" t="str">
        <f>VLOOKUP(source[[#This Row],[lending_product_transform]],[3]Mapping!$B$3:$D$37,3,0)</f>
        <v>cashloan</v>
      </c>
      <c r="I9684" s="143">
        <v>368923861</v>
      </c>
    </row>
    <row r="9685" spans="1:9" x14ac:dyDescent="0.2">
      <c r="A9685" s="172">
        <v>45939</v>
      </c>
      <c r="B9685" s="135">
        <f>YEAR(source[[#This Row],[report_date]])</f>
        <v>2025</v>
      </c>
      <c r="C9685" s="128">
        <f t="shared" si="451"/>
        <v>10</v>
      </c>
      <c r="D9685" s="136">
        <f t="shared" si="453"/>
        <v>41</v>
      </c>
      <c r="E9685" s="136">
        <f t="shared" si="452"/>
        <v>9</v>
      </c>
      <c r="F9685" s="137" t="s">
        <v>24</v>
      </c>
      <c r="G9685" s="128" t="str">
        <f>VLOOKUP(source[[#This Row],[lending_product_transform]],[3]Mapping!$B$4:$C$37,2,0)</f>
        <v>[Cake] - Cashloan</v>
      </c>
      <c r="H9685" s="128" t="str">
        <f>VLOOKUP(source[[#This Row],[lending_product_transform]],[3]Mapping!$B$3:$D$37,3,0)</f>
        <v>cashloan</v>
      </c>
      <c r="I9685" s="143">
        <v>10000000</v>
      </c>
    </row>
    <row r="9686" spans="1:9" x14ac:dyDescent="0.2">
      <c r="A9686" s="172">
        <v>45939</v>
      </c>
      <c r="B9686" s="135">
        <f>YEAR(source[[#This Row],[report_date]])</f>
        <v>2025</v>
      </c>
      <c r="C9686" s="128">
        <f t="shared" si="451"/>
        <v>10</v>
      </c>
      <c r="D9686" s="136">
        <f t="shared" si="453"/>
        <v>41</v>
      </c>
      <c r="E9686" s="136">
        <f t="shared" si="452"/>
        <v>9</v>
      </c>
      <c r="F9686" s="137" t="s">
        <v>24</v>
      </c>
      <c r="G9686" s="128" t="str">
        <f>VLOOKUP(source[[#This Row],[lending_product_transform]],[3]Mapping!$B$4:$C$37,2,0)</f>
        <v>[Cake] - Cashloan</v>
      </c>
      <c r="H9686" s="128" t="str">
        <f>VLOOKUP(source[[#This Row],[lending_product_transform]],[3]Mapping!$B$3:$D$37,3,0)</f>
        <v>cashloan</v>
      </c>
      <c r="I9686" s="143">
        <v>87000000</v>
      </c>
    </row>
    <row r="9687" spans="1:9" x14ac:dyDescent="0.2">
      <c r="A9687" s="172">
        <v>45939</v>
      </c>
      <c r="B9687" s="135">
        <f>YEAR(source[[#This Row],[report_date]])</f>
        <v>2025</v>
      </c>
      <c r="C9687" s="128">
        <f t="shared" si="451"/>
        <v>10</v>
      </c>
      <c r="D9687" s="136">
        <f t="shared" si="453"/>
        <v>41</v>
      </c>
      <c r="E9687" s="136">
        <f t="shared" si="452"/>
        <v>9</v>
      </c>
      <c r="F9687" s="137" t="s">
        <v>24</v>
      </c>
      <c r="G9687" s="128" t="str">
        <f>VLOOKUP(source[[#This Row],[lending_product_transform]],[3]Mapping!$B$4:$C$37,2,0)</f>
        <v>[Cake] - Cashloan</v>
      </c>
      <c r="H9687" s="128" t="str">
        <f>VLOOKUP(source[[#This Row],[lending_product_transform]],[3]Mapping!$B$3:$D$37,3,0)</f>
        <v>cashloan</v>
      </c>
      <c r="I9687" s="143">
        <v>728650000</v>
      </c>
    </row>
    <row r="9688" spans="1:9" x14ac:dyDescent="0.2">
      <c r="A9688" s="172">
        <v>45939</v>
      </c>
      <c r="B9688" s="135">
        <f>YEAR(source[[#This Row],[report_date]])</f>
        <v>2025</v>
      </c>
      <c r="C9688" s="128">
        <f t="shared" si="451"/>
        <v>10</v>
      </c>
      <c r="D9688" s="136">
        <f t="shared" si="453"/>
        <v>41</v>
      </c>
      <c r="E9688" s="136">
        <f t="shared" si="452"/>
        <v>9</v>
      </c>
      <c r="F9688" s="137" t="s">
        <v>24</v>
      </c>
      <c r="G9688" s="128" t="str">
        <f>VLOOKUP(source[[#This Row],[lending_product_transform]],[3]Mapping!$B$4:$C$37,2,0)</f>
        <v>[Cake] - Cashloan</v>
      </c>
      <c r="H9688" s="128" t="str">
        <f>VLOOKUP(source[[#This Row],[lending_product_transform]],[3]Mapping!$B$3:$D$37,3,0)</f>
        <v>cashloan</v>
      </c>
      <c r="I9688" s="143">
        <v>205200000</v>
      </c>
    </row>
    <row r="9689" spans="1:9" x14ac:dyDescent="0.2">
      <c r="A9689" s="172">
        <v>45939</v>
      </c>
      <c r="B9689" s="135">
        <f>YEAR(source[[#This Row],[report_date]])</f>
        <v>2025</v>
      </c>
      <c r="C9689" s="128">
        <f t="shared" si="451"/>
        <v>10</v>
      </c>
      <c r="D9689" s="136">
        <f t="shared" si="453"/>
        <v>41</v>
      </c>
      <c r="E9689" s="136">
        <f t="shared" si="452"/>
        <v>9</v>
      </c>
      <c r="F9689" s="137" t="s">
        <v>24</v>
      </c>
      <c r="G9689" s="128" t="str">
        <f>VLOOKUP(source[[#This Row],[lending_product_transform]],[3]Mapping!$B$4:$C$37,2,0)</f>
        <v>[Cake] - Cashloan</v>
      </c>
      <c r="H9689" s="128" t="str">
        <f>VLOOKUP(source[[#This Row],[lending_product_transform]],[3]Mapping!$B$3:$D$37,3,0)</f>
        <v>cashloan</v>
      </c>
      <c r="I9689" s="143">
        <v>429871416</v>
      </c>
    </row>
    <row r="9690" spans="1:9" x14ac:dyDescent="0.2">
      <c r="A9690" s="172">
        <v>45939</v>
      </c>
      <c r="B9690" s="135">
        <f>YEAR(source[[#This Row],[report_date]])</f>
        <v>2025</v>
      </c>
      <c r="C9690" s="128">
        <f t="shared" si="451"/>
        <v>10</v>
      </c>
      <c r="D9690" s="136">
        <f t="shared" si="453"/>
        <v>41</v>
      </c>
      <c r="E9690" s="136">
        <f t="shared" si="452"/>
        <v>9</v>
      </c>
      <c r="F9690" s="137" t="s">
        <v>24</v>
      </c>
      <c r="G9690" s="128" t="str">
        <f>VLOOKUP(source[[#This Row],[lending_product_transform]],[3]Mapping!$B$4:$C$37,2,0)</f>
        <v>[Cake] - Cashloan</v>
      </c>
      <c r="H9690" s="128" t="str">
        <f>VLOOKUP(source[[#This Row],[lending_product_transform]],[3]Mapping!$B$3:$D$37,3,0)</f>
        <v>cashloan</v>
      </c>
      <c r="I9690" s="143">
        <v>4615460000</v>
      </c>
    </row>
    <row r="9691" spans="1:9" x14ac:dyDescent="0.2">
      <c r="A9691" s="172">
        <v>45940</v>
      </c>
      <c r="B9691" s="135">
        <f>YEAR(source[[#This Row],[report_date]])</f>
        <v>2025</v>
      </c>
      <c r="C9691" s="128">
        <f t="shared" si="451"/>
        <v>10</v>
      </c>
      <c r="D9691" s="136">
        <f t="shared" si="453"/>
        <v>41</v>
      </c>
      <c r="E9691" s="136">
        <f t="shared" si="452"/>
        <v>10</v>
      </c>
      <c r="F9691" s="137" t="s">
        <v>24</v>
      </c>
      <c r="G9691" s="128" t="str">
        <f>VLOOKUP(source[[#This Row],[lending_product_transform]],[3]Mapping!$B$4:$C$37,2,0)</f>
        <v>[Cake] - Cashloan</v>
      </c>
      <c r="H9691" s="128" t="str">
        <f>VLOOKUP(source[[#This Row],[lending_product_transform]],[3]Mapping!$B$3:$D$37,3,0)</f>
        <v>cashloan</v>
      </c>
      <c r="I9691" s="143">
        <v>0</v>
      </c>
    </row>
    <row r="9692" spans="1:9" x14ac:dyDescent="0.2">
      <c r="A9692" s="172">
        <v>45940</v>
      </c>
      <c r="B9692" s="135">
        <f>YEAR(source[[#This Row],[report_date]])</f>
        <v>2025</v>
      </c>
      <c r="C9692" s="128">
        <f t="shared" si="451"/>
        <v>10</v>
      </c>
      <c r="D9692" s="136">
        <f t="shared" si="453"/>
        <v>41</v>
      </c>
      <c r="E9692" s="136">
        <f t="shared" si="452"/>
        <v>10</v>
      </c>
      <c r="F9692" s="137" t="s">
        <v>24</v>
      </c>
      <c r="G9692" s="128" t="str">
        <f>VLOOKUP(source[[#This Row],[lending_product_transform]],[3]Mapping!$B$4:$C$37,2,0)</f>
        <v>[Cake] - Cashloan</v>
      </c>
      <c r="H9692" s="128" t="str">
        <f>VLOOKUP(source[[#This Row],[lending_product_transform]],[3]Mapping!$B$3:$D$37,3,0)</f>
        <v>cashloan</v>
      </c>
      <c r="I9692" s="143">
        <v>307060316</v>
      </c>
    </row>
    <row r="9693" spans="1:9" x14ac:dyDescent="0.2">
      <c r="A9693" s="172">
        <v>45940</v>
      </c>
      <c r="B9693" s="135">
        <f>YEAR(source[[#This Row],[report_date]])</f>
        <v>2025</v>
      </c>
      <c r="C9693" s="128">
        <f t="shared" si="451"/>
        <v>10</v>
      </c>
      <c r="D9693" s="136">
        <f t="shared" si="453"/>
        <v>41</v>
      </c>
      <c r="E9693" s="136">
        <f t="shared" si="452"/>
        <v>10</v>
      </c>
      <c r="F9693" s="137" t="s">
        <v>24</v>
      </c>
      <c r="G9693" s="128" t="str">
        <f>VLOOKUP(source[[#This Row],[lending_product_transform]],[3]Mapping!$B$4:$C$37,2,0)</f>
        <v>[Cake] - Cashloan</v>
      </c>
      <c r="H9693" s="128" t="str">
        <f>VLOOKUP(source[[#This Row],[lending_product_transform]],[3]Mapping!$B$3:$D$37,3,0)</f>
        <v>cashloan</v>
      </c>
      <c r="I9693" s="143">
        <v>20878080000</v>
      </c>
    </row>
    <row r="9694" spans="1:9" x14ac:dyDescent="0.2">
      <c r="A9694" s="172">
        <v>45940</v>
      </c>
      <c r="B9694" s="135">
        <f>YEAR(source[[#This Row],[report_date]])</f>
        <v>2025</v>
      </c>
      <c r="C9694" s="128">
        <f t="shared" si="451"/>
        <v>10</v>
      </c>
      <c r="D9694" s="136">
        <f t="shared" si="453"/>
        <v>41</v>
      </c>
      <c r="E9694" s="136">
        <f t="shared" si="452"/>
        <v>10</v>
      </c>
      <c r="F9694" s="137" t="s">
        <v>24</v>
      </c>
      <c r="G9694" s="128" t="str">
        <f>VLOOKUP(source[[#This Row],[lending_product_transform]],[3]Mapping!$B$4:$C$37,2,0)</f>
        <v>[Cake] - Cashloan</v>
      </c>
      <c r="H9694" s="128" t="str">
        <f>VLOOKUP(source[[#This Row],[lending_product_transform]],[3]Mapping!$B$3:$D$37,3,0)</f>
        <v>cashloan</v>
      </c>
      <c r="I9694" s="143">
        <v>3327098076</v>
      </c>
    </row>
    <row r="9695" spans="1:9" x14ac:dyDescent="0.2">
      <c r="A9695" s="172">
        <v>45940</v>
      </c>
      <c r="B9695" s="135">
        <f>YEAR(source[[#This Row],[report_date]])</f>
        <v>2025</v>
      </c>
      <c r="C9695" s="128">
        <f t="shared" si="451"/>
        <v>10</v>
      </c>
      <c r="D9695" s="136">
        <f t="shared" si="453"/>
        <v>41</v>
      </c>
      <c r="E9695" s="136">
        <f t="shared" si="452"/>
        <v>10</v>
      </c>
      <c r="F9695" s="137" t="s">
        <v>24</v>
      </c>
      <c r="G9695" s="128" t="str">
        <f>VLOOKUP(source[[#This Row],[lending_product_transform]],[3]Mapping!$B$4:$C$37,2,0)</f>
        <v>[Cake] - Cashloan</v>
      </c>
      <c r="H9695" s="128" t="str">
        <f>VLOOKUP(source[[#This Row],[lending_product_transform]],[3]Mapping!$B$3:$D$37,3,0)</f>
        <v>cashloan</v>
      </c>
      <c r="I9695" s="143">
        <v>11263752000</v>
      </c>
    </row>
    <row r="9696" spans="1:9" x14ac:dyDescent="0.2">
      <c r="A9696" s="172">
        <v>45940</v>
      </c>
      <c r="B9696" s="135">
        <f>YEAR(source[[#This Row],[report_date]])</f>
        <v>2025</v>
      </c>
      <c r="C9696" s="128">
        <f t="shared" si="451"/>
        <v>10</v>
      </c>
      <c r="D9696" s="136">
        <f t="shared" si="453"/>
        <v>41</v>
      </c>
      <c r="E9696" s="136">
        <f t="shared" si="452"/>
        <v>10</v>
      </c>
      <c r="F9696" s="137" t="s">
        <v>24</v>
      </c>
      <c r="G9696" s="128" t="str">
        <f>VLOOKUP(source[[#This Row],[lending_product_transform]],[3]Mapping!$B$4:$C$37,2,0)</f>
        <v>[Cake] - Cashloan</v>
      </c>
      <c r="H9696" s="128" t="str">
        <f>VLOOKUP(source[[#This Row],[lending_product_transform]],[3]Mapping!$B$3:$D$37,3,0)</f>
        <v>cashloan</v>
      </c>
      <c r="I9696" s="143">
        <v>23682126</v>
      </c>
    </row>
    <row r="9697" spans="1:9" x14ac:dyDescent="0.2">
      <c r="A9697" s="172">
        <v>45940</v>
      </c>
      <c r="B9697" s="135">
        <f>YEAR(source[[#This Row],[report_date]])</f>
        <v>2025</v>
      </c>
      <c r="C9697" s="128">
        <f t="shared" si="451"/>
        <v>10</v>
      </c>
      <c r="D9697" s="136">
        <f t="shared" si="453"/>
        <v>41</v>
      </c>
      <c r="E9697" s="136">
        <f t="shared" si="452"/>
        <v>10</v>
      </c>
      <c r="F9697" s="137" t="s">
        <v>24</v>
      </c>
      <c r="G9697" s="128" t="str">
        <f>VLOOKUP(source[[#This Row],[lending_product_transform]],[3]Mapping!$B$4:$C$37,2,0)</f>
        <v>[Cake] - Cashloan</v>
      </c>
      <c r="H9697" s="128" t="str">
        <f>VLOOKUP(source[[#This Row],[lending_product_transform]],[3]Mapping!$B$3:$D$37,3,0)</f>
        <v>cashloan</v>
      </c>
      <c r="I9697" s="143">
        <v>3643860000</v>
      </c>
    </row>
    <row r="9698" spans="1:9" x14ac:dyDescent="0.2">
      <c r="A9698" s="172">
        <v>45940</v>
      </c>
      <c r="B9698" s="135">
        <f>YEAR(source[[#This Row],[report_date]])</f>
        <v>2025</v>
      </c>
      <c r="C9698" s="128">
        <f t="shared" si="451"/>
        <v>10</v>
      </c>
      <c r="D9698" s="136">
        <f t="shared" si="453"/>
        <v>41</v>
      </c>
      <c r="E9698" s="136">
        <f t="shared" si="452"/>
        <v>10</v>
      </c>
      <c r="F9698" s="137" t="s">
        <v>24</v>
      </c>
      <c r="G9698" s="128" t="str">
        <f>VLOOKUP(source[[#This Row],[lending_product_transform]],[3]Mapping!$B$4:$C$37,2,0)</f>
        <v>[Cake] - Cashloan</v>
      </c>
      <c r="H9698" s="128" t="str">
        <f>VLOOKUP(source[[#This Row],[lending_product_transform]],[3]Mapping!$B$3:$D$37,3,0)</f>
        <v>cashloan</v>
      </c>
      <c r="I9698" s="143">
        <v>25834000</v>
      </c>
    </row>
    <row r="9699" spans="1:9" x14ac:dyDescent="0.2">
      <c r="A9699" s="172">
        <v>45940</v>
      </c>
      <c r="B9699" s="135">
        <f>YEAR(source[[#This Row],[report_date]])</f>
        <v>2025</v>
      </c>
      <c r="C9699" s="128">
        <f t="shared" si="451"/>
        <v>10</v>
      </c>
      <c r="D9699" s="136">
        <f t="shared" si="453"/>
        <v>41</v>
      </c>
      <c r="E9699" s="136">
        <f t="shared" si="452"/>
        <v>10</v>
      </c>
      <c r="F9699" s="137" t="s">
        <v>24</v>
      </c>
      <c r="G9699" s="128" t="str">
        <f>VLOOKUP(source[[#This Row],[lending_product_transform]],[3]Mapping!$B$4:$C$37,2,0)</f>
        <v>[Cake] - Cashloan</v>
      </c>
      <c r="H9699" s="128" t="str">
        <f>VLOOKUP(source[[#This Row],[lending_product_transform]],[3]Mapping!$B$3:$D$37,3,0)</f>
        <v>cashloan</v>
      </c>
      <c r="I9699" s="143">
        <v>790936000</v>
      </c>
    </row>
    <row r="9700" spans="1:9" x14ac:dyDescent="0.2">
      <c r="A9700" s="172">
        <v>45940</v>
      </c>
      <c r="B9700" s="135">
        <f>YEAR(source[[#This Row],[report_date]])</f>
        <v>2025</v>
      </c>
      <c r="C9700" s="128">
        <f t="shared" si="451"/>
        <v>10</v>
      </c>
      <c r="D9700" s="136">
        <f t="shared" si="453"/>
        <v>41</v>
      </c>
      <c r="E9700" s="136">
        <f t="shared" si="452"/>
        <v>10</v>
      </c>
      <c r="F9700" s="137" t="s">
        <v>24</v>
      </c>
      <c r="G9700" s="128" t="str">
        <f>VLOOKUP(source[[#This Row],[lending_product_transform]],[3]Mapping!$B$4:$C$37,2,0)</f>
        <v>[Cake] - Cashloan</v>
      </c>
      <c r="H9700" s="128" t="str">
        <f>VLOOKUP(source[[#This Row],[lending_product_transform]],[3]Mapping!$B$3:$D$37,3,0)</f>
        <v>cashloan</v>
      </c>
      <c r="I9700" s="143">
        <v>0</v>
      </c>
    </row>
    <row r="9701" spans="1:9" x14ac:dyDescent="0.2">
      <c r="A9701" s="172">
        <v>45940</v>
      </c>
      <c r="B9701" s="135">
        <f>YEAR(source[[#This Row],[report_date]])</f>
        <v>2025</v>
      </c>
      <c r="C9701" s="128">
        <f t="shared" si="451"/>
        <v>10</v>
      </c>
      <c r="D9701" s="136">
        <f t="shared" si="453"/>
        <v>41</v>
      </c>
      <c r="E9701" s="136">
        <f t="shared" si="452"/>
        <v>10</v>
      </c>
      <c r="F9701" s="137" t="s">
        <v>24</v>
      </c>
      <c r="G9701" s="128" t="str">
        <f>VLOOKUP(source[[#This Row],[lending_product_transform]],[3]Mapping!$B$4:$C$37,2,0)</f>
        <v>[Cake] - Cashloan</v>
      </c>
      <c r="H9701" s="128" t="str">
        <f>VLOOKUP(source[[#This Row],[lending_product_transform]],[3]Mapping!$B$3:$D$37,3,0)</f>
        <v>cashloan</v>
      </c>
      <c r="I9701" s="143">
        <v>120250000</v>
      </c>
    </row>
    <row r="9702" spans="1:9" x14ac:dyDescent="0.2">
      <c r="A9702" s="172">
        <v>45940</v>
      </c>
      <c r="B9702" s="135">
        <f>YEAR(source[[#This Row],[report_date]])</f>
        <v>2025</v>
      </c>
      <c r="C9702" s="128">
        <f t="shared" si="451"/>
        <v>10</v>
      </c>
      <c r="D9702" s="136">
        <f t="shared" si="453"/>
        <v>41</v>
      </c>
      <c r="E9702" s="136">
        <f t="shared" si="452"/>
        <v>10</v>
      </c>
      <c r="F9702" s="137" t="s">
        <v>24</v>
      </c>
      <c r="G9702" s="128" t="str">
        <f>VLOOKUP(source[[#This Row],[lending_product_transform]],[3]Mapping!$B$4:$C$37,2,0)</f>
        <v>[Cake] - Cashloan</v>
      </c>
      <c r="H9702" s="128" t="str">
        <f>VLOOKUP(source[[#This Row],[lending_product_transform]],[3]Mapping!$B$3:$D$37,3,0)</f>
        <v>cashloan</v>
      </c>
      <c r="I9702" s="143">
        <v>16446010000</v>
      </c>
    </row>
    <row r="9703" spans="1:9" x14ac:dyDescent="0.2">
      <c r="A9703" s="172">
        <v>45940</v>
      </c>
      <c r="B9703" s="135">
        <f>YEAR(source[[#This Row],[report_date]])</f>
        <v>2025</v>
      </c>
      <c r="C9703" s="128">
        <f t="shared" si="451"/>
        <v>10</v>
      </c>
      <c r="D9703" s="136">
        <f t="shared" si="453"/>
        <v>41</v>
      </c>
      <c r="E9703" s="136">
        <f t="shared" si="452"/>
        <v>10</v>
      </c>
      <c r="F9703" s="137" t="s">
        <v>24</v>
      </c>
      <c r="G9703" s="128" t="str">
        <f>VLOOKUP(source[[#This Row],[lending_product_transform]],[3]Mapping!$B$4:$C$37,2,0)</f>
        <v>[Cake] - Cashloan</v>
      </c>
      <c r="H9703" s="128" t="str">
        <f>VLOOKUP(source[[#This Row],[lending_product_transform]],[3]Mapping!$B$3:$D$37,3,0)</f>
        <v>cashloan</v>
      </c>
      <c r="I9703" s="143">
        <v>0</v>
      </c>
    </row>
    <row r="9704" spans="1:9" x14ac:dyDescent="0.2">
      <c r="A9704" s="172">
        <v>45940</v>
      </c>
      <c r="B9704" s="135">
        <f>YEAR(source[[#This Row],[report_date]])</f>
        <v>2025</v>
      </c>
      <c r="C9704" s="128">
        <f t="shared" si="451"/>
        <v>10</v>
      </c>
      <c r="D9704" s="136">
        <f t="shared" si="453"/>
        <v>41</v>
      </c>
      <c r="E9704" s="136">
        <f t="shared" si="452"/>
        <v>10</v>
      </c>
      <c r="F9704" s="137" t="s">
        <v>24</v>
      </c>
      <c r="G9704" s="128" t="str">
        <f>VLOOKUP(source[[#This Row],[lending_product_transform]],[3]Mapping!$B$4:$C$37,2,0)</f>
        <v>[Cake] - Cashloan</v>
      </c>
      <c r="H9704" s="128" t="str">
        <f>VLOOKUP(source[[#This Row],[lending_product_transform]],[3]Mapping!$B$3:$D$37,3,0)</f>
        <v>cashloan</v>
      </c>
      <c r="I9704" s="143">
        <v>0</v>
      </c>
    </row>
    <row r="9705" spans="1:9" x14ac:dyDescent="0.2">
      <c r="A9705" s="172">
        <v>45940</v>
      </c>
      <c r="B9705" s="135">
        <f>YEAR(source[[#This Row],[report_date]])</f>
        <v>2025</v>
      </c>
      <c r="C9705" s="128">
        <f t="shared" si="451"/>
        <v>10</v>
      </c>
      <c r="D9705" s="136">
        <f t="shared" si="453"/>
        <v>41</v>
      </c>
      <c r="E9705" s="136">
        <f t="shared" si="452"/>
        <v>10</v>
      </c>
      <c r="F9705" s="137" t="s">
        <v>24</v>
      </c>
      <c r="G9705" s="128" t="str">
        <f>VLOOKUP(source[[#This Row],[lending_product_transform]],[3]Mapping!$B$4:$C$37,2,0)</f>
        <v>[Cake] - Cashloan</v>
      </c>
      <c r="H9705" s="128" t="str">
        <f>VLOOKUP(source[[#This Row],[lending_product_transform]],[3]Mapping!$B$3:$D$37,3,0)</f>
        <v>cashloan</v>
      </c>
      <c r="I9705" s="143">
        <v>0</v>
      </c>
    </row>
    <row r="9706" spans="1:9" x14ac:dyDescent="0.2">
      <c r="A9706" s="172">
        <v>45940</v>
      </c>
      <c r="B9706" s="135">
        <f>YEAR(source[[#This Row],[report_date]])</f>
        <v>2025</v>
      </c>
      <c r="C9706" s="128">
        <f t="shared" si="451"/>
        <v>10</v>
      </c>
      <c r="D9706" s="136">
        <f t="shared" si="453"/>
        <v>41</v>
      </c>
      <c r="E9706" s="136">
        <f t="shared" si="452"/>
        <v>10</v>
      </c>
      <c r="F9706" s="137" t="s">
        <v>24</v>
      </c>
      <c r="G9706" s="128" t="str">
        <f>VLOOKUP(source[[#This Row],[lending_product_transform]],[3]Mapping!$B$4:$C$37,2,0)</f>
        <v>[Cake] - Cashloan</v>
      </c>
      <c r="H9706" s="128" t="str">
        <f>VLOOKUP(source[[#This Row],[lending_product_transform]],[3]Mapping!$B$3:$D$37,3,0)</f>
        <v>cashloan</v>
      </c>
      <c r="I9706" s="143">
        <v>0</v>
      </c>
    </row>
    <row r="9707" spans="1:9" x14ac:dyDescent="0.2">
      <c r="A9707" s="172">
        <v>45940</v>
      </c>
      <c r="B9707" s="135">
        <f>YEAR(source[[#This Row],[report_date]])</f>
        <v>2025</v>
      </c>
      <c r="C9707" s="128">
        <f t="shared" si="451"/>
        <v>10</v>
      </c>
      <c r="D9707" s="136">
        <f t="shared" si="453"/>
        <v>41</v>
      </c>
      <c r="E9707" s="136">
        <f t="shared" si="452"/>
        <v>10</v>
      </c>
      <c r="F9707" s="137" t="s">
        <v>24</v>
      </c>
      <c r="G9707" s="128" t="str">
        <f>VLOOKUP(source[[#This Row],[lending_product_transform]],[3]Mapping!$B$4:$C$37,2,0)</f>
        <v>[Cake] - Cashloan</v>
      </c>
      <c r="H9707" s="128" t="str">
        <f>VLOOKUP(source[[#This Row],[lending_product_transform]],[3]Mapping!$B$3:$D$37,3,0)</f>
        <v>cashloan</v>
      </c>
      <c r="I9707" s="143">
        <v>14310648000</v>
      </c>
    </row>
    <row r="9708" spans="1:9" x14ac:dyDescent="0.2">
      <c r="A9708" s="172">
        <v>45940</v>
      </c>
      <c r="B9708" s="135">
        <f>YEAR(source[[#This Row],[report_date]])</f>
        <v>2025</v>
      </c>
      <c r="C9708" s="128">
        <f t="shared" si="451"/>
        <v>10</v>
      </c>
      <c r="D9708" s="136">
        <f t="shared" si="453"/>
        <v>41</v>
      </c>
      <c r="E9708" s="136">
        <f t="shared" si="452"/>
        <v>10</v>
      </c>
      <c r="F9708" s="137" t="s">
        <v>24</v>
      </c>
      <c r="G9708" s="128" t="str">
        <f>VLOOKUP(source[[#This Row],[lending_product_transform]],[3]Mapping!$B$4:$C$37,2,0)</f>
        <v>[Cake] - Cashloan</v>
      </c>
      <c r="H9708" s="128" t="str">
        <f>VLOOKUP(source[[#This Row],[lending_product_transform]],[3]Mapping!$B$3:$D$37,3,0)</f>
        <v>cashloan</v>
      </c>
      <c r="I9708" s="143">
        <v>317698396</v>
      </c>
    </row>
    <row r="9709" spans="1:9" x14ac:dyDescent="0.2">
      <c r="A9709" s="172">
        <v>45940</v>
      </c>
      <c r="B9709" s="135">
        <f>YEAR(source[[#This Row],[report_date]])</f>
        <v>2025</v>
      </c>
      <c r="C9709" s="128">
        <f t="shared" si="451"/>
        <v>10</v>
      </c>
      <c r="D9709" s="136">
        <f t="shared" si="453"/>
        <v>41</v>
      </c>
      <c r="E9709" s="136">
        <f t="shared" si="452"/>
        <v>10</v>
      </c>
      <c r="F9709" s="137" t="s">
        <v>24</v>
      </c>
      <c r="G9709" s="128" t="str">
        <f>VLOOKUP(source[[#This Row],[lending_product_transform]],[3]Mapping!$B$4:$C$37,2,0)</f>
        <v>[Cake] - Cashloan</v>
      </c>
      <c r="H9709" s="128" t="str">
        <f>VLOOKUP(source[[#This Row],[lending_product_transform]],[3]Mapping!$B$3:$D$37,3,0)</f>
        <v>cashloan</v>
      </c>
      <c r="I9709" s="143">
        <v>0</v>
      </c>
    </row>
    <row r="9710" spans="1:9" x14ac:dyDescent="0.2">
      <c r="A9710" s="172">
        <v>45940</v>
      </c>
      <c r="B9710" s="135">
        <f>YEAR(source[[#This Row],[report_date]])</f>
        <v>2025</v>
      </c>
      <c r="C9710" s="128">
        <f t="shared" si="451"/>
        <v>10</v>
      </c>
      <c r="D9710" s="136">
        <f t="shared" si="453"/>
        <v>41</v>
      </c>
      <c r="E9710" s="136">
        <f t="shared" si="452"/>
        <v>10</v>
      </c>
      <c r="F9710" s="137" t="s">
        <v>24</v>
      </c>
      <c r="G9710" s="128" t="str">
        <f>VLOOKUP(source[[#This Row],[lending_product_transform]],[3]Mapping!$B$4:$C$37,2,0)</f>
        <v>[Cake] - Cashloan</v>
      </c>
      <c r="H9710" s="128" t="str">
        <f>VLOOKUP(source[[#This Row],[lending_product_transform]],[3]Mapping!$B$3:$D$37,3,0)</f>
        <v>cashloan</v>
      </c>
      <c r="I9710" s="143">
        <v>41000000</v>
      </c>
    </row>
    <row r="9711" spans="1:9" x14ac:dyDescent="0.2">
      <c r="A9711" s="172">
        <v>45940</v>
      </c>
      <c r="B9711" s="135">
        <f>YEAR(source[[#This Row],[report_date]])</f>
        <v>2025</v>
      </c>
      <c r="C9711" s="128">
        <f t="shared" si="451"/>
        <v>10</v>
      </c>
      <c r="D9711" s="136">
        <f t="shared" si="453"/>
        <v>41</v>
      </c>
      <c r="E9711" s="136">
        <f t="shared" si="452"/>
        <v>10</v>
      </c>
      <c r="F9711" s="137" t="s">
        <v>24</v>
      </c>
      <c r="G9711" s="128" t="str">
        <f>VLOOKUP(source[[#This Row],[lending_product_transform]],[3]Mapping!$B$4:$C$37,2,0)</f>
        <v>[Cake] - Cashloan</v>
      </c>
      <c r="H9711" s="128" t="str">
        <f>VLOOKUP(source[[#This Row],[lending_product_transform]],[3]Mapping!$B$3:$D$37,3,0)</f>
        <v>cashloan</v>
      </c>
      <c r="I9711" s="143">
        <v>807170000</v>
      </c>
    </row>
    <row r="9712" spans="1:9" x14ac:dyDescent="0.2">
      <c r="A9712" s="172">
        <v>45940</v>
      </c>
      <c r="B9712" s="135">
        <f>YEAR(source[[#This Row],[report_date]])</f>
        <v>2025</v>
      </c>
      <c r="C9712" s="128">
        <f t="shared" si="451"/>
        <v>10</v>
      </c>
      <c r="D9712" s="136">
        <f t="shared" si="453"/>
        <v>41</v>
      </c>
      <c r="E9712" s="136">
        <f t="shared" si="452"/>
        <v>10</v>
      </c>
      <c r="F9712" s="137" t="s">
        <v>24</v>
      </c>
      <c r="G9712" s="128" t="str">
        <f>VLOOKUP(source[[#This Row],[lending_product_transform]],[3]Mapping!$B$4:$C$37,2,0)</f>
        <v>[Cake] - Cashloan</v>
      </c>
      <c r="H9712" s="128" t="str">
        <f>VLOOKUP(source[[#This Row],[lending_product_transform]],[3]Mapping!$B$3:$D$37,3,0)</f>
        <v>cashloan</v>
      </c>
      <c r="I9712" s="143">
        <v>222480000</v>
      </c>
    </row>
    <row r="9713" spans="1:9" x14ac:dyDescent="0.2">
      <c r="A9713" s="172">
        <v>45940</v>
      </c>
      <c r="B9713" s="135">
        <f>YEAR(source[[#This Row],[report_date]])</f>
        <v>2025</v>
      </c>
      <c r="C9713" s="128">
        <f t="shared" si="451"/>
        <v>10</v>
      </c>
      <c r="D9713" s="136">
        <f t="shared" si="453"/>
        <v>41</v>
      </c>
      <c r="E9713" s="136">
        <f t="shared" si="452"/>
        <v>10</v>
      </c>
      <c r="F9713" s="137" t="s">
        <v>24</v>
      </c>
      <c r="G9713" s="128" t="str">
        <f>VLOOKUP(source[[#This Row],[lending_product_transform]],[3]Mapping!$B$4:$C$37,2,0)</f>
        <v>[Cake] - Cashloan</v>
      </c>
      <c r="H9713" s="128" t="str">
        <f>VLOOKUP(source[[#This Row],[lending_product_transform]],[3]Mapping!$B$3:$D$37,3,0)</f>
        <v>cashloan</v>
      </c>
      <c r="I9713" s="143">
        <v>453848347</v>
      </c>
    </row>
    <row r="9714" spans="1:9" x14ac:dyDescent="0.2">
      <c r="A9714" s="172">
        <v>45940</v>
      </c>
      <c r="B9714" s="135">
        <f>YEAR(source[[#This Row],[report_date]])</f>
        <v>2025</v>
      </c>
      <c r="C9714" s="128">
        <f t="shared" si="451"/>
        <v>10</v>
      </c>
      <c r="D9714" s="136">
        <f t="shared" si="453"/>
        <v>41</v>
      </c>
      <c r="E9714" s="136">
        <f t="shared" si="452"/>
        <v>10</v>
      </c>
      <c r="F9714" s="137" t="s">
        <v>24</v>
      </c>
      <c r="G9714" s="128" t="str">
        <f>VLOOKUP(source[[#This Row],[lending_product_transform]],[3]Mapping!$B$4:$C$37,2,0)</f>
        <v>[Cake] - Cashloan</v>
      </c>
      <c r="H9714" s="128" t="str">
        <f>VLOOKUP(source[[#This Row],[lending_product_transform]],[3]Mapping!$B$3:$D$37,3,0)</f>
        <v>cashloan</v>
      </c>
      <c r="I9714" s="143">
        <v>4927710000</v>
      </c>
    </row>
    <row r="9715" spans="1:9" x14ac:dyDescent="0.2">
      <c r="A9715" s="172">
        <v>45941</v>
      </c>
      <c r="B9715" s="135">
        <f>YEAR(source[[#This Row],[report_date]])</f>
        <v>2025</v>
      </c>
      <c r="C9715" s="128">
        <f t="shared" si="451"/>
        <v>10</v>
      </c>
      <c r="D9715" s="136">
        <f t="shared" si="453"/>
        <v>41</v>
      </c>
      <c r="E9715" s="136">
        <f t="shared" si="452"/>
        <v>11</v>
      </c>
      <c r="F9715" s="137" t="s">
        <v>24</v>
      </c>
      <c r="G9715" s="128" t="str">
        <f>VLOOKUP(source[[#This Row],[lending_product_transform]],[3]Mapping!$B$4:$C$37,2,0)</f>
        <v>[Cake] - Cashloan</v>
      </c>
      <c r="H9715" s="128" t="str">
        <f>VLOOKUP(source[[#This Row],[lending_product_transform]],[3]Mapping!$B$3:$D$37,3,0)</f>
        <v>cashloan</v>
      </c>
      <c r="I9715" s="143">
        <v>0</v>
      </c>
    </row>
    <row r="9716" spans="1:9" x14ac:dyDescent="0.2">
      <c r="A9716" s="172">
        <v>45941</v>
      </c>
      <c r="B9716" s="135">
        <f>YEAR(source[[#This Row],[report_date]])</f>
        <v>2025</v>
      </c>
      <c r="C9716" s="128">
        <f t="shared" si="451"/>
        <v>10</v>
      </c>
      <c r="D9716" s="136">
        <f t="shared" si="453"/>
        <v>41</v>
      </c>
      <c r="E9716" s="136">
        <f t="shared" si="452"/>
        <v>11</v>
      </c>
      <c r="F9716" s="137" t="s">
        <v>24</v>
      </c>
      <c r="G9716" s="128" t="str">
        <f>VLOOKUP(source[[#This Row],[lending_product_transform]],[3]Mapping!$B$4:$C$37,2,0)</f>
        <v>[Cake] - Cashloan</v>
      </c>
      <c r="H9716" s="128" t="str">
        <f>VLOOKUP(source[[#This Row],[lending_product_transform]],[3]Mapping!$B$3:$D$37,3,0)</f>
        <v>cashloan</v>
      </c>
      <c r="I9716" s="143">
        <v>340720783</v>
      </c>
    </row>
    <row r="9717" spans="1:9" x14ac:dyDescent="0.2">
      <c r="A9717" s="172">
        <v>45941</v>
      </c>
      <c r="B9717" s="135">
        <f>YEAR(source[[#This Row],[report_date]])</f>
        <v>2025</v>
      </c>
      <c r="C9717" s="128">
        <f t="shared" si="451"/>
        <v>10</v>
      </c>
      <c r="D9717" s="136">
        <f t="shared" si="453"/>
        <v>41</v>
      </c>
      <c r="E9717" s="136">
        <f t="shared" si="452"/>
        <v>11</v>
      </c>
      <c r="F9717" s="137" t="s">
        <v>24</v>
      </c>
      <c r="G9717" s="128" t="str">
        <f>VLOOKUP(source[[#This Row],[lending_product_transform]],[3]Mapping!$B$4:$C$37,2,0)</f>
        <v>[Cake] - Cashloan</v>
      </c>
      <c r="H9717" s="128" t="str">
        <f>VLOOKUP(source[[#This Row],[lending_product_transform]],[3]Mapping!$B$3:$D$37,3,0)</f>
        <v>cashloan</v>
      </c>
      <c r="I9717" s="143">
        <v>18667780000</v>
      </c>
    </row>
    <row r="9718" spans="1:9" x14ac:dyDescent="0.2">
      <c r="A9718" s="172">
        <v>45941</v>
      </c>
      <c r="B9718" s="135">
        <f>YEAR(source[[#This Row],[report_date]])</f>
        <v>2025</v>
      </c>
      <c r="C9718" s="128">
        <f t="shared" ref="C9718:C9781" si="454">MONTH(A9718)</f>
        <v>10</v>
      </c>
      <c r="D9718" s="136">
        <f t="shared" si="453"/>
        <v>41</v>
      </c>
      <c r="E9718" s="136">
        <f t="shared" ref="E9718:E9781" si="455">DAY(A9718)</f>
        <v>11</v>
      </c>
      <c r="F9718" s="137" t="s">
        <v>24</v>
      </c>
      <c r="G9718" s="128" t="str">
        <f>VLOOKUP(source[[#This Row],[lending_product_transform]],[3]Mapping!$B$4:$C$37,2,0)</f>
        <v>[Cake] - Cashloan</v>
      </c>
      <c r="H9718" s="128" t="str">
        <f>VLOOKUP(source[[#This Row],[lending_product_transform]],[3]Mapping!$B$3:$D$37,3,0)</f>
        <v>cashloan</v>
      </c>
      <c r="I9718" s="143">
        <v>2309568985</v>
      </c>
    </row>
    <row r="9719" spans="1:9" x14ac:dyDescent="0.2">
      <c r="A9719" s="172">
        <v>45941</v>
      </c>
      <c r="B9719" s="135">
        <f>YEAR(source[[#This Row],[report_date]])</f>
        <v>2025</v>
      </c>
      <c r="C9719" s="128">
        <f t="shared" si="454"/>
        <v>10</v>
      </c>
      <c r="D9719" s="136">
        <f t="shared" si="453"/>
        <v>41</v>
      </c>
      <c r="E9719" s="136">
        <f t="shared" si="455"/>
        <v>11</v>
      </c>
      <c r="F9719" s="137" t="s">
        <v>24</v>
      </c>
      <c r="G9719" s="128" t="str">
        <f>VLOOKUP(source[[#This Row],[lending_product_transform]],[3]Mapping!$B$4:$C$37,2,0)</f>
        <v>[Cake] - Cashloan</v>
      </c>
      <c r="H9719" s="128" t="str">
        <f>VLOOKUP(source[[#This Row],[lending_product_transform]],[3]Mapping!$B$3:$D$37,3,0)</f>
        <v>cashloan</v>
      </c>
      <c r="I9719" s="143">
        <v>9232272000</v>
      </c>
    </row>
    <row r="9720" spans="1:9" x14ac:dyDescent="0.2">
      <c r="A9720" s="172">
        <v>45941</v>
      </c>
      <c r="B9720" s="135">
        <f>YEAR(source[[#This Row],[report_date]])</f>
        <v>2025</v>
      </c>
      <c r="C9720" s="128">
        <f t="shared" si="454"/>
        <v>10</v>
      </c>
      <c r="D9720" s="136">
        <f t="shared" si="453"/>
        <v>41</v>
      </c>
      <c r="E9720" s="136">
        <f t="shared" si="455"/>
        <v>11</v>
      </c>
      <c r="F9720" s="137" t="s">
        <v>24</v>
      </c>
      <c r="G9720" s="128" t="str">
        <f>VLOOKUP(source[[#This Row],[lending_product_transform]],[3]Mapping!$B$4:$C$37,2,0)</f>
        <v>[Cake] - Cashloan</v>
      </c>
      <c r="H9720" s="128" t="str">
        <f>VLOOKUP(source[[#This Row],[lending_product_transform]],[3]Mapping!$B$3:$D$37,3,0)</f>
        <v>cashloan</v>
      </c>
      <c r="I9720" s="143">
        <v>39648800</v>
      </c>
    </row>
    <row r="9721" spans="1:9" x14ac:dyDescent="0.2">
      <c r="A9721" s="172">
        <v>45941</v>
      </c>
      <c r="B9721" s="135">
        <f>YEAR(source[[#This Row],[report_date]])</f>
        <v>2025</v>
      </c>
      <c r="C9721" s="128">
        <f t="shared" si="454"/>
        <v>10</v>
      </c>
      <c r="D9721" s="136">
        <f t="shared" si="453"/>
        <v>41</v>
      </c>
      <c r="E9721" s="136">
        <f t="shared" si="455"/>
        <v>11</v>
      </c>
      <c r="F9721" s="137" t="s">
        <v>24</v>
      </c>
      <c r="G9721" s="128" t="str">
        <f>VLOOKUP(source[[#This Row],[lending_product_transform]],[3]Mapping!$B$4:$C$37,2,0)</f>
        <v>[Cake] - Cashloan</v>
      </c>
      <c r="H9721" s="128" t="str">
        <f>VLOOKUP(source[[#This Row],[lending_product_transform]],[3]Mapping!$B$3:$D$37,3,0)</f>
        <v>cashloan</v>
      </c>
      <c r="I9721" s="143">
        <v>3381520000</v>
      </c>
    </row>
    <row r="9722" spans="1:9" x14ac:dyDescent="0.2">
      <c r="A9722" s="172">
        <v>45941</v>
      </c>
      <c r="B9722" s="135">
        <f>YEAR(source[[#This Row],[report_date]])</f>
        <v>2025</v>
      </c>
      <c r="C9722" s="128">
        <f t="shared" si="454"/>
        <v>10</v>
      </c>
      <c r="D9722" s="136">
        <f t="shared" si="453"/>
        <v>41</v>
      </c>
      <c r="E9722" s="136">
        <f t="shared" si="455"/>
        <v>11</v>
      </c>
      <c r="F9722" s="137" t="s">
        <v>24</v>
      </c>
      <c r="G9722" s="128" t="str">
        <f>VLOOKUP(source[[#This Row],[lending_product_transform]],[3]Mapping!$B$4:$C$37,2,0)</f>
        <v>[Cake] - Cashloan</v>
      </c>
      <c r="H9722" s="128" t="str">
        <f>VLOOKUP(source[[#This Row],[lending_product_transform]],[3]Mapping!$B$3:$D$37,3,0)</f>
        <v>cashloan</v>
      </c>
      <c r="I9722" s="143">
        <v>16830000</v>
      </c>
    </row>
    <row r="9723" spans="1:9" x14ac:dyDescent="0.2">
      <c r="A9723" s="172">
        <v>45941</v>
      </c>
      <c r="B9723" s="135">
        <f>YEAR(source[[#This Row],[report_date]])</f>
        <v>2025</v>
      </c>
      <c r="C9723" s="128">
        <f t="shared" si="454"/>
        <v>10</v>
      </c>
      <c r="D9723" s="136">
        <f t="shared" si="453"/>
        <v>41</v>
      </c>
      <c r="E9723" s="136">
        <f t="shared" si="455"/>
        <v>11</v>
      </c>
      <c r="F9723" s="137" t="s">
        <v>24</v>
      </c>
      <c r="G9723" s="128" t="str">
        <f>VLOOKUP(source[[#This Row],[lending_product_transform]],[3]Mapping!$B$4:$C$37,2,0)</f>
        <v>[Cake] - Cashloan</v>
      </c>
      <c r="H9723" s="128" t="str">
        <f>VLOOKUP(source[[#This Row],[lending_product_transform]],[3]Mapping!$B$3:$D$37,3,0)</f>
        <v>cashloan</v>
      </c>
      <c r="I9723" s="143">
        <v>1069123000</v>
      </c>
    </row>
    <row r="9724" spans="1:9" x14ac:dyDescent="0.2">
      <c r="A9724" s="172">
        <v>45941</v>
      </c>
      <c r="B9724" s="135">
        <f>YEAR(source[[#This Row],[report_date]])</f>
        <v>2025</v>
      </c>
      <c r="C9724" s="128">
        <f t="shared" si="454"/>
        <v>10</v>
      </c>
      <c r="D9724" s="136">
        <f t="shared" si="453"/>
        <v>41</v>
      </c>
      <c r="E9724" s="136">
        <f t="shared" si="455"/>
        <v>11</v>
      </c>
      <c r="F9724" s="137" t="s">
        <v>24</v>
      </c>
      <c r="G9724" s="128" t="str">
        <f>VLOOKUP(source[[#This Row],[lending_product_transform]],[3]Mapping!$B$4:$C$37,2,0)</f>
        <v>[Cake] - Cashloan</v>
      </c>
      <c r="H9724" s="128" t="str">
        <f>VLOOKUP(source[[#This Row],[lending_product_transform]],[3]Mapping!$B$3:$D$37,3,0)</f>
        <v>cashloan</v>
      </c>
      <c r="I9724" s="143">
        <v>0</v>
      </c>
    </row>
    <row r="9725" spans="1:9" x14ac:dyDescent="0.2">
      <c r="A9725" s="172">
        <v>45941</v>
      </c>
      <c r="B9725" s="135">
        <f>YEAR(source[[#This Row],[report_date]])</f>
        <v>2025</v>
      </c>
      <c r="C9725" s="128">
        <f t="shared" si="454"/>
        <v>10</v>
      </c>
      <c r="D9725" s="136">
        <f t="shared" si="453"/>
        <v>41</v>
      </c>
      <c r="E9725" s="136">
        <f t="shared" si="455"/>
        <v>11</v>
      </c>
      <c r="F9725" s="137" t="s">
        <v>24</v>
      </c>
      <c r="G9725" s="128" t="str">
        <f>VLOOKUP(source[[#This Row],[lending_product_transform]],[3]Mapping!$B$4:$C$37,2,0)</f>
        <v>[Cake] - Cashloan</v>
      </c>
      <c r="H9725" s="128" t="str">
        <f>VLOOKUP(source[[#This Row],[lending_product_transform]],[3]Mapping!$B$3:$D$37,3,0)</f>
        <v>cashloan</v>
      </c>
      <c r="I9725" s="143">
        <v>241500000</v>
      </c>
    </row>
    <row r="9726" spans="1:9" x14ac:dyDescent="0.2">
      <c r="A9726" s="172">
        <v>45941</v>
      </c>
      <c r="B9726" s="135">
        <f>YEAR(source[[#This Row],[report_date]])</f>
        <v>2025</v>
      </c>
      <c r="C9726" s="128">
        <f t="shared" si="454"/>
        <v>10</v>
      </c>
      <c r="D9726" s="136">
        <f t="shared" si="453"/>
        <v>41</v>
      </c>
      <c r="E9726" s="136">
        <f t="shared" si="455"/>
        <v>11</v>
      </c>
      <c r="F9726" s="137" t="s">
        <v>24</v>
      </c>
      <c r="G9726" s="128" t="str">
        <f>VLOOKUP(source[[#This Row],[lending_product_transform]],[3]Mapping!$B$4:$C$37,2,0)</f>
        <v>[Cake] - Cashloan</v>
      </c>
      <c r="H9726" s="128" t="str">
        <f>VLOOKUP(source[[#This Row],[lending_product_transform]],[3]Mapping!$B$3:$D$37,3,0)</f>
        <v>cashloan</v>
      </c>
      <c r="I9726" s="143">
        <v>15313400000</v>
      </c>
    </row>
    <row r="9727" spans="1:9" x14ac:dyDescent="0.2">
      <c r="A9727" s="172">
        <v>45941</v>
      </c>
      <c r="B9727" s="135">
        <f>YEAR(source[[#This Row],[report_date]])</f>
        <v>2025</v>
      </c>
      <c r="C9727" s="128">
        <f t="shared" si="454"/>
        <v>10</v>
      </c>
      <c r="D9727" s="136">
        <f t="shared" si="453"/>
        <v>41</v>
      </c>
      <c r="E9727" s="136">
        <f t="shared" si="455"/>
        <v>11</v>
      </c>
      <c r="F9727" s="137" t="s">
        <v>24</v>
      </c>
      <c r="G9727" s="128" t="str">
        <f>VLOOKUP(source[[#This Row],[lending_product_transform]],[3]Mapping!$B$4:$C$37,2,0)</f>
        <v>[Cake] - Cashloan</v>
      </c>
      <c r="H9727" s="128" t="str">
        <f>VLOOKUP(source[[#This Row],[lending_product_transform]],[3]Mapping!$B$3:$D$37,3,0)</f>
        <v>cashloan</v>
      </c>
      <c r="I9727" s="143">
        <v>0</v>
      </c>
    </row>
    <row r="9728" spans="1:9" x14ac:dyDescent="0.2">
      <c r="A9728" s="172">
        <v>45941</v>
      </c>
      <c r="B9728" s="135">
        <f>YEAR(source[[#This Row],[report_date]])</f>
        <v>2025</v>
      </c>
      <c r="C9728" s="128">
        <f t="shared" si="454"/>
        <v>10</v>
      </c>
      <c r="D9728" s="136">
        <f t="shared" si="453"/>
        <v>41</v>
      </c>
      <c r="E9728" s="136">
        <f t="shared" si="455"/>
        <v>11</v>
      </c>
      <c r="F9728" s="137" t="s">
        <v>24</v>
      </c>
      <c r="G9728" s="128" t="str">
        <f>VLOOKUP(source[[#This Row],[lending_product_transform]],[3]Mapping!$B$4:$C$37,2,0)</f>
        <v>[Cake] - Cashloan</v>
      </c>
      <c r="H9728" s="128" t="str">
        <f>VLOOKUP(source[[#This Row],[lending_product_transform]],[3]Mapping!$B$3:$D$37,3,0)</f>
        <v>cashloan</v>
      </c>
      <c r="I9728" s="143">
        <v>0</v>
      </c>
    </row>
    <row r="9729" spans="1:9" x14ac:dyDescent="0.2">
      <c r="A9729" s="172">
        <v>45941</v>
      </c>
      <c r="B9729" s="135">
        <f>YEAR(source[[#This Row],[report_date]])</f>
        <v>2025</v>
      </c>
      <c r="C9729" s="128">
        <f t="shared" si="454"/>
        <v>10</v>
      </c>
      <c r="D9729" s="136">
        <f t="shared" si="453"/>
        <v>41</v>
      </c>
      <c r="E9729" s="136">
        <f t="shared" si="455"/>
        <v>11</v>
      </c>
      <c r="F9729" s="137" t="s">
        <v>24</v>
      </c>
      <c r="G9729" s="128" t="str">
        <f>VLOOKUP(source[[#This Row],[lending_product_transform]],[3]Mapping!$B$4:$C$37,2,0)</f>
        <v>[Cake] - Cashloan</v>
      </c>
      <c r="H9729" s="128" t="str">
        <f>VLOOKUP(source[[#This Row],[lending_product_transform]],[3]Mapping!$B$3:$D$37,3,0)</f>
        <v>cashloan</v>
      </c>
      <c r="I9729" s="143">
        <v>0</v>
      </c>
    </row>
    <row r="9730" spans="1:9" x14ac:dyDescent="0.2">
      <c r="A9730" s="172">
        <v>45941</v>
      </c>
      <c r="B9730" s="135">
        <f>YEAR(source[[#This Row],[report_date]])</f>
        <v>2025</v>
      </c>
      <c r="C9730" s="128">
        <f t="shared" si="454"/>
        <v>10</v>
      </c>
      <c r="D9730" s="136">
        <f t="shared" si="453"/>
        <v>41</v>
      </c>
      <c r="E9730" s="136">
        <f t="shared" si="455"/>
        <v>11</v>
      </c>
      <c r="F9730" s="137" t="s">
        <v>24</v>
      </c>
      <c r="G9730" s="128" t="str">
        <f>VLOOKUP(source[[#This Row],[lending_product_transform]],[3]Mapping!$B$4:$C$37,2,0)</f>
        <v>[Cake] - Cashloan</v>
      </c>
      <c r="H9730" s="128" t="str">
        <f>VLOOKUP(source[[#This Row],[lending_product_transform]],[3]Mapping!$B$3:$D$37,3,0)</f>
        <v>cashloan</v>
      </c>
      <c r="I9730" s="143">
        <v>12000000</v>
      </c>
    </row>
    <row r="9731" spans="1:9" x14ac:dyDescent="0.2">
      <c r="A9731" s="172">
        <v>45941</v>
      </c>
      <c r="B9731" s="135">
        <f>YEAR(source[[#This Row],[report_date]])</f>
        <v>2025</v>
      </c>
      <c r="C9731" s="128">
        <f t="shared" si="454"/>
        <v>10</v>
      </c>
      <c r="D9731" s="136">
        <f t="shared" ref="D9731:D9794" si="456">WEEKNUM(A9731,2)</f>
        <v>41</v>
      </c>
      <c r="E9731" s="136">
        <f t="shared" si="455"/>
        <v>11</v>
      </c>
      <c r="F9731" s="137" t="s">
        <v>24</v>
      </c>
      <c r="G9731" s="128" t="str">
        <f>VLOOKUP(source[[#This Row],[lending_product_transform]],[3]Mapping!$B$4:$C$37,2,0)</f>
        <v>[Cake] - Cashloan</v>
      </c>
      <c r="H9731" s="128" t="str">
        <f>VLOOKUP(source[[#This Row],[lending_product_transform]],[3]Mapping!$B$3:$D$37,3,0)</f>
        <v>cashloan</v>
      </c>
      <c r="I9731" s="143">
        <v>13391676000</v>
      </c>
    </row>
    <row r="9732" spans="1:9" x14ac:dyDescent="0.2">
      <c r="A9732" s="172">
        <v>45941</v>
      </c>
      <c r="B9732" s="135">
        <f>YEAR(source[[#This Row],[report_date]])</f>
        <v>2025</v>
      </c>
      <c r="C9732" s="128">
        <f t="shared" si="454"/>
        <v>10</v>
      </c>
      <c r="D9732" s="136">
        <f t="shared" si="456"/>
        <v>41</v>
      </c>
      <c r="E9732" s="136">
        <f t="shared" si="455"/>
        <v>11</v>
      </c>
      <c r="F9732" s="137" t="s">
        <v>24</v>
      </c>
      <c r="G9732" s="128" t="str">
        <f>VLOOKUP(source[[#This Row],[lending_product_transform]],[3]Mapping!$B$4:$C$37,2,0)</f>
        <v>[Cake] - Cashloan</v>
      </c>
      <c r="H9732" s="128" t="str">
        <f>VLOOKUP(source[[#This Row],[lending_product_transform]],[3]Mapping!$B$3:$D$37,3,0)</f>
        <v>cashloan</v>
      </c>
      <c r="I9732" s="143">
        <v>292225378</v>
      </c>
    </row>
    <row r="9733" spans="1:9" x14ac:dyDescent="0.2">
      <c r="A9733" s="172">
        <v>45941</v>
      </c>
      <c r="B9733" s="135">
        <f>YEAR(source[[#This Row],[report_date]])</f>
        <v>2025</v>
      </c>
      <c r="C9733" s="128">
        <f t="shared" si="454"/>
        <v>10</v>
      </c>
      <c r="D9733" s="136">
        <f t="shared" si="456"/>
        <v>41</v>
      </c>
      <c r="E9733" s="136">
        <f t="shared" si="455"/>
        <v>11</v>
      </c>
      <c r="F9733" s="137" t="s">
        <v>24</v>
      </c>
      <c r="G9733" s="128" t="str">
        <f>VLOOKUP(source[[#This Row],[lending_product_transform]],[3]Mapping!$B$4:$C$37,2,0)</f>
        <v>[Cake] - Cashloan</v>
      </c>
      <c r="H9733" s="128" t="str">
        <f>VLOOKUP(source[[#This Row],[lending_product_transform]],[3]Mapping!$B$3:$D$37,3,0)</f>
        <v>cashloan</v>
      </c>
      <c r="I9733" s="143">
        <v>10500000</v>
      </c>
    </row>
    <row r="9734" spans="1:9" x14ac:dyDescent="0.2">
      <c r="A9734" s="172">
        <v>45941</v>
      </c>
      <c r="B9734" s="135">
        <f>YEAR(source[[#This Row],[report_date]])</f>
        <v>2025</v>
      </c>
      <c r="C9734" s="128">
        <f t="shared" si="454"/>
        <v>10</v>
      </c>
      <c r="D9734" s="136">
        <f t="shared" si="456"/>
        <v>41</v>
      </c>
      <c r="E9734" s="136">
        <f t="shared" si="455"/>
        <v>11</v>
      </c>
      <c r="F9734" s="137" t="s">
        <v>24</v>
      </c>
      <c r="G9734" s="128" t="str">
        <f>VLOOKUP(source[[#This Row],[lending_product_transform]],[3]Mapping!$B$4:$C$37,2,0)</f>
        <v>[Cake] - Cashloan</v>
      </c>
      <c r="H9734" s="128" t="str">
        <f>VLOOKUP(source[[#This Row],[lending_product_transform]],[3]Mapping!$B$3:$D$37,3,0)</f>
        <v>cashloan</v>
      </c>
      <c r="I9734" s="143">
        <v>46000000</v>
      </c>
    </row>
    <row r="9735" spans="1:9" x14ac:dyDescent="0.2">
      <c r="A9735" s="172">
        <v>45941</v>
      </c>
      <c r="B9735" s="135">
        <f>YEAR(source[[#This Row],[report_date]])</f>
        <v>2025</v>
      </c>
      <c r="C9735" s="128">
        <f t="shared" si="454"/>
        <v>10</v>
      </c>
      <c r="D9735" s="136">
        <f t="shared" si="456"/>
        <v>41</v>
      </c>
      <c r="E9735" s="136">
        <f t="shared" si="455"/>
        <v>11</v>
      </c>
      <c r="F9735" s="137" t="s">
        <v>24</v>
      </c>
      <c r="G9735" s="128" t="str">
        <f>VLOOKUP(source[[#This Row],[lending_product_transform]],[3]Mapping!$B$4:$C$37,2,0)</f>
        <v>[Cake] - Cashloan</v>
      </c>
      <c r="H9735" s="128" t="str">
        <f>VLOOKUP(source[[#This Row],[lending_product_transform]],[3]Mapping!$B$3:$D$37,3,0)</f>
        <v>cashloan</v>
      </c>
      <c r="I9735" s="143">
        <v>683440000</v>
      </c>
    </row>
    <row r="9736" spans="1:9" x14ac:dyDescent="0.2">
      <c r="A9736" s="172">
        <v>45941</v>
      </c>
      <c r="B9736" s="135">
        <f>YEAR(source[[#This Row],[report_date]])</f>
        <v>2025</v>
      </c>
      <c r="C9736" s="128">
        <f t="shared" si="454"/>
        <v>10</v>
      </c>
      <c r="D9736" s="136">
        <f t="shared" si="456"/>
        <v>41</v>
      </c>
      <c r="E9736" s="136">
        <f t="shared" si="455"/>
        <v>11</v>
      </c>
      <c r="F9736" s="137" t="s">
        <v>24</v>
      </c>
      <c r="G9736" s="128" t="str">
        <f>VLOOKUP(source[[#This Row],[lending_product_transform]],[3]Mapping!$B$4:$C$37,2,0)</f>
        <v>[Cake] - Cashloan</v>
      </c>
      <c r="H9736" s="128" t="str">
        <f>VLOOKUP(source[[#This Row],[lending_product_transform]],[3]Mapping!$B$3:$D$37,3,0)</f>
        <v>cashloan</v>
      </c>
      <c r="I9736" s="143">
        <v>173880000</v>
      </c>
    </row>
    <row r="9737" spans="1:9" x14ac:dyDescent="0.2">
      <c r="A9737" s="172">
        <v>45941</v>
      </c>
      <c r="B9737" s="135">
        <f>YEAR(source[[#This Row],[report_date]])</f>
        <v>2025</v>
      </c>
      <c r="C9737" s="128">
        <f t="shared" si="454"/>
        <v>10</v>
      </c>
      <c r="D9737" s="136">
        <f t="shared" si="456"/>
        <v>41</v>
      </c>
      <c r="E9737" s="136">
        <f t="shared" si="455"/>
        <v>11</v>
      </c>
      <c r="F9737" s="137" t="s">
        <v>24</v>
      </c>
      <c r="G9737" s="128" t="str">
        <f>VLOOKUP(source[[#This Row],[lending_product_transform]],[3]Mapping!$B$4:$C$37,2,0)</f>
        <v>[Cake] - Cashloan</v>
      </c>
      <c r="H9737" s="128" t="str">
        <f>VLOOKUP(source[[#This Row],[lending_product_transform]],[3]Mapping!$B$3:$D$37,3,0)</f>
        <v>cashloan</v>
      </c>
      <c r="I9737" s="143">
        <v>306121997</v>
      </c>
    </row>
    <row r="9738" spans="1:9" x14ac:dyDescent="0.2">
      <c r="A9738" s="172">
        <v>45941</v>
      </c>
      <c r="B9738" s="135">
        <f>YEAR(source[[#This Row],[report_date]])</f>
        <v>2025</v>
      </c>
      <c r="C9738" s="128">
        <f t="shared" si="454"/>
        <v>10</v>
      </c>
      <c r="D9738" s="136">
        <f t="shared" si="456"/>
        <v>41</v>
      </c>
      <c r="E9738" s="136">
        <f t="shared" si="455"/>
        <v>11</v>
      </c>
      <c r="F9738" s="137" t="s">
        <v>24</v>
      </c>
      <c r="G9738" s="128" t="str">
        <f>VLOOKUP(source[[#This Row],[lending_product_transform]],[3]Mapping!$B$4:$C$37,2,0)</f>
        <v>[Cake] - Cashloan</v>
      </c>
      <c r="H9738" s="128" t="str">
        <f>VLOOKUP(source[[#This Row],[lending_product_transform]],[3]Mapping!$B$3:$D$37,3,0)</f>
        <v>cashloan</v>
      </c>
      <c r="I9738" s="143">
        <v>3620980000</v>
      </c>
    </row>
    <row r="9739" spans="1:9" x14ac:dyDescent="0.2">
      <c r="A9739" s="172">
        <v>45942</v>
      </c>
      <c r="B9739" s="135">
        <f>YEAR(source[[#This Row],[report_date]])</f>
        <v>2025</v>
      </c>
      <c r="C9739" s="128">
        <f t="shared" si="454"/>
        <v>10</v>
      </c>
      <c r="D9739" s="136">
        <f t="shared" si="456"/>
        <v>41</v>
      </c>
      <c r="E9739" s="136">
        <f t="shared" si="455"/>
        <v>12</v>
      </c>
      <c r="F9739" s="137" t="s">
        <v>24</v>
      </c>
      <c r="G9739" s="128" t="str">
        <f>VLOOKUP(source[[#This Row],[lending_product_transform]],[3]Mapping!$B$4:$C$37,2,0)</f>
        <v>[Cake] - Cashloan</v>
      </c>
      <c r="H9739" s="128" t="str">
        <f>VLOOKUP(source[[#This Row],[lending_product_transform]],[3]Mapping!$B$3:$D$37,3,0)</f>
        <v>cashloan</v>
      </c>
      <c r="I9739" s="143">
        <v>0</v>
      </c>
    </row>
    <row r="9740" spans="1:9" x14ac:dyDescent="0.2">
      <c r="A9740" s="172">
        <v>45942</v>
      </c>
      <c r="B9740" s="135">
        <f>YEAR(source[[#This Row],[report_date]])</f>
        <v>2025</v>
      </c>
      <c r="C9740" s="128">
        <f t="shared" si="454"/>
        <v>10</v>
      </c>
      <c r="D9740" s="136">
        <f t="shared" si="456"/>
        <v>41</v>
      </c>
      <c r="E9740" s="136">
        <f t="shared" si="455"/>
        <v>12</v>
      </c>
      <c r="F9740" s="137" t="s">
        <v>24</v>
      </c>
      <c r="G9740" s="128" t="str">
        <f>VLOOKUP(source[[#This Row],[lending_product_transform]],[3]Mapping!$B$4:$C$37,2,0)</f>
        <v>[Cake] - Cashloan</v>
      </c>
      <c r="H9740" s="128" t="str">
        <f>VLOOKUP(source[[#This Row],[lending_product_transform]],[3]Mapping!$B$3:$D$37,3,0)</f>
        <v>cashloan</v>
      </c>
      <c r="I9740" s="143">
        <v>330616115</v>
      </c>
    </row>
    <row r="9741" spans="1:9" x14ac:dyDescent="0.2">
      <c r="A9741" s="172">
        <v>45942</v>
      </c>
      <c r="B9741" s="135">
        <f>YEAR(source[[#This Row],[report_date]])</f>
        <v>2025</v>
      </c>
      <c r="C9741" s="128">
        <f t="shared" si="454"/>
        <v>10</v>
      </c>
      <c r="D9741" s="136">
        <f t="shared" si="456"/>
        <v>41</v>
      </c>
      <c r="E9741" s="136">
        <f t="shared" si="455"/>
        <v>12</v>
      </c>
      <c r="F9741" s="137" t="s">
        <v>24</v>
      </c>
      <c r="G9741" s="128" t="str">
        <f>VLOOKUP(source[[#This Row],[lending_product_transform]],[3]Mapping!$B$4:$C$37,2,0)</f>
        <v>[Cake] - Cashloan</v>
      </c>
      <c r="H9741" s="128" t="str">
        <f>VLOOKUP(source[[#This Row],[lending_product_transform]],[3]Mapping!$B$3:$D$37,3,0)</f>
        <v>cashloan</v>
      </c>
      <c r="I9741" s="143">
        <v>14904150000</v>
      </c>
    </row>
    <row r="9742" spans="1:9" x14ac:dyDescent="0.2">
      <c r="A9742" s="172">
        <v>45942</v>
      </c>
      <c r="B9742" s="135">
        <f>YEAR(source[[#This Row],[report_date]])</f>
        <v>2025</v>
      </c>
      <c r="C9742" s="128">
        <f t="shared" si="454"/>
        <v>10</v>
      </c>
      <c r="D9742" s="136">
        <f t="shared" si="456"/>
        <v>41</v>
      </c>
      <c r="E9742" s="136">
        <f t="shared" si="455"/>
        <v>12</v>
      </c>
      <c r="F9742" s="137" t="s">
        <v>24</v>
      </c>
      <c r="G9742" s="128" t="str">
        <f>VLOOKUP(source[[#This Row],[lending_product_transform]],[3]Mapping!$B$4:$C$37,2,0)</f>
        <v>[Cake] - Cashloan</v>
      </c>
      <c r="H9742" s="128" t="str">
        <f>VLOOKUP(source[[#This Row],[lending_product_transform]],[3]Mapping!$B$3:$D$37,3,0)</f>
        <v>cashloan</v>
      </c>
      <c r="I9742" s="143">
        <v>2078176771</v>
      </c>
    </row>
    <row r="9743" spans="1:9" x14ac:dyDescent="0.2">
      <c r="A9743" s="172">
        <v>45942</v>
      </c>
      <c r="B9743" s="135">
        <f>YEAR(source[[#This Row],[report_date]])</f>
        <v>2025</v>
      </c>
      <c r="C9743" s="128">
        <f t="shared" si="454"/>
        <v>10</v>
      </c>
      <c r="D9743" s="136">
        <f t="shared" si="456"/>
        <v>41</v>
      </c>
      <c r="E9743" s="136">
        <f t="shared" si="455"/>
        <v>12</v>
      </c>
      <c r="F9743" s="137" t="s">
        <v>24</v>
      </c>
      <c r="G9743" s="128" t="str">
        <f>VLOOKUP(source[[#This Row],[lending_product_transform]],[3]Mapping!$B$4:$C$37,2,0)</f>
        <v>[Cake] - Cashloan</v>
      </c>
      <c r="H9743" s="128" t="str">
        <f>VLOOKUP(source[[#This Row],[lending_product_transform]],[3]Mapping!$B$3:$D$37,3,0)</f>
        <v>cashloan</v>
      </c>
      <c r="I9743" s="143">
        <v>8355312000</v>
      </c>
    </row>
    <row r="9744" spans="1:9" x14ac:dyDescent="0.2">
      <c r="A9744" s="172">
        <v>45942</v>
      </c>
      <c r="B9744" s="135">
        <f>YEAR(source[[#This Row],[report_date]])</f>
        <v>2025</v>
      </c>
      <c r="C9744" s="128">
        <f t="shared" si="454"/>
        <v>10</v>
      </c>
      <c r="D9744" s="136">
        <f t="shared" si="456"/>
        <v>41</v>
      </c>
      <c r="E9744" s="136">
        <f t="shared" si="455"/>
        <v>12</v>
      </c>
      <c r="F9744" s="137" t="s">
        <v>24</v>
      </c>
      <c r="G9744" s="128" t="str">
        <f>VLOOKUP(source[[#This Row],[lending_product_transform]],[3]Mapping!$B$4:$C$37,2,0)</f>
        <v>[Cake] - Cashloan</v>
      </c>
      <c r="H9744" s="128" t="str">
        <f>VLOOKUP(source[[#This Row],[lending_product_transform]],[3]Mapping!$B$3:$D$37,3,0)</f>
        <v>cashloan</v>
      </c>
      <c r="I9744" s="143">
        <v>13876619</v>
      </c>
    </row>
    <row r="9745" spans="1:9" x14ac:dyDescent="0.2">
      <c r="A9745" s="172">
        <v>45942</v>
      </c>
      <c r="B9745" s="135">
        <f>YEAR(source[[#This Row],[report_date]])</f>
        <v>2025</v>
      </c>
      <c r="C9745" s="128">
        <f t="shared" si="454"/>
        <v>10</v>
      </c>
      <c r="D9745" s="136">
        <f t="shared" si="456"/>
        <v>41</v>
      </c>
      <c r="E9745" s="136">
        <f t="shared" si="455"/>
        <v>12</v>
      </c>
      <c r="F9745" s="137" t="s">
        <v>24</v>
      </c>
      <c r="G9745" s="128" t="str">
        <f>VLOOKUP(source[[#This Row],[lending_product_transform]],[3]Mapping!$B$4:$C$37,2,0)</f>
        <v>[Cake] - Cashloan</v>
      </c>
      <c r="H9745" s="128" t="str">
        <f>VLOOKUP(source[[#This Row],[lending_product_transform]],[3]Mapping!$B$3:$D$37,3,0)</f>
        <v>cashloan</v>
      </c>
      <c r="I9745" s="143">
        <v>3615340000</v>
      </c>
    </row>
    <row r="9746" spans="1:9" x14ac:dyDescent="0.2">
      <c r="A9746" s="172">
        <v>45942</v>
      </c>
      <c r="B9746" s="135">
        <f>YEAR(source[[#This Row],[report_date]])</f>
        <v>2025</v>
      </c>
      <c r="C9746" s="128">
        <f t="shared" si="454"/>
        <v>10</v>
      </c>
      <c r="D9746" s="136">
        <f t="shared" si="456"/>
        <v>41</v>
      </c>
      <c r="E9746" s="136">
        <f t="shared" si="455"/>
        <v>12</v>
      </c>
      <c r="F9746" s="137" t="s">
        <v>24</v>
      </c>
      <c r="G9746" s="128" t="str">
        <f>VLOOKUP(source[[#This Row],[lending_product_transform]],[3]Mapping!$B$4:$C$37,2,0)</f>
        <v>[Cake] - Cashloan</v>
      </c>
      <c r="H9746" s="128" t="str">
        <f>VLOOKUP(source[[#This Row],[lending_product_transform]],[3]Mapping!$B$3:$D$37,3,0)</f>
        <v>cashloan</v>
      </c>
      <c r="I9746" s="143">
        <v>6926000</v>
      </c>
    </row>
    <row r="9747" spans="1:9" x14ac:dyDescent="0.2">
      <c r="A9747" s="172">
        <v>45942</v>
      </c>
      <c r="B9747" s="135">
        <f>YEAR(source[[#This Row],[report_date]])</f>
        <v>2025</v>
      </c>
      <c r="C9747" s="128">
        <f t="shared" si="454"/>
        <v>10</v>
      </c>
      <c r="D9747" s="136">
        <f t="shared" si="456"/>
        <v>41</v>
      </c>
      <c r="E9747" s="136">
        <f t="shared" si="455"/>
        <v>12</v>
      </c>
      <c r="F9747" s="137" t="s">
        <v>24</v>
      </c>
      <c r="G9747" s="128" t="str">
        <f>VLOOKUP(source[[#This Row],[lending_product_transform]],[3]Mapping!$B$4:$C$37,2,0)</f>
        <v>[Cake] - Cashloan</v>
      </c>
      <c r="H9747" s="128" t="str">
        <f>VLOOKUP(source[[#This Row],[lending_product_transform]],[3]Mapping!$B$3:$D$37,3,0)</f>
        <v>cashloan</v>
      </c>
      <c r="I9747" s="143">
        <v>902088000</v>
      </c>
    </row>
    <row r="9748" spans="1:9" x14ac:dyDescent="0.2">
      <c r="A9748" s="172">
        <v>45942</v>
      </c>
      <c r="B9748" s="135">
        <f>YEAR(source[[#This Row],[report_date]])</f>
        <v>2025</v>
      </c>
      <c r="C9748" s="128">
        <f t="shared" si="454"/>
        <v>10</v>
      </c>
      <c r="D9748" s="136">
        <f t="shared" si="456"/>
        <v>41</v>
      </c>
      <c r="E9748" s="136">
        <f t="shared" si="455"/>
        <v>12</v>
      </c>
      <c r="F9748" s="137" t="s">
        <v>24</v>
      </c>
      <c r="G9748" s="128" t="str">
        <f>VLOOKUP(source[[#This Row],[lending_product_transform]],[3]Mapping!$B$4:$C$37,2,0)</f>
        <v>[Cake] - Cashloan</v>
      </c>
      <c r="H9748" s="128" t="str">
        <f>VLOOKUP(source[[#This Row],[lending_product_transform]],[3]Mapping!$B$3:$D$37,3,0)</f>
        <v>cashloan</v>
      </c>
      <c r="I9748" s="143">
        <v>0</v>
      </c>
    </row>
    <row r="9749" spans="1:9" x14ac:dyDescent="0.2">
      <c r="A9749" s="172">
        <v>45942</v>
      </c>
      <c r="B9749" s="135">
        <f>YEAR(source[[#This Row],[report_date]])</f>
        <v>2025</v>
      </c>
      <c r="C9749" s="128">
        <f t="shared" si="454"/>
        <v>10</v>
      </c>
      <c r="D9749" s="136">
        <f t="shared" si="456"/>
        <v>41</v>
      </c>
      <c r="E9749" s="136">
        <f t="shared" si="455"/>
        <v>12</v>
      </c>
      <c r="F9749" s="137" t="s">
        <v>24</v>
      </c>
      <c r="G9749" s="128" t="str">
        <f>VLOOKUP(source[[#This Row],[lending_product_transform]],[3]Mapping!$B$4:$C$37,2,0)</f>
        <v>[Cake] - Cashloan</v>
      </c>
      <c r="H9749" s="128" t="str">
        <f>VLOOKUP(source[[#This Row],[lending_product_transform]],[3]Mapping!$B$3:$D$37,3,0)</f>
        <v>cashloan</v>
      </c>
      <c r="I9749" s="143">
        <v>105000000</v>
      </c>
    </row>
    <row r="9750" spans="1:9" x14ac:dyDescent="0.2">
      <c r="A9750" s="172">
        <v>45942</v>
      </c>
      <c r="B9750" s="135">
        <f>YEAR(source[[#This Row],[report_date]])</f>
        <v>2025</v>
      </c>
      <c r="C9750" s="128">
        <f t="shared" si="454"/>
        <v>10</v>
      </c>
      <c r="D9750" s="136">
        <f t="shared" si="456"/>
        <v>41</v>
      </c>
      <c r="E9750" s="136">
        <f t="shared" si="455"/>
        <v>12</v>
      </c>
      <c r="F9750" s="137" t="s">
        <v>24</v>
      </c>
      <c r="G9750" s="128" t="str">
        <f>VLOOKUP(source[[#This Row],[lending_product_transform]],[3]Mapping!$B$4:$C$37,2,0)</f>
        <v>[Cake] - Cashloan</v>
      </c>
      <c r="H9750" s="128" t="str">
        <f>VLOOKUP(source[[#This Row],[lending_product_transform]],[3]Mapping!$B$3:$D$37,3,0)</f>
        <v>cashloan</v>
      </c>
      <c r="I9750" s="143">
        <v>14712640000</v>
      </c>
    </row>
    <row r="9751" spans="1:9" x14ac:dyDescent="0.2">
      <c r="A9751" s="172">
        <v>45942</v>
      </c>
      <c r="B9751" s="135">
        <f>YEAR(source[[#This Row],[report_date]])</f>
        <v>2025</v>
      </c>
      <c r="C9751" s="128">
        <f t="shared" si="454"/>
        <v>10</v>
      </c>
      <c r="D9751" s="136">
        <f t="shared" si="456"/>
        <v>41</v>
      </c>
      <c r="E9751" s="136">
        <f t="shared" si="455"/>
        <v>12</v>
      </c>
      <c r="F9751" s="137" t="s">
        <v>24</v>
      </c>
      <c r="G9751" s="128" t="str">
        <f>VLOOKUP(source[[#This Row],[lending_product_transform]],[3]Mapping!$B$4:$C$37,2,0)</f>
        <v>[Cake] - Cashloan</v>
      </c>
      <c r="H9751" s="128" t="str">
        <f>VLOOKUP(source[[#This Row],[lending_product_transform]],[3]Mapping!$B$3:$D$37,3,0)</f>
        <v>cashloan</v>
      </c>
      <c r="I9751" s="143">
        <v>0</v>
      </c>
    </row>
    <row r="9752" spans="1:9" x14ac:dyDescent="0.2">
      <c r="A9752" s="172">
        <v>45942</v>
      </c>
      <c r="B9752" s="135">
        <f>YEAR(source[[#This Row],[report_date]])</f>
        <v>2025</v>
      </c>
      <c r="C9752" s="128">
        <f t="shared" si="454"/>
        <v>10</v>
      </c>
      <c r="D9752" s="136">
        <f t="shared" si="456"/>
        <v>41</v>
      </c>
      <c r="E9752" s="136">
        <f t="shared" si="455"/>
        <v>12</v>
      </c>
      <c r="F9752" s="137" t="s">
        <v>24</v>
      </c>
      <c r="G9752" s="128" t="str">
        <f>VLOOKUP(source[[#This Row],[lending_product_transform]],[3]Mapping!$B$4:$C$37,2,0)</f>
        <v>[Cake] - Cashloan</v>
      </c>
      <c r="H9752" s="128" t="str">
        <f>VLOOKUP(source[[#This Row],[lending_product_transform]],[3]Mapping!$B$3:$D$37,3,0)</f>
        <v>cashloan</v>
      </c>
      <c r="I9752" s="143">
        <v>0</v>
      </c>
    </row>
    <row r="9753" spans="1:9" x14ac:dyDescent="0.2">
      <c r="A9753" s="172">
        <v>45942</v>
      </c>
      <c r="B9753" s="135">
        <f>YEAR(source[[#This Row],[report_date]])</f>
        <v>2025</v>
      </c>
      <c r="C9753" s="128">
        <f t="shared" si="454"/>
        <v>10</v>
      </c>
      <c r="D9753" s="136">
        <f t="shared" si="456"/>
        <v>41</v>
      </c>
      <c r="E9753" s="136">
        <f t="shared" si="455"/>
        <v>12</v>
      </c>
      <c r="F9753" s="137" t="s">
        <v>24</v>
      </c>
      <c r="G9753" s="128" t="str">
        <f>VLOOKUP(source[[#This Row],[lending_product_transform]],[3]Mapping!$B$4:$C$37,2,0)</f>
        <v>[Cake] - Cashloan</v>
      </c>
      <c r="H9753" s="128" t="str">
        <f>VLOOKUP(source[[#This Row],[lending_product_transform]],[3]Mapping!$B$3:$D$37,3,0)</f>
        <v>cashloan</v>
      </c>
      <c r="I9753" s="143">
        <v>0</v>
      </c>
    </row>
    <row r="9754" spans="1:9" x14ac:dyDescent="0.2">
      <c r="A9754" s="172">
        <v>45942</v>
      </c>
      <c r="B9754" s="135">
        <f>YEAR(source[[#This Row],[report_date]])</f>
        <v>2025</v>
      </c>
      <c r="C9754" s="128">
        <f t="shared" si="454"/>
        <v>10</v>
      </c>
      <c r="D9754" s="136">
        <f t="shared" si="456"/>
        <v>41</v>
      </c>
      <c r="E9754" s="136">
        <f t="shared" si="455"/>
        <v>12</v>
      </c>
      <c r="F9754" s="137" t="s">
        <v>24</v>
      </c>
      <c r="G9754" s="128" t="str">
        <f>VLOOKUP(source[[#This Row],[lending_product_transform]],[3]Mapping!$B$4:$C$37,2,0)</f>
        <v>[Cake] - Cashloan</v>
      </c>
      <c r="H9754" s="128" t="str">
        <f>VLOOKUP(source[[#This Row],[lending_product_transform]],[3]Mapping!$B$3:$D$37,3,0)</f>
        <v>cashloan</v>
      </c>
      <c r="I9754" s="143">
        <v>5000000</v>
      </c>
    </row>
    <row r="9755" spans="1:9" x14ac:dyDescent="0.2">
      <c r="A9755" s="172">
        <v>45942</v>
      </c>
      <c r="B9755" s="135">
        <f>YEAR(source[[#This Row],[report_date]])</f>
        <v>2025</v>
      </c>
      <c r="C9755" s="128">
        <f t="shared" si="454"/>
        <v>10</v>
      </c>
      <c r="D9755" s="136">
        <f t="shared" si="456"/>
        <v>41</v>
      </c>
      <c r="E9755" s="136">
        <f t="shared" si="455"/>
        <v>12</v>
      </c>
      <c r="F9755" s="137" t="s">
        <v>24</v>
      </c>
      <c r="G9755" s="128" t="str">
        <f>VLOOKUP(source[[#This Row],[lending_product_transform]],[3]Mapping!$B$4:$C$37,2,0)</f>
        <v>[Cake] - Cashloan</v>
      </c>
      <c r="H9755" s="128" t="str">
        <f>VLOOKUP(source[[#This Row],[lending_product_transform]],[3]Mapping!$B$3:$D$37,3,0)</f>
        <v>cashloan</v>
      </c>
      <c r="I9755" s="143">
        <v>11218176000</v>
      </c>
    </row>
    <row r="9756" spans="1:9" x14ac:dyDescent="0.2">
      <c r="A9756" s="172">
        <v>45942</v>
      </c>
      <c r="B9756" s="135">
        <f>YEAR(source[[#This Row],[report_date]])</f>
        <v>2025</v>
      </c>
      <c r="C9756" s="128">
        <f t="shared" si="454"/>
        <v>10</v>
      </c>
      <c r="D9756" s="136">
        <f t="shared" si="456"/>
        <v>41</v>
      </c>
      <c r="E9756" s="136">
        <f t="shared" si="455"/>
        <v>12</v>
      </c>
      <c r="F9756" s="137" t="s">
        <v>24</v>
      </c>
      <c r="G9756" s="128" t="str">
        <f>VLOOKUP(source[[#This Row],[lending_product_transform]],[3]Mapping!$B$4:$C$37,2,0)</f>
        <v>[Cake] - Cashloan</v>
      </c>
      <c r="H9756" s="128" t="str">
        <f>VLOOKUP(source[[#This Row],[lending_product_transform]],[3]Mapping!$B$3:$D$37,3,0)</f>
        <v>cashloan</v>
      </c>
      <c r="I9756" s="143">
        <v>223020371</v>
      </c>
    </row>
    <row r="9757" spans="1:9" x14ac:dyDescent="0.2">
      <c r="A9757" s="172">
        <v>45942</v>
      </c>
      <c r="B9757" s="135">
        <f>YEAR(source[[#This Row],[report_date]])</f>
        <v>2025</v>
      </c>
      <c r="C9757" s="128">
        <f t="shared" si="454"/>
        <v>10</v>
      </c>
      <c r="D9757" s="136">
        <f t="shared" si="456"/>
        <v>41</v>
      </c>
      <c r="E9757" s="136">
        <f t="shared" si="455"/>
        <v>12</v>
      </c>
      <c r="F9757" s="137" t="s">
        <v>24</v>
      </c>
      <c r="G9757" s="128" t="str">
        <f>VLOOKUP(source[[#This Row],[lending_product_transform]],[3]Mapping!$B$4:$C$37,2,0)</f>
        <v>[Cake] - Cashloan</v>
      </c>
      <c r="H9757" s="128" t="str">
        <f>VLOOKUP(source[[#This Row],[lending_product_transform]],[3]Mapping!$B$3:$D$37,3,0)</f>
        <v>cashloan</v>
      </c>
      <c r="I9757" s="143">
        <v>105000000</v>
      </c>
    </row>
    <row r="9758" spans="1:9" x14ac:dyDescent="0.2">
      <c r="A9758" s="172">
        <v>45942</v>
      </c>
      <c r="B9758" s="135">
        <f>YEAR(source[[#This Row],[report_date]])</f>
        <v>2025</v>
      </c>
      <c r="C9758" s="128">
        <f t="shared" si="454"/>
        <v>10</v>
      </c>
      <c r="D9758" s="136">
        <f t="shared" si="456"/>
        <v>41</v>
      </c>
      <c r="E9758" s="136">
        <f t="shared" si="455"/>
        <v>12</v>
      </c>
      <c r="F9758" s="137" t="s">
        <v>24</v>
      </c>
      <c r="G9758" s="128" t="str">
        <f>VLOOKUP(source[[#This Row],[lending_product_transform]],[3]Mapping!$B$4:$C$37,2,0)</f>
        <v>[Cake] - Cashloan</v>
      </c>
      <c r="H9758" s="128" t="str">
        <f>VLOOKUP(source[[#This Row],[lending_product_transform]],[3]Mapping!$B$3:$D$37,3,0)</f>
        <v>cashloan</v>
      </c>
      <c r="I9758" s="143">
        <v>14000000</v>
      </c>
    </row>
    <row r="9759" spans="1:9" x14ac:dyDescent="0.2">
      <c r="A9759" s="172">
        <v>45942</v>
      </c>
      <c r="B9759" s="135">
        <f>YEAR(source[[#This Row],[report_date]])</f>
        <v>2025</v>
      </c>
      <c r="C9759" s="128">
        <f t="shared" si="454"/>
        <v>10</v>
      </c>
      <c r="D9759" s="136">
        <f t="shared" si="456"/>
        <v>41</v>
      </c>
      <c r="E9759" s="136">
        <f t="shared" si="455"/>
        <v>12</v>
      </c>
      <c r="F9759" s="137" t="s">
        <v>24</v>
      </c>
      <c r="G9759" s="128" t="str">
        <f>VLOOKUP(source[[#This Row],[lending_product_transform]],[3]Mapping!$B$4:$C$37,2,0)</f>
        <v>[Cake] - Cashloan</v>
      </c>
      <c r="H9759" s="128" t="str">
        <f>VLOOKUP(source[[#This Row],[lending_product_transform]],[3]Mapping!$B$3:$D$37,3,0)</f>
        <v>cashloan</v>
      </c>
      <c r="I9759" s="143">
        <v>516250000</v>
      </c>
    </row>
    <row r="9760" spans="1:9" x14ac:dyDescent="0.2">
      <c r="A9760" s="172">
        <v>45942</v>
      </c>
      <c r="B9760" s="135">
        <f>YEAR(source[[#This Row],[report_date]])</f>
        <v>2025</v>
      </c>
      <c r="C9760" s="128">
        <f t="shared" si="454"/>
        <v>10</v>
      </c>
      <c r="D9760" s="136">
        <f t="shared" si="456"/>
        <v>41</v>
      </c>
      <c r="E9760" s="136">
        <f t="shared" si="455"/>
        <v>12</v>
      </c>
      <c r="F9760" s="137" t="s">
        <v>24</v>
      </c>
      <c r="G9760" s="128" t="str">
        <f>VLOOKUP(source[[#This Row],[lending_product_transform]],[3]Mapping!$B$4:$C$37,2,0)</f>
        <v>[Cake] - Cashloan</v>
      </c>
      <c r="H9760" s="128" t="str">
        <f>VLOOKUP(source[[#This Row],[lending_product_transform]],[3]Mapping!$B$3:$D$37,3,0)</f>
        <v>cashloan</v>
      </c>
      <c r="I9760" s="143">
        <v>178200000</v>
      </c>
    </row>
    <row r="9761" spans="1:9" x14ac:dyDescent="0.2">
      <c r="A9761" s="172">
        <v>45942</v>
      </c>
      <c r="B9761" s="135">
        <f>YEAR(source[[#This Row],[report_date]])</f>
        <v>2025</v>
      </c>
      <c r="C9761" s="128">
        <f t="shared" si="454"/>
        <v>10</v>
      </c>
      <c r="D9761" s="136">
        <f t="shared" si="456"/>
        <v>41</v>
      </c>
      <c r="E9761" s="136">
        <f t="shared" si="455"/>
        <v>12</v>
      </c>
      <c r="F9761" s="137" t="s">
        <v>24</v>
      </c>
      <c r="G9761" s="128" t="str">
        <f>VLOOKUP(source[[#This Row],[lending_product_transform]],[3]Mapping!$B$4:$C$37,2,0)</f>
        <v>[Cake] - Cashloan</v>
      </c>
      <c r="H9761" s="128" t="str">
        <f>VLOOKUP(source[[#This Row],[lending_product_transform]],[3]Mapping!$B$3:$D$37,3,0)</f>
        <v>cashloan</v>
      </c>
      <c r="I9761" s="143">
        <v>264768521</v>
      </c>
    </row>
    <row r="9762" spans="1:9" x14ac:dyDescent="0.2">
      <c r="A9762" s="172">
        <v>45942</v>
      </c>
      <c r="B9762" s="135">
        <f>YEAR(source[[#This Row],[report_date]])</f>
        <v>2025</v>
      </c>
      <c r="C9762" s="128">
        <f t="shared" si="454"/>
        <v>10</v>
      </c>
      <c r="D9762" s="136">
        <f t="shared" si="456"/>
        <v>41</v>
      </c>
      <c r="E9762" s="136">
        <f t="shared" si="455"/>
        <v>12</v>
      </c>
      <c r="F9762" s="137" t="s">
        <v>24</v>
      </c>
      <c r="G9762" s="128" t="str">
        <f>VLOOKUP(source[[#This Row],[lending_product_transform]],[3]Mapping!$B$4:$C$37,2,0)</f>
        <v>[Cake] - Cashloan</v>
      </c>
      <c r="H9762" s="128" t="str">
        <f>VLOOKUP(source[[#This Row],[lending_product_transform]],[3]Mapping!$B$3:$D$37,3,0)</f>
        <v>cashloan</v>
      </c>
      <c r="I9762" s="143">
        <v>4203870000</v>
      </c>
    </row>
    <row r="9763" spans="1:9" x14ac:dyDescent="0.2">
      <c r="A9763" s="172">
        <v>45943</v>
      </c>
      <c r="B9763" s="135">
        <f>YEAR(source[[#This Row],[report_date]])</f>
        <v>2025</v>
      </c>
      <c r="C9763" s="128">
        <f t="shared" si="454"/>
        <v>10</v>
      </c>
      <c r="D9763" s="136">
        <f t="shared" si="456"/>
        <v>42</v>
      </c>
      <c r="E9763" s="136">
        <f t="shared" si="455"/>
        <v>13</v>
      </c>
      <c r="F9763" s="137" t="s">
        <v>24</v>
      </c>
      <c r="G9763" s="128" t="str">
        <f>VLOOKUP(source[[#This Row],[lending_product_transform]],[3]Mapping!$B$4:$C$37,2,0)</f>
        <v>[Cake] - Cashloan</v>
      </c>
      <c r="H9763" s="128" t="str">
        <f>VLOOKUP(source[[#This Row],[lending_product_transform]],[3]Mapping!$B$3:$D$37,3,0)</f>
        <v>cashloan</v>
      </c>
      <c r="I9763" s="143">
        <v>0</v>
      </c>
    </row>
    <row r="9764" spans="1:9" x14ac:dyDescent="0.2">
      <c r="A9764" s="172">
        <v>45943</v>
      </c>
      <c r="B9764" s="135">
        <f>YEAR(source[[#This Row],[report_date]])</f>
        <v>2025</v>
      </c>
      <c r="C9764" s="128">
        <f t="shared" si="454"/>
        <v>10</v>
      </c>
      <c r="D9764" s="136">
        <f t="shared" si="456"/>
        <v>42</v>
      </c>
      <c r="E9764" s="136">
        <f t="shared" si="455"/>
        <v>13</v>
      </c>
      <c r="F9764" s="137" t="s">
        <v>24</v>
      </c>
      <c r="G9764" s="128" t="str">
        <f>VLOOKUP(source[[#This Row],[lending_product_transform]],[3]Mapping!$B$4:$C$37,2,0)</f>
        <v>[Cake] - Cashloan</v>
      </c>
      <c r="H9764" s="128" t="str">
        <f>VLOOKUP(source[[#This Row],[lending_product_transform]],[3]Mapping!$B$3:$D$37,3,0)</f>
        <v>cashloan</v>
      </c>
      <c r="I9764" s="143">
        <v>294533566</v>
      </c>
    </row>
    <row r="9765" spans="1:9" x14ac:dyDescent="0.2">
      <c r="A9765" s="172">
        <v>45943</v>
      </c>
      <c r="B9765" s="135">
        <f>YEAR(source[[#This Row],[report_date]])</f>
        <v>2025</v>
      </c>
      <c r="C9765" s="128">
        <f t="shared" si="454"/>
        <v>10</v>
      </c>
      <c r="D9765" s="136">
        <f t="shared" si="456"/>
        <v>42</v>
      </c>
      <c r="E9765" s="136">
        <f t="shared" si="455"/>
        <v>13</v>
      </c>
      <c r="F9765" s="137" t="s">
        <v>24</v>
      </c>
      <c r="G9765" s="128" t="str">
        <f>VLOOKUP(source[[#This Row],[lending_product_transform]],[3]Mapping!$B$4:$C$37,2,0)</f>
        <v>[Cake] - Cashloan</v>
      </c>
      <c r="H9765" s="128" t="str">
        <f>VLOOKUP(source[[#This Row],[lending_product_transform]],[3]Mapping!$B$3:$D$37,3,0)</f>
        <v>cashloan</v>
      </c>
      <c r="I9765" s="143">
        <v>17791240000</v>
      </c>
    </row>
    <row r="9766" spans="1:9" x14ac:dyDescent="0.2">
      <c r="A9766" s="172">
        <v>45943</v>
      </c>
      <c r="B9766" s="135">
        <f>YEAR(source[[#This Row],[report_date]])</f>
        <v>2025</v>
      </c>
      <c r="C9766" s="128">
        <f t="shared" si="454"/>
        <v>10</v>
      </c>
      <c r="D9766" s="136">
        <f t="shared" si="456"/>
        <v>42</v>
      </c>
      <c r="E9766" s="136">
        <f t="shared" si="455"/>
        <v>13</v>
      </c>
      <c r="F9766" s="137" t="s">
        <v>24</v>
      </c>
      <c r="G9766" s="128" t="str">
        <f>VLOOKUP(source[[#This Row],[lending_product_transform]],[3]Mapping!$B$4:$C$37,2,0)</f>
        <v>[Cake] - Cashloan</v>
      </c>
      <c r="H9766" s="128" t="str">
        <f>VLOOKUP(source[[#This Row],[lending_product_transform]],[3]Mapping!$B$3:$D$37,3,0)</f>
        <v>cashloan</v>
      </c>
      <c r="I9766" s="143">
        <v>2889618786</v>
      </c>
    </row>
    <row r="9767" spans="1:9" x14ac:dyDescent="0.2">
      <c r="A9767" s="172">
        <v>45943</v>
      </c>
      <c r="B9767" s="135">
        <f>YEAR(source[[#This Row],[report_date]])</f>
        <v>2025</v>
      </c>
      <c r="C9767" s="128">
        <f t="shared" si="454"/>
        <v>10</v>
      </c>
      <c r="D9767" s="136">
        <f t="shared" si="456"/>
        <v>42</v>
      </c>
      <c r="E9767" s="136">
        <f t="shared" si="455"/>
        <v>13</v>
      </c>
      <c r="F9767" s="137" t="s">
        <v>24</v>
      </c>
      <c r="G9767" s="128" t="str">
        <f>VLOOKUP(source[[#This Row],[lending_product_transform]],[3]Mapping!$B$4:$C$37,2,0)</f>
        <v>[Cake] - Cashloan</v>
      </c>
      <c r="H9767" s="128" t="str">
        <f>VLOOKUP(source[[#This Row],[lending_product_transform]],[3]Mapping!$B$3:$D$37,3,0)</f>
        <v>cashloan</v>
      </c>
      <c r="I9767" s="143">
        <v>9071892000</v>
      </c>
    </row>
    <row r="9768" spans="1:9" x14ac:dyDescent="0.2">
      <c r="A9768" s="172">
        <v>45943</v>
      </c>
      <c r="B9768" s="135">
        <f>YEAR(source[[#This Row],[report_date]])</f>
        <v>2025</v>
      </c>
      <c r="C9768" s="128">
        <f t="shared" si="454"/>
        <v>10</v>
      </c>
      <c r="D9768" s="136">
        <f t="shared" si="456"/>
        <v>42</v>
      </c>
      <c r="E9768" s="136">
        <f t="shared" si="455"/>
        <v>13</v>
      </c>
      <c r="F9768" s="137" t="s">
        <v>24</v>
      </c>
      <c r="G9768" s="128" t="str">
        <f>VLOOKUP(source[[#This Row],[lending_product_transform]],[3]Mapping!$B$4:$C$37,2,0)</f>
        <v>[Cake] - Cashloan</v>
      </c>
      <c r="H9768" s="128" t="str">
        <f>VLOOKUP(source[[#This Row],[lending_product_transform]],[3]Mapping!$B$3:$D$37,3,0)</f>
        <v>cashloan</v>
      </c>
      <c r="I9768" s="143">
        <v>16749211</v>
      </c>
    </row>
    <row r="9769" spans="1:9" x14ac:dyDescent="0.2">
      <c r="A9769" s="172">
        <v>45943</v>
      </c>
      <c r="B9769" s="135">
        <f>YEAR(source[[#This Row],[report_date]])</f>
        <v>2025</v>
      </c>
      <c r="C9769" s="128">
        <f t="shared" si="454"/>
        <v>10</v>
      </c>
      <c r="D9769" s="136">
        <f t="shared" si="456"/>
        <v>42</v>
      </c>
      <c r="E9769" s="136">
        <f t="shared" si="455"/>
        <v>13</v>
      </c>
      <c r="F9769" s="137" t="s">
        <v>24</v>
      </c>
      <c r="G9769" s="128" t="str">
        <f>VLOOKUP(source[[#This Row],[lending_product_transform]],[3]Mapping!$B$4:$C$37,2,0)</f>
        <v>[Cake] - Cashloan</v>
      </c>
      <c r="H9769" s="128" t="str">
        <f>VLOOKUP(source[[#This Row],[lending_product_transform]],[3]Mapping!$B$3:$D$37,3,0)</f>
        <v>cashloan</v>
      </c>
      <c r="I9769" s="143">
        <v>3698450000</v>
      </c>
    </row>
    <row r="9770" spans="1:9" x14ac:dyDescent="0.2">
      <c r="A9770" s="172">
        <v>45943</v>
      </c>
      <c r="B9770" s="135">
        <f>YEAR(source[[#This Row],[report_date]])</f>
        <v>2025</v>
      </c>
      <c r="C9770" s="128">
        <f t="shared" si="454"/>
        <v>10</v>
      </c>
      <c r="D9770" s="136">
        <f t="shared" si="456"/>
        <v>42</v>
      </c>
      <c r="E9770" s="136">
        <f t="shared" si="455"/>
        <v>13</v>
      </c>
      <c r="F9770" s="137" t="s">
        <v>24</v>
      </c>
      <c r="G9770" s="128" t="str">
        <f>VLOOKUP(source[[#This Row],[lending_product_transform]],[3]Mapping!$B$4:$C$37,2,0)</f>
        <v>[Cake] - Cashloan</v>
      </c>
      <c r="H9770" s="128" t="str">
        <f>VLOOKUP(source[[#This Row],[lending_product_transform]],[3]Mapping!$B$3:$D$37,3,0)</f>
        <v>cashloan</v>
      </c>
      <c r="I9770" s="143">
        <v>26733000</v>
      </c>
    </row>
    <row r="9771" spans="1:9" x14ac:dyDescent="0.2">
      <c r="A9771" s="172">
        <v>45943</v>
      </c>
      <c r="B9771" s="135">
        <f>YEAR(source[[#This Row],[report_date]])</f>
        <v>2025</v>
      </c>
      <c r="C9771" s="128">
        <f t="shared" si="454"/>
        <v>10</v>
      </c>
      <c r="D9771" s="136">
        <f t="shared" si="456"/>
        <v>42</v>
      </c>
      <c r="E9771" s="136">
        <f t="shared" si="455"/>
        <v>13</v>
      </c>
      <c r="F9771" s="137" t="s">
        <v>24</v>
      </c>
      <c r="G9771" s="128" t="str">
        <f>VLOOKUP(source[[#This Row],[lending_product_transform]],[3]Mapping!$B$4:$C$37,2,0)</f>
        <v>[Cake] - Cashloan</v>
      </c>
      <c r="H9771" s="128" t="str">
        <f>VLOOKUP(source[[#This Row],[lending_product_transform]],[3]Mapping!$B$3:$D$37,3,0)</f>
        <v>cashloan</v>
      </c>
      <c r="I9771" s="143">
        <v>675400000</v>
      </c>
    </row>
    <row r="9772" spans="1:9" x14ac:dyDescent="0.2">
      <c r="A9772" s="172">
        <v>45943</v>
      </c>
      <c r="B9772" s="135">
        <f>YEAR(source[[#This Row],[report_date]])</f>
        <v>2025</v>
      </c>
      <c r="C9772" s="128">
        <f t="shared" si="454"/>
        <v>10</v>
      </c>
      <c r="D9772" s="136">
        <f t="shared" si="456"/>
        <v>42</v>
      </c>
      <c r="E9772" s="136">
        <f t="shared" si="455"/>
        <v>13</v>
      </c>
      <c r="F9772" s="137" t="s">
        <v>24</v>
      </c>
      <c r="G9772" s="128" t="str">
        <f>VLOOKUP(source[[#This Row],[lending_product_transform]],[3]Mapping!$B$4:$C$37,2,0)</f>
        <v>[Cake] - Cashloan</v>
      </c>
      <c r="H9772" s="128" t="str">
        <f>VLOOKUP(source[[#This Row],[lending_product_transform]],[3]Mapping!$B$3:$D$37,3,0)</f>
        <v>cashloan</v>
      </c>
      <c r="I9772" s="143">
        <v>0</v>
      </c>
    </row>
    <row r="9773" spans="1:9" x14ac:dyDescent="0.2">
      <c r="A9773" s="172">
        <v>45943</v>
      </c>
      <c r="B9773" s="135">
        <f>YEAR(source[[#This Row],[report_date]])</f>
        <v>2025</v>
      </c>
      <c r="C9773" s="128">
        <f t="shared" si="454"/>
        <v>10</v>
      </c>
      <c r="D9773" s="136">
        <f t="shared" si="456"/>
        <v>42</v>
      </c>
      <c r="E9773" s="136">
        <f t="shared" si="455"/>
        <v>13</v>
      </c>
      <c r="F9773" s="137" t="s">
        <v>24</v>
      </c>
      <c r="G9773" s="128" t="str">
        <f>VLOOKUP(source[[#This Row],[lending_product_transform]],[3]Mapping!$B$4:$C$37,2,0)</f>
        <v>[Cake] - Cashloan</v>
      </c>
      <c r="H9773" s="128" t="str">
        <f>VLOOKUP(source[[#This Row],[lending_product_transform]],[3]Mapping!$B$3:$D$37,3,0)</f>
        <v>cashloan</v>
      </c>
      <c r="I9773" s="143">
        <v>214250000</v>
      </c>
    </row>
    <row r="9774" spans="1:9" x14ac:dyDescent="0.2">
      <c r="A9774" s="172">
        <v>45943</v>
      </c>
      <c r="B9774" s="135">
        <f>YEAR(source[[#This Row],[report_date]])</f>
        <v>2025</v>
      </c>
      <c r="C9774" s="128">
        <f t="shared" si="454"/>
        <v>10</v>
      </c>
      <c r="D9774" s="136">
        <f t="shared" si="456"/>
        <v>42</v>
      </c>
      <c r="E9774" s="136">
        <f t="shared" si="455"/>
        <v>13</v>
      </c>
      <c r="F9774" s="137" t="s">
        <v>24</v>
      </c>
      <c r="G9774" s="128" t="str">
        <f>VLOOKUP(source[[#This Row],[lending_product_transform]],[3]Mapping!$B$4:$C$37,2,0)</f>
        <v>[Cake] - Cashloan</v>
      </c>
      <c r="H9774" s="128" t="str">
        <f>VLOOKUP(source[[#This Row],[lending_product_transform]],[3]Mapping!$B$3:$D$37,3,0)</f>
        <v>cashloan</v>
      </c>
      <c r="I9774" s="143">
        <v>15957370000</v>
      </c>
    </row>
    <row r="9775" spans="1:9" x14ac:dyDescent="0.2">
      <c r="A9775" s="172">
        <v>45943</v>
      </c>
      <c r="B9775" s="135">
        <f>YEAR(source[[#This Row],[report_date]])</f>
        <v>2025</v>
      </c>
      <c r="C9775" s="128">
        <f t="shared" si="454"/>
        <v>10</v>
      </c>
      <c r="D9775" s="136">
        <f t="shared" si="456"/>
        <v>42</v>
      </c>
      <c r="E9775" s="136">
        <f t="shared" si="455"/>
        <v>13</v>
      </c>
      <c r="F9775" s="137" t="s">
        <v>24</v>
      </c>
      <c r="G9775" s="128" t="str">
        <f>VLOOKUP(source[[#This Row],[lending_product_transform]],[3]Mapping!$B$4:$C$37,2,0)</f>
        <v>[Cake] - Cashloan</v>
      </c>
      <c r="H9775" s="128" t="str">
        <f>VLOOKUP(source[[#This Row],[lending_product_transform]],[3]Mapping!$B$3:$D$37,3,0)</f>
        <v>cashloan</v>
      </c>
      <c r="I9775" s="143">
        <v>0</v>
      </c>
    </row>
    <row r="9776" spans="1:9" x14ac:dyDescent="0.2">
      <c r="A9776" s="172">
        <v>45943</v>
      </c>
      <c r="B9776" s="135">
        <f>YEAR(source[[#This Row],[report_date]])</f>
        <v>2025</v>
      </c>
      <c r="C9776" s="128">
        <f t="shared" si="454"/>
        <v>10</v>
      </c>
      <c r="D9776" s="136">
        <f t="shared" si="456"/>
        <v>42</v>
      </c>
      <c r="E9776" s="136">
        <f t="shared" si="455"/>
        <v>13</v>
      </c>
      <c r="F9776" s="137" t="s">
        <v>24</v>
      </c>
      <c r="G9776" s="128" t="str">
        <f>VLOOKUP(source[[#This Row],[lending_product_transform]],[3]Mapping!$B$4:$C$37,2,0)</f>
        <v>[Cake] - Cashloan</v>
      </c>
      <c r="H9776" s="128" t="str">
        <f>VLOOKUP(source[[#This Row],[lending_product_transform]],[3]Mapping!$B$3:$D$37,3,0)</f>
        <v>cashloan</v>
      </c>
      <c r="I9776" s="143">
        <v>0</v>
      </c>
    </row>
    <row r="9777" spans="1:9" x14ac:dyDescent="0.2">
      <c r="A9777" s="172">
        <v>45943</v>
      </c>
      <c r="B9777" s="135">
        <f>YEAR(source[[#This Row],[report_date]])</f>
        <v>2025</v>
      </c>
      <c r="C9777" s="128">
        <f t="shared" si="454"/>
        <v>10</v>
      </c>
      <c r="D9777" s="136">
        <f t="shared" si="456"/>
        <v>42</v>
      </c>
      <c r="E9777" s="136">
        <f t="shared" si="455"/>
        <v>13</v>
      </c>
      <c r="F9777" s="137" t="s">
        <v>24</v>
      </c>
      <c r="G9777" s="128" t="str">
        <f>VLOOKUP(source[[#This Row],[lending_product_transform]],[3]Mapping!$B$4:$C$37,2,0)</f>
        <v>[Cake] - Cashloan</v>
      </c>
      <c r="H9777" s="128" t="str">
        <f>VLOOKUP(source[[#This Row],[lending_product_transform]],[3]Mapping!$B$3:$D$37,3,0)</f>
        <v>cashloan</v>
      </c>
      <c r="I9777" s="143">
        <v>0</v>
      </c>
    </row>
    <row r="9778" spans="1:9" x14ac:dyDescent="0.2">
      <c r="A9778" s="172">
        <v>45943</v>
      </c>
      <c r="B9778" s="135">
        <f>YEAR(source[[#This Row],[report_date]])</f>
        <v>2025</v>
      </c>
      <c r="C9778" s="128">
        <f t="shared" si="454"/>
        <v>10</v>
      </c>
      <c r="D9778" s="136">
        <f t="shared" si="456"/>
        <v>42</v>
      </c>
      <c r="E9778" s="136">
        <f t="shared" si="455"/>
        <v>13</v>
      </c>
      <c r="F9778" s="137" t="s">
        <v>24</v>
      </c>
      <c r="G9778" s="128" t="str">
        <f>VLOOKUP(source[[#This Row],[lending_product_transform]],[3]Mapping!$B$4:$C$37,2,0)</f>
        <v>[Cake] - Cashloan</v>
      </c>
      <c r="H9778" s="128" t="str">
        <f>VLOOKUP(source[[#This Row],[lending_product_transform]],[3]Mapping!$B$3:$D$37,3,0)</f>
        <v>cashloan</v>
      </c>
      <c r="I9778" s="143">
        <v>0</v>
      </c>
    </row>
    <row r="9779" spans="1:9" x14ac:dyDescent="0.2">
      <c r="A9779" s="172">
        <v>45943</v>
      </c>
      <c r="B9779" s="135">
        <f>YEAR(source[[#This Row],[report_date]])</f>
        <v>2025</v>
      </c>
      <c r="C9779" s="128">
        <f t="shared" si="454"/>
        <v>10</v>
      </c>
      <c r="D9779" s="136">
        <f t="shared" si="456"/>
        <v>42</v>
      </c>
      <c r="E9779" s="136">
        <f t="shared" si="455"/>
        <v>13</v>
      </c>
      <c r="F9779" s="137" t="s">
        <v>24</v>
      </c>
      <c r="G9779" s="128" t="str">
        <f>VLOOKUP(source[[#This Row],[lending_product_transform]],[3]Mapping!$B$4:$C$37,2,0)</f>
        <v>[Cake] - Cashloan</v>
      </c>
      <c r="H9779" s="128" t="str">
        <f>VLOOKUP(source[[#This Row],[lending_product_transform]],[3]Mapping!$B$3:$D$37,3,0)</f>
        <v>cashloan</v>
      </c>
      <c r="I9779" s="143">
        <v>11594448000</v>
      </c>
    </row>
    <row r="9780" spans="1:9" x14ac:dyDescent="0.2">
      <c r="A9780" s="172">
        <v>45943</v>
      </c>
      <c r="B9780" s="135">
        <f>YEAR(source[[#This Row],[report_date]])</f>
        <v>2025</v>
      </c>
      <c r="C9780" s="128">
        <f t="shared" si="454"/>
        <v>10</v>
      </c>
      <c r="D9780" s="136">
        <f t="shared" si="456"/>
        <v>42</v>
      </c>
      <c r="E9780" s="136">
        <f t="shared" si="455"/>
        <v>13</v>
      </c>
      <c r="F9780" s="137" t="s">
        <v>24</v>
      </c>
      <c r="G9780" s="128" t="str">
        <f>VLOOKUP(source[[#This Row],[lending_product_transform]],[3]Mapping!$B$4:$C$37,2,0)</f>
        <v>[Cake] - Cashloan</v>
      </c>
      <c r="H9780" s="128" t="str">
        <f>VLOOKUP(source[[#This Row],[lending_product_transform]],[3]Mapping!$B$3:$D$37,3,0)</f>
        <v>cashloan</v>
      </c>
      <c r="I9780" s="143">
        <v>232575429</v>
      </c>
    </row>
    <row r="9781" spans="1:9" x14ac:dyDescent="0.2">
      <c r="A9781" s="172">
        <v>45943</v>
      </c>
      <c r="B9781" s="135">
        <f>YEAR(source[[#This Row],[report_date]])</f>
        <v>2025</v>
      </c>
      <c r="C9781" s="128">
        <f t="shared" si="454"/>
        <v>10</v>
      </c>
      <c r="D9781" s="136">
        <f t="shared" si="456"/>
        <v>42</v>
      </c>
      <c r="E9781" s="136">
        <f t="shared" si="455"/>
        <v>13</v>
      </c>
      <c r="F9781" s="137" t="s">
        <v>24</v>
      </c>
      <c r="G9781" s="128" t="str">
        <f>VLOOKUP(source[[#This Row],[lending_product_transform]],[3]Mapping!$B$4:$C$37,2,0)</f>
        <v>[Cake] - Cashloan</v>
      </c>
      <c r="H9781" s="128" t="str">
        <f>VLOOKUP(source[[#This Row],[lending_product_transform]],[3]Mapping!$B$3:$D$37,3,0)</f>
        <v>cashloan</v>
      </c>
      <c r="I9781" s="143">
        <v>41000000</v>
      </c>
    </row>
    <row r="9782" spans="1:9" x14ac:dyDescent="0.2">
      <c r="A9782" s="172">
        <v>45943</v>
      </c>
      <c r="B9782" s="135">
        <f>YEAR(source[[#This Row],[report_date]])</f>
        <v>2025</v>
      </c>
      <c r="C9782" s="128">
        <f t="shared" ref="C9782:C9845" si="457">MONTH(A9782)</f>
        <v>10</v>
      </c>
      <c r="D9782" s="136">
        <f t="shared" si="456"/>
        <v>42</v>
      </c>
      <c r="E9782" s="136">
        <f t="shared" ref="E9782:E9845" si="458">DAY(A9782)</f>
        <v>13</v>
      </c>
      <c r="F9782" s="137" t="s">
        <v>24</v>
      </c>
      <c r="G9782" s="128" t="str">
        <f>VLOOKUP(source[[#This Row],[lending_product_transform]],[3]Mapping!$B$4:$C$37,2,0)</f>
        <v>[Cake] - Cashloan</v>
      </c>
      <c r="H9782" s="128" t="str">
        <f>VLOOKUP(source[[#This Row],[lending_product_transform]],[3]Mapping!$B$3:$D$37,3,0)</f>
        <v>cashloan</v>
      </c>
      <c r="I9782" s="143">
        <v>31000000</v>
      </c>
    </row>
    <row r="9783" spans="1:9" x14ac:dyDescent="0.2">
      <c r="A9783" s="172">
        <v>45943</v>
      </c>
      <c r="B9783" s="135">
        <f>YEAR(source[[#This Row],[report_date]])</f>
        <v>2025</v>
      </c>
      <c r="C9783" s="128">
        <f t="shared" si="457"/>
        <v>10</v>
      </c>
      <c r="D9783" s="136">
        <f t="shared" si="456"/>
        <v>42</v>
      </c>
      <c r="E9783" s="136">
        <f t="shared" si="458"/>
        <v>13</v>
      </c>
      <c r="F9783" s="137" t="s">
        <v>24</v>
      </c>
      <c r="G9783" s="128" t="str">
        <f>VLOOKUP(source[[#This Row],[lending_product_transform]],[3]Mapping!$B$4:$C$37,2,0)</f>
        <v>[Cake] - Cashloan</v>
      </c>
      <c r="H9783" s="128" t="str">
        <f>VLOOKUP(source[[#This Row],[lending_product_transform]],[3]Mapping!$B$3:$D$37,3,0)</f>
        <v>cashloan</v>
      </c>
      <c r="I9783" s="143">
        <v>432080000</v>
      </c>
    </row>
    <row r="9784" spans="1:9" x14ac:dyDescent="0.2">
      <c r="A9784" s="172">
        <v>45943</v>
      </c>
      <c r="B9784" s="135">
        <f>YEAR(source[[#This Row],[report_date]])</f>
        <v>2025</v>
      </c>
      <c r="C9784" s="128">
        <f t="shared" si="457"/>
        <v>10</v>
      </c>
      <c r="D9784" s="136">
        <f t="shared" si="456"/>
        <v>42</v>
      </c>
      <c r="E9784" s="136">
        <f t="shared" si="458"/>
        <v>13</v>
      </c>
      <c r="F9784" s="137" t="s">
        <v>24</v>
      </c>
      <c r="G9784" s="128" t="str">
        <f>VLOOKUP(source[[#This Row],[lending_product_transform]],[3]Mapping!$B$4:$C$37,2,0)</f>
        <v>[Cake] - Cashloan</v>
      </c>
      <c r="H9784" s="128" t="str">
        <f>VLOOKUP(source[[#This Row],[lending_product_transform]],[3]Mapping!$B$3:$D$37,3,0)</f>
        <v>cashloan</v>
      </c>
      <c r="I9784" s="143">
        <v>154440000</v>
      </c>
    </row>
    <row r="9785" spans="1:9" x14ac:dyDescent="0.2">
      <c r="A9785" s="172">
        <v>45943</v>
      </c>
      <c r="B9785" s="135">
        <f>YEAR(source[[#This Row],[report_date]])</f>
        <v>2025</v>
      </c>
      <c r="C9785" s="128">
        <f t="shared" si="457"/>
        <v>10</v>
      </c>
      <c r="D9785" s="136">
        <f t="shared" si="456"/>
        <v>42</v>
      </c>
      <c r="E9785" s="136">
        <f t="shared" si="458"/>
        <v>13</v>
      </c>
      <c r="F9785" s="137" t="s">
        <v>24</v>
      </c>
      <c r="G9785" s="128" t="str">
        <f>VLOOKUP(source[[#This Row],[lending_product_transform]],[3]Mapping!$B$4:$C$37,2,0)</f>
        <v>[Cake] - Cashloan</v>
      </c>
      <c r="H9785" s="128" t="str">
        <f>VLOOKUP(source[[#This Row],[lending_product_transform]],[3]Mapping!$B$3:$D$37,3,0)</f>
        <v>cashloan</v>
      </c>
      <c r="I9785" s="143">
        <v>326435642</v>
      </c>
    </row>
    <row r="9786" spans="1:9" x14ac:dyDescent="0.2">
      <c r="A9786" s="172">
        <v>45943</v>
      </c>
      <c r="B9786" s="135">
        <f>YEAR(source[[#This Row],[report_date]])</f>
        <v>2025</v>
      </c>
      <c r="C9786" s="128">
        <f t="shared" si="457"/>
        <v>10</v>
      </c>
      <c r="D9786" s="136">
        <f t="shared" si="456"/>
        <v>42</v>
      </c>
      <c r="E9786" s="136">
        <f t="shared" si="458"/>
        <v>13</v>
      </c>
      <c r="F9786" s="137" t="s">
        <v>24</v>
      </c>
      <c r="G9786" s="128" t="str">
        <f>VLOOKUP(source[[#This Row],[lending_product_transform]],[3]Mapping!$B$4:$C$37,2,0)</f>
        <v>[Cake] - Cashloan</v>
      </c>
      <c r="H9786" s="128" t="str">
        <f>VLOOKUP(source[[#This Row],[lending_product_transform]],[3]Mapping!$B$3:$D$37,3,0)</f>
        <v>cashloan</v>
      </c>
      <c r="I9786" s="143">
        <v>3955990000</v>
      </c>
    </row>
    <row r="9787" spans="1:9" x14ac:dyDescent="0.2">
      <c r="A9787" s="172">
        <v>45944</v>
      </c>
      <c r="B9787" s="135">
        <f>YEAR(source[[#This Row],[report_date]])</f>
        <v>2025</v>
      </c>
      <c r="C9787" s="128">
        <f t="shared" si="457"/>
        <v>10</v>
      </c>
      <c r="D9787" s="136">
        <f t="shared" si="456"/>
        <v>42</v>
      </c>
      <c r="E9787" s="136">
        <f t="shared" si="458"/>
        <v>14</v>
      </c>
      <c r="F9787" s="137" t="s">
        <v>24</v>
      </c>
      <c r="G9787" s="128" t="str">
        <f>VLOOKUP(source[[#This Row],[lending_product_transform]],[3]Mapping!$B$4:$C$37,2,0)</f>
        <v>[Cake] - Cashloan</v>
      </c>
      <c r="H9787" s="128" t="str">
        <f>VLOOKUP(source[[#This Row],[lending_product_transform]],[3]Mapping!$B$3:$D$37,3,0)</f>
        <v>cashloan</v>
      </c>
      <c r="I9787" s="143">
        <v>0</v>
      </c>
    </row>
    <row r="9788" spans="1:9" x14ac:dyDescent="0.2">
      <c r="A9788" s="172">
        <v>45944</v>
      </c>
      <c r="B9788" s="135">
        <f>YEAR(source[[#This Row],[report_date]])</f>
        <v>2025</v>
      </c>
      <c r="C9788" s="128">
        <f t="shared" si="457"/>
        <v>10</v>
      </c>
      <c r="D9788" s="136">
        <f t="shared" si="456"/>
        <v>42</v>
      </c>
      <c r="E9788" s="136">
        <f t="shared" si="458"/>
        <v>14</v>
      </c>
      <c r="F9788" s="137" t="s">
        <v>24</v>
      </c>
      <c r="G9788" s="128" t="str">
        <f>VLOOKUP(source[[#This Row],[lending_product_transform]],[3]Mapping!$B$4:$C$37,2,0)</f>
        <v>[Cake] - Cashloan</v>
      </c>
      <c r="H9788" s="128" t="str">
        <f>VLOOKUP(source[[#This Row],[lending_product_transform]],[3]Mapping!$B$3:$D$37,3,0)</f>
        <v>cashloan</v>
      </c>
      <c r="I9788" s="143">
        <v>298061286</v>
      </c>
    </row>
    <row r="9789" spans="1:9" x14ac:dyDescent="0.2">
      <c r="A9789" s="172">
        <v>45944</v>
      </c>
      <c r="B9789" s="135">
        <f>YEAR(source[[#This Row],[report_date]])</f>
        <v>2025</v>
      </c>
      <c r="C9789" s="128">
        <f t="shared" si="457"/>
        <v>10</v>
      </c>
      <c r="D9789" s="136">
        <f t="shared" si="456"/>
        <v>42</v>
      </c>
      <c r="E9789" s="136">
        <f t="shared" si="458"/>
        <v>14</v>
      </c>
      <c r="F9789" s="137" t="s">
        <v>24</v>
      </c>
      <c r="G9789" s="128" t="str">
        <f>VLOOKUP(source[[#This Row],[lending_product_transform]],[3]Mapping!$B$4:$C$37,2,0)</f>
        <v>[Cake] - Cashloan</v>
      </c>
      <c r="H9789" s="128" t="str">
        <f>VLOOKUP(source[[#This Row],[lending_product_transform]],[3]Mapping!$B$3:$D$37,3,0)</f>
        <v>cashloan</v>
      </c>
      <c r="I9789" s="143">
        <v>18147530000</v>
      </c>
    </row>
    <row r="9790" spans="1:9" x14ac:dyDescent="0.2">
      <c r="A9790" s="172">
        <v>45944</v>
      </c>
      <c r="B9790" s="135">
        <f>YEAR(source[[#This Row],[report_date]])</f>
        <v>2025</v>
      </c>
      <c r="C9790" s="128">
        <f t="shared" si="457"/>
        <v>10</v>
      </c>
      <c r="D9790" s="136">
        <f t="shared" si="456"/>
        <v>42</v>
      </c>
      <c r="E9790" s="136">
        <f t="shared" si="458"/>
        <v>14</v>
      </c>
      <c r="F9790" s="137" t="s">
        <v>24</v>
      </c>
      <c r="G9790" s="128" t="str">
        <f>VLOOKUP(source[[#This Row],[lending_product_transform]],[3]Mapping!$B$4:$C$37,2,0)</f>
        <v>[Cake] - Cashloan</v>
      </c>
      <c r="H9790" s="128" t="str">
        <f>VLOOKUP(source[[#This Row],[lending_product_transform]],[3]Mapping!$B$3:$D$37,3,0)</f>
        <v>cashloan</v>
      </c>
      <c r="I9790" s="143">
        <v>2395117142</v>
      </c>
    </row>
    <row r="9791" spans="1:9" x14ac:dyDescent="0.2">
      <c r="A9791" s="172">
        <v>45944</v>
      </c>
      <c r="B9791" s="135">
        <f>YEAR(source[[#This Row],[report_date]])</f>
        <v>2025</v>
      </c>
      <c r="C9791" s="128">
        <f t="shared" si="457"/>
        <v>10</v>
      </c>
      <c r="D9791" s="136">
        <f t="shared" si="456"/>
        <v>42</v>
      </c>
      <c r="E9791" s="136">
        <f t="shared" si="458"/>
        <v>14</v>
      </c>
      <c r="F9791" s="137" t="s">
        <v>24</v>
      </c>
      <c r="G9791" s="128" t="str">
        <f>VLOOKUP(source[[#This Row],[lending_product_transform]],[3]Mapping!$B$4:$C$37,2,0)</f>
        <v>[Cake] - Cashloan</v>
      </c>
      <c r="H9791" s="128" t="str">
        <f>VLOOKUP(source[[#This Row],[lending_product_transform]],[3]Mapping!$B$3:$D$37,3,0)</f>
        <v>cashloan</v>
      </c>
      <c r="I9791" s="143">
        <v>9351180000</v>
      </c>
    </row>
    <row r="9792" spans="1:9" x14ac:dyDescent="0.2">
      <c r="A9792" s="172">
        <v>45944</v>
      </c>
      <c r="B9792" s="135">
        <f>YEAR(source[[#This Row],[report_date]])</f>
        <v>2025</v>
      </c>
      <c r="C9792" s="128">
        <f t="shared" si="457"/>
        <v>10</v>
      </c>
      <c r="D9792" s="136">
        <f t="shared" si="456"/>
        <v>42</v>
      </c>
      <c r="E9792" s="136">
        <f t="shared" si="458"/>
        <v>14</v>
      </c>
      <c r="F9792" s="137" t="s">
        <v>24</v>
      </c>
      <c r="G9792" s="128" t="str">
        <f>VLOOKUP(source[[#This Row],[lending_product_transform]],[3]Mapping!$B$4:$C$37,2,0)</f>
        <v>[Cake] - Cashloan</v>
      </c>
      <c r="H9792" s="128" t="str">
        <f>VLOOKUP(source[[#This Row],[lending_product_transform]],[3]Mapping!$B$3:$D$37,3,0)</f>
        <v>cashloan</v>
      </c>
      <c r="I9792" s="143">
        <v>15565466</v>
      </c>
    </row>
    <row r="9793" spans="1:9" x14ac:dyDescent="0.2">
      <c r="A9793" s="172">
        <v>45944</v>
      </c>
      <c r="B9793" s="135">
        <f>YEAR(source[[#This Row],[report_date]])</f>
        <v>2025</v>
      </c>
      <c r="C9793" s="128">
        <f t="shared" si="457"/>
        <v>10</v>
      </c>
      <c r="D9793" s="136">
        <f t="shared" si="456"/>
        <v>42</v>
      </c>
      <c r="E9793" s="136">
        <f t="shared" si="458"/>
        <v>14</v>
      </c>
      <c r="F9793" s="137" t="s">
        <v>24</v>
      </c>
      <c r="G9793" s="128" t="str">
        <f>VLOOKUP(source[[#This Row],[lending_product_transform]],[3]Mapping!$B$4:$C$37,2,0)</f>
        <v>[Cake] - Cashloan</v>
      </c>
      <c r="H9793" s="128" t="str">
        <f>VLOOKUP(source[[#This Row],[lending_product_transform]],[3]Mapping!$B$3:$D$37,3,0)</f>
        <v>cashloan</v>
      </c>
      <c r="I9793" s="143">
        <v>4111950000</v>
      </c>
    </row>
    <row r="9794" spans="1:9" x14ac:dyDescent="0.2">
      <c r="A9794" s="172">
        <v>45944</v>
      </c>
      <c r="B9794" s="135">
        <f>YEAR(source[[#This Row],[report_date]])</f>
        <v>2025</v>
      </c>
      <c r="C9794" s="128">
        <f t="shared" si="457"/>
        <v>10</v>
      </c>
      <c r="D9794" s="136">
        <f t="shared" si="456"/>
        <v>42</v>
      </c>
      <c r="E9794" s="136">
        <f t="shared" si="458"/>
        <v>14</v>
      </c>
      <c r="F9794" s="137" t="s">
        <v>24</v>
      </c>
      <c r="G9794" s="128" t="str">
        <f>VLOOKUP(source[[#This Row],[lending_product_transform]],[3]Mapping!$B$4:$C$37,2,0)</f>
        <v>[Cake] - Cashloan</v>
      </c>
      <c r="H9794" s="128" t="str">
        <f>VLOOKUP(source[[#This Row],[lending_product_transform]],[3]Mapping!$B$3:$D$37,3,0)</f>
        <v>cashloan</v>
      </c>
      <c r="I9794" s="143">
        <v>20510000</v>
      </c>
    </row>
    <row r="9795" spans="1:9" x14ac:dyDescent="0.2">
      <c r="A9795" s="172">
        <v>45944</v>
      </c>
      <c r="B9795" s="135">
        <f>YEAR(source[[#This Row],[report_date]])</f>
        <v>2025</v>
      </c>
      <c r="C9795" s="128">
        <f t="shared" si="457"/>
        <v>10</v>
      </c>
      <c r="D9795" s="136">
        <f t="shared" ref="D9795:D9858" si="459">WEEKNUM(A9795,2)</f>
        <v>42</v>
      </c>
      <c r="E9795" s="136">
        <f t="shared" si="458"/>
        <v>14</v>
      </c>
      <c r="F9795" s="137" t="s">
        <v>24</v>
      </c>
      <c r="G9795" s="128" t="str">
        <f>VLOOKUP(source[[#This Row],[lending_product_transform]],[3]Mapping!$B$4:$C$37,2,0)</f>
        <v>[Cake] - Cashloan</v>
      </c>
      <c r="H9795" s="128" t="str">
        <f>VLOOKUP(source[[#This Row],[lending_product_transform]],[3]Mapping!$B$3:$D$37,3,0)</f>
        <v>cashloan</v>
      </c>
      <c r="I9795" s="143">
        <v>663588000</v>
      </c>
    </row>
    <row r="9796" spans="1:9" x14ac:dyDescent="0.2">
      <c r="A9796" s="172">
        <v>45944</v>
      </c>
      <c r="B9796" s="135">
        <f>YEAR(source[[#This Row],[report_date]])</f>
        <v>2025</v>
      </c>
      <c r="C9796" s="128">
        <f t="shared" si="457"/>
        <v>10</v>
      </c>
      <c r="D9796" s="136">
        <f t="shared" si="459"/>
        <v>42</v>
      </c>
      <c r="E9796" s="136">
        <f t="shared" si="458"/>
        <v>14</v>
      </c>
      <c r="F9796" s="137" t="s">
        <v>24</v>
      </c>
      <c r="G9796" s="128" t="str">
        <f>VLOOKUP(source[[#This Row],[lending_product_transform]],[3]Mapping!$B$4:$C$37,2,0)</f>
        <v>[Cake] - Cashloan</v>
      </c>
      <c r="H9796" s="128" t="str">
        <f>VLOOKUP(source[[#This Row],[lending_product_transform]],[3]Mapping!$B$3:$D$37,3,0)</f>
        <v>cashloan</v>
      </c>
      <c r="I9796" s="143">
        <v>0</v>
      </c>
    </row>
    <row r="9797" spans="1:9" x14ac:dyDescent="0.2">
      <c r="A9797" s="172">
        <v>45944</v>
      </c>
      <c r="B9797" s="135">
        <f>YEAR(source[[#This Row],[report_date]])</f>
        <v>2025</v>
      </c>
      <c r="C9797" s="128">
        <f t="shared" si="457"/>
        <v>10</v>
      </c>
      <c r="D9797" s="136">
        <f t="shared" si="459"/>
        <v>42</v>
      </c>
      <c r="E9797" s="136">
        <f t="shared" si="458"/>
        <v>14</v>
      </c>
      <c r="F9797" s="137" t="s">
        <v>24</v>
      </c>
      <c r="G9797" s="128" t="str">
        <f>VLOOKUP(source[[#This Row],[lending_product_transform]],[3]Mapping!$B$4:$C$37,2,0)</f>
        <v>[Cake] - Cashloan</v>
      </c>
      <c r="H9797" s="128" t="str">
        <f>VLOOKUP(source[[#This Row],[lending_product_transform]],[3]Mapping!$B$3:$D$37,3,0)</f>
        <v>cashloan</v>
      </c>
      <c r="I9797" s="143">
        <v>157500000</v>
      </c>
    </row>
    <row r="9798" spans="1:9" x14ac:dyDescent="0.2">
      <c r="A9798" s="172">
        <v>45944</v>
      </c>
      <c r="B9798" s="135">
        <f>YEAR(source[[#This Row],[report_date]])</f>
        <v>2025</v>
      </c>
      <c r="C9798" s="128">
        <f t="shared" si="457"/>
        <v>10</v>
      </c>
      <c r="D9798" s="136">
        <f t="shared" si="459"/>
        <v>42</v>
      </c>
      <c r="E9798" s="136">
        <f t="shared" si="458"/>
        <v>14</v>
      </c>
      <c r="F9798" s="137" t="s">
        <v>24</v>
      </c>
      <c r="G9798" s="128" t="str">
        <f>VLOOKUP(source[[#This Row],[lending_product_transform]],[3]Mapping!$B$4:$C$37,2,0)</f>
        <v>[Cake] - Cashloan</v>
      </c>
      <c r="H9798" s="128" t="str">
        <f>VLOOKUP(source[[#This Row],[lending_product_transform]],[3]Mapping!$B$3:$D$37,3,0)</f>
        <v>cashloan</v>
      </c>
      <c r="I9798" s="143">
        <v>14858680000</v>
      </c>
    </row>
    <row r="9799" spans="1:9" x14ac:dyDescent="0.2">
      <c r="A9799" s="172">
        <v>45944</v>
      </c>
      <c r="B9799" s="135">
        <f>YEAR(source[[#This Row],[report_date]])</f>
        <v>2025</v>
      </c>
      <c r="C9799" s="128">
        <f t="shared" si="457"/>
        <v>10</v>
      </c>
      <c r="D9799" s="136">
        <f t="shared" si="459"/>
        <v>42</v>
      </c>
      <c r="E9799" s="136">
        <f t="shared" si="458"/>
        <v>14</v>
      </c>
      <c r="F9799" s="137" t="s">
        <v>24</v>
      </c>
      <c r="G9799" s="128" t="str">
        <f>VLOOKUP(source[[#This Row],[lending_product_transform]],[3]Mapping!$B$4:$C$37,2,0)</f>
        <v>[Cake] - Cashloan</v>
      </c>
      <c r="H9799" s="128" t="str">
        <f>VLOOKUP(source[[#This Row],[lending_product_transform]],[3]Mapping!$B$3:$D$37,3,0)</f>
        <v>cashloan</v>
      </c>
      <c r="I9799" s="143">
        <v>0</v>
      </c>
    </row>
    <row r="9800" spans="1:9" x14ac:dyDescent="0.2">
      <c r="A9800" s="172">
        <v>45944</v>
      </c>
      <c r="B9800" s="135">
        <f>YEAR(source[[#This Row],[report_date]])</f>
        <v>2025</v>
      </c>
      <c r="C9800" s="128">
        <f t="shared" si="457"/>
        <v>10</v>
      </c>
      <c r="D9800" s="136">
        <f t="shared" si="459"/>
        <v>42</v>
      </c>
      <c r="E9800" s="136">
        <f t="shared" si="458"/>
        <v>14</v>
      </c>
      <c r="F9800" s="137" t="s">
        <v>24</v>
      </c>
      <c r="G9800" s="128" t="str">
        <f>VLOOKUP(source[[#This Row],[lending_product_transform]],[3]Mapping!$B$4:$C$37,2,0)</f>
        <v>[Cake] - Cashloan</v>
      </c>
      <c r="H9800" s="128" t="str">
        <f>VLOOKUP(source[[#This Row],[lending_product_transform]],[3]Mapping!$B$3:$D$37,3,0)</f>
        <v>cashloan</v>
      </c>
      <c r="I9800" s="143">
        <v>0</v>
      </c>
    </row>
    <row r="9801" spans="1:9" x14ac:dyDescent="0.2">
      <c r="A9801" s="172">
        <v>45944</v>
      </c>
      <c r="B9801" s="135">
        <f>YEAR(source[[#This Row],[report_date]])</f>
        <v>2025</v>
      </c>
      <c r="C9801" s="128">
        <f t="shared" si="457"/>
        <v>10</v>
      </c>
      <c r="D9801" s="136">
        <f t="shared" si="459"/>
        <v>42</v>
      </c>
      <c r="E9801" s="136">
        <f t="shared" si="458"/>
        <v>14</v>
      </c>
      <c r="F9801" s="137" t="s">
        <v>24</v>
      </c>
      <c r="G9801" s="128" t="str">
        <f>VLOOKUP(source[[#This Row],[lending_product_transform]],[3]Mapping!$B$4:$C$37,2,0)</f>
        <v>[Cake] - Cashloan</v>
      </c>
      <c r="H9801" s="128" t="str">
        <f>VLOOKUP(source[[#This Row],[lending_product_transform]],[3]Mapping!$B$3:$D$37,3,0)</f>
        <v>cashloan</v>
      </c>
      <c r="I9801" s="143">
        <v>0</v>
      </c>
    </row>
    <row r="9802" spans="1:9" x14ac:dyDescent="0.2">
      <c r="A9802" s="172">
        <v>45944</v>
      </c>
      <c r="B9802" s="135">
        <f>YEAR(source[[#This Row],[report_date]])</f>
        <v>2025</v>
      </c>
      <c r="C9802" s="128">
        <f t="shared" si="457"/>
        <v>10</v>
      </c>
      <c r="D9802" s="136">
        <f t="shared" si="459"/>
        <v>42</v>
      </c>
      <c r="E9802" s="136">
        <f t="shared" si="458"/>
        <v>14</v>
      </c>
      <c r="F9802" s="137" t="s">
        <v>24</v>
      </c>
      <c r="G9802" s="128" t="str">
        <f>VLOOKUP(source[[#This Row],[lending_product_transform]],[3]Mapping!$B$4:$C$37,2,0)</f>
        <v>[Cake] - Cashloan</v>
      </c>
      <c r="H9802" s="128" t="str">
        <f>VLOOKUP(source[[#This Row],[lending_product_transform]],[3]Mapping!$B$3:$D$37,3,0)</f>
        <v>cashloan</v>
      </c>
      <c r="I9802" s="143">
        <v>17120000</v>
      </c>
    </row>
    <row r="9803" spans="1:9" x14ac:dyDescent="0.2">
      <c r="A9803" s="172">
        <v>45944</v>
      </c>
      <c r="B9803" s="135">
        <f>YEAR(source[[#This Row],[report_date]])</f>
        <v>2025</v>
      </c>
      <c r="C9803" s="128">
        <f t="shared" si="457"/>
        <v>10</v>
      </c>
      <c r="D9803" s="136">
        <f t="shared" si="459"/>
        <v>42</v>
      </c>
      <c r="E9803" s="136">
        <f t="shared" si="458"/>
        <v>14</v>
      </c>
      <c r="F9803" s="137" t="s">
        <v>24</v>
      </c>
      <c r="G9803" s="128" t="str">
        <f>VLOOKUP(source[[#This Row],[lending_product_transform]],[3]Mapping!$B$4:$C$37,2,0)</f>
        <v>[Cake] - Cashloan</v>
      </c>
      <c r="H9803" s="128" t="str">
        <f>VLOOKUP(source[[#This Row],[lending_product_transform]],[3]Mapping!$B$3:$D$37,3,0)</f>
        <v>cashloan</v>
      </c>
      <c r="I9803" s="143">
        <v>11063304000</v>
      </c>
    </row>
    <row r="9804" spans="1:9" x14ac:dyDescent="0.2">
      <c r="A9804" s="172">
        <v>45944</v>
      </c>
      <c r="B9804" s="135">
        <f>YEAR(source[[#This Row],[report_date]])</f>
        <v>2025</v>
      </c>
      <c r="C9804" s="128">
        <f t="shared" si="457"/>
        <v>10</v>
      </c>
      <c r="D9804" s="136">
        <f t="shared" si="459"/>
        <v>42</v>
      </c>
      <c r="E9804" s="136">
        <f t="shared" si="458"/>
        <v>14</v>
      </c>
      <c r="F9804" s="137" t="s">
        <v>24</v>
      </c>
      <c r="G9804" s="128" t="str">
        <f>VLOOKUP(source[[#This Row],[lending_product_transform]],[3]Mapping!$B$4:$C$37,2,0)</f>
        <v>[Cake] - Cashloan</v>
      </c>
      <c r="H9804" s="128" t="str">
        <f>VLOOKUP(source[[#This Row],[lending_product_transform]],[3]Mapping!$B$3:$D$37,3,0)</f>
        <v>cashloan</v>
      </c>
      <c r="I9804" s="143">
        <v>294058306</v>
      </c>
    </row>
    <row r="9805" spans="1:9" x14ac:dyDescent="0.2">
      <c r="A9805" s="172">
        <v>45944</v>
      </c>
      <c r="B9805" s="135">
        <f>YEAR(source[[#This Row],[report_date]])</f>
        <v>2025</v>
      </c>
      <c r="C9805" s="128">
        <f t="shared" si="457"/>
        <v>10</v>
      </c>
      <c r="D9805" s="136">
        <f t="shared" si="459"/>
        <v>42</v>
      </c>
      <c r="E9805" s="136">
        <f t="shared" si="458"/>
        <v>14</v>
      </c>
      <c r="F9805" s="137" t="s">
        <v>24</v>
      </c>
      <c r="G9805" s="128" t="str">
        <f>VLOOKUP(source[[#This Row],[lending_product_transform]],[3]Mapping!$B$4:$C$37,2,0)</f>
        <v>[Cake] - Cashloan</v>
      </c>
      <c r="H9805" s="128" t="str">
        <f>VLOOKUP(source[[#This Row],[lending_product_transform]],[3]Mapping!$B$3:$D$37,3,0)</f>
        <v>cashloan</v>
      </c>
      <c r="I9805" s="143">
        <v>41000000</v>
      </c>
    </row>
    <row r="9806" spans="1:9" x14ac:dyDescent="0.2">
      <c r="A9806" s="172">
        <v>45944</v>
      </c>
      <c r="B9806" s="135">
        <f>YEAR(source[[#This Row],[report_date]])</f>
        <v>2025</v>
      </c>
      <c r="C9806" s="128">
        <f t="shared" si="457"/>
        <v>10</v>
      </c>
      <c r="D9806" s="136">
        <f t="shared" si="459"/>
        <v>42</v>
      </c>
      <c r="E9806" s="136">
        <f t="shared" si="458"/>
        <v>14</v>
      </c>
      <c r="F9806" s="137" t="s">
        <v>24</v>
      </c>
      <c r="G9806" s="128" t="str">
        <f>VLOOKUP(source[[#This Row],[lending_product_transform]],[3]Mapping!$B$4:$C$37,2,0)</f>
        <v>[Cake] - Cashloan</v>
      </c>
      <c r="H9806" s="128" t="str">
        <f>VLOOKUP(source[[#This Row],[lending_product_transform]],[3]Mapping!$B$3:$D$37,3,0)</f>
        <v>cashloan</v>
      </c>
      <c r="I9806" s="143">
        <v>37000000</v>
      </c>
    </row>
    <row r="9807" spans="1:9" x14ac:dyDescent="0.2">
      <c r="A9807" s="172">
        <v>45944</v>
      </c>
      <c r="B9807" s="135">
        <f>YEAR(source[[#This Row],[report_date]])</f>
        <v>2025</v>
      </c>
      <c r="C9807" s="128">
        <f t="shared" si="457"/>
        <v>10</v>
      </c>
      <c r="D9807" s="136">
        <f t="shared" si="459"/>
        <v>42</v>
      </c>
      <c r="E9807" s="136">
        <f t="shared" si="458"/>
        <v>14</v>
      </c>
      <c r="F9807" s="137" t="s">
        <v>24</v>
      </c>
      <c r="G9807" s="128" t="str">
        <f>VLOOKUP(source[[#This Row],[lending_product_transform]],[3]Mapping!$B$4:$C$37,2,0)</f>
        <v>[Cake] - Cashloan</v>
      </c>
      <c r="H9807" s="128" t="str">
        <f>VLOOKUP(source[[#This Row],[lending_product_transform]],[3]Mapping!$B$3:$D$37,3,0)</f>
        <v>cashloan</v>
      </c>
      <c r="I9807" s="143">
        <v>219730000</v>
      </c>
    </row>
    <row r="9808" spans="1:9" x14ac:dyDescent="0.2">
      <c r="A9808" s="172">
        <v>45944</v>
      </c>
      <c r="B9808" s="135">
        <f>YEAR(source[[#This Row],[report_date]])</f>
        <v>2025</v>
      </c>
      <c r="C9808" s="128">
        <f t="shared" si="457"/>
        <v>10</v>
      </c>
      <c r="D9808" s="136">
        <f t="shared" si="459"/>
        <v>42</v>
      </c>
      <c r="E9808" s="136">
        <f t="shared" si="458"/>
        <v>14</v>
      </c>
      <c r="F9808" s="137" t="s">
        <v>24</v>
      </c>
      <c r="G9808" s="128" t="str">
        <f>VLOOKUP(source[[#This Row],[lending_product_transform]],[3]Mapping!$B$4:$C$37,2,0)</f>
        <v>[Cake] - Cashloan</v>
      </c>
      <c r="H9808" s="128" t="str">
        <f>VLOOKUP(source[[#This Row],[lending_product_transform]],[3]Mapping!$B$3:$D$37,3,0)</f>
        <v>cashloan</v>
      </c>
      <c r="I9808" s="143">
        <v>219240000</v>
      </c>
    </row>
    <row r="9809" spans="1:9" x14ac:dyDescent="0.2">
      <c r="A9809" s="172">
        <v>45944</v>
      </c>
      <c r="B9809" s="135">
        <f>YEAR(source[[#This Row],[report_date]])</f>
        <v>2025</v>
      </c>
      <c r="C9809" s="128">
        <f t="shared" si="457"/>
        <v>10</v>
      </c>
      <c r="D9809" s="136">
        <f t="shared" si="459"/>
        <v>42</v>
      </c>
      <c r="E9809" s="136">
        <f t="shared" si="458"/>
        <v>14</v>
      </c>
      <c r="F9809" s="137" t="s">
        <v>24</v>
      </c>
      <c r="G9809" s="128" t="str">
        <f>VLOOKUP(source[[#This Row],[lending_product_transform]],[3]Mapping!$B$4:$C$37,2,0)</f>
        <v>[Cake] - Cashloan</v>
      </c>
      <c r="H9809" s="128" t="str">
        <f>VLOOKUP(source[[#This Row],[lending_product_transform]],[3]Mapping!$B$3:$D$37,3,0)</f>
        <v>cashloan</v>
      </c>
      <c r="I9809" s="143">
        <v>380170391</v>
      </c>
    </row>
    <row r="9810" spans="1:9" x14ac:dyDescent="0.2">
      <c r="A9810" s="172">
        <v>45944</v>
      </c>
      <c r="B9810" s="135">
        <f>YEAR(source[[#This Row],[report_date]])</f>
        <v>2025</v>
      </c>
      <c r="C9810" s="128">
        <f t="shared" si="457"/>
        <v>10</v>
      </c>
      <c r="D9810" s="136">
        <f t="shared" si="459"/>
        <v>42</v>
      </c>
      <c r="E9810" s="136">
        <f t="shared" si="458"/>
        <v>14</v>
      </c>
      <c r="F9810" s="137" t="s">
        <v>24</v>
      </c>
      <c r="G9810" s="128" t="str">
        <f>VLOOKUP(source[[#This Row],[lending_product_transform]],[3]Mapping!$B$4:$C$37,2,0)</f>
        <v>[Cake] - Cashloan</v>
      </c>
      <c r="H9810" s="128" t="str">
        <f>VLOOKUP(source[[#This Row],[lending_product_transform]],[3]Mapping!$B$3:$D$37,3,0)</f>
        <v>cashloan</v>
      </c>
      <c r="I9810" s="143">
        <v>4794470000</v>
      </c>
    </row>
    <row r="9811" spans="1:9" x14ac:dyDescent="0.2">
      <c r="A9811" s="172">
        <v>45945</v>
      </c>
      <c r="B9811" s="135">
        <f>YEAR(source[[#This Row],[report_date]])</f>
        <v>2025</v>
      </c>
      <c r="C9811" s="128">
        <f t="shared" si="457"/>
        <v>10</v>
      </c>
      <c r="D9811" s="136">
        <f t="shared" si="459"/>
        <v>42</v>
      </c>
      <c r="E9811" s="136">
        <f t="shared" si="458"/>
        <v>15</v>
      </c>
      <c r="F9811" s="137" t="s">
        <v>24</v>
      </c>
      <c r="G9811" s="128" t="str">
        <f>VLOOKUP(source[[#This Row],[lending_product_transform]],[3]Mapping!$B$4:$C$37,2,0)</f>
        <v>[Cake] - Cashloan</v>
      </c>
      <c r="H9811" s="128" t="str">
        <f>VLOOKUP(source[[#This Row],[lending_product_transform]],[3]Mapping!$B$3:$D$37,3,0)</f>
        <v>cashloan</v>
      </c>
      <c r="I9811" s="143">
        <v>0</v>
      </c>
    </row>
    <row r="9812" spans="1:9" x14ac:dyDescent="0.2">
      <c r="A9812" s="172">
        <v>45945</v>
      </c>
      <c r="B9812" s="135">
        <f>YEAR(source[[#This Row],[report_date]])</f>
        <v>2025</v>
      </c>
      <c r="C9812" s="128">
        <f t="shared" si="457"/>
        <v>10</v>
      </c>
      <c r="D9812" s="136">
        <f t="shared" si="459"/>
        <v>42</v>
      </c>
      <c r="E9812" s="136">
        <f t="shared" si="458"/>
        <v>15</v>
      </c>
      <c r="F9812" s="137" t="s">
        <v>24</v>
      </c>
      <c r="G9812" s="128" t="str">
        <f>VLOOKUP(source[[#This Row],[lending_product_transform]],[3]Mapping!$B$4:$C$37,2,0)</f>
        <v>[Cake] - Cashloan</v>
      </c>
      <c r="H9812" s="128" t="str">
        <f>VLOOKUP(source[[#This Row],[lending_product_transform]],[3]Mapping!$B$3:$D$37,3,0)</f>
        <v>cashloan</v>
      </c>
      <c r="I9812" s="143">
        <v>279783114</v>
      </c>
    </row>
    <row r="9813" spans="1:9" x14ac:dyDescent="0.2">
      <c r="A9813" s="172">
        <v>45945</v>
      </c>
      <c r="B9813" s="135">
        <f>YEAR(source[[#This Row],[report_date]])</f>
        <v>2025</v>
      </c>
      <c r="C9813" s="128">
        <f t="shared" si="457"/>
        <v>10</v>
      </c>
      <c r="D9813" s="136">
        <f t="shared" si="459"/>
        <v>42</v>
      </c>
      <c r="E9813" s="136">
        <f t="shared" si="458"/>
        <v>15</v>
      </c>
      <c r="F9813" s="137" t="s">
        <v>24</v>
      </c>
      <c r="G9813" s="128" t="str">
        <f>VLOOKUP(source[[#This Row],[lending_product_transform]],[3]Mapping!$B$4:$C$37,2,0)</f>
        <v>[Cake] - Cashloan</v>
      </c>
      <c r="H9813" s="128" t="str">
        <f>VLOOKUP(source[[#This Row],[lending_product_transform]],[3]Mapping!$B$3:$D$37,3,0)</f>
        <v>cashloan</v>
      </c>
      <c r="I9813" s="143">
        <v>19090840000</v>
      </c>
    </row>
    <row r="9814" spans="1:9" x14ac:dyDescent="0.2">
      <c r="A9814" s="172">
        <v>45945</v>
      </c>
      <c r="B9814" s="135">
        <f>YEAR(source[[#This Row],[report_date]])</f>
        <v>2025</v>
      </c>
      <c r="C9814" s="128">
        <f t="shared" si="457"/>
        <v>10</v>
      </c>
      <c r="D9814" s="136">
        <f t="shared" si="459"/>
        <v>42</v>
      </c>
      <c r="E9814" s="136">
        <f t="shared" si="458"/>
        <v>15</v>
      </c>
      <c r="F9814" s="137" t="s">
        <v>24</v>
      </c>
      <c r="G9814" s="128" t="str">
        <f>VLOOKUP(source[[#This Row],[lending_product_transform]],[3]Mapping!$B$4:$C$37,2,0)</f>
        <v>[Cake] - Cashloan</v>
      </c>
      <c r="H9814" s="128" t="str">
        <f>VLOOKUP(source[[#This Row],[lending_product_transform]],[3]Mapping!$B$3:$D$37,3,0)</f>
        <v>cashloan</v>
      </c>
      <c r="I9814" s="143">
        <v>2854395418</v>
      </c>
    </row>
    <row r="9815" spans="1:9" x14ac:dyDescent="0.2">
      <c r="A9815" s="172">
        <v>45945</v>
      </c>
      <c r="B9815" s="135">
        <f>YEAR(source[[#This Row],[report_date]])</f>
        <v>2025</v>
      </c>
      <c r="C9815" s="128">
        <f t="shared" si="457"/>
        <v>10</v>
      </c>
      <c r="D9815" s="136">
        <f t="shared" si="459"/>
        <v>42</v>
      </c>
      <c r="E9815" s="136">
        <f t="shared" si="458"/>
        <v>15</v>
      </c>
      <c r="F9815" s="137" t="s">
        <v>24</v>
      </c>
      <c r="G9815" s="128" t="str">
        <f>VLOOKUP(source[[#This Row],[lending_product_transform]],[3]Mapping!$B$4:$C$37,2,0)</f>
        <v>[Cake] - Cashloan</v>
      </c>
      <c r="H9815" s="128" t="str">
        <f>VLOOKUP(source[[#This Row],[lending_product_transform]],[3]Mapping!$B$3:$D$37,3,0)</f>
        <v>cashloan</v>
      </c>
      <c r="I9815" s="143">
        <v>9970668000</v>
      </c>
    </row>
    <row r="9816" spans="1:9" x14ac:dyDescent="0.2">
      <c r="A9816" s="172">
        <v>45945</v>
      </c>
      <c r="B9816" s="135">
        <f>YEAR(source[[#This Row],[report_date]])</f>
        <v>2025</v>
      </c>
      <c r="C9816" s="128">
        <f t="shared" si="457"/>
        <v>10</v>
      </c>
      <c r="D9816" s="136">
        <f t="shared" si="459"/>
        <v>42</v>
      </c>
      <c r="E9816" s="136">
        <f t="shared" si="458"/>
        <v>15</v>
      </c>
      <c r="F9816" s="137" t="s">
        <v>24</v>
      </c>
      <c r="G9816" s="128" t="str">
        <f>VLOOKUP(source[[#This Row],[lending_product_transform]],[3]Mapping!$B$4:$C$37,2,0)</f>
        <v>[Cake] - Cashloan</v>
      </c>
      <c r="H9816" s="128" t="str">
        <f>VLOOKUP(source[[#This Row],[lending_product_transform]],[3]Mapping!$B$3:$D$37,3,0)</f>
        <v>cashloan</v>
      </c>
      <c r="I9816" s="143">
        <v>19020080</v>
      </c>
    </row>
    <row r="9817" spans="1:9" x14ac:dyDescent="0.2">
      <c r="A9817" s="172">
        <v>45945</v>
      </c>
      <c r="B9817" s="135">
        <f>YEAR(source[[#This Row],[report_date]])</f>
        <v>2025</v>
      </c>
      <c r="C9817" s="128">
        <f t="shared" si="457"/>
        <v>10</v>
      </c>
      <c r="D9817" s="136">
        <f t="shared" si="459"/>
        <v>42</v>
      </c>
      <c r="E9817" s="136">
        <f t="shared" si="458"/>
        <v>15</v>
      </c>
      <c r="F9817" s="137" t="s">
        <v>24</v>
      </c>
      <c r="G9817" s="128" t="str">
        <f>VLOOKUP(source[[#This Row],[lending_product_transform]],[3]Mapping!$B$4:$C$37,2,0)</f>
        <v>[Cake] - Cashloan</v>
      </c>
      <c r="H9817" s="128" t="str">
        <f>VLOOKUP(source[[#This Row],[lending_product_transform]],[3]Mapping!$B$3:$D$37,3,0)</f>
        <v>cashloan</v>
      </c>
      <c r="I9817" s="143">
        <v>3776730000</v>
      </c>
    </row>
    <row r="9818" spans="1:9" x14ac:dyDescent="0.2">
      <c r="A9818" s="172">
        <v>45945</v>
      </c>
      <c r="B9818" s="135">
        <f>YEAR(source[[#This Row],[report_date]])</f>
        <v>2025</v>
      </c>
      <c r="C9818" s="128">
        <f t="shared" si="457"/>
        <v>10</v>
      </c>
      <c r="D9818" s="136">
        <f t="shared" si="459"/>
        <v>42</v>
      </c>
      <c r="E9818" s="136">
        <f t="shared" si="458"/>
        <v>15</v>
      </c>
      <c r="F9818" s="137" t="s">
        <v>24</v>
      </c>
      <c r="G9818" s="128" t="str">
        <f>VLOOKUP(source[[#This Row],[lending_product_transform]],[3]Mapping!$B$4:$C$37,2,0)</f>
        <v>[Cake] - Cashloan</v>
      </c>
      <c r="H9818" s="128" t="str">
        <f>VLOOKUP(source[[#This Row],[lending_product_transform]],[3]Mapping!$B$3:$D$37,3,0)</f>
        <v>cashloan</v>
      </c>
      <c r="I9818" s="143">
        <v>9557000</v>
      </c>
    </row>
    <row r="9819" spans="1:9" x14ac:dyDescent="0.2">
      <c r="A9819" s="172">
        <v>45945</v>
      </c>
      <c r="B9819" s="135">
        <f>YEAR(source[[#This Row],[report_date]])</f>
        <v>2025</v>
      </c>
      <c r="C9819" s="128">
        <f t="shared" si="457"/>
        <v>10</v>
      </c>
      <c r="D9819" s="136">
        <f t="shared" si="459"/>
        <v>42</v>
      </c>
      <c r="E9819" s="136">
        <f t="shared" si="458"/>
        <v>15</v>
      </c>
      <c r="F9819" s="137" t="s">
        <v>24</v>
      </c>
      <c r="G9819" s="128" t="str">
        <f>VLOOKUP(source[[#This Row],[lending_product_transform]],[3]Mapping!$B$4:$C$37,2,0)</f>
        <v>[Cake] - Cashloan</v>
      </c>
      <c r="H9819" s="128" t="str">
        <f>VLOOKUP(source[[#This Row],[lending_product_transform]],[3]Mapping!$B$3:$D$37,3,0)</f>
        <v>cashloan</v>
      </c>
      <c r="I9819" s="143">
        <v>717796000</v>
      </c>
    </row>
    <row r="9820" spans="1:9" x14ac:dyDescent="0.2">
      <c r="A9820" s="172">
        <v>45945</v>
      </c>
      <c r="B9820" s="135">
        <f>YEAR(source[[#This Row],[report_date]])</f>
        <v>2025</v>
      </c>
      <c r="C9820" s="128">
        <f t="shared" si="457"/>
        <v>10</v>
      </c>
      <c r="D9820" s="136">
        <f t="shared" si="459"/>
        <v>42</v>
      </c>
      <c r="E9820" s="136">
        <f t="shared" si="458"/>
        <v>15</v>
      </c>
      <c r="F9820" s="137" t="s">
        <v>24</v>
      </c>
      <c r="G9820" s="128" t="str">
        <f>VLOOKUP(source[[#This Row],[lending_product_transform]],[3]Mapping!$B$4:$C$37,2,0)</f>
        <v>[Cake] - Cashloan</v>
      </c>
      <c r="H9820" s="128" t="str">
        <f>VLOOKUP(source[[#This Row],[lending_product_transform]],[3]Mapping!$B$3:$D$37,3,0)</f>
        <v>cashloan</v>
      </c>
      <c r="I9820" s="143">
        <v>0</v>
      </c>
    </row>
    <row r="9821" spans="1:9" x14ac:dyDescent="0.2">
      <c r="A9821" s="172">
        <v>45945</v>
      </c>
      <c r="B9821" s="135">
        <f>YEAR(source[[#This Row],[report_date]])</f>
        <v>2025</v>
      </c>
      <c r="C9821" s="128">
        <f t="shared" si="457"/>
        <v>10</v>
      </c>
      <c r="D9821" s="136">
        <f t="shared" si="459"/>
        <v>42</v>
      </c>
      <c r="E9821" s="136">
        <f t="shared" si="458"/>
        <v>15</v>
      </c>
      <c r="F9821" s="137" t="s">
        <v>24</v>
      </c>
      <c r="G9821" s="128" t="str">
        <f>VLOOKUP(source[[#This Row],[lending_product_transform]],[3]Mapping!$B$4:$C$37,2,0)</f>
        <v>[Cake] - Cashloan</v>
      </c>
      <c r="H9821" s="128" t="str">
        <f>VLOOKUP(source[[#This Row],[lending_product_transform]],[3]Mapping!$B$3:$D$37,3,0)</f>
        <v>cashloan</v>
      </c>
      <c r="I9821" s="143">
        <v>190250000</v>
      </c>
    </row>
    <row r="9822" spans="1:9" x14ac:dyDescent="0.2">
      <c r="A9822" s="172">
        <v>45945</v>
      </c>
      <c r="B9822" s="135">
        <f>YEAR(source[[#This Row],[report_date]])</f>
        <v>2025</v>
      </c>
      <c r="C9822" s="128">
        <f t="shared" si="457"/>
        <v>10</v>
      </c>
      <c r="D9822" s="136">
        <f t="shared" si="459"/>
        <v>42</v>
      </c>
      <c r="E9822" s="136">
        <f t="shared" si="458"/>
        <v>15</v>
      </c>
      <c r="F9822" s="137" t="s">
        <v>24</v>
      </c>
      <c r="G9822" s="128" t="str">
        <f>VLOOKUP(source[[#This Row],[lending_product_transform]],[3]Mapping!$B$4:$C$37,2,0)</f>
        <v>[Cake] - Cashloan</v>
      </c>
      <c r="H9822" s="128" t="str">
        <f>VLOOKUP(source[[#This Row],[lending_product_transform]],[3]Mapping!$B$3:$D$37,3,0)</f>
        <v>cashloan</v>
      </c>
      <c r="I9822" s="143">
        <v>14610860000</v>
      </c>
    </row>
    <row r="9823" spans="1:9" x14ac:dyDescent="0.2">
      <c r="A9823" s="172">
        <v>45945</v>
      </c>
      <c r="B9823" s="135">
        <f>YEAR(source[[#This Row],[report_date]])</f>
        <v>2025</v>
      </c>
      <c r="C9823" s="128">
        <f t="shared" si="457"/>
        <v>10</v>
      </c>
      <c r="D9823" s="136">
        <f t="shared" si="459"/>
        <v>42</v>
      </c>
      <c r="E9823" s="136">
        <f t="shared" si="458"/>
        <v>15</v>
      </c>
      <c r="F9823" s="137" t="s">
        <v>24</v>
      </c>
      <c r="G9823" s="128" t="str">
        <f>VLOOKUP(source[[#This Row],[lending_product_transform]],[3]Mapping!$B$4:$C$37,2,0)</f>
        <v>[Cake] - Cashloan</v>
      </c>
      <c r="H9823" s="128" t="str">
        <f>VLOOKUP(source[[#This Row],[lending_product_transform]],[3]Mapping!$B$3:$D$37,3,0)</f>
        <v>cashloan</v>
      </c>
      <c r="I9823" s="143">
        <v>0</v>
      </c>
    </row>
    <row r="9824" spans="1:9" x14ac:dyDescent="0.2">
      <c r="A9824" s="172">
        <v>45945</v>
      </c>
      <c r="B9824" s="135">
        <f>YEAR(source[[#This Row],[report_date]])</f>
        <v>2025</v>
      </c>
      <c r="C9824" s="128">
        <f t="shared" si="457"/>
        <v>10</v>
      </c>
      <c r="D9824" s="136">
        <f t="shared" si="459"/>
        <v>42</v>
      </c>
      <c r="E9824" s="136">
        <f t="shared" si="458"/>
        <v>15</v>
      </c>
      <c r="F9824" s="137" t="s">
        <v>24</v>
      </c>
      <c r="G9824" s="128" t="str">
        <f>VLOOKUP(source[[#This Row],[lending_product_transform]],[3]Mapping!$B$4:$C$37,2,0)</f>
        <v>[Cake] - Cashloan</v>
      </c>
      <c r="H9824" s="128" t="str">
        <f>VLOOKUP(source[[#This Row],[lending_product_transform]],[3]Mapping!$B$3:$D$37,3,0)</f>
        <v>cashloan</v>
      </c>
      <c r="I9824" s="143">
        <v>0</v>
      </c>
    </row>
    <row r="9825" spans="1:9" x14ac:dyDescent="0.2">
      <c r="A9825" s="172">
        <v>45945</v>
      </c>
      <c r="B9825" s="135">
        <f>YEAR(source[[#This Row],[report_date]])</f>
        <v>2025</v>
      </c>
      <c r="C9825" s="128">
        <f t="shared" si="457"/>
        <v>10</v>
      </c>
      <c r="D9825" s="136">
        <f t="shared" si="459"/>
        <v>42</v>
      </c>
      <c r="E9825" s="136">
        <f t="shared" si="458"/>
        <v>15</v>
      </c>
      <c r="F9825" s="137" t="s">
        <v>24</v>
      </c>
      <c r="G9825" s="128" t="str">
        <f>VLOOKUP(source[[#This Row],[lending_product_transform]],[3]Mapping!$B$4:$C$37,2,0)</f>
        <v>[Cake] - Cashloan</v>
      </c>
      <c r="H9825" s="128" t="str">
        <f>VLOOKUP(source[[#This Row],[lending_product_transform]],[3]Mapping!$B$3:$D$37,3,0)</f>
        <v>cashloan</v>
      </c>
      <c r="I9825" s="143">
        <v>0</v>
      </c>
    </row>
    <row r="9826" spans="1:9" x14ac:dyDescent="0.2">
      <c r="A9826" s="172">
        <v>45945</v>
      </c>
      <c r="B9826" s="135">
        <f>YEAR(source[[#This Row],[report_date]])</f>
        <v>2025</v>
      </c>
      <c r="C9826" s="128">
        <f t="shared" si="457"/>
        <v>10</v>
      </c>
      <c r="D9826" s="136">
        <f t="shared" si="459"/>
        <v>42</v>
      </c>
      <c r="E9826" s="136">
        <f t="shared" si="458"/>
        <v>15</v>
      </c>
      <c r="F9826" s="137" t="s">
        <v>24</v>
      </c>
      <c r="G9826" s="128" t="str">
        <f>VLOOKUP(source[[#This Row],[lending_product_transform]],[3]Mapping!$B$4:$C$37,2,0)</f>
        <v>[Cake] - Cashloan</v>
      </c>
      <c r="H9826" s="128" t="str">
        <f>VLOOKUP(source[[#This Row],[lending_product_transform]],[3]Mapping!$B$3:$D$37,3,0)</f>
        <v>cashloan</v>
      </c>
      <c r="I9826" s="143">
        <v>26750000</v>
      </c>
    </row>
    <row r="9827" spans="1:9" x14ac:dyDescent="0.2">
      <c r="A9827" s="172">
        <v>45945</v>
      </c>
      <c r="B9827" s="135">
        <f>YEAR(source[[#This Row],[report_date]])</f>
        <v>2025</v>
      </c>
      <c r="C9827" s="128">
        <f t="shared" si="457"/>
        <v>10</v>
      </c>
      <c r="D9827" s="136">
        <f t="shared" si="459"/>
        <v>42</v>
      </c>
      <c r="E9827" s="136">
        <f t="shared" si="458"/>
        <v>15</v>
      </c>
      <c r="F9827" s="137" t="s">
        <v>24</v>
      </c>
      <c r="G9827" s="128" t="str">
        <f>VLOOKUP(source[[#This Row],[lending_product_transform]],[3]Mapping!$B$4:$C$37,2,0)</f>
        <v>[Cake] - Cashloan</v>
      </c>
      <c r="H9827" s="128" t="str">
        <f>VLOOKUP(source[[#This Row],[lending_product_transform]],[3]Mapping!$B$3:$D$37,3,0)</f>
        <v>cashloan</v>
      </c>
      <c r="I9827" s="143">
        <v>12451752000</v>
      </c>
    </row>
    <row r="9828" spans="1:9" x14ac:dyDescent="0.2">
      <c r="A9828" s="172">
        <v>45945</v>
      </c>
      <c r="B9828" s="135">
        <f>YEAR(source[[#This Row],[report_date]])</f>
        <v>2025</v>
      </c>
      <c r="C9828" s="128">
        <f t="shared" si="457"/>
        <v>10</v>
      </c>
      <c r="D9828" s="136">
        <f t="shared" si="459"/>
        <v>42</v>
      </c>
      <c r="E9828" s="136">
        <f t="shared" si="458"/>
        <v>15</v>
      </c>
      <c r="F9828" s="137" t="s">
        <v>24</v>
      </c>
      <c r="G9828" s="128" t="str">
        <f>VLOOKUP(source[[#This Row],[lending_product_transform]],[3]Mapping!$B$4:$C$37,2,0)</f>
        <v>[Cake] - Cashloan</v>
      </c>
      <c r="H9828" s="128" t="str">
        <f>VLOOKUP(source[[#This Row],[lending_product_transform]],[3]Mapping!$B$3:$D$37,3,0)</f>
        <v>cashloan</v>
      </c>
      <c r="I9828" s="143">
        <v>227598451</v>
      </c>
    </row>
    <row r="9829" spans="1:9" x14ac:dyDescent="0.2">
      <c r="A9829" s="172">
        <v>45945</v>
      </c>
      <c r="B9829" s="135">
        <f>YEAR(source[[#This Row],[report_date]])</f>
        <v>2025</v>
      </c>
      <c r="C9829" s="128">
        <f t="shared" si="457"/>
        <v>10</v>
      </c>
      <c r="D9829" s="136">
        <f t="shared" si="459"/>
        <v>42</v>
      </c>
      <c r="E9829" s="136">
        <f t="shared" si="458"/>
        <v>15</v>
      </c>
      <c r="F9829" s="137" t="s">
        <v>24</v>
      </c>
      <c r="G9829" s="128" t="str">
        <f>VLOOKUP(source[[#This Row],[lending_product_transform]],[3]Mapping!$B$4:$C$37,2,0)</f>
        <v>[Cake] - Cashloan</v>
      </c>
      <c r="H9829" s="128" t="str">
        <f>VLOOKUP(source[[#This Row],[lending_product_transform]],[3]Mapping!$B$3:$D$37,3,0)</f>
        <v>cashloan</v>
      </c>
      <c r="I9829" s="143">
        <v>14700000</v>
      </c>
    </row>
    <row r="9830" spans="1:9" x14ac:dyDescent="0.2">
      <c r="A9830" s="172">
        <v>45945</v>
      </c>
      <c r="B9830" s="135">
        <f>YEAR(source[[#This Row],[report_date]])</f>
        <v>2025</v>
      </c>
      <c r="C9830" s="128">
        <f t="shared" si="457"/>
        <v>10</v>
      </c>
      <c r="D9830" s="136">
        <f t="shared" si="459"/>
        <v>42</v>
      </c>
      <c r="E9830" s="136">
        <f t="shared" si="458"/>
        <v>15</v>
      </c>
      <c r="F9830" s="137" t="s">
        <v>24</v>
      </c>
      <c r="G9830" s="128" t="str">
        <f>VLOOKUP(source[[#This Row],[lending_product_transform]],[3]Mapping!$B$4:$C$37,2,0)</f>
        <v>[Cake] - Cashloan</v>
      </c>
      <c r="H9830" s="128" t="str">
        <f>VLOOKUP(source[[#This Row],[lending_product_transform]],[3]Mapping!$B$3:$D$37,3,0)</f>
        <v>cashloan</v>
      </c>
      <c r="I9830" s="143">
        <v>41000000</v>
      </c>
    </row>
    <row r="9831" spans="1:9" x14ac:dyDescent="0.2">
      <c r="A9831" s="172">
        <v>45945</v>
      </c>
      <c r="B9831" s="135">
        <f>YEAR(source[[#This Row],[report_date]])</f>
        <v>2025</v>
      </c>
      <c r="C9831" s="128">
        <f t="shared" si="457"/>
        <v>10</v>
      </c>
      <c r="D9831" s="136">
        <f t="shared" si="459"/>
        <v>42</v>
      </c>
      <c r="E9831" s="136">
        <f t="shared" si="458"/>
        <v>15</v>
      </c>
      <c r="F9831" s="137" t="s">
        <v>24</v>
      </c>
      <c r="G9831" s="128" t="str">
        <f>VLOOKUP(source[[#This Row],[lending_product_transform]],[3]Mapping!$B$4:$C$37,2,0)</f>
        <v>[Cake] - Cashloan</v>
      </c>
      <c r="H9831" s="128" t="str">
        <f>VLOOKUP(source[[#This Row],[lending_product_transform]],[3]Mapping!$B$3:$D$37,3,0)</f>
        <v>cashloan</v>
      </c>
      <c r="I9831" s="143">
        <v>425220000</v>
      </c>
    </row>
    <row r="9832" spans="1:9" x14ac:dyDescent="0.2">
      <c r="A9832" s="172">
        <v>45945</v>
      </c>
      <c r="B9832" s="135">
        <f>YEAR(source[[#This Row],[report_date]])</f>
        <v>2025</v>
      </c>
      <c r="C9832" s="128">
        <f t="shared" si="457"/>
        <v>10</v>
      </c>
      <c r="D9832" s="136">
        <f t="shared" si="459"/>
        <v>42</v>
      </c>
      <c r="E9832" s="136">
        <f t="shared" si="458"/>
        <v>15</v>
      </c>
      <c r="F9832" s="137" t="s">
        <v>24</v>
      </c>
      <c r="G9832" s="128" t="str">
        <f>VLOOKUP(source[[#This Row],[lending_product_transform]],[3]Mapping!$B$4:$C$37,2,0)</f>
        <v>[Cake] - Cashloan</v>
      </c>
      <c r="H9832" s="128" t="str">
        <f>VLOOKUP(source[[#This Row],[lending_product_transform]],[3]Mapping!$B$3:$D$37,3,0)</f>
        <v>cashloan</v>
      </c>
      <c r="I9832" s="143">
        <v>209520000</v>
      </c>
    </row>
    <row r="9833" spans="1:9" x14ac:dyDescent="0.2">
      <c r="A9833" s="172">
        <v>45945</v>
      </c>
      <c r="B9833" s="135">
        <f>YEAR(source[[#This Row],[report_date]])</f>
        <v>2025</v>
      </c>
      <c r="C9833" s="128">
        <f t="shared" si="457"/>
        <v>10</v>
      </c>
      <c r="D9833" s="136">
        <f t="shared" si="459"/>
        <v>42</v>
      </c>
      <c r="E9833" s="136">
        <f t="shared" si="458"/>
        <v>15</v>
      </c>
      <c r="F9833" s="137" t="s">
        <v>24</v>
      </c>
      <c r="G9833" s="128" t="str">
        <f>VLOOKUP(source[[#This Row],[lending_product_transform]],[3]Mapping!$B$4:$C$37,2,0)</f>
        <v>[Cake] - Cashloan</v>
      </c>
      <c r="H9833" s="128" t="str">
        <f>VLOOKUP(source[[#This Row],[lending_product_transform]],[3]Mapping!$B$3:$D$37,3,0)</f>
        <v>cashloan</v>
      </c>
      <c r="I9833" s="143">
        <v>378759729</v>
      </c>
    </row>
    <row r="9834" spans="1:9" x14ac:dyDescent="0.2">
      <c r="A9834" s="172">
        <v>45945</v>
      </c>
      <c r="B9834" s="135">
        <f>YEAR(source[[#This Row],[report_date]])</f>
        <v>2025</v>
      </c>
      <c r="C9834" s="128">
        <f t="shared" si="457"/>
        <v>10</v>
      </c>
      <c r="D9834" s="136">
        <f t="shared" si="459"/>
        <v>42</v>
      </c>
      <c r="E9834" s="136">
        <f t="shared" si="458"/>
        <v>15</v>
      </c>
      <c r="F9834" s="137" t="s">
        <v>24</v>
      </c>
      <c r="G9834" s="128" t="str">
        <f>VLOOKUP(source[[#This Row],[lending_product_transform]],[3]Mapping!$B$4:$C$37,2,0)</f>
        <v>[Cake] - Cashloan</v>
      </c>
      <c r="H9834" s="128" t="str">
        <f>VLOOKUP(source[[#This Row],[lending_product_transform]],[3]Mapping!$B$3:$D$37,3,0)</f>
        <v>cashloan</v>
      </c>
      <c r="I9834" s="143">
        <v>3542560000</v>
      </c>
    </row>
    <row r="9835" spans="1:9" x14ac:dyDescent="0.2">
      <c r="A9835" s="172">
        <v>45946</v>
      </c>
      <c r="B9835" s="135">
        <f>YEAR(source[[#This Row],[report_date]])</f>
        <v>2025</v>
      </c>
      <c r="C9835" s="128">
        <f t="shared" si="457"/>
        <v>10</v>
      </c>
      <c r="D9835" s="136">
        <f t="shared" si="459"/>
        <v>42</v>
      </c>
      <c r="E9835" s="136">
        <f t="shared" si="458"/>
        <v>16</v>
      </c>
      <c r="F9835" s="137" t="s">
        <v>24</v>
      </c>
      <c r="G9835" s="128" t="str">
        <f>VLOOKUP(source[[#This Row],[lending_product_transform]],[3]Mapping!$B$4:$C$37,2,0)</f>
        <v>[Cake] - Cashloan</v>
      </c>
      <c r="H9835" s="128" t="str">
        <f>VLOOKUP(source[[#This Row],[lending_product_transform]],[3]Mapping!$B$3:$D$37,3,0)</f>
        <v>cashloan</v>
      </c>
      <c r="I9835" s="143">
        <v>0</v>
      </c>
    </row>
    <row r="9836" spans="1:9" x14ac:dyDescent="0.2">
      <c r="A9836" s="172">
        <v>45946</v>
      </c>
      <c r="B9836" s="135">
        <f>YEAR(source[[#This Row],[report_date]])</f>
        <v>2025</v>
      </c>
      <c r="C9836" s="128">
        <f t="shared" si="457"/>
        <v>10</v>
      </c>
      <c r="D9836" s="136">
        <f t="shared" si="459"/>
        <v>42</v>
      </c>
      <c r="E9836" s="136">
        <f t="shared" si="458"/>
        <v>16</v>
      </c>
      <c r="F9836" s="137" t="s">
        <v>24</v>
      </c>
      <c r="G9836" s="128" t="str">
        <f>VLOOKUP(source[[#This Row],[lending_product_transform]],[3]Mapping!$B$4:$C$37,2,0)</f>
        <v>[Cake] - Cashloan</v>
      </c>
      <c r="H9836" s="128" t="str">
        <f>VLOOKUP(source[[#This Row],[lending_product_transform]],[3]Mapping!$B$3:$D$37,3,0)</f>
        <v>cashloan</v>
      </c>
      <c r="I9836" s="143">
        <v>282195806</v>
      </c>
    </row>
    <row r="9837" spans="1:9" x14ac:dyDescent="0.2">
      <c r="A9837" s="172">
        <v>45946</v>
      </c>
      <c r="B9837" s="135">
        <f>YEAR(source[[#This Row],[report_date]])</f>
        <v>2025</v>
      </c>
      <c r="C9837" s="128">
        <f t="shared" si="457"/>
        <v>10</v>
      </c>
      <c r="D9837" s="136">
        <f t="shared" si="459"/>
        <v>42</v>
      </c>
      <c r="E9837" s="136">
        <f t="shared" si="458"/>
        <v>16</v>
      </c>
      <c r="F9837" s="137" t="s">
        <v>24</v>
      </c>
      <c r="G9837" s="128" t="str">
        <f>VLOOKUP(source[[#This Row],[lending_product_transform]],[3]Mapping!$B$4:$C$37,2,0)</f>
        <v>[Cake] - Cashloan</v>
      </c>
      <c r="H9837" s="128" t="str">
        <f>VLOOKUP(source[[#This Row],[lending_product_transform]],[3]Mapping!$B$3:$D$37,3,0)</f>
        <v>cashloan</v>
      </c>
      <c r="I9837" s="143">
        <v>15427000000</v>
      </c>
    </row>
    <row r="9838" spans="1:9" x14ac:dyDescent="0.2">
      <c r="A9838" s="172">
        <v>45946</v>
      </c>
      <c r="B9838" s="135">
        <f>YEAR(source[[#This Row],[report_date]])</f>
        <v>2025</v>
      </c>
      <c r="C9838" s="128">
        <f t="shared" si="457"/>
        <v>10</v>
      </c>
      <c r="D9838" s="136">
        <f t="shared" si="459"/>
        <v>42</v>
      </c>
      <c r="E9838" s="136">
        <f t="shared" si="458"/>
        <v>16</v>
      </c>
      <c r="F9838" s="137" t="s">
        <v>24</v>
      </c>
      <c r="G9838" s="128" t="str">
        <f>VLOOKUP(source[[#This Row],[lending_product_transform]],[3]Mapping!$B$4:$C$37,2,0)</f>
        <v>[Cake] - Cashloan</v>
      </c>
      <c r="H9838" s="128" t="str">
        <f>VLOOKUP(source[[#This Row],[lending_product_transform]],[3]Mapping!$B$3:$D$37,3,0)</f>
        <v>cashloan</v>
      </c>
      <c r="I9838" s="143">
        <v>2595423261</v>
      </c>
    </row>
    <row r="9839" spans="1:9" x14ac:dyDescent="0.2">
      <c r="A9839" s="172">
        <v>45946</v>
      </c>
      <c r="B9839" s="135">
        <f>YEAR(source[[#This Row],[report_date]])</f>
        <v>2025</v>
      </c>
      <c r="C9839" s="128">
        <f t="shared" si="457"/>
        <v>10</v>
      </c>
      <c r="D9839" s="136">
        <f t="shared" si="459"/>
        <v>42</v>
      </c>
      <c r="E9839" s="136">
        <f t="shared" si="458"/>
        <v>16</v>
      </c>
      <c r="F9839" s="137" t="s">
        <v>24</v>
      </c>
      <c r="G9839" s="128" t="str">
        <f>VLOOKUP(source[[#This Row],[lending_product_transform]],[3]Mapping!$B$4:$C$37,2,0)</f>
        <v>[Cake] - Cashloan</v>
      </c>
      <c r="H9839" s="128" t="str">
        <f>VLOOKUP(source[[#This Row],[lending_product_transform]],[3]Mapping!$B$3:$D$37,3,0)</f>
        <v>cashloan</v>
      </c>
      <c r="I9839" s="143">
        <v>9405828000</v>
      </c>
    </row>
    <row r="9840" spans="1:9" x14ac:dyDescent="0.2">
      <c r="A9840" s="172">
        <v>45946</v>
      </c>
      <c r="B9840" s="135">
        <f>YEAR(source[[#This Row],[report_date]])</f>
        <v>2025</v>
      </c>
      <c r="C9840" s="128">
        <f t="shared" si="457"/>
        <v>10</v>
      </c>
      <c r="D9840" s="136">
        <f t="shared" si="459"/>
        <v>42</v>
      </c>
      <c r="E9840" s="136">
        <f t="shared" si="458"/>
        <v>16</v>
      </c>
      <c r="F9840" s="137" t="s">
        <v>24</v>
      </c>
      <c r="G9840" s="128" t="str">
        <f>VLOOKUP(source[[#This Row],[lending_product_transform]],[3]Mapping!$B$4:$C$37,2,0)</f>
        <v>[Cake] - Cashloan</v>
      </c>
      <c r="H9840" s="128" t="str">
        <f>VLOOKUP(source[[#This Row],[lending_product_transform]],[3]Mapping!$B$3:$D$37,3,0)</f>
        <v>cashloan</v>
      </c>
      <c r="I9840" s="143">
        <v>19702924</v>
      </c>
    </row>
    <row r="9841" spans="1:9" x14ac:dyDescent="0.2">
      <c r="A9841" s="172">
        <v>45946</v>
      </c>
      <c r="B9841" s="135">
        <f>YEAR(source[[#This Row],[report_date]])</f>
        <v>2025</v>
      </c>
      <c r="C9841" s="128">
        <f t="shared" si="457"/>
        <v>10</v>
      </c>
      <c r="D9841" s="136">
        <f t="shared" si="459"/>
        <v>42</v>
      </c>
      <c r="E9841" s="136">
        <f t="shared" si="458"/>
        <v>16</v>
      </c>
      <c r="F9841" s="137" t="s">
        <v>24</v>
      </c>
      <c r="G9841" s="128" t="str">
        <f>VLOOKUP(source[[#This Row],[lending_product_transform]],[3]Mapping!$B$4:$C$37,2,0)</f>
        <v>[Cake] - Cashloan</v>
      </c>
      <c r="H9841" s="128" t="str">
        <f>VLOOKUP(source[[#This Row],[lending_product_transform]],[3]Mapping!$B$3:$D$37,3,0)</f>
        <v>cashloan</v>
      </c>
      <c r="I9841" s="143">
        <v>3308500000</v>
      </c>
    </row>
    <row r="9842" spans="1:9" x14ac:dyDescent="0.2">
      <c r="A9842" s="172">
        <v>45946</v>
      </c>
      <c r="B9842" s="135">
        <f>YEAR(source[[#This Row],[report_date]])</f>
        <v>2025</v>
      </c>
      <c r="C9842" s="128">
        <f t="shared" si="457"/>
        <v>10</v>
      </c>
      <c r="D9842" s="136">
        <f t="shared" si="459"/>
        <v>42</v>
      </c>
      <c r="E9842" s="136">
        <f t="shared" si="458"/>
        <v>16</v>
      </c>
      <c r="F9842" s="137" t="s">
        <v>24</v>
      </c>
      <c r="G9842" s="128" t="str">
        <f>VLOOKUP(source[[#This Row],[lending_product_transform]],[3]Mapping!$B$4:$C$37,2,0)</f>
        <v>[Cake] - Cashloan</v>
      </c>
      <c r="H9842" s="128" t="str">
        <f>VLOOKUP(source[[#This Row],[lending_product_transform]],[3]Mapping!$B$3:$D$37,3,0)</f>
        <v>cashloan</v>
      </c>
      <c r="I9842" s="143">
        <v>6938000</v>
      </c>
    </row>
    <row r="9843" spans="1:9" x14ac:dyDescent="0.2">
      <c r="A9843" s="172">
        <v>45946</v>
      </c>
      <c r="B9843" s="135">
        <f>YEAR(source[[#This Row],[report_date]])</f>
        <v>2025</v>
      </c>
      <c r="C9843" s="128">
        <f t="shared" si="457"/>
        <v>10</v>
      </c>
      <c r="D9843" s="136">
        <f t="shared" si="459"/>
        <v>42</v>
      </c>
      <c r="E9843" s="136">
        <f t="shared" si="458"/>
        <v>16</v>
      </c>
      <c r="F9843" s="137" t="s">
        <v>24</v>
      </c>
      <c r="G9843" s="128" t="str">
        <f>VLOOKUP(source[[#This Row],[lending_product_transform]],[3]Mapping!$B$4:$C$37,2,0)</f>
        <v>[Cake] - Cashloan</v>
      </c>
      <c r="H9843" s="128" t="str">
        <f>VLOOKUP(source[[#This Row],[lending_product_transform]],[3]Mapping!$B$3:$D$37,3,0)</f>
        <v>cashloan</v>
      </c>
      <c r="I9843" s="143">
        <v>520766000</v>
      </c>
    </row>
    <row r="9844" spans="1:9" x14ac:dyDescent="0.2">
      <c r="A9844" s="172">
        <v>45946</v>
      </c>
      <c r="B9844" s="135">
        <f>YEAR(source[[#This Row],[report_date]])</f>
        <v>2025</v>
      </c>
      <c r="C9844" s="128">
        <f t="shared" si="457"/>
        <v>10</v>
      </c>
      <c r="D9844" s="136">
        <f t="shared" si="459"/>
        <v>42</v>
      </c>
      <c r="E9844" s="136">
        <f t="shared" si="458"/>
        <v>16</v>
      </c>
      <c r="F9844" s="137" t="s">
        <v>24</v>
      </c>
      <c r="G9844" s="128" t="str">
        <f>VLOOKUP(source[[#This Row],[lending_product_transform]],[3]Mapping!$B$4:$C$37,2,0)</f>
        <v>[Cake] - Cashloan</v>
      </c>
      <c r="H9844" s="128" t="str">
        <f>VLOOKUP(source[[#This Row],[lending_product_transform]],[3]Mapping!$B$3:$D$37,3,0)</f>
        <v>cashloan</v>
      </c>
      <c r="I9844" s="143">
        <v>0</v>
      </c>
    </row>
    <row r="9845" spans="1:9" x14ac:dyDescent="0.2">
      <c r="A9845" s="172">
        <v>45946</v>
      </c>
      <c r="B9845" s="135">
        <f>YEAR(source[[#This Row],[report_date]])</f>
        <v>2025</v>
      </c>
      <c r="C9845" s="128">
        <f t="shared" si="457"/>
        <v>10</v>
      </c>
      <c r="D9845" s="136">
        <f t="shared" si="459"/>
        <v>42</v>
      </c>
      <c r="E9845" s="136">
        <f t="shared" si="458"/>
        <v>16</v>
      </c>
      <c r="F9845" s="137" t="s">
        <v>24</v>
      </c>
      <c r="G9845" s="128" t="str">
        <f>VLOOKUP(source[[#This Row],[lending_product_transform]],[3]Mapping!$B$4:$C$37,2,0)</f>
        <v>[Cake] - Cashloan</v>
      </c>
      <c r="H9845" s="128" t="str">
        <f>VLOOKUP(source[[#This Row],[lending_product_transform]],[3]Mapping!$B$3:$D$37,3,0)</f>
        <v>cashloan</v>
      </c>
      <c r="I9845" s="143">
        <v>103500000</v>
      </c>
    </row>
    <row r="9846" spans="1:9" x14ac:dyDescent="0.2">
      <c r="A9846" s="172">
        <v>45946</v>
      </c>
      <c r="B9846" s="135">
        <f>YEAR(source[[#This Row],[report_date]])</f>
        <v>2025</v>
      </c>
      <c r="C9846" s="128">
        <f t="shared" ref="C9846:C9909" si="460">MONTH(A9846)</f>
        <v>10</v>
      </c>
      <c r="D9846" s="136">
        <f t="shared" si="459"/>
        <v>42</v>
      </c>
      <c r="E9846" s="136">
        <f t="shared" ref="E9846:E9909" si="461">DAY(A9846)</f>
        <v>16</v>
      </c>
      <c r="F9846" s="137" t="s">
        <v>24</v>
      </c>
      <c r="G9846" s="128" t="str">
        <f>VLOOKUP(source[[#This Row],[lending_product_transform]],[3]Mapping!$B$4:$C$37,2,0)</f>
        <v>[Cake] - Cashloan</v>
      </c>
      <c r="H9846" s="128" t="str">
        <f>VLOOKUP(source[[#This Row],[lending_product_transform]],[3]Mapping!$B$3:$D$37,3,0)</f>
        <v>cashloan</v>
      </c>
      <c r="I9846" s="143">
        <v>15543450000</v>
      </c>
    </row>
    <row r="9847" spans="1:9" x14ac:dyDescent="0.2">
      <c r="A9847" s="172">
        <v>45946</v>
      </c>
      <c r="B9847" s="135">
        <f>YEAR(source[[#This Row],[report_date]])</f>
        <v>2025</v>
      </c>
      <c r="C9847" s="128">
        <f t="shared" si="460"/>
        <v>10</v>
      </c>
      <c r="D9847" s="136">
        <f t="shared" si="459"/>
        <v>42</v>
      </c>
      <c r="E9847" s="136">
        <f t="shared" si="461"/>
        <v>16</v>
      </c>
      <c r="F9847" s="137" t="s">
        <v>24</v>
      </c>
      <c r="G9847" s="128" t="str">
        <f>VLOOKUP(source[[#This Row],[lending_product_transform]],[3]Mapping!$B$4:$C$37,2,0)</f>
        <v>[Cake] - Cashloan</v>
      </c>
      <c r="H9847" s="128" t="str">
        <f>VLOOKUP(source[[#This Row],[lending_product_transform]],[3]Mapping!$B$3:$D$37,3,0)</f>
        <v>cashloan</v>
      </c>
      <c r="I9847" s="143">
        <v>0</v>
      </c>
    </row>
    <row r="9848" spans="1:9" x14ac:dyDescent="0.2">
      <c r="A9848" s="172">
        <v>45946</v>
      </c>
      <c r="B9848" s="135">
        <f>YEAR(source[[#This Row],[report_date]])</f>
        <v>2025</v>
      </c>
      <c r="C9848" s="128">
        <f t="shared" si="460"/>
        <v>10</v>
      </c>
      <c r="D9848" s="136">
        <f t="shared" si="459"/>
        <v>42</v>
      </c>
      <c r="E9848" s="136">
        <f t="shared" si="461"/>
        <v>16</v>
      </c>
      <c r="F9848" s="137" t="s">
        <v>24</v>
      </c>
      <c r="G9848" s="128" t="str">
        <f>VLOOKUP(source[[#This Row],[lending_product_transform]],[3]Mapping!$B$4:$C$37,2,0)</f>
        <v>[Cake] - Cashloan</v>
      </c>
      <c r="H9848" s="128" t="str">
        <f>VLOOKUP(source[[#This Row],[lending_product_transform]],[3]Mapping!$B$3:$D$37,3,0)</f>
        <v>cashloan</v>
      </c>
      <c r="I9848" s="143">
        <v>0</v>
      </c>
    </row>
    <row r="9849" spans="1:9" x14ac:dyDescent="0.2">
      <c r="A9849" s="172">
        <v>45946</v>
      </c>
      <c r="B9849" s="135">
        <f>YEAR(source[[#This Row],[report_date]])</f>
        <v>2025</v>
      </c>
      <c r="C9849" s="128">
        <f t="shared" si="460"/>
        <v>10</v>
      </c>
      <c r="D9849" s="136">
        <f t="shared" si="459"/>
        <v>42</v>
      </c>
      <c r="E9849" s="136">
        <f t="shared" si="461"/>
        <v>16</v>
      </c>
      <c r="F9849" s="137" t="s">
        <v>24</v>
      </c>
      <c r="G9849" s="128" t="str">
        <f>VLOOKUP(source[[#This Row],[lending_product_transform]],[3]Mapping!$B$4:$C$37,2,0)</f>
        <v>[Cake] - Cashloan</v>
      </c>
      <c r="H9849" s="128" t="str">
        <f>VLOOKUP(source[[#This Row],[lending_product_transform]],[3]Mapping!$B$3:$D$37,3,0)</f>
        <v>cashloan</v>
      </c>
      <c r="I9849" s="143">
        <v>0</v>
      </c>
    </row>
    <row r="9850" spans="1:9" x14ac:dyDescent="0.2">
      <c r="A9850" s="172">
        <v>45946</v>
      </c>
      <c r="B9850" s="135">
        <f>YEAR(source[[#This Row],[report_date]])</f>
        <v>2025</v>
      </c>
      <c r="C9850" s="128">
        <f t="shared" si="460"/>
        <v>10</v>
      </c>
      <c r="D9850" s="136">
        <f t="shared" si="459"/>
        <v>42</v>
      </c>
      <c r="E9850" s="136">
        <f t="shared" si="461"/>
        <v>16</v>
      </c>
      <c r="F9850" s="137" t="s">
        <v>24</v>
      </c>
      <c r="G9850" s="128" t="str">
        <f>VLOOKUP(source[[#This Row],[lending_product_transform]],[3]Mapping!$B$4:$C$37,2,0)</f>
        <v>[Cake] - Cashloan</v>
      </c>
      <c r="H9850" s="128" t="str">
        <f>VLOOKUP(source[[#This Row],[lending_product_transform]],[3]Mapping!$B$3:$D$37,3,0)</f>
        <v>cashloan</v>
      </c>
      <c r="I9850" s="143">
        <v>0</v>
      </c>
    </row>
    <row r="9851" spans="1:9" x14ac:dyDescent="0.2">
      <c r="A9851" s="172">
        <v>45946</v>
      </c>
      <c r="B9851" s="135">
        <f>YEAR(source[[#This Row],[report_date]])</f>
        <v>2025</v>
      </c>
      <c r="C9851" s="128">
        <f t="shared" si="460"/>
        <v>10</v>
      </c>
      <c r="D9851" s="136">
        <f t="shared" si="459"/>
        <v>42</v>
      </c>
      <c r="E9851" s="136">
        <f t="shared" si="461"/>
        <v>16</v>
      </c>
      <c r="F9851" s="137" t="s">
        <v>24</v>
      </c>
      <c r="G9851" s="128" t="str">
        <f>VLOOKUP(source[[#This Row],[lending_product_transform]],[3]Mapping!$B$4:$C$37,2,0)</f>
        <v>[Cake] - Cashloan</v>
      </c>
      <c r="H9851" s="128" t="str">
        <f>VLOOKUP(source[[#This Row],[lending_product_transform]],[3]Mapping!$B$3:$D$37,3,0)</f>
        <v>cashloan</v>
      </c>
      <c r="I9851" s="143">
        <v>10993860000</v>
      </c>
    </row>
    <row r="9852" spans="1:9" x14ac:dyDescent="0.2">
      <c r="A9852" s="172">
        <v>45946</v>
      </c>
      <c r="B9852" s="135">
        <f>YEAR(source[[#This Row],[report_date]])</f>
        <v>2025</v>
      </c>
      <c r="C9852" s="128">
        <f t="shared" si="460"/>
        <v>10</v>
      </c>
      <c r="D9852" s="136">
        <f t="shared" si="459"/>
        <v>42</v>
      </c>
      <c r="E9852" s="136">
        <f t="shared" si="461"/>
        <v>16</v>
      </c>
      <c r="F9852" s="137" t="s">
        <v>24</v>
      </c>
      <c r="G9852" s="128" t="str">
        <f>VLOOKUP(source[[#This Row],[lending_product_transform]],[3]Mapping!$B$4:$C$37,2,0)</f>
        <v>[Cake] - Cashloan</v>
      </c>
      <c r="H9852" s="128" t="str">
        <f>VLOOKUP(source[[#This Row],[lending_product_transform]],[3]Mapping!$B$3:$D$37,3,0)</f>
        <v>cashloan</v>
      </c>
      <c r="I9852" s="143">
        <v>260863298</v>
      </c>
    </row>
    <row r="9853" spans="1:9" x14ac:dyDescent="0.2">
      <c r="A9853" s="172">
        <v>45946</v>
      </c>
      <c r="B9853" s="135">
        <f>YEAR(source[[#This Row],[report_date]])</f>
        <v>2025</v>
      </c>
      <c r="C9853" s="128">
        <f t="shared" si="460"/>
        <v>10</v>
      </c>
      <c r="D9853" s="136">
        <f t="shared" si="459"/>
        <v>42</v>
      </c>
      <c r="E9853" s="136">
        <f t="shared" si="461"/>
        <v>16</v>
      </c>
      <c r="F9853" s="137" t="s">
        <v>24</v>
      </c>
      <c r="G9853" s="128" t="str">
        <f>VLOOKUP(source[[#This Row],[lending_product_transform]],[3]Mapping!$B$4:$C$37,2,0)</f>
        <v>[Cake] - Cashloan</v>
      </c>
      <c r="H9853" s="128" t="str">
        <f>VLOOKUP(source[[#This Row],[lending_product_transform]],[3]Mapping!$B$3:$D$37,3,0)</f>
        <v>cashloan</v>
      </c>
      <c r="I9853" s="143">
        <v>35200000</v>
      </c>
    </row>
    <row r="9854" spans="1:9" x14ac:dyDescent="0.2">
      <c r="A9854" s="172">
        <v>45946</v>
      </c>
      <c r="B9854" s="135">
        <f>YEAR(source[[#This Row],[report_date]])</f>
        <v>2025</v>
      </c>
      <c r="C9854" s="128">
        <f t="shared" si="460"/>
        <v>10</v>
      </c>
      <c r="D9854" s="136">
        <f t="shared" si="459"/>
        <v>42</v>
      </c>
      <c r="E9854" s="136">
        <f t="shared" si="461"/>
        <v>16</v>
      </c>
      <c r="F9854" s="137" t="s">
        <v>24</v>
      </c>
      <c r="G9854" s="128" t="str">
        <f>VLOOKUP(source[[#This Row],[lending_product_transform]],[3]Mapping!$B$4:$C$37,2,0)</f>
        <v>[Cake] - Cashloan</v>
      </c>
      <c r="H9854" s="128" t="str">
        <f>VLOOKUP(source[[#This Row],[lending_product_transform]],[3]Mapping!$B$3:$D$37,3,0)</f>
        <v>cashloan</v>
      </c>
      <c r="I9854" s="143">
        <v>7000000</v>
      </c>
    </row>
    <row r="9855" spans="1:9" x14ac:dyDescent="0.2">
      <c r="A9855" s="172">
        <v>45946</v>
      </c>
      <c r="B9855" s="135">
        <f>YEAR(source[[#This Row],[report_date]])</f>
        <v>2025</v>
      </c>
      <c r="C9855" s="128">
        <f t="shared" si="460"/>
        <v>10</v>
      </c>
      <c r="D9855" s="136">
        <f t="shared" si="459"/>
        <v>42</v>
      </c>
      <c r="E9855" s="136">
        <f t="shared" si="461"/>
        <v>16</v>
      </c>
      <c r="F9855" s="137" t="s">
        <v>24</v>
      </c>
      <c r="G9855" s="128" t="str">
        <f>VLOOKUP(source[[#This Row],[lending_product_transform]],[3]Mapping!$B$4:$C$37,2,0)</f>
        <v>[Cake] - Cashloan</v>
      </c>
      <c r="H9855" s="128" t="str">
        <f>VLOOKUP(source[[#This Row],[lending_product_transform]],[3]Mapping!$B$3:$D$37,3,0)</f>
        <v>cashloan</v>
      </c>
      <c r="I9855" s="143">
        <v>1135990000</v>
      </c>
    </row>
    <row r="9856" spans="1:9" x14ac:dyDescent="0.2">
      <c r="A9856" s="172">
        <v>45946</v>
      </c>
      <c r="B9856" s="135">
        <f>YEAR(source[[#This Row],[report_date]])</f>
        <v>2025</v>
      </c>
      <c r="C9856" s="128">
        <f t="shared" si="460"/>
        <v>10</v>
      </c>
      <c r="D9856" s="136">
        <f t="shared" si="459"/>
        <v>42</v>
      </c>
      <c r="E9856" s="136">
        <f t="shared" si="461"/>
        <v>16</v>
      </c>
      <c r="F9856" s="137" t="s">
        <v>24</v>
      </c>
      <c r="G9856" s="128" t="str">
        <f>VLOOKUP(source[[#This Row],[lending_product_transform]],[3]Mapping!$B$4:$C$37,2,0)</f>
        <v>[Cake] - Cashloan</v>
      </c>
      <c r="H9856" s="128" t="str">
        <f>VLOOKUP(source[[#This Row],[lending_product_transform]],[3]Mapping!$B$3:$D$37,3,0)</f>
        <v>cashloan</v>
      </c>
      <c r="I9856" s="143">
        <v>206280000</v>
      </c>
    </row>
    <row r="9857" spans="1:9" x14ac:dyDescent="0.2">
      <c r="A9857" s="172">
        <v>45946</v>
      </c>
      <c r="B9857" s="135">
        <f>YEAR(source[[#This Row],[report_date]])</f>
        <v>2025</v>
      </c>
      <c r="C9857" s="128">
        <f t="shared" si="460"/>
        <v>10</v>
      </c>
      <c r="D9857" s="136">
        <f t="shared" si="459"/>
        <v>42</v>
      </c>
      <c r="E9857" s="136">
        <f t="shared" si="461"/>
        <v>16</v>
      </c>
      <c r="F9857" s="137" t="s">
        <v>24</v>
      </c>
      <c r="G9857" s="128" t="str">
        <f>VLOOKUP(source[[#This Row],[lending_product_transform]],[3]Mapping!$B$4:$C$37,2,0)</f>
        <v>[Cake] - Cashloan</v>
      </c>
      <c r="H9857" s="128" t="str">
        <f>VLOOKUP(source[[#This Row],[lending_product_transform]],[3]Mapping!$B$3:$D$37,3,0)</f>
        <v>cashloan</v>
      </c>
      <c r="I9857" s="143">
        <v>358107648</v>
      </c>
    </row>
    <row r="9858" spans="1:9" x14ac:dyDescent="0.2">
      <c r="A9858" s="172">
        <v>45946</v>
      </c>
      <c r="B9858" s="135">
        <f>YEAR(source[[#This Row],[report_date]])</f>
        <v>2025</v>
      </c>
      <c r="C9858" s="128">
        <f t="shared" si="460"/>
        <v>10</v>
      </c>
      <c r="D9858" s="136">
        <f t="shared" si="459"/>
        <v>42</v>
      </c>
      <c r="E9858" s="136">
        <f t="shared" si="461"/>
        <v>16</v>
      </c>
      <c r="F9858" s="137" t="s">
        <v>24</v>
      </c>
      <c r="G9858" s="128" t="str">
        <f>VLOOKUP(source[[#This Row],[lending_product_transform]],[3]Mapping!$B$4:$C$37,2,0)</f>
        <v>[Cake] - Cashloan</v>
      </c>
      <c r="H9858" s="128" t="str">
        <f>VLOOKUP(source[[#This Row],[lending_product_transform]],[3]Mapping!$B$3:$D$37,3,0)</f>
        <v>cashloan</v>
      </c>
      <c r="I9858" s="143">
        <v>3873740000</v>
      </c>
    </row>
    <row r="9859" spans="1:9" x14ac:dyDescent="0.2">
      <c r="A9859" s="172">
        <v>45947</v>
      </c>
      <c r="B9859" s="135">
        <f>YEAR(source[[#This Row],[report_date]])</f>
        <v>2025</v>
      </c>
      <c r="C9859" s="128">
        <f t="shared" si="460"/>
        <v>10</v>
      </c>
      <c r="D9859" s="136">
        <f t="shared" ref="D9859:D9922" si="462">WEEKNUM(A9859,2)</f>
        <v>42</v>
      </c>
      <c r="E9859" s="136">
        <f t="shared" si="461"/>
        <v>17</v>
      </c>
      <c r="F9859" s="137" t="s">
        <v>24</v>
      </c>
      <c r="G9859" s="128" t="str">
        <f>VLOOKUP(source[[#This Row],[lending_product_transform]],[3]Mapping!$B$4:$C$37,2,0)</f>
        <v>[Cake] - Cashloan</v>
      </c>
      <c r="H9859" s="128" t="str">
        <f>VLOOKUP(source[[#This Row],[lending_product_transform]],[3]Mapping!$B$3:$D$37,3,0)</f>
        <v>cashloan</v>
      </c>
      <c r="I9859" s="143">
        <v>0</v>
      </c>
    </row>
    <row r="9860" spans="1:9" x14ac:dyDescent="0.2">
      <c r="A9860" s="172">
        <v>45947</v>
      </c>
      <c r="B9860" s="135">
        <f>YEAR(source[[#This Row],[report_date]])</f>
        <v>2025</v>
      </c>
      <c r="C9860" s="128">
        <f t="shared" si="460"/>
        <v>10</v>
      </c>
      <c r="D9860" s="136">
        <f t="shared" si="462"/>
        <v>42</v>
      </c>
      <c r="E9860" s="136">
        <f t="shared" si="461"/>
        <v>17</v>
      </c>
      <c r="F9860" s="137" t="s">
        <v>24</v>
      </c>
      <c r="G9860" s="128" t="str">
        <f>VLOOKUP(source[[#This Row],[lending_product_transform]],[3]Mapping!$B$4:$C$37,2,0)</f>
        <v>[Cake] - Cashloan</v>
      </c>
      <c r="H9860" s="128" t="str">
        <f>VLOOKUP(source[[#This Row],[lending_product_transform]],[3]Mapping!$B$3:$D$37,3,0)</f>
        <v>cashloan</v>
      </c>
      <c r="I9860" s="143">
        <v>293151315</v>
      </c>
    </row>
    <row r="9861" spans="1:9" x14ac:dyDescent="0.2">
      <c r="A9861" s="172">
        <v>45947</v>
      </c>
      <c r="B9861" s="135">
        <f>YEAR(source[[#This Row],[report_date]])</f>
        <v>2025</v>
      </c>
      <c r="C9861" s="128">
        <f t="shared" si="460"/>
        <v>10</v>
      </c>
      <c r="D9861" s="136">
        <f t="shared" si="462"/>
        <v>42</v>
      </c>
      <c r="E9861" s="136">
        <f t="shared" si="461"/>
        <v>17</v>
      </c>
      <c r="F9861" s="137" t="s">
        <v>24</v>
      </c>
      <c r="G9861" s="128" t="str">
        <f>VLOOKUP(source[[#This Row],[lending_product_transform]],[3]Mapping!$B$4:$C$37,2,0)</f>
        <v>[Cake] - Cashloan</v>
      </c>
      <c r="H9861" s="128" t="str">
        <f>VLOOKUP(source[[#This Row],[lending_product_transform]],[3]Mapping!$B$3:$D$37,3,0)</f>
        <v>cashloan</v>
      </c>
      <c r="I9861" s="143">
        <v>16509740000</v>
      </c>
    </row>
    <row r="9862" spans="1:9" x14ac:dyDescent="0.2">
      <c r="A9862" s="172">
        <v>45947</v>
      </c>
      <c r="B9862" s="135">
        <f>YEAR(source[[#This Row],[report_date]])</f>
        <v>2025</v>
      </c>
      <c r="C9862" s="128">
        <f t="shared" si="460"/>
        <v>10</v>
      </c>
      <c r="D9862" s="136">
        <f t="shared" si="462"/>
        <v>42</v>
      </c>
      <c r="E9862" s="136">
        <f t="shared" si="461"/>
        <v>17</v>
      </c>
      <c r="F9862" s="137" t="s">
        <v>24</v>
      </c>
      <c r="G9862" s="128" t="str">
        <f>VLOOKUP(source[[#This Row],[lending_product_transform]],[3]Mapping!$B$4:$C$37,2,0)</f>
        <v>[Cake] - Cashloan</v>
      </c>
      <c r="H9862" s="128" t="str">
        <f>VLOOKUP(source[[#This Row],[lending_product_transform]],[3]Mapping!$B$3:$D$37,3,0)</f>
        <v>cashloan</v>
      </c>
      <c r="I9862" s="143">
        <v>2811762063</v>
      </c>
    </row>
    <row r="9863" spans="1:9" x14ac:dyDescent="0.2">
      <c r="A9863" s="172">
        <v>45947</v>
      </c>
      <c r="B9863" s="135">
        <f>YEAR(source[[#This Row],[report_date]])</f>
        <v>2025</v>
      </c>
      <c r="C9863" s="128">
        <f t="shared" si="460"/>
        <v>10</v>
      </c>
      <c r="D9863" s="136">
        <f t="shared" si="462"/>
        <v>42</v>
      </c>
      <c r="E9863" s="136">
        <f t="shared" si="461"/>
        <v>17</v>
      </c>
      <c r="F9863" s="137" t="s">
        <v>24</v>
      </c>
      <c r="G9863" s="128" t="str">
        <f>VLOOKUP(source[[#This Row],[lending_product_transform]],[3]Mapping!$B$4:$C$37,2,0)</f>
        <v>[Cake] - Cashloan</v>
      </c>
      <c r="H9863" s="128" t="str">
        <f>VLOOKUP(source[[#This Row],[lending_product_transform]],[3]Mapping!$B$3:$D$37,3,0)</f>
        <v>cashloan</v>
      </c>
      <c r="I9863" s="143">
        <v>8962272000</v>
      </c>
    </row>
    <row r="9864" spans="1:9" x14ac:dyDescent="0.2">
      <c r="A9864" s="172">
        <v>45947</v>
      </c>
      <c r="B9864" s="135">
        <f>YEAR(source[[#This Row],[report_date]])</f>
        <v>2025</v>
      </c>
      <c r="C9864" s="128">
        <f t="shared" si="460"/>
        <v>10</v>
      </c>
      <c r="D9864" s="136">
        <f t="shared" si="462"/>
        <v>42</v>
      </c>
      <c r="E9864" s="136">
        <f t="shared" si="461"/>
        <v>17</v>
      </c>
      <c r="F9864" s="137" t="s">
        <v>24</v>
      </c>
      <c r="G9864" s="128" t="str">
        <f>VLOOKUP(source[[#This Row],[lending_product_transform]],[3]Mapping!$B$4:$C$37,2,0)</f>
        <v>[Cake] - Cashloan</v>
      </c>
      <c r="H9864" s="128" t="str">
        <f>VLOOKUP(source[[#This Row],[lending_product_transform]],[3]Mapping!$B$3:$D$37,3,0)</f>
        <v>cashloan</v>
      </c>
      <c r="I9864" s="143">
        <v>8812163</v>
      </c>
    </row>
    <row r="9865" spans="1:9" x14ac:dyDescent="0.2">
      <c r="A9865" s="172">
        <v>45947</v>
      </c>
      <c r="B9865" s="135">
        <f>YEAR(source[[#This Row],[report_date]])</f>
        <v>2025</v>
      </c>
      <c r="C9865" s="128">
        <f t="shared" si="460"/>
        <v>10</v>
      </c>
      <c r="D9865" s="136">
        <f t="shared" si="462"/>
        <v>42</v>
      </c>
      <c r="E9865" s="136">
        <f t="shared" si="461"/>
        <v>17</v>
      </c>
      <c r="F9865" s="137" t="s">
        <v>24</v>
      </c>
      <c r="G9865" s="128" t="str">
        <f>VLOOKUP(source[[#This Row],[lending_product_transform]],[3]Mapping!$B$4:$C$37,2,0)</f>
        <v>[Cake] - Cashloan</v>
      </c>
      <c r="H9865" s="128" t="str">
        <f>VLOOKUP(source[[#This Row],[lending_product_transform]],[3]Mapping!$B$3:$D$37,3,0)</f>
        <v>cashloan</v>
      </c>
      <c r="I9865" s="143">
        <v>2650230000</v>
      </c>
    </row>
    <row r="9866" spans="1:9" x14ac:dyDescent="0.2">
      <c r="A9866" s="172">
        <v>45947</v>
      </c>
      <c r="B9866" s="135">
        <f>YEAR(source[[#This Row],[report_date]])</f>
        <v>2025</v>
      </c>
      <c r="C9866" s="128">
        <f t="shared" si="460"/>
        <v>10</v>
      </c>
      <c r="D9866" s="136">
        <f t="shared" si="462"/>
        <v>42</v>
      </c>
      <c r="E9866" s="136">
        <f t="shared" si="461"/>
        <v>17</v>
      </c>
      <c r="F9866" s="137" t="s">
        <v>24</v>
      </c>
      <c r="G9866" s="128" t="str">
        <f>VLOOKUP(source[[#This Row],[lending_product_transform]],[3]Mapping!$B$4:$C$37,2,0)</f>
        <v>[Cake] - Cashloan</v>
      </c>
      <c r="H9866" s="128" t="str">
        <f>VLOOKUP(source[[#This Row],[lending_product_transform]],[3]Mapping!$B$3:$D$37,3,0)</f>
        <v>cashloan</v>
      </c>
      <c r="I9866" s="143">
        <v>12508000</v>
      </c>
    </row>
    <row r="9867" spans="1:9" x14ac:dyDescent="0.2">
      <c r="A9867" s="172">
        <v>45947</v>
      </c>
      <c r="B9867" s="135">
        <f>YEAR(source[[#This Row],[report_date]])</f>
        <v>2025</v>
      </c>
      <c r="C9867" s="128">
        <f t="shared" si="460"/>
        <v>10</v>
      </c>
      <c r="D9867" s="136">
        <f t="shared" si="462"/>
        <v>42</v>
      </c>
      <c r="E9867" s="136">
        <f t="shared" si="461"/>
        <v>17</v>
      </c>
      <c r="F9867" s="137" t="s">
        <v>24</v>
      </c>
      <c r="G9867" s="128" t="str">
        <f>VLOOKUP(source[[#This Row],[lending_product_transform]],[3]Mapping!$B$4:$C$37,2,0)</f>
        <v>[Cake] - Cashloan</v>
      </c>
      <c r="H9867" s="128" t="str">
        <f>VLOOKUP(source[[#This Row],[lending_product_transform]],[3]Mapping!$B$3:$D$37,3,0)</f>
        <v>cashloan</v>
      </c>
      <c r="I9867" s="143">
        <v>678209485</v>
      </c>
    </row>
    <row r="9868" spans="1:9" x14ac:dyDescent="0.2">
      <c r="A9868" s="172">
        <v>45947</v>
      </c>
      <c r="B9868" s="135">
        <f>YEAR(source[[#This Row],[report_date]])</f>
        <v>2025</v>
      </c>
      <c r="C9868" s="128">
        <f t="shared" si="460"/>
        <v>10</v>
      </c>
      <c r="D9868" s="136">
        <f t="shared" si="462"/>
        <v>42</v>
      </c>
      <c r="E9868" s="136">
        <f t="shared" si="461"/>
        <v>17</v>
      </c>
      <c r="F9868" s="137" t="s">
        <v>24</v>
      </c>
      <c r="G9868" s="128" t="str">
        <f>VLOOKUP(source[[#This Row],[lending_product_transform]],[3]Mapping!$B$4:$C$37,2,0)</f>
        <v>[Cake] - Cashloan</v>
      </c>
      <c r="H9868" s="128" t="str">
        <f>VLOOKUP(source[[#This Row],[lending_product_transform]],[3]Mapping!$B$3:$D$37,3,0)</f>
        <v>cashloan</v>
      </c>
      <c r="I9868" s="143">
        <v>0</v>
      </c>
    </row>
    <row r="9869" spans="1:9" x14ac:dyDescent="0.2">
      <c r="A9869" s="172">
        <v>45947</v>
      </c>
      <c r="B9869" s="135">
        <f>YEAR(source[[#This Row],[report_date]])</f>
        <v>2025</v>
      </c>
      <c r="C9869" s="128">
        <f t="shared" si="460"/>
        <v>10</v>
      </c>
      <c r="D9869" s="136">
        <f t="shared" si="462"/>
        <v>42</v>
      </c>
      <c r="E9869" s="136">
        <f t="shared" si="461"/>
        <v>17</v>
      </c>
      <c r="F9869" s="137" t="s">
        <v>24</v>
      </c>
      <c r="G9869" s="128" t="str">
        <f>VLOOKUP(source[[#This Row],[lending_product_transform]],[3]Mapping!$B$4:$C$37,2,0)</f>
        <v>[Cake] - Cashloan</v>
      </c>
      <c r="H9869" s="128" t="str">
        <f>VLOOKUP(source[[#This Row],[lending_product_transform]],[3]Mapping!$B$3:$D$37,3,0)</f>
        <v>cashloan</v>
      </c>
      <c r="I9869" s="143">
        <v>232950000</v>
      </c>
    </row>
    <row r="9870" spans="1:9" x14ac:dyDescent="0.2">
      <c r="A9870" s="172">
        <v>45947</v>
      </c>
      <c r="B9870" s="135">
        <f>YEAR(source[[#This Row],[report_date]])</f>
        <v>2025</v>
      </c>
      <c r="C9870" s="128">
        <f t="shared" si="460"/>
        <v>10</v>
      </c>
      <c r="D9870" s="136">
        <f t="shared" si="462"/>
        <v>42</v>
      </c>
      <c r="E9870" s="136">
        <f t="shared" si="461"/>
        <v>17</v>
      </c>
      <c r="F9870" s="137" t="s">
        <v>24</v>
      </c>
      <c r="G9870" s="128" t="str">
        <f>VLOOKUP(source[[#This Row],[lending_product_transform]],[3]Mapping!$B$4:$C$37,2,0)</f>
        <v>[Cake] - Cashloan</v>
      </c>
      <c r="H9870" s="128" t="str">
        <f>VLOOKUP(source[[#This Row],[lending_product_transform]],[3]Mapping!$B$3:$D$37,3,0)</f>
        <v>cashloan</v>
      </c>
      <c r="I9870" s="143">
        <v>18644480000</v>
      </c>
    </row>
    <row r="9871" spans="1:9" x14ac:dyDescent="0.2">
      <c r="A9871" s="172">
        <v>45947</v>
      </c>
      <c r="B9871" s="135">
        <f>YEAR(source[[#This Row],[report_date]])</f>
        <v>2025</v>
      </c>
      <c r="C9871" s="128">
        <f t="shared" si="460"/>
        <v>10</v>
      </c>
      <c r="D9871" s="136">
        <f t="shared" si="462"/>
        <v>42</v>
      </c>
      <c r="E9871" s="136">
        <f t="shared" si="461"/>
        <v>17</v>
      </c>
      <c r="F9871" s="137" t="s">
        <v>24</v>
      </c>
      <c r="G9871" s="128" t="str">
        <f>VLOOKUP(source[[#This Row],[lending_product_transform]],[3]Mapping!$B$4:$C$37,2,0)</f>
        <v>[Cake] - Cashloan</v>
      </c>
      <c r="H9871" s="128" t="str">
        <f>VLOOKUP(source[[#This Row],[lending_product_transform]],[3]Mapping!$B$3:$D$37,3,0)</f>
        <v>cashloan</v>
      </c>
      <c r="I9871" s="143">
        <v>0</v>
      </c>
    </row>
    <row r="9872" spans="1:9" x14ac:dyDescent="0.2">
      <c r="A9872" s="172">
        <v>45947</v>
      </c>
      <c r="B9872" s="135">
        <f>YEAR(source[[#This Row],[report_date]])</f>
        <v>2025</v>
      </c>
      <c r="C9872" s="128">
        <f t="shared" si="460"/>
        <v>10</v>
      </c>
      <c r="D9872" s="136">
        <f t="shared" si="462"/>
        <v>42</v>
      </c>
      <c r="E9872" s="136">
        <f t="shared" si="461"/>
        <v>17</v>
      </c>
      <c r="F9872" s="137" t="s">
        <v>24</v>
      </c>
      <c r="G9872" s="128" t="str">
        <f>VLOOKUP(source[[#This Row],[lending_product_transform]],[3]Mapping!$B$4:$C$37,2,0)</f>
        <v>[Cake] - Cashloan</v>
      </c>
      <c r="H9872" s="128" t="str">
        <f>VLOOKUP(source[[#This Row],[lending_product_transform]],[3]Mapping!$B$3:$D$37,3,0)</f>
        <v>cashloan</v>
      </c>
      <c r="I9872" s="143">
        <v>0</v>
      </c>
    </row>
    <row r="9873" spans="1:9" x14ac:dyDescent="0.2">
      <c r="A9873" s="172">
        <v>45947</v>
      </c>
      <c r="B9873" s="135">
        <f>YEAR(source[[#This Row],[report_date]])</f>
        <v>2025</v>
      </c>
      <c r="C9873" s="128">
        <f t="shared" si="460"/>
        <v>10</v>
      </c>
      <c r="D9873" s="136">
        <f t="shared" si="462"/>
        <v>42</v>
      </c>
      <c r="E9873" s="136">
        <f t="shared" si="461"/>
        <v>17</v>
      </c>
      <c r="F9873" s="137" t="s">
        <v>24</v>
      </c>
      <c r="G9873" s="128" t="str">
        <f>VLOOKUP(source[[#This Row],[lending_product_transform]],[3]Mapping!$B$4:$C$37,2,0)</f>
        <v>[Cake] - Cashloan</v>
      </c>
      <c r="H9873" s="128" t="str">
        <f>VLOOKUP(source[[#This Row],[lending_product_transform]],[3]Mapping!$B$3:$D$37,3,0)</f>
        <v>cashloan</v>
      </c>
      <c r="I9873" s="143">
        <v>0</v>
      </c>
    </row>
    <row r="9874" spans="1:9" x14ac:dyDescent="0.2">
      <c r="A9874" s="172">
        <v>45947</v>
      </c>
      <c r="B9874" s="135">
        <f>YEAR(source[[#This Row],[report_date]])</f>
        <v>2025</v>
      </c>
      <c r="C9874" s="128">
        <f t="shared" si="460"/>
        <v>10</v>
      </c>
      <c r="D9874" s="136">
        <f t="shared" si="462"/>
        <v>42</v>
      </c>
      <c r="E9874" s="136">
        <f t="shared" si="461"/>
        <v>17</v>
      </c>
      <c r="F9874" s="137" t="s">
        <v>24</v>
      </c>
      <c r="G9874" s="128" t="str">
        <f>VLOOKUP(source[[#This Row],[lending_product_transform]],[3]Mapping!$B$4:$C$37,2,0)</f>
        <v>[Cake] - Cashloan</v>
      </c>
      <c r="H9874" s="128" t="str">
        <f>VLOOKUP(source[[#This Row],[lending_product_transform]],[3]Mapping!$B$3:$D$37,3,0)</f>
        <v>cashloan</v>
      </c>
      <c r="I9874" s="143">
        <v>0</v>
      </c>
    </row>
    <row r="9875" spans="1:9" x14ac:dyDescent="0.2">
      <c r="A9875" s="172">
        <v>45947</v>
      </c>
      <c r="B9875" s="135">
        <f>YEAR(source[[#This Row],[report_date]])</f>
        <v>2025</v>
      </c>
      <c r="C9875" s="128">
        <f t="shared" si="460"/>
        <v>10</v>
      </c>
      <c r="D9875" s="136">
        <f t="shared" si="462"/>
        <v>42</v>
      </c>
      <c r="E9875" s="136">
        <f t="shared" si="461"/>
        <v>17</v>
      </c>
      <c r="F9875" s="137" t="s">
        <v>24</v>
      </c>
      <c r="G9875" s="128" t="str">
        <f>VLOOKUP(source[[#This Row],[lending_product_transform]],[3]Mapping!$B$4:$C$37,2,0)</f>
        <v>[Cake] - Cashloan</v>
      </c>
      <c r="H9875" s="128" t="str">
        <f>VLOOKUP(source[[#This Row],[lending_product_transform]],[3]Mapping!$B$3:$D$37,3,0)</f>
        <v>cashloan</v>
      </c>
      <c r="I9875" s="143">
        <v>10908216000</v>
      </c>
    </row>
    <row r="9876" spans="1:9" x14ac:dyDescent="0.2">
      <c r="A9876" s="172">
        <v>45947</v>
      </c>
      <c r="B9876" s="135">
        <f>YEAR(source[[#This Row],[report_date]])</f>
        <v>2025</v>
      </c>
      <c r="C9876" s="128">
        <f t="shared" si="460"/>
        <v>10</v>
      </c>
      <c r="D9876" s="136">
        <f t="shared" si="462"/>
        <v>42</v>
      </c>
      <c r="E9876" s="136">
        <f t="shared" si="461"/>
        <v>17</v>
      </c>
      <c r="F9876" s="137" t="s">
        <v>24</v>
      </c>
      <c r="G9876" s="128" t="str">
        <f>VLOOKUP(source[[#This Row],[lending_product_transform]],[3]Mapping!$B$4:$C$37,2,0)</f>
        <v>[Cake] - Cashloan</v>
      </c>
      <c r="H9876" s="128" t="str">
        <f>VLOOKUP(source[[#This Row],[lending_product_transform]],[3]Mapping!$B$3:$D$37,3,0)</f>
        <v>cashloan</v>
      </c>
      <c r="I9876" s="143">
        <v>199015121</v>
      </c>
    </row>
    <row r="9877" spans="1:9" x14ac:dyDescent="0.2">
      <c r="A9877" s="172">
        <v>45947</v>
      </c>
      <c r="B9877" s="135">
        <f>YEAR(source[[#This Row],[report_date]])</f>
        <v>2025</v>
      </c>
      <c r="C9877" s="128">
        <f t="shared" si="460"/>
        <v>10</v>
      </c>
      <c r="D9877" s="136">
        <f t="shared" si="462"/>
        <v>42</v>
      </c>
      <c r="E9877" s="136">
        <f t="shared" si="461"/>
        <v>17</v>
      </c>
      <c r="F9877" s="137" t="s">
        <v>24</v>
      </c>
      <c r="G9877" s="128" t="str">
        <f>VLOOKUP(source[[#This Row],[lending_product_transform]],[3]Mapping!$B$4:$C$37,2,0)</f>
        <v>[Cake] - Cashloan</v>
      </c>
      <c r="H9877" s="128" t="str">
        <f>VLOOKUP(source[[#This Row],[lending_product_transform]],[3]Mapping!$B$3:$D$37,3,0)</f>
        <v>cashloan</v>
      </c>
      <c r="I9877" s="143">
        <v>30500000</v>
      </c>
    </row>
    <row r="9878" spans="1:9" x14ac:dyDescent="0.2">
      <c r="A9878" s="172">
        <v>45947</v>
      </c>
      <c r="B9878" s="135">
        <f>YEAR(source[[#This Row],[report_date]])</f>
        <v>2025</v>
      </c>
      <c r="C9878" s="128">
        <f t="shared" si="460"/>
        <v>10</v>
      </c>
      <c r="D9878" s="136">
        <f t="shared" si="462"/>
        <v>42</v>
      </c>
      <c r="E9878" s="136">
        <f t="shared" si="461"/>
        <v>17</v>
      </c>
      <c r="F9878" s="137" t="s">
        <v>24</v>
      </c>
      <c r="G9878" s="128" t="str">
        <f>VLOOKUP(source[[#This Row],[lending_product_transform]],[3]Mapping!$B$4:$C$37,2,0)</f>
        <v>[Cake] - Cashloan</v>
      </c>
      <c r="H9878" s="128" t="str">
        <f>VLOOKUP(source[[#This Row],[lending_product_transform]],[3]Mapping!$B$3:$D$37,3,0)</f>
        <v>cashloan</v>
      </c>
      <c r="I9878" s="143">
        <v>14000000</v>
      </c>
    </row>
    <row r="9879" spans="1:9" x14ac:dyDescent="0.2">
      <c r="A9879" s="172">
        <v>45947</v>
      </c>
      <c r="B9879" s="135">
        <f>YEAR(source[[#This Row],[report_date]])</f>
        <v>2025</v>
      </c>
      <c r="C9879" s="128">
        <f t="shared" si="460"/>
        <v>10</v>
      </c>
      <c r="D9879" s="136">
        <f t="shared" si="462"/>
        <v>42</v>
      </c>
      <c r="E9879" s="136">
        <f t="shared" si="461"/>
        <v>17</v>
      </c>
      <c r="F9879" s="137" t="s">
        <v>24</v>
      </c>
      <c r="G9879" s="128" t="str">
        <f>VLOOKUP(source[[#This Row],[lending_product_transform]],[3]Mapping!$B$4:$C$37,2,0)</f>
        <v>[Cake] - Cashloan</v>
      </c>
      <c r="H9879" s="128" t="str">
        <f>VLOOKUP(source[[#This Row],[lending_product_transform]],[3]Mapping!$B$3:$D$37,3,0)</f>
        <v>cashloan</v>
      </c>
      <c r="I9879" s="143">
        <v>858470000</v>
      </c>
    </row>
    <row r="9880" spans="1:9" x14ac:dyDescent="0.2">
      <c r="A9880" s="172">
        <v>45947</v>
      </c>
      <c r="B9880" s="135">
        <f>YEAR(source[[#This Row],[report_date]])</f>
        <v>2025</v>
      </c>
      <c r="C9880" s="128">
        <f t="shared" si="460"/>
        <v>10</v>
      </c>
      <c r="D9880" s="136">
        <f t="shared" si="462"/>
        <v>42</v>
      </c>
      <c r="E9880" s="136">
        <f t="shared" si="461"/>
        <v>17</v>
      </c>
      <c r="F9880" s="137" t="s">
        <v>24</v>
      </c>
      <c r="G9880" s="128" t="str">
        <f>VLOOKUP(source[[#This Row],[lending_product_transform]],[3]Mapping!$B$4:$C$37,2,0)</f>
        <v>[Cake] - Cashloan</v>
      </c>
      <c r="H9880" s="128" t="str">
        <f>VLOOKUP(source[[#This Row],[lending_product_transform]],[3]Mapping!$B$3:$D$37,3,0)</f>
        <v>cashloan</v>
      </c>
      <c r="I9880" s="143">
        <v>225720000</v>
      </c>
    </row>
    <row r="9881" spans="1:9" x14ac:dyDescent="0.2">
      <c r="A9881" s="172">
        <v>45947</v>
      </c>
      <c r="B9881" s="135">
        <f>YEAR(source[[#This Row],[report_date]])</f>
        <v>2025</v>
      </c>
      <c r="C9881" s="128">
        <f t="shared" si="460"/>
        <v>10</v>
      </c>
      <c r="D9881" s="136">
        <f t="shared" si="462"/>
        <v>42</v>
      </c>
      <c r="E9881" s="136">
        <f t="shared" si="461"/>
        <v>17</v>
      </c>
      <c r="F9881" s="137" t="s">
        <v>24</v>
      </c>
      <c r="G9881" s="128" t="str">
        <f>VLOOKUP(source[[#This Row],[lending_product_transform]],[3]Mapping!$B$4:$C$37,2,0)</f>
        <v>[Cake] - Cashloan</v>
      </c>
      <c r="H9881" s="128" t="str">
        <f>VLOOKUP(source[[#This Row],[lending_product_transform]],[3]Mapping!$B$3:$D$37,3,0)</f>
        <v>cashloan</v>
      </c>
      <c r="I9881" s="143">
        <v>306713719</v>
      </c>
    </row>
    <row r="9882" spans="1:9" x14ac:dyDescent="0.2">
      <c r="A9882" s="172">
        <v>45947</v>
      </c>
      <c r="B9882" s="135">
        <f>YEAR(source[[#This Row],[report_date]])</f>
        <v>2025</v>
      </c>
      <c r="C9882" s="128">
        <f t="shared" si="460"/>
        <v>10</v>
      </c>
      <c r="D9882" s="136">
        <f t="shared" si="462"/>
        <v>42</v>
      </c>
      <c r="E9882" s="136">
        <f t="shared" si="461"/>
        <v>17</v>
      </c>
      <c r="F9882" s="137" t="s">
        <v>24</v>
      </c>
      <c r="G9882" s="128" t="str">
        <f>VLOOKUP(source[[#This Row],[lending_product_transform]],[3]Mapping!$B$4:$C$37,2,0)</f>
        <v>[Cake] - Cashloan</v>
      </c>
      <c r="H9882" s="128" t="str">
        <f>VLOOKUP(source[[#This Row],[lending_product_transform]],[3]Mapping!$B$3:$D$37,3,0)</f>
        <v>cashloan</v>
      </c>
      <c r="I9882" s="143">
        <v>4513360000</v>
      </c>
    </row>
    <row r="9883" spans="1:9" x14ac:dyDescent="0.2">
      <c r="A9883" s="172">
        <v>45948</v>
      </c>
      <c r="B9883" s="135">
        <f>YEAR(source[[#This Row],[report_date]])</f>
        <v>2025</v>
      </c>
      <c r="C9883" s="128">
        <f t="shared" si="460"/>
        <v>10</v>
      </c>
      <c r="D9883" s="136">
        <f t="shared" si="462"/>
        <v>42</v>
      </c>
      <c r="E9883" s="136">
        <f t="shared" si="461"/>
        <v>18</v>
      </c>
      <c r="F9883" s="137" t="s">
        <v>24</v>
      </c>
      <c r="G9883" s="128" t="str">
        <f>VLOOKUP(source[[#This Row],[lending_product_transform]],[3]Mapping!$B$4:$C$37,2,0)</f>
        <v>[Cake] - Cashloan</v>
      </c>
      <c r="H9883" s="128" t="str">
        <f>VLOOKUP(source[[#This Row],[lending_product_transform]],[3]Mapping!$B$3:$D$37,3,0)</f>
        <v>cashloan</v>
      </c>
      <c r="I9883" s="143">
        <v>0</v>
      </c>
    </row>
    <row r="9884" spans="1:9" x14ac:dyDescent="0.2">
      <c r="A9884" s="172">
        <v>45948</v>
      </c>
      <c r="B9884" s="135">
        <f>YEAR(source[[#This Row],[report_date]])</f>
        <v>2025</v>
      </c>
      <c r="C9884" s="128">
        <f t="shared" si="460"/>
        <v>10</v>
      </c>
      <c r="D9884" s="136">
        <f t="shared" si="462"/>
        <v>42</v>
      </c>
      <c r="E9884" s="136">
        <f t="shared" si="461"/>
        <v>18</v>
      </c>
      <c r="F9884" s="137" t="s">
        <v>24</v>
      </c>
      <c r="G9884" s="128" t="str">
        <f>VLOOKUP(source[[#This Row],[lending_product_transform]],[3]Mapping!$B$4:$C$37,2,0)</f>
        <v>[Cake] - Cashloan</v>
      </c>
      <c r="H9884" s="128" t="str">
        <f>VLOOKUP(source[[#This Row],[lending_product_transform]],[3]Mapping!$B$3:$D$37,3,0)</f>
        <v>cashloan</v>
      </c>
      <c r="I9884" s="143">
        <v>276629428</v>
      </c>
    </row>
    <row r="9885" spans="1:9" x14ac:dyDescent="0.2">
      <c r="A9885" s="172">
        <v>45948</v>
      </c>
      <c r="B9885" s="135">
        <f>YEAR(source[[#This Row],[report_date]])</f>
        <v>2025</v>
      </c>
      <c r="C9885" s="128">
        <f t="shared" si="460"/>
        <v>10</v>
      </c>
      <c r="D9885" s="136">
        <f t="shared" si="462"/>
        <v>42</v>
      </c>
      <c r="E9885" s="136">
        <f t="shared" si="461"/>
        <v>18</v>
      </c>
      <c r="F9885" s="137" t="s">
        <v>24</v>
      </c>
      <c r="G9885" s="128" t="str">
        <f>VLOOKUP(source[[#This Row],[lending_product_transform]],[3]Mapping!$B$4:$C$37,2,0)</f>
        <v>[Cake] - Cashloan</v>
      </c>
      <c r="H9885" s="128" t="str">
        <f>VLOOKUP(source[[#This Row],[lending_product_transform]],[3]Mapping!$B$3:$D$37,3,0)</f>
        <v>cashloan</v>
      </c>
      <c r="I9885" s="143">
        <v>14670990000</v>
      </c>
    </row>
    <row r="9886" spans="1:9" x14ac:dyDescent="0.2">
      <c r="A9886" s="172">
        <v>45948</v>
      </c>
      <c r="B9886" s="135">
        <f>YEAR(source[[#This Row],[report_date]])</f>
        <v>2025</v>
      </c>
      <c r="C9886" s="128">
        <f t="shared" si="460"/>
        <v>10</v>
      </c>
      <c r="D9886" s="136">
        <f t="shared" si="462"/>
        <v>42</v>
      </c>
      <c r="E9886" s="136">
        <f t="shared" si="461"/>
        <v>18</v>
      </c>
      <c r="F9886" s="137" t="s">
        <v>24</v>
      </c>
      <c r="G9886" s="128" t="str">
        <f>VLOOKUP(source[[#This Row],[lending_product_transform]],[3]Mapping!$B$4:$C$37,2,0)</f>
        <v>[Cake] - Cashloan</v>
      </c>
      <c r="H9886" s="128" t="str">
        <f>VLOOKUP(source[[#This Row],[lending_product_transform]],[3]Mapping!$B$3:$D$37,3,0)</f>
        <v>cashloan</v>
      </c>
      <c r="I9886" s="143">
        <v>2164433071</v>
      </c>
    </row>
    <row r="9887" spans="1:9" x14ac:dyDescent="0.2">
      <c r="A9887" s="172">
        <v>45948</v>
      </c>
      <c r="B9887" s="135">
        <f>YEAR(source[[#This Row],[report_date]])</f>
        <v>2025</v>
      </c>
      <c r="C9887" s="128">
        <f t="shared" si="460"/>
        <v>10</v>
      </c>
      <c r="D9887" s="136">
        <f t="shared" si="462"/>
        <v>42</v>
      </c>
      <c r="E9887" s="136">
        <f t="shared" si="461"/>
        <v>18</v>
      </c>
      <c r="F9887" s="137" t="s">
        <v>24</v>
      </c>
      <c r="G9887" s="128" t="str">
        <f>VLOOKUP(source[[#This Row],[lending_product_transform]],[3]Mapping!$B$4:$C$37,2,0)</f>
        <v>[Cake] - Cashloan</v>
      </c>
      <c r="H9887" s="128" t="str">
        <f>VLOOKUP(source[[#This Row],[lending_product_transform]],[3]Mapping!$B$3:$D$37,3,0)</f>
        <v>cashloan</v>
      </c>
      <c r="I9887" s="143">
        <v>8384472000</v>
      </c>
    </row>
    <row r="9888" spans="1:9" x14ac:dyDescent="0.2">
      <c r="A9888" s="172">
        <v>45948</v>
      </c>
      <c r="B9888" s="135">
        <f>YEAR(source[[#This Row],[report_date]])</f>
        <v>2025</v>
      </c>
      <c r="C9888" s="128">
        <f t="shared" si="460"/>
        <v>10</v>
      </c>
      <c r="D9888" s="136">
        <f t="shared" si="462"/>
        <v>42</v>
      </c>
      <c r="E9888" s="136">
        <f t="shared" si="461"/>
        <v>18</v>
      </c>
      <c r="F9888" s="137" t="s">
        <v>24</v>
      </c>
      <c r="G9888" s="128" t="str">
        <f>VLOOKUP(source[[#This Row],[lending_product_transform]],[3]Mapping!$B$4:$C$37,2,0)</f>
        <v>[Cake] - Cashloan</v>
      </c>
      <c r="H9888" s="128" t="str">
        <f>VLOOKUP(source[[#This Row],[lending_product_transform]],[3]Mapping!$B$3:$D$37,3,0)</f>
        <v>cashloan</v>
      </c>
      <c r="I9888" s="143">
        <v>8639604</v>
      </c>
    </row>
    <row r="9889" spans="1:9" x14ac:dyDescent="0.2">
      <c r="A9889" s="172">
        <v>45948</v>
      </c>
      <c r="B9889" s="135">
        <f>YEAR(source[[#This Row],[report_date]])</f>
        <v>2025</v>
      </c>
      <c r="C9889" s="128">
        <f t="shared" si="460"/>
        <v>10</v>
      </c>
      <c r="D9889" s="136">
        <f t="shared" si="462"/>
        <v>42</v>
      </c>
      <c r="E9889" s="136">
        <f t="shared" si="461"/>
        <v>18</v>
      </c>
      <c r="F9889" s="137" t="s">
        <v>24</v>
      </c>
      <c r="G9889" s="128" t="str">
        <f>VLOOKUP(source[[#This Row],[lending_product_transform]],[3]Mapping!$B$4:$C$37,2,0)</f>
        <v>[Cake] - Cashloan</v>
      </c>
      <c r="H9889" s="128" t="str">
        <f>VLOOKUP(source[[#This Row],[lending_product_transform]],[3]Mapping!$B$3:$D$37,3,0)</f>
        <v>cashloan</v>
      </c>
      <c r="I9889" s="143">
        <v>2828980000</v>
      </c>
    </row>
    <row r="9890" spans="1:9" x14ac:dyDescent="0.2">
      <c r="A9890" s="172">
        <v>45948</v>
      </c>
      <c r="B9890" s="135">
        <f>YEAR(source[[#This Row],[report_date]])</f>
        <v>2025</v>
      </c>
      <c r="C9890" s="128">
        <f t="shared" si="460"/>
        <v>10</v>
      </c>
      <c r="D9890" s="136">
        <f t="shared" si="462"/>
        <v>42</v>
      </c>
      <c r="E9890" s="136">
        <f t="shared" si="461"/>
        <v>18</v>
      </c>
      <c r="F9890" s="137" t="s">
        <v>24</v>
      </c>
      <c r="G9890" s="128" t="str">
        <f>VLOOKUP(source[[#This Row],[lending_product_transform]],[3]Mapping!$B$4:$C$37,2,0)</f>
        <v>[Cake] - Cashloan</v>
      </c>
      <c r="H9890" s="128" t="str">
        <f>VLOOKUP(source[[#This Row],[lending_product_transform]],[3]Mapping!$B$3:$D$37,3,0)</f>
        <v>cashloan</v>
      </c>
      <c r="I9890" s="143">
        <v>9537000</v>
      </c>
    </row>
    <row r="9891" spans="1:9" x14ac:dyDescent="0.2">
      <c r="A9891" s="172">
        <v>45948</v>
      </c>
      <c r="B9891" s="135">
        <f>YEAR(source[[#This Row],[report_date]])</f>
        <v>2025</v>
      </c>
      <c r="C9891" s="128">
        <f t="shared" si="460"/>
        <v>10</v>
      </c>
      <c r="D9891" s="136">
        <f t="shared" si="462"/>
        <v>42</v>
      </c>
      <c r="E9891" s="136">
        <f t="shared" si="461"/>
        <v>18</v>
      </c>
      <c r="F9891" s="137" t="s">
        <v>24</v>
      </c>
      <c r="G9891" s="128" t="str">
        <f>VLOOKUP(source[[#This Row],[lending_product_transform]],[3]Mapping!$B$4:$C$37,2,0)</f>
        <v>[Cake] - Cashloan</v>
      </c>
      <c r="H9891" s="128" t="str">
        <f>VLOOKUP(source[[#This Row],[lending_product_transform]],[3]Mapping!$B$3:$D$37,3,0)</f>
        <v>cashloan</v>
      </c>
      <c r="I9891" s="143">
        <v>677012000</v>
      </c>
    </row>
    <row r="9892" spans="1:9" x14ac:dyDescent="0.2">
      <c r="A9892" s="172">
        <v>45948</v>
      </c>
      <c r="B9892" s="135">
        <f>YEAR(source[[#This Row],[report_date]])</f>
        <v>2025</v>
      </c>
      <c r="C9892" s="128">
        <f t="shared" si="460"/>
        <v>10</v>
      </c>
      <c r="D9892" s="136">
        <f t="shared" si="462"/>
        <v>42</v>
      </c>
      <c r="E9892" s="136">
        <f t="shared" si="461"/>
        <v>18</v>
      </c>
      <c r="F9892" s="137" t="s">
        <v>24</v>
      </c>
      <c r="G9892" s="128" t="str">
        <f>VLOOKUP(source[[#This Row],[lending_product_transform]],[3]Mapping!$B$4:$C$37,2,0)</f>
        <v>[Cake] - Cashloan</v>
      </c>
      <c r="H9892" s="128" t="str">
        <f>VLOOKUP(source[[#This Row],[lending_product_transform]],[3]Mapping!$B$3:$D$37,3,0)</f>
        <v>cashloan</v>
      </c>
      <c r="I9892" s="143">
        <v>0</v>
      </c>
    </row>
    <row r="9893" spans="1:9" x14ac:dyDescent="0.2">
      <c r="A9893" s="172">
        <v>45948</v>
      </c>
      <c r="B9893" s="135">
        <f>YEAR(source[[#This Row],[report_date]])</f>
        <v>2025</v>
      </c>
      <c r="C9893" s="128">
        <f t="shared" si="460"/>
        <v>10</v>
      </c>
      <c r="D9893" s="136">
        <f t="shared" si="462"/>
        <v>42</v>
      </c>
      <c r="E9893" s="136">
        <f t="shared" si="461"/>
        <v>18</v>
      </c>
      <c r="F9893" s="137" t="s">
        <v>24</v>
      </c>
      <c r="G9893" s="128" t="str">
        <f>VLOOKUP(source[[#This Row],[lending_product_transform]],[3]Mapping!$B$4:$C$37,2,0)</f>
        <v>[Cake] - Cashloan</v>
      </c>
      <c r="H9893" s="128" t="str">
        <f>VLOOKUP(source[[#This Row],[lending_product_transform]],[3]Mapping!$B$3:$D$37,3,0)</f>
        <v>cashloan</v>
      </c>
      <c r="I9893" s="143">
        <v>181750000</v>
      </c>
    </row>
    <row r="9894" spans="1:9" x14ac:dyDescent="0.2">
      <c r="A9894" s="172">
        <v>45948</v>
      </c>
      <c r="B9894" s="135">
        <f>YEAR(source[[#This Row],[report_date]])</f>
        <v>2025</v>
      </c>
      <c r="C9894" s="128">
        <f t="shared" si="460"/>
        <v>10</v>
      </c>
      <c r="D9894" s="136">
        <f t="shared" si="462"/>
        <v>42</v>
      </c>
      <c r="E9894" s="136">
        <f t="shared" si="461"/>
        <v>18</v>
      </c>
      <c r="F9894" s="137" t="s">
        <v>24</v>
      </c>
      <c r="G9894" s="128" t="str">
        <f>VLOOKUP(source[[#This Row],[lending_product_transform]],[3]Mapping!$B$4:$C$37,2,0)</f>
        <v>[Cake] - Cashloan</v>
      </c>
      <c r="H9894" s="128" t="str">
        <f>VLOOKUP(source[[#This Row],[lending_product_transform]],[3]Mapping!$B$3:$D$37,3,0)</f>
        <v>cashloan</v>
      </c>
      <c r="I9894" s="143">
        <v>15969700000</v>
      </c>
    </row>
    <row r="9895" spans="1:9" x14ac:dyDescent="0.2">
      <c r="A9895" s="172">
        <v>45948</v>
      </c>
      <c r="B9895" s="135">
        <f>YEAR(source[[#This Row],[report_date]])</f>
        <v>2025</v>
      </c>
      <c r="C9895" s="128">
        <f t="shared" si="460"/>
        <v>10</v>
      </c>
      <c r="D9895" s="136">
        <f t="shared" si="462"/>
        <v>42</v>
      </c>
      <c r="E9895" s="136">
        <f t="shared" si="461"/>
        <v>18</v>
      </c>
      <c r="F9895" s="137" t="s">
        <v>24</v>
      </c>
      <c r="G9895" s="128" t="str">
        <f>VLOOKUP(source[[#This Row],[lending_product_transform]],[3]Mapping!$B$4:$C$37,2,0)</f>
        <v>[Cake] - Cashloan</v>
      </c>
      <c r="H9895" s="128" t="str">
        <f>VLOOKUP(source[[#This Row],[lending_product_transform]],[3]Mapping!$B$3:$D$37,3,0)</f>
        <v>cashloan</v>
      </c>
      <c r="I9895" s="143">
        <v>0</v>
      </c>
    </row>
    <row r="9896" spans="1:9" x14ac:dyDescent="0.2">
      <c r="A9896" s="172">
        <v>45948</v>
      </c>
      <c r="B9896" s="135">
        <f>YEAR(source[[#This Row],[report_date]])</f>
        <v>2025</v>
      </c>
      <c r="C9896" s="128">
        <f t="shared" si="460"/>
        <v>10</v>
      </c>
      <c r="D9896" s="136">
        <f t="shared" si="462"/>
        <v>42</v>
      </c>
      <c r="E9896" s="136">
        <f t="shared" si="461"/>
        <v>18</v>
      </c>
      <c r="F9896" s="137" t="s">
        <v>24</v>
      </c>
      <c r="G9896" s="128" t="str">
        <f>VLOOKUP(source[[#This Row],[lending_product_transform]],[3]Mapping!$B$4:$C$37,2,0)</f>
        <v>[Cake] - Cashloan</v>
      </c>
      <c r="H9896" s="128" t="str">
        <f>VLOOKUP(source[[#This Row],[lending_product_transform]],[3]Mapping!$B$3:$D$37,3,0)</f>
        <v>cashloan</v>
      </c>
      <c r="I9896" s="143">
        <v>0</v>
      </c>
    </row>
    <row r="9897" spans="1:9" x14ac:dyDescent="0.2">
      <c r="A9897" s="172">
        <v>45948</v>
      </c>
      <c r="B9897" s="135">
        <f>YEAR(source[[#This Row],[report_date]])</f>
        <v>2025</v>
      </c>
      <c r="C9897" s="128">
        <f t="shared" si="460"/>
        <v>10</v>
      </c>
      <c r="D9897" s="136">
        <f t="shared" si="462"/>
        <v>42</v>
      </c>
      <c r="E9897" s="136">
        <f t="shared" si="461"/>
        <v>18</v>
      </c>
      <c r="F9897" s="137" t="s">
        <v>24</v>
      </c>
      <c r="G9897" s="128" t="str">
        <f>VLOOKUP(source[[#This Row],[lending_product_transform]],[3]Mapping!$B$4:$C$37,2,0)</f>
        <v>[Cake] - Cashloan</v>
      </c>
      <c r="H9897" s="128" t="str">
        <f>VLOOKUP(source[[#This Row],[lending_product_transform]],[3]Mapping!$B$3:$D$37,3,0)</f>
        <v>cashloan</v>
      </c>
      <c r="I9897" s="143">
        <v>0</v>
      </c>
    </row>
    <row r="9898" spans="1:9" x14ac:dyDescent="0.2">
      <c r="A9898" s="172">
        <v>45948</v>
      </c>
      <c r="B9898" s="135">
        <f>YEAR(source[[#This Row],[report_date]])</f>
        <v>2025</v>
      </c>
      <c r="C9898" s="128">
        <f t="shared" si="460"/>
        <v>10</v>
      </c>
      <c r="D9898" s="136">
        <f t="shared" si="462"/>
        <v>42</v>
      </c>
      <c r="E9898" s="136">
        <f t="shared" si="461"/>
        <v>18</v>
      </c>
      <c r="F9898" s="137" t="s">
        <v>24</v>
      </c>
      <c r="G9898" s="128" t="str">
        <f>VLOOKUP(source[[#This Row],[lending_product_transform]],[3]Mapping!$B$4:$C$37,2,0)</f>
        <v>[Cake] - Cashloan</v>
      </c>
      <c r="H9898" s="128" t="str">
        <f>VLOOKUP(source[[#This Row],[lending_product_transform]],[3]Mapping!$B$3:$D$37,3,0)</f>
        <v>cashloan</v>
      </c>
      <c r="I9898" s="143">
        <v>0</v>
      </c>
    </row>
    <row r="9899" spans="1:9" x14ac:dyDescent="0.2">
      <c r="A9899" s="172">
        <v>45948</v>
      </c>
      <c r="B9899" s="135">
        <f>YEAR(source[[#This Row],[report_date]])</f>
        <v>2025</v>
      </c>
      <c r="C9899" s="128">
        <f t="shared" si="460"/>
        <v>10</v>
      </c>
      <c r="D9899" s="136">
        <f t="shared" si="462"/>
        <v>42</v>
      </c>
      <c r="E9899" s="136">
        <f t="shared" si="461"/>
        <v>18</v>
      </c>
      <c r="F9899" s="137" t="s">
        <v>24</v>
      </c>
      <c r="G9899" s="128" t="str">
        <f>VLOOKUP(source[[#This Row],[lending_product_transform]],[3]Mapping!$B$4:$C$37,2,0)</f>
        <v>[Cake] - Cashloan</v>
      </c>
      <c r="H9899" s="128" t="str">
        <f>VLOOKUP(source[[#This Row],[lending_product_transform]],[3]Mapping!$B$3:$D$37,3,0)</f>
        <v>cashloan</v>
      </c>
      <c r="I9899" s="143">
        <v>10441980000</v>
      </c>
    </row>
    <row r="9900" spans="1:9" x14ac:dyDescent="0.2">
      <c r="A9900" s="172">
        <v>45948</v>
      </c>
      <c r="B9900" s="135">
        <f>YEAR(source[[#This Row],[report_date]])</f>
        <v>2025</v>
      </c>
      <c r="C9900" s="128">
        <f t="shared" si="460"/>
        <v>10</v>
      </c>
      <c r="D9900" s="136">
        <f t="shared" si="462"/>
        <v>42</v>
      </c>
      <c r="E9900" s="136">
        <f t="shared" si="461"/>
        <v>18</v>
      </c>
      <c r="F9900" s="137" t="s">
        <v>24</v>
      </c>
      <c r="G9900" s="128" t="str">
        <f>VLOOKUP(source[[#This Row],[lending_product_transform]],[3]Mapping!$B$4:$C$37,2,0)</f>
        <v>[Cake] - Cashloan</v>
      </c>
      <c r="H9900" s="128" t="str">
        <f>VLOOKUP(source[[#This Row],[lending_product_transform]],[3]Mapping!$B$3:$D$37,3,0)</f>
        <v>cashloan</v>
      </c>
      <c r="I9900" s="143">
        <v>192993523</v>
      </c>
    </row>
    <row r="9901" spans="1:9" x14ac:dyDescent="0.2">
      <c r="A9901" s="172">
        <v>45948</v>
      </c>
      <c r="B9901" s="135">
        <f>YEAR(source[[#This Row],[report_date]])</f>
        <v>2025</v>
      </c>
      <c r="C9901" s="128">
        <f t="shared" si="460"/>
        <v>10</v>
      </c>
      <c r="D9901" s="136">
        <f t="shared" si="462"/>
        <v>42</v>
      </c>
      <c r="E9901" s="136">
        <f t="shared" si="461"/>
        <v>18</v>
      </c>
      <c r="F9901" s="137" t="s">
        <v>24</v>
      </c>
      <c r="G9901" s="128" t="str">
        <f>VLOOKUP(source[[#This Row],[lending_product_transform]],[3]Mapping!$B$4:$C$37,2,0)</f>
        <v>[Cake] - Cashloan</v>
      </c>
      <c r="H9901" s="128" t="str">
        <f>VLOOKUP(source[[#This Row],[lending_product_transform]],[3]Mapping!$B$3:$D$37,3,0)</f>
        <v>cashloan</v>
      </c>
      <c r="I9901" s="143">
        <v>35750000</v>
      </c>
    </row>
    <row r="9902" spans="1:9" x14ac:dyDescent="0.2">
      <c r="A9902" s="172">
        <v>45948</v>
      </c>
      <c r="B9902" s="135">
        <f>YEAR(source[[#This Row],[report_date]])</f>
        <v>2025</v>
      </c>
      <c r="C9902" s="128">
        <f t="shared" si="460"/>
        <v>10</v>
      </c>
      <c r="D9902" s="136">
        <f t="shared" si="462"/>
        <v>42</v>
      </c>
      <c r="E9902" s="136">
        <f t="shared" si="461"/>
        <v>18</v>
      </c>
      <c r="F9902" s="137" t="s">
        <v>24</v>
      </c>
      <c r="G9902" s="128" t="str">
        <f>VLOOKUP(source[[#This Row],[lending_product_transform]],[3]Mapping!$B$4:$C$37,2,0)</f>
        <v>[Cake] - Cashloan</v>
      </c>
      <c r="H9902" s="128" t="str">
        <f>VLOOKUP(source[[#This Row],[lending_product_transform]],[3]Mapping!$B$3:$D$37,3,0)</f>
        <v>cashloan</v>
      </c>
      <c r="I9902" s="143">
        <v>24000000</v>
      </c>
    </row>
    <row r="9903" spans="1:9" x14ac:dyDescent="0.2">
      <c r="A9903" s="172">
        <v>45948</v>
      </c>
      <c r="B9903" s="135">
        <f>YEAR(source[[#This Row],[report_date]])</f>
        <v>2025</v>
      </c>
      <c r="C9903" s="128">
        <f t="shared" si="460"/>
        <v>10</v>
      </c>
      <c r="D9903" s="136">
        <f t="shared" si="462"/>
        <v>42</v>
      </c>
      <c r="E9903" s="136">
        <f t="shared" si="461"/>
        <v>18</v>
      </c>
      <c r="F9903" s="137" t="s">
        <v>24</v>
      </c>
      <c r="G9903" s="128" t="str">
        <f>VLOOKUP(source[[#This Row],[lending_product_transform]],[3]Mapping!$B$4:$C$37,2,0)</f>
        <v>[Cake] - Cashloan</v>
      </c>
      <c r="H9903" s="128" t="str">
        <f>VLOOKUP(source[[#This Row],[lending_product_transform]],[3]Mapping!$B$3:$D$37,3,0)</f>
        <v>cashloan</v>
      </c>
      <c r="I9903" s="143">
        <v>676200000</v>
      </c>
    </row>
    <row r="9904" spans="1:9" x14ac:dyDescent="0.2">
      <c r="A9904" s="172">
        <v>45948</v>
      </c>
      <c r="B9904" s="135">
        <f>YEAR(source[[#This Row],[report_date]])</f>
        <v>2025</v>
      </c>
      <c r="C9904" s="128">
        <f t="shared" si="460"/>
        <v>10</v>
      </c>
      <c r="D9904" s="136">
        <f t="shared" si="462"/>
        <v>42</v>
      </c>
      <c r="E9904" s="136">
        <f t="shared" si="461"/>
        <v>18</v>
      </c>
      <c r="F9904" s="137" t="s">
        <v>24</v>
      </c>
      <c r="G9904" s="128" t="str">
        <f>VLOOKUP(source[[#This Row],[lending_product_transform]],[3]Mapping!$B$4:$C$37,2,0)</f>
        <v>[Cake] - Cashloan</v>
      </c>
      <c r="H9904" s="128" t="str">
        <f>VLOOKUP(source[[#This Row],[lending_product_transform]],[3]Mapping!$B$3:$D$37,3,0)</f>
        <v>cashloan</v>
      </c>
      <c r="I9904" s="143">
        <v>177120000</v>
      </c>
    </row>
    <row r="9905" spans="1:9" x14ac:dyDescent="0.2">
      <c r="A9905" s="172">
        <v>45948</v>
      </c>
      <c r="B9905" s="135">
        <f>YEAR(source[[#This Row],[report_date]])</f>
        <v>2025</v>
      </c>
      <c r="C9905" s="128">
        <f t="shared" si="460"/>
        <v>10</v>
      </c>
      <c r="D9905" s="136">
        <f t="shared" si="462"/>
        <v>42</v>
      </c>
      <c r="E9905" s="136">
        <f t="shared" si="461"/>
        <v>18</v>
      </c>
      <c r="F9905" s="137" t="s">
        <v>24</v>
      </c>
      <c r="G9905" s="128" t="str">
        <f>VLOOKUP(source[[#This Row],[lending_product_transform]],[3]Mapping!$B$4:$C$37,2,0)</f>
        <v>[Cake] - Cashloan</v>
      </c>
      <c r="H9905" s="128" t="str">
        <f>VLOOKUP(source[[#This Row],[lending_product_transform]],[3]Mapping!$B$3:$D$37,3,0)</f>
        <v>cashloan</v>
      </c>
      <c r="I9905" s="143">
        <v>342901343</v>
      </c>
    </row>
    <row r="9906" spans="1:9" x14ac:dyDescent="0.2">
      <c r="A9906" s="172">
        <v>45948</v>
      </c>
      <c r="B9906" s="135">
        <f>YEAR(source[[#This Row],[report_date]])</f>
        <v>2025</v>
      </c>
      <c r="C9906" s="128">
        <f t="shared" si="460"/>
        <v>10</v>
      </c>
      <c r="D9906" s="136">
        <f t="shared" si="462"/>
        <v>42</v>
      </c>
      <c r="E9906" s="136">
        <f t="shared" si="461"/>
        <v>18</v>
      </c>
      <c r="F9906" s="137" t="s">
        <v>24</v>
      </c>
      <c r="G9906" s="128" t="str">
        <f>VLOOKUP(source[[#This Row],[lending_product_transform]],[3]Mapping!$B$4:$C$37,2,0)</f>
        <v>[Cake] - Cashloan</v>
      </c>
      <c r="H9906" s="128" t="str">
        <f>VLOOKUP(source[[#This Row],[lending_product_transform]],[3]Mapping!$B$3:$D$37,3,0)</f>
        <v>cashloan</v>
      </c>
      <c r="I9906" s="143">
        <v>2814060000</v>
      </c>
    </row>
    <row r="9907" spans="1:9" x14ac:dyDescent="0.2">
      <c r="A9907" s="172">
        <v>45949</v>
      </c>
      <c r="B9907" s="135">
        <f>YEAR(source[[#This Row],[report_date]])</f>
        <v>2025</v>
      </c>
      <c r="C9907" s="128">
        <f t="shared" si="460"/>
        <v>10</v>
      </c>
      <c r="D9907" s="136">
        <f t="shared" si="462"/>
        <v>42</v>
      </c>
      <c r="E9907" s="136">
        <f t="shared" si="461"/>
        <v>19</v>
      </c>
      <c r="F9907" s="137" t="s">
        <v>24</v>
      </c>
      <c r="G9907" s="128" t="str">
        <f>VLOOKUP(source[[#This Row],[lending_product_transform]],[3]Mapping!$B$4:$C$37,2,0)</f>
        <v>[Cake] - Cashloan</v>
      </c>
      <c r="H9907" s="128" t="str">
        <f>VLOOKUP(source[[#This Row],[lending_product_transform]],[3]Mapping!$B$3:$D$37,3,0)</f>
        <v>cashloan</v>
      </c>
      <c r="I9907" s="143">
        <v>0</v>
      </c>
    </row>
    <row r="9908" spans="1:9" x14ac:dyDescent="0.2">
      <c r="A9908" s="172">
        <v>45949</v>
      </c>
      <c r="B9908" s="135">
        <f>YEAR(source[[#This Row],[report_date]])</f>
        <v>2025</v>
      </c>
      <c r="C9908" s="128">
        <f t="shared" si="460"/>
        <v>10</v>
      </c>
      <c r="D9908" s="136">
        <f t="shared" si="462"/>
        <v>42</v>
      </c>
      <c r="E9908" s="136">
        <f t="shared" si="461"/>
        <v>19</v>
      </c>
      <c r="F9908" s="137" t="s">
        <v>24</v>
      </c>
      <c r="G9908" s="128" t="str">
        <f>VLOOKUP(source[[#This Row],[lending_product_transform]],[3]Mapping!$B$4:$C$37,2,0)</f>
        <v>[Cake] - Cashloan</v>
      </c>
      <c r="H9908" s="128" t="str">
        <f>VLOOKUP(source[[#This Row],[lending_product_transform]],[3]Mapping!$B$3:$D$37,3,0)</f>
        <v>cashloan</v>
      </c>
      <c r="I9908" s="143">
        <v>318213927</v>
      </c>
    </row>
    <row r="9909" spans="1:9" x14ac:dyDescent="0.2">
      <c r="A9909" s="172">
        <v>45949</v>
      </c>
      <c r="B9909" s="135">
        <f>YEAR(source[[#This Row],[report_date]])</f>
        <v>2025</v>
      </c>
      <c r="C9909" s="128">
        <f t="shared" si="460"/>
        <v>10</v>
      </c>
      <c r="D9909" s="136">
        <f t="shared" si="462"/>
        <v>42</v>
      </c>
      <c r="E9909" s="136">
        <f t="shared" si="461"/>
        <v>19</v>
      </c>
      <c r="F9909" s="137" t="s">
        <v>24</v>
      </c>
      <c r="G9909" s="128" t="str">
        <f>VLOOKUP(source[[#This Row],[lending_product_transform]],[3]Mapping!$B$4:$C$37,2,0)</f>
        <v>[Cake] - Cashloan</v>
      </c>
      <c r="H9909" s="128" t="str">
        <f>VLOOKUP(source[[#This Row],[lending_product_transform]],[3]Mapping!$B$3:$D$37,3,0)</f>
        <v>cashloan</v>
      </c>
      <c r="I9909" s="143">
        <v>12227500000</v>
      </c>
    </row>
    <row r="9910" spans="1:9" x14ac:dyDescent="0.2">
      <c r="A9910" s="172">
        <v>45949</v>
      </c>
      <c r="B9910" s="135">
        <f>YEAR(source[[#This Row],[report_date]])</f>
        <v>2025</v>
      </c>
      <c r="C9910" s="128">
        <f t="shared" ref="C9910:C9973" si="463">MONTH(A9910)</f>
        <v>10</v>
      </c>
      <c r="D9910" s="136">
        <f t="shared" si="462"/>
        <v>42</v>
      </c>
      <c r="E9910" s="136">
        <f t="shared" ref="E9910:E9973" si="464">DAY(A9910)</f>
        <v>19</v>
      </c>
      <c r="F9910" s="137" t="s">
        <v>24</v>
      </c>
      <c r="G9910" s="128" t="str">
        <f>VLOOKUP(source[[#This Row],[lending_product_transform]],[3]Mapping!$B$4:$C$37,2,0)</f>
        <v>[Cake] - Cashloan</v>
      </c>
      <c r="H9910" s="128" t="str">
        <f>VLOOKUP(source[[#This Row],[lending_product_transform]],[3]Mapping!$B$3:$D$37,3,0)</f>
        <v>cashloan</v>
      </c>
      <c r="I9910" s="143">
        <v>1980271865</v>
      </c>
    </row>
    <row r="9911" spans="1:9" x14ac:dyDescent="0.2">
      <c r="A9911" s="172">
        <v>45949</v>
      </c>
      <c r="B9911" s="135">
        <f>YEAR(source[[#This Row],[report_date]])</f>
        <v>2025</v>
      </c>
      <c r="C9911" s="128">
        <f t="shared" si="463"/>
        <v>10</v>
      </c>
      <c r="D9911" s="136">
        <f t="shared" si="462"/>
        <v>42</v>
      </c>
      <c r="E9911" s="136">
        <f t="shared" si="464"/>
        <v>19</v>
      </c>
      <c r="F9911" s="137" t="s">
        <v>24</v>
      </c>
      <c r="G9911" s="128" t="str">
        <f>VLOOKUP(source[[#This Row],[lending_product_transform]],[3]Mapping!$B$4:$C$37,2,0)</f>
        <v>[Cake] - Cashloan</v>
      </c>
      <c r="H9911" s="128" t="str">
        <f>VLOOKUP(source[[#This Row],[lending_product_transform]],[3]Mapping!$B$3:$D$37,3,0)</f>
        <v>cashloan</v>
      </c>
      <c r="I9911" s="143">
        <v>7935840000</v>
      </c>
    </row>
    <row r="9912" spans="1:9" x14ac:dyDescent="0.2">
      <c r="A9912" s="172">
        <v>45949</v>
      </c>
      <c r="B9912" s="135">
        <f>YEAR(source[[#This Row],[report_date]])</f>
        <v>2025</v>
      </c>
      <c r="C9912" s="128">
        <f t="shared" si="463"/>
        <v>10</v>
      </c>
      <c r="D9912" s="136">
        <f t="shared" si="462"/>
        <v>42</v>
      </c>
      <c r="E9912" s="136">
        <f t="shared" si="464"/>
        <v>19</v>
      </c>
      <c r="F9912" s="137" t="s">
        <v>24</v>
      </c>
      <c r="G9912" s="128" t="str">
        <f>VLOOKUP(source[[#This Row],[lending_product_transform]],[3]Mapping!$B$4:$C$37,2,0)</f>
        <v>[Cake] - Cashloan</v>
      </c>
      <c r="H9912" s="128" t="str">
        <f>VLOOKUP(source[[#This Row],[lending_product_transform]],[3]Mapping!$B$3:$D$37,3,0)</f>
        <v>cashloan</v>
      </c>
      <c r="I9912" s="143">
        <v>21207875</v>
      </c>
    </row>
    <row r="9913" spans="1:9" x14ac:dyDescent="0.2">
      <c r="A9913" s="172">
        <v>45949</v>
      </c>
      <c r="B9913" s="135">
        <f>YEAR(source[[#This Row],[report_date]])</f>
        <v>2025</v>
      </c>
      <c r="C9913" s="128">
        <f t="shared" si="463"/>
        <v>10</v>
      </c>
      <c r="D9913" s="136">
        <f t="shared" si="462"/>
        <v>42</v>
      </c>
      <c r="E9913" s="136">
        <f t="shared" si="464"/>
        <v>19</v>
      </c>
      <c r="F9913" s="137" t="s">
        <v>24</v>
      </c>
      <c r="G9913" s="128" t="str">
        <f>VLOOKUP(source[[#This Row],[lending_product_transform]],[3]Mapping!$B$4:$C$37,2,0)</f>
        <v>[Cake] - Cashloan</v>
      </c>
      <c r="H9913" s="128" t="str">
        <f>VLOOKUP(source[[#This Row],[lending_product_transform]],[3]Mapping!$B$3:$D$37,3,0)</f>
        <v>cashloan</v>
      </c>
      <c r="I9913" s="143">
        <v>2912420000</v>
      </c>
    </row>
    <row r="9914" spans="1:9" x14ac:dyDescent="0.2">
      <c r="A9914" s="172">
        <v>45949</v>
      </c>
      <c r="B9914" s="135">
        <f>YEAR(source[[#This Row],[report_date]])</f>
        <v>2025</v>
      </c>
      <c r="C9914" s="128">
        <f t="shared" si="463"/>
        <v>10</v>
      </c>
      <c r="D9914" s="136">
        <f t="shared" si="462"/>
        <v>42</v>
      </c>
      <c r="E9914" s="136">
        <f t="shared" si="464"/>
        <v>19</v>
      </c>
      <c r="F9914" s="137" t="s">
        <v>24</v>
      </c>
      <c r="G9914" s="128" t="str">
        <f>VLOOKUP(source[[#This Row],[lending_product_transform]],[3]Mapping!$B$4:$C$37,2,0)</f>
        <v>[Cake] - Cashloan</v>
      </c>
      <c r="H9914" s="128" t="str">
        <f>VLOOKUP(source[[#This Row],[lending_product_transform]],[3]Mapping!$B$3:$D$37,3,0)</f>
        <v>cashloan</v>
      </c>
      <c r="I9914" s="143">
        <v>10066000</v>
      </c>
    </row>
    <row r="9915" spans="1:9" x14ac:dyDescent="0.2">
      <c r="A9915" s="172">
        <v>45949</v>
      </c>
      <c r="B9915" s="135">
        <f>YEAR(source[[#This Row],[report_date]])</f>
        <v>2025</v>
      </c>
      <c r="C9915" s="128">
        <f t="shared" si="463"/>
        <v>10</v>
      </c>
      <c r="D9915" s="136">
        <f t="shared" si="462"/>
        <v>42</v>
      </c>
      <c r="E9915" s="136">
        <f t="shared" si="464"/>
        <v>19</v>
      </c>
      <c r="F9915" s="137" t="s">
        <v>24</v>
      </c>
      <c r="G9915" s="128" t="str">
        <f>VLOOKUP(source[[#This Row],[lending_product_transform]],[3]Mapping!$B$4:$C$37,2,0)</f>
        <v>[Cake] - Cashloan</v>
      </c>
      <c r="H9915" s="128" t="str">
        <f>VLOOKUP(source[[#This Row],[lending_product_transform]],[3]Mapping!$B$3:$D$37,3,0)</f>
        <v>cashloan</v>
      </c>
      <c r="I9915" s="143">
        <v>557524500</v>
      </c>
    </row>
    <row r="9916" spans="1:9" x14ac:dyDescent="0.2">
      <c r="A9916" s="172">
        <v>45949</v>
      </c>
      <c r="B9916" s="135">
        <f>YEAR(source[[#This Row],[report_date]])</f>
        <v>2025</v>
      </c>
      <c r="C9916" s="128">
        <f t="shared" si="463"/>
        <v>10</v>
      </c>
      <c r="D9916" s="136">
        <f t="shared" si="462"/>
        <v>42</v>
      </c>
      <c r="E9916" s="136">
        <f t="shared" si="464"/>
        <v>19</v>
      </c>
      <c r="F9916" s="137" t="s">
        <v>24</v>
      </c>
      <c r="G9916" s="128" t="str">
        <f>VLOOKUP(source[[#This Row],[lending_product_transform]],[3]Mapping!$B$4:$C$37,2,0)</f>
        <v>[Cake] - Cashloan</v>
      </c>
      <c r="H9916" s="128" t="str">
        <f>VLOOKUP(source[[#This Row],[lending_product_transform]],[3]Mapping!$B$3:$D$37,3,0)</f>
        <v>cashloan</v>
      </c>
      <c r="I9916" s="143">
        <v>0</v>
      </c>
    </row>
    <row r="9917" spans="1:9" x14ac:dyDescent="0.2">
      <c r="A9917" s="172">
        <v>45949</v>
      </c>
      <c r="B9917" s="135">
        <f>YEAR(source[[#This Row],[report_date]])</f>
        <v>2025</v>
      </c>
      <c r="C9917" s="128">
        <f t="shared" si="463"/>
        <v>10</v>
      </c>
      <c r="D9917" s="136">
        <f t="shared" si="462"/>
        <v>42</v>
      </c>
      <c r="E9917" s="136">
        <f t="shared" si="464"/>
        <v>19</v>
      </c>
      <c r="F9917" s="137" t="s">
        <v>24</v>
      </c>
      <c r="G9917" s="128" t="str">
        <f>VLOOKUP(source[[#This Row],[lending_product_transform]],[3]Mapping!$B$4:$C$37,2,0)</f>
        <v>[Cake] - Cashloan</v>
      </c>
      <c r="H9917" s="128" t="str">
        <f>VLOOKUP(source[[#This Row],[lending_product_transform]],[3]Mapping!$B$3:$D$37,3,0)</f>
        <v>cashloan</v>
      </c>
      <c r="I9917" s="143">
        <v>209000000</v>
      </c>
    </row>
    <row r="9918" spans="1:9" x14ac:dyDescent="0.2">
      <c r="A9918" s="172">
        <v>45949</v>
      </c>
      <c r="B9918" s="135">
        <f>YEAR(source[[#This Row],[report_date]])</f>
        <v>2025</v>
      </c>
      <c r="C9918" s="128">
        <f t="shared" si="463"/>
        <v>10</v>
      </c>
      <c r="D9918" s="136">
        <f t="shared" si="462"/>
        <v>42</v>
      </c>
      <c r="E9918" s="136">
        <f t="shared" si="464"/>
        <v>19</v>
      </c>
      <c r="F9918" s="137" t="s">
        <v>24</v>
      </c>
      <c r="G9918" s="128" t="str">
        <f>VLOOKUP(source[[#This Row],[lending_product_transform]],[3]Mapping!$B$4:$C$37,2,0)</f>
        <v>[Cake] - Cashloan</v>
      </c>
      <c r="H9918" s="128" t="str">
        <f>VLOOKUP(source[[#This Row],[lending_product_transform]],[3]Mapping!$B$3:$D$37,3,0)</f>
        <v>cashloan</v>
      </c>
      <c r="I9918" s="143">
        <v>14772680000</v>
      </c>
    </row>
    <row r="9919" spans="1:9" x14ac:dyDescent="0.2">
      <c r="A9919" s="172">
        <v>45949</v>
      </c>
      <c r="B9919" s="135">
        <f>YEAR(source[[#This Row],[report_date]])</f>
        <v>2025</v>
      </c>
      <c r="C9919" s="128">
        <f t="shared" si="463"/>
        <v>10</v>
      </c>
      <c r="D9919" s="136">
        <f t="shared" si="462"/>
        <v>42</v>
      </c>
      <c r="E9919" s="136">
        <f t="shared" si="464"/>
        <v>19</v>
      </c>
      <c r="F9919" s="137" t="s">
        <v>24</v>
      </c>
      <c r="G9919" s="128" t="str">
        <f>VLOOKUP(source[[#This Row],[lending_product_transform]],[3]Mapping!$B$4:$C$37,2,0)</f>
        <v>[Cake] - Cashloan</v>
      </c>
      <c r="H9919" s="128" t="str">
        <f>VLOOKUP(source[[#This Row],[lending_product_transform]],[3]Mapping!$B$3:$D$37,3,0)</f>
        <v>cashloan</v>
      </c>
      <c r="I9919" s="143">
        <v>0</v>
      </c>
    </row>
    <row r="9920" spans="1:9" x14ac:dyDescent="0.2">
      <c r="A9920" s="172">
        <v>45949</v>
      </c>
      <c r="B9920" s="135">
        <f>YEAR(source[[#This Row],[report_date]])</f>
        <v>2025</v>
      </c>
      <c r="C9920" s="128">
        <f t="shared" si="463"/>
        <v>10</v>
      </c>
      <c r="D9920" s="136">
        <f t="shared" si="462"/>
        <v>42</v>
      </c>
      <c r="E9920" s="136">
        <f t="shared" si="464"/>
        <v>19</v>
      </c>
      <c r="F9920" s="137" t="s">
        <v>24</v>
      </c>
      <c r="G9920" s="128" t="str">
        <f>VLOOKUP(source[[#This Row],[lending_product_transform]],[3]Mapping!$B$4:$C$37,2,0)</f>
        <v>[Cake] - Cashloan</v>
      </c>
      <c r="H9920" s="128" t="str">
        <f>VLOOKUP(source[[#This Row],[lending_product_transform]],[3]Mapping!$B$3:$D$37,3,0)</f>
        <v>cashloan</v>
      </c>
      <c r="I9920" s="143">
        <v>0</v>
      </c>
    </row>
    <row r="9921" spans="1:9" x14ac:dyDescent="0.2">
      <c r="A9921" s="172">
        <v>45949</v>
      </c>
      <c r="B9921" s="135">
        <f>YEAR(source[[#This Row],[report_date]])</f>
        <v>2025</v>
      </c>
      <c r="C9921" s="128">
        <f t="shared" si="463"/>
        <v>10</v>
      </c>
      <c r="D9921" s="136">
        <f t="shared" si="462"/>
        <v>42</v>
      </c>
      <c r="E9921" s="136">
        <f t="shared" si="464"/>
        <v>19</v>
      </c>
      <c r="F9921" s="137" t="s">
        <v>24</v>
      </c>
      <c r="G9921" s="128" t="str">
        <f>VLOOKUP(source[[#This Row],[lending_product_transform]],[3]Mapping!$B$4:$C$37,2,0)</f>
        <v>[Cake] - Cashloan</v>
      </c>
      <c r="H9921" s="128" t="str">
        <f>VLOOKUP(source[[#This Row],[lending_product_transform]],[3]Mapping!$B$3:$D$37,3,0)</f>
        <v>cashloan</v>
      </c>
      <c r="I9921" s="143">
        <v>0</v>
      </c>
    </row>
    <row r="9922" spans="1:9" x14ac:dyDescent="0.2">
      <c r="A9922" s="172">
        <v>45949</v>
      </c>
      <c r="B9922" s="135">
        <f>YEAR(source[[#This Row],[report_date]])</f>
        <v>2025</v>
      </c>
      <c r="C9922" s="128">
        <f t="shared" si="463"/>
        <v>10</v>
      </c>
      <c r="D9922" s="136">
        <f t="shared" si="462"/>
        <v>42</v>
      </c>
      <c r="E9922" s="136">
        <f t="shared" si="464"/>
        <v>19</v>
      </c>
      <c r="F9922" s="137" t="s">
        <v>24</v>
      </c>
      <c r="G9922" s="128" t="str">
        <f>VLOOKUP(source[[#This Row],[lending_product_transform]],[3]Mapping!$B$4:$C$37,2,0)</f>
        <v>[Cake] - Cashloan</v>
      </c>
      <c r="H9922" s="128" t="str">
        <f>VLOOKUP(source[[#This Row],[lending_product_transform]],[3]Mapping!$B$3:$D$37,3,0)</f>
        <v>cashloan</v>
      </c>
      <c r="I9922" s="143">
        <v>0</v>
      </c>
    </row>
    <row r="9923" spans="1:9" x14ac:dyDescent="0.2">
      <c r="A9923" s="172">
        <v>45949</v>
      </c>
      <c r="B9923" s="135">
        <f>YEAR(source[[#This Row],[report_date]])</f>
        <v>2025</v>
      </c>
      <c r="C9923" s="128">
        <f t="shared" si="463"/>
        <v>10</v>
      </c>
      <c r="D9923" s="136">
        <f t="shared" ref="D9923:D9986" si="465">WEEKNUM(A9923,2)</f>
        <v>42</v>
      </c>
      <c r="E9923" s="136">
        <f t="shared" si="464"/>
        <v>19</v>
      </c>
      <c r="F9923" s="137" t="s">
        <v>24</v>
      </c>
      <c r="G9923" s="128" t="str">
        <f>VLOOKUP(source[[#This Row],[lending_product_transform]],[3]Mapping!$B$4:$C$37,2,0)</f>
        <v>[Cake] - Cashloan</v>
      </c>
      <c r="H9923" s="128" t="str">
        <f>VLOOKUP(source[[#This Row],[lending_product_transform]],[3]Mapping!$B$3:$D$37,3,0)</f>
        <v>cashloan</v>
      </c>
      <c r="I9923" s="143">
        <v>9940212000</v>
      </c>
    </row>
    <row r="9924" spans="1:9" x14ac:dyDescent="0.2">
      <c r="A9924" s="172">
        <v>45949</v>
      </c>
      <c r="B9924" s="135">
        <f>YEAR(source[[#This Row],[report_date]])</f>
        <v>2025</v>
      </c>
      <c r="C9924" s="128">
        <f t="shared" si="463"/>
        <v>10</v>
      </c>
      <c r="D9924" s="136">
        <f t="shared" si="465"/>
        <v>42</v>
      </c>
      <c r="E9924" s="136">
        <f t="shared" si="464"/>
        <v>19</v>
      </c>
      <c r="F9924" s="137" t="s">
        <v>24</v>
      </c>
      <c r="G9924" s="128" t="str">
        <f>VLOOKUP(source[[#This Row],[lending_product_transform]],[3]Mapping!$B$4:$C$37,2,0)</f>
        <v>[Cake] - Cashloan</v>
      </c>
      <c r="H9924" s="128" t="str">
        <f>VLOOKUP(source[[#This Row],[lending_product_transform]],[3]Mapping!$B$3:$D$37,3,0)</f>
        <v>cashloan</v>
      </c>
      <c r="I9924" s="143">
        <v>182395273</v>
      </c>
    </row>
    <row r="9925" spans="1:9" x14ac:dyDescent="0.2">
      <c r="A9925" s="172">
        <v>45949</v>
      </c>
      <c r="B9925" s="135">
        <f>YEAR(source[[#This Row],[report_date]])</f>
        <v>2025</v>
      </c>
      <c r="C9925" s="128">
        <f t="shared" si="463"/>
        <v>10</v>
      </c>
      <c r="D9925" s="136">
        <f t="shared" si="465"/>
        <v>42</v>
      </c>
      <c r="E9925" s="136">
        <f t="shared" si="464"/>
        <v>19</v>
      </c>
      <c r="F9925" s="137" t="s">
        <v>24</v>
      </c>
      <c r="G9925" s="128" t="str">
        <f>VLOOKUP(source[[#This Row],[lending_product_transform]],[3]Mapping!$B$4:$C$37,2,0)</f>
        <v>[Cake] - Cashloan</v>
      </c>
      <c r="H9925" s="128" t="str">
        <f>VLOOKUP(source[[#This Row],[lending_product_transform]],[3]Mapping!$B$3:$D$37,3,0)</f>
        <v>cashloan</v>
      </c>
      <c r="I9925" s="143">
        <v>0</v>
      </c>
    </row>
    <row r="9926" spans="1:9" x14ac:dyDescent="0.2">
      <c r="A9926" s="172">
        <v>45949</v>
      </c>
      <c r="B9926" s="135">
        <f>YEAR(source[[#This Row],[report_date]])</f>
        <v>2025</v>
      </c>
      <c r="C9926" s="128">
        <f t="shared" si="463"/>
        <v>10</v>
      </c>
      <c r="D9926" s="136">
        <f t="shared" si="465"/>
        <v>42</v>
      </c>
      <c r="E9926" s="136">
        <f t="shared" si="464"/>
        <v>19</v>
      </c>
      <c r="F9926" s="137" t="s">
        <v>24</v>
      </c>
      <c r="G9926" s="128" t="str">
        <f>VLOOKUP(source[[#This Row],[lending_product_transform]],[3]Mapping!$B$4:$C$37,2,0)</f>
        <v>[Cake] - Cashloan</v>
      </c>
      <c r="H9926" s="128" t="str">
        <f>VLOOKUP(source[[#This Row],[lending_product_transform]],[3]Mapping!$B$3:$D$37,3,0)</f>
        <v>cashloan</v>
      </c>
      <c r="I9926" s="143">
        <v>12000000</v>
      </c>
    </row>
    <row r="9927" spans="1:9" x14ac:dyDescent="0.2">
      <c r="A9927" s="172">
        <v>45949</v>
      </c>
      <c r="B9927" s="135">
        <f>YEAR(source[[#This Row],[report_date]])</f>
        <v>2025</v>
      </c>
      <c r="C9927" s="128">
        <f t="shared" si="463"/>
        <v>10</v>
      </c>
      <c r="D9927" s="136">
        <f t="shared" si="465"/>
        <v>42</v>
      </c>
      <c r="E9927" s="136">
        <f t="shared" si="464"/>
        <v>19</v>
      </c>
      <c r="F9927" s="137" t="s">
        <v>24</v>
      </c>
      <c r="G9927" s="128" t="str">
        <f>VLOOKUP(source[[#This Row],[lending_product_transform]],[3]Mapping!$B$4:$C$37,2,0)</f>
        <v>[Cake] - Cashloan</v>
      </c>
      <c r="H9927" s="128" t="str">
        <f>VLOOKUP(source[[#This Row],[lending_product_transform]],[3]Mapping!$B$3:$D$37,3,0)</f>
        <v>cashloan</v>
      </c>
      <c r="I9927" s="143">
        <v>710120000</v>
      </c>
    </row>
    <row r="9928" spans="1:9" x14ac:dyDescent="0.2">
      <c r="A9928" s="172">
        <v>45949</v>
      </c>
      <c r="B9928" s="135">
        <f>YEAR(source[[#This Row],[report_date]])</f>
        <v>2025</v>
      </c>
      <c r="C9928" s="128">
        <f t="shared" si="463"/>
        <v>10</v>
      </c>
      <c r="D9928" s="136">
        <f t="shared" si="465"/>
        <v>42</v>
      </c>
      <c r="E9928" s="136">
        <f t="shared" si="464"/>
        <v>19</v>
      </c>
      <c r="F9928" s="137" t="s">
        <v>24</v>
      </c>
      <c r="G9928" s="128" t="str">
        <f>VLOOKUP(source[[#This Row],[lending_product_transform]],[3]Mapping!$B$4:$C$37,2,0)</f>
        <v>[Cake] - Cashloan</v>
      </c>
      <c r="H9928" s="128" t="str">
        <f>VLOOKUP(source[[#This Row],[lending_product_transform]],[3]Mapping!$B$3:$D$37,3,0)</f>
        <v>cashloan</v>
      </c>
      <c r="I9928" s="143">
        <v>135000000</v>
      </c>
    </row>
    <row r="9929" spans="1:9" x14ac:dyDescent="0.2">
      <c r="A9929" s="172">
        <v>45949</v>
      </c>
      <c r="B9929" s="135">
        <f>YEAR(source[[#This Row],[report_date]])</f>
        <v>2025</v>
      </c>
      <c r="C9929" s="128">
        <f t="shared" si="463"/>
        <v>10</v>
      </c>
      <c r="D9929" s="136">
        <f t="shared" si="465"/>
        <v>42</v>
      </c>
      <c r="E9929" s="136">
        <f t="shared" si="464"/>
        <v>19</v>
      </c>
      <c r="F9929" s="137" t="s">
        <v>24</v>
      </c>
      <c r="G9929" s="128" t="str">
        <f>VLOOKUP(source[[#This Row],[lending_product_transform]],[3]Mapping!$B$4:$C$37,2,0)</f>
        <v>[Cake] - Cashloan</v>
      </c>
      <c r="H9929" s="128" t="str">
        <f>VLOOKUP(source[[#This Row],[lending_product_transform]],[3]Mapping!$B$3:$D$37,3,0)</f>
        <v>cashloan</v>
      </c>
      <c r="I9929" s="143">
        <v>219984157</v>
      </c>
    </row>
    <row r="9930" spans="1:9" x14ac:dyDescent="0.2">
      <c r="A9930" s="172">
        <v>45949</v>
      </c>
      <c r="B9930" s="135">
        <f>YEAR(source[[#This Row],[report_date]])</f>
        <v>2025</v>
      </c>
      <c r="C9930" s="128">
        <f t="shared" si="463"/>
        <v>10</v>
      </c>
      <c r="D9930" s="136">
        <f t="shared" si="465"/>
        <v>42</v>
      </c>
      <c r="E9930" s="136">
        <f t="shared" si="464"/>
        <v>19</v>
      </c>
      <c r="F9930" s="137" t="s">
        <v>24</v>
      </c>
      <c r="G9930" s="128" t="str">
        <f>VLOOKUP(source[[#This Row],[lending_product_transform]],[3]Mapping!$B$4:$C$37,2,0)</f>
        <v>[Cake] - Cashloan</v>
      </c>
      <c r="H9930" s="128" t="str">
        <f>VLOOKUP(source[[#This Row],[lending_product_transform]],[3]Mapping!$B$3:$D$37,3,0)</f>
        <v>cashloan</v>
      </c>
      <c r="I9930" s="143">
        <v>2962560000</v>
      </c>
    </row>
    <row r="9931" spans="1:9" x14ac:dyDescent="0.2">
      <c r="A9931" s="172">
        <v>45950</v>
      </c>
      <c r="B9931" s="135">
        <f>YEAR(source[[#This Row],[report_date]])</f>
        <v>2025</v>
      </c>
      <c r="C9931" s="128">
        <f t="shared" si="463"/>
        <v>10</v>
      </c>
      <c r="D9931" s="136">
        <f t="shared" si="465"/>
        <v>43</v>
      </c>
      <c r="E9931" s="136">
        <f t="shared" si="464"/>
        <v>20</v>
      </c>
      <c r="F9931" s="137" t="s">
        <v>24</v>
      </c>
      <c r="G9931" s="128" t="str">
        <f>VLOOKUP(source[[#This Row],[lending_product_transform]],[3]Mapping!$B$4:$C$37,2,0)</f>
        <v>[Cake] - Cashloan</v>
      </c>
      <c r="H9931" s="128" t="str">
        <f>VLOOKUP(source[[#This Row],[lending_product_transform]],[3]Mapping!$B$3:$D$37,3,0)</f>
        <v>cashloan</v>
      </c>
      <c r="I9931" s="143">
        <v>0</v>
      </c>
    </row>
    <row r="9932" spans="1:9" x14ac:dyDescent="0.2">
      <c r="A9932" s="172">
        <v>45950</v>
      </c>
      <c r="B9932" s="135">
        <f>YEAR(source[[#This Row],[report_date]])</f>
        <v>2025</v>
      </c>
      <c r="C9932" s="128">
        <f t="shared" si="463"/>
        <v>10</v>
      </c>
      <c r="D9932" s="136">
        <f t="shared" si="465"/>
        <v>43</v>
      </c>
      <c r="E9932" s="136">
        <f t="shared" si="464"/>
        <v>20</v>
      </c>
      <c r="F9932" s="137" t="s">
        <v>24</v>
      </c>
      <c r="G9932" s="128" t="str">
        <f>VLOOKUP(source[[#This Row],[lending_product_transform]],[3]Mapping!$B$4:$C$37,2,0)</f>
        <v>[Cake] - Cashloan</v>
      </c>
      <c r="H9932" s="128" t="str">
        <f>VLOOKUP(source[[#This Row],[lending_product_transform]],[3]Mapping!$B$3:$D$37,3,0)</f>
        <v>cashloan</v>
      </c>
      <c r="I9932" s="143">
        <v>408036264</v>
      </c>
    </row>
    <row r="9933" spans="1:9" x14ac:dyDescent="0.2">
      <c r="A9933" s="172">
        <v>45950</v>
      </c>
      <c r="B9933" s="135">
        <f>YEAR(source[[#This Row],[report_date]])</f>
        <v>2025</v>
      </c>
      <c r="C9933" s="128">
        <f t="shared" si="463"/>
        <v>10</v>
      </c>
      <c r="D9933" s="136">
        <f t="shared" si="465"/>
        <v>43</v>
      </c>
      <c r="E9933" s="136">
        <f t="shared" si="464"/>
        <v>20</v>
      </c>
      <c r="F9933" s="137" t="s">
        <v>24</v>
      </c>
      <c r="G9933" s="128" t="str">
        <f>VLOOKUP(source[[#This Row],[lending_product_transform]],[3]Mapping!$B$4:$C$37,2,0)</f>
        <v>[Cake] - Cashloan</v>
      </c>
      <c r="H9933" s="128" t="str">
        <f>VLOOKUP(source[[#This Row],[lending_product_transform]],[3]Mapping!$B$3:$D$37,3,0)</f>
        <v>cashloan</v>
      </c>
      <c r="I9933" s="143">
        <v>18121110000</v>
      </c>
    </row>
    <row r="9934" spans="1:9" x14ac:dyDescent="0.2">
      <c r="A9934" s="172">
        <v>45950</v>
      </c>
      <c r="B9934" s="135">
        <f>YEAR(source[[#This Row],[report_date]])</f>
        <v>2025</v>
      </c>
      <c r="C9934" s="128">
        <f t="shared" si="463"/>
        <v>10</v>
      </c>
      <c r="D9934" s="136">
        <f t="shared" si="465"/>
        <v>43</v>
      </c>
      <c r="E9934" s="136">
        <f t="shared" si="464"/>
        <v>20</v>
      </c>
      <c r="F9934" s="137" t="s">
        <v>24</v>
      </c>
      <c r="G9934" s="128" t="str">
        <f>VLOOKUP(source[[#This Row],[lending_product_transform]],[3]Mapping!$B$4:$C$37,2,0)</f>
        <v>[Cake] - Cashloan</v>
      </c>
      <c r="H9934" s="128" t="str">
        <f>VLOOKUP(source[[#This Row],[lending_product_transform]],[3]Mapping!$B$3:$D$37,3,0)</f>
        <v>cashloan</v>
      </c>
      <c r="I9934" s="143">
        <v>2973772253</v>
      </c>
    </row>
    <row r="9935" spans="1:9" x14ac:dyDescent="0.2">
      <c r="A9935" s="172">
        <v>45950</v>
      </c>
      <c r="B9935" s="135">
        <f>YEAR(source[[#This Row],[report_date]])</f>
        <v>2025</v>
      </c>
      <c r="C9935" s="128">
        <f t="shared" si="463"/>
        <v>10</v>
      </c>
      <c r="D9935" s="136">
        <f t="shared" si="465"/>
        <v>43</v>
      </c>
      <c r="E9935" s="136">
        <f t="shared" si="464"/>
        <v>20</v>
      </c>
      <c r="F9935" s="137" t="s">
        <v>24</v>
      </c>
      <c r="G9935" s="128" t="str">
        <f>VLOOKUP(source[[#This Row],[lending_product_transform]],[3]Mapping!$B$4:$C$37,2,0)</f>
        <v>[Cake] - Cashloan</v>
      </c>
      <c r="H9935" s="128" t="str">
        <f>VLOOKUP(source[[#This Row],[lending_product_transform]],[3]Mapping!$B$3:$D$37,3,0)</f>
        <v>cashloan</v>
      </c>
      <c r="I9935" s="143">
        <v>8439876000</v>
      </c>
    </row>
    <row r="9936" spans="1:9" x14ac:dyDescent="0.2">
      <c r="A9936" s="172">
        <v>45950</v>
      </c>
      <c r="B9936" s="135">
        <f>YEAR(source[[#This Row],[report_date]])</f>
        <v>2025</v>
      </c>
      <c r="C9936" s="128">
        <f t="shared" si="463"/>
        <v>10</v>
      </c>
      <c r="D9936" s="136">
        <f t="shared" si="465"/>
        <v>43</v>
      </c>
      <c r="E9936" s="136">
        <f t="shared" si="464"/>
        <v>20</v>
      </c>
      <c r="F9936" s="137" t="s">
        <v>24</v>
      </c>
      <c r="G9936" s="128" t="str">
        <f>VLOOKUP(source[[#This Row],[lending_product_transform]],[3]Mapping!$B$4:$C$37,2,0)</f>
        <v>[Cake] - Cashloan</v>
      </c>
      <c r="H9936" s="128" t="str">
        <f>VLOOKUP(source[[#This Row],[lending_product_transform]],[3]Mapping!$B$3:$D$37,3,0)</f>
        <v>cashloan</v>
      </c>
      <c r="I9936" s="143">
        <v>10431273</v>
      </c>
    </row>
    <row r="9937" spans="1:9" x14ac:dyDescent="0.2">
      <c r="A9937" s="172">
        <v>45950</v>
      </c>
      <c r="B9937" s="135">
        <f>YEAR(source[[#This Row],[report_date]])</f>
        <v>2025</v>
      </c>
      <c r="C9937" s="128">
        <f t="shared" si="463"/>
        <v>10</v>
      </c>
      <c r="D9937" s="136">
        <f t="shared" si="465"/>
        <v>43</v>
      </c>
      <c r="E9937" s="136">
        <f t="shared" si="464"/>
        <v>20</v>
      </c>
      <c r="F9937" s="137" t="s">
        <v>24</v>
      </c>
      <c r="G9937" s="128" t="str">
        <f>VLOOKUP(source[[#This Row],[lending_product_transform]],[3]Mapping!$B$4:$C$37,2,0)</f>
        <v>[Cake] - Cashloan</v>
      </c>
      <c r="H9937" s="128" t="str">
        <f>VLOOKUP(source[[#This Row],[lending_product_transform]],[3]Mapping!$B$3:$D$37,3,0)</f>
        <v>cashloan</v>
      </c>
      <c r="I9937" s="143">
        <v>3059120000</v>
      </c>
    </row>
    <row r="9938" spans="1:9" x14ac:dyDescent="0.2">
      <c r="A9938" s="172">
        <v>45950</v>
      </c>
      <c r="B9938" s="135">
        <f>YEAR(source[[#This Row],[report_date]])</f>
        <v>2025</v>
      </c>
      <c r="C9938" s="128">
        <f t="shared" si="463"/>
        <v>10</v>
      </c>
      <c r="D9938" s="136">
        <f t="shared" si="465"/>
        <v>43</v>
      </c>
      <c r="E9938" s="136">
        <f t="shared" si="464"/>
        <v>20</v>
      </c>
      <c r="F9938" s="137" t="s">
        <v>24</v>
      </c>
      <c r="G9938" s="128" t="str">
        <f>VLOOKUP(source[[#This Row],[lending_product_transform]],[3]Mapping!$B$4:$C$37,2,0)</f>
        <v>[Cake] - Cashloan</v>
      </c>
      <c r="H9938" s="128" t="str">
        <f>VLOOKUP(source[[#This Row],[lending_product_transform]],[3]Mapping!$B$3:$D$37,3,0)</f>
        <v>cashloan</v>
      </c>
      <c r="I9938" s="143">
        <v>9635000</v>
      </c>
    </row>
    <row r="9939" spans="1:9" x14ac:dyDescent="0.2">
      <c r="A9939" s="172">
        <v>45950</v>
      </c>
      <c r="B9939" s="135">
        <f>YEAR(source[[#This Row],[report_date]])</f>
        <v>2025</v>
      </c>
      <c r="C9939" s="128">
        <f t="shared" si="463"/>
        <v>10</v>
      </c>
      <c r="D9939" s="136">
        <f t="shared" si="465"/>
        <v>43</v>
      </c>
      <c r="E9939" s="136">
        <f t="shared" si="464"/>
        <v>20</v>
      </c>
      <c r="F9939" s="137" t="s">
        <v>24</v>
      </c>
      <c r="G9939" s="128" t="str">
        <f>VLOOKUP(source[[#This Row],[lending_product_transform]],[3]Mapping!$B$4:$C$37,2,0)</f>
        <v>[Cake] - Cashloan</v>
      </c>
      <c r="H9939" s="128" t="str">
        <f>VLOOKUP(source[[#This Row],[lending_product_transform]],[3]Mapping!$B$3:$D$37,3,0)</f>
        <v>cashloan</v>
      </c>
      <c r="I9939" s="143">
        <v>488080000</v>
      </c>
    </row>
    <row r="9940" spans="1:9" x14ac:dyDescent="0.2">
      <c r="A9940" s="172">
        <v>45950</v>
      </c>
      <c r="B9940" s="135">
        <f>YEAR(source[[#This Row],[report_date]])</f>
        <v>2025</v>
      </c>
      <c r="C9940" s="128">
        <f t="shared" si="463"/>
        <v>10</v>
      </c>
      <c r="D9940" s="136">
        <f t="shared" si="465"/>
        <v>43</v>
      </c>
      <c r="E9940" s="136">
        <f t="shared" si="464"/>
        <v>20</v>
      </c>
      <c r="F9940" s="137" t="s">
        <v>24</v>
      </c>
      <c r="G9940" s="128" t="str">
        <f>VLOOKUP(source[[#This Row],[lending_product_transform]],[3]Mapping!$B$4:$C$37,2,0)</f>
        <v>[Cake] - Cashloan</v>
      </c>
      <c r="H9940" s="128" t="str">
        <f>VLOOKUP(source[[#This Row],[lending_product_transform]],[3]Mapping!$B$3:$D$37,3,0)</f>
        <v>cashloan</v>
      </c>
      <c r="I9940" s="143">
        <v>0</v>
      </c>
    </row>
    <row r="9941" spans="1:9" x14ac:dyDescent="0.2">
      <c r="A9941" s="172">
        <v>45950</v>
      </c>
      <c r="B9941" s="135">
        <f>YEAR(source[[#This Row],[report_date]])</f>
        <v>2025</v>
      </c>
      <c r="C9941" s="128">
        <f t="shared" si="463"/>
        <v>10</v>
      </c>
      <c r="D9941" s="136">
        <f t="shared" si="465"/>
        <v>43</v>
      </c>
      <c r="E9941" s="136">
        <f t="shared" si="464"/>
        <v>20</v>
      </c>
      <c r="F9941" s="137" t="s">
        <v>24</v>
      </c>
      <c r="G9941" s="128" t="str">
        <f>VLOOKUP(source[[#This Row],[lending_product_transform]],[3]Mapping!$B$4:$C$37,2,0)</f>
        <v>[Cake] - Cashloan</v>
      </c>
      <c r="H9941" s="128" t="str">
        <f>VLOOKUP(source[[#This Row],[lending_product_transform]],[3]Mapping!$B$3:$D$37,3,0)</f>
        <v>cashloan</v>
      </c>
      <c r="I9941" s="143">
        <v>164750000</v>
      </c>
    </row>
    <row r="9942" spans="1:9" x14ac:dyDescent="0.2">
      <c r="A9942" s="172">
        <v>45950</v>
      </c>
      <c r="B9942" s="135">
        <f>YEAR(source[[#This Row],[report_date]])</f>
        <v>2025</v>
      </c>
      <c r="C9942" s="128">
        <f t="shared" si="463"/>
        <v>10</v>
      </c>
      <c r="D9942" s="136">
        <f t="shared" si="465"/>
        <v>43</v>
      </c>
      <c r="E9942" s="136">
        <f t="shared" si="464"/>
        <v>20</v>
      </c>
      <c r="F9942" s="137" t="s">
        <v>24</v>
      </c>
      <c r="G9942" s="128" t="str">
        <f>VLOOKUP(source[[#This Row],[lending_product_transform]],[3]Mapping!$B$4:$C$37,2,0)</f>
        <v>[Cake] - Cashloan</v>
      </c>
      <c r="H9942" s="128" t="str">
        <f>VLOOKUP(source[[#This Row],[lending_product_transform]],[3]Mapping!$B$3:$D$37,3,0)</f>
        <v>cashloan</v>
      </c>
      <c r="I9942" s="143">
        <v>18127140000</v>
      </c>
    </row>
    <row r="9943" spans="1:9" x14ac:dyDescent="0.2">
      <c r="A9943" s="172">
        <v>45950</v>
      </c>
      <c r="B9943" s="135">
        <f>YEAR(source[[#This Row],[report_date]])</f>
        <v>2025</v>
      </c>
      <c r="C9943" s="128">
        <f t="shared" si="463"/>
        <v>10</v>
      </c>
      <c r="D9943" s="136">
        <f t="shared" si="465"/>
        <v>43</v>
      </c>
      <c r="E9943" s="136">
        <f t="shared" si="464"/>
        <v>20</v>
      </c>
      <c r="F9943" s="137" t="s">
        <v>24</v>
      </c>
      <c r="G9943" s="128" t="str">
        <f>VLOOKUP(source[[#This Row],[lending_product_transform]],[3]Mapping!$B$4:$C$37,2,0)</f>
        <v>[Cake] - Cashloan</v>
      </c>
      <c r="H9943" s="128" t="str">
        <f>VLOOKUP(source[[#This Row],[lending_product_transform]],[3]Mapping!$B$3:$D$37,3,0)</f>
        <v>cashloan</v>
      </c>
      <c r="I9943" s="143">
        <v>0</v>
      </c>
    </row>
    <row r="9944" spans="1:9" x14ac:dyDescent="0.2">
      <c r="A9944" s="172">
        <v>45950</v>
      </c>
      <c r="B9944" s="135">
        <f>YEAR(source[[#This Row],[report_date]])</f>
        <v>2025</v>
      </c>
      <c r="C9944" s="128">
        <f t="shared" si="463"/>
        <v>10</v>
      </c>
      <c r="D9944" s="136">
        <f t="shared" si="465"/>
        <v>43</v>
      </c>
      <c r="E9944" s="136">
        <f t="shared" si="464"/>
        <v>20</v>
      </c>
      <c r="F9944" s="137" t="s">
        <v>24</v>
      </c>
      <c r="G9944" s="128" t="str">
        <f>VLOOKUP(source[[#This Row],[lending_product_transform]],[3]Mapping!$B$4:$C$37,2,0)</f>
        <v>[Cake] - Cashloan</v>
      </c>
      <c r="H9944" s="128" t="str">
        <f>VLOOKUP(source[[#This Row],[lending_product_transform]],[3]Mapping!$B$3:$D$37,3,0)</f>
        <v>cashloan</v>
      </c>
      <c r="I9944" s="143">
        <v>0</v>
      </c>
    </row>
    <row r="9945" spans="1:9" x14ac:dyDescent="0.2">
      <c r="A9945" s="172">
        <v>45950</v>
      </c>
      <c r="B9945" s="135">
        <f>YEAR(source[[#This Row],[report_date]])</f>
        <v>2025</v>
      </c>
      <c r="C9945" s="128">
        <f t="shared" si="463"/>
        <v>10</v>
      </c>
      <c r="D9945" s="136">
        <f t="shared" si="465"/>
        <v>43</v>
      </c>
      <c r="E9945" s="136">
        <f t="shared" si="464"/>
        <v>20</v>
      </c>
      <c r="F9945" s="137" t="s">
        <v>24</v>
      </c>
      <c r="G9945" s="128" t="str">
        <f>VLOOKUP(source[[#This Row],[lending_product_transform]],[3]Mapping!$B$4:$C$37,2,0)</f>
        <v>[Cake] - Cashloan</v>
      </c>
      <c r="H9945" s="128" t="str">
        <f>VLOOKUP(source[[#This Row],[lending_product_transform]],[3]Mapping!$B$3:$D$37,3,0)</f>
        <v>cashloan</v>
      </c>
      <c r="I9945" s="143">
        <v>0</v>
      </c>
    </row>
    <row r="9946" spans="1:9" x14ac:dyDescent="0.2">
      <c r="A9946" s="172">
        <v>45950</v>
      </c>
      <c r="B9946" s="135">
        <f>YEAR(source[[#This Row],[report_date]])</f>
        <v>2025</v>
      </c>
      <c r="C9946" s="128">
        <f t="shared" si="463"/>
        <v>10</v>
      </c>
      <c r="D9946" s="136">
        <f t="shared" si="465"/>
        <v>43</v>
      </c>
      <c r="E9946" s="136">
        <f t="shared" si="464"/>
        <v>20</v>
      </c>
      <c r="F9946" s="137" t="s">
        <v>24</v>
      </c>
      <c r="G9946" s="128" t="str">
        <f>VLOOKUP(source[[#This Row],[lending_product_transform]],[3]Mapping!$B$4:$C$37,2,0)</f>
        <v>[Cake] - Cashloan</v>
      </c>
      <c r="H9946" s="128" t="str">
        <f>VLOOKUP(source[[#This Row],[lending_product_transform]],[3]Mapping!$B$3:$D$37,3,0)</f>
        <v>cashloan</v>
      </c>
      <c r="I9946" s="143">
        <v>15000000</v>
      </c>
    </row>
    <row r="9947" spans="1:9" x14ac:dyDescent="0.2">
      <c r="A9947" s="172">
        <v>45950</v>
      </c>
      <c r="B9947" s="135">
        <f>YEAR(source[[#This Row],[report_date]])</f>
        <v>2025</v>
      </c>
      <c r="C9947" s="128">
        <f t="shared" si="463"/>
        <v>10</v>
      </c>
      <c r="D9947" s="136">
        <f t="shared" si="465"/>
        <v>43</v>
      </c>
      <c r="E9947" s="136">
        <f t="shared" si="464"/>
        <v>20</v>
      </c>
      <c r="F9947" s="137" t="s">
        <v>24</v>
      </c>
      <c r="G9947" s="128" t="str">
        <f>VLOOKUP(source[[#This Row],[lending_product_transform]],[3]Mapping!$B$4:$C$37,2,0)</f>
        <v>[Cake] - Cashloan</v>
      </c>
      <c r="H9947" s="128" t="str">
        <f>VLOOKUP(source[[#This Row],[lending_product_transform]],[3]Mapping!$B$3:$D$37,3,0)</f>
        <v>cashloan</v>
      </c>
      <c r="I9947" s="143">
        <v>11223900000</v>
      </c>
    </row>
    <row r="9948" spans="1:9" x14ac:dyDescent="0.2">
      <c r="A9948" s="172">
        <v>45950</v>
      </c>
      <c r="B9948" s="135">
        <f>YEAR(source[[#This Row],[report_date]])</f>
        <v>2025</v>
      </c>
      <c r="C9948" s="128">
        <f t="shared" si="463"/>
        <v>10</v>
      </c>
      <c r="D9948" s="136">
        <f t="shared" si="465"/>
        <v>43</v>
      </c>
      <c r="E9948" s="136">
        <f t="shared" si="464"/>
        <v>20</v>
      </c>
      <c r="F9948" s="137" t="s">
        <v>24</v>
      </c>
      <c r="G9948" s="128" t="str">
        <f>VLOOKUP(source[[#This Row],[lending_product_transform]],[3]Mapping!$B$4:$C$37,2,0)</f>
        <v>[Cake] - Cashloan</v>
      </c>
      <c r="H9948" s="128" t="str">
        <f>VLOOKUP(source[[#This Row],[lending_product_transform]],[3]Mapping!$B$3:$D$37,3,0)</f>
        <v>cashloan</v>
      </c>
      <c r="I9948" s="143">
        <v>240287975</v>
      </c>
    </row>
    <row r="9949" spans="1:9" x14ac:dyDescent="0.2">
      <c r="A9949" s="172">
        <v>45950</v>
      </c>
      <c r="B9949" s="135">
        <f>YEAR(source[[#This Row],[report_date]])</f>
        <v>2025</v>
      </c>
      <c r="C9949" s="128">
        <f t="shared" si="463"/>
        <v>10</v>
      </c>
      <c r="D9949" s="136">
        <f t="shared" si="465"/>
        <v>43</v>
      </c>
      <c r="E9949" s="136">
        <f t="shared" si="464"/>
        <v>20</v>
      </c>
      <c r="F9949" s="137" t="s">
        <v>24</v>
      </c>
      <c r="G9949" s="128" t="str">
        <f>VLOOKUP(source[[#This Row],[lending_product_transform]],[3]Mapping!$B$4:$C$37,2,0)</f>
        <v>[Cake] - Cashloan</v>
      </c>
      <c r="H9949" s="128" t="str">
        <f>VLOOKUP(source[[#This Row],[lending_product_transform]],[3]Mapping!$B$3:$D$37,3,0)</f>
        <v>cashloan</v>
      </c>
      <c r="I9949" s="143">
        <v>50400000</v>
      </c>
    </row>
    <row r="9950" spans="1:9" x14ac:dyDescent="0.2">
      <c r="A9950" s="172">
        <v>45950</v>
      </c>
      <c r="B9950" s="135">
        <f>YEAR(source[[#This Row],[report_date]])</f>
        <v>2025</v>
      </c>
      <c r="C9950" s="128">
        <f t="shared" si="463"/>
        <v>10</v>
      </c>
      <c r="D9950" s="136">
        <f t="shared" si="465"/>
        <v>43</v>
      </c>
      <c r="E9950" s="136">
        <f t="shared" si="464"/>
        <v>20</v>
      </c>
      <c r="F9950" s="137" t="s">
        <v>24</v>
      </c>
      <c r="G9950" s="128" t="str">
        <f>VLOOKUP(source[[#This Row],[lending_product_transform]],[3]Mapping!$B$4:$C$37,2,0)</f>
        <v>[Cake] - Cashloan</v>
      </c>
      <c r="H9950" s="128" t="str">
        <f>VLOOKUP(source[[#This Row],[lending_product_transform]],[3]Mapping!$B$3:$D$37,3,0)</f>
        <v>cashloan</v>
      </c>
      <c r="I9950" s="143">
        <v>5000000</v>
      </c>
    </row>
    <row r="9951" spans="1:9" x14ac:dyDescent="0.2">
      <c r="A9951" s="172">
        <v>45950</v>
      </c>
      <c r="B9951" s="135">
        <f>YEAR(source[[#This Row],[report_date]])</f>
        <v>2025</v>
      </c>
      <c r="C9951" s="128">
        <f t="shared" si="463"/>
        <v>10</v>
      </c>
      <c r="D9951" s="136">
        <f t="shared" si="465"/>
        <v>43</v>
      </c>
      <c r="E9951" s="136">
        <f t="shared" si="464"/>
        <v>20</v>
      </c>
      <c r="F9951" s="137" t="s">
        <v>24</v>
      </c>
      <c r="G9951" s="128" t="str">
        <f>VLOOKUP(source[[#This Row],[lending_product_transform]],[3]Mapping!$B$4:$C$37,2,0)</f>
        <v>[Cake] - Cashloan</v>
      </c>
      <c r="H9951" s="128" t="str">
        <f>VLOOKUP(source[[#This Row],[lending_product_transform]],[3]Mapping!$B$3:$D$37,3,0)</f>
        <v>cashloan</v>
      </c>
      <c r="I9951" s="143">
        <v>598190000</v>
      </c>
    </row>
    <row r="9952" spans="1:9" x14ac:dyDescent="0.2">
      <c r="A9952" s="172">
        <v>45950</v>
      </c>
      <c r="B9952" s="135">
        <f>YEAR(source[[#This Row],[report_date]])</f>
        <v>2025</v>
      </c>
      <c r="C9952" s="128">
        <f t="shared" si="463"/>
        <v>10</v>
      </c>
      <c r="D9952" s="136">
        <f t="shared" si="465"/>
        <v>43</v>
      </c>
      <c r="E9952" s="136">
        <f t="shared" si="464"/>
        <v>20</v>
      </c>
      <c r="F9952" s="137" t="s">
        <v>24</v>
      </c>
      <c r="G9952" s="128" t="str">
        <f>VLOOKUP(source[[#This Row],[lending_product_transform]],[3]Mapping!$B$4:$C$37,2,0)</f>
        <v>[Cake] - Cashloan</v>
      </c>
      <c r="H9952" s="128" t="str">
        <f>VLOOKUP(source[[#This Row],[lending_product_transform]],[3]Mapping!$B$3:$D$37,3,0)</f>
        <v>cashloan</v>
      </c>
      <c r="I9952" s="143">
        <v>233280000</v>
      </c>
    </row>
    <row r="9953" spans="1:9" x14ac:dyDescent="0.2">
      <c r="A9953" s="172">
        <v>45950</v>
      </c>
      <c r="B9953" s="135">
        <f>YEAR(source[[#This Row],[report_date]])</f>
        <v>2025</v>
      </c>
      <c r="C9953" s="128">
        <f t="shared" si="463"/>
        <v>10</v>
      </c>
      <c r="D9953" s="136">
        <f t="shared" si="465"/>
        <v>43</v>
      </c>
      <c r="E9953" s="136">
        <f t="shared" si="464"/>
        <v>20</v>
      </c>
      <c r="F9953" s="137" t="s">
        <v>24</v>
      </c>
      <c r="G9953" s="128" t="str">
        <f>VLOOKUP(source[[#This Row],[lending_product_transform]],[3]Mapping!$B$4:$C$37,2,0)</f>
        <v>[Cake] - Cashloan</v>
      </c>
      <c r="H9953" s="128" t="str">
        <f>VLOOKUP(source[[#This Row],[lending_product_transform]],[3]Mapping!$B$3:$D$37,3,0)</f>
        <v>cashloan</v>
      </c>
      <c r="I9953" s="143">
        <v>388312147</v>
      </c>
    </row>
    <row r="9954" spans="1:9" x14ac:dyDescent="0.2">
      <c r="A9954" s="172">
        <v>45950</v>
      </c>
      <c r="B9954" s="135">
        <f>YEAR(source[[#This Row],[report_date]])</f>
        <v>2025</v>
      </c>
      <c r="C9954" s="128">
        <f t="shared" si="463"/>
        <v>10</v>
      </c>
      <c r="D9954" s="136">
        <f t="shared" si="465"/>
        <v>43</v>
      </c>
      <c r="E9954" s="136">
        <f t="shared" si="464"/>
        <v>20</v>
      </c>
      <c r="F9954" s="137" t="s">
        <v>24</v>
      </c>
      <c r="G9954" s="128" t="str">
        <f>VLOOKUP(source[[#This Row],[lending_product_transform]],[3]Mapping!$B$4:$C$37,2,0)</f>
        <v>[Cake] - Cashloan</v>
      </c>
      <c r="H9954" s="128" t="str">
        <f>VLOOKUP(source[[#This Row],[lending_product_transform]],[3]Mapping!$B$3:$D$37,3,0)</f>
        <v>cashloan</v>
      </c>
      <c r="I9954" s="143">
        <v>3704780000</v>
      </c>
    </row>
    <row r="9955" spans="1:9" x14ac:dyDescent="0.2">
      <c r="A9955" s="172">
        <v>45951</v>
      </c>
      <c r="B9955" s="135">
        <f>YEAR(source[[#This Row],[report_date]])</f>
        <v>2025</v>
      </c>
      <c r="C9955" s="128">
        <f t="shared" si="463"/>
        <v>10</v>
      </c>
      <c r="D9955" s="136">
        <f t="shared" si="465"/>
        <v>43</v>
      </c>
      <c r="E9955" s="136">
        <f t="shared" si="464"/>
        <v>21</v>
      </c>
      <c r="F9955" s="137" t="s">
        <v>24</v>
      </c>
      <c r="G9955" s="128" t="str">
        <f>VLOOKUP(source[[#This Row],[lending_product_transform]],[3]Mapping!$B$4:$C$37,2,0)</f>
        <v>[Cake] - Cashloan</v>
      </c>
      <c r="H9955" s="128" t="str">
        <f>VLOOKUP(source[[#This Row],[lending_product_transform]],[3]Mapping!$B$3:$D$37,3,0)</f>
        <v>cashloan</v>
      </c>
      <c r="I9955" s="143">
        <v>16800000</v>
      </c>
    </row>
    <row r="9956" spans="1:9" x14ac:dyDescent="0.2">
      <c r="A9956" s="172">
        <v>45951</v>
      </c>
      <c r="B9956" s="135">
        <f>YEAR(source[[#This Row],[report_date]])</f>
        <v>2025</v>
      </c>
      <c r="C9956" s="128">
        <f t="shared" si="463"/>
        <v>10</v>
      </c>
      <c r="D9956" s="136">
        <f t="shared" si="465"/>
        <v>43</v>
      </c>
      <c r="E9956" s="136">
        <f t="shared" si="464"/>
        <v>21</v>
      </c>
      <c r="F9956" s="137" t="s">
        <v>24</v>
      </c>
      <c r="G9956" s="128" t="str">
        <f>VLOOKUP(source[[#This Row],[lending_product_transform]],[3]Mapping!$B$4:$C$37,2,0)</f>
        <v>[Cake] - Cashloan</v>
      </c>
      <c r="H9956" s="128" t="str">
        <f>VLOOKUP(source[[#This Row],[lending_product_transform]],[3]Mapping!$B$3:$D$37,3,0)</f>
        <v>cashloan</v>
      </c>
      <c r="I9956" s="143">
        <v>260749044</v>
      </c>
    </row>
    <row r="9957" spans="1:9" x14ac:dyDescent="0.2">
      <c r="A9957" s="172">
        <v>45951</v>
      </c>
      <c r="B9957" s="135">
        <f>YEAR(source[[#This Row],[report_date]])</f>
        <v>2025</v>
      </c>
      <c r="C9957" s="128">
        <f t="shared" si="463"/>
        <v>10</v>
      </c>
      <c r="D9957" s="136">
        <f t="shared" si="465"/>
        <v>43</v>
      </c>
      <c r="E9957" s="136">
        <f t="shared" si="464"/>
        <v>21</v>
      </c>
      <c r="F9957" s="137" t="s">
        <v>24</v>
      </c>
      <c r="G9957" s="128" t="str">
        <f>VLOOKUP(source[[#This Row],[lending_product_transform]],[3]Mapping!$B$4:$C$37,2,0)</f>
        <v>[Cake] - Cashloan</v>
      </c>
      <c r="H9957" s="128" t="str">
        <f>VLOOKUP(source[[#This Row],[lending_product_transform]],[3]Mapping!$B$3:$D$37,3,0)</f>
        <v>cashloan</v>
      </c>
      <c r="I9957" s="143">
        <v>16291690000</v>
      </c>
    </row>
    <row r="9958" spans="1:9" x14ac:dyDescent="0.2">
      <c r="A9958" s="172">
        <v>45951</v>
      </c>
      <c r="B9958" s="135">
        <f>YEAR(source[[#This Row],[report_date]])</f>
        <v>2025</v>
      </c>
      <c r="C9958" s="128">
        <f t="shared" si="463"/>
        <v>10</v>
      </c>
      <c r="D9958" s="136">
        <f t="shared" si="465"/>
        <v>43</v>
      </c>
      <c r="E9958" s="136">
        <f t="shared" si="464"/>
        <v>21</v>
      </c>
      <c r="F9958" s="137" t="s">
        <v>24</v>
      </c>
      <c r="G9958" s="128" t="str">
        <f>VLOOKUP(source[[#This Row],[lending_product_transform]],[3]Mapping!$B$4:$C$37,2,0)</f>
        <v>[Cake] - Cashloan</v>
      </c>
      <c r="H9958" s="128" t="str">
        <f>VLOOKUP(source[[#This Row],[lending_product_transform]],[3]Mapping!$B$3:$D$37,3,0)</f>
        <v>cashloan</v>
      </c>
      <c r="I9958" s="143">
        <v>2463272773</v>
      </c>
    </row>
    <row r="9959" spans="1:9" x14ac:dyDescent="0.2">
      <c r="A9959" s="172">
        <v>45951</v>
      </c>
      <c r="B9959" s="135">
        <f>YEAR(source[[#This Row],[report_date]])</f>
        <v>2025</v>
      </c>
      <c r="C9959" s="128">
        <f t="shared" si="463"/>
        <v>10</v>
      </c>
      <c r="D9959" s="136">
        <f t="shared" si="465"/>
        <v>43</v>
      </c>
      <c r="E9959" s="136">
        <f t="shared" si="464"/>
        <v>21</v>
      </c>
      <c r="F9959" s="137" t="s">
        <v>24</v>
      </c>
      <c r="G9959" s="128" t="str">
        <f>VLOOKUP(source[[#This Row],[lending_product_transform]],[3]Mapping!$B$4:$C$37,2,0)</f>
        <v>[Cake] - Cashloan</v>
      </c>
      <c r="H9959" s="128" t="str">
        <f>VLOOKUP(source[[#This Row],[lending_product_transform]],[3]Mapping!$B$3:$D$37,3,0)</f>
        <v>cashloan</v>
      </c>
      <c r="I9959" s="143">
        <v>7035336000</v>
      </c>
    </row>
    <row r="9960" spans="1:9" x14ac:dyDescent="0.2">
      <c r="A9960" s="172">
        <v>45951</v>
      </c>
      <c r="B9960" s="135">
        <f>YEAR(source[[#This Row],[report_date]])</f>
        <v>2025</v>
      </c>
      <c r="C9960" s="128">
        <f t="shared" si="463"/>
        <v>10</v>
      </c>
      <c r="D9960" s="136">
        <f t="shared" si="465"/>
        <v>43</v>
      </c>
      <c r="E9960" s="136">
        <f t="shared" si="464"/>
        <v>21</v>
      </c>
      <c r="F9960" s="137" t="s">
        <v>24</v>
      </c>
      <c r="G9960" s="128" t="str">
        <f>VLOOKUP(source[[#This Row],[lending_product_transform]],[3]Mapping!$B$4:$C$37,2,0)</f>
        <v>[Cake] - Cashloan</v>
      </c>
      <c r="H9960" s="128" t="str">
        <f>VLOOKUP(source[[#This Row],[lending_product_transform]],[3]Mapping!$B$3:$D$37,3,0)</f>
        <v>cashloan</v>
      </c>
      <c r="I9960" s="143">
        <v>28757491</v>
      </c>
    </row>
    <row r="9961" spans="1:9" x14ac:dyDescent="0.2">
      <c r="A9961" s="172">
        <v>45951</v>
      </c>
      <c r="B9961" s="135">
        <f>YEAR(source[[#This Row],[report_date]])</f>
        <v>2025</v>
      </c>
      <c r="C9961" s="128">
        <f t="shared" si="463"/>
        <v>10</v>
      </c>
      <c r="D9961" s="136">
        <f t="shared" si="465"/>
        <v>43</v>
      </c>
      <c r="E9961" s="136">
        <f t="shared" si="464"/>
        <v>21</v>
      </c>
      <c r="F9961" s="137" t="s">
        <v>24</v>
      </c>
      <c r="G9961" s="128" t="str">
        <f>VLOOKUP(source[[#This Row],[lending_product_transform]],[3]Mapping!$B$4:$C$37,2,0)</f>
        <v>[Cake] - Cashloan</v>
      </c>
      <c r="H9961" s="128" t="str">
        <f>VLOOKUP(source[[#This Row],[lending_product_transform]],[3]Mapping!$B$3:$D$37,3,0)</f>
        <v>cashloan</v>
      </c>
      <c r="I9961" s="143">
        <v>2751910000</v>
      </c>
    </row>
    <row r="9962" spans="1:9" x14ac:dyDescent="0.2">
      <c r="A9962" s="172">
        <v>45951</v>
      </c>
      <c r="B9962" s="135">
        <f>YEAR(source[[#This Row],[report_date]])</f>
        <v>2025</v>
      </c>
      <c r="C9962" s="128">
        <f t="shared" si="463"/>
        <v>10</v>
      </c>
      <c r="D9962" s="136">
        <f t="shared" si="465"/>
        <v>43</v>
      </c>
      <c r="E9962" s="136">
        <f t="shared" si="464"/>
        <v>21</v>
      </c>
      <c r="F9962" s="137" t="s">
        <v>24</v>
      </c>
      <c r="G9962" s="128" t="str">
        <f>VLOOKUP(source[[#This Row],[lending_product_transform]],[3]Mapping!$B$4:$C$37,2,0)</f>
        <v>[Cake] - Cashloan</v>
      </c>
      <c r="H9962" s="128" t="str">
        <f>VLOOKUP(source[[#This Row],[lending_product_transform]],[3]Mapping!$B$3:$D$37,3,0)</f>
        <v>cashloan</v>
      </c>
      <c r="I9962" s="143">
        <v>16450000</v>
      </c>
    </row>
    <row r="9963" spans="1:9" x14ac:dyDescent="0.2">
      <c r="A9963" s="172">
        <v>45951</v>
      </c>
      <c r="B9963" s="135">
        <f>YEAR(source[[#This Row],[report_date]])</f>
        <v>2025</v>
      </c>
      <c r="C9963" s="128">
        <f t="shared" si="463"/>
        <v>10</v>
      </c>
      <c r="D9963" s="136">
        <f t="shared" si="465"/>
        <v>43</v>
      </c>
      <c r="E9963" s="136">
        <f t="shared" si="464"/>
        <v>21</v>
      </c>
      <c r="F9963" s="137" t="s">
        <v>24</v>
      </c>
      <c r="G9963" s="128" t="str">
        <f>VLOOKUP(source[[#This Row],[lending_product_transform]],[3]Mapping!$B$4:$C$37,2,0)</f>
        <v>[Cake] - Cashloan</v>
      </c>
      <c r="H9963" s="128" t="str">
        <f>VLOOKUP(source[[#This Row],[lending_product_transform]],[3]Mapping!$B$3:$D$37,3,0)</f>
        <v>cashloan</v>
      </c>
      <c r="I9963" s="143">
        <v>492962000</v>
      </c>
    </row>
    <row r="9964" spans="1:9" x14ac:dyDescent="0.2">
      <c r="A9964" s="172">
        <v>45951</v>
      </c>
      <c r="B9964" s="135">
        <f>YEAR(source[[#This Row],[report_date]])</f>
        <v>2025</v>
      </c>
      <c r="C9964" s="128">
        <f t="shared" si="463"/>
        <v>10</v>
      </c>
      <c r="D9964" s="136">
        <f t="shared" si="465"/>
        <v>43</v>
      </c>
      <c r="E9964" s="136">
        <f t="shared" si="464"/>
        <v>21</v>
      </c>
      <c r="F9964" s="137" t="s">
        <v>24</v>
      </c>
      <c r="G9964" s="128" t="str">
        <f>VLOOKUP(source[[#This Row],[lending_product_transform]],[3]Mapping!$B$4:$C$37,2,0)</f>
        <v>[Cake] - Cashloan</v>
      </c>
      <c r="H9964" s="128" t="str">
        <f>VLOOKUP(source[[#This Row],[lending_product_transform]],[3]Mapping!$B$3:$D$37,3,0)</f>
        <v>cashloan</v>
      </c>
      <c r="I9964" s="143">
        <v>0</v>
      </c>
    </row>
    <row r="9965" spans="1:9" x14ac:dyDescent="0.2">
      <c r="A9965" s="172">
        <v>45951</v>
      </c>
      <c r="B9965" s="135">
        <f>YEAR(source[[#This Row],[report_date]])</f>
        <v>2025</v>
      </c>
      <c r="C9965" s="128">
        <f t="shared" si="463"/>
        <v>10</v>
      </c>
      <c r="D9965" s="136">
        <f t="shared" si="465"/>
        <v>43</v>
      </c>
      <c r="E9965" s="136">
        <f t="shared" si="464"/>
        <v>21</v>
      </c>
      <c r="F9965" s="137" t="s">
        <v>24</v>
      </c>
      <c r="G9965" s="128" t="str">
        <f>VLOOKUP(source[[#This Row],[lending_product_transform]],[3]Mapping!$B$4:$C$37,2,0)</f>
        <v>[Cake] - Cashloan</v>
      </c>
      <c r="H9965" s="128" t="str">
        <f>VLOOKUP(source[[#This Row],[lending_product_transform]],[3]Mapping!$B$3:$D$37,3,0)</f>
        <v>cashloan</v>
      </c>
      <c r="I9965" s="143">
        <v>309750000</v>
      </c>
    </row>
    <row r="9966" spans="1:9" x14ac:dyDescent="0.2">
      <c r="A9966" s="172">
        <v>45951</v>
      </c>
      <c r="B9966" s="135">
        <f>YEAR(source[[#This Row],[report_date]])</f>
        <v>2025</v>
      </c>
      <c r="C9966" s="128">
        <f t="shared" si="463"/>
        <v>10</v>
      </c>
      <c r="D9966" s="136">
        <f t="shared" si="465"/>
        <v>43</v>
      </c>
      <c r="E9966" s="136">
        <f t="shared" si="464"/>
        <v>21</v>
      </c>
      <c r="F9966" s="137" t="s">
        <v>24</v>
      </c>
      <c r="G9966" s="128" t="str">
        <f>VLOOKUP(source[[#This Row],[lending_product_transform]],[3]Mapping!$B$4:$C$37,2,0)</f>
        <v>[Cake] - Cashloan</v>
      </c>
      <c r="H9966" s="128" t="str">
        <f>VLOOKUP(source[[#This Row],[lending_product_transform]],[3]Mapping!$B$3:$D$37,3,0)</f>
        <v>cashloan</v>
      </c>
      <c r="I9966" s="143">
        <v>16841240000</v>
      </c>
    </row>
    <row r="9967" spans="1:9" x14ac:dyDescent="0.2">
      <c r="A9967" s="172">
        <v>45951</v>
      </c>
      <c r="B9967" s="135">
        <f>YEAR(source[[#This Row],[report_date]])</f>
        <v>2025</v>
      </c>
      <c r="C9967" s="128">
        <f t="shared" si="463"/>
        <v>10</v>
      </c>
      <c r="D9967" s="136">
        <f t="shared" si="465"/>
        <v>43</v>
      </c>
      <c r="E9967" s="136">
        <f t="shared" si="464"/>
        <v>21</v>
      </c>
      <c r="F9967" s="137" t="s">
        <v>24</v>
      </c>
      <c r="G9967" s="128" t="str">
        <f>VLOOKUP(source[[#This Row],[lending_product_transform]],[3]Mapping!$B$4:$C$37,2,0)</f>
        <v>[Cake] - Cashloan</v>
      </c>
      <c r="H9967" s="128" t="str">
        <f>VLOOKUP(source[[#This Row],[lending_product_transform]],[3]Mapping!$B$3:$D$37,3,0)</f>
        <v>cashloan</v>
      </c>
      <c r="I9967" s="143">
        <v>0</v>
      </c>
    </row>
    <row r="9968" spans="1:9" x14ac:dyDescent="0.2">
      <c r="A9968" s="172">
        <v>45951</v>
      </c>
      <c r="B9968" s="135">
        <f>YEAR(source[[#This Row],[report_date]])</f>
        <v>2025</v>
      </c>
      <c r="C9968" s="128">
        <f t="shared" si="463"/>
        <v>10</v>
      </c>
      <c r="D9968" s="136">
        <f t="shared" si="465"/>
        <v>43</v>
      </c>
      <c r="E9968" s="136">
        <f t="shared" si="464"/>
        <v>21</v>
      </c>
      <c r="F9968" s="137" t="s">
        <v>24</v>
      </c>
      <c r="G9968" s="128" t="str">
        <f>VLOOKUP(source[[#This Row],[lending_product_transform]],[3]Mapping!$B$4:$C$37,2,0)</f>
        <v>[Cake] - Cashloan</v>
      </c>
      <c r="H9968" s="128" t="str">
        <f>VLOOKUP(source[[#This Row],[lending_product_transform]],[3]Mapping!$B$3:$D$37,3,0)</f>
        <v>cashloan</v>
      </c>
      <c r="I9968" s="143">
        <v>0</v>
      </c>
    </row>
    <row r="9969" spans="1:9" x14ac:dyDescent="0.2">
      <c r="A9969" s="172">
        <v>45951</v>
      </c>
      <c r="B9969" s="135">
        <f>YEAR(source[[#This Row],[report_date]])</f>
        <v>2025</v>
      </c>
      <c r="C9969" s="128">
        <f t="shared" si="463"/>
        <v>10</v>
      </c>
      <c r="D9969" s="136">
        <f t="shared" si="465"/>
        <v>43</v>
      </c>
      <c r="E9969" s="136">
        <f t="shared" si="464"/>
        <v>21</v>
      </c>
      <c r="F9969" s="137" t="s">
        <v>24</v>
      </c>
      <c r="G9969" s="128" t="str">
        <f>VLOOKUP(source[[#This Row],[lending_product_transform]],[3]Mapping!$B$4:$C$37,2,0)</f>
        <v>[Cake] - Cashloan</v>
      </c>
      <c r="H9969" s="128" t="str">
        <f>VLOOKUP(source[[#This Row],[lending_product_transform]],[3]Mapping!$B$3:$D$37,3,0)</f>
        <v>cashloan</v>
      </c>
      <c r="I9969" s="143">
        <v>0</v>
      </c>
    </row>
    <row r="9970" spans="1:9" x14ac:dyDescent="0.2">
      <c r="A9970" s="172">
        <v>45951</v>
      </c>
      <c r="B9970" s="135">
        <f>YEAR(source[[#This Row],[report_date]])</f>
        <v>2025</v>
      </c>
      <c r="C9970" s="128">
        <f t="shared" si="463"/>
        <v>10</v>
      </c>
      <c r="D9970" s="136">
        <f t="shared" si="465"/>
        <v>43</v>
      </c>
      <c r="E9970" s="136">
        <f t="shared" si="464"/>
        <v>21</v>
      </c>
      <c r="F9970" s="137" t="s">
        <v>24</v>
      </c>
      <c r="G9970" s="128" t="str">
        <f>VLOOKUP(source[[#This Row],[lending_product_transform]],[3]Mapping!$B$4:$C$37,2,0)</f>
        <v>[Cake] - Cashloan</v>
      </c>
      <c r="H9970" s="128" t="str">
        <f>VLOOKUP(source[[#This Row],[lending_product_transform]],[3]Mapping!$B$3:$D$37,3,0)</f>
        <v>cashloan</v>
      </c>
      <c r="I9970" s="143">
        <v>0</v>
      </c>
    </row>
    <row r="9971" spans="1:9" x14ac:dyDescent="0.2">
      <c r="A9971" s="172">
        <v>45951</v>
      </c>
      <c r="B9971" s="135">
        <f>YEAR(source[[#This Row],[report_date]])</f>
        <v>2025</v>
      </c>
      <c r="C9971" s="128">
        <f t="shared" si="463"/>
        <v>10</v>
      </c>
      <c r="D9971" s="136">
        <f t="shared" si="465"/>
        <v>43</v>
      </c>
      <c r="E9971" s="136">
        <f t="shared" si="464"/>
        <v>21</v>
      </c>
      <c r="F9971" s="137" t="s">
        <v>24</v>
      </c>
      <c r="G9971" s="128" t="str">
        <f>VLOOKUP(source[[#This Row],[lending_product_transform]],[3]Mapping!$B$4:$C$37,2,0)</f>
        <v>[Cake] - Cashloan</v>
      </c>
      <c r="H9971" s="128" t="str">
        <f>VLOOKUP(source[[#This Row],[lending_product_transform]],[3]Mapping!$B$3:$D$37,3,0)</f>
        <v>cashloan</v>
      </c>
      <c r="I9971" s="143">
        <v>9148140000</v>
      </c>
    </row>
    <row r="9972" spans="1:9" x14ac:dyDescent="0.2">
      <c r="A9972" s="172">
        <v>45951</v>
      </c>
      <c r="B9972" s="135">
        <f>YEAR(source[[#This Row],[report_date]])</f>
        <v>2025</v>
      </c>
      <c r="C9972" s="128">
        <f t="shared" si="463"/>
        <v>10</v>
      </c>
      <c r="D9972" s="136">
        <f t="shared" si="465"/>
        <v>43</v>
      </c>
      <c r="E9972" s="136">
        <f t="shared" si="464"/>
        <v>21</v>
      </c>
      <c r="F9972" s="137" t="s">
        <v>24</v>
      </c>
      <c r="G9972" s="128" t="str">
        <f>VLOOKUP(source[[#This Row],[lending_product_transform]],[3]Mapping!$B$4:$C$37,2,0)</f>
        <v>[Cake] - Cashloan</v>
      </c>
      <c r="H9972" s="128" t="str">
        <f>VLOOKUP(source[[#This Row],[lending_product_transform]],[3]Mapping!$B$3:$D$37,3,0)</f>
        <v>cashloan</v>
      </c>
      <c r="I9972" s="143">
        <v>262760668</v>
      </c>
    </row>
    <row r="9973" spans="1:9" x14ac:dyDescent="0.2">
      <c r="A9973" s="172">
        <v>45951</v>
      </c>
      <c r="B9973" s="135">
        <f>YEAR(source[[#This Row],[report_date]])</f>
        <v>2025</v>
      </c>
      <c r="C9973" s="128">
        <f t="shared" si="463"/>
        <v>10</v>
      </c>
      <c r="D9973" s="136">
        <f t="shared" si="465"/>
        <v>43</v>
      </c>
      <c r="E9973" s="136">
        <f t="shared" si="464"/>
        <v>21</v>
      </c>
      <c r="F9973" s="137" t="s">
        <v>24</v>
      </c>
      <c r="G9973" s="128" t="str">
        <f>VLOOKUP(source[[#This Row],[lending_product_transform]],[3]Mapping!$B$4:$C$37,2,0)</f>
        <v>[Cake] - Cashloan</v>
      </c>
      <c r="H9973" s="128" t="str">
        <f>VLOOKUP(source[[#This Row],[lending_product_transform]],[3]Mapping!$B$3:$D$37,3,0)</f>
        <v>cashloan</v>
      </c>
      <c r="I9973" s="143">
        <v>66750000</v>
      </c>
    </row>
    <row r="9974" spans="1:9" x14ac:dyDescent="0.2">
      <c r="A9974" s="172">
        <v>45951</v>
      </c>
      <c r="B9974" s="135">
        <f>YEAR(source[[#This Row],[report_date]])</f>
        <v>2025</v>
      </c>
      <c r="C9974" s="128">
        <f t="shared" ref="C9974:C10037" si="466">MONTH(A9974)</f>
        <v>10</v>
      </c>
      <c r="D9974" s="136">
        <f t="shared" si="465"/>
        <v>43</v>
      </c>
      <c r="E9974" s="136">
        <f t="shared" ref="E9974:E10037" si="467">DAY(A9974)</f>
        <v>21</v>
      </c>
      <c r="F9974" s="137" t="s">
        <v>24</v>
      </c>
      <c r="G9974" s="128" t="str">
        <f>VLOOKUP(source[[#This Row],[lending_product_transform]],[3]Mapping!$B$4:$C$37,2,0)</f>
        <v>[Cake] - Cashloan</v>
      </c>
      <c r="H9974" s="128" t="str">
        <f>VLOOKUP(source[[#This Row],[lending_product_transform]],[3]Mapping!$B$3:$D$37,3,0)</f>
        <v>cashloan</v>
      </c>
      <c r="I9974" s="143">
        <v>20000000</v>
      </c>
    </row>
    <row r="9975" spans="1:9" x14ac:dyDescent="0.2">
      <c r="A9975" s="172">
        <v>45951</v>
      </c>
      <c r="B9975" s="135">
        <f>YEAR(source[[#This Row],[report_date]])</f>
        <v>2025</v>
      </c>
      <c r="C9975" s="128">
        <f t="shared" si="466"/>
        <v>10</v>
      </c>
      <c r="D9975" s="136">
        <f t="shared" si="465"/>
        <v>43</v>
      </c>
      <c r="E9975" s="136">
        <f t="shared" si="467"/>
        <v>21</v>
      </c>
      <c r="F9975" s="137" t="s">
        <v>24</v>
      </c>
      <c r="G9975" s="128" t="str">
        <f>VLOOKUP(source[[#This Row],[lending_product_transform]],[3]Mapping!$B$4:$C$37,2,0)</f>
        <v>[Cake] - Cashloan</v>
      </c>
      <c r="H9975" s="128" t="str">
        <f>VLOOKUP(source[[#This Row],[lending_product_transform]],[3]Mapping!$B$3:$D$37,3,0)</f>
        <v>cashloan</v>
      </c>
      <c r="I9975" s="143">
        <v>847950000</v>
      </c>
    </row>
    <row r="9976" spans="1:9" x14ac:dyDescent="0.2">
      <c r="A9976" s="172">
        <v>45951</v>
      </c>
      <c r="B9976" s="135">
        <f>YEAR(source[[#This Row],[report_date]])</f>
        <v>2025</v>
      </c>
      <c r="C9976" s="128">
        <f t="shared" si="466"/>
        <v>10</v>
      </c>
      <c r="D9976" s="136">
        <f t="shared" si="465"/>
        <v>43</v>
      </c>
      <c r="E9976" s="136">
        <f t="shared" si="467"/>
        <v>21</v>
      </c>
      <c r="F9976" s="137" t="s">
        <v>24</v>
      </c>
      <c r="G9976" s="128" t="str">
        <f>VLOOKUP(source[[#This Row],[lending_product_transform]],[3]Mapping!$B$4:$C$37,2,0)</f>
        <v>[Cake] - Cashloan</v>
      </c>
      <c r="H9976" s="128" t="str">
        <f>VLOOKUP(source[[#This Row],[lending_product_transform]],[3]Mapping!$B$3:$D$37,3,0)</f>
        <v>cashloan</v>
      </c>
      <c r="I9976" s="143">
        <v>205200000</v>
      </c>
    </row>
    <row r="9977" spans="1:9" x14ac:dyDescent="0.2">
      <c r="A9977" s="172">
        <v>45951</v>
      </c>
      <c r="B9977" s="135">
        <f>YEAR(source[[#This Row],[report_date]])</f>
        <v>2025</v>
      </c>
      <c r="C9977" s="128">
        <f t="shared" si="466"/>
        <v>10</v>
      </c>
      <c r="D9977" s="136">
        <f t="shared" si="465"/>
        <v>43</v>
      </c>
      <c r="E9977" s="136">
        <f t="shared" si="467"/>
        <v>21</v>
      </c>
      <c r="F9977" s="137" t="s">
        <v>24</v>
      </c>
      <c r="G9977" s="128" t="str">
        <f>VLOOKUP(source[[#This Row],[lending_product_transform]],[3]Mapping!$B$4:$C$37,2,0)</f>
        <v>[Cake] - Cashloan</v>
      </c>
      <c r="H9977" s="128" t="str">
        <f>VLOOKUP(source[[#This Row],[lending_product_transform]],[3]Mapping!$B$3:$D$37,3,0)</f>
        <v>cashloan</v>
      </c>
      <c r="I9977" s="143">
        <v>428209664</v>
      </c>
    </row>
    <row r="9978" spans="1:9" x14ac:dyDescent="0.2">
      <c r="A9978" s="172">
        <v>45951</v>
      </c>
      <c r="B9978" s="135">
        <f>YEAR(source[[#This Row],[report_date]])</f>
        <v>2025</v>
      </c>
      <c r="C9978" s="128">
        <f t="shared" si="466"/>
        <v>10</v>
      </c>
      <c r="D9978" s="136">
        <f t="shared" si="465"/>
        <v>43</v>
      </c>
      <c r="E9978" s="136">
        <f t="shared" si="467"/>
        <v>21</v>
      </c>
      <c r="F9978" s="137" t="s">
        <v>24</v>
      </c>
      <c r="G9978" s="128" t="str">
        <f>VLOOKUP(source[[#This Row],[lending_product_transform]],[3]Mapping!$B$4:$C$37,2,0)</f>
        <v>[Cake] - Cashloan</v>
      </c>
      <c r="H9978" s="128" t="str">
        <f>VLOOKUP(source[[#This Row],[lending_product_transform]],[3]Mapping!$B$3:$D$37,3,0)</f>
        <v>cashloan</v>
      </c>
      <c r="I9978" s="143">
        <v>3899790000</v>
      </c>
    </row>
    <row r="9979" spans="1:9" x14ac:dyDescent="0.2">
      <c r="A9979" s="172">
        <v>45952</v>
      </c>
      <c r="B9979" s="135">
        <f>YEAR(source[[#This Row],[report_date]])</f>
        <v>2025</v>
      </c>
      <c r="C9979" s="128">
        <f t="shared" si="466"/>
        <v>10</v>
      </c>
      <c r="D9979" s="136">
        <f t="shared" si="465"/>
        <v>43</v>
      </c>
      <c r="E9979" s="136">
        <f t="shared" si="467"/>
        <v>22</v>
      </c>
      <c r="F9979" s="137" t="s">
        <v>24</v>
      </c>
      <c r="G9979" s="128" t="str">
        <f>VLOOKUP(source[[#This Row],[lending_product_transform]],[3]Mapping!$B$4:$C$37,2,0)</f>
        <v>[Cake] - Cashloan</v>
      </c>
      <c r="H9979" s="128" t="str">
        <f>VLOOKUP(source[[#This Row],[lending_product_transform]],[3]Mapping!$B$3:$D$37,3,0)</f>
        <v>cashloan</v>
      </c>
      <c r="I9979" s="143">
        <v>105000000</v>
      </c>
    </row>
    <row r="9980" spans="1:9" x14ac:dyDescent="0.2">
      <c r="A9980" s="172">
        <v>45952</v>
      </c>
      <c r="B9980" s="135">
        <f>YEAR(source[[#This Row],[report_date]])</f>
        <v>2025</v>
      </c>
      <c r="C9980" s="128">
        <f t="shared" si="466"/>
        <v>10</v>
      </c>
      <c r="D9980" s="136">
        <f t="shared" si="465"/>
        <v>43</v>
      </c>
      <c r="E9980" s="136">
        <f t="shared" si="467"/>
        <v>22</v>
      </c>
      <c r="F9980" s="137" t="s">
        <v>24</v>
      </c>
      <c r="G9980" s="128" t="str">
        <f>VLOOKUP(source[[#This Row],[lending_product_transform]],[3]Mapping!$B$4:$C$37,2,0)</f>
        <v>[Cake] - Cashloan</v>
      </c>
      <c r="H9980" s="128" t="str">
        <f>VLOOKUP(source[[#This Row],[lending_product_transform]],[3]Mapping!$B$3:$D$37,3,0)</f>
        <v>cashloan</v>
      </c>
      <c r="I9980" s="143">
        <v>243978540</v>
      </c>
    </row>
    <row r="9981" spans="1:9" x14ac:dyDescent="0.2">
      <c r="A9981" s="172">
        <v>45952</v>
      </c>
      <c r="B9981" s="135">
        <f>YEAR(source[[#This Row],[report_date]])</f>
        <v>2025</v>
      </c>
      <c r="C9981" s="128">
        <f t="shared" si="466"/>
        <v>10</v>
      </c>
      <c r="D9981" s="136">
        <f t="shared" si="465"/>
        <v>43</v>
      </c>
      <c r="E9981" s="136">
        <f t="shared" si="467"/>
        <v>22</v>
      </c>
      <c r="F9981" s="137" t="s">
        <v>24</v>
      </c>
      <c r="G9981" s="128" t="str">
        <f>VLOOKUP(source[[#This Row],[lending_product_transform]],[3]Mapping!$B$4:$C$37,2,0)</f>
        <v>[Cake] - Cashloan</v>
      </c>
      <c r="H9981" s="128" t="str">
        <f>VLOOKUP(source[[#This Row],[lending_product_transform]],[3]Mapping!$B$3:$D$37,3,0)</f>
        <v>cashloan</v>
      </c>
      <c r="I9981" s="143">
        <v>16849730000</v>
      </c>
    </row>
    <row r="9982" spans="1:9" x14ac:dyDescent="0.2">
      <c r="A9982" s="172">
        <v>45952</v>
      </c>
      <c r="B9982" s="135">
        <f>YEAR(source[[#This Row],[report_date]])</f>
        <v>2025</v>
      </c>
      <c r="C9982" s="128">
        <f t="shared" si="466"/>
        <v>10</v>
      </c>
      <c r="D9982" s="136">
        <f t="shared" si="465"/>
        <v>43</v>
      </c>
      <c r="E9982" s="136">
        <f t="shared" si="467"/>
        <v>22</v>
      </c>
      <c r="F9982" s="137" t="s">
        <v>24</v>
      </c>
      <c r="G9982" s="128" t="str">
        <f>VLOOKUP(source[[#This Row],[lending_product_transform]],[3]Mapping!$B$4:$C$37,2,0)</f>
        <v>[Cake] - Cashloan</v>
      </c>
      <c r="H9982" s="128" t="str">
        <f>VLOOKUP(source[[#This Row],[lending_product_transform]],[3]Mapping!$B$3:$D$37,3,0)</f>
        <v>cashloan</v>
      </c>
      <c r="I9982" s="143">
        <v>2155599139</v>
      </c>
    </row>
    <row r="9983" spans="1:9" x14ac:dyDescent="0.2">
      <c r="A9983" s="172">
        <v>45952</v>
      </c>
      <c r="B9983" s="135">
        <f>YEAR(source[[#This Row],[report_date]])</f>
        <v>2025</v>
      </c>
      <c r="C9983" s="128">
        <f t="shared" si="466"/>
        <v>10</v>
      </c>
      <c r="D9983" s="136">
        <f t="shared" si="465"/>
        <v>43</v>
      </c>
      <c r="E9983" s="136">
        <f t="shared" si="467"/>
        <v>22</v>
      </c>
      <c r="F9983" s="137" t="s">
        <v>24</v>
      </c>
      <c r="G9983" s="128" t="str">
        <f>VLOOKUP(source[[#This Row],[lending_product_transform]],[3]Mapping!$B$4:$C$37,2,0)</f>
        <v>[Cake] - Cashloan</v>
      </c>
      <c r="H9983" s="128" t="str">
        <f>VLOOKUP(source[[#This Row],[lending_product_transform]],[3]Mapping!$B$3:$D$37,3,0)</f>
        <v>cashloan</v>
      </c>
      <c r="I9983" s="143">
        <v>7421328000</v>
      </c>
    </row>
    <row r="9984" spans="1:9" x14ac:dyDescent="0.2">
      <c r="A9984" s="172">
        <v>45952</v>
      </c>
      <c r="B9984" s="135">
        <f>YEAR(source[[#This Row],[report_date]])</f>
        <v>2025</v>
      </c>
      <c r="C9984" s="128">
        <f t="shared" si="466"/>
        <v>10</v>
      </c>
      <c r="D9984" s="136">
        <f t="shared" si="465"/>
        <v>43</v>
      </c>
      <c r="E9984" s="136">
        <f t="shared" si="467"/>
        <v>22</v>
      </c>
      <c r="F9984" s="137" t="s">
        <v>24</v>
      </c>
      <c r="G9984" s="128" t="str">
        <f>VLOOKUP(source[[#This Row],[lending_product_transform]],[3]Mapping!$B$4:$C$37,2,0)</f>
        <v>[Cake] - Cashloan</v>
      </c>
      <c r="H9984" s="128" t="str">
        <f>VLOOKUP(source[[#This Row],[lending_product_transform]],[3]Mapping!$B$3:$D$37,3,0)</f>
        <v>cashloan</v>
      </c>
      <c r="I9984" s="143">
        <v>36861525</v>
      </c>
    </row>
    <row r="9985" spans="1:9" x14ac:dyDescent="0.2">
      <c r="A9985" s="172">
        <v>45952</v>
      </c>
      <c r="B9985" s="135">
        <f>YEAR(source[[#This Row],[report_date]])</f>
        <v>2025</v>
      </c>
      <c r="C9985" s="128">
        <f t="shared" si="466"/>
        <v>10</v>
      </c>
      <c r="D9985" s="136">
        <f t="shared" si="465"/>
        <v>43</v>
      </c>
      <c r="E9985" s="136">
        <f t="shared" si="467"/>
        <v>22</v>
      </c>
      <c r="F9985" s="137" t="s">
        <v>24</v>
      </c>
      <c r="G9985" s="128" t="str">
        <f>VLOOKUP(source[[#This Row],[lending_product_transform]],[3]Mapping!$B$4:$C$37,2,0)</f>
        <v>[Cake] - Cashloan</v>
      </c>
      <c r="H9985" s="128" t="str">
        <f>VLOOKUP(source[[#This Row],[lending_product_transform]],[3]Mapping!$B$3:$D$37,3,0)</f>
        <v>cashloan</v>
      </c>
      <c r="I9985" s="143">
        <v>2576860000</v>
      </c>
    </row>
    <row r="9986" spans="1:9" x14ac:dyDescent="0.2">
      <c r="A9986" s="172">
        <v>45952</v>
      </c>
      <c r="B9986" s="135">
        <f>YEAR(source[[#This Row],[report_date]])</f>
        <v>2025</v>
      </c>
      <c r="C9986" s="128">
        <f t="shared" si="466"/>
        <v>10</v>
      </c>
      <c r="D9986" s="136">
        <f t="shared" si="465"/>
        <v>43</v>
      </c>
      <c r="E9986" s="136">
        <f t="shared" si="467"/>
        <v>22</v>
      </c>
      <c r="F9986" s="137" t="s">
        <v>24</v>
      </c>
      <c r="G9986" s="128" t="str">
        <f>VLOOKUP(source[[#This Row],[lending_product_transform]],[3]Mapping!$B$4:$C$37,2,0)</f>
        <v>[Cake] - Cashloan</v>
      </c>
      <c r="H9986" s="128" t="str">
        <f>VLOOKUP(source[[#This Row],[lending_product_transform]],[3]Mapping!$B$3:$D$37,3,0)</f>
        <v>cashloan</v>
      </c>
      <c r="I9986" s="143">
        <v>14094000</v>
      </c>
    </row>
    <row r="9987" spans="1:9" x14ac:dyDescent="0.2">
      <c r="A9987" s="172">
        <v>45952</v>
      </c>
      <c r="B9987" s="135">
        <f>YEAR(source[[#This Row],[report_date]])</f>
        <v>2025</v>
      </c>
      <c r="C9987" s="128">
        <f t="shared" si="466"/>
        <v>10</v>
      </c>
      <c r="D9987" s="136">
        <f t="shared" ref="D9987:D10050" si="468">WEEKNUM(A9987,2)</f>
        <v>43</v>
      </c>
      <c r="E9987" s="136">
        <f t="shared" si="467"/>
        <v>22</v>
      </c>
      <c r="F9987" s="137" t="s">
        <v>24</v>
      </c>
      <c r="G9987" s="128" t="str">
        <f>VLOOKUP(source[[#This Row],[lending_product_transform]],[3]Mapping!$B$4:$C$37,2,0)</f>
        <v>[Cake] - Cashloan</v>
      </c>
      <c r="H9987" s="128" t="str">
        <f>VLOOKUP(source[[#This Row],[lending_product_transform]],[3]Mapping!$B$3:$D$37,3,0)</f>
        <v>cashloan</v>
      </c>
      <c r="I9987" s="143">
        <v>425235000</v>
      </c>
    </row>
    <row r="9988" spans="1:9" x14ac:dyDescent="0.2">
      <c r="A9988" s="172">
        <v>45952</v>
      </c>
      <c r="B9988" s="135">
        <f>YEAR(source[[#This Row],[report_date]])</f>
        <v>2025</v>
      </c>
      <c r="C9988" s="128">
        <f t="shared" si="466"/>
        <v>10</v>
      </c>
      <c r="D9988" s="136">
        <f t="shared" si="468"/>
        <v>43</v>
      </c>
      <c r="E9988" s="136">
        <f t="shared" si="467"/>
        <v>22</v>
      </c>
      <c r="F9988" s="137" t="s">
        <v>24</v>
      </c>
      <c r="G9988" s="128" t="str">
        <f>VLOOKUP(source[[#This Row],[lending_product_transform]],[3]Mapping!$B$4:$C$37,2,0)</f>
        <v>[Cake] - Cashloan</v>
      </c>
      <c r="H9988" s="128" t="str">
        <f>VLOOKUP(source[[#This Row],[lending_product_transform]],[3]Mapping!$B$3:$D$37,3,0)</f>
        <v>cashloan</v>
      </c>
      <c r="I9988" s="143">
        <v>0</v>
      </c>
    </row>
    <row r="9989" spans="1:9" x14ac:dyDescent="0.2">
      <c r="A9989" s="172">
        <v>45952</v>
      </c>
      <c r="B9989" s="135">
        <f>YEAR(source[[#This Row],[report_date]])</f>
        <v>2025</v>
      </c>
      <c r="C9989" s="128">
        <f t="shared" si="466"/>
        <v>10</v>
      </c>
      <c r="D9989" s="136">
        <f t="shared" si="468"/>
        <v>43</v>
      </c>
      <c r="E9989" s="136">
        <f t="shared" si="467"/>
        <v>22</v>
      </c>
      <c r="F9989" s="137" t="s">
        <v>24</v>
      </c>
      <c r="G9989" s="128" t="str">
        <f>VLOOKUP(source[[#This Row],[lending_product_transform]],[3]Mapping!$B$4:$C$37,2,0)</f>
        <v>[Cake] - Cashloan</v>
      </c>
      <c r="H9989" s="128" t="str">
        <f>VLOOKUP(source[[#This Row],[lending_product_transform]],[3]Mapping!$B$3:$D$37,3,0)</f>
        <v>cashloan</v>
      </c>
      <c r="I9989" s="143">
        <v>146000000</v>
      </c>
    </row>
    <row r="9990" spans="1:9" x14ac:dyDescent="0.2">
      <c r="A9990" s="172">
        <v>45952</v>
      </c>
      <c r="B9990" s="135">
        <f>YEAR(source[[#This Row],[report_date]])</f>
        <v>2025</v>
      </c>
      <c r="C9990" s="128">
        <f t="shared" si="466"/>
        <v>10</v>
      </c>
      <c r="D9990" s="136">
        <f t="shared" si="468"/>
        <v>43</v>
      </c>
      <c r="E9990" s="136">
        <f t="shared" si="467"/>
        <v>22</v>
      </c>
      <c r="F9990" s="137" t="s">
        <v>24</v>
      </c>
      <c r="G9990" s="128" t="str">
        <f>VLOOKUP(source[[#This Row],[lending_product_transform]],[3]Mapping!$B$4:$C$37,2,0)</f>
        <v>[Cake] - Cashloan</v>
      </c>
      <c r="H9990" s="128" t="str">
        <f>VLOOKUP(source[[#This Row],[lending_product_transform]],[3]Mapping!$B$3:$D$37,3,0)</f>
        <v>cashloan</v>
      </c>
      <c r="I9990" s="143">
        <v>16968470000</v>
      </c>
    </row>
    <row r="9991" spans="1:9" x14ac:dyDescent="0.2">
      <c r="A9991" s="172">
        <v>45952</v>
      </c>
      <c r="B9991" s="135">
        <f>YEAR(source[[#This Row],[report_date]])</f>
        <v>2025</v>
      </c>
      <c r="C9991" s="128">
        <f t="shared" si="466"/>
        <v>10</v>
      </c>
      <c r="D9991" s="136">
        <f t="shared" si="468"/>
        <v>43</v>
      </c>
      <c r="E9991" s="136">
        <f t="shared" si="467"/>
        <v>22</v>
      </c>
      <c r="F9991" s="137" t="s">
        <v>24</v>
      </c>
      <c r="G9991" s="128" t="str">
        <f>VLOOKUP(source[[#This Row],[lending_product_transform]],[3]Mapping!$B$4:$C$37,2,0)</f>
        <v>[Cake] - Cashloan</v>
      </c>
      <c r="H9991" s="128" t="str">
        <f>VLOOKUP(source[[#This Row],[lending_product_transform]],[3]Mapping!$B$3:$D$37,3,0)</f>
        <v>cashloan</v>
      </c>
      <c r="I9991" s="143">
        <v>0</v>
      </c>
    </row>
    <row r="9992" spans="1:9" x14ac:dyDescent="0.2">
      <c r="A9992" s="172">
        <v>45952</v>
      </c>
      <c r="B9992" s="135">
        <f>YEAR(source[[#This Row],[report_date]])</f>
        <v>2025</v>
      </c>
      <c r="C9992" s="128">
        <f t="shared" si="466"/>
        <v>10</v>
      </c>
      <c r="D9992" s="136">
        <f t="shared" si="468"/>
        <v>43</v>
      </c>
      <c r="E9992" s="136">
        <f t="shared" si="467"/>
        <v>22</v>
      </c>
      <c r="F9992" s="137" t="s">
        <v>24</v>
      </c>
      <c r="G9992" s="128" t="str">
        <f>VLOOKUP(source[[#This Row],[lending_product_transform]],[3]Mapping!$B$4:$C$37,2,0)</f>
        <v>[Cake] - Cashloan</v>
      </c>
      <c r="H9992" s="128" t="str">
        <f>VLOOKUP(source[[#This Row],[lending_product_transform]],[3]Mapping!$B$3:$D$37,3,0)</f>
        <v>cashloan</v>
      </c>
      <c r="I9992" s="143">
        <v>0</v>
      </c>
    </row>
    <row r="9993" spans="1:9" x14ac:dyDescent="0.2">
      <c r="A9993" s="172">
        <v>45952</v>
      </c>
      <c r="B9993" s="135">
        <f>YEAR(source[[#This Row],[report_date]])</f>
        <v>2025</v>
      </c>
      <c r="C9993" s="128">
        <f t="shared" si="466"/>
        <v>10</v>
      </c>
      <c r="D9993" s="136">
        <f t="shared" si="468"/>
        <v>43</v>
      </c>
      <c r="E9993" s="136">
        <f t="shared" si="467"/>
        <v>22</v>
      </c>
      <c r="F9993" s="137" t="s">
        <v>24</v>
      </c>
      <c r="G9993" s="128" t="str">
        <f>VLOOKUP(source[[#This Row],[lending_product_transform]],[3]Mapping!$B$4:$C$37,2,0)</f>
        <v>[Cake] - Cashloan</v>
      </c>
      <c r="H9993" s="128" t="str">
        <f>VLOOKUP(source[[#This Row],[lending_product_transform]],[3]Mapping!$B$3:$D$37,3,0)</f>
        <v>cashloan</v>
      </c>
      <c r="I9993" s="143">
        <v>0</v>
      </c>
    </row>
    <row r="9994" spans="1:9" x14ac:dyDescent="0.2">
      <c r="A9994" s="172">
        <v>45952</v>
      </c>
      <c r="B9994" s="135">
        <f>YEAR(source[[#This Row],[report_date]])</f>
        <v>2025</v>
      </c>
      <c r="C9994" s="128">
        <f t="shared" si="466"/>
        <v>10</v>
      </c>
      <c r="D9994" s="136">
        <f t="shared" si="468"/>
        <v>43</v>
      </c>
      <c r="E9994" s="136">
        <f t="shared" si="467"/>
        <v>22</v>
      </c>
      <c r="F9994" s="137" t="s">
        <v>24</v>
      </c>
      <c r="G9994" s="128" t="str">
        <f>VLOOKUP(source[[#This Row],[lending_product_transform]],[3]Mapping!$B$4:$C$37,2,0)</f>
        <v>[Cake] - Cashloan</v>
      </c>
      <c r="H9994" s="128" t="str">
        <f>VLOOKUP(source[[#This Row],[lending_product_transform]],[3]Mapping!$B$3:$D$37,3,0)</f>
        <v>cashloan</v>
      </c>
      <c r="I9994" s="143">
        <v>10000000</v>
      </c>
    </row>
    <row r="9995" spans="1:9" x14ac:dyDescent="0.2">
      <c r="A9995" s="172">
        <v>45952</v>
      </c>
      <c r="B9995" s="135">
        <f>YEAR(source[[#This Row],[report_date]])</f>
        <v>2025</v>
      </c>
      <c r="C9995" s="128">
        <f t="shared" si="466"/>
        <v>10</v>
      </c>
      <c r="D9995" s="136">
        <f t="shared" si="468"/>
        <v>43</v>
      </c>
      <c r="E9995" s="136">
        <f t="shared" si="467"/>
        <v>22</v>
      </c>
      <c r="F9995" s="137" t="s">
        <v>24</v>
      </c>
      <c r="G9995" s="128" t="str">
        <f>VLOOKUP(source[[#This Row],[lending_product_transform]],[3]Mapping!$B$4:$C$37,2,0)</f>
        <v>[Cake] - Cashloan</v>
      </c>
      <c r="H9995" s="128" t="str">
        <f>VLOOKUP(source[[#This Row],[lending_product_transform]],[3]Mapping!$B$3:$D$37,3,0)</f>
        <v>cashloan</v>
      </c>
      <c r="I9995" s="143">
        <v>9479268000</v>
      </c>
    </row>
    <row r="9996" spans="1:9" x14ac:dyDescent="0.2">
      <c r="A9996" s="172">
        <v>45952</v>
      </c>
      <c r="B9996" s="135">
        <f>YEAR(source[[#This Row],[report_date]])</f>
        <v>2025</v>
      </c>
      <c r="C9996" s="128">
        <f t="shared" si="466"/>
        <v>10</v>
      </c>
      <c r="D9996" s="136">
        <f t="shared" si="468"/>
        <v>43</v>
      </c>
      <c r="E9996" s="136">
        <f t="shared" si="467"/>
        <v>22</v>
      </c>
      <c r="F9996" s="137" t="s">
        <v>24</v>
      </c>
      <c r="G9996" s="128" t="str">
        <f>VLOOKUP(source[[#This Row],[lending_product_transform]],[3]Mapping!$B$4:$C$37,2,0)</f>
        <v>[Cake] - Cashloan</v>
      </c>
      <c r="H9996" s="128" t="str">
        <f>VLOOKUP(source[[#This Row],[lending_product_transform]],[3]Mapping!$B$3:$D$37,3,0)</f>
        <v>cashloan</v>
      </c>
      <c r="I9996" s="143">
        <v>203588058</v>
      </c>
    </row>
    <row r="9997" spans="1:9" x14ac:dyDescent="0.2">
      <c r="A9997" s="172">
        <v>45952</v>
      </c>
      <c r="B9997" s="135">
        <f>YEAR(source[[#This Row],[report_date]])</f>
        <v>2025</v>
      </c>
      <c r="C9997" s="128">
        <f t="shared" si="466"/>
        <v>10</v>
      </c>
      <c r="D9997" s="136">
        <f t="shared" si="468"/>
        <v>43</v>
      </c>
      <c r="E9997" s="136">
        <f t="shared" si="467"/>
        <v>22</v>
      </c>
      <c r="F9997" s="137" t="s">
        <v>24</v>
      </c>
      <c r="G9997" s="128" t="str">
        <f>VLOOKUP(source[[#This Row],[lending_product_transform]],[3]Mapping!$B$4:$C$37,2,0)</f>
        <v>[Cake] - Cashloan</v>
      </c>
      <c r="H9997" s="128" t="str">
        <f>VLOOKUP(source[[#This Row],[lending_product_transform]],[3]Mapping!$B$3:$D$37,3,0)</f>
        <v>cashloan</v>
      </c>
      <c r="I9997" s="143">
        <v>72500000</v>
      </c>
    </row>
    <row r="9998" spans="1:9" x14ac:dyDescent="0.2">
      <c r="A9998" s="172">
        <v>45952</v>
      </c>
      <c r="B9998" s="135">
        <f>YEAR(source[[#This Row],[report_date]])</f>
        <v>2025</v>
      </c>
      <c r="C9998" s="128">
        <f t="shared" si="466"/>
        <v>10</v>
      </c>
      <c r="D9998" s="136">
        <f t="shared" si="468"/>
        <v>43</v>
      </c>
      <c r="E9998" s="136">
        <f t="shared" si="467"/>
        <v>22</v>
      </c>
      <c r="F9998" s="137" t="s">
        <v>24</v>
      </c>
      <c r="G9998" s="128" t="str">
        <f>VLOOKUP(source[[#This Row],[lending_product_transform]],[3]Mapping!$B$4:$C$37,2,0)</f>
        <v>[Cake] - Cashloan</v>
      </c>
      <c r="H9998" s="128" t="str">
        <f>VLOOKUP(source[[#This Row],[lending_product_transform]],[3]Mapping!$B$3:$D$37,3,0)</f>
        <v>cashloan</v>
      </c>
      <c r="I9998" s="143">
        <v>52000000</v>
      </c>
    </row>
    <row r="9999" spans="1:9" x14ac:dyDescent="0.2">
      <c r="A9999" s="172">
        <v>45952</v>
      </c>
      <c r="B9999" s="135">
        <f>YEAR(source[[#This Row],[report_date]])</f>
        <v>2025</v>
      </c>
      <c r="C9999" s="128">
        <f t="shared" si="466"/>
        <v>10</v>
      </c>
      <c r="D9999" s="136">
        <f t="shared" si="468"/>
        <v>43</v>
      </c>
      <c r="E9999" s="136">
        <f t="shared" si="467"/>
        <v>22</v>
      </c>
      <c r="F9999" s="137" t="s">
        <v>24</v>
      </c>
      <c r="G9999" s="128" t="str">
        <f>VLOOKUP(source[[#This Row],[lending_product_transform]],[3]Mapping!$B$4:$C$37,2,0)</f>
        <v>[Cake] - Cashloan</v>
      </c>
      <c r="H9999" s="128" t="str">
        <f>VLOOKUP(source[[#This Row],[lending_product_transform]],[3]Mapping!$B$3:$D$37,3,0)</f>
        <v>cashloan</v>
      </c>
      <c r="I9999" s="143">
        <v>961940000</v>
      </c>
    </row>
    <row r="10000" spans="1:9" x14ac:dyDescent="0.2">
      <c r="A10000" s="172">
        <v>45952</v>
      </c>
      <c r="B10000" s="135">
        <f>YEAR(source[[#This Row],[report_date]])</f>
        <v>2025</v>
      </c>
      <c r="C10000" s="128">
        <f t="shared" si="466"/>
        <v>10</v>
      </c>
      <c r="D10000" s="136">
        <f t="shared" si="468"/>
        <v>43</v>
      </c>
      <c r="E10000" s="136">
        <f t="shared" si="467"/>
        <v>22</v>
      </c>
      <c r="F10000" s="137" t="s">
        <v>24</v>
      </c>
      <c r="G10000" s="128" t="str">
        <f>VLOOKUP(source[[#This Row],[lending_product_transform]],[3]Mapping!$B$4:$C$37,2,0)</f>
        <v>[Cake] - Cashloan</v>
      </c>
      <c r="H10000" s="128" t="str">
        <f>VLOOKUP(source[[#This Row],[lending_product_transform]],[3]Mapping!$B$3:$D$37,3,0)</f>
        <v>cashloan</v>
      </c>
      <c r="I10000" s="143">
        <v>240840000</v>
      </c>
    </row>
    <row r="10001" spans="1:9" x14ac:dyDescent="0.2">
      <c r="A10001" s="172">
        <v>45952</v>
      </c>
      <c r="B10001" s="135">
        <f>YEAR(source[[#This Row],[report_date]])</f>
        <v>2025</v>
      </c>
      <c r="C10001" s="128">
        <f t="shared" si="466"/>
        <v>10</v>
      </c>
      <c r="D10001" s="136">
        <f t="shared" si="468"/>
        <v>43</v>
      </c>
      <c r="E10001" s="136">
        <f t="shared" si="467"/>
        <v>22</v>
      </c>
      <c r="F10001" s="137" t="s">
        <v>24</v>
      </c>
      <c r="G10001" s="128" t="str">
        <f>VLOOKUP(source[[#This Row],[lending_product_transform]],[3]Mapping!$B$4:$C$37,2,0)</f>
        <v>[Cake] - Cashloan</v>
      </c>
      <c r="H10001" s="128" t="str">
        <f>VLOOKUP(source[[#This Row],[lending_product_transform]],[3]Mapping!$B$3:$D$37,3,0)</f>
        <v>cashloan</v>
      </c>
      <c r="I10001" s="143">
        <v>401293207</v>
      </c>
    </row>
    <row r="10002" spans="1:9" x14ac:dyDescent="0.2">
      <c r="A10002" s="172">
        <v>45952</v>
      </c>
      <c r="B10002" s="135">
        <f>YEAR(source[[#This Row],[report_date]])</f>
        <v>2025</v>
      </c>
      <c r="C10002" s="128">
        <f t="shared" si="466"/>
        <v>10</v>
      </c>
      <c r="D10002" s="136">
        <f t="shared" si="468"/>
        <v>43</v>
      </c>
      <c r="E10002" s="136">
        <f t="shared" si="467"/>
        <v>22</v>
      </c>
      <c r="F10002" s="137" t="s">
        <v>24</v>
      </c>
      <c r="G10002" s="128" t="str">
        <f>VLOOKUP(source[[#This Row],[lending_product_transform]],[3]Mapping!$B$4:$C$37,2,0)</f>
        <v>[Cake] - Cashloan</v>
      </c>
      <c r="H10002" s="128" t="str">
        <f>VLOOKUP(source[[#This Row],[lending_product_transform]],[3]Mapping!$B$3:$D$37,3,0)</f>
        <v>cashloan</v>
      </c>
      <c r="I10002" s="143">
        <v>4021930000</v>
      </c>
    </row>
    <row r="10003" spans="1:9" x14ac:dyDescent="0.2">
      <c r="A10003" s="172">
        <v>45953</v>
      </c>
      <c r="B10003" s="135">
        <f>YEAR(source[[#This Row],[report_date]])</f>
        <v>2025</v>
      </c>
      <c r="C10003" s="128">
        <f t="shared" si="466"/>
        <v>10</v>
      </c>
      <c r="D10003" s="136">
        <f t="shared" si="468"/>
        <v>43</v>
      </c>
      <c r="E10003" s="136">
        <f t="shared" si="467"/>
        <v>23</v>
      </c>
      <c r="F10003" s="137" t="s">
        <v>24</v>
      </c>
      <c r="G10003" s="128" t="str">
        <f>VLOOKUP(source[[#This Row],[lending_product_transform]],[3]Mapping!$B$4:$C$37,2,0)</f>
        <v>[Cake] - Cashloan</v>
      </c>
      <c r="H10003" s="128" t="str">
        <f>VLOOKUP(source[[#This Row],[lending_product_transform]],[3]Mapping!$B$3:$D$37,3,0)</f>
        <v>cashloan</v>
      </c>
      <c r="I10003" s="143">
        <v>47250000</v>
      </c>
    </row>
    <row r="10004" spans="1:9" x14ac:dyDescent="0.2">
      <c r="A10004" s="172">
        <v>45953</v>
      </c>
      <c r="B10004" s="135">
        <f>YEAR(source[[#This Row],[report_date]])</f>
        <v>2025</v>
      </c>
      <c r="C10004" s="128">
        <f t="shared" si="466"/>
        <v>10</v>
      </c>
      <c r="D10004" s="136">
        <f t="shared" si="468"/>
        <v>43</v>
      </c>
      <c r="E10004" s="136">
        <f t="shared" si="467"/>
        <v>23</v>
      </c>
      <c r="F10004" s="137" t="s">
        <v>24</v>
      </c>
      <c r="G10004" s="128" t="str">
        <f>VLOOKUP(source[[#This Row],[lending_product_transform]],[3]Mapping!$B$4:$C$37,2,0)</f>
        <v>[Cake] - Cashloan</v>
      </c>
      <c r="H10004" s="128" t="str">
        <f>VLOOKUP(source[[#This Row],[lending_product_transform]],[3]Mapping!$B$3:$D$37,3,0)</f>
        <v>cashloan</v>
      </c>
      <c r="I10004" s="143">
        <v>259359278</v>
      </c>
    </row>
    <row r="10005" spans="1:9" x14ac:dyDescent="0.2">
      <c r="A10005" s="172">
        <v>45953</v>
      </c>
      <c r="B10005" s="135">
        <f>YEAR(source[[#This Row],[report_date]])</f>
        <v>2025</v>
      </c>
      <c r="C10005" s="128">
        <f t="shared" si="466"/>
        <v>10</v>
      </c>
      <c r="D10005" s="136">
        <f t="shared" si="468"/>
        <v>43</v>
      </c>
      <c r="E10005" s="136">
        <f t="shared" si="467"/>
        <v>23</v>
      </c>
      <c r="F10005" s="137" t="s">
        <v>24</v>
      </c>
      <c r="G10005" s="128" t="str">
        <f>VLOOKUP(source[[#This Row],[lending_product_transform]],[3]Mapping!$B$4:$C$37,2,0)</f>
        <v>[Cake] - Cashloan</v>
      </c>
      <c r="H10005" s="128" t="str">
        <f>VLOOKUP(source[[#This Row],[lending_product_transform]],[3]Mapping!$B$3:$D$37,3,0)</f>
        <v>cashloan</v>
      </c>
      <c r="I10005" s="143">
        <v>16040710000</v>
      </c>
    </row>
    <row r="10006" spans="1:9" x14ac:dyDescent="0.2">
      <c r="A10006" s="172">
        <v>45953</v>
      </c>
      <c r="B10006" s="135">
        <f>YEAR(source[[#This Row],[report_date]])</f>
        <v>2025</v>
      </c>
      <c r="C10006" s="128">
        <f t="shared" si="466"/>
        <v>10</v>
      </c>
      <c r="D10006" s="136">
        <f t="shared" si="468"/>
        <v>43</v>
      </c>
      <c r="E10006" s="136">
        <f t="shared" si="467"/>
        <v>23</v>
      </c>
      <c r="F10006" s="137" t="s">
        <v>24</v>
      </c>
      <c r="G10006" s="128" t="str">
        <f>VLOOKUP(source[[#This Row],[lending_product_transform]],[3]Mapping!$B$4:$C$37,2,0)</f>
        <v>[Cake] - Cashloan</v>
      </c>
      <c r="H10006" s="128" t="str">
        <f>VLOOKUP(source[[#This Row],[lending_product_transform]],[3]Mapping!$B$3:$D$37,3,0)</f>
        <v>cashloan</v>
      </c>
      <c r="I10006" s="143">
        <v>2205738261</v>
      </c>
    </row>
    <row r="10007" spans="1:9" x14ac:dyDescent="0.2">
      <c r="A10007" s="172">
        <v>45953</v>
      </c>
      <c r="B10007" s="135">
        <f>YEAR(source[[#This Row],[report_date]])</f>
        <v>2025</v>
      </c>
      <c r="C10007" s="128">
        <f t="shared" si="466"/>
        <v>10</v>
      </c>
      <c r="D10007" s="136">
        <f t="shared" si="468"/>
        <v>43</v>
      </c>
      <c r="E10007" s="136">
        <f t="shared" si="467"/>
        <v>23</v>
      </c>
      <c r="F10007" s="137" t="s">
        <v>24</v>
      </c>
      <c r="G10007" s="128" t="str">
        <f>VLOOKUP(source[[#This Row],[lending_product_transform]],[3]Mapping!$B$4:$C$37,2,0)</f>
        <v>[Cake] - Cashloan</v>
      </c>
      <c r="H10007" s="128" t="str">
        <f>VLOOKUP(source[[#This Row],[lending_product_transform]],[3]Mapping!$B$3:$D$37,3,0)</f>
        <v>cashloan</v>
      </c>
      <c r="I10007" s="143">
        <v>7394760000</v>
      </c>
    </row>
    <row r="10008" spans="1:9" x14ac:dyDescent="0.2">
      <c r="A10008" s="172">
        <v>45953</v>
      </c>
      <c r="B10008" s="135">
        <f>YEAR(source[[#This Row],[report_date]])</f>
        <v>2025</v>
      </c>
      <c r="C10008" s="128">
        <f t="shared" si="466"/>
        <v>10</v>
      </c>
      <c r="D10008" s="136">
        <f t="shared" si="468"/>
        <v>43</v>
      </c>
      <c r="E10008" s="136">
        <f t="shared" si="467"/>
        <v>23</v>
      </c>
      <c r="F10008" s="137" t="s">
        <v>24</v>
      </c>
      <c r="G10008" s="128" t="str">
        <f>VLOOKUP(source[[#This Row],[lending_product_transform]],[3]Mapping!$B$4:$C$37,2,0)</f>
        <v>[Cake] - Cashloan</v>
      </c>
      <c r="H10008" s="128" t="str">
        <f>VLOOKUP(source[[#This Row],[lending_product_transform]],[3]Mapping!$B$3:$D$37,3,0)</f>
        <v>cashloan</v>
      </c>
      <c r="I10008" s="143">
        <v>13922406</v>
      </c>
    </row>
    <row r="10009" spans="1:9" x14ac:dyDescent="0.2">
      <c r="A10009" s="172">
        <v>45953</v>
      </c>
      <c r="B10009" s="135">
        <f>YEAR(source[[#This Row],[report_date]])</f>
        <v>2025</v>
      </c>
      <c r="C10009" s="128">
        <f t="shared" si="466"/>
        <v>10</v>
      </c>
      <c r="D10009" s="136">
        <f t="shared" si="468"/>
        <v>43</v>
      </c>
      <c r="E10009" s="136">
        <f t="shared" si="467"/>
        <v>23</v>
      </c>
      <c r="F10009" s="137" t="s">
        <v>24</v>
      </c>
      <c r="G10009" s="128" t="str">
        <f>VLOOKUP(source[[#This Row],[lending_product_transform]],[3]Mapping!$B$4:$C$37,2,0)</f>
        <v>[Cake] - Cashloan</v>
      </c>
      <c r="H10009" s="128" t="str">
        <f>VLOOKUP(source[[#This Row],[lending_product_transform]],[3]Mapping!$B$3:$D$37,3,0)</f>
        <v>cashloan</v>
      </c>
      <c r="I10009" s="143">
        <v>2537110000</v>
      </c>
    </row>
    <row r="10010" spans="1:9" x14ac:dyDescent="0.2">
      <c r="A10010" s="172">
        <v>45953</v>
      </c>
      <c r="B10010" s="135">
        <f>YEAR(source[[#This Row],[report_date]])</f>
        <v>2025</v>
      </c>
      <c r="C10010" s="128">
        <f t="shared" si="466"/>
        <v>10</v>
      </c>
      <c r="D10010" s="136">
        <f t="shared" si="468"/>
        <v>43</v>
      </c>
      <c r="E10010" s="136">
        <f t="shared" si="467"/>
        <v>23</v>
      </c>
      <c r="F10010" s="137" t="s">
        <v>24</v>
      </c>
      <c r="G10010" s="128" t="str">
        <f>VLOOKUP(source[[#This Row],[lending_product_transform]],[3]Mapping!$B$4:$C$37,2,0)</f>
        <v>[Cake] - Cashloan</v>
      </c>
      <c r="H10010" s="128" t="str">
        <f>VLOOKUP(source[[#This Row],[lending_product_transform]],[3]Mapping!$B$3:$D$37,3,0)</f>
        <v>cashloan</v>
      </c>
      <c r="I10010" s="143">
        <v>13690000</v>
      </c>
    </row>
    <row r="10011" spans="1:9" x14ac:dyDescent="0.2">
      <c r="A10011" s="172">
        <v>45953</v>
      </c>
      <c r="B10011" s="135">
        <f>YEAR(source[[#This Row],[report_date]])</f>
        <v>2025</v>
      </c>
      <c r="C10011" s="128">
        <f t="shared" si="466"/>
        <v>10</v>
      </c>
      <c r="D10011" s="136">
        <f t="shared" si="468"/>
        <v>43</v>
      </c>
      <c r="E10011" s="136">
        <f t="shared" si="467"/>
        <v>23</v>
      </c>
      <c r="F10011" s="137" t="s">
        <v>24</v>
      </c>
      <c r="G10011" s="128" t="str">
        <f>VLOOKUP(source[[#This Row],[lending_product_transform]],[3]Mapping!$B$4:$C$37,2,0)</f>
        <v>[Cake] - Cashloan</v>
      </c>
      <c r="H10011" s="128" t="str">
        <f>VLOOKUP(source[[#This Row],[lending_product_transform]],[3]Mapping!$B$3:$D$37,3,0)</f>
        <v>cashloan</v>
      </c>
      <c r="I10011" s="143">
        <v>502006102</v>
      </c>
    </row>
    <row r="10012" spans="1:9" x14ac:dyDescent="0.2">
      <c r="A10012" s="172">
        <v>45953</v>
      </c>
      <c r="B10012" s="135">
        <f>YEAR(source[[#This Row],[report_date]])</f>
        <v>2025</v>
      </c>
      <c r="C10012" s="128">
        <f t="shared" si="466"/>
        <v>10</v>
      </c>
      <c r="D10012" s="136">
        <f t="shared" si="468"/>
        <v>43</v>
      </c>
      <c r="E10012" s="136">
        <f t="shared" si="467"/>
        <v>23</v>
      </c>
      <c r="F10012" s="137" t="s">
        <v>24</v>
      </c>
      <c r="G10012" s="128" t="str">
        <f>VLOOKUP(source[[#This Row],[lending_product_transform]],[3]Mapping!$B$4:$C$37,2,0)</f>
        <v>[Cake] - Cashloan</v>
      </c>
      <c r="H10012" s="128" t="str">
        <f>VLOOKUP(source[[#This Row],[lending_product_transform]],[3]Mapping!$B$3:$D$37,3,0)</f>
        <v>cashloan</v>
      </c>
      <c r="I10012" s="143">
        <v>0</v>
      </c>
    </row>
    <row r="10013" spans="1:9" x14ac:dyDescent="0.2">
      <c r="A10013" s="172">
        <v>45953</v>
      </c>
      <c r="B10013" s="135">
        <f>YEAR(source[[#This Row],[report_date]])</f>
        <v>2025</v>
      </c>
      <c r="C10013" s="128">
        <f t="shared" si="466"/>
        <v>10</v>
      </c>
      <c r="D10013" s="136">
        <f t="shared" si="468"/>
        <v>43</v>
      </c>
      <c r="E10013" s="136">
        <f t="shared" si="467"/>
        <v>23</v>
      </c>
      <c r="F10013" s="137" t="s">
        <v>24</v>
      </c>
      <c r="G10013" s="128" t="str">
        <f>VLOOKUP(source[[#This Row],[lending_product_transform]],[3]Mapping!$B$4:$C$37,2,0)</f>
        <v>[Cake] - Cashloan</v>
      </c>
      <c r="H10013" s="128" t="str">
        <f>VLOOKUP(source[[#This Row],[lending_product_transform]],[3]Mapping!$B$3:$D$37,3,0)</f>
        <v>cashloan</v>
      </c>
      <c r="I10013" s="143">
        <v>230500000</v>
      </c>
    </row>
    <row r="10014" spans="1:9" x14ac:dyDescent="0.2">
      <c r="A10014" s="172">
        <v>45953</v>
      </c>
      <c r="B10014" s="135">
        <f>YEAR(source[[#This Row],[report_date]])</f>
        <v>2025</v>
      </c>
      <c r="C10014" s="128">
        <f t="shared" si="466"/>
        <v>10</v>
      </c>
      <c r="D10014" s="136">
        <f t="shared" si="468"/>
        <v>43</v>
      </c>
      <c r="E10014" s="136">
        <f t="shared" si="467"/>
        <v>23</v>
      </c>
      <c r="F10014" s="137" t="s">
        <v>24</v>
      </c>
      <c r="G10014" s="128" t="str">
        <f>VLOOKUP(source[[#This Row],[lending_product_transform]],[3]Mapping!$B$4:$C$37,2,0)</f>
        <v>[Cake] - Cashloan</v>
      </c>
      <c r="H10014" s="128" t="str">
        <f>VLOOKUP(source[[#This Row],[lending_product_transform]],[3]Mapping!$B$3:$D$37,3,0)</f>
        <v>cashloan</v>
      </c>
      <c r="I10014" s="143">
        <v>13954470000</v>
      </c>
    </row>
    <row r="10015" spans="1:9" x14ac:dyDescent="0.2">
      <c r="A10015" s="172">
        <v>45953</v>
      </c>
      <c r="B10015" s="135">
        <f>YEAR(source[[#This Row],[report_date]])</f>
        <v>2025</v>
      </c>
      <c r="C10015" s="128">
        <f t="shared" si="466"/>
        <v>10</v>
      </c>
      <c r="D10015" s="136">
        <f t="shared" si="468"/>
        <v>43</v>
      </c>
      <c r="E10015" s="136">
        <f t="shared" si="467"/>
        <v>23</v>
      </c>
      <c r="F10015" s="137" t="s">
        <v>24</v>
      </c>
      <c r="G10015" s="128" t="str">
        <f>VLOOKUP(source[[#This Row],[lending_product_transform]],[3]Mapping!$B$4:$C$37,2,0)</f>
        <v>[Cake] - Cashloan</v>
      </c>
      <c r="H10015" s="128" t="str">
        <f>VLOOKUP(source[[#This Row],[lending_product_transform]],[3]Mapping!$B$3:$D$37,3,0)</f>
        <v>cashloan</v>
      </c>
      <c r="I10015" s="143">
        <v>0</v>
      </c>
    </row>
    <row r="10016" spans="1:9" x14ac:dyDescent="0.2">
      <c r="A10016" s="172">
        <v>45953</v>
      </c>
      <c r="B10016" s="135">
        <f>YEAR(source[[#This Row],[report_date]])</f>
        <v>2025</v>
      </c>
      <c r="C10016" s="128">
        <f t="shared" si="466"/>
        <v>10</v>
      </c>
      <c r="D10016" s="136">
        <f t="shared" si="468"/>
        <v>43</v>
      </c>
      <c r="E10016" s="136">
        <f t="shared" si="467"/>
        <v>23</v>
      </c>
      <c r="F10016" s="137" t="s">
        <v>24</v>
      </c>
      <c r="G10016" s="128" t="str">
        <f>VLOOKUP(source[[#This Row],[lending_product_transform]],[3]Mapping!$B$4:$C$37,2,0)</f>
        <v>[Cake] - Cashloan</v>
      </c>
      <c r="H10016" s="128" t="str">
        <f>VLOOKUP(source[[#This Row],[lending_product_transform]],[3]Mapping!$B$3:$D$37,3,0)</f>
        <v>cashloan</v>
      </c>
      <c r="I10016" s="143">
        <v>0</v>
      </c>
    </row>
    <row r="10017" spans="1:9" x14ac:dyDescent="0.2">
      <c r="A10017" s="172">
        <v>45953</v>
      </c>
      <c r="B10017" s="135">
        <f>YEAR(source[[#This Row],[report_date]])</f>
        <v>2025</v>
      </c>
      <c r="C10017" s="128">
        <f t="shared" si="466"/>
        <v>10</v>
      </c>
      <c r="D10017" s="136">
        <f t="shared" si="468"/>
        <v>43</v>
      </c>
      <c r="E10017" s="136">
        <f t="shared" si="467"/>
        <v>23</v>
      </c>
      <c r="F10017" s="137" t="s">
        <v>24</v>
      </c>
      <c r="G10017" s="128" t="str">
        <f>VLOOKUP(source[[#This Row],[lending_product_transform]],[3]Mapping!$B$4:$C$37,2,0)</f>
        <v>[Cake] - Cashloan</v>
      </c>
      <c r="H10017" s="128" t="str">
        <f>VLOOKUP(source[[#This Row],[lending_product_transform]],[3]Mapping!$B$3:$D$37,3,0)</f>
        <v>cashloan</v>
      </c>
      <c r="I10017" s="143">
        <v>0</v>
      </c>
    </row>
    <row r="10018" spans="1:9" x14ac:dyDescent="0.2">
      <c r="A10018" s="172">
        <v>45953</v>
      </c>
      <c r="B10018" s="135">
        <f>YEAR(source[[#This Row],[report_date]])</f>
        <v>2025</v>
      </c>
      <c r="C10018" s="128">
        <f t="shared" si="466"/>
        <v>10</v>
      </c>
      <c r="D10018" s="136">
        <f t="shared" si="468"/>
        <v>43</v>
      </c>
      <c r="E10018" s="136">
        <f t="shared" si="467"/>
        <v>23</v>
      </c>
      <c r="F10018" s="137" t="s">
        <v>24</v>
      </c>
      <c r="G10018" s="128" t="str">
        <f>VLOOKUP(source[[#This Row],[lending_product_transform]],[3]Mapping!$B$4:$C$37,2,0)</f>
        <v>[Cake] - Cashloan</v>
      </c>
      <c r="H10018" s="128" t="str">
        <f>VLOOKUP(source[[#This Row],[lending_product_transform]],[3]Mapping!$B$3:$D$37,3,0)</f>
        <v>cashloan</v>
      </c>
      <c r="I10018" s="143">
        <v>0</v>
      </c>
    </row>
    <row r="10019" spans="1:9" x14ac:dyDescent="0.2">
      <c r="A10019" s="172">
        <v>45953</v>
      </c>
      <c r="B10019" s="135">
        <f>YEAR(source[[#This Row],[report_date]])</f>
        <v>2025</v>
      </c>
      <c r="C10019" s="128">
        <f t="shared" si="466"/>
        <v>10</v>
      </c>
      <c r="D10019" s="136">
        <f t="shared" si="468"/>
        <v>43</v>
      </c>
      <c r="E10019" s="136">
        <f t="shared" si="467"/>
        <v>23</v>
      </c>
      <c r="F10019" s="137" t="s">
        <v>24</v>
      </c>
      <c r="G10019" s="128" t="str">
        <f>VLOOKUP(source[[#This Row],[lending_product_transform]],[3]Mapping!$B$4:$C$37,2,0)</f>
        <v>[Cake] - Cashloan</v>
      </c>
      <c r="H10019" s="128" t="str">
        <f>VLOOKUP(source[[#This Row],[lending_product_transform]],[3]Mapping!$B$3:$D$37,3,0)</f>
        <v>cashloan</v>
      </c>
      <c r="I10019" s="143">
        <v>9589968000</v>
      </c>
    </row>
    <row r="10020" spans="1:9" x14ac:dyDescent="0.2">
      <c r="A10020" s="172">
        <v>45953</v>
      </c>
      <c r="B10020" s="135">
        <f>YEAR(source[[#This Row],[report_date]])</f>
        <v>2025</v>
      </c>
      <c r="C10020" s="128">
        <f t="shared" si="466"/>
        <v>10</v>
      </c>
      <c r="D10020" s="136">
        <f t="shared" si="468"/>
        <v>43</v>
      </c>
      <c r="E10020" s="136">
        <f t="shared" si="467"/>
        <v>23</v>
      </c>
      <c r="F10020" s="137" t="s">
        <v>24</v>
      </c>
      <c r="G10020" s="128" t="str">
        <f>VLOOKUP(source[[#This Row],[lending_product_transform]],[3]Mapping!$B$4:$C$37,2,0)</f>
        <v>[Cake] - Cashloan</v>
      </c>
      <c r="H10020" s="128" t="str">
        <f>VLOOKUP(source[[#This Row],[lending_product_transform]],[3]Mapping!$B$3:$D$37,3,0)</f>
        <v>cashloan</v>
      </c>
      <c r="I10020" s="143">
        <v>187991749</v>
      </c>
    </row>
    <row r="10021" spans="1:9" x14ac:dyDescent="0.2">
      <c r="A10021" s="172">
        <v>45953</v>
      </c>
      <c r="B10021" s="135">
        <f>YEAR(source[[#This Row],[report_date]])</f>
        <v>2025</v>
      </c>
      <c r="C10021" s="128">
        <f t="shared" si="466"/>
        <v>10</v>
      </c>
      <c r="D10021" s="136">
        <f t="shared" si="468"/>
        <v>43</v>
      </c>
      <c r="E10021" s="136">
        <f t="shared" si="467"/>
        <v>23</v>
      </c>
      <c r="F10021" s="137" t="s">
        <v>24</v>
      </c>
      <c r="G10021" s="128" t="str">
        <f>VLOOKUP(source[[#This Row],[lending_product_transform]],[3]Mapping!$B$4:$C$37,2,0)</f>
        <v>[Cake] - Cashloan</v>
      </c>
      <c r="H10021" s="128" t="str">
        <f>VLOOKUP(source[[#This Row],[lending_product_transform]],[3]Mapping!$B$3:$D$37,3,0)</f>
        <v>cashloan</v>
      </c>
      <c r="I10021" s="143">
        <v>18900000</v>
      </c>
    </row>
    <row r="10022" spans="1:9" x14ac:dyDescent="0.2">
      <c r="A10022" s="172">
        <v>45953</v>
      </c>
      <c r="B10022" s="135">
        <f>YEAR(source[[#This Row],[report_date]])</f>
        <v>2025</v>
      </c>
      <c r="C10022" s="128">
        <f t="shared" si="466"/>
        <v>10</v>
      </c>
      <c r="D10022" s="136">
        <f t="shared" si="468"/>
        <v>43</v>
      </c>
      <c r="E10022" s="136">
        <f t="shared" si="467"/>
        <v>23</v>
      </c>
      <c r="F10022" s="137" t="s">
        <v>24</v>
      </c>
      <c r="G10022" s="128" t="str">
        <f>VLOOKUP(source[[#This Row],[lending_product_transform]],[3]Mapping!$B$4:$C$37,2,0)</f>
        <v>[Cake] - Cashloan</v>
      </c>
      <c r="H10022" s="128" t="str">
        <f>VLOOKUP(source[[#This Row],[lending_product_transform]],[3]Mapping!$B$3:$D$37,3,0)</f>
        <v>cashloan</v>
      </c>
      <c r="I10022" s="143">
        <v>41000000</v>
      </c>
    </row>
    <row r="10023" spans="1:9" x14ac:dyDescent="0.2">
      <c r="A10023" s="172">
        <v>45953</v>
      </c>
      <c r="B10023" s="135">
        <f>YEAR(source[[#This Row],[report_date]])</f>
        <v>2025</v>
      </c>
      <c r="C10023" s="128">
        <f t="shared" si="466"/>
        <v>10</v>
      </c>
      <c r="D10023" s="136">
        <f t="shared" si="468"/>
        <v>43</v>
      </c>
      <c r="E10023" s="136">
        <f t="shared" si="467"/>
        <v>23</v>
      </c>
      <c r="F10023" s="137" t="s">
        <v>24</v>
      </c>
      <c r="G10023" s="128" t="str">
        <f>VLOOKUP(source[[#This Row],[lending_product_transform]],[3]Mapping!$B$4:$C$37,2,0)</f>
        <v>[Cake] - Cashloan</v>
      </c>
      <c r="H10023" s="128" t="str">
        <f>VLOOKUP(source[[#This Row],[lending_product_transform]],[3]Mapping!$B$3:$D$37,3,0)</f>
        <v>cashloan</v>
      </c>
      <c r="I10023" s="143">
        <v>814290000</v>
      </c>
    </row>
    <row r="10024" spans="1:9" x14ac:dyDescent="0.2">
      <c r="A10024" s="172">
        <v>45953</v>
      </c>
      <c r="B10024" s="135">
        <f>YEAR(source[[#This Row],[report_date]])</f>
        <v>2025</v>
      </c>
      <c r="C10024" s="128">
        <f t="shared" si="466"/>
        <v>10</v>
      </c>
      <c r="D10024" s="136">
        <f t="shared" si="468"/>
        <v>43</v>
      </c>
      <c r="E10024" s="136">
        <f t="shared" si="467"/>
        <v>23</v>
      </c>
      <c r="F10024" s="137" t="s">
        <v>24</v>
      </c>
      <c r="G10024" s="128" t="str">
        <f>VLOOKUP(source[[#This Row],[lending_product_transform]],[3]Mapping!$B$4:$C$37,2,0)</f>
        <v>[Cake] - Cashloan</v>
      </c>
      <c r="H10024" s="128" t="str">
        <f>VLOOKUP(source[[#This Row],[lending_product_transform]],[3]Mapping!$B$3:$D$37,3,0)</f>
        <v>cashloan</v>
      </c>
      <c r="I10024" s="143">
        <v>244080000</v>
      </c>
    </row>
    <row r="10025" spans="1:9" x14ac:dyDescent="0.2">
      <c r="A10025" s="172">
        <v>45953</v>
      </c>
      <c r="B10025" s="135">
        <f>YEAR(source[[#This Row],[report_date]])</f>
        <v>2025</v>
      </c>
      <c r="C10025" s="128">
        <f t="shared" si="466"/>
        <v>10</v>
      </c>
      <c r="D10025" s="136">
        <f t="shared" si="468"/>
        <v>43</v>
      </c>
      <c r="E10025" s="136">
        <f t="shared" si="467"/>
        <v>23</v>
      </c>
      <c r="F10025" s="137" t="s">
        <v>24</v>
      </c>
      <c r="G10025" s="128" t="str">
        <f>VLOOKUP(source[[#This Row],[lending_product_transform]],[3]Mapping!$B$4:$C$37,2,0)</f>
        <v>[Cake] - Cashloan</v>
      </c>
      <c r="H10025" s="128" t="str">
        <f>VLOOKUP(source[[#This Row],[lending_product_transform]],[3]Mapping!$B$3:$D$37,3,0)</f>
        <v>cashloan</v>
      </c>
      <c r="I10025" s="143">
        <v>389906246</v>
      </c>
    </row>
    <row r="10026" spans="1:9" x14ac:dyDescent="0.2">
      <c r="A10026" s="172">
        <v>45953</v>
      </c>
      <c r="B10026" s="135">
        <f>YEAR(source[[#This Row],[report_date]])</f>
        <v>2025</v>
      </c>
      <c r="C10026" s="128">
        <f t="shared" si="466"/>
        <v>10</v>
      </c>
      <c r="D10026" s="136">
        <f t="shared" si="468"/>
        <v>43</v>
      </c>
      <c r="E10026" s="136">
        <f t="shared" si="467"/>
        <v>23</v>
      </c>
      <c r="F10026" s="137" t="s">
        <v>24</v>
      </c>
      <c r="G10026" s="128" t="str">
        <f>VLOOKUP(source[[#This Row],[lending_product_transform]],[3]Mapping!$B$4:$C$37,2,0)</f>
        <v>[Cake] - Cashloan</v>
      </c>
      <c r="H10026" s="128" t="str">
        <f>VLOOKUP(source[[#This Row],[lending_product_transform]],[3]Mapping!$B$3:$D$37,3,0)</f>
        <v>cashloan</v>
      </c>
      <c r="I10026" s="143">
        <v>3702420000</v>
      </c>
    </row>
    <row r="10027" spans="1:9" x14ac:dyDescent="0.2">
      <c r="A10027" s="172">
        <v>45954</v>
      </c>
      <c r="B10027" s="135">
        <f>YEAR(source[[#This Row],[report_date]])</f>
        <v>2025</v>
      </c>
      <c r="C10027" s="128">
        <f t="shared" si="466"/>
        <v>10</v>
      </c>
      <c r="D10027" s="136">
        <f t="shared" si="468"/>
        <v>43</v>
      </c>
      <c r="E10027" s="136">
        <f t="shared" si="467"/>
        <v>24</v>
      </c>
      <c r="F10027" s="137" t="s">
        <v>24</v>
      </c>
      <c r="G10027" s="128" t="str">
        <f>VLOOKUP(source[[#This Row],[lending_product_transform]],[3]Mapping!$B$4:$C$37,2,0)</f>
        <v>[Cake] - Cashloan</v>
      </c>
      <c r="H10027" s="128" t="str">
        <f>VLOOKUP(source[[#This Row],[lending_product_transform]],[3]Mapping!$B$3:$D$37,3,0)</f>
        <v>cashloan</v>
      </c>
      <c r="I10027" s="143">
        <v>60900000</v>
      </c>
    </row>
    <row r="10028" spans="1:9" x14ac:dyDescent="0.2">
      <c r="A10028" s="172">
        <v>45954</v>
      </c>
      <c r="B10028" s="135">
        <f>YEAR(source[[#This Row],[report_date]])</f>
        <v>2025</v>
      </c>
      <c r="C10028" s="128">
        <f t="shared" si="466"/>
        <v>10</v>
      </c>
      <c r="D10028" s="136">
        <f t="shared" si="468"/>
        <v>43</v>
      </c>
      <c r="E10028" s="136">
        <f t="shared" si="467"/>
        <v>24</v>
      </c>
      <c r="F10028" s="137" t="s">
        <v>24</v>
      </c>
      <c r="G10028" s="128" t="str">
        <f>VLOOKUP(source[[#This Row],[lending_product_transform]],[3]Mapping!$B$4:$C$37,2,0)</f>
        <v>[Cake] - Cashloan</v>
      </c>
      <c r="H10028" s="128" t="str">
        <f>VLOOKUP(source[[#This Row],[lending_product_transform]],[3]Mapping!$B$3:$D$37,3,0)</f>
        <v>cashloan</v>
      </c>
      <c r="I10028" s="143">
        <v>285903946</v>
      </c>
    </row>
    <row r="10029" spans="1:9" x14ac:dyDescent="0.2">
      <c r="A10029" s="172">
        <v>45954</v>
      </c>
      <c r="B10029" s="135">
        <f>YEAR(source[[#This Row],[report_date]])</f>
        <v>2025</v>
      </c>
      <c r="C10029" s="128">
        <f t="shared" si="466"/>
        <v>10</v>
      </c>
      <c r="D10029" s="136">
        <f t="shared" si="468"/>
        <v>43</v>
      </c>
      <c r="E10029" s="136">
        <f t="shared" si="467"/>
        <v>24</v>
      </c>
      <c r="F10029" s="137" t="s">
        <v>24</v>
      </c>
      <c r="G10029" s="128" t="str">
        <f>VLOOKUP(source[[#This Row],[lending_product_transform]],[3]Mapping!$B$4:$C$37,2,0)</f>
        <v>[Cake] - Cashloan</v>
      </c>
      <c r="H10029" s="128" t="str">
        <f>VLOOKUP(source[[#This Row],[lending_product_transform]],[3]Mapping!$B$3:$D$37,3,0)</f>
        <v>cashloan</v>
      </c>
      <c r="I10029" s="143">
        <v>16931330000</v>
      </c>
    </row>
    <row r="10030" spans="1:9" x14ac:dyDescent="0.2">
      <c r="A10030" s="172">
        <v>45954</v>
      </c>
      <c r="B10030" s="135">
        <f>YEAR(source[[#This Row],[report_date]])</f>
        <v>2025</v>
      </c>
      <c r="C10030" s="128">
        <f t="shared" si="466"/>
        <v>10</v>
      </c>
      <c r="D10030" s="136">
        <f t="shared" si="468"/>
        <v>43</v>
      </c>
      <c r="E10030" s="136">
        <f t="shared" si="467"/>
        <v>24</v>
      </c>
      <c r="F10030" s="137" t="s">
        <v>24</v>
      </c>
      <c r="G10030" s="128" t="str">
        <f>VLOOKUP(source[[#This Row],[lending_product_transform]],[3]Mapping!$B$4:$C$37,2,0)</f>
        <v>[Cake] - Cashloan</v>
      </c>
      <c r="H10030" s="128" t="str">
        <f>VLOOKUP(source[[#This Row],[lending_product_transform]],[3]Mapping!$B$3:$D$37,3,0)</f>
        <v>cashloan</v>
      </c>
      <c r="I10030" s="143">
        <v>2280611648</v>
      </c>
    </row>
    <row r="10031" spans="1:9" x14ac:dyDescent="0.2">
      <c r="A10031" s="172">
        <v>45954</v>
      </c>
      <c r="B10031" s="135">
        <f>YEAR(source[[#This Row],[report_date]])</f>
        <v>2025</v>
      </c>
      <c r="C10031" s="128">
        <f t="shared" si="466"/>
        <v>10</v>
      </c>
      <c r="D10031" s="136">
        <f t="shared" si="468"/>
        <v>43</v>
      </c>
      <c r="E10031" s="136">
        <f t="shared" si="467"/>
        <v>24</v>
      </c>
      <c r="F10031" s="137" t="s">
        <v>24</v>
      </c>
      <c r="G10031" s="128" t="str">
        <f>VLOOKUP(source[[#This Row],[lending_product_transform]],[3]Mapping!$B$4:$C$37,2,0)</f>
        <v>[Cake] - Cashloan</v>
      </c>
      <c r="H10031" s="128" t="str">
        <f>VLOOKUP(source[[#This Row],[lending_product_transform]],[3]Mapping!$B$3:$D$37,3,0)</f>
        <v>cashloan</v>
      </c>
      <c r="I10031" s="143">
        <v>7775244000</v>
      </c>
    </row>
    <row r="10032" spans="1:9" x14ac:dyDescent="0.2">
      <c r="A10032" s="172">
        <v>45954</v>
      </c>
      <c r="B10032" s="135">
        <f>YEAR(source[[#This Row],[report_date]])</f>
        <v>2025</v>
      </c>
      <c r="C10032" s="128">
        <f t="shared" si="466"/>
        <v>10</v>
      </c>
      <c r="D10032" s="136">
        <f t="shared" si="468"/>
        <v>43</v>
      </c>
      <c r="E10032" s="136">
        <f t="shared" si="467"/>
        <v>24</v>
      </c>
      <c r="F10032" s="137" t="s">
        <v>24</v>
      </c>
      <c r="G10032" s="128" t="str">
        <f>VLOOKUP(source[[#This Row],[lending_product_transform]],[3]Mapping!$B$4:$C$37,2,0)</f>
        <v>[Cake] - Cashloan</v>
      </c>
      <c r="H10032" s="128" t="str">
        <f>VLOOKUP(source[[#This Row],[lending_product_transform]],[3]Mapping!$B$3:$D$37,3,0)</f>
        <v>cashloan</v>
      </c>
      <c r="I10032" s="143">
        <v>32407904</v>
      </c>
    </row>
    <row r="10033" spans="1:9" x14ac:dyDescent="0.2">
      <c r="A10033" s="172">
        <v>45954</v>
      </c>
      <c r="B10033" s="135">
        <f>YEAR(source[[#This Row],[report_date]])</f>
        <v>2025</v>
      </c>
      <c r="C10033" s="128">
        <f t="shared" si="466"/>
        <v>10</v>
      </c>
      <c r="D10033" s="136">
        <f t="shared" si="468"/>
        <v>43</v>
      </c>
      <c r="E10033" s="136">
        <f t="shared" si="467"/>
        <v>24</v>
      </c>
      <c r="F10033" s="137" t="s">
        <v>24</v>
      </c>
      <c r="G10033" s="128" t="str">
        <f>VLOOKUP(source[[#This Row],[lending_product_transform]],[3]Mapping!$B$4:$C$37,2,0)</f>
        <v>[Cake] - Cashloan</v>
      </c>
      <c r="H10033" s="128" t="str">
        <f>VLOOKUP(source[[#This Row],[lending_product_transform]],[3]Mapping!$B$3:$D$37,3,0)</f>
        <v>cashloan</v>
      </c>
      <c r="I10033" s="143">
        <v>2380800000</v>
      </c>
    </row>
    <row r="10034" spans="1:9" x14ac:dyDescent="0.2">
      <c r="A10034" s="172">
        <v>45954</v>
      </c>
      <c r="B10034" s="135">
        <f>YEAR(source[[#This Row],[report_date]])</f>
        <v>2025</v>
      </c>
      <c r="C10034" s="128">
        <f t="shared" si="466"/>
        <v>10</v>
      </c>
      <c r="D10034" s="136">
        <f t="shared" si="468"/>
        <v>43</v>
      </c>
      <c r="E10034" s="136">
        <f t="shared" si="467"/>
        <v>24</v>
      </c>
      <c r="F10034" s="137" t="s">
        <v>24</v>
      </c>
      <c r="G10034" s="128" t="str">
        <f>VLOOKUP(source[[#This Row],[lending_product_transform]],[3]Mapping!$B$4:$C$37,2,0)</f>
        <v>[Cake] - Cashloan</v>
      </c>
      <c r="H10034" s="128" t="str">
        <f>VLOOKUP(source[[#This Row],[lending_product_transform]],[3]Mapping!$B$3:$D$37,3,0)</f>
        <v>cashloan</v>
      </c>
      <c r="I10034" s="143">
        <v>10630000</v>
      </c>
    </row>
    <row r="10035" spans="1:9" x14ac:dyDescent="0.2">
      <c r="A10035" s="172">
        <v>45954</v>
      </c>
      <c r="B10035" s="135">
        <f>YEAR(source[[#This Row],[report_date]])</f>
        <v>2025</v>
      </c>
      <c r="C10035" s="128">
        <f t="shared" si="466"/>
        <v>10</v>
      </c>
      <c r="D10035" s="136">
        <f t="shared" si="468"/>
        <v>43</v>
      </c>
      <c r="E10035" s="136">
        <f t="shared" si="467"/>
        <v>24</v>
      </c>
      <c r="F10035" s="137" t="s">
        <v>24</v>
      </c>
      <c r="G10035" s="128" t="str">
        <f>VLOOKUP(source[[#This Row],[lending_product_transform]],[3]Mapping!$B$4:$C$37,2,0)</f>
        <v>[Cake] - Cashloan</v>
      </c>
      <c r="H10035" s="128" t="str">
        <f>VLOOKUP(source[[#This Row],[lending_product_transform]],[3]Mapping!$B$3:$D$37,3,0)</f>
        <v>cashloan</v>
      </c>
      <c r="I10035" s="143">
        <v>464715000</v>
      </c>
    </row>
    <row r="10036" spans="1:9" x14ac:dyDescent="0.2">
      <c r="A10036" s="172">
        <v>45954</v>
      </c>
      <c r="B10036" s="135">
        <f>YEAR(source[[#This Row],[report_date]])</f>
        <v>2025</v>
      </c>
      <c r="C10036" s="128">
        <f t="shared" si="466"/>
        <v>10</v>
      </c>
      <c r="D10036" s="136">
        <f t="shared" si="468"/>
        <v>43</v>
      </c>
      <c r="E10036" s="136">
        <f t="shared" si="467"/>
        <v>24</v>
      </c>
      <c r="F10036" s="137" t="s">
        <v>24</v>
      </c>
      <c r="G10036" s="128" t="str">
        <f>VLOOKUP(source[[#This Row],[lending_product_transform]],[3]Mapping!$B$4:$C$37,2,0)</f>
        <v>[Cake] - Cashloan</v>
      </c>
      <c r="H10036" s="128" t="str">
        <f>VLOOKUP(source[[#This Row],[lending_product_transform]],[3]Mapping!$B$3:$D$37,3,0)</f>
        <v>cashloan</v>
      </c>
      <c r="I10036" s="143">
        <v>0</v>
      </c>
    </row>
    <row r="10037" spans="1:9" x14ac:dyDescent="0.2">
      <c r="A10037" s="172">
        <v>45954</v>
      </c>
      <c r="B10037" s="135">
        <f>YEAR(source[[#This Row],[report_date]])</f>
        <v>2025</v>
      </c>
      <c r="C10037" s="128">
        <f t="shared" si="466"/>
        <v>10</v>
      </c>
      <c r="D10037" s="136">
        <f t="shared" si="468"/>
        <v>43</v>
      </c>
      <c r="E10037" s="136">
        <f t="shared" si="467"/>
        <v>24</v>
      </c>
      <c r="F10037" s="137" t="s">
        <v>24</v>
      </c>
      <c r="G10037" s="128" t="str">
        <f>VLOOKUP(source[[#This Row],[lending_product_transform]],[3]Mapping!$B$4:$C$37,2,0)</f>
        <v>[Cake] - Cashloan</v>
      </c>
      <c r="H10037" s="128" t="str">
        <f>VLOOKUP(source[[#This Row],[lending_product_transform]],[3]Mapping!$B$3:$D$37,3,0)</f>
        <v>cashloan</v>
      </c>
      <c r="I10037" s="143">
        <v>160250000</v>
      </c>
    </row>
    <row r="10038" spans="1:9" x14ac:dyDescent="0.2">
      <c r="A10038" s="172">
        <v>45954</v>
      </c>
      <c r="B10038" s="135">
        <f>YEAR(source[[#This Row],[report_date]])</f>
        <v>2025</v>
      </c>
      <c r="C10038" s="128">
        <f t="shared" ref="C10038:C10101" si="469">MONTH(A10038)</f>
        <v>10</v>
      </c>
      <c r="D10038" s="136">
        <f t="shared" si="468"/>
        <v>43</v>
      </c>
      <c r="E10038" s="136">
        <f t="shared" ref="E10038:E10101" si="470">DAY(A10038)</f>
        <v>24</v>
      </c>
      <c r="F10038" s="137" t="s">
        <v>24</v>
      </c>
      <c r="G10038" s="128" t="str">
        <f>VLOOKUP(source[[#This Row],[lending_product_transform]],[3]Mapping!$B$4:$C$37,2,0)</f>
        <v>[Cake] - Cashloan</v>
      </c>
      <c r="H10038" s="128" t="str">
        <f>VLOOKUP(source[[#This Row],[lending_product_transform]],[3]Mapping!$B$3:$D$37,3,0)</f>
        <v>cashloan</v>
      </c>
      <c r="I10038" s="143">
        <v>16570480000</v>
      </c>
    </row>
    <row r="10039" spans="1:9" x14ac:dyDescent="0.2">
      <c r="A10039" s="172">
        <v>45954</v>
      </c>
      <c r="B10039" s="135">
        <f>YEAR(source[[#This Row],[report_date]])</f>
        <v>2025</v>
      </c>
      <c r="C10039" s="128">
        <f t="shared" si="469"/>
        <v>10</v>
      </c>
      <c r="D10039" s="136">
        <f t="shared" si="468"/>
        <v>43</v>
      </c>
      <c r="E10039" s="136">
        <f t="shared" si="470"/>
        <v>24</v>
      </c>
      <c r="F10039" s="137" t="s">
        <v>24</v>
      </c>
      <c r="G10039" s="128" t="str">
        <f>VLOOKUP(source[[#This Row],[lending_product_transform]],[3]Mapping!$B$4:$C$37,2,0)</f>
        <v>[Cake] - Cashloan</v>
      </c>
      <c r="H10039" s="128" t="str">
        <f>VLOOKUP(source[[#This Row],[lending_product_transform]],[3]Mapping!$B$3:$D$37,3,0)</f>
        <v>cashloan</v>
      </c>
      <c r="I10039" s="143">
        <v>0</v>
      </c>
    </row>
    <row r="10040" spans="1:9" x14ac:dyDescent="0.2">
      <c r="A10040" s="172">
        <v>45954</v>
      </c>
      <c r="B10040" s="135">
        <f>YEAR(source[[#This Row],[report_date]])</f>
        <v>2025</v>
      </c>
      <c r="C10040" s="128">
        <f t="shared" si="469"/>
        <v>10</v>
      </c>
      <c r="D10040" s="136">
        <f t="shared" si="468"/>
        <v>43</v>
      </c>
      <c r="E10040" s="136">
        <f t="shared" si="470"/>
        <v>24</v>
      </c>
      <c r="F10040" s="137" t="s">
        <v>24</v>
      </c>
      <c r="G10040" s="128" t="str">
        <f>VLOOKUP(source[[#This Row],[lending_product_transform]],[3]Mapping!$B$4:$C$37,2,0)</f>
        <v>[Cake] - Cashloan</v>
      </c>
      <c r="H10040" s="128" t="str">
        <f>VLOOKUP(source[[#This Row],[lending_product_transform]],[3]Mapping!$B$3:$D$37,3,0)</f>
        <v>cashloan</v>
      </c>
      <c r="I10040" s="143">
        <v>0</v>
      </c>
    </row>
    <row r="10041" spans="1:9" x14ac:dyDescent="0.2">
      <c r="A10041" s="172">
        <v>45954</v>
      </c>
      <c r="B10041" s="135">
        <f>YEAR(source[[#This Row],[report_date]])</f>
        <v>2025</v>
      </c>
      <c r="C10041" s="128">
        <f t="shared" si="469"/>
        <v>10</v>
      </c>
      <c r="D10041" s="136">
        <f t="shared" si="468"/>
        <v>43</v>
      </c>
      <c r="E10041" s="136">
        <f t="shared" si="470"/>
        <v>24</v>
      </c>
      <c r="F10041" s="137" t="s">
        <v>24</v>
      </c>
      <c r="G10041" s="128" t="str">
        <f>VLOOKUP(source[[#This Row],[lending_product_transform]],[3]Mapping!$B$4:$C$37,2,0)</f>
        <v>[Cake] - Cashloan</v>
      </c>
      <c r="H10041" s="128" t="str">
        <f>VLOOKUP(source[[#This Row],[lending_product_transform]],[3]Mapping!$B$3:$D$37,3,0)</f>
        <v>cashloan</v>
      </c>
      <c r="I10041" s="143">
        <v>0</v>
      </c>
    </row>
    <row r="10042" spans="1:9" x14ac:dyDescent="0.2">
      <c r="A10042" s="172">
        <v>45954</v>
      </c>
      <c r="B10042" s="135">
        <f>YEAR(source[[#This Row],[report_date]])</f>
        <v>2025</v>
      </c>
      <c r="C10042" s="128">
        <f t="shared" si="469"/>
        <v>10</v>
      </c>
      <c r="D10042" s="136">
        <f t="shared" si="468"/>
        <v>43</v>
      </c>
      <c r="E10042" s="136">
        <f t="shared" si="470"/>
        <v>24</v>
      </c>
      <c r="F10042" s="137" t="s">
        <v>24</v>
      </c>
      <c r="G10042" s="128" t="str">
        <f>VLOOKUP(source[[#This Row],[lending_product_transform]],[3]Mapping!$B$4:$C$37,2,0)</f>
        <v>[Cake] - Cashloan</v>
      </c>
      <c r="H10042" s="128" t="str">
        <f>VLOOKUP(source[[#This Row],[lending_product_transform]],[3]Mapping!$B$3:$D$37,3,0)</f>
        <v>cashloan</v>
      </c>
      <c r="I10042" s="143">
        <v>17000000</v>
      </c>
    </row>
    <row r="10043" spans="1:9" x14ac:dyDescent="0.2">
      <c r="A10043" s="172">
        <v>45954</v>
      </c>
      <c r="B10043" s="135">
        <f>YEAR(source[[#This Row],[report_date]])</f>
        <v>2025</v>
      </c>
      <c r="C10043" s="128">
        <f t="shared" si="469"/>
        <v>10</v>
      </c>
      <c r="D10043" s="136">
        <f t="shared" si="468"/>
        <v>43</v>
      </c>
      <c r="E10043" s="136">
        <f t="shared" si="470"/>
        <v>24</v>
      </c>
      <c r="F10043" s="137" t="s">
        <v>24</v>
      </c>
      <c r="G10043" s="128" t="str">
        <f>VLOOKUP(source[[#This Row],[lending_product_transform]],[3]Mapping!$B$4:$C$37,2,0)</f>
        <v>[Cake] - Cashloan</v>
      </c>
      <c r="H10043" s="128" t="str">
        <f>VLOOKUP(source[[#This Row],[lending_product_transform]],[3]Mapping!$B$3:$D$37,3,0)</f>
        <v>cashloan</v>
      </c>
      <c r="I10043" s="143">
        <v>9715032000</v>
      </c>
    </row>
    <row r="10044" spans="1:9" x14ac:dyDescent="0.2">
      <c r="A10044" s="172">
        <v>45954</v>
      </c>
      <c r="B10044" s="135">
        <f>YEAR(source[[#This Row],[report_date]])</f>
        <v>2025</v>
      </c>
      <c r="C10044" s="128">
        <f t="shared" si="469"/>
        <v>10</v>
      </c>
      <c r="D10044" s="136">
        <f t="shared" si="468"/>
        <v>43</v>
      </c>
      <c r="E10044" s="136">
        <f t="shared" si="470"/>
        <v>24</v>
      </c>
      <c r="F10044" s="137" t="s">
        <v>24</v>
      </c>
      <c r="G10044" s="128" t="str">
        <f>VLOOKUP(source[[#This Row],[lending_product_transform]],[3]Mapping!$B$4:$C$37,2,0)</f>
        <v>[Cake] - Cashloan</v>
      </c>
      <c r="H10044" s="128" t="str">
        <f>VLOOKUP(source[[#This Row],[lending_product_transform]],[3]Mapping!$B$3:$D$37,3,0)</f>
        <v>cashloan</v>
      </c>
      <c r="I10044" s="143">
        <v>173670084</v>
      </c>
    </row>
    <row r="10045" spans="1:9" x14ac:dyDescent="0.2">
      <c r="A10045" s="172">
        <v>45954</v>
      </c>
      <c r="B10045" s="135">
        <f>YEAR(source[[#This Row],[report_date]])</f>
        <v>2025</v>
      </c>
      <c r="C10045" s="128">
        <f t="shared" si="469"/>
        <v>10</v>
      </c>
      <c r="D10045" s="136">
        <f t="shared" si="468"/>
        <v>43</v>
      </c>
      <c r="E10045" s="136">
        <f t="shared" si="470"/>
        <v>24</v>
      </c>
      <c r="F10045" s="137" t="s">
        <v>24</v>
      </c>
      <c r="G10045" s="128" t="str">
        <f>VLOOKUP(source[[#This Row],[lending_product_transform]],[3]Mapping!$B$4:$C$37,2,0)</f>
        <v>[Cake] - Cashloan</v>
      </c>
      <c r="H10045" s="128" t="str">
        <f>VLOOKUP(source[[#This Row],[lending_product_transform]],[3]Mapping!$B$3:$D$37,3,0)</f>
        <v>cashloan</v>
      </c>
      <c r="I10045" s="143">
        <v>0</v>
      </c>
    </row>
    <row r="10046" spans="1:9" x14ac:dyDescent="0.2">
      <c r="A10046" s="172">
        <v>45954</v>
      </c>
      <c r="B10046" s="135">
        <f>YEAR(source[[#This Row],[report_date]])</f>
        <v>2025</v>
      </c>
      <c r="C10046" s="128">
        <f t="shared" si="469"/>
        <v>10</v>
      </c>
      <c r="D10046" s="136">
        <f t="shared" si="468"/>
        <v>43</v>
      </c>
      <c r="E10046" s="136">
        <f t="shared" si="470"/>
        <v>24</v>
      </c>
      <c r="F10046" s="137" t="s">
        <v>24</v>
      </c>
      <c r="G10046" s="128" t="str">
        <f>VLOOKUP(source[[#This Row],[lending_product_transform]],[3]Mapping!$B$4:$C$37,2,0)</f>
        <v>[Cake] - Cashloan</v>
      </c>
      <c r="H10046" s="128" t="str">
        <f>VLOOKUP(source[[#This Row],[lending_product_transform]],[3]Mapping!$B$3:$D$37,3,0)</f>
        <v>cashloan</v>
      </c>
      <c r="I10046" s="143">
        <v>70000000</v>
      </c>
    </row>
    <row r="10047" spans="1:9" x14ac:dyDescent="0.2">
      <c r="A10047" s="172">
        <v>45954</v>
      </c>
      <c r="B10047" s="135">
        <f>YEAR(source[[#This Row],[report_date]])</f>
        <v>2025</v>
      </c>
      <c r="C10047" s="128">
        <f t="shared" si="469"/>
        <v>10</v>
      </c>
      <c r="D10047" s="136">
        <f t="shared" si="468"/>
        <v>43</v>
      </c>
      <c r="E10047" s="136">
        <f t="shared" si="470"/>
        <v>24</v>
      </c>
      <c r="F10047" s="137" t="s">
        <v>24</v>
      </c>
      <c r="G10047" s="128" t="str">
        <f>VLOOKUP(source[[#This Row],[lending_product_transform]],[3]Mapping!$B$4:$C$37,2,0)</f>
        <v>[Cake] - Cashloan</v>
      </c>
      <c r="H10047" s="128" t="str">
        <f>VLOOKUP(source[[#This Row],[lending_product_transform]],[3]Mapping!$B$3:$D$37,3,0)</f>
        <v>cashloan</v>
      </c>
      <c r="I10047" s="143">
        <v>819140000</v>
      </c>
    </row>
    <row r="10048" spans="1:9" x14ac:dyDescent="0.2">
      <c r="A10048" s="172">
        <v>45954</v>
      </c>
      <c r="B10048" s="135">
        <f>YEAR(source[[#This Row],[report_date]])</f>
        <v>2025</v>
      </c>
      <c r="C10048" s="128">
        <f t="shared" si="469"/>
        <v>10</v>
      </c>
      <c r="D10048" s="136">
        <f t="shared" si="468"/>
        <v>43</v>
      </c>
      <c r="E10048" s="136">
        <f t="shared" si="470"/>
        <v>24</v>
      </c>
      <c r="F10048" s="137" t="s">
        <v>24</v>
      </c>
      <c r="G10048" s="128" t="str">
        <f>VLOOKUP(source[[#This Row],[lending_product_transform]],[3]Mapping!$B$4:$C$37,2,0)</f>
        <v>[Cake] - Cashloan</v>
      </c>
      <c r="H10048" s="128" t="str">
        <f>VLOOKUP(source[[#This Row],[lending_product_transform]],[3]Mapping!$B$3:$D$37,3,0)</f>
        <v>cashloan</v>
      </c>
      <c r="I10048" s="143">
        <v>246240000</v>
      </c>
    </row>
    <row r="10049" spans="1:9" x14ac:dyDescent="0.2">
      <c r="A10049" s="172">
        <v>45954</v>
      </c>
      <c r="B10049" s="135">
        <f>YEAR(source[[#This Row],[report_date]])</f>
        <v>2025</v>
      </c>
      <c r="C10049" s="128">
        <f t="shared" si="469"/>
        <v>10</v>
      </c>
      <c r="D10049" s="136">
        <f t="shared" si="468"/>
        <v>43</v>
      </c>
      <c r="E10049" s="136">
        <f t="shared" si="470"/>
        <v>24</v>
      </c>
      <c r="F10049" s="137" t="s">
        <v>24</v>
      </c>
      <c r="G10049" s="128" t="str">
        <f>VLOOKUP(source[[#This Row],[lending_product_transform]],[3]Mapping!$B$4:$C$37,2,0)</f>
        <v>[Cake] - Cashloan</v>
      </c>
      <c r="H10049" s="128" t="str">
        <f>VLOOKUP(source[[#This Row],[lending_product_transform]],[3]Mapping!$B$3:$D$37,3,0)</f>
        <v>cashloan</v>
      </c>
      <c r="I10049" s="143">
        <v>404228919</v>
      </c>
    </row>
    <row r="10050" spans="1:9" x14ac:dyDescent="0.2">
      <c r="A10050" s="172">
        <v>45954</v>
      </c>
      <c r="B10050" s="135">
        <f>YEAR(source[[#This Row],[report_date]])</f>
        <v>2025</v>
      </c>
      <c r="C10050" s="128">
        <f t="shared" si="469"/>
        <v>10</v>
      </c>
      <c r="D10050" s="136">
        <f t="shared" si="468"/>
        <v>43</v>
      </c>
      <c r="E10050" s="136">
        <f t="shared" si="470"/>
        <v>24</v>
      </c>
      <c r="F10050" s="137" t="s">
        <v>24</v>
      </c>
      <c r="G10050" s="128" t="str">
        <f>VLOOKUP(source[[#This Row],[lending_product_transform]],[3]Mapping!$B$4:$C$37,2,0)</f>
        <v>[Cake] - Cashloan</v>
      </c>
      <c r="H10050" s="128" t="str">
        <f>VLOOKUP(source[[#This Row],[lending_product_transform]],[3]Mapping!$B$3:$D$37,3,0)</f>
        <v>cashloan</v>
      </c>
      <c r="I10050" s="143">
        <v>3570150000</v>
      </c>
    </row>
    <row r="10051" spans="1:9" x14ac:dyDescent="0.2">
      <c r="A10051" s="172">
        <v>45955</v>
      </c>
      <c r="B10051" s="135">
        <f>YEAR(source[[#This Row],[report_date]])</f>
        <v>2025</v>
      </c>
      <c r="C10051" s="128">
        <f t="shared" si="469"/>
        <v>10</v>
      </c>
      <c r="D10051" s="136">
        <f t="shared" ref="D10051:D10114" si="471">WEEKNUM(A10051,2)</f>
        <v>43</v>
      </c>
      <c r="E10051" s="136">
        <f t="shared" si="470"/>
        <v>25</v>
      </c>
      <c r="F10051" s="137" t="s">
        <v>24</v>
      </c>
      <c r="G10051" s="128" t="str">
        <f>VLOOKUP(source[[#This Row],[lending_product_transform]],[3]Mapping!$B$4:$C$37,2,0)</f>
        <v>[Cake] - Cashloan</v>
      </c>
      <c r="H10051" s="128" t="str">
        <f>VLOOKUP(source[[#This Row],[lending_product_transform]],[3]Mapping!$B$3:$D$37,3,0)</f>
        <v>cashloan</v>
      </c>
      <c r="I10051" s="143">
        <v>63500000</v>
      </c>
    </row>
    <row r="10052" spans="1:9" x14ac:dyDescent="0.2">
      <c r="A10052" s="172">
        <v>45955</v>
      </c>
      <c r="B10052" s="135">
        <f>YEAR(source[[#This Row],[report_date]])</f>
        <v>2025</v>
      </c>
      <c r="C10052" s="128">
        <f t="shared" si="469"/>
        <v>10</v>
      </c>
      <c r="D10052" s="136">
        <f t="shared" si="471"/>
        <v>43</v>
      </c>
      <c r="E10052" s="136">
        <f t="shared" si="470"/>
        <v>25</v>
      </c>
      <c r="F10052" s="137" t="s">
        <v>24</v>
      </c>
      <c r="G10052" s="128" t="str">
        <f>VLOOKUP(source[[#This Row],[lending_product_transform]],[3]Mapping!$B$4:$C$37,2,0)</f>
        <v>[Cake] - Cashloan</v>
      </c>
      <c r="H10052" s="128" t="str">
        <f>VLOOKUP(source[[#This Row],[lending_product_transform]],[3]Mapping!$B$3:$D$37,3,0)</f>
        <v>cashloan</v>
      </c>
      <c r="I10052" s="143">
        <v>305419448</v>
      </c>
    </row>
    <row r="10053" spans="1:9" x14ac:dyDescent="0.2">
      <c r="A10053" s="172">
        <v>45955</v>
      </c>
      <c r="B10053" s="135">
        <f>YEAR(source[[#This Row],[report_date]])</f>
        <v>2025</v>
      </c>
      <c r="C10053" s="128">
        <f t="shared" si="469"/>
        <v>10</v>
      </c>
      <c r="D10053" s="136">
        <f t="shared" si="471"/>
        <v>43</v>
      </c>
      <c r="E10053" s="136">
        <f t="shared" si="470"/>
        <v>25</v>
      </c>
      <c r="F10053" s="137" t="s">
        <v>24</v>
      </c>
      <c r="G10053" s="128" t="str">
        <f>VLOOKUP(source[[#This Row],[lending_product_transform]],[3]Mapping!$B$4:$C$37,2,0)</f>
        <v>[Cake] - Cashloan</v>
      </c>
      <c r="H10053" s="128" t="str">
        <f>VLOOKUP(source[[#This Row],[lending_product_transform]],[3]Mapping!$B$3:$D$37,3,0)</f>
        <v>cashloan</v>
      </c>
      <c r="I10053" s="143">
        <v>14050200000</v>
      </c>
    </row>
    <row r="10054" spans="1:9" x14ac:dyDescent="0.2">
      <c r="A10054" s="172">
        <v>45955</v>
      </c>
      <c r="B10054" s="135">
        <f>YEAR(source[[#This Row],[report_date]])</f>
        <v>2025</v>
      </c>
      <c r="C10054" s="128">
        <f t="shared" si="469"/>
        <v>10</v>
      </c>
      <c r="D10054" s="136">
        <f t="shared" si="471"/>
        <v>43</v>
      </c>
      <c r="E10054" s="136">
        <f t="shared" si="470"/>
        <v>25</v>
      </c>
      <c r="F10054" s="137" t="s">
        <v>24</v>
      </c>
      <c r="G10054" s="128" t="str">
        <f>VLOOKUP(source[[#This Row],[lending_product_transform]],[3]Mapping!$B$4:$C$37,2,0)</f>
        <v>[Cake] - Cashloan</v>
      </c>
      <c r="H10054" s="128" t="str">
        <f>VLOOKUP(source[[#This Row],[lending_product_transform]],[3]Mapping!$B$3:$D$37,3,0)</f>
        <v>cashloan</v>
      </c>
      <c r="I10054" s="143">
        <v>2172843496</v>
      </c>
    </row>
    <row r="10055" spans="1:9" x14ac:dyDescent="0.2">
      <c r="A10055" s="172">
        <v>45955</v>
      </c>
      <c r="B10055" s="135">
        <f>YEAR(source[[#This Row],[report_date]])</f>
        <v>2025</v>
      </c>
      <c r="C10055" s="128">
        <f t="shared" si="469"/>
        <v>10</v>
      </c>
      <c r="D10055" s="136">
        <f t="shared" si="471"/>
        <v>43</v>
      </c>
      <c r="E10055" s="136">
        <f t="shared" si="470"/>
        <v>25</v>
      </c>
      <c r="F10055" s="137" t="s">
        <v>24</v>
      </c>
      <c r="G10055" s="128" t="str">
        <f>VLOOKUP(source[[#This Row],[lending_product_transform]],[3]Mapping!$B$4:$C$37,2,0)</f>
        <v>[Cake] - Cashloan</v>
      </c>
      <c r="H10055" s="128" t="str">
        <f>VLOOKUP(source[[#This Row],[lending_product_transform]],[3]Mapping!$B$3:$D$37,3,0)</f>
        <v>cashloan</v>
      </c>
      <c r="I10055" s="143">
        <v>7487100000</v>
      </c>
    </row>
    <row r="10056" spans="1:9" x14ac:dyDescent="0.2">
      <c r="A10056" s="172">
        <v>45955</v>
      </c>
      <c r="B10056" s="135">
        <f>YEAR(source[[#This Row],[report_date]])</f>
        <v>2025</v>
      </c>
      <c r="C10056" s="128">
        <f t="shared" si="469"/>
        <v>10</v>
      </c>
      <c r="D10056" s="136">
        <f t="shared" si="471"/>
        <v>43</v>
      </c>
      <c r="E10056" s="136">
        <f t="shared" si="470"/>
        <v>25</v>
      </c>
      <c r="F10056" s="137" t="s">
        <v>24</v>
      </c>
      <c r="G10056" s="128" t="str">
        <f>VLOOKUP(source[[#This Row],[lending_product_transform]],[3]Mapping!$B$4:$C$37,2,0)</f>
        <v>[Cake] - Cashloan</v>
      </c>
      <c r="H10056" s="128" t="str">
        <f>VLOOKUP(source[[#This Row],[lending_product_transform]],[3]Mapping!$B$3:$D$37,3,0)</f>
        <v>cashloan</v>
      </c>
      <c r="I10056" s="143">
        <v>37120983</v>
      </c>
    </row>
    <row r="10057" spans="1:9" x14ac:dyDescent="0.2">
      <c r="A10057" s="172">
        <v>45955</v>
      </c>
      <c r="B10057" s="135">
        <f>YEAR(source[[#This Row],[report_date]])</f>
        <v>2025</v>
      </c>
      <c r="C10057" s="128">
        <f t="shared" si="469"/>
        <v>10</v>
      </c>
      <c r="D10057" s="136">
        <f t="shared" si="471"/>
        <v>43</v>
      </c>
      <c r="E10057" s="136">
        <f t="shared" si="470"/>
        <v>25</v>
      </c>
      <c r="F10057" s="137" t="s">
        <v>24</v>
      </c>
      <c r="G10057" s="128" t="str">
        <f>VLOOKUP(source[[#This Row],[lending_product_transform]],[3]Mapping!$B$4:$C$37,2,0)</f>
        <v>[Cake] - Cashloan</v>
      </c>
      <c r="H10057" s="128" t="str">
        <f>VLOOKUP(source[[#This Row],[lending_product_transform]],[3]Mapping!$B$3:$D$37,3,0)</f>
        <v>cashloan</v>
      </c>
      <c r="I10057" s="143">
        <v>2437670000</v>
      </c>
    </row>
    <row r="10058" spans="1:9" x14ac:dyDescent="0.2">
      <c r="A10058" s="172">
        <v>45955</v>
      </c>
      <c r="B10058" s="135">
        <f>YEAR(source[[#This Row],[report_date]])</f>
        <v>2025</v>
      </c>
      <c r="C10058" s="128">
        <f t="shared" si="469"/>
        <v>10</v>
      </c>
      <c r="D10058" s="136">
        <f t="shared" si="471"/>
        <v>43</v>
      </c>
      <c r="E10058" s="136">
        <f t="shared" si="470"/>
        <v>25</v>
      </c>
      <c r="F10058" s="137" t="s">
        <v>24</v>
      </c>
      <c r="G10058" s="128" t="str">
        <f>VLOOKUP(source[[#This Row],[lending_product_transform]],[3]Mapping!$B$4:$C$37,2,0)</f>
        <v>[Cake] - Cashloan</v>
      </c>
      <c r="H10058" s="128" t="str">
        <f>VLOOKUP(source[[#This Row],[lending_product_transform]],[3]Mapping!$B$3:$D$37,3,0)</f>
        <v>cashloan</v>
      </c>
      <c r="I10058" s="143">
        <v>10807000</v>
      </c>
    </row>
    <row r="10059" spans="1:9" x14ac:dyDescent="0.2">
      <c r="A10059" s="172">
        <v>45955</v>
      </c>
      <c r="B10059" s="135">
        <f>YEAR(source[[#This Row],[report_date]])</f>
        <v>2025</v>
      </c>
      <c r="C10059" s="128">
        <f t="shared" si="469"/>
        <v>10</v>
      </c>
      <c r="D10059" s="136">
        <f t="shared" si="471"/>
        <v>43</v>
      </c>
      <c r="E10059" s="136">
        <f t="shared" si="470"/>
        <v>25</v>
      </c>
      <c r="F10059" s="137" t="s">
        <v>24</v>
      </c>
      <c r="G10059" s="128" t="str">
        <f>VLOOKUP(source[[#This Row],[lending_product_transform]],[3]Mapping!$B$4:$C$37,2,0)</f>
        <v>[Cake] - Cashloan</v>
      </c>
      <c r="H10059" s="128" t="str">
        <f>VLOOKUP(source[[#This Row],[lending_product_transform]],[3]Mapping!$B$3:$D$37,3,0)</f>
        <v>cashloan</v>
      </c>
      <c r="I10059" s="143">
        <v>673834600</v>
      </c>
    </row>
    <row r="10060" spans="1:9" x14ac:dyDescent="0.2">
      <c r="A10060" s="172">
        <v>45955</v>
      </c>
      <c r="B10060" s="135">
        <f>YEAR(source[[#This Row],[report_date]])</f>
        <v>2025</v>
      </c>
      <c r="C10060" s="128">
        <f t="shared" si="469"/>
        <v>10</v>
      </c>
      <c r="D10060" s="136">
        <f t="shared" si="471"/>
        <v>43</v>
      </c>
      <c r="E10060" s="136">
        <f t="shared" si="470"/>
        <v>25</v>
      </c>
      <c r="F10060" s="137" t="s">
        <v>24</v>
      </c>
      <c r="G10060" s="128" t="str">
        <f>VLOOKUP(source[[#This Row],[lending_product_transform]],[3]Mapping!$B$4:$C$37,2,0)</f>
        <v>[Cake] - Cashloan</v>
      </c>
      <c r="H10060" s="128" t="str">
        <f>VLOOKUP(source[[#This Row],[lending_product_transform]],[3]Mapping!$B$3:$D$37,3,0)</f>
        <v>cashloan</v>
      </c>
      <c r="I10060" s="143">
        <v>0</v>
      </c>
    </row>
    <row r="10061" spans="1:9" x14ac:dyDescent="0.2">
      <c r="A10061" s="172">
        <v>45955</v>
      </c>
      <c r="B10061" s="135">
        <f>YEAR(source[[#This Row],[report_date]])</f>
        <v>2025</v>
      </c>
      <c r="C10061" s="128">
        <f t="shared" si="469"/>
        <v>10</v>
      </c>
      <c r="D10061" s="136">
        <f t="shared" si="471"/>
        <v>43</v>
      </c>
      <c r="E10061" s="136">
        <f t="shared" si="470"/>
        <v>25</v>
      </c>
      <c r="F10061" s="137" t="s">
        <v>24</v>
      </c>
      <c r="G10061" s="128" t="str">
        <f>VLOOKUP(source[[#This Row],[lending_product_transform]],[3]Mapping!$B$4:$C$37,2,0)</f>
        <v>[Cake] - Cashloan</v>
      </c>
      <c r="H10061" s="128" t="str">
        <f>VLOOKUP(source[[#This Row],[lending_product_transform]],[3]Mapping!$B$3:$D$37,3,0)</f>
        <v>cashloan</v>
      </c>
      <c r="I10061" s="143">
        <v>105000000</v>
      </c>
    </row>
    <row r="10062" spans="1:9" x14ac:dyDescent="0.2">
      <c r="A10062" s="172">
        <v>45955</v>
      </c>
      <c r="B10062" s="135">
        <f>YEAR(source[[#This Row],[report_date]])</f>
        <v>2025</v>
      </c>
      <c r="C10062" s="128">
        <f t="shared" si="469"/>
        <v>10</v>
      </c>
      <c r="D10062" s="136">
        <f t="shared" si="471"/>
        <v>43</v>
      </c>
      <c r="E10062" s="136">
        <f t="shared" si="470"/>
        <v>25</v>
      </c>
      <c r="F10062" s="137" t="s">
        <v>24</v>
      </c>
      <c r="G10062" s="128" t="str">
        <f>VLOOKUP(source[[#This Row],[lending_product_transform]],[3]Mapping!$B$4:$C$37,2,0)</f>
        <v>[Cake] - Cashloan</v>
      </c>
      <c r="H10062" s="128" t="str">
        <f>VLOOKUP(source[[#This Row],[lending_product_transform]],[3]Mapping!$B$3:$D$37,3,0)</f>
        <v>cashloan</v>
      </c>
      <c r="I10062" s="143">
        <v>16692810000</v>
      </c>
    </row>
    <row r="10063" spans="1:9" x14ac:dyDescent="0.2">
      <c r="A10063" s="172">
        <v>45955</v>
      </c>
      <c r="B10063" s="135">
        <f>YEAR(source[[#This Row],[report_date]])</f>
        <v>2025</v>
      </c>
      <c r="C10063" s="128">
        <f t="shared" si="469"/>
        <v>10</v>
      </c>
      <c r="D10063" s="136">
        <f t="shared" si="471"/>
        <v>43</v>
      </c>
      <c r="E10063" s="136">
        <f t="shared" si="470"/>
        <v>25</v>
      </c>
      <c r="F10063" s="137" t="s">
        <v>24</v>
      </c>
      <c r="G10063" s="128" t="str">
        <f>VLOOKUP(source[[#This Row],[lending_product_transform]],[3]Mapping!$B$4:$C$37,2,0)</f>
        <v>[Cake] - Cashloan</v>
      </c>
      <c r="H10063" s="128" t="str">
        <f>VLOOKUP(source[[#This Row],[lending_product_transform]],[3]Mapping!$B$3:$D$37,3,0)</f>
        <v>cashloan</v>
      </c>
      <c r="I10063" s="143">
        <v>0</v>
      </c>
    </row>
    <row r="10064" spans="1:9" x14ac:dyDescent="0.2">
      <c r="A10064" s="172">
        <v>45955</v>
      </c>
      <c r="B10064" s="135">
        <f>YEAR(source[[#This Row],[report_date]])</f>
        <v>2025</v>
      </c>
      <c r="C10064" s="128">
        <f t="shared" si="469"/>
        <v>10</v>
      </c>
      <c r="D10064" s="136">
        <f t="shared" si="471"/>
        <v>43</v>
      </c>
      <c r="E10064" s="136">
        <f t="shared" si="470"/>
        <v>25</v>
      </c>
      <c r="F10064" s="137" t="s">
        <v>24</v>
      </c>
      <c r="G10064" s="128" t="str">
        <f>VLOOKUP(source[[#This Row],[lending_product_transform]],[3]Mapping!$B$4:$C$37,2,0)</f>
        <v>[Cake] - Cashloan</v>
      </c>
      <c r="H10064" s="128" t="str">
        <f>VLOOKUP(source[[#This Row],[lending_product_transform]],[3]Mapping!$B$3:$D$37,3,0)</f>
        <v>cashloan</v>
      </c>
      <c r="I10064" s="143">
        <v>0</v>
      </c>
    </row>
    <row r="10065" spans="1:9" x14ac:dyDescent="0.2">
      <c r="A10065" s="172">
        <v>45955</v>
      </c>
      <c r="B10065" s="135">
        <f>YEAR(source[[#This Row],[report_date]])</f>
        <v>2025</v>
      </c>
      <c r="C10065" s="128">
        <f t="shared" si="469"/>
        <v>10</v>
      </c>
      <c r="D10065" s="136">
        <f t="shared" si="471"/>
        <v>43</v>
      </c>
      <c r="E10065" s="136">
        <f t="shared" si="470"/>
        <v>25</v>
      </c>
      <c r="F10065" s="137" t="s">
        <v>24</v>
      </c>
      <c r="G10065" s="128" t="str">
        <f>VLOOKUP(source[[#This Row],[lending_product_transform]],[3]Mapping!$B$4:$C$37,2,0)</f>
        <v>[Cake] - Cashloan</v>
      </c>
      <c r="H10065" s="128" t="str">
        <f>VLOOKUP(source[[#This Row],[lending_product_transform]],[3]Mapping!$B$3:$D$37,3,0)</f>
        <v>cashloan</v>
      </c>
      <c r="I10065" s="143">
        <v>0</v>
      </c>
    </row>
    <row r="10066" spans="1:9" x14ac:dyDescent="0.2">
      <c r="A10066" s="172">
        <v>45955</v>
      </c>
      <c r="B10066" s="135">
        <f>YEAR(source[[#This Row],[report_date]])</f>
        <v>2025</v>
      </c>
      <c r="C10066" s="128">
        <f t="shared" si="469"/>
        <v>10</v>
      </c>
      <c r="D10066" s="136">
        <f t="shared" si="471"/>
        <v>43</v>
      </c>
      <c r="E10066" s="136">
        <f t="shared" si="470"/>
        <v>25</v>
      </c>
      <c r="F10066" s="137" t="s">
        <v>24</v>
      </c>
      <c r="G10066" s="128" t="str">
        <f>VLOOKUP(source[[#This Row],[lending_product_transform]],[3]Mapping!$B$4:$C$37,2,0)</f>
        <v>[Cake] - Cashloan</v>
      </c>
      <c r="H10066" s="128" t="str">
        <f>VLOOKUP(source[[#This Row],[lending_product_transform]],[3]Mapping!$B$3:$D$37,3,0)</f>
        <v>cashloan</v>
      </c>
      <c r="I10066" s="143">
        <v>0</v>
      </c>
    </row>
    <row r="10067" spans="1:9" x14ac:dyDescent="0.2">
      <c r="A10067" s="172">
        <v>45955</v>
      </c>
      <c r="B10067" s="135">
        <f>YEAR(source[[#This Row],[report_date]])</f>
        <v>2025</v>
      </c>
      <c r="C10067" s="128">
        <f t="shared" si="469"/>
        <v>10</v>
      </c>
      <c r="D10067" s="136">
        <f t="shared" si="471"/>
        <v>43</v>
      </c>
      <c r="E10067" s="136">
        <f t="shared" si="470"/>
        <v>25</v>
      </c>
      <c r="F10067" s="137" t="s">
        <v>24</v>
      </c>
      <c r="G10067" s="128" t="str">
        <f>VLOOKUP(source[[#This Row],[lending_product_transform]],[3]Mapping!$B$4:$C$37,2,0)</f>
        <v>[Cake] - Cashloan</v>
      </c>
      <c r="H10067" s="128" t="str">
        <f>VLOOKUP(source[[#This Row],[lending_product_transform]],[3]Mapping!$B$3:$D$37,3,0)</f>
        <v>cashloan</v>
      </c>
      <c r="I10067" s="143">
        <v>9284868000</v>
      </c>
    </row>
    <row r="10068" spans="1:9" x14ac:dyDescent="0.2">
      <c r="A10068" s="172">
        <v>45955</v>
      </c>
      <c r="B10068" s="135">
        <f>YEAR(source[[#This Row],[report_date]])</f>
        <v>2025</v>
      </c>
      <c r="C10068" s="128">
        <f t="shared" si="469"/>
        <v>10</v>
      </c>
      <c r="D10068" s="136">
        <f t="shared" si="471"/>
        <v>43</v>
      </c>
      <c r="E10068" s="136">
        <f t="shared" si="470"/>
        <v>25</v>
      </c>
      <c r="F10068" s="137" t="s">
        <v>24</v>
      </c>
      <c r="G10068" s="128" t="str">
        <f>VLOOKUP(source[[#This Row],[lending_product_transform]],[3]Mapping!$B$4:$C$37,2,0)</f>
        <v>[Cake] - Cashloan</v>
      </c>
      <c r="H10068" s="128" t="str">
        <f>VLOOKUP(source[[#This Row],[lending_product_transform]],[3]Mapping!$B$3:$D$37,3,0)</f>
        <v>cashloan</v>
      </c>
      <c r="I10068" s="143">
        <v>179111520</v>
      </c>
    </row>
    <row r="10069" spans="1:9" x14ac:dyDescent="0.2">
      <c r="A10069" s="172">
        <v>45955</v>
      </c>
      <c r="B10069" s="135">
        <f>YEAR(source[[#This Row],[report_date]])</f>
        <v>2025</v>
      </c>
      <c r="C10069" s="128">
        <f t="shared" si="469"/>
        <v>10</v>
      </c>
      <c r="D10069" s="136">
        <f t="shared" si="471"/>
        <v>43</v>
      </c>
      <c r="E10069" s="136">
        <f t="shared" si="470"/>
        <v>25</v>
      </c>
      <c r="F10069" s="137" t="s">
        <v>24</v>
      </c>
      <c r="G10069" s="128" t="str">
        <f>VLOOKUP(source[[#This Row],[lending_product_transform]],[3]Mapping!$B$4:$C$37,2,0)</f>
        <v>[Cake] - Cashloan</v>
      </c>
      <c r="H10069" s="128" t="str">
        <f>VLOOKUP(source[[#This Row],[lending_product_transform]],[3]Mapping!$B$3:$D$37,3,0)</f>
        <v>cashloan</v>
      </c>
      <c r="I10069" s="143">
        <v>35750000</v>
      </c>
    </row>
    <row r="10070" spans="1:9" x14ac:dyDescent="0.2">
      <c r="A10070" s="172">
        <v>45955</v>
      </c>
      <c r="B10070" s="135">
        <f>YEAR(source[[#This Row],[report_date]])</f>
        <v>2025</v>
      </c>
      <c r="C10070" s="128">
        <f t="shared" si="469"/>
        <v>10</v>
      </c>
      <c r="D10070" s="136">
        <f t="shared" si="471"/>
        <v>43</v>
      </c>
      <c r="E10070" s="136">
        <f t="shared" si="470"/>
        <v>25</v>
      </c>
      <c r="F10070" s="137" t="s">
        <v>24</v>
      </c>
      <c r="G10070" s="128" t="str">
        <f>VLOOKUP(source[[#This Row],[lending_product_transform]],[3]Mapping!$B$4:$C$37,2,0)</f>
        <v>[Cake] - Cashloan</v>
      </c>
      <c r="H10070" s="128" t="str">
        <f>VLOOKUP(source[[#This Row],[lending_product_transform]],[3]Mapping!$B$3:$D$37,3,0)</f>
        <v>cashloan</v>
      </c>
      <c r="I10070" s="143">
        <v>80000000</v>
      </c>
    </row>
    <row r="10071" spans="1:9" x14ac:dyDescent="0.2">
      <c r="A10071" s="172">
        <v>45955</v>
      </c>
      <c r="B10071" s="135">
        <f>YEAR(source[[#This Row],[report_date]])</f>
        <v>2025</v>
      </c>
      <c r="C10071" s="128">
        <f t="shared" si="469"/>
        <v>10</v>
      </c>
      <c r="D10071" s="136">
        <f t="shared" si="471"/>
        <v>43</v>
      </c>
      <c r="E10071" s="136">
        <f t="shared" si="470"/>
        <v>25</v>
      </c>
      <c r="F10071" s="137" t="s">
        <v>24</v>
      </c>
      <c r="G10071" s="128" t="str">
        <f>VLOOKUP(source[[#This Row],[lending_product_transform]],[3]Mapping!$B$4:$C$37,2,0)</f>
        <v>[Cake] - Cashloan</v>
      </c>
      <c r="H10071" s="128" t="str">
        <f>VLOOKUP(source[[#This Row],[lending_product_transform]],[3]Mapping!$B$3:$D$37,3,0)</f>
        <v>cashloan</v>
      </c>
      <c r="I10071" s="143">
        <v>828890000</v>
      </c>
    </row>
    <row r="10072" spans="1:9" x14ac:dyDescent="0.2">
      <c r="A10072" s="172">
        <v>45955</v>
      </c>
      <c r="B10072" s="135">
        <f>YEAR(source[[#This Row],[report_date]])</f>
        <v>2025</v>
      </c>
      <c r="C10072" s="128">
        <f t="shared" si="469"/>
        <v>10</v>
      </c>
      <c r="D10072" s="136">
        <f t="shared" si="471"/>
        <v>43</v>
      </c>
      <c r="E10072" s="136">
        <f t="shared" si="470"/>
        <v>25</v>
      </c>
      <c r="F10072" s="137" t="s">
        <v>24</v>
      </c>
      <c r="G10072" s="128" t="str">
        <f>VLOOKUP(source[[#This Row],[lending_product_transform]],[3]Mapping!$B$4:$C$37,2,0)</f>
        <v>[Cake] - Cashloan</v>
      </c>
      <c r="H10072" s="128" t="str">
        <f>VLOOKUP(source[[#This Row],[lending_product_transform]],[3]Mapping!$B$3:$D$37,3,0)</f>
        <v>cashloan</v>
      </c>
      <c r="I10072" s="143">
        <v>168480000</v>
      </c>
    </row>
    <row r="10073" spans="1:9" x14ac:dyDescent="0.2">
      <c r="A10073" s="172">
        <v>45955</v>
      </c>
      <c r="B10073" s="135">
        <f>YEAR(source[[#This Row],[report_date]])</f>
        <v>2025</v>
      </c>
      <c r="C10073" s="128">
        <f t="shared" si="469"/>
        <v>10</v>
      </c>
      <c r="D10073" s="136">
        <f t="shared" si="471"/>
        <v>43</v>
      </c>
      <c r="E10073" s="136">
        <f t="shared" si="470"/>
        <v>25</v>
      </c>
      <c r="F10073" s="137" t="s">
        <v>24</v>
      </c>
      <c r="G10073" s="128" t="str">
        <f>VLOOKUP(source[[#This Row],[lending_product_transform]],[3]Mapping!$B$4:$C$37,2,0)</f>
        <v>[Cake] - Cashloan</v>
      </c>
      <c r="H10073" s="128" t="str">
        <f>VLOOKUP(source[[#This Row],[lending_product_transform]],[3]Mapping!$B$3:$D$37,3,0)</f>
        <v>cashloan</v>
      </c>
      <c r="I10073" s="143">
        <v>394362630</v>
      </c>
    </row>
    <row r="10074" spans="1:9" x14ac:dyDescent="0.2">
      <c r="A10074" s="172">
        <v>45955</v>
      </c>
      <c r="B10074" s="135">
        <f>YEAR(source[[#This Row],[report_date]])</f>
        <v>2025</v>
      </c>
      <c r="C10074" s="128">
        <f t="shared" si="469"/>
        <v>10</v>
      </c>
      <c r="D10074" s="136">
        <f t="shared" si="471"/>
        <v>43</v>
      </c>
      <c r="E10074" s="136">
        <f t="shared" si="470"/>
        <v>25</v>
      </c>
      <c r="F10074" s="137" t="s">
        <v>24</v>
      </c>
      <c r="G10074" s="128" t="str">
        <f>VLOOKUP(source[[#This Row],[lending_product_transform]],[3]Mapping!$B$4:$C$37,2,0)</f>
        <v>[Cake] - Cashloan</v>
      </c>
      <c r="H10074" s="128" t="str">
        <f>VLOOKUP(source[[#This Row],[lending_product_transform]],[3]Mapping!$B$3:$D$37,3,0)</f>
        <v>cashloan</v>
      </c>
      <c r="I10074" s="143">
        <v>3668790000</v>
      </c>
    </row>
    <row r="10075" spans="1:9" x14ac:dyDescent="0.2">
      <c r="A10075" s="172">
        <v>45956</v>
      </c>
      <c r="B10075" s="135">
        <f>YEAR(source[[#This Row],[report_date]])</f>
        <v>2025</v>
      </c>
      <c r="C10075" s="128">
        <f t="shared" si="469"/>
        <v>10</v>
      </c>
      <c r="D10075" s="136">
        <f t="shared" si="471"/>
        <v>43</v>
      </c>
      <c r="E10075" s="136">
        <f t="shared" si="470"/>
        <v>26</v>
      </c>
      <c r="F10075" s="137" t="s">
        <v>24</v>
      </c>
      <c r="G10075" s="128" t="str">
        <f>VLOOKUP(source[[#This Row],[lending_product_transform]],[3]Mapping!$B$4:$C$37,2,0)</f>
        <v>[Cake] - Cashloan</v>
      </c>
      <c r="H10075" s="128" t="str">
        <f>VLOOKUP(source[[#This Row],[lending_product_transform]],[3]Mapping!$B$3:$D$37,3,0)</f>
        <v>cashloan</v>
      </c>
      <c r="I10075" s="143">
        <v>99000000</v>
      </c>
    </row>
    <row r="10076" spans="1:9" x14ac:dyDescent="0.2">
      <c r="A10076" s="172">
        <v>45956</v>
      </c>
      <c r="B10076" s="135">
        <f>YEAR(source[[#This Row],[report_date]])</f>
        <v>2025</v>
      </c>
      <c r="C10076" s="128">
        <f t="shared" si="469"/>
        <v>10</v>
      </c>
      <c r="D10076" s="136">
        <f t="shared" si="471"/>
        <v>43</v>
      </c>
      <c r="E10076" s="136">
        <f t="shared" si="470"/>
        <v>26</v>
      </c>
      <c r="F10076" s="137" t="s">
        <v>24</v>
      </c>
      <c r="G10076" s="128" t="str">
        <f>VLOOKUP(source[[#This Row],[lending_product_transform]],[3]Mapping!$B$4:$C$37,2,0)</f>
        <v>[Cake] - Cashloan</v>
      </c>
      <c r="H10076" s="128" t="str">
        <f>VLOOKUP(source[[#This Row],[lending_product_transform]],[3]Mapping!$B$3:$D$37,3,0)</f>
        <v>cashloan</v>
      </c>
      <c r="I10076" s="143">
        <v>321812698</v>
      </c>
    </row>
    <row r="10077" spans="1:9" x14ac:dyDescent="0.2">
      <c r="A10077" s="172">
        <v>45956</v>
      </c>
      <c r="B10077" s="135">
        <f>YEAR(source[[#This Row],[report_date]])</f>
        <v>2025</v>
      </c>
      <c r="C10077" s="128">
        <f t="shared" si="469"/>
        <v>10</v>
      </c>
      <c r="D10077" s="136">
        <f t="shared" si="471"/>
        <v>43</v>
      </c>
      <c r="E10077" s="136">
        <f t="shared" si="470"/>
        <v>26</v>
      </c>
      <c r="F10077" s="137" t="s">
        <v>24</v>
      </c>
      <c r="G10077" s="128" t="str">
        <f>VLOOKUP(source[[#This Row],[lending_product_transform]],[3]Mapping!$B$4:$C$37,2,0)</f>
        <v>[Cake] - Cashloan</v>
      </c>
      <c r="H10077" s="128" t="str">
        <f>VLOOKUP(source[[#This Row],[lending_product_transform]],[3]Mapping!$B$3:$D$37,3,0)</f>
        <v>cashloan</v>
      </c>
      <c r="I10077" s="143">
        <v>11808080000</v>
      </c>
    </row>
    <row r="10078" spans="1:9" x14ac:dyDescent="0.2">
      <c r="A10078" s="172">
        <v>45956</v>
      </c>
      <c r="B10078" s="135">
        <f>YEAR(source[[#This Row],[report_date]])</f>
        <v>2025</v>
      </c>
      <c r="C10078" s="128">
        <f t="shared" si="469"/>
        <v>10</v>
      </c>
      <c r="D10078" s="136">
        <f t="shared" si="471"/>
        <v>43</v>
      </c>
      <c r="E10078" s="136">
        <f t="shared" si="470"/>
        <v>26</v>
      </c>
      <c r="F10078" s="137" t="s">
        <v>24</v>
      </c>
      <c r="G10078" s="128" t="str">
        <f>VLOOKUP(source[[#This Row],[lending_product_transform]],[3]Mapping!$B$4:$C$37,2,0)</f>
        <v>[Cake] - Cashloan</v>
      </c>
      <c r="H10078" s="128" t="str">
        <f>VLOOKUP(source[[#This Row],[lending_product_transform]],[3]Mapping!$B$3:$D$37,3,0)</f>
        <v>cashloan</v>
      </c>
      <c r="I10078" s="143">
        <v>1850280416</v>
      </c>
    </row>
    <row r="10079" spans="1:9" x14ac:dyDescent="0.2">
      <c r="A10079" s="172">
        <v>45956</v>
      </c>
      <c r="B10079" s="135">
        <f>YEAR(source[[#This Row],[report_date]])</f>
        <v>2025</v>
      </c>
      <c r="C10079" s="128">
        <f t="shared" si="469"/>
        <v>10</v>
      </c>
      <c r="D10079" s="136">
        <f t="shared" si="471"/>
        <v>43</v>
      </c>
      <c r="E10079" s="136">
        <f t="shared" si="470"/>
        <v>26</v>
      </c>
      <c r="F10079" s="137" t="s">
        <v>24</v>
      </c>
      <c r="G10079" s="128" t="str">
        <f>VLOOKUP(source[[#This Row],[lending_product_transform]],[3]Mapping!$B$4:$C$37,2,0)</f>
        <v>[Cake] - Cashloan</v>
      </c>
      <c r="H10079" s="128" t="str">
        <f>VLOOKUP(source[[#This Row],[lending_product_transform]],[3]Mapping!$B$3:$D$37,3,0)</f>
        <v>cashloan</v>
      </c>
      <c r="I10079" s="143">
        <v>7194204000</v>
      </c>
    </row>
    <row r="10080" spans="1:9" x14ac:dyDescent="0.2">
      <c r="A10080" s="172">
        <v>45956</v>
      </c>
      <c r="B10080" s="135">
        <f>YEAR(source[[#This Row],[report_date]])</f>
        <v>2025</v>
      </c>
      <c r="C10080" s="128">
        <f t="shared" si="469"/>
        <v>10</v>
      </c>
      <c r="D10080" s="136">
        <f t="shared" si="471"/>
        <v>43</v>
      </c>
      <c r="E10080" s="136">
        <f t="shared" si="470"/>
        <v>26</v>
      </c>
      <c r="F10080" s="137" t="s">
        <v>24</v>
      </c>
      <c r="G10080" s="128" t="str">
        <f>VLOOKUP(source[[#This Row],[lending_product_transform]],[3]Mapping!$B$4:$C$37,2,0)</f>
        <v>[Cake] - Cashloan</v>
      </c>
      <c r="H10080" s="128" t="str">
        <f>VLOOKUP(source[[#This Row],[lending_product_transform]],[3]Mapping!$B$3:$D$37,3,0)</f>
        <v>cashloan</v>
      </c>
      <c r="I10080" s="143">
        <v>25327701</v>
      </c>
    </row>
    <row r="10081" spans="1:9" x14ac:dyDescent="0.2">
      <c r="A10081" s="172">
        <v>45956</v>
      </c>
      <c r="B10081" s="135">
        <f>YEAR(source[[#This Row],[report_date]])</f>
        <v>2025</v>
      </c>
      <c r="C10081" s="128">
        <f t="shared" si="469"/>
        <v>10</v>
      </c>
      <c r="D10081" s="136">
        <f t="shared" si="471"/>
        <v>43</v>
      </c>
      <c r="E10081" s="136">
        <f t="shared" si="470"/>
        <v>26</v>
      </c>
      <c r="F10081" s="137" t="s">
        <v>24</v>
      </c>
      <c r="G10081" s="128" t="str">
        <f>VLOOKUP(source[[#This Row],[lending_product_transform]],[3]Mapping!$B$4:$C$37,2,0)</f>
        <v>[Cake] - Cashloan</v>
      </c>
      <c r="H10081" s="128" t="str">
        <f>VLOOKUP(source[[#This Row],[lending_product_transform]],[3]Mapping!$B$3:$D$37,3,0)</f>
        <v>cashloan</v>
      </c>
      <c r="I10081" s="143">
        <v>3037510000</v>
      </c>
    </row>
    <row r="10082" spans="1:9" x14ac:dyDescent="0.2">
      <c r="A10082" s="172">
        <v>45956</v>
      </c>
      <c r="B10082" s="135">
        <f>YEAR(source[[#This Row],[report_date]])</f>
        <v>2025</v>
      </c>
      <c r="C10082" s="128">
        <f t="shared" si="469"/>
        <v>10</v>
      </c>
      <c r="D10082" s="136">
        <f t="shared" si="471"/>
        <v>43</v>
      </c>
      <c r="E10082" s="136">
        <f t="shared" si="470"/>
        <v>26</v>
      </c>
      <c r="F10082" s="137" t="s">
        <v>24</v>
      </c>
      <c r="G10082" s="128" t="str">
        <f>VLOOKUP(source[[#This Row],[lending_product_transform]],[3]Mapping!$B$4:$C$37,2,0)</f>
        <v>[Cake] - Cashloan</v>
      </c>
      <c r="H10082" s="128" t="str">
        <f>VLOOKUP(source[[#This Row],[lending_product_transform]],[3]Mapping!$B$3:$D$37,3,0)</f>
        <v>cashloan</v>
      </c>
      <c r="I10082" s="143">
        <v>15720000</v>
      </c>
    </row>
    <row r="10083" spans="1:9" x14ac:dyDescent="0.2">
      <c r="A10083" s="172">
        <v>45956</v>
      </c>
      <c r="B10083" s="135">
        <f>YEAR(source[[#This Row],[report_date]])</f>
        <v>2025</v>
      </c>
      <c r="C10083" s="128">
        <f t="shared" si="469"/>
        <v>10</v>
      </c>
      <c r="D10083" s="136">
        <f t="shared" si="471"/>
        <v>43</v>
      </c>
      <c r="E10083" s="136">
        <f t="shared" si="470"/>
        <v>26</v>
      </c>
      <c r="F10083" s="137" t="s">
        <v>24</v>
      </c>
      <c r="G10083" s="128" t="str">
        <f>VLOOKUP(source[[#This Row],[lending_product_transform]],[3]Mapping!$B$4:$C$37,2,0)</f>
        <v>[Cake] - Cashloan</v>
      </c>
      <c r="H10083" s="128" t="str">
        <f>VLOOKUP(source[[#This Row],[lending_product_transform]],[3]Mapping!$B$3:$D$37,3,0)</f>
        <v>cashloan</v>
      </c>
      <c r="I10083" s="143">
        <v>686648587</v>
      </c>
    </row>
    <row r="10084" spans="1:9" x14ac:dyDescent="0.2">
      <c r="A10084" s="172">
        <v>45956</v>
      </c>
      <c r="B10084" s="135">
        <f>YEAR(source[[#This Row],[report_date]])</f>
        <v>2025</v>
      </c>
      <c r="C10084" s="128">
        <f t="shared" si="469"/>
        <v>10</v>
      </c>
      <c r="D10084" s="136">
        <f t="shared" si="471"/>
        <v>43</v>
      </c>
      <c r="E10084" s="136">
        <f t="shared" si="470"/>
        <v>26</v>
      </c>
      <c r="F10084" s="137" t="s">
        <v>24</v>
      </c>
      <c r="G10084" s="128" t="str">
        <f>VLOOKUP(source[[#This Row],[lending_product_transform]],[3]Mapping!$B$4:$C$37,2,0)</f>
        <v>[Cake] - Cashloan</v>
      </c>
      <c r="H10084" s="128" t="str">
        <f>VLOOKUP(source[[#This Row],[lending_product_transform]],[3]Mapping!$B$3:$D$37,3,0)</f>
        <v>cashloan</v>
      </c>
      <c r="I10084" s="143">
        <v>0</v>
      </c>
    </row>
    <row r="10085" spans="1:9" x14ac:dyDescent="0.2">
      <c r="A10085" s="172">
        <v>45956</v>
      </c>
      <c r="B10085" s="135">
        <f>YEAR(source[[#This Row],[report_date]])</f>
        <v>2025</v>
      </c>
      <c r="C10085" s="128">
        <f t="shared" si="469"/>
        <v>10</v>
      </c>
      <c r="D10085" s="136">
        <f t="shared" si="471"/>
        <v>43</v>
      </c>
      <c r="E10085" s="136">
        <f t="shared" si="470"/>
        <v>26</v>
      </c>
      <c r="F10085" s="137" t="s">
        <v>24</v>
      </c>
      <c r="G10085" s="128" t="str">
        <f>VLOOKUP(source[[#This Row],[lending_product_transform]],[3]Mapping!$B$4:$C$37,2,0)</f>
        <v>[Cake] - Cashloan</v>
      </c>
      <c r="H10085" s="128" t="str">
        <f>VLOOKUP(source[[#This Row],[lending_product_transform]],[3]Mapping!$B$3:$D$37,3,0)</f>
        <v>cashloan</v>
      </c>
      <c r="I10085" s="143">
        <v>112500000</v>
      </c>
    </row>
    <row r="10086" spans="1:9" x14ac:dyDescent="0.2">
      <c r="A10086" s="172">
        <v>45956</v>
      </c>
      <c r="B10086" s="135">
        <f>YEAR(source[[#This Row],[report_date]])</f>
        <v>2025</v>
      </c>
      <c r="C10086" s="128">
        <f t="shared" si="469"/>
        <v>10</v>
      </c>
      <c r="D10086" s="136">
        <f t="shared" si="471"/>
        <v>43</v>
      </c>
      <c r="E10086" s="136">
        <f t="shared" si="470"/>
        <v>26</v>
      </c>
      <c r="F10086" s="137" t="s">
        <v>24</v>
      </c>
      <c r="G10086" s="128" t="str">
        <f>VLOOKUP(source[[#This Row],[lending_product_transform]],[3]Mapping!$B$4:$C$37,2,0)</f>
        <v>[Cake] - Cashloan</v>
      </c>
      <c r="H10086" s="128" t="str">
        <f>VLOOKUP(source[[#This Row],[lending_product_transform]],[3]Mapping!$B$3:$D$37,3,0)</f>
        <v>cashloan</v>
      </c>
      <c r="I10086" s="143">
        <v>15535400000</v>
      </c>
    </row>
    <row r="10087" spans="1:9" x14ac:dyDescent="0.2">
      <c r="A10087" s="172">
        <v>45956</v>
      </c>
      <c r="B10087" s="135">
        <f>YEAR(source[[#This Row],[report_date]])</f>
        <v>2025</v>
      </c>
      <c r="C10087" s="128">
        <f t="shared" si="469"/>
        <v>10</v>
      </c>
      <c r="D10087" s="136">
        <f t="shared" si="471"/>
        <v>43</v>
      </c>
      <c r="E10087" s="136">
        <f t="shared" si="470"/>
        <v>26</v>
      </c>
      <c r="F10087" s="137" t="s">
        <v>24</v>
      </c>
      <c r="G10087" s="128" t="str">
        <f>VLOOKUP(source[[#This Row],[lending_product_transform]],[3]Mapping!$B$4:$C$37,2,0)</f>
        <v>[Cake] - Cashloan</v>
      </c>
      <c r="H10087" s="128" t="str">
        <f>VLOOKUP(source[[#This Row],[lending_product_transform]],[3]Mapping!$B$3:$D$37,3,0)</f>
        <v>cashloan</v>
      </c>
      <c r="I10087" s="143">
        <v>0</v>
      </c>
    </row>
    <row r="10088" spans="1:9" x14ac:dyDescent="0.2">
      <c r="A10088" s="172">
        <v>45956</v>
      </c>
      <c r="B10088" s="135">
        <f>YEAR(source[[#This Row],[report_date]])</f>
        <v>2025</v>
      </c>
      <c r="C10088" s="128">
        <f t="shared" si="469"/>
        <v>10</v>
      </c>
      <c r="D10088" s="136">
        <f t="shared" si="471"/>
        <v>43</v>
      </c>
      <c r="E10088" s="136">
        <f t="shared" si="470"/>
        <v>26</v>
      </c>
      <c r="F10088" s="137" t="s">
        <v>24</v>
      </c>
      <c r="G10088" s="128" t="str">
        <f>VLOOKUP(source[[#This Row],[lending_product_transform]],[3]Mapping!$B$4:$C$37,2,0)</f>
        <v>[Cake] - Cashloan</v>
      </c>
      <c r="H10088" s="128" t="str">
        <f>VLOOKUP(source[[#This Row],[lending_product_transform]],[3]Mapping!$B$3:$D$37,3,0)</f>
        <v>cashloan</v>
      </c>
      <c r="I10088" s="143">
        <v>0</v>
      </c>
    </row>
    <row r="10089" spans="1:9" x14ac:dyDescent="0.2">
      <c r="A10089" s="172">
        <v>45956</v>
      </c>
      <c r="B10089" s="135">
        <f>YEAR(source[[#This Row],[report_date]])</f>
        <v>2025</v>
      </c>
      <c r="C10089" s="128">
        <f t="shared" si="469"/>
        <v>10</v>
      </c>
      <c r="D10089" s="136">
        <f t="shared" si="471"/>
        <v>43</v>
      </c>
      <c r="E10089" s="136">
        <f t="shared" si="470"/>
        <v>26</v>
      </c>
      <c r="F10089" s="137" t="s">
        <v>24</v>
      </c>
      <c r="G10089" s="128" t="str">
        <f>VLOOKUP(source[[#This Row],[lending_product_transform]],[3]Mapping!$B$4:$C$37,2,0)</f>
        <v>[Cake] - Cashloan</v>
      </c>
      <c r="H10089" s="128" t="str">
        <f>VLOOKUP(source[[#This Row],[lending_product_transform]],[3]Mapping!$B$3:$D$37,3,0)</f>
        <v>cashloan</v>
      </c>
      <c r="I10089" s="143">
        <v>0</v>
      </c>
    </row>
    <row r="10090" spans="1:9" x14ac:dyDescent="0.2">
      <c r="A10090" s="172">
        <v>45956</v>
      </c>
      <c r="B10090" s="135">
        <f>YEAR(source[[#This Row],[report_date]])</f>
        <v>2025</v>
      </c>
      <c r="C10090" s="128">
        <f t="shared" si="469"/>
        <v>10</v>
      </c>
      <c r="D10090" s="136">
        <f t="shared" si="471"/>
        <v>43</v>
      </c>
      <c r="E10090" s="136">
        <f t="shared" si="470"/>
        <v>26</v>
      </c>
      <c r="F10090" s="137" t="s">
        <v>24</v>
      </c>
      <c r="G10090" s="128" t="str">
        <f>VLOOKUP(source[[#This Row],[lending_product_transform]],[3]Mapping!$B$4:$C$37,2,0)</f>
        <v>[Cake] - Cashloan</v>
      </c>
      <c r="H10090" s="128" t="str">
        <f>VLOOKUP(source[[#This Row],[lending_product_transform]],[3]Mapping!$B$3:$D$37,3,0)</f>
        <v>cashloan</v>
      </c>
      <c r="I10090" s="143">
        <v>0</v>
      </c>
    </row>
    <row r="10091" spans="1:9" x14ac:dyDescent="0.2">
      <c r="A10091" s="172">
        <v>45956</v>
      </c>
      <c r="B10091" s="135">
        <f>YEAR(source[[#This Row],[report_date]])</f>
        <v>2025</v>
      </c>
      <c r="C10091" s="128">
        <f t="shared" si="469"/>
        <v>10</v>
      </c>
      <c r="D10091" s="136">
        <f t="shared" si="471"/>
        <v>43</v>
      </c>
      <c r="E10091" s="136">
        <f t="shared" si="470"/>
        <v>26</v>
      </c>
      <c r="F10091" s="137" t="s">
        <v>24</v>
      </c>
      <c r="G10091" s="128" t="str">
        <f>VLOOKUP(source[[#This Row],[lending_product_transform]],[3]Mapping!$B$4:$C$37,2,0)</f>
        <v>[Cake] - Cashloan</v>
      </c>
      <c r="H10091" s="128" t="str">
        <f>VLOOKUP(source[[#This Row],[lending_product_transform]],[3]Mapping!$B$3:$D$37,3,0)</f>
        <v>cashloan</v>
      </c>
      <c r="I10091" s="143">
        <v>9237780000</v>
      </c>
    </row>
    <row r="10092" spans="1:9" x14ac:dyDescent="0.2">
      <c r="A10092" s="172">
        <v>45956</v>
      </c>
      <c r="B10092" s="135">
        <f>YEAR(source[[#This Row],[report_date]])</f>
        <v>2025</v>
      </c>
      <c r="C10092" s="128">
        <f t="shared" si="469"/>
        <v>10</v>
      </c>
      <c r="D10092" s="136">
        <f t="shared" si="471"/>
        <v>43</v>
      </c>
      <c r="E10092" s="136">
        <f t="shared" si="470"/>
        <v>26</v>
      </c>
      <c r="F10092" s="137" t="s">
        <v>24</v>
      </c>
      <c r="G10092" s="128" t="str">
        <f>VLOOKUP(source[[#This Row],[lending_product_transform]],[3]Mapping!$B$4:$C$37,2,0)</f>
        <v>[Cake] - Cashloan</v>
      </c>
      <c r="H10092" s="128" t="str">
        <f>VLOOKUP(source[[#This Row],[lending_product_transform]],[3]Mapping!$B$3:$D$37,3,0)</f>
        <v>cashloan</v>
      </c>
      <c r="I10092" s="143">
        <v>215056653</v>
      </c>
    </row>
    <row r="10093" spans="1:9" x14ac:dyDescent="0.2">
      <c r="A10093" s="172">
        <v>45956</v>
      </c>
      <c r="B10093" s="135">
        <f>YEAR(source[[#This Row],[report_date]])</f>
        <v>2025</v>
      </c>
      <c r="C10093" s="128">
        <f t="shared" si="469"/>
        <v>10</v>
      </c>
      <c r="D10093" s="136">
        <f t="shared" si="471"/>
        <v>43</v>
      </c>
      <c r="E10093" s="136">
        <f t="shared" si="470"/>
        <v>26</v>
      </c>
      <c r="F10093" s="137" t="s">
        <v>24</v>
      </c>
      <c r="G10093" s="128" t="str">
        <f>VLOOKUP(source[[#This Row],[lending_product_transform]],[3]Mapping!$B$4:$C$37,2,0)</f>
        <v>[Cake] - Cashloan</v>
      </c>
      <c r="H10093" s="128" t="str">
        <f>VLOOKUP(source[[#This Row],[lending_product_transform]],[3]Mapping!$B$3:$D$37,3,0)</f>
        <v>cashloan</v>
      </c>
      <c r="I10093" s="143">
        <v>36000000</v>
      </c>
    </row>
    <row r="10094" spans="1:9" x14ac:dyDescent="0.2">
      <c r="A10094" s="172">
        <v>45956</v>
      </c>
      <c r="B10094" s="135">
        <f>YEAR(source[[#This Row],[report_date]])</f>
        <v>2025</v>
      </c>
      <c r="C10094" s="128">
        <f t="shared" si="469"/>
        <v>10</v>
      </c>
      <c r="D10094" s="136">
        <f t="shared" si="471"/>
        <v>43</v>
      </c>
      <c r="E10094" s="136">
        <f t="shared" si="470"/>
        <v>26</v>
      </c>
      <c r="F10094" s="137" t="s">
        <v>24</v>
      </c>
      <c r="G10094" s="128" t="str">
        <f>VLOOKUP(source[[#This Row],[lending_product_transform]],[3]Mapping!$B$4:$C$37,2,0)</f>
        <v>[Cake] - Cashloan</v>
      </c>
      <c r="H10094" s="128" t="str">
        <f>VLOOKUP(source[[#This Row],[lending_product_transform]],[3]Mapping!$B$3:$D$37,3,0)</f>
        <v>cashloan</v>
      </c>
      <c r="I10094" s="143">
        <v>34000000</v>
      </c>
    </row>
    <row r="10095" spans="1:9" x14ac:dyDescent="0.2">
      <c r="A10095" s="172">
        <v>45956</v>
      </c>
      <c r="B10095" s="135">
        <f>YEAR(source[[#This Row],[report_date]])</f>
        <v>2025</v>
      </c>
      <c r="C10095" s="128">
        <f t="shared" si="469"/>
        <v>10</v>
      </c>
      <c r="D10095" s="136">
        <f t="shared" si="471"/>
        <v>43</v>
      </c>
      <c r="E10095" s="136">
        <f t="shared" si="470"/>
        <v>26</v>
      </c>
      <c r="F10095" s="137" t="s">
        <v>24</v>
      </c>
      <c r="G10095" s="128" t="str">
        <f>VLOOKUP(source[[#This Row],[lending_product_transform]],[3]Mapping!$B$4:$C$37,2,0)</f>
        <v>[Cake] - Cashloan</v>
      </c>
      <c r="H10095" s="128" t="str">
        <f>VLOOKUP(source[[#This Row],[lending_product_transform]],[3]Mapping!$B$3:$D$37,3,0)</f>
        <v>cashloan</v>
      </c>
      <c r="I10095" s="143">
        <v>659980000</v>
      </c>
    </row>
    <row r="10096" spans="1:9" x14ac:dyDescent="0.2">
      <c r="A10096" s="172">
        <v>45956</v>
      </c>
      <c r="B10096" s="135">
        <f>YEAR(source[[#This Row],[report_date]])</f>
        <v>2025</v>
      </c>
      <c r="C10096" s="128">
        <f t="shared" si="469"/>
        <v>10</v>
      </c>
      <c r="D10096" s="136">
        <f t="shared" si="471"/>
        <v>43</v>
      </c>
      <c r="E10096" s="136">
        <f t="shared" si="470"/>
        <v>26</v>
      </c>
      <c r="F10096" s="137" t="s">
        <v>24</v>
      </c>
      <c r="G10096" s="128" t="str">
        <f>VLOOKUP(source[[#This Row],[lending_product_transform]],[3]Mapping!$B$4:$C$37,2,0)</f>
        <v>[Cake] - Cashloan</v>
      </c>
      <c r="H10096" s="128" t="str">
        <f>VLOOKUP(source[[#This Row],[lending_product_transform]],[3]Mapping!$B$3:$D$37,3,0)</f>
        <v>cashloan</v>
      </c>
      <c r="I10096" s="143">
        <v>218160000</v>
      </c>
    </row>
    <row r="10097" spans="1:9" x14ac:dyDescent="0.2">
      <c r="A10097" s="172">
        <v>45956</v>
      </c>
      <c r="B10097" s="135">
        <f>YEAR(source[[#This Row],[report_date]])</f>
        <v>2025</v>
      </c>
      <c r="C10097" s="128">
        <f t="shared" si="469"/>
        <v>10</v>
      </c>
      <c r="D10097" s="136">
        <f t="shared" si="471"/>
        <v>43</v>
      </c>
      <c r="E10097" s="136">
        <f t="shared" si="470"/>
        <v>26</v>
      </c>
      <c r="F10097" s="137" t="s">
        <v>24</v>
      </c>
      <c r="G10097" s="128" t="str">
        <f>VLOOKUP(source[[#This Row],[lending_product_transform]],[3]Mapping!$B$4:$C$37,2,0)</f>
        <v>[Cake] - Cashloan</v>
      </c>
      <c r="H10097" s="128" t="str">
        <f>VLOOKUP(source[[#This Row],[lending_product_transform]],[3]Mapping!$B$3:$D$37,3,0)</f>
        <v>cashloan</v>
      </c>
      <c r="I10097" s="143">
        <v>307114694</v>
      </c>
    </row>
    <row r="10098" spans="1:9" x14ac:dyDescent="0.2">
      <c r="A10098" s="172">
        <v>45956</v>
      </c>
      <c r="B10098" s="135">
        <f>YEAR(source[[#This Row],[report_date]])</f>
        <v>2025</v>
      </c>
      <c r="C10098" s="128">
        <f t="shared" si="469"/>
        <v>10</v>
      </c>
      <c r="D10098" s="136">
        <f t="shared" si="471"/>
        <v>43</v>
      </c>
      <c r="E10098" s="136">
        <f t="shared" si="470"/>
        <v>26</v>
      </c>
      <c r="F10098" s="137" t="s">
        <v>24</v>
      </c>
      <c r="G10098" s="128" t="str">
        <f>VLOOKUP(source[[#This Row],[lending_product_transform]],[3]Mapping!$B$4:$C$37,2,0)</f>
        <v>[Cake] - Cashloan</v>
      </c>
      <c r="H10098" s="128" t="str">
        <f>VLOOKUP(source[[#This Row],[lending_product_transform]],[3]Mapping!$B$3:$D$37,3,0)</f>
        <v>cashloan</v>
      </c>
      <c r="I10098" s="143">
        <v>3338450000</v>
      </c>
    </row>
    <row r="10099" spans="1:9" x14ac:dyDescent="0.2">
      <c r="A10099" s="134">
        <v>45957</v>
      </c>
      <c r="B10099" s="135">
        <f>YEAR(source[[#This Row],[report_date]])</f>
        <v>2025</v>
      </c>
      <c r="C10099" s="128">
        <f t="shared" si="469"/>
        <v>10</v>
      </c>
      <c r="D10099" s="136">
        <f t="shared" si="471"/>
        <v>44</v>
      </c>
      <c r="E10099" s="136">
        <f t="shared" si="470"/>
        <v>27</v>
      </c>
      <c r="F10099" s="137" t="s">
        <v>24</v>
      </c>
      <c r="G10099" s="128" t="str">
        <f>VLOOKUP(source[[#This Row],[lending_product_transform]],[3]Mapping!$B$4:$C$37,2,0)</f>
        <v>[Cake] - Cashloan</v>
      </c>
      <c r="H10099" s="128" t="str">
        <f>VLOOKUP(source[[#This Row],[lending_product_transform]],[3]Mapping!$B$3:$D$37,3,0)</f>
        <v>cashloan</v>
      </c>
      <c r="I10099" s="143">
        <v>90400000</v>
      </c>
    </row>
    <row r="10100" spans="1:9" x14ac:dyDescent="0.2">
      <c r="A10100" s="134">
        <v>45957</v>
      </c>
      <c r="B10100" s="135">
        <f>YEAR(source[[#This Row],[report_date]])</f>
        <v>2025</v>
      </c>
      <c r="C10100" s="128">
        <f t="shared" si="469"/>
        <v>10</v>
      </c>
      <c r="D10100" s="136">
        <f t="shared" si="471"/>
        <v>44</v>
      </c>
      <c r="E10100" s="136">
        <f t="shared" si="470"/>
        <v>27</v>
      </c>
      <c r="F10100" s="137" t="s">
        <v>24</v>
      </c>
      <c r="G10100" s="128" t="str">
        <f>VLOOKUP(source[[#This Row],[lending_product_transform]],[3]Mapping!$B$4:$C$37,2,0)</f>
        <v>[Cake] - Cashloan</v>
      </c>
      <c r="H10100" s="128" t="str">
        <f>VLOOKUP(source[[#This Row],[lending_product_transform]],[3]Mapping!$B$3:$D$37,3,0)</f>
        <v>cashloan</v>
      </c>
      <c r="I10100" s="143">
        <v>239528435</v>
      </c>
    </row>
    <row r="10101" spans="1:9" x14ac:dyDescent="0.2">
      <c r="A10101" s="134">
        <v>45957</v>
      </c>
      <c r="B10101" s="135">
        <f>YEAR(source[[#This Row],[report_date]])</f>
        <v>2025</v>
      </c>
      <c r="C10101" s="128">
        <f t="shared" si="469"/>
        <v>10</v>
      </c>
      <c r="D10101" s="136">
        <f t="shared" si="471"/>
        <v>44</v>
      </c>
      <c r="E10101" s="136">
        <f t="shared" si="470"/>
        <v>27</v>
      </c>
      <c r="F10101" s="137" t="s">
        <v>24</v>
      </c>
      <c r="G10101" s="128" t="str">
        <f>VLOOKUP(source[[#This Row],[lending_product_transform]],[3]Mapping!$B$4:$C$37,2,0)</f>
        <v>[Cake] - Cashloan</v>
      </c>
      <c r="H10101" s="128" t="str">
        <f>VLOOKUP(source[[#This Row],[lending_product_transform]],[3]Mapping!$B$3:$D$37,3,0)</f>
        <v>cashloan</v>
      </c>
      <c r="I10101" s="143">
        <v>14375700000</v>
      </c>
    </row>
    <row r="10102" spans="1:9" x14ac:dyDescent="0.2">
      <c r="A10102" s="134">
        <v>45957</v>
      </c>
      <c r="B10102" s="135">
        <f>YEAR(source[[#This Row],[report_date]])</f>
        <v>2025</v>
      </c>
      <c r="C10102" s="128">
        <f t="shared" ref="C10102:C10165" si="472">MONTH(A10102)</f>
        <v>10</v>
      </c>
      <c r="D10102" s="136">
        <f t="shared" si="471"/>
        <v>44</v>
      </c>
      <c r="E10102" s="136">
        <f t="shared" ref="E10102:E10165" si="473">DAY(A10102)</f>
        <v>27</v>
      </c>
      <c r="F10102" s="137" t="s">
        <v>24</v>
      </c>
      <c r="G10102" s="128" t="str">
        <f>VLOOKUP(source[[#This Row],[lending_product_transform]],[3]Mapping!$B$4:$C$37,2,0)</f>
        <v>[Cake] - Cashloan</v>
      </c>
      <c r="H10102" s="128" t="str">
        <f>VLOOKUP(source[[#This Row],[lending_product_transform]],[3]Mapping!$B$3:$D$37,3,0)</f>
        <v>cashloan</v>
      </c>
      <c r="I10102" s="143">
        <v>2543391865</v>
      </c>
    </row>
    <row r="10103" spans="1:9" x14ac:dyDescent="0.2">
      <c r="A10103" s="134">
        <v>45957</v>
      </c>
      <c r="B10103" s="135">
        <f>YEAR(source[[#This Row],[report_date]])</f>
        <v>2025</v>
      </c>
      <c r="C10103" s="128">
        <f t="shared" si="472"/>
        <v>10</v>
      </c>
      <c r="D10103" s="136">
        <f t="shared" si="471"/>
        <v>44</v>
      </c>
      <c r="E10103" s="136">
        <f t="shared" si="473"/>
        <v>27</v>
      </c>
      <c r="F10103" s="137" t="s">
        <v>24</v>
      </c>
      <c r="G10103" s="128" t="str">
        <f>VLOOKUP(source[[#This Row],[lending_product_transform]],[3]Mapping!$B$4:$C$37,2,0)</f>
        <v>[Cake] - Cashloan</v>
      </c>
      <c r="H10103" s="128" t="str">
        <f>VLOOKUP(source[[#This Row],[lending_product_transform]],[3]Mapping!$B$3:$D$37,3,0)</f>
        <v>cashloan</v>
      </c>
      <c r="I10103" s="143">
        <v>8267508000</v>
      </c>
    </row>
    <row r="10104" spans="1:9" x14ac:dyDescent="0.2">
      <c r="A10104" s="134">
        <v>45957</v>
      </c>
      <c r="B10104" s="135">
        <f>YEAR(source[[#This Row],[report_date]])</f>
        <v>2025</v>
      </c>
      <c r="C10104" s="128">
        <f t="shared" si="472"/>
        <v>10</v>
      </c>
      <c r="D10104" s="136">
        <f t="shared" si="471"/>
        <v>44</v>
      </c>
      <c r="E10104" s="136">
        <f t="shared" si="473"/>
        <v>27</v>
      </c>
      <c r="F10104" s="137" t="s">
        <v>24</v>
      </c>
      <c r="G10104" s="128" t="str">
        <f>VLOOKUP(source[[#This Row],[lending_product_transform]],[3]Mapping!$B$4:$C$37,2,0)</f>
        <v>[Cake] - Cashloan</v>
      </c>
      <c r="H10104" s="128" t="str">
        <f>VLOOKUP(source[[#This Row],[lending_product_transform]],[3]Mapping!$B$3:$D$37,3,0)</f>
        <v>cashloan</v>
      </c>
      <c r="I10104" s="143">
        <v>30321680</v>
      </c>
    </row>
    <row r="10105" spans="1:9" x14ac:dyDescent="0.2">
      <c r="A10105" s="134">
        <v>45957</v>
      </c>
      <c r="B10105" s="135">
        <f>YEAR(source[[#This Row],[report_date]])</f>
        <v>2025</v>
      </c>
      <c r="C10105" s="128">
        <f t="shared" si="472"/>
        <v>10</v>
      </c>
      <c r="D10105" s="136">
        <f t="shared" si="471"/>
        <v>44</v>
      </c>
      <c r="E10105" s="136">
        <f t="shared" si="473"/>
        <v>27</v>
      </c>
      <c r="F10105" s="137" t="s">
        <v>24</v>
      </c>
      <c r="G10105" s="128" t="str">
        <f>VLOOKUP(source[[#This Row],[lending_product_transform]],[3]Mapping!$B$4:$C$37,2,0)</f>
        <v>[Cake] - Cashloan</v>
      </c>
      <c r="H10105" s="128" t="str">
        <f>VLOOKUP(source[[#This Row],[lending_product_transform]],[3]Mapping!$B$3:$D$37,3,0)</f>
        <v>cashloan</v>
      </c>
      <c r="I10105" s="143">
        <v>2610070000</v>
      </c>
    </row>
    <row r="10106" spans="1:9" x14ac:dyDescent="0.2">
      <c r="A10106" s="134">
        <v>45957</v>
      </c>
      <c r="B10106" s="135">
        <f>YEAR(source[[#This Row],[report_date]])</f>
        <v>2025</v>
      </c>
      <c r="C10106" s="128">
        <f t="shared" si="472"/>
        <v>10</v>
      </c>
      <c r="D10106" s="136">
        <f t="shared" si="471"/>
        <v>44</v>
      </c>
      <c r="E10106" s="136">
        <f t="shared" si="473"/>
        <v>27</v>
      </c>
      <c r="F10106" s="137" t="s">
        <v>24</v>
      </c>
      <c r="G10106" s="128" t="str">
        <f>VLOOKUP(source[[#This Row],[lending_product_transform]],[3]Mapping!$B$4:$C$37,2,0)</f>
        <v>[Cake] - Cashloan</v>
      </c>
      <c r="H10106" s="128" t="str">
        <f>VLOOKUP(source[[#This Row],[lending_product_transform]],[3]Mapping!$B$3:$D$37,3,0)</f>
        <v>cashloan</v>
      </c>
      <c r="I10106" s="143">
        <v>20696000</v>
      </c>
    </row>
    <row r="10107" spans="1:9" x14ac:dyDescent="0.2">
      <c r="A10107" s="134">
        <v>45957</v>
      </c>
      <c r="B10107" s="135">
        <f>YEAR(source[[#This Row],[report_date]])</f>
        <v>2025</v>
      </c>
      <c r="C10107" s="128">
        <f t="shared" si="472"/>
        <v>10</v>
      </c>
      <c r="D10107" s="136">
        <f t="shared" si="471"/>
        <v>44</v>
      </c>
      <c r="E10107" s="136">
        <f t="shared" si="473"/>
        <v>27</v>
      </c>
      <c r="F10107" s="137" t="s">
        <v>24</v>
      </c>
      <c r="G10107" s="128" t="str">
        <f>VLOOKUP(source[[#This Row],[lending_product_transform]],[3]Mapping!$B$4:$C$37,2,0)</f>
        <v>[Cake] - Cashloan</v>
      </c>
      <c r="H10107" s="128" t="str">
        <f>VLOOKUP(source[[#This Row],[lending_product_transform]],[3]Mapping!$B$3:$D$37,3,0)</f>
        <v>cashloan</v>
      </c>
      <c r="I10107" s="143">
        <v>534532363</v>
      </c>
    </row>
    <row r="10108" spans="1:9" x14ac:dyDescent="0.2">
      <c r="A10108" s="134">
        <v>45957</v>
      </c>
      <c r="B10108" s="135">
        <f>YEAR(source[[#This Row],[report_date]])</f>
        <v>2025</v>
      </c>
      <c r="C10108" s="128">
        <f t="shared" si="472"/>
        <v>10</v>
      </c>
      <c r="D10108" s="136">
        <f t="shared" si="471"/>
        <v>44</v>
      </c>
      <c r="E10108" s="136">
        <f t="shared" si="473"/>
        <v>27</v>
      </c>
      <c r="F10108" s="137" t="s">
        <v>24</v>
      </c>
      <c r="G10108" s="128" t="str">
        <f>VLOOKUP(source[[#This Row],[lending_product_transform]],[3]Mapping!$B$4:$C$37,2,0)</f>
        <v>[Cake] - Cashloan</v>
      </c>
      <c r="H10108" s="128" t="str">
        <f>VLOOKUP(source[[#This Row],[lending_product_transform]],[3]Mapping!$B$3:$D$37,3,0)</f>
        <v>cashloan</v>
      </c>
      <c r="I10108" s="143">
        <v>0</v>
      </c>
    </row>
    <row r="10109" spans="1:9" x14ac:dyDescent="0.2">
      <c r="A10109" s="134">
        <v>45957</v>
      </c>
      <c r="B10109" s="135">
        <f>YEAR(source[[#This Row],[report_date]])</f>
        <v>2025</v>
      </c>
      <c r="C10109" s="128">
        <f t="shared" si="472"/>
        <v>10</v>
      </c>
      <c r="D10109" s="136">
        <f t="shared" si="471"/>
        <v>44</v>
      </c>
      <c r="E10109" s="136">
        <f t="shared" si="473"/>
        <v>27</v>
      </c>
      <c r="F10109" s="137" t="s">
        <v>24</v>
      </c>
      <c r="G10109" s="128" t="str">
        <f>VLOOKUP(source[[#This Row],[lending_product_transform]],[3]Mapping!$B$4:$C$37,2,0)</f>
        <v>[Cake] - Cashloan</v>
      </c>
      <c r="H10109" s="128" t="str">
        <f>VLOOKUP(source[[#This Row],[lending_product_transform]],[3]Mapping!$B$3:$D$37,3,0)</f>
        <v>cashloan</v>
      </c>
      <c r="I10109" s="143">
        <v>115500000</v>
      </c>
    </row>
    <row r="10110" spans="1:9" x14ac:dyDescent="0.2">
      <c r="A10110" s="134">
        <v>45957</v>
      </c>
      <c r="B10110" s="135">
        <f>YEAR(source[[#This Row],[report_date]])</f>
        <v>2025</v>
      </c>
      <c r="C10110" s="128">
        <f t="shared" si="472"/>
        <v>10</v>
      </c>
      <c r="D10110" s="136">
        <f t="shared" si="471"/>
        <v>44</v>
      </c>
      <c r="E10110" s="136">
        <f t="shared" si="473"/>
        <v>27</v>
      </c>
      <c r="F10110" s="137" t="s">
        <v>24</v>
      </c>
      <c r="G10110" s="128" t="str">
        <f>VLOOKUP(source[[#This Row],[lending_product_transform]],[3]Mapping!$B$4:$C$37,2,0)</f>
        <v>[Cake] - Cashloan</v>
      </c>
      <c r="H10110" s="128" t="str">
        <f>VLOOKUP(source[[#This Row],[lending_product_transform]],[3]Mapping!$B$3:$D$37,3,0)</f>
        <v>cashloan</v>
      </c>
      <c r="I10110" s="143">
        <v>15494880000</v>
      </c>
    </row>
    <row r="10111" spans="1:9" x14ac:dyDescent="0.2">
      <c r="A10111" s="134">
        <v>45957</v>
      </c>
      <c r="B10111" s="135">
        <f>YEAR(source[[#This Row],[report_date]])</f>
        <v>2025</v>
      </c>
      <c r="C10111" s="128">
        <f t="shared" si="472"/>
        <v>10</v>
      </c>
      <c r="D10111" s="136">
        <f t="shared" si="471"/>
        <v>44</v>
      </c>
      <c r="E10111" s="136">
        <f t="shared" si="473"/>
        <v>27</v>
      </c>
      <c r="F10111" s="137" t="s">
        <v>24</v>
      </c>
      <c r="G10111" s="128" t="str">
        <f>VLOOKUP(source[[#This Row],[lending_product_transform]],[3]Mapping!$B$4:$C$37,2,0)</f>
        <v>[Cake] - Cashloan</v>
      </c>
      <c r="H10111" s="128" t="str">
        <f>VLOOKUP(source[[#This Row],[lending_product_transform]],[3]Mapping!$B$3:$D$37,3,0)</f>
        <v>cashloan</v>
      </c>
      <c r="I10111" s="143">
        <v>0</v>
      </c>
    </row>
    <row r="10112" spans="1:9" x14ac:dyDescent="0.2">
      <c r="A10112" s="134">
        <v>45957</v>
      </c>
      <c r="B10112" s="135">
        <f>YEAR(source[[#This Row],[report_date]])</f>
        <v>2025</v>
      </c>
      <c r="C10112" s="128">
        <f t="shared" si="472"/>
        <v>10</v>
      </c>
      <c r="D10112" s="136">
        <f t="shared" si="471"/>
        <v>44</v>
      </c>
      <c r="E10112" s="136">
        <f t="shared" si="473"/>
        <v>27</v>
      </c>
      <c r="F10112" s="137" t="s">
        <v>24</v>
      </c>
      <c r="G10112" s="128" t="str">
        <f>VLOOKUP(source[[#This Row],[lending_product_transform]],[3]Mapping!$B$4:$C$37,2,0)</f>
        <v>[Cake] - Cashloan</v>
      </c>
      <c r="H10112" s="128" t="str">
        <f>VLOOKUP(source[[#This Row],[lending_product_transform]],[3]Mapping!$B$3:$D$37,3,0)</f>
        <v>cashloan</v>
      </c>
      <c r="I10112" s="143">
        <v>0</v>
      </c>
    </row>
    <row r="10113" spans="1:9" x14ac:dyDescent="0.2">
      <c r="A10113" s="134">
        <v>45957</v>
      </c>
      <c r="B10113" s="135">
        <f>YEAR(source[[#This Row],[report_date]])</f>
        <v>2025</v>
      </c>
      <c r="C10113" s="128">
        <f t="shared" si="472"/>
        <v>10</v>
      </c>
      <c r="D10113" s="136">
        <f t="shared" si="471"/>
        <v>44</v>
      </c>
      <c r="E10113" s="136">
        <f t="shared" si="473"/>
        <v>27</v>
      </c>
      <c r="F10113" s="137" t="s">
        <v>24</v>
      </c>
      <c r="G10113" s="128" t="str">
        <f>VLOOKUP(source[[#This Row],[lending_product_transform]],[3]Mapping!$B$4:$C$37,2,0)</f>
        <v>[Cake] - Cashloan</v>
      </c>
      <c r="H10113" s="128" t="str">
        <f>VLOOKUP(source[[#This Row],[lending_product_transform]],[3]Mapping!$B$3:$D$37,3,0)</f>
        <v>cashloan</v>
      </c>
      <c r="I10113" s="143">
        <v>0</v>
      </c>
    </row>
    <row r="10114" spans="1:9" x14ac:dyDescent="0.2">
      <c r="A10114" s="134">
        <v>45957</v>
      </c>
      <c r="B10114" s="135">
        <f>YEAR(source[[#This Row],[report_date]])</f>
        <v>2025</v>
      </c>
      <c r="C10114" s="128">
        <f t="shared" si="472"/>
        <v>10</v>
      </c>
      <c r="D10114" s="136">
        <f t="shared" si="471"/>
        <v>44</v>
      </c>
      <c r="E10114" s="136">
        <f t="shared" si="473"/>
        <v>27</v>
      </c>
      <c r="F10114" s="137" t="s">
        <v>24</v>
      </c>
      <c r="G10114" s="128" t="str">
        <f>VLOOKUP(source[[#This Row],[lending_product_transform]],[3]Mapping!$B$4:$C$37,2,0)</f>
        <v>[Cake] - Cashloan</v>
      </c>
      <c r="H10114" s="128" t="str">
        <f>VLOOKUP(source[[#This Row],[lending_product_transform]],[3]Mapping!$B$3:$D$37,3,0)</f>
        <v>cashloan</v>
      </c>
      <c r="I10114" s="143">
        <v>10000000</v>
      </c>
    </row>
    <row r="10115" spans="1:9" x14ac:dyDescent="0.2">
      <c r="A10115" s="134">
        <v>45957</v>
      </c>
      <c r="B10115" s="135">
        <f>YEAR(source[[#This Row],[report_date]])</f>
        <v>2025</v>
      </c>
      <c r="C10115" s="128">
        <f t="shared" si="472"/>
        <v>10</v>
      </c>
      <c r="D10115" s="136">
        <f t="shared" ref="D10115:D10178" si="474">WEEKNUM(A10115,2)</f>
        <v>44</v>
      </c>
      <c r="E10115" s="136">
        <f t="shared" si="473"/>
        <v>27</v>
      </c>
      <c r="F10115" s="137" t="s">
        <v>24</v>
      </c>
      <c r="G10115" s="128" t="str">
        <f>VLOOKUP(source[[#This Row],[lending_product_transform]],[3]Mapping!$B$4:$C$37,2,0)</f>
        <v>[Cake] - Cashloan</v>
      </c>
      <c r="H10115" s="128" t="str">
        <f>VLOOKUP(source[[#This Row],[lending_product_transform]],[3]Mapping!$B$3:$D$37,3,0)</f>
        <v>cashloan</v>
      </c>
      <c r="I10115" s="143">
        <v>9534348000</v>
      </c>
    </row>
    <row r="10116" spans="1:9" x14ac:dyDescent="0.2">
      <c r="A10116" s="134">
        <v>45957</v>
      </c>
      <c r="B10116" s="135">
        <f>YEAR(source[[#This Row],[report_date]])</f>
        <v>2025</v>
      </c>
      <c r="C10116" s="128">
        <f t="shared" si="472"/>
        <v>10</v>
      </c>
      <c r="D10116" s="136">
        <f t="shared" si="474"/>
        <v>44</v>
      </c>
      <c r="E10116" s="136">
        <f t="shared" si="473"/>
        <v>27</v>
      </c>
      <c r="F10116" s="137" t="s">
        <v>24</v>
      </c>
      <c r="G10116" s="128" t="str">
        <f>VLOOKUP(source[[#This Row],[lending_product_transform]],[3]Mapping!$B$4:$C$37,2,0)</f>
        <v>[Cake] - Cashloan</v>
      </c>
      <c r="H10116" s="128" t="str">
        <f>VLOOKUP(source[[#This Row],[lending_product_transform]],[3]Mapping!$B$3:$D$37,3,0)</f>
        <v>cashloan</v>
      </c>
      <c r="I10116" s="143">
        <v>187228925</v>
      </c>
    </row>
    <row r="10117" spans="1:9" x14ac:dyDescent="0.2">
      <c r="A10117" s="134">
        <v>45957</v>
      </c>
      <c r="B10117" s="135">
        <f>YEAR(source[[#This Row],[report_date]])</f>
        <v>2025</v>
      </c>
      <c r="C10117" s="128">
        <f t="shared" si="472"/>
        <v>10</v>
      </c>
      <c r="D10117" s="136">
        <f t="shared" si="474"/>
        <v>44</v>
      </c>
      <c r="E10117" s="136">
        <f t="shared" si="473"/>
        <v>27</v>
      </c>
      <c r="F10117" s="137" t="s">
        <v>24</v>
      </c>
      <c r="G10117" s="128" t="str">
        <f>VLOOKUP(source[[#This Row],[lending_product_transform]],[3]Mapping!$B$4:$C$37,2,0)</f>
        <v>[Cake] - Cashloan</v>
      </c>
      <c r="H10117" s="128" t="str">
        <f>VLOOKUP(source[[#This Row],[lending_product_transform]],[3]Mapping!$B$3:$D$37,3,0)</f>
        <v>cashloan</v>
      </c>
      <c r="I10117" s="143">
        <v>36750000</v>
      </c>
    </row>
    <row r="10118" spans="1:9" x14ac:dyDescent="0.2">
      <c r="A10118" s="134">
        <v>45957</v>
      </c>
      <c r="B10118" s="135">
        <f>YEAR(source[[#This Row],[report_date]])</f>
        <v>2025</v>
      </c>
      <c r="C10118" s="128">
        <f t="shared" si="472"/>
        <v>10</v>
      </c>
      <c r="D10118" s="136">
        <f t="shared" si="474"/>
        <v>44</v>
      </c>
      <c r="E10118" s="136">
        <f t="shared" si="473"/>
        <v>27</v>
      </c>
      <c r="F10118" s="137" t="s">
        <v>24</v>
      </c>
      <c r="G10118" s="128" t="str">
        <f>VLOOKUP(source[[#This Row],[lending_product_transform]],[3]Mapping!$B$4:$C$37,2,0)</f>
        <v>[Cake] - Cashloan</v>
      </c>
      <c r="H10118" s="128" t="str">
        <f>VLOOKUP(source[[#This Row],[lending_product_transform]],[3]Mapping!$B$3:$D$37,3,0)</f>
        <v>cashloan</v>
      </c>
      <c r="I10118" s="143">
        <v>62000000</v>
      </c>
    </row>
    <row r="10119" spans="1:9" x14ac:dyDescent="0.2">
      <c r="A10119" s="134">
        <v>45957</v>
      </c>
      <c r="B10119" s="135">
        <f>YEAR(source[[#This Row],[report_date]])</f>
        <v>2025</v>
      </c>
      <c r="C10119" s="128">
        <f t="shared" si="472"/>
        <v>10</v>
      </c>
      <c r="D10119" s="136">
        <f t="shared" si="474"/>
        <v>44</v>
      </c>
      <c r="E10119" s="136">
        <f t="shared" si="473"/>
        <v>27</v>
      </c>
      <c r="F10119" s="137" t="s">
        <v>24</v>
      </c>
      <c r="G10119" s="128" t="str">
        <f>VLOOKUP(source[[#This Row],[lending_product_transform]],[3]Mapping!$B$4:$C$37,2,0)</f>
        <v>[Cake] - Cashloan</v>
      </c>
      <c r="H10119" s="128" t="str">
        <f>VLOOKUP(source[[#This Row],[lending_product_transform]],[3]Mapping!$B$3:$D$37,3,0)</f>
        <v>cashloan</v>
      </c>
      <c r="I10119" s="143">
        <v>946300000</v>
      </c>
    </row>
    <row r="10120" spans="1:9" x14ac:dyDescent="0.2">
      <c r="A10120" s="134">
        <v>45957</v>
      </c>
      <c r="B10120" s="135">
        <f>YEAR(source[[#This Row],[report_date]])</f>
        <v>2025</v>
      </c>
      <c r="C10120" s="128">
        <f t="shared" si="472"/>
        <v>10</v>
      </c>
      <c r="D10120" s="136">
        <f t="shared" si="474"/>
        <v>44</v>
      </c>
      <c r="E10120" s="136">
        <f t="shared" si="473"/>
        <v>27</v>
      </c>
      <c r="F10120" s="137" t="s">
        <v>24</v>
      </c>
      <c r="G10120" s="128" t="str">
        <f>VLOOKUP(source[[#This Row],[lending_product_transform]],[3]Mapping!$B$4:$C$37,2,0)</f>
        <v>[Cake] - Cashloan</v>
      </c>
      <c r="H10120" s="128" t="str">
        <f>VLOOKUP(source[[#This Row],[lending_product_transform]],[3]Mapping!$B$3:$D$37,3,0)</f>
        <v>cashloan</v>
      </c>
      <c r="I10120" s="143">
        <v>232200000</v>
      </c>
    </row>
    <row r="10121" spans="1:9" x14ac:dyDescent="0.2">
      <c r="A10121" s="134">
        <v>45957</v>
      </c>
      <c r="B10121" s="135">
        <f>YEAR(source[[#This Row],[report_date]])</f>
        <v>2025</v>
      </c>
      <c r="C10121" s="128">
        <f t="shared" si="472"/>
        <v>10</v>
      </c>
      <c r="D10121" s="136">
        <f t="shared" si="474"/>
        <v>44</v>
      </c>
      <c r="E10121" s="136">
        <f t="shared" si="473"/>
        <v>27</v>
      </c>
      <c r="F10121" s="137" t="s">
        <v>24</v>
      </c>
      <c r="G10121" s="128" t="str">
        <f>VLOOKUP(source[[#This Row],[lending_product_transform]],[3]Mapping!$B$4:$C$37,2,0)</f>
        <v>[Cake] - Cashloan</v>
      </c>
      <c r="H10121" s="128" t="str">
        <f>VLOOKUP(source[[#This Row],[lending_product_transform]],[3]Mapping!$B$3:$D$37,3,0)</f>
        <v>cashloan</v>
      </c>
      <c r="I10121" s="143">
        <v>480339205</v>
      </c>
    </row>
    <row r="10122" spans="1:9" x14ac:dyDescent="0.2">
      <c r="A10122" s="134">
        <v>45957</v>
      </c>
      <c r="B10122" s="135">
        <f>YEAR(source[[#This Row],[report_date]])</f>
        <v>2025</v>
      </c>
      <c r="C10122" s="128">
        <f t="shared" si="472"/>
        <v>10</v>
      </c>
      <c r="D10122" s="136">
        <f t="shared" si="474"/>
        <v>44</v>
      </c>
      <c r="E10122" s="136">
        <f t="shared" si="473"/>
        <v>27</v>
      </c>
      <c r="F10122" s="137" t="s">
        <v>24</v>
      </c>
      <c r="G10122" s="128" t="str">
        <f>VLOOKUP(source[[#This Row],[lending_product_transform]],[3]Mapping!$B$4:$C$37,2,0)</f>
        <v>[Cake] - Cashloan</v>
      </c>
      <c r="H10122" s="128" t="str">
        <f>VLOOKUP(source[[#This Row],[lending_product_transform]],[3]Mapping!$B$3:$D$37,3,0)</f>
        <v>cashloan</v>
      </c>
      <c r="I10122" s="143">
        <v>3172960000</v>
      </c>
    </row>
    <row r="10123" spans="1:9" x14ac:dyDescent="0.2">
      <c r="A10123" s="134">
        <v>45958</v>
      </c>
      <c r="B10123" s="135">
        <f>YEAR(source[[#This Row],[report_date]])</f>
        <v>2025</v>
      </c>
      <c r="C10123" s="128">
        <f t="shared" si="472"/>
        <v>10</v>
      </c>
      <c r="D10123" s="136">
        <f t="shared" si="474"/>
        <v>44</v>
      </c>
      <c r="E10123" s="136">
        <f t="shared" si="473"/>
        <v>28</v>
      </c>
      <c r="F10123" s="137" t="s">
        <v>24</v>
      </c>
      <c r="G10123" s="128" t="str">
        <f>VLOOKUP(source[[#This Row],[lending_product_transform]],[3]Mapping!$B$4:$C$37,2,0)</f>
        <v>[Cake] - Cashloan</v>
      </c>
      <c r="H10123" s="128" t="str">
        <f>VLOOKUP(source[[#This Row],[lending_product_transform]],[3]Mapping!$B$3:$D$37,3,0)</f>
        <v>cashloan</v>
      </c>
      <c r="I10123" s="143">
        <v>52500000</v>
      </c>
    </row>
    <row r="10124" spans="1:9" x14ac:dyDescent="0.2">
      <c r="A10124" s="134">
        <v>45958</v>
      </c>
      <c r="B10124" s="135">
        <f>YEAR(source[[#This Row],[report_date]])</f>
        <v>2025</v>
      </c>
      <c r="C10124" s="128">
        <f t="shared" si="472"/>
        <v>10</v>
      </c>
      <c r="D10124" s="136">
        <f t="shared" si="474"/>
        <v>44</v>
      </c>
      <c r="E10124" s="136">
        <f t="shared" si="473"/>
        <v>28</v>
      </c>
      <c r="F10124" s="137" t="s">
        <v>24</v>
      </c>
      <c r="G10124" s="128" t="str">
        <f>VLOOKUP(source[[#This Row],[lending_product_transform]],[3]Mapping!$B$4:$C$37,2,0)</f>
        <v>[Cake] - Cashloan</v>
      </c>
      <c r="H10124" s="128" t="str">
        <f>VLOOKUP(source[[#This Row],[lending_product_transform]],[3]Mapping!$B$3:$D$37,3,0)</f>
        <v>cashloan</v>
      </c>
      <c r="I10124" s="143">
        <v>260927601</v>
      </c>
    </row>
    <row r="10125" spans="1:9" x14ac:dyDescent="0.2">
      <c r="A10125" s="134">
        <v>45958</v>
      </c>
      <c r="B10125" s="135">
        <f>YEAR(source[[#This Row],[report_date]])</f>
        <v>2025</v>
      </c>
      <c r="C10125" s="128">
        <f t="shared" si="472"/>
        <v>10</v>
      </c>
      <c r="D10125" s="136">
        <f t="shared" si="474"/>
        <v>44</v>
      </c>
      <c r="E10125" s="136">
        <f t="shared" si="473"/>
        <v>28</v>
      </c>
      <c r="F10125" s="137" t="s">
        <v>24</v>
      </c>
      <c r="G10125" s="128" t="str">
        <f>VLOOKUP(source[[#This Row],[lending_product_transform]],[3]Mapping!$B$4:$C$37,2,0)</f>
        <v>[Cake] - Cashloan</v>
      </c>
      <c r="H10125" s="128" t="str">
        <f>VLOOKUP(source[[#This Row],[lending_product_transform]],[3]Mapping!$B$3:$D$37,3,0)</f>
        <v>cashloan</v>
      </c>
      <c r="I10125" s="143">
        <v>14732250000</v>
      </c>
    </row>
    <row r="10126" spans="1:9" x14ac:dyDescent="0.2">
      <c r="A10126" s="134">
        <v>45958</v>
      </c>
      <c r="B10126" s="135">
        <f>YEAR(source[[#This Row],[report_date]])</f>
        <v>2025</v>
      </c>
      <c r="C10126" s="128">
        <f t="shared" si="472"/>
        <v>10</v>
      </c>
      <c r="D10126" s="136">
        <f t="shared" si="474"/>
        <v>44</v>
      </c>
      <c r="E10126" s="136">
        <f t="shared" si="473"/>
        <v>28</v>
      </c>
      <c r="F10126" s="137" t="s">
        <v>24</v>
      </c>
      <c r="G10126" s="128" t="str">
        <f>VLOOKUP(source[[#This Row],[lending_product_transform]],[3]Mapping!$B$4:$C$37,2,0)</f>
        <v>[Cake] - Cashloan</v>
      </c>
      <c r="H10126" s="128" t="str">
        <f>VLOOKUP(source[[#This Row],[lending_product_transform]],[3]Mapping!$B$3:$D$37,3,0)</f>
        <v>cashloan</v>
      </c>
      <c r="I10126" s="143">
        <v>2386582298</v>
      </c>
    </row>
    <row r="10127" spans="1:9" x14ac:dyDescent="0.2">
      <c r="A10127" s="134">
        <v>45958</v>
      </c>
      <c r="B10127" s="135">
        <f>YEAR(source[[#This Row],[report_date]])</f>
        <v>2025</v>
      </c>
      <c r="C10127" s="128">
        <f t="shared" si="472"/>
        <v>10</v>
      </c>
      <c r="D10127" s="136">
        <f t="shared" si="474"/>
        <v>44</v>
      </c>
      <c r="E10127" s="136">
        <f t="shared" si="473"/>
        <v>28</v>
      </c>
      <c r="F10127" s="137" t="s">
        <v>24</v>
      </c>
      <c r="G10127" s="128" t="str">
        <f>VLOOKUP(source[[#This Row],[lending_product_transform]],[3]Mapping!$B$4:$C$37,2,0)</f>
        <v>[Cake] - Cashloan</v>
      </c>
      <c r="H10127" s="128" t="str">
        <f>VLOOKUP(source[[#This Row],[lending_product_transform]],[3]Mapping!$B$3:$D$37,3,0)</f>
        <v>cashloan</v>
      </c>
      <c r="I10127" s="143">
        <v>8437284000</v>
      </c>
    </row>
    <row r="10128" spans="1:9" x14ac:dyDescent="0.2">
      <c r="A10128" s="134">
        <v>45958</v>
      </c>
      <c r="B10128" s="135">
        <f>YEAR(source[[#This Row],[report_date]])</f>
        <v>2025</v>
      </c>
      <c r="C10128" s="128">
        <f t="shared" si="472"/>
        <v>10</v>
      </c>
      <c r="D10128" s="136">
        <f t="shared" si="474"/>
        <v>44</v>
      </c>
      <c r="E10128" s="136">
        <f t="shared" si="473"/>
        <v>28</v>
      </c>
      <c r="F10128" s="137" t="s">
        <v>24</v>
      </c>
      <c r="G10128" s="128" t="str">
        <f>VLOOKUP(source[[#This Row],[lending_product_transform]],[3]Mapping!$B$4:$C$37,2,0)</f>
        <v>[Cake] - Cashloan</v>
      </c>
      <c r="H10128" s="128" t="str">
        <f>VLOOKUP(source[[#This Row],[lending_product_transform]],[3]Mapping!$B$3:$D$37,3,0)</f>
        <v>cashloan</v>
      </c>
      <c r="I10128" s="143">
        <v>23402906</v>
      </c>
    </row>
    <row r="10129" spans="1:9" x14ac:dyDescent="0.2">
      <c r="A10129" s="134">
        <v>45958</v>
      </c>
      <c r="B10129" s="135">
        <f>YEAR(source[[#This Row],[report_date]])</f>
        <v>2025</v>
      </c>
      <c r="C10129" s="128">
        <f t="shared" si="472"/>
        <v>10</v>
      </c>
      <c r="D10129" s="136">
        <f t="shared" si="474"/>
        <v>44</v>
      </c>
      <c r="E10129" s="136">
        <f t="shared" si="473"/>
        <v>28</v>
      </c>
      <c r="F10129" s="137" t="s">
        <v>24</v>
      </c>
      <c r="G10129" s="128" t="str">
        <f>VLOOKUP(source[[#This Row],[lending_product_transform]],[3]Mapping!$B$4:$C$37,2,0)</f>
        <v>[Cake] - Cashloan</v>
      </c>
      <c r="H10129" s="128" t="str">
        <f>VLOOKUP(source[[#This Row],[lending_product_transform]],[3]Mapping!$B$3:$D$37,3,0)</f>
        <v>cashloan</v>
      </c>
      <c r="I10129" s="143">
        <v>2575150000</v>
      </c>
    </row>
    <row r="10130" spans="1:9" x14ac:dyDescent="0.2">
      <c r="A10130" s="134">
        <v>45958</v>
      </c>
      <c r="B10130" s="135">
        <f>YEAR(source[[#This Row],[report_date]])</f>
        <v>2025</v>
      </c>
      <c r="C10130" s="128">
        <f t="shared" si="472"/>
        <v>10</v>
      </c>
      <c r="D10130" s="136">
        <f t="shared" si="474"/>
        <v>44</v>
      </c>
      <c r="E10130" s="136">
        <f t="shared" si="473"/>
        <v>28</v>
      </c>
      <c r="F10130" s="137" t="s">
        <v>24</v>
      </c>
      <c r="G10130" s="128" t="str">
        <f>VLOOKUP(source[[#This Row],[lending_product_transform]],[3]Mapping!$B$4:$C$37,2,0)</f>
        <v>[Cake] - Cashloan</v>
      </c>
      <c r="H10130" s="128" t="str">
        <f>VLOOKUP(source[[#This Row],[lending_product_transform]],[3]Mapping!$B$3:$D$37,3,0)</f>
        <v>cashloan</v>
      </c>
      <c r="I10130" s="143">
        <v>20855000</v>
      </c>
    </row>
    <row r="10131" spans="1:9" x14ac:dyDescent="0.2">
      <c r="A10131" s="134">
        <v>45958</v>
      </c>
      <c r="B10131" s="135">
        <f>YEAR(source[[#This Row],[report_date]])</f>
        <v>2025</v>
      </c>
      <c r="C10131" s="128">
        <f t="shared" si="472"/>
        <v>10</v>
      </c>
      <c r="D10131" s="136">
        <f t="shared" si="474"/>
        <v>44</v>
      </c>
      <c r="E10131" s="136">
        <f t="shared" si="473"/>
        <v>28</v>
      </c>
      <c r="F10131" s="137" t="s">
        <v>24</v>
      </c>
      <c r="G10131" s="128" t="str">
        <f>VLOOKUP(source[[#This Row],[lending_product_transform]],[3]Mapping!$B$4:$C$37,2,0)</f>
        <v>[Cake] - Cashloan</v>
      </c>
      <c r="H10131" s="128" t="str">
        <f>VLOOKUP(source[[#This Row],[lending_product_transform]],[3]Mapping!$B$3:$D$37,3,0)</f>
        <v>cashloan</v>
      </c>
      <c r="I10131" s="143">
        <v>535907540</v>
      </c>
    </row>
    <row r="10132" spans="1:9" x14ac:dyDescent="0.2">
      <c r="A10132" s="134">
        <v>45958</v>
      </c>
      <c r="B10132" s="135">
        <f>YEAR(source[[#This Row],[report_date]])</f>
        <v>2025</v>
      </c>
      <c r="C10132" s="128">
        <f t="shared" si="472"/>
        <v>10</v>
      </c>
      <c r="D10132" s="136">
        <f t="shared" si="474"/>
        <v>44</v>
      </c>
      <c r="E10132" s="136">
        <f t="shared" si="473"/>
        <v>28</v>
      </c>
      <c r="F10132" s="137" t="s">
        <v>24</v>
      </c>
      <c r="G10132" s="128" t="str">
        <f>VLOOKUP(source[[#This Row],[lending_product_transform]],[3]Mapping!$B$4:$C$37,2,0)</f>
        <v>[Cake] - Cashloan</v>
      </c>
      <c r="H10132" s="128" t="str">
        <f>VLOOKUP(source[[#This Row],[lending_product_transform]],[3]Mapping!$B$3:$D$37,3,0)</f>
        <v>cashloan</v>
      </c>
      <c r="I10132" s="143">
        <v>0</v>
      </c>
    </row>
    <row r="10133" spans="1:9" x14ac:dyDescent="0.2">
      <c r="A10133" s="134">
        <v>45958</v>
      </c>
      <c r="B10133" s="135">
        <f>YEAR(source[[#This Row],[report_date]])</f>
        <v>2025</v>
      </c>
      <c r="C10133" s="128">
        <f t="shared" si="472"/>
        <v>10</v>
      </c>
      <c r="D10133" s="136">
        <f t="shared" si="474"/>
        <v>44</v>
      </c>
      <c r="E10133" s="136">
        <f t="shared" si="473"/>
        <v>28</v>
      </c>
      <c r="F10133" s="137" t="s">
        <v>24</v>
      </c>
      <c r="G10133" s="128" t="str">
        <f>VLOOKUP(source[[#This Row],[lending_product_transform]],[3]Mapping!$B$4:$C$37,2,0)</f>
        <v>[Cake] - Cashloan</v>
      </c>
      <c r="H10133" s="128" t="str">
        <f>VLOOKUP(source[[#This Row],[lending_product_transform]],[3]Mapping!$B$3:$D$37,3,0)</f>
        <v>cashloan</v>
      </c>
      <c r="I10133" s="143">
        <v>135500000</v>
      </c>
    </row>
    <row r="10134" spans="1:9" x14ac:dyDescent="0.2">
      <c r="A10134" s="134">
        <v>45958</v>
      </c>
      <c r="B10134" s="135">
        <f>YEAR(source[[#This Row],[report_date]])</f>
        <v>2025</v>
      </c>
      <c r="C10134" s="128">
        <f t="shared" si="472"/>
        <v>10</v>
      </c>
      <c r="D10134" s="136">
        <f t="shared" si="474"/>
        <v>44</v>
      </c>
      <c r="E10134" s="136">
        <f t="shared" si="473"/>
        <v>28</v>
      </c>
      <c r="F10134" s="137" t="s">
        <v>24</v>
      </c>
      <c r="G10134" s="128" t="str">
        <f>VLOOKUP(source[[#This Row],[lending_product_transform]],[3]Mapping!$B$4:$C$37,2,0)</f>
        <v>[Cake] - Cashloan</v>
      </c>
      <c r="H10134" s="128" t="str">
        <f>VLOOKUP(source[[#This Row],[lending_product_transform]],[3]Mapping!$B$3:$D$37,3,0)</f>
        <v>cashloan</v>
      </c>
      <c r="I10134" s="143">
        <v>13923450000</v>
      </c>
    </row>
    <row r="10135" spans="1:9" x14ac:dyDescent="0.2">
      <c r="A10135" s="134">
        <v>45958</v>
      </c>
      <c r="B10135" s="135">
        <f>YEAR(source[[#This Row],[report_date]])</f>
        <v>2025</v>
      </c>
      <c r="C10135" s="128">
        <f t="shared" si="472"/>
        <v>10</v>
      </c>
      <c r="D10135" s="136">
        <f t="shared" si="474"/>
        <v>44</v>
      </c>
      <c r="E10135" s="136">
        <f t="shared" si="473"/>
        <v>28</v>
      </c>
      <c r="F10135" s="137" t="s">
        <v>24</v>
      </c>
      <c r="G10135" s="128" t="str">
        <f>VLOOKUP(source[[#This Row],[lending_product_transform]],[3]Mapping!$B$4:$C$37,2,0)</f>
        <v>[Cake] - Cashloan</v>
      </c>
      <c r="H10135" s="128" t="str">
        <f>VLOOKUP(source[[#This Row],[lending_product_transform]],[3]Mapping!$B$3:$D$37,3,0)</f>
        <v>cashloan</v>
      </c>
      <c r="I10135" s="143">
        <v>0</v>
      </c>
    </row>
    <row r="10136" spans="1:9" x14ac:dyDescent="0.2">
      <c r="A10136" s="134">
        <v>45958</v>
      </c>
      <c r="B10136" s="135">
        <f>YEAR(source[[#This Row],[report_date]])</f>
        <v>2025</v>
      </c>
      <c r="C10136" s="128">
        <f t="shared" si="472"/>
        <v>10</v>
      </c>
      <c r="D10136" s="136">
        <f t="shared" si="474"/>
        <v>44</v>
      </c>
      <c r="E10136" s="136">
        <f t="shared" si="473"/>
        <v>28</v>
      </c>
      <c r="F10136" s="137" t="s">
        <v>24</v>
      </c>
      <c r="G10136" s="128" t="str">
        <f>VLOOKUP(source[[#This Row],[lending_product_transform]],[3]Mapping!$B$4:$C$37,2,0)</f>
        <v>[Cake] - Cashloan</v>
      </c>
      <c r="H10136" s="128" t="str">
        <f>VLOOKUP(source[[#This Row],[lending_product_transform]],[3]Mapping!$B$3:$D$37,3,0)</f>
        <v>cashloan</v>
      </c>
      <c r="I10136" s="143">
        <v>0</v>
      </c>
    </row>
    <row r="10137" spans="1:9" x14ac:dyDescent="0.2">
      <c r="A10137" s="134">
        <v>45958</v>
      </c>
      <c r="B10137" s="135">
        <f>YEAR(source[[#This Row],[report_date]])</f>
        <v>2025</v>
      </c>
      <c r="C10137" s="128">
        <f t="shared" si="472"/>
        <v>10</v>
      </c>
      <c r="D10137" s="136">
        <f t="shared" si="474"/>
        <v>44</v>
      </c>
      <c r="E10137" s="136">
        <f t="shared" si="473"/>
        <v>28</v>
      </c>
      <c r="F10137" s="137" t="s">
        <v>24</v>
      </c>
      <c r="G10137" s="128" t="str">
        <f>VLOOKUP(source[[#This Row],[lending_product_transform]],[3]Mapping!$B$4:$C$37,2,0)</f>
        <v>[Cake] - Cashloan</v>
      </c>
      <c r="H10137" s="128" t="str">
        <f>VLOOKUP(source[[#This Row],[lending_product_transform]],[3]Mapping!$B$3:$D$37,3,0)</f>
        <v>cashloan</v>
      </c>
      <c r="I10137" s="143">
        <v>0</v>
      </c>
    </row>
    <row r="10138" spans="1:9" x14ac:dyDescent="0.2">
      <c r="A10138" s="134">
        <v>45958</v>
      </c>
      <c r="B10138" s="135">
        <f>YEAR(source[[#This Row],[report_date]])</f>
        <v>2025</v>
      </c>
      <c r="C10138" s="128">
        <f t="shared" si="472"/>
        <v>10</v>
      </c>
      <c r="D10138" s="136">
        <f t="shared" si="474"/>
        <v>44</v>
      </c>
      <c r="E10138" s="136">
        <f t="shared" si="473"/>
        <v>28</v>
      </c>
      <c r="F10138" s="137" t="s">
        <v>24</v>
      </c>
      <c r="G10138" s="128" t="str">
        <f>VLOOKUP(source[[#This Row],[lending_product_transform]],[3]Mapping!$B$4:$C$37,2,0)</f>
        <v>[Cake] - Cashloan</v>
      </c>
      <c r="H10138" s="128" t="str">
        <f>VLOOKUP(source[[#This Row],[lending_product_transform]],[3]Mapping!$B$3:$D$37,3,0)</f>
        <v>cashloan</v>
      </c>
      <c r="I10138" s="143">
        <v>0</v>
      </c>
    </row>
    <row r="10139" spans="1:9" x14ac:dyDescent="0.2">
      <c r="A10139" s="134">
        <v>45958</v>
      </c>
      <c r="B10139" s="135">
        <f>YEAR(source[[#This Row],[report_date]])</f>
        <v>2025</v>
      </c>
      <c r="C10139" s="128">
        <f t="shared" si="472"/>
        <v>10</v>
      </c>
      <c r="D10139" s="136">
        <f t="shared" si="474"/>
        <v>44</v>
      </c>
      <c r="E10139" s="136">
        <f t="shared" si="473"/>
        <v>28</v>
      </c>
      <c r="F10139" s="137" t="s">
        <v>24</v>
      </c>
      <c r="G10139" s="128" t="str">
        <f>VLOOKUP(source[[#This Row],[lending_product_transform]],[3]Mapping!$B$4:$C$37,2,0)</f>
        <v>[Cake] - Cashloan</v>
      </c>
      <c r="H10139" s="128" t="str">
        <f>VLOOKUP(source[[#This Row],[lending_product_transform]],[3]Mapping!$B$3:$D$37,3,0)</f>
        <v>cashloan</v>
      </c>
      <c r="I10139" s="143">
        <v>9148680000</v>
      </c>
    </row>
    <row r="10140" spans="1:9" x14ac:dyDescent="0.2">
      <c r="A10140" s="134">
        <v>45958</v>
      </c>
      <c r="B10140" s="135">
        <f>YEAR(source[[#This Row],[report_date]])</f>
        <v>2025</v>
      </c>
      <c r="C10140" s="128">
        <f t="shared" si="472"/>
        <v>10</v>
      </c>
      <c r="D10140" s="136">
        <f t="shared" si="474"/>
        <v>44</v>
      </c>
      <c r="E10140" s="136">
        <f t="shared" si="473"/>
        <v>28</v>
      </c>
      <c r="F10140" s="137" t="s">
        <v>24</v>
      </c>
      <c r="G10140" s="128" t="str">
        <f>VLOOKUP(source[[#This Row],[lending_product_transform]],[3]Mapping!$B$4:$C$37,2,0)</f>
        <v>[Cake] - Cashloan</v>
      </c>
      <c r="H10140" s="128" t="str">
        <f>VLOOKUP(source[[#This Row],[lending_product_transform]],[3]Mapping!$B$3:$D$37,3,0)</f>
        <v>cashloan</v>
      </c>
      <c r="I10140" s="143">
        <v>185338181</v>
      </c>
    </row>
    <row r="10141" spans="1:9" x14ac:dyDescent="0.2">
      <c r="A10141" s="134">
        <v>45958</v>
      </c>
      <c r="B10141" s="135">
        <f>YEAR(source[[#This Row],[report_date]])</f>
        <v>2025</v>
      </c>
      <c r="C10141" s="128">
        <f t="shared" si="472"/>
        <v>10</v>
      </c>
      <c r="D10141" s="136">
        <f t="shared" si="474"/>
        <v>44</v>
      </c>
      <c r="E10141" s="136">
        <f t="shared" si="473"/>
        <v>28</v>
      </c>
      <c r="F10141" s="137" t="s">
        <v>24</v>
      </c>
      <c r="G10141" s="128" t="str">
        <f>VLOOKUP(source[[#This Row],[lending_product_transform]],[3]Mapping!$B$4:$C$37,2,0)</f>
        <v>[Cake] - Cashloan</v>
      </c>
      <c r="H10141" s="128" t="str">
        <f>VLOOKUP(source[[#This Row],[lending_product_transform]],[3]Mapping!$B$3:$D$37,3,0)</f>
        <v>cashloan</v>
      </c>
      <c r="I10141" s="143">
        <v>52500000</v>
      </c>
    </row>
    <row r="10142" spans="1:9" x14ac:dyDescent="0.2">
      <c r="A10142" s="134">
        <v>45958</v>
      </c>
      <c r="B10142" s="135">
        <f>YEAR(source[[#This Row],[report_date]])</f>
        <v>2025</v>
      </c>
      <c r="C10142" s="128">
        <f t="shared" si="472"/>
        <v>10</v>
      </c>
      <c r="D10142" s="136">
        <f t="shared" si="474"/>
        <v>44</v>
      </c>
      <c r="E10142" s="136">
        <f t="shared" si="473"/>
        <v>28</v>
      </c>
      <c r="F10142" s="137" t="s">
        <v>24</v>
      </c>
      <c r="G10142" s="128" t="str">
        <f>VLOOKUP(source[[#This Row],[lending_product_transform]],[3]Mapping!$B$4:$C$37,2,0)</f>
        <v>[Cake] - Cashloan</v>
      </c>
      <c r="H10142" s="128" t="str">
        <f>VLOOKUP(source[[#This Row],[lending_product_transform]],[3]Mapping!$B$3:$D$37,3,0)</f>
        <v>cashloan</v>
      </c>
      <c r="I10142" s="143">
        <v>45000000</v>
      </c>
    </row>
    <row r="10143" spans="1:9" x14ac:dyDescent="0.2">
      <c r="A10143" s="134">
        <v>45958</v>
      </c>
      <c r="B10143" s="135">
        <f>YEAR(source[[#This Row],[report_date]])</f>
        <v>2025</v>
      </c>
      <c r="C10143" s="128">
        <f t="shared" si="472"/>
        <v>10</v>
      </c>
      <c r="D10143" s="136">
        <f t="shared" si="474"/>
        <v>44</v>
      </c>
      <c r="E10143" s="136">
        <f t="shared" si="473"/>
        <v>28</v>
      </c>
      <c r="F10143" s="137" t="s">
        <v>24</v>
      </c>
      <c r="G10143" s="128" t="str">
        <f>VLOOKUP(source[[#This Row],[lending_product_transform]],[3]Mapping!$B$4:$C$37,2,0)</f>
        <v>[Cake] - Cashloan</v>
      </c>
      <c r="H10143" s="128" t="str">
        <f>VLOOKUP(source[[#This Row],[lending_product_transform]],[3]Mapping!$B$3:$D$37,3,0)</f>
        <v>cashloan</v>
      </c>
      <c r="I10143" s="143">
        <v>829660000</v>
      </c>
    </row>
    <row r="10144" spans="1:9" x14ac:dyDescent="0.2">
      <c r="A10144" s="134">
        <v>45958</v>
      </c>
      <c r="B10144" s="135">
        <f>YEAR(source[[#This Row],[report_date]])</f>
        <v>2025</v>
      </c>
      <c r="C10144" s="128">
        <f t="shared" si="472"/>
        <v>10</v>
      </c>
      <c r="D10144" s="136">
        <f t="shared" si="474"/>
        <v>44</v>
      </c>
      <c r="E10144" s="136">
        <f t="shared" si="473"/>
        <v>28</v>
      </c>
      <c r="F10144" s="137" t="s">
        <v>24</v>
      </c>
      <c r="G10144" s="128" t="str">
        <f>VLOOKUP(source[[#This Row],[lending_product_transform]],[3]Mapping!$B$4:$C$37,2,0)</f>
        <v>[Cake] - Cashloan</v>
      </c>
      <c r="H10144" s="128" t="str">
        <f>VLOOKUP(source[[#This Row],[lending_product_transform]],[3]Mapping!$B$3:$D$37,3,0)</f>
        <v>cashloan</v>
      </c>
      <c r="I10144" s="143">
        <v>223560000</v>
      </c>
    </row>
    <row r="10145" spans="1:9" x14ac:dyDescent="0.2">
      <c r="A10145" s="134">
        <v>45958</v>
      </c>
      <c r="B10145" s="135">
        <f>YEAR(source[[#This Row],[report_date]])</f>
        <v>2025</v>
      </c>
      <c r="C10145" s="128">
        <f t="shared" si="472"/>
        <v>10</v>
      </c>
      <c r="D10145" s="136">
        <f t="shared" si="474"/>
        <v>44</v>
      </c>
      <c r="E10145" s="136">
        <f t="shared" si="473"/>
        <v>28</v>
      </c>
      <c r="F10145" s="137" t="s">
        <v>24</v>
      </c>
      <c r="G10145" s="128" t="str">
        <f>VLOOKUP(source[[#This Row],[lending_product_transform]],[3]Mapping!$B$4:$C$37,2,0)</f>
        <v>[Cake] - Cashloan</v>
      </c>
      <c r="H10145" s="128" t="str">
        <f>VLOOKUP(source[[#This Row],[lending_product_transform]],[3]Mapping!$B$3:$D$37,3,0)</f>
        <v>cashloan</v>
      </c>
      <c r="I10145" s="143">
        <v>485591923</v>
      </c>
    </row>
    <row r="10146" spans="1:9" x14ac:dyDescent="0.2">
      <c r="A10146" s="134">
        <v>45958</v>
      </c>
      <c r="B10146" s="135">
        <f>YEAR(source[[#This Row],[report_date]])</f>
        <v>2025</v>
      </c>
      <c r="C10146" s="128">
        <f t="shared" si="472"/>
        <v>10</v>
      </c>
      <c r="D10146" s="136">
        <f t="shared" si="474"/>
        <v>44</v>
      </c>
      <c r="E10146" s="136">
        <f t="shared" si="473"/>
        <v>28</v>
      </c>
      <c r="F10146" s="137" t="s">
        <v>24</v>
      </c>
      <c r="G10146" s="128" t="str">
        <f>VLOOKUP(source[[#This Row],[lending_product_transform]],[3]Mapping!$B$4:$C$37,2,0)</f>
        <v>[Cake] - Cashloan</v>
      </c>
      <c r="H10146" s="128" t="str">
        <f>VLOOKUP(source[[#This Row],[lending_product_transform]],[3]Mapping!$B$3:$D$37,3,0)</f>
        <v>cashloan</v>
      </c>
      <c r="I10146" s="143">
        <v>4111000000</v>
      </c>
    </row>
    <row r="10147" spans="1:9" x14ac:dyDescent="0.2">
      <c r="A10147" s="134">
        <v>45959</v>
      </c>
      <c r="B10147" s="135">
        <f>YEAR(source[[#This Row],[report_date]])</f>
        <v>2025</v>
      </c>
      <c r="C10147" s="128">
        <f t="shared" si="472"/>
        <v>10</v>
      </c>
      <c r="D10147" s="136">
        <f t="shared" si="474"/>
        <v>44</v>
      </c>
      <c r="E10147" s="136">
        <f t="shared" si="473"/>
        <v>29</v>
      </c>
      <c r="F10147" s="137" t="s">
        <v>24</v>
      </c>
      <c r="G10147" s="128" t="str">
        <f>VLOOKUP(source[[#This Row],[lending_product_transform]],[3]Mapping!$B$4:$C$37,2,0)</f>
        <v>[Cake] - Cashloan</v>
      </c>
      <c r="H10147" s="128" t="str">
        <f>VLOOKUP(source[[#This Row],[lending_product_transform]],[3]Mapping!$B$3:$D$37,3,0)</f>
        <v>cashloan</v>
      </c>
      <c r="I10147" s="143">
        <v>97650000</v>
      </c>
    </row>
    <row r="10148" spans="1:9" x14ac:dyDescent="0.2">
      <c r="A10148" s="134">
        <v>45959</v>
      </c>
      <c r="B10148" s="135">
        <f>YEAR(source[[#This Row],[report_date]])</f>
        <v>2025</v>
      </c>
      <c r="C10148" s="128">
        <f t="shared" si="472"/>
        <v>10</v>
      </c>
      <c r="D10148" s="136">
        <f t="shared" si="474"/>
        <v>44</v>
      </c>
      <c r="E10148" s="136">
        <f t="shared" si="473"/>
        <v>29</v>
      </c>
      <c r="F10148" s="137" t="s">
        <v>24</v>
      </c>
      <c r="G10148" s="128" t="str">
        <f>VLOOKUP(source[[#This Row],[lending_product_transform]],[3]Mapping!$B$4:$C$37,2,0)</f>
        <v>[Cake] - Cashloan</v>
      </c>
      <c r="H10148" s="128" t="str">
        <f>VLOOKUP(source[[#This Row],[lending_product_transform]],[3]Mapping!$B$3:$D$37,3,0)</f>
        <v>cashloan</v>
      </c>
      <c r="I10148" s="143">
        <v>222504757</v>
      </c>
    </row>
    <row r="10149" spans="1:9" x14ac:dyDescent="0.2">
      <c r="A10149" s="134">
        <v>45959</v>
      </c>
      <c r="B10149" s="135">
        <f>YEAR(source[[#This Row],[report_date]])</f>
        <v>2025</v>
      </c>
      <c r="C10149" s="128">
        <f t="shared" si="472"/>
        <v>10</v>
      </c>
      <c r="D10149" s="136">
        <f t="shared" si="474"/>
        <v>44</v>
      </c>
      <c r="E10149" s="136">
        <f t="shared" si="473"/>
        <v>29</v>
      </c>
      <c r="F10149" s="137" t="s">
        <v>24</v>
      </c>
      <c r="G10149" s="128" t="str">
        <f>VLOOKUP(source[[#This Row],[lending_product_transform]],[3]Mapping!$B$4:$C$37,2,0)</f>
        <v>[Cake] - Cashloan</v>
      </c>
      <c r="H10149" s="128" t="str">
        <f>VLOOKUP(source[[#This Row],[lending_product_transform]],[3]Mapping!$B$3:$D$37,3,0)</f>
        <v>cashloan</v>
      </c>
      <c r="I10149" s="143">
        <v>12871110000</v>
      </c>
    </row>
    <row r="10150" spans="1:9" x14ac:dyDescent="0.2">
      <c r="A10150" s="134">
        <v>45959</v>
      </c>
      <c r="B10150" s="135">
        <f>YEAR(source[[#This Row],[report_date]])</f>
        <v>2025</v>
      </c>
      <c r="C10150" s="128">
        <f t="shared" si="472"/>
        <v>10</v>
      </c>
      <c r="D10150" s="136">
        <f t="shared" si="474"/>
        <v>44</v>
      </c>
      <c r="E10150" s="136">
        <f t="shared" si="473"/>
        <v>29</v>
      </c>
      <c r="F10150" s="137" t="s">
        <v>24</v>
      </c>
      <c r="G10150" s="128" t="str">
        <f>VLOOKUP(source[[#This Row],[lending_product_transform]],[3]Mapping!$B$4:$C$37,2,0)</f>
        <v>[Cake] - Cashloan</v>
      </c>
      <c r="H10150" s="128" t="str">
        <f>VLOOKUP(source[[#This Row],[lending_product_transform]],[3]Mapping!$B$3:$D$37,3,0)</f>
        <v>cashloan</v>
      </c>
      <c r="I10150" s="143">
        <v>2349288068</v>
      </c>
    </row>
    <row r="10151" spans="1:9" x14ac:dyDescent="0.2">
      <c r="A10151" s="134">
        <v>45959</v>
      </c>
      <c r="B10151" s="135">
        <f>YEAR(source[[#This Row],[report_date]])</f>
        <v>2025</v>
      </c>
      <c r="C10151" s="128">
        <f t="shared" si="472"/>
        <v>10</v>
      </c>
      <c r="D10151" s="136">
        <f t="shared" si="474"/>
        <v>44</v>
      </c>
      <c r="E10151" s="136">
        <f t="shared" si="473"/>
        <v>29</v>
      </c>
      <c r="F10151" s="137" t="s">
        <v>24</v>
      </c>
      <c r="G10151" s="128" t="str">
        <f>VLOOKUP(source[[#This Row],[lending_product_transform]],[3]Mapping!$B$4:$C$37,2,0)</f>
        <v>[Cake] - Cashloan</v>
      </c>
      <c r="H10151" s="128" t="str">
        <f>VLOOKUP(source[[#This Row],[lending_product_transform]],[3]Mapping!$B$3:$D$37,3,0)</f>
        <v>cashloan</v>
      </c>
      <c r="I10151" s="143">
        <v>7620804000</v>
      </c>
    </row>
    <row r="10152" spans="1:9" x14ac:dyDescent="0.2">
      <c r="A10152" s="134">
        <v>45959</v>
      </c>
      <c r="B10152" s="135">
        <f>YEAR(source[[#This Row],[report_date]])</f>
        <v>2025</v>
      </c>
      <c r="C10152" s="128">
        <f t="shared" si="472"/>
        <v>10</v>
      </c>
      <c r="D10152" s="136">
        <f t="shared" si="474"/>
        <v>44</v>
      </c>
      <c r="E10152" s="136">
        <f t="shared" si="473"/>
        <v>29</v>
      </c>
      <c r="F10152" s="137" t="s">
        <v>24</v>
      </c>
      <c r="G10152" s="128" t="str">
        <f>VLOOKUP(source[[#This Row],[lending_product_transform]],[3]Mapping!$B$4:$C$37,2,0)</f>
        <v>[Cake] - Cashloan</v>
      </c>
      <c r="H10152" s="128" t="str">
        <f>VLOOKUP(source[[#This Row],[lending_product_transform]],[3]Mapping!$B$3:$D$37,3,0)</f>
        <v>cashloan</v>
      </c>
      <c r="I10152" s="143">
        <v>17959332</v>
      </c>
    </row>
    <row r="10153" spans="1:9" x14ac:dyDescent="0.2">
      <c r="A10153" s="134">
        <v>45959</v>
      </c>
      <c r="B10153" s="135">
        <f>YEAR(source[[#This Row],[report_date]])</f>
        <v>2025</v>
      </c>
      <c r="C10153" s="128">
        <f t="shared" si="472"/>
        <v>10</v>
      </c>
      <c r="D10153" s="136">
        <f t="shared" si="474"/>
        <v>44</v>
      </c>
      <c r="E10153" s="136">
        <f t="shared" si="473"/>
        <v>29</v>
      </c>
      <c r="F10153" s="137" t="s">
        <v>24</v>
      </c>
      <c r="G10153" s="128" t="str">
        <f>VLOOKUP(source[[#This Row],[lending_product_transform]],[3]Mapping!$B$4:$C$37,2,0)</f>
        <v>[Cake] - Cashloan</v>
      </c>
      <c r="H10153" s="128" t="str">
        <f>VLOOKUP(source[[#This Row],[lending_product_transform]],[3]Mapping!$B$3:$D$37,3,0)</f>
        <v>cashloan</v>
      </c>
      <c r="I10153" s="143">
        <v>2019300000</v>
      </c>
    </row>
    <row r="10154" spans="1:9" x14ac:dyDescent="0.2">
      <c r="A10154" s="134">
        <v>45959</v>
      </c>
      <c r="B10154" s="135">
        <f>YEAR(source[[#This Row],[report_date]])</f>
        <v>2025</v>
      </c>
      <c r="C10154" s="128">
        <f t="shared" si="472"/>
        <v>10</v>
      </c>
      <c r="D10154" s="136">
        <f t="shared" si="474"/>
        <v>44</v>
      </c>
      <c r="E10154" s="136">
        <f t="shared" si="473"/>
        <v>29</v>
      </c>
      <c r="F10154" s="137" t="s">
        <v>24</v>
      </c>
      <c r="G10154" s="128" t="str">
        <f>VLOOKUP(source[[#This Row],[lending_product_transform]],[3]Mapping!$B$4:$C$37,2,0)</f>
        <v>[Cake] - Cashloan</v>
      </c>
      <c r="H10154" s="128" t="str">
        <f>VLOOKUP(source[[#This Row],[lending_product_transform]],[3]Mapping!$B$3:$D$37,3,0)</f>
        <v>cashloan</v>
      </c>
      <c r="I10154" s="143">
        <v>25339000</v>
      </c>
    </row>
    <row r="10155" spans="1:9" x14ac:dyDescent="0.2">
      <c r="A10155" s="134">
        <v>45959</v>
      </c>
      <c r="B10155" s="135">
        <f>YEAR(source[[#This Row],[report_date]])</f>
        <v>2025</v>
      </c>
      <c r="C10155" s="128">
        <f t="shared" si="472"/>
        <v>10</v>
      </c>
      <c r="D10155" s="136">
        <f t="shared" si="474"/>
        <v>44</v>
      </c>
      <c r="E10155" s="136">
        <f t="shared" si="473"/>
        <v>29</v>
      </c>
      <c r="F10155" s="137" t="s">
        <v>24</v>
      </c>
      <c r="G10155" s="128" t="str">
        <f>VLOOKUP(source[[#This Row],[lending_product_transform]],[3]Mapping!$B$4:$C$37,2,0)</f>
        <v>[Cake] - Cashloan</v>
      </c>
      <c r="H10155" s="128" t="str">
        <f>VLOOKUP(source[[#This Row],[lending_product_transform]],[3]Mapping!$B$3:$D$37,3,0)</f>
        <v>cashloan</v>
      </c>
      <c r="I10155" s="143">
        <v>534989800</v>
      </c>
    </row>
    <row r="10156" spans="1:9" x14ac:dyDescent="0.2">
      <c r="A10156" s="134">
        <v>45959</v>
      </c>
      <c r="B10156" s="135">
        <f>YEAR(source[[#This Row],[report_date]])</f>
        <v>2025</v>
      </c>
      <c r="C10156" s="128">
        <f t="shared" si="472"/>
        <v>10</v>
      </c>
      <c r="D10156" s="136">
        <f t="shared" si="474"/>
        <v>44</v>
      </c>
      <c r="E10156" s="136">
        <f t="shared" si="473"/>
        <v>29</v>
      </c>
      <c r="F10156" s="137" t="s">
        <v>24</v>
      </c>
      <c r="G10156" s="128" t="str">
        <f>VLOOKUP(source[[#This Row],[lending_product_transform]],[3]Mapping!$B$4:$C$37,2,0)</f>
        <v>[Cake] - Cashloan</v>
      </c>
      <c r="H10156" s="128" t="str">
        <f>VLOOKUP(source[[#This Row],[lending_product_transform]],[3]Mapping!$B$3:$D$37,3,0)</f>
        <v>cashloan</v>
      </c>
      <c r="I10156" s="143">
        <v>0</v>
      </c>
    </row>
    <row r="10157" spans="1:9" x14ac:dyDescent="0.2">
      <c r="A10157" s="134">
        <v>45959</v>
      </c>
      <c r="B10157" s="135">
        <f>YEAR(source[[#This Row],[report_date]])</f>
        <v>2025</v>
      </c>
      <c r="C10157" s="128">
        <f t="shared" si="472"/>
        <v>10</v>
      </c>
      <c r="D10157" s="136">
        <f t="shared" si="474"/>
        <v>44</v>
      </c>
      <c r="E10157" s="136">
        <f t="shared" si="473"/>
        <v>29</v>
      </c>
      <c r="F10157" s="137" t="s">
        <v>24</v>
      </c>
      <c r="G10157" s="128" t="str">
        <f>VLOOKUP(source[[#This Row],[lending_product_transform]],[3]Mapping!$B$4:$C$37,2,0)</f>
        <v>[Cake] - Cashloan</v>
      </c>
      <c r="H10157" s="128" t="str">
        <f>VLOOKUP(source[[#This Row],[lending_product_transform]],[3]Mapping!$B$3:$D$37,3,0)</f>
        <v>cashloan</v>
      </c>
      <c r="I10157" s="143">
        <v>154500000</v>
      </c>
    </row>
    <row r="10158" spans="1:9" x14ac:dyDescent="0.2">
      <c r="A10158" s="134">
        <v>45959</v>
      </c>
      <c r="B10158" s="135">
        <f>YEAR(source[[#This Row],[report_date]])</f>
        <v>2025</v>
      </c>
      <c r="C10158" s="128">
        <f t="shared" si="472"/>
        <v>10</v>
      </c>
      <c r="D10158" s="136">
        <f t="shared" si="474"/>
        <v>44</v>
      </c>
      <c r="E10158" s="136">
        <f t="shared" si="473"/>
        <v>29</v>
      </c>
      <c r="F10158" s="137" t="s">
        <v>24</v>
      </c>
      <c r="G10158" s="128" t="str">
        <f>VLOOKUP(source[[#This Row],[lending_product_transform]],[3]Mapping!$B$4:$C$37,2,0)</f>
        <v>[Cake] - Cashloan</v>
      </c>
      <c r="H10158" s="128" t="str">
        <f>VLOOKUP(source[[#This Row],[lending_product_transform]],[3]Mapping!$B$3:$D$37,3,0)</f>
        <v>cashloan</v>
      </c>
      <c r="I10158" s="143">
        <v>14843270000</v>
      </c>
    </row>
    <row r="10159" spans="1:9" x14ac:dyDescent="0.2">
      <c r="A10159" s="134">
        <v>45959</v>
      </c>
      <c r="B10159" s="135">
        <f>YEAR(source[[#This Row],[report_date]])</f>
        <v>2025</v>
      </c>
      <c r="C10159" s="128">
        <f t="shared" si="472"/>
        <v>10</v>
      </c>
      <c r="D10159" s="136">
        <f t="shared" si="474"/>
        <v>44</v>
      </c>
      <c r="E10159" s="136">
        <f t="shared" si="473"/>
        <v>29</v>
      </c>
      <c r="F10159" s="137" t="s">
        <v>24</v>
      </c>
      <c r="G10159" s="128" t="str">
        <f>VLOOKUP(source[[#This Row],[lending_product_transform]],[3]Mapping!$B$4:$C$37,2,0)</f>
        <v>[Cake] - Cashloan</v>
      </c>
      <c r="H10159" s="128" t="str">
        <f>VLOOKUP(source[[#This Row],[lending_product_transform]],[3]Mapping!$B$3:$D$37,3,0)</f>
        <v>cashloan</v>
      </c>
      <c r="I10159" s="143">
        <v>0</v>
      </c>
    </row>
    <row r="10160" spans="1:9" x14ac:dyDescent="0.2">
      <c r="A10160" s="134">
        <v>45959</v>
      </c>
      <c r="B10160" s="135">
        <f>YEAR(source[[#This Row],[report_date]])</f>
        <v>2025</v>
      </c>
      <c r="C10160" s="128">
        <f t="shared" si="472"/>
        <v>10</v>
      </c>
      <c r="D10160" s="136">
        <f t="shared" si="474"/>
        <v>44</v>
      </c>
      <c r="E10160" s="136">
        <f t="shared" si="473"/>
        <v>29</v>
      </c>
      <c r="F10160" s="137" t="s">
        <v>24</v>
      </c>
      <c r="G10160" s="128" t="str">
        <f>VLOOKUP(source[[#This Row],[lending_product_transform]],[3]Mapping!$B$4:$C$37,2,0)</f>
        <v>[Cake] - Cashloan</v>
      </c>
      <c r="H10160" s="128" t="str">
        <f>VLOOKUP(source[[#This Row],[lending_product_transform]],[3]Mapping!$B$3:$D$37,3,0)</f>
        <v>cashloan</v>
      </c>
      <c r="I10160" s="143">
        <v>0</v>
      </c>
    </row>
    <row r="10161" spans="1:9" x14ac:dyDescent="0.2">
      <c r="A10161" s="134">
        <v>45959</v>
      </c>
      <c r="B10161" s="135">
        <f>YEAR(source[[#This Row],[report_date]])</f>
        <v>2025</v>
      </c>
      <c r="C10161" s="128">
        <f t="shared" si="472"/>
        <v>10</v>
      </c>
      <c r="D10161" s="136">
        <f t="shared" si="474"/>
        <v>44</v>
      </c>
      <c r="E10161" s="136">
        <f t="shared" si="473"/>
        <v>29</v>
      </c>
      <c r="F10161" s="137" t="s">
        <v>24</v>
      </c>
      <c r="G10161" s="128" t="str">
        <f>VLOOKUP(source[[#This Row],[lending_product_transform]],[3]Mapping!$B$4:$C$37,2,0)</f>
        <v>[Cake] - Cashloan</v>
      </c>
      <c r="H10161" s="128" t="str">
        <f>VLOOKUP(source[[#This Row],[lending_product_transform]],[3]Mapping!$B$3:$D$37,3,0)</f>
        <v>cashloan</v>
      </c>
      <c r="I10161" s="143">
        <v>0</v>
      </c>
    </row>
    <row r="10162" spans="1:9" x14ac:dyDescent="0.2">
      <c r="A10162" s="134">
        <v>45959</v>
      </c>
      <c r="B10162" s="135">
        <f>YEAR(source[[#This Row],[report_date]])</f>
        <v>2025</v>
      </c>
      <c r="C10162" s="128">
        <f t="shared" si="472"/>
        <v>10</v>
      </c>
      <c r="D10162" s="136">
        <f t="shared" si="474"/>
        <v>44</v>
      </c>
      <c r="E10162" s="136">
        <f t="shared" si="473"/>
        <v>29</v>
      </c>
      <c r="F10162" s="137" t="s">
        <v>24</v>
      </c>
      <c r="G10162" s="128" t="str">
        <f>VLOOKUP(source[[#This Row],[lending_product_transform]],[3]Mapping!$B$4:$C$37,2,0)</f>
        <v>[Cake] - Cashloan</v>
      </c>
      <c r="H10162" s="128" t="str">
        <f>VLOOKUP(source[[#This Row],[lending_product_transform]],[3]Mapping!$B$3:$D$37,3,0)</f>
        <v>cashloan</v>
      </c>
      <c r="I10162" s="143">
        <v>0</v>
      </c>
    </row>
    <row r="10163" spans="1:9" x14ac:dyDescent="0.2">
      <c r="A10163" s="134">
        <v>45959</v>
      </c>
      <c r="B10163" s="135">
        <f>YEAR(source[[#This Row],[report_date]])</f>
        <v>2025</v>
      </c>
      <c r="C10163" s="128">
        <f t="shared" si="472"/>
        <v>10</v>
      </c>
      <c r="D10163" s="136">
        <f t="shared" si="474"/>
        <v>44</v>
      </c>
      <c r="E10163" s="136">
        <f t="shared" si="473"/>
        <v>29</v>
      </c>
      <c r="F10163" s="137" t="s">
        <v>24</v>
      </c>
      <c r="G10163" s="128" t="str">
        <f>VLOOKUP(source[[#This Row],[lending_product_transform]],[3]Mapping!$B$4:$C$37,2,0)</f>
        <v>[Cake] - Cashloan</v>
      </c>
      <c r="H10163" s="128" t="str">
        <f>VLOOKUP(source[[#This Row],[lending_product_transform]],[3]Mapping!$B$3:$D$37,3,0)</f>
        <v>cashloan</v>
      </c>
      <c r="I10163" s="143">
        <v>8617752000</v>
      </c>
    </row>
    <row r="10164" spans="1:9" x14ac:dyDescent="0.2">
      <c r="A10164" s="134">
        <v>45959</v>
      </c>
      <c r="B10164" s="135">
        <f>YEAR(source[[#This Row],[report_date]])</f>
        <v>2025</v>
      </c>
      <c r="C10164" s="128">
        <f t="shared" si="472"/>
        <v>10</v>
      </c>
      <c r="D10164" s="136">
        <f t="shared" si="474"/>
        <v>44</v>
      </c>
      <c r="E10164" s="136">
        <f t="shared" si="473"/>
        <v>29</v>
      </c>
      <c r="F10164" s="137" t="s">
        <v>24</v>
      </c>
      <c r="G10164" s="128" t="str">
        <f>VLOOKUP(source[[#This Row],[lending_product_transform]],[3]Mapping!$B$4:$C$37,2,0)</f>
        <v>[Cake] - Cashloan</v>
      </c>
      <c r="H10164" s="128" t="str">
        <f>VLOOKUP(source[[#This Row],[lending_product_transform]],[3]Mapping!$B$3:$D$37,3,0)</f>
        <v>cashloan</v>
      </c>
      <c r="I10164" s="143">
        <v>188504647</v>
      </c>
    </row>
    <row r="10165" spans="1:9" x14ac:dyDescent="0.2">
      <c r="A10165" s="134">
        <v>45959</v>
      </c>
      <c r="B10165" s="135">
        <f>YEAR(source[[#This Row],[report_date]])</f>
        <v>2025</v>
      </c>
      <c r="C10165" s="128">
        <f t="shared" si="472"/>
        <v>10</v>
      </c>
      <c r="D10165" s="136">
        <f t="shared" si="474"/>
        <v>44</v>
      </c>
      <c r="E10165" s="136">
        <f t="shared" si="473"/>
        <v>29</v>
      </c>
      <c r="F10165" s="137" t="s">
        <v>24</v>
      </c>
      <c r="G10165" s="128" t="str">
        <f>VLOOKUP(source[[#This Row],[lending_product_transform]],[3]Mapping!$B$4:$C$37,2,0)</f>
        <v>[Cake] - Cashloan</v>
      </c>
      <c r="H10165" s="128" t="str">
        <f>VLOOKUP(source[[#This Row],[lending_product_transform]],[3]Mapping!$B$3:$D$37,3,0)</f>
        <v>cashloan</v>
      </c>
      <c r="I10165" s="143">
        <v>0</v>
      </c>
    </row>
    <row r="10166" spans="1:9" x14ac:dyDescent="0.2">
      <c r="A10166" s="134">
        <v>45959</v>
      </c>
      <c r="B10166" s="135">
        <f>YEAR(source[[#This Row],[report_date]])</f>
        <v>2025</v>
      </c>
      <c r="C10166" s="128">
        <f t="shared" ref="C10166:C10229" si="475">MONTH(A10166)</f>
        <v>10</v>
      </c>
      <c r="D10166" s="136">
        <f t="shared" si="474"/>
        <v>44</v>
      </c>
      <c r="E10166" s="136">
        <f t="shared" ref="E10166:E10229" si="476">DAY(A10166)</f>
        <v>29</v>
      </c>
      <c r="F10166" s="137" t="s">
        <v>24</v>
      </c>
      <c r="G10166" s="128" t="str">
        <f>VLOOKUP(source[[#This Row],[lending_product_transform]],[3]Mapping!$B$4:$C$37,2,0)</f>
        <v>[Cake] - Cashloan</v>
      </c>
      <c r="H10166" s="128" t="str">
        <f>VLOOKUP(source[[#This Row],[lending_product_transform]],[3]Mapping!$B$3:$D$37,3,0)</f>
        <v>cashloan</v>
      </c>
      <c r="I10166" s="143">
        <v>20000000</v>
      </c>
    </row>
    <row r="10167" spans="1:9" x14ac:dyDescent="0.2">
      <c r="A10167" s="134">
        <v>45959</v>
      </c>
      <c r="B10167" s="135">
        <f>YEAR(source[[#This Row],[report_date]])</f>
        <v>2025</v>
      </c>
      <c r="C10167" s="128">
        <f t="shared" si="475"/>
        <v>10</v>
      </c>
      <c r="D10167" s="136">
        <f t="shared" si="474"/>
        <v>44</v>
      </c>
      <c r="E10167" s="136">
        <f t="shared" si="476"/>
        <v>29</v>
      </c>
      <c r="F10167" s="137" t="s">
        <v>24</v>
      </c>
      <c r="G10167" s="128" t="str">
        <f>VLOOKUP(source[[#This Row],[lending_product_transform]],[3]Mapping!$B$4:$C$37,2,0)</f>
        <v>[Cake] - Cashloan</v>
      </c>
      <c r="H10167" s="128" t="str">
        <f>VLOOKUP(source[[#This Row],[lending_product_transform]],[3]Mapping!$B$3:$D$37,3,0)</f>
        <v>cashloan</v>
      </c>
      <c r="I10167" s="143">
        <v>729410000</v>
      </c>
    </row>
    <row r="10168" spans="1:9" x14ac:dyDescent="0.2">
      <c r="A10168" s="134">
        <v>45959</v>
      </c>
      <c r="B10168" s="135">
        <f>YEAR(source[[#This Row],[report_date]])</f>
        <v>2025</v>
      </c>
      <c r="C10168" s="128">
        <f t="shared" si="475"/>
        <v>10</v>
      </c>
      <c r="D10168" s="136">
        <f t="shared" si="474"/>
        <v>44</v>
      </c>
      <c r="E10168" s="136">
        <f t="shared" si="476"/>
        <v>29</v>
      </c>
      <c r="F10168" s="137" t="s">
        <v>24</v>
      </c>
      <c r="G10168" s="128" t="str">
        <f>VLOOKUP(source[[#This Row],[lending_product_transform]],[3]Mapping!$B$4:$C$37,2,0)</f>
        <v>[Cake] - Cashloan</v>
      </c>
      <c r="H10168" s="128" t="str">
        <f>VLOOKUP(source[[#This Row],[lending_product_transform]],[3]Mapping!$B$3:$D$37,3,0)</f>
        <v>cashloan</v>
      </c>
      <c r="I10168" s="143">
        <v>190080000</v>
      </c>
    </row>
    <row r="10169" spans="1:9" x14ac:dyDescent="0.2">
      <c r="A10169" s="134">
        <v>45959</v>
      </c>
      <c r="B10169" s="135">
        <f>YEAR(source[[#This Row],[report_date]])</f>
        <v>2025</v>
      </c>
      <c r="C10169" s="128">
        <f t="shared" si="475"/>
        <v>10</v>
      </c>
      <c r="D10169" s="136">
        <f t="shared" si="474"/>
        <v>44</v>
      </c>
      <c r="E10169" s="136">
        <f t="shared" si="476"/>
        <v>29</v>
      </c>
      <c r="F10169" s="137" t="s">
        <v>24</v>
      </c>
      <c r="G10169" s="128" t="str">
        <f>VLOOKUP(source[[#This Row],[lending_product_transform]],[3]Mapping!$B$4:$C$37,2,0)</f>
        <v>[Cake] - Cashloan</v>
      </c>
      <c r="H10169" s="128" t="str">
        <f>VLOOKUP(source[[#This Row],[lending_product_transform]],[3]Mapping!$B$3:$D$37,3,0)</f>
        <v>cashloan</v>
      </c>
      <c r="I10169" s="143">
        <v>504866315</v>
      </c>
    </row>
    <row r="10170" spans="1:9" x14ac:dyDescent="0.2">
      <c r="A10170" s="134">
        <v>45959</v>
      </c>
      <c r="B10170" s="135">
        <f>YEAR(source[[#This Row],[report_date]])</f>
        <v>2025</v>
      </c>
      <c r="C10170" s="128">
        <f t="shared" si="475"/>
        <v>10</v>
      </c>
      <c r="D10170" s="136">
        <f t="shared" si="474"/>
        <v>44</v>
      </c>
      <c r="E10170" s="136">
        <f t="shared" si="476"/>
        <v>29</v>
      </c>
      <c r="F10170" s="137" t="s">
        <v>24</v>
      </c>
      <c r="G10170" s="128" t="str">
        <f>VLOOKUP(source[[#This Row],[lending_product_transform]],[3]Mapping!$B$4:$C$37,2,0)</f>
        <v>[Cake] - Cashloan</v>
      </c>
      <c r="H10170" s="128" t="str">
        <f>VLOOKUP(source[[#This Row],[lending_product_transform]],[3]Mapping!$B$3:$D$37,3,0)</f>
        <v>cashloan</v>
      </c>
      <c r="I10170" s="143">
        <v>3664690000</v>
      </c>
    </row>
    <row r="10171" spans="1:9" x14ac:dyDescent="0.2">
      <c r="A10171" s="134">
        <v>45960</v>
      </c>
      <c r="B10171" s="135">
        <f>YEAR(source[[#This Row],[report_date]])</f>
        <v>2025</v>
      </c>
      <c r="C10171" s="128">
        <f t="shared" si="475"/>
        <v>10</v>
      </c>
      <c r="D10171" s="136">
        <f t="shared" si="474"/>
        <v>44</v>
      </c>
      <c r="E10171" s="136">
        <f t="shared" si="476"/>
        <v>30</v>
      </c>
      <c r="F10171" s="137" t="s">
        <v>24</v>
      </c>
      <c r="G10171" s="128" t="str">
        <f>VLOOKUP(source[[#This Row],[lending_product_transform]],[3]Mapping!$B$4:$C$37,2,0)</f>
        <v>[Cake] - Cashloan</v>
      </c>
      <c r="H10171" s="128" t="str">
        <f>VLOOKUP(source[[#This Row],[lending_product_transform]],[3]Mapping!$B$3:$D$37,3,0)</f>
        <v>cashloan</v>
      </c>
      <c r="I10171" s="143">
        <v>110800000</v>
      </c>
    </row>
    <row r="10172" spans="1:9" x14ac:dyDescent="0.2">
      <c r="A10172" s="134">
        <v>45960</v>
      </c>
      <c r="B10172" s="135">
        <f>YEAR(source[[#This Row],[report_date]])</f>
        <v>2025</v>
      </c>
      <c r="C10172" s="128">
        <f t="shared" si="475"/>
        <v>10</v>
      </c>
      <c r="D10172" s="136">
        <f t="shared" si="474"/>
        <v>44</v>
      </c>
      <c r="E10172" s="136">
        <f t="shared" si="476"/>
        <v>30</v>
      </c>
      <c r="F10172" s="137" t="s">
        <v>24</v>
      </c>
      <c r="G10172" s="128" t="str">
        <f>VLOOKUP(source[[#This Row],[lending_product_transform]],[3]Mapping!$B$4:$C$37,2,0)</f>
        <v>[Cake] - Cashloan</v>
      </c>
      <c r="H10172" s="128" t="str">
        <f>VLOOKUP(source[[#This Row],[lending_product_transform]],[3]Mapping!$B$3:$D$37,3,0)</f>
        <v>cashloan</v>
      </c>
      <c r="I10172" s="143">
        <v>260473982</v>
      </c>
    </row>
    <row r="10173" spans="1:9" x14ac:dyDescent="0.2">
      <c r="A10173" s="134">
        <v>45960</v>
      </c>
      <c r="B10173" s="135">
        <f>YEAR(source[[#This Row],[report_date]])</f>
        <v>2025</v>
      </c>
      <c r="C10173" s="128">
        <f t="shared" si="475"/>
        <v>10</v>
      </c>
      <c r="D10173" s="136">
        <f t="shared" si="474"/>
        <v>44</v>
      </c>
      <c r="E10173" s="136">
        <f t="shared" si="476"/>
        <v>30</v>
      </c>
      <c r="F10173" s="137" t="s">
        <v>24</v>
      </c>
      <c r="G10173" s="128" t="str">
        <f>VLOOKUP(source[[#This Row],[lending_product_transform]],[3]Mapping!$B$4:$C$37,2,0)</f>
        <v>[Cake] - Cashloan</v>
      </c>
      <c r="H10173" s="128" t="str">
        <f>VLOOKUP(source[[#This Row],[lending_product_transform]],[3]Mapping!$B$3:$D$37,3,0)</f>
        <v>cashloan</v>
      </c>
      <c r="I10173" s="143">
        <v>13975240000</v>
      </c>
    </row>
    <row r="10174" spans="1:9" x14ac:dyDescent="0.2">
      <c r="A10174" s="134">
        <v>45960</v>
      </c>
      <c r="B10174" s="135">
        <f>YEAR(source[[#This Row],[report_date]])</f>
        <v>2025</v>
      </c>
      <c r="C10174" s="128">
        <f t="shared" si="475"/>
        <v>10</v>
      </c>
      <c r="D10174" s="136">
        <f t="shared" si="474"/>
        <v>44</v>
      </c>
      <c r="E10174" s="136">
        <f t="shared" si="476"/>
        <v>30</v>
      </c>
      <c r="F10174" s="137" t="s">
        <v>24</v>
      </c>
      <c r="G10174" s="128" t="str">
        <f>VLOOKUP(source[[#This Row],[lending_product_transform]],[3]Mapping!$B$4:$C$37,2,0)</f>
        <v>[Cake] - Cashloan</v>
      </c>
      <c r="H10174" s="128" t="str">
        <f>VLOOKUP(source[[#This Row],[lending_product_transform]],[3]Mapping!$B$3:$D$37,3,0)</f>
        <v>cashloan</v>
      </c>
      <c r="I10174" s="143">
        <v>2466995930</v>
      </c>
    </row>
    <row r="10175" spans="1:9" x14ac:dyDescent="0.2">
      <c r="A10175" s="134">
        <v>45960</v>
      </c>
      <c r="B10175" s="135">
        <f>YEAR(source[[#This Row],[report_date]])</f>
        <v>2025</v>
      </c>
      <c r="C10175" s="128">
        <f t="shared" si="475"/>
        <v>10</v>
      </c>
      <c r="D10175" s="136">
        <f t="shared" si="474"/>
        <v>44</v>
      </c>
      <c r="E10175" s="136">
        <f t="shared" si="476"/>
        <v>30</v>
      </c>
      <c r="F10175" s="137" t="s">
        <v>24</v>
      </c>
      <c r="G10175" s="128" t="str">
        <f>VLOOKUP(source[[#This Row],[lending_product_transform]],[3]Mapping!$B$4:$C$37,2,0)</f>
        <v>[Cake] - Cashloan</v>
      </c>
      <c r="H10175" s="128" t="str">
        <f>VLOOKUP(source[[#This Row],[lending_product_transform]],[3]Mapping!$B$3:$D$37,3,0)</f>
        <v>cashloan</v>
      </c>
      <c r="I10175" s="143">
        <v>7936920000</v>
      </c>
    </row>
    <row r="10176" spans="1:9" x14ac:dyDescent="0.2">
      <c r="A10176" s="134">
        <v>45960</v>
      </c>
      <c r="B10176" s="135">
        <f>YEAR(source[[#This Row],[report_date]])</f>
        <v>2025</v>
      </c>
      <c r="C10176" s="128">
        <f t="shared" si="475"/>
        <v>10</v>
      </c>
      <c r="D10176" s="136">
        <f t="shared" si="474"/>
        <v>44</v>
      </c>
      <c r="E10176" s="136">
        <f t="shared" si="476"/>
        <v>30</v>
      </c>
      <c r="F10176" s="137" t="s">
        <v>24</v>
      </c>
      <c r="G10176" s="128" t="str">
        <f>VLOOKUP(source[[#This Row],[lending_product_transform]],[3]Mapping!$B$4:$C$37,2,0)</f>
        <v>[Cake] - Cashloan</v>
      </c>
      <c r="H10176" s="128" t="str">
        <f>VLOOKUP(source[[#This Row],[lending_product_transform]],[3]Mapping!$B$3:$D$37,3,0)</f>
        <v>cashloan</v>
      </c>
      <c r="I10176" s="143">
        <v>27173372</v>
      </c>
    </row>
    <row r="10177" spans="1:9" x14ac:dyDescent="0.2">
      <c r="A10177" s="134">
        <v>45960</v>
      </c>
      <c r="B10177" s="135">
        <f>YEAR(source[[#This Row],[report_date]])</f>
        <v>2025</v>
      </c>
      <c r="C10177" s="128">
        <f t="shared" si="475"/>
        <v>10</v>
      </c>
      <c r="D10177" s="136">
        <f t="shared" si="474"/>
        <v>44</v>
      </c>
      <c r="E10177" s="136">
        <f t="shared" si="476"/>
        <v>30</v>
      </c>
      <c r="F10177" s="137" t="s">
        <v>24</v>
      </c>
      <c r="G10177" s="128" t="str">
        <f>VLOOKUP(source[[#This Row],[lending_product_transform]],[3]Mapping!$B$4:$C$37,2,0)</f>
        <v>[Cake] - Cashloan</v>
      </c>
      <c r="H10177" s="128" t="str">
        <f>VLOOKUP(source[[#This Row],[lending_product_transform]],[3]Mapping!$B$3:$D$37,3,0)</f>
        <v>cashloan</v>
      </c>
      <c r="I10177" s="143">
        <v>1819880000</v>
      </c>
    </row>
    <row r="10178" spans="1:9" x14ac:dyDescent="0.2">
      <c r="A10178" s="134">
        <v>45960</v>
      </c>
      <c r="B10178" s="135">
        <f>YEAR(source[[#This Row],[report_date]])</f>
        <v>2025</v>
      </c>
      <c r="C10178" s="128">
        <f t="shared" si="475"/>
        <v>10</v>
      </c>
      <c r="D10178" s="136">
        <f t="shared" si="474"/>
        <v>44</v>
      </c>
      <c r="E10178" s="136">
        <f t="shared" si="476"/>
        <v>30</v>
      </c>
      <c r="F10178" s="137" t="s">
        <v>24</v>
      </c>
      <c r="G10178" s="128" t="str">
        <f>VLOOKUP(source[[#This Row],[lending_product_transform]],[3]Mapping!$B$4:$C$37,2,0)</f>
        <v>[Cake] - Cashloan</v>
      </c>
      <c r="H10178" s="128" t="str">
        <f>VLOOKUP(source[[#This Row],[lending_product_transform]],[3]Mapping!$B$3:$D$37,3,0)</f>
        <v>cashloan</v>
      </c>
      <c r="I10178" s="143">
        <v>35392000</v>
      </c>
    </row>
    <row r="10179" spans="1:9" x14ac:dyDescent="0.2">
      <c r="A10179" s="134">
        <v>45960</v>
      </c>
      <c r="B10179" s="135">
        <f>YEAR(source[[#This Row],[report_date]])</f>
        <v>2025</v>
      </c>
      <c r="C10179" s="128">
        <f t="shared" si="475"/>
        <v>10</v>
      </c>
      <c r="D10179" s="136">
        <f t="shared" ref="D10179:D10242" si="477">WEEKNUM(A10179,2)</f>
        <v>44</v>
      </c>
      <c r="E10179" s="136">
        <f t="shared" si="476"/>
        <v>30</v>
      </c>
      <c r="F10179" s="137" t="s">
        <v>24</v>
      </c>
      <c r="G10179" s="128" t="str">
        <f>VLOOKUP(source[[#This Row],[lending_product_transform]],[3]Mapping!$B$4:$C$37,2,0)</f>
        <v>[Cake] - Cashloan</v>
      </c>
      <c r="H10179" s="128" t="str">
        <f>VLOOKUP(source[[#This Row],[lending_product_transform]],[3]Mapping!$B$3:$D$37,3,0)</f>
        <v>cashloan</v>
      </c>
      <c r="I10179" s="143">
        <v>461105704</v>
      </c>
    </row>
    <row r="10180" spans="1:9" x14ac:dyDescent="0.2">
      <c r="A10180" s="134">
        <v>45960</v>
      </c>
      <c r="B10180" s="135">
        <f>YEAR(source[[#This Row],[report_date]])</f>
        <v>2025</v>
      </c>
      <c r="C10180" s="128">
        <f t="shared" si="475"/>
        <v>10</v>
      </c>
      <c r="D10180" s="136">
        <f t="shared" si="477"/>
        <v>44</v>
      </c>
      <c r="E10180" s="136">
        <f t="shared" si="476"/>
        <v>30</v>
      </c>
      <c r="F10180" s="137" t="s">
        <v>24</v>
      </c>
      <c r="G10180" s="128" t="str">
        <f>VLOOKUP(source[[#This Row],[lending_product_transform]],[3]Mapping!$B$4:$C$37,2,0)</f>
        <v>[Cake] - Cashloan</v>
      </c>
      <c r="H10180" s="128" t="str">
        <f>VLOOKUP(source[[#This Row],[lending_product_transform]],[3]Mapping!$B$3:$D$37,3,0)</f>
        <v>cashloan</v>
      </c>
      <c r="I10180" s="143">
        <v>0</v>
      </c>
    </row>
    <row r="10181" spans="1:9" x14ac:dyDescent="0.2">
      <c r="A10181" s="134">
        <v>45960</v>
      </c>
      <c r="B10181" s="135">
        <f>YEAR(source[[#This Row],[report_date]])</f>
        <v>2025</v>
      </c>
      <c r="C10181" s="128">
        <f t="shared" si="475"/>
        <v>10</v>
      </c>
      <c r="D10181" s="136">
        <f t="shared" si="477"/>
        <v>44</v>
      </c>
      <c r="E10181" s="136">
        <f t="shared" si="476"/>
        <v>30</v>
      </c>
      <c r="F10181" s="137" t="s">
        <v>24</v>
      </c>
      <c r="G10181" s="128" t="str">
        <f>VLOOKUP(source[[#This Row],[lending_product_transform]],[3]Mapping!$B$4:$C$37,2,0)</f>
        <v>[Cake] - Cashloan</v>
      </c>
      <c r="H10181" s="128" t="str">
        <f>VLOOKUP(source[[#This Row],[lending_product_transform]],[3]Mapping!$B$3:$D$37,3,0)</f>
        <v>cashloan</v>
      </c>
      <c r="I10181" s="143">
        <v>291500000</v>
      </c>
    </row>
    <row r="10182" spans="1:9" x14ac:dyDescent="0.2">
      <c r="A10182" s="134">
        <v>45960</v>
      </c>
      <c r="B10182" s="135">
        <f>YEAR(source[[#This Row],[report_date]])</f>
        <v>2025</v>
      </c>
      <c r="C10182" s="128">
        <f t="shared" si="475"/>
        <v>10</v>
      </c>
      <c r="D10182" s="136">
        <f t="shared" si="477"/>
        <v>44</v>
      </c>
      <c r="E10182" s="136">
        <f t="shared" si="476"/>
        <v>30</v>
      </c>
      <c r="F10182" s="137" t="s">
        <v>24</v>
      </c>
      <c r="G10182" s="128" t="str">
        <f>VLOOKUP(source[[#This Row],[lending_product_transform]],[3]Mapping!$B$4:$C$37,2,0)</f>
        <v>[Cake] - Cashloan</v>
      </c>
      <c r="H10182" s="128" t="str">
        <f>VLOOKUP(source[[#This Row],[lending_product_transform]],[3]Mapping!$B$3:$D$37,3,0)</f>
        <v>cashloan</v>
      </c>
      <c r="I10182" s="143">
        <v>14692740000</v>
      </c>
    </row>
    <row r="10183" spans="1:9" x14ac:dyDescent="0.2">
      <c r="A10183" s="134">
        <v>45960</v>
      </c>
      <c r="B10183" s="135">
        <f>YEAR(source[[#This Row],[report_date]])</f>
        <v>2025</v>
      </c>
      <c r="C10183" s="128">
        <f t="shared" si="475"/>
        <v>10</v>
      </c>
      <c r="D10183" s="136">
        <f t="shared" si="477"/>
        <v>44</v>
      </c>
      <c r="E10183" s="136">
        <f t="shared" si="476"/>
        <v>30</v>
      </c>
      <c r="F10183" s="137" t="s">
        <v>24</v>
      </c>
      <c r="G10183" s="128" t="str">
        <f>VLOOKUP(source[[#This Row],[lending_product_transform]],[3]Mapping!$B$4:$C$37,2,0)</f>
        <v>[Cake] - Cashloan</v>
      </c>
      <c r="H10183" s="128" t="str">
        <f>VLOOKUP(source[[#This Row],[lending_product_transform]],[3]Mapping!$B$3:$D$37,3,0)</f>
        <v>cashloan</v>
      </c>
      <c r="I10183" s="143">
        <v>0</v>
      </c>
    </row>
    <row r="10184" spans="1:9" x14ac:dyDescent="0.2">
      <c r="A10184" s="134">
        <v>45960</v>
      </c>
      <c r="B10184" s="135">
        <f>YEAR(source[[#This Row],[report_date]])</f>
        <v>2025</v>
      </c>
      <c r="C10184" s="128">
        <f t="shared" si="475"/>
        <v>10</v>
      </c>
      <c r="D10184" s="136">
        <f t="shared" si="477"/>
        <v>44</v>
      </c>
      <c r="E10184" s="136">
        <f t="shared" si="476"/>
        <v>30</v>
      </c>
      <c r="F10184" s="137" t="s">
        <v>24</v>
      </c>
      <c r="G10184" s="128" t="str">
        <f>VLOOKUP(source[[#This Row],[lending_product_transform]],[3]Mapping!$B$4:$C$37,2,0)</f>
        <v>[Cake] - Cashloan</v>
      </c>
      <c r="H10184" s="128" t="str">
        <f>VLOOKUP(source[[#This Row],[lending_product_transform]],[3]Mapping!$B$3:$D$37,3,0)</f>
        <v>cashloan</v>
      </c>
      <c r="I10184" s="143">
        <v>0</v>
      </c>
    </row>
    <row r="10185" spans="1:9" x14ac:dyDescent="0.2">
      <c r="A10185" s="134">
        <v>45960</v>
      </c>
      <c r="B10185" s="135">
        <f>YEAR(source[[#This Row],[report_date]])</f>
        <v>2025</v>
      </c>
      <c r="C10185" s="128">
        <f t="shared" si="475"/>
        <v>10</v>
      </c>
      <c r="D10185" s="136">
        <f t="shared" si="477"/>
        <v>44</v>
      </c>
      <c r="E10185" s="136">
        <f t="shared" si="476"/>
        <v>30</v>
      </c>
      <c r="F10185" s="137" t="s">
        <v>24</v>
      </c>
      <c r="G10185" s="128" t="str">
        <f>VLOOKUP(source[[#This Row],[lending_product_transform]],[3]Mapping!$B$4:$C$37,2,0)</f>
        <v>[Cake] - Cashloan</v>
      </c>
      <c r="H10185" s="128" t="str">
        <f>VLOOKUP(source[[#This Row],[lending_product_transform]],[3]Mapping!$B$3:$D$37,3,0)</f>
        <v>cashloan</v>
      </c>
      <c r="I10185" s="143">
        <v>0</v>
      </c>
    </row>
    <row r="10186" spans="1:9" x14ac:dyDescent="0.2">
      <c r="A10186" s="134">
        <v>45960</v>
      </c>
      <c r="B10186" s="135">
        <f>YEAR(source[[#This Row],[report_date]])</f>
        <v>2025</v>
      </c>
      <c r="C10186" s="128">
        <f t="shared" si="475"/>
        <v>10</v>
      </c>
      <c r="D10186" s="136">
        <f t="shared" si="477"/>
        <v>44</v>
      </c>
      <c r="E10186" s="136">
        <f t="shared" si="476"/>
        <v>30</v>
      </c>
      <c r="F10186" s="137" t="s">
        <v>24</v>
      </c>
      <c r="G10186" s="128" t="str">
        <f>VLOOKUP(source[[#This Row],[lending_product_transform]],[3]Mapping!$B$4:$C$37,2,0)</f>
        <v>[Cake] - Cashloan</v>
      </c>
      <c r="H10186" s="128" t="str">
        <f>VLOOKUP(source[[#This Row],[lending_product_transform]],[3]Mapping!$B$3:$D$37,3,0)</f>
        <v>cashloan</v>
      </c>
      <c r="I10186" s="143">
        <v>32100000</v>
      </c>
    </row>
    <row r="10187" spans="1:9" x14ac:dyDescent="0.2">
      <c r="A10187" s="134">
        <v>45960</v>
      </c>
      <c r="B10187" s="135">
        <f>YEAR(source[[#This Row],[report_date]])</f>
        <v>2025</v>
      </c>
      <c r="C10187" s="128">
        <f t="shared" si="475"/>
        <v>10</v>
      </c>
      <c r="D10187" s="136">
        <f t="shared" si="477"/>
        <v>44</v>
      </c>
      <c r="E10187" s="136">
        <f t="shared" si="476"/>
        <v>30</v>
      </c>
      <c r="F10187" s="137" t="s">
        <v>24</v>
      </c>
      <c r="G10187" s="128" t="str">
        <f>VLOOKUP(source[[#This Row],[lending_product_transform]],[3]Mapping!$B$4:$C$37,2,0)</f>
        <v>[Cake] - Cashloan</v>
      </c>
      <c r="H10187" s="128" t="str">
        <f>VLOOKUP(source[[#This Row],[lending_product_transform]],[3]Mapping!$B$3:$D$37,3,0)</f>
        <v>cashloan</v>
      </c>
      <c r="I10187" s="143">
        <v>9041112000</v>
      </c>
    </row>
    <row r="10188" spans="1:9" x14ac:dyDescent="0.2">
      <c r="A10188" s="134">
        <v>45960</v>
      </c>
      <c r="B10188" s="135">
        <f>YEAR(source[[#This Row],[report_date]])</f>
        <v>2025</v>
      </c>
      <c r="C10188" s="128">
        <f t="shared" si="475"/>
        <v>10</v>
      </c>
      <c r="D10188" s="136">
        <f t="shared" si="477"/>
        <v>44</v>
      </c>
      <c r="E10188" s="136">
        <f t="shared" si="476"/>
        <v>30</v>
      </c>
      <c r="F10188" s="137" t="s">
        <v>24</v>
      </c>
      <c r="G10188" s="128" t="str">
        <f>VLOOKUP(source[[#This Row],[lending_product_transform]],[3]Mapping!$B$4:$C$37,2,0)</f>
        <v>[Cake] - Cashloan</v>
      </c>
      <c r="H10188" s="128" t="str">
        <f>VLOOKUP(source[[#This Row],[lending_product_transform]],[3]Mapping!$B$3:$D$37,3,0)</f>
        <v>cashloan</v>
      </c>
      <c r="I10188" s="143">
        <v>216989315</v>
      </c>
    </row>
    <row r="10189" spans="1:9" x14ac:dyDescent="0.2">
      <c r="A10189" s="134">
        <v>45960</v>
      </c>
      <c r="B10189" s="135">
        <f>YEAR(source[[#This Row],[report_date]])</f>
        <v>2025</v>
      </c>
      <c r="C10189" s="128">
        <f t="shared" si="475"/>
        <v>10</v>
      </c>
      <c r="D10189" s="136">
        <f t="shared" si="477"/>
        <v>44</v>
      </c>
      <c r="E10189" s="136">
        <f t="shared" si="476"/>
        <v>30</v>
      </c>
      <c r="F10189" s="137" t="s">
        <v>24</v>
      </c>
      <c r="G10189" s="128" t="str">
        <f>VLOOKUP(source[[#This Row],[lending_product_transform]],[3]Mapping!$B$4:$C$37,2,0)</f>
        <v>[Cake] - Cashloan</v>
      </c>
      <c r="H10189" s="128" t="str">
        <f>VLOOKUP(source[[#This Row],[lending_product_transform]],[3]Mapping!$B$3:$D$37,3,0)</f>
        <v>cashloan</v>
      </c>
      <c r="I10189" s="143">
        <v>0</v>
      </c>
    </row>
    <row r="10190" spans="1:9" x14ac:dyDescent="0.2">
      <c r="A10190" s="134">
        <v>45960</v>
      </c>
      <c r="B10190" s="135">
        <f>YEAR(source[[#This Row],[report_date]])</f>
        <v>2025</v>
      </c>
      <c r="C10190" s="128">
        <f t="shared" si="475"/>
        <v>10</v>
      </c>
      <c r="D10190" s="136">
        <f t="shared" si="477"/>
        <v>44</v>
      </c>
      <c r="E10190" s="136">
        <f t="shared" si="476"/>
        <v>30</v>
      </c>
      <c r="F10190" s="137" t="s">
        <v>24</v>
      </c>
      <c r="G10190" s="128" t="str">
        <f>VLOOKUP(source[[#This Row],[lending_product_transform]],[3]Mapping!$B$4:$C$37,2,0)</f>
        <v>[Cake] - Cashloan</v>
      </c>
      <c r="H10190" s="128" t="str">
        <f>VLOOKUP(source[[#This Row],[lending_product_transform]],[3]Mapping!$B$3:$D$37,3,0)</f>
        <v>cashloan</v>
      </c>
      <c r="I10190" s="143">
        <v>47000000</v>
      </c>
    </row>
    <row r="10191" spans="1:9" x14ac:dyDescent="0.2">
      <c r="A10191" s="134">
        <v>45960</v>
      </c>
      <c r="B10191" s="135">
        <f>YEAR(source[[#This Row],[report_date]])</f>
        <v>2025</v>
      </c>
      <c r="C10191" s="128">
        <f t="shared" si="475"/>
        <v>10</v>
      </c>
      <c r="D10191" s="136">
        <f t="shared" si="477"/>
        <v>44</v>
      </c>
      <c r="E10191" s="136">
        <f t="shared" si="476"/>
        <v>30</v>
      </c>
      <c r="F10191" s="137" t="s">
        <v>24</v>
      </c>
      <c r="G10191" s="128" t="str">
        <f>VLOOKUP(source[[#This Row],[lending_product_transform]],[3]Mapping!$B$4:$C$37,2,0)</f>
        <v>[Cake] - Cashloan</v>
      </c>
      <c r="H10191" s="128" t="str">
        <f>VLOOKUP(source[[#This Row],[lending_product_transform]],[3]Mapping!$B$3:$D$37,3,0)</f>
        <v>cashloan</v>
      </c>
      <c r="I10191" s="143">
        <v>908180000</v>
      </c>
    </row>
    <row r="10192" spans="1:9" x14ac:dyDescent="0.2">
      <c r="A10192" s="134">
        <v>45960</v>
      </c>
      <c r="B10192" s="135">
        <f>YEAR(source[[#This Row],[report_date]])</f>
        <v>2025</v>
      </c>
      <c r="C10192" s="128">
        <f t="shared" si="475"/>
        <v>10</v>
      </c>
      <c r="D10192" s="136">
        <f t="shared" si="477"/>
        <v>44</v>
      </c>
      <c r="E10192" s="136">
        <f t="shared" si="476"/>
        <v>30</v>
      </c>
      <c r="F10192" s="137" t="s">
        <v>24</v>
      </c>
      <c r="G10192" s="128" t="str">
        <f>VLOOKUP(source[[#This Row],[lending_product_transform]],[3]Mapping!$B$4:$C$37,2,0)</f>
        <v>[Cake] - Cashloan</v>
      </c>
      <c r="H10192" s="128" t="str">
        <f>VLOOKUP(source[[#This Row],[lending_product_transform]],[3]Mapping!$B$3:$D$37,3,0)</f>
        <v>cashloan</v>
      </c>
      <c r="I10192" s="143">
        <v>224640000</v>
      </c>
    </row>
    <row r="10193" spans="1:9" x14ac:dyDescent="0.2">
      <c r="A10193" s="134">
        <v>45960</v>
      </c>
      <c r="B10193" s="135">
        <f>YEAR(source[[#This Row],[report_date]])</f>
        <v>2025</v>
      </c>
      <c r="C10193" s="128">
        <f t="shared" si="475"/>
        <v>10</v>
      </c>
      <c r="D10193" s="136">
        <f t="shared" si="477"/>
        <v>44</v>
      </c>
      <c r="E10193" s="136">
        <f t="shared" si="476"/>
        <v>30</v>
      </c>
      <c r="F10193" s="137" t="s">
        <v>24</v>
      </c>
      <c r="G10193" s="128" t="str">
        <f>VLOOKUP(source[[#This Row],[lending_product_transform]],[3]Mapping!$B$4:$C$37,2,0)</f>
        <v>[Cake] - Cashloan</v>
      </c>
      <c r="H10193" s="128" t="str">
        <f>VLOOKUP(source[[#This Row],[lending_product_transform]],[3]Mapping!$B$3:$D$37,3,0)</f>
        <v>cashloan</v>
      </c>
      <c r="I10193" s="143">
        <v>467574733</v>
      </c>
    </row>
    <row r="10194" spans="1:9" x14ac:dyDescent="0.2">
      <c r="A10194" s="134">
        <v>45960</v>
      </c>
      <c r="B10194" s="135">
        <f>YEAR(source[[#This Row],[report_date]])</f>
        <v>2025</v>
      </c>
      <c r="C10194" s="128">
        <f t="shared" si="475"/>
        <v>10</v>
      </c>
      <c r="D10194" s="136">
        <f t="shared" si="477"/>
        <v>44</v>
      </c>
      <c r="E10194" s="136">
        <f t="shared" si="476"/>
        <v>30</v>
      </c>
      <c r="F10194" s="137" t="s">
        <v>24</v>
      </c>
      <c r="G10194" s="128" t="str">
        <f>VLOOKUP(source[[#This Row],[lending_product_transform]],[3]Mapping!$B$4:$C$37,2,0)</f>
        <v>[Cake] - Cashloan</v>
      </c>
      <c r="H10194" s="128" t="str">
        <f>VLOOKUP(source[[#This Row],[lending_product_transform]],[3]Mapping!$B$3:$D$37,3,0)</f>
        <v>cashloan</v>
      </c>
      <c r="I10194" s="143">
        <v>3701380000</v>
      </c>
    </row>
    <row r="10195" spans="1:9" x14ac:dyDescent="0.2">
      <c r="A10195" s="134">
        <v>45961</v>
      </c>
      <c r="B10195" s="135">
        <f>YEAR(source[[#This Row],[report_date]])</f>
        <v>2025</v>
      </c>
      <c r="C10195" s="128">
        <f t="shared" si="475"/>
        <v>10</v>
      </c>
      <c r="D10195" s="136">
        <f t="shared" si="477"/>
        <v>44</v>
      </c>
      <c r="E10195" s="136">
        <f t="shared" si="476"/>
        <v>31</v>
      </c>
      <c r="F10195" s="137" t="s">
        <v>24</v>
      </c>
      <c r="G10195" s="128" t="str">
        <f>VLOOKUP(source[[#This Row],[lending_product_transform]],[3]Mapping!$B$4:$C$37,2,0)</f>
        <v>[Cake] - Cashloan</v>
      </c>
      <c r="H10195" s="128" t="str">
        <f>VLOOKUP(source[[#This Row],[lending_product_transform]],[3]Mapping!$B$3:$D$37,3,0)</f>
        <v>cashloan</v>
      </c>
      <c r="I10195" s="143">
        <v>112650000</v>
      </c>
    </row>
    <row r="10196" spans="1:9" x14ac:dyDescent="0.2">
      <c r="A10196" s="134">
        <v>45961</v>
      </c>
      <c r="B10196" s="135">
        <f>YEAR(source[[#This Row],[report_date]])</f>
        <v>2025</v>
      </c>
      <c r="C10196" s="128">
        <f t="shared" si="475"/>
        <v>10</v>
      </c>
      <c r="D10196" s="136">
        <f t="shared" si="477"/>
        <v>44</v>
      </c>
      <c r="E10196" s="136">
        <f t="shared" si="476"/>
        <v>31</v>
      </c>
      <c r="F10196" s="137" t="s">
        <v>24</v>
      </c>
      <c r="G10196" s="128" t="str">
        <f>VLOOKUP(source[[#This Row],[lending_product_transform]],[3]Mapping!$B$4:$C$37,2,0)</f>
        <v>[Cake] - Cashloan</v>
      </c>
      <c r="H10196" s="128" t="str">
        <f>VLOOKUP(source[[#This Row],[lending_product_transform]],[3]Mapping!$B$3:$D$37,3,0)</f>
        <v>cashloan</v>
      </c>
      <c r="I10196" s="143">
        <v>327648695</v>
      </c>
    </row>
    <row r="10197" spans="1:9" x14ac:dyDescent="0.2">
      <c r="A10197" s="134">
        <v>45961</v>
      </c>
      <c r="B10197" s="135">
        <f>YEAR(source[[#This Row],[report_date]])</f>
        <v>2025</v>
      </c>
      <c r="C10197" s="128">
        <f t="shared" si="475"/>
        <v>10</v>
      </c>
      <c r="D10197" s="136">
        <f t="shared" si="477"/>
        <v>44</v>
      </c>
      <c r="E10197" s="136">
        <f t="shared" si="476"/>
        <v>31</v>
      </c>
      <c r="F10197" s="137" t="s">
        <v>24</v>
      </c>
      <c r="G10197" s="128" t="str">
        <f>VLOOKUP(source[[#This Row],[lending_product_transform]],[3]Mapping!$B$4:$C$37,2,0)</f>
        <v>[Cake] - Cashloan</v>
      </c>
      <c r="H10197" s="128" t="str">
        <f>VLOOKUP(source[[#This Row],[lending_product_transform]],[3]Mapping!$B$3:$D$37,3,0)</f>
        <v>cashloan</v>
      </c>
      <c r="I10197" s="143">
        <v>13447930000</v>
      </c>
    </row>
    <row r="10198" spans="1:9" x14ac:dyDescent="0.2">
      <c r="A10198" s="134">
        <v>45961</v>
      </c>
      <c r="B10198" s="135">
        <f>YEAR(source[[#This Row],[report_date]])</f>
        <v>2025</v>
      </c>
      <c r="C10198" s="128">
        <f t="shared" si="475"/>
        <v>10</v>
      </c>
      <c r="D10198" s="136">
        <f t="shared" si="477"/>
        <v>44</v>
      </c>
      <c r="E10198" s="136">
        <f t="shared" si="476"/>
        <v>31</v>
      </c>
      <c r="F10198" s="137" t="s">
        <v>24</v>
      </c>
      <c r="G10198" s="128" t="str">
        <f>VLOOKUP(source[[#This Row],[lending_product_transform]],[3]Mapping!$B$4:$C$37,2,0)</f>
        <v>[Cake] - Cashloan</v>
      </c>
      <c r="H10198" s="128" t="str">
        <f>VLOOKUP(source[[#This Row],[lending_product_transform]],[3]Mapping!$B$3:$D$37,3,0)</f>
        <v>cashloan</v>
      </c>
      <c r="I10198" s="143">
        <v>2704510422</v>
      </c>
    </row>
    <row r="10199" spans="1:9" x14ac:dyDescent="0.2">
      <c r="A10199" s="134">
        <v>45961</v>
      </c>
      <c r="B10199" s="135">
        <f>YEAR(source[[#This Row],[report_date]])</f>
        <v>2025</v>
      </c>
      <c r="C10199" s="128">
        <f t="shared" si="475"/>
        <v>10</v>
      </c>
      <c r="D10199" s="136">
        <f t="shared" si="477"/>
        <v>44</v>
      </c>
      <c r="E10199" s="136">
        <f t="shared" si="476"/>
        <v>31</v>
      </c>
      <c r="F10199" s="137" t="s">
        <v>24</v>
      </c>
      <c r="G10199" s="128" t="str">
        <f>VLOOKUP(source[[#This Row],[lending_product_transform]],[3]Mapping!$B$4:$C$37,2,0)</f>
        <v>[Cake] - Cashloan</v>
      </c>
      <c r="H10199" s="128" t="str">
        <f>VLOOKUP(source[[#This Row],[lending_product_transform]],[3]Mapping!$B$3:$D$37,3,0)</f>
        <v>cashloan</v>
      </c>
      <c r="I10199" s="143">
        <v>8254656000</v>
      </c>
    </row>
    <row r="10200" spans="1:9" x14ac:dyDescent="0.2">
      <c r="A10200" s="134">
        <v>45961</v>
      </c>
      <c r="B10200" s="135">
        <f>YEAR(source[[#This Row],[report_date]])</f>
        <v>2025</v>
      </c>
      <c r="C10200" s="128">
        <f t="shared" si="475"/>
        <v>10</v>
      </c>
      <c r="D10200" s="136">
        <f t="shared" si="477"/>
        <v>44</v>
      </c>
      <c r="E10200" s="136">
        <f t="shared" si="476"/>
        <v>31</v>
      </c>
      <c r="F10200" s="137" t="s">
        <v>24</v>
      </c>
      <c r="G10200" s="128" t="str">
        <f>VLOOKUP(source[[#This Row],[lending_product_transform]],[3]Mapping!$B$4:$C$37,2,0)</f>
        <v>[Cake] - Cashloan</v>
      </c>
      <c r="H10200" s="128" t="str">
        <f>VLOOKUP(source[[#This Row],[lending_product_transform]],[3]Mapping!$B$3:$D$37,3,0)</f>
        <v>cashloan</v>
      </c>
      <c r="I10200" s="143">
        <v>11200736</v>
      </c>
    </row>
    <row r="10201" spans="1:9" x14ac:dyDescent="0.2">
      <c r="A10201" s="134">
        <v>45961</v>
      </c>
      <c r="B10201" s="135">
        <f>YEAR(source[[#This Row],[report_date]])</f>
        <v>2025</v>
      </c>
      <c r="C10201" s="128">
        <f t="shared" si="475"/>
        <v>10</v>
      </c>
      <c r="D10201" s="136">
        <f t="shared" si="477"/>
        <v>44</v>
      </c>
      <c r="E10201" s="136">
        <f t="shared" si="476"/>
        <v>31</v>
      </c>
      <c r="F10201" s="137" t="s">
        <v>24</v>
      </c>
      <c r="G10201" s="128" t="str">
        <f>VLOOKUP(source[[#This Row],[lending_product_transform]],[3]Mapping!$B$4:$C$37,2,0)</f>
        <v>[Cake] - Cashloan</v>
      </c>
      <c r="H10201" s="128" t="str">
        <f>VLOOKUP(source[[#This Row],[lending_product_transform]],[3]Mapping!$B$3:$D$37,3,0)</f>
        <v>cashloan</v>
      </c>
      <c r="I10201" s="143">
        <v>1886930000</v>
      </c>
    </row>
    <row r="10202" spans="1:9" x14ac:dyDescent="0.2">
      <c r="A10202" s="134">
        <v>45961</v>
      </c>
      <c r="B10202" s="135">
        <f>YEAR(source[[#This Row],[report_date]])</f>
        <v>2025</v>
      </c>
      <c r="C10202" s="128">
        <f t="shared" si="475"/>
        <v>10</v>
      </c>
      <c r="D10202" s="136">
        <f t="shared" si="477"/>
        <v>44</v>
      </c>
      <c r="E10202" s="136">
        <f t="shared" si="476"/>
        <v>31</v>
      </c>
      <c r="F10202" s="137" t="s">
        <v>24</v>
      </c>
      <c r="G10202" s="128" t="str">
        <f>VLOOKUP(source[[#This Row],[lending_product_transform]],[3]Mapping!$B$4:$C$37,2,0)</f>
        <v>[Cake] - Cashloan</v>
      </c>
      <c r="H10202" s="128" t="str">
        <f>VLOOKUP(source[[#This Row],[lending_product_transform]],[3]Mapping!$B$3:$D$37,3,0)</f>
        <v>cashloan</v>
      </c>
      <c r="I10202" s="143">
        <v>6977397</v>
      </c>
    </row>
    <row r="10203" spans="1:9" x14ac:dyDescent="0.2">
      <c r="A10203" s="134">
        <v>45961</v>
      </c>
      <c r="B10203" s="135">
        <f>YEAR(source[[#This Row],[report_date]])</f>
        <v>2025</v>
      </c>
      <c r="C10203" s="128">
        <f t="shared" si="475"/>
        <v>10</v>
      </c>
      <c r="D10203" s="136">
        <f t="shared" si="477"/>
        <v>44</v>
      </c>
      <c r="E10203" s="136">
        <f t="shared" si="476"/>
        <v>31</v>
      </c>
      <c r="F10203" s="137" t="s">
        <v>24</v>
      </c>
      <c r="G10203" s="128" t="str">
        <f>VLOOKUP(source[[#This Row],[lending_product_transform]],[3]Mapping!$B$4:$C$37,2,0)</f>
        <v>[Cake] - Cashloan</v>
      </c>
      <c r="H10203" s="128" t="str">
        <f>VLOOKUP(source[[#This Row],[lending_product_transform]],[3]Mapping!$B$3:$D$37,3,0)</f>
        <v>cashloan</v>
      </c>
      <c r="I10203" s="143">
        <v>518460858</v>
      </c>
    </row>
    <row r="10204" spans="1:9" x14ac:dyDescent="0.2">
      <c r="A10204" s="134">
        <v>45961</v>
      </c>
      <c r="B10204" s="135">
        <f>YEAR(source[[#This Row],[report_date]])</f>
        <v>2025</v>
      </c>
      <c r="C10204" s="128">
        <f t="shared" si="475"/>
        <v>10</v>
      </c>
      <c r="D10204" s="136">
        <f t="shared" si="477"/>
        <v>44</v>
      </c>
      <c r="E10204" s="136">
        <f t="shared" si="476"/>
        <v>31</v>
      </c>
      <c r="F10204" s="137" t="s">
        <v>24</v>
      </c>
      <c r="G10204" s="128" t="str">
        <f>VLOOKUP(source[[#This Row],[lending_product_transform]],[3]Mapping!$B$4:$C$37,2,0)</f>
        <v>[Cake] - Cashloan</v>
      </c>
      <c r="H10204" s="128" t="str">
        <f>VLOOKUP(source[[#This Row],[lending_product_transform]],[3]Mapping!$B$3:$D$37,3,0)</f>
        <v>cashloan</v>
      </c>
      <c r="I10204" s="143">
        <v>0</v>
      </c>
    </row>
    <row r="10205" spans="1:9" x14ac:dyDescent="0.2">
      <c r="A10205" s="134">
        <v>45961</v>
      </c>
      <c r="B10205" s="135">
        <f>YEAR(source[[#This Row],[report_date]])</f>
        <v>2025</v>
      </c>
      <c r="C10205" s="128">
        <f t="shared" si="475"/>
        <v>10</v>
      </c>
      <c r="D10205" s="136">
        <f t="shared" si="477"/>
        <v>44</v>
      </c>
      <c r="E10205" s="136">
        <f t="shared" si="476"/>
        <v>31</v>
      </c>
      <c r="F10205" s="137" t="s">
        <v>24</v>
      </c>
      <c r="G10205" s="128" t="str">
        <f>VLOOKUP(source[[#This Row],[lending_product_transform]],[3]Mapping!$B$4:$C$37,2,0)</f>
        <v>[Cake] - Cashloan</v>
      </c>
      <c r="H10205" s="128" t="str">
        <f>VLOOKUP(source[[#This Row],[lending_product_transform]],[3]Mapping!$B$3:$D$37,3,0)</f>
        <v>cashloan</v>
      </c>
      <c r="I10205" s="143">
        <v>268500000</v>
      </c>
    </row>
    <row r="10206" spans="1:9" x14ac:dyDescent="0.2">
      <c r="A10206" s="134">
        <v>45961</v>
      </c>
      <c r="B10206" s="135">
        <f>YEAR(source[[#This Row],[report_date]])</f>
        <v>2025</v>
      </c>
      <c r="C10206" s="128">
        <f t="shared" si="475"/>
        <v>10</v>
      </c>
      <c r="D10206" s="136">
        <f t="shared" si="477"/>
        <v>44</v>
      </c>
      <c r="E10206" s="136">
        <f t="shared" si="476"/>
        <v>31</v>
      </c>
      <c r="F10206" s="137" t="s">
        <v>24</v>
      </c>
      <c r="G10206" s="128" t="str">
        <f>VLOOKUP(source[[#This Row],[lending_product_transform]],[3]Mapping!$B$4:$C$37,2,0)</f>
        <v>[Cake] - Cashloan</v>
      </c>
      <c r="H10206" s="128" t="str">
        <f>VLOOKUP(source[[#This Row],[lending_product_transform]],[3]Mapping!$B$3:$D$37,3,0)</f>
        <v>cashloan</v>
      </c>
      <c r="I10206" s="143">
        <v>14795160000</v>
      </c>
    </row>
    <row r="10207" spans="1:9" x14ac:dyDescent="0.2">
      <c r="A10207" s="134">
        <v>45961</v>
      </c>
      <c r="B10207" s="135">
        <f>YEAR(source[[#This Row],[report_date]])</f>
        <v>2025</v>
      </c>
      <c r="C10207" s="128">
        <f t="shared" si="475"/>
        <v>10</v>
      </c>
      <c r="D10207" s="136">
        <f t="shared" si="477"/>
        <v>44</v>
      </c>
      <c r="E10207" s="136">
        <f t="shared" si="476"/>
        <v>31</v>
      </c>
      <c r="F10207" s="137" t="s">
        <v>24</v>
      </c>
      <c r="G10207" s="128" t="str">
        <f>VLOOKUP(source[[#This Row],[lending_product_transform]],[3]Mapping!$B$4:$C$37,2,0)</f>
        <v>[Cake] - Cashloan</v>
      </c>
      <c r="H10207" s="128" t="str">
        <f>VLOOKUP(source[[#This Row],[lending_product_transform]],[3]Mapping!$B$3:$D$37,3,0)</f>
        <v>cashloan</v>
      </c>
      <c r="I10207" s="143">
        <v>0</v>
      </c>
    </row>
    <row r="10208" spans="1:9" x14ac:dyDescent="0.2">
      <c r="A10208" s="134">
        <v>45961</v>
      </c>
      <c r="B10208" s="135">
        <f>YEAR(source[[#This Row],[report_date]])</f>
        <v>2025</v>
      </c>
      <c r="C10208" s="128">
        <f t="shared" si="475"/>
        <v>10</v>
      </c>
      <c r="D10208" s="136">
        <f t="shared" si="477"/>
        <v>44</v>
      </c>
      <c r="E10208" s="136">
        <f t="shared" si="476"/>
        <v>31</v>
      </c>
      <c r="F10208" s="137" t="s">
        <v>24</v>
      </c>
      <c r="G10208" s="128" t="str">
        <f>VLOOKUP(source[[#This Row],[lending_product_transform]],[3]Mapping!$B$4:$C$37,2,0)</f>
        <v>[Cake] - Cashloan</v>
      </c>
      <c r="H10208" s="128" t="str">
        <f>VLOOKUP(source[[#This Row],[lending_product_transform]],[3]Mapping!$B$3:$D$37,3,0)</f>
        <v>cashloan</v>
      </c>
      <c r="I10208" s="143">
        <v>0</v>
      </c>
    </row>
    <row r="10209" spans="1:9" x14ac:dyDescent="0.2">
      <c r="A10209" s="134">
        <v>45961</v>
      </c>
      <c r="B10209" s="135">
        <f>YEAR(source[[#This Row],[report_date]])</f>
        <v>2025</v>
      </c>
      <c r="C10209" s="128">
        <f t="shared" si="475"/>
        <v>10</v>
      </c>
      <c r="D10209" s="136">
        <f t="shared" si="477"/>
        <v>44</v>
      </c>
      <c r="E10209" s="136">
        <f t="shared" si="476"/>
        <v>31</v>
      </c>
      <c r="F10209" s="137" t="s">
        <v>24</v>
      </c>
      <c r="G10209" s="128" t="str">
        <f>VLOOKUP(source[[#This Row],[lending_product_transform]],[3]Mapping!$B$4:$C$37,2,0)</f>
        <v>[Cake] - Cashloan</v>
      </c>
      <c r="H10209" s="128" t="str">
        <f>VLOOKUP(source[[#This Row],[lending_product_transform]],[3]Mapping!$B$3:$D$37,3,0)</f>
        <v>cashloan</v>
      </c>
      <c r="I10209" s="143">
        <v>0</v>
      </c>
    </row>
    <row r="10210" spans="1:9" x14ac:dyDescent="0.2">
      <c r="A10210" s="134">
        <v>45961</v>
      </c>
      <c r="B10210" s="135">
        <f>YEAR(source[[#This Row],[report_date]])</f>
        <v>2025</v>
      </c>
      <c r="C10210" s="128">
        <f t="shared" si="475"/>
        <v>10</v>
      </c>
      <c r="D10210" s="136">
        <f t="shared" si="477"/>
        <v>44</v>
      </c>
      <c r="E10210" s="136">
        <f t="shared" si="476"/>
        <v>31</v>
      </c>
      <c r="F10210" s="137" t="s">
        <v>24</v>
      </c>
      <c r="G10210" s="128" t="str">
        <f>VLOOKUP(source[[#This Row],[lending_product_transform]],[3]Mapping!$B$4:$C$37,2,0)</f>
        <v>[Cake] - Cashloan</v>
      </c>
      <c r="H10210" s="128" t="str">
        <f>VLOOKUP(source[[#This Row],[lending_product_transform]],[3]Mapping!$B$3:$D$37,3,0)</f>
        <v>cashloan</v>
      </c>
      <c r="I10210" s="143">
        <v>0</v>
      </c>
    </row>
    <row r="10211" spans="1:9" x14ac:dyDescent="0.2">
      <c r="A10211" s="134">
        <v>45961</v>
      </c>
      <c r="B10211" s="135">
        <f>YEAR(source[[#This Row],[report_date]])</f>
        <v>2025</v>
      </c>
      <c r="C10211" s="128">
        <f t="shared" si="475"/>
        <v>10</v>
      </c>
      <c r="D10211" s="136">
        <f t="shared" si="477"/>
        <v>44</v>
      </c>
      <c r="E10211" s="136">
        <f t="shared" si="476"/>
        <v>31</v>
      </c>
      <c r="F10211" s="137" t="s">
        <v>24</v>
      </c>
      <c r="G10211" s="128" t="str">
        <f>VLOOKUP(source[[#This Row],[lending_product_transform]],[3]Mapping!$B$4:$C$37,2,0)</f>
        <v>[Cake] - Cashloan</v>
      </c>
      <c r="H10211" s="128" t="str">
        <f>VLOOKUP(source[[#This Row],[lending_product_transform]],[3]Mapping!$B$3:$D$37,3,0)</f>
        <v>cashloan</v>
      </c>
      <c r="I10211" s="143">
        <v>9219636000</v>
      </c>
    </row>
    <row r="10212" spans="1:9" x14ac:dyDescent="0.2">
      <c r="A10212" s="134">
        <v>45961</v>
      </c>
      <c r="B10212" s="135">
        <f>YEAR(source[[#This Row],[report_date]])</f>
        <v>2025</v>
      </c>
      <c r="C10212" s="128">
        <f t="shared" si="475"/>
        <v>10</v>
      </c>
      <c r="D10212" s="136">
        <f t="shared" si="477"/>
        <v>44</v>
      </c>
      <c r="E10212" s="136">
        <f t="shared" si="476"/>
        <v>31</v>
      </c>
      <c r="F10212" s="137" t="s">
        <v>24</v>
      </c>
      <c r="G10212" s="128" t="str">
        <f>VLOOKUP(source[[#This Row],[lending_product_transform]],[3]Mapping!$B$4:$C$37,2,0)</f>
        <v>[Cake] - Cashloan</v>
      </c>
      <c r="H10212" s="128" t="str">
        <f>VLOOKUP(source[[#This Row],[lending_product_transform]],[3]Mapping!$B$3:$D$37,3,0)</f>
        <v>cashloan</v>
      </c>
      <c r="I10212" s="143">
        <v>154121920</v>
      </c>
    </row>
    <row r="10213" spans="1:9" x14ac:dyDescent="0.2">
      <c r="A10213" s="134">
        <v>45961</v>
      </c>
      <c r="B10213" s="135">
        <f>YEAR(source[[#This Row],[report_date]])</f>
        <v>2025</v>
      </c>
      <c r="C10213" s="128">
        <f t="shared" si="475"/>
        <v>10</v>
      </c>
      <c r="D10213" s="136">
        <f t="shared" si="477"/>
        <v>44</v>
      </c>
      <c r="E10213" s="136">
        <f t="shared" si="476"/>
        <v>31</v>
      </c>
      <c r="F10213" s="137" t="s">
        <v>24</v>
      </c>
      <c r="G10213" s="128" t="str">
        <f>VLOOKUP(source[[#This Row],[lending_product_transform]],[3]Mapping!$B$4:$C$37,2,0)</f>
        <v>[Cake] - Cashloan</v>
      </c>
      <c r="H10213" s="128" t="str">
        <f>VLOOKUP(source[[#This Row],[lending_product_transform]],[3]Mapping!$B$3:$D$37,3,0)</f>
        <v>cashloan</v>
      </c>
      <c r="I10213" s="143">
        <v>21000000</v>
      </c>
    </row>
    <row r="10214" spans="1:9" x14ac:dyDescent="0.2">
      <c r="A10214" s="134">
        <v>45961</v>
      </c>
      <c r="B10214" s="135">
        <f>YEAR(source[[#This Row],[report_date]])</f>
        <v>2025</v>
      </c>
      <c r="C10214" s="128">
        <f t="shared" si="475"/>
        <v>10</v>
      </c>
      <c r="D10214" s="136">
        <f t="shared" si="477"/>
        <v>44</v>
      </c>
      <c r="E10214" s="136">
        <f t="shared" si="476"/>
        <v>31</v>
      </c>
      <c r="F10214" s="137" t="s">
        <v>24</v>
      </c>
      <c r="G10214" s="128" t="str">
        <f>VLOOKUP(source[[#This Row],[lending_product_transform]],[3]Mapping!$B$4:$C$37,2,0)</f>
        <v>[Cake] - Cashloan</v>
      </c>
      <c r="H10214" s="128" t="str">
        <f>VLOOKUP(source[[#This Row],[lending_product_transform]],[3]Mapping!$B$3:$D$37,3,0)</f>
        <v>cashloan</v>
      </c>
      <c r="I10214" s="143">
        <v>39000000</v>
      </c>
    </row>
    <row r="10215" spans="1:9" x14ac:dyDescent="0.2">
      <c r="A10215" s="134">
        <v>45961</v>
      </c>
      <c r="B10215" s="135">
        <f>YEAR(source[[#This Row],[report_date]])</f>
        <v>2025</v>
      </c>
      <c r="C10215" s="128">
        <f t="shared" si="475"/>
        <v>10</v>
      </c>
      <c r="D10215" s="136">
        <f t="shared" si="477"/>
        <v>44</v>
      </c>
      <c r="E10215" s="136">
        <f t="shared" si="476"/>
        <v>31</v>
      </c>
      <c r="F10215" s="137" t="s">
        <v>24</v>
      </c>
      <c r="G10215" s="128" t="str">
        <f>VLOOKUP(source[[#This Row],[lending_product_transform]],[3]Mapping!$B$4:$C$37,2,0)</f>
        <v>[Cake] - Cashloan</v>
      </c>
      <c r="H10215" s="128" t="str">
        <f>VLOOKUP(source[[#This Row],[lending_product_transform]],[3]Mapping!$B$3:$D$37,3,0)</f>
        <v>cashloan</v>
      </c>
      <c r="I10215" s="143">
        <v>917340000</v>
      </c>
    </row>
    <row r="10216" spans="1:9" x14ac:dyDescent="0.2">
      <c r="A10216" s="134">
        <v>45961</v>
      </c>
      <c r="B10216" s="135">
        <f>YEAR(source[[#This Row],[report_date]])</f>
        <v>2025</v>
      </c>
      <c r="C10216" s="128">
        <f t="shared" si="475"/>
        <v>10</v>
      </c>
      <c r="D10216" s="136">
        <f t="shared" si="477"/>
        <v>44</v>
      </c>
      <c r="E10216" s="136">
        <f t="shared" si="476"/>
        <v>31</v>
      </c>
      <c r="F10216" s="137" t="s">
        <v>24</v>
      </c>
      <c r="G10216" s="128" t="str">
        <f>VLOOKUP(source[[#This Row],[lending_product_transform]],[3]Mapping!$B$4:$C$37,2,0)</f>
        <v>[Cake] - Cashloan</v>
      </c>
      <c r="H10216" s="128" t="str">
        <f>VLOOKUP(source[[#This Row],[lending_product_transform]],[3]Mapping!$B$3:$D$37,3,0)</f>
        <v>cashloan</v>
      </c>
      <c r="I10216" s="143">
        <v>225720000</v>
      </c>
    </row>
    <row r="10217" spans="1:9" x14ac:dyDescent="0.2">
      <c r="A10217" s="134">
        <v>45961</v>
      </c>
      <c r="B10217" s="135">
        <f>YEAR(source[[#This Row],[report_date]])</f>
        <v>2025</v>
      </c>
      <c r="C10217" s="128">
        <f t="shared" si="475"/>
        <v>10</v>
      </c>
      <c r="D10217" s="136">
        <f t="shared" si="477"/>
        <v>44</v>
      </c>
      <c r="E10217" s="136">
        <f t="shared" si="476"/>
        <v>31</v>
      </c>
      <c r="F10217" s="137" t="s">
        <v>24</v>
      </c>
      <c r="G10217" s="128" t="str">
        <f>VLOOKUP(source[[#This Row],[lending_product_transform]],[3]Mapping!$B$4:$C$37,2,0)</f>
        <v>[Cake] - Cashloan</v>
      </c>
      <c r="H10217" s="128" t="str">
        <f>VLOOKUP(source[[#This Row],[lending_product_transform]],[3]Mapping!$B$3:$D$37,3,0)</f>
        <v>cashloan</v>
      </c>
      <c r="I10217" s="143">
        <v>642065556</v>
      </c>
    </row>
    <row r="10218" spans="1:9" x14ac:dyDescent="0.2">
      <c r="A10218" s="134">
        <v>45961</v>
      </c>
      <c r="B10218" s="135">
        <f>YEAR(source[[#This Row],[report_date]])</f>
        <v>2025</v>
      </c>
      <c r="C10218" s="128">
        <f t="shared" si="475"/>
        <v>10</v>
      </c>
      <c r="D10218" s="136">
        <f t="shared" si="477"/>
        <v>44</v>
      </c>
      <c r="E10218" s="136">
        <f t="shared" si="476"/>
        <v>31</v>
      </c>
      <c r="F10218" s="137" t="s">
        <v>24</v>
      </c>
      <c r="G10218" s="128" t="str">
        <f>VLOOKUP(source[[#This Row],[lending_product_transform]],[3]Mapping!$B$4:$C$37,2,0)</f>
        <v>[Cake] - Cashloan</v>
      </c>
      <c r="H10218" s="128" t="str">
        <f>VLOOKUP(source[[#This Row],[lending_product_transform]],[3]Mapping!$B$3:$D$37,3,0)</f>
        <v>cashloan</v>
      </c>
      <c r="I10218" s="143">
        <v>2961910000</v>
      </c>
    </row>
    <row r="10219" spans="1:9" x14ac:dyDescent="0.2">
      <c r="A10219" s="134">
        <v>45962</v>
      </c>
      <c r="B10219" s="135">
        <f>YEAR(source[[#This Row],[report_date]])</f>
        <v>2025</v>
      </c>
      <c r="C10219" s="128">
        <f t="shared" si="475"/>
        <v>11</v>
      </c>
      <c r="D10219" s="136">
        <f t="shared" si="477"/>
        <v>44</v>
      </c>
      <c r="E10219" s="136">
        <f t="shared" si="476"/>
        <v>1</v>
      </c>
      <c r="F10219" s="137" t="s">
        <v>24</v>
      </c>
      <c r="G10219" s="128" t="str">
        <f>VLOOKUP(source[[#This Row],[lending_product_transform]],[3]Mapping!$B$4:$C$37,2,0)</f>
        <v>[Cake] - Cashloan</v>
      </c>
      <c r="H10219" s="128" t="str">
        <f>VLOOKUP(source[[#This Row],[lending_product_transform]],[3]Mapping!$B$3:$D$37,3,0)</f>
        <v>cashloan</v>
      </c>
      <c r="I10219" s="143">
        <v>29500000</v>
      </c>
    </row>
    <row r="10220" spans="1:9" x14ac:dyDescent="0.2">
      <c r="A10220" s="134">
        <v>45962</v>
      </c>
      <c r="B10220" s="135">
        <f>YEAR(source[[#This Row],[report_date]])</f>
        <v>2025</v>
      </c>
      <c r="C10220" s="128">
        <f t="shared" si="475"/>
        <v>11</v>
      </c>
      <c r="D10220" s="136">
        <f t="shared" si="477"/>
        <v>44</v>
      </c>
      <c r="E10220" s="136">
        <f t="shared" si="476"/>
        <v>1</v>
      </c>
      <c r="F10220" s="137" t="s">
        <v>24</v>
      </c>
      <c r="G10220" s="128" t="str">
        <f>VLOOKUP(source[[#This Row],[lending_product_transform]],[3]Mapping!$B$4:$C$37,2,0)</f>
        <v>[Cake] - Cashloan</v>
      </c>
      <c r="H10220" s="128" t="str">
        <f>VLOOKUP(source[[#This Row],[lending_product_transform]],[3]Mapping!$B$3:$D$37,3,0)</f>
        <v>cashloan</v>
      </c>
      <c r="I10220" s="143">
        <v>478467350</v>
      </c>
    </row>
    <row r="10221" spans="1:9" x14ac:dyDescent="0.2">
      <c r="A10221" s="134">
        <v>45962</v>
      </c>
      <c r="B10221" s="135">
        <f>YEAR(source[[#This Row],[report_date]])</f>
        <v>2025</v>
      </c>
      <c r="C10221" s="128">
        <f t="shared" si="475"/>
        <v>11</v>
      </c>
      <c r="D10221" s="136">
        <f t="shared" si="477"/>
        <v>44</v>
      </c>
      <c r="E10221" s="136">
        <f t="shared" si="476"/>
        <v>1</v>
      </c>
      <c r="F10221" s="137" t="s">
        <v>24</v>
      </c>
      <c r="G10221" s="128" t="str">
        <f>VLOOKUP(source[[#This Row],[lending_product_transform]],[3]Mapping!$B$4:$C$37,2,0)</f>
        <v>[Cake] - Cashloan</v>
      </c>
      <c r="H10221" s="128" t="str">
        <f>VLOOKUP(source[[#This Row],[lending_product_transform]],[3]Mapping!$B$3:$D$37,3,0)</f>
        <v>cashloan</v>
      </c>
      <c r="I10221" s="143">
        <v>15834510000</v>
      </c>
    </row>
    <row r="10222" spans="1:9" x14ac:dyDescent="0.2">
      <c r="A10222" s="134">
        <v>45962</v>
      </c>
      <c r="B10222" s="135">
        <f>YEAR(source[[#This Row],[report_date]])</f>
        <v>2025</v>
      </c>
      <c r="C10222" s="128">
        <f t="shared" si="475"/>
        <v>11</v>
      </c>
      <c r="D10222" s="136">
        <f t="shared" si="477"/>
        <v>44</v>
      </c>
      <c r="E10222" s="136">
        <f t="shared" si="476"/>
        <v>1</v>
      </c>
      <c r="F10222" s="137" t="s">
        <v>24</v>
      </c>
      <c r="G10222" s="128" t="str">
        <f>VLOOKUP(source[[#This Row],[lending_product_transform]],[3]Mapping!$B$4:$C$37,2,0)</f>
        <v>[Cake] - Cashloan</v>
      </c>
      <c r="H10222" s="128" t="str">
        <f>VLOOKUP(source[[#This Row],[lending_product_transform]],[3]Mapping!$B$3:$D$37,3,0)</f>
        <v>cashloan</v>
      </c>
      <c r="I10222" s="143">
        <v>4041840788</v>
      </c>
    </row>
    <row r="10223" spans="1:9" x14ac:dyDescent="0.2">
      <c r="A10223" s="134">
        <v>45962</v>
      </c>
      <c r="B10223" s="135">
        <f>YEAR(source[[#This Row],[report_date]])</f>
        <v>2025</v>
      </c>
      <c r="C10223" s="128">
        <f t="shared" si="475"/>
        <v>11</v>
      </c>
      <c r="D10223" s="136">
        <f t="shared" si="477"/>
        <v>44</v>
      </c>
      <c r="E10223" s="136">
        <f t="shared" si="476"/>
        <v>1</v>
      </c>
      <c r="F10223" s="137" t="s">
        <v>24</v>
      </c>
      <c r="G10223" s="128" t="str">
        <f>VLOOKUP(source[[#This Row],[lending_product_transform]],[3]Mapping!$B$4:$C$37,2,0)</f>
        <v>[Cake] - Cashloan</v>
      </c>
      <c r="H10223" s="128" t="str">
        <f>VLOOKUP(source[[#This Row],[lending_product_transform]],[3]Mapping!$B$3:$D$37,3,0)</f>
        <v>cashloan</v>
      </c>
      <c r="I10223" s="143">
        <v>8408340000</v>
      </c>
    </row>
    <row r="10224" spans="1:9" x14ac:dyDescent="0.2">
      <c r="A10224" s="134">
        <v>45962</v>
      </c>
      <c r="B10224" s="135">
        <f>YEAR(source[[#This Row],[report_date]])</f>
        <v>2025</v>
      </c>
      <c r="C10224" s="128">
        <f t="shared" si="475"/>
        <v>11</v>
      </c>
      <c r="D10224" s="136">
        <f t="shared" si="477"/>
        <v>44</v>
      </c>
      <c r="E10224" s="136">
        <f t="shared" si="476"/>
        <v>1</v>
      </c>
      <c r="F10224" s="137" t="s">
        <v>24</v>
      </c>
      <c r="G10224" s="128" t="str">
        <f>VLOOKUP(source[[#This Row],[lending_product_transform]],[3]Mapping!$B$4:$C$37,2,0)</f>
        <v>[Cake] - Cashloan</v>
      </c>
      <c r="H10224" s="128" t="str">
        <f>VLOOKUP(source[[#This Row],[lending_product_transform]],[3]Mapping!$B$3:$D$37,3,0)</f>
        <v>cashloan</v>
      </c>
      <c r="I10224" s="143">
        <v>28952433</v>
      </c>
    </row>
    <row r="10225" spans="1:9" x14ac:dyDescent="0.2">
      <c r="A10225" s="134">
        <v>45962</v>
      </c>
      <c r="B10225" s="135">
        <f>YEAR(source[[#This Row],[report_date]])</f>
        <v>2025</v>
      </c>
      <c r="C10225" s="128">
        <f t="shared" si="475"/>
        <v>11</v>
      </c>
      <c r="D10225" s="136">
        <f t="shared" si="477"/>
        <v>44</v>
      </c>
      <c r="E10225" s="136">
        <f t="shared" si="476"/>
        <v>1</v>
      </c>
      <c r="F10225" s="137" t="s">
        <v>24</v>
      </c>
      <c r="G10225" s="128" t="str">
        <f>VLOOKUP(source[[#This Row],[lending_product_transform]],[3]Mapping!$B$4:$C$37,2,0)</f>
        <v>[Cake] - Cashloan</v>
      </c>
      <c r="H10225" s="128" t="str">
        <f>VLOOKUP(source[[#This Row],[lending_product_transform]],[3]Mapping!$B$3:$D$37,3,0)</f>
        <v>cashloan</v>
      </c>
      <c r="I10225" s="143">
        <v>2201550000</v>
      </c>
    </row>
    <row r="10226" spans="1:9" x14ac:dyDescent="0.2">
      <c r="A10226" s="134">
        <v>45962</v>
      </c>
      <c r="B10226" s="135">
        <f>YEAR(source[[#This Row],[report_date]])</f>
        <v>2025</v>
      </c>
      <c r="C10226" s="128">
        <f t="shared" si="475"/>
        <v>11</v>
      </c>
      <c r="D10226" s="136">
        <f t="shared" si="477"/>
        <v>44</v>
      </c>
      <c r="E10226" s="136">
        <f t="shared" si="476"/>
        <v>1</v>
      </c>
      <c r="F10226" s="137" t="s">
        <v>24</v>
      </c>
      <c r="G10226" s="128" t="str">
        <f>VLOOKUP(source[[#This Row],[lending_product_transform]],[3]Mapping!$B$4:$C$37,2,0)</f>
        <v>[Cake] - Cashloan</v>
      </c>
      <c r="H10226" s="128" t="str">
        <f>VLOOKUP(source[[#This Row],[lending_product_transform]],[3]Mapping!$B$3:$D$37,3,0)</f>
        <v>cashloan</v>
      </c>
      <c r="I10226" s="143">
        <v>14746333</v>
      </c>
    </row>
    <row r="10227" spans="1:9" x14ac:dyDescent="0.2">
      <c r="A10227" s="134">
        <v>45962</v>
      </c>
      <c r="B10227" s="135">
        <f>YEAR(source[[#This Row],[report_date]])</f>
        <v>2025</v>
      </c>
      <c r="C10227" s="128">
        <f t="shared" si="475"/>
        <v>11</v>
      </c>
      <c r="D10227" s="136">
        <f t="shared" si="477"/>
        <v>44</v>
      </c>
      <c r="E10227" s="136">
        <f t="shared" si="476"/>
        <v>1</v>
      </c>
      <c r="F10227" s="137" t="s">
        <v>24</v>
      </c>
      <c r="G10227" s="128" t="str">
        <f>VLOOKUP(source[[#This Row],[lending_product_transform]],[3]Mapping!$B$4:$C$37,2,0)</f>
        <v>[Cake] - Cashloan</v>
      </c>
      <c r="H10227" s="128" t="str">
        <f>VLOOKUP(source[[#This Row],[lending_product_transform]],[3]Mapping!$B$3:$D$37,3,0)</f>
        <v>cashloan</v>
      </c>
      <c r="I10227" s="143">
        <v>890756233</v>
      </c>
    </row>
    <row r="10228" spans="1:9" x14ac:dyDescent="0.2">
      <c r="A10228" s="134">
        <v>45962</v>
      </c>
      <c r="B10228" s="135">
        <f>YEAR(source[[#This Row],[report_date]])</f>
        <v>2025</v>
      </c>
      <c r="C10228" s="128">
        <f t="shared" si="475"/>
        <v>11</v>
      </c>
      <c r="D10228" s="136">
        <f t="shared" si="477"/>
        <v>44</v>
      </c>
      <c r="E10228" s="136">
        <f t="shared" si="476"/>
        <v>1</v>
      </c>
      <c r="F10228" s="137" t="s">
        <v>24</v>
      </c>
      <c r="G10228" s="128" t="str">
        <f>VLOOKUP(source[[#This Row],[lending_product_transform]],[3]Mapping!$B$4:$C$37,2,0)</f>
        <v>[Cake] - Cashloan</v>
      </c>
      <c r="H10228" s="128" t="str">
        <f>VLOOKUP(source[[#This Row],[lending_product_transform]],[3]Mapping!$B$3:$D$37,3,0)</f>
        <v>cashloan</v>
      </c>
      <c r="I10228" s="143">
        <v>0</v>
      </c>
    </row>
    <row r="10229" spans="1:9" x14ac:dyDescent="0.2">
      <c r="A10229" s="134">
        <v>45962</v>
      </c>
      <c r="B10229" s="135">
        <f>YEAR(source[[#This Row],[report_date]])</f>
        <v>2025</v>
      </c>
      <c r="C10229" s="128">
        <f t="shared" si="475"/>
        <v>11</v>
      </c>
      <c r="D10229" s="136">
        <f t="shared" si="477"/>
        <v>44</v>
      </c>
      <c r="E10229" s="136">
        <f t="shared" si="476"/>
        <v>1</v>
      </c>
      <c r="F10229" s="137" t="s">
        <v>24</v>
      </c>
      <c r="G10229" s="128" t="str">
        <f>VLOOKUP(source[[#This Row],[lending_product_transform]],[3]Mapping!$B$4:$C$37,2,0)</f>
        <v>[Cake] - Cashloan</v>
      </c>
      <c r="H10229" s="128" t="str">
        <f>VLOOKUP(source[[#This Row],[lending_product_transform]],[3]Mapping!$B$3:$D$37,3,0)</f>
        <v>cashloan</v>
      </c>
      <c r="I10229" s="143">
        <v>143500000</v>
      </c>
    </row>
    <row r="10230" spans="1:9" x14ac:dyDescent="0.2">
      <c r="A10230" s="134">
        <v>45962</v>
      </c>
      <c r="B10230" s="135">
        <f>YEAR(source[[#This Row],[report_date]])</f>
        <v>2025</v>
      </c>
      <c r="C10230" s="128">
        <f t="shared" ref="C10230:C10293" si="478">MONTH(A10230)</f>
        <v>11</v>
      </c>
      <c r="D10230" s="136">
        <f t="shared" si="477"/>
        <v>44</v>
      </c>
      <c r="E10230" s="136">
        <f t="shared" ref="E10230:E10293" si="479">DAY(A10230)</f>
        <v>1</v>
      </c>
      <c r="F10230" s="137" t="s">
        <v>24</v>
      </c>
      <c r="G10230" s="128" t="str">
        <f>VLOOKUP(source[[#This Row],[lending_product_transform]],[3]Mapping!$B$4:$C$37,2,0)</f>
        <v>[Cake] - Cashloan</v>
      </c>
      <c r="H10230" s="128" t="str">
        <f>VLOOKUP(source[[#This Row],[lending_product_transform]],[3]Mapping!$B$3:$D$37,3,0)</f>
        <v>cashloan</v>
      </c>
      <c r="I10230" s="143">
        <v>15671840000</v>
      </c>
    </row>
    <row r="10231" spans="1:9" x14ac:dyDescent="0.2">
      <c r="A10231" s="134">
        <v>45962</v>
      </c>
      <c r="B10231" s="135">
        <f>YEAR(source[[#This Row],[report_date]])</f>
        <v>2025</v>
      </c>
      <c r="C10231" s="128">
        <f t="shared" si="478"/>
        <v>11</v>
      </c>
      <c r="D10231" s="136">
        <f t="shared" si="477"/>
        <v>44</v>
      </c>
      <c r="E10231" s="136">
        <f t="shared" si="479"/>
        <v>1</v>
      </c>
      <c r="F10231" s="137" t="s">
        <v>24</v>
      </c>
      <c r="G10231" s="128" t="str">
        <f>VLOOKUP(source[[#This Row],[lending_product_transform]],[3]Mapping!$B$4:$C$37,2,0)</f>
        <v>[Cake] - Cashloan</v>
      </c>
      <c r="H10231" s="128" t="str">
        <f>VLOOKUP(source[[#This Row],[lending_product_transform]],[3]Mapping!$B$3:$D$37,3,0)</f>
        <v>cashloan</v>
      </c>
      <c r="I10231" s="143">
        <v>0</v>
      </c>
    </row>
    <row r="10232" spans="1:9" x14ac:dyDescent="0.2">
      <c r="A10232" s="134">
        <v>45962</v>
      </c>
      <c r="B10232" s="135">
        <f>YEAR(source[[#This Row],[report_date]])</f>
        <v>2025</v>
      </c>
      <c r="C10232" s="128">
        <f t="shared" si="478"/>
        <v>11</v>
      </c>
      <c r="D10232" s="136">
        <f t="shared" si="477"/>
        <v>44</v>
      </c>
      <c r="E10232" s="136">
        <f t="shared" si="479"/>
        <v>1</v>
      </c>
      <c r="F10232" s="137" t="s">
        <v>24</v>
      </c>
      <c r="G10232" s="128" t="str">
        <f>VLOOKUP(source[[#This Row],[lending_product_transform]],[3]Mapping!$B$4:$C$37,2,0)</f>
        <v>[Cake] - Cashloan</v>
      </c>
      <c r="H10232" s="128" t="str">
        <f>VLOOKUP(source[[#This Row],[lending_product_transform]],[3]Mapping!$B$3:$D$37,3,0)</f>
        <v>cashloan</v>
      </c>
      <c r="I10232" s="143">
        <v>0</v>
      </c>
    </row>
    <row r="10233" spans="1:9" x14ac:dyDescent="0.2">
      <c r="A10233" s="134">
        <v>45962</v>
      </c>
      <c r="B10233" s="135">
        <f>YEAR(source[[#This Row],[report_date]])</f>
        <v>2025</v>
      </c>
      <c r="C10233" s="128">
        <f t="shared" si="478"/>
        <v>11</v>
      </c>
      <c r="D10233" s="136">
        <f t="shared" si="477"/>
        <v>44</v>
      </c>
      <c r="E10233" s="136">
        <f t="shared" si="479"/>
        <v>1</v>
      </c>
      <c r="F10233" s="137" t="s">
        <v>24</v>
      </c>
      <c r="G10233" s="128" t="str">
        <f>VLOOKUP(source[[#This Row],[lending_product_transform]],[3]Mapping!$B$4:$C$37,2,0)</f>
        <v>[Cake] - Cashloan</v>
      </c>
      <c r="H10233" s="128" t="str">
        <f>VLOOKUP(source[[#This Row],[lending_product_transform]],[3]Mapping!$B$3:$D$37,3,0)</f>
        <v>cashloan</v>
      </c>
      <c r="I10233" s="143">
        <v>0</v>
      </c>
    </row>
    <row r="10234" spans="1:9" x14ac:dyDescent="0.2">
      <c r="A10234" s="134">
        <v>45962</v>
      </c>
      <c r="B10234" s="135">
        <f>YEAR(source[[#This Row],[report_date]])</f>
        <v>2025</v>
      </c>
      <c r="C10234" s="128">
        <f t="shared" si="478"/>
        <v>11</v>
      </c>
      <c r="D10234" s="136">
        <f t="shared" si="477"/>
        <v>44</v>
      </c>
      <c r="E10234" s="136">
        <f t="shared" si="479"/>
        <v>1</v>
      </c>
      <c r="F10234" s="137" t="s">
        <v>24</v>
      </c>
      <c r="G10234" s="128" t="str">
        <f>VLOOKUP(source[[#This Row],[lending_product_transform]],[3]Mapping!$B$4:$C$37,2,0)</f>
        <v>[Cake] - Cashloan</v>
      </c>
      <c r="H10234" s="128" t="str">
        <f>VLOOKUP(source[[#This Row],[lending_product_transform]],[3]Mapping!$B$3:$D$37,3,0)</f>
        <v>cashloan</v>
      </c>
      <c r="I10234" s="143">
        <v>0</v>
      </c>
    </row>
    <row r="10235" spans="1:9" x14ac:dyDescent="0.2">
      <c r="A10235" s="134">
        <v>45962</v>
      </c>
      <c r="B10235" s="135">
        <f>YEAR(source[[#This Row],[report_date]])</f>
        <v>2025</v>
      </c>
      <c r="C10235" s="128">
        <f t="shared" si="478"/>
        <v>11</v>
      </c>
      <c r="D10235" s="136">
        <f t="shared" si="477"/>
        <v>44</v>
      </c>
      <c r="E10235" s="136">
        <f t="shared" si="479"/>
        <v>1</v>
      </c>
      <c r="F10235" s="137" t="s">
        <v>24</v>
      </c>
      <c r="G10235" s="128" t="str">
        <f>VLOOKUP(source[[#This Row],[lending_product_transform]],[3]Mapping!$B$4:$C$37,2,0)</f>
        <v>[Cake] - Cashloan</v>
      </c>
      <c r="H10235" s="128" t="str">
        <f>VLOOKUP(source[[#This Row],[lending_product_transform]],[3]Mapping!$B$3:$D$37,3,0)</f>
        <v>cashloan</v>
      </c>
      <c r="I10235" s="143">
        <v>10397592000</v>
      </c>
    </row>
    <row r="10236" spans="1:9" x14ac:dyDescent="0.2">
      <c r="A10236" s="134">
        <v>45962</v>
      </c>
      <c r="B10236" s="135">
        <f>YEAR(source[[#This Row],[report_date]])</f>
        <v>2025</v>
      </c>
      <c r="C10236" s="128">
        <f t="shared" si="478"/>
        <v>11</v>
      </c>
      <c r="D10236" s="136">
        <f t="shared" si="477"/>
        <v>44</v>
      </c>
      <c r="E10236" s="136">
        <f t="shared" si="479"/>
        <v>1</v>
      </c>
      <c r="F10236" s="137" t="s">
        <v>24</v>
      </c>
      <c r="G10236" s="128" t="str">
        <f>VLOOKUP(source[[#This Row],[lending_product_transform]],[3]Mapping!$B$4:$C$37,2,0)</f>
        <v>[Cake] - Cashloan</v>
      </c>
      <c r="H10236" s="128" t="str">
        <f>VLOOKUP(source[[#This Row],[lending_product_transform]],[3]Mapping!$B$3:$D$37,3,0)</f>
        <v>cashloan</v>
      </c>
      <c r="I10236" s="143">
        <v>538675796</v>
      </c>
    </row>
    <row r="10237" spans="1:9" x14ac:dyDescent="0.2">
      <c r="A10237" s="134">
        <v>45962</v>
      </c>
      <c r="B10237" s="135">
        <f>YEAR(source[[#This Row],[report_date]])</f>
        <v>2025</v>
      </c>
      <c r="C10237" s="128">
        <f t="shared" si="478"/>
        <v>11</v>
      </c>
      <c r="D10237" s="136">
        <f t="shared" si="477"/>
        <v>44</v>
      </c>
      <c r="E10237" s="136">
        <f t="shared" si="479"/>
        <v>1</v>
      </c>
      <c r="F10237" s="137" t="s">
        <v>24</v>
      </c>
      <c r="G10237" s="128" t="str">
        <f>VLOOKUP(source[[#This Row],[lending_product_transform]],[3]Mapping!$B$4:$C$37,2,0)</f>
        <v>[Cake] - Cashloan</v>
      </c>
      <c r="H10237" s="128" t="str">
        <f>VLOOKUP(source[[#This Row],[lending_product_transform]],[3]Mapping!$B$3:$D$37,3,0)</f>
        <v>cashloan</v>
      </c>
      <c r="I10237" s="143">
        <v>10000000</v>
      </c>
    </row>
    <row r="10238" spans="1:9" x14ac:dyDescent="0.2">
      <c r="A10238" s="134">
        <v>45962</v>
      </c>
      <c r="B10238" s="135">
        <f>YEAR(source[[#This Row],[report_date]])</f>
        <v>2025</v>
      </c>
      <c r="C10238" s="128">
        <f t="shared" si="478"/>
        <v>11</v>
      </c>
      <c r="D10238" s="136">
        <f t="shared" si="477"/>
        <v>44</v>
      </c>
      <c r="E10238" s="136">
        <f t="shared" si="479"/>
        <v>1</v>
      </c>
      <c r="F10238" s="137" t="s">
        <v>24</v>
      </c>
      <c r="G10238" s="128" t="str">
        <f>VLOOKUP(source[[#This Row],[lending_product_transform]],[3]Mapping!$B$4:$C$37,2,0)</f>
        <v>[Cake] - Cashloan</v>
      </c>
      <c r="H10238" s="128" t="str">
        <f>VLOOKUP(source[[#This Row],[lending_product_transform]],[3]Mapping!$B$3:$D$37,3,0)</f>
        <v>cashloan</v>
      </c>
      <c r="I10238" s="143">
        <v>37000000</v>
      </c>
    </row>
    <row r="10239" spans="1:9" x14ac:dyDescent="0.2">
      <c r="A10239" s="134">
        <v>45962</v>
      </c>
      <c r="B10239" s="135">
        <f>YEAR(source[[#This Row],[report_date]])</f>
        <v>2025</v>
      </c>
      <c r="C10239" s="128">
        <f t="shared" si="478"/>
        <v>11</v>
      </c>
      <c r="D10239" s="136">
        <f t="shared" si="477"/>
        <v>44</v>
      </c>
      <c r="E10239" s="136">
        <f t="shared" si="479"/>
        <v>1</v>
      </c>
      <c r="F10239" s="137" t="s">
        <v>24</v>
      </c>
      <c r="G10239" s="128" t="str">
        <f>VLOOKUP(source[[#This Row],[lending_product_transform]],[3]Mapping!$B$4:$C$37,2,0)</f>
        <v>[Cake] - Cashloan</v>
      </c>
      <c r="H10239" s="128" t="str">
        <f>VLOOKUP(source[[#This Row],[lending_product_transform]],[3]Mapping!$B$3:$D$37,3,0)</f>
        <v>cashloan</v>
      </c>
      <c r="I10239" s="143">
        <v>1004390000</v>
      </c>
    </row>
    <row r="10240" spans="1:9" x14ac:dyDescent="0.2">
      <c r="A10240" s="134">
        <v>45962</v>
      </c>
      <c r="B10240" s="135">
        <f>YEAR(source[[#This Row],[report_date]])</f>
        <v>2025</v>
      </c>
      <c r="C10240" s="128">
        <f t="shared" si="478"/>
        <v>11</v>
      </c>
      <c r="D10240" s="136">
        <f t="shared" si="477"/>
        <v>44</v>
      </c>
      <c r="E10240" s="136">
        <f t="shared" si="479"/>
        <v>1</v>
      </c>
      <c r="F10240" s="137" t="s">
        <v>24</v>
      </c>
      <c r="G10240" s="128" t="str">
        <f>VLOOKUP(source[[#This Row],[lending_product_transform]],[3]Mapping!$B$4:$C$37,2,0)</f>
        <v>[Cake] - Cashloan</v>
      </c>
      <c r="H10240" s="128" t="str">
        <f>VLOOKUP(source[[#This Row],[lending_product_transform]],[3]Mapping!$B$3:$D$37,3,0)</f>
        <v>cashloan</v>
      </c>
      <c r="I10240" s="143">
        <v>206280000</v>
      </c>
    </row>
    <row r="10241" spans="1:9" x14ac:dyDescent="0.2">
      <c r="A10241" s="134">
        <v>45962</v>
      </c>
      <c r="B10241" s="135">
        <f>YEAR(source[[#This Row],[report_date]])</f>
        <v>2025</v>
      </c>
      <c r="C10241" s="128">
        <f t="shared" si="478"/>
        <v>11</v>
      </c>
      <c r="D10241" s="136">
        <f t="shared" si="477"/>
        <v>44</v>
      </c>
      <c r="E10241" s="136">
        <f t="shared" si="479"/>
        <v>1</v>
      </c>
      <c r="F10241" s="137" t="s">
        <v>24</v>
      </c>
      <c r="G10241" s="128" t="str">
        <f>VLOOKUP(source[[#This Row],[lending_product_transform]],[3]Mapping!$B$4:$C$37,2,0)</f>
        <v>[Cake] - Cashloan</v>
      </c>
      <c r="H10241" s="128" t="str">
        <f>VLOOKUP(source[[#This Row],[lending_product_transform]],[3]Mapping!$B$3:$D$37,3,0)</f>
        <v>cashloan</v>
      </c>
      <c r="I10241" s="143">
        <v>959847696</v>
      </c>
    </row>
    <row r="10242" spans="1:9" x14ac:dyDescent="0.2">
      <c r="A10242" s="134">
        <v>45962</v>
      </c>
      <c r="B10242" s="135">
        <f>YEAR(source[[#This Row],[report_date]])</f>
        <v>2025</v>
      </c>
      <c r="C10242" s="128">
        <f t="shared" si="478"/>
        <v>11</v>
      </c>
      <c r="D10242" s="136">
        <f t="shared" si="477"/>
        <v>44</v>
      </c>
      <c r="E10242" s="136">
        <f t="shared" si="479"/>
        <v>1</v>
      </c>
      <c r="F10242" s="137" t="s">
        <v>24</v>
      </c>
      <c r="G10242" s="128" t="str">
        <f>VLOOKUP(source[[#This Row],[lending_product_transform]],[3]Mapping!$B$4:$C$37,2,0)</f>
        <v>[Cake] - Cashloan</v>
      </c>
      <c r="H10242" s="128" t="str">
        <f>VLOOKUP(source[[#This Row],[lending_product_transform]],[3]Mapping!$B$3:$D$37,3,0)</f>
        <v>cashloan</v>
      </c>
      <c r="I10242" s="143">
        <v>3697060000</v>
      </c>
    </row>
    <row r="10243" spans="1:9" x14ac:dyDescent="0.2">
      <c r="A10243" s="134">
        <v>45963</v>
      </c>
      <c r="B10243" s="135">
        <f>YEAR(source[[#This Row],[report_date]])</f>
        <v>2025</v>
      </c>
      <c r="C10243" s="128">
        <f t="shared" si="478"/>
        <v>11</v>
      </c>
      <c r="D10243" s="136">
        <f t="shared" ref="D10243:D10306" si="480">WEEKNUM(A10243,2)</f>
        <v>44</v>
      </c>
      <c r="E10243" s="136">
        <f t="shared" si="479"/>
        <v>2</v>
      </c>
      <c r="F10243" s="137" t="s">
        <v>24</v>
      </c>
      <c r="G10243" s="128" t="str">
        <f>VLOOKUP(source[[#This Row],[lending_product_transform]],[3]Mapping!$B$4:$C$37,2,0)</f>
        <v>[Cake] - Cashloan</v>
      </c>
      <c r="H10243" s="128" t="str">
        <f>VLOOKUP(source[[#This Row],[lending_product_transform]],[3]Mapping!$B$3:$D$37,3,0)</f>
        <v>cashloan</v>
      </c>
      <c r="I10243" s="143">
        <v>21000000</v>
      </c>
    </row>
    <row r="10244" spans="1:9" x14ac:dyDescent="0.2">
      <c r="A10244" s="134">
        <v>45963</v>
      </c>
      <c r="B10244" s="135">
        <f>YEAR(source[[#This Row],[report_date]])</f>
        <v>2025</v>
      </c>
      <c r="C10244" s="128">
        <f t="shared" si="478"/>
        <v>11</v>
      </c>
      <c r="D10244" s="136">
        <f t="shared" si="480"/>
        <v>44</v>
      </c>
      <c r="E10244" s="136">
        <f t="shared" si="479"/>
        <v>2</v>
      </c>
      <c r="F10244" s="137" t="s">
        <v>24</v>
      </c>
      <c r="G10244" s="128" t="str">
        <f>VLOOKUP(source[[#This Row],[lending_product_transform]],[3]Mapping!$B$4:$C$37,2,0)</f>
        <v>[Cake] - Cashloan</v>
      </c>
      <c r="H10244" s="128" t="str">
        <f>VLOOKUP(source[[#This Row],[lending_product_transform]],[3]Mapping!$B$3:$D$37,3,0)</f>
        <v>cashloan</v>
      </c>
      <c r="I10244" s="143">
        <v>358750083</v>
      </c>
    </row>
    <row r="10245" spans="1:9" x14ac:dyDescent="0.2">
      <c r="A10245" s="134">
        <v>45963</v>
      </c>
      <c r="B10245" s="135">
        <f>YEAR(source[[#This Row],[report_date]])</f>
        <v>2025</v>
      </c>
      <c r="C10245" s="128">
        <f t="shared" si="478"/>
        <v>11</v>
      </c>
      <c r="D10245" s="136">
        <f t="shared" si="480"/>
        <v>44</v>
      </c>
      <c r="E10245" s="136">
        <f t="shared" si="479"/>
        <v>2</v>
      </c>
      <c r="F10245" s="137" t="s">
        <v>24</v>
      </c>
      <c r="G10245" s="128" t="str">
        <f>VLOOKUP(source[[#This Row],[lending_product_transform]],[3]Mapping!$B$4:$C$37,2,0)</f>
        <v>[Cake] - Cashloan</v>
      </c>
      <c r="H10245" s="128" t="str">
        <f>VLOOKUP(source[[#This Row],[lending_product_transform]],[3]Mapping!$B$3:$D$37,3,0)</f>
        <v>cashloan</v>
      </c>
      <c r="I10245" s="143">
        <v>13819920000</v>
      </c>
    </row>
    <row r="10246" spans="1:9" x14ac:dyDescent="0.2">
      <c r="A10246" s="134">
        <v>45963</v>
      </c>
      <c r="B10246" s="135">
        <f>YEAR(source[[#This Row],[report_date]])</f>
        <v>2025</v>
      </c>
      <c r="C10246" s="128">
        <f t="shared" si="478"/>
        <v>11</v>
      </c>
      <c r="D10246" s="136">
        <f t="shared" si="480"/>
        <v>44</v>
      </c>
      <c r="E10246" s="136">
        <f t="shared" si="479"/>
        <v>2</v>
      </c>
      <c r="F10246" s="137" t="s">
        <v>24</v>
      </c>
      <c r="G10246" s="128" t="str">
        <f>VLOOKUP(source[[#This Row],[lending_product_transform]],[3]Mapping!$B$4:$C$37,2,0)</f>
        <v>[Cake] - Cashloan</v>
      </c>
      <c r="H10246" s="128" t="str">
        <f>VLOOKUP(source[[#This Row],[lending_product_transform]],[3]Mapping!$B$3:$D$37,3,0)</f>
        <v>cashloan</v>
      </c>
      <c r="I10246" s="143">
        <v>2984324308</v>
      </c>
    </row>
    <row r="10247" spans="1:9" x14ac:dyDescent="0.2">
      <c r="A10247" s="134">
        <v>45963</v>
      </c>
      <c r="B10247" s="135">
        <f>YEAR(source[[#This Row],[report_date]])</f>
        <v>2025</v>
      </c>
      <c r="C10247" s="128">
        <f t="shared" si="478"/>
        <v>11</v>
      </c>
      <c r="D10247" s="136">
        <f t="shared" si="480"/>
        <v>44</v>
      </c>
      <c r="E10247" s="136">
        <f t="shared" si="479"/>
        <v>2</v>
      </c>
      <c r="F10247" s="137" t="s">
        <v>24</v>
      </c>
      <c r="G10247" s="128" t="str">
        <f>VLOOKUP(source[[#This Row],[lending_product_transform]],[3]Mapping!$B$4:$C$37,2,0)</f>
        <v>[Cake] - Cashloan</v>
      </c>
      <c r="H10247" s="128" t="str">
        <f>VLOOKUP(source[[#This Row],[lending_product_transform]],[3]Mapping!$B$3:$D$37,3,0)</f>
        <v>cashloan</v>
      </c>
      <c r="I10247" s="143">
        <v>7905276000</v>
      </c>
    </row>
    <row r="10248" spans="1:9" x14ac:dyDescent="0.2">
      <c r="A10248" s="134">
        <v>45963</v>
      </c>
      <c r="B10248" s="135">
        <f>YEAR(source[[#This Row],[report_date]])</f>
        <v>2025</v>
      </c>
      <c r="C10248" s="128">
        <f t="shared" si="478"/>
        <v>11</v>
      </c>
      <c r="D10248" s="136">
        <f t="shared" si="480"/>
        <v>44</v>
      </c>
      <c r="E10248" s="136">
        <f t="shared" si="479"/>
        <v>2</v>
      </c>
      <c r="F10248" s="137" t="s">
        <v>24</v>
      </c>
      <c r="G10248" s="128" t="str">
        <f>VLOOKUP(source[[#This Row],[lending_product_transform]],[3]Mapping!$B$4:$C$37,2,0)</f>
        <v>[Cake] - Cashloan</v>
      </c>
      <c r="H10248" s="128" t="str">
        <f>VLOOKUP(source[[#This Row],[lending_product_transform]],[3]Mapping!$B$3:$D$37,3,0)</f>
        <v>cashloan</v>
      </c>
      <c r="I10248" s="143">
        <v>28475282</v>
      </c>
    </row>
    <row r="10249" spans="1:9" x14ac:dyDescent="0.2">
      <c r="A10249" s="134">
        <v>45963</v>
      </c>
      <c r="B10249" s="135">
        <f>YEAR(source[[#This Row],[report_date]])</f>
        <v>2025</v>
      </c>
      <c r="C10249" s="128">
        <f t="shared" si="478"/>
        <v>11</v>
      </c>
      <c r="D10249" s="136">
        <f t="shared" si="480"/>
        <v>44</v>
      </c>
      <c r="E10249" s="136">
        <f t="shared" si="479"/>
        <v>2</v>
      </c>
      <c r="F10249" s="137" t="s">
        <v>24</v>
      </c>
      <c r="G10249" s="128" t="str">
        <f>VLOOKUP(source[[#This Row],[lending_product_transform]],[3]Mapping!$B$4:$C$37,2,0)</f>
        <v>[Cake] - Cashloan</v>
      </c>
      <c r="H10249" s="128" t="str">
        <f>VLOOKUP(source[[#This Row],[lending_product_transform]],[3]Mapping!$B$3:$D$37,3,0)</f>
        <v>cashloan</v>
      </c>
      <c r="I10249" s="143">
        <v>2470500000</v>
      </c>
    </row>
    <row r="10250" spans="1:9" x14ac:dyDescent="0.2">
      <c r="A10250" s="134">
        <v>45963</v>
      </c>
      <c r="B10250" s="135">
        <f>YEAR(source[[#This Row],[report_date]])</f>
        <v>2025</v>
      </c>
      <c r="C10250" s="128">
        <f t="shared" si="478"/>
        <v>11</v>
      </c>
      <c r="D10250" s="136">
        <f t="shared" si="480"/>
        <v>44</v>
      </c>
      <c r="E10250" s="136">
        <f t="shared" si="479"/>
        <v>2</v>
      </c>
      <c r="F10250" s="137" t="s">
        <v>24</v>
      </c>
      <c r="G10250" s="128" t="str">
        <f>VLOOKUP(source[[#This Row],[lending_product_transform]],[3]Mapping!$B$4:$C$37,2,0)</f>
        <v>[Cake] - Cashloan</v>
      </c>
      <c r="H10250" s="128" t="str">
        <f>VLOOKUP(source[[#This Row],[lending_product_transform]],[3]Mapping!$B$3:$D$37,3,0)</f>
        <v>cashloan</v>
      </c>
      <c r="I10250" s="143">
        <v>40218108</v>
      </c>
    </row>
    <row r="10251" spans="1:9" x14ac:dyDescent="0.2">
      <c r="A10251" s="134">
        <v>45963</v>
      </c>
      <c r="B10251" s="135">
        <f>YEAR(source[[#This Row],[report_date]])</f>
        <v>2025</v>
      </c>
      <c r="C10251" s="128">
        <f t="shared" si="478"/>
        <v>11</v>
      </c>
      <c r="D10251" s="136">
        <f t="shared" si="480"/>
        <v>44</v>
      </c>
      <c r="E10251" s="136">
        <f t="shared" si="479"/>
        <v>2</v>
      </c>
      <c r="F10251" s="137" t="s">
        <v>24</v>
      </c>
      <c r="G10251" s="128" t="str">
        <f>VLOOKUP(source[[#This Row],[lending_product_transform]],[3]Mapping!$B$4:$C$37,2,0)</f>
        <v>[Cake] - Cashloan</v>
      </c>
      <c r="H10251" s="128" t="str">
        <f>VLOOKUP(source[[#This Row],[lending_product_transform]],[3]Mapping!$B$3:$D$37,3,0)</f>
        <v>cashloan</v>
      </c>
      <c r="I10251" s="143">
        <v>978559742</v>
      </c>
    </row>
    <row r="10252" spans="1:9" x14ac:dyDescent="0.2">
      <c r="A10252" s="134">
        <v>45963</v>
      </c>
      <c r="B10252" s="135">
        <f>YEAR(source[[#This Row],[report_date]])</f>
        <v>2025</v>
      </c>
      <c r="C10252" s="128">
        <f t="shared" si="478"/>
        <v>11</v>
      </c>
      <c r="D10252" s="136">
        <f t="shared" si="480"/>
        <v>44</v>
      </c>
      <c r="E10252" s="136">
        <f t="shared" si="479"/>
        <v>2</v>
      </c>
      <c r="F10252" s="137" t="s">
        <v>24</v>
      </c>
      <c r="G10252" s="128" t="str">
        <f>VLOOKUP(source[[#This Row],[lending_product_transform]],[3]Mapping!$B$4:$C$37,2,0)</f>
        <v>[Cake] - Cashloan</v>
      </c>
      <c r="H10252" s="128" t="str">
        <f>VLOOKUP(source[[#This Row],[lending_product_transform]],[3]Mapping!$B$3:$D$37,3,0)</f>
        <v>cashloan</v>
      </c>
      <c r="I10252" s="143">
        <v>0</v>
      </c>
    </row>
    <row r="10253" spans="1:9" x14ac:dyDescent="0.2">
      <c r="A10253" s="134">
        <v>45963</v>
      </c>
      <c r="B10253" s="135">
        <f>YEAR(source[[#This Row],[report_date]])</f>
        <v>2025</v>
      </c>
      <c r="C10253" s="128">
        <f t="shared" si="478"/>
        <v>11</v>
      </c>
      <c r="D10253" s="136">
        <f t="shared" si="480"/>
        <v>44</v>
      </c>
      <c r="E10253" s="136">
        <f t="shared" si="479"/>
        <v>2</v>
      </c>
      <c r="F10253" s="137" t="s">
        <v>24</v>
      </c>
      <c r="G10253" s="128" t="str">
        <f>VLOOKUP(source[[#This Row],[lending_product_transform]],[3]Mapping!$B$4:$C$37,2,0)</f>
        <v>[Cake] - Cashloan</v>
      </c>
      <c r="H10253" s="128" t="str">
        <f>VLOOKUP(source[[#This Row],[lending_product_transform]],[3]Mapping!$B$3:$D$37,3,0)</f>
        <v>cashloan</v>
      </c>
      <c r="I10253" s="143">
        <v>114500000</v>
      </c>
    </row>
    <row r="10254" spans="1:9" x14ac:dyDescent="0.2">
      <c r="A10254" s="134">
        <v>45963</v>
      </c>
      <c r="B10254" s="135">
        <f>YEAR(source[[#This Row],[report_date]])</f>
        <v>2025</v>
      </c>
      <c r="C10254" s="128">
        <f t="shared" si="478"/>
        <v>11</v>
      </c>
      <c r="D10254" s="136">
        <f t="shared" si="480"/>
        <v>44</v>
      </c>
      <c r="E10254" s="136">
        <f t="shared" si="479"/>
        <v>2</v>
      </c>
      <c r="F10254" s="137" t="s">
        <v>24</v>
      </c>
      <c r="G10254" s="128" t="str">
        <f>VLOOKUP(source[[#This Row],[lending_product_transform]],[3]Mapping!$B$4:$C$37,2,0)</f>
        <v>[Cake] - Cashloan</v>
      </c>
      <c r="H10254" s="128" t="str">
        <f>VLOOKUP(source[[#This Row],[lending_product_transform]],[3]Mapping!$B$3:$D$37,3,0)</f>
        <v>cashloan</v>
      </c>
      <c r="I10254" s="143">
        <v>13392750000</v>
      </c>
    </row>
    <row r="10255" spans="1:9" x14ac:dyDescent="0.2">
      <c r="A10255" s="134">
        <v>45963</v>
      </c>
      <c r="B10255" s="135">
        <f>YEAR(source[[#This Row],[report_date]])</f>
        <v>2025</v>
      </c>
      <c r="C10255" s="128">
        <f t="shared" si="478"/>
        <v>11</v>
      </c>
      <c r="D10255" s="136">
        <f t="shared" si="480"/>
        <v>44</v>
      </c>
      <c r="E10255" s="136">
        <f t="shared" si="479"/>
        <v>2</v>
      </c>
      <c r="F10255" s="137" t="s">
        <v>24</v>
      </c>
      <c r="G10255" s="128" t="str">
        <f>VLOOKUP(source[[#This Row],[lending_product_transform]],[3]Mapping!$B$4:$C$37,2,0)</f>
        <v>[Cake] - Cashloan</v>
      </c>
      <c r="H10255" s="128" t="str">
        <f>VLOOKUP(source[[#This Row],[lending_product_transform]],[3]Mapping!$B$3:$D$37,3,0)</f>
        <v>cashloan</v>
      </c>
      <c r="I10255" s="143">
        <v>0</v>
      </c>
    </row>
    <row r="10256" spans="1:9" x14ac:dyDescent="0.2">
      <c r="A10256" s="134">
        <v>45963</v>
      </c>
      <c r="B10256" s="135">
        <f>YEAR(source[[#This Row],[report_date]])</f>
        <v>2025</v>
      </c>
      <c r="C10256" s="128">
        <f t="shared" si="478"/>
        <v>11</v>
      </c>
      <c r="D10256" s="136">
        <f t="shared" si="480"/>
        <v>44</v>
      </c>
      <c r="E10256" s="136">
        <f t="shared" si="479"/>
        <v>2</v>
      </c>
      <c r="F10256" s="137" t="s">
        <v>24</v>
      </c>
      <c r="G10256" s="128" t="str">
        <f>VLOOKUP(source[[#This Row],[lending_product_transform]],[3]Mapping!$B$4:$C$37,2,0)</f>
        <v>[Cake] - Cashloan</v>
      </c>
      <c r="H10256" s="128" t="str">
        <f>VLOOKUP(source[[#This Row],[lending_product_transform]],[3]Mapping!$B$3:$D$37,3,0)</f>
        <v>cashloan</v>
      </c>
      <c r="I10256" s="143">
        <v>0</v>
      </c>
    </row>
    <row r="10257" spans="1:9" x14ac:dyDescent="0.2">
      <c r="A10257" s="134">
        <v>45963</v>
      </c>
      <c r="B10257" s="135">
        <f>YEAR(source[[#This Row],[report_date]])</f>
        <v>2025</v>
      </c>
      <c r="C10257" s="128">
        <f t="shared" si="478"/>
        <v>11</v>
      </c>
      <c r="D10257" s="136">
        <f t="shared" si="480"/>
        <v>44</v>
      </c>
      <c r="E10257" s="136">
        <f t="shared" si="479"/>
        <v>2</v>
      </c>
      <c r="F10257" s="137" t="s">
        <v>24</v>
      </c>
      <c r="G10257" s="128" t="str">
        <f>VLOOKUP(source[[#This Row],[lending_product_transform]],[3]Mapping!$B$4:$C$37,2,0)</f>
        <v>[Cake] - Cashloan</v>
      </c>
      <c r="H10257" s="128" t="str">
        <f>VLOOKUP(source[[#This Row],[lending_product_transform]],[3]Mapping!$B$3:$D$37,3,0)</f>
        <v>cashloan</v>
      </c>
      <c r="I10257" s="143">
        <v>0</v>
      </c>
    </row>
    <row r="10258" spans="1:9" x14ac:dyDescent="0.2">
      <c r="A10258" s="134">
        <v>45963</v>
      </c>
      <c r="B10258" s="135">
        <f>YEAR(source[[#This Row],[report_date]])</f>
        <v>2025</v>
      </c>
      <c r="C10258" s="128">
        <f t="shared" si="478"/>
        <v>11</v>
      </c>
      <c r="D10258" s="136">
        <f t="shared" si="480"/>
        <v>44</v>
      </c>
      <c r="E10258" s="136">
        <f t="shared" si="479"/>
        <v>2</v>
      </c>
      <c r="F10258" s="137" t="s">
        <v>24</v>
      </c>
      <c r="G10258" s="128" t="str">
        <f>VLOOKUP(source[[#This Row],[lending_product_transform]],[3]Mapping!$B$4:$C$37,2,0)</f>
        <v>[Cake] - Cashloan</v>
      </c>
      <c r="H10258" s="128" t="str">
        <f>VLOOKUP(source[[#This Row],[lending_product_transform]],[3]Mapping!$B$3:$D$37,3,0)</f>
        <v>cashloan</v>
      </c>
      <c r="I10258" s="143">
        <v>15000000</v>
      </c>
    </row>
    <row r="10259" spans="1:9" x14ac:dyDescent="0.2">
      <c r="A10259" s="134">
        <v>45963</v>
      </c>
      <c r="B10259" s="135">
        <f>YEAR(source[[#This Row],[report_date]])</f>
        <v>2025</v>
      </c>
      <c r="C10259" s="128">
        <f t="shared" si="478"/>
        <v>11</v>
      </c>
      <c r="D10259" s="136">
        <f t="shared" si="480"/>
        <v>44</v>
      </c>
      <c r="E10259" s="136">
        <f t="shared" si="479"/>
        <v>2</v>
      </c>
      <c r="F10259" s="137" t="s">
        <v>24</v>
      </c>
      <c r="G10259" s="128" t="str">
        <f>VLOOKUP(source[[#This Row],[lending_product_transform]],[3]Mapping!$B$4:$C$37,2,0)</f>
        <v>[Cake] - Cashloan</v>
      </c>
      <c r="H10259" s="128" t="str">
        <f>VLOOKUP(source[[#This Row],[lending_product_transform]],[3]Mapping!$B$3:$D$37,3,0)</f>
        <v>cashloan</v>
      </c>
      <c r="I10259" s="143">
        <v>9450432000</v>
      </c>
    </row>
    <row r="10260" spans="1:9" x14ac:dyDescent="0.2">
      <c r="A10260" s="134">
        <v>45963</v>
      </c>
      <c r="B10260" s="135">
        <f>YEAR(source[[#This Row],[report_date]])</f>
        <v>2025</v>
      </c>
      <c r="C10260" s="128">
        <f t="shared" si="478"/>
        <v>11</v>
      </c>
      <c r="D10260" s="136">
        <f t="shared" si="480"/>
        <v>44</v>
      </c>
      <c r="E10260" s="136">
        <f t="shared" si="479"/>
        <v>2</v>
      </c>
      <c r="F10260" s="137" t="s">
        <v>24</v>
      </c>
      <c r="G10260" s="128" t="str">
        <f>VLOOKUP(source[[#This Row],[lending_product_transform]],[3]Mapping!$B$4:$C$37,2,0)</f>
        <v>[Cake] - Cashloan</v>
      </c>
      <c r="H10260" s="128" t="str">
        <f>VLOOKUP(source[[#This Row],[lending_product_transform]],[3]Mapping!$B$3:$D$37,3,0)</f>
        <v>cashloan</v>
      </c>
      <c r="I10260" s="143">
        <v>451806061</v>
      </c>
    </row>
    <row r="10261" spans="1:9" x14ac:dyDescent="0.2">
      <c r="A10261" s="134">
        <v>45963</v>
      </c>
      <c r="B10261" s="135">
        <f>YEAR(source[[#This Row],[report_date]])</f>
        <v>2025</v>
      </c>
      <c r="C10261" s="128">
        <f t="shared" si="478"/>
        <v>11</v>
      </c>
      <c r="D10261" s="136">
        <f t="shared" si="480"/>
        <v>44</v>
      </c>
      <c r="E10261" s="136">
        <f t="shared" si="479"/>
        <v>2</v>
      </c>
      <c r="F10261" s="137" t="s">
        <v>24</v>
      </c>
      <c r="G10261" s="128" t="str">
        <f>VLOOKUP(source[[#This Row],[lending_product_transform]],[3]Mapping!$B$4:$C$37,2,0)</f>
        <v>[Cake] - Cashloan</v>
      </c>
      <c r="H10261" s="128" t="str">
        <f>VLOOKUP(source[[#This Row],[lending_product_transform]],[3]Mapping!$B$3:$D$37,3,0)</f>
        <v>cashloan</v>
      </c>
      <c r="I10261" s="143">
        <v>44500000</v>
      </c>
    </row>
    <row r="10262" spans="1:9" x14ac:dyDescent="0.2">
      <c r="A10262" s="134">
        <v>45963</v>
      </c>
      <c r="B10262" s="135">
        <f>YEAR(source[[#This Row],[report_date]])</f>
        <v>2025</v>
      </c>
      <c r="C10262" s="128">
        <f t="shared" si="478"/>
        <v>11</v>
      </c>
      <c r="D10262" s="136">
        <f t="shared" si="480"/>
        <v>44</v>
      </c>
      <c r="E10262" s="136">
        <f t="shared" si="479"/>
        <v>2</v>
      </c>
      <c r="F10262" s="137" t="s">
        <v>24</v>
      </c>
      <c r="G10262" s="128" t="str">
        <f>VLOOKUP(source[[#This Row],[lending_product_transform]],[3]Mapping!$B$4:$C$37,2,0)</f>
        <v>[Cake] - Cashloan</v>
      </c>
      <c r="H10262" s="128" t="str">
        <f>VLOOKUP(source[[#This Row],[lending_product_transform]],[3]Mapping!$B$3:$D$37,3,0)</f>
        <v>cashloan</v>
      </c>
      <c r="I10262" s="143">
        <v>34000000</v>
      </c>
    </row>
    <row r="10263" spans="1:9" x14ac:dyDescent="0.2">
      <c r="A10263" s="134">
        <v>45963</v>
      </c>
      <c r="B10263" s="135">
        <f>YEAR(source[[#This Row],[report_date]])</f>
        <v>2025</v>
      </c>
      <c r="C10263" s="128">
        <f t="shared" si="478"/>
        <v>11</v>
      </c>
      <c r="D10263" s="136">
        <f t="shared" si="480"/>
        <v>44</v>
      </c>
      <c r="E10263" s="136">
        <f t="shared" si="479"/>
        <v>2</v>
      </c>
      <c r="F10263" s="137" t="s">
        <v>24</v>
      </c>
      <c r="G10263" s="128" t="str">
        <f>VLOOKUP(source[[#This Row],[lending_product_transform]],[3]Mapping!$B$4:$C$37,2,0)</f>
        <v>[Cake] - Cashloan</v>
      </c>
      <c r="H10263" s="128" t="str">
        <f>VLOOKUP(source[[#This Row],[lending_product_transform]],[3]Mapping!$B$3:$D$37,3,0)</f>
        <v>cashloan</v>
      </c>
      <c r="I10263" s="143">
        <v>460820000</v>
      </c>
    </row>
    <row r="10264" spans="1:9" x14ac:dyDescent="0.2">
      <c r="A10264" s="134">
        <v>45963</v>
      </c>
      <c r="B10264" s="135">
        <f>YEAR(source[[#This Row],[report_date]])</f>
        <v>2025</v>
      </c>
      <c r="C10264" s="128">
        <f t="shared" si="478"/>
        <v>11</v>
      </c>
      <c r="D10264" s="136">
        <f t="shared" si="480"/>
        <v>44</v>
      </c>
      <c r="E10264" s="136">
        <f t="shared" si="479"/>
        <v>2</v>
      </c>
      <c r="F10264" s="137" t="s">
        <v>24</v>
      </c>
      <c r="G10264" s="128" t="str">
        <f>VLOOKUP(source[[#This Row],[lending_product_transform]],[3]Mapping!$B$4:$C$37,2,0)</f>
        <v>[Cake] - Cashloan</v>
      </c>
      <c r="H10264" s="128" t="str">
        <f>VLOOKUP(source[[#This Row],[lending_product_transform]],[3]Mapping!$B$3:$D$37,3,0)</f>
        <v>cashloan</v>
      </c>
      <c r="I10264" s="143">
        <v>225720000</v>
      </c>
    </row>
    <row r="10265" spans="1:9" x14ac:dyDescent="0.2">
      <c r="A10265" s="134">
        <v>45963</v>
      </c>
      <c r="B10265" s="135">
        <f>YEAR(source[[#This Row],[report_date]])</f>
        <v>2025</v>
      </c>
      <c r="C10265" s="128">
        <f t="shared" si="478"/>
        <v>11</v>
      </c>
      <c r="D10265" s="136">
        <f t="shared" si="480"/>
        <v>44</v>
      </c>
      <c r="E10265" s="136">
        <f t="shared" si="479"/>
        <v>2</v>
      </c>
      <c r="F10265" s="137" t="s">
        <v>24</v>
      </c>
      <c r="G10265" s="128" t="str">
        <f>VLOOKUP(source[[#This Row],[lending_product_transform]],[3]Mapping!$B$4:$C$37,2,0)</f>
        <v>[Cake] - Cashloan</v>
      </c>
      <c r="H10265" s="128" t="str">
        <f>VLOOKUP(source[[#This Row],[lending_product_transform]],[3]Mapping!$B$3:$D$37,3,0)</f>
        <v>cashloan</v>
      </c>
      <c r="I10265" s="143">
        <v>1022537492</v>
      </c>
    </row>
    <row r="10266" spans="1:9" x14ac:dyDescent="0.2">
      <c r="A10266" s="134">
        <v>45963</v>
      </c>
      <c r="B10266" s="135">
        <f>YEAR(source[[#This Row],[report_date]])</f>
        <v>2025</v>
      </c>
      <c r="C10266" s="128">
        <f t="shared" si="478"/>
        <v>11</v>
      </c>
      <c r="D10266" s="136">
        <f t="shared" si="480"/>
        <v>44</v>
      </c>
      <c r="E10266" s="136">
        <f t="shared" si="479"/>
        <v>2</v>
      </c>
      <c r="F10266" s="137" t="s">
        <v>24</v>
      </c>
      <c r="G10266" s="128" t="str">
        <f>VLOOKUP(source[[#This Row],[lending_product_transform]],[3]Mapping!$B$4:$C$37,2,0)</f>
        <v>[Cake] - Cashloan</v>
      </c>
      <c r="H10266" s="128" t="str">
        <f>VLOOKUP(source[[#This Row],[lending_product_transform]],[3]Mapping!$B$3:$D$37,3,0)</f>
        <v>cashloan</v>
      </c>
      <c r="I10266" s="143">
        <v>3727150000</v>
      </c>
    </row>
    <row r="10267" spans="1:9" x14ac:dyDescent="0.2">
      <c r="A10267" s="134">
        <v>45964</v>
      </c>
      <c r="B10267" s="135">
        <f>YEAR(source[[#This Row],[report_date]])</f>
        <v>2025</v>
      </c>
      <c r="C10267" s="128">
        <f t="shared" si="478"/>
        <v>11</v>
      </c>
      <c r="D10267" s="136">
        <f t="shared" si="480"/>
        <v>45</v>
      </c>
      <c r="E10267" s="136">
        <f t="shared" si="479"/>
        <v>3</v>
      </c>
      <c r="F10267" s="137" t="s">
        <v>24</v>
      </c>
      <c r="G10267" s="128" t="str">
        <f>VLOOKUP(source[[#This Row],[lending_product_transform]],[3]Mapping!$B$4:$C$37,2,0)</f>
        <v>[Cake] - Cashloan</v>
      </c>
      <c r="H10267" s="128" t="str">
        <f>VLOOKUP(source[[#This Row],[lending_product_transform]],[3]Mapping!$B$3:$D$37,3,0)</f>
        <v>cashloan</v>
      </c>
      <c r="I10267" s="143">
        <v>15750000</v>
      </c>
    </row>
    <row r="10268" spans="1:9" x14ac:dyDescent="0.2">
      <c r="A10268" s="134">
        <v>45964</v>
      </c>
      <c r="B10268" s="135">
        <f>YEAR(source[[#This Row],[report_date]])</f>
        <v>2025</v>
      </c>
      <c r="C10268" s="128">
        <f t="shared" si="478"/>
        <v>11</v>
      </c>
      <c r="D10268" s="136">
        <f t="shared" si="480"/>
        <v>45</v>
      </c>
      <c r="E10268" s="136">
        <f t="shared" si="479"/>
        <v>3</v>
      </c>
      <c r="F10268" s="137" t="s">
        <v>24</v>
      </c>
      <c r="G10268" s="128" t="str">
        <f>VLOOKUP(source[[#This Row],[lending_product_transform]],[3]Mapping!$B$4:$C$37,2,0)</f>
        <v>[Cake] - Cashloan</v>
      </c>
      <c r="H10268" s="128" t="str">
        <f>VLOOKUP(source[[#This Row],[lending_product_transform]],[3]Mapping!$B$3:$D$37,3,0)</f>
        <v>cashloan</v>
      </c>
      <c r="I10268" s="143">
        <v>409473918</v>
      </c>
    </row>
    <row r="10269" spans="1:9" x14ac:dyDescent="0.2">
      <c r="A10269" s="134">
        <v>45964</v>
      </c>
      <c r="B10269" s="135">
        <f>YEAR(source[[#This Row],[report_date]])</f>
        <v>2025</v>
      </c>
      <c r="C10269" s="128">
        <f t="shared" si="478"/>
        <v>11</v>
      </c>
      <c r="D10269" s="136">
        <f t="shared" si="480"/>
        <v>45</v>
      </c>
      <c r="E10269" s="136">
        <f t="shared" si="479"/>
        <v>3</v>
      </c>
      <c r="F10269" s="137" t="s">
        <v>24</v>
      </c>
      <c r="G10269" s="128" t="str">
        <f>VLOOKUP(source[[#This Row],[lending_product_transform]],[3]Mapping!$B$4:$C$37,2,0)</f>
        <v>[Cake] - Cashloan</v>
      </c>
      <c r="H10269" s="128" t="str">
        <f>VLOOKUP(source[[#This Row],[lending_product_transform]],[3]Mapping!$B$3:$D$37,3,0)</f>
        <v>cashloan</v>
      </c>
      <c r="I10269" s="143">
        <v>17236600000</v>
      </c>
    </row>
    <row r="10270" spans="1:9" x14ac:dyDescent="0.2">
      <c r="A10270" s="134">
        <v>45964</v>
      </c>
      <c r="B10270" s="135">
        <f>YEAR(source[[#This Row],[report_date]])</f>
        <v>2025</v>
      </c>
      <c r="C10270" s="128">
        <f t="shared" si="478"/>
        <v>11</v>
      </c>
      <c r="D10270" s="136">
        <f t="shared" si="480"/>
        <v>45</v>
      </c>
      <c r="E10270" s="136">
        <f t="shared" si="479"/>
        <v>3</v>
      </c>
      <c r="F10270" s="137" t="s">
        <v>24</v>
      </c>
      <c r="G10270" s="128" t="str">
        <f>VLOOKUP(source[[#This Row],[lending_product_transform]],[3]Mapping!$B$4:$C$37,2,0)</f>
        <v>[Cake] - Cashloan</v>
      </c>
      <c r="H10270" s="128" t="str">
        <f>VLOOKUP(source[[#This Row],[lending_product_transform]],[3]Mapping!$B$3:$D$37,3,0)</f>
        <v>cashloan</v>
      </c>
      <c r="I10270" s="143">
        <v>3376644741</v>
      </c>
    </row>
    <row r="10271" spans="1:9" x14ac:dyDescent="0.2">
      <c r="A10271" s="134">
        <v>45964</v>
      </c>
      <c r="B10271" s="135">
        <f>YEAR(source[[#This Row],[report_date]])</f>
        <v>2025</v>
      </c>
      <c r="C10271" s="128">
        <f t="shared" si="478"/>
        <v>11</v>
      </c>
      <c r="D10271" s="136">
        <f t="shared" si="480"/>
        <v>45</v>
      </c>
      <c r="E10271" s="136">
        <f t="shared" si="479"/>
        <v>3</v>
      </c>
      <c r="F10271" s="137" t="s">
        <v>24</v>
      </c>
      <c r="G10271" s="128" t="str">
        <f>VLOOKUP(source[[#This Row],[lending_product_transform]],[3]Mapping!$B$4:$C$37,2,0)</f>
        <v>[Cake] - Cashloan</v>
      </c>
      <c r="H10271" s="128" t="str">
        <f>VLOOKUP(source[[#This Row],[lending_product_transform]],[3]Mapping!$B$3:$D$37,3,0)</f>
        <v>cashloan</v>
      </c>
      <c r="I10271" s="143">
        <v>8696700000</v>
      </c>
    </row>
    <row r="10272" spans="1:9" x14ac:dyDescent="0.2">
      <c r="A10272" s="134">
        <v>45964</v>
      </c>
      <c r="B10272" s="135">
        <f>YEAR(source[[#This Row],[report_date]])</f>
        <v>2025</v>
      </c>
      <c r="C10272" s="128">
        <f t="shared" si="478"/>
        <v>11</v>
      </c>
      <c r="D10272" s="136">
        <f t="shared" si="480"/>
        <v>45</v>
      </c>
      <c r="E10272" s="136">
        <f t="shared" si="479"/>
        <v>3</v>
      </c>
      <c r="F10272" s="137" t="s">
        <v>24</v>
      </c>
      <c r="G10272" s="128" t="str">
        <f>VLOOKUP(source[[#This Row],[lending_product_transform]],[3]Mapping!$B$4:$C$37,2,0)</f>
        <v>[Cake] - Cashloan</v>
      </c>
      <c r="H10272" s="128" t="str">
        <f>VLOOKUP(source[[#This Row],[lending_product_transform]],[3]Mapping!$B$3:$D$37,3,0)</f>
        <v>cashloan</v>
      </c>
      <c r="I10272" s="143">
        <v>124748818</v>
      </c>
    </row>
    <row r="10273" spans="1:9" x14ac:dyDescent="0.2">
      <c r="A10273" s="134">
        <v>45964</v>
      </c>
      <c r="B10273" s="135">
        <f>YEAR(source[[#This Row],[report_date]])</f>
        <v>2025</v>
      </c>
      <c r="C10273" s="128">
        <f t="shared" si="478"/>
        <v>11</v>
      </c>
      <c r="D10273" s="136">
        <f t="shared" si="480"/>
        <v>45</v>
      </c>
      <c r="E10273" s="136">
        <f t="shared" si="479"/>
        <v>3</v>
      </c>
      <c r="F10273" s="137" t="s">
        <v>24</v>
      </c>
      <c r="G10273" s="128" t="str">
        <f>VLOOKUP(source[[#This Row],[lending_product_transform]],[3]Mapping!$B$4:$C$37,2,0)</f>
        <v>[Cake] - Cashloan</v>
      </c>
      <c r="H10273" s="128" t="str">
        <f>VLOOKUP(source[[#This Row],[lending_product_transform]],[3]Mapping!$B$3:$D$37,3,0)</f>
        <v>cashloan</v>
      </c>
      <c r="I10273" s="143">
        <v>2847450000</v>
      </c>
    </row>
    <row r="10274" spans="1:9" x14ac:dyDescent="0.2">
      <c r="A10274" s="134">
        <v>45964</v>
      </c>
      <c r="B10274" s="135">
        <f>YEAR(source[[#This Row],[report_date]])</f>
        <v>2025</v>
      </c>
      <c r="C10274" s="128">
        <f t="shared" si="478"/>
        <v>11</v>
      </c>
      <c r="D10274" s="136">
        <f t="shared" si="480"/>
        <v>45</v>
      </c>
      <c r="E10274" s="136">
        <f t="shared" si="479"/>
        <v>3</v>
      </c>
      <c r="F10274" s="137" t="s">
        <v>24</v>
      </c>
      <c r="G10274" s="128" t="str">
        <f>VLOOKUP(source[[#This Row],[lending_product_transform]],[3]Mapping!$B$4:$C$37,2,0)</f>
        <v>[Cake] - Cashloan</v>
      </c>
      <c r="H10274" s="128" t="str">
        <f>VLOOKUP(source[[#This Row],[lending_product_transform]],[3]Mapping!$B$3:$D$37,3,0)</f>
        <v>cashloan</v>
      </c>
      <c r="I10274" s="143">
        <v>84371800</v>
      </c>
    </row>
    <row r="10275" spans="1:9" x14ac:dyDescent="0.2">
      <c r="A10275" s="134">
        <v>45964</v>
      </c>
      <c r="B10275" s="135">
        <f>YEAR(source[[#This Row],[report_date]])</f>
        <v>2025</v>
      </c>
      <c r="C10275" s="128">
        <f t="shared" si="478"/>
        <v>11</v>
      </c>
      <c r="D10275" s="136">
        <f t="shared" si="480"/>
        <v>45</v>
      </c>
      <c r="E10275" s="136">
        <f t="shared" si="479"/>
        <v>3</v>
      </c>
      <c r="F10275" s="137" t="s">
        <v>24</v>
      </c>
      <c r="G10275" s="128" t="str">
        <f>VLOOKUP(source[[#This Row],[lending_product_transform]],[3]Mapping!$B$4:$C$37,2,0)</f>
        <v>[Cake] - Cashloan</v>
      </c>
      <c r="H10275" s="128" t="str">
        <f>VLOOKUP(source[[#This Row],[lending_product_transform]],[3]Mapping!$B$3:$D$37,3,0)</f>
        <v>cashloan</v>
      </c>
      <c r="I10275" s="143">
        <v>1393000999</v>
      </c>
    </row>
    <row r="10276" spans="1:9" x14ac:dyDescent="0.2">
      <c r="A10276" s="134">
        <v>45964</v>
      </c>
      <c r="B10276" s="135">
        <f>YEAR(source[[#This Row],[report_date]])</f>
        <v>2025</v>
      </c>
      <c r="C10276" s="128">
        <f t="shared" si="478"/>
        <v>11</v>
      </c>
      <c r="D10276" s="136">
        <f t="shared" si="480"/>
        <v>45</v>
      </c>
      <c r="E10276" s="136">
        <f t="shared" si="479"/>
        <v>3</v>
      </c>
      <c r="F10276" s="137" t="s">
        <v>24</v>
      </c>
      <c r="G10276" s="128" t="str">
        <f>VLOOKUP(source[[#This Row],[lending_product_transform]],[3]Mapping!$B$4:$C$37,2,0)</f>
        <v>[Cake] - Cashloan</v>
      </c>
      <c r="H10276" s="128" t="str">
        <f>VLOOKUP(source[[#This Row],[lending_product_transform]],[3]Mapping!$B$3:$D$37,3,0)</f>
        <v>cashloan</v>
      </c>
      <c r="I10276" s="143">
        <v>0</v>
      </c>
    </row>
    <row r="10277" spans="1:9" x14ac:dyDescent="0.2">
      <c r="A10277" s="134">
        <v>45964</v>
      </c>
      <c r="B10277" s="135">
        <f>YEAR(source[[#This Row],[report_date]])</f>
        <v>2025</v>
      </c>
      <c r="C10277" s="128">
        <f t="shared" si="478"/>
        <v>11</v>
      </c>
      <c r="D10277" s="136">
        <f t="shared" si="480"/>
        <v>45</v>
      </c>
      <c r="E10277" s="136">
        <f t="shared" si="479"/>
        <v>3</v>
      </c>
      <c r="F10277" s="137" t="s">
        <v>24</v>
      </c>
      <c r="G10277" s="128" t="str">
        <f>VLOOKUP(source[[#This Row],[lending_product_transform]],[3]Mapping!$B$4:$C$37,2,0)</f>
        <v>[Cake] - Cashloan</v>
      </c>
      <c r="H10277" s="128" t="str">
        <f>VLOOKUP(source[[#This Row],[lending_product_transform]],[3]Mapping!$B$3:$D$37,3,0)</f>
        <v>cashloan</v>
      </c>
      <c r="I10277" s="143">
        <v>239500000</v>
      </c>
    </row>
    <row r="10278" spans="1:9" x14ac:dyDescent="0.2">
      <c r="A10278" s="134">
        <v>45964</v>
      </c>
      <c r="B10278" s="135">
        <f>YEAR(source[[#This Row],[report_date]])</f>
        <v>2025</v>
      </c>
      <c r="C10278" s="128">
        <f t="shared" si="478"/>
        <v>11</v>
      </c>
      <c r="D10278" s="136">
        <f t="shared" si="480"/>
        <v>45</v>
      </c>
      <c r="E10278" s="136">
        <f t="shared" si="479"/>
        <v>3</v>
      </c>
      <c r="F10278" s="137" t="s">
        <v>24</v>
      </c>
      <c r="G10278" s="128" t="str">
        <f>VLOOKUP(source[[#This Row],[lending_product_transform]],[3]Mapping!$B$4:$C$37,2,0)</f>
        <v>[Cake] - Cashloan</v>
      </c>
      <c r="H10278" s="128" t="str">
        <f>VLOOKUP(source[[#This Row],[lending_product_transform]],[3]Mapping!$B$3:$D$37,3,0)</f>
        <v>cashloan</v>
      </c>
      <c r="I10278" s="143">
        <v>16333610000</v>
      </c>
    </row>
    <row r="10279" spans="1:9" x14ac:dyDescent="0.2">
      <c r="A10279" s="134">
        <v>45964</v>
      </c>
      <c r="B10279" s="135">
        <f>YEAR(source[[#This Row],[report_date]])</f>
        <v>2025</v>
      </c>
      <c r="C10279" s="128">
        <f t="shared" si="478"/>
        <v>11</v>
      </c>
      <c r="D10279" s="136">
        <f t="shared" si="480"/>
        <v>45</v>
      </c>
      <c r="E10279" s="136">
        <f t="shared" si="479"/>
        <v>3</v>
      </c>
      <c r="F10279" s="137" t="s">
        <v>24</v>
      </c>
      <c r="G10279" s="128" t="str">
        <f>VLOOKUP(source[[#This Row],[lending_product_transform]],[3]Mapping!$B$4:$C$37,2,0)</f>
        <v>[Cake] - Cashloan</v>
      </c>
      <c r="H10279" s="128" t="str">
        <f>VLOOKUP(source[[#This Row],[lending_product_transform]],[3]Mapping!$B$3:$D$37,3,0)</f>
        <v>cashloan</v>
      </c>
      <c r="I10279" s="143">
        <v>0</v>
      </c>
    </row>
    <row r="10280" spans="1:9" x14ac:dyDescent="0.2">
      <c r="A10280" s="134">
        <v>45964</v>
      </c>
      <c r="B10280" s="135">
        <f>YEAR(source[[#This Row],[report_date]])</f>
        <v>2025</v>
      </c>
      <c r="C10280" s="128">
        <f t="shared" si="478"/>
        <v>11</v>
      </c>
      <c r="D10280" s="136">
        <f t="shared" si="480"/>
        <v>45</v>
      </c>
      <c r="E10280" s="136">
        <f t="shared" si="479"/>
        <v>3</v>
      </c>
      <c r="F10280" s="137" t="s">
        <v>24</v>
      </c>
      <c r="G10280" s="128" t="str">
        <f>VLOOKUP(source[[#This Row],[lending_product_transform]],[3]Mapping!$B$4:$C$37,2,0)</f>
        <v>[Cake] - Cashloan</v>
      </c>
      <c r="H10280" s="128" t="str">
        <f>VLOOKUP(source[[#This Row],[lending_product_transform]],[3]Mapping!$B$3:$D$37,3,0)</f>
        <v>cashloan</v>
      </c>
      <c r="I10280" s="143">
        <v>0</v>
      </c>
    </row>
    <row r="10281" spans="1:9" x14ac:dyDescent="0.2">
      <c r="A10281" s="134">
        <v>45964</v>
      </c>
      <c r="B10281" s="135">
        <f>YEAR(source[[#This Row],[report_date]])</f>
        <v>2025</v>
      </c>
      <c r="C10281" s="128">
        <f t="shared" si="478"/>
        <v>11</v>
      </c>
      <c r="D10281" s="136">
        <f t="shared" si="480"/>
        <v>45</v>
      </c>
      <c r="E10281" s="136">
        <f t="shared" si="479"/>
        <v>3</v>
      </c>
      <c r="F10281" s="137" t="s">
        <v>24</v>
      </c>
      <c r="G10281" s="128" t="str">
        <f>VLOOKUP(source[[#This Row],[lending_product_transform]],[3]Mapping!$B$4:$C$37,2,0)</f>
        <v>[Cake] - Cashloan</v>
      </c>
      <c r="H10281" s="128" t="str">
        <f>VLOOKUP(source[[#This Row],[lending_product_transform]],[3]Mapping!$B$3:$D$37,3,0)</f>
        <v>cashloan</v>
      </c>
      <c r="I10281" s="143">
        <v>0</v>
      </c>
    </row>
    <row r="10282" spans="1:9" x14ac:dyDescent="0.2">
      <c r="A10282" s="134">
        <v>45964</v>
      </c>
      <c r="B10282" s="135">
        <f>YEAR(source[[#This Row],[report_date]])</f>
        <v>2025</v>
      </c>
      <c r="C10282" s="128">
        <f t="shared" si="478"/>
        <v>11</v>
      </c>
      <c r="D10282" s="136">
        <f t="shared" si="480"/>
        <v>45</v>
      </c>
      <c r="E10282" s="136">
        <f t="shared" si="479"/>
        <v>3</v>
      </c>
      <c r="F10282" s="137" t="s">
        <v>24</v>
      </c>
      <c r="G10282" s="128" t="str">
        <f>VLOOKUP(source[[#This Row],[lending_product_transform]],[3]Mapping!$B$4:$C$37,2,0)</f>
        <v>[Cake] - Cashloan</v>
      </c>
      <c r="H10282" s="128" t="str">
        <f>VLOOKUP(source[[#This Row],[lending_product_transform]],[3]Mapping!$B$3:$D$37,3,0)</f>
        <v>cashloan</v>
      </c>
      <c r="I10282" s="143">
        <v>0</v>
      </c>
    </row>
    <row r="10283" spans="1:9" x14ac:dyDescent="0.2">
      <c r="A10283" s="134">
        <v>45964</v>
      </c>
      <c r="B10283" s="135">
        <f>YEAR(source[[#This Row],[report_date]])</f>
        <v>2025</v>
      </c>
      <c r="C10283" s="128">
        <f t="shared" si="478"/>
        <v>11</v>
      </c>
      <c r="D10283" s="136">
        <f t="shared" si="480"/>
        <v>45</v>
      </c>
      <c r="E10283" s="136">
        <f t="shared" si="479"/>
        <v>3</v>
      </c>
      <c r="F10283" s="137" t="s">
        <v>24</v>
      </c>
      <c r="G10283" s="128" t="str">
        <f>VLOOKUP(source[[#This Row],[lending_product_transform]],[3]Mapping!$B$4:$C$37,2,0)</f>
        <v>[Cake] - Cashloan</v>
      </c>
      <c r="H10283" s="128" t="str">
        <f>VLOOKUP(source[[#This Row],[lending_product_transform]],[3]Mapping!$B$3:$D$37,3,0)</f>
        <v>cashloan</v>
      </c>
      <c r="I10283" s="143">
        <v>10389060000</v>
      </c>
    </row>
    <row r="10284" spans="1:9" x14ac:dyDescent="0.2">
      <c r="A10284" s="134">
        <v>45964</v>
      </c>
      <c r="B10284" s="135">
        <f>YEAR(source[[#This Row],[report_date]])</f>
        <v>2025</v>
      </c>
      <c r="C10284" s="128">
        <f t="shared" si="478"/>
        <v>11</v>
      </c>
      <c r="D10284" s="136">
        <f t="shared" si="480"/>
        <v>45</v>
      </c>
      <c r="E10284" s="136">
        <f t="shared" si="479"/>
        <v>3</v>
      </c>
      <c r="F10284" s="137" t="s">
        <v>24</v>
      </c>
      <c r="G10284" s="128" t="str">
        <f>VLOOKUP(source[[#This Row],[lending_product_transform]],[3]Mapping!$B$4:$C$37,2,0)</f>
        <v>[Cake] - Cashloan</v>
      </c>
      <c r="H10284" s="128" t="str">
        <f>VLOOKUP(source[[#This Row],[lending_product_transform]],[3]Mapping!$B$3:$D$37,3,0)</f>
        <v>cashloan</v>
      </c>
      <c r="I10284" s="143">
        <v>541514010</v>
      </c>
    </row>
    <row r="10285" spans="1:9" x14ac:dyDescent="0.2">
      <c r="A10285" s="134">
        <v>45964</v>
      </c>
      <c r="B10285" s="135">
        <f>YEAR(source[[#This Row],[report_date]])</f>
        <v>2025</v>
      </c>
      <c r="C10285" s="128">
        <f t="shared" si="478"/>
        <v>11</v>
      </c>
      <c r="D10285" s="136">
        <f t="shared" si="480"/>
        <v>45</v>
      </c>
      <c r="E10285" s="136">
        <f t="shared" si="479"/>
        <v>3</v>
      </c>
      <c r="F10285" s="137" t="s">
        <v>24</v>
      </c>
      <c r="G10285" s="128" t="str">
        <f>VLOOKUP(source[[#This Row],[lending_product_transform]],[3]Mapping!$B$4:$C$37,2,0)</f>
        <v>[Cake] - Cashloan</v>
      </c>
      <c r="H10285" s="128" t="str">
        <f>VLOOKUP(source[[#This Row],[lending_product_transform]],[3]Mapping!$B$3:$D$37,3,0)</f>
        <v>cashloan</v>
      </c>
      <c r="I10285" s="143">
        <v>20000000</v>
      </c>
    </row>
    <row r="10286" spans="1:9" x14ac:dyDescent="0.2">
      <c r="A10286" s="134">
        <v>45964</v>
      </c>
      <c r="B10286" s="135">
        <f>YEAR(source[[#This Row],[report_date]])</f>
        <v>2025</v>
      </c>
      <c r="C10286" s="128">
        <f t="shared" si="478"/>
        <v>11</v>
      </c>
      <c r="D10286" s="136">
        <f t="shared" si="480"/>
        <v>45</v>
      </c>
      <c r="E10286" s="136">
        <f t="shared" si="479"/>
        <v>3</v>
      </c>
      <c r="F10286" s="137" t="s">
        <v>24</v>
      </c>
      <c r="G10286" s="128" t="str">
        <f>VLOOKUP(source[[#This Row],[lending_product_transform]],[3]Mapping!$B$4:$C$37,2,0)</f>
        <v>[Cake] - Cashloan</v>
      </c>
      <c r="H10286" s="128" t="str">
        <f>VLOOKUP(source[[#This Row],[lending_product_transform]],[3]Mapping!$B$3:$D$37,3,0)</f>
        <v>cashloan</v>
      </c>
      <c r="I10286" s="143">
        <v>61000000</v>
      </c>
    </row>
    <row r="10287" spans="1:9" x14ac:dyDescent="0.2">
      <c r="A10287" s="134">
        <v>45964</v>
      </c>
      <c r="B10287" s="135">
        <f>YEAR(source[[#This Row],[report_date]])</f>
        <v>2025</v>
      </c>
      <c r="C10287" s="128">
        <f t="shared" si="478"/>
        <v>11</v>
      </c>
      <c r="D10287" s="136">
        <f t="shared" si="480"/>
        <v>45</v>
      </c>
      <c r="E10287" s="136">
        <f t="shared" si="479"/>
        <v>3</v>
      </c>
      <c r="F10287" s="137" t="s">
        <v>24</v>
      </c>
      <c r="G10287" s="128" t="str">
        <f>VLOOKUP(source[[#This Row],[lending_product_transform]],[3]Mapping!$B$4:$C$37,2,0)</f>
        <v>[Cake] - Cashloan</v>
      </c>
      <c r="H10287" s="128" t="str">
        <f>VLOOKUP(source[[#This Row],[lending_product_transform]],[3]Mapping!$B$3:$D$37,3,0)</f>
        <v>cashloan</v>
      </c>
      <c r="I10287" s="143">
        <v>917060000</v>
      </c>
    </row>
    <row r="10288" spans="1:9" x14ac:dyDescent="0.2">
      <c r="A10288" s="134">
        <v>45964</v>
      </c>
      <c r="B10288" s="135">
        <f>YEAR(source[[#This Row],[report_date]])</f>
        <v>2025</v>
      </c>
      <c r="C10288" s="128">
        <f t="shared" si="478"/>
        <v>11</v>
      </c>
      <c r="D10288" s="136">
        <f t="shared" si="480"/>
        <v>45</v>
      </c>
      <c r="E10288" s="136">
        <f t="shared" si="479"/>
        <v>3</v>
      </c>
      <c r="F10288" s="137" t="s">
        <v>24</v>
      </c>
      <c r="G10288" s="128" t="str">
        <f>VLOOKUP(source[[#This Row],[lending_product_transform]],[3]Mapping!$B$4:$C$37,2,0)</f>
        <v>[Cake] - Cashloan</v>
      </c>
      <c r="H10288" s="128" t="str">
        <f>VLOOKUP(source[[#This Row],[lending_product_transform]],[3]Mapping!$B$3:$D$37,3,0)</f>
        <v>cashloan</v>
      </c>
      <c r="I10288" s="143">
        <v>268920000</v>
      </c>
    </row>
    <row r="10289" spans="1:9" x14ac:dyDescent="0.2">
      <c r="A10289" s="134">
        <v>45964</v>
      </c>
      <c r="B10289" s="135">
        <f>YEAR(source[[#This Row],[report_date]])</f>
        <v>2025</v>
      </c>
      <c r="C10289" s="128">
        <f t="shared" si="478"/>
        <v>11</v>
      </c>
      <c r="D10289" s="136">
        <f t="shared" si="480"/>
        <v>45</v>
      </c>
      <c r="E10289" s="136">
        <f t="shared" si="479"/>
        <v>3</v>
      </c>
      <c r="F10289" s="137" t="s">
        <v>24</v>
      </c>
      <c r="G10289" s="128" t="str">
        <f>VLOOKUP(source[[#This Row],[lending_product_transform]],[3]Mapping!$B$4:$C$37,2,0)</f>
        <v>[Cake] - Cashloan</v>
      </c>
      <c r="H10289" s="128" t="str">
        <f>VLOOKUP(source[[#This Row],[lending_product_transform]],[3]Mapping!$B$3:$D$37,3,0)</f>
        <v>cashloan</v>
      </c>
      <c r="I10289" s="143">
        <v>1498160272</v>
      </c>
    </row>
    <row r="10290" spans="1:9" x14ac:dyDescent="0.2">
      <c r="A10290" s="134">
        <v>45964</v>
      </c>
      <c r="B10290" s="135">
        <f>YEAR(source[[#This Row],[report_date]])</f>
        <v>2025</v>
      </c>
      <c r="C10290" s="128">
        <f t="shared" si="478"/>
        <v>11</v>
      </c>
      <c r="D10290" s="136">
        <f t="shared" si="480"/>
        <v>45</v>
      </c>
      <c r="E10290" s="136">
        <f t="shared" si="479"/>
        <v>3</v>
      </c>
      <c r="F10290" s="137" t="s">
        <v>24</v>
      </c>
      <c r="G10290" s="128" t="str">
        <f>VLOOKUP(source[[#This Row],[lending_product_transform]],[3]Mapping!$B$4:$C$37,2,0)</f>
        <v>[Cake] - Cashloan</v>
      </c>
      <c r="H10290" s="128" t="str">
        <f>VLOOKUP(source[[#This Row],[lending_product_transform]],[3]Mapping!$B$3:$D$37,3,0)</f>
        <v>cashloan</v>
      </c>
      <c r="I10290" s="143">
        <v>4600250000</v>
      </c>
    </row>
    <row r="10291" spans="1:9" x14ac:dyDescent="0.2">
      <c r="A10291" s="134">
        <v>45965</v>
      </c>
      <c r="B10291" s="135">
        <f>YEAR(source[[#This Row],[report_date]])</f>
        <v>2025</v>
      </c>
      <c r="C10291" s="128">
        <f t="shared" si="478"/>
        <v>11</v>
      </c>
      <c r="D10291" s="136">
        <f t="shared" si="480"/>
        <v>45</v>
      </c>
      <c r="E10291" s="136">
        <f t="shared" si="479"/>
        <v>4</v>
      </c>
      <c r="F10291" s="137" t="s">
        <v>24</v>
      </c>
      <c r="G10291" s="128" t="str">
        <f>VLOOKUP(source[[#This Row],[lending_product_transform]],[3]Mapping!$B$4:$C$37,2,0)</f>
        <v>[Cake] - Cashloan</v>
      </c>
      <c r="H10291" s="128" t="str">
        <f>VLOOKUP(source[[#This Row],[lending_product_transform]],[3]Mapping!$B$3:$D$37,3,0)</f>
        <v>cashloan</v>
      </c>
      <c r="I10291" s="143">
        <v>20000000</v>
      </c>
    </row>
    <row r="10292" spans="1:9" x14ac:dyDescent="0.2">
      <c r="A10292" s="134">
        <v>45965</v>
      </c>
      <c r="B10292" s="135">
        <f>YEAR(source[[#This Row],[report_date]])</f>
        <v>2025</v>
      </c>
      <c r="C10292" s="128">
        <f t="shared" si="478"/>
        <v>11</v>
      </c>
      <c r="D10292" s="136">
        <f t="shared" si="480"/>
        <v>45</v>
      </c>
      <c r="E10292" s="136">
        <f t="shared" si="479"/>
        <v>4</v>
      </c>
      <c r="F10292" s="137" t="s">
        <v>24</v>
      </c>
      <c r="G10292" s="128" t="str">
        <f>VLOOKUP(source[[#This Row],[lending_product_transform]],[3]Mapping!$B$4:$C$37,2,0)</f>
        <v>[Cake] - Cashloan</v>
      </c>
      <c r="H10292" s="128" t="str">
        <f>VLOOKUP(source[[#This Row],[lending_product_transform]],[3]Mapping!$B$3:$D$37,3,0)</f>
        <v>cashloan</v>
      </c>
      <c r="I10292" s="143">
        <v>432841836</v>
      </c>
    </row>
    <row r="10293" spans="1:9" x14ac:dyDescent="0.2">
      <c r="A10293" s="134">
        <v>45965</v>
      </c>
      <c r="B10293" s="135">
        <f>YEAR(source[[#This Row],[report_date]])</f>
        <v>2025</v>
      </c>
      <c r="C10293" s="128">
        <f t="shared" si="478"/>
        <v>11</v>
      </c>
      <c r="D10293" s="136">
        <f t="shared" si="480"/>
        <v>45</v>
      </c>
      <c r="E10293" s="136">
        <f t="shared" si="479"/>
        <v>4</v>
      </c>
      <c r="F10293" s="137" t="s">
        <v>24</v>
      </c>
      <c r="G10293" s="128" t="str">
        <f>VLOOKUP(source[[#This Row],[lending_product_transform]],[3]Mapping!$B$4:$C$37,2,0)</f>
        <v>[Cake] - Cashloan</v>
      </c>
      <c r="H10293" s="128" t="str">
        <f>VLOOKUP(source[[#This Row],[lending_product_transform]],[3]Mapping!$B$3:$D$37,3,0)</f>
        <v>cashloan</v>
      </c>
      <c r="I10293" s="143">
        <v>18692370000</v>
      </c>
    </row>
    <row r="10294" spans="1:9" x14ac:dyDescent="0.2">
      <c r="A10294" s="134">
        <v>45965</v>
      </c>
      <c r="B10294" s="135">
        <f>YEAR(source[[#This Row],[report_date]])</f>
        <v>2025</v>
      </c>
      <c r="C10294" s="128">
        <f t="shared" ref="C10294:C10357" si="481">MONTH(A10294)</f>
        <v>11</v>
      </c>
      <c r="D10294" s="136">
        <f t="shared" si="480"/>
        <v>45</v>
      </c>
      <c r="E10294" s="136">
        <f t="shared" ref="E10294:E10357" si="482">DAY(A10294)</f>
        <v>4</v>
      </c>
      <c r="F10294" s="137" t="s">
        <v>24</v>
      </c>
      <c r="G10294" s="128" t="str">
        <f>VLOOKUP(source[[#This Row],[lending_product_transform]],[3]Mapping!$B$4:$C$37,2,0)</f>
        <v>[Cake] - Cashloan</v>
      </c>
      <c r="H10294" s="128" t="str">
        <f>VLOOKUP(source[[#This Row],[lending_product_transform]],[3]Mapping!$B$3:$D$37,3,0)</f>
        <v>cashloan</v>
      </c>
      <c r="I10294" s="143">
        <v>3371441736</v>
      </c>
    </row>
    <row r="10295" spans="1:9" x14ac:dyDescent="0.2">
      <c r="A10295" s="134">
        <v>45965</v>
      </c>
      <c r="B10295" s="135">
        <f>YEAR(source[[#This Row],[report_date]])</f>
        <v>2025</v>
      </c>
      <c r="C10295" s="128">
        <f t="shared" si="481"/>
        <v>11</v>
      </c>
      <c r="D10295" s="136">
        <f t="shared" si="480"/>
        <v>45</v>
      </c>
      <c r="E10295" s="136">
        <f t="shared" si="482"/>
        <v>4</v>
      </c>
      <c r="F10295" s="137" t="s">
        <v>24</v>
      </c>
      <c r="G10295" s="128" t="str">
        <f>VLOOKUP(source[[#This Row],[lending_product_transform]],[3]Mapping!$B$4:$C$37,2,0)</f>
        <v>[Cake] - Cashloan</v>
      </c>
      <c r="H10295" s="128" t="str">
        <f>VLOOKUP(source[[#This Row],[lending_product_transform]],[3]Mapping!$B$3:$D$37,3,0)</f>
        <v>cashloan</v>
      </c>
      <c r="I10295" s="143">
        <v>8990568000</v>
      </c>
    </row>
    <row r="10296" spans="1:9" x14ac:dyDescent="0.2">
      <c r="A10296" s="134">
        <v>45965</v>
      </c>
      <c r="B10296" s="135">
        <f>YEAR(source[[#This Row],[report_date]])</f>
        <v>2025</v>
      </c>
      <c r="C10296" s="128">
        <f t="shared" si="481"/>
        <v>11</v>
      </c>
      <c r="D10296" s="136">
        <f t="shared" si="480"/>
        <v>45</v>
      </c>
      <c r="E10296" s="136">
        <f t="shared" si="482"/>
        <v>4</v>
      </c>
      <c r="F10296" s="137" t="s">
        <v>24</v>
      </c>
      <c r="G10296" s="128" t="str">
        <f>VLOOKUP(source[[#This Row],[lending_product_transform]],[3]Mapping!$B$4:$C$37,2,0)</f>
        <v>[Cake] - Cashloan</v>
      </c>
      <c r="H10296" s="128" t="str">
        <f>VLOOKUP(source[[#This Row],[lending_product_transform]],[3]Mapping!$B$3:$D$37,3,0)</f>
        <v>cashloan</v>
      </c>
      <c r="I10296" s="143">
        <v>77206672</v>
      </c>
    </row>
    <row r="10297" spans="1:9" x14ac:dyDescent="0.2">
      <c r="A10297" s="134">
        <v>45965</v>
      </c>
      <c r="B10297" s="135">
        <f>YEAR(source[[#This Row],[report_date]])</f>
        <v>2025</v>
      </c>
      <c r="C10297" s="128">
        <f t="shared" si="481"/>
        <v>11</v>
      </c>
      <c r="D10297" s="136">
        <f t="shared" si="480"/>
        <v>45</v>
      </c>
      <c r="E10297" s="136">
        <f t="shared" si="482"/>
        <v>4</v>
      </c>
      <c r="F10297" s="137" t="s">
        <v>24</v>
      </c>
      <c r="G10297" s="128" t="str">
        <f>VLOOKUP(source[[#This Row],[lending_product_transform]],[3]Mapping!$B$4:$C$37,2,0)</f>
        <v>[Cake] - Cashloan</v>
      </c>
      <c r="H10297" s="128" t="str">
        <f>VLOOKUP(source[[#This Row],[lending_product_transform]],[3]Mapping!$B$3:$D$37,3,0)</f>
        <v>cashloan</v>
      </c>
      <c r="I10297" s="143">
        <v>3494510000</v>
      </c>
    </row>
    <row r="10298" spans="1:9" x14ac:dyDescent="0.2">
      <c r="A10298" s="134">
        <v>45965</v>
      </c>
      <c r="B10298" s="135">
        <f>YEAR(source[[#This Row],[report_date]])</f>
        <v>2025</v>
      </c>
      <c r="C10298" s="128">
        <f t="shared" si="481"/>
        <v>11</v>
      </c>
      <c r="D10298" s="136">
        <f t="shared" si="480"/>
        <v>45</v>
      </c>
      <c r="E10298" s="136">
        <f t="shared" si="482"/>
        <v>4</v>
      </c>
      <c r="F10298" s="137" t="s">
        <v>24</v>
      </c>
      <c r="G10298" s="128" t="str">
        <f>VLOOKUP(source[[#This Row],[lending_product_transform]],[3]Mapping!$B$4:$C$37,2,0)</f>
        <v>[Cake] - Cashloan</v>
      </c>
      <c r="H10298" s="128" t="str">
        <f>VLOOKUP(source[[#This Row],[lending_product_transform]],[3]Mapping!$B$3:$D$37,3,0)</f>
        <v>cashloan</v>
      </c>
      <c r="I10298" s="143">
        <v>100320779</v>
      </c>
    </row>
    <row r="10299" spans="1:9" x14ac:dyDescent="0.2">
      <c r="A10299" s="134">
        <v>45965</v>
      </c>
      <c r="B10299" s="135">
        <f>YEAR(source[[#This Row],[report_date]])</f>
        <v>2025</v>
      </c>
      <c r="C10299" s="128">
        <f t="shared" si="481"/>
        <v>11</v>
      </c>
      <c r="D10299" s="136">
        <f t="shared" si="480"/>
        <v>45</v>
      </c>
      <c r="E10299" s="136">
        <f t="shared" si="482"/>
        <v>4</v>
      </c>
      <c r="F10299" s="137" t="s">
        <v>24</v>
      </c>
      <c r="G10299" s="128" t="str">
        <f>VLOOKUP(source[[#This Row],[lending_product_transform]],[3]Mapping!$B$4:$C$37,2,0)</f>
        <v>[Cake] - Cashloan</v>
      </c>
      <c r="H10299" s="128" t="str">
        <f>VLOOKUP(source[[#This Row],[lending_product_transform]],[3]Mapping!$B$3:$D$37,3,0)</f>
        <v>cashloan</v>
      </c>
      <c r="I10299" s="143">
        <v>1805144988</v>
      </c>
    </row>
    <row r="10300" spans="1:9" x14ac:dyDescent="0.2">
      <c r="A10300" s="134">
        <v>45965</v>
      </c>
      <c r="B10300" s="135">
        <f>YEAR(source[[#This Row],[report_date]])</f>
        <v>2025</v>
      </c>
      <c r="C10300" s="128">
        <f t="shared" si="481"/>
        <v>11</v>
      </c>
      <c r="D10300" s="136">
        <f t="shared" si="480"/>
        <v>45</v>
      </c>
      <c r="E10300" s="136">
        <f t="shared" si="482"/>
        <v>4</v>
      </c>
      <c r="F10300" s="137" t="s">
        <v>24</v>
      </c>
      <c r="G10300" s="128" t="str">
        <f>VLOOKUP(source[[#This Row],[lending_product_transform]],[3]Mapping!$B$4:$C$37,2,0)</f>
        <v>[Cake] - Cashloan</v>
      </c>
      <c r="H10300" s="128" t="str">
        <f>VLOOKUP(source[[#This Row],[lending_product_transform]],[3]Mapping!$B$3:$D$37,3,0)</f>
        <v>cashloan</v>
      </c>
      <c r="I10300" s="143">
        <v>0</v>
      </c>
    </row>
    <row r="10301" spans="1:9" x14ac:dyDescent="0.2">
      <c r="A10301" s="134">
        <v>45965</v>
      </c>
      <c r="B10301" s="135">
        <f>YEAR(source[[#This Row],[report_date]])</f>
        <v>2025</v>
      </c>
      <c r="C10301" s="128">
        <f t="shared" si="481"/>
        <v>11</v>
      </c>
      <c r="D10301" s="136">
        <f t="shared" si="480"/>
        <v>45</v>
      </c>
      <c r="E10301" s="136">
        <f t="shared" si="482"/>
        <v>4</v>
      </c>
      <c r="F10301" s="137" t="s">
        <v>24</v>
      </c>
      <c r="G10301" s="128" t="str">
        <f>VLOOKUP(source[[#This Row],[lending_product_transform]],[3]Mapping!$B$4:$C$37,2,0)</f>
        <v>[Cake] - Cashloan</v>
      </c>
      <c r="H10301" s="128" t="str">
        <f>VLOOKUP(source[[#This Row],[lending_product_transform]],[3]Mapping!$B$3:$D$37,3,0)</f>
        <v>cashloan</v>
      </c>
      <c r="I10301" s="143">
        <v>491100000</v>
      </c>
    </row>
    <row r="10302" spans="1:9" x14ac:dyDescent="0.2">
      <c r="A10302" s="134">
        <v>45965</v>
      </c>
      <c r="B10302" s="135">
        <f>YEAR(source[[#This Row],[report_date]])</f>
        <v>2025</v>
      </c>
      <c r="C10302" s="128">
        <f t="shared" si="481"/>
        <v>11</v>
      </c>
      <c r="D10302" s="136">
        <f t="shared" si="480"/>
        <v>45</v>
      </c>
      <c r="E10302" s="136">
        <f t="shared" si="482"/>
        <v>4</v>
      </c>
      <c r="F10302" s="137" t="s">
        <v>24</v>
      </c>
      <c r="G10302" s="128" t="str">
        <f>VLOOKUP(source[[#This Row],[lending_product_transform]],[3]Mapping!$B$4:$C$37,2,0)</f>
        <v>[Cake] - Cashloan</v>
      </c>
      <c r="H10302" s="128" t="str">
        <f>VLOOKUP(source[[#This Row],[lending_product_transform]],[3]Mapping!$B$3:$D$37,3,0)</f>
        <v>cashloan</v>
      </c>
      <c r="I10302" s="143">
        <v>16520790000</v>
      </c>
    </row>
    <row r="10303" spans="1:9" x14ac:dyDescent="0.2">
      <c r="A10303" s="134">
        <v>45965</v>
      </c>
      <c r="B10303" s="135">
        <f>YEAR(source[[#This Row],[report_date]])</f>
        <v>2025</v>
      </c>
      <c r="C10303" s="128">
        <f t="shared" si="481"/>
        <v>11</v>
      </c>
      <c r="D10303" s="136">
        <f t="shared" si="480"/>
        <v>45</v>
      </c>
      <c r="E10303" s="136">
        <f t="shared" si="482"/>
        <v>4</v>
      </c>
      <c r="F10303" s="137" t="s">
        <v>24</v>
      </c>
      <c r="G10303" s="128" t="str">
        <f>VLOOKUP(source[[#This Row],[lending_product_transform]],[3]Mapping!$B$4:$C$37,2,0)</f>
        <v>[Cake] - Cashloan</v>
      </c>
      <c r="H10303" s="128" t="str">
        <f>VLOOKUP(source[[#This Row],[lending_product_transform]],[3]Mapping!$B$3:$D$37,3,0)</f>
        <v>cashloan</v>
      </c>
      <c r="I10303" s="143">
        <v>0</v>
      </c>
    </row>
    <row r="10304" spans="1:9" x14ac:dyDescent="0.2">
      <c r="A10304" s="134">
        <v>45965</v>
      </c>
      <c r="B10304" s="135">
        <f>YEAR(source[[#This Row],[report_date]])</f>
        <v>2025</v>
      </c>
      <c r="C10304" s="128">
        <f t="shared" si="481"/>
        <v>11</v>
      </c>
      <c r="D10304" s="136">
        <f t="shared" si="480"/>
        <v>45</v>
      </c>
      <c r="E10304" s="136">
        <f t="shared" si="482"/>
        <v>4</v>
      </c>
      <c r="F10304" s="137" t="s">
        <v>24</v>
      </c>
      <c r="G10304" s="128" t="str">
        <f>VLOOKUP(source[[#This Row],[lending_product_transform]],[3]Mapping!$B$4:$C$37,2,0)</f>
        <v>[Cake] - Cashloan</v>
      </c>
      <c r="H10304" s="128" t="str">
        <f>VLOOKUP(source[[#This Row],[lending_product_transform]],[3]Mapping!$B$3:$D$37,3,0)</f>
        <v>cashloan</v>
      </c>
      <c r="I10304" s="143">
        <v>0</v>
      </c>
    </row>
    <row r="10305" spans="1:9" x14ac:dyDescent="0.2">
      <c r="A10305" s="134">
        <v>45965</v>
      </c>
      <c r="B10305" s="135">
        <f>YEAR(source[[#This Row],[report_date]])</f>
        <v>2025</v>
      </c>
      <c r="C10305" s="128">
        <f t="shared" si="481"/>
        <v>11</v>
      </c>
      <c r="D10305" s="136">
        <f t="shared" si="480"/>
        <v>45</v>
      </c>
      <c r="E10305" s="136">
        <f t="shared" si="482"/>
        <v>4</v>
      </c>
      <c r="F10305" s="137" t="s">
        <v>24</v>
      </c>
      <c r="G10305" s="128" t="str">
        <f>VLOOKUP(source[[#This Row],[lending_product_transform]],[3]Mapping!$B$4:$C$37,2,0)</f>
        <v>[Cake] - Cashloan</v>
      </c>
      <c r="H10305" s="128" t="str">
        <f>VLOOKUP(source[[#This Row],[lending_product_transform]],[3]Mapping!$B$3:$D$37,3,0)</f>
        <v>cashloan</v>
      </c>
      <c r="I10305" s="143">
        <v>0</v>
      </c>
    </row>
    <row r="10306" spans="1:9" x14ac:dyDescent="0.2">
      <c r="A10306" s="134">
        <v>45965</v>
      </c>
      <c r="B10306" s="135">
        <f>YEAR(source[[#This Row],[report_date]])</f>
        <v>2025</v>
      </c>
      <c r="C10306" s="128">
        <f t="shared" si="481"/>
        <v>11</v>
      </c>
      <c r="D10306" s="136">
        <f t="shared" si="480"/>
        <v>45</v>
      </c>
      <c r="E10306" s="136">
        <f t="shared" si="482"/>
        <v>4</v>
      </c>
      <c r="F10306" s="137" t="s">
        <v>24</v>
      </c>
      <c r="G10306" s="128" t="str">
        <f>VLOOKUP(source[[#This Row],[lending_product_transform]],[3]Mapping!$B$4:$C$37,2,0)</f>
        <v>[Cake] - Cashloan</v>
      </c>
      <c r="H10306" s="128" t="str">
        <f>VLOOKUP(source[[#This Row],[lending_product_transform]],[3]Mapping!$B$3:$D$37,3,0)</f>
        <v>cashloan</v>
      </c>
      <c r="I10306" s="143">
        <v>0</v>
      </c>
    </row>
    <row r="10307" spans="1:9" x14ac:dyDescent="0.2">
      <c r="A10307" s="134">
        <v>45965</v>
      </c>
      <c r="B10307" s="135">
        <f>YEAR(source[[#This Row],[report_date]])</f>
        <v>2025</v>
      </c>
      <c r="C10307" s="128">
        <f t="shared" si="481"/>
        <v>11</v>
      </c>
      <c r="D10307" s="136">
        <f t="shared" ref="D10307:D10370" si="483">WEEKNUM(A10307,2)</f>
        <v>45</v>
      </c>
      <c r="E10307" s="136">
        <f t="shared" si="482"/>
        <v>4</v>
      </c>
      <c r="F10307" s="137" t="s">
        <v>24</v>
      </c>
      <c r="G10307" s="128" t="str">
        <f>VLOOKUP(source[[#This Row],[lending_product_transform]],[3]Mapping!$B$4:$C$37,2,0)</f>
        <v>[Cake] - Cashloan</v>
      </c>
      <c r="H10307" s="128" t="str">
        <f>VLOOKUP(source[[#This Row],[lending_product_transform]],[3]Mapping!$B$3:$D$37,3,0)</f>
        <v>cashloan</v>
      </c>
      <c r="I10307" s="143">
        <v>9921420000</v>
      </c>
    </row>
    <row r="10308" spans="1:9" x14ac:dyDescent="0.2">
      <c r="A10308" s="134">
        <v>45965</v>
      </c>
      <c r="B10308" s="135">
        <f>YEAR(source[[#This Row],[report_date]])</f>
        <v>2025</v>
      </c>
      <c r="C10308" s="128">
        <f t="shared" si="481"/>
        <v>11</v>
      </c>
      <c r="D10308" s="136">
        <f t="shared" si="483"/>
        <v>45</v>
      </c>
      <c r="E10308" s="136">
        <f t="shared" si="482"/>
        <v>4</v>
      </c>
      <c r="F10308" s="137" t="s">
        <v>24</v>
      </c>
      <c r="G10308" s="128" t="str">
        <f>VLOOKUP(source[[#This Row],[lending_product_transform]],[3]Mapping!$B$4:$C$37,2,0)</f>
        <v>[Cake] - Cashloan</v>
      </c>
      <c r="H10308" s="128" t="str">
        <f>VLOOKUP(source[[#This Row],[lending_product_transform]],[3]Mapping!$B$3:$D$37,3,0)</f>
        <v>cashloan</v>
      </c>
      <c r="I10308" s="143">
        <v>710492168</v>
      </c>
    </row>
    <row r="10309" spans="1:9" x14ac:dyDescent="0.2">
      <c r="A10309" s="134">
        <v>45965</v>
      </c>
      <c r="B10309" s="135">
        <f>YEAR(source[[#This Row],[report_date]])</f>
        <v>2025</v>
      </c>
      <c r="C10309" s="128">
        <f t="shared" si="481"/>
        <v>11</v>
      </c>
      <c r="D10309" s="136">
        <f t="shared" si="483"/>
        <v>45</v>
      </c>
      <c r="E10309" s="136">
        <f t="shared" si="482"/>
        <v>4</v>
      </c>
      <c r="F10309" s="137" t="s">
        <v>24</v>
      </c>
      <c r="G10309" s="128" t="str">
        <f>VLOOKUP(source[[#This Row],[lending_product_transform]],[3]Mapping!$B$4:$C$37,2,0)</f>
        <v>[Cake] - Cashloan</v>
      </c>
      <c r="H10309" s="128" t="str">
        <f>VLOOKUP(source[[#This Row],[lending_product_transform]],[3]Mapping!$B$3:$D$37,3,0)</f>
        <v>cashloan</v>
      </c>
      <c r="I10309" s="143">
        <v>10500000</v>
      </c>
    </row>
    <row r="10310" spans="1:9" x14ac:dyDescent="0.2">
      <c r="A10310" s="134">
        <v>45965</v>
      </c>
      <c r="B10310" s="135">
        <f>YEAR(source[[#This Row],[report_date]])</f>
        <v>2025</v>
      </c>
      <c r="C10310" s="128">
        <f t="shared" si="481"/>
        <v>11</v>
      </c>
      <c r="D10310" s="136">
        <f t="shared" si="483"/>
        <v>45</v>
      </c>
      <c r="E10310" s="136">
        <f t="shared" si="482"/>
        <v>4</v>
      </c>
      <c r="F10310" s="137" t="s">
        <v>24</v>
      </c>
      <c r="G10310" s="128" t="str">
        <f>VLOOKUP(source[[#This Row],[lending_product_transform]],[3]Mapping!$B$4:$C$37,2,0)</f>
        <v>[Cake] - Cashloan</v>
      </c>
      <c r="H10310" s="128" t="str">
        <f>VLOOKUP(source[[#This Row],[lending_product_transform]],[3]Mapping!$B$3:$D$37,3,0)</f>
        <v>cashloan</v>
      </c>
      <c r="I10310" s="143">
        <v>32000000</v>
      </c>
    </row>
    <row r="10311" spans="1:9" x14ac:dyDescent="0.2">
      <c r="A10311" s="134">
        <v>45965</v>
      </c>
      <c r="B10311" s="135">
        <f>YEAR(source[[#This Row],[report_date]])</f>
        <v>2025</v>
      </c>
      <c r="C10311" s="128">
        <f t="shared" si="481"/>
        <v>11</v>
      </c>
      <c r="D10311" s="136">
        <f t="shared" si="483"/>
        <v>45</v>
      </c>
      <c r="E10311" s="136">
        <f t="shared" si="482"/>
        <v>4</v>
      </c>
      <c r="F10311" s="137" t="s">
        <v>24</v>
      </c>
      <c r="G10311" s="128" t="str">
        <f>VLOOKUP(source[[#This Row],[lending_product_transform]],[3]Mapping!$B$4:$C$37,2,0)</f>
        <v>[Cake] - Cashloan</v>
      </c>
      <c r="H10311" s="128" t="str">
        <f>VLOOKUP(source[[#This Row],[lending_product_transform]],[3]Mapping!$B$3:$D$37,3,0)</f>
        <v>cashloan</v>
      </c>
      <c r="I10311" s="143">
        <v>1131740000</v>
      </c>
    </row>
    <row r="10312" spans="1:9" x14ac:dyDescent="0.2">
      <c r="A10312" s="134">
        <v>45965</v>
      </c>
      <c r="B10312" s="135">
        <f>YEAR(source[[#This Row],[report_date]])</f>
        <v>2025</v>
      </c>
      <c r="C10312" s="128">
        <f t="shared" si="481"/>
        <v>11</v>
      </c>
      <c r="D10312" s="136">
        <f t="shared" si="483"/>
        <v>45</v>
      </c>
      <c r="E10312" s="136">
        <f t="shared" si="482"/>
        <v>4</v>
      </c>
      <c r="F10312" s="137" t="s">
        <v>24</v>
      </c>
      <c r="G10312" s="128" t="str">
        <f>VLOOKUP(source[[#This Row],[lending_product_transform]],[3]Mapping!$B$4:$C$37,2,0)</f>
        <v>[Cake] - Cashloan</v>
      </c>
      <c r="H10312" s="128" t="str">
        <f>VLOOKUP(source[[#This Row],[lending_product_transform]],[3]Mapping!$B$3:$D$37,3,0)</f>
        <v>cashloan</v>
      </c>
      <c r="I10312" s="143">
        <v>270000000</v>
      </c>
    </row>
    <row r="10313" spans="1:9" x14ac:dyDescent="0.2">
      <c r="A10313" s="134">
        <v>45965</v>
      </c>
      <c r="B10313" s="135">
        <f>YEAR(source[[#This Row],[report_date]])</f>
        <v>2025</v>
      </c>
      <c r="C10313" s="128">
        <f t="shared" si="481"/>
        <v>11</v>
      </c>
      <c r="D10313" s="136">
        <f t="shared" si="483"/>
        <v>45</v>
      </c>
      <c r="E10313" s="136">
        <f t="shared" si="482"/>
        <v>4</v>
      </c>
      <c r="F10313" s="137" t="s">
        <v>24</v>
      </c>
      <c r="G10313" s="128" t="str">
        <f>VLOOKUP(source[[#This Row],[lending_product_transform]],[3]Mapping!$B$4:$C$37,2,0)</f>
        <v>[Cake] - Cashloan</v>
      </c>
      <c r="H10313" s="128" t="str">
        <f>VLOOKUP(source[[#This Row],[lending_product_transform]],[3]Mapping!$B$3:$D$37,3,0)</f>
        <v>cashloan</v>
      </c>
      <c r="I10313" s="143">
        <v>1973581765</v>
      </c>
    </row>
    <row r="10314" spans="1:9" x14ac:dyDescent="0.2">
      <c r="A10314" s="134">
        <v>45965</v>
      </c>
      <c r="B10314" s="135">
        <f>YEAR(source[[#This Row],[report_date]])</f>
        <v>2025</v>
      </c>
      <c r="C10314" s="128">
        <f t="shared" si="481"/>
        <v>11</v>
      </c>
      <c r="D10314" s="136">
        <f t="shared" si="483"/>
        <v>45</v>
      </c>
      <c r="E10314" s="136">
        <f t="shared" si="482"/>
        <v>4</v>
      </c>
      <c r="F10314" s="137" t="s">
        <v>24</v>
      </c>
      <c r="G10314" s="128" t="str">
        <f>VLOOKUP(source[[#This Row],[lending_product_transform]],[3]Mapping!$B$4:$C$37,2,0)</f>
        <v>[Cake] - Cashloan</v>
      </c>
      <c r="H10314" s="128" t="str">
        <f>VLOOKUP(source[[#This Row],[lending_product_transform]],[3]Mapping!$B$3:$D$37,3,0)</f>
        <v>cashloan</v>
      </c>
      <c r="I10314" s="143">
        <v>4924020000</v>
      </c>
    </row>
    <row r="10315" spans="1:9" x14ac:dyDescent="0.2">
      <c r="A10315" s="134">
        <v>45966</v>
      </c>
      <c r="B10315" s="135">
        <f>YEAR(source[[#This Row],[report_date]])</f>
        <v>2025</v>
      </c>
      <c r="C10315" s="128">
        <f t="shared" si="481"/>
        <v>11</v>
      </c>
      <c r="D10315" s="136">
        <f t="shared" si="483"/>
        <v>45</v>
      </c>
      <c r="E10315" s="136">
        <f t="shared" si="482"/>
        <v>5</v>
      </c>
      <c r="F10315" s="137" t="s">
        <v>24</v>
      </c>
      <c r="G10315" s="128" t="str">
        <f>VLOOKUP(source[[#This Row],[lending_product_transform]],[3]Mapping!$B$4:$C$37,2,0)</f>
        <v>[Cake] - Cashloan</v>
      </c>
      <c r="H10315" s="128" t="str">
        <f>VLOOKUP(source[[#This Row],[lending_product_transform]],[3]Mapping!$B$3:$D$37,3,0)</f>
        <v>cashloan</v>
      </c>
      <c r="I10315" s="143">
        <v>71400000</v>
      </c>
    </row>
    <row r="10316" spans="1:9" x14ac:dyDescent="0.2">
      <c r="A10316" s="134">
        <v>45966</v>
      </c>
      <c r="B10316" s="135">
        <f>YEAR(source[[#This Row],[report_date]])</f>
        <v>2025</v>
      </c>
      <c r="C10316" s="128">
        <f t="shared" si="481"/>
        <v>11</v>
      </c>
      <c r="D10316" s="136">
        <f t="shared" si="483"/>
        <v>45</v>
      </c>
      <c r="E10316" s="136">
        <f t="shared" si="482"/>
        <v>5</v>
      </c>
      <c r="F10316" s="137" t="s">
        <v>24</v>
      </c>
      <c r="G10316" s="128" t="str">
        <f>VLOOKUP(source[[#This Row],[lending_product_transform]],[3]Mapping!$B$4:$C$37,2,0)</f>
        <v>[Cake] - Cashloan</v>
      </c>
      <c r="H10316" s="128" t="str">
        <f>VLOOKUP(source[[#This Row],[lending_product_transform]],[3]Mapping!$B$3:$D$37,3,0)</f>
        <v>cashloan</v>
      </c>
      <c r="I10316" s="143">
        <v>376206274</v>
      </c>
    </row>
    <row r="10317" spans="1:9" x14ac:dyDescent="0.2">
      <c r="A10317" s="134">
        <v>45966</v>
      </c>
      <c r="B10317" s="135">
        <f>YEAR(source[[#This Row],[report_date]])</f>
        <v>2025</v>
      </c>
      <c r="C10317" s="128">
        <f t="shared" si="481"/>
        <v>11</v>
      </c>
      <c r="D10317" s="136">
        <f t="shared" si="483"/>
        <v>45</v>
      </c>
      <c r="E10317" s="136">
        <f t="shared" si="482"/>
        <v>5</v>
      </c>
      <c r="F10317" s="137" t="s">
        <v>24</v>
      </c>
      <c r="G10317" s="128" t="str">
        <f>VLOOKUP(source[[#This Row],[lending_product_transform]],[3]Mapping!$B$4:$C$37,2,0)</f>
        <v>[Cake] - Cashloan</v>
      </c>
      <c r="H10317" s="128" t="str">
        <f>VLOOKUP(source[[#This Row],[lending_product_transform]],[3]Mapping!$B$3:$D$37,3,0)</f>
        <v>cashloan</v>
      </c>
      <c r="I10317" s="143">
        <v>18818900000</v>
      </c>
    </row>
    <row r="10318" spans="1:9" x14ac:dyDescent="0.2">
      <c r="A10318" s="134">
        <v>45966</v>
      </c>
      <c r="B10318" s="135">
        <f>YEAR(source[[#This Row],[report_date]])</f>
        <v>2025</v>
      </c>
      <c r="C10318" s="128">
        <f t="shared" si="481"/>
        <v>11</v>
      </c>
      <c r="D10318" s="136">
        <f t="shared" si="483"/>
        <v>45</v>
      </c>
      <c r="E10318" s="136">
        <f t="shared" si="482"/>
        <v>5</v>
      </c>
      <c r="F10318" s="137" t="s">
        <v>24</v>
      </c>
      <c r="G10318" s="128" t="str">
        <f>VLOOKUP(source[[#This Row],[lending_product_transform]],[3]Mapping!$B$4:$C$37,2,0)</f>
        <v>[Cake] - Cashloan</v>
      </c>
      <c r="H10318" s="128" t="str">
        <f>VLOOKUP(source[[#This Row],[lending_product_transform]],[3]Mapping!$B$3:$D$37,3,0)</f>
        <v>cashloan</v>
      </c>
      <c r="I10318" s="143">
        <v>3103700863</v>
      </c>
    </row>
    <row r="10319" spans="1:9" x14ac:dyDescent="0.2">
      <c r="A10319" s="134">
        <v>45966</v>
      </c>
      <c r="B10319" s="135">
        <f>YEAR(source[[#This Row],[report_date]])</f>
        <v>2025</v>
      </c>
      <c r="C10319" s="128">
        <f t="shared" si="481"/>
        <v>11</v>
      </c>
      <c r="D10319" s="136">
        <f t="shared" si="483"/>
        <v>45</v>
      </c>
      <c r="E10319" s="136">
        <f t="shared" si="482"/>
        <v>5</v>
      </c>
      <c r="F10319" s="137" t="s">
        <v>24</v>
      </c>
      <c r="G10319" s="128" t="str">
        <f>VLOOKUP(source[[#This Row],[lending_product_transform]],[3]Mapping!$B$4:$C$37,2,0)</f>
        <v>[Cake] - Cashloan</v>
      </c>
      <c r="H10319" s="128" t="str">
        <f>VLOOKUP(source[[#This Row],[lending_product_transform]],[3]Mapping!$B$3:$D$37,3,0)</f>
        <v>cashloan</v>
      </c>
      <c r="I10319" s="143">
        <v>10057716000</v>
      </c>
    </row>
    <row r="10320" spans="1:9" x14ac:dyDescent="0.2">
      <c r="A10320" s="134">
        <v>45966</v>
      </c>
      <c r="B10320" s="135">
        <f>YEAR(source[[#This Row],[report_date]])</f>
        <v>2025</v>
      </c>
      <c r="C10320" s="128">
        <f t="shared" si="481"/>
        <v>11</v>
      </c>
      <c r="D10320" s="136">
        <f t="shared" si="483"/>
        <v>45</v>
      </c>
      <c r="E10320" s="136">
        <f t="shared" si="482"/>
        <v>5</v>
      </c>
      <c r="F10320" s="137" t="s">
        <v>24</v>
      </c>
      <c r="G10320" s="128" t="str">
        <f>VLOOKUP(source[[#This Row],[lending_product_transform]],[3]Mapping!$B$4:$C$37,2,0)</f>
        <v>[Cake] - Cashloan</v>
      </c>
      <c r="H10320" s="128" t="str">
        <f>VLOOKUP(source[[#This Row],[lending_product_transform]],[3]Mapping!$B$3:$D$37,3,0)</f>
        <v>cashloan</v>
      </c>
      <c r="I10320" s="143">
        <v>54792579</v>
      </c>
    </row>
    <row r="10321" spans="1:9" x14ac:dyDescent="0.2">
      <c r="A10321" s="134">
        <v>45966</v>
      </c>
      <c r="B10321" s="135">
        <f>YEAR(source[[#This Row],[report_date]])</f>
        <v>2025</v>
      </c>
      <c r="C10321" s="128">
        <f t="shared" si="481"/>
        <v>11</v>
      </c>
      <c r="D10321" s="136">
        <f t="shared" si="483"/>
        <v>45</v>
      </c>
      <c r="E10321" s="136">
        <f t="shared" si="482"/>
        <v>5</v>
      </c>
      <c r="F10321" s="137" t="s">
        <v>24</v>
      </c>
      <c r="G10321" s="128" t="str">
        <f>VLOOKUP(source[[#This Row],[lending_product_transform]],[3]Mapping!$B$4:$C$37,2,0)</f>
        <v>[Cake] - Cashloan</v>
      </c>
      <c r="H10321" s="128" t="str">
        <f>VLOOKUP(source[[#This Row],[lending_product_transform]],[3]Mapping!$B$3:$D$37,3,0)</f>
        <v>cashloan</v>
      </c>
      <c r="I10321" s="143">
        <v>3167340000</v>
      </c>
    </row>
    <row r="10322" spans="1:9" x14ac:dyDescent="0.2">
      <c r="A10322" s="134">
        <v>45966</v>
      </c>
      <c r="B10322" s="135">
        <f>YEAR(source[[#This Row],[report_date]])</f>
        <v>2025</v>
      </c>
      <c r="C10322" s="128">
        <f t="shared" si="481"/>
        <v>11</v>
      </c>
      <c r="D10322" s="136">
        <f t="shared" si="483"/>
        <v>45</v>
      </c>
      <c r="E10322" s="136">
        <f t="shared" si="482"/>
        <v>5</v>
      </c>
      <c r="F10322" s="137" t="s">
        <v>24</v>
      </c>
      <c r="G10322" s="128" t="str">
        <f>VLOOKUP(source[[#This Row],[lending_product_transform]],[3]Mapping!$B$4:$C$37,2,0)</f>
        <v>[Cake] - Cashloan</v>
      </c>
      <c r="H10322" s="128" t="str">
        <f>VLOOKUP(source[[#This Row],[lending_product_transform]],[3]Mapping!$B$3:$D$37,3,0)</f>
        <v>cashloan</v>
      </c>
      <c r="I10322" s="143">
        <v>51251773</v>
      </c>
    </row>
    <row r="10323" spans="1:9" x14ac:dyDescent="0.2">
      <c r="A10323" s="134">
        <v>45966</v>
      </c>
      <c r="B10323" s="135">
        <f>YEAR(source[[#This Row],[report_date]])</f>
        <v>2025</v>
      </c>
      <c r="C10323" s="128">
        <f t="shared" si="481"/>
        <v>11</v>
      </c>
      <c r="D10323" s="136">
        <f t="shared" si="483"/>
        <v>45</v>
      </c>
      <c r="E10323" s="136">
        <f t="shared" si="482"/>
        <v>5</v>
      </c>
      <c r="F10323" s="137" t="s">
        <v>24</v>
      </c>
      <c r="G10323" s="128" t="str">
        <f>VLOOKUP(source[[#This Row],[lending_product_transform]],[3]Mapping!$B$4:$C$37,2,0)</f>
        <v>[Cake] - Cashloan</v>
      </c>
      <c r="H10323" s="128" t="str">
        <f>VLOOKUP(source[[#This Row],[lending_product_transform]],[3]Mapping!$B$3:$D$37,3,0)</f>
        <v>cashloan</v>
      </c>
      <c r="I10323" s="143">
        <v>1781285929</v>
      </c>
    </row>
    <row r="10324" spans="1:9" x14ac:dyDescent="0.2">
      <c r="A10324" s="134">
        <v>45966</v>
      </c>
      <c r="B10324" s="135">
        <f>YEAR(source[[#This Row],[report_date]])</f>
        <v>2025</v>
      </c>
      <c r="C10324" s="128">
        <f t="shared" si="481"/>
        <v>11</v>
      </c>
      <c r="D10324" s="136">
        <f t="shared" si="483"/>
        <v>45</v>
      </c>
      <c r="E10324" s="136">
        <f t="shared" si="482"/>
        <v>5</v>
      </c>
      <c r="F10324" s="137" t="s">
        <v>24</v>
      </c>
      <c r="G10324" s="128" t="str">
        <f>VLOOKUP(source[[#This Row],[lending_product_transform]],[3]Mapping!$B$4:$C$37,2,0)</f>
        <v>[Cake] - Cashloan</v>
      </c>
      <c r="H10324" s="128" t="str">
        <f>VLOOKUP(source[[#This Row],[lending_product_transform]],[3]Mapping!$B$3:$D$37,3,0)</f>
        <v>cashloan</v>
      </c>
      <c r="I10324" s="143">
        <v>0</v>
      </c>
    </row>
    <row r="10325" spans="1:9" x14ac:dyDescent="0.2">
      <c r="A10325" s="134">
        <v>45966</v>
      </c>
      <c r="B10325" s="135">
        <f>YEAR(source[[#This Row],[report_date]])</f>
        <v>2025</v>
      </c>
      <c r="C10325" s="128">
        <f t="shared" si="481"/>
        <v>11</v>
      </c>
      <c r="D10325" s="136">
        <f t="shared" si="483"/>
        <v>45</v>
      </c>
      <c r="E10325" s="136">
        <f t="shared" si="482"/>
        <v>5</v>
      </c>
      <c r="F10325" s="137" t="s">
        <v>24</v>
      </c>
      <c r="G10325" s="128" t="str">
        <f>VLOOKUP(source[[#This Row],[lending_product_transform]],[3]Mapping!$B$4:$C$37,2,0)</f>
        <v>[Cake] - Cashloan</v>
      </c>
      <c r="H10325" s="128" t="str">
        <f>VLOOKUP(source[[#This Row],[lending_product_transform]],[3]Mapping!$B$3:$D$37,3,0)</f>
        <v>cashloan</v>
      </c>
      <c r="I10325" s="143">
        <v>210000000</v>
      </c>
    </row>
    <row r="10326" spans="1:9" x14ac:dyDescent="0.2">
      <c r="A10326" s="134">
        <v>45966</v>
      </c>
      <c r="B10326" s="135">
        <f>YEAR(source[[#This Row],[report_date]])</f>
        <v>2025</v>
      </c>
      <c r="C10326" s="128">
        <f t="shared" si="481"/>
        <v>11</v>
      </c>
      <c r="D10326" s="136">
        <f t="shared" si="483"/>
        <v>45</v>
      </c>
      <c r="E10326" s="136">
        <f t="shared" si="482"/>
        <v>5</v>
      </c>
      <c r="F10326" s="137" t="s">
        <v>24</v>
      </c>
      <c r="G10326" s="128" t="str">
        <f>VLOOKUP(source[[#This Row],[lending_product_transform]],[3]Mapping!$B$4:$C$37,2,0)</f>
        <v>[Cake] - Cashloan</v>
      </c>
      <c r="H10326" s="128" t="str">
        <f>VLOOKUP(source[[#This Row],[lending_product_transform]],[3]Mapping!$B$3:$D$37,3,0)</f>
        <v>cashloan</v>
      </c>
      <c r="I10326" s="143">
        <v>17376540000</v>
      </c>
    </row>
    <row r="10327" spans="1:9" x14ac:dyDescent="0.2">
      <c r="A10327" s="134">
        <v>45966</v>
      </c>
      <c r="B10327" s="135">
        <f>YEAR(source[[#This Row],[report_date]])</f>
        <v>2025</v>
      </c>
      <c r="C10327" s="128">
        <f t="shared" si="481"/>
        <v>11</v>
      </c>
      <c r="D10327" s="136">
        <f t="shared" si="483"/>
        <v>45</v>
      </c>
      <c r="E10327" s="136">
        <f t="shared" si="482"/>
        <v>5</v>
      </c>
      <c r="F10327" s="137" t="s">
        <v>24</v>
      </c>
      <c r="G10327" s="128" t="str">
        <f>VLOOKUP(source[[#This Row],[lending_product_transform]],[3]Mapping!$B$4:$C$37,2,0)</f>
        <v>[Cake] - Cashloan</v>
      </c>
      <c r="H10327" s="128" t="str">
        <f>VLOOKUP(source[[#This Row],[lending_product_transform]],[3]Mapping!$B$3:$D$37,3,0)</f>
        <v>cashloan</v>
      </c>
      <c r="I10327" s="143">
        <v>0</v>
      </c>
    </row>
    <row r="10328" spans="1:9" x14ac:dyDescent="0.2">
      <c r="A10328" s="134">
        <v>45966</v>
      </c>
      <c r="B10328" s="135">
        <f>YEAR(source[[#This Row],[report_date]])</f>
        <v>2025</v>
      </c>
      <c r="C10328" s="128">
        <f t="shared" si="481"/>
        <v>11</v>
      </c>
      <c r="D10328" s="136">
        <f t="shared" si="483"/>
        <v>45</v>
      </c>
      <c r="E10328" s="136">
        <f t="shared" si="482"/>
        <v>5</v>
      </c>
      <c r="F10328" s="137" t="s">
        <v>24</v>
      </c>
      <c r="G10328" s="128" t="str">
        <f>VLOOKUP(source[[#This Row],[lending_product_transform]],[3]Mapping!$B$4:$C$37,2,0)</f>
        <v>[Cake] - Cashloan</v>
      </c>
      <c r="H10328" s="128" t="str">
        <f>VLOOKUP(source[[#This Row],[lending_product_transform]],[3]Mapping!$B$3:$D$37,3,0)</f>
        <v>cashloan</v>
      </c>
      <c r="I10328" s="143">
        <v>0</v>
      </c>
    </row>
    <row r="10329" spans="1:9" x14ac:dyDescent="0.2">
      <c r="A10329" s="134">
        <v>45966</v>
      </c>
      <c r="B10329" s="135">
        <f>YEAR(source[[#This Row],[report_date]])</f>
        <v>2025</v>
      </c>
      <c r="C10329" s="128">
        <f t="shared" si="481"/>
        <v>11</v>
      </c>
      <c r="D10329" s="136">
        <f t="shared" si="483"/>
        <v>45</v>
      </c>
      <c r="E10329" s="136">
        <f t="shared" si="482"/>
        <v>5</v>
      </c>
      <c r="F10329" s="137" t="s">
        <v>24</v>
      </c>
      <c r="G10329" s="128" t="str">
        <f>VLOOKUP(source[[#This Row],[lending_product_transform]],[3]Mapping!$B$4:$C$37,2,0)</f>
        <v>[Cake] - Cashloan</v>
      </c>
      <c r="H10329" s="128" t="str">
        <f>VLOOKUP(source[[#This Row],[lending_product_transform]],[3]Mapping!$B$3:$D$37,3,0)</f>
        <v>cashloan</v>
      </c>
      <c r="I10329" s="143">
        <v>0</v>
      </c>
    </row>
    <row r="10330" spans="1:9" x14ac:dyDescent="0.2">
      <c r="A10330" s="134">
        <v>45966</v>
      </c>
      <c r="B10330" s="135">
        <f>YEAR(source[[#This Row],[report_date]])</f>
        <v>2025</v>
      </c>
      <c r="C10330" s="128">
        <f t="shared" si="481"/>
        <v>11</v>
      </c>
      <c r="D10330" s="136">
        <f t="shared" si="483"/>
        <v>45</v>
      </c>
      <c r="E10330" s="136">
        <f t="shared" si="482"/>
        <v>5</v>
      </c>
      <c r="F10330" s="137" t="s">
        <v>24</v>
      </c>
      <c r="G10330" s="128" t="str">
        <f>VLOOKUP(source[[#This Row],[lending_product_transform]],[3]Mapping!$B$4:$C$37,2,0)</f>
        <v>[Cake] - Cashloan</v>
      </c>
      <c r="H10330" s="128" t="str">
        <f>VLOOKUP(source[[#This Row],[lending_product_transform]],[3]Mapping!$B$3:$D$37,3,0)</f>
        <v>cashloan</v>
      </c>
      <c r="I10330" s="143">
        <v>0</v>
      </c>
    </row>
    <row r="10331" spans="1:9" x14ac:dyDescent="0.2">
      <c r="A10331" s="134">
        <v>45966</v>
      </c>
      <c r="B10331" s="135">
        <f>YEAR(source[[#This Row],[report_date]])</f>
        <v>2025</v>
      </c>
      <c r="C10331" s="128">
        <f t="shared" si="481"/>
        <v>11</v>
      </c>
      <c r="D10331" s="136">
        <f t="shared" si="483"/>
        <v>45</v>
      </c>
      <c r="E10331" s="136">
        <f t="shared" si="482"/>
        <v>5</v>
      </c>
      <c r="F10331" s="137" t="s">
        <v>24</v>
      </c>
      <c r="G10331" s="128" t="str">
        <f>VLOOKUP(source[[#This Row],[lending_product_transform]],[3]Mapping!$B$4:$C$37,2,0)</f>
        <v>[Cake] - Cashloan</v>
      </c>
      <c r="H10331" s="128" t="str">
        <f>VLOOKUP(source[[#This Row],[lending_product_transform]],[3]Mapping!$B$3:$D$37,3,0)</f>
        <v>cashloan</v>
      </c>
      <c r="I10331" s="143">
        <v>11409228000</v>
      </c>
    </row>
    <row r="10332" spans="1:9" x14ac:dyDescent="0.2">
      <c r="A10332" s="134">
        <v>45966</v>
      </c>
      <c r="B10332" s="135">
        <f>YEAR(source[[#This Row],[report_date]])</f>
        <v>2025</v>
      </c>
      <c r="C10332" s="128">
        <f t="shared" si="481"/>
        <v>11</v>
      </c>
      <c r="D10332" s="136">
        <f t="shared" si="483"/>
        <v>45</v>
      </c>
      <c r="E10332" s="136">
        <f t="shared" si="482"/>
        <v>5</v>
      </c>
      <c r="F10332" s="137" t="s">
        <v>24</v>
      </c>
      <c r="G10332" s="128" t="str">
        <f>VLOOKUP(source[[#This Row],[lending_product_transform]],[3]Mapping!$B$4:$C$37,2,0)</f>
        <v>[Cake] - Cashloan</v>
      </c>
      <c r="H10332" s="128" t="str">
        <f>VLOOKUP(source[[#This Row],[lending_product_transform]],[3]Mapping!$B$3:$D$37,3,0)</f>
        <v>cashloan</v>
      </c>
      <c r="I10332" s="143">
        <v>639775519</v>
      </c>
    </row>
    <row r="10333" spans="1:9" x14ac:dyDescent="0.2">
      <c r="A10333" s="134">
        <v>45966</v>
      </c>
      <c r="B10333" s="135">
        <f>YEAR(source[[#This Row],[report_date]])</f>
        <v>2025</v>
      </c>
      <c r="C10333" s="128">
        <f t="shared" si="481"/>
        <v>11</v>
      </c>
      <c r="D10333" s="136">
        <f t="shared" si="483"/>
        <v>45</v>
      </c>
      <c r="E10333" s="136">
        <f t="shared" si="482"/>
        <v>5</v>
      </c>
      <c r="F10333" s="137" t="s">
        <v>24</v>
      </c>
      <c r="G10333" s="128" t="str">
        <f>VLOOKUP(source[[#This Row],[lending_product_transform]],[3]Mapping!$B$4:$C$37,2,0)</f>
        <v>[Cake] - Cashloan</v>
      </c>
      <c r="H10333" s="128" t="str">
        <f>VLOOKUP(source[[#This Row],[lending_product_transform]],[3]Mapping!$B$3:$D$37,3,0)</f>
        <v>cashloan</v>
      </c>
      <c r="I10333" s="143">
        <v>31000000</v>
      </c>
    </row>
    <row r="10334" spans="1:9" x14ac:dyDescent="0.2">
      <c r="A10334" s="134">
        <v>45966</v>
      </c>
      <c r="B10334" s="135">
        <f>YEAR(source[[#This Row],[report_date]])</f>
        <v>2025</v>
      </c>
      <c r="C10334" s="128">
        <f t="shared" si="481"/>
        <v>11</v>
      </c>
      <c r="D10334" s="136">
        <f t="shared" si="483"/>
        <v>45</v>
      </c>
      <c r="E10334" s="136">
        <f t="shared" si="482"/>
        <v>5</v>
      </c>
      <c r="F10334" s="137" t="s">
        <v>24</v>
      </c>
      <c r="G10334" s="128" t="str">
        <f>VLOOKUP(source[[#This Row],[lending_product_transform]],[3]Mapping!$B$4:$C$37,2,0)</f>
        <v>[Cake] - Cashloan</v>
      </c>
      <c r="H10334" s="128" t="str">
        <f>VLOOKUP(source[[#This Row],[lending_product_transform]],[3]Mapping!$B$3:$D$37,3,0)</f>
        <v>cashloan</v>
      </c>
      <c r="I10334" s="143">
        <v>35000000</v>
      </c>
    </row>
    <row r="10335" spans="1:9" x14ac:dyDescent="0.2">
      <c r="A10335" s="134">
        <v>45966</v>
      </c>
      <c r="B10335" s="135">
        <f>YEAR(source[[#This Row],[report_date]])</f>
        <v>2025</v>
      </c>
      <c r="C10335" s="128">
        <f t="shared" si="481"/>
        <v>11</v>
      </c>
      <c r="D10335" s="136">
        <f t="shared" si="483"/>
        <v>45</v>
      </c>
      <c r="E10335" s="136">
        <f t="shared" si="482"/>
        <v>5</v>
      </c>
      <c r="F10335" s="137" t="s">
        <v>24</v>
      </c>
      <c r="G10335" s="128" t="str">
        <f>VLOOKUP(source[[#This Row],[lending_product_transform]],[3]Mapping!$B$4:$C$37,2,0)</f>
        <v>[Cake] - Cashloan</v>
      </c>
      <c r="H10335" s="128" t="str">
        <f>VLOOKUP(source[[#This Row],[lending_product_transform]],[3]Mapping!$B$3:$D$37,3,0)</f>
        <v>cashloan</v>
      </c>
      <c r="I10335" s="143">
        <v>763600000</v>
      </c>
    </row>
    <row r="10336" spans="1:9" x14ac:dyDescent="0.2">
      <c r="A10336" s="134">
        <v>45966</v>
      </c>
      <c r="B10336" s="135">
        <f>YEAR(source[[#This Row],[report_date]])</f>
        <v>2025</v>
      </c>
      <c r="C10336" s="128">
        <f t="shared" si="481"/>
        <v>11</v>
      </c>
      <c r="D10336" s="136">
        <f t="shared" si="483"/>
        <v>45</v>
      </c>
      <c r="E10336" s="136">
        <f t="shared" si="482"/>
        <v>5</v>
      </c>
      <c r="F10336" s="137" t="s">
        <v>24</v>
      </c>
      <c r="G10336" s="128" t="str">
        <f>VLOOKUP(source[[#This Row],[lending_product_transform]],[3]Mapping!$B$4:$C$37,2,0)</f>
        <v>[Cake] - Cashloan</v>
      </c>
      <c r="H10336" s="128" t="str">
        <f>VLOOKUP(source[[#This Row],[lending_product_transform]],[3]Mapping!$B$3:$D$37,3,0)</f>
        <v>cashloan</v>
      </c>
      <c r="I10336" s="143">
        <v>249156000</v>
      </c>
    </row>
    <row r="10337" spans="1:9" x14ac:dyDescent="0.2">
      <c r="A10337" s="134">
        <v>45966</v>
      </c>
      <c r="B10337" s="135">
        <f>YEAR(source[[#This Row],[report_date]])</f>
        <v>2025</v>
      </c>
      <c r="C10337" s="128">
        <f t="shared" si="481"/>
        <v>11</v>
      </c>
      <c r="D10337" s="136">
        <f t="shared" si="483"/>
        <v>45</v>
      </c>
      <c r="E10337" s="136">
        <f t="shared" si="482"/>
        <v>5</v>
      </c>
      <c r="F10337" s="137" t="s">
        <v>24</v>
      </c>
      <c r="G10337" s="128" t="str">
        <f>VLOOKUP(source[[#This Row],[lending_product_transform]],[3]Mapping!$B$4:$C$37,2,0)</f>
        <v>[Cake] - Cashloan</v>
      </c>
      <c r="H10337" s="128" t="str">
        <f>VLOOKUP(source[[#This Row],[lending_product_transform]],[3]Mapping!$B$3:$D$37,3,0)</f>
        <v>cashloan</v>
      </c>
      <c r="I10337" s="143">
        <v>1264684371</v>
      </c>
    </row>
    <row r="10338" spans="1:9" x14ac:dyDescent="0.2">
      <c r="A10338" s="134">
        <v>45966</v>
      </c>
      <c r="B10338" s="135">
        <f>YEAR(source[[#This Row],[report_date]])</f>
        <v>2025</v>
      </c>
      <c r="C10338" s="128">
        <f t="shared" si="481"/>
        <v>11</v>
      </c>
      <c r="D10338" s="136">
        <f t="shared" si="483"/>
        <v>45</v>
      </c>
      <c r="E10338" s="136">
        <f t="shared" si="482"/>
        <v>5</v>
      </c>
      <c r="F10338" s="137" t="s">
        <v>24</v>
      </c>
      <c r="G10338" s="128" t="str">
        <f>VLOOKUP(source[[#This Row],[lending_product_transform]],[3]Mapping!$B$4:$C$37,2,0)</f>
        <v>[Cake] - Cashloan</v>
      </c>
      <c r="H10338" s="128" t="str">
        <f>VLOOKUP(source[[#This Row],[lending_product_transform]],[3]Mapping!$B$3:$D$37,3,0)</f>
        <v>cashloan</v>
      </c>
      <c r="I10338" s="143">
        <v>3471100000</v>
      </c>
    </row>
    <row r="10339" spans="1:9" x14ac:dyDescent="0.2">
      <c r="A10339" s="134">
        <v>45967</v>
      </c>
      <c r="B10339" s="135">
        <f>YEAR(source[[#This Row],[report_date]])</f>
        <v>2025</v>
      </c>
      <c r="C10339" s="128">
        <f t="shared" si="481"/>
        <v>11</v>
      </c>
      <c r="D10339" s="136">
        <f t="shared" si="483"/>
        <v>45</v>
      </c>
      <c r="E10339" s="136">
        <f t="shared" si="482"/>
        <v>6</v>
      </c>
      <c r="F10339" s="137" t="s">
        <v>24</v>
      </c>
      <c r="G10339" s="128" t="str">
        <f>VLOOKUP(source[[#This Row],[lending_product_transform]],[3]Mapping!$B$4:$C$37,2,0)</f>
        <v>[Cake] - Cashloan</v>
      </c>
      <c r="H10339" s="128" t="str">
        <f>VLOOKUP(source[[#This Row],[lending_product_transform]],[3]Mapping!$B$3:$D$37,3,0)</f>
        <v>cashloan</v>
      </c>
      <c r="I10339" s="143">
        <v>61500000</v>
      </c>
    </row>
    <row r="10340" spans="1:9" x14ac:dyDescent="0.2">
      <c r="A10340" s="134">
        <v>45967</v>
      </c>
      <c r="B10340" s="135">
        <f>YEAR(source[[#This Row],[report_date]])</f>
        <v>2025</v>
      </c>
      <c r="C10340" s="128">
        <f t="shared" si="481"/>
        <v>11</v>
      </c>
      <c r="D10340" s="136">
        <f t="shared" si="483"/>
        <v>45</v>
      </c>
      <c r="E10340" s="136">
        <f t="shared" si="482"/>
        <v>6</v>
      </c>
      <c r="F10340" s="137" t="s">
        <v>24</v>
      </c>
      <c r="G10340" s="128" t="str">
        <f>VLOOKUP(source[[#This Row],[lending_product_transform]],[3]Mapping!$B$4:$C$37,2,0)</f>
        <v>[Cake] - Cashloan</v>
      </c>
      <c r="H10340" s="128" t="str">
        <f>VLOOKUP(source[[#This Row],[lending_product_transform]],[3]Mapping!$B$3:$D$37,3,0)</f>
        <v>cashloan</v>
      </c>
      <c r="I10340" s="143">
        <v>339372324</v>
      </c>
    </row>
    <row r="10341" spans="1:9" x14ac:dyDescent="0.2">
      <c r="A10341" s="134">
        <v>45967</v>
      </c>
      <c r="B10341" s="135">
        <f>YEAR(source[[#This Row],[report_date]])</f>
        <v>2025</v>
      </c>
      <c r="C10341" s="128">
        <f t="shared" si="481"/>
        <v>11</v>
      </c>
      <c r="D10341" s="136">
        <f t="shared" si="483"/>
        <v>45</v>
      </c>
      <c r="E10341" s="136">
        <f t="shared" si="482"/>
        <v>6</v>
      </c>
      <c r="F10341" s="137" t="s">
        <v>24</v>
      </c>
      <c r="G10341" s="128" t="str">
        <f>VLOOKUP(source[[#This Row],[lending_product_transform]],[3]Mapping!$B$4:$C$37,2,0)</f>
        <v>[Cake] - Cashloan</v>
      </c>
      <c r="H10341" s="128" t="str">
        <f>VLOOKUP(source[[#This Row],[lending_product_transform]],[3]Mapping!$B$3:$D$37,3,0)</f>
        <v>cashloan</v>
      </c>
      <c r="I10341" s="143">
        <v>18389170000</v>
      </c>
    </row>
    <row r="10342" spans="1:9" x14ac:dyDescent="0.2">
      <c r="A10342" s="134">
        <v>45967</v>
      </c>
      <c r="B10342" s="135">
        <f>YEAR(source[[#This Row],[report_date]])</f>
        <v>2025</v>
      </c>
      <c r="C10342" s="128">
        <f t="shared" si="481"/>
        <v>11</v>
      </c>
      <c r="D10342" s="136">
        <f t="shared" si="483"/>
        <v>45</v>
      </c>
      <c r="E10342" s="136">
        <f t="shared" si="482"/>
        <v>6</v>
      </c>
      <c r="F10342" s="137" t="s">
        <v>24</v>
      </c>
      <c r="G10342" s="128" t="str">
        <f>VLOOKUP(source[[#This Row],[lending_product_transform]],[3]Mapping!$B$4:$C$37,2,0)</f>
        <v>[Cake] - Cashloan</v>
      </c>
      <c r="H10342" s="128" t="str">
        <f>VLOOKUP(source[[#This Row],[lending_product_transform]],[3]Mapping!$B$3:$D$37,3,0)</f>
        <v>cashloan</v>
      </c>
      <c r="I10342" s="143">
        <v>2365490217</v>
      </c>
    </row>
    <row r="10343" spans="1:9" x14ac:dyDescent="0.2">
      <c r="A10343" s="134">
        <v>45967</v>
      </c>
      <c r="B10343" s="135">
        <f>YEAR(source[[#This Row],[report_date]])</f>
        <v>2025</v>
      </c>
      <c r="C10343" s="128">
        <f t="shared" si="481"/>
        <v>11</v>
      </c>
      <c r="D10343" s="136">
        <f t="shared" si="483"/>
        <v>45</v>
      </c>
      <c r="E10343" s="136">
        <f t="shared" si="482"/>
        <v>6</v>
      </c>
      <c r="F10343" s="137" t="s">
        <v>24</v>
      </c>
      <c r="G10343" s="128" t="str">
        <f>VLOOKUP(source[[#This Row],[lending_product_transform]],[3]Mapping!$B$4:$C$37,2,0)</f>
        <v>[Cake] - Cashloan</v>
      </c>
      <c r="H10343" s="128" t="str">
        <f>VLOOKUP(source[[#This Row],[lending_product_transform]],[3]Mapping!$B$3:$D$37,3,0)</f>
        <v>cashloan</v>
      </c>
      <c r="I10343" s="143">
        <v>8525844000</v>
      </c>
    </row>
    <row r="10344" spans="1:9" x14ac:dyDescent="0.2">
      <c r="A10344" s="134">
        <v>45967</v>
      </c>
      <c r="B10344" s="135">
        <f>YEAR(source[[#This Row],[report_date]])</f>
        <v>2025</v>
      </c>
      <c r="C10344" s="128">
        <f t="shared" si="481"/>
        <v>11</v>
      </c>
      <c r="D10344" s="136">
        <f t="shared" si="483"/>
        <v>45</v>
      </c>
      <c r="E10344" s="136">
        <f t="shared" si="482"/>
        <v>6</v>
      </c>
      <c r="F10344" s="137" t="s">
        <v>24</v>
      </c>
      <c r="G10344" s="128" t="str">
        <f>VLOOKUP(source[[#This Row],[lending_product_transform]],[3]Mapping!$B$4:$C$37,2,0)</f>
        <v>[Cake] - Cashloan</v>
      </c>
      <c r="H10344" s="128" t="str">
        <f>VLOOKUP(source[[#This Row],[lending_product_transform]],[3]Mapping!$B$3:$D$37,3,0)</f>
        <v>cashloan</v>
      </c>
      <c r="I10344" s="143">
        <v>24681157</v>
      </c>
    </row>
    <row r="10345" spans="1:9" x14ac:dyDescent="0.2">
      <c r="A10345" s="134">
        <v>45967</v>
      </c>
      <c r="B10345" s="135">
        <f>YEAR(source[[#This Row],[report_date]])</f>
        <v>2025</v>
      </c>
      <c r="C10345" s="128">
        <f t="shared" si="481"/>
        <v>11</v>
      </c>
      <c r="D10345" s="136">
        <f t="shared" si="483"/>
        <v>45</v>
      </c>
      <c r="E10345" s="136">
        <f t="shared" si="482"/>
        <v>6</v>
      </c>
      <c r="F10345" s="137" t="s">
        <v>24</v>
      </c>
      <c r="G10345" s="128" t="str">
        <f>VLOOKUP(source[[#This Row],[lending_product_transform]],[3]Mapping!$B$4:$C$37,2,0)</f>
        <v>[Cake] - Cashloan</v>
      </c>
      <c r="H10345" s="128" t="str">
        <f>VLOOKUP(source[[#This Row],[lending_product_transform]],[3]Mapping!$B$3:$D$37,3,0)</f>
        <v>cashloan</v>
      </c>
      <c r="I10345" s="143">
        <v>2584470000</v>
      </c>
    </row>
    <row r="10346" spans="1:9" x14ac:dyDescent="0.2">
      <c r="A10346" s="134">
        <v>45967</v>
      </c>
      <c r="B10346" s="135">
        <f>YEAR(source[[#This Row],[report_date]])</f>
        <v>2025</v>
      </c>
      <c r="C10346" s="128">
        <f t="shared" si="481"/>
        <v>11</v>
      </c>
      <c r="D10346" s="136">
        <f t="shared" si="483"/>
        <v>45</v>
      </c>
      <c r="E10346" s="136">
        <f t="shared" si="482"/>
        <v>6</v>
      </c>
      <c r="F10346" s="137" t="s">
        <v>24</v>
      </c>
      <c r="G10346" s="128" t="str">
        <f>VLOOKUP(source[[#This Row],[lending_product_transform]],[3]Mapping!$B$4:$C$37,2,0)</f>
        <v>[Cake] - Cashloan</v>
      </c>
      <c r="H10346" s="128" t="str">
        <f>VLOOKUP(source[[#This Row],[lending_product_transform]],[3]Mapping!$B$3:$D$37,3,0)</f>
        <v>cashloan</v>
      </c>
      <c r="I10346" s="143">
        <v>30687689</v>
      </c>
    </row>
    <row r="10347" spans="1:9" x14ac:dyDescent="0.2">
      <c r="A10347" s="134">
        <v>45967</v>
      </c>
      <c r="B10347" s="135">
        <f>YEAR(source[[#This Row],[report_date]])</f>
        <v>2025</v>
      </c>
      <c r="C10347" s="128">
        <f t="shared" si="481"/>
        <v>11</v>
      </c>
      <c r="D10347" s="136">
        <f t="shared" si="483"/>
        <v>45</v>
      </c>
      <c r="E10347" s="136">
        <f t="shared" si="482"/>
        <v>6</v>
      </c>
      <c r="F10347" s="137" t="s">
        <v>24</v>
      </c>
      <c r="G10347" s="128" t="str">
        <f>VLOOKUP(source[[#This Row],[lending_product_transform]],[3]Mapping!$B$4:$C$37,2,0)</f>
        <v>[Cake] - Cashloan</v>
      </c>
      <c r="H10347" s="128" t="str">
        <f>VLOOKUP(source[[#This Row],[lending_product_transform]],[3]Mapping!$B$3:$D$37,3,0)</f>
        <v>cashloan</v>
      </c>
      <c r="I10347" s="143">
        <v>1664467122</v>
      </c>
    </row>
    <row r="10348" spans="1:9" x14ac:dyDescent="0.2">
      <c r="A10348" s="134">
        <v>45967</v>
      </c>
      <c r="B10348" s="135">
        <f>YEAR(source[[#This Row],[report_date]])</f>
        <v>2025</v>
      </c>
      <c r="C10348" s="128">
        <f t="shared" si="481"/>
        <v>11</v>
      </c>
      <c r="D10348" s="136">
        <f t="shared" si="483"/>
        <v>45</v>
      </c>
      <c r="E10348" s="136">
        <f t="shared" si="482"/>
        <v>6</v>
      </c>
      <c r="F10348" s="137" t="s">
        <v>24</v>
      </c>
      <c r="G10348" s="128" t="str">
        <f>VLOOKUP(source[[#This Row],[lending_product_transform]],[3]Mapping!$B$4:$C$37,2,0)</f>
        <v>[Cake] - Cashloan</v>
      </c>
      <c r="H10348" s="128" t="str">
        <f>VLOOKUP(source[[#This Row],[lending_product_transform]],[3]Mapping!$B$3:$D$37,3,0)</f>
        <v>cashloan</v>
      </c>
      <c r="I10348" s="143">
        <v>0</v>
      </c>
    </row>
    <row r="10349" spans="1:9" x14ac:dyDescent="0.2">
      <c r="A10349" s="134">
        <v>45967</v>
      </c>
      <c r="B10349" s="135">
        <f>YEAR(source[[#This Row],[report_date]])</f>
        <v>2025</v>
      </c>
      <c r="C10349" s="128">
        <f t="shared" si="481"/>
        <v>11</v>
      </c>
      <c r="D10349" s="136">
        <f t="shared" si="483"/>
        <v>45</v>
      </c>
      <c r="E10349" s="136">
        <f t="shared" si="482"/>
        <v>6</v>
      </c>
      <c r="F10349" s="137" t="s">
        <v>24</v>
      </c>
      <c r="G10349" s="128" t="str">
        <f>VLOOKUP(source[[#This Row],[lending_product_transform]],[3]Mapping!$B$4:$C$37,2,0)</f>
        <v>[Cake] - Cashloan</v>
      </c>
      <c r="H10349" s="128" t="str">
        <f>VLOOKUP(source[[#This Row],[lending_product_transform]],[3]Mapping!$B$3:$D$37,3,0)</f>
        <v>cashloan</v>
      </c>
      <c r="I10349" s="143">
        <v>338150000</v>
      </c>
    </row>
    <row r="10350" spans="1:9" x14ac:dyDescent="0.2">
      <c r="A10350" s="134">
        <v>45967</v>
      </c>
      <c r="B10350" s="135">
        <f>YEAR(source[[#This Row],[report_date]])</f>
        <v>2025</v>
      </c>
      <c r="C10350" s="128">
        <f t="shared" si="481"/>
        <v>11</v>
      </c>
      <c r="D10350" s="136">
        <f t="shared" si="483"/>
        <v>45</v>
      </c>
      <c r="E10350" s="136">
        <f t="shared" si="482"/>
        <v>6</v>
      </c>
      <c r="F10350" s="137" t="s">
        <v>24</v>
      </c>
      <c r="G10350" s="128" t="str">
        <f>VLOOKUP(source[[#This Row],[lending_product_transform]],[3]Mapping!$B$4:$C$37,2,0)</f>
        <v>[Cake] - Cashloan</v>
      </c>
      <c r="H10350" s="128" t="str">
        <f>VLOOKUP(source[[#This Row],[lending_product_transform]],[3]Mapping!$B$3:$D$37,3,0)</f>
        <v>cashloan</v>
      </c>
      <c r="I10350" s="143">
        <v>16997680000</v>
      </c>
    </row>
    <row r="10351" spans="1:9" x14ac:dyDescent="0.2">
      <c r="A10351" s="134">
        <v>45967</v>
      </c>
      <c r="B10351" s="135">
        <f>YEAR(source[[#This Row],[report_date]])</f>
        <v>2025</v>
      </c>
      <c r="C10351" s="128">
        <f t="shared" si="481"/>
        <v>11</v>
      </c>
      <c r="D10351" s="136">
        <f t="shared" si="483"/>
        <v>45</v>
      </c>
      <c r="E10351" s="136">
        <f t="shared" si="482"/>
        <v>6</v>
      </c>
      <c r="F10351" s="137" t="s">
        <v>24</v>
      </c>
      <c r="G10351" s="128" t="str">
        <f>VLOOKUP(source[[#This Row],[lending_product_transform]],[3]Mapping!$B$4:$C$37,2,0)</f>
        <v>[Cake] - Cashloan</v>
      </c>
      <c r="H10351" s="128" t="str">
        <f>VLOOKUP(source[[#This Row],[lending_product_transform]],[3]Mapping!$B$3:$D$37,3,0)</f>
        <v>cashloan</v>
      </c>
      <c r="I10351" s="143">
        <v>0</v>
      </c>
    </row>
    <row r="10352" spans="1:9" x14ac:dyDescent="0.2">
      <c r="A10352" s="134">
        <v>45967</v>
      </c>
      <c r="B10352" s="135">
        <f>YEAR(source[[#This Row],[report_date]])</f>
        <v>2025</v>
      </c>
      <c r="C10352" s="128">
        <f t="shared" si="481"/>
        <v>11</v>
      </c>
      <c r="D10352" s="136">
        <f t="shared" si="483"/>
        <v>45</v>
      </c>
      <c r="E10352" s="136">
        <f t="shared" si="482"/>
        <v>6</v>
      </c>
      <c r="F10352" s="137" t="s">
        <v>24</v>
      </c>
      <c r="G10352" s="128" t="str">
        <f>VLOOKUP(source[[#This Row],[lending_product_transform]],[3]Mapping!$B$4:$C$37,2,0)</f>
        <v>[Cake] - Cashloan</v>
      </c>
      <c r="H10352" s="128" t="str">
        <f>VLOOKUP(source[[#This Row],[lending_product_transform]],[3]Mapping!$B$3:$D$37,3,0)</f>
        <v>cashloan</v>
      </c>
      <c r="I10352" s="143">
        <v>0</v>
      </c>
    </row>
    <row r="10353" spans="1:9" x14ac:dyDescent="0.2">
      <c r="A10353" s="134">
        <v>45967</v>
      </c>
      <c r="B10353" s="135">
        <f>YEAR(source[[#This Row],[report_date]])</f>
        <v>2025</v>
      </c>
      <c r="C10353" s="128">
        <f t="shared" si="481"/>
        <v>11</v>
      </c>
      <c r="D10353" s="136">
        <f t="shared" si="483"/>
        <v>45</v>
      </c>
      <c r="E10353" s="136">
        <f t="shared" si="482"/>
        <v>6</v>
      </c>
      <c r="F10353" s="137" t="s">
        <v>24</v>
      </c>
      <c r="G10353" s="128" t="str">
        <f>VLOOKUP(source[[#This Row],[lending_product_transform]],[3]Mapping!$B$4:$C$37,2,0)</f>
        <v>[Cake] - Cashloan</v>
      </c>
      <c r="H10353" s="128" t="str">
        <f>VLOOKUP(source[[#This Row],[lending_product_transform]],[3]Mapping!$B$3:$D$37,3,0)</f>
        <v>cashloan</v>
      </c>
      <c r="I10353" s="143">
        <v>0</v>
      </c>
    </row>
    <row r="10354" spans="1:9" x14ac:dyDescent="0.2">
      <c r="A10354" s="134">
        <v>45967</v>
      </c>
      <c r="B10354" s="135">
        <f>YEAR(source[[#This Row],[report_date]])</f>
        <v>2025</v>
      </c>
      <c r="C10354" s="128">
        <f t="shared" si="481"/>
        <v>11</v>
      </c>
      <c r="D10354" s="136">
        <f t="shared" si="483"/>
        <v>45</v>
      </c>
      <c r="E10354" s="136">
        <f t="shared" si="482"/>
        <v>6</v>
      </c>
      <c r="F10354" s="137" t="s">
        <v>24</v>
      </c>
      <c r="G10354" s="128" t="str">
        <f>VLOOKUP(source[[#This Row],[lending_product_transform]],[3]Mapping!$B$4:$C$37,2,0)</f>
        <v>[Cake] - Cashloan</v>
      </c>
      <c r="H10354" s="128" t="str">
        <f>VLOOKUP(source[[#This Row],[lending_product_transform]],[3]Mapping!$B$3:$D$37,3,0)</f>
        <v>cashloan</v>
      </c>
      <c r="I10354" s="143">
        <v>0</v>
      </c>
    </row>
    <row r="10355" spans="1:9" x14ac:dyDescent="0.2">
      <c r="A10355" s="134">
        <v>45967</v>
      </c>
      <c r="B10355" s="135">
        <f>YEAR(source[[#This Row],[report_date]])</f>
        <v>2025</v>
      </c>
      <c r="C10355" s="128">
        <f t="shared" si="481"/>
        <v>11</v>
      </c>
      <c r="D10355" s="136">
        <f t="shared" si="483"/>
        <v>45</v>
      </c>
      <c r="E10355" s="136">
        <f t="shared" si="482"/>
        <v>6</v>
      </c>
      <c r="F10355" s="137" t="s">
        <v>24</v>
      </c>
      <c r="G10355" s="128" t="str">
        <f>VLOOKUP(source[[#This Row],[lending_product_transform]],[3]Mapping!$B$4:$C$37,2,0)</f>
        <v>[Cake] - Cashloan</v>
      </c>
      <c r="H10355" s="128" t="str">
        <f>VLOOKUP(source[[#This Row],[lending_product_transform]],[3]Mapping!$B$3:$D$37,3,0)</f>
        <v>cashloan</v>
      </c>
      <c r="I10355" s="143">
        <v>10614672000</v>
      </c>
    </row>
    <row r="10356" spans="1:9" x14ac:dyDescent="0.2">
      <c r="A10356" s="134">
        <v>45967</v>
      </c>
      <c r="B10356" s="135">
        <f>YEAR(source[[#This Row],[report_date]])</f>
        <v>2025</v>
      </c>
      <c r="C10356" s="128">
        <f t="shared" si="481"/>
        <v>11</v>
      </c>
      <c r="D10356" s="136">
        <f t="shared" si="483"/>
        <v>45</v>
      </c>
      <c r="E10356" s="136">
        <f t="shared" si="482"/>
        <v>6</v>
      </c>
      <c r="F10356" s="137" t="s">
        <v>24</v>
      </c>
      <c r="G10356" s="128" t="str">
        <f>VLOOKUP(source[[#This Row],[lending_product_transform]],[3]Mapping!$B$4:$C$37,2,0)</f>
        <v>[Cake] - Cashloan</v>
      </c>
      <c r="H10356" s="128" t="str">
        <f>VLOOKUP(source[[#This Row],[lending_product_transform]],[3]Mapping!$B$3:$D$37,3,0)</f>
        <v>cashloan</v>
      </c>
      <c r="I10356" s="143">
        <v>399615455</v>
      </c>
    </row>
    <row r="10357" spans="1:9" x14ac:dyDescent="0.2">
      <c r="A10357" s="134">
        <v>45967</v>
      </c>
      <c r="B10357" s="135">
        <f>YEAR(source[[#This Row],[report_date]])</f>
        <v>2025</v>
      </c>
      <c r="C10357" s="128">
        <f t="shared" si="481"/>
        <v>11</v>
      </c>
      <c r="D10357" s="136">
        <f t="shared" si="483"/>
        <v>45</v>
      </c>
      <c r="E10357" s="136">
        <f t="shared" si="482"/>
        <v>6</v>
      </c>
      <c r="F10357" s="137" t="s">
        <v>24</v>
      </c>
      <c r="G10357" s="128" t="str">
        <f>VLOOKUP(source[[#This Row],[lending_product_transform]],[3]Mapping!$B$4:$C$37,2,0)</f>
        <v>[Cake] - Cashloan</v>
      </c>
      <c r="H10357" s="128" t="str">
        <f>VLOOKUP(source[[#This Row],[lending_product_transform]],[3]Mapping!$B$3:$D$37,3,0)</f>
        <v>cashloan</v>
      </c>
      <c r="I10357" s="143">
        <v>33600000</v>
      </c>
    </row>
    <row r="10358" spans="1:9" x14ac:dyDescent="0.2">
      <c r="A10358" s="134">
        <v>45967</v>
      </c>
      <c r="B10358" s="135">
        <f>YEAR(source[[#This Row],[report_date]])</f>
        <v>2025</v>
      </c>
      <c r="C10358" s="128">
        <f t="shared" ref="C10358:C10421" si="484">MONTH(A10358)</f>
        <v>11</v>
      </c>
      <c r="D10358" s="136">
        <f t="shared" si="483"/>
        <v>45</v>
      </c>
      <c r="E10358" s="136">
        <f t="shared" ref="E10358:E10421" si="485">DAY(A10358)</f>
        <v>6</v>
      </c>
      <c r="F10358" s="137" t="s">
        <v>24</v>
      </c>
      <c r="G10358" s="128" t="str">
        <f>VLOOKUP(source[[#This Row],[lending_product_transform]],[3]Mapping!$B$4:$C$37,2,0)</f>
        <v>[Cake] - Cashloan</v>
      </c>
      <c r="H10358" s="128" t="str">
        <f>VLOOKUP(source[[#This Row],[lending_product_transform]],[3]Mapping!$B$3:$D$37,3,0)</f>
        <v>cashloan</v>
      </c>
      <c r="I10358" s="143">
        <v>26000000</v>
      </c>
    </row>
    <row r="10359" spans="1:9" x14ac:dyDescent="0.2">
      <c r="A10359" s="134">
        <v>45967</v>
      </c>
      <c r="B10359" s="135">
        <f>YEAR(source[[#This Row],[report_date]])</f>
        <v>2025</v>
      </c>
      <c r="C10359" s="128">
        <f t="shared" si="484"/>
        <v>11</v>
      </c>
      <c r="D10359" s="136">
        <f t="shared" si="483"/>
        <v>45</v>
      </c>
      <c r="E10359" s="136">
        <f t="shared" si="485"/>
        <v>6</v>
      </c>
      <c r="F10359" s="137" t="s">
        <v>24</v>
      </c>
      <c r="G10359" s="128" t="str">
        <f>VLOOKUP(source[[#This Row],[lending_product_transform]],[3]Mapping!$B$4:$C$37,2,0)</f>
        <v>[Cake] - Cashloan</v>
      </c>
      <c r="H10359" s="128" t="str">
        <f>VLOOKUP(source[[#This Row],[lending_product_transform]],[3]Mapping!$B$3:$D$37,3,0)</f>
        <v>cashloan</v>
      </c>
      <c r="I10359" s="143">
        <v>635550000</v>
      </c>
    </row>
    <row r="10360" spans="1:9" x14ac:dyDescent="0.2">
      <c r="A10360" s="134">
        <v>45967</v>
      </c>
      <c r="B10360" s="135">
        <f>YEAR(source[[#This Row],[report_date]])</f>
        <v>2025</v>
      </c>
      <c r="C10360" s="128">
        <f t="shared" si="484"/>
        <v>11</v>
      </c>
      <c r="D10360" s="136">
        <f t="shared" si="483"/>
        <v>45</v>
      </c>
      <c r="E10360" s="136">
        <f t="shared" si="485"/>
        <v>6</v>
      </c>
      <c r="F10360" s="137" t="s">
        <v>24</v>
      </c>
      <c r="G10360" s="128" t="str">
        <f>VLOOKUP(source[[#This Row],[lending_product_transform]],[3]Mapping!$B$4:$C$37,2,0)</f>
        <v>[Cake] - Cashloan</v>
      </c>
      <c r="H10360" s="128" t="str">
        <f>VLOOKUP(source[[#This Row],[lending_product_transform]],[3]Mapping!$B$3:$D$37,3,0)</f>
        <v>cashloan</v>
      </c>
      <c r="I10360" s="143">
        <v>194400000</v>
      </c>
    </row>
    <row r="10361" spans="1:9" x14ac:dyDescent="0.2">
      <c r="A10361" s="134">
        <v>45967</v>
      </c>
      <c r="B10361" s="135">
        <f>YEAR(source[[#This Row],[report_date]])</f>
        <v>2025</v>
      </c>
      <c r="C10361" s="128">
        <f t="shared" si="484"/>
        <v>11</v>
      </c>
      <c r="D10361" s="136">
        <f t="shared" si="483"/>
        <v>45</v>
      </c>
      <c r="E10361" s="136">
        <f t="shared" si="485"/>
        <v>6</v>
      </c>
      <c r="F10361" s="137" t="s">
        <v>24</v>
      </c>
      <c r="G10361" s="128" t="str">
        <f>VLOOKUP(source[[#This Row],[lending_product_transform]],[3]Mapping!$B$4:$C$37,2,0)</f>
        <v>[Cake] - Cashloan</v>
      </c>
      <c r="H10361" s="128" t="str">
        <f>VLOOKUP(source[[#This Row],[lending_product_transform]],[3]Mapping!$B$3:$D$37,3,0)</f>
        <v>cashloan</v>
      </c>
      <c r="I10361" s="143">
        <v>767072421</v>
      </c>
    </row>
    <row r="10362" spans="1:9" x14ac:dyDescent="0.2">
      <c r="A10362" s="134">
        <v>45967</v>
      </c>
      <c r="B10362" s="135">
        <f>YEAR(source[[#This Row],[report_date]])</f>
        <v>2025</v>
      </c>
      <c r="C10362" s="128">
        <f t="shared" si="484"/>
        <v>11</v>
      </c>
      <c r="D10362" s="136">
        <f t="shared" si="483"/>
        <v>45</v>
      </c>
      <c r="E10362" s="136">
        <f t="shared" si="485"/>
        <v>6</v>
      </c>
      <c r="F10362" s="137" t="s">
        <v>24</v>
      </c>
      <c r="G10362" s="128" t="str">
        <f>VLOOKUP(source[[#This Row],[lending_product_transform]],[3]Mapping!$B$4:$C$37,2,0)</f>
        <v>[Cake] - Cashloan</v>
      </c>
      <c r="H10362" s="128" t="str">
        <f>VLOOKUP(source[[#This Row],[lending_product_transform]],[3]Mapping!$B$3:$D$37,3,0)</f>
        <v>cashloan</v>
      </c>
      <c r="I10362" s="143">
        <v>3756710000</v>
      </c>
    </row>
    <row r="10363" spans="1:9" x14ac:dyDescent="0.2">
      <c r="A10363" s="134">
        <v>45968</v>
      </c>
      <c r="B10363" s="135">
        <f>YEAR(source[[#This Row],[report_date]])</f>
        <v>2025</v>
      </c>
      <c r="C10363" s="128">
        <f t="shared" si="484"/>
        <v>11</v>
      </c>
      <c r="D10363" s="136">
        <f t="shared" si="483"/>
        <v>45</v>
      </c>
      <c r="E10363" s="136">
        <f t="shared" si="485"/>
        <v>7</v>
      </c>
      <c r="F10363" s="137" t="s">
        <v>24</v>
      </c>
      <c r="G10363" s="128" t="str">
        <f>VLOOKUP(source[[#This Row],[lending_product_transform]],[3]Mapping!$B$4:$C$37,2,0)</f>
        <v>[Cake] - Cashloan</v>
      </c>
      <c r="H10363" s="128" t="str">
        <f>VLOOKUP(source[[#This Row],[lending_product_transform]],[3]Mapping!$B$3:$D$37,3,0)</f>
        <v>cashloan</v>
      </c>
      <c r="I10363" s="143">
        <v>52500000</v>
      </c>
    </row>
    <row r="10364" spans="1:9" x14ac:dyDescent="0.2">
      <c r="A10364" s="134">
        <v>45968</v>
      </c>
      <c r="B10364" s="135">
        <f>YEAR(source[[#This Row],[report_date]])</f>
        <v>2025</v>
      </c>
      <c r="C10364" s="128">
        <f t="shared" si="484"/>
        <v>11</v>
      </c>
      <c r="D10364" s="136">
        <f t="shared" si="483"/>
        <v>45</v>
      </c>
      <c r="E10364" s="136">
        <f t="shared" si="485"/>
        <v>7</v>
      </c>
      <c r="F10364" s="137" t="s">
        <v>24</v>
      </c>
      <c r="G10364" s="128" t="str">
        <f>VLOOKUP(source[[#This Row],[lending_product_transform]],[3]Mapping!$B$4:$C$37,2,0)</f>
        <v>[Cake] - Cashloan</v>
      </c>
      <c r="H10364" s="128" t="str">
        <f>VLOOKUP(source[[#This Row],[lending_product_transform]],[3]Mapping!$B$3:$D$37,3,0)</f>
        <v>cashloan</v>
      </c>
      <c r="I10364" s="143">
        <v>388542464</v>
      </c>
    </row>
    <row r="10365" spans="1:9" x14ac:dyDescent="0.2">
      <c r="A10365" s="134">
        <v>45968</v>
      </c>
      <c r="B10365" s="135">
        <f>YEAR(source[[#This Row],[report_date]])</f>
        <v>2025</v>
      </c>
      <c r="C10365" s="128">
        <f t="shared" si="484"/>
        <v>11</v>
      </c>
      <c r="D10365" s="136">
        <f t="shared" si="483"/>
        <v>45</v>
      </c>
      <c r="E10365" s="136">
        <f t="shared" si="485"/>
        <v>7</v>
      </c>
      <c r="F10365" s="137" t="s">
        <v>24</v>
      </c>
      <c r="G10365" s="128" t="str">
        <f>VLOOKUP(source[[#This Row],[lending_product_transform]],[3]Mapping!$B$4:$C$37,2,0)</f>
        <v>[Cake] - Cashloan</v>
      </c>
      <c r="H10365" s="128" t="str">
        <f>VLOOKUP(source[[#This Row],[lending_product_transform]],[3]Mapping!$B$3:$D$37,3,0)</f>
        <v>cashloan</v>
      </c>
      <c r="I10365" s="143">
        <v>16971850000</v>
      </c>
    </row>
    <row r="10366" spans="1:9" x14ac:dyDescent="0.2">
      <c r="A10366" s="134">
        <v>45968</v>
      </c>
      <c r="B10366" s="135">
        <f>YEAR(source[[#This Row],[report_date]])</f>
        <v>2025</v>
      </c>
      <c r="C10366" s="128">
        <f t="shared" si="484"/>
        <v>11</v>
      </c>
      <c r="D10366" s="136">
        <f t="shared" si="483"/>
        <v>45</v>
      </c>
      <c r="E10366" s="136">
        <f t="shared" si="485"/>
        <v>7</v>
      </c>
      <c r="F10366" s="137" t="s">
        <v>24</v>
      </c>
      <c r="G10366" s="128" t="str">
        <f>VLOOKUP(source[[#This Row],[lending_product_transform]],[3]Mapping!$B$4:$C$37,2,0)</f>
        <v>[Cake] - Cashloan</v>
      </c>
      <c r="H10366" s="128" t="str">
        <f>VLOOKUP(source[[#This Row],[lending_product_transform]],[3]Mapping!$B$3:$D$37,3,0)</f>
        <v>cashloan</v>
      </c>
      <c r="I10366" s="143">
        <v>2475565254</v>
      </c>
    </row>
    <row r="10367" spans="1:9" x14ac:dyDescent="0.2">
      <c r="A10367" s="134">
        <v>45968</v>
      </c>
      <c r="B10367" s="135">
        <f>YEAR(source[[#This Row],[report_date]])</f>
        <v>2025</v>
      </c>
      <c r="C10367" s="128">
        <f t="shared" si="484"/>
        <v>11</v>
      </c>
      <c r="D10367" s="136">
        <f t="shared" si="483"/>
        <v>45</v>
      </c>
      <c r="E10367" s="136">
        <f t="shared" si="485"/>
        <v>7</v>
      </c>
      <c r="F10367" s="137" t="s">
        <v>24</v>
      </c>
      <c r="G10367" s="128" t="str">
        <f>VLOOKUP(source[[#This Row],[lending_product_transform]],[3]Mapping!$B$4:$C$37,2,0)</f>
        <v>[Cake] - Cashloan</v>
      </c>
      <c r="H10367" s="128" t="str">
        <f>VLOOKUP(source[[#This Row],[lending_product_transform]],[3]Mapping!$B$3:$D$37,3,0)</f>
        <v>cashloan</v>
      </c>
      <c r="I10367" s="143">
        <v>8620452000</v>
      </c>
    </row>
    <row r="10368" spans="1:9" x14ac:dyDescent="0.2">
      <c r="A10368" s="134">
        <v>45968</v>
      </c>
      <c r="B10368" s="135">
        <f>YEAR(source[[#This Row],[report_date]])</f>
        <v>2025</v>
      </c>
      <c r="C10368" s="128">
        <f t="shared" si="484"/>
        <v>11</v>
      </c>
      <c r="D10368" s="136">
        <f t="shared" si="483"/>
        <v>45</v>
      </c>
      <c r="E10368" s="136">
        <f t="shared" si="485"/>
        <v>7</v>
      </c>
      <c r="F10368" s="137" t="s">
        <v>24</v>
      </c>
      <c r="G10368" s="128" t="str">
        <f>VLOOKUP(source[[#This Row],[lending_product_transform]],[3]Mapping!$B$4:$C$37,2,0)</f>
        <v>[Cake] - Cashloan</v>
      </c>
      <c r="H10368" s="128" t="str">
        <f>VLOOKUP(source[[#This Row],[lending_product_transform]],[3]Mapping!$B$3:$D$37,3,0)</f>
        <v>cashloan</v>
      </c>
      <c r="I10368" s="143">
        <v>15975445</v>
      </c>
    </row>
    <row r="10369" spans="1:9" x14ac:dyDescent="0.2">
      <c r="A10369" s="134">
        <v>45968</v>
      </c>
      <c r="B10369" s="135">
        <f>YEAR(source[[#This Row],[report_date]])</f>
        <v>2025</v>
      </c>
      <c r="C10369" s="128">
        <f t="shared" si="484"/>
        <v>11</v>
      </c>
      <c r="D10369" s="136">
        <f t="shared" si="483"/>
        <v>45</v>
      </c>
      <c r="E10369" s="136">
        <f t="shared" si="485"/>
        <v>7</v>
      </c>
      <c r="F10369" s="137" t="s">
        <v>24</v>
      </c>
      <c r="G10369" s="128" t="str">
        <f>VLOOKUP(source[[#This Row],[lending_product_transform]],[3]Mapping!$B$4:$C$37,2,0)</f>
        <v>[Cake] - Cashloan</v>
      </c>
      <c r="H10369" s="128" t="str">
        <f>VLOOKUP(source[[#This Row],[lending_product_transform]],[3]Mapping!$B$3:$D$37,3,0)</f>
        <v>cashloan</v>
      </c>
      <c r="I10369" s="143">
        <v>2774010000</v>
      </c>
    </row>
    <row r="10370" spans="1:9" x14ac:dyDescent="0.2">
      <c r="A10370" s="134">
        <v>45968</v>
      </c>
      <c r="B10370" s="135">
        <f>YEAR(source[[#This Row],[report_date]])</f>
        <v>2025</v>
      </c>
      <c r="C10370" s="128">
        <f t="shared" si="484"/>
        <v>11</v>
      </c>
      <c r="D10370" s="136">
        <f t="shared" si="483"/>
        <v>45</v>
      </c>
      <c r="E10370" s="136">
        <f t="shared" si="485"/>
        <v>7</v>
      </c>
      <c r="F10370" s="137" t="s">
        <v>24</v>
      </c>
      <c r="G10370" s="128" t="str">
        <f>VLOOKUP(source[[#This Row],[lending_product_transform]],[3]Mapping!$B$4:$C$37,2,0)</f>
        <v>[Cake] - Cashloan</v>
      </c>
      <c r="H10370" s="128" t="str">
        <f>VLOOKUP(source[[#This Row],[lending_product_transform]],[3]Mapping!$B$3:$D$37,3,0)</f>
        <v>cashloan</v>
      </c>
      <c r="I10370" s="143">
        <v>18842773</v>
      </c>
    </row>
    <row r="10371" spans="1:9" x14ac:dyDescent="0.2">
      <c r="A10371" s="134">
        <v>45968</v>
      </c>
      <c r="B10371" s="135">
        <f>YEAR(source[[#This Row],[report_date]])</f>
        <v>2025</v>
      </c>
      <c r="C10371" s="128">
        <f t="shared" si="484"/>
        <v>11</v>
      </c>
      <c r="D10371" s="136">
        <f t="shared" ref="D10371:D10434" si="486">WEEKNUM(A10371,2)</f>
        <v>45</v>
      </c>
      <c r="E10371" s="136">
        <f t="shared" si="485"/>
        <v>7</v>
      </c>
      <c r="F10371" s="137" t="s">
        <v>24</v>
      </c>
      <c r="G10371" s="128" t="str">
        <f>VLOOKUP(source[[#This Row],[lending_product_transform]],[3]Mapping!$B$4:$C$37,2,0)</f>
        <v>[Cake] - Cashloan</v>
      </c>
      <c r="H10371" s="128" t="str">
        <f>VLOOKUP(source[[#This Row],[lending_product_transform]],[3]Mapping!$B$3:$D$37,3,0)</f>
        <v>cashloan</v>
      </c>
      <c r="I10371" s="143">
        <v>1361152396</v>
      </c>
    </row>
    <row r="10372" spans="1:9" x14ac:dyDescent="0.2">
      <c r="A10372" s="134">
        <v>45968</v>
      </c>
      <c r="B10372" s="135">
        <f>YEAR(source[[#This Row],[report_date]])</f>
        <v>2025</v>
      </c>
      <c r="C10372" s="128">
        <f t="shared" si="484"/>
        <v>11</v>
      </c>
      <c r="D10372" s="136">
        <f t="shared" si="486"/>
        <v>45</v>
      </c>
      <c r="E10372" s="136">
        <f t="shared" si="485"/>
        <v>7</v>
      </c>
      <c r="F10372" s="137" t="s">
        <v>24</v>
      </c>
      <c r="G10372" s="128" t="str">
        <f>VLOOKUP(source[[#This Row],[lending_product_transform]],[3]Mapping!$B$4:$C$37,2,0)</f>
        <v>[Cake] - Cashloan</v>
      </c>
      <c r="H10372" s="128" t="str">
        <f>VLOOKUP(source[[#This Row],[lending_product_transform]],[3]Mapping!$B$3:$D$37,3,0)</f>
        <v>cashloan</v>
      </c>
      <c r="I10372" s="143">
        <v>0</v>
      </c>
    </row>
    <row r="10373" spans="1:9" x14ac:dyDescent="0.2">
      <c r="A10373" s="134">
        <v>45968</v>
      </c>
      <c r="B10373" s="135">
        <f>YEAR(source[[#This Row],[report_date]])</f>
        <v>2025</v>
      </c>
      <c r="C10373" s="128">
        <f t="shared" si="484"/>
        <v>11</v>
      </c>
      <c r="D10373" s="136">
        <f t="shared" si="486"/>
        <v>45</v>
      </c>
      <c r="E10373" s="136">
        <f t="shared" si="485"/>
        <v>7</v>
      </c>
      <c r="F10373" s="137" t="s">
        <v>24</v>
      </c>
      <c r="G10373" s="128" t="str">
        <f>VLOOKUP(source[[#This Row],[lending_product_transform]],[3]Mapping!$B$4:$C$37,2,0)</f>
        <v>[Cake] - Cashloan</v>
      </c>
      <c r="H10373" s="128" t="str">
        <f>VLOOKUP(source[[#This Row],[lending_product_transform]],[3]Mapping!$B$3:$D$37,3,0)</f>
        <v>cashloan</v>
      </c>
      <c r="I10373" s="143">
        <v>208250000</v>
      </c>
    </row>
    <row r="10374" spans="1:9" x14ac:dyDescent="0.2">
      <c r="A10374" s="134">
        <v>45968</v>
      </c>
      <c r="B10374" s="135">
        <f>YEAR(source[[#This Row],[report_date]])</f>
        <v>2025</v>
      </c>
      <c r="C10374" s="128">
        <f t="shared" si="484"/>
        <v>11</v>
      </c>
      <c r="D10374" s="136">
        <f t="shared" si="486"/>
        <v>45</v>
      </c>
      <c r="E10374" s="136">
        <f t="shared" si="485"/>
        <v>7</v>
      </c>
      <c r="F10374" s="137" t="s">
        <v>24</v>
      </c>
      <c r="G10374" s="128" t="str">
        <f>VLOOKUP(source[[#This Row],[lending_product_transform]],[3]Mapping!$B$4:$C$37,2,0)</f>
        <v>[Cake] - Cashloan</v>
      </c>
      <c r="H10374" s="128" t="str">
        <f>VLOOKUP(source[[#This Row],[lending_product_transform]],[3]Mapping!$B$3:$D$37,3,0)</f>
        <v>cashloan</v>
      </c>
      <c r="I10374" s="143">
        <v>16733600000</v>
      </c>
    </row>
    <row r="10375" spans="1:9" x14ac:dyDescent="0.2">
      <c r="A10375" s="134">
        <v>45968</v>
      </c>
      <c r="B10375" s="135">
        <f>YEAR(source[[#This Row],[report_date]])</f>
        <v>2025</v>
      </c>
      <c r="C10375" s="128">
        <f t="shared" si="484"/>
        <v>11</v>
      </c>
      <c r="D10375" s="136">
        <f t="shared" si="486"/>
        <v>45</v>
      </c>
      <c r="E10375" s="136">
        <f t="shared" si="485"/>
        <v>7</v>
      </c>
      <c r="F10375" s="137" t="s">
        <v>24</v>
      </c>
      <c r="G10375" s="128" t="str">
        <f>VLOOKUP(source[[#This Row],[lending_product_transform]],[3]Mapping!$B$4:$C$37,2,0)</f>
        <v>[Cake] - Cashloan</v>
      </c>
      <c r="H10375" s="128" t="str">
        <f>VLOOKUP(source[[#This Row],[lending_product_transform]],[3]Mapping!$B$3:$D$37,3,0)</f>
        <v>cashloan</v>
      </c>
      <c r="I10375" s="143">
        <v>0</v>
      </c>
    </row>
    <row r="10376" spans="1:9" x14ac:dyDescent="0.2">
      <c r="A10376" s="134">
        <v>45968</v>
      </c>
      <c r="B10376" s="135">
        <f>YEAR(source[[#This Row],[report_date]])</f>
        <v>2025</v>
      </c>
      <c r="C10376" s="128">
        <f t="shared" si="484"/>
        <v>11</v>
      </c>
      <c r="D10376" s="136">
        <f t="shared" si="486"/>
        <v>45</v>
      </c>
      <c r="E10376" s="136">
        <f t="shared" si="485"/>
        <v>7</v>
      </c>
      <c r="F10376" s="137" t="s">
        <v>24</v>
      </c>
      <c r="G10376" s="128" t="str">
        <f>VLOOKUP(source[[#This Row],[lending_product_transform]],[3]Mapping!$B$4:$C$37,2,0)</f>
        <v>[Cake] - Cashloan</v>
      </c>
      <c r="H10376" s="128" t="str">
        <f>VLOOKUP(source[[#This Row],[lending_product_transform]],[3]Mapping!$B$3:$D$37,3,0)</f>
        <v>cashloan</v>
      </c>
      <c r="I10376" s="143">
        <v>0</v>
      </c>
    </row>
    <row r="10377" spans="1:9" x14ac:dyDescent="0.2">
      <c r="A10377" s="134">
        <v>45968</v>
      </c>
      <c r="B10377" s="135">
        <f>YEAR(source[[#This Row],[report_date]])</f>
        <v>2025</v>
      </c>
      <c r="C10377" s="128">
        <f t="shared" si="484"/>
        <v>11</v>
      </c>
      <c r="D10377" s="136">
        <f t="shared" si="486"/>
        <v>45</v>
      </c>
      <c r="E10377" s="136">
        <f t="shared" si="485"/>
        <v>7</v>
      </c>
      <c r="F10377" s="137" t="s">
        <v>24</v>
      </c>
      <c r="G10377" s="128" t="str">
        <f>VLOOKUP(source[[#This Row],[lending_product_transform]],[3]Mapping!$B$4:$C$37,2,0)</f>
        <v>[Cake] - Cashloan</v>
      </c>
      <c r="H10377" s="128" t="str">
        <f>VLOOKUP(source[[#This Row],[lending_product_transform]],[3]Mapping!$B$3:$D$37,3,0)</f>
        <v>cashloan</v>
      </c>
      <c r="I10377" s="143">
        <v>0</v>
      </c>
    </row>
    <row r="10378" spans="1:9" x14ac:dyDescent="0.2">
      <c r="A10378" s="134">
        <v>45968</v>
      </c>
      <c r="B10378" s="135">
        <f>YEAR(source[[#This Row],[report_date]])</f>
        <v>2025</v>
      </c>
      <c r="C10378" s="128">
        <f t="shared" si="484"/>
        <v>11</v>
      </c>
      <c r="D10378" s="136">
        <f t="shared" si="486"/>
        <v>45</v>
      </c>
      <c r="E10378" s="136">
        <f t="shared" si="485"/>
        <v>7</v>
      </c>
      <c r="F10378" s="137" t="s">
        <v>24</v>
      </c>
      <c r="G10378" s="128" t="str">
        <f>VLOOKUP(source[[#This Row],[lending_product_transform]],[3]Mapping!$B$4:$C$37,2,0)</f>
        <v>[Cake] - Cashloan</v>
      </c>
      <c r="H10378" s="128" t="str">
        <f>VLOOKUP(source[[#This Row],[lending_product_transform]],[3]Mapping!$B$3:$D$37,3,0)</f>
        <v>cashloan</v>
      </c>
      <c r="I10378" s="143">
        <v>0</v>
      </c>
    </row>
    <row r="10379" spans="1:9" x14ac:dyDescent="0.2">
      <c r="A10379" s="134">
        <v>45968</v>
      </c>
      <c r="B10379" s="135">
        <f>YEAR(source[[#This Row],[report_date]])</f>
        <v>2025</v>
      </c>
      <c r="C10379" s="128">
        <f t="shared" si="484"/>
        <v>11</v>
      </c>
      <c r="D10379" s="136">
        <f t="shared" si="486"/>
        <v>45</v>
      </c>
      <c r="E10379" s="136">
        <f t="shared" si="485"/>
        <v>7</v>
      </c>
      <c r="F10379" s="137" t="s">
        <v>24</v>
      </c>
      <c r="G10379" s="128" t="str">
        <f>VLOOKUP(source[[#This Row],[lending_product_transform]],[3]Mapping!$B$4:$C$37,2,0)</f>
        <v>[Cake] - Cashloan</v>
      </c>
      <c r="H10379" s="128" t="str">
        <f>VLOOKUP(source[[#This Row],[lending_product_transform]],[3]Mapping!$B$3:$D$37,3,0)</f>
        <v>cashloan</v>
      </c>
      <c r="I10379" s="143">
        <v>9870984000</v>
      </c>
    </row>
    <row r="10380" spans="1:9" x14ac:dyDescent="0.2">
      <c r="A10380" s="134">
        <v>45968</v>
      </c>
      <c r="B10380" s="135">
        <f>YEAR(source[[#This Row],[report_date]])</f>
        <v>2025</v>
      </c>
      <c r="C10380" s="128">
        <f t="shared" si="484"/>
        <v>11</v>
      </c>
      <c r="D10380" s="136">
        <f t="shared" si="486"/>
        <v>45</v>
      </c>
      <c r="E10380" s="136">
        <f t="shared" si="485"/>
        <v>7</v>
      </c>
      <c r="F10380" s="137" t="s">
        <v>24</v>
      </c>
      <c r="G10380" s="128" t="str">
        <f>VLOOKUP(source[[#This Row],[lending_product_transform]],[3]Mapping!$B$4:$C$37,2,0)</f>
        <v>[Cake] - Cashloan</v>
      </c>
      <c r="H10380" s="128" t="str">
        <f>VLOOKUP(source[[#This Row],[lending_product_transform]],[3]Mapping!$B$3:$D$37,3,0)</f>
        <v>cashloan</v>
      </c>
      <c r="I10380" s="143">
        <v>330597953</v>
      </c>
    </row>
    <row r="10381" spans="1:9" x14ac:dyDescent="0.2">
      <c r="A10381" s="134">
        <v>45968</v>
      </c>
      <c r="B10381" s="135">
        <f>YEAR(source[[#This Row],[report_date]])</f>
        <v>2025</v>
      </c>
      <c r="C10381" s="128">
        <f t="shared" si="484"/>
        <v>11</v>
      </c>
      <c r="D10381" s="136">
        <f t="shared" si="486"/>
        <v>45</v>
      </c>
      <c r="E10381" s="136">
        <f t="shared" si="485"/>
        <v>7</v>
      </c>
      <c r="F10381" s="137" t="s">
        <v>24</v>
      </c>
      <c r="G10381" s="128" t="str">
        <f>VLOOKUP(source[[#This Row],[lending_product_transform]],[3]Mapping!$B$4:$C$37,2,0)</f>
        <v>[Cake] - Cashloan</v>
      </c>
      <c r="H10381" s="128" t="str">
        <f>VLOOKUP(source[[#This Row],[lending_product_transform]],[3]Mapping!$B$3:$D$37,3,0)</f>
        <v>cashloan</v>
      </c>
      <c r="I10381" s="143">
        <v>20000000</v>
      </c>
    </row>
    <row r="10382" spans="1:9" x14ac:dyDescent="0.2">
      <c r="A10382" s="134">
        <v>45968</v>
      </c>
      <c r="B10382" s="135">
        <f>YEAR(source[[#This Row],[report_date]])</f>
        <v>2025</v>
      </c>
      <c r="C10382" s="128">
        <f t="shared" si="484"/>
        <v>11</v>
      </c>
      <c r="D10382" s="136">
        <f t="shared" si="486"/>
        <v>45</v>
      </c>
      <c r="E10382" s="136">
        <f t="shared" si="485"/>
        <v>7</v>
      </c>
      <c r="F10382" s="137" t="s">
        <v>24</v>
      </c>
      <c r="G10382" s="128" t="str">
        <f>VLOOKUP(source[[#This Row],[lending_product_transform]],[3]Mapping!$B$4:$C$37,2,0)</f>
        <v>[Cake] - Cashloan</v>
      </c>
      <c r="H10382" s="128" t="str">
        <f>VLOOKUP(source[[#This Row],[lending_product_transform]],[3]Mapping!$B$3:$D$37,3,0)</f>
        <v>cashloan</v>
      </c>
      <c r="I10382" s="143">
        <v>61000000</v>
      </c>
    </row>
    <row r="10383" spans="1:9" x14ac:dyDescent="0.2">
      <c r="A10383" s="134">
        <v>45968</v>
      </c>
      <c r="B10383" s="135">
        <f>YEAR(source[[#This Row],[report_date]])</f>
        <v>2025</v>
      </c>
      <c r="C10383" s="128">
        <f t="shared" si="484"/>
        <v>11</v>
      </c>
      <c r="D10383" s="136">
        <f t="shared" si="486"/>
        <v>45</v>
      </c>
      <c r="E10383" s="136">
        <f t="shared" si="485"/>
        <v>7</v>
      </c>
      <c r="F10383" s="137" t="s">
        <v>24</v>
      </c>
      <c r="G10383" s="128" t="str">
        <f>VLOOKUP(source[[#This Row],[lending_product_transform]],[3]Mapping!$B$4:$C$37,2,0)</f>
        <v>[Cake] - Cashloan</v>
      </c>
      <c r="H10383" s="128" t="str">
        <f>VLOOKUP(source[[#This Row],[lending_product_transform]],[3]Mapping!$B$3:$D$37,3,0)</f>
        <v>cashloan</v>
      </c>
      <c r="I10383" s="143">
        <v>656050000</v>
      </c>
    </row>
    <row r="10384" spans="1:9" x14ac:dyDescent="0.2">
      <c r="A10384" s="134">
        <v>45968</v>
      </c>
      <c r="B10384" s="135">
        <f>YEAR(source[[#This Row],[report_date]])</f>
        <v>2025</v>
      </c>
      <c r="C10384" s="128">
        <f t="shared" si="484"/>
        <v>11</v>
      </c>
      <c r="D10384" s="136">
        <f t="shared" si="486"/>
        <v>45</v>
      </c>
      <c r="E10384" s="136">
        <f t="shared" si="485"/>
        <v>7</v>
      </c>
      <c r="F10384" s="137" t="s">
        <v>24</v>
      </c>
      <c r="G10384" s="128" t="str">
        <f>VLOOKUP(source[[#This Row],[lending_product_transform]],[3]Mapping!$B$4:$C$37,2,0)</f>
        <v>[Cake] - Cashloan</v>
      </c>
      <c r="H10384" s="128" t="str">
        <f>VLOOKUP(source[[#This Row],[lending_product_transform]],[3]Mapping!$B$3:$D$37,3,0)</f>
        <v>cashloan</v>
      </c>
      <c r="I10384" s="143">
        <v>209952000</v>
      </c>
    </row>
    <row r="10385" spans="1:9" x14ac:dyDescent="0.2">
      <c r="A10385" s="134">
        <v>45968</v>
      </c>
      <c r="B10385" s="135">
        <f>YEAR(source[[#This Row],[report_date]])</f>
        <v>2025</v>
      </c>
      <c r="C10385" s="128">
        <f t="shared" si="484"/>
        <v>11</v>
      </c>
      <c r="D10385" s="136">
        <f t="shared" si="486"/>
        <v>45</v>
      </c>
      <c r="E10385" s="136">
        <f t="shared" si="485"/>
        <v>7</v>
      </c>
      <c r="F10385" s="137" t="s">
        <v>24</v>
      </c>
      <c r="G10385" s="128" t="str">
        <f>VLOOKUP(source[[#This Row],[lending_product_transform]],[3]Mapping!$B$4:$C$37,2,0)</f>
        <v>[Cake] - Cashloan</v>
      </c>
      <c r="H10385" s="128" t="str">
        <f>VLOOKUP(source[[#This Row],[lending_product_transform]],[3]Mapping!$B$3:$D$37,3,0)</f>
        <v>cashloan</v>
      </c>
      <c r="I10385" s="143">
        <v>579849023</v>
      </c>
    </row>
    <row r="10386" spans="1:9" x14ac:dyDescent="0.2">
      <c r="A10386" s="134">
        <v>45968</v>
      </c>
      <c r="B10386" s="135">
        <f>YEAR(source[[#This Row],[report_date]])</f>
        <v>2025</v>
      </c>
      <c r="C10386" s="128">
        <f t="shared" si="484"/>
        <v>11</v>
      </c>
      <c r="D10386" s="136">
        <f t="shared" si="486"/>
        <v>45</v>
      </c>
      <c r="E10386" s="136">
        <f t="shared" si="485"/>
        <v>7</v>
      </c>
      <c r="F10386" s="137" t="s">
        <v>24</v>
      </c>
      <c r="G10386" s="128" t="str">
        <f>VLOOKUP(source[[#This Row],[lending_product_transform]],[3]Mapping!$B$4:$C$37,2,0)</f>
        <v>[Cake] - Cashloan</v>
      </c>
      <c r="H10386" s="128" t="str">
        <f>VLOOKUP(source[[#This Row],[lending_product_transform]],[3]Mapping!$B$3:$D$37,3,0)</f>
        <v>cashloan</v>
      </c>
      <c r="I10386" s="143">
        <v>2896420000</v>
      </c>
    </row>
    <row r="10387" spans="1:9" x14ac:dyDescent="0.2">
      <c r="A10387" s="134">
        <v>45969</v>
      </c>
      <c r="B10387" s="135">
        <f>YEAR(source[[#This Row],[report_date]])</f>
        <v>2025</v>
      </c>
      <c r="C10387" s="128">
        <f t="shared" si="484"/>
        <v>11</v>
      </c>
      <c r="D10387" s="136">
        <f t="shared" si="486"/>
        <v>45</v>
      </c>
      <c r="E10387" s="136">
        <f t="shared" si="485"/>
        <v>8</v>
      </c>
      <c r="F10387" s="137" t="s">
        <v>24</v>
      </c>
      <c r="G10387" s="128" t="str">
        <f>VLOOKUP(source[[#This Row],[lending_product_transform]],[3]Mapping!$B$4:$C$37,2,0)</f>
        <v>[Cake] - Cashloan</v>
      </c>
      <c r="H10387" s="128" t="str">
        <f>VLOOKUP(source[[#This Row],[lending_product_transform]],[3]Mapping!$B$3:$D$37,3,0)</f>
        <v>cashloan</v>
      </c>
      <c r="I10387" s="143">
        <v>10500000</v>
      </c>
    </row>
    <row r="10388" spans="1:9" x14ac:dyDescent="0.2">
      <c r="A10388" s="134">
        <v>45969</v>
      </c>
      <c r="B10388" s="135">
        <f>YEAR(source[[#This Row],[report_date]])</f>
        <v>2025</v>
      </c>
      <c r="C10388" s="128">
        <f t="shared" si="484"/>
        <v>11</v>
      </c>
      <c r="D10388" s="136">
        <f t="shared" si="486"/>
        <v>45</v>
      </c>
      <c r="E10388" s="136">
        <f t="shared" si="485"/>
        <v>8</v>
      </c>
      <c r="F10388" s="137" t="s">
        <v>24</v>
      </c>
      <c r="G10388" s="128" t="str">
        <f>VLOOKUP(source[[#This Row],[lending_product_transform]],[3]Mapping!$B$4:$C$37,2,0)</f>
        <v>[Cake] - Cashloan</v>
      </c>
      <c r="H10388" s="128" t="str">
        <f>VLOOKUP(source[[#This Row],[lending_product_transform]],[3]Mapping!$B$3:$D$37,3,0)</f>
        <v>cashloan</v>
      </c>
      <c r="I10388" s="143">
        <v>390099263</v>
      </c>
    </row>
    <row r="10389" spans="1:9" x14ac:dyDescent="0.2">
      <c r="A10389" s="134">
        <v>45969</v>
      </c>
      <c r="B10389" s="135">
        <f>YEAR(source[[#This Row],[report_date]])</f>
        <v>2025</v>
      </c>
      <c r="C10389" s="128">
        <f t="shared" si="484"/>
        <v>11</v>
      </c>
      <c r="D10389" s="136">
        <f t="shared" si="486"/>
        <v>45</v>
      </c>
      <c r="E10389" s="136">
        <f t="shared" si="485"/>
        <v>8</v>
      </c>
      <c r="F10389" s="137" t="s">
        <v>24</v>
      </c>
      <c r="G10389" s="128" t="str">
        <f>VLOOKUP(source[[#This Row],[lending_product_transform]],[3]Mapping!$B$4:$C$37,2,0)</f>
        <v>[Cake] - Cashloan</v>
      </c>
      <c r="H10389" s="128" t="str">
        <f>VLOOKUP(source[[#This Row],[lending_product_transform]],[3]Mapping!$B$3:$D$37,3,0)</f>
        <v>cashloan</v>
      </c>
      <c r="I10389" s="143">
        <v>15768640000</v>
      </c>
    </row>
    <row r="10390" spans="1:9" x14ac:dyDescent="0.2">
      <c r="A10390" s="134">
        <v>45969</v>
      </c>
      <c r="B10390" s="135">
        <f>YEAR(source[[#This Row],[report_date]])</f>
        <v>2025</v>
      </c>
      <c r="C10390" s="128">
        <f t="shared" si="484"/>
        <v>11</v>
      </c>
      <c r="D10390" s="136">
        <f t="shared" si="486"/>
        <v>45</v>
      </c>
      <c r="E10390" s="136">
        <f t="shared" si="485"/>
        <v>8</v>
      </c>
      <c r="F10390" s="137" t="s">
        <v>24</v>
      </c>
      <c r="G10390" s="128" t="str">
        <f>VLOOKUP(source[[#This Row],[lending_product_transform]],[3]Mapping!$B$4:$C$37,2,0)</f>
        <v>[Cake] - Cashloan</v>
      </c>
      <c r="H10390" s="128" t="str">
        <f>VLOOKUP(source[[#This Row],[lending_product_transform]],[3]Mapping!$B$3:$D$37,3,0)</f>
        <v>cashloan</v>
      </c>
      <c r="I10390" s="143">
        <v>1996180810</v>
      </c>
    </row>
    <row r="10391" spans="1:9" x14ac:dyDescent="0.2">
      <c r="A10391" s="134">
        <v>45969</v>
      </c>
      <c r="B10391" s="135">
        <f>YEAR(source[[#This Row],[report_date]])</f>
        <v>2025</v>
      </c>
      <c r="C10391" s="128">
        <f t="shared" si="484"/>
        <v>11</v>
      </c>
      <c r="D10391" s="136">
        <f t="shared" si="486"/>
        <v>45</v>
      </c>
      <c r="E10391" s="136">
        <f t="shared" si="485"/>
        <v>8</v>
      </c>
      <c r="F10391" s="137" t="s">
        <v>24</v>
      </c>
      <c r="G10391" s="128" t="str">
        <f>VLOOKUP(source[[#This Row],[lending_product_transform]],[3]Mapping!$B$4:$C$37,2,0)</f>
        <v>[Cake] - Cashloan</v>
      </c>
      <c r="H10391" s="128" t="str">
        <f>VLOOKUP(source[[#This Row],[lending_product_transform]],[3]Mapping!$B$3:$D$37,3,0)</f>
        <v>cashloan</v>
      </c>
      <c r="I10391" s="143">
        <v>8109612000</v>
      </c>
    </row>
    <row r="10392" spans="1:9" x14ac:dyDescent="0.2">
      <c r="A10392" s="134">
        <v>45969</v>
      </c>
      <c r="B10392" s="135">
        <f>YEAR(source[[#This Row],[report_date]])</f>
        <v>2025</v>
      </c>
      <c r="C10392" s="128">
        <f t="shared" si="484"/>
        <v>11</v>
      </c>
      <c r="D10392" s="136">
        <f t="shared" si="486"/>
        <v>45</v>
      </c>
      <c r="E10392" s="136">
        <f t="shared" si="485"/>
        <v>8</v>
      </c>
      <c r="F10392" s="137" t="s">
        <v>24</v>
      </c>
      <c r="G10392" s="128" t="str">
        <f>VLOOKUP(source[[#This Row],[lending_product_transform]],[3]Mapping!$B$4:$C$37,2,0)</f>
        <v>[Cake] - Cashloan</v>
      </c>
      <c r="H10392" s="128" t="str">
        <f>VLOOKUP(source[[#This Row],[lending_product_transform]],[3]Mapping!$B$3:$D$37,3,0)</f>
        <v>cashloan</v>
      </c>
      <c r="I10392" s="143">
        <v>13978847</v>
      </c>
    </row>
    <row r="10393" spans="1:9" x14ac:dyDescent="0.2">
      <c r="A10393" s="134">
        <v>45969</v>
      </c>
      <c r="B10393" s="135">
        <f>YEAR(source[[#This Row],[report_date]])</f>
        <v>2025</v>
      </c>
      <c r="C10393" s="128">
        <f t="shared" si="484"/>
        <v>11</v>
      </c>
      <c r="D10393" s="136">
        <f t="shared" si="486"/>
        <v>45</v>
      </c>
      <c r="E10393" s="136">
        <f t="shared" si="485"/>
        <v>8</v>
      </c>
      <c r="F10393" s="137" t="s">
        <v>24</v>
      </c>
      <c r="G10393" s="128" t="str">
        <f>VLOOKUP(source[[#This Row],[lending_product_transform]],[3]Mapping!$B$4:$C$37,2,0)</f>
        <v>[Cake] - Cashloan</v>
      </c>
      <c r="H10393" s="128" t="str">
        <f>VLOOKUP(source[[#This Row],[lending_product_transform]],[3]Mapping!$B$3:$D$37,3,0)</f>
        <v>cashloan</v>
      </c>
      <c r="I10393" s="143">
        <v>3006800000</v>
      </c>
    </row>
    <row r="10394" spans="1:9" x14ac:dyDescent="0.2">
      <c r="A10394" s="134">
        <v>45969</v>
      </c>
      <c r="B10394" s="135">
        <f>YEAR(source[[#This Row],[report_date]])</f>
        <v>2025</v>
      </c>
      <c r="C10394" s="128">
        <f t="shared" si="484"/>
        <v>11</v>
      </c>
      <c r="D10394" s="136">
        <f t="shared" si="486"/>
        <v>45</v>
      </c>
      <c r="E10394" s="136">
        <f t="shared" si="485"/>
        <v>8</v>
      </c>
      <c r="F10394" s="137" t="s">
        <v>24</v>
      </c>
      <c r="G10394" s="128" t="str">
        <f>VLOOKUP(source[[#This Row],[lending_product_transform]],[3]Mapping!$B$4:$C$37,2,0)</f>
        <v>[Cake] - Cashloan</v>
      </c>
      <c r="H10394" s="128" t="str">
        <f>VLOOKUP(source[[#This Row],[lending_product_transform]],[3]Mapping!$B$3:$D$37,3,0)</f>
        <v>cashloan</v>
      </c>
      <c r="I10394" s="143">
        <v>12811575</v>
      </c>
    </row>
    <row r="10395" spans="1:9" x14ac:dyDescent="0.2">
      <c r="A10395" s="134">
        <v>45969</v>
      </c>
      <c r="B10395" s="135">
        <f>YEAR(source[[#This Row],[report_date]])</f>
        <v>2025</v>
      </c>
      <c r="C10395" s="128">
        <f t="shared" si="484"/>
        <v>11</v>
      </c>
      <c r="D10395" s="136">
        <f t="shared" si="486"/>
        <v>45</v>
      </c>
      <c r="E10395" s="136">
        <f t="shared" si="485"/>
        <v>8</v>
      </c>
      <c r="F10395" s="137" t="s">
        <v>24</v>
      </c>
      <c r="G10395" s="128" t="str">
        <f>VLOOKUP(source[[#This Row],[lending_product_transform]],[3]Mapping!$B$4:$C$37,2,0)</f>
        <v>[Cake] - Cashloan</v>
      </c>
      <c r="H10395" s="128" t="str">
        <f>VLOOKUP(source[[#This Row],[lending_product_transform]],[3]Mapping!$B$3:$D$37,3,0)</f>
        <v>cashloan</v>
      </c>
      <c r="I10395" s="143">
        <v>1410111018</v>
      </c>
    </row>
    <row r="10396" spans="1:9" x14ac:dyDescent="0.2">
      <c r="A10396" s="134">
        <v>45969</v>
      </c>
      <c r="B10396" s="135">
        <f>YEAR(source[[#This Row],[report_date]])</f>
        <v>2025</v>
      </c>
      <c r="C10396" s="128">
        <f t="shared" si="484"/>
        <v>11</v>
      </c>
      <c r="D10396" s="136">
        <f t="shared" si="486"/>
        <v>45</v>
      </c>
      <c r="E10396" s="136">
        <f t="shared" si="485"/>
        <v>8</v>
      </c>
      <c r="F10396" s="137" t="s">
        <v>24</v>
      </c>
      <c r="G10396" s="128" t="str">
        <f>VLOOKUP(source[[#This Row],[lending_product_transform]],[3]Mapping!$B$4:$C$37,2,0)</f>
        <v>[Cake] - Cashloan</v>
      </c>
      <c r="H10396" s="128" t="str">
        <f>VLOOKUP(source[[#This Row],[lending_product_transform]],[3]Mapping!$B$3:$D$37,3,0)</f>
        <v>cashloan</v>
      </c>
      <c r="I10396" s="143">
        <v>0</v>
      </c>
    </row>
    <row r="10397" spans="1:9" x14ac:dyDescent="0.2">
      <c r="A10397" s="134">
        <v>45969</v>
      </c>
      <c r="B10397" s="135">
        <f>YEAR(source[[#This Row],[report_date]])</f>
        <v>2025</v>
      </c>
      <c r="C10397" s="128">
        <f t="shared" si="484"/>
        <v>11</v>
      </c>
      <c r="D10397" s="136">
        <f t="shared" si="486"/>
        <v>45</v>
      </c>
      <c r="E10397" s="136">
        <f t="shared" si="485"/>
        <v>8</v>
      </c>
      <c r="F10397" s="137" t="s">
        <v>24</v>
      </c>
      <c r="G10397" s="128" t="str">
        <f>VLOOKUP(source[[#This Row],[lending_product_transform]],[3]Mapping!$B$4:$C$37,2,0)</f>
        <v>[Cake] - Cashloan</v>
      </c>
      <c r="H10397" s="128" t="str">
        <f>VLOOKUP(source[[#This Row],[lending_product_transform]],[3]Mapping!$B$3:$D$37,3,0)</f>
        <v>cashloan</v>
      </c>
      <c r="I10397" s="143">
        <v>258500000</v>
      </c>
    </row>
    <row r="10398" spans="1:9" x14ac:dyDescent="0.2">
      <c r="A10398" s="134">
        <v>45969</v>
      </c>
      <c r="B10398" s="135">
        <f>YEAR(source[[#This Row],[report_date]])</f>
        <v>2025</v>
      </c>
      <c r="C10398" s="128">
        <f t="shared" si="484"/>
        <v>11</v>
      </c>
      <c r="D10398" s="136">
        <f t="shared" si="486"/>
        <v>45</v>
      </c>
      <c r="E10398" s="136">
        <f t="shared" si="485"/>
        <v>8</v>
      </c>
      <c r="F10398" s="137" t="s">
        <v>24</v>
      </c>
      <c r="G10398" s="128" t="str">
        <f>VLOOKUP(source[[#This Row],[lending_product_transform]],[3]Mapping!$B$4:$C$37,2,0)</f>
        <v>[Cake] - Cashloan</v>
      </c>
      <c r="H10398" s="128" t="str">
        <f>VLOOKUP(source[[#This Row],[lending_product_transform]],[3]Mapping!$B$3:$D$37,3,0)</f>
        <v>cashloan</v>
      </c>
      <c r="I10398" s="143">
        <v>15949680000</v>
      </c>
    </row>
    <row r="10399" spans="1:9" x14ac:dyDescent="0.2">
      <c r="A10399" s="134">
        <v>45969</v>
      </c>
      <c r="B10399" s="135">
        <f>YEAR(source[[#This Row],[report_date]])</f>
        <v>2025</v>
      </c>
      <c r="C10399" s="128">
        <f t="shared" si="484"/>
        <v>11</v>
      </c>
      <c r="D10399" s="136">
        <f t="shared" si="486"/>
        <v>45</v>
      </c>
      <c r="E10399" s="136">
        <f t="shared" si="485"/>
        <v>8</v>
      </c>
      <c r="F10399" s="137" t="s">
        <v>24</v>
      </c>
      <c r="G10399" s="128" t="str">
        <f>VLOOKUP(source[[#This Row],[lending_product_transform]],[3]Mapping!$B$4:$C$37,2,0)</f>
        <v>[Cake] - Cashloan</v>
      </c>
      <c r="H10399" s="128" t="str">
        <f>VLOOKUP(source[[#This Row],[lending_product_transform]],[3]Mapping!$B$3:$D$37,3,0)</f>
        <v>cashloan</v>
      </c>
      <c r="I10399" s="143">
        <v>0</v>
      </c>
    </row>
    <row r="10400" spans="1:9" x14ac:dyDescent="0.2">
      <c r="A10400" s="134">
        <v>45969</v>
      </c>
      <c r="B10400" s="135">
        <f>YEAR(source[[#This Row],[report_date]])</f>
        <v>2025</v>
      </c>
      <c r="C10400" s="128">
        <f t="shared" si="484"/>
        <v>11</v>
      </c>
      <c r="D10400" s="136">
        <f t="shared" si="486"/>
        <v>45</v>
      </c>
      <c r="E10400" s="136">
        <f t="shared" si="485"/>
        <v>8</v>
      </c>
      <c r="F10400" s="137" t="s">
        <v>24</v>
      </c>
      <c r="G10400" s="128" t="str">
        <f>VLOOKUP(source[[#This Row],[lending_product_transform]],[3]Mapping!$B$4:$C$37,2,0)</f>
        <v>[Cake] - Cashloan</v>
      </c>
      <c r="H10400" s="128" t="str">
        <f>VLOOKUP(source[[#This Row],[lending_product_transform]],[3]Mapping!$B$3:$D$37,3,0)</f>
        <v>cashloan</v>
      </c>
      <c r="I10400" s="143">
        <v>0</v>
      </c>
    </row>
    <row r="10401" spans="1:9" x14ac:dyDescent="0.2">
      <c r="A10401" s="134">
        <v>45969</v>
      </c>
      <c r="B10401" s="135">
        <f>YEAR(source[[#This Row],[report_date]])</f>
        <v>2025</v>
      </c>
      <c r="C10401" s="128">
        <f t="shared" si="484"/>
        <v>11</v>
      </c>
      <c r="D10401" s="136">
        <f t="shared" si="486"/>
        <v>45</v>
      </c>
      <c r="E10401" s="136">
        <f t="shared" si="485"/>
        <v>8</v>
      </c>
      <c r="F10401" s="137" t="s">
        <v>24</v>
      </c>
      <c r="G10401" s="128" t="str">
        <f>VLOOKUP(source[[#This Row],[lending_product_transform]],[3]Mapping!$B$4:$C$37,2,0)</f>
        <v>[Cake] - Cashloan</v>
      </c>
      <c r="H10401" s="128" t="str">
        <f>VLOOKUP(source[[#This Row],[lending_product_transform]],[3]Mapping!$B$3:$D$37,3,0)</f>
        <v>cashloan</v>
      </c>
      <c r="I10401" s="143">
        <v>0</v>
      </c>
    </row>
    <row r="10402" spans="1:9" x14ac:dyDescent="0.2">
      <c r="A10402" s="134">
        <v>45969</v>
      </c>
      <c r="B10402" s="135">
        <f>YEAR(source[[#This Row],[report_date]])</f>
        <v>2025</v>
      </c>
      <c r="C10402" s="128">
        <f t="shared" si="484"/>
        <v>11</v>
      </c>
      <c r="D10402" s="136">
        <f t="shared" si="486"/>
        <v>45</v>
      </c>
      <c r="E10402" s="136">
        <f t="shared" si="485"/>
        <v>8</v>
      </c>
      <c r="F10402" s="137" t="s">
        <v>24</v>
      </c>
      <c r="G10402" s="128" t="str">
        <f>VLOOKUP(source[[#This Row],[lending_product_transform]],[3]Mapping!$B$4:$C$37,2,0)</f>
        <v>[Cake] - Cashloan</v>
      </c>
      <c r="H10402" s="128" t="str">
        <f>VLOOKUP(source[[#This Row],[lending_product_transform]],[3]Mapping!$B$3:$D$37,3,0)</f>
        <v>cashloan</v>
      </c>
      <c r="I10402" s="143">
        <v>0</v>
      </c>
    </row>
    <row r="10403" spans="1:9" x14ac:dyDescent="0.2">
      <c r="A10403" s="134">
        <v>45969</v>
      </c>
      <c r="B10403" s="135">
        <f>YEAR(source[[#This Row],[report_date]])</f>
        <v>2025</v>
      </c>
      <c r="C10403" s="128">
        <f t="shared" si="484"/>
        <v>11</v>
      </c>
      <c r="D10403" s="136">
        <f t="shared" si="486"/>
        <v>45</v>
      </c>
      <c r="E10403" s="136">
        <f t="shared" si="485"/>
        <v>8</v>
      </c>
      <c r="F10403" s="137" t="s">
        <v>24</v>
      </c>
      <c r="G10403" s="128" t="str">
        <f>VLOOKUP(source[[#This Row],[lending_product_transform]],[3]Mapping!$B$4:$C$37,2,0)</f>
        <v>[Cake] - Cashloan</v>
      </c>
      <c r="H10403" s="128" t="str">
        <f>VLOOKUP(source[[#This Row],[lending_product_transform]],[3]Mapping!$B$3:$D$37,3,0)</f>
        <v>cashloan</v>
      </c>
      <c r="I10403" s="143">
        <v>9198468000</v>
      </c>
    </row>
    <row r="10404" spans="1:9" x14ac:dyDescent="0.2">
      <c r="A10404" s="134">
        <v>45969</v>
      </c>
      <c r="B10404" s="135">
        <f>YEAR(source[[#This Row],[report_date]])</f>
        <v>2025</v>
      </c>
      <c r="C10404" s="128">
        <f t="shared" si="484"/>
        <v>11</v>
      </c>
      <c r="D10404" s="136">
        <f t="shared" si="486"/>
        <v>45</v>
      </c>
      <c r="E10404" s="136">
        <f t="shared" si="485"/>
        <v>8</v>
      </c>
      <c r="F10404" s="137" t="s">
        <v>24</v>
      </c>
      <c r="G10404" s="128" t="str">
        <f>VLOOKUP(source[[#This Row],[lending_product_transform]],[3]Mapping!$B$4:$C$37,2,0)</f>
        <v>[Cake] - Cashloan</v>
      </c>
      <c r="H10404" s="128" t="str">
        <f>VLOOKUP(source[[#This Row],[lending_product_transform]],[3]Mapping!$B$3:$D$37,3,0)</f>
        <v>cashloan</v>
      </c>
      <c r="I10404" s="143">
        <v>316740622</v>
      </c>
    </row>
    <row r="10405" spans="1:9" x14ac:dyDescent="0.2">
      <c r="A10405" s="134">
        <v>45969</v>
      </c>
      <c r="B10405" s="135">
        <f>YEAR(source[[#This Row],[report_date]])</f>
        <v>2025</v>
      </c>
      <c r="C10405" s="128">
        <f t="shared" si="484"/>
        <v>11</v>
      </c>
      <c r="D10405" s="136">
        <f t="shared" si="486"/>
        <v>45</v>
      </c>
      <c r="E10405" s="136">
        <f t="shared" si="485"/>
        <v>8</v>
      </c>
      <c r="F10405" s="137" t="s">
        <v>24</v>
      </c>
      <c r="G10405" s="128" t="str">
        <f>VLOOKUP(source[[#This Row],[lending_product_transform]],[3]Mapping!$B$4:$C$37,2,0)</f>
        <v>[Cake] - Cashloan</v>
      </c>
      <c r="H10405" s="128" t="str">
        <f>VLOOKUP(source[[#This Row],[lending_product_transform]],[3]Mapping!$B$3:$D$37,3,0)</f>
        <v>cashloan</v>
      </c>
      <c r="I10405" s="143">
        <v>10500000</v>
      </c>
    </row>
    <row r="10406" spans="1:9" x14ac:dyDescent="0.2">
      <c r="A10406" s="134">
        <v>45969</v>
      </c>
      <c r="B10406" s="135">
        <f>YEAR(source[[#This Row],[report_date]])</f>
        <v>2025</v>
      </c>
      <c r="C10406" s="128">
        <f t="shared" si="484"/>
        <v>11</v>
      </c>
      <c r="D10406" s="136">
        <f t="shared" si="486"/>
        <v>45</v>
      </c>
      <c r="E10406" s="136">
        <f t="shared" si="485"/>
        <v>8</v>
      </c>
      <c r="F10406" s="137" t="s">
        <v>24</v>
      </c>
      <c r="G10406" s="128" t="str">
        <f>VLOOKUP(source[[#This Row],[lending_product_transform]],[3]Mapping!$B$4:$C$37,2,0)</f>
        <v>[Cake] - Cashloan</v>
      </c>
      <c r="H10406" s="128" t="str">
        <f>VLOOKUP(source[[#This Row],[lending_product_transform]],[3]Mapping!$B$3:$D$37,3,0)</f>
        <v>cashloan</v>
      </c>
      <c r="I10406" s="143">
        <v>28000000</v>
      </c>
    </row>
    <row r="10407" spans="1:9" x14ac:dyDescent="0.2">
      <c r="A10407" s="134">
        <v>45969</v>
      </c>
      <c r="B10407" s="135">
        <f>YEAR(source[[#This Row],[report_date]])</f>
        <v>2025</v>
      </c>
      <c r="C10407" s="128">
        <f t="shared" si="484"/>
        <v>11</v>
      </c>
      <c r="D10407" s="136">
        <f t="shared" si="486"/>
        <v>45</v>
      </c>
      <c r="E10407" s="136">
        <f t="shared" si="485"/>
        <v>8</v>
      </c>
      <c r="F10407" s="137" t="s">
        <v>24</v>
      </c>
      <c r="G10407" s="128" t="str">
        <f>VLOOKUP(source[[#This Row],[lending_product_transform]],[3]Mapping!$B$4:$C$37,2,0)</f>
        <v>[Cake] - Cashloan</v>
      </c>
      <c r="H10407" s="128" t="str">
        <f>VLOOKUP(source[[#This Row],[lending_product_transform]],[3]Mapping!$B$3:$D$37,3,0)</f>
        <v>cashloan</v>
      </c>
      <c r="I10407" s="143">
        <v>679850000</v>
      </c>
    </row>
    <row r="10408" spans="1:9" x14ac:dyDescent="0.2">
      <c r="A10408" s="134">
        <v>45969</v>
      </c>
      <c r="B10408" s="135">
        <f>YEAR(source[[#This Row],[report_date]])</f>
        <v>2025</v>
      </c>
      <c r="C10408" s="128">
        <f t="shared" si="484"/>
        <v>11</v>
      </c>
      <c r="D10408" s="136">
        <f t="shared" si="486"/>
        <v>45</v>
      </c>
      <c r="E10408" s="136">
        <f t="shared" si="485"/>
        <v>8</v>
      </c>
      <c r="F10408" s="137" t="s">
        <v>24</v>
      </c>
      <c r="G10408" s="128" t="str">
        <f>VLOOKUP(source[[#This Row],[lending_product_transform]],[3]Mapping!$B$4:$C$37,2,0)</f>
        <v>[Cake] - Cashloan</v>
      </c>
      <c r="H10408" s="128" t="str">
        <f>VLOOKUP(source[[#This Row],[lending_product_transform]],[3]Mapping!$B$3:$D$37,3,0)</f>
        <v>cashloan</v>
      </c>
      <c r="I10408" s="143">
        <v>190188000</v>
      </c>
    </row>
    <row r="10409" spans="1:9" x14ac:dyDescent="0.2">
      <c r="A10409" s="134">
        <v>45969</v>
      </c>
      <c r="B10409" s="135">
        <f>YEAR(source[[#This Row],[report_date]])</f>
        <v>2025</v>
      </c>
      <c r="C10409" s="128">
        <f t="shared" si="484"/>
        <v>11</v>
      </c>
      <c r="D10409" s="136">
        <f t="shared" si="486"/>
        <v>45</v>
      </c>
      <c r="E10409" s="136">
        <f t="shared" si="485"/>
        <v>8</v>
      </c>
      <c r="F10409" s="137" t="s">
        <v>24</v>
      </c>
      <c r="G10409" s="128" t="str">
        <f>VLOOKUP(source[[#This Row],[lending_product_transform]],[3]Mapping!$B$4:$C$37,2,0)</f>
        <v>[Cake] - Cashloan</v>
      </c>
      <c r="H10409" s="128" t="str">
        <f>VLOOKUP(source[[#This Row],[lending_product_transform]],[3]Mapping!$B$3:$D$37,3,0)</f>
        <v>cashloan</v>
      </c>
      <c r="I10409" s="143">
        <v>475396644</v>
      </c>
    </row>
    <row r="10410" spans="1:9" x14ac:dyDescent="0.2">
      <c r="A10410" s="134">
        <v>45969</v>
      </c>
      <c r="B10410" s="135">
        <f>YEAR(source[[#This Row],[report_date]])</f>
        <v>2025</v>
      </c>
      <c r="C10410" s="128">
        <f t="shared" si="484"/>
        <v>11</v>
      </c>
      <c r="D10410" s="136">
        <f t="shared" si="486"/>
        <v>45</v>
      </c>
      <c r="E10410" s="136">
        <f t="shared" si="485"/>
        <v>8</v>
      </c>
      <c r="F10410" s="137" t="s">
        <v>24</v>
      </c>
      <c r="G10410" s="128" t="str">
        <f>VLOOKUP(source[[#This Row],[lending_product_transform]],[3]Mapping!$B$4:$C$37,2,0)</f>
        <v>[Cake] - Cashloan</v>
      </c>
      <c r="H10410" s="128" t="str">
        <f>VLOOKUP(source[[#This Row],[lending_product_transform]],[3]Mapping!$B$3:$D$37,3,0)</f>
        <v>cashloan</v>
      </c>
      <c r="I10410" s="143">
        <v>3020750000</v>
      </c>
    </row>
    <row r="10411" spans="1:9" x14ac:dyDescent="0.2">
      <c r="A10411" s="134">
        <v>45970</v>
      </c>
      <c r="B10411" s="135">
        <f>YEAR(source[[#This Row],[report_date]])</f>
        <v>2025</v>
      </c>
      <c r="C10411" s="128">
        <f t="shared" si="484"/>
        <v>11</v>
      </c>
      <c r="D10411" s="136">
        <f t="shared" si="486"/>
        <v>45</v>
      </c>
      <c r="E10411" s="136">
        <f t="shared" si="485"/>
        <v>9</v>
      </c>
      <c r="F10411" s="137" t="s">
        <v>24</v>
      </c>
      <c r="G10411" s="128" t="str">
        <f>VLOOKUP(source[[#This Row],[lending_product_transform]],[3]Mapping!$B$4:$C$37,2,0)</f>
        <v>[Cake] - Cashloan</v>
      </c>
      <c r="H10411" s="128" t="str">
        <f>VLOOKUP(source[[#This Row],[lending_product_transform]],[3]Mapping!$B$3:$D$37,3,0)</f>
        <v>cashloan</v>
      </c>
      <c r="I10411" s="143">
        <v>0</v>
      </c>
    </row>
    <row r="10412" spans="1:9" x14ac:dyDescent="0.2">
      <c r="A10412" s="134">
        <v>45970</v>
      </c>
      <c r="B10412" s="135">
        <f>YEAR(source[[#This Row],[report_date]])</f>
        <v>2025</v>
      </c>
      <c r="C10412" s="128">
        <f t="shared" si="484"/>
        <v>11</v>
      </c>
      <c r="D10412" s="136">
        <f t="shared" si="486"/>
        <v>45</v>
      </c>
      <c r="E10412" s="136">
        <f t="shared" si="485"/>
        <v>9</v>
      </c>
      <c r="F10412" s="137" t="s">
        <v>24</v>
      </c>
      <c r="G10412" s="128" t="str">
        <f>VLOOKUP(source[[#This Row],[lending_product_transform]],[3]Mapping!$B$4:$C$37,2,0)</f>
        <v>[Cake] - Cashloan</v>
      </c>
      <c r="H10412" s="128" t="str">
        <f>VLOOKUP(source[[#This Row],[lending_product_transform]],[3]Mapping!$B$3:$D$37,3,0)</f>
        <v>cashloan</v>
      </c>
      <c r="I10412" s="143">
        <v>390951385</v>
      </c>
    </row>
    <row r="10413" spans="1:9" x14ac:dyDescent="0.2">
      <c r="A10413" s="134">
        <v>45970</v>
      </c>
      <c r="B10413" s="135">
        <f>YEAR(source[[#This Row],[report_date]])</f>
        <v>2025</v>
      </c>
      <c r="C10413" s="128">
        <f t="shared" si="484"/>
        <v>11</v>
      </c>
      <c r="D10413" s="136">
        <f t="shared" si="486"/>
        <v>45</v>
      </c>
      <c r="E10413" s="136">
        <f t="shared" si="485"/>
        <v>9</v>
      </c>
      <c r="F10413" s="137" t="s">
        <v>24</v>
      </c>
      <c r="G10413" s="128" t="str">
        <f>VLOOKUP(source[[#This Row],[lending_product_transform]],[3]Mapping!$B$4:$C$37,2,0)</f>
        <v>[Cake] - Cashloan</v>
      </c>
      <c r="H10413" s="128" t="str">
        <f>VLOOKUP(source[[#This Row],[lending_product_transform]],[3]Mapping!$B$3:$D$37,3,0)</f>
        <v>cashloan</v>
      </c>
      <c r="I10413" s="143">
        <v>16177150000</v>
      </c>
    </row>
    <row r="10414" spans="1:9" x14ac:dyDescent="0.2">
      <c r="A10414" s="134">
        <v>45970</v>
      </c>
      <c r="B10414" s="135">
        <f>YEAR(source[[#This Row],[report_date]])</f>
        <v>2025</v>
      </c>
      <c r="C10414" s="128">
        <f t="shared" si="484"/>
        <v>11</v>
      </c>
      <c r="D10414" s="136">
        <f t="shared" si="486"/>
        <v>45</v>
      </c>
      <c r="E10414" s="136">
        <f t="shared" si="485"/>
        <v>9</v>
      </c>
      <c r="F10414" s="137" t="s">
        <v>24</v>
      </c>
      <c r="G10414" s="128" t="str">
        <f>VLOOKUP(source[[#This Row],[lending_product_transform]],[3]Mapping!$B$4:$C$37,2,0)</f>
        <v>[Cake] - Cashloan</v>
      </c>
      <c r="H10414" s="128" t="str">
        <f>VLOOKUP(source[[#This Row],[lending_product_transform]],[3]Mapping!$B$3:$D$37,3,0)</f>
        <v>cashloan</v>
      </c>
      <c r="I10414" s="143">
        <v>2128432586</v>
      </c>
    </row>
    <row r="10415" spans="1:9" x14ac:dyDescent="0.2">
      <c r="A10415" s="134">
        <v>45970</v>
      </c>
      <c r="B10415" s="135">
        <f>YEAR(source[[#This Row],[report_date]])</f>
        <v>2025</v>
      </c>
      <c r="C10415" s="128">
        <f t="shared" si="484"/>
        <v>11</v>
      </c>
      <c r="D10415" s="136">
        <f t="shared" si="486"/>
        <v>45</v>
      </c>
      <c r="E10415" s="136">
        <f t="shared" si="485"/>
        <v>9</v>
      </c>
      <c r="F10415" s="137" t="s">
        <v>24</v>
      </c>
      <c r="G10415" s="128" t="str">
        <f>VLOOKUP(source[[#This Row],[lending_product_transform]],[3]Mapping!$B$4:$C$37,2,0)</f>
        <v>[Cake] - Cashloan</v>
      </c>
      <c r="H10415" s="128" t="str">
        <f>VLOOKUP(source[[#This Row],[lending_product_transform]],[3]Mapping!$B$3:$D$37,3,0)</f>
        <v>cashloan</v>
      </c>
      <c r="I10415" s="143">
        <v>8030664000</v>
      </c>
    </row>
    <row r="10416" spans="1:9" x14ac:dyDescent="0.2">
      <c r="A10416" s="134">
        <v>45970</v>
      </c>
      <c r="B10416" s="135">
        <f>YEAR(source[[#This Row],[report_date]])</f>
        <v>2025</v>
      </c>
      <c r="C10416" s="128">
        <f t="shared" si="484"/>
        <v>11</v>
      </c>
      <c r="D10416" s="136">
        <f t="shared" si="486"/>
        <v>45</v>
      </c>
      <c r="E10416" s="136">
        <f t="shared" si="485"/>
        <v>9</v>
      </c>
      <c r="F10416" s="137" t="s">
        <v>24</v>
      </c>
      <c r="G10416" s="128" t="str">
        <f>VLOOKUP(source[[#This Row],[lending_product_transform]],[3]Mapping!$B$4:$C$37,2,0)</f>
        <v>[Cake] - Cashloan</v>
      </c>
      <c r="H10416" s="128" t="str">
        <f>VLOOKUP(source[[#This Row],[lending_product_transform]],[3]Mapping!$B$3:$D$37,3,0)</f>
        <v>cashloan</v>
      </c>
      <c r="I10416" s="143">
        <v>15794195</v>
      </c>
    </row>
    <row r="10417" spans="1:9" x14ac:dyDescent="0.2">
      <c r="A10417" s="134">
        <v>45970</v>
      </c>
      <c r="B10417" s="135">
        <f>YEAR(source[[#This Row],[report_date]])</f>
        <v>2025</v>
      </c>
      <c r="C10417" s="128">
        <f t="shared" si="484"/>
        <v>11</v>
      </c>
      <c r="D10417" s="136">
        <f t="shared" si="486"/>
        <v>45</v>
      </c>
      <c r="E10417" s="136">
        <f t="shared" si="485"/>
        <v>9</v>
      </c>
      <c r="F10417" s="137" t="s">
        <v>24</v>
      </c>
      <c r="G10417" s="128" t="str">
        <f>VLOOKUP(source[[#This Row],[lending_product_transform]],[3]Mapping!$B$4:$C$37,2,0)</f>
        <v>[Cake] - Cashloan</v>
      </c>
      <c r="H10417" s="128" t="str">
        <f>VLOOKUP(source[[#This Row],[lending_product_transform]],[3]Mapping!$B$3:$D$37,3,0)</f>
        <v>cashloan</v>
      </c>
      <c r="I10417" s="143">
        <v>3395590000</v>
      </c>
    </row>
    <row r="10418" spans="1:9" x14ac:dyDescent="0.2">
      <c r="A10418" s="134">
        <v>45970</v>
      </c>
      <c r="B10418" s="135">
        <f>YEAR(source[[#This Row],[report_date]])</f>
        <v>2025</v>
      </c>
      <c r="C10418" s="128">
        <f t="shared" si="484"/>
        <v>11</v>
      </c>
      <c r="D10418" s="136">
        <f t="shared" si="486"/>
        <v>45</v>
      </c>
      <c r="E10418" s="136">
        <f t="shared" si="485"/>
        <v>9</v>
      </c>
      <c r="F10418" s="137" t="s">
        <v>24</v>
      </c>
      <c r="G10418" s="128" t="str">
        <f>VLOOKUP(source[[#This Row],[lending_product_transform]],[3]Mapping!$B$4:$C$37,2,0)</f>
        <v>[Cake] - Cashloan</v>
      </c>
      <c r="H10418" s="128" t="str">
        <f>VLOOKUP(source[[#This Row],[lending_product_transform]],[3]Mapping!$B$3:$D$37,3,0)</f>
        <v>cashloan</v>
      </c>
      <c r="I10418" s="143">
        <v>30468330</v>
      </c>
    </row>
    <row r="10419" spans="1:9" x14ac:dyDescent="0.2">
      <c r="A10419" s="134">
        <v>45970</v>
      </c>
      <c r="B10419" s="135">
        <f>YEAR(source[[#This Row],[report_date]])</f>
        <v>2025</v>
      </c>
      <c r="C10419" s="128">
        <f t="shared" si="484"/>
        <v>11</v>
      </c>
      <c r="D10419" s="136">
        <f t="shared" si="486"/>
        <v>45</v>
      </c>
      <c r="E10419" s="136">
        <f t="shared" si="485"/>
        <v>9</v>
      </c>
      <c r="F10419" s="137" t="s">
        <v>24</v>
      </c>
      <c r="G10419" s="128" t="str">
        <f>VLOOKUP(source[[#This Row],[lending_product_transform]],[3]Mapping!$B$4:$C$37,2,0)</f>
        <v>[Cake] - Cashloan</v>
      </c>
      <c r="H10419" s="128" t="str">
        <f>VLOOKUP(source[[#This Row],[lending_product_transform]],[3]Mapping!$B$3:$D$37,3,0)</f>
        <v>cashloan</v>
      </c>
      <c r="I10419" s="143">
        <v>1209016086</v>
      </c>
    </row>
    <row r="10420" spans="1:9" x14ac:dyDescent="0.2">
      <c r="A10420" s="134">
        <v>45970</v>
      </c>
      <c r="B10420" s="135">
        <f>YEAR(source[[#This Row],[report_date]])</f>
        <v>2025</v>
      </c>
      <c r="C10420" s="128">
        <f t="shared" si="484"/>
        <v>11</v>
      </c>
      <c r="D10420" s="136">
        <f t="shared" si="486"/>
        <v>45</v>
      </c>
      <c r="E10420" s="136">
        <f t="shared" si="485"/>
        <v>9</v>
      </c>
      <c r="F10420" s="137" t="s">
        <v>24</v>
      </c>
      <c r="G10420" s="128" t="str">
        <f>VLOOKUP(source[[#This Row],[lending_product_transform]],[3]Mapping!$B$4:$C$37,2,0)</f>
        <v>[Cake] - Cashloan</v>
      </c>
      <c r="H10420" s="128" t="str">
        <f>VLOOKUP(source[[#This Row],[lending_product_transform]],[3]Mapping!$B$3:$D$37,3,0)</f>
        <v>cashloan</v>
      </c>
      <c r="I10420" s="143">
        <v>0</v>
      </c>
    </row>
    <row r="10421" spans="1:9" x14ac:dyDescent="0.2">
      <c r="A10421" s="134">
        <v>45970</v>
      </c>
      <c r="B10421" s="135">
        <f>YEAR(source[[#This Row],[report_date]])</f>
        <v>2025</v>
      </c>
      <c r="C10421" s="128">
        <f t="shared" si="484"/>
        <v>11</v>
      </c>
      <c r="D10421" s="136">
        <f t="shared" si="486"/>
        <v>45</v>
      </c>
      <c r="E10421" s="136">
        <f t="shared" si="485"/>
        <v>9</v>
      </c>
      <c r="F10421" s="137" t="s">
        <v>24</v>
      </c>
      <c r="G10421" s="128" t="str">
        <f>VLOOKUP(source[[#This Row],[lending_product_transform]],[3]Mapping!$B$4:$C$37,2,0)</f>
        <v>[Cake] - Cashloan</v>
      </c>
      <c r="H10421" s="128" t="str">
        <f>VLOOKUP(source[[#This Row],[lending_product_transform]],[3]Mapping!$B$3:$D$37,3,0)</f>
        <v>cashloan</v>
      </c>
      <c r="I10421" s="143">
        <v>182500000</v>
      </c>
    </row>
    <row r="10422" spans="1:9" x14ac:dyDescent="0.2">
      <c r="A10422" s="134">
        <v>45970</v>
      </c>
      <c r="B10422" s="135">
        <f>YEAR(source[[#This Row],[report_date]])</f>
        <v>2025</v>
      </c>
      <c r="C10422" s="128">
        <f t="shared" ref="C10422:C10485" si="487">MONTH(A10422)</f>
        <v>11</v>
      </c>
      <c r="D10422" s="136">
        <f t="shared" si="486"/>
        <v>45</v>
      </c>
      <c r="E10422" s="136">
        <f t="shared" ref="E10422:E10485" si="488">DAY(A10422)</f>
        <v>9</v>
      </c>
      <c r="F10422" s="137" t="s">
        <v>24</v>
      </c>
      <c r="G10422" s="128" t="str">
        <f>VLOOKUP(source[[#This Row],[lending_product_transform]],[3]Mapping!$B$4:$C$37,2,0)</f>
        <v>[Cake] - Cashloan</v>
      </c>
      <c r="H10422" s="128" t="str">
        <f>VLOOKUP(source[[#This Row],[lending_product_transform]],[3]Mapping!$B$3:$D$37,3,0)</f>
        <v>cashloan</v>
      </c>
      <c r="I10422" s="143">
        <v>15321690000</v>
      </c>
    </row>
    <row r="10423" spans="1:9" x14ac:dyDescent="0.2">
      <c r="A10423" s="134">
        <v>45970</v>
      </c>
      <c r="B10423" s="135">
        <f>YEAR(source[[#This Row],[report_date]])</f>
        <v>2025</v>
      </c>
      <c r="C10423" s="128">
        <f t="shared" si="487"/>
        <v>11</v>
      </c>
      <c r="D10423" s="136">
        <f t="shared" si="486"/>
        <v>45</v>
      </c>
      <c r="E10423" s="136">
        <f t="shared" si="488"/>
        <v>9</v>
      </c>
      <c r="F10423" s="137" t="s">
        <v>24</v>
      </c>
      <c r="G10423" s="128" t="str">
        <f>VLOOKUP(source[[#This Row],[lending_product_transform]],[3]Mapping!$B$4:$C$37,2,0)</f>
        <v>[Cake] - Cashloan</v>
      </c>
      <c r="H10423" s="128" t="str">
        <f>VLOOKUP(source[[#This Row],[lending_product_transform]],[3]Mapping!$B$3:$D$37,3,0)</f>
        <v>cashloan</v>
      </c>
      <c r="I10423" s="143">
        <v>0</v>
      </c>
    </row>
    <row r="10424" spans="1:9" x14ac:dyDescent="0.2">
      <c r="A10424" s="134">
        <v>45970</v>
      </c>
      <c r="B10424" s="135">
        <f>YEAR(source[[#This Row],[report_date]])</f>
        <v>2025</v>
      </c>
      <c r="C10424" s="128">
        <f t="shared" si="487"/>
        <v>11</v>
      </c>
      <c r="D10424" s="136">
        <f t="shared" si="486"/>
        <v>45</v>
      </c>
      <c r="E10424" s="136">
        <f t="shared" si="488"/>
        <v>9</v>
      </c>
      <c r="F10424" s="137" t="s">
        <v>24</v>
      </c>
      <c r="G10424" s="128" t="str">
        <f>VLOOKUP(source[[#This Row],[lending_product_transform]],[3]Mapping!$B$4:$C$37,2,0)</f>
        <v>[Cake] - Cashloan</v>
      </c>
      <c r="H10424" s="128" t="str">
        <f>VLOOKUP(source[[#This Row],[lending_product_transform]],[3]Mapping!$B$3:$D$37,3,0)</f>
        <v>cashloan</v>
      </c>
      <c r="I10424" s="143">
        <v>0</v>
      </c>
    </row>
    <row r="10425" spans="1:9" x14ac:dyDescent="0.2">
      <c r="A10425" s="134">
        <v>45970</v>
      </c>
      <c r="B10425" s="135">
        <f>YEAR(source[[#This Row],[report_date]])</f>
        <v>2025</v>
      </c>
      <c r="C10425" s="128">
        <f t="shared" si="487"/>
        <v>11</v>
      </c>
      <c r="D10425" s="136">
        <f t="shared" si="486"/>
        <v>45</v>
      </c>
      <c r="E10425" s="136">
        <f t="shared" si="488"/>
        <v>9</v>
      </c>
      <c r="F10425" s="137" t="s">
        <v>24</v>
      </c>
      <c r="G10425" s="128" t="str">
        <f>VLOOKUP(source[[#This Row],[lending_product_transform]],[3]Mapping!$B$4:$C$37,2,0)</f>
        <v>[Cake] - Cashloan</v>
      </c>
      <c r="H10425" s="128" t="str">
        <f>VLOOKUP(source[[#This Row],[lending_product_transform]],[3]Mapping!$B$3:$D$37,3,0)</f>
        <v>cashloan</v>
      </c>
      <c r="I10425" s="143">
        <v>0</v>
      </c>
    </row>
    <row r="10426" spans="1:9" x14ac:dyDescent="0.2">
      <c r="A10426" s="134">
        <v>45970</v>
      </c>
      <c r="B10426" s="135">
        <f>YEAR(source[[#This Row],[report_date]])</f>
        <v>2025</v>
      </c>
      <c r="C10426" s="128">
        <f t="shared" si="487"/>
        <v>11</v>
      </c>
      <c r="D10426" s="136">
        <f t="shared" si="486"/>
        <v>45</v>
      </c>
      <c r="E10426" s="136">
        <f t="shared" si="488"/>
        <v>9</v>
      </c>
      <c r="F10426" s="137" t="s">
        <v>24</v>
      </c>
      <c r="G10426" s="128" t="str">
        <f>VLOOKUP(source[[#This Row],[lending_product_transform]],[3]Mapping!$B$4:$C$37,2,0)</f>
        <v>[Cake] - Cashloan</v>
      </c>
      <c r="H10426" s="128" t="str">
        <f>VLOOKUP(source[[#This Row],[lending_product_transform]],[3]Mapping!$B$3:$D$37,3,0)</f>
        <v>cashloan</v>
      </c>
      <c r="I10426" s="143">
        <v>0</v>
      </c>
    </row>
    <row r="10427" spans="1:9" x14ac:dyDescent="0.2">
      <c r="A10427" s="134">
        <v>45970</v>
      </c>
      <c r="B10427" s="135">
        <f>YEAR(source[[#This Row],[report_date]])</f>
        <v>2025</v>
      </c>
      <c r="C10427" s="128">
        <f t="shared" si="487"/>
        <v>11</v>
      </c>
      <c r="D10427" s="136">
        <f t="shared" si="486"/>
        <v>45</v>
      </c>
      <c r="E10427" s="136">
        <f t="shared" si="488"/>
        <v>9</v>
      </c>
      <c r="F10427" s="137" t="s">
        <v>24</v>
      </c>
      <c r="G10427" s="128" t="str">
        <f>VLOOKUP(source[[#This Row],[lending_product_transform]],[3]Mapping!$B$4:$C$37,2,0)</f>
        <v>[Cake] - Cashloan</v>
      </c>
      <c r="H10427" s="128" t="str">
        <f>VLOOKUP(source[[#This Row],[lending_product_transform]],[3]Mapping!$B$3:$D$37,3,0)</f>
        <v>cashloan</v>
      </c>
      <c r="I10427" s="143">
        <v>9124380000</v>
      </c>
    </row>
    <row r="10428" spans="1:9" x14ac:dyDescent="0.2">
      <c r="A10428" s="134">
        <v>45970</v>
      </c>
      <c r="B10428" s="135">
        <f>YEAR(source[[#This Row],[report_date]])</f>
        <v>2025</v>
      </c>
      <c r="C10428" s="128">
        <f t="shared" si="487"/>
        <v>11</v>
      </c>
      <c r="D10428" s="136">
        <f t="shared" si="486"/>
        <v>45</v>
      </c>
      <c r="E10428" s="136">
        <f t="shared" si="488"/>
        <v>9</v>
      </c>
      <c r="F10428" s="137" t="s">
        <v>24</v>
      </c>
      <c r="G10428" s="128" t="str">
        <f>VLOOKUP(source[[#This Row],[lending_product_transform]],[3]Mapping!$B$4:$C$37,2,0)</f>
        <v>[Cake] - Cashloan</v>
      </c>
      <c r="H10428" s="128" t="str">
        <f>VLOOKUP(source[[#This Row],[lending_product_transform]],[3]Mapping!$B$3:$D$37,3,0)</f>
        <v>cashloan</v>
      </c>
      <c r="I10428" s="143">
        <v>276306050</v>
      </c>
    </row>
    <row r="10429" spans="1:9" x14ac:dyDescent="0.2">
      <c r="A10429" s="134">
        <v>45970</v>
      </c>
      <c r="B10429" s="135">
        <f>YEAR(source[[#This Row],[report_date]])</f>
        <v>2025</v>
      </c>
      <c r="C10429" s="128">
        <f t="shared" si="487"/>
        <v>11</v>
      </c>
      <c r="D10429" s="136">
        <f t="shared" si="486"/>
        <v>45</v>
      </c>
      <c r="E10429" s="136">
        <f t="shared" si="488"/>
        <v>9</v>
      </c>
      <c r="F10429" s="137" t="s">
        <v>24</v>
      </c>
      <c r="G10429" s="128" t="str">
        <f>VLOOKUP(source[[#This Row],[lending_product_transform]],[3]Mapping!$B$4:$C$37,2,0)</f>
        <v>[Cake] - Cashloan</v>
      </c>
      <c r="H10429" s="128" t="str">
        <f>VLOOKUP(source[[#This Row],[lending_product_transform]],[3]Mapping!$B$3:$D$37,3,0)</f>
        <v>cashloan</v>
      </c>
      <c r="I10429" s="143">
        <v>10500000</v>
      </c>
    </row>
    <row r="10430" spans="1:9" x14ac:dyDescent="0.2">
      <c r="A10430" s="134">
        <v>45970</v>
      </c>
      <c r="B10430" s="135">
        <f>YEAR(source[[#This Row],[report_date]])</f>
        <v>2025</v>
      </c>
      <c r="C10430" s="128">
        <f t="shared" si="487"/>
        <v>11</v>
      </c>
      <c r="D10430" s="136">
        <f t="shared" si="486"/>
        <v>45</v>
      </c>
      <c r="E10430" s="136">
        <f t="shared" si="488"/>
        <v>9</v>
      </c>
      <c r="F10430" s="137" t="s">
        <v>24</v>
      </c>
      <c r="G10430" s="128" t="str">
        <f>VLOOKUP(source[[#This Row],[lending_product_transform]],[3]Mapping!$B$4:$C$37,2,0)</f>
        <v>[Cake] - Cashloan</v>
      </c>
      <c r="H10430" s="128" t="str">
        <f>VLOOKUP(source[[#This Row],[lending_product_transform]],[3]Mapping!$B$3:$D$37,3,0)</f>
        <v>cashloan</v>
      </c>
      <c r="I10430" s="143">
        <v>30000000</v>
      </c>
    </row>
    <row r="10431" spans="1:9" x14ac:dyDescent="0.2">
      <c r="A10431" s="134">
        <v>45970</v>
      </c>
      <c r="B10431" s="135">
        <f>YEAR(source[[#This Row],[report_date]])</f>
        <v>2025</v>
      </c>
      <c r="C10431" s="128">
        <f t="shared" si="487"/>
        <v>11</v>
      </c>
      <c r="D10431" s="136">
        <f t="shared" si="486"/>
        <v>45</v>
      </c>
      <c r="E10431" s="136">
        <f t="shared" si="488"/>
        <v>9</v>
      </c>
      <c r="F10431" s="137" t="s">
        <v>24</v>
      </c>
      <c r="G10431" s="128" t="str">
        <f>VLOOKUP(source[[#This Row],[lending_product_transform]],[3]Mapping!$B$4:$C$37,2,0)</f>
        <v>[Cake] - Cashloan</v>
      </c>
      <c r="H10431" s="128" t="str">
        <f>VLOOKUP(source[[#This Row],[lending_product_transform]],[3]Mapping!$B$3:$D$37,3,0)</f>
        <v>cashloan</v>
      </c>
      <c r="I10431" s="143">
        <v>474880000</v>
      </c>
    </row>
    <row r="10432" spans="1:9" x14ac:dyDescent="0.2">
      <c r="A10432" s="134">
        <v>45970</v>
      </c>
      <c r="B10432" s="135">
        <f>YEAR(source[[#This Row],[report_date]])</f>
        <v>2025</v>
      </c>
      <c r="C10432" s="128">
        <f t="shared" si="487"/>
        <v>11</v>
      </c>
      <c r="D10432" s="136">
        <f t="shared" si="486"/>
        <v>45</v>
      </c>
      <c r="E10432" s="136">
        <f t="shared" si="488"/>
        <v>9</v>
      </c>
      <c r="F10432" s="137" t="s">
        <v>24</v>
      </c>
      <c r="G10432" s="128" t="str">
        <f>VLOOKUP(source[[#This Row],[lending_product_transform]],[3]Mapping!$B$4:$C$37,2,0)</f>
        <v>[Cake] - Cashloan</v>
      </c>
      <c r="H10432" s="128" t="str">
        <f>VLOOKUP(source[[#This Row],[lending_product_transform]],[3]Mapping!$B$3:$D$37,3,0)</f>
        <v>cashloan</v>
      </c>
      <c r="I10432" s="143">
        <v>157356000</v>
      </c>
    </row>
    <row r="10433" spans="1:9" x14ac:dyDescent="0.2">
      <c r="A10433" s="134">
        <v>45970</v>
      </c>
      <c r="B10433" s="135">
        <f>YEAR(source[[#This Row],[report_date]])</f>
        <v>2025</v>
      </c>
      <c r="C10433" s="128">
        <f t="shared" si="487"/>
        <v>11</v>
      </c>
      <c r="D10433" s="136">
        <f t="shared" si="486"/>
        <v>45</v>
      </c>
      <c r="E10433" s="136">
        <f t="shared" si="488"/>
        <v>9</v>
      </c>
      <c r="F10433" s="137" t="s">
        <v>24</v>
      </c>
      <c r="G10433" s="128" t="str">
        <f>VLOOKUP(source[[#This Row],[lending_product_transform]],[3]Mapping!$B$4:$C$37,2,0)</f>
        <v>[Cake] - Cashloan</v>
      </c>
      <c r="H10433" s="128" t="str">
        <f>VLOOKUP(source[[#This Row],[lending_product_transform]],[3]Mapping!$B$3:$D$37,3,0)</f>
        <v>cashloan</v>
      </c>
      <c r="I10433" s="143">
        <v>429095327</v>
      </c>
    </row>
    <row r="10434" spans="1:9" x14ac:dyDescent="0.2">
      <c r="A10434" s="134">
        <v>45970</v>
      </c>
      <c r="B10434" s="135">
        <f>YEAR(source[[#This Row],[report_date]])</f>
        <v>2025</v>
      </c>
      <c r="C10434" s="128">
        <f t="shared" si="487"/>
        <v>11</v>
      </c>
      <c r="D10434" s="136">
        <f t="shared" si="486"/>
        <v>45</v>
      </c>
      <c r="E10434" s="136">
        <f t="shared" si="488"/>
        <v>9</v>
      </c>
      <c r="F10434" s="137" t="s">
        <v>24</v>
      </c>
      <c r="G10434" s="128" t="str">
        <f>VLOOKUP(source[[#This Row],[lending_product_transform]],[3]Mapping!$B$4:$C$37,2,0)</f>
        <v>[Cake] - Cashloan</v>
      </c>
      <c r="H10434" s="128" t="str">
        <f>VLOOKUP(source[[#This Row],[lending_product_transform]],[3]Mapping!$B$3:$D$37,3,0)</f>
        <v>cashloan</v>
      </c>
      <c r="I10434" s="143">
        <v>2867150000</v>
      </c>
    </row>
    <row r="10435" spans="1:9" x14ac:dyDescent="0.2">
      <c r="A10435" s="134">
        <v>45971</v>
      </c>
      <c r="B10435" s="135">
        <f>YEAR(source[[#This Row],[report_date]])</f>
        <v>2025</v>
      </c>
      <c r="C10435" s="128">
        <f t="shared" si="487"/>
        <v>11</v>
      </c>
      <c r="D10435" s="136">
        <f t="shared" ref="D10435:D10498" si="489">WEEKNUM(A10435,2)</f>
        <v>46</v>
      </c>
      <c r="E10435" s="136">
        <f t="shared" si="488"/>
        <v>10</v>
      </c>
      <c r="F10435" s="137" t="s">
        <v>24</v>
      </c>
      <c r="G10435" s="128" t="str">
        <f>VLOOKUP(source[[#This Row],[lending_product_transform]],[3]Mapping!$B$4:$C$37,2,0)</f>
        <v>[Cake] - Cashloan</v>
      </c>
      <c r="H10435" s="128" t="str">
        <f>VLOOKUP(source[[#This Row],[lending_product_transform]],[3]Mapping!$B$3:$D$37,3,0)</f>
        <v>cashloan</v>
      </c>
      <c r="I10435" s="143">
        <v>56700000</v>
      </c>
    </row>
    <row r="10436" spans="1:9" x14ac:dyDescent="0.2">
      <c r="A10436" s="134">
        <v>45971</v>
      </c>
      <c r="B10436" s="135">
        <f>YEAR(source[[#This Row],[report_date]])</f>
        <v>2025</v>
      </c>
      <c r="C10436" s="128">
        <f t="shared" si="487"/>
        <v>11</v>
      </c>
      <c r="D10436" s="136">
        <f t="shared" si="489"/>
        <v>46</v>
      </c>
      <c r="E10436" s="136">
        <f t="shared" si="488"/>
        <v>10</v>
      </c>
      <c r="F10436" s="137" t="s">
        <v>24</v>
      </c>
      <c r="G10436" s="128" t="str">
        <f>VLOOKUP(source[[#This Row],[lending_product_transform]],[3]Mapping!$B$4:$C$37,2,0)</f>
        <v>[Cake] - Cashloan</v>
      </c>
      <c r="H10436" s="128" t="str">
        <f>VLOOKUP(source[[#This Row],[lending_product_transform]],[3]Mapping!$B$3:$D$37,3,0)</f>
        <v>cashloan</v>
      </c>
      <c r="I10436" s="143">
        <v>310462043</v>
      </c>
    </row>
    <row r="10437" spans="1:9" x14ac:dyDescent="0.2">
      <c r="A10437" s="134">
        <v>45971</v>
      </c>
      <c r="B10437" s="135">
        <f>YEAR(source[[#This Row],[report_date]])</f>
        <v>2025</v>
      </c>
      <c r="C10437" s="128">
        <f t="shared" si="487"/>
        <v>11</v>
      </c>
      <c r="D10437" s="136">
        <f t="shared" si="489"/>
        <v>46</v>
      </c>
      <c r="E10437" s="136">
        <f t="shared" si="488"/>
        <v>10</v>
      </c>
      <c r="F10437" s="137" t="s">
        <v>24</v>
      </c>
      <c r="G10437" s="128" t="str">
        <f>VLOOKUP(source[[#This Row],[lending_product_transform]],[3]Mapping!$B$4:$C$37,2,0)</f>
        <v>[Cake] - Cashloan</v>
      </c>
      <c r="H10437" s="128" t="str">
        <f>VLOOKUP(source[[#This Row],[lending_product_transform]],[3]Mapping!$B$3:$D$37,3,0)</f>
        <v>cashloan</v>
      </c>
      <c r="I10437" s="143">
        <v>20030520000</v>
      </c>
    </row>
    <row r="10438" spans="1:9" x14ac:dyDescent="0.2">
      <c r="A10438" s="134">
        <v>45971</v>
      </c>
      <c r="B10438" s="135">
        <f>YEAR(source[[#This Row],[report_date]])</f>
        <v>2025</v>
      </c>
      <c r="C10438" s="128">
        <f t="shared" si="487"/>
        <v>11</v>
      </c>
      <c r="D10438" s="136">
        <f t="shared" si="489"/>
        <v>46</v>
      </c>
      <c r="E10438" s="136">
        <f t="shared" si="488"/>
        <v>10</v>
      </c>
      <c r="F10438" s="137" t="s">
        <v>24</v>
      </c>
      <c r="G10438" s="128" t="str">
        <f>VLOOKUP(source[[#This Row],[lending_product_transform]],[3]Mapping!$B$4:$C$37,2,0)</f>
        <v>[Cake] - Cashloan</v>
      </c>
      <c r="H10438" s="128" t="str">
        <f>VLOOKUP(source[[#This Row],[lending_product_transform]],[3]Mapping!$B$3:$D$37,3,0)</f>
        <v>cashloan</v>
      </c>
      <c r="I10438" s="143">
        <v>3601019160</v>
      </c>
    </row>
    <row r="10439" spans="1:9" x14ac:dyDescent="0.2">
      <c r="A10439" s="134">
        <v>45971</v>
      </c>
      <c r="B10439" s="135">
        <f>YEAR(source[[#This Row],[report_date]])</f>
        <v>2025</v>
      </c>
      <c r="C10439" s="128">
        <f t="shared" si="487"/>
        <v>11</v>
      </c>
      <c r="D10439" s="136">
        <f t="shared" si="489"/>
        <v>46</v>
      </c>
      <c r="E10439" s="136">
        <f t="shared" si="488"/>
        <v>10</v>
      </c>
      <c r="F10439" s="137" t="s">
        <v>24</v>
      </c>
      <c r="G10439" s="128" t="str">
        <f>VLOOKUP(source[[#This Row],[lending_product_transform]],[3]Mapping!$B$4:$C$37,2,0)</f>
        <v>[Cake] - Cashloan</v>
      </c>
      <c r="H10439" s="128" t="str">
        <f>VLOOKUP(source[[#This Row],[lending_product_transform]],[3]Mapping!$B$3:$D$37,3,0)</f>
        <v>cashloan</v>
      </c>
      <c r="I10439" s="143">
        <v>11226708000</v>
      </c>
    </row>
    <row r="10440" spans="1:9" x14ac:dyDescent="0.2">
      <c r="A10440" s="134">
        <v>45971</v>
      </c>
      <c r="B10440" s="135">
        <f>YEAR(source[[#This Row],[report_date]])</f>
        <v>2025</v>
      </c>
      <c r="C10440" s="128">
        <f t="shared" si="487"/>
        <v>11</v>
      </c>
      <c r="D10440" s="136">
        <f t="shared" si="489"/>
        <v>46</v>
      </c>
      <c r="E10440" s="136">
        <f t="shared" si="488"/>
        <v>10</v>
      </c>
      <c r="F10440" s="137" t="s">
        <v>24</v>
      </c>
      <c r="G10440" s="128" t="str">
        <f>VLOOKUP(source[[#This Row],[lending_product_transform]],[3]Mapping!$B$4:$C$37,2,0)</f>
        <v>[Cake] - Cashloan</v>
      </c>
      <c r="H10440" s="128" t="str">
        <f>VLOOKUP(source[[#This Row],[lending_product_transform]],[3]Mapping!$B$3:$D$37,3,0)</f>
        <v>cashloan</v>
      </c>
      <c r="I10440" s="143">
        <v>15210002</v>
      </c>
    </row>
    <row r="10441" spans="1:9" x14ac:dyDescent="0.2">
      <c r="A10441" s="134">
        <v>45971</v>
      </c>
      <c r="B10441" s="135">
        <f>YEAR(source[[#This Row],[report_date]])</f>
        <v>2025</v>
      </c>
      <c r="C10441" s="128">
        <f t="shared" si="487"/>
        <v>11</v>
      </c>
      <c r="D10441" s="136">
        <f t="shared" si="489"/>
        <v>46</v>
      </c>
      <c r="E10441" s="136">
        <f t="shared" si="488"/>
        <v>10</v>
      </c>
      <c r="F10441" s="137" t="s">
        <v>24</v>
      </c>
      <c r="G10441" s="128" t="str">
        <f>VLOOKUP(source[[#This Row],[lending_product_transform]],[3]Mapping!$B$4:$C$37,2,0)</f>
        <v>[Cake] - Cashloan</v>
      </c>
      <c r="H10441" s="128" t="str">
        <f>VLOOKUP(source[[#This Row],[lending_product_transform]],[3]Mapping!$B$3:$D$37,3,0)</f>
        <v>cashloan</v>
      </c>
      <c r="I10441" s="143">
        <v>3255410000</v>
      </c>
    </row>
    <row r="10442" spans="1:9" x14ac:dyDescent="0.2">
      <c r="A10442" s="134">
        <v>45971</v>
      </c>
      <c r="B10442" s="135">
        <f>YEAR(source[[#This Row],[report_date]])</f>
        <v>2025</v>
      </c>
      <c r="C10442" s="128">
        <f t="shared" si="487"/>
        <v>11</v>
      </c>
      <c r="D10442" s="136">
        <f t="shared" si="489"/>
        <v>46</v>
      </c>
      <c r="E10442" s="136">
        <f t="shared" si="488"/>
        <v>10</v>
      </c>
      <c r="F10442" s="137" t="s">
        <v>24</v>
      </c>
      <c r="G10442" s="128" t="str">
        <f>VLOOKUP(source[[#This Row],[lending_product_transform]],[3]Mapping!$B$4:$C$37,2,0)</f>
        <v>[Cake] - Cashloan</v>
      </c>
      <c r="H10442" s="128" t="str">
        <f>VLOOKUP(source[[#This Row],[lending_product_transform]],[3]Mapping!$B$3:$D$37,3,0)</f>
        <v>cashloan</v>
      </c>
      <c r="I10442" s="143">
        <v>17824995</v>
      </c>
    </row>
    <row r="10443" spans="1:9" x14ac:dyDescent="0.2">
      <c r="A10443" s="134">
        <v>45971</v>
      </c>
      <c r="B10443" s="135">
        <f>YEAR(source[[#This Row],[report_date]])</f>
        <v>2025</v>
      </c>
      <c r="C10443" s="128">
        <f t="shared" si="487"/>
        <v>11</v>
      </c>
      <c r="D10443" s="136">
        <f t="shared" si="489"/>
        <v>46</v>
      </c>
      <c r="E10443" s="136">
        <f t="shared" si="488"/>
        <v>10</v>
      </c>
      <c r="F10443" s="137" t="s">
        <v>24</v>
      </c>
      <c r="G10443" s="128" t="str">
        <f>VLOOKUP(source[[#This Row],[lending_product_transform]],[3]Mapping!$B$4:$C$37,2,0)</f>
        <v>[Cake] - Cashloan</v>
      </c>
      <c r="H10443" s="128" t="str">
        <f>VLOOKUP(source[[#This Row],[lending_product_transform]],[3]Mapping!$B$3:$D$37,3,0)</f>
        <v>cashloan</v>
      </c>
      <c r="I10443" s="143">
        <v>988744010</v>
      </c>
    </row>
    <row r="10444" spans="1:9" x14ac:dyDescent="0.2">
      <c r="A10444" s="134">
        <v>45971</v>
      </c>
      <c r="B10444" s="135">
        <f>YEAR(source[[#This Row],[report_date]])</f>
        <v>2025</v>
      </c>
      <c r="C10444" s="128">
        <f t="shared" si="487"/>
        <v>11</v>
      </c>
      <c r="D10444" s="136">
        <f t="shared" si="489"/>
        <v>46</v>
      </c>
      <c r="E10444" s="136">
        <f t="shared" si="488"/>
        <v>10</v>
      </c>
      <c r="F10444" s="137" t="s">
        <v>24</v>
      </c>
      <c r="G10444" s="128" t="str">
        <f>VLOOKUP(source[[#This Row],[lending_product_transform]],[3]Mapping!$B$4:$C$37,2,0)</f>
        <v>[Cake] - Cashloan</v>
      </c>
      <c r="H10444" s="128" t="str">
        <f>VLOOKUP(source[[#This Row],[lending_product_transform]],[3]Mapping!$B$3:$D$37,3,0)</f>
        <v>cashloan</v>
      </c>
      <c r="I10444" s="143">
        <v>0</v>
      </c>
    </row>
    <row r="10445" spans="1:9" x14ac:dyDescent="0.2">
      <c r="A10445" s="134">
        <v>45971</v>
      </c>
      <c r="B10445" s="135">
        <f>YEAR(source[[#This Row],[report_date]])</f>
        <v>2025</v>
      </c>
      <c r="C10445" s="128">
        <f t="shared" si="487"/>
        <v>11</v>
      </c>
      <c r="D10445" s="136">
        <f t="shared" si="489"/>
        <v>46</v>
      </c>
      <c r="E10445" s="136">
        <f t="shared" si="488"/>
        <v>10</v>
      </c>
      <c r="F10445" s="137" t="s">
        <v>24</v>
      </c>
      <c r="G10445" s="128" t="str">
        <f>VLOOKUP(source[[#This Row],[lending_product_transform]],[3]Mapping!$B$4:$C$37,2,0)</f>
        <v>[Cake] - Cashloan</v>
      </c>
      <c r="H10445" s="128" t="str">
        <f>VLOOKUP(source[[#This Row],[lending_product_transform]],[3]Mapping!$B$3:$D$37,3,0)</f>
        <v>cashloan</v>
      </c>
      <c r="I10445" s="143">
        <v>386500000</v>
      </c>
    </row>
    <row r="10446" spans="1:9" x14ac:dyDescent="0.2">
      <c r="A10446" s="134">
        <v>45971</v>
      </c>
      <c r="B10446" s="135">
        <f>YEAR(source[[#This Row],[report_date]])</f>
        <v>2025</v>
      </c>
      <c r="C10446" s="128">
        <f t="shared" si="487"/>
        <v>11</v>
      </c>
      <c r="D10446" s="136">
        <f t="shared" si="489"/>
        <v>46</v>
      </c>
      <c r="E10446" s="136">
        <f t="shared" si="488"/>
        <v>10</v>
      </c>
      <c r="F10446" s="137" t="s">
        <v>24</v>
      </c>
      <c r="G10446" s="128" t="str">
        <f>VLOOKUP(source[[#This Row],[lending_product_transform]],[3]Mapping!$B$4:$C$37,2,0)</f>
        <v>[Cake] - Cashloan</v>
      </c>
      <c r="H10446" s="128" t="str">
        <f>VLOOKUP(source[[#This Row],[lending_product_transform]],[3]Mapping!$B$3:$D$37,3,0)</f>
        <v>cashloan</v>
      </c>
      <c r="I10446" s="143">
        <v>22811310000</v>
      </c>
    </row>
    <row r="10447" spans="1:9" x14ac:dyDescent="0.2">
      <c r="A10447" s="134">
        <v>45971</v>
      </c>
      <c r="B10447" s="135">
        <f>YEAR(source[[#This Row],[report_date]])</f>
        <v>2025</v>
      </c>
      <c r="C10447" s="128">
        <f t="shared" si="487"/>
        <v>11</v>
      </c>
      <c r="D10447" s="136">
        <f t="shared" si="489"/>
        <v>46</v>
      </c>
      <c r="E10447" s="136">
        <f t="shared" si="488"/>
        <v>10</v>
      </c>
      <c r="F10447" s="137" t="s">
        <v>24</v>
      </c>
      <c r="G10447" s="128" t="str">
        <f>VLOOKUP(source[[#This Row],[lending_product_transform]],[3]Mapping!$B$4:$C$37,2,0)</f>
        <v>[Cake] - Cashloan</v>
      </c>
      <c r="H10447" s="128" t="str">
        <f>VLOOKUP(source[[#This Row],[lending_product_transform]],[3]Mapping!$B$3:$D$37,3,0)</f>
        <v>cashloan</v>
      </c>
      <c r="I10447" s="143">
        <v>0</v>
      </c>
    </row>
    <row r="10448" spans="1:9" x14ac:dyDescent="0.2">
      <c r="A10448" s="134">
        <v>45971</v>
      </c>
      <c r="B10448" s="135">
        <f>YEAR(source[[#This Row],[report_date]])</f>
        <v>2025</v>
      </c>
      <c r="C10448" s="128">
        <f t="shared" si="487"/>
        <v>11</v>
      </c>
      <c r="D10448" s="136">
        <f t="shared" si="489"/>
        <v>46</v>
      </c>
      <c r="E10448" s="136">
        <f t="shared" si="488"/>
        <v>10</v>
      </c>
      <c r="F10448" s="137" t="s">
        <v>24</v>
      </c>
      <c r="G10448" s="128" t="str">
        <f>VLOOKUP(source[[#This Row],[lending_product_transform]],[3]Mapping!$B$4:$C$37,2,0)</f>
        <v>[Cake] - Cashloan</v>
      </c>
      <c r="H10448" s="128" t="str">
        <f>VLOOKUP(source[[#This Row],[lending_product_transform]],[3]Mapping!$B$3:$D$37,3,0)</f>
        <v>cashloan</v>
      </c>
      <c r="I10448" s="143">
        <v>0</v>
      </c>
    </row>
    <row r="10449" spans="1:9" x14ac:dyDescent="0.2">
      <c r="A10449" s="134">
        <v>45971</v>
      </c>
      <c r="B10449" s="135">
        <f>YEAR(source[[#This Row],[report_date]])</f>
        <v>2025</v>
      </c>
      <c r="C10449" s="128">
        <f t="shared" si="487"/>
        <v>11</v>
      </c>
      <c r="D10449" s="136">
        <f t="shared" si="489"/>
        <v>46</v>
      </c>
      <c r="E10449" s="136">
        <f t="shared" si="488"/>
        <v>10</v>
      </c>
      <c r="F10449" s="137" t="s">
        <v>24</v>
      </c>
      <c r="G10449" s="128" t="str">
        <f>VLOOKUP(source[[#This Row],[lending_product_transform]],[3]Mapping!$B$4:$C$37,2,0)</f>
        <v>[Cake] - Cashloan</v>
      </c>
      <c r="H10449" s="128" t="str">
        <f>VLOOKUP(source[[#This Row],[lending_product_transform]],[3]Mapping!$B$3:$D$37,3,0)</f>
        <v>cashloan</v>
      </c>
      <c r="I10449" s="143">
        <v>0</v>
      </c>
    </row>
    <row r="10450" spans="1:9" x14ac:dyDescent="0.2">
      <c r="A10450" s="134">
        <v>45971</v>
      </c>
      <c r="B10450" s="135">
        <f>YEAR(source[[#This Row],[report_date]])</f>
        <v>2025</v>
      </c>
      <c r="C10450" s="128">
        <f t="shared" si="487"/>
        <v>11</v>
      </c>
      <c r="D10450" s="136">
        <f t="shared" si="489"/>
        <v>46</v>
      </c>
      <c r="E10450" s="136">
        <f t="shared" si="488"/>
        <v>10</v>
      </c>
      <c r="F10450" s="137" t="s">
        <v>24</v>
      </c>
      <c r="G10450" s="128" t="str">
        <f>VLOOKUP(source[[#This Row],[lending_product_transform]],[3]Mapping!$B$4:$C$37,2,0)</f>
        <v>[Cake] - Cashloan</v>
      </c>
      <c r="H10450" s="128" t="str">
        <f>VLOOKUP(source[[#This Row],[lending_product_transform]],[3]Mapping!$B$3:$D$37,3,0)</f>
        <v>cashloan</v>
      </c>
      <c r="I10450" s="143">
        <v>0</v>
      </c>
    </row>
    <row r="10451" spans="1:9" x14ac:dyDescent="0.2">
      <c r="A10451" s="134">
        <v>45971</v>
      </c>
      <c r="B10451" s="135">
        <f>YEAR(source[[#This Row],[report_date]])</f>
        <v>2025</v>
      </c>
      <c r="C10451" s="128">
        <f t="shared" si="487"/>
        <v>11</v>
      </c>
      <c r="D10451" s="136">
        <f t="shared" si="489"/>
        <v>46</v>
      </c>
      <c r="E10451" s="136">
        <f t="shared" si="488"/>
        <v>10</v>
      </c>
      <c r="F10451" s="137" t="s">
        <v>24</v>
      </c>
      <c r="G10451" s="128" t="str">
        <f>VLOOKUP(source[[#This Row],[lending_product_transform]],[3]Mapping!$B$4:$C$37,2,0)</f>
        <v>[Cake] - Cashloan</v>
      </c>
      <c r="H10451" s="128" t="str">
        <f>VLOOKUP(source[[#This Row],[lending_product_transform]],[3]Mapping!$B$3:$D$37,3,0)</f>
        <v>cashloan</v>
      </c>
      <c r="I10451" s="143">
        <v>14166252000</v>
      </c>
    </row>
    <row r="10452" spans="1:9" x14ac:dyDescent="0.2">
      <c r="A10452" s="134">
        <v>45971</v>
      </c>
      <c r="B10452" s="135">
        <f>YEAR(source[[#This Row],[report_date]])</f>
        <v>2025</v>
      </c>
      <c r="C10452" s="128">
        <f t="shared" si="487"/>
        <v>11</v>
      </c>
      <c r="D10452" s="136">
        <f t="shared" si="489"/>
        <v>46</v>
      </c>
      <c r="E10452" s="136">
        <f t="shared" si="488"/>
        <v>10</v>
      </c>
      <c r="F10452" s="137" t="s">
        <v>24</v>
      </c>
      <c r="G10452" s="128" t="str">
        <f>VLOOKUP(source[[#This Row],[lending_product_transform]],[3]Mapping!$B$4:$C$37,2,0)</f>
        <v>[Cake] - Cashloan</v>
      </c>
      <c r="H10452" s="128" t="str">
        <f>VLOOKUP(source[[#This Row],[lending_product_transform]],[3]Mapping!$B$3:$D$37,3,0)</f>
        <v>cashloan</v>
      </c>
      <c r="I10452" s="143">
        <v>326210971</v>
      </c>
    </row>
    <row r="10453" spans="1:9" x14ac:dyDescent="0.2">
      <c r="A10453" s="134">
        <v>45971</v>
      </c>
      <c r="B10453" s="135">
        <f>YEAR(source[[#This Row],[report_date]])</f>
        <v>2025</v>
      </c>
      <c r="C10453" s="128">
        <f t="shared" si="487"/>
        <v>11</v>
      </c>
      <c r="D10453" s="136">
        <f t="shared" si="489"/>
        <v>46</v>
      </c>
      <c r="E10453" s="136">
        <f t="shared" si="488"/>
        <v>10</v>
      </c>
      <c r="F10453" s="137" t="s">
        <v>24</v>
      </c>
      <c r="G10453" s="128" t="str">
        <f>VLOOKUP(source[[#This Row],[lending_product_transform]],[3]Mapping!$B$4:$C$37,2,0)</f>
        <v>[Cake] - Cashloan</v>
      </c>
      <c r="H10453" s="128" t="str">
        <f>VLOOKUP(source[[#This Row],[lending_product_transform]],[3]Mapping!$B$3:$D$37,3,0)</f>
        <v>cashloan</v>
      </c>
      <c r="I10453" s="143">
        <v>20500000</v>
      </c>
    </row>
    <row r="10454" spans="1:9" x14ac:dyDescent="0.2">
      <c r="A10454" s="134">
        <v>45971</v>
      </c>
      <c r="B10454" s="135">
        <f>YEAR(source[[#This Row],[report_date]])</f>
        <v>2025</v>
      </c>
      <c r="C10454" s="128">
        <f t="shared" si="487"/>
        <v>11</v>
      </c>
      <c r="D10454" s="136">
        <f t="shared" si="489"/>
        <v>46</v>
      </c>
      <c r="E10454" s="136">
        <f t="shared" si="488"/>
        <v>10</v>
      </c>
      <c r="F10454" s="137" t="s">
        <v>24</v>
      </c>
      <c r="G10454" s="128" t="str">
        <f>VLOOKUP(source[[#This Row],[lending_product_transform]],[3]Mapping!$B$4:$C$37,2,0)</f>
        <v>[Cake] - Cashloan</v>
      </c>
      <c r="H10454" s="128" t="str">
        <f>VLOOKUP(source[[#This Row],[lending_product_transform]],[3]Mapping!$B$3:$D$37,3,0)</f>
        <v>cashloan</v>
      </c>
      <c r="I10454" s="143">
        <v>48000000</v>
      </c>
    </row>
    <row r="10455" spans="1:9" x14ac:dyDescent="0.2">
      <c r="A10455" s="134">
        <v>45971</v>
      </c>
      <c r="B10455" s="135">
        <f>YEAR(source[[#This Row],[report_date]])</f>
        <v>2025</v>
      </c>
      <c r="C10455" s="128">
        <f t="shared" si="487"/>
        <v>11</v>
      </c>
      <c r="D10455" s="136">
        <f t="shared" si="489"/>
        <v>46</v>
      </c>
      <c r="E10455" s="136">
        <f t="shared" si="488"/>
        <v>10</v>
      </c>
      <c r="F10455" s="137" t="s">
        <v>24</v>
      </c>
      <c r="G10455" s="128" t="str">
        <f>VLOOKUP(source[[#This Row],[lending_product_transform]],[3]Mapping!$B$4:$C$37,2,0)</f>
        <v>[Cake] - Cashloan</v>
      </c>
      <c r="H10455" s="128" t="str">
        <f>VLOOKUP(source[[#This Row],[lending_product_transform]],[3]Mapping!$B$3:$D$37,3,0)</f>
        <v>cashloan</v>
      </c>
      <c r="I10455" s="143">
        <v>721220000</v>
      </c>
    </row>
    <row r="10456" spans="1:9" x14ac:dyDescent="0.2">
      <c r="A10456" s="134">
        <v>45971</v>
      </c>
      <c r="B10456" s="135">
        <f>YEAR(source[[#This Row],[report_date]])</f>
        <v>2025</v>
      </c>
      <c r="C10456" s="128">
        <f t="shared" si="487"/>
        <v>11</v>
      </c>
      <c r="D10456" s="136">
        <f t="shared" si="489"/>
        <v>46</v>
      </c>
      <c r="E10456" s="136">
        <f t="shared" si="488"/>
        <v>10</v>
      </c>
      <c r="F10456" s="137" t="s">
        <v>24</v>
      </c>
      <c r="G10456" s="128" t="str">
        <f>VLOOKUP(source[[#This Row],[lending_product_transform]],[3]Mapping!$B$4:$C$37,2,0)</f>
        <v>[Cake] - Cashloan</v>
      </c>
      <c r="H10456" s="128" t="str">
        <f>VLOOKUP(source[[#This Row],[lending_product_transform]],[3]Mapping!$B$3:$D$37,3,0)</f>
        <v>cashloan</v>
      </c>
      <c r="I10456" s="143">
        <v>205956000</v>
      </c>
    </row>
    <row r="10457" spans="1:9" x14ac:dyDescent="0.2">
      <c r="A10457" s="134">
        <v>45971</v>
      </c>
      <c r="B10457" s="135">
        <f>YEAR(source[[#This Row],[report_date]])</f>
        <v>2025</v>
      </c>
      <c r="C10457" s="128">
        <f t="shared" si="487"/>
        <v>11</v>
      </c>
      <c r="D10457" s="136">
        <f t="shared" si="489"/>
        <v>46</v>
      </c>
      <c r="E10457" s="136">
        <f t="shared" si="488"/>
        <v>10</v>
      </c>
      <c r="F10457" s="137" t="s">
        <v>24</v>
      </c>
      <c r="G10457" s="128" t="str">
        <f>VLOOKUP(source[[#This Row],[lending_product_transform]],[3]Mapping!$B$4:$C$37,2,0)</f>
        <v>[Cake] - Cashloan</v>
      </c>
      <c r="H10457" s="128" t="str">
        <f>VLOOKUP(source[[#This Row],[lending_product_transform]],[3]Mapping!$B$3:$D$37,3,0)</f>
        <v>cashloan</v>
      </c>
      <c r="I10457" s="143">
        <v>518372254</v>
      </c>
    </row>
    <row r="10458" spans="1:9" x14ac:dyDescent="0.2">
      <c r="A10458" s="134">
        <v>45971</v>
      </c>
      <c r="B10458" s="135">
        <f>YEAR(source[[#This Row],[report_date]])</f>
        <v>2025</v>
      </c>
      <c r="C10458" s="128">
        <f t="shared" si="487"/>
        <v>11</v>
      </c>
      <c r="D10458" s="136">
        <f t="shared" si="489"/>
        <v>46</v>
      </c>
      <c r="E10458" s="136">
        <f t="shared" si="488"/>
        <v>10</v>
      </c>
      <c r="F10458" s="137" t="s">
        <v>24</v>
      </c>
      <c r="G10458" s="128" t="str">
        <f>VLOOKUP(source[[#This Row],[lending_product_transform]],[3]Mapping!$B$4:$C$37,2,0)</f>
        <v>[Cake] - Cashloan</v>
      </c>
      <c r="H10458" s="128" t="str">
        <f>VLOOKUP(source[[#This Row],[lending_product_transform]],[3]Mapping!$B$3:$D$37,3,0)</f>
        <v>cashloan</v>
      </c>
      <c r="I10458" s="143">
        <v>3855160000</v>
      </c>
    </row>
    <row r="10459" spans="1:9" x14ac:dyDescent="0.2">
      <c r="A10459" s="134">
        <v>45972</v>
      </c>
      <c r="B10459" s="135">
        <f>YEAR(source[[#This Row],[report_date]])</f>
        <v>2025</v>
      </c>
      <c r="C10459" s="128">
        <f t="shared" si="487"/>
        <v>11</v>
      </c>
      <c r="D10459" s="136">
        <f t="shared" si="489"/>
        <v>46</v>
      </c>
      <c r="E10459" s="136">
        <f t="shared" si="488"/>
        <v>11</v>
      </c>
      <c r="F10459" s="137" t="s">
        <v>24</v>
      </c>
      <c r="G10459" s="128" t="str">
        <f>VLOOKUP(source[[#This Row],[lending_product_transform]],[3]Mapping!$B$4:$C$37,2,0)</f>
        <v>[Cake] - Cashloan</v>
      </c>
      <c r="H10459" s="128" t="str">
        <f>VLOOKUP(source[[#This Row],[lending_product_transform]],[3]Mapping!$B$3:$D$37,3,0)</f>
        <v>cashloan</v>
      </c>
      <c r="I10459" s="143">
        <v>31000000</v>
      </c>
    </row>
    <row r="10460" spans="1:9" x14ac:dyDescent="0.2">
      <c r="A10460" s="134">
        <v>45972</v>
      </c>
      <c r="B10460" s="135">
        <f>YEAR(source[[#This Row],[report_date]])</f>
        <v>2025</v>
      </c>
      <c r="C10460" s="128">
        <f t="shared" si="487"/>
        <v>11</v>
      </c>
      <c r="D10460" s="136">
        <f t="shared" si="489"/>
        <v>46</v>
      </c>
      <c r="E10460" s="136">
        <f t="shared" si="488"/>
        <v>11</v>
      </c>
      <c r="F10460" s="137" t="s">
        <v>24</v>
      </c>
      <c r="G10460" s="128" t="str">
        <f>VLOOKUP(source[[#This Row],[lending_product_transform]],[3]Mapping!$B$4:$C$37,2,0)</f>
        <v>[Cake] - Cashloan</v>
      </c>
      <c r="H10460" s="128" t="str">
        <f>VLOOKUP(source[[#This Row],[lending_product_transform]],[3]Mapping!$B$3:$D$37,3,0)</f>
        <v>cashloan</v>
      </c>
      <c r="I10460" s="143">
        <v>274778188</v>
      </c>
    </row>
    <row r="10461" spans="1:9" x14ac:dyDescent="0.2">
      <c r="A10461" s="134">
        <v>45972</v>
      </c>
      <c r="B10461" s="135">
        <f>YEAR(source[[#This Row],[report_date]])</f>
        <v>2025</v>
      </c>
      <c r="C10461" s="128">
        <f t="shared" si="487"/>
        <v>11</v>
      </c>
      <c r="D10461" s="136">
        <f t="shared" si="489"/>
        <v>46</v>
      </c>
      <c r="E10461" s="136">
        <f t="shared" si="488"/>
        <v>11</v>
      </c>
      <c r="F10461" s="137" t="s">
        <v>24</v>
      </c>
      <c r="G10461" s="128" t="str">
        <f>VLOOKUP(source[[#This Row],[lending_product_transform]],[3]Mapping!$B$4:$C$37,2,0)</f>
        <v>[Cake] - Cashloan</v>
      </c>
      <c r="H10461" s="128" t="str">
        <f>VLOOKUP(source[[#This Row],[lending_product_transform]],[3]Mapping!$B$3:$D$37,3,0)</f>
        <v>cashloan</v>
      </c>
      <c r="I10461" s="143">
        <v>16847210000</v>
      </c>
    </row>
    <row r="10462" spans="1:9" x14ac:dyDescent="0.2">
      <c r="A10462" s="134">
        <v>45972</v>
      </c>
      <c r="B10462" s="135">
        <f>YEAR(source[[#This Row],[report_date]])</f>
        <v>2025</v>
      </c>
      <c r="C10462" s="128">
        <f t="shared" si="487"/>
        <v>11</v>
      </c>
      <c r="D10462" s="136">
        <f t="shared" si="489"/>
        <v>46</v>
      </c>
      <c r="E10462" s="136">
        <f t="shared" si="488"/>
        <v>11</v>
      </c>
      <c r="F10462" s="137" t="s">
        <v>24</v>
      </c>
      <c r="G10462" s="128" t="str">
        <f>VLOOKUP(source[[#This Row],[lending_product_transform]],[3]Mapping!$B$4:$C$37,2,0)</f>
        <v>[Cake] - Cashloan</v>
      </c>
      <c r="H10462" s="128" t="str">
        <f>VLOOKUP(source[[#This Row],[lending_product_transform]],[3]Mapping!$B$3:$D$37,3,0)</f>
        <v>cashloan</v>
      </c>
      <c r="I10462" s="143">
        <v>2992696989</v>
      </c>
    </row>
    <row r="10463" spans="1:9" x14ac:dyDescent="0.2">
      <c r="A10463" s="134">
        <v>45972</v>
      </c>
      <c r="B10463" s="135">
        <f>YEAR(source[[#This Row],[report_date]])</f>
        <v>2025</v>
      </c>
      <c r="C10463" s="128">
        <f t="shared" si="487"/>
        <v>11</v>
      </c>
      <c r="D10463" s="136">
        <f t="shared" si="489"/>
        <v>46</v>
      </c>
      <c r="E10463" s="136">
        <f t="shared" si="488"/>
        <v>11</v>
      </c>
      <c r="F10463" s="137" t="s">
        <v>24</v>
      </c>
      <c r="G10463" s="128" t="str">
        <f>VLOOKUP(source[[#This Row],[lending_product_transform]],[3]Mapping!$B$4:$C$37,2,0)</f>
        <v>[Cake] - Cashloan</v>
      </c>
      <c r="H10463" s="128" t="str">
        <f>VLOOKUP(source[[#This Row],[lending_product_transform]],[3]Mapping!$B$3:$D$37,3,0)</f>
        <v>cashloan</v>
      </c>
      <c r="I10463" s="143">
        <v>8993916000</v>
      </c>
    </row>
    <row r="10464" spans="1:9" x14ac:dyDescent="0.2">
      <c r="A10464" s="134">
        <v>45972</v>
      </c>
      <c r="B10464" s="135">
        <f>YEAR(source[[#This Row],[report_date]])</f>
        <v>2025</v>
      </c>
      <c r="C10464" s="128">
        <f t="shared" si="487"/>
        <v>11</v>
      </c>
      <c r="D10464" s="136">
        <f t="shared" si="489"/>
        <v>46</v>
      </c>
      <c r="E10464" s="136">
        <f t="shared" si="488"/>
        <v>11</v>
      </c>
      <c r="F10464" s="137" t="s">
        <v>24</v>
      </c>
      <c r="G10464" s="128" t="str">
        <f>VLOOKUP(source[[#This Row],[lending_product_transform]],[3]Mapping!$B$4:$C$37,2,0)</f>
        <v>[Cake] - Cashloan</v>
      </c>
      <c r="H10464" s="128" t="str">
        <f>VLOOKUP(source[[#This Row],[lending_product_transform]],[3]Mapping!$B$3:$D$37,3,0)</f>
        <v>cashloan</v>
      </c>
      <c r="I10464" s="143">
        <v>17258104</v>
      </c>
    </row>
    <row r="10465" spans="1:9" x14ac:dyDescent="0.2">
      <c r="A10465" s="134">
        <v>45972</v>
      </c>
      <c r="B10465" s="135">
        <f>YEAR(source[[#This Row],[report_date]])</f>
        <v>2025</v>
      </c>
      <c r="C10465" s="128">
        <f t="shared" si="487"/>
        <v>11</v>
      </c>
      <c r="D10465" s="136">
        <f t="shared" si="489"/>
        <v>46</v>
      </c>
      <c r="E10465" s="136">
        <f t="shared" si="488"/>
        <v>11</v>
      </c>
      <c r="F10465" s="137" t="s">
        <v>24</v>
      </c>
      <c r="G10465" s="128" t="str">
        <f>VLOOKUP(source[[#This Row],[lending_product_transform]],[3]Mapping!$B$4:$C$37,2,0)</f>
        <v>[Cake] - Cashloan</v>
      </c>
      <c r="H10465" s="128" t="str">
        <f>VLOOKUP(source[[#This Row],[lending_product_transform]],[3]Mapping!$B$3:$D$37,3,0)</f>
        <v>cashloan</v>
      </c>
      <c r="I10465" s="143">
        <v>4318830000</v>
      </c>
    </row>
    <row r="10466" spans="1:9" x14ac:dyDescent="0.2">
      <c r="A10466" s="134">
        <v>45972</v>
      </c>
      <c r="B10466" s="135">
        <f>YEAR(source[[#This Row],[report_date]])</f>
        <v>2025</v>
      </c>
      <c r="C10466" s="128">
        <f t="shared" si="487"/>
        <v>11</v>
      </c>
      <c r="D10466" s="136">
        <f t="shared" si="489"/>
        <v>46</v>
      </c>
      <c r="E10466" s="136">
        <f t="shared" si="488"/>
        <v>11</v>
      </c>
      <c r="F10466" s="137" t="s">
        <v>24</v>
      </c>
      <c r="G10466" s="128" t="str">
        <f>VLOOKUP(source[[#This Row],[lending_product_transform]],[3]Mapping!$B$4:$C$37,2,0)</f>
        <v>[Cake] - Cashloan</v>
      </c>
      <c r="H10466" s="128" t="str">
        <f>VLOOKUP(source[[#This Row],[lending_product_transform]],[3]Mapping!$B$3:$D$37,3,0)</f>
        <v>cashloan</v>
      </c>
      <c r="I10466" s="143">
        <v>18978206</v>
      </c>
    </row>
    <row r="10467" spans="1:9" x14ac:dyDescent="0.2">
      <c r="A10467" s="134">
        <v>45972</v>
      </c>
      <c r="B10467" s="135">
        <f>YEAR(source[[#This Row],[report_date]])</f>
        <v>2025</v>
      </c>
      <c r="C10467" s="128">
        <f t="shared" si="487"/>
        <v>11</v>
      </c>
      <c r="D10467" s="136">
        <f t="shared" si="489"/>
        <v>46</v>
      </c>
      <c r="E10467" s="136">
        <f t="shared" si="488"/>
        <v>11</v>
      </c>
      <c r="F10467" s="137" t="s">
        <v>24</v>
      </c>
      <c r="G10467" s="128" t="str">
        <f>VLOOKUP(source[[#This Row],[lending_product_transform]],[3]Mapping!$B$4:$C$37,2,0)</f>
        <v>[Cake] - Cashloan</v>
      </c>
      <c r="H10467" s="128" t="str">
        <f>VLOOKUP(source[[#This Row],[lending_product_transform]],[3]Mapping!$B$3:$D$37,3,0)</f>
        <v>cashloan</v>
      </c>
      <c r="I10467" s="143">
        <v>960549644</v>
      </c>
    </row>
    <row r="10468" spans="1:9" x14ac:dyDescent="0.2">
      <c r="A10468" s="134">
        <v>45972</v>
      </c>
      <c r="B10468" s="135">
        <f>YEAR(source[[#This Row],[report_date]])</f>
        <v>2025</v>
      </c>
      <c r="C10468" s="128">
        <f t="shared" si="487"/>
        <v>11</v>
      </c>
      <c r="D10468" s="136">
        <f t="shared" si="489"/>
        <v>46</v>
      </c>
      <c r="E10468" s="136">
        <f t="shared" si="488"/>
        <v>11</v>
      </c>
      <c r="F10468" s="137" t="s">
        <v>24</v>
      </c>
      <c r="G10468" s="128" t="str">
        <f>VLOOKUP(source[[#This Row],[lending_product_transform]],[3]Mapping!$B$4:$C$37,2,0)</f>
        <v>[Cake] - Cashloan</v>
      </c>
      <c r="H10468" s="128" t="str">
        <f>VLOOKUP(source[[#This Row],[lending_product_transform]],[3]Mapping!$B$3:$D$37,3,0)</f>
        <v>cashloan</v>
      </c>
      <c r="I10468" s="143">
        <v>0</v>
      </c>
    </row>
    <row r="10469" spans="1:9" x14ac:dyDescent="0.2">
      <c r="A10469" s="134">
        <v>45972</v>
      </c>
      <c r="B10469" s="135">
        <f>YEAR(source[[#This Row],[report_date]])</f>
        <v>2025</v>
      </c>
      <c r="C10469" s="128">
        <f t="shared" si="487"/>
        <v>11</v>
      </c>
      <c r="D10469" s="136">
        <f t="shared" si="489"/>
        <v>46</v>
      </c>
      <c r="E10469" s="136">
        <f t="shared" si="488"/>
        <v>11</v>
      </c>
      <c r="F10469" s="137" t="s">
        <v>24</v>
      </c>
      <c r="G10469" s="128" t="str">
        <f>VLOOKUP(source[[#This Row],[lending_product_transform]],[3]Mapping!$B$4:$C$37,2,0)</f>
        <v>[Cake] - Cashloan</v>
      </c>
      <c r="H10469" s="128" t="str">
        <f>VLOOKUP(source[[#This Row],[lending_product_transform]],[3]Mapping!$B$3:$D$37,3,0)</f>
        <v>cashloan</v>
      </c>
      <c r="I10469" s="143">
        <v>405950000</v>
      </c>
    </row>
    <row r="10470" spans="1:9" x14ac:dyDescent="0.2">
      <c r="A10470" s="134">
        <v>45972</v>
      </c>
      <c r="B10470" s="135">
        <f>YEAR(source[[#This Row],[report_date]])</f>
        <v>2025</v>
      </c>
      <c r="C10470" s="128">
        <f t="shared" si="487"/>
        <v>11</v>
      </c>
      <c r="D10470" s="136">
        <f t="shared" si="489"/>
        <v>46</v>
      </c>
      <c r="E10470" s="136">
        <f t="shared" si="488"/>
        <v>11</v>
      </c>
      <c r="F10470" s="137" t="s">
        <v>24</v>
      </c>
      <c r="G10470" s="128" t="str">
        <f>VLOOKUP(source[[#This Row],[lending_product_transform]],[3]Mapping!$B$4:$C$37,2,0)</f>
        <v>[Cake] - Cashloan</v>
      </c>
      <c r="H10470" s="128" t="str">
        <f>VLOOKUP(source[[#This Row],[lending_product_transform]],[3]Mapping!$B$3:$D$37,3,0)</f>
        <v>cashloan</v>
      </c>
      <c r="I10470" s="143">
        <v>18958810000</v>
      </c>
    </row>
    <row r="10471" spans="1:9" x14ac:dyDescent="0.2">
      <c r="A10471" s="134">
        <v>45972</v>
      </c>
      <c r="B10471" s="135">
        <f>YEAR(source[[#This Row],[report_date]])</f>
        <v>2025</v>
      </c>
      <c r="C10471" s="128">
        <f t="shared" si="487"/>
        <v>11</v>
      </c>
      <c r="D10471" s="136">
        <f t="shared" si="489"/>
        <v>46</v>
      </c>
      <c r="E10471" s="136">
        <f t="shared" si="488"/>
        <v>11</v>
      </c>
      <c r="F10471" s="137" t="s">
        <v>24</v>
      </c>
      <c r="G10471" s="128" t="str">
        <f>VLOOKUP(source[[#This Row],[lending_product_transform]],[3]Mapping!$B$4:$C$37,2,0)</f>
        <v>[Cake] - Cashloan</v>
      </c>
      <c r="H10471" s="128" t="str">
        <f>VLOOKUP(source[[#This Row],[lending_product_transform]],[3]Mapping!$B$3:$D$37,3,0)</f>
        <v>cashloan</v>
      </c>
      <c r="I10471" s="143">
        <v>0</v>
      </c>
    </row>
    <row r="10472" spans="1:9" x14ac:dyDescent="0.2">
      <c r="A10472" s="134">
        <v>45972</v>
      </c>
      <c r="B10472" s="135">
        <f>YEAR(source[[#This Row],[report_date]])</f>
        <v>2025</v>
      </c>
      <c r="C10472" s="128">
        <f t="shared" si="487"/>
        <v>11</v>
      </c>
      <c r="D10472" s="136">
        <f t="shared" si="489"/>
        <v>46</v>
      </c>
      <c r="E10472" s="136">
        <f t="shared" si="488"/>
        <v>11</v>
      </c>
      <c r="F10472" s="137" t="s">
        <v>24</v>
      </c>
      <c r="G10472" s="128" t="str">
        <f>VLOOKUP(source[[#This Row],[lending_product_transform]],[3]Mapping!$B$4:$C$37,2,0)</f>
        <v>[Cake] - Cashloan</v>
      </c>
      <c r="H10472" s="128" t="str">
        <f>VLOOKUP(source[[#This Row],[lending_product_transform]],[3]Mapping!$B$3:$D$37,3,0)</f>
        <v>cashloan</v>
      </c>
      <c r="I10472" s="143">
        <v>0</v>
      </c>
    </row>
    <row r="10473" spans="1:9" x14ac:dyDescent="0.2">
      <c r="A10473" s="134">
        <v>45972</v>
      </c>
      <c r="B10473" s="135">
        <f>YEAR(source[[#This Row],[report_date]])</f>
        <v>2025</v>
      </c>
      <c r="C10473" s="128">
        <f t="shared" si="487"/>
        <v>11</v>
      </c>
      <c r="D10473" s="136">
        <f t="shared" si="489"/>
        <v>46</v>
      </c>
      <c r="E10473" s="136">
        <f t="shared" si="488"/>
        <v>11</v>
      </c>
      <c r="F10473" s="137" t="s">
        <v>24</v>
      </c>
      <c r="G10473" s="128" t="str">
        <f>VLOOKUP(source[[#This Row],[lending_product_transform]],[3]Mapping!$B$4:$C$37,2,0)</f>
        <v>[Cake] - Cashloan</v>
      </c>
      <c r="H10473" s="128" t="str">
        <f>VLOOKUP(source[[#This Row],[lending_product_transform]],[3]Mapping!$B$3:$D$37,3,0)</f>
        <v>cashloan</v>
      </c>
      <c r="I10473" s="143">
        <v>0</v>
      </c>
    </row>
    <row r="10474" spans="1:9" x14ac:dyDescent="0.2">
      <c r="A10474" s="134">
        <v>45972</v>
      </c>
      <c r="B10474" s="135">
        <f>YEAR(source[[#This Row],[report_date]])</f>
        <v>2025</v>
      </c>
      <c r="C10474" s="128">
        <f t="shared" si="487"/>
        <v>11</v>
      </c>
      <c r="D10474" s="136">
        <f t="shared" si="489"/>
        <v>46</v>
      </c>
      <c r="E10474" s="136">
        <f t="shared" si="488"/>
        <v>11</v>
      </c>
      <c r="F10474" s="137" t="s">
        <v>24</v>
      </c>
      <c r="G10474" s="128" t="str">
        <f>VLOOKUP(source[[#This Row],[lending_product_transform]],[3]Mapping!$B$4:$C$37,2,0)</f>
        <v>[Cake] - Cashloan</v>
      </c>
      <c r="H10474" s="128" t="str">
        <f>VLOOKUP(source[[#This Row],[lending_product_transform]],[3]Mapping!$B$3:$D$37,3,0)</f>
        <v>cashloan</v>
      </c>
      <c r="I10474" s="143">
        <v>0</v>
      </c>
    </row>
    <row r="10475" spans="1:9" x14ac:dyDescent="0.2">
      <c r="A10475" s="134">
        <v>45972</v>
      </c>
      <c r="B10475" s="135">
        <f>YEAR(source[[#This Row],[report_date]])</f>
        <v>2025</v>
      </c>
      <c r="C10475" s="128">
        <f t="shared" si="487"/>
        <v>11</v>
      </c>
      <c r="D10475" s="136">
        <f t="shared" si="489"/>
        <v>46</v>
      </c>
      <c r="E10475" s="136">
        <f t="shared" si="488"/>
        <v>11</v>
      </c>
      <c r="F10475" s="137" t="s">
        <v>24</v>
      </c>
      <c r="G10475" s="128" t="str">
        <f>VLOOKUP(source[[#This Row],[lending_product_transform]],[3]Mapping!$B$4:$C$37,2,0)</f>
        <v>[Cake] - Cashloan</v>
      </c>
      <c r="H10475" s="128" t="str">
        <f>VLOOKUP(source[[#This Row],[lending_product_transform]],[3]Mapping!$B$3:$D$37,3,0)</f>
        <v>cashloan</v>
      </c>
      <c r="I10475" s="143">
        <v>10999260000</v>
      </c>
    </row>
    <row r="10476" spans="1:9" x14ac:dyDescent="0.2">
      <c r="A10476" s="134">
        <v>45972</v>
      </c>
      <c r="B10476" s="135">
        <f>YEAR(source[[#This Row],[report_date]])</f>
        <v>2025</v>
      </c>
      <c r="C10476" s="128">
        <f t="shared" si="487"/>
        <v>11</v>
      </c>
      <c r="D10476" s="136">
        <f t="shared" si="489"/>
        <v>46</v>
      </c>
      <c r="E10476" s="136">
        <f t="shared" si="488"/>
        <v>11</v>
      </c>
      <c r="F10476" s="137" t="s">
        <v>24</v>
      </c>
      <c r="G10476" s="128" t="str">
        <f>VLOOKUP(source[[#This Row],[lending_product_transform]],[3]Mapping!$B$4:$C$37,2,0)</f>
        <v>[Cake] - Cashloan</v>
      </c>
      <c r="H10476" s="128" t="str">
        <f>VLOOKUP(source[[#This Row],[lending_product_transform]],[3]Mapping!$B$3:$D$37,3,0)</f>
        <v>cashloan</v>
      </c>
      <c r="I10476" s="143">
        <v>265259096</v>
      </c>
    </row>
    <row r="10477" spans="1:9" x14ac:dyDescent="0.2">
      <c r="A10477" s="134">
        <v>45972</v>
      </c>
      <c r="B10477" s="135">
        <f>YEAR(source[[#This Row],[report_date]])</f>
        <v>2025</v>
      </c>
      <c r="C10477" s="128">
        <f t="shared" si="487"/>
        <v>11</v>
      </c>
      <c r="D10477" s="136">
        <f t="shared" si="489"/>
        <v>46</v>
      </c>
      <c r="E10477" s="136">
        <f t="shared" si="488"/>
        <v>11</v>
      </c>
      <c r="F10477" s="137" t="s">
        <v>24</v>
      </c>
      <c r="G10477" s="128" t="str">
        <f>VLOOKUP(source[[#This Row],[lending_product_transform]],[3]Mapping!$B$4:$C$37,2,0)</f>
        <v>[Cake] - Cashloan</v>
      </c>
      <c r="H10477" s="128" t="str">
        <f>VLOOKUP(source[[#This Row],[lending_product_transform]],[3]Mapping!$B$3:$D$37,3,0)</f>
        <v>cashloan</v>
      </c>
      <c r="I10477" s="143">
        <v>31500000</v>
      </c>
    </row>
    <row r="10478" spans="1:9" x14ac:dyDescent="0.2">
      <c r="A10478" s="134">
        <v>45972</v>
      </c>
      <c r="B10478" s="135">
        <f>YEAR(source[[#This Row],[report_date]])</f>
        <v>2025</v>
      </c>
      <c r="C10478" s="128">
        <f t="shared" si="487"/>
        <v>11</v>
      </c>
      <c r="D10478" s="136">
        <f t="shared" si="489"/>
        <v>46</v>
      </c>
      <c r="E10478" s="136">
        <f t="shared" si="488"/>
        <v>11</v>
      </c>
      <c r="F10478" s="137" t="s">
        <v>24</v>
      </c>
      <c r="G10478" s="128" t="str">
        <f>VLOOKUP(source[[#This Row],[lending_product_transform]],[3]Mapping!$B$4:$C$37,2,0)</f>
        <v>[Cake] - Cashloan</v>
      </c>
      <c r="H10478" s="128" t="str">
        <f>VLOOKUP(source[[#This Row],[lending_product_transform]],[3]Mapping!$B$3:$D$37,3,0)</f>
        <v>cashloan</v>
      </c>
      <c r="I10478" s="143">
        <v>48000000</v>
      </c>
    </row>
    <row r="10479" spans="1:9" x14ac:dyDescent="0.2">
      <c r="A10479" s="134">
        <v>45972</v>
      </c>
      <c r="B10479" s="135">
        <f>YEAR(source[[#This Row],[report_date]])</f>
        <v>2025</v>
      </c>
      <c r="C10479" s="128">
        <f t="shared" si="487"/>
        <v>11</v>
      </c>
      <c r="D10479" s="136">
        <f t="shared" si="489"/>
        <v>46</v>
      </c>
      <c r="E10479" s="136">
        <f t="shared" si="488"/>
        <v>11</v>
      </c>
      <c r="F10479" s="137" t="s">
        <v>24</v>
      </c>
      <c r="G10479" s="128" t="str">
        <f>VLOOKUP(source[[#This Row],[lending_product_transform]],[3]Mapping!$B$4:$C$37,2,0)</f>
        <v>[Cake] - Cashloan</v>
      </c>
      <c r="H10479" s="128" t="str">
        <f>VLOOKUP(source[[#This Row],[lending_product_transform]],[3]Mapping!$B$3:$D$37,3,0)</f>
        <v>cashloan</v>
      </c>
      <c r="I10479" s="143">
        <v>695600000</v>
      </c>
    </row>
    <row r="10480" spans="1:9" x14ac:dyDescent="0.2">
      <c r="A10480" s="134">
        <v>45972</v>
      </c>
      <c r="B10480" s="135">
        <f>YEAR(source[[#This Row],[report_date]])</f>
        <v>2025</v>
      </c>
      <c r="C10480" s="128">
        <f t="shared" si="487"/>
        <v>11</v>
      </c>
      <c r="D10480" s="136">
        <f t="shared" si="489"/>
        <v>46</v>
      </c>
      <c r="E10480" s="136">
        <f t="shared" si="488"/>
        <v>11</v>
      </c>
      <c r="F10480" s="137" t="s">
        <v>24</v>
      </c>
      <c r="G10480" s="128" t="str">
        <f>VLOOKUP(source[[#This Row],[lending_product_transform]],[3]Mapping!$B$4:$C$37,2,0)</f>
        <v>[Cake] - Cashloan</v>
      </c>
      <c r="H10480" s="128" t="str">
        <f>VLOOKUP(source[[#This Row],[lending_product_transform]],[3]Mapping!$B$3:$D$37,3,0)</f>
        <v>cashloan</v>
      </c>
      <c r="I10480" s="143">
        <v>180576000</v>
      </c>
    </row>
    <row r="10481" spans="1:9" x14ac:dyDescent="0.2">
      <c r="A10481" s="134">
        <v>45972</v>
      </c>
      <c r="B10481" s="135">
        <f>YEAR(source[[#This Row],[report_date]])</f>
        <v>2025</v>
      </c>
      <c r="C10481" s="128">
        <f t="shared" si="487"/>
        <v>11</v>
      </c>
      <c r="D10481" s="136">
        <f t="shared" si="489"/>
        <v>46</v>
      </c>
      <c r="E10481" s="136">
        <f t="shared" si="488"/>
        <v>11</v>
      </c>
      <c r="F10481" s="137" t="s">
        <v>24</v>
      </c>
      <c r="G10481" s="128" t="str">
        <f>VLOOKUP(source[[#This Row],[lending_product_transform]],[3]Mapping!$B$4:$C$37,2,0)</f>
        <v>[Cake] - Cashloan</v>
      </c>
      <c r="H10481" s="128" t="str">
        <f>VLOOKUP(source[[#This Row],[lending_product_transform]],[3]Mapping!$B$3:$D$37,3,0)</f>
        <v>cashloan</v>
      </c>
      <c r="I10481" s="143">
        <v>352434837</v>
      </c>
    </row>
    <row r="10482" spans="1:9" x14ac:dyDescent="0.2">
      <c r="A10482" s="134">
        <v>45972</v>
      </c>
      <c r="B10482" s="135">
        <f>YEAR(source[[#This Row],[report_date]])</f>
        <v>2025</v>
      </c>
      <c r="C10482" s="128">
        <f t="shared" si="487"/>
        <v>11</v>
      </c>
      <c r="D10482" s="136">
        <f t="shared" si="489"/>
        <v>46</v>
      </c>
      <c r="E10482" s="136">
        <f t="shared" si="488"/>
        <v>11</v>
      </c>
      <c r="F10482" s="137" t="s">
        <v>24</v>
      </c>
      <c r="G10482" s="128" t="str">
        <f>VLOOKUP(source[[#This Row],[lending_product_transform]],[3]Mapping!$B$4:$C$37,2,0)</f>
        <v>[Cake] - Cashloan</v>
      </c>
      <c r="H10482" s="128" t="str">
        <f>VLOOKUP(source[[#This Row],[lending_product_transform]],[3]Mapping!$B$3:$D$37,3,0)</f>
        <v>cashloan</v>
      </c>
      <c r="I10482" s="143">
        <v>2949790000</v>
      </c>
    </row>
    <row r="10483" spans="1:9" x14ac:dyDescent="0.2">
      <c r="A10483" s="134">
        <v>45973</v>
      </c>
      <c r="B10483" s="135">
        <f>YEAR(source[[#This Row],[report_date]])</f>
        <v>2025</v>
      </c>
      <c r="C10483" s="128">
        <f t="shared" si="487"/>
        <v>11</v>
      </c>
      <c r="D10483" s="136">
        <f t="shared" si="489"/>
        <v>46</v>
      </c>
      <c r="E10483" s="136">
        <f t="shared" si="488"/>
        <v>12</v>
      </c>
      <c r="F10483" s="137" t="s">
        <v>24</v>
      </c>
      <c r="G10483" s="128" t="str">
        <f>VLOOKUP(source[[#This Row],[lending_product_transform]],[3]Mapping!$B$4:$C$37,2,0)</f>
        <v>[Cake] - Cashloan</v>
      </c>
      <c r="H10483" s="128" t="str">
        <f>VLOOKUP(source[[#This Row],[lending_product_transform]],[3]Mapping!$B$3:$D$37,3,0)</f>
        <v>cashloan</v>
      </c>
      <c r="I10483" s="143">
        <v>113450000</v>
      </c>
    </row>
    <row r="10484" spans="1:9" x14ac:dyDescent="0.2">
      <c r="A10484" s="134">
        <v>45973</v>
      </c>
      <c r="B10484" s="135">
        <f>YEAR(source[[#This Row],[report_date]])</f>
        <v>2025</v>
      </c>
      <c r="C10484" s="128">
        <f t="shared" si="487"/>
        <v>11</v>
      </c>
      <c r="D10484" s="136">
        <f t="shared" si="489"/>
        <v>46</v>
      </c>
      <c r="E10484" s="136">
        <f t="shared" si="488"/>
        <v>12</v>
      </c>
      <c r="F10484" s="137" t="s">
        <v>24</v>
      </c>
      <c r="G10484" s="128" t="str">
        <f>VLOOKUP(source[[#This Row],[lending_product_transform]],[3]Mapping!$B$4:$C$37,2,0)</f>
        <v>[Cake] - Cashloan</v>
      </c>
      <c r="H10484" s="128" t="str">
        <f>VLOOKUP(source[[#This Row],[lending_product_transform]],[3]Mapping!$B$3:$D$37,3,0)</f>
        <v>cashloan</v>
      </c>
      <c r="I10484" s="143">
        <v>281966645</v>
      </c>
    </row>
    <row r="10485" spans="1:9" x14ac:dyDescent="0.2">
      <c r="A10485" s="134">
        <v>45973</v>
      </c>
      <c r="B10485" s="135">
        <f>YEAR(source[[#This Row],[report_date]])</f>
        <v>2025</v>
      </c>
      <c r="C10485" s="128">
        <f t="shared" si="487"/>
        <v>11</v>
      </c>
      <c r="D10485" s="136">
        <f t="shared" si="489"/>
        <v>46</v>
      </c>
      <c r="E10485" s="136">
        <f t="shared" si="488"/>
        <v>12</v>
      </c>
      <c r="F10485" s="137" t="s">
        <v>24</v>
      </c>
      <c r="G10485" s="128" t="str">
        <f>VLOOKUP(source[[#This Row],[lending_product_transform]],[3]Mapping!$B$4:$C$37,2,0)</f>
        <v>[Cake] - Cashloan</v>
      </c>
      <c r="H10485" s="128" t="str">
        <f>VLOOKUP(source[[#This Row],[lending_product_transform]],[3]Mapping!$B$3:$D$37,3,0)</f>
        <v>cashloan</v>
      </c>
      <c r="I10485" s="143">
        <v>17002780000</v>
      </c>
    </row>
    <row r="10486" spans="1:9" x14ac:dyDescent="0.2">
      <c r="A10486" s="134">
        <v>45973</v>
      </c>
      <c r="B10486" s="135">
        <f>YEAR(source[[#This Row],[report_date]])</f>
        <v>2025</v>
      </c>
      <c r="C10486" s="128">
        <f t="shared" ref="C10486:C10549" si="490">MONTH(A10486)</f>
        <v>11</v>
      </c>
      <c r="D10486" s="136">
        <f t="shared" si="489"/>
        <v>46</v>
      </c>
      <c r="E10486" s="136">
        <f t="shared" ref="E10486:E10549" si="491">DAY(A10486)</f>
        <v>12</v>
      </c>
      <c r="F10486" s="137" t="s">
        <v>24</v>
      </c>
      <c r="G10486" s="128" t="str">
        <f>VLOOKUP(source[[#This Row],[lending_product_transform]],[3]Mapping!$B$4:$C$37,2,0)</f>
        <v>[Cake] - Cashloan</v>
      </c>
      <c r="H10486" s="128" t="str">
        <f>VLOOKUP(source[[#This Row],[lending_product_transform]],[3]Mapping!$B$3:$D$37,3,0)</f>
        <v>cashloan</v>
      </c>
      <c r="I10486" s="143">
        <v>2423618367</v>
      </c>
    </row>
    <row r="10487" spans="1:9" x14ac:dyDescent="0.2">
      <c r="A10487" s="134">
        <v>45973</v>
      </c>
      <c r="B10487" s="135">
        <f>YEAR(source[[#This Row],[report_date]])</f>
        <v>2025</v>
      </c>
      <c r="C10487" s="128">
        <f t="shared" si="490"/>
        <v>11</v>
      </c>
      <c r="D10487" s="136">
        <f t="shared" si="489"/>
        <v>46</v>
      </c>
      <c r="E10487" s="136">
        <f t="shared" si="491"/>
        <v>12</v>
      </c>
      <c r="F10487" s="137" t="s">
        <v>24</v>
      </c>
      <c r="G10487" s="128" t="str">
        <f>VLOOKUP(source[[#This Row],[lending_product_transform]],[3]Mapping!$B$4:$C$37,2,0)</f>
        <v>[Cake] - Cashloan</v>
      </c>
      <c r="H10487" s="128" t="str">
        <f>VLOOKUP(source[[#This Row],[lending_product_transform]],[3]Mapping!$B$3:$D$37,3,0)</f>
        <v>cashloan</v>
      </c>
      <c r="I10487" s="143">
        <v>8769060000</v>
      </c>
    </row>
    <row r="10488" spans="1:9" x14ac:dyDescent="0.2">
      <c r="A10488" s="134">
        <v>45973</v>
      </c>
      <c r="B10488" s="135">
        <f>YEAR(source[[#This Row],[report_date]])</f>
        <v>2025</v>
      </c>
      <c r="C10488" s="128">
        <f t="shared" si="490"/>
        <v>11</v>
      </c>
      <c r="D10488" s="136">
        <f t="shared" si="489"/>
        <v>46</v>
      </c>
      <c r="E10488" s="136">
        <f t="shared" si="491"/>
        <v>12</v>
      </c>
      <c r="F10488" s="137" t="s">
        <v>24</v>
      </c>
      <c r="G10488" s="128" t="str">
        <f>VLOOKUP(source[[#This Row],[lending_product_transform]],[3]Mapping!$B$4:$C$37,2,0)</f>
        <v>[Cake] - Cashloan</v>
      </c>
      <c r="H10488" s="128" t="str">
        <f>VLOOKUP(source[[#This Row],[lending_product_transform]],[3]Mapping!$B$3:$D$37,3,0)</f>
        <v>cashloan</v>
      </c>
      <c r="I10488" s="143">
        <v>7209186</v>
      </c>
    </row>
    <row r="10489" spans="1:9" x14ac:dyDescent="0.2">
      <c r="A10489" s="134">
        <v>45973</v>
      </c>
      <c r="B10489" s="135">
        <f>YEAR(source[[#This Row],[report_date]])</f>
        <v>2025</v>
      </c>
      <c r="C10489" s="128">
        <f t="shared" si="490"/>
        <v>11</v>
      </c>
      <c r="D10489" s="136">
        <f t="shared" si="489"/>
        <v>46</v>
      </c>
      <c r="E10489" s="136">
        <f t="shared" si="491"/>
        <v>12</v>
      </c>
      <c r="F10489" s="137" t="s">
        <v>24</v>
      </c>
      <c r="G10489" s="128" t="str">
        <f>VLOOKUP(source[[#This Row],[lending_product_transform]],[3]Mapping!$B$4:$C$37,2,0)</f>
        <v>[Cake] - Cashloan</v>
      </c>
      <c r="H10489" s="128" t="str">
        <f>VLOOKUP(source[[#This Row],[lending_product_transform]],[3]Mapping!$B$3:$D$37,3,0)</f>
        <v>cashloan</v>
      </c>
      <c r="I10489" s="143">
        <v>4506410000</v>
      </c>
    </row>
    <row r="10490" spans="1:9" x14ac:dyDescent="0.2">
      <c r="A10490" s="134">
        <v>45973</v>
      </c>
      <c r="B10490" s="135">
        <f>YEAR(source[[#This Row],[report_date]])</f>
        <v>2025</v>
      </c>
      <c r="C10490" s="128">
        <f t="shared" si="490"/>
        <v>11</v>
      </c>
      <c r="D10490" s="136">
        <f t="shared" si="489"/>
        <v>46</v>
      </c>
      <c r="E10490" s="136">
        <f t="shared" si="491"/>
        <v>12</v>
      </c>
      <c r="F10490" s="137" t="s">
        <v>24</v>
      </c>
      <c r="G10490" s="128" t="str">
        <f>VLOOKUP(source[[#This Row],[lending_product_transform]],[3]Mapping!$B$4:$C$37,2,0)</f>
        <v>[Cake] - Cashloan</v>
      </c>
      <c r="H10490" s="128" t="str">
        <f>VLOOKUP(source[[#This Row],[lending_product_transform]],[3]Mapping!$B$3:$D$37,3,0)</f>
        <v>cashloan</v>
      </c>
      <c r="I10490" s="143">
        <v>3830570</v>
      </c>
    </row>
    <row r="10491" spans="1:9" x14ac:dyDescent="0.2">
      <c r="A10491" s="134">
        <v>45973</v>
      </c>
      <c r="B10491" s="135">
        <f>YEAR(source[[#This Row],[report_date]])</f>
        <v>2025</v>
      </c>
      <c r="C10491" s="128">
        <f t="shared" si="490"/>
        <v>11</v>
      </c>
      <c r="D10491" s="136">
        <f t="shared" si="489"/>
        <v>46</v>
      </c>
      <c r="E10491" s="136">
        <f t="shared" si="491"/>
        <v>12</v>
      </c>
      <c r="F10491" s="137" t="s">
        <v>24</v>
      </c>
      <c r="G10491" s="128" t="str">
        <f>VLOOKUP(source[[#This Row],[lending_product_transform]],[3]Mapping!$B$4:$C$37,2,0)</f>
        <v>[Cake] - Cashloan</v>
      </c>
      <c r="H10491" s="128" t="str">
        <f>VLOOKUP(source[[#This Row],[lending_product_transform]],[3]Mapping!$B$3:$D$37,3,0)</f>
        <v>cashloan</v>
      </c>
      <c r="I10491" s="143">
        <v>877926778</v>
      </c>
    </row>
    <row r="10492" spans="1:9" x14ac:dyDescent="0.2">
      <c r="A10492" s="134">
        <v>45973</v>
      </c>
      <c r="B10492" s="135">
        <f>YEAR(source[[#This Row],[report_date]])</f>
        <v>2025</v>
      </c>
      <c r="C10492" s="128">
        <f t="shared" si="490"/>
        <v>11</v>
      </c>
      <c r="D10492" s="136">
        <f t="shared" si="489"/>
        <v>46</v>
      </c>
      <c r="E10492" s="136">
        <f t="shared" si="491"/>
        <v>12</v>
      </c>
      <c r="F10492" s="137" t="s">
        <v>24</v>
      </c>
      <c r="G10492" s="128" t="str">
        <f>VLOOKUP(source[[#This Row],[lending_product_transform]],[3]Mapping!$B$4:$C$37,2,0)</f>
        <v>[Cake] - Cashloan</v>
      </c>
      <c r="H10492" s="128" t="str">
        <f>VLOOKUP(source[[#This Row],[lending_product_transform]],[3]Mapping!$B$3:$D$37,3,0)</f>
        <v>cashloan</v>
      </c>
      <c r="I10492" s="143">
        <v>0</v>
      </c>
    </row>
    <row r="10493" spans="1:9" x14ac:dyDescent="0.2">
      <c r="A10493" s="134">
        <v>45973</v>
      </c>
      <c r="B10493" s="135">
        <f>YEAR(source[[#This Row],[report_date]])</f>
        <v>2025</v>
      </c>
      <c r="C10493" s="128">
        <f t="shared" si="490"/>
        <v>11</v>
      </c>
      <c r="D10493" s="136">
        <f t="shared" si="489"/>
        <v>46</v>
      </c>
      <c r="E10493" s="136">
        <f t="shared" si="491"/>
        <v>12</v>
      </c>
      <c r="F10493" s="137" t="s">
        <v>24</v>
      </c>
      <c r="G10493" s="128" t="str">
        <f>VLOOKUP(source[[#This Row],[lending_product_transform]],[3]Mapping!$B$4:$C$37,2,0)</f>
        <v>[Cake] - Cashloan</v>
      </c>
      <c r="H10493" s="128" t="str">
        <f>VLOOKUP(source[[#This Row],[lending_product_transform]],[3]Mapping!$B$3:$D$37,3,0)</f>
        <v>cashloan</v>
      </c>
      <c r="I10493" s="143">
        <v>446500000</v>
      </c>
    </row>
    <row r="10494" spans="1:9" x14ac:dyDescent="0.2">
      <c r="A10494" s="134">
        <v>45973</v>
      </c>
      <c r="B10494" s="135">
        <f>YEAR(source[[#This Row],[report_date]])</f>
        <v>2025</v>
      </c>
      <c r="C10494" s="128">
        <f t="shared" si="490"/>
        <v>11</v>
      </c>
      <c r="D10494" s="136">
        <f t="shared" si="489"/>
        <v>46</v>
      </c>
      <c r="E10494" s="136">
        <f t="shared" si="491"/>
        <v>12</v>
      </c>
      <c r="F10494" s="137" t="s">
        <v>24</v>
      </c>
      <c r="G10494" s="128" t="str">
        <f>VLOOKUP(source[[#This Row],[lending_product_transform]],[3]Mapping!$B$4:$C$37,2,0)</f>
        <v>[Cake] - Cashloan</v>
      </c>
      <c r="H10494" s="128" t="str">
        <f>VLOOKUP(source[[#This Row],[lending_product_transform]],[3]Mapping!$B$3:$D$37,3,0)</f>
        <v>cashloan</v>
      </c>
      <c r="I10494" s="143">
        <v>19372970000</v>
      </c>
    </row>
    <row r="10495" spans="1:9" x14ac:dyDescent="0.2">
      <c r="A10495" s="134">
        <v>45973</v>
      </c>
      <c r="B10495" s="135">
        <f>YEAR(source[[#This Row],[report_date]])</f>
        <v>2025</v>
      </c>
      <c r="C10495" s="128">
        <f t="shared" si="490"/>
        <v>11</v>
      </c>
      <c r="D10495" s="136">
        <f t="shared" si="489"/>
        <v>46</v>
      </c>
      <c r="E10495" s="136">
        <f t="shared" si="491"/>
        <v>12</v>
      </c>
      <c r="F10495" s="137" t="s">
        <v>24</v>
      </c>
      <c r="G10495" s="128" t="str">
        <f>VLOOKUP(source[[#This Row],[lending_product_transform]],[3]Mapping!$B$4:$C$37,2,0)</f>
        <v>[Cake] - Cashloan</v>
      </c>
      <c r="H10495" s="128" t="str">
        <f>VLOOKUP(source[[#This Row],[lending_product_transform]],[3]Mapping!$B$3:$D$37,3,0)</f>
        <v>cashloan</v>
      </c>
      <c r="I10495" s="143">
        <v>0</v>
      </c>
    </row>
    <row r="10496" spans="1:9" x14ac:dyDescent="0.2">
      <c r="A10496" s="134">
        <v>45973</v>
      </c>
      <c r="B10496" s="135">
        <f>YEAR(source[[#This Row],[report_date]])</f>
        <v>2025</v>
      </c>
      <c r="C10496" s="128">
        <f t="shared" si="490"/>
        <v>11</v>
      </c>
      <c r="D10496" s="136">
        <f t="shared" si="489"/>
        <v>46</v>
      </c>
      <c r="E10496" s="136">
        <f t="shared" si="491"/>
        <v>12</v>
      </c>
      <c r="F10496" s="137" t="s">
        <v>24</v>
      </c>
      <c r="G10496" s="128" t="str">
        <f>VLOOKUP(source[[#This Row],[lending_product_transform]],[3]Mapping!$B$4:$C$37,2,0)</f>
        <v>[Cake] - Cashloan</v>
      </c>
      <c r="H10496" s="128" t="str">
        <f>VLOOKUP(source[[#This Row],[lending_product_transform]],[3]Mapping!$B$3:$D$37,3,0)</f>
        <v>cashloan</v>
      </c>
      <c r="I10496" s="143">
        <v>0</v>
      </c>
    </row>
    <row r="10497" spans="1:9" x14ac:dyDescent="0.2">
      <c r="A10497" s="134">
        <v>45973</v>
      </c>
      <c r="B10497" s="135">
        <f>YEAR(source[[#This Row],[report_date]])</f>
        <v>2025</v>
      </c>
      <c r="C10497" s="128">
        <f t="shared" si="490"/>
        <v>11</v>
      </c>
      <c r="D10497" s="136">
        <f t="shared" si="489"/>
        <v>46</v>
      </c>
      <c r="E10497" s="136">
        <f t="shared" si="491"/>
        <v>12</v>
      </c>
      <c r="F10497" s="137" t="s">
        <v>24</v>
      </c>
      <c r="G10497" s="128" t="str">
        <f>VLOOKUP(source[[#This Row],[lending_product_transform]],[3]Mapping!$B$4:$C$37,2,0)</f>
        <v>[Cake] - Cashloan</v>
      </c>
      <c r="H10497" s="128" t="str">
        <f>VLOOKUP(source[[#This Row],[lending_product_transform]],[3]Mapping!$B$3:$D$37,3,0)</f>
        <v>cashloan</v>
      </c>
      <c r="I10497" s="143">
        <v>0</v>
      </c>
    </row>
    <row r="10498" spans="1:9" x14ac:dyDescent="0.2">
      <c r="A10498" s="134">
        <v>45973</v>
      </c>
      <c r="B10498" s="135">
        <f>YEAR(source[[#This Row],[report_date]])</f>
        <v>2025</v>
      </c>
      <c r="C10498" s="128">
        <f t="shared" si="490"/>
        <v>11</v>
      </c>
      <c r="D10498" s="136">
        <f t="shared" si="489"/>
        <v>46</v>
      </c>
      <c r="E10498" s="136">
        <f t="shared" si="491"/>
        <v>12</v>
      </c>
      <c r="F10498" s="137" t="s">
        <v>24</v>
      </c>
      <c r="G10498" s="128" t="str">
        <f>VLOOKUP(source[[#This Row],[lending_product_transform]],[3]Mapping!$B$4:$C$37,2,0)</f>
        <v>[Cake] - Cashloan</v>
      </c>
      <c r="H10498" s="128" t="str">
        <f>VLOOKUP(source[[#This Row],[lending_product_transform]],[3]Mapping!$B$3:$D$37,3,0)</f>
        <v>cashloan</v>
      </c>
      <c r="I10498" s="143">
        <v>12840000</v>
      </c>
    </row>
    <row r="10499" spans="1:9" x14ac:dyDescent="0.2">
      <c r="A10499" s="134">
        <v>45973</v>
      </c>
      <c r="B10499" s="135">
        <f>YEAR(source[[#This Row],[report_date]])</f>
        <v>2025</v>
      </c>
      <c r="C10499" s="128">
        <f t="shared" si="490"/>
        <v>11</v>
      </c>
      <c r="D10499" s="136">
        <f t="shared" ref="D10499:D10562" si="492">WEEKNUM(A10499,2)</f>
        <v>46</v>
      </c>
      <c r="E10499" s="136">
        <f t="shared" si="491"/>
        <v>12</v>
      </c>
      <c r="F10499" s="137" t="s">
        <v>24</v>
      </c>
      <c r="G10499" s="128" t="str">
        <f>VLOOKUP(source[[#This Row],[lending_product_transform]],[3]Mapping!$B$4:$C$37,2,0)</f>
        <v>[Cake] - Cashloan</v>
      </c>
      <c r="H10499" s="128" t="str">
        <f>VLOOKUP(source[[#This Row],[lending_product_transform]],[3]Mapping!$B$3:$D$37,3,0)</f>
        <v>cashloan</v>
      </c>
      <c r="I10499" s="143">
        <v>9981036000</v>
      </c>
    </row>
    <row r="10500" spans="1:9" x14ac:dyDescent="0.2">
      <c r="A10500" s="134">
        <v>45973</v>
      </c>
      <c r="B10500" s="135">
        <f>YEAR(source[[#This Row],[report_date]])</f>
        <v>2025</v>
      </c>
      <c r="C10500" s="128">
        <f t="shared" si="490"/>
        <v>11</v>
      </c>
      <c r="D10500" s="136">
        <f t="shared" si="492"/>
        <v>46</v>
      </c>
      <c r="E10500" s="136">
        <f t="shared" si="491"/>
        <v>12</v>
      </c>
      <c r="F10500" s="137" t="s">
        <v>24</v>
      </c>
      <c r="G10500" s="128" t="str">
        <f>VLOOKUP(source[[#This Row],[lending_product_transform]],[3]Mapping!$B$4:$C$37,2,0)</f>
        <v>[Cake] - Cashloan</v>
      </c>
      <c r="H10500" s="128" t="str">
        <f>VLOOKUP(source[[#This Row],[lending_product_transform]],[3]Mapping!$B$3:$D$37,3,0)</f>
        <v>cashloan</v>
      </c>
      <c r="I10500" s="143">
        <v>198461617</v>
      </c>
    </row>
    <row r="10501" spans="1:9" x14ac:dyDescent="0.2">
      <c r="A10501" s="134">
        <v>45973</v>
      </c>
      <c r="B10501" s="135">
        <f>YEAR(source[[#This Row],[report_date]])</f>
        <v>2025</v>
      </c>
      <c r="C10501" s="128">
        <f t="shared" si="490"/>
        <v>11</v>
      </c>
      <c r="D10501" s="136">
        <f t="shared" si="492"/>
        <v>46</v>
      </c>
      <c r="E10501" s="136">
        <f t="shared" si="491"/>
        <v>12</v>
      </c>
      <c r="F10501" s="137" t="s">
        <v>24</v>
      </c>
      <c r="G10501" s="128" t="str">
        <f>VLOOKUP(source[[#This Row],[lending_product_transform]],[3]Mapping!$B$4:$C$37,2,0)</f>
        <v>[Cake] - Cashloan</v>
      </c>
      <c r="H10501" s="128" t="str">
        <f>VLOOKUP(source[[#This Row],[lending_product_transform]],[3]Mapping!$B$3:$D$37,3,0)</f>
        <v>cashloan</v>
      </c>
      <c r="I10501" s="143">
        <v>44100000</v>
      </c>
    </row>
    <row r="10502" spans="1:9" x14ac:dyDescent="0.2">
      <c r="A10502" s="134">
        <v>45973</v>
      </c>
      <c r="B10502" s="135">
        <f>YEAR(source[[#This Row],[report_date]])</f>
        <v>2025</v>
      </c>
      <c r="C10502" s="128">
        <f t="shared" si="490"/>
        <v>11</v>
      </c>
      <c r="D10502" s="136">
        <f t="shared" si="492"/>
        <v>46</v>
      </c>
      <c r="E10502" s="136">
        <f t="shared" si="491"/>
        <v>12</v>
      </c>
      <c r="F10502" s="137" t="s">
        <v>24</v>
      </c>
      <c r="G10502" s="128" t="str">
        <f>VLOOKUP(source[[#This Row],[lending_product_transform]],[3]Mapping!$B$4:$C$37,2,0)</f>
        <v>[Cake] - Cashloan</v>
      </c>
      <c r="H10502" s="128" t="str">
        <f>VLOOKUP(source[[#This Row],[lending_product_transform]],[3]Mapping!$B$3:$D$37,3,0)</f>
        <v>cashloan</v>
      </c>
      <c r="I10502" s="143">
        <v>28000000</v>
      </c>
    </row>
    <row r="10503" spans="1:9" x14ac:dyDescent="0.2">
      <c r="A10503" s="134">
        <v>45973</v>
      </c>
      <c r="B10503" s="135">
        <f>YEAR(source[[#This Row],[report_date]])</f>
        <v>2025</v>
      </c>
      <c r="C10503" s="128">
        <f t="shared" si="490"/>
        <v>11</v>
      </c>
      <c r="D10503" s="136">
        <f t="shared" si="492"/>
        <v>46</v>
      </c>
      <c r="E10503" s="136">
        <f t="shared" si="491"/>
        <v>12</v>
      </c>
      <c r="F10503" s="137" t="s">
        <v>24</v>
      </c>
      <c r="G10503" s="128" t="str">
        <f>VLOOKUP(source[[#This Row],[lending_product_transform]],[3]Mapping!$B$4:$C$37,2,0)</f>
        <v>[Cake] - Cashloan</v>
      </c>
      <c r="H10503" s="128" t="str">
        <f>VLOOKUP(source[[#This Row],[lending_product_transform]],[3]Mapping!$B$3:$D$37,3,0)</f>
        <v>cashloan</v>
      </c>
      <c r="I10503" s="143">
        <v>645260000</v>
      </c>
    </row>
    <row r="10504" spans="1:9" x14ac:dyDescent="0.2">
      <c r="A10504" s="134">
        <v>45973</v>
      </c>
      <c r="B10504" s="135">
        <f>YEAR(source[[#This Row],[report_date]])</f>
        <v>2025</v>
      </c>
      <c r="C10504" s="128">
        <f t="shared" si="490"/>
        <v>11</v>
      </c>
      <c r="D10504" s="136">
        <f t="shared" si="492"/>
        <v>46</v>
      </c>
      <c r="E10504" s="136">
        <f t="shared" si="491"/>
        <v>12</v>
      </c>
      <c r="F10504" s="137" t="s">
        <v>24</v>
      </c>
      <c r="G10504" s="128" t="str">
        <f>VLOOKUP(source[[#This Row],[lending_product_transform]],[3]Mapping!$B$4:$C$37,2,0)</f>
        <v>[Cake] - Cashloan</v>
      </c>
      <c r="H10504" s="128" t="str">
        <f>VLOOKUP(source[[#This Row],[lending_product_transform]],[3]Mapping!$B$3:$D$37,3,0)</f>
        <v>cashloan</v>
      </c>
      <c r="I10504" s="143">
        <v>143424000</v>
      </c>
    </row>
    <row r="10505" spans="1:9" x14ac:dyDescent="0.2">
      <c r="A10505" s="134">
        <v>45973</v>
      </c>
      <c r="B10505" s="135">
        <f>YEAR(source[[#This Row],[report_date]])</f>
        <v>2025</v>
      </c>
      <c r="C10505" s="128">
        <f t="shared" si="490"/>
        <v>11</v>
      </c>
      <c r="D10505" s="136">
        <f t="shared" si="492"/>
        <v>46</v>
      </c>
      <c r="E10505" s="136">
        <f t="shared" si="491"/>
        <v>12</v>
      </c>
      <c r="F10505" s="137" t="s">
        <v>24</v>
      </c>
      <c r="G10505" s="128" t="str">
        <f>VLOOKUP(source[[#This Row],[lending_product_transform]],[3]Mapping!$B$4:$C$37,2,0)</f>
        <v>[Cake] - Cashloan</v>
      </c>
      <c r="H10505" s="128" t="str">
        <f>VLOOKUP(source[[#This Row],[lending_product_transform]],[3]Mapping!$B$3:$D$37,3,0)</f>
        <v>cashloan</v>
      </c>
      <c r="I10505" s="143">
        <v>386367857</v>
      </c>
    </row>
    <row r="10506" spans="1:9" x14ac:dyDescent="0.2">
      <c r="A10506" s="134">
        <v>45973</v>
      </c>
      <c r="B10506" s="135">
        <f>YEAR(source[[#This Row],[report_date]])</f>
        <v>2025</v>
      </c>
      <c r="C10506" s="128">
        <f t="shared" si="490"/>
        <v>11</v>
      </c>
      <c r="D10506" s="136">
        <f t="shared" si="492"/>
        <v>46</v>
      </c>
      <c r="E10506" s="136">
        <f t="shared" si="491"/>
        <v>12</v>
      </c>
      <c r="F10506" s="137" t="s">
        <v>24</v>
      </c>
      <c r="G10506" s="128" t="str">
        <f>VLOOKUP(source[[#This Row],[lending_product_transform]],[3]Mapping!$B$4:$C$37,2,0)</f>
        <v>[Cake] - Cashloan</v>
      </c>
      <c r="H10506" s="128" t="str">
        <f>VLOOKUP(source[[#This Row],[lending_product_transform]],[3]Mapping!$B$3:$D$37,3,0)</f>
        <v>cashloan</v>
      </c>
      <c r="I10506" s="143">
        <v>3825560000</v>
      </c>
    </row>
    <row r="10507" spans="1:9" x14ac:dyDescent="0.2">
      <c r="A10507" s="134">
        <v>45974</v>
      </c>
      <c r="B10507" s="135">
        <f>YEAR(source[[#This Row],[report_date]])</f>
        <v>2025</v>
      </c>
      <c r="C10507" s="128">
        <f t="shared" si="490"/>
        <v>11</v>
      </c>
      <c r="D10507" s="136">
        <f t="shared" si="492"/>
        <v>46</v>
      </c>
      <c r="E10507" s="136">
        <f t="shared" si="491"/>
        <v>13</v>
      </c>
      <c r="F10507" s="137" t="s">
        <v>24</v>
      </c>
      <c r="G10507" s="128" t="str">
        <f>VLOOKUP(source[[#This Row],[lending_product_transform]],[3]Mapping!$B$4:$C$37,2,0)</f>
        <v>[Cake] - Cashloan</v>
      </c>
      <c r="H10507" s="128" t="str">
        <f>VLOOKUP(source[[#This Row],[lending_product_transform]],[3]Mapping!$B$3:$D$37,3,0)</f>
        <v>cashloan</v>
      </c>
      <c r="I10507" s="143">
        <v>41000000</v>
      </c>
    </row>
    <row r="10508" spans="1:9" x14ac:dyDescent="0.2">
      <c r="A10508" s="134">
        <v>45974</v>
      </c>
      <c r="B10508" s="135">
        <f>YEAR(source[[#This Row],[report_date]])</f>
        <v>2025</v>
      </c>
      <c r="C10508" s="128">
        <f t="shared" si="490"/>
        <v>11</v>
      </c>
      <c r="D10508" s="136">
        <f t="shared" si="492"/>
        <v>46</v>
      </c>
      <c r="E10508" s="136">
        <f t="shared" si="491"/>
        <v>13</v>
      </c>
      <c r="F10508" s="137" t="s">
        <v>24</v>
      </c>
      <c r="G10508" s="128" t="str">
        <f>VLOOKUP(source[[#This Row],[lending_product_transform]],[3]Mapping!$B$4:$C$37,2,0)</f>
        <v>[Cake] - Cashloan</v>
      </c>
      <c r="H10508" s="128" t="str">
        <f>VLOOKUP(source[[#This Row],[lending_product_transform]],[3]Mapping!$B$3:$D$37,3,0)</f>
        <v>cashloan</v>
      </c>
      <c r="I10508" s="143">
        <v>276494165</v>
      </c>
    </row>
    <row r="10509" spans="1:9" x14ac:dyDescent="0.2">
      <c r="A10509" s="134">
        <v>45974</v>
      </c>
      <c r="B10509" s="135">
        <f>YEAR(source[[#This Row],[report_date]])</f>
        <v>2025</v>
      </c>
      <c r="C10509" s="128">
        <f t="shared" si="490"/>
        <v>11</v>
      </c>
      <c r="D10509" s="136">
        <f t="shared" si="492"/>
        <v>46</v>
      </c>
      <c r="E10509" s="136">
        <f t="shared" si="491"/>
        <v>13</v>
      </c>
      <c r="F10509" s="137" t="s">
        <v>24</v>
      </c>
      <c r="G10509" s="128" t="str">
        <f>VLOOKUP(source[[#This Row],[lending_product_transform]],[3]Mapping!$B$4:$C$37,2,0)</f>
        <v>[Cake] - Cashloan</v>
      </c>
      <c r="H10509" s="128" t="str">
        <f>VLOOKUP(source[[#This Row],[lending_product_transform]],[3]Mapping!$B$3:$D$37,3,0)</f>
        <v>cashloan</v>
      </c>
      <c r="I10509" s="143">
        <v>16420520000</v>
      </c>
    </row>
    <row r="10510" spans="1:9" x14ac:dyDescent="0.2">
      <c r="A10510" s="134">
        <v>45974</v>
      </c>
      <c r="B10510" s="135">
        <f>YEAR(source[[#This Row],[report_date]])</f>
        <v>2025</v>
      </c>
      <c r="C10510" s="128">
        <f t="shared" si="490"/>
        <v>11</v>
      </c>
      <c r="D10510" s="136">
        <f t="shared" si="492"/>
        <v>46</v>
      </c>
      <c r="E10510" s="136">
        <f t="shared" si="491"/>
        <v>13</v>
      </c>
      <c r="F10510" s="137" t="s">
        <v>24</v>
      </c>
      <c r="G10510" s="128" t="str">
        <f>VLOOKUP(source[[#This Row],[lending_product_transform]],[3]Mapping!$B$4:$C$37,2,0)</f>
        <v>[Cake] - Cashloan</v>
      </c>
      <c r="H10510" s="128" t="str">
        <f>VLOOKUP(source[[#This Row],[lending_product_transform]],[3]Mapping!$B$3:$D$37,3,0)</f>
        <v>cashloan</v>
      </c>
      <c r="I10510" s="143">
        <v>1906449237</v>
      </c>
    </row>
    <row r="10511" spans="1:9" x14ac:dyDescent="0.2">
      <c r="A10511" s="134">
        <v>45974</v>
      </c>
      <c r="B10511" s="135">
        <f>YEAR(source[[#This Row],[report_date]])</f>
        <v>2025</v>
      </c>
      <c r="C10511" s="128">
        <f t="shared" si="490"/>
        <v>11</v>
      </c>
      <c r="D10511" s="136">
        <f t="shared" si="492"/>
        <v>46</v>
      </c>
      <c r="E10511" s="136">
        <f t="shared" si="491"/>
        <v>13</v>
      </c>
      <c r="F10511" s="137" t="s">
        <v>24</v>
      </c>
      <c r="G10511" s="128" t="str">
        <f>VLOOKUP(source[[#This Row],[lending_product_transform]],[3]Mapping!$B$4:$C$37,2,0)</f>
        <v>[Cake] - Cashloan</v>
      </c>
      <c r="H10511" s="128" t="str">
        <f>VLOOKUP(source[[#This Row],[lending_product_transform]],[3]Mapping!$B$3:$D$37,3,0)</f>
        <v>cashloan</v>
      </c>
      <c r="I10511" s="143">
        <v>8404236000</v>
      </c>
    </row>
    <row r="10512" spans="1:9" x14ac:dyDescent="0.2">
      <c r="A10512" s="134">
        <v>45974</v>
      </c>
      <c r="B10512" s="135">
        <f>YEAR(source[[#This Row],[report_date]])</f>
        <v>2025</v>
      </c>
      <c r="C10512" s="128">
        <f t="shared" si="490"/>
        <v>11</v>
      </c>
      <c r="D10512" s="136">
        <f t="shared" si="492"/>
        <v>46</v>
      </c>
      <c r="E10512" s="136">
        <f t="shared" si="491"/>
        <v>13</v>
      </c>
      <c r="F10512" s="137" t="s">
        <v>24</v>
      </c>
      <c r="G10512" s="128" t="str">
        <f>VLOOKUP(source[[#This Row],[lending_product_transform]],[3]Mapping!$B$4:$C$37,2,0)</f>
        <v>[Cake] - Cashloan</v>
      </c>
      <c r="H10512" s="128" t="str">
        <f>VLOOKUP(source[[#This Row],[lending_product_transform]],[3]Mapping!$B$3:$D$37,3,0)</f>
        <v>cashloan</v>
      </c>
      <c r="I10512" s="143">
        <v>5739407</v>
      </c>
    </row>
    <row r="10513" spans="1:9" x14ac:dyDescent="0.2">
      <c r="A10513" s="134">
        <v>45974</v>
      </c>
      <c r="B10513" s="135">
        <f>YEAR(source[[#This Row],[report_date]])</f>
        <v>2025</v>
      </c>
      <c r="C10513" s="128">
        <f t="shared" si="490"/>
        <v>11</v>
      </c>
      <c r="D10513" s="136">
        <f t="shared" si="492"/>
        <v>46</v>
      </c>
      <c r="E10513" s="136">
        <f t="shared" si="491"/>
        <v>13</v>
      </c>
      <c r="F10513" s="137" t="s">
        <v>24</v>
      </c>
      <c r="G10513" s="128" t="str">
        <f>VLOOKUP(source[[#This Row],[lending_product_transform]],[3]Mapping!$B$4:$C$37,2,0)</f>
        <v>[Cake] - Cashloan</v>
      </c>
      <c r="H10513" s="128" t="str">
        <f>VLOOKUP(source[[#This Row],[lending_product_transform]],[3]Mapping!$B$3:$D$37,3,0)</f>
        <v>cashloan</v>
      </c>
      <c r="I10513" s="143">
        <v>3348370000</v>
      </c>
    </row>
    <row r="10514" spans="1:9" x14ac:dyDescent="0.2">
      <c r="A10514" s="134">
        <v>45974</v>
      </c>
      <c r="B10514" s="135">
        <f>YEAR(source[[#This Row],[report_date]])</f>
        <v>2025</v>
      </c>
      <c r="C10514" s="128">
        <f t="shared" si="490"/>
        <v>11</v>
      </c>
      <c r="D10514" s="136">
        <f t="shared" si="492"/>
        <v>46</v>
      </c>
      <c r="E10514" s="136">
        <f t="shared" si="491"/>
        <v>13</v>
      </c>
      <c r="F10514" s="137" t="s">
        <v>24</v>
      </c>
      <c r="G10514" s="128" t="str">
        <f>VLOOKUP(source[[#This Row],[lending_product_transform]],[3]Mapping!$B$4:$C$37,2,0)</f>
        <v>[Cake] - Cashloan</v>
      </c>
      <c r="H10514" s="128" t="str">
        <f>VLOOKUP(source[[#This Row],[lending_product_transform]],[3]Mapping!$B$3:$D$37,3,0)</f>
        <v>cashloan</v>
      </c>
      <c r="I10514" s="143">
        <v>18929262</v>
      </c>
    </row>
    <row r="10515" spans="1:9" x14ac:dyDescent="0.2">
      <c r="A10515" s="134">
        <v>45974</v>
      </c>
      <c r="B10515" s="135">
        <f>YEAR(source[[#This Row],[report_date]])</f>
        <v>2025</v>
      </c>
      <c r="C10515" s="128">
        <f t="shared" si="490"/>
        <v>11</v>
      </c>
      <c r="D10515" s="136">
        <f t="shared" si="492"/>
        <v>46</v>
      </c>
      <c r="E10515" s="136">
        <f t="shared" si="491"/>
        <v>13</v>
      </c>
      <c r="F10515" s="137" t="s">
        <v>24</v>
      </c>
      <c r="G10515" s="128" t="str">
        <f>VLOOKUP(source[[#This Row],[lending_product_transform]],[3]Mapping!$B$4:$C$37,2,0)</f>
        <v>[Cake] - Cashloan</v>
      </c>
      <c r="H10515" s="128" t="str">
        <f>VLOOKUP(source[[#This Row],[lending_product_transform]],[3]Mapping!$B$3:$D$37,3,0)</f>
        <v>cashloan</v>
      </c>
      <c r="I10515" s="143">
        <v>927406540</v>
      </c>
    </row>
    <row r="10516" spans="1:9" x14ac:dyDescent="0.2">
      <c r="A10516" s="134">
        <v>45974</v>
      </c>
      <c r="B10516" s="135">
        <f>YEAR(source[[#This Row],[report_date]])</f>
        <v>2025</v>
      </c>
      <c r="C10516" s="128">
        <f t="shared" si="490"/>
        <v>11</v>
      </c>
      <c r="D10516" s="136">
        <f t="shared" si="492"/>
        <v>46</v>
      </c>
      <c r="E10516" s="136">
        <f t="shared" si="491"/>
        <v>13</v>
      </c>
      <c r="F10516" s="137" t="s">
        <v>24</v>
      </c>
      <c r="G10516" s="128" t="str">
        <f>VLOOKUP(source[[#This Row],[lending_product_transform]],[3]Mapping!$B$4:$C$37,2,0)</f>
        <v>[Cake] - Cashloan</v>
      </c>
      <c r="H10516" s="128" t="str">
        <f>VLOOKUP(source[[#This Row],[lending_product_transform]],[3]Mapping!$B$3:$D$37,3,0)</f>
        <v>cashloan</v>
      </c>
      <c r="I10516" s="143">
        <v>0</v>
      </c>
    </row>
    <row r="10517" spans="1:9" x14ac:dyDescent="0.2">
      <c r="A10517" s="134">
        <v>45974</v>
      </c>
      <c r="B10517" s="135">
        <f>YEAR(source[[#This Row],[report_date]])</f>
        <v>2025</v>
      </c>
      <c r="C10517" s="128">
        <f t="shared" si="490"/>
        <v>11</v>
      </c>
      <c r="D10517" s="136">
        <f t="shared" si="492"/>
        <v>46</v>
      </c>
      <c r="E10517" s="136">
        <f t="shared" si="491"/>
        <v>13</v>
      </c>
      <c r="F10517" s="137" t="s">
        <v>24</v>
      </c>
      <c r="G10517" s="128" t="str">
        <f>VLOOKUP(source[[#This Row],[lending_product_transform]],[3]Mapping!$B$4:$C$37,2,0)</f>
        <v>[Cake] - Cashloan</v>
      </c>
      <c r="H10517" s="128" t="str">
        <f>VLOOKUP(source[[#This Row],[lending_product_transform]],[3]Mapping!$B$3:$D$37,3,0)</f>
        <v>cashloan</v>
      </c>
      <c r="I10517" s="143">
        <v>367000000</v>
      </c>
    </row>
    <row r="10518" spans="1:9" x14ac:dyDescent="0.2">
      <c r="A10518" s="134">
        <v>45974</v>
      </c>
      <c r="B10518" s="135">
        <f>YEAR(source[[#This Row],[report_date]])</f>
        <v>2025</v>
      </c>
      <c r="C10518" s="128">
        <f t="shared" si="490"/>
        <v>11</v>
      </c>
      <c r="D10518" s="136">
        <f t="shared" si="492"/>
        <v>46</v>
      </c>
      <c r="E10518" s="136">
        <f t="shared" si="491"/>
        <v>13</v>
      </c>
      <c r="F10518" s="137" t="s">
        <v>24</v>
      </c>
      <c r="G10518" s="128" t="str">
        <f>VLOOKUP(source[[#This Row],[lending_product_transform]],[3]Mapping!$B$4:$C$37,2,0)</f>
        <v>[Cake] - Cashloan</v>
      </c>
      <c r="H10518" s="128" t="str">
        <f>VLOOKUP(source[[#This Row],[lending_product_transform]],[3]Mapping!$B$3:$D$37,3,0)</f>
        <v>cashloan</v>
      </c>
      <c r="I10518" s="143">
        <v>19849190000</v>
      </c>
    </row>
    <row r="10519" spans="1:9" x14ac:dyDescent="0.2">
      <c r="A10519" s="134">
        <v>45974</v>
      </c>
      <c r="B10519" s="135">
        <f>YEAR(source[[#This Row],[report_date]])</f>
        <v>2025</v>
      </c>
      <c r="C10519" s="128">
        <f t="shared" si="490"/>
        <v>11</v>
      </c>
      <c r="D10519" s="136">
        <f t="shared" si="492"/>
        <v>46</v>
      </c>
      <c r="E10519" s="136">
        <f t="shared" si="491"/>
        <v>13</v>
      </c>
      <c r="F10519" s="137" t="s">
        <v>24</v>
      </c>
      <c r="G10519" s="128" t="str">
        <f>VLOOKUP(source[[#This Row],[lending_product_transform]],[3]Mapping!$B$4:$C$37,2,0)</f>
        <v>[Cake] - Cashloan</v>
      </c>
      <c r="H10519" s="128" t="str">
        <f>VLOOKUP(source[[#This Row],[lending_product_transform]],[3]Mapping!$B$3:$D$37,3,0)</f>
        <v>cashloan</v>
      </c>
      <c r="I10519" s="143">
        <v>0</v>
      </c>
    </row>
    <row r="10520" spans="1:9" x14ac:dyDescent="0.2">
      <c r="A10520" s="134">
        <v>45974</v>
      </c>
      <c r="B10520" s="135">
        <f>YEAR(source[[#This Row],[report_date]])</f>
        <v>2025</v>
      </c>
      <c r="C10520" s="128">
        <f t="shared" si="490"/>
        <v>11</v>
      </c>
      <c r="D10520" s="136">
        <f t="shared" si="492"/>
        <v>46</v>
      </c>
      <c r="E10520" s="136">
        <f t="shared" si="491"/>
        <v>13</v>
      </c>
      <c r="F10520" s="137" t="s">
        <v>24</v>
      </c>
      <c r="G10520" s="128" t="str">
        <f>VLOOKUP(source[[#This Row],[lending_product_transform]],[3]Mapping!$B$4:$C$37,2,0)</f>
        <v>[Cake] - Cashloan</v>
      </c>
      <c r="H10520" s="128" t="str">
        <f>VLOOKUP(source[[#This Row],[lending_product_transform]],[3]Mapping!$B$3:$D$37,3,0)</f>
        <v>cashloan</v>
      </c>
      <c r="I10520" s="143">
        <v>0</v>
      </c>
    </row>
    <row r="10521" spans="1:9" x14ac:dyDescent="0.2">
      <c r="A10521" s="134">
        <v>45974</v>
      </c>
      <c r="B10521" s="135">
        <f>YEAR(source[[#This Row],[report_date]])</f>
        <v>2025</v>
      </c>
      <c r="C10521" s="128">
        <f t="shared" si="490"/>
        <v>11</v>
      </c>
      <c r="D10521" s="136">
        <f t="shared" si="492"/>
        <v>46</v>
      </c>
      <c r="E10521" s="136">
        <f t="shared" si="491"/>
        <v>13</v>
      </c>
      <c r="F10521" s="137" t="s">
        <v>24</v>
      </c>
      <c r="G10521" s="128" t="str">
        <f>VLOOKUP(source[[#This Row],[lending_product_transform]],[3]Mapping!$B$4:$C$37,2,0)</f>
        <v>[Cake] - Cashloan</v>
      </c>
      <c r="H10521" s="128" t="str">
        <f>VLOOKUP(source[[#This Row],[lending_product_transform]],[3]Mapping!$B$3:$D$37,3,0)</f>
        <v>cashloan</v>
      </c>
      <c r="I10521" s="143">
        <v>0</v>
      </c>
    </row>
    <row r="10522" spans="1:9" x14ac:dyDescent="0.2">
      <c r="A10522" s="134">
        <v>45974</v>
      </c>
      <c r="B10522" s="135">
        <f>YEAR(source[[#This Row],[report_date]])</f>
        <v>2025</v>
      </c>
      <c r="C10522" s="128">
        <f t="shared" si="490"/>
        <v>11</v>
      </c>
      <c r="D10522" s="136">
        <f t="shared" si="492"/>
        <v>46</v>
      </c>
      <c r="E10522" s="136">
        <f t="shared" si="491"/>
        <v>13</v>
      </c>
      <c r="F10522" s="137" t="s">
        <v>24</v>
      </c>
      <c r="G10522" s="128" t="str">
        <f>VLOOKUP(source[[#This Row],[lending_product_transform]],[3]Mapping!$B$4:$C$37,2,0)</f>
        <v>[Cake] - Cashloan</v>
      </c>
      <c r="H10522" s="128" t="str">
        <f>VLOOKUP(source[[#This Row],[lending_product_transform]],[3]Mapping!$B$3:$D$37,3,0)</f>
        <v>cashloan</v>
      </c>
      <c r="I10522" s="143">
        <v>0</v>
      </c>
    </row>
    <row r="10523" spans="1:9" x14ac:dyDescent="0.2">
      <c r="A10523" s="134">
        <v>45974</v>
      </c>
      <c r="B10523" s="135">
        <f>YEAR(source[[#This Row],[report_date]])</f>
        <v>2025</v>
      </c>
      <c r="C10523" s="128">
        <f t="shared" si="490"/>
        <v>11</v>
      </c>
      <c r="D10523" s="136">
        <f t="shared" si="492"/>
        <v>46</v>
      </c>
      <c r="E10523" s="136">
        <f t="shared" si="491"/>
        <v>13</v>
      </c>
      <c r="F10523" s="137" t="s">
        <v>24</v>
      </c>
      <c r="G10523" s="128" t="str">
        <f>VLOOKUP(source[[#This Row],[lending_product_transform]],[3]Mapping!$B$4:$C$37,2,0)</f>
        <v>[Cake] - Cashloan</v>
      </c>
      <c r="H10523" s="128" t="str">
        <f>VLOOKUP(source[[#This Row],[lending_product_transform]],[3]Mapping!$B$3:$D$37,3,0)</f>
        <v>cashloan</v>
      </c>
      <c r="I10523" s="143">
        <v>10305036000</v>
      </c>
    </row>
    <row r="10524" spans="1:9" x14ac:dyDescent="0.2">
      <c r="A10524" s="134">
        <v>45974</v>
      </c>
      <c r="B10524" s="135">
        <f>YEAR(source[[#This Row],[report_date]])</f>
        <v>2025</v>
      </c>
      <c r="C10524" s="128">
        <f t="shared" si="490"/>
        <v>11</v>
      </c>
      <c r="D10524" s="136">
        <f t="shared" si="492"/>
        <v>46</v>
      </c>
      <c r="E10524" s="136">
        <f t="shared" si="491"/>
        <v>13</v>
      </c>
      <c r="F10524" s="137" t="s">
        <v>24</v>
      </c>
      <c r="G10524" s="128" t="str">
        <f>VLOOKUP(source[[#This Row],[lending_product_transform]],[3]Mapping!$B$4:$C$37,2,0)</f>
        <v>[Cake] - Cashloan</v>
      </c>
      <c r="H10524" s="128" t="str">
        <f>VLOOKUP(source[[#This Row],[lending_product_transform]],[3]Mapping!$B$3:$D$37,3,0)</f>
        <v>cashloan</v>
      </c>
      <c r="I10524" s="143">
        <v>215885113</v>
      </c>
    </row>
    <row r="10525" spans="1:9" x14ac:dyDescent="0.2">
      <c r="A10525" s="134">
        <v>45974</v>
      </c>
      <c r="B10525" s="135">
        <f>YEAR(source[[#This Row],[report_date]])</f>
        <v>2025</v>
      </c>
      <c r="C10525" s="128">
        <f t="shared" si="490"/>
        <v>11</v>
      </c>
      <c r="D10525" s="136">
        <f t="shared" si="492"/>
        <v>46</v>
      </c>
      <c r="E10525" s="136">
        <f t="shared" si="491"/>
        <v>13</v>
      </c>
      <c r="F10525" s="137" t="s">
        <v>24</v>
      </c>
      <c r="G10525" s="128" t="str">
        <f>VLOOKUP(source[[#This Row],[lending_product_transform]],[3]Mapping!$B$4:$C$37,2,0)</f>
        <v>[Cake] - Cashloan</v>
      </c>
      <c r="H10525" s="128" t="str">
        <f>VLOOKUP(source[[#This Row],[lending_product_transform]],[3]Mapping!$B$3:$D$37,3,0)</f>
        <v>cashloan</v>
      </c>
      <c r="I10525" s="143">
        <v>10500000</v>
      </c>
    </row>
    <row r="10526" spans="1:9" x14ac:dyDescent="0.2">
      <c r="A10526" s="134">
        <v>45974</v>
      </c>
      <c r="B10526" s="135">
        <f>YEAR(source[[#This Row],[report_date]])</f>
        <v>2025</v>
      </c>
      <c r="C10526" s="128">
        <f t="shared" si="490"/>
        <v>11</v>
      </c>
      <c r="D10526" s="136">
        <f t="shared" si="492"/>
        <v>46</v>
      </c>
      <c r="E10526" s="136">
        <f t="shared" si="491"/>
        <v>13</v>
      </c>
      <c r="F10526" s="137" t="s">
        <v>24</v>
      </c>
      <c r="G10526" s="128" t="str">
        <f>VLOOKUP(source[[#This Row],[lending_product_transform]],[3]Mapping!$B$4:$C$37,2,0)</f>
        <v>[Cake] - Cashloan</v>
      </c>
      <c r="H10526" s="128" t="str">
        <f>VLOOKUP(source[[#This Row],[lending_product_transform]],[3]Mapping!$B$3:$D$37,3,0)</f>
        <v>cashloan</v>
      </c>
      <c r="I10526" s="143">
        <v>37000000</v>
      </c>
    </row>
    <row r="10527" spans="1:9" x14ac:dyDescent="0.2">
      <c r="A10527" s="134">
        <v>45974</v>
      </c>
      <c r="B10527" s="135">
        <f>YEAR(source[[#This Row],[report_date]])</f>
        <v>2025</v>
      </c>
      <c r="C10527" s="128">
        <f t="shared" si="490"/>
        <v>11</v>
      </c>
      <c r="D10527" s="136">
        <f t="shared" si="492"/>
        <v>46</v>
      </c>
      <c r="E10527" s="136">
        <f t="shared" si="491"/>
        <v>13</v>
      </c>
      <c r="F10527" s="137" t="s">
        <v>24</v>
      </c>
      <c r="G10527" s="128" t="str">
        <f>VLOOKUP(source[[#This Row],[lending_product_transform]],[3]Mapping!$B$4:$C$37,2,0)</f>
        <v>[Cake] - Cashloan</v>
      </c>
      <c r="H10527" s="128" t="str">
        <f>VLOOKUP(source[[#This Row],[lending_product_transform]],[3]Mapping!$B$3:$D$37,3,0)</f>
        <v>cashloan</v>
      </c>
      <c r="I10527" s="143">
        <v>794800000</v>
      </c>
    </row>
    <row r="10528" spans="1:9" x14ac:dyDescent="0.2">
      <c r="A10528" s="134">
        <v>45974</v>
      </c>
      <c r="B10528" s="135">
        <f>YEAR(source[[#This Row],[report_date]])</f>
        <v>2025</v>
      </c>
      <c r="C10528" s="128">
        <f t="shared" si="490"/>
        <v>11</v>
      </c>
      <c r="D10528" s="136">
        <f t="shared" si="492"/>
        <v>46</v>
      </c>
      <c r="E10528" s="136">
        <f t="shared" si="491"/>
        <v>13</v>
      </c>
      <c r="F10528" s="137" t="s">
        <v>24</v>
      </c>
      <c r="G10528" s="128" t="str">
        <f>VLOOKUP(source[[#This Row],[lending_product_transform]],[3]Mapping!$B$4:$C$37,2,0)</f>
        <v>[Cake] - Cashloan</v>
      </c>
      <c r="H10528" s="128" t="str">
        <f>VLOOKUP(source[[#This Row],[lending_product_transform]],[3]Mapping!$B$3:$D$37,3,0)</f>
        <v>cashloan</v>
      </c>
      <c r="I10528" s="143">
        <v>158760000</v>
      </c>
    </row>
    <row r="10529" spans="1:9" x14ac:dyDescent="0.2">
      <c r="A10529" s="134">
        <v>45974</v>
      </c>
      <c r="B10529" s="135">
        <f>YEAR(source[[#This Row],[report_date]])</f>
        <v>2025</v>
      </c>
      <c r="C10529" s="128">
        <f t="shared" si="490"/>
        <v>11</v>
      </c>
      <c r="D10529" s="136">
        <f t="shared" si="492"/>
        <v>46</v>
      </c>
      <c r="E10529" s="136">
        <f t="shared" si="491"/>
        <v>13</v>
      </c>
      <c r="F10529" s="137" t="s">
        <v>24</v>
      </c>
      <c r="G10529" s="128" t="str">
        <f>VLOOKUP(source[[#This Row],[lending_product_transform]],[3]Mapping!$B$4:$C$37,2,0)</f>
        <v>[Cake] - Cashloan</v>
      </c>
      <c r="H10529" s="128" t="str">
        <f>VLOOKUP(source[[#This Row],[lending_product_transform]],[3]Mapping!$B$3:$D$37,3,0)</f>
        <v>cashloan</v>
      </c>
      <c r="I10529" s="143">
        <v>366044042</v>
      </c>
    </row>
    <row r="10530" spans="1:9" x14ac:dyDescent="0.2">
      <c r="A10530" s="134">
        <v>45974</v>
      </c>
      <c r="B10530" s="135">
        <f>YEAR(source[[#This Row],[report_date]])</f>
        <v>2025</v>
      </c>
      <c r="C10530" s="128">
        <f t="shared" si="490"/>
        <v>11</v>
      </c>
      <c r="D10530" s="136">
        <f t="shared" si="492"/>
        <v>46</v>
      </c>
      <c r="E10530" s="136">
        <f t="shared" si="491"/>
        <v>13</v>
      </c>
      <c r="F10530" s="137" t="s">
        <v>24</v>
      </c>
      <c r="G10530" s="128" t="str">
        <f>VLOOKUP(source[[#This Row],[lending_product_transform]],[3]Mapping!$B$4:$C$37,2,0)</f>
        <v>[Cake] - Cashloan</v>
      </c>
      <c r="H10530" s="128" t="str">
        <f>VLOOKUP(source[[#This Row],[lending_product_transform]],[3]Mapping!$B$3:$D$37,3,0)</f>
        <v>cashloan</v>
      </c>
      <c r="I10530" s="143">
        <v>4530770000</v>
      </c>
    </row>
    <row r="10531" spans="1:9" x14ac:dyDescent="0.2">
      <c r="A10531" s="134">
        <v>45975</v>
      </c>
      <c r="B10531" s="135">
        <f>YEAR(source[[#This Row],[report_date]])</f>
        <v>2025</v>
      </c>
      <c r="C10531" s="128">
        <f t="shared" si="490"/>
        <v>11</v>
      </c>
      <c r="D10531" s="136">
        <f t="shared" si="492"/>
        <v>46</v>
      </c>
      <c r="E10531" s="136">
        <f t="shared" si="491"/>
        <v>14</v>
      </c>
      <c r="F10531" s="137" t="s">
        <v>24</v>
      </c>
      <c r="G10531" s="128" t="str">
        <f>VLOOKUP(source[[#This Row],[lending_product_transform]],[3]Mapping!$B$4:$C$37,2,0)</f>
        <v>[Cake] - Cashloan</v>
      </c>
      <c r="H10531" s="128" t="str">
        <f>VLOOKUP(source[[#This Row],[lending_product_transform]],[3]Mapping!$B$3:$D$37,3,0)</f>
        <v>cashloan</v>
      </c>
      <c r="I10531" s="143">
        <v>31500000</v>
      </c>
    </row>
    <row r="10532" spans="1:9" x14ac:dyDescent="0.2">
      <c r="A10532" s="134">
        <v>45975</v>
      </c>
      <c r="B10532" s="135">
        <f>YEAR(source[[#This Row],[report_date]])</f>
        <v>2025</v>
      </c>
      <c r="C10532" s="128">
        <f t="shared" si="490"/>
        <v>11</v>
      </c>
      <c r="D10532" s="136">
        <f t="shared" si="492"/>
        <v>46</v>
      </c>
      <c r="E10532" s="136">
        <f t="shared" si="491"/>
        <v>14</v>
      </c>
      <c r="F10532" s="137" t="s">
        <v>24</v>
      </c>
      <c r="G10532" s="128" t="str">
        <f>VLOOKUP(source[[#This Row],[lending_product_transform]],[3]Mapping!$B$4:$C$37,2,0)</f>
        <v>[Cake] - Cashloan</v>
      </c>
      <c r="H10532" s="128" t="str">
        <f>VLOOKUP(source[[#This Row],[lending_product_transform]],[3]Mapping!$B$3:$D$37,3,0)</f>
        <v>cashloan</v>
      </c>
      <c r="I10532" s="143">
        <v>310357763</v>
      </c>
    </row>
    <row r="10533" spans="1:9" x14ac:dyDescent="0.2">
      <c r="A10533" s="134">
        <v>45975</v>
      </c>
      <c r="B10533" s="135">
        <f>YEAR(source[[#This Row],[report_date]])</f>
        <v>2025</v>
      </c>
      <c r="C10533" s="128">
        <f t="shared" si="490"/>
        <v>11</v>
      </c>
      <c r="D10533" s="136">
        <f t="shared" si="492"/>
        <v>46</v>
      </c>
      <c r="E10533" s="136">
        <f t="shared" si="491"/>
        <v>14</v>
      </c>
      <c r="F10533" s="137" t="s">
        <v>24</v>
      </c>
      <c r="G10533" s="128" t="str">
        <f>VLOOKUP(source[[#This Row],[lending_product_transform]],[3]Mapping!$B$4:$C$37,2,0)</f>
        <v>[Cake] - Cashloan</v>
      </c>
      <c r="H10533" s="128" t="str">
        <f>VLOOKUP(source[[#This Row],[lending_product_transform]],[3]Mapping!$B$3:$D$37,3,0)</f>
        <v>cashloan</v>
      </c>
      <c r="I10533" s="143">
        <v>17060090000</v>
      </c>
    </row>
    <row r="10534" spans="1:9" x14ac:dyDescent="0.2">
      <c r="A10534" s="134">
        <v>45975</v>
      </c>
      <c r="B10534" s="135">
        <f>YEAR(source[[#This Row],[report_date]])</f>
        <v>2025</v>
      </c>
      <c r="C10534" s="128">
        <f t="shared" si="490"/>
        <v>11</v>
      </c>
      <c r="D10534" s="136">
        <f t="shared" si="492"/>
        <v>46</v>
      </c>
      <c r="E10534" s="136">
        <f t="shared" si="491"/>
        <v>14</v>
      </c>
      <c r="F10534" s="137" t="s">
        <v>24</v>
      </c>
      <c r="G10534" s="128" t="str">
        <f>VLOOKUP(source[[#This Row],[lending_product_transform]],[3]Mapping!$B$4:$C$37,2,0)</f>
        <v>[Cake] - Cashloan</v>
      </c>
      <c r="H10534" s="128" t="str">
        <f>VLOOKUP(source[[#This Row],[lending_product_transform]],[3]Mapping!$B$3:$D$37,3,0)</f>
        <v>cashloan</v>
      </c>
      <c r="I10534" s="143">
        <v>2071253429</v>
      </c>
    </row>
    <row r="10535" spans="1:9" x14ac:dyDescent="0.2">
      <c r="A10535" s="134">
        <v>45975</v>
      </c>
      <c r="B10535" s="135">
        <f>YEAR(source[[#This Row],[report_date]])</f>
        <v>2025</v>
      </c>
      <c r="C10535" s="128">
        <f t="shared" si="490"/>
        <v>11</v>
      </c>
      <c r="D10535" s="136">
        <f t="shared" si="492"/>
        <v>46</v>
      </c>
      <c r="E10535" s="136">
        <f t="shared" si="491"/>
        <v>14</v>
      </c>
      <c r="F10535" s="137" t="s">
        <v>24</v>
      </c>
      <c r="G10535" s="128" t="str">
        <f>VLOOKUP(source[[#This Row],[lending_product_transform]],[3]Mapping!$B$4:$C$37,2,0)</f>
        <v>[Cake] - Cashloan</v>
      </c>
      <c r="H10535" s="128" t="str">
        <f>VLOOKUP(source[[#This Row],[lending_product_transform]],[3]Mapping!$B$3:$D$37,3,0)</f>
        <v>cashloan</v>
      </c>
      <c r="I10535" s="143">
        <v>9314892000</v>
      </c>
    </row>
    <row r="10536" spans="1:9" x14ac:dyDescent="0.2">
      <c r="A10536" s="134">
        <v>45975</v>
      </c>
      <c r="B10536" s="135">
        <f>YEAR(source[[#This Row],[report_date]])</f>
        <v>2025</v>
      </c>
      <c r="C10536" s="128">
        <f t="shared" si="490"/>
        <v>11</v>
      </c>
      <c r="D10536" s="136">
        <f t="shared" si="492"/>
        <v>46</v>
      </c>
      <c r="E10536" s="136">
        <f t="shared" si="491"/>
        <v>14</v>
      </c>
      <c r="F10536" s="137" t="s">
        <v>24</v>
      </c>
      <c r="G10536" s="128" t="str">
        <f>VLOOKUP(source[[#This Row],[lending_product_transform]],[3]Mapping!$B$4:$C$37,2,0)</f>
        <v>[Cake] - Cashloan</v>
      </c>
      <c r="H10536" s="128" t="str">
        <f>VLOOKUP(source[[#This Row],[lending_product_transform]],[3]Mapping!$B$3:$D$37,3,0)</f>
        <v>cashloan</v>
      </c>
      <c r="I10536" s="143">
        <v>4460275</v>
      </c>
    </row>
    <row r="10537" spans="1:9" x14ac:dyDescent="0.2">
      <c r="A10537" s="134">
        <v>45975</v>
      </c>
      <c r="B10537" s="135">
        <f>YEAR(source[[#This Row],[report_date]])</f>
        <v>2025</v>
      </c>
      <c r="C10537" s="128">
        <f t="shared" si="490"/>
        <v>11</v>
      </c>
      <c r="D10537" s="136">
        <f t="shared" si="492"/>
        <v>46</v>
      </c>
      <c r="E10537" s="136">
        <f t="shared" si="491"/>
        <v>14</v>
      </c>
      <c r="F10537" s="137" t="s">
        <v>24</v>
      </c>
      <c r="G10537" s="128" t="str">
        <f>VLOOKUP(source[[#This Row],[lending_product_transform]],[3]Mapping!$B$4:$C$37,2,0)</f>
        <v>[Cake] - Cashloan</v>
      </c>
      <c r="H10537" s="128" t="str">
        <f>VLOOKUP(source[[#This Row],[lending_product_transform]],[3]Mapping!$B$3:$D$37,3,0)</f>
        <v>cashloan</v>
      </c>
      <c r="I10537" s="143">
        <v>3686710000</v>
      </c>
    </row>
    <row r="10538" spans="1:9" x14ac:dyDescent="0.2">
      <c r="A10538" s="134">
        <v>45975</v>
      </c>
      <c r="B10538" s="135">
        <f>YEAR(source[[#This Row],[report_date]])</f>
        <v>2025</v>
      </c>
      <c r="C10538" s="128">
        <f t="shared" si="490"/>
        <v>11</v>
      </c>
      <c r="D10538" s="136">
        <f t="shared" si="492"/>
        <v>46</v>
      </c>
      <c r="E10538" s="136">
        <f t="shared" si="491"/>
        <v>14</v>
      </c>
      <c r="F10538" s="137" t="s">
        <v>24</v>
      </c>
      <c r="G10538" s="128" t="str">
        <f>VLOOKUP(source[[#This Row],[lending_product_transform]],[3]Mapping!$B$4:$C$37,2,0)</f>
        <v>[Cake] - Cashloan</v>
      </c>
      <c r="H10538" s="128" t="str">
        <f>VLOOKUP(source[[#This Row],[lending_product_transform]],[3]Mapping!$B$3:$D$37,3,0)</f>
        <v>cashloan</v>
      </c>
      <c r="I10538" s="143">
        <v>36579164</v>
      </c>
    </row>
    <row r="10539" spans="1:9" x14ac:dyDescent="0.2">
      <c r="A10539" s="134">
        <v>45975</v>
      </c>
      <c r="B10539" s="135">
        <f>YEAR(source[[#This Row],[report_date]])</f>
        <v>2025</v>
      </c>
      <c r="C10539" s="128">
        <f t="shared" si="490"/>
        <v>11</v>
      </c>
      <c r="D10539" s="136">
        <f t="shared" si="492"/>
        <v>46</v>
      </c>
      <c r="E10539" s="136">
        <f t="shared" si="491"/>
        <v>14</v>
      </c>
      <c r="F10539" s="137" t="s">
        <v>24</v>
      </c>
      <c r="G10539" s="128" t="str">
        <f>VLOOKUP(source[[#This Row],[lending_product_transform]],[3]Mapping!$B$4:$C$37,2,0)</f>
        <v>[Cake] - Cashloan</v>
      </c>
      <c r="H10539" s="128" t="str">
        <f>VLOOKUP(source[[#This Row],[lending_product_transform]],[3]Mapping!$B$3:$D$37,3,0)</f>
        <v>cashloan</v>
      </c>
      <c r="I10539" s="143">
        <v>853157112</v>
      </c>
    </row>
    <row r="10540" spans="1:9" x14ac:dyDescent="0.2">
      <c r="A10540" s="134">
        <v>45975</v>
      </c>
      <c r="B10540" s="135">
        <f>YEAR(source[[#This Row],[report_date]])</f>
        <v>2025</v>
      </c>
      <c r="C10540" s="128">
        <f t="shared" si="490"/>
        <v>11</v>
      </c>
      <c r="D10540" s="136">
        <f t="shared" si="492"/>
        <v>46</v>
      </c>
      <c r="E10540" s="136">
        <f t="shared" si="491"/>
        <v>14</v>
      </c>
      <c r="F10540" s="137" t="s">
        <v>24</v>
      </c>
      <c r="G10540" s="128" t="str">
        <f>VLOOKUP(source[[#This Row],[lending_product_transform]],[3]Mapping!$B$4:$C$37,2,0)</f>
        <v>[Cake] - Cashloan</v>
      </c>
      <c r="H10540" s="128" t="str">
        <f>VLOOKUP(source[[#This Row],[lending_product_transform]],[3]Mapping!$B$3:$D$37,3,0)</f>
        <v>cashloan</v>
      </c>
      <c r="I10540" s="143">
        <v>0</v>
      </c>
    </row>
    <row r="10541" spans="1:9" x14ac:dyDescent="0.2">
      <c r="A10541" s="134">
        <v>45975</v>
      </c>
      <c r="B10541" s="135">
        <f>YEAR(source[[#This Row],[report_date]])</f>
        <v>2025</v>
      </c>
      <c r="C10541" s="128">
        <f t="shared" si="490"/>
        <v>11</v>
      </c>
      <c r="D10541" s="136">
        <f t="shared" si="492"/>
        <v>46</v>
      </c>
      <c r="E10541" s="136">
        <f t="shared" si="491"/>
        <v>14</v>
      </c>
      <c r="F10541" s="137" t="s">
        <v>24</v>
      </c>
      <c r="G10541" s="128" t="str">
        <f>VLOOKUP(source[[#This Row],[lending_product_transform]],[3]Mapping!$B$4:$C$37,2,0)</f>
        <v>[Cake] - Cashloan</v>
      </c>
      <c r="H10541" s="128" t="str">
        <f>VLOOKUP(source[[#This Row],[lending_product_transform]],[3]Mapping!$B$3:$D$37,3,0)</f>
        <v>cashloan</v>
      </c>
      <c r="I10541" s="143">
        <v>348250000</v>
      </c>
    </row>
    <row r="10542" spans="1:9" x14ac:dyDescent="0.2">
      <c r="A10542" s="134">
        <v>45975</v>
      </c>
      <c r="B10542" s="135">
        <f>YEAR(source[[#This Row],[report_date]])</f>
        <v>2025</v>
      </c>
      <c r="C10542" s="128">
        <f t="shared" si="490"/>
        <v>11</v>
      </c>
      <c r="D10542" s="136">
        <f t="shared" si="492"/>
        <v>46</v>
      </c>
      <c r="E10542" s="136">
        <f t="shared" si="491"/>
        <v>14</v>
      </c>
      <c r="F10542" s="137" t="s">
        <v>24</v>
      </c>
      <c r="G10542" s="128" t="str">
        <f>VLOOKUP(source[[#This Row],[lending_product_transform]],[3]Mapping!$B$4:$C$37,2,0)</f>
        <v>[Cake] - Cashloan</v>
      </c>
      <c r="H10542" s="128" t="str">
        <f>VLOOKUP(source[[#This Row],[lending_product_transform]],[3]Mapping!$B$3:$D$37,3,0)</f>
        <v>cashloan</v>
      </c>
      <c r="I10542" s="143">
        <v>20179210000</v>
      </c>
    </row>
    <row r="10543" spans="1:9" x14ac:dyDescent="0.2">
      <c r="A10543" s="134">
        <v>45975</v>
      </c>
      <c r="B10543" s="135">
        <f>YEAR(source[[#This Row],[report_date]])</f>
        <v>2025</v>
      </c>
      <c r="C10543" s="128">
        <f t="shared" si="490"/>
        <v>11</v>
      </c>
      <c r="D10543" s="136">
        <f t="shared" si="492"/>
        <v>46</v>
      </c>
      <c r="E10543" s="136">
        <f t="shared" si="491"/>
        <v>14</v>
      </c>
      <c r="F10543" s="137" t="s">
        <v>24</v>
      </c>
      <c r="G10543" s="128" t="str">
        <f>VLOOKUP(source[[#This Row],[lending_product_transform]],[3]Mapping!$B$4:$C$37,2,0)</f>
        <v>[Cake] - Cashloan</v>
      </c>
      <c r="H10543" s="128" t="str">
        <f>VLOOKUP(source[[#This Row],[lending_product_transform]],[3]Mapping!$B$3:$D$37,3,0)</f>
        <v>cashloan</v>
      </c>
      <c r="I10543" s="143">
        <v>0</v>
      </c>
    </row>
    <row r="10544" spans="1:9" x14ac:dyDescent="0.2">
      <c r="A10544" s="134">
        <v>45975</v>
      </c>
      <c r="B10544" s="135">
        <f>YEAR(source[[#This Row],[report_date]])</f>
        <v>2025</v>
      </c>
      <c r="C10544" s="128">
        <f t="shared" si="490"/>
        <v>11</v>
      </c>
      <c r="D10544" s="136">
        <f t="shared" si="492"/>
        <v>46</v>
      </c>
      <c r="E10544" s="136">
        <f t="shared" si="491"/>
        <v>14</v>
      </c>
      <c r="F10544" s="137" t="s">
        <v>24</v>
      </c>
      <c r="G10544" s="128" t="str">
        <f>VLOOKUP(source[[#This Row],[lending_product_transform]],[3]Mapping!$B$4:$C$37,2,0)</f>
        <v>[Cake] - Cashloan</v>
      </c>
      <c r="H10544" s="128" t="str">
        <f>VLOOKUP(source[[#This Row],[lending_product_transform]],[3]Mapping!$B$3:$D$37,3,0)</f>
        <v>cashloan</v>
      </c>
      <c r="I10544" s="143">
        <v>0</v>
      </c>
    </row>
    <row r="10545" spans="1:9" x14ac:dyDescent="0.2">
      <c r="A10545" s="134">
        <v>45975</v>
      </c>
      <c r="B10545" s="135">
        <f>YEAR(source[[#This Row],[report_date]])</f>
        <v>2025</v>
      </c>
      <c r="C10545" s="128">
        <f t="shared" si="490"/>
        <v>11</v>
      </c>
      <c r="D10545" s="136">
        <f t="shared" si="492"/>
        <v>46</v>
      </c>
      <c r="E10545" s="136">
        <f t="shared" si="491"/>
        <v>14</v>
      </c>
      <c r="F10545" s="137" t="s">
        <v>24</v>
      </c>
      <c r="G10545" s="128" t="str">
        <f>VLOOKUP(source[[#This Row],[lending_product_transform]],[3]Mapping!$B$4:$C$37,2,0)</f>
        <v>[Cake] - Cashloan</v>
      </c>
      <c r="H10545" s="128" t="str">
        <f>VLOOKUP(source[[#This Row],[lending_product_transform]],[3]Mapping!$B$3:$D$37,3,0)</f>
        <v>cashloan</v>
      </c>
      <c r="I10545" s="143">
        <v>0</v>
      </c>
    </row>
    <row r="10546" spans="1:9" x14ac:dyDescent="0.2">
      <c r="A10546" s="134">
        <v>45975</v>
      </c>
      <c r="B10546" s="135">
        <f>YEAR(source[[#This Row],[report_date]])</f>
        <v>2025</v>
      </c>
      <c r="C10546" s="128">
        <f t="shared" si="490"/>
        <v>11</v>
      </c>
      <c r="D10546" s="136">
        <f t="shared" si="492"/>
        <v>46</v>
      </c>
      <c r="E10546" s="136">
        <f t="shared" si="491"/>
        <v>14</v>
      </c>
      <c r="F10546" s="137" t="s">
        <v>24</v>
      </c>
      <c r="G10546" s="128" t="str">
        <f>VLOOKUP(source[[#This Row],[lending_product_transform]],[3]Mapping!$B$4:$C$37,2,0)</f>
        <v>[Cake] - Cashloan</v>
      </c>
      <c r="H10546" s="128" t="str">
        <f>VLOOKUP(source[[#This Row],[lending_product_transform]],[3]Mapping!$B$3:$D$37,3,0)</f>
        <v>cashloan</v>
      </c>
      <c r="I10546" s="143">
        <v>30000000</v>
      </c>
    </row>
    <row r="10547" spans="1:9" x14ac:dyDescent="0.2">
      <c r="A10547" s="134">
        <v>45975</v>
      </c>
      <c r="B10547" s="135">
        <f>YEAR(source[[#This Row],[report_date]])</f>
        <v>2025</v>
      </c>
      <c r="C10547" s="128">
        <f t="shared" si="490"/>
        <v>11</v>
      </c>
      <c r="D10547" s="136">
        <f t="shared" si="492"/>
        <v>46</v>
      </c>
      <c r="E10547" s="136">
        <f t="shared" si="491"/>
        <v>14</v>
      </c>
      <c r="F10547" s="137" t="s">
        <v>24</v>
      </c>
      <c r="G10547" s="128" t="str">
        <f>VLOOKUP(source[[#This Row],[lending_product_transform]],[3]Mapping!$B$4:$C$37,2,0)</f>
        <v>[Cake] - Cashloan</v>
      </c>
      <c r="H10547" s="128" t="str">
        <f>VLOOKUP(source[[#This Row],[lending_product_transform]],[3]Mapping!$B$3:$D$37,3,0)</f>
        <v>cashloan</v>
      </c>
      <c r="I10547" s="143">
        <v>11082744000</v>
      </c>
    </row>
    <row r="10548" spans="1:9" x14ac:dyDescent="0.2">
      <c r="A10548" s="134">
        <v>45975</v>
      </c>
      <c r="B10548" s="135">
        <f>YEAR(source[[#This Row],[report_date]])</f>
        <v>2025</v>
      </c>
      <c r="C10548" s="128">
        <f t="shared" si="490"/>
        <v>11</v>
      </c>
      <c r="D10548" s="136">
        <f t="shared" si="492"/>
        <v>46</v>
      </c>
      <c r="E10548" s="136">
        <f t="shared" si="491"/>
        <v>14</v>
      </c>
      <c r="F10548" s="137" t="s">
        <v>24</v>
      </c>
      <c r="G10548" s="128" t="str">
        <f>VLOOKUP(source[[#This Row],[lending_product_transform]],[3]Mapping!$B$4:$C$37,2,0)</f>
        <v>[Cake] - Cashloan</v>
      </c>
      <c r="H10548" s="128" t="str">
        <f>VLOOKUP(source[[#This Row],[lending_product_transform]],[3]Mapping!$B$3:$D$37,3,0)</f>
        <v>cashloan</v>
      </c>
      <c r="I10548" s="143">
        <v>209199954</v>
      </c>
    </row>
    <row r="10549" spans="1:9" x14ac:dyDescent="0.2">
      <c r="A10549" s="134">
        <v>45975</v>
      </c>
      <c r="B10549" s="135">
        <f>YEAR(source[[#This Row],[report_date]])</f>
        <v>2025</v>
      </c>
      <c r="C10549" s="128">
        <f t="shared" si="490"/>
        <v>11</v>
      </c>
      <c r="D10549" s="136">
        <f t="shared" si="492"/>
        <v>46</v>
      </c>
      <c r="E10549" s="136">
        <f t="shared" si="491"/>
        <v>14</v>
      </c>
      <c r="F10549" s="137" t="s">
        <v>24</v>
      </c>
      <c r="G10549" s="128" t="str">
        <f>VLOOKUP(source[[#This Row],[lending_product_transform]],[3]Mapping!$B$4:$C$37,2,0)</f>
        <v>[Cake] - Cashloan</v>
      </c>
      <c r="H10549" s="128" t="str">
        <f>VLOOKUP(source[[#This Row],[lending_product_transform]],[3]Mapping!$B$3:$D$37,3,0)</f>
        <v>cashloan</v>
      </c>
      <c r="I10549" s="143">
        <v>36250000</v>
      </c>
    </row>
    <row r="10550" spans="1:9" x14ac:dyDescent="0.2">
      <c r="A10550" s="134">
        <v>45975</v>
      </c>
      <c r="B10550" s="135">
        <f>YEAR(source[[#This Row],[report_date]])</f>
        <v>2025</v>
      </c>
      <c r="C10550" s="128">
        <f t="shared" ref="C10550:C10613" si="493">MONTH(A10550)</f>
        <v>11</v>
      </c>
      <c r="D10550" s="136">
        <f t="shared" si="492"/>
        <v>46</v>
      </c>
      <c r="E10550" s="136">
        <f t="shared" ref="E10550:E10613" si="494">DAY(A10550)</f>
        <v>14</v>
      </c>
      <c r="F10550" s="137" t="s">
        <v>24</v>
      </c>
      <c r="G10550" s="128" t="str">
        <f>VLOOKUP(source[[#This Row],[lending_product_transform]],[3]Mapping!$B$4:$C$37,2,0)</f>
        <v>[Cake] - Cashloan</v>
      </c>
      <c r="H10550" s="128" t="str">
        <f>VLOOKUP(source[[#This Row],[lending_product_transform]],[3]Mapping!$B$3:$D$37,3,0)</f>
        <v>cashloan</v>
      </c>
      <c r="I10550" s="143">
        <v>38000000</v>
      </c>
    </row>
    <row r="10551" spans="1:9" x14ac:dyDescent="0.2">
      <c r="A10551" s="134">
        <v>45975</v>
      </c>
      <c r="B10551" s="135">
        <f>YEAR(source[[#This Row],[report_date]])</f>
        <v>2025</v>
      </c>
      <c r="C10551" s="128">
        <f t="shared" si="493"/>
        <v>11</v>
      </c>
      <c r="D10551" s="136">
        <f t="shared" si="492"/>
        <v>46</v>
      </c>
      <c r="E10551" s="136">
        <f t="shared" si="494"/>
        <v>14</v>
      </c>
      <c r="F10551" s="137" t="s">
        <v>24</v>
      </c>
      <c r="G10551" s="128" t="str">
        <f>VLOOKUP(source[[#This Row],[lending_product_transform]],[3]Mapping!$B$4:$C$37,2,0)</f>
        <v>[Cake] - Cashloan</v>
      </c>
      <c r="H10551" s="128" t="str">
        <f>VLOOKUP(source[[#This Row],[lending_product_transform]],[3]Mapping!$B$3:$D$37,3,0)</f>
        <v>cashloan</v>
      </c>
      <c r="I10551" s="143">
        <v>740490000</v>
      </c>
    </row>
    <row r="10552" spans="1:9" x14ac:dyDescent="0.2">
      <c r="A10552" s="134">
        <v>45975</v>
      </c>
      <c r="B10552" s="135">
        <f>YEAR(source[[#This Row],[report_date]])</f>
        <v>2025</v>
      </c>
      <c r="C10552" s="128">
        <f t="shared" si="493"/>
        <v>11</v>
      </c>
      <c r="D10552" s="136">
        <f t="shared" si="492"/>
        <v>46</v>
      </c>
      <c r="E10552" s="136">
        <f t="shared" si="494"/>
        <v>14</v>
      </c>
      <c r="F10552" s="137" t="s">
        <v>24</v>
      </c>
      <c r="G10552" s="128" t="str">
        <f>VLOOKUP(source[[#This Row],[lending_product_transform]],[3]Mapping!$B$4:$C$37,2,0)</f>
        <v>[Cake] - Cashloan</v>
      </c>
      <c r="H10552" s="128" t="str">
        <f>VLOOKUP(source[[#This Row],[lending_product_transform]],[3]Mapping!$B$3:$D$37,3,0)</f>
        <v>cashloan</v>
      </c>
      <c r="I10552" s="143">
        <v>205200000</v>
      </c>
    </row>
    <row r="10553" spans="1:9" x14ac:dyDescent="0.2">
      <c r="A10553" s="134">
        <v>45975</v>
      </c>
      <c r="B10553" s="135">
        <f>YEAR(source[[#This Row],[report_date]])</f>
        <v>2025</v>
      </c>
      <c r="C10553" s="128">
        <f t="shared" si="493"/>
        <v>11</v>
      </c>
      <c r="D10553" s="136">
        <f t="shared" si="492"/>
        <v>46</v>
      </c>
      <c r="E10553" s="136">
        <f t="shared" si="494"/>
        <v>14</v>
      </c>
      <c r="F10553" s="137" t="s">
        <v>24</v>
      </c>
      <c r="G10553" s="128" t="str">
        <f>VLOOKUP(source[[#This Row],[lending_product_transform]],[3]Mapping!$B$4:$C$37,2,0)</f>
        <v>[Cake] - Cashloan</v>
      </c>
      <c r="H10553" s="128" t="str">
        <f>VLOOKUP(source[[#This Row],[lending_product_transform]],[3]Mapping!$B$3:$D$37,3,0)</f>
        <v>cashloan</v>
      </c>
      <c r="I10553" s="143">
        <v>317852357</v>
      </c>
    </row>
    <row r="10554" spans="1:9" x14ac:dyDescent="0.2">
      <c r="A10554" s="134">
        <v>45975</v>
      </c>
      <c r="B10554" s="135">
        <f>YEAR(source[[#This Row],[report_date]])</f>
        <v>2025</v>
      </c>
      <c r="C10554" s="128">
        <f t="shared" si="493"/>
        <v>11</v>
      </c>
      <c r="D10554" s="136">
        <f t="shared" si="492"/>
        <v>46</v>
      </c>
      <c r="E10554" s="136">
        <f t="shared" si="494"/>
        <v>14</v>
      </c>
      <c r="F10554" s="137" t="s">
        <v>24</v>
      </c>
      <c r="G10554" s="128" t="str">
        <f>VLOOKUP(source[[#This Row],[lending_product_transform]],[3]Mapping!$B$4:$C$37,2,0)</f>
        <v>[Cake] - Cashloan</v>
      </c>
      <c r="H10554" s="128" t="str">
        <f>VLOOKUP(source[[#This Row],[lending_product_transform]],[3]Mapping!$B$3:$D$37,3,0)</f>
        <v>cashloan</v>
      </c>
      <c r="I10554" s="143">
        <v>3380780000</v>
      </c>
    </row>
    <row r="10555" spans="1:9" x14ac:dyDescent="0.2">
      <c r="A10555" s="134">
        <v>45976</v>
      </c>
      <c r="B10555" s="135">
        <f>YEAR(source[[#This Row],[report_date]])</f>
        <v>2025</v>
      </c>
      <c r="C10555" s="128">
        <f t="shared" si="493"/>
        <v>11</v>
      </c>
      <c r="D10555" s="136">
        <f t="shared" si="492"/>
        <v>46</v>
      </c>
      <c r="E10555" s="136">
        <f t="shared" si="494"/>
        <v>15</v>
      </c>
      <c r="F10555" s="137" t="s">
        <v>24</v>
      </c>
      <c r="G10555" s="128" t="str">
        <f>VLOOKUP(source[[#This Row],[lending_product_transform]],[3]Mapping!$B$4:$C$37,2,0)</f>
        <v>[Cake] - Cashloan</v>
      </c>
      <c r="H10555" s="128" t="str">
        <f>VLOOKUP(source[[#This Row],[lending_product_transform]],[3]Mapping!$B$3:$D$37,3,0)</f>
        <v>cashloan</v>
      </c>
      <c r="I10555" s="143">
        <v>45000000</v>
      </c>
    </row>
    <row r="10556" spans="1:9" x14ac:dyDescent="0.2">
      <c r="A10556" s="134">
        <v>45976</v>
      </c>
      <c r="B10556" s="135">
        <f>YEAR(source[[#This Row],[report_date]])</f>
        <v>2025</v>
      </c>
      <c r="C10556" s="128">
        <f t="shared" si="493"/>
        <v>11</v>
      </c>
      <c r="D10556" s="136">
        <f t="shared" si="492"/>
        <v>46</v>
      </c>
      <c r="E10556" s="136">
        <f t="shared" si="494"/>
        <v>15</v>
      </c>
      <c r="F10556" s="137" t="s">
        <v>24</v>
      </c>
      <c r="G10556" s="128" t="str">
        <f>VLOOKUP(source[[#This Row],[lending_product_transform]],[3]Mapping!$B$4:$C$37,2,0)</f>
        <v>[Cake] - Cashloan</v>
      </c>
      <c r="H10556" s="128" t="str">
        <f>VLOOKUP(source[[#This Row],[lending_product_transform]],[3]Mapping!$B$3:$D$37,3,0)</f>
        <v>cashloan</v>
      </c>
      <c r="I10556" s="143">
        <v>309066007</v>
      </c>
    </row>
    <row r="10557" spans="1:9" x14ac:dyDescent="0.2">
      <c r="A10557" s="134">
        <v>45976</v>
      </c>
      <c r="B10557" s="135">
        <f>YEAR(source[[#This Row],[report_date]])</f>
        <v>2025</v>
      </c>
      <c r="C10557" s="128">
        <f t="shared" si="493"/>
        <v>11</v>
      </c>
      <c r="D10557" s="136">
        <f t="shared" si="492"/>
        <v>46</v>
      </c>
      <c r="E10557" s="136">
        <f t="shared" si="494"/>
        <v>15</v>
      </c>
      <c r="F10557" s="137" t="s">
        <v>24</v>
      </c>
      <c r="G10557" s="128" t="str">
        <f>VLOOKUP(source[[#This Row],[lending_product_transform]],[3]Mapping!$B$4:$C$37,2,0)</f>
        <v>[Cake] - Cashloan</v>
      </c>
      <c r="H10557" s="128" t="str">
        <f>VLOOKUP(source[[#This Row],[lending_product_transform]],[3]Mapping!$B$3:$D$37,3,0)</f>
        <v>cashloan</v>
      </c>
      <c r="I10557" s="143">
        <v>14715520000</v>
      </c>
    </row>
    <row r="10558" spans="1:9" x14ac:dyDescent="0.2">
      <c r="A10558" s="134">
        <v>45976</v>
      </c>
      <c r="B10558" s="135">
        <f>YEAR(source[[#This Row],[report_date]])</f>
        <v>2025</v>
      </c>
      <c r="C10558" s="128">
        <f t="shared" si="493"/>
        <v>11</v>
      </c>
      <c r="D10558" s="136">
        <f t="shared" si="492"/>
        <v>46</v>
      </c>
      <c r="E10558" s="136">
        <f t="shared" si="494"/>
        <v>15</v>
      </c>
      <c r="F10558" s="137" t="s">
        <v>24</v>
      </c>
      <c r="G10558" s="128" t="str">
        <f>VLOOKUP(source[[#This Row],[lending_product_transform]],[3]Mapping!$B$4:$C$37,2,0)</f>
        <v>[Cake] - Cashloan</v>
      </c>
      <c r="H10558" s="128" t="str">
        <f>VLOOKUP(source[[#This Row],[lending_product_transform]],[3]Mapping!$B$3:$D$37,3,0)</f>
        <v>cashloan</v>
      </c>
      <c r="I10558" s="143">
        <v>2520859756</v>
      </c>
    </row>
    <row r="10559" spans="1:9" x14ac:dyDescent="0.2">
      <c r="A10559" s="134">
        <v>45976</v>
      </c>
      <c r="B10559" s="135">
        <f>YEAR(source[[#This Row],[report_date]])</f>
        <v>2025</v>
      </c>
      <c r="C10559" s="128">
        <f t="shared" si="493"/>
        <v>11</v>
      </c>
      <c r="D10559" s="136">
        <f t="shared" si="492"/>
        <v>46</v>
      </c>
      <c r="E10559" s="136">
        <f t="shared" si="494"/>
        <v>15</v>
      </c>
      <c r="F10559" s="137" t="s">
        <v>24</v>
      </c>
      <c r="G10559" s="128" t="str">
        <f>VLOOKUP(source[[#This Row],[lending_product_transform]],[3]Mapping!$B$4:$C$37,2,0)</f>
        <v>[Cake] - Cashloan</v>
      </c>
      <c r="H10559" s="128" t="str">
        <f>VLOOKUP(source[[#This Row],[lending_product_transform]],[3]Mapping!$B$3:$D$37,3,0)</f>
        <v>cashloan</v>
      </c>
      <c r="I10559" s="143">
        <v>8939484000</v>
      </c>
    </row>
    <row r="10560" spans="1:9" x14ac:dyDescent="0.2">
      <c r="A10560" s="134">
        <v>45976</v>
      </c>
      <c r="B10560" s="135">
        <f>YEAR(source[[#This Row],[report_date]])</f>
        <v>2025</v>
      </c>
      <c r="C10560" s="128">
        <f t="shared" si="493"/>
        <v>11</v>
      </c>
      <c r="D10560" s="136">
        <f t="shared" si="492"/>
        <v>46</v>
      </c>
      <c r="E10560" s="136">
        <f t="shared" si="494"/>
        <v>15</v>
      </c>
      <c r="F10560" s="137" t="s">
        <v>24</v>
      </c>
      <c r="G10560" s="128" t="str">
        <f>VLOOKUP(source[[#This Row],[lending_product_transform]],[3]Mapping!$B$4:$C$37,2,0)</f>
        <v>[Cake] - Cashloan</v>
      </c>
      <c r="H10560" s="128" t="str">
        <f>VLOOKUP(source[[#This Row],[lending_product_transform]],[3]Mapping!$B$3:$D$37,3,0)</f>
        <v>cashloan</v>
      </c>
      <c r="I10560" s="143">
        <v>8766396</v>
      </c>
    </row>
    <row r="10561" spans="1:9" x14ac:dyDescent="0.2">
      <c r="A10561" s="134">
        <v>45976</v>
      </c>
      <c r="B10561" s="135">
        <f>YEAR(source[[#This Row],[report_date]])</f>
        <v>2025</v>
      </c>
      <c r="C10561" s="128">
        <f t="shared" si="493"/>
        <v>11</v>
      </c>
      <c r="D10561" s="136">
        <f t="shared" si="492"/>
        <v>46</v>
      </c>
      <c r="E10561" s="136">
        <f t="shared" si="494"/>
        <v>15</v>
      </c>
      <c r="F10561" s="137" t="s">
        <v>24</v>
      </c>
      <c r="G10561" s="128" t="str">
        <f>VLOOKUP(source[[#This Row],[lending_product_transform]],[3]Mapping!$B$4:$C$37,2,0)</f>
        <v>[Cake] - Cashloan</v>
      </c>
      <c r="H10561" s="128" t="str">
        <f>VLOOKUP(source[[#This Row],[lending_product_transform]],[3]Mapping!$B$3:$D$37,3,0)</f>
        <v>cashloan</v>
      </c>
      <c r="I10561" s="143">
        <v>3914270000</v>
      </c>
    </row>
    <row r="10562" spans="1:9" x14ac:dyDescent="0.2">
      <c r="A10562" s="134">
        <v>45976</v>
      </c>
      <c r="B10562" s="135">
        <f>YEAR(source[[#This Row],[report_date]])</f>
        <v>2025</v>
      </c>
      <c r="C10562" s="128">
        <f t="shared" si="493"/>
        <v>11</v>
      </c>
      <c r="D10562" s="136">
        <f t="shared" si="492"/>
        <v>46</v>
      </c>
      <c r="E10562" s="136">
        <f t="shared" si="494"/>
        <v>15</v>
      </c>
      <c r="F10562" s="137" t="s">
        <v>24</v>
      </c>
      <c r="G10562" s="128" t="str">
        <f>VLOOKUP(source[[#This Row],[lending_product_transform]],[3]Mapping!$B$4:$C$37,2,0)</f>
        <v>[Cake] - Cashloan</v>
      </c>
      <c r="H10562" s="128" t="str">
        <f>VLOOKUP(source[[#This Row],[lending_product_transform]],[3]Mapping!$B$3:$D$37,3,0)</f>
        <v>cashloan</v>
      </c>
      <c r="I10562" s="143">
        <v>14038775</v>
      </c>
    </row>
    <row r="10563" spans="1:9" x14ac:dyDescent="0.2">
      <c r="A10563" s="134">
        <v>45976</v>
      </c>
      <c r="B10563" s="135">
        <f>YEAR(source[[#This Row],[report_date]])</f>
        <v>2025</v>
      </c>
      <c r="C10563" s="128">
        <f t="shared" si="493"/>
        <v>11</v>
      </c>
      <c r="D10563" s="136">
        <f t="shared" ref="D10563:D10626" si="495">WEEKNUM(A10563,2)</f>
        <v>46</v>
      </c>
      <c r="E10563" s="136">
        <f t="shared" si="494"/>
        <v>15</v>
      </c>
      <c r="F10563" s="137" t="s">
        <v>24</v>
      </c>
      <c r="G10563" s="128" t="str">
        <f>VLOOKUP(source[[#This Row],[lending_product_transform]],[3]Mapping!$B$4:$C$37,2,0)</f>
        <v>[Cake] - Cashloan</v>
      </c>
      <c r="H10563" s="128" t="str">
        <f>VLOOKUP(source[[#This Row],[lending_product_transform]],[3]Mapping!$B$3:$D$37,3,0)</f>
        <v>cashloan</v>
      </c>
      <c r="I10563" s="143">
        <v>935482091</v>
      </c>
    </row>
    <row r="10564" spans="1:9" x14ac:dyDescent="0.2">
      <c r="A10564" s="134">
        <v>45976</v>
      </c>
      <c r="B10564" s="135">
        <f>YEAR(source[[#This Row],[report_date]])</f>
        <v>2025</v>
      </c>
      <c r="C10564" s="128">
        <f t="shared" si="493"/>
        <v>11</v>
      </c>
      <c r="D10564" s="136">
        <f t="shared" si="495"/>
        <v>46</v>
      </c>
      <c r="E10564" s="136">
        <f t="shared" si="494"/>
        <v>15</v>
      </c>
      <c r="F10564" s="137" t="s">
        <v>24</v>
      </c>
      <c r="G10564" s="128" t="str">
        <f>VLOOKUP(source[[#This Row],[lending_product_transform]],[3]Mapping!$B$4:$C$37,2,0)</f>
        <v>[Cake] - Cashloan</v>
      </c>
      <c r="H10564" s="128" t="str">
        <f>VLOOKUP(source[[#This Row],[lending_product_transform]],[3]Mapping!$B$3:$D$37,3,0)</f>
        <v>cashloan</v>
      </c>
      <c r="I10564" s="143">
        <v>0</v>
      </c>
    </row>
    <row r="10565" spans="1:9" x14ac:dyDescent="0.2">
      <c r="A10565" s="134">
        <v>45976</v>
      </c>
      <c r="B10565" s="135">
        <f>YEAR(source[[#This Row],[report_date]])</f>
        <v>2025</v>
      </c>
      <c r="C10565" s="128">
        <f t="shared" si="493"/>
        <v>11</v>
      </c>
      <c r="D10565" s="136">
        <f t="shared" si="495"/>
        <v>46</v>
      </c>
      <c r="E10565" s="136">
        <f t="shared" si="494"/>
        <v>15</v>
      </c>
      <c r="F10565" s="137" t="s">
        <v>24</v>
      </c>
      <c r="G10565" s="128" t="str">
        <f>VLOOKUP(source[[#This Row],[lending_product_transform]],[3]Mapping!$B$4:$C$37,2,0)</f>
        <v>[Cake] - Cashloan</v>
      </c>
      <c r="H10565" s="128" t="str">
        <f>VLOOKUP(source[[#This Row],[lending_product_transform]],[3]Mapping!$B$3:$D$37,3,0)</f>
        <v>cashloan</v>
      </c>
      <c r="I10565" s="143">
        <v>266000000</v>
      </c>
    </row>
    <row r="10566" spans="1:9" x14ac:dyDescent="0.2">
      <c r="A10566" s="134">
        <v>45976</v>
      </c>
      <c r="B10566" s="135">
        <f>YEAR(source[[#This Row],[report_date]])</f>
        <v>2025</v>
      </c>
      <c r="C10566" s="128">
        <f t="shared" si="493"/>
        <v>11</v>
      </c>
      <c r="D10566" s="136">
        <f t="shared" si="495"/>
        <v>46</v>
      </c>
      <c r="E10566" s="136">
        <f t="shared" si="494"/>
        <v>15</v>
      </c>
      <c r="F10566" s="137" t="s">
        <v>24</v>
      </c>
      <c r="G10566" s="128" t="str">
        <f>VLOOKUP(source[[#This Row],[lending_product_transform]],[3]Mapping!$B$4:$C$37,2,0)</f>
        <v>[Cake] - Cashloan</v>
      </c>
      <c r="H10566" s="128" t="str">
        <f>VLOOKUP(source[[#This Row],[lending_product_transform]],[3]Mapping!$B$3:$D$37,3,0)</f>
        <v>cashloan</v>
      </c>
      <c r="I10566" s="143">
        <v>17176690000</v>
      </c>
    </row>
    <row r="10567" spans="1:9" x14ac:dyDescent="0.2">
      <c r="A10567" s="134">
        <v>45976</v>
      </c>
      <c r="B10567" s="135">
        <f>YEAR(source[[#This Row],[report_date]])</f>
        <v>2025</v>
      </c>
      <c r="C10567" s="128">
        <f t="shared" si="493"/>
        <v>11</v>
      </c>
      <c r="D10567" s="136">
        <f t="shared" si="495"/>
        <v>46</v>
      </c>
      <c r="E10567" s="136">
        <f t="shared" si="494"/>
        <v>15</v>
      </c>
      <c r="F10567" s="137" t="s">
        <v>24</v>
      </c>
      <c r="G10567" s="128" t="str">
        <f>VLOOKUP(source[[#This Row],[lending_product_transform]],[3]Mapping!$B$4:$C$37,2,0)</f>
        <v>[Cake] - Cashloan</v>
      </c>
      <c r="H10567" s="128" t="str">
        <f>VLOOKUP(source[[#This Row],[lending_product_transform]],[3]Mapping!$B$3:$D$37,3,0)</f>
        <v>cashloan</v>
      </c>
      <c r="I10567" s="143">
        <v>0</v>
      </c>
    </row>
    <row r="10568" spans="1:9" x14ac:dyDescent="0.2">
      <c r="A10568" s="134">
        <v>45976</v>
      </c>
      <c r="B10568" s="135">
        <f>YEAR(source[[#This Row],[report_date]])</f>
        <v>2025</v>
      </c>
      <c r="C10568" s="128">
        <f t="shared" si="493"/>
        <v>11</v>
      </c>
      <c r="D10568" s="136">
        <f t="shared" si="495"/>
        <v>46</v>
      </c>
      <c r="E10568" s="136">
        <f t="shared" si="494"/>
        <v>15</v>
      </c>
      <c r="F10568" s="137" t="s">
        <v>24</v>
      </c>
      <c r="G10568" s="128" t="str">
        <f>VLOOKUP(source[[#This Row],[lending_product_transform]],[3]Mapping!$B$4:$C$37,2,0)</f>
        <v>[Cake] - Cashloan</v>
      </c>
      <c r="H10568" s="128" t="str">
        <f>VLOOKUP(source[[#This Row],[lending_product_transform]],[3]Mapping!$B$3:$D$37,3,0)</f>
        <v>cashloan</v>
      </c>
      <c r="I10568" s="143">
        <v>0</v>
      </c>
    </row>
    <row r="10569" spans="1:9" x14ac:dyDescent="0.2">
      <c r="A10569" s="134">
        <v>45976</v>
      </c>
      <c r="B10569" s="135">
        <f>YEAR(source[[#This Row],[report_date]])</f>
        <v>2025</v>
      </c>
      <c r="C10569" s="128">
        <f t="shared" si="493"/>
        <v>11</v>
      </c>
      <c r="D10569" s="136">
        <f t="shared" si="495"/>
        <v>46</v>
      </c>
      <c r="E10569" s="136">
        <f t="shared" si="494"/>
        <v>15</v>
      </c>
      <c r="F10569" s="137" t="s">
        <v>24</v>
      </c>
      <c r="G10569" s="128" t="str">
        <f>VLOOKUP(source[[#This Row],[lending_product_transform]],[3]Mapping!$B$4:$C$37,2,0)</f>
        <v>[Cake] - Cashloan</v>
      </c>
      <c r="H10569" s="128" t="str">
        <f>VLOOKUP(source[[#This Row],[lending_product_transform]],[3]Mapping!$B$3:$D$37,3,0)</f>
        <v>cashloan</v>
      </c>
      <c r="I10569" s="143">
        <v>0</v>
      </c>
    </row>
    <row r="10570" spans="1:9" x14ac:dyDescent="0.2">
      <c r="A10570" s="134">
        <v>45976</v>
      </c>
      <c r="B10570" s="135">
        <f>YEAR(source[[#This Row],[report_date]])</f>
        <v>2025</v>
      </c>
      <c r="C10570" s="128">
        <f t="shared" si="493"/>
        <v>11</v>
      </c>
      <c r="D10570" s="136">
        <f t="shared" si="495"/>
        <v>46</v>
      </c>
      <c r="E10570" s="136">
        <f t="shared" si="494"/>
        <v>15</v>
      </c>
      <c r="F10570" s="137" t="s">
        <v>24</v>
      </c>
      <c r="G10570" s="128" t="str">
        <f>VLOOKUP(source[[#This Row],[lending_product_transform]],[3]Mapping!$B$4:$C$37,2,0)</f>
        <v>[Cake] - Cashloan</v>
      </c>
      <c r="H10570" s="128" t="str">
        <f>VLOOKUP(source[[#This Row],[lending_product_transform]],[3]Mapping!$B$3:$D$37,3,0)</f>
        <v>cashloan</v>
      </c>
      <c r="I10570" s="143">
        <v>0</v>
      </c>
    </row>
    <row r="10571" spans="1:9" x14ac:dyDescent="0.2">
      <c r="A10571" s="134">
        <v>45976</v>
      </c>
      <c r="B10571" s="135">
        <f>YEAR(source[[#This Row],[report_date]])</f>
        <v>2025</v>
      </c>
      <c r="C10571" s="128">
        <f t="shared" si="493"/>
        <v>11</v>
      </c>
      <c r="D10571" s="136">
        <f t="shared" si="495"/>
        <v>46</v>
      </c>
      <c r="E10571" s="136">
        <f t="shared" si="494"/>
        <v>15</v>
      </c>
      <c r="F10571" s="137" t="s">
        <v>24</v>
      </c>
      <c r="G10571" s="128" t="str">
        <f>VLOOKUP(source[[#This Row],[lending_product_transform]],[3]Mapping!$B$4:$C$37,2,0)</f>
        <v>[Cake] - Cashloan</v>
      </c>
      <c r="H10571" s="128" t="str">
        <f>VLOOKUP(source[[#This Row],[lending_product_transform]],[3]Mapping!$B$3:$D$37,3,0)</f>
        <v>cashloan</v>
      </c>
      <c r="I10571" s="143">
        <v>10692324000</v>
      </c>
    </row>
    <row r="10572" spans="1:9" x14ac:dyDescent="0.2">
      <c r="A10572" s="134">
        <v>45976</v>
      </c>
      <c r="B10572" s="135">
        <f>YEAR(source[[#This Row],[report_date]])</f>
        <v>2025</v>
      </c>
      <c r="C10572" s="128">
        <f t="shared" si="493"/>
        <v>11</v>
      </c>
      <c r="D10572" s="136">
        <f t="shared" si="495"/>
        <v>46</v>
      </c>
      <c r="E10572" s="136">
        <f t="shared" si="494"/>
        <v>15</v>
      </c>
      <c r="F10572" s="137" t="s">
        <v>24</v>
      </c>
      <c r="G10572" s="128" t="str">
        <f>VLOOKUP(source[[#This Row],[lending_product_transform]],[3]Mapping!$B$4:$C$37,2,0)</f>
        <v>[Cake] - Cashloan</v>
      </c>
      <c r="H10572" s="128" t="str">
        <f>VLOOKUP(source[[#This Row],[lending_product_transform]],[3]Mapping!$B$3:$D$37,3,0)</f>
        <v>cashloan</v>
      </c>
      <c r="I10572" s="143">
        <v>175360153</v>
      </c>
    </row>
    <row r="10573" spans="1:9" x14ac:dyDescent="0.2">
      <c r="A10573" s="134">
        <v>45976</v>
      </c>
      <c r="B10573" s="135">
        <f>YEAR(source[[#This Row],[report_date]])</f>
        <v>2025</v>
      </c>
      <c r="C10573" s="128">
        <f t="shared" si="493"/>
        <v>11</v>
      </c>
      <c r="D10573" s="136">
        <f t="shared" si="495"/>
        <v>46</v>
      </c>
      <c r="E10573" s="136">
        <f t="shared" si="494"/>
        <v>15</v>
      </c>
      <c r="F10573" s="137" t="s">
        <v>24</v>
      </c>
      <c r="G10573" s="128" t="str">
        <f>VLOOKUP(source[[#This Row],[lending_product_transform]],[3]Mapping!$B$4:$C$37,2,0)</f>
        <v>[Cake] - Cashloan</v>
      </c>
      <c r="H10573" s="128" t="str">
        <f>VLOOKUP(source[[#This Row],[lending_product_transform]],[3]Mapping!$B$3:$D$37,3,0)</f>
        <v>cashloan</v>
      </c>
      <c r="I10573" s="143">
        <v>21000000</v>
      </c>
    </row>
    <row r="10574" spans="1:9" x14ac:dyDescent="0.2">
      <c r="A10574" s="134">
        <v>45976</v>
      </c>
      <c r="B10574" s="135">
        <f>YEAR(source[[#This Row],[report_date]])</f>
        <v>2025</v>
      </c>
      <c r="C10574" s="128">
        <f t="shared" si="493"/>
        <v>11</v>
      </c>
      <c r="D10574" s="136">
        <f t="shared" si="495"/>
        <v>46</v>
      </c>
      <c r="E10574" s="136">
        <f t="shared" si="494"/>
        <v>15</v>
      </c>
      <c r="F10574" s="137" t="s">
        <v>24</v>
      </c>
      <c r="G10574" s="128" t="str">
        <f>VLOOKUP(source[[#This Row],[lending_product_transform]],[3]Mapping!$B$4:$C$37,2,0)</f>
        <v>[Cake] - Cashloan</v>
      </c>
      <c r="H10574" s="128" t="str">
        <f>VLOOKUP(source[[#This Row],[lending_product_transform]],[3]Mapping!$B$3:$D$37,3,0)</f>
        <v>cashloan</v>
      </c>
      <c r="I10574" s="143">
        <v>36000000</v>
      </c>
    </row>
    <row r="10575" spans="1:9" x14ac:dyDescent="0.2">
      <c r="A10575" s="134">
        <v>45976</v>
      </c>
      <c r="B10575" s="135">
        <f>YEAR(source[[#This Row],[report_date]])</f>
        <v>2025</v>
      </c>
      <c r="C10575" s="128">
        <f t="shared" si="493"/>
        <v>11</v>
      </c>
      <c r="D10575" s="136">
        <f t="shared" si="495"/>
        <v>46</v>
      </c>
      <c r="E10575" s="136">
        <f t="shared" si="494"/>
        <v>15</v>
      </c>
      <c r="F10575" s="137" t="s">
        <v>24</v>
      </c>
      <c r="G10575" s="128" t="str">
        <f>VLOOKUP(source[[#This Row],[lending_product_transform]],[3]Mapping!$B$4:$C$37,2,0)</f>
        <v>[Cake] - Cashloan</v>
      </c>
      <c r="H10575" s="128" t="str">
        <f>VLOOKUP(source[[#This Row],[lending_product_transform]],[3]Mapping!$B$3:$D$37,3,0)</f>
        <v>cashloan</v>
      </c>
      <c r="I10575" s="143">
        <v>574840000</v>
      </c>
    </row>
    <row r="10576" spans="1:9" x14ac:dyDescent="0.2">
      <c r="A10576" s="134">
        <v>45976</v>
      </c>
      <c r="B10576" s="135">
        <f>YEAR(source[[#This Row],[report_date]])</f>
        <v>2025</v>
      </c>
      <c r="C10576" s="128">
        <f t="shared" si="493"/>
        <v>11</v>
      </c>
      <c r="D10576" s="136">
        <f t="shared" si="495"/>
        <v>46</v>
      </c>
      <c r="E10576" s="136">
        <f t="shared" si="494"/>
        <v>15</v>
      </c>
      <c r="F10576" s="137" t="s">
        <v>24</v>
      </c>
      <c r="G10576" s="128" t="str">
        <f>VLOOKUP(source[[#This Row],[lending_product_transform]],[3]Mapping!$B$4:$C$37,2,0)</f>
        <v>[Cake] - Cashloan</v>
      </c>
      <c r="H10576" s="128" t="str">
        <f>VLOOKUP(source[[#This Row],[lending_product_transform]],[3]Mapping!$B$3:$D$37,3,0)</f>
        <v>cashloan</v>
      </c>
      <c r="I10576" s="143">
        <v>221940000</v>
      </c>
    </row>
    <row r="10577" spans="1:9" x14ac:dyDescent="0.2">
      <c r="A10577" s="134">
        <v>45976</v>
      </c>
      <c r="B10577" s="135">
        <f>YEAR(source[[#This Row],[report_date]])</f>
        <v>2025</v>
      </c>
      <c r="C10577" s="128">
        <f t="shared" si="493"/>
        <v>11</v>
      </c>
      <c r="D10577" s="136">
        <f t="shared" si="495"/>
        <v>46</v>
      </c>
      <c r="E10577" s="136">
        <f t="shared" si="494"/>
        <v>15</v>
      </c>
      <c r="F10577" s="137" t="s">
        <v>24</v>
      </c>
      <c r="G10577" s="128" t="str">
        <f>VLOOKUP(source[[#This Row],[lending_product_transform]],[3]Mapping!$B$4:$C$37,2,0)</f>
        <v>[Cake] - Cashloan</v>
      </c>
      <c r="H10577" s="128" t="str">
        <f>VLOOKUP(source[[#This Row],[lending_product_transform]],[3]Mapping!$B$3:$D$37,3,0)</f>
        <v>cashloan</v>
      </c>
      <c r="I10577" s="143">
        <v>314715921</v>
      </c>
    </row>
    <row r="10578" spans="1:9" x14ac:dyDescent="0.2">
      <c r="A10578" s="134">
        <v>45976</v>
      </c>
      <c r="B10578" s="135">
        <f>YEAR(source[[#This Row],[report_date]])</f>
        <v>2025</v>
      </c>
      <c r="C10578" s="128">
        <f t="shared" si="493"/>
        <v>11</v>
      </c>
      <c r="D10578" s="136">
        <f t="shared" si="495"/>
        <v>46</v>
      </c>
      <c r="E10578" s="136">
        <f t="shared" si="494"/>
        <v>15</v>
      </c>
      <c r="F10578" s="137" t="s">
        <v>24</v>
      </c>
      <c r="G10578" s="128" t="str">
        <f>VLOOKUP(source[[#This Row],[lending_product_transform]],[3]Mapping!$B$4:$C$37,2,0)</f>
        <v>[Cake] - Cashloan</v>
      </c>
      <c r="H10578" s="128" t="str">
        <f>VLOOKUP(source[[#This Row],[lending_product_transform]],[3]Mapping!$B$3:$D$37,3,0)</f>
        <v>cashloan</v>
      </c>
      <c r="I10578" s="143">
        <v>2424260000</v>
      </c>
    </row>
    <row r="10579" spans="1:9" x14ac:dyDescent="0.2">
      <c r="A10579" s="134">
        <v>45977</v>
      </c>
      <c r="B10579" s="135">
        <f>YEAR(source[[#This Row],[report_date]])</f>
        <v>2025</v>
      </c>
      <c r="C10579" s="128">
        <f t="shared" si="493"/>
        <v>11</v>
      </c>
      <c r="D10579" s="136">
        <f t="shared" si="495"/>
        <v>46</v>
      </c>
      <c r="E10579" s="136">
        <f t="shared" si="494"/>
        <v>16</v>
      </c>
      <c r="F10579" s="137" t="s">
        <v>24</v>
      </c>
      <c r="G10579" s="128" t="str">
        <f>VLOOKUP(source[[#This Row],[lending_product_transform]],[3]Mapping!$B$4:$C$37,2,0)</f>
        <v>[Cake] - Cashloan</v>
      </c>
      <c r="H10579" s="128" t="str">
        <f>VLOOKUP(source[[#This Row],[lending_product_transform]],[3]Mapping!$B$3:$D$37,3,0)</f>
        <v>cashloan</v>
      </c>
      <c r="I10579" s="143">
        <v>0</v>
      </c>
    </row>
    <row r="10580" spans="1:9" x14ac:dyDescent="0.2">
      <c r="A10580" s="134">
        <v>45977</v>
      </c>
      <c r="B10580" s="135">
        <f>YEAR(source[[#This Row],[report_date]])</f>
        <v>2025</v>
      </c>
      <c r="C10580" s="128">
        <f t="shared" si="493"/>
        <v>11</v>
      </c>
      <c r="D10580" s="136">
        <f t="shared" si="495"/>
        <v>46</v>
      </c>
      <c r="E10580" s="136">
        <f t="shared" si="494"/>
        <v>16</v>
      </c>
      <c r="F10580" s="137" t="s">
        <v>24</v>
      </c>
      <c r="G10580" s="128" t="str">
        <f>VLOOKUP(source[[#This Row],[lending_product_transform]],[3]Mapping!$B$4:$C$37,2,0)</f>
        <v>[Cake] - Cashloan</v>
      </c>
      <c r="H10580" s="128" t="str">
        <f>VLOOKUP(source[[#This Row],[lending_product_transform]],[3]Mapping!$B$3:$D$37,3,0)</f>
        <v>cashloan</v>
      </c>
      <c r="I10580" s="143">
        <v>327340599</v>
      </c>
    </row>
    <row r="10581" spans="1:9" x14ac:dyDescent="0.2">
      <c r="A10581" s="134">
        <v>45977</v>
      </c>
      <c r="B10581" s="135">
        <f>YEAR(source[[#This Row],[report_date]])</f>
        <v>2025</v>
      </c>
      <c r="C10581" s="128">
        <f t="shared" si="493"/>
        <v>11</v>
      </c>
      <c r="D10581" s="136">
        <f t="shared" si="495"/>
        <v>46</v>
      </c>
      <c r="E10581" s="136">
        <f t="shared" si="494"/>
        <v>16</v>
      </c>
      <c r="F10581" s="137" t="s">
        <v>24</v>
      </c>
      <c r="G10581" s="128" t="str">
        <f>VLOOKUP(source[[#This Row],[lending_product_transform]],[3]Mapping!$B$4:$C$37,2,0)</f>
        <v>[Cake] - Cashloan</v>
      </c>
      <c r="H10581" s="128" t="str">
        <f>VLOOKUP(source[[#This Row],[lending_product_transform]],[3]Mapping!$B$3:$D$37,3,0)</f>
        <v>cashloan</v>
      </c>
      <c r="I10581" s="143">
        <v>13492760000</v>
      </c>
    </row>
    <row r="10582" spans="1:9" x14ac:dyDescent="0.2">
      <c r="A10582" s="134">
        <v>45977</v>
      </c>
      <c r="B10582" s="135">
        <f>YEAR(source[[#This Row],[report_date]])</f>
        <v>2025</v>
      </c>
      <c r="C10582" s="128">
        <f t="shared" si="493"/>
        <v>11</v>
      </c>
      <c r="D10582" s="136">
        <f t="shared" si="495"/>
        <v>46</v>
      </c>
      <c r="E10582" s="136">
        <f t="shared" si="494"/>
        <v>16</v>
      </c>
      <c r="F10582" s="137" t="s">
        <v>24</v>
      </c>
      <c r="G10582" s="128" t="str">
        <f>VLOOKUP(source[[#This Row],[lending_product_transform]],[3]Mapping!$B$4:$C$37,2,0)</f>
        <v>[Cake] - Cashloan</v>
      </c>
      <c r="H10582" s="128" t="str">
        <f>VLOOKUP(source[[#This Row],[lending_product_transform]],[3]Mapping!$B$3:$D$37,3,0)</f>
        <v>cashloan</v>
      </c>
      <c r="I10582" s="143">
        <v>1725145323</v>
      </c>
    </row>
    <row r="10583" spans="1:9" x14ac:dyDescent="0.2">
      <c r="A10583" s="134">
        <v>45977</v>
      </c>
      <c r="B10583" s="135">
        <f>YEAR(source[[#This Row],[report_date]])</f>
        <v>2025</v>
      </c>
      <c r="C10583" s="128">
        <f t="shared" si="493"/>
        <v>11</v>
      </c>
      <c r="D10583" s="136">
        <f t="shared" si="495"/>
        <v>46</v>
      </c>
      <c r="E10583" s="136">
        <f t="shared" si="494"/>
        <v>16</v>
      </c>
      <c r="F10583" s="137" t="s">
        <v>24</v>
      </c>
      <c r="G10583" s="128" t="str">
        <f>VLOOKUP(source[[#This Row],[lending_product_transform]],[3]Mapping!$B$4:$C$37,2,0)</f>
        <v>[Cake] - Cashloan</v>
      </c>
      <c r="H10583" s="128" t="str">
        <f>VLOOKUP(source[[#This Row],[lending_product_transform]],[3]Mapping!$B$3:$D$37,3,0)</f>
        <v>cashloan</v>
      </c>
      <c r="I10583" s="143">
        <v>8178624000</v>
      </c>
    </row>
    <row r="10584" spans="1:9" x14ac:dyDescent="0.2">
      <c r="A10584" s="134">
        <v>45977</v>
      </c>
      <c r="B10584" s="135">
        <f>YEAR(source[[#This Row],[report_date]])</f>
        <v>2025</v>
      </c>
      <c r="C10584" s="128">
        <f t="shared" si="493"/>
        <v>11</v>
      </c>
      <c r="D10584" s="136">
        <f t="shared" si="495"/>
        <v>46</v>
      </c>
      <c r="E10584" s="136">
        <f t="shared" si="494"/>
        <v>16</v>
      </c>
      <c r="F10584" s="137" t="s">
        <v>24</v>
      </c>
      <c r="G10584" s="128" t="str">
        <f>VLOOKUP(source[[#This Row],[lending_product_transform]],[3]Mapping!$B$4:$C$37,2,0)</f>
        <v>[Cake] - Cashloan</v>
      </c>
      <c r="H10584" s="128" t="str">
        <f>VLOOKUP(source[[#This Row],[lending_product_transform]],[3]Mapping!$B$3:$D$37,3,0)</f>
        <v>cashloan</v>
      </c>
      <c r="I10584" s="143">
        <v>4614291</v>
      </c>
    </row>
    <row r="10585" spans="1:9" x14ac:dyDescent="0.2">
      <c r="A10585" s="134">
        <v>45977</v>
      </c>
      <c r="B10585" s="135">
        <f>YEAR(source[[#This Row],[report_date]])</f>
        <v>2025</v>
      </c>
      <c r="C10585" s="128">
        <f t="shared" si="493"/>
        <v>11</v>
      </c>
      <c r="D10585" s="136">
        <f t="shared" si="495"/>
        <v>46</v>
      </c>
      <c r="E10585" s="136">
        <f t="shared" si="494"/>
        <v>16</v>
      </c>
      <c r="F10585" s="137" t="s">
        <v>24</v>
      </c>
      <c r="G10585" s="128" t="str">
        <f>VLOOKUP(source[[#This Row],[lending_product_transform]],[3]Mapping!$B$4:$C$37,2,0)</f>
        <v>[Cake] - Cashloan</v>
      </c>
      <c r="H10585" s="128" t="str">
        <f>VLOOKUP(source[[#This Row],[lending_product_transform]],[3]Mapping!$B$3:$D$37,3,0)</f>
        <v>cashloan</v>
      </c>
      <c r="I10585" s="143">
        <v>4433790000</v>
      </c>
    </row>
    <row r="10586" spans="1:9" x14ac:dyDescent="0.2">
      <c r="A10586" s="134">
        <v>45977</v>
      </c>
      <c r="B10586" s="135">
        <f>YEAR(source[[#This Row],[report_date]])</f>
        <v>2025</v>
      </c>
      <c r="C10586" s="128">
        <f t="shared" si="493"/>
        <v>11</v>
      </c>
      <c r="D10586" s="136">
        <f t="shared" si="495"/>
        <v>46</v>
      </c>
      <c r="E10586" s="136">
        <f t="shared" si="494"/>
        <v>16</v>
      </c>
      <c r="F10586" s="137" t="s">
        <v>24</v>
      </c>
      <c r="G10586" s="128" t="str">
        <f>VLOOKUP(source[[#This Row],[lending_product_transform]],[3]Mapping!$B$4:$C$37,2,0)</f>
        <v>[Cake] - Cashloan</v>
      </c>
      <c r="H10586" s="128" t="str">
        <f>VLOOKUP(source[[#This Row],[lending_product_transform]],[3]Mapping!$B$3:$D$37,3,0)</f>
        <v>cashloan</v>
      </c>
      <c r="I10586" s="143">
        <v>13882952</v>
      </c>
    </row>
    <row r="10587" spans="1:9" x14ac:dyDescent="0.2">
      <c r="A10587" s="134">
        <v>45977</v>
      </c>
      <c r="B10587" s="135">
        <f>YEAR(source[[#This Row],[report_date]])</f>
        <v>2025</v>
      </c>
      <c r="C10587" s="128">
        <f t="shared" si="493"/>
        <v>11</v>
      </c>
      <c r="D10587" s="136">
        <f t="shared" si="495"/>
        <v>46</v>
      </c>
      <c r="E10587" s="136">
        <f t="shared" si="494"/>
        <v>16</v>
      </c>
      <c r="F10587" s="137" t="s">
        <v>24</v>
      </c>
      <c r="G10587" s="128" t="str">
        <f>VLOOKUP(source[[#This Row],[lending_product_transform]],[3]Mapping!$B$4:$C$37,2,0)</f>
        <v>[Cake] - Cashloan</v>
      </c>
      <c r="H10587" s="128" t="str">
        <f>VLOOKUP(source[[#This Row],[lending_product_transform]],[3]Mapping!$B$3:$D$37,3,0)</f>
        <v>cashloan</v>
      </c>
      <c r="I10587" s="143">
        <v>1120089858</v>
      </c>
    </row>
    <row r="10588" spans="1:9" x14ac:dyDescent="0.2">
      <c r="A10588" s="134">
        <v>45977</v>
      </c>
      <c r="B10588" s="135">
        <f>YEAR(source[[#This Row],[report_date]])</f>
        <v>2025</v>
      </c>
      <c r="C10588" s="128">
        <f t="shared" si="493"/>
        <v>11</v>
      </c>
      <c r="D10588" s="136">
        <f t="shared" si="495"/>
        <v>46</v>
      </c>
      <c r="E10588" s="136">
        <f t="shared" si="494"/>
        <v>16</v>
      </c>
      <c r="F10588" s="137" t="s">
        <v>24</v>
      </c>
      <c r="G10588" s="128" t="str">
        <f>VLOOKUP(source[[#This Row],[lending_product_transform]],[3]Mapping!$B$4:$C$37,2,0)</f>
        <v>[Cake] - Cashloan</v>
      </c>
      <c r="H10588" s="128" t="str">
        <f>VLOOKUP(source[[#This Row],[lending_product_transform]],[3]Mapping!$B$3:$D$37,3,0)</f>
        <v>cashloan</v>
      </c>
      <c r="I10588" s="143">
        <v>0</v>
      </c>
    </row>
    <row r="10589" spans="1:9" x14ac:dyDescent="0.2">
      <c r="A10589" s="134">
        <v>45977</v>
      </c>
      <c r="B10589" s="135">
        <f>YEAR(source[[#This Row],[report_date]])</f>
        <v>2025</v>
      </c>
      <c r="C10589" s="128">
        <f t="shared" si="493"/>
        <v>11</v>
      </c>
      <c r="D10589" s="136">
        <f t="shared" si="495"/>
        <v>46</v>
      </c>
      <c r="E10589" s="136">
        <f t="shared" si="494"/>
        <v>16</v>
      </c>
      <c r="F10589" s="137" t="s">
        <v>24</v>
      </c>
      <c r="G10589" s="128" t="str">
        <f>VLOOKUP(source[[#This Row],[lending_product_transform]],[3]Mapping!$B$4:$C$37,2,0)</f>
        <v>[Cake] - Cashloan</v>
      </c>
      <c r="H10589" s="128" t="str">
        <f>VLOOKUP(source[[#This Row],[lending_product_transform]],[3]Mapping!$B$3:$D$37,3,0)</f>
        <v>cashloan</v>
      </c>
      <c r="I10589" s="143">
        <v>420000000</v>
      </c>
    </row>
    <row r="10590" spans="1:9" x14ac:dyDescent="0.2">
      <c r="A10590" s="134">
        <v>45977</v>
      </c>
      <c r="B10590" s="135">
        <f>YEAR(source[[#This Row],[report_date]])</f>
        <v>2025</v>
      </c>
      <c r="C10590" s="128">
        <f t="shared" si="493"/>
        <v>11</v>
      </c>
      <c r="D10590" s="136">
        <f t="shared" si="495"/>
        <v>46</v>
      </c>
      <c r="E10590" s="136">
        <f t="shared" si="494"/>
        <v>16</v>
      </c>
      <c r="F10590" s="137" t="s">
        <v>24</v>
      </c>
      <c r="G10590" s="128" t="str">
        <f>VLOOKUP(source[[#This Row],[lending_product_transform]],[3]Mapping!$B$4:$C$37,2,0)</f>
        <v>[Cake] - Cashloan</v>
      </c>
      <c r="H10590" s="128" t="str">
        <f>VLOOKUP(source[[#This Row],[lending_product_transform]],[3]Mapping!$B$3:$D$37,3,0)</f>
        <v>cashloan</v>
      </c>
      <c r="I10590" s="143">
        <v>17255670000</v>
      </c>
    </row>
    <row r="10591" spans="1:9" x14ac:dyDescent="0.2">
      <c r="A10591" s="134">
        <v>45977</v>
      </c>
      <c r="B10591" s="135">
        <f>YEAR(source[[#This Row],[report_date]])</f>
        <v>2025</v>
      </c>
      <c r="C10591" s="128">
        <f t="shared" si="493"/>
        <v>11</v>
      </c>
      <c r="D10591" s="136">
        <f t="shared" si="495"/>
        <v>46</v>
      </c>
      <c r="E10591" s="136">
        <f t="shared" si="494"/>
        <v>16</v>
      </c>
      <c r="F10591" s="137" t="s">
        <v>24</v>
      </c>
      <c r="G10591" s="128" t="str">
        <f>VLOOKUP(source[[#This Row],[lending_product_transform]],[3]Mapping!$B$4:$C$37,2,0)</f>
        <v>[Cake] - Cashloan</v>
      </c>
      <c r="H10591" s="128" t="str">
        <f>VLOOKUP(source[[#This Row],[lending_product_transform]],[3]Mapping!$B$3:$D$37,3,0)</f>
        <v>cashloan</v>
      </c>
      <c r="I10591" s="143">
        <v>0</v>
      </c>
    </row>
    <row r="10592" spans="1:9" x14ac:dyDescent="0.2">
      <c r="A10592" s="134">
        <v>45977</v>
      </c>
      <c r="B10592" s="135">
        <f>YEAR(source[[#This Row],[report_date]])</f>
        <v>2025</v>
      </c>
      <c r="C10592" s="128">
        <f t="shared" si="493"/>
        <v>11</v>
      </c>
      <c r="D10592" s="136">
        <f t="shared" si="495"/>
        <v>46</v>
      </c>
      <c r="E10592" s="136">
        <f t="shared" si="494"/>
        <v>16</v>
      </c>
      <c r="F10592" s="137" t="s">
        <v>24</v>
      </c>
      <c r="G10592" s="128" t="str">
        <f>VLOOKUP(source[[#This Row],[lending_product_transform]],[3]Mapping!$B$4:$C$37,2,0)</f>
        <v>[Cake] - Cashloan</v>
      </c>
      <c r="H10592" s="128" t="str">
        <f>VLOOKUP(source[[#This Row],[lending_product_transform]],[3]Mapping!$B$3:$D$37,3,0)</f>
        <v>cashloan</v>
      </c>
      <c r="I10592" s="143">
        <v>0</v>
      </c>
    </row>
    <row r="10593" spans="1:9" x14ac:dyDescent="0.2">
      <c r="A10593" s="134">
        <v>45977</v>
      </c>
      <c r="B10593" s="135">
        <f>YEAR(source[[#This Row],[report_date]])</f>
        <v>2025</v>
      </c>
      <c r="C10593" s="128">
        <f t="shared" si="493"/>
        <v>11</v>
      </c>
      <c r="D10593" s="136">
        <f t="shared" si="495"/>
        <v>46</v>
      </c>
      <c r="E10593" s="136">
        <f t="shared" si="494"/>
        <v>16</v>
      </c>
      <c r="F10593" s="137" t="s">
        <v>24</v>
      </c>
      <c r="G10593" s="128" t="str">
        <f>VLOOKUP(source[[#This Row],[lending_product_transform]],[3]Mapping!$B$4:$C$37,2,0)</f>
        <v>[Cake] - Cashloan</v>
      </c>
      <c r="H10593" s="128" t="str">
        <f>VLOOKUP(source[[#This Row],[lending_product_transform]],[3]Mapping!$B$3:$D$37,3,0)</f>
        <v>cashloan</v>
      </c>
      <c r="I10593" s="143">
        <v>0</v>
      </c>
    </row>
    <row r="10594" spans="1:9" x14ac:dyDescent="0.2">
      <c r="A10594" s="134">
        <v>45977</v>
      </c>
      <c r="B10594" s="135">
        <f>YEAR(source[[#This Row],[report_date]])</f>
        <v>2025</v>
      </c>
      <c r="C10594" s="128">
        <f t="shared" si="493"/>
        <v>11</v>
      </c>
      <c r="D10594" s="136">
        <f t="shared" si="495"/>
        <v>46</v>
      </c>
      <c r="E10594" s="136">
        <f t="shared" si="494"/>
        <v>16</v>
      </c>
      <c r="F10594" s="137" t="s">
        <v>24</v>
      </c>
      <c r="G10594" s="128" t="str">
        <f>VLOOKUP(source[[#This Row],[lending_product_transform]],[3]Mapping!$B$4:$C$37,2,0)</f>
        <v>[Cake] - Cashloan</v>
      </c>
      <c r="H10594" s="128" t="str">
        <f>VLOOKUP(source[[#This Row],[lending_product_transform]],[3]Mapping!$B$3:$D$37,3,0)</f>
        <v>cashloan</v>
      </c>
      <c r="I10594" s="143">
        <v>0</v>
      </c>
    </row>
    <row r="10595" spans="1:9" x14ac:dyDescent="0.2">
      <c r="A10595" s="134">
        <v>45977</v>
      </c>
      <c r="B10595" s="135">
        <f>YEAR(source[[#This Row],[report_date]])</f>
        <v>2025</v>
      </c>
      <c r="C10595" s="128">
        <f t="shared" si="493"/>
        <v>11</v>
      </c>
      <c r="D10595" s="136">
        <f t="shared" si="495"/>
        <v>46</v>
      </c>
      <c r="E10595" s="136">
        <f t="shared" si="494"/>
        <v>16</v>
      </c>
      <c r="F10595" s="137" t="s">
        <v>24</v>
      </c>
      <c r="G10595" s="128" t="str">
        <f>VLOOKUP(source[[#This Row],[lending_product_transform]],[3]Mapping!$B$4:$C$37,2,0)</f>
        <v>[Cake] - Cashloan</v>
      </c>
      <c r="H10595" s="128" t="str">
        <f>VLOOKUP(source[[#This Row],[lending_product_transform]],[3]Mapping!$B$3:$D$37,3,0)</f>
        <v>cashloan</v>
      </c>
      <c r="I10595" s="143">
        <v>9536076000</v>
      </c>
    </row>
    <row r="10596" spans="1:9" x14ac:dyDescent="0.2">
      <c r="A10596" s="134">
        <v>45977</v>
      </c>
      <c r="B10596" s="135">
        <f>YEAR(source[[#This Row],[report_date]])</f>
        <v>2025</v>
      </c>
      <c r="C10596" s="128">
        <f t="shared" si="493"/>
        <v>11</v>
      </c>
      <c r="D10596" s="136">
        <f t="shared" si="495"/>
        <v>46</v>
      </c>
      <c r="E10596" s="136">
        <f t="shared" si="494"/>
        <v>16</v>
      </c>
      <c r="F10596" s="137" t="s">
        <v>24</v>
      </c>
      <c r="G10596" s="128" t="str">
        <f>VLOOKUP(source[[#This Row],[lending_product_transform]],[3]Mapping!$B$4:$C$37,2,0)</f>
        <v>[Cake] - Cashloan</v>
      </c>
      <c r="H10596" s="128" t="str">
        <f>VLOOKUP(source[[#This Row],[lending_product_transform]],[3]Mapping!$B$3:$D$37,3,0)</f>
        <v>cashloan</v>
      </c>
      <c r="I10596" s="143">
        <v>205001115</v>
      </c>
    </row>
    <row r="10597" spans="1:9" x14ac:dyDescent="0.2">
      <c r="A10597" s="134">
        <v>45977</v>
      </c>
      <c r="B10597" s="135">
        <f>YEAR(source[[#This Row],[report_date]])</f>
        <v>2025</v>
      </c>
      <c r="C10597" s="128">
        <f t="shared" si="493"/>
        <v>11</v>
      </c>
      <c r="D10597" s="136">
        <f t="shared" si="495"/>
        <v>46</v>
      </c>
      <c r="E10597" s="136">
        <f t="shared" si="494"/>
        <v>16</v>
      </c>
      <c r="F10597" s="137" t="s">
        <v>24</v>
      </c>
      <c r="G10597" s="128" t="str">
        <f>VLOOKUP(source[[#This Row],[lending_product_transform]],[3]Mapping!$B$4:$C$37,2,0)</f>
        <v>[Cake] - Cashloan</v>
      </c>
      <c r="H10597" s="128" t="str">
        <f>VLOOKUP(source[[#This Row],[lending_product_transform]],[3]Mapping!$B$3:$D$37,3,0)</f>
        <v>cashloan</v>
      </c>
      <c r="I10597" s="143">
        <v>42000000</v>
      </c>
    </row>
    <row r="10598" spans="1:9" x14ac:dyDescent="0.2">
      <c r="A10598" s="134">
        <v>45977</v>
      </c>
      <c r="B10598" s="135">
        <f>YEAR(source[[#This Row],[report_date]])</f>
        <v>2025</v>
      </c>
      <c r="C10598" s="128">
        <f t="shared" si="493"/>
        <v>11</v>
      </c>
      <c r="D10598" s="136">
        <f t="shared" si="495"/>
        <v>46</v>
      </c>
      <c r="E10598" s="136">
        <f t="shared" si="494"/>
        <v>16</v>
      </c>
      <c r="F10598" s="137" t="s">
        <v>24</v>
      </c>
      <c r="G10598" s="128" t="str">
        <f>VLOOKUP(source[[#This Row],[lending_product_transform]],[3]Mapping!$B$4:$C$37,2,0)</f>
        <v>[Cake] - Cashloan</v>
      </c>
      <c r="H10598" s="128" t="str">
        <f>VLOOKUP(source[[#This Row],[lending_product_transform]],[3]Mapping!$B$3:$D$37,3,0)</f>
        <v>cashloan</v>
      </c>
      <c r="I10598" s="143">
        <v>13000000</v>
      </c>
    </row>
    <row r="10599" spans="1:9" x14ac:dyDescent="0.2">
      <c r="A10599" s="134">
        <v>45977</v>
      </c>
      <c r="B10599" s="135">
        <f>YEAR(source[[#This Row],[report_date]])</f>
        <v>2025</v>
      </c>
      <c r="C10599" s="128">
        <f t="shared" si="493"/>
        <v>11</v>
      </c>
      <c r="D10599" s="136">
        <f t="shared" si="495"/>
        <v>46</v>
      </c>
      <c r="E10599" s="136">
        <f t="shared" si="494"/>
        <v>16</v>
      </c>
      <c r="F10599" s="137" t="s">
        <v>24</v>
      </c>
      <c r="G10599" s="128" t="str">
        <f>VLOOKUP(source[[#This Row],[lending_product_transform]],[3]Mapping!$B$4:$C$37,2,0)</f>
        <v>[Cake] - Cashloan</v>
      </c>
      <c r="H10599" s="128" t="str">
        <f>VLOOKUP(source[[#This Row],[lending_product_transform]],[3]Mapping!$B$3:$D$37,3,0)</f>
        <v>cashloan</v>
      </c>
      <c r="I10599" s="143">
        <v>354490000</v>
      </c>
    </row>
    <row r="10600" spans="1:9" x14ac:dyDescent="0.2">
      <c r="A10600" s="134">
        <v>45977</v>
      </c>
      <c r="B10600" s="135">
        <f>YEAR(source[[#This Row],[report_date]])</f>
        <v>2025</v>
      </c>
      <c r="C10600" s="128">
        <f t="shared" si="493"/>
        <v>11</v>
      </c>
      <c r="D10600" s="136">
        <f t="shared" si="495"/>
        <v>46</v>
      </c>
      <c r="E10600" s="136">
        <f t="shared" si="494"/>
        <v>16</v>
      </c>
      <c r="F10600" s="137" t="s">
        <v>24</v>
      </c>
      <c r="G10600" s="128" t="str">
        <f>VLOOKUP(source[[#This Row],[lending_product_transform]],[3]Mapping!$B$4:$C$37,2,0)</f>
        <v>[Cake] - Cashloan</v>
      </c>
      <c r="H10600" s="128" t="str">
        <f>VLOOKUP(source[[#This Row],[lending_product_transform]],[3]Mapping!$B$3:$D$37,3,0)</f>
        <v>cashloan</v>
      </c>
      <c r="I10600" s="143">
        <v>204444000</v>
      </c>
    </row>
    <row r="10601" spans="1:9" x14ac:dyDescent="0.2">
      <c r="A10601" s="134">
        <v>45977</v>
      </c>
      <c r="B10601" s="135">
        <f>YEAR(source[[#This Row],[report_date]])</f>
        <v>2025</v>
      </c>
      <c r="C10601" s="128">
        <f t="shared" si="493"/>
        <v>11</v>
      </c>
      <c r="D10601" s="136">
        <f t="shared" si="495"/>
        <v>46</v>
      </c>
      <c r="E10601" s="136">
        <f t="shared" si="494"/>
        <v>16</v>
      </c>
      <c r="F10601" s="137" t="s">
        <v>24</v>
      </c>
      <c r="G10601" s="128" t="str">
        <f>VLOOKUP(source[[#This Row],[lending_product_transform]],[3]Mapping!$B$4:$C$37,2,0)</f>
        <v>[Cake] - Cashloan</v>
      </c>
      <c r="H10601" s="128" t="str">
        <f>VLOOKUP(source[[#This Row],[lending_product_transform]],[3]Mapping!$B$3:$D$37,3,0)</f>
        <v>cashloan</v>
      </c>
      <c r="I10601" s="143">
        <v>329464104</v>
      </c>
    </row>
    <row r="10602" spans="1:9" x14ac:dyDescent="0.2">
      <c r="A10602" s="134">
        <v>45977</v>
      </c>
      <c r="B10602" s="135">
        <f>YEAR(source[[#This Row],[report_date]])</f>
        <v>2025</v>
      </c>
      <c r="C10602" s="128">
        <f t="shared" si="493"/>
        <v>11</v>
      </c>
      <c r="D10602" s="136">
        <f t="shared" si="495"/>
        <v>46</v>
      </c>
      <c r="E10602" s="136">
        <f t="shared" si="494"/>
        <v>16</v>
      </c>
      <c r="F10602" s="137" t="s">
        <v>24</v>
      </c>
      <c r="G10602" s="128" t="str">
        <f>VLOOKUP(source[[#This Row],[lending_product_transform]],[3]Mapping!$B$4:$C$37,2,0)</f>
        <v>[Cake] - Cashloan</v>
      </c>
      <c r="H10602" s="128" t="str">
        <f>VLOOKUP(source[[#This Row],[lending_product_transform]],[3]Mapping!$B$3:$D$37,3,0)</f>
        <v>cashloan</v>
      </c>
      <c r="I10602" s="143">
        <v>2403740000</v>
      </c>
    </row>
    <row r="10603" spans="1:9" x14ac:dyDescent="0.2">
      <c r="A10603" s="134">
        <v>45978</v>
      </c>
      <c r="B10603" s="135">
        <f>YEAR(source[[#This Row],[report_date]])</f>
        <v>2025</v>
      </c>
      <c r="C10603" s="128">
        <f t="shared" si="493"/>
        <v>11</v>
      </c>
      <c r="D10603" s="136">
        <f t="shared" si="495"/>
        <v>47</v>
      </c>
      <c r="E10603" s="136">
        <f t="shared" si="494"/>
        <v>17</v>
      </c>
      <c r="F10603" s="137" t="s">
        <v>24</v>
      </c>
      <c r="G10603" s="128" t="str">
        <f>VLOOKUP(source[[#This Row],[lending_product_transform]],[3]Mapping!$B$4:$C$37,2,0)</f>
        <v>[Cake] - Cashloan</v>
      </c>
      <c r="H10603" s="128" t="str">
        <f>VLOOKUP(source[[#This Row],[lending_product_transform]],[3]Mapping!$B$3:$D$37,3,0)</f>
        <v>cashloan</v>
      </c>
      <c r="I10603" s="137">
        <v>28350000</v>
      </c>
    </row>
    <row r="10604" spans="1:9" x14ac:dyDescent="0.2">
      <c r="A10604" s="134">
        <v>45978</v>
      </c>
      <c r="B10604" s="135">
        <f>YEAR(source[[#This Row],[report_date]])</f>
        <v>2025</v>
      </c>
      <c r="C10604" s="128">
        <f t="shared" si="493"/>
        <v>11</v>
      </c>
      <c r="D10604" s="136">
        <f t="shared" si="495"/>
        <v>47</v>
      </c>
      <c r="E10604" s="136">
        <f t="shared" si="494"/>
        <v>17</v>
      </c>
      <c r="F10604" s="137" t="s">
        <v>24</v>
      </c>
      <c r="G10604" s="128" t="str">
        <f>VLOOKUP(source[[#This Row],[lending_product_transform]],[3]Mapping!$B$4:$C$37,2,0)</f>
        <v>[Cake] - Cashloan</v>
      </c>
      <c r="H10604" s="128" t="str">
        <f>VLOOKUP(source[[#This Row],[lending_product_transform]],[3]Mapping!$B$3:$D$37,3,0)</f>
        <v>cashloan</v>
      </c>
      <c r="I10604" s="137">
        <v>277941010</v>
      </c>
    </row>
    <row r="10605" spans="1:9" x14ac:dyDescent="0.2">
      <c r="A10605" s="134">
        <v>45978</v>
      </c>
      <c r="B10605" s="135">
        <f>YEAR(source[[#This Row],[report_date]])</f>
        <v>2025</v>
      </c>
      <c r="C10605" s="128">
        <f t="shared" si="493"/>
        <v>11</v>
      </c>
      <c r="D10605" s="136">
        <f t="shared" si="495"/>
        <v>47</v>
      </c>
      <c r="E10605" s="136">
        <f t="shared" si="494"/>
        <v>17</v>
      </c>
      <c r="F10605" s="137" t="s">
        <v>24</v>
      </c>
      <c r="G10605" s="128" t="str">
        <f>VLOOKUP(source[[#This Row],[lending_product_transform]],[3]Mapping!$B$4:$C$37,2,0)</f>
        <v>[Cake] - Cashloan</v>
      </c>
      <c r="H10605" s="128" t="str">
        <f>VLOOKUP(source[[#This Row],[lending_product_transform]],[3]Mapping!$B$3:$D$37,3,0)</f>
        <v>cashloan</v>
      </c>
      <c r="I10605" s="137">
        <v>17541450000</v>
      </c>
    </row>
    <row r="10606" spans="1:9" x14ac:dyDescent="0.2">
      <c r="A10606" s="134">
        <v>45978</v>
      </c>
      <c r="B10606" s="135">
        <f>YEAR(source[[#This Row],[report_date]])</f>
        <v>2025</v>
      </c>
      <c r="C10606" s="128">
        <f t="shared" si="493"/>
        <v>11</v>
      </c>
      <c r="D10606" s="136">
        <f t="shared" si="495"/>
        <v>47</v>
      </c>
      <c r="E10606" s="136">
        <f t="shared" si="494"/>
        <v>17</v>
      </c>
      <c r="F10606" s="137" t="s">
        <v>24</v>
      </c>
      <c r="G10606" s="128" t="str">
        <f>VLOOKUP(source[[#This Row],[lending_product_transform]],[3]Mapping!$B$4:$C$37,2,0)</f>
        <v>[Cake] - Cashloan</v>
      </c>
      <c r="H10606" s="128" t="str">
        <f>VLOOKUP(source[[#This Row],[lending_product_transform]],[3]Mapping!$B$3:$D$37,3,0)</f>
        <v>cashloan</v>
      </c>
      <c r="I10606" s="137">
        <v>2468889117</v>
      </c>
    </row>
    <row r="10607" spans="1:9" x14ac:dyDescent="0.2">
      <c r="A10607" s="134">
        <v>45978</v>
      </c>
      <c r="B10607" s="135">
        <f>YEAR(source[[#This Row],[report_date]])</f>
        <v>2025</v>
      </c>
      <c r="C10607" s="128">
        <f t="shared" si="493"/>
        <v>11</v>
      </c>
      <c r="D10607" s="136">
        <f t="shared" si="495"/>
        <v>47</v>
      </c>
      <c r="E10607" s="136">
        <f t="shared" si="494"/>
        <v>17</v>
      </c>
      <c r="F10607" s="137" t="s">
        <v>24</v>
      </c>
      <c r="G10607" s="128" t="str">
        <f>VLOOKUP(source[[#This Row],[lending_product_transform]],[3]Mapping!$B$4:$C$37,2,0)</f>
        <v>[Cake] - Cashloan</v>
      </c>
      <c r="H10607" s="128" t="str">
        <f>VLOOKUP(source[[#This Row],[lending_product_transform]],[3]Mapping!$B$3:$D$37,3,0)</f>
        <v>cashloan</v>
      </c>
      <c r="I10607" s="137">
        <v>9186696000</v>
      </c>
    </row>
    <row r="10608" spans="1:9" x14ac:dyDescent="0.2">
      <c r="A10608" s="134">
        <v>45978</v>
      </c>
      <c r="B10608" s="135">
        <f>YEAR(source[[#This Row],[report_date]])</f>
        <v>2025</v>
      </c>
      <c r="C10608" s="128">
        <f t="shared" si="493"/>
        <v>11</v>
      </c>
      <c r="D10608" s="136">
        <f t="shared" si="495"/>
        <v>47</v>
      </c>
      <c r="E10608" s="136">
        <f t="shared" si="494"/>
        <v>17</v>
      </c>
      <c r="F10608" s="137" t="s">
        <v>24</v>
      </c>
      <c r="G10608" s="128" t="str">
        <f>VLOOKUP(source[[#This Row],[lending_product_transform]],[3]Mapping!$B$4:$C$37,2,0)</f>
        <v>[Cake] - Cashloan</v>
      </c>
      <c r="H10608" s="128" t="str">
        <f>VLOOKUP(source[[#This Row],[lending_product_transform]],[3]Mapping!$B$3:$D$37,3,0)</f>
        <v>cashloan</v>
      </c>
      <c r="I10608" s="137">
        <v>3403751</v>
      </c>
    </row>
    <row r="10609" spans="1:9" x14ac:dyDescent="0.2">
      <c r="A10609" s="134">
        <v>45978</v>
      </c>
      <c r="B10609" s="135">
        <f>YEAR(source[[#This Row],[report_date]])</f>
        <v>2025</v>
      </c>
      <c r="C10609" s="128">
        <f t="shared" si="493"/>
        <v>11</v>
      </c>
      <c r="D10609" s="136">
        <f t="shared" si="495"/>
        <v>47</v>
      </c>
      <c r="E10609" s="136">
        <f t="shared" si="494"/>
        <v>17</v>
      </c>
      <c r="F10609" s="137" t="s">
        <v>24</v>
      </c>
      <c r="G10609" s="128" t="str">
        <f>VLOOKUP(source[[#This Row],[lending_product_transform]],[3]Mapping!$B$4:$C$37,2,0)</f>
        <v>[Cake] - Cashloan</v>
      </c>
      <c r="H10609" s="128" t="str">
        <f>VLOOKUP(source[[#This Row],[lending_product_transform]],[3]Mapping!$B$3:$D$37,3,0)</f>
        <v>cashloan</v>
      </c>
      <c r="I10609" s="137">
        <v>4084760000</v>
      </c>
    </row>
    <row r="10610" spans="1:9" x14ac:dyDescent="0.2">
      <c r="A10610" s="134">
        <v>45978</v>
      </c>
      <c r="B10610" s="135">
        <f>YEAR(source[[#This Row],[report_date]])</f>
        <v>2025</v>
      </c>
      <c r="C10610" s="128">
        <f t="shared" si="493"/>
        <v>11</v>
      </c>
      <c r="D10610" s="136">
        <f t="shared" si="495"/>
        <v>47</v>
      </c>
      <c r="E10610" s="136">
        <f t="shared" si="494"/>
        <v>17</v>
      </c>
      <c r="F10610" s="137" t="s">
        <v>24</v>
      </c>
      <c r="G10610" s="128" t="str">
        <f>VLOOKUP(source[[#This Row],[lending_product_transform]],[3]Mapping!$B$4:$C$37,2,0)</f>
        <v>[Cake] - Cashloan</v>
      </c>
      <c r="H10610" s="128" t="str">
        <f>VLOOKUP(source[[#This Row],[lending_product_transform]],[3]Mapping!$B$3:$D$37,3,0)</f>
        <v>cashloan</v>
      </c>
      <c r="I10610" s="137">
        <v>15891871</v>
      </c>
    </row>
    <row r="10611" spans="1:9" x14ac:dyDescent="0.2">
      <c r="A10611" s="134">
        <v>45978</v>
      </c>
      <c r="B10611" s="135">
        <f>YEAR(source[[#This Row],[report_date]])</f>
        <v>2025</v>
      </c>
      <c r="C10611" s="128">
        <f t="shared" si="493"/>
        <v>11</v>
      </c>
      <c r="D10611" s="136">
        <f t="shared" si="495"/>
        <v>47</v>
      </c>
      <c r="E10611" s="136">
        <f t="shared" si="494"/>
        <v>17</v>
      </c>
      <c r="F10611" s="137" t="s">
        <v>24</v>
      </c>
      <c r="G10611" s="128" t="str">
        <f>VLOOKUP(source[[#This Row],[lending_product_transform]],[3]Mapping!$B$4:$C$37,2,0)</f>
        <v>[Cake] - Cashloan</v>
      </c>
      <c r="H10611" s="128" t="str">
        <f>VLOOKUP(source[[#This Row],[lending_product_transform]],[3]Mapping!$B$3:$D$37,3,0)</f>
        <v>cashloan</v>
      </c>
      <c r="I10611" s="137">
        <v>618818065</v>
      </c>
    </row>
    <row r="10612" spans="1:9" x14ac:dyDescent="0.2">
      <c r="A10612" s="134">
        <v>45978</v>
      </c>
      <c r="B10612" s="135">
        <f>YEAR(source[[#This Row],[report_date]])</f>
        <v>2025</v>
      </c>
      <c r="C10612" s="128">
        <f t="shared" si="493"/>
        <v>11</v>
      </c>
      <c r="D10612" s="136">
        <f t="shared" si="495"/>
        <v>47</v>
      </c>
      <c r="E10612" s="136">
        <f t="shared" si="494"/>
        <v>17</v>
      </c>
      <c r="F10612" s="137" t="s">
        <v>24</v>
      </c>
      <c r="G10612" s="128" t="str">
        <f>VLOOKUP(source[[#This Row],[lending_product_transform]],[3]Mapping!$B$4:$C$37,2,0)</f>
        <v>[Cake] - Cashloan</v>
      </c>
      <c r="H10612" s="128" t="str">
        <f>VLOOKUP(source[[#This Row],[lending_product_transform]],[3]Mapping!$B$3:$D$37,3,0)</f>
        <v>cashloan</v>
      </c>
      <c r="I10612" s="137">
        <v>0</v>
      </c>
    </row>
    <row r="10613" spans="1:9" x14ac:dyDescent="0.2">
      <c r="A10613" s="134">
        <v>45978</v>
      </c>
      <c r="B10613" s="135">
        <f>YEAR(source[[#This Row],[report_date]])</f>
        <v>2025</v>
      </c>
      <c r="C10613" s="128">
        <f t="shared" si="493"/>
        <v>11</v>
      </c>
      <c r="D10613" s="136">
        <f t="shared" si="495"/>
        <v>47</v>
      </c>
      <c r="E10613" s="136">
        <f t="shared" si="494"/>
        <v>17</v>
      </c>
      <c r="F10613" s="137" t="s">
        <v>24</v>
      </c>
      <c r="G10613" s="128" t="str">
        <f>VLOOKUP(source[[#This Row],[lending_product_transform]],[3]Mapping!$B$4:$C$37,2,0)</f>
        <v>[Cake] - Cashloan</v>
      </c>
      <c r="H10613" s="128" t="str">
        <f>VLOOKUP(source[[#This Row],[lending_product_transform]],[3]Mapping!$B$3:$D$37,3,0)</f>
        <v>cashloan</v>
      </c>
      <c r="I10613" s="137">
        <v>460800000</v>
      </c>
    </row>
    <row r="10614" spans="1:9" x14ac:dyDescent="0.2">
      <c r="A10614" s="134">
        <v>45978</v>
      </c>
      <c r="B10614" s="135">
        <f>YEAR(source[[#This Row],[report_date]])</f>
        <v>2025</v>
      </c>
      <c r="C10614" s="128">
        <f t="shared" ref="C10614:C10677" si="496">MONTH(A10614)</f>
        <v>11</v>
      </c>
      <c r="D10614" s="136">
        <f t="shared" si="495"/>
        <v>47</v>
      </c>
      <c r="E10614" s="136">
        <f t="shared" ref="E10614:E10677" si="497">DAY(A10614)</f>
        <v>17</v>
      </c>
      <c r="F10614" s="137" t="s">
        <v>24</v>
      </c>
      <c r="G10614" s="128" t="str">
        <f>VLOOKUP(source[[#This Row],[lending_product_transform]],[3]Mapping!$B$4:$C$37,2,0)</f>
        <v>[Cake] - Cashloan</v>
      </c>
      <c r="H10614" s="128" t="str">
        <f>VLOOKUP(source[[#This Row],[lending_product_transform]],[3]Mapping!$B$3:$D$37,3,0)</f>
        <v>cashloan</v>
      </c>
      <c r="I10614" s="137">
        <v>18117650000</v>
      </c>
    </row>
    <row r="10615" spans="1:9" x14ac:dyDescent="0.2">
      <c r="A10615" s="134">
        <v>45978</v>
      </c>
      <c r="B10615" s="135">
        <f>YEAR(source[[#This Row],[report_date]])</f>
        <v>2025</v>
      </c>
      <c r="C10615" s="128">
        <f t="shared" si="496"/>
        <v>11</v>
      </c>
      <c r="D10615" s="136">
        <f t="shared" si="495"/>
        <v>47</v>
      </c>
      <c r="E10615" s="136">
        <f t="shared" si="497"/>
        <v>17</v>
      </c>
      <c r="F10615" s="137" t="s">
        <v>24</v>
      </c>
      <c r="G10615" s="128" t="str">
        <f>VLOOKUP(source[[#This Row],[lending_product_transform]],[3]Mapping!$B$4:$C$37,2,0)</f>
        <v>[Cake] - Cashloan</v>
      </c>
      <c r="H10615" s="128" t="str">
        <f>VLOOKUP(source[[#This Row],[lending_product_transform]],[3]Mapping!$B$3:$D$37,3,0)</f>
        <v>cashloan</v>
      </c>
      <c r="I10615" s="137">
        <v>0</v>
      </c>
    </row>
    <row r="10616" spans="1:9" x14ac:dyDescent="0.2">
      <c r="A10616" s="134">
        <v>45978</v>
      </c>
      <c r="B10616" s="135">
        <f>YEAR(source[[#This Row],[report_date]])</f>
        <v>2025</v>
      </c>
      <c r="C10616" s="128">
        <f t="shared" si="496"/>
        <v>11</v>
      </c>
      <c r="D10616" s="136">
        <f t="shared" si="495"/>
        <v>47</v>
      </c>
      <c r="E10616" s="136">
        <f t="shared" si="497"/>
        <v>17</v>
      </c>
      <c r="F10616" s="137" t="s">
        <v>24</v>
      </c>
      <c r="G10616" s="128" t="str">
        <f>VLOOKUP(source[[#This Row],[lending_product_transform]],[3]Mapping!$B$4:$C$37,2,0)</f>
        <v>[Cake] - Cashloan</v>
      </c>
      <c r="H10616" s="128" t="str">
        <f>VLOOKUP(source[[#This Row],[lending_product_transform]],[3]Mapping!$B$3:$D$37,3,0)</f>
        <v>cashloan</v>
      </c>
      <c r="I10616" s="137">
        <v>0</v>
      </c>
    </row>
    <row r="10617" spans="1:9" x14ac:dyDescent="0.2">
      <c r="A10617" s="134">
        <v>45978</v>
      </c>
      <c r="B10617" s="135">
        <f>YEAR(source[[#This Row],[report_date]])</f>
        <v>2025</v>
      </c>
      <c r="C10617" s="128">
        <f t="shared" si="496"/>
        <v>11</v>
      </c>
      <c r="D10617" s="136">
        <f t="shared" si="495"/>
        <v>47</v>
      </c>
      <c r="E10617" s="136">
        <f t="shared" si="497"/>
        <v>17</v>
      </c>
      <c r="F10617" s="137" t="s">
        <v>24</v>
      </c>
      <c r="G10617" s="128" t="str">
        <f>VLOOKUP(source[[#This Row],[lending_product_transform]],[3]Mapping!$B$4:$C$37,2,0)</f>
        <v>[Cake] - Cashloan</v>
      </c>
      <c r="H10617" s="128" t="str">
        <f>VLOOKUP(source[[#This Row],[lending_product_transform]],[3]Mapping!$B$3:$D$37,3,0)</f>
        <v>cashloan</v>
      </c>
      <c r="I10617" s="137">
        <v>0</v>
      </c>
    </row>
    <row r="10618" spans="1:9" x14ac:dyDescent="0.2">
      <c r="A10618" s="134">
        <v>45978</v>
      </c>
      <c r="B10618" s="135">
        <f>YEAR(source[[#This Row],[report_date]])</f>
        <v>2025</v>
      </c>
      <c r="C10618" s="128">
        <f t="shared" si="496"/>
        <v>11</v>
      </c>
      <c r="D10618" s="136">
        <f t="shared" si="495"/>
        <v>47</v>
      </c>
      <c r="E10618" s="136">
        <f t="shared" si="497"/>
        <v>17</v>
      </c>
      <c r="F10618" s="137" t="s">
        <v>24</v>
      </c>
      <c r="G10618" s="128" t="str">
        <f>VLOOKUP(source[[#This Row],[lending_product_transform]],[3]Mapping!$B$4:$C$37,2,0)</f>
        <v>[Cake] - Cashloan</v>
      </c>
      <c r="H10618" s="128" t="str">
        <f>VLOOKUP(source[[#This Row],[lending_product_transform]],[3]Mapping!$B$3:$D$37,3,0)</f>
        <v>cashloan</v>
      </c>
      <c r="I10618" s="137">
        <v>12000000</v>
      </c>
    </row>
    <row r="10619" spans="1:9" x14ac:dyDescent="0.2">
      <c r="A10619" s="134">
        <v>45978</v>
      </c>
      <c r="B10619" s="135">
        <f>YEAR(source[[#This Row],[report_date]])</f>
        <v>2025</v>
      </c>
      <c r="C10619" s="128">
        <f t="shared" si="496"/>
        <v>11</v>
      </c>
      <c r="D10619" s="136">
        <f t="shared" si="495"/>
        <v>47</v>
      </c>
      <c r="E10619" s="136">
        <f t="shared" si="497"/>
        <v>17</v>
      </c>
      <c r="F10619" s="137" t="s">
        <v>24</v>
      </c>
      <c r="G10619" s="128" t="str">
        <f>VLOOKUP(source[[#This Row],[lending_product_transform]],[3]Mapping!$B$4:$C$37,2,0)</f>
        <v>[Cake] - Cashloan</v>
      </c>
      <c r="H10619" s="128" t="str">
        <f>VLOOKUP(source[[#This Row],[lending_product_transform]],[3]Mapping!$B$3:$D$37,3,0)</f>
        <v>cashloan</v>
      </c>
      <c r="I10619" s="137">
        <v>9945396000</v>
      </c>
    </row>
    <row r="10620" spans="1:9" x14ac:dyDescent="0.2">
      <c r="A10620" s="134">
        <v>45978</v>
      </c>
      <c r="B10620" s="135">
        <f>YEAR(source[[#This Row],[report_date]])</f>
        <v>2025</v>
      </c>
      <c r="C10620" s="128">
        <f t="shared" si="496"/>
        <v>11</v>
      </c>
      <c r="D10620" s="136">
        <f t="shared" si="495"/>
        <v>47</v>
      </c>
      <c r="E10620" s="136">
        <f t="shared" si="497"/>
        <v>17</v>
      </c>
      <c r="F10620" s="137" t="s">
        <v>24</v>
      </c>
      <c r="G10620" s="128" t="str">
        <f>VLOOKUP(source[[#This Row],[lending_product_transform]],[3]Mapping!$B$4:$C$37,2,0)</f>
        <v>[Cake] - Cashloan</v>
      </c>
      <c r="H10620" s="128" t="str">
        <f>VLOOKUP(source[[#This Row],[lending_product_transform]],[3]Mapping!$B$3:$D$37,3,0)</f>
        <v>cashloan</v>
      </c>
      <c r="I10620" s="137">
        <v>155574793</v>
      </c>
    </row>
    <row r="10621" spans="1:9" x14ac:dyDescent="0.2">
      <c r="A10621" s="134">
        <v>45978</v>
      </c>
      <c r="B10621" s="135">
        <f>YEAR(source[[#This Row],[report_date]])</f>
        <v>2025</v>
      </c>
      <c r="C10621" s="128">
        <f t="shared" si="496"/>
        <v>11</v>
      </c>
      <c r="D10621" s="136">
        <f t="shared" si="495"/>
        <v>47</v>
      </c>
      <c r="E10621" s="136">
        <f t="shared" si="497"/>
        <v>17</v>
      </c>
      <c r="F10621" s="137" t="s">
        <v>24</v>
      </c>
      <c r="G10621" s="128" t="str">
        <f>VLOOKUP(source[[#This Row],[lending_product_transform]],[3]Mapping!$B$4:$C$37,2,0)</f>
        <v>[Cake] - Cashloan</v>
      </c>
      <c r="H10621" s="128" t="str">
        <f>VLOOKUP(source[[#This Row],[lending_product_transform]],[3]Mapping!$B$3:$D$37,3,0)</f>
        <v>cashloan</v>
      </c>
      <c r="I10621" s="137">
        <v>41000000</v>
      </c>
    </row>
    <row r="10622" spans="1:9" x14ac:dyDescent="0.2">
      <c r="A10622" s="134">
        <v>45978</v>
      </c>
      <c r="B10622" s="135">
        <f>YEAR(source[[#This Row],[report_date]])</f>
        <v>2025</v>
      </c>
      <c r="C10622" s="128">
        <f t="shared" si="496"/>
        <v>11</v>
      </c>
      <c r="D10622" s="136">
        <f t="shared" si="495"/>
        <v>47</v>
      </c>
      <c r="E10622" s="136">
        <f t="shared" si="497"/>
        <v>17</v>
      </c>
      <c r="F10622" s="137" t="s">
        <v>24</v>
      </c>
      <c r="G10622" s="128" t="str">
        <f>VLOOKUP(source[[#This Row],[lending_product_transform]],[3]Mapping!$B$4:$C$37,2,0)</f>
        <v>[Cake] - Cashloan</v>
      </c>
      <c r="H10622" s="128" t="str">
        <f>VLOOKUP(source[[#This Row],[lending_product_transform]],[3]Mapping!$B$3:$D$37,3,0)</f>
        <v>cashloan</v>
      </c>
      <c r="I10622" s="137">
        <v>43000000</v>
      </c>
    </row>
    <row r="10623" spans="1:9" x14ac:dyDescent="0.2">
      <c r="A10623" s="134">
        <v>45978</v>
      </c>
      <c r="B10623" s="135">
        <f>YEAR(source[[#This Row],[report_date]])</f>
        <v>2025</v>
      </c>
      <c r="C10623" s="128">
        <f t="shared" si="496"/>
        <v>11</v>
      </c>
      <c r="D10623" s="136">
        <f t="shared" si="495"/>
        <v>47</v>
      </c>
      <c r="E10623" s="136">
        <f t="shared" si="497"/>
        <v>17</v>
      </c>
      <c r="F10623" s="137" t="s">
        <v>24</v>
      </c>
      <c r="G10623" s="128" t="str">
        <f>VLOOKUP(source[[#This Row],[lending_product_transform]],[3]Mapping!$B$4:$C$37,2,0)</f>
        <v>[Cake] - Cashloan</v>
      </c>
      <c r="H10623" s="128" t="str">
        <f>VLOOKUP(source[[#This Row],[lending_product_transform]],[3]Mapping!$B$3:$D$37,3,0)</f>
        <v>cashloan</v>
      </c>
      <c r="I10623" s="137">
        <v>492910000</v>
      </c>
    </row>
    <row r="10624" spans="1:9" x14ac:dyDescent="0.2">
      <c r="A10624" s="134">
        <v>45978</v>
      </c>
      <c r="B10624" s="135">
        <f>YEAR(source[[#This Row],[report_date]])</f>
        <v>2025</v>
      </c>
      <c r="C10624" s="128">
        <f t="shared" si="496"/>
        <v>11</v>
      </c>
      <c r="D10624" s="136">
        <f t="shared" si="495"/>
        <v>47</v>
      </c>
      <c r="E10624" s="136">
        <f t="shared" si="497"/>
        <v>17</v>
      </c>
      <c r="F10624" s="137" t="s">
        <v>24</v>
      </c>
      <c r="G10624" s="128" t="str">
        <f>VLOOKUP(source[[#This Row],[lending_product_transform]],[3]Mapping!$B$4:$C$37,2,0)</f>
        <v>[Cake] - Cashloan</v>
      </c>
      <c r="H10624" s="128" t="str">
        <f>VLOOKUP(source[[#This Row],[lending_product_transform]],[3]Mapping!$B$3:$D$37,3,0)</f>
        <v>cashloan</v>
      </c>
      <c r="I10624" s="137">
        <v>250884000</v>
      </c>
    </row>
    <row r="10625" spans="1:9" x14ac:dyDescent="0.2">
      <c r="A10625" s="134">
        <v>45978</v>
      </c>
      <c r="B10625" s="135">
        <f>YEAR(source[[#This Row],[report_date]])</f>
        <v>2025</v>
      </c>
      <c r="C10625" s="128">
        <f t="shared" si="496"/>
        <v>11</v>
      </c>
      <c r="D10625" s="136">
        <f t="shared" si="495"/>
        <v>47</v>
      </c>
      <c r="E10625" s="136">
        <f t="shared" si="497"/>
        <v>17</v>
      </c>
      <c r="F10625" s="137" t="s">
        <v>24</v>
      </c>
      <c r="G10625" s="128" t="str">
        <f>VLOOKUP(source[[#This Row],[lending_product_transform]],[3]Mapping!$B$4:$C$37,2,0)</f>
        <v>[Cake] - Cashloan</v>
      </c>
      <c r="H10625" s="128" t="str">
        <f>VLOOKUP(source[[#This Row],[lending_product_transform]],[3]Mapping!$B$3:$D$37,3,0)</f>
        <v>cashloan</v>
      </c>
      <c r="I10625" s="137">
        <v>298756038</v>
      </c>
    </row>
    <row r="10626" spans="1:9" x14ac:dyDescent="0.2">
      <c r="A10626" s="134">
        <v>45978</v>
      </c>
      <c r="B10626" s="135">
        <f>YEAR(source[[#This Row],[report_date]])</f>
        <v>2025</v>
      </c>
      <c r="C10626" s="128">
        <f t="shared" si="496"/>
        <v>11</v>
      </c>
      <c r="D10626" s="136">
        <f t="shared" si="495"/>
        <v>47</v>
      </c>
      <c r="E10626" s="136">
        <f t="shared" si="497"/>
        <v>17</v>
      </c>
      <c r="F10626" s="137" t="s">
        <v>24</v>
      </c>
      <c r="G10626" s="128" t="str">
        <f>VLOOKUP(source[[#This Row],[lending_product_transform]],[3]Mapping!$B$4:$C$37,2,0)</f>
        <v>[Cake] - Cashloan</v>
      </c>
      <c r="H10626" s="128" t="str">
        <f>VLOOKUP(source[[#This Row],[lending_product_transform]],[3]Mapping!$B$3:$D$37,3,0)</f>
        <v>cashloan</v>
      </c>
      <c r="I10626" s="137">
        <v>3172430000</v>
      </c>
    </row>
    <row r="10627" spans="1:9" x14ac:dyDescent="0.2">
      <c r="A10627" s="134">
        <v>45979</v>
      </c>
      <c r="B10627" s="135">
        <f>YEAR(source[[#This Row],[report_date]])</f>
        <v>2025</v>
      </c>
      <c r="C10627" s="128">
        <f t="shared" si="496"/>
        <v>11</v>
      </c>
      <c r="D10627" s="136">
        <f t="shared" ref="D10627:D10690" si="498">WEEKNUM(A10627,2)</f>
        <v>47</v>
      </c>
      <c r="E10627" s="136">
        <f t="shared" si="497"/>
        <v>18</v>
      </c>
      <c r="F10627" s="137" t="s">
        <v>24</v>
      </c>
      <c r="G10627" s="128" t="str">
        <f>VLOOKUP(source[[#This Row],[lending_product_transform]],[3]Mapping!$B$4:$C$37,2,0)</f>
        <v>[Cake] - Cashloan</v>
      </c>
      <c r="H10627" s="128" t="str">
        <f>VLOOKUP(source[[#This Row],[lending_product_transform]],[3]Mapping!$B$3:$D$37,3,0)</f>
        <v>cashloan</v>
      </c>
      <c r="I10627" s="137">
        <v>46500000</v>
      </c>
    </row>
    <row r="10628" spans="1:9" x14ac:dyDescent="0.2">
      <c r="A10628" s="134">
        <v>45979</v>
      </c>
      <c r="B10628" s="135">
        <f>YEAR(source[[#This Row],[report_date]])</f>
        <v>2025</v>
      </c>
      <c r="C10628" s="128">
        <f t="shared" si="496"/>
        <v>11</v>
      </c>
      <c r="D10628" s="136">
        <f t="shared" si="498"/>
        <v>47</v>
      </c>
      <c r="E10628" s="136">
        <f t="shared" si="497"/>
        <v>18</v>
      </c>
      <c r="F10628" s="137" t="s">
        <v>24</v>
      </c>
      <c r="G10628" s="128" t="str">
        <f>VLOOKUP(source[[#This Row],[lending_product_transform]],[3]Mapping!$B$4:$C$37,2,0)</f>
        <v>[Cake] - Cashloan</v>
      </c>
      <c r="H10628" s="128" t="str">
        <f>VLOOKUP(source[[#This Row],[lending_product_transform]],[3]Mapping!$B$3:$D$37,3,0)</f>
        <v>cashloan</v>
      </c>
      <c r="I10628" s="137">
        <v>313567712</v>
      </c>
    </row>
    <row r="10629" spans="1:9" x14ac:dyDescent="0.2">
      <c r="A10629" s="134">
        <v>45979</v>
      </c>
      <c r="B10629" s="135">
        <f>YEAR(source[[#This Row],[report_date]])</f>
        <v>2025</v>
      </c>
      <c r="C10629" s="128">
        <f t="shared" si="496"/>
        <v>11</v>
      </c>
      <c r="D10629" s="136">
        <f t="shared" si="498"/>
        <v>47</v>
      </c>
      <c r="E10629" s="136">
        <f t="shared" si="497"/>
        <v>18</v>
      </c>
      <c r="F10629" s="137" t="s">
        <v>24</v>
      </c>
      <c r="G10629" s="128" t="str">
        <f>VLOOKUP(source[[#This Row],[lending_product_transform]],[3]Mapping!$B$4:$C$37,2,0)</f>
        <v>[Cake] - Cashloan</v>
      </c>
      <c r="H10629" s="128" t="str">
        <f>VLOOKUP(source[[#This Row],[lending_product_transform]],[3]Mapping!$B$3:$D$37,3,0)</f>
        <v>cashloan</v>
      </c>
      <c r="I10629" s="137">
        <v>22696610000</v>
      </c>
    </row>
    <row r="10630" spans="1:9" x14ac:dyDescent="0.2">
      <c r="A10630" s="134">
        <v>45979</v>
      </c>
      <c r="B10630" s="135">
        <f>YEAR(source[[#This Row],[report_date]])</f>
        <v>2025</v>
      </c>
      <c r="C10630" s="128">
        <f t="shared" si="496"/>
        <v>11</v>
      </c>
      <c r="D10630" s="136">
        <f t="shared" si="498"/>
        <v>47</v>
      </c>
      <c r="E10630" s="136">
        <f t="shared" si="497"/>
        <v>18</v>
      </c>
      <c r="F10630" s="137" t="s">
        <v>24</v>
      </c>
      <c r="G10630" s="128" t="str">
        <f>VLOOKUP(source[[#This Row],[lending_product_transform]],[3]Mapping!$B$4:$C$37,2,0)</f>
        <v>[Cake] - Cashloan</v>
      </c>
      <c r="H10630" s="128" t="str">
        <f>VLOOKUP(source[[#This Row],[lending_product_transform]],[3]Mapping!$B$3:$D$37,3,0)</f>
        <v>cashloan</v>
      </c>
      <c r="I10630" s="137">
        <v>1738841871</v>
      </c>
    </row>
    <row r="10631" spans="1:9" x14ac:dyDescent="0.2">
      <c r="A10631" s="134">
        <v>45979</v>
      </c>
      <c r="B10631" s="135">
        <f>YEAR(source[[#This Row],[report_date]])</f>
        <v>2025</v>
      </c>
      <c r="C10631" s="128">
        <f t="shared" si="496"/>
        <v>11</v>
      </c>
      <c r="D10631" s="136">
        <f t="shared" si="498"/>
        <v>47</v>
      </c>
      <c r="E10631" s="136">
        <f t="shared" si="497"/>
        <v>18</v>
      </c>
      <c r="F10631" s="137" t="s">
        <v>24</v>
      </c>
      <c r="G10631" s="128" t="str">
        <f>VLOOKUP(source[[#This Row],[lending_product_transform]],[3]Mapping!$B$4:$C$37,2,0)</f>
        <v>[Cake] - Cashloan</v>
      </c>
      <c r="H10631" s="128" t="str">
        <f>VLOOKUP(source[[#This Row],[lending_product_transform]],[3]Mapping!$B$3:$D$37,3,0)</f>
        <v>cashloan</v>
      </c>
      <c r="I10631" s="137">
        <v>8534052000</v>
      </c>
    </row>
    <row r="10632" spans="1:9" x14ac:dyDescent="0.2">
      <c r="A10632" s="134">
        <v>45979</v>
      </c>
      <c r="B10632" s="135">
        <f>YEAR(source[[#This Row],[report_date]])</f>
        <v>2025</v>
      </c>
      <c r="C10632" s="128">
        <f t="shared" si="496"/>
        <v>11</v>
      </c>
      <c r="D10632" s="136">
        <f t="shared" si="498"/>
        <v>47</v>
      </c>
      <c r="E10632" s="136">
        <f t="shared" si="497"/>
        <v>18</v>
      </c>
      <c r="F10632" s="137" t="s">
        <v>24</v>
      </c>
      <c r="G10632" s="128" t="str">
        <f>VLOOKUP(source[[#This Row],[lending_product_transform]],[3]Mapping!$B$4:$C$37,2,0)</f>
        <v>[Cake] - Cashloan</v>
      </c>
      <c r="H10632" s="128" t="str">
        <f>VLOOKUP(source[[#This Row],[lending_product_transform]],[3]Mapping!$B$3:$D$37,3,0)</f>
        <v>cashloan</v>
      </c>
      <c r="I10632" s="137">
        <v>12283987</v>
      </c>
    </row>
    <row r="10633" spans="1:9" x14ac:dyDescent="0.2">
      <c r="A10633" s="134">
        <v>45979</v>
      </c>
      <c r="B10633" s="135">
        <f>YEAR(source[[#This Row],[report_date]])</f>
        <v>2025</v>
      </c>
      <c r="C10633" s="128">
        <f t="shared" si="496"/>
        <v>11</v>
      </c>
      <c r="D10633" s="136">
        <f t="shared" si="498"/>
        <v>47</v>
      </c>
      <c r="E10633" s="136">
        <f t="shared" si="497"/>
        <v>18</v>
      </c>
      <c r="F10633" s="137" t="s">
        <v>24</v>
      </c>
      <c r="G10633" s="128" t="str">
        <f>VLOOKUP(source[[#This Row],[lending_product_transform]],[3]Mapping!$B$4:$C$37,2,0)</f>
        <v>[Cake] - Cashloan</v>
      </c>
      <c r="H10633" s="128" t="str">
        <f>VLOOKUP(source[[#This Row],[lending_product_transform]],[3]Mapping!$B$3:$D$37,3,0)</f>
        <v>cashloan</v>
      </c>
      <c r="I10633" s="137">
        <v>3076100000</v>
      </c>
    </row>
    <row r="10634" spans="1:9" x14ac:dyDescent="0.2">
      <c r="A10634" s="134">
        <v>45979</v>
      </c>
      <c r="B10634" s="135">
        <f>YEAR(source[[#This Row],[report_date]])</f>
        <v>2025</v>
      </c>
      <c r="C10634" s="128">
        <f t="shared" si="496"/>
        <v>11</v>
      </c>
      <c r="D10634" s="136">
        <f t="shared" si="498"/>
        <v>47</v>
      </c>
      <c r="E10634" s="136">
        <f t="shared" si="497"/>
        <v>18</v>
      </c>
      <c r="F10634" s="137" t="s">
        <v>24</v>
      </c>
      <c r="G10634" s="128" t="str">
        <f>VLOOKUP(source[[#This Row],[lending_product_transform]],[3]Mapping!$B$4:$C$37,2,0)</f>
        <v>[Cake] - Cashloan</v>
      </c>
      <c r="H10634" s="128" t="str">
        <f>VLOOKUP(source[[#This Row],[lending_product_transform]],[3]Mapping!$B$3:$D$37,3,0)</f>
        <v>cashloan</v>
      </c>
      <c r="I10634" s="137">
        <v>30274668</v>
      </c>
    </row>
    <row r="10635" spans="1:9" x14ac:dyDescent="0.2">
      <c r="A10635" s="134">
        <v>45979</v>
      </c>
      <c r="B10635" s="135">
        <f>YEAR(source[[#This Row],[report_date]])</f>
        <v>2025</v>
      </c>
      <c r="C10635" s="128">
        <f t="shared" si="496"/>
        <v>11</v>
      </c>
      <c r="D10635" s="136">
        <f t="shared" si="498"/>
        <v>47</v>
      </c>
      <c r="E10635" s="136">
        <f t="shared" si="497"/>
        <v>18</v>
      </c>
      <c r="F10635" s="137" t="s">
        <v>24</v>
      </c>
      <c r="G10635" s="128" t="str">
        <f>VLOOKUP(source[[#This Row],[lending_product_transform]],[3]Mapping!$B$4:$C$37,2,0)</f>
        <v>[Cake] - Cashloan</v>
      </c>
      <c r="H10635" s="128" t="str">
        <f>VLOOKUP(source[[#This Row],[lending_product_transform]],[3]Mapping!$B$3:$D$37,3,0)</f>
        <v>cashloan</v>
      </c>
      <c r="I10635" s="137">
        <v>753414800</v>
      </c>
    </row>
    <row r="10636" spans="1:9" x14ac:dyDescent="0.2">
      <c r="A10636" s="134">
        <v>45979</v>
      </c>
      <c r="B10636" s="135">
        <f>YEAR(source[[#This Row],[report_date]])</f>
        <v>2025</v>
      </c>
      <c r="C10636" s="128">
        <f t="shared" si="496"/>
        <v>11</v>
      </c>
      <c r="D10636" s="136">
        <f t="shared" si="498"/>
        <v>47</v>
      </c>
      <c r="E10636" s="136">
        <f t="shared" si="497"/>
        <v>18</v>
      </c>
      <c r="F10636" s="137" t="s">
        <v>24</v>
      </c>
      <c r="G10636" s="128" t="str">
        <f>VLOOKUP(source[[#This Row],[lending_product_transform]],[3]Mapping!$B$4:$C$37,2,0)</f>
        <v>[Cake] - Cashloan</v>
      </c>
      <c r="H10636" s="128" t="str">
        <f>VLOOKUP(source[[#This Row],[lending_product_transform]],[3]Mapping!$B$3:$D$37,3,0)</f>
        <v>cashloan</v>
      </c>
      <c r="I10636" s="137">
        <v>0</v>
      </c>
    </row>
    <row r="10637" spans="1:9" x14ac:dyDescent="0.2">
      <c r="A10637" s="134">
        <v>45979</v>
      </c>
      <c r="B10637" s="135">
        <f>YEAR(source[[#This Row],[report_date]])</f>
        <v>2025</v>
      </c>
      <c r="C10637" s="128">
        <f t="shared" si="496"/>
        <v>11</v>
      </c>
      <c r="D10637" s="136">
        <f t="shared" si="498"/>
        <v>47</v>
      </c>
      <c r="E10637" s="136">
        <f t="shared" si="497"/>
        <v>18</v>
      </c>
      <c r="F10637" s="137" t="s">
        <v>24</v>
      </c>
      <c r="G10637" s="128" t="str">
        <f>VLOOKUP(source[[#This Row],[lending_product_transform]],[3]Mapping!$B$4:$C$37,2,0)</f>
        <v>[Cake] - Cashloan</v>
      </c>
      <c r="H10637" s="128" t="str">
        <f>VLOOKUP(source[[#This Row],[lending_product_transform]],[3]Mapping!$B$3:$D$37,3,0)</f>
        <v>cashloan</v>
      </c>
      <c r="I10637" s="137">
        <v>408250000</v>
      </c>
    </row>
    <row r="10638" spans="1:9" x14ac:dyDescent="0.2">
      <c r="A10638" s="134">
        <v>45979</v>
      </c>
      <c r="B10638" s="135">
        <f>YEAR(source[[#This Row],[report_date]])</f>
        <v>2025</v>
      </c>
      <c r="C10638" s="128">
        <f t="shared" si="496"/>
        <v>11</v>
      </c>
      <c r="D10638" s="136">
        <f t="shared" si="498"/>
        <v>47</v>
      </c>
      <c r="E10638" s="136">
        <f t="shared" si="497"/>
        <v>18</v>
      </c>
      <c r="F10638" s="137" t="s">
        <v>24</v>
      </c>
      <c r="G10638" s="128" t="str">
        <f>VLOOKUP(source[[#This Row],[lending_product_transform]],[3]Mapping!$B$4:$C$37,2,0)</f>
        <v>[Cake] - Cashloan</v>
      </c>
      <c r="H10638" s="128" t="str">
        <f>VLOOKUP(source[[#This Row],[lending_product_transform]],[3]Mapping!$B$3:$D$37,3,0)</f>
        <v>cashloan</v>
      </c>
      <c r="I10638" s="137">
        <v>17151150000</v>
      </c>
    </row>
    <row r="10639" spans="1:9" x14ac:dyDescent="0.2">
      <c r="A10639" s="134">
        <v>45979</v>
      </c>
      <c r="B10639" s="135">
        <f>YEAR(source[[#This Row],[report_date]])</f>
        <v>2025</v>
      </c>
      <c r="C10639" s="128">
        <f t="shared" si="496"/>
        <v>11</v>
      </c>
      <c r="D10639" s="136">
        <f t="shared" si="498"/>
        <v>47</v>
      </c>
      <c r="E10639" s="136">
        <f t="shared" si="497"/>
        <v>18</v>
      </c>
      <c r="F10639" s="137" t="s">
        <v>24</v>
      </c>
      <c r="G10639" s="128" t="str">
        <f>VLOOKUP(source[[#This Row],[lending_product_transform]],[3]Mapping!$B$4:$C$37,2,0)</f>
        <v>[Cake] - Cashloan</v>
      </c>
      <c r="H10639" s="128" t="str">
        <f>VLOOKUP(source[[#This Row],[lending_product_transform]],[3]Mapping!$B$3:$D$37,3,0)</f>
        <v>cashloan</v>
      </c>
      <c r="I10639" s="137">
        <v>0</v>
      </c>
    </row>
    <row r="10640" spans="1:9" x14ac:dyDescent="0.2">
      <c r="A10640" s="134">
        <v>45979</v>
      </c>
      <c r="B10640" s="135">
        <f>YEAR(source[[#This Row],[report_date]])</f>
        <v>2025</v>
      </c>
      <c r="C10640" s="128">
        <f t="shared" si="496"/>
        <v>11</v>
      </c>
      <c r="D10640" s="136">
        <f t="shared" si="498"/>
        <v>47</v>
      </c>
      <c r="E10640" s="136">
        <f t="shared" si="497"/>
        <v>18</v>
      </c>
      <c r="F10640" s="137" t="s">
        <v>24</v>
      </c>
      <c r="G10640" s="128" t="str">
        <f>VLOOKUP(source[[#This Row],[lending_product_transform]],[3]Mapping!$B$4:$C$37,2,0)</f>
        <v>[Cake] - Cashloan</v>
      </c>
      <c r="H10640" s="128" t="str">
        <f>VLOOKUP(source[[#This Row],[lending_product_transform]],[3]Mapping!$B$3:$D$37,3,0)</f>
        <v>cashloan</v>
      </c>
      <c r="I10640" s="137">
        <v>0</v>
      </c>
    </row>
    <row r="10641" spans="1:9" x14ac:dyDescent="0.2">
      <c r="A10641" s="134">
        <v>45979</v>
      </c>
      <c r="B10641" s="135">
        <f>YEAR(source[[#This Row],[report_date]])</f>
        <v>2025</v>
      </c>
      <c r="C10641" s="128">
        <f t="shared" si="496"/>
        <v>11</v>
      </c>
      <c r="D10641" s="136">
        <f t="shared" si="498"/>
        <v>47</v>
      </c>
      <c r="E10641" s="136">
        <f t="shared" si="497"/>
        <v>18</v>
      </c>
      <c r="F10641" s="137" t="s">
        <v>24</v>
      </c>
      <c r="G10641" s="128" t="str">
        <f>VLOOKUP(source[[#This Row],[lending_product_transform]],[3]Mapping!$B$4:$C$37,2,0)</f>
        <v>[Cake] - Cashloan</v>
      </c>
      <c r="H10641" s="128" t="str">
        <f>VLOOKUP(source[[#This Row],[lending_product_transform]],[3]Mapping!$B$3:$D$37,3,0)</f>
        <v>cashloan</v>
      </c>
      <c r="I10641" s="137">
        <v>0</v>
      </c>
    </row>
    <row r="10642" spans="1:9" x14ac:dyDescent="0.2">
      <c r="A10642" s="134">
        <v>45979</v>
      </c>
      <c r="B10642" s="135">
        <f>YEAR(source[[#This Row],[report_date]])</f>
        <v>2025</v>
      </c>
      <c r="C10642" s="128">
        <f t="shared" si="496"/>
        <v>11</v>
      </c>
      <c r="D10642" s="136">
        <f t="shared" si="498"/>
        <v>47</v>
      </c>
      <c r="E10642" s="136">
        <f t="shared" si="497"/>
        <v>18</v>
      </c>
      <c r="F10642" s="137" t="s">
        <v>24</v>
      </c>
      <c r="G10642" s="128" t="str">
        <f>VLOOKUP(source[[#This Row],[lending_product_transform]],[3]Mapping!$B$4:$C$37,2,0)</f>
        <v>[Cake] - Cashloan</v>
      </c>
      <c r="H10642" s="128" t="str">
        <f>VLOOKUP(source[[#This Row],[lending_product_transform]],[3]Mapping!$B$3:$D$37,3,0)</f>
        <v>cashloan</v>
      </c>
      <c r="I10642" s="137">
        <v>0</v>
      </c>
    </row>
    <row r="10643" spans="1:9" x14ac:dyDescent="0.2">
      <c r="A10643" s="134">
        <v>45979</v>
      </c>
      <c r="B10643" s="135">
        <f>YEAR(source[[#This Row],[report_date]])</f>
        <v>2025</v>
      </c>
      <c r="C10643" s="128">
        <f t="shared" si="496"/>
        <v>11</v>
      </c>
      <c r="D10643" s="136">
        <f t="shared" si="498"/>
        <v>47</v>
      </c>
      <c r="E10643" s="136">
        <f t="shared" si="497"/>
        <v>18</v>
      </c>
      <c r="F10643" s="137" t="s">
        <v>24</v>
      </c>
      <c r="G10643" s="128" t="str">
        <f>VLOOKUP(source[[#This Row],[lending_product_transform]],[3]Mapping!$B$4:$C$37,2,0)</f>
        <v>[Cake] - Cashloan</v>
      </c>
      <c r="H10643" s="128" t="str">
        <f>VLOOKUP(source[[#This Row],[lending_product_transform]],[3]Mapping!$B$3:$D$37,3,0)</f>
        <v>cashloan</v>
      </c>
      <c r="I10643" s="137">
        <v>8984628000</v>
      </c>
    </row>
    <row r="10644" spans="1:9" x14ac:dyDescent="0.2">
      <c r="A10644" s="134">
        <v>45979</v>
      </c>
      <c r="B10644" s="135">
        <f>YEAR(source[[#This Row],[report_date]])</f>
        <v>2025</v>
      </c>
      <c r="C10644" s="128">
        <f t="shared" si="496"/>
        <v>11</v>
      </c>
      <c r="D10644" s="136">
        <f t="shared" si="498"/>
        <v>47</v>
      </c>
      <c r="E10644" s="136">
        <f t="shared" si="497"/>
        <v>18</v>
      </c>
      <c r="F10644" s="137" t="s">
        <v>24</v>
      </c>
      <c r="G10644" s="128" t="str">
        <f>VLOOKUP(source[[#This Row],[lending_product_transform]],[3]Mapping!$B$4:$C$37,2,0)</f>
        <v>[Cake] - Cashloan</v>
      </c>
      <c r="H10644" s="128" t="str">
        <f>VLOOKUP(source[[#This Row],[lending_product_transform]],[3]Mapping!$B$3:$D$37,3,0)</f>
        <v>cashloan</v>
      </c>
      <c r="I10644" s="137">
        <v>159994639</v>
      </c>
    </row>
    <row r="10645" spans="1:9" x14ac:dyDescent="0.2">
      <c r="A10645" s="134">
        <v>45979</v>
      </c>
      <c r="B10645" s="135">
        <f>YEAR(source[[#This Row],[report_date]])</f>
        <v>2025</v>
      </c>
      <c r="C10645" s="128">
        <f t="shared" si="496"/>
        <v>11</v>
      </c>
      <c r="D10645" s="136">
        <f t="shared" si="498"/>
        <v>47</v>
      </c>
      <c r="E10645" s="136">
        <f t="shared" si="497"/>
        <v>18</v>
      </c>
      <c r="F10645" s="137" t="s">
        <v>24</v>
      </c>
      <c r="G10645" s="128" t="str">
        <f>VLOOKUP(source[[#This Row],[lending_product_transform]],[3]Mapping!$B$4:$C$37,2,0)</f>
        <v>[Cake] - Cashloan</v>
      </c>
      <c r="H10645" s="128" t="str">
        <f>VLOOKUP(source[[#This Row],[lending_product_transform]],[3]Mapping!$B$3:$D$37,3,0)</f>
        <v>cashloan</v>
      </c>
      <c r="I10645" s="137">
        <v>10500000</v>
      </c>
    </row>
    <row r="10646" spans="1:9" x14ac:dyDescent="0.2">
      <c r="A10646" s="134">
        <v>45979</v>
      </c>
      <c r="B10646" s="135">
        <f>YEAR(source[[#This Row],[report_date]])</f>
        <v>2025</v>
      </c>
      <c r="C10646" s="128">
        <f t="shared" si="496"/>
        <v>11</v>
      </c>
      <c r="D10646" s="136">
        <f t="shared" si="498"/>
        <v>47</v>
      </c>
      <c r="E10646" s="136">
        <f t="shared" si="497"/>
        <v>18</v>
      </c>
      <c r="F10646" s="137" t="s">
        <v>24</v>
      </c>
      <c r="G10646" s="128" t="str">
        <f>VLOOKUP(source[[#This Row],[lending_product_transform]],[3]Mapping!$B$4:$C$37,2,0)</f>
        <v>[Cake] - Cashloan</v>
      </c>
      <c r="H10646" s="128" t="str">
        <f>VLOOKUP(source[[#This Row],[lending_product_transform]],[3]Mapping!$B$3:$D$37,3,0)</f>
        <v>cashloan</v>
      </c>
      <c r="I10646" s="137">
        <v>15000000</v>
      </c>
    </row>
    <row r="10647" spans="1:9" x14ac:dyDescent="0.2">
      <c r="A10647" s="134">
        <v>45979</v>
      </c>
      <c r="B10647" s="135">
        <f>YEAR(source[[#This Row],[report_date]])</f>
        <v>2025</v>
      </c>
      <c r="C10647" s="128">
        <f t="shared" si="496"/>
        <v>11</v>
      </c>
      <c r="D10647" s="136">
        <f t="shared" si="498"/>
        <v>47</v>
      </c>
      <c r="E10647" s="136">
        <f t="shared" si="497"/>
        <v>18</v>
      </c>
      <c r="F10647" s="137" t="s">
        <v>24</v>
      </c>
      <c r="G10647" s="128" t="str">
        <f>VLOOKUP(source[[#This Row],[lending_product_transform]],[3]Mapping!$B$4:$C$37,2,0)</f>
        <v>[Cake] - Cashloan</v>
      </c>
      <c r="H10647" s="128" t="str">
        <f>VLOOKUP(source[[#This Row],[lending_product_transform]],[3]Mapping!$B$3:$D$37,3,0)</f>
        <v>cashloan</v>
      </c>
      <c r="I10647" s="137">
        <v>550130000</v>
      </c>
    </row>
    <row r="10648" spans="1:9" x14ac:dyDescent="0.2">
      <c r="A10648" s="134">
        <v>45979</v>
      </c>
      <c r="B10648" s="135">
        <f>YEAR(source[[#This Row],[report_date]])</f>
        <v>2025</v>
      </c>
      <c r="C10648" s="128">
        <f t="shared" si="496"/>
        <v>11</v>
      </c>
      <c r="D10648" s="136">
        <f t="shared" si="498"/>
        <v>47</v>
      </c>
      <c r="E10648" s="136">
        <f t="shared" si="497"/>
        <v>18</v>
      </c>
      <c r="F10648" s="137" t="s">
        <v>24</v>
      </c>
      <c r="G10648" s="128" t="str">
        <f>VLOOKUP(source[[#This Row],[lending_product_transform]],[3]Mapping!$B$4:$C$37,2,0)</f>
        <v>[Cake] - Cashloan</v>
      </c>
      <c r="H10648" s="128" t="str">
        <f>VLOOKUP(source[[#This Row],[lending_product_transform]],[3]Mapping!$B$3:$D$37,3,0)</f>
        <v>cashloan</v>
      </c>
      <c r="I10648" s="137">
        <v>212760000</v>
      </c>
    </row>
    <row r="10649" spans="1:9" x14ac:dyDescent="0.2">
      <c r="A10649" s="134">
        <v>45979</v>
      </c>
      <c r="B10649" s="135">
        <f>YEAR(source[[#This Row],[report_date]])</f>
        <v>2025</v>
      </c>
      <c r="C10649" s="128">
        <f t="shared" si="496"/>
        <v>11</v>
      </c>
      <c r="D10649" s="136">
        <f t="shared" si="498"/>
        <v>47</v>
      </c>
      <c r="E10649" s="136">
        <f t="shared" si="497"/>
        <v>18</v>
      </c>
      <c r="F10649" s="137" t="s">
        <v>24</v>
      </c>
      <c r="G10649" s="128" t="str">
        <f>VLOOKUP(source[[#This Row],[lending_product_transform]],[3]Mapping!$B$4:$C$37,2,0)</f>
        <v>[Cake] - Cashloan</v>
      </c>
      <c r="H10649" s="128" t="str">
        <f>VLOOKUP(source[[#This Row],[lending_product_transform]],[3]Mapping!$B$3:$D$37,3,0)</f>
        <v>cashloan</v>
      </c>
      <c r="I10649" s="137">
        <v>334926411</v>
      </c>
    </row>
    <row r="10650" spans="1:9" x14ac:dyDescent="0.2">
      <c r="A10650" s="134">
        <v>45979</v>
      </c>
      <c r="B10650" s="135">
        <f>YEAR(source[[#This Row],[report_date]])</f>
        <v>2025</v>
      </c>
      <c r="C10650" s="128">
        <f t="shared" si="496"/>
        <v>11</v>
      </c>
      <c r="D10650" s="136">
        <f t="shared" si="498"/>
        <v>47</v>
      </c>
      <c r="E10650" s="136">
        <f t="shared" si="497"/>
        <v>18</v>
      </c>
      <c r="F10650" s="137" t="s">
        <v>24</v>
      </c>
      <c r="G10650" s="128" t="str">
        <f>VLOOKUP(source[[#This Row],[lending_product_transform]],[3]Mapping!$B$4:$C$37,2,0)</f>
        <v>[Cake] - Cashloan</v>
      </c>
      <c r="H10650" s="128" t="str">
        <f>VLOOKUP(source[[#This Row],[lending_product_transform]],[3]Mapping!$B$3:$D$37,3,0)</f>
        <v>cashloan</v>
      </c>
      <c r="I10650" s="137">
        <v>3495690000</v>
      </c>
    </row>
    <row r="10651" spans="1:9" x14ac:dyDescent="0.2">
      <c r="A10651" s="134">
        <v>45980</v>
      </c>
      <c r="B10651" s="135">
        <f>YEAR(source[[#This Row],[report_date]])</f>
        <v>2025</v>
      </c>
      <c r="C10651" s="128">
        <f t="shared" si="496"/>
        <v>11</v>
      </c>
      <c r="D10651" s="136">
        <f t="shared" si="498"/>
        <v>47</v>
      </c>
      <c r="E10651" s="136">
        <f t="shared" si="497"/>
        <v>19</v>
      </c>
      <c r="F10651" s="137" t="s">
        <v>24</v>
      </c>
      <c r="G10651" s="128" t="str">
        <f>VLOOKUP(source[[#This Row],[lending_product_transform]],[3]Mapping!$B$4:$C$37,2,0)</f>
        <v>[Cake] - Cashloan</v>
      </c>
      <c r="H10651" s="128" t="str">
        <f>VLOOKUP(source[[#This Row],[lending_product_transform]],[3]Mapping!$B$3:$D$37,3,0)</f>
        <v>cashloan</v>
      </c>
      <c r="I10651" s="137">
        <v>104000000</v>
      </c>
    </row>
    <row r="10652" spans="1:9" x14ac:dyDescent="0.2">
      <c r="A10652" s="134">
        <v>45980</v>
      </c>
      <c r="B10652" s="135">
        <f>YEAR(source[[#This Row],[report_date]])</f>
        <v>2025</v>
      </c>
      <c r="C10652" s="128">
        <f t="shared" si="496"/>
        <v>11</v>
      </c>
      <c r="D10652" s="136">
        <f t="shared" si="498"/>
        <v>47</v>
      </c>
      <c r="E10652" s="136">
        <f t="shared" si="497"/>
        <v>19</v>
      </c>
      <c r="F10652" s="137" t="s">
        <v>24</v>
      </c>
      <c r="G10652" s="128" t="str">
        <f>VLOOKUP(source[[#This Row],[lending_product_transform]],[3]Mapping!$B$4:$C$37,2,0)</f>
        <v>[Cake] - Cashloan</v>
      </c>
      <c r="H10652" s="128" t="str">
        <f>VLOOKUP(source[[#This Row],[lending_product_transform]],[3]Mapping!$B$3:$D$37,3,0)</f>
        <v>cashloan</v>
      </c>
      <c r="I10652" s="137">
        <v>274998842</v>
      </c>
    </row>
    <row r="10653" spans="1:9" x14ac:dyDescent="0.2">
      <c r="A10653" s="134">
        <v>45980</v>
      </c>
      <c r="B10653" s="135">
        <f>YEAR(source[[#This Row],[report_date]])</f>
        <v>2025</v>
      </c>
      <c r="C10653" s="128">
        <f t="shared" si="496"/>
        <v>11</v>
      </c>
      <c r="D10653" s="136">
        <f t="shared" si="498"/>
        <v>47</v>
      </c>
      <c r="E10653" s="136">
        <f t="shared" si="497"/>
        <v>19</v>
      </c>
      <c r="F10653" s="137" t="s">
        <v>24</v>
      </c>
      <c r="G10653" s="128" t="str">
        <f>VLOOKUP(source[[#This Row],[lending_product_transform]],[3]Mapping!$B$4:$C$37,2,0)</f>
        <v>[Cake] - Cashloan</v>
      </c>
      <c r="H10653" s="128" t="str">
        <f>VLOOKUP(source[[#This Row],[lending_product_transform]],[3]Mapping!$B$3:$D$37,3,0)</f>
        <v>cashloan</v>
      </c>
      <c r="I10653" s="137">
        <v>21324660000</v>
      </c>
    </row>
    <row r="10654" spans="1:9" x14ac:dyDescent="0.2">
      <c r="A10654" s="134">
        <v>45980</v>
      </c>
      <c r="B10654" s="135">
        <f>YEAR(source[[#This Row],[report_date]])</f>
        <v>2025</v>
      </c>
      <c r="C10654" s="128">
        <f t="shared" si="496"/>
        <v>11</v>
      </c>
      <c r="D10654" s="136">
        <f t="shared" si="498"/>
        <v>47</v>
      </c>
      <c r="E10654" s="136">
        <f t="shared" si="497"/>
        <v>19</v>
      </c>
      <c r="F10654" s="137" t="s">
        <v>24</v>
      </c>
      <c r="G10654" s="128" t="str">
        <f>VLOOKUP(source[[#This Row],[lending_product_transform]],[3]Mapping!$B$4:$C$37,2,0)</f>
        <v>[Cake] - Cashloan</v>
      </c>
      <c r="H10654" s="128" t="str">
        <f>VLOOKUP(source[[#This Row],[lending_product_transform]],[3]Mapping!$B$3:$D$37,3,0)</f>
        <v>cashloan</v>
      </c>
      <c r="I10654" s="137">
        <v>2324864830</v>
      </c>
    </row>
    <row r="10655" spans="1:9" x14ac:dyDescent="0.2">
      <c r="A10655" s="134">
        <v>45980</v>
      </c>
      <c r="B10655" s="135">
        <f>YEAR(source[[#This Row],[report_date]])</f>
        <v>2025</v>
      </c>
      <c r="C10655" s="128">
        <f t="shared" si="496"/>
        <v>11</v>
      </c>
      <c r="D10655" s="136">
        <f t="shared" si="498"/>
        <v>47</v>
      </c>
      <c r="E10655" s="136">
        <f t="shared" si="497"/>
        <v>19</v>
      </c>
      <c r="F10655" s="137" t="s">
        <v>24</v>
      </c>
      <c r="G10655" s="128" t="str">
        <f>VLOOKUP(source[[#This Row],[lending_product_transform]],[3]Mapping!$B$4:$C$37,2,0)</f>
        <v>[Cake] - Cashloan</v>
      </c>
      <c r="H10655" s="128" t="str">
        <f>VLOOKUP(source[[#This Row],[lending_product_transform]],[3]Mapping!$B$3:$D$37,3,0)</f>
        <v>cashloan</v>
      </c>
      <c r="I10655" s="137">
        <v>8992620000</v>
      </c>
    </row>
    <row r="10656" spans="1:9" x14ac:dyDescent="0.2">
      <c r="A10656" s="134">
        <v>45980</v>
      </c>
      <c r="B10656" s="135">
        <f>YEAR(source[[#This Row],[report_date]])</f>
        <v>2025</v>
      </c>
      <c r="C10656" s="128">
        <f t="shared" si="496"/>
        <v>11</v>
      </c>
      <c r="D10656" s="136">
        <f t="shared" si="498"/>
        <v>47</v>
      </c>
      <c r="E10656" s="136">
        <f t="shared" si="497"/>
        <v>19</v>
      </c>
      <c r="F10656" s="137" t="s">
        <v>24</v>
      </c>
      <c r="G10656" s="128" t="str">
        <f>VLOOKUP(source[[#This Row],[lending_product_transform]],[3]Mapping!$B$4:$C$37,2,0)</f>
        <v>[Cake] - Cashloan</v>
      </c>
      <c r="H10656" s="128" t="str">
        <f>VLOOKUP(source[[#This Row],[lending_product_transform]],[3]Mapping!$B$3:$D$37,3,0)</f>
        <v>cashloan</v>
      </c>
      <c r="I10656" s="137">
        <v>1901523</v>
      </c>
    </row>
    <row r="10657" spans="1:9" x14ac:dyDescent="0.2">
      <c r="A10657" s="134">
        <v>45980</v>
      </c>
      <c r="B10657" s="135">
        <f>YEAR(source[[#This Row],[report_date]])</f>
        <v>2025</v>
      </c>
      <c r="C10657" s="128">
        <f t="shared" si="496"/>
        <v>11</v>
      </c>
      <c r="D10657" s="136">
        <f t="shared" si="498"/>
        <v>47</v>
      </c>
      <c r="E10657" s="136">
        <f t="shared" si="497"/>
        <v>19</v>
      </c>
      <c r="F10657" s="137" t="s">
        <v>24</v>
      </c>
      <c r="G10657" s="128" t="str">
        <f>VLOOKUP(source[[#This Row],[lending_product_transform]],[3]Mapping!$B$4:$C$37,2,0)</f>
        <v>[Cake] - Cashloan</v>
      </c>
      <c r="H10657" s="128" t="str">
        <f>VLOOKUP(source[[#This Row],[lending_product_transform]],[3]Mapping!$B$3:$D$37,3,0)</f>
        <v>cashloan</v>
      </c>
      <c r="I10657" s="137">
        <v>3181360000</v>
      </c>
    </row>
    <row r="10658" spans="1:9" x14ac:dyDescent="0.2">
      <c r="A10658" s="134">
        <v>45980</v>
      </c>
      <c r="B10658" s="135">
        <f>YEAR(source[[#This Row],[report_date]])</f>
        <v>2025</v>
      </c>
      <c r="C10658" s="128">
        <f t="shared" si="496"/>
        <v>11</v>
      </c>
      <c r="D10658" s="136">
        <f t="shared" si="498"/>
        <v>47</v>
      </c>
      <c r="E10658" s="136">
        <f t="shared" si="497"/>
        <v>19</v>
      </c>
      <c r="F10658" s="137" t="s">
        <v>24</v>
      </c>
      <c r="G10658" s="128" t="str">
        <f>VLOOKUP(source[[#This Row],[lending_product_transform]],[3]Mapping!$B$4:$C$37,2,0)</f>
        <v>[Cake] - Cashloan</v>
      </c>
      <c r="H10658" s="128" t="str">
        <f>VLOOKUP(source[[#This Row],[lending_product_transform]],[3]Mapping!$B$3:$D$37,3,0)</f>
        <v>cashloan</v>
      </c>
      <c r="I10658" s="137">
        <v>2801462</v>
      </c>
    </row>
    <row r="10659" spans="1:9" x14ac:dyDescent="0.2">
      <c r="A10659" s="134">
        <v>45980</v>
      </c>
      <c r="B10659" s="135">
        <f>YEAR(source[[#This Row],[report_date]])</f>
        <v>2025</v>
      </c>
      <c r="C10659" s="128">
        <f t="shared" si="496"/>
        <v>11</v>
      </c>
      <c r="D10659" s="136">
        <f t="shared" si="498"/>
        <v>47</v>
      </c>
      <c r="E10659" s="136">
        <f t="shared" si="497"/>
        <v>19</v>
      </c>
      <c r="F10659" s="137" t="s">
        <v>24</v>
      </c>
      <c r="G10659" s="128" t="str">
        <f>VLOOKUP(source[[#This Row],[lending_product_transform]],[3]Mapping!$B$4:$C$37,2,0)</f>
        <v>[Cake] - Cashloan</v>
      </c>
      <c r="H10659" s="128" t="str">
        <f>VLOOKUP(source[[#This Row],[lending_product_transform]],[3]Mapping!$B$3:$D$37,3,0)</f>
        <v>cashloan</v>
      </c>
      <c r="I10659" s="137">
        <v>533830509</v>
      </c>
    </row>
    <row r="10660" spans="1:9" x14ac:dyDescent="0.2">
      <c r="A10660" s="134">
        <v>45980</v>
      </c>
      <c r="B10660" s="135">
        <f>YEAR(source[[#This Row],[report_date]])</f>
        <v>2025</v>
      </c>
      <c r="C10660" s="128">
        <f t="shared" si="496"/>
        <v>11</v>
      </c>
      <c r="D10660" s="136">
        <f t="shared" si="498"/>
        <v>47</v>
      </c>
      <c r="E10660" s="136">
        <f t="shared" si="497"/>
        <v>19</v>
      </c>
      <c r="F10660" s="137" t="s">
        <v>24</v>
      </c>
      <c r="G10660" s="128" t="str">
        <f>VLOOKUP(source[[#This Row],[lending_product_transform]],[3]Mapping!$B$4:$C$37,2,0)</f>
        <v>[Cake] - Cashloan</v>
      </c>
      <c r="H10660" s="128" t="str">
        <f>VLOOKUP(source[[#This Row],[lending_product_transform]],[3]Mapping!$B$3:$D$37,3,0)</f>
        <v>cashloan</v>
      </c>
      <c r="I10660" s="137">
        <v>0</v>
      </c>
    </row>
    <row r="10661" spans="1:9" x14ac:dyDescent="0.2">
      <c r="A10661" s="134">
        <v>45980</v>
      </c>
      <c r="B10661" s="135">
        <f>YEAR(source[[#This Row],[report_date]])</f>
        <v>2025</v>
      </c>
      <c r="C10661" s="128">
        <f t="shared" si="496"/>
        <v>11</v>
      </c>
      <c r="D10661" s="136">
        <f t="shared" si="498"/>
        <v>47</v>
      </c>
      <c r="E10661" s="136">
        <f t="shared" si="497"/>
        <v>19</v>
      </c>
      <c r="F10661" s="137" t="s">
        <v>24</v>
      </c>
      <c r="G10661" s="128" t="str">
        <f>VLOOKUP(source[[#This Row],[lending_product_transform]],[3]Mapping!$B$4:$C$37,2,0)</f>
        <v>[Cake] - Cashloan</v>
      </c>
      <c r="H10661" s="128" t="str">
        <f>VLOOKUP(source[[#This Row],[lending_product_transform]],[3]Mapping!$B$3:$D$37,3,0)</f>
        <v>cashloan</v>
      </c>
      <c r="I10661" s="137">
        <v>394250000</v>
      </c>
    </row>
    <row r="10662" spans="1:9" x14ac:dyDescent="0.2">
      <c r="A10662" s="134">
        <v>45980</v>
      </c>
      <c r="B10662" s="135">
        <f>YEAR(source[[#This Row],[report_date]])</f>
        <v>2025</v>
      </c>
      <c r="C10662" s="128">
        <f t="shared" si="496"/>
        <v>11</v>
      </c>
      <c r="D10662" s="136">
        <f t="shared" si="498"/>
        <v>47</v>
      </c>
      <c r="E10662" s="136">
        <f t="shared" si="497"/>
        <v>19</v>
      </c>
      <c r="F10662" s="137" t="s">
        <v>24</v>
      </c>
      <c r="G10662" s="128" t="str">
        <f>VLOOKUP(source[[#This Row],[lending_product_transform]],[3]Mapping!$B$4:$C$37,2,0)</f>
        <v>[Cake] - Cashloan</v>
      </c>
      <c r="H10662" s="128" t="str">
        <f>VLOOKUP(source[[#This Row],[lending_product_transform]],[3]Mapping!$B$3:$D$37,3,0)</f>
        <v>cashloan</v>
      </c>
      <c r="I10662" s="137">
        <v>17930910000</v>
      </c>
    </row>
    <row r="10663" spans="1:9" x14ac:dyDescent="0.2">
      <c r="A10663" s="134">
        <v>45980</v>
      </c>
      <c r="B10663" s="135">
        <f>YEAR(source[[#This Row],[report_date]])</f>
        <v>2025</v>
      </c>
      <c r="C10663" s="128">
        <f t="shared" si="496"/>
        <v>11</v>
      </c>
      <c r="D10663" s="136">
        <f t="shared" si="498"/>
        <v>47</v>
      </c>
      <c r="E10663" s="136">
        <f t="shared" si="497"/>
        <v>19</v>
      </c>
      <c r="F10663" s="137" t="s">
        <v>24</v>
      </c>
      <c r="G10663" s="128" t="str">
        <f>VLOOKUP(source[[#This Row],[lending_product_transform]],[3]Mapping!$B$4:$C$37,2,0)</f>
        <v>[Cake] - Cashloan</v>
      </c>
      <c r="H10663" s="128" t="str">
        <f>VLOOKUP(source[[#This Row],[lending_product_transform]],[3]Mapping!$B$3:$D$37,3,0)</f>
        <v>cashloan</v>
      </c>
      <c r="I10663" s="137">
        <v>0</v>
      </c>
    </row>
    <row r="10664" spans="1:9" x14ac:dyDescent="0.2">
      <c r="A10664" s="134">
        <v>45980</v>
      </c>
      <c r="B10664" s="135">
        <f>YEAR(source[[#This Row],[report_date]])</f>
        <v>2025</v>
      </c>
      <c r="C10664" s="128">
        <f t="shared" si="496"/>
        <v>11</v>
      </c>
      <c r="D10664" s="136">
        <f t="shared" si="498"/>
        <v>47</v>
      </c>
      <c r="E10664" s="136">
        <f t="shared" si="497"/>
        <v>19</v>
      </c>
      <c r="F10664" s="137" t="s">
        <v>24</v>
      </c>
      <c r="G10664" s="128" t="str">
        <f>VLOOKUP(source[[#This Row],[lending_product_transform]],[3]Mapping!$B$4:$C$37,2,0)</f>
        <v>[Cake] - Cashloan</v>
      </c>
      <c r="H10664" s="128" t="str">
        <f>VLOOKUP(source[[#This Row],[lending_product_transform]],[3]Mapping!$B$3:$D$37,3,0)</f>
        <v>cashloan</v>
      </c>
      <c r="I10664" s="137">
        <v>0</v>
      </c>
    </row>
    <row r="10665" spans="1:9" x14ac:dyDescent="0.2">
      <c r="A10665" s="134">
        <v>45980</v>
      </c>
      <c r="B10665" s="135">
        <f>YEAR(source[[#This Row],[report_date]])</f>
        <v>2025</v>
      </c>
      <c r="C10665" s="128">
        <f t="shared" si="496"/>
        <v>11</v>
      </c>
      <c r="D10665" s="136">
        <f t="shared" si="498"/>
        <v>47</v>
      </c>
      <c r="E10665" s="136">
        <f t="shared" si="497"/>
        <v>19</v>
      </c>
      <c r="F10665" s="137" t="s">
        <v>24</v>
      </c>
      <c r="G10665" s="128" t="str">
        <f>VLOOKUP(source[[#This Row],[lending_product_transform]],[3]Mapping!$B$4:$C$37,2,0)</f>
        <v>[Cake] - Cashloan</v>
      </c>
      <c r="H10665" s="128" t="str">
        <f>VLOOKUP(source[[#This Row],[lending_product_transform]],[3]Mapping!$B$3:$D$37,3,0)</f>
        <v>cashloan</v>
      </c>
      <c r="I10665" s="137">
        <v>0</v>
      </c>
    </row>
    <row r="10666" spans="1:9" x14ac:dyDescent="0.2">
      <c r="A10666" s="134">
        <v>45980</v>
      </c>
      <c r="B10666" s="135">
        <f>YEAR(source[[#This Row],[report_date]])</f>
        <v>2025</v>
      </c>
      <c r="C10666" s="128">
        <f t="shared" si="496"/>
        <v>11</v>
      </c>
      <c r="D10666" s="136">
        <f t="shared" si="498"/>
        <v>47</v>
      </c>
      <c r="E10666" s="136">
        <f t="shared" si="497"/>
        <v>19</v>
      </c>
      <c r="F10666" s="137" t="s">
        <v>24</v>
      </c>
      <c r="G10666" s="128" t="str">
        <f>VLOOKUP(source[[#This Row],[lending_product_transform]],[3]Mapping!$B$4:$C$37,2,0)</f>
        <v>[Cake] - Cashloan</v>
      </c>
      <c r="H10666" s="128" t="str">
        <f>VLOOKUP(source[[#This Row],[lending_product_transform]],[3]Mapping!$B$3:$D$37,3,0)</f>
        <v>cashloan</v>
      </c>
      <c r="I10666" s="137">
        <v>0</v>
      </c>
    </row>
    <row r="10667" spans="1:9" x14ac:dyDescent="0.2">
      <c r="A10667" s="134">
        <v>45980</v>
      </c>
      <c r="B10667" s="135">
        <f>YEAR(source[[#This Row],[report_date]])</f>
        <v>2025</v>
      </c>
      <c r="C10667" s="128">
        <f t="shared" si="496"/>
        <v>11</v>
      </c>
      <c r="D10667" s="136">
        <f t="shared" si="498"/>
        <v>47</v>
      </c>
      <c r="E10667" s="136">
        <f t="shared" si="497"/>
        <v>19</v>
      </c>
      <c r="F10667" s="137" t="s">
        <v>24</v>
      </c>
      <c r="G10667" s="128" t="str">
        <f>VLOOKUP(source[[#This Row],[lending_product_transform]],[3]Mapping!$B$4:$C$37,2,0)</f>
        <v>[Cake] - Cashloan</v>
      </c>
      <c r="H10667" s="128" t="str">
        <f>VLOOKUP(source[[#This Row],[lending_product_transform]],[3]Mapping!$B$3:$D$37,3,0)</f>
        <v>cashloan</v>
      </c>
      <c r="I10667" s="137">
        <v>8757720000</v>
      </c>
    </row>
    <row r="10668" spans="1:9" x14ac:dyDescent="0.2">
      <c r="A10668" s="134">
        <v>45980</v>
      </c>
      <c r="B10668" s="135">
        <f>YEAR(source[[#This Row],[report_date]])</f>
        <v>2025</v>
      </c>
      <c r="C10668" s="128">
        <f t="shared" si="496"/>
        <v>11</v>
      </c>
      <c r="D10668" s="136">
        <f t="shared" si="498"/>
        <v>47</v>
      </c>
      <c r="E10668" s="136">
        <f t="shared" si="497"/>
        <v>19</v>
      </c>
      <c r="F10668" s="137" t="s">
        <v>24</v>
      </c>
      <c r="G10668" s="128" t="str">
        <f>VLOOKUP(source[[#This Row],[lending_product_transform]],[3]Mapping!$B$4:$C$37,2,0)</f>
        <v>[Cake] - Cashloan</v>
      </c>
      <c r="H10668" s="128" t="str">
        <f>VLOOKUP(source[[#This Row],[lending_product_transform]],[3]Mapping!$B$3:$D$37,3,0)</f>
        <v>cashloan</v>
      </c>
      <c r="I10668" s="137">
        <v>159842500</v>
      </c>
    </row>
    <row r="10669" spans="1:9" x14ac:dyDescent="0.2">
      <c r="A10669" s="134">
        <v>45980</v>
      </c>
      <c r="B10669" s="135">
        <f>YEAR(source[[#This Row],[report_date]])</f>
        <v>2025</v>
      </c>
      <c r="C10669" s="128">
        <f t="shared" si="496"/>
        <v>11</v>
      </c>
      <c r="D10669" s="136">
        <f t="shared" si="498"/>
        <v>47</v>
      </c>
      <c r="E10669" s="136">
        <f t="shared" si="497"/>
        <v>19</v>
      </c>
      <c r="F10669" s="137" t="s">
        <v>24</v>
      </c>
      <c r="G10669" s="128" t="str">
        <f>VLOOKUP(source[[#This Row],[lending_product_transform]],[3]Mapping!$B$4:$C$37,2,0)</f>
        <v>[Cake] - Cashloan</v>
      </c>
      <c r="H10669" s="128" t="str">
        <f>VLOOKUP(source[[#This Row],[lending_product_transform]],[3]Mapping!$B$3:$D$37,3,0)</f>
        <v>cashloan</v>
      </c>
      <c r="I10669" s="137">
        <v>37800000</v>
      </c>
    </row>
    <row r="10670" spans="1:9" x14ac:dyDescent="0.2">
      <c r="A10670" s="134">
        <v>45980</v>
      </c>
      <c r="B10670" s="135">
        <f>YEAR(source[[#This Row],[report_date]])</f>
        <v>2025</v>
      </c>
      <c r="C10670" s="128">
        <f t="shared" si="496"/>
        <v>11</v>
      </c>
      <c r="D10670" s="136">
        <f t="shared" si="498"/>
        <v>47</v>
      </c>
      <c r="E10670" s="136">
        <f t="shared" si="497"/>
        <v>19</v>
      </c>
      <c r="F10670" s="137" t="s">
        <v>24</v>
      </c>
      <c r="G10670" s="128" t="str">
        <f>VLOOKUP(source[[#This Row],[lending_product_transform]],[3]Mapping!$B$4:$C$37,2,0)</f>
        <v>[Cake] - Cashloan</v>
      </c>
      <c r="H10670" s="128" t="str">
        <f>VLOOKUP(source[[#This Row],[lending_product_transform]],[3]Mapping!$B$3:$D$37,3,0)</f>
        <v>cashloan</v>
      </c>
      <c r="I10670" s="137">
        <v>27000000</v>
      </c>
    </row>
    <row r="10671" spans="1:9" x14ac:dyDescent="0.2">
      <c r="A10671" s="134">
        <v>45980</v>
      </c>
      <c r="B10671" s="135">
        <f>YEAR(source[[#This Row],[report_date]])</f>
        <v>2025</v>
      </c>
      <c r="C10671" s="128">
        <f t="shared" si="496"/>
        <v>11</v>
      </c>
      <c r="D10671" s="136">
        <f t="shared" si="498"/>
        <v>47</v>
      </c>
      <c r="E10671" s="136">
        <f t="shared" si="497"/>
        <v>19</v>
      </c>
      <c r="F10671" s="137" t="s">
        <v>24</v>
      </c>
      <c r="G10671" s="128" t="str">
        <f>VLOOKUP(source[[#This Row],[lending_product_transform]],[3]Mapping!$B$4:$C$37,2,0)</f>
        <v>[Cake] - Cashloan</v>
      </c>
      <c r="H10671" s="128" t="str">
        <f>VLOOKUP(source[[#This Row],[lending_product_transform]],[3]Mapping!$B$3:$D$37,3,0)</f>
        <v>cashloan</v>
      </c>
      <c r="I10671" s="137">
        <v>922480000</v>
      </c>
    </row>
    <row r="10672" spans="1:9" x14ac:dyDescent="0.2">
      <c r="A10672" s="134">
        <v>45980</v>
      </c>
      <c r="B10672" s="135">
        <f>YEAR(source[[#This Row],[report_date]])</f>
        <v>2025</v>
      </c>
      <c r="C10672" s="128">
        <f t="shared" si="496"/>
        <v>11</v>
      </c>
      <c r="D10672" s="136">
        <f t="shared" si="498"/>
        <v>47</v>
      </c>
      <c r="E10672" s="136">
        <f t="shared" si="497"/>
        <v>19</v>
      </c>
      <c r="F10672" s="137" t="s">
        <v>24</v>
      </c>
      <c r="G10672" s="128" t="str">
        <f>VLOOKUP(source[[#This Row],[lending_product_transform]],[3]Mapping!$B$4:$C$37,2,0)</f>
        <v>[Cake] - Cashloan</v>
      </c>
      <c r="H10672" s="128" t="str">
        <f>VLOOKUP(source[[#This Row],[lending_product_transform]],[3]Mapping!$B$3:$D$37,3,0)</f>
        <v>cashloan</v>
      </c>
      <c r="I10672" s="137">
        <v>183600000</v>
      </c>
    </row>
    <row r="10673" spans="1:9" x14ac:dyDescent="0.2">
      <c r="A10673" s="134">
        <v>45980</v>
      </c>
      <c r="B10673" s="135">
        <f>YEAR(source[[#This Row],[report_date]])</f>
        <v>2025</v>
      </c>
      <c r="C10673" s="128">
        <f t="shared" si="496"/>
        <v>11</v>
      </c>
      <c r="D10673" s="136">
        <f t="shared" si="498"/>
        <v>47</v>
      </c>
      <c r="E10673" s="136">
        <f t="shared" si="497"/>
        <v>19</v>
      </c>
      <c r="F10673" s="137" t="s">
        <v>24</v>
      </c>
      <c r="G10673" s="128" t="str">
        <f>VLOOKUP(source[[#This Row],[lending_product_transform]],[3]Mapping!$B$4:$C$37,2,0)</f>
        <v>[Cake] - Cashloan</v>
      </c>
      <c r="H10673" s="128" t="str">
        <f>VLOOKUP(source[[#This Row],[lending_product_transform]],[3]Mapping!$B$3:$D$37,3,0)</f>
        <v>cashloan</v>
      </c>
      <c r="I10673" s="137">
        <v>315504493</v>
      </c>
    </row>
    <row r="10674" spans="1:9" x14ac:dyDescent="0.2">
      <c r="A10674" s="134">
        <v>45980</v>
      </c>
      <c r="B10674" s="135">
        <f>YEAR(source[[#This Row],[report_date]])</f>
        <v>2025</v>
      </c>
      <c r="C10674" s="128">
        <f t="shared" si="496"/>
        <v>11</v>
      </c>
      <c r="D10674" s="136">
        <f t="shared" si="498"/>
        <v>47</v>
      </c>
      <c r="E10674" s="136">
        <f t="shared" si="497"/>
        <v>19</v>
      </c>
      <c r="F10674" s="137" t="s">
        <v>24</v>
      </c>
      <c r="G10674" s="128" t="str">
        <f>VLOOKUP(source[[#This Row],[lending_product_transform]],[3]Mapping!$B$4:$C$37,2,0)</f>
        <v>[Cake] - Cashloan</v>
      </c>
      <c r="H10674" s="128" t="str">
        <f>VLOOKUP(source[[#This Row],[lending_product_transform]],[3]Mapping!$B$3:$D$37,3,0)</f>
        <v>cashloan</v>
      </c>
      <c r="I10674" s="137">
        <v>3100690000</v>
      </c>
    </row>
    <row r="10675" spans="1:9" x14ac:dyDescent="0.2">
      <c r="A10675" s="134">
        <v>45981</v>
      </c>
      <c r="B10675" s="135">
        <f>YEAR(source[[#This Row],[report_date]])</f>
        <v>2025</v>
      </c>
      <c r="C10675" s="128">
        <f t="shared" si="496"/>
        <v>11</v>
      </c>
      <c r="D10675" s="136">
        <f t="shared" si="498"/>
        <v>47</v>
      </c>
      <c r="E10675" s="136">
        <f t="shared" si="497"/>
        <v>20</v>
      </c>
      <c r="F10675" s="137" t="s">
        <v>24</v>
      </c>
      <c r="G10675" s="128" t="str">
        <f>VLOOKUP(source[[#This Row],[lending_product_transform]],[3]Mapping!$B$4:$C$37,2,0)</f>
        <v>[Cake] - Cashloan</v>
      </c>
      <c r="H10675" s="128" t="str">
        <f>VLOOKUP(source[[#This Row],[lending_product_transform]],[3]Mapping!$B$3:$D$37,3,0)</f>
        <v>cashloan</v>
      </c>
      <c r="I10675" s="137">
        <v>122850000</v>
      </c>
    </row>
    <row r="10676" spans="1:9" x14ac:dyDescent="0.2">
      <c r="A10676" s="134">
        <v>45981</v>
      </c>
      <c r="B10676" s="135">
        <f>YEAR(source[[#This Row],[report_date]])</f>
        <v>2025</v>
      </c>
      <c r="C10676" s="128">
        <f t="shared" si="496"/>
        <v>11</v>
      </c>
      <c r="D10676" s="136">
        <f t="shared" si="498"/>
        <v>47</v>
      </c>
      <c r="E10676" s="136">
        <f t="shared" si="497"/>
        <v>20</v>
      </c>
      <c r="F10676" s="137" t="s">
        <v>24</v>
      </c>
      <c r="G10676" s="128" t="str">
        <f>VLOOKUP(source[[#This Row],[lending_product_transform]],[3]Mapping!$B$4:$C$37,2,0)</f>
        <v>[Cake] - Cashloan</v>
      </c>
      <c r="H10676" s="128" t="str">
        <f>VLOOKUP(source[[#This Row],[lending_product_transform]],[3]Mapping!$B$3:$D$37,3,0)</f>
        <v>cashloan</v>
      </c>
      <c r="I10676" s="137">
        <v>282427776</v>
      </c>
    </row>
    <row r="10677" spans="1:9" x14ac:dyDescent="0.2">
      <c r="A10677" s="134">
        <v>45981</v>
      </c>
      <c r="B10677" s="135">
        <f>YEAR(source[[#This Row],[report_date]])</f>
        <v>2025</v>
      </c>
      <c r="C10677" s="128">
        <f t="shared" si="496"/>
        <v>11</v>
      </c>
      <c r="D10677" s="136">
        <f t="shared" si="498"/>
        <v>47</v>
      </c>
      <c r="E10677" s="136">
        <f t="shared" si="497"/>
        <v>20</v>
      </c>
      <c r="F10677" s="137" t="s">
        <v>24</v>
      </c>
      <c r="G10677" s="128" t="str">
        <f>VLOOKUP(source[[#This Row],[lending_product_transform]],[3]Mapping!$B$4:$C$37,2,0)</f>
        <v>[Cake] - Cashloan</v>
      </c>
      <c r="H10677" s="128" t="str">
        <f>VLOOKUP(source[[#This Row],[lending_product_transform]],[3]Mapping!$B$3:$D$37,3,0)</f>
        <v>cashloan</v>
      </c>
      <c r="I10677" s="137">
        <v>19759970000</v>
      </c>
    </row>
    <row r="10678" spans="1:9" x14ac:dyDescent="0.2">
      <c r="A10678" s="134">
        <v>45981</v>
      </c>
      <c r="B10678" s="135">
        <f>YEAR(source[[#This Row],[report_date]])</f>
        <v>2025</v>
      </c>
      <c r="C10678" s="128">
        <f t="shared" ref="C10678:C10741" si="499">MONTH(A10678)</f>
        <v>11</v>
      </c>
      <c r="D10678" s="136">
        <f t="shared" si="498"/>
        <v>47</v>
      </c>
      <c r="E10678" s="136">
        <f t="shared" ref="E10678:E10741" si="500">DAY(A10678)</f>
        <v>20</v>
      </c>
      <c r="F10678" s="137" t="s">
        <v>24</v>
      </c>
      <c r="G10678" s="128" t="str">
        <f>VLOOKUP(source[[#This Row],[lending_product_transform]],[3]Mapping!$B$4:$C$37,2,0)</f>
        <v>[Cake] - Cashloan</v>
      </c>
      <c r="H10678" s="128" t="str">
        <f>VLOOKUP(source[[#This Row],[lending_product_transform]],[3]Mapping!$B$3:$D$37,3,0)</f>
        <v>cashloan</v>
      </c>
      <c r="I10678" s="137">
        <v>1973959530</v>
      </c>
    </row>
    <row r="10679" spans="1:9" x14ac:dyDescent="0.2">
      <c r="A10679" s="134">
        <v>45981</v>
      </c>
      <c r="B10679" s="135">
        <f>YEAR(source[[#This Row],[report_date]])</f>
        <v>2025</v>
      </c>
      <c r="C10679" s="128">
        <f t="shared" si="499"/>
        <v>11</v>
      </c>
      <c r="D10679" s="136">
        <f t="shared" si="498"/>
        <v>47</v>
      </c>
      <c r="E10679" s="136">
        <f t="shared" si="500"/>
        <v>20</v>
      </c>
      <c r="F10679" s="137" t="s">
        <v>24</v>
      </c>
      <c r="G10679" s="128" t="str">
        <f>VLOOKUP(source[[#This Row],[lending_product_transform]],[3]Mapping!$B$4:$C$37,2,0)</f>
        <v>[Cake] - Cashloan</v>
      </c>
      <c r="H10679" s="128" t="str">
        <f>VLOOKUP(source[[#This Row],[lending_product_transform]],[3]Mapping!$B$3:$D$37,3,0)</f>
        <v>cashloan</v>
      </c>
      <c r="I10679" s="137">
        <v>9203328000</v>
      </c>
    </row>
    <row r="10680" spans="1:9" x14ac:dyDescent="0.2">
      <c r="A10680" s="134">
        <v>45981</v>
      </c>
      <c r="B10680" s="135">
        <f>YEAR(source[[#This Row],[report_date]])</f>
        <v>2025</v>
      </c>
      <c r="C10680" s="128">
        <f t="shared" si="499"/>
        <v>11</v>
      </c>
      <c r="D10680" s="136">
        <f t="shared" si="498"/>
        <v>47</v>
      </c>
      <c r="E10680" s="136">
        <f t="shared" si="500"/>
        <v>20</v>
      </c>
      <c r="F10680" s="137" t="s">
        <v>24</v>
      </c>
      <c r="G10680" s="128" t="str">
        <f>VLOOKUP(source[[#This Row],[lending_product_transform]],[3]Mapping!$B$4:$C$37,2,0)</f>
        <v>[Cake] - Cashloan</v>
      </c>
      <c r="H10680" s="128" t="str">
        <f>VLOOKUP(source[[#This Row],[lending_product_transform]],[3]Mapping!$B$3:$D$37,3,0)</f>
        <v>cashloan</v>
      </c>
      <c r="I10680" s="137">
        <v>14337641</v>
      </c>
    </row>
    <row r="10681" spans="1:9" x14ac:dyDescent="0.2">
      <c r="A10681" s="134">
        <v>45981</v>
      </c>
      <c r="B10681" s="135">
        <f>YEAR(source[[#This Row],[report_date]])</f>
        <v>2025</v>
      </c>
      <c r="C10681" s="128">
        <f t="shared" si="499"/>
        <v>11</v>
      </c>
      <c r="D10681" s="136">
        <f t="shared" si="498"/>
        <v>47</v>
      </c>
      <c r="E10681" s="136">
        <f t="shared" si="500"/>
        <v>20</v>
      </c>
      <c r="F10681" s="137" t="s">
        <v>24</v>
      </c>
      <c r="G10681" s="128" t="str">
        <f>VLOOKUP(source[[#This Row],[lending_product_transform]],[3]Mapping!$B$4:$C$37,2,0)</f>
        <v>[Cake] - Cashloan</v>
      </c>
      <c r="H10681" s="128" t="str">
        <f>VLOOKUP(source[[#This Row],[lending_product_transform]],[3]Mapping!$B$3:$D$37,3,0)</f>
        <v>cashloan</v>
      </c>
      <c r="I10681" s="137">
        <v>3171550000</v>
      </c>
    </row>
    <row r="10682" spans="1:9" x14ac:dyDescent="0.2">
      <c r="A10682" s="134">
        <v>45981</v>
      </c>
      <c r="B10682" s="135">
        <f>YEAR(source[[#This Row],[report_date]])</f>
        <v>2025</v>
      </c>
      <c r="C10682" s="128">
        <f t="shared" si="499"/>
        <v>11</v>
      </c>
      <c r="D10682" s="136">
        <f t="shared" si="498"/>
        <v>47</v>
      </c>
      <c r="E10682" s="136">
        <f t="shared" si="500"/>
        <v>20</v>
      </c>
      <c r="F10682" s="137" t="s">
        <v>24</v>
      </c>
      <c r="G10682" s="128" t="str">
        <f>VLOOKUP(source[[#This Row],[lending_product_transform]],[3]Mapping!$B$4:$C$37,2,0)</f>
        <v>[Cake] - Cashloan</v>
      </c>
      <c r="H10682" s="128" t="str">
        <f>VLOOKUP(source[[#This Row],[lending_product_transform]],[3]Mapping!$B$3:$D$37,3,0)</f>
        <v>cashloan</v>
      </c>
      <c r="I10682" s="137">
        <v>13912503</v>
      </c>
    </row>
    <row r="10683" spans="1:9" x14ac:dyDescent="0.2">
      <c r="A10683" s="134">
        <v>45981</v>
      </c>
      <c r="B10683" s="135">
        <f>YEAR(source[[#This Row],[report_date]])</f>
        <v>2025</v>
      </c>
      <c r="C10683" s="128">
        <f t="shared" si="499"/>
        <v>11</v>
      </c>
      <c r="D10683" s="136">
        <f t="shared" si="498"/>
        <v>47</v>
      </c>
      <c r="E10683" s="136">
        <f t="shared" si="500"/>
        <v>20</v>
      </c>
      <c r="F10683" s="137" t="s">
        <v>24</v>
      </c>
      <c r="G10683" s="128" t="str">
        <f>VLOOKUP(source[[#This Row],[lending_product_transform]],[3]Mapping!$B$4:$C$37,2,0)</f>
        <v>[Cake] - Cashloan</v>
      </c>
      <c r="H10683" s="128" t="str">
        <f>VLOOKUP(source[[#This Row],[lending_product_transform]],[3]Mapping!$B$3:$D$37,3,0)</f>
        <v>cashloan</v>
      </c>
      <c r="I10683" s="137">
        <v>630119968</v>
      </c>
    </row>
    <row r="10684" spans="1:9" x14ac:dyDescent="0.2">
      <c r="A10684" s="134">
        <v>45981</v>
      </c>
      <c r="B10684" s="135">
        <f>YEAR(source[[#This Row],[report_date]])</f>
        <v>2025</v>
      </c>
      <c r="C10684" s="128">
        <f t="shared" si="499"/>
        <v>11</v>
      </c>
      <c r="D10684" s="136">
        <f t="shared" si="498"/>
        <v>47</v>
      </c>
      <c r="E10684" s="136">
        <f t="shared" si="500"/>
        <v>20</v>
      </c>
      <c r="F10684" s="137" t="s">
        <v>24</v>
      </c>
      <c r="G10684" s="128" t="str">
        <f>VLOOKUP(source[[#This Row],[lending_product_transform]],[3]Mapping!$B$4:$C$37,2,0)</f>
        <v>[Cake] - Cashloan</v>
      </c>
      <c r="H10684" s="128" t="str">
        <f>VLOOKUP(source[[#This Row],[lending_product_transform]],[3]Mapping!$B$3:$D$37,3,0)</f>
        <v>cashloan</v>
      </c>
      <c r="I10684" s="137">
        <v>0</v>
      </c>
    </row>
    <row r="10685" spans="1:9" x14ac:dyDescent="0.2">
      <c r="A10685" s="134">
        <v>45981</v>
      </c>
      <c r="B10685" s="135">
        <f>YEAR(source[[#This Row],[report_date]])</f>
        <v>2025</v>
      </c>
      <c r="C10685" s="128">
        <f t="shared" si="499"/>
        <v>11</v>
      </c>
      <c r="D10685" s="136">
        <f t="shared" si="498"/>
        <v>47</v>
      </c>
      <c r="E10685" s="136">
        <f t="shared" si="500"/>
        <v>20</v>
      </c>
      <c r="F10685" s="137" t="s">
        <v>24</v>
      </c>
      <c r="G10685" s="128" t="str">
        <f>VLOOKUP(source[[#This Row],[lending_product_transform]],[3]Mapping!$B$4:$C$37,2,0)</f>
        <v>[Cake] - Cashloan</v>
      </c>
      <c r="H10685" s="128" t="str">
        <f>VLOOKUP(source[[#This Row],[lending_product_transform]],[3]Mapping!$B$3:$D$37,3,0)</f>
        <v>cashloan</v>
      </c>
      <c r="I10685" s="137">
        <v>166000000</v>
      </c>
    </row>
    <row r="10686" spans="1:9" x14ac:dyDescent="0.2">
      <c r="A10686" s="134">
        <v>45981</v>
      </c>
      <c r="B10686" s="135">
        <f>YEAR(source[[#This Row],[report_date]])</f>
        <v>2025</v>
      </c>
      <c r="C10686" s="128">
        <f t="shared" si="499"/>
        <v>11</v>
      </c>
      <c r="D10686" s="136">
        <f t="shared" si="498"/>
        <v>47</v>
      </c>
      <c r="E10686" s="136">
        <f t="shared" si="500"/>
        <v>20</v>
      </c>
      <c r="F10686" s="137" t="s">
        <v>24</v>
      </c>
      <c r="G10686" s="128" t="str">
        <f>VLOOKUP(source[[#This Row],[lending_product_transform]],[3]Mapping!$B$4:$C$37,2,0)</f>
        <v>[Cake] - Cashloan</v>
      </c>
      <c r="H10686" s="128" t="str">
        <f>VLOOKUP(source[[#This Row],[lending_product_transform]],[3]Mapping!$B$3:$D$37,3,0)</f>
        <v>cashloan</v>
      </c>
      <c r="I10686" s="137">
        <v>17540700000</v>
      </c>
    </row>
    <row r="10687" spans="1:9" x14ac:dyDescent="0.2">
      <c r="A10687" s="134">
        <v>45981</v>
      </c>
      <c r="B10687" s="135">
        <f>YEAR(source[[#This Row],[report_date]])</f>
        <v>2025</v>
      </c>
      <c r="C10687" s="128">
        <f t="shared" si="499"/>
        <v>11</v>
      </c>
      <c r="D10687" s="136">
        <f t="shared" si="498"/>
        <v>47</v>
      </c>
      <c r="E10687" s="136">
        <f t="shared" si="500"/>
        <v>20</v>
      </c>
      <c r="F10687" s="137" t="s">
        <v>24</v>
      </c>
      <c r="G10687" s="128" t="str">
        <f>VLOOKUP(source[[#This Row],[lending_product_transform]],[3]Mapping!$B$4:$C$37,2,0)</f>
        <v>[Cake] - Cashloan</v>
      </c>
      <c r="H10687" s="128" t="str">
        <f>VLOOKUP(source[[#This Row],[lending_product_transform]],[3]Mapping!$B$3:$D$37,3,0)</f>
        <v>cashloan</v>
      </c>
      <c r="I10687" s="137">
        <v>0</v>
      </c>
    </row>
    <row r="10688" spans="1:9" x14ac:dyDescent="0.2">
      <c r="A10688" s="134">
        <v>45981</v>
      </c>
      <c r="B10688" s="135">
        <f>YEAR(source[[#This Row],[report_date]])</f>
        <v>2025</v>
      </c>
      <c r="C10688" s="128">
        <f t="shared" si="499"/>
        <v>11</v>
      </c>
      <c r="D10688" s="136">
        <f t="shared" si="498"/>
        <v>47</v>
      </c>
      <c r="E10688" s="136">
        <f t="shared" si="500"/>
        <v>20</v>
      </c>
      <c r="F10688" s="137" t="s">
        <v>24</v>
      </c>
      <c r="G10688" s="128" t="str">
        <f>VLOOKUP(source[[#This Row],[lending_product_transform]],[3]Mapping!$B$4:$C$37,2,0)</f>
        <v>[Cake] - Cashloan</v>
      </c>
      <c r="H10688" s="128" t="str">
        <f>VLOOKUP(source[[#This Row],[lending_product_transform]],[3]Mapping!$B$3:$D$37,3,0)</f>
        <v>cashloan</v>
      </c>
      <c r="I10688" s="137">
        <v>0</v>
      </c>
    </row>
    <row r="10689" spans="1:9" x14ac:dyDescent="0.2">
      <c r="A10689" s="134">
        <v>45981</v>
      </c>
      <c r="B10689" s="135">
        <f>YEAR(source[[#This Row],[report_date]])</f>
        <v>2025</v>
      </c>
      <c r="C10689" s="128">
        <f t="shared" si="499"/>
        <v>11</v>
      </c>
      <c r="D10689" s="136">
        <f t="shared" si="498"/>
        <v>47</v>
      </c>
      <c r="E10689" s="136">
        <f t="shared" si="500"/>
        <v>20</v>
      </c>
      <c r="F10689" s="137" t="s">
        <v>24</v>
      </c>
      <c r="G10689" s="128" t="str">
        <f>VLOOKUP(source[[#This Row],[lending_product_transform]],[3]Mapping!$B$4:$C$37,2,0)</f>
        <v>[Cake] - Cashloan</v>
      </c>
      <c r="H10689" s="128" t="str">
        <f>VLOOKUP(source[[#This Row],[lending_product_transform]],[3]Mapping!$B$3:$D$37,3,0)</f>
        <v>cashloan</v>
      </c>
      <c r="I10689" s="137">
        <v>0</v>
      </c>
    </row>
    <row r="10690" spans="1:9" x14ac:dyDescent="0.2">
      <c r="A10690" s="134">
        <v>45981</v>
      </c>
      <c r="B10690" s="135">
        <f>YEAR(source[[#This Row],[report_date]])</f>
        <v>2025</v>
      </c>
      <c r="C10690" s="128">
        <f t="shared" si="499"/>
        <v>11</v>
      </c>
      <c r="D10690" s="136">
        <f t="shared" si="498"/>
        <v>47</v>
      </c>
      <c r="E10690" s="136">
        <f t="shared" si="500"/>
        <v>20</v>
      </c>
      <c r="F10690" s="137" t="s">
        <v>24</v>
      </c>
      <c r="G10690" s="128" t="str">
        <f>VLOOKUP(source[[#This Row],[lending_product_transform]],[3]Mapping!$B$4:$C$37,2,0)</f>
        <v>[Cake] - Cashloan</v>
      </c>
      <c r="H10690" s="128" t="str">
        <f>VLOOKUP(source[[#This Row],[lending_product_transform]],[3]Mapping!$B$3:$D$37,3,0)</f>
        <v>cashloan</v>
      </c>
      <c r="I10690" s="137">
        <v>0</v>
      </c>
    </row>
    <row r="10691" spans="1:9" x14ac:dyDescent="0.2">
      <c r="A10691" s="134">
        <v>45981</v>
      </c>
      <c r="B10691" s="135">
        <f>YEAR(source[[#This Row],[report_date]])</f>
        <v>2025</v>
      </c>
      <c r="C10691" s="128">
        <f t="shared" si="499"/>
        <v>11</v>
      </c>
      <c r="D10691" s="136">
        <f t="shared" ref="D10691:D10754" si="501">WEEKNUM(A10691,2)</f>
        <v>47</v>
      </c>
      <c r="E10691" s="136">
        <f t="shared" si="500"/>
        <v>20</v>
      </c>
      <c r="F10691" s="137" t="s">
        <v>24</v>
      </c>
      <c r="G10691" s="128" t="str">
        <f>VLOOKUP(source[[#This Row],[lending_product_transform]],[3]Mapping!$B$4:$C$37,2,0)</f>
        <v>[Cake] - Cashloan</v>
      </c>
      <c r="H10691" s="128" t="str">
        <f>VLOOKUP(source[[#This Row],[lending_product_transform]],[3]Mapping!$B$3:$D$37,3,0)</f>
        <v>cashloan</v>
      </c>
      <c r="I10691" s="137">
        <v>8890452000</v>
      </c>
    </row>
    <row r="10692" spans="1:9" x14ac:dyDescent="0.2">
      <c r="A10692" s="134">
        <v>45981</v>
      </c>
      <c r="B10692" s="135">
        <f>YEAR(source[[#This Row],[report_date]])</f>
        <v>2025</v>
      </c>
      <c r="C10692" s="128">
        <f t="shared" si="499"/>
        <v>11</v>
      </c>
      <c r="D10692" s="136">
        <f t="shared" si="501"/>
        <v>47</v>
      </c>
      <c r="E10692" s="136">
        <f t="shared" si="500"/>
        <v>20</v>
      </c>
      <c r="F10692" s="137" t="s">
        <v>24</v>
      </c>
      <c r="G10692" s="128" t="str">
        <f>VLOOKUP(source[[#This Row],[lending_product_transform]],[3]Mapping!$B$4:$C$37,2,0)</f>
        <v>[Cake] - Cashloan</v>
      </c>
      <c r="H10692" s="128" t="str">
        <f>VLOOKUP(source[[#This Row],[lending_product_transform]],[3]Mapping!$B$3:$D$37,3,0)</f>
        <v>cashloan</v>
      </c>
      <c r="I10692" s="137">
        <v>163473911</v>
      </c>
    </row>
    <row r="10693" spans="1:9" x14ac:dyDescent="0.2">
      <c r="A10693" s="134">
        <v>45981</v>
      </c>
      <c r="B10693" s="135">
        <f>YEAR(source[[#This Row],[report_date]])</f>
        <v>2025</v>
      </c>
      <c r="C10693" s="128">
        <f t="shared" si="499"/>
        <v>11</v>
      </c>
      <c r="D10693" s="136">
        <f t="shared" si="501"/>
        <v>47</v>
      </c>
      <c r="E10693" s="136">
        <f t="shared" si="500"/>
        <v>20</v>
      </c>
      <c r="F10693" s="137" t="s">
        <v>24</v>
      </c>
      <c r="G10693" s="128" t="str">
        <f>VLOOKUP(source[[#This Row],[lending_product_transform]],[3]Mapping!$B$4:$C$37,2,0)</f>
        <v>[Cake] - Cashloan</v>
      </c>
      <c r="H10693" s="128" t="str">
        <f>VLOOKUP(source[[#This Row],[lending_product_transform]],[3]Mapping!$B$3:$D$37,3,0)</f>
        <v>cashloan</v>
      </c>
      <c r="I10693" s="137">
        <v>10500000</v>
      </c>
    </row>
    <row r="10694" spans="1:9" x14ac:dyDescent="0.2">
      <c r="A10694" s="134">
        <v>45981</v>
      </c>
      <c r="B10694" s="135">
        <f>YEAR(source[[#This Row],[report_date]])</f>
        <v>2025</v>
      </c>
      <c r="C10694" s="128">
        <f t="shared" si="499"/>
        <v>11</v>
      </c>
      <c r="D10694" s="136">
        <f t="shared" si="501"/>
        <v>47</v>
      </c>
      <c r="E10694" s="136">
        <f t="shared" si="500"/>
        <v>20</v>
      </c>
      <c r="F10694" s="137" t="s">
        <v>24</v>
      </c>
      <c r="G10694" s="128" t="str">
        <f>VLOOKUP(source[[#This Row],[lending_product_transform]],[3]Mapping!$B$4:$C$37,2,0)</f>
        <v>[Cake] - Cashloan</v>
      </c>
      <c r="H10694" s="128" t="str">
        <f>VLOOKUP(source[[#This Row],[lending_product_transform]],[3]Mapping!$B$3:$D$37,3,0)</f>
        <v>cashloan</v>
      </c>
      <c r="I10694" s="137">
        <v>33000000</v>
      </c>
    </row>
    <row r="10695" spans="1:9" x14ac:dyDescent="0.2">
      <c r="A10695" s="134">
        <v>45981</v>
      </c>
      <c r="B10695" s="135">
        <f>YEAR(source[[#This Row],[report_date]])</f>
        <v>2025</v>
      </c>
      <c r="C10695" s="128">
        <f t="shared" si="499"/>
        <v>11</v>
      </c>
      <c r="D10695" s="136">
        <f t="shared" si="501"/>
        <v>47</v>
      </c>
      <c r="E10695" s="136">
        <f t="shared" si="500"/>
        <v>20</v>
      </c>
      <c r="F10695" s="137" t="s">
        <v>24</v>
      </c>
      <c r="G10695" s="128" t="str">
        <f>VLOOKUP(source[[#This Row],[lending_product_transform]],[3]Mapping!$B$4:$C$37,2,0)</f>
        <v>[Cake] - Cashloan</v>
      </c>
      <c r="H10695" s="128" t="str">
        <f>VLOOKUP(source[[#This Row],[lending_product_transform]],[3]Mapping!$B$3:$D$37,3,0)</f>
        <v>cashloan</v>
      </c>
      <c r="I10695" s="137">
        <v>715660000</v>
      </c>
    </row>
    <row r="10696" spans="1:9" x14ac:dyDescent="0.2">
      <c r="A10696" s="134">
        <v>45981</v>
      </c>
      <c r="B10696" s="135">
        <f>YEAR(source[[#This Row],[report_date]])</f>
        <v>2025</v>
      </c>
      <c r="C10696" s="128">
        <f t="shared" si="499"/>
        <v>11</v>
      </c>
      <c r="D10696" s="136">
        <f t="shared" si="501"/>
        <v>47</v>
      </c>
      <c r="E10696" s="136">
        <f t="shared" si="500"/>
        <v>20</v>
      </c>
      <c r="F10696" s="137" t="s">
        <v>24</v>
      </c>
      <c r="G10696" s="128" t="str">
        <f>VLOOKUP(source[[#This Row],[lending_product_transform]],[3]Mapping!$B$4:$C$37,2,0)</f>
        <v>[Cake] - Cashloan</v>
      </c>
      <c r="H10696" s="128" t="str">
        <f>VLOOKUP(source[[#This Row],[lending_product_transform]],[3]Mapping!$B$3:$D$37,3,0)</f>
        <v>cashloan</v>
      </c>
      <c r="I10696" s="137">
        <v>225504000</v>
      </c>
    </row>
    <row r="10697" spans="1:9" x14ac:dyDescent="0.2">
      <c r="A10697" s="134">
        <v>45981</v>
      </c>
      <c r="B10697" s="135">
        <f>YEAR(source[[#This Row],[report_date]])</f>
        <v>2025</v>
      </c>
      <c r="C10697" s="128">
        <f t="shared" si="499"/>
        <v>11</v>
      </c>
      <c r="D10697" s="136">
        <f t="shared" si="501"/>
        <v>47</v>
      </c>
      <c r="E10697" s="136">
        <f t="shared" si="500"/>
        <v>20</v>
      </c>
      <c r="F10697" s="137" t="s">
        <v>24</v>
      </c>
      <c r="G10697" s="128" t="str">
        <f>VLOOKUP(source[[#This Row],[lending_product_transform]],[3]Mapping!$B$4:$C$37,2,0)</f>
        <v>[Cake] - Cashloan</v>
      </c>
      <c r="H10697" s="128" t="str">
        <f>VLOOKUP(source[[#This Row],[lending_product_transform]],[3]Mapping!$B$3:$D$37,3,0)</f>
        <v>cashloan</v>
      </c>
      <c r="I10697" s="137">
        <v>268836224</v>
      </c>
    </row>
    <row r="10698" spans="1:9" x14ac:dyDescent="0.2">
      <c r="A10698" s="134">
        <v>45981</v>
      </c>
      <c r="B10698" s="135">
        <f>YEAR(source[[#This Row],[report_date]])</f>
        <v>2025</v>
      </c>
      <c r="C10698" s="128">
        <f t="shared" si="499"/>
        <v>11</v>
      </c>
      <c r="D10698" s="136">
        <f t="shared" si="501"/>
        <v>47</v>
      </c>
      <c r="E10698" s="136">
        <f t="shared" si="500"/>
        <v>20</v>
      </c>
      <c r="F10698" s="137" t="s">
        <v>24</v>
      </c>
      <c r="G10698" s="128" t="str">
        <f>VLOOKUP(source[[#This Row],[lending_product_transform]],[3]Mapping!$B$4:$C$37,2,0)</f>
        <v>[Cake] - Cashloan</v>
      </c>
      <c r="H10698" s="128" t="str">
        <f>VLOOKUP(source[[#This Row],[lending_product_transform]],[3]Mapping!$B$3:$D$37,3,0)</f>
        <v>cashloan</v>
      </c>
      <c r="I10698" s="137">
        <v>3428590000</v>
      </c>
    </row>
    <row r="10699" spans="1:9" x14ac:dyDescent="0.2">
      <c r="A10699" s="134">
        <v>45982</v>
      </c>
      <c r="B10699" s="135">
        <f>YEAR(source[[#This Row],[report_date]])</f>
        <v>2025</v>
      </c>
      <c r="C10699" s="128">
        <f t="shared" si="499"/>
        <v>11</v>
      </c>
      <c r="D10699" s="136">
        <f t="shared" si="501"/>
        <v>47</v>
      </c>
      <c r="E10699" s="136">
        <f t="shared" si="500"/>
        <v>21</v>
      </c>
      <c r="F10699" s="137" t="s">
        <v>24</v>
      </c>
      <c r="G10699" s="128" t="str">
        <f>VLOOKUP(source[[#This Row],[lending_product_transform]],[3]Mapping!$B$4:$C$37,2,0)</f>
        <v>[Cake] - Cashloan</v>
      </c>
      <c r="H10699" s="128" t="str">
        <f>VLOOKUP(source[[#This Row],[lending_product_transform]],[3]Mapping!$B$3:$D$37,3,0)</f>
        <v>cashloan</v>
      </c>
      <c r="I10699" s="137">
        <v>163350000</v>
      </c>
    </row>
    <row r="10700" spans="1:9" x14ac:dyDescent="0.2">
      <c r="A10700" s="134">
        <v>45982</v>
      </c>
      <c r="B10700" s="135">
        <f>YEAR(source[[#This Row],[report_date]])</f>
        <v>2025</v>
      </c>
      <c r="C10700" s="128">
        <f t="shared" si="499"/>
        <v>11</v>
      </c>
      <c r="D10700" s="136">
        <f t="shared" si="501"/>
        <v>47</v>
      </c>
      <c r="E10700" s="136">
        <f t="shared" si="500"/>
        <v>21</v>
      </c>
      <c r="F10700" s="137" t="s">
        <v>24</v>
      </c>
      <c r="G10700" s="128" t="str">
        <f>VLOOKUP(source[[#This Row],[lending_product_transform]],[3]Mapping!$B$4:$C$37,2,0)</f>
        <v>[Cake] - Cashloan</v>
      </c>
      <c r="H10700" s="128" t="str">
        <f>VLOOKUP(source[[#This Row],[lending_product_transform]],[3]Mapping!$B$3:$D$37,3,0)</f>
        <v>cashloan</v>
      </c>
      <c r="I10700" s="137">
        <v>295943875</v>
      </c>
    </row>
    <row r="10701" spans="1:9" x14ac:dyDescent="0.2">
      <c r="A10701" s="134">
        <v>45982</v>
      </c>
      <c r="B10701" s="135">
        <f>YEAR(source[[#This Row],[report_date]])</f>
        <v>2025</v>
      </c>
      <c r="C10701" s="128">
        <f t="shared" si="499"/>
        <v>11</v>
      </c>
      <c r="D10701" s="136">
        <f t="shared" si="501"/>
        <v>47</v>
      </c>
      <c r="E10701" s="136">
        <f t="shared" si="500"/>
        <v>21</v>
      </c>
      <c r="F10701" s="137" t="s">
        <v>24</v>
      </c>
      <c r="G10701" s="128" t="str">
        <f>VLOOKUP(source[[#This Row],[lending_product_transform]],[3]Mapping!$B$4:$C$37,2,0)</f>
        <v>[Cake] - Cashloan</v>
      </c>
      <c r="H10701" s="128" t="str">
        <f>VLOOKUP(source[[#This Row],[lending_product_transform]],[3]Mapping!$B$3:$D$37,3,0)</f>
        <v>cashloan</v>
      </c>
      <c r="I10701" s="137">
        <v>27828910000</v>
      </c>
    </row>
    <row r="10702" spans="1:9" x14ac:dyDescent="0.2">
      <c r="A10702" s="134">
        <v>45982</v>
      </c>
      <c r="B10702" s="135">
        <f>YEAR(source[[#This Row],[report_date]])</f>
        <v>2025</v>
      </c>
      <c r="C10702" s="128">
        <f t="shared" si="499"/>
        <v>11</v>
      </c>
      <c r="D10702" s="136">
        <f t="shared" si="501"/>
        <v>47</v>
      </c>
      <c r="E10702" s="136">
        <f t="shared" si="500"/>
        <v>21</v>
      </c>
      <c r="F10702" s="137" t="s">
        <v>24</v>
      </c>
      <c r="G10702" s="128" t="str">
        <f>VLOOKUP(source[[#This Row],[lending_product_transform]],[3]Mapping!$B$4:$C$37,2,0)</f>
        <v>[Cake] - Cashloan</v>
      </c>
      <c r="H10702" s="128" t="str">
        <f>VLOOKUP(source[[#This Row],[lending_product_transform]],[3]Mapping!$B$3:$D$37,3,0)</f>
        <v>cashloan</v>
      </c>
      <c r="I10702" s="137">
        <v>2205328870</v>
      </c>
    </row>
    <row r="10703" spans="1:9" x14ac:dyDescent="0.2">
      <c r="A10703" s="134">
        <v>45982</v>
      </c>
      <c r="B10703" s="135">
        <f>YEAR(source[[#This Row],[report_date]])</f>
        <v>2025</v>
      </c>
      <c r="C10703" s="128">
        <f t="shared" si="499"/>
        <v>11</v>
      </c>
      <c r="D10703" s="136">
        <f t="shared" si="501"/>
        <v>47</v>
      </c>
      <c r="E10703" s="136">
        <f t="shared" si="500"/>
        <v>21</v>
      </c>
      <c r="F10703" s="137" t="s">
        <v>24</v>
      </c>
      <c r="G10703" s="128" t="str">
        <f>VLOOKUP(source[[#This Row],[lending_product_transform]],[3]Mapping!$B$4:$C$37,2,0)</f>
        <v>[Cake] - Cashloan</v>
      </c>
      <c r="H10703" s="128" t="str">
        <f>VLOOKUP(source[[#This Row],[lending_product_transform]],[3]Mapping!$B$3:$D$37,3,0)</f>
        <v>cashloan</v>
      </c>
      <c r="I10703" s="137">
        <v>9694188000</v>
      </c>
    </row>
    <row r="10704" spans="1:9" x14ac:dyDescent="0.2">
      <c r="A10704" s="134">
        <v>45982</v>
      </c>
      <c r="B10704" s="135">
        <f>YEAR(source[[#This Row],[report_date]])</f>
        <v>2025</v>
      </c>
      <c r="C10704" s="128">
        <f t="shared" si="499"/>
        <v>11</v>
      </c>
      <c r="D10704" s="136">
        <f t="shared" si="501"/>
        <v>47</v>
      </c>
      <c r="E10704" s="136">
        <f t="shared" si="500"/>
        <v>21</v>
      </c>
      <c r="F10704" s="137" t="s">
        <v>24</v>
      </c>
      <c r="G10704" s="128" t="str">
        <f>VLOOKUP(source[[#This Row],[lending_product_transform]],[3]Mapping!$B$4:$C$37,2,0)</f>
        <v>[Cake] - Cashloan</v>
      </c>
      <c r="H10704" s="128" t="str">
        <f>VLOOKUP(source[[#This Row],[lending_product_transform]],[3]Mapping!$B$3:$D$37,3,0)</f>
        <v>cashloan</v>
      </c>
      <c r="I10704" s="137">
        <v>14723455</v>
      </c>
    </row>
    <row r="10705" spans="1:9" x14ac:dyDescent="0.2">
      <c r="A10705" s="134">
        <v>45982</v>
      </c>
      <c r="B10705" s="135">
        <f>YEAR(source[[#This Row],[report_date]])</f>
        <v>2025</v>
      </c>
      <c r="C10705" s="128">
        <f t="shared" si="499"/>
        <v>11</v>
      </c>
      <c r="D10705" s="136">
        <f t="shared" si="501"/>
        <v>47</v>
      </c>
      <c r="E10705" s="136">
        <f t="shared" si="500"/>
        <v>21</v>
      </c>
      <c r="F10705" s="137" t="s">
        <v>24</v>
      </c>
      <c r="G10705" s="128" t="str">
        <f>VLOOKUP(source[[#This Row],[lending_product_transform]],[3]Mapping!$B$4:$C$37,2,0)</f>
        <v>[Cake] - Cashloan</v>
      </c>
      <c r="H10705" s="128" t="str">
        <f>VLOOKUP(source[[#This Row],[lending_product_transform]],[3]Mapping!$B$3:$D$37,3,0)</f>
        <v>cashloan</v>
      </c>
      <c r="I10705" s="137">
        <v>3042220000</v>
      </c>
    </row>
    <row r="10706" spans="1:9" x14ac:dyDescent="0.2">
      <c r="A10706" s="134">
        <v>45982</v>
      </c>
      <c r="B10706" s="135">
        <f>YEAR(source[[#This Row],[report_date]])</f>
        <v>2025</v>
      </c>
      <c r="C10706" s="128">
        <f t="shared" si="499"/>
        <v>11</v>
      </c>
      <c r="D10706" s="136">
        <f t="shared" si="501"/>
        <v>47</v>
      </c>
      <c r="E10706" s="136">
        <f t="shared" si="500"/>
        <v>21</v>
      </c>
      <c r="F10706" s="137" t="s">
        <v>24</v>
      </c>
      <c r="G10706" s="128" t="str">
        <f>VLOOKUP(source[[#This Row],[lending_product_transform]],[3]Mapping!$B$4:$C$37,2,0)</f>
        <v>[Cake] - Cashloan</v>
      </c>
      <c r="H10706" s="128" t="str">
        <f>VLOOKUP(source[[#This Row],[lending_product_transform]],[3]Mapping!$B$3:$D$37,3,0)</f>
        <v>cashloan</v>
      </c>
      <c r="I10706" s="137">
        <v>27861288</v>
      </c>
    </row>
    <row r="10707" spans="1:9" x14ac:dyDescent="0.2">
      <c r="A10707" s="134">
        <v>45982</v>
      </c>
      <c r="B10707" s="135">
        <f>YEAR(source[[#This Row],[report_date]])</f>
        <v>2025</v>
      </c>
      <c r="C10707" s="128">
        <f t="shared" si="499"/>
        <v>11</v>
      </c>
      <c r="D10707" s="136">
        <f t="shared" si="501"/>
        <v>47</v>
      </c>
      <c r="E10707" s="136">
        <f t="shared" si="500"/>
        <v>21</v>
      </c>
      <c r="F10707" s="137" t="s">
        <v>24</v>
      </c>
      <c r="G10707" s="128" t="str">
        <f>VLOOKUP(source[[#This Row],[lending_product_transform]],[3]Mapping!$B$4:$C$37,2,0)</f>
        <v>[Cake] - Cashloan</v>
      </c>
      <c r="H10707" s="128" t="str">
        <f>VLOOKUP(source[[#This Row],[lending_product_transform]],[3]Mapping!$B$3:$D$37,3,0)</f>
        <v>cashloan</v>
      </c>
      <c r="I10707" s="137">
        <v>722946178</v>
      </c>
    </row>
    <row r="10708" spans="1:9" x14ac:dyDescent="0.2">
      <c r="A10708" s="134">
        <v>45982</v>
      </c>
      <c r="B10708" s="135">
        <f>YEAR(source[[#This Row],[report_date]])</f>
        <v>2025</v>
      </c>
      <c r="C10708" s="128">
        <f t="shared" si="499"/>
        <v>11</v>
      </c>
      <c r="D10708" s="136">
        <f t="shared" si="501"/>
        <v>47</v>
      </c>
      <c r="E10708" s="136">
        <f t="shared" si="500"/>
        <v>21</v>
      </c>
      <c r="F10708" s="137" t="s">
        <v>24</v>
      </c>
      <c r="G10708" s="128" t="str">
        <f>VLOOKUP(source[[#This Row],[lending_product_transform]],[3]Mapping!$B$4:$C$37,2,0)</f>
        <v>[Cake] - Cashloan</v>
      </c>
      <c r="H10708" s="128" t="str">
        <f>VLOOKUP(source[[#This Row],[lending_product_transform]],[3]Mapping!$B$3:$D$37,3,0)</f>
        <v>cashloan</v>
      </c>
      <c r="I10708" s="137">
        <v>0</v>
      </c>
    </row>
    <row r="10709" spans="1:9" x14ac:dyDescent="0.2">
      <c r="A10709" s="134">
        <v>45982</v>
      </c>
      <c r="B10709" s="135">
        <f>YEAR(source[[#This Row],[report_date]])</f>
        <v>2025</v>
      </c>
      <c r="C10709" s="128">
        <f t="shared" si="499"/>
        <v>11</v>
      </c>
      <c r="D10709" s="136">
        <f t="shared" si="501"/>
        <v>47</v>
      </c>
      <c r="E10709" s="136">
        <f t="shared" si="500"/>
        <v>21</v>
      </c>
      <c r="F10709" s="137" t="s">
        <v>24</v>
      </c>
      <c r="G10709" s="128" t="str">
        <f>VLOOKUP(source[[#This Row],[lending_product_transform]],[3]Mapping!$B$4:$C$37,2,0)</f>
        <v>[Cake] - Cashloan</v>
      </c>
      <c r="H10709" s="128" t="str">
        <f>VLOOKUP(source[[#This Row],[lending_product_transform]],[3]Mapping!$B$3:$D$37,3,0)</f>
        <v>cashloan</v>
      </c>
      <c r="I10709" s="137">
        <v>374000000</v>
      </c>
    </row>
    <row r="10710" spans="1:9" x14ac:dyDescent="0.2">
      <c r="A10710" s="134">
        <v>45982</v>
      </c>
      <c r="B10710" s="135">
        <f>YEAR(source[[#This Row],[report_date]])</f>
        <v>2025</v>
      </c>
      <c r="C10710" s="128">
        <f t="shared" si="499"/>
        <v>11</v>
      </c>
      <c r="D10710" s="136">
        <f t="shared" si="501"/>
        <v>47</v>
      </c>
      <c r="E10710" s="136">
        <f t="shared" si="500"/>
        <v>21</v>
      </c>
      <c r="F10710" s="137" t="s">
        <v>24</v>
      </c>
      <c r="G10710" s="128" t="str">
        <f>VLOOKUP(source[[#This Row],[lending_product_transform]],[3]Mapping!$B$4:$C$37,2,0)</f>
        <v>[Cake] - Cashloan</v>
      </c>
      <c r="H10710" s="128" t="str">
        <f>VLOOKUP(source[[#This Row],[lending_product_transform]],[3]Mapping!$B$3:$D$37,3,0)</f>
        <v>cashloan</v>
      </c>
      <c r="I10710" s="137">
        <v>16778490000</v>
      </c>
    </row>
    <row r="10711" spans="1:9" x14ac:dyDescent="0.2">
      <c r="A10711" s="134">
        <v>45982</v>
      </c>
      <c r="B10711" s="135">
        <f>YEAR(source[[#This Row],[report_date]])</f>
        <v>2025</v>
      </c>
      <c r="C10711" s="128">
        <f t="shared" si="499"/>
        <v>11</v>
      </c>
      <c r="D10711" s="136">
        <f t="shared" si="501"/>
        <v>47</v>
      </c>
      <c r="E10711" s="136">
        <f t="shared" si="500"/>
        <v>21</v>
      </c>
      <c r="F10711" s="137" t="s">
        <v>24</v>
      </c>
      <c r="G10711" s="128" t="str">
        <f>VLOOKUP(source[[#This Row],[lending_product_transform]],[3]Mapping!$B$4:$C$37,2,0)</f>
        <v>[Cake] - Cashloan</v>
      </c>
      <c r="H10711" s="128" t="str">
        <f>VLOOKUP(source[[#This Row],[lending_product_transform]],[3]Mapping!$B$3:$D$37,3,0)</f>
        <v>cashloan</v>
      </c>
      <c r="I10711" s="137">
        <v>0</v>
      </c>
    </row>
    <row r="10712" spans="1:9" x14ac:dyDescent="0.2">
      <c r="A10712" s="134">
        <v>45982</v>
      </c>
      <c r="B10712" s="135">
        <f>YEAR(source[[#This Row],[report_date]])</f>
        <v>2025</v>
      </c>
      <c r="C10712" s="128">
        <f t="shared" si="499"/>
        <v>11</v>
      </c>
      <c r="D10712" s="136">
        <f t="shared" si="501"/>
        <v>47</v>
      </c>
      <c r="E10712" s="136">
        <f t="shared" si="500"/>
        <v>21</v>
      </c>
      <c r="F10712" s="137" t="s">
        <v>24</v>
      </c>
      <c r="G10712" s="128" t="str">
        <f>VLOOKUP(source[[#This Row],[lending_product_transform]],[3]Mapping!$B$4:$C$37,2,0)</f>
        <v>[Cake] - Cashloan</v>
      </c>
      <c r="H10712" s="128" t="str">
        <f>VLOOKUP(source[[#This Row],[lending_product_transform]],[3]Mapping!$B$3:$D$37,3,0)</f>
        <v>cashloan</v>
      </c>
      <c r="I10712" s="137">
        <v>0</v>
      </c>
    </row>
    <row r="10713" spans="1:9" x14ac:dyDescent="0.2">
      <c r="A10713" s="134">
        <v>45982</v>
      </c>
      <c r="B10713" s="135">
        <f>YEAR(source[[#This Row],[report_date]])</f>
        <v>2025</v>
      </c>
      <c r="C10713" s="128">
        <f t="shared" si="499"/>
        <v>11</v>
      </c>
      <c r="D10713" s="136">
        <f t="shared" si="501"/>
        <v>47</v>
      </c>
      <c r="E10713" s="136">
        <f t="shared" si="500"/>
        <v>21</v>
      </c>
      <c r="F10713" s="137" t="s">
        <v>24</v>
      </c>
      <c r="G10713" s="128" t="str">
        <f>VLOOKUP(source[[#This Row],[lending_product_transform]],[3]Mapping!$B$4:$C$37,2,0)</f>
        <v>[Cake] - Cashloan</v>
      </c>
      <c r="H10713" s="128" t="str">
        <f>VLOOKUP(source[[#This Row],[lending_product_transform]],[3]Mapping!$B$3:$D$37,3,0)</f>
        <v>cashloan</v>
      </c>
      <c r="I10713" s="137">
        <v>0</v>
      </c>
    </row>
    <row r="10714" spans="1:9" x14ac:dyDescent="0.2">
      <c r="A10714" s="134">
        <v>45982</v>
      </c>
      <c r="B10714" s="135">
        <f>YEAR(source[[#This Row],[report_date]])</f>
        <v>2025</v>
      </c>
      <c r="C10714" s="128">
        <f t="shared" si="499"/>
        <v>11</v>
      </c>
      <c r="D10714" s="136">
        <f t="shared" si="501"/>
        <v>47</v>
      </c>
      <c r="E10714" s="136">
        <f t="shared" si="500"/>
        <v>21</v>
      </c>
      <c r="F10714" s="137" t="s">
        <v>24</v>
      </c>
      <c r="G10714" s="128" t="str">
        <f>VLOOKUP(source[[#This Row],[lending_product_transform]],[3]Mapping!$B$4:$C$37,2,0)</f>
        <v>[Cake] - Cashloan</v>
      </c>
      <c r="H10714" s="128" t="str">
        <f>VLOOKUP(source[[#This Row],[lending_product_transform]],[3]Mapping!$B$3:$D$37,3,0)</f>
        <v>cashloan</v>
      </c>
      <c r="I10714" s="137">
        <v>0</v>
      </c>
    </row>
    <row r="10715" spans="1:9" x14ac:dyDescent="0.2">
      <c r="A10715" s="134">
        <v>45982</v>
      </c>
      <c r="B10715" s="135">
        <f>YEAR(source[[#This Row],[report_date]])</f>
        <v>2025</v>
      </c>
      <c r="C10715" s="128">
        <f t="shared" si="499"/>
        <v>11</v>
      </c>
      <c r="D10715" s="136">
        <f t="shared" si="501"/>
        <v>47</v>
      </c>
      <c r="E10715" s="136">
        <f t="shared" si="500"/>
        <v>21</v>
      </c>
      <c r="F10715" s="137" t="s">
        <v>24</v>
      </c>
      <c r="G10715" s="128" t="str">
        <f>VLOOKUP(source[[#This Row],[lending_product_transform]],[3]Mapping!$B$4:$C$37,2,0)</f>
        <v>[Cake] - Cashloan</v>
      </c>
      <c r="H10715" s="128" t="str">
        <f>VLOOKUP(source[[#This Row],[lending_product_transform]],[3]Mapping!$B$3:$D$37,3,0)</f>
        <v>cashloan</v>
      </c>
      <c r="I10715" s="137">
        <v>9303984000</v>
      </c>
    </row>
    <row r="10716" spans="1:9" x14ac:dyDescent="0.2">
      <c r="A10716" s="134">
        <v>45982</v>
      </c>
      <c r="B10716" s="135">
        <f>YEAR(source[[#This Row],[report_date]])</f>
        <v>2025</v>
      </c>
      <c r="C10716" s="128">
        <f t="shared" si="499"/>
        <v>11</v>
      </c>
      <c r="D10716" s="136">
        <f t="shared" si="501"/>
        <v>47</v>
      </c>
      <c r="E10716" s="136">
        <f t="shared" si="500"/>
        <v>21</v>
      </c>
      <c r="F10716" s="137" t="s">
        <v>24</v>
      </c>
      <c r="G10716" s="128" t="str">
        <f>VLOOKUP(source[[#This Row],[lending_product_transform]],[3]Mapping!$B$4:$C$37,2,0)</f>
        <v>[Cake] - Cashloan</v>
      </c>
      <c r="H10716" s="128" t="str">
        <f>VLOOKUP(source[[#This Row],[lending_product_transform]],[3]Mapping!$B$3:$D$37,3,0)</f>
        <v>cashloan</v>
      </c>
      <c r="I10716" s="137">
        <v>207680715</v>
      </c>
    </row>
    <row r="10717" spans="1:9" x14ac:dyDescent="0.2">
      <c r="A10717" s="134">
        <v>45982</v>
      </c>
      <c r="B10717" s="135">
        <f>YEAR(source[[#This Row],[report_date]])</f>
        <v>2025</v>
      </c>
      <c r="C10717" s="128">
        <f t="shared" si="499"/>
        <v>11</v>
      </c>
      <c r="D10717" s="136">
        <f t="shared" si="501"/>
        <v>47</v>
      </c>
      <c r="E10717" s="136">
        <f t="shared" si="500"/>
        <v>21</v>
      </c>
      <c r="F10717" s="137" t="s">
        <v>24</v>
      </c>
      <c r="G10717" s="128" t="str">
        <f>VLOOKUP(source[[#This Row],[lending_product_transform]],[3]Mapping!$B$4:$C$37,2,0)</f>
        <v>[Cake] - Cashloan</v>
      </c>
      <c r="H10717" s="128" t="str">
        <f>VLOOKUP(source[[#This Row],[lending_product_transform]],[3]Mapping!$B$3:$D$37,3,0)</f>
        <v>cashloan</v>
      </c>
      <c r="I10717" s="137">
        <v>10000000</v>
      </c>
    </row>
    <row r="10718" spans="1:9" x14ac:dyDescent="0.2">
      <c r="A10718" s="134">
        <v>45982</v>
      </c>
      <c r="B10718" s="135">
        <f>YEAR(source[[#This Row],[report_date]])</f>
        <v>2025</v>
      </c>
      <c r="C10718" s="128">
        <f t="shared" si="499"/>
        <v>11</v>
      </c>
      <c r="D10718" s="136">
        <f t="shared" si="501"/>
        <v>47</v>
      </c>
      <c r="E10718" s="136">
        <f t="shared" si="500"/>
        <v>21</v>
      </c>
      <c r="F10718" s="137" t="s">
        <v>24</v>
      </c>
      <c r="G10718" s="128" t="str">
        <f>VLOOKUP(source[[#This Row],[lending_product_transform]],[3]Mapping!$B$4:$C$37,2,0)</f>
        <v>[Cake] - Cashloan</v>
      </c>
      <c r="H10718" s="128" t="str">
        <f>VLOOKUP(source[[#This Row],[lending_product_transform]],[3]Mapping!$B$3:$D$37,3,0)</f>
        <v>cashloan</v>
      </c>
      <c r="I10718" s="137">
        <v>54000000</v>
      </c>
    </row>
    <row r="10719" spans="1:9" x14ac:dyDescent="0.2">
      <c r="A10719" s="134">
        <v>45982</v>
      </c>
      <c r="B10719" s="135">
        <f>YEAR(source[[#This Row],[report_date]])</f>
        <v>2025</v>
      </c>
      <c r="C10719" s="128">
        <f t="shared" si="499"/>
        <v>11</v>
      </c>
      <c r="D10719" s="136">
        <f t="shared" si="501"/>
        <v>47</v>
      </c>
      <c r="E10719" s="136">
        <f t="shared" si="500"/>
        <v>21</v>
      </c>
      <c r="F10719" s="137" t="s">
        <v>24</v>
      </c>
      <c r="G10719" s="128" t="str">
        <f>VLOOKUP(source[[#This Row],[lending_product_transform]],[3]Mapping!$B$4:$C$37,2,0)</f>
        <v>[Cake] - Cashloan</v>
      </c>
      <c r="H10719" s="128" t="str">
        <f>VLOOKUP(source[[#This Row],[lending_product_transform]],[3]Mapping!$B$3:$D$37,3,0)</f>
        <v>cashloan</v>
      </c>
      <c r="I10719" s="137">
        <v>794960000</v>
      </c>
    </row>
    <row r="10720" spans="1:9" x14ac:dyDescent="0.2">
      <c r="A10720" s="134">
        <v>45982</v>
      </c>
      <c r="B10720" s="135">
        <f>YEAR(source[[#This Row],[report_date]])</f>
        <v>2025</v>
      </c>
      <c r="C10720" s="128">
        <f t="shared" si="499"/>
        <v>11</v>
      </c>
      <c r="D10720" s="136">
        <f t="shared" si="501"/>
        <v>47</v>
      </c>
      <c r="E10720" s="136">
        <f t="shared" si="500"/>
        <v>21</v>
      </c>
      <c r="F10720" s="137" t="s">
        <v>24</v>
      </c>
      <c r="G10720" s="128" t="str">
        <f>VLOOKUP(source[[#This Row],[lending_product_transform]],[3]Mapping!$B$4:$C$37,2,0)</f>
        <v>[Cake] - Cashloan</v>
      </c>
      <c r="H10720" s="128" t="str">
        <f>VLOOKUP(source[[#This Row],[lending_product_transform]],[3]Mapping!$B$3:$D$37,3,0)</f>
        <v>cashloan</v>
      </c>
      <c r="I10720" s="137">
        <v>309636000</v>
      </c>
    </row>
    <row r="10721" spans="1:9" x14ac:dyDescent="0.2">
      <c r="A10721" s="134">
        <v>45982</v>
      </c>
      <c r="B10721" s="135">
        <f>YEAR(source[[#This Row],[report_date]])</f>
        <v>2025</v>
      </c>
      <c r="C10721" s="128">
        <f t="shared" si="499"/>
        <v>11</v>
      </c>
      <c r="D10721" s="136">
        <f t="shared" si="501"/>
        <v>47</v>
      </c>
      <c r="E10721" s="136">
        <f t="shared" si="500"/>
        <v>21</v>
      </c>
      <c r="F10721" s="137" t="s">
        <v>24</v>
      </c>
      <c r="G10721" s="128" t="str">
        <f>VLOOKUP(source[[#This Row],[lending_product_transform]],[3]Mapping!$B$4:$C$37,2,0)</f>
        <v>[Cake] - Cashloan</v>
      </c>
      <c r="H10721" s="128" t="str">
        <f>VLOOKUP(source[[#This Row],[lending_product_transform]],[3]Mapping!$B$3:$D$37,3,0)</f>
        <v>cashloan</v>
      </c>
      <c r="I10721" s="137">
        <v>456280733</v>
      </c>
    </row>
    <row r="10722" spans="1:9" x14ac:dyDescent="0.2">
      <c r="A10722" s="134">
        <v>45982</v>
      </c>
      <c r="B10722" s="135">
        <f>YEAR(source[[#This Row],[report_date]])</f>
        <v>2025</v>
      </c>
      <c r="C10722" s="128">
        <f t="shared" si="499"/>
        <v>11</v>
      </c>
      <c r="D10722" s="136">
        <f t="shared" si="501"/>
        <v>47</v>
      </c>
      <c r="E10722" s="136">
        <f t="shared" si="500"/>
        <v>21</v>
      </c>
      <c r="F10722" s="137" t="s">
        <v>24</v>
      </c>
      <c r="G10722" s="128" t="str">
        <f>VLOOKUP(source[[#This Row],[lending_product_transform]],[3]Mapping!$B$4:$C$37,2,0)</f>
        <v>[Cake] - Cashloan</v>
      </c>
      <c r="H10722" s="128" t="str">
        <f>VLOOKUP(source[[#This Row],[lending_product_transform]],[3]Mapping!$B$3:$D$37,3,0)</f>
        <v>cashloan</v>
      </c>
      <c r="I10722" s="137">
        <v>3491200000</v>
      </c>
    </row>
    <row r="10723" spans="1:9" x14ac:dyDescent="0.2">
      <c r="A10723" s="134">
        <v>45983</v>
      </c>
      <c r="B10723" s="135">
        <f>YEAR(source[[#This Row],[report_date]])</f>
        <v>2025</v>
      </c>
      <c r="C10723" s="128">
        <f t="shared" si="499"/>
        <v>11</v>
      </c>
      <c r="D10723" s="136">
        <f t="shared" si="501"/>
        <v>47</v>
      </c>
      <c r="E10723" s="136">
        <f t="shared" si="500"/>
        <v>22</v>
      </c>
      <c r="F10723" s="137" t="s">
        <v>24</v>
      </c>
      <c r="G10723" s="128" t="str">
        <f>VLOOKUP(source[[#This Row],[lending_product_transform]],[3]Mapping!$B$4:$C$37,2,0)</f>
        <v>[Cake] - Cashloan</v>
      </c>
      <c r="H10723" s="128" t="str">
        <f>VLOOKUP(source[[#This Row],[lending_product_transform]],[3]Mapping!$B$3:$D$37,3,0)</f>
        <v>cashloan</v>
      </c>
      <c r="I10723" s="137">
        <v>141750000</v>
      </c>
    </row>
    <row r="10724" spans="1:9" x14ac:dyDescent="0.2">
      <c r="A10724" s="134">
        <v>45983</v>
      </c>
      <c r="B10724" s="135">
        <f>YEAR(source[[#This Row],[report_date]])</f>
        <v>2025</v>
      </c>
      <c r="C10724" s="128">
        <f t="shared" si="499"/>
        <v>11</v>
      </c>
      <c r="D10724" s="136">
        <f t="shared" si="501"/>
        <v>47</v>
      </c>
      <c r="E10724" s="136">
        <f t="shared" si="500"/>
        <v>22</v>
      </c>
      <c r="F10724" s="137" t="s">
        <v>24</v>
      </c>
      <c r="G10724" s="128" t="str">
        <f>VLOOKUP(source[[#This Row],[lending_product_transform]],[3]Mapping!$B$4:$C$37,2,0)</f>
        <v>[Cake] - Cashloan</v>
      </c>
      <c r="H10724" s="128" t="str">
        <f>VLOOKUP(source[[#This Row],[lending_product_transform]],[3]Mapping!$B$3:$D$37,3,0)</f>
        <v>cashloan</v>
      </c>
      <c r="I10724" s="137">
        <v>272434905</v>
      </c>
    </row>
    <row r="10725" spans="1:9" x14ac:dyDescent="0.2">
      <c r="A10725" s="134">
        <v>45983</v>
      </c>
      <c r="B10725" s="135">
        <f>YEAR(source[[#This Row],[report_date]])</f>
        <v>2025</v>
      </c>
      <c r="C10725" s="128">
        <f t="shared" si="499"/>
        <v>11</v>
      </c>
      <c r="D10725" s="136">
        <f t="shared" si="501"/>
        <v>47</v>
      </c>
      <c r="E10725" s="136">
        <f t="shared" si="500"/>
        <v>22</v>
      </c>
      <c r="F10725" s="137" t="s">
        <v>24</v>
      </c>
      <c r="G10725" s="128" t="str">
        <f>VLOOKUP(source[[#This Row],[lending_product_transform]],[3]Mapping!$B$4:$C$37,2,0)</f>
        <v>[Cake] - Cashloan</v>
      </c>
      <c r="H10725" s="128" t="str">
        <f>VLOOKUP(source[[#This Row],[lending_product_transform]],[3]Mapping!$B$3:$D$37,3,0)</f>
        <v>cashloan</v>
      </c>
      <c r="I10725" s="137">
        <v>20249690000</v>
      </c>
    </row>
    <row r="10726" spans="1:9" x14ac:dyDescent="0.2">
      <c r="A10726" s="134">
        <v>45983</v>
      </c>
      <c r="B10726" s="135">
        <f>YEAR(source[[#This Row],[report_date]])</f>
        <v>2025</v>
      </c>
      <c r="C10726" s="128">
        <f t="shared" si="499"/>
        <v>11</v>
      </c>
      <c r="D10726" s="136">
        <f t="shared" si="501"/>
        <v>47</v>
      </c>
      <c r="E10726" s="136">
        <f t="shared" si="500"/>
        <v>22</v>
      </c>
      <c r="F10726" s="137" t="s">
        <v>24</v>
      </c>
      <c r="G10726" s="128" t="str">
        <f>VLOOKUP(source[[#This Row],[lending_product_transform]],[3]Mapping!$B$4:$C$37,2,0)</f>
        <v>[Cake] - Cashloan</v>
      </c>
      <c r="H10726" s="128" t="str">
        <f>VLOOKUP(source[[#This Row],[lending_product_transform]],[3]Mapping!$B$3:$D$37,3,0)</f>
        <v>cashloan</v>
      </c>
      <c r="I10726" s="137">
        <v>1716837173</v>
      </c>
    </row>
    <row r="10727" spans="1:9" x14ac:dyDescent="0.2">
      <c r="A10727" s="134">
        <v>45983</v>
      </c>
      <c r="B10727" s="135">
        <f>YEAR(source[[#This Row],[report_date]])</f>
        <v>2025</v>
      </c>
      <c r="C10727" s="128">
        <f t="shared" si="499"/>
        <v>11</v>
      </c>
      <c r="D10727" s="136">
        <f t="shared" si="501"/>
        <v>47</v>
      </c>
      <c r="E10727" s="136">
        <f t="shared" si="500"/>
        <v>22</v>
      </c>
      <c r="F10727" s="137" t="s">
        <v>24</v>
      </c>
      <c r="G10727" s="128" t="str">
        <f>VLOOKUP(source[[#This Row],[lending_product_transform]],[3]Mapping!$B$4:$C$37,2,0)</f>
        <v>[Cake] - Cashloan</v>
      </c>
      <c r="H10727" s="128" t="str">
        <f>VLOOKUP(source[[#This Row],[lending_product_transform]],[3]Mapping!$B$3:$D$37,3,0)</f>
        <v>cashloan</v>
      </c>
      <c r="I10727" s="137">
        <v>8472060000</v>
      </c>
    </row>
    <row r="10728" spans="1:9" x14ac:dyDescent="0.2">
      <c r="A10728" s="134">
        <v>45983</v>
      </c>
      <c r="B10728" s="135">
        <f>YEAR(source[[#This Row],[report_date]])</f>
        <v>2025</v>
      </c>
      <c r="C10728" s="128">
        <f t="shared" si="499"/>
        <v>11</v>
      </c>
      <c r="D10728" s="136">
        <f t="shared" si="501"/>
        <v>47</v>
      </c>
      <c r="E10728" s="136">
        <f t="shared" si="500"/>
        <v>22</v>
      </c>
      <c r="F10728" s="137" t="s">
        <v>24</v>
      </c>
      <c r="G10728" s="128" t="str">
        <f>VLOOKUP(source[[#This Row],[lending_product_transform]],[3]Mapping!$B$4:$C$37,2,0)</f>
        <v>[Cake] - Cashloan</v>
      </c>
      <c r="H10728" s="128" t="str">
        <f>VLOOKUP(source[[#This Row],[lending_product_transform]],[3]Mapping!$B$3:$D$37,3,0)</f>
        <v>cashloan</v>
      </c>
      <c r="I10728" s="137">
        <v>7783539</v>
      </c>
    </row>
    <row r="10729" spans="1:9" x14ac:dyDescent="0.2">
      <c r="A10729" s="134">
        <v>45983</v>
      </c>
      <c r="B10729" s="135">
        <f>YEAR(source[[#This Row],[report_date]])</f>
        <v>2025</v>
      </c>
      <c r="C10729" s="128">
        <f t="shared" si="499"/>
        <v>11</v>
      </c>
      <c r="D10729" s="136">
        <f t="shared" si="501"/>
        <v>47</v>
      </c>
      <c r="E10729" s="136">
        <f t="shared" si="500"/>
        <v>22</v>
      </c>
      <c r="F10729" s="137" t="s">
        <v>24</v>
      </c>
      <c r="G10729" s="128" t="str">
        <f>VLOOKUP(source[[#This Row],[lending_product_transform]],[3]Mapping!$B$4:$C$37,2,0)</f>
        <v>[Cake] - Cashloan</v>
      </c>
      <c r="H10729" s="128" t="str">
        <f>VLOOKUP(source[[#This Row],[lending_product_transform]],[3]Mapping!$B$3:$D$37,3,0)</f>
        <v>cashloan</v>
      </c>
      <c r="I10729" s="137">
        <v>3307910000</v>
      </c>
    </row>
    <row r="10730" spans="1:9" x14ac:dyDescent="0.2">
      <c r="A10730" s="134">
        <v>45983</v>
      </c>
      <c r="B10730" s="135">
        <f>YEAR(source[[#This Row],[report_date]])</f>
        <v>2025</v>
      </c>
      <c r="C10730" s="128">
        <f t="shared" si="499"/>
        <v>11</v>
      </c>
      <c r="D10730" s="136">
        <f t="shared" si="501"/>
        <v>47</v>
      </c>
      <c r="E10730" s="136">
        <f t="shared" si="500"/>
        <v>22</v>
      </c>
      <c r="F10730" s="137" t="s">
        <v>24</v>
      </c>
      <c r="G10730" s="128" t="str">
        <f>VLOOKUP(source[[#This Row],[lending_product_transform]],[3]Mapping!$B$4:$C$37,2,0)</f>
        <v>[Cake] - Cashloan</v>
      </c>
      <c r="H10730" s="128" t="str">
        <f>VLOOKUP(source[[#This Row],[lending_product_transform]],[3]Mapping!$B$3:$D$37,3,0)</f>
        <v>cashloan</v>
      </c>
      <c r="I10730" s="137">
        <v>11382038</v>
      </c>
    </row>
    <row r="10731" spans="1:9" x14ac:dyDescent="0.2">
      <c r="A10731" s="134">
        <v>45983</v>
      </c>
      <c r="B10731" s="135">
        <f>YEAR(source[[#This Row],[report_date]])</f>
        <v>2025</v>
      </c>
      <c r="C10731" s="128">
        <f t="shared" si="499"/>
        <v>11</v>
      </c>
      <c r="D10731" s="136">
        <f t="shared" si="501"/>
        <v>47</v>
      </c>
      <c r="E10731" s="136">
        <f t="shared" si="500"/>
        <v>22</v>
      </c>
      <c r="F10731" s="137" t="s">
        <v>24</v>
      </c>
      <c r="G10731" s="128" t="str">
        <f>VLOOKUP(source[[#This Row],[lending_product_transform]],[3]Mapping!$B$4:$C$37,2,0)</f>
        <v>[Cake] - Cashloan</v>
      </c>
      <c r="H10731" s="128" t="str">
        <f>VLOOKUP(source[[#This Row],[lending_product_transform]],[3]Mapping!$B$3:$D$37,3,0)</f>
        <v>cashloan</v>
      </c>
      <c r="I10731" s="137">
        <v>811539954</v>
      </c>
    </row>
    <row r="10732" spans="1:9" x14ac:dyDescent="0.2">
      <c r="A10732" s="134">
        <v>45983</v>
      </c>
      <c r="B10732" s="135">
        <f>YEAR(source[[#This Row],[report_date]])</f>
        <v>2025</v>
      </c>
      <c r="C10732" s="128">
        <f t="shared" si="499"/>
        <v>11</v>
      </c>
      <c r="D10732" s="136">
        <f t="shared" si="501"/>
        <v>47</v>
      </c>
      <c r="E10732" s="136">
        <f t="shared" si="500"/>
        <v>22</v>
      </c>
      <c r="F10732" s="137" t="s">
        <v>24</v>
      </c>
      <c r="G10732" s="128" t="str">
        <f>VLOOKUP(source[[#This Row],[lending_product_transform]],[3]Mapping!$B$4:$C$37,2,0)</f>
        <v>[Cake] - Cashloan</v>
      </c>
      <c r="H10732" s="128" t="str">
        <f>VLOOKUP(source[[#This Row],[lending_product_transform]],[3]Mapping!$B$3:$D$37,3,0)</f>
        <v>cashloan</v>
      </c>
      <c r="I10732" s="137">
        <v>0</v>
      </c>
    </row>
    <row r="10733" spans="1:9" x14ac:dyDescent="0.2">
      <c r="A10733" s="134">
        <v>45983</v>
      </c>
      <c r="B10733" s="135">
        <f>YEAR(source[[#This Row],[report_date]])</f>
        <v>2025</v>
      </c>
      <c r="C10733" s="128">
        <f t="shared" si="499"/>
        <v>11</v>
      </c>
      <c r="D10733" s="136">
        <f t="shared" si="501"/>
        <v>47</v>
      </c>
      <c r="E10733" s="136">
        <f t="shared" si="500"/>
        <v>22</v>
      </c>
      <c r="F10733" s="137" t="s">
        <v>24</v>
      </c>
      <c r="G10733" s="128" t="str">
        <f>VLOOKUP(source[[#This Row],[lending_product_transform]],[3]Mapping!$B$4:$C$37,2,0)</f>
        <v>[Cake] - Cashloan</v>
      </c>
      <c r="H10733" s="128" t="str">
        <f>VLOOKUP(source[[#This Row],[lending_product_transform]],[3]Mapping!$B$3:$D$37,3,0)</f>
        <v>cashloan</v>
      </c>
      <c r="I10733" s="137">
        <v>226000000</v>
      </c>
    </row>
    <row r="10734" spans="1:9" x14ac:dyDescent="0.2">
      <c r="A10734" s="134">
        <v>45983</v>
      </c>
      <c r="B10734" s="135">
        <f>YEAR(source[[#This Row],[report_date]])</f>
        <v>2025</v>
      </c>
      <c r="C10734" s="128">
        <f t="shared" si="499"/>
        <v>11</v>
      </c>
      <c r="D10734" s="136">
        <f t="shared" si="501"/>
        <v>47</v>
      </c>
      <c r="E10734" s="136">
        <f t="shared" si="500"/>
        <v>22</v>
      </c>
      <c r="F10734" s="137" t="s">
        <v>24</v>
      </c>
      <c r="G10734" s="128" t="str">
        <f>VLOOKUP(source[[#This Row],[lending_product_transform]],[3]Mapping!$B$4:$C$37,2,0)</f>
        <v>[Cake] - Cashloan</v>
      </c>
      <c r="H10734" s="128" t="str">
        <f>VLOOKUP(source[[#This Row],[lending_product_transform]],[3]Mapping!$B$3:$D$37,3,0)</f>
        <v>cashloan</v>
      </c>
      <c r="I10734" s="137">
        <v>15057140000</v>
      </c>
    </row>
    <row r="10735" spans="1:9" x14ac:dyDescent="0.2">
      <c r="A10735" s="134">
        <v>45983</v>
      </c>
      <c r="B10735" s="135">
        <f>YEAR(source[[#This Row],[report_date]])</f>
        <v>2025</v>
      </c>
      <c r="C10735" s="128">
        <f t="shared" si="499"/>
        <v>11</v>
      </c>
      <c r="D10735" s="136">
        <f t="shared" si="501"/>
        <v>47</v>
      </c>
      <c r="E10735" s="136">
        <f t="shared" si="500"/>
        <v>22</v>
      </c>
      <c r="F10735" s="137" t="s">
        <v>24</v>
      </c>
      <c r="G10735" s="128" t="str">
        <f>VLOOKUP(source[[#This Row],[lending_product_transform]],[3]Mapping!$B$4:$C$37,2,0)</f>
        <v>[Cake] - Cashloan</v>
      </c>
      <c r="H10735" s="128" t="str">
        <f>VLOOKUP(source[[#This Row],[lending_product_transform]],[3]Mapping!$B$3:$D$37,3,0)</f>
        <v>cashloan</v>
      </c>
      <c r="I10735" s="137">
        <v>0</v>
      </c>
    </row>
    <row r="10736" spans="1:9" x14ac:dyDescent="0.2">
      <c r="A10736" s="134">
        <v>45983</v>
      </c>
      <c r="B10736" s="135">
        <f>YEAR(source[[#This Row],[report_date]])</f>
        <v>2025</v>
      </c>
      <c r="C10736" s="128">
        <f t="shared" si="499"/>
        <v>11</v>
      </c>
      <c r="D10736" s="136">
        <f t="shared" si="501"/>
        <v>47</v>
      </c>
      <c r="E10736" s="136">
        <f t="shared" si="500"/>
        <v>22</v>
      </c>
      <c r="F10736" s="137" t="s">
        <v>24</v>
      </c>
      <c r="G10736" s="128" t="str">
        <f>VLOOKUP(source[[#This Row],[lending_product_transform]],[3]Mapping!$B$4:$C$37,2,0)</f>
        <v>[Cake] - Cashloan</v>
      </c>
      <c r="H10736" s="128" t="str">
        <f>VLOOKUP(source[[#This Row],[lending_product_transform]],[3]Mapping!$B$3:$D$37,3,0)</f>
        <v>cashloan</v>
      </c>
      <c r="I10736" s="137">
        <v>0</v>
      </c>
    </row>
    <row r="10737" spans="1:9" x14ac:dyDescent="0.2">
      <c r="A10737" s="134">
        <v>45983</v>
      </c>
      <c r="B10737" s="135">
        <f>YEAR(source[[#This Row],[report_date]])</f>
        <v>2025</v>
      </c>
      <c r="C10737" s="128">
        <f t="shared" si="499"/>
        <v>11</v>
      </c>
      <c r="D10737" s="136">
        <f t="shared" si="501"/>
        <v>47</v>
      </c>
      <c r="E10737" s="136">
        <f t="shared" si="500"/>
        <v>22</v>
      </c>
      <c r="F10737" s="137" t="s">
        <v>24</v>
      </c>
      <c r="G10737" s="128" t="str">
        <f>VLOOKUP(source[[#This Row],[lending_product_transform]],[3]Mapping!$B$4:$C$37,2,0)</f>
        <v>[Cake] - Cashloan</v>
      </c>
      <c r="H10737" s="128" t="str">
        <f>VLOOKUP(source[[#This Row],[lending_product_transform]],[3]Mapping!$B$3:$D$37,3,0)</f>
        <v>cashloan</v>
      </c>
      <c r="I10737" s="137">
        <v>0</v>
      </c>
    </row>
    <row r="10738" spans="1:9" x14ac:dyDescent="0.2">
      <c r="A10738" s="134">
        <v>45983</v>
      </c>
      <c r="B10738" s="135">
        <f>YEAR(source[[#This Row],[report_date]])</f>
        <v>2025</v>
      </c>
      <c r="C10738" s="128">
        <f t="shared" si="499"/>
        <v>11</v>
      </c>
      <c r="D10738" s="136">
        <f t="shared" si="501"/>
        <v>47</v>
      </c>
      <c r="E10738" s="136">
        <f t="shared" si="500"/>
        <v>22</v>
      </c>
      <c r="F10738" s="137" t="s">
        <v>24</v>
      </c>
      <c r="G10738" s="128" t="str">
        <f>VLOOKUP(source[[#This Row],[lending_product_transform]],[3]Mapping!$B$4:$C$37,2,0)</f>
        <v>[Cake] - Cashloan</v>
      </c>
      <c r="H10738" s="128" t="str">
        <f>VLOOKUP(source[[#This Row],[lending_product_transform]],[3]Mapping!$B$3:$D$37,3,0)</f>
        <v>cashloan</v>
      </c>
      <c r="I10738" s="137">
        <v>0</v>
      </c>
    </row>
    <row r="10739" spans="1:9" x14ac:dyDescent="0.2">
      <c r="A10739" s="134">
        <v>45983</v>
      </c>
      <c r="B10739" s="135">
        <f>YEAR(source[[#This Row],[report_date]])</f>
        <v>2025</v>
      </c>
      <c r="C10739" s="128">
        <f t="shared" si="499"/>
        <v>11</v>
      </c>
      <c r="D10739" s="136">
        <f t="shared" si="501"/>
        <v>47</v>
      </c>
      <c r="E10739" s="136">
        <f t="shared" si="500"/>
        <v>22</v>
      </c>
      <c r="F10739" s="137" t="s">
        <v>24</v>
      </c>
      <c r="G10739" s="128" t="str">
        <f>VLOOKUP(source[[#This Row],[lending_product_transform]],[3]Mapping!$B$4:$C$37,2,0)</f>
        <v>[Cake] - Cashloan</v>
      </c>
      <c r="H10739" s="128" t="str">
        <f>VLOOKUP(source[[#This Row],[lending_product_transform]],[3]Mapping!$B$3:$D$37,3,0)</f>
        <v>cashloan</v>
      </c>
      <c r="I10739" s="137">
        <v>8592480000</v>
      </c>
    </row>
    <row r="10740" spans="1:9" x14ac:dyDescent="0.2">
      <c r="A10740" s="134">
        <v>45983</v>
      </c>
      <c r="B10740" s="135">
        <f>YEAR(source[[#This Row],[report_date]])</f>
        <v>2025</v>
      </c>
      <c r="C10740" s="128">
        <f t="shared" si="499"/>
        <v>11</v>
      </c>
      <c r="D10740" s="136">
        <f t="shared" si="501"/>
        <v>47</v>
      </c>
      <c r="E10740" s="136">
        <f t="shared" si="500"/>
        <v>22</v>
      </c>
      <c r="F10740" s="137" t="s">
        <v>24</v>
      </c>
      <c r="G10740" s="128" t="str">
        <f>VLOOKUP(source[[#This Row],[lending_product_transform]],[3]Mapping!$B$4:$C$37,2,0)</f>
        <v>[Cake] - Cashloan</v>
      </c>
      <c r="H10740" s="128" t="str">
        <f>VLOOKUP(source[[#This Row],[lending_product_transform]],[3]Mapping!$B$3:$D$37,3,0)</f>
        <v>cashloan</v>
      </c>
      <c r="I10740" s="137">
        <v>154586301</v>
      </c>
    </row>
    <row r="10741" spans="1:9" x14ac:dyDescent="0.2">
      <c r="A10741" s="134">
        <v>45983</v>
      </c>
      <c r="B10741" s="135">
        <f>YEAR(source[[#This Row],[report_date]])</f>
        <v>2025</v>
      </c>
      <c r="C10741" s="128">
        <f t="shared" si="499"/>
        <v>11</v>
      </c>
      <c r="D10741" s="136">
        <f t="shared" si="501"/>
        <v>47</v>
      </c>
      <c r="E10741" s="136">
        <f t="shared" si="500"/>
        <v>22</v>
      </c>
      <c r="F10741" s="137" t="s">
        <v>24</v>
      </c>
      <c r="G10741" s="128" t="str">
        <f>VLOOKUP(source[[#This Row],[lending_product_transform]],[3]Mapping!$B$4:$C$37,2,0)</f>
        <v>[Cake] - Cashloan</v>
      </c>
      <c r="H10741" s="128" t="str">
        <f>VLOOKUP(source[[#This Row],[lending_product_transform]],[3]Mapping!$B$3:$D$37,3,0)</f>
        <v>cashloan</v>
      </c>
      <c r="I10741" s="137">
        <v>0</v>
      </c>
    </row>
    <row r="10742" spans="1:9" x14ac:dyDescent="0.2">
      <c r="A10742" s="134">
        <v>45983</v>
      </c>
      <c r="B10742" s="135">
        <f>YEAR(source[[#This Row],[report_date]])</f>
        <v>2025</v>
      </c>
      <c r="C10742" s="128">
        <f t="shared" ref="C10742:C10805" si="502">MONTH(A10742)</f>
        <v>11</v>
      </c>
      <c r="D10742" s="136">
        <f t="shared" si="501"/>
        <v>47</v>
      </c>
      <c r="E10742" s="136">
        <f t="shared" ref="E10742:E10805" si="503">DAY(A10742)</f>
        <v>22</v>
      </c>
      <c r="F10742" s="137" t="s">
        <v>24</v>
      </c>
      <c r="G10742" s="128" t="str">
        <f>VLOOKUP(source[[#This Row],[lending_product_transform]],[3]Mapping!$B$4:$C$37,2,0)</f>
        <v>[Cake] - Cashloan</v>
      </c>
      <c r="H10742" s="128" t="str">
        <f>VLOOKUP(source[[#This Row],[lending_product_transform]],[3]Mapping!$B$3:$D$37,3,0)</f>
        <v>cashloan</v>
      </c>
      <c r="I10742" s="137">
        <v>36000000</v>
      </c>
    </row>
    <row r="10743" spans="1:9" x14ac:dyDescent="0.2">
      <c r="A10743" s="134">
        <v>45983</v>
      </c>
      <c r="B10743" s="135">
        <f>YEAR(source[[#This Row],[report_date]])</f>
        <v>2025</v>
      </c>
      <c r="C10743" s="128">
        <f t="shared" si="502"/>
        <v>11</v>
      </c>
      <c r="D10743" s="136">
        <f t="shared" si="501"/>
        <v>47</v>
      </c>
      <c r="E10743" s="136">
        <f t="shared" si="503"/>
        <v>22</v>
      </c>
      <c r="F10743" s="137" t="s">
        <v>24</v>
      </c>
      <c r="G10743" s="128" t="str">
        <f>VLOOKUP(source[[#This Row],[lending_product_transform]],[3]Mapping!$B$4:$C$37,2,0)</f>
        <v>[Cake] - Cashloan</v>
      </c>
      <c r="H10743" s="128" t="str">
        <f>VLOOKUP(source[[#This Row],[lending_product_transform]],[3]Mapping!$B$3:$D$37,3,0)</f>
        <v>cashloan</v>
      </c>
      <c r="I10743" s="137">
        <v>457190000</v>
      </c>
    </row>
    <row r="10744" spans="1:9" x14ac:dyDescent="0.2">
      <c r="A10744" s="134">
        <v>45983</v>
      </c>
      <c r="B10744" s="135">
        <f>YEAR(source[[#This Row],[report_date]])</f>
        <v>2025</v>
      </c>
      <c r="C10744" s="128">
        <f t="shared" si="502"/>
        <v>11</v>
      </c>
      <c r="D10744" s="136">
        <f t="shared" si="501"/>
        <v>47</v>
      </c>
      <c r="E10744" s="136">
        <f t="shared" si="503"/>
        <v>22</v>
      </c>
      <c r="F10744" s="137" t="s">
        <v>24</v>
      </c>
      <c r="G10744" s="128" t="str">
        <f>VLOOKUP(source[[#This Row],[lending_product_transform]],[3]Mapping!$B$4:$C$37,2,0)</f>
        <v>[Cake] - Cashloan</v>
      </c>
      <c r="H10744" s="128" t="str">
        <f>VLOOKUP(source[[#This Row],[lending_product_transform]],[3]Mapping!$B$3:$D$37,3,0)</f>
        <v>cashloan</v>
      </c>
      <c r="I10744" s="137">
        <v>220860000</v>
      </c>
    </row>
    <row r="10745" spans="1:9" x14ac:dyDescent="0.2">
      <c r="A10745" s="134">
        <v>45983</v>
      </c>
      <c r="B10745" s="135">
        <f>YEAR(source[[#This Row],[report_date]])</f>
        <v>2025</v>
      </c>
      <c r="C10745" s="128">
        <f t="shared" si="502"/>
        <v>11</v>
      </c>
      <c r="D10745" s="136">
        <f t="shared" si="501"/>
        <v>47</v>
      </c>
      <c r="E10745" s="136">
        <f t="shared" si="503"/>
        <v>22</v>
      </c>
      <c r="F10745" s="137" t="s">
        <v>24</v>
      </c>
      <c r="G10745" s="128" t="str">
        <f>VLOOKUP(source[[#This Row],[lending_product_transform]],[3]Mapping!$B$4:$C$37,2,0)</f>
        <v>[Cake] - Cashloan</v>
      </c>
      <c r="H10745" s="128" t="str">
        <f>VLOOKUP(source[[#This Row],[lending_product_transform]],[3]Mapping!$B$3:$D$37,3,0)</f>
        <v>cashloan</v>
      </c>
      <c r="I10745" s="137">
        <v>405926798</v>
      </c>
    </row>
    <row r="10746" spans="1:9" x14ac:dyDescent="0.2">
      <c r="A10746" s="134">
        <v>45983</v>
      </c>
      <c r="B10746" s="135">
        <f>YEAR(source[[#This Row],[report_date]])</f>
        <v>2025</v>
      </c>
      <c r="C10746" s="128">
        <f t="shared" si="502"/>
        <v>11</v>
      </c>
      <c r="D10746" s="136">
        <f t="shared" si="501"/>
        <v>47</v>
      </c>
      <c r="E10746" s="136">
        <f t="shared" si="503"/>
        <v>22</v>
      </c>
      <c r="F10746" s="137" t="s">
        <v>24</v>
      </c>
      <c r="G10746" s="128" t="str">
        <f>VLOOKUP(source[[#This Row],[lending_product_transform]],[3]Mapping!$B$4:$C$37,2,0)</f>
        <v>[Cake] - Cashloan</v>
      </c>
      <c r="H10746" s="128" t="str">
        <f>VLOOKUP(source[[#This Row],[lending_product_transform]],[3]Mapping!$B$3:$D$37,3,0)</f>
        <v>cashloan</v>
      </c>
      <c r="I10746" s="137">
        <v>2176320000</v>
      </c>
    </row>
    <row r="10747" spans="1:9" x14ac:dyDescent="0.2">
      <c r="A10747" s="134">
        <v>45984</v>
      </c>
      <c r="B10747" s="135">
        <f>YEAR(source[[#This Row],[report_date]])</f>
        <v>2025</v>
      </c>
      <c r="C10747" s="128">
        <f t="shared" si="502"/>
        <v>11</v>
      </c>
      <c r="D10747" s="136">
        <f t="shared" si="501"/>
        <v>47</v>
      </c>
      <c r="E10747" s="136">
        <f t="shared" si="503"/>
        <v>23</v>
      </c>
      <c r="F10747" s="137" t="s">
        <v>24</v>
      </c>
      <c r="G10747" s="128" t="str">
        <f>VLOOKUP(source[[#This Row],[lending_product_transform]],[3]Mapping!$B$4:$C$37,2,0)</f>
        <v>[Cake] - Cashloan</v>
      </c>
      <c r="H10747" s="128" t="str">
        <f>VLOOKUP(source[[#This Row],[lending_product_transform]],[3]Mapping!$B$3:$D$37,3,0)</f>
        <v>cashloan</v>
      </c>
      <c r="I10747" s="137">
        <v>173600000</v>
      </c>
    </row>
    <row r="10748" spans="1:9" x14ac:dyDescent="0.2">
      <c r="A10748" s="134">
        <v>45984</v>
      </c>
      <c r="B10748" s="135">
        <f>YEAR(source[[#This Row],[report_date]])</f>
        <v>2025</v>
      </c>
      <c r="C10748" s="128">
        <f t="shared" si="502"/>
        <v>11</v>
      </c>
      <c r="D10748" s="136">
        <f t="shared" si="501"/>
        <v>47</v>
      </c>
      <c r="E10748" s="136">
        <f t="shared" si="503"/>
        <v>23</v>
      </c>
      <c r="F10748" s="137" t="s">
        <v>24</v>
      </c>
      <c r="G10748" s="128" t="str">
        <f>VLOOKUP(source[[#This Row],[lending_product_transform]],[3]Mapping!$B$4:$C$37,2,0)</f>
        <v>[Cake] - Cashloan</v>
      </c>
      <c r="H10748" s="128" t="str">
        <f>VLOOKUP(source[[#This Row],[lending_product_transform]],[3]Mapping!$B$3:$D$37,3,0)</f>
        <v>cashloan</v>
      </c>
      <c r="I10748" s="137">
        <v>255731252</v>
      </c>
    </row>
    <row r="10749" spans="1:9" x14ac:dyDescent="0.2">
      <c r="A10749" s="134">
        <v>45984</v>
      </c>
      <c r="B10749" s="135">
        <f>YEAR(source[[#This Row],[report_date]])</f>
        <v>2025</v>
      </c>
      <c r="C10749" s="128">
        <f t="shared" si="502"/>
        <v>11</v>
      </c>
      <c r="D10749" s="136">
        <f t="shared" si="501"/>
        <v>47</v>
      </c>
      <c r="E10749" s="136">
        <f t="shared" si="503"/>
        <v>23</v>
      </c>
      <c r="F10749" s="137" t="s">
        <v>24</v>
      </c>
      <c r="G10749" s="128" t="str">
        <f>VLOOKUP(source[[#This Row],[lending_product_transform]],[3]Mapping!$B$4:$C$37,2,0)</f>
        <v>[Cake] - Cashloan</v>
      </c>
      <c r="H10749" s="128" t="str">
        <f>VLOOKUP(source[[#This Row],[lending_product_transform]],[3]Mapping!$B$3:$D$37,3,0)</f>
        <v>cashloan</v>
      </c>
      <c r="I10749" s="137">
        <v>17484070000</v>
      </c>
    </row>
    <row r="10750" spans="1:9" x14ac:dyDescent="0.2">
      <c r="A10750" s="134">
        <v>45984</v>
      </c>
      <c r="B10750" s="135">
        <f>YEAR(source[[#This Row],[report_date]])</f>
        <v>2025</v>
      </c>
      <c r="C10750" s="128">
        <f t="shared" si="502"/>
        <v>11</v>
      </c>
      <c r="D10750" s="136">
        <f t="shared" si="501"/>
        <v>47</v>
      </c>
      <c r="E10750" s="136">
        <f t="shared" si="503"/>
        <v>23</v>
      </c>
      <c r="F10750" s="137" t="s">
        <v>24</v>
      </c>
      <c r="G10750" s="128" t="str">
        <f>VLOOKUP(source[[#This Row],[lending_product_transform]],[3]Mapping!$B$4:$C$37,2,0)</f>
        <v>[Cake] - Cashloan</v>
      </c>
      <c r="H10750" s="128" t="str">
        <f>VLOOKUP(source[[#This Row],[lending_product_transform]],[3]Mapping!$B$3:$D$37,3,0)</f>
        <v>cashloan</v>
      </c>
      <c r="I10750" s="137">
        <v>1674844734</v>
      </c>
    </row>
    <row r="10751" spans="1:9" x14ac:dyDescent="0.2">
      <c r="A10751" s="134">
        <v>45984</v>
      </c>
      <c r="B10751" s="135">
        <f>YEAR(source[[#This Row],[report_date]])</f>
        <v>2025</v>
      </c>
      <c r="C10751" s="128">
        <f t="shared" si="502"/>
        <v>11</v>
      </c>
      <c r="D10751" s="136">
        <f t="shared" si="501"/>
        <v>47</v>
      </c>
      <c r="E10751" s="136">
        <f t="shared" si="503"/>
        <v>23</v>
      </c>
      <c r="F10751" s="137" t="s">
        <v>24</v>
      </c>
      <c r="G10751" s="128" t="str">
        <f>VLOOKUP(source[[#This Row],[lending_product_transform]],[3]Mapping!$B$4:$C$37,2,0)</f>
        <v>[Cake] - Cashloan</v>
      </c>
      <c r="H10751" s="128" t="str">
        <f>VLOOKUP(source[[#This Row],[lending_product_transform]],[3]Mapping!$B$3:$D$37,3,0)</f>
        <v>cashloan</v>
      </c>
      <c r="I10751" s="137">
        <v>7967808000</v>
      </c>
    </row>
    <row r="10752" spans="1:9" x14ac:dyDescent="0.2">
      <c r="A10752" s="134">
        <v>45984</v>
      </c>
      <c r="B10752" s="135">
        <f>YEAR(source[[#This Row],[report_date]])</f>
        <v>2025</v>
      </c>
      <c r="C10752" s="128">
        <f t="shared" si="502"/>
        <v>11</v>
      </c>
      <c r="D10752" s="136">
        <f t="shared" si="501"/>
        <v>47</v>
      </c>
      <c r="E10752" s="136">
        <f t="shared" si="503"/>
        <v>23</v>
      </c>
      <c r="F10752" s="137" t="s">
        <v>24</v>
      </c>
      <c r="G10752" s="128" t="str">
        <f>VLOOKUP(source[[#This Row],[lending_product_transform]],[3]Mapping!$B$4:$C$37,2,0)</f>
        <v>[Cake] - Cashloan</v>
      </c>
      <c r="H10752" s="128" t="str">
        <f>VLOOKUP(source[[#This Row],[lending_product_transform]],[3]Mapping!$B$3:$D$37,3,0)</f>
        <v>cashloan</v>
      </c>
      <c r="I10752" s="137">
        <v>9340676</v>
      </c>
    </row>
    <row r="10753" spans="1:9" x14ac:dyDescent="0.2">
      <c r="A10753" s="134">
        <v>45984</v>
      </c>
      <c r="B10753" s="135">
        <f>YEAR(source[[#This Row],[report_date]])</f>
        <v>2025</v>
      </c>
      <c r="C10753" s="128">
        <f t="shared" si="502"/>
        <v>11</v>
      </c>
      <c r="D10753" s="136">
        <f t="shared" si="501"/>
        <v>47</v>
      </c>
      <c r="E10753" s="136">
        <f t="shared" si="503"/>
        <v>23</v>
      </c>
      <c r="F10753" s="137" t="s">
        <v>24</v>
      </c>
      <c r="G10753" s="128" t="str">
        <f>VLOOKUP(source[[#This Row],[lending_product_transform]],[3]Mapping!$B$4:$C$37,2,0)</f>
        <v>[Cake] - Cashloan</v>
      </c>
      <c r="H10753" s="128" t="str">
        <f>VLOOKUP(source[[#This Row],[lending_product_transform]],[3]Mapping!$B$3:$D$37,3,0)</f>
        <v>cashloan</v>
      </c>
      <c r="I10753" s="137">
        <v>3932610000</v>
      </c>
    </row>
    <row r="10754" spans="1:9" x14ac:dyDescent="0.2">
      <c r="A10754" s="134">
        <v>45984</v>
      </c>
      <c r="B10754" s="135">
        <f>YEAR(source[[#This Row],[report_date]])</f>
        <v>2025</v>
      </c>
      <c r="C10754" s="128">
        <f t="shared" si="502"/>
        <v>11</v>
      </c>
      <c r="D10754" s="136">
        <f t="shared" si="501"/>
        <v>47</v>
      </c>
      <c r="E10754" s="136">
        <f t="shared" si="503"/>
        <v>23</v>
      </c>
      <c r="F10754" s="137" t="s">
        <v>24</v>
      </c>
      <c r="G10754" s="128" t="str">
        <f>VLOOKUP(source[[#This Row],[lending_product_transform]],[3]Mapping!$B$4:$C$37,2,0)</f>
        <v>[Cake] - Cashloan</v>
      </c>
      <c r="H10754" s="128" t="str">
        <f>VLOOKUP(source[[#This Row],[lending_product_transform]],[3]Mapping!$B$3:$D$37,3,0)</f>
        <v>cashloan</v>
      </c>
      <c r="I10754" s="137">
        <v>21493848</v>
      </c>
    </row>
    <row r="10755" spans="1:9" x14ac:dyDescent="0.2">
      <c r="A10755" s="134">
        <v>45984</v>
      </c>
      <c r="B10755" s="135">
        <f>YEAR(source[[#This Row],[report_date]])</f>
        <v>2025</v>
      </c>
      <c r="C10755" s="128">
        <f t="shared" si="502"/>
        <v>11</v>
      </c>
      <c r="D10755" s="136">
        <f t="shared" ref="D10755:D10818" si="504">WEEKNUM(A10755,2)</f>
        <v>47</v>
      </c>
      <c r="E10755" s="136">
        <f t="shared" si="503"/>
        <v>23</v>
      </c>
      <c r="F10755" s="137" t="s">
        <v>24</v>
      </c>
      <c r="G10755" s="128" t="str">
        <f>VLOOKUP(source[[#This Row],[lending_product_transform]],[3]Mapping!$B$4:$C$37,2,0)</f>
        <v>[Cake] - Cashloan</v>
      </c>
      <c r="H10755" s="128" t="str">
        <f>VLOOKUP(source[[#This Row],[lending_product_transform]],[3]Mapping!$B$3:$D$37,3,0)</f>
        <v>cashloan</v>
      </c>
      <c r="I10755" s="137">
        <v>648222564</v>
      </c>
    </row>
    <row r="10756" spans="1:9" x14ac:dyDescent="0.2">
      <c r="A10756" s="134">
        <v>45984</v>
      </c>
      <c r="B10756" s="135">
        <f>YEAR(source[[#This Row],[report_date]])</f>
        <v>2025</v>
      </c>
      <c r="C10756" s="128">
        <f t="shared" si="502"/>
        <v>11</v>
      </c>
      <c r="D10756" s="136">
        <f t="shared" si="504"/>
        <v>47</v>
      </c>
      <c r="E10756" s="136">
        <f t="shared" si="503"/>
        <v>23</v>
      </c>
      <c r="F10756" s="137" t="s">
        <v>24</v>
      </c>
      <c r="G10756" s="128" t="str">
        <f>VLOOKUP(source[[#This Row],[lending_product_transform]],[3]Mapping!$B$4:$C$37,2,0)</f>
        <v>[Cake] - Cashloan</v>
      </c>
      <c r="H10756" s="128" t="str">
        <f>VLOOKUP(source[[#This Row],[lending_product_transform]],[3]Mapping!$B$3:$D$37,3,0)</f>
        <v>cashloan</v>
      </c>
      <c r="I10756" s="137">
        <v>0</v>
      </c>
    </row>
    <row r="10757" spans="1:9" x14ac:dyDescent="0.2">
      <c r="A10757" s="134">
        <v>45984</v>
      </c>
      <c r="B10757" s="135">
        <f>YEAR(source[[#This Row],[report_date]])</f>
        <v>2025</v>
      </c>
      <c r="C10757" s="128">
        <f t="shared" si="502"/>
        <v>11</v>
      </c>
      <c r="D10757" s="136">
        <f t="shared" si="504"/>
        <v>47</v>
      </c>
      <c r="E10757" s="136">
        <f t="shared" si="503"/>
        <v>23</v>
      </c>
      <c r="F10757" s="137" t="s">
        <v>24</v>
      </c>
      <c r="G10757" s="128" t="str">
        <f>VLOOKUP(source[[#This Row],[lending_product_transform]],[3]Mapping!$B$4:$C$37,2,0)</f>
        <v>[Cake] - Cashloan</v>
      </c>
      <c r="H10757" s="128" t="str">
        <f>VLOOKUP(source[[#This Row],[lending_product_transform]],[3]Mapping!$B$3:$D$37,3,0)</f>
        <v>cashloan</v>
      </c>
      <c r="I10757" s="137">
        <v>362050000</v>
      </c>
    </row>
    <row r="10758" spans="1:9" x14ac:dyDescent="0.2">
      <c r="A10758" s="134">
        <v>45984</v>
      </c>
      <c r="B10758" s="135">
        <f>YEAR(source[[#This Row],[report_date]])</f>
        <v>2025</v>
      </c>
      <c r="C10758" s="128">
        <f t="shared" si="502"/>
        <v>11</v>
      </c>
      <c r="D10758" s="136">
        <f t="shared" si="504"/>
        <v>47</v>
      </c>
      <c r="E10758" s="136">
        <f t="shared" si="503"/>
        <v>23</v>
      </c>
      <c r="F10758" s="137" t="s">
        <v>24</v>
      </c>
      <c r="G10758" s="128" t="str">
        <f>VLOOKUP(source[[#This Row],[lending_product_transform]],[3]Mapping!$B$4:$C$37,2,0)</f>
        <v>[Cake] - Cashloan</v>
      </c>
      <c r="H10758" s="128" t="str">
        <f>VLOOKUP(source[[#This Row],[lending_product_transform]],[3]Mapping!$B$3:$D$37,3,0)</f>
        <v>cashloan</v>
      </c>
      <c r="I10758" s="137">
        <v>14433130000</v>
      </c>
    </row>
    <row r="10759" spans="1:9" x14ac:dyDescent="0.2">
      <c r="A10759" s="134">
        <v>45984</v>
      </c>
      <c r="B10759" s="135">
        <f>YEAR(source[[#This Row],[report_date]])</f>
        <v>2025</v>
      </c>
      <c r="C10759" s="128">
        <f t="shared" si="502"/>
        <v>11</v>
      </c>
      <c r="D10759" s="136">
        <f t="shared" si="504"/>
        <v>47</v>
      </c>
      <c r="E10759" s="136">
        <f t="shared" si="503"/>
        <v>23</v>
      </c>
      <c r="F10759" s="137" t="s">
        <v>24</v>
      </c>
      <c r="G10759" s="128" t="str">
        <f>VLOOKUP(source[[#This Row],[lending_product_transform]],[3]Mapping!$B$4:$C$37,2,0)</f>
        <v>[Cake] - Cashloan</v>
      </c>
      <c r="H10759" s="128" t="str">
        <f>VLOOKUP(source[[#This Row],[lending_product_transform]],[3]Mapping!$B$3:$D$37,3,0)</f>
        <v>cashloan</v>
      </c>
      <c r="I10759" s="137">
        <v>0</v>
      </c>
    </row>
    <row r="10760" spans="1:9" x14ac:dyDescent="0.2">
      <c r="A10760" s="134">
        <v>45984</v>
      </c>
      <c r="B10760" s="135">
        <f>YEAR(source[[#This Row],[report_date]])</f>
        <v>2025</v>
      </c>
      <c r="C10760" s="128">
        <f t="shared" si="502"/>
        <v>11</v>
      </c>
      <c r="D10760" s="136">
        <f t="shared" si="504"/>
        <v>47</v>
      </c>
      <c r="E10760" s="136">
        <f t="shared" si="503"/>
        <v>23</v>
      </c>
      <c r="F10760" s="137" t="s">
        <v>24</v>
      </c>
      <c r="G10760" s="128" t="str">
        <f>VLOOKUP(source[[#This Row],[lending_product_transform]],[3]Mapping!$B$4:$C$37,2,0)</f>
        <v>[Cake] - Cashloan</v>
      </c>
      <c r="H10760" s="128" t="str">
        <f>VLOOKUP(source[[#This Row],[lending_product_transform]],[3]Mapping!$B$3:$D$37,3,0)</f>
        <v>cashloan</v>
      </c>
      <c r="I10760" s="137">
        <v>0</v>
      </c>
    </row>
    <row r="10761" spans="1:9" x14ac:dyDescent="0.2">
      <c r="A10761" s="134">
        <v>45984</v>
      </c>
      <c r="B10761" s="135">
        <f>YEAR(source[[#This Row],[report_date]])</f>
        <v>2025</v>
      </c>
      <c r="C10761" s="128">
        <f t="shared" si="502"/>
        <v>11</v>
      </c>
      <c r="D10761" s="136">
        <f t="shared" si="504"/>
        <v>47</v>
      </c>
      <c r="E10761" s="136">
        <f t="shared" si="503"/>
        <v>23</v>
      </c>
      <c r="F10761" s="137" t="s">
        <v>24</v>
      </c>
      <c r="G10761" s="128" t="str">
        <f>VLOOKUP(source[[#This Row],[lending_product_transform]],[3]Mapping!$B$4:$C$37,2,0)</f>
        <v>[Cake] - Cashloan</v>
      </c>
      <c r="H10761" s="128" t="str">
        <f>VLOOKUP(source[[#This Row],[lending_product_transform]],[3]Mapping!$B$3:$D$37,3,0)</f>
        <v>cashloan</v>
      </c>
      <c r="I10761" s="137">
        <v>0</v>
      </c>
    </row>
    <row r="10762" spans="1:9" x14ac:dyDescent="0.2">
      <c r="A10762" s="134">
        <v>45984</v>
      </c>
      <c r="B10762" s="135">
        <f>YEAR(source[[#This Row],[report_date]])</f>
        <v>2025</v>
      </c>
      <c r="C10762" s="128">
        <f t="shared" si="502"/>
        <v>11</v>
      </c>
      <c r="D10762" s="136">
        <f t="shared" si="504"/>
        <v>47</v>
      </c>
      <c r="E10762" s="136">
        <f t="shared" si="503"/>
        <v>23</v>
      </c>
      <c r="F10762" s="137" t="s">
        <v>24</v>
      </c>
      <c r="G10762" s="128" t="str">
        <f>VLOOKUP(source[[#This Row],[lending_product_transform]],[3]Mapping!$B$4:$C$37,2,0)</f>
        <v>[Cake] - Cashloan</v>
      </c>
      <c r="H10762" s="128" t="str">
        <f>VLOOKUP(source[[#This Row],[lending_product_transform]],[3]Mapping!$B$3:$D$37,3,0)</f>
        <v>cashloan</v>
      </c>
      <c r="I10762" s="137">
        <v>0</v>
      </c>
    </row>
    <row r="10763" spans="1:9" x14ac:dyDescent="0.2">
      <c r="A10763" s="134">
        <v>45984</v>
      </c>
      <c r="B10763" s="135">
        <f>YEAR(source[[#This Row],[report_date]])</f>
        <v>2025</v>
      </c>
      <c r="C10763" s="128">
        <f t="shared" si="502"/>
        <v>11</v>
      </c>
      <c r="D10763" s="136">
        <f t="shared" si="504"/>
        <v>47</v>
      </c>
      <c r="E10763" s="136">
        <f t="shared" si="503"/>
        <v>23</v>
      </c>
      <c r="F10763" s="137" t="s">
        <v>24</v>
      </c>
      <c r="G10763" s="128" t="str">
        <f>VLOOKUP(source[[#This Row],[lending_product_transform]],[3]Mapping!$B$4:$C$37,2,0)</f>
        <v>[Cake] - Cashloan</v>
      </c>
      <c r="H10763" s="128" t="str">
        <f>VLOOKUP(source[[#This Row],[lending_product_transform]],[3]Mapping!$B$3:$D$37,3,0)</f>
        <v>cashloan</v>
      </c>
      <c r="I10763" s="137">
        <v>8137152000</v>
      </c>
    </row>
    <row r="10764" spans="1:9" x14ac:dyDescent="0.2">
      <c r="A10764" s="134">
        <v>45984</v>
      </c>
      <c r="B10764" s="135">
        <f>YEAR(source[[#This Row],[report_date]])</f>
        <v>2025</v>
      </c>
      <c r="C10764" s="128">
        <f t="shared" si="502"/>
        <v>11</v>
      </c>
      <c r="D10764" s="136">
        <f t="shared" si="504"/>
        <v>47</v>
      </c>
      <c r="E10764" s="136">
        <f t="shared" si="503"/>
        <v>23</v>
      </c>
      <c r="F10764" s="137" t="s">
        <v>24</v>
      </c>
      <c r="G10764" s="128" t="str">
        <f>VLOOKUP(source[[#This Row],[lending_product_transform]],[3]Mapping!$B$4:$C$37,2,0)</f>
        <v>[Cake] - Cashloan</v>
      </c>
      <c r="H10764" s="128" t="str">
        <f>VLOOKUP(source[[#This Row],[lending_product_transform]],[3]Mapping!$B$3:$D$37,3,0)</f>
        <v>cashloan</v>
      </c>
      <c r="I10764" s="137">
        <v>127618857</v>
      </c>
    </row>
    <row r="10765" spans="1:9" x14ac:dyDescent="0.2">
      <c r="A10765" s="134">
        <v>45984</v>
      </c>
      <c r="B10765" s="135">
        <f>YEAR(source[[#This Row],[report_date]])</f>
        <v>2025</v>
      </c>
      <c r="C10765" s="128">
        <f t="shared" si="502"/>
        <v>11</v>
      </c>
      <c r="D10765" s="136">
        <f t="shared" si="504"/>
        <v>47</v>
      </c>
      <c r="E10765" s="136">
        <f t="shared" si="503"/>
        <v>23</v>
      </c>
      <c r="F10765" s="137" t="s">
        <v>24</v>
      </c>
      <c r="G10765" s="128" t="str">
        <f>VLOOKUP(source[[#This Row],[lending_product_transform]],[3]Mapping!$B$4:$C$37,2,0)</f>
        <v>[Cake] - Cashloan</v>
      </c>
      <c r="H10765" s="128" t="str">
        <f>VLOOKUP(source[[#This Row],[lending_product_transform]],[3]Mapping!$B$3:$D$37,3,0)</f>
        <v>cashloan</v>
      </c>
      <c r="I10765" s="137">
        <v>41000000</v>
      </c>
    </row>
    <row r="10766" spans="1:9" x14ac:dyDescent="0.2">
      <c r="A10766" s="134">
        <v>45984</v>
      </c>
      <c r="B10766" s="135">
        <f>YEAR(source[[#This Row],[report_date]])</f>
        <v>2025</v>
      </c>
      <c r="C10766" s="128">
        <f t="shared" si="502"/>
        <v>11</v>
      </c>
      <c r="D10766" s="136">
        <f t="shared" si="504"/>
        <v>47</v>
      </c>
      <c r="E10766" s="136">
        <f t="shared" si="503"/>
        <v>23</v>
      </c>
      <c r="F10766" s="137" t="s">
        <v>24</v>
      </c>
      <c r="G10766" s="128" t="str">
        <f>VLOOKUP(source[[#This Row],[lending_product_transform]],[3]Mapping!$B$4:$C$37,2,0)</f>
        <v>[Cake] - Cashloan</v>
      </c>
      <c r="H10766" s="128" t="str">
        <f>VLOOKUP(source[[#This Row],[lending_product_transform]],[3]Mapping!$B$3:$D$37,3,0)</f>
        <v>cashloan</v>
      </c>
      <c r="I10766" s="137">
        <v>31000000</v>
      </c>
    </row>
    <row r="10767" spans="1:9" x14ac:dyDescent="0.2">
      <c r="A10767" s="134">
        <v>45984</v>
      </c>
      <c r="B10767" s="135">
        <f>YEAR(source[[#This Row],[report_date]])</f>
        <v>2025</v>
      </c>
      <c r="C10767" s="128">
        <f t="shared" si="502"/>
        <v>11</v>
      </c>
      <c r="D10767" s="136">
        <f t="shared" si="504"/>
        <v>47</v>
      </c>
      <c r="E10767" s="136">
        <f t="shared" si="503"/>
        <v>23</v>
      </c>
      <c r="F10767" s="137" t="s">
        <v>24</v>
      </c>
      <c r="G10767" s="128" t="str">
        <f>VLOOKUP(source[[#This Row],[lending_product_transform]],[3]Mapping!$B$4:$C$37,2,0)</f>
        <v>[Cake] - Cashloan</v>
      </c>
      <c r="H10767" s="128" t="str">
        <f>VLOOKUP(source[[#This Row],[lending_product_transform]],[3]Mapping!$B$3:$D$37,3,0)</f>
        <v>cashloan</v>
      </c>
      <c r="I10767" s="137">
        <v>532520000</v>
      </c>
    </row>
    <row r="10768" spans="1:9" x14ac:dyDescent="0.2">
      <c r="A10768" s="134">
        <v>45984</v>
      </c>
      <c r="B10768" s="135">
        <f>YEAR(source[[#This Row],[report_date]])</f>
        <v>2025</v>
      </c>
      <c r="C10768" s="128">
        <f t="shared" si="502"/>
        <v>11</v>
      </c>
      <c r="D10768" s="136">
        <f t="shared" si="504"/>
        <v>47</v>
      </c>
      <c r="E10768" s="136">
        <f t="shared" si="503"/>
        <v>23</v>
      </c>
      <c r="F10768" s="137" t="s">
        <v>24</v>
      </c>
      <c r="G10768" s="128" t="str">
        <f>VLOOKUP(source[[#This Row],[lending_product_transform]],[3]Mapping!$B$4:$C$37,2,0)</f>
        <v>[Cake] - Cashloan</v>
      </c>
      <c r="H10768" s="128" t="str">
        <f>VLOOKUP(source[[#This Row],[lending_product_transform]],[3]Mapping!$B$3:$D$37,3,0)</f>
        <v>cashloan</v>
      </c>
      <c r="I10768" s="137">
        <v>231876000</v>
      </c>
    </row>
    <row r="10769" spans="1:9" x14ac:dyDescent="0.2">
      <c r="A10769" s="134">
        <v>45984</v>
      </c>
      <c r="B10769" s="135">
        <f>YEAR(source[[#This Row],[report_date]])</f>
        <v>2025</v>
      </c>
      <c r="C10769" s="128">
        <f t="shared" si="502"/>
        <v>11</v>
      </c>
      <c r="D10769" s="136">
        <f t="shared" si="504"/>
        <v>47</v>
      </c>
      <c r="E10769" s="136">
        <f t="shared" si="503"/>
        <v>23</v>
      </c>
      <c r="F10769" s="137" t="s">
        <v>24</v>
      </c>
      <c r="G10769" s="128" t="str">
        <f>VLOOKUP(source[[#This Row],[lending_product_transform]],[3]Mapping!$B$4:$C$37,2,0)</f>
        <v>[Cake] - Cashloan</v>
      </c>
      <c r="H10769" s="128" t="str">
        <f>VLOOKUP(source[[#This Row],[lending_product_transform]],[3]Mapping!$B$3:$D$37,3,0)</f>
        <v>cashloan</v>
      </c>
      <c r="I10769" s="137">
        <v>354693671</v>
      </c>
    </row>
    <row r="10770" spans="1:9" x14ac:dyDescent="0.2">
      <c r="A10770" s="134">
        <v>45984</v>
      </c>
      <c r="B10770" s="135">
        <f>YEAR(source[[#This Row],[report_date]])</f>
        <v>2025</v>
      </c>
      <c r="C10770" s="128">
        <f t="shared" si="502"/>
        <v>11</v>
      </c>
      <c r="D10770" s="136">
        <f t="shared" si="504"/>
        <v>47</v>
      </c>
      <c r="E10770" s="136">
        <f t="shared" si="503"/>
        <v>23</v>
      </c>
      <c r="F10770" s="137" t="s">
        <v>24</v>
      </c>
      <c r="G10770" s="128" t="str">
        <f>VLOOKUP(source[[#This Row],[lending_product_transform]],[3]Mapping!$B$4:$C$37,2,0)</f>
        <v>[Cake] - Cashloan</v>
      </c>
      <c r="H10770" s="128" t="str">
        <f>VLOOKUP(source[[#This Row],[lending_product_transform]],[3]Mapping!$B$3:$D$37,3,0)</f>
        <v>cashloan</v>
      </c>
      <c r="I10770" s="137">
        <v>2220790000</v>
      </c>
    </row>
    <row r="10771" spans="1:9" x14ac:dyDescent="0.2">
      <c r="A10771" s="134">
        <v>45985</v>
      </c>
      <c r="B10771" s="135">
        <f>YEAR(source[[#This Row],[report_date]])</f>
        <v>2025</v>
      </c>
      <c r="C10771" s="128">
        <f t="shared" si="502"/>
        <v>11</v>
      </c>
      <c r="D10771" s="136">
        <f t="shared" si="504"/>
        <v>48</v>
      </c>
      <c r="E10771" s="136">
        <f t="shared" si="503"/>
        <v>24</v>
      </c>
      <c r="F10771" s="137" t="s">
        <v>24</v>
      </c>
      <c r="G10771" s="128" t="str">
        <f>VLOOKUP(source[[#This Row],[lending_product_transform]],[3]Mapping!$B$4:$C$37,2,0)</f>
        <v>[Cake] - Cashloan</v>
      </c>
      <c r="H10771" s="128" t="str">
        <f>VLOOKUP(source[[#This Row],[lending_product_transform]],[3]Mapping!$B$3:$D$37,3,0)</f>
        <v>cashloan</v>
      </c>
      <c r="I10771" s="135">
        <v>105050000</v>
      </c>
    </row>
    <row r="10772" spans="1:9" x14ac:dyDescent="0.2">
      <c r="A10772" s="134">
        <v>45985</v>
      </c>
      <c r="B10772" s="135">
        <f>YEAR(source[[#This Row],[report_date]])</f>
        <v>2025</v>
      </c>
      <c r="C10772" s="128">
        <f t="shared" si="502"/>
        <v>11</v>
      </c>
      <c r="D10772" s="136">
        <f t="shared" si="504"/>
        <v>48</v>
      </c>
      <c r="E10772" s="136">
        <f t="shared" si="503"/>
        <v>24</v>
      </c>
      <c r="F10772" s="137" t="s">
        <v>24</v>
      </c>
      <c r="G10772" s="128" t="str">
        <f>VLOOKUP(source[[#This Row],[lending_product_transform]],[3]Mapping!$B$4:$C$37,2,0)</f>
        <v>[Cake] - Cashloan</v>
      </c>
      <c r="H10772" s="128" t="str">
        <f>VLOOKUP(source[[#This Row],[lending_product_transform]],[3]Mapping!$B$3:$D$37,3,0)</f>
        <v>cashloan</v>
      </c>
      <c r="I10772" s="135">
        <v>251176291</v>
      </c>
    </row>
    <row r="10773" spans="1:9" x14ac:dyDescent="0.2">
      <c r="A10773" s="134">
        <v>45985</v>
      </c>
      <c r="B10773" s="135">
        <f>YEAR(source[[#This Row],[report_date]])</f>
        <v>2025</v>
      </c>
      <c r="C10773" s="128">
        <f t="shared" si="502"/>
        <v>11</v>
      </c>
      <c r="D10773" s="136">
        <f t="shared" si="504"/>
        <v>48</v>
      </c>
      <c r="E10773" s="136">
        <f t="shared" si="503"/>
        <v>24</v>
      </c>
      <c r="F10773" s="137" t="s">
        <v>24</v>
      </c>
      <c r="G10773" s="128" t="str">
        <f>VLOOKUP(source[[#This Row],[lending_product_transform]],[3]Mapping!$B$4:$C$37,2,0)</f>
        <v>[Cake] - Cashloan</v>
      </c>
      <c r="H10773" s="128" t="str">
        <f>VLOOKUP(source[[#This Row],[lending_product_transform]],[3]Mapping!$B$3:$D$37,3,0)</f>
        <v>cashloan</v>
      </c>
      <c r="I10773" s="135">
        <v>26088360000</v>
      </c>
    </row>
    <row r="10774" spans="1:9" x14ac:dyDescent="0.2">
      <c r="A10774" s="134">
        <v>45985</v>
      </c>
      <c r="B10774" s="135">
        <f>YEAR(source[[#This Row],[report_date]])</f>
        <v>2025</v>
      </c>
      <c r="C10774" s="128">
        <f t="shared" si="502"/>
        <v>11</v>
      </c>
      <c r="D10774" s="136">
        <f t="shared" si="504"/>
        <v>48</v>
      </c>
      <c r="E10774" s="136">
        <f t="shared" si="503"/>
        <v>24</v>
      </c>
      <c r="F10774" s="137" t="s">
        <v>24</v>
      </c>
      <c r="G10774" s="128" t="str">
        <f>VLOOKUP(source[[#This Row],[lending_product_transform]],[3]Mapping!$B$4:$C$37,2,0)</f>
        <v>[Cake] - Cashloan</v>
      </c>
      <c r="H10774" s="128" t="str">
        <f>VLOOKUP(source[[#This Row],[lending_product_transform]],[3]Mapping!$B$3:$D$37,3,0)</f>
        <v>cashloan</v>
      </c>
      <c r="I10774" s="135">
        <v>2416303165</v>
      </c>
    </row>
    <row r="10775" spans="1:9" x14ac:dyDescent="0.2">
      <c r="A10775" s="134">
        <v>45985</v>
      </c>
      <c r="B10775" s="135">
        <f>YEAR(source[[#This Row],[report_date]])</f>
        <v>2025</v>
      </c>
      <c r="C10775" s="128">
        <f t="shared" si="502"/>
        <v>11</v>
      </c>
      <c r="D10775" s="136">
        <f t="shared" si="504"/>
        <v>48</v>
      </c>
      <c r="E10775" s="136">
        <f t="shared" si="503"/>
        <v>24</v>
      </c>
      <c r="F10775" s="137" t="s">
        <v>24</v>
      </c>
      <c r="G10775" s="128" t="str">
        <f>VLOOKUP(source[[#This Row],[lending_product_transform]],[3]Mapping!$B$4:$C$37,2,0)</f>
        <v>[Cake] - Cashloan</v>
      </c>
      <c r="H10775" s="128" t="str">
        <f>VLOOKUP(source[[#This Row],[lending_product_transform]],[3]Mapping!$B$3:$D$37,3,0)</f>
        <v>cashloan</v>
      </c>
      <c r="I10775" s="135">
        <v>9322668000</v>
      </c>
    </row>
    <row r="10776" spans="1:9" x14ac:dyDescent="0.2">
      <c r="A10776" s="134">
        <v>45985</v>
      </c>
      <c r="B10776" s="135">
        <f>YEAR(source[[#This Row],[report_date]])</f>
        <v>2025</v>
      </c>
      <c r="C10776" s="128">
        <f t="shared" si="502"/>
        <v>11</v>
      </c>
      <c r="D10776" s="136">
        <f t="shared" si="504"/>
        <v>48</v>
      </c>
      <c r="E10776" s="136">
        <f t="shared" si="503"/>
        <v>24</v>
      </c>
      <c r="F10776" s="137" t="s">
        <v>24</v>
      </c>
      <c r="G10776" s="128" t="str">
        <f>VLOOKUP(source[[#This Row],[lending_product_transform]],[3]Mapping!$B$4:$C$37,2,0)</f>
        <v>[Cake] - Cashloan</v>
      </c>
      <c r="H10776" s="128" t="str">
        <f>VLOOKUP(source[[#This Row],[lending_product_transform]],[3]Mapping!$B$3:$D$37,3,0)</f>
        <v>cashloan</v>
      </c>
      <c r="I10776" s="135">
        <v>1855323</v>
      </c>
    </row>
    <row r="10777" spans="1:9" x14ac:dyDescent="0.2">
      <c r="A10777" s="134">
        <v>45985</v>
      </c>
      <c r="B10777" s="135">
        <f>YEAR(source[[#This Row],[report_date]])</f>
        <v>2025</v>
      </c>
      <c r="C10777" s="128">
        <f t="shared" si="502"/>
        <v>11</v>
      </c>
      <c r="D10777" s="136">
        <f t="shared" si="504"/>
        <v>48</v>
      </c>
      <c r="E10777" s="136">
        <f t="shared" si="503"/>
        <v>24</v>
      </c>
      <c r="F10777" s="137" t="s">
        <v>24</v>
      </c>
      <c r="G10777" s="128" t="str">
        <f>VLOOKUP(source[[#This Row],[lending_product_transform]],[3]Mapping!$B$4:$C$37,2,0)</f>
        <v>[Cake] - Cashloan</v>
      </c>
      <c r="H10777" s="128" t="str">
        <f>VLOOKUP(source[[#This Row],[lending_product_transform]],[3]Mapping!$B$3:$D$37,3,0)</f>
        <v>cashloan</v>
      </c>
      <c r="I10777" s="135">
        <v>3424320000</v>
      </c>
    </row>
    <row r="10778" spans="1:9" x14ac:dyDescent="0.2">
      <c r="A10778" s="134">
        <v>45985</v>
      </c>
      <c r="B10778" s="135">
        <f>YEAR(source[[#This Row],[report_date]])</f>
        <v>2025</v>
      </c>
      <c r="C10778" s="128">
        <f t="shared" si="502"/>
        <v>11</v>
      </c>
      <c r="D10778" s="136">
        <f t="shared" si="504"/>
        <v>48</v>
      </c>
      <c r="E10778" s="136">
        <f t="shared" si="503"/>
        <v>24</v>
      </c>
      <c r="F10778" s="137" t="s">
        <v>24</v>
      </c>
      <c r="G10778" s="128" t="str">
        <f>VLOOKUP(source[[#This Row],[lending_product_transform]],[3]Mapping!$B$4:$C$37,2,0)</f>
        <v>[Cake] - Cashloan</v>
      </c>
      <c r="H10778" s="128" t="str">
        <f>VLOOKUP(source[[#This Row],[lending_product_transform]],[3]Mapping!$B$3:$D$37,3,0)</f>
        <v>cashloan</v>
      </c>
      <c r="I10778" s="135">
        <v>36435411</v>
      </c>
    </row>
    <row r="10779" spans="1:9" x14ac:dyDescent="0.2">
      <c r="A10779" s="134">
        <v>45985</v>
      </c>
      <c r="B10779" s="135">
        <f>YEAR(source[[#This Row],[report_date]])</f>
        <v>2025</v>
      </c>
      <c r="C10779" s="128">
        <f t="shared" si="502"/>
        <v>11</v>
      </c>
      <c r="D10779" s="136">
        <f t="shared" si="504"/>
        <v>48</v>
      </c>
      <c r="E10779" s="136">
        <f t="shared" si="503"/>
        <v>24</v>
      </c>
      <c r="F10779" s="137" t="s">
        <v>24</v>
      </c>
      <c r="G10779" s="128" t="str">
        <f>VLOOKUP(source[[#This Row],[lending_product_transform]],[3]Mapping!$B$4:$C$37,2,0)</f>
        <v>[Cake] - Cashloan</v>
      </c>
      <c r="H10779" s="128" t="str">
        <f>VLOOKUP(source[[#This Row],[lending_product_transform]],[3]Mapping!$B$3:$D$37,3,0)</f>
        <v>cashloan</v>
      </c>
      <c r="I10779" s="135">
        <v>645299092</v>
      </c>
    </row>
    <row r="10780" spans="1:9" x14ac:dyDescent="0.2">
      <c r="A10780" s="134">
        <v>45985</v>
      </c>
      <c r="B10780" s="135">
        <f>YEAR(source[[#This Row],[report_date]])</f>
        <v>2025</v>
      </c>
      <c r="C10780" s="128">
        <f t="shared" si="502"/>
        <v>11</v>
      </c>
      <c r="D10780" s="136">
        <f t="shared" si="504"/>
        <v>48</v>
      </c>
      <c r="E10780" s="136">
        <f t="shared" si="503"/>
        <v>24</v>
      </c>
      <c r="F10780" s="137" t="s">
        <v>24</v>
      </c>
      <c r="G10780" s="128" t="str">
        <f>VLOOKUP(source[[#This Row],[lending_product_transform]],[3]Mapping!$B$4:$C$37,2,0)</f>
        <v>[Cake] - Cashloan</v>
      </c>
      <c r="H10780" s="128" t="str">
        <f>VLOOKUP(source[[#This Row],[lending_product_transform]],[3]Mapping!$B$3:$D$37,3,0)</f>
        <v>cashloan</v>
      </c>
      <c r="I10780" s="135">
        <v>0</v>
      </c>
    </row>
    <row r="10781" spans="1:9" x14ac:dyDescent="0.2">
      <c r="A10781" s="134">
        <v>45985</v>
      </c>
      <c r="B10781" s="135">
        <f>YEAR(source[[#This Row],[report_date]])</f>
        <v>2025</v>
      </c>
      <c r="C10781" s="128">
        <f t="shared" si="502"/>
        <v>11</v>
      </c>
      <c r="D10781" s="136">
        <f t="shared" si="504"/>
        <v>48</v>
      </c>
      <c r="E10781" s="136">
        <f t="shared" si="503"/>
        <v>24</v>
      </c>
      <c r="F10781" s="137" t="s">
        <v>24</v>
      </c>
      <c r="G10781" s="128" t="str">
        <f>VLOOKUP(source[[#This Row],[lending_product_transform]],[3]Mapping!$B$4:$C$37,2,0)</f>
        <v>[Cake] - Cashloan</v>
      </c>
      <c r="H10781" s="128" t="str">
        <f>VLOOKUP(source[[#This Row],[lending_product_transform]],[3]Mapping!$B$3:$D$37,3,0)</f>
        <v>cashloan</v>
      </c>
      <c r="I10781" s="135">
        <v>503850000</v>
      </c>
    </row>
    <row r="10782" spans="1:9" x14ac:dyDescent="0.2">
      <c r="A10782" s="134">
        <v>45985</v>
      </c>
      <c r="B10782" s="135">
        <f>YEAR(source[[#This Row],[report_date]])</f>
        <v>2025</v>
      </c>
      <c r="C10782" s="128">
        <f t="shared" si="502"/>
        <v>11</v>
      </c>
      <c r="D10782" s="136">
        <f t="shared" si="504"/>
        <v>48</v>
      </c>
      <c r="E10782" s="136">
        <f t="shared" si="503"/>
        <v>24</v>
      </c>
      <c r="F10782" s="137" t="s">
        <v>24</v>
      </c>
      <c r="G10782" s="128" t="str">
        <f>VLOOKUP(source[[#This Row],[lending_product_transform]],[3]Mapping!$B$4:$C$37,2,0)</f>
        <v>[Cake] - Cashloan</v>
      </c>
      <c r="H10782" s="128" t="str">
        <f>VLOOKUP(source[[#This Row],[lending_product_transform]],[3]Mapping!$B$3:$D$37,3,0)</f>
        <v>cashloan</v>
      </c>
      <c r="I10782" s="135">
        <v>15526090000</v>
      </c>
    </row>
    <row r="10783" spans="1:9" x14ac:dyDescent="0.2">
      <c r="A10783" s="134">
        <v>45985</v>
      </c>
      <c r="B10783" s="135">
        <f>YEAR(source[[#This Row],[report_date]])</f>
        <v>2025</v>
      </c>
      <c r="C10783" s="128">
        <f t="shared" si="502"/>
        <v>11</v>
      </c>
      <c r="D10783" s="136">
        <f t="shared" si="504"/>
        <v>48</v>
      </c>
      <c r="E10783" s="136">
        <f t="shared" si="503"/>
        <v>24</v>
      </c>
      <c r="F10783" s="137" t="s">
        <v>24</v>
      </c>
      <c r="G10783" s="128" t="str">
        <f>VLOOKUP(source[[#This Row],[lending_product_transform]],[3]Mapping!$B$4:$C$37,2,0)</f>
        <v>[Cake] - Cashloan</v>
      </c>
      <c r="H10783" s="128" t="str">
        <f>VLOOKUP(source[[#This Row],[lending_product_transform]],[3]Mapping!$B$3:$D$37,3,0)</f>
        <v>cashloan</v>
      </c>
      <c r="I10783" s="135">
        <v>0</v>
      </c>
    </row>
    <row r="10784" spans="1:9" x14ac:dyDescent="0.2">
      <c r="A10784" s="134">
        <v>45985</v>
      </c>
      <c r="B10784" s="135">
        <f>YEAR(source[[#This Row],[report_date]])</f>
        <v>2025</v>
      </c>
      <c r="C10784" s="128">
        <f t="shared" si="502"/>
        <v>11</v>
      </c>
      <c r="D10784" s="136">
        <f t="shared" si="504"/>
        <v>48</v>
      </c>
      <c r="E10784" s="136">
        <f t="shared" si="503"/>
        <v>24</v>
      </c>
      <c r="F10784" s="137" t="s">
        <v>24</v>
      </c>
      <c r="G10784" s="128" t="str">
        <f>VLOOKUP(source[[#This Row],[lending_product_transform]],[3]Mapping!$B$4:$C$37,2,0)</f>
        <v>[Cake] - Cashloan</v>
      </c>
      <c r="H10784" s="128" t="str">
        <f>VLOOKUP(source[[#This Row],[lending_product_transform]],[3]Mapping!$B$3:$D$37,3,0)</f>
        <v>cashloan</v>
      </c>
      <c r="I10784" s="135">
        <v>0</v>
      </c>
    </row>
    <row r="10785" spans="1:9" x14ac:dyDescent="0.2">
      <c r="A10785" s="134">
        <v>45985</v>
      </c>
      <c r="B10785" s="135">
        <f>YEAR(source[[#This Row],[report_date]])</f>
        <v>2025</v>
      </c>
      <c r="C10785" s="128">
        <f t="shared" si="502"/>
        <v>11</v>
      </c>
      <c r="D10785" s="136">
        <f t="shared" si="504"/>
        <v>48</v>
      </c>
      <c r="E10785" s="136">
        <f t="shared" si="503"/>
        <v>24</v>
      </c>
      <c r="F10785" s="137" t="s">
        <v>24</v>
      </c>
      <c r="G10785" s="128" t="str">
        <f>VLOOKUP(source[[#This Row],[lending_product_transform]],[3]Mapping!$B$4:$C$37,2,0)</f>
        <v>[Cake] - Cashloan</v>
      </c>
      <c r="H10785" s="128" t="str">
        <f>VLOOKUP(source[[#This Row],[lending_product_transform]],[3]Mapping!$B$3:$D$37,3,0)</f>
        <v>cashloan</v>
      </c>
      <c r="I10785" s="135">
        <v>0</v>
      </c>
    </row>
    <row r="10786" spans="1:9" x14ac:dyDescent="0.2">
      <c r="A10786" s="134">
        <v>45985</v>
      </c>
      <c r="B10786" s="135">
        <f>YEAR(source[[#This Row],[report_date]])</f>
        <v>2025</v>
      </c>
      <c r="C10786" s="128">
        <f t="shared" si="502"/>
        <v>11</v>
      </c>
      <c r="D10786" s="136">
        <f t="shared" si="504"/>
        <v>48</v>
      </c>
      <c r="E10786" s="136">
        <f t="shared" si="503"/>
        <v>24</v>
      </c>
      <c r="F10786" s="137" t="s">
        <v>24</v>
      </c>
      <c r="G10786" s="128" t="str">
        <f>VLOOKUP(source[[#This Row],[lending_product_transform]],[3]Mapping!$B$4:$C$37,2,0)</f>
        <v>[Cake] - Cashloan</v>
      </c>
      <c r="H10786" s="128" t="str">
        <f>VLOOKUP(source[[#This Row],[lending_product_transform]],[3]Mapping!$B$3:$D$37,3,0)</f>
        <v>cashloan</v>
      </c>
      <c r="I10786" s="135">
        <v>5000000</v>
      </c>
    </row>
    <row r="10787" spans="1:9" x14ac:dyDescent="0.2">
      <c r="A10787" s="134">
        <v>45985</v>
      </c>
      <c r="B10787" s="135">
        <f>YEAR(source[[#This Row],[report_date]])</f>
        <v>2025</v>
      </c>
      <c r="C10787" s="128">
        <f t="shared" si="502"/>
        <v>11</v>
      </c>
      <c r="D10787" s="136">
        <f t="shared" si="504"/>
        <v>48</v>
      </c>
      <c r="E10787" s="136">
        <f t="shared" si="503"/>
        <v>24</v>
      </c>
      <c r="F10787" s="137" t="s">
        <v>24</v>
      </c>
      <c r="G10787" s="128" t="str">
        <f>VLOOKUP(source[[#This Row],[lending_product_transform]],[3]Mapping!$B$4:$C$37,2,0)</f>
        <v>[Cake] - Cashloan</v>
      </c>
      <c r="H10787" s="128" t="str">
        <f>VLOOKUP(source[[#This Row],[lending_product_transform]],[3]Mapping!$B$3:$D$37,3,0)</f>
        <v>cashloan</v>
      </c>
      <c r="I10787" s="135">
        <v>7719732000</v>
      </c>
    </row>
    <row r="10788" spans="1:9" x14ac:dyDescent="0.2">
      <c r="A10788" s="134">
        <v>45985</v>
      </c>
      <c r="B10788" s="135">
        <f>YEAR(source[[#This Row],[report_date]])</f>
        <v>2025</v>
      </c>
      <c r="C10788" s="128">
        <f t="shared" si="502"/>
        <v>11</v>
      </c>
      <c r="D10788" s="136">
        <f t="shared" si="504"/>
        <v>48</v>
      </c>
      <c r="E10788" s="136">
        <f t="shared" si="503"/>
        <v>24</v>
      </c>
      <c r="F10788" s="137" t="s">
        <v>24</v>
      </c>
      <c r="G10788" s="128" t="str">
        <f>VLOOKUP(source[[#This Row],[lending_product_transform]],[3]Mapping!$B$4:$C$37,2,0)</f>
        <v>[Cake] - Cashloan</v>
      </c>
      <c r="H10788" s="128" t="str">
        <f>VLOOKUP(source[[#This Row],[lending_product_transform]],[3]Mapping!$B$3:$D$37,3,0)</f>
        <v>cashloan</v>
      </c>
      <c r="I10788" s="135">
        <v>164885762</v>
      </c>
    </row>
    <row r="10789" spans="1:9" x14ac:dyDescent="0.2">
      <c r="A10789" s="134">
        <v>45985</v>
      </c>
      <c r="B10789" s="135">
        <f>YEAR(source[[#This Row],[report_date]])</f>
        <v>2025</v>
      </c>
      <c r="C10789" s="128">
        <f t="shared" si="502"/>
        <v>11</v>
      </c>
      <c r="D10789" s="136">
        <f t="shared" si="504"/>
        <v>48</v>
      </c>
      <c r="E10789" s="136">
        <f t="shared" si="503"/>
        <v>24</v>
      </c>
      <c r="F10789" s="137" t="s">
        <v>24</v>
      </c>
      <c r="G10789" s="128" t="str">
        <f>VLOOKUP(source[[#This Row],[lending_product_transform]],[3]Mapping!$B$4:$C$37,2,0)</f>
        <v>[Cake] - Cashloan</v>
      </c>
      <c r="H10789" s="128" t="str">
        <f>VLOOKUP(source[[#This Row],[lending_product_transform]],[3]Mapping!$B$3:$D$37,3,0)</f>
        <v>cashloan</v>
      </c>
      <c r="I10789" s="135">
        <v>21000000</v>
      </c>
    </row>
    <row r="10790" spans="1:9" x14ac:dyDescent="0.2">
      <c r="A10790" s="134">
        <v>45985</v>
      </c>
      <c r="B10790" s="135">
        <f>YEAR(source[[#This Row],[report_date]])</f>
        <v>2025</v>
      </c>
      <c r="C10790" s="128">
        <f t="shared" si="502"/>
        <v>11</v>
      </c>
      <c r="D10790" s="136">
        <f t="shared" si="504"/>
        <v>48</v>
      </c>
      <c r="E10790" s="136">
        <f t="shared" si="503"/>
        <v>24</v>
      </c>
      <c r="F10790" s="137" t="s">
        <v>24</v>
      </c>
      <c r="G10790" s="128" t="str">
        <f>VLOOKUP(source[[#This Row],[lending_product_transform]],[3]Mapping!$B$4:$C$37,2,0)</f>
        <v>[Cake] - Cashloan</v>
      </c>
      <c r="H10790" s="128" t="str">
        <f>VLOOKUP(source[[#This Row],[lending_product_transform]],[3]Mapping!$B$3:$D$37,3,0)</f>
        <v>cashloan</v>
      </c>
      <c r="I10790" s="135">
        <v>78000000</v>
      </c>
    </row>
    <row r="10791" spans="1:9" x14ac:dyDescent="0.2">
      <c r="A10791" s="134">
        <v>45985</v>
      </c>
      <c r="B10791" s="135">
        <f>YEAR(source[[#This Row],[report_date]])</f>
        <v>2025</v>
      </c>
      <c r="C10791" s="128">
        <f t="shared" si="502"/>
        <v>11</v>
      </c>
      <c r="D10791" s="136">
        <f t="shared" si="504"/>
        <v>48</v>
      </c>
      <c r="E10791" s="136">
        <f t="shared" si="503"/>
        <v>24</v>
      </c>
      <c r="F10791" s="137" t="s">
        <v>24</v>
      </c>
      <c r="G10791" s="128" t="str">
        <f>VLOOKUP(source[[#This Row],[lending_product_transform]],[3]Mapping!$B$4:$C$37,2,0)</f>
        <v>[Cake] - Cashloan</v>
      </c>
      <c r="H10791" s="128" t="str">
        <f>VLOOKUP(source[[#This Row],[lending_product_transform]],[3]Mapping!$B$3:$D$37,3,0)</f>
        <v>cashloan</v>
      </c>
      <c r="I10791" s="135">
        <v>874980000</v>
      </c>
    </row>
    <row r="10792" spans="1:9" x14ac:dyDescent="0.2">
      <c r="A10792" s="134">
        <v>45985</v>
      </c>
      <c r="B10792" s="135">
        <f>YEAR(source[[#This Row],[report_date]])</f>
        <v>2025</v>
      </c>
      <c r="C10792" s="128">
        <f t="shared" si="502"/>
        <v>11</v>
      </c>
      <c r="D10792" s="136">
        <f t="shared" si="504"/>
        <v>48</v>
      </c>
      <c r="E10792" s="136">
        <f t="shared" si="503"/>
        <v>24</v>
      </c>
      <c r="F10792" s="137" t="s">
        <v>24</v>
      </c>
      <c r="G10792" s="128" t="str">
        <f>VLOOKUP(source[[#This Row],[lending_product_transform]],[3]Mapping!$B$4:$C$37,2,0)</f>
        <v>[Cake] - Cashloan</v>
      </c>
      <c r="H10792" s="128" t="str">
        <f>VLOOKUP(source[[#This Row],[lending_product_transform]],[3]Mapping!$B$3:$D$37,3,0)</f>
        <v>cashloan</v>
      </c>
      <c r="I10792" s="135">
        <v>258228000</v>
      </c>
    </row>
    <row r="10793" spans="1:9" x14ac:dyDescent="0.2">
      <c r="A10793" s="134">
        <v>45985</v>
      </c>
      <c r="B10793" s="135">
        <f>YEAR(source[[#This Row],[report_date]])</f>
        <v>2025</v>
      </c>
      <c r="C10793" s="128">
        <f t="shared" si="502"/>
        <v>11</v>
      </c>
      <c r="D10793" s="136">
        <f t="shared" si="504"/>
        <v>48</v>
      </c>
      <c r="E10793" s="136">
        <f t="shared" si="503"/>
        <v>24</v>
      </c>
      <c r="F10793" s="137" t="s">
        <v>24</v>
      </c>
      <c r="G10793" s="128" t="str">
        <f>VLOOKUP(source[[#This Row],[lending_product_transform]],[3]Mapping!$B$4:$C$37,2,0)</f>
        <v>[Cake] - Cashloan</v>
      </c>
      <c r="H10793" s="128" t="str">
        <f>VLOOKUP(source[[#This Row],[lending_product_transform]],[3]Mapping!$B$3:$D$37,3,0)</f>
        <v>cashloan</v>
      </c>
      <c r="I10793" s="135">
        <v>435386414</v>
      </c>
    </row>
    <row r="10794" spans="1:9" x14ac:dyDescent="0.2">
      <c r="A10794" s="134">
        <v>45985</v>
      </c>
      <c r="B10794" s="135">
        <f>YEAR(source[[#This Row],[report_date]])</f>
        <v>2025</v>
      </c>
      <c r="C10794" s="128">
        <f t="shared" si="502"/>
        <v>11</v>
      </c>
      <c r="D10794" s="136">
        <f t="shared" si="504"/>
        <v>48</v>
      </c>
      <c r="E10794" s="136">
        <f t="shared" si="503"/>
        <v>24</v>
      </c>
      <c r="F10794" s="137" t="s">
        <v>24</v>
      </c>
      <c r="G10794" s="128" t="str">
        <f>VLOOKUP(source[[#This Row],[lending_product_transform]],[3]Mapping!$B$4:$C$37,2,0)</f>
        <v>[Cake] - Cashloan</v>
      </c>
      <c r="H10794" s="128" t="str">
        <f>VLOOKUP(source[[#This Row],[lending_product_transform]],[3]Mapping!$B$3:$D$37,3,0)</f>
        <v>cashloan</v>
      </c>
      <c r="I10794" s="135">
        <v>2636250000</v>
      </c>
    </row>
    <row r="10795" spans="1:9" x14ac:dyDescent="0.2">
      <c r="A10795" s="134">
        <v>45986</v>
      </c>
      <c r="B10795" s="135">
        <f>YEAR(source[[#This Row],[report_date]])</f>
        <v>2025</v>
      </c>
      <c r="C10795" s="128">
        <f t="shared" si="502"/>
        <v>11</v>
      </c>
      <c r="D10795" s="136">
        <f t="shared" si="504"/>
        <v>48</v>
      </c>
      <c r="E10795" s="136">
        <f t="shared" si="503"/>
        <v>25</v>
      </c>
      <c r="F10795" s="137" t="s">
        <v>24</v>
      </c>
      <c r="G10795" s="128" t="str">
        <f>VLOOKUP(source[[#This Row],[lending_product_transform]],[3]Mapping!$B$4:$C$37,2,0)</f>
        <v>[Cake] - Cashloan</v>
      </c>
      <c r="H10795" s="128" t="str">
        <f>VLOOKUP(source[[#This Row],[lending_product_transform]],[3]Mapping!$B$3:$D$37,3,0)</f>
        <v>cashloan</v>
      </c>
      <c r="I10795" s="135">
        <v>113950000</v>
      </c>
    </row>
    <row r="10796" spans="1:9" x14ac:dyDescent="0.2">
      <c r="A10796" s="134">
        <v>45986</v>
      </c>
      <c r="B10796" s="135">
        <f>YEAR(source[[#This Row],[report_date]])</f>
        <v>2025</v>
      </c>
      <c r="C10796" s="128">
        <f t="shared" si="502"/>
        <v>11</v>
      </c>
      <c r="D10796" s="136">
        <f t="shared" si="504"/>
        <v>48</v>
      </c>
      <c r="E10796" s="136">
        <f t="shared" si="503"/>
        <v>25</v>
      </c>
      <c r="F10796" s="137" t="s">
        <v>24</v>
      </c>
      <c r="G10796" s="128" t="str">
        <f>VLOOKUP(source[[#This Row],[lending_product_transform]],[3]Mapping!$B$4:$C$37,2,0)</f>
        <v>[Cake] - Cashloan</v>
      </c>
      <c r="H10796" s="128" t="str">
        <f>VLOOKUP(source[[#This Row],[lending_product_transform]],[3]Mapping!$B$3:$D$37,3,0)</f>
        <v>cashloan</v>
      </c>
      <c r="I10796" s="135">
        <v>250152094</v>
      </c>
    </row>
    <row r="10797" spans="1:9" x14ac:dyDescent="0.2">
      <c r="A10797" s="134">
        <v>45986</v>
      </c>
      <c r="B10797" s="135">
        <f>YEAR(source[[#This Row],[report_date]])</f>
        <v>2025</v>
      </c>
      <c r="C10797" s="128">
        <f t="shared" si="502"/>
        <v>11</v>
      </c>
      <c r="D10797" s="136">
        <f t="shared" si="504"/>
        <v>48</v>
      </c>
      <c r="E10797" s="136">
        <f t="shared" si="503"/>
        <v>25</v>
      </c>
      <c r="F10797" s="137" t="s">
        <v>24</v>
      </c>
      <c r="G10797" s="128" t="str">
        <f>VLOOKUP(source[[#This Row],[lending_product_transform]],[3]Mapping!$B$4:$C$37,2,0)</f>
        <v>[Cake] - Cashloan</v>
      </c>
      <c r="H10797" s="128" t="str">
        <f>VLOOKUP(source[[#This Row],[lending_product_transform]],[3]Mapping!$B$3:$D$37,3,0)</f>
        <v>cashloan</v>
      </c>
      <c r="I10797" s="135">
        <v>22685150000</v>
      </c>
    </row>
    <row r="10798" spans="1:9" x14ac:dyDescent="0.2">
      <c r="A10798" s="134">
        <v>45986</v>
      </c>
      <c r="B10798" s="135">
        <f>YEAR(source[[#This Row],[report_date]])</f>
        <v>2025</v>
      </c>
      <c r="C10798" s="128">
        <f t="shared" si="502"/>
        <v>11</v>
      </c>
      <c r="D10798" s="136">
        <f t="shared" si="504"/>
        <v>48</v>
      </c>
      <c r="E10798" s="136">
        <f t="shared" si="503"/>
        <v>25</v>
      </c>
      <c r="F10798" s="137" t="s">
        <v>24</v>
      </c>
      <c r="G10798" s="128" t="str">
        <f>VLOOKUP(source[[#This Row],[lending_product_transform]],[3]Mapping!$B$4:$C$37,2,0)</f>
        <v>[Cake] - Cashloan</v>
      </c>
      <c r="H10798" s="128" t="str">
        <f>VLOOKUP(source[[#This Row],[lending_product_transform]],[3]Mapping!$B$3:$D$37,3,0)</f>
        <v>cashloan</v>
      </c>
      <c r="I10798" s="135">
        <v>2642649086</v>
      </c>
    </row>
    <row r="10799" spans="1:9" x14ac:dyDescent="0.2">
      <c r="A10799" s="134">
        <v>45986</v>
      </c>
      <c r="B10799" s="135">
        <f>YEAR(source[[#This Row],[report_date]])</f>
        <v>2025</v>
      </c>
      <c r="C10799" s="128">
        <f t="shared" si="502"/>
        <v>11</v>
      </c>
      <c r="D10799" s="136">
        <f t="shared" si="504"/>
        <v>48</v>
      </c>
      <c r="E10799" s="136">
        <f t="shared" si="503"/>
        <v>25</v>
      </c>
      <c r="F10799" s="137" t="s">
        <v>24</v>
      </c>
      <c r="G10799" s="128" t="str">
        <f>VLOOKUP(source[[#This Row],[lending_product_transform]],[3]Mapping!$B$4:$C$37,2,0)</f>
        <v>[Cake] - Cashloan</v>
      </c>
      <c r="H10799" s="128" t="str">
        <f>VLOOKUP(source[[#This Row],[lending_product_transform]],[3]Mapping!$B$3:$D$37,3,0)</f>
        <v>cashloan</v>
      </c>
      <c r="I10799" s="135">
        <v>9554220000</v>
      </c>
    </row>
    <row r="10800" spans="1:9" x14ac:dyDescent="0.2">
      <c r="A10800" s="134">
        <v>45986</v>
      </c>
      <c r="B10800" s="135">
        <f>YEAR(source[[#This Row],[report_date]])</f>
        <v>2025</v>
      </c>
      <c r="C10800" s="128">
        <f t="shared" si="502"/>
        <v>11</v>
      </c>
      <c r="D10800" s="136">
        <f t="shared" si="504"/>
        <v>48</v>
      </c>
      <c r="E10800" s="136">
        <f t="shared" si="503"/>
        <v>25</v>
      </c>
      <c r="F10800" s="137" t="s">
        <v>24</v>
      </c>
      <c r="G10800" s="128" t="str">
        <f>VLOOKUP(source[[#This Row],[lending_product_transform]],[3]Mapping!$B$4:$C$37,2,0)</f>
        <v>[Cake] - Cashloan</v>
      </c>
      <c r="H10800" s="128" t="str">
        <f>VLOOKUP(source[[#This Row],[lending_product_transform]],[3]Mapping!$B$3:$D$37,3,0)</f>
        <v>cashloan</v>
      </c>
      <c r="I10800" s="135">
        <v>1989848</v>
      </c>
    </row>
    <row r="10801" spans="1:9" x14ac:dyDescent="0.2">
      <c r="A10801" s="134">
        <v>45986</v>
      </c>
      <c r="B10801" s="135">
        <f>YEAR(source[[#This Row],[report_date]])</f>
        <v>2025</v>
      </c>
      <c r="C10801" s="128">
        <f t="shared" si="502"/>
        <v>11</v>
      </c>
      <c r="D10801" s="136">
        <f t="shared" si="504"/>
        <v>48</v>
      </c>
      <c r="E10801" s="136">
        <f t="shared" si="503"/>
        <v>25</v>
      </c>
      <c r="F10801" s="137" t="s">
        <v>24</v>
      </c>
      <c r="G10801" s="128" t="str">
        <f>VLOOKUP(source[[#This Row],[lending_product_transform]],[3]Mapping!$B$4:$C$37,2,0)</f>
        <v>[Cake] - Cashloan</v>
      </c>
      <c r="H10801" s="128" t="str">
        <f>VLOOKUP(source[[#This Row],[lending_product_transform]],[3]Mapping!$B$3:$D$37,3,0)</f>
        <v>cashloan</v>
      </c>
      <c r="I10801" s="135">
        <v>3922640000</v>
      </c>
    </row>
    <row r="10802" spans="1:9" x14ac:dyDescent="0.2">
      <c r="A10802" s="134">
        <v>45986</v>
      </c>
      <c r="B10802" s="135">
        <f>YEAR(source[[#This Row],[report_date]])</f>
        <v>2025</v>
      </c>
      <c r="C10802" s="128">
        <f t="shared" si="502"/>
        <v>11</v>
      </c>
      <c r="D10802" s="136">
        <f t="shared" si="504"/>
        <v>48</v>
      </c>
      <c r="E10802" s="136">
        <f t="shared" si="503"/>
        <v>25</v>
      </c>
      <c r="F10802" s="137" t="s">
        <v>24</v>
      </c>
      <c r="G10802" s="128" t="str">
        <f>VLOOKUP(source[[#This Row],[lending_product_transform]],[3]Mapping!$B$4:$C$37,2,0)</f>
        <v>[Cake] - Cashloan</v>
      </c>
      <c r="H10802" s="128" t="str">
        <f>VLOOKUP(source[[#This Row],[lending_product_transform]],[3]Mapping!$B$3:$D$37,3,0)</f>
        <v>cashloan</v>
      </c>
      <c r="I10802" s="135">
        <v>15747099</v>
      </c>
    </row>
    <row r="10803" spans="1:9" x14ac:dyDescent="0.2">
      <c r="A10803" s="134">
        <v>45986</v>
      </c>
      <c r="B10803" s="135">
        <f>YEAR(source[[#This Row],[report_date]])</f>
        <v>2025</v>
      </c>
      <c r="C10803" s="128">
        <f t="shared" si="502"/>
        <v>11</v>
      </c>
      <c r="D10803" s="136">
        <f t="shared" si="504"/>
        <v>48</v>
      </c>
      <c r="E10803" s="136">
        <f t="shared" si="503"/>
        <v>25</v>
      </c>
      <c r="F10803" s="137" t="s">
        <v>24</v>
      </c>
      <c r="G10803" s="128" t="str">
        <f>VLOOKUP(source[[#This Row],[lending_product_transform]],[3]Mapping!$B$4:$C$37,2,0)</f>
        <v>[Cake] - Cashloan</v>
      </c>
      <c r="H10803" s="128" t="str">
        <f>VLOOKUP(source[[#This Row],[lending_product_transform]],[3]Mapping!$B$3:$D$37,3,0)</f>
        <v>cashloan</v>
      </c>
      <c r="I10803" s="135">
        <v>553239276</v>
      </c>
    </row>
    <row r="10804" spans="1:9" x14ac:dyDescent="0.2">
      <c r="A10804" s="134">
        <v>45986</v>
      </c>
      <c r="B10804" s="135">
        <f>YEAR(source[[#This Row],[report_date]])</f>
        <v>2025</v>
      </c>
      <c r="C10804" s="128">
        <f t="shared" si="502"/>
        <v>11</v>
      </c>
      <c r="D10804" s="136">
        <f t="shared" si="504"/>
        <v>48</v>
      </c>
      <c r="E10804" s="136">
        <f t="shared" si="503"/>
        <v>25</v>
      </c>
      <c r="F10804" s="137" t="s">
        <v>24</v>
      </c>
      <c r="G10804" s="128" t="str">
        <f>VLOOKUP(source[[#This Row],[lending_product_transform]],[3]Mapping!$B$4:$C$37,2,0)</f>
        <v>[Cake] - Cashloan</v>
      </c>
      <c r="H10804" s="128" t="str">
        <f>VLOOKUP(source[[#This Row],[lending_product_transform]],[3]Mapping!$B$3:$D$37,3,0)</f>
        <v>cashloan</v>
      </c>
      <c r="I10804" s="135">
        <v>0</v>
      </c>
    </row>
    <row r="10805" spans="1:9" x14ac:dyDescent="0.2">
      <c r="A10805" s="134">
        <v>45986</v>
      </c>
      <c r="B10805" s="135">
        <f>YEAR(source[[#This Row],[report_date]])</f>
        <v>2025</v>
      </c>
      <c r="C10805" s="128">
        <f t="shared" si="502"/>
        <v>11</v>
      </c>
      <c r="D10805" s="136">
        <f t="shared" si="504"/>
        <v>48</v>
      </c>
      <c r="E10805" s="136">
        <f t="shared" si="503"/>
        <v>25</v>
      </c>
      <c r="F10805" s="137" t="s">
        <v>24</v>
      </c>
      <c r="G10805" s="128" t="str">
        <f>VLOOKUP(source[[#This Row],[lending_product_transform]],[3]Mapping!$B$4:$C$37,2,0)</f>
        <v>[Cake] - Cashloan</v>
      </c>
      <c r="H10805" s="128" t="str">
        <f>VLOOKUP(source[[#This Row],[lending_product_transform]],[3]Mapping!$B$3:$D$37,3,0)</f>
        <v>cashloan</v>
      </c>
      <c r="I10805" s="135">
        <v>563500000</v>
      </c>
    </row>
    <row r="10806" spans="1:9" x14ac:dyDescent="0.2">
      <c r="A10806" s="134">
        <v>45986</v>
      </c>
      <c r="B10806" s="135">
        <f>YEAR(source[[#This Row],[report_date]])</f>
        <v>2025</v>
      </c>
      <c r="C10806" s="128">
        <f t="shared" ref="C10806:C10869" si="505">MONTH(A10806)</f>
        <v>11</v>
      </c>
      <c r="D10806" s="136">
        <f t="shared" si="504"/>
        <v>48</v>
      </c>
      <c r="E10806" s="136">
        <f t="shared" ref="E10806:E10869" si="506">DAY(A10806)</f>
        <v>25</v>
      </c>
      <c r="F10806" s="137" t="s">
        <v>24</v>
      </c>
      <c r="G10806" s="128" t="str">
        <f>VLOOKUP(source[[#This Row],[lending_product_transform]],[3]Mapping!$B$4:$C$37,2,0)</f>
        <v>[Cake] - Cashloan</v>
      </c>
      <c r="H10806" s="128" t="str">
        <f>VLOOKUP(source[[#This Row],[lending_product_transform]],[3]Mapping!$B$3:$D$37,3,0)</f>
        <v>cashloan</v>
      </c>
      <c r="I10806" s="135">
        <v>16705690000</v>
      </c>
    </row>
    <row r="10807" spans="1:9" x14ac:dyDescent="0.2">
      <c r="A10807" s="134">
        <v>45986</v>
      </c>
      <c r="B10807" s="135">
        <f>YEAR(source[[#This Row],[report_date]])</f>
        <v>2025</v>
      </c>
      <c r="C10807" s="128">
        <f t="shared" si="505"/>
        <v>11</v>
      </c>
      <c r="D10807" s="136">
        <f t="shared" si="504"/>
        <v>48</v>
      </c>
      <c r="E10807" s="136">
        <f t="shared" si="506"/>
        <v>25</v>
      </c>
      <c r="F10807" s="137" t="s">
        <v>24</v>
      </c>
      <c r="G10807" s="128" t="str">
        <f>VLOOKUP(source[[#This Row],[lending_product_transform]],[3]Mapping!$B$4:$C$37,2,0)</f>
        <v>[Cake] - Cashloan</v>
      </c>
      <c r="H10807" s="128" t="str">
        <f>VLOOKUP(source[[#This Row],[lending_product_transform]],[3]Mapping!$B$3:$D$37,3,0)</f>
        <v>cashloan</v>
      </c>
      <c r="I10807" s="135">
        <v>0</v>
      </c>
    </row>
    <row r="10808" spans="1:9" x14ac:dyDescent="0.2">
      <c r="A10808" s="134">
        <v>45986</v>
      </c>
      <c r="B10808" s="135">
        <f>YEAR(source[[#This Row],[report_date]])</f>
        <v>2025</v>
      </c>
      <c r="C10808" s="128">
        <f t="shared" si="505"/>
        <v>11</v>
      </c>
      <c r="D10808" s="136">
        <f t="shared" si="504"/>
        <v>48</v>
      </c>
      <c r="E10808" s="136">
        <f t="shared" si="506"/>
        <v>25</v>
      </c>
      <c r="F10808" s="137" t="s">
        <v>24</v>
      </c>
      <c r="G10808" s="128" t="str">
        <f>VLOOKUP(source[[#This Row],[lending_product_transform]],[3]Mapping!$B$4:$C$37,2,0)</f>
        <v>[Cake] - Cashloan</v>
      </c>
      <c r="H10808" s="128" t="str">
        <f>VLOOKUP(source[[#This Row],[lending_product_transform]],[3]Mapping!$B$3:$D$37,3,0)</f>
        <v>cashloan</v>
      </c>
      <c r="I10808" s="135">
        <v>0</v>
      </c>
    </row>
    <row r="10809" spans="1:9" x14ac:dyDescent="0.2">
      <c r="A10809" s="134">
        <v>45986</v>
      </c>
      <c r="B10809" s="135">
        <f>YEAR(source[[#This Row],[report_date]])</f>
        <v>2025</v>
      </c>
      <c r="C10809" s="128">
        <f t="shared" si="505"/>
        <v>11</v>
      </c>
      <c r="D10809" s="136">
        <f t="shared" si="504"/>
        <v>48</v>
      </c>
      <c r="E10809" s="136">
        <f t="shared" si="506"/>
        <v>25</v>
      </c>
      <c r="F10809" s="137" t="s">
        <v>24</v>
      </c>
      <c r="G10809" s="128" t="str">
        <f>VLOOKUP(source[[#This Row],[lending_product_transform]],[3]Mapping!$B$4:$C$37,2,0)</f>
        <v>[Cake] - Cashloan</v>
      </c>
      <c r="H10809" s="128" t="str">
        <f>VLOOKUP(source[[#This Row],[lending_product_transform]],[3]Mapping!$B$3:$D$37,3,0)</f>
        <v>cashloan</v>
      </c>
      <c r="I10809" s="135">
        <v>0</v>
      </c>
    </row>
    <row r="10810" spans="1:9" x14ac:dyDescent="0.2">
      <c r="A10810" s="134">
        <v>45986</v>
      </c>
      <c r="B10810" s="135">
        <f>YEAR(source[[#This Row],[report_date]])</f>
        <v>2025</v>
      </c>
      <c r="C10810" s="128">
        <f t="shared" si="505"/>
        <v>11</v>
      </c>
      <c r="D10810" s="136">
        <f t="shared" si="504"/>
        <v>48</v>
      </c>
      <c r="E10810" s="136">
        <f t="shared" si="506"/>
        <v>25</v>
      </c>
      <c r="F10810" s="137" t="s">
        <v>24</v>
      </c>
      <c r="G10810" s="128" t="str">
        <f>VLOOKUP(source[[#This Row],[lending_product_transform]],[3]Mapping!$B$4:$C$37,2,0)</f>
        <v>[Cake] - Cashloan</v>
      </c>
      <c r="H10810" s="128" t="str">
        <f>VLOOKUP(source[[#This Row],[lending_product_transform]],[3]Mapping!$B$3:$D$37,3,0)</f>
        <v>cashloan</v>
      </c>
      <c r="I10810" s="135">
        <v>0</v>
      </c>
    </row>
    <row r="10811" spans="1:9" x14ac:dyDescent="0.2">
      <c r="A10811" s="134">
        <v>45986</v>
      </c>
      <c r="B10811" s="135">
        <f>YEAR(source[[#This Row],[report_date]])</f>
        <v>2025</v>
      </c>
      <c r="C10811" s="128">
        <f t="shared" si="505"/>
        <v>11</v>
      </c>
      <c r="D10811" s="136">
        <f t="shared" si="504"/>
        <v>48</v>
      </c>
      <c r="E10811" s="136">
        <f t="shared" si="506"/>
        <v>25</v>
      </c>
      <c r="F10811" s="137" t="s">
        <v>24</v>
      </c>
      <c r="G10811" s="128" t="str">
        <f>VLOOKUP(source[[#This Row],[lending_product_transform]],[3]Mapping!$B$4:$C$37,2,0)</f>
        <v>[Cake] - Cashloan</v>
      </c>
      <c r="H10811" s="128" t="str">
        <f>VLOOKUP(source[[#This Row],[lending_product_transform]],[3]Mapping!$B$3:$D$37,3,0)</f>
        <v>cashloan</v>
      </c>
      <c r="I10811" s="135">
        <v>8619264000</v>
      </c>
    </row>
    <row r="10812" spans="1:9" x14ac:dyDescent="0.2">
      <c r="A10812" s="134">
        <v>45986</v>
      </c>
      <c r="B10812" s="135">
        <f>YEAR(source[[#This Row],[report_date]])</f>
        <v>2025</v>
      </c>
      <c r="C10812" s="128">
        <f t="shared" si="505"/>
        <v>11</v>
      </c>
      <c r="D10812" s="136">
        <f t="shared" si="504"/>
        <v>48</v>
      </c>
      <c r="E10812" s="136">
        <f t="shared" si="506"/>
        <v>25</v>
      </c>
      <c r="F10812" s="137" t="s">
        <v>24</v>
      </c>
      <c r="G10812" s="128" t="str">
        <f>VLOOKUP(source[[#This Row],[lending_product_transform]],[3]Mapping!$B$4:$C$37,2,0)</f>
        <v>[Cake] - Cashloan</v>
      </c>
      <c r="H10812" s="128" t="str">
        <f>VLOOKUP(source[[#This Row],[lending_product_transform]],[3]Mapping!$B$3:$D$37,3,0)</f>
        <v>cashloan</v>
      </c>
      <c r="I10812" s="135">
        <v>158587089</v>
      </c>
    </row>
    <row r="10813" spans="1:9" x14ac:dyDescent="0.2">
      <c r="A10813" s="134">
        <v>45986</v>
      </c>
      <c r="B10813" s="135">
        <f>YEAR(source[[#This Row],[report_date]])</f>
        <v>2025</v>
      </c>
      <c r="C10813" s="128">
        <f t="shared" si="505"/>
        <v>11</v>
      </c>
      <c r="D10813" s="136">
        <f t="shared" si="504"/>
        <v>48</v>
      </c>
      <c r="E10813" s="136">
        <f t="shared" si="506"/>
        <v>25</v>
      </c>
      <c r="F10813" s="137" t="s">
        <v>24</v>
      </c>
      <c r="G10813" s="128" t="str">
        <f>VLOOKUP(source[[#This Row],[lending_product_transform]],[3]Mapping!$B$4:$C$37,2,0)</f>
        <v>[Cake] - Cashloan</v>
      </c>
      <c r="H10813" s="128" t="str">
        <f>VLOOKUP(source[[#This Row],[lending_product_transform]],[3]Mapping!$B$3:$D$37,3,0)</f>
        <v>cashloan</v>
      </c>
      <c r="I10813" s="135">
        <v>31000000</v>
      </c>
    </row>
    <row r="10814" spans="1:9" x14ac:dyDescent="0.2">
      <c r="A10814" s="134">
        <v>45986</v>
      </c>
      <c r="B10814" s="135">
        <f>YEAR(source[[#This Row],[report_date]])</f>
        <v>2025</v>
      </c>
      <c r="C10814" s="128">
        <f t="shared" si="505"/>
        <v>11</v>
      </c>
      <c r="D10814" s="136">
        <f t="shared" si="504"/>
        <v>48</v>
      </c>
      <c r="E10814" s="136">
        <f t="shared" si="506"/>
        <v>25</v>
      </c>
      <c r="F10814" s="137" t="s">
        <v>24</v>
      </c>
      <c r="G10814" s="128" t="str">
        <f>VLOOKUP(source[[#This Row],[lending_product_transform]],[3]Mapping!$B$4:$C$37,2,0)</f>
        <v>[Cake] - Cashloan</v>
      </c>
      <c r="H10814" s="128" t="str">
        <f>VLOOKUP(source[[#This Row],[lending_product_transform]],[3]Mapping!$B$3:$D$37,3,0)</f>
        <v>cashloan</v>
      </c>
      <c r="I10814" s="135">
        <v>59000000</v>
      </c>
    </row>
    <row r="10815" spans="1:9" x14ac:dyDescent="0.2">
      <c r="A10815" s="134">
        <v>45986</v>
      </c>
      <c r="B10815" s="135">
        <f>YEAR(source[[#This Row],[report_date]])</f>
        <v>2025</v>
      </c>
      <c r="C10815" s="128">
        <f t="shared" si="505"/>
        <v>11</v>
      </c>
      <c r="D10815" s="136">
        <f t="shared" si="504"/>
        <v>48</v>
      </c>
      <c r="E10815" s="136">
        <f t="shared" si="506"/>
        <v>25</v>
      </c>
      <c r="F10815" s="137" t="s">
        <v>24</v>
      </c>
      <c r="G10815" s="128" t="str">
        <f>VLOOKUP(source[[#This Row],[lending_product_transform]],[3]Mapping!$B$4:$C$37,2,0)</f>
        <v>[Cake] - Cashloan</v>
      </c>
      <c r="H10815" s="128" t="str">
        <f>VLOOKUP(source[[#This Row],[lending_product_transform]],[3]Mapping!$B$3:$D$37,3,0)</f>
        <v>cashloan</v>
      </c>
      <c r="I10815" s="135">
        <v>300310000</v>
      </c>
    </row>
    <row r="10816" spans="1:9" x14ac:dyDescent="0.2">
      <c r="A10816" s="134">
        <v>45986</v>
      </c>
      <c r="B10816" s="135">
        <f>YEAR(source[[#This Row],[report_date]])</f>
        <v>2025</v>
      </c>
      <c r="C10816" s="128">
        <f t="shared" si="505"/>
        <v>11</v>
      </c>
      <c r="D10816" s="136">
        <f t="shared" si="504"/>
        <v>48</v>
      </c>
      <c r="E10816" s="136">
        <f t="shared" si="506"/>
        <v>25</v>
      </c>
      <c r="F10816" s="137" t="s">
        <v>24</v>
      </c>
      <c r="G10816" s="128" t="str">
        <f>VLOOKUP(source[[#This Row],[lending_product_transform]],[3]Mapping!$B$4:$C$37,2,0)</f>
        <v>[Cake] - Cashloan</v>
      </c>
      <c r="H10816" s="128" t="str">
        <f>VLOOKUP(source[[#This Row],[lending_product_transform]],[3]Mapping!$B$3:$D$37,3,0)</f>
        <v>cashloan</v>
      </c>
      <c r="I10816" s="135">
        <v>218052000</v>
      </c>
    </row>
    <row r="10817" spans="1:9" x14ac:dyDescent="0.2">
      <c r="A10817" s="134">
        <v>45986</v>
      </c>
      <c r="B10817" s="135">
        <f>YEAR(source[[#This Row],[report_date]])</f>
        <v>2025</v>
      </c>
      <c r="C10817" s="128">
        <f t="shared" si="505"/>
        <v>11</v>
      </c>
      <c r="D10817" s="136">
        <f t="shared" si="504"/>
        <v>48</v>
      </c>
      <c r="E10817" s="136">
        <f t="shared" si="506"/>
        <v>25</v>
      </c>
      <c r="F10817" s="137" t="s">
        <v>24</v>
      </c>
      <c r="G10817" s="128" t="str">
        <f>VLOOKUP(source[[#This Row],[lending_product_transform]],[3]Mapping!$B$4:$C$37,2,0)</f>
        <v>[Cake] - Cashloan</v>
      </c>
      <c r="H10817" s="128" t="str">
        <f>VLOOKUP(source[[#This Row],[lending_product_transform]],[3]Mapping!$B$3:$D$37,3,0)</f>
        <v>cashloan</v>
      </c>
      <c r="I10817" s="135">
        <v>389357491</v>
      </c>
    </row>
    <row r="10818" spans="1:9" x14ac:dyDescent="0.2">
      <c r="A10818" s="134">
        <v>45986</v>
      </c>
      <c r="B10818" s="135">
        <f>YEAR(source[[#This Row],[report_date]])</f>
        <v>2025</v>
      </c>
      <c r="C10818" s="128">
        <f t="shared" si="505"/>
        <v>11</v>
      </c>
      <c r="D10818" s="136">
        <f t="shared" si="504"/>
        <v>48</v>
      </c>
      <c r="E10818" s="136">
        <f t="shared" si="506"/>
        <v>25</v>
      </c>
      <c r="F10818" s="137" t="s">
        <v>24</v>
      </c>
      <c r="G10818" s="128" t="str">
        <f>VLOOKUP(source[[#This Row],[lending_product_transform]],[3]Mapping!$B$4:$C$37,2,0)</f>
        <v>[Cake] - Cashloan</v>
      </c>
      <c r="H10818" s="128" t="str">
        <f>VLOOKUP(source[[#This Row],[lending_product_transform]],[3]Mapping!$B$3:$D$37,3,0)</f>
        <v>cashloan</v>
      </c>
      <c r="I10818" s="135">
        <v>2821690000</v>
      </c>
    </row>
    <row r="10819" spans="1:9" x14ac:dyDescent="0.2">
      <c r="A10819" s="134">
        <v>45987</v>
      </c>
      <c r="B10819" s="135">
        <f>YEAR(source[[#This Row],[report_date]])</f>
        <v>2025</v>
      </c>
      <c r="C10819" s="128">
        <f t="shared" si="505"/>
        <v>11</v>
      </c>
      <c r="D10819" s="136">
        <f t="shared" ref="D10819:D10882" si="507">WEEKNUM(A10819,2)</f>
        <v>48</v>
      </c>
      <c r="E10819" s="136">
        <f t="shared" si="506"/>
        <v>26</v>
      </c>
      <c r="F10819" s="137" t="s">
        <v>24</v>
      </c>
      <c r="G10819" s="128" t="str">
        <f>VLOOKUP(source[[#This Row],[lending_product_transform]],[3]Mapping!$B$4:$C$37,2,0)</f>
        <v>[Cake] - Cashloan</v>
      </c>
      <c r="H10819" s="128" t="str">
        <f>VLOOKUP(source[[#This Row],[lending_product_transform]],[3]Mapping!$B$3:$D$37,3,0)</f>
        <v>cashloan</v>
      </c>
      <c r="I10819" s="135">
        <v>120750000</v>
      </c>
    </row>
    <row r="10820" spans="1:9" x14ac:dyDescent="0.2">
      <c r="A10820" s="134">
        <v>45987</v>
      </c>
      <c r="B10820" s="135">
        <f>YEAR(source[[#This Row],[report_date]])</f>
        <v>2025</v>
      </c>
      <c r="C10820" s="128">
        <f t="shared" si="505"/>
        <v>11</v>
      </c>
      <c r="D10820" s="136">
        <f t="shared" si="507"/>
        <v>48</v>
      </c>
      <c r="E10820" s="136">
        <f t="shared" si="506"/>
        <v>26</v>
      </c>
      <c r="F10820" s="137" t="s">
        <v>24</v>
      </c>
      <c r="G10820" s="128" t="str">
        <f>VLOOKUP(source[[#This Row],[lending_product_transform]],[3]Mapping!$B$4:$C$37,2,0)</f>
        <v>[Cake] - Cashloan</v>
      </c>
      <c r="H10820" s="128" t="str">
        <f>VLOOKUP(source[[#This Row],[lending_product_transform]],[3]Mapping!$B$3:$D$37,3,0)</f>
        <v>cashloan</v>
      </c>
      <c r="I10820" s="135">
        <v>271582458</v>
      </c>
    </row>
    <row r="10821" spans="1:9" x14ac:dyDescent="0.2">
      <c r="A10821" s="134">
        <v>45987</v>
      </c>
      <c r="B10821" s="135">
        <f>YEAR(source[[#This Row],[report_date]])</f>
        <v>2025</v>
      </c>
      <c r="C10821" s="128">
        <f t="shared" si="505"/>
        <v>11</v>
      </c>
      <c r="D10821" s="136">
        <f t="shared" si="507"/>
        <v>48</v>
      </c>
      <c r="E10821" s="136">
        <f t="shared" si="506"/>
        <v>26</v>
      </c>
      <c r="F10821" s="137" t="s">
        <v>24</v>
      </c>
      <c r="G10821" s="128" t="str">
        <f>VLOOKUP(source[[#This Row],[lending_product_transform]],[3]Mapping!$B$4:$C$37,2,0)</f>
        <v>[Cake] - Cashloan</v>
      </c>
      <c r="H10821" s="128" t="str">
        <f>VLOOKUP(source[[#This Row],[lending_product_transform]],[3]Mapping!$B$3:$D$37,3,0)</f>
        <v>cashloan</v>
      </c>
      <c r="I10821" s="135">
        <v>19191540000</v>
      </c>
    </row>
    <row r="10822" spans="1:9" x14ac:dyDescent="0.2">
      <c r="A10822" s="134">
        <v>45987</v>
      </c>
      <c r="B10822" s="135">
        <f>YEAR(source[[#This Row],[report_date]])</f>
        <v>2025</v>
      </c>
      <c r="C10822" s="128">
        <f t="shared" si="505"/>
        <v>11</v>
      </c>
      <c r="D10822" s="136">
        <f t="shared" si="507"/>
        <v>48</v>
      </c>
      <c r="E10822" s="136">
        <f t="shared" si="506"/>
        <v>26</v>
      </c>
      <c r="F10822" s="137" t="s">
        <v>24</v>
      </c>
      <c r="G10822" s="128" t="str">
        <f>VLOOKUP(source[[#This Row],[lending_product_transform]],[3]Mapping!$B$4:$C$37,2,0)</f>
        <v>[Cake] - Cashloan</v>
      </c>
      <c r="H10822" s="128" t="str">
        <f>VLOOKUP(source[[#This Row],[lending_product_transform]],[3]Mapping!$B$3:$D$37,3,0)</f>
        <v>cashloan</v>
      </c>
      <c r="I10822" s="135">
        <v>2059787696</v>
      </c>
    </row>
    <row r="10823" spans="1:9" x14ac:dyDescent="0.2">
      <c r="A10823" s="134">
        <v>45987</v>
      </c>
      <c r="B10823" s="135">
        <f>YEAR(source[[#This Row],[report_date]])</f>
        <v>2025</v>
      </c>
      <c r="C10823" s="128">
        <f t="shared" si="505"/>
        <v>11</v>
      </c>
      <c r="D10823" s="136">
        <f t="shared" si="507"/>
        <v>48</v>
      </c>
      <c r="E10823" s="136">
        <f t="shared" si="506"/>
        <v>26</v>
      </c>
      <c r="F10823" s="137" t="s">
        <v>24</v>
      </c>
      <c r="G10823" s="128" t="str">
        <f>VLOOKUP(source[[#This Row],[lending_product_transform]],[3]Mapping!$B$4:$C$37,2,0)</f>
        <v>[Cake] - Cashloan</v>
      </c>
      <c r="H10823" s="128" t="str">
        <f>VLOOKUP(source[[#This Row],[lending_product_transform]],[3]Mapping!$B$3:$D$37,3,0)</f>
        <v>cashloan</v>
      </c>
      <c r="I10823" s="135">
        <v>9885996000</v>
      </c>
    </row>
    <row r="10824" spans="1:9" x14ac:dyDescent="0.2">
      <c r="A10824" s="134">
        <v>45987</v>
      </c>
      <c r="B10824" s="135">
        <f>YEAR(source[[#This Row],[report_date]])</f>
        <v>2025</v>
      </c>
      <c r="C10824" s="128">
        <f t="shared" si="505"/>
        <v>11</v>
      </c>
      <c r="D10824" s="136">
        <f t="shared" si="507"/>
        <v>48</v>
      </c>
      <c r="E10824" s="136">
        <f t="shared" si="506"/>
        <v>26</v>
      </c>
      <c r="F10824" s="137" t="s">
        <v>24</v>
      </c>
      <c r="G10824" s="128" t="str">
        <f>VLOOKUP(source[[#This Row],[lending_product_transform]],[3]Mapping!$B$4:$C$37,2,0)</f>
        <v>[Cake] - Cashloan</v>
      </c>
      <c r="H10824" s="128" t="str">
        <f>VLOOKUP(source[[#This Row],[lending_product_transform]],[3]Mapping!$B$3:$D$37,3,0)</f>
        <v>cashloan</v>
      </c>
      <c r="I10824" s="135">
        <v>4710090</v>
      </c>
    </row>
    <row r="10825" spans="1:9" x14ac:dyDescent="0.2">
      <c r="A10825" s="134">
        <v>45987</v>
      </c>
      <c r="B10825" s="135">
        <f>YEAR(source[[#This Row],[report_date]])</f>
        <v>2025</v>
      </c>
      <c r="C10825" s="128">
        <f t="shared" si="505"/>
        <v>11</v>
      </c>
      <c r="D10825" s="136">
        <f t="shared" si="507"/>
        <v>48</v>
      </c>
      <c r="E10825" s="136">
        <f t="shared" si="506"/>
        <v>26</v>
      </c>
      <c r="F10825" s="137" t="s">
        <v>24</v>
      </c>
      <c r="G10825" s="128" t="str">
        <f>VLOOKUP(source[[#This Row],[lending_product_transform]],[3]Mapping!$B$4:$C$37,2,0)</f>
        <v>[Cake] - Cashloan</v>
      </c>
      <c r="H10825" s="128" t="str">
        <f>VLOOKUP(source[[#This Row],[lending_product_transform]],[3]Mapping!$B$3:$D$37,3,0)</f>
        <v>cashloan</v>
      </c>
      <c r="I10825" s="135">
        <v>2965480000</v>
      </c>
    </row>
    <row r="10826" spans="1:9" x14ac:dyDescent="0.2">
      <c r="A10826" s="134">
        <v>45987</v>
      </c>
      <c r="B10826" s="135">
        <f>YEAR(source[[#This Row],[report_date]])</f>
        <v>2025</v>
      </c>
      <c r="C10826" s="128">
        <f t="shared" si="505"/>
        <v>11</v>
      </c>
      <c r="D10826" s="136">
        <f t="shared" si="507"/>
        <v>48</v>
      </c>
      <c r="E10826" s="136">
        <f t="shared" si="506"/>
        <v>26</v>
      </c>
      <c r="F10826" s="137" t="s">
        <v>24</v>
      </c>
      <c r="G10826" s="128" t="str">
        <f>VLOOKUP(source[[#This Row],[lending_product_transform]],[3]Mapping!$B$4:$C$37,2,0)</f>
        <v>[Cake] - Cashloan</v>
      </c>
      <c r="H10826" s="128" t="str">
        <f>VLOOKUP(source[[#This Row],[lending_product_transform]],[3]Mapping!$B$3:$D$37,3,0)</f>
        <v>cashloan</v>
      </c>
      <c r="I10826" s="135">
        <v>16024386</v>
      </c>
    </row>
    <row r="10827" spans="1:9" x14ac:dyDescent="0.2">
      <c r="A10827" s="134">
        <v>45987</v>
      </c>
      <c r="B10827" s="135">
        <f>YEAR(source[[#This Row],[report_date]])</f>
        <v>2025</v>
      </c>
      <c r="C10827" s="128">
        <f t="shared" si="505"/>
        <v>11</v>
      </c>
      <c r="D10827" s="136">
        <f t="shared" si="507"/>
        <v>48</v>
      </c>
      <c r="E10827" s="136">
        <f t="shared" si="506"/>
        <v>26</v>
      </c>
      <c r="F10827" s="137" t="s">
        <v>24</v>
      </c>
      <c r="G10827" s="128" t="str">
        <f>VLOOKUP(source[[#This Row],[lending_product_transform]],[3]Mapping!$B$4:$C$37,2,0)</f>
        <v>[Cake] - Cashloan</v>
      </c>
      <c r="H10827" s="128" t="str">
        <f>VLOOKUP(source[[#This Row],[lending_product_transform]],[3]Mapping!$B$3:$D$37,3,0)</f>
        <v>cashloan</v>
      </c>
      <c r="I10827" s="135">
        <v>506890257</v>
      </c>
    </row>
    <row r="10828" spans="1:9" x14ac:dyDescent="0.2">
      <c r="A10828" s="134">
        <v>45987</v>
      </c>
      <c r="B10828" s="135">
        <f>YEAR(source[[#This Row],[report_date]])</f>
        <v>2025</v>
      </c>
      <c r="C10828" s="128">
        <f t="shared" si="505"/>
        <v>11</v>
      </c>
      <c r="D10828" s="136">
        <f t="shared" si="507"/>
        <v>48</v>
      </c>
      <c r="E10828" s="136">
        <f t="shared" si="506"/>
        <v>26</v>
      </c>
      <c r="F10828" s="137" t="s">
        <v>24</v>
      </c>
      <c r="G10828" s="128" t="str">
        <f>VLOOKUP(source[[#This Row],[lending_product_transform]],[3]Mapping!$B$4:$C$37,2,0)</f>
        <v>[Cake] - Cashloan</v>
      </c>
      <c r="H10828" s="128" t="str">
        <f>VLOOKUP(source[[#This Row],[lending_product_transform]],[3]Mapping!$B$3:$D$37,3,0)</f>
        <v>cashloan</v>
      </c>
      <c r="I10828" s="135">
        <v>0</v>
      </c>
    </row>
    <row r="10829" spans="1:9" x14ac:dyDescent="0.2">
      <c r="A10829" s="134">
        <v>45987</v>
      </c>
      <c r="B10829" s="135">
        <f>YEAR(source[[#This Row],[report_date]])</f>
        <v>2025</v>
      </c>
      <c r="C10829" s="128">
        <f t="shared" si="505"/>
        <v>11</v>
      </c>
      <c r="D10829" s="136">
        <f t="shared" si="507"/>
        <v>48</v>
      </c>
      <c r="E10829" s="136">
        <f t="shared" si="506"/>
        <v>26</v>
      </c>
      <c r="F10829" s="137" t="s">
        <v>24</v>
      </c>
      <c r="G10829" s="128" t="str">
        <f>VLOOKUP(source[[#This Row],[lending_product_transform]],[3]Mapping!$B$4:$C$37,2,0)</f>
        <v>[Cake] - Cashloan</v>
      </c>
      <c r="H10829" s="128" t="str">
        <f>VLOOKUP(source[[#This Row],[lending_product_transform]],[3]Mapping!$B$3:$D$37,3,0)</f>
        <v>cashloan</v>
      </c>
      <c r="I10829" s="135">
        <v>333350000</v>
      </c>
    </row>
    <row r="10830" spans="1:9" x14ac:dyDescent="0.2">
      <c r="A10830" s="134">
        <v>45987</v>
      </c>
      <c r="B10830" s="135">
        <f>YEAR(source[[#This Row],[report_date]])</f>
        <v>2025</v>
      </c>
      <c r="C10830" s="128">
        <f t="shared" si="505"/>
        <v>11</v>
      </c>
      <c r="D10830" s="136">
        <f t="shared" si="507"/>
        <v>48</v>
      </c>
      <c r="E10830" s="136">
        <f t="shared" si="506"/>
        <v>26</v>
      </c>
      <c r="F10830" s="137" t="s">
        <v>24</v>
      </c>
      <c r="G10830" s="128" t="str">
        <f>VLOOKUP(source[[#This Row],[lending_product_transform]],[3]Mapping!$B$4:$C$37,2,0)</f>
        <v>[Cake] - Cashloan</v>
      </c>
      <c r="H10830" s="128" t="str">
        <f>VLOOKUP(source[[#This Row],[lending_product_transform]],[3]Mapping!$B$3:$D$37,3,0)</f>
        <v>cashloan</v>
      </c>
      <c r="I10830" s="135">
        <v>15580090000</v>
      </c>
    </row>
    <row r="10831" spans="1:9" x14ac:dyDescent="0.2">
      <c r="A10831" s="134">
        <v>45987</v>
      </c>
      <c r="B10831" s="135">
        <f>YEAR(source[[#This Row],[report_date]])</f>
        <v>2025</v>
      </c>
      <c r="C10831" s="128">
        <f t="shared" si="505"/>
        <v>11</v>
      </c>
      <c r="D10831" s="136">
        <f t="shared" si="507"/>
        <v>48</v>
      </c>
      <c r="E10831" s="136">
        <f t="shared" si="506"/>
        <v>26</v>
      </c>
      <c r="F10831" s="137" t="s">
        <v>24</v>
      </c>
      <c r="G10831" s="128" t="str">
        <f>VLOOKUP(source[[#This Row],[lending_product_transform]],[3]Mapping!$B$4:$C$37,2,0)</f>
        <v>[Cake] - Cashloan</v>
      </c>
      <c r="H10831" s="128" t="str">
        <f>VLOOKUP(source[[#This Row],[lending_product_transform]],[3]Mapping!$B$3:$D$37,3,0)</f>
        <v>cashloan</v>
      </c>
      <c r="I10831" s="135">
        <v>0</v>
      </c>
    </row>
    <row r="10832" spans="1:9" x14ac:dyDescent="0.2">
      <c r="A10832" s="134">
        <v>45987</v>
      </c>
      <c r="B10832" s="135">
        <f>YEAR(source[[#This Row],[report_date]])</f>
        <v>2025</v>
      </c>
      <c r="C10832" s="128">
        <f t="shared" si="505"/>
        <v>11</v>
      </c>
      <c r="D10832" s="136">
        <f t="shared" si="507"/>
        <v>48</v>
      </c>
      <c r="E10832" s="136">
        <f t="shared" si="506"/>
        <v>26</v>
      </c>
      <c r="F10832" s="137" t="s">
        <v>24</v>
      </c>
      <c r="G10832" s="128" t="str">
        <f>VLOOKUP(source[[#This Row],[lending_product_transform]],[3]Mapping!$B$4:$C$37,2,0)</f>
        <v>[Cake] - Cashloan</v>
      </c>
      <c r="H10832" s="128" t="str">
        <f>VLOOKUP(source[[#This Row],[lending_product_transform]],[3]Mapping!$B$3:$D$37,3,0)</f>
        <v>cashloan</v>
      </c>
      <c r="I10832" s="135">
        <v>0</v>
      </c>
    </row>
    <row r="10833" spans="1:9" x14ac:dyDescent="0.2">
      <c r="A10833" s="134">
        <v>45987</v>
      </c>
      <c r="B10833" s="135">
        <f>YEAR(source[[#This Row],[report_date]])</f>
        <v>2025</v>
      </c>
      <c r="C10833" s="128">
        <f t="shared" si="505"/>
        <v>11</v>
      </c>
      <c r="D10833" s="136">
        <f t="shared" si="507"/>
        <v>48</v>
      </c>
      <c r="E10833" s="136">
        <f t="shared" si="506"/>
        <v>26</v>
      </c>
      <c r="F10833" s="137" t="s">
        <v>24</v>
      </c>
      <c r="G10833" s="128" t="str">
        <f>VLOOKUP(source[[#This Row],[lending_product_transform]],[3]Mapping!$B$4:$C$37,2,0)</f>
        <v>[Cake] - Cashloan</v>
      </c>
      <c r="H10833" s="128" t="str">
        <f>VLOOKUP(source[[#This Row],[lending_product_transform]],[3]Mapping!$B$3:$D$37,3,0)</f>
        <v>cashloan</v>
      </c>
      <c r="I10833" s="135">
        <v>0</v>
      </c>
    </row>
    <row r="10834" spans="1:9" x14ac:dyDescent="0.2">
      <c r="A10834" s="134">
        <v>45987</v>
      </c>
      <c r="B10834" s="135">
        <f>YEAR(source[[#This Row],[report_date]])</f>
        <v>2025</v>
      </c>
      <c r="C10834" s="128">
        <f t="shared" si="505"/>
        <v>11</v>
      </c>
      <c r="D10834" s="136">
        <f t="shared" si="507"/>
        <v>48</v>
      </c>
      <c r="E10834" s="136">
        <f t="shared" si="506"/>
        <v>26</v>
      </c>
      <c r="F10834" s="137" t="s">
        <v>24</v>
      </c>
      <c r="G10834" s="128" t="str">
        <f>VLOOKUP(source[[#This Row],[lending_product_transform]],[3]Mapping!$B$4:$C$37,2,0)</f>
        <v>[Cake] - Cashloan</v>
      </c>
      <c r="H10834" s="128" t="str">
        <f>VLOOKUP(source[[#This Row],[lending_product_transform]],[3]Mapping!$B$3:$D$37,3,0)</f>
        <v>cashloan</v>
      </c>
      <c r="I10834" s="135">
        <v>0</v>
      </c>
    </row>
    <row r="10835" spans="1:9" x14ac:dyDescent="0.2">
      <c r="A10835" s="134">
        <v>45987</v>
      </c>
      <c r="B10835" s="135">
        <f>YEAR(source[[#This Row],[report_date]])</f>
        <v>2025</v>
      </c>
      <c r="C10835" s="128">
        <f t="shared" si="505"/>
        <v>11</v>
      </c>
      <c r="D10835" s="136">
        <f t="shared" si="507"/>
        <v>48</v>
      </c>
      <c r="E10835" s="136">
        <f t="shared" si="506"/>
        <v>26</v>
      </c>
      <c r="F10835" s="137" t="s">
        <v>24</v>
      </c>
      <c r="G10835" s="128" t="str">
        <f>VLOOKUP(source[[#This Row],[lending_product_transform]],[3]Mapping!$B$4:$C$37,2,0)</f>
        <v>[Cake] - Cashloan</v>
      </c>
      <c r="H10835" s="128" t="str">
        <f>VLOOKUP(source[[#This Row],[lending_product_transform]],[3]Mapping!$B$3:$D$37,3,0)</f>
        <v>cashloan</v>
      </c>
      <c r="I10835" s="135">
        <v>7547364000</v>
      </c>
    </row>
    <row r="10836" spans="1:9" x14ac:dyDescent="0.2">
      <c r="A10836" s="134">
        <v>45987</v>
      </c>
      <c r="B10836" s="135">
        <f>YEAR(source[[#This Row],[report_date]])</f>
        <v>2025</v>
      </c>
      <c r="C10836" s="128">
        <f t="shared" si="505"/>
        <v>11</v>
      </c>
      <c r="D10836" s="136">
        <f t="shared" si="507"/>
        <v>48</v>
      </c>
      <c r="E10836" s="136">
        <f t="shared" si="506"/>
        <v>26</v>
      </c>
      <c r="F10836" s="137" t="s">
        <v>24</v>
      </c>
      <c r="G10836" s="128" t="str">
        <f>VLOOKUP(source[[#This Row],[lending_product_transform]],[3]Mapping!$B$4:$C$37,2,0)</f>
        <v>[Cake] - Cashloan</v>
      </c>
      <c r="H10836" s="128" t="str">
        <f>VLOOKUP(source[[#This Row],[lending_product_transform]],[3]Mapping!$B$3:$D$37,3,0)</f>
        <v>cashloan</v>
      </c>
      <c r="I10836" s="135">
        <v>170128229</v>
      </c>
    </row>
    <row r="10837" spans="1:9" x14ac:dyDescent="0.2">
      <c r="A10837" s="134">
        <v>45987</v>
      </c>
      <c r="B10837" s="135">
        <f>YEAR(source[[#This Row],[report_date]])</f>
        <v>2025</v>
      </c>
      <c r="C10837" s="128">
        <f t="shared" si="505"/>
        <v>11</v>
      </c>
      <c r="D10837" s="136">
        <f t="shared" si="507"/>
        <v>48</v>
      </c>
      <c r="E10837" s="136">
        <f t="shared" si="506"/>
        <v>26</v>
      </c>
      <c r="F10837" s="137" t="s">
        <v>24</v>
      </c>
      <c r="G10837" s="128" t="str">
        <f>VLOOKUP(source[[#This Row],[lending_product_transform]],[3]Mapping!$B$4:$C$37,2,0)</f>
        <v>[Cake] - Cashloan</v>
      </c>
      <c r="H10837" s="128" t="str">
        <f>VLOOKUP(source[[#This Row],[lending_product_transform]],[3]Mapping!$B$3:$D$37,3,0)</f>
        <v>cashloan</v>
      </c>
      <c r="I10837" s="135">
        <v>63000000</v>
      </c>
    </row>
    <row r="10838" spans="1:9" x14ac:dyDescent="0.2">
      <c r="A10838" s="134">
        <v>45987</v>
      </c>
      <c r="B10838" s="135">
        <f>YEAR(source[[#This Row],[report_date]])</f>
        <v>2025</v>
      </c>
      <c r="C10838" s="128">
        <f t="shared" si="505"/>
        <v>11</v>
      </c>
      <c r="D10838" s="136">
        <f t="shared" si="507"/>
        <v>48</v>
      </c>
      <c r="E10838" s="136">
        <f t="shared" si="506"/>
        <v>26</v>
      </c>
      <c r="F10838" s="137" t="s">
        <v>24</v>
      </c>
      <c r="G10838" s="128" t="str">
        <f>VLOOKUP(source[[#This Row],[lending_product_transform]],[3]Mapping!$B$4:$C$37,2,0)</f>
        <v>[Cake] - Cashloan</v>
      </c>
      <c r="H10838" s="128" t="str">
        <f>VLOOKUP(source[[#This Row],[lending_product_transform]],[3]Mapping!$B$3:$D$37,3,0)</f>
        <v>cashloan</v>
      </c>
      <c r="I10838" s="135">
        <v>72000000</v>
      </c>
    </row>
    <row r="10839" spans="1:9" x14ac:dyDescent="0.2">
      <c r="A10839" s="134">
        <v>45987</v>
      </c>
      <c r="B10839" s="135">
        <f>YEAR(source[[#This Row],[report_date]])</f>
        <v>2025</v>
      </c>
      <c r="C10839" s="128">
        <f t="shared" si="505"/>
        <v>11</v>
      </c>
      <c r="D10839" s="136">
        <f t="shared" si="507"/>
        <v>48</v>
      </c>
      <c r="E10839" s="136">
        <f t="shared" si="506"/>
        <v>26</v>
      </c>
      <c r="F10839" s="137" t="s">
        <v>24</v>
      </c>
      <c r="G10839" s="128" t="str">
        <f>VLOOKUP(source[[#This Row],[lending_product_transform]],[3]Mapping!$B$4:$C$37,2,0)</f>
        <v>[Cake] - Cashloan</v>
      </c>
      <c r="H10839" s="128" t="str">
        <f>VLOOKUP(source[[#This Row],[lending_product_transform]],[3]Mapping!$B$3:$D$37,3,0)</f>
        <v>cashloan</v>
      </c>
      <c r="I10839" s="135">
        <v>466010000</v>
      </c>
    </row>
    <row r="10840" spans="1:9" x14ac:dyDescent="0.2">
      <c r="A10840" s="134">
        <v>45987</v>
      </c>
      <c r="B10840" s="135">
        <f>YEAR(source[[#This Row],[report_date]])</f>
        <v>2025</v>
      </c>
      <c r="C10840" s="128">
        <f t="shared" si="505"/>
        <v>11</v>
      </c>
      <c r="D10840" s="136">
        <f t="shared" si="507"/>
        <v>48</v>
      </c>
      <c r="E10840" s="136">
        <f t="shared" si="506"/>
        <v>26</v>
      </c>
      <c r="F10840" s="137" t="s">
        <v>24</v>
      </c>
      <c r="G10840" s="128" t="str">
        <f>VLOOKUP(source[[#This Row],[lending_product_transform]],[3]Mapping!$B$4:$C$37,2,0)</f>
        <v>[Cake] - Cashloan</v>
      </c>
      <c r="H10840" s="128" t="str">
        <f>VLOOKUP(source[[#This Row],[lending_product_transform]],[3]Mapping!$B$3:$D$37,3,0)</f>
        <v>cashloan</v>
      </c>
      <c r="I10840" s="135">
        <v>204660000</v>
      </c>
    </row>
    <row r="10841" spans="1:9" x14ac:dyDescent="0.2">
      <c r="A10841" s="134">
        <v>45987</v>
      </c>
      <c r="B10841" s="135">
        <f>YEAR(source[[#This Row],[report_date]])</f>
        <v>2025</v>
      </c>
      <c r="C10841" s="128">
        <f t="shared" si="505"/>
        <v>11</v>
      </c>
      <c r="D10841" s="136">
        <f t="shared" si="507"/>
        <v>48</v>
      </c>
      <c r="E10841" s="136">
        <f t="shared" si="506"/>
        <v>26</v>
      </c>
      <c r="F10841" s="137" t="s">
        <v>24</v>
      </c>
      <c r="G10841" s="128" t="str">
        <f>VLOOKUP(source[[#This Row],[lending_product_transform]],[3]Mapping!$B$4:$C$37,2,0)</f>
        <v>[Cake] - Cashloan</v>
      </c>
      <c r="H10841" s="128" t="str">
        <f>VLOOKUP(source[[#This Row],[lending_product_transform]],[3]Mapping!$B$3:$D$37,3,0)</f>
        <v>cashloan</v>
      </c>
      <c r="I10841" s="135">
        <v>408720198</v>
      </c>
    </row>
    <row r="10842" spans="1:9" x14ac:dyDescent="0.2">
      <c r="A10842" s="134">
        <v>45987</v>
      </c>
      <c r="B10842" s="135">
        <f>YEAR(source[[#This Row],[report_date]])</f>
        <v>2025</v>
      </c>
      <c r="C10842" s="128">
        <f t="shared" si="505"/>
        <v>11</v>
      </c>
      <c r="D10842" s="136">
        <f t="shared" si="507"/>
        <v>48</v>
      </c>
      <c r="E10842" s="136">
        <f t="shared" si="506"/>
        <v>26</v>
      </c>
      <c r="F10842" s="137" t="s">
        <v>24</v>
      </c>
      <c r="G10842" s="128" t="str">
        <f>VLOOKUP(source[[#This Row],[lending_product_transform]],[3]Mapping!$B$4:$C$37,2,0)</f>
        <v>[Cake] - Cashloan</v>
      </c>
      <c r="H10842" s="128" t="str">
        <f>VLOOKUP(source[[#This Row],[lending_product_transform]],[3]Mapping!$B$3:$D$37,3,0)</f>
        <v>cashloan</v>
      </c>
      <c r="I10842" s="135">
        <v>2332830000</v>
      </c>
    </row>
    <row r="10843" spans="1:9" x14ac:dyDescent="0.2">
      <c r="A10843" s="134">
        <v>45988</v>
      </c>
      <c r="B10843" s="135">
        <f>YEAR(source[[#This Row],[report_date]])</f>
        <v>2025</v>
      </c>
      <c r="C10843" s="128">
        <f t="shared" si="505"/>
        <v>11</v>
      </c>
      <c r="D10843" s="136">
        <f t="shared" si="507"/>
        <v>48</v>
      </c>
      <c r="E10843" s="136">
        <f t="shared" si="506"/>
        <v>27</v>
      </c>
      <c r="F10843" s="137" t="s">
        <v>24</v>
      </c>
      <c r="G10843" s="128" t="str">
        <f>VLOOKUP(source[[#This Row],[lending_product_transform]],[3]Mapping!$B$4:$C$37,2,0)</f>
        <v>[Cake] - Cashloan</v>
      </c>
      <c r="H10843" s="128" t="str">
        <f>VLOOKUP(source[[#This Row],[lending_product_transform]],[3]Mapping!$B$3:$D$37,3,0)</f>
        <v>cashloan</v>
      </c>
      <c r="I10843" s="135">
        <v>149800000</v>
      </c>
    </row>
    <row r="10844" spans="1:9" x14ac:dyDescent="0.2">
      <c r="A10844" s="134">
        <v>45988</v>
      </c>
      <c r="B10844" s="135">
        <f>YEAR(source[[#This Row],[report_date]])</f>
        <v>2025</v>
      </c>
      <c r="C10844" s="128">
        <f t="shared" si="505"/>
        <v>11</v>
      </c>
      <c r="D10844" s="136">
        <f t="shared" si="507"/>
        <v>48</v>
      </c>
      <c r="E10844" s="136">
        <f t="shared" si="506"/>
        <v>27</v>
      </c>
      <c r="F10844" s="137" t="s">
        <v>24</v>
      </c>
      <c r="G10844" s="128" t="str">
        <f>VLOOKUP(source[[#This Row],[lending_product_transform]],[3]Mapping!$B$4:$C$37,2,0)</f>
        <v>[Cake] - Cashloan</v>
      </c>
      <c r="H10844" s="128" t="str">
        <f>VLOOKUP(source[[#This Row],[lending_product_transform]],[3]Mapping!$B$3:$D$37,3,0)</f>
        <v>cashloan</v>
      </c>
      <c r="I10844" s="135">
        <v>251618132</v>
      </c>
    </row>
    <row r="10845" spans="1:9" x14ac:dyDescent="0.2">
      <c r="A10845" s="134">
        <v>45988</v>
      </c>
      <c r="B10845" s="135">
        <f>YEAR(source[[#This Row],[report_date]])</f>
        <v>2025</v>
      </c>
      <c r="C10845" s="128">
        <f t="shared" si="505"/>
        <v>11</v>
      </c>
      <c r="D10845" s="136">
        <f t="shared" si="507"/>
        <v>48</v>
      </c>
      <c r="E10845" s="136">
        <f t="shared" si="506"/>
        <v>27</v>
      </c>
      <c r="F10845" s="137" t="s">
        <v>24</v>
      </c>
      <c r="G10845" s="128" t="str">
        <f>VLOOKUP(source[[#This Row],[lending_product_transform]],[3]Mapping!$B$4:$C$37,2,0)</f>
        <v>[Cake] - Cashloan</v>
      </c>
      <c r="H10845" s="128" t="str">
        <f>VLOOKUP(source[[#This Row],[lending_product_transform]],[3]Mapping!$B$3:$D$37,3,0)</f>
        <v>cashloan</v>
      </c>
      <c r="I10845" s="135">
        <v>22081380000</v>
      </c>
    </row>
    <row r="10846" spans="1:9" x14ac:dyDescent="0.2">
      <c r="A10846" s="134">
        <v>45988</v>
      </c>
      <c r="B10846" s="135">
        <f>YEAR(source[[#This Row],[report_date]])</f>
        <v>2025</v>
      </c>
      <c r="C10846" s="128">
        <f t="shared" si="505"/>
        <v>11</v>
      </c>
      <c r="D10846" s="136">
        <f t="shared" si="507"/>
        <v>48</v>
      </c>
      <c r="E10846" s="136">
        <f t="shared" si="506"/>
        <v>27</v>
      </c>
      <c r="F10846" s="137" t="s">
        <v>24</v>
      </c>
      <c r="G10846" s="128" t="str">
        <f>VLOOKUP(source[[#This Row],[lending_product_transform]],[3]Mapping!$B$4:$C$37,2,0)</f>
        <v>[Cake] - Cashloan</v>
      </c>
      <c r="H10846" s="128" t="str">
        <f>VLOOKUP(source[[#This Row],[lending_product_transform]],[3]Mapping!$B$3:$D$37,3,0)</f>
        <v>cashloan</v>
      </c>
      <c r="I10846" s="135">
        <v>2064200613</v>
      </c>
    </row>
    <row r="10847" spans="1:9" x14ac:dyDescent="0.2">
      <c r="A10847" s="134">
        <v>45988</v>
      </c>
      <c r="B10847" s="135">
        <f>YEAR(source[[#This Row],[report_date]])</f>
        <v>2025</v>
      </c>
      <c r="C10847" s="128">
        <f t="shared" si="505"/>
        <v>11</v>
      </c>
      <c r="D10847" s="136">
        <f t="shared" si="507"/>
        <v>48</v>
      </c>
      <c r="E10847" s="136">
        <f t="shared" si="506"/>
        <v>27</v>
      </c>
      <c r="F10847" s="137" t="s">
        <v>24</v>
      </c>
      <c r="G10847" s="128" t="str">
        <f>VLOOKUP(source[[#This Row],[lending_product_transform]],[3]Mapping!$B$4:$C$37,2,0)</f>
        <v>[Cake] - Cashloan</v>
      </c>
      <c r="H10847" s="128" t="str">
        <f>VLOOKUP(source[[#This Row],[lending_product_transform]],[3]Mapping!$B$3:$D$37,3,0)</f>
        <v>cashloan</v>
      </c>
      <c r="I10847" s="135">
        <v>10853460000</v>
      </c>
    </row>
    <row r="10848" spans="1:9" x14ac:dyDescent="0.2">
      <c r="A10848" s="134">
        <v>45988</v>
      </c>
      <c r="B10848" s="135">
        <f>YEAR(source[[#This Row],[report_date]])</f>
        <v>2025</v>
      </c>
      <c r="C10848" s="128">
        <f t="shared" si="505"/>
        <v>11</v>
      </c>
      <c r="D10848" s="136">
        <f t="shared" si="507"/>
        <v>48</v>
      </c>
      <c r="E10848" s="136">
        <f t="shared" si="506"/>
        <v>27</v>
      </c>
      <c r="F10848" s="137" t="s">
        <v>24</v>
      </c>
      <c r="G10848" s="128" t="str">
        <f>VLOOKUP(source[[#This Row],[lending_product_transform]],[3]Mapping!$B$4:$C$37,2,0)</f>
        <v>[Cake] - Cashloan</v>
      </c>
      <c r="H10848" s="128" t="str">
        <f>VLOOKUP(source[[#This Row],[lending_product_transform]],[3]Mapping!$B$3:$D$37,3,0)</f>
        <v>cashloan</v>
      </c>
      <c r="I10848" s="135">
        <v>7705545</v>
      </c>
    </row>
    <row r="10849" spans="1:9" x14ac:dyDescent="0.2">
      <c r="A10849" s="134">
        <v>45988</v>
      </c>
      <c r="B10849" s="135">
        <f>YEAR(source[[#This Row],[report_date]])</f>
        <v>2025</v>
      </c>
      <c r="C10849" s="128">
        <f t="shared" si="505"/>
        <v>11</v>
      </c>
      <c r="D10849" s="136">
        <f t="shared" si="507"/>
        <v>48</v>
      </c>
      <c r="E10849" s="136">
        <f t="shared" si="506"/>
        <v>27</v>
      </c>
      <c r="F10849" s="137" t="s">
        <v>24</v>
      </c>
      <c r="G10849" s="128" t="str">
        <f>VLOOKUP(source[[#This Row],[lending_product_transform]],[3]Mapping!$B$4:$C$37,2,0)</f>
        <v>[Cake] - Cashloan</v>
      </c>
      <c r="H10849" s="128" t="str">
        <f>VLOOKUP(source[[#This Row],[lending_product_transform]],[3]Mapping!$B$3:$D$37,3,0)</f>
        <v>cashloan</v>
      </c>
      <c r="I10849" s="135">
        <v>2651370000</v>
      </c>
    </row>
    <row r="10850" spans="1:9" x14ac:dyDescent="0.2">
      <c r="A10850" s="134">
        <v>45988</v>
      </c>
      <c r="B10850" s="135">
        <f>YEAR(source[[#This Row],[report_date]])</f>
        <v>2025</v>
      </c>
      <c r="C10850" s="128">
        <f t="shared" si="505"/>
        <v>11</v>
      </c>
      <c r="D10850" s="136">
        <f t="shared" si="507"/>
        <v>48</v>
      </c>
      <c r="E10850" s="136">
        <f t="shared" si="506"/>
        <v>27</v>
      </c>
      <c r="F10850" s="137" t="s">
        <v>24</v>
      </c>
      <c r="G10850" s="128" t="str">
        <f>VLOOKUP(source[[#This Row],[lending_product_transform]],[3]Mapping!$B$4:$C$37,2,0)</f>
        <v>[Cake] - Cashloan</v>
      </c>
      <c r="H10850" s="128" t="str">
        <f>VLOOKUP(source[[#This Row],[lending_product_transform]],[3]Mapping!$B$3:$D$37,3,0)</f>
        <v>cashloan</v>
      </c>
      <c r="I10850" s="135">
        <v>6682130</v>
      </c>
    </row>
    <row r="10851" spans="1:9" x14ac:dyDescent="0.2">
      <c r="A10851" s="134">
        <v>45988</v>
      </c>
      <c r="B10851" s="135">
        <f>YEAR(source[[#This Row],[report_date]])</f>
        <v>2025</v>
      </c>
      <c r="C10851" s="128">
        <f t="shared" si="505"/>
        <v>11</v>
      </c>
      <c r="D10851" s="136">
        <f t="shared" si="507"/>
        <v>48</v>
      </c>
      <c r="E10851" s="136">
        <f t="shared" si="506"/>
        <v>27</v>
      </c>
      <c r="F10851" s="137" t="s">
        <v>24</v>
      </c>
      <c r="G10851" s="128" t="str">
        <f>VLOOKUP(source[[#This Row],[lending_product_transform]],[3]Mapping!$B$4:$C$37,2,0)</f>
        <v>[Cake] - Cashloan</v>
      </c>
      <c r="H10851" s="128" t="str">
        <f>VLOOKUP(source[[#This Row],[lending_product_transform]],[3]Mapping!$B$3:$D$37,3,0)</f>
        <v>cashloan</v>
      </c>
      <c r="I10851" s="135">
        <v>731610067</v>
      </c>
    </row>
    <row r="10852" spans="1:9" x14ac:dyDescent="0.2">
      <c r="A10852" s="134">
        <v>45988</v>
      </c>
      <c r="B10852" s="135">
        <f>YEAR(source[[#This Row],[report_date]])</f>
        <v>2025</v>
      </c>
      <c r="C10852" s="128">
        <f t="shared" si="505"/>
        <v>11</v>
      </c>
      <c r="D10852" s="136">
        <f t="shared" si="507"/>
        <v>48</v>
      </c>
      <c r="E10852" s="136">
        <f t="shared" si="506"/>
        <v>27</v>
      </c>
      <c r="F10852" s="137" t="s">
        <v>24</v>
      </c>
      <c r="G10852" s="128" t="str">
        <f>VLOOKUP(source[[#This Row],[lending_product_transform]],[3]Mapping!$B$4:$C$37,2,0)</f>
        <v>[Cake] - Cashloan</v>
      </c>
      <c r="H10852" s="128" t="str">
        <f>VLOOKUP(source[[#This Row],[lending_product_transform]],[3]Mapping!$B$3:$D$37,3,0)</f>
        <v>cashloan</v>
      </c>
      <c r="I10852" s="135">
        <v>0</v>
      </c>
    </row>
    <row r="10853" spans="1:9" x14ac:dyDescent="0.2">
      <c r="A10853" s="134">
        <v>45988</v>
      </c>
      <c r="B10853" s="135">
        <f>YEAR(source[[#This Row],[report_date]])</f>
        <v>2025</v>
      </c>
      <c r="C10853" s="128">
        <f t="shared" si="505"/>
        <v>11</v>
      </c>
      <c r="D10853" s="136">
        <f t="shared" si="507"/>
        <v>48</v>
      </c>
      <c r="E10853" s="136">
        <f t="shared" si="506"/>
        <v>27</v>
      </c>
      <c r="F10853" s="137" t="s">
        <v>24</v>
      </c>
      <c r="G10853" s="128" t="str">
        <f>VLOOKUP(source[[#This Row],[lending_product_transform]],[3]Mapping!$B$4:$C$37,2,0)</f>
        <v>[Cake] - Cashloan</v>
      </c>
      <c r="H10853" s="128" t="str">
        <f>VLOOKUP(source[[#This Row],[lending_product_transform]],[3]Mapping!$B$3:$D$37,3,0)</f>
        <v>cashloan</v>
      </c>
      <c r="I10853" s="135">
        <v>430000000</v>
      </c>
    </row>
    <row r="10854" spans="1:9" x14ac:dyDescent="0.2">
      <c r="A10854" s="134">
        <v>45988</v>
      </c>
      <c r="B10854" s="135">
        <f>YEAR(source[[#This Row],[report_date]])</f>
        <v>2025</v>
      </c>
      <c r="C10854" s="128">
        <f t="shared" si="505"/>
        <v>11</v>
      </c>
      <c r="D10854" s="136">
        <f t="shared" si="507"/>
        <v>48</v>
      </c>
      <c r="E10854" s="136">
        <f t="shared" si="506"/>
        <v>27</v>
      </c>
      <c r="F10854" s="137" t="s">
        <v>24</v>
      </c>
      <c r="G10854" s="128" t="str">
        <f>VLOOKUP(source[[#This Row],[lending_product_transform]],[3]Mapping!$B$4:$C$37,2,0)</f>
        <v>[Cake] - Cashloan</v>
      </c>
      <c r="H10854" s="128" t="str">
        <f>VLOOKUP(source[[#This Row],[lending_product_transform]],[3]Mapping!$B$3:$D$37,3,0)</f>
        <v>cashloan</v>
      </c>
      <c r="I10854" s="135">
        <v>15097970000</v>
      </c>
    </row>
    <row r="10855" spans="1:9" x14ac:dyDescent="0.2">
      <c r="A10855" s="134">
        <v>45988</v>
      </c>
      <c r="B10855" s="135">
        <f>YEAR(source[[#This Row],[report_date]])</f>
        <v>2025</v>
      </c>
      <c r="C10855" s="128">
        <f t="shared" si="505"/>
        <v>11</v>
      </c>
      <c r="D10855" s="136">
        <f t="shared" si="507"/>
        <v>48</v>
      </c>
      <c r="E10855" s="136">
        <f t="shared" si="506"/>
        <v>27</v>
      </c>
      <c r="F10855" s="137" t="s">
        <v>24</v>
      </c>
      <c r="G10855" s="128" t="str">
        <f>VLOOKUP(source[[#This Row],[lending_product_transform]],[3]Mapping!$B$4:$C$37,2,0)</f>
        <v>[Cake] - Cashloan</v>
      </c>
      <c r="H10855" s="128" t="str">
        <f>VLOOKUP(source[[#This Row],[lending_product_transform]],[3]Mapping!$B$3:$D$37,3,0)</f>
        <v>cashloan</v>
      </c>
      <c r="I10855" s="135">
        <v>0</v>
      </c>
    </row>
    <row r="10856" spans="1:9" x14ac:dyDescent="0.2">
      <c r="A10856" s="134">
        <v>45988</v>
      </c>
      <c r="B10856" s="135">
        <f>YEAR(source[[#This Row],[report_date]])</f>
        <v>2025</v>
      </c>
      <c r="C10856" s="128">
        <f t="shared" si="505"/>
        <v>11</v>
      </c>
      <c r="D10856" s="136">
        <f t="shared" si="507"/>
        <v>48</v>
      </c>
      <c r="E10856" s="136">
        <f t="shared" si="506"/>
        <v>27</v>
      </c>
      <c r="F10856" s="137" t="s">
        <v>24</v>
      </c>
      <c r="G10856" s="128" t="str">
        <f>VLOOKUP(source[[#This Row],[lending_product_transform]],[3]Mapping!$B$4:$C$37,2,0)</f>
        <v>[Cake] - Cashloan</v>
      </c>
      <c r="H10856" s="128" t="str">
        <f>VLOOKUP(source[[#This Row],[lending_product_transform]],[3]Mapping!$B$3:$D$37,3,0)</f>
        <v>cashloan</v>
      </c>
      <c r="I10856" s="135">
        <v>0</v>
      </c>
    </row>
    <row r="10857" spans="1:9" x14ac:dyDescent="0.2">
      <c r="A10857" s="134">
        <v>45988</v>
      </c>
      <c r="B10857" s="135">
        <f>YEAR(source[[#This Row],[report_date]])</f>
        <v>2025</v>
      </c>
      <c r="C10857" s="128">
        <f t="shared" si="505"/>
        <v>11</v>
      </c>
      <c r="D10857" s="136">
        <f t="shared" si="507"/>
        <v>48</v>
      </c>
      <c r="E10857" s="136">
        <f t="shared" si="506"/>
        <v>27</v>
      </c>
      <c r="F10857" s="137" t="s">
        <v>24</v>
      </c>
      <c r="G10857" s="128" t="str">
        <f>VLOOKUP(source[[#This Row],[lending_product_transform]],[3]Mapping!$B$4:$C$37,2,0)</f>
        <v>[Cake] - Cashloan</v>
      </c>
      <c r="H10857" s="128" t="str">
        <f>VLOOKUP(source[[#This Row],[lending_product_transform]],[3]Mapping!$B$3:$D$37,3,0)</f>
        <v>cashloan</v>
      </c>
      <c r="I10857" s="135">
        <v>0</v>
      </c>
    </row>
    <row r="10858" spans="1:9" x14ac:dyDescent="0.2">
      <c r="A10858" s="134">
        <v>45988</v>
      </c>
      <c r="B10858" s="135">
        <f>YEAR(source[[#This Row],[report_date]])</f>
        <v>2025</v>
      </c>
      <c r="C10858" s="128">
        <f t="shared" si="505"/>
        <v>11</v>
      </c>
      <c r="D10858" s="136">
        <f t="shared" si="507"/>
        <v>48</v>
      </c>
      <c r="E10858" s="136">
        <f t="shared" si="506"/>
        <v>27</v>
      </c>
      <c r="F10858" s="137" t="s">
        <v>24</v>
      </c>
      <c r="G10858" s="128" t="str">
        <f>VLOOKUP(source[[#This Row],[lending_product_transform]],[3]Mapping!$B$4:$C$37,2,0)</f>
        <v>[Cake] - Cashloan</v>
      </c>
      <c r="H10858" s="128" t="str">
        <f>VLOOKUP(source[[#This Row],[lending_product_transform]],[3]Mapping!$B$3:$D$37,3,0)</f>
        <v>cashloan</v>
      </c>
      <c r="I10858" s="135">
        <v>0</v>
      </c>
    </row>
    <row r="10859" spans="1:9" x14ac:dyDescent="0.2">
      <c r="A10859" s="134">
        <v>45988</v>
      </c>
      <c r="B10859" s="135">
        <f>YEAR(source[[#This Row],[report_date]])</f>
        <v>2025</v>
      </c>
      <c r="C10859" s="128">
        <f t="shared" si="505"/>
        <v>11</v>
      </c>
      <c r="D10859" s="136">
        <f t="shared" si="507"/>
        <v>48</v>
      </c>
      <c r="E10859" s="136">
        <f t="shared" si="506"/>
        <v>27</v>
      </c>
      <c r="F10859" s="137" t="s">
        <v>24</v>
      </c>
      <c r="G10859" s="128" t="str">
        <f>VLOOKUP(source[[#This Row],[lending_product_transform]],[3]Mapping!$B$4:$C$37,2,0)</f>
        <v>[Cake] - Cashloan</v>
      </c>
      <c r="H10859" s="128" t="str">
        <f>VLOOKUP(source[[#This Row],[lending_product_transform]],[3]Mapping!$B$3:$D$37,3,0)</f>
        <v>cashloan</v>
      </c>
      <c r="I10859" s="135">
        <v>7792740000</v>
      </c>
    </row>
    <row r="10860" spans="1:9" x14ac:dyDescent="0.2">
      <c r="A10860" s="134">
        <v>45988</v>
      </c>
      <c r="B10860" s="135">
        <f>YEAR(source[[#This Row],[report_date]])</f>
        <v>2025</v>
      </c>
      <c r="C10860" s="128">
        <f t="shared" si="505"/>
        <v>11</v>
      </c>
      <c r="D10860" s="136">
        <f t="shared" si="507"/>
        <v>48</v>
      </c>
      <c r="E10860" s="136">
        <f t="shared" si="506"/>
        <v>27</v>
      </c>
      <c r="F10860" s="137" t="s">
        <v>24</v>
      </c>
      <c r="G10860" s="128" t="str">
        <f>VLOOKUP(source[[#This Row],[lending_product_transform]],[3]Mapping!$B$4:$C$37,2,0)</f>
        <v>[Cake] - Cashloan</v>
      </c>
      <c r="H10860" s="128" t="str">
        <f>VLOOKUP(source[[#This Row],[lending_product_transform]],[3]Mapping!$B$3:$D$37,3,0)</f>
        <v>cashloan</v>
      </c>
      <c r="I10860" s="135">
        <v>171714933</v>
      </c>
    </row>
    <row r="10861" spans="1:9" x14ac:dyDescent="0.2">
      <c r="A10861" s="134">
        <v>45988</v>
      </c>
      <c r="B10861" s="135">
        <f>YEAR(source[[#This Row],[report_date]])</f>
        <v>2025</v>
      </c>
      <c r="C10861" s="128">
        <f t="shared" si="505"/>
        <v>11</v>
      </c>
      <c r="D10861" s="136">
        <f t="shared" si="507"/>
        <v>48</v>
      </c>
      <c r="E10861" s="136">
        <f t="shared" si="506"/>
        <v>27</v>
      </c>
      <c r="F10861" s="137" t="s">
        <v>24</v>
      </c>
      <c r="G10861" s="128" t="str">
        <f>VLOOKUP(source[[#This Row],[lending_product_transform]],[3]Mapping!$B$4:$C$37,2,0)</f>
        <v>[Cake] - Cashloan</v>
      </c>
      <c r="H10861" s="128" t="str">
        <f>VLOOKUP(source[[#This Row],[lending_product_transform]],[3]Mapping!$B$3:$D$37,3,0)</f>
        <v>cashloan</v>
      </c>
      <c r="I10861" s="135">
        <v>10500000</v>
      </c>
    </row>
    <row r="10862" spans="1:9" x14ac:dyDescent="0.2">
      <c r="A10862" s="134">
        <v>45988</v>
      </c>
      <c r="B10862" s="135">
        <f>YEAR(source[[#This Row],[report_date]])</f>
        <v>2025</v>
      </c>
      <c r="C10862" s="128">
        <f t="shared" si="505"/>
        <v>11</v>
      </c>
      <c r="D10862" s="136">
        <f t="shared" si="507"/>
        <v>48</v>
      </c>
      <c r="E10862" s="136">
        <f t="shared" si="506"/>
        <v>27</v>
      </c>
      <c r="F10862" s="137" t="s">
        <v>24</v>
      </c>
      <c r="G10862" s="128" t="str">
        <f>VLOOKUP(source[[#This Row],[lending_product_transform]],[3]Mapping!$B$4:$C$37,2,0)</f>
        <v>[Cake] - Cashloan</v>
      </c>
      <c r="H10862" s="128" t="str">
        <f>VLOOKUP(source[[#This Row],[lending_product_transform]],[3]Mapping!$B$3:$D$37,3,0)</f>
        <v>cashloan</v>
      </c>
      <c r="I10862" s="135">
        <v>75000000</v>
      </c>
    </row>
    <row r="10863" spans="1:9" x14ac:dyDescent="0.2">
      <c r="A10863" s="134">
        <v>45988</v>
      </c>
      <c r="B10863" s="135">
        <f>YEAR(source[[#This Row],[report_date]])</f>
        <v>2025</v>
      </c>
      <c r="C10863" s="128">
        <f t="shared" si="505"/>
        <v>11</v>
      </c>
      <c r="D10863" s="136">
        <f t="shared" si="507"/>
        <v>48</v>
      </c>
      <c r="E10863" s="136">
        <f t="shared" si="506"/>
        <v>27</v>
      </c>
      <c r="F10863" s="137" t="s">
        <v>24</v>
      </c>
      <c r="G10863" s="128" t="str">
        <f>VLOOKUP(source[[#This Row],[lending_product_transform]],[3]Mapping!$B$4:$C$37,2,0)</f>
        <v>[Cake] - Cashloan</v>
      </c>
      <c r="H10863" s="128" t="str">
        <f>VLOOKUP(source[[#This Row],[lending_product_transform]],[3]Mapping!$B$3:$D$37,3,0)</f>
        <v>cashloan</v>
      </c>
      <c r="I10863" s="135">
        <v>635400000</v>
      </c>
    </row>
    <row r="10864" spans="1:9" x14ac:dyDescent="0.2">
      <c r="A10864" s="134">
        <v>45988</v>
      </c>
      <c r="B10864" s="135">
        <f>YEAR(source[[#This Row],[report_date]])</f>
        <v>2025</v>
      </c>
      <c r="C10864" s="128">
        <f t="shared" si="505"/>
        <v>11</v>
      </c>
      <c r="D10864" s="136">
        <f t="shared" si="507"/>
        <v>48</v>
      </c>
      <c r="E10864" s="136">
        <f t="shared" si="506"/>
        <v>27</v>
      </c>
      <c r="F10864" s="137" t="s">
        <v>24</v>
      </c>
      <c r="G10864" s="128" t="str">
        <f>VLOOKUP(source[[#This Row],[lending_product_transform]],[3]Mapping!$B$4:$C$37,2,0)</f>
        <v>[Cake] - Cashloan</v>
      </c>
      <c r="H10864" s="128" t="str">
        <f>VLOOKUP(source[[#This Row],[lending_product_transform]],[3]Mapping!$B$3:$D$37,3,0)</f>
        <v>cashloan</v>
      </c>
      <c r="I10864" s="135">
        <v>211248000</v>
      </c>
    </row>
    <row r="10865" spans="1:9" x14ac:dyDescent="0.2">
      <c r="A10865" s="134">
        <v>45988</v>
      </c>
      <c r="B10865" s="135">
        <f>YEAR(source[[#This Row],[report_date]])</f>
        <v>2025</v>
      </c>
      <c r="C10865" s="128">
        <f t="shared" si="505"/>
        <v>11</v>
      </c>
      <c r="D10865" s="136">
        <f t="shared" si="507"/>
        <v>48</v>
      </c>
      <c r="E10865" s="136">
        <f t="shared" si="506"/>
        <v>27</v>
      </c>
      <c r="F10865" s="137" t="s">
        <v>24</v>
      </c>
      <c r="G10865" s="128" t="str">
        <f>VLOOKUP(source[[#This Row],[lending_product_transform]],[3]Mapping!$B$4:$C$37,2,0)</f>
        <v>[Cake] - Cashloan</v>
      </c>
      <c r="H10865" s="128" t="str">
        <f>VLOOKUP(source[[#This Row],[lending_product_transform]],[3]Mapping!$B$3:$D$37,3,0)</f>
        <v>cashloan</v>
      </c>
      <c r="I10865" s="135">
        <v>457045061</v>
      </c>
    </row>
    <row r="10866" spans="1:9" x14ac:dyDescent="0.2">
      <c r="A10866" s="134">
        <v>45988</v>
      </c>
      <c r="B10866" s="135">
        <f>YEAR(source[[#This Row],[report_date]])</f>
        <v>2025</v>
      </c>
      <c r="C10866" s="128">
        <f t="shared" si="505"/>
        <v>11</v>
      </c>
      <c r="D10866" s="136">
        <f t="shared" si="507"/>
        <v>48</v>
      </c>
      <c r="E10866" s="136">
        <f t="shared" si="506"/>
        <v>27</v>
      </c>
      <c r="F10866" s="137" t="s">
        <v>24</v>
      </c>
      <c r="G10866" s="128" t="str">
        <f>VLOOKUP(source[[#This Row],[lending_product_transform]],[3]Mapping!$B$4:$C$37,2,0)</f>
        <v>[Cake] - Cashloan</v>
      </c>
      <c r="H10866" s="128" t="str">
        <f>VLOOKUP(source[[#This Row],[lending_product_transform]],[3]Mapping!$B$3:$D$37,3,0)</f>
        <v>cashloan</v>
      </c>
      <c r="I10866" s="135">
        <v>2436480000</v>
      </c>
    </row>
    <row r="10867" spans="1:9" x14ac:dyDescent="0.2">
      <c r="A10867" s="134">
        <v>45989</v>
      </c>
      <c r="B10867" s="135">
        <f>YEAR(source[[#This Row],[report_date]])</f>
        <v>2025</v>
      </c>
      <c r="C10867" s="128">
        <f t="shared" si="505"/>
        <v>11</v>
      </c>
      <c r="D10867" s="136">
        <f t="shared" si="507"/>
        <v>48</v>
      </c>
      <c r="E10867" s="136">
        <f t="shared" si="506"/>
        <v>28</v>
      </c>
      <c r="F10867" s="137" t="s">
        <v>24</v>
      </c>
      <c r="G10867" s="128" t="str">
        <f>VLOOKUP(source[[#This Row],[lending_product_transform]],[3]Mapping!$B$4:$C$37,2,0)</f>
        <v>[Cake] - Cashloan</v>
      </c>
      <c r="H10867" s="128" t="str">
        <f>VLOOKUP(source[[#This Row],[lending_product_transform]],[3]Mapping!$B$3:$D$37,3,0)</f>
        <v>cashloan</v>
      </c>
      <c r="I10867" s="135">
        <v>82950000</v>
      </c>
    </row>
    <row r="10868" spans="1:9" x14ac:dyDescent="0.2">
      <c r="A10868" s="134">
        <v>45989</v>
      </c>
      <c r="B10868" s="135">
        <f>YEAR(source[[#This Row],[report_date]])</f>
        <v>2025</v>
      </c>
      <c r="C10868" s="128">
        <f t="shared" si="505"/>
        <v>11</v>
      </c>
      <c r="D10868" s="136">
        <f t="shared" si="507"/>
        <v>48</v>
      </c>
      <c r="E10868" s="136">
        <f t="shared" si="506"/>
        <v>28</v>
      </c>
      <c r="F10868" s="137" t="s">
        <v>24</v>
      </c>
      <c r="G10868" s="128" t="str">
        <f>VLOOKUP(source[[#This Row],[lending_product_transform]],[3]Mapping!$B$4:$C$37,2,0)</f>
        <v>[Cake] - Cashloan</v>
      </c>
      <c r="H10868" s="128" t="str">
        <f>VLOOKUP(source[[#This Row],[lending_product_transform]],[3]Mapping!$B$3:$D$37,3,0)</f>
        <v>cashloan</v>
      </c>
      <c r="I10868" s="135">
        <v>267552775</v>
      </c>
    </row>
    <row r="10869" spans="1:9" x14ac:dyDescent="0.2">
      <c r="A10869" s="134">
        <v>45989</v>
      </c>
      <c r="B10869" s="135">
        <f>YEAR(source[[#This Row],[report_date]])</f>
        <v>2025</v>
      </c>
      <c r="C10869" s="128">
        <f t="shared" si="505"/>
        <v>11</v>
      </c>
      <c r="D10869" s="136">
        <f t="shared" si="507"/>
        <v>48</v>
      </c>
      <c r="E10869" s="136">
        <f t="shared" si="506"/>
        <v>28</v>
      </c>
      <c r="F10869" s="137" t="s">
        <v>24</v>
      </c>
      <c r="G10869" s="128" t="str">
        <f>VLOOKUP(source[[#This Row],[lending_product_transform]],[3]Mapping!$B$4:$C$37,2,0)</f>
        <v>[Cake] - Cashloan</v>
      </c>
      <c r="H10869" s="128" t="str">
        <f>VLOOKUP(source[[#This Row],[lending_product_transform]],[3]Mapping!$B$3:$D$37,3,0)</f>
        <v>cashloan</v>
      </c>
      <c r="I10869" s="135">
        <v>29205690000</v>
      </c>
    </row>
    <row r="10870" spans="1:9" x14ac:dyDescent="0.2">
      <c r="A10870" s="134">
        <v>45989</v>
      </c>
      <c r="B10870" s="135">
        <f>YEAR(source[[#This Row],[report_date]])</f>
        <v>2025</v>
      </c>
      <c r="C10870" s="128">
        <f t="shared" ref="C10870:C10933" si="508">MONTH(A10870)</f>
        <v>11</v>
      </c>
      <c r="D10870" s="136">
        <f t="shared" si="507"/>
        <v>48</v>
      </c>
      <c r="E10870" s="136">
        <f t="shared" ref="E10870:E10933" si="509">DAY(A10870)</f>
        <v>28</v>
      </c>
      <c r="F10870" s="137" t="s">
        <v>24</v>
      </c>
      <c r="G10870" s="128" t="str">
        <f>VLOOKUP(source[[#This Row],[lending_product_transform]],[3]Mapping!$B$4:$C$37,2,0)</f>
        <v>[Cake] - Cashloan</v>
      </c>
      <c r="H10870" s="128" t="str">
        <f>VLOOKUP(source[[#This Row],[lending_product_transform]],[3]Mapping!$B$3:$D$37,3,0)</f>
        <v>cashloan</v>
      </c>
      <c r="I10870" s="135">
        <v>2551531217</v>
      </c>
    </row>
    <row r="10871" spans="1:9" x14ac:dyDescent="0.2">
      <c r="A10871" s="134">
        <v>45989</v>
      </c>
      <c r="B10871" s="135">
        <f>YEAR(source[[#This Row],[report_date]])</f>
        <v>2025</v>
      </c>
      <c r="C10871" s="128">
        <f t="shared" si="508"/>
        <v>11</v>
      </c>
      <c r="D10871" s="136">
        <f t="shared" si="507"/>
        <v>48</v>
      </c>
      <c r="E10871" s="136">
        <f t="shared" si="509"/>
        <v>28</v>
      </c>
      <c r="F10871" s="137" t="s">
        <v>24</v>
      </c>
      <c r="G10871" s="128" t="str">
        <f>VLOOKUP(source[[#This Row],[lending_product_transform]],[3]Mapping!$B$4:$C$37,2,0)</f>
        <v>[Cake] - Cashloan</v>
      </c>
      <c r="H10871" s="128" t="str">
        <f>VLOOKUP(source[[#This Row],[lending_product_transform]],[3]Mapping!$B$3:$D$37,3,0)</f>
        <v>cashloan</v>
      </c>
      <c r="I10871" s="135">
        <v>11124216000</v>
      </c>
    </row>
    <row r="10872" spans="1:9" x14ac:dyDescent="0.2">
      <c r="A10872" s="134">
        <v>45989</v>
      </c>
      <c r="B10872" s="135">
        <f>YEAR(source[[#This Row],[report_date]])</f>
        <v>2025</v>
      </c>
      <c r="C10872" s="128">
        <f t="shared" si="508"/>
        <v>11</v>
      </c>
      <c r="D10872" s="136">
        <f t="shared" si="507"/>
        <v>48</v>
      </c>
      <c r="E10872" s="136">
        <f t="shared" si="509"/>
        <v>28</v>
      </c>
      <c r="F10872" s="137" t="s">
        <v>24</v>
      </c>
      <c r="G10872" s="128" t="str">
        <f>VLOOKUP(source[[#This Row],[lending_product_transform]],[3]Mapping!$B$4:$C$37,2,0)</f>
        <v>[Cake] - Cashloan</v>
      </c>
      <c r="H10872" s="128" t="str">
        <f>VLOOKUP(source[[#This Row],[lending_product_transform]],[3]Mapping!$B$3:$D$37,3,0)</f>
        <v>cashloan</v>
      </c>
      <c r="I10872" s="135">
        <v>11927223</v>
      </c>
    </row>
    <row r="10873" spans="1:9" x14ac:dyDescent="0.2">
      <c r="A10873" s="134">
        <v>45989</v>
      </c>
      <c r="B10873" s="135">
        <f>YEAR(source[[#This Row],[report_date]])</f>
        <v>2025</v>
      </c>
      <c r="C10873" s="128">
        <f t="shared" si="508"/>
        <v>11</v>
      </c>
      <c r="D10873" s="136">
        <f t="shared" si="507"/>
        <v>48</v>
      </c>
      <c r="E10873" s="136">
        <f t="shared" si="509"/>
        <v>28</v>
      </c>
      <c r="F10873" s="137" t="s">
        <v>24</v>
      </c>
      <c r="G10873" s="128" t="str">
        <f>VLOOKUP(source[[#This Row],[lending_product_transform]],[3]Mapping!$B$4:$C$37,2,0)</f>
        <v>[Cake] - Cashloan</v>
      </c>
      <c r="H10873" s="128" t="str">
        <f>VLOOKUP(source[[#This Row],[lending_product_transform]],[3]Mapping!$B$3:$D$37,3,0)</f>
        <v>cashloan</v>
      </c>
      <c r="I10873" s="135">
        <v>3001780000</v>
      </c>
    </row>
    <row r="10874" spans="1:9" x14ac:dyDescent="0.2">
      <c r="A10874" s="134">
        <v>45989</v>
      </c>
      <c r="B10874" s="135">
        <f>YEAR(source[[#This Row],[report_date]])</f>
        <v>2025</v>
      </c>
      <c r="C10874" s="128">
        <f t="shared" si="508"/>
        <v>11</v>
      </c>
      <c r="D10874" s="136">
        <f t="shared" si="507"/>
        <v>48</v>
      </c>
      <c r="E10874" s="136">
        <f t="shared" si="509"/>
        <v>28</v>
      </c>
      <c r="F10874" s="137" t="s">
        <v>24</v>
      </c>
      <c r="G10874" s="128" t="str">
        <f>VLOOKUP(source[[#This Row],[lending_product_transform]],[3]Mapping!$B$4:$C$37,2,0)</f>
        <v>[Cake] - Cashloan</v>
      </c>
      <c r="H10874" s="128" t="str">
        <f>VLOOKUP(source[[#This Row],[lending_product_transform]],[3]Mapping!$B$3:$D$37,3,0)</f>
        <v>cashloan</v>
      </c>
      <c r="I10874" s="135">
        <v>6929725</v>
      </c>
    </row>
    <row r="10875" spans="1:9" x14ac:dyDescent="0.2">
      <c r="A10875" s="134">
        <v>45989</v>
      </c>
      <c r="B10875" s="135">
        <f>YEAR(source[[#This Row],[report_date]])</f>
        <v>2025</v>
      </c>
      <c r="C10875" s="128">
        <f t="shared" si="508"/>
        <v>11</v>
      </c>
      <c r="D10875" s="136">
        <f t="shared" si="507"/>
        <v>48</v>
      </c>
      <c r="E10875" s="136">
        <f t="shared" si="509"/>
        <v>28</v>
      </c>
      <c r="F10875" s="137" t="s">
        <v>24</v>
      </c>
      <c r="G10875" s="128" t="str">
        <f>VLOOKUP(source[[#This Row],[lending_product_transform]],[3]Mapping!$B$4:$C$37,2,0)</f>
        <v>[Cake] - Cashloan</v>
      </c>
      <c r="H10875" s="128" t="str">
        <f>VLOOKUP(source[[#This Row],[lending_product_transform]],[3]Mapping!$B$3:$D$37,3,0)</f>
        <v>cashloan</v>
      </c>
      <c r="I10875" s="135">
        <v>735210558</v>
      </c>
    </row>
    <row r="10876" spans="1:9" x14ac:dyDescent="0.2">
      <c r="A10876" s="134">
        <v>45989</v>
      </c>
      <c r="B10876" s="135">
        <f>YEAR(source[[#This Row],[report_date]])</f>
        <v>2025</v>
      </c>
      <c r="C10876" s="128">
        <f t="shared" si="508"/>
        <v>11</v>
      </c>
      <c r="D10876" s="136">
        <f t="shared" si="507"/>
        <v>48</v>
      </c>
      <c r="E10876" s="136">
        <f t="shared" si="509"/>
        <v>28</v>
      </c>
      <c r="F10876" s="137" t="s">
        <v>24</v>
      </c>
      <c r="G10876" s="128" t="str">
        <f>VLOOKUP(source[[#This Row],[lending_product_transform]],[3]Mapping!$B$4:$C$37,2,0)</f>
        <v>[Cake] - Cashloan</v>
      </c>
      <c r="H10876" s="128" t="str">
        <f>VLOOKUP(source[[#This Row],[lending_product_transform]],[3]Mapping!$B$3:$D$37,3,0)</f>
        <v>cashloan</v>
      </c>
      <c r="I10876" s="135">
        <v>0</v>
      </c>
    </row>
    <row r="10877" spans="1:9" x14ac:dyDescent="0.2">
      <c r="A10877" s="134">
        <v>45989</v>
      </c>
      <c r="B10877" s="135">
        <f>YEAR(source[[#This Row],[report_date]])</f>
        <v>2025</v>
      </c>
      <c r="C10877" s="128">
        <f t="shared" si="508"/>
        <v>11</v>
      </c>
      <c r="D10877" s="136">
        <f t="shared" si="507"/>
        <v>48</v>
      </c>
      <c r="E10877" s="136">
        <f t="shared" si="509"/>
        <v>28</v>
      </c>
      <c r="F10877" s="137" t="s">
        <v>24</v>
      </c>
      <c r="G10877" s="128" t="str">
        <f>VLOOKUP(source[[#This Row],[lending_product_transform]],[3]Mapping!$B$4:$C$37,2,0)</f>
        <v>[Cake] - Cashloan</v>
      </c>
      <c r="H10877" s="128" t="str">
        <f>VLOOKUP(source[[#This Row],[lending_product_transform]],[3]Mapping!$B$3:$D$37,3,0)</f>
        <v>cashloan</v>
      </c>
      <c r="I10877" s="135">
        <v>352350000</v>
      </c>
    </row>
    <row r="10878" spans="1:9" x14ac:dyDescent="0.2">
      <c r="A10878" s="134">
        <v>45989</v>
      </c>
      <c r="B10878" s="135">
        <f>YEAR(source[[#This Row],[report_date]])</f>
        <v>2025</v>
      </c>
      <c r="C10878" s="128">
        <f t="shared" si="508"/>
        <v>11</v>
      </c>
      <c r="D10878" s="136">
        <f t="shared" si="507"/>
        <v>48</v>
      </c>
      <c r="E10878" s="136">
        <f t="shared" si="509"/>
        <v>28</v>
      </c>
      <c r="F10878" s="137" t="s">
        <v>24</v>
      </c>
      <c r="G10878" s="128" t="str">
        <f>VLOOKUP(source[[#This Row],[lending_product_transform]],[3]Mapping!$B$4:$C$37,2,0)</f>
        <v>[Cake] - Cashloan</v>
      </c>
      <c r="H10878" s="128" t="str">
        <f>VLOOKUP(source[[#This Row],[lending_product_transform]],[3]Mapping!$B$3:$D$37,3,0)</f>
        <v>cashloan</v>
      </c>
      <c r="I10878" s="135">
        <v>17536440000</v>
      </c>
    </row>
    <row r="10879" spans="1:9" x14ac:dyDescent="0.2">
      <c r="A10879" s="134">
        <v>45989</v>
      </c>
      <c r="B10879" s="135">
        <f>YEAR(source[[#This Row],[report_date]])</f>
        <v>2025</v>
      </c>
      <c r="C10879" s="128">
        <f t="shared" si="508"/>
        <v>11</v>
      </c>
      <c r="D10879" s="136">
        <f t="shared" si="507"/>
        <v>48</v>
      </c>
      <c r="E10879" s="136">
        <f t="shared" si="509"/>
        <v>28</v>
      </c>
      <c r="F10879" s="137" t="s">
        <v>24</v>
      </c>
      <c r="G10879" s="128" t="str">
        <f>VLOOKUP(source[[#This Row],[lending_product_transform]],[3]Mapping!$B$4:$C$37,2,0)</f>
        <v>[Cake] - Cashloan</v>
      </c>
      <c r="H10879" s="128" t="str">
        <f>VLOOKUP(source[[#This Row],[lending_product_transform]],[3]Mapping!$B$3:$D$37,3,0)</f>
        <v>cashloan</v>
      </c>
      <c r="I10879" s="135">
        <v>0</v>
      </c>
    </row>
    <row r="10880" spans="1:9" x14ac:dyDescent="0.2">
      <c r="A10880" s="134">
        <v>45989</v>
      </c>
      <c r="B10880" s="135">
        <f>YEAR(source[[#This Row],[report_date]])</f>
        <v>2025</v>
      </c>
      <c r="C10880" s="128">
        <f t="shared" si="508"/>
        <v>11</v>
      </c>
      <c r="D10880" s="136">
        <f t="shared" si="507"/>
        <v>48</v>
      </c>
      <c r="E10880" s="136">
        <f t="shared" si="509"/>
        <v>28</v>
      </c>
      <c r="F10880" s="137" t="s">
        <v>24</v>
      </c>
      <c r="G10880" s="128" t="str">
        <f>VLOOKUP(source[[#This Row],[lending_product_transform]],[3]Mapping!$B$4:$C$37,2,0)</f>
        <v>[Cake] - Cashloan</v>
      </c>
      <c r="H10880" s="128" t="str">
        <f>VLOOKUP(source[[#This Row],[lending_product_transform]],[3]Mapping!$B$3:$D$37,3,0)</f>
        <v>cashloan</v>
      </c>
      <c r="I10880" s="135">
        <v>0</v>
      </c>
    </row>
    <row r="10881" spans="1:9" x14ac:dyDescent="0.2">
      <c r="A10881" s="134">
        <v>45989</v>
      </c>
      <c r="B10881" s="135">
        <f>YEAR(source[[#This Row],[report_date]])</f>
        <v>2025</v>
      </c>
      <c r="C10881" s="128">
        <f t="shared" si="508"/>
        <v>11</v>
      </c>
      <c r="D10881" s="136">
        <f t="shared" si="507"/>
        <v>48</v>
      </c>
      <c r="E10881" s="136">
        <f t="shared" si="509"/>
        <v>28</v>
      </c>
      <c r="F10881" s="137" t="s">
        <v>24</v>
      </c>
      <c r="G10881" s="128" t="str">
        <f>VLOOKUP(source[[#This Row],[lending_product_transform]],[3]Mapping!$B$4:$C$37,2,0)</f>
        <v>[Cake] - Cashloan</v>
      </c>
      <c r="H10881" s="128" t="str">
        <f>VLOOKUP(source[[#This Row],[lending_product_transform]],[3]Mapping!$B$3:$D$37,3,0)</f>
        <v>cashloan</v>
      </c>
      <c r="I10881" s="135">
        <v>0</v>
      </c>
    </row>
    <row r="10882" spans="1:9" x14ac:dyDescent="0.2">
      <c r="A10882" s="134">
        <v>45989</v>
      </c>
      <c r="B10882" s="135">
        <f>YEAR(source[[#This Row],[report_date]])</f>
        <v>2025</v>
      </c>
      <c r="C10882" s="128">
        <f t="shared" si="508"/>
        <v>11</v>
      </c>
      <c r="D10882" s="136">
        <f t="shared" si="507"/>
        <v>48</v>
      </c>
      <c r="E10882" s="136">
        <f t="shared" si="509"/>
        <v>28</v>
      </c>
      <c r="F10882" s="137" t="s">
        <v>24</v>
      </c>
      <c r="G10882" s="128" t="str">
        <f>VLOOKUP(source[[#This Row],[lending_product_transform]],[3]Mapping!$B$4:$C$37,2,0)</f>
        <v>[Cake] - Cashloan</v>
      </c>
      <c r="H10882" s="128" t="str">
        <f>VLOOKUP(source[[#This Row],[lending_product_transform]],[3]Mapping!$B$3:$D$37,3,0)</f>
        <v>cashloan</v>
      </c>
      <c r="I10882" s="135">
        <v>0</v>
      </c>
    </row>
    <row r="10883" spans="1:9" x14ac:dyDescent="0.2">
      <c r="A10883" s="134">
        <v>45989</v>
      </c>
      <c r="B10883" s="135">
        <f>YEAR(source[[#This Row],[report_date]])</f>
        <v>2025</v>
      </c>
      <c r="C10883" s="128">
        <f t="shared" si="508"/>
        <v>11</v>
      </c>
      <c r="D10883" s="136">
        <f t="shared" ref="D10883:D10946" si="510">WEEKNUM(A10883,2)</f>
        <v>48</v>
      </c>
      <c r="E10883" s="136">
        <f t="shared" si="509"/>
        <v>28</v>
      </c>
      <c r="F10883" s="137" t="s">
        <v>24</v>
      </c>
      <c r="G10883" s="128" t="str">
        <f>VLOOKUP(source[[#This Row],[lending_product_transform]],[3]Mapping!$B$4:$C$37,2,0)</f>
        <v>[Cake] - Cashloan</v>
      </c>
      <c r="H10883" s="128" t="str">
        <f>VLOOKUP(source[[#This Row],[lending_product_transform]],[3]Mapping!$B$3:$D$37,3,0)</f>
        <v>cashloan</v>
      </c>
      <c r="I10883" s="135">
        <v>9465336000</v>
      </c>
    </row>
    <row r="10884" spans="1:9" x14ac:dyDescent="0.2">
      <c r="A10884" s="134">
        <v>45989</v>
      </c>
      <c r="B10884" s="135">
        <f>YEAR(source[[#This Row],[report_date]])</f>
        <v>2025</v>
      </c>
      <c r="C10884" s="128">
        <f t="shared" si="508"/>
        <v>11</v>
      </c>
      <c r="D10884" s="136">
        <f t="shared" si="510"/>
        <v>48</v>
      </c>
      <c r="E10884" s="136">
        <f t="shared" si="509"/>
        <v>28</v>
      </c>
      <c r="F10884" s="137" t="s">
        <v>24</v>
      </c>
      <c r="G10884" s="128" t="str">
        <f>VLOOKUP(source[[#This Row],[lending_product_transform]],[3]Mapping!$B$4:$C$37,2,0)</f>
        <v>[Cake] - Cashloan</v>
      </c>
      <c r="H10884" s="128" t="str">
        <f>VLOOKUP(source[[#This Row],[lending_product_transform]],[3]Mapping!$B$3:$D$37,3,0)</f>
        <v>cashloan</v>
      </c>
      <c r="I10884" s="135">
        <v>154267734</v>
      </c>
    </row>
    <row r="10885" spans="1:9" x14ac:dyDescent="0.2">
      <c r="A10885" s="134">
        <v>45989</v>
      </c>
      <c r="B10885" s="135">
        <f>YEAR(source[[#This Row],[report_date]])</f>
        <v>2025</v>
      </c>
      <c r="C10885" s="128">
        <f t="shared" si="508"/>
        <v>11</v>
      </c>
      <c r="D10885" s="136">
        <f t="shared" si="510"/>
        <v>48</v>
      </c>
      <c r="E10885" s="136">
        <f t="shared" si="509"/>
        <v>28</v>
      </c>
      <c r="F10885" s="137" t="s">
        <v>24</v>
      </c>
      <c r="G10885" s="128" t="str">
        <f>VLOOKUP(source[[#This Row],[lending_product_transform]],[3]Mapping!$B$4:$C$37,2,0)</f>
        <v>[Cake] - Cashloan</v>
      </c>
      <c r="H10885" s="128" t="str">
        <f>VLOOKUP(source[[#This Row],[lending_product_transform]],[3]Mapping!$B$3:$D$37,3,0)</f>
        <v>cashloan</v>
      </c>
      <c r="I10885" s="135">
        <v>31500000</v>
      </c>
    </row>
    <row r="10886" spans="1:9" x14ac:dyDescent="0.2">
      <c r="A10886" s="134">
        <v>45989</v>
      </c>
      <c r="B10886" s="135">
        <f>YEAR(source[[#This Row],[report_date]])</f>
        <v>2025</v>
      </c>
      <c r="C10886" s="128">
        <f t="shared" si="508"/>
        <v>11</v>
      </c>
      <c r="D10886" s="136">
        <f t="shared" si="510"/>
        <v>48</v>
      </c>
      <c r="E10886" s="136">
        <f t="shared" si="509"/>
        <v>28</v>
      </c>
      <c r="F10886" s="137" t="s">
        <v>24</v>
      </c>
      <c r="G10886" s="128" t="str">
        <f>VLOOKUP(source[[#This Row],[lending_product_transform]],[3]Mapping!$B$4:$C$37,2,0)</f>
        <v>[Cake] - Cashloan</v>
      </c>
      <c r="H10886" s="128" t="str">
        <f>VLOOKUP(source[[#This Row],[lending_product_transform]],[3]Mapping!$B$3:$D$37,3,0)</f>
        <v>cashloan</v>
      </c>
      <c r="I10886" s="135">
        <v>68000000</v>
      </c>
    </row>
    <row r="10887" spans="1:9" x14ac:dyDescent="0.2">
      <c r="A10887" s="134">
        <v>45989</v>
      </c>
      <c r="B10887" s="135">
        <f>YEAR(source[[#This Row],[report_date]])</f>
        <v>2025</v>
      </c>
      <c r="C10887" s="128">
        <f t="shared" si="508"/>
        <v>11</v>
      </c>
      <c r="D10887" s="136">
        <f t="shared" si="510"/>
        <v>48</v>
      </c>
      <c r="E10887" s="136">
        <f t="shared" si="509"/>
        <v>28</v>
      </c>
      <c r="F10887" s="137" t="s">
        <v>24</v>
      </c>
      <c r="G10887" s="128" t="str">
        <f>VLOOKUP(source[[#This Row],[lending_product_transform]],[3]Mapping!$B$4:$C$37,2,0)</f>
        <v>[Cake] - Cashloan</v>
      </c>
      <c r="H10887" s="128" t="str">
        <f>VLOOKUP(source[[#This Row],[lending_product_transform]],[3]Mapping!$B$3:$D$37,3,0)</f>
        <v>cashloan</v>
      </c>
      <c r="I10887" s="135">
        <v>558690000</v>
      </c>
    </row>
    <row r="10888" spans="1:9" x14ac:dyDescent="0.2">
      <c r="A10888" s="134">
        <v>45989</v>
      </c>
      <c r="B10888" s="135">
        <f>YEAR(source[[#This Row],[report_date]])</f>
        <v>2025</v>
      </c>
      <c r="C10888" s="128">
        <f t="shared" si="508"/>
        <v>11</v>
      </c>
      <c r="D10888" s="136">
        <f t="shared" si="510"/>
        <v>48</v>
      </c>
      <c r="E10888" s="136">
        <f t="shared" si="509"/>
        <v>28</v>
      </c>
      <c r="F10888" s="137" t="s">
        <v>24</v>
      </c>
      <c r="G10888" s="128" t="str">
        <f>VLOOKUP(source[[#This Row],[lending_product_transform]],[3]Mapping!$B$4:$C$37,2,0)</f>
        <v>[Cake] - Cashloan</v>
      </c>
      <c r="H10888" s="128" t="str">
        <f>VLOOKUP(source[[#This Row],[lending_product_transform]],[3]Mapping!$B$3:$D$37,3,0)</f>
        <v>cashloan</v>
      </c>
      <c r="I10888" s="135">
        <v>207900000</v>
      </c>
    </row>
    <row r="10889" spans="1:9" x14ac:dyDescent="0.2">
      <c r="A10889" s="134">
        <v>45989</v>
      </c>
      <c r="B10889" s="135">
        <f>YEAR(source[[#This Row],[report_date]])</f>
        <v>2025</v>
      </c>
      <c r="C10889" s="128">
        <f t="shared" si="508"/>
        <v>11</v>
      </c>
      <c r="D10889" s="136">
        <f t="shared" si="510"/>
        <v>48</v>
      </c>
      <c r="E10889" s="136">
        <f t="shared" si="509"/>
        <v>28</v>
      </c>
      <c r="F10889" s="137" t="s">
        <v>24</v>
      </c>
      <c r="G10889" s="128" t="str">
        <f>VLOOKUP(source[[#This Row],[lending_product_transform]],[3]Mapping!$B$4:$C$37,2,0)</f>
        <v>[Cake] - Cashloan</v>
      </c>
      <c r="H10889" s="128" t="str">
        <f>VLOOKUP(source[[#This Row],[lending_product_transform]],[3]Mapping!$B$3:$D$37,3,0)</f>
        <v>cashloan</v>
      </c>
      <c r="I10889" s="135">
        <v>492526031</v>
      </c>
    </row>
    <row r="10890" spans="1:9" x14ac:dyDescent="0.2">
      <c r="A10890" s="134">
        <v>45989</v>
      </c>
      <c r="B10890" s="135">
        <f>YEAR(source[[#This Row],[report_date]])</f>
        <v>2025</v>
      </c>
      <c r="C10890" s="128">
        <f t="shared" si="508"/>
        <v>11</v>
      </c>
      <c r="D10890" s="136">
        <f t="shared" si="510"/>
        <v>48</v>
      </c>
      <c r="E10890" s="136">
        <f t="shared" si="509"/>
        <v>28</v>
      </c>
      <c r="F10890" s="137" t="s">
        <v>24</v>
      </c>
      <c r="G10890" s="128" t="str">
        <f>VLOOKUP(source[[#This Row],[lending_product_transform]],[3]Mapping!$B$4:$C$37,2,0)</f>
        <v>[Cake] - Cashloan</v>
      </c>
      <c r="H10890" s="128" t="str">
        <f>VLOOKUP(source[[#This Row],[lending_product_transform]],[3]Mapping!$B$3:$D$37,3,0)</f>
        <v>cashloan</v>
      </c>
      <c r="I10890" s="135">
        <v>3593710000</v>
      </c>
    </row>
    <row r="10891" spans="1:9" x14ac:dyDescent="0.2">
      <c r="A10891" s="134">
        <v>45990</v>
      </c>
      <c r="B10891" s="135">
        <f>YEAR(source[[#This Row],[report_date]])</f>
        <v>2025</v>
      </c>
      <c r="C10891" s="128">
        <f t="shared" si="508"/>
        <v>11</v>
      </c>
      <c r="D10891" s="136">
        <f t="shared" si="510"/>
        <v>48</v>
      </c>
      <c r="E10891" s="136">
        <f t="shared" si="509"/>
        <v>29</v>
      </c>
      <c r="F10891" s="137" t="s">
        <v>24</v>
      </c>
      <c r="G10891" s="128" t="str">
        <f>VLOOKUP(source[[#This Row],[lending_product_transform]],[3]Mapping!$B$4:$C$37,2,0)</f>
        <v>[Cake] - Cashloan</v>
      </c>
      <c r="H10891" s="128" t="str">
        <f>VLOOKUP(source[[#This Row],[lending_product_transform]],[3]Mapping!$B$3:$D$37,3,0)</f>
        <v>cashloan</v>
      </c>
      <c r="I10891" s="135">
        <v>69600000</v>
      </c>
    </row>
    <row r="10892" spans="1:9" x14ac:dyDescent="0.2">
      <c r="A10892" s="134">
        <v>45990</v>
      </c>
      <c r="B10892" s="135">
        <f>YEAR(source[[#This Row],[report_date]])</f>
        <v>2025</v>
      </c>
      <c r="C10892" s="128">
        <f t="shared" si="508"/>
        <v>11</v>
      </c>
      <c r="D10892" s="136">
        <f t="shared" si="510"/>
        <v>48</v>
      </c>
      <c r="E10892" s="136">
        <f t="shared" si="509"/>
        <v>29</v>
      </c>
      <c r="F10892" s="137" t="s">
        <v>24</v>
      </c>
      <c r="G10892" s="128" t="str">
        <f>VLOOKUP(source[[#This Row],[lending_product_transform]],[3]Mapping!$B$4:$C$37,2,0)</f>
        <v>[Cake] - Cashloan</v>
      </c>
      <c r="H10892" s="128" t="str">
        <f>VLOOKUP(source[[#This Row],[lending_product_transform]],[3]Mapping!$B$3:$D$37,3,0)</f>
        <v>cashloan</v>
      </c>
      <c r="I10892" s="135">
        <v>290675701</v>
      </c>
    </row>
    <row r="10893" spans="1:9" x14ac:dyDescent="0.2">
      <c r="A10893" s="134">
        <v>45990</v>
      </c>
      <c r="B10893" s="135">
        <f>YEAR(source[[#This Row],[report_date]])</f>
        <v>2025</v>
      </c>
      <c r="C10893" s="128">
        <f t="shared" si="508"/>
        <v>11</v>
      </c>
      <c r="D10893" s="136">
        <f t="shared" si="510"/>
        <v>48</v>
      </c>
      <c r="E10893" s="136">
        <f t="shared" si="509"/>
        <v>29</v>
      </c>
      <c r="F10893" s="137" t="s">
        <v>24</v>
      </c>
      <c r="G10893" s="128" t="str">
        <f>VLOOKUP(source[[#This Row],[lending_product_transform]],[3]Mapping!$B$4:$C$37,2,0)</f>
        <v>[Cake] - Cashloan</v>
      </c>
      <c r="H10893" s="128" t="str">
        <f>VLOOKUP(source[[#This Row],[lending_product_transform]],[3]Mapping!$B$3:$D$37,3,0)</f>
        <v>cashloan</v>
      </c>
      <c r="I10893" s="135">
        <v>29072380000</v>
      </c>
    </row>
    <row r="10894" spans="1:9" x14ac:dyDescent="0.2">
      <c r="A10894" s="134">
        <v>45990</v>
      </c>
      <c r="B10894" s="135">
        <f>YEAR(source[[#This Row],[report_date]])</f>
        <v>2025</v>
      </c>
      <c r="C10894" s="128">
        <f t="shared" si="508"/>
        <v>11</v>
      </c>
      <c r="D10894" s="136">
        <f t="shared" si="510"/>
        <v>48</v>
      </c>
      <c r="E10894" s="136">
        <f t="shared" si="509"/>
        <v>29</v>
      </c>
      <c r="F10894" s="137" t="s">
        <v>24</v>
      </c>
      <c r="G10894" s="128" t="str">
        <f>VLOOKUP(source[[#This Row],[lending_product_transform]],[3]Mapping!$B$4:$C$37,2,0)</f>
        <v>[Cake] - Cashloan</v>
      </c>
      <c r="H10894" s="128" t="str">
        <f>VLOOKUP(source[[#This Row],[lending_product_transform]],[3]Mapping!$B$3:$D$37,3,0)</f>
        <v>cashloan</v>
      </c>
      <c r="I10894" s="135">
        <v>1871997650</v>
      </c>
    </row>
    <row r="10895" spans="1:9" x14ac:dyDescent="0.2">
      <c r="A10895" s="134">
        <v>45990</v>
      </c>
      <c r="B10895" s="135">
        <f>YEAR(source[[#This Row],[report_date]])</f>
        <v>2025</v>
      </c>
      <c r="C10895" s="128">
        <f t="shared" si="508"/>
        <v>11</v>
      </c>
      <c r="D10895" s="136">
        <f t="shared" si="510"/>
        <v>48</v>
      </c>
      <c r="E10895" s="136">
        <f t="shared" si="509"/>
        <v>29</v>
      </c>
      <c r="F10895" s="137" t="s">
        <v>24</v>
      </c>
      <c r="G10895" s="128" t="str">
        <f>VLOOKUP(source[[#This Row],[lending_product_transform]],[3]Mapping!$B$4:$C$37,2,0)</f>
        <v>[Cake] - Cashloan</v>
      </c>
      <c r="H10895" s="128" t="str">
        <f>VLOOKUP(source[[#This Row],[lending_product_transform]],[3]Mapping!$B$3:$D$37,3,0)</f>
        <v>cashloan</v>
      </c>
      <c r="I10895" s="135">
        <v>10473624000</v>
      </c>
    </row>
    <row r="10896" spans="1:9" x14ac:dyDescent="0.2">
      <c r="A10896" s="134">
        <v>45990</v>
      </c>
      <c r="B10896" s="135">
        <f>YEAR(source[[#This Row],[report_date]])</f>
        <v>2025</v>
      </c>
      <c r="C10896" s="128">
        <f t="shared" si="508"/>
        <v>11</v>
      </c>
      <c r="D10896" s="136">
        <f t="shared" si="510"/>
        <v>48</v>
      </c>
      <c r="E10896" s="136">
        <f t="shared" si="509"/>
        <v>29</v>
      </c>
      <c r="F10896" s="137" t="s">
        <v>24</v>
      </c>
      <c r="G10896" s="128" t="str">
        <f>VLOOKUP(source[[#This Row],[lending_product_transform]],[3]Mapping!$B$4:$C$37,2,0)</f>
        <v>[Cake] - Cashloan</v>
      </c>
      <c r="H10896" s="128" t="str">
        <f>VLOOKUP(source[[#This Row],[lending_product_transform]],[3]Mapping!$B$3:$D$37,3,0)</f>
        <v>cashloan</v>
      </c>
      <c r="I10896" s="135">
        <v>13603189</v>
      </c>
    </row>
    <row r="10897" spans="1:9" x14ac:dyDescent="0.2">
      <c r="A10897" s="134">
        <v>45990</v>
      </c>
      <c r="B10897" s="135">
        <f>YEAR(source[[#This Row],[report_date]])</f>
        <v>2025</v>
      </c>
      <c r="C10897" s="128">
        <f t="shared" si="508"/>
        <v>11</v>
      </c>
      <c r="D10897" s="136">
        <f t="shared" si="510"/>
        <v>48</v>
      </c>
      <c r="E10897" s="136">
        <f t="shared" si="509"/>
        <v>29</v>
      </c>
      <c r="F10897" s="137" t="s">
        <v>24</v>
      </c>
      <c r="G10897" s="128" t="str">
        <f>VLOOKUP(source[[#This Row],[lending_product_transform]],[3]Mapping!$B$4:$C$37,2,0)</f>
        <v>[Cake] - Cashloan</v>
      </c>
      <c r="H10897" s="128" t="str">
        <f>VLOOKUP(source[[#This Row],[lending_product_transform]],[3]Mapping!$B$3:$D$37,3,0)</f>
        <v>cashloan</v>
      </c>
      <c r="I10897" s="135">
        <v>3107900000</v>
      </c>
    </row>
    <row r="10898" spans="1:9" x14ac:dyDescent="0.2">
      <c r="A10898" s="134">
        <v>45990</v>
      </c>
      <c r="B10898" s="135">
        <f>YEAR(source[[#This Row],[report_date]])</f>
        <v>2025</v>
      </c>
      <c r="C10898" s="128">
        <f t="shared" si="508"/>
        <v>11</v>
      </c>
      <c r="D10898" s="136">
        <f t="shared" si="510"/>
        <v>48</v>
      </c>
      <c r="E10898" s="136">
        <f t="shared" si="509"/>
        <v>29</v>
      </c>
      <c r="F10898" s="137" t="s">
        <v>24</v>
      </c>
      <c r="G10898" s="128" t="str">
        <f>VLOOKUP(source[[#This Row],[lending_product_transform]],[3]Mapping!$B$4:$C$37,2,0)</f>
        <v>[Cake] - Cashloan</v>
      </c>
      <c r="H10898" s="128" t="str">
        <f>VLOOKUP(source[[#This Row],[lending_product_transform]],[3]Mapping!$B$3:$D$37,3,0)</f>
        <v>cashloan</v>
      </c>
      <c r="I10898" s="135">
        <v>7110691</v>
      </c>
    </row>
    <row r="10899" spans="1:9" x14ac:dyDescent="0.2">
      <c r="A10899" s="134">
        <v>45990</v>
      </c>
      <c r="B10899" s="135">
        <f>YEAR(source[[#This Row],[report_date]])</f>
        <v>2025</v>
      </c>
      <c r="C10899" s="128">
        <f t="shared" si="508"/>
        <v>11</v>
      </c>
      <c r="D10899" s="136">
        <f t="shared" si="510"/>
        <v>48</v>
      </c>
      <c r="E10899" s="136">
        <f t="shared" si="509"/>
        <v>29</v>
      </c>
      <c r="F10899" s="137" t="s">
        <v>24</v>
      </c>
      <c r="G10899" s="128" t="str">
        <f>VLOOKUP(source[[#This Row],[lending_product_transform]],[3]Mapping!$B$4:$C$37,2,0)</f>
        <v>[Cake] - Cashloan</v>
      </c>
      <c r="H10899" s="128" t="str">
        <f>VLOOKUP(source[[#This Row],[lending_product_transform]],[3]Mapping!$B$3:$D$37,3,0)</f>
        <v>cashloan</v>
      </c>
      <c r="I10899" s="135">
        <v>814463864</v>
      </c>
    </row>
    <row r="10900" spans="1:9" x14ac:dyDescent="0.2">
      <c r="A10900" s="134">
        <v>45990</v>
      </c>
      <c r="B10900" s="135">
        <f>YEAR(source[[#This Row],[report_date]])</f>
        <v>2025</v>
      </c>
      <c r="C10900" s="128">
        <f t="shared" si="508"/>
        <v>11</v>
      </c>
      <c r="D10900" s="136">
        <f t="shared" si="510"/>
        <v>48</v>
      </c>
      <c r="E10900" s="136">
        <f t="shared" si="509"/>
        <v>29</v>
      </c>
      <c r="F10900" s="137" t="s">
        <v>24</v>
      </c>
      <c r="G10900" s="128" t="str">
        <f>VLOOKUP(source[[#This Row],[lending_product_transform]],[3]Mapping!$B$4:$C$37,2,0)</f>
        <v>[Cake] - Cashloan</v>
      </c>
      <c r="H10900" s="128" t="str">
        <f>VLOOKUP(source[[#This Row],[lending_product_transform]],[3]Mapping!$B$3:$D$37,3,0)</f>
        <v>cashloan</v>
      </c>
      <c r="I10900" s="135">
        <v>0</v>
      </c>
    </row>
    <row r="10901" spans="1:9" x14ac:dyDescent="0.2">
      <c r="A10901" s="134">
        <v>45990</v>
      </c>
      <c r="B10901" s="135">
        <f>YEAR(source[[#This Row],[report_date]])</f>
        <v>2025</v>
      </c>
      <c r="C10901" s="128">
        <f t="shared" si="508"/>
        <v>11</v>
      </c>
      <c r="D10901" s="136">
        <f t="shared" si="510"/>
        <v>48</v>
      </c>
      <c r="E10901" s="136">
        <f t="shared" si="509"/>
        <v>29</v>
      </c>
      <c r="F10901" s="137" t="s">
        <v>24</v>
      </c>
      <c r="G10901" s="128" t="str">
        <f>VLOOKUP(source[[#This Row],[lending_product_transform]],[3]Mapping!$B$4:$C$37,2,0)</f>
        <v>[Cake] - Cashloan</v>
      </c>
      <c r="H10901" s="128" t="str">
        <f>VLOOKUP(source[[#This Row],[lending_product_transform]],[3]Mapping!$B$3:$D$37,3,0)</f>
        <v>cashloan</v>
      </c>
      <c r="I10901" s="135">
        <v>271050000</v>
      </c>
    </row>
    <row r="10902" spans="1:9" x14ac:dyDescent="0.2">
      <c r="A10902" s="134">
        <v>45990</v>
      </c>
      <c r="B10902" s="135">
        <f>YEAR(source[[#This Row],[report_date]])</f>
        <v>2025</v>
      </c>
      <c r="C10902" s="128">
        <f t="shared" si="508"/>
        <v>11</v>
      </c>
      <c r="D10902" s="136">
        <f t="shared" si="510"/>
        <v>48</v>
      </c>
      <c r="E10902" s="136">
        <f t="shared" si="509"/>
        <v>29</v>
      </c>
      <c r="F10902" s="137" t="s">
        <v>24</v>
      </c>
      <c r="G10902" s="128" t="str">
        <f>VLOOKUP(source[[#This Row],[lending_product_transform]],[3]Mapping!$B$4:$C$37,2,0)</f>
        <v>[Cake] - Cashloan</v>
      </c>
      <c r="H10902" s="128" t="str">
        <f>VLOOKUP(source[[#This Row],[lending_product_transform]],[3]Mapping!$B$3:$D$37,3,0)</f>
        <v>cashloan</v>
      </c>
      <c r="I10902" s="135">
        <v>17634680000</v>
      </c>
    </row>
    <row r="10903" spans="1:9" x14ac:dyDescent="0.2">
      <c r="A10903" s="134">
        <v>45990</v>
      </c>
      <c r="B10903" s="135">
        <f>YEAR(source[[#This Row],[report_date]])</f>
        <v>2025</v>
      </c>
      <c r="C10903" s="128">
        <f t="shared" si="508"/>
        <v>11</v>
      </c>
      <c r="D10903" s="136">
        <f t="shared" si="510"/>
        <v>48</v>
      </c>
      <c r="E10903" s="136">
        <f t="shared" si="509"/>
        <v>29</v>
      </c>
      <c r="F10903" s="137" t="s">
        <v>24</v>
      </c>
      <c r="G10903" s="128" t="str">
        <f>VLOOKUP(source[[#This Row],[lending_product_transform]],[3]Mapping!$B$4:$C$37,2,0)</f>
        <v>[Cake] - Cashloan</v>
      </c>
      <c r="H10903" s="128" t="str">
        <f>VLOOKUP(source[[#This Row],[lending_product_transform]],[3]Mapping!$B$3:$D$37,3,0)</f>
        <v>cashloan</v>
      </c>
      <c r="I10903" s="135">
        <v>0</v>
      </c>
    </row>
    <row r="10904" spans="1:9" x14ac:dyDescent="0.2">
      <c r="A10904" s="134">
        <v>45990</v>
      </c>
      <c r="B10904" s="135">
        <f>YEAR(source[[#This Row],[report_date]])</f>
        <v>2025</v>
      </c>
      <c r="C10904" s="128">
        <f t="shared" si="508"/>
        <v>11</v>
      </c>
      <c r="D10904" s="136">
        <f t="shared" si="510"/>
        <v>48</v>
      </c>
      <c r="E10904" s="136">
        <f t="shared" si="509"/>
        <v>29</v>
      </c>
      <c r="F10904" s="137" t="s">
        <v>24</v>
      </c>
      <c r="G10904" s="128" t="str">
        <f>VLOOKUP(source[[#This Row],[lending_product_transform]],[3]Mapping!$B$4:$C$37,2,0)</f>
        <v>[Cake] - Cashloan</v>
      </c>
      <c r="H10904" s="128" t="str">
        <f>VLOOKUP(source[[#This Row],[lending_product_transform]],[3]Mapping!$B$3:$D$37,3,0)</f>
        <v>cashloan</v>
      </c>
      <c r="I10904" s="135">
        <v>0</v>
      </c>
    </row>
    <row r="10905" spans="1:9" x14ac:dyDescent="0.2">
      <c r="A10905" s="134">
        <v>45990</v>
      </c>
      <c r="B10905" s="135">
        <f>YEAR(source[[#This Row],[report_date]])</f>
        <v>2025</v>
      </c>
      <c r="C10905" s="128">
        <f t="shared" si="508"/>
        <v>11</v>
      </c>
      <c r="D10905" s="136">
        <f t="shared" si="510"/>
        <v>48</v>
      </c>
      <c r="E10905" s="136">
        <f t="shared" si="509"/>
        <v>29</v>
      </c>
      <c r="F10905" s="137" t="s">
        <v>24</v>
      </c>
      <c r="G10905" s="128" t="str">
        <f>VLOOKUP(source[[#This Row],[lending_product_transform]],[3]Mapping!$B$4:$C$37,2,0)</f>
        <v>[Cake] - Cashloan</v>
      </c>
      <c r="H10905" s="128" t="str">
        <f>VLOOKUP(source[[#This Row],[lending_product_transform]],[3]Mapping!$B$3:$D$37,3,0)</f>
        <v>cashloan</v>
      </c>
      <c r="I10905" s="135">
        <v>0</v>
      </c>
    </row>
    <row r="10906" spans="1:9" x14ac:dyDescent="0.2">
      <c r="A10906" s="134">
        <v>45990</v>
      </c>
      <c r="B10906" s="135">
        <f>YEAR(source[[#This Row],[report_date]])</f>
        <v>2025</v>
      </c>
      <c r="C10906" s="128">
        <f t="shared" si="508"/>
        <v>11</v>
      </c>
      <c r="D10906" s="136">
        <f t="shared" si="510"/>
        <v>48</v>
      </c>
      <c r="E10906" s="136">
        <f t="shared" si="509"/>
        <v>29</v>
      </c>
      <c r="F10906" s="137" t="s">
        <v>24</v>
      </c>
      <c r="G10906" s="128" t="str">
        <f>VLOOKUP(source[[#This Row],[lending_product_transform]],[3]Mapping!$B$4:$C$37,2,0)</f>
        <v>[Cake] - Cashloan</v>
      </c>
      <c r="H10906" s="128" t="str">
        <f>VLOOKUP(source[[#This Row],[lending_product_transform]],[3]Mapping!$B$3:$D$37,3,0)</f>
        <v>cashloan</v>
      </c>
      <c r="I10906" s="135">
        <v>0</v>
      </c>
    </row>
    <row r="10907" spans="1:9" x14ac:dyDescent="0.2">
      <c r="A10907" s="134">
        <v>45990</v>
      </c>
      <c r="B10907" s="135">
        <f>YEAR(source[[#This Row],[report_date]])</f>
        <v>2025</v>
      </c>
      <c r="C10907" s="128">
        <f t="shared" si="508"/>
        <v>11</v>
      </c>
      <c r="D10907" s="136">
        <f t="shared" si="510"/>
        <v>48</v>
      </c>
      <c r="E10907" s="136">
        <f t="shared" si="509"/>
        <v>29</v>
      </c>
      <c r="F10907" s="137" t="s">
        <v>24</v>
      </c>
      <c r="G10907" s="128" t="str">
        <f>VLOOKUP(source[[#This Row],[lending_product_transform]],[3]Mapping!$B$4:$C$37,2,0)</f>
        <v>[Cake] - Cashloan</v>
      </c>
      <c r="H10907" s="128" t="str">
        <f>VLOOKUP(source[[#This Row],[lending_product_transform]],[3]Mapping!$B$3:$D$37,3,0)</f>
        <v>cashloan</v>
      </c>
      <c r="I10907" s="135">
        <v>8817984000</v>
      </c>
    </row>
    <row r="10908" spans="1:9" x14ac:dyDescent="0.2">
      <c r="A10908" s="134">
        <v>45990</v>
      </c>
      <c r="B10908" s="135">
        <f>YEAR(source[[#This Row],[report_date]])</f>
        <v>2025</v>
      </c>
      <c r="C10908" s="128">
        <f t="shared" si="508"/>
        <v>11</v>
      </c>
      <c r="D10908" s="136">
        <f t="shared" si="510"/>
        <v>48</v>
      </c>
      <c r="E10908" s="136">
        <f t="shared" si="509"/>
        <v>29</v>
      </c>
      <c r="F10908" s="137" t="s">
        <v>24</v>
      </c>
      <c r="G10908" s="128" t="str">
        <f>VLOOKUP(source[[#This Row],[lending_product_transform]],[3]Mapping!$B$4:$C$37,2,0)</f>
        <v>[Cake] - Cashloan</v>
      </c>
      <c r="H10908" s="128" t="str">
        <f>VLOOKUP(source[[#This Row],[lending_product_transform]],[3]Mapping!$B$3:$D$37,3,0)</f>
        <v>cashloan</v>
      </c>
      <c r="I10908" s="135">
        <v>148990733</v>
      </c>
    </row>
    <row r="10909" spans="1:9" x14ac:dyDescent="0.2">
      <c r="A10909" s="134">
        <v>45990</v>
      </c>
      <c r="B10909" s="135">
        <f>YEAR(source[[#This Row],[report_date]])</f>
        <v>2025</v>
      </c>
      <c r="C10909" s="128">
        <f t="shared" si="508"/>
        <v>11</v>
      </c>
      <c r="D10909" s="136">
        <f t="shared" si="510"/>
        <v>48</v>
      </c>
      <c r="E10909" s="136">
        <f t="shared" si="509"/>
        <v>29</v>
      </c>
      <c r="F10909" s="137" t="s">
        <v>24</v>
      </c>
      <c r="G10909" s="128" t="str">
        <f>VLOOKUP(source[[#This Row],[lending_product_transform]],[3]Mapping!$B$4:$C$37,2,0)</f>
        <v>[Cake] - Cashloan</v>
      </c>
      <c r="H10909" s="128" t="str">
        <f>VLOOKUP(source[[#This Row],[lending_product_transform]],[3]Mapping!$B$3:$D$37,3,0)</f>
        <v>cashloan</v>
      </c>
      <c r="I10909" s="135">
        <v>0</v>
      </c>
    </row>
    <row r="10910" spans="1:9" x14ac:dyDescent="0.2">
      <c r="A10910" s="134">
        <v>45990</v>
      </c>
      <c r="B10910" s="135">
        <f>YEAR(source[[#This Row],[report_date]])</f>
        <v>2025</v>
      </c>
      <c r="C10910" s="128">
        <f t="shared" si="508"/>
        <v>11</v>
      </c>
      <c r="D10910" s="136">
        <f t="shared" si="510"/>
        <v>48</v>
      </c>
      <c r="E10910" s="136">
        <f t="shared" si="509"/>
        <v>29</v>
      </c>
      <c r="F10910" s="137" t="s">
        <v>24</v>
      </c>
      <c r="G10910" s="128" t="str">
        <f>VLOOKUP(source[[#This Row],[lending_product_transform]],[3]Mapping!$B$4:$C$37,2,0)</f>
        <v>[Cake] - Cashloan</v>
      </c>
      <c r="H10910" s="128" t="str">
        <f>VLOOKUP(source[[#This Row],[lending_product_transform]],[3]Mapping!$B$3:$D$37,3,0)</f>
        <v>cashloan</v>
      </c>
      <c r="I10910" s="135">
        <v>26000000</v>
      </c>
    </row>
    <row r="10911" spans="1:9" x14ac:dyDescent="0.2">
      <c r="A10911" s="134">
        <v>45990</v>
      </c>
      <c r="B10911" s="135">
        <f>YEAR(source[[#This Row],[report_date]])</f>
        <v>2025</v>
      </c>
      <c r="C10911" s="128">
        <f t="shared" si="508"/>
        <v>11</v>
      </c>
      <c r="D10911" s="136">
        <f t="shared" si="510"/>
        <v>48</v>
      </c>
      <c r="E10911" s="136">
        <f t="shared" si="509"/>
        <v>29</v>
      </c>
      <c r="F10911" s="137" t="s">
        <v>24</v>
      </c>
      <c r="G10911" s="128" t="str">
        <f>VLOOKUP(source[[#This Row],[lending_product_transform]],[3]Mapping!$B$4:$C$37,2,0)</f>
        <v>[Cake] - Cashloan</v>
      </c>
      <c r="H10911" s="128" t="str">
        <f>VLOOKUP(source[[#This Row],[lending_product_transform]],[3]Mapping!$B$3:$D$37,3,0)</f>
        <v>cashloan</v>
      </c>
      <c r="I10911" s="135">
        <v>681200000</v>
      </c>
    </row>
    <row r="10912" spans="1:9" x14ac:dyDescent="0.2">
      <c r="A10912" s="134">
        <v>45990</v>
      </c>
      <c r="B10912" s="135">
        <f>YEAR(source[[#This Row],[report_date]])</f>
        <v>2025</v>
      </c>
      <c r="C10912" s="128">
        <f t="shared" si="508"/>
        <v>11</v>
      </c>
      <c r="D10912" s="136">
        <f t="shared" si="510"/>
        <v>48</v>
      </c>
      <c r="E10912" s="136">
        <f t="shared" si="509"/>
        <v>29</v>
      </c>
      <c r="F10912" s="137" t="s">
        <v>24</v>
      </c>
      <c r="G10912" s="128" t="str">
        <f>VLOOKUP(source[[#This Row],[lending_product_transform]],[3]Mapping!$B$4:$C$37,2,0)</f>
        <v>[Cake] - Cashloan</v>
      </c>
      <c r="H10912" s="128" t="str">
        <f>VLOOKUP(source[[#This Row],[lending_product_transform]],[3]Mapping!$B$3:$D$37,3,0)</f>
        <v>cashloan</v>
      </c>
      <c r="I10912" s="135">
        <v>190728000</v>
      </c>
    </row>
    <row r="10913" spans="1:9" x14ac:dyDescent="0.2">
      <c r="A10913" s="134">
        <v>45990</v>
      </c>
      <c r="B10913" s="135">
        <f>YEAR(source[[#This Row],[report_date]])</f>
        <v>2025</v>
      </c>
      <c r="C10913" s="128">
        <f t="shared" si="508"/>
        <v>11</v>
      </c>
      <c r="D10913" s="136">
        <f t="shared" si="510"/>
        <v>48</v>
      </c>
      <c r="E10913" s="136">
        <f t="shared" si="509"/>
        <v>29</v>
      </c>
      <c r="F10913" s="137" t="s">
        <v>24</v>
      </c>
      <c r="G10913" s="128" t="str">
        <f>VLOOKUP(source[[#This Row],[lending_product_transform]],[3]Mapping!$B$4:$C$37,2,0)</f>
        <v>[Cake] - Cashloan</v>
      </c>
      <c r="H10913" s="128" t="str">
        <f>VLOOKUP(source[[#This Row],[lending_product_transform]],[3]Mapping!$B$3:$D$37,3,0)</f>
        <v>cashloan</v>
      </c>
      <c r="I10913" s="135">
        <v>461297627</v>
      </c>
    </row>
    <row r="10914" spans="1:9" x14ac:dyDescent="0.2">
      <c r="A10914" s="134">
        <v>45990</v>
      </c>
      <c r="B10914" s="135">
        <f>YEAR(source[[#This Row],[report_date]])</f>
        <v>2025</v>
      </c>
      <c r="C10914" s="128">
        <f t="shared" si="508"/>
        <v>11</v>
      </c>
      <c r="D10914" s="136">
        <f t="shared" si="510"/>
        <v>48</v>
      </c>
      <c r="E10914" s="136">
        <f t="shared" si="509"/>
        <v>29</v>
      </c>
      <c r="F10914" s="137" t="s">
        <v>24</v>
      </c>
      <c r="G10914" s="128" t="str">
        <f>VLOOKUP(source[[#This Row],[lending_product_transform]],[3]Mapping!$B$4:$C$37,2,0)</f>
        <v>[Cake] - Cashloan</v>
      </c>
      <c r="H10914" s="128" t="str">
        <f>VLOOKUP(source[[#This Row],[lending_product_transform]],[3]Mapping!$B$3:$D$37,3,0)</f>
        <v>cashloan</v>
      </c>
      <c r="I10914" s="135">
        <v>3540940000</v>
      </c>
    </row>
    <row r="10915" spans="1:9" x14ac:dyDescent="0.2">
      <c r="A10915" s="134">
        <v>45991</v>
      </c>
      <c r="B10915" s="135">
        <f>YEAR(source[[#This Row],[report_date]])</f>
        <v>2025</v>
      </c>
      <c r="C10915" s="128">
        <f t="shared" si="508"/>
        <v>11</v>
      </c>
      <c r="D10915" s="136">
        <f t="shared" si="510"/>
        <v>48</v>
      </c>
      <c r="E10915" s="136">
        <f t="shared" si="509"/>
        <v>30</v>
      </c>
      <c r="F10915" s="137" t="s">
        <v>24</v>
      </c>
      <c r="G10915" s="128" t="str">
        <f>VLOOKUP(source[[#This Row],[lending_product_transform]],[3]Mapping!$B$4:$C$37,2,0)</f>
        <v>[Cake] - Cashloan</v>
      </c>
      <c r="H10915" s="128" t="str">
        <f>VLOOKUP(source[[#This Row],[lending_product_transform]],[3]Mapping!$B$3:$D$37,3,0)</f>
        <v>cashloan</v>
      </c>
      <c r="I10915" s="135">
        <v>102400000</v>
      </c>
    </row>
    <row r="10916" spans="1:9" x14ac:dyDescent="0.2">
      <c r="A10916" s="134">
        <v>45991</v>
      </c>
      <c r="B10916" s="135">
        <f>YEAR(source[[#This Row],[report_date]])</f>
        <v>2025</v>
      </c>
      <c r="C10916" s="128">
        <f t="shared" si="508"/>
        <v>11</v>
      </c>
      <c r="D10916" s="136">
        <f t="shared" si="510"/>
        <v>48</v>
      </c>
      <c r="E10916" s="136">
        <f t="shared" si="509"/>
        <v>30</v>
      </c>
      <c r="F10916" s="137" t="s">
        <v>24</v>
      </c>
      <c r="G10916" s="128" t="str">
        <f>VLOOKUP(source[[#This Row],[lending_product_transform]],[3]Mapping!$B$4:$C$37,2,0)</f>
        <v>[Cake] - Cashloan</v>
      </c>
      <c r="H10916" s="128" t="str">
        <f>VLOOKUP(source[[#This Row],[lending_product_transform]],[3]Mapping!$B$3:$D$37,3,0)</f>
        <v>cashloan</v>
      </c>
      <c r="I10916" s="135">
        <v>280735588</v>
      </c>
    </row>
    <row r="10917" spans="1:9" x14ac:dyDescent="0.2">
      <c r="A10917" s="134">
        <v>45991</v>
      </c>
      <c r="B10917" s="135">
        <f>YEAR(source[[#This Row],[report_date]])</f>
        <v>2025</v>
      </c>
      <c r="C10917" s="128">
        <f t="shared" si="508"/>
        <v>11</v>
      </c>
      <c r="D10917" s="136">
        <f t="shared" si="510"/>
        <v>48</v>
      </c>
      <c r="E10917" s="136">
        <f t="shared" si="509"/>
        <v>30</v>
      </c>
      <c r="F10917" s="137" t="s">
        <v>24</v>
      </c>
      <c r="G10917" s="128" t="str">
        <f>VLOOKUP(source[[#This Row],[lending_product_transform]],[3]Mapping!$B$4:$C$37,2,0)</f>
        <v>[Cake] - Cashloan</v>
      </c>
      <c r="H10917" s="128" t="str">
        <f>VLOOKUP(source[[#This Row],[lending_product_transform]],[3]Mapping!$B$3:$D$37,3,0)</f>
        <v>cashloan</v>
      </c>
      <c r="I10917" s="135">
        <v>25391150000</v>
      </c>
    </row>
    <row r="10918" spans="1:9" x14ac:dyDescent="0.2">
      <c r="A10918" s="134">
        <v>45991</v>
      </c>
      <c r="B10918" s="135">
        <f>YEAR(source[[#This Row],[report_date]])</f>
        <v>2025</v>
      </c>
      <c r="C10918" s="128">
        <f t="shared" si="508"/>
        <v>11</v>
      </c>
      <c r="D10918" s="136">
        <f t="shared" si="510"/>
        <v>48</v>
      </c>
      <c r="E10918" s="136">
        <f t="shared" si="509"/>
        <v>30</v>
      </c>
      <c r="F10918" s="137" t="s">
        <v>24</v>
      </c>
      <c r="G10918" s="128" t="str">
        <f>VLOOKUP(source[[#This Row],[lending_product_transform]],[3]Mapping!$B$4:$C$37,2,0)</f>
        <v>[Cake] - Cashloan</v>
      </c>
      <c r="H10918" s="128" t="str">
        <f>VLOOKUP(source[[#This Row],[lending_product_transform]],[3]Mapping!$B$3:$D$37,3,0)</f>
        <v>cashloan</v>
      </c>
      <c r="I10918" s="135">
        <v>2280149651</v>
      </c>
    </row>
    <row r="10919" spans="1:9" x14ac:dyDescent="0.2">
      <c r="A10919" s="134">
        <v>45991</v>
      </c>
      <c r="B10919" s="135">
        <f>YEAR(source[[#This Row],[report_date]])</f>
        <v>2025</v>
      </c>
      <c r="C10919" s="128">
        <f t="shared" si="508"/>
        <v>11</v>
      </c>
      <c r="D10919" s="136">
        <f t="shared" si="510"/>
        <v>48</v>
      </c>
      <c r="E10919" s="136">
        <f t="shared" si="509"/>
        <v>30</v>
      </c>
      <c r="F10919" s="137" t="s">
        <v>24</v>
      </c>
      <c r="G10919" s="128" t="str">
        <f>VLOOKUP(source[[#This Row],[lending_product_transform]],[3]Mapping!$B$4:$C$37,2,0)</f>
        <v>[Cake] - Cashloan</v>
      </c>
      <c r="H10919" s="128" t="str">
        <f>VLOOKUP(source[[#This Row],[lending_product_transform]],[3]Mapping!$B$3:$D$37,3,0)</f>
        <v>cashloan</v>
      </c>
      <c r="I10919" s="135">
        <v>10853784000</v>
      </c>
    </row>
    <row r="10920" spans="1:9" x14ac:dyDescent="0.2">
      <c r="A10920" s="134">
        <v>45991</v>
      </c>
      <c r="B10920" s="135">
        <f>YEAR(source[[#This Row],[report_date]])</f>
        <v>2025</v>
      </c>
      <c r="C10920" s="128">
        <f t="shared" si="508"/>
        <v>11</v>
      </c>
      <c r="D10920" s="136">
        <f t="shared" si="510"/>
        <v>48</v>
      </c>
      <c r="E10920" s="136">
        <f t="shared" si="509"/>
        <v>30</v>
      </c>
      <c r="F10920" s="137" t="s">
        <v>24</v>
      </c>
      <c r="G10920" s="128" t="str">
        <f>VLOOKUP(source[[#This Row],[lending_product_transform]],[3]Mapping!$B$4:$C$37,2,0)</f>
        <v>[Cake] - Cashloan</v>
      </c>
      <c r="H10920" s="128" t="str">
        <f>VLOOKUP(source[[#This Row],[lending_product_transform]],[3]Mapping!$B$3:$D$37,3,0)</f>
        <v>cashloan</v>
      </c>
      <c r="I10920" s="135">
        <v>14499059</v>
      </c>
    </row>
    <row r="10921" spans="1:9" x14ac:dyDescent="0.2">
      <c r="A10921" s="134">
        <v>45991</v>
      </c>
      <c r="B10921" s="135">
        <f>YEAR(source[[#This Row],[report_date]])</f>
        <v>2025</v>
      </c>
      <c r="C10921" s="128">
        <f t="shared" si="508"/>
        <v>11</v>
      </c>
      <c r="D10921" s="136">
        <f t="shared" si="510"/>
        <v>48</v>
      </c>
      <c r="E10921" s="136">
        <f t="shared" si="509"/>
        <v>30</v>
      </c>
      <c r="F10921" s="137" t="s">
        <v>24</v>
      </c>
      <c r="G10921" s="128" t="str">
        <f>VLOOKUP(source[[#This Row],[lending_product_transform]],[3]Mapping!$B$4:$C$37,2,0)</f>
        <v>[Cake] - Cashloan</v>
      </c>
      <c r="H10921" s="128" t="str">
        <f>VLOOKUP(source[[#This Row],[lending_product_transform]],[3]Mapping!$B$3:$D$37,3,0)</f>
        <v>cashloan</v>
      </c>
      <c r="I10921" s="135">
        <v>3941480000</v>
      </c>
    </row>
    <row r="10922" spans="1:9" x14ac:dyDescent="0.2">
      <c r="A10922" s="134">
        <v>45991</v>
      </c>
      <c r="B10922" s="135">
        <f>YEAR(source[[#This Row],[report_date]])</f>
        <v>2025</v>
      </c>
      <c r="C10922" s="128">
        <f t="shared" si="508"/>
        <v>11</v>
      </c>
      <c r="D10922" s="136">
        <f t="shared" si="510"/>
        <v>48</v>
      </c>
      <c r="E10922" s="136">
        <f t="shared" si="509"/>
        <v>30</v>
      </c>
      <c r="F10922" s="137" t="s">
        <v>24</v>
      </c>
      <c r="G10922" s="128" t="str">
        <f>VLOOKUP(source[[#This Row],[lending_product_transform]],[3]Mapping!$B$4:$C$37,2,0)</f>
        <v>[Cake] - Cashloan</v>
      </c>
      <c r="H10922" s="128" t="str">
        <f>VLOOKUP(source[[#This Row],[lending_product_transform]],[3]Mapping!$B$3:$D$37,3,0)</f>
        <v>cashloan</v>
      </c>
      <c r="I10922" s="135">
        <v>19394599</v>
      </c>
    </row>
    <row r="10923" spans="1:9" x14ac:dyDescent="0.2">
      <c r="A10923" s="134">
        <v>45991</v>
      </c>
      <c r="B10923" s="135">
        <f>YEAR(source[[#This Row],[report_date]])</f>
        <v>2025</v>
      </c>
      <c r="C10923" s="128">
        <f t="shared" si="508"/>
        <v>11</v>
      </c>
      <c r="D10923" s="136">
        <f t="shared" si="510"/>
        <v>48</v>
      </c>
      <c r="E10923" s="136">
        <f t="shared" si="509"/>
        <v>30</v>
      </c>
      <c r="F10923" s="137" t="s">
        <v>24</v>
      </c>
      <c r="G10923" s="128" t="str">
        <f>VLOOKUP(source[[#This Row],[lending_product_transform]],[3]Mapping!$B$4:$C$37,2,0)</f>
        <v>[Cake] - Cashloan</v>
      </c>
      <c r="H10923" s="128" t="str">
        <f>VLOOKUP(source[[#This Row],[lending_product_transform]],[3]Mapping!$B$3:$D$37,3,0)</f>
        <v>cashloan</v>
      </c>
      <c r="I10923" s="135">
        <v>1053943953</v>
      </c>
    </row>
    <row r="10924" spans="1:9" x14ac:dyDescent="0.2">
      <c r="A10924" s="134">
        <v>45991</v>
      </c>
      <c r="B10924" s="135">
        <f>YEAR(source[[#This Row],[report_date]])</f>
        <v>2025</v>
      </c>
      <c r="C10924" s="128">
        <f t="shared" si="508"/>
        <v>11</v>
      </c>
      <c r="D10924" s="136">
        <f t="shared" si="510"/>
        <v>48</v>
      </c>
      <c r="E10924" s="136">
        <f t="shared" si="509"/>
        <v>30</v>
      </c>
      <c r="F10924" s="137" t="s">
        <v>24</v>
      </c>
      <c r="G10924" s="128" t="str">
        <f>VLOOKUP(source[[#This Row],[lending_product_transform]],[3]Mapping!$B$4:$C$37,2,0)</f>
        <v>[Cake] - Cashloan</v>
      </c>
      <c r="H10924" s="128" t="str">
        <f>VLOOKUP(source[[#This Row],[lending_product_transform]],[3]Mapping!$B$3:$D$37,3,0)</f>
        <v>cashloan</v>
      </c>
      <c r="I10924" s="135">
        <v>0</v>
      </c>
    </row>
    <row r="10925" spans="1:9" x14ac:dyDescent="0.2">
      <c r="A10925" s="134">
        <v>45991</v>
      </c>
      <c r="B10925" s="135">
        <f>YEAR(source[[#This Row],[report_date]])</f>
        <v>2025</v>
      </c>
      <c r="C10925" s="128">
        <f t="shared" si="508"/>
        <v>11</v>
      </c>
      <c r="D10925" s="136">
        <f t="shared" si="510"/>
        <v>48</v>
      </c>
      <c r="E10925" s="136">
        <f t="shared" si="509"/>
        <v>30</v>
      </c>
      <c r="F10925" s="137" t="s">
        <v>24</v>
      </c>
      <c r="G10925" s="128" t="str">
        <f>VLOOKUP(source[[#This Row],[lending_product_transform]],[3]Mapping!$B$4:$C$37,2,0)</f>
        <v>[Cake] - Cashloan</v>
      </c>
      <c r="H10925" s="128" t="str">
        <f>VLOOKUP(source[[#This Row],[lending_product_transform]],[3]Mapping!$B$3:$D$37,3,0)</f>
        <v>cashloan</v>
      </c>
      <c r="I10925" s="135">
        <v>350600000</v>
      </c>
    </row>
    <row r="10926" spans="1:9" x14ac:dyDescent="0.2">
      <c r="A10926" s="134">
        <v>45991</v>
      </c>
      <c r="B10926" s="135">
        <f>YEAR(source[[#This Row],[report_date]])</f>
        <v>2025</v>
      </c>
      <c r="C10926" s="128">
        <f t="shared" si="508"/>
        <v>11</v>
      </c>
      <c r="D10926" s="136">
        <f t="shared" si="510"/>
        <v>48</v>
      </c>
      <c r="E10926" s="136">
        <f t="shared" si="509"/>
        <v>30</v>
      </c>
      <c r="F10926" s="137" t="s">
        <v>24</v>
      </c>
      <c r="G10926" s="128" t="str">
        <f>VLOOKUP(source[[#This Row],[lending_product_transform]],[3]Mapping!$B$4:$C$37,2,0)</f>
        <v>[Cake] - Cashloan</v>
      </c>
      <c r="H10926" s="128" t="str">
        <f>VLOOKUP(source[[#This Row],[lending_product_transform]],[3]Mapping!$B$3:$D$37,3,0)</f>
        <v>cashloan</v>
      </c>
      <c r="I10926" s="135">
        <v>18185480000</v>
      </c>
    </row>
    <row r="10927" spans="1:9" x14ac:dyDescent="0.2">
      <c r="A10927" s="134">
        <v>45991</v>
      </c>
      <c r="B10927" s="135">
        <f>YEAR(source[[#This Row],[report_date]])</f>
        <v>2025</v>
      </c>
      <c r="C10927" s="128">
        <f t="shared" si="508"/>
        <v>11</v>
      </c>
      <c r="D10927" s="136">
        <f t="shared" si="510"/>
        <v>48</v>
      </c>
      <c r="E10927" s="136">
        <f t="shared" si="509"/>
        <v>30</v>
      </c>
      <c r="F10927" s="137" t="s">
        <v>24</v>
      </c>
      <c r="G10927" s="128" t="str">
        <f>VLOOKUP(source[[#This Row],[lending_product_transform]],[3]Mapping!$B$4:$C$37,2,0)</f>
        <v>[Cake] - Cashloan</v>
      </c>
      <c r="H10927" s="128" t="str">
        <f>VLOOKUP(source[[#This Row],[lending_product_transform]],[3]Mapping!$B$3:$D$37,3,0)</f>
        <v>cashloan</v>
      </c>
      <c r="I10927" s="135">
        <v>0</v>
      </c>
    </row>
    <row r="10928" spans="1:9" x14ac:dyDescent="0.2">
      <c r="A10928" s="134">
        <v>45991</v>
      </c>
      <c r="B10928" s="135">
        <f>YEAR(source[[#This Row],[report_date]])</f>
        <v>2025</v>
      </c>
      <c r="C10928" s="128">
        <f t="shared" si="508"/>
        <v>11</v>
      </c>
      <c r="D10928" s="136">
        <f t="shared" si="510"/>
        <v>48</v>
      </c>
      <c r="E10928" s="136">
        <f t="shared" si="509"/>
        <v>30</v>
      </c>
      <c r="F10928" s="137" t="s">
        <v>24</v>
      </c>
      <c r="G10928" s="128" t="str">
        <f>VLOOKUP(source[[#This Row],[lending_product_transform]],[3]Mapping!$B$4:$C$37,2,0)</f>
        <v>[Cake] - Cashloan</v>
      </c>
      <c r="H10928" s="128" t="str">
        <f>VLOOKUP(source[[#This Row],[lending_product_transform]],[3]Mapping!$B$3:$D$37,3,0)</f>
        <v>cashloan</v>
      </c>
      <c r="I10928" s="135">
        <v>0</v>
      </c>
    </row>
    <row r="10929" spans="1:9" x14ac:dyDescent="0.2">
      <c r="A10929" s="134">
        <v>45991</v>
      </c>
      <c r="B10929" s="135">
        <f>YEAR(source[[#This Row],[report_date]])</f>
        <v>2025</v>
      </c>
      <c r="C10929" s="128">
        <f t="shared" si="508"/>
        <v>11</v>
      </c>
      <c r="D10929" s="136">
        <f t="shared" si="510"/>
        <v>48</v>
      </c>
      <c r="E10929" s="136">
        <f t="shared" si="509"/>
        <v>30</v>
      </c>
      <c r="F10929" s="137" t="s">
        <v>24</v>
      </c>
      <c r="G10929" s="128" t="str">
        <f>VLOOKUP(source[[#This Row],[lending_product_transform]],[3]Mapping!$B$4:$C$37,2,0)</f>
        <v>[Cake] - Cashloan</v>
      </c>
      <c r="H10929" s="128" t="str">
        <f>VLOOKUP(source[[#This Row],[lending_product_transform]],[3]Mapping!$B$3:$D$37,3,0)</f>
        <v>cashloan</v>
      </c>
      <c r="I10929" s="135">
        <v>0</v>
      </c>
    </row>
    <row r="10930" spans="1:9" x14ac:dyDescent="0.2">
      <c r="A10930" s="134">
        <v>45991</v>
      </c>
      <c r="B10930" s="135">
        <f>YEAR(source[[#This Row],[report_date]])</f>
        <v>2025</v>
      </c>
      <c r="C10930" s="128">
        <f t="shared" si="508"/>
        <v>11</v>
      </c>
      <c r="D10930" s="136">
        <f t="shared" si="510"/>
        <v>48</v>
      </c>
      <c r="E10930" s="136">
        <f t="shared" si="509"/>
        <v>30</v>
      </c>
      <c r="F10930" s="137" t="s">
        <v>24</v>
      </c>
      <c r="G10930" s="128" t="str">
        <f>VLOOKUP(source[[#This Row],[lending_product_transform]],[3]Mapping!$B$4:$C$37,2,0)</f>
        <v>[Cake] - Cashloan</v>
      </c>
      <c r="H10930" s="128" t="str">
        <f>VLOOKUP(source[[#This Row],[lending_product_transform]],[3]Mapping!$B$3:$D$37,3,0)</f>
        <v>cashloan</v>
      </c>
      <c r="I10930" s="135">
        <v>0</v>
      </c>
    </row>
    <row r="10931" spans="1:9" x14ac:dyDescent="0.2">
      <c r="A10931" s="134">
        <v>45991</v>
      </c>
      <c r="B10931" s="135">
        <f>YEAR(source[[#This Row],[report_date]])</f>
        <v>2025</v>
      </c>
      <c r="C10931" s="128">
        <f t="shared" si="508"/>
        <v>11</v>
      </c>
      <c r="D10931" s="136">
        <f t="shared" si="510"/>
        <v>48</v>
      </c>
      <c r="E10931" s="136">
        <f t="shared" si="509"/>
        <v>30</v>
      </c>
      <c r="F10931" s="137" t="s">
        <v>24</v>
      </c>
      <c r="G10931" s="128" t="str">
        <f>VLOOKUP(source[[#This Row],[lending_product_transform]],[3]Mapping!$B$4:$C$37,2,0)</f>
        <v>[Cake] - Cashloan</v>
      </c>
      <c r="H10931" s="128" t="str">
        <f>VLOOKUP(source[[#This Row],[lending_product_transform]],[3]Mapping!$B$3:$D$37,3,0)</f>
        <v>cashloan</v>
      </c>
      <c r="I10931" s="135">
        <v>8920044000</v>
      </c>
    </row>
    <row r="10932" spans="1:9" x14ac:dyDescent="0.2">
      <c r="A10932" s="134">
        <v>45991</v>
      </c>
      <c r="B10932" s="135">
        <f>YEAR(source[[#This Row],[report_date]])</f>
        <v>2025</v>
      </c>
      <c r="C10932" s="128">
        <f t="shared" si="508"/>
        <v>11</v>
      </c>
      <c r="D10932" s="136">
        <f t="shared" si="510"/>
        <v>48</v>
      </c>
      <c r="E10932" s="136">
        <f t="shared" si="509"/>
        <v>30</v>
      </c>
      <c r="F10932" s="137" t="s">
        <v>24</v>
      </c>
      <c r="G10932" s="128" t="str">
        <f>VLOOKUP(source[[#This Row],[lending_product_transform]],[3]Mapping!$B$4:$C$37,2,0)</f>
        <v>[Cake] - Cashloan</v>
      </c>
      <c r="H10932" s="128" t="str">
        <f>VLOOKUP(source[[#This Row],[lending_product_transform]],[3]Mapping!$B$3:$D$37,3,0)</f>
        <v>cashloan</v>
      </c>
      <c r="I10932" s="135">
        <v>158401163</v>
      </c>
    </row>
    <row r="10933" spans="1:9" x14ac:dyDescent="0.2">
      <c r="A10933" s="134">
        <v>45991</v>
      </c>
      <c r="B10933" s="135">
        <f>YEAR(source[[#This Row],[report_date]])</f>
        <v>2025</v>
      </c>
      <c r="C10933" s="128">
        <f t="shared" si="508"/>
        <v>11</v>
      </c>
      <c r="D10933" s="136">
        <f t="shared" si="510"/>
        <v>48</v>
      </c>
      <c r="E10933" s="136">
        <f t="shared" si="509"/>
        <v>30</v>
      </c>
      <c r="F10933" s="137" t="s">
        <v>24</v>
      </c>
      <c r="G10933" s="128" t="str">
        <f>VLOOKUP(source[[#This Row],[lending_product_transform]],[3]Mapping!$B$4:$C$37,2,0)</f>
        <v>[Cake] - Cashloan</v>
      </c>
      <c r="H10933" s="128" t="str">
        <f>VLOOKUP(source[[#This Row],[lending_product_transform]],[3]Mapping!$B$3:$D$37,3,0)</f>
        <v>cashloan</v>
      </c>
      <c r="I10933" s="135">
        <v>42000000</v>
      </c>
    </row>
    <row r="10934" spans="1:9" x14ac:dyDescent="0.2">
      <c r="A10934" s="134">
        <v>45991</v>
      </c>
      <c r="B10934" s="135">
        <f>YEAR(source[[#This Row],[report_date]])</f>
        <v>2025</v>
      </c>
      <c r="C10934" s="128">
        <f t="shared" ref="C10934:C10997" si="511">MONTH(A10934)</f>
        <v>11</v>
      </c>
      <c r="D10934" s="136">
        <f t="shared" si="510"/>
        <v>48</v>
      </c>
      <c r="E10934" s="136">
        <f t="shared" ref="E10934:E10997" si="512">DAY(A10934)</f>
        <v>30</v>
      </c>
      <c r="F10934" s="137" t="s">
        <v>24</v>
      </c>
      <c r="G10934" s="128" t="str">
        <f>VLOOKUP(source[[#This Row],[lending_product_transform]],[3]Mapping!$B$4:$C$37,2,0)</f>
        <v>[Cake] - Cashloan</v>
      </c>
      <c r="H10934" s="128" t="str">
        <f>VLOOKUP(source[[#This Row],[lending_product_transform]],[3]Mapping!$B$3:$D$37,3,0)</f>
        <v>cashloan</v>
      </c>
      <c r="I10934" s="135">
        <v>50000000</v>
      </c>
    </row>
    <row r="10935" spans="1:9" x14ac:dyDescent="0.2">
      <c r="A10935" s="134">
        <v>45991</v>
      </c>
      <c r="B10935" s="135">
        <f>YEAR(source[[#This Row],[report_date]])</f>
        <v>2025</v>
      </c>
      <c r="C10935" s="128">
        <f t="shared" si="511"/>
        <v>11</v>
      </c>
      <c r="D10935" s="136">
        <f t="shared" si="510"/>
        <v>48</v>
      </c>
      <c r="E10935" s="136">
        <f t="shared" si="512"/>
        <v>30</v>
      </c>
      <c r="F10935" s="137" t="s">
        <v>24</v>
      </c>
      <c r="G10935" s="128" t="str">
        <f>VLOOKUP(source[[#This Row],[lending_product_transform]],[3]Mapping!$B$4:$C$37,2,0)</f>
        <v>[Cake] - Cashloan</v>
      </c>
      <c r="H10935" s="128" t="str">
        <f>VLOOKUP(source[[#This Row],[lending_product_transform]],[3]Mapping!$B$3:$D$37,3,0)</f>
        <v>cashloan</v>
      </c>
      <c r="I10935" s="135">
        <v>387270000</v>
      </c>
    </row>
    <row r="10936" spans="1:9" x14ac:dyDescent="0.2">
      <c r="A10936" s="134">
        <v>45991</v>
      </c>
      <c r="B10936" s="135">
        <f>YEAR(source[[#This Row],[report_date]])</f>
        <v>2025</v>
      </c>
      <c r="C10936" s="128">
        <f t="shared" si="511"/>
        <v>11</v>
      </c>
      <c r="D10936" s="136">
        <f t="shared" si="510"/>
        <v>48</v>
      </c>
      <c r="E10936" s="136">
        <f t="shared" si="512"/>
        <v>30</v>
      </c>
      <c r="F10936" s="137" t="s">
        <v>24</v>
      </c>
      <c r="G10936" s="128" t="str">
        <f>VLOOKUP(source[[#This Row],[lending_product_transform]],[3]Mapping!$B$4:$C$37,2,0)</f>
        <v>[Cake] - Cashloan</v>
      </c>
      <c r="H10936" s="128" t="str">
        <f>VLOOKUP(source[[#This Row],[lending_product_transform]],[3]Mapping!$B$3:$D$37,3,0)</f>
        <v>cashloan</v>
      </c>
      <c r="I10936" s="135">
        <v>228960000</v>
      </c>
    </row>
    <row r="10937" spans="1:9" x14ac:dyDescent="0.2">
      <c r="A10937" s="134">
        <v>45991</v>
      </c>
      <c r="B10937" s="135">
        <f>YEAR(source[[#This Row],[report_date]])</f>
        <v>2025</v>
      </c>
      <c r="C10937" s="128">
        <f t="shared" si="511"/>
        <v>11</v>
      </c>
      <c r="D10937" s="136">
        <f t="shared" si="510"/>
        <v>48</v>
      </c>
      <c r="E10937" s="136">
        <f t="shared" si="512"/>
        <v>30</v>
      </c>
      <c r="F10937" s="137" t="s">
        <v>24</v>
      </c>
      <c r="G10937" s="128" t="str">
        <f>VLOOKUP(source[[#This Row],[lending_product_transform]],[3]Mapping!$B$4:$C$37,2,0)</f>
        <v>[Cake] - Cashloan</v>
      </c>
      <c r="H10937" s="128" t="str">
        <f>VLOOKUP(source[[#This Row],[lending_product_transform]],[3]Mapping!$B$3:$D$37,3,0)</f>
        <v>cashloan</v>
      </c>
      <c r="I10937" s="135">
        <v>481360513</v>
      </c>
    </row>
    <row r="10938" spans="1:9" x14ac:dyDescent="0.2">
      <c r="A10938" s="134">
        <v>45991</v>
      </c>
      <c r="B10938" s="135">
        <f>YEAR(source[[#This Row],[report_date]])</f>
        <v>2025</v>
      </c>
      <c r="C10938" s="128">
        <f t="shared" si="511"/>
        <v>11</v>
      </c>
      <c r="D10938" s="136">
        <f t="shared" si="510"/>
        <v>48</v>
      </c>
      <c r="E10938" s="136">
        <f t="shared" si="512"/>
        <v>30</v>
      </c>
      <c r="F10938" s="137" t="s">
        <v>24</v>
      </c>
      <c r="G10938" s="128" t="str">
        <f>VLOOKUP(source[[#This Row],[lending_product_transform]],[3]Mapping!$B$4:$C$37,2,0)</f>
        <v>[Cake] - Cashloan</v>
      </c>
      <c r="H10938" s="128" t="str">
        <f>VLOOKUP(source[[#This Row],[lending_product_transform]],[3]Mapping!$B$3:$D$37,3,0)</f>
        <v>cashloan</v>
      </c>
      <c r="I10938" s="135">
        <v>3753120000</v>
      </c>
    </row>
    <row r="10939" spans="1:9" x14ac:dyDescent="0.2">
      <c r="A10939" s="134">
        <v>45992</v>
      </c>
      <c r="B10939" s="135">
        <f>YEAR(source[[#This Row],[report_date]])</f>
        <v>2025</v>
      </c>
      <c r="C10939" s="128">
        <f t="shared" si="511"/>
        <v>12</v>
      </c>
      <c r="D10939" s="136">
        <f t="shared" si="510"/>
        <v>49</v>
      </c>
      <c r="E10939" s="136">
        <f t="shared" si="512"/>
        <v>1</v>
      </c>
      <c r="F10939" s="137" t="s">
        <v>24</v>
      </c>
      <c r="G10939" s="128" t="str">
        <f>VLOOKUP(source[[#This Row],[lending_product_transform]],[3]Mapping!$B$4:$C$37,2,0)</f>
        <v>[Cake] - Cashloan</v>
      </c>
      <c r="H10939" s="128" t="str">
        <f>VLOOKUP(source[[#This Row],[lending_product_transform]],[3]Mapping!$B$3:$D$37,3,0)</f>
        <v>cashloan</v>
      </c>
      <c r="I10939" s="135">
        <v>111350000</v>
      </c>
    </row>
    <row r="10940" spans="1:9" x14ac:dyDescent="0.2">
      <c r="A10940" s="134">
        <v>45992</v>
      </c>
      <c r="B10940" s="135">
        <f>YEAR(source[[#This Row],[report_date]])</f>
        <v>2025</v>
      </c>
      <c r="C10940" s="128">
        <f t="shared" si="511"/>
        <v>12</v>
      </c>
      <c r="D10940" s="136">
        <f t="shared" si="510"/>
        <v>49</v>
      </c>
      <c r="E10940" s="136">
        <f t="shared" si="512"/>
        <v>1</v>
      </c>
      <c r="F10940" s="137" t="s">
        <v>24</v>
      </c>
      <c r="G10940" s="128" t="str">
        <f>VLOOKUP(source[[#This Row],[lending_product_transform]],[3]Mapping!$B$4:$C$37,2,0)</f>
        <v>[Cake] - Cashloan</v>
      </c>
      <c r="H10940" s="128" t="str">
        <f>VLOOKUP(source[[#This Row],[lending_product_transform]],[3]Mapping!$B$3:$D$37,3,0)</f>
        <v>cashloan</v>
      </c>
      <c r="I10940" s="135">
        <v>286643947</v>
      </c>
    </row>
    <row r="10941" spans="1:9" x14ac:dyDescent="0.2">
      <c r="A10941" s="134">
        <v>45992</v>
      </c>
      <c r="B10941" s="135">
        <f>YEAR(source[[#This Row],[report_date]])</f>
        <v>2025</v>
      </c>
      <c r="C10941" s="128">
        <f t="shared" si="511"/>
        <v>12</v>
      </c>
      <c r="D10941" s="136">
        <f t="shared" si="510"/>
        <v>49</v>
      </c>
      <c r="E10941" s="136">
        <f t="shared" si="512"/>
        <v>1</v>
      </c>
      <c r="F10941" s="137" t="s">
        <v>24</v>
      </c>
      <c r="G10941" s="128" t="str">
        <f>VLOOKUP(source[[#This Row],[lending_product_transform]],[3]Mapping!$B$4:$C$37,2,0)</f>
        <v>[Cake] - Cashloan</v>
      </c>
      <c r="H10941" s="128" t="str">
        <f>VLOOKUP(source[[#This Row],[lending_product_transform]],[3]Mapping!$B$3:$D$37,3,0)</f>
        <v>cashloan</v>
      </c>
      <c r="I10941" s="135">
        <v>27492860000</v>
      </c>
    </row>
    <row r="10942" spans="1:9" x14ac:dyDescent="0.2">
      <c r="A10942" s="134">
        <v>45992</v>
      </c>
      <c r="B10942" s="135">
        <f>YEAR(source[[#This Row],[report_date]])</f>
        <v>2025</v>
      </c>
      <c r="C10942" s="128">
        <f t="shared" si="511"/>
        <v>12</v>
      </c>
      <c r="D10942" s="136">
        <f t="shared" si="510"/>
        <v>49</v>
      </c>
      <c r="E10942" s="136">
        <f t="shared" si="512"/>
        <v>1</v>
      </c>
      <c r="F10942" s="137" t="s">
        <v>24</v>
      </c>
      <c r="G10942" s="128" t="str">
        <f>VLOOKUP(source[[#This Row],[lending_product_transform]],[3]Mapping!$B$4:$C$37,2,0)</f>
        <v>[Cake] - Cashloan</v>
      </c>
      <c r="H10942" s="128" t="str">
        <f>VLOOKUP(source[[#This Row],[lending_product_transform]],[3]Mapping!$B$3:$D$37,3,0)</f>
        <v>cashloan</v>
      </c>
      <c r="I10942" s="135">
        <v>4289501378</v>
      </c>
    </row>
    <row r="10943" spans="1:9" x14ac:dyDescent="0.2">
      <c r="A10943" s="134">
        <v>45992</v>
      </c>
      <c r="B10943" s="135">
        <f>YEAR(source[[#This Row],[report_date]])</f>
        <v>2025</v>
      </c>
      <c r="C10943" s="128">
        <f t="shared" si="511"/>
        <v>12</v>
      </c>
      <c r="D10943" s="136">
        <f t="shared" si="510"/>
        <v>49</v>
      </c>
      <c r="E10943" s="136">
        <f t="shared" si="512"/>
        <v>1</v>
      </c>
      <c r="F10943" s="137" t="s">
        <v>24</v>
      </c>
      <c r="G10943" s="128" t="str">
        <f>VLOOKUP(source[[#This Row],[lending_product_transform]],[3]Mapping!$B$4:$C$37,2,0)</f>
        <v>[Cake] - Cashloan</v>
      </c>
      <c r="H10943" s="128" t="str">
        <f>VLOOKUP(source[[#This Row],[lending_product_transform]],[3]Mapping!$B$3:$D$37,3,0)</f>
        <v>cashloan</v>
      </c>
      <c r="I10943" s="135">
        <v>13343076000</v>
      </c>
    </row>
    <row r="10944" spans="1:9" x14ac:dyDescent="0.2">
      <c r="A10944" s="134">
        <v>45992</v>
      </c>
      <c r="B10944" s="135">
        <f>YEAR(source[[#This Row],[report_date]])</f>
        <v>2025</v>
      </c>
      <c r="C10944" s="128">
        <f t="shared" si="511"/>
        <v>12</v>
      </c>
      <c r="D10944" s="136">
        <f t="shared" si="510"/>
        <v>49</v>
      </c>
      <c r="E10944" s="136">
        <f t="shared" si="512"/>
        <v>1</v>
      </c>
      <c r="F10944" s="137" t="s">
        <v>24</v>
      </c>
      <c r="G10944" s="128" t="str">
        <f>VLOOKUP(source[[#This Row],[lending_product_transform]],[3]Mapping!$B$4:$C$37,2,0)</f>
        <v>[Cake] - Cashloan</v>
      </c>
      <c r="H10944" s="128" t="str">
        <f>VLOOKUP(source[[#This Row],[lending_product_transform]],[3]Mapping!$B$3:$D$37,3,0)</f>
        <v>cashloan</v>
      </c>
      <c r="I10944" s="135">
        <v>14391223</v>
      </c>
    </row>
    <row r="10945" spans="1:9" x14ac:dyDescent="0.2">
      <c r="A10945" s="134">
        <v>45992</v>
      </c>
      <c r="B10945" s="135">
        <f>YEAR(source[[#This Row],[report_date]])</f>
        <v>2025</v>
      </c>
      <c r="C10945" s="128">
        <f t="shared" si="511"/>
        <v>12</v>
      </c>
      <c r="D10945" s="136">
        <f t="shared" si="510"/>
        <v>49</v>
      </c>
      <c r="E10945" s="136">
        <f t="shared" si="512"/>
        <v>1</v>
      </c>
      <c r="F10945" s="137" t="s">
        <v>24</v>
      </c>
      <c r="G10945" s="128" t="str">
        <f>VLOOKUP(source[[#This Row],[lending_product_transform]],[3]Mapping!$B$4:$C$37,2,0)</f>
        <v>[Cake] - Cashloan</v>
      </c>
      <c r="H10945" s="128" t="str">
        <f>VLOOKUP(source[[#This Row],[lending_product_transform]],[3]Mapping!$B$3:$D$37,3,0)</f>
        <v>cashloan</v>
      </c>
      <c r="I10945" s="135">
        <v>4029220000</v>
      </c>
    </row>
    <row r="10946" spans="1:9" x14ac:dyDescent="0.2">
      <c r="A10946" s="134">
        <v>45992</v>
      </c>
      <c r="B10946" s="135">
        <f>YEAR(source[[#This Row],[report_date]])</f>
        <v>2025</v>
      </c>
      <c r="C10946" s="128">
        <f t="shared" si="511"/>
        <v>12</v>
      </c>
      <c r="D10946" s="136">
        <f t="shared" si="510"/>
        <v>49</v>
      </c>
      <c r="E10946" s="136">
        <f t="shared" si="512"/>
        <v>1</v>
      </c>
      <c r="F10946" s="137" t="s">
        <v>24</v>
      </c>
      <c r="G10946" s="128" t="str">
        <f>VLOOKUP(source[[#This Row],[lending_product_transform]],[3]Mapping!$B$4:$C$37,2,0)</f>
        <v>[Cake] - Cashloan</v>
      </c>
      <c r="H10946" s="128" t="str">
        <f>VLOOKUP(source[[#This Row],[lending_product_transform]],[3]Mapping!$B$3:$D$37,3,0)</f>
        <v>cashloan</v>
      </c>
      <c r="I10946" s="135">
        <v>9610125</v>
      </c>
    </row>
    <row r="10947" spans="1:9" x14ac:dyDescent="0.2">
      <c r="A10947" s="134">
        <v>45992</v>
      </c>
      <c r="B10947" s="135">
        <f>YEAR(source[[#This Row],[report_date]])</f>
        <v>2025</v>
      </c>
      <c r="C10947" s="128">
        <f t="shared" si="511"/>
        <v>12</v>
      </c>
      <c r="D10947" s="136">
        <f t="shared" ref="D10947:D11010" si="513">WEEKNUM(A10947,2)</f>
        <v>49</v>
      </c>
      <c r="E10947" s="136">
        <f t="shared" si="512"/>
        <v>1</v>
      </c>
      <c r="F10947" s="137" t="s">
        <v>24</v>
      </c>
      <c r="G10947" s="128" t="str">
        <f>VLOOKUP(source[[#This Row],[lending_product_transform]],[3]Mapping!$B$4:$C$37,2,0)</f>
        <v>[Cake] - Cashloan</v>
      </c>
      <c r="H10947" s="128" t="str">
        <f>VLOOKUP(source[[#This Row],[lending_product_transform]],[3]Mapping!$B$3:$D$37,3,0)</f>
        <v>cashloan</v>
      </c>
      <c r="I10947" s="135">
        <v>1010942697</v>
      </c>
    </row>
    <row r="10948" spans="1:9" x14ac:dyDescent="0.2">
      <c r="A10948" s="134">
        <v>45992</v>
      </c>
      <c r="B10948" s="135">
        <f>YEAR(source[[#This Row],[report_date]])</f>
        <v>2025</v>
      </c>
      <c r="C10948" s="128">
        <f t="shared" si="511"/>
        <v>12</v>
      </c>
      <c r="D10948" s="136">
        <f t="shared" si="513"/>
        <v>49</v>
      </c>
      <c r="E10948" s="136">
        <f t="shared" si="512"/>
        <v>1</v>
      </c>
      <c r="F10948" s="137" t="s">
        <v>24</v>
      </c>
      <c r="G10948" s="128" t="str">
        <f>VLOOKUP(source[[#This Row],[lending_product_transform]],[3]Mapping!$B$4:$C$37,2,0)</f>
        <v>[Cake] - Cashloan</v>
      </c>
      <c r="H10948" s="128" t="str">
        <f>VLOOKUP(source[[#This Row],[lending_product_transform]],[3]Mapping!$B$3:$D$37,3,0)</f>
        <v>cashloan</v>
      </c>
      <c r="I10948" s="135">
        <v>0</v>
      </c>
    </row>
    <row r="10949" spans="1:9" x14ac:dyDescent="0.2">
      <c r="A10949" s="134">
        <v>45992</v>
      </c>
      <c r="B10949" s="135">
        <f>YEAR(source[[#This Row],[report_date]])</f>
        <v>2025</v>
      </c>
      <c r="C10949" s="128">
        <f t="shared" si="511"/>
        <v>12</v>
      </c>
      <c r="D10949" s="136">
        <f t="shared" si="513"/>
        <v>49</v>
      </c>
      <c r="E10949" s="136">
        <f t="shared" si="512"/>
        <v>1</v>
      </c>
      <c r="F10949" s="137" t="s">
        <v>24</v>
      </c>
      <c r="G10949" s="128" t="str">
        <f>VLOOKUP(source[[#This Row],[lending_product_transform]],[3]Mapping!$B$4:$C$37,2,0)</f>
        <v>[Cake] - Cashloan</v>
      </c>
      <c r="H10949" s="128" t="str">
        <f>VLOOKUP(source[[#This Row],[lending_product_transform]],[3]Mapping!$B$3:$D$37,3,0)</f>
        <v>cashloan</v>
      </c>
      <c r="I10949" s="135">
        <v>453500000</v>
      </c>
    </row>
    <row r="10950" spans="1:9" x14ac:dyDescent="0.2">
      <c r="A10950" s="134">
        <v>45992</v>
      </c>
      <c r="B10950" s="135">
        <f>YEAR(source[[#This Row],[report_date]])</f>
        <v>2025</v>
      </c>
      <c r="C10950" s="128">
        <f t="shared" si="511"/>
        <v>12</v>
      </c>
      <c r="D10950" s="136">
        <f t="shared" si="513"/>
        <v>49</v>
      </c>
      <c r="E10950" s="136">
        <f t="shared" si="512"/>
        <v>1</v>
      </c>
      <c r="F10950" s="137" t="s">
        <v>24</v>
      </c>
      <c r="G10950" s="128" t="str">
        <f>VLOOKUP(source[[#This Row],[lending_product_transform]],[3]Mapping!$B$4:$C$37,2,0)</f>
        <v>[Cake] - Cashloan</v>
      </c>
      <c r="H10950" s="128" t="str">
        <f>VLOOKUP(source[[#This Row],[lending_product_transform]],[3]Mapping!$B$3:$D$37,3,0)</f>
        <v>cashloan</v>
      </c>
      <c r="I10950" s="135">
        <v>20481820000</v>
      </c>
    </row>
    <row r="10951" spans="1:9" x14ac:dyDescent="0.2">
      <c r="A10951" s="134">
        <v>45992</v>
      </c>
      <c r="B10951" s="135">
        <f>YEAR(source[[#This Row],[report_date]])</f>
        <v>2025</v>
      </c>
      <c r="C10951" s="128">
        <f t="shared" si="511"/>
        <v>12</v>
      </c>
      <c r="D10951" s="136">
        <f t="shared" si="513"/>
        <v>49</v>
      </c>
      <c r="E10951" s="136">
        <f t="shared" si="512"/>
        <v>1</v>
      </c>
      <c r="F10951" s="137" t="s">
        <v>24</v>
      </c>
      <c r="G10951" s="128" t="str">
        <f>VLOOKUP(source[[#This Row],[lending_product_transform]],[3]Mapping!$B$4:$C$37,2,0)</f>
        <v>[Cake] - Cashloan</v>
      </c>
      <c r="H10951" s="128" t="str">
        <f>VLOOKUP(source[[#This Row],[lending_product_transform]],[3]Mapping!$B$3:$D$37,3,0)</f>
        <v>cashloan</v>
      </c>
      <c r="I10951" s="135">
        <v>0</v>
      </c>
    </row>
    <row r="10952" spans="1:9" x14ac:dyDescent="0.2">
      <c r="A10952" s="134">
        <v>45992</v>
      </c>
      <c r="B10952" s="135">
        <f>YEAR(source[[#This Row],[report_date]])</f>
        <v>2025</v>
      </c>
      <c r="C10952" s="128">
        <f t="shared" si="511"/>
        <v>12</v>
      </c>
      <c r="D10952" s="136">
        <f t="shared" si="513"/>
        <v>49</v>
      </c>
      <c r="E10952" s="136">
        <f t="shared" si="512"/>
        <v>1</v>
      </c>
      <c r="F10952" s="137" t="s">
        <v>24</v>
      </c>
      <c r="G10952" s="128" t="str">
        <f>VLOOKUP(source[[#This Row],[lending_product_transform]],[3]Mapping!$B$4:$C$37,2,0)</f>
        <v>[Cake] - Cashloan</v>
      </c>
      <c r="H10952" s="128" t="str">
        <f>VLOOKUP(source[[#This Row],[lending_product_transform]],[3]Mapping!$B$3:$D$37,3,0)</f>
        <v>cashloan</v>
      </c>
      <c r="I10952" s="135">
        <v>0</v>
      </c>
    </row>
    <row r="10953" spans="1:9" x14ac:dyDescent="0.2">
      <c r="A10953" s="134">
        <v>45992</v>
      </c>
      <c r="B10953" s="135">
        <f>YEAR(source[[#This Row],[report_date]])</f>
        <v>2025</v>
      </c>
      <c r="C10953" s="128">
        <f t="shared" si="511"/>
        <v>12</v>
      </c>
      <c r="D10953" s="136">
        <f t="shared" si="513"/>
        <v>49</v>
      </c>
      <c r="E10953" s="136">
        <f t="shared" si="512"/>
        <v>1</v>
      </c>
      <c r="F10953" s="137" t="s">
        <v>24</v>
      </c>
      <c r="G10953" s="128" t="str">
        <f>VLOOKUP(source[[#This Row],[lending_product_transform]],[3]Mapping!$B$4:$C$37,2,0)</f>
        <v>[Cake] - Cashloan</v>
      </c>
      <c r="H10953" s="128" t="str">
        <f>VLOOKUP(source[[#This Row],[lending_product_transform]],[3]Mapping!$B$3:$D$37,3,0)</f>
        <v>cashloan</v>
      </c>
      <c r="I10953" s="135">
        <v>0</v>
      </c>
    </row>
    <row r="10954" spans="1:9" x14ac:dyDescent="0.2">
      <c r="A10954" s="134">
        <v>45992</v>
      </c>
      <c r="B10954" s="135">
        <f>YEAR(source[[#This Row],[report_date]])</f>
        <v>2025</v>
      </c>
      <c r="C10954" s="128">
        <f t="shared" si="511"/>
        <v>12</v>
      </c>
      <c r="D10954" s="136">
        <f t="shared" si="513"/>
        <v>49</v>
      </c>
      <c r="E10954" s="136">
        <f t="shared" si="512"/>
        <v>1</v>
      </c>
      <c r="F10954" s="137" t="s">
        <v>24</v>
      </c>
      <c r="G10954" s="128" t="str">
        <f>VLOOKUP(source[[#This Row],[lending_product_transform]],[3]Mapping!$B$4:$C$37,2,0)</f>
        <v>[Cake] - Cashloan</v>
      </c>
      <c r="H10954" s="128" t="str">
        <f>VLOOKUP(source[[#This Row],[lending_product_transform]],[3]Mapping!$B$3:$D$37,3,0)</f>
        <v>cashloan</v>
      </c>
      <c r="I10954" s="135">
        <v>0</v>
      </c>
    </row>
    <row r="10955" spans="1:9" x14ac:dyDescent="0.2">
      <c r="A10955" s="134">
        <v>45992</v>
      </c>
      <c r="B10955" s="135">
        <f>YEAR(source[[#This Row],[report_date]])</f>
        <v>2025</v>
      </c>
      <c r="C10955" s="128">
        <f t="shared" si="511"/>
        <v>12</v>
      </c>
      <c r="D10955" s="136">
        <f t="shared" si="513"/>
        <v>49</v>
      </c>
      <c r="E10955" s="136">
        <f t="shared" si="512"/>
        <v>1</v>
      </c>
      <c r="F10955" s="137" t="s">
        <v>24</v>
      </c>
      <c r="G10955" s="128" t="str">
        <f>VLOOKUP(source[[#This Row],[lending_product_transform]],[3]Mapping!$B$4:$C$37,2,0)</f>
        <v>[Cake] - Cashloan</v>
      </c>
      <c r="H10955" s="128" t="str">
        <f>VLOOKUP(source[[#This Row],[lending_product_transform]],[3]Mapping!$B$3:$D$37,3,0)</f>
        <v>cashloan</v>
      </c>
      <c r="I10955" s="135">
        <v>10297584000</v>
      </c>
    </row>
    <row r="10956" spans="1:9" x14ac:dyDescent="0.2">
      <c r="A10956" s="134">
        <v>45992</v>
      </c>
      <c r="B10956" s="135">
        <f>YEAR(source[[#This Row],[report_date]])</f>
        <v>2025</v>
      </c>
      <c r="C10956" s="128">
        <f t="shared" si="511"/>
        <v>12</v>
      </c>
      <c r="D10956" s="136">
        <f t="shared" si="513"/>
        <v>49</v>
      </c>
      <c r="E10956" s="136">
        <f t="shared" si="512"/>
        <v>1</v>
      </c>
      <c r="F10956" s="137" t="s">
        <v>24</v>
      </c>
      <c r="G10956" s="128" t="str">
        <f>VLOOKUP(source[[#This Row],[lending_product_transform]],[3]Mapping!$B$4:$C$37,2,0)</f>
        <v>[Cake] - Cashloan</v>
      </c>
      <c r="H10956" s="128" t="str">
        <f>VLOOKUP(source[[#This Row],[lending_product_transform]],[3]Mapping!$B$3:$D$37,3,0)</f>
        <v>cashloan</v>
      </c>
      <c r="I10956" s="135">
        <v>489658298</v>
      </c>
    </row>
    <row r="10957" spans="1:9" x14ac:dyDescent="0.2">
      <c r="A10957" s="134">
        <v>45992</v>
      </c>
      <c r="B10957" s="135">
        <f>YEAR(source[[#This Row],[report_date]])</f>
        <v>2025</v>
      </c>
      <c r="C10957" s="128">
        <f t="shared" si="511"/>
        <v>12</v>
      </c>
      <c r="D10957" s="136">
        <f t="shared" si="513"/>
        <v>49</v>
      </c>
      <c r="E10957" s="136">
        <f t="shared" si="512"/>
        <v>1</v>
      </c>
      <c r="F10957" s="137" t="s">
        <v>24</v>
      </c>
      <c r="G10957" s="128" t="str">
        <f>VLOOKUP(source[[#This Row],[lending_product_transform]],[3]Mapping!$B$4:$C$37,2,0)</f>
        <v>[Cake] - Cashloan</v>
      </c>
      <c r="H10957" s="128" t="str">
        <f>VLOOKUP(source[[#This Row],[lending_product_transform]],[3]Mapping!$B$3:$D$37,3,0)</f>
        <v>cashloan</v>
      </c>
      <c r="I10957" s="135">
        <v>47250000</v>
      </c>
    </row>
    <row r="10958" spans="1:9" x14ac:dyDescent="0.2">
      <c r="A10958" s="134">
        <v>45992</v>
      </c>
      <c r="B10958" s="135">
        <f>YEAR(source[[#This Row],[report_date]])</f>
        <v>2025</v>
      </c>
      <c r="C10958" s="128">
        <f t="shared" si="511"/>
        <v>12</v>
      </c>
      <c r="D10958" s="136">
        <f t="shared" si="513"/>
        <v>49</v>
      </c>
      <c r="E10958" s="136">
        <f t="shared" si="512"/>
        <v>1</v>
      </c>
      <c r="F10958" s="137" t="s">
        <v>24</v>
      </c>
      <c r="G10958" s="128" t="str">
        <f>VLOOKUP(source[[#This Row],[lending_product_transform]],[3]Mapping!$B$4:$C$37,2,0)</f>
        <v>[Cake] - Cashloan</v>
      </c>
      <c r="H10958" s="128" t="str">
        <f>VLOOKUP(source[[#This Row],[lending_product_transform]],[3]Mapping!$B$3:$D$37,3,0)</f>
        <v>cashloan</v>
      </c>
      <c r="I10958" s="135">
        <v>31000000</v>
      </c>
    </row>
    <row r="10959" spans="1:9" x14ac:dyDescent="0.2">
      <c r="A10959" s="134">
        <v>45992</v>
      </c>
      <c r="B10959" s="135">
        <f>YEAR(source[[#This Row],[report_date]])</f>
        <v>2025</v>
      </c>
      <c r="C10959" s="128">
        <f t="shared" si="511"/>
        <v>12</v>
      </c>
      <c r="D10959" s="136">
        <f t="shared" si="513"/>
        <v>49</v>
      </c>
      <c r="E10959" s="136">
        <f t="shared" si="512"/>
        <v>1</v>
      </c>
      <c r="F10959" s="137" t="s">
        <v>24</v>
      </c>
      <c r="G10959" s="128" t="str">
        <f>VLOOKUP(source[[#This Row],[lending_product_transform]],[3]Mapping!$B$4:$C$37,2,0)</f>
        <v>[Cake] - Cashloan</v>
      </c>
      <c r="H10959" s="128" t="str">
        <f>VLOOKUP(source[[#This Row],[lending_product_transform]],[3]Mapping!$B$3:$D$37,3,0)</f>
        <v>cashloan</v>
      </c>
      <c r="I10959" s="135">
        <v>633490000</v>
      </c>
    </row>
    <row r="10960" spans="1:9" x14ac:dyDescent="0.2">
      <c r="A10960" s="134">
        <v>45992</v>
      </c>
      <c r="B10960" s="135">
        <f>YEAR(source[[#This Row],[report_date]])</f>
        <v>2025</v>
      </c>
      <c r="C10960" s="128">
        <f t="shared" si="511"/>
        <v>12</v>
      </c>
      <c r="D10960" s="136">
        <f t="shared" si="513"/>
        <v>49</v>
      </c>
      <c r="E10960" s="136">
        <f t="shared" si="512"/>
        <v>1</v>
      </c>
      <c r="F10960" s="137" t="s">
        <v>24</v>
      </c>
      <c r="G10960" s="128" t="str">
        <f>VLOOKUP(source[[#This Row],[lending_product_transform]],[3]Mapping!$B$4:$C$37,2,0)</f>
        <v>[Cake] - Cashloan</v>
      </c>
      <c r="H10960" s="128" t="str">
        <f>VLOOKUP(source[[#This Row],[lending_product_transform]],[3]Mapping!$B$3:$D$37,3,0)</f>
        <v>cashloan</v>
      </c>
      <c r="I10960" s="135">
        <v>235872000</v>
      </c>
    </row>
    <row r="10961" spans="1:9" x14ac:dyDescent="0.2">
      <c r="A10961" s="134">
        <v>45992</v>
      </c>
      <c r="B10961" s="135">
        <f>YEAR(source[[#This Row],[report_date]])</f>
        <v>2025</v>
      </c>
      <c r="C10961" s="128">
        <f t="shared" si="511"/>
        <v>12</v>
      </c>
      <c r="D10961" s="136">
        <f t="shared" si="513"/>
        <v>49</v>
      </c>
      <c r="E10961" s="136">
        <f t="shared" si="512"/>
        <v>1</v>
      </c>
      <c r="F10961" s="137" t="s">
        <v>24</v>
      </c>
      <c r="G10961" s="128" t="str">
        <f>VLOOKUP(source[[#This Row],[lending_product_transform]],[3]Mapping!$B$4:$C$37,2,0)</f>
        <v>[Cake] - Cashloan</v>
      </c>
      <c r="H10961" s="128" t="str">
        <f>VLOOKUP(source[[#This Row],[lending_product_transform]],[3]Mapping!$B$3:$D$37,3,0)</f>
        <v>cashloan</v>
      </c>
      <c r="I10961" s="135">
        <v>859783740</v>
      </c>
    </row>
    <row r="10962" spans="1:9" x14ac:dyDescent="0.2">
      <c r="A10962" s="134">
        <v>45992</v>
      </c>
      <c r="B10962" s="135">
        <f>YEAR(source[[#This Row],[report_date]])</f>
        <v>2025</v>
      </c>
      <c r="C10962" s="128">
        <f t="shared" si="511"/>
        <v>12</v>
      </c>
      <c r="D10962" s="136">
        <f t="shared" si="513"/>
        <v>49</v>
      </c>
      <c r="E10962" s="136">
        <f t="shared" si="512"/>
        <v>1</v>
      </c>
      <c r="F10962" s="137" t="s">
        <v>24</v>
      </c>
      <c r="G10962" s="128" t="str">
        <f>VLOOKUP(source[[#This Row],[lending_product_transform]],[3]Mapping!$B$4:$C$37,2,0)</f>
        <v>[Cake] - Cashloan</v>
      </c>
      <c r="H10962" s="128" t="str">
        <f>VLOOKUP(source[[#This Row],[lending_product_transform]],[3]Mapping!$B$3:$D$37,3,0)</f>
        <v>cashloan</v>
      </c>
      <c r="I10962" s="135">
        <v>5301190000</v>
      </c>
    </row>
    <row r="10963" spans="1:9" x14ac:dyDescent="0.2">
      <c r="A10963" s="134">
        <v>45993</v>
      </c>
      <c r="B10963" s="135">
        <f>YEAR(source[[#This Row],[report_date]])</f>
        <v>2025</v>
      </c>
      <c r="C10963" s="128">
        <f t="shared" si="511"/>
        <v>12</v>
      </c>
      <c r="D10963" s="136">
        <f t="shared" si="513"/>
        <v>49</v>
      </c>
      <c r="E10963" s="136">
        <f t="shared" si="512"/>
        <v>2</v>
      </c>
      <c r="F10963" s="137" t="s">
        <v>24</v>
      </c>
      <c r="G10963" s="128" t="str">
        <f>VLOOKUP(source[[#This Row],[lending_product_transform]],[3]Mapping!$B$4:$C$37,2,0)</f>
        <v>[Cake] - Cashloan</v>
      </c>
      <c r="H10963" s="128" t="str">
        <f>VLOOKUP(source[[#This Row],[lending_product_transform]],[3]Mapping!$B$3:$D$37,3,0)</f>
        <v>cashloan</v>
      </c>
      <c r="I10963" s="135">
        <v>134950000</v>
      </c>
    </row>
    <row r="10964" spans="1:9" x14ac:dyDescent="0.2">
      <c r="A10964" s="134">
        <v>45993</v>
      </c>
      <c r="B10964" s="135">
        <f>YEAR(source[[#This Row],[report_date]])</f>
        <v>2025</v>
      </c>
      <c r="C10964" s="128">
        <f t="shared" si="511"/>
        <v>12</v>
      </c>
      <c r="D10964" s="136">
        <f t="shared" si="513"/>
        <v>49</v>
      </c>
      <c r="E10964" s="136">
        <f t="shared" si="512"/>
        <v>2</v>
      </c>
      <c r="F10964" s="137" t="s">
        <v>24</v>
      </c>
      <c r="G10964" s="128" t="str">
        <f>VLOOKUP(source[[#This Row],[lending_product_transform]],[3]Mapping!$B$4:$C$37,2,0)</f>
        <v>[Cake] - Cashloan</v>
      </c>
      <c r="H10964" s="128" t="str">
        <f>VLOOKUP(source[[#This Row],[lending_product_transform]],[3]Mapping!$B$3:$D$37,3,0)</f>
        <v>cashloan</v>
      </c>
      <c r="I10964" s="135">
        <v>348237991</v>
      </c>
    </row>
    <row r="10965" spans="1:9" x14ac:dyDescent="0.2">
      <c r="A10965" s="134">
        <v>45993</v>
      </c>
      <c r="B10965" s="135">
        <f>YEAR(source[[#This Row],[report_date]])</f>
        <v>2025</v>
      </c>
      <c r="C10965" s="128">
        <f t="shared" si="511"/>
        <v>12</v>
      </c>
      <c r="D10965" s="136">
        <f t="shared" si="513"/>
        <v>49</v>
      </c>
      <c r="E10965" s="136">
        <f t="shared" si="512"/>
        <v>2</v>
      </c>
      <c r="F10965" s="137" t="s">
        <v>24</v>
      </c>
      <c r="G10965" s="128" t="str">
        <f>VLOOKUP(source[[#This Row],[lending_product_transform]],[3]Mapping!$B$4:$C$37,2,0)</f>
        <v>[Cake] - Cashloan</v>
      </c>
      <c r="H10965" s="128" t="str">
        <f>VLOOKUP(source[[#This Row],[lending_product_transform]],[3]Mapping!$B$3:$D$37,3,0)</f>
        <v>cashloan</v>
      </c>
      <c r="I10965" s="135">
        <v>21350990000</v>
      </c>
    </row>
    <row r="10966" spans="1:9" x14ac:dyDescent="0.2">
      <c r="A10966" s="134">
        <v>45993</v>
      </c>
      <c r="B10966" s="135">
        <f>YEAR(source[[#This Row],[report_date]])</f>
        <v>2025</v>
      </c>
      <c r="C10966" s="128">
        <f t="shared" si="511"/>
        <v>12</v>
      </c>
      <c r="D10966" s="136">
        <f t="shared" si="513"/>
        <v>49</v>
      </c>
      <c r="E10966" s="136">
        <f t="shared" si="512"/>
        <v>2</v>
      </c>
      <c r="F10966" s="137" t="s">
        <v>24</v>
      </c>
      <c r="G10966" s="128" t="str">
        <f>VLOOKUP(source[[#This Row],[lending_product_transform]],[3]Mapping!$B$4:$C$37,2,0)</f>
        <v>[Cake] - Cashloan</v>
      </c>
      <c r="H10966" s="128" t="str">
        <f>VLOOKUP(source[[#This Row],[lending_product_transform]],[3]Mapping!$B$3:$D$37,3,0)</f>
        <v>cashloan</v>
      </c>
      <c r="I10966" s="135">
        <v>3467973723</v>
      </c>
    </row>
    <row r="10967" spans="1:9" x14ac:dyDescent="0.2">
      <c r="A10967" s="134">
        <v>45993</v>
      </c>
      <c r="B10967" s="135">
        <f>YEAR(source[[#This Row],[report_date]])</f>
        <v>2025</v>
      </c>
      <c r="C10967" s="128">
        <f t="shared" si="511"/>
        <v>12</v>
      </c>
      <c r="D10967" s="136">
        <f t="shared" si="513"/>
        <v>49</v>
      </c>
      <c r="E10967" s="136">
        <f t="shared" si="512"/>
        <v>2</v>
      </c>
      <c r="F10967" s="137" t="s">
        <v>24</v>
      </c>
      <c r="G10967" s="128" t="str">
        <f>VLOOKUP(source[[#This Row],[lending_product_transform]],[3]Mapping!$B$4:$C$37,2,0)</f>
        <v>[Cake] - Cashloan</v>
      </c>
      <c r="H10967" s="128" t="str">
        <f>VLOOKUP(source[[#This Row],[lending_product_transform]],[3]Mapping!$B$3:$D$37,3,0)</f>
        <v>cashloan</v>
      </c>
      <c r="I10967" s="135">
        <v>12062196000</v>
      </c>
    </row>
    <row r="10968" spans="1:9" x14ac:dyDescent="0.2">
      <c r="A10968" s="134">
        <v>45993</v>
      </c>
      <c r="B10968" s="135">
        <f>YEAR(source[[#This Row],[report_date]])</f>
        <v>2025</v>
      </c>
      <c r="C10968" s="128">
        <f t="shared" si="511"/>
        <v>12</v>
      </c>
      <c r="D10968" s="136">
        <f t="shared" si="513"/>
        <v>49</v>
      </c>
      <c r="E10968" s="136">
        <f t="shared" si="512"/>
        <v>2</v>
      </c>
      <c r="F10968" s="137" t="s">
        <v>24</v>
      </c>
      <c r="G10968" s="128" t="str">
        <f>VLOOKUP(source[[#This Row],[lending_product_transform]],[3]Mapping!$B$4:$C$37,2,0)</f>
        <v>[Cake] - Cashloan</v>
      </c>
      <c r="H10968" s="128" t="str">
        <f>VLOOKUP(source[[#This Row],[lending_product_transform]],[3]Mapping!$B$3:$D$37,3,0)</f>
        <v>cashloan</v>
      </c>
      <c r="I10968" s="135">
        <v>48383020</v>
      </c>
    </row>
    <row r="10969" spans="1:9" x14ac:dyDescent="0.2">
      <c r="A10969" s="134">
        <v>45993</v>
      </c>
      <c r="B10969" s="135">
        <f>YEAR(source[[#This Row],[report_date]])</f>
        <v>2025</v>
      </c>
      <c r="C10969" s="128">
        <f t="shared" si="511"/>
        <v>12</v>
      </c>
      <c r="D10969" s="136">
        <f t="shared" si="513"/>
        <v>49</v>
      </c>
      <c r="E10969" s="136">
        <f t="shared" si="512"/>
        <v>2</v>
      </c>
      <c r="F10969" s="137" t="s">
        <v>24</v>
      </c>
      <c r="G10969" s="128" t="str">
        <f>VLOOKUP(source[[#This Row],[lending_product_transform]],[3]Mapping!$B$4:$C$37,2,0)</f>
        <v>[Cake] - Cashloan</v>
      </c>
      <c r="H10969" s="128" t="str">
        <f>VLOOKUP(source[[#This Row],[lending_product_transform]],[3]Mapping!$B$3:$D$37,3,0)</f>
        <v>cashloan</v>
      </c>
      <c r="I10969" s="135">
        <v>3659230000</v>
      </c>
    </row>
    <row r="10970" spans="1:9" x14ac:dyDescent="0.2">
      <c r="A10970" s="134">
        <v>45993</v>
      </c>
      <c r="B10970" s="135">
        <f>YEAR(source[[#This Row],[report_date]])</f>
        <v>2025</v>
      </c>
      <c r="C10970" s="128">
        <f t="shared" si="511"/>
        <v>12</v>
      </c>
      <c r="D10970" s="136">
        <f t="shared" si="513"/>
        <v>49</v>
      </c>
      <c r="E10970" s="136">
        <f t="shared" si="512"/>
        <v>2</v>
      </c>
      <c r="F10970" s="137" t="s">
        <v>24</v>
      </c>
      <c r="G10970" s="128" t="str">
        <f>VLOOKUP(source[[#This Row],[lending_product_transform]],[3]Mapping!$B$4:$C$37,2,0)</f>
        <v>[Cake] - Cashloan</v>
      </c>
      <c r="H10970" s="128" t="str">
        <f>VLOOKUP(source[[#This Row],[lending_product_transform]],[3]Mapping!$B$3:$D$37,3,0)</f>
        <v>cashloan</v>
      </c>
      <c r="I10970" s="135">
        <v>7390911</v>
      </c>
    </row>
    <row r="10971" spans="1:9" x14ac:dyDescent="0.2">
      <c r="A10971" s="134">
        <v>45993</v>
      </c>
      <c r="B10971" s="135">
        <f>YEAR(source[[#This Row],[report_date]])</f>
        <v>2025</v>
      </c>
      <c r="C10971" s="128">
        <f t="shared" si="511"/>
        <v>12</v>
      </c>
      <c r="D10971" s="136">
        <f t="shared" si="513"/>
        <v>49</v>
      </c>
      <c r="E10971" s="136">
        <f t="shared" si="512"/>
        <v>2</v>
      </c>
      <c r="F10971" s="137" t="s">
        <v>24</v>
      </c>
      <c r="G10971" s="128" t="str">
        <f>VLOOKUP(source[[#This Row],[lending_product_transform]],[3]Mapping!$B$4:$C$37,2,0)</f>
        <v>[Cake] - Cashloan</v>
      </c>
      <c r="H10971" s="128" t="str">
        <f>VLOOKUP(source[[#This Row],[lending_product_transform]],[3]Mapping!$B$3:$D$37,3,0)</f>
        <v>cashloan</v>
      </c>
      <c r="I10971" s="135">
        <v>1166252386</v>
      </c>
    </row>
    <row r="10972" spans="1:9" x14ac:dyDescent="0.2">
      <c r="A10972" s="134">
        <v>45993</v>
      </c>
      <c r="B10972" s="135">
        <f>YEAR(source[[#This Row],[report_date]])</f>
        <v>2025</v>
      </c>
      <c r="C10972" s="128">
        <f t="shared" si="511"/>
        <v>12</v>
      </c>
      <c r="D10972" s="136">
        <f t="shared" si="513"/>
        <v>49</v>
      </c>
      <c r="E10972" s="136">
        <f t="shared" si="512"/>
        <v>2</v>
      </c>
      <c r="F10972" s="137" t="s">
        <v>24</v>
      </c>
      <c r="G10972" s="128" t="str">
        <f>VLOOKUP(source[[#This Row],[lending_product_transform]],[3]Mapping!$B$4:$C$37,2,0)</f>
        <v>[Cake] - Cashloan</v>
      </c>
      <c r="H10972" s="128" t="str">
        <f>VLOOKUP(source[[#This Row],[lending_product_transform]],[3]Mapping!$B$3:$D$37,3,0)</f>
        <v>cashloan</v>
      </c>
      <c r="I10972" s="135">
        <v>0</v>
      </c>
    </row>
    <row r="10973" spans="1:9" x14ac:dyDescent="0.2">
      <c r="A10973" s="134">
        <v>45993</v>
      </c>
      <c r="B10973" s="135">
        <f>YEAR(source[[#This Row],[report_date]])</f>
        <v>2025</v>
      </c>
      <c r="C10973" s="128">
        <f t="shared" si="511"/>
        <v>12</v>
      </c>
      <c r="D10973" s="136">
        <f t="shared" si="513"/>
        <v>49</v>
      </c>
      <c r="E10973" s="136">
        <f t="shared" si="512"/>
        <v>2</v>
      </c>
      <c r="F10973" s="137" t="s">
        <v>24</v>
      </c>
      <c r="G10973" s="128" t="str">
        <f>VLOOKUP(source[[#This Row],[lending_product_transform]],[3]Mapping!$B$4:$C$37,2,0)</f>
        <v>[Cake] - Cashloan</v>
      </c>
      <c r="H10973" s="128" t="str">
        <f>VLOOKUP(source[[#This Row],[lending_product_transform]],[3]Mapping!$B$3:$D$37,3,0)</f>
        <v>cashloan</v>
      </c>
      <c r="I10973" s="135">
        <v>477550000</v>
      </c>
    </row>
    <row r="10974" spans="1:9" x14ac:dyDescent="0.2">
      <c r="A10974" s="134">
        <v>45993</v>
      </c>
      <c r="B10974" s="135">
        <f>YEAR(source[[#This Row],[report_date]])</f>
        <v>2025</v>
      </c>
      <c r="C10974" s="128">
        <f t="shared" si="511"/>
        <v>12</v>
      </c>
      <c r="D10974" s="136">
        <f t="shared" si="513"/>
        <v>49</v>
      </c>
      <c r="E10974" s="136">
        <f t="shared" si="512"/>
        <v>2</v>
      </c>
      <c r="F10974" s="137" t="s">
        <v>24</v>
      </c>
      <c r="G10974" s="128" t="str">
        <f>VLOOKUP(source[[#This Row],[lending_product_transform]],[3]Mapping!$B$4:$C$37,2,0)</f>
        <v>[Cake] - Cashloan</v>
      </c>
      <c r="H10974" s="128" t="str">
        <f>VLOOKUP(source[[#This Row],[lending_product_transform]],[3]Mapping!$B$3:$D$37,3,0)</f>
        <v>cashloan</v>
      </c>
      <c r="I10974" s="135">
        <v>21346710000</v>
      </c>
    </row>
    <row r="10975" spans="1:9" x14ac:dyDescent="0.2">
      <c r="A10975" s="134">
        <v>45993</v>
      </c>
      <c r="B10975" s="135">
        <f>YEAR(source[[#This Row],[report_date]])</f>
        <v>2025</v>
      </c>
      <c r="C10975" s="128">
        <f t="shared" si="511"/>
        <v>12</v>
      </c>
      <c r="D10975" s="136">
        <f t="shared" si="513"/>
        <v>49</v>
      </c>
      <c r="E10975" s="136">
        <f t="shared" si="512"/>
        <v>2</v>
      </c>
      <c r="F10975" s="137" t="s">
        <v>24</v>
      </c>
      <c r="G10975" s="128" t="str">
        <f>VLOOKUP(source[[#This Row],[lending_product_transform]],[3]Mapping!$B$4:$C$37,2,0)</f>
        <v>[Cake] - Cashloan</v>
      </c>
      <c r="H10975" s="128" t="str">
        <f>VLOOKUP(source[[#This Row],[lending_product_transform]],[3]Mapping!$B$3:$D$37,3,0)</f>
        <v>cashloan</v>
      </c>
      <c r="I10975" s="135">
        <v>0</v>
      </c>
    </row>
    <row r="10976" spans="1:9" x14ac:dyDescent="0.2">
      <c r="A10976" s="134">
        <v>45993</v>
      </c>
      <c r="B10976" s="135">
        <f>YEAR(source[[#This Row],[report_date]])</f>
        <v>2025</v>
      </c>
      <c r="C10976" s="128">
        <f t="shared" si="511"/>
        <v>12</v>
      </c>
      <c r="D10976" s="136">
        <f t="shared" si="513"/>
        <v>49</v>
      </c>
      <c r="E10976" s="136">
        <f t="shared" si="512"/>
        <v>2</v>
      </c>
      <c r="F10976" s="137" t="s">
        <v>24</v>
      </c>
      <c r="G10976" s="128" t="str">
        <f>VLOOKUP(source[[#This Row],[lending_product_transform]],[3]Mapping!$B$4:$C$37,2,0)</f>
        <v>[Cake] - Cashloan</v>
      </c>
      <c r="H10976" s="128" t="str">
        <f>VLOOKUP(source[[#This Row],[lending_product_transform]],[3]Mapping!$B$3:$D$37,3,0)</f>
        <v>cashloan</v>
      </c>
      <c r="I10976" s="135">
        <v>0</v>
      </c>
    </row>
    <row r="10977" spans="1:9" x14ac:dyDescent="0.2">
      <c r="A10977" s="134">
        <v>45993</v>
      </c>
      <c r="B10977" s="135">
        <f>YEAR(source[[#This Row],[report_date]])</f>
        <v>2025</v>
      </c>
      <c r="C10977" s="128">
        <f t="shared" si="511"/>
        <v>12</v>
      </c>
      <c r="D10977" s="136">
        <f t="shared" si="513"/>
        <v>49</v>
      </c>
      <c r="E10977" s="136">
        <f t="shared" si="512"/>
        <v>2</v>
      </c>
      <c r="F10977" s="137" t="s">
        <v>24</v>
      </c>
      <c r="G10977" s="128" t="str">
        <f>VLOOKUP(source[[#This Row],[lending_product_transform]],[3]Mapping!$B$4:$C$37,2,0)</f>
        <v>[Cake] - Cashloan</v>
      </c>
      <c r="H10977" s="128" t="str">
        <f>VLOOKUP(source[[#This Row],[lending_product_transform]],[3]Mapping!$B$3:$D$37,3,0)</f>
        <v>cashloan</v>
      </c>
      <c r="I10977" s="135">
        <v>0</v>
      </c>
    </row>
    <row r="10978" spans="1:9" x14ac:dyDescent="0.2">
      <c r="A10978" s="134">
        <v>45993</v>
      </c>
      <c r="B10978" s="135">
        <f>YEAR(source[[#This Row],[report_date]])</f>
        <v>2025</v>
      </c>
      <c r="C10978" s="128">
        <f t="shared" si="511"/>
        <v>12</v>
      </c>
      <c r="D10978" s="136">
        <f t="shared" si="513"/>
        <v>49</v>
      </c>
      <c r="E10978" s="136">
        <f t="shared" si="512"/>
        <v>2</v>
      </c>
      <c r="F10978" s="137" t="s">
        <v>24</v>
      </c>
      <c r="G10978" s="128" t="str">
        <f>VLOOKUP(source[[#This Row],[lending_product_transform]],[3]Mapping!$B$4:$C$37,2,0)</f>
        <v>[Cake] - Cashloan</v>
      </c>
      <c r="H10978" s="128" t="str">
        <f>VLOOKUP(source[[#This Row],[lending_product_transform]],[3]Mapping!$B$3:$D$37,3,0)</f>
        <v>cashloan</v>
      </c>
      <c r="I10978" s="135">
        <v>5000000</v>
      </c>
    </row>
    <row r="10979" spans="1:9" x14ac:dyDescent="0.2">
      <c r="A10979" s="134">
        <v>45993</v>
      </c>
      <c r="B10979" s="135">
        <f>YEAR(source[[#This Row],[report_date]])</f>
        <v>2025</v>
      </c>
      <c r="C10979" s="128">
        <f t="shared" si="511"/>
        <v>12</v>
      </c>
      <c r="D10979" s="136">
        <f t="shared" si="513"/>
        <v>49</v>
      </c>
      <c r="E10979" s="136">
        <f t="shared" si="512"/>
        <v>2</v>
      </c>
      <c r="F10979" s="137" t="s">
        <v>24</v>
      </c>
      <c r="G10979" s="128" t="str">
        <f>VLOOKUP(source[[#This Row],[lending_product_transform]],[3]Mapping!$B$4:$C$37,2,0)</f>
        <v>[Cake] - Cashloan</v>
      </c>
      <c r="H10979" s="128" t="str">
        <f>VLOOKUP(source[[#This Row],[lending_product_transform]],[3]Mapping!$B$3:$D$37,3,0)</f>
        <v>cashloan</v>
      </c>
      <c r="I10979" s="135">
        <v>10290456000</v>
      </c>
    </row>
    <row r="10980" spans="1:9" x14ac:dyDescent="0.2">
      <c r="A10980" s="134">
        <v>45993</v>
      </c>
      <c r="B10980" s="135">
        <f>YEAR(source[[#This Row],[report_date]])</f>
        <v>2025</v>
      </c>
      <c r="C10980" s="128">
        <f t="shared" si="511"/>
        <v>12</v>
      </c>
      <c r="D10980" s="136">
        <f t="shared" si="513"/>
        <v>49</v>
      </c>
      <c r="E10980" s="136">
        <f t="shared" si="512"/>
        <v>2</v>
      </c>
      <c r="F10980" s="137" t="s">
        <v>24</v>
      </c>
      <c r="G10980" s="128" t="str">
        <f>VLOOKUP(source[[#This Row],[lending_product_transform]],[3]Mapping!$B$4:$C$37,2,0)</f>
        <v>[Cake] - Cashloan</v>
      </c>
      <c r="H10980" s="128" t="str">
        <f>VLOOKUP(source[[#This Row],[lending_product_transform]],[3]Mapping!$B$3:$D$37,3,0)</f>
        <v>cashloan</v>
      </c>
      <c r="I10980" s="135">
        <v>432396825</v>
      </c>
    </row>
    <row r="10981" spans="1:9" x14ac:dyDescent="0.2">
      <c r="A10981" s="134">
        <v>45993</v>
      </c>
      <c r="B10981" s="135">
        <f>YEAR(source[[#This Row],[report_date]])</f>
        <v>2025</v>
      </c>
      <c r="C10981" s="128">
        <f t="shared" si="511"/>
        <v>12</v>
      </c>
      <c r="D10981" s="136">
        <f t="shared" si="513"/>
        <v>49</v>
      </c>
      <c r="E10981" s="136">
        <f t="shared" si="512"/>
        <v>2</v>
      </c>
      <c r="F10981" s="137" t="s">
        <v>24</v>
      </c>
      <c r="G10981" s="128" t="str">
        <f>VLOOKUP(source[[#This Row],[lending_product_transform]],[3]Mapping!$B$4:$C$37,2,0)</f>
        <v>[Cake] - Cashloan</v>
      </c>
      <c r="H10981" s="128" t="str">
        <f>VLOOKUP(source[[#This Row],[lending_product_transform]],[3]Mapping!$B$3:$D$37,3,0)</f>
        <v>cashloan</v>
      </c>
      <c r="I10981" s="135">
        <v>35500000</v>
      </c>
    </row>
    <row r="10982" spans="1:9" x14ac:dyDescent="0.2">
      <c r="A10982" s="134">
        <v>45993</v>
      </c>
      <c r="B10982" s="135">
        <f>YEAR(source[[#This Row],[report_date]])</f>
        <v>2025</v>
      </c>
      <c r="C10982" s="128">
        <f t="shared" si="511"/>
        <v>12</v>
      </c>
      <c r="D10982" s="136">
        <f t="shared" si="513"/>
        <v>49</v>
      </c>
      <c r="E10982" s="136">
        <f t="shared" si="512"/>
        <v>2</v>
      </c>
      <c r="F10982" s="137" t="s">
        <v>24</v>
      </c>
      <c r="G10982" s="128" t="str">
        <f>VLOOKUP(source[[#This Row],[lending_product_transform]],[3]Mapping!$B$4:$C$37,2,0)</f>
        <v>[Cake] - Cashloan</v>
      </c>
      <c r="H10982" s="128" t="str">
        <f>VLOOKUP(source[[#This Row],[lending_product_transform]],[3]Mapping!$B$3:$D$37,3,0)</f>
        <v>cashloan</v>
      </c>
      <c r="I10982" s="135">
        <v>16000000</v>
      </c>
    </row>
    <row r="10983" spans="1:9" x14ac:dyDescent="0.2">
      <c r="A10983" s="134">
        <v>45993</v>
      </c>
      <c r="B10983" s="135">
        <f>YEAR(source[[#This Row],[report_date]])</f>
        <v>2025</v>
      </c>
      <c r="C10983" s="128">
        <f t="shared" si="511"/>
        <v>12</v>
      </c>
      <c r="D10983" s="136">
        <f t="shared" si="513"/>
        <v>49</v>
      </c>
      <c r="E10983" s="136">
        <f t="shared" si="512"/>
        <v>2</v>
      </c>
      <c r="F10983" s="137" t="s">
        <v>24</v>
      </c>
      <c r="G10983" s="128" t="str">
        <f>VLOOKUP(source[[#This Row],[lending_product_transform]],[3]Mapping!$B$4:$C$37,2,0)</f>
        <v>[Cake] - Cashloan</v>
      </c>
      <c r="H10983" s="128" t="str">
        <f>VLOOKUP(source[[#This Row],[lending_product_transform]],[3]Mapping!$B$3:$D$37,3,0)</f>
        <v>cashloan</v>
      </c>
      <c r="I10983" s="135">
        <v>491200000</v>
      </c>
    </row>
    <row r="10984" spans="1:9" x14ac:dyDescent="0.2">
      <c r="A10984" s="134">
        <v>45993</v>
      </c>
      <c r="B10984" s="135">
        <f>YEAR(source[[#This Row],[report_date]])</f>
        <v>2025</v>
      </c>
      <c r="C10984" s="128">
        <f t="shared" si="511"/>
        <v>12</v>
      </c>
      <c r="D10984" s="136">
        <f t="shared" si="513"/>
        <v>49</v>
      </c>
      <c r="E10984" s="136">
        <f t="shared" si="512"/>
        <v>2</v>
      </c>
      <c r="F10984" s="137" t="s">
        <v>24</v>
      </c>
      <c r="G10984" s="128" t="str">
        <f>VLOOKUP(source[[#This Row],[lending_product_transform]],[3]Mapping!$B$4:$C$37,2,0)</f>
        <v>[Cake] - Cashloan</v>
      </c>
      <c r="H10984" s="128" t="str">
        <f>VLOOKUP(source[[#This Row],[lending_product_transform]],[3]Mapping!$B$3:$D$37,3,0)</f>
        <v>cashloan</v>
      </c>
      <c r="I10984" s="135">
        <v>207468000</v>
      </c>
    </row>
    <row r="10985" spans="1:9" x14ac:dyDescent="0.2">
      <c r="A10985" s="134">
        <v>45993</v>
      </c>
      <c r="B10985" s="135">
        <f>YEAR(source[[#This Row],[report_date]])</f>
        <v>2025</v>
      </c>
      <c r="C10985" s="128">
        <f t="shared" si="511"/>
        <v>12</v>
      </c>
      <c r="D10985" s="136">
        <f t="shared" si="513"/>
        <v>49</v>
      </c>
      <c r="E10985" s="136">
        <f t="shared" si="512"/>
        <v>2</v>
      </c>
      <c r="F10985" s="137" t="s">
        <v>24</v>
      </c>
      <c r="G10985" s="128" t="str">
        <f>VLOOKUP(source[[#This Row],[lending_product_transform]],[3]Mapping!$B$4:$C$37,2,0)</f>
        <v>[Cake] - Cashloan</v>
      </c>
      <c r="H10985" s="128" t="str">
        <f>VLOOKUP(source[[#This Row],[lending_product_transform]],[3]Mapping!$B$3:$D$37,3,0)</f>
        <v>cashloan</v>
      </c>
      <c r="I10985" s="135">
        <v>1028719283</v>
      </c>
    </row>
    <row r="10986" spans="1:9" x14ac:dyDescent="0.2">
      <c r="A10986" s="134">
        <v>45993</v>
      </c>
      <c r="B10986" s="135">
        <f>YEAR(source[[#This Row],[report_date]])</f>
        <v>2025</v>
      </c>
      <c r="C10986" s="128">
        <f t="shared" si="511"/>
        <v>12</v>
      </c>
      <c r="D10986" s="136">
        <f t="shared" si="513"/>
        <v>49</v>
      </c>
      <c r="E10986" s="136">
        <f t="shared" si="512"/>
        <v>2</v>
      </c>
      <c r="F10986" s="137" t="s">
        <v>24</v>
      </c>
      <c r="G10986" s="128" t="str">
        <f>VLOOKUP(source[[#This Row],[lending_product_transform]],[3]Mapping!$B$4:$C$37,2,0)</f>
        <v>[Cake] - Cashloan</v>
      </c>
      <c r="H10986" s="128" t="str">
        <f>VLOOKUP(source[[#This Row],[lending_product_transform]],[3]Mapping!$B$3:$D$37,3,0)</f>
        <v>cashloan</v>
      </c>
      <c r="I10986" s="135">
        <v>4295010000</v>
      </c>
    </row>
    <row r="10987" spans="1:9" x14ac:dyDescent="0.2">
      <c r="A10987" s="134">
        <v>45994</v>
      </c>
      <c r="B10987" s="135">
        <f>YEAR(source[[#This Row],[report_date]])</f>
        <v>2025</v>
      </c>
      <c r="C10987" s="128">
        <f t="shared" si="511"/>
        <v>12</v>
      </c>
      <c r="D10987" s="136">
        <f t="shared" si="513"/>
        <v>49</v>
      </c>
      <c r="E10987" s="136">
        <f t="shared" si="512"/>
        <v>3</v>
      </c>
      <c r="F10987" s="137" t="s">
        <v>24</v>
      </c>
      <c r="G10987" s="128" t="str">
        <f>VLOOKUP(source[[#This Row],[lending_product_transform]],[3]Mapping!$B$4:$C$37,2,0)</f>
        <v>[Cake] - Cashloan</v>
      </c>
      <c r="H10987" s="128" t="str">
        <f>VLOOKUP(source[[#This Row],[lending_product_transform]],[3]Mapping!$B$3:$D$37,3,0)</f>
        <v>cashloan</v>
      </c>
      <c r="I10987" s="135">
        <v>180050000</v>
      </c>
    </row>
    <row r="10988" spans="1:9" x14ac:dyDescent="0.2">
      <c r="A10988" s="134">
        <v>45994</v>
      </c>
      <c r="B10988" s="135">
        <f>YEAR(source[[#This Row],[report_date]])</f>
        <v>2025</v>
      </c>
      <c r="C10988" s="128">
        <f t="shared" si="511"/>
        <v>12</v>
      </c>
      <c r="D10988" s="136">
        <f t="shared" si="513"/>
        <v>49</v>
      </c>
      <c r="E10988" s="136">
        <f t="shared" si="512"/>
        <v>3</v>
      </c>
      <c r="F10988" s="137" t="s">
        <v>24</v>
      </c>
      <c r="G10988" s="128" t="str">
        <f>VLOOKUP(source[[#This Row],[lending_product_transform]],[3]Mapping!$B$4:$C$37,2,0)</f>
        <v>[Cake] - Cashloan</v>
      </c>
      <c r="H10988" s="128" t="str">
        <f>VLOOKUP(source[[#This Row],[lending_product_transform]],[3]Mapping!$B$3:$D$37,3,0)</f>
        <v>cashloan</v>
      </c>
      <c r="I10988" s="135">
        <v>359435570</v>
      </c>
    </row>
    <row r="10989" spans="1:9" x14ac:dyDescent="0.2">
      <c r="A10989" s="134">
        <v>45994</v>
      </c>
      <c r="B10989" s="135">
        <f>YEAR(source[[#This Row],[report_date]])</f>
        <v>2025</v>
      </c>
      <c r="C10989" s="128">
        <f t="shared" si="511"/>
        <v>12</v>
      </c>
      <c r="D10989" s="136">
        <f t="shared" si="513"/>
        <v>49</v>
      </c>
      <c r="E10989" s="136">
        <f t="shared" si="512"/>
        <v>3</v>
      </c>
      <c r="F10989" s="137" t="s">
        <v>24</v>
      </c>
      <c r="G10989" s="128" t="str">
        <f>VLOOKUP(source[[#This Row],[lending_product_transform]],[3]Mapping!$B$4:$C$37,2,0)</f>
        <v>[Cake] - Cashloan</v>
      </c>
      <c r="H10989" s="128" t="str">
        <f>VLOOKUP(source[[#This Row],[lending_product_transform]],[3]Mapping!$B$3:$D$37,3,0)</f>
        <v>cashloan</v>
      </c>
      <c r="I10989" s="135">
        <v>21744080000</v>
      </c>
    </row>
    <row r="10990" spans="1:9" x14ac:dyDescent="0.2">
      <c r="A10990" s="134">
        <v>45994</v>
      </c>
      <c r="B10990" s="135">
        <f>YEAR(source[[#This Row],[report_date]])</f>
        <v>2025</v>
      </c>
      <c r="C10990" s="128">
        <f t="shared" si="511"/>
        <v>12</v>
      </c>
      <c r="D10990" s="136">
        <f t="shared" si="513"/>
        <v>49</v>
      </c>
      <c r="E10990" s="136">
        <f t="shared" si="512"/>
        <v>3</v>
      </c>
      <c r="F10990" s="137" t="s">
        <v>24</v>
      </c>
      <c r="G10990" s="128" t="str">
        <f>VLOOKUP(source[[#This Row],[lending_product_transform]],[3]Mapping!$B$4:$C$37,2,0)</f>
        <v>[Cake] - Cashloan</v>
      </c>
      <c r="H10990" s="128" t="str">
        <f>VLOOKUP(source[[#This Row],[lending_product_transform]],[3]Mapping!$B$3:$D$37,3,0)</f>
        <v>cashloan</v>
      </c>
      <c r="I10990" s="135">
        <v>2565519802</v>
      </c>
    </row>
    <row r="10991" spans="1:9" x14ac:dyDescent="0.2">
      <c r="A10991" s="134">
        <v>45994</v>
      </c>
      <c r="B10991" s="135">
        <f>YEAR(source[[#This Row],[report_date]])</f>
        <v>2025</v>
      </c>
      <c r="C10991" s="128">
        <f t="shared" si="511"/>
        <v>12</v>
      </c>
      <c r="D10991" s="136">
        <f t="shared" si="513"/>
        <v>49</v>
      </c>
      <c r="E10991" s="136">
        <f t="shared" si="512"/>
        <v>3</v>
      </c>
      <c r="F10991" s="137" t="s">
        <v>24</v>
      </c>
      <c r="G10991" s="128" t="str">
        <f>VLOOKUP(source[[#This Row],[lending_product_transform]],[3]Mapping!$B$4:$C$37,2,0)</f>
        <v>[Cake] - Cashloan</v>
      </c>
      <c r="H10991" s="128" t="str">
        <f>VLOOKUP(source[[#This Row],[lending_product_transform]],[3]Mapping!$B$3:$D$37,3,0)</f>
        <v>cashloan</v>
      </c>
      <c r="I10991" s="135">
        <v>12354336000</v>
      </c>
    </row>
    <row r="10992" spans="1:9" x14ac:dyDescent="0.2">
      <c r="A10992" s="134">
        <v>45994</v>
      </c>
      <c r="B10992" s="135">
        <f>YEAR(source[[#This Row],[report_date]])</f>
        <v>2025</v>
      </c>
      <c r="C10992" s="128">
        <f t="shared" si="511"/>
        <v>12</v>
      </c>
      <c r="D10992" s="136">
        <f t="shared" si="513"/>
        <v>49</v>
      </c>
      <c r="E10992" s="136">
        <f t="shared" si="512"/>
        <v>3</v>
      </c>
      <c r="F10992" s="137" t="s">
        <v>24</v>
      </c>
      <c r="G10992" s="128" t="str">
        <f>VLOOKUP(source[[#This Row],[lending_product_transform]],[3]Mapping!$B$4:$C$37,2,0)</f>
        <v>[Cake] - Cashloan</v>
      </c>
      <c r="H10992" s="128" t="str">
        <f>VLOOKUP(source[[#This Row],[lending_product_transform]],[3]Mapping!$B$3:$D$37,3,0)</f>
        <v>cashloan</v>
      </c>
      <c r="I10992" s="135">
        <v>67095461</v>
      </c>
    </row>
    <row r="10993" spans="1:9" x14ac:dyDescent="0.2">
      <c r="A10993" s="134">
        <v>45994</v>
      </c>
      <c r="B10993" s="135">
        <f>YEAR(source[[#This Row],[report_date]])</f>
        <v>2025</v>
      </c>
      <c r="C10993" s="128">
        <f t="shared" si="511"/>
        <v>12</v>
      </c>
      <c r="D10993" s="136">
        <f t="shared" si="513"/>
        <v>49</v>
      </c>
      <c r="E10993" s="136">
        <f t="shared" si="512"/>
        <v>3</v>
      </c>
      <c r="F10993" s="137" t="s">
        <v>24</v>
      </c>
      <c r="G10993" s="128" t="str">
        <f>VLOOKUP(source[[#This Row],[lending_product_transform]],[3]Mapping!$B$4:$C$37,2,0)</f>
        <v>[Cake] - Cashloan</v>
      </c>
      <c r="H10993" s="128" t="str">
        <f>VLOOKUP(source[[#This Row],[lending_product_transform]],[3]Mapping!$B$3:$D$37,3,0)</f>
        <v>cashloan</v>
      </c>
      <c r="I10993" s="135">
        <v>3170300000</v>
      </c>
    </row>
    <row r="10994" spans="1:9" x14ac:dyDescent="0.2">
      <c r="A10994" s="134">
        <v>45994</v>
      </c>
      <c r="B10994" s="135">
        <f>YEAR(source[[#This Row],[report_date]])</f>
        <v>2025</v>
      </c>
      <c r="C10994" s="128">
        <f t="shared" si="511"/>
        <v>12</v>
      </c>
      <c r="D10994" s="136">
        <f t="shared" si="513"/>
        <v>49</v>
      </c>
      <c r="E10994" s="136">
        <f t="shared" si="512"/>
        <v>3</v>
      </c>
      <c r="F10994" s="137" t="s">
        <v>24</v>
      </c>
      <c r="G10994" s="128" t="str">
        <f>VLOOKUP(source[[#This Row],[lending_product_transform]],[3]Mapping!$B$4:$C$37,2,0)</f>
        <v>[Cake] - Cashloan</v>
      </c>
      <c r="H10994" s="128" t="str">
        <f>VLOOKUP(source[[#This Row],[lending_product_transform]],[3]Mapping!$B$3:$D$37,3,0)</f>
        <v>cashloan</v>
      </c>
      <c r="I10994" s="135">
        <v>26734131</v>
      </c>
    </row>
    <row r="10995" spans="1:9" x14ac:dyDescent="0.2">
      <c r="A10995" s="134">
        <v>45994</v>
      </c>
      <c r="B10995" s="135">
        <f>YEAR(source[[#This Row],[report_date]])</f>
        <v>2025</v>
      </c>
      <c r="C10995" s="128">
        <f t="shared" si="511"/>
        <v>12</v>
      </c>
      <c r="D10995" s="136">
        <f t="shared" si="513"/>
        <v>49</v>
      </c>
      <c r="E10995" s="136">
        <f t="shared" si="512"/>
        <v>3</v>
      </c>
      <c r="F10995" s="137" t="s">
        <v>24</v>
      </c>
      <c r="G10995" s="128" t="str">
        <f>VLOOKUP(source[[#This Row],[lending_product_transform]],[3]Mapping!$B$4:$C$37,2,0)</f>
        <v>[Cake] - Cashloan</v>
      </c>
      <c r="H10995" s="128" t="str">
        <f>VLOOKUP(source[[#This Row],[lending_product_transform]],[3]Mapping!$B$3:$D$37,3,0)</f>
        <v>cashloan</v>
      </c>
      <c r="I10995" s="135">
        <v>1504725606</v>
      </c>
    </row>
    <row r="10996" spans="1:9" x14ac:dyDescent="0.2">
      <c r="A10996" s="134">
        <v>45994</v>
      </c>
      <c r="B10996" s="135">
        <f>YEAR(source[[#This Row],[report_date]])</f>
        <v>2025</v>
      </c>
      <c r="C10996" s="128">
        <f t="shared" si="511"/>
        <v>12</v>
      </c>
      <c r="D10996" s="136">
        <f t="shared" si="513"/>
        <v>49</v>
      </c>
      <c r="E10996" s="136">
        <f t="shared" si="512"/>
        <v>3</v>
      </c>
      <c r="F10996" s="137" t="s">
        <v>24</v>
      </c>
      <c r="G10996" s="128" t="str">
        <f>VLOOKUP(source[[#This Row],[lending_product_transform]],[3]Mapping!$B$4:$C$37,2,0)</f>
        <v>[Cake] - Cashloan</v>
      </c>
      <c r="H10996" s="128" t="str">
        <f>VLOOKUP(source[[#This Row],[lending_product_transform]],[3]Mapping!$B$3:$D$37,3,0)</f>
        <v>cashloan</v>
      </c>
      <c r="I10996" s="135">
        <v>0</v>
      </c>
    </row>
    <row r="10997" spans="1:9" x14ac:dyDescent="0.2">
      <c r="A10997" s="134">
        <v>45994</v>
      </c>
      <c r="B10997" s="135">
        <f>YEAR(source[[#This Row],[report_date]])</f>
        <v>2025</v>
      </c>
      <c r="C10997" s="128">
        <f t="shared" si="511"/>
        <v>12</v>
      </c>
      <c r="D10997" s="136">
        <f t="shared" si="513"/>
        <v>49</v>
      </c>
      <c r="E10997" s="136">
        <f t="shared" si="512"/>
        <v>3</v>
      </c>
      <c r="F10997" s="137" t="s">
        <v>24</v>
      </c>
      <c r="G10997" s="128" t="str">
        <f>VLOOKUP(source[[#This Row],[lending_product_transform]],[3]Mapping!$B$4:$C$37,2,0)</f>
        <v>[Cake] - Cashloan</v>
      </c>
      <c r="H10997" s="128" t="str">
        <f>VLOOKUP(source[[#This Row],[lending_product_transform]],[3]Mapping!$B$3:$D$37,3,0)</f>
        <v>cashloan</v>
      </c>
      <c r="I10997" s="135">
        <v>213750000</v>
      </c>
    </row>
    <row r="10998" spans="1:9" x14ac:dyDescent="0.2">
      <c r="A10998" s="134">
        <v>45994</v>
      </c>
      <c r="B10998" s="135">
        <f>YEAR(source[[#This Row],[report_date]])</f>
        <v>2025</v>
      </c>
      <c r="C10998" s="128">
        <f t="shared" ref="C10998:C11061" si="514">MONTH(A10998)</f>
        <v>12</v>
      </c>
      <c r="D10998" s="136">
        <f t="shared" si="513"/>
        <v>49</v>
      </c>
      <c r="E10998" s="136">
        <f t="shared" ref="E10998:E11061" si="515">DAY(A10998)</f>
        <v>3</v>
      </c>
      <c r="F10998" s="137" t="s">
        <v>24</v>
      </c>
      <c r="G10998" s="128" t="str">
        <f>VLOOKUP(source[[#This Row],[lending_product_transform]],[3]Mapping!$B$4:$C$37,2,0)</f>
        <v>[Cake] - Cashloan</v>
      </c>
      <c r="H10998" s="128" t="str">
        <f>VLOOKUP(source[[#This Row],[lending_product_transform]],[3]Mapping!$B$3:$D$37,3,0)</f>
        <v>cashloan</v>
      </c>
      <c r="I10998" s="135">
        <v>18564570000</v>
      </c>
    </row>
    <row r="10999" spans="1:9" x14ac:dyDescent="0.2">
      <c r="A10999" s="134">
        <v>45994</v>
      </c>
      <c r="B10999" s="135">
        <f>YEAR(source[[#This Row],[report_date]])</f>
        <v>2025</v>
      </c>
      <c r="C10999" s="128">
        <f t="shared" si="514"/>
        <v>12</v>
      </c>
      <c r="D10999" s="136">
        <f t="shared" si="513"/>
        <v>49</v>
      </c>
      <c r="E10999" s="136">
        <f t="shared" si="515"/>
        <v>3</v>
      </c>
      <c r="F10999" s="137" t="s">
        <v>24</v>
      </c>
      <c r="G10999" s="128" t="str">
        <f>VLOOKUP(source[[#This Row],[lending_product_transform]],[3]Mapping!$B$4:$C$37,2,0)</f>
        <v>[Cake] - Cashloan</v>
      </c>
      <c r="H10999" s="128" t="str">
        <f>VLOOKUP(source[[#This Row],[lending_product_transform]],[3]Mapping!$B$3:$D$37,3,0)</f>
        <v>cashloan</v>
      </c>
      <c r="I10999" s="135">
        <v>0</v>
      </c>
    </row>
    <row r="11000" spans="1:9" x14ac:dyDescent="0.2">
      <c r="A11000" s="134">
        <v>45994</v>
      </c>
      <c r="B11000" s="135">
        <f>YEAR(source[[#This Row],[report_date]])</f>
        <v>2025</v>
      </c>
      <c r="C11000" s="128">
        <f t="shared" si="514"/>
        <v>12</v>
      </c>
      <c r="D11000" s="136">
        <f t="shared" si="513"/>
        <v>49</v>
      </c>
      <c r="E11000" s="136">
        <f t="shared" si="515"/>
        <v>3</v>
      </c>
      <c r="F11000" s="137" t="s">
        <v>24</v>
      </c>
      <c r="G11000" s="128" t="str">
        <f>VLOOKUP(source[[#This Row],[lending_product_transform]],[3]Mapping!$B$4:$C$37,2,0)</f>
        <v>[Cake] - Cashloan</v>
      </c>
      <c r="H11000" s="128" t="str">
        <f>VLOOKUP(source[[#This Row],[lending_product_transform]],[3]Mapping!$B$3:$D$37,3,0)</f>
        <v>cashloan</v>
      </c>
      <c r="I11000" s="135">
        <v>0</v>
      </c>
    </row>
    <row r="11001" spans="1:9" x14ac:dyDescent="0.2">
      <c r="A11001" s="134">
        <v>45994</v>
      </c>
      <c r="B11001" s="135">
        <f>YEAR(source[[#This Row],[report_date]])</f>
        <v>2025</v>
      </c>
      <c r="C11001" s="128">
        <f t="shared" si="514"/>
        <v>12</v>
      </c>
      <c r="D11001" s="136">
        <f t="shared" si="513"/>
        <v>49</v>
      </c>
      <c r="E11001" s="136">
        <f t="shared" si="515"/>
        <v>3</v>
      </c>
      <c r="F11001" s="137" t="s">
        <v>24</v>
      </c>
      <c r="G11001" s="128" t="str">
        <f>VLOOKUP(source[[#This Row],[lending_product_transform]],[3]Mapping!$B$4:$C$37,2,0)</f>
        <v>[Cake] - Cashloan</v>
      </c>
      <c r="H11001" s="128" t="str">
        <f>VLOOKUP(source[[#This Row],[lending_product_transform]],[3]Mapping!$B$3:$D$37,3,0)</f>
        <v>cashloan</v>
      </c>
      <c r="I11001" s="135">
        <v>0</v>
      </c>
    </row>
    <row r="11002" spans="1:9" x14ac:dyDescent="0.2">
      <c r="A11002" s="134">
        <v>45994</v>
      </c>
      <c r="B11002" s="135">
        <f>YEAR(source[[#This Row],[report_date]])</f>
        <v>2025</v>
      </c>
      <c r="C11002" s="128">
        <f t="shared" si="514"/>
        <v>12</v>
      </c>
      <c r="D11002" s="136">
        <f t="shared" si="513"/>
        <v>49</v>
      </c>
      <c r="E11002" s="136">
        <f t="shared" si="515"/>
        <v>3</v>
      </c>
      <c r="F11002" s="137" t="s">
        <v>24</v>
      </c>
      <c r="G11002" s="128" t="str">
        <f>VLOOKUP(source[[#This Row],[lending_product_transform]],[3]Mapping!$B$4:$C$37,2,0)</f>
        <v>[Cake] - Cashloan</v>
      </c>
      <c r="H11002" s="128" t="str">
        <f>VLOOKUP(source[[#This Row],[lending_product_transform]],[3]Mapping!$B$3:$D$37,3,0)</f>
        <v>cashloan</v>
      </c>
      <c r="I11002" s="135">
        <v>25000000</v>
      </c>
    </row>
    <row r="11003" spans="1:9" x14ac:dyDescent="0.2">
      <c r="A11003" s="134">
        <v>45994</v>
      </c>
      <c r="B11003" s="135">
        <f>YEAR(source[[#This Row],[report_date]])</f>
        <v>2025</v>
      </c>
      <c r="C11003" s="128">
        <f t="shared" si="514"/>
        <v>12</v>
      </c>
      <c r="D11003" s="136">
        <f t="shared" si="513"/>
        <v>49</v>
      </c>
      <c r="E11003" s="136">
        <f t="shared" si="515"/>
        <v>3</v>
      </c>
      <c r="F11003" s="137" t="s">
        <v>24</v>
      </c>
      <c r="G11003" s="128" t="str">
        <f>VLOOKUP(source[[#This Row],[lending_product_transform]],[3]Mapping!$B$4:$C$37,2,0)</f>
        <v>[Cake] - Cashloan</v>
      </c>
      <c r="H11003" s="128" t="str">
        <f>VLOOKUP(source[[#This Row],[lending_product_transform]],[3]Mapping!$B$3:$D$37,3,0)</f>
        <v>cashloan</v>
      </c>
      <c r="I11003" s="135">
        <v>9799704000</v>
      </c>
    </row>
    <row r="11004" spans="1:9" x14ac:dyDescent="0.2">
      <c r="A11004" s="134">
        <v>45994</v>
      </c>
      <c r="B11004" s="135">
        <f>YEAR(source[[#This Row],[report_date]])</f>
        <v>2025</v>
      </c>
      <c r="C11004" s="128">
        <f t="shared" si="514"/>
        <v>12</v>
      </c>
      <c r="D11004" s="136">
        <f t="shared" si="513"/>
        <v>49</v>
      </c>
      <c r="E11004" s="136">
        <f t="shared" si="515"/>
        <v>3</v>
      </c>
      <c r="F11004" s="137" t="s">
        <v>24</v>
      </c>
      <c r="G11004" s="128" t="str">
        <f>VLOOKUP(source[[#This Row],[lending_product_transform]],[3]Mapping!$B$4:$C$37,2,0)</f>
        <v>[Cake] - Cashloan</v>
      </c>
      <c r="H11004" s="128" t="str">
        <f>VLOOKUP(source[[#This Row],[lending_product_transform]],[3]Mapping!$B$3:$D$37,3,0)</f>
        <v>cashloan</v>
      </c>
      <c r="I11004" s="135">
        <v>473222040</v>
      </c>
    </row>
    <row r="11005" spans="1:9" x14ac:dyDescent="0.2">
      <c r="A11005" s="134">
        <v>45994</v>
      </c>
      <c r="B11005" s="135">
        <f>YEAR(source[[#This Row],[report_date]])</f>
        <v>2025</v>
      </c>
      <c r="C11005" s="128">
        <f t="shared" si="514"/>
        <v>12</v>
      </c>
      <c r="D11005" s="136">
        <f t="shared" si="513"/>
        <v>49</v>
      </c>
      <c r="E11005" s="136">
        <f t="shared" si="515"/>
        <v>3</v>
      </c>
      <c r="F11005" s="137" t="s">
        <v>24</v>
      </c>
      <c r="G11005" s="128" t="str">
        <f>VLOOKUP(source[[#This Row],[lending_product_transform]],[3]Mapping!$B$4:$C$37,2,0)</f>
        <v>[Cake] - Cashloan</v>
      </c>
      <c r="H11005" s="128" t="str">
        <f>VLOOKUP(source[[#This Row],[lending_product_transform]],[3]Mapping!$B$3:$D$37,3,0)</f>
        <v>cashloan</v>
      </c>
      <c r="I11005" s="135">
        <v>10500000</v>
      </c>
    </row>
    <row r="11006" spans="1:9" x14ac:dyDescent="0.2">
      <c r="A11006" s="134">
        <v>45994</v>
      </c>
      <c r="B11006" s="135">
        <f>YEAR(source[[#This Row],[report_date]])</f>
        <v>2025</v>
      </c>
      <c r="C11006" s="128">
        <f t="shared" si="514"/>
        <v>12</v>
      </c>
      <c r="D11006" s="136">
        <f t="shared" si="513"/>
        <v>49</v>
      </c>
      <c r="E11006" s="136">
        <f t="shared" si="515"/>
        <v>3</v>
      </c>
      <c r="F11006" s="137" t="s">
        <v>24</v>
      </c>
      <c r="G11006" s="128" t="str">
        <f>VLOOKUP(source[[#This Row],[lending_product_transform]],[3]Mapping!$B$4:$C$37,2,0)</f>
        <v>[Cake] - Cashloan</v>
      </c>
      <c r="H11006" s="128" t="str">
        <f>VLOOKUP(source[[#This Row],[lending_product_transform]],[3]Mapping!$B$3:$D$37,3,0)</f>
        <v>cashloan</v>
      </c>
      <c r="I11006" s="135">
        <v>26000000</v>
      </c>
    </row>
    <row r="11007" spans="1:9" x14ac:dyDescent="0.2">
      <c r="A11007" s="134">
        <v>45994</v>
      </c>
      <c r="B11007" s="135">
        <f>YEAR(source[[#This Row],[report_date]])</f>
        <v>2025</v>
      </c>
      <c r="C11007" s="128">
        <f t="shared" si="514"/>
        <v>12</v>
      </c>
      <c r="D11007" s="136">
        <f t="shared" si="513"/>
        <v>49</v>
      </c>
      <c r="E11007" s="136">
        <f t="shared" si="515"/>
        <v>3</v>
      </c>
      <c r="F11007" s="137" t="s">
        <v>24</v>
      </c>
      <c r="G11007" s="128" t="str">
        <f>VLOOKUP(source[[#This Row],[lending_product_transform]],[3]Mapping!$B$4:$C$37,2,0)</f>
        <v>[Cake] - Cashloan</v>
      </c>
      <c r="H11007" s="128" t="str">
        <f>VLOOKUP(source[[#This Row],[lending_product_transform]],[3]Mapping!$B$3:$D$37,3,0)</f>
        <v>cashloan</v>
      </c>
      <c r="I11007" s="135">
        <v>966380000</v>
      </c>
    </row>
    <row r="11008" spans="1:9" x14ac:dyDescent="0.2">
      <c r="A11008" s="134">
        <v>45994</v>
      </c>
      <c r="B11008" s="135">
        <f>YEAR(source[[#This Row],[report_date]])</f>
        <v>2025</v>
      </c>
      <c r="C11008" s="128">
        <f t="shared" si="514"/>
        <v>12</v>
      </c>
      <c r="D11008" s="136">
        <f t="shared" si="513"/>
        <v>49</v>
      </c>
      <c r="E11008" s="136">
        <f t="shared" si="515"/>
        <v>3</v>
      </c>
      <c r="F11008" s="137" t="s">
        <v>24</v>
      </c>
      <c r="G11008" s="128" t="str">
        <f>VLOOKUP(source[[#This Row],[lending_product_transform]],[3]Mapping!$B$4:$C$37,2,0)</f>
        <v>[Cake] - Cashloan</v>
      </c>
      <c r="H11008" s="128" t="str">
        <f>VLOOKUP(source[[#This Row],[lending_product_transform]],[3]Mapping!$B$3:$D$37,3,0)</f>
        <v>cashloan</v>
      </c>
      <c r="I11008" s="135">
        <v>257364000</v>
      </c>
    </row>
    <row r="11009" spans="1:9" x14ac:dyDescent="0.2">
      <c r="A11009" s="134">
        <v>45994</v>
      </c>
      <c r="B11009" s="135">
        <f>YEAR(source[[#This Row],[report_date]])</f>
        <v>2025</v>
      </c>
      <c r="C11009" s="128">
        <f t="shared" si="514"/>
        <v>12</v>
      </c>
      <c r="D11009" s="136">
        <f t="shared" si="513"/>
        <v>49</v>
      </c>
      <c r="E11009" s="136">
        <f t="shared" si="515"/>
        <v>3</v>
      </c>
      <c r="F11009" s="137" t="s">
        <v>24</v>
      </c>
      <c r="G11009" s="128" t="str">
        <f>VLOOKUP(source[[#This Row],[lending_product_transform]],[3]Mapping!$B$4:$C$37,2,0)</f>
        <v>[Cake] - Cashloan</v>
      </c>
      <c r="H11009" s="128" t="str">
        <f>VLOOKUP(source[[#This Row],[lending_product_transform]],[3]Mapping!$B$3:$D$37,3,0)</f>
        <v>cashloan</v>
      </c>
      <c r="I11009" s="135">
        <v>1246818614</v>
      </c>
    </row>
    <row r="11010" spans="1:9" x14ac:dyDescent="0.2">
      <c r="A11010" s="134">
        <v>45994</v>
      </c>
      <c r="B11010" s="135">
        <f>YEAR(source[[#This Row],[report_date]])</f>
        <v>2025</v>
      </c>
      <c r="C11010" s="128">
        <f t="shared" si="514"/>
        <v>12</v>
      </c>
      <c r="D11010" s="136">
        <f t="shared" si="513"/>
        <v>49</v>
      </c>
      <c r="E11010" s="136">
        <f t="shared" si="515"/>
        <v>3</v>
      </c>
      <c r="F11010" s="137" t="s">
        <v>24</v>
      </c>
      <c r="G11010" s="128" t="str">
        <f>VLOOKUP(source[[#This Row],[lending_product_transform]],[3]Mapping!$B$4:$C$37,2,0)</f>
        <v>[Cake] - Cashloan</v>
      </c>
      <c r="H11010" s="128" t="str">
        <f>VLOOKUP(source[[#This Row],[lending_product_transform]],[3]Mapping!$B$3:$D$37,3,0)</f>
        <v>cashloan</v>
      </c>
      <c r="I11010" s="135">
        <v>4625350000</v>
      </c>
    </row>
    <row r="11011" spans="1:9" x14ac:dyDescent="0.2">
      <c r="A11011" s="134">
        <v>45995</v>
      </c>
      <c r="B11011" s="135">
        <f>YEAR(source[[#This Row],[report_date]])</f>
        <v>2025</v>
      </c>
      <c r="C11011" s="128">
        <f t="shared" si="514"/>
        <v>12</v>
      </c>
      <c r="D11011" s="136">
        <f t="shared" ref="D11011:D11074" si="516">WEEKNUM(A11011,2)</f>
        <v>49</v>
      </c>
      <c r="E11011" s="136">
        <f t="shared" si="515"/>
        <v>4</v>
      </c>
      <c r="F11011" s="137" t="s">
        <v>24</v>
      </c>
      <c r="G11011" s="128" t="str">
        <f>VLOOKUP(source[[#This Row],[lending_product_transform]],[3]Mapping!$B$4:$C$37,2,0)</f>
        <v>[Cake] - Cashloan</v>
      </c>
      <c r="H11011" s="128" t="str">
        <f>VLOOKUP(source[[#This Row],[lending_product_transform]],[3]Mapping!$B$3:$D$37,3,0)</f>
        <v>cashloan</v>
      </c>
      <c r="I11011" s="135">
        <v>191150000</v>
      </c>
    </row>
    <row r="11012" spans="1:9" x14ac:dyDescent="0.2">
      <c r="A11012" s="134">
        <v>45995</v>
      </c>
      <c r="B11012" s="135">
        <f>YEAR(source[[#This Row],[report_date]])</f>
        <v>2025</v>
      </c>
      <c r="C11012" s="128">
        <f t="shared" si="514"/>
        <v>12</v>
      </c>
      <c r="D11012" s="136">
        <f t="shared" si="516"/>
        <v>49</v>
      </c>
      <c r="E11012" s="136">
        <f t="shared" si="515"/>
        <v>4</v>
      </c>
      <c r="F11012" s="137" t="s">
        <v>24</v>
      </c>
      <c r="G11012" s="128" t="str">
        <f>VLOOKUP(source[[#This Row],[lending_product_transform]],[3]Mapping!$B$4:$C$37,2,0)</f>
        <v>[Cake] - Cashloan</v>
      </c>
      <c r="H11012" s="128" t="str">
        <f>VLOOKUP(source[[#This Row],[lending_product_transform]],[3]Mapping!$B$3:$D$37,3,0)</f>
        <v>cashloan</v>
      </c>
      <c r="I11012" s="135">
        <v>388595377</v>
      </c>
    </row>
    <row r="11013" spans="1:9" x14ac:dyDescent="0.2">
      <c r="A11013" s="134">
        <v>45995</v>
      </c>
      <c r="B11013" s="135">
        <f>YEAR(source[[#This Row],[report_date]])</f>
        <v>2025</v>
      </c>
      <c r="C11013" s="128">
        <f t="shared" si="514"/>
        <v>12</v>
      </c>
      <c r="D11013" s="136">
        <f t="shared" si="516"/>
        <v>49</v>
      </c>
      <c r="E11013" s="136">
        <f t="shared" si="515"/>
        <v>4</v>
      </c>
      <c r="F11013" s="137" t="s">
        <v>24</v>
      </c>
      <c r="G11013" s="128" t="str">
        <f>VLOOKUP(source[[#This Row],[lending_product_transform]],[3]Mapping!$B$4:$C$37,2,0)</f>
        <v>[Cake] - Cashloan</v>
      </c>
      <c r="H11013" s="128" t="str">
        <f>VLOOKUP(source[[#This Row],[lending_product_transform]],[3]Mapping!$B$3:$D$37,3,0)</f>
        <v>cashloan</v>
      </c>
      <c r="I11013" s="135">
        <v>20641120000</v>
      </c>
    </row>
    <row r="11014" spans="1:9" x14ac:dyDescent="0.2">
      <c r="A11014" s="134">
        <v>45995</v>
      </c>
      <c r="B11014" s="135">
        <f>YEAR(source[[#This Row],[report_date]])</f>
        <v>2025</v>
      </c>
      <c r="C11014" s="128">
        <f t="shared" si="514"/>
        <v>12</v>
      </c>
      <c r="D11014" s="136">
        <f t="shared" si="516"/>
        <v>49</v>
      </c>
      <c r="E11014" s="136">
        <f t="shared" si="515"/>
        <v>4</v>
      </c>
      <c r="F11014" s="137" t="s">
        <v>24</v>
      </c>
      <c r="G11014" s="128" t="str">
        <f>VLOOKUP(source[[#This Row],[lending_product_transform]],[3]Mapping!$B$4:$C$37,2,0)</f>
        <v>[Cake] - Cashloan</v>
      </c>
      <c r="H11014" s="128" t="str">
        <f>VLOOKUP(source[[#This Row],[lending_product_transform]],[3]Mapping!$B$3:$D$37,3,0)</f>
        <v>cashloan</v>
      </c>
      <c r="I11014" s="135">
        <v>2886195122</v>
      </c>
    </row>
    <row r="11015" spans="1:9" x14ac:dyDescent="0.2">
      <c r="A11015" s="134">
        <v>45995</v>
      </c>
      <c r="B11015" s="135">
        <f>YEAR(source[[#This Row],[report_date]])</f>
        <v>2025</v>
      </c>
      <c r="C11015" s="128">
        <f t="shared" si="514"/>
        <v>12</v>
      </c>
      <c r="D11015" s="136">
        <f t="shared" si="516"/>
        <v>49</v>
      </c>
      <c r="E11015" s="136">
        <f t="shared" si="515"/>
        <v>4</v>
      </c>
      <c r="F11015" s="137" t="s">
        <v>24</v>
      </c>
      <c r="G11015" s="128" t="str">
        <f>VLOOKUP(source[[#This Row],[lending_product_transform]],[3]Mapping!$B$4:$C$37,2,0)</f>
        <v>[Cake] - Cashloan</v>
      </c>
      <c r="H11015" s="128" t="str">
        <f>VLOOKUP(source[[#This Row],[lending_product_transform]],[3]Mapping!$B$3:$D$37,3,0)</f>
        <v>cashloan</v>
      </c>
      <c r="I11015" s="135">
        <v>12942072000</v>
      </c>
    </row>
    <row r="11016" spans="1:9" x14ac:dyDescent="0.2">
      <c r="A11016" s="134">
        <v>45995</v>
      </c>
      <c r="B11016" s="135">
        <f>YEAR(source[[#This Row],[report_date]])</f>
        <v>2025</v>
      </c>
      <c r="C11016" s="128">
        <f t="shared" si="514"/>
        <v>12</v>
      </c>
      <c r="D11016" s="136">
        <f t="shared" si="516"/>
        <v>49</v>
      </c>
      <c r="E11016" s="136">
        <f t="shared" si="515"/>
        <v>4</v>
      </c>
      <c r="F11016" s="137" t="s">
        <v>24</v>
      </c>
      <c r="G11016" s="128" t="str">
        <f>VLOOKUP(source[[#This Row],[lending_product_transform]],[3]Mapping!$B$4:$C$37,2,0)</f>
        <v>[Cake] - Cashloan</v>
      </c>
      <c r="H11016" s="128" t="str">
        <f>VLOOKUP(source[[#This Row],[lending_product_transform]],[3]Mapping!$B$3:$D$37,3,0)</f>
        <v>cashloan</v>
      </c>
      <c r="I11016" s="135">
        <v>80483260</v>
      </c>
    </row>
    <row r="11017" spans="1:9" x14ac:dyDescent="0.2">
      <c r="A11017" s="134">
        <v>45995</v>
      </c>
      <c r="B11017" s="135">
        <f>YEAR(source[[#This Row],[report_date]])</f>
        <v>2025</v>
      </c>
      <c r="C11017" s="128">
        <f t="shared" si="514"/>
        <v>12</v>
      </c>
      <c r="D11017" s="136">
        <f t="shared" si="516"/>
        <v>49</v>
      </c>
      <c r="E11017" s="136">
        <f t="shared" si="515"/>
        <v>4</v>
      </c>
      <c r="F11017" s="137" t="s">
        <v>24</v>
      </c>
      <c r="G11017" s="128" t="str">
        <f>VLOOKUP(source[[#This Row],[lending_product_transform]],[3]Mapping!$B$4:$C$37,2,0)</f>
        <v>[Cake] - Cashloan</v>
      </c>
      <c r="H11017" s="128" t="str">
        <f>VLOOKUP(source[[#This Row],[lending_product_transform]],[3]Mapping!$B$3:$D$37,3,0)</f>
        <v>cashloan</v>
      </c>
      <c r="I11017" s="135">
        <v>3608040000</v>
      </c>
    </row>
    <row r="11018" spans="1:9" x14ac:dyDescent="0.2">
      <c r="A11018" s="134">
        <v>45995</v>
      </c>
      <c r="B11018" s="135">
        <f>YEAR(source[[#This Row],[report_date]])</f>
        <v>2025</v>
      </c>
      <c r="C11018" s="128">
        <f t="shared" si="514"/>
        <v>12</v>
      </c>
      <c r="D11018" s="136">
        <f t="shared" si="516"/>
        <v>49</v>
      </c>
      <c r="E11018" s="136">
        <f t="shared" si="515"/>
        <v>4</v>
      </c>
      <c r="F11018" s="137" t="s">
        <v>24</v>
      </c>
      <c r="G11018" s="128" t="str">
        <f>VLOOKUP(source[[#This Row],[lending_product_transform]],[3]Mapping!$B$4:$C$37,2,0)</f>
        <v>[Cake] - Cashloan</v>
      </c>
      <c r="H11018" s="128" t="str">
        <f>VLOOKUP(source[[#This Row],[lending_product_transform]],[3]Mapping!$B$3:$D$37,3,0)</f>
        <v>cashloan</v>
      </c>
      <c r="I11018" s="135">
        <v>47495686</v>
      </c>
    </row>
    <row r="11019" spans="1:9" x14ac:dyDescent="0.2">
      <c r="A11019" s="134">
        <v>45995</v>
      </c>
      <c r="B11019" s="135">
        <f>YEAR(source[[#This Row],[report_date]])</f>
        <v>2025</v>
      </c>
      <c r="C11019" s="128">
        <f t="shared" si="514"/>
        <v>12</v>
      </c>
      <c r="D11019" s="136">
        <f t="shared" si="516"/>
        <v>49</v>
      </c>
      <c r="E11019" s="136">
        <f t="shared" si="515"/>
        <v>4</v>
      </c>
      <c r="F11019" s="137" t="s">
        <v>24</v>
      </c>
      <c r="G11019" s="128" t="str">
        <f>VLOOKUP(source[[#This Row],[lending_product_transform]],[3]Mapping!$B$4:$C$37,2,0)</f>
        <v>[Cake] - Cashloan</v>
      </c>
      <c r="H11019" s="128" t="str">
        <f>VLOOKUP(source[[#This Row],[lending_product_transform]],[3]Mapping!$B$3:$D$37,3,0)</f>
        <v>cashloan</v>
      </c>
      <c r="I11019" s="135">
        <v>1277032517</v>
      </c>
    </row>
    <row r="11020" spans="1:9" x14ac:dyDescent="0.2">
      <c r="A11020" s="134">
        <v>45995</v>
      </c>
      <c r="B11020" s="135">
        <f>YEAR(source[[#This Row],[report_date]])</f>
        <v>2025</v>
      </c>
      <c r="C11020" s="128">
        <f t="shared" si="514"/>
        <v>12</v>
      </c>
      <c r="D11020" s="136">
        <f t="shared" si="516"/>
        <v>49</v>
      </c>
      <c r="E11020" s="136">
        <f t="shared" si="515"/>
        <v>4</v>
      </c>
      <c r="F11020" s="137" t="s">
        <v>24</v>
      </c>
      <c r="G11020" s="128" t="str">
        <f>VLOOKUP(source[[#This Row],[lending_product_transform]],[3]Mapping!$B$4:$C$37,2,0)</f>
        <v>[Cake] - Cashloan</v>
      </c>
      <c r="H11020" s="128" t="str">
        <f>VLOOKUP(source[[#This Row],[lending_product_transform]],[3]Mapping!$B$3:$D$37,3,0)</f>
        <v>cashloan</v>
      </c>
      <c r="I11020" s="135">
        <v>0</v>
      </c>
    </row>
    <row r="11021" spans="1:9" x14ac:dyDescent="0.2">
      <c r="A11021" s="134">
        <v>45995</v>
      </c>
      <c r="B11021" s="135">
        <f>YEAR(source[[#This Row],[report_date]])</f>
        <v>2025</v>
      </c>
      <c r="C11021" s="128">
        <f t="shared" si="514"/>
        <v>12</v>
      </c>
      <c r="D11021" s="136">
        <f t="shared" si="516"/>
        <v>49</v>
      </c>
      <c r="E11021" s="136">
        <f t="shared" si="515"/>
        <v>4</v>
      </c>
      <c r="F11021" s="137" t="s">
        <v>24</v>
      </c>
      <c r="G11021" s="128" t="str">
        <f>VLOOKUP(source[[#This Row],[lending_product_transform]],[3]Mapping!$B$4:$C$37,2,0)</f>
        <v>[Cake] - Cashloan</v>
      </c>
      <c r="H11021" s="128" t="str">
        <f>VLOOKUP(source[[#This Row],[lending_product_transform]],[3]Mapping!$B$3:$D$37,3,0)</f>
        <v>cashloan</v>
      </c>
      <c r="I11021" s="135">
        <v>325250000</v>
      </c>
    </row>
    <row r="11022" spans="1:9" x14ac:dyDescent="0.2">
      <c r="A11022" s="134">
        <v>45995</v>
      </c>
      <c r="B11022" s="135">
        <f>YEAR(source[[#This Row],[report_date]])</f>
        <v>2025</v>
      </c>
      <c r="C11022" s="128">
        <f t="shared" si="514"/>
        <v>12</v>
      </c>
      <c r="D11022" s="136">
        <f t="shared" si="516"/>
        <v>49</v>
      </c>
      <c r="E11022" s="136">
        <f t="shared" si="515"/>
        <v>4</v>
      </c>
      <c r="F11022" s="137" t="s">
        <v>24</v>
      </c>
      <c r="G11022" s="128" t="str">
        <f>VLOOKUP(source[[#This Row],[lending_product_transform]],[3]Mapping!$B$4:$C$37,2,0)</f>
        <v>[Cake] - Cashloan</v>
      </c>
      <c r="H11022" s="128" t="str">
        <f>VLOOKUP(source[[#This Row],[lending_product_transform]],[3]Mapping!$B$3:$D$37,3,0)</f>
        <v>cashloan</v>
      </c>
      <c r="I11022" s="135">
        <v>20323110000</v>
      </c>
    </row>
    <row r="11023" spans="1:9" x14ac:dyDescent="0.2">
      <c r="A11023" s="134">
        <v>45995</v>
      </c>
      <c r="B11023" s="135">
        <f>YEAR(source[[#This Row],[report_date]])</f>
        <v>2025</v>
      </c>
      <c r="C11023" s="128">
        <f t="shared" si="514"/>
        <v>12</v>
      </c>
      <c r="D11023" s="136">
        <f t="shared" si="516"/>
        <v>49</v>
      </c>
      <c r="E11023" s="136">
        <f t="shared" si="515"/>
        <v>4</v>
      </c>
      <c r="F11023" s="137" t="s">
        <v>24</v>
      </c>
      <c r="G11023" s="128" t="str">
        <f>VLOOKUP(source[[#This Row],[lending_product_transform]],[3]Mapping!$B$4:$C$37,2,0)</f>
        <v>[Cake] - Cashloan</v>
      </c>
      <c r="H11023" s="128" t="str">
        <f>VLOOKUP(source[[#This Row],[lending_product_transform]],[3]Mapping!$B$3:$D$37,3,0)</f>
        <v>cashloan</v>
      </c>
      <c r="I11023" s="135">
        <v>0</v>
      </c>
    </row>
    <row r="11024" spans="1:9" x14ac:dyDescent="0.2">
      <c r="A11024" s="134">
        <v>45995</v>
      </c>
      <c r="B11024" s="135">
        <f>YEAR(source[[#This Row],[report_date]])</f>
        <v>2025</v>
      </c>
      <c r="C11024" s="128">
        <f t="shared" si="514"/>
        <v>12</v>
      </c>
      <c r="D11024" s="136">
        <f t="shared" si="516"/>
        <v>49</v>
      </c>
      <c r="E11024" s="136">
        <f t="shared" si="515"/>
        <v>4</v>
      </c>
      <c r="F11024" s="137" t="s">
        <v>24</v>
      </c>
      <c r="G11024" s="128" t="str">
        <f>VLOOKUP(source[[#This Row],[lending_product_transform]],[3]Mapping!$B$4:$C$37,2,0)</f>
        <v>[Cake] - Cashloan</v>
      </c>
      <c r="H11024" s="128" t="str">
        <f>VLOOKUP(source[[#This Row],[lending_product_transform]],[3]Mapping!$B$3:$D$37,3,0)</f>
        <v>cashloan</v>
      </c>
      <c r="I11024" s="135">
        <v>0</v>
      </c>
    </row>
    <row r="11025" spans="1:9" x14ac:dyDescent="0.2">
      <c r="A11025" s="134">
        <v>45995</v>
      </c>
      <c r="B11025" s="135">
        <f>YEAR(source[[#This Row],[report_date]])</f>
        <v>2025</v>
      </c>
      <c r="C11025" s="128">
        <f t="shared" si="514"/>
        <v>12</v>
      </c>
      <c r="D11025" s="136">
        <f t="shared" si="516"/>
        <v>49</v>
      </c>
      <c r="E11025" s="136">
        <f t="shared" si="515"/>
        <v>4</v>
      </c>
      <c r="F11025" s="137" t="s">
        <v>24</v>
      </c>
      <c r="G11025" s="128" t="str">
        <f>VLOOKUP(source[[#This Row],[lending_product_transform]],[3]Mapping!$B$4:$C$37,2,0)</f>
        <v>[Cake] - Cashloan</v>
      </c>
      <c r="H11025" s="128" t="str">
        <f>VLOOKUP(source[[#This Row],[lending_product_transform]],[3]Mapping!$B$3:$D$37,3,0)</f>
        <v>cashloan</v>
      </c>
      <c r="I11025" s="135">
        <v>0</v>
      </c>
    </row>
    <row r="11026" spans="1:9" x14ac:dyDescent="0.2">
      <c r="A11026" s="134">
        <v>45995</v>
      </c>
      <c r="B11026" s="135">
        <f>YEAR(source[[#This Row],[report_date]])</f>
        <v>2025</v>
      </c>
      <c r="C11026" s="128">
        <f t="shared" si="514"/>
        <v>12</v>
      </c>
      <c r="D11026" s="136">
        <f t="shared" si="516"/>
        <v>49</v>
      </c>
      <c r="E11026" s="136">
        <f t="shared" si="515"/>
        <v>4</v>
      </c>
      <c r="F11026" s="137" t="s">
        <v>24</v>
      </c>
      <c r="G11026" s="128" t="str">
        <f>VLOOKUP(source[[#This Row],[lending_product_transform]],[3]Mapping!$B$4:$C$37,2,0)</f>
        <v>[Cake] - Cashloan</v>
      </c>
      <c r="H11026" s="128" t="str">
        <f>VLOOKUP(source[[#This Row],[lending_product_transform]],[3]Mapping!$B$3:$D$37,3,0)</f>
        <v>cashloan</v>
      </c>
      <c r="I11026" s="135">
        <v>0</v>
      </c>
    </row>
    <row r="11027" spans="1:9" x14ac:dyDescent="0.2">
      <c r="A11027" s="134">
        <v>45995</v>
      </c>
      <c r="B11027" s="135">
        <f>YEAR(source[[#This Row],[report_date]])</f>
        <v>2025</v>
      </c>
      <c r="C11027" s="128">
        <f t="shared" si="514"/>
        <v>12</v>
      </c>
      <c r="D11027" s="136">
        <f t="shared" si="516"/>
        <v>49</v>
      </c>
      <c r="E11027" s="136">
        <f t="shared" si="515"/>
        <v>4</v>
      </c>
      <c r="F11027" s="137" t="s">
        <v>24</v>
      </c>
      <c r="G11027" s="128" t="str">
        <f>VLOOKUP(source[[#This Row],[lending_product_transform]],[3]Mapping!$B$4:$C$37,2,0)</f>
        <v>[Cake] - Cashloan</v>
      </c>
      <c r="H11027" s="128" t="str">
        <f>VLOOKUP(source[[#This Row],[lending_product_transform]],[3]Mapping!$B$3:$D$37,3,0)</f>
        <v>cashloan</v>
      </c>
      <c r="I11027" s="135">
        <v>10619856000</v>
      </c>
    </row>
    <row r="11028" spans="1:9" x14ac:dyDescent="0.2">
      <c r="A11028" s="134">
        <v>45995</v>
      </c>
      <c r="B11028" s="135">
        <f>YEAR(source[[#This Row],[report_date]])</f>
        <v>2025</v>
      </c>
      <c r="C11028" s="128">
        <f t="shared" si="514"/>
        <v>12</v>
      </c>
      <c r="D11028" s="136">
        <f t="shared" si="516"/>
        <v>49</v>
      </c>
      <c r="E11028" s="136">
        <f t="shared" si="515"/>
        <v>4</v>
      </c>
      <c r="F11028" s="137" t="s">
        <v>24</v>
      </c>
      <c r="G11028" s="128" t="str">
        <f>VLOOKUP(source[[#This Row],[lending_product_transform]],[3]Mapping!$B$4:$C$37,2,0)</f>
        <v>[Cake] - Cashloan</v>
      </c>
      <c r="H11028" s="128" t="str">
        <f>VLOOKUP(source[[#This Row],[lending_product_transform]],[3]Mapping!$B$3:$D$37,3,0)</f>
        <v>cashloan</v>
      </c>
      <c r="I11028" s="135">
        <v>503051669</v>
      </c>
    </row>
    <row r="11029" spans="1:9" x14ac:dyDescent="0.2">
      <c r="A11029" s="134">
        <v>45995</v>
      </c>
      <c r="B11029" s="135">
        <f>YEAR(source[[#This Row],[report_date]])</f>
        <v>2025</v>
      </c>
      <c r="C11029" s="128">
        <f t="shared" si="514"/>
        <v>12</v>
      </c>
      <c r="D11029" s="136">
        <f t="shared" si="516"/>
        <v>49</v>
      </c>
      <c r="E11029" s="136">
        <f t="shared" si="515"/>
        <v>4</v>
      </c>
      <c r="F11029" s="137" t="s">
        <v>24</v>
      </c>
      <c r="G11029" s="128" t="str">
        <f>VLOOKUP(source[[#This Row],[lending_product_transform]],[3]Mapping!$B$4:$C$37,2,0)</f>
        <v>[Cake] - Cashloan</v>
      </c>
      <c r="H11029" s="128" t="str">
        <f>VLOOKUP(source[[#This Row],[lending_product_transform]],[3]Mapping!$B$3:$D$37,3,0)</f>
        <v>cashloan</v>
      </c>
      <c r="I11029" s="135">
        <v>21000000</v>
      </c>
    </row>
    <row r="11030" spans="1:9" x14ac:dyDescent="0.2">
      <c r="A11030" s="134">
        <v>45995</v>
      </c>
      <c r="B11030" s="135">
        <f>YEAR(source[[#This Row],[report_date]])</f>
        <v>2025</v>
      </c>
      <c r="C11030" s="128">
        <f t="shared" si="514"/>
        <v>12</v>
      </c>
      <c r="D11030" s="136">
        <f t="shared" si="516"/>
        <v>49</v>
      </c>
      <c r="E11030" s="136">
        <f t="shared" si="515"/>
        <v>4</v>
      </c>
      <c r="F11030" s="137" t="s">
        <v>24</v>
      </c>
      <c r="G11030" s="128" t="str">
        <f>VLOOKUP(source[[#This Row],[lending_product_transform]],[3]Mapping!$B$4:$C$37,2,0)</f>
        <v>[Cake] - Cashloan</v>
      </c>
      <c r="H11030" s="128" t="str">
        <f>VLOOKUP(source[[#This Row],[lending_product_transform]],[3]Mapping!$B$3:$D$37,3,0)</f>
        <v>cashloan</v>
      </c>
      <c r="I11030" s="135">
        <v>50000000</v>
      </c>
    </row>
    <row r="11031" spans="1:9" x14ac:dyDescent="0.2">
      <c r="A11031" s="134">
        <v>45995</v>
      </c>
      <c r="B11031" s="135">
        <f>YEAR(source[[#This Row],[report_date]])</f>
        <v>2025</v>
      </c>
      <c r="C11031" s="128">
        <f t="shared" si="514"/>
        <v>12</v>
      </c>
      <c r="D11031" s="136">
        <f t="shared" si="516"/>
        <v>49</v>
      </c>
      <c r="E11031" s="136">
        <f t="shared" si="515"/>
        <v>4</v>
      </c>
      <c r="F11031" s="137" t="s">
        <v>24</v>
      </c>
      <c r="G11031" s="128" t="str">
        <f>VLOOKUP(source[[#This Row],[lending_product_transform]],[3]Mapping!$B$4:$C$37,2,0)</f>
        <v>[Cake] - Cashloan</v>
      </c>
      <c r="H11031" s="128" t="str">
        <f>VLOOKUP(source[[#This Row],[lending_product_transform]],[3]Mapping!$B$3:$D$37,3,0)</f>
        <v>cashloan</v>
      </c>
      <c r="I11031" s="135">
        <v>688840000</v>
      </c>
    </row>
    <row r="11032" spans="1:9" x14ac:dyDescent="0.2">
      <c r="A11032" s="134">
        <v>45995</v>
      </c>
      <c r="B11032" s="135">
        <f>YEAR(source[[#This Row],[report_date]])</f>
        <v>2025</v>
      </c>
      <c r="C11032" s="128">
        <f t="shared" si="514"/>
        <v>12</v>
      </c>
      <c r="D11032" s="136">
        <f t="shared" si="516"/>
        <v>49</v>
      </c>
      <c r="E11032" s="136">
        <f t="shared" si="515"/>
        <v>4</v>
      </c>
      <c r="F11032" s="137" t="s">
        <v>24</v>
      </c>
      <c r="G11032" s="128" t="str">
        <f>VLOOKUP(source[[#This Row],[lending_product_transform]],[3]Mapping!$B$4:$C$37,2,0)</f>
        <v>[Cake] - Cashloan</v>
      </c>
      <c r="H11032" s="128" t="str">
        <f>VLOOKUP(source[[#This Row],[lending_product_transform]],[3]Mapping!$B$3:$D$37,3,0)</f>
        <v>cashloan</v>
      </c>
      <c r="I11032" s="135">
        <v>178308000</v>
      </c>
    </row>
    <row r="11033" spans="1:9" x14ac:dyDescent="0.2">
      <c r="A11033" s="134">
        <v>45995</v>
      </c>
      <c r="B11033" s="135">
        <f>YEAR(source[[#This Row],[report_date]])</f>
        <v>2025</v>
      </c>
      <c r="C11033" s="128">
        <f t="shared" si="514"/>
        <v>12</v>
      </c>
      <c r="D11033" s="136">
        <f t="shared" si="516"/>
        <v>49</v>
      </c>
      <c r="E11033" s="136">
        <f t="shared" si="515"/>
        <v>4</v>
      </c>
      <c r="F11033" s="137" t="s">
        <v>24</v>
      </c>
      <c r="G11033" s="128" t="str">
        <f>VLOOKUP(source[[#This Row],[lending_product_transform]],[3]Mapping!$B$4:$C$37,2,0)</f>
        <v>[Cake] - Cashloan</v>
      </c>
      <c r="H11033" s="128" t="str">
        <f>VLOOKUP(source[[#This Row],[lending_product_transform]],[3]Mapping!$B$3:$D$37,3,0)</f>
        <v>cashloan</v>
      </c>
      <c r="I11033" s="135">
        <v>1383088354</v>
      </c>
    </row>
    <row r="11034" spans="1:9" x14ac:dyDescent="0.2">
      <c r="A11034" s="134">
        <v>45995</v>
      </c>
      <c r="B11034" s="135">
        <f>YEAR(source[[#This Row],[report_date]])</f>
        <v>2025</v>
      </c>
      <c r="C11034" s="128">
        <f t="shared" si="514"/>
        <v>12</v>
      </c>
      <c r="D11034" s="136">
        <f t="shared" si="516"/>
        <v>49</v>
      </c>
      <c r="E11034" s="136">
        <f t="shared" si="515"/>
        <v>4</v>
      </c>
      <c r="F11034" s="137" t="s">
        <v>24</v>
      </c>
      <c r="G11034" s="128" t="str">
        <f>VLOOKUP(source[[#This Row],[lending_product_transform]],[3]Mapping!$B$4:$C$37,2,0)</f>
        <v>[Cake] - Cashloan</v>
      </c>
      <c r="H11034" s="128" t="str">
        <f>VLOOKUP(source[[#This Row],[lending_product_transform]],[3]Mapping!$B$3:$D$37,3,0)</f>
        <v>cashloan</v>
      </c>
      <c r="I11034" s="135">
        <v>4186970000</v>
      </c>
    </row>
    <row r="11035" spans="1:9" x14ac:dyDescent="0.2">
      <c r="A11035" s="134">
        <v>45996</v>
      </c>
      <c r="B11035" s="135">
        <f>YEAR(source[[#This Row],[report_date]])</f>
        <v>2025</v>
      </c>
      <c r="C11035" s="128">
        <f t="shared" si="514"/>
        <v>12</v>
      </c>
      <c r="D11035" s="136">
        <f t="shared" si="516"/>
        <v>49</v>
      </c>
      <c r="E11035" s="136">
        <f t="shared" si="515"/>
        <v>5</v>
      </c>
      <c r="F11035" s="137" t="s">
        <v>24</v>
      </c>
      <c r="G11035" s="128" t="str">
        <f>VLOOKUP(source[[#This Row],[lending_product_transform]],[3]Mapping!$B$4:$C$37,2,0)</f>
        <v>[Cake] - Cashloan</v>
      </c>
      <c r="H11035" s="128" t="str">
        <f>VLOOKUP(source[[#This Row],[lending_product_transform]],[3]Mapping!$B$3:$D$37,3,0)</f>
        <v>cashloan</v>
      </c>
      <c r="I11035" s="135">
        <v>304700000</v>
      </c>
    </row>
    <row r="11036" spans="1:9" x14ac:dyDescent="0.2">
      <c r="A11036" s="134">
        <v>45996</v>
      </c>
      <c r="B11036" s="135">
        <f>YEAR(source[[#This Row],[report_date]])</f>
        <v>2025</v>
      </c>
      <c r="C11036" s="128">
        <f t="shared" si="514"/>
        <v>12</v>
      </c>
      <c r="D11036" s="136">
        <f t="shared" si="516"/>
        <v>49</v>
      </c>
      <c r="E11036" s="136">
        <f t="shared" si="515"/>
        <v>5</v>
      </c>
      <c r="F11036" s="137" t="s">
        <v>24</v>
      </c>
      <c r="G11036" s="128" t="str">
        <f>VLOOKUP(source[[#This Row],[lending_product_transform]],[3]Mapping!$B$4:$C$37,2,0)</f>
        <v>[Cake] - Cashloan</v>
      </c>
      <c r="H11036" s="128" t="str">
        <f>VLOOKUP(source[[#This Row],[lending_product_transform]],[3]Mapping!$B$3:$D$37,3,0)</f>
        <v>cashloan</v>
      </c>
      <c r="I11036" s="135">
        <v>462850306</v>
      </c>
    </row>
    <row r="11037" spans="1:9" x14ac:dyDescent="0.2">
      <c r="A11037" s="134">
        <v>45996</v>
      </c>
      <c r="B11037" s="135">
        <f>YEAR(source[[#This Row],[report_date]])</f>
        <v>2025</v>
      </c>
      <c r="C11037" s="128">
        <f t="shared" si="514"/>
        <v>12</v>
      </c>
      <c r="D11037" s="136">
        <f t="shared" si="516"/>
        <v>49</v>
      </c>
      <c r="E11037" s="136">
        <f t="shared" si="515"/>
        <v>5</v>
      </c>
      <c r="F11037" s="137" t="s">
        <v>24</v>
      </c>
      <c r="G11037" s="128" t="str">
        <f>VLOOKUP(source[[#This Row],[lending_product_transform]],[3]Mapping!$B$4:$C$37,2,0)</f>
        <v>[Cake] - Cashloan</v>
      </c>
      <c r="H11037" s="128" t="str">
        <f>VLOOKUP(source[[#This Row],[lending_product_transform]],[3]Mapping!$B$3:$D$37,3,0)</f>
        <v>cashloan</v>
      </c>
      <c r="I11037" s="135">
        <v>22241380000</v>
      </c>
    </row>
    <row r="11038" spans="1:9" x14ac:dyDescent="0.2">
      <c r="A11038" s="134">
        <v>45996</v>
      </c>
      <c r="B11038" s="135">
        <f>YEAR(source[[#This Row],[report_date]])</f>
        <v>2025</v>
      </c>
      <c r="C11038" s="128">
        <f t="shared" si="514"/>
        <v>12</v>
      </c>
      <c r="D11038" s="136">
        <f t="shared" si="516"/>
        <v>49</v>
      </c>
      <c r="E11038" s="136">
        <f t="shared" si="515"/>
        <v>5</v>
      </c>
      <c r="F11038" s="137" t="s">
        <v>24</v>
      </c>
      <c r="G11038" s="128" t="str">
        <f>VLOOKUP(source[[#This Row],[lending_product_transform]],[3]Mapping!$B$4:$C$37,2,0)</f>
        <v>[Cake] - Cashloan</v>
      </c>
      <c r="H11038" s="128" t="str">
        <f>VLOOKUP(source[[#This Row],[lending_product_transform]],[3]Mapping!$B$3:$D$37,3,0)</f>
        <v>cashloan</v>
      </c>
      <c r="I11038" s="135">
        <v>3186304974</v>
      </c>
    </row>
    <row r="11039" spans="1:9" x14ac:dyDescent="0.2">
      <c r="A11039" s="134">
        <v>45996</v>
      </c>
      <c r="B11039" s="135">
        <f>YEAR(source[[#This Row],[report_date]])</f>
        <v>2025</v>
      </c>
      <c r="C11039" s="128">
        <f t="shared" si="514"/>
        <v>12</v>
      </c>
      <c r="D11039" s="136">
        <f t="shared" si="516"/>
        <v>49</v>
      </c>
      <c r="E11039" s="136">
        <f t="shared" si="515"/>
        <v>5</v>
      </c>
      <c r="F11039" s="137" t="s">
        <v>24</v>
      </c>
      <c r="G11039" s="128" t="str">
        <f>VLOOKUP(source[[#This Row],[lending_product_transform]],[3]Mapping!$B$4:$C$37,2,0)</f>
        <v>[Cake] - Cashloan</v>
      </c>
      <c r="H11039" s="128" t="str">
        <f>VLOOKUP(source[[#This Row],[lending_product_transform]],[3]Mapping!$B$3:$D$37,3,0)</f>
        <v>cashloan</v>
      </c>
      <c r="I11039" s="135">
        <v>14076828000</v>
      </c>
    </row>
    <row r="11040" spans="1:9" x14ac:dyDescent="0.2">
      <c r="A11040" s="134">
        <v>45996</v>
      </c>
      <c r="B11040" s="135">
        <f>YEAR(source[[#This Row],[report_date]])</f>
        <v>2025</v>
      </c>
      <c r="C11040" s="128">
        <f t="shared" si="514"/>
        <v>12</v>
      </c>
      <c r="D11040" s="136">
        <f t="shared" si="516"/>
        <v>49</v>
      </c>
      <c r="E11040" s="136">
        <f t="shared" si="515"/>
        <v>5</v>
      </c>
      <c r="F11040" s="137" t="s">
        <v>24</v>
      </c>
      <c r="G11040" s="128" t="str">
        <f>VLOOKUP(source[[#This Row],[lending_product_transform]],[3]Mapping!$B$4:$C$37,2,0)</f>
        <v>[Cake] - Cashloan</v>
      </c>
      <c r="H11040" s="128" t="str">
        <f>VLOOKUP(source[[#This Row],[lending_product_transform]],[3]Mapping!$B$3:$D$37,3,0)</f>
        <v>cashloan</v>
      </c>
      <c r="I11040" s="135">
        <v>58538356</v>
      </c>
    </row>
    <row r="11041" spans="1:9" x14ac:dyDescent="0.2">
      <c r="A11041" s="134">
        <v>45996</v>
      </c>
      <c r="B11041" s="135">
        <f>YEAR(source[[#This Row],[report_date]])</f>
        <v>2025</v>
      </c>
      <c r="C11041" s="128">
        <f t="shared" si="514"/>
        <v>12</v>
      </c>
      <c r="D11041" s="136">
        <f t="shared" si="516"/>
        <v>49</v>
      </c>
      <c r="E11041" s="136">
        <f t="shared" si="515"/>
        <v>5</v>
      </c>
      <c r="F11041" s="137" t="s">
        <v>24</v>
      </c>
      <c r="G11041" s="128" t="str">
        <f>VLOOKUP(source[[#This Row],[lending_product_transform]],[3]Mapping!$B$4:$C$37,2,0)</f>
        <v>[Cake] - Cashloan</v>
      </c>
      <c r="H11041" s="128" t="str">
        <f>VLOOKUP(source[[#This Row],[lending_product_transform]],[3]Mapping!$B$3:$D$37,3,0)</f>
        <v>cashloan</v>
      </c>
      <c r="I11041" s="135">
        <v>3785090000</v>
      </c>
    </row>
    <row r="11042" spans="1:9" x14ac:dyDescent="0.2">
      <c r="A11042" s="134">
        <v>45996</v>
      </c>
      <c r="B11042" s="135">
        <f>YEAR(source[[#This Row],[report_date]])</f>
        <v>2025</v>
      </c>
      <c r="C11042" s="128">
        <f t="shared" si="514"/>
        <v>12</v>
      </c>
      <c r="D11042" s="136">
        <f t="shared" si="516"/>
        <v>49</v>
      </c>
      <c r="E11042" s="136">
        <f t="shared" si="515"/>
        <v>5</v>
      </c>
      <c r="F11042" s="137" t="s">
        <v>24</v>
      </c>
      <c r="G11042" s="128" t="str">
        <f>VLOOKUP(source[[#This Row],[lending_product_transform]],[3]Mapping!$B$4:$C$37,2,0)</f>
        <v>[Cake] - Cashloan</v>
      </c>
      <c r="H11042" s="128" t="str">
        <f>VLOOKUP(source[[#This Row],[lending_product_transform]],[3]Mapping!$B$3:$D$37,3,0)</f>
        <v>cashloan</v>
      </c>
      <c r="I11042" s="135">
        <v>51653976</v>
      </c>
    </row>
    <row r="11043" spans="1:9" x14ac:dyDescent="0.2">
      <c r="A11043" s="134">
        <v>45996</v>
      </c>
      <c r="B11043" s="135">
        <f>YEAR(source[[#This Row],[report_date]])</f>
        <v>2025</v>
      </c>
      <c r="C11043" s="128">
        <f t="shared" si="514"/>
        <v>12</v>
      </c>
      <c r="D11043" s="136">
        <f t="shared" si="516"/>
        <v>49</v>
      </c>
      <c r="E11043" s="136">
        <f t="shared" si="515"/>
        <v>5</v>
      </c>
      <c r="F11043" s="137" t="s">
        <v>24</v>
      </c>
      <c r="G11043" s="128" t="str">
        <f>VLOOKUP(source[[#This Row],[lending_product_transform]],[3]Mapping!$B$4:$C$37,2,0)</f>
        <v>[Cake] - Cashloan</v>
      </c>
      <c r="H11043" s="128" t="str">
        <f>VLOOKUP(source[[#This Row],[lending_product_transform]],[3]Mapping!$B$3:$D$37,3,0)</f>
        <v>cashloan</v>
      </c>
      <c r="I11043" s="135">
        <v>1765087162</v>
      </c>
    </row>
    <row r="11044" spans="1:9" x14ac:dyDescent="0.2">
      <c r="A11044" s="134">
        <v>45996</v>
      </c>
      <c r="B11044" s="135">
        <f>YEAR(source[[#This Row],[report_date]])</f>
        <v>2025</v>
      </c>
      <c r="C11044" s="128">
        <f t="shared" si="514"/>
        <v>12</v>
      </c>
      <c r="D11044" s="136">
        <f t="shared" si="516"/>
        <v>49</v>
      </c>
      <c r="E11044" s="136">
        <f t="shared" si="515"/>
        <v>5</v>
      </c>
      <c r="F11044" s="137" t="s">
        <v>24</v>
      </c>
      <c r="G11044" s="128" t="str">
        <f>VLOOKUP(source[[#This Row],[lending_product_transform]],[3]Mapping!$B$4:$C$37,2,0)</f>
        <v>[Cake] - Cashloan</v>
      </c>
      <c r="H11044" s="128" t="str">
        <f>VLOOKUP(source[[#This Row],[lending_product_transform]],[3]Mapping!$B$3:$D$37,3,0)</f>
        <v>cashloan</v>
      </c>
      <c r="I11044" s="135">
        <v>0</v>
      </c>
    </row>
    <row r="11045" spans="1:9" x14ac:dyDescent="0.2">
      <c r="A11045" s="134">
        <v>45996</v>
      </c>
      <c r="B11045" s="135">
        <f>YEAR(source[[#This Row],[report_date]])</f>
        <v>2025</v>
      </c>
      <c r="C11045" s="128">
        <f t="shared" si="514"/>
        <v>12</v>
      </c>
      <c r="D11045" s="136">
        <f t="shared" si="516"/>
        <v>49</v>
      </c>
      <c r="E11045" s="136">
        <f t="shared" si="515"/>
        <v>5</v>
      </c>
      <c r="F11045" s="137" t="s">
        <v>24</v>
      </c>
      <c r="G11045" s="128" t="str">
        <f>VLOOKUP(source[[#This Row],[lending_product_transform]],[3]Mapping!$B$4:$C$37,2,0)</f>
        <v>[Cake] - Cashloan</v>
      </c>
      <c r="H11045" s="128" t="str">
        <f>VLOOKUP(source[[#This Row],[lending_product_transform]],[3]Mapping!$B$3:$D$37,3,0)</f>
        <v>cashloan</v>
      </c>
      <c r="I11045" s="135">
        <v>493750000</v>
      </c>
    </row>
    <row r="11046" spans="1:9" x14ac:dyDescent="0.2">
      <c r="A11046" s="134">
        <v>45996</v>
      </c>
      <c r="B11046" s="135">
        <f>YEAR(source[[#This Row],[report_date]])</f>
        <v>2025</v>
      </c>
      <c r="C11046" s="128">
        <f t="shared" si="514"/>
        <v>12</v>
      </c>
      <c r="D11046" s="136">
        <f t="shared" si="516"/>
        <v>49</v>
      </c>
      <c r="E11046" s="136">
        <f t="shared" si="515"/>
        <v>5</v>
      </c>
      <c r="F11046" s="137" t="s">
        <v>24</v>
      </c>
      <c r="G11046" s="128" t="str">
        <f>VLOOKUP(source[[#This Row],[lending_product_transform]],[3]Mapping!$B$4:$C$37,2,0)</f>
        <v>[Cake] - Cashloan</v>
      </c>
      <c r="H11046" s="128" t="str">
        <f>VLOOKUP(source[[#This Row],[lending_product_transform]],[3]Mapping!$B$3:$D$37,3,0)</f>
        <v>cashloan</v>
      </c>
      <c r="I11046" s="135">
        <v>19222110000</v>
      </c>
    </row>
    <row r="11047" spans="1:9" x14ac:dyDescent="0.2">
      <c r="A11047" s="134">
        <v>45996</v>
      </c>
      <c r="B11047" s="135">
        <f>YEAR(source[[#This Row],[report_date]])</f>
        <v>2025</v>
      </c>
      <c r="C11047" s="128">
        <f t="shared" si="514"/>
        <v>12</v>
      </c>
      <c r="D11047" s="136">
        <f t="shared" si="516"/>
        <v>49</v>
      </c>
      <c r="E11047" s="136">
        <f t="shared" si="515"/>
        <v>5</v>
      </c>
      <c r="F11047" s="137" t="s">
        <v>24</v>
      </c>
      <c r="G11047" s="128" t="str">
        <f>VLOOKUP(source[[#This Row],[lending_product_transform]],[3]Mapping!$B$4:$C$37,2,0)</f>
        <v>[Cake] - Cashloan</v>
      </c>
      <c r="H11047" s="128" t="str">
        <f>VLOOKUP(source[[#This Row],[lending_product_transform]],[3]Mapping!$B$3:$D$37,3,0)</f>
        <v>cashloan</v>
      </c>
      <c r="I11047" s="135">
        <v>0</v>
      </c>
    </row>
    <row r="11048" spans="1:9" x14ac:dyDescent="0.2">
      <c r="A11048" s="134">
        <v>45996</v>
      </c>
      <c r="B11048" s="135">
        <f>YEAR(source[[#This Row],[report_date]])</f>
        <v>2025</v>
      </c>
      <c r="C11048" s="128">
        <f t="shared" si="514"/>
        <v>12</v>
      </c>
      <c r="D11048" s="136">
        <f t="shared" si="516"/>
        <v>49</v>
      </c>
      <c r="E11048" s="136">
        <f t="shared" si="515"/>
        <v>5</v>
      </c>
      <c r="F11048" s="137" t="s">
        <v>24</v>
      </c>
      <c r="G11048" s="128" t="str">
        <f>VLOOKUP(source[[#This Row],[lending_product_transform]],[3]Mapping!$B$4:$C$37,2,0)</f>
        <v>[Cake] - Cashloan</v>
      </c>
      <c r="H11048" s="128" t="str">
        <f>VLOOKUP(source[[#This Row],[lending_product_transform]],[3]Mapping!$B$3:$D$37,3,0)</f>
        <v>cashloan</v>
      </c>
      <c r="I11048" s="135">
        <v>0</v>
      </c>
    </row>
    <row r="11049" spans="1:9" x14ac:dyDescent="0.2">
      <c r="A11049" s="134">
        <v>45996</v>
      </c>
      <c r="B11049" s="135">
        <f>YEAR(source[[#This Row],[report_date]])</f>
        <v>2025</v>
      </c>
      <c r="C11049" s="128">
        <f t="shared" si="514"/>
        <v>12</v>
      </c>
      <c r="D11049" s="136">
        <f t="shared" si="516"/>
        <v>49</v>
      </c>
      <c r="E11049" s="136">
        <f t="shared" si="515"/>
        <v>5</v>
      </c>
      <c r="F11049" s="137" t="s">
        <v>24</v>
      </c>
      <c r="G11049" s="128" t="str">
        <f>VLOOKUP(source[[#This Row],[lending_product_transform]],[3]Mapping!$B$4:$C$37,2,0)</f>
        <v>[Cake] - Cashloan</v>
      </c>
      <c r="H11049" s="128" t="str">
        <f>VLOOKUP(source[[#This Row],[lending_product_transform]],[3]Mapping!$B$3:$D$37,3,0)</f>
        <v>cashloan</v>
      </c>
      <c r="I11049" s="135">
        <v>0</v>
      </c>
    </row>
    <row r="11050" spans="1:9" x14ac:dyDescent="0.2">
      <c r="A11050" s="134">
        <v>45996</v>
      </c>
      <c r="B11050" s="135">
        <f>YEAR(source[[#This Row],[report_date]])</f>
        <v>2025</v>
      </c>
      <c r="C11050" s="128">
        <f t="shared" si="514"/>
        <v>12</v>
      </c>
      <c r="D11050" s="136">
        <f t="shared" si="516"/>
        <v>49</v>
      </c>
      <c r="E11050" s="136">
        <f t="shared" si="515"/>
        <v>5</v>
      </c>
      <c r="F11050" s="137" t="s">
        <v>24</v>
      </c>
      <c r="G11050" s="128" t="str">
        <f>VLOOKUP(source[[#This Row],[lending_product_transform]],[3]Mapping!$B$4:$C$37,2,0)</f>
        <v>[Cake] - Cashloan</v>
      </c>
      <c r="H11050" s="128" t="str">
        <f>VLOOKUP(source[[#This Row],[lending_product_transform]],[3]Mapping!$B$3:$D$37,3,0)</f>
        <v>cashloan</v>
      </c>
      <c r="I11050" s="135">
        <v>5000000</v>
      </c>
    </row>
    <row r="11051" spans="1:9" x14ac:dyDescent="0.2">
      <c r="A11051" s="134">
        <v>45996</v>
      </c>
      <c r="B11051" s="135">
        <f>YEAR(source[[#This Row],[report_date]])</f>
        <v>2025</v>
      </c>
      <c r="C11051" s="128">
        <f t="shared" si="514"/>
        <v>12</v>
      </c>
      <c r="D11051" s="136">
        <f t="shared" si="516"/>
        <v>49</v>
      </c>
      <c r="E11051" s="136">
        <f t="shared" si="515"/>
        <v>5</v>
      </c>
      <c r="F11051" s="137" t="s">
        <v>24</v>
      </c>
      <c r="G11051" s="128" t="str">
        <f>VLOOKUP(source[[#This Row],[lending_product_transform]],[3]Mapping!$B$4:$C$37,2,0)</f>
        <v>[Cake] - Cashloan</v>
      </c>
      <c r="H11051" s="128" t="str">
        <f>VLOOKUP(source[[#This Row],[lending_product_transform]],[3]Mapping!$B$3:$D$37,3,0)</f>
        <v>cashloan</v>
      </c>
      <c r="I11051" s="135">
        <v>11009736000</v>
      </c>
    </row>
    <row r="11052" spans="1:9" x14ac:dyDescent="0.2">
      <c r="A11052" s="134">
        <v>45996</v>
      </c>
      <c r="B11052" s="135">
        <f>YEAR(source[[#This Row],[report_date]])</f>
        <v>2025</v>
      </c>
      <c r="C11052" s="128">
        <f t="shared" si="514"/>
        <v>12</v>
      </c>
      <c r="D11052" s="136">
        <f t="shared" si="516"/>
        <v>49</v>
      </c>
      <c r="E11052" s="136">
        <f t="shared" si="515"/>
        <v>5</v>
      </c>
      <c r="F11052" s="137" t="s">
        <v>24</v>
      </c>
      <c r="G11052" s="128" t="str">
        <f>VLOOKUP(source[[#This Row],[lending_product_transform]],[3]Mapping!$B$4:$C$37,2,0)</f>
        <v>[Cake] - Cashloan</v>
      </c>
      <c r="H11052" s="128" t="str">
        <f>VLOOKUP(source[[#This Row],[lending_product_transform]],[3]Mapping!$B$3:$D$37,3,0)</f>
        <v>cashloan</v>
      </c>
      <c r="I11052" s="135">
        <v>632262431</v>
      </c>
    </row>
    <row r="11053" spans="1:9" x14ac:dyDescent="0.2">
      <c r="A11053" s="134">
        <v>45996</v>
      </c>
      <c r="B11053" s="135">
        <f>YEAR(source[[#This Row],[report_date]])</f>
        <v>2025</v>
      </c>
      <c r="C11053" s="128">
        <f t="shared" si="514"/>
        <v>12</v>
      </c>
      <c r="D11053" s="136">
        <f t="shared" si="516"/>
        <v>49</v>
      </c>
      <c r="E11053" s="136">
        <f t="shared" si="515"/>
        <v>5</v>
      </c>
      <c r="F11053" s="137" t="s">
        <v>24</v>
      </c>
      <c r="G11053" s="128" t="str">
        <f>VLOOKUP(source[[#This Row],[lending_product_transform]],[3]Mapping!$B$4:$C$37,2,0)</f>
        <v>[Cake] - Cashloan</v>
      </c>
      <c r="H11053" s="128" t="str">
        <f>VLOOKUP(source[[#This Row],[lending_product_transform]],[3]Mapping!$B$3:$D$37,3,0)</f>
        <v>cashloan</v>
      </c>
      <c r="I11053" s="135">
        <v>42000000</v>
      </c>
    </row>
    <row r="11054" spans="1:9" x14ac:dyDescent="0.2">
      <c r="A11054" s="134">
        <v>45996</v>
      </c>
      <c r="B11054" s="135">
        <f>YEAR(source[[#This Row],[report_date]])</f>
        <v>2025</v>
      </c>
      <c r="C11054" s="128">
        <f t="shared" si="514"/>
        <v>12</v>
      </c>
      <c r="D11054" s="136">
        <f t="shared" si="516"/>
        <v>49</v>
      </c>
      <c r="E11054" s="136">
        <f t="shared" si="515"/>
        <v>5</v>
      </c>
      <c r="F11054" s="137" t="s">
        <v>24</v>
      </c>
      <c r="G11054" s="128" t="str">
        <f>VLOOKUP(source[[#This Row],[lending_product_transform]],[3]Mapping!$B$4:$C$37,2,0)</f>
        <v>[Cake] - Cashloan</v>
      </c>
      <c r="H11054" s="128" t="str">
        <f>VLOOKUP(source[[#This Row],[lending_product_transform]],[3]Mapping!$B$3:$D$37,3,0)</f>
        <v>cashloan</v>
      </c>
      <c r="I11054" s="135">
        <v>45000000</v>
      </c>
    </row>
    <row r="11055" spans="1:9" x14ac:dyDescent="0.2">
      <c r="A11055" s="134">
        <v>45996</v>
      </c>
      <c r="B11055" s="135">
        <f>YEAR(source[[#This Row],[report_date]])</f>
        <v>2025</v>
      </c>
      <c r="C11055" s="128">
        <f t="shared" si="514"/>
        <v>12</v>
      </c>
      <c r="D11055" s="136">
        <f t="shared" si="516"/>
        <v>49</v>
      </c>
      <c r="E11055" s="136">
        <f t="shared" si="515"/>
        <v>5</v>
      </c>
      <c r="F11055" s="137" t="s">
        <v>24</v>
      </c>
      <c r="G11055" s="128" t="str">
        <f>VLOOKUP(source[[#This Row],[lending_product_transform]],[3]Mapping!$B$4:$C$37,2,0)</f>
        <v>[Cake] - Cashloan</v>
      </c>
      <c r="H11055" s="128" t="str">
        <f>VLOOKUP(source[[#This Row],[lending_product_transform]],[3]Mapping!$B$3:$D$37,3,0)</f>
        <v>cashloan</v>
      </c>
      <c r="I11055" s="135">
        <v>695950000</v>
      </c>
    </row>
    <row r="11056" spans="1:9" x14ac:dyDescent="0.2">
      <c r="A11056" s="134">
        <v>45996</v>
      </c>
      <c r="B11056" s="135">
        <f>YEAR(source[[#This Row],[report_date]])</f>
        <v>2025</v>
      </c>
      <c r="C11056" s="128">
        <f t="shared" si="514"/>
        <v>12</v>
      </c>
      <c r="D11056" s="136">
        <f t="shared" si="516"/>
        <v>49</v>
      </c>
      <c r="E11056" s="136">
        <f t="shared" si="515"/>
        <v>5</v>
      </c>
      <c r="F11056" s="137" t="s">
        <v>24</v>
      </c>
      <c r="G11056" s="128" t="str">
        <f>VLOOKUP(source[[#This Row],[lending_product_transform]],[3]Mapping!$B$4:$C$37,2,0)</f>
        <v>[Cake] - Cashloan</v>
      </c>
      <c r="H11056" s="128" t="str">
        <f>VLOOKUP(source[[#This Row],[lending_product_transform]],[3]Mapping!$B$3:$D$37,3,0)</f>
        <v>cashloan</v>
      </c>
      <c r="I11056" s="135">
        <v>275616000</v>
      </c>
    </row>
    <row r="11057" spans="1:9" x14ac:dyDescent="0.2">
      <c r="A11057" s="134">
        <v>45996</v>
      </c>
      <c r="B11057" s="135">
        <f>YEAR(source[[#This Row],[report_date]])</f>
        <v>2025</v>
      </c>
      <c r="C11057" s="128">
        <f t="shared" si="514"/>
        <v>12</v>
      </c>
      <c r="D11057" s="136">
        <f t="shared" si="516"/>
        <v>49</v>
      </c>
      <c r="E11057" s="136">
        <f t="shared" si="515"/>
        <v>5</v>
      </c>
      <c r="F11057" s="137" t="s">
        <v>24</v>
      </c>
      <c r="G11057" s="128" t="str">
        <f>VLOOKUP(source[[#This Row],[lending_product_transform]],[3]Mapping!$B$4:$C$37,2,0)</f>
        <v>[Cake] - Cashloan</v>
      </c>
      <c r="H11057" s="128" t="str">
        <f>VLOOKUP(source[[#This Row],[lending_product_transform]],[3]Mapping!$B$3:$D$37,3,0)</f>
        <v>cashloan</v>
      </c>
      <c r="I11057" s="135">
        <v>1567319018</v>
      </c>
    </row>
    <row r="11058" spans="1:9" x14ac:dyDescent="0.2">
      <c r="A11058" s="134">
        <v>45996</v>
      </c>
      <c r="B11058" s="135">
        <f>YEAR(source[[#This Row],[report_date]])</f>
        <v>2025</v>
      </c>
      <c r="C11058" s="128">
        <f t="shared" si="514"/>
        <v>12</v>
      </c>
      <c r="D11058" s="136">
        <f t="shared" si="516"/>
        <v>49</v>
      </c>
      <c r="E11058" s="136">
        <f t="shared" si="515"/>
        <v>5</v>
      </c>
      <c r="F11058" s="137" t="s">
        <v>24</v>
      </c>
      <c r="G11058" s="128" t="str">
        <f>VLOOKUP(source[[#This Row],[lending_product_transform]],[3]Mapping!$B$4:$C$37,2,0)</f>
        <v>[Cake] - Cashloan</v>
      </c>
      <c r="H11058" s="128" t="str">
        <f>VLOOKUP(source[[#This Row],[lending_product_transform]],[3]Mapping!$B$3:$D$37,3,0)</f>
        <v>cashloan</v>
      </c>
      <c r="I11058" s="135">
        <v>5354840000</v>
      </c>
    </row>
    <row r="11059" spans="1:9" x14ac:dyDescent="0.2">
      <c r="A11059" s="134">
        <v>45997</v>
      </c>
      <c r="B11059" s="135">
        <f>YEAR(source[[#This Row],[report_date]])</f>
        <v>2025</v>
      </c>
      <c r="C11059" s="128">
        <f t="shared" si="514"/>
        <v>12</v>
      </c>
      <c r="D11059" s="136">
        <f t="shared" si="516"/>
        <v>49</v>
      </c>
      <c r="E11059" s="136">
        <f t="shared" si="515"/>
        <v>6</v>
      </c>
      <c r="F11059" s="137" t="s">
        <v>24</v>
      </c>
      <c r="G11059" s="128" t="str">
        <f>VLOOKUP(source[[#This Row],[lending_product_transform]],[3]Mapping!$B$4:$C$37,2,0)</f>
        <v>[Cake] - Cashloan</v>
      </c>
      <c r="H11059" s="128" t="str">
        <f>VLOOKUP(source[[#This Row],[lending_product_transform]],[3]Mapping!$B$3:$D$37,3,0)</f>
        <v>cashloan</v>
      </c>
      <c r="I11059" s="135">
        <v>77250000</v>
      </c>
    </row>
    <row r="11060" spans="1:9" x14ac:dyDescent="0.2">
      <c r="A11060" s="134">
        <v>45997</v>
      </c>
      <c r="B11060" s="135">
        <f>YEAR(source[[#This Row],[report_date]])</f>
        <v>2025</v>
      </c>
      <c r="C11060" s="128">
        <f t="shared" si="514"/>
        <v>12</v>
      </c>
      <c r="D11060" s="136">
        <f t="shared" si="516"/>
        <v>49</v>
      </c>
      <c r="E11060" s="136">
        <f t="shared" si="515"/>
        <v>6</v>
      </c>
      <c r="F11060" s="137" t="s">
        <v>24</v>
      </c>
      <c r="G11060" s="128" t="str">
        <f>VLOOKUP(source[[#This Row],[lending_product_transform]],[3]Mapping!$B$4:$C$37,2,0)</f>
        <v>[Cake] - Cashloan</v>
      </c>
      <c r="H11060" s="128" t="str">
        <f>VLOOKUP(source[[#This Row],[lending_product_transform]],[3]Mapping!$B$3:$D$37,3,0)</f>
        <v>cashloan</v>
      </c>
      <c r="I11060" s="135">
        <v>411856007</v>
      </c>
    </row>
    <row r="11061" spans="1:9" x14ac:dyDescent="0.2">
      <c r="A11061" s="134">
        <v>45997</v>
      </c>
      <c r="B11061" s="135">
        <f>YEAR(source[[#This Row],[report_date]])</f>
        <v>2025</v>
      </c>
      <c r="C11061" s="128">
        <f t="shared" si="514"/>
        <v>12</v>
      </c>
      <c r="D11061" s="136">
        <f t="shared" si="516"/>
        <v>49</v>
      </c>
      <c r="E11061" s="136">
        <f t="shared" si="515"/>
        <v>6</v>
      </c>
      <c r="F11061" s="137" t="s">
        <v>24</v>
      </c>
      <c r="G11061" s="128" t="str">
        <f>VLOOKUP(source[[#This Row],[lending_product_transform]],[3]Mapping!$B$4:$C$37,2,0)</f>
        <v>[Cake] - Cashloan</v>
      </c>
      <c r="H11061" s="128" t="str">
        <f>VLOOKUP(source[[#This Row],[lending_product_transform]],[3]Mapping!$B$3:$D$37,3,0)</f>
        <v>cashloan</v>
      </c>
      <c r="I11061" s="135">
        <v>17411310000</v>
      </c>
    </row>
    <row r="11062" spans="1:9" x14ac:dyDescent="0.2">
      <c r="A11062" s="134">
        <v>45997</v>
      </c>
      <c r="B11062" s="135">
        <f>YEAR(source[[#This Row],[report_date]])</f>
        <v>2025</v>
      </c>
      <c r="C11062" s="128">
        <f t="shared" ref="C11062:C11125" si="517">MONTH(A11062)</f>
        <v>12</v>
      </c>
      <c r="D11062" s="136">
        <f t="shared" si="516"/>
        <v>49</v>
      </c>
      <c r="E11062" s="136">
        <f t="shared" ref="E11062:E11125" si="518">DAY(A11062)</f>
        <v>6</v>
      </c>
      <c r="F11062" s="137" t="s">
        <v>24</v>
      </c>
      <c r="G11062" s="128" t="str">
        <f>VLOOKUP(source[[#This Row],[lending_product_transform]],[3]Mapping!$B$4:$C$37,2,0)</f>
        <v>[Cake] - Cashloan</v>
      </c>
      <c r="H11062" s="128" t="str">
        <f>VLOOKUP(source[[#This Row],[lending_product_transform]],[3]Mapping!$B$3:$D$37,3,0)</f>
        <v>cashloan</v>
      </c>
      <c r="I11062" s="135">
        <v>2214332306</v>
      </c>
    </row>
    <row r="11063" spans="1:9" x14ac:dyDescent="0.2">
      <c r="A11063" s="134">
        <v>45997</v>
      </c>
      <c r="B11063" s="135">
        <f>YEAR(source[[#This Row],[report_date]])</f>
        <v>2025</v>
      </c>
      <c r="C11063" s="128">
        <f t="shared" si="517"/>
        <v>12</v>
      </c>
      <c r="D11063" s="136">
        <f t="shared" si="516"/>
        <v>49</v>
      </c>
      <c r="E11063" s="136">
        <f t="shared" si="518"/>
        <v>6</v>
      </c>
      <c r="F11063" s="137" t="s">
        <v>24</v>
      </c>
      <c r="G11063" s="128" t="str">
        <f>VLOOKUP(source[[#This Row],[lending_product_transform]],[3]Mapping!$B$4:$C$37,2,0)</f>
        <v>[Cake] - Cashloan</v>
      </c>
      <c r="H11063" s="128" t="str">
        <f>VLOOKUP(source[[#This Row],[lending_product_transform]],[3]Mapping!$B$3:$D$37,3,0)</f>
        <v>cashloan</v>
      </c>
      <c r="I11063" s="135">
        <v>11458908000</v>
      </c>
    </row>
    <row r="11064" spans="1:9" x14ac:dyDescent="0.2">
      <c r="A11064" s="134">
        <v>45997</v>
      </c>
      <c r="B11064" s="135">
        <f>YEAR(source[[#This Row],[report_date]])</f>
        <v>2025</v>
      </c>
      <c r="C11064" s="128">
        <f t="shared" si="517"/>
        <v>12</v>
      </c>
      <c r="D11064" s="136">
        <f t="shared" si="516"/>
        <v>49</v>
      </c>
      <c r="E11064" s="136">
        <f t="shared" si="518"/>
        <v>6</v>
      </c>
      <c r="F11064" s="137" t="s">
        <v>24</v>
      </c>
      <c r="G11064" s="128" t="str">
        <f>VLOOKUP(source[[#This Row],[lending_product_transform]],[3]Mapping!$B$4:$C$37,2,0)</f>
        <v>[Cake] - Cashloan</v>
      </c>
      <c r="H11064" s="128" t="str">
        <f>VLOOKUP(source[[#This Row],[lending_product_transform]],[3]Mapping!$B$3:$D$37,3,0)</f>
        <v>cashloan</v>
      </c>
      <c r="I11064" s="135">
        <v>31652351</v>
      </c>
    </row>
    <row r="11065" spans="1:9" x14ac:dyDescent="0.2">
      <c r="A11065" s="134">
        <v>45997</v>
      </c>
      <c r="B11065" s="135">
        <f>YEAR(source[[#This Row],[report_date]])</f>
        <v>2025</v>
      </c>
      <c r="C11065" s="128">
        <f t="shared" si="517"/>
        <v>12</v>
      </c>
      <c r="D11065" s="136">
        <f t="shared" si="516"/>
        <v>49</v>
      </c>
      <c r="E11065" s="136">
        <f t="shared" si="518"/>
        <v>6</v>
      </c>
      <c r="F11065" s="137" t="s">
        <v>24</v>
      </c>
      <c r="G11065" s="128" t="str">
        <f>VLOOKUP(source[[#This Row],[lending_product_transform]],[3]Mapping!$B$4:$C$37,2,0)</f>
        <v>[Cake] - Cashloan</v>
      </c>
      <c r="H11065" s="128" t="str">
        <f>VLOOKUP(source[[#This Row],[lending_product_transform]],[3]Mapping!$B$3:$D$37,3,0)</f>
        <v>cashloan</v>
      </c>
      <c r="I11065" s="135">
        <v>3371150000</v>
      </c>
    </row>
    <row r="11066" spans="1:9" x14ac:dyDescent="0.2">
      <c r="A11066" s="134">
        <v>45997</v>
      </c>
      <c r="B11066" s="135">
        <f>YEAR(source[[#This Row],[report_date]])</f>
        <v>2025</v>
      </c>
      <c r="C11066" s="128">
        <f t="shared" si="517"/>
        <v>12</v>
      </c>
      <c r="D11066" s="136">
        <f t="shared" si="516"/>
        <v>49</v>
      </c>
      <c r="E11066" s="136">
        <f t="shared" si="518"/>
        <v>6</v>
      </c>
      <c r="F11066" s="137" t="s">
        <v>24</v>
      </c>
      <c r="G11066" s="128" t="str">
        <f>VLOOKUP(source[[#This Row],[lending_product_transform]],[3]Mapping!$B$4:$C$37,2,0)</f>
        <v>[Cake] - Cashloan</v>
      </c>
      <c r="H11066" s="128" t="str">
        <f>VLOOKUP(source[[#This Row],[lending_product_transform]],[3]Mapping!$B$3:$D$37,3,0)</f>
        <v>cashloan</v>
      </c>
      <c r="I11066" s="135">
        <v>42936630</v>
      </c>
    </row>
    <row r="11067" spans="1:9" x14ac:dyDescent="0.2">
      <c r="A11067" s="134">
        <v>45997</v>
      </c>
      <c r="B11067" s="135">
        <f>YEAR(source[[#This Row],[report_date]])</f>
        <v>2025</v>
      </c>
      <c r="C11067" s="128">
        <f t="shared" si="517"/>
        <v>12</v>
      </c>
      <c r="D11067" s="136">
        <f t="shared" si="516"/>
        <v>49</v>
      </c>
      <c r="E11067" s="136">
        <f t="shared" si="518"/>
        <v>6</v>
      </c>
      <c r="F11067" s="137" t="s">
        <v>24</v>
      </c>
      <c r="G11067" s="128" t="str">
        <f>VLOOKUP(source[[#This Row],[lending_product_transform]],[3]Mapping!$B$4:$C$37,2,0)</f>
        <v>[Cake] - Cashloan</v>
      </c>
      <c r="H11067" s="128" t="str">
        <f>VLOOKUP(source[[#This Row],[lending_product_transform]],[3]Mapping!$B$3:$D$37,3,0)</f>
        <v>cashloan</v>
      </c>
      <c r="I11067" s="135">
        <v>1762062376</v>
      </c>
    </row>
    <row r="11068" spans="1:9" x14ac:dyDescent="0.2">
      <c r="A11068" s="134">
        <v>45997</v>
      </c>
      <c r="B11068" s="135">
        <f>YEAR(source[[#This Row],[report_date]])</f>
        <v>2025</v>
      </c>
      <c r="C11068" s="128">
        <f t="shared" si="517"/>
        <v>12</v>
      </c>
      <c r="D11068" s="136">
        <f t="shared" si="516"/>
        <v>49</v>
      </c>
      <c r="E11068" s="136">
        <f t="shared" si="518"/>
        <v>6</v>
      </c>
      <c r="F11068" s="137" t="s">
        <v>24</v>
      </c>
      <c r="G11068" s="128" t="str">
        <f>VLOOKUP(source[[#This Row],[lending_product_transform]],[3]Mapping!$B$4:$C$37,2,0)</f>
        <v>[Cake] - Cashloan</v>
      </c>
      <c r="H11068" s="128" t="str">
        <f>VLOOKUP(source[[#This Row],[lending_product_transform]],[3]Mapping!$B$3:$D$37,3,0)</f>
        <v>cashloan</v>
      </c>
      <c r="I11068" s="135">
        <v>0</v>
      </c>
    </row>
    <row r="11069" spans="1:9" x14ac:dyDescent="0.2">
      <c r="A11069" s="134">
        <v>45997</v>
      </c>
      <c r="B11069" s="135">
        <f>YEAR(source[[#This Row],[report_date]])</f>
        <v>2025</v>
      </c>
      <c r="C11069" s="128">
        <f t="shared" si="517"/>
        <v>12</v>
      </c>
      <c r="D11069" s="136">
        <f t="shared" si="516"/>
        <v>49</v>
      </c>
      <c r="E11069" s="136">
        <f t="shared" si="518"/>
        <v>6</v>
      </c>
      <c r="F11069" s="137" t="s">
        <v>24</v>
      </c>
      <c r="G11069" s="128" t="str">
        <f>VLOOKUP(source[[#This Row],[lending_product_transform]],[3]Mapping!$B$4:$C$37,2,0)</f>
        <v>[Cake] - Cashloan</v>
      </c>
      <c r="H11069" s="128" t="str">
        <f>VLOOKUP(source[[#This Row],[lending_product_transform]],[3]Mapping!$B$3:$D$37,3,0)</f>
        <v>cashloan</v>
      </c>
      <c r="I11069" s="135">
        <v>532800000</v>
      </c>
    </row>
    <row r="11070" spans="1:9" x14ac:dyDescent="0.2">
      <c r="A11070" s="134">
        <v>45997</v>
      </c>
      <c r="B11070" s="135">
        <f>YEAR(source[[#This Row],[report_date]])</f>
        <v>2025</v>
      </c>
      <c r="C11070" s="128">
        <f t="shared" si="517"/>
        <v>12</v>
      </c>
      <c r="D11070" s="136">
        <f t="shared" si="516"/>
        <v>49</v>
      </c>
      <c r="E11070" s="136">
        <f t="shared" si="518"/>
        <v>6</v>
      </c>
      <c r="F11070" s="137" t="s">
        <v>24</v>
      </c>
      <c r="G11070" s="128" t="str">
        <f>VLOOKUP(source[[#This Row],[lending_product_transform]],[3]Mapping!$B$4:$C$37,2,0)</f>
        <v>[Cake] - Cashloan</v>
      </c>
      <c r="H11070" s="128" t="str">
        <f>VLOOKUP(source[[#This Row],[lending_product_transform]],[3]Mapping!$B$3:$D$37,3,0)</f>
        <v>cashloan</v>
      </c>
      <c r="I11070" s="135">
        <v>17313410000</v>
      </c>
    </row>
    <row r="11071" spans="1:9" x14ac:dyDescent="0.2">
      <c r="A11071" s="134">
        <v>45997</v>
      </c>
      <c r="B11071" s="135">
        <f>YEAR(source[[#This Row],[report_date]])</f>
        <v>2025</v>
      </c>
      <c r="C11071" s="128">
        <f t="shared" si="517"/>
        <v>12</v>
      </c>
      <c r="D11071" s="136">
        <f t="shared" si="516"/>
        <v>49</v>
      </c>
      <c r="E11071" s="136">
        <f t="shared" si="518"/>
        <v>6</v>
      </c>
      <c r="F11071" s="137" t="s">
        <v>24</v>
      </c>
      <c r="G11071" s="128" t="str">
        <f>VLOOKUP(source[[#This Row],[lending_product_transform]],[3]Mapping!$B$4:$C$37,2,0)</f>
        <v>[Cake] - Cashloan</v>
      </c>
      <c r="H11071" s="128" t="str">
        <f>VLOOKUP(source[[#This Row],[lending_product_transform]],[3]Mapping!$B$3:$D$37,3,0)</f>
        <v>cashloan</v>
      </c>
      <c r="I11071" s="135">
        <v>0</v>
      </c>
    </row>
    <row r="11072" spans="1:9" x14ac:dyDescent="0.2">
      <c r="A11072" s="134">
        <v>45997</v>
      </c>
      <c r="B11072" s="135">
        <f>YEAR(source[[#This Row],[report_date]])</f>
        <v>2025</v>
      </c>
      <c r="C11072" s="128">
        <f t="shared" si="517"/>
        <v>12</v>
      </c>
      <c r="D11072" s="136">
        <f t="shared" si="516"/>
        <v>49</v>
      </c>
      <c r="E11072" s="136">
        <f t="shared" si="518"/>
        <v>6</v>
      </c>
      <c r="F11072" s="137" t="s">
        <v>24</v>
      </c>
      <c r="G11072" s="128" t="str">
        <f>VLOOKUP(source[[#This Row],[lending_product_transform]],[3]Mapping!$B$4:$C$37,2,0)</f>
        <v>[Cake] - Cashloan</v>
      </c>
      <c r="H11072" s="128" t="str">
        <f>VLOOKUP(source[[#This Row],[lending_product_transform]],[3]Mapping!$B$3:$D$37,3,0)</f>
        <v>cashloan</v>
      </c>
      <c r="I11072" s="135">
        <v>0</v>
      </c>
    </row>
    <row r="11073" spans="1:9" x14ac:dyDescent="0.2">
      <c r="A11073" s="134">
        <v>45997</v>
      </c>
      <c r="B11073" s="135">
        <f>YEAR(source[[#This Row],[report_date]])</f>
        <v>2025</v>
      </c>
      <c r="C11073" s="128">
        <f t="shared" si="517"/>
        <v>12</v>
      </c>
      <c r="D11073" s="136">
        <f t="shared" si="516"/>
        <v>49</v>
      </c>
      <c r="E11073" s="136">
        <f t="shared" si="518"/>
        <v>6</v>
      </c>
      <c r="F11073" s="137" t="s">
        <v>24</v>
      </c>
      <c r="G11073" s="128" t="str">
        <f>VLOOKUP(source[[#This Row],[lending_product_transform]],[3]Mapping!$B$4:$C$37,2,0)</f>
        <v>[Cake] - Cashloan</v>
      </c>
      <c r="H11073" s="128" t="str">
        <f>VLOOKUP(source[[#This Row],[lending_product_transform]],[3]Mapping!$B$3:$D$37,3,0)</f>
        <v>cashloan</v>
      </c>
      <c r="I11073" s="135">
        <v>0</v>
      </c>
    </row>
    <row r="11074" spans="1:9" x14ac:dyDescent="0.2">
      <c r="A11074" s="134">
        <v>45997</v>
      </c>
      <c r="B11074" s="135">
        <f>YEAR(source[[#This Row],[report_date]])</f>
        <v>2025</v>
      </c>
      <c r="C11074" s="128">
        <f t="shared" si="517"/>
        <v>12</v>
      </c>
      <c r="D11074" s="136">
        <f t="shared" si="516"/>
        <v>49</v>
      </c>
      <c r="E11074" s="136">
        <f t="shared" si="518"/>
        <v>6</v>
      </c>
      <c r="F11074" s="137" t="s">
        <v>24</v>
      </c>
      <c r="G11074" s="128" t="str">
        <f>VLOOKUP(source[[#This Row],[lending_product_transform]],[3]Mapping!$B$4:$C$37,2,0)</f>
        <v>[Cake] - Cashloan</v>
      </c>
      <c r="H11074" s="128" t="str">
        <f>VLOOKUP(source[[#This Row],[lending_product_transform]],[3]Mapping!$B$3:$D$37,3,0)</f>
        <v>cashloan</v>
      </c>
      <c r="I11074" s="135">
        <v>45000000</v>
      </c>
    </row>
    <row r="11075" spans="1:9" x14ac:dyDescent="0.2">
      <c r="A11075" s="134">
        <v>45997</v>
      </c>
      <c r="B11075" s="135">
        <f>YEAR(source[[#This Row],[report_date]])</f>
        <v>2025</v>
      </c>
      <c r="C11075" s="128">
        <f t="shared" si="517"/>
        <v>12</v>
      </c>
      <c r="D11075" s="136">
        <f t="shared" ref="D11075:D11138" si="519">WEEKNUM(A11075,2)</f>
        <v>49</v>
      </c>
      <c r="E11075" s="136">
        <f t="shared" si="518"/>
        <v>6</v>
      </c>
      <c r="F11075" s="137" t="s">
        <v>24</v>
      </c>
      <c r="G11075" s="128" t="str">
        <f>VLOOKUP(source[[#This Row],[lending_product_transform]],[3]Mapping!$B$4:$C$37,2,0)</f>
        <v>[Cake] - Cashloan</v>
      </c>
      <c r="H11075" s="128" t="str">
        <f>VLOOKUP(source[[#This Row],[lending_product_transform]],[3]Mapping!$B$3:$D$37,3,0)</f>
        <v>cashloan</v>
      </c>
      <c r="I11075" s="135">
        <v>10108044000</v>
      </c>
    </row>
    <row r="11076" spans="1:9" x14ac:dyDescent="0.2">
      <c r="A11076" s="134">
        <v>45997</v>
      </c>
      <c r="B11076" s="135">
        <f>YEAR(source[[#This Row],[report_date]])</f>
        <v>2025</v>
      </c>
      <c r="C11076" s="128">
        <f t="shared" si="517"/>
        <v>12</v>
      </c>
      <c r="D11076" s="136">
        <f t="shared" si="519"/>
        <v>49</v>
      </c>
      <c r="E11076" s="136">
        <f t="shared" si="518"/>
        <v>6</v>
      </c>
      <c r="F11076" s="137" t="s">
        <v>24</v>
      </c>
      <c r="G11076" s="128" t="str">
        <f>VLOOKUP(source[[#This Row],[lending_product_transform]],[3]Mapping!$B$4:$C$37,2,0)</f>
        <v>[Cake] - Cashloan</v>
      </c>
      <c r="H11076" s="128" t="str">
        <f>VLOOKUP(source[[#This Row],[lending_product_transform]],[3]Mapping!$B$3:$D$37,3,0)</f>
        <v>cashloan</v>
      </c>
      <c r="I11076" s="135">
        <v>405178112</v>
      </c>
    </row>
    <row r="11077" spans="1:9" x14ac:dyDescent="0.2">
      <c r="A11077" s="134">
        <v>45997</v>
      </c>
      <c r="B11077" s="135">
        <f>YEAR(source[[#This Row],[report_date]])</f>
        <v>2025</v>
      </c>
      <c r="C11077" s="128">
        <f t="shared" si="517"/>
        <v>12</v>
      </c>
      <c r="D11077" s="136">
        <f t="shared" si="519"/>
        <v>49</v>
      </c>
      <c r="E11077" s="136">
        <f t="shared" si="518"/>
        <v>6</v>
      </c>
      <c r="F11077" s="137" t="s">
        <v>24</v>
      </c>
      <c r="G11077" s="128" t="str">
        <f>VLOOKUP(source[[#This Row],[lending_product_transform]],[3]Mapping!$B$4:$C$37,2,0)</f>
        <v>[Cake] - Cashloan</v>
      </c>
      <c r="H11077" s="128" t="str">
        <f>VLOOKUP(source[[#This Row],[lending_product_transform]],[3]Mapping!$B$3:$D$37,3,0)</f>
        <v>cashloan</v>
      </c>
      <c r="I11077" s="135">
        <v>31500000</v>
      </c>
    </row>
    <row r="11078" spans="1:9" x14ac:dyDescent="0.2">
      <c r="A11078" s="134">
        <v>45997</v>
      </c>
      <c r="B11078" s="135">
        <f>YEAR(source[[#This Row],[report_date]])</f>
        <v>2025</v>
      </c>
      <c r="C11078" s="128">
        <f t="shared" si="517"/>
        <v>12</v>
      </c>
      <c r="D11078" s="136">
        <f t="shared" si="519"/>
        <v>49</v>
      </c>
      <c r="E11078" s="136">
        <f t="shared" si="518"/>
        <v>6</v>
      </c>
      <c r="F11078" s="137" t="s">
        <v>24</v>
      </c>
      <c r="G11078" s="128" t="str">
        <f>VLOOKUP(source[[#This Row],[lending_product_transform]],[3]Mapping!$B$4:$C$37,2,0)</f>
        <v>[Cake] - Cashloan</v>
      </c>
      <c r="H11078" s="128" t="str">
        <f>VLOOKUP(source[[#This Row],[lending_product_transform]],[3]Mapping!$B$3:$D$37,3,0)</f>
        <v>cashloan</v>
      </c>
      <c r="I11078" s="135">
        <v>58000000</v>
      </c>
    </row>
    <row r="11079" spans="1:9" x14ac:dyDescent="0.2">
      <c r="A11079" s="134">
        <v>45997</v>
      </c>
      <c r="B11079" s="135">
        <f>YEAR(source[[#This Row],[report_date]])</f>
        <v>2025</v>
      </c>
      <c r="C11079" s="128">
        <f t="shared" si="517"/>
        <v>12</v>
      </c>
      <c r="D11079" s="136">
        <f t="shared" si="519"/>
        <v>49</v>
      </c>
      <c r="E11079" s="136">
        <f t="shared" si="518"/>
        <v>6</v>
      </c>
      <c r="F11079" s="137" t="s">
        <v>24</v>
      </c>
      <c r="G11079" s="128" t="str">
        <f>VLOOKUP(source[[#This Row],[lending_product_transform]],[3]Mapping!$B$4:$C$37,2,0)</f>
        <v>[Cake] - Cashloan</v>
      </c>
      <c r="H11079" s="128" t="str">
        <f>VLOOKUP(source[[#This Row],[lending_product_transform]],[3]Mapping!$B$3:$D$37,3,0)</f>
        <v>cashloan</v>
      </c>
      <c r="I11079" s="135">
        <v>213850000</v>
      </c>
    </row>
    <row r="11080" spans="1:9" x14ac:dyDescent="0.2">
      <c r="A11080" s="134">
        <v>45997</v>
      </c>
      <c r="B11080" s="135">
        <f>YEAR(source[[#This Row],[report_date]])</f>
        <v>2025</v>
      </c>
      <c r="C11080" s="128">
        <f t="shared" si="517"/>
        <v>12</v>
      </c>
      <c r="D11080" s="136">
        <f t="shared" si="519"/>
        <v>49</v>
      </c>
      <c r="E11080" s="136">
        <f t="shared" si="518"/>
        <v>6</v>
      </c>
      <c r="F11080" s="137" t="s">
        <v>24</v>
      </c>
      <c r="G11080" s="128" t="str">
        <f>VLOOKUP(source[[#This Row],[lending_product_transform]],[3]Mapping!$B$4:$C$37,2,0)</f>
        <v>[Cake] - Cashloan</v>
      </c>
      <c r="H11080" s="128" t="str">
        <f>VLOOKUP(source[[#This Row],[lending_product_transform]],[3]Mapping!$B$3:$D$37,3,0)</f>
        <v>cashloan</v>
      </c>
      <c r="I11080" s="135">
        <v>178632000</v>
      </c>
    </row>
    <row r="11081" spans="1:9" x14ac:dyDescent="0.2">
      <c r="A11081" s="134">
        <v>45997</v>
      </c>
      <c r="B11081" s="135">
        <f>YEAR(source[[#This Row],[report_date]])</f>
        <v>2025</v>
      </c>
      <c r="C11081" s="128">
        <f t="shared" si="517"/>
        <v>12</v>
      </c>
      <c r="D11081" s="136">
        <f t="shared" si="519"/>
        <v>49</v>
      </c>
      <c r="E11081" s="136">
        <f t="shared" si="518"/>
        <v>6</v>
      </c>
      <c r="F11081" s="137" t="s">
        <v>24</v>
      </c>
      <c r="G11081" s="128" t="str">
        <f>VLOOKUP(source[[#This Row],[lending_product_transform]],[3]Mapping!$B$4:$C$37,2,0)</f>
        <v>[Cake] - Cashloan</v>
      </c>
      <c r="H11081" s="128" t="str">
        <f>VLOOKUP(source[[#This Row],[lending_product_transform]],[3]Mapping!$B$3:$D$37,3,0)</f>
        <v>cashloan</v>
      </c>
      <c r="I11081" s="135">
        <v>869550061</v>
      </c>
    </row>
    <row r="11082" spans="1:9" x14ac:dyDescent="0.2">
      <c r="A11082" s="134">
        <v>45997</v>
      </c>
      <c r="B11082" s="135">
        <f>YEAR(source[[#This Row],[report_date]])</f>
        <v>2025</v>
      </c>
      <c r="C11082" s="128">
        <f t="shared" si="517"/>
        <v>12</v>
      </c>
      <c r="D11082" s="136">
        <f t="shared" si="519"/>
        <v>49</v>
      </c>
      <c r="E11082" s="136">
        <f t="shared" si="518"/>
        <v>6</v>
      </c>
      <c r="F11082" s="137" t="s">
        <v>24</v>
      </c>
      <c r="G11082" s="128" t="str">
        <f>VLOOKUP(source[[#This Row],[lending_product_transform]],[3]Mapping!$B$4:$C$37,2,0)</f>
        <v>[Cake] - Cashloan</v>
      </c>
      <c r="H11082" s="128" t="str">
        <f>VLOOKUP(source[[#This Row],[lending_product_transform]],[3]Mapping!$B$3:$D$37,3,0)</f>
        <v>cashloan</v>
      </c>
      <c r="I11082" s="135">
        <v>3826450000</v>
      </c>
    </row>
    <row r="11083" spans="1:9" x14ac:dyDescent="0.2">
      <c r="A11083" s="134">
        <v>45998</v>
      </c>
      <c r="B11083" s="135">
        <f>YEAR(source[[#This Row],[report_date]])</f>
        <v>2025</v>
      </c>
      <c r="C11083" s="128">
        <f t="shared" si="517"/>
        <v>12</v>
      </c>
      <c r="D11083" s="136">
        <f t="shared" si="519"/>
        <v>49</v>
      </c>
      <c r="E11083" s="136">
        <f t="shared" si="518"/>
        <v>7</v>
      </c>
      <c r="F11083" s="137" t="s">
        <v>24</v>
      </c>
      <c r="G11083" s="128" t="str">
        <f>VLOOKUP(source[[#This Row],[lending_product_transform]],[3]Mapping!$B$4:$C$37,2,0)</f>
        <v>[Cake] - Cashloan</v>
      </c>
      <c r="H11083" s="128" t="str">
        <f>VLOOKUP(source[[#This Row],[lending_product_transform]],[3]Mapping!$B$3:$D$37,3,0)</f>
        <v>cashloan</v>
      </c>
      <c r="I11083" s="135">
        <v>194800000</v>
      </c>
    </row>
    <row r="11084" spans="1:9" x14ac:dyDescent="0.2">
      <c r="A11084" s="134">
        <v>45998</v>
      </c>
      <c r="B11084" s="135">
        <f>YEAR(source[[#This Row],[report_date]])</f>
        <v>2025</v>
      </c>
      <c r="C11084" s="128">
        <f t="shared" si="517"/>
        <v>12</v>
      </c>
      <c r="D11084" s="136">
        <f t="shared" si="519"/>
        <v>49</v>
      </c>
      <c r="E11084" s="136">
        <f t="shared" si="518"/>
        <v>7</v>
      </c>
      <c r="F11084" s="137" t="s">
        <v>24</v>
      </c>
      <c r="G11084" s="128" t="str">
        <f>VLOOKUP(source[[#This Row],[lending_product_transform]],[3]Mapping!$B$4:$C$37,2,0)</f>
        <v>[Cake] - Cashloan</v>
      </c>
      <c r="H11084" s="128" t="str">
        <f>VLOOKUP(source[[#This Row],[lending_product_transform]],[3]Mapping!$B$3:$D$37,3,0)</f>
        <v>cashloan</v>
      </c>
      <c r="I11084" s="135">
        <v>366407294</v>
      </c>
    </row>
    <row r="11085" spans="1:9" x14ac:dyDescent="0.2">
      <c r="A11085" s="134">
        <v>45998</v>
      </c>
      <c r="B11085" s="135">
        <f>YEAR(source[[#This Row],[report_date]])</f>
        <v>2025</v>
      </c>
      <c r="C11085" s="128">
        <f t="shared" si="517"/>
        <v>12</v>
      </c>
      <c r="D11085" s="136">
        <f t="shared" si="519"/>
        <v>49</v>
      </c>
      <c r="E11085" s="136">
        <f t="shared" si="518"/>
        <v>7</v>
      </c>
      <c r="F11085" s="137" t="s">
        <v>24</v>
      </c>
      <c r="G11085" s="128" t="str">
        <f>VLOOKUP(source[[#This Row],[lending_product_transform]],[3]Mapping!$B$4:$C$37,2,0)</f>
        <v>[Cake] - Cashloan</v>
      </c>
      <c r="H11085" s="128" t="str">
        <f>VLOOKUP(source[[#This Row],[lending_product_transform]],[3]Mapping!$B$3:$D$37,3,0)</f>
        <v>cashloan</v>
      </c>
      <c r="I11085" s="135">
        <v>16946450000</v>
      </c>
    </row>
    <row r="11086" spans="1:9" x14ac:dyDescent="0.2">
      <c r="A11086" s="134">
        <v>45998</v>
      </c>
      <c r="B11086" s="135">
        <f>YEAR(source[[#This Row],[report_date]])</f>
        <v>2025</v>
      </c>
      <c r="C11086" s="128">
        <f t="shared" si="517"/>
        <v>12</v>
      </c>
      <c r="D11086" s="136">
        <f t="shared" si="519"/>
        <v>49</v>
      </c>
      <c r="E11086" s="136">
        <f t="shared" si="518"/>
        <v>7</v>
      </c>
      <c r="F11086" s="137" t="s">
        <v>24</v>
      </c>
      <c r="G11086" s="128" t="str">
        <f>VLOOKUP(source[[#This Row],[lending_product_transform]],[3]Mapping!$B$4:$C$37,2,0)</f>
        <v>[Cake] - Cashloan</v>
      </c>
      <c r="H11086" s="128" t="str">
        <f>VLOOKUP(source[[#This Row],[lending_product_transform]],[3]Mapping!$B$3:$D$37,3,0)</f>
        <v>cashloan</v>
      </c>
      <c r="I11086" s="135">
        <v>1875357071</v>
      </c>
    </row>
    <row r="11087" spans="1:9" x14ac:dyDescent="0.2">
      <c r="A11087" s="134">
        <v>45998</v>
      </c>
      <c r="B11087" s="135">
        <f>YEAR(source[[#This Row],[report_date]])</f>
        <v>2025</v>
      </c>
      <c r="C11087" s="128">
        <f t="shared" si="517"/>
        <v>12</v>
      </c>
      <c r="D11087" s="136">
        <f t="shared" si="519"/>
        <v>49</v>
      </c>
      <c r="E11087" s="136">
        <f t="shared" si="518"/>
        <v>7</v>
      </c>
      <c r="F11087" s="137" t="s">
        <v>24</v>
      </c>
      <c r="G11087" s="128" t="str">
        <f>VLOOKUP(source[[#This Row],[lending_product_transform]],[3]Mapping!$B$4:$C$37,2,0)</f>
        <v>[Cake] - Cashloan</v>
      </c>
      <c r="H11087" s="128" t="str">
        <f>VLOOKUP(source[[#This Row],[lending_product_transform]],[3]Mapping!$B$3:$D$37,3,0)</f>
        <v>cashloan</v>
      </c>
      <c r="I11087" s="135">
        <v>10982304000</v>
      </c>
    </row>
    <row r="11088" spans="1:9" x14ac:dyDescent="0.2">
      <c r="A11088" s="134">
        <v>45998</v>
      </c>
      <c r="B11088" s="135">
        <f>YEAR(source[[#This Row],[report_date]])</f>
        <v>2025</v>
      </c>
      <c r="C11088" s="128">
        <f t="shared" si="517"/>
        <v>12</v>
      </c>
      <c r="D11088" s="136">
        <f t="shared" si="519"/>
        <v>49</v>
      </c>
      <c r="E11088" s="136">
        <f t="shared" si="518"/>
        <v>7</v>
      </c>
      <c r="F11088" s="137" t="s">
        <v>24</v>
      </c>
      <c r="G11088" s="128" t="str">
        <f>VLOOKUP(source[[#This Row],[lending_product_transform]],[3]Mapping!$B$4:$C$37,2,0)</f>
        <v>[Cake] - Cashloan</v>
      </c>
      <c r="H11088" s="128" t="str">
        <f>VLOOKUP(source[[#This Row],[lending_product_transform]],[3]Mapping!$B$3:$D$37,3,0)</f>
        <v>cashloan</v>
      </c>
      <c r="I11088" s="135">
        <v>17772528</v>
      </c>
    </row>
    <row r="11089" spans="1:9" x14ac:dyDescent="0.2">
      <c r="A11089" s="134">
        <v>45998</v>
      </c>
      <c r="B11089" s="135">
        <f>YEAR(source[[#This Row],[report_date]])</f>
        <v>2025</v>
      </c>
      <c r="C11089" s="128">
        <f t="shared" si="517"/>
        <v>12</v>
      </c>
      <c r="D11089" s="136">
        <f t="shared" si="519"/>
        <v>49</v>
      </c>
      <c r="E11089" s="136">
        <f t="shared" si="518"/>
        <v>7</v>
      </c>
      <c r="F11089" s="137" t="s">
        <v>24</v>
      </c>
      <c r="G11089" s="128" t="str">
        <f>VLOOKUP(source[[#This Row],[lending_product_transform]],[3]Mapping!$B$4:$C$37,2,0)</f>
        <v>[Cake] - Cashloan</v>
      </c>
      <c r="H11089" s="128" t="str">
        <f>VLOOKUP(source[[#This Row],[lending_product_transform]],[3]Mapping!$B$3:$D$37,3,0)</f>
        <v>cashloan</v>
      </c>
      <c r="I11089" s="135">
        <v>4705150000</v>
      </c>
    </row>
    <row r="11090" spans="1:9" x14ac:dyDescent="0.2">
      <c r="A11090" s="134">
        <v>45998</v>
      </c>
      <c r="B11090" s="135">
        <f>YEAR(source[[#This Row],[report_date]])</f>
        <v>2025</v>
      </c>
      <c r="C11090" s="128">
        <f t="shared" si="517"/>
        <v>12</v>
      </c>
      <c r="D11090" s="136">
        <f t="shared" si="519"/>
        <v>49</v>
      </c>
      <c r="E11090" s="136">
        <f t="shared" si="518"/>
        <v>7</v>
      </c>
      <c r="F11090" s="137" t="s">
        <v>24</v>
      </c>
      <c r="G11090" s="128" t="str">
        <f>VLOOKUP(source[[#This Row],[lending_product_transform]],[3]Mapping!$B$4:$C$37,2,0)</f>
        <v>[Cake] - Cashloan</v>
      </c>
      <c r="H11090" s="128" t="str">
        <f>VLOOKUP(source[[#This Row],[lending_product_transform]],[3]Mapping!$B$3:$D$37,3,0)</f>
        <v>cashloan</v>
      </c>
      <c r="I11090" s="135">
        <v>21678108</v>
      </c>
    </row>
    <row r="11091" spans="1:9" x14ac:dyDescent="0.2">
      <c r="A11091" s="134">
        <v>45998</v>
      </c>
      <c r="B11091" s="135">
        <f>YEAR(source[[#This Row],[report_date]])</f>
        <v>2025</v>
      </c>
      <c r="C11091" s="128">
        <f t="shared" si="517"/>
        <v>12</v>
      </c>
      <c r="D11091" s="136">
        <f t="shared" si="519"/>
        <v>49</v>
      </c>
      <c r="E11091" s="136">
        <f t="shared" si="518"/>
        <v>7</v>
      </c>
      <c r="F11091" s="137" t="s">
        <v>24</v>
      </c>
      <c r="G11091" s="128" t="str">
        <f>VLOOKUP(source[[#This Row],[lending_product_transform]],[3]Mapping!$B$4:$C$37,2,0)</f>
        <v>[Cake] - Cashloan</v>
      </c>
      <c r="H11091" s="128" t="str">
        <f>VLOOKUP(source[[#This Row],[lending_product_transform]],[3]Mapping!$B$3:$D$37,3,0)</f>
        <v>cashloan</v>
      </c>
      <c r="I11091" s="135">
        <v>1184359979</v>
      </c>
    </row>
    <row r="11092" spans="1:9" x14ac:dyDescent="0.2">
      <c r="A11092" s="134">
        <v>45998</v>
      </c>
      <c r="B11092" s="135">
        <f>YEAR(source[[#This Row],[report_date]])</f>
        <v>2025</v>
      </c>
      <c r="C11092" s="128">
        <f t="shared" si="517"/>
        <v>12</v>
      </c>
      <c r="D11092" s="136">
        <f t="shared" si="519"/>
        <v>49</v>
      </c>
      <c r="E11092" s="136">
        <f t="shared" si="518"/>
        <v>7</v>
      </c>
      <c r="F11092" s="137" t="s">
        <v>24</v>
      </c>
      <c r="G11092" s="128" t="str">
        <f>VLOOKUP(source[[#This Row],[lending_product_transform]],[3]Mapping!$B$4:$C$37,2,0)</f>
        <v>[Cake] - Cashloan</v>
      </c>
      <c r="H11092" s="128" t="str">
        <f>VLOOKUP(source[[#This Row],[lending_product_transform]],[3]Mapping!$B$3:$D$37,3,0)</f>
        <v>cashloan</v>
      </c>
      <c r="I11092" s="135">
        <v>0</v>
      </c>
    </row>
    <row r="11093" spans="1:9" x14ac:dyDescent="0.2">
      <c r="A11093" s="134">
        <v>45998</v>
      </c>
      <c r="B11093" s="135">
        <f>YEAR(source[[#This Row],[report_date]])</f>
        <v>2025</v>
      </c>
      <c r="C11093" s="128">
        <f t="shared" si="517"/>
        <v>12</v>
      </c>
      <c r="D11093" s="136">
        <f t="shared" si="519"/>
        <v>49</v>
      </c>
      <c r="E11093" s="136">
        <f t="shared" si="518"/>
        <v>7</v>
      </c>
      <c r="F11093" s="137" t="s">
        <v>24</v>
      </c>
      <c r="G11093" s="128" t="str">
        <f>VLOOKUP(source[[#This Row],[lending_product_transform]],[3]Mapping!$B$4:$C$37,2,0)</f>
        <v>[Cake] - Cashloan</v>
      </c>
      <c r="H11093" s="128" t="str">
        <f>VLOOKUP(source[[#This Row],[lending_product_transform]],[3]Mapping!$B$3:$D$37,3,0)</f>
        <v>cashloan</v>
      </c>
      <c r="I11093" s="135">
        <v>431000000</v>
      </c>
    </row>
    <row r="11094" spans="1:9" x14ac:dyDescent="0.2">
      <c r="A11094" s="134">
        <v>45998</v>
      </c>
      <c r="B11094" s="135">
        <f>YEAR(source[[#This Row],[report_date]])</f>
        <v>2025</v>
      </c>
      <c r="C11094" s="128">
        <f t="shared" si="517"/>
        <v>12</v>
      </c>
      <c r="D11094" s="136">
        <f t="shared" si="519"/>
        <v>49</v>
      </c>
      <c r="E11094" s="136">
        <f t="shared" si="518"/>
        <v>7</v>
      </c>
      <c r="F11094" s="137" t="s">
        <v>24</v>
      </c>
      <c r="G11094" s="128" t="str">
        <f>VLOOKUP(source[[#This Row],[lending_product_transform]],[3]Mapping!$B$4:$C$37,2,0)</f>
        <v>[Cake] - Cashloan</v>
      </c>
      <c r="H11094" s="128" t="str">
        <f>VLOOKUP(source[[#This Row],[lending_product_transform]],[3]Mapping!$B$3:$D$37,3,0)</f>
        <v>cashloan</v>
      </c>
      <c r="I11094" s="135">
        <v>17067060000</v>
      </c>
    </row>
    <row r="11095" spans="1:9" x14ac:dyDescent="0.2">
      <c r="A11095" s="134">
        <v>45998</v>
      </c>
      <c r="B11095" s="135">
        <f>YEAR(source[[#This Row],[report_date]])</f>
        <v>2025</v>
      </c>
      <c r="C11095" s="128">
        <f t="shared" si="517"/>
        <v>12</v>
      </c>
      <c r="D11095" s="136">
        <f t="shared" si="519"/>
        <v>49</v>
      </c>
      <c r="E11095" s="136">
        <f t="shared" si="518"/>
        <v>7</v>
      </c>
      <c r="F11095" s="137" t="s">
        <v>24</v>
      </c>
      <c r="G11095" s="128" t="str">
        <f>VLOOKUP(source[[#This Row],[lending_product_transform]],[3]Mapping!$B$4:$C$37,2,0)</f>
        <v>[Cake] - Cashloan</v>
      </c>
      <c r="H11095" s="128" t="str">
        <f>VLOOKUP(source[[#This Row],[lending_product_transform]],[3]Mapping!$B$3:$D$37,3,0)</f>
        <v>cashloan</v>
      </c>
      <c r="I11095" s="135">
        <v>0</v>
      </c>
    </row>
    <row r="11096" spans="1:9" x14ac:dyDescent="0.2">
      <c r="A11096" s="134">
        <v>45998</v>
      </c>
      <c r="B11096" s="135">
        <f>YEAR(source[[#This Row],[report_date]])</f>
        <v>2025</v>
      </c>
      <c r="C11096" s="128">
        <f t="shared" si="517"/>
        <v>12</v>
      </c>
      <c r="D11096" s="136">
        <f t="shared" si="519"/>
        <v>49</v>
      </c>
      <c r="E11096" s="136">
        <f t="shared" si="518"/>
        <v>7</v>
      </c>
      <c r="F11096" s="137" t="s">
        <v>24</v>
      </c>
      <c r="G11096" s="128" t="str">
        <f>VLOOKUP(source[[#This Row],[lending_product_transform]],[3]Mapping!$B$4:$C$37,2,0)</f>
        <v>[Cake] - Cashloan</v>
      </c>
      <c r="H11096" s="128" t="str">
        <f>VLOOKUP(source[[#This Row],[lending_product_transform]],[3]Mapping!$B$3:$D$37,3,0)</f>
        <v>cashloan</v>
      </c>
      <c r="I11096" s="135">
        <v>0</v>
      </c>
    </row>
    <row r="11097" spans="1:9" x14ac:dyDescent="0.2">
      <c r="A11097" s="134">
        <v>45998</v>
      </c>
      <c r="B11097" s="135">
        <f>YEAR(source[[#This Row],[report_date]])</f>
        <v>2025</v>
      </c>
      <c r="C11097" s="128">
        <f t="shared" si="517"/>
        <v>12</v>
      </c>
      <c r="D11097" s="136">
        <f t="shared" si="519"/>
        <v>49</v>
      </c>
      <c r="E11097" s="136">
        <f t="shared" si="518"/>
        <v>7</v>
      </c>
      <c r="F11097" s="137" t="s">
        <v>24</v>
      </c>
      <c r="G11097" s="128" t="str">
        <f>VLOOKUP(source[[#This Row],[lending_product_transform]],[3]Mapping!$B$4:$C$37,2,0)</f>
        <v>[Cake] - Cashloan</v>
      </c>
      <c r="H11097" s="128" t="str">
        <f>VLOOKUP(source[[#This Row],[lending_product_transform]],[3]Mapping!$B$3:$D$37,3,0)</f>
        <v>cashloan</v>
      </c>
      <c r="I11097" s="135">
        <v>0</v>
      </c>
    </row>
    <row r="11098" spans="1:9" x14ac:dyDescent="0.2">
      <c r="A11098" s="134">
        <v>45998</v>
      </c>
      <c r="B11098" s="135">
        <f>YEAR(source[[#This Row],[report_date]])</f>
        <v>2025</v>
      </c>
      <c r="C11098" s="128">
        <f t="shared" si="517"/>
        <v>12</v>
      </c>
      <c r="D11098" s="136">
        <f t="shared" si="519"/>
        <v>49</v>
      </c>
      <c r="E11098" s="136">
        <f t="shared" si="518"/>
        <v>7</v>
      </c>
      <c r="F11098" s="137" t="s">
        <v>24</v>
      </c>
      <c r="G11098" s="128" t="str">
        <f>VLOOKUP(source[[#This Row],[lending_product_transform]],[3]Mapping!$B$4:$C$37,2,0)</f>
        <v>[Cake] - Cashloan</v>
      </c>
      <c r="H11098" s="128" t="str">
        <f>VLOOKUP(source[[#This Row],[lending_product_transform]],[3]Mapping!$B$3:$D$37,3,0)</f>
        <v>cashloan</v>
      </c>
      <c r="I11098" s="135">
        <v>0</v>
      </c>
    </row>
    <row r="11099" spans="1:9" x14ac:dyDescent="0.2">
      <c r="A11099" s="134">
        <v>45998</v>
      </c>
      <c r="B11099" s="135">
        <f>YEAR(source[[#This Row],[report_date]])</f>
        <v>2025</v>
      </c>
      <c r="C11099" s="128">
        <f t="shared" si="517"/>
        <v>12</v>
      </c>
      <c r="D11099" s="136">
        <f t="shared" si="519"/>
        <v>49</v>
      </c>
      <c r="E11099" s="136">
        <f t="shared" si="518"/>
        <v>7</v>
      </c>
      <c r="F11099" s="137" t="s">
        <v>24</v>
      </c>
      <c r="G11099" s="128" t="str">
        <f>VLOOKUP(source[[#This Row],[lending_product_transform]],[3]Mapping!$B$4:$C$37,2,0)</f>
        <v>[Cake] - Cashloan</v>
      </c>
      <c r="H11099" s="128" t="str">
        <f>VLOOKUP(source[[#This Row],[lending_product_transform]],[3]Mapping!$B$3:$D$37,3,0)</f>
        <v>cashloan</v>
      </c>
      <c r="I11099" s="135">
        <v>8787960000</v>
      </c>
    </row>
    <row r="11100" spans="1:9" x14ac:dyDescent="0.2">
      <c r="A11100" s="134">
        <v>45998</v>
      </c>
      <c r="B11100" s="135">
        <f>YEAR(source[[#This Row],[report_date]])</f>
        <v>2025</v>
      </c>
      <c r="C11100" s="128">
        <f t="shared" si="517"/>
        <v>12</v>
      </c>
      <c r="D11100" s="136">
        <f t="shared" si="519"/>
        <v>49</v>
      </c>
      <c r="E11100" s="136">
        <f t="shared" si="518"/>
        <v>7</v>
      </c>
      <c r="F11100" s="137" t="s">
        <v>24</v>
      </c>
      <c r="G11100" s="128" t="str">
        <f>VLOOKUP(source[[#This Row],[lending_product_transform]],[3]Mapping!$B$4:$C$37,2,0)</f>
        <v>[Cake] - Cashloan</v>
      </c>
      <c r="H11100" s="128" t="str">
        <f>VLOOKUP(source[[#This Row],[lending_product_transform]],[3]Mapping!$B$3:$D$37,3,0)</f>
        <v>cashloan</v>
      </c>
      <c r="I11100" s="135">
        <v>365569034</v>
      </c>
    </row>
    <row r="11101" spans="1:9" x14ac:dyDescent="0.2">
      <c r="A11101" s="134">
        <v>45998</v>
      </c>
      <c r="B11101" s="135">
        <f>YEAR(source[[#This Row],[report_date]])</f>
        <v>2025</v>
      </c>
      <c r="C11101" s="128">
        <f t="shared" si="517"/>
        <v>12</v>
      </c>
      <c r="D11101" s="136">
        <f t="shared" si="519"/>
        <v>49</v>
      </c>
      <c r="E11101" s="136">
        <f t="shared" si="518"/>
        <v>7</v>
      </c>
      <c r="F11101" s="137" t="s">
        <v>24</v>
      </c>
      <c r="G11101" s="128" t="str">
        <f>VLOOKUP(source[[#This Row],[lending_product_transform]],[3]Mapping!$B$4:$C$37,2,0)</f>
        <v>[Cake] - Cashloan</v>
      </c>
      <c r="H11101" s="128" t="str">
        <f>VLOOKUP(source[[#This Row],[lending_product_transform]],[3]Mapping!$B$3:$D$37,3,0)</f>
        <v>cashloan</v>
      </c>
      <c r="I11101" s="135">
        <v>0</v>
      </c>
    </row>
    <row r="11102" spans="1:9" x14ac:dyDescent="0.2">
      <c r="A11102" s="134">
        <v>45998</v>
      </c>
      <c r="B11102" s="135">
        <f>YEAR(source[[#This Row],[report_date]])</f>
        <v>2025</v>
      </c>
      <c r="C11102" s="128">
        <f t="shared" si="517"/>
        <v>12</v>
      </c>
      <c r="D11102" s="136">
        <f t="shared" si="519"/>
        <v>49</v>
      </c>
      <c r="E11102" s="136">
        <f t="shared" si="518"/>
        <v>7</v>
      </c>
      <c r="F11102" s="137" t="s">
        <v>24</v>
      </c>
      <c r="G11102" s="128" t="str">
        <f>VLOOKUP(source[[#This Row],[lending_product_transform]],[3]Mapping!$B$4:$C$37,2,0)</f>
        <v>[Cake] - Cashloan</v>
      </c>
      <c r="H11102" s="128" t="str">
        <f>VLOOKUP(source[[#This Row],[lending_product_transform]],[3]Mapping!$B$3:$D$37,3,0)</f>
        <v>cashloan</v>
      </c>
      <c r="I11102" s="135">
        <v>72000000</v>
      </c>
    </row>
    <row r="11103" spans="1:9" x14ac:dyDescent="0.2">
      <c r="A11103" s="134">
        <v>45998</v>
      </c>
      <c r="B11103" s="135">
        <f>YEAR(source[[#This Row],[report_date]])</f>
        <v>2025</v>
      </c>
      <c r="C11103" s="128">
        <f t="shared" si="517"/>
        <v>12</v>
      </c>
      <c r="D11103" s="136">
        <f t="shared" si="519"/>
        <v>49</v>
      </c>
      <c r="E11103" s="136">
        <f t="shared" si="518"/>
        <v>7</v>
      </c>
      <c r="F11103" s="137" t="s">
        <v>24</v>
      </c>
      <c r="G11103" s="128" t="str">
        <f>VLOOKUP(source[[#This Row],[lending_product_transform]],[3]Mapping!$B$4:$C$37,2,0)</f>
        <v>[Cake] - Cashloan</v>
      </c>
      <c r="H11103" s="128" t="str">
        <f>VLOOKUP(source[[#This Row],[lending_product_transform]],[3]Mapping!$B$3:$D$37,3,0)</f>
        <v>cashloan</v>
      </c>
      <c r="I11103" s="135">
        <v>399940000</v>
      </c>
    </row>
    <row r="11104" spans="1:9" x14ac:dyDescent="0.2">
      <c r="A11104" s="134">
        <v>45998</v>
      </c>
      <c r="B11104" s="135">
        <f>YEAR(source[[#This Row],[report_date]])</f>
        <v>2025</v>
      </c>
      <c r="C11104" s="128">
        <f t="shared" si="517"/>
        <v>12</v>
      </c>
      <c r="D11104" s="136">
        <f t="shared" si="519"/>
        <v>49</v>
      </c>
      <c r="E11104" s="136">
        <f t="shared" si="518"/>
        <v>7</v>
      </c>
      <c r="F11104" s="137" t="s">
        <v>24</v>
      </c>
      <c r="G11104" s="128" t="str">
        <f>VLOOKUP(source[[#This Row],[lending_product_transform]],[3]Mapping!$B$4:$C$37,2,0)</f>
        <v>[Cake] - Cashloan</v>
      </c>
      <c r="H11104" s="128" t="str">
        <f>VLOOKUP(source[[#This Row],[lending_product_transform]],[3]Mapping!$B$3:$D$37,3,0)</f>
        <v>cashloan</v>
      </c>
      <c r="I11104" s="135">
        <v>211248000</v>
      </c>
    </row>
    <row r="11105" spans="1:9" x14ac:dyDescent="0.2">
      <c r="A11105" s="134">
        <v>45998</v>
      </c>
      <c r="B11105" s="135">
        <f>YEAR(source[[#This Row],[report_date]])</f>
        <v>2025</v>
      </c>
      <c r="C11105" s="128">
        <f t="shared" si="517"/>
        <v>12</v>
      </c>
      <c r="D11105" s="136">
        <f t="shared" si="519"/>
        <v>49</v>
      </c>
      <c r="E11105" s="136">
        <f t="shared" si="518"/>
        <v>7</v>
      </c>
      <c r="F11105" s="137" t="s">
        <v>24</v>
      </c>
      <c r="G11105" s="128" t="str">
        <f>VLOOKUP(source[[#This Row],[lending_product_transform]],[3]Mapping!$B$4:$C$37,2,0)</f>
        <v>[Cake] - Cashloan</v>
      </c>
      <c r="H11105" s="128" t="str">
        <f>VLOOKUP(source[[#This Row],[lending_product_transform]],[3]Mapping!$B$3:$D$37,3,0)</f>
        <v>cashloan</v>
      </c>
      <c r="I11105" s="135">
        <v>603148653</v>
      </c>
    </row>
    <row r="11106" spans="1:9" x14ac:dyDescent="0.2">
      <c r="A11106" s="134">
        <v>45998</v>
      </c>
      <c r="B11106" s="135">
        <f>YEAR(source[[#This Row],[report_date]])</f>
        <v>2025</v>
      </c>
      <c r="C11106" s="128">
        <f t="shared" si="517"/>
        <v>12</v>
      </c>
      <c r="D11106" s="136">
        <f t="shared" si="519"/>
        <v>49</v>
      </c>
      <c r="E11106" s="136">
        <f t="shared" si="518"/>
        <v>7</v>
      </c>
      <c r="F11106" s="137" t="s">
        <v>24</v>
      </c>
      <c r="G11106" s="128" t="str">
        <f>VLOOKUP(source[[#This Row],[lending_product_transform]],[3]Mapping!$B$4:$C$37,2,0)</f>
        <v>[Cake] - Cashloan</v>
      </c>
      <c r="H11106" s="128" t="str">
        <f>VLOOKUP(source[[#This Row],[lending_product_transform]],[3]Mapping!$B$3:$D$37,3,0)</f>
        <v>cashloan</v>
      </c>
      <c r="I11106" s="135">
        <v>3094670000</v>
      </c>
    </row>
    <row r="11107" spans="1:9" x14ac:dyDescent="0.2">
      <c r="A11107" s="172">
        <v>45999</v>
      </c>
      <c r="B11107" s="135">
        <f>YEAR(source[[#This Row],[report_date]])</f>
        <v>2025</v>
      </c>
      <c r="C11107" s="128">
        <f t="shared" si="517"/>
        <v>12</v>
      </c>
      <c r="D11107" s="136">
        <f t="shared" si="519"/>
        <v>50</v>
      </c>
      <c r="E11107" s="136">
        <f t="shared" si="518"/>
        <v>8</v>
      </c>
      <c r="F11107" s="137" t="s">
        <v>24</v>
      </c>
      <c r="G11107" s="128" t="str">
        <f>VLOOKUP(source[[#This Row],[lending_product_transform]],[3]Mapping!$B$4:$C$37,2,0)</f>
        <v>[Cake] - Cashloan</v>
      </c>
      <c r="H11107" s="128" t="str">
        <f>VLOOKUP(source[[#This Row],[lending_product_transform]],[3]Mapping!$B$3:$D$37,3,0)</f>
        <v>cashloan</v>
      </c>
      <c r="I11107" s="143">
        <v>117600000</v>
      </c>
    </row>
    <row r="11108" spans="1:9" x14ac:dyDescent="0.2">
      <c r="A11108" s="172">
        <v>45999</v>
      </c>
      <c r="B11108" s="135">
        <f>YEAR(source[[#This Row],[report_date]])</f>
        <v>2025</v>
      </c>
      <c r="C11108" s="128">
        <f t="shared" si="517"/>
        <v>12</v>
      </c>
      <c r="D11108" s="136">
        <f t="shared" si="519"/>
        <v>50</v>
      </c>
      <c r="E11108" s="136">
        <f t="shared" si="518"/>
        <v>8</v>
      </c>
      <c r="F11108" s="137" t="s">
        <v>24</v>
      </c>
      <c r="G11108" s="128" t="str">
        <f>VLOOKUP(source[[#This Row],[lending_product_transform]],[3]Mapping!$B$4:$C$37,2,0)</f>
        <v>[Cake] - Cashloan</v>
      </c>
      <c r="H11108" s="128" t="str">
        <f>VLOOKUP(source[[#This Row],[lending_product_transform]],[3]Mapping!$B$3:$D$37,3,0)</f>
        <v>cashloan</v>
      </c>
      <c r="I11108" s="143">
        <v>318051473</v>
      </c>
    </row>
    <row r="11109" spans="1:9" x14ac:dyDescent="0.2">
      <c r="A11109" s="172">
        <v>45999</v>
      </c>
      <c r="B11109" s="135">
        <f>YEAR(source[[#This Row],[report_date]])</f>
        <v>2025</v>
      </c>
      <c r="C11109" s="128">
        <f t="shared" si="517"/>
        <v>12</v>
      </c>
      <c r="D11109" s="136">
        <f t="shared" si="519"/>
        <v>50</v>
      </c>
      <c r="E11109" s="136">
        <f t="shared" si="518"/>
        <v>8</v>
      </c>
      <c r="F11109" s="137" t="s">
        <v>24</v>
      </c>
      <c r="G11109" s="128" t="str">
        <f>VLOOKUP(source[[#This Row],[lending_product_transform]],[3]Mapping!$B$4:$C$37,2,0)</f>
        <v>[Cake] - Cashloan</v>
      </c>
      <c r="H11109" s="128" t="str">
        <f>VLOOKUP(source[[#This Row],[lending_product_transform]],[3]Mapping!$B$3:$D$37,3,0)</f>
        <v>cashloan</v>
      </c>
      <c r="I11109" s="143">
        <v>18584820000</v>
      </c>
    </row>
    <row r="11110" spans="1:9" x14ac:dyDescent="0.2">
      <c r="A11110" s="172">
        <v>45999</v>
      </c>
      <c r="B11110" s="135">
        <f>YEAR(source[[#This Row],[report_date]])</f>
        <v>2025</v>
      </c>
      <c r="C11110" s="128">
        <f t="shared" si="517"/>
        <v>12</v>
      </c>
      <c r="D11110" s="136">
        <f t="shared" si="519"/>
        <v>50</v>
      </c>
      <c r="E11110" s="136">
        <f t="shared" si="518"/>
        <v>8</v>
      </c>
      <c r="F11110" s="137" t="s">
        <v>24</v>
      </c>
      <c r="G11110" s="128" t="str">
        <f>VLOOKUP(source[[#This Row],[lending_product_transform]],[3]Mapping!$B$4:$C$37,2,0)</f>
        <v>[Cake] - Cashloan</v>
      </c>
      <c r="H11110" s="128" t="str">
        <f>VLOOKUP(source[[#This Row],[lending_product_transform]],[3]Mapping!$B$3:$D$37,3,0)</f>
        <v>cashloan</v>
      </c>
      <c r="I11110" s="143">
        <v>2268828157</v>
      </c>
    </row>
    <row r="11111" spans="1:9" x14ac:dyDescent="0.2">
      <c r="A11111" s="172">
        <v>45999</v>
      </c>
      <c r="B11111" s="135">
        <f>YEAR(source[[#This Row],[report_date]])</f>
        <v>2025</v>
      </c>
      <c r="C11111" s="128">
        <f t="shared" si="517"/>
        <v>12</v>
      </c>
      <c r="D11111" s="136">
        <f t="shared" si="519"/>
        <v>50</v>
      </c>
      <c r="E11111" s="136">
        <f t="shared" si="518"/>
        <v>8</v>
      </c>
      <c r="F11111" s="137" t="s">
        <v>24</v>
      </c>
      <c r="G11111" s="128" t="str">
        <f>VLOOKUP(source[[#This Row],[lending_product_transform]],[3]Mapping!$B$4:$C$37,2,0)</f>
        <v>[Cake] - Cashloan</v>
      </c>
      <c r="H11111" s="128" t="str">
        <f>VLOOKUP(source[[#This Row],[lending_product_transform]],[3]Mapping!$B$3:$D$37,3,0)</f>
        <v>cashloan</v>
      </c>
      <c r="I11111" s="143">
        <v>11617776000</v>
      </c>
    </row>
    <row r="11112" spans="1:9" x14ac:dyDescent="0.2">
      <c r="A11112" s="172">
        <v>45999</v>
      </c>
      <c r="B11112" s="135">
        <f>YEAR(source[[#This Row],[report_date]])</f>
        <v>2025</v>
      </c>
      <c r="C11112" s="128">
        <f t="shared" si="517"/>
        <v>12</v>
      </c>
      <c r="D11112" s="136">
        <f t="shared" si="519"/>
        <v>50</v>
      </c>
      <c r="E11112" s="136">
        <f t="shared" si="518"/>
        <v>8</v>
      </c>
      <c r="F11112" s="137" t="s">
        <v>24</v>
      </c>
      <c r="G11112" s="128" t="str">
        <f>VLOOKUP(source[[#This Row],[lending_product_transform]],[3]Mapping!$B$4:$C$37,2,0)</f>
        <v>[Cake] - Cashloan</v>
      </c>
      <c r="H11112" s="128" t="str">
        <f>VLOOKUP(source[[#This Row],[lending_product_transform]],[3]Mapping!$B$3:$D$37,3,0)</f>
        <v>cashloan</v>
      </c>
      <c r="I11112" s="143">
        <v>22890593</v>
      </c>
    </row>
    <row r="11113" spans="1:9" x14ac:dyDescent="0.2">
      <c r="A11113" s="172">
        <v>45999</v>
      </c>
      <c r="B11113" s="135">
        <f>YEAR(source[[#This Row],[report_date]])</f>
        <v>2025</v>
      </c>
      <c r="C11113" s="128">
        <f t="shared" si="517"/>
        <v>12</v>
      </c>
      <c r="D11113" s="136">
        <f t="shared" si="519"/>
        <v>50</v>
      </c>
      <c r="E11113" s="136">
        <f t="shared" si="518"/>
        <v>8</v>
      </c>
      <c r="F11113" s="137" t="s">
        <v>24</v>
      </c>
      <c r="G11113" s="128" t="str">
        <f>VLOOKUP(source[[#This Row],[lending_product_transform]],[3]Mapping!$B$4:$C$37,2,0)</f>
        <v>[Cake] - Cashloan</v>
      </c>
      <c r="H11113" s="128" t="str">
        <f>VLOOKUP(source[[#This Row],[lending_product_transform]],[3]Mapping!$B$3:$D$37,3,0)</f>
        <v>cashloan</v>
      </c>
      <c r="I11113" s="143">
        <v>4163060000</v>
      </c>
    </row>
    <row r="11114" spans="1:9" x14ac:dyDescent="0.2">
      <c r="A11114" s="172">
        <v>45999</v>
      </c>
      <c r="B11114" s="135">
        <f>YEAR(source[[#This Row],[report_date]])</f>
        <v>2025</v>
      </c>
      <c r="C11114" s="128">
        <f t="shared" si="517"/>
        <v>12</v>
      </c>
      <c r="D11114" s="136">
        <f t="shared" si="519"/>
        <v>50</v>
      </c>
      <c r="E11114" s="136">
        <f t="shared" si="518"/>
        <v>8</v>
      </c>
      <c r="F11114" s="137" t="s">
        <v>24</v>
      </c>
      <c r="G11114" s="128" t="str">
        <f>VLOOKUP(source[[#This Row],[lending_product_transform]],[3]Mapping!$B$4:$C$37,2,0)</f>
        <v>[Cake] - Cashloan</v>
      </c>
      <c r="H11114" s="128" t="str">
        <f>VLOOKUP(source[[#This Row],[lending_product_transform]],[3]Mapping!$B$3:$D$37,3,0)</f>
        <v>cashloan</v>
      </c>
      <c r="I11114" s="143">
        <v>15636252</v>
      </c>
    </row>
    <row r="11115" spans="1:9" x14ac:dyDescent="0.2">
      <c r="A11115" s="172">
        <v>45999</v>
      </c>
      <c r="B11115" s="135">
        <f>YEAR(source[[#This Row],[report_date]])</f>
        <v>2025</v>
      </c>
      <c r="C11115" s="128">
        <f t="shared" si="517"/>
        <v>12</v>
      </c>
      <c r="D11115" s="136">
        <f t="shared" si="519"/>
        <v>50</v>
      </c>
      <c r="E11115" s="136">
        <f t="shared" si="518"/>
        <v>8</v>
      </c>
      <c r="F11115" s="137" t="s">
        <v>24</v>
      </c>
      <c r="G11115" s="128" t="str">
        <f>VLOOKUP(source[[#This Row],[lending_product_transform]],[3]Mapping!$B$4:$C$37,2,0)</f>
        <v>[Cake] - Cashloan</v>
      </c>
      <c r="H11115" s="128" t="str">
        <f>VLOOKUP(source[[#This Row],[lending_product_transform]],[3]Mapping!$B$3:$D$37,3,0)</f>
        <v>cashloan</v>
      </c>
      <c r="I11115" s="143">
        <v>796954555</v>
      </c>
    </row>
    <row r="11116" spans="1:9" x14ac:dyDescent="0.2">
      <c r="A11116" s="172">
        <v>45999</v>
      </c>
      <c r="B11116" s="135">
        <f>YEAR(source[[#This Row],[report_date]])</f>
        <v>2025</v>
      </c>
      <c r="C11116" s="128">
        <f t="shared" si="517"/>
        <v>12</v>
      </c>
      <c r="D11116" s="136">
        <f t="shared" si="519"/>
        <v>50</v>
      </c>
      <c r="E11116" s="136">
        <f t="shared" si="518"/>
        <v>8</v>
      </c>
      <c r="F11116" s="137" t="s">
        <v>24</v>
      </c>
      <c r="G11116" s="128" t="str">
        <f>VLOOKUP(source[[#This Row],[lending_product_transform]],[3]Mapping!$B$4:$C$37,2,0)</f>
        <v>[Cake] - Cashloan</v>
      </c>
      <c r="H11116" s="128" t="str">
        <f>VLOOKUP(source[[#This Row],[lending_product_transform]],[3]Mapping!$B$3:$D$37,3,0)</f>
        <v>cashloan</v>
      </c>
      <c r="I11116" s="143">
        <v>0</v>
      </c>
    </row>
    <row r="11117" spans="1:9" x14ac:dyDescent="0.2">
      <c r="A11117" s="172">
        <v>45999</v>
      </c>
      <c r="B11117" s="135">
        <f>YEAR(source[[#This Row],[report_date]])</f>
        <v>2025</v>
      </c>
      <c r="C11117" s="128">
        <f t="shared" si="517"/>
        <v>12</v>
      </c>
      <c r="D11117" s="136">
        <f t="shared" si="519"/>
        <v>50</v>
      </c>
      <c r="E11117" s="136">
        <f t="shared" si="518"/>
        <v>8</v>
      </c>
      <c r="F11117" s="137" t="s">
        <v>24</v>
      </c>
      <c r="G11117" s="128" t="str">
        <f>VLOOKUP(source[[#This Row],[lending_product_transform]],[3]Mapping!$B$4:$C$37,2,0)</f>
        <v>[Cake] - Cashloan</v>
      </c>
      <c r="H11117" s="128" t="str">
        <f>VLOOKUP(source[[#This Row],[lending_product_transform]],[3]Mapping!$B$3:$D$37,3,0)</f>
        <v>cashloan</v>
      </c>
      <c r="I11117" s="143">
        <v>483150000</v>
      </c>
    </row>
    <row r="11118" spans="1:9" x14ac:dyDescent="0.2">
      <c r="A11118" s="172">
        <v>45999</v>
      </c>
      <c r="B11118" s="135">
        <f>YEAR(source[[#This Row],[report_date]])</f>
        <v>2025</v>
      </c>
      <c r="C11118" s="128">
        <f t="shared" si="517"/>
        <v>12</v>
      </c>
      <c r="D11118" s="136">
        <f t="shared" si="519"/>
        <v>50</v>
      </c>
      <c r="E11118" s="136">
        <f t="shared" si="518"/>
        <v>8</v>
      </c>
      <c r="F11118" s="137" t="s">
        <v>24</v>
      </c>
      <c r="G11118" s="128" t="str">
        <f>VLOOKUP(source[[#This Row],[lending_product_transform]],[3]Mapping!$B$4:$C$37,2,0)</f>
        <v>[Cake] - Cashloan</v>
      </c>
      <c r="H11118" s="128" t="str">
        <f>VLOOKUP(source[[#This Row],[lending_product_transform]],[3]Mapping!$B$3:$D$37,3,0)</f>
        <v>cashloan</v>
      </c>
      <c r="I11118" s="143">
        <v>18950910000</v>
      </c>
    </row>
    <row r="11119" spans="1:9" x14ac:dyDescent="0.2">
      <c r="A11119" s="172">
        <v>45999</v>
      </c>
      <c r="B11119" s="135">
        <f>YEAR(source[[#This Row],[report_date]])</f>
        <v>2025</v>
      </c>
      <c r="C11119" s="128">
        <f t="shared" si="517"/>
        <v>12</v>
      </c>
      <c r="D11119" s="136">
        <f t="shared" si="519"/>
        <v>50</v>
      </c>
      <c r="E11119" s="136">
        <f t="shared" si="518"/>
        <v>8</v>
      </c>
      <c r="F11119" s="137" t="s">
        <v>24</v>
      </c>
      <c r="G11119" s="128" t="str">
        <f>VLOOKUP(source[[#This Row],[lending_product_transform]],[3]Mapping!$B$4:$C$37,2,0)</f>
        <v>[Cake] - Cashloan</v>
      </c>
      <c r="H11119" s="128" t="str">
        <f>VLOOKUP(source[[#This Row],[lending_product_transform]],[3]Mapping!$B$3:$D$37,3,0)</f>
        <v>cashloan</v>
      </c>
      <c r="I11119" s="143">
        <v>0</v>
      </c>
    </row>
    <row r="11120" spans="1:9" x14ac:dyDescent="0.2">
      <c r="A11120" s="172">
        <v>45999</v>
      </c>
      <c r="B11120" s="135">
        <f>YEAR(source[[#This Row],[report_date]])</f>
        <v>2025</v>
      </c>
      <c r="C11120" s="128">
        <f t="shared" si="517"/>
        <v>12</v>
      </c>
      <c r="D11120" s="136">
        <f t="shared" si="519"/>
        <v>50</v>
      </c>
      <c r="E11120" s="136">
        <f t="shared" si="518"/>
        <v>8</v>
      </c>
      <c r="F11120" s="137" t="s">
        <v>24</v>
      </c>
      <c r="G11120" s="128" t="str">
        <f>VLOOKUP(source[[#This Row],[lending_product_transform]],[3]Mapping!$B$4:$C$37,2,0)</f>
        <v>[Cake] - Cashloan</v>
      </c>
      <c r="H11120" s="128" t="str">
        <f>VLOOKUP(source[[#This Row],[lending_product_transform]],[3]Mapping!$B$3:$D$37,3,0)</f>
        <v>cashloan</v>
      </c>
      <c r="I11120" s="143">
        <v>0</v>
      </c>
    </row>
    <row r="11121" spans="1:9" x14ac:dyDescent="0.2">
      <c r="A11121" s="172">
        <v>45999</v>
      </c>
      <c r="B11121" s="135">
        <f>YEAR(source[[#This Row],[report_date]])</f>
        <v>2025</v>
      </c>
      <c r="C11121" s="128">
        <f t="shared" si="517"/>
        <v>12</v>
      </c>
      <c r="D11121" s="136">
        <f t="shared" si="519"/>
        <v>50</v>
      </c>
      <c r="E11121" s="136">
        <f t="shared" si="518"/>
        <v>8</v>
      </c>
      <c r="F11121" s="137" t="s">
        <v>24</v>
      </c>
      <c r="G11121" s="128" t="str">
        <f>VLOOKUP(source[[#This Row],[lending_product_transform]],[3]Mapping!$B$4:$C$37,2,0)</f>
        <v>[Cake] - Cashloan</v>
      </c>
      <c r="H11121" s="128" t="str">
        <f>VLOOKUP(source[[#This Row],[lending_product_transform]],[3]Mapping!$B$3:$D$37,3,0)</f>
        <v>cashloan</v>
      </c>
      <c r="I11121" s="143">
        <v>0</v>
      </c>
    </row>
    <row r="11122" spans="1:9" x14ac:dyDescent="0.2">
      <c r="A11122" s="172">
        <v>45999</v>
      </c>
      <c r="B11122" s="135">
        <f>YEAR(source[[#This Row],[report_date]])</f>
        <v>2025</v>
      </c>
      <c r="C11122" s="128">
        <f t="shared" si="517"/>
        <v>12</v>
      </c>
      <c r="D11122" s="136">
        <f t="shared" si="519"/>
        <v>50</v>
      </c>
      <c r="E11122" s="136">
        <f t="shared" si="518"/>
        <v>8</v>
      </c>
      <c r="F11122" s="137" t="s">
        <v>24</v>
      </c>
      <c r="G11122" s="128" t="str">
        <f>VLOOKUP(source[[#This Row],[lending_product_transform]],[3]Mapping!$B$4:$C$37,2,0)</f>
        <v>[Cake] - Cashloan</v>
      </c>
      <c r="H11122" s="128" t="str">
        <f>VLOOKUP(source[[#This Row],[lending_product_transform]],[3]Mapping!$B$3:$D$37,3,0)</f>
        <v>cashloan</v>
      </c>
      <c r="I11122" s="143">
        <v>16050000</v>
      </c>
    </row>
    <row r="11123" spans="1:9" x14ac:dyDescent="0.2">
      <c r="A11123" s="172">
        <v>45999</v>
      </c>
      <c r="B11123" s="135">
        <f>YEAR(source[[#This Row],[report_date]])</f>
        <v>2025</v>
      </c>
      <c r="C11123" s="128">
        <f t="shared" si="517"/>
        <v>12</v>
      </c>
      <c r="D11123" s="136">
        <f t="shared" si="519"/>
        <v>50</v>
      </c>
      <c r="E11123" s="136">
        <f t="shared" si="518"/>
        <v>8</v>
      </c>
      <c r="F11123" s="137" t="s">
        <v>24</v>
      </c>
      <c r="G11123" s="128" t="str">
        <f>VLOOKUP(source[[#This Row],[lending_product_transform]],[3]Mapping!$B$4:$C$37,2,0)</f>
        <v>[Cake] - Cashloan</v>
      </c>
      <c r="H11123" s="128" t="str">
        <f>VLOOKUP(source[[#This Row],[lending_product_transform]],[3]Mapping!$B$3:$D$37,3,0)</f>
        <v>cashloan</v>
      </c>
      <c r="I11123" s="143">
        <v>9321912000</v>
      </c>
    </row>
    <row r="11124" spans="1:9" x14ac:dyDescent="0.2">
      <c r="A11124" s="172">
        <v>45999</v>
      </c>
      <c r="B11124" s="135">
        <f>YEAR(source[[#This Row],[report_date]])</f>
        <v>2025</v>
      </c>
      <c r="C11124" s="128">
        <f t="shared" si="517"/>
        <v>12</v>
      </c>
      <c r="D11124" s="136">
        <f t="shared" si="519"/>
        <v>50</v>
      </c>
      <c r="E11124" s="136">
        <f t="shared" si="518"/>
        <v>8</v>
      </c>
      <c r="F11124" s="137" t="s">
        <v>24</v>
      </c>
      <c r="G11124" s="128" t="str">
        <f>VLOOKUP(source[[#This Row],[lending_product_transform]],[3]Mapping!$B$4:$C$37,2,0)</f>
        <v>[Cake] - Cashloan</v>
      </c>
      <c r="H11124" s="128" t="str">
        <f>VLOOKUP(source[[#This Row],[lending_product_transform]],[3]Mapping!$B$3:$D$37,3,0)</f>
        <v>cashloan</v>
      </c>
      <c r="I11124" s="143">
        <v>298442180</v>
      </c>
    </row>
    <row r="11125" spans="1:9" x14ac:dyDescent="0.2">
      <c r="A11125" s="172">
        <v>45999</v>
      </c>
      <c r="B11125" s="135">
        <f>YEAR(source[[#This Row],[report_date]])</f>
        <v>2025</v>
      </c>
      <c r="C11125" s="128">
        <f t="shared" si="517"/>
        <v>12</v>
      </c>
      <c r="D11125" s="136">
        <f t="shared" si="519"/>
        <v>50</v>
      </c>
      <c r="E11125" s="136">
        <f t="shared" si="518"/>
        <v>8</v>
      </c>
      <c r="F11125" s="137" t="s">
        <v>24</v>
      </c>
      <c r="G11125" s="128" t="str">
        <f>VLOOKUP(source[[#This Row],[lending_product_transform]],[3]Mapping!$B$4:$C$37,2,0)</f>
        <v>[Cake] - Cashloan</v>
      </c>
      <c r="H11125" s="128" t="str">
        <f>VLOOKUP(source[[#This Row],[lending_product_transform]],[3]Mapping!$B$3:$D$37,3,0)</f>
        <v>cashloan</v>
      </c>
      <c r="I11125" s="143">
        <v>0</v>
      </c>
    </row>
    <row r="11126" spans="1:9" x14ac:dyDescent="0.2">
      <c r="A11126" s="172">
        <v>45999</v>
      </c>
      <c r="B11126" s="135">
        <f>YEAR(source[[#This Row],[report_date]])</f>
        <v>2025</v>
      </c>
      <c r="C11126" s="128">
        <f t="shared" ref="C11126:C11189" si="520">MONTH(A11126)</f>
        <v>12</v>
      </c>
      <c r="D11126" s="136">
        <f t="shared" si="519"/>
        <v>50</v>
      </c>
      <c r="E11126" s="136">
        <f t="shared" ref="E11126:E11189" si="521">DAY(A11126)</f>
        <v>8</v>
      </c>
      <c r="F11126" s="137" t="s">
        <v>24</v>
      </c>
      <c r="G11126" s="128" t="str">
        <f>VLOOKUP(source[[#This Row],[lending_product_transform]],[3]Mapping!$B$4:$C$37,2,0)</f>
        <v>[Cake] - Cashloan</v>
      </c>
      <c r="H11126" s="128" t="str">
        <f>VLOOKUP(source[[#This Row],[lending_product_transform]],[3]Mapping!$B$3:$D$37,3,0)</f>
        <v>cashloan</v>
      </c>
      <c r="I11126" s="143">
        <v>20000000</v>
      </c>
    </row>
    <row r="11127" spans="1:9" x14ac:dyDescent="0.2">
      <c r="A11127" s="172">
        <v>45999</v>
      </c>
      <c r="B11127" s="135">
        <f>YEAR(source[[#This Row],[report_date]])</f>
        <v>2025</v>
      </c>
      <c r="C11127" s="128">
        <f t="shared" si="520"/>
        <v>12</v>
      </c>
      <c r="D11127" s="136">
        <f t="shared" si="519"/>
        <v>50</v>
      </c>
      <c r="E11127" s="136">
        <f t="shared" si="521"/>
        <v>8</v>
      </c>
      <c r="F11127" s="137" t="s">
        <v>24</v>
      </c>
      <c r="G11127" s="128" t="str">
        <f>VLOOKUP(source[[#This Row],[lending_product_transform]],[3]Mapping!$B$4:$C$37,2,0)</f>
        <v>[Cake] - Cashloan</v>
      </c>
      <c r="H11127" s="128" t="str">
        <f>VLOOKUP(source[[#This Row],[lending_product_transform]],[3]Mapping!$B$3:$D$37,3,0)</f>
        <v>cashloan</v>
      </c>
      <c r="I11127" s="143">
        <v>781470000</v>
      </c>
    </row>
    <row r="11128" spans="1:9" x14ac:dyDescent="0.2">
      <c r="A11128" s="172">
        <v>45999</v>
      </c>
      <c r="B11128" s="135">
        <f>YEAR(source[[#This Row],[report_date]])</f>
        <v>2025</v>
      </c>
      <c r="C11128" s="128">
        <f t="shared" si="520"/>
        <v>12</v>
      </c>
      <c r="D11128" s="136">
        <f t="shared" si="519"/>
        <v>50</v>
      </c>
      <c r="E11128" s="136">
        <f t="shared" si="521"/>
        <v>8</v>
      </c>
      <c r="F11128" s="137" t="s">
        <v>24</v>
      </c>
      <c r="G11128" s="128" t="str">
        <f>VLOOKUP(source[[#This Row],[lending_product_transform]],[3]Mapping!$B$4:$C$37,2,0)</f>
        <v>[Cake] - Cashloan</v>
      </c>
      <c r="H11128" s="128" t="str">
        <f>VLOOKUP(source[[#This Row],[lending_product_transform]],[3]Mapping!$B$3:$D$37,3,0)</f>
        <v>cashloan</v>
      </c>
      <c r="I11128" s="143">
        <v>237384000</v>
      </c>
    </row>
    <row r="11129" spans="1:9" x14ac:dyDescent="0.2">
      <c r="A11129" s="172">
        <v>45999</v>
      </c>
      <c r="B11129" s="135">
        <f>YEAR(source[[#This Row],[report_date]])</f>
        <v>2025</v>
      </c>
      <c r="C11129" s="128">
        <f t="shared" si="520"/>
        <v>12</v>
      </c>
      <c r="D11129" s="136">
        <f t="shared" si="519"/>
        <v>50</v>
      </c>
      <c r="E11129" s="136">
        <f t="shared" si="521"/>
        <v>8</v>
      </c>
      <c r="F11129" s="137" t="s">
        <v>24</v>
      </c>
      <c r="G11129" s="128" t="str">
        <f>VLOOKUP(source[[#This Row],[lending_product_transform]],[3]Mapping!$B$4:$C$37,2,0)</f>
        <v>[Cake] - Cashloan</v>
      </c>
      <c r="H11129" s="128" t="str">
        <f>VLOOKUP(source[[#This Row],[lending_product_transform]],[3]Mapping!$B$3:$D$37,3,0)</f>
        <v>cashloan</v>
      </c>
      <c r="I11129" s="143">
        <v>576232325</v>
      </c>
    </row>
    <row r="11130" spans="1:9" x14ac:dyDescent="0.2">
      <c r="A11130" s="172">
        <v>45999</v>
      </c>
      <c r="B11130" s="135">
        <f>YEAR(source[[#This Row],[report_date]])</f>
        <v>2025</v>
      </c>
      <c r="C11130" s="128">
        <f t="shared" si="520"/>
        <v>12</v>
      </c>
      <c r="D11130" s="136">
        <f t="shared" si="519"/>
        <v>50</v>
      </c>
      <c r="E11130" s="136">
        <f t="shared" si="521"/>
        <v>8</v>
      </c>
      <c r="F11130" s="137" t="s">
        <v>24</v>
      </c>
      <c r="G11130" s="128" t="str">
        <f>VLOOKUP(source[[#This Row],[lending_product_transform]],[3]Mapping!$B$4:$C$37,2,0)</f>
        <v>[Cake] - Cashloan</v>
      </c>
      <c r="H11130" s="128" t="str">
        <f>VLOOKUP(source[[#This Row],[lending_product_transform]],[3]Mapping!$B$3:$D$37,3,0)</f>
        <v>cashloan</v>
      </c>
      <c r="I11130" s="143">
        <v>4390740000</v>
      </c>
    </row>
    <row r="11131" spans="1:9" x14ac:dyDescent="0.2">
      <c r="A11131" s="172">
        <v>46000</v>
      </c>
      <c r="B11131" s="135">
        <f>YEAR(source[[#This Row],[report_date]])</f>
        <v>2025</v>
      </c>
      <c r="C11131" s="128">
        <f t="shared" si="520"/>
        <v>12</v>
      </c>
      <c r="D11131" s="136">
        <f t="shared" si="519"/>
        <v>50</v>
      </c>
      <c r="E11131" s="136">
        <f t="shared" si="521"/>
        <v>9</v>
      </c>
      <c r="F11131" s="137" t="s">
        <v>24</v>
      </c>
      <c r="G11131" s="128" t="str">
        <f>VLOOKUP(source[[#This Row],[lending_product_transform]],[3]Mapping!$B$4:$C$37,2,0)</f>
        <v>[Cake] - Cashloan</v>
      </c>
      <c r="H11131" s="128" t="str">
        <f>VLOOKUP(source[[#This Row],[lending_product_transform]],[3]Mapping!$B$3:$D$37,3,0)</f>
        <v>cashloan</v>
      </c>
      <c r="I11131" s="143">
        <v>109750000</v>
      </c>
    </row>
    <row r="11132" spans="1:9" x14ac:dyDescent="0.2">
      <c r="A11132" s="172">
        <v>46000</v>
      </c>
      <c r="B11132" s="135">
        <f>YEAR(source[[#This Row],[report_date]])</f>
        <v>2025</v>
      </c>
      <c r="C11132" s="128">
        <f t="shared" si="520"/>
        <v>12</v>
      </c>
      <c r="D11132" s="136">
        <f t="shared" si="519"/>
        <v>50</v>
      </c>
      <c r="E11132" s="136">
        <f t="shared" si="521"/>
        <v>9</v>
      </c>
      <c r="F11132" s="137" t="s">
        <v>24</v>
      </c>
      <c r="G11132" s="128" t="str">
        <f>VLOOKUP(source[[#This Row],[lending_product_transform]],[3]Mapping!$B$4:$C$37,2,0)</f>
        <v>[Cake] - Cashloan</v>
      </c>
      <c r="H11132" s="128" t="str">
        <f>VLOOKUP(source[[#This Row],[lending_product_transform]],[3]Mapping!$B$3:$D$37,3,0)</f>
        <v>cashloan</v>
      </c>
      <c r="I11132" s="143">
        <v>358859754</v>
      </c>
    </row>
    <row r="11133" spans="1:9" x14ac:dyDescent="0.2">
      <c r="A11133" s="172">
        <v>46000</v>
      </c>
      <c r="B11133" s="135">
        <f>YEAR(source[[#This Row],[report_date]])</f>
        <v>2025</v>
      </c>
      <c r="C11133" s="128">
        <f t="shared" si="520"/>
        <v>12</v>
      </c>
      <c r="D11133" s="136">
        <f t="shared" si="519"/>
        <v>50</v>
      </c>
      <c r="E11133" s="136">
        <f t="shared" si="521"/>
        <v>9</v>
      </c>
      <c r="F11133" s="137" t="s">
        <v>24</v>
      </c>
      <c r="G11133" s="128" t="str">
        <f>VLOOKUP(source[[#This Row],[lending_product_transform]],[3]Mapping!$B$4:$C$37,2,0)</f>
        <v>[Cake] - Cashloan</v>
      </c>
      <c r="H11133" s="128" t="str">
        <f>VLOOKUP(source[[#This Row],[lending_product_transform]],[3]Mapping!$B$3:$D$37,3,0)</f>
        <v>cashloan</v>
      </c>
      <c r="I11133" s="143">
        <v>20174000000</v>
      </c>
    </row>
    <row r="11134" spans="1:9" x14ac:dyDescent="0.2">
      <c r="A11134" s="172">
        <v>46000</v>
      </c>
      <c r="B11134" s="135">
        <f>YEAR(source[[#This Row],[report_date]])</f>
        <v>2025</v>
      </c>
      <c r="C11134" s="128">
        <f t="shared" si="520"/>
        <v>12</v>
      </c>
      <c r="D11134" s="136">
        <f t="shared" si="519"/>
        <v>50</v>
      </c>
      <c r="E11134" s="136">
        <f t="shared" si="521"/>
        <v>9</v>
      </c>
      <c r="F11134" s="137" t="s">
        <v>24</v>
      </c>
      <c r="G11134" s="128" t="str">
        <f>VLOOKUP(source[[#This Row],[lending_product_transform]],[3]Mapping!$B$4:$C$37,2,0)</f>
        <v>[Cake] - Cashloan</v>
      </c>
      <c r="H11134" s="128" t="str">
        <f>VLOOKUP(source[[#This Row],[lending_product_transform]],[3]Mapping!$B$3:$D$37,3,0)</f>
        <v>cashloan</v>
      </c>
      <c r="I11134" s="143">
        <v>2175770527</v>
      </c>
    </row>
    <row r="11135" spans="1:9" x14ac:dyDescent="0.2">
      <c r="A11135" s="172">
        <v>46000</v>
      </c>
      <c r="B11135" s="135">
        <f>YEAR(source[[#This Row],[report_date]])</f>
        <v>2025</v>
      </c>
      <c r="C11135" s="128">
        <f t="shared" si="520"/>
        <v>12</v>
      </c>
      <c r="D11135" s="136">
        <f t="shared" si="519"/>
        <v>50</v>
      </c>
      <c r="E11135" s="136">
        <f t="shared" si="521"/>
        <v>9</v>
      </c>
      <c r="F11135" s="137" t="s">
        <v>24</v>
      </c>
      <c r="G11135" s="128" t="str">
        <f>VLOOKUP(source[[#This Row],[lending_product_transform]],[3]Mapping!$B$4:$C$37,2,0)</f>
        <v>[Cake] - Cashloan</v>
      </c>
      <c r="H11135" s="128" t="str">
        <f>VLOOKUP(source[[#This Row],[lending_product_transform]],[3]Mapping!$B$3:$D$37,3,0)</f>
        <v>cashloan</v>
      </c>
      <c r="I11135" s="143">
        <v>11485260000</v>
      </c>
    </row>
    <row r="11136" spans="1:9" x14ac:dyDescent="0.2">
      <c r="A11136" s="172">
        <v>46000</v>
      </c>
      <c r="B11136" s="135">
        <f>YEAR(source[[#This Row],[report_date]])</f>
        <v>2025</v>
      </c>
      <c r="C11136" s="128">
        <f t="shared" si="520"/>
        <v>12</v>
      </c>
      <c r="D11136" s="136">
        <f t="shared" si="519"/>
        <v>50</v>
      </c>
      <c r="E11136" s="136">
        <f t="shared" si="521"/>
        <v>9</v>
      </c>
      <c r="F11136" s="137" t="s">
        <v>24</v>
      </c>
      <c r="G11136" s="128" t="str">
        <f>VLOOKUP(source[[#This Row],[lending_product_transform]],[3]Mapping!$B$4:$C$37,2,0)</f>
        <v>[Cake] - Cashloan</v>
      </c>
      <c r="H11136" s="128" t="str">
        <f>VLOOKUP(source[[#This Row],[lending_product_transform]],[3]Mapping!$B$3:$D$37,3,0)</f>
        <v>cashloan</v>
      </c>
      <c r="I11136" s="143">
        <v>25876644</v>
      </c>
    </row>
    <row r="11137" spans="1:9" x14ac:dyDescent="0.2">
      <c r="A11137" s="172">
        <v>46000</v>
      </c>
      <c r="B11137" s="135">
        <f>YEAR(source[[#This Row],[report_date]])</f>
        <v>2025</v>
      </c>
      <c r="C11137" s="128">
        <f t="shared" si="520"/>
        <v>12</v>
      </c>
      <c r="D11137" s="136">
        <f t="shared" si="519"/>
        <v>50</v>
      </c>
      <c r="E11137" s="136">
        <f t="shared" si="521"/>
        <v>9</v>
      </c>
      <c r="F11137" s="137" t="s">
        <v>24</v>
      </c>
      <c r="G11137" s="128" t="str">
        <f>VLOOKUP(source[[#This Row],[lending_product_transform]],[3]Mapping!$B$4:$C$37,2,0)</f>
        <v>[Cake] - Cashloan</v>
      </c>
      <c r="H11137" s="128" t="str">
        <f>VLOOKUP(source[[#This Row],[lending_product_transform]],[3]Mapping!$B$3:$D$37,3,0)</f>
        <v>cashloan</v>
      </c>
      <c r="I11137" s="143">
        <v>3541150000</v>
      </c>
    </row>
    <row r="11138" spans="1:9" x14ac:dyDescent="0.2">
      <c r="A11138" s="172">
        <v>46000</v>
      </c>
      <c r="B11138" s="135">
        <f>YEAR(source[[#This Row],[report_date]])</f>
        <v>2025</v>
      </c>
      <c r="C11138" s="128">
        <f t="shared" si="520"/>
        <v>12</v>
      </c>
      <c r="D11138" s="136">
        <f t="shared" si="519"/>
        <v>50</v>
      </c>
      <c r="E11138" s="136">
        <f t="shared" si="521"/>
        <v>9</v>
      </c>
      <c r="F11138" s="137" t="s">
        <v>24</v>
      </c>
      <c r="G11138" s="128" t="str">
        <f>VLOOKUP(source[[#This Row],[lending_product_transform]],[3]Mapping!$B$4:$C$37,2,0)</f>
        <v>[Cake] - Cashloan</v>
      </c>
      <c r="H11138" s="128" t="str">
        <f>VLOOKUP(source[[#This Row],[lending_product_transform]],[3]Mapping!$B$3:$D$37,3,0)</f>
        <v>cashloan</v>
      </c>
      <c r="I11138" s="143">
        <v>31166578</v>
      </c>
    </row>
    <row r="11139" spans="1:9" x14ac:dyDescent="0.2">
      <c r="A11139" s="172">
        <v>46000</v>
      </c>
      <c r="B11139" s="135">
        <f>YEAR(source[[#This Row],[report_date]])</f>
        <v>2025</v>
      </c>
      <c r="C11139" s="128">
        <f t="shared" si="520"/>
        <v>12</v>
      </c>
      <c r="D11139" s="136">
        <f t="shared" ref="D11139:D11202" si="522">WEEKNUM(A11139,2)</f>
        <v>50</v>
      </c>
      <c r="E11139" s="136">
        <f t="shared" si="521"/>
        <v>9</v>
      </c>
      <c r="F11139" s="137" t="s">
        <v>24</v>
      </c>
      <c r="G11139" s="128" t="str">
        <f>VLOOKUP(source[[#This Row],[lending_product_transform]],[3]Mapping!$B$4:$C$37,2,0)</f>
        <v>[Cake] - Cashloan</v>
      </c>
      <c r="H11139" s="128" t="str">
        <f>VLOOKUP(source[[#This Row],[lending_product_transform]],[3]Mapping!$B$3:$D$37,3,0)</f>
        <v>cashloan</v>
      </c>
      <c r="I11139" s="143">
        <v>921903683</v>
      </c>
    </row>
    <row r="11140" spans="1:9" x14ac:dyDescent="0.2">
      <c r="A11140" s="172">
        <v>46000</v>
      </c>
      <c r="B11140" s="135">
        <f>YEAR(source[[#This Row],[report_date]])</f>
        <v>2025</v>
      </c>
      <c r="C11140" s="128">
        <f t="shared" si="520"/>
        <v>12</v>
      </c>
      <c r="D11140" s="136">
        <f t="shared" si="522"/>
        <v>50</v>
      </c>
      <c r="E11140" s="136">
        <f t="shared" si="521"/>
        <v>9</v>
      </c>
      <c r="F11140" s="137" t="s">
        <v>24</v>
      </c>
      <c r="G11140" s="128" t="str">
        <f>VLOOKUP(source[[#This Row],[lending_product_transform]],[3]Mapping!$B$4:$C$37,2,0)</f>
        <v>[Cake] - Cashloan</v>
      </c>
      <c r="H11140" s="128" t="str">
        <f>VLOOKUP(source[[#This Row],[lending_product_transform]],[3]Mapping!$B$3:$D$37,3,0)</f>
        <v>cashloan</v>
      </c>
      <c r="I11140" s="143">
        <v>0</v>
      </c>
    </row>
    <row r="11141" spans="1:9" x14ac:dyDescent="0.2">
      <c r="A11141" s="172">
        <v>46000</v>
      </c>
      <c r="B11141" s="135">
        <f>YEAR(source[[#This Row],[report_date]])</f>
        <v>2025</v>
      </c>
      <c r="C11141" s="128">
        <f t="shared" si="520"/>
        <v>12</v>
      </c>
      <c r="D11141" s="136">
        <f t="shared" si="522"/>
        <v>50</v>
      </c>
      <c r="E11141" s="136">
        <f t="shared" si="521"/>
        <v>9</v>
      </c>
      <c r="F11141" s="137" t="s">
        <v>24</v>
      </c>
      <c r="G11141" s="128" t="str">
        <f>VLOOKUP(source[[#This Row],[lending_product_transform]],[3]Mapping!$B$4:$C$37,2,0)</f>
        <v>[Cake] - Cashloan</v>
      </c>
      <c r="H11141" s="128" t="str">
        <f>VLOOKUP(source[[#This Row],[lending_product_transform]],[3]Mapping!$B$3:$D$37,3,0)</f>
        <v>cashloan</v>
      </c>
      <c r="I11141" s="143">
        <v>427200000</v>
      </c>
    </row>
    <row r="11142" spans="1:9" x14ac:dyDescent="0.2">
      <c r="A11142" s="172">
        <v>46000</v>
      </c>
      <c r="B11142" s="135">
        <f>YEAR(source[[#This Row],[report_date]])</f>
        <v>2025</v>
      </c>
      <c r="C11142" s="128">
        <f t="shared" si="520"/>
        <v>12</v>
      </c>
      <c r="D11142" s="136">
        <f t="shared" si="522"/>
        <v>50</v>
      </c>
      <c r="E11142" s="136">
        <f t="shared" si="521"/>
        <v>9</v>
      </c>
      <c r="F11142" s="137" t="s">
        <v>24</v>
      </c>
      <c r="G11142" s="128" t="str">
        <f>VLOOKUP(source[[#This Row],[lending_product_transform]],[3]Mapping!$B$4:$C$37,2,0)</f>
        <v>[Cake] - Cashloan</v>
      </c>
      <c r="H11142" s="128" t="str">
        <f>VLOOKUP(source[[#This Row],[lending_product_transform]],[3]Mapping!$B$3:$D$37,3,0)</f>
        <v>cashloan</v>
      </c>
      <c r="I11142" s="143">
        <v>19009430000</v>
      </c>
    </row>
    <row r="11143" spans="1:9" x14ac:dyDescent="0.2">
      <c r="A11143" s="172">
        <v>46000</v>
      </c>
      <c r="B11143" s="135">
        <f>YEAR(source[[#This Row],[report_date]])</f>
        <v>2025</v>
      </c>
      <c r="C11143" s="128">
        <f t="shared" si="520"/>
        <v>12</v>
      </c>
      <c r="D11143" s="136">
        <f t="shared" si="522"/>
        <v>50</v>
      </c>
      <c r="E11143" s="136">
        <f t="shared" si="521"/>
        <v>9</v>
      </c>
      <c r="F11143" s="137" t="s">
        <v>24</v>
      </c>
      <c r="G11143" s="128" t="str">
        <f>VLOOKUP(source[[#This Row],[lending_product_transform]],[3]Mapping!$B$4:$C$37,2,0)</f>
        <v>[Cake] - Cashloan</v>
      </c>
      <c r="H11143" s="128" t="str">
        <f>VLOOKUP(source[[#This Row],[lending_product_transform]],[3]Mapping!$B$3:$D$37,3,0)</f>
        <v>cashloan</v>
      </c>
      <c r="I11143" s="143">
        <v>0</v>
      </c>
    </row>
    <row r="11144" spans="1:9" x14ac:dyDescent="0.2">
      <c r="A11144" s="172">
        <v>46000</v>
      </c>
      <c r="B11144" s="135">
        <f>YEAR(source[[#This Row],[report_date]])</f>
        <v>2025</v>
      </c>
      <c r="C11144" s="128">
        <f t="shared" si="520"/>
        <v>12</v>
      </c>
      <c r="D11144" s="136">
        <f t="shared" si="522"/>
        <v>50</v>
      </c>
      <c r="E11144" s="136">
        <f t="shared" si="521"/>
        <v>9</v>
      </c>
      <c r="F11144" s="137" t="s">
        <v>24</v>
      </c>
      <c r="G11144" s="128" t="str">
        <f>VLOOKUP(source[[#This Row],[lending_product_transform]],[3]Mapping!$B$4:$C$37,2,0)</f>
        <v>[Cake] - Cashloan</v>
      </c>
      <c r="H11144" s="128" t="str">
        <f>VLOOKUP(source[[#This Row],[lending_product_transform]],[3]Mapping!$B$3:$D$37,3,0)</f>
        <v>cashloan</v>
      </c>
      <c r="I11144" s="143">
        <v>0</v>
      </c>
    </row>
    <row r="11145" spans="1:9" x14ac:dyDescent="0.2">
      <c r="A11145" s="172">
        <v>46000</v>
      </c>
      <c r="B11145" s="135">
        <f>YEAR(source[[#This Row],[report_date]])</f>
        <v>2025</v>
      </c>
      <c r="C11145" s="128">
        <f t="shared" si="520"/>
        <v>12</v>
      </c>
      <c r="D11145" s="136">
        <f t="shared" si="522"/>
        <v>50</v>
      </c>
      <c r="E11145" s="136">
        <f t="shared" si="521"/>
        <v>9</v>
      </c>
      <c r="F11145" s="137" t="s">
        <v>24</v>
      </c>
      <c r="G11145" s="128" t="str">
        <f>VLOOKUP(source[[#This Row],[lending_product_transform]],[3]Mapping!$B$4:$C$37,2,0)</f>
        <v>[Cake] - Cashloan</v>
      </c>
      <c r="H11145" s="128" t="str">
        <f>VLOOKUP(source[[#This Row],[lending_product_transform]],[3]Mapping!$B$3:$D$37,3,0)</f>
        <v>cashloan</v>
      </c>
      <c r="I11145" s="143">
        <v>0</v>
      </c>
    </row>
    <row r="11146" spans="1:9" x14ac:dyDescent="0.2">
      <c r="A11146" s="172">
        <v>46000</v>
      </c>
      <c r="B11146" s="135">
        <f>YEAR(source[[#This Row],[report_date]])</f>
        <v>2025</v>
      </c>
      <c r="C11146" s="128">
        <f t="shared" si="520"/>
        <v>12</v>
      </c>
      <c r="D11146" s="136">
        <f t="shared" si="522"/>
        <v>50</v>
      </c>
      <c r="E11146" s="136">
        <f t="shared" si="521"/>
        <v>9</v>
      </c>
      <c r="F11146" s="137" t="s">
        <v>24</v>
      </c>
      <c r="G11146" s="128" t="str">
        <f>VLOOKUP(source[[#This Row],[lending_product_transform]],[3]Mapping!$B$4:$C$37,2,0)</f>
        <v>[Cake] - Cashloan</v>
      </c>
      <c r="H11146" s="128" t="str">
        <f>VLOOKUP(source[[#This Row],[lending_product_transform]],[3]Mapping!$B$3:$D$37,3,0)</f>
        <v>cashloan</v>
      </c>
      <c r="I11146" s="143">
        <v>0</v>
      </c>
    </row>
    <row r="11147" spans="1:9" x14ac:dyDescent="0.2">
      <c r="A11147" s="172">
        <v>46000</v>
      </c>
      <c r="B11147" s="135">
        <f>YEAR(source[[#This Row],[report_date]])</f>
        <v>2025</v>
      </c>
      <c r="C11147" s="128">
        <f t="shared" si="520"/>
        <v>12</v>
      </c>
      <c r="D11147" s="136">
        <f t="shared" si="522"/>
        <v>50</v>
      </c>
      <c r="E11147" s="136">
        <f t="shared" si="521"/>
        <v>9</v>
      </c>
      <c r="F11147" s="137" t="s">
        <v>24</v>
      </c>
      <c r="G11147" s="128" t="str">
        <f>VLOOKUP(source[[#This Row],[lending_product_transform]],[3]Mapping!$B$4:$C$37,2,0)</f>
        <v>[Cake] - Cashloan</v>
      </c>
      <c r="H11147" s="128" t="str">
        <f>VLOOKUP(source[[#This Row],[lending_product_transform]],[3]Mapping!$B$3:$D$37,3,0)</f>
        <v>cashloan</v>
      </c>
      <c r="I11147" s="143">
        <v>8877816000</v>
      </c>
    </row>
    <row r="11148" spans="1:9" x14ac:dyDescent="0.2">
      <c r="A11148" s="172">
        <v>46000</v>
      </c>
      <c r="B11148" s="135">
        <f>YEAR(source[[#This Row],[report_date]])</f>
        <v>2025</v>
      </c>
      <c r="C11148" s="128">
        <f t="shared" si="520"/>
        <v>12</v>
      </c>
      <c r="D11148" s="136">
        <f t="shared" si="522"/>
        <v>50</v>
      </c>
      <c r="E11148" s="136">
        <f t="shared" si="521"/>
        <v>9</v>
      </c>
      <c r="F11148" s="137" t="s">
        <v>24</v>
      </c>
      <c r="G11148" s="128" t="str">
        <f>VLOOKUP(source[[#This Row],[lending_product_transform]],[3]Mapping!$B$4:$C$37,2,0)</f>
        <v>[Cake] - Cashloan</v>
      </c>
      <c r="H11148" s="128" t="str">
        <f>VLOOKUP(source[[#This Row],[lending_product_transform]],[3]Mapping!$B$3:$D$37,3,0)</f>
        <v>cashloan</v>
      </c>
      <c r="I11148" s="143">
        <v>319497699</v>
      </c>
    </row>
    <row r="11149" spans="1:9" x14ac:dyDescent="0.2">
      <c r="A11149" s="172">
        <v>46000</v>
      </c>
      <c r="B11149" s="135">
        <f>YEAR(source[[#This Row],[report_date]])</f>
        <v>2025</v>
      </c>
      <c r="C11149" s="128">
        <f t="shared" si="520"/>
        <v>12</v>
      </c>
      <c r="D11149" s="136">
        <f t="shared" si="522"/>
        <v>50</v>
      </c>
      <c r="E11149" s="136">
        <f t="shared" si="521"/>
        <v>9</v>
      </c>
      <c r="F11149" s="137" t="s">
        <v>24</v>
      </c>
      <c r="G11149" s="128" t="str">
        <f>VLOOKUP(source[[#This Row],[lending_product_transform]],[3]Mapping!$B$4:$C$37,2,0)</f>
        <v>[Cake] - Cashloan</v>
      </c>
      <c r="H11149" s="128" t="str">
        <f>VLOOKUP(source[[#This Row],[lending_product_transform]],[3]Mapping!$B$3:$D$37,3,0)</f>
        <v>cashloan</v>
      </c>
      <c r="I11149" s="143">
        <v>0</v>
      </c>
    </row>
    <row r="11150" spans="1:9" x14ac:dyDescent="0.2">
      <c r="A11150" s="172">
        <v>46000</v>
      </c>
      <c r="B11150" s="135">
        <f>YEAR(source[[#This Row],[report_date]])</f>
        <v>2025</v>
      </c>
      <c r="C11150" s="128">
        <f t="shared" si="520"/>
        <v>12</v>
      </c>
      <c r="D11150" s="136">
        <f t="shared" si="522"/>
        <v>50</v>
      </c>
      <c r="E11150" s="136">
        <f t="shared" si="521"/>
        <v>9</v>
      </c>
      <c r="F11150" s="137" t="s">
        <v>24</v>
      </c>
      <c r="G11150" s="128" t="str">
        <f>VLOOKUP(source[[#This Row],[lending_product_transform]],[3]Mapping!$B$4:$C$37,2,0)</f>
        <v>[Cake] - Cashloan</v>
      </c>
      <c r="H11150" s="128" t="str">
        <f>VLOOKUP(source[[#This Row],[lending_product_transform]],[3]Mapping!$B$3:$D$37,3,0)</f>
        <v>cashloan</v>
      </c>
      <c r="I11150" s="143">
        <v>18000000</v>
      </c>
    </row>
    <row r="11151" spans="1:9" x14ac:dyDescent="0.2">
      <c r="A11151" s="172">
        <v>46000</v>
      </c>
      <c r="B11151" s="135">
        <f>YEAR(source[[#This Row],[report_date]])</f>
        <v>2025</v>
      </c>
      <c r="C11151" s="128">
        <f t="shared" si="520"/>
        <v>12</v>
      </c>
      <c r="D11151" s="136">
        <f t="shared" si="522"/>
        <v>50</v>
      </c>
      <c r="E11151" s="136">
        <f t="shared" si="521"/>
        <v>9</v>
      </c>
      <c r="F11151" s="137" t="s">
        <v>24</v>
      </c>
      <c r="G11151" s="128" t="str">
        <f>VLOOKUP(source[[#This Row],[lending_product_transform]],[3]Mapping!$B$4:$C$37,2,0)</f>
        <v>[Cake] - Cashloan</v>
      </c>
      <c r="H11151" s="128" t="str">
        <f>VLOOKUP(source[[#This Row],[lending_product_transform]],[3]Mapping!$B$3:$D$37,3,0)</f>
        <v>cashloan</v>
      </c>
      <c r="I11151" s="143">
        <v>310930000</v>
      </c>
    </row>
    <row r="11152" spans="1:9" x14ac:dyDescent="0.2">
      <c r="A11152" s="172">
        <v>46000</v>
      </c>
      <c r="B11152" s="135">
        <f>YEAR(source[[#This Row],[report_date]])</f>
        <v>2025</v>
      </c>
      <c r="C11152" s="128">
        <f t="shared" si="520"/>
        <v>12</v>
      </c>
      <c r="D11152" s="136">
        <f t="shared" si="522"/>
        <v>50</v>
      </c>
      <c r="E11152" s="136">
        <f t="shared" si="521"/>
        <v>9</v>
      </c>
      <c r="F11152" s="137" t="s">
        <v>24</v>
      </c>
      <c r="G11152" s="128" t="str">
        <f>VLOOKUP(source[[#This Row],[lending_product_transform]],[3]Mapping!$B$4:$C$37,2,0)</f>
        <v>[Cake] - Cashloan</v>
      </c>
      <c r="H11152" s="128" t="str">
        <f>VLOOKUP(source[[#This Row],[lending_product_transform]],[3]Mapping!$B$3:$D$37,3,0)</f>
        <v>cashloan</v>
      </c>
      <c r="I11152" s="143">
        <v>178308000</v>
      </c>
    </row>
    <row r="11153" spans="1:9" x14ac:dyDescent="0.2">
      <c r="A11153" s="172">
        <v>46000</v>
      </c>
      <c r="B11153" s="135">
        <f>YEAR(source[[#This Row],[report_date]])</f>
        <v>2025</v>
      </c>
      <c r="C11153" s="128">
        <f t="shared" si="520"/>
        <v>12</v>
      </c>
      <c r="D11153" s="136">
        <f t="shared" si="522"/>
        <v>50</v>
      </c>
      <c r="E11153" s="136">
        <f t="shared" si="521"/>
        <v>9</v>
      </c>
      <c r="F11153" s="137" t="s">
        <v>24</v>
      </c>
      <c r="G11153" s="128" t="str">
        <f>VLOOKUP(source[[#This Row],[lending_product_transform]],[3]Mapping!$B$4:$C$37,2,0)</f>
        <v>[Cake] - Cashloan</v>
      </c>
      <c r="H11153" s="128" t="str">
        <f>VLOOKUP(source[[#This Row],[lending_product_transform]],[3]Mapping!$B$3:$D$37,3,0)</f>
        <v>cashloan</v>
      </c>
      <c r="I11153" s="143">
        <v>539868367</v>
      </c>
    </row>
    <row r="11154" spans="1:9" x14ac:dyDescent="0.2">
      <c r="A11154" s="172">
        <v>46000</v>
      </c>
      <c r="B11154" s="135">
        <f>YEAR(source[[#This Row],[report_date]])</f>
        <v>2025</v>
      </c>
      <c r="C11154" s="128">
        <f t="shared" si="520"/>
        <v>12</v>
      </c>
      <c r="D11154" s="136">
        <f t="shared" si="522"/>
        <v>50</v>
      </c>
      <c r="E11154" s="136">
        <f t="shared" si="521"/>
        <v>9</v>
      </c>
      <c r="F11154" s="137" t="s">
        <v>24</v>
      </c>
      <c r="G11154" s="128" t="str">
        <f>VLOOKUP(source[[#This Row],[lending_product_transform]],[3]Mapping!$B$4:$C$37,2,0)</f>
        <v>[Cake] - Cashloan</v>
      </c>
      <c r="H11154" s="128" t="str">
        <f>VLOOKUP(source[[#This Row],[lending_product_transform]],[3]Mapping!$B$3:$D$37,3,0)</f>
        <v>cashloan</v>
      </c>
      <c r="I11154" s="143">
        <v>4013940000</v>
      </c>
    </row>
    <row r="11155" spans="1:9" x14ac:dyDescent="0.2">
      <c r="A11155" s="172">
        <v>46001</v>
      </c>
      <c r="B11155" s="135">
        <f>YEAR(source[[#This Row],[report_date]])</f>
        <v>2025</v>
      </c>
      <c r="C11155" s="128">
        <f t="shared" si="520"/>
        <v>12</v>
      </c>
      <c r="D11155" s="136">
        <f t="shared" si="522"/>
        <v>50</v>
      </c>
      <c r="E11155" s="136">
        <f t="shared" si="521"/>
        <v>10</v>
      </c>
      <c r="F11155" s="137" t="s">
        <v>24</v>
      </c>
      <c r="G11155" s="128" t="str">
        <f>VLOOKUP(source[[#This Row],[lending_product_transform]],[3]Mapping!$B$4:$C$37,2,0)</f>
        <v>[Cake] - Cashloan</v>
      </c>
      <c r="H11155" s="128" t="str">
        <f>VLOOKUP(source[[#This Row],[lending_product_transform]],[3]Mapping!$B$3:$D$37,3,0)</f>
        <v>cashloan</v>
      </c>
      <c r="I11155" s="143">
        <v>175000000</v>
      </c>
    </row>
    <row r="11156" spans="1:9" x14ac:dyDescent="0.2">
      <c r="A11156" s="172">
        <v>46001</v>
      </c>
      <c r="B11156" s="135">
        <f>YEAR(source[[#This Row],[report_date]])</f>
        <v>2025</v>
      </c>
      <c r="C11156" s="128">
        <f t="shared" si="520"/>
        <v>12</v>
      </c>
      <c r="D11156" s="136">
        <f t="shared" si="522"/>
        <v>50</v>
      </c>
      <c r="E11156" s="136">
        <f t="shared" si="521"/>
        <v>10</v>
      </c>
      <c r="F11156" s="137" t="s">
        <v>24</v>
      </c>
      <c r="G11156" s="128" t="str">
        <f>VLOOKUP(source[[#This Row],[lending_product_transform]],[3]Mapping!$B$4:$C$37,2,0)</f>
        <v>[Cake] - Cashloan</v>
      </c>
      <c r="H11156" s="128" t="str">
        <f>VLOOKUP(source[[#This Row],[lending_product_transform]],[3]Mapping!$B$3:$D$37,3,0)</f>
        <v>cashloan</v>
      </c>
      <c r="I11156" s="143">
        <v>367505331</v>
      </c>
    </row>
    <row r="11157" spans="1:9" x14ac:dyDescent="0.2">
      <c r="A11157" s="172">
        <v>46001</v>
      </c>
      <c r="B11157" s="135">
        <f>YEAR(source[[#This Row],[report_date]])</f>
        <v>2025</v>
      </c>
      <c r="C11157" s="128">
        <f t="shared" si="520"/>
        <v>12</v>
      </c>
      <c r="D11157" s="136">
        <f t="shared" si="522"/>
        <v>50</v>
      </c>
      <c r="E11157" s="136">
        <f t="shared" si="521"/>
        <v>10</v>
      </c>
      <c r="F11157" s="137" t="s">
        <v>24</v>
      </c>
      <c r="G11157" s="128" t="str">
        <f>VLOOKUP(source[[#This Row],[lending_product_transform]],[3]Mapping!$B$4:$C$37,2,0)</f>
        <v>[Cake] - Cashloan</v>
      </c>
      <c r="H11157" s="128" t="str">
        <f>VLOOKUP(source[[#This Row],[lending_product_transform]],[3]Mapping!$B$3:$D$37,3,0)</f>
        <v>cashloan</v>
      </c>
      <c r="I11157" s="143">
        <v>20631690000</v>
      </c>
    </row>
    <row r="11158" spans="1:9" x14ac:dyDescent="0.2">
      <c r="A11158" s="172">
        <v>46001</v>
      </c>
      <c r="B11158" s="135">
        <f>YEAR(source[[#This Row],[report_date]])</f>
        <v>2025</v>
      </c>
      <c r="C11158" s="128">
        <f t="shared" si="520"/>
        <v>12</v>
      </c>
      <c r="D11158" s="136">
        <f t="shared" si="522"/>
        <v>50</v>
      </c>
      <c r="E11158" s="136">
        <f t="shared" si="521"/>
        <v>10</v>
      </c>
      <c r="F11158" s="137" t="s">
        <v>24</v>
      </c>
      <c r="G11158" s="128" t="str">
        <f>VLOOKUP(source[[#This Row],[lending_product_transform]],[3]Mapping!$B$4:$C$37,2,0)</f>
        <v>[Cake] - Cashloan</v>
      </c>
      <c r="H11158" s="128" t="str">
        <f>VLOOKUP(source[[#This Row],[lending_product_transform]],[3]Mapping!$B$3:$D$37,3,0)</f>
        <v>cashloan</v>
      </c>
      <c r="I11158" s="143">
        <v>2879127784</v>
      </c>
    </row>
    <row r="11159" spans="1:9" x14ac:dyDescent="0.2">
      <c r="A11159" s="172">
        <v>46001</v>
      </c>
      <c r="B11159" s="135">
        <f>YEAR(source[[#This Row],[report_date]])</f>
        <v>2025</v>
      </c>
      <c r="C11159" s="128">
        <f t="shared" si="520"/>
        <v>12</v>
      </c>
      <c r="D11159" s="136">
        <f t="shared" si="522"/>
        <v>50</v>
      </c>
      <c r="E11159" s="136">
        <f t="shared" si="521"/>
        <v>10</v>
      </c>
      <c r="F11159" s="137" t="s">
        <v>24</v>
      </c>
      <c r="G11159" s="128" t="str">
        <f>VLOOKUP(source[[#This Row],[lending_product_transform]],[3]Mapping!$B$4:$C$37,2,0)</f>
        <v>[Cake] - Cashloan</v>
      </c>
      <c r="H11159" s="128" t="str">
        <f>VLOOKUP(source[[#This Row],[lending_product_transform]],[3]Mapping!$B$3:$D$37,3,0)</f>
        <v>cashloan</v>
      </c>
      <c r="I11159" s="143">
        <v>15310728000</v>
      </c>
    </row>
    <row r="11160" spans="1:9" x14ac:dyDescent="0.2">
      <c r="A11160" s="172">
        <v>46001</v>
      </c>
      <c r="B11160" s="135">
        <f>YEAR(source[[#This Row],[report_date]])</f>
        <v>2025</v>
      </c>
      <c r="C11160" s="128">
        <f t="shared" si="520"/>
        <v>12</v>
      </c>
      <c r="D11160" s="136">
        <f t="shared" si="522"/>
        <v>50</v>
      </c>
      <c r="E11160" s="136">
        <f t="shared" si="521"/>
        <v>10</v>
      </c>
      <c r="F11160" s="137" t="s">
        <v>24</v>
      </c>
      <c r="G11160" s="128" t="str">
        <f>VLOOKUP(source[[#This Row],[lending_product_transform]],[3]Mapping!$B$4:$C$37,2,0)</f>
        <v>[Cake] - Cashloan</v>
      </c>
      <c r="H11160" s="128" t="str">
        <f>VLOOKUP(source[[#This Row],[lending_product_transform]],[3]Mapping!$B$3:$D$37,3,0)</f>
        <v>cashloan</v>
      </c>
      <c r="I11160" s="143">
        <v>16624794</v>
      </c>
    </row>
    <row r="11161" spans="1:9" x14ac:dyDescent="0.2">
      <c r="A11161" s="172">
        <v>46001</v>
      </c>
      <c r="B11161" s="135">
        <f>YEAR(source[[#This Row],[report_date]])</f>
        <v>2025</v>
      </c>
      <c r="C11161" s="128">
        <f t="shared" si="520"/>
        <v>12</v>
      </c>
      <c r="D11161" s="136">
        <f t="shared" si="522"/>
        <v>50</v>
      </c>
      <c r="E11161" s="136">
        <f t="shared" si="521"/>
        <v>10</v>
      </c>
      <c r="F11161" s="137" t="s">
        <v>24</v>
      </c>
      <c r="G11161" s="128" t="str">
        <f>VLOOKUP(source[[#This Row],[lending_product_transform]],[3]Mapping!$B$4:$C$37,2,0)</f>
        <v>[Cake] - Cashloan</v>
      </c>
      <c r="H11161" s="128" t="str">
        <f>VLOOKUP(source[[#This Row],[lending_product_transform]],[3]Mapping!$B$3:$D$37,3,0)</f>
        <v>cashloan</v>
      </c>
      <c r="I11161" s="143">
        <v>4755030000</v>
      </c>
    </row>
    <row r="11162" spans="1:9" x14ac:dyDescent="0.2">
      <c r="A11162" s="172">
        <v>46001</v>
      </c>
      <c r="B11162" s="135">
        <f>YEAR(source[[#This Row],[report_date]])</f>
        <v>2025</v>
      </c>
      <c r="C11162" s="128">
        <f t="shared" si="520"/>
        <v>12</v>
      </c>
      <c r="D11162" s="136">
        <f t="shared" si="522"/>
        <v>50</v>
      </c>
      <c r="E11162" s="136">
        <f t="shared" si="521"/>
        <v>10</v>
      </c>
      <c r="F11162" s="137" t="s">
        <v>24</v>
      </c>
      <c r="G11162" s="128" t="str">
        <f>VLOOKUP(source[[#This Row],[lending_product_transform]],[3]Mapping!$B$4:$C$37,2,0)</f>
        <v>[Cake] - Cashloan</v>
      </c>
      <c r="H11162" s="128" t="str">
        <f>VLOOKUP(source[[#This Row],[lending_product_transform]],[3]Mapping!$B$3:$D$37,3,0)</f>
        <v>cashloan</v>
      </c>
      <c r="I11162" s="143">
        <v>19221396</v>
      </c>
    </row>
    <row r="11163" spans="1:9" x14ac:dyDescent="0.2">
      <c r="A11163" s="172">
        <v>46001</v>
      </c>
      <c r="B11163" s="135">
        <f>YEAR(source[[#This Row],[report_date]])</f>
        <v>2025</v>
      </c>
      <c r="C11163" s="128">
        <f t="shared" si="520"/>
        <v>12</v>
      </c>
      <c r="D11163" s="136">
        <f t="shared" si="522"/>
        <v>50</v>
      </c>
      <c r="E11163" s="136">
        <f t="shared" si="521"/>
        <v>10</v>
      </c>
      <c r="F11163" s="137" t="s">
        <v>24</v>
      </c>
      <c r="G11163" s="128" t="str">
        <f>VLOOKUP(source[[#This Row],[lending_product_transform]],[3]Mapping!$B$4:$C$37,2,0)</f>
        <v>[Cake] - Cashloan</v>
      </c>
      <c r="H11163" s="128" t="str">
        <f>VLOOKUP(source[[#This Row],[lending_product_transform]],[3]Mapping!$B$3:$D$37,3,0)</f>
        <v>cashloan</v>
      </c>
      <c r="I11163" s="143">
        <v>778858486</v>
      </c>
    </row>
    <row r="11164" spans="1:9" x14ac:dyDescent="0.2">
      <c r="A11164" s="172">
        <v>46001</v>
      </c>
      <c r="B11164" s="135">
        <f>YEAR(source[[#This Row],[report_date]])</f>
        <v>2025</v>
      </c>
      <c r="C11164" s="128">
        <f t="shared" si="520"/>
        <v>12</v>
      </c>
      <c r="D11164" s="136">
        <f t="shared" si="522"/>
        <v>50</v>
      </c>
      <c r="E11164" s="136">
        <f t="shared" si="521"/>
        <v>10</v>
      </c>
      <c r="F11164" s="137" t="s">
        <v>24</v>
      </c>
      <c r="G11164" s="128" t="str">
        <f>VLOOKUP(source[[#This Row],[lending_product_transform]],[3]Mapping!$B$4:$C$37,2,0)</f>
        <v>[Cake] - Cashloan</v>
      </c>
      <c r="H11164" s="128" t="str">
        <f>VLOOKUP(source[[#This Row],[lending_product_transform]],[3]Mapping!$B$3:$D$37,3,0)</f>
        <v>cashloan</v>
      </c>
      <c r="I11164" s="143">
        <v>0</v>
      </c>
    </row>
    <row r="11165" spans="1:9" x14ac:dyDescent="0.2">
      <c r="A11165" s="172">
        <v>46001</v>
      </c>
      <c r="B11165" s="135">
        <f>YEAR(source[[#This Row],[report_date]])</f>
        <v>2025</v>
      </c>
      <c r="C11165" s="128">
        <f t="shared" si="520"/>
        <v>12</v>
      </c>
      <c r="D11165" s="136">
        <f t="shared" si="522"/>
        <v>50</v>
      </c>
      <c r="E11165" s="136">
        <f t="shared" si="521"/>
        <v>10</v>
      </c>
      <c r="F11165" s="137" t="s">
        <v>24</v>
      </c>
      <c r="G11165" s="128" t="str">
        <f>VLOOKUP(source[[#This Row],[lending_product_transform]],[3]Mapping!$B$4:$C$37,2,0)</f>
        <v>[Cake] - Cashloan</v>
      </c>
      <c r="H11165" s="128" t="str">
        <f>VLOOKUP(source[[#This Row],[lending_product_transform]],[3]Mapping!$B$3:$D$37,3,0)</f>
        <v>cashloan</v>
      </c>
      <c r="I11165" s="143">
        <v>748250000</v>
      </c>
    </row>
    <row r="11166" spans="1:9" x14ac:dyDescent="0.2">
      <c r="A11166" s="172">
        <v>46001</v>
      </c>
      <c r="B11166" s="135">
        <f>YEAR(source[[#This Row],[report_date]])</f>
        <v>2025</v>
      </c>
      <c r="C11166" s="128">
        <f t="shared" si="520"/>
        <v>12</v>
      </c>
      <c r="D11166" s="136">
        <f t="shared" si="522"/>
        <v>50</v>
      </c>
      <c r="E11166" s="136">
        <f t="shared" si="521"/>
        <v>10</v>
      </c>
      <c r="F11166" s="137" t="s">
        <v>24</v>
      </c>
      <c r="G11166" s="128" t="str">
        <f>VLOOKUP(source[[#This Row],[lending_product_transform]],[3]Mapping!$B$4:$C$37,2,0)</f>
        <v>[Cake] - Cashloan</v>
      </c>
      <c r="H11166" s="128" t="str">
        <f>VLOOKUP(source[[#This Row],[lending_product_transform]],[3]Mapping!$B$3:$D$37,3,0)</f>
        <v>cashloan</v>
      </c>
      <c r="I11166" s="143">
        <v>20124000000</v>
      </c>
    </row>
    <row r="11167" spans="1:9" x14ac:dyDescent="0.2">
      <c r="A11167" s="172">
        <v>46001</v>
      </c>
      <c r="B11167" s="135">
        <f>YEAR(source[[#This Row],[report_date]])</f>
        <v>2025</v>
      </c>
      <c r="C11167" s="128">
        <f t="shared" si="520"/>
        <v>12</v>
      </c>
      <c r="D11167" s="136">
        <f t="shared" si="522"/>
        <v>50</v>
      </c>
      <c r="E11167" s="136">
        <f t="shared" si="521"/>
        <v>10</v>
      </c>
      <c r="F11167" s="137" t="s">
        <v>24</v>
      </c>
      <c r="G11167" s="128" t="str">
        <f>VLOOKUP(source[[#This Row],[lending_product_transform]],[3]Mapping!$B$4:$C$37,2,0)</f>
        <v>[Cake] - Cashloan</v>
      </c>
      <c r="H11167" s="128" t="str">
        <f>VLOOKUP(source[[#This Row],[lending_product_transform]],[3]Mapping!$B$3:$D$37,3,0)</f>
        <v>cashloan</v>
      </c>
      <c r="I11167" s="143">
        <v>0</v>
      </c>
    </row>
    <row r="11168" spans="1:9" x14ac:dyDescent="0.2">
      <c r="A11168" s="172">
        <v>46001</v>
      </c>
      <c r="B11168" s="135">
        <f>YEAR(source[[#This Row],[report_date]])</f>
        <v>2025</v>
      </c>
      <c r="C11168" s="128">
        <f t="shared" si="520"/>
        <v>12</v>
      </c>
      <c r="D11168" s="136">
        <f t="shared" si="522"/>
        <v>50</v>
      </c>
      <c r="E11168" s="136">
        <f t="shared" si="521"/>
        <v>10</v>
      </c>
      <c r="F11168" s="137" t="s">
        <v>24</v>
      </c>
      <c r="G11168" s="128" t="str">
        <f>VLOOKUP(source[[#This Row],[lending_product_transform]],[3]Mapping!$B$4:$C$37,2,0)</f>
        <v>[Cake] - Cashloan</v>
      </c>
      <c r="H11168" s="128" t="str">
        <f>VLOOKUP(source[[#This Row],[lending_product_transform]],[3]Mapping!$B$3:$D$37,3,0)</f>
        <v>cashloan</v>
      </c>
      <c r="I11168" s="143">
        <v>0</v>
      </c>
    </row>
    <row r="11169" spans="1:9" x14ac:dyDescent="0.2">
      <c r="A11169" s="172">
        <v>46001</v>
      </c>
      <c r="B11169" s="135">
        <f>YEAR(source[[#This Row],[report_date]])</f>
        <v>2025</v>
      </c>
      <c r="C11169" s="128">
        <f t="shared" si="520"/>
        <v>12</v>
      </c>
      <c r="D11169" s="136">
        <f t="shared" si="522"/>
        <v>50</v>
      </c>
      <c r="E11169" s="136">
        <f t="shared" si="521"/>
        <v>10</v>
      </c>
      <c r="F11169" s="137" t="s">
        <v>24</v>
      </c>
      <c r="G11169" s="128" t="str">
        <f>VLOOKUP(source[[#This Row],[lending_product_transform]],[3]Mapping!$B$4:$C$37,2,0)</f>
        <v>[Cake] - Cashloan</v>
      </c>
      <c r="H11169" s="128" t="str">
        <f>VLOOKUP(source[[#This Row],[lending_product_transform]],[3]Mapping!$B$3:$D$37,3,0)</f>
        <v>cashloan</v>
      </c>
      <c r="I11169" s="143">
        <v>0</v>
      </c>
    </row>
    <row r="11170" spans="1:9" x14ac:dyDescent="0.2">
      <c r="A11170" s="172">
        <v>46001</v>
      </c>
      <c r="B11170" s="135">
        <f>YEAR(source[[#This Row],[report_date]])</f>
        <v>2025</v>
      </c>
      <c r="C11170" s="128">
        <f t="shared" si="520"/>
        <v>12</v>
      </c>
      <c r="D11170" s="136">
        <f t="shared" si="522"/>
        <v>50</v>
      </c>
      <c r="E11170" s="136">
        <f t="shared" si="521"/>
        <v>10</v>
      </c>
      <c r="F11170" s="137" t="s">
        <v>24</v>
      </c>
      <c r="G11170" s="128" t="str">
        <f>VLOOKUP(source[[#This Row],[lending_product_transform]],[3]Mapping!$B$4:$C$37,2,0)</f>
        <v>[Cake] - Cashloan</v>
      </c>
      <c r="H11170" s="128" t="str">
        <f>VLOOKUP(source[[#This Row],[lending_product_transform]],[3]Mapping!$B$3:$D$37,3,0)</f>
        <v>cashloan</v>
      </c>
      <c r="I11170" s="143">
        <v>21400000</v>
      </c>
    </row>
    <row r="11171" spans="1:9" x14ac:dyDescent="0.2">
      <c r="A11171" s="172">
        <v>46001</v>
      </c>
      <c r="B11171" s="135">
        <f>YEAR(source[[#This Row],[report_date]])</f>
        <v>2025</v>
      </c>
      <c r="C11171" s="128">
        <f t="shared" si="520"/>
        <v>12</v>
      </c>
      <c r="D11171" s="136">
        <f t="shared" si="522"/>
        <v>50</v>
      </c>
      <c r="E11171" s="136">
        <f t="shared" si="521"/>
        <v>10</v>
      </c>
      <c r="F11171" s="137" t="s">
        <v>24</v>
      </c>
      <c r="G11171" s="128" t="str">
        <f>VLOOKUP(source[[#This Row],[lending_product_transform]],[3]Mapping!$B$4:$C$37,2,0)</f>
        <v>[Cake] - Cashloan</v>
      </c>
      <c r="H11171" s="128" t="str">
        <f>VLOOKUP(source[[#This Row],[lending_product_transform]],[3]Mapping!$B$3:$D$37,3,0)</f>
        <v>cashloan</v>
      </c>
      <c r="I11171" s="143">
        <v>13402692000</v>
      </c>
    </row>
    <row r="11172" spans="1:9" x14ac:dyDescent="0.2">
      <c r="A11172" s="172">
        <v>46001</v>
      </c>
      <c r="B11172" s="135">
        <f>YEAR(source[[#This Row],[report_date]])</f>
        <v>2025</v>
      </c>
      <c r="C11172" s="128">
        <f t="shared" si="520"/>
        <v>12</v>
      </c>
      <c r="D11172" s="136">
        <f t="shared" si="522"/>
        <v>50</v>
      </c>
      <c r="E11172" s="136">
        <f t="shared" si="521"/>
        <v>10</v>
      </c>
      <c r="F11172" s="137" t="s">
        <v>24</v>
      </c>
      <c r="G11172" s="128" t="str">
        <f>VLOOKUP(source[[#This Row],[lending_product_transform]],[3]Mapping!$B$4:$C$37,2,0)</f>
        <v>[Cake] - Cashloan</v>
      </c>
      <c r="H11172" s="128" t="str">
        <f>VLOOKUP(source[[#This Row],[lending_product_transform]],[3]Mapping!$B$3:$D$37,3,0)</f>
        <v>cashloan</v>
      </c>
      <c r="I11172" s="143">
        <v>277558348</v>
      </c>
    </row>
    <row r="11173" spans="1:9" x14ac:dyDescent="0.2">
      <c r="A11173" s="172">
        <v>46001</v>
      </c>
      <c r="B11173" s="135">
        <f>YEAR(source[[#This Row],[report_date]])</f>
        <v>2025</v>
      </c>
      <c r="C11173" s="128">
        <f t="shared" si="520"/>
        <v>12</v>
      </c>
      <c r="D11173" s="136">
        <f t="shared" si="522"/>
        <v>50</v>
      </c>
      <c r="E11173" s="136">
        <f t="shared" si="521"/>
        <v>10</v>
      </c>
      <c r="F11173" s="137" t="s">
        <v>24</v>
      </c>
      <c r="G11173" s="128" t="str">
        <f>VLOOKUP(source[[#This Row],[lending_product_transform]],[3]Mapping!$B$4:$C$37,2,0)</f>
        <v>[Cake] - Cashloan</v>
      </c>
      <c r="H11173" s="128" t="str">
        <f>VLOOKUP(source[[#This Row],[lending_product_transform]],[3]Mapping!$B$3:$D$37,3,0)</f>
        <v>cashloan</v>
      </c>
      <c r="I11173" s="143">
        <v>41000000</v>
      </c>
    </row>
    <row r="11174" spans="1:9" x14ac:dyDescent="0.2">
      <c r="A11174" s="172">
        <v>46001</v>
      </c>
      <c r="B11174" s="135">
        <f>YEAR(source[[#This Row],[report_date]])</f>
        <v>2025</v>
      </c>
      <c r="C11174" s="128">
        <f t="shared" si="520"/>
        <v>12</v>
      </c>
      <c r="D11174" s="136">
        <f t="shared" si="522"/>
        <v>50</v>
      </c>
      <c r="E11174" s="136">
        <f t="shared" si="521"/>
        <v>10</v>
      </c>
      <c r="F11174" s="137" t="s">
        <v>24</v>
      </c>
      <c r="G11174" s="128" t="str">
        <f>VLOOKUP(source[[#This Row],[lending_product_transform]],[3]Mapping!$B$4:$C$37,2,0)</f>
        <v>[Cake] - Cashloan</v>
      </c>
      <c r="H11174" s="128" t="str">
        <f>VLOOKUP(source[[#This Row],[lending_product_transform]],[3]Mapping!$B$3:$D$37,3,0)</f>
        <v>cashloan</v>
      </c>
      <c r="I11174" s="143">
        <v>35000000</v>
      </c>
    </row>
    <row r="11175" spans="1:9" x14ac:dyDescent="0.2">
      <c r="A11175" s="172">
        <v>46001</v>
      </c>
      <c r="B11175" s="135">
        <f>YEAR(source[[#This Row],[report_date]])</f>
        <v>2025</v>
      </c>
      <c r="C11175" s="128">
        <f t="shared" si="520"/>
        <v>12</v>
      </c>
      <c r="D11175" s="136">
        <f t="shared" si="522"/>
        <v>50</v>
      </c>
      <c r="E11175" s="136">
        <f t="shared" si="521"/>
        <v>10</v>
      </c>
      <c r="F11175" s="137" t="s">
        <v>24</v>
      </c>
      <c r="G11175" s="128" t="str">
        <f>VLOOKUP(source[[#This Row],[lending_product_transform]],[3]Mapping!$B$4:$C$37,2,0)</f>
        <v>[Cake] - Cashloan</v>
      </c>
      <c r="H11175" s="128" t="str">
        <f>VLOOKUP(source[[#This Row],[lending_product_transform]],[3]Mapping!$B$3:$D$37,3,0)</f>
        <v>cashloan</v>
      </c>
      <c r="I11175" s="143">
        <v>561220000</v>
      </c>
    </row>
    <row r="11176" spans="1:9" x14ac:dyDescent="0.2">
      <c r="A11176" s="172">
        <v>46001</v>
      </c>
      <c r="B11176" s="135">
        <f>YEAR(source[[#This Row],[report_date]])</f>
        <v>2025</v>
      </c>
      <c r="C11176" s="128">
        <f t="shared" si="520"/>
        <v>12</v>
      </c>
      <c r="D11176" s="136">
        <f t="shared" si="522"/>
        <v>50</v>
      </c>
      <c r="E11176" s="136">
        <f t="shared" si="521"/>
        <v>10</v>
      </c>
      <c r="F11176" s="137" t="s">
        <v>24</v>
      </c>
      <c r="G11176" s="128" t="str">
        <f>VLOOKUP(source[[#This Row],[lending_product_transform]],[3]Mapping!$B$4:$C$37,2,0)</f>
        <v>[Cake] - Cashloan</v>
      </c>
      <c r="H11176" s="128" t="str">
        <f>VLOOKUP(source[[#This Row],[lending_product_transform]],[3]Mapping!$B$3:$D$37,3,0)</f>
        <v>cashloan</v>
      </c>
      <c r="I11176" s="143">
        <v>359964000</v>
      </c>
    </row>
    <row r="11177" spans="1:9" x14ac:dyDescent="0.2">
      <c r="A11177" s="172">
        <v>46001</v>
      </c>
      <c r="B11177" s="135">
        <f>YEAR(source[[#This Row],[report_date]])</f>
        <v>2025</v>
      </c>
      <c r="C11177" s="128">
        <f t="shared" si="520"/>
        <v>12</v>
      </c>
      <c r="D11177" s="136">
        <f t="shared" si="522"/>
        <v>50</v>
      </c>
      <c r="E11177" s="136">
        <f t="shared" si="521"/>
        <v>10</v>
      </c>
      <c r="F11177" s="137" t="s">
        <v>24</v>
      </c>
      <c r="G11177" s="128" t="str">
        <f>VLOOKUP(source[[#This Row],[lending_product_transform]],[3]Mapping!$B$4:$C$37,2,0)</f>
        <v>[Cake] - Cashloan</v>
      </c>
      <c r="H11177" s="128" t="str">
        <f>VLOOKUP(source[[#This Row],[lending_product_transform]],[3]Mapping!$B$3:$D$37,3,0)</f>
        <v>cashloan</v>
      </c>
      <c r="I11177" s="143">
        <v>540066165</v>
      </c>
    </row>
    <row r="11178" spans="1:9" x14ac:dyDescent="0.2">
      <c r="A11178" s="172">
        <v>46001</v>
      </c>
      <c r="B11178" s="135">
        <f>YEAR(source[[#This Row],[report_date]])</f>
        <v>2025</v>
      </c>
      <c r="C11178" s="128">
        <f t="shared" si="520"/>
        <v>12</v>
      </c>
      <c r="D11178" s="136">
        <f t="shared" si="522"/>
        <v>50</v>
      </c>
      <c r="E11178" s="136">
        <f t="shared" si="521"/>
        <v>10</v>
      </c>
      <c r="F11178" s="137" t="s">
        <v>24</v>
      </c>
      <c r="G11178" s="128" t="str">
        <f>VLOOKUP(source[[#This Row],[lending_product_transform]],[3]Mapping!$B$4:$C$37,2,0)</f>
        <v>[Cake] - Cashloan</v>
      </c>
      <c r="H11178" s="128" t="str">
        <f>VLOOKUP(source[[#This Row],[lending_product_transform]],[3]Mapping!$B$3:$D$37,3,0)</f>
        <v>cashloan</v>
      </c>
      <c r="I11178" s="143">
        <v>5018730000</v>
      </c>
    </row>
    <row r="11179" spans="1:9" x14ac:dyDescent="0.2">
      <c r="A11179" s="172">
        <v>46002</v>
      </c>
      <c r="B11179" s="135">
        <f>YEAR(source[[#This Row],[report_date]])</f>
        <v>2025</v>
      </c>
      <c r="C11179" s="128">
        <f t="shared" si="520"/>
        <v>12</v>
      </c>
      <c r="D11179" s="136">
        <f t="shared" si="522"/>
        <v>50</v>
      </c>
      <c r="E11179" s="136">
        <f t="shared" si="521"/>
        <v>11</v>
      </c>
      <c r="F11179" s="137" t="s">
        <v>24</v>
      </c>
      <c r="G11179" s="128" t="str">
        <f>VLOOKUP(source[[#This Row],[lending_product_transform]],[3]Mapping!$B$4:$C$37,2,0)</f>
        <v>[Cake] - Cashloan</v>
      </c>
      <c r="H11179" s="128" t="str">
        <f>VLOOKUP(source[[#This Row],[lending_product_transform]],[3]Mapping!$B$3:$D$37,3,0)</f>
        <v>cashloan</v>
      </c>
      <c r="I11179" s="143">
        <v>204750000</v>
      </c>
    </row>
    <row r="11180" spans="1:9" x14ac:dyDescent="0.2">
      <c r="A11180" s="172">
        <v>46002</v>
      </c>
      <c r="B11180" s="135">
        <f>YEAR(source[[#This Row],[report_date]])</f>
        <v>2025</v>
      </c>
      <c r="C11180" s="128">
        <f t="shared" si="520"/>
        <v>12</v>
      </c>
      <c r="D11180" s="136">
        <f t="shared" si="522"/>
        <v>50</v>
      </c>
      <c r="E11180" s="136">
        <f t="shared" si="521"/>
        <v>11</v>
      </c>
      <c r="F11180" s="137" t="s">
        <v>24</v>
      </c>
      <c r="G11180" s="128" t="str">
        <f>VLOOKUP(source[[#This Row],[lending_product_transform]],[3]Mapping!$B$4:$C$37,2,0)</f>
        <v>[Cake] - Cashloan</v>
      </c>
      <c r="H11180" s="128" t="str">
        <f>VLOOKUP(source[[#This Row],[lending_product_transform]],[3]Mapping!$B$3:$D$37,3,0)</f>
        <v>cashloan</v>
      </c>
      <c r="I11180" s="143">
        <v>319912222</v>
      </c>
    </row>
    <row r="11181" spans="1:9" x14ac:dyDescent="0.2">
      <c r="A11181" s="172">
        <v>46002</v>
      </c>
      <c r="B11181" s="135">
        <f>YEAR(source[[#This Row],[report_date]])</f>
        <v>2025</v>
      </c>
      <c r="C11181" s="128">
        <f t="shared" si="520"/>
        <v>12</v>
      </c>
      <c r="D11181" s="136">
        <f t="shared" si="522"/>
        <v>50</v>
      </c>
      <c r="E11181" s="136">
        <f t="shared" si="521"/>
        <v>11</v>
      </c>
      <c r="F11181" s="137" t="s">
        <v>24</v>
      </c>
      <c r="G11181" s="128" t="str">
        <f>VLOOKUP(source[[#This Row],[lending_product_transform]],[3]Mapping!$B$4:$C$37,2,0)</f>
        <v>[Cake] - Cashloan</v>
      </c>
      <c r="H11181" s="128" t="str">
        <f>VLOOKUP(source[[#This Row],[lending_product_transform]],[3]Mapping!$B$3:$D$37,3,0)</f>
        <v>cashloan</v>
      </c>
      <c r="I11181" s="143">
        <v>18141540000</v>
      </c>
    </row>
    <row r="11182" spans="1:9" x14ac:dyDescent="0.2">
      <c r="A11182" s="172">
        <v>46002</v>
      </c>
      <c r="B11182" s="135">
        <f>YEAR(source[[#This Row],[report_date]])</f>
        <v>2025</v>
      </c>
      <c r="C11182" s="128">
        <f t="shared" si="520"/>
        <v>12</v>
      </c>
      <c r="D11182" s="136">
        <f t="shared" si="522"/>
        <v>50</v>
      </c>
      <c r="E11182" s="136">
        <f t="shared" si="521"/>
        <v>11</v>
      </c>
      <c r="F11182" s="137" t="s">
        <v>24</v>
      </c>
      <c r="G11182" s="128" t="str">
        <f>VLOOKUP(source[[#This Row],[lending_product_transform]],[3]Mapping!$B$4:$C$37,2,0)</f>
        <v>[Cake] - Cashloan</v>
      </c>
      <c r="H11182" s="128" t="str">
        <f>VLOOKUP(source[[#This Row],[lending_product_transform]],[3]Mapping!$B$3:$D$37,3,0)</f>
        <v>cashloan</v>
      </c>
      <c r="I11182" s="143">
        <v>2198664517</v>
      </c>
    </row>
    <row r="11183" spans="1:9" x14ac:dyDescent="0.2">
      <c r="A11183" s="172">
        <v>46002</v>
      </c>
      <c r="B11183" s="135">
        <f>YEAR(source[[#This Row],[report_date]])</f>
        <v>2025</v>
      </c>
      <c r="C11183" s="128">
        <f t="shared" si="520"/>
        <v>12</v>
      </c>
      <c r="D11183" s="136">
        <f t="shared" si="522"/>
        <v>50</v>
      </c>
      <c r="E11183" s="136">
        <f t="shared" si="521"/>
        <v>11</v>
      </c>
      <c r="F11183" s="137" t="s">
        <v>24</v>
      </c>
      <c r="G11183" s="128" t="str">
        <f>VLOOKUP(source[[#This Row],[lending_product_transform]],[3]Mapping!$B$4:$C$37,2,0)</f>
        <v>[Cake] - Cashloan</v>
      </c>
      <c r="H11183" s="128" t="str">
        <f>VLOOKUP(source[[#This Row],[lending_product_transform]],[3]Mapping!$B$3:$D$37,3,0)</f>
        <v>cashloan</v>
      </c>
      <c r="I11183" s="143">
        <v>13471920000</v>
      </c>
    </row>
    <row r="11184" spans="1:9" x14ac:dyDescent="0.2">
      <c r="A11184" s="172">
        <v>46002</v>
      </c>
      <c r="B11184" s="135">
        <f>YEAR(source[[#This Row],[report_date]])</f>
        <v>2025</v>
      </c>
      <c r="C11184" s="128">
        <f t="shared" si="520"/>
        <v>12</v>
      </c>
      <c r="D11184" s="136">
        <f t="shared" si="522"/>
        <v>50</v>
      </c>
      <c r="E11184" s="136">
        <f t="shared" si="521"/>
        <v>11</v>
      </c>
      <c r="F11184" s="137" t="s">
        <v>24</v>
      </c>
      <c r="G11184" s="128" t="str">
        <f>VLOOKUP(source[[#This Row],[lending_product_transform]],[3]Mapping!$B$4:$C$37,2,0)</f>
        <v>[Cake] - Cashloan</v>
      </c>
      <c r="H11184" s="128" t="str">
        <f>VLOOKUP(source[[#This Row],[lending_product_transform]],[3]Mapping!$B$3:$D$37,3,0)</f>
        <v>cashloan</v>
      </c>
      <c r="I11184" s="143">
        <v>9680094</v>
      </c>
    </row>
    <row r="11185" spans="1:9" x14ac:dyDescent="0.2">
      <c r="A11185" s="172">
        <v>46002</v>
      </c>
      <c r="B11185" s="135">
        <f>YEAR(source[[#This Row],[report_date]])</f>
        <v>2025</v>
      </c>
      <c r="C11185" s="128">
        <f t="shared" si="520"/>
        <v>12</v>
      </c>
      <c r="D11185" s="136">
        <f t="shared" si="522"/>
        <v>50</v>
      </c>
      <c r="E11185" s="136">
        <f t="shared" si="521"/>
        <v>11</v>
      </c>
      <c r="F11185" s="137" t="s">
        <v>24</v>
      </c>
      <c r="G11185" s="128" t="str">
        <f>VLOOKUP(source[[#This Row],[lending_product_transform]],[3]Mapping!$B$4:$C$37,2,0)</f>
        <v>[Cake] - Cashloan</v>
      </c>
      <c r="H11185" s="128" t="str">
        <f>VLOOKUP(source[[#This Row],[lending_product_transform]],[3]Mapping!$B$3:$D$37,3,0)</f>
        <v>cashloan</v>
      </c>
      <c r="I11185" s="143">
        <v>5294940000</v>
      </c>
    </row>
    <row r="11186" spans="1:9" x14ac:dyDescent="0.2">
      <c r="A11186" s="172">
        <v>46002</v>
      </c>
      <c r="B11186" s="135">
        <f>YEAR(source[[#This Row],[report_date]])</f>
        <v>2025</v>
      </c>
      <c r="C11186" s="128">
        <f t="shared" si="520"/>
        <v>12</v>
      </c>
      <c r="D11186" s="136">
        <f t="shared" si="522"/>
        <v>50</v>
      </c>
      <c r="E11186" s="136">
        <f t="shared" si="521"/>
        <v>11</v>
      </c>
      <c r="F11186" s="137" t="s">
        <v>24</v>
      </c>
      <c r="G11186" s="128" t="str">
        <f>VLOOKUP(source[[#This Row],[lending_product_transform]],[3]Mapping!$B$4:$C$37,2,0)</f>
        <v>[Cake] - Cashloan</v>
      </c>
      <c r="H11186" s="128" t="str">
        <f>VLOOKUP(source[[#This Row],[lending_product_transform]],[3]Mapping!$B$3:$D$37,3,0)</f>
        <v>cashloan</v>
      </c>
      <c r="I11186" s="143">
        <v>11462776</v>
      </c>
    </row>
    <row r="11187" spans="1:9" x14ac:dyDescent="0.2">
      <c r="A11187" s="172">
        <v>46002</v>
      </c>
      <c r="B11187" s="135">
        <f>YEAR(source[[#This Row],[report_date]])</f>
        <v>2025</v>
      </c>
      <c r="C11187" s="128">
        <f t="shared" si="520"/>
        <v>12</v>
      </c>
      <c r="D11187" s="136">
        <f t="shared" si="522"/>
        <v>50</v>
      </c>
      <c r="E11187" s="136">
        <f t="shared" si="521"/>
        <v>11</v>
      </c>
      <c r="F11187" s="137" t="s">
        <v>24</v>
      </c>
      <c r="G11187" s="128" t="str">
        <f>VLOOKUP(source[[#This Row],[lending_product_transform]],[3]Mapping!$B$4:$C$37,2,0)</f>
        <v>[Cake] - Cashloan</v>
      </c>
      <c r="H11187" s="128" t="str">
        <f>VLOOKUP(source[[#This Row],[lending_product_transform]],[3]Mapping!$B$3:$D$37,3,0)</f>
        <v>cashloan</v>
      </c>
      <c r="I11187" s="143">
        <v>919856712</v>
      </c>
    </row>
    <row r="11188" spans="1:9" x14ac:dyDescent="0.2">
      <c r="A11188" s="172">
        <v>46002</v>
      </c>
      <c r="B11188" s="135">
        <f>YEAR(source[[#This Row],[report_date]])</f>
        <v>2025</v>
      </c>
      <c r="C11188" s="128">
        <f t="shared" si="520"/>
        <v>12</v>
      </c>
      <c r="D11188" s="136">
        <f t="shared" si="522"/>
        <v>50</v>
      </c>
      <c r="E11188" s="136">
        <f t="shared" si="521"/>
        <v>11</v>
      </c>
      <c r="F11188" s="137" t="s">
        <v>24</v>
      </c>
      <c r="G11188" s="128" t="str">
        <f>VLOOKUP(source[[#This Row],[lending_product_transform]],[3]Mapping!$B$4:$C$37,2,0)</f>
        <v>[Cake] - Cashloan</v>
      </c>
      <c r="H11188" s="128" t="str">
        <f>VLOOKUP(source[[#This Row],[lending_product_transform]],[3]Mapping!$B$3:$D$37,3,0)</f>
        <v>cashloan</v>
      </c>
      <c r="I11188" s="143">
        <v>0</v>
      </c>
    </row>
    <row r="11189" spans="1:9" x14ac:dyDescent="0.2">
      <c r="A11189" s="172">
        <v>46002</v>
      </c>
      <c r="B11189" s="135">
        <f>YEAR(source[[#This Row],[report_date]])</f>
        <v>2025</v>
      </c>
      <c r="C11189" s="128">
        <f t="shared" si="520"/>
        <v>12</v>
      </c>
      <c r="D11189" s="136">
        <f t="shared" si="522"/>
        <v>50</v>
      </c>
      <c r="E11189" s="136">
        <f t="shared" si="521"/>
        <v>11</v>
      </c>
      <c r="F11189" s="137" t="s">
        <v>24</v>
      </c>
      <c r="G11189" s="128" t="str">
        <f>VLOOKUP(source[[#This Row],[lending_product_transform]],[3]Mapping!$B$4:$C$37,2,0)</f>
        <v>[Cake] - Cashloan</v>
      </c>
      <c r="H11189" s="128" t="str">
        <f>VLOOKUP(source[[#This Row],[lending_product_transform]],[3]Mapping!$B$3:$D$37,3,0)</f>
        <v>cashloan</v>
      </c>
      <c r="I11189" s="143">
        <v>585750000</v>
      </c>
    </row>
    <row r="11190" spans="1:9" x14ac:dyDescent="0.2">
      <c r="A11190" s="172">
        <v>46002</v>
      </c>
      <c r="B11190" s="135">
        <f>YEAR(source[[#This Row],[report_date]])</f>
        <v>2025</v>
      </c>
      <c r="C11190" s="128">
        <f t="shared" ref="C11190:C11253" si="523">MONTH(A11190)</f>
        <v>12</v>
      </c>
      <c r="D11190" s="136">
        <f t="shared" si="522"/>
        <v>50</v>
      </c>
      <c r="E11190" s="136">
        <f t="shared" ref="E11190:E11253" si="524">DAY(A11190)</f>
        <v>11</v>
      </c>
      <c r="F11190" s="137" t="s">
        <v>24</v>
      </c>
      <c r="G11190" s="128" t="str">
        <f>VLOOKUP(source[[#This Row],[lending_product_transform]],[3]Mapping!$B$4:$C$37,2,0)</f>
        <v>[Cake] - Cashloan</v>
      </c>
      <c r="H11190" s="128" t="str">
        <f>VLOOKUP(source[[#This Row],[lending_product_transform]],[3]Mapping!$B$3:$D$37,3,0)</f>
        <v>cashloan</v>
      </c>
      <c r="I11190" s="143">
        <v>18066810000</v>
      </c>
    </row>
    <row r="11191" spans="1:9" x14ac:dyDescent="0.2">
      <c r="A11191" s="172">
        <v>46002</v>
      </c>
      <c r="B11191" s="135">
        <f>YEAR(source[[#This Row],[report_date]])</f>
        <v>2025</v>
      </c>
      <c r="C11191" s="128">
        <f t="shared" si="523"/>
        <v>12</v>
      </c>
      <c r="D11191" s="136">
        <f t="shared" si="522"/>
        <v>50</v>
      </c>
      <c r="E11191" s="136">
        <f t="shared" si="524"/>
        <v>11</v>
      </c>
      <c r="F11191" s="137" t="s">
        <v>24</v>
      </c>
      <c r="G11191" s="128" t="str">
        <f>VLOOKUP(source[[#This Row],[lending_product_transform]],[3]Mapping!$B$4:$C$37,2,0)</f>
        <v>[Cake] - Cashloan</v>
      </c>
      <c r="H11191" s="128" t="str">
        <f>VLOOKUP(source[[#This Row],[lending_product_transform]],[3]Mapping!$B$3:$D$37,3,0)</f>
        <v>cashloan</v>
      </c>
      <c r="I11191" s="143">
        <v>0</v>
      </c>
    </row>
    <row r="11192" spans="1:9" x14ac:dyDescent="0.2">
      <c r="A11192" s="172">
        <v>46002</v>
      </c>
      <c r="B11192" s="135">
        <f>YEAR(source[[#This Row],[report_date]])</f>
        <v>2025</v>
      </c>
      <c r="C11192" s="128">
        <f t="shared" si="523"/>
        <v>12</v>
      </c>
      <c r="D11192" s="136">
        <f t="shared" si="522"/>
        <v>50</v>
      </c>
      <c r="E11192" s="136">
        <f t="shared" si="524"/>
        <v>11</v>
      </c>
      <c r="F11192" s="137" t="s">
        <v>24</v>
      </c>
      <c r="G11192" s="128" t="str">
        <f>VLOOKUP(source[[#This Row],[lending_product_transform]],[3]Mapping!$B$4:$C$37,2,0)</f>
        <v>[Cake] - Cashloan</v>
      </c>
      <c r="H11192" s="128" t="str">
        <f>VLOOKUP(source[[#This Row],[lending_product_transform]],[3]Mapping!$B$3:$D$37,3,0)</f>
        <v>cashloan</v>
      </c>
      <c r="I11192" s="143">
        <v>0</v>
      </c>
    </row>
    <row r="11193" spans="1:9" x14ac:dyDescent="0.2">
      <c r="A11193" s="172">
        <v>46002</v>
      </c>
      <c r="B11193" s="135">
        <f>YEAR(source[[#This Row],[report_date]])</f>
        <v>2025</v>
      </c>
      <c r="C11193" s="128">
        <f t="shared" si="523"/>
        <v>12</v>
      </c>
      <c r="D11193" s="136">
        <f t="shared" si="522"/>
        <v>50</v>
      </c>
      <c r="E11193" s="136">
        <f t="shared" si="524"/>
        <v>11</v>
      </c>
      <c r="F11193" s="137" t="s">
        <v>24</v>
      </c>
      <c r="G11193" s="128" t="str">
        <f>VLOOKUP(source[[#This Row],[lending_product_transform]],[3]Mapping!$B$4:$C$37,2,0)</f>
        <v>[Cake] - Cashloan</v>
      </c>
      <c r="H11193" s="128" t="str">
        <f>VLOOKUP(source[[#This Row],[lending_product_transform]],[3]Mapping!$B$3:$D$37,3,0)</f>
        <v>cashloan</v>
      </c>
      <c r="I11193" s="143">
        <v>0</v>
      </c>
    </row>
    <row r="11194" spans="1:9" x14ac:dyDescent="0.2">
      <c r="A11194" s="172">
        <v>46002</v>
      </c>
      <c r="B11194" s="135">
        <f>YEAR(source[[#This Row],[report_date]])</f>
        <v>2025</v>
      </c>
      <c r="C11194" s="128">
        <f t="shared" si="523"/>
        <v>12</v>
      </c>
      <c r="D11194" s="136">
        <f t="shared" si="522"/>
        <v>50</v>
      </c>
      <c r="E11194" s="136">
        <f t="shared" si="524"/>
        <v>11</v>
      </c>
      <c r="F11194" s="137" t="s">
        <v>24</v>
      </c>
      <c r="G11194" s="128" t="str">
        <f>VLOOKUP(source[[#This Row],[lending_product_transform]],[3]Mapping!$B$4:$C$37,2,0)</f>
        <v>[Cake] - Cashloan</v>
      </c>
      <c r="H11194" s="128" t="str">
        <f>VLOOKUP(source[[#This Row],[lending_product_transform]],[3]Mapping!$B$3:$D$37,3,0)</f>
        <v>cashloan</v>
      </c>
      <c r="I11194" s="143">
        <v>37100000</v>
      </c>
    </row>
    <row r="11195" spans="1:9" x14ac:dyDescent="0.2">
      <c r="A11195" s="172">
        <v>46002</v>
      </c>
      <c r="B11195" s="135">
        <f>YEAR(source[[#This Row],[report_date]])</f>
        <v>2025</v>
      </c>
      <c r="C11195" s="128">
        <f t="shared" si="523"/>
        <v>12</v>
      </c>
      <c r="D11195" s="136">
        <f t="shared" si="522"/>
        <v>50</v>
      </c>
      <c r="E11195" s="136">
        <f t="shared" si="524"/>
        <v>11</v>
      </c>
      <c r="F11195" s="137" t="s">
        <v>24</v>
      </c>
      <c r="G11195" s="128" t="str">
        <f>VLOOKUP(source[[#This Row],[lending_product_transform]],[3]Mapping!$B$4:$C$37,2,0)</f>
        <v>[Cake] - Cashloan</v>
      </c>
      <c r="H11195" s="128" t="str">
        <f>VLOOKUP(source[[#This Row],[lending_product_transform]],[3]Mapping!$B$3:$D$37,3,0)</f>
        <v>cashloan</v>
      </c>
      <c r="I11195" s="143">
        <v>11344428000</v>
      </c>
    </row>
    <row r="11196" spans="1:9" x14ac:dyDescent="0.2">
      <c r="A11196" s="172">
        <v>46002</v>
      </c>
      <c r="B11196" s="135">
        <f>YEAR(source[[#This Row],[report_date]])</f>
        <v>2025</v>
      </c>
      <c r="C11196" s="128">
        <f t="shared" si="523"/>
        <v>12</v>
      </c>
      <c r="D11196" s="136">
        <f t="shared" si="522"/>
        <v>50</v>
      </c>
      <c r="E11196" s="136">
        <f t="shared" si="524"/>
        <v>11</v>
      </c>
      <c r="F11196" s="137" t="s">
        <v>24</v>
      </c>
      <c r="G11196" s="128" t="str">
        <f>VLOOKUP(source[[#This Row],[lending_product_transform]],[3]Mapping!$B$4:$C$37,2,0)</f>
        <v>[Cake] - Cashloan</v>
      </c>
      <c r="H11196" s="128" t="str">
        <f>VLOOKUP(source[[#This Row],[lending_product_transform]],[3]Mapping!$B$3:$D$37,3,0)</f>
        <v>cashloan</v>
      </c>
      <c r="I11196" s="143">
        <v>255389707</v>
      </c>
    </row>
    <row r="11197" spans="1:9" x14ac:dyDescent="0.2">
      <c r="A11197" s="172">
        <v>46002</v>
      </c>
      <c r="B11197" s="135">
        <f>YEAR(source[[#This Row],[report_date]])</f>
        <v>2025</v>
      </c>
      <c r="C11197" s="128">
        <f t="shared" si="523"/>
        <v>12</v>
      </c>
      <c r="D11197" s="136">
        <f t="shared" si="522"/>
        <v>50</v>
      </c>
      <c r="E11197" s="136">
        <f t="shared" si="524"/>
        <v>11</v>
      </c>
      <c r="F11197" s="137" t="s">
        <v>24</v>
      </c>
      <c r="G11197" s="128" t="str">
        <f>VLOOKUP(source[[#This Row],[lending_product_transform]],[3]Mapping!$B$4:$C$37,2,0)</f>
        <v>[Cake] - Cashloan</v>
      </c>
      <c r="H11197" s="128" t="str">
        <f>VLOOKUP(source[[#This Row],[lending_product_transform]],[3]Mapping!$B$3:$D$37,3,0)</f>
        <v>cashloan</v>
      </c>
      <c r="I11197" s="143">
        <v>26250000</v>
      </c>
    </row>
    <row r="11198" spans="1:9" x14ac:dyDescent="0.2">
      <c r="A11198" s="172">
        <v>46002</v>
      </c>
      <c r="B11198" s="135">
        <f>YEAR(source[[#This Row],[report_date]])</f>
        <v>2025</v>
      </c>
      <c r="C11198" s="128">
        <f t="shared" si="523"/>
        <v>12</v>
      </c>
      <c r="D11198" s="136">
        <f t="shared" si="522"/>
        <v>50</v>
      </c>
      <c r="E11198" s="136">
        <f t="shared" si="524"/>
        <v>11</v>
      </c>
      <c r="F11198" s="137" t="s">
        <v>24</v>
      </c>
      <c r="G11198" s="128" t="str">
        <f>VLOOKUP(source[[#This Row],[lending_product_transform]],[3]Mapping!$B$4:$C$37,2,0)</f>
        <v>[Cake] - Cashloan</v>
      </c>
      <c r="H11198" s="128" t="str">
        <f>VLOOKUP(source[[#This Row],[lending_product_transform]],[3]Mapping!$B$3:$D$37,3,0)</f>
        <v>cashloan</v>
      </c>
      <c r="I11198" s="143">
        <v>42000000</v>
      </c>
    </row>
    <row r="11199" spans="1:9" x14ac:dyDescent="0.2">
      <c r="A11199" s="172">
        <v>46002</v>
      </c>
      <c r="B11199" s="135">
        <f>YEAR(source[[#This Row],[report_date]])</f>
        <v>2025</v>
      </c>
      <c r="C11199" s="128">
        <f t="shared" si="523"/>
        <v>12</v>
      </c>
      <c r="D11199" s="136">
        <f t="shared" si="522"/>
        <v>50</v>
      </c>
      <c r="E11199" s="136">
        <f t="shared" si="524"/>
        <v>11</v>
      </c>
      <c r="F11199" s="137" t="s">
        <v>24</v>
      </c>
      <c r="G11199" s="128" t="str">
        <f>VLOOKUP(source[[#This Row],[lending_product_transform]],[3]Mapping!$B$4:$C$37,2,0)</f>
        <v>[Cake] - Cashloan</v>
      </c>
      <c r="H11199" s="128" t="str">
        <f>VLOOKUP(source[[#This Row],[lending_product_transform]],[3]Mapping!$B$3:$D$37,3,0)</f>
        <v>cashloan</v>
      </c>
      <c r="I11199" s="143">
        <v>717540000</v>
      </c>
    </row>
    <row r="11200" spans="1:9" x14ac:dyDescent="0.2">
      <c r="A11200" s="172">
        <v>46002</v>
      </c>
      <c r="B11200" s="135">
        <f>YEAR(source[[#This Row],[report_date]])</f>
        <v>2025</v>
      </c>
      <c r="C11200" s="128">
        <f t="shared" si="523"/>
        <v>12</v>
      </c>
      <c r="D11200" s="136">
        <f t="shared" si="522"/>
        <v>50</v>
      </c>
      <c r="E11200" s="136">
        <f t="shared" si="524"/>
        <v>11</v>
      </c>
      <c r="F11200" s="137" t="s">
        <v>24</v>
      </c>
      <c r="G11200" s="128" t="str">
        <f>VLOOKUP(source[[#This Row],[lending_product_transform]],[3]Mapping!$B$4:$C$37,2,0)</f>
        <v>[Cake] - Cashloan</v>
      </c>
      <c r="H11200" s="128" t="str">
        <f>VLOOKUP(source[[#This Row],[lending_product_transform]],[3]Mapping!$B$3:$D$37,3,0)</f>
        <v>cashloan</v>
      </c>
      <c r="I11200" s="143">
        <v>226152000</v>
      </c>
    </row>
    <row r="11201" spans="1:9" x14ac:dyDescent="0.2">
      <c r="A11201" s="172">
        <v>46002</v>
      </c>
      <c r="B11201" s="135">
        <f>YEAR(source[[#This Row],[report_date]])</f>
        <v>2025</v>
      </c>
      <c r="C11201" s="128">
        <f t="shared" si="523"/>
        <v>12</v>
      </c>
      <c r="D11201" s="136">
        <f t="shared" si="522"/>
        <v>50</v>
      </c>
      <c r="E11201" s="136">
        <f t="shared" si="524"/>
        <v>11</v>
      </c>
      <c r="F11201" s="137" t="s">
        <v>24</v>
      </c>
      <c r="G11201" s="128" t="str">
        <f>VLOOKUP(source[[#This Row],[lending_product_transform]],[3]Mapping!$B$4:$C$37,2,0)</f>
        <v>[Cake] - Cashloan</v>
      </c>
      <c r="H11201" s="128" t="str">
        <f>VLOOKUP(source[[#This Row],[lending_product_transform]],[3]Mapping!$B$3:$D$37,3,0)</f>
        <v>cashloan</v>
      </c>
      <c r="I11201" s="143">
        <v>326369296</v>
      </c>
    </row>
    <row r="11202" spans="1:9" x14ac:dyDescent="0.2">
      <c r="A11202" s="172">
        <v>46002</v>
      </c>
      <c r="B11202" s="135">
        <f>YEAR(source[[#This Row],[report_date]])</f>
        <v>2025</v>
      </c>
      <c r="C11202" s="128">
        <f t="shared" si="523"/>
        <v>12</v>
      </c>
      <c r="D11202" s="136">
        <f t="shared" si="522"/>
        <v>50</v>
      </c>
      <c r="E11202" s="136">
        <f t="shared" si="524"/>
        <v>11</v>
      </c>
      <c r="F11202" s="137" t="s">
        <v>24</v>
      </c>
      <c r="G11202" s="128" t="str">
        <f>VLOOKUP(source[[#This Row],[lending_product_transform]],[3]Mapping!$B$4:$C$37,2,0)</f>
        <v>[Cake] - Cashloan</v>
      </c>
      <c r="H11202" s="128" t="str">
        <f>VLOOKUP(source[[#This Row],[lending_product_transform]],[3]Mapping!$B$3:$D$37,3,0)</f>
        <v>cashloan</v>
      </c>
      <c r="I11202" s="143">
        <v>3226170000</v>
      </c>
    </row>
    <row r="11203" spans="1:9" x14ac:dyDescent="0.2">
      <c r="A11203" s="172">
        <v>46002</v>
      </c>
      <c r="B11203" s="135">
        <f>YEAR(source[[#This Row],[report_date]])</f>
        <v>2025</v>
      </c>
      <c r="C11203" s="128">
        <f t="shared" si="523"/>
        <v>12</v>
      </c>
      <c r="D11203" s="136">
        <f t="shared" ref="D11203:D11266" si="525">WEEKNUM(A11203,2)</f>
        <v>50</v>
      </c>
      <c r="E11203" s="136">
        <f t="shared" si="524"/>
        <v>11</v>
      </c>
      <c r="F11203" s="137" t="s">
        <v>24</v>
      </c>
      <c r="G11203" s="128" t="str">
        <f>VLOOKUP(source[[#This Row],[lending_product_transform]],[3]Mapping!$B$4:$C$37,2,0)</f>
        <v>[Cake] - Cashloan</v>
      </c>
      <c r="H11203" s="128" t="str">
        <f>VLOOKUP(source[[#This Row],[lending_product_transform]],[3]Mapping!$B$3:$D$37,3,0)</f>
        <v>cashloan</v>
      </c>
      <c r="I11203" s="143">
        <v>6480000</v>
      </c>
    </row>
    <row r="11204" spans="1:9" x14ac:dyDescent="0.2">
      <c r="A11204" s="172">
        <v>46003</v>
      </c>
      <c r="B11204" s="135">
        <f>YEAR(source[[#This Row],[report_date]])</f>
        <v>2025</v>
      </c>
      <c r="C11204" s="128">
        <f t="shared" si="523"/>
        <v>12</v>
      </c>
      <c r="D11204" s="136">
        <f t="shared" si="525"/>
        <v>50</v>
      </c>
      <c r="E11204" s="136">
        <f t="shared" si="524"/>
        <v>12</v>
      </c>
      <c r="F11204" s="137" t="s">
        <v>24</v>
      </c>
      <c r="G11204" s="128" t="str">
        <f>VLOOKUP(source[[#This Row],[lending_product_transform]],[3]Mapping!$B$4:$C$37,2,0)</f>
        <v>[Cake] - Cashloan</v>
      </c>
      <c r="H11204" s="128" t="str">
        <f>VLOOKUP(source[[#This Row],[lending_product_transform]],[3]Mapping!$B$3:$D$37,3,0)</f>
        <v>cashloan</v>
      </c>
      <c r="I11204" s="143">
        <v>109750000</v>
      </c>
    </row>
    <row r="11205" spans="1:9" x14ac:dyDescent="0.2">
      <c r="A11205" s="172">
        <v>46003</v>
      </c>
      <c r="B11205" s="135">
        <f>YEAR(source[[#This Row],[report_date]])</f>
        <v>2025</v>
      </c>
      <c r="C11205" s="128">
        <f t="shared" si="523"/>
        <v>12</v>
      </c>
      <c r="D11205" s="136">
        <f t="shared" si="525"/>
        <v>50</v>
      </c>
      <c r="E11205" s="136">
        <f t="shared" si="524"/>
        <v>12</v>
      </c>
      <c r="F11205" s="137" t="s">
        <v>24</v>
      </c>
      <c r="G11205" s="128" t="str">
        <f>VLOOKUP(source[[#This Row],[lending_product_transform]],[3]Mapping!$B$4:$C$37,2,0)</f>
        <v>[Cake] - Cashloan</v>
      </c>
      <c r="H11205" s="128" t="str">
        <f>VLOOKUP(source[[#This Row],[lending_product_transform]],[3]Mapping!$B$3:$D$37,3,0)</f>
        <v>cashloan</v>
      </c>
      <c r="I11205" s="143">
        <v>352373150</v>
      </c>
    </row>
    <row r="11206" spans="1:9" x14ac:dyDescent="0.2">
      <c r="A11206" s="172">
        <v>46003</v>
      </c>
      <c r="B11206" s="135">
        <f>YEAR(source[[#This Row],[report_date]])</f>
        <v>2025</v>
      </c>
      <c r="C11206" s="128">
        <f t="shared" si="523"/>
        <v>12</v>
      </c>
      <c r="D11206" s="136">
        <f t="shared" si="525"/>
        <v>50</v>
      </c>
      <c r="E11206" s="136">
        <f t="shared" si="524"/>
        <v>12</v>
      </c>
      <c r="F11206" s="137" t="s">
        <v>24</v>
      </c>
      <c r="G11206" s="128" t="str">
        <f>VLOOKUP(source[[#This Row],[lending_product_transform]],[3]Mapping!$B$4:$C$37,2,0)</f>
        <v>[Cake] - Cashloan</v>
      </c>
      <c r="H11206" s="128" t="str">
        <f>VLOOKUP(source[[#This Row],[lending_product_transform]],[3]Mapping!$B$3:$D$37,3,0)</f>
        <v>cashloan</v>
      </c>
      <c r="I11206" s="143">
        <v>17050760000</v>
      </c>
    </row>
    <row r="11207" spans="1:9" x14ac:dyDescent="0.2">
      <c r="A11207" s="172">
        <v>46003</v>
      </c>
      <c r="B11207" s="135">
        <f>YEAR(source[[#This Row],[report_date]])</f>
        <v>2025</v>
      </c>
      <c r="C11207" s="128">
        <f t="shared" si="523"/>
        <v>12</v>
      </c>
      <c r="D11207" s="136">
        <f t="shared" si="525"/>
        <v>50</v>
      </c>
      <c r="E11207" s="136">
        <f t="shared" si="524"/>
        <v>12</v>
      </c>
      <c r="F11207" s="137" t="s">
        <v>24</v>
      </c>
      <c r="G11207" s="128" t="str">
        <f>VLOOKUP(source[[#This Row],[lending_product_transform]],[3]Mapping!$B$4:$C$37,2,0)</f>
        <v>[Cake] - Cashloan</v>
      </c>
      <c r="H11207" s="128" t="str">
        <f>VLOOKUP(source[[#This Row],[lending_product_transform]],[3]Mapping!$B$3:$D$37,3,0)</f>
        <v>cashloan</v>
      </c>
      <c r="I11207" s="143">
        <v>1978657890</v>
      </c>
    </row>
    <row r="11208" spans="1:9" x14ac:dyDescent="0.2">
      <c r="A11208" s="172">
        <v>46003</v>
      </c>
      <c r="B11208" s="135">
        <f>YEAR(source[[#This Row],[report_date]])</f>
        <v>2025</v>
      </c>
      <c r="C11208" s="128">
        <f t="shared" si="523"/>
        <v>12</v>
      </c>
      <c r="D11208" s="136">
        <f t="shared" si="525"/>
        <v>50</v>
      </c>
      <c r="E11208" s="136">
        <f t="shared" si="524"/>
        <v>12</v>
      </c>
      <c r="F11208" s="137" t="s">
        <v>24</v>
      </c>
      <c r="G11208" s="128" t="str">
        <f>VLOOKUP(source[[#This Row],[lending_product_transform]],[3]Mapping!$B$4:$C$37,2,0)</f>
        <v>[Cake] - Cashloan</v>
      </c>
      <c r="H11208" s="128" t="str">
        <f>VLOOKUP(source[[#This Row],[lending_product_transform]],[3]Mapping!$B$3:$D$37,3,0)</f>
        <v>cashloan</v>
      </c>
      <c r="I11208" s="143">
        <v>12585996000</v>
      </c>
    </row>
    <row r="11209" spans="1:9" x14ac:dyDescent="0.2">
      <c r="A11209" s="172">
        <v>46003</v>
      </c>
      <c r="B11209" s="135">
        <f>YEAR(source[[#This Row],[report_date]])</f>
        <v>2025</v>
      </c>
      <c r="C11209" s="128">
        <f t="shared" si="523"/>
        <v>12</v>
      </c>
      <c r="D11209" s="136">
        <f t="shared" si="525"/>
        <v>50</v>
      </c>
      <c r="E11209" s="136">
        <f t="shared" si="524"/>
        <v>12</v>
      </c>
      <c r="F11209" s="137" t="s">
        <v>24</v>
      </c>
      <c r="G11209" s="128" t="str">
        <f>VLOOKUP(source[[#This Row],[lending_product_transform]],[3]Mapping!$B$4:$C$37,2,0)</f>
        <v>[Cake] - Cashloan</v>
      </c>
      <c r="H11209" s="128" t="str">
        <f>VLOOKUP(source[[#This Row],[lending_product_transform]],[3]Mapping!$B$3:$D$37,3,0)</f>
        <v>cashloan</v>
      </c>
      <c r="I11209" s="143">
        <v>10239058</v>
      </c>
    </row>
    <row r="11210" spans="1:9" x14ac:dyDescent="0.2">
      <c r="A11210" s="172">
        <v>46003</v>
      </c>
      <c r="B11210" s="135">
        <f>YEAR(source[[#This Row],[report_date]])</f>
        <v>2025</v>
      </c>
      <c r="C11210" s="128">
        <f t="shared" si="523"/>
        <v>12</v>
      </c>
      <c r="D11210" s="136">
        <f t="shared" si="525"/>
        <v>50</v>
      </c>
      <c r="E11210" s="136">
        <f t="shared" si="524"/>
        <v>12</v>
      </c>
      <c r="F11210" s="137" t="s">
        <v>24</v>
      </c>
      <c r="G11210" s="128" t="str">
        <f>VLOOKUP(source[[#This Row],[lending_product_transform]],[3]Mapping!$B$4:$C$37,2,0)</f>
        <v>[Cake] - Cashloan</v>
      </c>
      <c r="H11210" s="128" t="str">
        <f>VLOOKUP(source[[#This Row],[lending_product_transform]],[3]Mapping!$B$3:$D$37,3,0)</f>
        <v>cashloan</v>
      </c>
      <c r="I11210" s="143">
        <v>4464730000</v>
      </c>
    </row>
    <row r="11211" spans="1:9" x14ac:dyDescent="0.2">
      <c r="A11211" s="172">
        <v>46003</v>
      </c>
      <c r="B11211" s="135">
        <f>YEAR(source[[#This Row],[report_date]])</f>
        <v>2025</v>
      </c>
      <c r="C11211" s="128">
        <f t="shared" si="523"/>
        <v>12</v>
      </c>
      <c r="D11211" s="136">
        <f t="shared" si="525"/>
        <v>50</v>
      </c>
      <c r="E11211" s="136">
        <f t="shared" si="524"/>
        <v>12</v>
      </c>
      <c r="F11211" s="137" t="s">
        <v>24</v>
      </c>
      <c r="G11211" s="128" t="str">
        <f>VLOOKUP(source[[#This Row],[lending_product_transform]],[3]Mapping!$B$4:$C$37,2,0)</f>
        <v>[Cake] - Cashloan</v>
      </c>
      <c r="H11211" s="128" t="str">
        <f>VLOOKUP(source[[#This Row],[lending_product_transform]],[3]Mapping!$B$3:$D$37,3,0)</f>
        <v>cashloan</v>
      </c>
      <c r="I11211" s="143">
        <v>10051318</v>
      </c>
    </row>
    <row r="11212" spans="1:9" x14ac:dyDescent="0.2">
      <c r="A11212" s="172">
        <v>46003</v>
      </c>
      <c r="B11212" s="135">
        <f>YEAR(source[[#This Row],[report_date]])</f>
        <v>2025</v>
      </c>
      <c r="C11212" s="128">
        <f t="shared" si="523"/>
        <v>12</v>
      </c>
      <c r="D11212" s="136">
        <f t="shared" si="525"/>
        <v>50</v>
      </c>
      <c r="E11212" s="136">
        <f t="shared" si="524"/>
        <v>12</v>
      </c>
      <c r="F11212" s="137" t="s">
        <v>24</v>
      </c>
      <c r="G11212" s="128" t="str">
        <f>VLOOKUP(source[[#This Row],[lending_product_transform]],[3]Mapping!$B$4:$C$37,2,0)</f>
        <v>[Cake] - Cashloan</v>
      </c>
      <c r="H11212" s="128" t="str">
        <f>VLOOKUP(source[[#This Row],[lending_product_transform]],[3]Mapping!$B$3:$D$37,3,0)</f>
        <v>cashloan</v>
      </c>
      <c r="I11212" s="143">
        <v>967824355</v>
      </c>
    </row>
    <row r="11213" spans="1:9" x14ac:dyDescent="0.2">
      <c r="A11213" s="172">
        <v>46003</v>
      </c>
      <c r="B11213" s="135">
        <f>YEAR(source[[#This Row],[report_date]])</f>
        <v>2025</v>
      </c>
      <c r="C11213" s="128">
        <f t="shared" si="523"/>
        <v>12</v>
      </c>
      <c r="D11213" s="136">
        <f t="shared" si="525"/>
        <v>50</v>
      </c>
      <c r="E11213" s="136">
        <f t="shared" si="524"/>
        <v>12</v>
      </c>
      <c r="F11213" s="137" t="s">
        <v>24</v>
      </c>
      <c r="G11213" s="128" t="str">
        <f>VLOOKUP(source[[#This Row],[lending_product_transform]],[3]Mapping!$B$4:$C$37,2,0)</f>
        <v>[Cake] - Cashloan</v>
      </c>
      <c r="H11213" s="128" t="str">
        <f>VLOOKUP(source[[#This Row],[lending_product_transform]],[3]Mapping!$B$3:$D$37,3,0)</f>
        <v>cashloan</v>
      </c>
      <c r="I11213" s="143">
        <v>0</v>
      </c>
    </row>
    <row r="11214" spans="1:9" x14ac:dyDescent="0.2">
      <c r="A11214" s="172">
        <v>46003</v>
      </c>
      <c r="B11214" s="135">
        <f>YEAR(source[[#This Row],[report_date]])</f>
        <v>2025</v>
      </c>
      <c r="C11214" s="128">
        <f t="shared" si="523"/>
        <v>12</v>
      </c>
      <c r="D11214" s="136">
        <f t="shared" si="525"/>
        <v>50</v>
      </c>
      <c r="E11214" s="136">
        <f t="shared" si="524"/>
        <v>12</v>
      </c>
      <c r="F11214" s="137" t="s">
        <v>24</v>
      </c>
      <c r="G11214" s="128" t="str">
        <f>VLOOKUP(source[[#This Row],[lending_product_transform]],[3]Mapping!$B$4:$C$37,2,0)</f>
        <v>[Cake] - Cashloan</v>
      </c>
      <c r="H11214" s="128" t="str">
        <f>VLOOKUP(source[[#This Row],[lending_product_transform]],[3]Mapping!$B$3:$D$37,3,0)</f>
        <v>cashloan</v>
      </c>
      <c r="I11214" s="143">
        <v>529500000</v>
      </c>
    </row>
    <row r="11215" spans="1:9" x14ac:dyDescent="0.2">
      <c r="A11215" s="172">
        <v>46003</v>
      </c>
      <c r="B11215" s="135">
        <f>YEAR(source[[#This Row],[report_date]])</f>
        <v>2025</v>
      </c>
      <c r="C11215" s="128">
        <f t="shared" si="523"/>
        <v>12</v>
      </c>
      <c r="D11215" s="136">
        <f t="shared" si="525"/>
        <v>50</v>
      </c>
      <c r="E11215" s="136">
        <f t="shared" si="524"/>
        <v>12</v>
      </c>
      <c r="F11215" s="137" t="s">
        <v>24</v>
      </c>
      <c r="G11215" s="128" t="str">
        <f>VLOOKUP(source[[#This Row],[lending_product_transform]],[3]Mapping!$B$4:$C$37,2,0)</f>
        <v>[Cake] - Cashloan</v>
      </c>
      <c r="H11215" s="128" t="str">
        <f>VLOOKUP(source[[#This Row],[lending_product_transform]],[3]Mapping!$B$3:$D$37,3,0)</f>
        <v>cashloan</v>
      </c>
      <c r="I11215" s="143">
        <v>18716580000</v>
      </c>
    </row>
    <row r="11216" spans="1:9" x14ac:dyDescent="0.2">
      <c r="A11216" s="172">
        <v>46003</v>
      </c>
      <c r="B11216" s="135">
        <f>YEAR(source[[#This Row],[report_date]])</f>
        <v>2025</v>
      </c>
      <c r="C11216" s="128">
        <f t="shared" si="523"/>
        <v>12</v>
      </c>
      <c r="D11216" s="136">
        <f t="shared" si="525"/>
        <v>50</v>
      </c>
      <c r="E11216" s="136">
        <f t="shared" si="524"/>
        <v>12</v>
      </c>
      <c r="F11216" s="137" t="s">
        <v>24</v>
      </c>
      <c r="G11216" s="128" t="str">
        <f>VLOOKUP(source[[#This Row],[lending_product_transform]],[3]Mapping!$B$4:$C$37,2,0)</f>
        <v>[Cake] - Cashloan</v>
      </c>
      <c r="H11216" s="128" t="str">
        <f>VLOOKUP(source[[#This Row],[lending_product_transform]],[3]Mapping!$B$3:$D$37,3,0)</f>
        <v>cashloan</v>
      </c>
      <c r="I11216" s="143">
        <v>0</v>
      </c>
    </row>
    <row r="11217" spans="1:9" x14ac:dyDescent="0.2">
      <c r="A11217" s="172">
        <v>46003</v>
      </c>
      <c r="B11217" s="135">
        <f>YEAR(source[[#This Row],[report_date]])</f>
        <v>2025</v>
      </c>
      <c r="C11217" s="128">
        <f t="shared" si="523"/>
        <v>12</v>
      </c>
      <c r="D11217" s="136">
        <f t="shared" si="525"/>
        <v>50</v>
      </c>
      <c r="E11217" s="136">
        <f t="shared" si="524"/>
        <v>12</v>
      </c>
      <c r="F11217" s="137" t="s">
        <v>24</v>
      </c>
      <c r="G11217" s="128" t="str">
        <f>VLOOKUP(source[[#This Row],[lending_product_transform]],[3]Mapping!$B$4:$C$37,2,0)</f>
        <v>[Cake] - Cashloan</v>
      </c>
      <c r="H11217" s="128" t="str">
        <f>VLOOKUP(source[[#This Row],[lending_product_transform]],[3]Mapping!$B$3:$D$37,3,0)</f>
        <v>cashloan</v>
      </c>
      <c r="I11217" s="143">
        <v>0</v>
      </c>
    </row>
    <row r="11218" spans="1:9" x14ac:dyDescent="0.2">
      <c r="A11218" s="172">
        <v>46003</v>
      </c>
      <c r="B11218" s="135">
        <f>YEAR(source[[#This Row],[report_date]])</f>
        <v>2025</v>
      </c>
      <c r="C11218" s="128">
        <f t="shared" si="523"/>
        <v>12</v>
      </c>
      <c r="D11218" s="136">
        <f t="shared" si="525"/>
        <v>50</v>
      </c>
      <c r="E11218" s="136">
        <f t="shared" si="524"/>
        <v>12</v>
      </c>
      <c r="F11218" s="137" t="s">
        <v>24</v>
      </c>
      <c r="G11218" s="128" t="str">
        <f>VLOOKUP(source[[#This Row],[lending_product_transform]],[3]Mapping!$B$4:$C$37,2,0)</f>
        <v>[Cake] - Cashloan</v>
      </c>
      <c r="H11218" s="128" t="str">
        <f>VLOOKUP(source[[#This Row],[lending_product_transform]],[3]Mapping!$B$3:$D$37,3,0)</f>
        <v>cashloan</v>
      </c>
      <c r="I11218" s="143">
        <v>0</v>
      </c>
    </row>
    <row r="11219" spans="1:9" x14ac:dyDescent="0.2">
      <c r="A11219" s="172">
        <v>46003</v>
      </c>
      <c r="B11219" s="135">
        <f>YEAR(source[[#This Row],[report_date]])</f>
        <v>2025</v>
      </c>
      <c r="C11219" s="128">
        <f t="shared" si="523"/>
        <v>12</v>
      </c>
      <c r="D11219" s="136">
        <f t="shared" si="525"/>
        <v>50</v>
      </c>
      <c r="E11219" s="136">
        <f t="shared" si="524"/>
        <v>12</v>
      </c>
      <c r="F11219" s="137" t="s">
        <v>24</v>
      </c>
      <c r="G11219" s="128" t="str">
        <f>VLOOKUP(source[[#This Row],[lending_product_transform]],[3]Mapping!$B$4:$C$37,2,0)</f>
        <v>[Cake] - Cashloan</v>
      </c>
      <c r="H11219" s="128" t="str">
        <f>VLOOKUP(source[[#This Row],[lending_product_transform]],[3]Mapping!$B$3:$D$37,3,0)</f>
        <v>cashloan</v>
      </c>
      <c r="I11219" s="143">
        <v>0</v>
      </c>
    </row>
    <row r="11220" spans="1:9" x14ac:dyDescent="0.2">
      <c r="A11220" s="172">
        <v>46003</v>
      </c>
      <c r="B11220" s="135">
        <f>YEAR(source[[#This Row],[report_date]])</f>
        <v>2025</v>
      </c>
      <c r="C11220" s="128">
        <f t="shared" si="523"/>
        <v>12</v>
      </c>
      <c r="D11220" s="136">
        <f t="shared" si="525"/>
        <v>50</v>
      </c>
      <c r="E11220" s="136">
        <f t="shared" si="524"/>
        <v>12</v>
      </c>
      <c r="F11220" s="137" t="s">
        <v>24</v>
      </c>
      <c r="G11220" s="128" t="str">
        <f>VLOOKUP(source[[#This Row],[lending_product_transform]],[3]Mapping!$B$4:$C$37,2,0)</f>
        <v>[Cake] - Cashloan</v>
      </c>
      <c r="H11220" s="128" t="str">
        <f>VLOOKUP(source[[#This Row],[lending_product_transform]],[3]Mapping!$B$3:$D$37,3,0)</f>
        <v>cashloan</v>
      </c>
      <c r="I11220" s="143">
        <v>10791360000</v>
      </c>
    </row>
    <row r="11221" spans="1:9" x14ac:dyDescent="0.2">
      <c r="A11221" s="172">
        <v>46003</v>
      </c>
      <c r="B11221" s="135">
        <f>YEAR(source[[#This Row],[report_date]])</f>
        <v>2025</v>
      </c>
      <c r="C11221" s="128">
        <f t="shared" si="523"/>
        <v>12</v>
      </c>
      <c r="D11221" s="136">
        <f t="shared" si="525"/>
        <v>50</v>
      </c>
      <c r="E11221" s="136">
        <f t="shared" si="524"/>
        <v>12</v>
      </c>
      <c r="F11221" s="137" t="s">
        <v>24</v>
      </c>
      <c r="G11221" s="128" t="str">
        <f>VLOOKUP(source[[#This Row],[lending_product_transform]],[3]Mapping!$B$4:$C$37,2,0)</f>
        <v>[Cake] - Cashloan</v>
      </c>
      <c r="H11221" s="128" t="str">
        <f>VLOOKUP(source[[#This Row],[lending_product_transform]],[3]Mapping!$B$3:$D$37,3,0)</f>
        <v>cashloan</v>
      </c>
      <c r="I11221" s="143">
        <v>221272322</v>
      </c>
    </row>
    <row r="11222" spans="1:9" x14ac:dyDescent="0.2">
      <c r="A11222" s="172">
        <v>46003</v>
      </c>
      <c r="B11222" s="135">
        <f>YEAR(source[[#This Row],[report_date]])</f>
        <v>2025</v>
      </c>
      <c r="C11222" s="128">
        <f t="shared" si="523"/>
        <v>12</v>
      </c>
      <c r="D11222" s="136">
        <f t="shared" si="525"/>
        <v>50</v>
      </c>
      <c r="E11222" s="136">
        <f t="shared" si="524"/>
        <v>12</v>
      </c>
      <c r="F11222" s="137" t="s">
        <v>24</v>
      </c>
      <c r="G11222" s="128" t="str">
        <f>VLOOKUP(source[[#This Row],[lending_product_transform]],[3]Mapping!$B$4:$C$37,2,0)</f>
        <v>[Cake] - Cashloan</v>
      </c>
      <c r="H11222" s="128" t="str">
        <f>VLOOKUP(source[[#This Row],[lending_product_transform]],[3]Mapping!$B$3:$D$37,3,0)</f>
        <v>cashloan</v>
      </c>
      <c r="I11222" s="143">
        <v>42000000</v>
      </c>
    </row>
    <row r="11223" spans="1:9" x14ac:dyDescent="0.2">
      <c r="A11223" s="172">
        <v>46003</v>
      </c>
      <c r="B11223" s="135">
        <f>YEAR(source[[#This Row],[report_date]])</f>
        <v>2025</v>
      </c>
      <c r="C11223" s="128">
        <f t="shared" si="523"/>
        <v>12</v>
      </c>
      <c r="D11223" s="136">
        <f t="shared" si="525"/>
        <v>50</v>
      </c>
      <c r="E11223" s="136">
        <f t="shared" si="524"/>
        <v>12</v>
      </c>
      <c r="F11223" s="137" t="s">
        <v>24</v>
      </c>
      <c r="G11223" s="128" t="str">
        <f>VLOOKUP(source[[#This Row],[lending_product_transform]],[3]Mapping!$B$4:$C$37,2,0)</f>
        <v>[Cake] - Cashloan</v>
      </c>
      <c r="H11223" s="128" t="str">
        <f>VLOOKUP(source[[#This Row],[lending_product_transform]],[3]Mapping!$B$3:$D$37,3,0)</f>
        <v>cashloan</v>
      </c>
      <c r="I11223" s="143">
        <v>27000000</v>
      </c>
    </row>
    <row r="11224" spans="1:9" x14ac:dyDescent="0.2">
      <c r="A11224" s="172">
        <v>46003</v>
      </c>
      <c r="B11224" s="135">
        <f>YEAR(source[[#This Row],[report_date]])</f>
        <v>2025</v>
      </c>
      <c r="C11224" s="128">
        <f t="shared" si="523"/>
        <v>12</v>
      </c>
      <c r="D11224" s="136">
        <f t="shared" si="525"/>
        <v>50</v>
      </c>
      <c r="E11224" s="136">
        <f t="shared" si="524"/>
        <v>12</v>
      </c>
      <c r="F11224" s="137" t="s">
        <v>24</v>
      </c>
      <c r="G11224" s="128" t="str">
        <f>VLOOKUP(source[[#This Row],[lending_product_transform]],[3]Mapping!$B$4:$C$37,2,0)</f>
        <v>[Cake] - Cashloan</v>
      </c>
      <c r="H11224" s="128" t="str">
        <f>VLOOKUP(source[[#This Row],[lending_product_transform]],[3]Mapping!$B$3:$D$37,3,0)</f>
        <v>cashloan</v>
      </c>
      <c r="I11224" s="143">
        <v>629520000</v>
      </c>
    </row>
    <row r="11225" spans="1:9" x14ac:dyDescent="0.2">
      <c r="A11225" s="172">
        <v>46003</v>
      </c>
      <c r="B11225" s="135">
        <f>YEAR(source[[#This Row],[report_date]])</f>
        <v>2025</v>
      </c>
      <c r="C11225" s="128">
        <f t="shared" si="523"/>
        <v>12</v>
      </c>
      <c r="D11225" s="136">
        <f t="shared" si="525"/>
        <v>50</v>
      </c>
      <c r="E11225" s="136">
        <f t="shared" si="524"/>
        <v>12</v>
      </c>
      <c r="F11225" s="137" t="s">
        <v>24</v>
      </c>
      <c r="G11225" s="128" t="str">
        <f>VLOOKUP(source[[#This Row],[lending_product_transform]],[3]Mapping!$B$4:$C$37,2,0)</f>
        <v>[Cake] - Cashloan</v>
      </c>
      <c r="H11225" s="128" t="str">
        <f>VLOOKUP(source[[#This Row],[lending_product_transform]],[3]Mapping!$B$3:$D$37,3,0)</f>
        <v>cashloan</v>
      </c>
      <c r="I11225" s="143">
        <v>279612000</v>
      </c>
    </row>
    <row r="11226" spans="1:9" x14ac:dyDescent="0.2">
      <c r="A11226" s="172">
        <v>46003</v>
      </c>
      <c r="B11226" s="135">
        <f>YEAR(source[[#This Row],[report_date]])</f>
        <v>2025</v>
      </c>
      <c r="C11226" s="128">
        <f t="shared" si="523"/>
        <v>12</v>
      </c>
      <c r="D11226" s="136">
        <f t="shared" si="525"/>
        <v>50</v>
      </c>
      <c r="E11226" s="136">
        <f t="shared" si="524"/>
        <v>12</v>
      </c>
      <c r="F11226" s="137" t="s">
        <v>24</v>
      </c>
      <c r="G11226" s="128" t="str">
        <f>VLOOKUP(source[[#This Row],[lending_product_transform]],[3]Mapping!$B$4:$C$37,2,0)</f>
        <v>[Cake] - Cashloan</v>
      </c>
      <c r="H11226" s="128" t="str">
        <f>VLOOKUP(source[[#This Row],[lending_product_transform]],[3]Mapping!$B$3:$D$37,3,0)</f>
        <v>cashloan</v>
      </c>
      <c r="I11226" s="143">
        <v>379124560</v>
      </c>
    </row>
    <row r="11227" spans="1:9" x14ac:dyDescent="0.2">
      <c r="A11227" s="172">
        <v>46003</v>
      </c>
      <c r="B11227" s="135">
        <f>YEAR(source[[#This Row],[report_date]])</f>
        <v>2025</v>
      </c>
      <c r="C11227" s="128">
        <f t="shared" si="523"/>
        <v>12</v>
      </c>
      <c r="D11227" s="136">
        <f t="shared" si="525"/>
        <v>50</v>
      </c>
      <c r="E11227" s="136">
        <f t="shared" si="524"/>
        <v>12</v>
      </c>
      <c r="F11227" s="137" t="s">
        <v>24</v>
      </c>
      <c r="G11227" s="128" t="str">
        <f>VLOOKUP(source[[#This Row],[lending_product_transform]],[3]Mapping!$B$4:$C$37,2,0)</f>
        <v>[Cake] - Cashloan</v>
      </c>
      <c r="H11227" s="128" t="str">
        <f>VLOOKUP(source[[#This Row],[lending_product_transform]],[3]Mapping!$B$3:$D$37,3,0)</f>
        <v>cashloan</v>
      </c>
      <c r="I11227" s="143">
        <v>3374000000</v>
      </c>
    </row>
    <row r="11228" spans="1:9" x14ac:dyDescent="0.2">
      <c r="A11228" s="172">
        <v>46003</v>
      </c>
      <c r="B11228" s="135">
        <f>YEAR(source[[#This Row],[report_date]])</f>
        <v>2025</v>
      </c>
      <c r="C11228" s="128">
        <f t="shared" si="523"/>
        <v>12</v>
      </c>
      <c r="D11228" s="136">
        <f t="shared" si="525"/>
        <v>50</v>
      </c>
      <c r="E11228" s="136">
        <f t="shared" si="524"/>
        <v>12</v>
      </c>
      <c r="F11228" s="137" t="s">
        <v>24</v>
      </c>
      <c r="G11228" s="128" t="str">
        <f>VLOOKUP(source[[#This Row],[lending_product_transform]],[3]Mapping!$B$4:$C$37,2,0)</f>
        <v>[Cake] - Cashloan</v>
      </c>
      <c r="H11228" s="128" t="str">
        <f>VLOOKUP(source[[#This Row],[lending_product_transform]],[3]Mapping!$B$3:$D$37,3,0)</f>
        <v>cashloan</v>
      </c>
      <c r="I11228" s="143">
        <v>0</v>
      </c>
    </row>
    <row r="11229" spans="1:9" x14ac:dyDescent="0.2">
      <c r="A11229" s="172">
        <v>46004</v>
      </c>
      <c r="B11229" s="135">
        <f>YEAR(source[[#This Row],[report_date]])</f>
        <v>2025</v>
      </c>
      <c r="C11229" s="128">
        <f t="shared" si="523"/>
        <v>12</v>
      </c>
      <c r="D11229" s="136">
        <f t="shared" si="525"/>
        <v>50</v>
      </c>
      <c r="E11229" s="136">
        <f t="shared" si="524"/>
        <v>13</v>
      </c>
      <c r="F11229" s="137" t="s">
        <v>24</v>
      </c>
      <c r="G11229" s="128" t="str">
        <f>VLOOKUP(source[[#This Row],[lending_product_transform]],[3]Mapping!$B$4:$C$37,2,0)</f>
        <v>[Cake] - Cashloan</v>
      </c>
      <c r="H11229" s="128" t="str">
        <f>VLOOKUP(source[[#This Row],[lending_product_transform]],[3]Mapping!$B$3:$D$37,3,0)</f>
        <v>cashloan</v>
      </c>
      <c r="I11229" s="143">
        <v>236200000</v>
      </c>
    </row>
    <row r="11230" spans="1:9" x14ac:dyDescent="0.2">
      <c r="A11230" s="172">
        <v>46004</v>
      </c>
      <c r="B11230" s="135">
        <f>YEAR(source[[#This Row],[report_date]])</f>
        <v>2025</v>
      </c>
      <c r="C11230" s="128">
        <f t="shared" si="523"/>
        <v>12</v>
      </c>
      <c r="D11230" s="136">
        <f t="shared" si="525"/>
        <v>50</v>
      </c>
      <c r="E11230" s="136">
        <f t="shared" si="524"/>
        <v>13</v>
      </c>
      <c r="F11230" s="137" t="s">
        <v>24</v>
      </c>
      <c r="G11230" s="128" t="str">
        <f>VLOOKUP(source[[#This Row],[lending_product_transform]],[3]Mapping!$B$4:$C$37,2,0)</f>
        <v>[Cake] - Cashloan</v>
      </c>
      <c r="H11230" s="128" t="str">
        <f>VLOOKUP(source[[#This Row],[lending_product_transform]],[3]Mapping!$B$3:$D$37,3,0)</f>
        <v>cashloan</v>
      </c>
      <c r="I11230" s="143">
        <v>406994723</v>
      </c>
    </row>
    <row r="11231" spans="1:9" x14ac:dyDescent="0.2">
      <c r="A11231" s="172">
        <v>46004</v>
      </c>
      <c r="B11231" s="135">
        <f>YEAR(source[[#This Row],[report_date]])</f>
        <v>2025</v>
      </c>
      <c r="C11231" s="128">
        <f t="shared" si="523"/>
        <v>12</v>
      </c>
      <c r="D11231" s="136">
        <f t="shared" si="525"/>
        <v>50</v>
      </c>
      <c r="E11231" s="136">
        <f t="shared" si="524"/>
        <v>13</v>
      </c>
      <c r="F11231" s="137" t="s">
        <v>24</v>
      </c>
      <c r="G11231" s="128" t="str">
        <f>VLOOKUP(source[[#This Row],[lending_product_transform]],[3]Mapping!$B$4:$C$37,2,0)</f>
        <v>[Cake] - Cashloan</v>
      </c>
      <c r="H11231" s="128" t="str">
        <f>VLOOKUP(source[[#This Row],[lending_product_transform]],[3]Mapping!$B$3:$D$37,3,0)</f>
        <v>cashloan</v>
      </c>
      <c r="I11231" s="143">
        <v>14148710000</v>
      </c>
    </row>
    <row r="11232" spans="1:9" x14ac:dyDescent="0.2">
      <c r="A11232" s="172">
        <v>46004</v>
      </c>
      <c r="B11232" s="135">
        <f>YEAR(source[[#This Row],[report_date]])</f>
        <v>2025</v>
      </c>
      <c r="C11232" s="128">
        <f t="shared" si="523"/>
        <v>12</v>
      </c>
      <c r="D11232" s="136">
        <f t="shared" si="525"/>
        <v>50</v>
      </c>
      <c r="E11232" s="136">
        <f t="shared" si="524"/>
        <v>13</v>
      </c>
      <c r="F11232" s="137" t="s">
        <v>24</v>
      </c>
      <c r="G11232" s="128" t="str">
        <f>VLOOKUP(source[[#This Row],[lending_product_transform]],[3]Mapping!$B$4:$C$37,2,0)</f>
        <v>[Cake] - Cashloan</v>
      </c>
      <c r="H11232" s="128" t="str">
        <f>VLOOKUP(source[[#This Row],[lending_product_transform]],[3]Mapping!$B$3:$D$37,3,0)</f>
        <v>cashloan</v>
      </c>
      <c r="I11232" s="143">
        <v>1680215045</v>
      </c>
    </row>
    <row r="11233" spans="1:9" x14ac:dyDescent="0.2">
      <c r="A11233" s="172">
        <v>46004</v>
      </c>
      <c r="B11233" s="135">
        <f>YEAR(source[[#This Row],[report_date]])</f>
        <v>2025</v>
      </c>
      <c r="C11233" s="128">
        <f t="shared" si="523"/>
        <v>12</v>
      </c>
      <c r="D11233" s="136">
        <f t="shared" si="525"/>
        <v>50</v>
      </c>
      <c r="E11233" s="136">
        <f t="shared" si="524"/>
        <v>13</v>
      </c>
      <c r="F11233" s="137" t="s">
        <v>24</v>
      </c>
      <c r="G11233" s="128" t="str">
        <f>VLOOKUP(source[[#This Row],[lending_product_transform]],[3]Mapping!$B$4:$C$37,2,0)</f>
        <v>[Cake] - Cashloan</v>
      </c>
      <c r="H11233" s="128" t="str">
        <f>VLOOKUP(source[[#This Row],[lending_product_transform]],[3]Mapping!$B$3:$D$37,3,0)</f>
        <v>cashloan</v>
      </c>
      <c r="I11233" s="143">
        <v>10704420000</v>
      </c>
    </row>
    <row r="11234" spans="1:9" x14ac:dyDescent="0.2">
      <c r="A11234" s="172">
        <v>46004</v>
      </c>
      <c r="B11234" s="135">
        <f>YEAR(source[[#This Row],[report_date]])</f>
        <v>2025</v>
      </c>
      <c r="C11234" s="128">
        <f t="shared" si="523"/>
        <v>12</v>
      </c>
      <c r="D11234" s="136">
        <f t="shared" si="525"/>
        <v>50</v>
      </c>
      <c r="E11234" s="136">
        <f t="shared" si="524"/>
        <v>13</v>
      </c>
      <c r="F11234" s="137" t="s">
        <v>24</v>
      </c>
      <c r="G11234" s="128" t="str">
        <f>VLOOKUP(source[[#This Row],[lending_product_transform]],[3]Mapping!$B$4:$C$37,2,0)</f>
        <v>[Cake] - Cashloan</v>
      </c>
      <c r="H11234" s="128" t="str">
        <f>VLOOKUP(source[[#This Row],[lending_product_transform]],[3]Mapping!$B$3:$D$37,3,0)</f>
        <v>cashloan</v>
      </c>
      <c r="I11234" s="143">
        <v>10710184</v>
      </c>
    </row>
    <row r="11235" spans="1:9" x14ac:dyDescent="0.2">
      <c r="A11235" s="172">
        <v>46004</v>
      </c>
      <c r="B11235" s="135">
        <f>YEAR(source[[#This Row],[report_date]])</f>
        <v>2025</v>
      </c>
      <c r="C11235" s="128">
        <f t="shared" si="523"/>
        <v>12</v>
      </c>
      <c r="D11235" s="136">
        <f t="shared" si="525"/>
        <v>50</v>
      </c>
      <c r="E11235" s="136">
        <f t="shared" si="524"/>
        <v>13</v>
      </c>
      <c r="F11235" s="137" t="s">
        <v>24</v>
      </c>
      <c r="G11235" s="128" t="str">
        <f>VLOOKUP(source[[#This Row],[lending_product_transform]],[3]Mapping!$B$4:$C$37,2,0)</f>
        <v>[Cake] - Cashloan</v>
      </c>
      <c r="H11235" s="128" t="str">
        <f>VLOOKUP(source[[#This Row],[lending_product_transform]],[3]Mapping!$B$3:$D$37,3,0)</f>
        <v>cashloan</v>
      </c>
      <c r="I11235" s="143">
        <v>5237790000</v>
      </c>
    </row>
    <row r="11236" spans="1:9" x14ac:dyDescent="0.2">
      <c r="A11236" s="172">
        <v>46004</v>
      </c>
      <c r="B11236" s="135">
        <f>YEAR(source[[#This Row],[report_date]])</f>
        <v>2025</v>
      </c>
      <c r="C11236" s="128">
        <f t="shared" si="523"/>
        <v>12</v>
      </c>
      <c r="D11236" s="136">
        <f t="shared" si="525"/>
        <v>50</v>
      </c>
      <c r="E11236" s="136">
        <f t="shared" si="524"/>
        <v>13</v>
      </c>
      <c r="F11236" s="137" t="s">
        <v>24</v>
      </c>
      <c r="G11236" s="128" t="str">
        <f>VLOOKUP(source[[#This Row],[lending_product_transform]],[3]Mapping!$B$4:$C$37,2,0)</f>
        <v>[Cake] - Cashloan</v>
      </c>
      <c r="H11236" s="128" t="str">
        <f>VLOOKUP(source[[#This Row],[lending_product_transform]],[3]Mapping!$B$3:$D$37,3,0)</f>
        <v>cashloan</v>
      </c>
      <c r="I11236" s="143">
        <v>11248153</v>
      </c>
    </row>
    <row r="11237" spans="1:9" x14ac:dyDescent="0.2">
      <c r="A11237" s="172">
        <v>46004</v>
      </c>
      <c r="B11237" s="135">
        <f>YEAR(source[[#This Row],[report_date]])</f>
        <v>2025</v>
      </c>
      <c r="C11237" s="128">
        <f t="shared" si="523"/>
        <v>12</v>
      </c>
      <c r="D11237" s="136">
        <f t="shared" si="525"/>
        <v>50</v>
      </c>
      <c r="E11237" s="136">
        <f t="shared" si="524"/>
        <v>13</v>
      </c>
      <c r="F11237" s="137" t="s">
        <v>24</v>
      </c>
      <c r="G11237" s="128" t="str">
        <f>VLOOKUP(source[[#This Row],[lending_product_transform]],[3]Mapping!$B$4:$C$37,2,0)</f>
        <v>[Cake] - Cashloan</v>
      </c>
      <c r="H11237" s="128" t="str">
        <f>VLOOKUP(source[[#This Row],[lending_product_transform]],[3]Mapping!$B$3:$D$37,3,0)</f>
        <v>cashloan</v>
      </c>
      <c r="I11237" s="143">
        <v>1336192353</v>
      </c>
    </row>
    <row r="11238" spans="1:9" x14ac:dyDescent="0.2">
      <c r="A11238" s="172">
        <v>46004</v>
      </c>
      <c r="B11238" s="135">
        <f>YEAR(source[[#This Row],[report_date]])</f>
        <v>2025</v>
      </c>
      <c r="C11238" s="128">
        <f t="shared" si="523"/>
        <v>12</v>
      </c>
      <c r="D11238" s="136">
        <f t="shared" si="525"/>
        <v>50</v>
      </c>
      <c r="E11238" s="136">
        <f t="shared" si="524"/>
        <v>13</v>
      </c>
      <c r="F11238" s="137" t="s">
        <v>24</v>
      </c>
      <c r="G11238" s="128" t="str">
        <f>VLOOKUP(source[[#This Row],[lending_product_transform]],[3]Mapping!$B$4:$C$37,2,0)</f>
        <v>[Cake] - Cashloan</v>
      </c>
      <c r="H11238" s="128" t="str">
        <f>VLOOKUP(source[[#This Row],[lending_product_transform]],[3]Mapping!$B$3:$D$37,3,0)</f>
        <v>cashloan</v>
      </c>
      <c r="I11238" s="143">
        <v>0</v>
      </c>
    </row>
    <row r="11239" spans="1:9" x14ac:dyDescent="0.2">
      <c r="A11239" s="172">
        <v>46004</v>
      </c>
      <c r="B11239" s="135">
        <f>YEAR(source[[#This Row],[report_date]])</f>
        <v>2025</v>
      </c>
      <c r="C11239" s="128">
        <f t="shared" si="523"/>
        <v>12</v>
      </c>
      <c r="D11239" s="136">
        <f t="shared" si="525"/>
        <v>50</v>
      </c>
      <c r="E11239" s="136">
        <f t="shared" si="524"/>
        <v>13</v>
      </c>
      <c r="F11239" s="137" t="s">
        <v>24</v>
      </c>
      <c r="G11239" s="128" t="str">
        <f>VLOOKUP(source[[#This Row],[lending_product_transform]],[3]Mapping!$B$4:$C$37,2,0)</f>
        <v>[Cake] - Cashloan</v>
      </c>
      <c r="H11239" s="128" t="str">
        <f>VLOOKUP(source[[#This Row],[lending_product_transform]],[3]Mapping!$B$3:$D$37,3,0)</f>
        <v>cashloan</v>
      </c>
      <c r="I11239" s="143">
        <v>701300000</v>
      </c>
    </row>
    <row r="11240" spans="1:9" x14ac:dyDescent="0.2">
      <c r="A11240" s="172">
        <v>46004</v>
      </c>
      <c r="B11240" s="135">
        <f>YEAR(source[[#This Row],[report_date]])</f>
        <v>2025</v>
      </c>
      <c r="C11240" s="128">
        <f t="shared" si="523"/>
        <v>12</v>
      </c>
      <c r="D11240" s="136">
        <f t="shared" si="525"/>
        <v>50</v>
      </c>
      <c r="E11240" s="136">
        <f t="shared" si="524"/>
        <v>13</v>
      </c>
      <c r="F11240" s="137" t="s">
        <v>24</v>
      </c>
      <c r="G11240" s="128" t="str">
        <f>VLOOKUP(source[[#This Row],[lending_product_transform]],[3]Mapping!$B$4:$C$37,2,0)</f>
        <v>[Cake] - Cashloan</v>
      </c>
      <c r="H11240" s="128" t="str">
        <f>VLOOKUP(source[[#This Row],[lending_product_transform]],[3]Mapping!$B$3:$D$37,3,0)</f>
        <v>cashloan</v>
      </c>
      <c r="I11240" s="143">
        <v>14682880000</v>
      </c>
    </row>
    <row r="11241" spans="1:9" x14ac:dyDescent="0.2">
      <c r="A11241" s="172">
        <v>46004</v>
      </c>
      <c r="B11241" s="135">
        <f>YEAR(source[[#This Row],[report_date]])</f>
        <v>2025</v>
      </c>
      <c r="C11241" s="128">
        <f t="shared" si="523"/>
        <v>12</v>
      </c>
      <c r="D11241" s="136">
        <f t="shared" si="525"/>
        <v>50</v>
      </c>
      <c r="E11241" s="136">
        <f t="shared" si="524"/>
        <v>13</v>
      </c>
      <c r="F11241" s="137" t="s">
        <v>24</v>
      </c>
      <c r="G11241" s="128" t="str">
        <f>VLOOKUP(source[[#This Row],[lending_product_transform]],[3]Mapping!$B$4:$C$37,2,0)</f>
        <v>[Cake] - Cashloan</v>
      </c>
      <c r="H11241" s="128" t="str">
        <f>VLOOKUP(source[[#This Row],[lending_product_transform]],[3]Mapping!$B$3:$D$37,3,0)</f>
        <v>cashloan</v>
      </c>
      <c r="I11241" s="143">
        <v>0</v>
      </c>
    </row>
    <row r="11242" spans="1:9" x14ac:dyDescent="0.2">
      <c r="A11242" s="172">
        <v>46004</v>
      </c>
      <c r="B11242" s="135">
        <f>YEAR(source[[#This Row],[report_date]])</f>
        <v>2025</v>
      </c>
      <c r="C11242" s="128">
        <f t="shared" si="523"/>
        <v>12</v>
      </c>
      <c r="D11242" s="136">
        <f t="shared" si="525"/>
        <v>50</v>
      </c>
      <c r="E11242" s="136">
        <f t="shared" si="524"/>
        <v>13</v>
      </c>
      <c r="F11242" s="137" t="s">
        <v>24</v>
      </c>
      <c r="G11242" s="128" t="str">
        <f>VLOOKUP(source[[#This Row],[lending_product_transform]],[3]Mapping!$B$4:$C$37,2,0)</f>
        <v>[Cake] - Cashloan</v>
      </c>
      <c r="H11242" s="128" t="str">
        <f>VLOOKUP(source[[#This Row],[lending_product_transform]],[3]Mapping!$B$3:$D$37,3,0)</f>
        <v>cashloan</v>
      </c>
      <c r="I11242" s="143">
        <v>0</v>
      </c>
    </row>
    <row r="11243" spans="1:9" x14ac:dyDescent="0.2">
      <c r="A11243" s="172">
        <v>46004</v>
      </c>
      <c r="B11243" s="135">
        <f>YEAR(source[[#This Row],[report_date]])</f>
        <v>2025</v>
      </c>
      <c r="C11243" s="128">
        <f t="shared" si="523"/>
        <v>12</v>
      </c>
      <c r="D11243" s="136">
        <f t="shared" si="525"/>
        <v>50</v>
      </c>
      <c r="E11243" s="136">
        <f t="shared" si="524"/>
        <v>13</v>
      </c>
      <c r="F11243" s="137" t="s">
        <v>24</v>
      </c>
      <c r="G11243" s="128" t="str">
        <f>VLOOKUP(source[[#This Row],[lending_product_transform]],[3]Mapping!$B$4:$C$37,2,0)</f>
        <v>[Cake] - Cashloan</v>
      </c>
      <c r="H11243" s="128" t="str">
        <f>VLOOKUP(source[[#This Row],[lending_product_transform]],[3]Mapping!$B$3:$D$37,3,0)</f>
        <v>cashloan</v>
      </c>
      <c r="I11243" s="143">
        <v>0</v>
      </c>
    </row>
    <row r="11244" spans="1:9" x14ac:dyDescent="0.2">
      <c r="A11244" s="172">
        <v>46004</v>
      </c>
      <c r="B11244" s="135">
        <f>YEAR(source[[#This Row],[report_date]])</f>
        <v>2025</v>
      </c>
      <c r="C11244" s="128">
        <f t="shared" si="523"/>
        <v>12</v>
      </c>
      <c r="D11244" s="136">
        <f t="shared" si="525"/>
        <v>50</v>
      </c>
      <c r="E11244" s="136">
        <f t="shared" si="524"/>
        <v>13</v>
      </c>
      <c r="F11244" s="137" t="s">
        <v>24</v>
      </c>
      <c r="G11244" s="128" t="str">
        <f>VLOOKUP(source[[#This Row],[lending_product_transform]],[3]Mapping!$B$4:$C$37,2,0)</f>
        <v>[Cake] - Cashloan</v>
      </c>
      <c r="H11244" s="128" t="str">
        <f>VLOOKUP(source[[#This Row],[lending_product_transform]],[3]Mapping!$B$3:$D$37,3,0)</f>
        <v>cashloan</v>
      </c>
      <c r="I11244" s="143">
        <v>0</v>
      </c>
    </row>
    <row r="11245" spans="1:9" x14ac:dyDescent="0.2">
      <c r="A11245" s="172">
        <v>46004</v>
      </c>
      <c r="B11245" s="135">
        <f>YEAR(source[[#This Row],[report_date]])</f>
        <v>2025</v>
      </c>
      <c r="C11245" s="128">
        <f t="shared" si="523"/>
        <v>12</v>
      </c>
      <c r="D11245" s="136">
        <f t="shared" si="525"/>
        <v>50</v>
      </c>
      <c r="E11245" s="136">
        <f t="shared" si="524"/>
        <v>13</v>
      </c>
      <c r="F11245" s="137" t="s">
        <v>24</v>
      </c>
      <c r="G11245" s="128" t="str">
        <f>VLOOKUP(source[[#This Row],[lending_product_transform]],[3]Mapping!$B$4:$C$37,2,0)</f>
        <v>[Cake] - Cashloan</v>
      </c>
      <c r="H11245" s="128" t="str">
        <f>VLOOKUP(source[[#This Row],[lending_product_transform]],[3]Mapping!$B$3:$D$37,3,0)</f>
        <v>cashloan</v>
      </c>
      <c r="I11245" s="143">
        <v>9786420000</v>
      </c>
    </row>
    <row r="11246" spans="1:9" x14ac:dyDescent="0.2">
      <c r="A11246" s="172">
        <v>46004</v>
      </c>
      <c r="B11246" s="135">
        <f>YEAR(source[[#This Row],[report_date]])</f>
        <v>2025</v>
      </c>
      <c r="C11246" s="128">
        <f t="shared" si="523"/>
        <v>12</v>
      </c>
      <c r="D11246" s="136">
        <f t="shared" si="525"/>
        <v>50</v>
      </c>
      <c r="E11246" s="136">
        <f t="shared" si="524"/>
        <v>13</v>
      </c>
      <c r="F11246" s="137" t="s">
        <v>24</v>
      </c>
      <c r="G11246" s="128" t="str">
        <f>VLOOKUP(source[[#This Row],[lending_product_transform]],[3]Mapping!$B$4:$C$37,2,0)</f>
        <v>[Cake] - Cashloan</v>
      </c>
      <c r="H11246" s="128" t="str">
        <f>VLOOKUP(source[[#This Row],[lending_product_transform]],[3]Mapping!$B$3:$D$37,3,0)</f>
        <v>cashloan</v>
      </c>
      <c r="I11246" s="143">
        <v>207424392</v>
      </c>
    </row>
    <row r="11247" spans="1:9" x14ac:dyDescent="0.2">
      <c r="A11247" s="172">
        <v>46004</v>
      </c>
      <c r="B11247" s="135">
        <f>YEAR(source[[#This Row],[report_date]])</f>
        <v>2025</v>
      </c>
      <c r="C11247" s="128">
        <f t="shared" si="523"/>
        <v>12</v>
      </c>
      <c r="D11247" s="136">
        <f t="shared" si="525"/>
        <v>50</v>
      </c>
      <c r="E11247" s="136">
        <f t="shared" si="524"/>
        <v>13</v>
      </c>
      <c r="F11247" s="137" t="s">
        <v>24</v>
      </c>
      <c r="G11247" s="128" t="str">
        <f>VLOOKUP(source[[#This Row],[lending_product_transform]],[3]Mapping!$B$4:$C$37,2,0)</f>
        <v>[Cake] - Cashloan</v>
      </c>
      <c r="H11247" s="128" t="str">
        <f>VLOOKUP(source[[#This Row],[lending_product_transform]],[3]Mapping!$B$3:$D$37,3,0)</f>
        <v>cashloan</v>
      </c>
      <c r="I11247" s="143">
        <v>0</v>
      </c>
    </row>
    <row r="11248" spans="1:9" x14ac:dyDescent="0.2">
      <c r="A11248" s="172">
        <v>46004</v>
      </c>
      <c r="B11248" s="135">
        <f>YEAR(source[[#This Row],[report_date]])</f>
        <v>2025</v>
      </c>
      <c r="C11248" s="128">
        <f t="shared" si="523"/>
        <v>12</v>
      </c>
      <c r="D11248" s="136">
        <f t="shared" si="525"/>
        <v>50</v>
      </c>
      <c r="E11248" s="136">
        <f t="shared" si="524"/>
        <v>13</v>
      </c>
      <c r="F11248" s="137" t="s">
        <v>24</v>
      </c>
      <c r="G11248" s="128" t="str">
        <f>VLOOKUP(source[[#This Row],[lending_product_transform]],[3]Mapping!$B$4:$C$37,2,0)</f>
        <v>[Cake] - Cashloan</v>
      </c>
      <c r="H11248" s="128" t="str">
        <f>VLOOKUP(source[[#This Row],[lending_product_transform]],[3]Mapping!$B$3:$D$37,3,0)</f>
        <v>cashloan</v>
      </c>
      <c r="I11248" s="143">
        <v>33000000</v>
      </c>
    </row>
    <row r="11249" spans="1:9" x14ac:dyDescent="0.2">
      <c r="A11249" s="172">
        <v>46004</v>
      </c>
      <c r="B11249" s="135">
        <f>YEAR(source[[#This Row],[report_date]])</f>
        <v>2025</v>
      </c>
      <c r="C11249" s="128">
        <f t="shared" si="523"/>
        <v>12</v>
      </c>
      <c r="D11249" s="136">
        <f t="shared" si="525"/>
        <v>50</v>
      </c>
      <c r="E11249" s="136">
        <f t="shared" si="524"/>
        <v>13</v>
      </c>
      <c r="F11249" s="137" t="s">
        <v>24</v>
      </c>
      <c r="G11249" s="128" t="str">
        <f>VLOOKUP(source[[#This Row],[lending_product_transform]],[3]Mapping!$B$4:$C$37,2,0)</f>
        <v>[Cake] - Cashloan</v>
      </c>
      <c r="H11249" s="128" t="str">
        <f>VLOOKUP(source[[#This Row],[lending_product_transform]],[3]Mapping!$B$3:$D$37,3,0)</f>
        <v>cashloan</v>
      </c>
      <c r="I11249" s="143">
        <v>687270000</v>
      </c>
    </row>
    <row r="11250" spans="1:9" x14ac:dyDescent="0.2">
      <c r="A11250" s="172">
        <v>46004</v>
      </c>
      <c r="B11250" s="135">
        <f>YEAR(source[[#This Row],[report_date]])</f>
        <v>2025</v>
      </c>
      <c r="C11250" s="128">
        <f t="shared" si="523"/>
        <v>12</v>
      </c>
      <c r="D11250" s="136">
        <f t="shared" si="525"/>
        <v>50</v>
      </c>
      <c r="E11250" s="136">
        <f t="shared" si="524"/>
        <v>13</v>
      </c>
      <c r="F11250" s="137" t="s">
        <v>24</v>
      </c>
      <c r="G11250" s="128" t="str">
        <f>VLOOKUP(source[[#This Row],[lending_product_transform]],[3]Mapping!$B$4:$C$37,2,0)</f>
        <v>[Cake] - Cashloan</v>
      </c>
      <c r="H11250" s="128" t="str">
        <f>VLOOKUP(source[[#This Row],[lending_product_transform]],[3]Mapping!$B$3:$D$37,3,0)</f>
        <v>cashloan</v>
      </c>
      <c r="I11250" s="143">
        <v>236520000</v>
      </c>
    </row>
    <row r="11251" spans="1:9" x14ac:dyDescent="0.2">
      <c r="A11251" s="172">
        <v>46004</v>
      </c>
      <c r="B11251" s="135">
        <f>YEAR(source[[#This Row],[report_date]])</f>
        <v>2025</v>
      </c>
      <c r="C11251" s="128">
        <f t="shared" si="523"/>
        <v>12</v>
      </c>
      <c r="D11251" s="136">
        <f t="shared" si="525"/>
        <v>50</v>
      </c>
      <c r="E11251" s="136">
        <f t="shared" si="524"/>
        <v>13</v>
      </c>
      <c r="F11251" s="137" t="s">
        <v>24</v>
      </c>
      <c r="G11251" s="128" t="str">
        <f>VLOOKUP(source[[#This Row],[lending_product_transform]],[3]Mapping!$B$4:$C$37,2,0)</f>
        <v>[Cake] - Cashloan</v>
      </c>
      <c r="H11251" s="128" t="str">
        <f>VLOOKUP(source[[#This Row],[lending_product_transform]],[3]Mapping!$B$3:$D$37,3,0)</f>
        <v>cashloan</v>
      </c>
      <c r="I11251" s="143">
        <v>289114759</v>
      </c>
    </row>
    <row r="11252" spans="1:9" x14ac:dyDescent="0.2">
      <c r="A11252" s="172">
        <v>46004</v>
      </c>
      <c r="B11252" s="135">
        <f>YEAR(source[[#This Row],[report_date]])</f>
        <v>2025</v>
      </c>
      <c r="C11252" s="128">
        <f t="shared" si="523"/>
        <v>12</v>
      </c>
      <c r="D11252" s="136">
        <f t="shared" si="525"/>
        <v>50</v>
      </c>
      <c r="E11252" s="136">
        <f t="shared" si="524"/>
        <v>13</v>
      </c>
      <c r="F11252" s="137" t="s">
        <v>24</v>
      </c>
      <c r="G11252" s="128" t="str">
        <f>VLOOKUP(source[[#This Row],[lending_product_transform]],[3]Mapping!$B$4:$C$37,2,0)</f>
        <v>[Cake] - Cashloan</v>
      </c>
      <c r="H11252" s="128" t="str">
        <f>VLOOKUP(source[[#This Row],[lending_product_transform]],[3]Mapping!$B$3:$D$37,3,0)</f>
        <v>cashloan</v>
      </c>
      <c r="I11252" s="143">
        <v>2571910000</v>
      </c>
    </row>
    <row r="11253" spans="1:9" x14ac:dyDescent="0.2">
      <c r="A11253" s="172">
        <v>46004</v>
      </c>
      <c r="B11253" s="135">
        <f>YEAR(source[[#This Row],[report_date]])</f>
        <v>2025</v>
      </c>
      <c r="C11253" s="128">
        <f t="shared" si="523"/>
        <v>12</v>
      </c>
      <c r="D11253" s="136">
        <f t="shared" si="525"/>
        <v>50</v>
      </c>
      <c r="E11253" s="136">
        <f t="shared" si="524"/>
        <v>13</v>
      </c>
      <c r="F11253" s="137" t="s">
        <v>24</v>
      </c>
      <c r="G11253" s="128" t="str">
        <f>VLOOKUP(source[[#This Row],[lending_product_transform]],[3]Mapping!$B$4:$C$37,2,0)</f>
        <v>[Cake] - Cashloan</v>
      </c>
      <c r="H11253" s="128" t="str">
        <f>VLOOKUP(source[[#This Row],[lending_product_transform]],[3]Mapping!$B$3:$D$37,3,0)</f>
        <v>cashloan</v>
      </c>
      <c r="I11253" s="143">
        <v>0</v>
      </c>
    </row>
    <row r="11254" spans="1:9" x14ac:dyDescent="0.2">
      <c r="A11254" s="172">
        <v>46005</v>
      </c>
      <c r="B11254" s="135">
        <f>YEAR(source[[#This Row],[report_date]])</f>
        <v>2025</v>
      </c>
      <c r="C11254" s="128">
        <f t="shared" ref="C11254:C11317" si="526">MONTH(A11254)</f>
        <v>12</v>
      </c>
      <c r="D11254" s="136">
        <f t="shared" si="525"/>
        <v>50</v>
      </c>
      <c r="E11254" s="136">
        <f t="shared" ref="E11254:E11317" si="527">DAY(A11254)</f>
        <v>14</v>
      </c>
      <c r="F11254" s="137" t="s">
        <v>24</v>
      </c>
      <c r="G11254" s="128" t="str">
        <f>VLOOKUP(source[[#This Row],[lending_product_transform]],[3]Mapping!$B$4:$C$37,2,0)</f>
        <v>[Cake] - Cashloan</v>
      </c>
      <c r="H11254" s="128" t="str">
        <f>VLOOKUP(source[[#This Row],[lending_product_transform]],[3]Mapping!$B$3:$D$37,3,0)</f>
        <v>cashloan</v>
      </c>
      <c r="I11254" s="143">
        <v>170750000</v>
      </c>
    </row>
    <row r="11255" spans="1:9" x14ac:dyDescent="0.2">
      <c r="A11255" s="172">
        <v>46005</v>
      </c>
      <c r="B11255" s="135">
        <f>YEAR(source[[#This Row],[report_date]])</f>
        <v>2025</v>
      </c>
      <c r="C11255" s="128">
        <f t="shared" si="526"/>
        <v>12</v>
      </c>
      <c r="D11255" s="136">
        <f t="shared" si="525"/>
        <v>50</v>
      </c>
      <c r="E11255" s="136">
        <f t="shared" si="527"/>
        <v>14</v>
      </c>
      <c r="F11255" s="137" t="s">
        <v>24</v>
      </c>
      <c r="G11255" s="128" t="str">
        <f>VLOOKUP(source[[#This Row],[lending_product_transform]],[3]Mapping!$B$4:$C$37,2,0)</f>
        <v>[Cake] - Cashloan</v>
      </c>
      <c r="H11255" s="128" t="str">
        <f>VLOOKUP(source[[#This Row],[lending_product_transform]],[3]Mapping!$B$3:$D$37,3,0)</f>
        <v>cashloan</v>
      </c>
      <c r="I11255" s="143">
        <v>319235207</v>
      </c>
    </row>
    <row r="11256" spans="1:9" x14ac:dyDescent="0.2">
      <c r="A11256" s="172">
        <v>46005</v>
      </c>
      <c r="B11256" s="135">
        <f>YEAR(source[[#This Row],[report_date]])</f>
        <v>2025</v>
      </c>
      <c r="C11256" s="128">
        <f t="shared" si="526"/>
        <v>12</v>
      </c>
      <c r="D11256" s="136">
        <f t="shared" si="525"/>
        <v>50</v>
      </c>
      <c r="E11256" s="136">
        <f t="shared" si="527"/>
        <v>14</v>
      </c>
      <c r="F11256" s="137" t="s">
        <v>24</v>
      </c>
      <c r="G11256" s="128" t="str">
        <f>VLOOKUP(source[[#This Row],[lending_product_transform]],[3]Mapping!$B$4:$C$37,2,0)</f>
        <v>[Cake] - Cashloan</v>
      </c>
      <c r="H11256" s="128" t="str">
        <f>VLOOKUP(source[[#This Row],[lending_product_transform]],[3]Mapping!$B$3:$D$37,3,0)</f>
        <v>cashloan</v>
      </c>
      <c r="I11256" s="143">
        <v>12966470000</v>
      </c>
    </row>
    <row r="11257" spans="1:9" x14ac:dyDescent="0.2">
      <c r="A11257" s="172">
        <v>46005</v>
      </c>
      <c r="B11257" s="135">
        <f>YEAR(source[[#This Row],[report_date]])</f>
        <v>2025</v>
      </c>
      <c r="C11257" s="128">
        <f t="shared" si="526"/>
        <v>12</v>
      </c>
      <c r="D11257" s="136">
        <f t="shared" si="525"/>
        <v>50</v>
      </c>
      <c r="E11257" s="136">
        <f t="shared" si="527"/>
        <v>14</v>
      </c>
      <c r="F11257" s="137" t="s">
        <v>24</v>
      </c>
      <c r="G11257" s="128" t="str">
        <f>VLOOKUP(source[[#This Row],[lending_product_transform]],[3]Mapping!$B$4:$C$37,2,0)</f>
        <v>[Cake] - Cashloan</v>
      </c>
      <c r="H11257" s="128" t="str">
        <f>VLOOKUP(source[[#This Row],[lending_product_transform]],[3]Mapping!$B$3:$D$37,3,0)</f>
        <v>cashloan</v>
      </c>
      <c r="I11257" s="143">
        <v>1686921483</v>
      </c>
    </row>
    <row r="11258" spans="1:9" x14ac:dyDescent="0.2">
      <c r="A11258" s="172">
        <v>46005</v>
      </c>
      <c r="B11258" s="135">
        <f>YEAR(source[[#This Row],[report_date]])</f>
        <v>2025</v>
      </c>
      <c r="C11258" s="128">
        <f t="shared" si="526"/>
        <v>12</v>
      </c>
      <c r="D11258" s="136">
        <f t="shared" si="525"/>
        <v>50</v>
      </c>
      <c r="E11258" s="136">
        <f t="shared" si="527"/>
        <v>14</v>
      </c>
      <c r="F11258" s="137" t="s">
        <v>24</v>
      </c>
      <c r="G11258" s="128" t="str">
        <f>VLOOKUP(source[[#This Row],[lending_product_transform]],[3]Mapping!$B$4:$C$37,2,0)</f>
        <v>[Cake] - Cashloan</v>
      </c>
      <c r="H11258" s="128" t="str">
        <f>VLOOKUP(source[[#This Row],[lending_product_transform]],[3]Mapping!$B$3:$D$37,3,0)</f>
        <v>cashloan</v>
      </c>
      <c r="I11258" s="143">
        <v>10856160000</v>
      </c>
    </row>
    <row r="11259" spans="1:9" x14ac:dyDescent="0.2">
      <c r="A11259" s="172">
        <v>46005</v>
      </c>
      <c r="B11259" s="135">
        <f>YEAR(source[[#This Row],[report_date]])</f>
        <v>2025</v>
      </c>
      <c r="C11259" s="128">
        <f t="shared" si="526"/>
        <v>12</v>
      </c>
      <c r="D11259" s="136">
        <f t="shared" si="525"/>
        <v>50</v>
      </c>
      <c r="E11259" s="136">
        <f t="shared" si="527"/>
        <v>14</v>
      </c>
      <c r="F11259" s="137" t="s">
        <v>24</v>
      </c>
      <c r="G11259" s="128" t="str">
        <f>VLOOKUP(source[[#This Row],[lending_product_transform]],[3]Mapping!$B$4:$C$37,2,0)</f>
        <v>[Cake] - Cashloan</v>
      </c>
      <c r="H11259" s="128" t="str">
        <f>VLOOKUP(source[[#This Row],[lending_product_transform]],[3]Mapping!$B$3:$D$37,3,0)</f>
        <v>cashloan</v>
      </c>
      <c r="I11259" s="143">
        <v>24150949</v>
      </c>
    </row>
    <row r="11260" spans="1:9" x14ac:dyDescent="0.2">
      <c r="A11260" s="172">
        <v>46005</v>
      </c>
      <c r="B11260" s="135">
        <f>YEAR(source[[#This Row],[report_date]])</f>
        <v>2025</v>
      </c>
      <c r="C11260" s="128">
        <f t="shared" si="526"/>
        <v>12</v>
      </c>
      <c r="D11260" s="136">
        <f t="shared" si="525"/>
        <v>50</v>
      </c>
      <c r="E11260" s="136">
        <f t="shared" si="527"/>
        <v>14</v>
      </c>
      <c r="F11260" s="137" t="s">
        <v>24</v>
      </c>
      <c r="G11260" s="128" t="str">
        <f>VLOOKUP(source[[#This Row],[lending_product_transform]],[3]Mapping!$B$4:$C$37,2,0)</f>
        <v>[Cake] - Cashloan</v>
      </c>
      <c r="H11260" s="128" t="str">
        <f>VLOOKUP(source[[#This Row],[lending_product_transform]],[3]Mapping!$B$3:$D$37,3,0)</f>
        <v>cashloan</v>
      </c>
      <c r="I11260" s="143">
        <v>5494500000</v>
      </c>
    </row>
    <row r="11261" spans="1:9" x14ac:dyDescent="0.2">
      <c r="A11261" s="172">
        <v>46005</v>
      </c>
      <c r="B11261" s="135">
        <f>YEAR(source[[#This Row],[report_date]])</f>
        <v>2025</v>
      </c>
      <c r="C11261" s="128">
        <f t="shared" si="526"/>
        <v>12</v>
      </c>
      <c r="D11261" s="136">
        <f t="shared" si="525"/>
        <v>50</v>
      </c>
      <c r="E11261" s="136">
        <f t="shared" si="527"/>
        <v>14</v>
      </c>
      <c r="F11261" s="137" t="s">
        <v>24</v>
      </c>
      <c r="G11261" s="128" t="str">
        <f>VLOOKUP(source[[#This Row],[lending_product_transform]],[3]Mapping!$B$4:$C$37,2,0)</f>
        <v>[Cake] - Cashloan</v>
      </c>
      <c r="H11261" s="128" t="str">
        <f>VLOOKUP(source[[#This Row],[lending_product_transform]],[3]Mapping!$B$3:$D$37,3,0)</f>
        <v>cashloan</v>
      </c>
      <c r="I11261" s="143">
        <v>8194437</v>
      </c>
    </row>
    <row r="11262" spans="1:9" x14ac:dyDescent="0.2">
      <c r="A11262" s="172">
        <v>46005</v>
      </c>
      <c r="B11262" s="135">
        <f>YEAR(source[[#This Row],[report_date]])</f>
        <v>2025</v>
      </c>
      <c r="C11262" s="128">
        <f t="shared" si="526"/>
        <v>12</v>
      </c>
      <c r="D11262" s="136">
        <f t="shared" si="525"/>
        <v>50</v>
      </c>
      <c r="E11262" s="136">
        <f t="shared" si="527"/>
        <v>14</v>
      </c>
      <c r="F11262" s="137" t="s">
        <v>24</v>
      </c>
      <c r="G11262" s="128" t="str">
        <f>VLOOKUP(source[[#This Row],[lending_product_transform]],[3]Mapping!$B$4:$C$37,2,0)</f>
        <v>[Cake] - Cashloan</v>
      </c>
      <c r="H11262" s="128" t="str">
        <f>VLOOKUP(source[[#This Row],[lending_product_transform]],[3]Mapping!$B$3:$D$37,3,0)</f>
        <v>cashloan</v>
      </c>
      <c r="I11262" s="143">
        <v>807559271</v>
      </c>
    </row>
    <row r="11263" spans="1:9" x14ac:dyDescent="0.2">
      <c r="A11263" s="172">
        <v>46005</v>
      </c>
      <c r="B11263" s="135">
        <f>YEAR(source[[#This Row],[report_date]])</f>
        <v>2025</v>
      </c>
      <c r="C11263" s="128">
        <f t="shared" si="526"/>
        <v>12</v>
      </c>
      <c r="D11263" s="136">
        <f t="shared" si="525"/>
        <v>50</v>
      </c>
      <c r="E11263" s="136">
        <f t="shared" si="527"/>
        <v>14</v>
      </c>
      <c r="F11263" s="137" t="s">
        <v>24</v>
      </c>
      <c r="G11263" s="128" t="str">
        <f>VLOOKUP(source[[#This Row],[lending_product_transform]],[3]Mapping!$B$4:$C$37,2,0)</f>
        <v>[Cake] - Cashloan</v>
      </c>
      <c r="H11263" s="128" t="str">
        <f>VLOOKUP(source[[#This Row],[lending_product_transform]],[3]Mapping!$B$3:$D$37,3,0)</f>
        <v>cashloan</v>
      </c>
      <c r="I11263" s="143">
        <v>0</v>
      </c>
    </row>
    <row r="11264" spans="1:9" x14ac:dyDescent="0.2">
      <c r="A11264" s="172">
        <v>46005</v>
      </c>
      <c r="B11264" s="135">
        <f>YEAR(source[[#This Row],[report_date]])</f>
        <v>2025</v>
      </c>
      <c r="C11264" s="128">
        <f t="shared" si="526"/>
        <v>12</v>
      </c>
      <c r="D11264" s="136">
        <f t="shared" si="525"/>
        <v>50</v>
      </c>
      <c r="E11264" s="136">
        <f t="shared" si="527"/>
        <v>14</v>
      </c>
      <c r="F11264" s="137" t="s">
        <v>24</v>
      </c>
      <c r="G11264" s="128" t="str">
        <f>VLOOKUP(source[[#This Row],[lending_product_transform]],[3]Mapping!$B$4:$C$37,2,0)</f>
        <v>[Cake] - Cashloan</v>
      </c>
      <c r="H11264" s="128" t="str">
        <f>VLOOKUP(source[[#This Row],[lending_product_transform]],[3]Mapping!$B$3:$D$37,3,0)</f>
        <v>cashloan</v>
      </c>
      <c r="I11264" s="143">
        <v>337700000</v>
      </c>
    </row>
    <row r="11265" spans="1:9" x14ac:dyDescent="0.2">
      <c r="A11265" s="172">
        <v>46005</v>
      </c>
      <c r="B11265" s="135">
        <f>YEAR(source[[#This Row],[report_date]])</f>
        <v>2025</v>
      </c>
      <c r="C11265" s="128">
        <f t="shared" si="526"/>
        <v>12</v>
      </c>
      <c r="D11265" s="136">
        <f t="shared" si="525"/>
        <v>50</v>
      </c>
      <c r="E11265" s="136">
        <f t="shared" si="527"/>
        <v>14</v>
      </c>
      <c r="F11265" s="137" t="s">
        <v>24</v>
      </c>
      <c r="G11265" s="128" t="str">
        <f>VLOOKUP(source[[#This Row],[lending_product_transform]],[3]Mapping!$B$4:$C$37,2,0)</f>
        <v>[Cake] - Cashloan</v>
      </c>
      <c r="H11265" s="128" t="str">
        <f>VLOOKUP(source[[#This Row],[lending_product_transform]],[3]Mapping!$B$3:$D$37,3,0)</f>
        <v>cashloan</v>
      </c>
      <c r="I11265" s="143">
        <v>15019520000</v>
      </c>
    </row>
    <row r="11266" spans="1:9" x14ac:dyDescent="0.2">
      <c r="A11266" s="172">
        <v>46005</v>
      </c>
      <c r="B11266" s="135">
        <f>YEAR(source[[#This Row],[report_date]])</f>
        <v>2025</v>
      </c>
      <c r="C11266" s="128">
        <f t="shared" si="526"/>
        <v>12</v>
      </c>
      <c r="D11266" s="136">
        <f t="shared" si="525"/>
        <v>50</v>
      </c>
      <c r="E11266" s="136">
        <f t="shared" si="527"/>
        <v>14</v>
      </c>
      <c r="F11266" s="137" t="s">
        <v>24</v>
      </c>
      <c r="G11266" s="128" t="str">
        <f>VLOOKUP(source[[#This Row],[lending_product_transform]],[3]Mapping!$B$4:$C$37,2,0)</f>
        <v>[Cake] - Cashloan</v>
      </c>
      <c r="H11266" s="128" t="str">
        <f>VLOOKUP(source[[#This Row],[lending_product_transform]],[3]Mapping!$B$3:$D$37,3,0)</f>
        <v>cashloan</v>
      </c>
      <c r="I11266" s="143">
        <v>0</v>
      </c>
    </row>
    <row r="11267" spans="1:9" x14ac:dyDescent="0.2">
      <c r="A11267" s="172">
        <v>46005</v>
      </c>
      <c r="B11267" s="135">
        <f>YEAR(source[[#This Row],[report_date]])</f>
        <v>2025</v>
      </c>
      <c r="C11267" s="128">
        <f t="shared" si="526"/>
        <v>12</v>
      </c>
      <c r="D11267" s="136">
        <f t="shared" ref="D11267:D11330" si="528">WEEKNUM(A11267,2)</f>
        <v>50</v>
      </c>
      <c r="E11267" s="136">
        <f t="shared" si="527"/>
        <v>14</v>
      </c>
      <c r="F11267" s="137" t="s">
        <v>24</v>
      </c>
      <c r="G11267" s="128" t="str">
        <f>VLOOKUP(source[[#This Row],[lending_product_transform]],[3]Mapping!$B$4:$C$37,2,0)</f>
        <v>[Cake] - Cashloan</v>
      </c>
      <c r="H11267" s="128" t="str">
        <f>VLOOKUP(source[[#This Row],[lending_product_transform]],[3]Mapping!$B$3:$D$37,3,0)</f>
        <v>cashloan</v>
      </c>
      <c r="I11267" s="143">
        <v>0</v>
      </c>
    </row>
    <row r="11268" spans="1:9" x14ac:dyDescent="0.2">
      <c r="A11268" s="172">
        <v>46005</v>
      </c>
      <c r="B11268" s="135">
        <f>YEAR(source[[#This Row],[report_date]])</f>
        <v>2025</v>
      </c>
      <c r="C11268" s="128">
        <f t="shared" si="526"/>
        <v>12</v>
      </c>
      <c r="D11268" s="136">
        <f t="shared" si="528"/>
        <v>50</v>
      </c>
      <c r="E11268" s="136">
        <f t="shared" si="527"/>
        <v>14</v>
      </c>
      <c r="F11268" s="137" t="s">
        <v>24</v>
      </c>
      <c r="G11268" s="128" t="str">
        <f>VLOOKUP(source[[#This Row],[lending_product_transform]],[3]Mapping!$B$4:$C$37,2,0)</f>
        <v>[Cake] - Cashloan</v>
      </c>
      <c r="H11268" s="128" t="str">
        <f>VLOOKUP(source[[#This Row],[lending_product_transform]],[3]Mapping!$B$3:$D$37,3,0)</f>
        <v>cashloan</v>
      </c>
      <c r="I11268" s="143">
        <v>0</v>
      </c>
    </row>
    <row r="11269" spans="1:9" x14ac:dyDescent="0.2">
      <c r="A11269" s="172">
        <v>46005</v>
      </c>
      <c r="B11269" s="135">
        <f>YEAR(source[[#This Row],[report_date]])</f>
        <v>2025</v>
      </c>
      <c r="C11269" s="128">
        <f t="shared" si="526"/>
        <v>12</v>
      </c>
      <c r="D11269" s="136">
        <f t="shared" si="528"/>
        <v>50</v>
      </c>
      <c r="E11269" s="136">
        <f t="shared" si="527"/>
        <v>14</v>
      </c>
      <c r="F11269" s="137" t="s">
        <v>24</v>
      </c>
      <c r="G11269" s="128" t="str">
        <f>VLOOKUP(source[[#This Row],[lending_product_transform]],[3]Mapping!$B$4:$C$37,2,0)</f>
        <v>[Cake] - Cashloan</v>
      </c>
      <c r="H11269" s="128" t="str">
        <f>VLOOKUP(source[[#This Row],[lending_product_transform]],[3]Mapping!$B$3:$D$37,3,0)</f>
        <v>cashloan</v>
      </c>
      <c r="I11269" s="143">
        <v>0</v>
      </c>
    </row>
    <row r="11270" spans="1:9" x14ac:dyDescent="0.2">
      <c r="A11270" s="172">
        <v>46005</v>
      </c>
      <c r="B11270" s="135">
        <f>YEAR(source[[#This Row],[report_date]])</f>
        <v>2025</v>
      </c>
      <c r="C11270" s="128">
        <f t="shared" si="526"/>
        <v>12</v>
      </c>
      <c r="D11270" s="136">
        <f t="shared" si="528"/>
        <v>50</v>
      </c>
      <c r="E11270" s="136">
        <f t="shared" si="527"/>
        <v>14</v>
      </c>
      <c r="F11270" s="137" t="s">
        <v>24</v>
      </c>
      <c r="G11270" s="128" t="str">
        <f>VLOOKUP(source[[#This Row],[lending_product_transform]],[3]Mapping!$B$4:$C$37,2,0)</f>
        <v>[Cake] - Cashloan</v>
      </c>
      <c r="H11270" s="128" t="str">
        <f>VLOOKUP(source[[#This Row],[lending_product_transform]],[3]Mapping!$B$3:$D$37,3,0)</f>
        <v>cashloan</v>
      </c>
      <c r="I11270" s="143">
        <v>9550656000</v>
      </c>
    </row>
    <row r="11271" spans="1:9" x14ac:dyDescent="0.2">
      <c r="A11271" s="172">
        <v>46005</v>
      </c>
      <c r="B11271" s="135">
        <f>YEAR(source[[#This Row],[report_date]])</f>
        <v>2025</v>
      </c>
      <c r="C11271" s="128">
        <f t="shared" si="526"/>
        <v>12</v>
      </c>
      <c r="D11271" s="136">
        <f t="shared" si="528"/>
        <v>50</v>
      </c>
      <c r="E11271" s="136">
        <f t="shared" si="527"/>
        <v>14</v>
      </c>
      <c r="F11271" s="137" t="s">
        <v>24</v>
      </c>
      <c r="G11271" s="128" t="str">
        <f>VLOOKUP(source[[#This Row],[lending_product_transform]],[3]Mapping!$B$4:$C$37,2,0)</f>
        <v>[Cake] - Cashloan</v>
      </c>
      <c r="H11271" s="128" t="str">
        <f>VLOOKUP(source[[#This Row],[lending_product_transform]],[3]Mapping!$B$3:$D$37,3,0)</f>
        <v>cashloan</v>
      </c>
      <c r="I11271" s="143">
        <v>183948261</v>
      </c>
    </row>
    <row r="11272" spans="1:9" x14ac:dyDescent="0.2">
      <c r="A11272" s="172">
        <v>46005</v>
      </c>
      <c r="B11272" s="135">
        <f>YEAR(source[[#This Row],[report_date]])</f>
        <v>2025</v>
      </c>
      <c r="C11272" s="128">
        <f t="shared" si="526"/>
        <v>12</v>
      </c>
      <c r="D11272" s="136">
        <f t="shared" si="528"/>
        <v>50</v>
      </c>
      <c r="E11272" s="136">
        <f t="shared" si="527"/>
        <v>14</v>
      </c>
      <c r="F11272" s="137" t="s">
        <v>24</v>
      </c>
      <c r="G11272" s="128" t="str">
        <f>VLOOKUP(source[[#This Row],[lending_product_transform]],[3]Mapping!$B$4:$C$37,2,0)</f>
        <v>[Cake] - Cashloan</v>
      </c>
      <c r="H11272" s="128" t="str">
        <f>VLOOKUP(source[[#This Row],[lending_product_transform]],[3]Mapping!$B$3:$D$37,3,0)</f>
        <v>cashloan</v>
      </c>
      <c r="I11272" s="143">
        <v>20000000</v>
      </c>
    </row>
    <row r="11273" spans="1:9" x14ac:dyDescent="0.2">
      <c r="A11273" s="172">
        <v>46005</v>
      </c>
      <c r="B11273" s="135">
        <f>YEAR(source[[#This Row],[report_date]])</f>
        <v>2025</v>
      </c>
      <c r="C11273" s="128">
        <f t="shared" si="526"/>
        <v>12</v>
      </c>
      <c r="D11273" s="136">
        <f t="shared" si="528"/>
        <v>50</v>
      </c>
      <c r="E11273" s="136">
        <f t="shared" si="527"/>
        <v>14</v>
      </c>
      <c r="F11273" s="137" t="s">
        <v>24</v>
      </c>
      <c r="G11273" s="128" t="str">
        <f>VLOOKUP(source[[#This Row],[lending_product_transform]],[3]Mapping!$B$4:$C$37,2,0)</f>
        <v>[Cake] - Cashloan</v>
      </c>
      <c r="H11273" s="128" t="str">
        <f>VLOOKUP(source[[#This Row],[lending_product_transform]],[3]Mapping!$B$3:$D$37,3,0)</f>
        <v>cashloan</v>
      </c>
      <c r="I11273" s="143">
        <v>52000000</v>
      </c>
    </row>
    <row r="11274" spans="1:9" x14ac:dyDescent="0.2">
      <c r="A11274" s="172">
        <v>46005</v>
      </c>
      <c r="B11274" s="135">
        <f>YEAR(source[[#This Row],[report_date]])</f>
        <v>2025</v>
      </c>
      <c r="C11274" s="128">
        <f t="shared" si="526"/>
        <v>12</v>
      </c>
      <c r="D11274" s="136">
        <f t="shared" si="528"/>
        <v>50</v>
      </c>
      <c r="E11274" s="136">
        <f t="shared" si="527"/>
        <v>14</v>
      </c>
      <c r="F11274" s="137" t="s">
        <v>24</v>
      </c>
      <c r="G11274" s="128" t="str">
        <f>VLOOKUP(source[[#This Row],[lending_product_transform]],[3]Mapping!$B$4:$C$37,2,0)</f>
        <v>[Cake] - Cashloan</v>
      </c>
      <c r="H11274" s="128" t="str">
        <f>VLOOKUP(source[[#This Row],[lending_product_transform]],[3]Mapping!$B$3:$D$37,3,0)</f>
        <v>cashloan</v>
      </c>
      <c r="I11274" s="143">
        <v>594150000</v>
      </c>
    </row>
    <row r="11275" spans="1:9" x14ac:dyDescent="0.2">
      <c r="A11275" s="172">
        <v>46005</v>
      </c>
      <c r="B11275" s="135">
        <f>YEAR(source[[#This Row],[report_date]])</f>
        <v>2025</v>
      </c>
      <c r="C11275" s="128">
        <f t="shared" si="526"/>
        <v>12</v>
      </c>
      <c r="D11275" s="136">
        <f t="shared" si="528"/>
        <v>50</v>
      </c>
      <c r="E11275" s="136">
        <f t="shared" si="527"/>
        <v>14</v>
      </c>
      <c r="F11275" s="137" t="s">
        <v>24</v>
      </c>
      <c r="G11275" s="128" t="str">
        <f>VLOOKUP(source[[#This Row],[lending_product_transform]],[3]Mapping!$B$4:$C$37,2,0)</f>
        <v>[Cake] - Cashloan</v>
      </c>
      <c r="H11275" s="128" t="str">
        <f>VLOOKUP(source[[#This Row],[lending_product_transform]],[3]Mapping!$B$3:$D$37,3,0)</f>
        <v>cashloan</v>
      </c>
      <c r="I11275" s="143">
        <v>201312000</v>
      </c>
    </row>
    <row r="11276" spans="1:9" x14ac:dyDescent="0.2">
      <c r="A11276" s="172">
        <v>46005</v>
      </c>
      <c r="B11276" s="135">
        <f>YEAR(source[[#This Row],[report_date]])</f>
        <v>2025</v>
      </c>
      <c r="C11276" s="128">
        <f t="shared" si="526"/>
        <v>12</v>
      </c>
      <c r="D11276" s="136">
        <f t="shared" si="528"/>
        <v>50</v>
      </c>
      <c r="E11276" s="136">
        <f t="shared" si="527"/>
        <v>14</v>
      </c>
      <c r="F11276" s="137" t="s">
        <v>24</v>
      </c>
      <c r="G11276" s="128" t="str">
        <f>VLOOKUP(source[[#This Row],[lending_product_transform]],[3]Mapping!$B$4:$C$37,2,0)</f>
        <v>[Cake] - Cashloan</v>
      </c>
      <c r="H11276" s="128" t="str">
        <f>VLOOKUP(source[[#This Row],[lending_product_transform]],[3]Mapping!$B$3:$D$37,3,0)</f>
        <v>cashloan</v>
      </c>
      <c r="I11276" s="143">
        <v>256464468</v>
      </c>
    </row>
    <row r="11277" spans="1:9" x14ac:dyDescent="0.2">
      <c r="A11277" s="172">
        <v>46005</v>
      </c>
      <c r="B11277" s="135">
        <f>YEAR(source[[#This Row],[report_date]])</f>
        <v>2025</v>
      </c>
      <c r="C11277" s="128">
        <f t="shared" si="526"/>
        <v>12</v>
      </c>
      <c r="D11277" s="136">
        <f t="shared" si="528"/>
        <v>50</v>
      </c>
      <c r="E11277" s="136">
        <f t="shared" si="527"/>
        <v>14</v>
      </c>
      <c r="F11277" s="137" t="s">
        <v>24</v>
      </c>
      <c r="G11277" s="128" t="str">
        <f>VLOOKUP(source[[#This Row],[lending_product_transform]],[3]Mapping!$B$4:$C$37,2,0)</f>
        <v>[Cake] - Cashloan</v>
      </c>
      <c r="H11277" s="128" t="str">
        <f>VLOOKUP(source[[#This Row],[lending_product_transform]],[3]Mapping!$B$3:$D$37,3,0)</f>
        <v>cashloan</v>
      </c>
      <c r="I11277" s="143">
        <v>2589060000</v>
      </c>
    </row>
    <row r="11278" spans="1:9" x14ac:dyDescent="0.2">
      <c r="A11278" s="172">
        <v>46005</v>
      </c>
      <c r="B11278" s="135">
        <f>YEAR(source[[#This Row],[report_date]])</f>
        <v>2025</v>
      </c>
      <c r="C11278" s="128">
        <f t="shared" si="526"/>
        <v>12</v>
      </c>
      <c r="D11278" s="136">
        <f t="shared" si="528"/>
        <v>50</v>
      </c>
      <c r="E11278" s="136">
        <f t="shared" si="527"/>
        <v>14</v>
      </c>
      <c r="F11278" s="137" t="s">
        <v>24</v>
      </c>
      <c r="G11278" s="128" t="str">
        <f>VLOOKUP(source[[#This Row],[lending_product_transform]],[3]Mapping!$B$4:$C$37,2,0)</f>
        <v>[Cake] - Cashloan</v>
      </c>
      <c r="H11278" s="128" t="str">
        <f>VLOOKUP(source[[#This Row],[lending_product_transform]],[3]Mapping!$B$3:$D$37,3,0)</f>
        <v>cashloan</v>
      </c>
      <c r="I11278" s="143">
        <v>0</v>
      </c>
    </row>
    <row r="11279" spans="1:9" x14ac:dyDescent="0.2">
      <c r="A11279" s="134">
        <v>46006</v>
      </c>
      <c r="B11279" s="135">
        <f>YEAR(source[[#This Row],[report_date]])</f>
        <v>2025</v>
      </c>
      <c r="C11279" s="128">
        <f t="shared" si="526"/>
        <v>12</v>
      </c>
      <c r="D11279" s="136">
        <f t="shared" si="528"/>
        <v>51</v>
      </c>
      <c r="E11279" s="136">
        <f t="shared" si="527"/>
        <v>15</v>
      </c>
      <c r="F11279" s="137" t="s">
        <v>24</v>
      </c>
      <c r="G11279" s="128" t="str">
        <f>VLOOKUP(source[[#This Row],[lending_product_transform]],[3]Mapping!$B$4:$C$37,2,0)</f>
        <v>[Cake] - Cashloan</v>
      </c>
      <c r="H11279" s="128" t="str">
        <f>VLOOKUP(source[[#This Row],[lending_product_transform]],[3]Mapping!$B$3:$D$37,3,0)</f>
        <v>cashloan</v>
      </c>
      <c r="I11279" s="143">
        <v>327150000</v>
      </c>
    </row>
    <row r="11280" spans="1:9" x14ac:dyDescent="0.2">
      <c r="A11280" s="134">
        <v>46006</v>
      </c>
      <c r="B11280" s="135">
        <f>YEAR(source[[#This Row],[report_date]])</f>
        <v>2025</v>
      </c>
      <c r="C11280" s="128">
        <f t="shared" si="526"/>
        <v>12</v>
      </c>
      <c r="D11280" s="136">
        <f t="shared" si="528"/>
        <v>51</v>
      </c>
      <c r="E11280" s="136">
        <f t="shared" si="527"/>
        <v>15</v>
      </c>
      <c r="F11280" s="137" t="s">
        <v>24</v>
      </c>
      <c r="G11280" s="128" t="str">
        <f>VLOOKUP(source[[#This Row],[lending_product_transform]],[3]Mapping!$B$4:$C$37,2,0)</f>
        <v>[Cake] - Cashloan</v>
      </c>
      <c r="H11280" s="128" t="str">
        <f>VLOOKUP(source[[#This Row],[lending_product_transform]],[3]Mapping!$B$3:$D$37,3,0)</f>
        <v>cashloan</v>
      </c>
      <c r="I11280" s="143">
        <v>293854888</v>
      </c>
    </row>
    <row r="11281" spans="1:9" x14ac:dyDescent="0.2">
      <c r="A11281" s="134">
        <v>46006</v>
      </c>
      <c r="B11281" s="135">
        <f>YEAR(source[[#This Row],[report_date]])</f>
        <v>2025</v>
      </c>
      <c r="C11281" s="128">
        <f t="shared" si="526"/>
        <v>12</v>
      </c>
      <c r="D11281" s="136">
        <f t="shared" si="528"/>
        <v>51</v>
      </c>
      <c r="E11281" s="136">
        <f t="shared" si="527"/>
        <v>15</v>
      </c>
      <c r="F11281" s="137" t="s">
        <v>24</v>
      </c>
      <c r="G11281" s="128" t="str">
        <f>VLOOKUP(source[[#This Row],[lending_product_transform]],[3]Mapping!$B$4:$C$37,2,0)</f>
        <v>[Cake] - Cashloan</v>
      </c>
      <c r="H11281" s="128" t="str">
        <f>VLOOKUP(source[[#This Row],[lending_product_transform]],[3]Mapping!$B$3:$D$37,3,0)</f>
        <v>cashloan</v>
      </c>
      <c r="I11281" s="143">
        <v>16188930000</v>
      </c>
    </row>
    <row r="11282" spans="1:9" x14ac:dyDescent="0.2">
      <c r="A11282" s="134">
        <v>46006</v>
      </c>
      <c r="B11282" s="135">
        <f>YEAR(source[[#This Row],[report_date]])</f>
        <v>2025</v>
      </c>
      <c r="C11282" s="128">
        <f t="shared" si="526"/>
        <v>12</v>
      </c>
      <c r="D11282" s="136">
        <f t="shared" si="528"/>
        <v>51</v>
      </c>
      <c r="E11282" s="136">
        <f t="shared" si="527"/>
        <v>15</v>
      </c>
      <c r="F11282" s="137" t="s">
        <v>24</v>
      </c>
      <c r="G11282" s="128" t="str">
        <f>VLOOKUP(source[[#This Row],[lending_product_transform]],[3]Mapping!$B$4:$C$37,2,0)</f>
        <v>[Cake] - Cashloan</v>
      </c>
      <c r="H11282" s="128" t="str">
        <f>VLOOKUP(source[[#This Row],[lending_product_transform]],[3]Mapping!$B$3:$D$37,3,0)</f>
        <v>cashloan</v>
      </c>
      <c r="I11282" s="143">
        <v>2655873951</v>
      </c>
    </row>
    <row r="11283" spans="1:9" x14ac:dyDescent="0.2">
      <c r="A11283" s="134">
        <v>46006</v>
      </c>
      <c r="B11283" s="135">
        <f>YEAR(source[[#This Row],[report_date]])</f>
        <v>2025</v>
      </c>
      <c r="C11283" s="128">
        <f t="shared" si="526"/>
        <v>12</v>
      </c>
      <c r="D11283" s="136">
        <f t="shared" si="528"/>
        <v>51</v>
      </c>
      <c r="E11283" s="136">
        <f t="shared" si="527"/>
        <v>15</v>
      </c>
      <c r="F11283" s="137" t="s">
        <v>24</v>
      </c>
      <c r="G11283" s="128" t="str">
        <f>VLOOKUP(source[[#This Row],[lending_product_transform]],[3]Mapping!$B$4:$C$37,2,0)</f>
        <v>[Cake] - Cashloan</v>
      </c>
      <c r="H11283" s="128" t="str">
        <f>VLOOKUP(source[[#This Row],[lending_product_transform]],[3]Mapping!$B$3:$D$37,3,0)</f>
        <v>cashloan</v>
      </c>
      <c r="I11283" s="143">
        <v>13522356000</v>
      </c>
    </row>
    <row r="11284" spans="1:9" x14ac:dyDescent="0.2">
      <c r="A11284" s="134">
        <v>46006</v>
      </c>
      <c r="B11284" s="135">
        <f>YEAR(source[[#This Row],[report_date]])</f>
        <v>2025</v>
      </c>
      <c r="C11284" s="128">
        <f t="shared" si="526"/>
        <v>12</v>
      </c>
      <c r="D11284" s="136">
        <f t="shared" si="528"/>
        <v>51</v>
      </c>
      <c r="E11284" s="136">
        <f t="shared" si="527"/>
        <v>15</v>
      </c>
      <c r="F11284" s="137" t="s">
        <v>24</v>
      </c>
      <c r="G11284" s="128" t="str">
        <f>VLOOKUP(source[[#This Row],[lending_product_transform]],[3]Mapping!$B$4:$C$37,2,0)</f>
        <v>[Cake] - Cashloan</v>
      </c>
      <c r="H11284" s="128" t="str">
        <f>VLOOKUP(source[[#This Row],[lending_product_transform]],[3]Mapping!$B$3:$D$37,3,0)</f>
        <v>cashloan</v>
      </c>
      <c r="I11284" s="143">
        <v>18340201</v>
      </c>
    </row>
    <row r="11285" spans="1:9" x14ac:dyDescent="0.2">
      <c r="A11285" s="134">
        <v>46006</v>
      </c>
      <c r="B11285" s="135">
        <f>YEAR(source[[#This Row],[report_date]])</f>
        <v>2025</v>
      </c>
      <c r="C11285" s="128">
        <f t="shared" si="526"/>
        <v>12</v>
      </c>
      <c r="D11285" s="136">
        <f t="shared" si="528"/>
        <v>51</v>
      </c>
      <c r="E11285" s="136">
        <f t="shared" si="527"/>
        <v>15</v>
      </c>
      <c r="F11285" s="137" t="s">
        <v>24</v>
      </c>
      <c r="G11285" s="128" t="str">
        <f>VLOOKUP(source[[#This Row],[lending_product_transform]],[3]Mapping!$B$4:$C$37,2,0)</f>
        <v>[Cake] - Cashloan</v>
      </c>
      <c r="H11285" s="128" t="str">
        <f>VLOOKUP(source[[#This Row],[lending_product_transform]],[3]Mapping!$B$3:$D$37,3,0)</f>
        <v>cashloan</v>
      </c>
      <c r="I11285" s="143">
        <v>4934880000</v>
      </c>
    </row>
    <row r="11286" spans="1:9" x14ac:dyDescent="0.2">
      <c r="A11286" s="134">
        <v>46006</v>
      </c>
      <c r="B11286" s="135">
        <f>YEAR(source[[#This Row],[report_date]])</f>
        <v>2025</v>
      </c>
      <c r="C11286" s="128">
        <f t="shared" si="526"/>
        <v>12</v>
      </c>
      <c r="D11286" s="136">
        <f t="shared" si="528"/>
        <v>51</v>
      </c>
      <c r="E11286" s="136">
        <f t="shared" si="527"/>
        <v>15</v>
      </c>
      <c r="F11286" s="137" t="s">
        <v>24</v>
      </c>
      <c r="G11286" s="128" t="str">
        <f>VLOOKUP(source[[#This Row],[lending_product_transform]],[3]Mapping!$B$4:$C$37,2,0)</f>
        <v>[Cake] - Cashloan</v>
      </c>
      <c r="H11286" s="128" t="str">
        <f>VLOOKUP(source[[#This Row],[lending_product_transform]],[3]Mapping!$B$3:$D$37,3,0)</f>
        <v>cashloan</v>
      </c>
      <c r="I11286" s="143">
        <v>21745618</v>
      </c>
    </row>
    <row r="11287" spans="1:9" x14ac:dyDescent="0.2">
      <c r="A11287" s="134">
        <v>46006</v>
      </c>
      <c r="B11287" s="135">
        <f>YEAR(source[[#This Row],[report_date]])</f>
        <v>2025</v>
      </c>
      <c r="C11287" s="128">
        <f t="shared" si="526"/>
        <v>12</v>
      </c>
      <c r="D11287" s="136">
        <f t="shared" si="528"/>
        <v>51</v>
      </c>
      <c r="E11287" s="136">
        <f t="shared" si="527"/>
        <v>15</v>
      </c>
      <c r="F11287" s="137" t="s">
        <v>24</v>
      </c>
      <c r="G11287" s="128" t="str">
        <f>VLOOKUP(source[[#This Row],[lending_product_transform]],[3]Mapping!$B$4:$C$37,2,0)</f>
        <v>[Cake] - Cashloan</v>
      </c>
      <c r="H11287" s="128" t="str">
        <f>VLOOKUP(source[[#This Row],[lending_product_transform]],[3]Mapping!$B$3:$D$37,3,0)</f>
        <v>cashloan</v>
      </c>
      <c r="I11287" s="143">
        <v>960027021</v>
      </c>
    </row>
    <row r="11288" spans="1:9" x14ac:dyDescent="0.2">
      <c r="A11288" s="134">
        <v>46006</v>
      </c>
      <c r="B11288" s="135">
        <f>YEAR(source[[#This Row],[report_date]])</f>
        <v>2025</v>
      </c>
      <c r="C11288" s="128">
        <f t="shared" si="526"/>
        <v>12</v>
      </c>
      <c r="D11288" s="136">
        <f t="shared" si="528"/>
        <v>51</v>
      </c>
      <c r="E11288" s="136">
        <f t="shared" si="527"/>
        <v>15</v>
      </c>
      <c r="F11288" s="137" t="s">
        <v>24</v>
      </c>
      <c r="G11288" s="128" t="str">
        <f>VLOOKUP(source[[#This Row],[lending_product_transform]],[3]Mapping!$B$4:$C$37,2,0)</f>
        <v>[Cake] - Cashloan</v>
      </c>
      <c r="H11288" s="128" t="str">
        <f>VLOOKUP(source[[#This Row],[lending_product_transform]],[3]Mapping!$B$3:$D$37,3,0)</f>
        <v>cashloan</v>
      </c>
      <c r="I11288" s="143">
        <v>0</v>
      </c>
    </row>
    <row r="11289" spans="1:9" x14ac:dyDescent="0.2">
      <c r="A11289" s="134">
        <v>46006</v>
      </c>
      <c r="B11289" s="135">
        <f>YEAR(source[[#This Row],[report_date]])</f>
        <v>2025</v>
      </c>
      <c r="C11289" s="128">
        <f t="shared" si="526"/>
        <v>12</v>
      </c>
      <c r="D11289" s="136">
        <f t="shared" si="528"/>
        <v>51</v>
      </c>
      <c r="E11289" s="136">
        <f t="shared" si="527"/>
        <v>15</v>
      </c>
      <c r="F11289" s="137" t="s">
        <v>24</v>
      </c>
      <c r="G11289" s="128" t="str">
        <f>VLOOKUP(source[[#This Row],[lending_product_transform]],[3]Mapping!$B$4:$C$37,2,0)</f>
        <v>[Cake] - Cashloan</v>
      </c>
      <c r="H11289" s="128" t="str">
        <f>VLOOKUP(source[[#This Row],[lending_product_transform]],[3]Mapping!$B$3:$D$37,3,0)</f>
        <v>cashloan</v>
      </c>
      <c r="I11289" s="143">
        <v>738000000</v>
      </c>
    </row>
    <row r="11290" spans="1:9" x14ac:dyDescent="0.2">
      <c r="A11290" s="134">
        <v>46006</v>
      </c>
      <c r="B11290" s="135">
        <f>YEAR(source[[#This Row],[report_date]])</f>
        <v>2025</v>
      </c>
      <c r="C11290" s="128">
        <f t="shared" si="526"/>
        <v>12</v>
      </c>
      <c r="D11290" s="136">
        <f t="shared" si="528"/>
        <v>51</v>
      </c>
      <c r="E11290" s="136">
        <f t="shared" si="527"/>
        <v>15</v>
      </c>
      <c r="F11290" s="137" t="s">
        <v>24</v>
      </c>
      <c r="G11290" s="128" t="str">
        <f>VLOOKUP(source[[#This Row],[lending_product_transform]],[3]Mapping!$B$4:$C$37,2,0)</f>
        <v>[Cake] - Cashloan</v>
      </c>
      <c r="H11290" s="128" t="str">
        <f>VLOOKUP(source[[#This Row],[lending_product_transform]],[3]Mapping!$B$3:$D$37,3,0)</f>
        <v>cashloan</v>
      </c>
      <c r="I11290" s="143">
        <v>19549130000</v>
      </c>
    </row>
    <row r="11291" spans="1:9" x14ac:dyDescent="0.2">
      <c r="A11291" s="134">
        <v>46006</v>
      </c>
      <c r="B11291" s="135">
        <f>YEAR(source[[#This Row],[report_date]])</f>
        <v>2025</v>
      </c>
      <c r="C11291" s="128">
        <f t="shared" si="526"/>
        <v>12</v>
      </c>
      <c r="D11291" s="136">
        <f t="shared" si="528"/>
        <v>51</v>
      </c>
      <c r="E11291" s="136">
        <f t="shared" si="527"/>
        <v>15</v>
      </c>
      <c r="F11291" s="137" t="s">
        <v>24</v>
      </c>
      <c r="G11291" s="128" t="str">
        <f>VLOOKUP(source[[#This Row],[lending_product_transform]],[3]Mapping!$B$4:$C$37,2,0)</f>
        <v>[Cake] - Cashloan</v>
      </c>
      <c r="H11291" s="128" t="str">
        <f>VLOOKUP(source[[#This Row],[lending_product_transform]],[3]Mapping!$B$3:$D$37,3,0)</f>
        <v>cashloan</v>
      </c>
      <c r="I11291" s="143">
        <v>0</v>
      </c>
    </row>
    <row r="11292" spans="1:9" x14ac:dyDescent="0.2">
      <c r="A11292" s="134">
        <v>46006</v>
      </c>
      <c r="B11292" s="135">
        <f>YEAR(source[[#This Row],[report_date]])</f>
        <v>2025</v>
      </c>
      <c r="C11292" s="128">
        <f t="shared" si="526"/>
        <v>12</v>
      </c>
      <c r="D11292" s="136">
        <f t="shared" si="528"/>
        <v>51</v>
      </c>
      <c r="E11292" s="136">
        <f t="shared" si="527"/>
        <v>15</v>
      </c>
      <c r="F11292" s="137" t="s">
        <v>24</v>
      </c>
      <c r="G11292" s="128" t="str">
        <f>VLOOKUP(source[[#This Row],[lending_product_transform]],[3]Mapping!$B$4:$C$37,2,0)</f>
        <v>[Cake] - Cashloan</v>
      </c>
      <c r="H11292" s="128" t="str">
        <f>VLOOKUP(source[[#This Row],[lending_product_transform]],[3]Mapping!$B$3:$D$37,3,0)</f>
        <v>cashloan</v>
      </c>
      <c r="I11292" s="143">
        <v>0</v>
      </c>
    </row>
    <row r="11293" spans="1:9" x14ac:dyDescent="0.2">
      <c r="A11293" s="134">
        <v>46006</v>
      </c>
      <c r="B11293" s="135">
        <f>YEAR(source[[#This Row],[report_date]])</f>
        <v>2025</v>
      </c>
      <c r="C11293" s="128">
        <f t="shared" si="526"/>
        <v>12</v>
      </c>
      <c r="D11293" s="136">
        <f t="shared" si="528"/>
        <v>51</v>
      </c>
      <c r="E11293" s="136">
        <f t="shared" si="527"/>
        <v>15</v>
      </c>
      <c r="F11293" s="137" t="s">
        <v>24</v>
      </c>
      <c r="G11293" s="128" t="str">
        <f>VLOOKUP(source[[#This Row],[lending_product_transform]],[3]Mapping!$B$4:$C$37,2,0)</f>
        <v>[Cake] - Cashloan</v>
      </c>
      <c r="H11293" s="128" t="str">
        <f>VLOOKUP(source[[#This Row],[lending_product_transform]],[3]Mapping!$B$3:$D$37,3,0)</f>
        <v>cashloan</v>
      </c>
      <c r="I11293" s="143">
        <v>0</v>
      </c>
    </row>
    <row r="11294" spans="1:9" x14ac:dyDescent="0.2">
      <c r="A11294" s="134">
        <v>46006</v>
      </c>
      <c r="B11294" s="135">
        <f>YEAR(source[[#This Row],[report_date]])</f>
        <v>2025</v>
      </c>
      <c r="C11294" s="128">
        <f t="shared" si="526"/>
        <v>12</v>
      </c>
      <c r="D11294" s="136">
        <f t="shared" si="528"/>
        <v>51</v>
      </c>
      <c r="E11294" s="136">
        <f t="shared" si="527"/>
        <v>15</v>
      </c>
      <c r="F11294" s="137" t="s">
        <v>24</v>
      </c>
      <c r="G11294" s="128" t="str">
        <f>VLOOKUP(source[[#This Row],[lending_product_transform]],[3]Mapping!$B$4:$C$37,2,0)</f>
        <v>[Cake] - Cashloan</v>
      </c>
      <c r="H11294" s="128" t="str">
        <f>VLOOKUP(source[[#This Row],[lending_product_transform]],[3]Mapping!$B$3:$D$37,3,0)</f>
        <v>cashloan</v>
      </c>
      <c r="I11294" s="143">
        <v>0</v>
      </c>
    </row>
    <row r="11295" spans="1:9" x14ac:dyDescent="0.2">
      <c r="A11295" s="134">
        <v>46006</v>
      </c>
      <c r="B11295" s="135">
        <f>YEAR(source[[#This Row],[report_date]])</f>
        <v>2025</v>
      </c>
      <c r="C11295" s="128">
        <f t="shared" si="526"/>
        <v>12</v>
      </c>
      <c r="D11295" s="136">
        <f t="shared" si="528"/>
        <v>51</v>
      </c>
      <c r="E11295" s="136">
        <f t="shared" si="527"/>
        <v>15</v>
      </c>
      <c r="F11295" s="137" t="s">
        <v>24</v>
      </c>
      <c r="G11295" s="128" t="str">
        <f>VLOOKUP(source[[#This Row],[lending_product_transform]],[3]Mapping!$B$4:$C$37,2,0)</f>
        <v>[Cake] - Cashloan</v>
      </c>
      <c r="H11295" s="128" t="str">
        <f>VLOOKUP(source[[#This Row],[lending_product_transform]],[3]Mapping!$B$3:$D$37,3,0)</f>
        <v>cashloan</v>
      </c>
      <c r="I11295" s="143">
        <v>12444408000</v>
      </c>
    </row>
    <row r="11296" spans="1:9" x14ac:dyDescent="0.2">
      <c r="A11296" s="134">
        <v>46006</v>
      </c>
      <c r="B11296" s="135">
        <f>YEAR(source[[#This Row],[report_date]])</f>
        <v>2025</v>
      </c>
      <c r="C11296" s="128">
        <f t="shared" si="526"/>
        <v>12</v>
      </c>
      <c r="D11296" s="136">
        <f t="shared" si="528"/>
        <v>51</v>
      </c>
      <c r="E11296" s="136">
        <f t="shared" si="527"/>
        <v>15</v>
      </c>
      <c r="F11296" s="137" t="s">
        <v>24</v>
      </c>
      <c r="G11296" s="128" t="str">
        <f>VLOOKUP(source[[#This Row],[lending_product_transform]],[3]Mapping!$B$4:$C$37,2,0)</f>
        <v>[Cake] - Cashloan</v>
      </c>
      <c r="H11296" s="128" t="str">
        <f>VLOOKUP(source[[#This Row],[lending_product_transform]],[3]Mapping!$B$3:$D$37,3,0)</f>
        <v>cashloan</v>
      </c>
      <c r="I11296" s="143">
        <v>204913785</v>
      </c>
    </row>
    <row r="11297" spans="1:9" x14ac:dyDescent="0.2">
      <c r="A11297" s="134">
        <v>46006</v>
      </c>
      <c r="B11297" s="135">
        <f>YEAR(source[[#This Row],[report_date]])</f>
        <v>2025</v>
      </c>
      <c r="C11297" s="128">
        <f t="shared" si="526"/>
        <v>12</v>
      </c>
      <c r="D11297" s="136">
        <f t="shared" si="528"/>
        <v>51</v>
      </c>
      <c r="E11297" s="136">
        <f t="shared" si="527"/>
        <v>15</v>
      </c>
      <c r="F11297" s="137" t="s">
        <v>24</v>
      </c>
      <c r="G11297" s="128" t="str">
        <f>VLOOKUP(source[[#This Row],[lending_product_transform]],[3]Mapping!$B$4:$C$37,2,0)</f>
        <v>[Cake] - Cashloan</v>
      </c>
      <c r="H11297" s="128" t="str">
        <f>VLOOKUP(source[[#This Row],[lending_product_transform]],[3]Mapping!$B$3:$D$37,3,0)</f>
        <v>cashloan</v>
      </c>
      <c r="I11297" s="143">
        <v>21000000</v>
      </c>
    </row>
    <row r="11298" spans="1:9" x14ac:dyDescent="0.2">
      <c r="A11298" s="134">
        <v>46006</v>
      </c>
      <c r="B11298" s="135">
        <f>YEAR(source[[#This Row],[report_date]])</f>
        <v>2025</v>
      </c>
      <c r="C11298" s="128">
        <f t="shared" si="526"/>
        <v>12</v>
      </c>
      <c r="D11298" s="136">
        <f t="shared" si="528"/>
        <v>51</v>
      </c>
      <c r="E11298" s="136">
        <f t="shared" si="527"/>
        <v>15</v>
      </c>
      <c r="F11298" s="137" t="s">
        <v>24</v>
      </c>
      <c r="G11298" s="128" t="str">
        <f>VLOOKUP(source[[#This Row],[lending_product_transform]],[3]Mapping!$B$4:$C$37,2,0)</f>
        <v>[Cake] - Cashloan</v>
      </c>
      <c r="H11298" s="128" t="str">
        <f>VLOOKUP(source[[#This Row],[lending_product_transform]],[3]Mapping!$B$3:$D$37,3,0)</f>
        <v>cashloan</v>
      </c>
      <c r="I11298" s="143">
        <v>47000000</v>
      </c>
    </row>
    <row r="11299" spans="1:9" x14ac:dyDescent="0.2">
      <c r="A11299" s="134">
        <v>46006</v>
      </c>
      <c r="B11299" s="135">
        <f>YEAR(source[[#This Row],[report_date]])</f>
        <v>2025</v>
      </c>
      <c r="C11299" s="128">
        <f t="shared" si="526"/>
        <v>12</v>
      </c>
      <c r="D11299" s="136">
        <f t="shared" si="528"/>
        <v>51</v>
      </c>
      <c r="E11299" s="136">
        <f t="shared" si="527"/>
        <v>15</v>
      </c>
      <c r="F11299" s="137" t="s">
        <v>24</v>
      </c>
      <c r="G11299" s="128" t="str">
        <f>VLOOKUP(source[[#This Row],[lending_product_transform]],[3]Mapping!$B$4:$C$37,2,0)</f>
        <v>[Cake] - Cashloan</v>
      </c>
      <c r="H11299" s="128" t="str">
        <f>VLOOKUP(source[[#This Row],[lending_product_transform]],[3]Mapping!$B$3:$D$37,3,0)</f>
        <v>cashloan</v>
      </c>
      <c r="I11299" s="143">
        <v>698470000</v>
      </c>
    </row>
    <row r="11300" spans="1:9" x14ac:dyDescent="0.2">
      <c r="A11300" s="134">
        <v>46006</v>
      </c>
      <c r="B11300" s="135">
        <f>YEAR(source[[#This Row],[report_date]])</f>
        <v>2025</v>
      </c>
      <c r="C11300" s="128">
        <f t="shared" si="526"/>
        <v>12</v>
      </c>
      <c r="D11300" s="136">
        <f t="shared" si="528"/>
        <v>51</v>
      </c>
      <c r="E11300" s="136">
        <f t="shared" si="527"/>
        <v>15</v>
      </c>
      <c r="F11300" s="137" t="s">
        <v>24</v>
      </c>
      <c r="G11300" s="128" t="str">
        <f>VLOOKUP(source[[#This Row],[lending_product_transform]],[3]Mapping!$B$4:$C$37,2,0)</f>
        <v>[Cake] - Cashloan</v>
      </c>
      <c r="H11300" s="128" t="str">
        <f>VLOOKUP(source[[#This Row],[lending_product_transform]],[3]Mapping!$B$3:$D$37,3,0)</f>
        <v>cashloan</v>
      </c>
      <c r="I11300" s="143">
        <v>268164000</v>
      </c>
    </row>
    <row r="11301" spans="1:9" x14ac:dyDescent="0.2">
      <c r="A11301" s="134">
        <v>46006</v>
      </c>
      <c r="B11301" s="135">
        <f>YEAR(source[[#This Row],[report_date]])</f>
        <v>2025</v>
      </c>
      <c r="C11301" s="128">
        <f t="shared" si="526"/>
        <v>12</v>
      </c>
      <c r="D11301" s="136">
        <f t="shared" si="528"/>
        <v>51</v>
      </c>
      <c r="E11301" s="136">
        <f t="shared" si="527"/>
        <v>15</v>
      </c>
      <c r="F11301" s="137" t="s">
        <v>24</v>
      </c>
      <c r="G11301" s="128" t="str">
        <f>VLOOKUP(source[[#This Row],[lending_product_transform]],[3]Mapping!$B$4:$C$37,2,0)</f>
        <v>[Cake] - Cashloan</v>
      </c>
      <c r="H11301" s="128" t="str">
        <f>VLOOKUP(source[[#This Row],[lending_product_transform]],[3]Mapping!$B$3:$D$37,3,0)</f>
        <v>cashloan</v>
      </c>
      <c r="I11301" s="143">
        <v>296761976</v>
      </c>
    </row>
    <row r="11302" spans="1:9" x14ac:dyDescent="0.2">
      <c r="A11302" s="134">
        <v>46006</v>
      </c>
      <c r="B11302" s="135">
        <f>YEAR(source[[#This Row],[report_date]])</f>
        <v>2025</v>
      </c>
      <c r="C11302" s="128">
        <f t="shared" si="526"/>
        <v>12</v>
      </c>
      <c r="D11302" s="136">
        <f t="shared" si="528"/>
        <v>51</v>
      </c>
      <c r="E11302" s="136">
        <f t="shared" si="527"/>
        <v>15</v>
      </c>
      <c r="F11302" s="137" t="s">
        <v>24</v>
      </c>
      <c r="G11302" s="128" t="str">
        <f>VLOOKUP(source[[#This Row],[lending_product_transform]],[3]Mapping!$B$4:$C$37,2,0)</f>
        <v>[Cake] - Cashloan</v>
      </c>
      <c r="H11302" s="128" t="str">
        <f>VLOOKUP(source[[#This Row],[lending_product_transform]],[3]Mapping!$B$3:$D$37,3,0)</f>
        <v>cashloan</v>
      </c>
      <c r="I11302" s="143">
        <v>3743710000</v>
      </c>
    </row>
    <row r="11303" spans="1:9" x14ac:dyDescent="0.2">
      <c r="A11303" s="134">
        <v>46006</v>
      </c>
      <c r="B11303" s="135">
        <f>YEAR(source[[#This Row],[report_date]])</f>
        <v>2025</v>
      </c>
      <c r="C11303" s="128">
        <f t="shared" si="526"/>
        <v>12</v>
      </c>
      <c r="D11303" s="136">
        <f t="shared" si="528"/>
        <v>51</v>
      </c>
      <c r="E11303" s="136">
        <f t="shared" si="527"/>
        <v>15</v>
      </c>
      <c r="F11303" s="137" t="s">
        <v>24</v>
      </c>
      <c r="G11303" s="128" t="str">
        <f>VLOOKUP(source[[#This Row],[lending_product_transform]],[3]Mapping!$B$4:$C$37,2,0)</f>
        <v>[Cake] - Cashloan</v>
      </c>
      <c r="H11303" s="128" t="str">
        <f>VLOOKUP(source[[#This Row],[lending_product_transform]],[3]Mapping!$B$3:$D$37,3,0)</f>
        <v>cashloan</v>
      </c>
      <c r="I11303" s="143">
        <v>0</v>
      </c>
    </row>
    <row r="11304" spans="1:9" x14ac:dyDescent="0.2">
      <c r="A11304" s="134">
        <v>46007</v>
      </c>
      <c r="B11304" s="135">
        <f>YEAR(source[[#This Row],[report_date]])</f>
        <v>2025</v>
      </c>
      <c r="C11304" s="128">
        <f t="shared" si="526"/>
        <v>12</v>
      </c>
      <c r="D11304" s="136">
        <f t="shared" si="528"/>
        <v>51</v>
      </c>
      <c r="E11304" s="136">
        <f t="shared" si="527"/>
        <v>16</v>
      </c>
      <c r="F11304" s="137" t="s">
        <v>24</v>
      </c>
      <c r="G11304" s="128" t="str">
        <f>VLOOKUP(source[[#This Row],[lending_product_transform]],[3]Mapping!$B$4:$C$37,2,0)</f>
        <v>[Cake] - Cashloan</v>
      </c>
      <c r="H11304" s="128" t="str">
        <f>VLOOKUP(source[[#This Row],[lending_product_transform]],[3]Mapping!$B$3:$D$37,3,0)</f>
        <v>cashloan</v>
      </c>
      <c r="I11304" s="143">
        <v>196900000</v>
      </c>
    </row>
    <row r="11305" spans="1:9" x14ac:dyDescent="0.2">
      <c r="A11305" s="134">
        <v>46007</v>
      </c>
      <c r="B11305" s="135">
        <f>YEAR(source[[#This Row],[report_date]])</f>
        <v>2025</v>
      </c>
      <c r="C11305" s="128">
        <f t="shared" si="526"/>
        <v>12</v>
      </c>
      <c r="D11305" s="136">
        <f t="shared" si="528"/>
        <v>51</v>
      </c>
      <c r="E11305" s="136">
        <f t="shared" si="527"/>
        <v>16</v>
      </c>
      <c r="F11305" s="137" t="s">
        <v>24</v>
      </c>
      <c r="G11305" s="128" t="str">
        <f>VLOOKUP(source[[#This Row],[lending_product_transform]],[3]Mapping!$B$4:$C$37,2,0)</f>
        <v>[Cake] - Cashloan</v>
      </c>
      <c r="H11305" s="128" t="str">
        <f>VLOOKUP(source[[#This Row],[lending_product_transform]],[3]Mapping!$B$3:$D$37,3,0)</f>
        <v>cashloan</v>
      </c>
      <c r="I11305" s="143">
        <v>302096335</v>
      </c>
    </row>
    <row r="11306" spans="1:9" x14ac:dyDescent="0.2">
      <c r="A11306" s="134">
        <v>46007</v>
      </c>
      <c r="B11306" s="135">
        <f>YEAR(source[[#This Row],[report_date]])</f>
        <v>2025</v>
      </c>
      <c r="C11306" s="128">
        <f t="shared" si="526"/>
        <v>12</v>
      </c>
      <c r="D11306" s="136">
        <f t="shared" si="528"/>
        <v>51</v>
      </c>
      <c r="E11306" s="136">
        <f t="shared" si="527"/>
        <v>16</v>
      </c>
      <c r="F11306" s="137" t="s">
        <v>24</v>
      </c>
      <c r="G11306" s="128" t="str">
        <f>VLOOKUP(source[[#This Row],[lending_product_transform]],[3]Mapping!$B$4:$C$37,2,0)</f>
        <v>[Cake] - Cashloan</v>
      </c>
      <c r="H11306" s="128" t="str">
        <f>VLOOKUP(source[[#This Row],[lending_product_transform]],[3]Mapping!$B$3:$D$37,3,0)</f>
        <v>cashloan</v>
      </c>
      <c r="I11306" s="143">
        <v>16159400000</v>
      </c>
    </row>
    <row r="11307" spans="1:9" x14ac:dyDescent="0.2">
      <c r="A11307" s="134">
        <v>46007</v>
      </c>
      <c r="B11307" s="135">
        <f>YEAR(source[[#This Row],[report_date]])</f>
        <v>2025</v>
      </c>
      <c r="C11307" s="128">
        <f t="shared" si="526"/>
        <v>12</v>
      </c>
      <c r="D11307" s="136">
        <f t="shared" si="528"/>
        <v>51</v>
      </c>
      <c r="E11307" s="136">
        <f t="shared" si="527"/>
        <v>16</v>
      </c>
      <c r="F11307" s="137" t="s">
        <v>24</v>
      </c>
      <c r="G11307" s="128" t="str">
        <f>VLOOKUP(source[[#This Row],[lending_product_transform]],[3]Mapping!$B$4:$C$37,2,0)</f>
        <v>[Cake] - Cashloan</v>
      </c>
      <c r="H11307" s="128" t="str">
        <f>VLOOKUP(source[[#This Row],[lending_product_transform]],[3]Mapping!$B$3:$D$37,3,0)</f>
        <v>cashloan</v>
      </c>
      <c r="I11307" s="143">
        <v>2246477388</v>
      </c>
    </row>
    <row r="11308" spans="1:9" x14ac:dyDescent="0.2">
      <c r="A11308" s="134">
        <v>46007</v>
      </c>
      <c r="B11308" s="135">
        <f>YEAR(source[[#This Row],[report_date]])</f>
        <v>2025</v>
      </c>
      <c r="C11308" s="128">
        <f t="shared" si="526"/>
        <v>12</v>
      </c>
      <c r="D11308" s="136">
        <f t="shared" si="528"/>
        <v>51</v>
      </c>
      <c r="E11308" s="136">
        <f t="shared" si="527"/>
        <v>16</v>
      </c>
      <c r="F11308" s="137" t="s">
        <v>24</v>
      </c>
      <c r="G11308" s="128" t="str">
        <f>VLOOKUP(source[[#This Row],[lending_product_transform]],[3]Mapping!$B$4:$C$37,2,0)</f>
        <v>[Cake] - Cashloan</v>
      </c>
      <c r="H11308" s="128" t="str">
        <f>VLOOKUP(source[[#This Row],[lending_product_transform]],[3]Mapping!$B$3:$D$37,3,0)</f>
        <v>cashloan</v>
      </c>
      <c r="I11308" s="143">
        <v>12256056000</v>
      </c>
    </row>
    <row r="11309" spans="1:9" x14ac:dyDescent="0.2">
      <c r="A11309" s="134">
        <v>46007</v>
      </c>
      <c r="B11309" s="135">
        <f>YEAR(source[[#This Row],[report_date]])</f>
        <v>2025</v>
      </c>
      <c r="C11309" s="128">
        <f t="shared" si="526"/>
        <v>12</v>
      </c>
      <c r="D11309" s="136">
        <f t="shared" si="528"/>
        <v>51</v>
      </c>
      <c r="E11309" s="136">
        <f t="shared" si="527"/>
        <v>16</v>
      </c>
      <c r="F11309" s="137" t="s">
        <v>24</v>
      </c>
      <c r="G11309" s="128" t="str">
        <f>VLOOKUP(source[[#This Row],[lending_product_transform]],[3]Mapping!$B$4:$C$37,2,0)</f>
        <v>[Cake] - Cashloan</v>
      </c>
      <c r="H11309" s="128" t="str">
        <f>VLOOKUP(source[[#This Row],[lending_product_transform]],[3]Mapping!$B$3:$D$37,3,0)</f>
        <v>cashloan</v>
      </c>
      <c r="I11309" s="143">
        <v>3196006</v>
      </c>
    </row>
    <row r="11310" spans="1:9" x14ac:dyDescent="0.2">
      <c r="A11310" s="134">
        <v>46007</v>
      </c>
      <c r="B11310" s="135">
        <f>YEAR(source[[#This Row],[report_date]])</f>
        <v>2025</v>
      </c>
      <c r="C11310" s="128">
        <f t="shared" si="526"/>
        <v>12</v>
      </c>
      <c r="D11310" s="136">
        <f t="shared" si="528"/>
        <v>51</v>
      </c>
      <c r="E11310" s="136">
        <f t="shared" si="527"/>
        <v>16</v>
      </c>
      <c r="F11310" s="137" t="s">
        <v>24</v>
      </c>
      <c r="G11310" s="128" t="str">
        <f>VLOOKUP(source[[#This Row],[lending_product_transform]],[3]Mapping!$B$4:$C$37,2,0)</f>
        <v>[Cake] - Cashloan</v>
      </c>
      <c r="H11310" s="128" t="str">
        <f>VLOOKUP(source[[#This Row],[lending_product_transform]],[3]Mapping!$B$3:$D$37,3,0)</f>
        <v>cashloan</v>
      </c>
      <c r="I11310" s="143">
        <v>4388790000</v>
      </c>
    </row>
    <row r="11311" spans="1:9" x14ac:dyDescent="0.2">
      <c r="A11311" s="134">
        <v>46007</v>
      </c>
      <c r="B11311" s="135">
        <f>YEAR(source[[#This Row],[report_date]])</f>
        <v>2025</v>
      </c>
      <c r="C11311" s="128">
        <f t="shared" si="526"/>
        <v>12</v>
      </c>
      <c r="D11311" s="136">
        <f t="shared" si="528"/>
        <v>51</v>
      </c>
      <c r="E11311" s="136">
        <f t="shared" si="527"/>
        <v>16</v>
      </c>
      <c r="F11311" s="137" t="s">
        <v>24</v>
      </c>
      <c r="G11311" s="128" t="str">
        <f>VLOOKUP(source[[#This Row],[lending_product_transform]],[3]Mapping!$B$4:$C$37,2,0)</f>
        <v>[Cake] - Cashloan</v>
      </c>
      <c r="H11311" s="128" t="str">
        <f>VLOOKUP(source[[#This Row],[lending_product_transform]],[3]Mapping!$B$3:$D$37,3,0)</f>
        <v>cashloan</v>
      </c>
      <c r="I11311" s="143">
        <v>7395561</v>
      </c>
    </row>
    <row r="11312" spans="1:9" x14ac:dyDescent="0.2">
      <c r="A11312" s="134">
        <v>46007</v>
      </c>
      <c r="B11312" s="135">
        <f>YEAR(source[[#This Row],[report_date]])</f>
        <v>2025</v>
      </c>
      <c r="C11312" s="128">
        <f t="shared" si="526"/>
        <v>12</v>
      </c>
      <c r="D11312" s="136">
        <f t="shared" si="528"/>
        <v>51</v>
      </c>
      <c r="E11312" s="136">
        <f t="shared" si="527"/>
        <v>16</v>
      </c>
      <c r="F11312" s="137" t="s">
        <v>24</v>
      </c>
      <c r="G11312" s="128" t="str">
        <f>VLOOKUP(source[[#This Row],[lending_product_transform]],[3]Mapping!$B$4:$C$37,2,0)</f>
        <v>[Cake] - Cashloan</v>
      </c>
      <c r="H11312" s="128" t="str">
        <f>VLOOKUP(source[[#This Row],[lending_product_transform]],[3]Mapping!$B$3:$D$37,3,0)</f>
        <v>cashloan</v>
      </c>
      <c r="I11312" s="143">
        <v>800100852</v>
      </c>
    </row>
    <row r="11313" spans="1:9" x14ac:dyDescent="0.2">
      <c r="A11313" s="134">
        <v>46007</v>
      </c>
      <c r="B11313" s="135">
        <f>YEAR(source[[#This Row],[report_date]])</f>
        <v>2025</v>
      </c>
      <c r="C11313" s="128">
        <f t="shared" si="526"/>
        <v>12</v>
      </c>
      <c r="D11313" s="136">
        <f t="shared" si="528"/>
        <v>51</v>
      </c>
      <c r="E11313" s="136">
        <f t="shared" si="527"/>
        <v>16</v>
      </c>
      <c r="F11313" s="137" t="s">
        <v>24</v>
      </c>
      <c r="G11313" s="128" t="str">
        <f>VLOOKUP(source[[#This Row],[lending_product_transform]],[3]Mapping!$B$4:$C$37,2,0)</f>
        <v>[Cake] - Cashloan</v>
      </c>
      <c r="H11313" s="128" t="str">
        <f>VLOOKUP(source[[#This Row],[lending_product_transform]],[3]Mapping!$B$3:$D$37,3,0)</f>
        <v>cashloan</v>
      </c>
      <c r="I11313" s="143">
        <v>0</v>
      </c>
    </row>
    <row r="11314" spans="1:9" x14ac:dyDescent="0.2">
      <c r="A11314" s="134">
        <v>46007</v>
      </c>
      <c r="B11314" s="135">
        <f>YEAR(source[[#This Row],[report_date]])</f>
        <v>2025</v>
      </c>
      <c r="C11314" s="128">
        <f t="shared" si="526"/>
        <v>12</v>
      </c>
      <c r="D11314" s="136">
        <f t="shared" si="528"/>
        <v>51</v>
      </c>
      <c r="E11314" s="136">
        <f t="shared" si="527"/>
        <v>16</v>
      </c>
      <c r="F11314" s="137" t="s">
        <v>24</v>
      </c>
      <c r="G11314" s="128" t="str">
        <f>VLOOKUP(source[[#This Row],[lending_product_transform]],[3]Mapping!$B$4:$C$37,2,0)</f>
        <v>[Cake] - Cashloan</v>
      </c>
      <c r="H11314" s="128" t="str">
        <f>VLOOKUP(source[[#This Row],[lending_product_transform]],[3]Mapping!$B$3:$D$37,3,0)</f>
        <v>cashloan</v>
      </c>
      <c r="I11314" s="143">
        <v>715250000</v>
      </c>
    </row>
    <row r="11315" spans="1:9" x14ac:dyDescent="0.2">
      <c r="A11315" s="134">
        <v>46007</v>
      </c>
      <c r="B11315" s="135">
        <f>YEAR(source[[#This Row],[report_date]])</f>
        <v>2025</v>
      </c>
      <c r="C11315" s="128">
        <f t="shared" si="526"/>
        <v>12</v>
      </c>
      <c r="D11315" s="136">
        <f t="shared" si="528"/>
        <v>51</v>
      </c>
      <c r="E11315" s="136">
        <f t="shared" si="527"/>
        <v>16</v>
      </c>
      <c r="F11315" s="137" t="s">
        <v>24</v>
      </c>
      <c r="G11315" s="128" t="str">
        <f>VLOOKUP(source[[#This Row],[lending_product_transform]],[3]Mapping!$B$4:$C$37,2,0)</f>
        <v>[Cake] - Cashloan</v>
      </c>
      <c r="H11315" s="128" t="str">
        <f>VLOOKUP(source[[#This Row],[lending_product_transform]],[3]Mapping!$B$3:$D$37,3,0)</f>
        <v>cashloan</v>
      </c>
      <c r="I11315" s="143">
        <v>18976500000</v>
      </c>
    </row>
    <row r="11316" spans="1:9" x14ac:dyDescent="0.2">
      <c r="A11316" s="134">
        <v>46007</v>
      </c>
      <c r="B11316" s="135">
        <f>YEAR(source[[#This Row],[report_date]])</f>
        <v>2025</v>
      </c>
      <c r="C11316" s="128">
        <f t="shared" si="526"/>
        <v>12</v>
      </c>
      <c r="D11316" s="136">
        <f t="shared" si="528"/>
        <v>51</v>
      </c>
      <c r="E11316" s="136">
        <f t="shared" si="527"/>
        <v>16</v>
      </c>
      <c r="F11316" s="137" t="s">
        <v>24</v>
      </c>
      <c r="G11316" s="128" t="str">
        <f>VLOOKUP(source[[#This Row],[lending_product_transform]],[3]Mapping!$B$4:$C$37,2,0)</f>
        <v>[Cake] - Cashloan</v>
      </c>
      <c r="H11316" s="128" t="str">
        <f>VLOOKUP(source[[#This Row],[lending_product_transform]],[3]Mapping!$B$3:$D$37,3,0)</f>
        <v>cashloan</v>
      </c>
      <c r="I11316" s="143">
        <v>0</v>
      </c>
    </row>
    <row r="11317" spans="1:9" x14ac:dyDescent="0.2">
      <c r="A11317" s="134">
        <v>46007</v>
      </c>
      <c r="B11317" s="135">
        <f>YEAR(source[[#This Row],[report_date]])</f>
        <v>2025</v>
      </c>
      <c r="C11317" s="128">
        <f t="shared" si="526"/>
        <v>12</v>
      </c>
      <c r="D11317" s="136">
        <f t="shared" si="528"/>
        <v>51</v>
      </c>
      <c r="E11317" s="136">
        <f t="shared" si="527"/>
        <v>16</v>
      </c>
      <c r="F11317" s="137" t="s">
        <v>24</v>
      </c>
      <c r="G11317" s="128" t="str">
        <f>VLOOKUP(source[[#This Row],[lending_product_transform]],[3]Mapping!$B$4:$C$37,2,0)</f>
        <v>[Cake] - Cashloan</v>
      </c>
      <c r="H11317" s="128" t="str">
        <f>VLOOKUP(source[[#This Row],[lending_product_transform]],[3]Mapping!$B$3:$D$37,3,0)</f>
        <v>cashloan</v>
      </c>
      <c r="I11317" s="143">
        <v>0</v>
      </c>
    </row>
    <row r="11318" spans="1:9" x14ac:dyDescent="0.2">
      <c r="A11318" s="134">
        <v>46007</v>
      </c>
      <c r="B11318" s="135">
        <f>YEAR(source[[#This Row],[report_date]])</f>
        <v>2025</v>
      </c>
      <c r="C11318" s="128">
        <f t="shared" ref="C11318:C11381" si="529">MONTH(A11318)</f>
        <v>12</v>
      </c>
      <c r="D11318" s="136">
        <f t="shared" si="528"/>
        <v>51</v>
      </c>
      <c r="E11318" s="136">
        <f t="shared" ref="E11318:E11381" si="530">DAY(A11318)</f>
        <v>16</v>
      </c>
      <c r="F11318" s="137" t="s">
        <v>24</v>
      </c>
      <c r="G11318" s="128" t="str">
        <f>VLOOKUP(source[[#This Row],[lending_product_transform]],[3]Mapping!$B$4:$C$37,2,0)</f>
        <v>[Cake] - Cashloan</v>
      </c>
      <c r="H11318" s="128" t="str">
        <f>VLOOKUP(source[[#This Row],[lending_product_transform]],[3]Mapping!$B$3:$D$37,3,0)</f>
        <v>cashloan</v>
      </c>
      <c r="I11318" s="143">
        <v>0</v>
      </c>
    </row>
    <row r="11319" spans="1:9" x14ac:dyDescent="0.2">
      <c r="A11319" s="134">
        <v>46007</v>
      </c>
      <c r="B11319" s="135">
        <f>YEAR(source[[#This Row],[report_date]])</f>
        <v>2025</v>
      </c>
      <c r="C11319" s="128">
        <f t="shared" si="529"/>
        <v>12</v>
      </c>
      <c r="D11319" s="136">
        <f t="shared" si="528"/>
        <v>51</v>
      </c>
      <c r="E11319" s="136">
        <f t="shared" si="530"/>
        <v>16</v>
      </c>
      <c r="F11319" s="137" t="s">
        <v>24</v>
      </c>
      <c r="G11319" s="128" t="str">
        <f>VLOOKUP(source[[#This Row],[lending_product_transform]],[3]Mapping!$B$4:$C$37,2,0)</f>
        <v>[Cake] - Cashloan</v>
      </c>
      <c r="H11319" s="128" t="str">
        <f>VLOOKUP(source[[#This Row],[lending_product_transform]],[3]Mapping!$B$3:$D$37,3,0)</f>
        <v>cashloan</v>
      </c>
      <c r="I11319" s="143">
        <v>30000000</v>
      </c>
    </row>
    <row r="11320" spans="1:9" x14ac:dyDescent="0.2">
      <c r="A11320" s="134">
        <v>46007</v>
      </c>
      <c r="B11320" s="135">
        <f>YEAR(source[[#This Row],[report_date]])</f>
        <v>2025</v>
      </c>
      <c r="C11320" s="128">
        <f t="shared" si="529"/>
        <v>12</v>
      </c>
      <c r="D11320" s="136">
        <f t="shared" si="528"/>
        <v>51</v>
      </c>
      <c r="E11320" s="136">
        <f t="shared" si="530"/>
        <v>16</v>
      </c>
      <c r="F11320" s="137" t="s">
        <v>24</v>
      </c>
      <c r="G11320" s="128" t="str">
        <f>VLOOKUP(source[[#This Row],[lending_product_transform]],[3]Mapping!$B$4:$C$37,2,0)</f>
        <v>[Cake] - Cashloan</v>
      </c>
      <c r="H11320" s="128" t="str">
        <f>VLOOKUP(source[[#This Row],[lending_product_transform]],[3]Mapping!$B$3:$D$37,3,0)</f>
        <v>cashloan</v>
      </c>
      <c r="I11320" s="143">
        <v>10527516000</v>
      </c>
    </row>
    <row r="11321" spans="1:9" x14ac:dyDescent="0.2">
      <c r="A11321" s="134">
        <v>46007</v>
      </c>
      <c r="B11321" s="135">
        <f>YEAR(source[[#This Row],[report_date]])</f>
        <v>2025</v>
      </c>
      <c r="C11321" s="128">
        <f t="shared" si="529"/>
        <v>12</v>
      </c>
      <c r="D11321" s="136">
        <f t="shared" si="528"/>
        <v>51</v>
      </c>
      <c r="E11321" s="136">
        <f t="shared" si="530"/>
        <v>16</v>
      </c>
      <c r="F11321" s="137" t="s">
        <v>24</v>
      </c>
      <c r="G11321" s="128" t="str">
        <f>VLOOKUP(source[[#This Row],[lending_product_transform]],[3]Mapping!$B$4:$C$37,2,0)</f>
        <v>[Cake] - Cashloan</v>
      </c>
      <c r="H11321" s="128" t="str">
        <f>VLOOKUP(source[[#This Row],[lending_product_transform]],[3]Mapping!$B$3:$D$37,3,0)</f>
        <v>cashloan</v>
      </c>
      <c r="I11321" s="143">
        <v>197024453</v>
      </c>
    </row>
    <row r="11322" spans="1:9" x14ac:dyDescent="0.2">
      <c r="A11322" s="134">
        <v>46007</v>
      </c>
      <c r="B11322" s="135">
        <f>YEAR(source[[#This Row],[report_date]])</f>
        <v>2025</v>
      </c>
      <c r="C11322" s="128">
        <f t="shared" si="529"/>
        <v>12</v>
      </c>
      <c r="D11322" s="136">
        <f t="shared" si="528"/>
        <v>51</v>
      </c>
      <c r="E11322" s="136">
        <f t="shared" si="530"/>
        <v>16</v>
      </c>
      <c r="F11322" s="137" t="s">
        <v>24</v>
      </c>
      <c r="G11322" s="128" t="str">
        <f>VLOOKUP(source[[#This Row],[lending_product_transform]],[3]Mapping!$B$4:$C$37,2,0)</f>
        <v>[Cake] - Cashloan</v>
      </c>
      <c r="H11322" s="128" t="str">
        <f>VLOOKUP(source[[#This Row],[lending_product_transform]],[3]Mapping!$B$3:$D$37,3,0)</f>
        <v>cashloan</v>
      </c>
      <c r="I11322" s="143">
        <v>21000000</v>
      </c>
    </row>
    <row r="11323" spans="1:9" x14ac:dyDescent="0.2">
      <c r="A11323" s="134">
        <v>46007</v>
      </c>
      <c r="B11323" s="135">
        <f>YEAR(source[[#This Row],[report_date]])</f>
        <v>2025</v>
      </c>
      <c r="C11323" s="128">
        <f t="shared" si="529"/>
        <v>12</v>
      </c>
      <c r="D11323" s="136">
        <f t="shared" si="528"/>
        <v>51</v>
      </c>
      <c r="E11323" s="136">
        <f t="shared" si="530"/>
        <v>16</v>
      </c>
      <c r="F11323" s="137" t="s">
        <v>24</v>
      </c>
      <c r="G11323" s="128" t="str">
        <f>VLOOKUP(source[[#This Row],[lending_product_transform]],[3]Mapping!$B$4:$C$37,2,0)</f>
        <v>[Cake] - Cashloan</v>
      </c>
      <c r="H11323" s="128" t="str">
        <f>VLOOKUP(source[[#This Row],[lending_product_transform]],[3]Mapping!$B$3:$D$37,3,0)</f>
        <v>cashloan</v>
      </c>
      <c r="I11323" s="143">
        <v>41000000</v>
      </c>
    </row>
    <row r="11324" spans="1:9" x14ac:dyDescent="0.2">
      <c r="A11324" s="134">
        <v>46007</v>
      </c>
      <c r="B11324" s="135">
        <f>YEAR(source[[#This Row],[report_date]])</f>
        <v>2025</v>
      </c>
      <c r="C11324" s="128">
        <f t="shared" si="529"/>
        <v>12</v>
      </c>
      <c r="D11324" s="136">
        <f t="shared" si="528"/>
        <v>51</v>
      </c>
      <c r="E11324" s="136">
        <f t="shared" si="530"/>
        <v>16</v>
      </c>
      <c r="F11324" s="137" t="s">
        <v>24</v>
      </c>
      <c r="G11324" s="128" t="str">
        <f>VLOOKUP(source[[#This Row],[lending_product_transform]],[3]Mapping!$B$4:$C$37,2,0)</f>
        <v>[Cake] - Cashloan</v>
      </c>
      <c r="H11324" s="128" t="str">
        <f>VLOOKUP(source[[#This Row],[lending_product_transform]],[3]Mapping!$B$3:$D$37,3,0)</f>
        <v>cashloan</v>
      </c>
      <c r="I11324" s="143">
        <v>614540000</v>
      </c>
    </row>
    <row r="11325" spans="1:9" x14ac:dyDescent="0.2">
      <c r="A11325" s="134">
        <v>46007</v>
      </c>
      <c r="B11325" s="135">
        <f>YEAR(source[[#This Row],[report_date]])</f>
        <v>2025</v>
      </c>
      <c r="C11325" s="128">
        <f t="shared" si="529"/>
        <v>12</v>
      </c>
      <c r="D11325" s="136">
        <f t="shared" si="528"/>
        <v>51</v>
      </c>
      <c r="E11325" s="136">
        <f t="shared" si="530"/>
        <v>16</v>
      </c>
      <c r="F11325" s="137" t="s">
        <v>24</v>
      </c>
      <c r="G11325" s="128" t="str">
        <f>VLOOKUP(source[[#This Row],[lending_product_transform]],[3]Mapping!$B$4:$C$37,2,0)</f>
        <v>[Cake] - Cashloan</v>
      </c>
      <c r="H11325" s="128" t="str">
        <f>VLOOKUP(source[[#This Row],[lending_product_transform]],[3]Mapping!$B$3:$D$37,3,0)</f>
        <v>cashloan</v>
      </c>
      <c r="I11325" s="143">
        <v>279936000</v>
      </c>
    </row>
    <row r="11326" spans="1:9" x14ac:dyDescent="0.2">
      <c r="A11326" s="134">
        <v>46007</v>
      </c>
      <c r="B11326" s="135">
        <f>YEAR(source[[#This Row],[report_date]])</f>
        <v>2025</v>
      </c>
      <c r="C11326" s="128">
        <f t="shared" si="529"/>
        <v>12</v>
      </c>
      <c r="D11326" s="136">
        <f t="shared" si="528"/>
        <v>51</v>
      </c>
      <c r="E11326" s="136">
        <f t="shared" si="530"/>
        <v>16</v>
      </c>
      <c r="F11326" s="137" t="s">
        <v>24</v>
      </c>
      <c r="G11326" s="128" t="str">
        <f>VLOOKUP(source[[#This Row],[lending_product_transform]],[3]Mapping!$B$4:$C$37,2,0)</f>
        <v>[Cake] - Cashloan</v>
      </c>
      <c r="H11326" s="128" t="str">
        <f>VLOOKUP(source[[#This Row],[lending_product_transform]],[3]Mapping!$B$3:$D$37,3,0)</f>
        <v>cashloan</v>
      </c>
      <c r="I11326" s="143">
        <v>324649279</v>
      </c>
    </row>
    <row r="11327" spans="1:9" x14ac:dyDescent="0.2">
      <c r="A11327" s="134">
        <v>46007</v>
      </c>
      <c r="B11327" s="135">
        <f>YEAR(source[[#This Row],[report_date]])</f>
        <v>2025</v>
      </c>
      <c r="C11327" s="128">
        <f t="shared" si="529"/>
        <v>12</v>
      </c>
      <c r="D11327" s="136">
        <f t="shared" si="528"/>
        <v>51</v>
      </c>
      <c r="E11327" s="136">
        <f t="shared" si="530"/>
        <v>16</v>
      </c>
      <c r="F11327" s="137" t="s">
        <v>24</v>
      </c>
      <c r="G11327" s="128" t="str">
        <f>VLOOKUP(source[[#This Row],[lending_product_transform]],[3]Mapping!$B$4:$C$37,2,0)</f>
        <v>[Cake] - Cashloan</v>
      </c>
      <c r="H11327" s="128" t="str">
        <f>VLOOKUP(source[[#This Row],[lending_product_transform]],[3]Mapping!$B$3:$D$37,3,0)</f>
        <v>cashloan</v>
      </c>
      <c r="I11327" s="143">
        <v>3912910000</v>
      </c>
    </row>
    <row r="11328" spans="1:9" x14ac:dyDescent="0.2">
      <c r="A11328" s="134">
        <v>46007</v>
      </c>
      <c r="B11328" s="135">
        <f>YEAR(source[[#This Row],[report_date]])</f>
        <v>2025</v>
      </c>
      <c r="C11328" s="128">
        <f t="shared" si="529"/>
        <v>12</v>
      </c>
      <c r="D11328" s="136">
        <f t="shared" si="528"/>
        <v>51</v>
      </c>
      <c r="E11328" s="136">
        <f t="shared" si="530"/>
        <v>16</v>
      </c>
      <c r="F11328" s="137" t="s">
        <v>24</v>
      </c>
      <c r="G11328" s="128" t="str">
        <f>VLOOKUP(source[[#This Row],[lending_product_transform]],[3]Mapping!$B$4:$C$37,2,0)</f>
        <v>[Cake] - Cashloan</v>
      </c>
      <c r="H11328" s="128" t="str">
        <f>VLOOKUP(source[[#This Row],[lending_product_transform]],[3]Mapping!$B$3:$D$37,3,0)</f>
        <v>cashloan</v>
      </c>
      <c r="I11328" s="143">
        <v>0</v>
      </c>
    </row>
    <row r="11329" spans="1:9" x14ac:dyDescent="0.2">
      <c r="A11329" s="134">
        <v>46008</v>
      </c>
      <c r="B11329" s="135">
        <f>YEAR(source[[#This Row],[report_date]])</f>
        <v>2025</v>
      </c>
      <c r="C11329" s="128">
        <f t="shared" si="529"/>
        <v>12</v>
      </c>
      <c r="D11329" s="136">
        <f t="shared" si="528"/>
        <v>51</v>
      </c>
      <c r="E11329" s="136">
        <f t="shared" si="530"/>
        <v>17</v>
      </c>
      <c r="F11329" s="137" t="s">
        <v>24</v>
      </c>
      <c r="G11329" s="128" t="str">
        <f>VLOOKUP(source[[#This Row],[lending_product_transform]],[3]Mapping!$B$4:$C$37,2,0)</f>
        <v>[Cake] - Cashloan</v>
      </c>
      <c r="H11329" s="128" t="str">
        <f>VLOOKUP(source[[#This Row],[lending_product_transform]],[3]Mapping!$B$3:$D$37,3,0)</f>
        <v>cashloan</v>
      </c>
      <c r="I11329" s="143">
        <v>239950000</v>
      </c>
    </row>
    <row r="11330" spans="1:9" x14ac:dyDescent="0.2">
      <c r="A11330" s="134">
        <v>46008</v>
      </c>
      <c r="B11330" s="135">
        <f>YEAR(source[[#This Row],[report_date]])</f>
        <v>2025</v>
      </c>
      <c r="C11330" s="128">
        <f t="shared" si="529"/>
        <v>12</v>
      </c>
      <c r="D11330" s="136">
        <f t="shared" si="528"/>
        <v>51</v>
      </c>
      <c r="E11330" s="136">
        <f t="shared" si="530"/>
        <v>17</v>
      </c>
      <c r="F11330" s="137" t="s">
        <v>24</v>
      </c>
      <c r="G11330" s="128" t="str">
        <f>VLOOKUP(source[[#This Row],[lending_product_transform]],[3]Mapping!$B$4:$C$37,2,0)</f>
        <v>[Cake] - Cashloan</v>
      </c>
      <c r="H11330" s="128" t="str">
        <f>VLOOKUP(source[[#This Row],[lending_product_transform]],[3]Mapping!$B$3:$D$37,3,0)</f>
        <v>cashloan</v>
      </c>
      <c r="I11330" s="143">
        <v>327595800</v>
      </c>
    </row>
    <row r="11331" spans="1:9" x14ac:dyDescent="0.2">
      <c r="A11331" s="134">
        <v>46008</v>
      </c>
      <c r="B11331" s="135">
        <f>YEAR(source[[#This Row],[report_date]])</f>
        <v>2025</v>
      </c>
      <c r="C11331" s="128">
        <f t="shared" si="529"/>
        <v>12</v>
      </c>
      <c r="D11331" s="136">
        <f t="shared" ref="D11331:D11394" si="531">WEEKNUM(A11331,2)</f>
        <v>51</v>
      </c>
      <c r="E11331" s="136">
        <f t="shared" si="530"/>
        <v>17</v>
      </c>
      <c r="F11331" s="137" t="s">
        <v>24</v>
      </c>
      <c r="G11331" s="128" t="str">
        <f>VLOOKUP(source[[#This Row],[lending_product_transform]],[3]Mapping!$B$4:$C$37,2,0)</f>
        <v>[Cake] - Cashloan</v>
      </c>
      <c r="H11331" s="128" t="str">
        <f>VLOOKUP(source[[#This Row],[lending_product_transform]],[3]Mapping!$B$3:$D$37,3,0)</f>
        <v>cashloan</v>
      </c>
      <c r="I11331" s="143">
        <v>16532070000</v>
      </c>
    </row>
    <row r="11332" spans="1:9" x14ac:dyDescent="0.2">
      <c r="A11332" s="134">
        <v>46008</v>
      </c>
      <c r="B11332" s="135">
        <f>YEAR(source[[#This Row],[report_date]])</f>
        <v>2025</v>
      </c>
      <c r="C11332" s="128">
        <f t="shared" si="529"/>
        <v>12</v>
      </c>
      <c r="D11332" s="136">
        <f t="shared" si="531"/>
        <v>51</v>
      </c>
      <c r="E11332" s="136">
        <f t="shared" si="530"/>
        <v>17</v>
      </c>
      <c r="F11332" s="137" t="s">
        <v>24</v>
      </c>
      <c r="G11332" s="128" t="str">
        <f>VLOOKUP(source[[#This Row],[lending_product_transform]],[3]Mapping!$B$4:$C$37,2,0)</f>
        <v>[Cake] - Cashloan</v>
      </c>
      <c r="H11332" s="128" t="str">
        <f>VLOOKUP(source[[#This Row],[lending_product_transform]],[3]Mapping!$B$3:$D$37,3,0)</f>
        <v>cashloan</v>
      </c>
      <c r="I11332" s="143">
        <v>1754969127</v>
      </c>
    </row>
    <row r="11333" spans="1:9" x14ac:dyDescent="0.2">
      <c r="A11333" s="134">
        <v>46008</v>
      </c>
      <c r="B11333" s="135">
        <f>YEAR(source[[#This Row],[report_date]])</f>
        <v>2025</v>
      </c>
      <c r="C11333" s="128">
        <f t="shared" si="529"/>
        <v>12</v>
      </c>
      <c r="D11333" s="136">
        <f t="shared" si="531"/>
        <v>51</v>
      </c>
      <c r="E11333" s="136">
        <f t="shared" si="530"/>
        <v>17</v>
      </c>
      <c r="F11333" s="137" t="s">
        <v>24</v>
      </c>
      <c r="G11333" s="128" t="str">
        <f>VLOOKUP(source[[#This Row],[lending_product_transform]],[3]Mapping!$B$4:$C$37,2,0)</f>
        <v>[Cake] - Cashloan</v>
      </c>
      <c r="H11333" s="128" t="str">
        <f>VLOOKUP(source[[#This Row],[lending_product_transform]],[3]Mapping!$B$3:$D$37,3,0)</f>
        <v>cashloan</v>
      </c>
      <c r="I11333" s="143">
        <v>11943612000</v>
      </c>
    </row>
    <row r="11334" spans="1:9" x14ac:dyDescent="0.2">
      <c r="A11334" s="134">
        <v>46008</v>
      </c>
      <c r="B11334" s="135">
        <f>YEAR(source[[#This Row],[report_date]])</f>
        <v>2025</v>
      </c>
      <c r="C11334" s="128">
        <f t="shared" si="529"/>
        <v>12</v>
      </c>
      <c r="D11334" s="136">
        <f t="shared" si="531"/>
        <v>51</v>
      </c>
      <c r="E11334" s="136">
        <f t="shared" si="530"/>
        <v>17</v>
      </c>
      <c r="F11334" s="137" t="s">
        <v>24</v>
      </c>
      <c r="G11334" s="128" t="str">
        <f>VLOOKUP(source[[#This Row],[lending_product_transform]],[3]Mapping!$B$4:$C$37,2,0)</f>
        <v>[Cake] - Cashloan</v>
      </c>
      <c r="H11334" s="128" t="str">
        <f>VLOOKUP(source[[#This Row],[lending_product_transform]],[3]Mapping!$B$3:$D$37,3,0)</f>
        <v>cashloan</v>
      </c>
      <c r="I11334" s="143">
        <v>8595888</v>
      </c>
    </row>
    <row r="11335" spans="1:9" x14ac:dyDescent="0.2">
      <c r="A11335" s="134">
        <v>46008</v>
      </c>
      <c r="B11335" s="135">
        <f>YEAR(source[[#This Row],[report_date]])</f>
        <v>2025</v>
      </c>
      <c r="C11335" s="128">
        <f t="shared" si="529"/>
        <v>12</v>
      </c>
      <c r="D11335" s="136">
        <f t="shared" si="531"/>
        <v>51</v>
      </c>
      <c r="E11335" s="136">
        <f t="shared" si="530"/>
        <v>17</v>
      </c>
      <c r="F11335" s="137" t="s">
        <v>24</v>
      </c>
      <c r="G11335" s="128" t="str">
        <f>VLOOKUP(source[[#This Row],[lending_product_transform]],[3]Mapping!$B$4:$C$37,2,0)</f>
        <v>[Cake] - Cashloan</v>
      </c>
      <c r="H11335" s="128" t="str">
        <f>VLOOKUP(source[[#This Row],[lending_product_transform]],[3]Mapping!$B$3:$D$37,3,0)</f>
        <v>cashloan</v>
      </c>
      <c r="I11335" s="143">
        <v>3399220000</v>
      </c>
    </row>
    <row r="11336" spans="1:9" x14ac:dyDescent="0.2">
      <c r="A11336" s="134">
        <v>46008</v>
      </c>
      <c r="B11336" s="135">
        <f>YEAR(source[[#This Row],[report_date]])</f>
        <v>2025</v>
      </c>
      <c r="C11336" s="128">
        <f t="shared" si="529"/>
        <v>12</v>
      </c>
      <c r="D11336" s="136">
        <f t="shared" si="531"/>
        <v>51</v>
      </c>
      <c r="E11336" s="136">
        <f t="shared" si="530"/>
        <v>17</v>
      </c>
      <c r="F11336" s="137" t="s">
        <v>24</v>
      </c>
      <c r="G11336" s="128" t="str">
        <f>VLOOKUP(source[[#This Row],[lending_product_transform]],[3]Mapping!$B$4:$C$37,2,0)</f>
        <v>[Cake] - Cashloan</v>
      </c>
      <c r="H11336" s="128" t="str">
        <f>VLOOKUP(source[[#This Row],[lending_product_transform]],[3]Mapping!$B$3:$D$37,3,0)</f>
        <v>cashloan</v>
      </c>
      <c r="I11336" s="143">
        <v>8747927</v>
      </c>
    </row>
    <row r="11337" spans="1:9" x14ac:dyDescent="0.2">
      <c r="A11337" s="134">
        <v>46008</v>
      </c>
      <c r="B11337" s="135">
        <f>YEAR(source[[#This Row],[report_date]])</f>
        <v>2025</v>
      </c>
      <c r="C11337" s="128">
        <f t="shared" si="529"/>
        <v>12</v>
      </c>
      <c r="D11337" s="136">
        <f t="shared" si="531"/>
        <v>51</v>
      </c>
      <c r="E11337" s="136">
        <f t="shared" si="530"/>
        <v>17</v>
      </c>
      <c r="F11337" s="137" t="s">
        <v>24</v>
      </c>
      <c r="G11337" s="128" t="str">
        <f>VLOOKUP(source[[#This Row],[lending_product_transform]],[3]Mapping!$B$4:$C$37,2,0)</f>
        <v>[Cake] - Cashloan</v>
      </c>
      <c r="H11337" s="128" t="str">
        <f>VLOOKUP(source[[#This Row],[lending_product_transform]],[3]Mapping!$B$3:$D$37,3,0)</f>
        <v>cashloan</v>
      </c>
      <c r="I11337" s="143">
        <v>651321015</v>
      </c>
    </row>
    <row r="11338" spans="1:9" x14ac:dyDescent="0.2">
      <c r="A11338" s="134">
        <v>46008</v>
      </c>
      <c r="B11338" s="135">
        <f>YEAR(source[[#This Row],[report_date]])</f>
        <v>2025</v>
      </c>
      <c r="C11338" s="128">
        <f t="shared" si="529"/>
        <v>12</v>
      </c>
      <c r="D11338" s="136">
        <f t="shared" si="531"/>
        <v>51</v>
      </c>
      <c r="E11338" s="136">
        <f t="shared" si="530"/>
        <v>17</v>
      </c>
      <c r="F11338" s="137" t="s">
        <v>24</v>
      </c>
      <c r="G11338" s="128" t="str">
        <f>VLOOKUP(source[[#This Row],[lending_product_transform]],[3]Mapping!$B$4:$C$37,2,0)</f>
        <v>[Cake] - Cashloan</v>
      </c>
      <c r="H11338" s="128" t="str">
        <f>VLOOKUP(source[[#This Row],[lending_product_transform]],[3]Mapping!$B$3:$D$37,3,0)</f>
        <v>cashloan</v>
      </c>
      <c r="I11338" s="143">
        <v>0</v>
      </c>
    </row>
    <row r="11339" spans="1:9" x14ac:dyDescent="0.2">
      <c r="A11339" s="134">
        <v>46008</v>
      </c>
      <c r="B11339" s="135">
        <f>YEAR(source[[#This Row],[report_date]])</f>
        <v>2025</v>
      </c>
      <c r="C11339" s="128">
        <f t="shared" si="529"/>
        <v>12</v>
      </c>
      <c r="D11339" s="136">
        <f t="shared" si="531"/>
        <v>51</v>
      </c>
      <c r="E11339" s="136">
        <f t="shared" si="530"/>
        <v>17</v>
      </c>
      <c r="F11339" s="137" t="s">
        <v>24</v>
      </c>
      <c r="G11339" s="128" t="str">
        <f>VLOOKUP(source[[#This Row],[lending_product_transform]],[3]Mapping!$B$4:$C$37,2,0)</f>
        <v>[Cake] - Cashloan</v>
      </c>
      <c r="H11339" s="128" t="str">
        <f>VLOOKUP(source[[#This Row],[lending_product_transform]],[3]Mapping!$B$3:$D$37,3,0)</f>
        <v>cashloan</v>
      </c>
      <c r="I11339" s="143">
        <v>783900000</v>
      </c>
    </row>
    <row r="11340" spans="1:9" x14ac:dyDescent="0.2">
      <c r="A11340" s="134">
        <v>46008</v>
      </c>
      <c r="B11340" s="135">
        <f>YEAR(source[[#This Row],[report_date]])</f>
        <v>2025</v>
      </c>
      <c r="C11340" s="128">
        <f t="shared" si="529"/>
        <v>12</v>
      </c>
      <c r="D11340" s="136">
        <f t="shared" si="531"/>
        <v>51</v>
      </c>
      <c r="E11340" s="136">
        <f t="shared" si="530"/>
        <v>17</v>
      </c>
      <c r="F11340" s="137" t="s">
        <v>24</v>
      </c>
      <c r="G11340" s="128" t="str">
        <f>VLOOKUP(source[[#This Row],[lending_product_transform]],[3]Mapping!$B$4:$C$37,2,0)</f>
        <v>[Cake] - Cashloan</v>
      </c>
      <c r="H11340" s="128" t="str">
        <f>VLOOKUP(source[[#This Row],[lending_product_transform]],[3]Mapping!$B$3:$D$37,3,0)</f>
        <v>cashloan</v>
      </c>
      <c r="I11340" s="143">
        <v>17941910000</v>
      </c>
    </row>
    <row r="11341" spans="1:9" x14ac:dyDescent="0.2">
      <c r="A11341" s="134">
        <v>46008</v>
      </c>
      <c r="B11341" s="135">
        <f>YEAR(source[[#This Row],[report_date]])</f>
        <v>2025</v>
      </c>
      <c r="C11341" s="128">
        <f t="shared" si="529"/>
        <v>12</v>
      </c>
      <c r="D11341" s="136">
        <f t="shared" si="531"/>
        <v>51</v>
      </c>
      <c r="E11341" s="136">
        <f t="shared" si="530"/>
        <v>17</v>
      </c>
      <c r="F11341" s="137" t="s">
        <v>24</v>
      </c>
      <c r="G11341" s="128" t="str">
        <f>VLOOKUP(source[[#This Row],[lending_product_transform]],[3]Mapping!$B$4:$C$37,2,0)</f>
        <v>[Cake] - Cashloan</v>
      </c>
      <c r="H11341" s="128" t="str">
        <f>VLOOKUP(source[[#This Row],[lending_product_transform]],[3]Mapping!$B$3:$D$37,3,0)</f>
        <v>cashloan</v>
      </c>
      <c r="I11341" s="143">
        <v>0</v>
      </c>
    </row>
    <row r="11342" spans="1:9" x14ac:dyDescent="0.2">
      <c r="A11342" s="134">
        <v>46008</v>
      </c>
      <c r="B11342" s="135">
        <f>YEAR(source[[#This Row],[report_date]])</f>
        <v>2025</v>
      </c>
      <c r="C11342" s="128">
        <f t="shared" si="529"/>
        <v>12</v>
      </c>
      <c r="D11342" s="136">
        <f t="shared" si="531"/>
        <v>51</v>
      </c>
      <c r="E11342" s="136">
        <f t="shared" si="530"/>
        <v>17</v>
      </c>
      <c r="F11342" s="137" t="s">
        <v>24</v>
      </c>
      <c r="G11342" s="128" t="str">
        <f>VLOOKUP(source[[#This Row],[lending_product_transform]],[3]Mapping!$B$4:$C$37,2,0)</f>
        <v>[Cake] - Cashloan</v>
      </c>
      <c r="H11342" s="128" t="str">
        <f>VLOOKUP(source[[#This Row],[lending_product_transform]],[3]Mapping!$B$3:$D$37,3,0)</f>
        <v>cashloan</v>
      </c>
      <c r="I11342" s="143">
        <v>0</v>
      </c>
    </row>
    <row r="11343" spans="1:9" x14ac:dyDescent="0.2">
      <c r="A11343" s="134">
        <v>46008</v>
      </c>
      <c r="B11343" s="135">
        <f>YEAR(source[[#This Row],[report_date]])</f>
        <v>2025</v>
      </c>
      <c r="C11343" s="128">
        <f t="shared" si="529"/>
        <v>12</v>
      </c>
      <c r="D11343" s="136">
        <f t="shared" si="531"/>
        <v>51</v>
      </c>
      <c r="E11343" s="136">
        <f t="shared" si="530"/>
        <v>17</v>
      </c>
      <c r="F11343" s="137" t="s">
        <v>24</v>
      </c>
      <c r="G11343" s="128" t="str">
        <f>VLOOKUP(source[[#This Row],[lending_product_transform]],[3]Mapping!$B$4:$C$37,2,0)</f>
        <v>[Cake] - Cashloan</v>
      </c>
      <c r="H11343" s="128" t="str">
        <f>VLOOKUP(source[[#This Row],[lending_product_transform]],[3]Mapping!$B$3:$D$37,3,0)</f>
        <v>cashloan</v>
      </c>
      <c r="I11343" s="143">
        <v>0</v>
      </c>
    </row>
    <row r="11344" spans="1:9" x14ac:dyDescent="0.2">
      <c r="A11344" s="134">
        <v>46008</v>
      </c>
      <c r="B11344" s="135">
        <f>YEAR(source[[#This Row],[report_date]])</f>
        <v>2025</v>
      </c>
      <c r="C11344" s="128">
        <f t="shared" si="529"/>
        <v>12</v>
      </c>
      <c r="D11344" s="136">
        <f t="shared" si="531"/>
        <v>51</v>
      </c>
      <c r="E11344" s="136">
        <f t="shared" si="530"/>
        <v>17</v>
      </c>
      <c r="F11344" s="137" t="s">
        <v>24</v>
      </c>
      <c r="G11344" s="128" t="str">
        <f>VLOOKUP(source[[#This Row],[lending_product_transform]],[3]Mapping!$B$4:$C$37,2,0)</f>
        <v>[Cake] - Cashloan</v>
      </c>
      <c r="H11344" s="128" t="str">
        <f>VLOOKUP(source[[#This Row],[lending_product_transform]],[3]Mapping!$B$3:$D$37,3,0)</f>
        <v>cashloan</v>
      </c>
      <c r="I11344" s="143">
        <v>0</v>
      </c>
    </row>
    <row r="11345" spans="1:9" x14ac:dyDescent="0.2">
      <c r="A11345" s="134">
        <v>46008</v>
      </c>
      <c r="B11345" s="135">
        <f>YEAR(source[[#This Row],[report_date]])</f>
        <v>2025</v>
      </c>
      <c r="C11345" s="128">
        <f t="shared" si="529"/>
        <v>12</v>
      </c>
      <c r="D11345" s="136">
        <f t="shared" si="531"/>
        <v>51</v>
      </c>
      <c r="E11345" s="136">
        <f t="shared" si="530"/>
        <v>17</v>
      </c>
      <c r="F11345" s="137" t="s">
        <v>24</v>
      </c>
      <c r="G11345" s="128" t="str">
        <f>VLOOKUP(source[[#This Row],[lending_product_transform]],[3]Mapping!$B$4:$C$37,2,0)</f>
        <v>[Cake] - Cashloan</v>
      </c>
      <c r="H11345" s="128" t="str">
        <f>VLOOKUP(source[[#This Row],[lending_product_transform]],[3]Mapping!$B$3:$D$37,3,0)</f>
        <v>cashloan</v>
      </c>
      <c r="I11345" s="143">
        <v>9917856000</v>
      </c>
    </row>
    <row r="11346" spans="1:9" x14ac:dyDescent="0.2">
      <c r="A11346" s="134">
        <v>46008</v>
      </c>
      <c r="B11346" s="135">
        <f>YEAR(source[[#This Row],[report_date]])</f>
        <v>2025</v>
      </c>
      <c r="C11346" s="128">
        <f t="shared" si="529"/>
        <v>12</v>
      </c>
      <c r="D11346" s="136">
        <f t="shared" si="531"/>
        <v>51</v>
      </c>
      <c r="E11346" s="136">
        <f t="shared" si="530"/>
        <v>17</v>
      </c>
      <c r="F11346" s="137" t="s">
        <v>24</v>
      </c>
      <c r="G11346" s="128" t="str">
        <f>VLOOKUP(source[[#This Row],[lending_product_transform]],[3]Mapping!$B$4:$C$37,2,0)</f>
        <v>[Cake] - Cashloan</v>
      </c>
      <c r="H11346" s="128" t="str">
        <f>VLOOKUP(source[[#This Row],[lending_product_transform]],[3]Mapping!$B$3:$D$37,3,0)</f>
        <v>cashloan</v>
      </c>
      <c r="I11346" s="143">
        <v>159315563</v>
      </c>
    </row>
    <row r="11347" spans="1:9" x14ac:dyDescent="0.2">
      <c r="A11347" s="134">
        <v>46008</v>
      </c>
      <c r="B11347" s="135">
        <f>YEAR(source[[#This Row],[report_date]])</f>
        <v>2025</v>
      </c>
      <c r="C11347" s="128">
        <f t="shared" si="529"/>
        <v>12</v>
      </c>
      <c r="D11347" s="136">
        <f t="shared" si="531"/>
        <v>51</v>
      </c>
      <c r="E11347" s="136">
        <f t="shared" si="530"/>
        <v>17</v>
      </c>
      <c r="F11347" s="137" t="s">
        <v>24</v>
      </c>
      <c r="G11347" s="128" t="str">
        <f>VLOOKUP(source[[#This Row],[lending_product_transform]],[3]Mapping!$B$4:$C$37,2,0)</f>
        <v>[Cake] - Cashloan</v>
      </c>
      <c r="H11347" s="128" t="str">
        <f>VLOOKUP(source[[#This Row],[lending_product_transform]],[3]Mapping!$B$3:$D$37,3,0)</f>
        <v>cashloan</v>
      </c>
      <c r="I11347" s="143">
        <v>0</v>
      </c>
    </row>
    <row r="11348" spans="1:9" x14ac:dyDescent="0.2">
      <c r="A11348" s="134">
        <v>46008</v>
      </c>
      <c r="B11348" s="135">
        <f>YEAR(source[[#This Row],[report_date]])</f>
        <v>2025</v>
      </c>
      <c r="C11348" s="128">
        <f t="shared" si="529"/>
        <v>12</v>
      </c>
      <c r="D11348" s="136">
        <f t="shared" si="531"/>
        <v>51</v>
      </c>
      <c r="E11348" s="136">
        <f t="shared" si="530"/>
        <v>17</v>
      </c>
      <c r="F11348" s="137" t="s">
        <v>24</v>
      </c>
      <c r="G11348" s="128" t="str">
        <f>VLOOKUP(source[[#This Row],[lending_product_transform]],[3]Mapping!$B$4:$C$37,2,0)</f>
        <v>[Cake] - Cashloan</v>
      </c>
      <c r="H11348" s="128" t="str">
        <f>VLOOKUP(source[[#This Row],[lending_product_transform]],[3]Mapping!$B$3:$D$37,3,0)</f>
        <v>cashloan</v>
      </c>
      <c r="I11348" s="143">
        <v>44000000</v>
      </c>
    </row>
    <row r="11349" spans="1:9" x14ac:dyDescent="0.2">
      <c r="A11349" s="134">
        <v>46008</v>
      </c>
      <c r="B11349" s="135">
        <f>YEAR(source[[#This Row],[report_date]])</f>
        <v>2025</v>
      </c>
      <c r="C11349" s="128">
        <f t="shared" si="529"/>
        <v>12</v>
      </c>
      <c r="D11349" s="136">
        <f t="shared" si="531"/>
        <v>51</v>
      </c>
      <c r="E11349" s="136">
        <f t="shared" si="530"/>
        <v>17</v>
      </c>
      <c r="F11349" s="137" t="s">
        <v>24</v>
      </c>
      <c r="G11349" s="128" t="str">
        <f>VLOOKUP(source[[#This Row],[lending_product_transform]],[3]Mapping!$B$4:$C$37,2,0)</f>
        <v>[Cake] - Cashloan</v>
      </c>
      <c r="H11349" s="128" t="str">
        <f>VLOOKUP(source[[#This Row],[lending_product_transform]],[3]Mapping!$B$3:$D$37,3,0)</f>
        <v>cashloan</v>
      </c>
      <c r="I11349" s="143">
        <v>404350000</v>
      </c>
    </row>
    <row r="11350" spans="1:9" x14ac:dyDescent="0.2">
      <c r="A11350" s="134">
        <v>46008</v>
      </c>
      <c r="B11350" s="135">
        <f>YEAR(source[[#This Row],[report_date]])</f>
        <v>2025</v>
      </c>
      <c r="C11350" s="128">
        <f t="shared" si="529"/>
        <v>12</v>
      </c>
      <c r="D11350" s="136">
        <f t="shared" si="531"/>
        <v>51</v>
      </c>
      <c r="E11350" s="136">
        <f t="shared" si="530"/>
        <v>17</v>
      </c>
      <c r="F11350" s="137" t="s">
        <v>24</v>
      </c>
      <c r="G11350" s="128" t="str">
        <f>VLOOKUP(source[[#This Row],[lending_product_transform]],[3]Mapping!$B$4:$C$37,2,0)</f>
        <v>[Cake] - Cashloan</v>
      </c>
      <c r="H11350" s="128" t="str">
        <f>VLOOKUP(source[[#This Row],[lending_product_transform]],[3]Mapping!$B$3:$D$37,3,0)</f>
        <v>cashloan</v>
      </c>
      <c r="I11350" s="143">
        <v>322488000</v>
      </c>
    </row>
    <row r="11351" spans="1:9" x14ac:dyDescent="0.2">
      <c r="A11351" s="134">
        <v>46008</v>
      </c>
      <c r="B11351" s="135">
        <f>YEAR(source[[#This Row],[report_date]])</f>
        <v>2025</v>
      </c>
      <c r="C11351" s="128">
        <f t="shared" si="529"/>
        <v>12</v>
      </c>
      <c r="D11351" s="136">
        <f t="shared" si="531"/>
        <v>51</v>
      </c>
      <c r="E11351" s="136">
        <f t="shared" si="530"/>
        <v>17</v>
      </c>
      <c r="F11351" s="137" t="s">
        <v>24</v>
      </c>
      <c r="G11351" s="128" t="str">
        <f>VLOOKUP(source[[#This Row],[lending_product_transform]],[3]Mapping!$B$4:$C$37,2,0)</f>
        <v>[Cake] - Cashloan</v>
      </c>
      <c r="H11351" s="128" t="str">
        <f>VLOOKUP(source[[#This Row],[lending_product_transform]],[3]Mapping!$B$3:$D$37,3,0)</f>
        <v>cashloan</v>
      </c>
      <c r="I11351" s="143">
        <v>307138085</v>
      </c>
    </row>
    <row r="11352" spans="1:9" x14ac:dyDescent="0.2">
      <c r="A11352" s="134">
        <v>46008</v>
      </c>
      <c r="B11352" s="135">
        <f>YEAR(source[[#This Row],[report_date]])</f>
        <v>2025</v>
      </c>
      <c r="C11352" s="128">
        <f t="shared" si="529"/>
        <v>12</v>
      </c>
      <c r="D11352" s="136">
        <f t="shared" si="531"/>
        <v>51</v>
      </c>
      <c r="E11352" s="136">
        <f t="shared" si="530"/>
        <v>17</v>
      </c>
      <c r="F11352" s="137" t="s">
        <v>24</v>
      </c>
      <c r="G11352" s="128" t="str">
        <f>VLOOKUP(source[[#This Row],[lending_product_transform]],[3]Mapping!$B$4:$C$37,2,0)</f>
        <v>[Cake] - Cashloan</v>
      </c>
      <c r="H11352" s="128" t="str">
        <f>VLOOKUP(source[[#This Row],[lending_product_transform]],[3]Mapping!$B$3:$D$37,3,0)</f>
        <v>cashloan</v>
      </c>
      <c r="I11352" s="143">
        <v>3763130000</v>
      </c>
    </row>
    <row r="11353" spans="1:9" x14ac:dyDescent="0.2">
      <c r="A11353" s="134">
        <v>46008</v>
      </c>
      <c r="B11353" s="135">
        <f>YEAR(source[[#This Row],[report_date]])</f>
        <v>2025</v>
      </c>
      <c r="C11353" s="128">
        <f t="shared" si="529"/>
        <v>12</v>
      </c>
      <c r="D11353" s="136">
        <f t="shared" si="531"/>
        <v>51</v>
      </c>
      <c r="E11353" s="136">
        <f t="shared" si="530"/>
        <v>17</v>
      </c>
      <c r="F11353" s="137" t="s">
        <v>24</v>
      </c>
      <c r="G11353" s="128" t="str">
        <f>VLOOKUP(source[[#This Row],[lending_product_transform]],[3]Mapping!$B$4:$C$37,2,0)</f>
        <v>[Cake] - Cashloan</v>
      </c>
      <c r="H11353" s="128" t="str">
        <f>VLOOKUP(source[[#This Row],[lending_product_transform]],[3]Mapping!$B$3:$D$37,3,0)</f>
        <v>cashloan</v>
      </c>
      <c r="I11353" s="143">
        <v>0</v>
      </c>
    </row>
    <row r="11354" spans="1:9" x14ac:dyDescent="0.2">
      <c r="A11354" s="134">
        <v>46009</v>
      </c>
      <c r="B11354" s="135">
        <f>YEAR(source[[#This Row],[report_date]])</f>
        <v>2025</v>
      </c>
      <c r="C11354" s="128">
        <f t="shared" si="529"/>
        <v>12</v>
      </c>
      <c r="D11354" s="136">
        <f t="shared" si="531"/>
        <v>51</v>
      </c>
      <c r="E11354" s="136">
        <f t="shared" si="530"/>
        <v>18</v>
      </c>
      <c r="F11354" s="137" t="s">
        <v>24</v>
      </c>
      <c r="G11354" s="128" t="str">
        <f>VLOOKUP(source[[#This Row],[lending_product_transform]],[3]Mapping!$B$4:$C$37,2,0)</f>
        <v>[Cake] - Cashloan</v>
      </c>
      <c r="H11354" s="128" t="str">
        <f>VLOOKUP(source[[#This Row],[lending_product_transform]],[3]Mapping!$B$3:$D$37,3,0)</f>
        <v>cashloan</v>
      </c>
      <c r="I11354" s="143">
        <v>207950000</v>
      </c>
    </row>
    <row r="11355" spans="1:9" x14ac:dyDescent="0.2">
      <c r="A11355" s="134">
        <v>46009</v>
      </c>
      <c r="B11355" s="135">
        <f>YEAR(source[[#This Row],[report_date]])</f>
        <v>2025</v>
      </c>
      <c r="C11355" s="128">
        <f t="shared" si="529"/>
        <v>12</v>
      </c>
      <c r="D11355" s="136">
        <f t="shared" si="531"/>
        <v>51</v>
      </c>
      <c r="E11355" s="136">
        <f t="shared" si="530"/>
        <v>18</v>
      </c>
      <c r="F11355" s="137" t="s">
        <v>24</v>
      </c>
      <c r="G11355" s="128" t="str">
        <f>VLOOKUP(source[[#This Row],[lending_product_transform]],[3]Mapping!$B$4:$C$37,2,0)</f>
        <v>[Cake] - Cashloan</v>
      </c>
      <c r="H11355" s="128" t="str">
        <f>VLOOKUP(source[[#This Row],[lending_product_transform]],[3]Mapping!$B$3:$D$37,3,0)</f>
        <v>cashloan</v>
      </c>
      <c r="I11355" s="143">
        <v>331133841</v>
      </c>
    </row>
    <row r="11356" spans="1:9" x14ac:dyDescent="0.2">
      <c r="A11356" s="134">
        <v>46009</v>
      </c>
      <c r="B11356" s="135">
        <f>YEAR(source[[#This Row],[report_date]])</f>
        <v>2025</v>
      </c>
      <c r="C11356" s="128">
        <f t="shared" si="529"/>
        <v>12</v>
      </c>
      <c r="D11356" s="136">
        <f t="shared" si="531"/>
        <v>51</v>
      </c>
      <c r="E11356" s="136">
        <f t="shared" si="530"/>
        <v>18</v>
      </c>
      <c r="F11356" s="137" t="s">
        <v>24</v>
      </c>
      <c r="G11356" s="128" t="str">
        <f>VLOOKUP(source[[#This Row],[lending_product_transform]],[3]Mapping!$B$4:$C$37,2,0)</f>
        <v>[Cake] - Cashloan</v>
      </c>
      <c r="H11356" s="128" t="str">
        <f>VLOOKUP(source[[#This Row],[lending_product_transform]],[3]Mapping!$B$3:$D$37,3,0)</f>
        <v>cashloan</v>
      </c>
      <c r="I11356" s="143">
        <v>17149870000</v>
      </c>
    </row>
    <row r="11357" spans="1:9" x14ac:dyDescent="0.2">
      <c r="A11357" s="134">
        <v>46009</v>
      </c>
      <c r="B11357" s="135">
        <f>YEAR(source[[#This Row],[report_date]])</f>
        <v>2025</v>
      </c>
      <c r="C11357" s="128">
        <f t="shared" si="529"/>
        <v>12</v>
      </c>
      <c r="D11357" s="136">
        <f t="shared" si="531"/>
        <v>51</v>
      </c>
      <c r="E11357" s="136">
        <f t="shared" si="530"/>
        <v>18</v>
      </c>
      <c r="F11357" s="137" t="s">
        <v>24</v>
      </c>
      <c r="G11357" s="128" t="str">
        <f>VLOOKUP(source[[#This Row],[lending_product_transform]],[3]Mapping!$B$4:$C$37,2,0)</f>
        <v>[Cake] - Cashloan</v>
      </c>
      <c r="H11357" s="128" t="str">
        <f>VLOOKUP(source[[#This Row],[lending_product_transform]],[3]Mapping!$B$3:$D$37,3,0)</f>
        <v>cashloan</v>
      </c>
      <c r="I11357" s="143">
        <v>1913837763</v>
      </c>
    </row>
    <row r="11358" spans="1:9" x14ac:dyDescent="0.2">
      <c r="A11358" s="134">
        <v>46009</v>
      </c>
      <c r="B11358" s="135">
        <f>YEAR(source[[#This Row],[report_date]])</f>
        <v>2025</v>
      </c>
      <c r="C11358" s="128">
        <f t="shared" si="529"/>
        <v>12</v>
      </c>
      <c r="D11358" s="136">
        <f t="shared" si="531"/>
        <v>51</v>
      </c>
      <c r="E11358" s="136">
        <f t="shared" si="530"/>
        <v>18</v>
      </c>
      <c r="F11358" s="137" t="s">
        <v>24</v>
      </c>
      <c r="G11358" s="128" t="str">
        <f>VLOOKUP(source[[#This Row],[lending_product_transform]],[3]Mapping!$B$4:$C$37,2,0)</f>
        <v>[Cake] - Cashloan</v>
      </c>
      <c r="H11358" s="128" t="str">
        <f>VLOOKUP(source[[#This Row],[lending_product_transform]],[3]Mapping!$B$3:$D$37,3,0)</f>
        <v>cashloan</v>
      </c>
      <c r="I11358" s="143">
        <v>11934000000</v>
      </c>
    </row>
    <row r="11359" spans="1:9" x14ac:dyDescent="0.2">
      <c r="A11359" s="134">
        <v>46009</v>
      </c>
      <c r="B11359" s="135">
        <f>YEAR(source[[#This Row],[report_date]])</f>
        <v>2025</v>
      </c>
      <c r="C11359" s="128">
        <f t="shared" si="529"/>
        <v>12</v>
      </c>
      <c r="D11359" s="136">
        <f t="shared" si="531"/>
        <v>51</v>
      </c>
      <c r="E11359" s="136">
        <f t="shared" si="530"/>
        <v>18</v>
      </c>
      <c r="F11359" s="137" t="s">
        <v>24</v>
      </c>
      <c r="G11359" s="128" t="str">
        <f>VLOOKUP(source[[#This Row],[lending_product_transform]],[3]Mapping!$B$4:$C$37,2,0)</f>
        <v>[Cake] - Cashloan</v>
      </c>
      <c r="H11359" s="128" t="str">
        <f>VLOOKUP(source[[#This Row],[lending_product_transform]],[3]Mapping!$B$3:$D$37,3,0)</f>
        <v>cashloan</v>
      </c>
      <c r="I11359" s="143">
        <v>5987341</v>
      </c>
    </row>
    <row r="11360" spans="1:9" x14ac:dyDescent="0.2">
      <c r="A11360" s="134">
        <v>46009</v>
      </c>
      <c r="B11360" s="135">
        <f>YEAR(source[[#This Row],[report_date]])</f>
        <v>2025</v>
      </c>
      <c r="C11360" s="128">
        <f t="shared" si="529"/>
        <v>12</v>
      </c>
      <c r="D11360" s="136">
        <f t="shared" si="531"/>
        <v>51</v>
      </c>
      <c r="E11360" s="136">
        <f t="shared" si="530"/>
        <v>18</v>
      </c>
      <c r="F11360" s="137" t="s">
        <v>24</v>
      </c>
      <c r="G11360" s="128" t="str">
        <f>VLOOKUP(source[[#This Row],[lending_product_transform]],[3]Mapping!$B$4:$C$37,2,0)</f>
        <v>[Cake] - Cashloan</v>
      </c>
      <c r="H11360" s="128" t="str">
        <f>VLOOKUP(source[[#This Row],[lending_product_transform]],[3]Mapping!$B$3:$D$37,3,0)</f>
        <v>cashloan</v>
      </c>
      <c r="I11360" s="143">
        <v>100000000</v>
      </c>
    </row>
    <row r="11361" spans="1:9" x14ac:dyDescent="0.2">
      <c r="A11361" s="134">
        <v>46009</v>
      </c>
      <c r="B11361" s="135">
        <f>YEAR(source[[#This Row],[report_date]])</f>
        <v>2025</v>
      </c>
      <c r="C11361" s="128">
        <f t="shared" si="529"/>
        <v>12</v>
      </c>
      <c r="D11361" s="136">
        <f t="shared" si="531"/>
        <v>51</v>
      </c>
      <c r="E11361" s="136">
        <f t="shared" si="530"/>
        <v>18</v>
      </c>
      <c r="F11361" s="137" t="s">
        <v>24</v>
      </c>
      <c r="G11361" s="128" t="str">
        <f>VLOOKUP(source[[#This Row],[lending_product_transform]],[3]Mapping!$B$4:$C$37,2,0)</f>
        <v>[Cake] - Cashloan</v>
      </c>
      <c r="H11361" s="128" t="str">
        <f>VLOOKUP(source[[#This Row],[lending_product_transform]],[3]Mapping!$B$3:$D$37,3,0)</f>
        <v>cashloan</v>
      </c>
      <c r="I11361" s="143">
        <v>3978750000</v>
      </c>
    </row>
    <row r="11362" spans="1:9" x14ac:dyDescent="0.2">
      <c r="A11362" s="134">
        <v>46009</v>
      </c>
      <c r="B11362" s="135">
        <f>YEAR(source[[#This Row],[report_date]])</f>
        <v>2025</v>
      </c>
      <c r="C11362" s="128">
        <f t="shared" si="529"/>
        <v>12</v>
      </c>
      <c r="D11362" s="136">
        <f t="shared" si="531"/>
        <v>51</v>
      </c>
      <c r="E11362" s="136">
        <f t="shared" si="530"/>
        <v>18</v>
      </c>
      <c r="F11362" s="137" t="s">
        <v>24</v>
      </c>
      <c r="G11362" s="128" t="str">
        <f>VLOOKUP(source[[#This Row],[lending_product_transform]],[3]Mapping!$B$4:$C$37,2,0)</f>
        <v>[Cake] - Cashloan</v>
      </c>
      <c r="H11362" s="128" t="str">
        <f>VLOOKUP(source[[#This Row],[lending_product_transform]],[3]Mapping!$B$3:$D$37,3,0)</f>
        <v>cashloan</v>
      </c>
      <c r="I11362" s="143">
        <v>14646069</v>
      </c>
    </row>
    <row r="11363" spans="1:9" x14ac:dyDescent="0.2">
      <c r="A11363" s="134">
        <v>46009</v>
      </c>
      <c r="B11363" s="135">
        <f>YEAR(source[[#This Row],[report_date]])</f>
        <v>2025</v>
      </c>
      <c r="C11363" s="128">
        <f t="shared" si="529"/>
        <v>12</v>
      </c>
      <c r="D11363" s="136">
        <f t="shared" si="531"/>
        <v>51</v>
      </c>
      <c r="E11363" s="136">
        <f t="shared" si="530"/>
        <v>18</v>
      </c>
      <c r="F11363" s="137" t="s">
        <v>24</v>
      </c>
      <c r="G11363" s="128" t="str">
        <f>VLOOKUP(source[[#This Row],[lending_product_transform]],[3]Mapping!$B$4:$C$37,2,0)</f>
        <v>[Cake] - Cashloan</v>
      </c>
      <c r="H11363" s="128" t="str">
        <f>VLOOKUP(source[[#This Row],[lending_product_transform]],[3]Mapping!$B$3:$D$37,3,0)</f>
        <v>cashloan</v>
      </c>
      <c r="I11363" s="143">
        <v>814902855</v>
      </c>
    </row>
    <row r="11364" spans="1:9" x14ac:dyDescent="0.2">
      <c r="A11364" s="134">
        <v>46009</v>
      </c>
      <c r="B11364" s="135">
        <f>YEAR(source[[#This Row],[report_date]])</f>
        <v>2025</v>
      </c>
      <c r="C11364" s="128">
        <f t="shared" si="529"/>
        <v>12</v>
      </c>
      <c r="D11364" s="136">
        <f t="shared" si="531"/>
        <v>51</v>
      </c>
      <c r="E11364" s="136">
        <f t="shared" si="530"/>
        <v>18</v>
      </c>
      <c r="F11364" s="137" t="s">
        <v>24</v>
      </c>
      <c r="G11364" s="128" t="str">
        <f>VLOOKUP(source[[#This Row],[lending_product_transform]],[3]Mapping!$B$4:$C$37,2,0)</f>
        <v>[Cake] - Cashloan</v>
      </c>
      <c r="H11364" s="128" t="str">
        <f>VLOOKUP(source[[#This Row],[lending_product_transform]],[3]Mapping!$B$3:$D$37,3,0)</f>
        <v>cashloan</v>
      </c>
      <c r="I11364" s="143">
        <v>0</v>
      </c>
    </row>
    <row r="11365" spans="1:9" x14ac:dyDescent="0.2">
      <c r="A11365" s="134">
        <v>46009</v>
      </c>
      <c r="B11365" s="135">
        <f>YEAR(source[[#This Row],[report_date]])</f>
        <v>2025</v>
      </c>
      <c r="C11365" s="128">
        <f t="shared" si="529"/>
        <v>12</v>
      </c>
      <c r="D11365" s="136">
        <f t="shared" si="531"/>
        <v>51</v>
      </c>
      <c r="E11365" s="136">
        <f t="shared" si="530"/>
        <v>18</v>
      </c>
      <c r="F11365" s="137" t="s">
        <v>24</v>
      </c>
      <c r="G11365" s="128" t="str">
        <f>VLOOKUP(source[[#This Row],[lending_product_transform]],[3]Mapping!$B$4:$C$37,2,0)</f>
        <v>[Cake] - Cashloan</v>
      </c>
      <c r="H11365" s="128" t="str">
        <f>VLOOKUP(source[[#This Row],[lending_product_transform]],[3]Mapping!$B$3:$D$37,3,0)</f>
        <v>cashloan</v>
      </c>
      <c r="I11365" s="143">
        <v>1226050000</v>
      </c>
    </row>
    <row r="11366" spans="1:9" x14ac:dyDescent="0.2">
      <c r="A11366" s="134">
        <v>46009</v>
      </c>
      <c r="B11366" s="135">
        <f>YEAR(source[[#This Row],[report_date]])</f>
        <v>2025</v>
      </c>
      <c r="C11366" s="128">
        <f t="shared" si="529"/>
        <v>12</v>
      </c>
      <c r="D11366" s="136">
        <f t="shared" si="531"/>
        <v>51</v>
      </c>
      <c r="E11366" s="136">
        <f t="shared" si="530"/>
        <v>18</v>
      </c>
      <c r="F11366" s="137" t="s">
        <v>24</v>
      </c>
      <c r="G11366" s="128" t="str">
        <f>VLOOKUP(source[[#This Row],[lending_product_transform]],[3]Mapping!$B$4:$C$37,2,0)</f>
        <v>[Cake] - Cashloan</v>
      </c>
      <c r="H11366" s="128" t="str">
        <f>VLOOKUP(source[[#This Row],[lending_product_transform]],[3]Mapping!$B$3:$D$37,3,0)</f>
        <v>cashloan</v>
      </c>
      <c r="I11366" s="143">
        <v>19521960000</v>
      </c>
    </row>
    <row r="11367" spans="1:9" x14ac:dyDescent="0.2">
      <c r="A11367" s="134">
        <v>46009</v>
      </c>
      <c r="B11367" s="135">
        <f>YEAR(source[[#This Row],[report_date]])</f>
        <v>2025</v>
      </c>
      <c r="C11367" s="128">
        <f t="shared" si="529"/>
        <v>12</v>
      </c>
      <c r="D11367" s="136">
        <f t="shared" si="531"/>
        <v>51</v>
      </c>
      <c r="E11367" s="136">
        <f t="shared" si="530"/>
        <v>18</v>
      </c>
      <c r="F11367" s="137" t="s">
        <v>24</v>
      </c>
      <c r="G11367" s="128" t="str">
        <f>VLOOKUP(source[[#This Row],[lending_product_transform]],[3]Mapping!$B$4:$C$37,2,0)</f>
        <v>[Cake] - Cashloan</v>
      </c>
      <c r="H11367" s="128" t="str">
        <f>VLOOKUP(source[[#This Row],[lending_product_transform]],[3]Mapping!$B$3:$D$37,3,0)</f>
        <v>cashloan</v>
      </c>
      <c r="I11367" s="143">
        <v>0</v>
      </c>
    </row>
    <row r="11368" spans="1:9" x14ac:dyDescent="0.2">
      <c r="A11368" s="134">
        <v>46009</v>
      </c>
      <c r="B11368" s="135">
        <f>YEAR(source[[#This Row],[report_date]])</f>
        <v>2025</v>
      </c>
      <c r="C11368" s="128">
        <f t="shared" si="529"/>
        <v>12</v>
      </c>
      <c r="D11368" s="136">
        <f t="shared" si="531"/>
        <v>51</v>
      </c>
      <c r="E11368" s="136">
        <f t="shared" si="530"/>
        <v>18</v>
      </c>
      <c r="F11368" s="137" t="s">
        <v>24</v>
      </c>
      <c r="G11368" s="128" t="str">
        <f>VLOOKUP(source[[#This Row],[lending_product_transform]],[3]Mapping!$B$4:$C$37,2,0)</f>
        <v>[Cake] - Cashloan</v>
      </c>
      <c r="H11368" s="128" t="str">
        <f>VLOOKUP(source[[#This Row],[lending_product_transform]],[3]Mapping!$B$3:$D$37,3,0)</f>
        <v>cashloan</v>
      </c>
      <c r="I11368" s="143">
        <v>0</v>
      </c>
    </row>
    <row r="11369" spans="1:9" x14ac:dyDescent="0.2">
      <c r="A11369" s="134">
        <v>46009</v>
      </c>
      <c r="B11369" s="135">
        <f>YEAR(source[[#This Row],[report_date]])</f>
        <v>2025</v>
      </c>
      <c r="C11369" s="128">
        <f t="shared" si="529"/>
        <v>12</v>
      </c>
      <c r="D11369" s="136">
        <f t="shared" si="531"/>
        <v>51</v>
      </c>
      <c r="E11369" s="136">
        <f t="shared" si="530"/>
        <v>18</v>
      </c>
      <c r="F11369" s="137" t="s">
        <v>24</v>
      </c>
      <c r="G11369" s="128" t="str">
        <f>VLOOKUP(source[[#This Row],[lending_product_transform]],[3]Mapping!$B$4:$C$37,2,0)</f>
        <v>[Cake] - Cashloan</v>
      </c>
      <c r="H11369" s="128" t="str">
        <f>VLOOKUP(source[[#This Row],[lending_product_transform]],[3]Mapping!$B$3:$D$37,3,0)</f>
        <v>cashloan</v>
      </c>
      <c r="I11369" s="143">
        <v>0</v>
      </c>
    </row>
    <row r="11370" spans="1:9" x14ac:dyDescent="0.2">
      <c r="A11370" s="134">
        <v>46009</v>
      </c>
      <c r="B11370" s="135">
        <f>YEAR(source[[#This Row],[report_date]])</f>
        <v>2025</v>
      </c>
      <c r="C11370" s="128">
        <f t="shared" si="529"/>
        <v>12</v>
      </c>
      <c r="D11370" s="136">
        <f t="shared" si="531"/>
        <v>51</v>
      </c>
      <c r="E11370" s="136">
        <f t="shared" si="530"/>
        <v>18</v>
      </c>
      <c r="F11370" s="137" t="s">
        <v>24</v>
      </c>
      <c r="G11370" s="128" t="str">
        <f>VLOOKUP(source[[#This Row],[lending_product_transform]],[3]Mapping!$B$4:$C$37,2,0)</f>
        <v>[Cake] - Cashloan</v>
      </c>
      <c r="H11370" s="128" t="str">
        <f>VLOOKUP(source[[#This Row],[lending_product_transform]],[3]Mapping!$B$3:$D$37,3,0)</f>
        <v>cashloan</v>
      </c>
      <c r="I11370" s="143">
        <v>0</v>
      </c>
    </row>
    <row r="11371" spans="1:9" x14ac:dyDescent="0.2">
      <c r="A11371" s="134">
        <v>46009</v>
      </c>
      <c r="B11371" s="135">
        <f>YEAR(source[[#This Row],[report_date]])</f>
        <v>2025</v>
      </c>
      <c r="C11371" s="128">
        <f t="shared" si="529"/>
        <v>12</v>
      </c>
      <c r="D11371" s="136">
        <f t="shared" si="531"/>
        <v>51</v>
      </c>
      <c r="E11371" s="136">
        <f t="shared" si="530"/>
        <v>18</v>
      </c>
      <c r="F11371" s="137" t="s">
        <v>24</v>
      </c>
      <c r="G11371" s="128" t="str">
        <f>VLOOKUP(source[[#This Row],[lending_product_transform]],[3]Mapping!$B$4:$C$37,2,0)</f>
        <v>[Cake] - Cashloan</v>
      </c>
      <c r="H11371" s="128" t="str">
        <f>VLOOKUP(source[[#This Row],[lending_product_transform]],[3]Mapping!$B$3:$D$37,3,0)</f>
        <v>cashloan</v>
      </c>
      <c r="I11371" s="143">
        <v>9723996000</v>
      </c>
    </row>
    <row r="11372" spans="1:9" x14ac:dyDescent="0.2">
      <c r="A11372" s="134">
        <v>46009</v>
      </c>
      <c r="B11372" s="135">
        <f>YEAR(source[[#This Row],[report_date]])</f>
        <v>2025</v>
      </c>
      <c r="C11372" s="128">
        <f t="shared" si="529"/>
        <v>12</v>
      </c>
      <c r="D11372" s="136">
        <f t="shared" si="531"/>
        <v>51</v>
      </c>
      <c r="E11372" s="136">
        <f t="shared" si="530"/>
        <v>18</v>
      </c>
      <c r="F11372" s="137" t="s">
        <v>24</v>
      </c>
      <c r="G11372" s="128" t="str">
        <f>VLOOKUP(source[[#This Row],[lending_product_transform]],[3]Mapping!$B$4:$C$37,2,0)</f>
        <v>[Cake] - Cashloan</v>
      </c>
      <c r="H11372" s="128" t="str">
        <f>VLOOKUP(source[[#This Row],[lending_product_transform]],[3]Mapping!$B$3:$D$37,3,0)</f>
        <v>cashloan</v>
      </c>
      <c r="I11372" s="143">
        <v>180947368</v>
      </c>
    </row>
    <row r="11373" spans="1:9" x14ac:dyDescent="0.2">
      <c r="A11373" s="134">
        <v>46009</v>
      </c>
      <c r="B11373" s="135">
        <f>YEAR(source[[#This Row],[report_date]])</f>
        <v>2025</v>
      </c>
      <c r="C11373" s="128">
        <f t="shared" si="529"/>
        <v>12</v>
      </c>
      <c r="D11373" s="136">
        <f t="shared" si="531"/>
        <v>51</v>
      </c>
      <c r="E11373" s="136">
        <f t="shared" si="530"/>
        <v>18</v>
      </c>
      <c r="F11373" s="137" t="s">
        <v>24</v>
      </c>
      <c r="G11373" s="128" t="str">
        <f>VLOOKUP(source[[#This Row],[lending_product_transform]],[3]Mapping!$B$4:$C$37,2,0)</f>
        <v>[Cake] - Cashloan</v>
      </c>
      <c r="H11373" s="128" t="str">
        <f>VLOOKUP(source[[#This Row],[lending_product_transform]],[3]Mapping!$B$3:$D$37,3,0)</f>
        <v>cashloan</v>
      </c>
      <c r="I11373" s="143">
        <v>0</v>
      </c>
    </row>
    <row r="11374" spans="1:9" x14ac:dyDescent="0.2">
      <c r="A11374" s="134">
        <v>46009</v>
      </c>
      <c r="B11374" s="135">
        <f>YEAR(source[[#This Row],[report_date]])</f>
        <v>2025</v>
      </c>
      <c r="C11374" s="128">
        <f t="shared" si="529"/>
        <v>12</v>
      </c>
      <c r="D11374" s="136">
        <f t="shared" si="531"/>
        <v>51</v>
      </c>
      <c r="E11374" s="136">
        <f t="shared" si="530"/>
        <v>18</v>
      </c>
      <c r="F11374" s="137" t="s">
        <v>24</v>
      </c>
      <c r="G11374" s="128" t="str">
        <f>VLOOKUP(source[[#This Row],[lending_product_transform]],[3]Mapping!$B$4:$C$37,2,0)</f>
        <v>[Cake] - Cashloan</v>
      </c>
      <c r="H11374" s="128" t="str">
        <f>VLOOKUP(source[[#This Row],[lending_product_transform]],[3]Mapping!$B$3:$D$37,3,0)</f>
        <v>cashloan</v>
      </c>
      <c r="I11374" s="143">
        <v>36000000</v>
      </c>
    </row>
    <row r="11375" spans="1:9" x14ac:dyDescent="0.2">
      <c r="A11375" s="134">
        <v>46009</v>
      </c>
      <c r="B11375" s="135">
        <f>YEAR(source[[#This Row],[report_date]])</f>
        <v>2025</v>
      </c>
      <c r="C11375" s="128">
        <f t="shared" si="529"/>
        <v>12</v>
      </c>
      <c r="D11375" s="136">
        <f t="shared" si="531"/>
        <v>51</v>
      </c>
      <c r="E11375" s="136">
        <f t="shared" si="530"/>
        <v>18</v>
      </c>
      <c r="F11375" s="137" t="s">
        <v>24</v>
      </c>
      <c r="G11375" s="128" t="str">
        <f>VLOOKUP(source[[#This Row],[lending_product_transform]],[3]Mapping!$B$4:$C$37,2,0)</f>
        <v>[Cake] - Cashloan</v>
      </c>
      <c r="H11375" s="128" t="str">
        <f>VLOOKUP(source[[#This Row],[lending_product_transform]],[3]Mapping!$B$3:$D$37,3,0)</f>
        <v>cashloan</v>
      </c>
      <c r="I11375" s="143">
        <v>792060000</v>
      </c>
    </row>
    <row r="11376" spans="1:9" x14ac:dyDescent="0.2">
      <c r="A11376" s="134">
        <v>46009</v>
      </c>
      <c r="B11376" s="135">
        <f>YEAR(source[[#This Row],[report_date]])</f>
        <v>2025</v>
      </c>
      <c r="C11376" s="128">
        <f t="shared" si="529"/>
        <v>12</v>
      </c>
      <c r="D11376" s="136">
        <f t="shared" si="531"/>
        <v>51</v>
      </c>
      <c r="E11376" s="136">
        <f t="shared" si="530"/>
        <v>18</v>
      </c>
      <c r="F11376" s="137" t="s">
        <v>24</v>
      </c>
      <c r="G11376" s="128" t="str">
        <f>VLOOKUP(source[[#This Row],[lending_product_transform]],[3]Mapping!$B$4:$C$37,2,0)</f>
        <v>[Cake] - Cashloan</v>
      </c>
      <c r="H11376" s="128" t="str">
        <f>VLOOKUP(source[[#This Row],[lending_product_transform]],[3]Mapping!$B$3:$D$37,3,0)</f>
        <v>cashloan</v>
      </c>
      <c r="I11376" s="143">
        <v>308556000</v>
      </c>
    </row>
    <row r="11377" spans="1:9" x14ac:dyDescent="0.2">
      <c r="A11377" s="134">
        <v>46009</v>
      </c>
      <c r="B11377" s="135">
        <f>YEAR(source[[#This Row],[report_date]])</f>
        <v>2025</v>
      </c>
      <c r="C11377" s="128">
        <f t="shared" si="529"/>
        <v>12</v>
      </c>
      <c r="D11377" s="136">
        <f t="shared" si="531"/>
        <v>51</v>
      </c>
      <c r="E11377" s="136">
        <f t="shared" si="530"/>
        <v>18</v>
      </c>
      <c r="F11377" s="137" t="s">
        <v>24</v>
      </c>
      <c r="G11377" s="128" t="str">
        <f>VLOOKUP(source[[#This Row],[lending_product_transform]],[3]Mapping!$B$4:$C$37,2,0)</f>
        <v>[Cake] - Cashloan</v>
      </c>
      <c r="H11377" s="128" t="str">
        <f>VLOOKUP(source[[#This Row],[lending_product_transform]],[3]Mapping!$B$3:$D$37,3,0)</f>
        <v>cashloan</v>
      </c>
      <c r="I11377" s="143">
        <v>291196709</v>
      </c>
    </row>
    <row r="11378" spans="1:9" x14ac:dyDescent="0.2">
      <c r="A11378" s="134">
        <v>46009</v>
      </c>
      <c r="B11378" s="135">
        <f>YEAR(source[[#This Row],[report_date]])</f>
        <v>2025</v>
      </c>
      <c r="C11378" s="128">
        <f t="shared" si="529"/>
        <v>12</v>
      </c>
      <c r="D11378" s="136">
        <f t="shared" si="531"/>
        <v>51</v>
      </c>
      <c r="E11378" s="136">
        <f t="shared" si="530"/>
        <v>18</v>
      </c>
      <c r="F11378" s="137" t="s">
        <v>24</v>
      </c>
      <c r="G11378" s="128" t="str">
        <f>VLOOKUP(source[[#This Row],[lending_product_transform]],[3]Mapping!$B$4:$C$37,2,0)</f>
        <v>[Cake] - Cashloan</v>
      </c>
      <c r="H11378" s="128" t="str">
        <f>VLOOKUP(source[[#This Row],[lending_product_transform]],[3]Mapping!$B$3:$D$37,3,0)</f>
        <v>cashloan</v>
      </c>
      <c r="I11378" s="143">
        <v>3581780000</v>
      </c>
    </row>
    <row r="11379" spans="1:9" x14ac:dyDescent="0.2">
      <c r="A11379" s="134">
        <v>46009</v>
      </c>
      <c r="B11379" s="135">
        <f>YEAR(source[[#This Row],[report_date]])</f>
        <v>2025</v>
      </c>
      <c r="C11379" s="128">
        <f t="shared" si="529"/>
        <v>12</v>
      </c>
      <c r="D11379" s="136">
        <f t="shared" si="531"/>
        <v>51</v>
      </c>
      <c r="E11379" s="136">
        <f t="shared" si="530"/>
        <v>18</v>
      </c>
      <c r="F11379" s="137" t="s">
        <v>24</v>
      </c>
      <c r="G11379" s="128" t="str">
        <f>VLOOKUP(source[[#This Row],[lending_product_transform]],[3]Mapping!$B$4:$C$37,2,0)</f>
        <v>[Cake] - Cashloan</v>
      </c>
      <c r="H11379" s="128" t="str">
        <f>VLOOKUP(source[[#This Row],[lending_product_transform]],[3]Mapping!$B$3:$D$37,3,0)</f>
        <v>cashloan</v>
      </c>
      <c r="I11379" s="143">
        <v>0</v>
      </c>
    </row>
    <row r="11380" spans="1:9" x14ac:dyDescent="0.2">
      <c r="A11380" s="134">
        <v>46010</v>
      </c>
      <c r="B11380" s="135">
        <f>YEAR(source[[#This Row],[report_date]])</f>
        <v>2025</v>
      </c>
      <c r="C11380" s="128">
        <f t="shared" si="529"/>
        <v>12</v>
      </c>
      <c r="D11380" s="136">
        <f t="shared" si="531"/>
        <v>51</v>
      </c>
      <c r="E11380" s="136">
        <f t="shared" si="530"/>
        <v>19</v>
      </c>
      <c r="F11380" s="137" t="s">
        <v>24</v>
      </c>
      <c r="G11380" s="128" t="str">
        <f>VLOOKUP(source[[#This Row],[lending_product_transform]],[3]Mapping!$B$4:$C$37,2,0)</f>
        <v>[Cake] - Cashloan</v>
      </c>
      <c r="H11380" s="128" t="str">
        <f>VLOOKUP(source[[#This Row],[lending_product_transform]],[3]Mapping!$B$3:$D$37,3,0)</f>
        <v>cashloan</v>
      </c>
      <c r="I11380" s="143">
        <v>189600000</v>
      </c>
    </row>
    <row r="11381" spans="1:9" x14ac:dyDescent="0.2">
      <c r="A11381" s="134">
        <v>46010</v>
      </c>
      <c r="B11381" s="135">
        <f>YEAR(source[[#This Row],[report_date]])</f>
        <v>2025</v>
      </c>
      <c r="C11381" s="128">
        <f t="shared" si="529"/>
        <v>12</v>
      </c>
      <c r="D11381" s="136">
        <f t="shared" si="531"/>
        <v>51</v>
      </c>
      <c r="E11381" s="136">
        <f t="shared" si="530"/>
        <v>19</v>
      </c>
      <c r="F11381" s="137" t="s">
        <v>24</v>
      </c>
      <c r="G11381" s="128" t="str">
        <f>VLOOKUP(source[[#This Row],[lending_product_transform]],[3]Mapping!$B$4:$C$37,2,0)</f>
        <v>[Cake] - Cashloan</v>
      </c>
      <c r="H11381" s="128" t="str">
        <f>VLOOKUP(source[[#This Row],[lending_product_transform]],[3]Mapping!$B$3:$D$37,3,0)</f>
        <v>cashloan</v>
      </c>
      <c r="I11381" s="143">
        <v>347547390</v>
      </c>
    </row>
    <row r="11382" spans="1:9" x14ac:dyDescent="0.2">
      <c r="A11382" s="134">
        <v>46010</v>
      </c>
      <c r="B11382" s="135">
        <f>YEAR(source[[#This Row],[report_date]])</f>
        <v>2025</v>
      </c>
      <c r="C11382" s="128">
        <f t="shared" ref="C11382:C11445" si="532">MONTH(A11382)</f>
        <v>12</v>
      </c>
      <c r="D11382" s="136">
        <f t="shared" si="531"/>
        <v>51</v>
      </c>
      <c r="E11382" s="136">
        <f t="shared" ref="E11382:E11445" si="533">DAY(A11382)</f>
        <v>19</v>
      </c>
      <c r="F11382" s="137" t="s">
        <v>24</v>
      </c>
      <c r="G11382" s="128" t="str">
        <f>VLOOKUP(source[[#This Row],[lending_product_transform]],[3]Mapping!$B$4:$C$37,2,0)</f>
        <v>[Cake] - Cashloan</v>
      </c>
      <c r="H11382" s="128" t="str">
        <f>VLOOKUP(source[[#This Row],[lending_product_transform]],[3]Mapping!$B$3:$D$37,3,0)</f>
        <v>cashloan</v>
      </c>
      <c r="I11382" s="143">
        <v>12642980000</v>
      </c>
    </row>
    <row r="11383" spans="1:9" x14ac:dyDescent="0.2">
      <c r="A11383" s="134">
        <v>46010</v>
      </c>
      <c r="B11383" s="135">
        <f>YEAR(source[[#This Row],[report_date]])</f>
        <v>2025</v>
      </c>
      <c r="C11383" s="128">
        <f t="shared" si="532"/>
        <v>12</v>
      </c>
      <c r="D11383" s="136">
        <f t="shared" si="531"/>
        <v>51</v>
      </c>
      <c r="E11383" s="136">
        <f t="shared" si="533"/>
        <v>19</v>
      </c>
      <c r="F11383" s="137" t="s">
        <v>24</v>
      </c>
      <c r="G11383" s="128" t="str">
        <f>VLOOKUP(source[[#This Row],[lending_product_transform]],[3]Mapping!$B$4:$C$37,2,0)</f>
        <v>[Cake] - Cashloan</v>
      </c>
      <c r="H11383" s="128" t="str">
        <f>VLOOKUP(source[[#This Row],[lending_product_transform]],[3]Mapping!$B$3:$D$37,3,0)</f>
        <v>cashloan</v>
      </c>
      <c r="I11383" s="143">
        <v>2187683311</v>
      </c>
    </row>
    <row r="11384" spans="1:9" x14ac:dyDescent="0.2">
      <c r="A11384" s="134">
        <v>46010</v>
      </c>
      <c r="B11384" s="135">
        <f>YEAR(source[[#This Row],[report_date]])</f>
        <v>2025</v>
      </c>
      <c r="C11384" s="128">
        <f t="shared" si="532"/>
        <v>12</v>
      </c>
      <c r="D11384" s="136">
        <f t="shared" si="531"/>
        <v>51</v>
      </c>
      <c r="E11384" s="136">
        <f t="shared" si="533"/>
        <v>19</v>
      </c>
      <c r="F11384" s="137" t="s">
        <v>24</v>
      </c>
      <c r="G11384" s="128" t="str">
        <f>VLOOKUP(source[[#This Row],[lending_product_transform]],[3]Mapping!$B$4:$C$37,2,0)</f>
        <v>[Cake] - Cashloan</v>
      </c>
      <c r="H11384" s="128" t="str">
        <f>VLOOKUP(source[[#This Row],[lending_product_transform]],[3]Mapping!$B$3:$D$37,3,0)</f>
        <v>cashloan</v>
      </c>
      <c r="I11384" s="143">
        <v>12382096000</v>
      </c>
    </row>
    <row r="11385" spans="1:9" x14ac:dyDescent="0.2">
      <c r="A11385" s="134">
        <v>46010</v>
      </c>
      <c r="B11385" s="135">
        <f>YEAR(source[[#This Row],[report_date]])</f>
        <v>2025</v>
      </c>
      <c r="C11385" s="128">
        <f t="shared" si="532"/>
        <v>12</v>
      </c>
      <c r="D11385" s="136">
        <f t="shared" si="531"/>
        <v>51</v>
      </c>
      <c r="E11385" s="136">
        <f t="shared" si="533"/>
        <v>19</v>
      </c>
      <c r="F11385" s="137" t="s">
        <v>24</v>
      </c>
      <c r="G11385" s="128" t="str">
        <f>VLOOKUP(source[[#This Row],[lending_product_transform]],[3]Mapping!$B$4:$C$37,2,0)</f>
        <v>[Cake] - Cashloan</v>
      </c>
      <c r="H11385" s="128" t="str">
        <f>VLOOKUP(source[[#This Row],[lending_product_transform]],[3]Mapping!$B$3:$D$37,3,0)</f>
        <v>cashloan</v>
      </c>
      <c r="I11385" s="143">
        <v>707254</v>
      </c>
    </row>
    <row r="11386" spans="1:9" x14ac:dyDescent="0.2">
      <c r="A11386" s="134">
        <v>46010</v>
      </c>
      <c r="B11386" s="135">
        <f>YEAR(source[[#This Row],[report_date]])</f>
        <v>2025</v>
      </c>
      <c r="C11386" s="128">
        <f t="shared" si="532"/>
        <v>12</v>
      </c>
      <c r="D11386" s="136">
        <f t="shared" si="531"/>
        <v>51</v>
      </c>
      <c r="E11386" s="136">
        <f t="shared" si="533"/>
        <v>19</v>
      </c>
      <c r="F11386" s="137" t="s">
        <v>24</v>
      </c>
      <c r="G11386" s="128" t="str">
        <f>VLOOKUP(source[[#This Row],[lending_product_transform]],[3]Mapping!$B$4:$C$37,2,0)</f>
        <v>[Cake] - Cashloan</v>
      </c>
      <c r="H11386" s="128" t="str">
        <f>VLOOKUP(source[[#This Row],[lending_product_transform]],[3]Mapping!$B$3:$D$37,3,0)</f>
        <v>cashloan</v>
      </c>
      <c r="I11386" s="143">
        <v>50000000</v>
      </c>
    </row>
    <row r="11387" spans="1:9" x14ac:dyDescent="0.2">
      <c r="A11387" s="134">
        <v>46010</v>
      </c>
      <c r="B11387" s="135">
        <f>YEAR(source[[#This Row],[report_date]])</f>
        <v>2025</v>
      </c>
      <c r="C11387" s="128">
        <f t="shared" si="532"/>
        <v>12</v>
      </c>
      <c r="D11387" s="136">
        <f t="shared" si="531"/>
        <v>51</v>
      </c>
      <c r="E11387" s="136">
        <f t="shared" si="533"/>
        <v>19</v>
      </c>
      <c r="F11387" s="137" t="s">
        <v>24</v>
      </c>
      <c r="G11387" s="128" t="str">
        <f>VLOOKUP(source[[#This Row],[lending_product_transform]],[3]Mapping!$B$4:$C$37,2,0)</f>
        <v>[Cake] - Cashloan</v>
      </c>
      <c r="H11387" s="128" t="str">
        <f>VLOOKUP(source[[#This Row],[lending_product_transform]],[3]Mapping!$B$3:$D$37,3,0)</f>
        <v>cashloan</v>
      </c>
      <c r="I11387" s="143">
        <v>4275100000</v>
      </c>
    </row>
    <row r="11388" spans="1:9" x14ac:dyDescent="0.2">
      <c r="A11388" s="134">
        <v>46010</v>
      </c>
      <c r="B11388" s="135">
        <f>YEAR(source[[#This Row],[report_date]])</f>
        <v>2025</v>
      </c>
      <c r="C11388" s="128">
        <f t="shared" si="532"/>
        <v>12</v>
      </c>
      <c r="D11388" s="136">
        <f t="shared" si="531"/>
        <v>51</v>
      </c>
      <c r="E11388" s="136">
        <f t="shared" si="533"/>
        <v>19</v>
      </c>
      <c r="F11388" s="137" t="s">
        <v>24</v>
      </c>
      <c r="G11388" s="128" t="str">
        <f>VLOOKUP(source[[#This Row],[lending_product_transform]],[3]Mapping!$B$4:$C$37,2,0)</f>
        <v>[Cake] - Cashloan</v>
      </c>
      <c r="H11388" s="128" t="str">
        <f>VLOOKUP(source[[#This Row],[lending_product_transform]],[3]Mapping!$B$3:$D$37,3,0)</f>
        <v>cashloan</v>
      </c>
      <c r="I11388" s="143">
        <v>0</v>
      </c>
    </row>
    <row r="11389" spans="1:9" x14ac:dyDescent="0.2">
      <c r="A11389" s="134">
        <v>46010</v>
      </c>
      <c r="B11389" s="135">
        <f>YEAR(source[[#This Row],[report_date]])</f>
        <v>2025</v>
      </c>
      <c r="C11389" s="128">
        <f t="shared" si="532"/>
        <v>12</v>
      </c>
      <c r="D11389" s="136">
        <f t="shared" si="531"/>
        <v>51</v>
      </c>
      <c r="E11389" s="136">
        <f t="shared" si="533"/>
        <v>19</v>
      </c>
      <c r="F11389" s="137" t="s">
        <v>24</v>
      </c>
      <c r="G11389" s="128" t="str">
        <f>VLOOKUP(source[[#This Row],[lending_product_transform]],[3]Mapping!$B$4:$C$37,2,0)</f>
        <v>[Cake] - Cashloan</v>
      </c>
      <c r="H11389" s="128" t="str">
        <f>VLOOKUP(source[[#This Row],[lending_product_transform]],[3]Mapping!$B$3:$D$37,3,0)</f>
        <v>cashloan</v>
      </c>
      <c r="I11389" s="143">
        <v>719509858</v>
      </c>
    </row>
    <row r="11390" spans="1:9" x14ac:dyDescent="0.2">
      <c r="A11390" s="134">
        <v>46010</v>
      </c>
      <c r="B11390" s="135">
        <f>YEAR(source[[#This Row],[report_date]])</f>
        <v>2025</v>
      </c>
      <c r="C11390" s="128">
        <f t="shared" si="532"/>
        <v>12</v>
      </c>
      <c r="D11390" s="136">
        <f t="shared" si="531"/>
        <v>51</v>
      </c>
      <c r="E11390" s="136">
        <f t="shared" si="533"/>
        <v>19</v>
      </c>
      <c r="F11390" s="137" t="s">
        <v>24</v>
      </c>
      <c r="G11390" s="128" t="str">
        <f>VLOOKUP(source[[#This Row],[lending_product_transform]],[3]Mapping!$B$4:$C$37,2,0)</f>
        <v>[Cake] - Cashloan</v>
      </c>
      <c r="H11390" s="128" t="str">
        <f>VLOOKUP(source[[#This Row],[lending_product_transform]],[3]Mapping!$B$3:$D$37,3,0)</f>
        <v>cashloan</v>
      </c>
      <c r="I11390" s="143">
        <v>0</v>
      </c>
    </row>
    <row r="11391" spans="1:9" x14ac:dyDescent="0.2">
      <c r="A11391" s="134">
        <v>46010</v>
      </c>
      <c r="B11391" s="135">
        <f>YEAR(source[[#This Row],[report_date]])</f>
        <v>2025</v>
      </c>
      <c r="C11391" s="128">
        <f t="shared" si="532"/>
        <v>12</v>
      </c>
      <c r="D11391" s="136">
        <f t="shared" si="531"/>
        <v>51</v>
      </c>
      <c r="E11391" s="136">
        <f t="shared" si="533"/>
        <v>19</v>
      </c>
      <c r="F11391" s="137" t="s">
        <v>24</v>
      </c>
      <c r="G11391" s="128" t="str">
        <f>VLOOKUP(source[[#This Row],[lending_product_transform]],[3]Mapping!$B$4:$C$37,2,0)</f>
        <v>[Cake] - Cashloan</v>
      </c>
      <c r="H11391" s="128" t="str">
        <f>VLOOKUP(source[[#This Row],[lending_product_transform]],[3]Mapping!$B$3:$D$37,3,0)</f>
        <v>cashloan</v>
      </c>
      <c r="I11391" s="143">
        <v>528700000</v>
      </c>
    </row>
    <row r="11392" spans="1:9" x14ac:dyDescent="0.2">
      <c r="A11392" s="134">
        <v>46010</v>
      </c>
      <c r="B11392" s="135">
        <f>YEAR(source[[#This Row],[report_date]])</f>
        <v>2025</v>
      </c>
      <c r="C11392" s="128">
        <f t="shared" si="532"/>
        <v>12</v>
      </c>
      <c r="D11392" s="136">
        <f t="shared" si="531"/>
        <v>51</v>
      </c>
      <c r="E11392" s="136">
        <f t="shared" si="533"/>
        <v>19</v>
      </c>
      <c r="F11392" s="137" t="s">
        <v>24</v>
      </c>
      <c r="G11392" s="128" t="str">
        <f>VLOOKUP(source[[#This Row],[lending_product_transform]],[3]Mapping!$B$4:$C$37,2,0)</f>
        <v>[Cake] - Cashloan</v>
      </c>
      <c r="H11392" s="128" t="str">
        <f>VLOOKUP(source[[#This Row],[lending_product_transform]],[3]Mapping!$B$3:$D$37,3,0)</f>
        <v>cashloan</v>
      </c>
      <c r="I11392" s="143">
        <v>18357020000</v>
      </c>
    </row>
    <row r="11393" spans="1:9" x14ac:dyDescent="0.2">
      <c r="A11393" s="134">
        <v>46010</v>
      </c>
      <c r="B11393" s="135">
        <f>YEAR(source[[#This Row],[report_date]])</f>
        <v>2025</v>
      </c>
      <c r="C11393" s="128">
        <f t="shared" si="532"/>
        <v>12</v>
      </c>
      <c r="D11393" s="136">
        <f t="shared" si="531"/>
        <v>51</v>
      </c>
      <c r="E11393" s="136">
        <f t="shared" si="533"/>
        <v>19</v>
      </c>
      <c r="F11393" s="137" t="s">
        <v>24</v>
      </c>
      <c r="G11393" s="128" t="str">
        <f>VLOOKUP(source[[#This Row],[lending_product_transform]],[3]Mapping!$B$4:$C$37,2,0)</f>
        <v>[Cake] - Cashloan</v>
      </c>
      <c r="H11393" s="128" t="str">
        <f>VLOOKUP(source[[#This Row],[lending_product_transform]],[3]Mapping!$B$3:$D$37,3,0)</f>
        <v>cashloan</v>
      </c>
      <c r="I11393" s="143">
        <v>0</v>
      </c>
    </row>
    <row r="11394" spans="1:9" x14ac:dyDescent="0.2">
      <c r="A11394" s="134">
        <v>46010</v>
      </c>
      <c r="B11394" s="135">
        <f>YEAR(source[[#This Row],[report_date]])</f>
        <v>2025</v>
      </c>
      <c r="C11394" s="128">
        <f t="shared" si="532"/>
        <v>12</v>
      </c>
      <c r="D11394" s="136">
        <f t="shared" si="531"/>
        <v>51</v>
      </c>
      <c r="E11394" s="136">
        <f t="shared" si="533"/>
        <v>19</v>
      </c>
      <c r="F11394" s="137" t="s">
        <v>24</v>
      </c>
      <c r="G11394" s="128" t="str">
        <f>VLOOKUP(source[[#This Row],[lending_product_transform]],[3]Mapping!$B$4:$C$37,2,0)</f>
        <v>[Cake] - Cashloan</v>
      </c>
      <c r="H11394" s="128" t="str">
        <f>VLOOKUP(source[[#This Row],[lending_product_transform]],[3]Mapping!$B$3:$D$37,3,0)</f>
        <v>cashloan</v>
      </c>
      <c r="I11394" s="143">
        <v>0</v>
      </c>
    </row>
    <row r="11395" spans="1:9" x14ac:dyDescent="0.2">
      <c r="A11395" s="134">
        <v>46010</v>
      </c>
      <c r="B11395" s="135">
        <f>YEAR(source[[#This Row],[report_date]])</f>
        <v>2025</v>
      </c>
      <c r="C11395" s="128">
        <f t="shared" si="532"/>
        <v>12</v>
      </c>
      <c r="D11395" s="136">
        <f t="shared" ref="D11395:D11458" si="534">WEEKNUM(A11395,2)</f>
        <v>51</v>
      </c>
      <c r="E11395" s="136">
        <f t="shared" si="533"/>
        <v>19</v>
      </c>
      <c r="F11395" s="137" t="s">
        <v>24</v>
      </c>
      <c r="G11395" s="128" t="str">
        <f>VLOOKUP(source[[#This Row],[lending_product_transform]],[3]Mapping!$B$4:$C$37,2,0)</f>
        <v>[Cake] - Cashloan</v>
      </c>
      <c r="H11395" s="128" t="str">
        <f>VLOOKUP(source[[#This Row],[lending_product_transform]],[3]Mapping!$B$3:$D$37,3,0)</f>
        <v>cashloan</v>
      </c>
      <c r="I11395" s="143">
        <v>0</v>
      </c>
    </row>
    <row r="11396" spans="1:9" x14ac:dyDescent="0.2">
      <c r="A11396" s="134">
        <v>46010</v>
      </c>
      <c r="B11396" s="135">
        <f>YEAR(source[[#This Row],[report_date]])</f>
        <v>2025</v>
      </c>
      <c r="C11396" s="128">
        <f t="shared" si="532"/>
        <v>12</v>
      </c>
      <c r="D11396" s="136">
        <f t="shared" si="534"/>
        <v>51</v>
      </c>
      <c r="E11396" s="136">
        <f t="shared" si="533"/>
        <v>19</v>
      </c>
      <c r="F11396" s="137" t="s">
        <v>24</v>
      </c>
      <c r="G11396" s="128" t="str">
        <f>VLOOKUP(source[[#This Row],[lending_product_transform]],[3]Mapping!$B$4:$C$37,2,0)</f>
        <v>[Cake] - Cashloan</v>
      </c>
      <c r="H11396" s="128" t="str">
        <f>VLOOKUP(source[[#This Row],[lending_product_transform]],[3]Mapping!$B$3:$D$37,3,0)</f>
        <v>cashloan</v>
      </c>
      <c r="I11396" s="143">
        <v>6000000</v>
      </c>
    </row>
    <row r="11397" spans="1:9" x14ac:dyDescent="0.2">
      <c r="A11397" s="134">
        <v>46010</v>
      </c>
      <c r="B11397" s="135">
        <f>YEAR(source[[#This Row],[report_date]])</f>
        <v>2025</v>
      </c>
      <c r="C11397" s="128">
        <f t="shared" si="532"/>
        <v>12</v>
      </c>
      <c r="D11397" s="136">
        <f t="shared" si="534"/>
        <v>51</v>
      </c>
      <c r="E11397" s="136">
        <f t="shared" si="533"/>
        <v>19</v>
      </c>
      <c r="F11397" s="137" t="s">
        <v>24</v>
      </c>
      <c r="G11397" s="128" t="str">
        <f>VLOOKUP(source[[#This Row],[lending_product_transform]],[3]Mapping!$B$4:$C$37,2,0)</f>
        <v>[Cake] - Cashloan</v>
      </c>
      <c r="H11397" s="128" t="str">
        <f>VLOOKUP(source[[#This Row],[lending_product_transform]],[3]Mapping!$B$3:$D$37,3,0)</f>
        <v>cashloan</v>
      </c>
      <c r="I11397" s="143">
        <v>9999720000</v>
      </c>
    </row>
    <row r="11398" spans="1:9" x14ac:dyDescent="0.2">
      <c r="A11398" s="134">
        <v>46010</v>
      </c>
      <c r="B11398" s="135">
        <f>YEAR(source[[#This Row],[report_date]])</f>
        <v>2025</v>
      </c>
      <c r="C11398" s="128">
        <f t="shared" si="532"/>
        <v>12</v>
      </c>
      <c r="D11398" s="136">
        <f t="shared" si="534"/>
        <v>51</v>
      </c>
      <c r="E11398" s="136">
        <f t="shared" si="533"/>
        <v>19</v>
      </c>
      <c r="F11398" s="137" t="s">
        <v>24</v>
      </c>
      <c r="G11398" s="128" t="str">
        <f>VLOOKUP(source[[#This Row],[lending_product_transform]],[3]Mapping!$B$4:$C$37,2,0)</f>
        <v>[Cake] - Cashloan</v>
      </c>
      <c r="H11398" s="128" t="str">
        <f>VLOOKUP(source[[#This Row],[lending_product_transform]],[3]Mapping!$B$3:$D$37,3,0)</f>
        <v>cashloan</v>
      </c>
      <c r="I11398" s="143">
        <v>162802294</v>
      </c>
    </row>
    <row r="11399" spans="1:9" x14ac:dyDescent="0.2">
      <c r="A11399" s="134">
        <v>46010</v>
      </c>
      <c r="B11399" s="135">
        <f>YEAR(source[[#This Row],[report_date]])</f>
        <v>2025</v>
      </c>
      <c r="C11399" s="128">
        <f t="shared" si="532"/>
        <v>12</v>
      </c>
      <c r="D11399" s="136">
        <f t="shared" si="534"/>
        <v>51</v>
      </c>
      <c r="E11399" s="136">
        <f t="shared" si="533"/>
        <v>19</v>
      </c>
      <c r="F11399" s="137" t="s">
        <v>24</v>
      </c>
      <c r="G11399" s="128" t="str">
        <f>VLOOKUP(source[[#This Row],[lending_product_transform]],[3]Mapping!$B$4:$C$37,2,0)</f>
        <v>[Cake] - Cashloan</v>
      </c>
      <c r="H11399" s="128" t="str">
        <f>VLOOKUP(source[[#This Row],[lending_product_transform]],[3]Mapping!$B$3:$D$37,3,0)</f>
        <v>cashloan</v>
      </c>
      <c r="I11399" s="143">
        <v>20500000</v>
      </c>
    </row>
    <row r="11400" spans="1:9" x14ac:dyDescent="0.2">
      <c r="A11400" s="134">
        <v>46010</v>
      </c>
      <c r="B11400" s="135">
        <f>YEAR(source[[#This Row],[report_date]])</f>
        <v>2025</v>
      </c>
      <c r="C11400" s="128">
        <f t="shared" si="532"/>
        <v>12</v>
      </c>
      <c r="D11400" s="136">
        <f t="shared" si="534"/>
        <v>51</v>
      </c>
      <c r="E11400" s="136">
        <f t="shared" si="533"/>
        <v>19</v>
      </c>
      <c r="F11400" s="137" t="s">
        <v>24</v>
      </c>
      <c r="G11400" s="128" t="str">
        <f>VLOOKUP(source[[#This Row],[lending_product_transform]],[3]Mapping!$B$4:$C$37,2,0)</f>
        <v>[Cake] - Cashloan</v>
      </c>
      <c r="H11400" s="128" t="str">
        <f>VLOOKUP(source[[#This Row],[lending_product_transform]],[3]Mapping!$B$3:$D$37,3,0)</f>
        <v>cashloan</v>
      </c>
      <c r="I11400" s="143">
        <v>43000000</v>
      </c>
    </row>
    <row r="11401" spans="1:9" x14ac:dyDescent="0.2">
      <c r="A11401" s="134">
        <v>46010</v>
      </c>
      <c r="B11401" s="135">
        <f>YEAR(source[[#This Row],[report_date]])</f>
        <v>2025</v>
      </c>
      <c r="C11401" s="128">
        <f t="shared" si="532"/>
        <v>12</v>
      </c>
      <c r="D11401" s="136">
        <f t="shared" si="534"/>
        <v>51</v>
      </c>
      <c r="E11401" s="136">
        <f t="shared" si="533"/>
        <v>19</v>
      </c>
      <c r="F11401" s="137" t="s">
        <v>24</v>
      </c>
      <c r="G11401" s="128" t="str">
        <f>VLOOKUP(source[[#This Row],[lending_product_transform]],[3]Mapping!$B$4:$C$37,2,0)</f>
        <v>[Cake] - Cashloan</v>
      </c>
      <c r="H11401" s="128" t="str">
        <f>VLOOKUP(source[[#This Row],[lending_product_transform]],[3]Mapping!$B$3:$D$37,3,0)</f>
        <v>cashloan</v>
      </c>
      <c r="I11401" s="143">
        <v>868390000</v>
      </c>
    </row>
    <row r="11402" spans="1:9" x14ac:dyDescent="0.2">
      <c r="A11402" s="134">
        <v>46010</v>
      </c>
      <c r="B11402" s="135">
        <f>YEAR(source[[#This Row],[report_date]])</f>
        <v>2025</v>
      </c>
      <c r="C11402" s="128">
        <f t="shared" si="532"/>
        <v>12</v>
      </c>
      <c r="D11402" s="136">
        <f t="shared" si="534"/>
        <v>51</v>
      </c>
      <c r="E11402" s="136">
        <f t="shared" si="533"/>
        <v>19</v>
      </c>
      <c r="F11402" s="137" t="s">
        <v>24</v>
      </c>
      <c r="G11402" s="128" t="str">
        <f>VLOOKUP(source[[#This Row],[lending_product_transform]],[3]Mapping!$B$4:$C$37,2,0)</f>
        <v>[Cake] - Cashloan</v>
      </c>
      <c r="H11402" s="128" t="str">
        <f>VLOOKUP(source[[#This Row],[lending_product_transform]],[3]Mapping!$B$3:$D$37,3,0)</f>
        <v>cashloan</v>
      </c>
      <c r="I11402" s="143">
        <v>331236000</v>
      </c>
    </row>
    <row r="11403" spans="1:9" x14ac:dyDescent="0.2">
      <c r="A11403" s="134">
        <v>46010</v>
      </c>
      <c r="B11403" s="135">
        <f>YEAR(source[[#This Row],[report_date]])</f>
        <v>2025</v>
      </c>
      <c r="C11403" s="128">
        <f t="shared" si="532"/>
        <v>12</v>
      </c>
      <c r="D11403" s="136">
        <f t="shared" si="534"/>
        <v>51</v>
      </c>
      <c r="E11403" s="136">
        <f t="shared" si="533"/>
        <v>19</v>
      </c>
      <c r="F11403" s="137" t="s">
        <v>24</v>
      </c>
      <c r="G11403" s="128" t="str">
        <f>VLOOKUP(source[[#This Row],[lending_product_transform]],[3]Mapping!$B$4:$C$37,2,0)</f>
        <v>[Cake] - Cashloan</v>
      </c>
      <c r="H11403" s="128" t="str">
        <f>VLOOKUP(source[[#This Row],[lending_product_transform]],[3]Mapping!$B$3:$D$37,3,0)</f>
        <v>cashloan</v>
      </c>
      <c r="I11403" s="143">
        <v>294493693</v>
      </c>
    </row>
    <row r="11404" spans="1:9" x14ac:dyDescent="0.2">
      <c r="A11404" s="134">
        <v>46010</v>
      </c>
      <c r="B11404" s="135">
        <f>YEAR(source[[#This Row],[report_date]])</f>
        <v>2025</v>
      </c>
      <c r="C11404" s="128">
        <f t="shared" si="532"/>
        <v>12</v>
      </c>
      <c r="D11404" s="136">
        <f t="shared" si="534"/>
        <v>51</v>
      </c>
      <c r="E11404" s="136">
        <f t="shared" si="533"/>
        <v>19</v>
      </c>
      <c r="F11404" s="137" t="s">
        <v>24</v>
      </c>
      <c r="G11404" s="128" t="str">
        <f>VLOOKUP(source[[#This Row],[lending_product_transform]],[3]Mapping!$B$4:$C$37,2,0)</f>
        <v>[Cake] - Cashloan</v>
      </c>
      <c r="H11404" s="128" t="str">
        <f>VLOOKUP(source[[#This Row],[lending_product_transform]],[3]Mapping!$B$3:$D$37,3,0)</f>
        <v>cashloan</v>
      </c>
      <c r="I11404" s="143">
        <v>4158890000</v>
      </c>
    </row>
    <row r="11405" spans="1:9" x14ac:dyDescent="0.2">
      <c r="A11405" s="134">
        <v>46010</v>
      </c>
      <c r="B11405" s="135">
        <f>YEAR(source[[#This Row],[report_date]])</f>
        <v>2025</v>
      </c>
      <c r="C11405" s="128">
        <f t="shared" si="532"/>
        <v>12</v>
      </c>
      <c r="D11405" s="136">
        <f t="shared" si="534"/>
        <v>51</v>
      </c>
      <c r="E11405" s="136">
        <f t="shared" si="533"/>
        <v>19</v>
      </c>
      <c r="F11405" s="137" t="s">
        <v>24</v>
      </c>
      <c r="G11405" s="128" t="str">
        <f>VLOOKUP(source[[#This Row],[lending_product_transform]],[3]Mapping!$B$4:$C$37,2,0)</f>
        <v>[Cake] - Cashloan</v>
      </c>
      <c r="H11405" s="128" t="str">
        <f>VLOOKUP(source[[#This Row],[lending_product_transform]],[3]Mapping!$B$3:$D$37,3,0)</f>
        <v>cashloan</v>
      </c>
      <c r="I11405" s="143">
        <v>0</v>
      </c>
    </row>
    <row r="11406" spans="1:9" x14ac:dyDescent="0.2">
      <c r="A11406" s="134">
        <v>46011</v>
      </c>
      <c r="B11406" s="135">
        <f>YEAR(source[[#This Row],[report_date]])</f>
        <v>2025</v>
      </c>
      <c r="C11406" s="128">
        <f t="shared" si="532"/>
        <v>12</v>
      </c>
      <c r="D11406" s="136">
        <f t="shared" si="534"/>
        <v>51</v>
      </c>
      <c r="E11406" s="136">
        <f t="shared" si="533"/>
        <v>20</v>
      </c>
      <c r="F11406" s="137" t="s">
        <v>24</v>
      </c>
      <c r="G11406" s="128" t="str">
        <f>VLOOKUP(source[[#This Row],[lending_product_transform]],[3]Mapping!$B$4:$C$37,2,0)</f>
        <v>[Cake] - Cashloan</v>
      </c>
      <c r="H11406" s="128" t="str">
        <f>VLOOKUP(source[[#This Row],[lending_product_transform]],[3]Mapping!$B$3:$D$37,3,0)</f>
        <v>cashloan</v>
      </c>
      <c r="I11406" s="143">
        <v>190500000</v>
      </c>
    </row>
    <row r="11407" spans="1:9" x14ac:dyDescent="0.2">
      <c r="A11407" s="134">
        <v>46011</v>
      </c>
      <c r="B11407" s="135">
        <f>YEAR(source[[#This Row],[report_date]])</f>
        <v>2025</v>
      </c>
      <c r="C11407" s="128">
        <f t="shared" si="532"/>
        <v>12</v>
      </c>
      <c r="D11407" s="136">
        <f t="shared" si="534"/>
        <v>51</v>
      </c>
      <c r="E11407" s="136">
        <f t="shared" si="533"/>
        <v>20</v>
      </c>
      <c r="F11407" s="137" t="s">
        <v>24</v>
      </c>
      <c r="G11407" s="128" t="str">
        <f>VLOOKUP(source[[#This Row],[lending_product_transform]],[3]Mapping!$B$4:$C$37,2,0)</f>
        <v>[Cake] - Cashloan</v>
      </c>
      <c r="H11407" s="128" t="str">
        <f>VLOOKUP(source[[#This Row],[lending_product_transform]],[3]Mapping!$B$3:$D$37,3,0)</f>
        <v>cashloan</v>
      </c>
      <c r="I11407" s="143">
        <v>356365754</v>
      </c>
    </row>
    <row r="11408" spans="1:9" x14ac:dyDescent="0.2">
      <c r="A11408" s="134">
        <v>46011</v>
      </c>
      <c r="B11408" s="135">
        <f>YEAR(source[[#This Row],[report_date]])</f>
        <v>2025</v>
      </c>
      <c r="C11408" s="128">
        <f t="shared" si="532"/>
        <v>12</v>
      </c>
      <c r="D11408" s="136">
        <f t="shared" si="534"/>
        <v>51</v>
      </c>
      <c r="E11408" s="136">
        <f t="shared" si="533"/>
        <v>20</v>
      </c>
      <c r="F11408" s="137" t="s">
        <v>24</v>
      </c>
      <c r="G11408" s="128" t="str">
        <f>VLOOKUP(source[[#This Row],[lending_product_transform]],[3]Mapping!$B$4:$C$37,2,0)</f>
        <v>[Cake] - Cashloan</v>
      </c>
      <c r="H11408" s="128" t="str">
        <f>VLOOKUP(source[[#This Row],[lending_product_transform]],[3]Mapping!$B$3:$D$37,3,0)</f>
        <v>cashloan</v>
      </c>
      <c r="I11408" s="143">
        <v>13224840000</v>
      </c>
    </row>
    <row r="11409" spans="1:9" x14ac:dyDescent="0.2">
      <c r="A11409" s="134">
        <v>46011</v>
      </c>
      <c r="B11409" s="135">
        <f>YEAR(source[[#This Row],[report_date]])</f>
        <v>2025</v>
      </c>
      <c r="C11409" s="128">
        <f t="shared" si="532"/>
        <v>12</v>
      </c>
      <c r="D11409" s="136">
        <f t="shared" si="534"/>
        <v>51</v>
      </c>
      <c r="E11409" s="136">
        <f t="shared" si="533"/>
        <v>20</v>
      </c>
      <c r="F11409" s="137" t="s">
        <v>24</v>
      </c>
      <c r="G11409" s="128" t="str">
        <f>VLOOKUP(source[[#This Row],[lending_product_transform]],[3]Mapping!$B$4:$C$37,2,0)</f>
        <v>[Cake] - Cashloan</v>
      </c>
      <c r="H11409" s="128" t="str">
        <f>VLOOKUP(source[[#This Row],[lending_product_transform]],[3]Mapping!$B$3:$D$37,3,0)</f>
        <v>cashloan</v>
      </c>
      <c r="I11409" s="143">
        <v>1961256622</v>
      </c>
    </row>
    <row r="11410" spans="1:9" x14ac:dyDescent="0.2">
      <c r="A11410" s="134">
        <v>46011</v>
      </c>
      <c r="B11410" s="135">
        <f>YEAR(source[[#This Row],[report_date]])</f>
        <v>2025</v>
      </c>
      <c r="C11410" s="128">
        <f t="shared" si="532"/>
        <v>12</v>
      </c>
      <c r="D11410" s="136">
        <f t="shared" si="534"/>
        <v>51</v>
      </c>
      <c r="E11410" s="136">
        <f t="shared" si="533"/>
        <v>20</v>
      </c>
      <c r="F11410" s="137" t="s">
        <v>24</v>
      </c>
      <c r="G11410" s="128" t="str">
        <f>VLOOKUP(source[[#This Row],[lending_product_transform]],[3]Mapping!$B$4:$C$37,2,0)</f>
        <v>[Cake] - Cashloan</v>
      </c>
      <c r="H11410" s="128" t="str">
        <f>VLOOKUP(source[[#This Row],[lending_product_transform]],[3]Mapping!$B$3:$D$37,3,0)</f>
        <v>cashloan</v>
      </c>
      <c r="I11410" s="143">
        <v>11793492000</v>
      </c>
    </row>
    <row r="11411" spans="1:9" x14ac:dyDescent="0.2">
      <c r="A11411" s="134">
        <v>46011</v>
      </c>
      <c r="B11411" s="135">
        <f>YEAR(source[[#This Row],[report_date]])</f>
        <v>2025</v>
      </c>
      <c r="C11411" s="128">
        <f t="shared" si="532"/>
        <v>12</v>
      </c>
      <c r="D11411" s="136">
        <f t="shared" si="534"/>
        <v>51</v>
      </c>
      <c r="E11411" s="136">
        <f t="shared" si="533"/>
        <v>20</v>
      </c>
      <c r="F11411" s="137" t="s">
        <v>24</v>
      </c>
      <c r="G11411" s="128" t="str">
        <f>VLOOKUP(source[[#This Row],[lending_product_transform]],[3]Mapping!$B$4:$C$37,2,0)</f>
        <v>[Cake] - Cashloan</v>
      </c>
      <c r="H11411" s="128" t="str">
        <f>VLOOKUP(source[[#This Row],[lending_product_transform]],[3]Mapping!$B$3:$D$37,3,0)</f>
        <v>cashloan</v>
      </c>
      <c r="I11411" s="143">
        <v>13497874</v>
      </c>
    </row>
    <row r="11412" spans="1:9" x14ac:dyDescent="0.2">
      <c r="A11412" s="134">
        <v>46011</v>
      </c>
      <c r="B11412" s="135">
        <f>YEAR(source[[#This Row],[report_date]])</f>
        <v>2025</v>
      </c>
      <c r="C11412" s="128">
        <f t="shared" si="532"/>
        <v>12</v>
      </c>
      <c r="D11412" s="136">
        <f t="shared" si="534"/>
        <v>51</v>
      </c>
      <c r="E11412" s="136">
        <f t="shared" si="533"/>
        <v>20</v>
      </c>
      <c r="F11412" s="137" t="s">
        <v>24</v>
      </c>
      <c r="G11412" s="128" t="str">
        <f>VLOOKUP(source[[#This Row],[lending_product_transform]],[3]Mapping!$B$4:$C$37,2,0)</f>
        <v>[Cake] - Cashloan</v>
      </c>
      <c r="H11412" s="128" t="str">
        <f>VLOOKUP(source[[#This Row],[lending_product_transform]],[3]Mapping!$B$3:$D$37,3,0)</f>
        <v>cashloan</v>
      </c>
      <c r="I11412" s="143">
        <v>0</v>
      </c>
    </row>
    <row r="11413" spans="1:9" x14ac:dyDescent="0.2">
      <c r="A11413" s="134">
        <v>46011</v>
      </c>
      <c r="B11413" s="135">
        <f>YEAR(source[[#This Row],[report_date]])</f>
        <v>2025</v>
      </c>
      <c r="C11413" s="128">
        <f t="shared" si="532"/>
        <v>12</v>
      </c>
      <c r="D11413" s="136">
        <f t="shared" si="534"/>
        <v>51</v>
      </c>
      <c r="E11413" s="136">
        <f t="shared" si="533"/>
        <v>20</v>
      </c>
      <c r="F11413" s="137" t="s">
        <v>24</v>
      </c>
      <c r="G11413" s="128" t="str">
        <f>VLOOKUP(source[[#This Row],[lending_product_transform]],[3]Mapping!$B$4:$C$37,2,0)</f>
        <v>[Cake] - Cashloan</v>
      </c>
      <c r="H11413" s="128" t="str">
        <f>VLOOKUP(source[[#This Row],[lending_product_transform]],[3]Mapping!$B$3:$D$37,3,0)</f>
        <v>cashloan</v>
      </c>
      <c r="I11413" s="143">
        <v>4483650000</v>
      </c>
    </row>
    <row r="11414" spans="1:9" x14ac:dyDescent="0.2">
      <c r="A11414" s="134">
        <v>46011</v>
      </c>
      <c r="B11414" s="135">
        <f>YEAR(source[[#This Row],[report_date]])</f>
        <v>2025</v>
      </c>
      <c r="C11414" s="128">
        <f t="shared" si="532"/>
        <v>12</v>
      </c>
      <c r="D11414" s="136">
        <f t="shared" si="534"/>
        <v>51</v>
      </c>
      <c r="E11414" s="136">
        <f t="shared" si="533"/>
        <v>20</v>
      </c>
      <c r="F11414" s="137" t="s">
        <v>24</v>
      </c>
      <c r="G11414" s="128" t="str">
        <f>VLOOKUP(source[[#This Row],[lending_product_transform]],[3]Mapping!$B$4:$C$37,2,0)</f>
        <v>[Cake] - Cashloan</v>
      </c>
      <c r="H11414" s="128" t="str">
        <f>VLOOKUP(source[[#This Row],[lending_product_transform]],[3]Mapping!$B$3:$D$37,3,0)</f>
        <v>cashloan</v>
      </c>
      <c r="I11414" s="143">
        <v>9771562</v>
      </c>
    </row>
    <row r="11415" spans="1:9" x14ac:dyDescent="0.2">
      <c r="A11415" s="134">
        <v>46011</v>
      </c>
      <c r="B11415" s="135">
        <f>YEAR(source[[#This Row],[report_date]])</f>
        <v>2025</v>
      </c>
      <c r="C11415" s="128">
        <f t="shared" si="532"/>
        <v>12</v>
      </c>
      <c r="D11415" s="136">
        <f t="shared" si="534"/>
        <v>51</v>
      </c>
      <c r="E11415" s="136">
        <f t="shared" si="533"/>
        <v>20</v>
      </c>
      <c r="F11415" s="137" t="s">
        <v>24</v>
      </c>
      <c r="G11415" s="128" t="str">
        <f>VLOOKUP(source[[#This Row],[lending_product_transform]],[3]Mapping!$B$4:$C$37,2,0)</f>
        <v>[Cake] - Cashloan</v>
      </c>
      <c r="H11415" s="128" t="str">
        <f>VLOOKUP(source[[#This Row],[lending_product_transform]],[3]Mapping!$B$3:$D$37,3,0)</f>
        <v>cashloan</v>
      </c>
      <c r="I11415" s="143">
        <v>1091916962</v>
      </c>
    </row>
    <row r="11416" spans="1:9" x14ac:dyDescent="0.2">
      <c r="A11416" s="134">
        <v>46011</v>
      </c>
      <c r="B11416" s="135">
        <f>YEAR(source[[#This Row],[report_date]])</f>
        <v>2025</v>
      </c>
      <c r="C11416" s="128">
        <f t="shared" si="532"/>
        <v>12</v>
      </c>
      <c r="D11416" s="136">
        <f t="shared" si="534"/>
        <v>51</v>
      </c>
      <c r="E11416" s="136">
        <f t="shared" si="533"/>
        <v>20</v>
      </c>
      <c r="F11416" s="137" t="s">
        <v>24</v>
      </c>
      <c r="G11416" s="128" t="str">
        <f>VLOOKUP(source[[#This Row],[lending_product_transform]],[3]Mapping!$B$4:$C$37,2,0)</f>
        <v>[Cake] - Cashloan</v>
      </c>
      <c r="H11416" s="128" t="str">
        <f>VLOOKUP(source[[#This Row],[lending_product_transform]],[3]Mapping!$B$3:$D$37,3,0)</f>
        <v>cashloan</v>
      </c>
      <c r="I11416" s="143">
        <v>0</v>
      </c>
    </row>
    <row r="11417" spans="1:9" x14ac:dyDescent="0.2">
      <c r="A11417" s="134">
        <v>46011</v>
      </c>
      <c r="B11417" s="135">
        <f>YEAR(source[[#This Row],[report_date]])</f>
        <v>2025</v>
      </c>
      <c r="C11417" s="128">
        <f t="shared" si="532"/>
        <v>12</v>
      </c>
      <c r="D11417" s="136">
        <f t="shared" si="534"/>
        <v>51</v>
      </c>
      <c r="E11417" s="136">
        <f t="shared" si="533"/>
        <v>20</v>
      </c>
      <c r="F11417" s="137" t="s">
        <v>24</v>
      </c>
      <c r="G11417" s="128" t="str">
        <f>VLOOKUP(source[[#This Row],[lending_product_transform]],[3]Mapping!$B$4:$C$37,2,0)</f>
        <v>[Cake] - Cashloan</v>
      </c>
      <c r="H11417" s="128" t="str">
        <f>VLOOKUP(source[[#This Row],[lending_product_transform]],[3]Mapping!$B$3:$D$37,3,0)</f>
        <v>cashloan</v>
      </c>
      <c r="I11417" s="143">
        <v>776800000</v>
      </c>
    </row>
    <row r="11418" spans="1:9" x14ac:dyDescent="0.2">
      <c r="A11418" s="134">
        <v>46011</v>
      </c>
      <c r="B11418" s="135">
        <f>YEAR(source[[#This Row],[report_date]])</f>
        <v>2025</v>
      </c>
      <c r="C11418" s="128">
        <f t="shared" si="532"/>
        <v>12</v>
      </c>
      <c r="D11418" s="136">
        <f t="shared" si="534"/>
        <v>51</v>
      </c>
      <c r="E11418" s="136">
        <f t="shared" si="533"/>
        <v>20</v>
      </c>
      <c r="F11418" s="137" t="s">
        <v>24</v>
      </c>
      <c r="G11418" s="128" t="str">
        <f>VLOOKUP(source[[#This Row],[lending_product_transform]],[3]Mapping!$B$4:$C$37,2,0)</f>
        <v>[Cake] - Cashloan</v>
      </c>
      <c r="H11418" s="128" t="str">
        <f>VLOOKUP(source[[#This Row],[lending_product_transform]],[3]Mapping!$B$3:$D$37,3,0)</f>
        <v>cashloan</v>
      </c>
      <c r="I11418" s="143">
        <v>14486840000</v>
      </c>
    </row>
    <row r="11419" spans="1:9" x14ac:dyDescent="0.2">
      <c r="A11419" s="134">
        <v>46011</v>
      </c>
      <c r="B11419" s="135">
        <f>YEAR(source[[#This Row],[report_date]])</f>
        <v>2025</v>
      </c>
      <c r="C11419" s="128">
        <f t="shared" si="532"/>
        <v>12</v>
      </c>
      <c r="D11419" s="136">
        <f t="shared" si="534"/>
        <v>51</v>
      </c>
      <c r="E11419" s="136">
        <f t="shared" si="533"/>
        <v>20</v>
      </c>
      <c r="F11419" s="137" t="s">
        <v>24</v>
      </c>
      <c r="G11419" s="128" t="str">
        <f>VLOOKUP(source[[#This Row],[lending_product_transform]],[3]Mapping!$B$4:$C$37,2,0)</f>
        <v>[Cake] - Cashloan</v>
      </c>
      <c r="H11419" s="128" t="str">
        <f>VLOOKUP(source[[#This Row],[lending_product_transform]],[3]Mapping!$B$3:$D$37,3,0)</f>
        <v>cashloan</v>
      </c>
      <c r="I11419" s="143">
        <v>0</v>
      </c>
    </row>
    <row r="11420" spans="1:9" x14ac:dyDescent="0.2">
      <c r="A11420" s="134">
        <v>46011</v>
      </c>
      <c r="B11420" s="135">
        <f>YEAR(source[[#This Row],[report_date]])</f>
        <v>2025</v>
      </c>
      <c r="C11420" s="128">
        <f t="shared" si="532"/>
        <v>12</v>
      </c>
      <c r="D11420" s="136">
        <f t="shared" si="534"/>
        <v>51</v>
      </c>
      <c r="E11420" s="136">
        <f t="shared" si="533"/>
        <v>20</v>
      </c>
      <c r="F11420" s="137" t="s">
        <v>24</v>
      </c>
      <c r="G11420" s="128" t="str">
        <f>VLOOKUP(source[[#This Row],[lending_product_transform]],[3]Mapping!$B$4:$C$37,2,0)</f>
        <v>[Cake] - Cashloan</v>
      </c>
      <c r="H11420" s="128" t="str">
        <f>VLOOKUP(source[[#This Row],[lending_product_transform]],[3]Mapping!$B$3:$D$37,3,0)</f>
        <v>cashloan</v>
      </c>
      <c r="I11420" s="143">
        <v>0</v>
      </c>
    </row>
    <row r="11421" spans="1:9" x14ac:dyDescent="0.2">
      <c r="A11421" s="134">
        <v>46011</v>
      </c>
      <c r="B11421" s="135">
        <f>YEAR(source[[#This Row],[report_date]])</f>
        <v>2025</v>
      </c>
      <c r="C11421" s="128">
        <f t="shared" si="532"/>
        <v>12</v>
      </c>
      <c r="D11421" s="136">
        <f t="shared" si="534"/>
        <v>51</v>
      </c>
      <c r="E11421" s="136">
        <f t="shared" si="533"/>
        <v>20</v>
      </c>
      <c r="F11421" s="137" t="s">
        <v>24</v>
      </c>
      <c r="G11421" s="128" t="str">
        <f>VLOOKUP(source[[#This Row],[lending_product_transform]],[3]Mapping!$B$4:$C$37,2,0)</f>
        <v>[Cake] - Cashloan</v>
      </c>
      <c r="H11421" s="128" t="str">
        <f>VLOOKUP(source[[#This Row],[lending_product_transform]],[3]Mapping!$B$3:$D$37,3,0)</f>
        <v>cashloan</v>
      </c>
      <c r="I11421" s="143">
        <v>0</v>
      </c>
    </row>
    <row r="11422" spans="1:9" x14ac:dyDescent="0.2">
      <c r="A11422" s="134">
        <v>46011</v>
      </c>
      <c r="B11422" s="135">
        <f>YEAR(source[[#This Row],[report_date]])</f>
        <v>2025</v>
      </c>
      <c r="C11422" s="128">
        <f t="shared" si="532"/>
        <v>12</v>
      </c>
      <c r="D11422" s="136">
        <f t="shared" si="534"/>
        <v>51</v>
      </c>
      <c r="E11422" s="136">
        <f t="shared" si="533"/>
        <v>20</v>
      </c>
      <c r="F11422" s="137" t="s">
        <v>24</v>
      </c>
      <c r="G11422" s="128" t="str">
        <f>VLOOKUP(source[[#This Row],[lending_product_transform]],[3]Mapping!$B$4:$C$37,2,0)</f>
        <v>[Cake] - Cashloan</v>
      </c>
      <c r="H11422" s="128" t="str">
        <f>VLOOKUP(source[[#This Row],[lending_product_transform]],[3]Mapping!$B$3:$D$37,3,0)</f>
        <v>cashloan</v>
      </c>
      <c r="I11422" s="143">
        <v>0</v>
      </c>
    </row>
    <row r="11423" spans="1:9" x14ac:dyDescent="0.2">
      <c r="A11423" s="134">
        <v>46011</v>
      </c>
      <c r="B11423" s="135">
        <f>YEAR(source[[#This Row],[report_date]])</f>
        <v>2025</v>
      </c>
      <c r="C11423" s="128">
        <f t="shared" si="532"/>
        <v>12</v>
      </c>
      <c r="D11423" s="136">
        <f t="shared" si="534"/>
        <v>51</v>
      </c>
      <c r="E11423" s="136">
        <f t="shared" si="533"/>
        <v>20</v>
      </c>
      <c r="F11423" s="137" t="s">
        <v>24</v>
      </c>
      <c r="G11423" s="128" t="str">
        <f>VLOOKUP(source[[#This Row],[lending_product_transform]],[3]Mapping!$B$4:$C$37,2,0)</f>
        <v>[Cake] - Cashloan</v>
      </c>
      <c r="H11423" s="128" t="str">
        <f>VLOOKUP(source[[#This Row],[lending_product_transform]],[3]Mapping!$B$3:$D$37,3,0)</f>
        <v>cashloan</v>
      </c>
      <c r="I11423" s="143">
        <v>9275040000</v>
      </c>
    </row>
    <row r="11424" spans="1:9" x14ac:dyDescent="0.2">
      <c r="A11424" s="134">
        <v>46011</v>
      </c>
      <c r="B11424" s="135">
        <f>YEAR(source[[#This Row],[report_date]])</f>
        <v>2025</v>
      </c>
      <c r="C11424" s="128">
        <f t="shared" si="532"/>
        <v>12</v>
      </c>
      <c r="D11424" s="136">
        <f t="shared" si="534"/>
        <v>51</v>
      </c>
      <c r="E11424" s="136">
        <f t="shared" si="533"/>
        <v>20</v>
      </c>
      <c r="F11424" s="137" t="s">
        <v>24</v>
      </c>
      <c r="G11424" s="128" t="str">
        <f>VLOOKUP(source[[#This Row],[lending_product_transform]],[3]Mapping!$B$4:$C$37,2,0)</f>
        <v>[Cake] - Cashloan</v>
      </c>
      <c r="H11424" s="128" t="str">
        <f>VLOOKUP(source[[#This Row],[lending_product_transform]],[3]Mapping!$B$3:$D$37,3,0)</f>
        <v>cashloan</v>
      </c>
      <c r="I11424" s="143">
        <v>148058993</v>
      </c>
    </row>
    <row r="11425" spans="1:9" x14ac:dyDescent="0.2">
      <c r="A11425" s="134">
        <v>46011</v>
      </c>
      <c r="B11425" s="135">
        <f>YEAR(source[[#This Row],[report_date]])</f>
        <v>2025</v>
      </c>
      <c r="C11425" s="128">
        <f t="shared" si="532"/>
        <v>12</v>
      </c>
      <c r="D11425" s="136">
        <f t="shared" si="534"/>
        <v>51</v>
      </c>
      <c r="E11425" s="136">
        <f t="shared" si="533"/>
        <v>20</v>
      </c>
      <c r="F11425" s="137" t="s">
        <v>24</v>
      </c>
      <c r="G11425" s="128" t="str">
        <f>VLOOKUP(source[[#This Row],[lending_product_transform]],[3]Mapping!$B$4:$C$37,2,0)</f>
        <v>[Cake] - Cashloan</v>
      </c>
      <c r="H11425" s="128" t="str">
        <f>VLOOKUP(source[[#This Row],[lending_product_transform]],[3]Mapping!$B$3:$D$37,3,0)</f>
        <v>cashloan</v>
      </c>
      <c r="I11425" s="143">
        <v>0</v>
      </c>
    </row>
    <row r="11426" spans="1:9" x14ac:dyDescent="0.2">
      <c r="A11426" s="134">
        <v>46011</v>
      </c>
      <c r="B11426" s="135">
        <f>YEAR(source[[#This Row],[report_date]])</f>
        <v>2025</v>
      </c>
      <c r="C11426" s="128">
        <f t="shared" si="532"/>
        <v>12</v>
      </c>
      <c r="D11426" s="136">
        <f t="shared" si="534"/>
        <v>51</v>
      </c>
      <c r="E11426" s="136">
        <f t="shared" si="533"/>
        <v>20</v>
      </c>
      <c r="F11426" s="137" t="s">
        <v>24</v>
      </c>
      <c r="G11426" s="128" t="str">
        <f>VLOOKUP(source[[#This Row],[lending_product_transform]],[3]Mapping!$B$4:$C$37,2,0)</f>
        <v>[Cake] - Cashloan</v>
      </c>
      <c r="H11426" s="128" t="str">
        <f>VLOOKUP(source[[#This Row],[lending_product_transform]],[3]Mapping!$B$3:$D$37,3,0)</f>
        <v>cashloan</v>
      </c>
      <c r="I11426" s="143">
        <v>37000000</v>
      </c>
    </row>
    <row r="11427" spans="1:9" x14ac:dyDescent="0.2">
      <c r="A11427" s="134">
        <v>46011</v>
      </c>
      <c r="B11427" s="135">
        <f>YEAR(source[[#This Row],[report_date]])</f>
        <v>2025</v>
      </c>
      <c r="C11427" s="128">
        <f t="shared" si="532"/>
        <v>12</v>
      </c>
      <c r="D11427" s="136">
        <f t="shared" si="534"/>
        <v>51</v>
      </c>
      <c r="E11427" s="136">
        <f t="shared" si="533"/>
        <v>20</v>
      </c>
      <c r="F11427" s="137" t="s">
        <v>24</v>
      </c>
      <c r="G11427" s="128" t="str">
        <f>VLOOKUP(source[[#This Row],[lending_product_transform]],[3]Mapping!$B$4:$C$37,2,0)</f>
        <v>[Cake] - Cashloan</v>
      </c>
      <c r="H11427" s="128" t="str">
        <f>VLOOKUP(source[[#This Row],[lending_product_transform]],[3]Mapping!$B$3:$D$37,3,0)</f>
        <v>cashloan</v>
      </c>
      <c r="I11427" s="143">
        <v>554960000</v>
      </c>
    </row>
    <row r="11428" spans="1:9" x14ac:dyDescent="0.2">
      <c r="A11428" s="134">
        <v>46011</v>
      </c>
      <c r="B11428" s="135">
        <f>YEAR(source[[#This Row],[report_date]])</f>
        <v>2025</v>
      </c>
      <c r="C11428" s="128">
        <f t="shared" si="532"/>
        <v>12</v>
      </c>
      <c r="D11428" s="136">
        <f t="shared" si="534"/>
        <v>51</v>
      </c>
      <c r="E11428" s="136">
        <f t="shared" si="533"/>
        <v>20</v>
      </c>
      <c r="F11428" s="137" t="s">
        <v>24</v>
      </c>
      <c r="G11428" s="128" t="str">
        <f>VLOOKUP(source[[#This Row],[lending_product_transform]],[3]Mapping!$B$4:$C$37,2,0)</f>
        <v>[Cake] - Cashloan</v>
      </c>
      <c r="H11428" s="128" t="str">
        <f>VLOOKUP(source[[#This Row],[lending_product_transform]],[3]Mapping!$B$3:$D$37,3,0)</f>
        <v>cashloan</v>
      </c>
      <c r="I11428" s="143">
        <v>395280000</v>
      </c>
    </row>
    <row r="11429" spans="1:9" x14ac:dyDescent="0.2">
      <c r="A11429" s="134">
        <v>46011</v>
      </c>
      <c r="B11429" s="135">
        <f>YEAR(source[[#This Row],[report_date]])</f>
        <v>2025</v>
      </c>
      <c r="C11429" s="128">
        <f t="shared" si="532"/>
        <v>12</v>
      </c>
      <c r="D11429" s="136">
        <f t="shared" si="534"/>
        <v>51</v>
      </c>
      <c r="E11429" s="136">
        <f t="shared" si="533"/>
        <v>20</v>
      </c>
      <c r="F11429" s="137" t="s">
        <v>24</v>
      </c>
      <c r="G11429" s="128" t="str">
        <f>VLOOKUP(source[[#This Row],[lending_product_transform]],[3]Mapping!$B$4:$C$37,2,0)</f>
        <v>[Cake] - Cashloan</v>
      </c>
      <c r="H11429" s="128" t="str">
        <f>VLOOKUP(source[[#This Row],[lending_product_transform]],[3]Mapping!$B$3:$D$37,3,0)</f>
        <v>cashloan</v>
      </c>
      <c r="I11429" s="143">
        <v>248953198</v>
      </c>
    </row>
    <row r="11430" spans="1:9" x14ac:dyDescent="0.2">
      <c r="A11430" s="134">
        <v>46011</v>
      </c>
      <c r="B11430" s="135">
        <f>YEAR(source[[#This Row],[report_date]])</f>
        <v>2025</v>
      </c>
      <c r="C11430" s="128">
        <f t="shared" si="532"/>
        <v>12</v>
      </c>
      <c r="D11430" s="136">
        <f t="shared" si="534"/>
        <v>51</v>
      </c>
      <c r="E11430" s="136">
        <f t="shared" si="533"/>
        <v>20</v>
      </c>
      <c r="F11430" s="137" t="s">
        <v>24</v>
      </c>
      <c r="G11430" s="128" t="str">
        <f>VLOOKUP(source[[#This Row],[lending_product_transform]],[3]Mapping!$B$4:$C$37,2,0)</f>
        <v>[Cake] - Cashloan</v>
      </c>
      <c r="H11430" s="128" t="str">
        <f>VLOOKUP(source[[#This Row],[lending_product_transform]],[3]Mapping!$B$3:$D$37,3,0)</f>
        <v>cashloan</v>
      </c>
      <c r="I11430" s="143">
        <v>3564550000</v>
      </c>
    </row>
    <row r="11431" spans="1:9" x14ac:dyDescent="0.2">
      <c r="A11431" s="134">
        <v>46011</v>
      </c>
      <c r="B11431" s="135">
        <f>YEAR(source[[#This Row],[report_date]])</f>
        <v>2025</v>
      </c>
      <c r="C11431" s="128">
        <f t="shared" si="532"/>
        <v>12</v>
      </c>
      <c r="D11431" s="136">
        <f t="shared" si="534"/>
        <v>51</v>
      </c>
      <c r="E11431" s="136">
        <f t="shared" si="533"/>
        <v>20</v>
      </c>
      <c r="F11431" s="137" t="s">
        <v>24</v>
      </c>
      <c r="G11431" s="128" t="str">
        <f>VLOOKUP(source[[#This Row],[lending_product_transform]],[3]Mapping!$B$4:$C$37,2,0)</f>
        <v>[Cake] - Cashloan</v>
      </c>
      <c r="H11431" s="128" t="str">
        <f>VLOOKUP(source[[#This Row],[lending_product_transform]],[3]Mapping!$B$3:$D$37,3,0)</f>
        <v>cashloan</v>
      </c>
      <c r="I11431" s="143">
        <v>0</v>
      </c>
    </row>
    <row r="11432" spans="1:9" x14ac:dyDescent="0.2">
      <c r="A11432" s="134">
        <v>46012</v>
      </c>
      <c r="B11432" s="135">
        <f>YEAR(source[[#This Row],[report_date]])</f>
        <v>2025</v>
      </c>
      <c r="C11432" s="128">
        <f t="shared" si="532"/>
        <v>12</v>
      </c>
      <c r="D11432" s="136">
        <f t="shared" si="534"/>
        <v>51</v>
      </c>
      <c r="E11432" s="136">
        <f t="shared" si="533"/>
        <v>21</v>
      </c>
      <c r="F11432" s="137" t="s">
        <v>24</v>
      </c>
      <c r="G11432" s="128" t="str">
        <f>VLOOKUP(source[[#This Row],[lending_product_transform]],[3]Mapping!$B$4:$C$37,2,0)</f>
        <v>[Cake] - Cashloan</v>
      </c>
      <c r="H11432" s="128" t="str">
        <f>VLOOKUP(source[[#This Row],[lending_product_transform]],[3]Mapping!$B$3:$D$37,3,0)</f>
        <v>cashloan</v>
      </c>
      <c r="I11432" s="143">
        <v>230950000</v>
      </c>
    </row>
    <row r="11433" spans="1:9" x14ac:dyDescent="0.2">
      <c r="A11433" s="134">
        <v>46012</v>
      </c>
      <c r="B11433" s="135">
        <f>YEAR(source[[#This Row],[report_date]])</f>
        <v>2025</v>
      </c>
      <c r="C11433" s="128">
        <f t="shared" si="532"/>
        <v>12</v>
      </c>
      <c r="D11433" s="136">
        <f t="shared" si="534"/>
        <v>51</v>
      </c>
      <c r="E11433" s="136">
        <f t="shared" si="533"/>
        <v>21</v>
      </c>
      <c r="F11433" s="137" t="s">
        <v>24</v>
      </c>
      <c r="G11433" s="128" t="str">
        <f>VLOOKUP(source[[#This Row],[lending_product_transform]],[3]Mapping!$B$4:$C$37,2,0)</f>
        <v>[Cake] - Cashloan</v>
      </c>
      <c r="H11433" s="128" t="str">
        <f>VLOOKUP(source[[#This Row],[lending_product_transform]],[3]Mapping!$B$3:$D$37,3,0)</f>
        <v>cashloan</v>
      </c>
      <c r="I11433" s="143">
        <v>366490479</v>
      </c>
    </row>
    <row r="11434" spans="1:9" x14ac:dyDescent="0.2">
      <c r="A11434" s="134">
        <v>46012</v>
      </c>
      <c r="B11434" s="135">
        <f>YEAR(source[[#This Row],[report_date]])</f>
        <v>2025</v>
      </c>
      <c r="C11434" s="128">
        <f t="shared" si="532"/>
        <v>12</v>
      </c>
      <c r="D11434" s="136">
        <f t="shared" si="534"/>
        <v>51</v>
      </c>
      <c r="E11434" s="136">
        <f t="shared" si="533"/>
        <v>21</v>
      </c>
      <c r="F11434" s="137" t="s">
        <v>24</v>
      </c>
      <c r="G11434" s="128" t="str">
        <f>VLOOKUP(source[[#This Row],[lending_product_transform]],[3]Mapping!$B$4:$C$37,2,0)</f>
        <v>[Cake] - Cashloan</v>
      </c>
      <c r="H11434" s="128" t="str">
        <f>VLOOKUP(source[[#This Row],[lending_product_transform]],[3]Mapping!$B$3:$D$37,3,0)</f>
        <v>cashloan</v>
      </c>
      <c r="I11434" s="143">
        <v>12821870000</v>
      </c>
    </row>
    <row r="11435" spans="1:9" x14ac:dyDescent="0.2">
      <c r="A11435" s="134">
        <v>46012</v>
      </c>
      <c r="B11435" s="135">
        <f>YEAR(source[[#This Row],[report_date]])</f>
        <v>2025</v>
      </c>
      <c r="C11435" s="128">
        <f t="shared" si="532"/>
        <v>12</v>
      </c>
      <c r="D11435" s="136">
        <f t="shared" si="534"/>
        <v>51</v>
      </c>
      <c r="E11435" s="136">
        <f t="shared" si="533"/>
        <v>21</v>
      </c>
      <c r="F11435" s="137" t="s">
        <v>24</v>
      </c>
      <c r="G11435" s="128" t="str">
        <f>VLOOKUP(source[[#This Row],[lending_product_transform]],[3]Mapping!$B$4:$C$37,2,0)</f>
        <v>[Cake] - Cashloan</v>
      </c>
      <c r="H11435" s="128" t="str">
        <f>VLOOKUP(source[[#This Row],[lending_product_transform]],[3]Mapping!$B$3:$D$37,3,0)</f>
        <v>cashloan</v>
      </c>
      <c r="I11435" s="143">
        <v>1882934263</v>
      </c>
    </row>
    <row r="11436" spans="1:9" x14ac:dyDescent="0.2">
      <c r="A11436" s="134">
        <v>46012</v>
      </c>
      <c r="B11436" s="135">
        <f>YEAR(source[[#This Row],[report_date]])</f>
        <v>2025</v>
      </c>
      <c r="C11436" s="128">
        <f t="shared" si="532"/>
        <v>12</v>
      </c>
      <c r="D11436" s="136">
        <f t="shared" si="534"/>
        <v>51</v>
      </c>
      <c r="E11436" s="136">
        <f t="shared" si="533"/>
        <v>21</v>
      </c>
      <c r="F11436" s="137" t="s">
        <v>24</v>
      </c>
      <c r="G11436" s="128" t="str">
        <f>VLOOKUP(source[[#This Row],[lending_product_transform]],[3]Mapping!$B$4:$C$37,2,0)</f>
        <v>[Cake] - Cashloan</v>
      </c>
      <c r="H11436" s="128" t="str">
        <f>VLOOKUP(source[[#This Row],[lending_product_transform]],[3]Mapping!$B$3:$D$37,3,0)</f>
        <v>cashloan</v>
      </c>
      <c r="I11436" s="143">
        <v>11693916000</v>
      </c>
    </row>
    <row r="11437" spans="1:9" x14ac:dyDescent="0.2">
      <c r="A11437" s="134">
        <v>46012</v>
      </c>
      <c r="B11437" s="135">
        <f>YEAR(source[[#This Row],[report_date]])</f>
        <v>2025</v>
      </c>
      <c r="C11437" s="128">
        <f t="shared" si="532"/>
        <v>12</v>
      </c>
      <c r="D11437" s="136">
        <f t="shared" si="534"/>
        <v>51</v>
      </c>
      <c r="E11437" s="136">
        <f t="shared" si="533"/>
        <v>21</v>
      </c>
      <c r="F11437" s="137" t="s">
        <v>24</v>
      </c>
      <c r="G11437" s="128" t="str">
        <f>VLOOKUP(source[[#This Row],[lending_product_transform]],[3]Mapping!$B$4:$C$37,2,0)</f>
        <v>[Cake] - Cashloan</v>
      </c>
      <c r="H11437" s="128" t="str">
        <f>VLOOKUP(source[[#This Row],[lending_product_transform]],[3]Mapping!$B$3:$D$37,3,0)</f>
        <v>cashloan</v>
      </c>
      <c r="I11437" s="143">
        <v>17045713</v>
      </c>
    </row>
    <row r="11438" spans="1:9" x14ac:dyDescent="0.2">
      <c r="A11438" s="134">
        <v>46012</v>
      </c>
      <c r="B11438" s="135">
        <f>YEAR(source[[#This Row],[report_date]])</f>
        <v>2025</v>
      </c>
      <c r="C11438" s="128">
        <f t="shared" si="532"/>
        <v>12</v>
      </c>
      <c r="D11438" s="136">
        <f t="shared" si="534"/>
        <v>51</v>
      </c>
      <c r="E11438" s="136">
        <f t="shared" si="533"/>
        <v>21</v>
      </c>
      <c r="F11438" s="137" t="s">
        <v>24</v>
      </c>
      <c r="G11438" s="128" t="str">
        <f>VLOOKUP(source[[#This Row],[lending_product_transform]],[3]Mapping!$B$4:$C$37,2,0)</f>
        <v>[Cake] - Cashloan</v>
      </c>
      <c r="H11438" s="128" t="str">
        <f>VLOOKUP(source[[#This Row],[lending_product_transform]],[3]Mapping!$B$3:$D$37,3,0)</f>
        <v>cashloan</v>
      </c>
      <c r="I11438" s="143">
        <v>0</v>
      </c>
    </row>
    <row r="11439" spans="1:9" x14ac:dyDescent="0.2">
      <c r="A11439" s="134">
        <v>46012</v>
      </c>
      <c r="B11439" s="135">
        <f>YEAR(source[[#This Row],[report_date]])</f>
        <v>2025</v>
      </c>
      <c r="C11439" s="128">
        <f t="shared" si="532"/>
        <v>12</v>
      </c>
      <c r="D11439" s="136">
        <f t="shared" si="534"/>
        <v>51</v>
      </c>
      <c r="E11439" s="136">
        <f t="shared" si="533"/>
        <v>21</v>
      </c>
      <c r="F11439" s="137" t="s">
        <v>24</v>
      </c>
      <c r="G11439" s="128" t="str">
        <f>VLOOKUP(source[[#This Row],[lending_product_transform]],[3]Mapping!$B$4:$C$37,2,0)</f>
        <v>[Cake] - Cashloan</v>
      </c>
      <c r="H11439" s="128" t="str">
        <f>VLOOKUP(source[[#This Row],[lending_product_transform]],[3]Mapping!$B$3:$D$37,3,0)</f>
        <v>cashloan</v>
      </c>
      <c r="I11439" s="143">
        <v>4935300000</v>
      </c>
    </row>
    <row r="11440" spans="1:9" x14ac:dyDescent="0.2">
      <c r="A11440" s="134">
        <v>46012</v>
      </c>
      <c r="B11440" s="135">
        <f>YEAR(source[[#This Row],[report_date]])</f>
        <v>2025</v>
      </c>
      <c r="C11440" s="128">
        <f t="shared" si="532"/>
        <v>12</v>
      </c>
      <c r="D11440" s="136">
        <f t="shared" si="534"/>
        <v>51</v>
      </c>
      <c r="E11440" s="136">
        <f t="shared" si="533"/>
        <v>21</v>
      </c>
      <c r="F11440" s="137" t="s">
        <v>24</v>
      </c>
      <c r="G11440" s="128" t="str">
        <f>VLOOKUP(source[[#This Row],[lending_product_transform]],[3]Mapping!$B$4:$C$37,2,0)</f>
        <v>[Cake] - Cashloan</v>
      </c>
      <c r="H11440" s="128" t="str">
        <f>VLOOKUP(source[[#This Row],[lending_product_transform]],[3]Mapping!$B$3:$D$37,3,0)</f>
        <v>cashloan</v>
      </c>
      <c r="I11440" s="143">
        <v>8110010</v>
      </c>
    </row>
    <row r="11441" spans="1:9" x14ac:dyDescent="0.2">
      <c r="A11441" s="134">
        <v>46012</v>
      </c>
      <c r="B11441" s="135">
        <f>YEAR(source[[#This Row],[report_date]])</f>
        <v>2025</v>
      </c>
      <c r="C11441" s="128">
        <f t="shared" si="532"/>
        <v>12</v>
      </c>
      <c r="D11441" s="136">
        <f t="shared" si="534"/>
        <v>51</v>
      </c>
      <c r="E11441" s="136">
        <f t="shared" si="533"/>
        <v>21</v>
      </c>
      <c r="F11441" s="137" t="s">
        <v>24</v>
      </c>
      <c r="G11441" s="128" t="str">
        <f>VLOOKUP(source[[#This Row],[lending_product_transform]],[3]Mapping!$B$4:$C$37,2,0)</f>
        <v>[Cake] - Cashloan</v>
      </c>
      <c r="H11441" s="128" t="str">
        <f>VLOOKUP(source[[#This Row],[lending_product_transform]],[3]Mapping!$B$3:$D$37,3,0)</f>
        <v>cashloan</v>
      </c>
      <c r="I11441" s="143">
        <v>973988815</v>
      </c>
    </row>
    <row r="11442" spans="1:9" x14ac:dyDescent="0.2">
      <c r="A11442" s="134">
        <v>46012</v>
      </c>
      <c r="B11442" s="135">
        <f>YEAR(source[[#This Row],[report_date]])</f>
        <v>2025</v>
      </c>
      <c r="C11442" s="128">
        <f t="shared" si="532"/>
        <v>12</v>
      </c>
      <c r="D11442" s="136">
        <f t="shared" si="534"/>
        <v>51</v>
      </c>
      <c r="E11442" s="136">
        <f t="shared" si="533"/>
        <v>21</v>
      </c>
      <c r="F11442" s="137" t="s">
        <v>24</v>
      </c>
      <c r="G11442" s="128" t="str">
        <f>VLOOKUP(source[[#This Row],[lending_product_transform]],[3]Mapping!$B$4:$C$37,2,0)</f>
        <v>[Cake] - Cashloan</v>
      </c>
      <c r="H11442" s="128" t="str">
        <f>VLOOKUP(source[[#This Row],[lending_product_transform]],[3]Mapping!$B$3:$D$37,3,0)</f>
        <v>cashloan</v>
      </c>
      <c r="I11442" s="143">
        <v>0</v>
      </c>
    </row>
    <row r="11443" spans="1:9" x14ac:dyDescent="0.2">
      <c r="A11443" s="134">
        <v>46012</v>
      </c>
      <c r="B11443" s="135">
        <f>YEAR(source[[#This Row],[report_date]])</f>
        <v>2025</v>
      </c>
      <c r="C11443" s="128">
        <f t="shared" si="532"/>
        <v>12</v>
      </c>
      <c r="D11443" s="136">
        <f t="shared" si="534"/>
        <v>51</v>
      </c>
      <c r="E11443" s="136">
        <f t="shared" si="533"/>
        <v>21</v>
      </c>
      <c r="F11443" s="137" t="s">
        <v>24</v>
      </c>
      <c r="G11443" s="128" t="str">
        <f>VLOOKUP(source[[#This Row],[lending_product_transform]],[3]Mapping!$B$4:$C$37,2,0)</f>
        <v>[Cake] - Cashloan</v>
      </c>
      <c r="H11443" s="128" t="str">
        <f>VLOOKUP(source[[#This Row],[lending_product_transform]],[3]Mapping!$B$3:$D$37,3,0)</f>
        <v>cashloan</v>
      </c>
      <c r="I11443" s="143">
        <v>661850000</v>
      </c>
    </row>
    <row r="11444" spans="1:9" x14ac:dyDescent="0.2">
      <c r="A11444" s="134">
        <v>46012</v>
      </c>
      <c r="B11444" s="135">
        <f>YEAR(source[[#This Row],[report_date]])</f>
        <v>2025</v>
      </c>
      <c r="C11444" s="128">
        <f t="shared" si="532"/>
        <v>12</v>
      </c>
      <c r="D11444" s="136">
        <f t="shared" si="534"/>
        <v>51</v>
      </c>
      <c r="E11444" s="136">
        <f t="shared" si="533"/>
        <v>21</v>
      </c>
      <c r="F11444" s="137" t="s">
        <v>24</v>
      </c>
      <c r="G11444" s="128" t="str">
        <f>VLOOKUP(source[[#This Row],[lending_product_transform]],[3]Mapping!$B$4:$C$37,2,0)</f>
        <v>[Cake] - Cashloan</v>
      </c>
      <c r="H11444" s="128" t="str">
        <f>VLOOKUP(source[[#This Row],[lending_product_transform]],[3]Mapping!$B$3:$D$37,3,0)</f>
        <v>cashloan</v>
      </c>
      <c r="I11444" s="143">
        <v>16309300000</v>
      </c>
    </row>
    <row r="11445" spans="1:9" x14ac:dyDescent="0.2">
      <c r="A11445" s="134">
        <v>46012</v>
      </c>
      <c r="B11445" s="135">
        <f>YEAR(source[[#This Row],[report_date]])</f>
        <v>2025</v>
      </c>
      <c r="C11445" s="128">
        <f t="shared" si="532"/>
        <v>12</v>
      </c>
      <c r="D11445" s="136">
        <f t="shared" si="534"/>
        <v>51</v>
      </c>
      <c r="E11445" s="136">
        <f t="shared" si="533"/>
        <v>21</v>
      </c>
      <c r="F11445" s="137" t="s">
        <v>24</v>
      </c>
      <c r="G11445" s="128" t="str">
        <f>VLOOKUP(source[[#This Row],[lending_product_transform]],[3]Mapping!$B$4:$C$37,2,0)</f>
        <v>[Cake] - Cashloan</v>
      </c>
      <c r="H11445" s="128" t="str">
        <f>VLOOKUP(source[[#This Row],[lending_product_transform]],[3]Mapping!$B$3:$D$37,3,0)</f>
        <v>cashloan</v>
      </c>
      <c r="I11445" s="143">
        <v>0</v>
      </c>
    </row>
    <row r="11446" spans="1:9" x14ac:dyDescent="0.2">
      <c r="A11446" s="134">
        <v>46012</v>
      </c>
      <c r="B11446" s="135">
        <f>YEAR(source[[#This Row],[report_date]])</f>
        <v>2025</v>
      </c>
      <c r="C11446" s="128">
        <f t="shared" ref="C11446:C11509" si="535">MONTH(A11446)</f>
        <v>12</v>
      </c>
      <c r="D11446" s="136">
        <f t="shared" si="534"/>
        <v>51</v>
      </c>
      <c r="E11446" s="136">
        <f t="shared" ref="E11446:E11509" si="536">DAY(A11446)</f>
        <v>21</v>
      </c>
      <c r="F11446" s="137" t="s">
        <v>24</v>
      </c>
      <c r="G11446" s="128" t="str">
        <f>VLOOKUP(source[[#This Row],[lending_product_transform]],[3]Mapping!$B$4:$C$37,2,0)</f>
        <v>[Cake] - Cashloan</v>
      </c>
      <c r="H11446" s="128" t="str">
        <f>VLOOKUP(source[[#This Row],[lending_product_transform]],[3]Mapping!$B$3:$D$37,3,0)</f>
        <v>cashloan</v>
      </c>
      <c r="I11446" s="143">
        <v>0</v>
      </c>
    </row>
    <row r="11447" spans="1:9" x14ac:dyDescent="0.2">
      <c r="A11447" s="134">
        <v>46012</v>
      </c>
      <c r="B11447" s="135">
        <f>YEAR(source[[#This Row],[report_date]])</f>
        <v>2025</v>
      </c>
      <c r="C11447" s="128">
        <f t="shared" si="535"/>
        <v>12</v>
      </c>
      <c r="D11447" s="136">
        <f t="shared" si="534"/>
        <v>51</v>
      </c>
      <c r="E11447" s="136">
        <f t="shared" si="536"/>
        <v>21</v>
      </c>
      <c r="F11447" s="137" t="s">
        <v>24</v>
      </c>
      <c r="G11447" s="128" t="str">
        <f>VLOOKUP(source[[#This Row],[lending_product_transform]],[3]Mapping!$B$4:$C$37,2,0)</f>
        <v>[Cake] - Cashloan</v>
      </c>
      <c r="H11447" s="128" t="str">
        <f>VLOOKUP(source[[#This Row],[lending_product_transform]],[3]Mapping!$B$3:$D$37,3,0)</f>
        <v>cashloan</v>
      </c>
      <c r="I11447" s="143">
        <v>0</v>
      </c>
    </row>
    <row r="11448" spans="1:9" x14ac:dyDescent="0.2">
      <c r="A11448" s="134">
        <v>46012</v>
      </c>
      <c r="B11448" s="135">
        <f>YEAR(source[[#This Row],[report_date]])</f>
        <v>2025</v>
      </c>
      <c r="C11448" s="128">
        <f t="shared" si="535"/>
        <v>12</v>
      </c>
      <c r="D11448" s="136">
        <f t="shared" si="534"/>
        <v>51</v>
      </c>
      <c r="E11448" s="136">
        <f t="shared" si="536"/>
        <v>21</v>
      </c>
      <c r="F11448" s="137" t="s">
        <v>24</v>
      </c>
      <c r="G11448" s="128" t="str">
        <f>VLOOKUP(source[[#This Row],[lending_product_transform]],[3]Mapping!$B$4:$C$37,2,0)</f>
        <v>[Cake] - Cashloan</v>
      </c>
      <c r="H11448" s="128" t="str">
        <f>VLOOKUP(source[[#This Row],[lending_product_transform]],[3]Mapping!$B$3:$D$37,3,0)</f>
        <v>cashloan</v>
      </c>
      <c r="I11448" s="143">
        <v>0</v>
      </c>
    </row>
    <row r="11449" spans="1:9" x14ac:dyDescent="0.2">
      <c r="A11449" s="134">
        <v>46012</v>
      </c>
      <c r="B11449" s="135">
        <f>YEAR(source[[#This Row],[report_date]])</f>
        <v>2025</v>
      </c>
      <c r="C11449" s="128">
        <f t="shared" si="535"/>
        <v>12</v>
      </c>
      <c r="D11449" s="136">
        <f t="shared" si="534"/>
        <v>51</v>
      </c>
      <c r="E11449" s="136">
        <f t="shared" si="536"/>
        <v>21</v>
      </c>
      <c r="F11449" s="137" t="s">
        <v>24</v>
      </c>
      <c r="G11449" s="128" t="str">
        <f>VLOOKUP(source[[#This Row],[lending_product_transform]],[3]Mapping!$B$4:$C$37,2,0)</f>
        <v>[Cake] - Cashloan</v>
      </c>
      <c r="H11449" s="128" t="str">
        <f>VLOOKUP(source[[#This Row],[lending_product_transform]],[3]Mapping!$B$3:$D$37,3,0)</f>
        <v>cashloan</v>
      </c>
      <c r="I11449" s="143">
        <v>9148896000</v>
      </c>
    </row>
    <row r="11450" spans="1:9" x14ac:dyDescent="0.2">
      <c r="A11450" s="134">
        <v>46012</v>
      </c>
      <c r="B11450" s="135">
        <f>YEAR(source[[#This Row],[report_date]])</f>
        <v>2025</v>
      </c>
      <c r="C11450" s="128">
        <f t="shared" si="535"/>
        <v>12</v>
      </c>
      <c r="D11450" s="136">
        <f t="shared" si="534"/>
        <v>51</v>
      </c>
      <c r="E11450" s="136">
        <f t="shared" si="536"/>
        <v>21</v>
      </c>
      <c r="F11450" s="137" t="s">
        <v>24</v>
      </c>
      <c r="G11450" s="128" t="str">
        <f>VLOOKUP(source[[#This Row],[lending_product_transform]],[3]Mapping!$B$4:$C$37,2,0)</f>
        <v>[Cake] - Cashloan</v>
      </c>
      <c r="H11450" s="128" t="str">
        <f>VLOOKUP(source[[#This Row],[lending_product_transform]],[3]Mapping!$B$3:$D$37,3,0)</f>
        <v>cashloan</v>
      </c>
      <c r="I11450" s="143">
        <v>194710939</v>
      </c>
    </row>
    <row r="11451" spans="1:9" x14ac:dyDescent="0.2">
      <c r="A11451" s="134">
        <v>46012</v>
      </c>
      <c r="B11451" s="135">
        <f>YEAR(source[[#This Row],[report_date]])</f>
        <v>2025</v>
      </c>
      <c r="C11451" s="128">
        <f t="shared" si="535"/>
        <v>12</v>
      </c>
      <c r="D11451" s="136">
        <f t="shared" si="534"/>
        <v>51</v>
      </c>
      <c r="E11451" s="136">
        <f t="shared" si="536"/>
        <v>21</v>
      </c>
      <c r="F11451" s="137" t="s">
        <v>24</v>
      </c>
      <c r="G11451" s="128" t="str">
        <f>VLOOKUP(source[[#This Row],[lending_product_transform]],[3]Mapping!$B$4:$C$37,2,0)</f>
        <v>[Cake] - Cashloan</v>
      </c>
      <c r="H11451" s="128" t="str">
        <f>VLOOKUP(source[[#This Row],[lending_product_transform]],[3]Mapping!$B$3:$D$37,3,0)</f>
        <v>cashloan</v>
      </c>
      <c r="I11451" s="143">
        <v>21000000</v>
      </c>
    </row>
    <row r="11452" spans="1:9" x14ac:dyDescent="0.2">
      <c r="A11452" s="134">
        <v>46012</v>
      </c>
      <c r="B11452" s="135">
        <f>YEAR(source[[#This Row],[report_date]])</f>
        <v>2025</v>
      </c>
      <c r="C11452" s="128">
        <f t="shared" si="535"/>
        <v>12</v>
      </c>
      <c r="D11452" s="136">
        <f t="shared" si="534"/>
        <v>51</v>
      </c>
      <c r="E11452" s="136">
        <f t="shared" si="536"/>
        <v>21</v>
      </c>
      <c r="F11452" s="137" t="s">
        <v>24</v>
      </c>
      <c r="G11452" s="128" t="str">
        <f>VLOOKUP(source[[#This Row],[lending_product_transform]],[3]Mapping!$B$4:$C$37,2,0)</f>
        <v>[Cake] - Cashloan</v>
      </c>
      <c r="H11452" s="128" t="str">
        <f>VLOOKUP(source[[#This Row],[lending_product_transform]],[3]Mapping!$B$3:$D$37,3,0)</f>
        <v>cashloan</v>
      </c>
      <c r="I11452" s="143">
        <v>33000000</v>
      </c>
    </row>
    <row r="11453" spans="1:9" x14ac:dyDescent="0.2">
      <c r="A11453" s="134">
        <v>46012</v>
      </c>
      <c r="B11453" s="135">
        <f>YEAR(source[[#This Row],[report_date]])</f>
        <v>2025</v>
      </c>
      <c r="C11453" s="128">
        <f t="shared" si="535"/>
        <v>12</v>
      </c>
      <c r="D11453" s="136">
        <f t="shared" si="534"/>
        <v>51</v>
      </c>
      <c r="E11453" s="136">
        <f t="shared" si="536"/>
        <v>21</v>
      </c>
      <c r="F11453" s="137" t="s">
        <v>24</v>
      </c>
      <c r="G11453" s="128" t="str">
        <f>VLOOKUP(source[[#This Row],[lending_product_transform]],[3]Mapping!$B$4:$C$37,2,0)</f>
        <v>[Cake] - Cashloan</v>
      </c>
      <c r="H11453" s="128" t="str">
        <f>VLOOKUP(source[[#This Row],[lending_product_transform]],[3]Mapping!$B$3:$D$37,3,0)</f>
        <v>cashloan</v>
      </c>
      <c r="I11453" s="143">
        <v>661590000</v>
      </c>
    </row>
    <row r="11454" spans="1:9" x14ac:dyDescent="0.2">
      <c r="A11454" s="134">
        <v>46012</v>
      </c>
      <c r="B11454" s="135">
        <f>YEAR(source[[#This Row],[report_date]])</f>
        <v>2025</v>
      </c>
      <c r="C11454" s="128">
        <f t="shared" si="535"/>
        <v>12</v>
      </c>
      <c r="D11454" s="136">
        <f t="shared" si="534"/>
        <v>51</v>
      </c>
      <c r="E11454" s="136">
        <f t="shared" si="536"/>
        <v>21</v>
      </c>
      <c r="F11454" s="137" t="s">
        <v>24</v>
      </c>
      <c r="G11454" s="128" t="str">
        <f>VLOOKUP(source[[#This Row],[lending_product_transform]],[3]Mapping!$B$4:$C$37,2,0)</f>
        <v>[Cake] - Cashloan</v>
      </c>
      <c r="H11454" s="128" t="str">
        <f>VLOOKUP(source[[#This Row],[lending_product_transform]],[3]Mapping!$B$3:$D$37,3,0)</f>
        <v>cashloan</v>
      </c>
      <c r="I11454" s="143">
        <v>339984000</v>
      </c>
    </row>
    <row r="11455" spans="1:9" x14ac:dyDescent="0.2">
      <c r="A11455" s="134">
        <v>46012</v>
      </c>
      <c r="B11455" s="135">
        <f>YEAR(source[[#This Row],[report_date]])</f>
        <v>2025</v>
      </c>
      <c r="C11455" s="128">
        <f t="shared" si="535"/>
        <v>12</v>
      </c>
      <c r="D11455" s="136">
        <f t="shared" si="534"/>
        <v>51</v>
      </c>
      <c r="E11455" s="136">
        <f t="shared" si="536"/>
        <v>21</v>
      </c>
      <c r="F11455" s="137" t="s">
        <v>24</v>
      </c>
      <c r="G11455" s="128" t="str">
        <f>VLOOKUP(source[[#This Row],[lending_product_transform]],[3]Mapping!$B$4:$C$37,2,0)</f>
        <v>[Cake] - Cashloan</v>
      </c>
      <c r="H11455" s="128" t="str">
        <f>VLOOKUP(source[[#This Row],[lending_product_transform]],[3]Mapping!$B$3:$D$37,3,0)</f>
        <v>cashloan</v>
      </c>
      <c r="I11455" s="143">
        <v>334742208</v>
      </c>
    </row>
    <row r="11456" spans="1:9" x14ac:dyDescent="0.2">
      <c r="A11456" s="134">
        <v>46012</v>
      </c>
      <c r="B11456" s="135">
        <f>YEAR(source[[#This Row],[report_date]])</f>
        <v>2025</v>
      </c>
      <c r="C11456" s="128">
        <f t="shared" si="535"/>
        <v>12</v>
      </c>
      <c r="D11456" s="136">
        <f t="shared" si="534"/>
        <v>51</v>
      </c>
      <c r="E11456" s="136">
        <f t="shared" si="536"/>
        <v>21</v>
      </c>
      <c r="F11456" s="137" t="s">
        <v>24</v>
      </c>
      <c r="G11456" s="128" t="str">
        <f>VLOOKUP(source[[#This Row],[lending_product_transform]],[3]Mapping!$B$4:$C$37,2,0)</f>
        <v>[Cake] - Cashloan</v>
      </c>
      <c r="H11456" s="128" t="str">
        <f>VLOOKUP(source[[#This Row],[lending_product_transform]],[3]Mapping!$B$3:$D$37,3,0)</f>
        <v>cashloan</v>
      </c>
      <c r="I11456" s="143">
        <v>3218160000</v>
      </c>
    </row>
    <row r="11457" spans="1:9" x14ac:dyDescent="0.2">
      <c r="A11457" s="134">
        <v>46012</v>
      </c>
      <c r="B11457" s="135">
        <f>YEAR(source[[#This Row],[report_date]])</f>
        <v>2025</v>
      </c>
      <c r="C11457" s="128">
        <f t="shared" si="535"/>
        <v>12</v>
      </c>
      <c r="D11457" s="136">
        <f t="shared" si="534"/>
        <v>51</v>
      </c>
      <c r="E11457" s="136">
        <f t="shared" si="536"/>
        <v>21</v>
      </c>
      <c r="F11457" s="137" t="s">
        <v>24</v>
      </c>
      <c r="G11457" s="128" t="str">
        <f>VLOOKUP(source[[#This Row],[lending_product_transform]],[3]Mapping!$B$4:$C$37,2,0)</f>
        <v>[Cake] - Cashloan</v>
      </c>
      <c r="H11457" s="128" t="str">
        <f>VLOOKUP(source[[#This Row],[lending_product_transform]],[3]Mapping!$B$3:$D$37,3,0)</f>
        <v>cashloan</v>
      </c>
      <c r="I11457" s="143">
        <v>0</v>
      </c>
    </row>
    <row r="11458" spans="1:9" x14ac:dyDescent="0.2">
      <c r="A11458" s="134">
        <v>46013</v>
      </c>
      <c r="B11458" s="135">
        <f>YEAR(source[[#This Row],[report_date]])</f>
        <v>2025</v>
      </c>
      <c r="C11458" s="128">
        <f t="shared" si="535"/>
        <v>12</v>
      </c>
      <c r="D11458" s="136">
        <f t="shared" si="534"/>
        <v>52</v>
      </c>
      <c r="E11458" s="136">
        <f t="shared" si="536"/>
        <v>22</v>
      </c>
      <c r="F11458" s="137" t="s">
        <v>24</v>
      </c>
      <c r="G11458" s="128" t="str">
        <f>VLOOKUP(source[[#This Row],[lending_product_transform]],[3]Mapping!$B$4:$C$37,2,0)</f>
        <v>[Cake] - Cashloan</v>
      </c>
      <c r="H11458" s="128" t="str">
        <f>VLOOKUP(source[[#This Row],[lending_product_transform]],[3]Mapping!$B$3:$D$37,3,0)</f>
        <v>cashloan</v>
      </c>
      <c r="I11458" s="135">
        <v>127100000</v>
      </c>
    </row>
    <row r="11459" spans="1:9" x14ac:dyDescent="0.2">
      <c r="A11459" s="134">
        <v>46013</v>
      </c>
      <c r="B11459" s="135">
        <f>YEAR(source[[#This Row],[report_date]])</f>
        <v>2025</v>
      </c>
      <c r="C11459" s="128">
        <f t="shared" si="535"/>
        <v>12</v>
      </c>
      <c r="D11459" s="136">
        <f t="shared" ref="D11459:D11522" si="537">WEEKNUM(A11459,2)</f>
        <v>52</v>
      </c>
      <c r="E11459" s="136">
        <f t="shared" si="536"/>
        <v>22</v>
      </c>
      <c r="F11459" s="137" t="s">
        <v>24</v>
      </c>
      <c r="G11459" s="128" t="str">
        <f>VLOOKUP(source[[#This Row],[lending_product_transform]],[3]Mapping!$B$4:$C$37,2,0)</f>
        <v>[Cake] - Cashloan</v>
      </c>
      <c r="H11459" s="128" t="str">
        <f>VLOOKUP(source[[#This Row],[lending_product_transform]],[3]Mapping!$B$3:$D$37,3,0)</f>
        <v>cashloan</v>
      </c>
      <c r="I11459" s="135">
        <v>362846233</v>
      </c>
    </row>
    <row r="11460" spans="1:9" x14ac:dyDescent="0.2">
      <c r="A11460" s="134">
        <v>46013</v>
      </c>
      <c r="B11460" s="135">
        <f>YEAR(source[[#This Row],[report_date]])</f>
        <v>2025</v>
      </c>
      <c r="C11460" s="128">
        <f t="shared" si="535"/>
        <v>12</v>
      </c>
      <c r="D11460" s="136">
        <f t="shared" si="537"/>
        <v>52</v>
      </c>
      <c r="E11460" s="136">
        <f t="shared" si="536"/>
        <v>22</v>
      </c>
      <c r="F11460" s="137" t="s">
        <v>24</v>
      </c>
      <c r="G11460" s="128" t="str">
        <f>VLOOKUP(source[[#This Row],[lending_product_transform]],[3]Mapping!$B$4:$C$37,2,0)</f>
        <v>[Cake] - Cashloan</v>
      </c>
      <c r="H11460" s="128" t="str">
        <f>VLOOKUP(source[[#This Row],[lending_product_transform]],[3]Mapping!$B$3:$D$37,3,0)</f>
        <v>cashloan</v>
      </c>
      <c r="I11460" s="135">
        <v>15422180000</v>
      </c>
    </row>
    <row r="11461" spans="1:9" x14ac:dyDescent="0.2">
      <c r="A11461" s="134">
        <v>46013</v>
      </c>
      <c r="B11461" s="135">
        <f>YEAR(source[[#This Row],[report_date]])</f>
        <v>2025</v>
      </c>
      <c r="C11461" s="128">
        <f t="shared" si="535"/>
        <v>12</v>
      </c>
      <c r="D11461" s="136">
        <f t="shared" si="537"/>
        <v>52</v>
      </c>
      <c r="E11461" s="136">
        <f t="shared" si="536"/>
        <v>22</v>
      </c>
      <c r="F11461" s="137" t="s">
        <v>24</v>
      </c>
      <c r="G11461" s="128" t="str">
        <f>VLOOKUP(source[[#This Row],[lending_product_transform]],[3]Mapping!$B$4:$C$37,2,0)</f>
        <v>[Cake] - Cashloan</v>
      </c>
      <c r="H11461" s="128" t="str">
        <f>VLOOKUP(source[[#This Row],[lending_product_transform]],[3]Mapping!$B$3:$D$37,3,0)</f>
        <v>cashloan</v>
      </c>
      <c r="I11461" s="135">
        <v>2213515124</v>
      </c>
    </row>
    <row r="11462" spans="1:9" x14ac:dyDescent="0.2">
      <c r="A11462" s="134">
        <v>46013</v>
      </c>
      <c r="B11462" s="135">
        <f>YEAR(source[[#This Row],[report_date]])</f>
        <v>2025</v>
      </c>
      <c r="C11462" s="128">
        <f t="shared" si="535"/>
        <v>12</v>
      </c>
      <c r="D11462" s="136">
        <f t="shared" si="537"/>
        <v>52</v>
      </c>
      <c r="E11462" s="136">
        <f t="shared" si="536"/>
        <v>22</v>
      </c>
      <c r="F11462" s="137" t="s">
        <v>24</v>
      </c>
      <c r="G11462" s="128" t="str">
        <f>VLOOKUP(source[[#This Row],[lending_product_transform]],[3]Mapping!$B$4:$C$37,2,0)</f>
        <v>[Cake] - Cashloan</v>
      </c>
      <c r="H11462" s="128" t="str">
        <f>VLOOKUP(source[[#This Row],[lending_product_transform]],[3]Mapping!$B$3:$D$37,3,0)</f>
        <v>cashloan</v>
      </c>
      <c r="I11462" s="135">
        <v>13025016000</v>
      </c>
    </row>
    <row r="11463" spans="1:9" x14ac:dyDescent="0.2">
      <c r="A11463" s="134">
        <v>46013</v>
      </c>
      <c r="B11463" s="135">
        <f>YEAR(source[[#This Row],[report_date]])</f>
        <v>2025</v>
      </c>
      <c r="C11463" s="128">
        <f t="shared" si="535"/>
        <v>12</v>
      </c>
      <c r="D11463" s="136">
        <f t="shared" si="537"/>
        <v>52</v>
      </c>
      <c r="E11463" s="136">
        <f t="shared" si="536"/>
        <v>22</v>
      </c>
      <c r="F11463" s="137" t="s">
        <v>24</v>
      </c>
      <c r="G11463" s="128" t="str">
        <f>VLOOKUP(source[[#This Row],[lending_product_transform]],[3]Mapping!$B$4:$C$37,2,0)</f>
        <v>[Cake] - Cashloan</v>
      </c>
      <c r="H11463" s="128" t="str">
        <f>VLOOKUP(source[[#This Row],[lending_product_transform]],[3]Mapping!$B$3:$D$37,3,0)</f>
        <v>cashloan</v>
      </c>
      <c r="I11463" s="135">
        <v>2505145</v>
      </c>
    </row>
    <row r="11464" spans="1:9" x14ac:dyDescent="0.2">
      <c r="A11464" s="134">
        <v>46013</v>
      </c>
      <c r="B11464" s="135">
        <f>YEAR(source[[#This Row],[report_date]])</f>
        <v>2025</v>
      </c>
      <c r="C11464" s="128">
        <f t="shared" si="535"/>
        <v>12</v>
      </c>
      <c r="D11464" s="136">
        <f t="shared" si="537"/>
        <v>52</v>
      </c>
      <c r="E11464" s="136">
        <f t="shared" si="536"/>
        <v>22</v>
      </c>
      <c r="F11464" s="137" t="s">
        <v>24</v>
      </c>
      <c r="G11464" s="128" t="str">
        <f>VLOOKUP(source[[#This Row],[lending_product_transform]],[3]Mapping!$B$4:$C$37,2,0)</f>
        <v>[Cake] - Cashloan</v>
      </c>
      <c r="H11464" s="128" t="str">
        <f>VLOOKUP(source[[#This Row],[lending_product_transform]],[3]Mapping!$B$3:$D$37,3,0)</f>
        <v>cashloan</v>
      </c>
      <c r="I11464" s="135">
        <v>50000000</v>
      </c>
    </row>
    <row r="11465" spans="1:9" x14ac:dyDescent="0.2">
      <c r="A11465" s="134">
        <v>46013</v>
      </c>
      <c r="B11465" s="135">
        <f>YEAR(source[[#This Row],[report_date]])</f>
        <v>2025</v>
      </c>
      <c r="C11465" s="128">
        <f t="shared" si="535"/>
        <v>12</v>
      </c>
      <c r="D11465" s="136">
        <f t="shared" si="537"/>
        <v>52</v>
      </c>
      <c r="E11465" s="136">
        <f t="shared" si="536"/>
        <v>22</v>
      </c>
      <c r="F11465" s="137" t="s">
        <v>24</v>
      </c>
      <c r="G11465" s="128" t="str">
        <f>VLOOKUP(source[[#This Row],[lending_product_transform]],[3]Mapping!$B$4:$C$37,2,0)</f>
        <v>[Cake] - Cashloan</v>
      </c>
      <c r="H11465" s="128" t="str">
        <f>VLOOKUP(source[[#This Row],[lending_product_transform]],[3]Mapping!$B$3:$D$37,3,0)</f>
        <v>cashloan</v>
      </c>
      <c r="I11465" s="135">
        <v>3674300000</v>
      </c>
    </row>
    <row r="11466" spans="1:9" x14ac:dyDescent="0.2">
      <c r="A11466" s="134">
        <v>46013</v>
      </c>
      <c r="B11466" s="135">
        <f>YEAR(source[[#This Row],[report_date]])</f>
        <v>2025</v>
      </c>
      <c r="C11466" s="128">
        <f t="shared" si="535"/>
        <v>12</v>
      </c>
      <c r="D11466" s="136">
        <f t="shared" si="537"/>
        <v>52</v>
      </c>
      <c r="E11466" s="136">
        <f t="shared" si="536"/>
        <v>22</v>
      </c>
      <c r="F11466" s="137" t="s">
        <v>24</v>
      </c>
      <c r="G11466" s="128" t="str">
        <f>VLOOKUP(source[[#This Row],[lending_product_transform]],[3]Mapping!$B$4:$C$37,2,0)</f>
        <v>[Cake] - Cashloan</v>
      </c>
      <c r="H11466" s="128" t="str">
        <f>VLOOKUP(source[[#This Row],[lending_product_transform]],[3]Mapping!$B$3:$D$37,3,0)</f>
        <v>cashloan</v>
      </c>
      <c r="I11466" s="135">
        <v>8650905</v>
      </c>
    </row>
    <row r="11467" spans="1:9" x14ac:dyDescent="0.2">
      <c r="A11467" s="134">
        <v>46013</v>
      </c>
      <c r="B11467" s="135">
        <f>YEAR(source[[#This Row],[report_date]])</f>
        <v>2025</v>
      </c>
      <c r="C11467" s="128">
        <f t="shared" si="535"/>
        <v>12</v>
      </c>
      <c r="D11467" s="136">
        <f t="shared" si="537"/>
        <v>52</v>
      </c>
      <c r="E11467" s="136">
        <f t="shared" si="536"/>
        <v>22</v>
      </c>
      <c r="F11467" s="137" t="s">
        <v>24</v>
      </c>
      <c r="G11467" s="128" t="str">
        <f>VLOOKUP(source[[#This Row],[lending_product_transform]],[3]Mapping!$B$4:$C$37,2,0)</f>
        <v>[Cake] - Cashloan</v>
      </c>
      <c r="H11467" s="128" t="str">
        <f>VLOOKUP(source[[#This Row],[lending_product_transform]],[3]Mapping!$B$3:$D$37,3,0)</f>
        <v>cashloan</v>
      </c>
      <c r="I11467" s="135">
        <v>978848848</v>
      </c>
    </row>
    <row r="11468" spans="1:9" x14ac:dyDescent="0.2">
      <c r="A11468" s="134">
        <v>46013</v>
      </c>
      <c r="B11468" s="135">
        <f>YEAR(source[[#This Row],[report_date]])</f>
        <v>2025</v>
      </c>
      <c r="C11468" s="128">
        <f t="shared" si="535"/>
        <v>12</v>
      </c>
      <c r="D11468" s="136">
        <f t="shared" si="537"/>
        <v>52</v>
      </c>
      <c r="E11468" s="136">
        <f t="shared" si="536"/>
        <v>22</v>
      </c>
      <c r="F11468" s="137" t="s">
        <v>24</v>
      </c>
      <c r="G11468" s="128" t="str">
        <f>VLOOKUP(source[[#This Row],[lending_product_transform]],[3]Mapping!$B$4:$C$37,2,0)</f>
        <v>[Cake] - Cashloan</v>
      </c>
      <c r="H11468" s="128" t="str">
        <f>VLOOKUP(source[[#This Row],[lending_product_transform]],[3]Mapping!$B$3:$D$37,3,0)</f>
        <v>cashloan</v>
      </c>
      <c r="I11468" s="135">
        <v>0</v>
      </c>
    </row>
    <row r="11469" spans="1:9" x14ac:dyDescent="0.2">
      <c r="A11469" s="134">
        <v>46013</v>
      </c>
      <c r="B11469" s="135">
        <f>YEAR(source[[#This Row],[report_date]])</f>
        <v>2025</v>
      </c>
      <c r="C11469" s="128">
        <f t="shared" si="535"/>
        <v>12</v>
      </c>
      <c r="D11469" s="136">
        <f t="shared" si="537"/>
        <v>52</v>
      </c>
      <c r="E11469" s="136">
        <f t="shared" si="536"/>
        <v>22</v>
      </c>
      <c r="F11469" s="137" t="s">
        <v>24</v>
      </c>
      <c r="G11469" s="128" t="str">
        <f>VLOOKUP(source[[#This Row],[lending_product_transform]],[3]Mapping!$B$4:$C$37,2,0)</f>
        <v>[Cake] - Cashloan</v>
      </c>
      <c r="H11469" s="128" t="str">
        <f>VLOOKUP(source[[#This Row],[lending_product_transform]],[3]Mapping!$B$3:$D$37,3,0)</f>
        <v>cashloan</v>
      </c>
      <c r="I11469" s="135">
        <v>586950000</v>
      </c>
    </row>
    <row r="11470" spans="1:9" x14ac:dyDescent="0.2">
      <c r="A11470" s="134">
        <v>46013</v>
      </c>
      <c r="B11470" s="135">
        <f>YEAR(source[[#This Row],[report_date]])</f>
        <v>2025</v>
      </c>
      <c r="C11470" s="128">
        <f t="shared" si="535"/>
        <v>12</v>
      </c>
      <c r="D11470" s="136">
        <f t="shared" si="537"/>
        <v>52</v>
      </c>
      <c r="E11470" s="136">
        <f t="shared" si="536"/>
        <v>22</v>
      </c>
      <c r="F11470" s="137" t="s">
        <v>24</v>
      </c>
      <c r="G11470" s="128" t="str">
        <f>VLOOKUP(source[[#This Row],[lending_product_transform]],[3]Mapping!$B$4:$C$37,2,0)</f>
        <v>[Cake] - Cashloan</v>
      </c>
      <c r="H11470" s="128" t="str">
        <f>VLOOKUP(source[[#This Row],[lending_product_transform]],[3]Mapping!$B$3:$D$37,3,0)</f>
        <v>cashloan</v>
      </c>
      <c r="I11470" s="135">
        <v>19449990000</v>
      </c>
    </row>
    <row r="11471" spans="1:9" x14ac:dyDescent="0.2">
      <c r="A11471" s="134">
        <v>46013</v>
      </c>
      <c r="B11471" s="135">
        <f>YEAR(source[[#This Row],[report_date]])</f>
        <v>2025</v>
      </c>
      <c r="C11471" s="128">
        <f t="shared" si="535"/>
        <v>12</v>
      </c>
      <c r="D11471" s="136">
        <f t="shared" si="537"/>
        <v>52</v>
      </c>
      <c r="E11471" s="136">
        <f t="shared" si="536"/>
        <v>22</v>
      </c>
      <c r="F11471" s="137" t="s">
        <v>24</v>
      </c>
      <c r="G11471" s="128" t="str">
        <f>VLOOKUP(source[[#This Row],[lending_product_transform]],[3]Mapping!$B$4:$C$37,2,0)</f>
        <v>[Cake] - Cashloan</v>
      </c>
      <c r="H11471" s="128" t="str">
        <f>VLOOKUP(source[[#This Row],[lending_product_transform]],[3]Mapping!$B$3:$D$37,3,0)</f>
        <v>cashloan</v>
      </c>
      <c r="I11471" s="135">
        <v>0</v>
      </c>
    </row>
    <row r="11472" spans="1:9" x14ac:dyDescent="0.2">
      <c r="A11472" s="134">
        <v>46013</v>
      </c>
      <c r="B11472" s="135">
        <f>YEAR(source[[#This Row],[report_date]])</f>
        <v>2025</v>
      </c>
      <c r="C11472" s="128">
        <f t="shared" si="535"/>
        <v>12</v>
      </c>
      <c r="D11472" s="136">
        <f t="shared" si="537"/>
        <v>52</v>
      </c>
      <c r="E11472" s="136">
        <f t="shared" si="536"/>
        <v>22</v>
      </c>
      <c r="F11472" s="137" t="s">
        <v>24</v>
      </c>
      <c r="G11472" s="128" t="str">
        <f>VLOOKUP(source[[#This Row],[lending_product_transform]],[3]Mapping!$B$4:$C$37,2,0)</f>
        <v>[Cake] - Cashloan</v>
      </c>
      <c r="H11472" s="128" t="str">
        <f>VLOOKUP(source[[#This Row],[lending_product_transform]],[3]Mapping!$B$3:$D$37,3,0)</f>
        <v>cashloan</v>
      </c>
      <c r="I11472" s="135">
        <v>0</v>
      </c>
    </row>
    <row r="11473" spans="1:9" x14ac:dyDescent="0.2">
      <c r="A11473" s="134">
        <v>46013</v>
      </c>
      <c r="B11473" s="135">
        <f>YEAR(source[[#This Row],[report_date]])</f>
        <v>2025</v>
      </c>
      <c r="C11473" s="128">
        <f t="shared" si="535"/>
        <v>12</v>
      </c>
      <c r="D11473" s="136">
        <f t="shared" si="537"/>
        <v>52</v>
      </c>
      <c r="E11473" s="136">
        <f t="shared" si="536"/>
        <v>22</v>
      </c>
      <c r="F11473" s="137" t="s">
        <v>24</v>
      </c>
      <c r="G11473" s="128" t="str">
        <f>VLOOKUP(source[[#This Row],[lending_product_transform]],[3]Mapping!$B$4:$C$37,2,0)</f>
        <v>[Cake] - Cashloan</v>
      </c>
      <c r="H11473" s="128" t="str">
        <f>VLOOKUP(source[[#This Row],[lending_product_transform]],[3]Mapping!$B$3:$D$37,3,0)</f>
        <v>cashloan</v>
      </c>
      <c r="I11473" s="135">
        <v>0</v>
      </c>
    </row>
    <row r="11474" spans="1:9" x14ac:dyDescent="0.2">
      <c r="A11474" s="134">
        <v>46013</v>
      </c>
      <c r="B11474" s="135">
        <f>YEAR(source[[#This Row],[report_date]])</f>
        <v>2025</v>
      </c>
      <c r="C11474" s="128">
        <f t="shared" si="535"/>
        <v>12</v>
      </c>
      <c r="D11474" s="136">
        <f t="shared" si="537"/>
        <v>52</v>
      </c>
      <c r="E11474" s="136">
        <f t="shared" si="536"/>
        <v>22</v>
      </c>
      <c r="F11474" s="137" t="s">
        <v>24</v>
      </c>
      <c r="G11474" s="128" t="str">
        <f>VLOOKUP(source[[#This Row],[lending_product_transform]],[3]Mapping!$B$4:$C$37,2,0)</f>
        <v>[Cake] - Cashloan</v>
      </c>
      <c r="H11474" s="128" t="str">
        <f>VLOOKUP(source[[#This Row],[lending_product_transform]],[3]Mapping!$B$3:$D$37,3,0)</f>
        <v>cashloan</v>
      </c>
      <c r="I11474" s="135">
        <v>30000000</v>
      </c>
    </row>
    <row r="11475" spans="1:9" x14ac:dyDescent="0.2">
      <c r="A11475" s="134">
        <v>46013</v>
      </c>
      <c r="B11475" s="135">
        <f>YEAR(source[[#This Row],[report_date]])</f>
        <v>2025</v>
      </c>
      <c r="C11475" s="128">
        <f t="shared" si="535"/>
        <v>12</v>
      </c>
      <c r="D11475" s="136">
        <f t="shared" si="537"/>
        <v>52</v>
      </c>
      <c r="E11475" s="136">
        <f t="shared" si="536"/>
        <v>22</v>
      </c>
      <c r="F11475" s="137" t="s">
        <v>24</v>
      </c>
      <c r="G11475" s="128" t="str">
        <f>VLOOKUP(source[[#This Row],[lending_product_transform]],[3]Mapping!$B$4:$C$37,2,0)</f>
        <v>[Cake] - Cashloan</v>
      </c>
      <c r="H11475" s="128" t="str">
        <f>VLOOKUP(source[[#This Row],[lending_product_transform]],[3]Mapping!$B$3:$D$37,3,0)</f>
        <v>cashloan</v>
      </c>
      <c r="I11475" s="135">
        <v>9268128000</v>
      </c>
    </row>
    <row r="11476" spans="1:9" x14ac:dyDescent="0.2">
      <c r="A11476" s="134">
        <v>46013</v>
      </c>
      <c r="B11476" s="135">
        <f>YEAR(source[[#This Row],[report_date]])</f>
        <v>2025</v>
      </c>
      <c r="C11476" s="128">
        <f t="shared" si="535"/>
        <v>12</v>
      </c>
      <c r="D11476" s="136">
        <f t="shared" si="537"/>
        <v>52</v>
      </c>
      <c r="E11476" s="136">
        <f t="shared" si="536"/>
        <v>22</v>
      </c>
      <c r="F11476" s="137" t="s">
        <v>24</v>
      </c>
      <c r="G11476" s="128" t="str">
        <f>VLOOKUP(source[[#This Row],[lending_product_transform]],[3]Mapping!$B$4:$C$37,2,0)</f>
        <v>[Cake] - Cashloan</v>
      </c>
      <c r="H11476" s="128" t="str">
        <f>VLOOKUP(source[[#This Row],[lending_product_transform]],[3]Mapping!$B$3:$D$37,3,0)</f>
        <v>cashloan</v>
      </c>
      <c r="I11476" s="135">
        <v>175675611</v>
      </c>
    </row>
    <row r="11477" spans="1:9" x14ac:dyDescent="0.2">
      <c r="A11477" s="134">
        <v>46013</v>
      </c>
      <c r="B11477" s="135">
        <f>YEAR(source[[#This Row],[report_date]])</f>
        <v>2025</v>
      </c>
      <c r="C11477" s="128">
        <f t="shared" si="535"/>
        <v>12</v>
      </c>
      <c r="D11477" s="136">
        <f t="shared" si="537"/>
        <v>52</v>
      </c>
      <c r="E11477" s="136">
        <f t="shared" si="536"/>
        <v>22</v>
      </c>
      <c r="F11477" s="137" t="s">
        <v>24</v>
      </c>
      <c r="G11477" s="128" t="str">
        <f>VLOOKUP(source[[#This Row],[lending_product_transform]],[3]Mapping!$B$4:$C$37,2,0)</f>
        <v>[Cake] - Cashloan</v>
      </c>
      <c r="H11477" s="128" t="str">
        <f>VLOOKUP(source[[#This Row],[lending_product_transform]],[3]Mapping!$B$3:$D$37,3,0)</f>
        <v>cashloan</v>
      </c>
      <c r="I11477" s="135">
        <v>0</v>
      </c>
    </row>
    <row r="11478" spans="1:9" x14ac:dyDescent="0.2">
      <c r="A11478" s="134">
        <v>46013</v>
      </c>
      <c r="B11478" s="135">
        <f>YEAR(source[[#This Row],[report_date]])</f>
        <v>2025</v>
      </c>
      <c r="C11478" s="128">
        <f t="shared" si="535"/>
        <v>12</v>
      </c>
      <c r="D11478" s="136">
        <f t="shared" si="537"/>
        <v>52</v>
      </c>
      <c r="E11478" s="136">
        <f t="shared" si="536"/>
        <v>22</v>
      </c>
      <c r="F11478" s="137" t="s">
        <v>24</v>
      </c>
      <c r="G11478" s="128" t="str">
        <f>VLOOKUP(source[[#This Row],[lending_product_transform]],[3]Mapping!$B$4:$C$37,2,0)</f>
        <v>[Cake] - Cashloan</v>
      </c>
      <c r="H11478" s="128" t="str">
        <f>VLOOKUP(source[[#This Row],[lending_product_transform]],[3]Mapping!$B$3:$D$37,3,0)</f>
        <v>cashloan</v>
      </c>
      <c r="I11478" s="135">
        <v>26000000</v>
      </c>
    </row>
    <row r="11479" spans="1:9" x14ac:dyDescent="0.2">
      <c r="A11479" s="134">
        <v>46013</v>
      </c>
      <c r="B11479" s="135">
        <f>YEAR(source[[#This Row],[report_date]])</f>
        <v>2025</v>
      </c>
      <c r="C11479" s="128">
        <f t="shared" si="535"/>
        <v>12</v>
      </c>
      <c r="D11479" s="136">
        <f t="shared" si="537"/>
        <v>52</v>
      </c>
      <c r="E11479" s="136">
        <f t="shared" si="536"/>
        <v>22</v>
      </c>
      <c r="F11479" s="137" t="s">
        <v>24</v>
      </c>
      <c r="G11479" s="128" t="str">
        <f>VLOOKUP(source[[#This Row],[lending_product_transform]],[3]Mapping!$B$4:$C$37,2,0)</f>
        <v>[Cake] - Cashloan</v>
      </c>
      <c r="H11479" s="128" t="str">
        <f>VLOOKUP(source[[#This Row],[lending_product_transform]],[3]Mapping!$B$3:$D$37,3,0)</f>
        <v>cashloan</v>
      </c>
      <c r="I11479" s="135">
        <v>915570000</v>
      </c>
    </row>
    <row r="11480" spans="1:9" x14ac:dyDescent="0.2">
      <c r="A11480" s="134">
        <v>46013</v>
      </c>
      <c r="B11480" s="135">
        <f>YEAR(source[[#This Row],[report_date]])</f>
        <v>2025</v>
      </c>
      <c r="C11480" s="128">
        <f t="shared" si="535"/>
        <v>12</v>
      </c>
      <c r="D11480" s="136">
        <f t="shared" si="537"/>
        <v>52</v>
      </c>
      <c r="E11480" s="136">
        <f t="shared" si="536"/>
        <v>22</v>
      </c>
      <c r="F11480" s="137" t="s">
        <v>24</v>
      </c>
      <c r="G11480" s="128" t="str">
        <f>VLOOKUP(source[[#This Row],[lending_product_transform]],[3]Mapping!$B$4:$C$37,2,0)</f>
        <v>[Cake] - Cashloan</v>
      </c>
      <c r="H11480" s="128" t="str">
        <f>VLOOKUP(source[[#This Row],[lending_product_transform]],[3]Mapping!$B$3:$D$37,3,0)</f>
        <v>cashloan</v>
      </c>
      <c r="I11480" s="135">
        <v>378432000</v>
      </c>
    </row>
    <row r="11481" spans="1:9" x14ac:dyDescent="0.2">
      <c r="A11481" s="134">
        <v>46013</v>
      </c>
      <c r="B11481" s="135">
        <f>YEAR(source[[#This Row],[report_date]])</f>
        <v>2025</v>
      </c>
      <c r="C11481" s="128">
        <f t="shared" si="535"/>
        <v>12</v>
      </c>
      <c r="D11481" s="136">
        <f t="shared" si="537"/>
        <v>52</v>
      </c>
      <c r="E11481" s="136">
        <f t="shared" si="536"/>
        <v>22</v>
      </c>
      <c r="F11481" s="137" t="s">
        <v>24</v>
      </c>
      <c r="G11481" s="128" t="str">
        <f>VLOOKUP(source[[#This Row],[lending_product_transform]],[3]Mapping!$B$4:$C$37,2,0)</f>
        <v>[Cake] - Cashloan</v>
      </c>
      <c r="H11481" s="128" t="str">
        <f>VLOOKUP(source[[#This Row],[lending_product_transform]],[3]Mapping!$B$3:$D$37,3,0)</f>
        <v>cashloan</v>
      </c>
      <c r="I11481" s="135">
        <v>406056537</v>
      </c>
    </row>
    <row r="11482" spans="1:9" x14ac:dyDescent="0.2">
      <c r="A11482" s="134">
        <v>46013</v>
      </c>
      <c r="B11482" s="135">
        <f>YEAR(source[[#This Row],[report_date]])</f>
        <v>2025</v>
      </c>
      <c r="C11482" s="128">
        <f t="shared" si="535"/>
        <v>12</v>
      </c>
      <c r="D11482" s="136">
        <f t="shared" si="537"/>
        <v>52</v>
      </c>
      <c r="E11482" s="136">
        <f t="shared" si="536"/>
        <v>22</v>
      </c>
      <c r="F11482" s="137" t="s">
        <v>24</v>
      </c>
      <c r="G11482" s="128" t="str">
        <f>VLOOKUP(source[[#This Row],[lending_product_transform]],[3]Mapping!$B$4:$C$37,2,0)</f>
        <v>[Cake] - Cashloan</v>
      </c>
      <c r="H11482" s="128" t="str">
        <f>VLOOKUP(source[[#This Row],[lending_product_transform]],[3]Mapping!$B$3:$D$37,3,0)</f>
        <v>cashloan</v>
      </c>
      <c r="I11482" s="135">
        <v>3711280000</v>
      </c>
    </row>
    <row r="11483" spans="1:9" x14ac:dyDescent="0.2">
      <c r="A11483" s="134">
        <v>46013</v>
      </c>
      <c r="B11483" s="135">
        <f>YEAR(source[[#This Row],[report_date]])</f>
        <v>2025</v>
      </c>
      <c r="C11483" s="128">
        <f t="shared" si="535"/>
        <v>12</v>
      </c>
      <c r="D11483" s="136">
        <f t="shared" si="537"/>
        <v>52</v>
      </c>
      <c r="E11483" s="136">
        <f t="shared" si="536"/>
        <v>22</v>
      </c>
      <c r="F11483" s="137" t="s">
        <v>24</v>
      </c>
      <c r="G11483" s="128" t="str">
        <f>VLOOKUP(source[[#This Row],[lending_product_transform]],[3]Mapping!$B$4:$C$37,2,0)</f>
        <v>[Cake] - Cashloan</v>
      </c>
      <c r="H11483" s="128" t="str">
        <f>VLOOKUP(source[[#This Row],[lending_product_transform]],[3]Mapping!$B$3:$D$37,3,0)</f>
        <v>cashloan</v>
      </c>
      <c r="I11483" s="135">
        <v>4320000</v>
      </c>
    </row>
    <row r="11484" spans="1:9" x14ac:dyDescent="0.2">
      <c r="A11484" s="134">
        <v>46014</v>
      </c>
      <c r="B11484" s="135">
        <f>YEAR(source[[#This Row],[report_date]])</f>
        <v>2025</v>
      </c>
      <c r="C11484" s="128">
        <f t="shared" si="535"/>
        <v>12</v>
      </c>
      <c r="D11484" s="136">
        <f t="shared" si="537"/>
        <v>52</v>
      </c>
      <c r="E11484" s="136">
        <f t="shared" si="536"/>
        <v>23</v>
      </c>
      <c r="F11484" s="137" t="s">
        <v>24</v>
      </c>
      <c r="G11484" s="128" t="str">
        <f>VLOOKUP(source[[#This Row],[lending_product_transform]],[3]Mapping!$B$4:$C$37,2,0)</f>
        <v>[Cake] - Cashloan</v>
      </c>
      <c r="H11484" s="128" t="str">
        <f>VLOOKUP(source[[#This Row],[lending_product_transform]],[3]Mapping!$B$3:$D$37,3,0)</f>
        <v>cashloan</v>
      </c>
      <c r="I11484" s="135">
        <v>175300000</v>
      </c>
    </row>
    <row r="11485" spans="1:9" x14ac:dyDescent="0.2">
      <c r="A11485" s="134">
        <v>46014</v>
      </c>
      <c r="B11485" s="135">
        <f>YEAR(source[[#This Row],[report_date]])</f>
        <v>2025</v>
      </c>
      <c r="C11485" s="128">
        <f t="shared" si="535"/>
        <v>12</v>
      </c>
      <c r="D11485" s="136">
        <f t="shared" si="537"/>
        <v>52</v>
      </c>
      <c r="E11485" s="136">
        <f t="shared" si="536"/>
        <v>23</v>
      </c>
      <c r="F11485" s="137" t="s">
        <v>24</v>
      </c>
      <c r="G11485" s="128" t="str">
        <f>VLOOKUP(source[[#This Row],[lending_product_transform]],[3]Mapping!$B$4:$C$37,2,0)</f>
        <v>[Cake] - Cashloan</v>
      </c>
      <c r="H11485" s="128" t="str">
        <f>VLOOKUP(source[[#This Row],[lending_product_transform]],[3]Mapping!$B$3:$D$37,3,0)</f>
        <v>cashloan</v>
      </c>
      <c r="I11485" s="135">
        <v>366480434</v>
      </c>
    </row>
    <row r="11486" spans="1:9" x14ac:dyDescent="0.2">
      <c r="A11486" s="134">
        <v>46014</v>
      </c>
      <c r="B11486" s="135">
        <f>YEAR(source[[#This Row],[report_date]])</f>
        <v>2025</v>
      </c>
      <c r="C11486" s="128">
        <f t="shared" si="535"/>
        <v>12</v>
      </c>
      <c r="D11486" s="136">
        <f t="shared" si="537"/>
        <v>52</v>
      </c>
      <c r="E11486" s="136">
        <f t="shared" si="536"/>
        <v>23</v>
      </c>
      <c r="F11486" s="137" t="s">
        <v>24</v>
      </c>
      <c r="G11486" s="128" t="str">
        <f>VLOOKUP(source[[#This Row],[lending_product_transform]],[3]Mapping!$B$4:$C$37,2,0)</f>
        <v>[Cake] - Cashloan</v>
      </c>
      <c r="H11486" s="128" t="str">
        <f>VLOOKUP(source[[#This Row],[lending_product_transform]],[3]Mapping!$B$3:$D$37,3,0)</f>
        <v>cashloan</v>
      </c>
      <c r="I11486" s="135">
        <v>16064700000</v>
      </c>
    </row>
    <row r="11487" spans="1:9" x14ac:dyDescent="0.2">
      <c r="A11487" s="134">
        <v>46014</v>
      </c>
      <c r="B11487" s="135">
        <f>YEAR(source[[#This Row],[report_date]])</f>
        <v>2025</v>
      </c>
      <c r="C11487" s="128">
        <f t="shared" si="535"/>
        <v>12</v>
      </c>
      <c r="D11487" s="136">
        <f t="shared" si="537"/>
        <v>52</v>
      </c>
      <c r="E11487" s="136">
        <f t="shared" si="536"/>
        <v>23</v>
      </c>
      <c r="F11487" s="137" t="s">
        <v>24</v>
      </c>
      <c r="G11487" s="128" t="str">
        <f>VLOOKUP(source[[#This Row],[lending_product_transform]],[3]Mapping!$B$4:$C$37,2,0)</f>
        <v>[Cake] - Cashloan</v>
      </c>
      <c r="H11487" s="128" t="str">
        <f>VLOOKUP(source[[#This Row],[lending_product_transform]],[3]Mapping!$B$3:$D$37,3,0)</f>
        <v>cashloan</v>
      </c>
      <c r="I11487" s="135">
        <v>1965745576</v>
      </c>
    </row>
    <row r="11488" spans="1:9" x14ac:dyDescent="0.2">
      <c r="A11488" s="134">
        <v>46014</v>
      </c>
      <c r="B11488" s="135">
        <f>YEAR(source[[#This Row],[report_date]])</f>
        <v>2025</v>
      </c>
      <c r="C11488" s="128">
        <f t="shared" si="535"/>
        <v>12</v>
      </c>
      <c r="D11488" s="136">
        <f t="shared" si="537"/>
        <v>52</v>
      </c>
      <c r="E11488" s="136">
        <f t="shared" si="536"/>
        <v>23</v>
      </c>
      <c r="F11488" s="137" t="s">
        <v>24</v>
      </c>
      <c r="G11488" s="128" t="str">
        <f>VLOOKUP(source[[#This Row],[lending_product_transform]],[3]Mapping!$B$4:$C$37,2,0)</f>
        <v>[Cake] - Cashloan</v>
      </c>
      <c r="H11488" s="128" t="str">
        <f>VLOOKUP(source[[#This Row],[lending_product_transform]],[3]Mapping!$B$3:$D$37,3,0)</f>
        <v>cashloan</v>
      </c>
      <c r="I11488" s="135">
        <v>12635460000</v>
      </c>
    </row>
    <row r="11489" spans="1:9" x14ac:dyDescent="0.2">
      <c r="A11489" s="134">
        <v>46014</v>
      </c>
      <c r="B11489" s="135">
        <f>YEAR(source[[#This Row],[report_date]])</f>
        <v>2025</v>
      </c>
      <c r="C11489" s="128">
        <f t="shared" si="535"/>
        <v>12</v>
      </c>
      <c r="D11489" s="136">
        <f t="shared" si="537"/>
        <v>52</v>
      </c>
      <c r="E11489" s="136">
        <f t="shared" si="536"/>
        <v>23</v>
      </c>
      <c r="F11489" s="137" t="s">
        <v>24</v>
      </c>
      <c r="G11489" s="128" t="str">
        <f>VLOOKUP(source[[#This Row],[lending_product_transform]],[3]Mapping!$B$4:$C$37,2,0)</f>
        <v>[Cake] - Cashloan</v>
      </c>
      <c r="H11489" s="128" t="str">
        <f>VLOOKUP(source[[#This Row],[lending_product_transform]],[3]Mapping!$B$3:$D$37,3,0)</f>
        <v>cashloan</v>
      </c>
      <c r="I11489" s="135">
        <v>14574360</v>
      </c>
    </row>
    <row r="11490" spans="1:9" x14ac:dyDescent="0.2">
      <c r="A11490" s="134">
        <v>46014</v>
      </c>
      <c r="B11490" s="135">
        <f>YEAR(source[[#This Row],[report_date]])</f>
        <v>2025</v>
      </c>
      <c r="C11490" s="128">
        <f t="shared" si="535"/>
        <v>12</v>
      </c>
      <c r="D11490" s="136">
        <f t="shared" si="537"/>
        <v>52</v>
      </c>
      <c r="E11490" s="136">
        <f t="shared" si="536"/>
        <v>23</v>
      </c>
      <c r="F11490" s="137" t="s">
        <v>24</v>
      </c>
      <c r="G11490" s="128" t="str">
        <f>VLOOKUP(source[[#This Row],[lending_product_transform]],[3]Mapping!$B$4:$C$37,2,0)</f>
        <v>[Cake] - Cashloan</v>
      </c>
      <c r="H11490" s="128" t="str">
        <f>VLOOKUP(source[[#This Row],[lending_product_transform]],[3]Mapping!$B$3:$D$37,3,0)</f>
        <v>cashloan</v>
      </c>
      <c r="I11490" s="135">
        <v>90000000</v>
      </c>
    </row>
    <row r="11491" spans="1:9" x14ac:dyDescent="0.2">
      <c r="A11491" s="134">
        <v>46014</v>
      </c>
      <c r="B11491" s="135">
        <f>YEAR(source[[#This Row],[report_date]])</f>
        <v>2025</v>
      </c>
      <c r="C11491" s="128">
        <f t="shared" si="535"/>
        <v>12</v>
      </c>
      <c r="D11491" s="136">
        <f t="shared" si="537"/>
        <v>52</v>
      </c>
      <c r="E11491" s="136">
        <f t="shared" si="536"/>
        <v>23</v>
      </c>
      <c r="F11491" s="137" t="s">
        <v>24</v>
      </c>
      <c r="G11491" s="128" t="str">
        <f>VLOOKUP(source[[#This Row],[lending_product_transform]],[3]Mapping!$B$4:$C$37,2,0)</f>
        <v>[Cake] - Cashloan</v>
      </c>
      <c r="H11491" s="128" t="str">
        <f>VLOOKUP(source[[#This Row],[lending_product_transform]],[3]Mapping!$B$3:$D$37,3,0)</f>
        <v>cashloan</v>
      </c>
      <c r="I11491" s="135">
        <v>3157270000</v>
      </c>
    </row>
    <row r="11492" spans="1:9" x14ac:dyDescent="0.2">
      <c r="A11492" s="134">
        <v>46014</v>
      </c>
      <c r="B11492" s="135">
        <f>YEAR(source[[#This Row],[report_date]])</f>
        <v>2025</v>
      </c>
      <c r="C11492" s="128">
        <f t="shared" si="535"/>
        <v>12</v>
      </c>
      <c r="D11492" s="136">
        <f t="shared" si="537"/>
        <v>52</v>
      </c>
      <c r="E11492" s="136">
        <f t="shared" si="536"/>
        <v>23</v>
      </c>
      <c r="F11492" s="137" t="s">
        <v>24</v>
      </c>
      <c r="G11492" s="128" t="str">
        <f>VLOOKUP(source[[#This Row],[lending_product_transform]],[3]Mapping!$B$4:$C$37,2,0)</f>
        <v>[Cake] - Cashloan</v>
      </c>
      <c r="H11492" s="128" t="str">
        <f>VLOOKUP(source[[#This Row],[lending_product_transform]],[3]Mapping!$B$3:$D$37,3,0)</f>
        <v>cashloan</v>
      </c>
      <c r="I11492" s="135">
        <v>49721340</v>
      </c>
    </row>
    <row r="11493" spans="1:9" x14ac:dyDescent="0.2">
      <c r="A11493" s="134">
        <v>46014</v>
      </c>
      <c r="B11493" s="135">
        <f>YEAR(source[[#This Row],[report_date]])</f>
        <v>2025</v>
      </c>
      <c r="C11493" s="128">
        <f t="shared" si="535"/>
        <v>12</v>
      </c>
      <c r="D11493" s="136">
        <f t="shared" si="537"/>
        <v>52</v>
      </c>
      <c r="E11493" s="136">
        <f t="shared" si="536"/>
        <v>23</v>
      </c>
      <c r="F11493" s="137" t="s">
        <v>24</v>
      </c>
      <c r="G11493" s="128" t="str">
        <f>VLOOKUP(source[[#This Row],[lending_product_transform]],[3]Mapping!$B$4:$C$37,2,0)</f>
        <v>[Cake] - Cashloan</v>
      </c>
      <c r="H11493" s="128" t="str">
        <f>VLOOKUP(source[[#This Row],[lending_product_transform]],[3]Mapping!$B$3:$D$37,3,0)</f>
        <v>cashloan</v>
      </c>
      <c r="I11493" s="135">
        <v>701554834</v>
      </c>
    </row>
    <row r="11494" spans="1:9" x14ac:dyDescent="0.2">
      <c r="A11494" s="134">
        <v>46014</v>
      </c>
      <c r="B11494" s="135">
        <f>YEAR(source[[#This Row],[report_date]])</f>
        <v>2025</v>
      </c>
      <c r="C11494" s="128">
        <f t="shared" si="535"/>
        <v>12</v>
      </c>
      <c r="D11494" s="136">
        <f t="shared" si="537"/>
        <v>52</v>
      </c>
      <c r="E11494" s="136">
        <f t="shared" si="536"/>
        <v>23</v>
      </c>
      <c r="F11494" s="137" t="s">
        <v>24</v>
      </c>
      <c r="G11494" s="128" t="str">
        <f>VLOOKUP(source[[#This Row],[lending_product_transform]],[3]Mapping!$B$4:$C$37,2,0)</f>
        <v>[Cake] - Cashloan</v>
      </c>
      <c r="H11494" s="128" t="str">
        <f>VLOOKUP(source[[#This Row],[lending_product_transform]],[3]Mapping!$B$3:$D$37,3,0)</f>
        <v>cashloan</v>
      </c>
      <c r="I11494" s="135">
        <v>0</v>
      </c>
    </row>
    <row r="11495" spans="1:9" x14ac:dyDescent="0.2">
      <c r="A11495" s="134">
        <v>46014</v>
      </c>
      <c r="B11495" s="135">
        <f>YEAR(source[[#This Row],[report_date]])</f>
        <v>2025</v>
      </c>
      <c r="C11495" s="128">
        <f t="shared" si="535"/>
        <v>12</v>
      </c>
      <c r="D11495" s="136">
        <f t="shared" si="537"/>
        <v>52</v>
      </c>
      <c r="E11495" s="136">
        <f t="shared" si="536"/>
        <v>23</v>
      </c>
      <c r="F11495" s="137" t="s">
        <v>24</v>
      </c>
      <c r="G11495" s="128" t="str">
        <f>VLOOKUP(source[[#This Row],[lending_product_transform]],[3]Mapping!$B$4:$C$37,2,0)</f>
        <v>[Cake] - Cashloan</v>
      </c>
      <c r="H11495" s="128" t="str">
        <f>VLOOKUP(source[[#This Row],[lending_product_transform]],[3]Mapping!$B$3:$D$37,3,0)</f>
        <v>cashloan</v>
      </c>
      <c r="I11495" s="135">
        <v>616300000</v>
      </c>
    </row>
    <row r="11496" spans="1:9" x14ac:dyDescent="0.2">
      <c r="A11496" s="134">
        <v>46014</v>
      </c>
      <c r="B11496" s="135">
        <f>YEAR(source[[#This Row],[report_date]])</f>
        <v>2025</v>
      </c>
      <c r="C11496" s="128">
        <f t="shared" si="535"/>
        <v>12</v>
      </c>
      <c r="D11496" s="136">
        <f t="shared" si="537"/>
        <v>52</v>
      </c>
      <c r="E11496" s="136">
        <f t="shared" si="536"/>
        <v>23</v>
      </c>
      <c r="F11496" s="137" t="s">
        <v>24</v>
      </c>
      <c r="G11496" s="128" t="str">
        <f>VLOOKUP(source[[#This Row],[lending_product_transform]],[3]Mapping!$B$4:$C$37,2,0)</f>
        <v>[Cake] - Cashloan</v>
      </c>
      <c r="H11496" s="128" t="str">
        <f>VLOOKUP(source[[#This Row],[lending_product_transform]],[3]Mapping!$B$3:$D$37,3,0)</f>
        <v>cashloan</v>
      </c>
      <c r="I11496" s="135">
        <v>18060490000</v>
      </c>
    </row>
    <row r="11497" spans="1:9" x14ac:dyDescent="0.2">
      <c r="A11497" s="134">
        <v>46014</v>
      </c>
      <c r="B11497" s="135">
        <f>YEAR(source[[#This Row],[report_date]])</f>
        <v>2025</v>
      </c>
      <c r="C11497" s="128">
        <f t="shared" si="535"/>
        <v>12</v>
      </c>
      <c r="D11497" s="136">
        <f t="shared" si="537"/>
        <v>52</v>
      </c>
      <c r="E11497" s="136">
        <f t="shared" si="536"/>
        <v>23</v>
      </c>
      <c r="F11497" s="137" t="s">
        <v>24</v>
      </c>
      <c r="G11497" s="128" t="str">
        <f>VLOOKUP(source[[#This Row],[lending_product_transform]],[3]Mapping!$B$4:$C$37,2,0)</f>
        <v>[Cake] - Cashloan</v>
      </c>
      <c r="H11497" s="128" t="str">
        <f>VLOOKUP(source[[#This Row],[lending_product_transform]],[3]Mapping!$B$3:$D$37,3,0)</f>
        <v>cashloan</v>
      </c>
      <c r="I11497" s="135">
        <v>0</v>
      </c>
    </row>
    <row r="11498" spans="1:9" x14ac:dyDescent="0.2">
      <c r="A11498" s="134">
        <v>46014</v>
      </c>
      <c r="B11498" s="135">
        <f>YEAR(source[[#This Row],[report_date]])</f>
        <v>2025</v>
      </c>
      <c r="C11498" s="128">
        <f t="shared" si="535"/>
        <v>12</v>
      </c>
      <c r="D11498" s="136">
        <f t="shared" si="537"/>
        <v>52</v>
      </c>
      <c r="E11498" s="136">
        <f t="shared" si="536"/>
        <v>23</v>
      </c>
      <c r="F11498" s="137" t="s">
        <v>24</v>
      </c>
      <c r="G11498" s="128" t="str">
        <f>VLOOKUP(source[[#This Row],[lending_product_transform]],[3]Mapping!$B$4:$C$37,2,0)</f>
        <v>[Cake] - Cashloan</v>
      </c>
      <c r="H11498" s="128" t="str">
        <f>VLOOKUP(source[[#This Row],[lending_product_transform]],[3]Mapping!$B$3:$D$37,3,0)</f>
        <v>cashloan</v>
      </c>
      <c r="I11498" s="135">
        <v>0</v>
      </c>
    </row>
    <row r="11499" spans="1:9" x14ac:dyDescent="0.2">
      <c r="A11499" s="134">
        <v>46014</v>
      </c>
      <c r="B11499" s="135">
        <f>YEAR(source[[#This Row],[report_date]])</f>
        <v>2025</v>
      </c>
      <c r="C11499" s="128">
        <f t="shared" si="535"/>
        <v>12</v>
      </c>
      <c r="D11499" s="136">
        <f t="shared" si="537"/>
        <v>52</v>
      </c>
      <c r="E11499" s="136">
        <f t="shared" si="536"/>
        <v>23</v>
      </c>
      <c r="F11499" s="137" t="s">
        <v>24</v>
      </c>
      <c r="G11499" s="128" t="str">
        <f>VLOOKUP(source[[#This Row],[lending_product_transform]],[3]Mapping!$B$4:$C$37,2,0)</f>
        <v>[Cake] - Cashloan</v>
      </c>
      <c r="H11499" s="128" t="str">
        <f>VLOOKUP(source[[#This Row],[lending_product_transform]],[3]Mapping!$B$3:$D$37,3,0)</f>
        <v>cashloan</v>
      </c>
      <c r="I11499" s="135">
        <v>0</v>
      </c>
    </row>
    <row r="11500" spans="1:9" x14ac:dyDescent="0.2">
      <c r="A11500" s="134">
        <v>46014</v>
      </c>
      <c r="B11500" s="135">
        <f>YEAR(source[[#This Row],[report_date]])</f>
        <v>2025</v>
      </c>
      <c r="C11500" s="128">
        <f t="shared" si="535"/>
        <v>12</v>
      </c>
      <c r="D11500" s="136">
        <f t="shared" si="537"/>
        <v>52</v>
      </c>
      <c r="E11500" s="136">
        <f t="shared" si="536"/>
        <v>23</v>
      </c>
      <c r="F11500" s="137" t="s">
        <v>24</v>
      </c>
      <c r="G11500" s="128" t="str">
        <f>VLOOKUP(source[[#This Row],[lending_product_transform]],[3]Mapping!$B$4:$C$37,2,0)</f>
        <v>[Cake] - Cashloan</v>
      </c>
      <c r="H11500" s="128" t="str">
        <f>VLOOKUP(source[[#This Row],[lending_product_transform]],[3]Mapping!$B$3:$D$37,3,0)</f>
        <v>cashloan</v>
      </c>
      <c r="I11500" s="135">
        <v>0</v>
      </c>
    </row>
    <row r="11501" spans="1:9" x14ac:dyDescent="0.2">
      <c r="A11501" s="134">
        <v>46014</v>
      </c>
      <c r="B11501" s="135">
        <f>YEAR(source[[#This Row],[report_date]])</f>
        <v>2025</v>
      </c>
      <c r="C11501" s="128">
        <f t="shared" si="535"/>
        <v>12</v>
      </c>
      <c r="D11501" s="136">
        <f t="shared" si="537"/>
        <v>52</v>
      </c>
      <c r="E11501" s="136">
        <f t="shared" si="536"/>
        <v>23</v>
      </c>
      <c r="F11501" s="137" t="s">
        <v>24</v>
      </c>
      <c r="G11501" s="128" t="str">
        <f>VLOOKUP(source[[#This Row],[lending_product_transform]],[3]Mapping!$B$4:$C$37,2,0)</f>
        <v>[Cake] - Cashloan</v>
      </c>
      <c r="H11501" s="128" t="str">
        <f>VLOOKUP(source[[#This Row],[lending_product_transform]],[3]Mapping!$B$3:$D$37,3,0)</f>
        <v>cashloan</v>
      </c>
      <c r="I11501" s="135">
        <v>8891640000</v>
      </c>
    </row>
    <row r="11502" spans="1:9" x14ac:dyDescent="0.2">
      <c r="A11502" s="134">
        <v>46014</v>
      </c>
      <c r="B11502" s="135">
        <f>YEAR(source[[#This Row],[report_date]])</f>
        <v>2025</v>
      </c>
      <c r="C11502" s="128">
        <f t="shared" si="535"/>
        <v>12</v>
      </c>
      <c r="D11502" s="136">
        <f t="shared" si="537"/>
        <v>52</v>
      </c>
      <c r="E11502" s="136">
        <f t="shared" si="536"/>
        <v>23</v>
      </c>
      <c r="F11502" s="137" t="s">
        <v>24</v>
      </c>
      <c r="G11502" s="128" t="str">
        <f>VLOOKUP(source[[#This Row],[lending_product_transform]],[3]Mapping!$B$4:$C$37,2,0)</f>
        <v>[Cake] - Cashloan</v>
      </c>
      <c r="H11502" s="128" t="str">
        <f>VLOOKUP(source[[#This Row],[lending_product_transform]],[3]Mapping!$B$3:$D$37,3,0)</f>
        <v>cashloan</v>
      </c>
      <c r="I11502" s="135">
        <v>157986170</v>
      </c>
    </row>
    <row r="11503" spans="1:9" x14ac:dyDescent="0.2">
      <c r="A11503" s="134">
        <v>46014</v>
      </c>
      <c r="B11503" s="135">
        <f>YEAR(source[[#This Row],[report_date]])</f>
        <v>2025</v>
      </c>
      <c r="C11503" s="128">
        <f t="shared" si="535"/>
        <v>12</v>
      </c>
      <c r="D11503" s="136">
        <f t="shared" si="537"/>
        <v>52</v>
      </c>
      <c r="E11503" s="136">
        <f t="shared" si="536"/>
        <v>23</v>
      </c>
      <c r="F11503" s="137" t="s">
        <v>24</v>
      </c>
      <c r="G11503" s="128" t="str">
        <f>VLOOKUP(source[[#This Row],[lending_product_transform]],[3]Mapping!$B$4:$C$37,2,0)</f>
        <v>[Cake] - Cashloan</v>
      </c>
      <c r="H11503" s="128" t="str">
        <f>VLOOKUP(source[[#This Row],[lending_product_transform]],[3]Mapping!$B$3:$D$37,3,0)</f>
        <v>cashloan</v>
      </c>
      <c r="I11503" s="135">
        <v>21000000</v>
      </c>
    </row>
    <row r="11504" spans="1:9" x14ac:dyDescent="0.2">
      <c r="A11504" s="134">
        <v>46014</v>
      </c>
      <c r="B11504" s="135">
        <f>YEAR(source[[#This Row],[report_date]])</f>
        <v>2025</v>
      </c>
      <c r="C11504" s="128">
        <f t="shared" si="535"/>
        <v>12</v>
      </c>
      <c r="D11504" s="136">
        <f t="shared" si="537"/>
        <v>52</v>
      </c>
      <c r="E11504" s="136">
        <f t="shared" si="536"/>
        <v>23</v>
      </c>
      <c r="F11504" s="137" t="s">
        <v>24</v>
      </c>
      <c r="G11504" s="128" t="str">
        <f>VLOOKUP(source[[#This Row],[lending_product_transform]],[3]Mapping!$B$4:$C$37,2,0)</f>
        <v>[Cake] - Cashloan</v>
      </c>
      <c r="H11504" s="128" t="str">
        <f>VLOOKUP(source[[#This Row],[lending_product_transform]],[3]Mapping!$B$3:$D$37,3,0)</f>
        <v>cashloan</v>
      </c>
      <c r="I11504" s="135">
        <v>45000000</v>
      </c>
    </row>
    <row r="11505" spans="1:9" x14ac:dyDescent="0.2">
      <c r="A11505" s="134">
        <v>46014</v>
      </c>
      <c r="B11505" s="135">
        <f>YEAR(source[[#This Row],[report_date]])</f>
        <v>2025</v>
      </c>
      <c r="C11505" s="128">
        <f t="shared" si="535"/>
        <v>12</v>
      </c>
      <c r="D11505" s="136">
        <f t="shared" si="537"/>
        <v>52</v>
      </c>
      <c r="E11505" s="136">
        <f t="shared" si="536"/>
        <v>23</v>
      </c>
      <c r="F11505" s="137" t="s">
        <v>24</v>
      </c>
      <c r="G11505" s="128" t="str">
        <f>VLOOKUP(source[[#This Row],[lending_product_transform]],[3]Mapping!$B$4:$C$37,2,0)</f>
        <v>[Cake] - Cashloan</v>
      </c>
      <c r="H11505" s="128" t="str">
        <f>VLOOKUP(source[[#This Row],[lending_product_transform]],[3]Mapping!$B$3:$D$37,3,0)</f>
        <v>cashloan</v>
      </c>
      <c r="I11505" s="135">
        <v>832150000</v>
      </c>
    </row>
    <row r="11506" spans="1:9" x14ac:dyDescent="0.2">
      <c r="A11506" s="134">
        <v>46014</v>
      </c>
      <c r="B11506" s="135">
        <f>YEAR(source[[#This Row],[report_date]])</f>
        <v>2025</v>
      </c>
      <c r="C11506" s="128">
        <f t="shared" si="535"/>
        <v>12</v>
      </c>
      <c r="D11506" s="136">
        <f t="shared" si="537"/>
        <v>52</v>
      </c>
      <c r="E11506" s="136">
        <f t="shared" si="536"/>
        <v>23</v>
      </c>
      <c r="F11506" s="137" t="s">
        <v>24</v>
      </c>
      <c r="G11506" s="128" t="str">
        <f>VLOOKUP(source[[#This Row],[lending_product_transform]],[3]Mapping!$B$4:$C$37,2,0)</f>
        <v>[Cake] - Cashloan</v>
      </c>
      <c r="H11506" s="128" t="str">
        <f>VLOOKUP(source[[#This Row],[lending_product_transform]],[3]Mapping!$B$3:$D$37,3,0)</f>
        <v>cashloan</v>
      </c>
      <c r="I11506" s="135">
        <v>364176000</v>
      </c>
    </row>
    <row r="11507" spans="1:9" x14ac:dyDescent="0.2">
      <c r="A11507" s="134">
        <v>46014</v>
      </c>
      <c r="B11507" s="135">
        <f>YEAR(source[[#This Row],[report_date]])</f>
        <v>2025</v>
      </c>
      <c r="C11507" s="128">
        <f t="shared" si="535"/>
        <v>12</v>
      </c>
      <c r="D11507" s="136">
        <f t="shared" si="537"/>
        <v>52</v>
      </c>
      <c r="E11507" s="136">
        <f t="shared" si="536"/>
        <v>23</v>
      </c>
      <c r="F11507" s="137" t="s">
        <v>24</v>
      </c>
      <c r="G11507" s="128" t="str">
        <f>VLOOKUP(source[[#This Row],[lending_product_transform]],[3]Mapping!$B$4:$C$37,2,0)</f>
        <v>[Cake] - Cashloan</v>
      </c>
      <c r="H11507" s="128" t="str">
        <f>VLOOKUP(source[[#This Row],[lending_product_transform]],[3]Mapping!$B$3:$D$37,3,0)</f>
        <v>cashloan</v>
      </c>
      <c r="I11507" s="135">
        <v>414689996</v>
      </c>
    </row>
    <row r="11508" spans="1:9" x14ac:dyDescent="0.2">
      <c r="A11508" s="134">
        <v>46014</v>
      </c>
      <c r="B11508" s="135">
        <f>YEAR(source[[#This Row],[report_date]])</f>
        <v>2025</v>
      </c>
      <c r="C11508" s="128">
        <f t="shared" si="535"/>
        <v>12</v>
      </c>
      <c r="D11508" s="136">
        <f t="shared" si="537"/>
        <v>52</v>
      </c>
      <c r="E11508" s="136">
        <f t="shared" si="536"/>
        <v>23</v>
      </c>
      <c r="F11508" s="137" t="s">
        <v>24</v>
      </c>
      <c r="G11508" s="128" t="str">
        <f>VLOOKUP(source[[#This Row],[lending_product_transform]],[3]Mapping!$B$4:$C$37,2,0)</f>
        <v>[Cake] - Cashloan</v>
      </c>
      <c r="H11508" s="128" t="str">
        <f>VLOOKUP(source[[#This Row],[lending_product_transform]],[3]Mapping!$B$3:$D$37,3,0)</f>
        <v>cashloan</v>
      </c>
      <c r="I11508" s="135">
        <v>3785410000</v>
      </c>
    </row>
    <row r="11509" spans="1:9" x14ac:dyDescent="0.2">
      <c r="A11509" s="134">
        <v>46014</v>
      </c>
      <c r="B11509" s="135">
        <f>YEAR(source[[#This Row],[report_date]])</f>
        <v>2025</v>
      </c>
      <c r="C11509" s="128">
        <f t="shared" si="535"/>
        <v>12</v>
      </c>
      <c r="D11509" s="136">
        <f t="shared" si="537"/>
        <v>52</v>
      </c>
      <c r="E11509" s="136">
        <f t="shared" si="536"/>
        <v>23</v>
      </c>
      <c r="F11509" s="137" t="s">
        <v>24</v>
      </c>
      <c r="G11509" s="128" t="str">
        <f>VLOOKUP(source[[#This Row],[lending_product_transform]],[3]Mapping!$B$4:$C$37,2,0)</f>
        <v>[Cake] - Cashloan</v>
      </c>
      <c r="H11509" s="128" t="str">
        <f>VLOOKUP(source[[#This Row],[lending_product_transform]],[3]Mapping!$B$3:$D$37,3,0)</f>
        <v>cashloan</v>
      </c>
      <c r="I11509" s="135">
        <v>0</v>
      </c>
    </row>
    <row r="11510" spans="1:9" x14ac:dyDescent="0.2">
      <c r="A11510" s="134">
        <v>46015</v>
      </c>
      <c r="B11510" s="135">
        <f>YEAR(source[[#This Row],[report_date]])</f>
        <v>2025</v>
      </c>
      <c r="C11510" s="128">
        <f t="shared" ref="C11510:C11573" si="538">MONTH(A11510)</f>
        <v>12</v>
      </c>
      <c r="D11510" s="136">
        <f t="shared" si="537"/>
        <v>52</v>
      </c>
      <c r="E11510" s="136">
        <f t="shared" ref="E11510:E11573" si="539">DAY(A11510)</f>
        <v>24</v>
      </c>
      <c r="F11510" s="137" t="s">
        <v>24</v>
      </c>
      <c r="G11510" s="128" t="str">
        <f>VLOOKUP(source[[#This Row],[lending_product_transform]],[3]Mapping!$B$4:$C$37,2,0)</f>
        <v>[Cake] - Cashloan</v>
      </c>
      <c r="H11510" s="128" t="str">
        <f>VLOOKUP(source[[#This Row],[lending_product_transform]],[3]Mapping!$B$3:$D$37,3,0)</f>
        <v>cashloan</v>
      </c>
      <c r="I11510" s="135">
        <v>938250000</v>
      </c>
    </row>
    <row r="11511" spans="1:9" x14ac:dyDescent="0.2">
      <c r="A11511" s="134">
        <v>46015</v>
      </c>
      <c r="B11511" s="135">
        <f>YEAR(source[[#This Row],[report_date]])</f>
        <v>2025</v>
      </c>
      <c r="C11511" s="128">
        <f t="shared" si="538"/>
        <v>12</v>
      </c>
      <c r="D11511" s="136">
        <f t="shared" si="537"/>
        <v>52</v>
      </c>
      <c r="E11511" s="136">
        <f t="shared" si="539"/>
        <v>24</v>
      </c>
      <c r="F11511" s="137" t="s">
        <v>24</v>
      </c>
      <c r="G11511" s="128" t="str">
        <f>VLOOKUP(source[[#This Row],[lending_product_transform]],[3]Mapping!$B$4:$C$37,2,0)</f>
        <v>[Cake] - Cashloan</v>
      </c>
      <c r="H11511" s="128" t="str">
        <f>VLOOKUP(source[[#This Row],[lending_product_transform]],[3]Mapping!$B$3:$D$37,3,0)</f>
        <v>cashloan</v>
      </c>
      <c r="I11511" s="135">
        <v>409990424</v>
      </c>
    </row>
    <row r="11512" spans="1:9" x14ac:dyDescent="0.2">
      <c r="A11512" s="134">
        <v>46015</v>
      </c>
      <c r="B11512" s="135">
        <f>YEAR(source[[#This Row],[report_date]])</f>
        <v>2025</v>
      </c>
      <c r="C11512" s="128">
        <f t="shared" si="538"/>
        <v>12</v>
      </c>
      <c r="D11512" s="136">
        <f t="shared" si="537"/>
        <v>52</v>
      </c>
      <c r="E11512" s="136">
        <f t="shared" si="539"/>
        <v>24</v>
      </c>
      <c r="F11512" s="137" t="s">
        <v>24</v>
      </c>
      <c r="G11512" s="128" t="str">
        <f>VLOOKUP(source[[#This Row],[lending_product_transform]],[3]Mapping!$B$4:$C$37,2,0)</f>
        <v>[Cake] - Cashloan</v>
      </c>
      <c r="H11512" s="128" t="str">
        <f>VLOOKUP(source[[#This Row],[lending_product_transform]],[3]Mapping!$B$3:$D$37,3,0)</f>
        <v>cashloan</v>
      </c>
      <c r="I11512" s="135">
        <v>15470010000</v>
      </c>
    </row>
    <row r="11513" spans="1:9" x14ac:dyDescent="0.2">
      <c r="A11513" s="134">
        <v>46015</v>
      </c>
      <c r="B11513" s="135">
        <f>YEAR(source[[#This Row],[report_date]])</f>
        <v>2025</v>
      </c>
      <c r="C11513" s="128">
        <f t="shared" si="538"/>
        <v>12</v>
      </c>
      <c r="D11513" s="136">
        <f t="shared" si="537"/>
        <v>52</v>
      </c>
      <c r="E11513" s="136">
        <f t="shared" si="539"/>
        <v>24</v>
      </c>
      <c r="F11513" s="137" t="s">
        <v>24</v>
      </c>
      <c r="G11513" s="128" t="str">
        <f>VLOOKUP(source[[#This Row],[lending_product_transform]],[3]Mapping!$B$4:$C$37,2,0)</f>
        <v>[Cake] - Cashloan</v>
      </c>
      <c r="H11513" s="128" t="str">
        <f>VLOOKUP(source[[#This Row],[lending_product_transform]],[3]Mapping!$B$3:$D$37,3,0)</f>
        <v>cashloan</v>
      </c>
      <c r="I11513" s="135">
        <v>1996525977</v>
      </c>
    </row>
    <row r="11514" spans="1:9" x14ac:dyDescent="0.2">
      <c r="A11514" s="134">
        <v>46015</v>
      </c>
      <c r="B11514" s="135">
        <f>YEAR(source[[#This Row],[report_date]])</f>
        <v>2025</v>
      </c>
      <c r="C11514" s="128">
        <f t="shared" si="538"/>
        <v>12</v>
      </c>
      <c r="D11514" s="136">
        <f t="shared" si="537"/>
        <v>52</v>
      </c>
      <c r="E11514" s="136">
        <f t="shared" si="539"/>
        <v>24</v>
      </c>
      <c r="F11514" s="137" t="s">
        <v>24</v>
      </c>
      <c r="G11514" s="128" t="str">
        <f>VLOOKUP(source[[#This Row],[lending_product_transform]],[3]Mapping!$B$4:$C$37,2,0)</f>
        <v>[Cake] - Cashloan</v>
      </c>
      <c r="H11514" s="128" t="str">
        <f>VLOOKUP(source[[#This Row],[lending_product_transform]],[3]Mapping!$B$3:$D$37,3,0)</f>
        <v>cashloan</v>
      </c>
      <c r="I11514" s="135">
        <v>12849840000</v>
      </c>
    </row>
    <row r="11515" spans="1:9" x14ac:dyDescent="0.2">
      <c r="A11515" s="134">
        <v>46015</v>
      </c>
      <c r="B11515" s="135">
        <f>YEAR(source[[#This Row],[report_date]])</f>
        <v>2025</v>
      </c>
      <c r="C11515" s="128">
        <f t="shared" si="538"/>
        <v>12</v>
      </c>
      <c r="D11515" s="136">
        <f t="shared" si="537"/>
        <v>52</v>
      </c>
      <c r="E11515" s="136">
        <f t="shared" si="539"/>
        <v>24</v>
      </c>
      <c r="F11515" s="137" t="s">
        <v>24</v>
      </c>
      <c r="G11515" s="128" t="str">
        <f>VLOOKUP(source[[#This Row],[lending_product_transform]],[3]Mapping!$B$4:$C$37,2,0)</f>
        <v>[Cake] - Cashloan</v>
      </c>
      <c r="H11515" s="128" t="str">
        <f>VLOOKUP(source[[#This Row],[lending_product_transform]],[3]Mapping!$B$3:$D$37,3,0)</f>
        <v>cashloan</v>
      </c>
      <c r="I11515" s="135">
        <v>2129106</v>
      </c>
    </row>
    <row r="11516" spans="1:9" x14ac:dyDescent="0.2">
      <c r="A11516" s="134">
        <v>46015</v>
      </c>
      <c r="B11516" s="135">
        <f>YEAR(source[[#This Row],[report_date]])</f>
        <v>2025</v>
      </c>
      <c r="C11516" s="128">
        <f t="shared" si="538"/>
        <v>12</v>
      </c>
      <c r="D11516" s="136">
        <f t="shared" si="537"/>
        <v>52</v>
      </c>
      <c r="E11516" s="136">
        <f t="shared" si="539"/>
        <v>24</v>
      </c>
      <c r="F11516" s="137" t="s">
        <v>24</v>
      </c>
      <c r="G11516" s="128" t="str">
        <f>VLOOKUP(source[[#This Row],[lending_product_transform]],[3]Mapping!$B$4:$C$37,2,0)</f>
        <v>[Cake] - Cashloan</v>
      </c>
      <c r="H11516" s="128" t="str">
        <f>VLOOKUP(source[[#This Row],[lending_product_transform]],[3]Mapping!$B$3:$D$37,3,0)</f>
        <v>cashloan</v>
      </c>
      <c r="I11516" s="135">
        <v>90000000</v>
      </c>
    </row>
    <row r="11517" spans="1:9" x14ac:dyDescent="0.2">
      <c r="A11517" s="134">
        <v>46015</v>
      </c>
      <c r="B11517" s="135">
        <f>YEAR(source[[#This Row],[report_date]])</f>
        <v>2025</v>
      </c>
      <c r="C11517" s="128">
        <f t="shared" si="538"/>
        <v>12</v>
      </c>
      <c r="D11517" s="136">
        <f t="shared" si="537"/>
        <v>52</v>
      </c>
      <c r="E11517" s="136">
        <f t="shared" si="539"/>
        <v>24</v>
      </c>
      <c r="F11517" s="137" t="s">
        <v>24</v>
      </c>
      <c r="G11517" s="128" t="str">
        <f>VLOOKUP(source[[#This Row],[lending_product_transform]],[3]Mapping!$B$4:$C$37,2,0)</f>
        <v>[Cake] - Cashloan</v>
      </c>
      <c r="H11517" s="128" t="str">
        <f>VLOOKUP(source[[#This Row],[lending_product_transform]],[3]Mapping!$B$3:$D$37,3,0)</f>
        <v>cashloan</v>
      </c>
      <c r="I11517" s="135">
        <v>3596720000</v>
      </c>
    </row>
    <row r="11518" spans="1:9" x14ac:dyDescent="0.2">
      <c r="A11518" s="134">
        <v>46015</v>
      </c>
      <c r="B11518" s="135">
        <f>YEAR(source[[#This Row],[report_date]])</f>
        <v>2025</v>
      </c>
      <c r="C11518" s="128">
        <f t="shared" si="538"/>
        <v>12</v>
      </c>
      <c r="D11518" s="136">
        <f t="shared" si="537"/>
        <v>52</v>
      </c>
      <c r="E11518" s="136">
        <f t="shared" si="539"/>
        <v>24</v>
      </c>
      <c r="F11518" s="137" t="s">
        <v>24</v>
      </c>
      <c r="G11518" s="128" t="str">
        <f>VLOOKUP(source[[#This Row],[lending_product_transform]],[3]Mapping!$B$4:$C$37,2,0)</f>
        <v>[Cake] - Cashloan</v>
      </c>
      <c r="H11518" s="128" t="str">
        <f>VLOOKUP(source[[#This Row],[lending_product_transform]],[3]Mapping!$B$3:$D$37,3,0)</f>
        <v>cashloan</v>
      </c>
      <c r="I11518" s="135">
        <v>3294257</v>
      </c>
    </row>
    <row r="11519" spans="1:9" x14ac:dyDescent="0.2">
      <c r="A11519" s="134">
        <v>46015</v>
      </c>
      <c r="B11519" s="135">
        <f>YEAR(source[[#This Row],[report_date]])</f>
        <v>2025</v>
      </c>
      <c r="C11519" s="128">
        <f t="shared" si="538"/>
        <v>12</v>
      </c>
      <c r="D11519" s="136">
        <f t="shared" si="537"/>
        <v>52</v>
      </c>
      <c r="E11519" s="136">
        <f t="shared" si="539"/>
        <v>24</v>
      </c>
      <c r="F11519" s="137" t="s">
        <v>24</v>
      </c>
      <c r="G11519" s="128" t="str">
        <f>VLOOKUP(source[[#This Row],[lending_product_transform]],[3]Mapping!$B$4:$C$37,2,0)</f>
        <v>[Cake] - Cashloan</v>
      </c>
      <c r="H11519" s="128" t="str">
        <f>VLOOKUP(source[[#This Row],[lending_product_transform]],[3]Mapping!$B$3:$D$37,3,0)</f>
        <v>cashloan</v>
      </c>
      <c r="I11519" s="135">
        <v>840337251</v>
      </c>
    </row>
    <row r="11520" spans="1:9" x14ac:dyDescent="0.2">
      <c r="A11520" s="134">
        <v>46015</v>
      </c>
      <c r="B11520" s="135">
        <f>YEAR(source[[#This Row],[report_date]])</f>
        <v>2025</v>
      </c>
      <c r="C11520" s="128">
        <f t="shared" si="538"/>
        <v>12</v>
      </c>
      <c r="D11520" s="136">
        <f t="shared" si="537"/>
        <v>52</v>
      </c>
      <c r="E11520" s="136">
        <f t="shared" si="539"/>
        <v>24</v>
      </c>
      <c r="F11520" s="137" t="s">
        <v>24</v>
      </c>
      <c r="G11520" s="128" t="str">
        <f>VLOOKUP(source[[#This Row],[lending_product_transform]],[3]Mapping!$B$4:$C$37,2,0)</f>
        <v>[Cake] - Cashloan</v>
      </c>
      <c r="H11520" s="128" t="str">
        <f>VLOOKUP(source[[#This Row],[lending_product_transform]],[3]Mapping!$B$3:$D$37,3,0)</f>
        <v>cashloan</v>
      </c>
      <c r="I11520" s="135">
        <v>0</v>
      </c>
    </row>
    <row r="11521" spans="1:9" x14ac:dyDescent="0.2">
      <c r="A11521" s="134">
        <v>46015</v>
      </c>
      <c r="B11521" s="135">
        <f>YEAR(source[[#This Row],[report_date]])</f>
        <v>2025</v>
      </c>
      <c r="C11521" s="128">
        <f t="shared" si="538"/>
        <v>12</v>
      </c>
      <c r="D11521" s="136">
        <f t="shared" si="537"/>
        <v>52</v>
      </c>
      <c r="E11521" s="136">
        <f t="shared" si="539"/>
        <v>24</v>
      </c>
      <c r="F11521" s="137" t="s">
        <v>24</v>
      </c>
      <c r="G11521" s="128" t="str">
        <f>VLOOKUP(source[[#This Row],[lending_product_transform]],[3]Mapping!$B$4:$C$37,2,0)</f>
        <v>[Cake] - Cashloan</v>
      </c>
      <c r="H11521" s="128" t="str">
        <f>VLOOKUP(source[[#This Row],[lending_product_transform]],[3]Mapping!$B$3:$D$37,3,0)</f>
        <v>cashloan</v>
      </c>
      <c r="I11521" s="135">
        <v>394500000</v>
      </c>
    </row>
    <row r="11522" spans="1:9" x14ac:dyDescent="0.2">
      <c r="A11522" s="134">
        <v>46015</v>
      </c>
      <c r="B11522" s="135">
        <f>YEAR(source[[#This Row],[report_date]])</f>
        <v>2025</v>
      </c>
      <c r="C11522" s="128">
        <f t="shared" si="538"/>
        <v>12</v>
      </c>
      <c r="D11522" s="136">
        <f t="shared" si="537"/>
        <v>52</v>
      </c>
      <c r="E11522" s="136">
        <f t="shared" si="539"/>
        <v>24</v>
      </c>
      <c r="F11522" s="137" t="s">
        <v>24</v>
      </c>
      <c r="G11522" s="128" t="str">
        <f>VLOOKUP(source[[#This Row],[lending_product_transform]],[3]Mapping!$B$4:$C$37,2,0)</f>
        <v>[Cake] - Cashloan</v>
      </c>
      <c r="H11522" s="128" t="str">
        <f>VLOOKUP(source[[#This Row],[lending_product_transform]],[3]Mapping!$B$3:$D$37,3,0)</f>
        <v>cashloan</v>
      </c>
      <c r="I11522" s="135">
        <v>72100000</v>
      </c>
    </row>
    <row r="11523" spans="1:9" x14ac:dyDescent="0.2">
      <c r="A11523" s="134">
        <v>46015</v>
      </c>
      <c r="B11523" s="135">
        <f>YEAR(source[[#This Row],[report_date]])</f>
        <v>2025</v>
      </c>
      <c r="C11523" s="128">
        <f t="shared" si="538"/>
        <v>12</v>
      </c>
      <c r="D11523" s="136">
        <f t="shared" ref="D11523:D11586" si="540">WEEKNUM(A11523,2)</f>
        <v>52</v>
      </c>
      <c r="E11523" s="136">
        <f t="shared" si="539"/>
        <v>24</v>
      </c>
      <c r="F11523" s="137" t="s">
        <v>24</v>
      </c>
      <c r="G11523" s="128" t="str">
        <f>VLOOKUP(source[[#This Row],[lending_product_transform]],[3]Mapping!$B$4:$C$37,2,0)</f>
        <v>[Cake] - Cashloan</v>
      </c>
      <c r="H11523" s="128" t="str">
        <f>VLOOKUP(source[[#This Row],[lending_product_transform]],[3]Mapping!$B$3:$D$37,3,0)</f>
        <v>cashloan</v>
      </c>
      <c r="I11523" s="135">
        <v>17551620000</v>
      </c>
    </row>
    <row r="11524" spans="1:9" x14ac:dyDescent="0.2">
      <c r="A11524" s="134">
        <v>46015</v>
      </c>
      <c r="B11524" s="135">
        <f>YEAR(source[[#This Row],[report_date]])</f>
        <v>2025</v>
      </c>
      <c r="C11524" s="128">
        <f t="shared" si="538"/>
        <v>12</v>
      </c>
      <c r="D11524" s="136">
        <f t="shared" si="540"/>
        <v>52</v>
      </c>
      <c r="E11524" s="136">
        <f t="shared" si="539"/>
        <v>24</v>
      </c>
      <c r="F11524" s="137" t="s">
        <v>24</v>
      </c>
      <c r="G11524" s="128" t="str">
        <f>VLOOKUP(source[[#This Row],[lending_product_transform]],[3]Mapping!$B$4:$C$37,2,0)</f>
        <v>[Cake] - Cashloan</v>
      </c>
      <c r="H11524" s="128" t="str">
        <f>VLOOKUP(source[[#This Row],[lending_product_transform]],[3]Mapping!$B$3:$D$37,3,0)</f>
        <v>cashloan</v>
      </c>
      <c r="I11524" s="135">
        <v>0</v>
      </c>
    </row>
    <row r="11525" spans="1:9" x14ac:dyDescent="0.2">
      <c r="A11525" s="134">
        <v>46015</v>
      </c>
      <c r="B11525" s="135">
        <f>YEAR(source[[#This Row],[report_date]])</f>
        <v>2025</v>
      </c>
      <c r="C11525" s="128">
        <f t="shared" si="538"/>
        <v>12</v>
      </c>
      <c r="D11525" s="136">
        <f t="shared" si="540"/>
        <v>52</v>
      </c>
      <c r="E11525" s="136">
        <f t="shared" si="539"/>
        <v>24</v>
      </c>
      <c r="F11525" s="137" t="s">
        <v>24</v>
      </c>
      <c r="G11525" s="128" t="str">
        <f>VLOOKUP(source[[#This Row],[lending_product_transform]],[3]Mapping!$B$4:$C$37,2,0)</f>
        <v>[Cake] - Cashloan</v>
      </c>
      <c r="H11525" s="128" t="str">
        <f>VLOOKUP(source[[#This Row],[lending_product_transform]],[3]Mapping!$B$3:$D$37,3,0)</f>
        <v>cashloan</v>
      </c>
      <c r="I11525" s="135">
        <v>0</v>
      </c>
    </row>
    <row r="11526" spans="1:9" x14ac:dyDescent="0.2">
      <c r="A11526" s="134">
        <v>46015</v>
      </c>
      <c r="B11526" s="135">
        <f>YEAR(source[[#This Row],[report_date]])</f>
        <v>2025</v>
      </c>
      <c r="C11526" s="128">
        <f t="shared" si="538"/>
        <v>12</v>
      </c>
      <c r="D11526" s="136">
        <f t="shared" si="540"/>
        <v>52</v>
      </c>
      <c r="E11526" s="136">
        <f t="shared" si="539"/>
        <v>24</v>
      </c>
      <c r="F11526" s="137" t="s">
        <v>24</v>
      </c>
      <c r="G11526" s="128" t="str">
        <f>VLOOKUP(source[[#This Row],[lending_product_transform]],[3]Mapping!$B$4:$C$37,2,0)</f>
        <v>[Cake] - Cashloan</v>
      </c>
      <c r="H11526" s="128" t="str">
        <f>VLOOKUP(source[[#This Row],[lending_product_transform]],[3]Mapping!$B$3:$D$37,3,0)</f>
        <v>cashloan</v>
      </c>
      <c r="I11526" s="135">
        <v>0</v>
      </c>
    </row>
    <row r="11527" spans="1:9" x14ac:dyDescent="0.2">
      <c r="A11527" s="134">
        <v>46015</v>
      </c>
      <c r="B11527" s="135">
        <f>YEAR(source[[#This Row],[report_date]])</f>
        <v>2025</v>
      </c>
      <c r="C11527" s="128">
        <f t="shared" si="538"/>
        <v>12</v>
      </c>
      <c r="D11527" s="136">
        <f t="shared" si="540"/>
        <v>52</v>
      </c>
      <c r="E11527" s="136">
        <f t="shared" si="539"/>
        <v>24</v>
      </c>
      <c r="F11527" s="137" t="s">
        <v>24</v>
      </c>
      <c r="G11527" s="128" t="str">
        <f>VLOOKUP(source[[#This Row],[lending_product_transform]],[3]Mapping!$B$4:$C$37,2,0)</f>
        <v>[Cake] - Cashloan</v>
      </c>
      <c r="H11527" s="128" t="str">
        <f>VLOOKUP(source[[#This Row],[lending_product_transform]],[3]Mapping!$B$3:$D$37,3,0)</f>
        <v>cashloan</v>
      </c>
      <c r="I11527" s="135">
        <v>0</v>
      </c>
    </row>
    <row r="11528" spans="1:9" x14ac:dyDescent="0.2">
      <c r="A11528" s="134">
        <v>46015</v>
      </c>
      <c r="B11528" s="135">
        <f>YEAR(source[[#This Row],[report_date]])</f>
        <v>2025</v>
      </c>
      <c r="C11528" s="128">
        <f t="shared" si="538"/>
        <v>12</v>
      </c>
      <c r="D11528" s="136">
        <f t="shared" si="540"/>
        <v>52</v>
      </c>
      <c r="E11528" s="136">
        <f t="shared" si="539"/>
        <v>24</v>
      </c>
      <c r="F11528" s="137" t="s">
        <v>24</v>
      </c>
      <c r="G11528" s="128" t="str">
        <f>VLOOKUP(source[[#This Row],[lending_product_transform]],[3]Mapping!$B$4:$C$37,2,0)</f>
        <v>[Cake] - Cashloan</v>
      </c>
      <c r="H11528" s="128" t="str">
        <f>VLOOKUP(source[[#This Row],[lending_product_transform]],[3]Mapping!$B$3:$D$37,3,0)</f>
        <v>cashloan</v>
      </c>
      <c r="I11528" s="135">
        <v>9255384000</v>
      </c>
    </row>
    <row r="11529" spans="1:9" x14ac:dyDescent="0.2">
      <c r="A11529" s="134">
        <v>46015</v>
      </c>
      <c r="B11529" s="135">
        <f>YEAR(source[[#This Row],[report_date]])</f>
        <v>2025</v>
      </c>
      <c r="C11529" s="128">
        <f t="shared" si="538"/>
        <v>12</v>
      </c>
      <c r="D11529" s="136">
        <f t="shared" si="540"/>
        <v>52</v>
      </c>
      <c r="E11529" s="136">
        <f t="shared" si="539"/>
        <v>24</v>
      </c>
      <c r="F11529" s="137" t="s">
        <v>24</v>
      </c>
      <c r="G11529" s="128" t="str">
        <f>VLOOKUP(source[[#This Row],[lending_product_transform]],[3]Mapping!$B$4:$C$37,2,0)</f>
        <v>[Cake] - Cashloan</v>
      </c>
      <c r="H11529" s="128" t="str">
        <f>VLOOKUP(source[[#This Row],[lending_product_transform]],[3]Mapping!$B$3:$D$37,3,0)</f>
        <v>cashloan</v>
      </c>
      <c r="I11529" s="135">
        <v>144248951</v>
      </c>
    </row>
    <row r="11530" spans="1:9" x14ac:dyDescent="0.2">
      <c r="A11530" s="134">
        <v>46015</v>
      </c>
      <c r="B11530" s="135">
        <f>YEAR(source[[#This Row],[report_date]])</f>
        <v>2025</v>
      </c>
      <c r="C11530" s="128">
        <f t="shared" si="538"/>
        <v>12</v>
      </c>
      <c r="D11530" s="136">
        <f t="shared" si="540"/>
        <v>52</v>
      </c>
      <c r="E11530" s="136">
        <f t="shared" si="539"/>
        <v>24</v>
      </c>
      <c r="F11530" s="137" t="s">
        <v>24</v>
      </c>
      <c r="G11530" s="128" t="str">
        <f>VLOOKUP(source[[#This Row],[lending_product_transform]],[3]Mapping!$B$4:$C$37,2,0)</f>
        <v>[Cake] - Cashloan</v>
      </c>
      <c r="H11530" s="128" t="str">
        <f>VLOOKUP(source[[#This Row],[lending_product_transform]],[3]Mapping!$B$3:$D$37,3,0)</f>
        <v>cashloan</v>
      </c>
      <c r="I11530" s="135">
        <v>60900000</v>
      </c>
    </row>
    <row r="11531" spans="1:9" x14ac:dyDescent="0.2">
      <c r="A11531" s="134">
        <v>46015</v>
      </c>
      <c r="B11531" s="135">
        <f>YEAR(source[[#This Row],[report_date]])</f>
        <v>2025</v>
      </c>
      <c r="C11531" s="128">
        <f t="shared" si="538"/>
        <v>12</v>
      </c>
      <c r="D11531" s="136">
        <f t="shared" si="540"/>
        <v>52</v>
      </c>
      <c r="E11531" s="136">
        <f t="shared" si="539"/>
        <v>24</v>
      </c>
      <c r="F11531" s="137" t="s">
        <v>24</v>
      </c>
      <c r="G11531" s="128" t="str">
        <f>VLOOKUP(source[[#This Row],[lending_product_transform]],[3]Mapping!$B$4:$C$37,2,0)</f>
        <v>[Cake] - Cashloan</v>
      </c>
      <c r="H11531" s="128" t="str">
        <f>VLOOKUP(source[[#This Row],[lending_product_transform]],[3]Mapping!$B$3:$D$37,3,0)</f>
        <v>cashloan</v>
      </c>
      <c r="I11531" s="135">
        <v>28000000</v>
      </c>
    </row>
    <row r="11532" spans="1:9" x14ac:dyDescent="0.2">
      <c r="A11532" s="134">
        <v>46015</v>
      </c>
      <c r="B11532" s="135">
        <f>YEAR(source[[#This Row],[report_date]])</f>
        <v>2025</v>
      </c>
      <c r="C11532" s="128">
        <f t="shared" si="538"/>
        <v>12</v>
      </c>
      <c r="D11532" s="136">
        <f t="shared" si="540"/>
        <v>52</v>
      </c>
      <c r="E11532" s="136">
        <f t="shared" si="539"/>
        <v>24</v>
      </c>
      <c r="F11532" s="137" t="s">
        <v>24</v>
      </c>
      <c r="G11532" s="128" t="str">
        <f>VLOOKUP(source[[#This Row],[lending_product_transform]],[3]Mapping!$B$4:$C$37,2,0)</f>
        <v>[Cake] - Cashloan</v>
      </c>
      <c r="H11532" s="128" t="str">
        <f>VLOOKUP(source[[#This Row],[lending_product_transform]],[3]Mapping!$B$3:$D$37,3,0)</f>
        <v>cashloan</v>
      </c>
      <c r="I11532" s="135">
        <v>751720000</v>
      </c>
    </row>
    <row r="11533" spans="1:9" x14ac:dyDescent="0.2">
      <c r="A11533" s="134">
        <v>46015</v>
      </c>
      <c r="B11533" s="135">
        <f>YEAR(source[[#This Row],[report_date]])</f>
        <v>2025</v>
      </c>
      <c r="C11533" s="128">
        <f t="shared" si="538"/>
        <v>12</v>
      </c>
      <c r="D11533" s="136">
        <f t="shared" si="540"/>
        <v>52</v>
      </c>
      <c r="E11533" s="136">
        <f t="shared" si="539"/>
        <v>24</v>
      </c>
      <c r="F11533" s="137" t="s">
        <v>24</v>
      </c>
      <c r="G11533" s="128" t="str">
        <f>VLOOKUP(source[[#This Row],[lending_product_transform]],[3]Mapping!$B$4:$C$37,2,0)</f>
        <v>[Cake] - Cashloan</v>
      </c>
      <c r="H11533" s="128" t="str">
        <f>VLOOKUP(source[[#This Row],[lending_product_transform]],[3]Mapping!$B$3:$D$37,3,0)</f>
        <v>cashloan</v>
      </c>
      <c r="I11533" s="135">
        <v>384912000</v>
      </c>
    </row>
    <row r="11534" spans="1:9" x14ac:dyDescent="0.2">
      <c r="A11534" s="134">
        <v>46015</v>
      </c>
      <c r="B11534" s="135">
        <f>YEAR(source[[#This Row],[report_date]])</f>
        <v>2025</v>
      </c>
      <c r="C11534" s="128">
        <f t="shared" si="538"/>
        <v>12</v>
      </c>
      <c r="D11534" s="136">
        <f t="shared" si="540"/>
        <v>52</v>
      </c>
      <c r="E11534" s="136">
        <f t="shared" si="539"/>
        <v>24</v>
      </c>
      <c r="F11534" s="137" t="s">
        <v>24</v>
      </c>
      <c r="G11534" s="128" t="str">
        <f>VLOOKUP(source[[#This Row],[lending_product_transform]],[3]Mapping!$B$4:$C$37,2,0)</f>
        <v>[Cake] - Cashloan</v>
      </c>
      <c r="H11534" s="128" t="str">
        <f>VLOOKUP(source[[#This Row],[lending_product_transform]],[3]Mapping!$B$3:$D$37,3,0)</f>
        <v>cashloan</v>
      </c>
      <c r="I11534" s="135">
        <v>416783465</v>
      </c>
    </row>
    <row r="11535" spans="1:9" x14ac:dyDescent="0.2">
      <c r="A11535" s="134">
        <v>46015</v>
      </c>
      <c r="B11535" s="135">
        <f>YEAR(source[[#This Row],[report_date]])</f>
        <v>2025</v>
      </c>
      <c r="C11535" s="128">
        <f t="shared" si="538"/>
        <v>12</v>
      </c>
      <c r="D11535" s="136">
        <f t="shared" si="540"/>
        <v>52</v>
      </c>
      <c r="E11535" s="136">
        <f t="shared" si="539"/>
        <v>24</v>
      </c>
      <c r="F11535" s="137" t="s">
        <v>24</v>
      </c>
      <c r="G11535" s="128" t="str">
        <f>VLOOKUP(source[[#This Row],[lending_product_transform]],[3]Mapping!$B$4:$C$37,2,0)</f>
        <v>[Cake] - Cashloan</v>
      </c>
      <c r="H11535" s="128" t="str">
        <f>VLOOKUP(source[[#This Row],[lending_product_transform]],[3]Mapping!$B$3:$D$37,3,0)</f>
        <v>cashloan</v>
      </c>
      <c r="I11535" s="135">
        <v>3995560000</v>
      </c>
    </row>
    <row r="11536" spans="1:9" x14ac:dyDescent="0.2">
      <c r="A11536" s="134">
        <v>46015</v>
      </c>
      <c r="B11536" s="135">
        <f>YEAR(source[[#This Row],[report_date]])</f>
        <v>2025</v>
      </c>
      <c r="C11536" s="128">
        <f t="shared" si="538"/>
        <v>12</v>
      </c>
      <c r="D11536" s="136">
        <f t="shared" si="540"/>
        <v>52</v>
      </c>
      <c r="E11536" s="136">
        <f t="shared" si="539"/>
        <v>24</v>
      </c>
      <c r="F11536" s="137" t="s">
        <v>24</v>
      </c>
      <c r="G11536" s="128" t="str">
        <f>VLOOKUP(source[[#This Row],[lending_product_transform]],[3]Mapping!$B$4:$C$37,2,0)</f>
        <v>[Cake] - Cashloan</v>
      </c>
      <c r="H11536" s="128" t="str">
        <f>VLOOKUP(source[[#This Row],[lending_product_transform]],[3]Mapping!$B$3:$D$37,3,0)</f>
        <v>cashloan</v>
      </c>
      <c r="I11536" s="135">
        <v>0</v>
      </c>
    </row>
    <row r="11537" spans="1:9" x14ac:dyDescent="0.2">
      <c r="A11537" s="134">
        <v>46016</v>
      </c>
      <c r="B11537" s="135">
        <f>YEAR(source[[#This Row],[report_date]])</f>
        <v>2025</v>
      </c>
      <c r="C11537" s="128">
        <f t="shared" si="538"/>
        <v>12</v>
      </c>
      <c r="D11537" s="136">
        <f t="shared" si="540"/>
        <v>52</v>
      </c>
      <c r="E11537" s="136">
        <f t="shared" si="539"/>
        <v>25</v>
      </c>
      <c r="F11537" s="137" t="s">
        <v>24</v>
      </c>
      <c r="G11537" s="128" t="str">
        <f>VLOOKUP(source[[#This Row],[lending_product_transform]],[3]Mapping!$B$4:$C$37,2,0)</f>
        <v>[Cake] - Cashloan</v>
      </c>
      <c r="H11537" s="128" t="str">
        <f>VLOOKUP(source[[#This Row],[lending_product_transform]],[3]Mapping!$B$3:$D$37,3,0)</f>
        <v>cashloan</v>
      </c>
      <c r="I11537" s="135">
        <v>833550000</v>
      </c>
    </row>
    <row r="11538" spans="1:9" x14ac:dyDescent="0.2">
      <c r="A11538" s="134">
        <v>46016</v>
      </c>
      <c r="B11538" s="135">
        <f>YEAR(source[[#This Row],[report_date]])</f>
        <v>2025</v>
      </c>
      <c r="C11538" s="128">
        <f t="shared" si="538"/>
        <v>12</v>
      </c>
      <c r="D11538" s="136">
        <f t="shared" si="540"/>
        <v>52</v>
      </c>
      <c r="E11538" s="136">
        <f t="shared" si="539"/>
        <v>25</v>
      </c>
      <c r="F11538" s="137" t="s">
        <v>24</v>
      </c>
      <c r="G11538" s="128" t="str">
        <f>VLOOKUP(source[[#This Row],[lending_product_transform]],[3]Mapping!$B$4:$C$37,2,0)</f>
        <v>[Cake] - Cashloan</v>
      </c>
      <c r="H11538" s="128" t="str">
        <f>VLOOKUP(source[[#This Row],[lending_product_transform]],[3]Mapping!$B$3:$D$37,3,0)</f>
        <v>cashloan</v>
      </c>
      <c r="I11538" s="135">
        <v>425652823</v>
      </c>
    </row>
    <row r="11539" spans="1:9" x14ac:dyDescent="0.2">
      <c r="A11539" s="134">
        <v>46016</v>
      </c>
      <c r="B11539" s="135">
        <f>YEAR(source[[#This Row],[report_date]])</f>
        <v>2025</v>
      </c>
      <c r="C11539" s="128">
        <f t="shared" si="538"/>
        <v>12</v>
      </c>
      <c r="D11539" s="136">
        <f t="shared" si="540"/>
        <v>52</v>
      </c>
      <c r="E11539" s="136">
        <f t="shared" si="539"/>
        <v>25</v>
      </c>
      <c r="F11539" s="137" t="s">
        <v>24</v>
      </c>
      <c r="G11539" s="128" t="str">
        <f>VLOOKUP(source[[#This Row],[lending_product_transform]],[3]Mapping!$B$4:$C$37,2,0)</f>
        <v>[Cake] - Cashloan</v>
      </c>
      <c r="H11539" s="128" t="str">
        <f>VLOOKUP(source[[#This Row],[lending_product_transform]],[3]Mapping!$B$3:$D$37,3,0)</f>
        <v>cashloan</v>
      </c>
      <c r="I11539" s="135">
        <v>14551340000</v>
      </c>
    </row>
    <row r="11540" spans="1:9" x14ac:dyDescent="0.2">
      <c r="A11540" s="134">
        <v>46016</v>
      </c>
      <c r="B11540" s="135">
        <f>YEAR(source[[#This Row],[report_date]])</f>
        <v>2025</v>
      </c>
      <c r="C11540" s="128">
        <f t="shared" si="538"/>
        <v>12</v>
      </c>
      <c r="D11540" s="136">
        <f t="shared" si="540"/>
        <v>52</v>
      </c>
      <c r="E11540" s="136">
        <f t="shared" si="539"/>
        <v>25</v>
      </c>
      <c r="F11540" s="137" t="s">
        <v>24</v>
      </c>
      <c r="G11540" s="128" t="str">
        <f>VLOOKUP(source[[#This Row],[lending_product_transform]],[3]Mapping!$B$4:$C$37,2,0)</f>
        <v>[Cake] - Cashloan</v>
      </c>
      <c r="H11540" s="128" t="str">
        <f>VLOOKUP(source[[#This Row],[lending_product_transform]],[3]Mapping!$B$3:$D$37,3,0)</f>
        <v>cashloan</v>
      </c>
      <c r="I11540" s="135">
        <v>1884950196</v>
      </c>
    </row>
    <row r="11541" spans="1:9" x14ac:dyDescent="0.2">
      <c r="A11541" s="134">
        <v>46016</v>
      </c>
      <c r="B11541" s="135">
        <f>YEAR(source[[#This Row],[report_date]])</f>
        <v>2025</v>
      </c>
      <c r="C11541" s="128">
        <f t="shared" si="538"/>
        <v>12</v>
      </c>
      <c r="D11541" s="136">
        <f t="shared" si="540"/>
        <v>52</v>
      </c>
      <c r="E11541" s="136">
        <f t="shared" si="539"/>
        <v>25</v>
      </c>
      <c r="F11541" s="137" t="s">
        <v>24</v>
      </c>
      <c r="G11541" s="128" t="str">
        <f>VLOOKUP(source[[#This Row],[lending_product_transform]],[3]Mapping!$B$4:$C$37,2,0)</f>
        <v>[Cake] - Cashloan</v>
      </c>
      <c r="H11541" s="128" t="str">
        <f>VLOOKUP(source[[#This Row],[lending_product_transform]],[3]Mapping!$B$3:$D$37,3,0)</f>
        <v>cashloan</v>
      </c>
      <c r="I11541" s="135">
        <v>12122028000</v>
      </c>
    </row>
    <row r="11542" spans="1:9" x14ac:dyDescent="0.2">
      <c r="A11542" s="134">
        <v>46016</v>
      </c>
      <c r="B11542" s="135">
        <f>YEAR(source[[#This Row],[report_date]])</f>
        <v>2025</v>
      </c>
      <c r="C11542" s="128">
        <f t="shared" si="538"/>
        <v>12</v>
      </c>
      <c r="D11542" s="136">
        <f t="shared" si="540"/>
        <v>52</v>
      </c>
      <c r="E11542" s="136">
        <f t="shared" si="539"/>
        <v>25</v>
      </c>
      <c r="F11542" s="137" t="s">
        <v>24</v>
      </c>
      <c r="G11542" s="128" t="str">
        <f>VLOOKUP(source[[#This Row],[lending_product_transform]],[3]Mapping!$B$4:$C$37,2,0)</f>
        <v>[Cake] - Cashloan</v>
      </c>
      <c r="H11542" s="128" t="str">
        <f>VLOOKUP(source[[#This Row],[lending_product_transform]],[3]Mapping!$B$3:$D$37,3,0)</f>
        <v>cashloan</v>
      </c>
      <c r="I11542" s="135">
        <v>2675863</v>
      </c>
    </row>
    <row r="11543" spans="1:9" x14ac:dyDescent="0.2">
      <c r="A11543" s="134">
        <v>46016</v>
      </c>
      <c r="B11543" s="135">
        <f>YEAR(source[[#This Row],[report_date]])</f>
        <v>2025</v>
      </c>
      <c r="C11543" s="128">
        <f t="shared" si="538"/>
        <v>12</v>
      </c>
      <c r="D11543" s="136">
        <f t="shared" si="540"/>
        <v>52</v>
      </c>
      <c r="E11543" s="136">
        <f t="shared" si="539"/>
        <v>25</v>
      </c>
      <c r="F11543" s="137" t="s">
        <v>24</v>
      </c>
      <c r="G11543" s="128" t="str">
        <f>VLOOKUP(source[[#This Row],[lending_product_transform]],[3]Mapping!$B$4:$C$37,2,0)</f>
        <v>[Cake] - Cashloan</v>
      </c>
      <c r="H11543" s="128" t="str">
        <f>VLOOKUP(source[[#This Row],[lending_product_transform]],[3]Mapping!$B$3:$D$37,3,0)</f>
        <v>cashloan</v>
      </c>
      <c r="I11543" s="135">
        <v>0</v>
      </c>
    </row>
    <row r="11544" spans="1:9" x14ac:dyDescent="0.2">
      <c r="A11544" s="134">
        <v>46016</v>
      </c>
      <c r="B11544" s="135">
        <f>YEAR(source[[#This Row],[report_date]])</f>
        <v>2025</v>
      </c>
      <c r="C11544" s="128">
        <f t="shared" si="538"/>
        <v>12</v>
      </c>
      <c r="D11544" s="136">
        <f t="shared" si="540"/>
        <v>52</v>
      </c>
      <c r="E11544" s="136">
        <f t="shared" si="539"/>
        <v>25</v>
      </c>
      <c r="F11544" s="137" t="s">
        <v>24</v>
      </c>
      <c r="G11544" s="128" t="str">
        <f>VLOOKUP(source[[#This Row],[lending_product_transform]],[3]Mapping!$B$4:$C$37,2,0)</f>
        <v>[Cake] - Cashloan</v>
      </c>
      <c r="H11544" s="128" t="str">
        <f>VLOOKUP(source[[#This Row],[lending_product_transform]],[3]Mapping!$B$3:$D$37,3,0)</f>
        <v>cashloan</v>
      </c>
      <c r="I11544" s="135">
        <v>2987740000</v>
      </c>
    </row>
    <row r="11545" spans="1:9" x14ac:dyDescent="0.2">
      <c r="A11545" s="134">
        <v>46016</v>
      </c>
      <c r="B11545" s="135">
        <f>YEAR(source[[#This Row],[report_date]])</f>
        <v>2025</v>
      </c>
      <c r="C11545" s="128">
        <f t="shared" si="538"/>
        <v>12</v>
      </c>
      <c r="D11545" s="136">
        <f t="shared" si="540"/>
        <v>52</v>
      </c>
      <c r="E11545" s="136">
        <f t="shared" si="539"/>
        <v>25</v>
      </c>
      <c r="F11545" s="137" t="s">
        <v>24</v>
      </c>
      <c r="G11545" s="128" t="str">
        <f>VLOOKUP(source[[#This Row],[lending_product_transform]],[3]Mapping!$B$4:$C$37,2,0)</f>
        <v>[Cake] - Cashloan</v>
      </c>
      <c r="H11545" s="128" t="str">
        <f>VLOOKUP(source[[#This Row],[lending_product_transform]],[3]Mapping!$B$3:$D$37,3,0)</f>
        <v>cashloan</v>
      </c>
      <c r="I11545" s="135">
        <v>15965148</v>
      </c>
    </row>
    <row r="11546" spans="1:9" x14ac:dyDescent="0.2">
      <c r="A11546" s="134">
        <v>46016</v>
      </c>
      <c r="B11546" s="135">
        <f>YEAR(source[[#This Row],[report_date]])</f>
        <v>2025</v>
      </c>
      <c r="C11546" s="128">
        <f t="shared" si="538"/>
        <v>12</v>
      </c>
      <c r="D11546" s="136">
        <f t="shared" si="540"/>
        <v>52</v>
      </c>
      <c r="E11546" s="136">
        <f t="shared" si="539"/>
        <v>25</v>
      </c>
      <c r="F11546" s="137" t="s">
        <v>24</v>
      </c>
      <c r="G11546" s="128" t="str">
        <f>VLOOKUP(source[[#This Row],[lending_product_transform]],[3]Mapping!$B$4:$C$37,2,0)</f>
        <v>[Cake] - Cashloan</v>
      </c>
      <c r="H11546" s="128" t="str">
        <f>VLOOKUP(source[[#This Row],[lending_product_transform]],[3]Mapping!$B$3:$D$37,3,0)</f>
        <v>cashloan</v>
      </c>
      <c r="I11546" s="135">
        <v>650979873</v>
      </c>
    </row>
    <row r="11547" spans="1:9" x14ac:dyDescent="0.2">
      <c r="A11547" s="134">
        <v>46016</v>
      </c>
      <c r="B11547" s="135">
        <f>YEAR(source[[#This Row],[report_date]])</f>
        <v>2025</v>
      </c>
      <c r="C11547" s="128">
        <f t="shared" si="538"/>
        <v>12</v>
      </c>
      <c r="D11547" s="136">
        <f t="shared" si="540"/>
        <v>52</v>
      </c>
      <c r="E11547" s="136">
        <f t="shared" si="539"/>
        <v>25</v>
      </c>
      <c r="F11547" s="137" t="s">
        <v>24</v>
      </c>
      <c r="G11547" s="128" t="str">
        <f>VLOOKUP(source[[#This Row],[lending_product_transform]],[3]Mapping!$B$4:$C$37,2,0)</f>
        <v>[Cake] - Cashloan</v>
      </c>
      <c r="H11547" s="128" t="str">
        <f>VLOOKUP(source[[#This Row],[lending_product_transform]],[3]Mapping!$B$3:$D$37,3,0)</f>
        <v>cashloan</v>
      </c>
      <c r="I11547" s="135">
        <v>0</v>
      </c>
    </row>
    <row r="11548" spans="1:9" x14ac:dyDescent="0.2">
      <c r="A11548" s="134">
        <v>46016</v>
      </c>
      <c r="B11548" s="135">
        <f>YEAR(source[[#This Row],[report_date]])</f>
        <v>2025</v>
      </c>
      <c r="C11548" s="128">
        <f t="shared" si="538"/>
        <v>12</v>
      </c>
      <c r="D11548" s="136">
        <f t="shared" si="540"/>
        <v>52</v>
      </c>
      <c r="E11548" s="136">
        <f t="shared" si="539"/>
        <v>25</v>
      </c>
      <c r="F11548" s="137" t="s">
        <v>24</v>
      </c>
      <c r="G11548" s="128" t="str">
        <f>VLOOKUP(source[[#This Row],[lending_product_transform]],[3]Mapping!$B$4:$C$37,2,0)</f>
        <v>[Cake] - Cashloan</v>
      </c>
      <c r="H11548" s="128" t="str">
        <f>VLOOKUP(source[[#This Row],[lending_product_transform]],[3]Mapping!$B$3:$D$37,3,0)</f>
        <v>cashloan</v>
      </c>
      <c r="I11548" s="135">
        <v>530000000</v>
      </c>
    </row>
    <row r="11549" spans="1:9" x14ac:dyDescent="0.2">
      <c r="A11549" s="134">
        <v>46016</v>
      </c>
      <c r="B11549" s="135">
        <f>YEAR(source[[#This Row],[report_date]])</f>
        <v>2025</v>
      </c>
      <c r="C11549" s="128">
        <f t="shared" si="538"/>
        <v>12</v>
      </c>
      <c r="D11549" s="136">
        <f t="shared" si="540"/>
        <v>52</v>
      </c>
      <c r="E11549" s="136">
        <f t="shared" si="539"/>
        <v>25</v>
      </c>
      <c r="F11549" s="137" t="s">
        <v>24</v>
      </c>
      <c r="G11549" s="128" t="str">
        <f>VLOOKUP(source[[#This Row],[lending_product_transform]],[3]Mapping!$B$4:$C$37,2,0)</f>
        <v>[Cake] - Cashloan</v>
      </c>
      <c r="H11549" s="128" t="str">
        <f>VLOOKUP(source[[#This Row],[lending_product_transform]],[3]Mapping!$B$3:$D$37,3,0)</f>
        <v>cashloan</v>
      </c>
      <c r="I11549" s="135">
        <v>0</v>
      </c>
    </row>
    <row r="11550" spans="1:9" x14ac:dyDescent="0.2">
      <c r="A11550" s="134">
        <v>46016</v>
      </c>
      <c r="B11550" s="135">
        <f>YEAR(source[[#This Row],[report_date]])</f>
        <v>2025</v>
      </c>
      <c r="C11550" s="128">
        <f t="shared" si="538"/>
        <v>12</v>
      </c>
      <c r="D11550" s="136">
        <f t="shared" si="540"/>
        <v>52</v>
      </c>
      <c r="E11550" s="136">
        <f t="shared" si="539"/>
        <v>25</v>
      </c>
      <c r="F11550" s="137" t="s">
        <v>24</v>
      </c>
      <c r="G11550" s="128" t="str">
        <f>VLOOKUP(source[[#This Row],[lending_product_transform]],[3]Mapping!$B$4:$C$37,2,0)</f>
        <v>[Cake] - Cashloan</v>
      </c>
      <c r="H11550" s="128" t="str">
        <f>VLOOKUP(source[[#This Row],[lending_product_transform]],[3]Mapping!$B$3:$D$37,3,0)</f>
        <v>cashloan</v>
      </c>
      <c r="I11550" s="135">
        <v>15624030000</v>
      </c>
    </row>
    <row r="11551" spans="1:9" x14ac:dyDescent="0.2">
      <c r="A11551" s="134">
        <v>46016</v>
      </c>
      <c r="B11551" s="135">
        <f>YEAR(source[[#This Row],[report_date]])</f>
        <v>2025</v>
      </c>
      <c r="C11551" s="128">
        <f t="shared" si="538"/>
        <v>12</v>
      </c>
      <c r="D11551" s="136">
        <f t="shared" si="540"/>
        <v>52</v>
      </c>
      <c r="E11551" s="136">
        <f t="shared" si="539"/>
        <v>25</v>
      </c>
      <c r="F11551" s="137" t="s">
        <v>24</v>
      </c>
      <c r="G11551" s="128" t="str">
        <f>VLOOKUP(source[[#This Row],[lending_product_transform]],[3]Mapping!$B$4:$C$37,2,0)</f>
        <v>[Cake] - Cashloan</v>
      </c>
      <c r="H11551" s="128" t="str">
        <f>VLOOKUP(source[[#This Row],[lending_product_transform]],[3]Mapping!$B$3:$D$37,3,0)</f>
        <v>cashloan</v>
      </c>
      <c r="I11551" s="135">
        <v>0</v>
      </c>
    </row>
    <row r="11552" spans="1:9" x14ac:dyDescent="0.2">
      <c r="A11552" s="134">
        <v>46016</v>
      </c>
      <c r="B11552" s="135">
        <f>YEAR(source[[#This Row],[report_date]])</f>
        <v>2025</v>
      </c>
      <c r="C11552" s="128">
        <f t="shared" si="538"/>
        <v>12</v>
      </c>
      <c r="D11552" s="136">
        <f t="shared" si="540"/>
        <v>52</v>
      </c>
      <c r="E11552" s="136">
        <f t="shared" si="539"/>
        <v>25</v>
      </c>
      <c r="F11552" s="137" t="s">
        <v>24</v>
      </c>
      <c r="G11552" s="128" t="str">
        <f>VLOOKUP(source[[#This Row],[lending_product_transform]],[3]Mapping!$B$4:$C$37,2,0)</f>
        <v>[Cake] - Cashloan</v>
      </c>
      <c r="H11552" s="128" t="str">
        <f>VLOOKUP(source[[#This Row],[lending_product_transform]],[3]Mapping!$B$3:$D$37,3,0)</f>
        <v>cashloan</v>
      </c>
      <c r="I11552" s="135">
        <v>0</v>
      </c>
    </row>
    <row r="11553" spans="1:9" x14ac:dyDescent="0.2">
      <c r="A11553" s="134">
        <v>46016</v>
      </c>
      <c r="B11553" s="135">
        <f>YEAR(source[[#This Row],[report_date]])</f>
        <v>2025</v>
      </c>
      <c r="C11553" s="128">
        <f t="shared" si="538"/>
        <v>12</v>
      </c>
      <c r="D11553" s="136">
        <f t="shared" si="540"/>
        <v>52</v>
      </c>
      <c r="E11553" s="136">
        <f t="shared" si="539"/>
        <v>25</v>
      </c>
      <c r="F11553" s="137" t="s">
        <v>24</v>
      </c>
      <c r="G11553" s="128" t="str">
        <f>VLOOKUP(source[[#This Row],[lending_product_transform]],[3]Mapping!$B$4:$C$37,2,0)</f>
        <v>[Cake] - Cashloan</v>
      </c>
      <c r="H11553" s="128" t="str">
        <f>VLOOKUP(source[[#This Row],[lending_product_transform]],[3]Mapping!$B$3:$D$37,3,0)</f>
        <v>cashloan</v>
      </c>
      <c r="I11553" s="135">
        <v>0</v>
      </c>
    </row>
    <row r="11554" spans="1:9" x14ac:dyDescent="0.2">
      <c r="A11554" s="134">
        <v>46016</v>
      </c>
      <c r="B11554" s="135">
        <f>YEAR(source[[#This Row],[report_date]])</f>
        <v>2025</v>
      </c>
      <c r="C11554" s="128">
        <f t="shared" si="538"/>
        <v>12</v>
      </c>
      <c r="D11554" s="136">
        <f t="shared" si="540"/>
        <v>52</v>
      </c>
      <c r="E11554" s="136">
        <f t="shared" si="539"/>
        <v>25</v>
      </c>
      <c r="F11554" s="137" t="s">
        <v>24</v>
      </c>
      <c r="G11554" s="128" t="str">
        <f>VLOOKUP(source[[#This Row],[lending_product_transform]],[3]Mapping!$B$4:$C$37,2,0)</f>
        <v>[Cake] - Cashloan</v>
      </c>
      <c r="H11554" s="128" t="str">
        <f>VLOOKUP(source[[#This Row],[lending_product_transform]],[3]Mapping!$B$3:$D$37,3,0)</f>
        <v>cashloan</v>
      </c>
      <c r="I11554" s="135">
        <v>0</v>
      </c>
    </row>
    <row r="11555" spans="1:9" x14ac:dyDescent="0.2">
      <c r="A11555" s="134">
        <v>46016</v>
      </c>
      <c r="B11555" s="135">
        <f>YEAR(source[[#This Row],[report_date]])</f>
        <v>2025</v>
      </c>
      <c r="C11555" s="128">
        <f t="shared" si="538"/>
        <v>12</v>
      </c>
      <c r="D11555" s="136">
        <f t="shared" si="540"/>
        <v>52</v>
      </c>
      <c r="E11555" s="136">
        <f t="shared" si="539"/>
        <v>25</v>
      </c>
      <c r="F11555" s="137" t="s">
        <v>24</v>
      </c>
      <c r="G11555" s="128" t="str">
        <f>VLOOKUP(source[[#This Row],[lending_product_transform]],[3]Mapping!$B$4:$C$37,2,0)</f>
        <v>[Cake] - Cashloan</v>
      </c>
      <c r="H11555" s="128" t="str">
        <f>VLOOKUP(source[[#This Row],[lending_product_transform]],[3]Mapping!$B$3:$D$37,3,0)</f>
        <v>cashloan</v>
      </c>
      <c r="I11555" s="135">
        <v>9423540000</v>
      </c>
    </row>
    <row r="11556" spans="1:9" x14ac:dyDescent="0.2">
      <c r="A11556" s="134">
        <v>46016</v>
      </c>
      <c r="B11556" s="135">
        <f>YEAR(source[[#This Row],[report_date]])</f>
        <v>2025</v>
      </c>
      <c r="C11556" s="128">
        <f t="shared" si="538"/>
        <v>12</v>
      </c>
      <c r="D11556" s="136">
        <f t="shared" si="540"/>
        <v>52</v>
      </c>
      <c r="E11556" s="136">
        <f t="shared" si="539"/>
        <v>25</v>
      </c>
      <c r="F11556" s="137" t="s">
        <v>24</v>
      </c>
      <c r="G11556" s="128" t="str">
        <f>VLOOKUP(source[[#This Row],[lending_product_transform]],[3]Mapping!$B$4:$C$37,2,0)</f>
        <v>[Cake] - Cashloan</v>
      </c>
      <c r="H11556" s="128" t="str">
        <f>VLOOKUP(source[[#This Row],[lending_product_transform]],[3]Mapping!$B$3:$D$37,3,0)</f>
        <v>cashloan</v>
      </c>
      <c r="I11556" s="135">
        <v>143725279</v>
      </c>
    </row>
    <row r="11557" spans="1:9" x14ac:dyDescent="0.2">
      <c r="A11557" s="134">
        <v>46016</v>
      </c>
      <c r="B11557" s="135">
        <f>YEAR(source[[#This Row],[report_date]])</f>
        <v>2025</v>
      </c>
      <c r="C11557" s="128">
        <f t="shared" si="538"/>
        <v>12</v>
      </c>
      <c r="D11557" s="136">
        <f t="shared" si="540"/>
        <v>52</v>
      </c>
      <c r="E11557" s="136">
        <f t="shared" si="539"/>
        <v>25</v>
      </c>
      <c r="F11557" s="137" t="s">
        <v>24</v>
      </c>
      <c r="G11557" s="128" t="str">
        <f>VLOOKUP(source[[#This Row],[lending_product_transform]],[3]Mapping!$B$4:$C$37,2,0)</f>
        <v>[Cake] - Cashloan</v>
      </c>
      <c r="H11557" s="128" t="str">
        <f>VLOOKUP(source[[#This Row],[lending_product_transform]],[3]Mapping!$B$3:$D$37,3,0)</f>
        <v>cashloan</v>
      </c>
      <c r="I11557" s="135">
        <v>0</v>
      </c>
    </row>
    <row r="11558" spans="1:9" x14ac:dyDescent="0.2">
      <c r="A11558" s="134">
        <v>46016</v>
      </c>
      <c r="B11558" s="135">
        <f>YEAR(source[[#This Row],[report_date]])</f>
        <v>2025</v>
      </c>
      <c r="C11558" s="128">
        <f t="shared" si="538"/>
        <v>12</v>
      </c>
      <c r="D11558" s="136">
        <f t="shared" si="540"/>
        <v>52</v>
      </c>
      <c r="E11558" s="136">
        <f t="shared" si="539"/>
        <v>25</v>
      </c>
      <c r="F11558" s="137" t="s">
        <v>24</v>
      </c>
      <c r="G11558" s="128" t="str">
        <f>VLOOKUP(source[[#This Row],[lending_product_transform]],[3]Mapping!$B$4:$C$37,2,0)</f>
        <v>[Cake] - Cashloan</v>
      </c>
      <c r="H11558" s="128" t="str">
        <f>VLOOKUP(source[[#This Row],[lending_product_transform]],[3]Mapping!$B$3:$D$37,3,0)</f>
        <v>cashloan</v>
      </c>
      <c r="I11558" s="135">
        <v>65000000</v>
      </c>
    </row>
    <row r="11559" spans="1:9" x14ac:dyDescent="0.2">
      <c r="A11559" s="134">
        <v>46016</v>
      </c>
      <c r="B11559" s="135">
        <f>YEAR(source[[#This Row],[report_date]])</f>
        <v>2025</v>
      </c>
      <c r="C11559" s="128">
        <f t="shared" si="538"/>
        <v>12</v>
      </c>
      <c r="D11559" s="136">
        <f t="shared" si="540"/>
        <v>52</v>
      </c>
      <c r="E11559" s="136">
        <f t="shared" si="539"/>
        <v>25</v>
      </c>
      <c r="F11559" s="137" t="s">
        <v>24</v>
      </c>
      <c r="G11559" s="128" t="str">
        <f>VLOOKUP(source[[#This Row],[lending_product_transform]],[3]Mapping!$B$4:$C$37,2,0)</f>
        <v>[Cake] - Cashloan</v>
      </c>
      <c r="H11559" s="128" t="str">
        <f>VLOOKUP(source[[#This Row],[lending_product_transform]],[3]Mapping!$B$3:$D$37,3,0)</f>
        <v>cashloan</v>
      </c>
      <c r="I11559" s="135">
        <v>809650000</v>
      </c>
    </row>
    <row r="11560" spans="1:9" x14ac:dyDescent="0.2">
      <c r="A11560" s="134">
        <v>46016</v>
      </c>
      <c r="B11560" s="135">
        <f>YEAR(source[[#This Row],[report_date]])</f>
        <v>2025</v>
      </c>
      <c r="C11560" s="128">
        <f t="shared" si="538"/>
        <v>12</v>
      </c>
      <c r="D11560" s="136">
        <f t="shared" si="540"/>
        <v>52</v>
      </c>
      <c r="E11560" s="136">
        <f t="shared" si="539"/>
        <v>25</v>
      </c>
      <c r="F11560" s="137" t="s">
        <v>24</v>
      </c>
      <c r="G11560" s="128" t="str">
        <f>VLOOKUP(source[[#This Row],[lending_product_transform]],[3]Mapping!$B$4:$C$37,2,0)</f>
        <v>[Cake] - Cashloan</v>
      </c>
      <c r="H11560" s="128" t="str">
        <f>VLOOKUP(source[[#This Row],[lending_product_transform]],[3]Mapping!$B$3:$D$37,3,0)</f>
        <v>cashloan</v>
      </c>
      <c r="I11560" s="135">
        <v>308232000</v>
      </c>
    </row>
    <row r="11561" spans="1:9" x14ac:dyDescent="0.2">
      <c r="A11561" s="134">
        <v>46016</v>
      </c>
      <c r="B11561" s="135">
        <f>YEAR(source[[#This Row],[report_date]])</f>
        <v>2025</v>
      </c>
      <c r="C11561" s="128">
        <f t="shared" si="538"/>
        <v>12</v>
      </c>
      <c r="D11561" s="136">
        <f t="shared" si="540"/>
        <v>52</v>
      </c>
      <c r="E11561" s="136">
        <f t="shared" si="539"/>
        <v>25</v>
      </c>
      <c r="F11561" s="137" t="s">
        <v>24</v>
      </c>
      <c r="G11561" s="128" t="str">
        <f>VLOOKUP(source[[#This Row],[lending_product_transform]],[3]Mapping!$B$4:$C$37,2,0)</f>
        <v>[Cake] - Cashloan</v>
      </c>
      <c r="H11561" s="128" t="str">
        <f>VLOOKUP(source[[#This Row],[lending_product_transform]],[3]Mapping!$B$3:$D$37,3,0)</f>
        <v>cashloan</v>
      </c>
      <c r="I11561" s="135">
        <v>400209343</v>
      </c>
    </row>
    <row r="11562" spans="1:9" x14ac:dyDescent="0.2">
      <c r="A11562" s="134">
        <v>46016</v>
      </c>
      <c r="B11562" s="135">
        <f>YEAR(source[[#This Row],[report_date]])</f>
        <v>2025</v>
      </c>
      <c r="C11562" s="128">
        <f t="shared" si="538"/>
        <v>12</v>
      </c>
      <c r="D11562" s="136">
        <f t="shared" si="540"/>
        <v>52</v>
      </c>
      <c r="E11562" s="136">
        <f t="shared" si="539"/>
        <v>25</v>
      </c>
      <c r="F11562" s="137" t="s">
        <v>24</v>
      </c>
      <c r="G11562" s="128" t="str">
        <f>VLOOKUP(source[[#This Row],[lending_product_transform]],[3]Mapping!$B$4:$C$37,2,0)</f>
        <v>[Cake] - Cashloan</v>
      </c>
      <c r="H11562" s="128" t="str">
        <f>VLOOKUP(source[[#This Row],[lending_product_transform]],[3]Mapping!$B$3:$D$37,3,0)</f>
        <v>cashloan</v>
      </c>
      <c r="I11562" s="135">
        <v>3546710000</v>
      </c>
    </row>
    <row r="11563" spans="1:9" x14ac:dyDescent="0.2">
      <c r="A11563" s="134">
        <v>46016</v>
      </c>
      <c r="B11563" s="135">
        <f>YEAR(source[[#This Row],[report_date]])</f>
        <v>2025</v>
      </c>
      <c r="C11563" s="128">
        <f t="shared" si="538"/>
        <v>12</v>
      </c>
      <c r="D11563" s="136">
        <f t="shared" si="540"/>
        <v>52</v>
      </c>
      <c r="E11563" s="136">
        <f t="shared" si="539"/>
        <v>25</v>
      </c>
      <c r="F11563" s="137" t="s">
        <v>24</v>
      </c>
      <c r="G11563" s="128" t="str">
        <f>VLOOKUP(source[[#This Row],[lending_product_transform]],[3]Mapping!$B$4:$C$37,2,0)</f>
        <v>[Cake] - Cashloan</v>
      </c>
      <c r="H11563" s="128" t="str">
        <f>VLOOKUP(source[[#This Row],[lending_product_transform]],[3]Mapping!$B$3:$D$37,3,0)</f>
        <v>cashloan</v>
      </c>
      <c r="I11563" s="135">
        <v>0</v>
      </c>
    </row>
    <row r="11564" spans="1:9" x14ac:dyDescent="0.2">
      <c r="A11564" s="134">
        <v>46017</v>
      </c>
      <c r="B11564" s="135">
        <f>YEAR(source[[#This Row],[report_date]])</f>
        <v>2025</v>
      </c>
      <c r="C11564" s="128">
        <f t="shared" si="538"/>
        <v>12</v>
      </c>
      <c r="D11564" s="136">
        <f t="shared" si="540"/>
        <v>52</v>
      </c>
      <c r="E11564" s="136">
        <f t="shared" si="539"/>
        <v>26</v>
      </c>
      <c r="F11564" s="137" t="s">
        <v>24</v>
      </c>
      <c r="G11564" s="128" t="str">
        <f>VLOOKUP(source[[#This Row],[lending_product_transform]],[3]Mapping!$B$4:$C$37,2,0)</f>
        <v>[Cake] - Cashloan</v>
      </c>
      <c r="H11564" s="128" t="str">
        <f>VLOOKUP(source[[#This Row],[lending_product_transform]],[3]Mapping!$B$3:$D$37,3,0)</f>
        <v>cashloan</v>
      </c>
      <c r="I11564" s="135">
        <v>675600000</v>
      </c>
    </row>
    <row r="11565" spans="1:9" x14ac:dyDescent="0.2">
      <c r="A11565" s="134">
        <v>46017</v>
      </c>
      <c r="B11565" s="135">
        <f>YEAR(source[[#This Row],[report_date]])</f>
        <v>2025</v>
      </c>
      <c r="C11565" s="128">
        <f t="shared" si="538"/>
        <v>12</v>
      </c>
      <c r="D11565" s="136">
        <f t="shared" si="540"/>
        <v>52</v>
      </c>
      <c r="E11565" s="136">
        <f t="shared" si="539"/>
        <v>26</v>
      </c>
      <c r="F11565" s="137" t="s">
        <v>24</v>
      </c>
      <c r="G11565" s="128" t="str">
        <f>VLOOKUP(source[[#This Row],[lending_product_transform]],[3]Mapping!$B$4:$C$37,2,0)</f>
        <v>[Cake] - Cashloan</v>
      </c>
      <c r="H11565" s="128" t="str">
        <f>VLOOKUP(source[[#This Row],[lending_product_transform]],[3]Mapping!$B$3:$D$37,3,0)</f>
        <v>cashloan</v>
      </c>
      <c r="I11565" s="135">
        <v>357206954</v>
      </c>
    </row>
    <row r="11566" spans="1:9" x14ac:dyDescent="0.2">
      <c r="A11566" s="134">
        <v>46017</v>
      </c>
      <c r="B11566" s="135">
        <f>YEAR(source[[#This Row],[report_date]])</f>
        <v>2025</v>
      </c>
      <c r="C11566" s="128">
        <f t="shared" si="538"/>
        <v>12</v>
      </c>
      <c r="D11566" s="136">
        <f t="shared" si="540"/>
        <v>52</v>
      </c>
      <c r="E11566" s="136">
        <f t="shared" si="539"/>
        <v>26</v>
      </c>
      <c r="F11566" s="137" t="s">
        <v>24</v>
      </c>
      <c r="G11566" s="128" t="str">
        <f>VLOOKUP(source[[#This Row],[lending_product_transform]],[3]Mapping!$B$4:$C$37,2,0)</f>
        <v>[Cake] - Cashloan</v>
      </c>
      <c r="H11566" s="128" t="str">
        <f>VLOOKUP(source[[#This Row],[lending_product_transform]],[3]Mapping!$B$3:$D$37,3,0)</f>
        <v>cashloan</v>
      </c>
      <c r="I11566" s="135">
        <v>15030920000</v>
      </c>
    </row>
    <row r="11567" spans="1:9" x14ac:dyDescent="0.2">
      <c r="A11567" s="134">
        <v>46017</v>
      </c>
      <c r="B11567" s="135">
        <f>YEAR(source[[#This Row],[report_date]])</f>
        <v>2025</v>
      </c>
      <c r="C11567" s="128">
        <f t="shared" si="538"/>
        <v>12</v>
      </c>
      <c r="D11567" s="136">
        <f t="shared" si="540"/>
        <v>52</v>
      </c>
      <c r="E11567" s="136">
        <f t="shared" si="539"/>
        <v>26</v>
      </c>
      <c r="F11567" s="137" t="s">
        <v>24</v>
      </c>
      <c r="G11567" s="128" t="str">
        <f>VLOOKUP(source[[#This Row],[lending_product_transform]],[3]Mapping!$B$4:$C$37,2,0)</f>
        <v>[Cake] - Cashloan</v>
      </c>
      <c r="H11567" s="128" t="str">
        <f>VLOOKUP(source[[#This Row],[lending_product_transform]],[3]Mapping!$B$3:$D$37,3,0)</f>
        <v>cashloan</v>
      </c>
      <c r="I11567" s="135">
        <v>2056575924</v>
      </c>
    </row>
    <row r="11568" spans="1:9" x14ac:dyDescent="0.2">
      <c r="A11568" s="134">
        <v>46017</v>
      </c>
      <c r="B11568" s="135">
        <f>YEAR(source[[#This Row],[report_date]])</f>
        <v>2025</v>
      </c>
      <c r="C11568" s="128">
        <f t="shared" si="538"/>
        <v>12</v>
      </c>
      <c r="D11568" s="136">
        <f t="shared" si="540"/>
        <v>52</v>
      </c>
      <c r="E11568" s="136">
        <f t="shared" si="539"/>
        <v>26</v>
      </c>
      <c r="F11568" s="137" t="s">
        <v>24</v>
      </c>
      <c r="G11568" s="128" t="str">
        <f>VLOOKUP(source[[#This Row],[lending_product_transform]],[3]Mapping!$B$4:$C$37,2,0)</f>
        <v>[Cake] - Cashloan</v>
      </c>
      <c r="H11568" s="128" t="str">
        <f>VLOOKUP(source[[#This Row],[lending_product_transform]],[3]Mapping!$B$3:$D$37,3,0)</f>
        <v>cashloan</v>
      </c>
      <c r="I11568" s="135">
        <v>12355524000</v>
      </c>
    </row>
    <row r="11569" spans="1:9" x14ac:dyDescent="0.2">
      <c r="A11569" s="134">
        <v>46017</v>
      </c>
      <c r="B11569" s="135">
        <f>YEAR(source[[#This Row],[report_date]])</f>
        <v>2025</v>
      </c>
      <c r="C11569" s="128">
        <f t="shared" si="538"/>
        <v>12</v>
      </c>
      <c r="D11569" s="136">
        <f t="shared" si="540"/>
        <v>52</v>
      </c>
      <c r="E11569" s="136">
        <f t="shared" si="539"/>
        <v>26</v>
      </c>
      <c r="F11569" s="137" t="s">
        <v>24</v>
      </c>
      <c r="G11569" s="128" t="str">
        <f>VLOOKUP(source[[#This Row],[lending_product_transform]],[3]Mapping!$B$4:$C$37,2,0)</f>
        <v>[Cake] - Cashloan</v>
      </c>
      <c r="H11569" s="128" t="str">
        <f>VLOOKUP(source[[#This Row],[lending_product_transform]],[3]Mapping!$B$3:$D$37,3,0)</f>
        <v>cashloan</v>
      </c>
      <c r="I11569" s="135">
        <v>12295858</v>
      </c>
    </row>
    <row r="11570" spans="1:9" x14ac:dyDescent="0.2">
      <c r="A11570" s="134">
        <v>46017</v>
      </c>
      <c r="B11570" s="135">
        <f>YEAR(source[[#This Row],[report_date]])</f>
        <v>2025</v>
      </c>
      <c r="C11570" s="128">
        <f t="shared" si="538"/>
        <v>12</v>
      </c>
      <c r="D11570" s="136">
        <f t="shared" si="540"/>
        <v>52</v>
      </c>
      <c r="E11570" s="136">
        <f t="shared" si="539"/>
        <v>26</v>
      </c>
      <c r="F11570" s="137" t="s">
        <v>24</v>
      </c>
      <c r="G11570" s="128" t="str">
        <f>VLOOKUP(source[[#This Row],[lending_product_transform]],[3]Mapping!$B$4:$C$37,2,0)</f>
        <v>[Cake] - Cashloan</v>
      </c>
      <c r="H11570" s="128" t="str">
        <f>VLOOKUP(source[[#This Row],[lending_product_transform]],[3]Mapping!$B$3:$D$37,3,0)</f>
        <v>cashloan</v>
      </c>
      <c r="I11570" s="135">
        <v>0</v>
      </c>
    </row>
    <row r="11571" spans="1:9" x14ac:dyDescent="0.2">
      <c r="A11571" s="134">
        <v>46017</v>
      </c>
      <c r="B11571" s="135">
        <f>YEAR(source[[#This Row],[report_date]])</f>
        <v>2025</v>
      </c>
      <c r="C11571" s="128">
        <f t="shared" si="538"/>
        <v>12</v>
      </c>
      <c r="D11571" s="136">
        <f t="shared" si="540"/>
        <v>52</v>
      </c>
      <c r="E11571" s="136">
        <f t="shared" si="539"/>
        <v>26</v>
      </c>
      <c r="F11571" s="137" t="s">
        <v>24</v>
      </c>
      <c r="G11571" s="128" t="str">
        <f>VLOOKUP(source[[#This Row],[lending_product_transform]],[3]Mapping!$B$4:$C$37,2,0)</f>
        <v>[Cake] - Cashloan</v>
      </c>
      <c r="H11571" s="128" t="str">
        <f>VLOOKUP(source[[#This Row],[lending_product_transform]],[3]Mapping!$B$3:$D$37,3,0)</f>
        <v>cashloan</v>
      </c>
      <c r="I11571" s="135">
        <v>4124640000</v>
      </c>
    </row>
    <row r="11572" spans="1:9" x14ac:dyDescent="0.2">
      <c r="A11572" s="134">
        <v>46017</v>
      </c>
      <c r="B11572" s="135">
        <f>YEAR(source[[#This Row],[report_date]])</f>
        <v>2025</v>
      </c>
      <c r="C11572" s="128">
        <f t="shared" si="538"/>
        <v>12</v>
      </c>
      <c r="D11572" s="136">
        <f t="shared" si="540"/>
        <v>52</v>
      </c>
      <c r="E11572" s="136">
        <f t="shared" si="539"/>
        <v>26</v>
      </c>
      <c r="F11572" s="137" t="s">
        <v>24</v>
      </c>
      <c r="G11572" s="128" t="str">
        <f>VLOOKUP(source[[#This Row],[lending_product_transform]],[3]Mapping!$B$4:$C$37,2,0)</f>
        <v>[Cake] - Cashloan</v>
      </c>
      <c r="H11572" s="128" t="str">
        <f>VLOOKUP(source[[#This Row],[lending_product_transform]],[3]Mapping!$B$3:$D$37,3,0)</f>
        <v>cashloan</v>
      </c>
      <c r="I11572" s="135">
        <v>2490000</v>
      </c>
    </row>
    <row r="11573" spans="1:9" x14ac:dyDescent="0.2">
      <c r="A11573" s="134">
        <v>46017</v>
      </c>
      <c r="B11573" s="135">
        <f>YEAR(source[[#This Row],[report_date]])</f>
        <v>2025</v>
      </c>
      <c r="C11573" s="128">
        <f t="shared" si="538"/>
        <v>12</v>
      </c>
      <c r="D11573" s="136">
        <f t="shared" si="540"/>
        <v>52</v>
      </c>
      <c r="E11573" s="136">
        <f t="shared" si="539"/>
        <v>26</v>
      </c>
      <c r="F11573" s="137" t="s">
        <v>24</v>
      </c>
      <c r="G11573" s="128" t="str">
        <f>VLOOKUP(source[[#This Row],[lending_product_transform]],[3]Mapping!$B$4:$C$37,2,0)</f>
        <v>[Cake] - Cashloan</v>
      </c>
      <c r="H11573" s="128" t="str">
        <f>VLOOKUP(source[[#This Row],[lending_product_transform]],[3]Mapping!$B$3:$D$37,3,0)</f>
        <v>cashloan</v>
      </c>
      <c r="I11573" s="135">
        <v>799962120</v>
      </c>
    </row>
    <row r="11574" spans="1:9" x14ac:dyDescent="0.2">
      <c r="A11574" s="134">
        <v>46017</v>
      </c>
      <c r="B11574" s="135">
        <f>YEAR(source[[#This Row],[report_date]])</f>
        <v>2025</v>
      </c>
      <c r="C11574" s="128">
        <f t="shared" ref="C11574:C11637" si="541">MONTH(A11574)</f>
        <v>12</v>
      </c>
      <c r="D11574" s="136">
        <f t="shared" si="540"/>
        <v>52</v>
      </c>
      <c r="E11574" s="136">
        <f t="shared" ref="E11574:E11637" si="542">DAY(A11574)</f>
        <v>26</v>
      </c>
      <c r="F11574" s="137" t="s">
        <v>24</v>
      </c>
      <c r="G11574" s="128" t="str">
        <f>VLOOKUP(source[[#This Row],[lending_product_transform]],[3]Mapping!$B$4:$C$37,2,0)</f>
        <v>[Cake] - Cashloan</v>
      </c>
      <c r="H11574" s="128" t="str">
        <f>VLOOKUP(source[[#This Row],[lending_product_transform]],[3]Mapping!$B$3:$D$37,3,0)</f>
        <v>cashloan</v>
      </c>
      <c r="I11574" s="135">
        <v>0</v>
      </c>
    </row>
    <row r="11575" spans="1:9" x14ac:dyDescent="0.2">
      <c r="A11575" s="134">
        <v>46017</v>
      </c>
      <c r="B11575" s="135">
        <f>YEAR(source[[#This Row],[report_date]])</f>
        <v>2025</v>
      </c>
      <c r="C11575" s="128">
        <f t="shared" si="541"/>
        <v>12</v>
      </c>
      <c r="D11575" s="136">
        <f t="shared" si="540"/>
        <v>52</v>
      </c>
      <c r="E11575" s="136">
        <f t="shared" si="542"/>
        <v>26</v>
      </c>
      <c r="F11575" s="137" t="s">
        <v>24</v>
      </c>
      <c r="G11575" s="128" t="str">
        <f>VLOOKUP(source[[#This Row],[lending_product_transform]],[3]Mapping!$B$4:$C$37,2,0)</f>
        <v>[Cake] - Cashloan</v>
      </c>
      <c r="H11575" s="128" t="str">
        <f>VLOOKUP(source[[#This Row],[lending_product_transform]],[3]Mapping!$B$3:$D$37,3,0)</f>
        <v>cashloan</v>
      </c>
      <c r="I11575" s="135">
        <v>547500000</v>
      </c>
    </row>
    <row r="11576" spans="1:9" x14ac:dyDescent="0.2">
      <c r="A11576" s="134">
        <v>46017</v>
      </c>
      <c r="B11576" s="135">
        <f>YEAR(source[[#This Row],[report_date]])</f>
        <v>2025</v>
      </c>
      <c r="C11576" s="128">
        <f t="shared" si="541"/>
        <v>12</v>
      </c>
      <c r="D11576" s="136">
        <f t="shared" si="540"/>
        <v>52</v>
      </c>
      <c r="E11576" s="136">
        <f t="shared" si="542"/>
        <v>26</v>
      </c>
      <c r="F11576" s="137" t="s">
        <v>24</v>
      </c>
      <c r="G11576" s="128" t="str">
        <f>VLOOKUP(source[[#This Row],[lending_product_transform]],[3]Mapping!$B$4:$C$37,2,0)</f>
        <v>[Cake] - Cashloan</v>
      </c>
      <c r="H11576" s="128" t="str">
        <f>VLOOKUP(source[[#This Row],[lending_product_transform]],[3]Mapping!$B$3:$D$37,3,0)</f>
        <v>cashloan</v>
      </c>
      <c r="I11576" s="135">
        <v>0</v>
      </c>
    </row>
    <row r="11577" spans="1:9" x14ac:dyDescent="0.2">
      <c r="A11577" s="134">
        <v>46017</v>
      </c>
      <c r="B11577" s="135">
        <f>YEAR(source[[#This Row],[report_date]])</f>
        <v>2025</v>
      </c>
      <c r="C11577" s="128">
        <f t="shared" si="541"/>
        <v>12</v>
      </c>
      <c r="D11577" s="136">
        <f t="shared" si="540"/>
        <v>52</v>
      </c>
      <c r="E11577" s="136">
        <f t="shared" si="542"/>
        <v>26</v>
      </c>
      <c r="F11577" s="137" t="s">
        <v>24</v>
      </c>
      <c r="G11577" s="128" t="str">
        <f>VLOOKUP(source[[#This Row],[lending_product_transform]],[3]Mapping!$B$4:$C$37,2,0)</f>
        <v>[Cake] - Cashloan</v>
      </c>
      <c r="H11577" s="128" t="str">
        <f>VLOOKUP(source[[#This Row],[lending_product_transform]],[3]Mapping!$B$3:$D$37,3,0)</f>
        <v>cashloan</v>
      </c>
      <c r="I11577" s="135">
        <v>15575630000</v>
      </c>
    </row>
    <row r="11578" spans="1:9" x14ac:dyDescent="0.2">
      <c r="A11578" s="134">
        <v>46017</v>
      </c>
      <c r="B11578" s="135">
        <f>YEAR(source[[#This Row],[report_date]])</f>
        <v>2025</v>
      </c>
      <c r="C11578" s="128">
        <f t="shared" si="541"/>
        <v>12</v>
      </c>
      <c r="D11578" s="136">
        <f t="shared" si="540"/>
        <v>52</v>
      </c>
      <c r="E11578" s="136">
        <f t="shared" si="542"/>
        <v>26</v>
      </c>
      <c r="F11578" s="137" t="s">
        <v>24</v>
      </c>
      <c r="G11578" s="128" t="str">
        <f>VLOOKUP(source[[#This Row],[lending_product_transform]],[3]Mapping!$B$4:$C$37,2,0)</f>
        <v>[Cake] - Cashloan</v>
      </c>
      <c r="H11578" s="128" t="str">
        <f>VLOOKUP(source[[#This Row],[lending_product_transform]],[3]Mapping!$B$3:$D$37,3,0)</f>
        <v>cashloan</v>
      </c>
      <c r="I11578" s="135">
        <v>0</v>
      </c>
    </row>
    <row r="11579" spans="1:9" x14ac:dyDescent="0.2">
      <c r="A11579" s="134">
        <v>46017</v>
      </c>
      <c r="B11579" s="135">
        <f>YEAR(source[[#This Row],[report_date]])</f>
        <v>2025</v>
      </c>
      <c r="C11579" s="128">
        <f t="shared" si="541"/>
        <v>12</v>
      </c>
      <c r="D11579" s="136">
        <f t="shared" si="540"/>
        <v>52</v>
      </c>
      <c r="E11579" s="136">
        <f t="shared" si="542"/>
        <v>26</v>
      </c>
      <c r="F11579" s="137" t="s">
        <v>24</v>
      </c>
      <c r="G11579" s="128" t="str">
        <f>VLOOKUP(source[[#This Row],[lending_product_transform]],[3]Mapping!$B$4:$C$37,2,0)</f>
        <v>[Cake] - Cashloan</v>
      </c>
      <c r="H11579" s="128" t="str">
        <f>VLOOKUP(source[[#This Row],[lending_product_transform]],[3]Mapping!$B$3:$D$37,3,0)</f>
        <v>cashloan</v>
      </c>
      <c r="I11579" s="135">
        <v>0</v>
      </c>
    </row>
    <row r="11580" spans="1:9" x14ac:dyDescent="0.2">
      <c r="A11580" s="134">
        <v>46017</v>
      </c>
      <c r="B11580" s="135">
        <f>YEAR(source[[#This Row],[report_date]])</f>
        <v>2025</v>
      </c>
      <c r="C11580" s="128">
        <f t="shared" si="541"/>
        <v>12</v>
      </c>
      <c r="D11580" s="136">
        <f t="shared" si="540"/>
        <v>52</v>
      </c>
      <c r="E11580" s="136">
        <f t="shared" si="542"/>
        <v>26</v>
      </c>
      <c r="F11580" s="137" t="s">
        <v>24</v>
      </c>
      <c r="G11580" s="128" t="str">
        <f>VLOOKUP(source[[#This Row],[lending_product_transform]],[3]Mapping!$B$4:$C$37,2,0)</f>
        <v>[Cake] - Cashloan</v>
      </c>
      <c r="H11580" s="128" t="str">
        <f>VLOOKUP(source[[#This Row],[lending_product_transform]],[3]Mapping!$B$3:$D$37,3,0)</f>
        <v>cashloan</v>
      </c>
      <c r="I11580" s="135">
        <v>0</v>
      </c>
    </row>
    <row r="11581" spans="1:9" x14ac:dyDescent="0.2">
      <c r="A11581" s="134">
        <v>46017</v>
      </c>
      <c r="B11581" s="135">
        <f>YEAR(source[[#This Row],[report_date]])</f>
        <v>2025</v>
      </c>
      <c r="C11581" s="128">
        <f t="shared" si="541"/>
        <v>12</v>
      </c>
      <c r="D11581" s="136">
        <f t="shared" si="540"/>
        <v>52</v>
      </c>
      <c r="E11581" s="136">
        <f t="shared" si="542"/>
        <v>26</v>
      </c>
      <c r="F11581" s="137" t="s">
        <v>24</v>
      </c>
      <c r="G11581" s="128" t="str">
        <f>VLOOKUP(source[[#This Row],[lending_product_transform]],[3]Mapping!$B$4:$C$37,2,0)</f>
        <v>[Cake] - Cashloan</v>
      </c>
      <c r="H11581" s="128" t="str">
        <f>VLOOKUP(source[[#This Row],[lending_product_transform]],[3]Mapping!$B$3:$D$37,3,0)</f>
        <v>cashloan</v>
      </c>
      <c r="I11581" s="135">
        <v>0</v>
      </c>
    </row>
    <row r="11582" spans="1:9" x14ac:dyDescent="0.2">
      <c r="A11582" s="134">
        <v>46017</v>
      </c>
      <c r="B11582" s="135">
        <f>YEAR(source[[#This Row],[report_date]])</f>
        <v>2025</v>
      </c>
      <c r="C11582" s="128">
        <f t="shared" si="541"/>
        <v>12</v>
      </c>
      <c r="D11582" s="136">
        <f t="shared" si="540"/>
        <v>52</v>
      </c>
      <c r="E11582" s="136">
        <f t="shared" si="542"/>
        <v>26</v>
      </c>
      <c r="F11582" s="137" t="s">
        <v>24</v>
      </c>
      <c r="G11582" s="128" t="str">
        <f>VLOOKUP(source[[#This Row],[lending_product_transform]],[3]Mapping!$B$4:$C$37,2,0)</f>
        <v>[Cake] - Cashloan</v>
      </c>
      <c r="H11582" s="128" t="str">
        <f>VLOOKUP(source[[#This Row],[lending_product_transform]],[3]Mapping!$B$3:$D$37,3,0)</f>
        <v>cashloan</v>
      </c>
      <c r="I11582" s="135">
        <v>8508564000</v>
      </c>
    </row>
    <row r="11583" spans="1:9" x14ac:dyDescent="0.2">
      <c r="A11583" s="134">
        <v>46017</v>
      </c>
      <c r="B11583" s="135">
        <f>YEAR(source[[#This Row],[report_date]])</f>
        <v>2025</v>
      </c>
      <c r="C11583" s="128">
        <f t="shared" si="541"/>
        <v>12</v>
      </c>
      <c r="D11583" s="136">
        <f t="shared" si="540"/>
        <v>52</v>
      </c>
      <c r="E11583" s="136">
        <f t="shared" si="542"/>
        <v>26</v>
      </c>
      <c r="F11583" s="137" t="s">
        <v>24</v>
      </c>
      <c r="G11583" s="128" t="str">
        <f>VLOOKUP(source[[#This Row],[lending_product_transform]],[3]Mapping!$B$4:$C$37,2,0)</f>
        <v>[Cake] - Cashloan</v>
      </c>
      <c r="H11583" s="128" t="str">
        <f>VLOOKUP(source[[#This Row],[lending_product_transform]],[3]Mapping!$B$3:$D$37,3,0)</f>
        <v>cashloan</v>
      </c>
      <c r="I11583" s="135">
        <v>148119423</v>
      </c>
    </row>
    <row r="11584" spans="1:9" x14ac:dyDescent="0.2">
      <c r="A11584" s="134">
        <v>46017</v>
      </c>
      <c r="B11584" s="135">
        <f>YEAR(source[[#This Row],[report_date]])</f>
        <v>2025</v>
      </c>
      <c r="C11584" s="128">
        <f t="shared" si="541"/>
        <v>12</v>
      </c>
      <c r="D11584" s="136">
        <f t="shared" si="540"/>
        <v>52</v>
      </c>
      <c r="E11584" s="136">
        <f t="shared" si="542"/>
        <v>26</v>
      </c>
      <c r="F11584" s="137" t="s">
        <v>24</v>
      </c>
      <c r="G11584" s="128" t="str">
        <f>VLOOKUP(source[[#This Row],[lending_product_transform]],[3]Mapping!$B$4:$C$37,2,0)</f>
        <v>[Cake] - Cashloan</v>
      </c>
      <c r="H11584" s="128" t="str">
        <f>VLOOKUP(source[[#This Row],[lending_product_transform]],[3]Mapping!$B$3:$D$37,3,0)</f>
        <v>cashloan</v>
      </c>
      <c r="I11584" s="135">
        <v>21000000</v>
      </c>
    </row>
    <row r="11585" spans="1:9" x14ac:dyDescent="0.2">
      <c r="A11585" s="134">
        <v>46017</v>
      </c>
      <c r="B11585" s="135">
        <f>YEAR(source[[#This Row],[report_date]])</f>
        <v>2025</v>
      </c>
      <c r="C11585" s="128">
        <f t="shared" si="541"/>
        <v>12</v>
      </c>
      <c r="D11585" s="136">
        <f t="shared" si="540"/>
        <v>52</v>
      </c>
      <c r="E11585" s="136">
        <f t="shared" si="542"/>
        <v>26</v>
      </c>
      <c r="F11585" s="137" t="s">
        <v>24</v>
      </c>
      <c r="G11585" s="128" t="str">
        <f>VLOOKUP(source[[#This Row],[lending_product_transform]],[3]Mapping!$B$4:$C$37,2,0)</f>
        <v>[Cake] - Cashloan</v>
      </c>
      <c r="H11585" s="128" t="str">
        <f>VLOOKUP(source[[#This Row],[lending_product_transform]],[3]Mapping!$B$3:$D$37,3,0)</f>
        <v>cashloan</v>
      </c>
      <c r="I11585" s="135">
        <v>91000000</v>
      </c>
    </row>
    <row r="11586" spans="1:9" x14ac:dyDescent="0.2">
      <c r="A11586" s="134">
        <v>46017</v>
      </c>
      <c r="B11586" s="135">
        <f>YEAR(source[[#This Row],[report_date]])</f>
        <v>2025</v>
      </c>
      <c r="C11586" s="128">
        <f t="shared" si="541"/>
        <v>12</v>
      </c>
      <c r="D11586" s="136">
        <f t="shared" si="540"/>
        <v>52</v>
      </c>
      <c r="E11586" s="136">
        <f t="shared" si="542"/>
        <v>26</v>
      </c>
      <c r="F11586" s="137" t="s">
        <v>24</v>
      </c>
      <c r="G11586" s="128" t="str">
        <f>VLOOKUP(source[[#This Row],[lending_product_transform]],[3]Mapping!$B$4:$C$37,2,0)</f>
        <v>[Cake] - Cashloan</v>
      </c>
      <c r="H11586" s="128" t="str">
        <f>VLOOKUP(source[[#This Row],[lending_product_transform]],[3]Mapping!$B$3:$D$37,3,0)</f>
        <v>cashloan</v>
      </c>
      <c r="I11586" s="135">
        <v>855120000</v>
      </c>
    </row>
    <row r="11587" spans="1:9" x14ac:dyDescent="0.2">
      <c r="A11587" s="134">
        <v>46017</v>
      </c>
      <c r="B11587" s="135">
        <f>YEAR(source[[#This Row],[report_date]])</f>
        <v>2025</v>
      </c>
      <c r="C11587" s="128">
        <f t="shared" si="541"/>
        <v>12</v>
      </c>
      <c r="D11587" s="136">
        <f t="shared" ref="D11587:D11650" si="543">WEEKNUM(A11587,2)</f>
        <v>52</v>
      </c>
      <c r="E11587" s="136">
        <f t="shared" si="542"/>
        <v>26</v>
      </c>
      <c r="F11587" s="137" t="s">
        <v>24</v>
      </c>
      <c r="G11587" s="128" t="str">
        <f>VLOOKUP(source[[#This Row],[lending_product_transform]],[3]Mapping!$B$4:$C$37,2,0)</f>
        <v>[Cake] - Cashloan</v>
      </c>
      <c r="H11587" s="128" t="str">
        <f>VLOOKUP(source[[#This Row],[lending_product_transform]],[3]Mapping!$B$3:$D$37,3,0)</f>
        <v>cashloan</v>
      </c>
      <c r="I11587" s="135">
        <v>395280000</v>
      </c>
    </row>
    <row r="11588" spans="1:9" x14ac:dyDescent="0.2">
      <c r="A11588" s="134">
        <v>46017</v>
      </c>
      <c r="B11588" s="135">
        <f>YEAR(source[[#This Row],[report_date]])</f>
        <v>2025</v>
      </c>
      <c r="C11588" s="128">
        <f t="shared" si="541"/>
        <v>12</v>
      </c>
      <c r="D11588" s="136">
        <f t="shared" si="543"/>
        <v>52</v>
      </c>
      <c r="E11588" s="136">
        <f t="shared" si="542"/>
        <v>26</v>
      </c>
      <c r="F11588" s="137" t="s">
        <v>24</v>
      </c>
      <c r="G11588" s="128" t="str">
        <f>VLOOKUP(source[[#This Row],[lending_product_transform]],[3]Mapping!$B$4:$C$37,2,0)</f>
        <v>[Cake] - Cashloan</v>
      </c>
      <c r="H11588" s="128" t="str">
        <f>VLOOKUP(source[[#This Row],[lending_product_transform]],[3]Mapping!$B$3:$D$37,3,0)</f>
        <v>cashloan</v>
      </c>
      <c r="I11588" s="135">
        <v>317074075</v>
      </c>
    </row>
    <row r="11589" spans="1:9" x14ac:dyDescent="0.2">
      <c r="A11589" s="134">
        <v>46017</v>
      </c>
      <c r="B11589" s="135">
        <f>YEAR(source[[#This Row],[report_date]])</f>
        <v>2025</v>
      </c>
      <c r="C11589" s="128">
        <f t="shared" si="541"/>
        <v>12</v>
      </c>
      <c r="D11589" s="136">
        <f t="shared" si="543"/>
        <v>52</v>
      </c>
      <c r="E11589" s="136">
        <f t="shared" si="542"/>
        <v>26</v>
      </c>
      <c r="F11589" s="137" t="s">
        <v>24</v>
      </c>
      <c r="G11589" s="128" t="str">
        <f>VLOOKUP(source[[#This Row],[lending_product_transform]],[3]Mapping!$B$4:$C$37,2,0)</f>
        <v>[Cake] - Cashloan</v>
      </c>
      <c r="H11589" s="128" t="str">
        <f>VLOOKUP(source[[#This Row],[lending_product_transform]],[3]Mapping!$B$3:$D$37,3,0)</f>
        <v>cashloan</v>
      </c>
      <c r="I11589" s="135">
        <v>3715400000</v>
      </c>
    </row>
    <row r="11590" spans="1:9" x14ac:dyDescent="0.2">
      <c r="A11590" s="134">
        <v>46017</v>
      </c>
      <c r="B11590" s="135">
        <f>YEAR(source[[#This Row],[report_date]])</f>
        <v>2025</v>
      </c>
      <c r="C11590" s="128">
        <f t="shared" si="541"/>
        <v>12</v>
      </c>
      <c r="D11590" s="136">
        <f t="shared" si="543"/>
        <v>52</v>
      </c>
      <c r="E11590" s="136">
        <f t="shared" si="542"/>
        <v>26</v>
      </c>
      <c r="F11590" s="137" t="s">
        <v>24</v>
      </c>
      <c r="G11590" s="128" t="str">
        <f>VLOOKUP(source[[#This Row],[lending_product_transform]],[3]Mapping!$B$4:$C$37,2,0)</f>
        <v>[Cake] - Cashloan</v>
      </c>
      <c r="H11590" s="128" t="str">
        <f>VLOOKUP(source[[#This Row],[lending_product_transform]],[3]Mapping!$B$3:$D$37,3,0)</f>
        <v>cashloan</v>
      </c>
      <c r="I11590" s="135">
        <v>0</v>
      </c>
    </row>
    <row r="11591" spans="1:9" x14ac:dyDescent="0.2">
      <c r="A11591" s="134">
        <v>46018</v>
      </c>
      <c r="B11591" s="135">
        <f>YEAR(source[[#This Row],[report_date]])</f>
        <v>2025</v>
      </c>
      <c r="C11591" s="128">
        <f t="shared" si="541"/>
        <v>12</v>
      </c>
      <c r="D11591" s="136">
        <f t="shared" si="543"/>
        <v>52</v>
      </c>
      <c r="E11591" s="136">
        <f t="shared" si="542"/>
        <v>27</v>
      </c>
      <c r="F11591" s="137" t="s">
        <v>24</v>
      </c>
      <c r="G11591" s="128" t="str">
        <f>VLOOKUP(source[[#This Row],[lending_product_transform]],[3]Mapping!$B$4:$C$37,2,0)</f>
        <v>[Cake] - Cashloan</v>
      </c>
      <c r="H11591" s="128" t="str">
        <f>VLOOKUP(source[[#This Row],[lending_product_transform]],[3]Mapping!$B$3:$D$37,3,0)</f>
        <v>cashloan</v>
      </c>
      <c r="I11591" s="135">
        <v>446700000</v>
      </c>
    </row>
    <row r="11592" spans="1:9" x14ac:dyDescent="0.2">
      <c r="A11592" s="134">
        <v>46018</v>
      </c>
      <c r="B11592" s="135">
        <f>YEAR(source[[#This Row],[report_date]])</f>
        <v>2025</v>
      </c>
      <c r="C11592" s="128">
        <f t="shared" si="541"/>
        <v>12</v>
      </c>
      <c r="D11592" s="136">
        <f t="shared" si="543"/>
        <v>52</v>
      </c>
      <c r="E11592" s="136">
        <f t="shared" si="542"/>
        <v>27</v>
      </c>
      <c r="F11592" s="137" t="s">
        <v>24</v>
      </c>
      <c r="G11592" s="128" t="str">
        <f>VLOOKUP(source[[#This Row],[lending_product_transform]],[3]Mapping!$B$4:$C$37,2,0)</f>
        <v>[Cake] - Cashloan</v>
      </c>
      <c r="H11592" s="128" t="str">
        <f>VLOOKUP(source[[#This Row],[lending_product_transform]],[3]Mapping!$B$3:$D$37,3,0)</f>
        <v>cashloan</v>
      </c>
      <c r="I11592" s="135">
        <v>368797724</v>
      </c>
    </row>
    <row r="11593" spans="1:9" x14ac:dyDescent="0.2">
      <c r="A11593" s="134">
        <v>46018</v>
      </c>
      <c r="B11593" s="135">
        <f>YEAR(source[[#This Row],[report_date]])</f>
        <v>2025</v>
      </c>
      <c r="C11593" s="128">
        <f t="shared" si="541"/>
        <v>12</v>
      </c>
      <c r="D11593" s="136">
        <f t="shared" si="543"/>
        <v>52</v>
      </c>
      <c r="E11593" s="136">
        <f t="shared" si="542"/>
        <v>27</v>
      </c>
      <c r="F11593" s="137" t="s">
        <v>24</v>
      </c>
      <c r="G11593" s="128" t="str">
        <f>VLOOKUP(source[[#This Row],[lending_product_transform]],[3]Mapping!$B$4:$C$37,2,0)</f>
        <v>[Cake] - Cashloan</v>
      </c>
      <c r="H11593" s="128" t="str">
        <f>VLOOKUP(source[[#This Row],[lending_product_transform]],[3]Mapping!$B$3:$D$37,3,0)</f>
        <v>cashloan</v>
      </c>
      <c r="I11593" s="135">
        <v>13261580000</v>
      </c>
    </row>
    <row r="11594" spans="1:9" x14ac:dyDescent="0.2">
      <c r="A11594" s="134">
        <v>46018</v>
      </c>
      <c r="B11594" s="135">
        <f>YEAR(source[[#This Row],[report_date]])</f>
        <v>2025</v>
      </c>
      <c r="C11594" s="128">
        <f t="shared" si="541"/>
        <v>12</v>
      </c>
      <c r="D11594" s="136">
        <f t="shared" si="543"/>
        <v>52</v>
      </c>
      <c r="E11594" s="136">
        <f t="shared" si="542"/>
        <v>27</v>
      </c>
      <c r="F11594" s="137" t="s">
        <v>24</v>
      </c>
      <c r="G11594" s="128" t="str">
        <f>VLOOKUP(source[[#This Row],[lending_product_transform]],[3]Mapping!$B$4:$C$37,2,0)</f>
        <v>[Cake] - Cashloan</v>
      </c>
      <c r="H11594" s="128" t="str">
        <f>VLOOKUP(source[[#This Row],[lending_product_transform]],[3]Mapping!$B$3:$D$37,3,0)</f>
        <v>cashloan</v>
      </c>
      <c r="I11594" s="135">
        <v>1777974573</v>
      </c>
    </row>
    <row r="11595" spans="1:9" x14ac:dyDescent="0.2">
      <c r="A11595" s="134">
        <v>46018</v>
      </c>
      <c r="B11595" s="135">
        <f>YEAR(source[[#This Row],[report_date]])</f>
        <v>2025</v>
      </c>
      <c r="C11595" s="128">
        <f t="shared" si="541"/>
        <v>12</v>
      </c>
      <c r="D11595" s="136">
        <f t="shared" si="543"/>
        <v>52</v>
      </c>
      <c r="E11595" s="136">
        <f t="shared" si="542"/>
        <v>27</v>
      </c>
      <c r="F11595" s="137" t="s">
        <v>24</v>
      </c>
      <c r="G11595" s="128" t="str">
        <f>VLOOKUP(source[[#This Row],[lending_product_transform]],[3]Mapping!$B$4:$C$37,2,0)</f>
        <v>[Cake] - Cashloan</v>
      </c>
      <c r="H11595" s="128" t="str">
        <f>VLOOKUP(source[[#This Row],[lending_product_transform]],[3]Mapping!$B$3:$D$37,3,0)</f>
        <v>cashloan</v>
      </c>
      <c r="I11595" s="135">
        <v>11338056000</v>
      </c>
    </row>
    <row r="11596" spans="1:9" x14ac:dyDescent="0.2">
      <c r="A11596" s="134">
        <v>46018</v>
      </c>
      <c r="B11596" s="135">
        <f>YEAR(source[[#This Row],[report_date]])</f>
        <v>2025</v>
      </c>
      <c r="C11596" s="128">
        <f t="shared" si="541"/>
        <v>12</v>
      </c>
      <c r="D11596" s="136">
        <f t="shared" si="543"/>
        <v>52</v>
      </c>
      <c r="E11596" s="136">
        <f t="shared" si="542"/>
        <v>27</v>
      </c>
      <c r="F11596" s="137" t="s">
        <v>24</v>
      </c>
      <c r="G11596" s="128" t="str">
        <f>VLOOKUP(source[[#This Row],[lending_product_transform]],[3]Mapping!$B$4:$C$37,2,0)</f>
        <v>[Cake] - Cashloan</v>
      </c>
      <c r="H11596" s="128" t="str">
        <f>VLOOKUP(source[[#This Row],[lending_product_transform]],[3]Mapping!$B$3:$D$37,3,0)</f>
        <v>cashloan</v>
      </c>
      <c r="I11596" s="135">
        <v>11752456</v>
      </c>
    </row>
    <row r="11597" spans="1:9" x14ac:dyDescent="0.2">
      <c r="A11597" s="134">
        <v>46018</v>
      </c>
      <c r="B11597" s="135">
        <f>YEAR(source[[#This Row],[report_date]])</f>
        <v>2025</v>
      </c>
      <c r="C11597" s="128">
        <f t="shared" si="541"/>
        <v>12</v>
      </c>
      <c r="D11597" s="136">
        <f t="shared" si="543"/>
        <v>52</v>
      </c>
      <c r="E11597" s="136">
        <f t="shared" si="542"/>
        <v>27</v>
      </c>
      <c r="F11597" s="137" t="s">
        <v>24</v>
      </c>
      <c r="G11597" s="128" t="str">
        <f>VLOOKUP(source[[#This Row],[lending_product_transform]],[3]Mapping!$B$4:$C$37,2,0)</f>
        <v>[Cake] - Cashloan</v>
      </c>
      <c r="H11597" s="128" t="str">
        <f>VLOOKUP(source[[#This Row],[lending_product_transform]],[3]Mapping!$B$3:$D$37,3,0)</f>
        <v>cashloan</v>
      </c>
      <c r="I11597" s="135">
        <v>0</v>
      </c>
    </row>
    <row r="11598" spans="1:9" x14ac:dyDescent="0.2">
      <c r="A11598" s="134">
        <v>46018</v>
      </c>
      <c r="B11598" s="135">
        <f>YEAR(source[[#This Row],[report_date]])</f>
        <v>2025</v>
      </c>
      <c r="C11598" s="128">
        <f t="shared" si="541"/>
        <v>12</v>
      </c>
      <c r="D11598" s="136">
        <f t="shared" si="543"/>
        <v>52</v>
      </c>
      <c r="E11598" s="136">
        <f t="shared" si="542"/>
        <v>27</v>
      </c>
      <c r="F11598" s="137" t="s">
        <v>24</v>
      </c>
      <c r="G11598" s="128" t="str">
        <f>VLOOKUP(source[[#This Row],[lending_product_transform]],[3]Mapping!$B$4:$C$37,2,0)</f>
        <v>[Cake] - Cashloan</v>
      </c>
      <c r="H11598" s="128" t="str">
        <f>VLOOKUP(source[[#This Row],[lending_product_transform]],[3]Mapping!$B$3:$D$37,3,0)</f>
        <v>cashloan</v>
      </c>
      <c r="I11598" s="135">
        <v>3192550000</v>
      </c>
    </row>
    <row r="11599" spans="1:9" x14ac:dyDescent="0.2">
      <c r="A11599" s="134">
        <v>46018</v>
      </c>
      <c r="B11599" s="135">
        <f>YEAR(source[[#This Row],[report_date]])</f>
        <v>2025</v>
      </c>
      <c r="C11599" s="128">
        <f t="shared" si="541"/>
        <v>12</v>
      </c>
      <c r="D11599" s="136">
        <f t="shared" si="543"/>
        <v>52</v>
      </c>
      <c r="E11599" s="136">
        <f t="shared" si="542"/>
        <v>27</v>
      </c>
      <c r="F11599" s="137" t="s">
        <v>24</v>
      </c>
      <c r="G11599" s="128" t="str">
        <f>VLOOKUP(source[[#This Row],[lending_product_transform]],[3]Mapping!$B$4:$C$37,2,0)</f>
        <v>[Cake] - Cashloan</v>
      </c>
      <c r="H11599" s="128" t="str">
        <f>VLOOKUP(source[[#This Row],[lending_product_transform]],[3]Mapping!$B$3:$D$37,3,0)</f>
        <v>cashloan</v>
      </c>
      <c r="I11599" s="135">
        <v>5060866</v>
      </c>
    </row>
    <row r="11600" spans="1:9" x14ac:dyDescent="0.2">
      <c r="A11600" s="134">
        <v>46018</v>
      </c>
      <c r="B11600" s="135">
        <f>YEAR(source[[#This Row],[report_date]])</f>
        <v>2025</v>
      </c>
      <c r="C11600" s="128">
        <f t="shared" si="541"/>
        <v>12</v>
      </c>
      <c r="D11600" s="136">
        <f t="shared" si="543"/>
        <v>52</v>
      </c>
      <c r="E11600" s="136">
        <f t="shared" si="542"/>
        <v>27</v>
      </c>
      <c r="F11600" s="137" t="s">
        <v>24</v>
      </c>
      <c r="G11600" s="128" t="str">
        <f>VLOOKUP(source[[#This Row],[lending_product_transform]],[3]Mapping!$B$4:$C$37,2,0)</f>
        <v>[Cake] - Cashloan</v>
      </c>
      <c r="H11600" s="128" t="str">
        <f>VLOOKUP(source[[#This Row],[lending_product_transform]],[3]Mapping!$B$3:$D$37,3,0)</f>
        <v>cashloan</v>
      </c>
      <c r="I11600" s="135">
        <v>963659334</v>
      </c>
    </row>
    <row r="11601" spans="1:9" x14ac:dyDescent="0.2">
      <c r="A11601" s="134">
        <v>46018</v>
      </c>
      <c r="B11601" s="135">
        <f>YEAR(source[[#This Row],[report_date]])</f>
        <v>2025</v>
      </c>
      <c r="C11601" s="128">
        <f t="shared" si="541"/>
        <v>12</v>
      </c>
      <c r="D11601" s="136">
        <f t="shared" si="543"/>
        <v>52</v>
      </c>
      <c r="E11601" s="136">
        <f t="shared" si="542"/>
        <v>27</v>
      </c>
      <c r="F11601" s="137" t="s">
        <v>24</v>
      </c>
      <c r="G11601" s="128" t="str">
        <f>VLOOKUP(source[[#This Row],[lending_product_transform]],[3]Mapping!$B$4:$C$37,2,0)</f>
        <v>[Cake] - Cashloan</v>
      </c>
      <c r="H11601" s="128" t="str">
        <f>VLOOKUP(source[[#This Row],[lending_product_transform]],[3]Mapping!$B$3:$D$37,3,0)</f>
        <v>cashloan</v>
      </c>
      <c r="I11601" s="135">
        <v>0</v>
      </c>
    </row>
    <row r="11602" spans="1:9" x14ac:dyDescent="0.2">
      <c r="A11602" s="134">
        <v>46018</v>
      </c>
      <c r="B11602" s="135">
        <f>YEAR(source[[#This Row],[report_date]])</f>
        <v>2025</v>
      </c>
      <c r="C11602" s="128">
        <f t="shared" si="541"/>
        <v>12</v>
      </c>
      <c r="D11602" s="136">
        <f t="shared" si="543"/>
        <v>52</v>
      </c>
      <c r="E11602" s="136">
        <f t="shared" si="542"/>
        <v>27</v>
      </c>
      <c r="F11602" s="137" t="s">
        <v>24</v>
      </c>
      <c r="G11602" s="128" t="str">
        <f>VLOOKUP(source[[#This Row],[lending_product_transform]],[3]Mapping!$B$4:$C$37,2,0)</f>
        <v>[Cake] - Cashloan</v>
      </c>
      <c r="H11602" s="128" t="str">
        <f>VLOOKUP(source[[#This Row],[lending_product_transform]],[3]Mapping!$B$3:$D$37,3,0)</f>
        <v>cashloan</v>
      </c>
      <c r="I11602" s="135">
        <v>517500000</v>
      </c>
    </row>
    <row r="11603" spans="1:9" x14ac:dyDescent="0.2">
      <c r="A11603" s="134">
        <v>46018</v>
      </c>
      <c r="B11603" s="135">
        <f>YEAR(source[[#This Row],[report_date]])</f>
        <v>2025</v>
      </c>
      <c r="C11603" s="128">
        <f t="shared" si="541"/>
        <v>12</v>
      </c>
      <c r="D11603" s="136">
        <f t="shared" si="543"/>
        <v>52</v>
      </c>
      <c r="E11603" s="136">
        <f t="shared" si="542"/>
        <v>27</v>
      </c>
      <c r="F11603" s="137" t="s">
        <v>24</v>
      </c>
      <c r="G11603" s="128" t="str">
        <f>VLOOKUP(source[[#This Row],[lending_product_transform]],[3]Mapping!$B$4:$C$37,2,0)</f>
        <v>[Cake] - Cashloan</v>
      </c>
      <c r="H11603" s="128" t="str">
        <f>VLOOKUP(source[[#This Row],[lending_product_transform]],[3]Mapping!$B$3:$D$37,3,0)</f>
        <v>cashloan</v>
      </c>
      <c r="I11603" s="135">
        <v>0</v>
      </c>
    </row>
    <row r="11604" spans="1:9" x14ac:dyDescent="0.2">
      <c r="A11604" s="134">
        <v>46018</v>
      </c>
      <c r="B11604" s="135">
        <f>YEAR(source[[#This Row],[report_date]])</f>
        <v>2025</v>
      </c>
      <c r="C11604" s="128">
        <f t="shared" si="541"/>
        <v>12</v>
      </c>
      <c r="D11604" s="136">
        <f t="shared" si="543"/>
        <v>52</v>
      </c>
      <c r="E11604" s="136">
        <f t="shared" si="542"/>
        <v>27</v>
      </c>
      <c r="F11604" s="137" t="s">
        <v>24</v>
      </c>
      <c r="G11604" s="128" t="str">
        <f>VLOOKUP(source[[#This Row],[lending_product_transform]],[3]Mapping!$B$4:$C$37,2,0)</f>
        <v>[Cake] - Cashloan</v>
      </c>
      <c r="H11604" s="128" t="str">
        <f>VLOOKUP(source[[#This Row],[lending_product_transform]],[3]Mapping!$B$3:$D$37,3,0)</f>
        <v>cashloan</v>
      </c>
      <c r="I11604" s="135">
        <v>14276880000</v>
      </c>
    </row>
    <row r="11605" spans="1:9" x14ac:dyDescent="0.2">
      <c r="A11605" s="134">
        <v>46018</v>
      </c>
      <c r="B11605" s="135">
        <f>YEAR(source[[#This Row],[report_date]])</f>
        <v>2025</v>
      </c>
      <c r="C11605" s="128">
        <f t="shared" si="541"/>
        <v>12</v>
      </c>
      <c r="D11605" s="136">
        <f t="shared" si="543"/>
        <v>52</v>
      </c>
      <c r="E11605" s="136">
        <f t="shared" si="542"/>
        <v>27</v>
      </c>
      <c r="F11605" s="137" t="s">
        <v>24</v>
      </c>
      <c r="G11605" s="128" t="str">
        <f>VLOOKUP(source[[#This Row],[lending_product_transform]],[3]Mapping!$B$4:$C$37,2,0)</f>
        <v>[Cake] - Cashloan</v>
      </c>
      <c r="H11605" s="128" t="str">
        <f>VLOOKUP(source[[#This Row],[lending_product_transform]],[3]Mapping!$B$3:$D$37,3,0)</f>
        <v>cashloan</v>
      </c>
      <c r="I11605" s="135">
        <v>0</v>
      </c>
    </row>
    <row r="11606" spans="1:9" x14ac:dyDescent="0.2">
      <c r="A11606" s="134">
        <v>46018</v>
      </c>
      <c r="B11606" s="135">
        <f>YEAR(source[[#This Row],[report_date]])</f>
        <v>2025</v>
      </c>
      <c r="C11606" s="128">
        <f t="shared" si="541"/>
        <v>12</v>
      </c>
      <c r="D11606" s="136">
        <f t="shared" si="543"/>
        <v>52</v>
      </c>
      <c r="E11606" s="136">
        <f t="shared" si="542"/>
        <v>27</v>
      </c>
      <c r="F11606" s="137" t="s">
        <v>24</v>
      </c>
      <c r="G11606" s="128" t="str">
        <f>VLOOKUP(source[[#This Row],[lending_product_transform]],[3]Mapping!$B$4:$C$37,2,0)</f>
        <v>[Cake] - Cashloan</v>
      </c>
      <c r="H11606" s="128" t="str">
        <f>VLOOKUP(source[[#This Row],[lending_product_transform]],[3]Mapping!$B$3:$D$37,3,0)</f>
        <v>cashloan</v>
      </c>
      <c r="I11606" s="135">
        <v>0</v>
      </c>
    </row>
    <row r="11607" spans="1:9" x14ac:dyDescent="0.2">
      <c r="A11607" s="134">
        <v>46018</v>
      </c>
      <c r="B11607" s="135">
        <f>YEAR(source[[#This Row],[report_date]])</f>
        <v>2025</v>
      </c>
      <c r="C11607" s="128">
        <f t="shared" si="541"/>
        <v>12</v>
      </c>
      <c r="D11607" s="136">
        <f t="shared" si="543"/>
        <v>52</v>
      </c>
      <c r="E11607" s="136">
        <f t="shared" si="542"/>
        <v>27</v>
      </c>
      <c r="F11607" s="137" t="s">
        <v>24</v>
      </c>
      <c r="G11607" s="128" t="str">
        <f>VLOOKUP(source[[#This Row],[lending_product_transform]],[3]Mapping!$B$4:$C$37,2,0)</f>
        <v>[Cake] - Cashloan</v>
      </c>
      <c r="H11607" s="128" t="str">
        <f>VLOOKUP(source[[#This Row],[lending_product_transform]],[3]Mapping!$B$3:$D$37,3,0)</f>
        <v>cashloan</v>
      </c>
      <c r="I11607" s="135">
        <v>0</v>
      </c>
    </row>
    <row r="11608" spans="1:9" x14ac:dyDescent="0.2">
      <c r="A11608" s="134">
        <v>46018</v>
      </c>
      <c r="B11608" s="135">
        <f>YEAR(source[[#This Row],[report_date]])</f>
        <v>2025</v>
      </c>
      <c r="C11608" s="128">
        <f t="shared" si="541"/>
        <v>12</v>
      </c>
      <c r="D11608" s="136">
        <f t="shared" si="543"/>
        <v>52</v>
      </c>
      <c r="E11608" s="136">
        <f t="shared" si="542"/>
        <v>27</v>
      </c>
      <c r="F11608" s="137" t="s">
        <v>24</v>
      </c>
      <c r="G11608" s="128" t="str">
        <f>VLOOKUP(source[[#This Row],[lending_product_transform]],[3]Mapping!$B$4:$C$37,2,0)</f>
        <v>[Cake] - Cashloan</v>
      </c>
      <c r="H11608" s="128" t="str">
        <f>VLOOKUP(source[[#This Row],[lending_product_transform]],[3]Mapping!$B$3:$D$37,3,0)</f>
        <v>cashloan</v>
      </c>
      <c r="I11608" s="135">
        <v>27000000</v>
      </c>
    </row>
    <row r="11609" spans="1:9" x14ac:dyDescent="0.2">
      <c r="A11609" s="134">
        <v>46018</v>
      </c>
      <c r="B11609" s="135">
        <f>YEAR(source[[#This Row],[report_date]])</f>
        <v>2025</v>
      </c>
      <c r="C11609" s="128">
        <f t="shared" si="541"/>
        <v>12</v>
      </c>
      <c r="D11609" s="136">
        <f t="shared" si="543"/>
        <v>52</v>
      </c>
      <c r="E11609" s="136">
        <f t="shared" si="542"/>
        <v>27</v>
      </c>
      <c r="F11609" s="137" t="s">
        <v>24</v>
      </c>
      <c r="G11609" s="128" t="str">
        <f>VLOOKUP(source[[#This Row],[lending_product_transform]],[3]Mapping!$B$4:$C$37,2,0)</f>
        <v>[Cake] - Cashloan</v>
      </c>
      <c r="H11609" s="128" t="str">
        <f>VLOOKUP(source[[#This Row],[lending_product_transform]],[3]Mapping!$B$3:$D$37,3,0)</f>
        <v>cashloan</v>
      </c>
      <c r="I11609" s="135">
        <v>8435016000</v>
      </c>
    </row>
    <row r="11610" spans="1:9" x14ac:dyDescent="0.2">
      <c r="A11610" s="134">
        <v>46018</v>
      </c>
      <c r="B11610" s="135">
        <f>YEAR(source[[#This Row],[report_date]])</f>
        <v>2025</v>
      </c>
      <c r="C11610" s="128">
        <f t="shared" si="541"/>
        <v>12</v>
      </c>
      <c r="D11610" s="136">
        <f t="shared" si="543"/>
        <v>52</v>
      </c>
      <c r="E11610" s="136">
        <f t="shared" si="542"/>
        <v>27</v>
      </c>
      <c r="F11610" s="137" t="s">
        <v>24</v>
      </c>
      <c r="G11610" s="128" t="str">
        <f>VLOOKUP(source[[#This Row],[lending_product_transform]],[3]Mapping!$B$4:$C$37,2,0)</f>
        <v>[Cake] - Cashloan</v>
      </c>
      <c r="H11610" s="128" t="str">
        <f>VLOOKUP(source[[#This Row],[lending_product_transform]],[3]Mapping!$B$3:$D$37,3,0)</f>
        <v>cashloan</v>
      </c>
      <c r="I11610" s="135">
        <v>149301515</v>
      </c>
    </row>
    <row r="11611" spans="1:9" x14ac:dyDescent="0.2">
      <c r="A11611" s="134">
        <v>46018</v>
      </c>
      <c r="B11611" s="135">
        <f>YEAR(source[[#This Row],[report_date]])</f>
        <v>2025</v>
      </c>
      <c r="C11611" s="128">
        <f t="shared" si="541"/>
        <v>12</v>
      </c>
      <c r="D11611" s="136">
        <f t="shared" si="543"/>
        <v>52</v>
      </c>
      <c r="E11611" s="136">
        <f t="shared" si="542"/>
        <v>27</v>
      </c>
      <c r="F11611" s="137" t="s">
        <v>24</v>
      </c>
      <c r="G11611" s="128" t="str">
        <f>VLOOKUP(source[[#This Row],[lending_product_transform]],[3]Mapping!$B$4:$C$37,2,0)</f>
        <v>[Cake] - Cashloan</v>
      </c>
      <c r="H11611" s="128" t="str">
        <f>VLOOKUP(source[[#This Row],[lending_product_transform]],[3]Mapping!$B$3:$D$37,3,0)</f>
        <v>cashloan</v>
      </c>
      <c r="I11611" s="135">
        <v>0</v>
      </c>
    </row>
    <row r="11612" spans="1:9" x14ac:dyDescent="0.2">
      <c r="A11612" s="134">
        <v>46018</v>
      </c>
      <c r="B11612" s="135">
        <f>YEAR(source[[#This Row],[report_date]])</f>
        <v>2025</v>
      </c>
      <c r="C11612" s="128">
        <f t="shared" si="541"/>
        <v>12</v>
      </c>
      <c r="D11612" s="136">
        <f t="shared" si="543"/>
        <v>52</v>
      </c>
      <c r="E11612" s="136">
        <f t="shared" si="542"/>
        <v>27</v>
      </c>
      <c r="F11612" s="137" t="s">
        <v>24</v>
      </c>
      <c r="G11612" s="128" t="str">
        <f>VLOOKUP(source[[#This Row],[lending_product_transform]],[3]Mapping!$B$4:$C$37,2,0)</f>
        <v>[Cake] - Cashloan</v>
      </c>
      <c r="H11612" s="128" t="str">
        <f>VLOOKUP(source[[#This Row],[lending_product_transform]],[3]Mapping!$B$3:$D$37,3,0)</f>
        <v>cashloan</v>
      </c>
      <c r="I11612" s="135">
        <v>53000000</v>
      </c>
    </row>
    <row r="11613" spans="1:9" x14ac:dyDescent="0.2">
      <c r="A11613" s="134">
        <v>46018</v>
      </c>
      <c r="B11613" s="135">
        <f>YEAR(source[[#This Row],[report_date]])</f>
        <v>2025</v>
      </c>
      <c r="C11613" s="128">
        <f t="shared" si="541"/>
        <v>12</v>
      </c>
      <c r="D11613" s="136">
        <f t="shared" si="543"/>
        <v>52</v>
      </c>
      <c r="E11613" s="136">
        <f t="shared" si="542"/>
        <v>27</v>
      </c>
      <c r="F11613" s="137" t="s">
        <v>24</v>
      </c>
      <c r="G11613" s="128" t="str">
        <f>VLOOKUP(source[[#This Row],[lending_product_transform]],[3]Mapping!$B$4:$C$37,2,0)</f>
        <v>[Cake] - Cashloan</v>
      </c>
      <c r="H11613" s="128" t="str">
        <f>VLOOKUP(source[[#This Row],[lending_product_transform]],[3]Mapping!$B$3:$D$37,3,0)</f>
        <v>cashloan</v>
      </c>
      <c r="I11613" s="135">
        <v>890320000</v>
      </c>
    </row>
    <row r="11614" spans="1:9" x14ac:dyDescent="0.2">
      <c r="A11614" s="134">
        <v>46018</v>
      </c>
      <c r="B11614" s="135">
        <f>YEAR(source[[#This Row],[report_date]])</f>
        <v>2025</v>
      </c>
      <c r="C11614" s="128">
        <f t="shared" si="541"/>
        <v>12</v>
      </c>
      <c r="D11614" s="136">
        <f t="shared" si="543"/>
        <v>52</v>
      </c>
      <c r="E11614" s="136">
        <f t="shared" si="542"/>
        <v>27</v>
      </c>
      <c r="F11614" s="137" t="s">
        <v>24</v>
      </c>
      <c r="G11614" s="128" t="str">
        <f>VLOOKUP(source[[#This Row],[lending_product_transform]],[3]Mapping!$B$4:$C$37,2,0)</f>
        <v>[Cake] - Cashloan</v>
      </c>
      <c r="H11614" s="128" t="str">
        <f>VLOOKUP(source[[#This Row],[lending_product_transform]],[3]Mapping!$B$3:$D$37,3,0)</f>
        <v>cashloan</v>
      </c>
      <c r="I11614" s="135">
        <v>331560000</v>
      </c>
    </row>
    <row r="11615" spans="1:9" x14ac:dyDescent="0.2">
      <c r="A11615" s="134">
        <v>46018</v>
      </c>
      <c r="B11615" s="135">
        <f>YEAR(source[[#This Row],[report_date]])</f>
        <v>2025</v>
      </c>
      <c r="C11615" s="128">
        <f t="shared" si="541"/>
        <v>12</v>
      </c>
      <c r="D11615" s="136">
        <f t="shared" si="543"/>
        <v>52</v>
      </c>
      <c r="E11615" s="136">
        <f t="shared" si="542"/>
        <v>27</v>
      </c>
      <c r="F11615" s="137" t="s">
        <v>24</v>
      </c>
      <c r="G11615" s="128" t="str">
        <f>VLOOKUP(source[[#This Row],[lending_product_transform]],[3]Mapping!$B$4:$C$37,2,0)</f>
        <v>[Cake] - Cashloan</v>
      </c>
      <c r="H11615" s="128" t="str">
        <f>VLOOKUP(source[[#This Row],[lending_product_transform]],[3]Mapping!$B$3:$D$37,3,0)</f>
        <v>cashloan</v>
      </c>
      <c r="I11615" s="135">
        <v>418775168</v>
      </c>
    </row>
    <row r="11616" spans="1:9" x14ac:dyDescent="0.2">
      <c r="A11616" s="134">
        <v>46018</v>
      </c>
      <c r="B11616" s="135">
        <f>YEAR(source[[#This Row],[report_date]])</f>
        <v>2025</v>
      </c>
      <c r="C11616" s="128">
        <f t="shared" si="541"/>
        <v>12</v>
      </c>
      <c r="D11616" s="136">
        <f t="shared" si="543"/>
        <v>52</v>
      </c>
      <c r="E11616" s="136">
        <f t="shared" si="542"/>
        <v>27</v>
      </c>
      <c r="F11616" s="137" t="s">
        <v>24</v>
      </c>
      <c r="G11616" s="128" t="str">
        <f>VLOOKUP(source[[#This Row],[lending_product_transform]],[3]Mapping!$B$4:$C$37,2,0)</f>
        <v>[Cake] - Cashloan</v>
      </c>
      <c r="H11616" s="128" t="str">
        <f>VLOOKUP(source[[#This Row],[lending_product_transform]],[3]Mapping!$B$3:$D$37,3,0)</f>
        <v>cashloan</v>
      </c>
      <c r="I11616" s="135">
        <v>3210750000</v>
      </c>
    </row>
    <row r="11617" spans="1:9" x14ac:dyDescent="0.2">
      <c r="A11617" s="134">
        <v>46018</v>
      </c>
      <c r="B11617" s="135">
        <f>YEAR(source[[#This Row],[report_date]])</f>
        <v>2025</v>
      </c>
      <c r="C11617" s="128">
        <f t="shared" si="541"/>
        <v>12</v>
      </c>
      <c r="D11617" s="136">
        <f t="shared" si="543"/>
        <v>52</v>
      </c>
      <c r="E11617" s="136">
        <f t="shared" si="542"/>
        <v>27</v>
      </c>
      <c r="F11617" s="137" t="s">
        <v>24</v>
      </c>
      <c r="G11617" s="128" t="str">
        <f>VLOOKUP(source[[#This Row],[lending_product_transform]],[3]Mapping!$B$4:$C$37,2,0)</f>
        <v>[Cake] - Cashloan</v>
      </c>
      <c r="H11617" s="128" t="str">
        <f>VLOOKUP(source[[#This Row],[lending_product_transform]],[3]Mapping!$B$3:$D$37,3,0)</f>
        <v>cashloan</v>
      </c>
      <c r="I11617" s="135">
        <v>0</v>
      </c>
    </row>
    <row r="11618" spans="1:9" x14ac:dyDescent="0.2">
      <c r="A11618" s="134">
        <v>46019</v>
      </c>
      <c r="B11618" s="135">
        <f>YEAR(source[[#This Row],[report_date]])</f>
        <v>2025</v>
      </c>
      <c r="C11618" s="128">
        <f t="shared" si="541"/>
        <v>12</v>
      </c>
      <c r="D11618" s="136">
        <f t="shared" si="543"/>
        <v>52</v>
      </c>
      <c r="E11618" s="136">
        <f t="shared" si="542"/>
        <v>28</v>
      </c>
      <c r="F11618" s="137" t="s">
        <v>24</v>
      </c>
      <c r="G11618" s="128" t="str">
        <f>VLOOKUP(source[[#This Row],[lending_product_transform]],[3]Mapping!$B$4:$C$37,2,0)</f>
        <v>[Cake] - Cashloan</v>
      </c>
      <c r="H11618" s="128" t="str">
        <f>VLOOKUP(source[[#This Row],[lending_product_transform]],[3]Mapping!$B$3:$D$37,3,0)</f>
        <v>cashloan</v>
      </c>
      <c r="I11618" s="135">
        <v>840450000</v>
      </c>
    </row>
    <row r="11619" spans="1:9" x14ac:dyDescent="0.2">
      <c r="A11619" s="134">
        <v>46019</v>
      </c>
      <c r="B11619" s="135">
        <f>YEAR(source[[#This Row],[report_date]])</f>
        <v>2025</v>
      </c>
      <c r="C11619" s="128">
        <f t="shared" si="541"/>
        <v>12</v>
      </c>
      <c r="D11619" s="136">
        <f t="shared" si="543"/>
        <v>52</v>
      </c>
      <c r="E11619" s="136">
        <f t="shared" si="542"/>
        <v>28</v>
      </c>
      <c r="F11619" s="137" t="s">
        <v>24</v>
      </c>
      <c r="G11619" s="128" t="str">
        <f>VLOOKUP(source[[#This Row],[lending_product_transform]],[3]Mapping!$B$4:$C$37,2,0)</f>
        <v>[Cake] - Cashloan</v>
      </c>
      <c r="H11619" s="128" t="str">
        <f>VLOOKUP(source[[#This Row],[lending_product_transform]],[3]Mapping!$B$3:$D$37,3,0)</f>
        <v>cashloan</v>
      </c>
      <c r="I11619" s="135">
        <v>367817272</v>
      </c>
    </row>
    <row r="11620" spans="1:9" x14ac:dyDescent="0.2">
      <c r="A11620" s="134">
        <v>46019</v>
      </c>
      <c r="B11620" s="135">
        <f>YEAR(source[[#This Row],[report_date]])</f>
        <v>2025</v>
      </c>
      <c r="C11620" s="128">
        <f t="shared" si="541"/>
        <v>12</v>
      </c>
      <c r="D11620" s="136">
        <f t="shared" si="543"/>
        <v>52</v>
      </c>
      <c r="E11620" s="136">
        <f t="shared" si="542"/>
        <v>28</v>
      </c>
      <c r="F11620" s="137" t="s">
        <v>24</v>
      </c>
      <c r="G11620" s="128" t="str">
        <f>VLOOKUP(source[[#This Row],[lending_product_transform]],[3]Mapping!$B$4:$C$37,2,0)</f>
        <v>[Cake] - Cashloan</v>
      </c>
      <c r="H11620" s="128" t="str">
        <f>VLOOKUP(source[[#This Row],[lending_product_transform]],[3]Mapping!$B$3:$D$37,3,0)</f>
        <v>cashloan</v>
      </c>
      <c r="I11620" s="135">
        <v>11455070000</v>
      </c>
    </row>
    <row r="11621" spans="1:9" x14ac:dyDescent="0.2">
      <c r="A11621" s="134">
        <v>46019</v>
      </c>
      <c r="B11621" s="135">
        <f>YEAR(source[[#This Row],[report_date]])</f>
        <v>2025</v>
      </c>
      <c r="C11621" s="128">
        <f t="shared" si="541"/>
        <v>12</v>
      </c>
      <c r="D11621" s="136">
        <f t="shared" si="543"/>
        <v>52</v>
      </c>
      <c r="E11621" s="136">
        <f t="shared" si="542"/>
        <v>28</v>
      </c>
      <c r="F11621" s="137" t="s">
        <v>24</v>
      </c>
      <c r="G11621" s="128" t="str">
        <f>VLOOKUP(source[[#This Row],[lending_product_transform]],[3]Mapping!$B$4:$C$37,2,0)</f>
        <v>[Cake] - Cashloan</v>
      </c>
      <c r="H11621" s="128" t="str">
        <f>VLOOKUP(source[[#This Row],[lending_product_transform]],[3]Mapping!$B$3:$D$37,3,0)</f>
        <v>cashloan</v>
      </c>
      <c r="I11621" s="135">
        <v>1736794980</v>
      </c>
    </row>
    <row r="11622" spans="1:9" x14ac:dyDescent="0.2">
      <c r="A11622" s="134">
        <v>46019</v>
      </c>
      <c r="B11622" s="135">
        <f>YEAR(source[[#This Row],[report_date]])</f>
        <v>2025</v>
      </c>
      <c r="C11622" s="128">
        <f t="shared" si="541"/>
        <v>12</v>
      </c>
      <c r="D11622" s="136">
        <f t="shared" si="543"/>
        <v>52</v>
      </c>
      <c r="E11622" s="136">
        <f t="shared" si="542"/>
        <v>28</v>
      </c>
      <c r="F11622" s="137" t="s">
        <v>24</v>
      </c>
      <c r="G11622" s="128" t="str">
        <f>VLOOKUP(source[[#This Row],[lending_product_transform]],[3]Mapping!$B$4:$C$37,2,0)</f>
        <v>[Cake] - Cashloan</v>
      </c>
      <c r="H11622" s="128" t="str">
        <f>VLOOKUP(source[[#This Row],[lending_product_transform]],[3]Mapping!$B$3:$D$37,3,0)</f>
        <v>cashloan</v>
      </c>
      <c r="I11622" s="135">
        <v>11204244000</v>
      </c>
    </row>
    <row r="11623" spans="1:9" x14ac:dyDescent="0.2">
      <c r="A11623" s="134">
        <v>46019</v>
      </c>
      <c r="B11623" s="135">
        <f>YEAR(source[[#This Row],[report_date]])</f>
        <v>2025</v>
      </c>
      <c r="C11623" s="128">
        <f t="shared" si="541"/>
        <v>12</v>
      </c>
      <c r="D11623" s="136">
        <f t="shared" si="543"/>
        <v>52</v>
      </c>
      <c r="E11623" s="136">
        <f t="shared" si="542"/>
        <v>28</v>
      </c>
      <c r="F11623" s="137" t="s">
        <v>24</v>
      </c>
      <c r="G11623" s="128" t="str">
        <f>VLOOKUP(source[[#This Row],[lending_product_transform]],[3]Mapping!$B$4:$C$37,2,0)</f>
        <v>[Cake] - Cashloan</v>
      </c>
      <c r="H11623" s="128" t="str">
        <f>VLOOKUP(source[[#This Row],[lending_product_transform]],[3]Mapping!$B$3:$D$37,3,0)</f>
        <v>cashloan</v>
      </c>
      <c r="I11623" s="135">
        <v>6414709</v>
      </c>
    </row>
    <row r="11624" spans="1:9" x14ac:dyDescent="0.2">
      <c r="A11624" s="134">
        <v>46019</v>
      </c>
      <c r="B11624" s="135">
        <f>YEAR(source[[#This Row],[report_date]])</f>
        <v>2025</v>
      </c>
      <c r="C11624" s="128">
        <f t="shared" si="541"/>
        <v>12</v>
      </c>
      <c r="D11624" s="136">
        <f t="shared" si="543"/>
        <v>52</v>
      </c>
      <c r="E11624" s="136">
        <f t="shared" si="542"/>
        <v>28</v>
      </c>
      <c r="F11624" s="137" t="s">
        <v>24</v>
      </c>
      <c r="G11624" s="128" t="str">
        <f>VLOOKUP(source[[#This Row],[lending_product_transform]],[3]Mapping!$B$4:$C$37,2,0)</f>
        <v>[Cake] - Cashloan</v>
      </c>
      <c r="H11624" s="128" t="str">
        <f>VLOOKUP(source[[#This Row],[lending_product_transform]],[3]Mapping!$B$3:$D$37,3,0)</f>
        <v>cashloan</v>
      </c>
      <c r="I11624" s="135">
        <v>0</v>
      </c>
    </row>
    <row r="11625" spans="1:9" x14ac:dyDescent="0.2">
      <c r="A11625" s="134">
        <v>46019</v>
      </c>
      <c r="B11625" s="135">
        <f>YEAR(source[[#This Row],[report_date]])</f>
        <v>2025</v>
      </c>
      <c r="C11625" s="128">
        <f t="shared" si="541"/>
        <v>12</v>
      </c>
      <c r="D11625" s="136">
        <f t="shared" si="543"/>
        <v>52</v>
      </c>
      <c r="E11625" s="136">
        <f t="shared" si="542"/>
        <v>28</v>
      </c>
      <c r="F11625" s="137" t="s">
        <v>24</v>
      </c>
      <c r="G11625" s="128" t="str">
        <f>VLOOKUP(source[[#This Row],[lending_product_transform]],[3]Mapping!$B$4:$C$37,2,0)</f>
        <v>[Cake] - Cashloan</v>
      </c>
      <c r="H11625" s="128" t="str">
        <f>VLOOKUP(source[[#This Row],[lending_product_transform]],[3]Mapping!$B$3:$D$37,3,0)</f>
        <v>cashloan</v>
      </c>
      <c r="I11625" s="135">
        <v>4517320000</v>
      </c>
    </row>
    <row r="11626" spans="1:9" x14ac:dyDescent="0.2">
      <c r="A11626" s="134">
        <v>46019</v>
      </c>
      <c r="B11626" s="135">
        <f>YEAR(source[[#This Row],[report_date]])</f>
        <v>2025</v>
      </c>
      <c r="C11626" s="128">
        <f t="shared" si="541"/>
        <v>12</v>
      </c>
      <c r="D11626" s="136">
        <f t="shared" si="543"/>
        <v>52</v>
      </c>
      <c r="E11626" s="136">
        <f t="shared" si="542"/>
        <v>28</v>
      </c>
      <c r="F11626" s="137" t="s">
        <v>24</v>
      </c>
      <c r="G11626" s="128" t="str">
        <f>VLOOKUP(source[[#This Row],[lending_product_transform]],[3]Mapping!$B$4:$C$37,2,0)</f>
        <v>[Cake] - Cashloan</v>
      </c>
      <c r="H11626" s="128" t="str">
        <f>VLOOKUP(source[[#This Row],[lending_product_transform]],[3]Mapping!$B$3:$D$37,3,0)</f>
        <v>cashloan</v>
      </c>
      <c r="I11626" s="135">
        <v>7977810</v>
      </c>
    </row>
    <row r="11627" spans="1:9" x14ac:dyDescent="0.2">
      <c r="A11627" s="134">
        <v>46019</v>
      </c>
      <c r="B11627" s="135">
        <f>YEAR(source[[#This Row],[report_date]])</f>
        <v>2025</v>
      </c>
      <c r="C11627" s="128">
        <f t="shared" si="541"/>
        <v>12</v>
      </c>
      <c r="D11627" s="136">
        <f t="shared" si="543"/>
        <v>52</v>
      </c>
      <c r="E11627" s="136">
        <f t="shared" si="542"/>
        <v>28</v>
      </c>
      <c r="F11627" s="137" t="s">
        <v>24</v>
      </c>
      <c r="G11627" s="128" t="str">
        <f>VLOOKUP(source[[#This Row],[lending_product_transform]],[3]Mapping!$B$4:$C$37,2,0)</f>
        <v>[Cake] - Cashloan</v>
      </c>
      <c r="H11627" s="128" t="str">
        <f>VLOOKUP(source[[#This Row],[lending_product_transform]],[3]Mapping!$B$3:$D$37,3,0)</f>
        <v>cashloan</v>
      </c>
      <c r="I11627" s="135">
        <v>887293440</v>
      </c>
    </row>
    <row r="11628" spans="1:9" x14ac:dyDescent="0.2">
      <c r="A11628" s="134">
        <v>46019</v>
      </c>
      <c r="B11628" s="135">
        <f>YEAR(source[[#This Row],[report_date]])</f>
        <v>2025</v>
      </c>
      <c r="C11628" s="128">
        <f t="shared" si="541"/>
        <v>12</v>
      </c>
      <c r="D11628" s="136">
        <f t="shared" si="543"/>
        <v>52</v>
      </c>
      <c r="E11628" s="136">
        <f t="shared" si="542"/>
        <v>28</v>
      </c>
      <c r="F11628" s="137" t="s">
        <v>24</v>
      </c>
      <c r="G11628" s="128" t="str">
        <f>VLOOKUP(source[[#This Row],[lending_product_transform]],[3]Mapping!$B$4:$C$37,2,0)</f>
        <v>[Cake] - Cashloan</v>
      </c>
      <c r="H11628" s="128" t="str">
        <f>VLOOKUP(source[[#This Row],[lending_product_transform]],[3]Mapping!$B$3:$D$37,3,0)</f>
        <v>cashloan</v>
      </c>
      <c r="I11628" s="135">
        <v>0</v>
      </c>
    </row>
    <row r="11629" spans="1:9" x14ac:dyDescent="0.2">
      <c r="A11629" s="134">
        <v>46019</v>
      </c>
      <c r="B11629" s="135">
        <f>YEAR(source[[#This Row],[report_date]])</f>
        <v>2025</v>
      </c>
      <c r="C11629" s="128">
        <f t="shared" si="541"/>
        <v>12</v>
      </c>
      <c r="D11629" s="136">
        <f t="shared" si="543"/>
        <v>52</v>
      </c>
      <c r="E11629" s="136">
        <f t="shared" si="542"/>
        <v>28</v>
      </c>
      <c r="F11629" s="137" t="s">
        <v>24</v>
      </c>
      <c r="G11629" s="128" t="str">
        <f>VLOOKUP(source[[#This Row],[lending_product_transform]],[3]Mapping!$B$4:$C$37,2,0)</f>
        <v>[Cake] - Cashloan</v>
      </c>
      <c r="H11629" s="128" t="str">
        <f>VLOOKUP(source[[#This Row],[lending_product_transform]],[3]Mapping!$B$3:$D$37,3,0)</f>
        <v>cashloan</v>
      </c>
      <c r="I11629" s="135">
        <v>10500000</v>
      </c>
    </row>
    <row r="11630" spans="1:9" x14ac:dyDescent="0.2">
      <c r="A11630" s="134">
        <v>46019</v>
      </c>
      <c r="B11630" s="135">
        <f>YEAR(source[[#This Row],[report_date]])</f>
        <v>2025</v>
      </c>
      <c r="C11630" s="128">
        <f t="shared" si="541"/>
        <v>12</v>
      </c>
      <c r="D11630" s="136">
        <f t="shared" si="543"/>
        <v>52</v>
      </c>
      <c r="E11630" s="136">
        <f t="shared" si="542"/>
        <v>28</v>
      </c>
      <c r="F11630" s="137" t="s">
        <v>24</v>
      </c>
      <c r="G11630" s="128" t="str">
        <f>VLOOKUP(source[[#This Row],[lending_product_transform]],[3]Mapping!$B$4:$C$37,2,0)</f>
        <v>[Cake] - Cashloan</v>
      </c>
      <c r="H11630" s="128" t="str">
        <f>VLOOKUP(source[[#This Row],[lending_product_transform]],[3]Mapping!$B$3:$D$37,3,0)</f>
        <v>cashloan</v>
      </c>
      <c r="I11630" s="135">
        <v>0</v>
      </c>
    </row>
    <row r="11631" spans="1:9" x14ac:dyDescent="0.2">
      <c r="A11631" s="134">
        <v>46019</v>
      </c>
      <c r="B11631" s="135">
        <f>YEAR(source[[#This Row],[report_date]])</f>
        <v>2025</v>
      </c>
      <c r="C11631" s="128">
        <f t="shared" si="541"/>
        <v>12</v>
      </c>
      <c r="D11631" s="136">
        <f t="shared" si="543"/>
        <v>52</v>
      </c>
      <c r="E11631" s="136">
        <f t="shared" si="542"/>
        <v>28</v>
      </c>
      <c r="F11631" s="137" t="s">
        <v>24</v>
      </c>
      <c r="G11631" s="128" t="str">
        <f>VLOOKUP(source[[#This Row],[lending_product_transform]],[3]Mapping!$B$4:$C$37,2,0)</f>
        <v>[Cake] - Cashloan</v>
      </c>
      <c r="H11631" s="128" t="str">
        <f>VLOOKUP(source[[#This Row],[lending_product_transform]],[3]Mapping!$B$3:$D$37,3,0)</f>
        <v>cashloan</v>
      </c>
      <c r="I11631" s="135">
        <v>12950550000</v>
      </c>
    </row>
    <row r="11632" spans="1:9" x14ac:dyDescent="0.2">
      <c r="A11632" s="134">
        <v>46019</v>
      </c>
      <c r="B11632" s="135">
        <f>YEAR(source[[#This Row],[report_date]])</f>
        <v>2025</v>
      </c>
      <c r="C11632" s="128">
        <f t="shared" si="541"/>
        <v>12</v>
      </c>
      <c r="D11632" s="136">
        <f t="shared" si="543"/>
        <v>52</v>
      </c>
      <c r="E11632" s="136">
        <f t="shared" si="542"/>
        <v>28</v>
      </c>
      <c r="F11632" s="137" t="s">
        <v>24</v>
      </c>
      <c r="G11632" s="128" t="str">
        <f>VLOOKUP(source[[#This Row],[lending_product_transform]],[3]Mapping!$B$4:$C$37,2,0)</f>
        <v>[Cake] - Cashloan</v>
      </c>
      <c r="H11632" s="128" t="str">
        <f>VLOOKUP(source[[#This Row],[lending_product_transform]],[3]Mapping!$B$3:$D$37,3,0)</f>
        <v>cashloan</v>
      </c>
      <c r="I11632" s="135">
        <v>0</v>
      </c>
    </row>
    <row r="11633" spans="1:9" x14ac:dyDescent="0.2">
      <c r="A11633" s="134">
        <v>46019</v>
      </c>
      <c r="B11633" s="135">
        <f>YEAR(source[[#This Row],[report_date]])</f>
        <v>2025</v>
      </c>
      <c r="C11633" s="128">
        <f t="shared" si="541"/>
        <v>12</v>
      </c>
      <c r="D11633" s="136">
        <f t="shared" si="543"/>
        <v>52</v>
      </c>
      <c r="E11633" s="136">
        <f t="shared" si="542"/>
        <v>28</v>
      </c>
      <c r="F11633" s="137" t="s">
        <v>24</v>
      </c>
      <c r="G11633" s="128" t="str">
        <f>VLOOKUP(source[[#This Row],[lending_product_transform]],[3]Mapping!$B$4:$C$37,2,0)</f>
        <v>[Cake] - Cashloan</v>
      </c>
      <c r="H11633" s="128" t="str">
        <f>VLOOKUP(source[[#This Row],[lending_product_transform]],[3]Mapping!$B$3:$D$37,3,0)</f>
        <v>cashloan</v>
      </c>
      <c r="I11633" s="135">
        <v>0</v>
      </c>
    </row>
    <row r="11634" spans="1:9" x14ac:dyDescent="0.2">
      <c r="A11634" s="134">
        <v>46019</v>
      </c>
      <c r="B11634" s="135">
        <f>YEAR(source[[#This Row],[report_date]])</f>
        <v>2025</v>
      </c>
      <c r="C11634" s="128">
        <f t="shared" si="541"/>
        <v>12</v>
      </c>
      <c r="D11634" s="136">
        <f t="shared" si="543"/>
        <v>52</v>
      </c>
      <c r="E11634" s="136">
        <f t="shared" si="542"/>
        <v>28</v>
      </c>
      <c r="F11634" s="137" t="s">
        <v>24</v>
      </c>
      <c r="G11634" s="128" t="str">
        <f>VLOOKUP(source[[#This Row],[lending_product_transform]],[3]Mapping!$B$4:$C$37,2,0)</f>
        <v>[Cake] - Cashloan</v>
      </c>
      <c r="H11634" s="128" t="str">
        <f>VLOOKUP(source[[#This Row],[lending_product_transform]],[3]Mapping!$B$3:$D$37,3,0)</f>
        <v>cashloan</v>
      </c>
      <c r="I11634" s="135">
        <v>0</v>
      </c>
    </row>
    <row r="11635" spans="1:9" x14ac:dyDescent="0.2">
      <c r="A11635" s="134">
        <v>46019</v>
      </c>
      <c r="B11635" s="135">
        <f>YEAR(source[[#This Row],[report_date]])</f>
        <v>2025</v>
      </c>
      <c r="C11635" s="128">
        <f t="shared" si="541"/>
        <v>12</v>
      </c>
      <c r="D11635" s="136">
        <f t="shared" si="543"/>
        <v>52</v>
      </c>
      <c r="E11635" s="136">
        <f t="shared" si="542"/>
        <v>28</v>
      </c>
      <c r="F11635" s="137" t="s">
        <v>24</v>
      </c>
      <c r="G11635" s="128" t="str">
        <f>VLOOKUP(source[[#This Row],[lending_product_transform]],[3]Mapping!$B$4:$C$37,2,0)</f>
        <v>[Cake] - Cashloan</v>
      </c>
      <c r="H11635" s="128" t="str">
        <f>VLOOKUP(source[[#This Row],[lending_product_transform]],[3]Mapping!$B$3:$D$37,3,0)</f>
        <v>cashloan</v>
      </c>
      <c r="I11635" s="135">
        <v>0</v>
      </c>
    </row>
    <row r="11636" spans="1:9" x14ac:dyDescent="0.2">
      <c r="A11636" s="134">
        <v>46019</v>
      </c>
      <c r="B11636" s="135">
        <f>YEAR(source[[#This Row],[report_date]])</f>
        <v>2025</v>
      </c>
      <c r="C11636" s="128">
        <f t="shared" si="541"/>
        <v>12</v>
      </c>
      <c r="D11636" s="136">
        <f t="shared" si="543"/>
        <v>52</v>
      </c>
      <c r="E11636" s="136">
        <f t="shared" si="542"/>
        <v>28</v>
      </c>
      <c r="F11636" s="137" t="s">
        <v>24</v>
      </c>
      <c r="G11636" s="128" t="str">
        <f>VLOOKUP(source[[#This Row],[lending_product_transform]],[3]Mapping!$B$4:$C$37,2,0)</f>
        <v>[Cake] - Cashloan</v>
      </c>
      <c r="H11636" s="128" t="str">
        <f>VLOOKUP(source[[#This Row],[lending_product_transform]],[3]Mapping!$B$3:$D$37,3,0)</f>
        <v>cashloan</v>
      </c>
      <c r="I11636" s="135">
        <v>8372160000</v>
      </c>
    </row>
    <row r="11637" spans="1:9" x14ac:dyDescent="0.2">
      <c r="A11637" s="134">
        <v>46019</v>
      </c>
      <c r="B11637" s="135">
        <f>YEAR(source[[#This Row],[report_date]])</f>
        <v>2025</v>
      </c>
      <c r="C11637" s="128">
        <f t="shared" si="541"/>
        <v>12</v>
      </c>
      <c r="D11637" s="136">
        <f t="shared" si="543"/>
        <v>52</v>
      </c>
      <c r="E11637" s="136">
        <f t="shared" si="542"/>
        <v>28</v>
      </c>
      <c r="F11637" s="137" t="s">
        <v>24</v>
      </c>
      <c r="G11637" s="128" t="str">
        <f>VLOOKUP(source[[#This Row],[lending_product_transform]],[3]Mapping!$B$4:$C$37,2,0)</f>
        <v>[Cake] - Cashloan</v>
      </c>
      <c r="H11637" s="128" t="str">
        <f>VLOOKUP(source[[#This Row],[lending_product_transform]],[3]Mapping!$B$3:$D$37,3,0)</f>
        <v>cashloan</v>
      </c>
      <c r="I11637" s="135">
        <v>143602939</v>
      </c>
    </row>
    <row r="11638" spans="1:9" x14ac:dyDescent="0.2">
      <c r="A11638" s="134">
        <v>46019</v>
      </c>
      <c r="B11638" s="135">
        <f>YEAR(source[[#This Row],[report_date]])</f>
        <v>2025</v>
      </c>
      <c r="C11638" s="128">
        <f t="shared" ref="C11638:C11701" si="544">MONTH(A11638)</f>
        <v>12</v>
      </c>
      <c r="D11638" s="136">
        <f t="shared" si="543"/>
        <v>52</v>
      </c>
      <c r="E11638" s="136">
        <f t="shared" ref="E11638:E11701" si="545">DAY(A11638)</f>
        <v>28</v>
      </c>
      <c r="F11638" s="137" t="s">
        <v>24</v>
      </c>
      <c r="G11638" s="128" t="str">
        <f>VLOOKUP(source[[#This Row],[lending_product_transform]],[3]Mapping!$B$4:$C$37,2,0)</f>
        <v>[Cake] - Cashloan</v>
      </c>
      <c r="H11638" s="128" t="str">
        <f>VLOOKUP(source[[#This Row],[lending_product_transform]],[3]Mapping!$B$3:$D$37,3,0)</f>
        <v>cashloan</v>
      </c>
      <c r="I11638" s="135">
        <v>10000000</v>
      </c>
    </row>
    <row r="11639" spans="1:9" x14ac:dyDescent="0.2">
      <c r="A11639" s="134">
        <v>46019</v>
      </c>
      <c r="B11639" s="135">
        <f>YEAR(source[[#This Row],[report_date]])</f>
        <v>2025</v>
      </c>
      <c r="C11639" s="128">
        <f t="shared" si="544"/>
        <v>12</v>
      </c>
      <c r="D11639" s="136">
        <f t="shared" si="543"/>
        <v>52</v>
      </c>
      <c r="E11639" s="136">
        <f t="shared" si="545"/>
        <v>28</v>
      </c>
      <c r="F11639" s="137" t="s">
        <v>24</v>
      </c>
      <c r="G11639" s="128" t="str">
        <f>VLOOKUP(source[[#This Row],[lending_product_transform]],[3]Mapping!$B$4:$C$37,2,0)</f>
        <v>[Cake] - Cashloan</v>
      </c>
      <c r="H11639" s="128" t="str">
        <f>VLOOKUP(source[[#This Row],[lending_product_transform]],[3]Mapping!$B$3:$D$37,3,0)</f>
        <v>cashloan</v>
      </c>
      <c r="I11639" s="135">
        <v>38000000</v>
      </c>
    </row>
    <row r="11640" spans="1:9" x14ac:dyDescent="0.2">
      <c r="A11640" s="134">
        <v>46019</v>
      </c>
      <c r="B11640" s="135">
        <f>YEAR(source[[#This Row],[report_date]])</f>
        <v>2025</v>
      </c>
      <c r="C11640" s="128">
        <f t="shared" si="544"/>
        <v>12</v>
      </c>
      <c r="D11640" s="136">
        <f t="shared" si="543"/>
        <v>52</v>
      </c>
      <c r="E11640" s="136">
        <f t="shared" si="545"/>
        <v>28</v>
      </c>
      <c r="F11640" s="137" t="s">
        <v>24</v>
      </c>
      <c r="G11640" s="128" t="str">
        <f>VLOOKUP(source[[#This Row],[lending_product_transform]],[3]Mapping!$B$4:$C$37,2,0)</f>
        <v>[Cake] - Cashloan</v>
      </c>
      <c r="H11640" s="128" t="str">
        <f>VLOOKUP(source[[#This Row],[lending_product_transform]],[3]Mapping!$B$3:$D$37,3,0)</f>
        <v>cashloan</v>
      </c>
      <c r="I11640" s="135">
        <v>511580000</v>
      </c>
    </row>
    <row r="11641" spans="1:9" x14ac:dyDescent="0.2">
      <c r="A11641" s="134">
        <v>46019</v>
      </c>
      <c r="B11641" s="135">
        <f>YEAR(source[[#This Row],[report_date]])</f>
        <v>2025</v>
      </c>
      <c r="C11641" s="128">
        <f t="shared" si="544"/>
        <v>12</v>
      </c>
      <c r="D11641" s="136">
        <f t="shared" si="543"/>
        <v>52</v>
      </c>
      <c r="E11641" s="136">
        <f t="shared" si="545"/>
        <v>28</v>
      </c>
      <c r="F11641" s="137" t="s">
        <v>24</v>
      </c>
      <c r="G11641" s="128" t="str">
        <f>VLOOKUP(source[[#This Row],[lending_product_transform]],[3]Mapping!$B$4:$C$37,2,0)</f>
        <v>[Cake] - Cashloan</v>
      </c>
      <c r="H11641" s="128" t="str">
        <f>VLOOKUP(source[[#This Row],[lending_product_transform]],[3]Mapping!$B$3:$D$37,3,0)</f>
        <v>cashloan</v>
      </c>
      <c r="I11641" s="135">
        <v>229716000</v>
      </c>
    </row>
    <row r="11642" spans="1:9" x14ac:dyDescent="0.2">
      <c r="A11642" s="134">
        <v>46019</v>
      </c>
      <c r="B11642" s="135">
        <f>YEAR(source[[#This Row],[report_date]])</f>
        <v>2025</v>
      </c>
      <c r="C11642" s="128">
        <f t="shared" si="544"/>
        <v>12</v>
      </c>
      <c r="D11642" s="136">
        <f t="shared" si="543"/>
        <v>52</v>
      </c>
      <c r="E11642" s="136">
        <f t="shared" si="545"/>
        <v>28</v>
      </c>
      <c r="F11642" s="137" t="s">
        <v>24</v>
      </c>
      <c r="G11642" s="128" t="str">
        <f>VLOOKUP(source[[#This Row],[lending_product_transform]],[3]Mapping!$B$4:$C$37,2,0)</f>
        <v>[Cake] - Cashloan</v>
      </c>
      <c r="H11642" s="128" t="str">
        <f>VLOOKUP(source[[#This Row],[lending_product_transform]],[3]Mapping!$B$3:$D$37,3,0)</f>
        <v>cashloan</v>
      </c>
      <c r="I11642" s="135">
        <v>377226510</v>
      </c>
    </row>
    <row r="11643" spans="1:9" x14ac:dyDescent="0.2">
      <c r="A11643" s="134">
        <v>46019</v>
      </c>
      <c r="B11643" s="135">
        <f>YEAR(source[[#This Row],[report_date]])</f>
        <v>2025</v>
      </c>
      <c r="C11643" s="128">
        <f t="shared" si="544"/>
        <v>12</v>
      </c>
      <c r="D11643" s="136">
        <f t="shared" si="543"/>
        <v>52</v>
      </c>
      <c r="E11643" s="136">
        <f t="shared" si="545"/>
        <v>28</v>
      </c>
      <c r="F11643" s="137" t="s">
        <v>24</v>
      </c>
      <c r="G11643" s="128" t="str">
        <f>VLOOKUP(source[[#This Row],[lending_product_transform]],[3]Mapping!$B$4:$C$37,2,0)</f>
        <v>[Cake] - Cashloan</v>
      </c>
      <c r="H11643" s="128" t="str">
        <f>VLOOKUP(source[[#This Row],[lending_product_transform]],[3]Mapping!$B$3:$D$37,3,0)</f>
        <v>cashloan</v>
      </c>
      <c r="I11643" s="135">
        <v>2986900000</v>
      </c>
    </row>
    <row r="11644" spans="1:9" x14ac:dyDescent="0.2">
      <c r="A11644" s="134">
        <v>46019</v>
      </c>
      <c r="B11644" s="135">
        <f>YEAR(source[[#This Row],[report_date]])</f>
        <v>2025</v>
      </c>
      <c r="C11644" s="128">
        <f t="shared" si="544"/>
        <v>12</v>
      </c>
      <c r="D11644" s="136">
        <f t="shared" si="543"/>
        <v>52</v>
      </c>
      <c r="E11644" s="136">
        <f t="shared" si="545"/>
        <v>28</v>
      </c>
      <c r="F11644" s="137" t="s">
        <v>24</v>
      </c>
      <c r="G11644" s="128" t="str">
        <f>VLOOKUP(source[[#This Row],[lending_product_transform]],[3]Mapping!$B$4:$C$37,2,0)</f>
        <v>[Cake] - Cashloan</v>
      </c>
      <c r="H11644" s="128" t="str">
        <f>VLOOKUP(source[[#This Row],[lending_product_transform]],[3]Mapping!$B$3:$D$37,3,0)</f>
        <v>cashloan</v>
      </c>
      <c r="I11644" s="135">
        <v>0</v>
      </c>
    </row>
    <row r="11645" spans="1:9" x14ac:dyDescent="0.2">
      <c r="A11645" s="134">
        <v>46020</v>
      </c>
      <c r="B11645" s="135">
        <f>YEAR(source[[#This Row],[report_date]])</f>
        <v>2025</v>
      </c>
      <c r="C11645" s="128">
        <f t="shared" si="544"/>
        <v>12</v>
      </c>
      <c r="D11645" s="136">
        <f t="shared" si="543"/>
        <v>53</v>
      </c>
      <c r="E11645" s="136">
        <f t="shared" si="545"/>
        <v>29</v>
      </c>
      <c r="F11645" s="137" t="s">
        <v>24</v>
      </c>
      <c r="G11645" s="128" t="str">
        <f>VLOOKUP(source[[#This Row],[lending_product_transform]],[3]Mapping!$B$4:$C$37,2,0)</f>
        <v>[Cake] - Cashloan</v>
      </c>
      <c r="H11645" s="128" t="str">
        <f>VLOOKUP(source[[#This Row],[lending_product_transform]],[3]Mapping!$B$3:$D$37,3,0)</f>
        <v>cashloan</v>
      </c>
      <c r="I11645" s="143">
        <v>488600000</v>
      </c>
    </row>
    <row r="11646" spans="1:9" x14ac:dyDescent="0.2">
      <c r="A11646" s="134">
        <v>46020</v>
      </c>
      <c r="B11646" s="135">
        <f>YEAR(source[[#This Row],[report_date]])</f>
        <v>2025</v>
      </c>
      <c r="C11646" s="128">
        <f t="shared" si="544"/>
        <v>12</v>
      </c>
      <c r="D11646" s="136">
        <f t="shared" si="543"/>
        <v>53</v>
      </c>
      <c r="E11646" s="136">
        <f t="shared" si="545"/>
        <v>29</v>
      </c>
      <c r="F11646" s="137" t="s">
        <v>24</v>
      </c>
      <c r="G11646" s="128" t="str">
        <f>VLOOKUP(source[[#This Row],[lending_product_transform]],[3]Mapping!$B$4:$C$37,2,0)</f>
        <v>[Cake] - Cashloan</v>
      </c>
      <c r="H11646" s="128" t="str">
        <f>VLOOKUP(source[[#This Row],[lending_product_transform]],[3]Mapping!$B$3:$D$37,3,0)</f>
        <v>cashloan</v>
      </c>
      <c r="I11646" s="143">
        <v>354756192</v>
      </c>
    </row>
    <row r="11647" spans="1:9" x14ac:dyDescent="0.2">
      <c r="A11647" s="134">
        <v>46020</v>
      </c>
      <c r="B11647" s="135">
        <f>YEAR(source[[#This Row],[report_date]])</f>
        <v>2025</v>
      </c>
      <c r="C11647" s="128">
        <f t="shared" si="544"/>
        <v>12</v>
      </c>
      <c r="D11647" s="136">
        <f t="shared" si="543"/>
        <v>53</v>
      </c>
      <c r="E11647" s="136">
        <f t="shared" si="545"/>
        <v>29</v>
      </c>
      <c r="F11647" s="137" t="s">
        <v>24</v>
      </c>
      <c r="G11647" s="128" t="str">
        <f>VLOOKUP(source[[#This Row],[lending_product_transform]],[3]Mapping!$B$4:$C$37,2,0)</f>
        <v>[Cake] - Cashloan</v>
      </c>
      <c r="H11647" s="128" t="str">
        <f>VLOOKUP(source[[#This Row],[lending_product_transform]],[3]Mapping!$B$3:$D$37,3,0)</f>
        <v>cashloan</v>
      </c>
      <c r="I11647" s="143">
        <v>15523670000</v>
      </c>
    </row>
    <row r="11648" spans="1:9" x14ac:dyDescent="0.2">
      <c r="A11648" s="134">
        <v>46020</v>
      </c>
      <c r="B11648" s="135">
        <f>YEAR(source[[#This Row],[report_date]])</f>
        <v>2025</v>
      </c>
      <c r="C11648" s="128">
        <f t="shared" si="544"/>
        <v>12</v>
      </c>
      <c r="D11648" s="136">
        <f t="shared" si="543"/>
        <v>53</v>
      </c>
      <c r="E11648" s="136">
        <f t="shared" si="545"/>
        <v>29</v>
      </c>
      <c r="F11648" s="137" t="s">
        <v>24</v>
      </c>
      <c r="G11648" s="128" t="str">
        <f>VLOOKUP(source[[#This Row],[lending_product_transform]],[3]Mapping!$B$4:$C$37,2,0)</f>
        <v>[Cake] - Cashloan</v>
      </c>
      <c r="H11648" s="128" t="str">
        <f>VLOOKUP(source[[#This Row],[lending_product_transform]],[3]Mapping!$B$3:$D$37,3,0)</f>
        <v>cashloan</v>
      </c>
      <c r="I11648" s="143">
        <v>2384311293</v>
      </c>
    </row>
    <row r="11649" spans="1:9" x14ac:dyDescent="0.2">
      <c r="A11649" s="134">
        <v>46020</v>
      </c>
      <c r="B11649" s="135">
        <f>YEAR(source[[#This Row],[report_date]])</f>
        <v>2025</v>
      </c>
      <c r="C11649" s="128">
        <f t="shared" si="544"/>
        <v>12</v>
      </c>
      <c r="D11649" s="136">
        <f t="shared" si="543"/>
        <v>53</v>
      </c>
      <c r="E11649" s="136">
        <f t="shared" si="545"/>
        <v>29</v>
      </c>
      <c r="F11649" s="137" t="s">
        <v>24</v>
      </c>
      <c r="G11649" s="128" t="str">
        <f>VLOOKUP(source[[#This Row],[lending_product_transform]],[3]Mapping!$B$4:$C$37,2,0)</f>
        <v>[Cake] - Cashloan</v>
      </c>
      <c r="H11649" s="128" t="str">
        <f>VLOOKUP(source[[#This Row],[lending_product_transform]],[3]Mapping!$B$3:$D$37,3,0)</f>
        <v>cashloan</v>
      </c>
      <c r="I11649" s="143">
        <v>12827808000</v>
      </c>
    </row>
    <row r="11650" spans="1:9" x14ac:dyDescent="0.2">
      <c r="A11650" s="134">
        <v>46020</v>
      </c>
      <c r="B11650" s="135">
        <f>YEAR(source[[#This Row],[report_date]])</f>
        <v>2025</v>
      </c>
      <c r="C11650" s="128">
        <f t="shared" si="544"/>
        <v>12</v>
      </c>
      <c r="D11650" s="136">
        <f t="shared" si="543"/>
        <v>53</v>
      </c>
      <c r="E11650" s="136">
        <f t="shared" si="545"/>
        <v>29</v>
      </c>
      <c r="F11650" s="137" t="s">
        <v>24</v>
      </c>
      <c r="G11650" s="128" t="str">
        <f>VLOOKUP(source[[#This Row],[lending_product_transform]],[3]Mapping!$B$4:$C$37,2,0)</f>
        <v>[Cake] - Cashloan</v>
      </c>
      <c r="H11650" s="128" t="str">
        <f>VLOOKUP(source[[#This Row],[lending_product_transform]],[3]Mapping!$B$3:$D$37,3,0)</f>
        <v>cashloan</v>
      </c>
      <c r="I11650" s="143">
        <v>18040025</v>
      </c>
    </row>
    <row r="11651" spans="1:9" x14ac:dyDescent="0.2">
      <c r="A11651" s="134">
        <v>46020</v>
      </c>
      <c r="B11651" s="135">
        <f>YEAR(source[[#This Row],[report_date]])</f>
        <v>2025</v>
      </c>
      <c r="C11651" s="128">
        <f t="shared" si="544"/>
        <v>12</v>
      </c>
      <c r="D11651" s="136">
        <f t="shared" ref="D11651:D11714" si="546">WEEKNUM(A11651,2)</f>
        <v>53</v>
      </c>
      <c r="E11651" s="136">
        <f t="shared" si="545"/>
        <v>29</v>
      </c>
      <c r="F11651" s="137" t="s">
        <v>24</v>
      </c>
      <c r="G11651" s="128" t="str">
        <f>VLOOKUP(source[[#This Row],[lending_product_transform]],[3]Mapping!$B$4:$C$37,2,0)</f>
        <v>[Cake] - Cashloan</v>
      </c>
      <c r="H11651" s="128" t="str">
        <f>VLOOKUP(source[[#This Row],[lending_product_transform]],[3]Mapping!$B$3:$D$37,3,0)</f>
        <v>cashloan</v>
      </c>
      <c r="I11651" s="143">
        <v>0</v>
      </c>
    </row>
    <row r="11652" spans="1:9" x14ac:dyDescent="0.2">
      <c r="A11652" s="134">
        <v>46020</v>
      </c>
      <c r="B11652" s="135">
        <f>YEAR(source[[#This Row],[report_date]])</f>
        <v>2025</v>
      </c>
      <c r="C11652" s="128">
        <f t="shared" si="544"/>
        <v>12</v>
      </c>
      <c r="D11652" s="136">
        <f t="shared" si="546"/>
        <v>53</v>
      </c>
      <c r="E11652" s="136">
        <f t="shared" si="545"/>
        <v>29</v>
      </c>
      <c r="F11652" s="137" t="s">
        <v>24</v>
      </c>
      <c r="G11652" s="128" t="str">
        <f>VLOOKUP(source[[#This Row],[lending_product_transform]],[3]Mapping!$B$4:$C$37,2,0)</f>
        <v>[Cake] - Cashloan</v>
      </c>
      <c r="H11652" s="128" t="str">
        <f>VLOOKUP(source[[#This Row],[lending_product_transform]],[3]Mapping!$B$3:$D$37,3,0)</f>
        <v>cashloan</v>
      </c>
      <c r="I11652" s="143">
        <v>4220760000</v>
      </c>
    </row>
    <row r="11653" spans="1:9" x14ac:dyDescent="0.2">
      <c r="A11653" s="134">
        <v>46020</v>
      </c>
      <c r="B11653" s="135">
        <f>YEAR(source[[#This Row],[report_date]])</f>
        <v>2025</v>
      </c>
      <c r="C11653" s="128">
        <f t="shared" si="544"/>
        <v>12</v>
      </c>
      <c r="D11653" s="136">
        <f t="shared" si="546"/>
        <v>53</v>
      </c>
      <c r="E11653" s="136">
        <f t="shared" si="545"/>
        <v>29</v>
      </c>
      <c r="F11653" s="137" t="s">
        <v>24</v>
      </c>
      <c r="G11653" s="128" t="str">
        <f>VLOOKUP(source[[#This Row],[lending_product_transform]],[3]Mapping!$B$4:$C$37,2,0)</f>
        <v>[Cake] - Cashloan</v>
      </c>
      <c r="H11653" s="128" t="str">
        <f>VLOOKUP(source[[#This Row],[lending_product_transform]],[3]Mapping!$B$3:$D$37,3,0)</f>
        <v>cashloan</v>
      </c>
      <c r="I11653" s="143">
        <v>128400000</v>
      </c>
    </row>
    <row r="11654" spans="1:9" x14ac:dyDescent="0.2">
      <c r="A11654" s="134">
        <v>46020</v>
      </c>
      <c r="B11654" s="135">
        <f>YEAR(source[[#This Row],[report_date]])</f>
        <v>2025</v>
      </c>
      <c r="C11654" s="128">
        <f t="shared" si="544"/>
        <v>12</v>
      </c>
      <c r="D11654" s="136">
        <f t="shared" si="546"/>
        <v>53</v>
      </c>
      <c r="E11654" s="136">
        <f t="shared" si="545"/>
        <v>29</v>
      </c>
      <c r="F11654" s="137" t="s">
        <v>24</v>
      </c>
      <c r="G11654" s="128" t="str">
        <f>VLOOKUP(source[[#This Row],[lending_product_transform]],[3]Mapping!$B$4:$C$37,2,0)</f>
        <v>[Cake] - Cashloan</v>
      </c>
      <c r="H11654" s="128" t="str">
        <f>VLOOKUP(source[[#This Row],[lending_product_transform]],[3]Mapping!$B$3:$D$37,3,0)</f>
        <v>cashloan</v>
      </c>
      <c r="I11654" s="143">
        <v>10467170</v>
      </c>
    </row>
    <row r="11655" spans="1:9" x14ac:dyDescent="0.2">
      <c r="A11655" s="134">
        <v>46020</v>
      </c>
      <c r="B11655" s="135">
        <f>YEAR(source[[#This Row],[report_date]])</f>
        <v>2025</v>
      </c>
      <c r="C11655" s="128">
        <f t="shared" si="544"/>
        <v>12</v>
      </c>
      <c r="D11655" s="136">
        <f t="shared" si="546"/>
        <v>53</v>
      </c>
      <c r="E11655" s="136">
        <f t="shared" si="545"/>
        <v>29</v>
      </c>
      <c r="F11655" s="137" t="s">
        <v>24</v>
      </c>
      <c r="G11655" s="128" t="str">
        <f>VLOOKUP(source[[#This Row],[lending_product_transform]],[3]Mapping!$B$4:$C$37,2,0)</f>
        <v>[Cake] - Cashloan</v>
      </c>
      <c r="H11655" s="128" t="str">
        <f>VLOOKUP(source[[#This Row],[lending_product_transform]],[3]Mapping!$B$3:$D$37,3,0)</f>
        <v>cashloan</v>
      </c>
      <c r="I11655" s="143">
        <v>669612211</v>
      </c>
    </row>
    <row r="11656" spans="1:9" x14ac:dyDescent="0.2">
      <c r="A11656" s="134">
        <v>46020</v>
      </c>
      <c r="B11656" s="135">
        <f>YEAR(source[[#This Row],[report_date]])</f>
        <v>2025</v>
      </c>
      <c r="C11656" s="128">
        <f t="shared" si="544"/>
        <v>12</v>
      </c>
      <c r="D11656" s="136">
        <f t="shared" si="546"/>
        <v>53</v>
      </c>
      <c r="E11656" s="136">
        <f t="shared" si="545"/>
        <v>29</v>
      </c>
      <c r="F11656" s="137" t="s">
        <v>24</v>
      </c>
      <c r="G11656" s="128" t="str">
        <f>VLOOKUP(source[[#This Row],[lending_product_transform]],[3]Mapping!$B$4:$C$37,2,0)</f>
        <v>[Cake] - Cashloan</v>
      </c>
      <c r="H11656" s="128" t="str">
        <f>VLOOKUP(source[[#This Row],[lending_product_transform]],[3]Mapping!$B$3:$D$37,3,0)</f>
        <v>cashloan</v>
      </c>
      <c r="I11656" s="143">
        <v>0</v>
      </c>
    </row>
    <row r="11657" spans="1:9" x14ac:dyDescent="0.2">
      <c r="A11657" s="134">
        <v>46020</v>
      </c>
      <c r="B11657" s="135">
        <f>YEAR(source[[#This Row],[report_date]])</f>
        <v>2025</v>
      </c>
      <c r="C11657" s="128">
        <f t="shared" si="544"/>
        <v>12</v>
      </c>
      <c r="D11657" s="136">
        <f t="shared" si="546"/>
        <v>53</v>
      </c>
      <c r="E11657" s="136">
        <f t="shared" si="545"/>
        <v>29</v>
      </c>
      <c r="F11657" s="137" t="s">
        <v>24</v>
      </c>
      <c r="G11657" s="128" t="str">
        <f>VLOOKUP(source[[#This Row],[lending_product_transform]],[3]Mapping!$B$4:$C$37,2,0)</f>
        <v>[Cake] - Cashloan</v>
      </c>
      <c r="H11657" s="128" t="str">
        <f>VLOOKUP(source[[#This Row],[lending_product_transform]],[3]Mapping!$B$3:$D$37,3,0)</f>
        <v>cashloan</v>
      </c>
      <c r="I11657" s="143">
        <v>574100000</v>
      </c>
    </row>
    <row r="11658" spans="1:9" x14ac:dyDescent="0.2">
      <c r="A11658" s="134">
        <v>46020</v>
      </c>
      <c r="B11658" s="135">
        <f>YEAR(source[[#This Row],[report_date]])</f>
        <v>2025</v>
      </c>
      <c r="C11658" s="128">
        <f t="shared" si="544"/>
        <v>12</v>
      </c>
      <c r="D11658" s="136">
        <f t="shared" si="546"/>
        <v>53</v>
      </c>
      <c r="E11658" s="136">
        <f t="shared" si="545"/>
        <v>29</v>
      </c>
      <c r="F11658" s="137" t="s">
        <v>24</v>
      </c>
      <c r="G11658" s="128" t="str">
        <f>VLOOKUP(source[[#This Row],[lending_product_transform]],[3]Mapping!$B$4:$C$37,2,0)</f>
        <v>[Cake] - Cashloan</v>
      </c>
      <c r="H11658" s="128" t="str">
        <f>VLOOKUP(source[[#This Row],[lending_product_transform]],[3]Mapping!$B$3:$D$37,3,0)</f>
        <v>cashloan</v>
      </c>
      <c r="I11658" s="143">
        <v>0</v>
      </c>
    </row>
    <row r="11659" spans="1:9" x14ac:dyDescent="0.2">
      <c r="A11659" s="134">
        <v>46020</v>
      </c>
      <c r="B11659" s="135">
        <f>YEAR(source[[#This Row],[report_date]])</f>
        <v>2025</v>
      </c>
      <c r="C11659" s="128">
        <f t="shared" si="544"/>
        <v>12</v>
      </c>
      <c r="D11659" s="136">
        <f t="shared" si="546"/>
        <v>53</v>
      </c>
      <c r="E11659" s="136">
        <f t="shared" si="545"/>
        <v>29</v>
      </c>
      <c r="F11659" s="137" t="s">
        <v>24</v>
      </c>
      <c r="G11659" s="128" t="str">
        <f>VLOOKUP(source[[#This Row],[lending_product_transform]],[3]Mapping!$B$4:$C$37,2,0)</f>
        <v>[Cake] - Cashloan</v>
      </c>
      <c r="H11659" s="128" t="str">
        <f>VLOOKUP(source[[#This Row],[lending_product_transform]],[3]Mapping!$B$3:$D$37,3,0)</f>
        <v>cashloan</v>
      </c>
      <c r="I11659" s="143">
        <v>15388110000</v>
      </c>
    </row>
    <row r="11660" spans="1:9" x14ac:dyDescent="0.2">
      <c r="A11660" s="134">
        <v>46020</v>
      </c>
      <c r="B11660" s="135">
        <f>YEAR(source[[#This Row],[report_date]])</f>
        <v>2025</v>
      </c>
      <c r="C11660" s="128">
        <f t="shared" si="544"/>
        <v>12</v>
      </c>
      <c r="D11660" s="136">
        <f t="shared" si="546"/>
        <v>53</v>
      </c>
      <c r="E11660" s="136">
        <f t="shared" si="545"/>
        <v>29</v>
      </c>
      <c r="F11660" s="137" t="s">
        <v>24</v>
      </c>
      <c r="G11660" s="128" t="str">
        <f>VLOOKUP(source[[#This Row],[lending_product_transform]],[3]Mapping!$B$4:$C$37,2,0)</f>
        <v>[Cake] - Cashloan</v>
      </c>
      <c r="H11660" s="128" t="str">
        <f>VLOOKUP(source[[#This Row],[lending_product_transform]],[3]Mapping!$B$3:$D$37,3,0)</f>
        <v>cashloan</v>
      </c>
      <c r="I11660" s="143">
        <v>0</v>
      </c>
    </row>
    <row r="11661" spans="1:9" x14ac:dyDescent="0.2">
      <c r="A11661" s="134">
        <v>46020</v>
      </c>
      <c r="B11661" s="135">
        <f>YEAR(source[[#This Row],[report_date]])</f>
        <v>2025</v>
      </c>
      <c r="C11661" s="128">
        <f t="shared" si="544"/>
        <v>12</v>
      </c>
      <c r="D11661" s="136">
        <f t="shared" si="546"/>
        <v>53</v>
      </c>
      <c r="E11661" s="136">
        <f t="shared" si="545"/>
        <v>29</v>
      </c>
      <c r="F11661" s="137" t="s">
        <v>24</v>
      </c>
      <c r="G11661" s="128" t="str">
        <f>VLOOKUP(source[[#This Row],[lending_product_transform]],[3]Mapping!$B$4:$C$37,2,0)</f>
        <v>[Cake] - Cashloan</v>
      </c>
      <c r="H11661" s="128" t="str">
        <f>VLOOKUP(source[[#This Row],[lending_product_transform]],[3]Mapping!$B$3:$D$37,3,0)</f>
        <v>cashloan</v>
      </c>
      <c r="I11661" s="143">
        <v>0</v>
      </c>
    </row>
    <row r="11662" spans="1:9" x14ac:dyDescent="0.2">
      <c r="A11662" s="134">
        <v>46020</v>
      </c>
      <c r="B11662" s="135">
        <f>YEAR(source[[#This Row],[report_date]])</f>
        <v>2025</v>
      </c>
      <c r="C11662" s="128">
        <f t="shared" si="544"/>
        <v>12</v>
      </c>
      <c r="D11662" s="136">
        <f t="shared" si="546"/>
        <v>53</v>
      </c>
      <c r="E11662" s="136">
        <f t="shared" si="545"/>
        <v>29</v>
      </c>
      <c r="F11662" s="137" t="s">
        <v>24</v>
      </c>
      <c r="G11662" s="128" t="str">
        <f>VLOOKUP(source[[#This Row],[lending_product_transform]],[3]Mapping!$B$4:$C$37,2,0)</f>
        <v>[Cake] - Cashloan</v>
      </c>
      <c r="H11662" s="128" t="str">
        <f>VLOOKUP(source[[#This Row],[lending_product_transform]],[3]Mapping!$B$3:$D$37,3,0)</f>
        <v>cashloan</v>
      </c>
      <c r="I11662" s="143">
        <v>0</v>
      </c>
    </row>
    <row r="11663" spans="1:9" x14ac:dyDescent="0.2">
      <c r="A11663" s="134">
        <v>46020</v>
      </c>
      <c r="B11663" s="135">
        <f>YEAR(source[[#This Row],[report_date]])</f>
        <v>2025</v>
      </c>
      <c r="C11663" s="128">
        <f t="shared" si="544"/>
        <v>12</v>
      </c>
      <c r="D11663" s="136">
        <f t="shared" si="546"/>
        <v>53</v>
      </c>
      <c r="E11663" s="136">
        <f t="shared" si="545"/>
        <v>29</v>
      </c>
      <c r="F11663" s="137" t="s">
        <v>24</v>
      </c>
      <c r="G11663" s="128" t="str">
        <f>VLOOKUP(source[[#This Row],[lending_product_transform]],[3]Mapping!$B$4:$C$37,2,0)</f>
        <v>[Cake] - Cashloan</v>
      </c>
      <c r="H11663" s="128" t="str">
        <f>VLOOKUP(source[[#This Row],[lending_product_transform]],[3]Mapping!$B$3:$D$37,3,0)</f>
        <v>cashloan</v>
      </c>
      <c r="I11663" s="143">
        <v>7490000</v>
      </c>
    </row>
    <row r="11664" spans="1:9" x14ac:dyDescent="0.2">
      <c r="A11664" s="134">
        <v>46020</v>
      </c>
      <c r="B11664" s="135">
        <f>YEAR(source[[#This Row],[report_date]])</f>
        <v>2025</v>
      </c>
      <c r="C11664" s="128">
        <f t="shared" si="544"/>
        <v>12</v>
      </c>
      <c r="D11664" s="136">
        <f t="shared" si="546"/>
        <v>53</v>
      </c>
      <c r="E11664" s="136">
        <f t="shared" si="545"/>
        <v>29</v>
      </c>
      <c r="F11664" s="137" t="s">
        <v>24</v>
      </c>
      <c r="G11664" s="128" t="str">
        <f>VLOOKUP(source[[#This Row],[lending_product_transform]],[3]Mapping!$B$4:$C$37,2,0)</f>
        <v>[Cake] - Cashloan</v>
      </c>
      <c r="H11664" s="128" t="str">
        <f>VLOOKUP(source[[#This Row],[lending_product_transform]],[3]Mapping!$B$3:$D$37,3,0)</f>
        <v>cashloan</v>
      </c>
      <c r="I11664" s="143">
        <v>8714412000</v>
      </c>
    </row>
    <row r="11665" spans="1:9" x14ac:dyDescent="0.2">
      <c r="A11665" s="134">
        <v>46020</v>
      </c>
      <c r="B11665" s="135">
        <f>YEAR(source[[#This Row],[report_date]])</f>
        <v>2025</v>
      </c>
      <c r="C11665" s="128">
        <f t="shared" si="544"/>
        <v>12</v>
      </c>
      <c r="D11665" s="136">
        <f t="shared" si="546"/>
        <v>53</v>
      </c>
      <c r="E11665" s="136">
        <f t="shared" si="545"/>
        <v>29</v>
      </c>
      <c r="F11665" s="137" t="s">
        <v>24</v>
      </c>
      <c r="G11665" s="128" t="str">
        <f>VLOOKUP(source[[#This Row],[lending_product_transform]],[3]Mapping!$B$4:$C$37,2,0)</f>
        <v>[Cake] - Cashloan</v>
      </c>
      <c r="H11665" s="128" t="str">
        <f>VLOOKUP(source[[#This Row],[lending_product_transform]],[3]Mapping!$B$3:$D$37,3,0)</f>
        <v>cashloan</v>
      </c>
      <c r="I11665" s="143">
        <v>145257282</v>
      </c>
    </row>
    <row r="11666" spans="1:9" x14ac:dyDescent="0.2">
      <c r="A11666" s="134">
        <v>46020</v>
      </c>
      <c r="B11666" s="135">
        <f>YEAR(source[[#This Row],[report_date]])</f>
        <v>2025</v>
      </c>
      <c r="C11666" s="128">
        <f t="shared" si="544"/>
        <v>12</v>
      </c>
      <c r="D11666" s="136">
        <f t="shared" si="546"/>
        <v>53</v>
      </c>
      <c r="E11666" s="136">
        <f t="shared" si="545"/>
        <v>29</v>
      </c>
      <c r="F11666" s="137" t="s">
        <v>24</v>
      </c>
      <c r="G11666" s="128" t="str">
        <f>VLOOKUP(source[[#This Row],[lending_product_transform]],[3]Mapping!$B$4:$C$37,2,0)</f>
        <v>[Cake] - Cashloan</v>
      </c>
      <c r="H11666" s="128" t="str">
        <f>VLOOKUP(source[[#This Row],[lending_product_transform]],[3]Mapping!$B$3:$D$37,3,0)</f>
        <v>cashloan</v>
      </c>
      <c r="I11666" s="143">
        <v>10000000</v>
      </c>
    </row>
    <row r="11667" spans="1:9" x14ac:dyDescent="0.2">
      <c r="A11667" s="134">
        <v>46020</v>
      </c>
      <c r="B11667" s="135">
        <f>YEAR(source[[#This Row],[report_date]])</f>
        <v>2025</v>
      </c>
      <c r="C11667" s="128">
        <f t="shared" si="544"/>
        <v>12</v>
      </c>
      <c r="D11667" s="136">
        <f t="shared" si="546"/>
        <v>53</v>
      </c>
      <c r="E11667" s="136">
        <f t="shared" si="545"/>
        <v>29</v>
      </c>
      <c r="F11667" s="137" t="s">
        <v>24</v>
      </c>
      <c r="G11667" s="128" t="str">
        <f>VLOOKUP(source[[#This Row],[lending_product_transform]],[3]Mapping!$B$4:$C$37,2,0)</f>
        <v>[Cake] - Cashloan</v>
      </c>
      <c r="H11667" s="128" t="str">
        <f>VLOOKUP(source[[#This Row],[lending_product_transform]],[3]Mapping!$B$3:$D$37,3,0)</f>
        <v>cashloan</v>
      </c>
      <c r="I11667" s="143">
        <v>41000000</v>
      </c>
    </row>
    <row r="11668" spans="1:9" x14ac:dyDescent="0.2">
      <c r="A11668" s="134">
        <v>46020</v>
      </c>
      <c r="B11668" s="135">
        <f>YEAR(source[[#This Row],[report_date]])</f>
        <v>2025</v>
      </c>
      <c r="C11668" s="128">
        <f t="shared" si="544"/>
        <v>12</v>
      </c>
      <c r="D11668" s="136">
        <f t="shared" si="546"/>
        <v>53</v>
      </c>
      <c r="E11668" s="136">
        <f t="shared" si="545"/>
        <v>29</v>
      </c>
      <c r="F11668" s="137" t="s">
        <v>24</v>
      </c>
      <c r="G11668" s="128" t="str">
        <f>VLOOKUP(source[[#This Row],[lending_product_transform]],[3]Mapping!$B$4:$C$37,2,0)</f>
        <v>[Cake] - Cashloan</v>
      </c>
      <c r="H11668" s="128" t="str">
        <f>VLOOKUP(source[[#This Row],[lending_product_transform]],[3]Mapping!$B$3:$D$37,3,0)</f>
        <v>cashloan</v>
      </c>
      <c r="I11668" s="143">
        <v>929060000</v>
      </c>
    </row>
    <row r="11669" spans="1:9" x14ac:dyDescent="0.2">
      <c r="A11669" s="134">
        <v>46020</v>
      </c>
      <c r="B11669" s="135">
        <f>YEAR(source[[#This Row],[report_date]])</f>
        <v>2025</v>
      </c>
      <c r="C11669" s="128">
        <f t="shared" si="544"/>
        <v>12</v>
      </c>
      <c r="D11669" s="136">
        <f t="shared" si="546"/>
        <v>53</v>
      </c>
      <c r="E11669" s="136">
        <f t="shared" si="545"/>
        <v>29</v>
      </c>
      <c r="F11669" s="137" t="s">
        <v>24</v>
      </c>
      <c r="G11669" s="128" t="str">
        <f>VLOOKUP(source[[#This Row],[lending_product_transform]],[3]Mapping!$B$4:$C$37,2,0)</f>
        <v>[Cake] - Cashloan</v>
      </c>
      <c r="H11669" s="128" t="str">
        <f>VLOOKUP(source[[#This Row],[lending_product_transform]],[3]Mapping!$B$3:$D$37,3,0)</f>
        <v>cashloan</v>
      </c>
      <c r="I11669" s="143">
        <v>330264000</v>
      </c>
    </row>
    <row r="11670" spans="1:9" x14ac:dyDescent="0.2">
      <c r="A11670" s="134">
        <v>46020</v>
      </c>
      <c r="B11670" s="135">
        <f>YEAR(source[[#This Row],[report_date]])</f>
        <v>2025</v>
      </c>
      <c r="C11670" s="128">
        <f t="shared" si="544"/>
        <v>12</v>
      </c>
      <c r="D11670" s="136">
        <f t="shared" si="546"/>
        <v>53</v>
      </c>
      <c r="E11670" s="136">
        <f t="shared" si="545"/>
        <v>29</v>
      </c>
      <c r="F11670" s="137" t="s">
        <v>24</v>
      </c>
      <c r="G11670" s="128" t="str">
        <f>VLOOKUP(source[[#This Row],[lending_product_transform]],[3]Mapping!$B$4:$C$37,2,0)</f>
        <v>[Cake] - Cashloan</v>
      </c>
      <c r="H11670" s="128" t="str">
        <f>VLOOKUP(source[[#This Row],[lending_product_transform]],[3]Mapping!$B$3:$D$37,3,0)</f>
        <v>cashloan</v>
      </c>
      <c r="I11670" s="143">
        <v>468572233</v>
      </c>
    </row>
    <row r="11671" spans="1:9" x14ac:dyDescent="0.2">
      <c r="A11671" s="134">
        <v>46020</v>
      </c>
      <c r="B11671" s="135">
        <f>YEAR(source[[#This Row],[report_date]])</f>
        <v>2025</v>
      </c>
      <c r="C11671" s="128">
        <f t="shared" si="544"/>
        <v>12</v>
      </c>
      <c r="D11671" s="136">
        <f t="shared" si="546"/>
        <v>53</v>
      </c>
      <c r="E11671" s="136">
        <f t="shared" si="545"/>
        <v>29</v>
      </c>
      <c r="F11671" s="137" t="s">
        <v>24</v>
      </c>
      <c r="G11671" s="128" t="str">
        <f>VLOOKUP(source[[#This Row],[lending_product_transform]],[3]Mapping!$B$4:$C$37,2,0)</f>
        <v>[Cake] - Cashloan</v>
      </c>
      <c r="H11671" s="128" t="str">
        <f>VLOOKUP(source[[#This Row],[lending_product_transform]],[3]Mapping!$B$3:$D$37,3,0)</f>
        <v>cashloan</v>
      </c>
      <c r="I11671" s="143">
        <v>4035890000</v>
      </c>
    </row>
    <row r="11672" spans="1:9" x14ac:dyDescent="0.2">
      <c r="A11672" s="134">
        <v>46020</v>
      </c>
      <c r="B11672" s="135">
        <f>YEAR(source[[#This Row],[report_date]])</f>
        <v>2025</v>
      </c>
      <c r="C11672" s="128">
        <f t="shared" si="544"/>
        <v>12</v>
      </c>
      <c r="D11672" s="136">
        <f t="shared" si="546"/>
        <v>53</v>
      </c>
      <c r="E11672" s="136">
        <f t="shared" si="545"/>
        <v>29</v>
      </c>
      <c r="F11672" s="137" t="s">
        <v>24</v>
      </c>
      <c r="G11672" s="128" t="str">
        <f>VLOOKUP(source[[#This Row],[lending_product_transform]],[3]Mapping!$B$4:$C$37,2,0)</f>
        <v>[Cake] - Cashloan</v>
      </c>
      <c r="H11672" s="128" t="str">
        <f>VLOOKUP(source[[#This Row],[lending_product_transform]],[3]Mapping!$B$3:$D$37,3,0)</f>
        <v>cashloan</v>
      </c>
      <c r="I11672" s="143">
        <v>0</v>
      </c>
    </row>
    <row r="11673" spans="1:9" x14ac:dyDescent="0.2">
      <c r="A11673" s="134">
        <v>46021</v>
      </c>
      <c r="B11673" s="135">
        <f>YEAR(source[[#This Row],[report_date]])</f>
        <v>2025</v>
      </c>
      <c r="C11673" s="128">
        <f t="shared" si="544"/>
        <v>12</v>
      </c>
      <c r="D11673" s="136">
        <f t="shared" si="546"/>
        <v>53</v>
      </c>
      <c r="E11673" s="136">
        <f t="shared" si="545"/>
        <v>30</v>
      </c>
      <c r="F11673" s="137" t="s">
        <v>24</v>
      </c>
      <c r="G11673" s="128" t="str">
        <f>VLOOKUP(source[[#This Row],[lending_product_transform]],[3]Mapping!$B$4:$C$37,2,0)</f>
        <v>[Cake] - Cashloan</v>
      </c>
      <c r="H11673" s="128" t="str">
        <f>VLOOKUP(source[[#This Row],[lending_product_transform]],[3]Mapping!$B$3:$D$37,3,0)</f>
        <v>cashloan</v>
      </c>
      <c r="I11673" s="143">
        <v>535950000</v>
      </c>
    </row>
    <row r="11674" spans="1:9" x14ac:dyDescent="0.2">
      <c r="A11674" s="134">
        <v>46021</v>
      </c>
      <c r="B11674" s="135">
        <f>YEAR(source[[#This Row],[report_date]])</f>
        <v>2025</v>
      </c>
      <c r="C11674" s="128">
        <f t="shared" si="544"/>
        <v>12</v>
      </c>
      <c r="D11674" s="136">
        <f t="shared" si="546"/>
        <v>53</v>
      </c>
      <c r="E11674" s="136">
        <f t="shared" si="545"/>
        <v>30</v>
      </c>
      <c r="F11674" s="137" t="s">
        <v>24</v>
      </c>
      <c r="G11674" s="128" t="str">
        <f>VLOOKUP(source[[#This Row],[lending_product_transform]],[3]Mapping!$B$4:$C$37,2,0)</f>
        <v>[Cake] - Cashloan</v>
      </c>
      <c r="H11674" s="128" t="str">
        <f>VLOOKUP(source[[#This Row],[lending_product_transform]],[3]Mapping!$B$3:$D$37,3,0)</f>
        <v>cashloan</v>
      </c>
      <c r="I11674" s="143">
        <v>344927366</v>
      </c>
    </row>
    <row r="11675" spans="1:9" x14ac:dyDescent="0.2">
      <c r="A11675" s="134">
        <v>46021</v>
      </c>
      <c r="B11675" s="135">
        <f>YEAR(source[[#This Row],[report_date]])</f>
        <v>2025</v>
      </c>
      <c r="C11675" s="128">
        <f t="shared" si="544"/>
        <v>12</v>
      </c>
      <c r="D11675" s="136">
        <f t="shared" si="546"/>
        <v>53</v>
      </c>
      <c r="E11675" s="136">
        <f t="shared" si="545"/>
        <v>30</v>
      </c>
      <c r="F11675" s="137" t="s">
        <v>24</v>
      </c>
      <c r="G11675" s="128" t="str">
        <f>VLOOKUP(source[[#This Row],[lending_product_transform]],[3]Mapping!$B$4:$C$37,2,0)</f>
        <v>[Cake] - Cashloan</v>
      </c>
      <c r="H11675" s="128" t="str">
        <f>VLOOKUP(source[[#This Row],[lending_product_transform]],[3]Mapping!$B$3:$D$37,3,0)</f>
        <v>cashloan</v>
      </c>
      <c r="I11675" s="143">
        <v>16123360000</v>
      </c>
    </row>
    <row r="11676" spans="1:9" x14ac:dyDescent="0.2">
      <c r="A11676" s="134">
        <v>46021</v>
      </c>
      <c r="B11676" s="135">
        <f>YEAR(source[[#This Row],[report_date]])</f>
        <v>2025</v>
      </c>
      <c r="C11676" s="128">
        <f t="shared" si="544"/>
        <v>12</v>
      </c>
      <c r="D11676" s="136">
        <f t="shared" si="546"/>
        <v>53</v>
      </c>
      <c r="E11676" s="136">
        <f t="shared" si="545"/>
        <v>30</v>
      </c>
      <c r="F11676" s="137" t="s">
        <v>24</v>
      </c>
      <c r="G11676" s="128" t="str">
        <f>VLOOKUP(source[[#This Row],[lending_product_transform]],[3]Mapping!$B$4:$C$37,2,0)</f>
        <v>[Cake] - Cashloan</v>
      </c>
      <c r="H11676" s="128" t="str">
        <f>VLOOKUP(source[[#This Row],[lending_product_transform]],[3]Mapping!$B$3:$D$37,3,0)</f>
        <v>cashloan</v>
      </c>
      <c r="I11676" s="143">
        <v>2417843259</v>
      </c>
    </row>
    <row r="11677" spans="1:9" x14ac:dyDescent="0.2">
      <c r="A11677" s="134">
        <v>46021</v>
      </c>
      <c r="B11677" s="135">
        <f>YEAR(source[[#This Row],[report_date]])</f>
        <v>2025</v>
      </c>
      <c r="C11677" s="128">
        <f t="shared" si="544"/>
        <v>12</v>
      </c>
      <c r="D11677" s="136">
        <f t="shared" si="546"/>
        <v>53</v>
      </c>
      <c r="E11677" s="136">
        <f t="shared" si="545"/>
        <v>30</v>
      </c>
      <c r="F11677" s="137" t="s">
        <v>24</v>
      </c>
      <c r="G11677" s="128" t="str">
        <f>VLOOKUP(source[[#This Row],[lending_product_transform]],[3]Mapping!$B$4:$C$37,2,0)</f>
        <v>[Cake] - Cashloan</v>
      </c>
      <c r="H11677" s="128" t="str">
        <f>VLOOKUP(source[[#This Row],[lending_product_transform]],[3]Mapping!$B$3:$D$37,3,0)</f>
        <v>cashloan</v>
      </c>
      <c r="I11677" s="143">
        <v>13397616000</v>
      </c>
    </row>
    <row r="11678" spans="1:9" x14ac:dyDescent="0.2">
      <c r="A11678" s="134">
        <v>46021</v>
      </c>
      <c r="B11678" s="135">
        <f>YEAR(source[[#This Row],[report_date]])</f>
        <v>2025</v>
      </c>
      <c r="C11678" s="128">
        <f t="shared" si="544"/>
        <v>12</v>
      </c>
      <c r="D11678" s="136">
        <f t="shared" si="546"/>
        <v>53</v>
      </c>
      <c r="E11678" s="136">
        <f t="shared" si="545"/>
        <v>30</v>
      </c>
      <c r="F11678" s="137" t="s">
        <v>24</v>
      </c>
      <c r="G11678" s="128" t="str">
        <f>VLOOKUP(source[[#This Row],[lending_product_transform]],[3]Mapping!$B$4:$C$37,2,0)</f>
        <v>[Cake] - Cashloan</v>
      </c>
      <c r="H11678" s="128" t="str">
        <f>VLOOKUP(source[[#This Row],[lending_product_transform]],[3]Mapping!$B$3:$D$37,3,0)</f>
        <v>cashloan</v>
      </c>
      <c r="I11678" s="143">
        <v>4065162</v>
      </c>
    </row>
    <row r="11679" spans="1:9" x14ac:dyDescent="0.2">
      <c r="A11679" s="134">
        <v>46021</v>
      </c>
      <c r="B11679" s="135">
        <f>YEAR(source[[#This Row],[report_date]])</f>
        <v>2025</v>
      </c>
      <c r="C11679" s="128">
        <f t="shared" si="544"/>
        <v>12</v>
      </c>
      <c r="D11679" s="136">
        <f t="shared" si="546"/>
        <v>53</v>
      </c>
      <c r="E11679" s="136">
        <f t="shared" si="545"/>
        <v>30</v>
      </c>
      <c r="F11679" s="137" t="s">
        <v>24</v>
      </c>
      <c r="G11679" s="128" t="str">
        <f>VLOOKUP(source[[#This Row],[lending_product_transform]],[3]Mapping!$B$4:$C$37,2,0)</f>
        <v>[Cake] - Cashloan</v>
      </c>
      <c r="H11679" s="128" t="str">
        <f>VLOOKUP(source[[#This Row],[lending_product_transform]],[3]Mapping!$B$3:$D$37,3,0)</f>
        <v>cashloan</v>
      </c>
      <c r="I11679" s="143">
        <v>0</v>
      </c>
    </row>
    <row r="11680" spans="1:9" x14ac:dyDescent="0.2">
      <c r="A11680" s="134">
        <v>46021</v>
      </c>
      <c r="B11680" s="135">
        <f>YEAR(source[[#This Row],[report_date]])</f>
        <v>2025</v>
      </c>
      <c r="C11680" s="128">
        <f t="shared" si="544"/>
        <v>12</v>
      </c>
      <c r="D11680" s="136">
        <f t="shared" si="546"/>
        <v>53</v>
      </c>
      <c r="E11680" s="136">
        <f t="shared" si="545"/>
        <v>30</v>
      </c>
      <c r="F11680" s="137" t="s">
        <v>24</v>
      </c>
      <c r="G11680" s="128" t="str">
        <f>VLOOKUP(source[[#This Row],[lending_product_transform]],[3]Mapping!$B$4:$C$37,2,0)</f>
        <v>[Cake] - Cashloan</v>
      </c>
      <c r="H11680" s="128" t="str">
        <f>VLOOKUP(source[[#This Row],[lending_product_transform]],[3]Mapping!$B$3:$D$37,3,0)</f>
        <v>cashloan</v>
      </c>
      <c r="I11680" s="143">
        <v>3894890000</v>
      </c>
    </row>
    <row r="11681" spans="1:9" x14ac:dyDescent="0.2">
      <c r="A11681" s="134">
        <v>46021</v>
      </c>
      <c r="B11681" s="135">
        <f>YEAR(source[[#This Row],[report_date]])</f>
        <v>2025</v>
      </c>
      <c r="C11681" s="128">
        <f t="shared" si="544"/>
        <v>12</v>
      </c>
      <c r="D11681" s="136">
        <f t="shared" si="546"/>
        <v>53</v>
      </c>
      <c r="E11681" s="136">
        <f t="shared" si="545"/>
        <v>30</v>
      </c>
      <c r="F11681" s="137" t="s">
        <v>24</v>
      </c>
      <c r="G11681" s="128" t="str">
        <f>VLOOKUP(source[[#This Row],[lending_product_transform]],[3]Mapping!$B$4:$C$37,2,0)</f>
        <v>[Cake] - Cashloan</v>
      </c>
      <c r="H11681" s="128" t="str">
        <f>VLOOKUP(source[[#This Row],[lending_product_transform]],[3]Mapping!$B$3:$D$37,3,0)</f>
        <v>cashloan</v>
      </c>
      <c r="I11681" s="143">
        <v>316100000</v>
      </c>
    </row>
    <row r="11682" spans="1:9" x14ac:dyDescent="0.2">
      <c r="A11682" s="134">
        <v>46021</v>
      </c>
      <c r="B11682" s="135">
        <f>YEAR(source[[#This Row],[report_date]])</f>
        <v>2025</v>
      </c>
      <c r="C11682" s="128">
        <f t="shared" si="544"/>
        <v>12</v>
      </c>
      <c r="D11682" s="136">
        <f t="shared" si="546"/>
        <v>53</v>
      </c>
      <c r="E11682" s="136">
        <f t="shared" si="545"/>
        <v>30</v>
      </c>
      <c r="F11682" s="137" t="s">
        <v>24</v>
      </c>
      <c r="G11682" s="128" t="str">
        <f>VLOOKUP(source[[#This Row],[lending_product_transform]],[3]Mapping!$B$4:$C$37,2,0)</f>
        <v>[Cake] - Cashloan</v>
      </c>
      <c r="H11682" s="128" t="str">
        <f>VLOOKUP(source[[#This Row],[lending_product_transform]],[3]Mapping!$B$3:$D$37,3,0)</f>
        <v>cashloan</v>
      </c>
      <c r="I11682" s="143">
        <v>2849453</v>
      </c>
    </row>
    <row r="11683" spans="1:9" x14ac:dyDescent="0.2">
      <c r="A11683" s="134">
        <v>46021</v>
      </c>
      <c r="B11683" s="135">
        <f>YEAR(source[[#This Row],[report_date]])</f>
        <v>2025</v>
      </c>
      <c r="C11683" s="128">
        <f t="shared" si="544"/>
        <v>12</v>
      </c>
      <c r="D11683" s="136">
        <f t="shared" si="546"/>
        <v>53</v>
      </c>
      <c r="E11683" s="136">
        <f t="shared" si="545"/>
        <v>30</v>
      </c>
      <c r="F11683" s="137" t="s">
        <v>24</v>
      </c>
      <c r="G11683" s="128" t="str">
        <f>VLOOKUP(source[[#This Row],[lending_product_transform]],[3]Mapping!$B$4:$C$37,2,0)</f>
        <v>[Cake] - Cashloan</v>
      </c>
      <c r="H11683" s="128" t="str">
        <f>VLOOKUP(source[[#This Row],[lending_product_transform]],[3]Mapping!$B$3:$D$37,3,0)</f>
        <v>cashloan</v>
      </c>
      <c r="I11683" s="143">
        <v>780566657</v>
      </c>
    </row>
    <row r="11684" spans="1:9" x14ac:dyDescent="0.2">
      <c r="A11684" s="134">
        <v>46021</v>
      </c>
      <c r="B11684" s="135">
        <f>YEAR(source[[#This Row],[report_date]])</f>
        <v>2025</v>
      </c>
      <c r="C11684" s="128">
        <f t="shared" si="544"/>
        <v>12</v>
      </c>
      <c r="D11684" s="136">
        <f t="shared" si="546"/>
        <v>53</v>
      </c>
      <c r="E11684" s="136">
        <f t="shared" si="545"/>
        <v>30</v>
      </c>
      <c r="F11684" s="137" t="s">
        <v>24</v>
      </c>
      <c r="G11684" s="128" t="str">
        <f>VLOOKUP(source[[#This Row],[lending_product_transform]],[3]Mapping!$B$4:$C$37,2,0)</f>
        <v>[Cake] - Cashloan</v>
      </c>
      <c r="H11684" s="128" t="str">
        <f>VLOOKUP(source[[#This Row],[lending_product_transform]],[3]Mapping!$B$3:$D$37,3,0)</f>
        <v>cashloan</v>
      </c>
      <c r="I11684" s="143">
        <v>0</v>
      </c>
    </row>
    <row r="11685" spans="1:9" x14ac:dyDescent="0.2">
      <c r="A11685" s="134">
        <v>46021</v>
      </c>
      <c r="B11685" s="135">
        <f>YEAR(source[[#This Row],[report_date]])</f>
        <v>2025</v>
      </c>
      <c r="C11685" s="128">
        <f t="shared" si="544"/>
        <v>12</v>
      </c>
      <c r="D11685" s="136">
        <f t="shared" si="546"/>
        <v>53</v>
      </c>
      <c r="E11685" s="136">
        <f t="shared" si="545"/>
        <v>30</v>
      </c>
      <c r="F11685" s="137" t="s">
        <v>24</v>
      </c>
      <c r="G11685" s="128" t="str">
        <f>VLOOKUP(source[[#This Row],[lending_product_transform]],[3]Mapping!$B$4:$C$37,2,0)</f>
        <v>[Cake] - Cashloan</v>
      </c>
      <c r="H11685" s="128" t="str">
        <f>VLOOKUP(source[[#This Row],[lending_product_transform]],[3]Mapping!$B$3:$D$37,3,0)</f>
        <v>cashloan</v>
      </c>
      <c r="I11685" s="143">
        <v>623500000</v>
      </c>
    </row>
    <row r="11686" spans="1:9" x14ac:dyDescent="0.2">
      <c r="A11686" s="134">
        <v>46021</v>
      </c>
      <c r="B11686" s="135">
        <f>YEAR(source[[#This Row],[report_date]])</f>
        <v>2025</v>
      </c>
      <c r="C11686" s="128">
        <f t="shared" si="544"/>
        <v>12</v>
      </c>
      <c r="D11686" s="136">
        <f t="shared" si="546"/>
        <v>53</v>
      </c>
      <c r="E11686" s="136">
        <f t="shared" si="545"/>
        <v>30</v>
      </c>
      <c r="F11686" s="137" t="s">
        <v>24</v>
      </c>
      <c r="G11686" s="128" t="str">
        <f>VLOOKUP(source[[#This Row],[lending_product_transform]],[3]Mapping!$B$4:$C$37,2,0)</f>
        <v>[Cake] - Cashloan</v>
      </c>
      <c r="H11686" s="128" t="str">
        <f>VLOOKUP(source[[#This Row],[lending_product_transform]],[3]Mapping!$B$3:$D$37,3,0)</f>
        <v>cashloan</v>
      </c>
      <c r="I11686" s="143">
        <v>0</v>
      </c>
    </row>
    <row r="11687" spans="1:9" x14ac:dyDescent="0.2">
      <c r="A11687" s="134">
        <v>46021</v>
      </c>
      <c r="B11687" s="135">
        <f>YEAR(source[[#This Row],[report_date]])</f>
        <v>2025</v>
      </c>
      <c r="C11687" s="128">
        <f t="shared" si="544"/>
        <v>12</v>
      </c>
      <c r="D11687" s="136">
        <f t="shared" si="546"/>
        <v>53</v>
      </c>
      <c r="E11687" s="136">
        <f t="shared" si="545"/>
        <v>30</v>
      </c>
      <c r="F11687" s="137" t="s">
        <v>24</v>
      </c>
      <c r="G11687" s="128" t="str">
        <f>VLOOKUP(source[[#This Row],[lending_product_transform]],[3]Mapping!$B$4:$C$37,2,0)</f>
        <v>[Cake] - Cashloan</v>
      </c>
      <c r="H11687" s="128" t="str">
        <f>VLOOKUP(source[[#This Row],[lending_product_transform]],[3]Mapping!$B$3:$D$37,3,0)</f>
        <v>cashloan</v>
      </c>
      <c r="I11687" s="143">
        <v>17613510000</v>
      </c>
    </row>
    <row r="11688" spans="1:9" x14ac:dyDescent="0.2">
      <c r="A11688" s="134">
        <v>46021</v>
      </c>
      <c r="B11688" s="135">
        <f>YEAR(source[[#This Row],[report_date]])</f>
        <v>2025</v>
      </c>
      <c r="C11688" s="128">
        <f t="shared" si="544"/>
        <v>12</v>
      </c>
      <c r="D11688" s="136">
        <f t="shared" si="546"/>
        <v>53</v>
      </c>
      <c r="E11688" s="136">
        <f t="shared" si="545"/>
        <v>30</v>
      </c>
      <c r="F11688" s="137" t="s">
        <v>24</v>
      </c>
      <c r="G11688" s="128" t="str">
        <f>VLOOKUP(source[[#This Row],[lending_product_transform]],[3]Mapping!$B$4:$C$37,2,0)</f>
        <v>[Cake] - Cashloan</v>
      </c>
      <c r="H11688" s="128" t="str">
        <f>VLOOKUP(source[[#This Row],[lending_product_transform]],[3]Mapping!$B$3:$D$37,3,0)</f>
        <v>cashloan</v>
      </c>
      <c r="I11688" s="143">
        <v>0</v>
      </c>
    </row>
    <row r="11689" spans="1:9" x14ac:dyDescent="0.2">
      <c r="A11689" s="134">
        <v>46021</v>
      </c>
      <c r="B11689" s="135">
        <f>YEAR(source[[#This Row],[report_date]])</f>
        <v>2025</v>
      </c>
      <c r="C11689" s="128">
        <f t="shared" si="544"/>
        <v>12</v>
      </c>
      <c r="D11689" s="136">
        <f t="shared" si="546"/>
        <v>53</v>
      </c>
      <c r="E11689" s="136">
        <f t="shared" si="545"/>
        <v>30</v>
      </c>
      <c r="F11689" s="137" t="s">
        <v>24</v>
      </c>
      <c r="G11689" s="128" t="str">
        <f>VLOOKUP(source[[#This Row],[lending_product_transform]],[3]Mapping!$B$4:$C$37,2,0)</f>
        <v>[Cake] - Cashloan</v>
      </c>
      <c r="H11689" s="128" t="str">
        <f>VLOOKUP(source[[#This Row],[lending_product_transform]],[3]Mapping!$B$3:$D$37,3,0)</f>
        <v>cashloan</v>
      </c>
      <c r="I11689" s="143">
        <v>0</v>
      </c>
    </row>
    <row r="11690" spans="1:9" x14ac:dyDescent="0.2">
      <c r="A11690" s="134">
        <v>46021</v>
      </c>
      <c r="B11690" s="135">
        <f>YEAR(source[[#This Row],[report_date]])</f>
        <v>2025</v>
      </c>
      <c r="C11690" s="128">
        <f t="shared" si="544"/>
        <v>12</v>
      </c>
      <c r="D11690" s="136">
        <f t="shared" si="546"/>
        <v>53</v>
      </c>
      <c r="E11690" s="136">
        <f t="shared" si="545"/>
        <v>30</v>
      </c>
      <c r="F11690" s="137" t="s">
        <v>24</v>
      </c>
      <c r="G11690" s="128" t="str">
        <f>VLOOKUP(source[[#This Row],[lending_product_transform]],[3]Mapping!$B$4:$C$37,2,0)</f>
        <v>[Cake] - Cashloan</v>
      </c>
      <c r="H11690" s="128" t="str">
        <f>VLOOKUP(source[[#This Row],[lending_product_transform]],[3]Mapping!$B$3:$D$37,3,0)</f>
        <v>cashloan</v>
      </c>
      <c r="I11690" s="143">
        <v>0</v>
      </c>
    </row>
    <row r="11691" spans="1:9" x14ac:dyDescent="0.2">
      <c r="A11691" s="134">
        <v>46021</v>
      </c>
      <c r="B11691" s="135">
        <f>YEAR(source[[#This Row],[report_date]])</f>
        <v>2025</v>
      </c>
      <c r="C11691" s="128">
        <f t="shared" si="544"/>
        <v>12</v>
      </c>
      <c r="D11691" s="136">
        <f t="shared" si="546"/>
        <v>53</v>
      </c>
      <c r="E11691" s="136">
        <f t="shared" si="545"/>
        <v>30</v>
      </c>
      <c r="F11691" s="137" t="s">
        <v>24</v>
      </c>
      <c r="G11691" s="128" t="str">
        <f>VLOOKUP(source[[#This Row],[lending_product_transform]],[3]Mapping!$B$4:$C$37,2,0)</f>
        <v>[Cake] - Cashloan</v>
      </c>
      <c r="H11691" s="128" t="str">
        <f>VLOOKUP(source[[#This Row],[lending_product_transform]],[3]Mapping!$B$3:$D$37,3,0)</f>
        <v>cashloan</v>
      </c>
      <c r="I11691" s="143">
        <v>0</v>
      </c>
    </row>
    <row r="11692" spans="1:9" x14ac:dyDescent="0.2">
      <c r="A11692" s="134">
        <v>46021</v>
      </c>
      <c r="B11692" s="135">
        <f>YEAR(source[[#This Row],[report_date]])</f>
        <v>2025</v>
      </c>
      <c r="C11692" s="128">
        <f t="shared" si="544"/>
        <v>12</v>
      </c>
      <c r="D11692" s="136">
        <f t="shared" si="546"/>
        <v>53</v>
      </c>
      <c r="E11692" s="136">
        <f t="shared" si="545"/>
        <v>30</v>
      </c>
      <c r="F11692" s="137" t="s">
        <v>24</v>
      </c>
      <c r="G11692" s="128" t="str">
        <f>VLOOKUP(source[[#This Row],[lending_product_transform]],[3]Mapping!$B$4:$C$37,2,0)</f>
        <v>[Cake] - Cashloan</v>
      </c>
      <c r="H11692" s="128" t="str">
        <f>VLOOKUP(source[[#This Row],[lending_product_transform]],[3]Mapping!$B$3:$D$37,3,0)</f>
        <v>cashloan</v>
      </c>
      <c r="I11692" s="143">
        <v>8879976000</v>
      </c>
    </row>
    <row r="11693" spans="1:9" x14ac:dyDescent="0.2">
      <c r="A11693" s="134">
        <v>46021</v>
      </c>
      <c r="B11693" s="135">
        <f>YEAR(source[[#This Row],[report_date]])</f>
        <v>2025</v>
      </c>
      <c r="C11693" s="128">
        <f t="shared" si="544"/>
        <v>12</v>
      </c>
      <c r="D11693" s="136">
        <f t="shared" si="546"/>
        <v>53</v>
      </c>
      <c r="E11693" s="136">
        <f t="shared" si="545"/>
        <v>30</v>
      </c>
      <c r="F11693" s="137" t="s">
        <v>24</v>
      </c>
      <c r="G11693" s="128" t="str">
        <f>VLOOKUP(source[[#This Row],[lending_product_transform]],[3]Mapping!$B$4:$C$37,2,0)</f>
        <v>[Cake] - Cashloan</v>
      </c>
      <c r="H11693" s="128" t="str">
        <f>VLOOKUP(source[[#This Row],[lending_product_transform]],[3]Mapping!$B$3:$D$37,3,0)</f>
        <v>cashloan</v>
      </c>
      <c r="I11693" s="143">
        <v>194822853</v>
      </c>
    </row>
    <row r="11694" spans="1:9" x14ac:dyDescent="0.2">
      <c r="A11694" s="134">
        <v>46021</v>
      </c>
      <c r="B11694" s="135">
        <f>YEAR(source[[#This Row],[report_date]])</f>
        <v>2025</v>
      </c>
      <c r="C11694" s="128">
        <f t="shared" si="544"/>
        <v>12</v>
      </c>
      <c r="D11694" s="136">
        <f t="shared" si="546"/>
        <v>53</v>
      </c>
      <c r="E11694" s="136">
        <f t="shared" si="545"/>
        <v>30</v>
      </c>
      <c r="F11694" s="137" t="s">
        <v>24</v>
      </c>
      <c r="G11694" s="128" t="str">
        <f>VLOOKUP(source[[#This Row],[lending_product_transform]],[3]Mapping!$B$4:$C$37,2,0)</f>
        <v>[Cake] - Cashloan</v>
      </c>
      <c r="H11694" s="128" t="str">
        <f>VLOOKUP(source[[#This Row],[lending_product_transform]],[3]Mapping!$B$3:$D$37,3,0)</f>
        <v>cashloan</v>
      </c>
      <c r="I11694" s="143">
        <v>54600000</v>
      </c>
    </row>
    <row r="11695" spans="1:9" x14ac:dyDescent="0.2">
      <c r="A11695" s="134">
        <v>46021</v>
      </c>
      <c r="B11695" s="135">
        <f>YEAR(source[[#This Row],[report_date]])</f>
        <v>2025</v>
      </c>
      <c r="C11695" s="128">
        <f t="shared" si="544"/>
        <v>12</v>
      </c>
      <c r="D11695" s="136">
        <f t="shared" si="546"/>
        <v>53</v>
      </c>
      <c r="E11695" s="136">
        <f t="shared" si="545"/>
        <v>30</v>
      </c>
      <c r="F11695" s="137" t="s">
        <v>24</v>
      </c>
      <c r="G11695" s="128" t="str">
        <f>VLOOKUP(source[[#This Row],[lending_product_transform]],[3]Mapping!$B$4:$C$37,2,0)</f>
        <v>[Cake] - Cashloan</v>
      </c>
      <c r="H11695" s="128" t="str">
        <f>VLOOKUP(source[[#This Row],[lending_product_transform]],[3]Mapping!$B$3:$D$37,3,0)</f>
        <v>cashloan</v>
      </c>
      <c r="I11695" s="143">
        <v>23000000</v>
      </c>
    </row>
    <row r="11696" spans="1:9" x14ac:dyDescent="0.2">
      <c r="A11696" s="134">
        <v>46021</v>
      </c>
      <c r="B11696" s="135">
        <f>YEAR(source[[#This Row],[report_date]])</f>
        <v>2025</v>
      </c>
      <c r="C11696" s="128">
        <f t="shared" si="544"/>
        <v>12</v>
      </c>
      <c r="D11696" s="136">
        <f t="shared" si="546"/>
        <v>53</v>
      </c>
      <c r="E11696" s="136">
        <f t="shared" si="545"/>
        <v>30</v>
      </c>
      <c r="F11696" s="137" t="s">
        <v>24</v>
      </c>
      <c r="G11696" s="128" t="str">
        <f>VLOOKUP(source[[#This Row],[lending_product_transform]],[3]Mapping!$B$4:$C$37,2,0)</f>
        <v>[Cake] - Cashloan</v>
      </c>
      <c r="H11696" s="128" t="str">
        <f>VLOOKUP(source[[#This Row],[lending_product_transform]],[3]Mapping!$B$3:$D$37,3,0)</f>
        <v>cashloan</v>
      </c>
      <c r="I11696" s="143">
        <v>1035650000</v>
      </c>
    </row>
    <row r="11697" spans="1:9" x14ac:dyDescent="0.2">
      <c r="A11697" s="134">
        <v>46021</v>
      </c>
      <c r="B11697" s="135">
        <f>YEAR(source[[#This Row],[report_date]])</f>
        <v>2025</v>
      </c>
      <c r="C11697" s="128">
        <f t="shared" si="544"/>
        <v>12</v>
      </c>
      <c r="D11697" s="136">
        <f t="shared" si="546"/>
        <v>53</v>
      </c>
      <c r="E11697" s="136">
        <f t="shared" si="545"/>
        <v>30</v>
      </c>
      <c r="F11697" s="137" t="s">
        <v>24</v>
      </c>
      <c r="G11697" s="128" t="str">
        <f>VLOOKUP(source[[#This Row],[lending_product_transform]],[3]Mapping!$B$4:$C$37,2,0)</f>
        <v>[Cake] - Cashloan</v>
      </c>
      <c r="H11697" s="128" t="str">
        <f>VLOOKUP(source[[#This Row],[lending_product_transform]],[3]Mapping!$B$3:$D$37,3,0)</f>
        <v>cashloan</v>
      </c>
      <c r="I11697" s="143">
        <v>430380000</v>
      </c>
    </row>
    <row r="11698" spans="1:9" x14ac:dyDescent="0.2">
      <c r="A11698" s="134">
        <v>46021</v>
      </c>
      <c r="B11698" s="135">
        <f>YEAR(source[[#This Row],[report_date]])</f>
        <v>2025</v>
      </c>
      <c r="C11698" s="128">
        <f t="shared" si="544"/>
        <v>12</v>
      </c>
      <c r="D11698" s="136">
        <f t="shared" si="546"/>
        <v>53</v>
      </c>
      <c r="E11698" s="136">
        <f t="shared" si="545"/>
        <v>30</v>
      </c>
      <c r="F11698" s="137" t="s">
        <v>24</v>
      </c>
      <c r="G11698" s="128" t="str">
        <f>VLOOKUP(source[[#This Row],[lending_product_transform]],[3]Mapping!$B$4:$C$37,2,0)</f>
        <v>[Cake] - Cashloan</v>
      </c>
      <c r="H11698" s="128" t="str">
        <f>VLOOKUP(source[[#This Row],[lending_product_transform]],[3]Mapping!$B$3:$D$37,3,0)</f>
        <v>cashloan</v>
      </c>
      <c r="I11698" s="143">
        <v>566867291</v>
      </c>
    </row>
    <row r="11699" spans="1:9" x14ac:dyDescent="0.2">
      <c r="A11699" s="134">
        <v>46021</v>
      </c>
      <c r="B11699" s="135">
        <f>YEAR(source[[#This Row],[report_date]])</f>
        <v>2025</v>
      </c>
      <c r="C11699" s="128">
        <f t="shared" si="544"/>
        <v>12</v>
      </c>
      <c r="D11699" s="136">
        <f t="shared" si="546"/>
        <v>53</v>
      </c>
      <c r="E11699" s="136">
        <f t="shared" si="545"/>
        <v>30</v>
      </c>
      <c r="F11699" s="137" t="s">
        <v>24</v>
      </c>
      <c r="G11699" s="128" t="str">
        <f>VLOOKUP(source[[#This Row],[lending_product_transform]],[3]Mapping!$B$4:$C$37,2,0)</f>
        <v>[Cake] - Cashloan</v>
      </c>
      <c r="H11699" s="128" t="str">
        <f>VLOOKUP(source[[#This Row],[lending_product_transform]],[3]Mapping!$B$3:$D$37,3,0)</f>
        <v>cashloan</v>
      </c>
      <c r="I11699" s="143">
        <v>3250640000</v>
      </c>
    </row>
    <row r="11700" spans="1:9" x14ac:dyDescent="0.2">
      <c r="A11700" s="134">
        <v>46021</v>
      </c>
      <c r="B11700" s="135">
        <f>YEAR(source[[#This Row],[report_date]])</f>
        <v>2025</v>
      </c>
      <c r="C11700" s="128">
        <f t="shared" si="544"/>
        <v>12</v>
      </c>
      <c r="D11700" s="136">
        <f t="shared" si="546"/>
        <v>53</v>
      </c>
      <c r="E11700" s="136">
        <f t="shared" si="545"/>
        <v>30</v>
      </c>
      <c r="F11700" s="137" t="s">
        <v>24</v>
      </c>
      <c r="G11700" s="128" t="str">
        <f>VLOOKUP(source[[#This Row],[lending_product_transform]],[3]Mapping!$B$4:$C$37,2,0)</f>
        <v>[Cake] - Cashloan</v>
      </c>
      <c r="H11700" s="128" t="str">
        <f>VLOOKUP(source[[#This Row],[lending_product_transform]],[3]Mapping!$B$3:$D$37,3,0)</f>
        <v>cashloan</v>
      </c>
      <c r="I11700" s="143">
        <v>0</v>
      </c>
    </row>
    <row r="11701" spans="1:9" x14ac:dyDescent="0.2">
      <c r="A11701" s="134">
        <v>46022</v>
      </c>
      <c r="B11701" s="135">
        <f>YEAR(source[[#This Row],[report_date]])</f>
        <v>2025</v>
      </c>
      <c r="C11701" s="128">
        <f t="shared" si="544"/>
        <v>12</v>
      </c>
      <c r="D11701" s="136">
        <f t="shared" si="546"/>
        <v>53</v>
      </c>
      <c r="E11701" s="136">
        <f t="shared" si="545"/>
        <v>31</v>
      </c>
      <c r="F11701" s="137" t="s">
        <v>24</v>
      </c>
      <c r="G11701" s="128" t="str">
        <f>VLOOKUP(source[[#This Row],[lending_product_transform]],[3]Mapping!$B$4:$C$37,2,0)</f>
        <v>[Cake] - Cashloan</v>
      </c>
      <c r="H11701" s="128" t="str">
        <f>VLOOKUP(source[[#This Row],[lending_product_transform]],[3]Mapping!$B$3:$D$37,3,0)</f>
        <v>cashloan</v>
      </c>
      <c r="I11701" s="143">
        <v>594450000</v>
      </c>
    </row>
    <row r="11702" spans="1:9" x14ac:dyDescent="0.2">
      <c r="A11702" s="134">
        <v>46022</v>
      </c>
      <c r="B11702" s="135">
        <f>YEAR(source[[#This Row],[report_date]])</f>
        <v>2025</v>
      </c>
      <c r="C11702" s="128">
        <f t="shared" ref="C11702:C11765" si="547">MONTH(A11702)</f>
        <v>12</v>
      </c>
      <c r="D11702" s="136">
        <f t="shared" si="546"/>
        <v>53</v>
      </c>
      <c r="E11702" s="136">
        <f t="shared" ref="E11702:E11765" si="548">DAY(A11702)</f>
        <v>31</v>
      </c>
      <c r="F11702" s="137" t="s">
        <v>24</v>
      </c>
      <c r="G11702" s="128" t="str">
        <f>VLOOKUP(source[[#This Row],[lending_product_transform]],[3]Mapping!$B$4:$C$37,2,0)</f>
        <v>[Cake] - Cashloan</v>
      </c>
      <c r="H11702" s="128" t="str">
        <f>VLOOKUP(source[[#This Row],[lending_product_transform]],[3]Mapping!$B$3:$D$37,3,0)</f>
        <v>cashloan</v>
      </c>
      <c r="I11702" s="143">
        <v>460675011</v>
      </c>
    </row>
    <row r="11703" spans="1:9" x14ac:dyDescent="0.2">
      <c r="A11703" s="134">
        <v>46022</v>
      </c>
      <c r="B11703" s="135">
        <f>YEAR(source[[#This Row],[report_date]])</f>
        <v>2025</v>
      </c>
      <c r="C11703" s="128">
        <f t="shared" si="547"/>
        <v>12</v>
      </c>
      <c r="D11703" s="136">
        <f t="shared" si="546"/>
        <v>53</v>
      </c>
      <c r="E11703" s="136">
        <f t="shared" si="548"/>
        <v>31</v>
      </c>
      <c r="F11703" s="137" t="s">
        <v>24</v>
      </c>
      <c r="G11703" s="128" t="str">
        <f>VLOOKUP(source[[#This Row],[lending_product_transform]],[3]Mapping!$B$4:$C$37,2,0)</f>
        <v>[Cake] - Cashloan</v>
      </c>
      <c r="H11703" s="128" t="str">
        <f>VLOOKUP(source[[#This Row],[lending_product_transform]],[3]Mapping!$B$3:$D$37,3,0)</f>
        <v>cashloan</v>
      </c>
      <c r="I11703" s="143">
        <v>14942620000</v>
      </c>
    </row>
    <row r="11704" spans="1:9" x14ac:dyDescent="0.2">
      <c r="A11704" s="134">
        <v>46022</v>
      </c>
      <c r="B11704" s="135">
        <f>YEAR(source[[#This Row],[report_date]])</f>
        <v>2025</v>
      </c>
      <c r="C11704" s="128">
        <f t="shared" si="547"/>
        <v>12</v>
      </c>
      <c r="D11704" s="136">
        <f t="shared" si="546"/>
        <v>53</v>
      </c>
      <c r="E11704" s="136">
        <f t="shared" si="548"/>
        <v>31</v>
      </c>
      <c r="F11704" s="137" t="s">
        <v>24</v>
      </c>
      <c r="G11704" s="128" t="str">
        <f>VLOOKUP(source[[#This Row],[lending_product_transform]],[3]Mapping!$B$4:$C$37,2,0)</f>
        <v>[Cake] - Cashloan</v>
      </c>
      <c r="H11704" s="128" t="str">
        <f>VLOOKUP(source[[#This Row],[lending_product_transform]],[3]Mapping!$B$3:$D$37,3,0)</f>
        <v>cashloan</v>
      </c>
      <c r="I11704" s="143">
        <v>2613658295</v>
      </c>
    </row>
    <row r="11705" spans="1:9" x14ac:dyDescent="0.2">
      <c r="A11705" s="134">
        <v>46022</v>
      </c>
      <c r="B11705" s="135">
        <f>YEAR(source[[#This Row],[report_date]])</f>
        <v>2025</v>
      </c>
      <c r="C11705" s="128">
        <f t="shared" si="547"/>
        <v>12</v>
      </c>
      <c r="D11705" s="136">
        <f t="shared" si="546"/>
        <v>53</v>
      </c>
      <c r="E11705" s="136">
        <f t="shared" si="548"/>
        <v>31</v>
      </c>
      <c r="F11705" s="137" t="s">
        <v>24</v>
      </c>
      <c r="G11705" s="128" t="str">
        <f>VLOOKUP(source[[#This Row],[lending_product_transform]],[3]Mapping!$B$4:$C$37,2,0)</f>
        <v>[Cake] - Cashloan</v>
      </c>
      <c r="H11705" s="128" t="str">
        <f>VLOOKUP(source[[#This Row],[lending_product_transform]],[3]Mapping!$B$3:$D$37,3,0)</f>
        <v>cashloan</v>
      </c>
      <c r="I11705" s="143">
        <v>14053824000</v>
      </c>
    </row>
    <row r="11706" spans="1:9" x14ac:dyDescent="0.2">
      <c r="A11706" s="134">
        <v>46022</v>
      </c>
      <c r="B11706" s="135">
        <f>YEAR(source[[#This Row],[report_date]])</f>
        <v>2025</v>
      </c>
      <c r="C11706" s="128">
        <f t="shared" si="547"/>
        <v>12</v>
      </c>
      <c r="D11706" s="136">
        <f t="shared" si="546"/>
        <v>53</v>
      </c>
      <c r="E11706" s="136">
        <f t="shared" si="548"/>
        <v>31</v>
      </c>
      <c r="F11706" s="137" t="s">
        <v>24</v>
      </c>
      <c r="G11706" s="128" t="str">
        <f>VLOOKUP(source[[#This Row],[lending_product_transform]],[3]Mapping!$B$4:$C$37,2,0)</f>
        <v>[Cake] - Cashloan</v>
      </c>
      <c r="H11706" s="128" t="str">
        <f>VLOOKUP(source[[#This Row],[lending_product_transform]],[3]Mapping!$B$3:$D$37,3,0)</f>
        <v>cashloan</v>
      </c>
      <c r="I11706" s="143">
        <v>9231010</v>
      </c>
    </row>
    <row r="11707" spans="1:9" x14ac:dyDescent="0.2">
      <c r="A11707" s="134">
        <v>46022</v>
      </c>
      <c r="B11707" s="135">
        <f>YEAR(source[[#This Row],[report_date]])</f>
        <v>2025</v>
      </c>
      <c r="C11707" s="128">
        <f t="shared" si="547"/>
        <v>12</v>
      </c>
      <c r="D11707" s="136">
        <f t="shared" si="546"/>
        <v>53</v>
      </c>
      <c r="E11707" s="136">
        <f t="shared" si="548"/>
        <v>31</v>
      </c>
      <c r="F11707" s="137" t="s">
        <v>24</v>
      </c>
      <c r="G11707" s="128" t="str">
        <f>VLOOKUP(source[[#This Row],[lending_product_transform]],[3]Mapping!$B$4:$C$37,2,0)</f>
        <v>[Cake] - Cashloan</v>
      </c>
      <c r="H11707" s="128" t="str">
        <f>VLOOKUP(source[[#This Row],[lending_product_transform]],[3]Mapping!$B$3:$D$37,3,0)</f>
        <v>cashloan</v>
      </c>
      <c r="I11707" s="143">
        <v>260000000</v>
      </c>
    </row>
    <row r="11708" spans="1:9" x14ac:dyDescent="0.2">
      <c r="A11708" s="134">
        <v>46022</v>
      </c>
      <c r="B11708" s="135">
        <f>YEAR(source[[#This Row],[report_date]])</f>
        <v>2025</v>
      </c>
      <c r="C11708" s="128">
        <f t="shared" si="547"/>
        <v>12</v>
      </c>
      <c r="D11708" s="136">
        <f t="shared" si="546"/>
        <v>53</v>
      </c>
      <c r="E11708" s="136">
        <f t="shared" si="548"/>
        <v>31</v>
      </c>
      <c r="F11708" s="137" t="s">
        <v>24</v>
      </c>
      <c r="G11708" s="128" t="str">
        <f>VLOOKUP(source[[#This Row],[lending_product_transform]],[3]Mapping!$B$4:$C$37,2,0)</f>
        <v>[Cake] - Cashloan</v>
      </c>
      <c r="H11708" s="128" t="str">
        <f>VLOOKUP(source[[#This Row],[lending_product_transform]],[3]Mapping!$B$3:$D$37,3,0)</f>
        <v>cashloan</v>
      </c>
      <c r="I11708" s="143">
        <v>3311160000</v>
      </c>
    </row>
    <row r="11709" spans="1:9" x14ac:dyDescent="0.2">
      <c r="A11709" s="134">
        <v>46022</v>
      </c>
      <c r="B11709" s="135">
        <f>YEAR(source[[#This Row],[report_date]])</f>
        <v>2025</v>
      </c>
      <c r="C11709" s="128">
        <f t="shared" si="547"/>
        <v>12</v>
      </c>
      <c r="D11709" s="136">
        <f t="shared" si="546"/>
        <v>53</v>
      </c>
      <c r="E11709" s="136">
        <f t="shared" si="548"/>
        <v>31</v>
      </c>
      <c r="F11709" s="137" t="s">
        <v>24</v>
      </c>
      <c r="G11709" s="128" t="str">
        <f>VLOOKUP(source[[#This Row],[lending_product_transform]],[3]Mapping!$B$4:$C$37,2,0)</f>
        <v>[Cake] - Cashloan</v>
      </c>
      <c r="H11709" s="128" t="str">
        <f>VLOOKUP(source[[#This Row],[lending_product_transform]],[3]Mapping!$B$3:$D$37,3,0)</f>
        <v>cashloan</v>
      </c>
      <c r="I11709" s="143">
        <v>156750000</v>
      </c>
    </row>
    <row r="11710" spans="1:9" x14ac:dyDescent="0.2">
      <c r="A11710" s="134">
        <v>46022</v>
      </c>
      <c r="B11710" s="135">
        <f>YEAR(source[[#This Row],[report_date]])</f>
        <v>2025</v>
      </c>
      <c r="C11710" s="128">
        <f t="shared" si="547"/>
        <v>12</v>
      </c>
      <c r="D11710" s="136">
        <f t="shared" si="546"/>
        <v>53</v>
      </c>
      <c r="E11710" s="136">
        <f t="shared" si="548"/>
        <v>31</v>
      </c>
      <c r="F11710" s="137" t="s">
        <v>24</v>
      </c>
      <c r="G11710" s="128" t="str">
        <f>VLOOKUP(source[[#This Row],[lending_product_transform]],[3]Mapping!$B$4:$C$37,2,0)</f>
        <v>[Cake] - Cashloan</v>
      </c>
      <c r="H11710" s="128" t="str">
        <f>VLOOKUP(source[[#This Row],[lending_product_transform]],[3]Mapping!$B$3:$D$37,3,0)</f>
        <v>cashloan</v>
      </c>
      <c r="I11710" s="143">
        <v>9047513</v>
      </c>
    </row>
    <row r="11711" spans="1:9" x14ac:dyDescent="0.2">
      <c r="A11711" s="134">
        <v>46022</v>
      </c>
      <c r="B11711" s="135">
        <f>YEAR(source[[#This Row],[report_date]])</f>
        <v>2025</v>
      </c>
      <c r="C11711" s="128">
        <f t="shared" si="547"/>
        <v>12</v>
      </c>
      <c r="D11711" s="136">
        <f t="shared" si="546"/>
        <v>53</v>
      </c>
      <c r="E11711" s="136">
        <f t="shared" si="548"/>
        <v>31</v>
      </c>
      <c r="F11711" s="137" t="s">
        <v>24</v>
      </c>
      <c r="G11711" s="128" t="str">
        <f>VLOOKUP(source[[#This Row],[lending_product_transform]],[3]Mapping!$B$4:$C$37,2,0)</f>
        <v>[Cake] - Cashloan</v>
      </c>
      <c r="H11711" s="128" t="str">
        <f>VLOOKUP(source[[#This Row],[lending_product_transform]],[3]Mapping!$B$3:$D$37,3,0)</f>
        <v>cashloan</v>
      </c>
      <c r="I11711" s="143">
        <v>811960328</v>
      </c>
    </row>
    <row r="11712" spans="1:9" x14ac:dyDescent="0.2">
      <c r="A11712" s="134">
        <v>46022</v>
      </c>
      <c r="B11712" s="135">
        <f>YEAR(source[[#This Row],[report_date]])</f>
        <v>2025</v>
      </c>
      <c r="C11712" s="128">
        <f t="shared" si="547"/>
        <v>12</v>
      </c>
      <c r="D11712" s="136">
        <f t="shared" si="546"/>
        <v>53</v>
      </c>
      <c r="E11712" s="136">
        <f t="shared" si="548"/>
        <v>31</v>
      </c>
      <c r="F11712" s="137" t="s">
        <v>24</v>
      </c>
      <c r="G11712" s="128" t="str">
        <f>VLOOKUP(source[[#This Row],[lending_product_transform]],[3]Mapping!$B$4:$C$37,2,0)</f>
        <v>[Cake] - Cashloan</v>
      </c>
      <c r="H11712" s="128" t="str">
        <f>VLOOKUP(source[[#This Row],[lending_product_transform]],[3]Mapping!$B$3:$D$37,3,0)</f>
        <v>cashloan</v>
      </c>
      <c r="I11712" s="143">
        <v>0</v>
      </c>
    </row>
    <row r="11713" spans="1:9" x14ac:dyDescent="0.2">
      <c r="A11713" s="134">
        <v>46022</v>
      </c>
      <c r="B11713" s="135">
        <f>YEAR(source[[#This Row],[report_date]])</f>
        <v>2025</v>
      </c>
      <c r="C11713" s="128">
        <f t="shared" si="547"/>
        <v>12</v>
      </c>
      <c r="D11713" s="136">
        <f t="shared" si="546"/>
        <v>53</v>
      </c>
      <c r="E11713" s="136">
        <f t="shared" si="548"/>
        <v>31</v>
      </c>
      <c r="F11713" s="137" t="s">
        <v>24</v>
      </c>
      <c r="G11713" s="128" t="str">
        <f>VLOOKUP(source[[#This Row],[lending_product_transform]],[3]Mapping!$B$4:$C$37,2,0)</f>
        <v>[Cake] - Cashloan</v>
      </c>
      <c r="H11713" s="128" t="str">
        <f>VLOOKUP(source[[#This Row],[lending_product_transform]],[3]Mapping!$B$3:$D$37,3,0)</f>
        <v>cashloan</v>
      </c>
      <c r="I11713" s="143">
        <v>894500000</v>
      </c>
    </row>
    <row r="11714" spans="1:9" x14ac:dyDescent="0.2">
      <c r="A11714" s="134">
        <v>46022</v>
      </c>
      <c r="B11714" s="135">
        <f>YEAR(source[[#This Row],[report_date]])</f>
        <v>2025</v>
      </c>
      <c r="C11714" s="128">
        <f t="shared" si="547"/>
        <v>12</v>
      </c>
      <c r="D11714" s="136">
        <f t="shared" si="546"/>
        <v>53</v>
      </c>
      <c r="E11714" s="136">
        <f t="shared" si="548"/>
        <v>31</v>
      </c>
      <c r="F11714" s="137" t="s">
        <v>24</v>
      </c>
      <c r="G11714" s="128" t="str">
        <f>VLOOKUP(source[[#This Row],[lending_product_transform]],[3]Mapping!$B$4:$C$37,2,0)</f>
        <v>[Cake] - Cashloan</v>
      </c>
      <c r="H11714" s="128" t="str">
        <f>VLOOKUP(source[[#This Row],[lending_product_transform]],[3]Mapping!$B$3:$D$37,3,0)</f>
        <v>cashloan</v>
      </c>
      <c r="I11714" s="143">
        <v>0</v>
      </c>
    </row>
    <row r="11715" spans="1:9" x14ac:dyDescent="0.2">
      <c r="A11715" s="134">
        <v>46022</v>
      </c>
      <c r="B11715" s="135">
        <f>YEAR(source[[#This Row],[report_date]])</f>
        <v>2025</v>
      </c>
      <c r="C11715" s="128">
        <f t="shared" si="547"/>
        <v>12</v>
      </c>
      <c r="D11715" s="136">
        <f t="shared" ref="D11715:D11727" si="549">WEEKNUM(A11715,2)</f>
        <v>53</v>
      </c>
      <c r="E11715" s="136">
        <f t="shared" si="548"/>
        <v>31</v>
      </c>
      <c r="F11715" s="137" t="s">
        <v>24</v>
      </c>
      <c r="G11715" s="128" t="str">
        <f>VLOOKUP(source[[#This Row],[lending_product_transform]],[3]Mapping!$B$4:$C$37,2,0)</f>
        <v>[Cake] - Cashloan</v>
      </c>
      <c r="H11715" s="128" t="str">
        <f>VLOOKUP(source[[#This Row],[lending_product_transform]],[3]Mapping!$B$3:$D$37,3,0)</f>
        <v>cashloan</v>
      </c>
      <c r="I11715" s="143">
        <v>17297150000</v>
      </c>
    </row>
    <row r="11716" spans="1:9" x14ac:dyDescent="0.2">
      <c r="A11716" s="134">
        <v>46022</v>
      </c>
      <c r="B11716" s="135">
        <f>YEAR(source[[#This Row],[report_date]])</f>
        <v>2025</v>
      </c>
      <c r="C11716" s="128">
        <f t="shared" si="547"/>
        <v>12</v>
      </c>
      <c r="D11716" s="136">
        <f t="shared" si="549"/>
        <v>53</v>
      </c>
      <c r="E11716" s="136">
        <f t="shared" si="548"/>
        <v>31</v>
      </c>
      <c r="F11716" s="137" t="s">
        <v>24</v>
      </c>
      <c r="G11716" s="128" t="str">
        <f>VLOOKUP(source[[#This Row],[lending_product_transform]],[3]Mapping!$B$4:$C$37,2,0)</f>
        <v>[Cake] - Cashloan</v>
      </c>
      <c r="H11716" s="128" t="str">
        <f>VLOOKUP(source[[#This Row],[lending_product_transform]],[3]Mapping!$B$3:$D$37,3,0)</f>
        <v>cashloan</v>
      </c>
      <c r="I11716" s="143">
        <v>0</v>
      </c>
    </row>
    <row r="11717" spans="1:9" x14ac:dyDescent="0.2">
      <c r="A11717" s="134">
        <v>46022</v>
      </c>
      <c r="B11717" s="135">
        <f>YEAR(source[[#This Row],[report_date]])</f>
        <v>2025</v>
      </c>
      <c r="C11717" s="128">
        <f t="shared" si="547"/>
        <v>12</v>
      </c>
      <c r="D11717" s="136">
        <f t="shared" si="549"/>
        <v>53</v>
      </c>
      <c r="E11717" s="136">
        <f t="shared" si="548"/>
        <v>31</v>
      </c>
      <c r="F11717" s="137" t="s">
        <v>24</v>
      </c>
      <c r="G11717" s="128" t="str">
        <f>VLOOKUP(source[[#This Row],[lending_product_transform]],[3]Mapping!$B$4:$C$37,2,0)</f>
        <v>[Cake] - Cashloan</v>
      </c>
      <c r="H11717" s="128" t="str">
        <f>VLOOKUP(source[[#This Row],[lending_product_transform]],[3]Mapping!$B$3:$D$37,3,0)</f>
        <v>cashloan</v>
      </c>
      <c r="I11717" s="143">
        <v>0</v>
      </c>
    </row>
    <row r="11718" spans="1:9" x14ac:dyDescent="0.2">
      <c r="A11718" s="134">
        <v>46022</v>
      </c>
      <c r="B11718" s="135">
        <f>YEAR(source[[#This Row],[report_date]])</f>
        <v>2025</v>
      </c>
      <c r="C11718" s="128">
        <f t="shared" si="547"/>
        <v>12</v>
      </c>
      <c r="D11718" s="136">
        <f t="shared" si="549"/>
        <v>53</v>
      </c>
      <c r="E11718" s="136">
        <f t="shared" si="548"/>
        <v>31</v>
      </c>
      <c r="F11718" s="137" t="s">
        <v>24</v>
      </c>
      <c r="G11718" s="128" t="str">
        <f>VLOOKUP(source[[#This Row],[lending_product_transform]],[3]Mapping!$B$4:$C$37,2,0)</f>
        <v>[Cake] - Cashloan</v>
      </c>
      <c r="H11718" s="128" t="str">
        <f>VLOOKUP(source[[#This Row],[lending_product_transform]],[3]Mapping!$B$3:$D$37,3,0)</f>
        <v>cashloan</v>
      </c>
      <c r="I11718" s="143">
        <v>0</v>
      </c>
    </row>
    <row r="11719" spans="1:9" x14ac:dyDescent="0.2">
      <c r="A11719" s="134">
        <v>46022</v>
      </c>
      <c r="B11719" s="135">
        <f>YEAR(source[[#This Row],[report_date]])</f>
        <v>2025</v>
      </c>
      <c r="C11719" s="128">
        <f t="shared" si="547"/>
        <v>12</v>
      </c>
      <c r="D11719" s="136">
        <f t="shared" si="549"/>
        <v>53</v>
      </c>
      <c r="E11719" s="136">
        <f t="shared" si="548"/>
        <v>31</v>
      </c>
      <c r="F11719" s="137" t="s">
        <v>24</v>
      </c>
      <c r="G11719" s="128" t="str">
        <f>VLOOKUP(source[[#This Row],[lending_product_transform]],[3]Mapping!$B$4:$C$37,2,0)</f>
        <v>[Cake] - Cashloan</v>
      </c>
      <c r="H11719" s="128" t="str">
        <f>VLOOKUP(source[[#This Row],[lending_product_transform]],[3]Mapping!$B$3:$D$37,3,0)</f>
        <v>cashloan</v>
      </c>
      <c r="I11719" s="143">
        <v>7000000</v>
      </c>
    </row>
    <row r="11720" spans="1:9" x14ac:dyDescent="0.2">
      <c r="A11720" s="134">
        <v>46022</v>
      </c>
      <c r="B11720" s="135">
        <f>YEAR(source[[#This Row],[report_date]])</f>
        <v>2025</v>
      </c>
      <c r="C11720" s="128">
        <f t="shared" si="547"/>
        <v>12</v>
      </c>
      <c r="D11720" s="136">
        <f t="shared" si="549"/>
        <v>53</v>
      </c>
      <c r="E11720" s="136">
        <f t="shared" si="548"/>
        <v>31</v>
      </c>
      <c r="F11720" s="137" t="s">
        <v>24</v>
      </c>
      <c r="G11720" s="128" t="str">
        <f>VLOOKUP(source[[#This Row],[lending_product_transform]],[3]Mapping!$B$4:$C$37,2,0)</f>
        <v>[Cake] - Cashloan</v>
      </c>
      <c r="H11720" s="128" t="str">
        <f>VLOOKUP(source[[#This Row],[lending_product_transform]],[3]Mapping!$B$3:$D$37,3,0)</f>
        <v>cashloan</v>
      </c>
      <c r="I11720" s="143">
        <v>9485856000</v>
      </c>
    </row>
    <row r="11721" spans="1:9" x14ac:dyDescent="0.2">
      <c r="A11721" s="134">
        <v>46022</v>
      </c>
      <c r="B11721" s="135">
        <f>YEAR(source[[#This Row],[report_date]])</f>
        <v>2025</v>
      </c>
      <c r="C11721" s="128">
        <f t="shared" si="547"/>
        <v>12</v>
      </c>
      <c r="D11721" s="136">
        <f t="shared" si="549"/>
        <v>53</v>
      </c>
      <c r="E11721" s="136">
        <f t="shared" si="548"/>
        <v>31</v>
      </c>
      <c r="F11721" s="137" t="s">
        <v>24</v>
      </c>
      <c r="G11721" s="128" t="str">
        <f>VLOOKUP(source[[#This Row],[lending_product_transform]],[3]Mapping!$B$4:$C$37,2,0)</f>
        <v>[Cake] - Cashloan</v>
      </c>
      <c r="H11721" s="128" t="str">
        <f>VLOOKUP(source[[#This Row],[lending_product_transform]],[3]Mapping!$B$3:$D$37,3,0)</f>
        <v>cashloan</v>
      </c>
      <c r="I11721" s="143">
        <v>180484743</v>
      </c>
    </row>
    <row r="11722" spans="1:9" x14ac:dyDescent="0.2">
      <c r="A11722" s="134">
        <v>46022</v>
      </c>
      <c r="B11722" s="135">
        <f>YEAR(source[[#This Row],[report_date]])</f>
        <v>2025</v>
      </c>
      <c r="C11722" s="128">
        <f t="shared" si="547"/>
        <v>12</v>
      </c>
      <c r="D11722" s="136">
        <f t="shared" si="549"/>
        <v>53</v>
      </c>
      <c r="E11722" s="136">
        <f t="shared" si="548"/>
        <v>31</v>
      </c>
      <c r="F11722" s="137" t="s">
        <v>24</v>
      </c>
      <c r="G11722" s="128" t="str">
        <f>VLOOKUP(source[[#This Row],[lending_product_transform]],[3]Mapping!$B$4:$C$37,2,0)</f>
        <v>[Cake] - Cashloan</v>
      </c>
      <c r="H11722" s="128" t="str">
        <f>VLOOKUP(source[[#This Row],[lending_product_transform]],[3]Mapping!$B$3:$D$37,3,0)</f>
        <v>cashloan</v>
      </c>
      <c r="I11722" s="143">
        <v>15750000</v>
      </c>
    </row>
    <row r="11723" spans="1:9" x14ac:dyDescent="0.2">
      <c r="A11723" s="134">
        <v>46022</v>
      </c>
      <c r="B11723" s="135">
        <f>YEAR(source[[#This Row],[report_date]])</f>
        <v>2025</v>
      </c>
      <c r="C11723" s="128">
        <f t="shared" si="547"/>
        <v>12</v>
      </c>
      <c r="D11723" s="136">
        <f t="shared" si="549"/>
        <v>53</v>
      </c>
      <c r="E11723" s="136">
        <f t="shared" si="548"/>
        <v>31</v>
      </c>
      <c r="F11723" s="137" t="s">
        <v>24</v>
      </c>
      <c r="G11723" s="128" t="str">
        <f>VLOOKUP(source[[#This Row],[lending_product_transform]],[3]Mapping!$B$4:$C$37,2,0)</f>
        <v>[Cake] - Cashloan</v>
      </c>
      <c r="H11723" s="128" t="str">
        <f>VLOOKUP(source[[#This Row],[lending_product_transform]],[3]Mapping!$B$3:$D$37,3,0)</f>
        <v>cashloan</v>
      </c>
      <c r="I11723" s="143">
        <v>54000000</v>
      </c>
    </row>
    <row r="11724" spans="1:9" x14ac:dyDescent="0.2">
      <c r="A11724" s="134">
        <v>46022</v>
      </c>
      <c r="B11724" s="135">
        <f>YEAR(source[[#This Row],[report_date]])</f>
        <v>2025</v>
      </c>
      <c r="C11724" s="128">
        <f t="shared" si="547"/>
        <v>12</v>
      </c>
      <c r="D11724" s="136">
        <f t="shared" si="549"/>
        <v>53</v>
      </c>
      <c r="E11724" s="136">
        <f t="shared" si="548"/>
        <v>31</v>
      </c>
      <c r="F11724" s="137" t="s">
        <v>24</v>
      </c>
      <c r="G11724" s="128" t="str">
        <f>VLOOKUP(source[[#This Row],[lending_product_transform]],[3]Mapping!$B$4:$C$37,2,0)</f>
        <v>[Cake] - Cashloan</v>
      </c>
      <c r="H11724" s="128" t="str">
        <f>VLOOKUP(source[[#This Row],[lending_product_transform]],[3]Mapping!$B$3:$D$37,3,0)</f>
        <v>cashloan</v>
      </c>
      <c r="I11724" s="143">
        <v>1200620000</v>
      </c>
    </row>
    <row r="11725" spans="1:9" x14ac:dyDescent="0.2">
      <c r="A11725" s="134">
        <v>46022</v>
      </c>
      <c r="B11725" s="135">
        <f>YEAR(source[[#This Row],[report_date]])</f>
        <v>2025</v>
      </c>
      <c r="C11725" s="128">
        <f t="shared" si="547"/>
        <v>12</v>
      </c>
      <c r="D11725" s="136">
        <f t="shared" si="549"/>
        <v>53</v>
      </c>
      <c r="E11725" s="136">
        <f t="shared" si="548"/>
        <v>31</v>
      </c>
      <c r="F11725" s="137" t="s">
        <v>24</v>
      </c>
      <c r="G11725" s="128" t="str">
        <f>VLOOKUP(source[[#This Row],[lending_product_transform]],[3]Mapping!$B$4:$C$37,2,0)</f>
        <v>[Cake] - Cashloan</v>
      </c>
      <c r="H11725" s="128" t="str">
        <f>VLOOKUP(source[[#This Row],[lending_product_transform]],[3]Mapping!$B$3:$D$37,3,0)</f>
        <v>cashloan</v>
      </c>
      <c r="I11725" s="143">
        <v>419904000</v>
      </c>
    </row>
    <row r="11726" spans="1:9" x14ac:dyDescent="0.2">
      <c r="A11726" s="134">
        <v>46022</v>
      </c>
      <c r="B11726" s="135">
        <f>YEAR(source[[#This Row],[report_date]])</f>
        <v>2025</v>
      </c>
      <c r="C11726" s="128">
        <f t="shared" si="547"/>
        <v>12</v>
      </c>
      <c r="D11726" s="136">
        <f t="shared" si="549"/>
        <v>53</v>
      </c>
      <c r="E11726" s="136">
        <f t="shared" si="548"/>
        <v>31</v>
      </c>
      <c r="F11726" s="137" t="s">
        <v>24</v>
      </c>
      <c r="G11726" s="128" t="str">
        <f>VLOOKUP(source[[#This Row],[lending_product_transform]],[3]Mapping!$B$4:$C$37,2,0)</f>
        <v>[Cake] - Cashloan</v>
      </c>
      <c r="H11726" s="128" t="str">
        <f>VLOOKUP(source[[#This Row],[lending_product_transform]],[3]Mapping!$B$3:$D$37,3,0)</f>
        <v>cashloan</v>
      </c>
      <c r="I11726" s="143">
        <v>449954618</v>
      </c>
    </row>
    <row r="11727" spans="1:9" x14ac:dyDescent="0.2">
      <c r="A11727" s="134">
        <v>46022</v>
      </c>
      <c r="B11727" s="135">
        <f>YEAR(source[[#This Row],[report_date]])</f>
        <v>2025</v>
      </c>
      <c r="C11727" s="128">
        <f t="shared" si="547"/>
        <v>12</v>
      </c>
      <c r="D11727" s="136">
        <f t="shared" si="549"/>
        <v>53</v>
      </c>
      <c r="E11727" s="136">
        <f t="shared" si="548"/>
        <v>31</v>
      </c>
      <c r="F11727" s="137" t="s">
        <v>24</v>
      </c>
      <c r="G11727" s="128" t="str">
        <f>VLOOKUP(source[[#This Row],[lending_product_transform]],[3]Mapping!$B$4:$C$37,2,0)</f>
        <v>[Cake] - Cashloan</v>
      </c>
      <c r="H11727" s="128" t="str">
        <f>VLOOKUP(source[[#This Row],[lending_product_transform]],[3]Mapping!$B$3:$D$37,3,0)</f>
        <v>cashloan</v>
      </c>
      <c r="I11727" s="143">
        <v>3530190000</v>
      </c>
    </row>
    <row r="11728" spans="1:9" x14ac:dyDescent="0.2">
      <c r="A11728" s="134">
        <v>46022</v>
      </c>
      <c r="B11728" s="135">
        <f>YEAR(source[[#This Row],[report_date]])</f>
        <v>2025</v>
      </c>
      <c r="C11728" s="128">
        <f t="shared" si="547"/>
        <v>12</v>
      </c>
      <c r="D11728" s="136">
        <f>WEEKNUM(A11728,1)</f>
        <v>53</v>
      </c>
      <c r="E11728" s="136">
        <f t="shared" si="548"/>
        <v>31</v>
      </c>
      <c r="F11728" s="137" t="s">
        <v>24</v>
      </c>
      <c r="G11728" s="128" t="str">
        <f>VLOOKUP(source[[#This Row],[lending_product_transform]],[3]Mapping!$B$4:$C$37,2,0)</f>
        <v>[Cake] - Cashloan</v>
      </c>
      <c r="H11728" s="128" t="str">
        <f>VLOOKUP(source[[#This Row],[lending_product_transform]],[3]Mapping!$B$3:$D$37,3,0)</f>
        <v>cashloan</v>
      </c>
      <c r="I11728" s="143">
        <v>0</v>
      </c>
    </row>
    <row r="11729" spans="1:9" x14ac:dyDescent="0.2">
      <c r="A11729" s="134">
        <v>46023</v>
      </c>
      <c r="B11729" s="135">
        <f>YEAR(source[[#This Row],[report_date]])</f>
        <v>2026</v>
      </c>
      <c r="C11729" s="128">
        <f t="shared" si="547"/>
        <v>1</v>
      </c>
      <c r="D11729" s="136">
        <f t="shared" ref="D11729:D11792" si="550">WEEKNUM(A11729,2)</f>
        <v>1</v>
      </c>
      <c r="E11729" s="136">
        <f t="shared" si="548"/>
        <v>1</v>
      </c>
      <c r="F11729" s="137" t="s">
        <v>24</v>
      </c>
      <c r="G11729" s="128" t="str">
        <f>VLOOKUP(source[[#This Row],[lending_product_transform]],[3]Mapping!$B$4:$C$37,2,0)</f>
        <v>[Cake] - Cashloan</v>
      </c>
      <c r="H11729" s="128" t="str">
        <f>VLOOKUP(source[[#This Row],[lending_product_transform]],[3]Mapping!$B$3:$D$37,3,0)</f>
        <v>cashloan</v>
      </c>
      <c r="I11729" s="143">
        <v>403000000</v>
      </c>
    </row>
    <row r="11730" spans="1:9" x14ac:dyDescent="0.2">
      <c r="A11730" s="134">
        <v>46023</v>
      </c>
      <c r="B11730" s="135">
        <f>YEAR(source[[#This Row],[report_date]])</f>
        <v>2026</v>
      </c>
      <c r="C11730" s="128">
        <f t="shared" si="547"/>
        <v>1</v>
      </c>
      <c r="D11730" s="136">
        <f t="shared" si="550"/>
        <v>1</v>
      </c>
      <c r="E11730" s="136">
        <f t="shared" si="548"/>
        <v>1</v>
      </c>
      <c r="F11730" s="137" t="s">
        <v>24</v>
      </c>
      <c r="G11730" s="128" t="str">
        <f>VLOOKUP(source[[#This Row],[lending_product_transform]],[3]Mapping!$B$4:$C$37,2,0)</f>
        <v>[Cake] - Cashloan</v>
      </c>
      <c r="H11730" s="128" t="str">
        <f>VLOOKUP(source[[#This Row],[lending_product_transform]],[3]Mapping!$B$3:$D$37,3,0)</f>
        <v>cashloan</v>
      </c>
      <c r="I11730" s="143">
        <v>356607499</v>
      </c>
    </row>
    <row r="11731" spans="1:9" x14ac:dyDescent="0.2">
      <c r="A11731" s="134">
        <v>46023</v>
      </c>
      <c r="B11731" s="135">
        <f>YEAR(source[[#This Row],[report_date]])</f>
        <v>2026</v>
      </c>
      <c r="C11731" s="128">
        <f t="shared" si="547"/>
        <v>1</v>
      </c>
      <c r="D11731" s="136">
        <f t="shared" si="550"/>
        <v>1</v>
      </c>
      <c r="E11731" s="136">
        <f t="shared" si="548"/>
        <v>1</v>
      </c>
      <c r="F11731" s="137" t="s">
        <v>24</v>
      </c>
      <c r="G11731" s="128" t="str">
        <f>VLOOKUP(source[[#This Row],[lending_product_transform]],[3]Mapping!$B$4:$C$37,2,0)</f>
        <v>[Cake] - Cashloan</v>
      </c>
      <c r="H11731" s="128" t="str">
        <f>VLOOKUP(source[[#This Row],[lending_product_transform]],[3]Mapping!$B$3:$D$37,3,0)</f>
        <v>cashloan</v>
      </c>
      <c r="I11731" s="143">
        <v>11652570000</v>
      </c>
    </row>
    <row r="11732" spans="1:9" x14ac:dyDescent="0.2">
      <c r="A11732" s="134">
        <v>46023</v>
      </c>
      <c r="B11732" s="135">
        <f>YEAR(source[[#This Row],[report_date]])</f>
        <v>2026</v>
      </c>
      <c r="C11732" s="128">
        <f t="shared" si="547"/>
        <v>1</v>
      </c>
      <c r="D11732" s="136">
        <f t="shared" si="550"/>
        <v>1</v>
      </c>
      <c r="E11732" s="136">
        <f t="shared" si="548"/>
        <v>1</v>
      </c>
      <c r="F11732" s="137" t="s">
        <v>24</v>
      </c>
      <c r="G11732" s="128" t="str">
        <f>VLOOKUP(source[[#This Row],[lending_product_transform]],[3]Mapping!$B$4:$C$37,2,0)</f>
        <v>[Cake] - Cashloan</v>
      </c>
      <c r="H11732" s="128" t="str">
        <f>VLOOKUP(source[[#This Row],[lending_product_transform]],[3]Mapping!$B$3:$D$37,3,0)</f>
        <v>cashloan</v>
      </c>
      <c r="I11732" s="143">
        <v>2766246451</v>
      </c>
    </row>
    <row r="11733" spans="1:9" x14ac:dyDescent="0.2">
      <c r="A11733" s="134">
        <v>46023</v>
      </c>
      <c r="B11733" s="135">
        <f>YEAR(source[[#This Row],[report_date]])</f>
        <v>2026</v>
      </c>
      <c r="C11733" s="128">
        <f t="shared" si="547"/>
        <v>1</v>
      </c>
      <c r="D11733" s="136">
        <f t="shared" si="550"/>
        <v>1</v>
      </c>
      <c r="E11733" s="136">
        <f t="shared" si="548"/>
        <v>1</v>
      </c>
      <c r="F11733" s="137" t="s">
        <v>24</v>
      </c>
      <c r="G11733" s="128" t="str">
        <f>VLOOKUP(source[[#This Row],[lending_product_transform]],[3]Mapping!$B$4:$C$37,2,0)</f>
        <v>[Cake] - Cashloan</v>
      </c>
      <c r="H11733" s="128" t="str">
        <f>VLOOKUP(source[[#This Row],[lending_product_transform]],[3]Mapping!$B$3:$D$37,3,0)</f>
        <v>cashloan</v>
      </c>
      <c r="I11733" s="143">
        <v>11668428000</v>
      </c>
    </row>
    <row r="11734" spans="1:9" x14ac:dyDescent="0.2">
      <c r="A11734" s="134">
        <v>46023</v>
      </c>
      <c r="B11734" s="135">
        <f>YEAR(source[[#This Row],[report_date]])</f>
        <v>2026</v>
      </c>
      <c r="C11734" s="128">
        <f t="shared" si="547"/>
        <v>1</v>
      </c>
      <c r="D11734" s="136">
        <f t="shared" si="550"/>
        <v>1</v>
      </c>
      <c r="E11734" s="136">
        <f t="shared" si="548"/>
        <v>1</v>
      </c>
      <c r="F11734" s="137" t="s">
        <v>24</v>
      </c>
      <c r="G11734" s="128" t="str">
        <f>VLOOKUP(source[[#This Row],[lending_product_transform]],[3]Mapping!$B$4:$C$37,2,0)</f>
        <v>[Cake] - Cashloan</v>
      </c>
      <c r="H11734" s="128" t="str">
        <f>VLOOKUP(source[[#This Row],[lending_product_transform]],[3]Mapping!$B$3:$D$37,3,0)</f>
        <v>cashloan</v>
      </c>
      <c r="I11734" s="143">
        <v>7045956</v>
      </c>
    </row>
    <row r="11735" spans="1:9" x14ac:dyDescent="0.2">
      <c r="A11735" s="134">
        <v>46023</v>
      </c>
      <c r="B11735" s="135">
        <f>YEAR(source[[#This Row],[report_date]])</f>
        <v>2026</v>
      </c>
      <c r="C11735" s="128">
        <f t="shared" si="547"/>
        <v>1</v>
      </c>
      <c r="D11735" s="136">
        <f t="shared" si="550"/>
        <v>1</v>
      </c>
      <c r="E11735" s="136">
        <f t="shared" si="548"/>
        <v>1</v>
      </c>
      <c r="F11735" s="137" t="s">
        <v>24</v>
      </c>
      <c r="G11735" s="128" t="str">
        <f>VLOOKUP(source[[#This Row],[lending_product_transform]],[3]Mapping!$B$4:$C$37,2,0)</f>
        <v>[Cake] - Cashloan</v>
      </c>
      <c r="H11735" s="128" t="str">
        <f>VLOOKUP(source[[#This Row],[lending_product_transform]],[3]Mapping!$B$3:$D$37,3,0)</f>
        <v>cashloan</v>
      </c>
      <c r="I11735" s="143">
        <v>0</v>
      </c>
    </row>
    <row r="11736" spans="1:9" x14ac:dyDescent="0.2">
      <c r="A11736" s="134">
        <v>46023</v>
      </c>
      <c r="B11736" s="135">
        <f>YEAR(source[[#This Row],[report_date]])</f>
        <v>2026</v>
      </c>
      <c r="C11736" s="128">
        <f t="shared" si="547"/>
        <v>1</v>
      </c>
      <c r="D11736" s="136">
        <f t="shared" si="550"/>
        <v>1</v>
      </c>
      <c r="E11736" s="136">
        <f t="shared" si="548"/>
        <v>1</v>
      </c>
      <c r="F11736" s="137" t="s">
        <v>24</v>
      </c>
      <c r="G11736" s="128" t="str">
        <f>VLOOKUP(source[[#This Row],[lending_product_transform]],[3]Mapping!$B$4:$C$37,2,0)</f>
        <v>[Cake] - Cashloan</v>
      </c>
      <c r="H11736" s="128" t="str">
        <f>VLOOKUP(source[[#This Row],[lending_product_transform]],[3]Mapping!$B$3:$D$37,3,0)</f>
        <v>cashloan</v>
      </c>
      <c r="I11736" s="143">
        <v>3759660000</v>
      </c>
    </row>
    <row r="11737" spans="1:9" x14ac:dyDescent="0.2">
      <c r="A11737" s="134">
        <v>46023</v>
      </c>
      <c r="B11737" s="135">
        <f>YEAR(source[[#This Row],[report_date]])</f>
        <v>2026</v>
      </c>
      <c r="C11737" s="128">
        <f t="shared" si="547"/>
        <v>1</v>
      </c>
      <c r="D11737" s="136">
        <f t="shared" si="550"/>
        <v>1</v>
      </c>
      <c r="E11737" s="136">
        <f t="shared" si="548"/>
        <v>1</v>
      </c>
      <c r="F11737" s="137" t="s">
        <v>24</v>
      </c>
      <c r="G11737" s="128" t="str">
        <f>VLOOKUP(source[[#This Row],[lending_product_transform]],[3]Mapping!$B$4:$C$37,2,0)</f>
        <v>[Cake] - Cashloan</v>
      </c>
      <c r="H11737" s="128" t="str">
        <f>VLOOKUP(source[[#This Row],[lending_product_transform]],[3]Mapping!$B$3:$D$37,3,0)</f>
        <v>cashloan</v>
      </c>
      <c r="I11737" s="143">
        <v>142350000</v>
      </c>
    </row>
    <row r="11738" spans="1:9" x14ac:dyDescent="0.2">
      <c r="A11738" s="134">
        <v>46023</v>
      </c>
      <c r="B11738" s="135">
        <f>YEAR(source[[#This Row],[report_date]])</f>
        <v>2026</v>
      </c>
      <c r="C11738" s="128">
        <f t="shared" si="547"/>
        <v>1</v>
      </c>
      <c r="D11738" s="136">
        <f t="shared" si="550"/>
        <v>1</v>
      </c>
      <c r="E11738" s="136">
        <f t="shared" si="548"/>
        <v>1</v>
      </c>
      <c r="F11738" s="137" t="s">
        <v>24</v>
      </c>
      <c r="G11738" s="128" t="str">
        <f>VLOOKUP(source[[#This Row],[lending_product_transform]],[3]Mapping!$B$4:$C$37,2,0)</f>
        <v>[Cake] - Cashloan</v>
      </c>
      <c r="H11738" s="128" t="str">
        <f>VLOOKUP(source[[#This Row],[lending_product_transform]],[3]Mapping!$B$3:$D$37,3,0)</f>
        <v>cashloan</v>
      </c>
      <c r="I11738" s="143">
        <v>16372922</v>
      </c>
    </row>
    <row r="11739" spans="1:9" x14ac:dyDescent="0.2">
      <c r="A11739" s="134">
        <v>46023</v>
      </c>
      <c r="B11739" s="135">
        <f>YEAR(source[[#This Row],[report_date]])</f>
        <v>2026</v>
      </c>
      <c r="C11739" s="128">
        <f t="shared" si="547"/>
        <v>1</v>
      </c>
      <c r="D11739" s="136">
        <f t="shared" si="550"/>
        <v>1</v>
      </c>
      <c r="E11739" s="136">
        <f t="shared" si="548"/>
        <v>1</v>
      </c>
      <c r="F11739" s="137" t="s">
        <v>24</v>
      </c>
      <c r="G11739" s="128" t="str">
        <f>VLOOKUP(source[[#This Row],[lending_product_transform]],[3]Mapping!$B$4:$C$37,2,0)</f>
        <v>[Cake] - Cashloan</v>
      </c>
      <c r="H11739" s="128" t="str">
        <f>VLOOKUP(source[[#This Row],[lending_product_transform]],[3]Mapping!$B$3:$D$37,3,0)</f>
        <v>cashloan</v>
      </c>
      <c r="I11739" s="143">
        <v>1588887066</v>
      </c>
    </row>
    <row r="11740" spans="1:9" x14ac:dyDescent="0.2">
      <c r="A11740" s="134">
        <v>46023</v>
      </c>
      <c r="B11740" s="135">
        <f>YEAR(source[[#This Row],[report_date]])</f>
        <v>2026</v>
      </c>
      <c r="C11740" s="128">
        <f t="shared" si="547"/>
        <v>1</v>
      </c>
      <c r="D11740" s="136">
        <f t="shared" si="550"/>
        <v>1</v>
      </c>
      <c r="E11740" s="136">
        <f t="shared" si="548"/>
        <v>1</v>
      </c>
      <c r="F11740" s="137" t="s">
        <v>24</v>
      </c>
      <c r="G11740" s="128" t="str">
        <f>VLOOKUP(source[[#This Row],[lending_product_transform]],[3]Mapping!$B$4:$C$37,2,0)</f>
        <v>[Cake] - Cashloan</v>
      </c>
      <c r="H11740" s="128" t="str">
        <f>VLOOKUP(source[[#This Row],[lending_product_transform]],[3]Mapping!$B$3:$D$37,3,0)</f>
        <v>cashloan</v>
      </c>
      <c r="I11740" s="143">
        <v>0</v>
      </c>
    </row>
    <row r="11741" spans="1:9" x14ac:dyDescent="0.2">
      <c r="A11741" s="134">
        <v>46023</v>
      </c>
      <c r="B11741" s="135">
        <f>YEAR(source[[#This Row],[report_date]])</f>
        <v>2026</v>
      </c>
      <c r="C11741" s="128">
        <f t="shared" si="547"/>
        <v>1</v>
      </c>
      <c r="D11741" s="136">
        <f t="shared" si="550"/>
        <v>1</v>
      </c>
      <c r="E11741" s="136">
        <f t="shared" si="548"/>
        <v>1</v>
      </c>
      <c r="F11741" s="137" t="s">
        <v>24</v>
      </c>
      <c r="G11741" s="128" t="str">
        <f>VLOOKUP(source[[#This Row],[lending_product_transform]],[3]Mapping!$B$4:$C$37,2,0)</f>
        <v>[Cake] - Cashloan</v>
      </c>
      <c r="H11741" s="128" t="str">
        <f>VLOOKUP(source[[#This Row],[lending_product_transform]],[3]Mapping!$B$3:$D$37,3,0)</f>
        <v>cashloan</v>
      </c>
      <c r="I11741" s="143">
        <v>319750000</v>
      </c>
    </row>
    <row r="11742" spans="1:9" x14ac:dyDescent="0.2">
      <c r="A11742" s="134">
        <v>46023</v>
      </c>
      <c r="B11742" s="135">
        <f>YEAR(source[[#This Row],[report_date]])</f>
        <v>2026</v>
      </c>
      <c r="C11742" s="128">
        <f t="shared" si="547"/>
        <v>1</v>
      </c>
      <c r="D11742" s="136">
        <f t="shared" si="550"/>
        <v>1</v>
      </c>
      <c r="E11742" s="136">
        <f t="shared" si="548"/>
        <v>1</v>
      </c>
      <c r="F11742" s="137" t="s">
        <v>24</v>
      </c>
      <c r="G11742" s="128" t="str">
        <f>VLOOKUP(source[[#This Row],[lending_product_transform]],[3]Mapping!$B$4:$C$37,2,0)</f>
        <v>[Cake] - Cashloan</v>
      </c>
      <c r="H11742" s="128" t="str">
        <f>VLOOKUP(source[[#This Row],[lending_product_transform]],[3]Mapping!$B$3:$D$37,3,0)</f>
        <v>cashloan</v>
      </c>
      <c r="I11742" s="143">
        <v>0</v>
      </c>
    </row>
    <row r="11743" spans="1:9" x14ac:dyDescent="0.2">
      <c r="A11743" s="134">
        <v>46023</v>
      </c>
      <c r="B11743" s="135">
        <f>YEAR(source[[#This Row],[report_date]])</f>
        <v>2026</v>
      </c>
      <c r="C11743" s="128">
        <f t="shared" si="547"/>
        <v>1</v>
      </c>
      <c r="D11743" s="136">
        <f t="shared" si="550"/>
        <v>1</v>
      </c>
      <c r="E11743" s="136">
        <f t="shared" si="548"/>
        <v>1</v>
      </c>
      <c r="F11743" s="137" t="s">
        <v>24</v>
      </c>
      <c r="G11743" s="128" t="str">
        <f>VLOOKUP(source[[#This Row],[lending_product_transform]],[3]Mapping!$B$4:$C$37,2,0)</f>
        <v>[Cake] - Cashloan</v>
      </c>
      <c r="H11743" s="128" t="str">
        <f>VLOOKUP(source[[#This Row],[lending_product_transform]],[3]Mapping!$B$3:$D$37,3,0)</f>
        <v>cashloan</v>
      </c>
      <c r="I11743" s="143">
        <v>13409520000</v>
      </c>
    </row>
    <row r="11744" spans="1:9" x14ac:dyDescent="0.2">
      <c r="A11744" s="134">
        <v>46023</v>
      </c>
      <c r="B11744" s="135">
        <f>YEAR(source[[#This Row],[report_date]])</f>
        <v>2026</v>
      </c>
      <c r="C11744" s="128">
        <f t="shared" si="547"/>
        <v>1</v>
      </c>
      <c r="D11744" s="136">
        <f t="shared" si="550"/>
        <v>1</v>
      </c>
      <c r="E11744" s="136">
        <f t="shared" si="548"/>
        <v>1</v>
      </c>
      <c r="F11744" s="137" t="s">
        <v>24</v>
      </c>
      <c r="G11744" s="128" t="str">
        <f>VLOOKUP(source[[#This Row],[lending_product_transform]],[3]Mapping!$B$4:$C$37,2,0)</f>
        <v>[Cake] - Cashloan</v>
      </c>
      <c r="H11744" s="128" t="str">
        <f>VLOOKUP(source[[#This Row],[lending_product_transform]],[3]Mapping!$B$3:$D$37,3,0)</f>
        <v>cashloan</v>
      </c>
      <c r="I11744" s="143">
        <v>0</v>
      </c>
    </row>
    <row r="11745" spans="1:9" x14ac:dyDescent="0.2">
      <c r="A11745" s="134">
        <v>46023</v>
      </c>
      <c r="B11745" s="135">
        <f>YEAR(source[[#This Row],[report_date]])</f>
        <v>2026</v>
      </c>
      <c r="C11745" s="128">
        <f t="shared" si="547"/>
        <v>1</v>
      </c>
      <c r="D11745" s="136">
        <f t="shared" si="550"/>
        <v>1</v>
      </c>
      <c r="E11745" s="136">
        <f t="shared" si="548"/>
        <v>1</v>
      </c>
      <c r="F11745" s="137" t="s">
        <v>24</v>
      </c>
      <c r="G11745" s="128" t="str">
        <f>VLOOKUP(source[[#This Row],[lending_product_transform]],[3]Mapping!$B$4:$C$37,2,0)</f>
        <v>[Cake] - Cashloan</v>
      </c>
      <c r="H11745" s="128" t="str">
        <f>VLOOKUP(source[[#This Row],[lending_product_transform]],[3]Mapping!$B$3:$D$37,3,0)</f>
        <v>cashloan</v>
      </c>
      <c r="I11745" s="143">
        <v>0</v>
      </c>
    </row>
    <row r="11746" spans="1:9" x14ac:dyDescent="0.2">
      <c r="A11746" s="134">
        <v>46023</v>
      </c>
      <c r="B11746" s="135">
        <f>YEAR(source[[#This Row],[report_date]])</f>
        <v>2026</v>
      </c>
      <c r="C11746" s="128">
        <f t="shared" si="547"/>
        <v>1</v>
      </c>
      <c r="D11746" s="136">
        <f t="shared" si="550"/>
        <v>1</v>
      </c>
      <c r="E11746" s="136">
        <f t="shared" si="548"/>
        <v>1</v>
      </c>
      <c r="F11746" s="137" t="s">
        <v>24</v>
      </c>
      <c r="G11746" s="128" t="str">
        <f>VLOOKUP(source[[#This Row],[lending_product_transform]],[3]Mapping!$B$4:$C$37,2,0)</f>
        <v>[Cake] - Cashloan</v>
      </c>
      <c r="H11746" s="128" t="str">
        <f>VLOOKUP(source[[#This Row],[lending_product_transform]],[3]Mapping!$B$3:$D$37,3,0)</f>
        <v>cashloan</v>
      </c>
      <c r="I11746" s="143">
        <v>0</v>
      </c>
    </row>
    <row r="11747" spans="1:9" x14ac:dyDescent="0.2">
      <c r="A11747" s="134">
        <v>46023</v>
      </c>
      <c r="B11747" s="135">
        <f>YEAR(source[[#This Row],[report_date]])</f>
        <v>2026</v>
      </c>
      <c r="C11747" s="128">
        <f t="shared" si="547"/>
        <v>1</v>
      </c>
      <c r="D11747" s="136">
        <f t="shared" si="550"/>
        <v>1</v>
      </c>
      <c r="E11747" s="136">
        <f t="shared" si="548"/>
        <v>1</v>
      </c>
      <c r="F11747" s="137" t="s">
        <v>24</v>
      </c>
      <c r="G11747" s="128" t="str">
        <f>VLOOKUP(source[[#This Row],[lending_product_transform]],[3]Mapping!$B$4:$C$37,2,0)</f>
        <v>[Cake] - Cashloan</v>
      </c>
      <c r="H11747" s="128" t="str">
        <f>VLOOKUP(source[[#This Row],[lending_product_transform]],[3]Mapping!$B$3:$D$37,3,0)</f>
        <v>cashloan</v>
      </c>
      <c r="I11747" s="143">
        <v>0</v>
      </c>
    </row>
    <row r="11748" spans="1:9" x14ac:dyDescent="0.2">
      <c r="A11748" s="134">
        <v>46023</v>
      </c>
      <c r="B11748" s="135">
        <f>YEAR(source[[#This Row],[report_date]])</f>
        <v>2026</v>
      </c>
      <c r="C11748" s="128">
        <f t="shared" si="547"/>
        <v>1</v>
      </c>
      <c r="D11748" s="136">
        <f t="shared" si="550"/>
        <v>1</v>
      </c>
      <c r="E11748" s="136">
        <f t="shared" si="548"/>
        <v>1</v>
      </c>
      <c r="F11748" s="137" t="s">
        <v>24</v>
      </c>
      <c r="G11748" s="128" t="str">
        <f>VLOOKUP(source[[#This Row],[lending_product_transform]],[3]Mapping!$B$4:$C$37,2,0)</f>
        <v>[Cake] - Cashloan</v>
      </c>
      <c r="H11748" s="128" t="str">
        <f>VLOOKUP(source[[#This Row],[lending_product_transform]],[3]Mapping!$B$3:$D$37,3,0)</f>
        <v>cashloan</v>
      </c>
      <c r="I11748" s="143">
        <v>9003096000</v>
      </c>
    </row>
    <row r="11749" spans="1:9" x14ac:dyDescent="0.2">
      <c r="A11749" s="134">
        <v>46023</v>
      </c>
      <c r="B11749" s="135">
        <f>YEAR(source[[#This Row],[report_date]])</f>
        <v>2026</v>
      </c>
      <c r="C11749" s="128">
        <f t="shared" si="547"/>
        <v>1</v>
      </c>
      <c r="D11749" s="136">
        <f t="shared" si="550"/>
        <v>1</v>
      </c>
      <c r="E11749" s="136">
        <f t="shared" si="548"/>
        <v>1</v>
      </c>
      <c r="F11749" s="137" t="s">
        <v>24</v>
      </c>
      <c r="G11749" s="128" t="str">
        <f>VLOOKUP(source[[#This Row],[lending_product_transform]],[3]Mapping!$B$4:$C$37,2,0)</f>
        <v>[Cake] - Cashloan</v>
      </c>
      <c r="H11749" s="128" t="str">
        <f>VLOOKUP(source[[#This Row],[lending_product_transform]],[3]Mapping!$B$3:$D$37,3,0)</f>
        <v>cashloan</v>
      </c>
      <c r="I11749" s="143">
        <v>398190418</v>
      </c>
    </row>
    <row r="11750" spans="1:9" x14ac:dyDescent="0.2">
      <c r="A11750" s="134">
        <v>46023</v>
      </c>
      <c r="B11750" s="135">
        <f>YEAR(source[[#This Row],[report_date]])</f>
        <v>2026</v>
      </c>
      <c r="C11750" s="128">
        <f t="shared" si="547"/>
        <v>1</v>
      </c>
      <c r="D11750" s="136">
        <f t="shared" si="550"/>
        <v>1</v>
      </c>
      <c r="E11750" s="136">
        <f t="shared" si="548"/>
        <v>1</v>
      </c>
      <c r="F11750" s="137" t="s">
        <v>24</v>
      </c>
      <c r="G11750" s="128" t="str">
        <f>VLOOKUP(source[[#This Row],[lending_product_transform]],[3]Mapping!$B$4:$C$37,2,0)</f>
        <v>[Cake] - Cashloan</v>
      </c>
      <c r="H11750" s="128" t="str">
        <f>VLOOKUP(source[[#This Row],[lending_product_transform]],[3]Mapping!$B$3:$D$37,3,0)</f>
        <v>cashloan</v>
      </c>
      <c r="I11750" s="143">
        <v>0</v>
      </c>
    </row>
    <row r="11751" spans="1:9" x14ac:dyDescent="0.2">
      <c r="A11751" s="134">
        <v>46023</v>
      </c>
      <c r="B11751" s="135">
        <f>YEAR(source[[#This Row],[report_date]])</f>
        <v>2026</v>
      </c>
      <c r="C11751" s="128">
        <f t="shared" si="547"/>
        <v>1</v>
      </c>
      <c r="D11751" s="136">
        <f t="shared" si="550"/>
        <v>1</v>
      </c>
      <c r="E11751" s="136">
        <f t="shared" si="548"/>
        <v>1</v>
      </c>
      <c r="F11751" s="137" t="s">
        <v>24</v>
      </c>
      <c r="G11751" s="128" t="str">
        <f>VLOOKUP(source[[#This Row],[lending_product_transform]],[3]Mapping!$B$4:$C$37,2,0)</f>
        <v>[Cake] - Cashloan</v>
      </c>
      <c r="H11751" s="128" t="str">
        <f>VLOOKUP(source[[#This Row],[lending_product_transform]],[3]Mapping!$B$3:$D$37,3,0)</f>
        <v>cashloan</v>
      </c>
      <c r="I11751" s="143">
        <v>26000000</v>
      </c>
    </row>
    <row r="11752" spans="1:9" x14ac:dyDescent="0.2">
      <c r="A11752" s="134">
        <v>46023</v>
      </c>
      <c r="B11752" s="135">
        <f>YEAR(source[[#This Row],[report_date]])</f>
        <v>2026</v>
      </c>
      <c r="C11752" s="128">
        <f t="shared" si="547"/>
        <v>1</v>
      </c>
      <c r="D11752" s="136">
        <f t="shared" si="550"/>
        <v>1</v>
      </c>
      <c r="E11752" s="136">
        <f t="shared" si="548"/>
        <v>1</v>
      </c>
      <c r="F11752" s="137" t="s">
        <v>24</v>
      </c>
      <c r="G11752" s="128" t="str">
        <f>VLOOKUP(source[[#This Row],[lending_product_transform]],[3]Mapping!$B$4:$C$37,2,0)</f>
        <v>[Cake] - Cashloan</v>
      </c>
      <c r="H11752" s="128" t="str">
        <f>VLOOKUP(source[[#This Row],[lending_product_transform]],[3]Mapping!$B$3:$D$37,3,0)</f>
        <v>cashloan</v>
      </c>
      <c r="I11752" s="143">
        <v>505810000</v>
      </c>
    </row>
    <row r="11753" spans="1:9" x14ac:dyDescent="0.2">
      <c r="A11753" s="134">
        <v>46023</v>
      </c>
      <c r="B11753" s="135">
        <f>YEAR(source[[#This Row],[report_date]])</f>
        <v>2026</v>
      </c>
      <c r="C11753" s="128">
        <f t="shared" si="547"/>
        <v>1</v>
      </c>
      <c r="D11753" s="136">
        <f t="shared" si="550"/>
        <v>1</v>
      </c>
      <c r="E11753" s="136">
        <f t="shared" si="548"/>
        <v>1</v>
      </c>
      <c r="F11753" s="137" t="s">
        <v>24</v>
      </c>
      <c r="G11753" s="128" t="str">
        <f>VLOOKUP(source[[#This Row],[lending_product_transform]],[3]Mapping!$B$4:$C$37,2,0)</f>
        <v>[Cake] - Cashloan</v>
      </c>
      <c r="H11753" s="128" t="str">
        <f>VLOOKUP(source[[#This Row],[lending_product_transform]],[3]Mapping!$B$3:$D$37,3,0)</f>
        <v>cashloan</v>
      </c>
      <c r="I11753" s="143">
        <v>311688000</v>
      </c>
    </row>
    <row r="11754" spans="1:9" x14ac:dyDescent="0.2">
      <c r="A11754" s="134">
        <v>46023</v>
      </c>
      <c r="B11754" s="135">
        <f>YEAR(source[[#This Row],[report_date]])</f>
        <v>2026</v>
      </c>
      <c r="C11754" s="128">
        <f t="shared" si="547"/>
        <v>1</v>
      </c>
      <c r="D11754" s="136">
        <f t="shared" si="550"/>
        <v>1</v>
      </c>
      <c r="E11754" s="136">
        <f t="shared" si="548"/>
        <v>1</v>
      </c>
      <c r="F11754" s="137" t="s">
        <v>24</v>
      </c>
      <c r="G11754" s="128" t="str">
        <f>VLOOKUP(source[[#This Row],[lending_product_transform]],[3]Mapping!$B$4:$C$37,2,0)</f>
        <v>[Cake] - Cashloan</v>
      </c>
      <c r="H11754" s="128" t="str">
        <f>VLOOKUP(source[[#This Row],[lending_product_transform]],[3]Mapping!$B$3:$D$37,3,0)</f>
        <v>cashloan</v>
      </c>
      <c r="I11754" s="143">
        <v>527539310</v>
      </c>
    </row>
    <row r="11755" spans="1:9" x14ac:dyDescent="0.2">
      <c r="A11755" s="134">
        <v>46023</v>
      </c>
      <c r="B11755" s="135">
        <f>YEAR(source[[#This Row],[report_date]])</f>
        <v>2026</v>
      </c>
      <c r="C11755" s="128">
        <f t="shared" si="547"/>
        <v>1</v>
      </c>
      <c r="D11755" s="136">
        <f t="shared" si="550"/>
        <v>1</v>
      </c>
      <c r="E11755" s="136">
        <f t="shared" si="548"/>
        <v>1</v>
      </c>
      <c r="F11755" s="137" t="s">
        <v>24</v>
      </c>
      <c r="G11755" s="128" t="str">
        <f>VLOOKUP(source[[#This Row],[lending_product_transform]],[3]Mapping!$B$4:$C$37,2,0)</f>
        <v>[Cake] - Cashloan</v>
      </c>
      <c r="H11755" s="128" t="str">
        <f>VLOOKUP(source[[#This Row],[lending_product_transform]],[3]Mapping!$B$3:$D$37,3,0)</f>
        <v>cashloan</v>
      </c>
      <c r="I11755" s="143">
        <v>2544540000</v>
      </c>
    </row>
    <row r="11756" spans="1:9" x14ac:dyDescent="0.2">
      <c r="A11756" s="134">
        <v>46023</v>
      </c>
      <c r="B11756" s="135">
        <f>YEAR(source[[#This Row],[report_date]])</f>
        <v>2026</v>
      </c>
      <c r="C11756" s="128">
        <f t="shared" si="547"/>
        <v>1</v>
      </c>
      <c r="D11756" s="136">
        <f t="shared" si="550"/>
        <v>1</v>
      </c>
      <c r="E11756" s="136">
        <f t="shared" si="548"/>
        <v>1</v>
      </c>
      <c r="F11756" s="137" t="s">
        <v>24</v>
      </c>
      <c r="G11756" s="128" t="str">
        <f>VLOOKUP(source[[#This Row],[lending_product_transform]],[3]Mapping!$B$4:$C$37,2,0)</f>
        <v>[Cake] - Cashloan</v>
      </c>
      <c r="H11756" s="128" t="str">
        <f>VLOOKUP(source[[#This Row],[lending_product_transform]],[3]Mapping!$B$3:$D$37,3,0)</f>
        <v>cashloan</v>
      </c>
      <c r="I11756" s="143">
        <v>0</v>
      </c>
    </row>
    <row r="11757" spans="1:9" x14ac:dyDescent="0.2">
      <c r="A11757" s="134">
        <v>46024</v>
      </c>
      <c r="B11757" s="135">
        <f>YEAR(source[[#This Row],[report_date]])</f>
        <v>2026</v>
      </c>
      <c r="C11757" s="128">
        <f t="shared" si="547"/>
        <v>1</v>
      </c>
      <c r="D11757" s="136">
        <f t="shared" si="550"/>
        <v>1</v>
      </c>
      <c r="E11757" s="136">
        <f t="shared" si="548"/>
        <v>2</v>
      </c>
      <c r="F11757" s="137" t="s">
        <v>24</v>
      </c>
      <c r="G11757" s="128" t="str">
        <f>VLOOKUP(source[[#This Row],[lending_product_transform]],[3]Mapping!$B$4:$C$37,2,0)</f>
        <v>[Cake] - Cashloan</v>
      </c>
      <c r="H11757" s="128" t="str">
        <f>VLOOKUP(source[[#This Row],[lending_product_transform]],[3]Mapping!$B$3:$D$37,3,0)</f>
        <v>cashloan</v>
      </c>
      <c r="I11757" s="143">
        <v>550050000</v>
      </c>
    </row>
    <row r="11758" spans="1:9" x14ac:dyDescent="0.2">
      <c r="A11758" s="134">
        <v>46024</v>
      </c>
      <c r="B11758" s="135">
        <f>YEAR(source[[#This Row],[report_date]])</f>
        <v>2026</v>
      </c>
      <c r="C11758" s="128">
        <f t="shared" si="547"/>
        <v>1</v>
      </c>
      <c r="D11758" s="136">
        <f t="shared" si="550"/>
        <v>1</v>
      </c>
      <c r="E11758" s="136">
        <f t="shared" si="548"/>
        <v>2</v>
      </c>
      <c r="F11758" s="137" t="s">
        <v>24</v>
      </c>
      <c r="G11758" s="128" t="str">
        <f>VLOOKUP(source[[#This Row],[lending_product_transform]],[3]Mapping!$B$4:$C$37,2,0)</f>
        <v>[Cake] - Cashloan</v>
      </c>
      <c r="H11758" s="128" t="str">
        <f>VLOOKUP(source[[#This Row],[lending_product_transform]],[3]Mapping!$B$3:$D$37,3,0)</f>
        <v>cashloan</v>
      </c>
      <c r="I11758" s="143">
        <v>337710506</v>
      </c>
    </row>
    <row r="11759" spans="1:9" x14ac:dyDescent="0.2">
      <c r="A11759" s="134">
        <v>46024</v>
      </c>
      <c r="B11759" s="135">
        <f>YEAR(source[[#This Row],[report_date]])</f>
        <v>2026</v>
      </c>
      <c r="C11759" s="128">
        <f t="shared" si="547"/>
        <v>1</v>
      </c>
      <c r="D11759" s="136">
        <f t="shared" si="550"/>
        <v>1</v>
      </c>
      <c r="E11759" s="136">
        <f t="shared" si="548"/>
        <v>2</v>
      </c>
      <c r="F11759" s="137" t="s">
        <v>24</v>
      </c>
      <c r="G11759" s="128" t="str">
        <f>VLOOKUP(source[[#This Row],[lending_product_transform]],[3]Mapping!$B$4:$C$37,2,0)</f>
        <v>[Cake] - Cashloan</v>
      </c>
      <c r="H11759" s="128" t="str">
        <f>VLOOKUP(source[[#This Row],[lending_product_transform]],[3]Mapping!$B$3:$D$37,3,0)</f>
        <v>cashloan</v>
      </c>
      <c r="I11759" s="143">
        <v>14212680000</v>
      </c>
    </row>
    <row r="11760" spans="1:9" x14ac:dyDescent="0.2">
      <c r="A11760" s="134">
        <v>46024</v>
      </c>
      <c r="B11760" s="135">
        <f>YEAR(source[[#This Row],[report_date]])</f>
        <v>2026</v>
      </c>
      <c r="C11760" s="128">
        <f t="shared" si="547"/>
        <v>1</v>
      </c>
      <c r="D11760" s="136">
        <f t="shared" si="550"/>
        <v>1</v>
      </c>
      <c r="E11760" s="136">
        <f t="shared" si="548"/>
        <v>2</v>
      </c>
      <c r="F11760" s="137" t="s">
        <v>24</v>
      </c>
      <c r="G11760" s="128" t="str">
        <f>VLOOKUP(source[[#This Row],[lending_product_transform]],[3]Mapping!$B$4:$C$37,2,0)</f>
        <v>[Cake] - Cashloan</v>
      </c>
      <c r="H11760" s="128" t="str">
        <f>VLOOKUP(source[[#This Row],[lending_product_transform]],[3]Mapping!$B$3:$D$37,3,0)</f>
        <v>cashloan</v>
      </c>
      <c r="I11760" s="143">
        <v>2790710138</v>
      </c>
    </row>
    <row r="11761" spans="1:9" x14ac:dyDescent="0.2">
      <c r="A11761" s="134">
        <v>46024</v>
      </c>
      <c r="B11761" s="135">
        <f>YEAR(source[[#This Row],[report_date]])</f>
        <v>2026</v>
      </c>
      <c r="C11761" s="128">
        <f t="shared" si="547"/>
        <v>1</v>
      </c>
      <c r="D11761" s="136">
        <f t="shared" si="550"/>
        <v>1</v>
      </c>
      <c r="E11761" s="136">
        <f t="shared" si="548"/>
        <v>2</v>
      </c>
      <c r="F11761" s="137" t="s">
        <v>24</v>
      </c>
      <c r="G11761" s="128" t="str">
        <f>VLOOKUP(source[[#This Row],[lending_product_transform]],[3]Mapping!$B$4:$C$37,2,0)</f>
        <v>[Cake] - Cashloan</v>
      </c>
      <c r="H11761" s="128" t="str">
        <f>VLOOKUP(source[[#This Row],[lending_product_transform]],[3]Mapping!$B$3:$D$37,3,0)</f>
        <v>cashloan</v>
      </c>
      <c r="I11761" s="143">
        <v>13163796000</v>
      </c>
    </row>
    <row r="11762" spans="1:9" x14ac:dyDescent="0.2">
      <c r="A11762" s="134">
        <v>46024</v>
      </c>
      <c r="B11762" s="135">
        <f>YEAR(source[[#This Row],[report_date]])</f>
        <v>2026</v>
      </c>
      <c r="C11762" s="128">
        <f t="shared" si="547"/>
        <v>1</v>
      </c>
      <c r="D11762" s="136">
        <f t="shared" si="550"/>
        <v>1</v>
      </c>
      <c r="E11762" s="136">
        <f t="shared" si="548"/>
        <v>2</v>
      </c>
      <c r="F11762" s="137" t="s">
        <v>24</v>
      </c>
      <c r="G11762" s="128" t="str">
        <f>VLOOKUP(source[[#This Row],[lending_product_transform]],[3]Mapping!$B$4:$C$37,2,0)</f>
        <v>[Cake] - Cashloan</v>
      </c>
      <c r="H11762" s="128" t="str">
        <f>VLOOKUP(source[[#This Row],[lending_product_transform]],[3]Mapping!$B$3:$D$37,3,0)</f>
        <v>cashloan</v>
      </c>
      <c r="I11762" s="143">
        <v>24139175</v>
      </c>
    </row>
    <row r="11763" spans="1:9" x14ac:dyDescent="0.2">
      <c r="A11763" s="134">
        <v>46024</v>
      </c>
      <c r="B11763" s="135">
        <f>YEAR(source[[#This Row],[report_date]])</f>
        <v>2026</v>
      </c>
      <c r="C11763" s="128">
        <f t="shared" si="547"/>
        <v>1</v>
      </c>
      <c r="D11763" s="136">
        <f t="shared" si="550"/>
        <v>1</v>
      </c>
      <c r="E11763" s="136">
        <f t="shared" si="548"/>
        <v>2</v>
      </c>
      <c r="F11763" s="137" t="s">
        <v>24</v>
      </c>
      <c r="G11763" s="128" t="str">
        <f>VLOOKUP(source[[#This Row],[lending_product_transform]],[3]Mapping!$B$4:$C$37,2,0)</f>
        <v>[Cake] - Cashloan</v>
      </c>
      <c r="H11763" s="128" t="str">
        <f>VLOOKUP(source[[#This Row],[lending_product_transform]],[3]Mapping!$B$3:$D$37,3,0)</f>
        <v>cashloan</v>
      </c>
      <c r="I11763" s="143">
        <v>0</v>
      </c>
    </row>
    <row r="11764" spans="1:9" x14ac:dyDescent="0.2">
      <c r="A11764" s="134">
        <v>46024</v>
      </c>
      <c r="B11764" s="135">
        <f>YEAR(source[[#This Row],[report_date]])</f>
        <v>2026</v>
      </c>
      <c r="C11764" s="128">
        <f t="shared" si="547"/>
        <v>1</v>
      </c>
      <c r="D11764" s="136">
        <f t="shared" si="550"/>
        <v>1</v>
      </c>
      <c r="E11764" s="136">
        <f t="shared" si="548"/>
        <v>2</v>
      </c>
      <c r="F11764" s="137" t="s">
        <v>24</v>
      </c>
      <c r="G11764" s="128" t="str">
        <f>VLOOKUP(source[[#This Row],[lending_product_transform]],[3]Mapping!$B$4:$C$37,2,0)</f>
        <v>[Cake] - Cashloan</v>
      </c>
      <c r="H11764" s="128" t="str">
        <f>VLOOKUP(source[[#This Row],[lending_product_transform]],[3]Mapping!$B$3:$D$37,3,0)</f>
        <v>cashloan</v>
      </c>
      <c r="I11764" s="143">
        <v>3995340000</v>
      </c>
    </row>
    <row r="11765" spans="1:9" x14ac:dyDescent="0.2">
      <c r="A11765" s="134">
        <v>46024</v>
      </c>
      <c r="B11765" s="135">
        <f>YEAR(source[[#This Row],[report_date]])</f>
        <v>2026</v>
      </c>
      <c r="C11765" s="128">
        <f t="shared" si="547"/>
        <v>1</v>
      </c>
      <c r="D11765" s="136">
        <f t="shared" si="550"/>
        <v>1</v>
      </c>
      <c r="E11765" s="136">
        <f t="shared" si="548"/>
        <v>2</v>
      </c>
      <c r="F11765" s="137" t="s">
        <v>24</v>
      </c>
      <c r="G11765" s="128" t="str">
        <f>VLOOKUP(source[[#This Row],[lending_product_transform]],[3]Mapping!$B$4:$C$37,2,0)</f>
        <v>[Cake] - Cashloan</v>
      </c>
      <c r="H11765" s="128" t="str">
        <f>VLOOKUP(source[[#This Row],[lending_product_transform]],[3]Mapping!$B$3:$D$37,3,0)</f>
        <v>cashloan</v>
      </c>
      <c r="I11765" s="143">
        <v>311000000</v>
      </c>
    </row>
    <row r="11766" spans="1:9" x14ac:dyDescent="0.2">
      <c r="A11766" s="134">
        <v>46024</v>
      </c>
      <c r="B11766" s="135">
        <f>YEAR(source[[#This Row],[report_date]])</f>
        <v>2026</v>
      </c>
      <c r="C11766" s="128">
        <f t="shared" ref="C11766:C11829" si="551">MONTH(A11766)</f>
        <v>1</v>
      </c>
      <c r="D11766" s="136">
        <f t="shared" si="550"/>
        <v>1</v>
      </c>
      <c r="E11766" s="136">
        <f t="shared" ref="E11766:E11829" si="552">DAY(A11766)</f>
        <v>2</v>
      </c>
      <c r="F11766" s="137" t="s">
        <v>24</v>
      </c>
      <c r="G11766" s="128" t="str">
        <f>VLOOKUP(source[[#This Row],[lending_product_transform]],[3]Mapping!$B$4:$C$37,2,0)</f>
        <v>[Cake] - Cashloan</v>
      </c>
      <c r="H11766" s="128" t="str">
        <f>VLOOKUP(source[[#This Row],[lending_product_transform]],[3]Mapping!$B$3:$D$37,3,0)</f>
        <v>cashloan</v>
      </c>
      <c r="I11766" s="143">
        <v>32294086</v>
      </c>
    </row>
    <row r="11767" spans="1:9" x14ac:dyDescent="0.2">
      <c r="A11767" s="134">
        <v>46024</v>
      </c>
      <c r="B11767" s="135">
        <f>YEAR(source[[#This Row],[report_date]])</f>
        <v>2026</v>
      </c>
      <c r="C11767" s="128">
        <f t="shared" si="551"/>
        <v>1</v>
      </c>
      <c r="D11767" s="136">
        <f t="shared" si="550"/>
        <v>1</v>
      </c>
      <c r="E11767" s="136">
        <f t="shared" si="552"/>
        <v>2</v>
      </c>
      <c r="F11767" s="137" t="s">
        <v>24</v>
      </c>
      <c r="G11767" s="128" t="str">
        <f>VLOOKUP(source[[#This Row],[lending_product_transform]],[3]Mapping!$B$4:$C$37,2,0)</f>
        <v>[Cake] - Cashloan</v>
      </c>
      <c r="H11767" s="128" t="str">
        <f>VLOOKUP(source[[#This Row],[lending_product_transform]],[3]Mapping!$B$3:$D$37,3,0)</f>
        <v>cashloan</v>
      </c>
      <c r="I11767" s="143">
        <v>1843429754</v>
      </c>
    </row>
    <row r="11768" spans="1:9" x14ac:dyDescent="0.2">
      <c r="A11768" s="134">
        <v>46024</v>
      </c>
      <c r="B11768" s="135">
        <f>YEAR(source[[#This Row],[report_date]])</f>
        <v>2026</v>
      </c>
      <c r="C11768" s="128">
        <f t="shared" si="551"/>
        <v>1</v>
      </c>
      <c r="D11768" s="136">
        <f t="shared" si="550"/>
        <v>1</v>
      </c>
      <c r="E11768" s="136">
        <f t="shared" si="552"/>
        <v>2</v>
      </c>
      <c r="F11768" s="137" t="s">
        <v>24</v>
      </c>
      <c r="G11768" s="128" t="str">
        <f>VLOOKUP(source[[#This Row],[lending_product_transform]],[3]Mapping!$B$4:$C$37,2,0)</f>
        <v>[Cake] - Cashloan</v>
      </c>
      <c r="H11768" s="128" t="str">
        <f>VLOOKUP(source[[#This Row],[lending_product_transform]],[3]Mapping!$B$3:$D$37,3,0)</f>
        <v>cashloan</v>
      </c>
      <c r="I11768" s="143">
        <v>0</v>
      </c>
    </row>
    <row r="11769" spans="1:9" x14ac:dyDescent="0.2">
      <c r="A11769" s="134">
        <v>46024</v>
      </c>
      <c r="B11769" s="135">
        <f>YEAR(source[[#This Row],[report_date]])</f>
        <v>2026</v>
      </c>
      <c r="C11769" s="128">
        <f t="shared" si="551"/>
        <v>1</v>
      </c>
      <c r="D11769" s="136">
        <f t="shared" si="550"/>
        <v>1</v>
      </c>
      <c r="E11769" s="136">
        <f t="shared" si="552"/>
        <v>2</v>
      </c>
      <c r="F11769" s="137" t="s">
        <v>24</v>
      </c>
      <c r="G11769" s="128" t="str">
        <f>VLOOKUP(source[[#This Row],[lending_product_transform]],[3]Mapping!$B$4:$C$37,2,0)</f>
        <v>[Cake] - Cashloan</v>
      </c>
      <c r="H11769" s="128" t="str">
        <f>VLOOKUP(source[[#This Row],[lending_product_transform]],[3]Mapping!$B$3:$D$37,3,0)</f>
        <v>cashloan</v>
      </c>
      <c r="I11769" s="143">
        <v>496450000</v>
      </c>
    </row>
    <row r="11770" spans="1:9" x14ac:dyDescent="0.2">
      <c r="A11770" s="134">
        <v>46024</v>
      </c>
      <c r="B11770" s="135">
        <f>YEAR(source[[#This Row],[report_date]])</f>
        <v>2026</v>
      </c>
      <c r="C11770" s="128">
        <f t="shared" si="551"/>
        <v>1</v>
      </c>
      <c r="D11770" s="136">
        <f t="shared" si="550"/>
        <v>1</v>
      </c>
      <c r="E11770" s="136">
        <f t="shared" si="552"/>
        <v>2</v>
      </c>
      <c r="F11770" s="137" t="s">
        <v>24</v>
      </c>
      <c r="G11770" s="128" t="str">
        <f>VLOOKUP(source[[#This Row],[lending_product_transform]],[3]Mapping!$B$4:$C$37,2,0)</f>
        <v>[Cake] - Cashloan</v>
      </c>
      <c r="H11770" s="128" t="str">
        <f>VLOOKUP(source[[#This Row],[lending_product_transform]],[3]Mapping!$B$3:$D$37,3,0)</f>
        <v>cashloan</v>
      </c>
      <c r="I11770" s="143">
        <v>0</v>
      </c>
    </row>
    <row r="11771" spans="1:9" x14ac:dyDescent="0.2">
      <c r="A11771" s="134">
        <v>46024</v>
      </c>
      <c r="B11771" s="135">
        <f>YEAR(source[[#This Row],[report_date]])</f>
        <v>2026</v>
      </c>
      <c r="C11771" s="128">
        <f t="shared" si="551"/>
        <v>1</v>
      </c>
      <c r="D11771" s="136">
        <f t="shared" si="550"/>
        <v>1</v>
      </c>
      <c r="E11771" s="136">
        <f t="shared" si="552"/>
        <v>2</v>
      </c>
      <c r="F11771" s="137" t="s">
        <v>24</v>
      </c>
      <c r="G11771" s="128" t="str">
        <f>VLOOKUP(source[[#This Row],[lending_product_transform]],[3]Mapping!$B$4:$C$37,2,0)</f>
        <v>[Cake] - Cashloan</v>
      </c>
      <c r="H11771" s="128" t="str">
        <f>VLOOKUP(source[[#This Row],[lending_product_transform]],[3]Mapping!$B$3:$D$37,3,0)</f>
        <v>cashloan</v>
      </c>
      <c r="I11771" s="143">
        <v>16626100000</v>
      </c>
    </row>
    <row r="11772" spans="1:9" x14ac:dyDescent="0.2">
      <c r="A11772" s="134">
        <v>46024</v>
      </c>
      <c r="B11772" s="135">
        <f>YEAR(source[[#This Row],[report_date]])</f>
        <v>2026</v>
      </c>
      <c r="C11772" s="128">
        <f t="shared" si="551"/>
        <v>1</v>
      </c>
      <c r="D11772" s="136">
        <f t="shared" si="550"/>
        <v>1</v>
      </c>
      <c r="E11772" s="136">
        <f t="shared" si="552"/>
        <v>2</v>
      </c>
      <c r="F11772" s="137" t="s">
        <v>24</v>
      </c>
      <c r="G11772" s="128" t="str">
        <f>VLOOKUP(source[[#This Row],[lending_product_transform]],[3]Mapping!$B$4:$C$37,2,0)</f>
        <v>[Cake] - Cashloan</v>
      </c>
      <c r="H11772" s="128" t="str">
        <f>VLOOKUP(source[[#This Row],[lending_product_transform]],[3]Mapping!$B$3:$D$37,3,0)</f>
        <v>cashloan</v>
      </c>
      <c r="I11772" s="143">
        <v>0</v>
      </c>
    </row>
    <row r="11773" spans="1:9" x14ac:dyDescent="0.2">
      <c r="A11773" s="134">
        <v>46024</v>
      </c>
      <c r="B11773" s="135">
        <f>YEAR(source[[#This Row],[report_date]])</f>
        <v>2026</v>
      </c>
      <c r="C11773" s="128">
        <f t="shared" si="551"/>
        <v>1</v>
      </c>
      <c r="D11773" s="136">
        <f t="shared" si="550"/>
        <v>1</v>
      </c>
      <c r="E11773" s="136">
        <f t="shared" si="552"/>
        <v>2</v>
      </c>
      <c r="F11773" s="137" t="s">
        <v>24</v>
      </c>
      <c r="G11773" s="128" t="str">
        <f>VLOOKUP(source[[#This Row],[lending_product_transform]],[3]Mapping!$B$4:$C$37,2,0)</f>
        <v>[Cake] - Cashloan</v>
      </c>
      <c r="H11773" s="128" t="str">
        <f>VLOOKUP(source[[#This Row],[lending_product_transform]],[3]Mapping!$B$3:$D$37,3,0)</f>
        <v>cashloan</v>
      </c>
      <c r="I11773" s="143">
        <v>0</v>
      </c>
    </row>
    <row r="11774" spans="1:9" x14ac:dyDescent="0.2">
      <c r="A11774" s="134">
        <v>46024</v>
      </c>
      <c r="B11774" s="135">
        <f>YEAR(source[[#This Row],[report_date]])</f>
        <v>2026</v>
      </c>
      <c r="C11774" s="128">
        <f t="shared" si="551"/>
        <v>1</v>
      </c>
      <c r="D11774" s="136">
        <f t="shared" si="550"/>
        <v>1</v>
      </c>
      <c r="E11774" s="136">
        <f t="shared" si="552"/>
        <v>2</v>
      </c>
      <c r="F11774" s="137" t="s">
        <v>24</v>
      </c>
      <c r="G11774" s="128" t="str">
        <f>VLOOKUP(source[[#This Row],[lending_product_transform]],[3]Mapping!$B$4:$C$37,2,0)</f>
        <v>[Cake] - Cashloan</v>
      </c>
      <c r="H11774" s="128" t="str">
        <f>VLOOKUP(source[[#This Row],[lending_product_transform]],[3]Mapping!$B$3:$D$37,3,0)</f>
        <v>cashloan</v>
      </c>
      <c r="I11774" s="143">
        <v>0</v>
      </c>
    </row>
    <row r="11775" spans="1:9" x14ac:dyDescent="0.2">
      <c r="A11775" s="134">
        <v>46024</v>
      </c>
      <c r="B11775" s="135">
        <f>YEAR(source[[#This Row],[report_date]])</f>
        <v>2026</v>
      </c>
      <c r="C11775" s="128">
        <f t="shared" si="551"/>
        <v>1</v>
      </c>
      <c r="D11775" s="136">
        <f t="shared" si="550"/>
        <v>1</v>
      </c>
      <c r="E11775" s="136">
        <f t="shared" si="552"/>
        <v>2</v>
      </c>
      <c r="F11775" s="137" t="s">
        <v>24</v>
      </c>
      <c r="G11775" s="128" t="str">
        <f>VLOOKUP(source[[#This Row],[lending_product_transform]],[3]Mapping!$B$4:$C$37,2,0)</f>
        <v>[Cake] - Cashloan</v>
      </c>
      <c r="H11775" s="128" t="str">
        <f>VLOOKUP(source[[#This Row],[lending_product_transform]],[3]Mapping!$B$3:$D$37,3,0)</f>
        <v>cashloan</v>
      </c>
      <c r="I11775" s="143">
        <v>0</v>
      </c>
    </row>
    <row r="11776" spans="1:9" x14ac:dyDescent="0.2">
      <c r="A11776" s="134">
        <v>46024</v>
      </c>
      <c r="B11776" s="135">
        <f>YEAR(source[[#This Row],[report_date]])</f>
        <v>2026</v>
      </c>
      <c r="C11776" s="128">
        <f t="shared" si="551"/>
        <v>1</v>
      </c>
      <c r="D11776" s="136">
        <f t="shared" si="550"/>
        <v>1</v>
      </c>
      <c r="E11776" s="136">
        <f t="shared" si="552"/>
        <v>2</v>
      </c>
      <c r="F11776" s="137" t="s">
        <v>24</v>
      </c>
      <c r="G11776" s="128" t="str">
        <f>VLOOKUP(source[[#This Row],[lending_product_transform]],[3]Mapping!$B$4:$C$37,2,0)</f>
        <v>[Cake] - Cashloan</v>
      </c>
      <c r="H11776" s="128" t="str">
        <f>VLOOKUP(source[[#This Row],[lending_product_transform]],[3]Mapping!$B$3:$D$37,3,0)</f>
        <v>cashloan</v>
      </c>
      <c r="I11776" s="143">
        <v>9966780000</v>
      </c>
    </row>
    <row r="11777" spans="1:9" x14ac:dyDescent="0.2">
      <c r="A11777" s="134">
        <v>46024</v>
      </c>
      <c r="B11777" s="135">
        <f>YEAR(source[[#This Row],[report_date]])</f>
        <v>2026</v>
      </c>
      <c r="C11777" s="128">
        <f t="shared" si="551"/>
        <v>1</v>
      </c>
      <c r="D11777" s="136">
        <f t="shared" si="550"/>
        <v>1</v>
      </c>
      <c r="E11777" s="136">
        <f t="shared" si="552"/>
        <v>2</v>
      </c>
      <c r="F11777" s="137" t="s">
        <v>24</v>
      </c>
      <c r="G11777" s="128" t="str">
        <f>VLOOKUP(source[[#This Row],[lending_product_transform]],[3]Mapping!$B$4:$C$37,2,0)</f>
        <v>[Cake] - Cashloan</v>
      </c>
      <c r="H11777" s="128" t="str">
        <f>VLOOKUP(source[[#This Row],[lending_product_transform]],[3]Mapping!$B$3:$D$37,3,0)</f>
        <v>cashloan</v>
      </c>
      <c r="I11777" s="143">
        <v>449771094</v>
      </c>
    </row>
    <row r="11778" spans="1:9" x14ac:dyDescent="0.2">
      <c r="A11778" s="134">
        <v>46024</v>
      </c>
      <c r="B11778" s="135">
        <f>YEAR(source[[#This Row],[report_date]])</f>
        <v>2026</v>
      </c>
      <c r="C11778" s="128">
        <f t="shared" si="551"/>
        <v>1</v>
      </c>
      <c r="D11778" s="136">
        <f t="shared" si="550"/>
        <v>1</v>
      </c>
      <c r="E11778" s="136">
        <f t="shared" si="552"/>
        <v>2</v>
      </c>
      <c r="F11778" s="137" t="s">
        <v>24</v>
      </c>
      <c r="G11778" s="128" t="str">
        <f>VLOOKUP(source[[#This Row],[lending_product_transform]],[3]Mapping!$B$4:$C$37,2,0)</f>
        <v>[Cake] - Cashloan</v>
      </c>
      <c r="H11778" s="128" t="str">
        <f>VLOOKUP(source[[#This Row],[lending_product_transform]],[3]Mapping!$B$3:$D$37,3,0)</f>
        <v>cashloan</v>
      </c>
      <c r="I11778" s="143">
        <v>21000000</v>
      </c>
    </row>
    <row r="11779" spans="1:9" x14ac:dyDescent="0.2">
      <c r="A11779" s="134">
        <v>46024</v>
      </c>
      <c r="B11779" s="135">
        <f>YEAR(source[[#This Row],[report_date]])</f>
        <v>2026</v>
      </c>
      <c r="C11779" s="128">
        <f t="shared" si="551"/>
        <v>1</v>
      </c>
      <c r="D11779" s="136">
        <f t="shared" si="550"/>
        <v>1</v>
      </c>
      <c r="E11779" s="136">
        <f t="shared" si="552"/>
        <v>2</v>
      </c>
      <c r="F11779" s="137" t="s">
        <v>24</v>
      </c>
      <c r="G11779" s="128" t="str">
        <f>VLOOKUP(source[[#This Row],[lending_product_transform]],[3]Mapping!$B$4:$C$37,2,0)</f>
        <v>[Cake] - Cashloan</v>
      </c>
      <c r="H11779" s="128" t="str">
        <f>VLOOKUP(source[[#This Row],[lending_product_transform]],[3]Mapping!$B$3:$D$37,3,0)</f>
        <v>cashloan</v>
      </c>
      <c r="I11779" s="143">
        <v>53000000</v>
      </c>
    </row>
    <row r="11780" spans="1:9" x14ac:dyDescent="0.2">
      <c r="A11780" s="134">
        <v>46024</v>
      </c>
      <c r="B11780" s="135">
        <f>YEAR(source[[#This Row],[report_date]])</f>
        <v>2026</v>
      </c>
      <c r="C11780" s="128">
        <f t="shared" si="551"/>
        <v>1</v>
      </c>
      <c r="D11780" s="136">
        <f t="shared" si="550"/>
        <v>1</v>
      </c>
      <c r="E11780" s="136">
        <f t="shared" si="552"/>
        <v>2</v>
      </c>
      <c r="F11780" s="137" t="s">
        <v>24</v>
      </c>
      <c r="G11780" s="128" t="str">
        <f>VLOOKUP(source[[#This Row],[lending_product_transform]],[3]Mapping!$B$4:$C$37,2,0)</f>
        <v>[Cake] - Cashloan</v>
      </c>
      <c r="H11780" s="128" t="str">
        <f>VLOOKUP(source[[#This Row],[lending_product_transform]],[3]Mapping!$B$3:$D$37,3,0)</f>
        <v>cashloan</v>
      </c>
      <c r="I11780" s="143">
        <v>783230000</v>
      </c>
    </row>
    <row r="11781" spans="1:9" x14ac:dyDescent="0.2">
      <c r="A11781" s="134">
        <v>46024</v>
      </c>
      <c r="B11781" s="135">
        <f>YEAR(source[[#This Row],[report_date]])</f>
        <v>2026</v>
      </c>
      <c r="C11781" s="128">
        <f t="shared" si="551"/>
        <v>1</v>
      </c>
      <c r="D11781" s="136">
        <f t="shared" si="550"/>
        <v>1</v>
      </c>
      <c r="E11781" s="136">
        <f t="shared" si="552"/>
        <v>2</v>
      </c>
      <c r="F11781" s="137" t="s">
        <v>24</v>
      </c>
      <c r="G11781" s="128" t="str">
        <f>VLOOKUP(source[[#This Row],[lending_product_transform]],[3]Mapping!$B$4:$C$37,2,0)</f>
        <v>[Cake] - Cashloan</v>
      </c>
      <c r="H11781" s="128" t="str">
        <f>VLOOKUP(source[[#This Row],[lending_product_transform]],[3]Mapping!$B$3:$D$37,3,0)</f>
        <v>cashloan</v>
      </c>
      <c r="I11781" s="143">
        <v>423468000</v>
      </c>
    </row>
    <row r="11782" spans="1:9" x14ac:dyDescent="0.2">
      <c r="A11782" s="134">
        <v>46024</v>
      </c>
      <c r="B11782" s="135">
        <f>YEAR(source[[#This Row],[report_date]])</f>
        <v>2026</v>
      </c>
      <c r="C11782" s="128">
        <f t="shared" si="551"/>
        <v>1</v>
      </c>
      <c r="D11782" s="136">
        <f t="shared" si="550"/>
        <v>1</v>
      </c>
      <c r="E11782" s="136">
        <f t="shared" si="552"/>
        <v>2</v>
      </c>
      <c r="F11782" s="137" t="s">
        <v>24</v>
      </c>
      <c r="G11782" s="128" t="str">
        <f>VLOOKUP(source[[#This Row],[lending_product_transform]],[3]Mapping!$B$4:$C$37,2,0)</f>
        <v>[Cake] - Cashloan</v>
      </c>
      <c r="H11782" s="128" t="str">
        <f>VLOOKUP(source[[#This Row],[lending_product_transform]],[3]Mapping!$B$3:$D$37,3,0)</f>
        <v>cashloan</v>
      </c>
      <c r="I11782" s="143">
        <v>916912945</v>
      </c>
    </row>
    <row r="11783" spans="1:9" x14ac:dyDescent="0.2">
      <c r="A11783" s="134">
        <v>46024</v>
      </c>
      <c r="B11783" s="135">
        <f>YEAR(source[[#This Row],[report_date]])</f>
        <v>2026</v>
      </c>
      <c r="C11783" s="128">
        <f t="shared" si="551"/>
        <v>1</v>
      </c>
      <c r="D11783" s="136">
        <f t="shared" si="550"/>
        <v>1</v>
      </c>
      <c r="E11783" s="136">
        <f t="shared" si="552"/>
        <v>2</v>
      </c>
      <c r="F11783" s="137" t="s">
        <v>24</v>
      </c>
      <c r="G11783" s="128" t="str">
        <f>VLOOKUP(source[[#This Row],[lending_product_transform]],[3]Mapping!$B$4:$C$37,2,0)</f>
        <v>[Cake] - Cashloan</v>
      </c>
      <c r="H11783" s="128" t="str">
        <f>VLOOKUP(source[[#This Row],[lending_product_transform]],[3]Mapping!$B$3:$D$37,3,0)</f>
        <v>cashloan</v>
      </c>
      <c r="I11783" s="143">
        <v>3083130000</v>
      </c>
    </row>
    <row r="11784" spans="1:9" x14ac:dyDescent="0.2">
      <c r="A11784" s="134">
        <v>46024</v>
      </c>
      <c r="B11784" s="135">
        <f>YEAR(source[[#This Row],[report_date]])</f>
        <v>2026</v>
      </c>
      <c r="C11784" s="128">
        <f t="shared" si="551"/>
        <v>1</v>
      </c>
      <c r="D11784" s="136">
        <f t="shared" si="550"/>
        <v>1</v>
      </c>
      <c r="E11784" s="136">
        <f t="shared" si="552"/>
        <v>2</v>
      </c>
      <c r="F11784" s="137" t="s">
        <v>24</v>
      </c>
      <c r="G11784" s="128" t="str">
        <f>VLOOKUP(source[[#This Row],[lending_product_transform]],[3]Mapping!$B$4:$C$37,2,0)</f>
        <v>[Cake] - Cashloan</v>
      </c>
      <c r="H11784" s="128" t="str">
        <f>VLOOKUP(source[[#This Row],[lending_product_transform]],[3]Mapping!$B$3:$D$37,3,0)</f>
        <v>cashloan</v>
      </c>
      <c r="I11784" s="143">
        <v>0</v>
      </c>
    </row>
    <row r="11785" spans="1:9" x14ac:dyDescent="0.2">
      <c r="A11785" s="134">
        <v>46025</v>
      </c>
      <c r="B11785" s="135">
        <f>YEAR(source[[#This Row],[report_date]])</f>
        <v>2026</v>
      </c>
      <c r="C11785" s="128">
        <f t="shared" si="551"/>
        <v>1</v>
      </c>
      <c r="D11785" s="136">
        <f t="shared" si="550"/>
        <v>1</v>
      </c>
      <c r="E11785" s="136">
        <f t="shared" si="552"/>
        <v>3</v>
      </c>
      <c r="F11785" s="137" t="s">
        <v>24</v>
      </c>
      <c r="G11785" s="128" t="str">
        <f>VLOOKUP(source[[#This Row],[lending_product_transform]],[3]Mapping!$B$4:$C$37,2,0)</f>
        <v>[Cake] - Cashloan</v>
      </c>
      <c r="H11785" s="128" t="str">
        <f>VLOOKUP(source[[#This Row],[lending_product_transform]],[3]Mapping!$B$3:$D$37,3,0)</f>
        <v>cashloan</v>
      </c>
      <c r="I11785" s="143">
        <v>583250000</v>
      </c>
    </row>
    <row r="11786" spans="1:9" x14ac:dyDescent="0.2">
      <c r="A11786" s="134">
        <v>46025</v>
      </c>
      <c r="B11786" s="135">
        <f>YEAR(source[[#This Row],[report_date]])</f>
        <v>2026</v>
      </c>
      <c r="C11786" s="128">
        <f t="shared" si="551"/>
        <v>1</v>
      </c>
      <c r="D11786" s="136">
        <f t="shared" si="550"/>
        <v>1</v>
      </c>
      <c r="E11786" s="136">
        <f t="shared" si="552"/>
        <v>3</v>
      </c>
      <c r="F11786" s="137" t="s">
        <v>24</v>
      </c>
      <c r="G11786" s="128" t="str">
        <f>VLOOKUP(source[[#This Row],[lending_product_transform]],[3]Mapping!$B$4:$C$37,2,0)</f>
        <v>[Cake] - Cashloan</v>
      </c>
      <c r="H11786" s="128" t="str">
        <f>VLOOKUP(source[[#This Row],[lending_product_transform]],[3]Mapping!$B$3:$D$37,3,0)</f>
        <v>cashloan</v>
      </c>
      <c r="I11786" s="143">
        <v>359899091</v>
      </c>
    </row>
    <row r="11787" spans="1:9" x14ac:dyDescent="0.2">
      <c r="A11787" s="134">
        <v>46025</v>
      </c>
      <c r="B11787" s="135">
        <f>YEAR(source[[#This Row],[report_date]])</f>
        <v>2026</v>
      </c>
      <c r="C11787" s="128">
        <f t="shared" si="551"/>
        <v>1</v>
      </c>
      <c r="D11787" s="136">
        <f t="shared" si="550"/>
        <v>1</v>
      </c>
      <c r="E11787" s="136">
        <f t="shared" si="552"/>
        <v>3</v>
      </c>
      <c r="F11787" s="137" t="s">
        <v>24</v>
      </c>
      <c r="G11787" s="128" t="str">
        <f>VLOOKUP(source[[#This Row],[lending_product_transform]],[3]Mapping!$B$4:$C$37,2,0)</f>
        <v>[Cake] - Cashloan</v>
      </c>
      <c r="H11787" s="128" t="str">
        <f>VLOOKUP(source[[#This Row],[lending_product_transform]],[3]Mapping!$B$3:$D$37,3,0)</f>
        <v>cashloan</v>
      </c>
      <c r="I11787" s="143">
        <v>14456160000</v>
      </c>
    </row>
    <row r="11788" spans="1:9" x14ac:dyDescent="0.2">
      <c r="A11788" s="134">
        <v>46025</v>
      </c>
      <c r="B11788" s="135">
        <f>YEAR(source[[#This Row],[report_date]])</f>
        <v>2026</v>
      </c>
      <c r="C11788" s="128">
        <f t="shared" si="551"/>
        <v>1</v>
      </c>
      <c r="D11788" s="136">
        <f t="shared" si="550"/>
        <v>1</v>
      </c>
      <c r="E11788" s="136">
        <f t="shared" si="552"/>
        <v>3</v>
      </c>
      <c r="F11788" s="137" t="s">
        <v>24</v>
      </c>
      <c r="G11788" s="128" t="str">
        <f>VLOOKUP(source[[#This Row],[lending_product_transform]],[3]Mapping!$B$4:$C$37,2,0)</f>
        <v>[Cake] - Cashloan</v>
      </c>
      <c r="H11788" s="128" t="str">
        <f>VLOOKUP(source[[#This Row],[lending_product_transform]],[3]Mapping!$B$3:$D$37,3,0)</f>
        <v>cashloan</v>
      </c>
      <c r="I11788" s="143">
        <v>2349436887</v>
      </c>
    </row>
    <row r="11789" spans="1:9" x14ac:dyDescent="0.2">
      <c r="A11789" s="134">
        <v>46025</v>
      </c>
      <c r="B11789" s="135">
        <f>YEAR(source[[#This Row],[report_date]])</f>
        <v>2026</v>
      </c>
      <c r="C11789" s="128">
        <f t="shared" si="551"/>
        <v>1</v>
      </c>
      <c r="D11789" s="136">
        <f t="shared" si="550"/>
        <v>1</v>
      </c>
      <c r="E11789" s="136">
        <f t="shared" si="552"/>
        <v>3</v>
      </c>
      <c r="F11789" s="137" t="s">
        <v>24</v>
      </c>
      <c r="G11789" s="128" t="str">
        <f>VLOOKUP(source[[#This Row],[lending_product_transform]],[3]Mapping!$B$4:$C$37,2,0)</f>
        <v>[Cake] - Cashloan</v>
      </c>
      <c r="H11789" s="128" t="str">
        <f>VLOOKUP(source[[#This Row],[lending_product_transform]],[3]Mapping!$B$3:$D$37,3,0)</f>
        <v>cashloan</v>
      </c>
      <c r="I11789" s="143">
        <v>12671856000</v>
      </c>
    </row>
    <row r="11790" spans="1:9" x14ac:dyDescent="0.2">
      <c r="A11790" s="134">
        <v>46025</v>
      </c>
      <c r="B11790" s="135">
        <f>YEAR(source[[#This Row],[report_date]])</f>
        <v>2026</v>
      </c>
      <c r="C11790" s="128">
        <f t="shared" si="551"/>
        <v>1</v>
      </c>
      <c r="D11790" s="136">
        <f t="shared" si="550"/>
        <v>1</v>
      </c>
      <c r="E11790" s="136">
        <f t="shared" si="552"/>
        <v>3</v>
      </c>
      <c r="F11790" s="137" t="s">
        <v>24</v>
      </c>
      <c r="G11790" s="128" t="str">
        <f>VLOOKUP(source[[#This Row],[lending_product_transform]],[3]Mapping!$B$4:$C$37,2,0)</f>
        <v>[Cake] - Cashloan</v>
      </c>
      <c r="H11790" s="128" t="str">
        <f>VLOOKUP(source[[#This Row],[lending_product_transform]],[3]Mapping!$B$3:$D$37,3,0)</f>
        <v>cashloan</v>
      </c>
      <c r="I11790" s="143">
        <v>76636650</v>
      </c>
    </row>
    <row r="11791" spans="1:9" x14ac:dyDescent="0.2">
      <c r="A11791" s="134">
        <v>46025</v>
      </c>
      <c r="B11791" s="135">
        <f>YEAR(source[[#This Row],[report_date]])</f>
        <v>2026</v>
      </c>
      <c r="C11791" s="128">
        <f t="shared" si="551"/>
        <v>1</v>
      </c>
      <c r="D11791" s="136">
        <f t="shared" si="550"/>
        <v>1</v>
      </c>
      <c r="E11791" s="136">
        <f t="shared" si="552"/>
        <v>3</v>
      </c>
      <c r="F11791" s="137" t="s">
        <v>24</v>
      </c>
      <c r="G11791" s="128" t="str">
        <f>VLOOKUP(source[[#This Row],[lending_product_transform]],[3]Mapping!$B$4:$C$37,2,0)</f>
        <v>[Cake] - Cashloan</v>
      </c>
      <c r="H11791" s="128" t="str">
        <f>VLOOKUP(source[[#This Row],[lending_product_transform]],[3]Mapping!$B$3:$D$37,3,0)</f>
        <v>cashloan</v>
      </c>
      <c r="I11791" s="143">
        <v>169000000</v>
      </c>
    </row>
    <row r="11792" spans="1:9" x14ac:dyDescent="0.2">
      <c r="A11792" s="134">
        <v>46025</v>
      </c>
      <c r="B11792" s="135">
        <f>YEAR(source[[#This Row],[report_date]])</f>
        <v>2026</v>
      </c>
      <c r="C11792" s="128">
        <f t="shared" si="551"/>
        <v>1</v>
      </c>
      <c r="D11792" s="136">
        <f t="shared" si="550"/>
        <v>1</v>
      </c>
      <c r="E11792" s="136">
        <f t="shared" si="552"/>
        <v>3</v>
      </c>
      <c r="F11792" s="137" t="s">
        <v>24</v>
      </c>
      <c r="G11792" s="128" t="str">
        <f>VLOOKUP(source[[#This Row],[lending_product_transform]],[3]Mapping!$B$4:$C$37,2,0)</f>
        <v>[Cake] - Cashloan</v>
      </c>
      <c r="H11792" s="128" t="str">
        <f>VLOOKUP(source[[#This Row],[lending_product_transform]],[3]Mapping!$B$3:$D$37,3,0)</f>
        <v>cashloan</v>
      </c>
      <c r="I11792" s="143">
        <v>3154650000</v>
      </c>
    </row>
    <row r="11793" spans="1:9" x14ac:dyDescent="0.2">
      <c r="A11793" s="134">
        <v>46025</v>
      </c>
      <c r="B11793" s="135">
        <f>YEAR(source[[#This Row],[report_date]])</f>
        <v>2026</v>
      </c>
      <c r="C11793" s="128">
        <f t="shared" si="551"/>
        <v>1</v>
      </c>
      <c r="D11793" s="136">
        <f t="shared" ref="D11793:D11856" si="553">WEEKNUM(A11793,2)</f>
        <v>1</v>
      </c>
      <c r="E11793" s="136">
        <f t="shared" si="552"/>
        <v>3</v>
      </c>
      <c r="F11793" s="137" t="s">
        <v>24</v>
      </c>
      <c r="G11793" s="128" t="str">
        <f>VLOOKUP(source[[#This Row],[lending_product_transform]],[3]Mapping!$B$4:$C$37,2,0)</f>
        <v>[Cake] - Cashloan</v>
      </c>
      <c r="H11793" s="128" t="str">
        <f>VLOOKUP(source[[#This Row],[lending_product_transform]],[3]Mapping!$B$3:$D$37,3,0)</f>
        <v>cashloan</v>
      </c>
      <c r="I11793" s="143">
        <v>297150000</v>
      </c>
    </row>
    <row r="11794" spans="1:9" x14ac:dyDescent="0.2">
      <c r="A11794" s="134">
        <v>46025</v>
      </c>
      <c r="B11794" s="135">
        <f>YEAR(source[[#This Row],[report_date]])</f>
        <v>2026</v>
      </c>
      <c r="C11794" s="128">
        <f t="shared" si="551"/>
        <v>1</v>
      </c>
      <c r="D11794" s="136">
        <f t="shared" si="553"/>
        <v>1</v>
      </c>
      <c r="E11794" s="136">
        <f t="shared" si="552"/>
        <v>3</v>
      </c>
      <c r="F11794" s="137" t="s">
        <v>24</v>
      </c>
      <c r="G11794" s="128" t="str">
        <f>VLOOKUP(source[[#This Row],[lending_product_transform]],[3]Mapping!$B$4:$C$37,2,0)</f>
        <v>[Cake] - Cashloan</v>
      </c>
      <c r="H11794" s="128" t="str">
        <f>VLOOKUP(source[[#This Row],[lending_product_transform]],[3]Mapping!$B$3:$D$37,3,0)</f>
        <v>cashloan</v>
      </c>
      <c r="I11794" s="143">
        <v>52658904</v>
      </c>
    </row>
    <row r="11795" spans="1:9" x14ac:dyDescent="0.2">
      <c r="A11795" s="134">
        <v>46025</v>
      </c>
      <c r="B11795" s="135">
        <f>YEAR(source[[#This Row],[report_date]])</f>
        <v>2026</v>
      </c>
      <c r="C11795" s="128">
        <f t="shared" si="551"/>
        <v>1</v>
      </c>
      <c r="D11795" s="136">
        <f t="shared" si="553"/>
        <v>1</v>
      </c>
      <c r="E11795" s="136">
        <f t="shared" si="552"/>
        <v>3</v>
      </c>
      <c r="F11795" s="137" t="s">
        <v>24</v>
      </c>
      <c r="G11795" s="128" t="str">
        <f>VLOOKUP(source[[#This Row],[lending_product_transform]],[3]Mapping!$B$4:$C$37,2,0)</f>
        <v>[Cake] - Cashloan</v>
      </c>
      <c r="H11795" s="128" t="str">
        <f>VLOOKUP(source[[#This Row],[lending_product_transform]],[3]Mapping!$B$3:$D$37,3,0)</f>
        <v>cashloan</v>
      </c>
      <c r="I11795" s="143">
        <v>2503625665</v>
      </c>
    </row>
    <row r="11796" spans="1:9" x14ac:dyDescent="0.2">
      <c r="A11796" s="134">
        <v>46025</v>
      </c>
      <c r="B11796" s="135">
        <f>YEAR(source[[#This Row],[report_date]])</f>
        <v>2026</v>
      </c>
      <c r="C11796" s="128">
        <f t="shared" si="551"/>
        <v>1</v>
      </c>
      <c r="D11796" s="136">
        <f t="shared" si="553"/>
        <v>1</v>
      </c>
      <c r="E11796" s="136">
        <f t="shared" si="552"/>
        <v>3</v>
      </c>
      <c r="F11796" s="137" t="s">
        <v>24</v>
      </c>
      <c r="G11796" s="128" t="str">
        <f>VLOOKUP(source[[#This Row],[lending_product_transform]],[3]Mapping!$B$4:$C$37,2,0)</f>
        <v>[Cake] - Cashloan</v>
      </c>
      <c r="H11796" s="128" t="str">
        <f>VLOOKUP(source[[#This Row],[lending_product_transform]],[3]Mapping!$B$3:$D$37,3,0)</f>
        <v>cashloan</v>
      </c>
      <c r="I11796" s="143">
        <v>0</v>
      </c>
    </row>
    <row r="11797" spans="1:9" x14ac:dyDescent="0.2">
      <c r="A11797" s="134">
        <v>46025</v>
      </c>
      <c r="B11797" s="135">
        <f>YEAR(source[[#This Row],[report_date]])</f>
        <v>2026</v>
      </c>
      <c r="C11797" s="128">
        <f t="shared" si="551"/>
        <v>1</v>
      </c>
      <c r="D11797" s="136">
        <f t="shared" si="553"/>
        <v>1</v>
      </c>
      <c r="E11797" s="136">
        <f t="shared" si="552"/>
        <v>3</v>
      </c>
      <c r="F11797" s="137" t="s">
        <v>24</v>
      </c>
      <c r="G11797" s="128" t="str">
        <f>VLOOKUP(source[[#This Row],[lending_product_transform]],[3]Mapping!$B$4:$C$37,2,0)</f>
        <v>[Cake] - Cashloan</v>
      </c>
      <c r="H11797" s="128" t="str">
        <f>VLOOKUP(source[[#This Row],[lending_product_transform]],[3]Mapping!$B$3:$D$37,3,0)</f>
        <v>cashloan</v>
      </c>
      <c r="I11797" s="143">
        <v>676500000</v>
      </c>
    </row>
    <row r="11798" spans="1:9" x14ac:dyDescent="0.2">
      <c r="A11798" s="134">
        <v>46025</v>
      </c>
      <c r="B11798" s="135">
        <f>YEAR(source[[#This Row],[report_date]])</f>
        <v>2026</v>
      </c>
      <c r="C11798" s="128">
        <f t="shared" si="551"/>
        <v>1</v>
      </c>
      <c r="D11798" s="136">
        <f t="shared" si="553"/>
        <v>1</v>
      </c>
      <c r="E11798" s="136">
        <f t="shared" si="552"/>
        <v>3</v>
      </c>
      <c r="F11798" s="137" t="s">
        <v>24</v>
      </c>
      <c r="G11798" s="128" t="str">
        <f>VLOOKUP(source[[#This Row],[lending_product_transform]],[3]Mapping!$B$4:$C$37,2,0)</f>
        <v>[Cake] - Cashloan</v>
      </c>
      <c r="H11798" s="128" t="str">
        <f>VLOOKUP(source[[#This Row],[lending_product_transform]],[3]Mapping!$B$3:$D$37,3,0)</f>
        <v>cashloan</v>
      </c>
      <c r="I11798" s="143">
        <v>0</v>
      </c>
    </row>
    <row r="11799" spans="1:9" x14ac:dyDescent="0.2">
      <c r="A11799" s="134">
        <v>46025</v>
      </c>
      <c r="B11799" s="135">
        <f>YEAR(source[[#This Row],[report_date]])</f>
        <v>2026</v>
      </c>
      <c r="C11799" s="128">
        <f t="shared" si="551"/>
        <v>1</v>
      </c>
      <c r="D11799" s="136">
        <f t="shared" si="553"/>
        <v>1</v>
      </c>
      <c r="E11799" s="136">
        <f t="shared" si="552"/>
        <v>3</v>
      </c>
      <c r="F11799" s="137" t="s">
        <v>24</v>
      </c>
      <c r="G11799" s="128" t="str">
        <f>VLOOKUP(source[[#This Row],[lending_product_transform]],[3]Mapping!$B$4:$C$37,2,0)</f>
        <v>[Cake] - Cashloan</v>
      </c>
      <c r="H11799" s="128" t="str">
        <f>VLOOKUP(source[[#This Row],[lending_product_transform]],[3]Mapping!$B$3:$D$37,3,0)</f>
        <v>cashloan</v>
      </c>
      <c r="I11799" s="143">
        <v>15849000000</v>
      </c>
    </row>
    <row r="11800" spans="1:9" x14ac:dyDescent="0.2">
      <c r="A11800" s="134">
        <v>46025</v>
      </c>
      <c r="B11800" s="135">
        <f>YEAR(source[[#This Row],[report_date]])</f>
        <v>2026</v>
      </c>
      <c r="C11800" s="128">
        <f t="shared" si="551"/>
        <v>1</v>
      </c>
      <c r="D11800" s="136">
        <f t="shared" si="553"/>
        <v>1</v>
      </c>
      <c r="E11800" s="136">
        <f t="shared" si="552"/>
        <v>3</v>
      </c>
      <c r="F11800" s="137" t="s">
        <v>24</v>
      </c>
      <c r="G11800" s="128" t="str">
        <f>VLOOKUP(source[[#This Row],[lending_product_transform]],[3]Mapping!$B$4:$C$37,2,0)</f>
        <v>[Cake] - Cashloan</v>
      </c>
      <c r="H11800" s="128" t="str">
        <f>VLOOKUP(source[[#This Row],[lending_product_transform]],[3]Mapping!$B$3:$D$37,3,0)</f>
        <v>cashloan</v>
      </c>
      <c r="I11800" s="143">
        <v>0</v>
      </c>
    </row>
    <row r="11801" spans="1:9" x14ac:dyDescent="0.2">
      <c r="A11801" s="134">
        <v>46025</v>
      </c>
      <c r="B11801" s="135">
        <f>YEAR(source[[#This Row],[report_date]])</f>
        <v>2026</v>
      </c>
      <c r="C11801" s="128">
        <f t="shared" si="551"/>
        <v>1</v>
      </c>
      <c r="D11801" s="136">
        <f t="shared" si="553"/>
        <v>1</v>
      </c>
      <c r="E11801" s="136">
        <f t="shared" si="552"/>
        <v>3</v>
      </c>
      <c r="F11801" s="137" t="s">
        <v>24</v>
      </c>
      <c r="G11801" s="128" t="str">
        <f>VLOOKUP(source[[#This Row],[lending_product_transform]],[3]Mapping!$B$4:$C$37,2,0)</f>
        <v>[Cake] - Cashloan</v>
      </c>
      <c r="H11801" s="128" t="str">
        <f>VLOOKUP(source[[#This Row],[lending_product_transform]],[3]Mapping!$B$3:$D$37,3,0)</f>
        <v>cashloan</v>
      </c>
      <c r="I11801" s="143">
        <v>0</v>
      </c>
    </row>
    <row r="11802" spans="1:9" x14ac:dyDescent="0.2">
      <c r="A11802" s="134">
        <v>46025</v>
      </c>
      <c r="B11802" s="135">
        <f>YEAR(source[[#This Row],[report_date]])</f>
        <v>2026</v>
      </c>
      <c r="C11802" s="128">
        <f t="shared" si="551"/>
        <v>1</v>
      </c>
      <c r="D11802" s="136">
        <f t="shared" si="553"/>
        <v>1</v>
      </c>
      <c r="E11802" s="136">
        <f t="shared" si="552"/>
        <v>3</v>
      </c>
      <c r="F11802" s="137" t="s">
        <v>24</v>
      </c>
      <c r="G11802" s="128" t="str">
        <f>VLOOKUP(source[[#This Row],[lending_product_transform]],[3]Mapping!$B$4:$C$37,2,0)</f>
        <v>[Cake] - Cashloan</v>
      </c>
      <c r="H11802" s="128" t="str">
        <f>VLOOKUP(source[[#This Row],[lending_product_transform]],[3]Mapping!$B$3:$D$37,3,0)</f>
        <v>cashloan</v>
      </c>
      <c r="I11802" s="143">
        <v>0</v>
      </c>
    </row>
    <row r="11803" spans="1:9" x14ac:dyDescent="0.2">
      <c r="A11803" s="134">
        <v>46025</v>
      </c>
      <c r="B11803" s="135">
        <f>YEAR(source[[#This Row],[report_date]])</f>
        <v>2026</v>
      </c>
      <c r="C11803" s="128">
        <f t="shared" si="551"/>
        <v>1</v>
      </c>
      <c r="D11803" s="136">
        <f t="shared" si="553"/>
        <v>1</v>
      </c>
      <c r="E11803" s="136">
        <f t="shared" si="552"/>
        <v>3</v>
      </c>
      <c r="F11803" s="137" t="s">
        <v>24</v>
      </c>
      <c r="G11803" s="128" t="str">
        <f>VLOOKUP(source[[#This Row],[lending_product_transform]],[3]Mapping!$B$4:$C$37,2,0)</f>
        <v>[Cake] - Cashloan</v>
      </c>
      <c r="H11803" s="128" t="str">
        <f>VLOOKUP(source[[#This Row],[lending_product_transform]],[3]Mapping!$B$3:$D$37,3,0)</f>
        <v>cashloan</v>
      </c>
      <c r="I11803" s="143">
        <v>0</v>
      </c>
    </row>
    <row r="11804" spans="1:9" x14ac:dyDescent="0.2">
      <c r="A11804" s="134">
        <v>46025</v>
      </c>
      <c r="B11804" s="135">
        <f>YEAR(source[[#This Row],[report_date]])</f>
        <v>2026</v>
      </c>
      <c r="C11804" s="128">
        <f t="shared" si="551"/>
        <v>1</v>
      </c>
      <c r="D11804" s="136">
        <f t="shared" si="553"/>
        <v>1</v>
      </c>
      <c r="E11804" s="136">
        <f t="shared" si="552"/>
        <v>3</v>
      </c>
      <c r="F11804" s="137" t="s">
        <v>24</v>
      </c>
      <c r="G11804" s="128" t="str">
        <f>VLOOKUP(source[[#This Row],[lending_product_transform]],[3]Mapping!$B$4:$C$37,2,0)</f>
        <v>[Cake] - Cashloan</v>
      </c>
      <c r="H11804" s="128" t="str">
        <f>VLOOKUP(source[[#This Row],[lending_product_transform]],[3]Mapping!$B$3:$D$37,3,0)</f>
        <v>cashloan</v>
      </c>
      <c r="I11804" s="143">
        <v>9353772000</v>
      </c>
    </row>
    <row r="11805" spans="1:9" x14ac:dyDescent="0.2">
      <c r="A11805" s="134">
        <v>46025</v>
      </c>
      <c r="B11805" s="135">
        <f>YEAR(source[[#This Row],[report_date]])</f>
        <v>2026</v>
      </c>
      <c r="C11805" s="128">
        <f t="shared" si="551"/>
        <v>1</v>
      </c>
      <c r="D11805" s="136">
        <f t="shared" si="553"/>
        <v>1</v>
      </c>
      <c r="E11805" s="136">
        <f t="shared" si="552"/>
        <v>3</v>
      </c>
      <c r="F11805" s="137" t="s">
        <v>24</v>
      </c>
      <c r="G11805" s="128" t="str">
        <f>VLOOKUP(source[[#This Row],[lending_product_transform]],[3]Mapping!$B$4:$C$37,2,0)</f>
        <v>[Cake] - Cashloan</v>
      </c>
      <c r="H11805" s="128" t="str">
        <f>VLOOKUP(source[[#This Row],[lending_product_transform]],[3]Mapping!$B$3:$D$37,3,0)</f>
        <v>cashloan</v>
      </c>
      <c r="I11805" s="143">
        <v>494063226</v>
      </c>
    </row>
    <row r="11806" spans="1:9" x14ac:dyDescent="0.2">
      <c r="A11806" s="134">
        <v>46025</v>
      </c>
      <c r="B11806" s="135">
        <f>YEAR(source[[#This Row],[report_date]])</f>
        <v>2026</v>
      </c>
      <c r="C11806" s="128">
        <f t="shared" si="551"/>
        <v>1</v>
      </c>
      <c r="D11806" s="136">
        <f t="shared" si="553"/>
        <v>1</v>
      </c>
      <c r="E11806" s="136">
        <f t="shared" si="552"/>
        <v>3</v>
      </c>
      <c r="F11806" s="137" t="s">
        <v>24</v>
      </c>
      <c r="G11806" s="128" t="str">
        <f>VLOOKUP(source[[#This Row],[lending_product_transform]],[3]Mapping!$B$4:$C$37,2,0)</f>
        <v>[Cake] - Cashloan</v>
      </c>
      <c r="H11806" s="128" t="str">
        <f>VLOOKUP(source[[#This Row],[lending_product_transform]],[3]Mapping!$B$3:$D$37,3,0)</f>
        <v>cashloan</v>
      </c>
      <c r="I11806" s="143">
        <v>0</v>
      </c>
    </row>
    <row r="11807" spans="1:9" x14ac:dyDescent="0.2">
      <c r="A11807" s="134">
        <v>46025</v>
      </c>
      <c r="B11807" s="135">
        <f>YEAR(source[[#This Row],[report_date]])</f>
        <v>2026</v>
      </c>
      <c r="C11807" s="128">
        <f t="shared" si="551"/>
        <v>1</v>
      </c>
      <c r="D11807" s="136">
        <f t="shared" si="553"/>
        <v>1</v>
      </c>
      <c r="E11807" s="136">
        <f t="shared" si="552"/>
        <v>3</v>
      </c>
      <c r="F11807" s="137" t="s">
        <v>24</v>
      </c>
      <c r="G11807" s="128" t="str">
        <f>VLOOKUP(source[[#This Row],[lending_product_transform]],[3]Mapping!$B$4:$C$37,2,0)</f>
        <v>[Cake] - Cashloan</v>
      </c>
      <c r="H11807" s="128" t="str">
        <f>VLOOKUP(source[[#This Row],[lending_product_transform]],[3]Mapping!$B$3:$D$37,3,0)</f>
        <v>cashloan</v>
      </c>
      <c r="I11807" s="143">
        <v>58000000</v>
      </c>
    </row>
    <row r="11808" spans="1:9" x14ac:dyDescent="0.2">
      <c r="A11808" s="134">
        <v>46025</v>
      </c>
      <c r="B11808" s="135">
        <f>YEAR(source[[#This Row],[report_date]])</f>
        <v>2026</v>
      </c>
      <c r="C11808" s="128">
        <f t="shared" si="551"/>
        <v>1</v>
      </c>
      <c r="D11808" s="136">
        <f t="shared" si="553"/>
        <v>1</v>
      </c>
      <c r="E11808" s="136">
        <f t="shared" si="552"/>
        <v>3</v>
      </c>
      <c r="F11808" s="137" t="s">
        <v>24</v>
      </c>
      <c r="G11808" s="128" t="str">
        <f>VLOOKUP(source[[#This Row],[lending_product_transform]],[3]Mapping!$B$4:$C$37,2,0)</f>
        <v>[Cake] - Cashloan</v>
      </c>
      <c r="H11808" s="128" t="str">
        <f>VLOOKUP(source[[#This Row],[lending_product_transform]],[3]Mapping!$B$3:$D$37,3,0)</f>
        <v>cashloan</v>
      </c>
      <c r="I11808" s="143">
        <v>963500000</v>
      </c>
    </row>
    <row r="11809" spans="1:9" x14ac:dyDescent="0.2">
      <c r="A11809" s="134">
        <v>46025</v>
      </c>
      <c r="B11809" s="135">
        <f>YEAR(source[[#This Row],[report_date]])</f>
        <v>2026</v>
      </c>
      <c r="C11809" s="128">
        <f t="shared" si="551"/>
        <v>1</v>
      </c>
      <c r="D11809" s="136">
        <f t="shared" si="553"/>
        <v>1</v>
      </c>
      <c r="E11809" s="136">
        <f t="shared" si="552"/>
        <v>3</v>
      </c>
      <c r="F11809" s="137" t="s">
        <v>24</v>
      </c>
      <c r="G11809" s="128" t="str">
        <f>VLOOKUP(source[[#This Row],[lending_product_transform]],[3]Mapping!$B$4:$C$37,2,0)</f>
        <v>[Cake] - Cashloan</v>
      </c>
      <c r="H11809" s="128" t="str">
        <f>VLOOKUP(source[[#This Row],[lending_product_transform]],[3]Mapping!$B$3:$D$37,3,0)</f>
        <v>cashloan</v>
      </c>
      <c r="I11809" s="143">
        <v>333504000</v>
      </c>
    </row>
    <row r="11810" spans="1:9" x14ac:dyDescent="0.2">
      <c r="A11810" s="134">
        <v>46025</v>
      </c>
      <c r="B11810" s="135">
        <f>YEAR(source[[#This Row],[report_date]])</f>
        <v>2026</v>
      </c>
      <c r="C11810" s="128">
        <f t="shared" si="551"/>
        <v>1</v>
      </c>
      <c r="D11810" s="136">
        <f t="shared" si="553"/>
        <v>1</v>
      </c>
      <c r="E11810" s="136">
        <f t="shared" si="552"/>
        <v>3</v>
      </c>
      <c r="F11810" s="137" t="s">
        <v>24</v>
      </c>
      <c r="G11810" s="128" t="str">
        <f>VLOOKUP(source[[#This Row],[lending_product_transform]],[3]Mapping!$B$4:$C$37,2,0)</f>
        <v>[Cake] - Cashloan</v>
      </c>
      <c r="H11810" s="128" t="str">
        <f>VLOOKUP(source[[#This Row],[lending_product_transform]],[3]Mapping!$B$3:$D$37,3,0)</f>
        <v>cashloan</v>
      </c>
      <c r="I11810" s="143">
        <v>1276435037</v>
      </c>
    </row>
    <row r="11811" spans="1:9" x14ac:dyDescent="0.2">
      <c r="A11811" s="134">
        <v>46025</v>
      </c>
      <c r="B11811" s="135">
        <f>YEAR(source[[#This Row],[report_date]])</f>
        <v>2026</v>
      </c>
      <c r="C11811" s="128">
        <f t="shared" si="551"/>
        <v>1</v>
      </c>
      <c r="D11811" s="136">
        <f t="shared" si="553"/>
        <v>1</v>
      </c>
      <c r="E11811" s="136">
        <f t="shared" si="552"/>
        <v>3</v>
      </c>
      <c r="F11811" s="137" t="s">
        <v>24</v>
      </c>
      <c r="G11811" s="128" t="str">
        <f>VLOOKUP(source[[#This Row],[lending_product_transform]],[3]Mapping!$B$4:$C$37,2,0)</f>
        <v>[Cake] - Cashloan</v>
      </c>
      <c r="H11811" s="128" t="str">
        <f>VLOOKUP(source[[#This Row],[lending_product_transform]],[3]Mapping!$B$3:$D$37,3,0)</f>
        <v>cashloan</v>
      </c>
      <c r="I11811" s="143">
        <v>3123240000</v>
      </c>
    </row>
    <row r="11812" spans="1:9" x14ac:dyDescent="0.2">
      <c r="A11812" s="134">
        <v>46025</v>
      </c>
      <c r="B11812" s="135">
        <f>YEAR(source[[#This Row],[report_date]])</f>
        <v>2026</v>
      </c>
      <c r="C11812" s="128">
        <f t="shared" si="551"/>
        <v>1</v>
      </c>
      <c r="D11812" s="136">
        <f t="shared" si="553"/>
        <v>1</v>
      </c>
      <c r="E11812" s="136">
        <f t="shared" si="552"/>
        <v>3</v>
      </c>
      <c r="F11812" s="137" t="s">
        <v>24</v>
      </c>
      <c r="G11812" s="128" t="str">
        <f>VLOOKUP(source[[#This Row],[lending_product_transform]],[3]Mapping!$B$4:$C$37,2,0)</f>
        <v>[Cake] - Cashloan</v>
      </c>
      <c r="H11812" s="128" t="str">
        <f>VLOOKUP(source[[#This Row],[lending_product_transform]],[3]Mapping!$B$3:$D$37,3,0)</f>
        <v>cashloan</v>
      </c>
      <c r="I11812" s="143">
        <v>0</v>
      </c>
    </row>
    <row r="11813" spans="1:9" x14ac:dyDescent="0.2">
      <c r="A11813" s="134">
        <v>46026</v>
      </c>
      <c r="B11813" s="135">
        <f>YEAR(source[[#This Row],[report_date]])</f>
        <v>2026</v>
      </c>
      <c r="C11813" s="128">
        <f t="shared" si="551"/>
        <v>1</v>
      </c>
      <c r="D11813" s="136">
        <f t="shared" si="553"/>
        <v>1</v>
      </c>
      <c r="E11813" s="136">
        <f t="shared" si="552"/>
        <v>4</v>
      </c>
      <c r="F11813" s="137" t="s">
        <v>24</v>
      </c>
      <c r="G11813" s="128" t="str">
        <f>VLOOKUP(source[[#This Row],[lending_product_transform]],[3]Mapping!$B$4:$C$37,2,0)</f>
        <v>[Cake] - Cashloan</v>
      </c>
      <c r="H11813" s="128" t="str">
        <f>VLOOKUP(source[[#This Row],[lending_product_transform]],[3]Mapping!$B$3:$D$37,3,0)</f>
        <v>cashloan</v>
      </c>
      <c r="I11813" s="143">
        <v>596850000</v>
      </c>
    </row>
    <row r="11814" spans="1:9" x14ac:dyDescent="0.2">
      <c r="A11814" s="134">
        <v>46026</v>
      </c>
      <c r="B11814" s="135">
        <f>YEAR(source[[#This Row],[report_date]])</f>
        <v>2026</v>
      </c>
      <c r="C11814" s="128">
        <f t="shared" si="551"/>
        <v>1</v>
      </c>
      <c r="D11814" s="136">
        <f t="shared" si="553"/>
        <v>1</v>
      </c>
      <c r="E11814" s="136">
        <f t="shared" si="552"/>
        <v>4</v>
      </c>
      <c r="F11814" s="137" t="s">
        <v>24</v>
      </c>
      <c r="G11814" s="128" t="str">
        <f>VLOOKUP(source[[#This Row],[lending_product_transform]],[3]Mapping!$B$4:$C$37,2,0)</f>
        <v>[Cake] - Cashloan</v>
      </c>
      <c r="H11814" s="128" t="str">
        <f>VLOOKUP(source[[#This Row],[lending_product_transform]],[3]Mapping!$B$3:$D$37,3,0)</f>
        <v>cashloan</v>
      </c>
      <c r="I11814" s="143">
        <v>441460119</v>
      </c>
    </row>
    <row r="11815" spans="1:9" x14ac:dyDescent="0.2">
      <c r="A11815" s="134">
        <v>46026</v>
      </c>
      <c r="B11815" s="135">
        <f>YEAR(source[[#This Row],[report_date]])</f>
        <v>2026</v>
      </c>
      <c r="C11815" s="128">
        <f t="shared" si="551"/>
        <v>1</v>
      </c>
      <c r="D11815" s="136">
        <f t="shared" si="553"/>
        <v>1</v>
      </c>
      <c r="E11815" s="136">
        <f t="shared" si="552"/>
        <v>4</v>
      </c>
      <c r="F11815" s="137" t="s">
        <v>24</v>
      </c>
      <c r="G11815" s="128" t="str">
        <f>VLOOKUP(source[[#This Row],[lending_product_transform]],[3]Mapping!$B$4:$C$37,2,0)</f>
        <v>[Cake] - Cashloan</v>
      </c>
      <c r="H11815" s="128" t="str">
        <f>VLOOKUP(source[[#This Row],[lending_product_transform]],[3]Mapping!$B$3:$D$37,3,0)</f>
        <v>cashloan</v>
      </c>
      <c r="I11815" s="143">
        <v>13472970000</v>
      </c>
    </row>
    <row r="11816" spans="1:9" x14ac:dyDescent="0.2">
      <c r="A11816" s="134">
        <v>46026</v>
      </c>
      <c r="B11816" s="135">
        <f>YEAR(source[[#This Row],[report_date]])</f>
        <v>2026</v>
      </c>
      <c r="C11816" s="128">
        <f t="shared" si="551"/>
        <v>1</v>
      </c>
      <c r="D11816" s="136">
        <f t="shared" si="553"/>
        <v>1</v>
      </c>
      <c r="E11816" s="136">
        <f t="shared" si="552"/>
        <v>4</v>
      </c>
      <c r="F11816" s="137" t="s">
        <v>24</v>
      </c>
      <c r="G11816" s="128" t="str">
        <f>VLOOKUP(source[[#This Row],[lending_product_transform]],[3]Mapping!$B$4:$C$37,2,0)</f>
        <v>[Cake] - Cashloan</v>
      </c>
      <c r="H11816" s="128" t="str">
        <f>VLOOKUP(source[[#This Row],[lending_product_transform]],[3]Mapping!$B$3:$D$37,3,0)</f>
        <v>cashloan</v>
      </c>
      <c r="I11816" s="143">
        <v>2438419059</v>
      </c>
    </row>
    <row r="11817" spans="1:9" x14ac:dyDescent="0.2">
      <c r="A11817" s="134">
        <v>46026</v>
      </c>
      <c r="B11817" s="135">
        <f>YEAR(source[[#This Row],[report_date]])</f>
        <v>2026</v>
      </c>
      <c r="C11817" s="128">
        <f t="shared" si="551"/>
        <v>1</v>
      </c>
      <c r="D11817" s="136">
        <f t="shared" si="553"/>
        <v>1</v>
      </c>
      <c r="E11817" s="136">
        <f t="shared" si="552"/>
        <v>4</v>
      </c>
      <c r="F11817" s="137" t="s">
        <v>24</v>
      </c>
      <c r="G11817" s="128" t="str">
        <f>VLOOKUP(source[[#This Row],[lending_product_transform]],[3]Mapping!$B$4:$C$37,2,0)</f>
        <v>[Cake] - Cashloan</v>
      </c>
      <c r="H11817" s="128" t="str">
        <f>VLOOKUP(source[[#This Row],[lending_product_transform]],[3]Mapping!$B$3:$D$37,3,0)</f>
        <v>cashloan</v>
      </c>
      <c r="I11817" s="143">
        <v>12509640000</v>
      </c>
    </row>
    <row r="11818" spans="1:9" x14ac:dyDescent="0.2">
      <c r="A11818" s="134">
        <v>46026</v>
      </c>
      <c r="B11818" s="135">
        <f>YEAR(source[[#This Row],[report_date]])</f>
        <v>2026</v>
      </c>
      <c r="C11818" s="128">
        <f t="shared" si="551"/>
        <v>1</v>
      </c>
      <c r="D11818" s="136">
        <f t="shared" si="553"/>
        <v>1</v>
      </c>
      <c r="E11818" s="136">
        <f t="shared" si="552"/>
        <v>4</v>
      </c>
      <c r="F11818" s="137" t="s">
        <v>24</v>
      </c>
      <c r="G11818" s="128" t="str">
        <f>VLOOKUP(source[[#This Row],[lending_product_transform]],[3]Mapping!$B$4:$C$37,2,0)</f>
        <v>[Cake] - Cashloan</v>
      </c>
      <c r="H11818" s="128" t="str">
        <f>VLOOKUP(source[[#This Row],[lending_product_transform]],[3]Mapping!$B$3:$D$37,3,0)</f>
        <v>cashloan</v>
      </c>
      <c r="I11818" s="143">
        <v>70640202</v>
      </c>
    </row>
    <row r="11819" spans="1:9" x14ac:dyDescent="0.2">
      <c r="A11819" s="134">
        <v>46026</v>
      </c>
      <c r="B11819" s="135">
        <f>YEAR(source[[#This Row],[report_date]])</f>
        <v>2026</v>
      </c>
      <c r="C11819" s="128">
        <f t="shared" si="551"/>
        <v>1</v>
      </c>
      <c r="D11819" s="136">
        <f t="shared" si="553"/>
        <v>1</v>
      </c>
      <c r="E11819" s="136">
        <f t="shared" si="552"/>
        <v>4</v>
      </c>
      <c r="F11819" s="137" t="s">
        <v>24</v>
      </c>
      <c r="G11819" s="128" t="str">
        <f>VLOOKUP(source[[#This Row],[lending_product_transform]],[3]Mapping!$B$4:$C$37,2,0)</f>
        <v>[Cake] - Cashloan</v>
      </c>
      <c r="H11819" s="128" t="str">
        <f>VLOOKUP(source[[#This Row],[lending_product_transform]],[3]Mapping!$B$3:$D$37,3,0)</f>
        <v>cashloan</v>
      </c>
      <c r="I11819" s="143">
        <v>0</v>
      </c>
    </row>
    <row r="11820" spans="1:9" x14ac:dyDescent="0.2">
      <c r="A11820" s="134">
        <v>46026</v>
      </c>
      <c r="B11820" s="135">
        <f>YEAR(source[[#This Row],[report_date]])</f>
        <v>2026</v>
      </c>
      <c r="C11820" s="128">
        <f t="shared" si="551"/>
        <v>1</v>
      </c>
      <c r="D11820" s="136">
        <f t="shared" si="553"/>
        <v>1</v>
      </c>
      <c r="E11820" s="136">
        <f t="shared" si="552"/>
        <v>4</v>
      </c>
      <c r="F11820" s="137" t="s">
        <v>24</v>
      </c>
      <c r="G11820" s="128" t="str">
        <f>VLOOKUP(source[[#This Row],[lending_product_transform]],[3]Mapping!$B$4:$C$37,2,0)</f>
        <v>[Cake] - Cashloan</v>
      </c>
      <c r="H11820" s="128" t="str">
        <f>VLOOKUP(source[[#This Row],[lending_product_transform]],[3]Mapping!$B$3:$D$37,3,0)</f>
        <v>cashloan</v>
      </c>
      <c r="I11820" s="143">
        <v>4516770000</v>
      </c>
    </row>
    <row r="11821" spans="1:9" x14ac:dyDescent="0.2">
      <c r="A11821" s="134">
        <v>46026</v>
      </c>
      <c r="B11821" s="135">
        <f>YEAR(source[[#This Row],[report_date]])</f>
        <v>2026</v>
      </c>
      <c r="C11821" s="128">
        <f t="shared" si="551"/>
        <v>1</v>
      </c>
      <c r="D11821" s="136">
        <f t="shared" si="553"/>
        <v>1</v>
      </c>
      <c r="E11821" s="136">
        <f t="shared" si="552"/>
        <v>4</v>
      </c>
      <c r="F11821" s="137" t="s">
        <v>24</v>
      </c>
      <c r="G11821" s="128" t="str">
        <f>VLOOKUP(source[[#This Row],[lending_product_transform]],[3]Mapping!$B$4:$C$37,2,0)</f>
        <v>[Cake] - Cashloan</v>
      </c>
      <c r="H11821" s="128" t="str">
        <f>VLOOKUP(source[[#This Row],[lending_product_transform]],[3]Mapping!$B$3:$D$37,3,0)</f>
        <v>cashloan</v>
      </c>
      <c r="I11821" s="143">
        <v>369950000</v>
      </c>
    </row>
    <row r="11822" spans="1:9" x14ac:dyDescent="0.2">
      <c r="A11822" s="134">
        <v>46026</v>
      </c>
      <c r="B11822" s="135">
        <f>YEAR(source[[#This Row],[report_date]])</f>
        <v>2026</v>
      </c>
      <c r="C11822" s="128">
        <f t="shared" si="551"/>
        <v>1</v>
      </c>
      <c r="D11822" s="136">
        <f t="shared" si="553"/>
        <v>1</v>
      </c>
      <c r="E11822" s="136">
        <f t="shared" si="552"/>
        <v>4</v>
      </c>
      <c r="F11822" s="137" t="s">
        <v>24</v>
      </c>
      <c r="G11822" s="128" t="str">
        <f>VLOOKUP(source[[#This Row],[lending_product_transform]],[3]Mapping!$B$4:$C$37,2,0)</f>
        <v>[Cake] - Cashloan</v>
      </c>
      <c r="H11822" s="128" t="str">
        <f>VLOOKUP(source[[#This Row],[lending_product_transform]],[3]Mapping!$B$3:$D$37,3,0)</f>
        <v>cashloan</v>
      </c>
      <c r="I11822" s="143">
        <v>70201029</v>
      </c>
    </row>
    <row r="11823" spans="1:9" x14ac:dyDescent="0.2">
      <c r="A11823" s="134">
        <v>46026</v>
      </c>
      <c r="B11823" s="135">
        <f>YEAR(source[[#This Row],[report_date]])</f>
        <v>2026</v>
      </c>
      <c r="C11823" s="128">
        <f t="shared" si="551"/>
        <v>1</v>
      </c>
      <c r="D11823" s="136">
        <f t="shared" si="553"/>
        <v>1</v>
      </c>
      <c r="E11823" s="136">
        <f t="shared" si="552"/>
        <v>4</v>
      </c>
      <c r="F11823" s="137" t="s">
        <v>24</v>
      </c>
      <c r="G11823" s="128" t="str">
        <f>VLOOKUP(source[[#This Row],[lending_product_transform]],[3]Mapping!$B$4:$C$37,2,0)</f>
        <v>[Cake] - Cashloan</v>
      </c>
      <c r="H11823" s="128" t="str">
        <f>VLOOKUP(source[[#This Row],[lending_product_transform]],[3]Mapping!$B$3:$D$37,3,0)</f>
        <v>cashloan</v>
      </c>
      <c r="I11823" s="143">
        <v>2874242217</v>
      </c>
    </row>
    <row r="11824" spans="1:9" x14ac:dyDescent="0.2">
      <c r="A11824" s="134">
        <v>46026</v>
      </c>
      <c r="B11824" s="135">
        <f>YEAR(source[[#This Row],[report_date]])</f>
        <v>2026</v>
      </c>
      <c r="C11824" s="128">
        <f t="shared" si="551"/>
        <v>1</v>
      </c>
      <c r="D11824" s="136">
        <f t="shared" si="553"/>
        <v>1</v>
      </c>
      <c r="E11824" s="136">
        <f t="shared" si="552"/>
        <v>4</v>
      </c>
      <c r="F11824" s="137" t="s">
        <v>24</v>
      </c>
      <c r="G11824" s="128" t="str">
        <f>VLOOKUP(source[[#This Row],[lending_product_transform]],[3]Mapping!$B$4:$C$37,2,0)</f>
        <v>[Cake] - Cashloan</v>
      </c>
      <c r="H11824" s="128" t="str">
        <f>VLOOKUP(source[[#This Row],[lending_product_transform]],[3]Mapping!$B$3:$D$37,3,0)</f>
        <v>cashloan</v>
      </c>
      <c r="I11824" s="143">
        <v>0</v>
      </c>
    </row>
    <row r="11825" spans="1:9" x14ac:dyDescent="0.2">
      <c r="A11825" s="134">
        <v>46026</v>
      </c>
      <c r="B11825" s="135">
        <f>YEAR(source[[#This Row],[report_date]])</f>
        <v>2026</v>
      </c>
      <c r="C11825" s="128">
        <f t="shared" si="551"/>
        <v>1</v>
      </c>
      <c r="D11825" s="136">
        <f t="shared" si="553"/>
        <v>1</v>
      </c>
      <c r="E11825" s="136">
        <f t="shared" si="552"/>
        <v>4</v>
      </c>
      <c r="F11825" s="137" t="s">
        <v>24</v>
      </c>
      <c r="G11825" s="128" t="str">
        <f>VLOOKUP(source[[#This Row],[lending_product_transform]],[3]Mapping!$B$4:$C$37,2,0)</f>
        <v>[Cake] - Cashloan</v>
      </c>
      <c r="H11825" s="128" t="str">
        <f>VLOOKUP(source[[#This Row],[lending_product_transform]],[3]Mapping!$B$3:$D$37,3,0)</f>
        <v>cashloan</v>
      </c>
      <c r="I11825" s="143">
        <v>366000000</v>
      </c>
    </row>
    <row r="11826" spans="1:9" x14ac:dyDescent="0.2">
      <c r="A11826" s="134">
        <v>46026</v>
      </c>
      <c r="B11826" s="135">
        <f>YEAR(source[[#This Row],[report_date]])</f>
        <v>2026</v>
      </c>
      <c r="C11826" s="128">
        <f t="shared" si="551"/>
        <v>1</v>
      </c>
      <c r="D11826" s="136">
        <f t="shared" si="553"/>
        <v>1</v>
      </c>
      <c r="E11826" s="136">
        <f t="shared" si="552"/>
        <v>4</v>
      </c>
      <c r="F11826" s="137" t="s">
        <v>24</v>
      </c>
      <c r="G11826" s="128" t="str">
        <f>VLOOKUP(source[[#This Row],[lending_product_transform]],[3]Mapping!$B$4:$C$37,2,0)</f>
        <v>[Cake] - Cashloan</v>
      </c>
      <c r="H11826" s="128" t="str">
        <f>VLOOKUP(source[[#This Row],[lending_product_transform]],[3]Mapping!$B$3:$D$37,3,0)</f>
        <v>cashloan</v>
      </c>
      <c r="I11826" s="143">
        <v>0</v>
      </c>
    </row>
    <row r="11827" spans="1:9" x14ac:dyDescent="0.2">
      <c r="A11827" s="134">
        <v>46026</v>
      </c>
      <c r="B11827" s="135">
        <f>YEAR(source[[#This Row],[report_date]])</f>
        <v>2026</v>
      </c>
      <c r="C11827" s="128">
        <f t="shared" si="551"/>
        <v>1</v>
      </c>
      <c r="D11827" s="136">
        <f t="shared" si="553"/>
        <v>1</v>
      </c>
      <c r="E11827" s="136">
        <f t="shared" si="552"/>
        <v>4</v>
      </c>
      <c r="F11827" s="137" t="s">
        <v>24</v>
      </c>
      <c r="G11827" s="128" t="str">
        <f>VLOOKUP(source[[#This Row],[lending_product_transform]],[3]Mapping!$B$4:$C$37,2,0)</f>
        <v>[Cake] - Cashloan</v>
      </c>
      <c r="H11827" s="128" t="str">
        <f>VLOOKUP(source[[#This Row],[lending_product_transform]],[3]Mapping!$B$3:$D$37,3,0)</f>
        <v>cashloan</v>
      </c>
      <c r="I11827" s="143">
        <v>14323530000</v>
      </c>
    </row>
    <row r="11828" spans="1:9" x14ac:dyDescent="0.2">
      <c r="A11828" s="134">
        <v>46026</v>
      </c>
      <c r="B11828" s="135">
        <f>YEAR(source[[#This Row],[report_date]])</f>
        <v>2026</v>
      </c>
      <c r="C11828" s="128">
        <f t="shared" si="551"/>
        <v>1</v>
      </c>
      <c r="D11828" s="136">
        <f t="shared" si="553"/>
        <v>1</v>
      </c>
      <c r="E11828" s="136">
        <f t="shared" si="552"/>
        <v>4</v>
      </c>
      <c r="F11828" s="137" t="s">
        <v>24</v>
      </c>
      <c r="G11828" s="128" t="str">
        <f>VLOOKUP(source[[#This Row],[lending_product_transform]],[3]Mapping!$B$4:$C$37,2,0)</f>
        <v>[Cake] - Cashloan</v>
      </c>
      <c r="H11828" s="128" t="str">
        <f>VLOOKUP(source[[#This Row],[lending_product_transform]],[3]Mapping!$B$3:$D$37,3,0)</f>
        <v>cashloan</v>
      </c>
      <c r="I11828" s="143">
        <v>0</v>
      </c>
    </row>
    <row r="11829" spans="1:9" x14ac:dyDescent="0.2">
      <c r="A11829" s="134">
        <v>46026</v>
      </c>
      <c r="B11829" s="135">
        <f>YEAR(source[[#This Row],[report_date]])</f>
        <v>2026</v>
      </c>
      <c r="C11829" s="128">
        <f t="shared" si="551"/>
        <v>1</v>
      </c>
      <c r="D11829" s="136">
        <f t="shared" si="553"/>
        <v>1</v>
      </c>
      <c r="E11829" s="136">
        <f t="shared" si="552"/>
        <v>4</v>
      </c>
      <c r="F11829" s="137" t="s">
        <v>24</v>
      </c>
      <c r="G11829" s="128" t="str">
        <f>VLOOKUP(source[[#This Row],[lending_product_transform]],[3]Mapping!$B$4:$C$37,2,0)</f>
        <v>[Cake] - Cashloan</v>
      </c>
      <c r="H11829" s="128" t="str">
        <f>VLOOKUP(source[[#This Row],[lending_product_transform]],[3]Mapping!$B$3:$D$37,3,0)</f>
        <v>cashloan</v>
      </c>
      <c r="I11829" s="143">
        <v>0</v>
      </c>
    </row>
    <row r="11830" spans="1:9" x14ac:dyDescent="0.2">
      <c r="A11830" s="134">
        <v>46026</v>
      </c>
      <c r="B11830" s="135">
        <f>YEAR(source[[#This Row],[report_date]])</f>
        <v>2026</v>
      </c>
      <c r="C11830" s="128">
        <f t="shared" ref="C11830:C11893" si="554">MONTH(A11830)</f>
        <v>1</v>
      </c>
      <c r="D11830" s="136">
        <f t="shared" si="553"/>
        <v>1</v>
      </c>
      <c r="E11830" s="136">
        <f t="shared" ref="E11830:E11893" si="555">DAY(A11830)</f>
        <v>4</v>
      </c>
      <c r="F11830" s="137" t="s">
        <v>24</v>
      </c>
      <c r="G11830" s="128" t="str">
        <f>VLOOKUP(source[[#This Row],[lending_product_transform]],[3]Mapping!$B$4:$C$37,2,0)</f>
        <v>[Cake] - Cashloan</v>
      </c>
      <c r="H11830" s="128" t="str">
        <f>VLOOKUP(source[[#This Row],[lending_product_transform]],[3]Mapping!$B$3:$D$37,3,0)</f>
        <v>cashloan</v>
      </c>
      <c r="I11830" s="143">
        <v>0</v>
      </c>
    </row>
    <row r="11831" spans="1:9" x14ac:dyDescent="0.2">
      <c r="A11831" s="134">
        <v>46026</v>
      </c>
      <c r="B11831" s="135">
        <f>YEAR(source[[#This Row],[report_date]])</f>
        <v>2026</v>
      </c>
      <c r="C11831" s="128">
        <f t="shared" si="554"/>
        <v>1</v>
      </c>
      <c r="D11831" s="136">
        <f t="shared" si="553"/>
        <v>1</v>
      </c>
      <c r="E11831" s="136">
        <f t="shared" si="555"/>
        <v>4</v>
      </c>
      <c r="F11831" s="137" t="s">
        <v>24</v>
      </c>
      <c r="G11831" s="128" t="str">
        <f>VLOOKUP(source[[#This Row],[lending_product_transform]],[3]Mapping!$B$4:$C$37,2,0)</f>
        <v>[Cake] - Cashloan</v>
      </c>
      <c r="H11831" s="128" t="str">
        <f>VLOOKUP(source[[#This Row],[lending_product_transform]],[3]Mapping!$B$3:$D$37,3,0)</f>
        <v>cashloan</v>
      </c>
      <c r="I11831" s="143">
        <v>0</v>
      </c>
    </row>
    <row r="11832" spans="1:9" x14ac:dyDescent="0.2">
      <c r="A11832" s="134">
        <v>46026</v>
      </c>
      <c r="B11832" s="135">
        <f>YEAR(source[[#This Row],[report_date]])</f>
        <v>2026</v>
      </c>
      <c r="C11832" s="128">
        <f t="shared" si="554"/>
        <v>1</v>
      </c>
      <c r="D11832" s="136">
        <f t="shared" si="553"/>
        <v>1</v>
      </c>
      <c r="E11832" s="136">
        <f t="shared" si="555"/>
        <v>4</v>
      </c>
      <c r="F11832" s="137" t="s">
        <v>24</v>
      </c>
      <c r="G11832" s="128" t="str">
        <f>VLOOKUP(source[[#This Row],[lending_product_transform]],[3]Mapping!$B$4:$C$37,2,0)</f>
        <v>[Cake] - Cashloan</v>
      </c>
      <c r="H11832" s="128" t="str">
        <f>VLOOKUP(source[[#This Row],[lending_product_transform]],[3]Mapping!$B$3:$D$37,3,0)</f>
        <v>cashloan</v>
      </c>
      <c r="I11832" s="143">
        <v>9263484000</v>
      </c>
    </row>
    <row r="11833" spans="1:9" x14ac:dyDescent="0.2">
      <c r="A11833" s="134">
        <v>46026</v>
      </c>
      <c r="B11833" s="135">
        <f>YEAR(source[[#This Row],[report_date]])</f>
        <v>2026</v>
      </c>
      <c r="C11833" s="128">
        <f t="shared" si="554"/>
        <v>1</v>
      </c>
      <c r="D11833" s="136">
        <f t="shared" si="553"/>
        <v>1</v>
      </c>
      <c r="E11833" s="136">
        <f t="shared" si="555"/>
        <v>4</v>
      </c>
      <c r="F11833" s="137" t="s">
        <v>24</v>
      </c>
      <c r="G11833" s="128" t="str">
        <f>VLOOKUP(source[[#This Row],[lending_product_transform]],[3]Mapping!$B$4:$C$37,2,0)</f>
        <v>[Cake] - Cashloan</v>
      </c>
      <c r="H11833" s="128" t="str">
        <f>VLOOKUP(source[[#This Row],[lending_product_transform]],[3]Mapping!$B$3:$D$37,3,0)</f>
        <v>cashloan</v>
      </c>
      <c r="I11833" s="143">
        <v>637812477</v>
      </c>
    </row>
    <row r="11834" spans="1:9" x14ac:dyDescent="0.2">
      <c r="A11834" s="134">
        <v>46026</v>
      </c>
      <c r="B11834" s="135">
        <f>YEAR(source[[#This Row],[report_date]])</f>
        <v>2026</v>
      </c>
      <c r="C11834" s="128">
        <f t="shared" si="554"/>
        <v>1</v>
      </c>
      <c r="D11834" s="136">
        <f t="shared" si="553"/>
        <v>1</v>
      </c>
      <c r="E11834" s="136">
        <f t="shared" si="555"/>
        <v>4</v>
      </c>
      <c r="F11834" s="137" t="s">
        <v>24</v>
      </c>
      <c r="G11834" s="128" t="str">
        <f>VLOOKUP(source[[#This Row],[lending_product_transform]],[3]Mapping!$B$4:$C$37,2,0)</f>
        <v>[Cake] - Cashloan</v>
      </c>
      <c r="H11834" s="128" t="str">
        <f>VLOOKUP(source[[#This Row],[lending_product_transform]],[3]Mapping!$B$3:$D$37,3,0)</f>
        <v>cashloan</v>
      </c>
      <c r="I11834" s="143">
        <v>21000000</v>
      </c>
    </row>
    <row r="11835" spans="1:9" x14ac:dyDescent="0.2">
      <c r="A11835" s="134">
        <v>46026</v>
      </c>
      <c r="B11835" s="135">
        <f>YEAR(source[[#This Row],[report_date]])</f>
        <v>2026</v>
      </c>
      <c r="C11835" s="128">
        <f t="shared" si="554"/>
        <v>1</v>
      </c>
      <c r="D11835" s="136">
        <f t="shared" si="553"/>
        <v>1</v>
      </c>
      <c r="E11835" s="136">
        <f t="shared" si="555"/>
        <v>4</v>
      </c>
      <c r="F11835" s="137" t="s">
        <v>24</v>
      </c>
      <c r="G11835" s="128" t="str">
        <f>VLOOKUP(source[[#This Row],[lending_product_transform]],[3]Mapping!$B$4:$C$37,2,0)</f>
        <v>[Cake] - Cashloan</v>
      </c>
      <c r="H11835" s="128" t="str">
        <f>VLOOKUP(source[[#This Row],[lending_product_transform]],[3]Mapping!$B$3:$D$37,3,0)</f>
        <v>cashloan</v>
      </c>
      <c r="I11835" s="143">
        <v>32000000</v>
      </c>
    </row>
    <row r="11836" spans="1:9" x14ac:dyDescent="0.2">
      <c r="A11836" s="134">
        <v>46026</v>
      </c>
      <c r="B11836" s="135">
        <f>YEAR(source[[#This Row],[report_date]])</f>
        <v>2026</v>
      </c>
      <c r="C11836" s="128">
        <f t="shared" si="554"/>
        <v>1</v>
      </c>
      <c r="D11836" s="136">
        <f t="shared" si="553"/>
        <v>1</v>
      </c>
      <c r="E11836" s="136">
        <f t="shared" si="555"/>
        <v>4</v>
      </c>
      <c r="F11836" s="137" t="s">
        <v>24</v>
      </c>
      <c r="G11836" s="128" t="str">
        <f>VLOOKUP(source[[#This Row],[lending_product_transform]],[3]Mapping!$B$4:$C$37,2,0)</f>
        <v>[Cake] - Cashloan</v>
      </c>
      <c r="H11836" s="128" t="str">
        <f>VLOOKUP(source[[#This Row],[lending_product_transform]],[3]Mapping!$B$3:$D$37,3,0)</f>
        <v>cashloan</v>
      </c>
      <c r="I11836" s="143">
        <v>745310000</v>
      </c>
    </row>
    <row r="11837" spans="1:9" x14ac:dyDescent="0.2">
      <c r="A11837" s="134">
        <v>46026</v>
      </c>
      <c r="B11837" s="135">
        <f>YEAR(source[[#This Row],[report_date]])</f>
        <v>2026</v>
      </c>
      <c r="C11837" s="128">
        <f t="shared" si="554"/>
        <v>1</v>
      </c>
      <c r="D11837" s="136">
        <f t="shared" si="553"/>
        <v>1</v>
      </c>
      <c r="E11837" s="136">
        <f t="shared" si="555"/>
        <v>4</v>
      </c>
      <c r="F11837" s="137" t="s">
        <v>24</v>
      </c>
      <c r="G11837" s="128" t="str">
        <f>VLOOKUP(source[[#This Row],[lending_product_transform]],[3]Mapping!$B$4:$C$37,2,0)</f>
        <v>[Cake] - Cashloan</v>
      </c>
      <c r="H11837" s="128" t="str">
        <f>VLOOKUP(source[[#This Row],[lending_product_transform]],[3]Mapping!$B$3:$D$37,3,0)</f>
        <v>cashloan</v>
      </c>
      <c r="I11837" s="143">
        <v>302616000</v>
      </c>
    </row>
    <row r="11838" spans="1:9" x14ac:dyDescent="0.2">
      <c r="A11838" s="134">
        <v>46026</v>
      </c>
      <c r="B11838" s="135">
        <f>YEAR(source[[#This Row],[report_date]])</f>
        <v>2026</v>
      </c>
      <c r="C11838" s="128">
        <f t="shared" si="554"/>
        <v>1</v>
      </c>
      <c r="D11838" s="136">
        <f t="shared" si="553"/>
        <v>1</v>
      </c>
      <c r="E11838" s="136">
        <f t="shared" si="555"/>
        <v>4</v>
      </c>
      <c r="F11838" s="137" t="s">
        <v>24</v>
      </c>
      <c r="G11838" s="128" t="str">
        <f>VLOOKUP(source[[#This Row],[lending_product_transform]],[3]Mapping!$B$4:$C$37,2,0)</f>
        <v>[Cake] - Cashloan</v>
      </c>
      <c r="H11838" s="128" t="str">
        <f>VLOOKUP(source[[#This Row],[lending_product_transform]],[3]Mapping!$B$3:$D$37,3,0)</f>
        <v>cashloan</v>
      </c>
      <c r="I11838" s="143">
        <v>1757446176</v>
      </c>
    </row>
    <row r="11839" spans="1:9" x14ac:dyDescent="0.2">
      <c r="A11839" s="134">
        <v>46026</v>
      </c>
      <c r="B11839" s="135">
        <f>YEAR(source[[#This Row],[report_date]])</f>
        <v>2026</v>
      </c>
      <c r="C11839" s="128">
        <f t="shared" si="554"/>
        <v>1</v>
      </c>
      <c r="D11839" s="136">
        <f t="shared" si="553"/>
        <v>1</v>
      </c>
      <c r="E11839" s="136">
        <f t="shared" si="555"/>
        <v>4</v>
      </c>
      <c r="F11839" s="137" t="s">
        <v>24</v>
      </c>
      <c r="G11839" s="128" t="str">
        <f>VLOOKUP(source[[#This Row],[lending_product_transform]],[3]Mapping!$B$4:$C$37,2,0)</f>
        <v>[Cake] - Cashloan</v>
      </c>
      <c r="H11839" s="128" t="str">
        <f>VLOOKUP(source[[#This Row],[lending_product_transform]],[3]Mapping!$B$3:$D$37,3,0)</f>
        <v>cashloan</v>
      </c>
      <c r="I11839" s="143">
        <v>3292270000</v>
      </c>
    </row>
    <row r="11840" spans="1:9" x14ac:dyDescent="0.2">
      <c r="A11840" s="134">
        <v>46026</v>
      </c>
      <c r="B11840" s="135">
        <f>YEAR(source[[#This Row],[report_date]])</f>
        <v>2026</v>
      </c>
      <c r="C11840" s="128">
        <f t="shared" si="554"/>
        <v>1</v>
      </c>
      <c r="D11840" s="136">
        <f t="shared" si="553"/>
        <v>1</v>
      </c>
      <c r="E11840" s="136">
        <f t="shared" si="555"/>
        <v>4</v>
      </c>
      <c r="F11840" s="137" t="s">
        <v>24</v>
      </c>
      <c r="G11840" s="128" t="str">
        <f>VLOOKUP(source[[#This Row],[lending_product_transform]],[3]Mapping!$B$4:$C$37,2,0)</f>
        <v>[Cake] - Cashloan</v>
      </c>
      <c r="H11840" s="128" t="str">
        <f>VLOOKUP(source[[#This Row],[lending_product_transform]],[3]Mapping!$B$3:$D$37,3,0)</f>
        <v>cashloan</v>
      </c>
      <c r="I11840" s="143">
        <v>0</v>
      </c>
    </row>
    <row r="11841" spans="1:9" x14ac:dyDescent="0.2">
      <c r="A11841" s="134">
        <v>46027</v>
      </c>
      <c r="B11841" s="135">
        <f>YEAR(source[[#This Row],[report_date]])</f>
        <v>2026</v>
      </c>
      <c r="C11841" s="128">
        <f t="shared" si="554"/>
        <v>1</v>
      </c>
      <c r="D11841" s="136">
        <f t="shared" si="553"/>
        <v>2</v>
      </c>
      <c r="E11841" s="136">
        <f t="shared" si="555"/>
        <v>5</v>
      </c>
      <c r="F11841" s="137" t="s">
        <v>24</v>
      </c>
      <c r="G11841" s="128" t="str">
        <f>VLOOKUP(source[[#This Row],[lending_product_transform]],[3]Mapping!$B$4:$C$37,2,0)</f>
        <v>[Cake] - Cashloan</v>
      </c>
      <c r="H11841" s="128" t="str">
        <f>VLOOKUP(source[[#This Row],[lending_product_transform]],[3]Mapping!$B$3:$D$37,3,0)</f>
        <v>cashloan</v>
      </c>
      <c r="I11841" s="143">
        <v>687250000</v>
      </c>
    </row>
    <row r="11842" spans="1:9" x14ac:dyDescent="0.2">
      <c r="A11842" s="134">
        <v>46027</v>
      </c>
      <c r="B11842" s="135">
        <f>YEAR(source[[#This Row],[report_date]])</f>
        <v>2026</v>
      </c>
      <c r="C11842" s="128">
        <f t="shared" si="554"/>
        <v>1</v>
      </c>
      <c r="D11842" s="136">
        <f t="shared" si="553"/>
        <v>2</v>
      </c>
      <c r="E11842" s="136">
        <f t="shared" si="555"/>
        <v>5</v>
      </c>
      <c r="F11842" s="137" t="s">
        <v>24</v>
      </c>
      <c r="G11842" s="128" t="str">
        <f>VLOOKUP(source[[#This Row],[lending_product_transform]],[3]Mapping!$B$4:$C$37,2,0)</f>
        <v>[Cake] - Cashloan</v>
      </c>
      <c r="H11842" s="128" t="str">
        <f>VLOOKUP(source[[#This Row],[lending_product_transform]],[3]Mapping!$B$3:$D$37,3,0)</f>
        <v>cashloan</v>
      </c>
      <c r="I11842" s="143">
        <v>449006164</v>
      </c>
    </row>
    <row r="11843" spans="1:9" x14ac:dyDescent="0.2">
      <c r="A11843" s="134">
        <v>46027</v>
      </c>
      <c r="B11843" s="135">
        <f>YEAR(source[[#This Row],[report_date]])</f>
        <v>2026</v>
      </c>
      <c r="C11843" s="128">
        <f t="shared" si="554"/>
        <v>1</v>
      </c>
      <c r="D11843" s="136">
        <f t="shared" si="553"/>
        <v>2</v>
      </c>
      <c r="E11843" s="136">
        <f t="shared" si="555"/>
        <v>5</v>
      </c>
      <c r="F11843" s="137" t="s">
        <v>24</v>
      </c>
      <c r="G11843" s="128" t="str">
        <f>VLOOKUP(source[[#This Row],[lending_product_transform]],[3]Mapping!$B$4:$C$37,2,0)</f>
        <v>[Cake] - Cashloan</v>
      </c>
      <c r="H11843" s="128" t="str">
        <f>VLOOKUP(source[[#This Row],[lending_product_transform]],[3]Mapping!$B$3:$D$37,3,0)</f>
        <v>cashloan</v>
      </c>
      <c r="I11843" s="143">
        <v>18178310000</v>
      </c>
    </row>
    <row r="11844" spans="1:9" x14ac:dyDescent="0.2">
      <c r="A11844" s="134">
        <v>46027</v>
      </c>
      <c r="B11844" s="135">
        <f>YEAR(source[[#This Row],[report_date]])</f>
        <v>2026</v>
      </c>
      <c r="C11844" s="128">
        <f t="shared" si="554"/>
        <v>1</v>
      </c>
      <c r="D11844" s="136">
        <f t="shared" si="553"/>
        <v>2</v>
      </c>
      <c r="E11844" s="136">
        <f t="shared" si="555"/>
        <v>5</v>
      </c>
      <c r="F11844" s="137" t="s">
        <v>24</v>
      </c>
      <c r="G11844" s="128" t="str">
        <f>VLOOKUP(source[[#This Row],[lending_product_transform]],[3]Mapping!$B$4:$C$37,2,0)</f>
        <v>[Cake] - Cashloan</v>
      </c>
      <c r="H11844" s="128" t="str">
        <f>VLOOKUP(source[[#This Row],[lending_product_transform]],[3]Mapping!$B$3:$D$37,3,0)</f>
        <v>cashloan</v>
      </c>
      <c r="I11844" s="143">
        <v>3013009921</v>
      </c>
    </row>
    <row r="11845" spans="1:9" x14ac:dyDescent="0.2">
      <c r="A11845" s="134">
        <v>46027</v>
      </c>
      <c r="B11845" s="135">
        <f>YEAR(source[[#This Row],[report_date]])</f>
        <v>2026</v>
      </c>
      <c r="C11845" s="128">
        <f t="shared" si="554"/>
        <v>1</v>
      </c>
      <c r="D11845" s="136">
        <f t="shared" si="553"/>
        <v>2</v>
      </c>
      <c r="E11845" s="136">
        <f t="shared" si="555"/>
        <v>5</v>
      </c>
      <c r="F11845" s="137" t="s">
        <v>24</v>
      </c>
      <c r="G11845" s="128" t="str">
        <f>VLOOKUP(source[[#This Row],[lending_product_transform]],[3]Mapping!$B$4:$C$37,2,0)</f>
        <v>[Cake] - Cashloan</v>
      </c>
      <c r="H11845" s="128" t="str">
        <f>VLOOKUP(source[[#This Row],[lending_product_transform]],[3]Mapping!$B$3:$D$37,3,0)</f>
        <v>cashloan</v>
      </c>
      <c r="I11845" s="143">
        <v>16151940000</v>
      </c>
    </row>
    <row r="11846" spans="1:9" x14ac:dyDescent="0.2">
      <c r="A11846" s="134">
        <v>46027</v>
      </c>
      <c r="B11846" s="135">
        <f>YEAR(source[[#This Row],[report_date]])</f>
        <v>2026</v>
      </c>
      <c r="C11846" s="128">
        <f t="shared" si="554"/>
        <v>1</v>
      </c>
      <c r="D11846" s="136">
        <f t="shared" si="553"/>
        <v>2</v>
      </c>
      <c r="E11846" s="136">
        <f t="shared" si="555"/>
        <v>5</v>
      </c>
      <c r="F11846" s="137" t="s">
        <v>24</v>
      </c>
      <c r="G11846" s="128" t="str">
        <f>VLOOKUP(source[[#This Row],[lending_product_transform]],[3]Mapping!$B$4:$C$37,2,0)</f>
        <v>[Cake] - Cashloan</v>
      </c>
      <c r="H11846" s="128" t="str">
        <f>VLOOKUP(source[[#This Row],[lending_product_transform]],[3]Mapping!$B$3:$D$37,3,0)</f>
        <v>cashloan</v>
      </c>
      <c r="I11846" s="143">
        <v>65833326</v>
      </c>
    </row>
    <row r="11847" spans="1:9" x14ac:dyDescent="0.2">
      <c r="A11847" s="134">
        <v>46027</v>
      </c>
      <c r="B11847" s="135">
        <f>YEAR(source[[#This Row],[report_date]])</f>
        <v>2026</v>
      </c>
      <c r="C11847" s="128">
        <f t="shared" si="554"/>
        <v>1</v>
      </c>
      <c r="D11847" s="136">
        <f t="shared" si="553"/>
        <v>2</v>
      </c>
      <c r="E11847" s="136">
        <f t="shared" si="555"/>
        <v>5</v>
      </c>
      <c r="F11847" s="137" t="s">
        <v>24</v>
      </c>
      <c r="G11847" s="128" t="str">
        <f>VLOOKUP(source[[#This Row],[lending_product_transform]],[3]Mapping!$B$4:$C$37,2,0)</f>
        <v>[Cake] - Cashloan</v>
      </c>
      <c r="H11847" s="128" t="str">
        <f>VLOOKUP(source[[#This Row],[lending_product_transform]],[3]Mapping!$B$3:$D$37,3,0)</f>
        <v>cashloan</v>
      </c>
      <c r="I11847" s="143">
        <v>90000000</v>
      </c>
    </row>
    <row r="11848" spans="1:9" x14ac:dyDescent="0.2">
      <c r="A11848" s="134">
        <v>46027</v>
      </c>
      <c r="B11848" s="135">
        <f>YEAR(source[[#This Row],[report_date]])</f>
        <v>2026</v>
      </c>
      <c r="C11848" s="128">
        <f t="shared" si="554"/>
        <v>1</v>
      </c>
      <c r="D11848" s="136">
        <f t="shared" si="553"/>
        <v>2</v>
      </c>
      <c r="E11848" s="136">
        <f t="shared" si="555"/>
        <v>5</v>
      </c>
      <c r="F11848" s="137" t="s">
        <v>24</v>
      </c>
      <c r="G11848" s="128" t="str">
        <f>VLOOKUP(source[[#This Row],[lending_product_transform]],[3]Mapping!$B$4:$C$37,2,0)</f>
        <v>[Cake] - Cashloan</v>
      </c>
      <c r="H11848" s="128" t="str">
        <f>VLOOKUP(source[[#This Row],[lending_product_transform]],[3]Mapping!$B$3:$D$37,3,0)</f>
        <v>cashloan</v>
      </c>
      <c r="I11848" s="143">
        <v>4914460000</v>
      </c>
    </row>
    <row r="11849" spans="1:9" x14ac:dyDescent="0.2">
      <c r="A11849" s="134">
        <v>46027</v>
      </c>
      <c r="B11849" s="135">
        <f>YEAR(source[[#This Row],[report_date]])</f>
        <v>2026</v>
      </c>
      <c r="C11849" s="128">
        <f t="shared" si="554"/>
        <v>1</v>
      </c>
      <c r="D11849" s="136">
        <f t="shared" si="553"/>
        <v>2</v>
      </c>
      <c r="E11849" s="136">
        <f t="shared" si="555"/>
        <v>5</v>
      </c>
      <c r="F11849" s="137" t="s">
        <v>24</v>
      </c>
      <c r="G11849" s="128" t="str">
        <f>VLOOKUP(source[[#This Row],[lending_product_transform]],[3]Mapping!$B$4:$C$37,2,0)</f>
        <v>[Cake] - Cashloan</v>
      </c>
      <c r="H11849" s="128" t="str">
        <f>VLOOKUP(source[[#This Row],[lending_product_transform]],[3]Mapping!$B$3:$D$37,3,0)</f>
        <v>cashloan</v>
      </c>
      <c r="I11849" s="143">
        <v>288300000</v>
      </c>
    </row>
    <row r="11850" spans="1:9" x14ac:dyDescent="0.2">
      <c r="A11850" s="134">
        <v>46027</v>
      </c>
      <c r="B11850" s="135">
        <f>YEAR(source[[#This Row],[report_date]])</f>
        <v>2026</v>
      </c>
      <c r="C11850" s="128">
        <f t="shared" si="554"/>
        <v>1</v>
      </c>
      <c r="D11850" s="136">
        <f t="shared" si="553"/>
        <v>2</v>
      </c>
      <c r="E11850" s="136">
        <f t="shared" si="555"/>
        <v>5</v>
      </c>
      <c r="F11850" s="137" t="s">
        <v>24</v>
      </c>
      <c r="G11850" s="128" t="str">
        <f>VLOOKUP(source[[#This Row],[lending_product_transform]],[3]Mapping!$B$4:$C$37,2,0)</f>
        <v>[Cake] - Cashloan</v>
      </c>
      <c r="H11850" s="128" t="str">
        <f>VLOOKUP(source[[#This Row],[lending_product_transform]],[3]Mapping!$B$3:$D$37,3,0)</f>
        <v>cashloan</v>
      </c>
      <c r="I11850" s="143">
        <v>58697374</v>
      </c>
    </row>
    <row r="11851" spans="1:9" x14ac:dyDescent="0.2">
      <c r="A11851" s="134">
        <v>46027</v>
      </c>
      <c r="B11851" s="135">
        <f>YEAR(source[[#This Row],[report_date]])</f>
        <v>2026</v>
      </c>
      <c r="C11851" s="128">
        <f t="shared" si="554"/>
        <v>1</v>
      </c>
      <c r="D11851" s="136">
        <f t="shared" si="553"/>
        <v>2</v>
      </c>
      <c r="E11851" s="136">
        <f t="shared" si="555"/>
        <v>5</v>
      </c>
      <c r="F11851" s="137" t="s">
        <v>24</v>
      </c>
      <c r="G11851" s="128" t="str">
        <f>VLOOKUP(source[[#This Row],[lending_product_transform]],[3]Mapping!$B$4:$C$37,2,0)</f>
        <v>[Cake] - Cashloan</v>
      </c>
      <c r="H11851" s="128" t="str">
        <f>VLOOKUP(source[[#This Row],[lending_product_transform]],[3]Mapping!$B$3:$D$37,3,0)</f>
        <v>cashloan</v>
      </c>
      <c r="I11851" s="143">
        <v>2103866423</v>
      </c>
    </row>
    <row r="11852" spans="1:9" x14ac:dyDescent="0.2">
      <c r="A11852" s="134">
        <v>46027</v>
      </c>
      <c r="B11852" s="135">
        <f>YEAR(source[[#This Row],[report_date]])</f>
        <v>2026</v>
      </c>
      <c r="C11852" s="128">
        <f t="shared" si="554"/>
        <v>1</v>
      </c>
      <c r="D11852" s="136">
        <f t="shared" si="553"/>
        <v>2</v>
      </c>
      <c r="E11852" s="136">
        <f t="shared" si="555"/>
        <v>5</v>
      </c>
      <c r="F11852" s="137" t="s">
        <v>24</v>
      </c>
      <c r="G11852" s="128" t="str">
        <f>VLOOKUP(source[[#This Row],[lending_product_transform]],[3]Mapping!$B$4:$C$37,2,0)</f>
        <v>[Cake] - Cashloan</v>
      </c>
      <c r="H11852" s="128" t="str">
        <f>VLOOKUP(source[[#This Row],[lending_product_transform]],[3]Mapping!$B$3:$D$37,3,0)</f>
        <v>cashloan</v>
      </c>
      <c r="I11852" s="143">
        <v>0</v>
      </c>
    </row>
    <row r="11853" spans="1:9" x14ac:dyDescent="0.2">
      <c r="A11853" s="134">
        <v>46027</v>
      </c>
      <c r="B11853" s="135">
        <f>YEAR(source[[#This Row],[report_date]])</f>
        <v>2026</v>
      </c>
      <c r="C11853" s="128">
        <f t="shared" si="554"/>
        <v>1</v>
      </c>
      <c r="D11853" s="136">
        <f t="shared" si="553"/>
        <v>2</v>
      </c>
      <c r="E11853" s="136">
        <f t="shared" si="555"/>
        <v>5</v>
      </c>
      <c r="F11853" s="137" t="s">
        <v>24</v>
      </c>
      <c r="G11853" s="128" t="str">
        <f>VLOOKUP(source[[#This Row],[lending_product_transform]],[3]Mapping!$B$4:$C$37,2,0)</f>
        <v>[Cake] - Cashloan</v>
      </c>
      <c r="H11853" s="128" t="str">
        <f>VLOOKUP(source[[#This Row],[lending_product_transform]],[3]Mapping!$B$3:$D$37,3,0)</f>
        <v>cashloan</v>
      </c>
      <c r="I11853" s="143">
        <v>753750000</v>
      </c>
    </row>
    <row r="11854" spans="1:9" x14ac:dyDescent="0.2">
      <c r="A11854" s="134">
        <v>46027</v>
      </c>
      <c r="B11854" s="135">
        <f>YEAR(source[[#This Row],[report_date]])</f>
        <v>2026</v>
      </c>
      <c r="C11854" s="128">
        <f t="shared" si="554"/>
        <v>1</v>
      </c>
      <c r="D11854" s="136">
        <f t="shared" si="553"/>
        <v>2</v>
      </c>
      <c r="E11854" s="136">
        <f t="shared" si="555"/>
        <v>5</v>
      </c>
      <c r="F11854" s="137" t="s">
        <v>24</v>
      </c>
      <c r="G11854" s="128" t="str">
        <f>VLOOKUP(source[[#This Row],[lending_product_transform]],[3]Mapping!$B$4:$C$37,2,0)</f>
        <v>[Cake] - Cashloan</v>
      </c>
      <c r="H11854" s="128" t="str">
        <f>VLOOKUP(source[[#This Row],[lending_product_transform]],[3]Mapping!$B$3:$D$37,3,0)</f>
        <v>cashloan</v>
      </c>
      <c r="I11854" s="143">
        <v>0</v>
      </c>
    </row>
    <row r="11855" spans="1:9" x14ac:dyDescent="0.2">
      <c r="A11855" s="134">
        <v>46027</v>
      </c>
      <c r="B11855" s="135">
        <f>YEAR(source[[#This Row],[report_date]])</f>
        <v>2026</v>
      </c>
      <c r="C11855" s="128">
        <f t="shared" si="554"/>
        <v>1</v>
      </c>
      <c r="D11855" s="136">
        <f t="shared" si="553"/>
        <v>2</v>
      </c>
      <c r="E11855" s="136">
        <f t="shared" si="555"/>
        <v>5</v>
      </c>
      <c r="F11855" s="137" t="s">
        <v>24</v>
      </c>
      <c r="G11855" s="128" t="str">
        <f>VLOOKUP(source[[#This Row],[lending_product_transform]],[3]Mapping!$B$4:$C$37,2,0)</f>
        <v>[Cake] - Cashloan</v>
      </c>
      <c r="H11855" s="128" t="str">
        <f>VLOOKUP(source[[#This Row],[lending_product_transform]],[3]Mapping!$B$3:$D$37,3,0)</f>
        <v>cashloan</v>
      </c>
      <c r="I11855" s="143">
        <v>18812710000</v>
      </c>
    </row>
    <row r="11856" spans="1:9" x14ac:dyDescent="0.2">
      <c r="A11856" s="134">
        <v>46027</v>
      </c>
      <c r="B11856" s="135">
        <f>YEAR(source[[#This Row],[report_date]])</f>
        <v>2026</v>
      </c>
      <c r="C11856" s="128">
        <f t="shared" si="554"/>
        <v>1</v>
      </c>
      <c r="D11856" s="136">
        <f t="shared" si="553"/>
        <v>2</v>
      </c>
      <c r="E11856" s="136">
        <f t="shared" si="555"/>
        <v>5</v>
      </c>
      <c r="F11856" s="137" t="s">
        <v>24</v>
      </c>
      <c r="G11856" s="128" t="str">
        <f>VLOOKUP(source[[#This Row],[lending_product_transform]],[3]Mapping!$B$4:$C$37,2,0)</f>
        <v>[Cake] - Cashloan</v>
      </c>
      <c r="H11856" s="128" t="str">
        <f>VLOOKUP(source[[#This Row],[lending_product_transform]],[3]Mapping!$B$3:$D$37,3,0)</f>
        <v>cashloan</v>
      </c>
      <c r="I11856" s="143">
        <v>0</v>
      </c>
    </row>
    <row r="11857" spans="1:9" x14ac:dyDescent="0.2">
      <c r="A11857" s="134">
        <v>46027</v>
      </c>
      <c r="B11857" s="135">
        <f>YEAR(source[[#This Row],[report_date]])</f>
        <v>2026</v>
      </c>
      <c r="C11857" s="128">
        <f t="shared" si="554"/>
        <v>1</v>
      </c>
      <c r="D11857" s="136">
        <f t="shared" ref="D11857:D11920" si="556">WEEKNUM(A11857,2)</f>
        <v>2</v>
      </c>
      <c r="E11857" s="136">
        <f t="shared" si="555"/>
        <v>5</v>
      </c>
      <c r="F11857" s="137" t="s">
        <v>24</v>
      </c>
      <c r="G11857" s="128" t="str">
        <f>VLOOKUP(source[[#This Row],[lending_product_transform]],[3]Mapping!$B$4:$C$37,2,0)</f>
        <v>[Cake] - Cashloan</v>
      </c>
      <c r="H11857" s="128" t="str">
        <f>VLOOKUP(source[[#This Row],[lending_product_transform]],[3]Mapping!$B$3:$D$37,3,0)</f>
        <v>cashloan</v>
      </c>
      <c r="I11857" s="143">
        <v>0</v>
      </c>
    </row>
    <row r="11858" spans="1:9" x14ac:dyDescent="0.2">
      <c r="A11858" s="134">
        <v>46027</v>
      </c>
      <c r="B11858" s="135">
        <f>YEAR(source[[#This Row],[report_date]])</f>
        <v>2026</v>
      </c>
      <c r="C11858" s="128">
        <f t="shared" si="554"/>
        <v>1</v>
      </c>
      <c r="D11858" s="136">
        <f t="shared" si="556"/>
        <v>2</v>
      </c>
      <c r="E11858" s="136">
        <f t="shared" si="555"/>
        <v>5</v>
      </c>
      <c r="F11858" s="137" t="s">
        <v>24</v>
      </c>
      <c r="G11858" s="128" t="str">
        <f>VLOOKUP(source[[#This Row],[lending_product_transform]],[3]Mapping!$B$4:$C$37,2,0)</f>
        <v>[Cake] - Cashloan</v>
      </c>
      <c r="H11858" s="128" t="str">
        <f>VLOOKUP(source[[#This Row],[lending_product_transform]],[3]Mapping!$B$3:$D$37,3,0)</f>
        <v>cashloan</v>
      </c>
      <c r="I11858" s="143">
        <v>0</v>
      </c>
    </row>
    <row r="11859" spans="1:9" x14ac:dyDescent="0.2">
      <c r="A11859" s="134">
        <v>46027</v>
      </c>
      <c r="B11859" s="135">
        <f>YEAR(source[[#This Row],[report_date]])</f>
        <v>2026</v>
      </c>
      <c r="C11859" s="128">
        <f t="shared" si="554"/>
        <v>1</v>
      </c>
      <c r="D11859" s="136">
        <f t="shared" si="556"/>
        <v>2</v>
      </c>
      <c r="E11859" s="136">
        <f t="shared" si="555"/>
        <v>5</v>
      </c>
      <c r="F11859" s="137" t="s">
        <v>24</v>
      </c>
      <c r="G11859" s="128" t="str">
        <f>VLOOKUP(source[[#This Row],[lending_product_transform]],[3]Mapping!$B$4:$C$37,2,0)</f>
        <v>[Cake] - Cashloan</v>
      </c>
      <c r="H11859" s="128" t="str">
        <f>VLOOKUP(source[[#This Row],[lending_product_transform]],[3]Mapping!$B$3:$D$37,3,0)</f>
        <v>cashloan</v>
      </c>
      <c r="I11859" s="143">
        <v>0</v>
      </c>
    </row>
    <row r="11860" spans="1:9" x14ac:dyDescent="0.2">
      <c r="A11860" s="134">
        <v>46027</v>
      </c>
      <c r="B11860" s="135">
        <f>YEAR(source[[#This Row],[report_date]])</f>
        <v>2026</v>
      </c>
      <c r="C11860" s="128">
        <f t="shared" si="554"/>
        <v>1</v>
      </c>
      <c r="D11860" s="136">
        <f t="shared" si="556"/>
        <v>2</v>
      </c>
      <c r="E11860" s="136">
        <f t="shared" si="555"/>
        <v>5</v>
      </c>
      <c r="F11860" s="137" t="s">
        <v>24</v>
      </c>
      <c r="G11860" s="128" t="str">
        <f>VLOOKUP(source[[#This Row],[lending_product_transform]],[3]Mapping!$B$4:$C$37,2,0)</f>
        <v>[Cake] - Cashloan</v>
      </c>
      <c r="H11860" s="128" t="str">
        <f>VLOOKUP(source[[#This Row],[lending_product_transform]],[3]Mapping!$B$3:$D$37,3,0)</f>
        <v>cashloan</v>
      </c>
      <c r="I11860" s="143">
        <v>10797300000</v>
      </c>
    </row>
    <row r="11861" spans="1:9" x14ac:dyDescent="0.2">
      <c r="A11861" s="134">
        <v>46027</v>
      </c>
      <c r="B11861" s="135">
        <f>YEAR(source[[#This Row],[report_date]])</f>
        <v>2026</v>
      </c>
      <c r="C11861" s="128">
        <f t="shared" si="554"/>
        <v>1</v>
      </c>
      <c r="D11861" s="136">
        <f t="shared" si="556"/>
        <v>2</v>
      </c>
      <c r="E11861" s="136">
        <f t="shared" si="555"/>
        <v>5</v>
      </c>
      <c r="F11861" s="137" t="s">
        <v>24</v>
      </c>
      <c r="G11861" s="128" t="str">
        <f>VLOOKUP(source[[#This Row],[lending_product_transform]],[3]Mapping!$B$4:$C$37,2,0)</f>
        <v>[Cake] - Cashloan</v>
      </c>
      <c r="H11861" s="128" t="str">
        <f>VLOOKUP(source[[#This Row],[lending_product_transform]],[3]Mapping!$B$3:$D$37,3,0)</f>
        <v>cashloan</v>
      </c>
      <c r="I11861" s="143">
        <v>637389668</v>
      </c>
    </row>
    <row r="11862" spans="1:9" x14ac:dyDescent="0.2">
      <c r="A11862" s="134">
        <v>46027</v>
      </c>
      <c r="B11862" s="135">
        <f>YEAR(source[[#This Row],[report_date]])</f>
        <v>2026</v>
      </c>
      <c r="C11862" s="128">
        <f t="shared" si="554"/>
        <v>1</v>
      </c>
      <c r="D11862" s="136">
        <f t="shared" si="556"/>
        <v>2</v>
      </c>
      <c r="E11862" s="136">
        <f t="shared" si="555"/>
        <v>5</v>
      </c>
      <c r="F11862" s="137" t="s">
        <v>24</v>
      </c>
      <c r="G11862" s="128" t="str">
        <f>VLOOKUP(source[[#This Row],[lending_product_transform]],[3]Mapping!$B$4:$C$37,2,0)</f>
        <v>[Cake] - Cashloan</v>
      </c>
      <c r="H11862" s="128" t="str">
        <f>VLOOKUP(source[[#This Row],[lending_product_transform]],[3]Mapping!$B$3:$D$37,3,0)</f>
        <v>cashloan</v>
      </c>
      <c r="I11862" s="143">
        <v>21000000</v>
      </c>
    </row>
    <row r="11863" spans="1:9" x14ac:dyDescent="0.2">
      <c r="A11863" s="134">
        <v>46027</v>
      </c>
      <c r="B11863" s="135">
        <f>YEAR(source[[#This Row],[report_date]])</f>
        <v>2026</v>
      </c>
      <c r="C11863" s="128">
        <f t="shared" si="554"/>
        <v>1</v>
      </c>
      <c r="D11863" s="136">
        <f t="shared" si="556"/>
        <v>2</v>
      </c>
      <c r="E11863" s="136">
        <f t="shared" si="555"/>
        <v>5</v>
      </c>
      <c r="F11863" s="137" t="s">
        <v>24</v>
      </c>
      <c r="G11863" s="128" t="str">
        <f>VLOOKUP(source[[#This Row],[lending_product_transform]],[3]Mapping!$B$4:$C$37,2,0)</f>
        <v>[Cake] - Cashloan</v>
      </c>
      <c r="H11863" s="128" t="str">
        <f>VLOOKUP(source[[#This Row],[lending_product_transform]],[3]Mapping!$B$3:$D$37,3,0)</f>
        <v>cashloan</v>
      </c>
      <c r="I11863" s="143">
        <v>86000000</v>
      </c>
    </row>
    <row r="11864" spans="1:9" x14ac:dyDescent="0.2">
      <c r="A11864" s="134">
        <v>46027</v>
      </c>
      <c r="B11864" s="135">
        <f>YEAR(source[[#This Row],[report_date]])</f>
        <v>2026</v>
      </c>
      <c r="C11864" s="128">
        <f t="shared" si="554"/>
        <v>1</v>
      </c>
      <c r="D11864" s="136">
        <f t="shared" si="556"/>
        <v>2</v>
      </c>
      <c r="E11864" s="136">
        <f t="shared" si="555"/>
        <v>5</v>
      </c>
      <c r="F11864" s="137" t="s">
        <v>24</v>
      </c>
      <c r="G11864" s="128" t="str">
        <f>VLOOKUP(source[[#This Row],[lending_product_transform]],[3]Mapping!$B$4:$C$37,2,0)</f>
        <v>[Cake] - Cashloan</v>
      </c>
      <c r="H11864" s="128" t="str">
        <f>VLOOKUP(source[[#This Row],[lending_product_transform]],[3]Mapping!$B$3:$D$37,3,0)</f>
        <v>cashloan</v>
      </c>
      <c r="I11864" s="143">
        <v>1035290000</v>
      </c>
    </row>
    <row r="11865" spans="1:9" x14ac:dyDescent="0.2">
      <c r="A11865" s="134">
        <v>46027</v>
      </c>
      <c r="B11865" s="135">
        <f>YEAR(source[[#This Row],[report_date]])</f>
        <v>2026</v>
      </c>
      <c r="C11865" s="128">
        <f t="shared" si="554"/>
        <v>1</v>
      </c>
      <c r="D11865" s="136">
        <f t="shared" si="556"/>
        <v>2</v>
      </c>
      <c r="E11865" s="136">
        <f t="shared" si="555"/>
        <v>5</v>
      </c>
      <c r="F11865" s="137" t="s">
        <v>24</v>
      </c>
      <c r="G11865" s="128" t="str">
        <f>VLOOKUP(source[[#This Row],[lending_product_transform]],[3]Mapping!$B$4:$C$37,2,0)</f>
        <v>[Cake] - Cashloan</v>
      </c>
      <c r="H11865" s="128" t="str">
        <f>VLOOKUP(source[[#This Row],[lending_product_transform]],[3]Mapping!$B$3:$D$37,3,0)</f>
        <v>cashloan</v>
      </c>
      <c r="I11865" s="143">
        <v>454680000</v>
      </c>
    </row>
    <row r="11866" spans="1:9" x14ac:dyDescent="0.2">
      <c r="A11866" s="134">
        <v>46027</v>
      </c>
      <c r="B11866" s="135">
        <f>YEAR(source[[#This Row],[report_date]])</f>
        <v>2026</v>
      </c>
      <c r="C11866" s="128">
        <f t="shared" si="554"/>
        <v>1</v>
      </c>
      <c r="D11866" s="136">
        <f t="shared" si="556"/>
        <v>2</v>
      </c>
      <c r="E11866" s="136">
        <f t="shared" si="555"/>
        <v>5</v>
      </c>
      <c r="F11866" s="137" t="s">
        <v>24</v>
      </c>
      <c r="G11866" s="128" t="str">
        <f>VLOOKUP(source[[#This Row],[lending_product_transform]],[3]Mapping!$B$4:$C$37,2,0)</f>
        <v>[Cake] - Cashloan</v>
      </c>
      <c r="H11866" s="128" t="str">
        <f>VLOOKUP(source[[#This Row],[lending_product_transform]],[3]Mapping!$B$3:$D$37,3,0)</f>
        <v>cashloan</v>
      </c>
      <c r="I11866" s="143">
        <v>1426686840</v>
      </c>
    </row>
    <row r="11867" spans="1:9" x14ac:dyDescent="0.2">
      <c r="A11867" s="134">
        <v>46027</v>
      </c>
      <c r="B11867" s="135">
        <f>YEAR(source[[#This Row],[report_date]])</f>
        <v>2026</v>
      </c>
      <c r="C11867" s="128">
        <f t="shared" si="554"/>
        <v>1</v>
      </c>
      <c r="D11867" s="136">
        <f t="shared" si="556"/>
        <v>2</v>
      </c>
      <c r="E11867" s="136">
        <f t="shared" si="555"/>
        <v>5</v>
      </c>
      <c r="F11867" s="137" t="s">
        <v>24</v>
      </c>
      <c r="G11867" s="128" t="str">
        <f>VLOOKUP(source[[#This Row],[lending_product_transform]],[3]Mapping!$B$4:$C$37,2,0)</f>
        <v>[Cake] - Cashloan</v>
      </c>
      <c r="H11867" s="128" t="str">
        <f>VLOOKUP(source[[#This Row],[lending_product_transform]],[3]Mapping!$B$3:$D$37,3,0)</f>
        <v>cashloan</v>
      </c>
      <c r="I11867" s="143">
        <v>4379930000</v>
      </c>
    </row>
    <row r="11868" spans="1:9" x14ac:dyDescent="0.2">
      <c r="A11868" s="134">
        <v>46027</v>
      </c>
      <c r="B11868" s="135">
        <f>YEAR(source[[#This Row],[report_date]])</f>
        <v>2026</v>
      </c>
      <c r="C11868" s="128">
        <f t="shared" si="554"/>
        <v>1</v>
      </c>
      <c r="D11868" s="136">
        <f t="shared" si="556"/>
        <v>2</v>
      </c>
      <c r="E11868" s="136">
        <f t="shared" si="555"/>
        <v>5</v>
      </c>
      <c r="F11868" s="137" t="s">
        <v>24</v>
      </c>
      <c r="G11868" s="128" t="str">
        <f>VLOOKUP(source[[#This Row],[lending_product_transform]],[3]Mapping!$B$4:$C$37,2,0)</f>
        <v>[Cake] - Cashloan</v>
      </c>
      <c r="H11868" s="128" t="str">
        <f>VLOOKUP(source[[#This Row],[lending_product_transform]],[3]Mapping!$B$3:$D$37,3,0)</f>
        <v>cashloan</v>
      </c>
      <c r="I11868" s="143">
        <v>0</v>
      </c>
    </row>
    <row r="11869" spans="1:9" x14ac:dyDescent="0.2">
      <c r="A11869" s="134">
        <v>46028</v>
      </c>
      <c r="B11869" s="135">
        <f>YEAR(source[[#This Row],[report_date]])</f>
        <v>2026</v>
      </c>
      <c r="C11869" s="128">
        <f t="shared" si="554"/>
        <v>1</v>
      </c>
      <c r="D11869" s="136">
        <f t="shared" si="556"/>
        <v>2</v>
      </c>
      <c r="E11869" s="136">
        <f t="shared" si="555"/>
        <v>6</v>
      </c>
      <c r="F11869" s="137" t="s">
        <v>24</v>
      </c>
      <c r="G11869" s="128" t="str">
        <f>VLOOKUP(source[[#This Row],[lending_product_transform]],[3]Mapping!$B$4:$C$37,2,0)</f>
        <v>[Cake] - Cashloan</v>
      </c>
      <c r="H11869" s="128" t="str">
        <f>VLOOKUP(source[[#This Row],[lending_product_transform]],[3]Mapping!$B$3:$D$37,3,0)</f>
        <v>cashloan</v>
      </c>
      <c r="I11869" s="143">
        <v>826700000</v>
      </c>
    </row>
    <row r="11870" spans="1:9" x14ac:dyDescent="0.2">
      <c r="A11870" s="134">
        <v>46028</v>
      </c>
      <c r="B11870" s="135">
        <f>YEAR(source[[#This Row],[report_date]])</f>
        <v>2026</v>
      </c>
      <c r="C11870" s="128">
        <f t="shared" si="554"/>
        <v>1</v>
      </c>
      <c r="D11870" s="136">
        <f t="shared" si="556"/>
        <v>2</v>
      </c>
      <c r="E11870" s="136">
        <f t="shared" si="555"/>
        <v>6</v>
      </c>
      <c r="F11870" s="137" t="s">
        <v>24</v>
      </c>
      <c r="G11870" s="128" t="str">
        <f>VLOOKUP(source[[#This Row],[lending_product_transform]],[3]Mapping!$B$4:$C$37,2,0)</f>
        <v>[Cake] - Cashloan</v>
      </c>
      <c r="H11870" s="128" t="str">
        <f>VLOOKUP(source[[#This Row],[lending_product_transform]],[3]Mapping!$B$3:$D$37,3,0)</f>
        <v>cashloan</v>
      </c>
      <c r="I11870" s="143">
        <v>435192867</v>
      </c>
    </row>
    <row r="11871" spans="1:9" x14ac:dyDescent="0.2">
      <c r="A11871" s="134">
        <v>46028</v>
      </c>
      <c r="B11871" s="135">
        <f>YEAR(source[[#This Row],[report_date]])</f>
        <v>2026</v>
      </c>
      <c r="C11871" s="128">
        <f t="shared" si="554"/>
        <v>1</v>
      </c>
      <c r="D11871" s="136">
        <f t="shared" si="556"/>
        <v>2</v>
      </c>
      <c r="E11871" s="136">
        <f t="shared" si="555"/>
        <v>6</v>
      </c>
      <c r="F11871" s="137" t="s">
        <v>24</v>
      </c>
      <c r="G11871" s="128" t="str">
        <f>VLOOKUP(source[[#This Row],[lending_product_transform]],[3]Mapping!$B$4:$C$37,2,0)</f>
        <v>[Cake] - Cashloan</v>
      </c>
      <c r="H11871" s="128" t="str">
        <f>VLOOKUP(source[[#This Row],[lending_product_transform]],[3]Mapping!$B$3:$D$37,3,0)</f>
        <v>cashloan</v>
      </c>
      <c r="I11871" s="143">
        <v>15569330000</v>
      </c>
    </row>
    <row r="11872" spans="1:9" x14ac:dyDescent="0.2">
      <c r="A11872" s="134">
        <v>46028</v>
      </c>
      <c r="B11872" s="135">
        <f>YEAR(source[[#This Row],[report_date]])</f>
        <v>2026</v>
      </c>
      <c r="C11872" s="128">
        <f t="shared" si="554"/>
        <v>1</v>
      </c>
      <c r="D11872" s="136">
        <f t="shared" si="556"/>
        <v>2</v>
      </c>
      <c r="E11872" s="136">
        <f t="shared" si="555"/>
        <v>6</v>
      </c>
      <c r="F11872" s="137" t="s">
        <v>24</v>
      </c>
      <c r="G11872" s="128" t="str">
        <f>VLOOKUP(source[[#This Row],[lending_product_transform]],[3]Mapping!$B$4:$C$37,2,0)</f>
        <v>[Cake] - Cashloan</v>
      </c>
      <c r="H11872" s="128" t="str">
        <f>VLOOKUP(source[[#This Row],[lending_product_transform]],[3]Mapping!$B$3:$D$37,3,0)</f>
        <v>cashloan</v>
      </c>
      <c r="I11872" s="143">
        <v>2231074599</v>
      </c>
    </row>
    <row r="11873" spans="1:9" x14ac:dyDescent="0.2">
      <c r="A11873" s="134">
        <v>46028</v>
      </c>
      <c r="B11873" s="135">
        <f>YEAR(source[[#This Row],[report_date]])</f>
        <v>2026</v>
      </c>
      <c r="C11873" s="128">
        <f t="shared" si="554"/>
        <v>1</v>
      </c>
      <c r="D11873" s="136">
        <f t="shared" si="556"/>
        <v>2</v>
      </c>
      <c r="E11873" s="136">
        <f t="shared" si="555"/>
        <v>6</v>
      </c>
      <c r="F11873" s="137" t="s">
        <v>24</v>
      </c>
      <c r="G11873" s="128" t="str">
        <f>VLOOKUP(source[[#This Row],[lending_product_transform]],[3]Mapping!$B$4:$C$37,2,0)</f>
        <v>[Cake] - Cashloan</v>
      </c>
      <c r="H11873" s="128" t="str">
        <f>VLOOKUP(source[[#This Row],[lending_product_transform]],[3]Mapping!$B$3:$D$37,3,0)</f>
        <v>cashloan</v>
      </c>
      <c r="I11873" s="143">
        <v>13687920000</v>
      </c>
    </row>
    <row r="11874" spans="1:9" x14ac:dyDescent="0.2">
      <c r="A11874" s="134">
        <v>46028</v>
      </c>
      <c r="B11874" s="135">
        <f>YEAR(source[[#This Row],[report_date]])</f>
        <v>2026</v>
      </c>
      <c r="C11874" s="128">
        <f t="shared" si="554"/>
        <v>1</v>
      </c>
      <c r="D11874" s="136">
        <f t="shared" si="556"/>
        <v>2</v>
      </c>
      <c r="E11874" s="136">
        <f t="shared" si="555"/>
        <v>6</v>
      </c>
      <c r="F11874" s="137" t="s">
        <v>24</v>
      </c>
      <c r="G11874" s="128" t="str">
        <f>VLOOKUP(source[[#This Row],[lending_product_transform]],[3]Mapping!$B$4:$C$37,2,0)</f>
        <v>[Cake] - Cashloan</v>
      </c>
      <c r="H11874" s="128" t="str">
        <f>VLOOKUP(source[[#This Row],[lending_product_transform]],[3]Mapping!$B$3:$D$37,3,0)</f>
        <v>cashloan</v>
      </c>
      <c r="I11874" s="143">
        <v>27400994</v>
      </c>
    </row>
    <row r="11875" spans="1:9" x14ac:dyDescent="0.2">
      <c r="A11875" s="134">
        <v>46028</v>
      </c>
      <c r="B11875" s="135">
        <f>YEAR(source[[#This Row],[report_date]])</f>
        <v>2026</v>
      </c>
      <c r="C11875" s="128">
        <f t="shared" si="554"/>
        <v>1</v>
      </c>
      <c r="D11875" s="136">
        <f t="shared" si="556"/>
        <v>2</v>
      </c>
      <c r="E11875" s="136">
        <f t="shared" si="555"/>
        <v>6</v>
      </c>
      <c r="F11875" s="137" t="s">
        <v>24</v>
      </c>
      <c r="G11875" s="128" t="str">
        <f>VLOOKUP(source[[#This Row],[lending_product_transform]],[3]Mapping!$B$4:$C$37,2,0)</f>
        <v>[Cake] - Cashloan</v>
      </c>
      <c r="H11875" s="128" t="str">
        <f>VLOOKUP(source[[#This Row],[lending_product_transform]],[3]Mapping!$B$3:$D$37,3,0)</f>
        <v>cashloan</v>
      </c>
      <c r="I11875" s="143">
        <v>0</v>
      </c>
    </row>
    <row r="11876" spans="1:9" x14ac:dyDescent="0.2">
      <c r="A11876" s="134">
        <v>46028</v>
      </c>
      <c r="B11876" s="135">
        <f>YEAR(source[[#This Row],[report_date]])</f>
        <v>2026</v>
      </c>
      <c r="C11876" s="128">
        <f t="shared" si="554"/>
        <v>1</v>
      </c>
      <c r="D11876" s="136">
        <f t="shared" si="556"/>
        <v>2</v>
      </c>
      <c r="E11876" s="136">
        <f t="shared" si="555"/>
        <v>6</v>
      </c>
      <c r="F11876" s="137" t="s">
        <v>24</v>
      </c>
      <c r="G11876" s="128" t="str">
        <f>VLOOKUP(source[[#This Row],[lending_product_transform]],[3]Mapping!$B$4:$C$37,2,0)</f>
        <v>[Cake] - Cashloan</v>
      </c>
      <c r="H11876" s="128" t="str">
        <f>VLOOKUP(source[[#This Row],[lending_product_transform]],[3]Mapping!$B$3:$D$37,3,0)</f>
        <v>cashloan</v>
      </c>
      <c r="I11876" s="143">
        <v>4482220000</v>
      </c>
    </row>
    <row r="11877" spans="1:9" x14ac:dyDescent="0.2">
      <c r="A11877" s="134">
        <v>46028</v>
      </c>
      <c r="B11877" s="135">
        <f>YEAR(source[[#This Row],[report_date]])</f>
        <v>2026</v>
      </c>
      <c r="C11877" s="128">
        <f t="shared" si="554"/>
        <v>1</v>
      </c>
      <c r="D11877" s="136">
        <f t="shared" si="556"/>
        <v>2</v>
      </c>
      <c r="E11877" s="136">
        <f t="shared" si="555"/>
        <v>6</v>
      </c>
      <c r="F11877" s="137" t="s">
        <v>24</v>
      </c>
      <c r="G11877" s="128" t="str">
        <f>VLOOKUP(source[[#This Row],[lending_product_transform]],[3]Mapping!$B$4:$C$37,2,0)</f>
        <v>[Cake] - Cashloan</v>
      </c>
      <c r="H11877" s="128" t="str">
        <f>VLOOKUP(source[[#This Row],[lending_product_transform]],[3]Mapping!$B$3:$D$37,3,0)</f>
        <v>cashloan</v>
      </c>
      <c r="I11877" s="143">
        <v>318900000</v>
      </c>
    </row>
    <row r="11878" spans="1:9" x14ac:dyDescent="0.2">
      <c r="A11878" s="134">
        <v>46028</v>
      </c>
      <c r="B11878" s="135">
        <f>YEAR(source[[#This Row],[report_date]])</f>
        <v>2026</v>
      </c>
      <c r="C11878" s="128">
        <f t="shared" si="554"/>
        <v>1</v>
      </c>
      <c r="D11878" s="136">
        <f t="shared" si="556"/>
        <v>2</v>
      </c>
      <c r="E11878" s="136">
        <f t="shared" si="555"/>
        <v>6</v>
      </c>
      <c r="F11878" s="137" t="s">
        <v>24</v>
      </c>
      <c r="G11878" s="128" t="str">
        <f>VLOOKUP(source[[#This Row],[lending_product_transform]],[3]Mapping!$B$4:$C$37,2,0)</f>
        <v>[Cake] - Cashloan</v>
      </c>
      <c r="H11878" s="128" t="str">
        <f>VLOOKUP(source[[#This Row],[lending_product_transform]],[3]Mapping!$B$3:$D$37,3,0)</f>
        <v>cashloan</v>
      </c>
      <c r="I11878" s="143">
        <v>19957405</v>
      </c>
    </row>
    <row r="11879" spans="1:9" x14ac:dyDescent="0.2">
      <c r="A11879" s="134">
        <v>46028</v>
      </c>
      <c r="B11879" s="135">
        <f>YEAR(source[[#This Row],[report_date]])</f>
        <v>2026</v>
      </c>
      <c r="C11879" s="128">
        <f t="shared" si="554"/>
        <v>1</v>
      </c>
      <c r="D11879" s="136">
        <f t="shared" si="556"/>
        <v>2</v>
      </c>
      <c r="E11879" s="136">
        <f t="shared" si="555"/>
        <v>6</v>
      </c>
      <c r="F11879" s="137" t="s">
        <v>24</v>
      </c>
      <c r="G11879" s="128" t="str">
        <f>VLOOKUP(source[[#This Row],[lending_product_transform]],[3]Mapping!$B$4:$C$37,2,0)</f>
        <v>[Cake] - Cashloan</v>
      </c>
      <c r="H11879" s="128" t="str">
        <f>VLOOKUP(source[[#This Row],[lending_product_transform]],[3]Mapping!$B$3:$D$37,3,0)</f>
        <v>cashloan</v>
      </c>
      <c r="I11879" s="143">
        <v>1543296050</v>
      </c>
    </row>
    <row r="11880" spans="1:9" x14ac:dyDescent="0.2">
      <c r="A11880" s="134">
        <v>46028</v>
      </c>
      <c r="B11880" s="135">
        <f>YEAR(source[[#This Row],[report_date]])</f>
        <v>2026</v>
      </c>
      <c r="C11880" s="128">
        <f t="shared" si="554"/>
        <v>1</v>
      </c>
      <c r="D11880" s="136">
        <f t="shared" si="556"/>
        <v>2</v>
      </c>
      <c r="E11880" s="136">
        <f t="shared" si="555"/>
        <v>6</v>
      </c>
      <c r="F11880" s="137" t="s">
        <v>24</v>
      </c>
      <c r="G11880" s="128" t="str">
        <f>VLOOKUP(source[[#This Row],[lending_product_transform]],[3]Mapping!$B$4:$C$37,2,0)</f>
        <v>[Cake] - Cashloan</v>
      </c>
      <c r="H11880" s="128" t="str">
        <f>VLOOKUP(source[[#This Row],[lending_product_transform]],[3]Mapping!$B$3:$D$37,3,0)</f>
        <v>cashloan</v>
      </c>
      <c r="I11880" s="143">
        <v>0</v>
      </c>
    </row>
    <row r="11881" spans="1:9" x14ac:dyDescent="0.2">
      <c r="A11881" s="134">
        <v>46028</v>
      </c>
      <c r="B11881" s="135">
        <f>YEAR(source[[#This Row],[report_date]])</f>
        <v>2026</v>
      </c>
      <c r="C11881" s="128">
        <f t="shared" si="554"/>
        <v>1</v>
      </c>
      <c r="D11881" s="136">
        <f t="shared" si="556"/>
        <v>2</v>
      </c>
      <c r="E11881" s="136">
        <f t="shared" si="555"/>
        <v>6</v>
      </c>
      <c r="F11881" s="137" t="s">
        <v>24</v>
      </c>
      <c r="G11881" s="128" t="str">
        <f>VLOOKUP(source[[#This Row],[lending_product_transform]],[3]Mapping!$B$4:$C$37,2,0)</f>
        <v>[Cake] - Cashloan</v>
      </c>
      <c r="H11881" s="128" t="str">
        <f>VLOOKUP(source[[#This Row],[lending_product_transform]],[3]Mapping!$B$3:$D$37,3,0)</f>
        <v>cashloan</v>
      </c>
      <c r="I11881" s="143">
        <v>331500000</v>
      </c>
    </row>
    <row r="11882" spans="1:9" x14ac:dyDescent="0.2">
      <c r="A11882" s="134">
        <v>46028</v>
      </c>
      <c r="B11882" s="135">
        <f>YEAR(source[[#This Row],[report_date]])</f>
        <v>2026</v>
      </c>
      <c r="C11882" s="128">
        <f t="shared" si="554"/>
        <v>1</v>
      </c>
      <c r="D11882" s="136">
        <f t="shared" si="556"/>
        <v>2</v>
      </c>
      <c r="E11882" s="136">
        <f t="shared" si="555"/>
        <v>6</v>
      </c>
      <c r="F11882" s="137" t="s">
        <v>24</v>
      </c>
      <c r="G11882" s="128" t="str">
        <f>VLOOKUP(source[[#This Row],[lending_product_transform]],[3]Mapping!$B$4:$C$37,2,0)</f>
        <v>[Cake] - Cashloan</v>
      </c>
      <c r="H11882" s="128" t="str">
        <f>VLOOKUP(source[[#This Row],[lending_product_transform]],[3]Mapping!$B$3:$D$37,3,0)</f>
        <v>cashloan</v>
      </c>
      <c r="I11882" s="143">
        <v>0</v>
      </c>
    </row>
    <row r="11883" spans="1:9" x14ac:dyDescent="0.2">
      <c r="A11883" s="134">
        <v>46028</v>
      </c>
      <c r="B11883" s="135">
        <f>YEAR(source[[#This Row],[report_date]])</f>
        <v>2026</v>
      </c>
      <c r="C11883" s="128">
        <f t="shared" si="554"/>
        <v>1</v>
      </c>
      <c r="D11883" s="136">
        <f t="shared" si="556"/>
        <v>2</v>
      </c>
      <c r="E11883" s="136">
        <f t="shared" si="555"/>
        <v>6</v>
      </c>
      <c r="F11883" s="137" t="s">
        <v>24</v>
      </c>
      <c r="G11883" s="128" t="str">
        <f>VLOOKUP(source[[#This Row],[lending_product_transform]],[3]Mapping!$B$4:$C$37,2,0)</f>
        <v>[Cake] - Cashloan</v>
      </c>
      <c r="H11883" s="128" t="str">
        <f>VLOOKUP(source[[#This Row],[lending_product_transform]],[3]Mapping!$B$3:$D$37,3,0)</f>
        <v>cashloan</v>
      </c>
      <c r="I11883" s="143">
        <v>16112910000</v>
      </c>
    </row>
    <row r="11884" spans="1:9" x14ac:dyDescent="0.2">
      <c r="A11884" s="134">
        <v>46028</v>
      </c>
      <c r="B11884" s="135">
        <f>YEAR(source[[#This Row],[report_date]])</f>
        <v>2026</v>
      </c>
      <c r="C11884" s="128">
        <f t="shared" si="554"/>
        <v>1</v>
      </c>
      <c r="D11884" s="136">
        <f t="shared" si="556"/>
        <v>2</v>
      </c>
      <c r="E11884" s="136">
        <f t="shared" si="555"/>
        <v>6</v>
      </c>
      <c r="F11884" s="137" t="s">
        <v>24</v>
      </c>
      <c r="G11884" s="128" t="str">
        <f>VLOOKUP(source[[#This Row],[lending_product_transform]],[3]Mapping!$B$4:$C$37,2,0)</f>
        <v>[Cake] - Cashloan</v>
      </c>
      <c r="H11884" s="128" t="str">
        <f>VLOOKUP(source[[#This Row],[lending_product_transform]],[3]Mapping!$B$3:$D$37,3,0)</f>
        <v>cashloan</v>
      </c>
      <c r="I11884" s="143">
        <v>0</v>
      </c>
    </row>
    <row r="11885" spans="1:9" x14ac:dyDescent="0.2">
      <c r="A11885" s="134">
        <v>46028</v>
      </c>
      <c r="B11885" s="135">
        <f>YEAR(source[[#This Row],[report_date]])</f>
        <v>2026</v>
      </c>
      <c r="C11885" s="128">
        <f t="shared" si="554"/>
        <v>1</v>
      </c>
      <c r="D11885" s="136">
        <f t="shared" si="556"/>
        <v>2</v>
      </c>
      <c r="E11885" s="136">
        <f t="shared" si="555"/>
        <v>6</v>
      </c>
      <c r="F11885" s="137" t="s">
        <v>24</v>
      </c>
      <c r="G11885" s="128" t="str">
        <f>VLOOKUP(source[[#This Row],[lending_product_transform]],[3]Mapping!$B$4:$C$37,2,0)</f>
        <v>[Cake] - Cashloan</v>
      </c>
      <c r="H11885" s="128" t="str">
        <f>VLOOKUP(source[[#This Row],[lending_product_transform]],[3]Mapping!$B$3:$D$37,3,0)</f>
        <v>cashloan</v>
      </c>
      <c r="I11885" s="143">
        <v>0</v>
      </c>
    </row>
    <row r="11886" spans="1:9" x14ac:dyDescent="0.2">
      <c r="A11886" s="134">
        <v>46028</v>
      </c>
      <c r="B11886" s="135">
        <f>YEAR(source[[#This Row],[report_date]])</f>
        <v>2026</v>
      </c>
      <c r="C11886" s="128">
        <f t="shared" si="554"/>
        <v>1</v>
      </c>
      <c r="D11886" s="136">
        <f t="shared" si="556"/>
        <v>2</v>
      </c>
      <c r="E11886" s="136">
        <f t="shared" si="555"/>
        <v>6</v>
      </c>
      <c r="F11886" s="137" t="s">
        <v>24</v>
      </c>
      <c r="G11886" s="128" t="str">
        <f>VLOOKUP(source[[#This Row],[lending_product_transform]],[3]Mapping!$B$4:$C$37,2,0)</f>
        <v>[Cake] - Cashloan</v>
      </c>
      <c r="H11886" s="128" t="str">
        <f>VLOOKUP(source[[#This Row],[lending_product_transform]],[3]Mapping!$B$3:$D$37,3,0)</f>
        <v>cashloan</v>
      </c>
      <c r="I11886" s="143">
        <v>0</v>
      </c>
    </row>
    <row r="11887" spans="1:9" x14ac:dyDescent="0.2">
      <c r="A11887" s="134">
        <v>46028</v>
      </c>
      <c r="B11887" s="135">
        <f>YEAR(source[[#This Row],[report_date]])</f>
        <v>2026</v>
      </c>
      <c r="C11887" s="128">
        <f t="shared" si="554"/>
        <v>1</v>
      </c>
      <c r="D11887" s="136">
        <f t="shared" si="556"/>
        <v>2</v>
      </c>
      <c r="E11887" s="136">
        <f t="shared" si="555"/>
        <v>6</v>
      </c>
      <c r="F11887" s="137" t="s">
        <v>24</v>
      </c>
      <c r="G11887" s="128" t="str">
        <f>VLOOKUP(source[[#This Row],[lending_product_transform]],[3]Mapping!$B$4:$C$37,2,0)</f>
        <v>[Cake] - Cashloan</v>
      </c>
      <c r="H11887" s="128" t="str">
        <f>VLOOKUP(source[[#This Row],[lending_product_transform]],[3]Mapping!$B$3:$D$37,3,0)</f>
        <v>cashloan</v>
      </c>
      <c r="I11887" s="143">
        <v>0</v>
      </c>
    </row>
    <row r="11888" spans="1:9" x14ac:dyDescent="0.2">
      <c r="A11888" s="134">
        <v>46028</v>
      </c>
      <c r="B11888" s="135">
        <f>YEAR(source[[#This Row],[report_date]])</f>
        <v>2026</v>
      </c>
      <c r="C11888" s="128">
        <f t="shared" si="554"/>
        <v>1</v>
      </c>
      <c r="D11888" s="136">
        <f t="shared" si="556"/>
        <v>2</v>
      </c>
      <c r="E11888" s="136">
        <f t="shared" si="555"/>
        <v>6</v>
      </c>
      <c r="F11888" s="137" t="s">
        <v>24</v>
      </c>
      <c r="G11888" s="128" t="str">
        <f>VLOOKUP(source[[#This Row],[lending_product_transform]],[3]Mapping!$B$4:$C$37,2,0)</f>
        <v>[Cake] - Cashloan</v>
      </c>
      <c r="H11888" s="128" t="str">
        <f>VLOOKUP(source[[#This Row],[lending_product_transform]],[3]Mapping!$B$3:$D$37,3,0)</f>
        <v>cashloan</v>
      </c>
      <c r="I11888" s="143">
        <v>9791604000</v>
      </c>
    </row>
    <row r="11889" spans="1:9" x14ac:dyDescent="0.2">
      <c r="A11889" s="134">
        <v>46028</v>
      </c>
      <c r="B11889" s="135">
        <f>YEAR(source[[#This Row],[report_date]])</f>
        <v>2026</v>
      </c>
      <c r="C11889" s="128">
        <f t="shared" si="554"/>
        <v>1</v>
      </c>
      <c r="D11889" s="136">
        <f t="shared" si="556"/>
        <v>2</v>
      </c>
      <c r="E11889" s="136">
        <f t="shared" si="555"/>
        <v>6</v>
      </c>
      <c r="F11889" s="137" t="s">
        <v>24</v>
      </c>
      <c r="G11889" s="128" t="str">
        <f>VLOOKUP(source[[#This Row],[lending_product_transform]],[3]Mapping!$B$4:$C$37,2,0)</f>
        <v>[Cake] - Cashloan</v>
      </c>
      <c r="H11889" s="128" t="str">
        <f>VLOOKUP(source[[#This Row],[lending_product_transform]],[3]Mapping!$B$3:$D$37,3,0)</f>
        <v>cashloan</v>
      </c>
      <c r="I11889" s="143">
        <v>350790852</v>
      </c>
    </row>
    <row r="11890" spans="1:9" x14ac:dyDescent="0.2">
      <c r="A11890" s="134">
        <v>46028</v>
      </c>
      <c r="B11890" s="135">
        <f>YEAR(source[[#This Row],[report_date]])</f>
        <v>2026</v>
      </c>
      <c r="C11890" s="128">
        <f t="shared" si="554"/>
        <v>1</v>
      </c>
      <c r="D11890" s="136">
        <f t="shared" si="556"/>
        <v>2</v>
      </c>
      <c r="E11890" s="136">
        <f t="shared" si="555"/>
        <v>6</v>
      </c>
      <c r="F11890" s="137" t="s">
        <v>24</v>
      </c>
      <c r="G11890" s="128" t="str">
        <f>VLOOKUP(source[[#This Row],[lending_product_transform]],[3]Mapping!$B$4:$C$37,2,0)</f>
        <v>[Cake] - Cashloan</v>
      </c>
      <c r="H11890" s="128" t="str">
        <f>VLOOKUP(source[[#This Row],[lending_product_transform]],[3]Mapping!$B$3:$D$37,3,0)</f>
        <v>cashloan</v>
      </c>
      <c r="I11890" s="143">
        <v>21000000</v>
      </c>
    </row>
    <row r="11891" spans="1:9" x14ac:dyDescent="0.2">
      <c r="A11891" s="134">
        <v>46028</v>
      </c>
      <c r="B11891" s="135">
        <f>YEAR(source[[#This Row],[report_date]])</f>
        <v>2026</v>
      </c>
      <c r="C11891" s="128">
        <f t="shared" si="554"/>
        <v>1</v>
      </c>
      <c r="D11891" s="136">
        <f t="shared" si="556"/>
        <v>2</v>
      </c>
      <c r="E11891" s="136">
        <f t="shared" si="555"/>
        <v>6</v>
      </c>
      <c r="F11891" s="137" t="s">
        <v>24</v>
      </c>
      <c r="G11891" s="128" t="str">
        <f>VLOOKUP(source[[#This Row],[lending_product_transform]],[3]Mapping!$B$4:$C$37,2,0)</f>
        <v>[Cake] - Cashloan</v>
      </c>
      <c r="H11891" s="128" t="str">
        <f>VLOOKUP(source[[#This Row],[lending_product_transform]],[3]Mapping!$B$3:$D$37,3,0)</f>
        <v>cashloan</v>
      </c>
      <c r="I11891" s="143">
        <v>73000000</v>
      </c>
    </row>
    <row r="11892" spans="1:9" x14ac:dyDescent="0.2">
      <c r="A11892" s="134">
        <v>46028</v>
      </c>
      <c r="B11892" s="135">
        <f>YEAR(source[[#This Row],[report_date]])</f>
        <v>2026</v>
      </c>
      <c r="C11892" s="128">
        <f t="shared" si="554"/>
        <v>1</v>
      </c>
      <c r="D11892" s="136">
        <f t="shared" si="556"/>
        <v>2</v>
      </c>
      <c r="E11892" s="136">
        <f t="shared" si="555"/>
        <v>6</v>
      </c>
      <c r="F11892" s="137" t="s">
        <v>24</v>
      </c>
      <c r="G11892" s="128" t="str">
        <f>VLOOKUP(source[[#This Row],[lending_product_transform]],[3]Mapping!$B$4:$C$37,2,0)</f>
        <v>[Cake] - Cashloan</v>
      </c>
      <c r="H11892" s="128" t="str">
        <f>VLOOKUP(source[[#This Row],[lending_product_transform]],[3]Mapping!$B$3:$D$37,3,0)</f>
        <v>cashloan</v>
      </c>
      <c r="I11892" s="143">
        <v>524560000</v>
      </c>
    </row>
    <row r="11893" spans="1:9" x14ac:dyDescent="0.2">
      <c r="A11893" s="134">
        <v>46028</v>
      </c>
      <c r="B11893" s="135">
        <f>YEAR(source[[#This Row],[report_date]])</f>
        <v>2026</v>
      </c>
      <c r="C11893" s="128">
        <f t="shared" si="554"/>
        <v>1</v>
      </c>
      <c r="D11893" s="136">
        <f t="shared" si="556"/>
        <v>2</v>
      </c>
      <c r="E11893" s="136">
        <f t="shared" si="555"/>
        <v>6</v>
      </c>
      <c r="F11893" s="137" t="s">
        <v>24</v>
      </c>
      <c r="G11893" s="128" t="str">
        <f>VLOOKUP(source[[#This Row],[lending_product_transform]],[3]Mapping!$B$4:$C$37,2,0)</f>
        <v>[Cake] - Cashloan</v>
      </c>
      <c r="H11893" s="128" t="str">
        <f>VLOOKUP(source[[#This Row],[lending_product_transform]],[3]Mapping!$B$3:$D$37,3,0)</f>
        <v>cashloan</v>
      </c>
      <c r="I11893" s="143">
        <v>297756000</v>
      </c>
    </row>
    <row r="11894" spans="1:9" x14ac:dyDescent="0.2">
      <c r="A11894" s="134">
        <v>46028</v>
      </c>
      <c r="B11894" s="135">
        <f>YEAR(source[[#This Row],[report_date]])</f>
        <v>2026</v>
      </c>
      <c r="C11894" s="128">
        <f t="shared" ref="C11894:C11957" si="557">MONTH(A11894)</f>
        <v>1</v>
      </c>
      <c r="D11894" s="136">
        <f t="shared" si="556"/>
        <v>2</v>
      </c>
      <c r="E11894" s="136">
        <f t="shared" ref="E11894:E11957" si="558">DAY(A11894)</f>
        <v>6</v>
      </c>
      <c r="F11894" s="137" t="s">
        <v>24</v>
      </c>
      <c r="G11894" s="128" t="str">
        <f>VLOOKUP(source[[#This Row],[lending_product_transform]],[3]Mapping!$B$4:$C$37,2,0)</f>
        <v>[Cake] - Cashloan</v>
      </c>
      <c r="H11894" s="128" t="str">
        <f>VLOOKUP(source[[#This Row],[lending_product_transform]],[3]Mapping!$B$3:$D$37,3,0)</f>
        <v>cashloan</v>
      </c>
      <c r="I11894" s="143">
        <v>843024671</v>
      </c>
    </row>
    <row r="11895" spans="1:9" x14ac:dyDescent="0.2">
      <c r="A11895" s="134">
        <v>46028</v>
      </c>
      <c r="B11895" s="135">
        <f>YEAR(source[[#This Row],[report_date]])</f>
        <v>2026</v>
      </c>
      <c r="C11895" s="128">
        <f t="shared" si="557"/>
        <v>1</v>
      </c>
      <c r="D11895" s="136">
        <f t="shared" si="556"/>
        <v>2</v>
      </c>
      <c r="E11895" s="136">
        <f t="shared" si="558"/>
        <v>6</v>
      </c>
      <c r="F11895" s="137" t="s">
        <v>24</v>
      </c>
      <c r="G11895" s="128" t="str">
        <f>VLOOKUP(source[[#This Row],[lending_product_transform]],[3]Mapping!$B$4:$C$37,2,0)</f>
        <v>[Cake] - Cashloan</v>
      </c>
      <c r="H11895" s="128" t="str">
        <f>VLOOKUP(source[[#This Row],[lending_product_transform]],[3]Mapping!$B$3:$D$37,3,0)</f>
        <v>cashloan</v>
      </c>
      <c r="I11895" s="143">
        <v>4133690000</v>
      </c>
    </row>
    <row r="11896" spans="1:9" x14ac:dyDescent="0.2">
      <c r="A11896" s="134">
        <v>46028</v>
      </c>
      <c r="B11896" s="135">
        <f>YEAR(source[[#This Row],[report_date]])</f>
        <v>2026</v>
      </c>
      <c r="C11896" s="128">
        <f t="shared" si="557"/>
        <v>1</v>
      </c>
      <c r="D11896" s="136">
        <f t="shared" si="556"/>
        <v>2</v>
      </c>
      <c r="E11896" s="136">
        <f t="shared" si="558"/>
        <v>6</v>
      </c>
      <c r="F11896" s="137" t="s">
        <v>24</v>
      </c>
      <c r="G11896" s="128" t="str">
        <f>VLOOKUP(source[[#This Row],[lending_product_transform]],[3]Mapping!$B$4:$C$37,2,0)</f>
        <v>[Cake] - Cashloan</v>
      </c>
      <c r="H11896" s="128" t="str">
        <f>VLOOKUP(source[[#This Row],[lending_product_transform]],[3]Mapping!$B$3:$D$37,3,0)</f>
        <v>cashloan</v>
      </c>
      <c r="I11896" s="143">
        <v>0</v>
      </c>
    </row>
    <row r="11897" spans="1:9" x14ac:dyDescent="0.2">
      <c r="A11897" s="134">
        <v>46029</v>
      </c>
      <c r="B11897" s="135">
        <f>YEAR(source[[#This Row],[report_date]])</f>
        <v>2026</v>
      </c>
      <c r="C11897" s="128">
        <f t="shared" si="557"/>
        <v>1</v>
      </c>
      <c r="D11897" s="136">
        <f t="shared" si="556"/>
        <v>2</v>
      </c>
      <c r="E11897" s="136">
        <f t="shared" si="558"/>
        <v>7</v>
      </c>
      <c r="F11897" s="137" t="s">
        <v>24</v>
      </c>
      <c r="G11897" s="128" t="str">
        <f>VLOOKUP(source[[#This Row],[lending_product_transform]],[3]Mapping!$B$4:$C$37,2,0)</f>
        <v>[Cake] - Cashloan</v>
      </c>
      <c r="H11897" s="128" t="str">
        <f>VLOOKUP(source[[#This Row],[lending_product_transform]],[3]Mapping!$B$3:$D$37,3,0)</f>
        <v>cashloan</v>
      </c>
      <c r="I11897" s="143">
        <v>907400000</v>
      </c>
    </row>
    <row r="11898" spans="1:9" x14ac:dyDescent="0.2">
      <c r="A11898" s="134">
        <v>46029</v>
      </c>
      <c r="B11898" s="135">
        <f>YEAR(source[[#This Row],[report_date]])</f>
        <v>2026</v>
      </c>
      <c r="C11898" s="128">
        <f t="shared" si="557"/>
        <v>1</v>
      </c>
      <c r="D11898" s="136">
        <f t="shared" si="556"/>
        <v>2</v>
      </c>
      <c r="E11898" s="136">
        <f t="shared" si="558"/>
        <v>7</v>
      </c>
      <c r="F11898" s="137" t="s">
        <v>24</v>
      </c>
      <c r="G11898" s="128" t="str">
        <f>VLOOKUP(source[[#This Row],[lending_product_transform]],[3]Mapping!$B$4:$C$37,2,0)</f>
        <v>[Cake] - Cashloan</v>
      </c>
      <c r="H11898" s="128" t="str">
        <f>VLOOKUP(source[[#This Row],[lending_product_transform]],[3]Mapping!$B$3:$D$37,3,0)</f>
        <v>cashloan</v>
      </c>
      <c r="I11898" s="143">
        <v>400817994</v>
      </c>
    </row>
    <row r="11899" spans="1:9" x14ac:dyDescent="0.2">
      <c r="A11899" s="134">
        <v>46029</v>
      </c>
      <c r="B11899" s="135">
        <f>YEAR(source[[#This Row],[report_date]])</f>
        <v>2026</v>
      </c>
      <c r="C11899" s="128">
        <f t="shared" si="557"/>
        <v>1</v>
      </c>
      <c r="D11899" s="136">
        <f t="shared" si="556"/>
        <v>2</v>
      </c>
      <c r="E11899" s="136">
        <f t="shared" si="558"/>
        <v>7</v>
      </c>
      <c r="F11899" s="137" t="s">
        <v>24</v>
      </c>
      <c r="G11899" s="128" t="str">
        <f>VLOOKUP(source[[#This Row],[lending_product_transform]],[3]Mapping!$B$4:$C$37,2,0)</f>
        <v>[Cake] - Cashloan</v>
      </c>
      <c r="H11899" s="128" t="str">
        <f>VLOOKUP(source[[#This Row],[lending_product_transform]],[3]Mapping!$B$3:$D$37,3,0)</f>
        <v>cashloan</v>
      </c>
      <c r="I11899" s="143">
        <v>15492080000</v>
      </c>
    </row>
    <row r="11900" spans="1:9" x14ac:dyDescent="0.2">
      <c r="A11900" s="134">
        <v>46029</v>
      </c>
      <c r="B11900" s="135">
        <f>YEAR(source[[#This Row],[report_date]])</f>
        <v>2026</v>
      </c>
      <c r="C11900" s="128">
        <f t="shared" si="557"/>
        <v>1</v>
      </c>
      <c r="D11900" s="136">
        <f t="shared" si="556"/>
        <v>2</v>
      </c>
      <c r="E11900" s="136">
        <f t="shared" si="558"/>
        <v>7</v>
      </c>
      <c r="F11900" s="137" t="s">
        <v>24</v>
      </c>
      <c r="G11900" s="128" t="str">
        <f>VLOOKUP(source[[#This Row],[lending_product_transform]],[3]Mapping!$B$4:$C$37,2,0)</f>
        <v>[Cake] - Cashloan</v>
      </c>
      <c r="H11900" s="128" t="str">
        <f>VLOOKUP(source[[#This Row],[lending_product_transform]],[3]Mapping!$B$3:$D$37,3,0)</f>
        <v>cashloan</v>
      </c>
      <c r="I11900" s="143">
        <v>1892761441</v>
      </c>
    </row>
    <row r="11901" spans="1:9" x14ac:dyDescent="0.2">
      <c r="A11901" s="134">
        <v>46029</v>
      </c>
      <c r="B11901" s="135">
        <f>YEAR(source[[#This Row],[report_date]])</f>
        <v>2026</v>
      </c>
      <c r="C11901" s="128">
        <f t="shared" si="557"/>
        <v>1</v>
      </c>
      <c r="D11901" s="136">
        <f t="shared" si="556"/>
        <v>2</v>
      </c>
      <c r="E11901" s="136">
        <f t="shared" si="558"/>
        <v>7</v>
      </c>
      <c r="F11901" s="137" t="s">
        <v>24</v>
      </c>
      <c r="G11901" s="128" t="str">
        <f>VLOOKUP(source[[#This Row],[lending_product_transform]],[3]Mapping!$B$4:$C$37,2,0)</f>
        <v>[Cake] - Cashloan</v>
      </c>
      <c r="H11901" s="128" t="str">
        <f>VLOOKUP(source[[#This Row],[lending_product_transform]],[3]Mapping!$B$3:$D$37,3,0)</f>
        <v>cashloan</v>
      </c>
      <c r="I11901" s="143">
        <v>13269096000</v>
      </c>
    </row>
    <row r="11902" spans="1:9" x14ac:dyDescent="0.2">
      <c r="A11902" s="134">
        <v>46029</v>
      </c>
      <c r="B11902" s="135">
        <f>YEAR(source[[#This Row],[report_date]])</f>
        <v>2026</v>
      </c>
      <c r="C11902" s="128">
        <f t="shared" si="557"/>
        <v>1</v>
      </c>
      <c r="D11902" s="136">
        <f t="shared" si="556"/>
        <v>2</v>
      </c>
      <c r="E11902" s="136">
        <f t="shared" si="558"/>
        <v>7</v>
      </c>
      <c r="F11902" s="137" t="s">
        <v>24</v>
      </c>
      <c r="G11902" s="128" t="str">
        <f>VLOOKUP(source[[#This Row],[lending_product_transform]],[3]Mapping!$B$4:$C$37,2,0)</f>
        <v>[Cake] - Cashloan</v>
      </c>
      <c r="H11902" s="128" t="str">
        <f>VLOOKUP(source[[#This Row],[lending_product_transform]],[3]Mapping!$B$3:$D$37,3,0)</f>
        <v>cashloan</v>
      </c>
      <c r="I11902" s="143">
        <v>24325145</v>
      </c>
    </row>
    <row r="11903" spans="1:9" x14ac:dyDescent="0.2">
      <c r="A11903" s="134">
        <v>46029</v>
      </c>
      <c r="B11903" s="135">
        <f>YEAR(source[[#This Row],[report_date]])</f>
        <v>2026</v>
      </c>
      <c r="C11903" s="128">
        <f t="shared" si="557"/>
        <v>1</v>
      </c>
      <c r="D11903" s="136">
        <f t="shared" si="556"/>
        <v>2</v>
      </c>
      <c r="E11903" s="136">
        <f t="shared" si="558"/>
        <v>7</v>
      </c>
      <c r="F11903" s="137" t="s">
        <v>24</v>
      </c>
      <c r="G11903" s="128" t="str">
        <f>VLOOKUP(source[[#This Row],[lending_product_transform]],[3]Mapping!$B$4:$C$37,2,0)</f>
        <v>[Cake] - Cashloan</v>
      </c>
      <c r="H11903" s="128" t="str">
        <f>VLOOKUP(source[[#This Row],[lending_product_transform]],[3]Mapping!$B$3:$D$37,3,0)</f>
        <v>cashloan</v>
      </c>
      <c r="I11903" s="143">
        <v>0</v>
      </c>
    </row>
    <row r="11904" spans="1:9" x14ac:dyDescent="0.2">
      <c r="A11904" s="134">
        <v>46029</v>
      </c>
      <c r="B11904" s="135">
        <f>YEAR(source[[#This Row],[report_date]])</f>
        <v>2026</v>
      </c>
      <c r="C11904" s="128">
        <f t="shared" si="557"/>
        <v>1</v>
      </c>
      <c r="D11904" s="136">
        <f t="shared" si="556"/>
        <v>2</v>
      </c>
      <c r="E11904" s="136">
        <f t="shared" si="558"/>
        <v>7</v>
      </c>
      <c r="F11904" s="137" t="s">
        <v>24</v>
      </c>
      <c r="G11904" s="128" t="str">
        <f>VLOOKUP(source[[#This Row],[lending_product_transform]],[3]Mapping!$B$4:$C$37,2,0)</f>
        <v>[Cake] - Cashloan</v>
      </c>
      <c r="H11904" s="128" t="str">
        <f>VLOOKUP(source[[#This Row],[lending_product_transform]],[3]Mapping!$B$3:$D$37,3,0)</f>
        <v>cashloan</v>
      </c>
      <c r="I11904" s="143">
        <v>4550680000</v>
      </c>
    </row>
    <row r="11905" spans="1:9" x14ac:dyDescent="0.2">
      <c r="A11905" s="134">
        <v>46029</v>
      </c>
      <c r="B11905" s="135">
        <f>YEAR(source[[#This Row],[report_date]])</f>
        <v>2026</v>
      </c>
      <c r="C11905" s="128">
        <f t="shared" si="557"/>
        <v>1</v>
      </c>
      <c r="D11905" s="136">
        <f t="shared" si="556"/>
        <v>2</v>
      </c>
      <c r="E11905" s="136">
        <f t="shared" si="558"/>
        <v>7</v>
      </c>
      <c r="F11905" s="137" t="s">
        <v>24</v>
      </c>
      <c r="G11905" s="128" t="str">
        <f>VLOOKUP(source[[#This Row],[lending_product_transform]],[3]Mapping!$B$4:$C$37,2,0)</f>
        <v>[Cake] - Cashloan</v>
      </c>
      <c r="H11905" s="128" t="str">
        <f>VLOOKUP(source[[#This Row],[lending_product_transform]],[3]Mapping!$B$3:$D$37,3,0)</f>
        <v>cashloan</v>
      </c>
      <c r="I11905" s="143">
        <v>452650000</v>
      </c>
    </row>
    <row r="11906" spans="1:9" x14ac:dyDescent="0.2">
      <c r="A11906" s="134">
        <v>46029</v>
      </c>
      <c r="B11906" s="135">
        <f>YEAR(source[[#This Row],[report_date]])</f>
        <v>2026</v>
      </c>
      <c r="C11906" s="128">
        <f t="shared" si="557"/>
        <v>1</v>
      </c>
      <c r="D11906" s="136">
        <f t="shared" si="556"/>
        <v>2</v>
      </c>
      <c r="E11906" s="136">
        <f t="shared" si="558"/>
        <v>7</v>
      </c>
      <c r="F11906" s="137" t="s">
        <v>24</v>
      </c>
      <c r="G11906" s="128" t="str">
        <f>VLOOKUP(source[[#This Row],[lending_product_transform]],[3]Mapping!$B$4:$C$37,2,0)</f>
        <v>[Cake] - Cashloan</v>
      </c>
      <c r="H11906" s="128" t="str">
        <f>VLOOKUP(source[[#This Row],[lending_product_transform]],[3]Mapping!$B$3:$D$37,3,0)</f>
        <v>cashloan</v>
      </c>
      <c r="I11906" s="143">
        <v>25534191</v>
      </c>
    </row>
    <row r="11907" spans="1:9" x14ac:dyDescent="0.2">
      <c r="A11907" s="134">
        <v>46029</v>
      </c>
      <c r="B11907" s="135">
        <f>YEAR(source[[#This Row],[report_date]])</f>
        <v>2026</v>
      </c>
      <c r="C11907" s="128">
        <f t="shared" si="557"/>
        <v>1</v>
      </c>
      <c r="D11907" s="136">
        <f t="shared" si="556"/>
        <v>2</v>
      </c>
      <c r="E11907" s="136">
        <f t="shared" si="558"/>
        <v>7</v>
      </c>
      <c r="F11907" s="137" t="s">
        <v>24</v>
      </c>
      <c r="G11907" s="128" t="str">
        <f>VLOOKUP(source[[#This Row],[lending_product_transform]],[3]Mapping!$B$4:$C$37,2,0)</f>
        <v>[Cake] - Cashloan</v>
      </c>
      <c r="H11907" s="128" t="str">
        <f>VLOOKUP(source[[#This Row],[lending_product_transform]],[3]Mapping!$B$3:$D$37,3,0)</f>
        <v>cashloan</v>
      </c>
      <c r="I11907" s="143">
        <v>1449111267</v>
      </c>
    </row>
    <row r="11908" spans="1:9" x14ac:dyDescent="0.2">
      <c r="A11908" s="134">
        <v>46029</v>
      </c>
      <c r="B11908" s="135">
        <f>YEAR(source[[#This Row],[report_date]])</f>
        <v>2026</v>
      </c>
      <c r="C11908" s="128">
        <f t="shared" si="557"/>
        <v>1</v>
      </c>
      <c r="D11908" s="136">
        <f t="shared" si="556"/>
        <v>2</v>
      </c>
      <c r="E11908" s="136">
        <f t="shared" si="558"/>
        <v>7</v>
      </c>
      <c r="F11908" s="137" t="s">
        <v>24</v>
      </c>
      <c r="G11908" s="128" t="str">
        <f>VLOOKUP(source[[#This Row],[lending_product_transform]],[3]Mapping!$B$4:$C$37,2,0)</f>
        <v>[Cake] - Cashloan</v>
      </c>
      <c r="H11908" s="128" t="str">
        <f>VLOOKUP(source[[#This Row],[lending_product_transform]],[3]Mapping!$B$3:$D$37,3,0)</f>
        <v>cashloan</v>
      </c>
      <c r="I11908" s="143">
        <v>0</v>
      </c>
    </row>
    <row r="11909" spans="1:9" x14ac:dyDescent="0.2">
      <c r="A11909" s="134">
        <v>46029</v>
      </c>
      <c r="B11909" s="135">
        <f>YEAR(source[[#This Row],[report_date]])</f>
        <v>2026</v>
      </c>
      <c r="C11909" s="128">
        <f t="shared" si="557"/>
        <v>1</v>
      </c>
      <c r="D11909" s="136">
        <f t="shared" si="556"/>
        <v>2</v>
      </c>
      <c r="E11909" s="136">
        <f t="shared" si="558"/>
        <v>7</v>
      </c>
      <c r="F11909" s="137" t="s">
        <v>24</v>
      </c>
      <c r="G11909" s="128" t="str">
        <f>VLOOKUP(source[[#This Row],[lending_product_transform]],[3]Mapping!$B$4:$C$37,2,0)</f>
        <v>[Cake] - Cashloan</v>
      </c>
      <c r="H11909" s="128" t="str">
        <f>VLOOKUP(source[[#This Row],[lending_product_transform]],[3]Mapping!$B$3:$D$37,3,0)</f>
        <v>cashloan</v>
      </c>
      <c r="I11909" s="143">
        <v>78750000</v>
      </c>
    </row>
    <row r="11910" spans="1:9" x14ac:dyDescent="0.2">
      <c r="A11910" s="134">
        <v>46029</v>
      </c>
      <c r="B11910" s="135">
        <f>YEAR(source[[#This Row],[report_date]])</f>
        <v>2026</v>
      </c>
      <c r="C11910" s="128">
        <f t="shared" si="557"/>
        <v>1</v>
      </c>
      <c r="D11910" s="136">
        <f t="shared" si="556"/>
        <v>2</v>
      </c>
      <c r="E11910" s="136">
        <f t="shared" si="558"/>
        <v>7</v>
      </c>
      <c r="F11910" s="137" t="s">
        <v>24</v>
      </c>
      <c r="G11910" s="128" t="str">
        <f>VLOOKUP(source[[#This Row],[lending_product_transform]],[3]Mapping!$B$4:$C$37,2,0)</f>
        <v>[Cake] - Cashloan</v>
      </c>
      <c r="H11910" s="128" t="str">
        <f>VLOOKUP(source[[#This Row],[lending_product_transform]],[3]Mapping!$B$3:$D$37,3,0)</f>
        <v>cashloan</v>
      </c>
      <c r="I11910" s="143">
        <v>0</v>
      </c>
    </row>
    <row r="11911" spans="1:9" x14ac:dyDescent="0.2">
      <c r="A11911" s="134">
        <v>46029</v>
      </c>
      <c r="B11911" s="135">
        <f>YEAR(source[[#This Row],[report_date]])</f>
        <v>2026</v>
      </c>
      <c r="C11911" s="128">
        <f t="shared" si="557"/>
        <v>1</v>
      </c>
      <c r="D11911" s="136">
        <f t="shared" si="556"/>
        <v>2</v>
      </c>
      <c r="E11911" s="136">
        <f t="shared" si="558"/>
        <v>7</v>
      </c>
      <c r="F11911" s="137" t="s">
        <v>24</v>
      </c>
      <c r="G11911" s="128" t="str">
        <f>VLOOKUP(source[[#This Row],[lending_product_transform]],[3]Mapping!$B$4:$C$37,2,0)</f>
        <v>[Cake] - Cashloan</v>
      </c>
      <c r="H11911" s="128" t="str">
        <f>VLOOKUP(source[[#This Row],[lending_product_transform]],[3]Mapping!$B$3:$D$37,3,0)</f>
        <v>cashloan</v>
      </c>
      <c r="I11911" s="143">
        <v>16542590000</v>
      </c>
    </row>
    <row r="11912" spans="1:9" x14ac:dyDescent="0.2">
      <c r="A11912" s="134">
        <v>46029</v>
      </c>
      <c r="B11912" s="135">
        <f>YEAR(source[[#This Row],[report_date]])</f>
        <v>2026</v>
      </c>
      <c r="C11912" s="128">
        <f t="shared" si="557"/>
        <v>1</v>
      </c>
      <c r="D11912" s="136">
        <f t="shared" si="556"/>
        <v>2</v>
      </c>
      <c r="E11912" s="136">
        <f t="shared" si="558"/>
        <v>7</v>
      </c>
      <c r="F11912" s="137" t="s">
        <v>24</v>
      </c>
      <c r="G11912" s="128" t="str">
        <f>VLOOKUP(source[[#This Row],[lending_product_transform]],[3]Mapping!$B$4:$C$37,2,0)</f>
        <v>[Cake] - Cashloan</v>
      </c>
      <c r="H11912" s="128" t="str">
        <f>VLOOKUP(source[[#This Row],[lending_product_transform]],[3]Mapping!$B$3:$D$37,3,0)</f>
        <v>cashloan</v>
      </c>
      <c r="I11912" s="143">
        <v>0</v>
      </c>
    </row>
    <row r="11913" spans="1:9" x14ac:dyDescent="0.2">
      <c r="A11913" s="134">
        <v>46029</v>
      </c>
      <c r="B11913" s="135">
        <f>YEAR(source[[#This Row],[report_date]])</f>
        <v>2026</v>
      </c>
      <c r="C11913" s="128">
        <f t="shared" si="557"/>
        <v>1</v>
      </c>
      <c r="D11913" s="136">
        <f t="shared" si="556"/>
        <v>2</v>
      </c>
      <c r="E11913" s="136">
        <f t="shared" si="558"/>
        <v>7</v>
      </c>
      <c r="F11913" s="137" t="s">
        <v>24</v>
      </c>
      <c r="G11913" s="128" t="str">
        <f>VLOOKUP(source[[#This Row],[lending_product_transform]],[3]Mapping!$B$4:$C$37,2,0)</f>
        <v>[Cake] - Cashloan</v>
      </c>
      <c r="H11913" s="128" t="str">
        <f>VLOOKUP(source[[#This Row],[lending_product_transform]],[3]Mapping!$B$3:$D$37,3,0)</f>
        <v>cashloan</v>
      </c>
      <c r="I11913" s="143">
        <v>0</v>
      </c>
    </row>
    <row r="11914" spans="1:9" x14ac:dyDescent="0.2">
      <c r="A11914" s="134">
        <v>46029</v>
      </c>
      <c r="B11914" s="135">
        <f>YEAR(source[[#This Row],[report_date]])</f>
        <v>2026</v>
      </c>
      <c r="C11914" s="128">
        <f t="shared" si="557"/>
        <v>1</v>
      </c>
      <c r="D11914" s="136">
        <f t="shared" si="556"/>
        <v>2</v>
      </c>
      <c r="E11914" s="136">
        <f t="shared" si="558"/>
        <v>7</v>
      </c>
      <c r="F11914" s="137" t="s">
        <v>24</v>
      </c>
      <c r="G11914" s="128" t="str">
        <f>VLOOKUP(source[[#This Row],[lending_product_transform]],[3]Mapping!$B$4:$C$37,2,0)</f>
        <v>[Cake] - Cashloan</v>
      </c>
      <c r="H11914" s="128" t="str">
        <f>VLOOKUP(source[[#This Row],[lending_product_transform]],[3]Mapping!$B$3:$D$37,3,0)</f>
        <v>cashloan</v>
      </c>
      <c r="I11914" s="143">
        <v>0</v>
      </c>
    </row>
    <row r="11915" spans="1:9" x14ac:dyDescent="0.2">
      <c r="A11915" s="134">
        <v>46029</v>
      </c>
      <c r="B11915" s="135">
        <f>YEAR(source[[#This Row],[report_date]])</f>
        <v>2026</v>
      </c>
      <c r="C11915" s="128">
        <f t="shared" si="557"/>
        <v>1</v>
      </c>
      <c r="D11915" s="136">
        <f t="shared" si="556"/>
        <v>2</v>
      </c>
      <c r="E11915" s="136">
        <f t="shared" si="558"/>
        <v>7</v>
      </c>
      <c r="F11915" s="137" t="s">
        <v>24</v>
      </c>
      <c r="G11915" s="128" t="str">
        <f>VLOOKUP(source[[#This Row],[lending_product_transform]],[3]Mapping!$B$4:$C$37,2,0)</f>
        <v>[Cake] - Cashloan</v>
      </c>
      <c r="H11915" s="128" t="str">
        <f>VLOOKUP(source[[#This Row],[lending_product_transform]],[3]Mapping!$B$3:$D$37,3,0)</f>
        <v>cashloan</v>
      </c>
      <c r="I11915" s="143">
        <v>0</v>
      </c>
    </row>
    <row r="11916" spans="1:9" x14ac:dyDescent="0.2">
      <c r="A11916" s="134">
        <v>46029</v>
      </c>
      <c r="B11916" s="135">
        <f>YEAR(source[[#This Row],[report_date]])</f>
        <v>2026</v>
      </c>
      <c r="C11916" s="128">
        <f t="shared" si="557"/>
        <v>1</v>
      </c>
      <c r="D11916" s="136">
        <f t="shared" si="556"/>
        <v>2</v>
      </c>
      <c r="E11916" s="136">
        <f t="shared" si="558"/>
        <v>7</v>
      </c>
      <c r="F11916" s="137" t="s">
        <v>24</v>
      </c>
      <c r="G11916" s="128" t="str">
        <f>VLOOKUP(source[[#This Row],[lending_product_transform]],[3]Mapping!$B$4:$C$37,2,0)</f>
        <v>[Cake] - Cashloan</v>
      </c>
      <c r="H11916" s="128" t="str">
        <f>VLOOKUP(source[[#This Row],[lending_product_transform]],[3]Mapping!$B$3:$D$37,3,0)</f>
        <v>cashloan</v>
      </c>
      <c r="I11916" s="143">
        <v>8963568000</v>
      </c>
    </row>
    <row r="11917" spans="1:9" x14ac:dyDescent="0.2">
      <c r="A11917" s="134">
        <v>46029</v>
      </c>
      <c r="B11917" s="135">
        <f>YEAR(source[[#This Row],[report_date]])</f>
        <v>2026</v>
      </c>
      <c r="C11917" s="128">
        <f t="shared" si="557"/>
        <v>1</v>
      </c>
      <c r="D11917" s="136">
        <f t="shared" si="556"/>
        <v>2</v>
      </c>
      <c r="E11917" s="136">
        <f t="shared" si="558"/>
        <v>7</v>
      </c>
      <c r="F11917" s="137" t="s">
        <v>24</v>
      </c>
      <c r="G11917" s="128" t="str">
        <f>VLOOKUP(source[[#This Row],[lending_product_transform]],[3]Mapping!$B$4:$C$37,2,0)</f>
        <v>[Cake] - Cashloan</v>
      </c>
      <c r="H11917" s="128" t="str">
        <f>VLOOKUP(source[[#This Row],[lending_product_transform]],[3]Mapping!$B$3:$D$37,3,0)</f>
        <v>cashloan</v>
      </c>
      <c r="I11917" s="143">
        <v>353176049</v>
      </c>
    </row>
    <row r="11918" spans="1:9" x14ac:dyDescent="0.2">
      <c r="A11918" s="134">
        <v>46029</v>
      </c>
      <c r="B11918" s="135">
        <f>YEAR(source[[#This Row],[report_date]])</f>
        <v>2026</v>
      </c>
      <c r="C11918" s="128">
        <f t="shared" si="557"/>
        <v>1</v>
      </c>
      <c r="D11918" s="136">
        <f t="shared" si="556"/>
        <v>2</v>
      </c>
      <c r="E11918" s="136">
        <f t="shared" si="558"/>
        <v>7</v>
      </c>
      <c r="F11918" s="137" t="s">
        <v>24</v>
      </c>
      <c r="G11918" s="128" t="str">
        <f>VLOOKUP(source[[#This Row],[lending_product_transform]],[3]Mapping!$B$4:$C$37,2,0)</f>
        <v>[Cake] - Cashloan</v>
      </c>
      <c r="H11918" s="128" t="str">
        <f>VLOOKUP(source[[#This Row],[lending_product_transform]],[3]Mapping!$B$3:$D$37,3,0)</f>
        <v>cashloan</v>
      </c>
      <c r="I11918" s="143">
        <v>21000000</v>
      </c>
    </row>
    <row r="11919" spans="1:9" x14ac:dyDescent="0.2">
      <c r="A11919" s="134">
        <v>46029</v>
      </c>
      <c r="B11919" s="135">
        <f>YEAR(source[[#This Row],[report_date]])</f>
        <v>2026</v>
      </c>
      <c r="C11919" s="128">
        <f t="shared" si="557"/>
        <v>1</v>
      </c>
      <c r="D11919" s="136">
        <f t="shared" si="556"/>
        <v>2</v>
      </c>
      <c r="E11919" s="136">
        <f t="shared" si="558"/>
        <v>7</v>
      </c>
      <c r="F11919" s="137" t="s">
        <v>24</v>
      </c>
      <c r="G11919" s="128" t="str">
        <f>VLOOKUP(source[[#This Row],[lending_product_transform]],[3]Mapping!$B$4:$C$37,2,0)</f>
        <v>[Cake] - Cashloan</v>
      </c>
      <c r="H11919" s="128" t="str">
        <f>VLOOKUP(source[[#This Row],[lending_product_transform]],[3]Mapping!$B$3:$D$37,3,0)</f>
        <v>cashloan</v>
      </c>
      <c r="I11919" s="143">
        <v>58000000</v>
      </c>
    </row>
    <row r="11920" spans="1:9" x14ac:dyDescent="0.2">
      <c r="A11920" s="134">
        <v>46029</v>
      </c>
      <c r="B11920" s="135">
        <f>YEAR(source[[#This Row],[report_date]])</f>
        <v>2026</v>
      </c>
      <c r="C11920" s="128">
        <f t="shared" si="557"/>
        <v>1</v>
      </c>
      <c r="D11920" s="136">
        <f t="shared" si="556"/>
        <v>2</v>
      </c>
      <c r="E11920" s="136">
        <f t="shared" si="558"/>
        <v>7</v>
      </c>
      <c r="F11920" s="137" t="s">
        <v>24</v>
      </c>
      <c r="G11920" s="128" t="str">
        <f>VLOOKUP(source[[#This Row],[lending_product_transform]],[3]Mapping!$B$4:$C$37,2,0)</f>
        <v>[Cake] - Cashloan</v>
      </c>
      <c r="H11920" s="128" t="str">
        <f>VLOOKUP(source[[#This Row],[lending_product_transform]],[3]Mapping!$B$3:$D$37,3,0)</f>
        <v>cashloan</v>
      </c>
      <c r="I11920" s="143">
        <v>834840000</v>
      </c>
    </row>
    <row r="11921" spans="1:9" x14ac:dyDescent="0.2">
      <c r="A11921" s="134">
        <v>46029</v>
      </c>
      <c r="B11921" s="135">
        <f>YEAR(source[[#This Row],[report_date]])</f>
        <v>2026</v>
      </c>
      <c r="C11921" s="128">
        <f t="shared" si="557"/>
        <v>1</v>
      </c>
      <c r="D11921" s="136">
        <f t="shared" ref="D11921:D11984" si="559">WEEKNUM(A11921,2)</f>
        <v>2</v>
      </c>
      <c r="E11921" s="136">
        <f t="shared" si="558"/>
        <v>7</v>
      </c>
      <c r="F11921" s="137" t="s">
        <v>24</v>
      </c>
      <c r="G11921" s="128" t="str">
        <f>VLOOKUP(source[[#This Row],[lending_product_transform]],[3]Mapping!$B$4:$C$37,2,0)</f>
        <v>[Cake] - Cashloan</v>
      </c>
      <c r="H11921" s="128" t="str">
        <f>VLOOKUP(source[[#This Row],[lending_product_transform]],[3]Mapping!$B$3:$D$37,3,0)</f>
        <v>cashloan</v>
      </c>
      <c r="I11921" s="143">
        <v>342360000</v>
      </c>
    </row>
    <row r="11922" spans="1:9" x14ac:dyDescent="0.2">
      <c r="A11922" s="134">
        <v>46029</v>
      </c>
      <c r="B11922" s="135">
        <f>YEAR(source[[#This Row],[report_date]])</f>
        <v>2026</v>
      </c>
      <c r="C11922" s="128">
        <f t="shared" si="557"/>
        <v>1</v>
      </c>
      <c r="D11922" s="136">
        <f t="shared" si="559"/>
        <v>2</v>
      </c>
      <c r="E11922" s="136">
        <f t="shared" si="558"/>
        <v>7</v>
      </c>
      <c r="F11922" s="137" t="s">
        <v>24</v>
      </c>
      <c r="G11922" s="128" t="str">
        <f>VLOOKUP(source[[#This Row],[lending_product_transform]],[3]Mapping!$B$4:$C$37,2,0)</f>
        <v>[Cake] - Cashloan</v>
      </c>
      <c r="H11922" s="128" t="str">
        <f>VLOOKUP(source[[#This Row],[lending_product_transform]],[3]Mapping!$B$3:$D$37,3,0)</f>
        <v>cashloan</v>
      </c>
      <c r="I11922" s="143">
        <v>549040339</v>
      </c>
    </row>
    <row r="11923" spans="1:9" x14ac:dyDescent="0.2">
      <c r="A11923" s="134">
        <v>46029</v>
      </c>
      <c r="B11923" s="135">
        <f>YEAR(source[[#This Row],[report_date]])</f>
        <v>2026</v>
      </c>
      <c r="C11923" s="128">
        <f t="shared" si="557"/>
        <v>1</v>
      </c>
      <c r="D11923" s="136">
        <f t="shared" si="559"/>
        <v>2</v>
      </c>
      <c r="E11923" s="136">
        <f t="shared" si="558"/>
        <v>7</v>
      </c>
      <c r="F11923" s="137" t="s">
        <v>24</v>
      </c>
      <c r="G11923" s="128" t="str">
        <f>VLOOKUP(source[[#This Row],[lending_product_transform]],[3]Mapping!$B$4:$C$37,2,0)</f>
        <v>[Cake] - Cashloan</v>
      </c>
      <c r="H11923" s="128" t="str">
        <f>VLOOKUP(source[[#This Row],[lending_product_transform]],[3]Mapping!$B$3:$D$37,3,0)</f>
        <v>cashloan</v>
      </c>
      <c r="I11923" s="143">
        <v>3067300000</v>
      </c>
    </row>
    <row r="11924" spans="1:9" x14ac:dyDescent="0.2">
      <c r="A11924" s="134">
        <v>46029</v>
      </c>
      <c r="B11924" s="135">
        <f>YEAR(source[[#This Row],[report_date]])</f>
        <v>2026</v>
      </c>
      <c r="C11924" s="128">
        <f t="shared" si="557"/>
        <v>1</v>
      </c>
      <c r="D11924" s="136">
        <f t="shared" si="559"/>
        <v>2</v>
      </c>
      <c r="E11924" s="136">
        <f t="shared" si="558"/>
        <v>7</v>
      </c>
      <c r="F11924" s="137" t="s">
        <v>24</v>
      </c>
      <c r="G11924" s="128" t="str">
        <f>VLOOKUP(source[[#This Row],[lending_product_transform]],[3]Mapping!$B$4:$C$37,2,0)</f>
        <v>[Cake] - Cashloan</v>
      </c>
      <c r="H11924" s="128" t="str">
        <f>VLOOKUP(source[[#This Row],[lending_product_transform]],[3]Mapping!$B$3:$D$37,3,0)</f>
        <v>cashloan</v>
      </c>
      <c r="I11924" s="143">
        <v>0</v>
      </c>
    </row>
    <row r="11925" spans="1:9" x14ac:dyDescent="0.2">
      <c r="A11925" s="134">
        <v>46030</v>
      </c>
      <c r="B11925" s="135">
        <f>YEAR(source[[#This Row],[report_date]])</f>
        <v>2026</v>
      </c>
      <c r="C11925" s="128">
        <f t="shared" si="557"/>
        <v>1</v>
      </c>
      <c r="D11925" s="136">
        <f t="shared" si="559"/>
        <v>2</v>
      </c>
      <c r="E11925" s="136">
        <f t="shared" si="558"/>
        <v>8</v>
      </c>
      <c r="F11925" s="137" t="s">
        <v>24</v>
      </c>
      <c r="G11925" s="128" t="str">
        <f>VLOOKUP(source[[#This Row],[lending_product_transform]],[3]Mapping!$B$4:$C$37,2,0)</f>
        <v>[Cake] - Cashloan</v>
      </c>
      <c r="H11925" s="128" t="str">
        <f>VLOOKUP(source[[#This Row],[lending_product_transform]],[3]Mapping!$B$3:$D$37,3,0)</f>
        <v>cashloan</v>
      </c>
      <c r="I11925" s="143">
        <v>629100000</v>
      </c>
    </row>
    <row r="11926" spans="1:9" x14ac:dyDescent="0.2">
      <c r="A11926" s="134">
        <v>46030</v>
      </c>
      <c r="B11926" s="135">
        <f>YEAR(source[[#This Row],[report_date]])</f>
        <v>2026</v>
      </c>
      <c r="C11926" s="128">
        <f t="shared" si="557"/>
        <v>1</v>
      </c>
      <c r="D11926" s="136">
        <f t="shared" si="559"/>
        <v>2</v>
      </c>
      <c r="E11926" s="136">
        <f t="shared" si="558"/>
        <v>8</v>
      </c>
      <c r="F11926" s="137" t="s">
        <v>24</v>
      </c>
      <c r="G11926" s="128" t="str">
        <f>VLOOKUP(source[[#This Row],[lending_product_transform]],[3]Mapping!$B$4:$C$37,2,0)</f>
        <v>[Cake] - Cashloan</v>
      </c>
      <c r="H11926" s="128" t="str">
        <f>VLOOKUP(source[[#This Row],[lending_product_transform]],[3]Mapping!$B$3:$D$37,3,0)</f>
        <v>cashloan</v>
      </c>
      <c r="I11926" s="143">
        <v>362697536</v>
      </c>
    </row>
    <row r="11927" spans="1:9" x14ac:dyDescent="0.2">
      <c r="A11927" s="134">
        <v>46030</v>
      </c>
      <c r="B11927" s="135">
        <f>YEAR(source[[#This Row],[report_date]])</f>
        <v>2026</v>
      </c>
      <c r="C11927" s="128">
        <f t="shared" si="557"/>
        <v>1</v>
      </c>
      <c r="D11927" s="136">
        <f t="shared" si="559"/>
        <v>2</v>
      </c>
      <c r="E11927" s="136">
        <f t="shared" si="558"/>
        <v>8</v>
      </c>
      <c r="F11927" s="137" t="s">
        <v>24</v>
      </c>
      <c r="G11927" s="128" t="str">
        <f>VLOOKUP(source[[#This Row],[lending_product_transform]],[3]Mapping!$B$4:$C$37,2,0)</f>
        <v>[Cake] - Cashloan</v>
      </c>
      <c r="H11927" s="128" t="str">
        <f>VLOOKUP(source[[#This Row],[lending_product_transform]],[3]Mapping!$B$3:$D$37,3,0)</f>
        <v>cashloan</v>
      </c>
      <c r="I11927" s="143">
        <v>16104980000</v>
      </c>
    </row>
    <row r="11928" spans="1:9" x14ac:dyDescent="0.2">
      <c r="A11928" s="134">
        <v>46030</v>
      </c>
      <c r="B11928" s="135">
        <f>YEAR(source[[#This Row],[report_date]])</f>
        <v>2026</v>
      </c>
      <c r="C11928" s="128">
        <f t="shared" si="557"/>
        <v>1</v>
      </c>
      <c r="D11928" s="136">
        <f t="shared" si="559"/>
        <v>2</v>
      </c>
      <c r="E11928" s="136">
        <f t="shared" si="558"/>
        <v>8</v>
      </c>
      <c r="F11928" s="137" t="s">
        <v>24</v>
      </c>
      <c r="G11928" s="128" t="str">
        <f>VLOOKUP(source[[#This Row],[lending_product_transform]],[3]Mapping!$B$4:$C$37,2,0)</f>
        <v>[Cake] - Cashloan</v>
      </c>
      <c r="H11928" s="128" t="str">
        <f>VLOOKUP(source[[#This Row],[lending_product_transform]],[3]Mapping!$B$3:$D$37,3,0)</f>
        <v>cashloan</v>
      </c>
      <c r="I11928" s="143">
        <v>1916907273</v>
      </c>
    </row>
    <row r="11929" spans="1:9" x14ac:dyDescent="0.2">
      <c r="A11929" s="134">
        <v>46030</v>
      </c>
      <c r="B11929" s="135">
        <f>YEAR(source[[#This Row],[report_date]])</f>
        <v>2026</v>
      </c>
      <c r="C11929" s="128">
        <f t="shared" si="557"/>
        <v>1</v>
      </c>
      <c r="D11929" s="136">
        <f t="shared" si="559"/>
        <v>2</v>
      </c>
      <c r="E11929" s="136">
        <f t="shared" si="558"/>
        <v>8</v>
      </c>
      <c r="F11929" s="137" t="s">
        <v>24</v>
      </c>
      <c r="G11929" s="128" t="str">
        <f>VLOOKUP(source[[#This Row],[lending_product_transform]],[3]Mapping!$B$4:$C$37,2,0)</f>
        <v>[Cake] - Cashloan</v>
      </c>
      <c r="H11929" s="128" t="str">
        <f>VLOOKUP(source[[#This Row],[lending_product_transform]],[3]Mapping!$B$3:$D$37,3,0)</f>
        <v>cashloan</v>
      </c>
      <c r="I11929" s="143">
        <v>12846708000</v>
      </c>
    </row>
    <row r="11930" spans="1:9" x14ac:dyDescent="0.2">
      <c r="A11930" s="134">
        <v>46030</v>
      </c>
      <c r="B11930" s="135">
        <f>YEAR(source[[#This Row],[report_date]])</f>
        <v>2026</v>
      </c>
      <c r="C11930" s="128">
        <f t="shared" si="557"/>
        <v>1</v>
      </c>
      <c r="D11930" s="136">
        <f t="shared" si="559"/>
        <v>2</v>
      </c>
      <c r="E11930" s="136">
        <f t="shared" si="558"/>
        <v>8</v>
      </c>
      <c r="F11930" s="137" t="s">
        <v>24</v>
      </c>
      <c r="G11930" s="128" t="str">
        <f>VLOOKUP(source[[#This Row],[lending_product_transform]],[3]Mapping!$B$4:$C$37,2,0)</f>
        <v>[Cake] - Cashloan</v>
      </c>
      <c r="H11930" s="128" t="str">
        <f>VLOOKUP(source[[#This Row],[lending_product_transform]],[3]Mapping!$B$3:$D$37,3,0)</f>
        <v>cashloan</v>
      </c>
      <c r="I11930" s="143">
        <v>9450519</v>
      </c>
    </row>
    <row r="11931" spans="1:9" x14ac:dyDescent="0.2">
      <c r="A11931" s="134">
        <v>46030</v>
      </c>
      <c r="B11931" s="135">
        <f>YEAR(source[[#This Row],[report_date]])</f>
        <v>2026</v>
      </c>
      <c r="C11931" s="128">
        <f t="shared" si="557"/>
        <v>1</v>
      </c>
      <c r="D11931" s="136">
        <f t="shared" si="559"/>
        <v>2</v>
      </c>
      <c r="E11931" s="136">
        <f t="shared" si="558"/>
        <v>8</v>
      </c>
      <c r="F11931" s="137" t="s">
        <v>24</v>
      </c>
      <c r="G11931" s="128" t="str">
        <f>VLOOKUP(source[[#This Row],[lending_product_transform]],[3]Mapping!$B$4:$C$37,2,0)</f>
        <v>[Cake] - Cashloan</v>
      </c>
      <c r="H11931" s="128" t="str">
        <f>VLOOKUP(source[[#This Row],[lending_product_transform]],[3]Mapping!$B$3:$D$37,3,0)</f>
        <v>cashloan</v>
      </c>
      <c r="I11931" s="143">
        <v>0</v>
      </c>
    </row>
    <row r="11932" spans="1:9" x14ac:dyDescent="0.2">
      <c r="A11932" s="134">
        <v>46030</v>
      </c>
      <c r="B11932" s="135">
        <f>YEAR(source[[#This Row],[report_date]])</f>
        <v>2026</v>
      </c>
      <c r="C11932" s="128">
        <f t="shared" si="557"/>
        <v>1</v>
      </c>
      <c r="D11932" s="136">
        <f t="shared" si="559"/>
        <v>2</v>
      </c>
      <c r="E11932" s="136">
        <f t="shared" si="558"/>
        <v>8</v>
      </c>
      <c r="F11932" s="137" t="s">
        <v>24</v>
      </c>
      <c r="G11932" s="128" t="str">
        <f>VLOOKUP(source[[#This Row],[lending_product_transform]],[3]Mapping!$B$4:$C$37,2,0)</f>
        <v>[Cake] - Cashloan</v>
      </c>
      <c r="H11932" s="128" t="str">
        <f>VLOOKUP(source[[#This Row],[lending_product_transform]],[3]Mapping!$B$3:$D$37,3,0)</f>
        <v>cashloan</v>
      </c>
      <c r="I11932" s="143">
        <v>4705700000</v>
      </c>
    </row>
    <row r="11933" spans="1:9" x14ac:dyDescent="0.2">
      <c r="A11933" s="134">
        <v>46030</v>
      </c>
      <c r="B11933" s="135">
        <f>YEAR(source[[#This Row],[report_date]])</f>
        <v>2026</v>
      </c>
      <c r="C11933" s="128">
        <f t="shared" si="557"/>
        <v>1</v>
      </c>
      <c r="D11933" s="136">
        <f t="shared" si="559"/>
        <v>2</v>
      </c>
      <c r="E11933" s="136">
        <f t="shared" si="558"/>
        <v>8</v>
      </c>
      <c r="F11933" s="137" t="s">
        <v>24</v>
      </c>
      <c r="G11933" s="128" t="str">
        <f>VLOOKUP(source[[#This Row],[lending_product_transform]],[3]Mapping!$B$4:$C$37,2,0)</f>
        <v>[Cake] - Cashloan</v>
      </c>
      <c r="H11933" s="128" t="str">
        <f>VLOOKUP(source[[#This Row],[lending_product_transform]],[3]Mapping!$B$3:$D$37,3,0)</f>
        <v>cashloan</v>
      </c>
      <c r="I11933" s="143">
        <v>273540000</v>
      </c>
    </row>
    <row r="11934" spans="1:9" x14ac:dyDescent="0.2">
      <c r="A11934" s="134">
        <v>46030</v>
      </c>
      <c r="B11934" s="135">
        <f>YEAR(source[[#This Row],[report_date]])</f>
        <v>2026</v>
      </c>
      <c r="C11934" s="128">
        <f t="shared" si="557"/>
        <v>1</v>
      </c>
      <c r="D11934" s="136">
        <f t="shared" si="559"/>
        <v>2</v>
      </c>
      <c r="E11934" s="136">
        <f t="shared" si="558"/>
        <v>8</v>
      </c>
      <c r="F11934" s="137" t="s">
        <v>24</v>
      </c>
      <c r="G11934" s="128" t="str">
        <f>VLOOKUP(source[[#This Row],[lending_product_transform]],[3]Mapping!$B$4:$C$37,2,0)</f>
        <v>[Cake] - Cashloan</v>
      </c>
      <c r="H11934" s="128" t="str">
        <f>VLOOKUP(source[[#This Row],[lending_product_transform]],[3]Mapping!$B$3:$D$37,3,0)</f>
        <v>cashloan</v>
      </c>
      <c r="I11934" s="143">
        <v>23569375</v>
      </c>
    </row>
    <row r="11935" spans="1:9" x14ac:dyDescent="0.2">
      <c r="A11935" s="134">
        <v>46030</v>
      </c>
      <c r="B11935" s="135">
        <f>YEAR(source[[#This Row],[report_date]])</f>
        <v>2026</v>
      </c>
      <c r="C11935" s="128">
        <f t="shared" si="557"/>
        <v>1</v>
      </c>
      <c r="D11935" s="136">
        <f t="shared" si="559"/>
        <v>2</v>
      </c>
      <c r="E11935" s="136">
        <f t="shared" si="558"/>
        <v>8</v>
      </c>
      <c r="F11935" s="137" t="s">
        <v>24</v>
      </c>
      <c r="G11935" s="128" t="str">
        <f>VLOOKUP(source[[#This Row],[lending_product_transform]],[3]Mapping!$B$4:$C$37,2,0)</f>
        <v>[Cake] - Cashloan</v>
      </c>
      <c r="H11935" s="128" t="str">
        <f>VLOOKUP(source[[#This Row],[lending_product_transform]],[3]Mapping!$B$3:$D$37,3,0)</f>
        <v>cashloan</v>
      </c>
      <c r="I11935" s="143">
        <v>1473516434</v>
      </c>
    </row>
    <row r="11936" spans="1:9" x14ac:dyDescent="0.2">
      <c r="A11936" s="134">
        <v>46030</v>
      </c>
      <c r="B11936" s="135">
        <f>YEAR(source[[#This Row],[report_date]])</f>
        <v>2026</v>
      </c>
      <c r="C11936" s="128">
        <f t="shared" si="557"/>
        <v>1</v>
      </c>
      <c r="D11936" s="136">
        <f t="shared" si="559"/>
        <v>2</v>
      </c>
      <c r="E11936" s="136">
        <f t="shared" si="558"/>
        <v>8</v>
      </c>
      <c r="F11936" s="137" t="s">
        <v>24</v>
      </c>
      <c r="G11936" s="128" t="str">
        <f>VLOOKUP(source[[#This Row],[lending_product_transform]],[3]Mapping!$B$4:$C$37,2,0)</f>
        <v>[Cake] - Cashloan</v>
      </c>
      <c r="H11936" s="128" t="str">
        <f>VLOOKUP(source[[#This Row],[lending_product_transform]],[3]Mapping!$B$3:$D$37,3,0)</f>
        <v>cashloan</v>
      </c>
      <c r="I11936" s="143">
        <v>0</v>
      </c>
    </row>
    <row r="11937" spans="1:9" x14ac:dyDescent="0.2">
      <c r="A11937" s="134">
        <v>46030</v>
      </c>
      <c r="B11937" s="135">
        <f>YEAR(source[[#This Row],[report_date]])</f>
        <v>2026</v>
      </c>
      <c r="C11937" s="128">
        <f t="shared" si="557"/>
        <v>1</v>
      </c>
      <c r="D11937" s="136">
        <f t="shared" si="559"/>
        <v>2</v>
      </c>
      <c r="E11937" s="136">
        <f t="shared" si="558"/>
        <v>8</v>
      </c>
      <c r="F11937" s="137" t="s">
        <v>24</v>
      </c>
      <c r="G11937" s="128" t="str">
        <f>VLOOKUP(source[[#This Row],[lending_product_transform]],[3]Mapping!$B$4:$C$37,2,0)</f>
        <v>[Cake] - Cashloan</v>
      </c>
      <c r="H11937" s="128" t="str">
        <f>VLOOKUP(source[[#This Row],[lending_product_transform]],[3]Mapping!$B$3:$D$37,3,0)</f>
        <v>cashloan</v>
      </c>
      <c r="I11937" s="143">
        <v>169250000</v>
      </c>
    </row>
    <row r="11938" spans="1:9" x14ac:dyDescent="0.2">
      <c r="A11938" s="134">
        <v>46030</v>
      </c>
      <c r="B11938" s="135">
        <f>YEAR(source[[#This Row],[report_date]])</f>
        <v>2026</v>
      </c>
      <c r="C11938" s="128">
        <f t="shared" si="557"/>
        <v>1</v>
      </c>
      <c r="D11938" s="136">
        <f t="shared" si="559"/>
        <v>2</v>
      </c>
      <c r="E11938" s="136">
        <f t="shared" si="558"/>
        <v>8</v>
      </c>
      <c r="F11938" s="137" t="s">
        <v>24</v>
      </c>
      <c r="G11938" s="128" t="str">
        <f>VLOOKUP(source[[#This Row],[lending_product_transform]],[3]Mapping!$B$4:$C$37,2,0)</f>
        <v>[Cake] - Cashloan</v>
      </c>
      <c r="H11938" s="128" t="str">
        <f>VLOOKUP(source[[#This Row],[lending_product_transform]],[3]Mapping!$B$3:$D$37,3,0)</f>
        <v>cashloan</v>
      </c>
      <c r="I11938" s="143">
        <v>0</v>
      </c>
    </row>
    <row r="11939" spans="1:9" x14ac:dyDescent="0.2">
      <c r="A11939" s="134">
        <v>46030</v>
      </c>
      <c r="B11939" s="135">
        <f>YEAR(source[[#This Row],[report_date]])</f>
        <v>2026</v>
      </c>
      <c r="C11939" s="128">
        <f t="shared" si="557"/>
        <v>1</v>
      </c>
      <c r="D11939" s="136">
        <f t="shared" si="559"/>
        <v>2</v>
      </c>
      <c r="E11939" s="136">
        <f t="shared" si="558"/>
        <v>8</v>
      </c>
      <c r="F11939" s="137" t="s">
        <v>24</v>
      </c>
      <c r="G11939" s="128" t="str">
        <f>VLOOKUP(source[[#This Row],[lending_product_transform]],[3]Mapping!$B$4:$C$37,2,0)</f>
        <v>[Cake] - Cashloan</v>
      </c>
      <c r="H11939" s="128" t="str">
        <f>VLOOKUP(source[[#This Row],[lending_product_transform]],[3]Mapping!$B$3:$D$37,3,0)</f>
        <v>cashloan</v>
      </c>
      <c r="I11939" s="143">
        <v>16591150000</v>
      </c>
    </row>
    <row r="11940" spans="1:9" x14ac:dyDescent="0.2">
      <c r="A11940" s="134">
        <v>46030</v>
      </c>
      <c r="B11940" s="135">
        <f>YEAR(source[[#This Row],[report_date]])</f>
        <v>2026</v>
      </c>
      <c r="C11940" s="128">
        <f t="shared" si="557"/>
        <v>1</v>
      </c>
      <c r="D11940" s="136">
        <f t="shared" si="559"/>
        <v>2</v>
      </c>
      <c r="E11940" s="136">
        <f t="shared" si="558"/>
        <v>8</v>
      </c>
      <c r="F11940" s="137" t="s">
        <v>24</v>
      </c>
      <c r="G11940" s="128" t="str">
        <f>VLOOKUP(source[[#This Row],[lending_product_transform]],[3]Mapping!$B$4:$C$37,2,0)</f>
        <v>[Cake] - Cashloan</v>
      </c>
      <c r="H11940" s="128" t="str">
        <f>VLOOKUP(source[[#This Row],[lending_product_transform]],[3]Mapping!$B$3:$D$37,3,0)</f>
        <v>cashloan</v>
      </c>
      <c r="I11940" s="143">
        <v>0</v>
      </c>
    </row>
    <row r="11941" spans="1:9" x14ac:dyDescent="0.2">
      <c r="A11941" s="134">
        <v>46030</v>
      </c>
      <c r="B11941" s="135">
        <f>YEAR(source[[#This Row],[report_date]])</f>
        <v>2026</v>
      </c>
      <c r="C11941" s="128">
        <f t="shared" si="557"/>
        <v>1</v>
      </c>
      <c r="D11941" s="136">
        <f t="shared" si="559"/>
        <v>2</v>
      </c>
      <c r="E11941" s="136">
        <f t="shared" si="558"/>
        <v>8</v>
      </c>
      <c r="F11941" s="137" t="s">
        <v>24</v>
      </c>
      <c r="G11941" s="128" t="str">
        <f>VLOOKUP(source[[#This Row],[lending_product_transform]],[3]Mapping!$B$4:$C$37,2,0)</f>
        <v>[Cake] - Cashloan</v>
      </c>
      <c r="H11941" s="128" t="str">
        <f>VLOOKUP(source[[#This Row],[lending_product_transform]],[3]Mapping!$B$3:$D$37,3,0)</f>
        <v>cashloan</v>
      </c>
      <c r="I11941" s="143">
        <v>0</v>
      </c>
    </row>
    <row r="11942" spans="1:9" x14ac:dyDescent="0.2">
      <c r="A11942" s="134">
        <v>46030</v>
      </c>
      <c r="B11942" s="135">
        <f>YEAR(source[[#This Row],[report_date]])</f>
        <v>2026</v>
      </c>
      <c r="C11942" s="128">
        <f t="shared" si="557"/>
        <v>1</v>
      </c>
      <c r="D11942" s="136">
        <f t="shared" si="559"/>
        <v>2</v>
      </c>
      <c r="E11942" s="136">
        <f t="shared" si="558"/>
        <v>8</v>
      </c>
      <c r="F11942" s="137" t="s">
        <v>24</v>
      </c>
      <c r="G11942" s="128" t="str">
        <f>VLOOKUP(source[[#This Row],[lending_product_transform]],[3]Mapping!$B$4:$C$37,2,0)</f>
        <v>[Cake] - Cashloan</v>
      </c>
      <c r="H11942" s="128" t="str">
        <f>VLOOKUP(source[[#This Row],[lending_product_transform]],[3]Mapping!$B$3:$D$37,3,0)</f>
        <v>cashloan</v>
      </c>
      <c r="I11942" s="143">
        <v>0</v>
      </c>
    </row>
    <row r="11943" spans="1:9" x14ac:dyDescent="0.2">
      <c r="A11943" s="134">
        <v>46030</v>
      </c>
      <c r="B11943" s="135">
        <f>YEAR(source[[#This Row],[report_date]])</f>
        <v>2026</v>
      </c>
      <c r="C11943" s="128">
        <f t="shared" si="557"/>
        <v>1</v>
      </c>
      <c r="D11943" s="136">
        <f t="shared" si="559"/>
        <v>2</v>
      </c>
      <c r="E11943" s="136">
        <f t="shared" si="558"/>
        <v>8</v>
      </c>
      <c r="F11943" s="137" t="s">
        <v>24</v>
      </c>
      <c r="G11943" s="128" t="str">
        <f>VLOOKUP(source[[#This Row],[lending_product_transform]],[3]Mapping!$B$4:$C$37,2,0)</f>
        <v>[Cake] - Cashloan</v>
      </c>
      <c r="H11943" s="128" t="str">
        <f>VLOOKUP(source[[#This Row],[lending_product_transform]],[3]Mapping!$B$3:$D$37,3,0)</f>
        <v>cashloan</v>
      </c>
      <c r="I11943" s="143">
        <v>30000000</v>
      </c>
    </row>
    <row r="11944" spans="1:9" x14ac:dyDescent="0.2">
      <c r="A11944" s="134">
        <v>46030</v>
      </c>
      <c r="B11944" s="135">
        <f>YEAR(source[[#This Row],[report_date]])</f>
        <v>2026</v>
      </c>
      <c r="C11944" s="128">
        <f t="shared" si="557"/>
        <v>1</v>
      </c>
      <c r="D11944" s="136">
        <f t="shared" si="559"/>
        <v>2</v>
      </c>
      <c r="E11944" s="136">
        <f t="shared" si="558"/>
        <v>8</v>
      </c>
      <c r="F11944" s="137" t="s">
        <v>24</v>
      </c>
      <c r="G11944" s="128" t="str">
        <f>VLOOKUP(source[[#This Row],[lending_product_transform]],[3]Mapping!$B$4:$C$37,2,0)</f>
        <v>[Cake] - Cashloan</v>
      </c>
      <c r="H11944" s="128" t="str">
        <f>VLOOKUP(source[[#This Row],[lending_product_transform]],[3]Mapping!$B$3:$D$37,3,0)</f>
        <v>cashloan</v>
      </c>
      <c r="I11944" s="143">
        <v>9084420000</v>
      </c>
    </row>
    <row r="11945" spans="1:9" x14ac:dyDescent="0.2">
      <c r="A11945" s="134">
        <v>46030</v>
      </c>
      <c r="B11945" s="135">
        <f>YEAR(source[[#This Row],[report_date]])</f>
        <v>2026</v>
      </c>
      <c r="C11945" s="128">
        <f t="shared" si="557"/>
        <v>1</v>
      </c>
      <c r="D11945" s="136">
        <f t="shared" si="559"/>
        <v>2</v>
      </c>
      <c r="E11945" s="136">
        <f t="shared" si="558"/>
        <v>8</v>
      </c>
      <c r="F11945" s="137" t="s">
        <v>24</v>
      </c>
      <c r="G11945" s="128" t="str">
        <f>VLOOKUP(source[[#This Row],[lending_product_transform]],[3]Mapping!$B$4:$C$37,2,0)</f>
        <v>[Cake] - Cashloan</v>
      </c>
      <c r="H11945" s="128" t="str">
        <f>VLOOKUP(source[[#This Row],[lending_product_transform]],[3]Mapping!$B$3:$D$37,3,0)</f>
        <v>cashloan</v>
      </c>
      <c r="I11945" s="143">
        <v>255609922</v>
      </c>
    </row>
    <row r="11946" spans="1:9" x14ac:dyDescent="0.2">
      <c r="A11946" s="134">
        <v>46030</v>
      </c>
      <c r="B11946" s="135">
        <f>YEAR(source[[#This Row],[report_date]])</f>
        <v>2026</v>
      </c>
      <c r="C11946" s="128">
        <f t="shared" si="557"/>
        <v>1</v>
      </c>
      <c r="D11946" s="136">
        <f t="shared" si="559"/>
        <v>2</v>
      </c>
      <c r="E11946" s="136">
        <f t="shared" si="558"/>
        <v>8</v>
      </c>
      <c r="F11946" s="137" t="s">
        <v>24</v>
      </c>
      <c r="G11946" s="128" t="str">
        <f>VLOOKUP(source[[#This Row],[lending_product_transform]],[3]Mapping!$B$4:$C$37,2,0)</f>
        <v>[Cake] - Cashloan</v>
      </c>
      <c r="H11946" s="128" t="str">
        <f>VLOOKUP(source[[#This Row],[lending_product_transform]],[3]Mapping!$B$3:$D$37,3,0)</f>
        <v>cashloan</v>
      </c>
      <c r="I11946" s="143">
        <v>13650000</v>
      </c>
    </row>
    <row r="11947" spans="1:9" x14ac:dyDescent="0.2">
      <c r="A11947" s="134">
        <v>46030</v>
      </c>
      <c r="B11947" s="135">
        <f>YEAR(source[[#This Row],[report_date]])</f>
        <v>2026</v>
      </c>
      <c r="C11947" s="128">
        <f t="shared" si="557"/>
        <v>1</v>
      </c>
      <c r="D11947" s="136">
        <f t="shared" si="559"/>
        <v>2</v>
      </c>
      <c r="E11947" s="136">
        <f t="shared" si="558"/>
        <v>8</v>
      </c>
      <c r="F11947" s="137" t="s">
        <v>24</v>
      </c>
      <c r="G11947" s="128" t="str">
        <f>VLOOKUP(source[[#This Row],[lending_product_transform]],[3]Mapping!$B$4:$C$37,2,0)</f>
        <v>[Cake] - Cashloan</v>
      </c>
      <c r="H11947" s="128" t="str">
        <f>VLOOKUP(source[[#This Row],[lending_product_transform]],[3]Mapping!$B$3:$D$37,3,0)</f>
        <v>cashloan</v>
      </c>
      <c r="I11947" s="143">
        <v>55000000</v>
      </c>
    </row>
    <row r="11948" spans="1:9" x14ac:dyDescent="0.2">
      <c r="A11948" s="134">
        <v>46030</v>
      </c>
      <c r="B11948" s="135">
        <f>YEAR(source[[#This Row],[report_date]])</f>
        <v>2026</v>
      </c>
      <c r="C11948" s="128">
        <f t="shared" si="557"/>
        <v>1</v>
      </c>
      <c r="D11948" s="136">
        <f t="shared" si="559"/>
        <v>2</v>
      </c>
      <c r="E11948" s="136">
        <f t="shared" si="558"/>
        <v>8</v>
      </c>
      <c r="F11948" s="137" t="s">
        <v>24</v>
      </c>
      <c r="G11948" s="128" t="str">
        <f>VLOOKUP(source[[#This Row],[lending_product_transform]],[3]Mapping!$B$4:$C$37,2,0)</f>
        <v>[Cake] - Cashloan</v>
      </c>
      <c r="H11948" s="128" t="str">
        <f>VLOOKUP(source[[#This Row],[lending_product_transform]],[3]Mapping!$B$3:$D$37,3,0)</f>
        <v>cashloan</v>
      </c>
      <c r="I11948" s="143">
        <v>1366680000</v>
      </c>
    </row>
    <row r="11949" spans="1:9" x14ac:dyDescent="0.2">
      <c r="A11949" s="134">
        <v>46030</v>
      </c>
      <c r="B11949" s="135">
        <f>YEAR(source[[#This Row],[report_date]])</f>
        <v>2026</v>
      </c>
      <c r="C11949" s="128">
        <f t="shared" si="557"/>
        <v>1</v>
      </c>
      <c r="D11949" s="136">
        <f t="shared" si="559"/>
        <v>2</v>
      </c>
      <c r="E11949" s="136">
        <f t="shared" si="558"/>
        <v>8</v>
      </c>
      <c r="F11949" s="137" t="s">
        <v>24</v>
      </c>
      <c r="G11949" s="128" t="str">
        <f>VLOOKUP(source[[#This Row],[lending_product_transform]],[3]Mapping!$B$4:$C$37,2,0)</f>
        <v>[Cake] - Cashloan</v>
      </c>
      <c r="H11949" s="128" t="str">
        <f>VLOOKUP(source[[#This Row],[lending_product_transform]],[3]Mapping!$B$3:$D$37,3,0)</f>
        <v>cashloan</v>
      </c>
      <c r="I11949" s="143">
        <v>256608000</v>
      </c>
    </row>
    <row r="11950" spans="1:9" x14ac:dyDescent="0.2">
      <c r="A11950" s="134">
        <v>46030</v>
      </c>
      <c r="B11950" s="135">
        <f>YEAR(source[[#This Row],[report_date]])</f>
        <v>2026</v>
      </c>
      <c r="C11950" s="128">
        <f t="shared" si="557"/>
        <v>1</v>
      </c>
      <c r="D11950" s="136">
        <f t="shared" si="559"/>
        <v>2</v>
      </c>
      <c r="E11950" s="136">
        <f t="shared" si="558"/>
        <v>8</v>
      </c>
      <c r="F11950" s="137" t="s">
        <v>24</v>
      </c>
      <c r="G11950" s="128" t="str">
        <f>VLOOKUP(source[[#This Row],[lending_product_transform]],[3]Mapping!$B$4:$C$37,2,0)</f>
        <v>[Cake] - Cashloan</v>
      </c>
      <c r="H11950" s="128" t="str">
        <f>VLOOKUP(source[[#This Row],[lending_product_transform]],[3]Mapping!$B$3:$D$37,3,0)</f>
        <v>cashloan</v>
      </c>
      <c r="I11950" s="143">
        <v>453725331</v>
      </c>
    </row>
    <row r="11951" spans="1:9" x14ac:dyDescent="0.2">
      <c r="A11951" s="134">
        <v>46030</v>
      </c>
      <c r="B11951" s="135">
        <f>YEAR(source[[#This Row],[report_date]])</f>
        <v>2026</v>
      </c>
      <c r="C11951" s="128">
        <f t="shared" si="557"/>
        <v>1</v>
      </c>
      <c r="D11951" s="136">
        <f t="shared" si="559"/>
        <v>2</v>
      </c>
      <c r="E11951" s="136">
        <f t="shared" si="558"/>
        <v>8</v>
      </c>
      <c r="F11951" s="137" t="s">
        <v>24</v>
      </c>
      <c r="G11951" s="128" t="str">
        <f>VLOOKUP(source[[#This Row],[lending_product_transform]],[3]Mapping!$B$4:$C$37,2,0)</f>
        <v>[Cake] - Cashloan</v>
      </c>
      <c r="H11951" s="128" t="str">
        <f>VLOOKUP(source[[#This Row],[lending_product_transform]],[3]Mapping!$B$3:$D$37,3,0)</f>
        <v>cashloan</v>
      </c>
      <c r="I11951" s="143">
        <v>3093570000</v>
      </c>
    </row>
    <row r="11952" spans="1:9" x14ac:dyDescent="0.2">
      <c r="A11952" s="134">
        <v>46030</v>
      </c>
      <c r="B11952" s="135">
        <f>YEAR(source[[#This Row],[report_date]])</f>
        <v>2026</v>
      </c>
      <c r="C11952" s="128">
        <f t="shared" si="557"/>
        <v>1</v>
      </c>
      <c r="D11952" s="136">
        <f t="shared" si="559"/>
        <v>2</v>
      </c>
      <c r="E11952" s="136">
        <f t="shared" si="558"/>
        <v>8</v>
      </c>
      <c r="F11952" s="137" t="s">
        <v>24</v>
      </c>
      <c r="G11952" s="128" t="str">
        <f>VLOOKUP(source[[#This Row],[lending_product_transform]],[3]Mapping!$B$4:$C$37,2,0)</f>
        <v>[Cake] - Cashloan</v>
      </c>
      <c r="H11952" s="128" t="str">
        <f>VLOOKUP(source[[#This Row],[lending_product_transform]],[3]Mapping!$B$3:$D$37,3,0)</f>
        <v>cashloan</v>
      </c>
      <c r="I11952" s="143">
        <v>0</v>
      </c>
    </row>
    <row r="11953" spans="1:9" x14ac:dyDescent="0.2">
      <c r="A11953" s="134">
        <v>46031</v>
      </c>
      <c r="B11953" s="135">
        <f>YEAR(source[[#This Row],[report_date]])</f>
        <v>2026</v>
      </c>
      <c r="C11953" s="128">
        <f t="shared" si="557"/>
        <v>1</v>
      </c>
      <c r="D11953" s="136">
        <f t="shared" si="559"/>
        <v>2</v>
      </c>
      <c r="E11953" s="136">
        <f t="shared" si="558"/>
        <v>9</v>
      </c>
      <c r="F11953" s="137" t="s">
        <v>24</v>
      </c>
      <c r="G11953" s="128" t="str">
        <f>VLOOKUP(source[[#This Row],[lending_product_transform]],[3]Mapping!$B$4:$C$37,2,0)</f>
        <v>[Cake] - Cashloan</v>
      </c>
      <c r="H11953" s="128" t="str">
        <f>VLOOKUP(source[[#This Row],[lending_product_transform]],[3]Mapping!$B$3:$D$37,3,0)</f>
        <v>cashloan</v>
      </c>
      <c r="I11953" s="143">
        <v>624200000</v>
      </c>
    </row>
    <row r="11954" spans="1:9" x14ac:dyDescent="0.2">
      <c r="A11954" s="134">
        <v>46031</v>
      </c>
      <c r="B11954" s="135">
        <f>YEAR(source[[#This Row],[report_date]])</f>
        <v>2026</v>
      </c>
      <c r="C11954" s="128">
        <f t="shared" si="557"/>
        <v>1</v>
      </c>
      <c r="D11954" s="136">
        <f t="shared" si="559"/>
        <v>2</v>
      </c>
      <c r="E11954" s="136">
        <f t="shared" si="558"/>
        <v>9</v>
      </c>
      <c r="F11954" s="137" t="s">
        <v>24</v>
      </c>
      <c r="G11954" s="128" t="str">
        <f>VLOOKUP(source[[#This Row],[lending_product_transform]],[3]Mapping!$B$4:$C$37,2,0)</f>
        <v>[Cake] - Cashloan</v>
      </c>
      <c r="H11954" s="128" t="str">
        <f>VLOOKUP(source[[#This Row],[lending_product_transform]],[3]Mapping!$B$3:$D$37,3,0)</f>
        <v>cashloan</v>
      </c>
      <c r="I11954" s="143">
        <v>411172583</v>
      </c>
    </row>
    <row r="11955" spans="1:9" x14ac:dyDescent="0.2">
      <c r="A11955" s="134">
        <v>46031</v>
      </c>
      <c r="B11955" s="135">
        <f>YEAR(source[[#This Row],[report_date]])</f>
        <v>2026</v>
      </c>
      <c r="C11955" s="128">
        <f t="shared" si="557"/>
        <v>1</v>
      </c>
      <c r="D11955" s="136">
        <f t="shared" si="559"/>
        <v>2</v>
      </c>
      <c r="E11955" s="136">
        <f t="shared" si="558"/>
        <v>9</v>
      </c>
      <c r="F11955" s="137" t="s">
        <v>24</v>
      </c>
      <c r="G11955" s="128" t="str">
        <f>VLOOKUP(source[[#This Row],[lending_product_transform]],[3]Mapping!$B$4:$C$37,2,0)</f>
        <v>[Cake] - Cashloan</v>
      </c>
      <c r="H11955" s="128" t="str">
        <f>VLOOKUP(source[[#This Row],[lending_product_transform]],[3]Mapping!$B$3:$D$37,3,0)</f>
        <v>cashloan</v>
      </c>
      <c r="I11955" s="143">
        <v>15186380000</v>
      </c>
    </row>
    <row r="11956" spans="1:9" x14ac:dyDescent="0.2">
      <c r="A11956" s="134">
        <v>46031</v>
      </c>
      <c r="B11956" s="135">
        <f>YEAR(source[[#This Row],[report_date]])</f>
        <v>2026</v>
      </c>
      <c r="C11956" s="128">
        <f t="shared" si="557"/>
        <v>1</v>
      </c>
      <c r="D11956" s="136">
        <f t="shared" si="559"/>
        <v>2</v>
      </c>
      <c r="E11956" s="136">
        <f t="shared" si="558"/>
        <v>9</v>
      </c>
      <c r="F11956" s="137" t="s">
        <v>24</v>
      </c>
      <c r="G11956" s="128" t="str">
        <f>VLOOKUP(source[[#This Row],[lending_product_transform]],[3]Mapping!$B$4:$C$37,2,0)</f>
        <v>[Cake] - Cashloan</v>
      </c>
      <c r="H11956" s="128" t="str">
        <f>VLOOKUP(source[[#This Row],[lending_product_transform]],[3]Mapping!$B$3:$D$37,3,0)</f>
        <v>cashloan</v>
      </c>
      <c r="I11956" s="143">
        <v>2266891336</v>
      </c>
    </row>
    <row r="11957" spans="1:9" x14ac:dyDescent="0.2">
      <c r="A11957" s="134">
        <v>46031</v>
      </c>
      <c r="B11957" s="135">
        <f>YEAR(source[[#This Row],[report_date]])</f>
        <v>2026</v>
      </c>
      <c r="C11957" s="128">
        <f t="shared" si="557"/>
        <v>1</v>
      </c>
      <c r="D11957" s="136">
        <f t="shared" si="559"/>
        <v>2</v>
      </c>
      <c r="E11957" s="136">
        <f t="shared" si="558"/>
        <v>9</v>
      </c>
      <c r="F11957" s="137" t="s">
        <v>24</v>
      </c>
      <c r="G11957" s="128" t="str">
        <f>VLOOKUP(source[[#This Row],[lending_product_transform]],[3]Mapping!$B$4:$C$37,2,0)</f>
        <v>[Cake] - Cashloan</v>
      </c>
      <c r="H11957" s="128" t="str">
        <f>VLOOKUP(source[[#This Row],[lending_product_transform]],[3]Mapping!$B$3:$D$37,3,0)</f>
        <v>cashloan</v>
      </c>
      <c r="I11957" s="143">
        <v>14657868000</v>
      </c>
    </row>
    <row r="11958" spans="1:9" x14ac:dyDescent="0.2">
      <c r="A11958" s="134">
        <v>46031</v>
      </c>
      <c r="B11958" s="135">
        <f>YEAR(source[[#This Row],[report_date]])</f>
        <v>2026</v>
      </c>
      <c r="C11958" s="128">
        <f t="shared" ref="C11958:C12021" si="560">MONTH(A11958)</f>
        <v>1</v>
      </c>
      <c r="D11958" s="136">
        <f t="shared" si="559"/>
        <v>2</v>
      </c>
      <c r="E11958" s="136">
        <f t="shared" ref="E11958:E12021" si="561">DAY(A11958)</f>
        <v>9</v>
      </c>
      <c r="F11958" s="137" t="s">
        <v>24</v>
      </c>
      <c r="G11958" s="128" t="str">
        <f>VLOOKUP(source[[#This Row],[lending_product_transform]],[3]Mapping!$B$4:$C$37,2,0)</f>
        <v>[Cake] - Cashloan</v>
      </c>
      <c r="H11958" s="128" t="str">
        <f>VLOOKUP(source[[#This Row],[lending_product_transform]],[3]Mapping!$B$3:$D$37,3,0)</f>
        <v>cashloan</v>
      </c>
      <c r="I11958" s="143">
        <v>9349726</v>
      </c>
    </row>
    <row r="11959" spans="1:9" x14ac:dyDescent="0.2">
      <c r="A11959" s="134">
        <v>46031</v>
      </c>
      <c r="B11959" s="135">
        <f>YEAR(source[[#This Row],[report_date]])</f>
        <v>2026</v>
      </c>
      <c r="C11959" s="128">
        <f t="shared" si="560"/>
        <v>1</v>
      </c>
      <c r="D11959" s="136">
        <f t="shared" si="559"/>
        <v>2</v>
      </c>
      <c r="E11959" s="136">
        <f t="shared" si="561"/>
        <v>9</v>
      </c>
      <c r="F11959" s="137" t="s">
        <v>24</v>
      </c>
      <c r="G11959" s="128" t="str">
        <f>VLOOKUP(source[[#This Row],[lending_product_transform]],[3]Mapping!$B$4:$C$37,2,0)</f>
        <v>[Cake] - Cashloan</v>
      </c>
      <c r="H11959" s="128" t="str">
        <f>VLOOKUP(source[[#This Row],[lending_product_transform]],[3]Mapping!$B$3:$D$37,3,0)</f>
        <v>cashloan</v>
      </c>
      <c r="I11959" s="143">
        <v>90000000</v>
      </c>
    </row>
    <row r="11960" spans="1:9" x14ac:dyDescent="0.2">
      <c r="A11960" s="134">
        <v>46031</v>
      </c>
      <c r="B11960" s="135">
        <f>YEAR(source[[#This Row],[report_date]])</f>
        <v>2026</v>
      </c>
      <c r="C11960" s="128">
        <f t="shared" si="560"/>
        <v>1</v>
      </c>
      <c r="D11960" s="136">
        <f t="shared" si="559"/>
        <v>2</v>
      </c>
      <c r="E11960" s="136">
        <f t="shared" si="561"/>
        <v>9</v>
      </c>
      <c r="F11960" s="137" t="s">
        <v>24</v>
      </c>
      <c r="G11960" s="128" t="str">
        <f>VLOOKUP(source[[#This Row],[lending_product_transform]],[3]Mapping!$B$4:$C$37,2,0)</f>
        <v>[Cake] - Cashloan</v>
      </c>
      <c r="H11960" s="128" t="str">
        <f>VLOOKUP(source[[#This Row],[lending_product_transform]],[3]Mapping!$B$3:$D$37,3,0)</f>
        <v>cashloan</v>
      </c>
      <c r="I11960" s="143">
        <v>4831450000</v>
      </c>
    </row>
    <row r="11961" spans="1:9" x14ac:dyDescent="0.2">
      <c r="A11961" s="134">
        <v>46031</v>
      </c>
      <c r="B11961" s="135">
        <f>YEAR(source[[#This Row],[report_date]])</f>
        <v>2026</v>
      </c>
      <c r="C11961" s="128">
        <f t="shared" si="560"/>
        <v>1</v>
      </c>
      <c r="D11961" s="136">
        <f t="shared" si="559"/>
        <v>2</v>
      </c>
      <c r="E11961" s="136">
        <f t="shared" si="561"/>
        <v>9</v>
      </c>
      <c r="F11961" s="137" t="s">
        <v>24</v>
      </c>
      <c r="G11961" s="128" t="str">
        <f>VLOOKUP(source[[#This Row],[lending_product_transform]],[3]Mapping!$B$4:$C$37,2,0)</f>
        <v>[Cake] - Cashloan</v>
      </c>
      <c r="H11961" s="128" t="str">
        <f>VLOOKUP(source[[#This Row],[lending_product_transform]],[3]Mapping!$B$3:$D$37,3,0)</f>
        <v>cashloan</v>
      </c>
      <c r="I11961" s="143">
        <v>436840000</v>
      </c>
    </row>
    <row r="11962" spans="1:9" x14ac:dyDescent="0.2">
      <c r="A11962" s="134">
        <v>46031</v>
      </c>
      <c r="B11962" s="135">
        <f>YEAR(source[[#This Row],[report_date]])</f>
        <v>2026</v>
      </c>
      <c r="C11962" s="128">
        <f t="shared" si="560"/>
        <v>1</v>
      </c>
      <c r="D11962" s="136">
        <f t="shared" si="559"/>
        <v>2</v>
      </c>
      <c r="E11962" s="136">
        <f t="shared" si="561"/>
        <v>9</v>
      </c>
      <c r="F11962" s="137" t="s">
        <v>24</v>
      </c>
      <c r="G11962" s="128" t="str">
        <f>VLOOKUP(source[[#This Row],[lending_product_transform]],[3]Mapping!$B$4:$C$37,2,0)</f>
        <v>[Cake] - Cashloan</v>
      </c>
      <c r="H11962" s="128" t="str">
        <f>VLOOKUP(source[[#This Row],[lending_product_transform]],[3]Mapping!$B$3:$D$37,3,0)</f>
        <v>cashloan</v>
      </c>
      <c r="I11962" s="143">
        <v>23417180</v>
      </c>
    </row>
    <row r="11963" spans="1:9" x14ac:dyDescent="0.2">
      <c r="A11963" s="134">
        <v>46031</v>
      </c>
      <c r="B11963" s="135">
        <f>YEAR(source[[#This Row],[report_date]])</f>
        <v>2026</v>
      </c>
      <c r="C11963" s="128">
        <f t="shared" si="560"/>
        <v>1</v>
      </c>
      <c r="D11963" s="136">
        <f t="shared" si="559"/>
        <v>2</v>
      </c>
      <c r="E11963" s="136">
        <f t="shared" si="561"/>
        <v>9</v>
      </c>
      <c r="F11963" s="137" t="s">
        <v>24</v>
      </c>
      <c r="G11963" s="128" t="str">
        <f>VLOOKUP(source[[#This Row],[lending_product_transform]],[3]Mapping!$B$4:$C$37,2,0)</f>
        <v>[Cake] - Cashloan</v>
      </c>
      <c r="H11963" s="128" t="str">
        <f>VLOOKUP(source[[#This Row],[lending_product_transform]],[3]Mapping!$B$3:$D$37,3,0)</f>
        <v>cashloan</v>
      </c>
      <c r="I11963" s="143">
        <v>1828275122</v>
      </c>
    </row>
    <row r="11964" spans="1:9" x14ac:dyDescent="0.2">
      <c r="A11964" s="134">
        <v>46031</v>
      </c>
      <c r="B11964" s="135">
        <f>YEAR(source[[#This Row],[report_date]])</f>
        <v>2026</v>
      </c>
      <c r="C11964" s="128">
        <f t="shared" si="560"/>
        <v>1</v>
      </c>
      <c r="D11964" s="136">
        <f t="shared" si="559"/>
        <v>2</v>
      </c>
      <c r="E11964" s="136">
        <f t="shared" si="561"/>
        <v>9</v>
      </c>
      <c r="F11964" s="137" t="s">
        <v>24</v>
      </c>
      <c r="G11964" s="128" t="str">
        <f>VLOOKUP(source[[#This Row],[lending_product_transform]],[3]Mapping!$B$4:$C$37,2,0)</f>
        <v>[Cake] - Cashloan</v>
      </c>
      <c r="H11964" s="128" t="str">
        <f>VLOOKUP(source[[#This Row],[lending_product_transform]],[3]Mapping!$B$3:$D$37,3,0)</f>
        <v>cashloan</v>
      </c>
      <c r="I11964" s="143">
        <v>0</v>
      </c>
    </row>
    <row r="11965" spans="1:9" x14ac:dyDescent="0.2">
      <c r="A11965" s="134">
        <v>46031</v>
      </c>
      <c r="B11965" s="135">
        <f>YEAR(source[[#This Row],[report_date]])</f>
        <v>2026</v>
      </c>
      <c r="C11965" s="128">
        <f t="shared" si="560"/>
        <v>1</v>
      </c>
      <c r="D11965" s="136">
        <f t="shared" si="559"/>
        <v>2</v>
      </c>
      <c r="E11965" s="136">
        <f t="shared" si="561"/>
        <v>9</v>
      </c>
      <c r="F11965" s="137" t="s">
        <v>24</v>
      </c>
      <c r="G11965" s="128" t="str">
        <f>VLOOKUP(source[[#This Row],[lending_product_transform]],[3]Mapping!$B$4:$C$37,2,0)</f>
        <v>[Cake] - Cashloan</v>
      </c>
      <c r="H11965" s="128" t="str">
        <f>VLOOKUP(source[[#This Row],[lending_product_transform]],[3]Mapping!$B$3:$D$37,3,0)</f>
        <v>cashloan</v>
      </c>
      <c r="I11965" s="143">
        <v>123750000</v>
      </c>
    </row>
    <row r="11966" spans="1:9" x14ac:dyDescent="0.2">
      <c r="A11966" s="134">
        <v>46031</v>
      </c>
      <c r="B11966" s="135">
        <f>YEAR(source[[#This Row],[report_date]])</f>
        <v>2026</v>
      </c>
      <c r="C11966" s="128">
        <f t="shared" si="560"/>
        <v>1</v>
      </c>
      <c r="D11966" s="136">
        <f t="shared" si="559"/>
        <v>2</v>
      </c>
      <c r="E11966" s="136">
        <f t="shared" si="561"/>
        <v>9</v>
      </c>
      <c r="F11966" s="137" t="s">
        <v>24</v>
      </c>
      <c r="G11966" s="128" t="str">
        <f>VLOOKUP(source[[#This Row],[lending_product_transform]],[3]Mapping!$B$4:$C$37,2,0)</f>
        <v>[Cake] - Cashloan</v>
      </c>
      <c r="H11966" s="128" t="str">
        <f>VLOOKUP(source[[#This Row],[lending_product_transform]],[3]Mapping!$B$3:$D$37,3,0)</f>
        <v>cashloan</v>
      </c>
      <c r="I11966" s="143">
        <v>0</v>
      </c>
    </row>
    <row r="11967" spans="1:9" x14ac:dyDescent="0.2">
      <c r="A11967" s="134">
        <v>46031</v>
      </c>
      <c r="B11967" s="135">
        <f>YEAR(source[[#This Row],[report_date]])</f>
        <v>2026</v>
      </c>
      <c r="C11967" s="128">
        <f t="shared" si="560"/>
        <v>1</v>
      </c>
      <c r="D11967" s="136">
        <f t="shared" si="559"/>
        <v>2</v>
      </c>
      <c r="E11967" s="136">
        <f t="shared" si="561"/>
        <v>9</v>
      </c>
      <c r="F11967" s="137" t="s">
        <v>24</v>
      </c>
      <c r="G11967" s="128" t="str">
        <f>VLOOKUP(source[[#This Row],[lending_product_transform]],[3]Mapping!$B$4:$C$37,2,0)</f>
        <v>[Cake] - Cashloan</v>
      </c>
      <c r="H11967" s="128" t="str">
        <f>VLOOKUP(source[[#This Row],[lending_product_transform]],[3]Mapping!$B$3:$D$37,3,0)</f>
        <v>cashloan</v>
      </c>
      <c r="I11967" s="143">
        <v>17271450000</v>
      </c>
    </row>
    <row r="11968" spans="1:9" x14ac:dyDescent="0.2">
      <c r="A11968" s="134">
        <v>46031</v>
      </c>
      <c r="B11968" s="135">
        <f>YEAR(source[[#This Row],[report_date]])</f>
        <v>2026</v>
      </c>
      <c r="C11968" s="128">
        <f t="shared" si="560"/>
        <v>1</v>
      </c>
      <c r="D11968" s="136">
        <f t="shared" si="559"/>
        <v>2</v>
      </c>
      <c r="E11968" s="136">
        <f t="shared" si="561"/>
        <v>9</v>
      </c>
      <c r="F11968" s="137" t="s">
        <v>24</v>
      </c>
      <c r="G11968" s="128" t="str">
        <f>VLOOKUP(source[[#This Row],[lending_product_transform]],[3]Mapping!$B$4:$C$37,2,0)</f>
        <v>[Cake] - Cashloan</v>
      </c>
      <c r="H11968" s="128" t="str">
        <f>VLOOKUP(source[[#This Row],[lending_product_transform]],[3]Mapping!$B$3:$D$37,3,0)</f>
        <v>cashloan</v>
      </c>
      <c r="I11968" s="143">
        <v>0</v>
      </c>
    </row>
    <row r="11969" spans="1:9" x14ac:dyDescent="0.2">
      <c r="A11969" s="134">
        <v>46031</v>
      </c>
      <c r="B11969" s="135">
        <f>YEAR(source[[#This Row],[report_date]])</f>
        <v>2026</v>
      </c>
      <c r="C11969" s="128">
        <f t="shared" si="560"/>
        <v>1</v>
      </c>
      <c r="D11969" s="136">
        <f t="shared" si="559"/>
        <v>2</v>
      </c>
      <c r="E11969" s="136">
        <f t="shared" si="561"/>
        <v>9</v>
      </c>
      <c r="F11969" s="137" t="s">
        <v>24</v>
      </c>
      <c r="G11969" s="128" t="str">
        <f>VLOOKUP(source[[#This Row],[lending_product_transform]],[3]Mapping!$B$4:$C$37,2,0)</f>
        <v>[Cake] - Cashloan</v>
      </c>
      <c r="H11969" s="128" t="str">
        <f>VLOOKUP(source[[#This Row],[lending_product_transform]],[3]Mapping!$B$3:$D$37,3,0)</f>
        <v>cashloan</v>
      </c>
      <c r="I11969" s="143">
        <v>0</v>
      </c>
    </row>
    <row r="11970" spans="1:9" x14ac:dyDescent="0.2">
      <c r="A11970" s="134">
        <v>46031</v>
      </c>
      <c r="B11970" s="135">
        <f>YEAR(source[[#This Row],[report_date]])</f>
        <v>2026</v>
      </c>
      <c r="C11970" s="128">
        <f t="shared" si="560"/>
        <v>1</v>
      </c>
      <c r="D11970" s="136">
        <f t="shared" si="559"/>
        <v>2</v>
      </c>
      <c r="E11970" s="136">
        <f t="shared" si="561"/>
        <v>9</v>
      </c>
      <c r="F11970" s="137" t="s">
        <v>24</v>
      </c>
      <c r="G11970" s="128" t="str">
        <f>VLOOKUP(source[[#This Row],[lending_product_transform]],[3]Mapping!$B$4:$C$37,2,0)</f>
        <v>[Cake] - Cashloan</v>
      </c>
      <c r="H11970" s="128" t="str">
        <f>VLOOKUP(source[[#This Row],[lending_product_transform]],[3]Mapping!$B$3:$D$37,3,0)</f>
        <v>cashloan</v>
      </c>
      <c r="I11970" s="143">
        <v>0</v>
      </c>
    </row>
    <row r="11971" spans="1:9" x14ac:dyDescent="0.2">
      <c r="A11971" s="134">
        <v>46031</v>
      </c>
      <c r="B11971" s="135">
        <f>YEAR(source[[#This Row],[report_date]])</f>
        <v>2026</v>
      </c>
      <c r="C11971" s="128">
        <f t="shared" si="560"/>
        <v>1</v>
      </c>
      <c r="D11971" s="136">
        <f t="shared" si="559"/>
        <v>2</v>
      </c>
      <c r="E11971" s="136">
        <f t="shared" si="561"/>
        <v>9</v>
      </c>
      <c r="F11971" s="137" t="s">
        <v>24</v>
      </c>
      <c r="G11971" s="128" t="str">
        <f>VLOOKUP(source[[#This Row],[lending_product_transform]],[3]Mapping!$B$4:$C$37,2,0)</f>
        <v>[Cake] - Cashloan</v>
      </c>
      <c r="H11971" s="128" t="str">
        <f>VLOOKUP(source[[#This Row],[lending_product_transform]],[3]Mapping!$B$3:$D$37,3,0)</f>
        <v>cashloan</v>
      </c>
      <c r="I11971" s="143">
        <v>0</v>
      </c>
    </row>
    <row r="11972" spans="1:9" x14ac:dyDescent="0.2">
      <c r="A11972" s="134">
        <v>46031</v>
      </c>
      <c r="B11972" s="135">
        <f>YEAR(source[[#This Row],[report_date]])</f>
        <v>2026</v>
      </c>
      <c r="C11972" s="128">
        <f t="shared" si="560"/>
        <v>1</v>
      </c>
      <c r="D11972" s="136">
        <f t="shared" si="559"/>
        <v>2</v>
      </c>
      <c r="E11972" s="136">
        <f t="shared" si="561"/>
        <v>9</v>
      </c>
      <c r="F11972" s="137" t="s">
        <v>24</v>
      </c>
      <c r="G11972" s="128" t="str">
        <f>VLOOKUP(source[[#This Row],[lending_product_transform]],[3]Mapping!$B$4:$C$37,2,0)</f>
        <v>[Cake] - Cashloan</v>
      </c>
      <c r="H11972" s="128" t="str">
        <f>VLOOKUP(source[[#This Row],[lending_product_transform]],[3]Mapping!$B$3:$D$37,3,0)</f>
        <v>cashloan</v>
      </c>
      <c r="I11972" s="143">
        <v>11633004000</v>
      </c>
    </row>
    <row r="11973" spans="1:9" x14ac:dyDescent="0.2">
      <c r="A11973" s="134">
        <v>46031</v>
      </c>
      <c r="B11973" s="135">
        <f>YEAR(source[[#This Row],[report_date]])</f>
        <v>2026</v>
      </c>
      <c r="C11973" s="128">
        <f t="shared" si="560"/>
        <v>1</v>
      </c>
      <c r="D11973" s="136">
        <f t="shared" si="559"/>
        <v>2</v>
      </c>
      <c r="E11973" s="136">
        <f t="shared" si="561"/>
        <v>9</v>
      </c>
      <c r="F11973" s="137" t="s">
        <v>24</v>
      </c>
      <c r="G11973" s="128" t="str">
        <f>VLOOKUP(source[[#This Row],[lending_product_transform]],[3]Mapping!$B$4:$C$37,2,0)</f>
        <v>[Cake] - Cashloan</v>
      </c>
      <c r="H11973" s="128" t="str">
        <f>VLOOKUP(source[[#This Row],[lending_product_transform]],[3]Mapping!$B$3:$D$37,3,0)</f>
        <v>cashloan</v>
      </c>
      <c r="I11973" s="143">
        <v>242206144</v>
      </c>
    </row>
    <row r="11974" spans="1:9" x14ac:dyDescent="0.2">
      <c r="A11974" s="134">
        <v>46031</v>
      </c>
      <c r="B11974" s="135">
        <f>YEAR(source[[#This Row],[report_date]])</f>
        <v>2026</v>
      </c>
      <c r="C11974" s="128">
        <f t="shared" si="560"/>
        <v>1</v>
      </c>
      <c r="D11974" s="136">
        <f t="shared" si="559"/>
        <v>2</v>
      </c>
      <c r="E11974" s="136">
        <f t="shared" si="561"/>
        <v>9</v>
      </c>
      <c r="F11974" s="137" t="s">
        <v>24</v>
      </c>
      <c r="G11974" s="128" t="str">
        <f>VLOOKUP(source[[#This Row],[lending_product_transform]],[3]Mapping!$B$4:$C$37,2,0)</f>
        <v>[Cake] - Cashloan</v>
      </c>
      <c r="H11974" s="128" t="str">
        <f>VLOOKUP(source[[#This Row],[lending_product_transform]],[3]Mapping!$B$3:$D$37,3,0)</f>
        <v>cashloan</v>
      </c>
      <c r="I11974" s="143">
        <v>20000000</v>
      </c>
    </row>
    <row r="11975" spans="1:9" x14ac:dyDescent="0.2">
      <c r="A11975" s="134">
        <v>46031</v>
      </c>
      <c r="B11975" s="135">
        <f>YEAR(source[[#This Row],[report_date]])</f>
        <v>2026</v>
      </c>
      <c r="C11975" s="128">
        <f t="shared" si="560"/>
        <v>1</v>
      </c>
      <c r="D11975" s="136">
        <f t="shared" si="559"/>
        <v>2</v>
      </c>
      <c r="E11975" s="136">
        <f t="shared" si="561"/>
        <v>9</v>
      </c>
      <c r="F11975" s="137" t="s">
        <v>24</v>
      </c>
      <c r="G11975" s="128" t="str">
        <f>VLOOKUP(source[[#This Row],[lending_product_transform]],[3]Mapping!$B$4:$C$37,2,0)</f>
        <v>[Cake] - Cashloan</v>
      </c>
      <c r="H11975" s="128" t="str">
        <f>VLOOKUP(source[[#This Row],[lending_product_transform]],[3]Mapping!$B$3:$D$37,3,0)</f>
        <v>cashloan</v>
      </c>
      <c r="I11975" s="143">
        <v>62000000</v>
      </c>
    </row>
    <row r="11976" spans="1:9" x14ac:dyDescent="0.2">
      <c r="A11976" s="134">
        <v>46031</v>
      </c>
      <c r="B11976" s="135">
        <f>YEAR(source[[#This Row],[report_date]])</f>
        <v>2026</v>
      </c>
      <c r="C11976" s="128">
        <f t="shared" si="560"/>
        <v>1</v>
      </c>
      <c r="D11976" s="136">
        <f t="shared" si="559"/>
        <v>2</v>
      </c>
      <c r="E11976" s="136">
        <f t="shared" si="561"/>
        <v>9</v>
      </c>
      <c r="F11976" s="137" t="s">
        <v>24</v>
      </c>
      <c r="G11976" s="128" t="str">
        <f>VLOOKUP(source[[#This Row],[lending_product_transform]],[3]Mapping!$B$4:$C$37,2,0)</f>
        <v>[Cake] - Cashloan</v>
      </c>
      <c r="H11976" s="128" t="str">
        <f>VLOOKUP(source[[#This Row],[lending_product_transform]],[3]Mapping!$B$3:$D$37,3,0)</f>
        <v>cashloan</v>
      </c>
      <c r="I11976" s="143">
        <v>1187210000</v>
      </c>
    </row>
    <row r="11977" spans="1:9" x14ac:dyDescent="0.2">
      <c r="A11977" s="134">
        <v>46031</v>
      </c>
      <c r="B11977" s="135">
        <f>YEAR(source[[#This Row],[report_date]])</f>
        <v>2026</v>
      </c>
      <c r="C11977" s="128">
        <f t="shared" si="560"/>
        <v>1</v>
      </c>
      <c r="D11977" s="136">
        <f t="shared" si="559"/>
        <v>2</v>
      </c>
      <c r="E11977" s="136">
        <f t="shared" si="561"/>
        <v>9</v>
      </c>
      <c r="F11977" s="137" t="s">
        <v>24</v>
      </c>
      <c r="G11977" s="128" t="str">
        <f>VLOOKUP(source[[#This Row],[lending_product_transform]],[3]Mapping!$B$4:$C$37,2,0)</f>
        <v>[Cake] - Cashloan</v>
      </c>
      <c r="H11977" s="128" t="str">
        <f>VLOOKUP(source[[#This Row],[lending_product_transform]],[3]Mapping!$B$3:$D$37,3,0)</f>
        <v>cashloan</v>
      </c>
      <c r="I11977" s="143">
        <v>366012000</v>
      </c>
    </row>
    <row r="11978" spans="1:9" x14ac:dyDescent="0.2">
      <c r="A11978" s="134">
        <v>46031</v>
      </c>
      <c r="B11978" s="135">
        <f>YEAR(source[[#This Row],[report_date]])</f>
        <v>2026</v>
      </c>
      <c r="C11978" s="128">
        <f t="shared" si="560"/>
        <v>1</v>
      </c>
      <c r="D11978" s="136">
        <f t="shared" si="559"/>
        <v>2</v>
      </c>
      <c r="E11978" s="136">
        <f t="shared" si="561"/>
        <v>9</v>
      </c>
      <c r="F11978" s="137" t="s">
        <v>24</v>
      </c>
      <c r="G11978" s="128" t="str">
        <f>VLOOKUP(source[[#This Row],[lending_product_transform]],[3]Mapping!$B$4:$C$37,2,0)</f>
        <v>[Cake] - Cashloan</v>
      </c>
      <c r="H11978" s="128" t="str">
        <f>VLOOKUP(source[[#This Row],[lending_product_transform]],[3]Mapping!$B$3:$D$37,3,0)</f>
        <v>cashloan</v>
      </c>
      <c r="I11978" s="143">
        <v>495946678</v>
      </c>
    </row>
    <row r="11979" spans="1:9" x14ac:dyDescent="0.2">
      <c r="A11979" s="134">
        <v>46031</v>
      </c>
      <c r="B11979" s="135">
        <f>YEAR(source[[#This Row],[report_date]])</f>
        <v>2026</v>
      </c>
      <c r="C11979" s="128">
        <f t="shared" si="560"/>
        <v>1</v>
      </c>
      <c r="D11979" s="136">
        <f t="shared" si="559"/>
        <v>2</v>
      </c>
      <c r="E11979" s="136">
        <f t="shared" si="561"/>
        <v>9</v>
      </c>
      <c r="F11979" s="137" t="s">
        <v>24</v>
      </c>
      <c r="G11979" s="128" t="str">
        <f>VLOOKUP(source[[#This Row],[lending_product_transform]],[3]Mapping!$B$4:$C$37,2,0)</f>
        <v>[Cake] - Cashloan</v>
      </c>
      <c r="H11979" s="128" t="str">
        <f>VLOOKUP(source[[#This Row],[lending_product_transform]],[3]Mapping!$B$3:$D$37,3,0)</f>
        <v>cashloan</v>
      </c>
      <c r="I11979" s="143">
        <v>3845520000</v>
      </c>
    </row>
    <row r="11980" spans="1:9" x14ac:dyDescent="0.2">
      <c r="A11980" s="134">
        <v>46031</v>
      </c>
      <c r="B11980" s="135">
        <f>YEAR(source[[#This Row],[report_date]])</f>
        <v>2026</v>
      </c>
      <c r="C11980" s="128">
        <f t="shared" si="560"/>
        <v>1</v>
      </c>
      <c r="D11980" s="136">
        <f t="shared" si="559"/>
        <v>2</v>
      </c>
      <c r="E11980" s="136">
        <f t="shared" si="561"/>
        <v>9</v>
      </c>
      <c r="F11980" s="137" t="s">
        <v>24</v>
      </c>
      <c r="G11980" s="128" t="str">
        <f>VLOOKUP(source[[#This Row],[lending_product_transform]],[3]Mapping!$B$4:$C$37,2,0)</f>
        <v>[Cake] - Cashloan</v>
      </c>
      <c r="H11980" s="128" t="str">
        <f>VLOOKUP(source[[#This Row],[lending_product_transform]],[3]Mapping!$B$3:$D$37,3,0)</f>
        <v>cashloan</v>
      </c>
      <c r="I11980" s="143">
        <v>0</v>
      </c>
    </row>
    <row r="11981" spans="1:9" x14ac:dyDescent="0.2">
      <c r="A11981" s="134">
        <v>46032</v>
      </c>
      <c r="B11981" s="135">
        <f>YEAR(source[[#This Row],[report_date]])</f>
        <v>2026</v>
      </c>
      <c r="C11981" s="128">
        <f t="shared" si="560"/>
        <v>1</v>
      </c>
      <c r="D11981" s="136">
        <f t="shared" si="559"/>
        <v>2</v>
      </c>
      <c r="E11981" s="136">
        <f t="shared" si="561"/>
        <v>10</v>
      </c>
      <c r="F11981" s="137" t="s">
        <v>24</v>
      </c>
      <c r="G11981" s="128" t="str">
        <f>VLOOKUP(source[[#This Row],[lending_product_transform]],[3]Mapping!$B$4:$C$37,2,0)</f>
        <v>[Cake] - Cashloan</v>
      </c>
      <c r="H11981" s="128" t="str">
        <f>VLOOKUP(source[[#This Row],[lending_product_transform]],[3]Mapping!$B$3:$D$37,3,0)</f>
        <v>cashloan</v>
      </c>
      <c r="I11981" s="143">
        <v>874400000</v>
      </c>
    </row>
    <row r="11982" spans="1:9" x14ac:dyDescent="0.2">
      <c r="A11982" s="134">
        <v>46032</v>
      </c>
      <c r="B11982" s="135">
        <f>YEAR(source[[#This Row],[report_date]])</f>
        <v>2026</v>
      </c>
      <c r="C11982" s="128">
        <f t="shared" si="560"/>
        <v>1</v>
      </c>
      <c r="D11982" s="136">
        <f t="shared" si="559"/>
        <v>2</v>
      </c>
      <c r="E11982" s="136">
        <f t="shared" si="561"/>
        <v>10</v>
      </c>
      <c r="F11982" s="137" t="s">
        <v>24</v>
      </c>
      <c r="G11982" s="128" t="str">
        <f>VLOOKUP(source[[#This Row],[lending_product_transform]],[3]Mapping!$B$4:$C$37,2,0)</f>
        <v>[Cake] - Cashloan</v>
      </c>
      <c r="H11982" s="128" t="str">
        <f>VLOOKUP(source[[#This Row],[lending_product_transform]],[3]Mapping!$B$3:$D$37,3,0)</f>
        <v>cashloan</v>
      </c>
      <c r="I11982" s="143">
        <v>419055212</v>
      </c>
    </row>
    <row r="11983" spans="1:9" x14ac:dyDescent="0.2">
      <c r="A11983" s="134">
        <v>46032</v>
      </c>
      <c r="B11983" s="135">
        <f>YEAR(source[[#This Row],[report_date]])</f>
        <v>2026</v>
      </c>
      <c r="C11983" s="128">
        <f t="shared" si="560"/>
        <v>1</v>
      </c>
      <c r="D11983" s="136">
        <f t="shared" si="559"/>
        <v>2</v>
      </c>
      <c r="E11983" s="136">
        <f t="shared" si="561"/>
        <v>10</v>
      </c>
      <c r="F11983" s="137" t="s">
        <v>24</v>
      </c>
      <c r="G11983" s="128" t="str">
        <f>VLOOKUP(source[[#This Row],[lending_product_transform]],[3]Mapping!$B$4:$C$37,2,0)</f>
        <v>[Cake] - Cashloan</v>
      </c>
      <c r="H11983" s="128" t="str">
        <f>VLOOKUP(source[[#This Row],[lending_product_transform]],[3]Mapping!$B$3:$D$37,3,0)</f>
        <v>cashloan</v>
      </c>
      <c r="I11983" s="143">
        <v>17945200000</v>
      </c>
    </row>
    <row r="11984" spans="1:9" x14ac:dyDescent="0.2">
      <c r="A11984" s="134">
        <v>46032</v>
      </c>
      <c r="B11984" s="135">
        <f>YEAR(source[[#This Row],[report_date]])</f>
        <v>2026</v>
      </c>
      <c r="C11984" s="128">
        <f t="shared" si="560"/>
        <v>1</v>
      </c>
      <c r="D11984" s="136">
        <f t="shared" si="559"/>
        <v>2</v>
      </c>
      <c r="E11984" s="136">
        <f t="shared" si="561"/>
        <v>10</v>
      </c>
      <c r="F11984" s="137" t="s">
        <v>24</v>
      </c>
      <c r="G11984" s="128" t="str">
        <f>VLOOKUP(source[[#This Row],[lending_product_transform]],[3]Mapping!$B$4:$C$37,2,0)</f>
        <v>[Cake] - Cashloan</v>
      </c>
      <c r="H11984" s="128" t="str">
        <f>VLOOKUP(source[[#This Row],[lending_product_transform]],[3]Mapping!$B$3:$D$37,3,0)</f>
        <v>cashloan</v>
      </c>
      <c r="I11984" s="143">
        <v>2345771913</v>
      </c>
    </row>
    <row r="11985" spans="1:9" x14ac:dyDescent="0.2">
      <c r="A11985" s="134">
        <v>46032</v>
      </c>
      <c r="B11985" s="135">
        <f>YEAR(source[[#This Row],[report_date]])</f>
        <v>2026</v>
      </c>
      <c r="C11985" s="128">
        <f t="shared" si="560"/>
        <v>1</v>
      </c>
      <c r="D11985" s="136">
        <f t="shared" ref="D11985:D12048" si="562">WEEKNUM(A11985,2)</f>
        <v>2</v>
      </c>
      <c r="E11985" s="136">
        <f t="shared" si="561"/>
        <v>10</v>
      </c>
      <c r="F11985" s="137" t="s">
        <v>24</v>
      </c>
      <c r="G11985" s="128" t="str">
        <f>VLOOKUP(source[[#This Row],[lending_product_transform]],[3]Mapping!$B$4:$C$37,2,0)</f>
        <v>[Cake] - Cashloan</v>
      </c>
      <c r="H11985" s="128" t="str">
        <f>VLOOKUP(source[[#This Row],[lending_product_transform]],[3]Mapping!$B$3:$D$37,3,0)</f>
        <v>cashloan</v>
      </c>
      <c r="I11985" s="143">
        <v>15563340000</v>
      </c>
    </row>
    <row r="11986" spans="1:9" x14ac:dyDescent="0.2">
      <c r="A11986" s="134">
        <v>46032</v>
      </c>
      <c r="B11986" s="135">
        <f>YEAR(source[[#This Row],[report_date]])</f>
        <v>2026</v>
      </c>
      <c r="C11986" s="128">
        <f t="shared" si="560"/>
        <v>1</v>
      </c>
      <c r="D11986" s="136">
        <f t="shared" si="562"/>
        <v>2</v>
      </c>
      <c r="E11986" s="136">
        <f t="shared" si="561"/>
        <v>10</v>
      </c>
      <c r="F11986" s="137" t="s">
        <v>24</v>
      </c>
      <c r="G11986" s="128" t="str">
        <f>VLOOKUP(source[[#This Row],[lending_product_transform]],[3]Mapping!$B$4:$C$37,2,0)</f>
        <v>[Cake] - Cashloan</v>
      </c>
      <c r="H11986" s="128" t="str">
        <f>VLOOKUP(source[[#This Row],[lending_product_transform]],[3]Mapping!$B$3:$D$37,3,0)</f>
        <v>cashloan</v>
      </c>
      <c r="I11986" s="143">
        <v>13061172</v>
      </c>
    </row>
    <row r="11987" spans="1:9" x14ac:dyDescent="0.2">
      <c r="A11987" s="134">
        <v>46032</v>
      </c>
      <c r="B11987" s="135">
        <f>YEAR(source[[#This Row],[report_date]])</f>
        <v>2026</v>
      </c>
      <c r="C11987" s="128">
        <f t="shared" si="560"/>
        <v>1</v>
      </c>
      <c r="D11987" s="136">
        <f t="shared" si="562"/>
        <v>2</v>
      </c>
      <c r="E11987" s="136">
        <f t="shared" si="561"/>
        <v>10</v>
      </c>
      <c r="F11987" s="137" t="s">
        <v>24</v>
      </c>
      <c r="G11987" s="128" t="str">
        <f>VLOOKUP(source[[#This Row],[lending_product_transform]],[3]Mapping!$B$4:$C$37,2,0)</f>
        <v>[Cake] - Cashloan</v>
      </c>
      <c r="H11987" s="128" t="str">
        <f>VLOOKUP(source[[#This Row],[lending_product_transform]],[3]Mapping!$B$3:$D$37,3,0)</f>
        <v>cashloan</v>
      </c>
      <c r="I11987" s="143">
        <v>90000000</v>
      </c>
    </row>
    <row r="11988" spans="1:9" x14ac:dyDescent="0.2">
      <c r="A11988" s="134">
        <v>46032</v>
      </c>
      <c r="B11988" s="135">
        <f>YEAR(source[[#This Row],[report_date]])</f>
        <v>2026</v>
      </c>
      <c r="C11988" s="128">
        <f t="shared" si="560"/>
        <v>1</v>
      </c>
      <c r="D11988" s="136">
        <f t="shared" si="562"/>
        <v>2</v>
      </c>
      <c r="E11988" s="136">
        <f t="shared" si="561"/>
        <v>10</v>
      </c>
      <c r="F11988" s="137" t="s">
        <v>24</v>
      </c>
      <c r="G11988" s="128" t="str">
        <f>VLOOKUP(source[[#This Row],[lending_product_transform]],[3]Mapping!$B$4:$C$37,2,0)</f>
        <v>[Cake] - Cashloan</v>
      </c>
      <c r="H11988" s="128" t="str">
        <f>VLOOKUP(source[[#This Row],[lending_product_transform]],[3]Mapping!$B$3:$D$37,3,0)</f>
        <v>cashloan</v>
      </c>
      <c r="I11988" s="143">
        <v>5429640000</v>
      </c>
    </row>
    <row r="11989" spans="1:9" x14ac:dyDescent="0.2">
      <c r="A11989" s="134">
        <v>46032</v>
      </c>
      <c r="B11989" s="135">
        <f>YEAR(source[[#This Row],[report_date]])</f>
        <v>2026</v>
      </c>
      <c r="C11989" s="128">
        <f t="shared" si="560"/>
        <v>1</v>
      </c>
      <c r="D11989" s="136">
        <f t="shared" si="562"/>
        <v>2</v>
      </c>
      <c r="E11989" s="136">
        <f t="shared" si="561"/>
        <v>10</v>
      </c>
      <c r="F11989" s="137" t="s">
        <v>24</v>
      </c>
      <c r="G11989" s="128" t="str">
        <f>VLOOKUP(source[[#This Row],[lending_product_transform]],[3]Mapping!$B$4:$C$37,2,0)</f>
        <v>[Cake] - Cashloan</v>
      </c>
      <c r="H11989" s="128" t="str">
        <f>VLOOKUP(source[[#This Row],[lending_product_transform]],[3]Mapping!$B$3:$D$37,3,0)</f>
        <v>cashloan</v>
      </c>
      <c r="I11989" s="143">
        <v>1155630000</v>
      </c>
    </row>
    <row r="11990" spans="1:9" x14ac:dyDescent="0.2">
      <c r="A11990" s="134">
        <v>46032</v>
      </c>
      <c r="B11990" s="135">
        <f>YEAR(source[[#This Row],[report_date]])</f>
        <v>2026</v>
      </c>
      <c r="C11990" s="128">
        <f t="shared" si="560"/>
        <v>1</v>
      </c>
      <c r="D11990" s="136">
        <f t="shared" si="562"/>
        <v>2</v>
      </c>
      <c r="E11990" s="136">
        <f t="shared" si="561"/>
        <v>10</v>
      </c>
      <c r="F11990" s="137" t="s">
        <v>24</v>
      </c>
      <c r="G11990" s="128" t="str">
        <f>VLOOKUP(source[[#This Row],[lending_product_transform]],[3]Mapping!$B$4:$C$37,2,0)</f>
        <v>[Cake] - Cashloan</v>
      </c>
      <c r="H11990" s="128" t="str">
        <f>VLOOKUP(source[[#This Row],[lending_product_transform]],[3]Mapping!$B$3:$D$37,3,0)</f>
        <v>cashloan</v>
      </c>
      <c r="I11990" s="143">
        <v>16535474</v>
      </c>
    </row>
    <row r="11991" spans="1:9" x14ac:dyDescent="0.2">
      <c r="A11991" s="134">
        <v>46032</v>
      </c>
      <c r="B11991" s="135">
        <f>YEAR(source[[#This Row],[report_date]])</f>
        <v>2026</v>
      </c>
      <c r="C11991" s="128">
        <f t="shared" si="560"/>
        <v>1</v>
      </c>
      <c r="D11991" s="136">
        <f t="shared" si="562"/>
        <v>2</v>
      </c>
      <c r="E11991" s="136">
        <f t="shared" si="561"/>
        <v>10</v>
      </c>
      <c r="F11991" s="137" t="s">
        <v>24</v>
      </c>
      <c r="G11991" s="128" t="str">
        <f>VLOOKUP(source[[#This Row],[lending_product_transform]],[3]Mapping!$B$4:$C$37,2,0)</f>
        <v>[Cake] - Cashloan</v>
      </c>
      <c r="H11991" s="128" t="str">
        <f>VLOOKUP(source[[#This Row],[lending_product_transform]],[3]Mapping!$B$3:$D$37,3,0)</f>
        <v>cashloan</v>
      </c>
      <c r="I11991" s="143">
        <v>1830713937</v>
      </c>
    </row>
    <row r="11992" spans="1:9" x14ac:dyDescent="0.2">
      <c r="A11992" s="134">
        <v>46032</v>
      </c>
      <c r="B11992" s="135">
        <f>YEAR(source[[#This Row],[report_date]])</f>
        <v>2026</v>
      </c>
      <c r="C11992" s="128">
        <f t="shared" si="560"/>
        <v>1</v>
      </c>
      <c r="D11992" s="136">
        <f t="shared" si="562"/>
        <v>2</v>
      </c>
      <c r="E11992" s="136">
        <f t="shared" si="561"/>
        <v>10</v>
      </c>
      <c r="F11992" s="137" t="s">
        <v>24</v>
      </c>
      <c r="G11992" s="128" t="str">
        <f>VLOOKUP(source[[#This Row],[lending_product_transform]],[3]Mapping!$B$4:$C$37,2,0)</f>
        <v>[Cake] - Cashloan</v>
      </c>
      <c r="H11992" s="128" t="str">
        <f>VLOOKUP(source[[#This Row],[lending_product_transform]],[3]Mapping!$B$3:$D$37,3,0)</f>
        <v>cashloan</v>
      </c>
      <c r="I11992" s="143">
        <v>0</v>
      </c>
    </row>
    <row r="11993" spans="1:9" x14ac:dyDescent="0.2">
      <c r="A11993" s="134">
        <v>46032</v>
      </c>
      <c r="B11993" s="135">
        <f>YEAR(source[[#This Row],[report_date]])</f>
        <v>2026</v>
      </c>
      <c r="C11993" s="128">
        <f t="shared" si="560"/>
        <v>1</v>
      </c>
      <c r="D11993" s="136">
        <f t="shared" si="562"/>
        <v>2</v>
      </c>
      <c r="E11993" s="136">
        <f t="shared" si="561"/>
        <v>10</v>
      </c>
      <c r="F11993" s="137" t="s">
        <v>24</v>
      </c>
      <c r="G11993" s="128" t="str">
        <f>VLOOKUP(source[[#This Row],[lending_product_transform]],[3]Mapping!$B$4:$C$37,2,0)</f>
        <v>[Cake] - Cashloan</v>
      </c>
      <c r="H11993" s="128" t="str">
        <f>VLOOKUP(source[[#This Row],[lending_product_transform]],[3]Mapping!$B$3:$D$37,3,0)</f>
        <v>cashloan</v>
      </c>
      <c r="I11993" s="143">
        <v>167000000</v>
      </c>
    </row>
    <row r="11994" spans="1:9" x14ac:dyDescent="0.2">
      <c r="A11994" s="134">
        <v>46032</v>
      </c>
      <c r="B11994" s="135">
        <f>YEAR(source[[#This Row],[report_date]])</f>
        <v>2026</v>
      </c>
      <c r="C11994" s="128">
        <f t="shared" si="560"/>
        <v>1</v>
      </c>
      <c r="D11994" s="136">
        <f t="shared" si="562"/>
        <v>2</v>
      </c>
      <c r="E11994" s="136">
        <f t="shared" si="561"/>
        <v>10</v>
      </c>
      <c r="F11994" s="137" t="s">
        <v>24</v>
      </c>
      <c r="G11994" s="128" t="str">
        <f>VLOOKUP(source[[#This Row],[lending_product_transform]],[3]Mapping!$B$4:$C$37,2,0)</f>
        <v>[Cake] - Cashloan</v>
      </c>
      <c r="H11994" s="128" t="str">
        <f>VLOOKUP(source[[#This Row],[lending_product_transform]],[3]Mapping!$B$3:$D$37,3,0)</f>
        <v>cashloan</v>
      </c>
      <c r="I11994" s="143">
        <v>0</v>
      </c>
    </row>
    <row r="11995" spans="1:9" x14ac:dyDescent="0.2">
      <c r="A11995" s="134">
        <v>46032</v>
      </c>
      <c r="B11995" s="135">
        <f>YEAR(source[[#This Row],[report_date]])</f>
        <v>2026</v>
      </c>
      <c r="C11995" s="128">
        <f t="shared" si="560"/>
        <v>1</v>
      </c>
      <c r="D11995" s="136">
        <f t="shared" si="562"/>
        <v>2</v>
      </c>
      <c r="E11995" s="136">
        <f t="shared" si="561"/>
        <v>10</v>
      </c>
      <c r="F11995" s="137" t="s">
        <v>24</v>
      </c>
      <c r="G11995" s="128" t="str">
        <f>VLOOKUP(source[[#This Row],[lending_product_transform]],[3]Mapping!$B$4:$C$37,2,0)</f>
        <v>[Cake] - Cashloan</v>
      </c>
      <c r="H11995" s="128" t="str">
        <f>VLOOKUP(source[[#This Row],[lending_product_transform]],[3]Mapping!$B$3:$D$37,3,0)</f>
        <v>cashloan</v>
      </c>
      <c r="I11995" s="143">
        <v>17764830000</v>
      </c>
    </row>
    <row r="11996" spans="1:9" x14ac:dyDescent="0.2">
      <c r="A11996" s="134">
        <v>46032</v>
      </c>
      <c r="B11996" s="135">
        <f>YEAR(source[[#This Row],[report_date]])</f>
        <v>2026</v>
      </c>
      <c r="C11996" s="128">
        <f t="shared" si="560"/>
        <v>1</v>
      </c>
      <c r="D11996" s="136">
        <f t="shared" si="562"/>
        <v>2</v>
      </c>
      <c r="E11996" s="136">
        <f t="shared" si="561"/>
        <v>10</v>
      </c>
      <c r="F11996" s="137" t="s">
        <v>24</v>
      </c>
      <c r="G11996" s="128" t="str">
        <f>VLOOKUP(source[[#This Row],[lending_product_transform]],[3]Mapping!$B$4:$C$37,2,0)</f>
        <v>[Cake] - Cashloan</v>
      </c>
      <c r="H11996" s="128" t="str">
        <f>VLOOKUP(source[[#This Row],[lending_product_transform]],[3]Mapping!$B$3:$D$37,3,0)</f>
        <v>cashloan</v>
      </c>
      <c r="I11996" s="143">
        <v>0</v>
      </c>
    </row>
    <row r="11997" spans="1:9" x14ac:dyDescent="0.2">
      <c r="A11997" s="134">
        <v>46032</v>
      </c>
      <c r="B11997" s="135">
        <f>YEAR(source[[#This Row],[report_date]])</f>
        <v>2026</v>
      </c>
      <c r="C11997" s="128">
        <f t="shared" si="560"/>
        <v>1</v>
      </c>
      <c r="D11997" s="136">
        <f t="shared" si="562"/>
        <v>2</v>
      </c>
      <c r="E11997" s="136">
        <f t="shared" si="561"/>
        <v>10</v>
      </c>
      <c r="F11997" s="137" t="s">
        <v>24</v>
      </c>
      <c r="G11997" s="128" t="str">
        <f>VLOOKUP(source[[#This Row],[lending_product_transform]],[3]Mapping!$B$4:$C$37,2,0)</f>
        <v>[Cake] - Cashloan</v>
      </c>
      <c r="H11997" s="128" t="str">
        <f>VLOOKUP(source[[#This Row],[lending_product_transform]],[3]Mapping!$B$3:$D$37,3,0)</f>
        <v>cashloan</v>
      </c>
      <c r="I11997" s="143">
        <v>0</v>
      </c>
    </row>
    <row r="11998" spans="1:9" x14ac:dyDescent="0.2">
      <c r="A11998" s="134">
        <v>46032</v>
      </c>
      <c r="B11998" s="135">
        <f>YEAR(source[[#This Row],[report_date]])</f>
        <v>2026</v>
      </c>
      <c r="C11998" s="128">
        <f t="shared" si="560"/>
        <v>1</v>
      </c>
      <c r="D11998" s="136">
        <f t="shared" si="562"/>
        <v>2</v>
      </c>
      <c r="E11998" s="136">
        <f t="shared" si="561"/>
        <v>10</v>
      </c>
      <c r="F11998" s="137" t="s">
        <v>24</v>
      </c>
      <c r="G11998" s="128" t="str">
        <f>VLOOKUP(source[[#This Row],[lending_product_transform]],[3]Mapping!$B$4:$C$37,2,0)</f>
        <v>[Cake] - Cashloan</v>
      </c>
      <c r="H11998" s="128" t="str">
        <f>VLOOKUP(source[[#This Row],[lending_product_transform]],[3]Mapping!$B$3:$D$37,3,0)</f>
        <v>cashloan</v>
      </c>
      <c r="I11998" s="143">
        <v>0</v>
      </c>
    </row>
    <row r="11999" spans="1:9" x14ac:dyDescent="0.2">
      <c r="A11999" s="134">
        <v>46032</v>
      </c>
      <c r="B11999" s="135">
        <f>YEAR(source[[#This Row],[report_date]])</f>
        <v>2026</v>
      </c>
      <c r="C11999" s="128">
        <f t="shared" si="560"/>
        <v>1</v>
      </c>
      <c r="D11999" s="136">
        <f t="shared" si="562"/>
        <v>2</v>
      </c>
      <c r="E11999" s="136">
        <f t="shared" si="561"/>
        <v>10</v>
      </c>
      <c r="F11999" s="137" t="s">
        <v>24</v>
      </c>
      <c r="G11999" s="128" t="str">
        <f>VLOOKUP(source[[#This Row],[lending_product_transform]],[3]Mapping!$B$4:$C$37,2,0)</f>
        <v>[Cake] - Cashloan</v>
      </c>
      <c r="H11999" s="128" t="str">
        <f>VLOOKUP(source[[#This Row],[lending_product_transform]],[3]Mapping!$B$3:$D$37,3,0)</f>
        <v>cashloan</v>
      </c>
      <c r="I11999" s="143">
        <v>0</v>
      </c>
    </row>
    <row r="12000" spans="1:9" x14ac:dyDescent="0.2">
      <c r="A12000" s="134">
        <v>46032</v>
      </c>
      <c r="B12000" s="135">
        <f>YEAR(source[[#This Row],[report_date]])</f>
        <v>2026</v>
      </c>
      <c r="C12000" s="128">
        <f t="shared" si="560"/>
        <v>1</v>
      </c>
      <c r="D12000" s="136">
        <f t="shared" si="562"/>
        <v>2</v>
      </c>
      <c r="E12000" s="136">
        <f t="shared" si="561"/>
        <v>10</v>
      </c>
      <c r="F12000" s="137" t="s">
        <v>24</v>
      </c>
      <c r="G12000" s="128" t="str">
        <f>VLOOKUP(source[[#This Row],[lending_product_transform]],[3]Mapping!$B$4:$C$37,2,0)</f>
        <v>[Cake] - Cashloan</v>
      </c>
      <c r="H12000" s="128" t="str">
        <f>VLOOKUP(source[[#This Row],[lending_product_transform]],[3]Mapping!$B$3:$D$37,3,0)</f>
        <v>cashloan</v>
      </c>
      <c r="I12000" s="143">
        <v>12705660000</v>
      </c>
    </row>
    <row r="12001" spans="1:9" x14ac:dyDescent="0.2">
      <c r="A12001" s="134">
        <v>46032</v>
      </c>
      <c r="B12001" s="135">
        <f>YEAR(source[[#This Row],[report_date]])</f>
        <v>2026</v>
      </c>
      <c r="C12001" s="128">
        <f t="shared" si="560"/>
        <v>1</v>
      </c>
      <c r="D12001" s="136">
        <f t="shared" si="562"/>
        <v>2</v>
      </c>
      <c r="E12001" s="136">
        <f t="shared" si="561"/>
        <v>10</v>
      </c>
      <c r="F12001" s="137" t="s">
        <v>24</v>
      </c>
      <c r="G12001" s="128" t="str">
        <f>VLOOKUP(source[[#This Row],[lending_product_transform]],[3]Mapping!$B$4:$C$37,2,0)</f>
        <v>[Cake] - Cashloan</v>
      </c>
      <c r="H12001" s="128" t="str">
        <f>VLOOKUP(source[[#This Row],[lending_product_transform]],[3]Mapping!$B$3:$D$37,3,0)</f>
        <v>cashloan</v>
      </c>
      <c r="I12001" s="143">
        <v>283128611</v>
      </c>
    </row>
    <row r="12002" spans="1:9" x14ac:dyDescent="0.2">
      <c r="A12002" s="134">
        <v>46032</v>
      </c>
      <c r="B12002" s="135">
        <f>YEAR(source[[#This Row],[report_date]])</f>
        <v>2026</v>
      </c>
      <c r="C12002" s="128">
        <f t="shared" si="560"/>
        <v>1</v>
      </c>
      <c r="D12002" s="136">
        <f t="shared" si="562"/>
        <v>2</v>
      </c>
      <c r="E12002" s="136">
        <f t="shared" si="561"/>
        <v>10</v>
      </c>
      <c r="F12002" s="137" t="s">
        <v>24</v>
      </c>
      <c r="G12002" s="128" t="str">
        <f>VLOOKUP(source[[#This Row],[lending_product_transform]],[3]Mapping!$B$4:$C$37,2,0)</f>
        <v>[Cake] - Cashloan</v>
      </c>
      <c r="H12002" s="128" t="str">
        <f>VLOOKUP(source[[#This Row],[lending_product_transform]],[3]Mapping!$B$3:$D$37,3,0)</f>
        <v>cashloan</v>
      </c>
      <c r="I12002" s="143">
        <v>0</v>
      </c>
    </row>
    <row r="12003" spans="1:9" x14ac:dyDescent="0.2">
      <c r="A12003" s="134">
        <v>46032</v>
      </c>
      <c r="B12003" s="135">
        <f>YEAR(source[[#This Row],[report_date]])</f>
        <v>2026</v>
      </c>
      <c r="C12003" s="128">
        <f t="shared" si="560"/>
        <v>1</v>
      </c>
      <c r="D12003" s="136">
        <f t="shared" si="562"/>
        <v>2</v>
      </c>
      <c r="E12003" s="136">
        <f t="shared" si="561"/>
        <v>10</v>
      </c>
      <c r="F12003" s="137" t="s">
        <v>24</v>
      </c>
      <c r="G12003" s="128" t="str">
        <f>VLOOKUP(source[[#This Row],[lending_product_transform]],[3]Mapping!$B$4:$C$37,2,0)</f>
        <v>[Cake] - Cashloan</v>
      </c>
      <c r="H12003" s="128" t="str">
        <f>VLOOKUP(source[[#This Row],[lending_product_transform]],[3]Mapping!$B$3:$D$37,3,0)</f>
        <v>cashloan</v>
      </c>
      <c r="I12003" s="143">
        <v>33000000</v>
      </c>
    </row>
    <row r="12004" spans="1:9" x14ac:dyDescent="0.2">
      <c r="A12004" s="134">
        <v>46032</v>
      </c>
      <c r="B12004" s="135">
        <f>YEAR(source[[#This Row],[report_date]])</f>
        <v>2026</v>
      </c>
      <c r="C12004" s="128">
        <f t="shared" si="560"/>
        <v>1</v>
      </c>
      <c r="D12004" s="136">
        <f t="shared" si="562"/>
        <v>2</v>
      </c>
      <c r="E12004" s="136">
        <f t="shared" si="561"/>
        <v>10</v>
      </c>
      <c r="F12004" s="137" t="s">
        <v>24</v>
      </c>
      <c r="G12004" s="128" t="str">
        <f>VLOOKUP(source[[#This Row],[lending_product_transform]],[3]Mapping!$B$4:$C$37,2,0)</f>
        <v>[Cake] - Cashloan</v>
      </c>
      <c r="H12004" s="128" t="str">
        <f>VLOOKUP(source[[#This Row],[lending_product_transform]],[3]Mapping!$B$3:$D$37,3,0)</f>
        <v>cashloan</v>
      </c>
      <c r="I12004" s="143">
        <v>1187970000</v>
      </c>
    </row>
    <row r="12005" spans="1:9" x14ac:dyDescent="0.2">
      <c r="A12005" s="134">
        <v>46032</v>
      </c>
      <c r="B12005" s="135">
        <f>YEAR(source[[#This Row],[report_date]])</f>
        <v>2026</v>
      </c>
      <c r="C12005" s="128">
        <f t="shared" si="560"/>
        <v>1</v>
      </c>
      <c r="D12005" s="136">
        <f t="shared" si="562"/>
        <v>2</v>
      </c>
      <c r="E12005" s="136">
        <f t="shared" si="561"/>
        <v>10</v>
      </c>
      <c r="F12005" s="137" t="s">
        <v>24</v>
      </c>
      <c r="G12005" s="128" t="str">
        <f>VLOOKUP(source[[#This Row],[lending_product_transform]],[3]Mapping!$B$4:$C$37,2,0)</f>
        <v>[Cake] - Cashloan</v>
      </c>
      <c r="H12005" s="128" t="str">
        <f>VLOOKUP(source[[#This Row],[lending_product_transform]],[3]Mapping!$B$3:$D$37,3,0)</f>
        <v>cashloan</v>
      </c>
      <c r="I12005" s="143">
        <v>330588000</v>
      </c>
    </row>
    <row r="12006" spans="1:9" x14ac:dyDescent="0.2">
      <c r="A12006" s="134">
        <v>46032</v>
      </c>
      <c r="B12006" s="135">
        <f>YEAR(source[[#This Row],[report_date]])</f>
        <v>2026</v>
      </c>
      <c r="C12006" s="128">
        <f t="shared" si="560"/>
        <v>1</v>
      </c>
      <c r="D12006" s="136">
        <f t="shared" si="562"/>
        <v>2</v>
      </c>
      <c r="E12006" s="136">
        <f t="shared" si="561"/>
        <v>10</v>
      </c>
      <c r="F12006" s="137" t="s">
        <v>24</v>
      </c>
      <c r="G12006" s="128" t="str">
        <f>VLOOKUP(source[[#This Row],[lending_product_transform]],[3]Mapping!$B$4:$C$37,2,0)</f>
        <v>[Cake] - Cashloan</v>
      </c>
      <c r="H12006" s="128" t="str">
        <f>VLOOKUP(source[[#This Row],[lending_product_transform]],[3]Mapping!$B$3:$D$37,3,0)</f>
        <v>cashloan</v>
      </c>
      <c r="I12006" s="143">
        <v>450017217</v>
      </c>
    </row>
    <row r="12007" spans="1:9" x14ac:dyDescent="0.2">
      <c r="A12007" s="134">
        <v>46032</v>
      </c>
      <c r="B12007" s="135">
        <f>YEAR(source[[#This Row],[report_date]])</f>
        <v>2026</v>
      </c>
      <c r="C12007" s="128">
        <f t="shared" si="560"/>
        <v>1</v>
      </c>
      <c r="D12007" s="136">
        <f t="shared" si="562"/>
        <v>2</v>
      </c>
      <c r="E12007" s="136">
        <f t="shared" si="561"/>
        <v>10</v>
      </c>
      <c r="F12007" s="137" t="s">
        <v>24</v>
      </c>
      <c r="G12007" s="128" t="str">
        <f>VLOOKUP(source[[#This Row],[lending_product_transform]],[3]Mapping!$B$4:$C$37,2,0)</f>
        <v>[Cake] - Cashloan</v>
      </c>
      <c r="H12007" s="128" t="str">
        <f>VLOOKUP(source[[#This Row],[lending_product_transform]],[3]Mapping!$B$3:$D$37,3,0)</f>
        <v>cashloan</v>
      </c>
      <c r="I12007" s="143">
        <v>4185160000</v>
      </c>
    </row>
    <row r="12008" spans="1:9" x14ac:dyDescent="0.2">
      <c r="A12008" s="134">
        <v>46032</v>
      </c>
      <c r="B12008" s="135">
        <f>YEAR(source[[#This Row],[report_date]])</f>
        <v>2026</v>
      </c>
      <c r="C12008" s="128">
        <f t="shared" si="560"/>
        <v>1</v>
      </c>
      <c r="D12008" s="136">
        <f t="shared" si="562"/>
        <v>2</v>
      </c>
      <c r="E12008" s="136">
        <f t="shared" si="561"/>
        <v>10</v>
      </c>
      <c r="F12008" s="137" t="s">
        <v>24</v>
      </c>
      <c r="G12008" s="128" t="str">
        <f>VLOOKUP(source[[#This Row],[lending_product_transform]],[3]Mapping!$B$4:$C$37,2,0)</f>
        <v>[Cake] - Cashloan</v>
      </c>
      <c r="H12008" s="128" t="str">
        <f>VLOOKUP(source[[#This Row],[lending_product_transform]],[3]Mapping!$B$3:$D$37,3,0)</f>
        <v>cashloan</v>
      </c>
      <c r="I12008" s="143">
        <v>0</v>
      </c>
    </row>
    <row r="12009" spans="1:9" x14ac:dyDescent="0.2">
      <c r="A12009" s="134">
        <v>46033</v>
      </c>
      <c r="B12009" s="135">
        <f>YEAR(source[[#This Row],[report_date]])</f>
        <v>2026</v>
      </c>
      <c r="C12009" s="128">
        <f t="shared" si="560"/>
        <v>1</v>
      </c>
      <c r="D12009" s="136">
        <f t="shared" si="562"/>
        <v>2</v>
      </c>
      <c r="E12009" s="136">
        <f t="shared" si="561"/>
        <v>11</v>
      </c>
      <c r="F12009" s="137" t="s">
        <v>24</v>
      </c>
      <c r="G12009" s="128" t="str">
        <f>VLOOKUP(source[[#This Row],[lending_product_transform]],[3]Mapping!$B$4:$C$37,2,0)</f>
        <v>[Cake] - Cashloan</v>
      </c>
      <c r="H12009" s="128" t="str">
        <f>VLOOKUP(source[[#This Row],[lending_product_transform]],[3]Mapping!$B$3:$D$37,3,0)</f>
        <v>cashloan</v>
      </c>
      <c r="I12009" s="143">
        <v>766700000</v>
      </c>
    </row>
    <row r="12010" spans="1:9" x14ac:dyDescent="0.2">
      <c r="A12010" s="134">
        <v>46033</v>
      </c>
      <c r="B12010" s="135">
        <f>YEAR(source[[#This Row],[report_date]])</f>
        <v>2026</v>
      </c>
      <c r="C12010" s="128">
        <f t="shared" si="560"/>
        <v>1</v>
      </c>
      <c r="D12010" s="136">
        <f t="shared" si="562"/>
        <v>2</v>
      </c>
      <c r="E12010" s="136">
        <f t="shared" si="561"/>
        <v>11</v>
      </c>
      <c r="F12010" s="137" t="s">
        <v>24</v>
      </c>
      <c r="G12010" s="128" t="str">
        <f>VLOOKUP(source[[#This Row],[lending_product_transform]],[3]Mapping!$B$4:$C$37,2,0)</f>
        <v>[Cake] - Cashloan</v>
      </c>
      <c r="H12010" s="128" t="str">
        <f>VLOOKUP(source[[#This Row],[lending_product_transform]],[3]Mapping!$B$3:$D$37,3,0)</f>
        <v>cashloan</v>
      </c>
      <c r="I12010" s="143">
        <v>353164484</v>
      </c>
    </row>
    <row r="12011" spans="1:9" x14ac:dyDescent="0.2">
      <c r="A12011" s="134">
        <v>46033</v>
      </c>
      <c r="B12011" s="135">
        <f>YEAR(source[[#This Row],[report_date]])</f>
        <v>2026</v>
      </c>
      <c r="C12011" s="128">
        <f t="shared" si="560"/>
        <v>1</v>
      </c>
      <c r="D12011" s="136">
        <f t="shared" si="562"/>
        <v>2</v>
      </c>
      <c r="E12011" s="136">
        <f t="shared" si="561"/>
        <v>11</v>
      </c>
      <c r="F12011" s="137" t="s">
        <v>24</v>
      </c>
      <c r="G12011" s="128" t="str">
        <f>VLOOKUP(source[[#This Row],[lending_product_transform]],[3]Mapping!$B$4:$C$37,2,0)</f>
        <v>[Cake] - Cashloan</v>
      </c>
      <c r="H12011" s="128" t="str">
        <f>VLOOKUP(source[[#This Row],[lending_product_transform]],[3]Mapping!$B$3:$D$37,3,0)</f>
        <v>cashloan</v>
      </c>
      <c r="I12011" s="143">
        <v>13005000000</v>
      </c>
    </row>
    <row r="12012" spans="1:9" x14ac:dyDescent="0.2">
      <c r="A12012" s="134">
        <v>46033</v>
      </c>
      <c r="B12012" s="135">
        <f>YEAR(source[[#This Row],[report_date]])</f>
        <v>2026</v>
      </c>
      <c r="C12012" s="128">
        <f t="shared" si="560"/>
        <v>1</v>
      </c>
      <c r="D12012" s="136">
        <f t="shared" si="562"/>
        <v>2</v>
      </c>
      <c r="E12012" s="136">
        <f t="shared" si="561"/>
        <v>11</v>
      </c>
      <c r="F12012" s="137" t="s">
        <v>24</v>
      </c>
      <c r="G12012" s="128" t="str">
        <f>VLOOKUP(source[[#This Row],[lending_product_transform]],[3]Mapping!$B$4:$C$37,2,0)</f>
        <v>[Cake] - Cashloan</v>
      </c>
      <c r="H12012" s="128" t="str">
        <f>VLOOKUP(source[[#This Row],[lending_product_transform]],[3]Mapping!$B$3:$D$37,3,0)</f>
        <v>cashloan</v>
      </c>
      <c r="I12012" s="143">
        <v>1429945439</v>
      </c>
    </row>
    <row r="12013" spans="1:9" x14ac:dyDescent="0.2">
      <c r="A12013" s="134">
        <v>46033</v>
      </c>
      <c r="B12013" s="135">
        <f>YEAR(source[[#This Row],[report_date]])</f>
        <v>2026</v>
      </c>
      <c r="C12013" s="128">
        <f t="shared" si="560"/>
        <v>1</v>
      </c>
      <c r="D12013" s="136">
        <f t="shared" si="562"/>
        <v>2</v>
      </c>
      <c r="E12013" s="136">
        <f t="shared" si="561"/>
        <v>11</v>
      </c>
      <c r="F12013" s="137" t="s">
        <v>24</v>
      </c>
      <c r="G12013" s="128" t="str">
        <f>VLOOKUP(source[[#This Row],[lending_product_transform]],[3]Mapping!$B$4:$C$37,2,0)</f>
        <v>[Cake] - Cashloan</v>
      </c>
      <c r="H12013" s="128" t="str">
        <f>VLOOKUP(source[[#This Row],[lending_product_transform]],[3]Mapping!$B$3:$D$37,3,0)</f>
        <v>cashloan</v>
      </c>
      <c r="I12013" s="143">
        <v>12770892000</v>
      </c>
    </row>
    <row r="12014" spans="1:9" x14ac:dyDescent="0.2">
      <c r="A12014" s="134">
        <v>46033</v>
      </c>
      <c r="B12014" s="135">
        <f>YEAR(source[[#This Row],[report_date]])</f>
        <v>2026</v>
      </c>
      <c r="C12014" s="128">
        <f t="shared" si="560"/>
        <v>1</v>
      </c>
      <c r="D12014" s="136">
        <f t="shared" si="562"/>
        <v>2</v>
      </c>
      <c r="E12014" s="136">
        <f t="shared" si="561"/>
        <v>11</v>
      </c>
      <c r="F12014" s="137" t="s">
        <v>24</v>
      </c>
      <c r="G12014" s="128" t="str">
        <f>VLOOKUP(source[[#This Row],[lending_product_transform]],[3]Mapping!$B$4:$C$37,2,0)</f>
        <v>[Cake] - Cashloan</v>
      </c>
      <c r="H12014" s="128" t="str">
        <f>VLOOKUP(source[[#This Row],[lending_product_transform]],[3]Mapping!$B$3:$D$37,3,0)</f>
        <v>cashloan</v>
      </c>
      <c r="I12014" s="143">
        <v>2940172</v>
      </c>
    </row>
    <row r="12015" spans="1:9" x14ac:dyDescent="0.2">
      <c r="A12015" s="134">
        <v>46033</v>
      </c>
      <c r="B12015" s="135">
        <f>YEAR(source[[#This Row],[report_date]])</f>
        <v>2026</v>
      </c>
      <c r="C12015" s="128">
        <f t="shared" si="560"/>
        <v>1</v>
      </c>
      <c r="D12015" s="136">
        <f t="shared" si="562"/>
        <v>2</v>
      </c>
      <c r="E12015" s="136">
        <f t="shared" si="561"/>
        <v>11</v>
      </c>
      <c r="F12015" s="137" t="s">
        <v>24</v>
      </c>
      <c r="G12015" s="128" t="str">
        <f>VLOOKUP(source[[#This Row],[lending_product_transform]],[3]Mapping!$B$4:$C$37,2,0)</f>
        <v>[Cake] - Cashloan</v>
      </c>
      <c r="H12015" s="128" t="str">
        <f>VLOOKUP(source[[#This Row],[lending_product_transform]],[3]Mapping!$B$3:$D$37,3,0)</f>
        <v>cashloan</v>
      </c>
      <c r="I12015" s="143">
        <v>0</v>
      </c>
    </row>
    <row r="12016" spans="1:9" x14ac:dyDescent="0.2">
      <c r="A12016" s="134">
        <v>46033</v>
      </c>
      <c r="B12016" s="135">
        <f>YEAR(source[[#This Row],[report_date]])</f>
        <v>2026</v>
      </c>
      <c r="C12016" s="128">
        <f t="shared" si="560"/>
        <v>1</v>
      </c>
      <c r="D12016" s="136">
        <f t="shared" si="562"/>
        <v>2</v>
      </c>
      <c r="E12016" s="136">
        <f t="shared" si="561"/>
        <v>11</v>
      </c>
      <c r="F12016" s="137" t="s">
        <v>24</v>
      </c>
      <c r="G12016" s="128" t="str">
        <f>VLOOKUP(source[[#This Row],[lending_product_transform]],[3]Mapping!$B$4:$C$37,2,0)</f>
        <v>[Cake] - Cashloan</v>
      </c>
      <c r="H12016" s="128" t="str">
        <f>VLOOKUP(source[[#This Row],[lending_product_transform]],[3]Mapping!$B$3:$D$37,3,0)</f>
        <v>cashloan</v>
      </c>
      <c r="I12016" s="143">
        <v>6696780000</v>
      </c>
    </row>
    <row r="12017" spans="1:9" x14ac:dyDescent="0.2">
      <c r="A12017" s="134">
        <v>46033</v>
      </c>
      <c r="B12017" s="135">
        <f>YEAR(source[[#This Row],[report_date]])</f>
        <v>2026</v>
      </c>
      <c r="C12017" s="128">
        <f t="shared" si="560"/>
        <v>1</v>
      </c>
      <c r="D12017" s="136">
        <f t="shared" si="562"/>
        <v>2</v>
      </c>
      <c r="E12017" s="136">
        <f t="shared" si="561"/>
        <v>11</v>
      </c>
      <c r="F12017" s="137" t="s">
        <v>24</v>
      </c>
      <c r="G12017" s="128" t="str">
        <f>VLOOKUP(source[[#This Row],[lending_product_transform]],[3]Mapping!$B$4:$C$37,2,0)</f>
        <v>[Cake] - Cashloan</v>
      </c>
      <c r="H12017" s="128" t="str">
        <f>VLOOKUP(source[[#This Row],[lending_product_transform]],[3]Mapping!$B$3:$D$37,3,0)</f>
        <v>cashloan</v>
      </c>
      <c r="I12017" s="143">
        <v>903520000</v>
      </c>
    </row>
    <row r="12018" spans="1:9" x14ac:dyDescent="0.2">
      <c r="A12018" s="134">
        <v>46033</v>
      </c>
      <c r="B12018" s="135">
        <f>YEAR(source[[#This Row],[report_date]])</f>
        <v>2026</v>
      </c>
      <c r="C12018" s="128">
        <f t="shared" si="560"/>
        <v>1</v>
      </c>
      <c r="D12018" s="136">
        <f t="shared" si="562"/>
        <v>2</v>
      </c>
      <c r="E12018" s="136">
        <f t="shared" si="561"/>
        <v>11</v>
      </c>
      <c r="F12018" s="137" t="s">
        <v>24</v>
      </c>
      <c r="G12018" s="128" t="str">
        <f>VLOOKUP(source[[#This Row],[lending_product_transform]],[3]Mapping!$B$4:$C$37,2,0)</f>
        <v>[Cake] - Cashloan</v>
      </c>
      <c r="H12018" s="128" t="str">
        <f>VLOOKUP(source[[#This Row],[lending_product_transform]],[3]Mapping!$B$3:$D$37,3,0)</f>
        <v>cashloan</v>
      </c>
      <c r="I12018" s="143">
        <v>9990512</v>
      </c>
    </row>
    <row r="12019" spans="1:9" x14ac:dyDescent="0.2">
      <c r="A12019" s="134">
        <v>46033</v>
      </c>
      <c r="B12019" s="135">
        <f>YEAR(source[[#This Row],[report_date]])</f>
        <v>2026</v>
      </c>
      <c r="C12019" s="128">
        <f t="shared" si="560"/>
        <v>1</v>
      </c>
      <c r="D12019" s="136">
        <f t="shared" si="562"/>
        <v>2</v>
      </c>
      <c r="E12019" s="136">
        <f t="shared" si="561"/>
        <v>11</v>
      </c>
      <c r="F12019" s="137" t="s">
        <v>24</v>
      </c>
      <c r="G12019" s="128" t="str">
        <f>VLOOKUP(source[[#This Row],[lending_product_transform]],[3]Mapping!$B$4:$C$37,2,0)</f>
        <v>[Cake] - Cashloan</v>
      </c>
      <c r="H12019" s="128" t="str">
        <f>VLOOKUP(source[[#This Row],[lending_product_transform]],[3]Mapping!$B$3:$D$37,3,0)</f>
        <v>cashloan</v>
      </c>
      <c r="I12019" s="143">
        <v>1769960093</v>
      </c>
    </row>
    <row r="12020" spans="1:9" x14ac:dyDescent="0.2">
      <c r="A12020" s="134">
        <v>46033</v>
      </c>
      <c r="B12020" s="135">
        <f>YEAR(source[[#This Row],[report_date]])</f>
        <v>2026</v>
      </c>
      <c r="C12020" s="128">
        <f t="shared" si="560"/>
        <v>1</v>
      </c>
      <c r="D12020" s="136">
        <f t="shared" si="562"/>
        <v>2</v>
      </c>
      <c r="E12020" s="136">
        <f t="shared" si="561"/>
        <v>11</v>
      </c>
      <c r="F12020" s="137" t="s">
        <v>24</v>
      </c>
      <c r="G12020" s="128" t="str">
        <f>VLOOKUP(source[[#This Row],[lending_product_transform]],[3]Mapping!$B$4:$C$37,2,0)</f>
        <v>[Cake] - Cashloan</v>
      </c>
      <c r="H12020" s="128" t="str">
        <f>VLOOKUP(source[[#This Row],[lending_product_transform]],[3]Mapping!$B$3:$D$37,3,0)</f>
        <v>cashloan</v>
      </c>
      <c r="I12020" s="143">
        <v>0</v>
      </c>
    </row>
    <row r="12021" spans="1:9" x14ac:dyDescent="0.2">
      <c r="A12021" s="134">
        <v>46033</v>
      </c>
      <c r="B12021" s="135">
        <f>YEAR(source[[#This Row],[report_date]])</f>
        <v>2026</v>
      </c>
      <c r="C12021" s="128">
        <f t="shared" si="560"/>
        <v>1</v>
      </c>
      <c r="D12021" s="136">
        <f t="shared" si="562"/>
        <v>2</v>
      </c>
      <c r="E12021" s="136">
        <f t="shared" si="561"/>
        <v>11</v>
      </c>
      <c r="F12021" s="137" t="s">
        <v>24</v>
      </c>
      <c r="G12021" s="128" t="str">
        <f>VLOOKUP(source[[#This Row],[lending_product_transform]],[3]Mapping!$B$4:$C$37,2,0)</f>
        <v>[Cake] - Cashloan</v>
      </c>
      <c r="H12021" s="128" t="str">
        <f>VLOOKUP(source[[#This Row],[lending_product_transform]],[3]Mapping!$B$3:$D$37,3,0)</f>
        <v>cashloan</v>
      </c>
      <c r="I12021" s="143">
        <v>35500000</v>
      </c>
    </row>
    <row r="12022" spans="1:9" x14ac:dyDescent="0.2">
      <c r="A12022" s="134">
        <v>46033</v>
      </c>
      <c r="B12022" s="135">
        <f>YEAR(source[[#This Row],[report_date]])</f>
        <v>2026</v>
      </c>
      <c r="C12022" s="128">
        <f t="shared" ref="C12022:C12085" si="563">MONTH(A12022)</f>
        <v>1</v>
      </c>
      <c r="D12022" s="136">
        <f t="shared" si="562"/>
        <v>2</v>
      </c>
      <c r="E12022" s="136">
        <f t="shared" ref="E12022:E12085" si="564">DAY(A12022)</f>
        <v>11</v>
      </c>
      <c r="F12022" s="137" t="s">
        <v>24</v>
      </c>
      <c r="G12022" s="128" t="str">
        <f>VLOOKUP(source[[#This Row],[lending_product_transform]],[3]Mapping!$B$4:$C$37,2,0)</f>
        <v>[Cake] - Cashloan</v>
      </c>
      <c r="H12022" s="128" t="str">
        <f>VLOOKUP(source[[#This Row],[lending_product_transform]],[3]Mapping!$B$3:$D$37,3,0)</f>
        <v>cashloan</v>
      </c>
      <c r="I12022" s="143">
        <v>0</v>
      </c>
    </row>
    <row r="12023" spans="1:9" x14ac:dyDescent="0.2">
      <c r="A12023" s="134">
        <v>46033</v>
      </c>
      <c r="B12023" s="135">
        <f>YEAR(source[[#This Row],[report_date]])</f>
        <v>2026</v>
      </c>
      <c r="C12023" s="128">
        <f t="shared" si="563"/>
        <v>1</v>
      </c>
      <c r="D12023" s="136">
        <f t="shared" si="562"/>
        <v>2</v>
      </c>
      <c r="E12023" s="136">
        <f t="shared" si="564"/>
        <v>11</v>
      </c>
      <c r="F12023" s="137" t="s">
        <v>24</v>
      </c>
      <c r="G12023" s="128" t="str">
        <f>VLOOKUP(source[[#This Row],[lending_product_transform]],[3]Mapping!$B$4:$C$37,2,0)</f>
        <v>[Cake] - Cashloan</v>
      </c>
      <c r="H12023" s="128" t="str">
        <f>VLOOKUP(source[[#This Row],[lending_product_transform]],[3]Mapping!$B$3:$D$37,3,0)</f>
        <v>cashloan</v>
      </c>
      <c r="I12023" s="143">
        <v>16862060000</v>
      </c>
    </row>
    <row r="12024" spans="1:9" x14ac:dyDescent="0.2">
      <c r="A12024" s="134">
        <v>46033</v>
      </c>
      <c r="B12024" s="135">
        <f>YEAR(source[[#This Row],[report_date]])</f>
        <v>2026</v>
      </c>
      <c r="C12024" s="128">
        <f t="shared" si="563"/>
        <v>1</v>
      </c>
      <c r="D12024" s="136">
        <f t="shared" si="562"/>
        <v>2</v>
      </c>
      <c r="E12024" s="136">
        <f t="shared" si="564"/>
        <v>11</v>
      </c>
      <c r="F12024" s="137" t="s">
        <v>24</v>
      </c>
      <c r="G12024" s="128" t="str">
        <f>VLOOKUP(source[[#This Row],[lending_product_transform]],[3]Mapping!$B$4:$C$37,2,0)</f>
        <v>[Cake] - Cashloan</v>
      </c>
      <c r="H12024" s="128" t="str">
        <f>VLOOKUP(source[[#This Row],[lending_product_transform]],[3]Mapping!$B$3:$D$37,3,0)</f>
        <v>cashloan</v>
      </c>
      <c r="I12024" s="143">
        <v>0</v>
      </c>
    </row>
    <row r="12025" spans="1:9" x14ac:dyDescent="0.2">
      <c r="A12025" s="134">
        <v>46033</v>
      </c>
      <c r="B12025" s="135">
        <f>YEAR(source[[#This Row],[report_date]])</f>
        <v>2026</v>
      </c>
      <c r="C12025" s="128">
        <f t="shared" si="563"/>
        <v>1</v>
      </c>
      <c r="D12025" s="136">
        <f t="shared" si="562"/>
        <v>2</v>
      </c>
      <c r="E12025" s="136">
        <f t="shared" si="564"/>
        <v>11</v>
      </c>
      <c r="F12025" s="137" t="s">
        <v>24</v>
      </c>
      <c r="G12025" s="128" t="str">
        <f>VLOOKUP(source[[#This Row],[lending_product_transform]],[3]Mapping!$B$4:$C$37,2,0)</f>
        <v>[Cake] - Cashloan</v>
      </c>
      <c r="H12025" s="128" t="str">
        <f>VLOOKUP(source[[#This Row],[lending_product_transform]],[3]Mapping!$B$3:$D$37,3,0)</f>
        <v>cashloan</v>
      </c>
      <c r="I12025" s="143">
        <v>0</v>
      </c>
    </row>
    <row r="12026" spans="1:9" x14ac:dyDescent="0.2">
      <c r="A12026" s="134">
        <v>46033</v>
      </c>
      <c r="B12026" s="135">
        <f>YEAR(source[[#This Row],[report_date]])</f>
        <v>2026</v>
      </c>
      <c r="C12026" s="128">
        <f t="shared" si="563"/>
        <v>1</v>
      </c>
      <c r="D12026" s="136">
        <f t="shared" si="562"/>
        <v>2</v>
      </c>
      <c r="E12026" s="136">
        <f t="shared" si="564"/>
        <v>11</v>
      </c>
      <c r="F12026" s="137" t="s">
        <v>24</v>
      </c>
      <c r="G12026" s="128" t="str">
        <f>VLOOKUP(source[[#This Row],[lending_product_transform]],[3]Mapping!$B$4:$C$37,2,0)</f>
        <v>[Cake] - Cashloan</v>
      </c>
      <c r="H12026" s="128" t="str">
        <f>VLOOKUP(source[[#This Row],[lending_product_transform]],[3]Mapping!$B$3:$D$37,3,0)</f>
        <v>cashloan</v>
      </c>
      <c r="I12026" s="143">
        <v>0</v>
      </c>
    </row>
    <row r="12027" spans="1:9" x14ac:dyDescent="0.2">
      <c r="A12027" s="134">
        <v>46033</v>
      </c>
      <c r="B12027" s="135">
        <f>YEAR(source[[#This Row],[report_date]])</f>
        <v>2026</v>
      </c>
      <c r="C12027" s="128">
        <f t="shared" si="563"/>
        <v>1</v>
      </c>
      <c r="D12027" s="136">
        <f t="shared" si="562"/>
        <v>2</v>
      </c>
      <c r="E12027" s="136">
        <f t="shared" si="564"/>
        <v>11</v>
      </c>
      <c r="F12027" s="137" t="s">
        <v>24</v>
      </c>
      <c r="G12027" s="128" t="str">
        <f>VLOOKUP(source[[#This Row],[lending_product_transform]],[3]Mapping!$B$4:$C$37,2,0)</f>
        <v>[Cake] - Cashloan</v>
      </c>
      <c r="H12027" s="128" t="str">
        <f>VLOOKUP(source[[#This Row],[lending_product_transform]],[3]Mapping!$B$3:$D$37,3,0)</f>
        <v>cashloan</v>
      </c>
      <c r="I12027" s="143">
        <v>52000000</v>
      </c>
    </row>
    <row r="12028" spans="1:9" x14ac:dyDescent="0.2">
      <c r="A12028" s="134">
        <v>46033</v>
      </c>
      <c r="B12028" s="135">
        <f>YEAR(source[[#This Row],[report_date]])</f>
        <v>2026</v>
      </c>
      <c r="C12028" s="128">
        <f t="shared" si="563"/>
        <v>1</v>
      </c>
      <c r="D12028" s="136">
        <f t="shared" si="562"/>
        <v>2</v>
      </c>
      <c r="E12028" s="136">
        <f t="shared" si="564"/>
        <v>11</v>
      </c>
      <c r="F12028" s="137" t="s">
        <v>24</v>
      </c>
      <c r="G12028" s="128" t="str">
        <f>VLOOKUP(source[[#This Row],[lending_product_transform]],[3]Mapping!$B$4:$C$37,2,0)</f>
        <v>[Cake] - Cashloan</v>
      </c>
      <c r="H12028" s="128" t="str">
        <f>VLOOKUP(source[[#This Row],[lending_product_transform]],[3]Mapping!$B$3:$D$37,3,0)</f>
        <v>cashloan</v>
      </c>
      <c r="I12028" s="143">
        <v>10430424000</v>
      </c>
    </row>
    <row r="12029" spans="1:9" x14ac:dyDescent="0.2">
      <c r="A12029" s="134">
        <v>46033</v>
      </c>
      <c r="B12029" s="135">
        <f>YEAR(source[[#This Row],[report_date]])</f>
        <v>2026</v>
      </c>
      <c r="C12029" s="128">
        <f t="shared" si="563"/>
        <v>1</v>
      </c>
      <c r="D12029" s="136">
        <f t="shared" si="562"/>
        <v>2</v>
      </c>
      <c r="E12029" s="136">
        <f t="shared" si="564"/>
        <v>11</v>
      </c>
      <c r="F12029" s="137" t="s">
        <v>24</v>
      </c>
      <c r="G12029" s="128" t="str">
        <f>VLOOKUP(source[[#This Row],[lending_product_transform]],[3]Mapping!$B$4:$C$37,2,0)</f>
        <v>[Cake] - Cashloan</v>
      </c>
      <c r="H12029" s="128" t="str">
        <f>VLOOKUP(source[[#This Row],[lending_product_transform]],[3]Mapping!$B$3:$D$37,3,0)</f>
        <v>cashloan</v>
      </c>
      <c r="I12029" s="143">
        <v>235834390</v>
      </c>
    </row>
    <row r="12030" spans="1:9" x14ac:dyDescent="0.2">
      <c r="A12030" s="134">
        <v>46033</v>
      </c>
      <c r="B12030" s="135">
        <f>YEAR(source[[#This Row],[report_date]])</f>
        <v>2026</v>
      </c>
      <c r="C12030" s="128">
        <f t="shared" si="563"/>
        <v>1</v>
      </c>
      <c r="D12030" s="136">
        <f t="shared" si="562"/>
        <v>2</v>
      </c>
      <c r="E12030" s="136">
        <f t="shared" si="564"/>
        <v>11</v>
      </c>
      <c r="F12030" s="137" t="s">
        <v>24</v>
      </c>
      <c r="G12030" s="128" t="str">
        <f>VLOOKUP(source[[#This Row],[lending_product_transform]],[3]Mapping!$B$4:$C$37,2,0)</f>
        <v>[Cake] - Cashloan</v>
      </c>
      <c r="H12030" s="128" t="str">
        <f>VLOOKUP(source[[#This Row],[lending_product_transform]],[3]Mapping!$B$3:$D$37,3,0)</f>
        <v>cashloan</v>
      </c>
      <c r="I12030" s="143">
        <v>0</v>
      </c>
    </row>
    <row r="12031" spans="1:9" x14ac:dyDescent="0.2">
      <c r="A12031" s="134">
        <v>46033</v>
      </c>
      <c r="B12031" s="135">
        <f>YEAR(source[[#This Row],[report_date]])</f>
        <v>2026</v>
      </c>
      <c r="C12031" s="128">
        <f t="shared" si="563"/>
        <v>1</v>
      </c>
      <c r="D12031" s="136">
        <f t="shared" si="562"/>
        <v>2</v>
      </c>
      <c r="E12031" s="136">
        <f t="shared" si="564"/>
        <v>11</v>
      </c>
      <c r="F12031" s="137" t="s">
        <v>24</v>
      </c>
      <c r="G12031" s="128" t="str">
        <f>VLOOKUP(source[[#This Row],[lending_product_transform]],[3]Mapping!$B$4:$C$37,2,0)</f>
        <v>[Cake] - Cashloan</v>
      </c>
      <c r="H12031" s="128" t="str">
        <f>VLOOKUP(source[[#This Row],[lending_product_transform]],[3]Mapping!$B$3:$D$37,3,0)</f>
        <v>cashloan</v>
      </c>
      <c r="I12031" s="143">
        <v>61000000</v>
      </c>
    </row>
    <row r="12032" spans="1:9" x14ac:dyDescent="0.2">
      <c r="A12032" s="134">
        <v>46033</v>
      </c>
      <c r="B12032" s="135">
        <f>YEAR(source[[#This Row],[report_date]])</f>
        <v>2026</v>
      </c>
      <c r="C12032" s="128">
        <f t="shared" si="563"/>
        <v>1</v>
      </c>
      <c r="D12032" s="136">
        <f t="shared" si="562"/>
        <v>2</v>
      </c>
      <c r="E12032" s="136">
        <f t="shared" si="564"/>
        <v>11</v>
      </c>
      <c r="F12032" s="137" t="s">
        <v>24</v>
      </c>
      <c r="G12032" s="128" t="str">
        <f>VLOOKUP(source[[#This Row],[lending_product_transform]],[3]Mapping!$B$4:$C$37,2,0)</f>
        <v>[Cake] - Cashloan</v>
      </c>
      <c r="H12032" s="128" t="str">
        <f>VLOOKUP(source[[#This Row],[lending_product_transform]],[3]Mapping!$B$3:$D$37,3,0)</f>
        <v>cashloan</v>
      </c>
      <c r="I12032" s="143">
        <v>866630000</v>
      </c>
    </row>
    <row r="12033" spans="1:9" x14ac:dyDescent="0.2">
      <c r="A12033" s="134">
        <v>46033</v>
      </c>
      <c r="B12033" s="135">
        <f>YEAR(source[[#This Row],[report_date]])</f>
        <v>2026</v>
      </c>
      <c r="C12033" s="128">
        <f t="shared" si="563"/>
        <v>1</v>
      </c>
      <c r="D12033" s="136">
        <f t="shared" si="562"/>
        <v>2</v>
      </c>
      <c r="E12033" s="136">
        <f t="shared" si="564"/>
        <v>11</v>
      </c>
      <c r="F12033" s="137" t="s">
        <v>24</v>
      </c>
      <c r="G12033" s="128" t="str">
        <f>VLOOKUP(source[[#This Row],[lending_product_transform]],[3]Mapping!$B$4:$C$37,2,0)</f>
        <v>[Cake] - Cashloan</v>
      </c>
      <c r="H12033" s="128" t="str">
        <f>VLOOKUP(source[[#This Row],[lending_product_transform]],[3]Mapping!$B$3:$D$37,3,0)</f>
        <v>cashloan</v>
      </c>
      <c r="I12033" s="143">
        <v>349272000</v>
      </c>
    </row>
    <row r="12034" spans="1:9" x14ac:dyDescent="0.2">
      <c r="A12034" s="134">
        <v>46033</v>
      </c>
      <c r="B12034" s="135">
        <f>YEAR(source[[#This Row],[report_date]])</f>
        <v>2026</v>
      </c>
      <c r="C12034" s="128">
        <f t="shared" si="563"/>
        <v>1</v>
      </c>
      <c r="D12034" s="136">
        <f t="shared" si="562"/>
        <v>2</v>
      </c>
      <c r="E12034" s="136">
        <f t="shared" si="564"/>
        <v>11</v>
      </c>
      <c r="F12034" s="137" t="s">
        <v>24</v>
      </c>
      <c r="G12034" s="128" t="str">
        <f>VLOOKUP(source[[#This Row],[lending_product_transform]],[3]Mapping!$B$4:$C$37,2,0)</f>
        <v>[Cake] - Cashloan</v>
      </c>
      <c r="H12034" s="128" t="str">
        <f>VLOOKUP(source[[#This Row],[lending_product_transform]],[3]Mapping!$B$3:$D$37,3,0)</f>
        <v>cashloan</v>
      </c>
      <c r="I12034" s="143">
        <v>327498267</v>
      </c>
    </row>
    <row r="12035" spans="1:9" x14ac:dyDescent="0.2">
      <c r="A12035" s="134">
        <v>46033</v>
      </c>
      <c r="B12035" s="135">
        <f>YEAR(source[[#This Row],[report_date]])</f>
        <v>2026</v>
      </c>
      <c r="C12035" s="128">
        <f t="shared" si="563"/>
        <v>1</v>
      </c>
      <c r="D12035" s="136">
        <f t="shared" si="562"/>
        <v>2</v>
      </c>
      <c r="E12035" s="136">
        <f t="shared" si="564"/>
        <v>11</v>
      </c>
      <c r="F12035" s="137" t="s">
        <v>24</v>
      </c>
      <c r="G12035" s="128" t="str">
        <f>VLOOKUP(source[[#This Row],[lending_product_transform]],[3]Mapping!$B$4:$C$37,2,0)</f>
        <v>[Cake] - Cashloan</v>
      </c>
      <c r="H12035" s="128" t="str">
        <f>VLOOKUP(source[[#This Row],[lending_product_transform]],[3]Mapping!$B$3:$D$37,3,0)</f>
        <v>cashloan</v>
      </c>
      <c r="I12035" s="143">
        <v>2842020000</v>
      </c>
    </row>
    <row r="12036" spans="1:9" x14ac:dyDescent="0.2">
      <c r="A12036" s="134">
        <v>46033</v>
      </c>
      <c r="B12036" s="135">
        <f>YEAR(source[[#This Row],[report_date]])</f>
        <v>2026</v>
      </c>
      <c r="C12036" s="128">
        <f t="shared" si="563"/>
        <v>1</v>
      </c>
      <c r="D12036" s="136">
        <f t="shared" si="562"/>
        <v>2</v>
      </c>
      <c r="E12036" s="136">
        <f t="shared" si="564"/>
        <v>11</v>
      </c>
      <c r="F12036" s="137" t="s">
        <v>24</v>
      </c>
      <c r="G12036" s="128" t="str">
        <f>VLOOKUP(source[[#This Row],[lending_product_transform]],[3]Mapping!$B$4:$C$37,2,0)</f>
        <v>[Cake] - Cashloan</v>
      </c>
      <c r="H12036" s="128" t="str">
        <f>VLOOKUP(source[[#This Row],[lending_product_transform]],[3]Mapping!$B$3:$D$37,3,0)</f>
        <v>cashloan</v>
      </c>
      <c r="I12036" s="143">
        <v>0</v>
      </c>
    </row>
    <row r="12037" spans="1:9" x14ac:dyDescent="0.2">
      <c r="A12037" s="134">
        <v>46034</v>
      </c>
      <c r="B12037" s="135">
        <f>YEAR(source[[#This Row],[report_date]])</f>
        <v>2026</v>
      </c>
      <c r="C12037" s="128">
        <f t="shared" si="563"/>
        <v>1</v>
      </c>
      <c r="D12037" s="136">
        <f t="shared" si="562"/>
        <v>3</v>
      </c>
      <c r="E12037" s="136">
        <f t="shared" si="564"/>
        <v>12</v>
      </c>
      <c r="F12037" s="137" t="s">
        <v>24</v>
      </c>
      <c r="G12037" s="128" t="str">
        <f>VLOOKUP(source[[#This Row],[lending_product_transform]],[3]Mapping!$B$4:$C$37,2,0)</f>
        <v>[Cake] - Cashloan</v>
      </c>
      <c r="H12037" s="128" t="str">
        <f>VLOOKUP(source[[#This Row],[lending_product_transform]],[3]Mapping!$B$3:$D$37,3,0)</f>
        <v>cashloan</v>
      </c>
      <c r="I12037" s="143">
        <v>637250000</v>
      </c>
    </row>
    <row r="12038" spans="1:9" x14ac:dyDescent="0.2">
      <c r="A12038" s="134">
        <v>46034</v>
      </c>
      <c r="B12038" s="135">
        <f>YEAR(source[[#This Row],[report_date]])</f>
        <v>2026</v>
      </c>
      <c r="C12038" s="128">
        <f t="shared" si="563"/>
        <v>1</v>
      </c>
      <c r="D12038" s="136">
        <f t="shared" si="562"/>
        <v>3</v>
      </c>
      <c r="E12038" s="136">
        <f t="shared" si="564"/>
        <v>12</v>
      </c>
      <c r="F12038" s="137" t="s">
        <v>24</v>
      </c>
      <c r="G12038" s="128" t="str">
        <f>VLOOKUP(source[[#This Row],[lending_product_transform]],[3]Mapping!$B$4:$C$37,2,0)</f>
        <v>[Cake] - Cashloan</v>
      </c>
      <c r="H12038" s="128" t="str">
        <f>VLOOKUP(source[[#This Row],[lending_product_transform]],[3]Mapping!$B$3:$D$37,3,0)</f>
        <v>cashloan</v>
      </c>
      <c r="I12038" s="143">
        <v>309805537</v>
      </c>
    </row>
    <row r="12039" spans="1:9" x14ac:dyDescent="0.2">
      <c r="A12039" s="134">
        <v>46034</v>
      </c>
      <c r="B12039" s="135">
        <f>YEAR(source[[#This Row],[report_date]])</f>
        <v>2026</v>
      </c>
      <c r="C12039" s="128">
        <f t="shared" si="563"/>
        <v>1</v>
      </c>
      <c r="D12039" s="136">
        <f t="shared" si="562"/>
        <v>3</v>
      </c>
      <c r="E12039" s="136">
        <f t="shared" si="564"/>
        <v>12</v>
      </c>
      <c r="F12039" s="137" t="s">
        <v>24</v>
      </c>
      <c r="G12039" s="128" t="str">
        <f>VLOOKUP(source[[#This Row],[lending_product_transform]],[3]Mapping!$B$4:$C$37,2,0)</f>
        <v>[Cake] - Cashloan</v>
      </c>
      <c r="H12039" s="128" t="str">
        <f>VLOOKUP(source[[#This Row],[lending_product_transform]],[3]Mapping!$B$3:$D$37,3,0)</f>
        <v>cashloan</v>
      </c>
      <c r="I12039" s="143">
        <v>16260670000</v>
      </c>
    </row>
    <row r="12040" spans="1:9" x14ac:dyDescent="0.2">
      <c r="A12040" s="134">
        <v>46034</v>
      </c>
      <c r="B12040" s="135">
        <f>YEAR(source[[#This Row],[report_date]])</f>
        <v>2026</v>
      </c>
      <c r="C12040" s="128">
        <f t="shared" si="563"/>
        <v>1</v>
      </c>
      <c r="D12040" s="136">
        <f t="shared" si="562"/>
        <v>3</v>
      </c>
      <c r="E12040" s="136">
        <f t="shared" si="564"/>
        <v>12</v>
      </c>
      <c r="F12040" s="137" t="s">
        <v>24</v>
      </c>
      <c r="G12040" s="128" t="str">
        <f>VLOOKUP(source[[#This Row],[lending_product_transform]],[3]Mapping!$B$4:$C$37,2,0)</f>
        <v>[Cake] - Cashloan</v>
      </c>
      <c r="H12040" s="128" t="str">
        <f>VLOOKUP(source[[#This Row],[lending_product_transform]],[3]Mapping!$B$3:$D$37,3,0)</f>
        <v>cashloan</v>
      </c>
      <c r="I12040" s="143">
        <v>1839205761</v>
      </c>
    </row>
    <row r="12041" spans="1:9" x14ac:dyDescent="0.2">
      <c r="A12041" s="134">
        <v>46034</v>
      </c>
      <c r="B12041" s="135">
        <f>YEAR(source[[#This Row],[report_date]])</f>
        <v>2026</v>
      </c>
      <c r="C12041" s="128">
        <f t="shared" si="563"/>
        <v>1</v>
      </c>
      <c r="D12041" s="136">
        <f t="shared" si="562"/>
        <v>3</v>
      </c>
      <c r="E12041" s="136">
        <f t="shared" si="564"/>
        <v>12</v>
      </c>
      <c r="F12041" s="137" t="s">
        <v>24</v>
      </c>
      <c r="G12041" s="128" t="str">
        <f>VLOOKUP(source[[#This Row],[lending_product_transform]],[3]Mapping!$B$4:$C$37,2,0)</f>
        <v>[Cake] - Cashloan</v>
      </c>
      <c r="H12041" s="128" t="str">
        <f>VLOOKUP(source[[#This Row],[lending_product_transform]],[3]Mapping!$B$3:$D$37,3,0)</f>
        <v>cashloan</v>
      </c>
      <c r="I12041" s="143">
        <v>14468652000</v>
      </c>
    </row>
    <row r="12042" spans="1:9" x14ac:dyDescent="0.2">
      <c r="A12042" s="134">
        <v>46034</v>
      </c>
      <c r="B12042" s="135">
        <f>YEAR(source[[#This Row],[report_date]])</f>
        <v>2026</v>
      </c>
      <c r="C12042" s="128">
        <f t="shared" si="563"/>
        <v>1</v>
      </c>
      <c r="D12042" s="136">
        <f t="shared" si="562"/>
        <v>3</v>
      </c>
      <c r="E12042" s="136">
        <f t="shared" si="564"/>
        <v>12</v>
      </c>
      <c r="F12042" s="137" t="s">
        <v>24</v>
      </c>
      <c r="G12042" s="128" t="str">
        <f>VLOOKUP(source[[#This Row],[lending_product_transform]],[3]Mapping!$B$4:$C$37,2,0)</f>
        <v>[Cake] - Cashloan</v>
      </c>
      <c r="H12042" s="128" t="str">
        <f>VLOOKUP(source[[#This Row],[lending_product_transform]],[3]Mapping!$B$3:$D$37,3,0)</f>
        <v>cashloan</v>
      </c>
      <c r="I12042" s="143">
        <v>13738226</v>
      </c>
    </row>
    <row r="12043" spans="1:9" x14ac:dyDescent="0.2">
      <c r="A12043" s="134">
        <v>46034</v>
      </c>
      <c r="B12043" s="135">
        <f>YEAR(source[[#This Row],[report_date]])</f>
        <v>2026</v>
      </c>
      <c r="C12043" s="128">
        <f t="shared" si="563"/>
        <v>1</v>
      </c>
      <c r="D12043" s="136">
        <f t="shared" si="562"/>
        <v>3</v>
      </c>
      <c r="E12043" s="136">
        <f t="shared" si="564"/>
        <v>12</v>
      </c>
      <c r="F12043" s="137" t="s">
        <v>24</v>
      </c>
      <c r="G12043" s="128" t="str">
        <f>VLOOKUP(source[[#This Row],[lending_product_transform]],[3]Mapping!$B$4:$C$37,2,0)</f>
        <v>[Cake] - Cashloan</v>
      </c>
      <c r="H12043" s="128" t="str">
        <f>VLOOKUP(source[[#This Row],[lending_product_transform]],[3]Mapping!$B$3:$D$37,3,0)</f>
        <v>cashloan</v>
      </c>
      <c r="I12043" s="143">
        <v>0</v>
      </c>
    </row>
    <row r="12044" spans="1:9" x14ac:dyDescent="0.2">
      <c r="A12044" s="134">
        <v>46034</v>
      </c>
      <c r="B12044" s="135">
        <f>YEAR(source[[#This Row],[report_date]])</f>
        <v>2026</v>
      </c>
      <c r="C12044" s="128">
        <f t="shared" si="563"/>
        <v>1</v>
      </c>
      <c r="D12044" s="136">
        <f t="shared" si="562"/>
        <v>3</v>
      </c>
      <c r="E12044" s="136">
        <f t="shared" si="564"/>
        <v>12</v>
      </c>
      <c r="F12044" s="137" t="s">
        <v>24</v>
      </c>
      <c r="G12044" s="128" t="str">
        <f>VLOOKUP(source[[#This Row],[lending_product_transform]],[3]Mapping!$B$4:$C$37,2,0)</f>
        <v>[Cake] - Cashloan</v>
      </c>
      <c r="H12044" s="128" t="str">
        <f>VLOOKUP(source[[#This Row],[lending_product_transform]],[3]Mapping!$B$3:$D$37,3,0)</f>
        <v>cashloan</v>
      </c>
      <c r="I12044" s="143">
        <v>5302640000</v>
      </c>
    </row>
    <row r="12045" spans="1:9" x14ac:dyDescent="0.2">
      <c r="A12045" s="134">
        <v>46034</v>
      </c>
      <c r="B12045" s="135">
        <f>YEAR(source[[#This Row],[report_date]])</f>
        <v>2026</v>
      </c>
      <c r="C12045" s="128">
        <f t="shared" si="563"/>
        <v>1</v>
      </c>
      <c r="D12045" s="136">
        <f t="shared" si="562"/>
        <v>3</v>
      </c>
      <c r="E12045" s="136">
        <f t="shared" si="564"/>
        <v>12</v>
      </c>
      <c r="F12045" s="137" t="s">
        <v>24</v>
      </c>
      <c r="G12045" s="128" t="str">
        <f>VLOOKUP(source[[#This Row],[lending_product_transform]],[3]Mapping!$B$4:$C$37,2,0)</f>
        <v>[Cake] - Cashloan</v>
      </c>
      <c r="H12045" s="128" t="str">
        <f>VLOOKUP(source[[#This Row],[lending_product_transform]],[3]Mapping!$B$3:$D$37,3,0)</f>
        <v>cashloan</v>
      </c>
      <c r="I12045" s="143">
        <v>1020810000</v>
      </c>
    </row>
    <row r="12046" spans="1:9" x14ac:dyDescent="0.2">
      <c r="A12046" s="134">
        <v>46034</v>
      </c>
      <c r="B12046" s="135">
        <f>YEAR(source[[#This Row],[report_date]])</f>
        <v>2026</v>
      </c>
      <c r="C12046" s="128">
        <f t="shared" si="563"/>
        <v>1</v>
      </c>
      <c r="D12046" s="136">
        <f t="shared" si="562"/>
        <v>3</v>
      </c>
      <c r="E12046" s="136">
        <f t="shared" si="564"/>
        <v>12</v>
      </c>
      <c r="F12046" s="137" t="s">
        <v>24</v>
      </c>
      <c r="G12046" s="128" t="str">
        <f>VLOOKUP(source[[#This Row],[lending_product_transform]],[3]Mapping!$B$4:$C$37,2,0)</f>
        <v>[Cake] - Cashloan</v>
      </c>
      <c r="H12046" s="128" t="str">
        <f>VLOOKUP(source[[#This Row],[lending_product_transform]],[3]Mapping!$B$3:$D$37,3,0)</f>
        <v>cashloan</v>
      </c>
      <c r="I12046" s="143">
        <v>7776033</v>
      </c>
    </row>
    <row r="12047" spans="1:9" x14ac:dyDescent="0.2">
      <c r="A12047" s="134">
        <v>46034</v>
      </c>
      <c r="B12047" s="135">
        <f>YEAR(source[[#This Row],[report_date]])</f>
        <v>2026</v>
      </c>
      <c r="C12047" s="128">
        <f t="shared" si="563"/>
        <v>1</v>
      </c>
      <c r="D12047" s="136">
        <f t="shared" si="562"/>
        <v>3</v>
      </c>
      <c r="E12047" s="136">
        <f t="shared" si="564"/>
        <v>12</v>
      </c>
      <c r="F12047" s="137" t="s">
        <v>24</v>
      </c>
      <c r="G12047" s="128" t="str">
        <f>VLOOKUP(source[[#This Row],[lending_product_transform]],[3]Mapping!$B$4:$C$37,2,0)</f>
        <v>[Cake] - Cashloan</v>
      </c>
      <c r="H12047" s="128" t="str">
        <f>VLOOKUP(source[[#This Row],[lending_product_transform]],[3]Mapping!$B$3:$D$37,3,0)</f>
        <v>cashloan</v>
      </c>
      <c r="I12047" s="143">
        <v>1234948962</v>
      </c>
    </row>
    <row r="12048" spans="1:9" x14ac:dyDescent="0.2">
      <c r="A12048" s="134">
        <v>46034</v>
      </c>
      <c r="B12048" s="135">
        <f>YEAR(source[[#This Row],[report_date]])</f>
        <v>2026</v>
      </c>
      <c r="C12048" s="128">
        <f t="shared" si="563"/>
        <v>1</v>
      </c>
      <c r="D12048" s="136">
        <f t="shared" si="562"/>
        <v>3</v>
      </c>
      <c r="E12048" s="136">
        <f t="shared" si="564"/>
        <v>12</v>
      </c>
      <c r="F12048" s="137" t="s">
        <v>24</v>
      </c>
      <c r="G12048" s="128" t="str">
        <f>VLOOKUP(source[[#This Row],[lending_product_transform]],[3]Mapping!$B$4:$C$37,2,0)</f>
        <v>[Cake] - Cashloan</v>
      </c>
      <c r="H12048" s="128" t="str">
        <f>VLOOKUP(source[[#This Row],[lending_product_transform]],[3]Mapping!$B$3:$D$37,3,0)</f>
        <v>cashloan</v>
      </c>
      <c r="I12048" s="143">
        <v>0</v>
      </c>
    </row>
    <row r="12049" spans="1:9" x14ac:dyDescent="0.2">
      <c r="A12049" s="134">
        <v>46034</v>
      </c>
      <c r="B12049" s="135">
        <f>YEAR(source[[#This Row],[report_date]])</f>
        <v>2026</v>
      </c>
      <c r="C12049" s="128">
        <f t="shared" si="563"/>
        <v>1</v>
      </c>
      <c r="D12049" s="136">
        <f t="shared" ref="D12049:D12112" si="565">WEEKNUM(A12049,2)</f>
        <v>3</v>
      </c>
      <c r="E12049" s="136">
        <f t="shared" si="564"/>
        <v>12</v>
      </c>
      <c r="F12049" s="137" t="s">
        <v>24</v>
      </c>
      <c r="G12049" s="128" t="str">
        <f>VLOOKUP(source[[#This Row],[lending_product_transform]],[3]Mapping!$B$4:$C$37,2,0)</f>
        <v>[Cake] - Cashloan</v>
      </c>
      <c r="H12049" s="128" t="str">
        <f>VLOOKUP(source[[#This Row],[lending_product_transform]],[3]Mapping!$B$3:$D$37,3,0)</f>
        <v>cashloan</v>
      </c>
      <c r="I12049" s="143">
        <v>206350000</v>
      </c>
    </row>
    <row r="12050" spans="1:9" x14ac:dyDescent="0.2">
      <c r="A12050" s="134">
        <v>46034</v>
      </c>
      <c r="B12050" s="135">
        <f>YEAR(source[[#This Row],[report_date]])</f>
        <v>2026</v>
      </c>
      <c r="C12050" s="128">
        <f t="shared" si="563"/>
        <v>1</v>
      </c>
      <c r="D12050" s="136">
        <f t="shared" si="565"/>
        <v>3</v>
      </c>
      <c r="E12050" s="136">
        <f t="shared" si="564"/>
        <v>12</v>
      </c>
      <c r="F12050" s="137" t="s">
        <v>24</v>
      </c>
      <c r="G12050" s="128" t="str">
        <f>VLOOKUP(source[[#This Row],[lending_product_transform]],[3]Mapping!$B$4:$C$37,2,0)</f>
        <v>[Cake] - Cashloan</v>
      </c>
      <c r="H12050" s="128" t="str">
        <f>VLOOKUP(source[[#This Row],[lending_product_transform]],[3]Mapping!$B$3:$D$37,3,0)</f>
        <v>cashloan</v>
      </c>
      <c r="I12050" s="143">
        <v>92700000</v>
      </c>
    </row>
    <row r="12051" spans="1:9" x14ac:dyDescent="0.2">
      <c r="A12051" s="134">
        <v>46034</v>
      </c>
      <c r="B12051" s="135">
        <f>YEAR(source[[#This Row],[report_date]])</f>
        <v>2026</v>
      </c>
      <c r="C12051" s="128">
        <f t="shared" si="563"/>
        <v>1</v>
      </c>
      <c r="D12051" s="136">
        <f t="shared" si="565"/>
        <v>3</v>
      </c>
      <c r="E12051" s="136">
        <f t="shared" si="564"/>
        <v>12</v>
      </c>
      <c r="F12051" s="137" t="s">
        <v>24</v>
      </c>
      <c r="G12051" s="128" t="str">
        <f>VLOOKUP(source[[#This Row],[lending_product_transform]],[3]Mapping!$B$4:$C$37,2,0)</f>
        <v>[Cake] - Cashloan</v>
      </c>
      <c r="H12051" s="128" t="str">
        <f>VLOOKUP(source[[#This Row],[lending_product_transform]],[3]Mapping!$B$3:$D$37,3,0)</f>
        <v>cashloan</v>
      </c>
      <c r="I12051" s="143">
        <v>17873570000</v>
      </c>
    </row>
    <row r="12052" spans="1:9" x14ac:dyDescent="0.2">
      <c r="A12052" s="134">
        <v>46034</v>
      </c>
      <c r="B12052" s="135">
        <f>YEAR(source[[#This Row],[report_date]])</f>
        <v>2026</v>
      </c>
      <c r="C12052" s="128">
        <f t="shared" si="563"/>
        <v>1</v>
      </c>
      <c r="D12052" s="136">
        <f t="shared" si="565"/>
        <v>3</v>
      </c>
      <c r="E12052" s="136">
        <f t="shared" si="564"/>
        <v>12</v>
      </c>
      <c r="F12052" s="137" t="s">
        <v>24</v>
      </c>
      <c r="G12052" s="128" t="str">
        <f>VLOOKUP(source[[#This Row],[lending_product_transform]],[3]Mapping!$B$4:$C$37,2,0)</f>
        <v>[Cake] - Cashloan</v>
      </c>
      <c r="H12052" s="128" t="str">
        <f>VLOOKUP(source[[#This Row],[lending_product_transform]],[3]Mapping!$B$3:$D$37,3,0)</f>
        <v>cashloan</v>
      </c>
      <c r="I12052" s="143">
        <v>0</v>
      </c>
    </row>
    <row r="12053" spans="1:9" x14ac:dyDescent="0.2">
      <c r="A12053" s="134">
        <v>46034</v>
      </c>
      <c r="B12053" s="135">
        <f>YEAR(source[[#This Row],[report_date]])</f>
        <v>2026</v>
      </c>
      <c r="C12053" s="128">
        <f t="shared" si="563"/>
        <v>1</v>
      </c>
      <c r="D12053" s="136">
        <f t="shared" si="565"/>
        <v>3</v>
      </c>
      <c r="E12053" s="136">
        <f t="shared" si="564"/>
        <v>12</v>
      </c>
      <c r="F12053" s="137" t="s">
        <v>24</v>
      </c>
      <c r="G12053" s="128" t="str">
        <f>VLOOKUP(source[[#This Row],[lending_product_transform]],[3]Mapping!$B$4:$C$37,2,0)</f>
        <v>[Cake] - Cashloan</v>
      </c>
      <c r="H12053" s="128" t="str">
        <f>VLOOKUP(source[[#This Row],[lending_product_transform]],[3]Mapping!$B$3:$D$37,3,0)</f>
        <v>cashloan</v>
      </c>
      <c r="I12053" s="143">
        <v>0</v>
      </c>
    </row>
    <row r="12054" spans="1:9" x14ac:dyDescent="0.2">
      <c r="A12054" s="134">
        <v>46034</v>
      </c>
      <c r="B12054" s="135">
        <f>YEAR(source[[#This Row],[report_date]])</f>
        <v>2026</v>
      </c>
      <c r="C12054" s="128">
        <f t="shared" si="563"/>
        <v>1</v>
      </c>
      <c r="D12054" s="136">
        <f t="shared" si="565"/>
        <v>3</v>
      </c>
      <c r="E12054" s="136">
        <f t="shared" si="564"/>
        <v>12</v>
      </c>
      <c r="F12054" s="137" t="s">
        <v>24</v>
      </c>
      <c r="G12054" s="128" t="str">
        <f>VLOOKUP(source[[#This Row],[lending_product_transform]],[3]Mapping!$B$4:$C$37,2,0)</f>
        <v>[Cake] - Cashloan</v>
      </c>
      <c r="H12054" s="128" t="str">
        <f>VLOOKUP(source[[#This Row],[lending_product_transform]],[3]Mapping!$B$3:$D$37,3,0)</f>
        <v>cashloan</v>
      </c>
      <c r="I12054" s="143">
        <v>0</v>
      </c>
    </row>
    <row r="12055" spans="1:9" x14ac:dyDescent="0.2">
      <c r="A12055" s="134">
        <v>46034</v>
      </c>
      <c r="B12055" s="135">
        <f>YEAR(source[[#This Row],[report_date]])</f>
        <v>2026</v>
      </c>
      <c r="C12055" s="128">
        <f t="shared" si="563"/>
        <v>1</v>
      </c>
      <c r="D12055" s="136">
        <f t="shared" si="565"/>
        <v>3</v>
      </c>
      <c r="E12055" s="136">
        <f t="shared" si="564"/>
        <v>12</v>
      </c>
      <c r="F12055" s="137" t="s">
        <v>24</v>
      </c>
      <c r="G12055" s="128" t="str">
        <f>VLOOKUP(source[[#This Row],[lending_product_transform]],[3]Mapping!$B$4:$C$37,2,0)</f>
        <v>[Cake] - Cashloan</v>
      </c>
      <c r="H12055" s="128" t="str">
        <f>VLOOKUP(source[[#This Row],[lending_product_transform]],[3]Mapping!$B$3:$D$37,3,0)</f>
        <v>cashloan</v>
      </c>
      <c r="I12055" s="143">
        <v>15000000</v>
      </c>
    </row>
    <row r="12056" spans="1:9" x14ac:dyDescent="0.2">
      <c r="A12056" s="134">
        <v>46034</v>
      </c>
      <c r="B12056" s="135">
        <f>YEAR(source[[#This Row],[report_date]])</f>
        <v>2026</v>
      </c>
      <c r="C12056" s="128">
        <f t="shared" si="563"/>
        <v>1</v>
      </c>
      <c r="D12056" s="136">
        <f t="shared" si="565"/>
        <v>3</v>
      </c>
      <c r="E12056" s="136">
        <f t="shared" si="564"/>
        <v>12</v>
      </c>
      <c r="F12056" s="137" t="s">
        <v>24</v>
      </c>
      <c r="G12056" s="128" t="str">
        <f>VLOOKUP(source[[#This Row],[lending_product_transform]],[3]Mapping!$B$4:$C$37,2,0)</f>
        <v>[Cake] - Cashloan</v>
      </c>
      <c r="H12056" s="128" t="str">
        <f>VLOOKUP(source[[#This Row],[lending_product_transform]],[3]Mapping!$B$3:$D$37,3,0)</f>
        <v>cashloan</v>
      </c>
      <c r="I12056" s="143">
        <v>12377988000</v>
      </c>
    </row>
    <row r="12057" spans="1:9" x14ac:dyDescent="0.2">
      <c r="A12057" s="134">
        <v>46034</v>
      </c>
      <c r="B12057" s="135">
        <f>YEAR(source[[#This Row],[report_date]])</f>
        <v>2026</v>
      </c>
      <c r="C12057" s="128">
        <f t="shared" si="563"/>
        <v>1</v>
      </c>
      <c r="D12057" s="136">
        <f t="shared" si="565"/>
        <v>3</v>
      </c>
      <c r="E12057" s="136">
        <f t="shared" si="564"/>
        <v>12</v>
      </c>
      <c r="F12057" s="137" t="s">
        <v>24</v>
      </c>
      <c r="G12057" s="128" t="str">
        <f>VLOOKUP(source[[#This Row],[lending_product_transform]],[3]Mapping!$B$4:$C$37,2,0)</f>
        <v>[Cake] - Cashloan</v>
      </c>
      <c r="H12057" s="128" t="str">
        <f>VLOOKUP(source[[#This Row],[lending_product_transform]],[3]Mapping!$B$3:$D$37,3,0)</f>
        <v>cashloan</v>
      </c>
      <c r="I12057" s="143">
        <v>176669832</v>
      </c>
    </row>
    <row r="12058" spans="1:9" x14ac:dyDescent="0.2">
      <c r="A12058" s="134">
        <v>46034</v>
      </c>
      <c r="B12058" s="135">
        <f>YEAR(source[[#This Row],[report_date]])</f>
        <v>2026</v>
      </c>
      <c r="C12058" s="128">
        <f t="shared" si="563"/>
        <v>1</v>
      </c>
      <c r="D12058" s="136">
        <f t="shared" si="565"/>
        <v>3</v>
      </c>
      <c r="E12058" s="136">
        <f t="shared" si="564"/>
        <v>12</v>
      </c>
      <c r="F12058" s="137" t="s">
        <v>24</v>
      </c>
      <c r="G12058" s="128" t="str">
        <f>VLOOKUP(source[[#This Row],[lending_product_transform]],[3]Mapping!$B$4:$C$37,2,0)</f>
        <v>[Cake] - Cashloan</v>
      </c>
      <c r="H12058" s="128" t="str">
        <f>VLOOKUP(source[[#This Row],[lending_product_transform]],[3]Mapping!$B$3:$D$37,3,0)</f>
        <v>cashloan</v>
      </c>
      <c r="I12058" s="143">
        <v>10500000</v>
      </c>
    </row>
    <row r="12059" spans="1:9" x14ac:dyDescent="0.2">
      <c r="A12059" s="134">
        <v>46034</v>
      </c>
      <c r="B12059" s="135">
        <f>YEAR(source[[#This Row],[report_date]])</f>
        <v>2026</v>
      </c>
      <c r="C12059" s="128">
        <f t="shared" si="563"/>
        <v>1</v>
      </c>
      <c r="D12059" s="136">
        <f t="shared" si="565"/>
        <v>3</v>
      </c>
      <c r="E12059" s="136">
        <f t="shared" si="564"/>
        <v>12</v>
      </c>
      <c r="F12059" s="137" t="s">
        <v>24</v>
      </c>
      <c r="G12059" s="128" t="str">
        <f>VLOOKUP(source[[#This Row],[lending_product_transform]],[3]Mapping!$B$4:$C$37,2,0)</f>
        <v>[Cake] - Cashloan</v>
      </c>
      <c r="H12059" s="128" t="str">
        <f>VLOOKUP(source[[#This Row],[lending_product_transform]],[3]Mapping!$B$3:$D$37,3,0)</f>
        <v>cashloan</v>
      </c>
      <c r="I12059" s="143">
        <v>61000000</v>
      </c>
    </row>
    <row r="12060" spans="1:9" x14ac:dyDescent="0.2">
      <c r="A12060" s="134">
        <v>46034</v>
      </c>
      <c r="B12060" s="135">
        <f>YEAR(source[[#This Row],[report_date]])</f>
        <v>2026</v>
      </c>
      <c r="C12060" s="128">
        <f t="shared" si="563"/>
        <v>1</v>
      </c>
      <c r="D12060" s="136">
        <f t="shared" si="565"/>
        <v>3</v>
      </c>
      <c r="E12060" s="136">
        <f t="shared" si="564"/>
        <v>12</v>
      </c>
      <c r="F12060" s="137" t="s">
        <v>24</v>
      </c>
      <c r="G12060" s="128" t="str">
        <f>VLOOKUP(source[[#This Row],[lending_product_transform]],[3]Mapping!$B$4:$C$37,2,0)</f>
        <v>[Cake] - Cashloan</v>
      </c>
      <c r="H12060" s="128" t="str">
        <f>VLOOKUP(source[[#This Row],[lending_product_transform]],[3]Mapping!$B$3:$D$37,3,0)</f>
        <v>cashloan</v>
      </c>
      <c r="I12060" s="143">
        <v>784820000</v>
      </c>
    </row>
    <row r="12061" spans="1:9" x14ac:dyDescent="0.2">
      <c r="A12061" s="134">
        <v>46034</v>
      </c>
      <c r="B12061" s="135">
        <f>YEAR(source[[#This Row],[report_date]])</f>
        <v>2026</v>
      </c>
      <c r="C12061" s="128">
        <f t="shared" si="563"/>
        <v>1</v>
      </c>
      <c r="D12061" s="136">
        <f t="shared" si="565"/>
        <v>3</v>
      </c>
      <c r="E12061" s="136">
        <f t="shared" si="564"/>
        <v>12</v>
      </c>
      <c r="F12061" s="137" t="s">
        <v>24</v>
      </c>
      <c r="G12061" s="128" t="str">
        <f>VLOOKUP(source[[#This Row],[lending_product_transform]],[3]Mapping!$B$4:$C$37,2,0)</f>
        <v>[Cake] - Cashloan</v>
      </c>
      <c r="H12061" s="128" t="str">
        <f>VLOOKUP(source[[#This Row],[lending_product_transform]],[3]Mapping!$B$3:$D$37,3,0)</f>
        <v>cashloan</v>
      </c>
      <c r="I12061" s="143">
        <v>260172000</v>
      </c>
    </row>
    <row r="12062" spans="1:9" x14ac:dyDescent="0.2">
      <c r="A12062" s="134">
        <v>46034</v>
      </c>
      <c r="B12062" s="135">
        <f>YEAR(source[[#This Row],[report_date]])</f>
        <v>2026</v>
      </c>
      <c r="C12062" s="128">
        <f t="shared" si="563"/>
        <v>1</v>
      </c>
      <c r="D12062" s="136">
        <f t="shared" si="565"/>
        <v>3</v>
      </c>
      <c r="E12062" s="136">
        <f t="shared" si="564"/>
        <v>12</v>
      </c>
      <c r="F12062" s="137" t="s">
        <v>24</v>
      </c>
      <c r="G12062" s="128" t="str">
        <f>VLOOKUP(source[[#This Row],[lending_product_transform]],[3]Mapping!$B$4:$C$37,2,0)</f>
        <v>[Cake] - Cashloan</v>
      </c>
      <c r="H12062" s="128" t="str">
        <f>VLOOKUP(source[[#This Row],[lending_product_transform]],[3]Mapping!$B$3:$D$37,3,0)</f>
        <v>cashloan</v>
      </c>
      <c r="I12062" s="143">
        <v>435769568</v>
      </c>
    </row>
    <row r="12063" spans="1:9" x14ac:dyDescent="0.2">
      <c r="A12063" s="134">
        <v>46034</v>
      </c>
      <c r="B12063" s="135">
        <f>YEAR(source[[#This Row],[report_date]])</f>
        <v>2026</v>
      </c>
      <c r="C12063" s="128">
        <f t="shared" si="563"/>
        <v>1</v>
      </c>
      <c r="D12063" s="136">
        <f t="shared" si="565"/>
        <v>3</v>
      </c>
      <c r="E12063" s="136">
        <f t="shared" si="564"/>
        <v>12</v>
      </c>
      <c r="F12063" s="137" t="s">
        <v>24</v>
      </c>
      <c r="G12063" s="128" t="str">
        <f>VLOOKUP(source[[#This Row],[lending_product_transform]],[3]Mapping!$B$4:$C$37,2,0)</f>
        <v>[Cake] - Cashloan</v>
      </c>
      <c r="H12063" s="128" t="str">
        <f>VLOOKUP(source[[#This Row],[lending_product_transform]],[3]Mapping!$B$3:$D$37,3,0)</f>
        <v>cashloan</v>
      </c>
      <c r="I12063" s="143">
        <v>3446350000</v>
      </c>
    </row>
    <row r="12064" spans="1:9" x14ac:dyDescent="0.2">
      <c r="A12064" s="134">
        <v>46034</v>
      </c>
      <c r="B12064" s="135">
        <f>YEAR(source[[#This Row],[report_date]])</f>
        <v>2026</v>
      </c>
      <c r="C12064" s="128">
        <f t="shared" si="563"/>
        <v>1</v>
      </c>
      <c r="D12064" s="136">
        <f t="shared" si="565"/>
        <v>3</v>
      </c>
      <c r="E12064" s="136">
        <f t="shared" si="564"/>
        <v>12</v>
      </c>
      <c r="F12064" s="137" t="s">
        <v>24</v>
      </c>
      <c r="G12064" s="128" t="str">
        <f>VLOOKUP(source[[#This Row],[lending_product_transform]],[3]Mapping!$B$4:$C$37,2,0)</f>
        <v>[Cake] - Cashloan</v>
      </c>
      <c r="H12064" s="128" t="str">
        <f>VLOOKUP(source[[#This Row],[lending_product_transform]],[3]Mapping!$B$3:$D$37,3,0)</f>
        <v>cashloan</v>
      </c>
      <c r="I12064" s="143">
        <v>0</v>
      </c>
    </row>
    <row r="12065" spans="1:9" x14ac:dyDescent="0.2">
      <c r="A12065" s="134">
        <v>46035</v>
      </c>
      <c r="B12065" s="135">
        <f>YEAR(source[[#This Row],[report_date]])</f>
        <v>2026</v>
      </c>
      <c r="C12065" s="128">
        <f t="shared" si="563"/>
        <v>1</v>
      </c>
      <c r="D12065" s="136">
        <f t="shared" si="565"/>
        <v>3</v>
      </c>
      <c r="E12065" s="136">
        <f t="shared" si="564"/>
        <v>13</v>
      </c>
      <c r="F12065" s="137" t="s">
        <v>24</v>
      </c>
      <c r="G12065" s="128" t="str">
        <f>VLOOKUP(source[[#This Row],[lending_product_transform]],[3]Mapping!$B$4:$C$37,2,0)</f>
        <v>[Cake] - Cashloan</v>
      </c>
      <c r="H12065" s="128" t="str">
        <f>VLOOKUP(source[[#This Row],[lending_product_transform]],[3]Mapping!$B$3:$D$37,3,0)</f>
        <v>cashloan</v>
      </c>
      <c r="I12065" s="143">
        <v>524700000</v>
      </c>
    </row>
    <row r="12066" spans="1:9" x14ac:dyDescent="0.2">
      <c r="A12066" s="134">
        <v>46035</v>
      </c>
      <c r="B12066" s="135">
        <f>YEAR(source[[#This Row],[report_date]])</f>
        <v>2026</v>
      </c>
      <c r="C12066" s="128">
        <f t="shared" si="563"/>
        <v>1</v>
      </c>
      <c r="D12066" s="136">
        <f t="shared" si="565"/>
        <v>3</v>
      </c>
      <c r="E12066" s="136">
        <f t="shared" si="564"/>
        <v>13</v>
      </c>
      <c r="F12066" s="137" t="s">
        <v>24</v>
      </c>
      <c r="G12066" s="128" t="str">
        <f>VLOOKUP(source[[#This Row],[lending_product_transform]],[3]Mapping!$B$4:$C$37,2,0)</f>
        <v>[Cake] - Cashloan</v>
      </c>
      <c r="H12066" s="128" t="str">
        <f>VLOOKUP(source[[#This Row],[lending_product_transform]],[3]Mapping!$B$3:$D$37,3,0)</f>
        <v>cashloan</v>
      </c>
      <c r="I12066" s="143">
        <v>336997174</v>
      </c>
    </row>
    <row r="12067" spans="1:9" x14ac:dyDescent="0.2">
      <c r="A12067" s="134">
        <v>46035</v>
      </c>
      <c r="B12067" s="135">
        <f>YEAR(source[[#This Row],[report_date]])</f>
        <v>2026</v>
      </c>
      <c r="C12067" s="128">
        <f t="shared" si="563"/>
        <v>1</v>
      </c>
      <c r="D12067" s="136">
        <f t="shared" si="565"/>
        <v>3</v>
      </c>
      <c r="E12067" s="136">
        <f t="shared" si="564"/>
        <v>13</v>
      </c>
      <c r="F12067" s="137" t="s">
        <v>24</v>
      </c>
      <c r="G12067" s="128" t="str">
        <f>VLOOKUP(source[[#This Row],[lending_product_transform]],[3]Mapping!$B$4:$C$37,2,0)</f>
        <v>[Cake] - Cashloan</v>
      </c>
      <c r="H12067" s="128" t="str">
        <f>VLOOKUP(source[[#This Row],[lending_product_transform]],[3]Mapping!$B$3:$D$37,3,0)</f>
        <v>cashloan</v>
      </c>
      <c r="I12067" s="143">
        <v>15261150000</v>
      </c>
    </row>
    <row r="12068" spans="1:9" x14ac:dyDescent="0.2">
      <c r="A12068" s="134">
        <v>46035</v>
      </c>
      <c r="B12068" s="135">
        <f>YEAR(source[[#This Row],[report_date]])</f>
        <v>2026</v>
      </c>
      <c r="C12068" s="128">
        <f t="shared" si="563"/>
        <v>1</v>
      </c>
      <c r="D12068" s="136">
        <f t="shared" si="565"/>
        <v>3</v>
      </c>
      <c r="E12068" s="136">
        <f t="shared" si="564"/>
        <v>13</v>
      </c>
      <c r="F12068" s="137" t="s">
        <v>24</v>
      </c>
      <c r="G12068" s="128" t="str">
        <f>VLOOKUP(source[[#This Row],[lending_product_transform]],[3]Mapping!$B$4:$C$37,2,0)</f>
        <v>[Cake] - Cashloan</v>
      </c>
      <c r="H12068" s="128" t="str">
        <f>VLOOKUP(source[[#This Row],[lending_product_transform]],[3]Mapping!$B$3:$D$37,3,0)</f>
        <v>cashloan</v>
      </c>
      <c r="I12068" s="143">
        <v>1824584635</v>
      </c>
    </row>
    <row r="12069" spans="1:9" x14ac:dyDescent="0.2">
      <c r="A12069" s="134">
        <v>46035</v>
      </c>
      <c r="B12069" s="135">
        <f>YEAR(source[[#This Row],[report_date]])</f>
        <v>2026</v>
      </c>
      <c r="C12069" s="128">
        <f t="shared" si="563"/>
        <v>1</v>
      </c>
      <c r="D12069" s="136">
        <f t="shared" si="565"/>
        <v>3</v>
      </c>
      <c r="E12069" s="136">
        <f t="shared" si="564"/>
        <v>13</v>
      </c>
      <c r="F12069" s="137" t="s">
        <v>24</v>
      </c>
      <c r="G12069" s="128" t="str">
        <f>VLOOKUP(source[[#This Row],[lending_product_transform]],[3]Mapping!$B$4:$C$37,2,0)</f>
        <v>[Cake] - Cashloan</v>
      </c>
      <c r="H12069" s="128" t="str">
        <f>VLOOKUP(source[[#This Row],[lending_product_transform]],[3]Mapping!$B$3:$D$37,3,0)</f>
        <v>cashloan</v>
      </c>
      <c r="I12069" s="143">
        <v>14995152000</v>
      </c>
    </row>
    <row r="12070" spans="1:9" x14ac:dyDescent="0.2">
      <c r="A12070" s="134">
        <v>46035</v>
      </c>
      <c r="B12070" s="135">
        <f>YEAR(source[[#This Row],[report_date]])</f>
        <v>2026</v>
      </c>
      <c r="C12070" s="128">
        <f t="shared" si="563"/>
        <v>1</v>
      </c>
      <c r="D12070" s="136">
        <f t="shared" si="565"/>
        <v>3</v>
      </c>
      <c r="E12070" s="136">
        <f t="shared" si="564"/>
        <v>13</v>
      </c>
      <c r="F12070" s="137" t="s">
        <v>24</v>
      </c>
      <c r="G12070" s="128" t="str">
        <f>VLOOKUP(source[[#This Row],[lending_product_transform]],[3]Mapping!$B$4:$C$37,2,0)</f>
        <v>[Cake] - Cashloan</v>
      </c>
      <c r="H12070" s="128" t="str">
        <f>VLOOKUP(source[[#This Row],[lending_product_transform]],[3]Mapping!$B$3:$D$37,3,0)</f>
        <v>cashloan</v>
      </c>
      <c r="I12070" s="143">
        <v>7889637</v>
      </c>
    </row>
    <row r="12071" spans="1:9" x14ac:dyDescent="0.2">
      <c r="A12071" s="134">
        <v>46035</v>
      </c>
      <c r="B12071" s="135">
        <f>YEAR(source[[#This Row],[report_date]])</f>
        <v>2026</v>
      </c>
      <c r="C12071" s="128">
        <f t="shared" si="563"/>
        <v>1</v>
      </c>
      <c r="D12071" s="136">
        <f t="shared" si="565"/>
        <v>3</v>
      </c>
      <c r="E12071" s="136">
        <f t="shared" si="564"/>
        <v>13</v>
      </c>
      <c r="F12071" s="137" t="s">
        <v>24</v>
      </c>
      <c r="G12071" s="128" t="str">
        <f>VLOOKUP(source[[#This Row],[lending_product_transform]],[3]Mapping!$B$4:$C$37,2,0)</f>
        <v>[Cake] - Cashloan</v>
      </c>
      <c r="H12071" s="128" t="str">
        <f>VLOOKUP(source[[#This Row],[lending_product_transform]],[3]Mapping!$B$3:$D$37,3,0)</f>
        <v>cashloan</v>
      </c>
      <c r="I12071" s="143">
        <v>90000000</v>
      </c>
    </row>
    <row r="12072" spans="1:9" x14ac:dyDescent="0.2">
      <c r="A12072" s="134">
        <v>46035</v>
      </c>
      <c r="B12072" s="135">
        <f>YEAR(source[[#This Row],[report_date]])</f>
        <v>2026</v>
      </c>
      <c r="C12072" s="128">
        <f t="shared" si="563"/>
        <v>1</v>
      </c>
      <c r="D12072" s="136">
        <f t="shared" si="565"/>
        <v>3</v>
      </c>
      <c r="E12072" s="136">
        <f t="shared" si="564"/>
        <v>13</v>
      </c>
      <c r="F12072" s="137" t="s">
        <v>24</v>
      </c>
      <c r="G12072" s="128" t="str">
        <f>VLOOKUP(source[[#This Row],[lending_product_transform]],[3]Mapping!$B$4:$C$37,2,0)</f>
        <v>[Cake] - Cashloan</v>
      </c>
      <c r="H12072" s="128" t="str">
        <f>VLOOKUP(source[[#This Row],[lending_product_transform]],[3]Mapping!$B$3:$D$37,3,0)</f>
        <v>cashloan</v>
      </c>
      <c r="I12072" s="143">
        <v>5207490000</v>
      </c>
    </row>
    <row r="12073" spans="1:9" x14ac:dyDescent="0.2">
      <c r="A12073" s="134">
        <v>46035</v>
      </c>
      <c r="B12073" s="135">
        <f>YEAR(source[[#This Row],[report_date]])</f>
        <v>2026</v>
      </c>
      <c r="C12073" s="128">
        <f t="shared" si="563"/>
        <v>1</v>
      </c>
      <c r="D12073" s="136">
        <f t="shared" si="565"/>
        <v>3</v>
      </c>
      <c r="E12073" s="136">
        <f t="shared" si="564"/>
        <v>13</v>
      </c>
      <c r="F12073" s="137" t="s">
        <v>24</v>
      </c>
      <c r="G12073" s="128" t="str">
        <f>VLOOKUP(source[[#This Row],[lending_product_transform]],[3]Mapping!$B$4:$C$37,2,0)</f>
        <v>[Cake] - Cashloan</v>
      </c>
      <c r="H12073" s="128" t="str">
        <f>VLOOKUP(source[[#This Row],[lending_product_transform]],[3]Mapping!$B$3:$D$37,3,0)</f>
        <v>cashloan</v>
      </c>
      <c r="I12073" s="143">
        <v>1151770000</v>
      </c>
    </row>
    <row r="12074" spans="1:9" x14ac:dyDescent="0.2">
      <c r="A12074" s="134">
        <v>46035</v>
      </c>
      <c r="B12074" s="135">
        <f>YEAR(source[[#This Row],[report_date]])</f>
        <v>2026</v>
      </c>
      <c r="C12074" s="128">
        <f t="shared" si="563"/>
        <v>1</v>
      </c>
      <c r="D12074" s="136">
        <f t="shared" si="565"/>
        <v>3</v>
      </c>
      <c r="E12074" s="136">
        <f t="shared" si="564"/>
        <v>13</v>
      </c>
      <c r="F12074" s="137" t="s">
        <v>24</v>
      </c>
      <c r="G12074" s="128" t="str">
        <f>VLOOKUP(source[[#This Row],[lending_product_transform]],[3]Mapping!$B$4:$C$37,2,0)</f>
        <v>[Cake] - Cashloan</v>
      </c>
      <c r="H12074" s="128" t="str">
        <f>VLOOKUP(source[[#This Row],[lending_product_transform]],[3]Mapping!$B$3:$D$37,3,0)</f>
        <v>cashloan</v>
      </c>
      <c r="I12074" s="143">
        <v>614469</v>
      </c>
    </row>
    <row r="12075" spans="1:9" x14ac:dyDescent="0.2">
      <c r="A12075" s="134">
        <v>46035</v>
      </c>
      <c r="B12075" s="135">
        <f>YEAR(source[[#This Row],[report_date]])</f>
        <v>2026</v>
      </c>
      <c r="C12075" s="128">
        <f t="shared" si="563"/>
        <v>1</v>
      </c>
      <c r="D12075" s="136">
        <f t="shared" si="565"/>
        <v>3</v>
      </c>
      <c r="E12075" s="136">
        <f t="shared" si="564"/>
        <v>13</v>
      </c>
      <c r="F12075" s="137" t="s">
        <v>24</v>
      </c>
      <c r="G12075" s="128" t="str">
        <f>VLOOKUP(source[[#This Row],[lending_product_transform]],[3]Mapping!$B$4:$C$37,2,0)</f>
        <v>[Cake] - Cashloan</v>
      </c>
      <c r="H12075" s="128" t="str">
        <f>VLOOKUP(source[[#This Row],[lending_product_transform]],[3]Mapping!$B$3:$D$37,3,0)</f>
        <v>cashloan</v>
      </c>
      <c r="I12075" s="143">
        <v>1192411999</v>
      </c>
    </row>
    <row r="12076" spans="1:9" x14ac:dyDescent="0.2">
      <c r="A12076" s="134">
        <v>46035</v>
      </c>
      <c r="B12076" s="135">
        <f>YEAR(source[[#This Row],[report_date]])</f>
        <v>2026</v>
      </c>
      <c r="C12076" s="128">
        <f t="shared" si="563"/>
        <v>1</v>
      </c>
      <c r="D12076" s="136">
        <f t="shared" si="565"/>
        <v>3</v>
      </c>
      <c r="E12076" s="136">
        <f t="shared" si="564"/>
        <v>13</v>
      </c>
      <c r="F12076" s="137" t="s">
        <v>24</v>
      </c>
      <c r="G12076" s="128" t="str">
        <f>VLOOKUP(source[[#This Row],[lending_product_transform]],[3]Mapping!$B$4:$C$37,2,0)</f>
        <v>[Cake] - Cashloan</v>
      </c>
      <c r="H12076" s="128" t="str">
        <f>VLOOKUP(source[[#This Row],[lending_product_transform]],[3]Mapping!$B$3:$D$37,3,0)</f>
        <v>cashloan</v>
      </c>
      <c r="I12076" s="143">
        <v>0</v>
      </c>
    </row>
    <row r="12077" spans="1:9" x14ac:dyDescent="0.2">
      <c r="A12077" s="134">
        <v>46035</v>
      </c>
      <c r="B12077" s="135">
        <f>YEAR(source[[#This Row],[report_date]])</f>
        <v>2026</v>
      </c>
      <c r="C12077" s="128">
        <f t="shared" si="563"/>
        <v>1</v>
      </c>
      <c r="D12077" s="136">
        <f t="shared" si="565"/>
        <v>3</v>
      </c>
      <c r="E12077" s="136">
        <f t="shared" si="564"/>
        <v>13</v>
      </c>
      <c r="F12077" s="137" t="s">
        <v>24</v>
      </c>
      <c r="G12077" s="128" t="str">
        <f>VLOOKUP(source[[#This Row],[lending_product_transform]],[3]Mapping!$B$4:$C$37,2,0)</f>
        <v>[Cake] - Cashloan</v>
      </c>
      <c r="H12077" s="128" t="str">
        <f>VLOOKUP(source[[#This Row],[lending_product_transform]],[3]Mapping!$B$3:$D$37,3,0)</f>
        <v>cashloan</v>
      </c>
      <c r="I12077" s="143">
        <v>118250000</v>
      </c>
    </row>
    <row r="12078" spans="1:9" x14ac:dyDescent="0.2">
      <c r="A12078" s="134">
        <v>46035</v>
      </c>
      <c r="B12078" s="135">
        <f>YEAR(source[[#This Row],[report_date]])</f>
        <v>2026</v>
      </c>
      <c r="C12078" s="128">
        <f t="shared" si="563"/>
        <v>1</v>
      </c>
      <c r="D12078" s="136">
        <f t="shared" si="565"/>
        <v>3</v>
      </c>
      <c r="E12078" s="136">
        <f t="shared" si="564"/>
        <v>13</v>
      </c>
      <c r="F12078" s="137" t="s">
        <v>24</v>
      </c>
      <c r="G12078" s="128" t="str">
        <f>VLOOKUP(source[[#This Row],[lending_product_transform]],[3]Mapping!$B$4:$C$37,2,0)</f>
        <v>[Cake] - Cashloan</v>
      </c>
      <c r="H12078" s="128" t="str">
        <f>VLOOKUP(source[[#This Row],[lending_product_transform]],[3]Mapping!$B$3:$D$37,3,0)</f>
        <v>cashloan</v>
      </c>
      <c r="I12078" s="143">
        <v>0</v>
      </c>
    </row>
    <row r="12079" spans="1:9" x14ac:dyDescent="0.2">
      <c r="A12079" s="134">
        <v>46035</v>
      </c>
      <c r="B12079" s="135">
        <f>YEAR(source[[#This Row],[report_date]])</f>
        <v>2026</v>
      </c>
      <c r="C12079" s="128">
        <f t="shared" si="563"/>
        <v>1</v>
      </c>
      <c r="D12079" s="136">
        <f t="shared" si="565"/>
        <v>3</v>
      </c>
      <c r="E12079" s="136">
        <f t="shared" si="564"/>
        <v>13</v>
      </c>
      <c r="F12079" s="137" t="s">
        <v>24</v>
      </c>
      <c r="G12079" s="128" t="str">
        <f>VLOOKUP(source[[#This Row],[lending_product_transform]],[3]Mapping!$B$4:$C$37,2,0)</f>
        <v>[Cake] - Cashloan</v>
      </c>
      <c r="H12079" s="128" t="str">
        <f>VLOOKUP(source[[#This Row],[lending_product_transform]],[3]Mapping!$B$3:$D$37,3,0)</f>
        <v>cashloan</v>
      </c>
      <c r="I12079" s="143">
        <v>17560120000</v>
      </c>
    </row>
    <row r="12080" spans="1:9" x14ac:dyDescent="0.2">
      <c r="A12080" s="134">
        <v>46035</v>
      </c>
      <c r="B12080" s="135">
        <f>YEAR(source[[#This Row],[report_date]])</f>
        <v>2026</v>
      </c>
      <c r="C12080" s="128">
        <f t="shared" si="563"/>
        <v>1</v>
      </c>
      <c r="D12080" s="136">
        <f t="shared" si="565"/>
        <v>3</v>
      </c>
      <c r="E12080" s="136">
        <f t="shared" si="564"/>
        <v>13</v>
      </c>
      <c r="F12080" s="137" t="s">
        <v>24</v>
      </c>
      <c r="G12080" s="128" t="str">
        <f>VLOOKUP(source[[#This Row],[lending_product_transform]],[3]Mapping!$B$4:$C$37,2,0)</f>
        <v>[Cake] - Cashloan</v>
      </c>
      <c r="H12080" s="128" t="str">
        <f>VLOOKUP(source[[#This Row],[lending_product_transform]],[3]Mapping!$B$3:$D$37,3,0)</f>
        <v>cashloan</v>
      </c>
      <c r="I12080" s="143">
        <v>0</v>
      </c>
    </row>
    <row r="12081" spans="1:9" x14ac:dyDescent="0.2">
      <c r="A12081" s="134">
        <v>46035</v>
      </c>
      <c r="B12081" s="135">
        <f>YEAR(source[[#This Row],[report_date]])</f>
        <v>2026</v>
      </c>
      <c r="C12081" s="128">
        <f t="shared" si="563"/>
        <v>1</v>
      </c>
      <c r="D12081" s="136">
        <f t="shared" si="565"/>
        <v>3</v>
      </c>
      <c r="E12081" s="136">
        <f t="shared" si="564"/>
        <v>13</v>
      </c>
      <c r="F12081" s="137" t="s">
        <v>24</v>
      </c>
      <c r="G12081" s="128" t="str">
        <f>VLOOKUP(source[[#This Row],[lending_product_transform]],[3]Mapping!$B$4:$C$37,2,0)</f>
        <v>[Cake] - Cashloan</v>
      </c>
      <c r="H12081" s="128" t="str">
        <f>VLOOKUP(source[[#This Row],[lending_product_transform]],[3]Mapping!$B$3:$D$37,3,0)</f>
        <v>cashloan</v>
      </c>
      <c r="I12081" s="143">
        <v>0</v>
      </c>
    </row>
    <row r="12082" spans="1:9" x14ac:dyDescent="0.2">
      <c r="A12082" s="134">
        <v>46035</v>
      </c>
      <c r="B12082" s="135">
        <f>YEAR(source[[#This Row],[report_date]])</f>
        <v>2026</v>
      </c>
      <c r="C12082" s="128">
        <f t="shared" si="563"/>
        <v>1</v>
      </c>
      <c r="D12082" s="136">
        <f t="shared" si="565"/>
        <v>3</v>
      </c>
      <c r="E12082" s="136">
        <f t="shared" si="564"/>
        <v>13</v>
      </c>
      <c r="F12082" s="137" t="s">
        <v>24</v>
      </c>
      <c r="G12082" s="128" t="str">
        <f>VLOOKUP(source[[#This Row],[lending_product_transform]],[3]Mapping!$B$4:$C$37,2,0)</f>
        <v>[Cake] - Cashloan</v>
      </c>
      <c r="H12082" s="128" t="str">
        <f>VLOOKUP(source[[#This Row],[lending_product_transform]],[3]Mapping!$B$3:$D$37,3,0)</f>
        <v>cashloan</v>
      </c>
      <c r="I12082" s="143">
        <v>0</v>
      </c>
    </row>
    <row r="12083" spans="1:9" x14ac:dyDescent="0.2">
      <c r="A12083" s="134">
        <v>46035</v>
      </c>
      <c r="B12083" s="135">
        <f>YEAR(source[[#This Row],[report_date]])</f>
        <v>2026</v>
      </c>
      <c r="C12083" s="128">
        <f t="shared" si="563"/>
        <v>1</v>
      </c>
      <c r="D12083" s="136">
        <f t="shared" si="565"/>
        <v>3</v>
      </c>
      <c r="E12083" s="136">
        <f t="shared" si="564"/>
        <v>13</v>
      </c>
      <c r="F12083" s="137" t="s">
        <v>24</v>
      </c>
      <c r="G12083" s="128" t="str">
        <f>VLOOKUP(source[[#This Row],[lending_product_transform]],[3]Mapping!$B$4:$C$37,2,0)</f>
        <v>[Cake] - Cashloan</v>
      </c>
      <c r="H12083" s="128" t="str">
        <f>VLOOKUP(source[[#This Row],[lending_product_transform]],[3]Mapping!$B$3:$D$37,3,0)</f>
        <v>cashloan</v>
      </c>
      <c r="I12083" s="143">
        <v>0</v>
      </c>
    </row>
    <row r="12084" spans="1:9" x14ac:dyDescent="0.2">
      <c r="A12084" s="134">
        <v>46035</v>
      </c>
      <c r="B12084" s="135">
        <f>YEAR(source[[#This Row],[report_date]])</f>
        <v>2026</v>
      </c>
      <c r="C12084" s="128">
        <f t="shared" si="563"/>
        <v>1</v>
      </c>
      <c r="D12084" s="136">
        <f t="shared" si="565"/>
        <v>3</v>
      </c>
      <c r="E12084" s="136">
        <f t="shared" si="564"/>
        <v>13</v>
      </c>
      <c r="F12084" s="137" t="s">
        <v>24</v>
      </c>
      <c r="G12084" s="128" t="str">
        <f>VLOOKUP(source[[#This Row],[lending_product_transform]],[3]Mapping!$B$4:$C$37,2,0)</f>
        <v>[Cake] - Cashloan</v>
      </c>
      <c r="H12084" s="128" t="str">
        <f>VLOOKUP(source[[#This Row],[lending_product_transform]],[3]Mapping!$B$3:$D$37,3,0)</f>
        <v>cashloan</v>
      </c>
      <c r="I12084" s="143">
        <v>12590424000</v>
      </c>
    </row>
    <row r="12085" spans="1:9" x14ac:dyDescent="0.2">
      <c r="A12085" s="134">
        <v>46035</v>
      </c>
      <c r="B12085" s="135">
        <f>YEAR(source[[#This Row],[report_date]])</f>
        <v>2026</v>
      </c>
      <c r="C12085" s="128">
        <f t="shared" si="563"/>
        <v>1</v>
      </c>
      <c r="D12085" s="136">
        <f t="shared" si="565"/>
        <v>3</v>
      </c>
      <c r="E12085" s="136">
        <f t="shared" si="564"/>
        <v>13</v>
      </c>
      <c r="F12085" s="137" t="s">
        <v>24</v>
      </c>
      <c r="G12085" s="128" t="str">
        <f>VLOOKUP(source[[#This Row],[lending_product_transform]],[3]Mapping!$B$4:$C$37,2,0)</f>
        <v>[Cake] - Cashloan</v>
      </c>
      <c r="H12085" s="128" t="str">
        <f>VLOOKUP(source[[#This Row],[lending_product_transform]],[3]Mapping!$B$3:$D$37,3,0)</f>
        <v>cashloan</v>
      </c>
      <c r="I12085" s="143">
        <v>205436148</v>
      </c>
    </row>
    <row r="12086" spans="1:9" x14ac:dyDescent="0.2">
      <c r="A12086" s="134">
        <v>46035</v>
      </c>
      <c r="B12086" s="135">
        <f>YEAR(source[[#This Row],[report_date]])</f>
        <v>2026</v>
      </c>
      <c r="C12086" s="128">
        <f t="shared" ref="C12086:C12149" si="566">MONTH(A12086)</f>
        <v>1</v>
      </c>
      <c r="D12086" s="136">
        <f t="shared" si="565"/>
        <v>3</v>
      </c>
      <c r="E12086" s="136">
        <f t="shared" ref="E12086:E12149" si="567">DAY(A12086)</f>
        <v>13</v>
      </c>
      <c r="F12086" s="137" t="s">
        <v>24</v>
      </c>
      <c r="G12086" s="128" t="str">
        <f>VLOOKUP(source[[#This Row],[lending_product_transform]],[3]Mapping!$B$4:$C$37,2,0)</f>
        <v>[Cake] - Cashloan</v>
      </c>
      <c r="H12086" s="128" t="str">
        <f>VLOOKUP(source[[#This Row],[lending_product_transform]],[3]Mapping!$B$3:$D$37,3,0)</f>
        <v>cashloan</v>
      </c>
      <c r="I12086" s="143">
        <v>0</v>
      </c>
    </row>
    <row r="12087" spans="1:9" x14ac:dyDescent="0.2">
      <c r="A12087" s="134">
        <v>46035</v>
      </c>
      <c r="B12087" s="135">
        <f>YEAR(source[[#This Row],[report_date]])</f>
        <v>2026</v>
      </c>
      <c r="C12087" s="128">
        <f t="shared" si="566"/>
        <v>1</v>
      </c>
      <c r="D12087" s="136">
        <f t="shared" si="565"/>
        <v>3</v>
      </c>
      <c r="E12087" s="136">
        <f t="shared" si="567"/>
        <v>13</v>
      </c>
      <c r="F12087" s="137" t="s">
        <v>24</v>
      </c>
      <c r="G12087" s="128" t="str">
        <f>VLOOKUP(source[[#This Row],[lending_product_transform]],[3]Mapping!$B$4:$C$37,2,0)</f>
        <v>[Cake] - Cashloan</v>
      </c>
      <c r="H12087" s="128" t="str">
        <f>VLOOKUP(source[[#This Row],[lending_product_transform]],[3]Mapping!$B$3:$D$37,3,0)</f>
        <v>cashloan</v>
      </c>
      <c r="I12087" s="143">
        <v>46000000</v>
      </c>
    </row>
    <row r="12088" spans="1:9" x14ac:dyDescent="0.2">
      <c r="A12088" s="134">
        <v>46035</v>
      </c>
      <c r="B12088" s="135">
        <f>YEAR(source[[#This Row],[report_date]])</f>
        <v>2026</v>
      </c>
      <c r="C12088" s="128">
        <f t="shared" si="566"/>
        <v>1</v>
      </c>
      <c r="D12088" s="136">
        <f t="shared" si="565"/>
        <v>3</v>
      </c>
      <c r="E12088" s="136">
        <f t="shared" si="567"/>
        <v>13</v>
      </c>
      <c r="F12088" s="137" t="s">
        <v>24</v>
      </c>
      <c r="G12088" s="128" t="str">
        <f>VLOOKUP(source[[#This Row],[lending_product_transform]],[3]Mapping!$B$4:$C$37,2,0)</f>
        <v>[Cake] - Cashloan</v>
      </c>
      <c r="H12088" s="128" t="str">
        <f>VLOOKUP(source[[#This Row],[lending_product_transform]],[3]Mapping!$B$3:$D$37,3,0)</f>
        <v>cashloan</v>
      </c>
      <c r="I12088" s="143">
        <v>819030000</v>
      </c>
    </row>
    <row r="12089" spans="1:9" x14ac:dyDescent="0.2">
      <c r="A12089" s="134">
        <v>46035</v>
      </c>
      <c r="B12089" s="135">
        <f>YEAR(source[[#This Row],[report_date]])</f>
        <v>2026</v>
      </c>
      <c r="C12089" s="128">
        <f t="shared" si="566"/>
        <v>1</v>
      </c>
      <c r="D12089" s="136">
        <f t="shared" si="565"/>
        <v>3</v>
      </c>
      <c r="E12089" s="136">
        <f t="shared" si="567"/>
        <v>13</v>
      </c>
      <c r="F12089" s="137" t="s">
        <v>24</v>
      </c>
      <c r="G12089" s="128" t="str">
        <f>VLOOKUP(source[[#This Row],[lending_product_transform]],[3]Mapping!$B$4:$C$37,2,0)</f>
        <v>[Cake] - Cashloan</v>
      </c>
      <c r="H12089" s="128" t="str">
        <f>VLOOKUP(source[[#This Row],[lending_product_transform]],[3]Mapping!$B$3:$D$37,3,0)</f>
        <v>cashloan</v>
      </c>
      <c r="I12089" s="143">
        <v>350136000</v>
      </c>
    </row>
    <row r="12090" spans="1:9" x14ac:dyDescent="0.2">
      <c r="A12090" s="134">
        <v>46035</v>
      </c>
      <c r="B12090" s="135">
        <f>YEAR(source[[#This Row],[report_date]])</f>
        <v>2026</v>
      </c>
      <c r="C12090" s="128">
        <f t="shared" si="566"/>
        <v>1</v>
      </c>
      <c r="D12090" s="136">
        <f t="shared" si="565"/>
        <v>3</v>
      </c>
      <c r="E12090" s="136">
        <f t="shared" si="567"/>
        <v>13</v>
      </c>
      <c r="F12090" s="137" t="s">
        <v>24</v>
      </c>
      <c r="G12090" s="128" t="str">
        <f>VLOOKUP(source[[#This Row],[lending_product_transform]],[3]Mapping!$B$4:$C$37,2,0)</f>
        <v>[Cake] - Cashloan</v>
      </c>
      <c r="H12090" s="128" t="str">
        <f>VLOOKUP(source[[#This Row],[lending_product_transform]],[3]Mapping!$B$3:$D$37,3,0)</f>
        <v>cashloan</v>
      </c>
      <c r="I12090" s="143">
        <v>316939614</v>
      </c>
    </row>
    <row r="12091" spans="1:9" x14ac:dyDescent="0.2">
      <c r="A12091" s="134">
        <v>46035</v>
      </c>
      <c r="B12091" s="135">
        <f>YEAR(source[[#This Row],[report_date]])</f>
        <v>2026</v>
      </c>
      <c r="C12091" s="128">
        <f t="shared" si="566"/>
        <v>1</v>
      </c>
      <c r="D12091" s="136">
        <f t="shared" si="565"/>
        <v>3</v>
      </c>
      <c r="E12091" s="136">
        <f t="shared" si="567"/>
        <v>13</v>
      </c>
      <c r="F12091" s="137" t="s">
        <v>24</v>
      </c>
      <c r="G12091" s="128" t="str">
        <f>VLOOKUP(source[[#This Row],[lending_product_transform]],[3]Mapping!$B$4:$C$37,2,0)</f>
        <v>[Cake] - Cashloan</v>
      </c>
      <c r="H12091" s="128" t="str">
        <f>VLOOKUP(source[[#This Row],[lending_product_transform]],[3]Mapping!$B$3:$D$37,3,0)</f>
        <v>cashloan</v>
      </c>
      <c r="I12091" s="143">
        <v>3638570000</v>
      </c>
    </row>
    <row r="12092" spans="1:9" x14ac:dyDescent="0.2">
      <c r="A12092" s="134">
        <v>46035</v>
      </c>
      <c r="B12092" s="135">
        <f>YEAR(source[[#This Row],[report_date]])</f>
        <v>2026</v>
      </c>
      <c r="C12092" s="128">
        <f t="shared" si="566"/>
        <v>1</v>
      </c>
      <c r="D12092" s="136">
        <f t="shared" si="565"/>
        <v>3</v>
      </c>
      <c r="E12092" s="136">
        <f t="shared" si="567"/>
        <v>13</v>
      </c>
      <c r="F12092" s="137" t="s">
        <v>24</v>
      </c>
      <c r="G12092" s="128" t="str">
        <f>VLOOKUP(source[[#This Row],[lending_product_transform]],[3]Mapping!$B$4:$C$37,2,0)</f>
        <v>[Cake] - Cashloan</v>
      </c>
      <c r="H12092" s="128" t="str">
        <f>VLOOKUP(source[[#This Row],[lending_product_transform]],[3]Mapping!$B$3:$D$37,3,0)</f>
        <v>cashloan</v>
      </c>
      <c r="I12092" s="143">
        <v>0</v>
      </c>
    </row>
    <row r="12093" spans="1:9" x14ac:dyDescent="0.2">
      <c r="A12093" s="134">
        <v>46036</v>
      </c>
      <c r="B12093" s="135">
        <f>YEAR(source[[#This Row],[report_date]])</f>
        <v>2026</v>
      </c>
      <c r="C12093" s="128">
        <f t="shared" si="566"/>
        <v>1</v>
      </c>
      <c r="D12093" s="136">
        <f t="shared" si="565"/>
        <v>3</v>
      </c>
      <c r="E12093" s="136">
        <f t="shared" si="567"/>
        <v>14</v>
      </c>
      <c r="F12093" s="137" t="s">
        <v>24</v>
      </c>
      <c r="G12093" s="128" t="str">
        <f>VLOOKUP(source[[#This Row],[lending_product_transform]],[3]Mapping!$B$4:$C$37,2,0)</f>
        <v>[Cake] - Cashloan</v>
      </c>
      <c r="H12093" s="128" t="str">
        <f>VLOOKUP(source[[#This Row],[lending_product_transform]],[3]Mapping!$B$3:$D$37,3,0)</f>
        <v>cashloan</v>
      </c>
      <c r="I12093" s="143">
        <v>859150000</v>
      </c>
    </row>
    <row r="12094" spans="1:9" x14ac:dyDescent="0.2">
      <c r="A12094" s="134">
        <v>46036</v>
      </c>
      <c r="B12094" s="135">
        <f>YEAR(source[[#This Row],[report_date]])</f>
        <v>2026</v>
      </c>
      <c r="C12094" s="128">
        <f t="shared" si="566"/>
        <v>1</v>
      </c>
      <c r="D12094" s="136">
        <f t="shared" si="565"/>
        <v>3</v>
      </c>
      <c r="E12094" s="136">
        <f t="shared" si="567"/>
        <v>14</v>
      </c>
      <c r="F12094" s="137" t="s">
        <v>24</v>
      </c>
      <c r="G12094" s="128" t="str">
        <f>VLOOKUP(source[[#This Row],[lending_product_transform]],[3]Mapping!$B$4:$C$37,2,0)</f>
        <v>[Cake] - Cashloan</v>
      </c>
      <c r="H12094" s="128" t="str">
        <f>VLOOKUP(source[[#This Row],[lending_product_transform]],[3]Mapping!$B$3:$D$37,3,0)</f>
        <v>cashloan</v>
      </c>
      <c r="I12094" s="143">
        <v>297146838</v>
      </c>
    </row>
    <row r="12095" spans="1:9" x14ac:dyDescent="0.2">
      <c r="A12095" s="134">
        <v>46036</v>
      </c>
      <c r="B12095" s="135">
        <f>YEAR(source[[#This Row],[report_date]])</f>
        <v>2026</v>
      </c>
      <c r="C12095" s="128">
        <f t="shared" si="566"/>
        <v>1</v>
      </c>
      <c r="D12095" s="136">
        <f t="shared" si="565"/>
        <v>3</v>
      </c>
      <c r="E12095" s="136">
        <f t="shared" si="567"/>
        <v>14</v>
      </c>
      <c r="F12095" s="137" t="s">
        <v>24</v>
      </c>
      <c r="G12095" s="128" t="str">
        <f>VLOOKUP(source[[#This Row],[lending_product_transform]],[3]Mapping!$B$4:$C$37,2,0)</f>
        <v>[Cake] - Cashloan</v>
      </c>
      <c r="H12095" s="128" t="str">
        <f>VLOOKUP(source[[#This Row],[lending_product_transform]],[3]Mapping!$B$3:$D$37,3,0)</f>
        <v>cashloan</v>
      </c>
      <c r="I12095" s="143">
        <v>16768100000</v>
      </c>
    </row>
    <row r="12096" spans="1:9" x14ac:dyDescent="0.2">
      <c r="A12096" s="134">
        <v>46036</v>
      </c>
      <c r="B12096" s="135">
        <f>YEAR(source[[#This Row],[report_date]])</f>
        <v>2026</v>
      </c>
      <c r="C12096" s="128">
        <f t="shared" si="566"/>
        <v>1</v>
      </c>
      <c r="D12096" s="136">
        <f t="shared" si="565"/>
        <v>3</v>
      </c>
      <c r="E12096" s="136">
        <f t="shared" si="567"/>
        <v>14</v>
      </c>
      <c r="F12096" s="137" t="s">
        <v>24</v>
      </c>
      <c r="G12096" s="128" t="str">
        <f>VLOOKUP(source[[#This Row],[lending_product_transform]],[3]Mapping!$B$4:$C$37,2,0)</f>
        <v>[Cake] - Cashloan</v>
      </c>
      <c r="H12096" s="128" t="str">
        <f>VLOOKUP(source[[#This Row],[lending_product_transform]],[3]Mapping!$B$3:$D$37,3,0)</f>
        <v>cashloan</v>
      </c>
      <c r="I12096" s="143">
        <v>1884180636</v>
      </c>
    </row>
    <row r="12097" spans="1:9" x14ac:dyDescent="0.2">
      <c r="A12097" s="134">
        <v>46036</v>
      </c>
      <c r="B12097" s="135">
        <f>YEAR(source[[#This Row],[report_date]])</f>
        <v>2026</v>
      </c>
      <c r="C12097" s="128">
        <f t="shared" si="566"/>
        <v>1</v>
      </c>
      <c r="D12097" s="136">
        <f t="shared" si="565"/>
        <v>3</v>
      </c>
      <c r="E12097" s="136">
        <f t="shared" si="567"/>
        <v>14</v>
      </c>
      <c r="F12097" s="137" t="s">
        <v>24</v>
      </c>
      <c r="G12097" s="128" t="str">
        <f>VLOOKUP(source[[#This Row],[lending_product_transform]],[3]Mapping!$B$4:$C$37,2,0)</f>
        <v>[Cake] - Cashloan</v>
      </c>
      <c r="H12097" s="128" t="str">
        <f>VLOOKUP(source[[#This Row],[lending_product_transform]],[3]Mapping!$B$3:$D$37,3,0)</f>
        <v>cashloan</v>
      </c>
      <c r="I12097" s="143">
        <v>15209532000</v>
      </c>
    </row>
    <row r="12098" spans="1:9" x14ac:dyDescent="0.2">
      <c r="A12098" s="134">
        <v>46036</v>
      </c>
      <c r="B12098" s="135">
        <f>YEAR(source[[#This Row],[report_date]])</f>
        <v>2026</v>
      </c>
      <c r="C12098" s="128">
        <f t="shared" si="566"/>
        <v>1</v>
      </c>
      <c r="D12098" s="136">
        <f t="shared" si="565"/>
        <v>3</v>
      </c>
      <c r="E12098" s="136">
        <f t="shared" si="567"/>
        <v>14</v>
      </c>
      <c r="F12098" s="137" t="s">
        <v>24</v>
      </c>
      <c r="G12098" s="128" t="str">
        <f>VLOOKUP(source[[#This Row],[lending_product_transform]],[3]Mapping!$B$4:$C$37,2,0)</f>
        <v>[Cake] - Cashloan</v>
      </c>
      <c r="H12098" s="128" t="str">
        <f>VLOOKUP(source[[#This Row],[lending_product_transform]],[3]Mapping!$B$3:$D$37,3,0)</f>
        <v>cashloan</v>
      </c>
      <c r="I12098" s="143">
        <v>18555585</v>
      </c>
    </row>
    <row r="12099" spans="1:9" x14ac:dyDescent="0.2">
      <c r="A12099" s="134">
        <v>46036</v>
      </c>
      <c r="B12099" s="135">
        <f>YEAR(source[[#This Row],[report_date]])</f>
        <v>2026</v>
      </c>
      <c r="C12099" s="128">
        <f t="shared" si="566"/>
        <v>1</v>
      </c>
      <c r="D12099" s="136">
        <f t="shared" si="565"/>
        <v>3</v>
      </c>
      <c r="E12099" s="136">
        <f t="shared" si="567"/>
        <v>14</v>
      </c>
      <c r="F12099" s="137" t="s">
        <v>24</v>
      </c>
      <c r="G12099" s="128" t="str">
        <f>VLOOKUP(source[[#This Row],[lending_product_transform]],[3]Mapping!$B$4:$C$37,2,0)</f>
        <v>[Cake] - Cashloan</v>
      </c>
      <c r="H12099" s="128" t="str">
        <f>VLOOKUP(source[[#This Row],[lending_product_transform]],[3]Mapping!$B$3:$D$37,3,0)</f>
        <v>cashloan</v>
      </c>
      <c r="I12099" s="143">
        <v>90000000</v>
      </c>
    </row>
    <row r="12100" spans="1:9" x14ac:dyDescent="0.2">
      <c r="A12100" s="134">
        <v>46036</v>
      </c>
      <c r="B12100" s="135">
        <f>YEAR(source[[#This Row],[report_date]])</f>
        <v>2026</v>
      </c>
      <c r="C12100" s="128">
        <f t="shared" si="566"/>
        <v>1</v>
      </c>
      <c r="D12100" s="136">
        <f t="shared" si="565"/>
        <v>3</v>
      </c>
      <c r="E12100" s="136">
        <f t="shared" si="567"/>
        <v>14</v>
      </c>
      <c r="F12100" s="137" t="s">
        <v>24</v>
      </c>
      <c r="G12100" s="128" t="str">
        <f>VLOOKUP(source[[#This Row],[lending_product_transform]],[3]Mapping!$B$4:$C$37,2,0)</f>
        <v>[Cake] - Cashloan</v>
      </c>
      <c r="H12100" s="128" t="str">
        <f>VLOOKUP(source[[#This Row],[lending_product_transform]],[3]Mapping!$B$3:$D$37,3,0)</f>
        <v>cashloan</v>
      </c>
      <c r="I12100" s="143">
        <v>4926400000</v>
      </c>
    </row>
    <row r="12101" spans="1:9" x14ac:dyDescent="0.2">
      <c r="A12101" s="134">
        <v>46036</v>
      </c>
      <c r="B12101" s="135">
        <f>YEAR(source[[#This Row],[report_date]])</f>
        <v>2026</v>
      </c>
      <c r="C12101" s="128">
        <f t="shared" si="566"/>
        <v>1</v>
      </c>
      <c r="D12101" s="136">
        <f t="shared" si="565"/>
        <v>3</v>
      </c>
      <c r="E12101" s="136">
        <f t="shared" si="567"/>
        <v>14</v>
      </c>
      <c r="F12101" s="137" t="s">
        <v>24</v>
      </c>
      <c r="G12101" s="128" t="str">
        <f>VLOOKUP(source[[#This Row],[lending_product_transform]],[3]Mapping!$B$4:$C$37,2,0)</f>
        <v>[Cake] - Cashloan</v>
      </c>
      <c r="H12101" s="128" t="str">
        <f>VLOOKUP(source[[#This Row],[lending_product_transform]],[3]Mapping!$B$3:$D$37,3,0)</f>
        <v>cashloan</v>
      </c>
      <c r="I12101" s="143">
        <v>806950000</v>
      </c>
    </row>
    <row r="12102" spans="1:9" x14ac:dyDescent="0.2">
      <c r="A12102" s="134">
        <v>46036</v>
      </c>
      <c r="B12102" s="135">
        <f>YEAR(source[[#This Row],[report_date]])</f>
        <v>2026</v>
      </c>
      <c r="C12102" s="128">
        <f t="shared" si="566"/>
        <v>1</v>
      </c>
      <c r="D12102" s="136">
        <f t="shared" si="565"/>
        <v>3</v>
      </c>
      <c r="E12102" s="136">
        <f t="shared" si="567"/>
        <v>14</v>
      </c>
      <c r="F12102" s="137" t="s">
        <v>24</v>
      </c>
      <c r="G12102" s="128" t="str">
        <f>VLOOKUP(source[[#This Row],[lending_product_transform]],[3]Mapping!$B$4:$C$37,2,0)</f>
        <v>[Cake] - Cashloan</v>
      </c>
      <c r="H12102" s="128" t="str">
        <f>VLOOKUP(source[[#This Row],[lending_product_transform]],[3]Mapping!$B$3:$D$37,3,0)</f>
        <v>cashloan</v>
      </c>
      <c r="I12102" s="143">
        <v>6735480</v>
      </c>
    </row>
    <row r="12103" spans="1:9" x14ac:dyDescent="0.2">
      <c r="A12103" s="134">
        <v>46036</v>
      </c>
      <c r="B12103" s="135">
        <f>YEAR(source[[#This Row],[report_date]])</f>
        <v>2026</v>
      </c>
      <c r="C12103" s="128">
        <f t="shared" si="566"/>
        <v>1</v>
      </c>
      <c r="D12103" s="136">
        <f t="shared" si="565"/>
        <v>3</v>
      </c>
      <c r="E12103" s="136">
        <f t="shared" si="567"/>
        <v>14</v>
      </c>
      <c r="F12103" s="137" t="s">
        <v>24</v>
      </c>
      <c r="G12103" s="128" t="str">
        <f>VLOOKUP(source[[#This Row],[lending_product_transform]],[3]Mapping!$B$4:$C$37,2,0)</f>
        <v>[Cake] - Cashloan</v>
      </c>
      <c r="H12103" s="128" t="str">
        <f>VLOOKUP(source[[#This Row],[lending_product_transform]],[3]Mapping!$B$3:$D$37,3,0)</f>
        <v>cashloan</v>
      </c>
      <c r="I12103" s="143">
        <v>1263613834</v>
      </c>
    </row>
    <row r="12104" spans="1:9" x14ac:dyDescent="0.2">
      <c r="A12104" s="134">
        <v>46036</v>
      </c>
      <c r="B12104" s="135">
        <f>YEAR(source[[#This Row],[report_date]])</f>
        <v>2026</v>
      </c>
      <c r="C12104" s="128">
        <f t="shared" si="566"/>
        <v>1</v>
      </c>
      <c r="D12104" s="136">
        <f t="shared" si="565"/>
        <v>3</v>
      </c>
      <c r="E12104" s="136">
        <f t="shared" si="567"/>
        <v>14</v>
      </c>
      <c r="F12104" s="137" t="s">
        <v>24</v>
      </c>
      <c r="G12104" s="128" t="str">
        <f>VLOOKUP(source[[#This Row],[lending_product_transform]],[3]Mapping!$B$4:$C$37,2,0)</f>
        <v>[Cake] - Cashloan</v>
      </c>
      <c r="H12104" s="128" t="str">
        <f>VLOOKUP(source[[#This Row],[lending_product_transform]],[3]Mapping!$B$3:$D$37,3,0)</f>
        <v>cashloan</v>
      </c>
      <c r="I12104" s="143">
        <v>0</v>
      </c>
    </row>
    <row r="12105" spans="1:9" x14ac:dyDescent="0.2">
      <c r="A12105" s="134">
        <v>46036</v>
      </c>
      <c r="B12105" s="135">
        <f>YEAR(source[[#This Row],[report_date]])</f>
        <v>2026</v>
      </c>
      <c r="C12105" s="128">
        <f t="shared" si="566"/>
        <v>1</v>
      </c>
      <c r="D12105" s="136">
        <f t="shared" si="565"/>
        <v>3</v>
      </c>
      <c r="E12105" s="136">
        <f t="shared" si="567"/>
        <v>14</v>
      </c>
      <c r="F12105" s="137" t="s">
        <v>24</v>
      </c>
      <c r="G12105" s="128" t="str">
        <f>VLOOKUP(source[[#This Row],[lending_product_transform]],[3]Mapping!$B$4:$C$37,2,0)</f>
        <v>[Cake] - Cashloan</v>
      </c>
      <c r="H12105" s="128" t="str">
        <f>VLOOKUP(source[[#This Row],[lending_product_transform]],[3]Mapping!$B$3:$D$37,3,0)</f>
        <v>cashloan</v>
      </c>
      <c r="I12105" s="143">
        <v>52500000</v>
      </c>
    </row>
    <row r="12106" spans="1:9" x14ac:dyDescent="0.2">
      <c r="A12106" s="134">
        <v>46036</v>
      </c>
      <c r="B12106" s="135">
        <f>YEAR(source[[#This Row],[report_date]])</f>
        <v>2026</v>
      </c>
      <c r="C12106" s="128">
        <f t="shared" si="566"/>
        <v>1</v>
      </c>
      <c r="D12106" s="136">
        <f t="shared" si="565"/>
        <v>3</v>
      </c>
      <c r="E12106" s="136">
        <f t="shared" si="567"/>
        <v>14</v>
      </c>
      <c r="F12106" s="137" t="s">
        <v>24</v>
      </c>
      <c r="G12106" s="128" t="str">
        <f>VLOOKUP(source[[#This Row],[lending_product_transform]],[3]Mapping!$B$4:$C$37,2,0)</f>
        <v>[Cake] - Cashloan</v>
      </c>
      <c r="H12106" s="128" t="str">
        <f>VLOOKUP(source[[#This Row],[lending_product_transform]],[3]Mapping!$B$3:$D$37,3,0)</f>
        <v>cashloan</v>
      </c>
      <c r="I12106" s="143">
        <v>0</v>
      </c>
    </row>
    <row r="12107" spans="1:9" x14ac:dyDescent="0.2">
      <c r="A12107" s="134">
        <v>46036</v>
      </c>
      <c r="B12107" s="135">
        <f>YEAR(source[[#This Row],[report_date]])</f>
        <v>2026</v>
      </c>
      <c r="C12107" s="128">
        <f t="shared" si="566"/>
        <v>1</v>
      </c>
      <c r="D12107" s="136">
        <f t="shared" si="565"/>
        <v>3</v>
      </c>
      <c r="E12107" s="136">
        <f t="shared" si="567"/>
        <v>14</v>
      </c>
      <c r="F12107" s="137" t="s">
        <v>24</v>
      </c>
      <c r="G12107" s="128" t="str">
        <f>VLOOKUP(source[[#This Row],[lending_product_transform]],[3]Mapping!$B$4:$C$37,2,0)</f>
        <v>[Cake] - Cashloan</v>
      </c>
      <c r="H12107" s="128" t="str">
        <f>VLOOKUP(source[[#This Row],[lending_product_transform]],[3]Mapping!$B$3:$D$37,3,0)</f>
        <v>cashloan</v>
      </c>
      <c r="I12107" s="143">
        <v>18837120000</v>
      </c>
    </row>
    <row r="12108" spans="1:9" x14ac:dyDescent="0.2">
      <c r="A12108" s="134">
        <v>46036</v>
      </c>
      <c r="B12108" s="135">
        <f>YEAR(source[[#This Row],[report_date]])</f>
        <v>2026</v>
      </c>
      <c r="C12108" s="128">
        <f t="shared" si="566"/>
        <v>1</v>
      </c>
      <c r="D12108" s="136">
        <f t="shared" si="565"/>
        <v>3</v>
      </c>
      <c r="E12108" s="136">
        <f t="shared" si="567"/>
        <v>14</v>
      </c>
      <c r="F12108" s="137" t="s">
        <v>24</v>
      </c>
      <c r="G12108" s="128" t="str">
        <f>VLOOKUP(source[[#This Row],[lending_product_transform]],[3]Mapping!$B$4:$C$37,2,0)</f>
        <v>[Cake] - Cashloan</v>
      </c>
      <c r="H12108" s="128" t="str">
        <f>VLOOKUP(source[[#This Row],[lending_product_transform]],[3]Mapping!$B$3:$D$37,3,0)</f>
        <v>cashloan</v>
      </c>
      <c r="I12108" s="143">
        <v>0</v>
      </c>
    </row>
    <row r="12109" spans="1:9" x14ac:dyDescent="0.2">
      <c r="A12109" s="134">
        <v>46036</v>
      </c>
      <c r="B12109" s="135">
        <f>YEAR(source[[#This Row],[report_date]])</f>
        <v>2026</v>
      </c>
      <c r="C12109" s="128">
        <f t="shared" si="566"/>
        <v>1</v>
      </c>
      <c r="D12109" s="136">
        <f t="shared" si="565"/>
        <v>3</v>
      </c>
      <c r="E12109" s="136">
        <f t="shared" si="567"/>
        <v>14</v>
      </c>
      <c r="F12109" s="137" t="s">
        <v>24</v>
      </c>
      <c r="G12109" s="128" t="str">
        <f>VLOOKUP(source[[#This Row],[lending_product_transform]],[3]Mapping!$B$4:$C$37,2,0)</f>
        <v>[Cake] - Cashloan</v>
      </c>
      <c r="H12109" s="128" t="str">
        <f>VLOOKUP(source[[#This Row],[lending_product_transform]],[3]Mapping!$B$3:$D$37,3,0)</f>
        <v>cashloan</v>
      </c>
      <c r="I12109" s="143">
        <v>0</v>
      </c>
    </row>
    <row r="12110" spans="1:9" x14ac:dyDescent="0.2">
      <c r="A12110" s="134">
        <v>46036</v>
      </c>
      <c r="B12110" s="135">
        <f>YEAR(source[[#This Row],[report_date]])</f>
        <v>2026</v>
      </c>
      <c r="C12110" s="128">
        <f t="shared" si="566"/>
        <v>1</v>
      </c>
      <c r="D12110" s="136">
        <f t="shared" si="565"/>
        <v>3</v>
      </c>
      <c r="E12110" s="136">
        <f t="shared" si="567"/>
        <v>14</v>
      </c>
      <c r="F12110" s="137" t="s">
        <v>24</v>
      </c>
      <c r="G12110" s="128" t="str">
        <f>VLOOKUP(source[[#This Row],[lending_product_transform]],[3]Mapping!$B$4:$C$37,2,0)</f>
        <v>[Cake] - Cashloan</v>
      </c>
      <c r="H12110" s="128" t="str">
        <f>VLOOKUP(source[[#This Row],[lending_product_transform]],[3]Mapping!$B$3:$D$37,3,0)</f>
        <v>cashloan</v>
      </c>
      <c r="I12110" s="143">
        <v>0</v>
      </c>
    </row>
    <row r="12111" spans="1:9" x14ac:dyDescent="0.2">
      <c r="A12111" s="134">
        <v>46036</v>
      </c>
      <c r="B12111" s="135">
        <f>YEAR(source[[#This Row],[report_date]])</f>
        <v>2026</v>
      </c>
      <c r="C12111" s="128">
        <f t="shared" si="566"/>
        <v>1</v>
      </c>
      <c r="D12111" s="136">
        <f t="shared" si="565"/>
        <v>3</v>
      </c>
      <c r="E12111" s="136">
        <f t="shared" si="567"/>
        <v>14</v>
      </c>
      <c r="F12111" s="137" t="s">
        <v>24</v>
      </c>
      <c r="G12111" s="128" t="str">
        <f>VLOOKUP(source[[#This Row],[lending_product_transform]],[3]Mapping!$B$4:$C$37,2,0)</f>
        <v>[Cake] - Cashloan</v>
      </c>
      <c r="H12111" s="128" t="str">
        <f>VLOOKUP(source[[#This Row],[lending_product_transform]],[3]Mapping!$B$3:$D$37,3,0)</f>
        <v>cashloan</v>
      </c>
      <c r="I12111" s="143">
        <v>0</v>
      </c>
    </row>
    <row r="12112" spans="1:9" x14ac:dyDescent="0.2">
      <c r="A12112" s="134">
        <v>46036</v>
      </c>
      <c r="B12112" s="135">
        <f>YEAR(source[[#This Row],[report_date]])</f>
        <v>2026</v>
      </c>
      <c r="C12112" s="128">
        <f t="shared" si="566"/>
        <v>1</v>
      </c>
      <c r="D12112" s="136">
        <f t="shared" si="565"/>
        <v>3</v>
      </c>
      <c r="E12112" s="136">
        <f t="shared" si="567"/>
        <v>14</v>
      </c>
      <c r="F12112" s="137" t="s">
        <v>24</v>
      </c>
      <c r="G12112" s="128" t="str">
        <f>VLOOKUP(source[[#This Row],[lending_product_transform]],[3]Mapping!$B$4:$C$37,2,0)</f>
        <v>[Cake] - Cashloan</v>
      </c>
      <c r="H12112" s="128" t="str">
        <f>VLOOKUP(source[[#This Row],[lending_product_transform]],[3]Mapping!$B$3:$D$37,3,0)</f>
        <v>cashloan</v>
      </c>
      <c r="I12112" s="143">
        <v>12286512000</v>
      </c>
    </row>
    <row r="12113" spans="1:9" x14ac:dyDescent="0.2">
      <c r="A12113" s="134">
        <v>46036</v>
      </c>
      <c r="B12113" s="135">
        <f>YEAR(source[[#This Row],[report_date]])</f>
        <v>2026</v>
      </c>
      <c r="C12113" s="128">
        <f t="shared" si="566"/>
        <v>1</v>
      </c>
      <c r="D12113" s="136">
        <f t="shared" ref="D12113:D12176" si="568">WEEKNUM(A12113,2)</f>
        <v>3</v>
      </c>
      <c r="E12113" s="136">
        <f t="shared" si="567"/>
        <v>14</v>
      </c>
      <c r="F12113" s="137" t="s">
        <v>24</v>
      </c>
      <c r="G12113" s="128" t="str">
        <f>VLOOKUP(source[[#This Row],[lending_product_transform]],[3]Mapping!$B$4:$C$37,2,0)</f>
        <v>[Cake] - Cashloan</v>
      </c>
      <c r="H12113" s="128" t="str">
        <f>VLOOKUP(source[[#This Row],[lending_product_transform]],[3]Mapping!$B$3:$D$37,3,0)</f>
        <v>cashloan</v>
      </c>
      <c r="I12113" s="143">
        <v>200499332</v>
      </c>
    </row>
    <row r="12114" spans="1:9" x14ac:dyDescent="0.2">
      <c r="A12114" s="134">
        <v>46036</v>
      </c>
      <c r="B12114" s="135">
        <f>YEAR(source[[#This Row],[report_date]])</f>
        <v>2026</v>
      </c>
      <c r="C12114" s="128">
        <f t="shared" si="566"/>
        <v>1</v>
      </c>
      <c r="D12114" s="136">
        <f t="shared" si="568"/>
        <v>3</v>
      </c>
      <c r="E12114" s="136">
        <f t="shared" si="567"/>
        <v>14</v>
      </c>
      <c r="F12114" s="137" t="s">
        <v>24</v>
      </c>
      <c r="G12114" s="128" t="str">
        <f>VLOOKUP(source[[#This Row],[lending_product_transform]],[3]Mapping!$B$4:$C$37,2,0)</f>
        <v>[Cake] - Cashloan</v>
      </c>
      <c r="H12114" s="128" t="str">
        <f>VLOOKUP(source[[#This Row],[lending_product_transform]],[3]Mapping!$B$3:$D$37,3,0)</f>
        <v>cashloan</v>
      </c>
      <c r="I12114" s="143">
        <v>0</v>
      </c>
    </row>
    <row r="12115" spans="1:9" x14ac:dyDescent="0.2">
      <c r="A12115" s="134">
        <v>46036</v>
      </c>
      <c r="B12115" s="135">
        <f>YEAR(source[[#This Row],[report_date]])</f>
        <v>2026</v>
      </c>
      <c r="C12115" s="128">
        <f t="shared" si="566"/>
        <v>1</v>
      </c>
      <c r="D12115" s="136">
        <f t="shared" si="568"/>
        <v>3</v>
      </c>
      <c r="E12115" s="136">
        <f t="shared" si="567"/>
        <v>14</v>
      </c>
      <c r="F12115" s="137" t="s">
        <v>24</v>
      </c>
      <c r="G12115" s="128" t="str">
        <f>VLOOKUP(source[[#This Row],[lending_product_transform]],[3]Mapping!$B$4:$C$37,2,0)</f>
        <v>[Cake] - Cashloan</v>
      </c>
      <c r="H12115" s="128" t="str">
        <f>VLOOKUP(source[[#This Row],[lending_product_transform]],[3]Mapping!$B$3:$D$37,3,0)</f>
        <v>cashloan</v>
      </c>
      <c r="I12115" s="143">
        <v>42000000</v>
      </c>
    </row>
    <row r="12116" spans="1:9" x14ac:dyDescent="0.2">
      <c r="A12116" s="134">
        <v>46036</v>
      </c>
      <c r="B12116" s="135">
        <f>YEAR(source[[#This Row],[report_date]])</f>
        <v>2026</v>
      </c>
      <c r="C12116" s="128">
        <f t="shared" si="566"/>
        <v>1</v>
      </c>
      <c r="D12116" s="136">
        <f t="shared" si="568"/>
        <v>3</v>
      </c>
      <c r="E12116" s="136">
        <f t="shared" si="567"/>
        <v>14</v>
      </c>
      <c r="F12116" s="137" t="s">
        <v>24</v>
      </c>
      <c r="G12116" s="128" t="str">
        <f>VLOOKUP(source[[#This Row],[lending_product_transform]],[3]Mapping!$B$4:$C$37,2,0)</f>
        <v>[Cake] - Cashloan</v>
      </c>
      <c r="H12116" s="128" t="str">
        <f>VLOOKUP(source[[#This Row],[lending_product_transform]],[3]Mapping!$B$3:$D$37,3,0)</f>
        <v>cashloan</v>
      </c>
      <c r="I12116" s="143">
        <v>950810000</v>
      </c>
    </row>
    <row r="12117" spans="1:9" x14ac:dyDescent="0.2">
      <c r="A12117" s="134">
        <v>46036</v>
      </c>
      <c r="B12117" s="135">
        <f>YEAR(source[[#This Row],[report_date]])</f>
        <v>2026</v>
      </c>
      <c r="C12117" s="128">
        <f t="shared" si="566"/>
        <v>1</v>
      </c>
      <c r="D12117" s="136">
        <f t="shared" si="568"/>
        <v>3</v>
      </c>
      <c r="E12117" s="136">
        <f t="shared" si="567"/>
        <v>14</v>
      </c>
      <c r="F12117" s="137" t="s">
        <v>24</v>
      </c>
      <c r="G12117" s="128" t="str">
        <f>VLOOKUP(source[[#This Row],[lending_product_transform]],[3]Mapping!$B$4:$C$37,2,0)</f>
        <v>[Cake] - Cashloan</v>
      </c>
      <c r="H12117" s="128" t="str">
        <f>VLOOKUP(source[[#This Row],[lending_product_transform]],[3]Mapping!$B$3:$D$37,3,0)</f>
        <v>cashloan</v>
      </c>
      <c r="I12117" s="143">
        <v>318168000</v>
      </c>
    </row>
    <row r="12118" spans="1:9" x14ac:dyDescent="0.2">
      <c r="A12118" s="134">
        <v>46036</v>
      </c>
      <c r="B12118" s="135">
        <f>YEAR(source[[#This Row],[report_date]])</f>
        <v>2026</v>
      </c>
      <c r="C12118" s="128">
        <f t="shared" si="566"/>
        <v>1</v>
      </c>
      <c r="D12118" s="136">
        <f t="shared" si="568"/>
        <v>3</v>
      </c>
      <c r="E12118" s="136">
        <f t="shared" si="567"/>
        <v>14</v>
      </c>
      <c r="F12118" s="137" t="s">
        <v>24</v>
      </c>
      <c r="G12118" s="128" t="str">
        <f>VLOOKUP(source[[#This Row],[lending_product_transform]],[3]Mapping!$B$4:$C$37,2,0)</f>
        <v>[Cake] - Cashloan</v>
      </c>
      <c r="H12118" s="128" t="str">
        <f>VLOOKUP(source[[#This Row],[lending_product_transform]],[3]Mapping!$B$3:$D$37,3,0)</f>
        <v>cashloan</v>
      </c>
      <c r="I12118" s="143">
        <v>289060098</v>
      </c>
    </row>
    <row r="12119" spans="1:9" x14ac:dyDescent="0.2">
      <c r="A12119" s="134">
        <v>46036</v>
      </c>
      <c r="B12119" s="135">
        <f>YEAR(source[[#This Row],[report_date]])</f>
        <v>2026</v>
      </c>
      <c r="C12119" s="128">
        <f t="shared" si="566"/>
        <v>1</v>
      </c>
      <c r="D12119" s="136">
        <f t="shared" si="568"/>
        <v>3</v>
      </c>
      <c r="E12119" s="136">
        <f t="shared" si="567"/>
        <v>14</v>
      </c>
      <c r="F12119" s="137" t="s">
        <v>24</v>
      </c>
      <c r="G12119" s="128" t="str">
        <f>VLOOKUP(source[[#This Row],[lending_product_transform]],[3]Mapping!$B$4:$C$37,2,0)</f>
        <v>[Cake] - Cashloan</v>
      </c>
      <c r="H12119" s="128" t="str">
        <f>VLOOKUP(source[[#This Row],[lending_product_transform]],[3]Mapping!$B$3:$D$37,3,0)</f>
        <v>cashloan</v>
      </c>
      <c r="I12119" s="143">
        <v>4926380000</v>
      </c>
    </row>
    <row r="12120" spans="1:9" x14ac:dyDescent="0.2">
      <c r="A12120" s="134">
        <v>46036</v>
      </c>
      <c r="B12120" s="135">
        <f>YEAR(source[[#This Row],[report_date]])</f>
        <v>2026</v>
      </c>
      <c r="C12120" s="128">
        <f t="shared" si="566"/>
        <v>1</v>
      </c>
      <c r="D12120" s="136">
        <f t="shared" si="568"/>
        <v>3</v>
      </c>
      <c r="E12120" s="136">
        <f t="shared" si="567"/>
        <v>14</v>
      </c>
      <c r="F12120" s="137" t="s">
        <v>24</v>
      </c>
      <c r="G12120" s="128" t="str">
        <f>VLOOKUP(source[[#This Row],[lending_product_transform]],[3]Mapping!$B$4:$C$37,2,0)</f>
        <v>[Cake] - Cashloan</v>
      </c>
      <c r="H12120" s="128" t="str">
        <f>VLOOKUP(source[[#This Row],[lending_product_transform]],[3]Mapping!$B$3:$D$37,3,0)</f>
        <v>cashloan</v>
      </c>
      <c r="I12120" s="143">
        <v>30680000</v>
      </c>
    </row>
    <row r="12121" spans="1:9" x14ac:dyDescent="0.2">
      <c r="A12121" s="134">
        <v>46037</v>
      </c>
      <c r="B12121" s="135">
        <f>YEAR(source[[#This Row],[report_date]])</f>
        <v>2026</v>
      </c>
      <c r="C12121" s="128">
        <f t="shared" si="566"/>
        <v>1</v>
      </c>
      <c r="D12121" s="136">
        <f t="shared" si="568"/>
        <v>3</v>
      </c>
      <c r="E12121" s="136">
        <f t="shared" si="567"/>
        <v>15</v>
      </c>
      <c r="F12121" s="137" t="s">
        <v>24</v>
      </c>
      <c r="G12121" s="128" t="str">
        <f>VLOOKUP(source[[#This Row],[lending_product_transform]],[3]Mapping!$B$4:$C$37,2,0)</f>
        <v>[Cake] - Cashloan</v>
      </c>
      <c r="H12121" s="128" t="str">
        <f>VLOOKUP(source[[#This Row],[lending_product_transform]],[3]Mapping!$B$3:$D$37,3,0)</f>
        <v>cashloan</v>
      </c>
      <c r="I12121" s="143">
        <v>610700000</v>
      </c>
    </row>
    <row r="12122" spans="1:9" x14ac:dyDescent="0.2">
      <c r="A12122" s="134">
        <v>46037</v>
      </c>
      <c r="B12122" s="135">
        <f>YEAR(source[[#This Row],[report_date]])</f>
        <v>2026</v>
      </c>
      <c r="C12122" s="128">
        <f t="shared" si="566"/>
        <v>1</v>
      </c>
      <c r="D12122" s="136">
        <f t="shared" si="568"/>
        <v>3</v>
      </c>
      <c r="E12122" s="136">
        <f t="shared" si="567"/>
        <v>15</v>
      </c>
      <c r="F12122" s="137" t="s">
        <v>24</v>
      </c>
      <c r="G12122" s="128" t="str">
        <f>VLOOKUP(source[[#This Row],[lending_product_transform]],[3]Mapping!$B$4:$C$37,2,0)</f>
        <v>[Cake] - Cashloan</v>
      </c>
      <c r="H12122" s="128" t="str">
        <f>VLOOKUP(source[[#This Row],[lending_product_transform]],[3]Mapping!$B$3:$D$37,3,0)</f>
        <v>cashloan</v>
      </c>
      <c r="I12122" s="143">
        <v>327953693</v>
      </c>
    </row>
    <row r="12123" spans="1:9" x14ac:dyDescent="0.2">
      <c r="A12123" s="134">
        <v>46037</v>
      </c>
      <c r="B12123" s="135">
        <f>YEAR(source[[#This Row],[report_date]])</f>
        <v>2026</v>
      </c>
      <c r="C12123" s="128">
        <f t="shared" si="566"/>
        <v>1</v>
      </c>
      <c r="D12123" s="136">
        <f t="shared" si="568"/>
        <v>3</v>
      </c>
      <c r="E12123" s="136">
        <f t="shared" si="567"/>
        <v>15</v>
      </c>
      <c r="F12123" s="137" t="s">
        <v>24</v>
      </c>
      <c r="G12123" s="128" t="str">
        <f>VLOOKUP(source[[#This Row],[lending_product_transform]],[3]Mapping!$B$4:$C$37,2,0)</f>
        <v>[Cake] - Cashloan</v>
      </c>
      <c r="H12123" s="128" t="str">
        <f>VLOOKUP(source[[#This Row],[lending_product_transform]],[3]Mapping!$B$3:$D$37,3,0)</f>
        <v>cashloan</v>
      </c>
      <c r="I12123" s="143">
        <v>15094390000</v>
      </c>
    </row>
    <row r="12124" spans="1:9" x14ac:dyDescent="0.2">
      <c r="A12124" s="134">
        <v>46037</v>
      </c>
      <c r="B12124" s="135">
        <f>YEAR(source[[#This Row],[report_date]])</f>
        <v>2026</v>
      </c>
      <c r="C12124" s="128">
        <f t="shared" si="566"/>
        <v>1</v>
      </c>
      <c r="D12124" s="136">
        <f t="shared" si="568"/>
        <v>3</v>
      </c>
      <c r="E12124" s="136">
        <f t="shared" si="567"/>
        <v>15</v>
      </c>
      <c r="F12124" s="137" t="s">
        <v>24</v>
      </c>
      <c r="G12124" s="128" t="str">
        <f>VLOOKUP(source[[#This Row],[lending_product_transform]],[3]Mapping!$B$4:$C$37,2,0)</f>
        <v>[Cake] - Cashloan</v>
      </c>
      <c r="H12124" s="128" t="str">
        <f>VLOOKUP(source[[#This Row],[lending_product_transform]],[3]Mapping!$B$3:$D$37,3,0)</f>
        <v>cashloan</v>
      </c>
      <c r="I12124" s="143">
        <v>2143775393</v>
      </c>
    </row>
    <row r="12125" spans="1:9" x14ac:dyDescent="0.2">
      <c r="A12125" s="134">
        <v>46037</v>
      </c>
      <c r="B12125" s="135">
        <f>YEAR(source[[#This Row],[report_date]])</f>
        <v>2026</v>
      </c>
      <c r="C12125" s="128">
        <f t="shared" si="566"/>
        <v>1</v>
      </c>
      <c r="D12125" s="136">
        <f t="shared" si="568"/>
        <v>3</v>
      </c>
      <c r="E12125" s="136">
        <f t="shared" si="567"/>
        <v>15</v>
      </c>
      <c r="F12125" s="137" t="s">
        <v>24</v>
      </c>
      <c r="G12125" s="128" t="str">
        <f>VLOOKUP(source[[#This Row],[lending_product_transform]],[3]Mapping!$B$4:$C$37,2,0)</f>
        <v>[Cake] - Cashloan</v>
      </c>
      <c r="H12125" s="128" t="str">
        <f>VLOOKUP(source[[#This Row],[lending_product_transform]],[3]Mapping!$B$3:$D$37,3,0)</f>
        <v>cashloan</v>
      </c>
      <c r="I12125" s="143">
        <v>16901244000</v>
      </c>
    </row>
    <row r="12126" spans="1:9" x14ac:dyDescent="0.2">
      <c r="A12126" s="134">
        <v>46037</v>
      </c>
      <c r="B12126" s="135">
        <f>YEAR(source[[#This Row],[report_date]])</f>
        <v>2026</v>
      </c>
      <c r="C12126" s="128">
        <f t="shared" si="566"/>
        <v>1</v>
      </c>
      <c r="D12126" s="136">
        <f t="shared" si="568"/>
        <v>3</v>
      </c>
      <c r="E12126" s="136">
        <f t="shared" si="567"/>
        <v>15</v>
      </c>
      <c r="F12126" s="137" t="s">
        <v>24</v>
      </c>
      <c r="G12126" s="128" t="str">
        <f>VLOOKUP(source[[#This Row],[lending_product_transform]],[3]Mapping!$B$4:$C$37,2,0)</f>
        <v>[Cake] - Cashloan</v>
      </c>
      <c r="H12126" s="128" t="str">
        <f>VLOOKUP(source[[#This Row],[lending_product_transform]],[3]Mapping!$B$3:$D$37,3,0)</f>
        <v>cashloan</v>
      </c>
      <c r="I12126" s="143">
        <v>6420589</v>
      </c>
    </row>
    <row r="12127" spans="1:9" x14ac:dyDescent="0.2">
      <c r="A12127" s="134">
        <v>46037</v>
      </c>
      <c r="B12127" s="135">
        <f>YEAR(source[[#This Row],[report_date]])</f>
        <v>2026</v>
      </c>
      <c r="C12127" s="128">
        <f t="shared" si="566"/>
        <v>1</v>
      </c>
      <c r="D12127" s="136">
        <f t="shared" si="568"/>
        <v>3</v>
      </c>
      <c r="E12127" s="136">
        <f t="shared" si="567"/>
        <v>15</v>
      </c>
      <c r="F12127" s="137" t="s">
        <v>24</v>
      </c>
      <c r="G12127" s="128" t="str">
        <f>VLOOKUP(source[[#This Row],[lending_product_transform]],[3]Mapping!$B$4:$C$37,2,0)</f>
        <v>[Cake] - Cashloan</v>
      </c>
      <c r="H12127" s="128" t="str">
        <f>VLOOKUP(source[[#This Row],[lending_product_transform]],[3]Mapping!$B$3:$D$37,3,0)</f>
        <v>cashloan</v>
      </c>
      <c r="I12127" s="143">
        <v>90000000</v>
      </c>
    </row>
    <row r="12128" spans="1:9" x14ac:dyDescent="0.2">
      <c r="A12128" s="134">
        <v>46037</v>
      </c>
      <c r="B12128" s="135">
        <f>YEAR(source[[#This Row],[report_date]])</f>
        <v>2026</v>
      </c>
      <c r="C12128" s="128">
        <f t="shared" si="566"/>
        <v>1</v>
      </c>
      <c r="D12128" s="136">
        <f t="shared" si="568"/>
        <v>3</v>
      </c>
      <c r="E12128" s="136">
        <f t="shared" si="567"/>
        <v>15</v>
      </c>
      <c r="F12128" s="137" t="s">
        <v>24</v>
      </c>
      <c r="G12128" s="128" t="str">
        <f>VLOOKUP(source[[#This Row],[lending_product_transform]],[3]Mapping!$B$4:$C$37,2,0)</f>
        <v>[Cake] - Cashloan</v>
      </c>
      <c r="H12128" s="128" t="str">
        <f>VLOOKUP(source[[#This Row],[lending_product_transform]],[3]Mapping!$B$3:$D$37,3,0)</f>
        <v>cashloan</v>
      </c>
      <c r="I12128" s="143">
        <v>5129120000</v>
      </c>
    </row>
    <row r="12129" spans="1:9" x14ac:dyDescent="0.2">
      <c r="A12129" s="134">
        <v>46037</v>
      </c>
      <c r="B12129" s="135">
        <f>YEAR(source[[#This Row],[report_date]])</f>
        <v>2026</v>
      </c>
      <c r="C12129" s="128">
        <f t="shared" si="566"/>
        <v>1</v>
      </c>
      <c r="D12129" s="136">
        <f t="shared" si="568"/>
        <v>3</v>
      </c>
      <c r="E12129" s="136">
        <f t="shared" si="567"/>
        <v>15</v>
      </c>
      <c r="F12129" s="137" t="s">
        <v>24</v>
      </c>
      <c r="G12129" s="128" t="str">
        <f>VLOOKUP(source[[#This Row],[lending_product_transform]],[3]Mapping!$B$4:$C$37,2,0)</f>
        <v>[Cake] - Cashloan</v>
      </c>
      <c r="H12129" s="128" t="str">
        <f>VLOOKUP(source[[#This Row],[lending_product_transform]],[3]Mapping!$B$3:$D$37,3,0)</f>
        <v>cashloan</v>
      </c>
      <c r="I12129" s="143">
        <v>1194930000</v>
      </c>
    </row>
    <row r="12130" spans="1:9" x14ac:dyDescent="0.2">
      <c r="A12130" s="134">
        <v>46037</v>
      </c>
      <c r="B12130" s="135">
        <f>YEAR(source[[#This Row],[report_date]])</f>
        <v>2026</v>
      </c>
      <c r="C12130" s="128">
        <f t="shared" si="566"/>
        <v>1</v>
      </c>
      <c r="D12130" s="136">
        <f t="shared" si="568"/>
        <v>3</v>
      </c>
      <c r="E12130" s="136">
        <f t="shared" si="567"/>
        <v>15</v>
      </c>
      <c r="F12130" s="137" t="s">
        <v>24</v>
      </c>
      <c r="G12130" s="128" t="str">
        <f>VLOOKUP(source[[#This Row],[lending_product_transform]],[3]Mapping!$B$4:$C$37,2,0)</f>
        <v>[Cake] - Cashloan</v>
      </c>
      <c r="H12130" s="128" t="str">
        <f>VLOOKUP(source[[#This Row],[lending_product_transform]],[3]Mapping!$B$3:$D$37,3,0)</f>
        <v>cashloan</v>
      </c>
      <c r="I12130" s="143">
        <v>0</v>
      </c>
    </row>
    <row r="12131" spans="1:9" x14ac:dyDescent="0.2">
      <c r="A12131" s="134">
        <v>46037</v>
      </c>
      <c r="B12131" s="135">
        <f>YEAR(source[[#This Row],[report_date]])</f>
        <v>2026</v>
      </c>
      <c r="C12131" s="128">
        <f t="shared" si="566"/>
        <v>1</v>
      </c>
      <c r="D12131" s="136">
        <f t="shared" si="568"/>
        <v>3</v>
      </c>
      <c r="E12131" s="136">
        <f t="shared" si="567"/>
        <v>15</v>
      </c>
      <c r="F12131" s="137" t="s">
        <v>24</v>
      </c>
      <c r="G12131" s="128" t="str">
        <f>VLOOKUP(source[[#This Row],[lending_product_transform]],[3]Mapping!$B$4:$C$37,2,0)</f>
        <v>[Cake] - Cashloan</v>
      </c>
      <c r="H12131" s="128" t="str">
        <f>VLOOKUP(source[[#This Row],[lending_product_transform]],[3]Mapping!$B$3:$D$37,3,0)</f>
        <v>cashloan</v>
      </c>
      <c r="I12131" s="143">
        <v>1131964176</v>
      </c>
    </row>
    <row r="12132" spans="1:9" x14ac:dyDescent="0.2">
      <c r="A12132" s="134">
        <v>46037</v>
      </c>
      <c r="B12132" s="135">
        <f>YEAR(source[[#This Row],[report_date]])</f>
        <v>2026</v>
      </c>
      <c r="C12132" s="128">
        <f t="shared" si="566"/>
        <v>1</v>
      </c>
      <c r="D12132" s="136">
        <f t="shared" si="568"/>
        <v>3</v>
      </c>
      <c r="E12132" s="136">
        <f t="shared" si="567"/>
        <v>15</v>
      </c>
      <c r="F12132" s="137" t="s">
        <v>24</v>
      </c>
      <c r="G12132" s="128" t="str">
        <f>VLOOKUP(source[[#This Row],[lending_product_transform]],[3]Mapping!$B$4:$C$37,2,0)</f>
        <v>[Cake] - Cashloan</v>
      </c>
      <c r="H12132" s="128" t="str">
        <f>VLOOKUP(source[[#This Row],[lending_product_transform]],[3]Mapping!$B$3:$D$37,3,0)</f>
        <v>cashloan</v>
      </c>
      <c r="I12132" s="143">
        <v>0</v>
      </c>
    </row>
    <row r="12133" spans="1:9" x14ac:dyDescent="0.2">
      <c r="A12133" s="134">
        <v>46037</v>
      </c>
      <c r="B12133" s="135">
        <f>YEAR(source[[#This Row],[report_date]])</f>
        <v>2026</v>
      </c>
      <c r="C12133" s="128">
        <f t="shared" si="566"/>
        <v>1</v>
      </c>
      <c r="D12133" s="136">
        <f t="shared" si="568"/>
        <v>3</v>
      </c>
      <c r="E12133" s="136">
        <f t="shared" si="567"/>
        <v>15</v>
      </c>
      <c r="F12133" s="137" t="s">
        <v>24</v>
      </c>
      <c r="G12133" s="128" t="str">
        <f>VLOOKUP(source[[#This Row],[lending_product_transform]],[3]Mapping!$B$4:$C$37,2,0)</f>
        <v>[Cake] - Cashloan</v>
      </c>
      <c r="H12133" s="128" t="str">
        <f>VLOOKUP(source[[#This Row],[lending_product_transform]],[3]Mapping!$B$3:$D$37,3,0)</f>
        <v>cashloan</v>
      </c>
      <c r="I12133" s="143">
        <v>119250000</v>
      </c>
    </row>
    <row r="12134" spans="1:9" x14ac:dyDescent="0.2">
      <c r="A12134" s="134">
        <v>46037</v>
      </c>
      <c r="B12134" s="135">
        <f>YEAR(source[[#This Row],[report_date]])</f>
        <v>2026</v>
      </c>
      <c r="C12134" s="128">
        <f t="shared" si="566"/>
        <v>1</v>
      </c>
      <c r="D12134" s="136">
        <f t="shared" si="568"/>
        <v>3</v>
      </c>
      <c r="E12134" s="136">
        <f t="shared" si="567"/>
        <v>15</v>
      </c>
      <c r="F12134" s="137" t="s">
        <v>24</v>
      </c>
      <c r="G12134" s="128" t="str">
        <f>VLOOKUP(source[[#This Row],[lending_product_transform]],[3]Mapping!$B$4:$C$37,2,0)</f>
        <v>[Cake] - Cashloan</v>
      </c>
      <c r="H12134" s="128" t="str">
        <f>VLOOKUP(source[[#This Row],[lending_product_transform]],[3]Mapping!$B$3:$D$37,3,0)</f>
        <v>cashloan</v>
      </c>
      <c r="I12134" s="143">
        <v>0</v>
      </c>
    </row>
    <row r="12135" spans="1:9" x14ac:dyDescent="0.2">
      <c r="A12135" s="134">
        <v>46037</v>
      </c>
      <c r="B12135" s="135">
        <f>YEAR(source[[#This Row],[report_date]])</f>
        <v>2026</v>
      </c>
      <c r="C12135" s="128">
        <f t="shared" si="566"/>
        <v>1</v>
      </c>
      <c r="D12135" s="136">
        <f t="shared" si="568"/>
        <v>3</v>
      </c>
      <c r="E12135" s="136">
        <f t="shared" si="567"/>
        <v>15</v>
      </c>
      <c r="F12135" s="137" t="s">
        <v>24</v>
      </c>
      <c r="G12135" s="128" t="str">
        <f>VLOOKUP(source[[#This Row],[lending_product_transform]],[3]Mapping!$B$4:$C$37,2,0)</f>
        <v>[Cake] - Cashloan</v>
      </c>
      <c r="H12135" s="128" t="str">
        <f>VLOOKUP(source[[#This Row],[lending_product_transform]],[3]Mapping!$B$3:$D$37,3,0)</f>
        <v>cashloan</v>
      </c>
      <c r="I12135" s="143">
        <v>21379720000</v>
      </c>
    </row>
    <row r="12136" spans="1:9" x14ac:dyDescent="0.2">
      <c r="A12136" s="134">
        <v>46037</v>
      </c>
      <c r="B12136" s="135">
        <f>YEAR(source[[#This Row],[report_date]])</f>
        <v>2026</v>
      </c>
      <c r="C12136" s="128">
        <f t="shared" si="566"/>
        <v>1</v>
      </c>
      <c r="D12136" s="136">
        <f t="shared" si="568"/>
        <v>3</v>
      </c>
      <c r="E12136" s="136">
        <f t="shared" si="567"/>
        <v>15</v>
      </c>
      <c r="F12136" s="137" t="s">
        <v>24</v>
      </c>
      <c r="G12136" s="128" t="str">
        <f>VLOOKUP(source[[#This Row],[lending_product_transform]],[3]Mapping!$B$4:$C$37,2,0)</f>
        <v>[Cake] - Cashloan</v>
      </c>
      <c r="H12136" s="128" t="str">
        <f>VLOOKUP(source[[#This Row],[lending_product_transform]],[3]Mapping!$B$3:$D$37,3,0)</f>
        <v>cashloan</v>
      </c>
      <c r="I12136" s="143">
        <v>0</v>
      </c>
    </row>
    <row r="12137" spans="1:9" x14ac:dyDescent="0.2">
      <c r="A12137" s="134">
        <v>46037</v>
      </c>
      <c r="B12137" s="135">
        <f>YEAR(source[[#This Row],[report_date]])</f>
        <v>2026</v>
      </c>
      <c r="C12137" s="128">
        <f t="shared" si="566"/>
        <v>1</v>
      </c>
      <c r="D12137" s="136">
        <f t="shared" si="568"/>
        <v>3</v>
      </c>
      <c r="E12137" s="136">
        <f t="shared" si="567"/>
        <v>15</v>
      </c>
      <c r="F12137" s="137" t="s">
        <v>24</v>
      </c>
      <c r="G12137" s="128" t="str">
        <f>VLOOKUP(source[[#This Row],[lending_product_transform]],[3]Mapping!$B$4:$C$37,2,0)</f>
        <v>[Cake] - Cashloan</v>
      </c>
      <c r="H12137" s="128" t="str">
        <f>VLOOKUP(source[[#This Row],[lending_product_transform]],[3]Mapping!$B$3:$D$37,3,0)</f>
        <v>cashloan</v>
      </c>
      <c r="I12137" s="143">
        <v>0</v>
      </c>
    </row>
    <row r="12138" spans="1:9" x14ac:dyDescent="0.2">
      <c r="A12138" s="134">
        <v>46037</v>
      </c>
      <c r="B12138" s="135">
        <f>YEAR(source[[#This Row],[report_date]])</f>
        <v>2026</v>
      </c>
      <c r="C12138" s="128">
        <f t="shared" si="566"/>
        <v>1</v>
      </c>
      <c r="D12138" s="136">
        <f t="shared" si="568"/>
        <v>3</v>
      </c>
      <c r="E12138" s="136">
        <f t="shared" si="567"/>
        <v>15</v>
      </c>
      <c r="F12138" s="137" t="s">
        <v>24</v>
      </c>
      <c r="G12138" s="128" t="str">
        <f>VLOOKUP(source[[#This Row],[lending_product_transform]],[3]Mapping!$B$4:$C$37,2,0)</f>
        <v>[Cake] - Cashloan</v>
      </c>
      <c r="H12138" s="128" t="str">
        <f>VLOOKUP(source[[#This Row],[lending_product_transform]],[3]Mapping!$B$3:$D$37,3,0)</f>
        <v>cashloan</v>
      </c>
      <c r="I12138" s="143">
        <v>0</v>
      </c>
    </row>
    <row r="12139" spans="1:9" x14ac:dyDescent="0.2">
      <c r="A12139" s="134">
        <v>46037</v>
      </c>
      <c r="B12139" s="135">
        <f>YEAR(source[[#This Row],[report_date]])</f>
        <v>2026</v>
      </c>
      <c r="C12139" s="128">
        <f t="shared" si="566"/>
        <v>1</v>
      </c>
      <c r="D12139" s="136">
        <f t="shared" si="568"/>
        <v>3</v>
      </c>
      <c r="E12139" s="136">
        <f t="shared" si="567"/>
        <v>15</v>
      </c>
      <c r="F12139" s="137" t="s">
        <v>24</v>
      </c>
      <c r="G12139" s="128" t="str">
        <f>VLOOKUP(source[[#This Row],[lending_product_transform]],[3]Mapping!$B$4:$C$37,2,0)</f>
        <v>[Cake] - Cashloan</v>
      </c>
      <c r="H12139" s="128" t="str">
        <f>VLOOKUP(source[[#This Row],[lending_product_transform]],[3]Mapping!$B$3:$D$37,3,0)</f>
        <v>cashloan</v>
      </c>
      <c r="I12139" s="143">
        <v>5000000</v>
      </c>
    </row>
    <row r="12140" spans="1:9" x14ac:dyDescent="0.2">
      <c r="A12140" s="134">
        <v>46037</v>
      </c>
      <c r="B12140" s="135">
        <f>YEAR(source[[#This Row],[report_date]])</f>
        <v>2026</v>
      </c>
      <c r="C12140" s="128">
        <f t="shared" si="566"/>
        <v>1</v>
      </c>
      <c r="D12140" s="136">
        <f t="shared" si="568"/>
        <v>3</v>
      </c>
      <c r="E12140" s="136">
        <f t="shared" si="567"/>
        <v>15</v>
      </c>
      <c r="F12140" s="137" t="s">
        <v>24</v>
      </c>
      <c r="G12140" s="128" t="str">
        <f>VLOOKUP(source[[#This Row],[lending_product_transform]],[3]Mapping!$B$4:$C$37,2,0)</f>
        <v>[Cake] - Cashloan</v>
      </c>
      <c r="H12140" s="128" t="str">
        <f>VLOOKUP(source[[#This Row],[lending_product_transform]],[3]Mapping!$B$3:$D$37,3,0)</f>
        <v>cashloan</v>
      </c>
      <c r="I12140" s="143">
        <v>14965236000</v>
      </c>
    </row>
    <row r="12141" spans="1:9" x14ac:dyDescent="0.2">
      <c r="A12141" s="134">
        <v>46037</v>
      </c>
      <c r="B12141" s="135">
        <f>YEAR(source[[#This Row],[report_date]])</f>
        <v>2026</v>
      </c>
      <c r="C12141" s="128">
        <f t="shared" si="566"/>
        <v>1</v>
      </c>
      <c r="D12141" s="136">
        <f t="shared" si="568"/>
        <v>3</v>
      </c>
      <c r="E12141" s="136">
        <f t="shared" si="567"/>
        <v>15</v>
      </c>
      <c r="F12141" s="137" t="s">
        <v>24</v>
      </c>
      <c r="G12141" s="128" t="str">
        <f>VLOOKUP(source[[#This Row],[lending_product_transform]],[3]Mapping!$B$4:$C$37,2,0)</f>
        <v>[Cake] - Cashloan</v>
      </c>
      <c r="H12141" s="128" t="str">
        <f>VLOOKUP(source[[#This Row],[lending_product_transform]],[3]Mapping!$B$3:$D$37,3,0)</f>
        <v>cashloan</v>
      </c>
      <c r="I12141" s="143">
        <v>179063593</v>
      </c>
    </row>
    <row r="12142" spans="1:9" x14ac:dyDescent="0.2">
      <c r="A12142" s="134">
        <v>46037</v>
      </c>
      <c r="B12142" s="135">
        <f>YEAR(source[[#This Row],[report_date]])</f>
        <v>2026</v>
      </c>
      <c r="C12142" s="128">
        <f t="shared" si="566"/>
        <v>1</v>
      </c>
      <c r="D12142" s="136">
        <f t="shared" si="568"/>
        <v>3</v>
      </c>
      <c r="E12142" s="136">
        <f t="shared" si="567"/>
        <v>15</v>
      </c>
      <c r="F12142" s="137" t="s">
        <v>24</v>
      </c>
      <c r="G12142" s="128" t="str">
        <f>VLOOKUP(source[[#This Row],[lending_product_transform]],[3]Mapping!$B$4:$C$37,2,0)</f>
        <v>[Cake] - Cashloan</v>
      </c>
      <c r="H12142" s="128" t="str">
        <f>VLOOKUP(source[[#This Row],[lending_product_transform]],[3]Mapping!$B$3:$D$37,3,0)</f>
        <v>cashloan</v>
      </c>
      <c r="I12142" s="143">
        <v>0</v>
      </c>
    </row>
    <row r="12143" spans="1:9" x14ac:dyDescent="0.2">
      <c r="A12143" s="134">
        <v>46037</v>
      </c>
      <c r="B12143" s="135">
        <f>YEAR(source[[#This Row],[report_date]])</f>
        <v>2026</v>
      </c>
      <c r="C12143" s="128">
        <f t="shared" si="566"/>
        <v>1</v>
      </c>
      <c r="D12143" s="136">
        <f t="shared" si="568"/>
        <v>3</v>
      </c>
      <c r="E12143" s="136">
        <f t="shared" si="567"/>
        <v>15</v>
      </c>
      <c r="F12143" s="137" t="s">
        <v>24</v>
      </c>
      <c r="G12143" s="128" t="str">
        <f>VLOOKUP(source[[#This Row],[lending_product_transform]],[3]Mapping!$B$4:$C$37,2,0)</f>
        <v>[Cake] - Cashloan</v>
      </c>
      <c r="H12143" s="128" t="str">
        <f>VLOOKUP(source[[#This Row],[lending_product_transform]],[3]Mapping!$B$3:$D$37,3,0)</f>
        <v>cashloan</v>
      </c>
      <c r="I12143" s="143">
        <v>47000000</v>
      </c>
    </row>
    <row r="12144" spans="1:9" x14ac:dyDescent="0.2">
      <c r="A12144" s="134">
        <v>46037</v>
      </c>
      <c r="B12144" s="135">
        <f>YEAR(source[[#This Row],[report_date]])</f>
        <v>2026</v>
      </c>
      <c r="C12144" s="128">
        <f t="shared" si="566"/>
        <v>1</v>
      </c>
      <c r="D12144" s="136">
        <f t="shared" si="568"/>
        <v>3</v>
      </c>
      <c r="E12144" s="136">
        <f t="shared" si="567"/>
        <v>15</v>
      </c>
      <c r="F12144" s="137" t="s">
        <v>24</v>
      </c>
      <c r="G12144" s="128" t="str">
        <f>VLOOKUP(source[[#This Row],[lending_product_transform]],[3]Mapping!$B$4:$C$37,2,0)</f>
        <v>[Cake] - Cashloan</v>
      </c>
      <c r="H12144" s="128" t="str">
        <f>VLOOKUP(source[[#This Row],[lending_product_transform]],[3]Mapping!$B$3:$D$37,3,0)</f>
        <v>cashloan</v>
      </c>
      <c r="I12144" s="143">
        <v>779120000</v>
      </c>
    </row>
    <row r="12145" spans="1:9" x14ac:dyDescent="0.2">
      <c r="A12145" s="134">
        <v>46037</v>
      </c>
      <c r="B12145" s="135">
        <f>YEAR(source[[#This Row],[report_date]])</f>
        <v>2026</v>
      </c>
      <c r="C12145" s="128">
        <f t="shared" si="566"/>
        <v>1</v>
      </c>
      <c r="D12145" s="136">
        <f t="shared" si="568"/>
        <v>3</v>
      </c>
      <c r="E12145" s="136">
        <f t="shared" si="567"/>
        <v>15</v>
      </c>
      <c r="F12145" s="137" t="s">
        <v>24</v>
      </c>
      <c r="G12145" s="128" t="str">
        <f>VLOOKUP(source[[#This Row],[lending_product_transform]],[3]Mapping!$B$4:$C$37,2,0)</f>
        <v>[Cake] - Cashloan</v>
      </c>
      <c r="H12145" s="128" t="str">
        <f>VLOOKUP(source[[#This Row],[lending_product_transform]],[3]Mapping!$B$3:$D$37,3,0)</f>
        <v>cashloan</v>
      </c>
      <c r="I12145" s="143">
        <v>371628000</v>
      </c>
    </row>
    <row r="12146" spans="1:9" x14ac:dyDescent="0.2">
      <c r="A12146" s="134">
        <v>46037</v>
      </c>
      <c r="B12146" s="135">
        <f>YEAR(source[[#This Row],[report_date]])</f>
        <v>2026</v>
      </c>
      <c r="C12146" s="128">
        <f t="shared" si="566"/>
        <v>1</v>
      </c>
      <c r="D12146" s="136">
        <f t="shared" si="568"/>
        <v>3</v>
      </c>
      <c r="E12146" s="136">
        <f t="shared" si="567"/>
        <v>15</v>
      </c>
      <c r="F12146" s="137" t="s">
        <v>24</v>
      </c>
      <c r="G12146" s="128" t="str">
        <f>VLOOKUP(source[[#This Row],[lending_product_transform]],[3]Mapping!$B$4:$C$37,2,0)</f>
        <v>[Cake] - Cashloan</v>
      </c>
      <c r="H12146" s="128" t="str">
        <f>VLOOKUP(source[[#This Row],[lending_product_transform]],[3]Mapping!$B$3:$D$37,3,0)</f>
        <v>cashloan</v>
      </c>
      <c r="I12146" s="143">
        <v>331278991</v>
      </c>
    </row>
    <row r="12147" spans="1:9" x14ac:dyDescent="0.2">
      <c r="A12147" s="134">
        <v>46037</v>
      </c>
      <c r="B12147" s="135">
        <f>YEAR(source[[#This Row],[report_date]])</f>
        <v>2026</v>
      </c>
      <c r="C12147" s="128">
        <f t="shared" si="566"/>
        <v>1</v>
      </c>
      <c r="D12147" s="136">
        <f t="shared" si="568"/>
        <v>3</v>
      </c>
      <c r="E12147" s="136">
        <f t="shared" si="567"/>
        <v>15</v>
      </c>
      <c r="F12147" s="137" t="s">
        <v>24</v>
      </c>
      <c r="G12147" s="128" t="str">
        <f>VLOOKUP(source[[#This Row],[lending_product_transform]],[3]Mapping!$B$4:$C$37,2,0)</f>
        <v>[Cake] - Cashloan</v>
      </c>
      <c r="H12147" s="128" t="str">
        <f>VLOOKUP(source[[#This Row],[lending_product_transform]],[3]Mapping!$B$3:$D$37,3,0)</f>
        <v>cashloan</v>
      </c>
      <c r="I12147" s="143">
        <v>4472290000</v>
      </c>
    </row>
    <row r="12148" spans="1:9" x14ac:dyDescent="0.2">
      <c r="A12148" s="134">
        <v>46037</v>
      </c>
      <c r="B12148" s="135">
        <f>YEAR(source[[#This Row],[report_date]])</f>
        <v>2026</v>
      </c>
      <c r="C12148" s="128">
        <f t="shared" si="566"/>
        <v>1</v>
      </c>
      <c r="D12148" s="136">
        <f t="shared" si="568"/>
        <v>3</v>
      </c>
      <c r="E12148" s="136">
        <f t="shared" si="567"/>
        <v>15</v>
      </c>
      <c r="F12148" s="137" t="s">
        <v>24</v>
      </c>
      <c r="G12148" s="128" t="str">
        <f>VLOOKUP(source[[#This Row],[lending_product_transform]],[3]Mapping!$B$4:$C$37,2,0)</f>
        <v>[Cake] - Cashloan</v>
      </c>
      <c r="H12148" s="128" t="str">
        <f>VLOOKUP(source[[#This Row],[lending_product_transform]],[3]Mapping!$B$3:$D$37,3,0)</f>
        <v>cashloan</v>
      </c>
      <c r="I12148" s="143">
        <v>65400000</v>
      </c>
    </row>
    <row r="12149" spans="1:9" x14ac:dyDescent="0.2">
      <c r="A12149" s="134">
        <v>46038</v>
      </c>
      <c r="B12149" s="135">
        <f>YEAR(source[[#This Row],[report_date]])</f>
        <v>2026</v>
      </c>
      <c r="C12149" s="128">
        <f t="shared" si="566"/>
        <v>1</v>
      </c>
      <c r="D12149" s="136">
        <f t="shared" si="568"/>
        <v>3</v>
      </c>
      <c r="E12149" s="136">
        <f t="shared" si="567"/>
        <v>16</v>
      </c>
      <c r="F12149" s="137" t="s">
        <v>24</v>
      </c>
      <c r="G12149" s="128" t="str">
        <f>VLOOKUP(source[[#This Row],[lending_product_transform]],[3]Mapping!$B$4:$C$37,2,0)</f>
        <v>[Cake] - Cashloan</v>
      </c>
      <c r="H12149" s="128" t="str">
        <f>VLOOKUP(source[[#This Row],[lending_product_transform]],[3]Mapping!$B$3:$D$37,3,0)</f>
        <v>cashloan</v>
      </c>
      <c r="I12149" s="143">
        <v>556550000</v>
      </c>
    </row>
    <row r="12150" spans="1:9" x14ac:dyDescent="0.2">
      <c r="A12150" s="134">
        <v>46038</v>
      </c>
      <c r="B12150" s="135">
        <f>YEAR(source[[#This Row],[report_date]])</f>
        <v>2026</v>
      </c>
      <c r="C12150" s="128">
        <f t="shared" ref="C12150:C12213" si="569">MONTH(A12150)</f>
        <v>1</v>
      </c>
      <c r="D12150" s="136">
        <f t="shared" si="568"/>
        <v>3</v>
      </c>
      <c r="E12150" s="136">
        <f t="shared" ref="E12150:E12213" si="570">DAY(A12150)</f>
        <v>16</v>
      </c>
      <c r="F12150" s="137" t="s">
        <v>24</v>
      </c>
      <c r="G12150" s="128" t="str">
        <f>VLOOKUP(source[[#This Row],[lending_product_transform]],[3]Mapping!$B$4:$C$37,2,0)</f>
        <v>[Cake] - Cashloan</v>
      </c>
      <c r="H12150" s="128" t="str">
        <f>VLOOKUP(source[[#This Row],[lending_product_transform]],[3]Mapping!$B$3:$D$37,3,0)</f>
        <v>cashloan</v>
      </c>
      <c r="I12150" s="143">
        <v>314366274</v>
      </c>
    </row>
    <row r="12151" spans="1:9" x14ac:dyDescent="0.2">
      <c r="A12151" s="134">
        <v>46038</v>
      </c>
      <c r="B12151" s="135">
        <f>YEAR(source[[#This Row],[report_date]])</f>
        <v>2026</v>
      </c>
      <c r="C12151" s="128">
        <f t="shared" si="569"/>
        <v>1</v>
      </c>
      <c r="D12151" s="136">
        <f t="shared" si="568"/>
        <v>3</v>
      </c>
      <c r="E12151" s="136">
        <f t="shared" si="570"/>
        <v>16</v>
      </c>
      <c r="F12151" s="137" t="s">
        <v>24</v>
      </c>
      <c r="G12151" s="128" t="str">
        <f>VLOOKUP(source[[#This Row],[lending_product_transform]],[3]Mapping!$B$4:$C$37,2,0)</f>
        <v>[Cake] - Cashloan</v>
      </c>
      <c r="H12151" s="128" t="str">
        <f>VLOOKUP(source[[#This Row],[lending_product_transform]],[3]Mapping!$B$3:$D$37,3,0)</f>
        <v>cashloan</v>
      </c>
      <c r="I12151" s="143">
        <v>14388060000</v>
      </c>
    </row>
    <row r="12152" spans="1:9" x14ac:dyDescent="0.2">
      <c r="A12152" s="134">
        <v>46038</v>
      </c>
      <c r="B12152" s="135">
        <f>YEAR(source[[#This Row],[report_date]])</f>
        <v>2026</v>
      </c>
      <c r="C12152" s="128">
        <f t="shared" si="569"/>
        <v>1</v>
      </c>
      <c r="D12152" s="136">
        <f t="shared" si="568"/>
        <v>3</v>
      </c>
      <c r="E12152" s="136">
        <f t="shared" si="570"/>
        <v>16</v>
      </c>
      <c r="F12152" s="137" t="s">
        <v>24</v>
      </c>
      <c r="G12152" s="128" t="str">
        <f>VLOOKUP(source[[#This Row],[lending_product_transform]],[3]Mapping!$B$4:$C$37,2,0)</f>
        <v>[Cake] - Cashloan</v>
      </c>
      <c r="H12152" s="128" t="str">
        <f>VLOOKUP(source[[#This Row],[lending_product_transform]],[3]Mapping!$B$3:$D$37,3,0)</f>
        <v>cashloan</v>
      </c>
      <c r="I12152" s="143">
        <v>1920746675</v>
      </c>
    </row>
    <row r="12153" spans="1:9" x14ac:dyDescent="0.2">
      <c r="A12153" s="134">
        <v>46038</v>
      </c>
      <c r="B12153" s="135">
        <f>YEAR(source[[#This Row],[report_date]])</f>
        <v>2026</v>
      </c>
      <c r="C12153" s="128">
        <f t="shared" si="569"/>
        <v>1</v>
      </c>
      <c r="D12153" s="136">
        <f t="shared" si="568"/>
        <v>3</v>
      </c>
      <c r="E12153" s="136">
        <f t="shared" si="570"/>
        <v>16</v>
      </c>
      <c r="F12153" s="137" t="s">
        <v>24</v>
      </c>
      <c r="G12153" s="128" t="str">
        <f>VLOOKUP(source[[#This Row],[lending_product_transform]],[3]Mapping!$B$4:$C$37,2,0)</f>
        <v>[Cake] - Cashloan</v>
      </c>
      <c r="H12153" s="128" t="str">
        <f>VLOOKUP(source[[#This Row],[lending_product_transform]],[3]Mapping!$B$3:$D$37,3,0)</f>
        <v>cashloan</v>
      </c>
      <c r="I12153" s="143">
        <v>15992100000</v>
      </c>
    </row>
    <row r="12154" spans="1:9" x14ac:dyDescent="0.2">
      <c r="A12154" s="134">
        <v>46038</v>
      </c>
      <c r="B12154" s="135">
        <f>YEAR(source[[#This Row],[report_date]])</f>
        <v>2026</v>
      </c>
      <c r="C12154" s="128">
        <f t="shared" si="569"/>
        <v>1</v>
      </c>
      <c r="D12154" s="136">
        <f t="shared" si="568"/>
        <v>3</v>
      </c>
      <c r="E12154" s="136">
        <f t="shared" si="570"/>
        <v>16</v>
      </c>
      <c r="F12154" s="137" t="s">
        <v>24</v>
      </c>
      <c r="G12154" s="128" t="str">
        <f>VLOOKUP(source[[#This Row],[lending_product_transform]],[3]Mapping!$B$4:$C$37,2,0)</f>
        <v>[Cake] - Cashloan</v>
      </c>
      <c r="H12154" s="128" t="str">
        <f>VLOOKUP(source[[#This Row],[lending_product_transform]],[3]Mapping!$B$3:$D$37,3,0)</f>
        <v>cashloan</v>
      </c>
      <c r="I12154" s="143">
        <v>3099595</v>
      </c>
    </row>
    <row r="12155" spans="1:9" x14ac:dyDescent="0.2">
      <c r="A12155" s="134">
        <v>46038</v>
      </c>
      <c r="B12155" s="135">
        <f>YEAR(source[[#This Row],[report_date]])</f>
        <v>2026</v>
      </c>
      <c r="C12155" s="128">
        <f t="shared" si="569"/>
        <v>1</v>
      </c>
      <c r="D12155" s="136">
        <f t="shared" si="568"/>
        <v>3</v>
      </c>
      <c r="E12155" s="136">
        <f t="shared" si="570"/>
        <v>16</v>
      </c>
      <c r="F12155" s="137" t="s">
        <v>24</v>
      </c>
      <c r="G12155" s="128" t="str">
        <f>VLOOKUP(source[[#This Row],[lending_product_transform]],[3]Mapping!$B$4:$C$37,2,0)</f>
        <v>[Cake] - Cashloan</v>
      </c>
      <c r="H12155" s="128" t="str">
        <f>VLOOKUP(source[[#This Row],[lending_product_transform]],[3]Mapping!$B$3:$D$37,3,0)</f>
        <v>cashloan</v>
      </c>
      <c r="I12155" s="143">
        <v>0</v>
      </c>
    </row>
    <row r="12156" spans="1:9" x14ac:dyDescent="0.2">
      <c r="A12156" s="134">
        <v>46038</v>
      </c>
      <c r="B12156" s="135">
        <f>YEAR(source[[#This Row],[report_date]])</f>
        <v>2026</v>
      </c>
      <c r="C12156" s="128">
        <f t="shared" si="569"/>
        <v>1</v>
      </c>
      <c r="D12156" s="136">
        <f t="shared" si="568"/>
        <v>3</v>
      </c>
      <c r="E12156" s="136">
        <f t="shared" si="570"/>
        <v>16</v>
      </c>
      <c r="F12156" s="137" t="s">
        <v>24</v>
      </c>
      <c r="G12156" s="128" t="str">
        <f>VLOOKUP(source[[#This Row],[lending_product_transform]],[3]Mapping!$B$4:$C$37,2,0)</f>
        <v>[Cake] - Cashloan</v>
      </c>
      <c r="H12156" s="128" t="str">
        <f>VLOOKUP(source[[#This Row],[lending_product_transform]],[3]Mapping!$B$3:$D$37,3,0)</f>
        <v>cashloan</v>
      </c>
      <c r="I12156" s="143">
        <v>5001780000</v>
      </c>
    </row>
    <row r="12157" spans="1:9" x14ac:dyDescent="0.2">
      <c r="A12157" s="134">
        <v>46038</v>
      </c>
      <c r="B12157" s="135">
        <f>YEAR(source[[#This Row],[report_date]])</f>
        <v>2026</v>
      </c>
      <c r="C12157" s="128">
        <f t="shared" si="569"/>
        <v>1</v>
      </c>
      <c r="D12157" s="136">
        <f t="shared" si="568"/>
        <v>3</v>
      </c>
      <c r="E12157" s="136">
        <f t="shared" si="570"/>
        <v>16</v>
      </c>
      <c r="F12157" s="137" t="s">
        <v>24</v>
      </c>
      <c r="G12157" s="128" t="str">
        <f>VLOOKUP(source[[#This Row],[lending_product_transform]],[3]Mapping!$B$4:$C$37,2,0)</f>
        <v>[Cake] - Cashloan</v>
      </c>
      <c r="H12157" s="128" t="str">
        <f>VLOOKUP(source[[#This Row],[lending_product_transform]],[3]Mapping!$B$3:$D$37,3,0)</f>
        <v>cashloan</v>
      </c>
      <c r="I12157" s="143">
        <v>1050880000</v>
      </c>
    </row>
    <row r="12158" spans="1:9" x14ac:dyDescent="0.2">
      <c r="A12158" s="134">
        <v>46038</v>
      </c>
      <c r="B12158" s="135">
        <f>YEAR(source[[#This Row],[report_date]])</f>
        <v>2026</v>
      </c>
      <c r="C12158" s="128">
        <f t="shared" si="569"/>
        <v>1</v>
      </c>
      <c r="D12158" s="136">
        <f t="shared" si="568"/>
        <v>3</v>
      </c>
      <c r="E12158" s="136">
        <f t="shared" si="570"/>
        <v>16</v>
      </c>
      <c r="F12158" s="137" t="s">
        <v>24</v>
      </c>
      <c r="G12158" s="128" t="str">
        <f>VLOOKUP(source[[#This Row],[lending_product_transform]],[3]Mapping!$B$4:$C$37,2,0)</f>
        <v>[Cake] - Cashloan</v>
      </c>
      <c r="H12158" s="128" t="str">
        <f>VLOOKUP(source[[#This Row],[lending_product_transform]],[3]Mapping!$B$3:$D$37,3,0)</f>
        <v>cashloan</v>
      </c>
      <c r="I12158" s="143">
        <v>27792265</v>
      </c>
    </row>
    <row r="12159" spans="1:9" x14ac:dyDescent="0.2">
      <c r="A12159" s="134">
        <v>46038</v>
      </c>
      <c r="B12159" s="135">
        <f>YEAR(source[[#This Row],[report_date]])</f>
        <v>2026</v>
      </c>
      <c r="C12159" s="128">
        <f t="shared" si="569"/>
        <v>1</v>
      </c>
      <c r="D12159" s="136">
        <f t="shared" si="568"/>
        <v>3</v>
      </c>
      <c r="E12159" s="136">
        <f t="shared" si="570"/>
        <v>16</v>
      </c>
      <c r="F12159" s="137" t="s">
        <v>24</v>
      </c>
      <c r="G12159" s="128" t="str">
        <f>VLOOKUP(source[[#This Row],[lending_product_transform]],[3]Mapping!$B$4:$C$37,2,0)</f>
        <v>[Cake] - Cashloan</v>
      </c>
      <c r="H12159" s="128" t="str">
        <f>VLOOKUP(source[[#This Row],[lending_product_transform]],[3]Mapping!$B$3:$D$37,3,0)</f>
        <v>cashloan</v>
      </c>
      <c r="I12159" s="143">
        <v>1266531980</v>
      </c>
    </row>
    <row r="12160" spans="1:9" x14ac:dyDescent="0.2">
      <c r="A12160" s="134">
        <v>46038</v>
      </c>
      <c r="B12160" s="135">
        <f>YEAR(source[[#This Row],[report_date]])</f>
        <v>2026</v>
      </c>
      <c r="C12160" s="128">
        <f t="shared" si="569"/>
        <v>1</v>
      </c>
      <c r="D12160" s="136">
        <f t="shared" si="568"/>
        <v>3</v>
      </c>
      <c r="E12160" s="136">
        <f t="shared" si="570"/>
        <v>16</v>
      </c>
      <c r="F12160" s="137" t="s">
        <v>24</v>
      </c>
      <c r="G12160" s="128" t="str">
        <f>VLOOKUP(source[[#This Row],[lending_product_transform]],[3]Mapping!$B$4:$C$37,2,0)</f>
        <v>[Cake] - Cashloan</v>
      </c>
      <c r="H12160" s="128" t="str">
        <f>VLOOKUP(source[[#This Row],[lending_product_transform]],[3]Mapping!$B$3:$D$37,3,0)</f>
        <v>cashloan</v>
      </c>
      <c r="I12160" s="143">
        <v>0</v>
      </c>
    </row>
    <row r="12161" spans="1:9" x14ac:dyDescent="0.2">
      <c r="A12161" s="134">
        <v>46038</v>
      </c>
      <c r="B12161" s="135">
        <f>YEAR(source[[#This Row],[report_date]])</f>
        <v>2026</v>
      </c>
      <c r="C12161" s="128">
        <f t="shared" si="569"/>
        <v>1</v>
      </c>
      <c r="D12161" s="136">
        <f t="shared" si="568"/>
        <v>3</v>
      </c>
      <c r="E12161" s="136">
        <f t="shared" si="570"/>
        <v>16</v>
      </c>
      <c r="F12161" s="137" t="s">
        <v>24</v>
      </c>
      <c r="G12161" s="128" t="str">
        <f>VLOOKUP(source[[#This Row],[lending_product_transform]],[3]Mapping!$B$4:$C$37,2,0)</f>
        <v>[Cake] - Cashloan</v>
      </c>
      <c r="H12161" s="128" t="str">
        <f>VLOOKUP(source[[#This Row],[lending_product_transform]],[3]Mapping!$B$3:$D$37,3,0)</f>
        <v>cashloan</v>
      </c>
      <c r="I12161" s="143">
        <v>171000000</v>
      </c>
    </row>
    <row r="12162" spans="1:9" x14ac:dyDescent="0.2">
      <c r="A12162" s="134">
        <v>46038</v>
      </c>
      <c r="B12162" s="135">
        <f>YEAR(source[[#This Row],[report_date]])</f>
        <v>2026</v>
      </c>
      <c r="C12162" s="128">
        <f t="shared" si="569"/>
        <v>1</v>
      </c>
      <c r="D12162" s="136">
        <f t="shared" si="568"/>
        <v>3</v>
      </c>
      <c r="E12162" s="136">
        <f t="shared" si="570"/>
        <v>16</v>
      </c>
      <c r="F12162" s="137" t="s">
        <v>24</v>
      </c>
      <c r="G12162" s="128" t="str">
        <f>VLOOKUP(source[[#This Row],[lending_product_transform]],[3]Mapping!$B$4:$C$37,2,0)</f>
        <v>[Cake] - Cashloan</v>
      </c>
      <c r="H12162" s="128" t="str">
        <f>VLOOKUP(source[[#This Row],[lending_product_transform]],[3]Mapping!$B$3:$D$37,3,0)</f>
        <v>cashloan</v>
      </c>
      <c r="I12162" s="143">
        <v>92700000</v>
      </c>
    </row>
    <row r="12163" spans="1:9" x14ac:dyDescent="0.2">
      <c r="A12163" s="134">
        <v>46038</v>
      </c>
      <c r="B12163" s="135">
        <f>YEAR(source[[#This Row],[report_date]])</f>
        <v>2026</v>
      </c>
      <c r="C12163" s="128">
        <f t="shared" si="569"/>
        <v>1</v>
      </c>
      <c r="D12163" s="136">
        <f t="shared" si="568"/>
        <v>3</v>
      </c>
      <c r="E12163" s="136">
        <f t="shared" si="570"/>
        <v>16</v>
      </c>
      <c r="F12163" s="137" t="s">
        <v>24</v>
      </c>
      <c r="G12163" s="128" t="str">
        <f>VLOOKUP(source[[#This Row],[lending_product_transform]],[3]Mapping!$B$4:$C$37,2,0)</f>
        <v>[Cake] - Cashloan</v>
      </c>
      <c r="H12163" s="128" t="str">
        <f>VLOOKUP(source[[#This Row],[lending_product_transform]],[3]Mapping!$B$3:$D$37,3,0)</f>
        <v>cashloan</v>
      </c>
      <c r="I12163" s="143">
        <v>17466520000</v>
      </c>
    </row>
    <row r="12164" spans="1:9" x14ac:dyDescent="0.2">
      <c r="A12164" s="134">
        <v>46038</v>
      </c>
      <c r="B12164" s="135">
        <f>YEAR(source[[#This Row],[report_date]])</f>
        <v>2026</v>
      </c>
      <c r="C12164" s="128">
        <f t="shared" si="569"/>
        <v>1</v>
      </c>
      <c r="D12164" s="136">
        <f t="shared" si="568"/>
        <v>3</v>
      </c>
      <c r="E12164" s="136">
        <f t="shared" si="570"/>
        <v>16</v>
      </c>
      <c r="F12164" s="137" t="s">
        <v>24</v>
      </c>
      <c r="G12164" s="128" t="str">
        <f>VLOOKUP(source[[#This Row],[lending_product_transform]],[3]Mapping!$B$4:$C$37,2,0)</f>
        <v>[Cake] - Cashloan</v>
      </c>
      <c r="H12164" s="128" t="str">
        <f>VLOOKUP(source[[#This Row],[lending_product_transform]],[3]Mapping!$B$3:$D$37,3,0)</f>
        <v>cashloan</v>
      </c>
      <c r="I12164" s="143">
        <v>0</v>
      </c>
    </row>
    <row r="12165" spans="1:9" x14ac:dyDescent="0.2">
      <c r="A12165" s="134">
        <v>46038</v>
      </c>
      <c r="B12165" s="135">
        <f>YEAR(source[[#This Row],[report_date]])</f>
        <v>2026</v>
      </c>
      <c r="C12165" s="128">
        <f t="shared" si="569"/>
        <v>1</v>
      </c>
      <c r="D12165" s="136">
        <f t="shared" si="568"/>
        <v>3</v>
      </c>
      <c r="E12165" s="136">
        <f t="shared" si="570"/>
        <v>16</v>
      </c>
      <c r="F12165" s="137" t="s">
        <v>24</v>
      </c>
      <c r="G12165" s="128" t="str">
        <f>VLOOKUP(source[[#This Row],[lending_product_transform]],[3]Mapping!$B$4:$C$37,2,0)</f>
        <v>[Cake] - Cashloan</v>
      </c>
      <c r="H12165" s="128" t="str">
        <f>VLOOKUP(source[[#This Row],[lending_product_transform]],[3]Mapping!$B$3:$D$37,3,0)</f>
        <v>cashloan</v>
      </c>
      <c r="I12165" s="143">
        <v>0</v>
      </c>
    </row>
    <row r="12166" spans="1:9" x14ac:dyDescent="0.2">
      <c r="A12166" s="134">
        <v>46038</v>
      </c>
      <c r="B12166" s="135">
        <f>YEAR(source[[#This Row],[report_date]])</f>
        <v>2026</v>
      </c>
      <c r="C12166" s="128">
        <f t="shared" si="569"/>
        <v>1</v>
      </c>
      <c r="D12166" s="136">
        <f t="shared" si="568"/>
        <v>3</v>
      </c>
      <c r="E12166" s="136">
        <f t="shared" si="570"/>
        <v>16</v>
      </c>
      <c r="F12166" s="137" t="s">
        <v>24</v>
      </c>
      <c r="G12166" s="128" t="str">
        <f>VLOOKUP(source[[#This Row],[lending_product_transform]],[3]Mapping!$B$4:$C$37,2,0)</f>
        <v>[Cake] - Cashloan</v>
      </c>
      <c r="H12166" s="128" t="str">
        <f>VLOOKUP(source[[#This Row],[lending_product_transform]],[3]Mapping!$B$3:$D$37,3,0)</f>
        <v>cashloan</v>
      </c>
      <c r="I12166" s="143">
        <v>0</v>
      </c>
    </row>
    <row r="12167" spans="1:9" x14ac:dyDescent="0.2">
      <c r="A12167" s="134">
        <v>46038</v>
      </c>
      <c r="B12167" s="135">
        <f>YEAR(source[[#This Row],[report_date]])</f>
        <v>2026</v>
      </c>
      <c r="C12167" s="128">
        <f t="shared" si="569"/>
        <v>1</v>
      </c>
      <c r="D12167" s="136">
        <f t="shared" si="568"/>
        <v>3</v>
      </c>
      <c r="E12167" s="136">
        <f t="shared" si="570"/>
        <v>16</v>
      </c>
      <c r="F12167" s="137" t="s">
        <v>24</v>
      </c>
      <c r="G12167" s="128" t="str">
        <f>VLOOKUP(source[[#This Row],[lending_product_transform]],[3]Mapping!$B$4:$C$37,2,0)</f>
        <v>[Cake] - Cashloan</v>
      </c>
      <c r="H12167" s="128" t="str">
        <f>VLOOKUP(source[[#This Row],[lending_product_transform]],[3]Mapping!$B$3:$D$37,3,0)</f>
        <v>cashloan</v>
      </c>
      <c r="I12167" s="143">
        <v>0</v>
      </c>
    </row>
    <row r="12168" spans="1:9" x14ac:dyDescent="0.2">
      <c r="A12168" s="134">
        <v>46038</v>
      </c>
      <c r="B12168" s="135">
        <f>YEAR(source[[#This Row],[report_date]])</f>
        <v>2026</v>
      </c>
      <c r="C12168" s="128">
        <f t="shared" si="569"/>
        <v>1</v>
      </c>
      <c r="D12168" s="136">
        <f t="shared" si="568"/>
        <v>3</v>
      </c>
      <c r="E12168" s="136">
        <f t="shared" si="570"/>
        <v>16</v>
      </c>
      <c r="F12168" s="137" t="s">
        <v>24</v>
      </c>
      <c r="G12168" s="128" t="str">
        <f>VLOOKUP(source[[#This Row],[lending_product_transform]],[3]Mapping!$B$4:$C$37,2,0)</f>
        <v>[Cake] - Cashloan</v>
      </c>
      <c r="H12168" s="128" t="str">
        <f>VLOOKUP(source[[#This Row],[lending_product_transform]],[3]Mapping!$B$3:$D$37,3,0)</f>
        <v>cashloan</v>
      </c>
      <c r="I12168" s="143">
        <v>13843440000</v>
      </c>
    </row>
    <row r="12169" spans="1:9" x14ac:dyDescent="0.2">
      <c r="A12169" s="134">
        <v>46038</v>
      </c>
      <c r="B12169" s="135">
        <f>YEAR(source[[#This Row],[report_date]])</f>
        <v>2026</v>
      </c>
      <c r="C12169" s="128">
        <f t="shared" si="569"/>
        <v>1</v>
      </c>
      <c r="D12169" s="136">
        <f t="shared" si="568"/>
        <v>3</v>
      </c>
      <c r="E12169" s="136">
        <f t="shared" si="570"/>
        <v>16</v>
      </c>
      <c r="F12169" s="137" t="s">
        <v>24</v>
      </c>
      <c r="G12169" s="128" t="str">
        <f>VLOOKUP(source[[#This Row],[lending_product_transform]],[3]Mapping!$B$4:$C$37,2,0)</f>
        <v>[Cake] - Cashloan</v>
      </c>
      <c r="H12169" s="128" t="str">
        <f>VLOOKUP(source[[#This Row],[lending_product_transform]],[3]Mapping!$B$3:$D$37,3,0)</f>
        <v>cashloan</v>
      </c>
      <c r="I12169" s="143">
        <v>181486423</v>
      </c>
    </row>
    <row r="12170" spans="1:9" x14ac:dyDescent="0.2">
      <c r="A12170" s="134">
        <v>46038</v>
      </c>
      <c r="B12170" s="135">
        <f>YEAR(source[[#This Row],[report_date]])</f>
        <v>2026</v>
      </c>
      <c r="C12170" s="128">
        <f t="shared" si="569"/>
        <v>1</v>
      </c>
      <c r="D12170" s="136">
        <f t="shared" si="568"/>
        <v>3</v>
      </c>
      <c r="E12170" s="136">
        <f t="shared" si="570"/>
        <v>16</v>
      </c>
      <c r="F12170" s="137" t="s">
        <v>24</v>
      </c>
      <c r="G12170" s="128" t="str">
        <f>VLOOKUP(source[[#This Row],[lending_product_transform]],[3]Mapping!$B$4:$C$37,2,0)</f>
        <v>[Cake] - Cashloan</v>
      </c>
      <c r="H12170" s="128" t="str">
        <f>VLOOKUP(source[[#This Row],[lending_product_transform]],[3]Mapping!$B$3:$D$37,3,0)</f>
        <v>cashloan</v>
      </c>
      <c r="I12170" s="143">
        <v>0</v>
      </c>
    </row>
    <row r="12171" spans="1:9" x14ac:dyDescent="0.2">
      <c r="A12171" s="134">
        <v>46038</v>
      </c>
      <c r="B12171" s="135">
        <f>YEAR(source[[#This Row],[report_date]])</f>
        <v>2026</v>
      </c>
      <c r="C12171" s="128">
        <f t="shared" si="569"/>
        <v>1</v>
      </c>
      <c r="D12171" s="136">
        <f t="shared" si="568"/>
        <v>3</v>
      </c>
      <c r="E12171" s="136">
        <f t="shared" si="570"/>
        <v>16</v>
      </c>
      <c r="F12171" s="137" t="s">
        <v>24</v>
      </c>
      <c r="G12171" s="128" t="str">
        <f>VLOOKUP(source[[#This Row],[lending_product_transform]],[3]Mapping!$B$4:$C$37,2,0)</f>
        <v>[Cake] - Cashloan</v>
      </c>
      <c r="H12171" s="128" t="str">
        <f>VLOOKUP(source[[#This Row],[lending_product_transform]],[3]Mapping!$B$3:$D$37,3,0)</f>
        <v>cashloan</v>
      </c>
      <c r="I12171" s="143">
        <v>34000000</v>
      </c>
    </row>
    <row r="12172" spans="1:9" x14ac:dyDescent="0.2">
      <c r="A12172" s="134">
        <v>46038</v>
      </c>
      <c r="B12172" s="135">
        <f>YEAR(source[[#This Row],[report_date]])</f>
        <v>2026</v>
      </c>
      <c r="C12172" s="128">
        <f t="shared" si="569"/>
        <v>1</v>
      </c>
      <c r="D12172" s="136">
        <f t="shared" si="568"/>
        <v>3</v>
      </c>
      <c r="E12172" s="136">
        <f t="shared" si="570"/>
        <v>16</v>
      </c>
      <c r="F12172" s="137" t="s">
        <v>24</v>
      </c>
      <c r="G12172" s="128" t="str">
        <f>VLOOKUP(source[[#This Row],[lending_product_transform]],[3]Mapping!$B$4:$C$37,2,0)</f>
        <v>[Cake] - Cashloan</v>
      </c>
      <c r="H12172" s="128" t="str">
        <f>VLOOKUP(source[[#This Row],[lending_product_transform]],[3]Mapping!$B$3:$D$37,3,0)</f>
        <v>cashloan</v>
      </c>
      <c r="I12172" s="143">
        <v>839430000</v>
      </c>
    </row>
    <row r="12173" spans="1:9" x14ac:dyDescent="0.2">
      <c r="A12173" s="134">
        <v>46038</v>
      </c>
      <c r="B12173" s="135">
        <f>YEAR(source[[#This Row],[report_date]])</f>
        <v>2026</v>
      </c>
      <c r="C12173" s="128">
        <f t="shared" si="569"/>
        <v>1</v>
      </c>
      <c r="D12173" s="136">
        <f t="shared" si="568"/>
        <v>3</v>
      </c>
      <c r="E12173" s="136">
        <f t="shared" si="570"/>
        <v>16</v>
      </c>
      <c r="F12173" s="137" t="s">
        <v>24</v>
      </c>
      <c r="G12173" s="128" t="str">
        <f>VLOOKUP(source[[#This Row],[lending_product_transform]],[3]Mapping!$B$4:$C$37,2,0)</f>
        <v>[Cake] - Cashloan</v>
      </c>
      <c r="H12173" s="128" t="str">
        <f>VLOOKUP(source[[#This Row],[lending_product_transform]],[3]Mapping!$B$3:$D$37,3,0)</f>
        <v>cashloan</v>
      </c>
      <c r="I12173" s="143">
        <v>458244000</v>
      </c>
    </row>
    <row r="12174" spans="1:9" x14ac:dyDescent="0.2">
      <c r="A12174" s="134">
        <v>46038</v>
      </c>
      <c r="B12174" s="135">
        <f>YEAR(source[[#This Row],[report_date]])</f>
        <v>2026</v>
      </c>
      <c r="C12174" s="128">
        <f t="shared" si="569"/>
        <v>1</v>
      </c>
      <c r="D12174" s="136">
        <f t="shared" si="568"/>
        <v>3</v>
      </c>
      <c r="E12174" s="136">
        <f t="shared" si="570"/>
        <v>16</v>
      </c>
      <c r="F12174" s="137" t="s">
        <v>24</v>
      </c>
      <c r="G12174" s="128" t="str">
        <f>VLOOKUP(source[[#This Row],[lending_product_transform]],[3]Mapping!$B$4:$C$37,2,0)</f>
        <v>[Cake] - Cashloan</v>
      </c>
      <c r="H12174" s="128" t="str">
        <f>VLOOKUP(source[[#This Row],[lending_product_transform]],[3]Mapping!$B$3:$D$37,3,0)</f>
        <v>cashloan</v>
      </c>
      <c r="I12174" s="143">
        <v>225373610</v>
      </c>
    </row>
    <row r="12175" spans="1:9" x14ac:dyDescent="0.2">
      <c r="A12175" s="134">
        <v>46038</v>
      </c>
      <c r="B12175" s="135">
        <f>YEAR(source[[#This Row],[report_date]])</f>
        <v>2026</v>
      </c>
      <c r="C12175" s="128">
        <f t="shared" si="569"/>
        <v>1</v>
      </c>
      <c r="D12175" s="136">
        <f t="shared" si="568"/>
        <v>3</v>
      </c>
      <c r="E12175" s="136">
        <f t="shared" si="570"/>
        <v>16</v>
      </c>
      <c r="F12175" s="137" t="s">
        <v>24</v>
      </c>
      <c r="G12175" s="128" t="str">
        <f>VLOOKUP(source[[#This Row],[lending_product_transform]],[3]Mapping!$B$4:$C$37,2,0)</f>
        <v>[Cake] - Cashloan</v>
      </c>
      <c r="H12175" s="128" t="str">
        <f>VLOOKUP(source[[#This Row],[lending_product_transform]],[3]Mapping!$B$3:$D$37,3,0)</f>
        <v>cashloan</v>
      </c>
      <c r="I12175" s="143">
        <v>3781010000</v>
      </c>
    </row>
    <row r="12176" spans="1:9" x14ac:dyDescent="0.2">
      <c r="A12176" s="134">
        <v>46038</v>
      </c>
      <c r="B12176" s="135">
        <f>YEAR(source[[#This Row],[report_date]])</f>
        <v>2026</v>
      </c>
      <c r="C12176" s="128">
        <f t="shared" si="569"/>
        <v>1</v>
      </c>
      <c r="D12176" s="136">
        <f t="shared" si="568"/>
        <v>3</v>
      </c>
      <c r="E12176" s="136">
        <f t="shared" si="570"/>
        <v>16</v>
      </c>
      <c r="F12176" s="137" t="s">
        <v>24</v>
      </c>
      <c r="G12176" s="128" t="str">
        <f>VLOOKUP(source[[#This Row],[lending_product_transform]],[3]Mapping!$B$4:$C$37,2,0)</f>
        <v>[Cake] - Cashloan</v>
      </c>
      <c r="H12176" s="128" t="str">
        <f>VLOOKUP(source[[#This Row],[lending_product_transform]],[3]Mapping!$B$3:$D$37,3,0)</f>
        <v>cashloan</v>
      </c>
      <c r="I12176" s="143">
        <v>143680000</v>
      </c>
    </row>
    <row r="12177" spans="1:9" x14ac:dyDescent="0.2">
      <c r="A12177" s="134">
        <v>46039</v>
      </c>
      <c r="B12177" s="135">
        <f>YEAR(source[[#This Row],[report_date]])</f>
        <v>2026</v>
      </c>
      <c r="C12177" s="128">
        <f t="shared" si="569"/>
        <v>1</v>
      </c>
      <c r="D12177" s="136">
        <f t="shared" ref="D12177:D12240" si="571">WEEKNUM(A12177,2)</f>
        <v>3</v>
      </c>
      <c r="E12177" s="136">
        <f t="shared" si="570"/>
        <v>17</v>
      </c>
      <c r="F12177" s="137" t="s">
        <v>24</v>
      </c>
      <c r="G12177" s="128" t="str">
        <f>VLOOKUP(source[[#This Row],[lending_product_transform]],[3]Mapping!$B$4:$C$37,2,0)</f>
        <v>[Cake] - Cashloan</v>
      </c>
      <c r="H12177" s="128" t="str">
        <f>VLOOKUP(source[[#This Row],[lending_product_transform]],[3]Mapping!$B$3:$D$37,3,0)</f>
        <v>cashloan</v>
      </c>
      <c r="I12177" s="143">
        <v>763750000</v>
      </c>
    </row>
    <row r="12178" spans="1:9" x14ac:dyDescent="0.2">
      <c r="A12178" s="134">
        <v>46039</v>
      </c>
      <c r="B12178" s="135">
        <f>YEAR(source[[#This Row],[report_date]])</f>
        <v>2026</v>
      </c>
      <c r="C12178" s="128">
        <f t="shared" si="569"/>
        <v>1</v>
      </c>
      <c r="D12178" s="136">
        <f t="shared" si="571"/>
        <v>3</v>
      </c>
      <c r="E12178" s="136">
        <f t="shared" si="570"/>
        <v>17</v>
      </c>
      <c r="F12178" s="137" t="s">
        <v>24</v>
      </c>
      <c r="G12178" s="128" t="str">
        <f>VLOOKUP(source[[#This Row],[lending_product_transform]],[3]Mapping!$B$4:$C$37,2,0)</f>
        <v>[Cake] - Cashloan</v>
      </c>
      <c r="H12178" s="128" t="str">
        <f>VLOOKUP(source[[#This Row],[lending_product_transform]],[3]Mapping!$B$3:$D$37,3,0)</f>
        <v>cashloan</v>
      </c>
      <c r="I12178" s="143">
        <v>315997649</v>
      </c>
    </row>
    <row r="12179" spans="1:9" x14ac:dyDescent="0.2">
      <c r="A12179" s="134">
        <v>46039</v>
      </c>
      <c r="B12179" s="135">
        <f>YEAR(source[[#This Row],[report_date]])</f>
        <v>2026</v>
      </c>
      <c r="C12179" s="128">
        <f t="shared" si="569"/>
        <v>1</v>
      </c>
      <c r="D12179" s="136">
        <f t="shared" si="571"/>
        <v>3</v>
      </c>
      <c r="E12179" s="136">
        <f t="shared" si="570"/>
        <v>17</v>
      </c>
      <c r="F12179" s="137" t="s">
        <v>24</v>
      </c>
      <c r="G12179" s="128" t="str">
        <f>VLOOKUP(source[[#This Row],[lending_product_transform]],[3]Mapping!$B$4:$C$37,2,0)</f>
        <v>[Cake] - Cashloan</v>
      </c>
      <c r="H12179" s="128" t="str">
        <f>VLOOKUP(source[[#This Row],[lending_product_transform]],[3]Mapping!$B$3:$D$37,3,0)</f>
        <v>cashloan</v>
      </c>
      <c r="I12179" s="143">
        <v>12375720000</v>
      </c>
    </row>
    <row r="12180" spans="1:9" x14ac:dyDescent="0.2">
      <c r="A12180" s="134">
        <v>46039</v>
      </c>
      <c r="B12180" s="135">
        <f>YEAR(source[[#This Row],[report_date]])</f>
        <v>2026</v>
      </c>
      <c r="C12180" s="128">
        <f t="shared" si="569"/>
        <v>1</v>
      </c>
      <c r="D12180" s="136">
        <f t="shared" si="571"/>
        <v>3</v>
      </c>
      <c r="E12180" s="136">
        <f t="shared" si="570"/>
        <v>17</v>
      </c>
      <c r="F12180" s="137" t="s">
        <v>24</v>
      </c>
      <c r="G12180" s="128" t="str">
        <f>VLOOKUP(source[[#This Row],[lending_product_transform]],[3]Mapping!$B$4:$C$37,2,0)</f>
        <v>[Cake] - Cashloan</v>
      </c>
      <c r="H12180" s="128" t="str">
        <f>VLOOKUP(source[[#This Row],[lending_product_transform]],[3]Mapping!$B$3:$D$37,3,0)</f>
        <v>cashloan</v>
      </c>
      <c r="I12180" s="143">
        <v>1705600752</v>
      </c>
    </row>
    <row r="12181" spans="1:9" x14ac:dyDescent="0.2">
      <c r="A12181" s="134">
        <v>46039</v>
      </c>
      <c r="B12181" s="135">
        <f>YEAR(source[[#This Row],[report_date]])</f>
        <v>2026</v>
      </c>
      <c r="C12181" s="128">
        <f t="shared" si="569"/>
        <v>1</v>
      </c>
      <c r="D12181" s="136">
        <f t="shared" si="571"/>
        <v>3</v>
      </c>
      <c r="E12181" s="136">
        <f t="shared" si="570"/>
        <v>17</v>
      </c>
      <c r="F12181" s="137" t="s">
        <v>24</v>
      </c>
      <c r="G12181" s="128" t="str">
        <f>VLOOKUP(source[[#This Row],[lending_product_transform]],[3]Mapping!$B$4:$C$37,2,0)</f>
        <v>[Cake] - Cashloan</v>
      </c>
      <c r="H12181" s="128" t="str">
        <f>VLOOKUP(source[[#This Row],[lending_product_transform]],[3]Mapping!$B$3:$D$37,3,0)</f>
        <v>cashloan</v>
      </c>
      <c r="I12181" s="143">
        <v>14618448000</v>
      </c>
    </row>
    <row r="12182" spans="1:9" x14ac:dyDescent="0.2">
      <c r="A12182" s="134">
        <v>46039</v>
      </c>
      <c r="B12182" s="135">
        <f>YEAR(source[[#This Row],[report_date]])</f>
        <v>2026</v>
      </c>
      <c r="C12182" s="128">
        <f t="shared" si="569"/>
        <v>1</v>
      </c>
      <c r="D12182" s="136">
        <f t="shared" si="571"/>
        <v>3</v>
      </c>
      <c r="E12182" s="136">
        <f t="shared" si="570"/>
        <v>17</v>
      </c>
      <c r="F12182" s="137" t="s">
        <v>24</v>
      </c>
      <c r="G12182" s="128" t="str">
        <f>VLOOKUP(source[[#This Row],[lending_product_transform]],[3]Mapping!$B$4:$C$37,2,0)</f>
        <v>[Cake] - Cashloan</v>
      </c>
      <c r="H12182" s="128" t="str">
        <f>VLOOKUP(source[[#This Row],[lending_product_transform]],[3]Mapping!$B$3:$D$37,3,0)</f>
        <v>cashloan</v>
      </c>
      <c r="I12182" s="143">
        <v>5236551</v>
      </c>
    </row>
    <row r="12183" spans="1:9" x14ac:dyDescent="0.2">
      <c r="A12183" s="134">
        <v>46039</v>
      </c>
      <c r="B12183" s="135">
        <f>YEAR(source[[#This Row],[report_date]])</f>
        <v>2026</v>
      </c>
      <c r="C12183" s="128">
        <f t="shared" si="569"/>
        <v>1</v>
      </c>
      <c r="D12183" s="136">
        <f t="shared" si="571"/>
        <v>3</v>
      </c>
      <c r="E12183" s="136">
        <f t="shared" si="570"/>
        <v>17</v>
      </c>
      <c r="F12183" s="137" t="s">
        <v>24</v>
      </c>
      <c r="G12183" s="128" t="str">
        <f>VLOOKUP(source[[#This Row],[lending_product_transform]],[3]Mapping!$B$4:$C$37,2,0)</f>
        <v>[Cake] - Cashloan</v>
      </c>
      <c r="H12183" s="128" t="str">
        <f>VLOOKUP(source[[#This Row],[lending_product_transform]],[3]Mapping!$B$3:$D$37,3,0)</f>
        <v>cashloan</v>
      </c>
      <c r="I12183" s="143">
        <v>0</v>
      </c>
    </row>
    <row r="12184" spans="1:9" x14ac:dyDescent="0.2">
      <c r="A12184" s="134">
        <v>46039</v>
      </c>
      <c r="B12184" s="135">
        <f>YEAR(source[[#This Row],[report_date]])</f>
        <v>2026</v>
      </c>
      <c r="C12184" s="128">
        <f t="shared" si="569"/>
        <v>1</v>
      </c>
      <c r="D12184" s="136">
        <f t="shared" si="571"/>
        <v>3</v>
      </c>
      <c r="E12184" s="136">
        <f t="shared" si="570"/>
        <v>17</v>
      </c>
      <c r="F12184" s="137" t="s">
        <v>24</v>
      </c>
      <c r="G12184" s="128" t="str">
        <f>VLOOKUP(source[[#This Row],[lending_product_transform]],[3]Mapping!$B$4:$C$37,2,0)</f>
        <v>[Cake] - Cashloan</v>
      </c>
      <c r="H12184" s="128" t="str">
        <f>VLOOKUP(source[[#This Row],[lending_product_transform]],[3]Mapping!$B$3:$D$37,3,0)</f>
        <v>cashloan</v>
      </c>
      <c r="I12184" s="143">
        <v>3993880000</v>
      </c>
    </row>
    <row r="12185" spans="1:9" x14ac:dyDescent="0.2">
      <c r="A12185" s="134">
        <v>46039</v>
      </c>
      <c r="B12185" s="135">
        <f>YEAR(source[[#This Row],[report_date]])</f>
        <v>2026</v>
      </c>
      <c r="C12185" s="128">
        <f t="shared" si="569"/>
        <v>1</v>
      </c>
      <c r="D12185" s="136">
        <f t="shared" si="571"/>
        <v>3</v>
      </c>
      <c r="E12185" s="136">
        <f t="shared" si="570"/>
        <v>17</v>
      </c>
      <c r="F12185" s="137" t="s">
        <v>24</v>
      </c>
      <c r="G12185" s="128" t="str">
        <f>VLOOKUP(source[[#This Row],[lending_product_transform]],[3]Mapping!$B$4:$C$37,2,0)</f>
        <v>[Cake] - Cashloan</v>
      </c>
      <c r="H12185" s="128" t="str">
        <f>VLOOKUP(source[[#This Row],[lending_product_transform]],[3]Mapping!$B$3:$D$37,3,0)</f>
        <v>cashloan</v>
      </c>
      <c r="I12185" s="143">
        <v>954800000</v>
      </c>
    </row>
    <row r="12186" spans="1:9" x14ac:dyDescent="0.2">
      <c r="A12186" s="134">
        <v>46039</v>
      </c>
      <c r="B12186" s="135">
        <f>YEAR(source[[#This Row],[report_date]])</f>
        <v>2026</v>
      </c>
      <c r="C12186" s="128">
        <f t="shared" si="569"/>
        <v>1</v>
      </c>
      <c r="D12186" s="136">
        <f t="shared" si="571"/>
        <v>3</v>
      </c>
      <c r="E12186" s="136">
        <f t="shared" si="570"/>
        <v>17</v>
      </c>
      <c r="F12186" s="137" t="s">
        <v>24</v>
      </c>
      <c r="G12186" s="128" t="str">
        <f>VLOOKUP(source[[#This Row],[lending_product_transform]],[3]Mapping!$B$4:$C$37,2,0)</f>
        <v>[Cake] - Cashloan</v>
      </c>
      <c r="H12186" s="128" t="str">
        <f>VLOOKUP(source[[#This Row],[lending_product_transform]],[3]Mapping!$B$3:$D$37,3,0)</f>
        <v>cashloan</v>
      </c>
      <c r="I12186" s="143">
        <v>1673387</v>
      </c>
    </row>
    <row r="12187" spans="1:9" x14ac:dyDescent="0.2">
      <c r="A12187" s="134">
        <v>46039</v>
      </c>
      <c r="B12187" s="135">
        <f>YEAR(source[[#This Row],[report_date]])</f>
        <v>2026</v>
      </c>
      <c r="C12187" s="128">
        <f t="shared" si="569"/>
        <v>1</v>
      </c>
      <c r="D12187" s="136">
        <f t="shared" si="571"/>
        <v>3</v>
      </c>
      <c r="E12187" s="136">
        <f t="shared" si="570"/>
        <v>17</v>
      </c>
      <c r="F12187" s="137" t="s">
        <v>24</v>
      </c>
      <c r="G12187" s="128" t="str">
        <f>VLOOKUP(source[[#This Row],[lending_product_transform]],[3]Mapping!$B$4:$C$37,2,0)</f>
        <v>[Cake] - Cashloan</v>
      </c>
      <c r="H12187" s="128" t="str">
        <f>VLOOKUP(source[[#This Row],[lending_product_transform]],[3]Mapping!$B$3:$D$37,3,0)</f>
        <v>cashloan</v>
      </c>
      <c r="I12187" s="143">
        <v>1558276088</v>
      </c>
    </row>
    <row r="12188" spans="1:9" x14ac:dyDescent="0.2">
      <c r="A12188" s="134">
        <v>46039</v>
      </c>
      <c r="B12188" s="135">
        <f>YEAR(source[[#This Row],[report_date]])</f>
        <v>2026</v>
      </c>
      <c r="C12188" s="128">
        <f t="shared" si="569"/>
        <v>1</v>
      </c>
      <c r="D12188" s="136">
        <f t="shared" si="571"/>
        <v>3</v>
      </c>
      <c r="E12188" s="136">
        <f t="shared" si="570"/>
        <v>17</v>
      </c>
      <c r="F12188" s="137" t="s">
        <v>24</v>
      </c>
      <c r="G12188" s="128" t="str">
        <f>VLOOKUP(source[[#This Row],[lending_product_transform]],[3]Mapping!$B$4:$C$37,2,0)</f>
        <v>[Cake] - Cashloan</v>
      </c>
      <c r="H12188" s="128" t="str">
        <f>VLOOKUP(source[[#This Row],[lending_product_transform]],[3]Mapping!$B$3:$D$37,3,0)</f>
        <v>cashloan</v>
      </c>
      <c r="I12188" s="143">
        <v>0</v>
      </c>
    </row>
    <row r="12189" spans="1:9" x14ac:dyDescent="0.2">
      <c r="A12189" s="134">
        <v>46039</v>
      </c>
      <c r="B12189" s="135">
        <f>YEAR(source[[#This Row],[report_date]])</f>
        <v>2026</v>
      </c>
      <c r="C12189" s="128">
        <f t="shared" si="569"/>
        <v>1</v>
      </c>
      <c r="D12189" s="136">
        <f t="shared" si="571"/>
        <v>3</v>
      </c>
      <c r="E12189" s="136">
        <f t="shared" si="570"/>
        <v>17</v>
      </c>
      <c r="F12189" s="137" t="s">
        <v>24</v>
      </c>
      <c r="G12189" s="128" t="str">
        <f>VLOOKUP(source[[#This Row],[lending_product_transform]],[3]Mapping!$B$4:$C$37,2,0)</f>
        <v>[Cake] - Cashloan</v>
      </c>
      <c r="H12189" s="128" t="str">
        <f>VLOOKUP(source[[#This Row],[lending_product_transform]],[3]Mapping!$B$3:$D$37,3,0)</f>
        <v>cashloan</v>
      </c>
      <c r="I12189" s="143">
        <v>99450000</v>
      </c>
    </row>
    <row r="12190" spans="1:9" x14ac:dyDescent="0.2">
      <c r="A12190" s="134">
        <v>46039</v>
      </c>
      <c r="B12190" s="135">
        <f>YEAR(source[[#This Row],[report_date]])</f>
        <v>2026</v>
      </c>
      <c r="C12190" s="128">
        <f t="shared" si="569"/>
        <v>1</v>
      </c>
      <c r="D12190" s="136">
        <f t="shared" si="571"/>
        <v>3</v>
      </c>
      <c r="E12190" s="136">
        <f t="shared" si="570"/>
        <v>17</v>
      </c>
      <c r="F12190" s="137" t="s">
        <v>24</v>
      </c>
      <c r="G12190" s="128" t="str">
        <f>VLOOKUP(source[[#This Row],[lending_product_transform]],[3]Mapping!$B$4:$C$37,2,0)</f>
        <v>[Cake] - Cashloan</v>
      </c>
      <c r="H12190" s="128" t="str">
        <f>VLOOKUP(source[[#This Row],[lending_product_transform]],[3]Mapping!$B$3:$D$37,3,0)</f>
        <v>cashloan</v>
      </c>
      <c r="I12190" s="143">
        <v>0</v>
      </c>
    </row>
    <row r="12191" spans="1:9" x14ac:dyDescent="0.2">
      <c r="A12191" s="134">
        <v>46039</v>
      </c>
      <c r="B12191" s="135">
        <f>YEAR(source[[#This Row],[report_date]])</f>
        <v>2026</v>
      </c>
      <c r="C12191" s="128">
        <f t="shared" si="569"/>
        <v>1</v>
      </c>
      <c r="D12191" s="136">
        <f t="shared" si="571"/>
        <v>3</v>
      </c>
      <c r="E12191" s="136">
        <f t="shared" si="570"/>
        <v>17</v>
      </c>
      <c r="F12191" s="137" t="s">
        <v>24</v>
      </c>
      <c r="G12191" s="128" t="str">
        <f>VLOOKUP(source[[#This Row],[lending_product_transform]],[3]Mapping!$B$4:$C$37,2,0)</f>
        <v>[Cake] - Cashloan</v>
      </c>
      <c r="H12191" s="128" t="str">
        <f>VLOOKUP(source[[#This Row],[lending_product_transform]],[3]Mapping!$B$3:$D$37,3,0)</f>
        <v>cashloan</v>
      </c>
      <c r="I12191" s="143">
        <v>15122490000</v>
      </c>
    </row>
    <row r="12192" spans="1:9" x14ac:dyDescent="0.2">
      <c r="A12192" s="134">
        <v>46039</v>
      </c>
      <c r="B12192" s="135">
        <f>YEAR(source[[#This Row],[report_date]])</f>
        <v>2026</v>
      </c>
      <c r="C12192" s="128">
        <f t="shared" si="569"/>
        <v>1</v>
      </c>
      <c r="D12192" s="136">
        <f t="shared" si="571"/>
        <v>3</v>
      </c>
      <c r="E12192" s="136">
        <f t="shared" si="570"/>
        <v>17</v>
      </c>
      <c r="F12192" s="137" t="s">
        <v>24</v>
      </c>
      <c r="G12192" s="128" t="str">
        <f>VLOOKUP(source[[#This Row],[lending_product_transform]],[3]Mapping!$B$4:$C$37,2,0)</f>
        <v>[Cake] - Cashloan</v>
      </c>
      <c r="H12192" s="128" t="str">
        <f>VLOOKUP(source[[#This Row],[lending_product_transform]],[3]Mapping!$B$3:$D$37,3,0)</f>
        <v>cashloan</v>
      </c>
      <c r="I12192" s="143">
        <v>0</v>
      </c>
    </row>
    <row r="12193" spans="1:9" x14ac:dyDescent="0.2">
      <c r="A12193" s="134">
        <v>46039</v>
      </c>
      <c r="B12193" s="135">
        <f>YEAR(source[[#This Row],[report_date]])</f>
        <v>2026</v>
      </c>
      <c r="C12193" s="128">
        <f t="shared" si="569"/>
        <v>1</v>
      </c>
      <c r="D12193" s="136">
        <f t="shared" si="571"/>
        <v>3</v>
      </c>
      <c r="E12193" s="136">
        <f t="shared" si="570"/>
        <v>17</v>
      </c>
      <c r="F12193" s="137" t="s">
        <v>24</v>
      </c>
      <c r="G12193" s="128" t="str">
        <f>VLOOKUP(source[[#This Row],[lending_product_transform]],[3]Mapping!$B$4:$C$37,2,0)</f>
        <v>[Cake] - Cashloan</v>
      </c>
      <c r="H12193" s="128" t="str">
        <f>VLOOKUP(source[[#This Row],[lending_product_transform]],[3]Mapping!$B$3:$D$37,3,0)</f>
        <v>cashloan</v>
      </c>
      <c r="I12193" s="143">
        <v>0</v>
      </c>
    </row>
    <row r="12194" spans="1:9" x14ac:dyDescent="0.2">
      <c r="A12194" s="134">
        <v>46039</v>
      </c>
      <c r="B12194" s="135">
        <f>YEAR(source[[#This Row],[report_date]])</f>
        <v>2026</v>
      </c>
      <c r="C12194" s="128">
        <f t="shared" si="569"/>
        <v>1</v>
      </c>
      <c r="D12194" s="136">
        <f t="shared" si="571"/>
        <v>3</v>
      </c>
      <c r="E12194" s="136">
        <f t="shared" si="570"/>
        <v>17</v>
      </c>
      <c r="F12194" s="137" t="s">
        <v>24</v>
      </c>
      <c r="G12194" s="128" t="str">
        <f>VLOOKUP(source[[#This Row],[lending_product_transform]],[3]Mapping!$B$4:$C$37,2,0)</f>
        <v>[Cake] - Cashloan</v>
      </c>
      <c r="H12194" s="128" t="str">
        <f>VLOOKUP(source[[#This Row],[lending_product_transform]],[3]Mapping!$B$3:$D$37,3,0)</f>
        <v>cashloan</v>
      </c>
      <c r="I12194" s="143">
        <v>0</v>
      </c>
    </row>
    <row r="12195" spans="1:9" x14ac:dyDescent="0.2">
      <c r="A12195" s="134">
        <v>46039</v>
      </c>
      <c r="B12195" s="135">
        <f>YEAR(source[[#This Row],[report_date]])</f>
        <v>2026</v>
      </c>
      <c r="C12195" s="128">
        <f t="shared" si="569"/>
        <v>1</v>
      </c>
      <c r="D12195" s="136">
        <f t="shared" si="571"/>
        <v>3</v>
      </c>
      <c r="E12195" s="136">
        <f t="shared" si="570"/>
        <v>17</v>
      </c>
      <c r="F12195" s="137" t="s">
        <v>24</v>
      </c>
      <c r="G12195" s="128" t="str">
        <f>VLOOKUP(source[[#This Row],[lending_product_transform]],[3]Mapping!$B$4:$C$37,2,0)</f>
        <v>[Cake] - Cashloan</v>
      </c>
      <c r="H12195" s="128" t="str">
        <f>VLOOKUP(source[[#This Row],[lending_product_transform]],[3]Mapping!$B$3:$D$37,3,0)</f>
        <v>cashloan</v>
      </c>
      <c r="I12195" s="143">
        <v>0</v>
      </c>
    </row>
    <row r="12196" spans="1:9" x14ac:dyDescent="0.2">
      <c r="A12196" s="134">
        <v>46039</v>
      </c>
      <c r="B12196" s="135">
        <f>YEAR(source[[#This Row],[report_date]])</f>
        <v>2026</v>
      </c>
      <c r="C12196" s="128">
        <f t="shared" si="569"/>
        <v>1</v>
      </c>
      <c r="D12196" s="136">
        <f t="shared" si="571"/>
        <v>3</v>
      </c>
      <c r="E12196" s="136">
        <f t="shared" si="570"/>
        <v>17</v>
      </c>
      <c r="F12196" s="137" t="s">
        <v>24</v>
      </c>
      <c r="G12196" s="128" t="str">
        <f>VLOOKUP(source[[#This Row],[lending_product_transform]],[3]Mapping!$B$4:$C$37,2,0)</f>
        <v>[Cake] - Cashloan</v>
      </c>
      <c r="H12196" s="128" t="str">
        <f>VLOOKUP(source[[#This Row],[lending_product_transform]],[3]Mapping!$B$3:$D$37,3,0)</f>
        <v>cashloan</v>
      </c>
      <c r="I12196" s="143">
        <v>11909484000</v>
      </c>
    </row>
    <row r="12197" spans="1:9" x14ac:dyDescent="0.2">
      <c r="A12197" s="134">
        <v>46039</v>
      </c>
      <c r="B12197" s="135">
        <f>YEAR(source[[#This Row],[report_date]])</f>
        <v>2026</v>
      </c>
      <c r="C12197" s="128">
        <f t="shared" si="569"/>
        <v>1</v>
      </c>
      <c r="D12197" s="136">
        <f t="shared" si="571"/>
        <v>3</v>
      </c>
      <c r="E12197" s="136">
        <f t="shared" si="570"/>
        <v>17</v>
      </c>
      <c r="F12197" s="137" t="s">
        <v>24</v>
      </c>
      <c r="G12197" s="128" t="str">
        <f>VLOOKUP(source[[#This Row],[lending_product_transform]],[3]Mapping!$B$4:$C$37,2,0)</f>
        <v>[Cake] - Cashloan</v>
      </c>
      <c r="H12197" s="128" t="str">
        <f>VLOOKUP(source[[#This Row],[lending_product_transform]],[3]Mapping!$B$3:$D$37,3,0)</f>
        <v>cashloan</v>
      </c>
      <c r="I12197" s="143">
        <v>183131625</v>
      </c>
    </row>
    <row r="12198" spans="1:9" x14ac:dyDescent="0.2">
      <c r="A12198" s="134">
        <v>46039</v>
      </c>
      <c r="B12198" s="135">
        <f>YEAR(source[[#This Row],[report_date]])</f>
        <v>2026</v>
      </c>
      <c r="C12198" s="128">
        <f t="shared" si="569"/>
        <v>1</v>
      </c>
      <c r="D12198" s="136">
        <f t="shared" si="571"/>
        <v>3</v>
      </c>
      <c r="E12198" s="136">
        <f t="shared" si="570"/>
        <v>17</v>
      </c>
      <c r="F12198" s="137" t="s">
        <v>24</v>
      </c>
      <c r="G12198" s="128" t="str">
        <f>VLOOKUP(source[[#This Row],[lending_product_transform]],[3]Mapping!$B$4:$C$37,2,0)</f>
        <v>[Cake] - Cashloan</v>
      </c>
      <c r="H12198" s="128" t="str">
        <f>VLOOKUP(source[[#This Row],[lending_product_transform]],[3]Mapping!$B$3:$D$37,3,0)</f>
        <v>cashloan</v>
      </c>
      <c r="I12198" s="143">
        <v>0</v>
      </c>
    </row>
    <row r="12199" spans="1:9" x14ac:dyDescent="0.2">
      <c r="A12199" s="134">
        <v>46039</v>
      </c>
      <c r="B12199" s="135">
        <f>YEAR(source[[#This Row],[report_date]])</f>
        <v>2026</v>
      </c>
      <c r="C12199" s="128">
        <f t="shared" si="569"/>
        <v>1</v>
      </c>
      <c r="D12199" s="136">
        <f t="shared" si="571"/>
        <v>3</v>
      </c>
      <c r="E12199" s="136">
        <f t="shared" si="570"/>
        <v>17</v>
      </c>
      <c r="F12199" s="137" t="s">
        <v>24</v>
      </c>
      <c r="G12199" s="128" t="str">
        <f>VLOOKUP(source[[#This Row],[lending_product_transform]],[3]Mapping!$B$4:$C$37,2,0)</f>
        <v>[Cake] - Cashloan</v>
      </c>
      <c r="H12199" s="128" t="str">
        <f>VLOOKUP(source[[#This Row],[lending_product_transform]],[3]Mapping!$B$3:$D$37,3,0)</f>
        <v>cashloan</v>
      </c>
      <c r="I12199" s="143">
        <v>30000000</v>
      </c>
    </row>
    <row r="12200" spans="1:9" x14ac:dyDescent="0.2">
      <c r="A12200" s="134">
        <v>46039</v>
      </c>
      <c r="B12200" s="135">
        <f>YEAR(source[[#This Row],[report_date]])</f>
        <v>2026</v>
      </c>
      <c r="C12200" s="128">
        <f t="shared" si="569"/>
        <v>1</v>
      </c>
      <c r="D12200" s="136">
        <f t="shared" si="571"/>
        <v>3</v>
      </c>
      <c r="E12200" s="136">
        <f t="shared" si="570"/>
        <v>17</v>
      </c>
      <c r="F12200" s="137" t="s">
        <v>24</v>
      </c>
      <c r="G12200" s="128" t="str">
        <f>VLOOKUP(source[[#This Row],[lending_product_transform]],[3]Mapping!$B$4:$C$37,2,0)</f>
        <v>[Cake] - Cashloan</v>
      </c>
      <c r="H12200" s="128" t="str">
        <f>VLOOKUP(source[[#This Row],[lending_product_transform]],[3]Mapping!$B$3:$D$37,3,0)</f>
        <v>cashloan</v>
      </c>
      <c r="I12200" s="143">
        <v>847010000</v>
      </c>
    </row>
    <row r="12201" spans="1:9" x14ac:dyDescent="0.2">
      <c r="A12201" s="134">
        <v>46039</v>
      </c>
      <c r="B12201" s="135">
        <f>YEAR(source[[#This Row],[report_date]])</f>
        <v>2026</v>
      </c>
      <c r="C12201" s="128">
        <f t="shared" si="569"/>
        <v>1</v>
      </c>
      <c r="D12201" s="136">
        <f t="shared" si="571"/>
        <v>3</v>
      </c>
      <c r="E12201" s="136">
        <f t="shared" si="570"/>
        <v>17</v>
      </c>
      <c r="F12201" s="137" t="s">
        <v>24</v>
      </c>
      <c r="G12201" s="128" t="str">
        <f>VLOOKUP(source[[#This Row],[lending_product_transform]],[3]Mapping!$B$4:$C$37,2,0)</f>
        <v>[Cake] - Cashloan</v>
      </c>
      <c r="H12201" s="128" t="str">
        <f>VLOOKUP(source[[#This Row],[lending_product_transform]],[3]Mapping!$B$3:$D$37,3,0)</f>
        <v>cashloan</v>
      </c>
      <c r="I12201" s="143">
        <v>453708000</v>
      </c>
    </row>
    <row r="12202" spans="1:9" x14ac:dyDescent="0.2">
      <c r="A12202" s="134">
        <v>46039</v>
      </c>
      <c r="B12202" s="135">
        <f>YEAR(source[[#This Row],[report_date]])</f>
        <v>2026</v>
      </c>
      <c r="C12202" s="128">
        <f t="shared" si="569"/>
        <v>1</v>
      </c>
      <c r="D12202" s="136">
        <f t="shared" si="571"/>
        <v>3</v>
      </c>
      <c r="E12202" s="136">
        <f t="shared" si="570"/>
        <v>17</v>
      </c>
      <c r="F12202" s="137" t="s">
        <v>24</v>
      </c>
      <c r="G12202" s="128" t="str">
        <f>VLOOKUP(source[[#This Row],[lending_product_transform]],[3]Mapping!$B$4:$C$37,2,0)</f>
        <v>[Cake] - Cashloan</v>
      </c>
      <c r="H12202" s="128" t="str">
        <f>VLOOKUP(source[[#This Row],[lending_product_transform]],[3]Mapping!$B$3:$D$37,3,0)</f>
        <v>cashloan</v>
      </c>
      <c r="I12202" s="143">
        <v>275714787</v>
      </c>
    </row>
    <row r="12203" spans="1:9" x14ac:dyDescent="0.2">
      <c r="A12203" s="134">
        <v>46039</v>
      </c>
      <c r="B12203" s="135">
        <f>YEAR(source[[#This Row],[report_date]])</f>
        <v>2026</v>
      </c>
      <c r="C12203" s="128">
        <f t="shared" si="569"/>
        <v>1</v>
      </c>
      <c r="D12203" s="136">
        <f t="shared" si="571"/>
        <v>3</v>
      </c>
      <c r="E12203" s="136">
        <f t="shared" si="570"/>
        <v>17</v>
      </c>
      <c r="F12203" s="137" t="s">
        <v>24</v>
      </c>
      <c r="G12203" s="128" t="str">
        <f>VLOOKUP(source[[#This Row],[lending_product_transform]],[3]Mapping!$B$4:$C$37,2,0)</f>
        <v>[Cake] - Cashloan</v>
      </c>
      <c r="H12203" s="128" t="str">
        <f>VLOOKUP(source[[#This Row],[lending_product_transform]],[3]Mapping!$B$3:$D$37,3,0)</f>
        <v>cashloan</v>
      </c>
      <c r="I12203" s="143">
        <v>3251140000</v>
      </c>
    </row>
    <row r="12204" spans="1:9" x14ac:dyDescent="0.2">
      <c r="A12204" s="134">
        <v>46039</v>
      </c>
      <c r="B12204" s="135">
        <f>YEAR(source[[#This Row],[report_date]])</f>
        <v>2026</v>
      </c>
      <c r="C12204" s="128">
        <f t="shared" si="569"/>
        <v>1</v>
      </c>
      <c r="D12204" s="136">
        <f t="shared" si="571"/>
        <v>3</v>
      </c>
      <c r="E12204" s="136">
        <f t="shared" si="570"/>
        <v>17</v>
      </c>
      <c r="F12204" s="137" t="s">
        <v>24</v>
      </c>
      <c r="G12204" s="128" t="str">
        <f>VLOOKUP(source[[#This Row],[lending_product_transform]],[3]Mapping!$B$4:$C$37,2,0)</f>
        <v>[Cake] - Cashloan</v>
      </c>
      <c r="H12204" s="128" t="str">
        <f>VLOOKUP(source[[#This Row],[lending_product_transform]],[3]Mapping!$B$3:$D$37,3,0)</f>
        <v>cashloan</v>
      </c>
      <c r="I12204" s="143">
        <v>300520000</v>
      </c>
    </row>
    <row r="12205" spans="1:9" x14ac:dyDescent="0.2">
      <c r="A12205" s="134">
        <v>46040</v>
      </c>
      <c r="B12205" s="135">
        <f>YEAR(source[[#This Row],[report_date]])</f>
        <v>2026</v>
      </c>
      <c r="C12205" s="128">
        <f t="shared" si="569"/>
        <v>1</v>
      </c>
      <c r="D12205" s="136">
        <f t="shared" si="571"/>
        <v>3</v>
      </c>
      <c r="E12205" s="136">
        <f t="shared" si="570"/>
        <v>18</v>
      </c>
      <c r="F12205" s="137" t="s">
        <v>24</v>
      </c>
      <c r="G12205" s="128" t="str">
        <f>VLOOKUP(source[[#This Row],[lending_product_transform]],[3]Mapping!$B$4:$C$37,2,0)</f>
        <v>[Cake] - Cashloan</v>
      </c>
      <c r="H12205" s="128" t="str">
        <f>VLOOKUP(source[[#This Row],[lending_product_transform]],[3]Mapping!$B$3:$D$37,3,0)</f>
        <v>cashloan</v>
      </c>
      <c r="I12205" s="143">
        <v>819800000</v>
      </c>
    </row>
    <row r="12206" spans="1:9" x14ac:dyDescent="0.2">
      <c r="A12206" s="134">
        <v>46040</v>
      </c>
      <c r="B12206" s="135">
        <f>YEAR(source[[#This Row],[report_date]])</f>
        <v>2026</v>
      </c>
      <c r="C12206" s="128">
        <f t="shared" si="569"/>
        <v>1</v>
      </c>
      <c r="D12206" s="136">
        <f t="shared" si="571"/>
        <v>3</v>
      </c>
      <c r="E12206" s="136">
        <f t="shared" si="570"/>
        <v>18</v>
      </c>
      <c r="F12206" s="137" t="s">
        <v>24</v>
      </c>
      <c r="G12206" s="128" t="str">
        <f>VLOOKUP(source[[#This Row],[lending_product_transform]],[3]Mapping!$B$4:$C$37,2,0)</f>
        <v>[Cake] - Cashloan</v>
      </c>
      <c r="H12206" s="128" t="str">
        <f>VLOOKUP(source[[#This Row],[lending_product_transform]],[3]Mapping!$B$3:$D$37,3,0)</f>
        <v>cashloan</v>
      </c>
      <c r="I12206" s="143">
        <v>300144473</v>
      </c>
    </row>
    <row r="12207" spans="1:9" x14ac:dyDescent="0.2">
      <c r="A12207" s="134">
        <v>46040</v>
      </c>
      <c r="B12207" s="135">
        <f>YEAR(source[[#This Row],[report_date]])</f>
        <v>2026</v>
      </c>
      <c r="C12207" s="128">
        <f t="shared" si="569"/>
        <v>1</v>
      </c>
      <c r="D12207" s="136">
        <f t="shared" si="571"/>
        <v>3</v>
      </c>
      <c r="E12207" s="136">
        <f t="shared" si="570"/>
        <v>18</v>
      </c>
      <c r="F12207" s="137" t="s">
        <v>24</v>
      </c>
      <c r="G12207" s="128" t="str">
        <f>VLOOKUP(source[[#This Row],[lending_product_transform]],[3]Mapping!$B$4:$C$37,2,0)</f>
        <v>[Cake] - Cashloan</v>
      </c>
      <c r="H12207" s="128" t="str">
        <f>VLOOKUP(source[[#This Row],[lending_product_transform]],[3]Mapping!$B$3:$D$37,3,0)</f>
        <v>cashloan</v>
      </c>
      <c r="I12207" s="143">
        <v>12551320000</v>
      </c>
    </row>
    <row r="12208" spans="1:9" x14ac:dyDescent="0.2">
      <c r="A12208" s="134">
        <v>46040</v>
      </c>
      <c r="B12208" s="135">
        <f>YEAR(source[[#This Row],[report_date]])</f>
        <v>2026</v>
      </c>
      <c r="C12208" s="128">
        <f t="shared" si="569"/>
        <v>1</v>
      </c>
      <c r="D12208" s="136">
        <f t="shared" si="571"/>
        <v>3</v>
      </c>
      <c r="E12208" s="136">
        <f t="shared" si="570"/>
        <v>18</v>
      </c>
      <c r="F12208" s="137" t="s">
        <v>24</v>
      </c>
      <c r="G12208" s="128" t="str">
        <f>VLOOKUP(source[[#This Row],[lending_product_transform]],[3]Mapping!$B$4:$C$37,2,0)</f>
        <v>[Cake] - Cashloan</v>
      </c>
      <c r="H12208" s="128" t="str">
        <f>VLOOKUP(source[[#This Row],[lending_product_transform]],[3]Mapping!$B$3:$D$37,3,0)</f>
        <v>cashloan</v>
      </c>
      <c r="I12208" s="143">
        <v>1468190659</v>
      </c>
    </row>
    <row r="12209" spans="1:9" x14ac:dyDescent="0.2">
      <c r="A12209" s="134">
        <v>46040</v>
      </c>
      <c r="B12209" s="135">
        <f>YEAR(source[[#This Row],[report_date]])</f>
        <v>2026</v>
      </c>
      <c r="C12209" s="128">
        <f t="shared" si="569"/>
        <v>1</v>
      </c>
      <c r="D12209" s="136">
        <f t="shared" si="571"/>
        <v>3</v>
      </c>
      <c r="E12209" s="136">
        <f t="shared" si="570"/>
        <v>18</v>
      </c>
      <c r="F12209" s="137" t="s">
        <v>24</v>
      </c>
      <c r="G12209" s="128" t="str">
        <f>VLOOKUP(source[[#This Row],[lending_product_transform]],[3]Mapping!$B$4:$C$37,2,0)</f>
        <v>[Cake] - Cashloan</v>
      </c>
      <c r="H12209" s="128" t="str">
        <f>VLOOKUP(source[[#This Row],[lending_product_transform]],[3]Mapping!$B$3:$D$37,3,0)</f>
        <v>cashloan</v>
      </c>
      <c r="I12209" s="143">
        <v>14384520000</v>
      </c>
    </row>
    <row r="12210" spans="1:9" x14ac:dyDescent="0.2">
      <c r="A12210" s="134">
        <v>46040</v>
      </c>
      <c r="B12210" s="135">
        <f>YEAR(source[[#This Row],[report_date]])</f>
        <v>2026</v>
      </c>
      <c r="C12210" s="128">
        <f t="shared" si="569"/>
        <v>1</v>
      </c>
      <c r="D12210" s="136">
        <f t="shared" si="571"/>
        <v>3</v>
      </c>
      <c r="E12210" s="136">
        <f t="shared" si="570"/>
        <v>18</v>
      </c>
      <c r="F12210" s="137" t="s">
        <v>24</v>
      </c>
      <c r="G12210" s="128" t="str">
        <f>VLOOKUP(source[[#This Row],[lending_product_transform]],[3]Mapping!$B$4:$C$37,2,0)</f>
        <v>[Cake] - Cashloan</v>
      </c>
      <c r="H12210" s="128" t="str">
        <f>VLOOKUP(source[[#This Row],[lending_product_transform]],[3]Mapping!$B$3:$D$37,3,0)</f>
        <v>cashloan</v>
      </c>
      <c r="I12210" s="143">
        <v>6697906</v>
      </c>
    </row>
    <row r="12211" spans="1:9" x14ac:dyDescent="0.2">
      <c r="A12211" s="134">
        <v>46040</v>
      </c>
      <c r="B12211" s="135">
        <f>YEAR(source[[#This Row],[report_date]])</f>
        <v>2026</v>
      </c>
      <c r="C12211" s="128">
        <f t="shared" si="569"/>
        <v>1</v>
      </c>
      <c r="D12211" s="136">
        <f t="shared" si="571"/>
        <v>3</v>
      </c>
      <c r="E12211" s="136">
        <f t="shared" si="570"/>
        <v>18</v>
      </c>
      <c r="F12211" s="137" t="s">
        <v>24</v>
      </c>
      <c r="G12211" s="128" t="str">
        <f>VLOOKUP(source[[#This Row],[lending_product_transform]],[3]Mapping!$B$4:$C$37,2,0)</f>
        <v>[Cake] - Cashloan</v>
      </c>
      <c r="H12211" s="128" t="str">
        <f>VLOOKUP(source[[#This Row],[lending_product_transform]],[3]Mapping!$B$3:$D$37,3,0)</f>
        <v>cashloan</v>
      </c>
      <c r="I12211" s="143">
        <v>0</v>
      </c>
    </row>
    <row r="12212" spans="1:9" x14ac:dyDescent="0.2">
      <c r="A12212" s="134">
        <v>46040</v>
      </c>
      <c r="B12212" s="135">
        <f>YEAR(source[[#This Row],[report_date]])</f>
        <v>2026</v>
      </c>
      <c r="C12212" s="128">
        <f t="shared" si="569"/>
        <v>1</v>
      </c>
      <c r="D12212" s="136">
        <f t="shared" si="571"/>
        <v>3</v>
      </c>
      <c r="E12212" s="136">
        <f t="shared" si="570"/>
        <v>18</v>
      </c>
      <c r="F12212" s="137" t="s">
        <v>24</v>
      </c>
      <c r="G12212" s="128" t="str">
        <f>VLOOKUP(source[[#This Row],[lending_product_transform]],[3]Mapping!$B$4:$C$37,2,0)</f>
        <v>[Cake] - Cashloan</v>
      </c>
      <c r="H12212" s="128" t="str">
        <f>VLOOKUP(source[[#This Row],[lending_product_transform]],[3]Mapping!$B$3:$D$37,3,0)</f>
        <v>cashloan</v>
      </c>
      <c r="I12212" s="143">
        <v>5934900000</v>
      </c>
    </row>
    <row r="12213" spans="1:9" x14ac:dyDescent="0.2">
      <c r="A12213" s="134">
        <v>46040</v>
      </c>
      <c r="B12213" s="135">
        <f>YEAR(source[[#This Row],[report_date]])</f>
        <v>2026</v>
      </c>
      <c r="C12213" s="128">
        <f t="shared" si="569"/>
        <v>1</v>
      </c>
      <c r="D12213" s="136">
        <f t="shared" si="571"/>
        <v>3</v>
      </c>
      <c r="E12213" s="136">
        <f t="shared" si="570"/>
        <v>18</v>
      </c>
      <c r="F12213" s="137" t="s">
        <v>24</v>
      </c>
      <c r="G12213" s="128" t="str">
        <f>VLOOKUP(source[[#This Row],[lending_product_transform]],[3]Mapping!$B$4:$C$37,2,0)</f>
        <v>[Cake] - Cashloan</v>
      </c>
      <c r="H12213" s="128" t="str">
        <f>VLOOKUP(source[[#This Row],[lending_product_transform]],[3]Mapping!$B$3:$D$37,3,0)</f>
        <v>cashloan</v>
      </c>
      <c r="I12213" s="143">
        <v>1204830000</v>
      </c>
    </row>
    <row r="12214" spans="1:9" x14ac:dyDescent="0.2">
      <c r="A12214" s="134">
        <v>46040</v>
      </c>
      <c r="B12214" s="135">
        <f>YEAR(source[[#This Row],[report_date]])</f>
        <v>2026</v>
      </c>
      <c r="C12214" s="128">
        <f t="shared" ref="C12214:C12277" si="572">MONTH(A12214)</f>
        <v>1</v>
      </c>
      <c r="D12214" s="136">
        <f t="shared" si="571"/>
        <v>3</v>
      </c>
      <c r="E12214" s="136">
        <f t="shared" ref="E12214:E12277" si="573">DAY(A12214)</f>
        <v>18</v>
      </c>
      <c r="F12214" s="137" t="s">
        <v>24</v>
      </c>
      <c r="G12214" s="128" t="str">
        <f>VLOOKUP(source[[#This Row],[lending_product_transform]],[3]Mapping!$B$4:$C$37,2,0)</f>
        <v>[Cake] - Cashloan</v>
      </c>
      <c r="H12214" s="128" t="str">
        <f>VLOOKUP(source[[#This Row],[lending_product_transform]],[3]Mapping!$B$3:$D$37,3,0)</f>
        <v>cashloan</v>
      </c>
      <c r="I12214" s="143">
        <v>7300100</v>
      </c>
    </row>
    <row r="12215" spans="1:9" x14ac:dyDescent="0.2">
      <c r="A12215" s="134">
        <v>46040</v>
      </c>
      <c r="B12215" s="135">
        <f>YEAR(source[[#This Row],[report_date]])</f>
        <v>2026</v>
      </c>
      <c r="C12215" s="128">
        <f t="shared" si="572"/>
        <v>1</v>
      </c>
      <c r="D12215" s="136">
        <f t="shared" si="571"/>
        <v>3</v>
      </c>
      <c r="E12215" s="136">
        <f t="shared" si="573"/>
        <v>18</v>
      </c>
      <c r="F12215" s="137" t="s">
        <v>24</v>
      </c>
      <c r="G12215" s="128" t="str">
        <f>VLOOKUP(source[[#This Row],[lending_product_transform]],[3]Mapping!$B$4:$C$37,2,0)</f>
        <v>[Cake] - Cashloan</v>
      </c>
      <c r="H12215" s="128" t="str">
        <f>VLOOKUP(source[[#This Row],[lending_product_transform]],[3]Mapping!$B$3:$D$37,3,0)</f>
        <v>cashloan</v>
      </c>
      <c r="I12215" s="143">
        <v>1740651335</v>
      </c>
    </row>
    <row r="12216" spans="1:9" x14ac:dyDescent="0.2">
      <c r="A12216" s="134">
        <v>46040</v>
      </c>
      <c r="B12216" s="135">
        <f>YEAR(source[[#This Row],[report_date]])</f>
        <v>2026</v>
      </c>
      <c r="C12216" s="128">
        <f t="shared" si="572"/>
        <v>1</v>
      </c>
      <c r="D12216" s="136">
        <f t="shared" si="571"/>
        <v>3</v>
      </c>
      <c r="E12216" s="136">
        <f t="shared" si="573"/>
        <v>18</v>
      </c>
      <c r="F12216" s="137" t="s">
        <v>24</v>
      </c>
      <c r="G12216" s="128" t="str">
        <f>VLOOKUP(source[[#This Row],[lending_product_transform]],[3]Mapping!$B$4:$C$37,2,0)</f>
        <v>[Cake] - Cashloan</v>
      </c>
      <c r="H12216" s="128" t="str">
        <f>VLOOKUP(source[[#This Row],[lending_product_transform]],[3]Mapping!$B$3:$D$37,3,0)</f>
        <v>cashloan</v>
      </c>
      <c r="I12216" s="143">
        <v>0</v>
      </c>
    </row>
    <row r="12217" spans="1:9" x14ac:dyDescent="0.2">
      <c r="A12217" s="134">
        <v>46040</v>
      </c>
      <c r="B12217" s="135">
        <f>YEAR(source[[#This Row],[report_date]])</f>
        <v>2026</v>
      </c>
      <c r="C12217" s="128">
        <f t="shared" si="572"/>
        <v>1</v>
      </c>
      <c r="D12217" s="136">
        <f t="shared" si="571"/>
        <v>3</v>
      </c>
      <c r="E12217" s="136">
        <f t="shared" si="573"/>
        <v>18</v>
      </c>
      <c r="F12217" s="137" t="s">
        <v>24</v>
      </c>
      <c r="G12217" s="128" t="str">
        <f>VLOOKUP(source[[#This Row],[lending_product_transform]],[3]Mapping!$B$4:$C$37,2,0)</f>
        <v>[Cake] - Cashloan</v>
      </c>
      <c r="H12217" s="128" t="str">
        <f>VLOOKUP(source[[#This Row],[lending_product_transform]],[3]Mapping!$B$3:$D$37,3,0)</f>
        <v>cashloan</v>
      </c>
      <c r="I12217" s="143">
        <v>195550000</v>
      </c>
    </row>
    <row r="12218" spans="1:9" x14ac:dyDescent="0.2">
      <c r="A12218" s="134">
        <v>46040</v>
      </c>
      <c r="B12218" s="135">
        <f>YEAR(source[[#This Row],[report_date]])</f>
        <v>2026</v>
      </c>
      <c r="C12218" s="128">
        <f t="shared" si="572"/>
        <v>1</v>
      </c>
      <c r="D12218" s="136">
        <f t="shared" si="571"/>
        <v>3</v>
      </c>
      <c r="E12218" s="136">
        <f t="shared" si="573"/>
        <v>18</v>
      </c>
      <c r="F12218" s="137" t="s">
        <v>24</v>
      </c>
      <c r="G12218" s="128" t="str">
        <f>VLOOKUP(source[[#This Row],[lending_product_transform]],[3]Mapping!$B$4:$C$37,2,0)</f>
        <v>[Cake] - Cashloan</v>
      </c>
      <c r="H12218" s="128" t="str">
        <f>VLOOKUP(source[[#This Row],[lending_product_transform]],[3]Mapping!$B$3:$D$37,3,0)</f>
        <v>cashloan</v>
      </c>
      <c r="I12218" s="143">
        <v>0</v>
      </c>
    </row>
    <row r="12219" spans="1:9" x14ac:dyDescent="0.2">
      <c r="A12219" s="134">
        <v>46040</v>
      </c>
      <c r="B12219" s="135">
        <f>YEAR(source[[#This Row],[report_date]])</f>
        <v>2026</v>
      </c>
      <c r="C12219" s="128">
        <f t="shared" si="572"/>
        <v>1</v>
      </c>
      <c r="D12219" s="136">
        <f t="shared" si="571"/>
        <v>3</v>
      </c>
      <c r="E12219" s="136">
        <f t="shared" si="573"/>
        <v>18</v>
      </c>
      <c r="F12219" s="137" t="s">
        <v>24</v>
      </c>
      <c r="G12219" s="128" t="str">
        <f>VLOOKUP(source[[#This Row],[lending_product_transform]],[3]Mapping!$B$4:$C$37,2,0)</f>
        <v>[Cake] - Cashloan</v>
      </c>
      <c r="H12219" s="128" t="str">
        <f>VLOOKUP(source[[#This Row],[lending_product_transform]],[3]Mapping!$B$3:$D$37,3,0)</f>
        <v>cashloan</v>
      </c>
      <c r="I12219" s="143">
        <v>16180000000</v>
      </c>
    </row>
    <row r="12220" spans="1:9" x14ac:dyDescent="0.2">
      <c r="A12220" s="134">
        <v>46040</v>
      </c>
      <c r="B12220" s="135">
        <f>YEAR(source[[#This Row],[report_date]])</f>
        <v>2026</v>
      </c>
      <c r="C12220" s="128">
        <f t="shared" si="572"/>
        <v>1</v>
      </c>
      <c r="D12220" s="136">
        <f t="shared" si="571"/>
        <v>3</v>
      </c>
      <c r="E12220" s="136">
        <f t="shared" si="573"/>
        <v>18</v>
      </c>
      <c r="F12220" s="137" t="s">
        <v>24</v>
      </c>
      <c r="G12220" s="128" t="str">
        <f>VLOOKUP(source[[#This Row],[lending_product_transform]],[3]Mapping!$B$4:$C$37,2,0)</f>
        <v>[Cake] - Cashloan</v>
      </c>
      <c r="H12220" s="128" t="str">
        <f>VLOOKUP(source[[#This Row],[lending_product_transform]],[3]Mapping!$B$3:$D$37,3,0)</f>
        <v>cashloan</v>
      </c>
      <c r="I12220" s="143">
        <v>0</v>
      </c>
    </row>
    <row r="12221" spans="1:9" x14ac:dyDescent="0.2">
      <c r="A12221" s="134">
        <v>46040</v>
      </c>
      <c r="B12221" s="135">
        <f>YEAR(source[[#This Row],[report_date]])</f>
        <v>2026</v>
      </c>
      <c r="C12221" s="128">
        <f t="shared" si="572"/>
        <v>1</v>
      </c>
      <c r="D12221" s="136">
        <f t="shared" si="571"/>
        <v>3</v>
      </c>
      <c r="E12221" s="136">
        <f t="shared" si="573"/>
        <v>18</v>
      </c>
      <c r="F12221" s="137" t="s">
        <v>24</v>
      </c>
      <c r="G12221" s="128" t="str">
        <f>VLOOKUP(source[[#This Row],[lending_product_transform]],[3]Mapping!$B$4:$C$37,2,0)</f>
        <v>[Cake] - Cashloan</v>
      </c>
      <c r="H12221" s="128" t="str">
        <f>VLOOKUP(source[[#This Row],[lending_product_transform]],[3]Mapping!$B$3:$D$37,3,0)</f>
        <v>cashloan</v>
      </c>
      <c r="I12221" s="143">
        <v>0</v>
      </c>
    </row>
    <row r="12222" spans="1:9" x14ac:dyDescent="0.2">
      <c r="A12222" s="134">
        <v>46040</v>
      </c>
      <c r="B12222" s="135">
        <f>YEAR(source[[#This Row],[report_date]])</f>
        <v>2026</v>
      </c>
      <c r="C12222" s="128">
        <f t="shared" si="572"/>
        <v>1</v>
      </c>
      <c r="D12222" s="136">
        <f t="shared" si="571"/>
        <v>3</v>
      </c>
      <c r="E12222" s="136">
        <f t="shared" si="573"/>
        <v>18</v>
      </c>
      <c r="F12222" s="137" t="s">
        <v>24</v>
      </c>
      <c r="G12222" s="128" t="str">
        <f>VLOOKUP(source[[#This Row],[lending_product_transform]],[3]Mapping!$B$4:$C$37,2,0)</f>
        <v>[Cake] - Cashloan</v>
      </c>
      <c r="H12222" s="128" t="str">
        <f>VLOOKUP(source[[#This Row],[lending_product_transform]],[3]Mapping!$B$3:$D$37,3,0)</f>
        <v>cashloan</v>
      </c>
      <c r="I12222" s="143">
        <v>0</v>
      </c>
    </row>
    <row r="12223" spans="1:9" x14ac:dyDescent="0.2">
      <c r="A12223" s="134">
        <v>46040</v>
      </c>
      <c r="B12223" s="135">
        <f>YEAR(source[[#This Row],[report_date]])</f>
        <v>2026</v>
      </c>
      <c r="C12223" s="128">
        <f t="shared" si="572"/>
        <v>1</v>
      </c>
      <c r="D12223" s="136">
        <f t="shared" si="571"/>
        <v>3</v>
      </c>
      <c r="E12223" s="136">
        <f t="shared" si="573"/>
        <v>18</v>
      </c>
      <c r="F12223" s="137" t="s">
        <v>24</v>
      </c>
      <c r="G12223" s="128" t="str">
        <f>VLOOKUP(source[[#This Row],[lending_product_transform]],[3]Mapping!$B$4:$C$37,2,0)</f>
        <v>[Cake] - Cashloan</v>
      </c>
      <c r="H12223" s="128" t="str">
        <f>VLOOKUP(source[[#This Row],[lending_product_transform]],[3]Mapping!$B$3:$D$37,3,0)</f>
        <v>cashloan</v>
      </c>
      <c r="I12223" s="143">
        <v>0</v>
      </c>
    </row>
    <row r="12224" spans="1:9" x14ac:dyDescent="0.2">
      <c r="A12224" s="134">
        <v>46040</v>
      </c>
      <c r="B12224" s="135">
        <f>YEAR(source[[#This Row],[report_date]])</f>
        <v>2026</v>
      </c>
      <c r="C12224" s="128">
        <f t="shared" si="572"/>
        <v>1</v>
      </c>
      <c r="D12224" s="136">
        <f t="shared" si="571"/>
        <v>3</v>
      </c>
      <c r="E12224" s="136">
        <f t="shared" si="573"/>
        <v>18</v>
      </c>
      <c r="F12224" s="137" t="s">
        <v>24</v>
      </c>
      <c r="G12224" s="128" t="str">
        <f>VLOOKUP(source[[#This Row],[lending_product_transform]],[3]Mapping!$B$4:$C$37,2,0)</f>
        <v>[Cake] - Cashloan</v>
      </c>
      <c r="H12224" s="128" t="str">
        <f>VLOOKUP(source[[#This Row],[lending_product_transform]],[3]Mapping!$B$3:$D$37,3,0)</f>
        <v>cashloan</v>
      </c>
      <c r="I12224" s="143">
        <v>11843928000</v>
      </c>
    </row>
    <row r="12225" spans="1:9" x14ac:dyDescent="0.2">
      <c r="A12225" s="134">
        <v>46040</v>
      </c>
      <c r="B12225" s="135">
        <f>YEAR(source[[#This Row],[report_date]])</f>
        <v>2026</v>
      </c>
      <c r="C12225" s="128">
        <f t="shared" si="572"/>
        <v>1</v>
      </c>
      <c r="D12225" s="136">
        <f t="shared" si="571"/>
        <v>3</v>
      </c>
      <c r="E12225" s="136">
        <f t="shared" si="573"/>
        <v>18</v>
      </c>
      <c r="F12225" s="137" t="s">
        <v>24</v>
      </c>
      <c r="G12225" s="128" t="str">
        <f>VLOOKUP(source[[#This Row],[lending_product_transform]],[3]Mapping!$B$4:$C$37,2,0)</f>
        <v>[Cake] - Cashloan</v>
      </c>
      <c r="H12225" s="128" t="str">
        <f>VLOOKUP(source[[#This Row],[lending_product_transform]],[3]Mapping!$B$3:$D$37,3,0)</f>
        <v>cashloan</v>
      </c>
      <c r="I12225" s="143">
        <v>161783251</v>
      </c>
    </row>
    <row r="12226" spans="1:9" x14ac:dyDescent="0.2">
      <c r="A12226" s="134">
        <v>46040</v>
      </c>
      <c r="B12226" s="135">
        <f>YEAR(source[[#This Row],[report_date]])</f>
        <v>2026</v>
      </c>
      <c r="C12226" s="128">
        <f t="shared" si="572"/>
        <v>1</v>
      </c>
      <c r="D12226" s="136">
        <f t="shared" si="571"/>
        <v>3</v>
      </c>
      <c r="E12226" s="136">
        <f t="shared" si="573"/>
        <v>18</v>
      </c>
      <c r="F12226" s="137" t="s">
        <v>24</v>
      </c>
      <c r="G12226" s="128" t="str">
        <f>VLOOKUP(source[[#This Row],[lending_product_transform]],[3]Mapping!$B$4:$C$37,2,0)</f>
        <v>[Cake] - Cashloan</v>
      </c>
      <c r="H12226" s="128" t="str">
        <f>VLOOKUP(source[[#This Row],[lending_product_transform]],[3]Mapping!$B$3:$D$37,3,0)</f>
        <v>cashloan</v>
      </c>
      <c r="I12226" s="143">
        <v>10500000</v>
      </c>
    </row>
    <row r="12227" spans="1:9" x14ac:dyDescent="0.2">
      <c r="A12227" s="134">
        <v>46040</v>
      </c>
      <c r="B12227" s="135">
        <f>YEAR(source[[#This Row],[report_date]])</f>
        <v>2026</v>
      </c>
      <c r="C12227" s="128">
        <f t="shared" si="572"/>
        <v>1</v>
      </c>
      <c r="D12227" s="136">
        <f t="shared" si="571"/>
        <v>3</v>
      </c>
      <c r="E12227" s="136">
        <f t="shared" si="573"/>
        <v>18</v>
      </c>
      <c r="F12227" s="137" t="s">
        <v>24</v>
      </c>
      <c r="G12227" s="128" t="str">
        <f>VLOOKUP(source[[#This Row],[lending_product_transform]],[3]Mapping!$B$4:$C$37,2,0)</f>
        <v>[Cake] - Cashloan</v>
      </c>
      <c r="H12227" s="128" t="str">
        <f>VLOOKUP(source[[#This Row],[lending_product_transform]],[3]Mapping!$B$3:$D$37,3,0)</f>
        <v>cashloan</v>
      </c>
      <c r="I12227" s="143">
        <v>34000000</v>
      </c>
    </row>
    <row r="12228" spans="1:9" x14ac:dyDescent="0.2">
      <c r="A12228" s="134">
        <v>46040</v>
      </c>
      <c r="B12228" s="135">
        <f>YEAR(source[[#This Row],[report_date]])</f>
        <v>2026</v>
      </c>
      <c r="C12228" s="128">
        <f t="shared" si="572"/>
        <v>1</v>
      </c>
      <c r="D12228" s="136">
        <f t="shared" si="571"/>
        <v>3</v>
      </c>
      <c r="E12228" s="136">
        <f t="shared" si="573"/>
        <v>18</v>
      </c>
      <c r="F12228" s="137" t="s">
        <v>24</v>
      </c>
      <c r="G12228" s="128" t="str">
        <f>VLOOKUP(source[[#This Row],[lending_product_transform]],[3]Mapping!$B$4:$C$37,2,0)</f>
        <v>[Cake] - Cashloan</v>
      </c>
      <c r="H12228" s="128" t="str">
        <f>VLOOKUP(source[[#This Row],[lending_product_transform]],[3]Mapping!$B$3:$D$37,3,0)</f>
        <v>cashloan</v>
      </c>
      <c r="I12228" s="143">
        <v>909750000</v>
      </c>
    </row>
    <row r="12229" spans="1:9" x14ac:dyDescent="0.2">
      <c r="A12229" s="134">
        <v>46040</v>
      </c>
      <c r="B12229" s="135">
        <f>YEAR(source[[#This Row],[report_date]])</f>
        <v>2026</v>
      </c>
      <c r="C12229" s="128">
        <f t="shared" si="572"/>
        <v>1</v>
      </c>
      <c r="D12229" s="136">
        <f t="shared" si="571"/>
        <v>3</v>
      </c>
      <c r="E12229" s="136">
        <f t="shared" si="573"/>
        <v>18</v>
      </c>
      <c r="F12229" s="137" t="s">
        <v>24</v>
      </c>
      <c r="G12229" s="128" t="str">
        <f>VLOOKUP(source[[#This Row],[lending_product_transform]],[3]Mapping!$B$4:$C$37,2,0)</f>
        <v>[Cake] - Cashloan</v>
      </c>
      <c r="H12229" s="128" t="str">
        <f>VLOOKUP(source[[#This Row],[lending_product_transform]],[3]Mapping!$B$3:$D$37,3,0)</f>
        <v>cashloan</v>
      </c>
      <c r="I12229" s="143">
        <v>380916000</v>
      </c>
    </row>
    <row r="12230" spans="1:9" x14ac:dyDescent="0.2">
      <c r="A12230" s="134">
        <v>46040</v>
      </c>
      <c r="B12230" s="135">
        <f>YEAR(source[[#This Row],[report_date]])</f>
        <v>2026</v>
      </c>
      <c r="C12230" s="128">
        <f t="shared" si="572"/>
        <v>1</v>
      </c>
      <c r="D12230" s="136">
        <f t="shared" si="571"/>
        <v>3</v>
      </c>
      <c r="E12230" s="136">
        <f t="shared" si="573"/>
        <v>18</v>
      </c>
      <c r="F12230" s="137" t="s">
        <v>24</v>
      </c>
      <c r="G12230" s="128" t="str">
        <f>VLOOKUP(source[[#This Row],[lending_product_transform]],[3]Mapping!$B$4:$C$37,2,0)</f>
        <v>[Cake] - Cashloan</v>
      </c>
      <c r="H12230" s="128" t="str">
        <f>VLOOKUP(source[[#This Row],[lending_product_transform]],[3]Mapping!$B$3:$D$37,3,0)</f>
        <v>cashloan</v>
      </c>
      <c r="I12230" s="143">
        <v>206865269</v>
      </c>
    </row>
    <row r="12231" spans="1:9" x14ac:dyDescent="0.2">
      <c r="A12231" s="134">
        <v>46040</v>
      </c>
      <c r="B12231" s="135">
        <f>YEAR(source[[#This Row],[report_date]])</f>
        <v>2026</v>
      </c>
      <c r="C12231" s="128">
        <f t="shared" si="572"/>
        <v>1</v>
      </c>
      <c r="D12231" s="136">
        <f t="shared" si="571"/>
        <v>3</v>
      </c>
      <c r="E12231" s="136">
        <f t="shared" si="573"/>
        <v>18</v>
      </c>
      <c r="F12231" s="137" t="s">
        <v>24</v>
      </c>
      <c r="G12231" s="128" t="str">
        <f>VLOOKUP(source[[#This Row],[lending_product_transform]],[3]Mapping!$B$4:$C$37,2,0)</f>
        <v>[Cake] - Cashloan</v>
      </c>
      <c r="H12231" s="128" t="str">
        <f>VLOOKUP(source[[#This Row],[lending_product_transform]],[3]Mapping!$B$3:$D$37,3,0)</f>
        <v>cashloan</v>
      </c>
      <c r="I12231" s="143">
        <v>3016280000</v>
      </c>
    </row>
    <row r="12232" spans="1:9" x14ac:dyDescent="0.2">
      <c r="A12232" s="134">
        <v>46040</v>
      </c>
      <c r="B12232" s="135">
        <f>YEAR(source[[#This Row],[report_date]])</f>
        <v>2026</v>
      </c>
      <c r="C12232" s="128">
        <f t="shared" si="572"/>
        <v>1</v>
      </c>
      <c r="D12232" s="136">
        <f t="shared" si="571"/>
        <v>3</v>
      </c>
      <c r="E12232" s="136">
        <f t="shared" si="573"/>
        <v>18</v>
      </c>
      <c r="F12232" s="137" t="s">
        <v>24</v>
      </c>
      <c r="G12232" s="128" t="str">
        <f>VLOOKUP(source[[#This Row],[lending_product_transform]],[3]Mapping!$B$4:$C$37,2,0)</f>
        <v>[Cake] - Cashloan</v>
      </c>
      <c r="H12232" s="128" t="str">
        <f>VLOOKUP(source[[#This Row],[lending_product_transform]],[3]Mapping!$B$3:$D$37,3,0)</f>
        <v>cashloan</v>
      </c>
      <c r="I12232" s="143">
        <v>349800000</v>
      </c>
    </row>
    <row r="12233" spans="1:9" x14ac:dyDescent="0.2">
      <c r="A12233" s="134">
        <v>46041</v>
      </c>
      <c r="B12233" s="135">
        <f>YEAR(source[[#This Row],[report_date]])</f>
        <v>2026</v>
      </c>
      <c r="C12233" s="128">
        <f t="shared" si="572"/>
        <v>1</v>
      </c>
      <c r="D12233" s="136">
        <f t="shared" si="571"/>
        <v>4</v>
      </c>
      <c r="E12233" s="136">
        <f t="shared" si="573"/>
        <v>19</v>
      </c>
      <c r="F12233" s="137" t="s">
        <v>24</v>
      </c>
      <c r="G12233" s="128" t="str">
        <f>VLOOKUP(source[[#This Row],[lending_product_transform]],[3]Mapping!$B$4:$C$37,2,0)</f>
        <v>[Cake] - Cashloan</v>
      </c>
      <c r="H12233" s="128" t="str">
        <f>VLOOKUP(source[[#This Row],[lending_product_transform]],[3]Mapping!$B$3:$D$37,3,0)</f>
        <v>cashloan</v>
      </c>
      <c r="I12233" s="143">
        <v>560600000</v>
      </c>
    </row>
    <row r="12234" spans="1:9" x14ac:dyDescent="0.2">
      <c r="A12234" s="134">
        <v>46041</v>
      </c>
      <c r="B12234" s="135">
        <f>YEAR(source[[#This Row],[report_date]])</f>
        <v>2026</v>
      </c>
      <c r="C12234" s="128">
        <f t="shared" si="572"/>
        <v>1</v>
      </c>
      <c r="D12234" s="136">
        <f t="shared" si="571"/>
        <v>4</v>
      </c>
      <c r="E12234" s="136">
        <f t="shared" si="573"/>
        <v>19</v>
      </c>
      <c r="F12234" s="137" t="s">
        <v>24</v>
      </c>
      <c r="G12234" s="128" t="str">
        <f>VLOOKUP(source[[#This Row],[lending_product_transform]],[3]Mapping!$B$4:$C$37,2,0)</f>
        <v>[Cake] - Cashloan</v>
      </c>
      <c r="H12234" s="128" t="str">
        <f>VLOOKUP(source[[#This Row],[lending_product_transform]],[3]Mapping!$B$3:$D$37,3,0)</f>
        <v>cashloan</v>
      </c>
      <c r="I12234" s="143">
        <v>274471160</v>
      </c>
    </row>
    <row r="12235" spans="1:9" x14ac:dyDescent="0.2">
      <c r="A12235" s="134">
        <v>46041</v>
      </c>
      <c r="B12235" s="135">
        <f>YEAR(source[[#This Row],[report_date]])</f>
        <v>2026</v>
      </c>
      <c r="C12235" s="128">
        <f t="shared" si="572"/>
        <v>1</v>
      </c>
      <c r="D12235" s="136">
        <f t="shared" si="571"/>
        <v>4</v>
      </c>
      <c r="E12235" s="136">
        <f t="shared" si="573"/>
        <v>19</v>
      </c>
      <c r="F12235" s="137" t="s">
        <v>24</v>
      </c>
      <c r="G12235" s="128" t="str">
        <f>VLOOKUP(source[[#This Row],[lending_product_transform]],[3]Mapping!$B$4:$C$37,2,0)</f>
        <v>[Cake] - Cashloan</v>
      </c>
      <c r="H12235" s="128" t="str">
        <f>VLOOKUP(source[[#This Row],[lending_product_transform]],[3]Mapping!$B$3:$D$37,3,0)</f>
        <v>cashloan</v>
      </c>
      <c r="I12235" s="143">
        <v>14654300000</v>
      </c>
    </row>
    <row r="12236" spans="1:9" x14ac:dyDescent="0.2">
      <c r="A12236" s="134">
        <v>46041</v>
      </c>
      <c r="B12236" s="135">
        <f>YEAR(source[[#This Row],[report_date]])</f>
        <v>2026</v>
      </c>
      <c r="C12236" s="128">
        <f t="shared" si="572"/>
        <v>1</v>
      </c>
      <c r="D12236" s="136">
        <f t="shared" si="571"/>
        <v>4</v>
      </c>
      <c r="E12236" s="136">
        <f t="shared" si="573"/>
        <v>19</v>
      </c>
      <c r="F12236" s="137" t="s">
        <v>24</v>
      </c>
      <c r="G12236" s="128" t="str">
        <f>VLOOKUP(source[[#This Row],[lending_product_transform]],[3]Mapping!$B$4:$C$37,2,0)</f>
        <v>[Cake] - Cashloan</v>
      </c>
      <c r="H12236" s="128" t="str">
        <f>VLOOKUP(source[[#This Row],[lending_product_transform]],[3]Mapping!$B$3:$D$37,3,0)</f>
        <v>cashloan</v>
      </c>
      <c r="I12236" s="143">
        <v>1683779190</v>
      </c>
    </row>
    <row r="12237" spans="1:9" x14ac:dyDescent="0.2">
      <c r="A12237" s="134">
        <v>46041</v>
      </c>
      <c r="B12237" s="135">
        <f>YEAR(source[[#This Row],[report_date]])</f>
        <v>2026</v>
      </c>
      <c r="C12237" s="128">
        <f t="shared" si="572"/>
        <v>1</v>
      </c>
      <c r="D12237" s="136">
        <f t="shared" si="571"/>
        <v>4</v>
      </c>
      <c r="E12237" s="136">
        <f t="shared" si="573"/>
        <v>19</v>
      </c>
      <c r="F12237" s="137" t="s">
        <v>24</v>
      </c>
      <c r="G12237" s="128" t="str">
        <f>VLOOKUP(source[[#This Row],[lending_product_transform]],[3]Mapping!$B$4:$C$37,2,0)</f>
        <v>[Cake] - Cashloan</v>
      </c>
      <c r="H12237" s="128" t="str">
        <f>VLOOKUP(source[[#This Row],[lending_product_transform]],[3]Mapping!$B$3:$D$37,3,0)</f>
        <v>cashloan</v>
      </c>
      <c r="I12237" s="143">
        <v>14651064000</v>
      </c>
    </row>
    <row r="12238" spans="1:9" x14ac:dyDescent="0.2">
      <c r="A12238" s="134">
        <v>46041</v>
      </c>
      <c r="B12238" s="135">
        <f>YEAR(source[[#This Row],[report_date]])</f>
        <v>2026</v>
      </c>
      <c r="C12238" s="128">
        <f t="shared" si="572"/>
        <v>1</v>
      </c>
      <c r="D12238" s="136">
        <f t="shared" si="571"/>
        <v>4</v>
      </c>
      <c r="E12238" s="136">
        <f t="shared" si="573"/>
        <v>19</v>
      </c>
      <c r="F12238" s="137" t="s">
        <v>24</v>
      </c>
      <c r="G12238" s="128" t="str">
        <f>VLOOKUP(source[[#This Row],[lending_product_transform]],[3]Mapping!$B$4:$C$37,2,0)</f>
        <v>[Cake] - Cashloan</v>
      </c>
      <c r="H12238" s="128" t="str">
        <f>VLOOKUP(source[[#This Row],[lending_product_transform]],[3]Mapping!$B$3:$D$37,3,0)</f>
        <v>cashloan</v>
      </c>
      <c r="I12238" s="143">
        <v>7712628</v>
      </c>
    </row>
    <row r="12239" spans="1:9" x14ac:dyDescent="0.2">
      <c r="A12239" s="134">
        <v>46041</v>
      </c>
      <c r="B12239" s="135">
        <f>YEAR(source[[#This Row],[report_date]])</f>
        <v>2026</v>
      </c>
      <c r="C12239" s="128">
        <f t="shared" si="572"/>
        <v>1</v>
      </c>
      <c r="D12239" s="136">
        <f t="shared" si="571"/>
        <v>4</v>
      </c>
      <c r="E12239" s="136">
        <f t="shared" si="573"/>
        <v>19</v>
      </c>
      <c r="F12239" s="137" t="s">
        <v>24</v>
      </c>
      <c r="G12239" s="128" t="str">
        <f>VLOOKUP(source[[#This Row],[lending_product_transform]],[3]Mapping!$B$4:$C$37,2,0)</f>
        <v>[Cake] - Cashloan</v>
      </c>
      <c r="H12239" s="128" t="str">
        <f>VLOOKUP(source[[#This Row],[lending_product_transform]],[3]Mapping!$B$3:$D$37,3,0)</f>
        <v>cashloan</v>
      </c>
      <c r="I12239" s="143">
        <v>47000000</v>
      </c>
    </row>
    <row r="12240" spans="1:9" x14ac:dyDescent="0.2">
      <c r="A12240" s="134">
        <v>46041</v>
      </c>
      <c r="B12240" s="135">
        <f>YEAR(source[[#This Row],[report_date]])</f>
        <v>2026</v>
      </c>
      <c r="C12240" s="128">
        <f t="shared" si="572"/>
        <v>1</v>
      </c>
      <c r="D12240" s="136">
        <f t="shared" si="571"/>
        <v>4</v>
      </c>
      <c r="E12240" s="136">
        <f t="shared" si="573"/>
        <v>19</v>
      </c>
      <c r="F12240" s="137" t="s">
        <v>24</v>
      </c>
      <c r="G12240" s="128" t="str">
        <f>VLOOKUP(source[[#This Row],[lending_product_transform]],[3]Mapping!$B$4:$C$37,2,0)</f>
        <v>[Cake] - Cashloan</v>
      </c>
      <c r="H12240" s="128" t="str">
        <f>VLOOKUP(source[[#This Row],[lending_product_transform]],[3]Mapping!$B$3:$D$37,3,0)</f>
        <v>cashloan</v>
      </c>
      <c r="I12240" s="143">
        <v>5486190000</v>
      </c>
    </row>
    <row r="12241" spans="1:9" x14ac:dyDescent="0.2">
      <c r="A12241" s="134">
        <v>46041</v>
      </c>
      <c r="B12241" s="135">
        <f>YEAR(source[[#This Row],[report_date]])</f>
        <v>2026</v>
      </c>
      <c r="C12241" s="128">
        <f t="shared" si="572"/>
        <v>1</v>
      </c>
      <c r="D12241" s="136">
        <f t="shared" ref="D12241:D12304" si="574">WEEKNUM(A12241,2)</f>
        <v>4</v>
      </c>
      <c r="E12241" s="136">
        <f t="shared" si="573"/>
        <v>19</v>
      </c>
      <c r="F12241" s="137" t="s">
        <v>24</v>
      </c>
      <c r="G12241" s="128" t="str">
        <f>VLOOKUP(source[[#This Row],[lending_product_transform]],[3]Mapping!$B$4:$C$37,2,0)</f>
        <v>[Cake] - Cashloan</v>
      </c>
      <c r="H12241" s="128" t="str">
        <f>VLOOKUP(source[[#This Row],[lending_product_transform]],[3]Mapping!$B$3:$D$37,3,0)</f>
        <v>cashloan</v>
      </c>
      <c r="I12241" s="143">
        <v>1140980000</v>
      </c>
    </row>
    <row r="12242" spans="1:9" x14ac:dyDescent="0.2">
      <c r="A12242" s="134">
        <v>46041</v>
      </c>
      <c r="B12242" s="135">
        <f>YEAR(source[[#This Row],[report_date]])</f>
        <v>2026</v>
      </c>
      <c r="C12242" s="128">
        <f t="shared" si="572"/>
        <v>1</v>
      </c>
      <c r="D12242" s="136">
        <f t="shared" si="574"/>
        <v>4</v>
      </c>
      <c r="E12242" s="136">
        <f t="shared" si="573"/>
        <v>19</v>
      </c>
      <c r="F12242" s="137" t="s">
        <v>24</v>
      </c>
      <c r="G12242" s="128" t="str">
        <f>VLOOKUP(source[[#This Row],[lending_product_transform]],[3]Mapping!$B$4:$C$37,2,0)</f>
        <v>[Cake] - Cashloan</v>
      </c>
      <c r="H12242" s="128" t="str">
        <f>VLOOKUP(source[[#This Row],[lending_product_transform]],[3]Mapping!$B$3:$D$37,3,0)</f>
        <v>cashloan</v>
      </c>
      <c r="I12242" s="143">
        <v>8855382</v>
      </c>
    </row>
    <row r="12243" spans="1:9" x14ac:dyDescent="0.2">
      <c r="A12243" s="134">
        <v>46041</v>
      </c>
      <c r="B12243" s="135">
        <f>YEAR(source[[#This Row],[report_date]])</f>
        <v>2026</v>
      </c>
      <c r="C12243" s="128">
        <f t="shared" si="572"/>
        <v>1</v>
      </c>
      <c r="D12243" s="136">
        <f t="shared" si="574"/>
        <v>4</v>
      </c>
      <c r="E12243" s="136">
        <f t="shared" si="573"/>
        <v>19</v>
      </c>
      <c r="F12243" s="137" t="s">
        <v>24</v>
      </c>
      <c r="G12243" s="128" t="str">
        <f>VLOOKUP(source[[#This Row],[lending_product_transform]],[3]Mapping!$B$4:$C$37,2,0)</f>
        <v>[Cake] - Cashloan</v>
      </c>
      <c r="H12243" s="128" t="str">
        <f>VLOOKUP(source[[#This Row],[lending_product_transform]],[3]Mapping!$B$3:$D$37,3,0)</f>
        <v>cashloan</v>
      </c>
      <c r="I12243" s="143">
        <v>833682606</v>
      </c>
    </row>
    <row r="12244" spans="1:9" x14ac:dyDescent="0.2">
      <c r="A12244" s="134">
        <v>46041</v>
      </c>
      <c r="B12244" s="135">
        <f>YEAR(source[[#This Row],[report_date]])</f>
        <v>2026</v>
      </c>
      <c r="C12244" s="128">
        <f t="shared" si="572"/>
        <v>1</v>
      </c>
      <c r="D12244" s="136">
        <f t="shared" si="574"/>
        <v>4</v>
      </c>
      <c r="E12244" s="136">
        <f t="shared" si="573"/>
        <v>19</v>
      </c>
      <c r="F12244" s="137" t="s">
        <v>24</v>
      </c>
      <c r="G12244" s="128" t="str">
        <f>VLOOKUP(source[[#This Row],[lending_product_transform]],[3]Mapping!$B$4:$C$37,2,0)</f>
        <v>[Cake] - Cashloan</v>
      </c>
      <c r="H12244" s="128" t="str">
        <f>VLOOKUP(source[[#This Row],[lending_product_transform]],[3]Mapping!$B$3:$D$37,3,0)</f>
        <v>cashloan</v>
      </c>
      <c r="I12244" s="143">
        <v>0</v>
      </c>
    </row>
    <row r="12245" spans="1:9" x14ac:dyDescent="0.2">
      <c r="A12245" s="134">
        <v>46041</v>
      </c>
      <c r="B12245" s="135">
        <f>YEAR(source[[#This Row],[report_date]])</f>
        <v>2026</v>
      </c>
      <c r="C12245" s="128">
        <f t="shared" si="572"/>
        <v>1</v>
      </c>
      <c r="D12245" s="136">
        <f t="shared" si="574"/>
        <v>4</v>
      </c>
      <c r="E12245" s="136">
        <f t="shared" si="573"/>
        <v>19</v>
      </c>
      <c r="F12245" s="137" t="s">
        <v>24</v>
      </c>
      <c r="G12245" s="128" t="str">
        <f>VLOOKUP(source[[#This Row],[lending_product_transform]],[3]Mapping!$B$4:$C$37,2,0)</f>
        <v>[Cake] - Cashloan</v>
      </c>
      <c r="H12245" s="128" t="str">
        <f>VLOOKUP(source[[#This Row],[lending_product_transform]],[3]Mapping!$B$3:$D$37,3,0)</f>
        <v>cashloan</v>
      </c>
      <c r="I12245" s="143">
        <v>213100000</v>
      </c>
    </row>
    <row r="12246" spans="1:9" x14ac:dyDescent="0.2">
      <c r="A12246" s="134">
        <v>46041</v>
      </c>
      <c r="B12246" s="135">
        <f>YEAR(source[[#This Row],[report_date]])</f>
        <v>2026</v>
      </c>
      <c r="C12246" s="128">
        <f t="shared" si="572"/>
        <v>1</v>
      </c>
      <c r="D12246" s="136">
        <f t="shared" si="574"/>
        <v>4</v>
      </c>
      <c r="E12246" s="136">
        <f t="shared" si="573"/>
        <v>19</v>
      </c>
      <c r="F12246" s="137" t="s">
        <v>24</v>
      </c>
      <c r="G12246" s="128" t="str">
        <f>VLOOKUP(source[[#This Row],[lending_product_transform]],[3]Mapping!$B$4:$C$37,2,0)</f>
        <v>[Cake] - Cashloan</v>
      </c>
      <c r="H12246" s="128" t="str">
        <f>VLOOKUP(source[[#This Row],[lending_product_transform]],[3]Mapping!$B$3:$D$37,3,0)</f>
        <v>cashloan</v>
      </c>
      <c r="I12246" s="143">
        <v>185400000</v>
      </c>
    </row>
    <row r="12247" spans="1:9" x14ac:dyDescent="0.2">
      <c r="A12247" s="134">
        <v>46041</v>
      </c>
      <c r="B12247" s="135">
        <f>YEAR(source[[#This Row],[report_date]])</f>
        <v>2026</v>
      </c>
      <c r="C12247" s="128">
        <f t="shared" si="572"/>
        <v>1</v>
      </c>
      <c r="D12247" s="136">
        <f t="shared" si="574"/>
        <v>4</v>
      </c>
      <c r="E12247" s="136">
        <f t="shared" si="573"/>
        <v>19</v>
      </c>
      <c r="F12247" s="137" t="s">
        <v>24</v>
      </c>
      <c r="G12247" s="128" t="str">
        <f>VLOOKUP(source[[#This Row],[lending_product_transform]],[3]Mapping!$B$4:$C$37,2,0)</f>
        <v>[Cake] - Cashloan</v>
      </c>
      <c r="H12247" s="128" t="str">
        <f>VLOOKUP(source[[#This Row],[lending_product_transform]],[3]Mapping!$B$3:$D$37,3,0)</f>
        <v>cashloan</v>
      </c>
      <c r="I12247" s="143">
        <v>16502710000</v>
      </c>
    </row>
    <row r="12248" spans="1:9" x14ac:dyDescent="0.2">
      <c r="A12248" s="134">
        <v>46041</v>
      </c>
      <c r="B12248" s="135">
        <f>YEAR(source[[#This Row],[report_date]])</f>
        <v>2026</v>
      </c>
      <c r="C12248" s="128">
        <f t="shared" si="572"/>
        <v>1</v>
      </c>
      <c r="D12248" s="136">
        <f t="shared" si="574"/>
        <v>4</v>
      </c>
      <c r="E12248" s="136">
        <f t="shared" si="573"/>
        <v>19</v>
      </c>
      <c r="F12248" s="137" t="s">
        <v>24</v>
      </c>
      <c r="G12248" s="128" t="str">
        <f>VLOOKUP(source[[#This Row],[lending_product_transform]],[3]Mapping!$B$4:$C$37,2,0)</f>
        <v>[Cake] - Cashloan</v>
      </c>
      <c r="H12248" s="128" t="str">
        <f>VLOOKUP(source[[#This Row],[lending_product_transform]],[3]Mapping!$B$3:$D$37,3,0)</f>
        <v>cashloan</v>
      </c>
      <c r="I12248" s="143">
        <v>0</v>
      </c>
    </row>
    <row r="12249" spans="1:9" x14ac:dyDescent="0.2">
      <c r="A12249" s="134">
        <v>46041</v>
      </c>
      <c r="B12249" s="135">
        <f>YEAR(source[[#This Row],[report_date]])</f>
        <v>2026</v>
      </c>
      <c r="C12249" s="128">
        <f t="shared" si="572"/>
        <v>1</v>
      </c>
      <c r="D12249" s="136">
        <f t="shared" si="574"/>
        <v>4</v>
      </c>
      <c r="E12249" s="136">
        <f t="shared" si="573"/>
        <v>19</v>
      </c>
      <c r="F12249" s="137" t="s">
        <v>24</v>
      </c>
      <c r="G12249" s="128" t="str">
        <f>VLOOKUP(source[[#This Row],[lending_product_transform]],[3]Mapping!$B$4:$C$37,2,0)</f>
        <v>[Cake] - Cashloan</v>
      </c>
      <c r="H12249" s="128" t="str">
        <f>VLOOKUP(source[[#This Row],[lending_product_transform]],[3]Mapping!$B$3:$D$37,3,0)</f>
        <v>cashloan</v>
      </c>
      <c r="I12249" s="143">
        <v>0</v>
      </c>
    </row>
    <row r="12250" spans="1:9" x14ac:dyDescent="0.2">
      <c r="A12250" s="134">
        <v>46041</v>
      </c>
      <c r="B12250" s="135">
        <f>YEAR(source[[#This Row],[report_date]])</f>
        <v>2026</v>
      </c>
      <c r="C12250" s="128">
        <f t="shared" si="572"/>
        <v>1</v>
      </c>
      <c r="D12250" s="136">
        <f t="shared" si="574"/>
        <v>4</v>
      </c>
      <c r="E12250" s="136">
        <f t="shared" si="573"/>
        <v>19</v>
      </c>
      <c r="F12250" s="137" t="s">
        <v>24</v>
      </c>
      <c r="G12250" s="128" t="str">
        <f>VLOOKUP(source[[#This Row],[lending_product_transform]],[3]Mapping!$B$4:$C$37,2,0)</f>
        <v>[Cake] - Cashloan</v>
      </c>
      <c r="H12250" s="128" t="str">
        <f>VLOOKUP(source[[#This Row],[lending_product_transform]],[3]Mapping!$B$3:$D$37,3,0)</f>
        <v>cashloan</v>
      </c>
      <c r="I12250" s="143">
        <v>0</v>
      </c>
    </row>
    <row r="12251" spans="1:9" x14ac:dyDescent="0.2">
      <c r="A12251" s="134">
        <v>46041</v>
      </c>
      <c r="B12251" s="135">
        <f>YEAR(source[[#This Row],[report_date]])</f>
        <v>2026</v>
      </c>
      <c r="C12251" s="128">
        <f t="shared" si="572"/>
        <v>1</v>
      </c>
      <c r="D12251" s="136">
        <f t="shared" si="574"/>
        <v>4</v>
      </c>
      <c r="E12251" s="136">
        <f t="shared" si="573"/>
        <v>19</v>
      </c>
      <c r="F12251" s="137" t="s">
        <v>24</v>
      </c>
      <c r="G12251" s="128" t="str">
        <f>VLOOKUP(source[[#This Row],[lending_product_transform]],[3]Mapping!$B$4:$C$37,2,0)</f>
        <v>[Cake] - Cashloan</v>
      </c>
      <c r="H12251" s="128" t="str">
        <f>VLOOKUP(source[[#This Row],[lending_product_transform]],[3]Mapping!$B$3:$D$37,3,0)</f>
        <v>cashloan</v>
      </c>
      <c r="I12251" s="143">
        <v>8000000</v>
      </c>
    </row>
    <row r="12252" spans="1:9" x14ac:dyDescent="0.2">
      <c r="A12252" s="134">
        <v>46041</v>
      </c>
      <c r="B12252" s="135">
        <f>YEAR(source[[#This Row],[report_date]])</f>
        <v>2026</v>
      </c>
      <c r="C12252" s="128">
        <f t="shared" si="572"/>
        <v>1</v>
      </c>
      <c r="D12252" s="136">
        <f t="shared" si="574"/>
        <v>4</v>
      </c>
      <c r="E12252" s="136">
        <f t="shared" si="573"/>
        <v>19</v>
      </c>
      <c r="F12252" s="137" t="s">
        <v>24</v>
      </c>
      <c r="G12252" s="128" t="str">
        <f>VLOOKUP(source[[#This Row],[lending_product_transform]],[3]Mapping!$B$4:$C$37,2,0)</f>
        <v>[Cake] - Cashloan</v>
      </c>
      <c r="H12252" s="128" t="str">
        <f>VLOOKUP(source[[#This Row],[lending_product_transform]],[3]Mapping!$B$3:$D$37,3,0)</f>
        <v>cashloan</v>
      </c>
      <c r="I12252" s="143">
        <v>11507400000</v>
      </c>
    </row>
    <row r="12253" spans="1:9" x14ac:dyDescent="0.2">
      <c r="A12253" s="134">
        <v>46041</v>
      </c>
      <c r="B12253" s="135">
        <f>YEAR(source[[#This Row],[report_date]])</f>
        <v>2026</v>
      </c>
      <c r="C12253" s="128">
        <f t="shared" si="572"/>
        <v>1</v>
      </c>
      <c r="D12253" s="136">
        <f t="shared" si="574"/>
        <v>4</v>
      </c>
      <c r="E12253" s="136">
        <f t="shared" si="573"/>
        <v>19</v>
      </c>
      <c r="F12253" s="137" t="s">
        <v>24</v>
      </c>
      <c r="G12253" s="128" t="str">
        <f>VLOOKUP(source[[#This Row],[lending_product_transform]],[3]Mapping!$B$4:$C$37,2,0)</f>
        <v>[Cake] - Cashloan</v>
      </c>
      <c r="H12253" s="128" t="str">
        <f>VLOOKUP(source[[#This Row],[lending_product_transform]],[3]Mapping!$B$3:$D$37,3,0)</f>
        <v>cashloan</v>
      </c>
      <c r="I12253" s="143">
        <v>162043873</v>
      </c>
    </row>
    <row r="12254" spans="1:9" x14ac:dyDescent="0.2">
      <c r="A12254" s="134">
        <v>46041</v>
      </c>
      <c r="B12254" s="135">
        <f>YEAR(source[[#This Row],[report_date]])</f>
        <v>2026</v>
      </c>
      <c r="C12254" s="128">
        <f t="shared" si="572"/>
        <v>1</v>
      </c>
      <c r="D12254" s="136">
        <f t="shared" si="574"/>
        <v>4</v>
      </c>
      <c r="E12254" s="136">
        <f t="shared" si="573"/>
        <v>19</v>
      </c>
      <c r="F12254" s="137" t="s">
        <v>24</v>
      </c>
      <c r="G12254" s="128" t="str">
        <f>VLOOKUP(source[[#This Row],[lending_product_transform]],[3]Mapping!$B$4:$C$37,2,0)</f>
        <v>[Cake] - Cashloan</v>
      </c>
      <c r="H12254" s="128" t="str">
        <f>VLOOKUP(source[[#This Row],[lending_product_transform]],[3]Mapping!$B$3:$D$37,3,0)</f>
        <v>cashloan</v>
      </c>
      <c r="I12254" s="143">
        <v>52500000</v>
      </c>
    </row>
    <row r="12255" spans="1:9" x14ac:dyDescent="0.2">
      <c r="A12255" s="134">
        <v>46041</v>
      </c>
      <c r="B12255" s="135">
        <f>YEAR(source[[#This Row],[report_date]])</f>
        <v>2026</v>
      </c>
      <c r="C12255" s="128">
        <f t="shared" si="572"/>
        <v>1</v>
      </c>
      <c r="D12255" s="136">
        <f t="shared" si="574"/>
        <v>4</v>
      </c>
      <c r="E12255" s="136">
        <f t="shared" si="573"/>
        <v>19</v>
      </c>
      <c r="F12255" s="137" t="s">
        <v>24</v>
      </c>
      <c r="G12255" s="128" t="str">
        <f>VLOOKUP(source[[#This Row],[lending_product_transform]],[3]Mapping!$B$4:$C$37,2,0)</f>
        <v>[Cake] - Cashloan</v>
      </c>
      <c r="H12255" s="128" t="str">
        <f>VLOOKUP(source[[#This Row],[lending_product_transform]],[3]Mapping!$B$3:$D$37,3,0)</f>
        <v>cashloan</v>
      </c>
      <c r="I12255" s="143">
        <v>41000000</v>
      </c>
    </row>
    <row r="12256" spans="1:9" x14ac:dyDescent="0.2">
      <c r="A12256" s="134">
        <v>46041</v>
      </c>
      <c r="B12256" s="135">
        <f>YEAR(source[[#This Row],[report_date]])</f>
        <v>2026</v>
      </c>
      <c r="C12256" s="128">
        <f t="shared" si="572"/>
        <v>1</v>
      </c>
      <c r="D12256" s="136">
        <f t="shared" si="574"/>
        <v>4</v>
      </c>
      <c r="E12256" s="136">
        <f t="shared" si="573"/>
        <v>19</v>
      </c>
      <c r="F12256" s="137" t="s">
        <v>24</v>
      </c>
      <c r="G12256" s="128" t="str">
        <f>VLOOKUP(source[[#This Row],[lending_product_transform]],[3]Mapping!$B$4:$C$37,2,0)</f>
        <v>[Cake] - Cashloan</v>
      </c>
      <c r="H12256" s="128" t="str">
        <f>VLOOKUP(source[[#This Row],[lending_product_transform]],[3]Mapping!$B$3:$D$37,3,0)</f>
        <v>cashloan</v>
      </c>
      <c r="I12256" s="143">
        <v>772590000</v>
      </c>
    </row>
    <row r="12257" spans="1:9" x14ac:dyDescent="0.2">
      <c r="A12257" s="134">
        <v>46041</v>
      </c>
      <c r="B12257" s="135">
        <f>YEAR(source[[#This Row],[report_date]])</f>
        <v>2026</v>
      </c>
      <c r="C12257" s="128">
        <f t="shared" si="572"/>
        <v>1</v>
      </c>
      <c r="D12257" s="136">
        <f t="shared" si="574"/>
        <v>4</v>
      </c>
      <c r="E12257" s="136">
        <f t="shared" si="573"/>
        <v>19</v>
      </c>
      <c r="F12257" s="137" t="s">
        <v>24</v>
      </c>
      <c r="G12257" s="128" t="str">
        <f>VLOOKUP(source[[#This Row],[lending_product_transform]],[3]Mapping!$B$4:$C$37,2,0)</f>
        <v>[Cake] - Cashloan</v>
      </c>
      <c r="H12257" s="128" t="str">
        <f>VLOOKUP(source[[#This Row],[lending_product_transform]],[3]Mapping!$B$3:$D$37,3,0)</f>
        <v>cashloan</v>
      </c>
      <c r="I12257" s="143">
        <v>327780000</v>
      </c>
    </row>
    <row r="12258" spans="1:9" x14ac:dyDescent="0.2">
      <c r="A12258" s="134">
        <v>46041</v>
      </c>
      <c r="B12258" s="135">
        <f>YEAR(source[[#This Row],[report_date]])</f>
        <v>2026</v>
      </c>
      <c r="C12258" s="128">
        <f t="shared" si="572"/>
        <v>1</v>
      </c>
      <c r="D12258" s="136">
        <f t="shared" si="574"/>
        <v>4</v>
      </c>
      <c r="E12258" s="136">
        <f t="shared" si="573"/>
        <v>19</v>
      </c>
      <c r="F12258" s="137" t="s">
        <v>24</v>
      </c>
      <c r="G12258" s="128" t="str">
        <f>VLOOKUP(source[[#This Row],[lending_product_transform]],[3]Mapping!$B$4:$C$37,2,0)</f>
        <v>[Cake] - Cashloan</v>
      </c>
      <c r="H12258" s="128" t="str">
        <f>VLOOKUP(source[[#This Row],[lending_product_transform]],[3]Mapping!$B$3:$D$37,3,0)</f>
        <v>cashloan</v>
      </c>
      <c r="I12258" s="143">
        <v>254458678</v>
      </c>
    </row>
    <row r="12259" spans="1:9" x14ac:dyDescent="0.2">
      <c r="A12259" s="134">
        <v>46041</v>
      </c>
      <c r="B12259" s="135">
        <f>YEAR(source[[#This Row],[report_date]])</f>
        <v>2026</v>
      </c>
      <c r="C12259" s="128">
        <f t="shared" si="572"/>
        <v>1</v>
      </c>
      <c r="D12259" s="136">
        <f t="shared" si="574"/>
        <v>4</v>
      </c>
      <c r="E12259" s="136">
        <f t="shared" si="573"/>
        <v>19</v>
      </c>
      <c r="F12259" s="137" t="s">
        <v>24</v>
      </c>
      <c r="G12259" s="128" t="str">
        <f>VLOOKUP(source[[#This Row],[lending_product_transform]],[3]Mapping!$B$4:$C$37,2,0)</f>
        <v>[Cake] - Cashloan</v>
      </c>
      <c r="H12259" s="128" t="str">
        <f>VLOOKUP(source[[#This Row],[lending_product_transform]],[3]Mapping!$B$3:$D$37,3,0)</f>
        <v>cashloan</v>
      </c>
      <c r="I12259" s="143">
        <v>3811440000</v>
      </c>
    </row>
    <row r="12260" spans="1:9" x14ac:dyDescent="0.2">
      <c r="A12260" s="134">
        <v>46041</v>
      </c>
      <c r="B12260" s="135">
        <f>YEAR(source[[#This Row],[report_date]])</f>
        <v>2026</v>
      </c>
      <c r="C12260" s="128">
        <f t="shared" si="572"/>
        <v>1</v>
      </c>
      <c r="D12260" s="136">
        <f t="shared" si="574"/>
        <v>4</v>
      </c>
      <c r="E12260" s="136">
        <f t="shared" si="573"/>
        <v>19</v>
      </c>
      <c r="F12260" s="137" t="s">
        <v>24</v>
      </c>
      <c r="G12260" s="128" t="str">
        <f>VLOOKUP(source[[#This Row],[lending_product_transform]],[3]Mapping!$B$4:$C$37,2,0)</f>
        <v>[Cake] - Cashloan</v>
      </c>
      <c r="H12260" s="128" t="str">
        <f>VLOOKUP(source[[#This Row],[lending_product_transform]],[3]Mapping!$B$3:$D$37,3,0)</f>
        <v>cashloan</v>
      </c>
      <c r="I12260" s="143">
        <v>271000000</v>
      </c>
    </row>
    <row r="12261" spans="1:9" x14ac:dyDescent="0.2">
      <c r="A12261" s="134">
        <v>46042</v>
      </c>
      <c r="B12261" s="135">
        <f>YEAR(source[[#This Row],[report_date]])</f>
        <v>2026</v>
      </c>
      <c r="C12261" s="128">
        <f t="shared" si="572"/>
        <v>1</v>
      </c>
      <c r="D12261" s="136">
        <f t="shared" si="574"/>
        <v>4</v>
      </c>
      <c r="E12261" s="136">
        <f t="shared" si="573"/>
        <v>20</v>
      </c>
      <c r="F12261" s="137" t="s">
        <v>24</v>
      </c>
      <c r="G12261" s="128" t="str">
        <f>VLOOKUP(source[[#This Row],[lending_product_transform]],[3]Mapping!$B$4:$C$37,2,0)</f>
        <v>[Cake] - Cashloan</v>
      </c>
      <c r="H12261" s="128" t="str">
        <f>VLOOKUP(source[[#This Row],[lending_product_transform]],[3]Mapping!$B$3:$D$37,3,0)</f>
        <v>cashloan</v>
      </c>
      <c r="I12261" s="143">
        <v>560550000</v>
      </c>
    </row>
    <row r="12262" spans="1:9" x14ac:dyDescent="0.2">
      <c r="A12262" s="134">
        <v>46042</v>
      </c>
      <c r="B12262" s="135">
        <f>YEAR(source[[#This Row],[report_date]])</f>
        <v>2026</v>
      </c>
      <c r="C12262" s="128">
        <f t="shared" si="572"/>
        <v>1</v>
      </c>
      <c r="D12262" s="136">
        <f t="shared" si="574"/>
        <v>4</v>
      </c>
      <c r="E12262" s="136">
        <f t="shared" si="573"/>
        <v>20</v>
      </c>
      <c r="F12262" s="137" t="s">
        <v>24</v>
      </c>
      <c r="G12262" s="128" t="str">
        <f>VLOOKUP(source[[#This Row],[lending_product_transform]],[3]Mapping!$B$4:$C$37,2,0)</f>
        <v>[Cake] - Cashloan</v>
      </c>
      <c r="H12262" s="128" t="str">
        <f>VLOOKUP(source[[#This Row],[lending_product_transform]],[3]Mapping!$B$3:$D$37,3,0)</f>
        <v>cashloan</v>
      </c>
      <c r="I12262" s="143">
        <v>304858329</v>
      </c>
    </row>
    <row r="12263" spans="1:9" x14ac:dyDescent="0.2">
      <c r="A12263" s="134">
        <v>46042</v>
      </c>
      <c r="B12263" s="135">
        <f>YEAR(source[[#This Row],[report_date]])</f>
        <v>2026</v>
      </c>
      <c r="C12263" s="128">
        <f t="shared" si="572"/>
        <v>1</v>
      </c>
      <c r="D12263" s="136">
        <f t="shared" si="574"/>
        <v>4</v>
      </c>
      <c r="E12263" s="136">
        <f t="shared" si="573"/>
        <v>20</v>
      </c>
      <c r="F12263" s="137" t="s">
        <v>24</v>
      </c>
      <c r="G12263" s="128" t="str">
        <f>VLOOKUP(source[[#This Row],[lending_product_transform]],[3]Mapping!$B$4:$C$37,2,0)</f>
        <v>[Cake] - Cashloan</v>
      </c>
      <c r="H12263" s="128" t="str">
        <f>VLOOKUP(source[[#This Row],[lending_product_transform]],[3]Mapping!$B$3:$D$37,3,0)</f>
        <v>cashloan</v>
      </c>
      <c r="I12263" s="143">
        <v>15070520000</v>
      </c>
    </row>
    <row r="12264" spans="1:9" x14ac:dyDescent="0.2">
      <c r="A12264" s="134">
        <v>46042</v>
      </c>
      <c r="B12264" s="135">
        <f>YEAR(source[[#This Row],[report_date]])</f>
        <v>2026</v>
      </c>
      <c r="C12264" s="128">
        <f t="shared" si="572"/>
        <v>1</v>
      </c>
      <c r="D12264" s="136">
        <f t="shared" si="574"/>
        <v>4</v>
      </c>
      <c r="E12264" s="136">
        <f t="shared" si="573"/>
        <v>20</v>
      </c>
      <c r="F12264" s="137" t="s">
        <v>24</v>
      </c>
      <c r="G12264" s="128" t="str">
        <f>VLOOKUP(source[[#This Row],[lending_product_transform]],[3]Mapping!$B$4:$C$37,2,0)</f>
        <v>[Cake] - Cashloan</v>
      </c>
      <c r="H12264" s="128" t="str">
        <f>VLOOKUP(source[[#This Row],[lending_product_transform]],[3]Mapping!$B$3:$D$37,3,0)</f>
        <v>cashloan</v>
      </c>
      <c r="I12264" s="143">
        <v>2226554897</v>
      </c>
    </row>
    <row r="12265" spans="1:9" x14ac:dyDescent="0.2">
      <c r="A12265" s="134">
        <v>46042</v>
      </c>
      <c r="B12265" s="135">
        <f>YEAR(source[[#This Row],[report_date]])</f>
        <v>2026</v>
      </c>
      <c r="C12265" s="128">
        <f t="shared" si="572"/>
        <v>1</v>
      </c>
      <c r="D12265" s="136">
        <f t="shared" si="574"/>
        <v>4</v>
      </c>
      <c r="E12265" s="136">
        <f t="shared" si="573"/>
        <v>20</v>
      </c>
      <c r="F12265" s="137" t="s">
        <v>24</v>
      </c>
      <c r="G12265" s="128" t="str">
        <f>VLOOKUP(source[[#This Row],[lending_product_transform]],[3]Mapping!$B$4:$C$37,2,0)</f>
        <v>[Cake] - Cashloan</v>
      </c>
      <c r="H12265" s="128" t="str">
        <f>VLOOKUP(source[[#This Row],[lending_product_transform]],[3]Mapping!$B$3:$D$37,3,0)</f>
        <v>cashloan</v>
      </c>
      <c r="I12265" s="143">
        <v>15809148000</v>
      </c>
    </row>
    <row r="12266" spans="1:9" x14ac:dyDescent="0.2">
      <c r="A12266" s="134">
        <v>46042</v>
      </c>
      <c r="B12266" s="135">
        <f>YEAR(source[[#This Row],[report_date]])</f>
        <v>2026</v>
      </c>
      <c r="C12266" s="128">
        <f t="shared" si="572"/>
        <v>1</v>
      </c>
      <c r="D12266" s="136">
        <f t="shared" si="574"/>
        <v>4</v>
      </c>
      <c r="E12266" s="136">
        <f t="shared" si="573"/>
        <v>20</v>
      </c>
      <c r="F12266" s="137" t="s">
        <v>24</v>
      </c>
      <c r="G12266" s="128" t="str">
        <f>VLOOKUP(source[[#This Row],[lending_product_transform]],[3]Mapping!$B$4:$C$37,2,0)</f>
        <v>[Cake] - Cashloan</v>
      </c>
      <c r="H12266" s="128" t="str">
        <f>VLOOKUP(source[[#This Row],[lending_product_transform]],[3]Mapping!$B$3:$D$37,3,0)</f>
        <v>cashloan</v>
      </c>
      <c r="I12266" s="143">
        <v>6626025</v>
      </c>
    </row>
    <row r="12267" spans="1:9" x14ac:dyDescent="0.2">
      <c r="A12267" s="134">
        <v>46042</v>
      </c>
      <c r="B12267" s="135">
        <f>YEAR(source[[#This Row],[report_date]])</f>
        <v>2026</v>
      </c>
      <c r="C12267" s="128">
        <f t="shared" si="572"/>
        <v>1</v>
      </c>
      <c r="D12267" s="136">
        <f t="shared" si="574"/>
        <v>4</v>
      </c>
      <c r="E12267" s="136">
        <f t="shared" si="573"/>
        <v>20</v>
      </c>
      <c r="F12267" s="137" t="s">
        <v>24</v>
      </c>
      <c r="G12267" s="128" t="str">
        <f>VLOOKUP(source[[#This Row],[lending_product_transform]],[3]Mapping!$B$4:$C$37,2,0)</f>
        <v>[Cake] - Cashloan</v>
      </c>
      <c r="H12267" s="128" t="str">
        <f>VLOOKUP(source[[#This Row],[lending_product_transform]],[3]Mapping!$B$3:$D$37,3,0)</f>
        <v>cashloan</v>
      </c>
      <c r="I12267" s="143">
        <v>0</v>
      </c>
    </row>
    <row r="12268" spans="1:9" x14ac:dyDescent="0.2">
      <c r="A12268" s="134">
        <v>46042</v>
      </c>
      <c r="B12268" s="135">
        <f>YEAR(source[[#This Row],[report_date]])</f>
        <v>2026</v>
      </c>
      <c r="C12268" s="128">
        <f t="shared" si="572"/>
        <v>1</v>
      </c>
      <c r="D12268" s="136">
        <f t="shared" si="574"/>
        <v>4</v>
      </c>
      <c r="E12268" s="136">
        <f t="shared" si="573"/>
        <v>20</v>
      </c>
      <c r="F12268" s="137" t="s">
        <v>24</v>
      </c>
      <c r="G12268" s="128" t="str">
        <f>VLOOKUP(source[[#This Row],[lending_product_transform]],[3]Mapping!$B$4:$C$37,2,0)</f>
        <v>[Cake] - Cashloan</v>
      </c>
      <c r="H12268" s="128" t="str">
        <f>VLOOKUP(source[[#This Row],[lending_product_transform]],[3]Mapping!$B$3:$D$37,3,0)</f>
        <v>cashloan</v>
      </c>
      <c r="I12268" s="143">
        <v>4105020000</v>
      </c>
    </row>
    <row r="12269" spans="1:9" x14ac:dyDescent="0.2">
      <c r="A12269" s="134">
        <v>46042</v>
      </c>
      <c r="B12269" s="135">
        <f>YEAR(source[[#This Row],[report_date]])</f>
        <v>2026</v>
      </c>
      <c r="C12269" s="128">
        <f t="shared" si="572"/>
        <v>1</v>
      </c>
      <c r="D12269" s="136">
        <f t="shared" si="574"/>
        <v>4</v>
      </c>
      <c r="E12269" s="136">
        <f t="shared" si="573"/>
        <v>20</v>
      </c>
      <c r="F12269" s="137" t="s">
        <v>24</v>
      </c>
      <c r="G12269" s="128" t="str">
        <f>VLOOKUP(source[[#This Row],[lending_product_transform]],[3]Mapping!$B$4:$C$37,2,0)</f>
        <v>[Cake] - Cashloan</v>
      </c>
      <c r="H12269" s="128" t="str">
        <f>VLOOKUP(source[[#This Row],[lending_product_transform]],[3]Mapping!$B$3:$D$37,3,0)</f>
        <v>cashloan</v>
      </c>
      <c r="I12269" s="143">
        <v>1359600000</v>
      </c>
    </row>
    <row r="12270" spans="1:9" x14ac:dyDescent="0.2">
      <c r="A12270" s="134">
        <v>46042</v>
      </c>
      <c r="B12270" s="135">
        <f>YEAR(source[[#This Row],[report_date]])</f>
        <v>2026</v>
      </c>
      <c r="C12270" s="128">
        <f t="shared" si="572"/>
        <v>1</v>
      </c>
      <c r="D12270" s="136">
        <f t="shared" si="574"/>
        <v>4</v>
      </c>
      <c r="E12270" s="136">
        <f t="shared" si="573"/>
        <v>20</v>
      </c>
      <c r="F12270" s="137" t="s">
        <v>24</v>
      </c>
      <c r="G12270" s="128" t="str">
        <f>VLOOKUP(source[[#This Row],[lending_product_transform]],[3]Mapping!$B$4:$C$37,2,0)</f>
        <v>[Cake] - Cashloan</v>
      </c>
      <c r="H12270" s="128" t="str">
        <f>VLOOKUP(source[[#This Row],[lending_product_transform]],[3]Mapping!$B$3:$D$37,3,0)</f>
        <v>cashloan</v>
      </c>
      <c r="I12270" s="143">
        <v>7293164</v>
      </c>
    </row>
    <row r="12271" spans="1:9" x14ac:dyDescent="0.2">
      <c r="A12271" s="134">
        <v>46042</v>
      </c>
      <c r="B12271" s="135">
        <f>YEAR(source[[#This Row],[report_date]])</f>
        <v>2026</v>
      </c>
      <c r="C12271" s="128">
        <f t="shared" si="572"/>
        <v>1</v>
      </c>
      <c r="D12271" s="136">
        <f t="shared" si="574"/>
        <v>4</v>
      </c>
      <c r="E12271" s="136">
        <f t="shared" si="573"/>
        <v>20</v>
      </c>
      <c r="F12271" s="137" t="s">
        <v>24</v>
      </c>
      <c r="G12271" s="128" t="str">
        <f>VLOOKUP(source[[#This Row],[lending_product_transform]],[3]Mapping!$B$4:$C$37,2,0)</f>
        <v>[Cake] - Cashloan</v>
      </c>
      <c r="H12271" s="128" t="str">
        <f>VLOOKUP(source[[#This Row],[lending_product_transform]],[3]Mapping!$B$3:$D$37,3,0)</f>
        <v>cashloan</v>
      </c>
      <c r="I12271" s="143">
        <v>874981610</v>
      </c>
    </row>
    <row r="12272" spans="1:9" x14ac:dyDescent="0.2">
      <c r="A12272" s="134">
        <v>46042</v>
      </c>
      <c r="B12272" s="135">
        <f>YEAR(source[[#This Row],[report_date]])</f>
        <v>2026</v>
      </c>
      <c r="C12272" s="128">
        <f t="shared" si="572"/>
        <v>1</v>
      </c>
      <c r="D12272" s="136">
        <f t="shared" si="574"/>
        <v>4</v>
      </c>
      <c r="E12272" s="136">
        <f t="shared" si="573"/>
        <v>20</v>
      </c>
      <c r="F12272" s="137" t="s">
        <v>24</v>
      </c>
      <c r="G12272" s="128" t="str">
        <f>VLOOKUP(source[[#This Row],[lending_product_transform]],[3]Mapping!$B$4:$C$37,2,0)</f>
        <v>[Cake] - Cashloan</v>
      </c>
      <c r="H12272" s="128" t="str">
        <f>VLOOKUP(source[[#This Row],[lending_product_transform]],[3]Mapping!$B$3:$D$37,3,0)</f>
        <v>cashloan</v>
      </c>
      <c r="I12272" s="143">
        <v>0</v>
      </c>
    </row>
    <row r="12273" spans="1:9" x14ac:dyDescent="0.2">
      <c r="A12273" s="134">
        <v>46042</v>
      </c>
      <c r="B12273" s="135">
        <f>YEAR(source[[#This Row],[report_date]])</f>
        <v>2026</v>
      </c>
      <c r="C12273" s="128">
        <f t="shared" si="572"/>
        <v>1</v>
      </c>
      <c r="D12273" s="136">
        <f t="shared" si="574"/>
        <v>4</v>
      </c>
      <c r="E12273" s="136">
        <f t="shared" si="573"/>
        <v>20</v>
      </c>
      <c r="F12273" s="137" t="s">
        <v>24</v>
      </c>
      <c r="G12273" s="128" t="str">
        <f>VLOOKUP(source[[#This Row],[lending_product_transform]],[3]Mapping!$B$4:$C$37,2,0)</f>
        <v>[Cake] - Cashloan</v>
      </c>
      <c r="H12273" s="128" t="str">
        <f>VLOOKUP(source[[#This Row],[lending_product_transform]],[3]Mapping!$B$3:$D$37,3,0)</f>
        <v>cashloan</v>
      </c>
      <c r="I12273" s="143">
        <v>226500000</v>
      </c>
    </row>
    <row r="12274" spans="1:9" x14ac:dyDescent="0.2">
      <c r="A12274" s="134">
        <v>46042</v>
      </c>
      <c r="B12274" s="135">
        <f>YEAR(source[[#This Row],[report_date]])</f>
        <v>2026</v>
      </c>
      <c r="C12274" s="128">
        <f t="shared" si="572"/>
        <v>1</v>
      </c>
      <c r="D12274" s="136">
        <f t="shared" si="574"/>
        <v>4</v>
      </c>
      <c r="E12274" s="136">
        <f t="shared" si="573"/>
        <v>20</v>
      </c>
      <c r="F12274" s="137" t="s">
        <v>24</v>
      </c>
      <c r="G12274" s="128" t="str">
        <f>VLOOKUP(source[[#This Row],[lending_product_transform]],[3]Mapping!$B$4:$C$37,2,0)</f>
        <v>[Cake] - Cashloan</v>
      </c>
      <c r="H12274" s="128" t="str">
        <f>VLOOKUP(source[[#This Row],[lending_product_transform]],[3]Mapping!$B$3:$D$37,3,0)</f>
        <v>cashloan</v>
      </c>
      <c r="I12274" s="143">
        <v>185400000</v>
      </c>
    </row>
    <row r="12275" spans="1:9" x14ac:dyDescent="0.2">
      <c r="A12275" s="134">
        <v>46042</v>
      </c>
      <c r="B12275" s="135">
        <f>YEAR(source[[#This Row],[report_date]])</f>
        <v>2026</v>
      </c>
      <c r="C12275" s="128">
        <f t="shared" si="572"/>
        <v>1</v>
      </c>
      <c r="D12275" s="136">
        <f t="shared" si="574"/>
        <v>4</v>
      </c>
      <c r="E12275" s="136">
        <f t="shared" si="573"/>
        <v>20</v>
      </c>
      <c r="F12275" s="137" t="s">
        <v>24</v>
      </c>
      <c r="G12275" s="128" t="str">
        <f>VLOOKUP(source[[#This Row],[lending_product_transform]],[3]Mapping!$B$4:$C$37,2,0)</f>
        <v>[Cake] - Cashloan</v>
      </c>
      <c r="H12275" s="128" t="str">
        <f>VLOOKUP(source[[#This Row],[lending_product_transform]],[3]Mapping!$B$3:$D$37,3,0)</f>
        <v>cashloan</v>
      </c>
      <c r="I12275" s="143">
        <v>18066080000</v>
      </c>
    </row>
    <row r="12276" spans="1:9" x14ac:dyDescent="0.2">
      <c r="A12276" s="134">
        <v>46042</v>
      </c>
      <c r="B12276" s="135">
        <f>YEAR(source[[#This Row],[report_date]])</f>
        <v>2026</v>
      </c>
      <c r="C12276" s="128">
        <f t="shared" si="572"/>
        <v>1</v>
      </c>
      <c r="D12276" s="136">
        <f t="shared" si="574"/>
        <v>4</v>
      </c>
      <c r="E12276" s="136">
        <f t="shared" si="573"/>
        <v>20</v>
      </c>
      <c r="F12276" s="137" t="s">
        <v>24</v>
      </c>
      <c r="G12276" s="128" t="str">
        <f>VLOOKUP(source[[#This Row],[lending_product_transform]],[3]Mapping!$B$4:$C$37,2,0)</f>
        <v>[Cake] - Cashloan</v>
      </c>
      <c r="H12276" s="128" t="str">
        <f>VLOOKUP(source[[#This Row],[lending_product_transform]],[3]Mapping!$B$3:$D$37,3,0)</f>
        <v>cashloan</v>
      </c>
      <c r="I12276" s="143">
        <v>0</v>
      </c>
    </row>
    <row r="12277" spans="1:9" x14ac:dyDescent="0.2">
      <c r="A12277" s="134">
        <v>46042</v>
      </c>
      <c r="B12277" s="135">
        <f>YEAR(source[[#This Row],[report_date]])</f>
        <v>2026</v>
      </c>
      <c r="C12277" s="128">
        <f t="shared" si="572"/>
        <v>1</v>
      </c>
      <c r="D12277" s="136">
        <f t="shared" si="574"/>
        <v>4</v>
      </c>
      <c r="E12277" s="136">
        <f t="shared" si="573"/>
        <v>20</v>
      </c>
      <c r="F12277" s="137" t="s">
        <v>24</v>
      </c>
      <c r="G12277" s="128" t="str">
        <f>VLOOKUP(source[[#This Row],[lending_product_transform]],[3]Mapping!$B$4:$C$37,2,0)</f>
        <v>[Cake] - Cashloan</v>
      </c>
      <c r="H12277" s="128" t="str">
        <f>VLOOKUP(source[[#This Row],[lending_product_transform]],[3]Mapping!$B$3:$D$37,3,0)</f>
        <v>cashloan</v>
      </c>
      <c r="I12277" s="143">
        <v>0</v>
      </c>
    </row>
    <row r="12278" spans="1:9" x14ac:dyDescent="0.2">
      <c r="A12278" s="134">
        <v>46042</v>
      </c>
      <c r="B12278" s="135">
        <f>YEAR(source[[#This Row],[report_date]])</f>
        <v>2026</v>
      </c>
      <c r="C12278" s="128">
        <f t="shared" ref="C12278:C12341" si="575">MONTH(A12278)</f>
        <v>1</v>
      </c>
      <c r="D12278" s="136">
        <f t="shared" si="574"/>
        <v>4</v>
      </c>
      <c r="E12278" s="136">
        <f t="shared" ref="E12278:E12341" si="576">DAY(A12278)</f>
        <v>20</v>
      </c>
      <c r="F12278" s="137" t="s">
        <v>24</v>
      </c>
      <c r="G12278" s="128" t="str">
        <f>VLOOKUP(source[[#This Row],[lending_product_transform]],[3]Mapping!$B$4:$C$37,2,0)</f>
        <v>[Cake] - Cashloan</v>
      </c>
      <c r="H12278" s="128" t="str">
        <f>VLOOKUP(source[[#This Row],[lending_product_transform]],[3]Mapping!$B$3:$D$37,3,0)</f>
        <v>cashloan</v>
      </c>
      <c r="I12278" s="143">
        <v>0</v>
      </c>
    </row>
    <row r="12279" spans="1:9" x14ac:dyDescent="0.2">
      <c r="A12279" s="134">
        <v>46042</v>
      </c>
      <c r="B12279" s="135">
        <f>YEAR(source[[#This Row],[report_date]])</f>
        <v>2026</v>
      </c>
      <c r="C12279" s="128">
        <f t="shared" si="575"/>
        <v>1</v>
      </c>
      <c r="D12279" s="136">
        <f t="shared" si="574"/>
        <v>4</v>
      </c>
      <c r="E12279" s="136">
        <f t="shared" si="576"/>
        <v>20</v>
      </c>
      <c r="F12279" s="137" t="s">
        <v>24</v>
      </c>
      <c r="G12279" s="128" t="str">
        <f>VLOOKUP(source[[#This Row],[lending_product_transform]],[3]Mapping!$B$4:$C$37,2,0)</f>
        <v>[Cake] - Cashloan</v>
      </c>
      <c r="H12279" s="128" t="str">
        <f>VLOOKUP(source[[#This Row],[lending_product_transform]],[3]Mapping!$B$3:$D$37,3,0)</f>
        <v>cashloan</v>
      </c>
      <c r="I12279" s="143">
        <v>11000000</v>
      </c>
    </row>
    <row r="12280" spans="1:9" x14ac:dyDescent="0.2">
      <c r="A12280" s="134">
        <v>46042</v>
      </c>
      <c r="B12280" s="135">
        <f>YEAR(source[[#This Row],[report_date]])</f>
        <v>2026</v>
      </c>
      <c r="C12280" s="128">
        <f t="shared" si="575"/>
        <v>1</v>
      </c>
      <c r="D12280" s="136">
        <f t="shared" si="574"/>
        <v>4</v>
      </c>
      <c r="E12280" s="136">
        <f t="shared" si="576"/>
        <v>20</v>
      </c>
      <c r="F12280" s="137" t="s">
        <v>24</v>
      </c>
      <c r="G12280" s="128" t="str">
        <f>VLOOKUP(source[[#This Row],[lending_product_transform]],[3]Mapping!$B$4:$C$37,2,0)</f>
        <v>[Cake] - Cashloan</v>
      </c>
      <c r="H12280" s="128" t="str">
        <f>VLOOKUP(source[[#This Row],[lending_product_transform]],[3]Mapping!$B$3:$D$37,3,0)</f>
        <v>cashloan</v>
      </c>
      <c r="I12280" s="143">
        <v>12079800000</v>
      </c>
    </row>
    <row r="12281" spans="1:9" x14ac:dyDescent="0.2">
      <c r="A12281" s="134">
        <v>46042</v>
      </c>
      <c r="B12281" s="135">
        <f>YEAR(source[[#This Row],[report_date]])</f>
        <v>2026</v>
      </c>
      <c r="C12281" s="128">
        <f t="shared" si="575"/>
        <v>1</v>
      </c>
      <c r="D12281" s="136">
        <f t="shared" si="574"/>
        <v>4</v>
      </c>
      <c r="E12281" s="136">
        <f t="shared" si="576"/>
        <v>20</v>
      </c>
      <c r="F12281" s="137" t="s">
        <v>24</v>
      </c>
      <c r="G12281" s="128" t="str">
        <f>VLOOKUP(source[[#This Row],[lending_product_transform]],[3]Mapping!$B$4:$C$37,2,0)</f>
        <v>[Cake] - Cashloan</v>
      </c>
      <c r="H12281" s="128" t="str">
        <f>VLOOKUP(source[[#This Row],[lending_product_transform]],[3]Mapping!$B$3:$D$37,3,0)</f>
        <v>cashloan</v>
      </c>
      <c r="I12281" s="143">
        <v>170439192</v>
      </c>
    </row>
    <row r="12282" spans="1:9" x14ac:dyDescent="0.2">
      <c r="A12282" s="134">
        <v>46042</v>
      </c>
      <c r="B12282" s="135">
        <f>YEAR(source[[#This Row],[report_date]])</f>
        <v>2026</v>
      </c>
      <c r="C12282" s="128">
        <f t="shared" si="575"/>
        <v>1</v>
      </c>
      <c r="D12282" s="136">
        <f t="shared" si="574"/>
        <v>4</v>
      </c>
      <c r="E12282" s="136">
        <f t="shared" si="576"/>
        <v>20</v>
      </c>
      <c r="F12282" s="137" t="s">
        <v>24</v>
      </c>
      <c r="G12282" s="128" t="str">
        <f>VLOOKUP(source[[#This Row],[lending_product_transform]],[3]Mapping!$B$4:$C$37,2,0)</f>
        <v>[Cake] - Cashloan</v>
      </c>
      <c r="H12282" s="128" t="str">
        <f>VLOOKUP(source[[#This Row],[lending_product_transform]],[3]Mapping!$B$3:$D$37,3,0)</f>
        <v>cashloan</v>
      </c>
      <c r="I12282" s="143">
        <v>0</v>
      </c>
    </row>
    <row r="12283" spans="1:9" x14ac:dyDescent="0.2">
      <c r="A12283" s="134">
        <v>46042</v>
      </c>
      <c r="B12283" s="135">
        <f>YEAR(source[[#This Row],[report_date]])</f>
        <v>2026</v>
      </c>
      <c r="C12283" s="128">
        <f t="shared" si="575"/>
        <v>1</v>
      </c>
      <c r="D12283" s="136">
        <f t="shared" si="574"/>
        <v>4</v>
      </c>
      <c r="E12283" s="136">
        <f t="shared" si="576"/>
        <v>20</v>
      </c>
      <c r="F12283" s="137" t="s">
        <v>24</v>
      </c>
      <c r="G12283" s="128" t="str">
        <f>VLOOKUP(source[[#This Row],[lending_product_transform]],[3]Mapping!$B$4:$C$37,2,0)</f>
        <v>[Cake] - Cashloan</v>
      </c>
      <c r="H12283" s="128" t="str">
        <f>VLOOKUP(source[[#This Row],[lending_product_transform]],[3]Mapping!$B$3:$D$37,3,0)</f>
        <v>cashloan</v>
      </c>
      <c r="I12283" s="143">
        <v>64000000</v>
      </c>
    </row>
    <row r="12284" spans="1:9" x14ac:dyDescent="0.2">
      <c r="A12284" s="134">
        <v>46042</v>
      </c>
      <c r="B12284" s="135">
        <f>YEAR(source[[#This Row],[report_date]])</f>
        <v>2026</v>
      </c>
      <c r="C12284" s="128">
        <f t="shared" si="575"/>
        <v>1</v>
      </c>
      <c r="D12284" s="136">
        <f t="shared" si="574"/>
        <v>4</v>
      </c>
      <c r="E12284" s="136">
        <f t="shared" si="576"/>
        <v>20</v>
      </c>
      <c r="F12284" s="137" t="s">
        <v>24</v>
      </c>
      <c r="G12284" s="128" t="str">
        <f>VLOOKUP(source[[#This Row],[lending_product_transform]],[3]Mapping!$B$4:$C$37,2,0)</f>
        <v>[Cake] - Cashloan</v>
      </c>
      <c r="H12284" s="128" t="str">
        <f>VLOOKUP(source[[#This Row],[lending_product_transform]],[3]Mapping!$B$3:$D$37,3,0)</f>
        <v>cashloan</v>
      </c>
      <c r="I12284" s="143">
        <v>1294110000</v>
      </c>
    </row>
    <row r="12285" spans="1:9" x14ac:dyDescent="0.2">
      <c r="A12285" s="134">
        <v>46042</v>
      </c>
      <c r="B12285" s="135">
        <f>YEAR(source[[#This Row],[report_date]])</f>
        <v>2026</v>
      </c>
      <c r="C12285" s="128">
        <f t="shared" si="575"/>
        <v>1</v>
      </c>
      <c r="D12285" s="136">
        <f t="shared" si="574"/>
        <v>4</v>
      </c>
      <c r="E12285" s="136">
        <f t="shared" si="576"/>
        <v>20</v>
      </c>
      <c r="F12285" s="137" t="s">
        <v>24</v>
      </c>
      <c r="G12285" s="128" t="str">
        <f>VLOOKUP(source[[#This Row],[lending_product_transform]],[3]Mapping!$B$4:$C$37,2,0)</f>
        <v>[Cake] - Cashloan</v>
      </c>
      <c r="H12285" s="128" t="str">
        <f>VLOOKUP(source[[#This Row],[lending_product_transform]],[3]Mapping!$B$3:$D$37,3,0)</f>
        <v>cashloan</v>
      </c>
      <c r="I12285" s="143">
        <v>386640000</v>
      </c>
    </row>
    <row r="12286" spans="1:9" x14ac:dyDescent="0.2">
      <c r="A12286" s="134">
        <v>46042</v>
      </c>
      <c r="B12286" s="135">
        <f>YEAR(source[[#This Row],[report_date]])</f>
        <v>2026</v>
      </c>
      <c r="C12286" s="128">
        <f t="shared" si="575"/>
        <v>1</v>
      </c>
      <c r="D12286" s="136">
        <f t="shared" si="574"/>
        <v>4</v>
      </c>
      <c r="E12286" s="136">
        <f t="shared" si="576"/>
        <v>20</v>
      </c>
      <c r="F12286" s="137" t="s">
        <v>24</v>
      </c>
      <c r="G12286" s="128" t="str">
        <f>VLOOKUP(source[[#This Row],[lending_product_transform]],[3]Mapping!$B$4:$C$37,2,0)</f>
        <v>[Cake] - Cashloan</v>
      </c>
      <c r="H12286" s="128" t="str">
        <f>VLOOKUP(source[[#This Row],[lending_product_transform]],[3]Mapping!$B$3:$D$37,3,0)</f>
        <v>cashloan</v>
      </c>
      <c r="I12286" s="143">
        <v>256250511</v>
      </c>
    </row>
    <row r="12287" spans="1:9" x14ac:dyDescent="0.2">
      <c r="A12287" s="134">
        <v>46042</v>
      </c>
      <c r="B12287" s="135">
        <f>YEAR(source[[#This Row],[report_date]])</f>
        <v>2026</v>
      </c>
      <c r="C12287" s="128">
        <f t="shared" si="575"/>
        <v>1</v>
      </c>
      <c r="D12287" s="136">
        <f t="shared" si="574"/>
        <v>4</v>
      </c>
      <c r="E12287" s="136">
        <f t="shared" si="576"/>
        <v>20</v>
      </c>
      <c r="F12287" s="137" t="s">
        <v>24</v>
      </c>
      <c r="G12287" s="128" t="str">
        <f>VLOOKUP(source[[#This Row],[lending_product_transform]],[3]Mapping!$B$4:$C$37,2,0)</f>
        <v>[Cake] - Cashloan</v>
      </c>
      <c r="H12287" s="128" t="str">
        <f>VLOOKUP(source[[#This Row],[lending_product_transform]],[3]Mapping!$B$3:$D$37,3,0)</f>
        <v>cashloan</v>
      </c>
      <c r="I12287" s="143">
        <v>3868860000</v>
      </c>
    </row>
    <row r="12288" spans="1:9" x14ac:dyDescent="0.2">
      <c r="A12288" s="134">
        <v>46042</v>
      </c>
      <c r="B12288" s="135">
        <f>YEAR(source[[#This Row],[report_date]])</f>
        <v>2026</v>
      </c>
      <c r="C12288" s="128">
        <f t="shared" si="575"/>
        <v>1</v>
      </c>
      <c r="D12288" s="136">
        <f t="shared" si="574"/>
        <v>4</v>
      </c>
      <c r="E12288" s="136">
        <f t="shared" si="576"/>
        <v>20</v>
      </c>
      <c r="F12288" s="137" t="s">
        <v>24</v>
      </c>
      <c r="G12288" s="128" t="str">
        <f>VLOOKUP(source[[#This Row],[lending_product_transform]],[3]Mapping!$B$4:$C$37,2,0)</f>
        <v>[Cake] - Cashloan</v>
      </c>
      <c r="H12288" s="128" t="str">
        <f>VLOOKUP(source[[#This Row],[lending_product_transform]],[3]Mapping!$B$3:$D$37,3,0)</f>
        <v>cashloan</v>
      </c>
      <c r="I12288" s="143">
        <v>563400000</v>
      </c>
    </row>
    <row r="12289" spans="1:9" x14ac:dyDescent="0.2">
      <c r="A12289" s="134">
        <v>46043</v>
      </c>
      <c r="B12289" s="135">
        <f>YEAR(source[[#This Row],[report_date]])</f>
        <v>2026</v>
      </c>
      <c r="C12289" s="128">
        <f t="shared" si="575"/>
        <v>1</v>
      </c>
      <c r="D12289" s="136">
        <f t="shared" si="574"/>
        <v>4</v>
      </c>
      <c r="E12289" s="136">
        <f t="shared" si="576"/>
        <v>21</v>
      </c>
      <c r="F12289" s="137" t="s">
        <v>24</v>
      </c>
      <c r="G12289" s="128" t="str">
        <f>VLOOKUP(source[[#This Row],[lending_product_transform]],[3]Mapping!$B$4:$C$37,2,0)</f>
        <v>[Cake] - Cashloan</v>
      </c>
      <c r="H12289" s="128" t="str">
        <f>VLOOKUP(source[[#This Row],[lending_product_transform]],[3]Mapping!$B$3:$D$37,3,0)</f>
        <v>cashloan</v>
      </c>
      <c r="I12289" s="143">
        <v>765250000</v>
      </c>
    </row>
    <row r="12290" spans="1:9" x14ac:dyDescent="0.2">
      <c r="A12290" s="134">
        <v>46043</v>
      </c>
      <c r="B12290" s="135">
        <f>YEAR(source[[#This Row],[report_date]])</f>
        <v>2026</v>
      </c>
      <c r="C12290" s="128">
        <f t="shared" si="575"/>
        <v>1</v>
      </c>
      <c r="D12290" s="136">
        <f t="shared" si="574"/>
        <v>4</v>
      </c>
      <c r="E12290" s="136">
        <f t="shared" si="576"/>
        <v>21</v>
      </c>
      <c r="F12290" s="137" t="s">
        <v>24</v>
      </c>
      <c r="G12290" s="128" t="str">
        <f>VLOOKUP(source[[#This Row],[lending_product_transform]],[3]Mapping!$B$4:$C$37,2,0)</f>
        <v>[Cake] - Cashloan</v>
      </c>
      <c r="H12290" s="128" t="str">
        <f>VLOOKUP(source[[#This Row],[lending_product_transform]],[3]Mapping!$B$3:$D$37,3,0)</f>
        <v>cashloan</v>
      </c>
      <c r="I12290" s="143">
        <v>335695331</v>
      </c>
    </row>
    <row r="12291" spans="1:9" x14ac:dyDescent="0.2">
      <c r="A12291" s="134">
        <v>46043</v>
      </c>
      <c r="B12291" s="135">
        <f>YEAR(source[[#This Row],[report_date]])</f>
        <v>2026</v>
      </c>
      <c r="C12291" s="128">
        <f t="shared" si="575"/>
        <v>1</v>
      </c>
      <c r="D12291" s="136">
        <f t="shared" si="574"/>
        <v>4</v>
      </c>
      <c r="E12291" s="136">
        <f t="shared" si="576"/>
        <v>21</v>
      </c>
      <c r="F12291" s="137" t="s">
        <v>24</v>
      </c>
      <c r="G12291" s="128" t="str">
        <f>VLOOKUP(source[[#This Row],[lending_product_transform]],[3]Mapping!$B$4:$C$37,2,0)</f>
        <v>[Cake] - Cashloan</v>
      </c>
      <c r="H12291" s="128" t="str">
        <f>VLOOKUP(source[[#This Row],[lending_product_transform]],[3]Mapping!$B$3:$D$37,3,0)</f>
        <v>cashloan</v>
      </c>
      <c r="I12291" s="143">
        <v>15247760000</v>
      </c>
    </row>
    <row r="12292" spans="1:9" x14ac:dyDescent="0.2">
      <c r="A12292" s="134">
        <v>46043</v>
      </c>
      <c r="B12292" s="135">
        <f>YEAR(source[[#This Row],[report_date]])</f>
        <v>2026</v>
      </c>
      <c r="C12292" s="128">
        <f t="shared" si="575"/>
        <v>1</v>
      </c>
      <c r="D12292" s="136">
        <f t="shared" si="574"/>
        <v>4</v>
      </c>
      <c r="E12292" s="136">
        <f t="shared" si="576"/>
        <v>21</v>
      </c>
      <c r="F12292" s="137" t="s">
        <v>24</v>
      </c>
      <c r="G12292" s="128" t="str">
        <f>VLOOKUP(source[[#This Row],[lending_product_transform]],[3]Mapping!$B$4:$C$37,2,0)</f>
        <v>[Cake] - Cashloan</v>
      </c>
      <c r="H12292" s="128" t="str">
        <f>VLOOKUP(source[[#This Row],[lending_product_transform]],[3]Mapping!$B$3:$D$37,3,0)</f>
        <v>cashloan</v>
      </c>
      <c r="I12292" s="143">
        <v>1904199995</v>
      </c>
    </row>
    <row r="12293" spans="1:9" x14ac:dyDescent="0.2">
      <c r="A12293" s="134">
        <v>46043</v>
      </c>
      <c r="B12293" s="135">
        <f>YEAR(source[[#This Row],[report_date]])</f>
        <v>2026</v>
      </c>
      <c r="C12293" s="128">
        <f t="shared" si="575"/>
        <v>1</v>
      </c>
      <c r="D12293" s="136">
        <f t="shared" si="574"/>
        <v>4</v>
      </c>
      <c r="E12293" s="136">
        <f t="shared" si="576"/>
        <v>21</v>
      </c>
      <c r="F12293" s="137" t="s">
        <v>24</v>
      </c>
      <c r="G12293" s="128" t="str">
        <f>VLOOKUP(source[[#This Row],[lending_product_transform]],[3]Mapping!$B$4:$C$37,2,0)</f>
        <v>[Cake] - Cashloan</v>
      </c>
      <c r="H12293" s="128" t="str">
        <f>VLOOKUP(source[[#This Row],[lending_product_transform]],[3]Mapping!$B$3:$D$37,3,0)</f>
        <v>cashloan</v>
      </c>
      <c r="I12293" s="143">
        <v>14580864000</v>
      </c>
    </row>
    <row r="12294" spans="1:9" x14ac:dyDescent="0.2">
      <c r="A12294" s="134">
        <v>46043</v>
      </c>
      <c r="B12294" s="135">
        <f>YEAR(source[[#This Row],[report_date]])</f>
        <v>2026</v>
      </c>
      <c r="C12294" s="128">
        <f t="shared" si="575"/>
        <v>1</v>
      </c>
      <c r="D12294" s="136">
        <f t="shared" si="574"/>
        <v>4</v>
      </c>
      <c r="E12294" s="136">
        <f t="shared" si="576"/>
        <v>21</v>
      </c>
      <c r="F12294" s="137" t="s">
        <v>24</v>
      </c>
      <c r="G12294" s="128" t="str">
        <f>VLOOKUP(source[[#This Row],[lending_product_transform]],[3]Mapping!$B$4:$C$37,2,0)</f>
        <v>[Cake] - Cashloan</v>
      </c>
      <c r="H12294" s="128" t="str">
        <f>VLOOKUP(source[[#This Row],[lending_product_transform]],[3]Mapping!$B$3:$D$37,3,0)</f>
        <v>cashloan</v>
      </c>
      <c r="I12294" s="143">
        <v>13028836</v>
      </c>
    </row>
    <row r="12295" spans="1:9" x14ac:dyDescent="0.2">
      <c r="A12295" s="134">
        <v>46043</v>
      </c>
      <c r="B12295" s="135">
        <f>YEAR(source[[#This Row],[report_date]])</f>
        <v>2026</v>
      </c>
      <c r="C12295" s="128">
        <f t="shared" si="575"/>
        <v>1</v>
      </c>
      <c r="D12295" s="136">
        <f t="shared" si="574"/>
        <v>4</v>
      </c>
      <c r="E12295" s="136">
        <f t="shared" si="576"/>
        <v>21</v>
      </c>
      <c r="F12295" s="137" t="s">
        <v>24</v>
      </c>
      <c r="G12295" s="128" t="str">
        <f>VLOOKUP(source[[#This Row],[lending_product_transform]],[3]Mapping!$B$4:$C$37,2,0)</f>
        <v>[Cake] - Cashloan</v>
      </c>
      <c r="H12295" s="128" t="str">
        <f>VLOOKUP(source[[#This Row],[lending_product_transform]],[3]Mapping!$B$3:$D$37,3,0)</f>
        <v>cashloan</v>
      </c>
      <c r="I12295" s="143">
        <v>0</v>
      </c>
    </row>
    <row r="12296" spans="1:9" x14ac:dyDescent="0.2">
      <c r="A12296" s="134">
        <v>46043</v>
      </c>
      <c r="B12296" s="135">
        <f>YEAR(source[[#This Row],[report_date]])</f>
        <v>2026</v>
      </c>
      <c r="C12296" s="128">
        <f t="shared" si="575"/>
        <v>1</v>
      </c>
      <c r="D12296" s="136">
        <f t="shared" si="574"/>
        <v>4</v>
      </c>
      <c r="E12296" s="136">
        <f t="shared" si="576"/>
        <v>21</v>
      </c>
      <c r="F12296" s="137" t="s">
        <v>24</v>
      </c>
      <c r="G12296" s="128" t="str">
        <f>VLOOKUP(source[[#This Row],[lending_product_transform]],[3]Mapping!$B$4:$C$37,2,0)</f>
        <v>[Cake] - Cashloan</v>
      </c>
      <c r="H12296" s="128" t="str">
        <f>VLOOKUP(source[[#This Row],[lending_product_transform]],[3]Mapping!$B$3:$D$37,3,0)</f>
        <v>cashloan</v>
      </c>
      <c r="I12296" s="143">
        <v>4137250000</v>
      </c>
    </row>
    <row r="12297" spans="1:9" x14ac:dyDescent="0.2">
      <c r="A12297" s="134">
        <v>46043</v>
      </c>
      <c r="B12297" s="135">
        <f>YEAR(source[[#This Row],[report_date]])</f>
        <v>2026</v>
      </c>
      <c r="C12297" s="128">
        <f t="shared" si="575"/>
        <v>1</v>
      </c>
      <c r="D12297" s="136">
        <f t="shared" si="574"/>
        <v>4</v>
      </c>
      <c r="E12297" s="136">
        <f t="shared" si="576"/>
        <v>21</v>
      </c>
      <c r="F12297" s="137" t="s">
        <v>24</v>
      </c>
      <c r="G12297" s="128" t="str">
        <f>VLOOKUP(source[[#This Row],[lending_product_transform]],[3]Mapping!$B$4:$C$37,2,0)</f>
        <v>[Cake] - Cashloan</v>
      </c>
      <c r="H12297" s="128" t="str">
        <f>VLOOKUP(source[[#This Row],[lending_product_transform]],[3]Mapping!$B$3:$D$37,3,0)</f>
        <v>cashloan</v>
      </c>
      <c r="I12297" s="143">
        <v>1170710000</v>
      </c>
    </row>
    <row r="12298" spans="1:9" x14ac:dyDescent="0.2">
      <c r="A12298" s="134">
        <v>46043</v>
      </c>
      <c r="B12298" s="135">
        <f>YEAR(source[[#This Row],[report_date]])</f>
        <v>2026</v>
      </c>
      <c r="C12298" s="128">
        <f t="shared" si="575"/>
        <v>1</v>
      </c>
      <c r="D12298" s="136">
        <f t="shared" si="574"/>
        <v>4</v>
      </c>
      <c r="E12298" s="136">
        <f t="shared" si="576"/>
        <v>21</v>
      </c>
      <c r="F12298" s="137" t="s">
        <v>24</v>
      </c>
      <c r="G12298" s="128" t="str">
        <f>VLOOKUP(source[[#This Row],[lending_product_transform]],[3]Mapping!$B$4:$C$37,2,0)</f>
        <v>[Cake] - Cashloan</v>
      </c>
      <c r="H12298" s="128" t="str">
        <f>VLOOKUP(source[[#This Row],[lending_product_transform]],[3]Mapping!$B$3:$D$37,3,0)</f>
        <v>cashloan</v>
      </c>
      <c r="I12298" s="143">
        <v>18270497</v>
      </c>
    </row>
    <row r="12299" spans="1:9" x14ac:dyDescent="0.2">
      <c r="A12299" s="134">
        <v>46043</v>
      </c>
      <c r="B12299" s="135">
        <f>YEAR(source[[#This Row],[report_date]])</f>
        <v>2026</v>
      </c>
      <c r="C12299" s="128">
        <f t="shared" si="575"/>
        <v>1</v>
      </c>
      <c r="D12299" s="136">
        <f t="shared" si="574"/>
        <v>4</v>
      </c>
      <c r="E12299" s="136">
        <f t="shared" si="576"/>
        <v>21</v>
      </c>
      <c r="F12299" s="137" t="s">
        <v>24</v>
      </c>
      <c r="G12299" s="128" t="str">
        <f>VLOOKUP(source[[#This Row],[lending_product_transform]],[3]Mapping!$B$4:$C$37,2,0)</f>
        <v>[Cake] - Cashloan</v>
      </c>
      <c r="H12299" s="128" t="str">
        <f>VLOOKUP(source[[#This Row],[lending_product_transform]],[3]Mapping!$B$3:$D$37,3,0)</f>
        <v>cashloan</v>
      </c>
      <c r="I12299" s="143">
        <v>1117910298</v>
      </c>
    </row>
    <row r="12300" spans="1:9" x14ac:dyDescent="0.2">
      <c r="A12300" s="134">
        <v>46043</v>
      </c>
      <c r="B12300" s="135">
        <f>YEAR(source[[#This Row],[report_date]])</f>
        <v>2026</v>
      </c>
      <c r="C12300" s="128">
        <f t="shared" si="575"/>
        <v>1</v>
      </c>
      <c r="D12300" s="136">
        <f t="shared" si="574"/>
        <v>4</v>
      </c>
      <c r="E12300" s="136">
        <f t="shared" si="576"/>
        <v>21</v>
      </c>
      <c r="F12300" s="137" t="s">
        <v>24</v>
      </c>
      <c r="G12300" s="128" t="str">
        <f>VLOOKUP(source[[#This Row],[lending_product_transform]],[3]Mapping!$B$4:$C$37,2,0)</f>
        <v>[Cake] - Cashloan</v>
      </c>
      <c r="H12300" s="128" t="str">
        <f>VLOOKUP(source[[#This Row],[lending_product_transform]],[3]Mapping!$B$3:$D$37,3,0)</f>
        <v>cashloan</v>
      </c>
      <c r="I12300" s="143">
        <v>0</v>
      </c>
    </row>
    <row r="12301" spans="1:9" x14ac:dyDescent="0.2">
      <c r="A12301" s="134">
        <v>46043</v>
      </c>
      <c r="B12301" s="135">
        <f>YEAR(source[[#This Row],[report_date]])</f>
        <v>2026</v>
      </c>
      <c r="C12301" s="128">
        <f t="shared" si="575"/>
        <v>1</v>
      </c>
      <c r="D12301" s="136">
        <f t="shared" si="574"/>
        <v>4</v>
      </c>
      <c r="E12301" s="136">
        <f t="shared" si="576"/>
        <v>21</v>
      </c>
      <c r="F12301" s="137" t="s">
        <v>24</v>
      </c>
      <c r="G12301" s="128" t="str">
        <f>VLOOKUP(source[[#This Row],[lending_product_transform]],[3]Mapping!$B$4:$C$37,2,0)</f>
        <v>[Cake] - Cashloan</v>
      </c>
      <c r="H12301" s="128" t="str">
        <f>VLOOKUP(source[[#This Row],[lending_product_transform]],[3]Mapping!$B$3:$D$37,3,0)</f>
        <v>cashloan</v>
      </c>
      <c r="I12301" s="143">
        <v>94000000</v>
      </c>
    </row>
    <row r="12302" spans="1:9" x14ac:dyDescent="0.2">
      <c r="A12302" s="134">
        <v>46043</v>
      </c>
      <c r="B12302" s="135">
        <f>YEAR(source[[#This Row],[report_date]])</f>
        <v>2026</v>
      </c>
      <c r="C12302" s="128">
        <f t="shared" si="575"/>
        <v>1</v>
      </c>
      <c r="D12302" s="136">
        <f t="shared" si="574"/>
        <v>4</v>
      </c>
      <c r="E12302" s="136">
        <f t="shared" si="576"/>
        <v>21</v>
      </c>
      <c r="F12302" s="137" t="s">
        <v>24</v>
      </c>
      <c r="G12302" s="128" t="str">
        <f>VLOOKUP(source[[#This Row],[lending_product_transform]],[3]Mapping!$B$4:$C$37,2,0)</f>
        <v>[Cake] - Cashloan</v>
      </c>
      <c r="H12302" s="128" t="str">
        <f>VLOOKUP(source[[#This Row],[lending_product_transform]],[3]Mapping!$B$3:$D$37,3,0)</f>
        <v>cashloan</v>
      </c>
      <c r="I12302" s="143">
        <v>0</v>
      </c>
    </row>
    <row r="12303" spans="1:9" x14ac:dyDescent="0.2">
      <c r="A12303" s="134">
        <v>46043</v>
      </c>
      <c r="B12303" s="135">
        <f>YEAR(source[[#This Row],[report_date]])</f>
        <v>2026</v>
      </c>
      <c r="C12303" s="128">
        <f t="shared" si="575"/>
        <v>1</v>
      </c>
      <c r="D12303" s="136">
        <f t="shared" si="574"/>
        <v>4</v>
      </c>
      <c r="E12303" s="136">
        <f t="shared" si="576"/>
        <v>21</v>
      </c>
      <c r="F12303" s="137" t="s">
        <v>24</v>
      </c>
      <c r="G12303" s="128" t="str">
        <f>VLOOKUP(source[[#This Row],[lending_product_transform]],[3]Mapping!$B$4:$C$37,2,0)</f>
        <v>[Cake] - Cashloan</v>
      </c>
      <c r="H12303" s="128" t="str">
        <f>VLOOKUP(source[[#This Row],[lending_product_transform]],[3]Mapping!$B$3:$D$37,3,0)</f>
        <v>cashloan</v>
      </c>
      <c r="I12303" s="143">
        <v>18318490000</v>
      </c>
    </row>
    <row r="12304" spans="1:9" x14ac:dyDescent="0.2">
      <c r="A12304" s="134">
        <v>46043</v>
      </c>
      <c r="B12304" s="135">
        <f>YEAR(source[[#This Row],[report_date]])</f>
        <v>2026</v>
      </c>
      <c r="C12304" s="128">
        <f t="shared" si="575"/>
        <v>1</v>
      </c>
      <c r="D12304" s="136">
        <f t="shared" si="574"/>
        <v>4</v>
      </c>
      <c r="E12304" s="136">
        <f t="shared" si="576"/>
        <v>21</v>
      </c>
      <c r="F12304" s="137" t="s">
        <v>24</v>
      </c>
      <c r="G12304" s="128" t="str">
        <f>VLOOKUP(source[[#This Row],[lending_product_transform]],[3]Mapping!$B$4:$C$37,2,0)</f>
        <v>[Cake] - Cashloan</v>
      </c>
      <c r="H12304" s="128" t="str">
        <f>VLOOKUP(source[[#This Row],[lending_product_transform]],[3]Mapping!$B$3:$D$37,3,0)</f>
        <v>cashloan</v>
      </c>
      <c r="I12304" s="143">
        <v>0</v>
      </c>
    </row>
    <row r="12305" spans="1:9" x14ac:dyDescent="0.2">
      <c r="A12305" s="134">
        <v>46043</v>
      </c>
      <c r="B12305" s="135">
        <f>YEAR(source[[#This Row],[report_date]])</f>
        <v>2026</v>
      </c>
      <c r="C12305" s="128">
        <f t="shared" si="575"/>
        <v>1</v>
      </c>
      <c r="D12305" s="136">
        <f t="shared" ref="D12305:D12368" si="577">WEEKNUM(A12305,2)</f>
        <v>4</v>
      </c>
      <c r="E12305" s="136">
        <f t="shared" si="576"/>
        <v>21</v>
      </c>
      <c r="F12305" s="137" t="s">
        <v>24</v>
      </c>
      <c r="G12305" s="128" t="str">
        <f>VLOOKUP(source[[#This Row],[lending_product_transform]],[3]Mapping!$B$4:$C$37,2,0)</f>
        <v>[Cake] - Cashloan</v>
      </c>
      <c r="H12305" s="128" t="str">
        <f>VLOOKUP(source[[#This Row],[lending_product_transform]],[3]Mapping!$B$3:$D$37,3,0)</f>
        <v>cashloan</v>
      </c>
      <c r="I12305" s="143">
        <v>0</v>
      </c>
    </row>
    <row r="12306" spans="1:9" x14ac:dyDescent="0.2">
      <c r="A12306" s="134">
        <v>46043</v>
      </c>
      <c r="B12306" s="135">
        <f>YEAR(source[[#This Row],[report_date]])</f>
        <v>2026</v>
      </c>
      <c r="C12306" s="128">
        <f t="shared" si="575"/>
        <v>1</v>
      </c>
      <c r="D12306" s="136">
        <f t="shared" si="577"/>
        <v>4</v>
      </c>
      <c r="E12306" s="136">
        <f t="shared" si="576"/>
        <v>21</v>
      </c>
      <c r="F12306" s="137" t="s">
        <v>24</v>
      </c>
      <c r="G12306" s="128" t="str">
        <f>VLOOKUP(source[[#This Row],[lending_product_transform]],[3]Mapping!$B$4:$C$37,2,0)</f>
        <v>[Cake] - Cashloan</v>
      </c>
      <c r="H12306" s="128" t="str">
        <f>VLOOKUP(source[[#This Row],[lending_product_transform]],[3]Mapping!$B$3:$D$37,3,0)</f>
        <v>cashloan</v>
      </c>
      <c r="I12306" s="143">
        <v>0</v>
      </c>
    </row>
    <row r="12307" spans="1:9" x14ac:dyDescent="0.2">
      <c r="A12307" s="134">
        <v>46043</v>
      </c>
      <c r="B12307" s="135">
        <f>YEAR(source[[#This Row],[report_date]])</f>
        <v>2026</v>
      </c>
      <c r="C12307" s="128">
        <f t="shared" si="575"/>
        <v>1</v>
      </c>
      <c r="D12307" s="136">
        <f t="shared" si="577"/>
        <v>4</v>
      </c>
      <c r="E12307" s="136">
        <f t="shared" si="576"/>
        <v>21</v>
      </c>
      <c r="F12307" s="137" t="s">
        <v>24</v>
      </c>
      <c r="G12307" s="128" t="str">
        <f>VLOOKUP(source[[#This Row],[lending_product_transform]],[3]Mapping!$B$4:$C$37,2,0)</f>
        <v>[Cake] - Cashloan</v>
      </c>
      <c r="H12307" s="128" t="str">
        <f>VLOOKUP(source[[#This Row],[lending_product_transform]],[3]Mapping!$B$3:$D$37,3,0)</f>
        <v>cashloan</v>
      </c>
      <c r="I12307" s="143">
        <v>15000000</v>
      </c>
    </row>
    <row r="12308" spans="1:9" x14ac:dyDescent="0.2">
      <c r="A12308" s="134">
        <v>46043</v>
      </c>
      <c r="B12308" s="135">
        <f>YEAR(source[[#This Row],[report_date]])</f>
        <v>2026</v>
      </c>
      <c r="C12308" s="128">
        <f t="shared" si="575"/>
        <v>1</v>
      </c>
      <c r="D12308" s="136">
        <f t="shared" si="577"/>
        <v>4</v>
      </c>
      <c r="E12308" s="136">
        <f t="shared" si="576"/>
        <v>21</v>
      </c>
      <c r="F12308" s="137" t="s">
        <v>24</v>
      </c>
      <c r="G12308" s="128" t="str">
        <f>VLOOKUP(source[[#This Row],[lending_product_transform]],[3]Mapping!$B$4:$C$37,2,0)</f>
        <v>[Cake] - Cashloan</v>
      </c>
      <c r="H12308" s="128" t="str">
        <f>VLOOKUP(source[[#This Row],[lending_product_transform]],[3]Mapping!$B$3:$D$37,3,0)</f>
        <v>cashloan</v>
      </c>
      <c r="I12308" s="143">
        <v>11299500000</v>
      </c>
    </row>
    <row r="12309" spans="1:9" x14ac:dyDescent="0.2">
      <c r="A12309" s="134">
        <v>46043</v>
      </c>
      <c r="B12309" s="135">
        <f>YEAR(source[[#This Row],[report_date]])</f>
        <v>2026</v>
      </c>
      <c r="C12309" s="128">
        <f t="shared" si="575"/>
        <v>1</v>
      </c>
      <c r="D12309" s="136">
        <f t="shared" si="577"/>
        <v>4</v>
      </c>
      <c r="E12309" s="136">
        <f t="shared" si="576"/>
        <v>21</v>
      </c>
      <c r="F12309" s="137" t="s">
        <v>24</v>
      </c>
      <c r="G12309" s="128" t="str">
        <f>VLOOKUP(source[[#This Row],[lending_product_transform]],[3]Mapping!$B$4:$C$37,2,0)</f>
        <v>[Cake] - Cashloan</v>
      </c>
      <c r="H12309" s="128" t="str">
        <f>VLOOKUP(source[[#This Row],[lending_product_transform]],[3]Mapping!$B$3:$D$37,3,0)</f>
        <v>cashloan</v>
      </c>
      <c r="I12309" s="143">
        <v>200834005</v>
      </c>
    </row>
    <row r="12310" spans="1:9" x14ac:dyDescent="0.2">
      <c r="A12310" s="134">
        <v>46043</v>
      </c>
      <c r="B12310" s="135">
        <f>YEAR(source[[#This Row],[report_date]])</f>
        <v>2026</v>
      </c>
      <c r="C12310" s="128">
        <f t="shared" si="575"/>
        <v>1</v>
      </c>
      <c r="D12310" s="136">
        <f t="shared" si="577"/>
        <v>4</v>
      </c>
      <c r="E12310" s="136">
        <f t="shared" si="576"/>
        <v>21</v>
      </c>
      <c r="F12310" s="137" t="s">
        <v>24</v>
      </c>
      <c r="G12310" s="128" t="str">
        <f>VLOOKUP(source[[#This Row],[lending_product_transform]],[3]Mapping!$B$4:$C$37,2,0)</f>
        <v>[Cake] - Cashloan</v>
      </c>
      <c r="H12310" s="128" t="str">
        <f>VLOOKUP(source[[#This Row],[lending_product_transform]],[3]Mapping!$B$3:$D$37,3,0)</f>
        <v>cashloan</v>
      </c>
      <c r="I12310" s="143">
        <v>42000000</v>
      </c>
    </row>
    <row r="12311" spans="1:9" x14ac:dyDescent="0.2">
      <c r="A12311" s="134">
        <v>46043</v>
      </c>
      <c r="B12311" s="135">
        <f>YEAR(source[[#This Row],[report_date]])</f>
        <v>2026</v>
      </c>
      <c r="C12311" s="128">
        <f t="shared" si="575"/>
        <v>1</v>
      </c>
      <c r="D12311" s="136">
        <f t="shared" si="577"/>
        <v>4</v>
      </c>
      <c r="E12311" s="136">
        <f t="shared" si="576"/>
        <v>21</v>
      </c>
      <c r="F12311" s="137" t="s">
        <v>24</v>
      </c>
      <c r="G12311" s="128" t="str">
        <f>VLOOKUP(source[[#This Row],[lending_product_transform]],[3]Mapping!$B$4:$C$37,2,0)</f>
        <v>[Cake] - Cashloan</v>
      </c>
      <c r="H12311" s="128" t="str">
        <f>VLOOKUP(source[[#This Row],[lending_product_transform]],[3]Mapping!$B$3:$D$37,3,0)</f>
        <v>cashloan</v>
      </c>
      <c r="I12311" s="143">
        <v>44000000</v>
      </c>
    </row>
    <row r="12312" spans="1:9" x14ac:dyDescent="0.2">
      <c r="A12312" s="134">
        <v>46043</v>
      </c>
      <c r="B12312" s="135">
        <f>YEAR(source[[#This Row],[report_date]])</f>
        <v>2026</v>
      </c>
      <c r="C12312" s="128">
        <f t="shared" si="575"/>
        <v>1</v>
      </c>
      <c r="D12312" s="136">
        <f t="shared" si="577"/>
        <v>4</v>
      </c>
      <c r="E12312" s="136">
        <f t="shared" si="576"/>
        <v>21</v>
      </c>
      <c r="F12312" s="137" t="s">
        <v>24</v>
      </c>
      <c r="G12312" s="128" t="str">
        <f>VLOOKUP(source[[#This Row],[lending_product_transform]],[3]Mapping!$B$4:$C$37,2,0)</f>
        <v>[Cake] - Cashloan</v>
      </c>
      <c r="H12312" s="128" t="str">
        <f>VLOOKUP(source[[#This Row],[lending_product_transform]],[3]Mapping!$B$3:$D$37,3,0)</f>
        <v>cashloan</v>
      </c>
      <c r="I12312" s="143">
        <v>770810000</v>
      </c>
    </row>
    <row r="12313" spans="1:9" x14ac:dyDescent="0.2">
      <c r="A12313" s="134">
        <v>46043</v>
      </c>
      <c r="B12313" s="135">
        <f>YEAR(source[[#This Row],[report_date]])</f>
        <v>2026</v>
      </c>
      <c r="C12313" s="128">
        <f t="shared" si="575"/>
        <v>1</v>
      </c>
      <c r="D12313" s="136">
        <f t="shared" si="577"/>
        <v>4</v>
      </c>
      <c r="E12313" s="136">
        <f t="shared" si="576"/>
        <v>21</v>
      </c>
      <c r="F12313" s="137" t="s">
        <v>24</v>
      </c>
      <c r="G12313" s="128" t="str">
        <f>VLOOKUP(source[[#This Row],[lending_product_transform]],[3]Mapping!$B$4:$C$37,2,0)</f>
        <v>[Cake] - Cashloan</v>
      </c>
      <c r="H12313" s="128" t="str">
        <f>VLOOKUP(source[[#This Row],[lending_product_transform]],[3]Mapping!$B$3:$D$37,3,0)</f>
        <v>cashloan</v>
      </c>
      <c r="I12313" s="143">
        <v>307476000</v>
      </c>
    </row>
    <row r="12314" spans="1:9" x14ac:dyDescent="0.2">
      <c r="A12314" s="134">
        <v>46043</v>
      </c>
      <c r="B12314" s="135">
        <f>YEAR(source[[#This Row],[report_date]])</f>
        <v>2026</v>
      </c>
      <c r="C12314" s="128">
        <f t="shared" si="575"/>
        <v>1</v>
      </c>
      <c r="D12314" s="136">
        <f t="shared" si="577"/>
        <v>4</v>
      </c>
      <c r="E12314" s="136">
        <f t="shared" si="576"/>
        <v>21</v>
      </c>
      <c r="F12314" s="137" t="s">
        <v>24</v>
      </c>
      <c r="G12314" s="128" t="str">
        <f>VLOOKUP(source[[#This Row],[lending_product_transform]],[3]Mapping!$B$4:$C$37,2,0)</f>
        <v>[Cake] - Cashloan</v>
      </c>
      <c r="H12314" s="128" t="str">
        <f>VLOOKUP(source[[#This Row],[lending_product_transform]],[3]Mapping!$B$3:$D$37,3,0)</f>
        <v>cashloan</v>
      </c>
      <c r="I12314" s="143">
        <v>445798590</v>
      </c>
    </row>
    <row r="12315" spans="1:9" x14ac:dyDescent="0.2">
      <c r="A12315" s="134">
        <v>46043</v>
      </c>
      <c r="B12315" s="135">
        <f>YEAR(source[[#This Row],[report_date]])</f>
        <v>2026</v>
      </c>
      <c r="C12315" s="128">
        <f t="shared" si="575"/>
        <v>1</v>
      </c>
      <c r="D12315" s="136">
        <f t="shared" si="577"/>
        <v>4</v>
      </c>
      <c r="E12315" s="136">
        <f t="shared" si="576"/>
        <v>21</v>
      </c>
      <c r="F12315" s="137" t="s">
        <v>24</v>
      </c>
      <c r="G12315" s="128" t="str">
        <f>VLOOKUP(source[[#This Row],[lending_product_transform]],[3]Mapping!$B$4:$C$37,2,0)</f>
        <v>[Cake] - Cashloan</v>
      </c>
      <c r="H12315" s="128" t="str">
        <f>VLOOKUP(source[[#This Row],[lending_product_transform]],[3]Mapping!$B$3:$D$37,3,0)</f>
        <v>cashloan</v>
      </c>
      <c r="I12315" s="143">
        <v>3300290000</v>
      </c>
    </row>
    <row r="12316" spans="1:9" x14ac:dyDescent="0.2">
      <c r="A12316" s="134">
        <v>46043</v>
      </c>
      <c r="B12316" s="135">
        <f>YEAR(source[[#This Row],[report_date]])</f>
        <v>2026</v>
      </c>
      <c r="C12316" s="128">
        <f t="shared" si="575"/>
        <v>1</v>
      </c>
      <c r="D12316" s="136">
        <f t="shared" si="577"/>
        <v>4</v>
      </c>
      <c r="E12316" s="136">
        <f t="shared" si="576"/>
        <v>21</v>
      </c>
      <c r="F12316" s="137" t="s">
        <v>24</v>
      </c>
      <c r="G12316" s="128" t="str">
        <f>VLOOKUP(source[[#This Row],[lending_product_transform]],[3]Mapping!$B$4:$C$37,2,0)</f>
        <v>[Cake] - Cashloan</v>
      </c>
      <c r="H12316" s="128" t="str">
        <f>VLOOKUP(source[[#This Row],[lending_product_transform]],[3]Mapping!$B$3:$D$37,3,0)</f>
        <v>cashloan</v>
      </c>
      <c r="I12316" s="143">
        <v>1009960000</v>
      </c>
    </row>
    <row r="12317" spans="1:9" x14ac:dyDescent="0.2">
      <c r="A12317" s="134">
        <v>46044</v>
      </c>
      <c r="B12317" s="135">
        <f>YEAR(source[[#This Row],[report_date]])</f>
        <v>2026</v>
      </c>
      <c r="C12317" s="128">
        <f t="shared" si="575"/>
        <v>1</v>
      </c>
      <c r="D12317" s="136">
        <f t="shared" si="577"/>
        <v>4</v>
      </c>
      <c r="E12317" s="136">
        <f t="shared" si="576"/>
        <v>22</v>
      </c>
      <c r="F12317" s="137" t="s">
        <v>24</v>
      </c>
      <c r="G12317" s="128" t="str">
        <f>VLOOKUP(source[[#This Row],[lending_product_transform]],[3]Mapping!$B$4:$C$37,2,0)</f>
        <v>[Cake] - Cashloan</v>
      </c>
      <c r="H12317" s="128" t="str">
        <f>VLOOKUP(source[[#This Row],[lending_product_transform]],[3]Mapping!$B$3:$D$37,3,0)</f>
        <v>cashloan</v>
      </c>
      <c r="I12317" s="143">
        <v>617250000</v>
      </c>
    </row>
    <row r="12318" spans="1:9" x14ac:dyDescent="0.2">
      <c r="A12318" s="134">
        <v>46044</v>
      </c>
      <c r="B12318" s="135">
        <f>YEAR(source[[#This Row],[report_date]])</f>
        <v>2026</v>
      </c>
      <c r="C12318" s="128">
        <f t="shared" si="575"/>
        <v>1</v>
      </c>
      <c r="D12318" s="136">
        <f t="shared" si="577"/>
        <v>4</v>
      </c>
      <c r="E12318" s="136">
        <f t="shared" si="576"/>
        <v>22</v>
      </c>
      <c r="F12318" s="137" t="s">
        <v>24</v>
      </c>
      <c r="G12318" s="128" t="str">
        <f>VLOOKUP(source[[#This Row],[lending_product_transform]],[3]Mapping!$B$4:$C$37,2,0)</f>
        <v>[Cake] - Cashloan</v>
      </c>
      <c r="H12318" s="128" t="str">
        <f>VLOOKUP(source[[#This Row],[lending_product_transform]],[3]Mapping!$B$3:$D$37,3,0)</f>
        <v>cashloan</v>
      </c>
      <c r="I12318" s="143">
        <v>335056696</v>
      </c>
    </row>
    <row r="12319" spans="1:9" x14ac:dyDescent="0.2">
      <c r="A12319" s="134">
        <v>46044</v>
      </c>
      <c r="B12319" s="135">
        <f>YEAR(source[[#This Row],[report_date]])</f>
        <v>2026</v>
      </c>
      <c r="C12319" s="128">
        <f t="shared" si="575"/>
        <v>1</v>
      </c>
      <c r="D12319" s="136">
        <f t="shared" si="577"/>
        <v>4</v>
      </c>
      <c r="E12319" s="136">
        <f t="shared" si="576"/>
        <v>22</v>
      </c>
      <c r="F12319" s="137" t="s">
        <v>24</v>
      </c>
      <c r="G12319" s="128" t="str">
        <f>VLOOKUP(source[[#This Row],[lending_product_transform]],[3]Mapping!$B$4:$C$37,2,0)</f>
        <v>[Cake] - Cashloan</v>
      </c>
      <c r="H12319" s="128" t="str">
        <f>VLOOKUP(source[[#This Row],[lending_product_transform]],[3]Mapping!$B$3:$D$37,3,0)</f>
        <v>cashloan</v>
      </c>
      <c r="I12319" s="143">
        <v>14602150000</v>
      </c>
    </row>
    <row r="12320" spans="1:9" x14ac:dyDescent="0.2">
      <c r="A12320" s="134">
        <v>46044</v>
      </c>
      <c r="B12320" s="135">
        <f>YEAR(source[[#This Row],[report_date]])</f>
        <v>2026</v>
      </c>
      <c r="C12320" s="128">
        <f t="shared" si="575"/>
        <v>1</v>
      </c>
      <c r="D12320" s="136">
        <f t="shared" si="577"/>
        <v>4</v>
      </c>
      <c r="E12320" s="136">
        <f t="shared" si="576"/>
        <v>22</v>
      </c>
      <c r="F12320" s="137" t="s">
        <v>24</v>
      </c>
      <c r="G12320" s="128" t="str">
        <f>VLOOKUP(source[[#This Row],[lending_product_transform]],[3]Mapping!$B$4:$C$37,2,0)</f>
        <v>[Cake] - Cashloan</v>
      </c>
      <c r="H12320" s="128" t="str">
        <f>VLOOKUP(source[[#This Row],[lending_product_transform]],[3]Mapping!$B$3:$D$37,3,0)</f>
        <v>cashloan</v>
      </c>
      <c r="I12320" s="143">
        <v>1857940564</v>
      </c>
    </row>
    <row r="12321" spans="1:9" x14ac:dyDescent="0.2">
      <c r="A12321" s="134">
        <v>46044</v>
      </c>
      <c r="B12321" s="135">
        <f>YEAR(source[[#This Row],[report_date]])</f>
        <v>2026</v>
      </c>
      <c r="C12321" s="128">
        <f t="shared" si="575"/>
        <v>1</v>
      </c>
      <c r="D12321" s="136">
        <f t="shared" si="577"/>
        <v>4</v>
      </c>
      <c r="E12321" s="136">
        <f t="shared" si="576"/>
        <v>22</v>
      </c>
      <c r="F12321" s="137" t="s">
        <v>24</v>
      </c>
      <c r="G12321" s="128" t="str">
        <f>VLOOKUP(source[[#This Row],[lending_product_transform]],[3]Mapping!$B$4:$C$37,2,0)</f>
        <v>[Cake] - Cashloan</v>
      </c>
      <c r="H12321" s="128" t="str">
        <f>VLOOKUP(source[[#This Row],[lending_product_transform]],[3]Mapping!$B$3:$D$37,3,0)</f>
        <v>cashloan</v>
      </c>
      <c r="I12321" s="143">
        <v>13052556000</v>
      </c>
    </row>
    <row r="12322" spans="1:9" x14ac:dyDescent="0.2">
      <c r="A12322" s="134">
        <v>46044</v>
      </c>
      <c r="B12322" s="135">
        <f>YEAR(source[[#This Row],[report_date]])</f>
        <v>2026</v>
      </c>
      <c r="C12322" s="128">
        <f t="shared" si="575"/>
        <v>1</v>
      </c>
      <c r="D12322" s="136">
        <f t="shared" si="577"/>
        <v>4</v>
      </c>
      <c r="E12322" s="136">
        <f t="shared" si="576"/>
        <v>22</v>
      </c>
      <c r="F12322" s="137" t="s">
        <v>24</v>
      </c>
      <c r="G12322" s="128" t="str">
        <f>VLOOKUP(source[[#This Row],[lending_product_transform]],[3]Mapping!$B$4:$C$37,2,0)</f>
        <v>[Cake] - Cashloan</v>
      </c>
      <c r="H12322" s="128" t="str">
        <f>VLOOKUP(source[[#This Row],[lending_product_transform]],[3]Mapping!$B$3:$D$37,3,0)</f>
        <v>cashloan</v>
      </c>
      <c r="I12322" s="143">
        <v>8542252</v>
      </c>
    </row>
    <row r="12323" spans="1:9" x14ac:dyDescent="0.2">
      <c r="A12323" s="134">
        <v>46044</v>
      </c>
      <c r="B12323" s="135">
        <f>YEAR(source[[#This Row],[report_date]])</f>
        <v>2026</v>
      </c>
      <c r="C12323" s="128">
        <f t="shared" si="575"/>
        <v>1</v>
      </c>
      <c r="D12323" s="136">
        <f t="shared" si="577"/>
        <v>4</v>
      </c>
      <c r="E12323" s="136">
        <f t="shared" si="576"/>
        <v>22</v>
      </c>
      <c r="F12323" s="137" t="s">
        <v>24</v>
      </c>
      <c r="G12323" s="128" t="str">
        <f>VLOOKUP(source[[#This Row],[lending_product_transform]],[3]Mapping!$B$4:$C$37,2,0)</f>
        <v>[Cake] - Cashloan</v>
      </c>
      <c r="H12323" s="128" t="str">
        <f>VLOOKUP(source[[#This Row],[lending_product_transform]],[3]Mapping!$B$3:$D$37,3,0)</f>
        <v>cashloan</v>
      </c>
      <c r="I12323" s="143">
        <v>0</v>
      </c>
    </row>
    <row r="12324" spans="1:9" x14ac:dyDescent="0.2">
      <c r="A12324" s="134">
        <v>46044</v>
      </c>
      <c r="B12324" s="135">
        <f>YEAR(source[[#This Row],[report_date]])</f>
        <v>2026</v>
      </c>
      <c r="C12324" s="128">
        <f t="shared" si="575"/>
        <v>1</v>
      </c>
      <c r="D12324" s="136">
        <f t="shared" si="577"/>
        <v>4</v>
      </c>
      <c r="E12324" s="136">
        <f t="shared" si="576"/>
        <v>22</v>
      </c>
      <c r="F12324" s="137" t="s">
        <v>24</v>
      </c>
      <c r="G12324" s="128" t="str">
        <f>VLOOKUP(source[[#This Row],[lending_product_transform]],[3]Mapping!$B$4:$C$37,2,0)</f>
        <v>[Cake] - Cashloan</v>
      </c>
      <c r="H12324" s="128" t="str">
        <f>VLOOKUP(source[[#This Row],[lending_product_transform]],[3]Mapping!$B$3:$D$37,3,0)</f>
        <v>cashloan</v>
      </c>
      <c r="I12324" s="143">
        <v>4446940000</v>
      </c>
    </row>
    <row r="12325" spans="1:9" x14ac:dyDescent="0.2">
      <c r="A12325" s="134">
        <v>46044</v>
      </c>
      <c r="B12325" s="135">
        <f>YEAR(source[[#This Row],[report_date]])</f>
        <v>2026</v>
      </c>
      <c r="C12325" s="128">
        <f t="shared" si="575"/>
        <v>1</v>
      </c>
      <c r="D12325" s="136">
        <f t="shared" si="577"/>
        <v>4</v>
      </c>
      <c r="E12325" s="136">
        <f t="shared" si="576"/>
        <v>22</v>
      </c>
      <c r="F12325" s="137" t="s">
        <v>24</v>
      </c>
      <c r="G12325" s="128" t="str">
        <f>VLOOKUP(source[[#This Row],[lending_product_transform]],[3]Mapping!$B$4:$C$37,2,0)</f>
        <v>[Cake] - Cashloan</v>
      </c>
      <c r="H12325" s="128" t="str">
        <f>VLOOKUP(source[[#This Row],[lending_product_transform]],[3]Mapping!$B$3:$D$37,3,0)</f>
        <v>cashloan</v>
      </c>
      <c r="I12325" s="143">
        <v>1488850000</v>
      </c>
    </row>
    <row r="12326" spans="1:9" x14ac:dyDescent="0.2">
      <c r="A12326" s="134">
        <v>46044</v>
      </c>
      <c r="B12326" s="135">
        <f>YEAR(source[[#This Row],[report_date]])</f>
        <v>2026</v>
      </c>
      <c r="C12326" s="128">
        <f t="shared" si="575"/>
        <v>1</v>
      </c>
      <c r="D12326" s="136">
        <f t="shared" si="577"/>
        <v>4</v>
      </c>
      <c r="E12326" s="136">
        <f t="shared" si="576"/>
        <v>22</v>
      </c>
      <c r="F12326" s="137" t="s">
        <v>24</v>
      </c>
      <c r="G12326" s="128" t="str">
        <f>VLOOKUP(source[[#This Row],[lending_product_transform]],[3]Mapping!$B$4:$C$37,2,0)</f>
        <v>[Cake] - Cashloan</v>
      </c>
      <c r="H12326" s="128" t="str">
        <f>VLOOKUP(source[[#This Row],[lending_product_transform]],[3]Mapping!$B$3:$D$37,3,0)</f>
        <v>cashloan</v>
      </c>
      <c r="I12326" s="143">
        <v>3952618</v>
      </c>
    </row>
    <row r="12327" spans="1:9" x14ac:dyDescent="0.2">
      <c r="A12327" s="134">
        <v>46044</v>
      </c>
      <c r="B12327" s="135">
        <f>YEAR(source[[#This Row],[report_date]])</f>
        <v>2026</v>
      </c>
      <c r="C12327" s="128">
        <f t="shared" si="575"/>
        <v>1</v>
      </c>
      <c r="D12327" s="136">
        <f t="shared" si="577"/>
        <v>4</v>
      </c>
      <c r="E12327" s="136">
        <f t="shared" si="576"/>
        <v>22</v>
      </c>
      <c r="F12327" s="137" t="s">
        <v>24</v>
      </c>
      <c r="G12327" s="128" t="str">
        <f>VLOOKUP(source[[#This Row],[lending_product_transform]],[3]Mapping!$B$4:$C$37,2,0)</f>
        <v>[Cake] - Cashloan</v>
      </c>
      <c r="H12327" s="128" t="str">
        <f>VLOOKUP(source[[#This Row],[lending_product_transform]],[3]Mapping!$B$3:$D$37,3,0)</f>
        <v>cashloan</v>
      </c>
      <c r="I12327" s="143">
        <v>1055462327</v>
      </c>
    </row>
    <row r="12328" spans="1:9" x14ac:dyDescent="0.2">
      <c r="A12328" s="134">
        <v>46044</v>
      </c>
      <c r="B12328" s="135">
        <f>YEAR(source[[#This Row],[report_date]])</f>
        <v>2026</v>
      </c>
      <c r="C12328" s="128">
        <f t="shared" si="575"/>
        <v>1</v>
      </c>
      <c r="D12328" s="136">
        <f t="shared" si="577"/>
        <v>4</v>
      </c>
      <c r="E12328" s="136">
        <f t="shared" si="576"/>
        <v>22</v>
      </c>
      <c r="F12328" s="137" t="s">
        <v>24</v>
      </c>
      <c r="G12328" s="128" t="str">
        <f>VLOOKUP(source[[#This Row],[lending_product_transform]],[3]Mapping!$B$4:$C$37,2,0)</f>
        <v>[Cake] - Cashloan</v>
      </c>
      <c r="H12328" s="128" t="str">
        <f>VLOOKUP(source[[#This Row],[lending_product_transform]],[3]Mapping!$B$3:$D$37,3,0)</f>
        <v>cashloan</v>
      </c>
      <c r="I12328" s="143">
        <v>0</v>
      </c>
    </row>
    <row r="12329" spans="1:9" x14ac:dyDescent="0.2">
      <c r="A12329" s="134">
        <v>46044</v>
      </c>
      <c r="B12329" s="135">
        <f>YEAR(source[[#This Row],[report_date]])</f>
        <v>2026</v>
      </c>
      <c r="C12329" s="128">
        <f t="shared" si="575"/>
        <v>1</v>
      </c>
      <c r="D12329" s="136">
        <f t="shared" si="577"/>
        <v>4</v>
      </c>
      <c r="E12329" s="136">
        <f t="shared" si="576"/>
        <v>22</v>
      </c>
      <c r="F12329" s="137" t="s">
        <v>24</v>
      </c>
      <c r="G12329" s="128" t="str">
        <f>VLOOKUP(source[[#This Row],[lending_product_transform]],[3]Mapping!$B$4:$C$37,2,0)</f>
        <v>[Cake] - Cashloan</v>
      </c>
      <c r="H12329" s="128" t="str">
        <f>VLOOKUP(source[[#This Row],[lending_product_transform]],[3]Mapping!$B$3:$D$37,3,0)</f>
        <v>cashloan</v>
      </c>
      <c r="I12329" s="143">
        <v>117650000</v>
      </c>
    </row>
    <row r="12330" spans="1:9" x14ac:dyDescent="0.2">
      <c r="A12330" s="134">
        <v>46044</v>
      </c>
      <c r="B12330" s="135">
        <f>YEAR(source[[#This Row],[report_date]])</f>
        <v>2026</v>
      </c>
      <c r="C12330" s="128">
        <f t="shared" si="575"/>
        <v>1</v>
      </c>
      <c r="D12330" s="136">
        <f t="shared" si="577"/>
        <v>4</v>
      </c>
      <c r="E12330" s="136">
        <f t="shared" si="576"/>
        <v>22</v>
      </c>
      <c r="F12330" s="137" t="s">
        <v>24</v>
      </c>
      <c r="G12330" s="128" t="str">
        <f>VLOOKUP(source[[#This Row],[lending_product_transform]],[3]Mapping!$B$4:$C$37,2,0)</f>
        <v>[Cake] - Cashloan</v>
      </c>
      <c r="H12330" s="128" t="str">
        <f>VLOOKUP(source[[#This Row],[lending_product_transform]],[3]Mapping!$B$3:$D$37,3,0)</f>
        <v>cashloan</v>
      </c>
      <c r="I12330" s="143">
        <v>55620000</v>
      </c>
    </row>
    <row r="12331" spans="1:9" x14ac:dyDescent="0.2">
      <c r="A12331" s="134">
        <v>46044</v>
      </c>
      <c r="B12331" s="135">
        <f>YEAR(source[[#This Row],[report_date]])</f>
        <v>2026</v>
      </c>
      <c r="C12331" s="128">
        <f t="shared" si="575"/>
        <v>1</v>
      </c>
      <c r="D12331" s="136">
        <f t="shared" si="577"/>
        <v>4</v>
      </c>
      <c r="E12331" s="136">
        <f t="shared" si="576"/>
        <v>22</v>
      </c>
      <c r="F12331" s="137" t="s">
        <v>24</v>
      </c>
      <c r="G12331" s="128" t="str">
        <f>VLOOKUP(source[[#This Row],[lending_product_transform]],[3]Mapping!$B$4:$C$37,2,0)</f>
        <v>[Cake] - Cashloan</v>
      </c>
      <c r="H12331" s="128" t="str">
        <f>VLOOKUP(source[[#This Row],[lending_product_transform]],[3]Mapping!$B$3:$D$37,3,0)</f>
        <v>cashloan</v>
      </c>
      <c r="I12331" s="143">
        <v>15830660000</v>
      </c>
    </row>
    <row r="12332" spans="1:9" x14ac:dyDescent="0.2">
      <c r="A12332" s="134">
        <v>46044</v>
      </c>
      <c r="B12332" s="135">
        <f>YEAR(source[[#This Row],[report_date]])</f>
        <v>2026</v>
      </c>
      <c r="C12332" s="128">
        <f t="shared" si="575"/>
        <v>1</v>
      </c>
      <c r="D12332" s="136">
        <f t="shared" si="577"/>
        <v>4</v>
      </c>
      <c r="E12332" s="136">
        <f t="shared" si="576"/>
        <v>22</v>
      </c>
      <c r="F12332" s="137" t="s">
        <v>24</v>
      </c>
      <c r="G12332" s="128" t="str">
        <f>VLOOKUP(source[[#This Row],[lending_product_transform]],[3]Mapping!$B$4:$C$37,2,0)</f>
        <v>[Cake] - Cashloan</v>
      </c>
      <c r="H12332" s="128" t="str">
        <f>VLOOKUP(source[[#This Row],[lending_product_transform]],[3]Mapping!$B$3:$D$37,3,0)</f>
        <v>cashloan</v>
      </c>
      <c r="I12332" s="143">
        <v>0</v>
      </c>
    </row>
    <row r="12333" spans="1:9" x14ac:dyDescent="0.2">
      <c r="A12333" s="134">
        <v>46044</v>
      </c>
      <c r="B12333" s="135">
        <f>YEAR(source[[#This Row],[report_date]])</f>
        <v>2026</v>
      </c>
      <c r="C12333" s="128">
        <f t="shared" si="575"/>
        <v>1</v>
      </c>
      <c r="D12333" s="136">
        <f t="shared" si="577"/>
        <v>4</v>
      </c>
      <c r="E12333" s="136">
        <f t="shared" si="576"/>
        <v>22</v>
      </c>
      <c r="F12333" s="137" t="s">
        <v>24</v>
      </c>
      <c r="G12333" s="128" t="str">
        <f>VLOOKUP(source[[#This Row],[lending_product_transform]],[3]Mapping!$B$4:$C$37,2,0)</f>
        <v>[Cake] - Cashloan</v>
      </c>
      <c r="H12333" s="128" t="str">
        <f>VLOOKUP(source[[#This Row],[lending_product_transform]],[3]Mapping!$B$3:$D$37,3,0)</f>
        <v>cashloan</v>
      </c>
      <c r="I12333" s="143">
        <v>0</v>
      </c>
    </row>
    <row r="12334" spans="1:9" x14ac:dyDescent="0.2">
      <c r="A12334" s="134">
        <v>46044</v>
      </c>
      <c r="B12334" s="135">
        <f>YEAR(source[[#This Row],[report_date]])</f>
        <v>2026</v>
      </c>
      <c r="C12334" s="128">
        <f t="shared" si="575"/>
        <v>1</v>
      </c>
      <c r="D12334" s="136">
        <f t="shared" si="577"/>
        <v>4</v>
      </c>
      <c r="E12334" s="136">
        <f t="shared" si="576"/>
        <v>22</v>
      </c>
      <c r="F12334" s="137" t="s">
        <v>24</v>
      </c>
      <c r="G12334" s="128" t="str">
        <f>VLOOKUP(source[[#This Row],[lending_product_transform]],[3]Mapping!$B$4:$C$37,2,0)</f>
        <v>[Cake] - Cashloan</v>
      </c>
      <c r="H12334" s="128" t="str">
        <f>VLOOKUP(source[[#This Row],[lending_product_transform]],[3]Mapping!$B$3:$D$37,3,0)</f>
        <v>cashloan</v>
      </c>
      <c r="I12334" s="143">
        <v>0</v>
      </c>
    </row>
    <row r="12335" spans="1:9" x14ac:dyDescent="0.2">
      <c r="A12335" s="134">
        <v>46044</v>
      </c>
      <c r="B12335" s="135">
        <f>YEAR(source[[#This Row],[report_date]])</f>
        <v>2026</v>
      </c>
      <c r="C12335" s="128">
        <f t="shared" si="575"/>
        <v>1</v>
      </c>
      <c r="D12335" s="136">
        <f t="shared" si="577"/>
        <v>4</v>
      </c>
      <c r="E12335" s="136">
        <f t="shared" si="576"/>
        <v>22</v>
      </c>
      <c r="F12335" s="137" t="s">
        <v>24</v>
      </c>
      <c r="G12335" s="128" t="str">
        <f>VLOOKUP(source[[#This Row],[lending_product_transform]],[3]Mapping!$B$4:$C$37,2,0)</f>
        <v>[Cake] - Cashloan</v>
      </c>
      <c r="H12335" s="128" t="str">
        <f>VLOOKUP(source[[#This Row],[lending_product_transform]],[3]Mapping!$B$3:$D$37,3,0)</f>
        <v>cashloan</v>
      </c>
      <c r="I12335" s="143">
        <v>0</v>
      </c>
    </row>
    <row r="12336" spans="1:9" x14ac:dyDescent="0.2">
      <c r="A12336" s="134">
        <v>46044</v>
      </c>
      <c r="B12336" s="135">
        <f>YEAR(source[[#This Row],[report_date]])</f>
        <v>2026</v>
      </c>
      <c r="C12336" s="128">
        <f t="shared" si="575"/>
        <v>1</v>
      </c>
      <c r="D12336" s="136">
        <f t="shared" si="577"/>
        <v>4</v>
      </c>
      <c r="E12336" s="136">
        <f t="shared" si="576"/>
        <v>22</v>
      </c>
      <c r="F12336" s="137" t="s">
        <v>24</v>
      </c>
      <c r="G12336" s="128" t="str">
        <f>VLOOKUP(source[[#This Row],[lending_product_transform]],[3]Mapping!$B$4:$C$37,2,0)</f>
        <v>[Cake] - Cashloan</v>
      </c>
      <c r="H12336" s="128" t="str">
        <f>VLOOKUP(source[[#This Row],[lending_product_transform]],[3]Mapping!$B$3:$D$37,3,0)</f>
        <v>cashloan</v>
      </c>
      <c r="I12336" s="143">
        <v>8856540000</v>
      </c>
    </row>
    <row r="12337" spans="1:9" x14ac:dyDescent="0.2">
      <c r="A12337" s="134">
        <v>46044</v>
      </c>
      <c r="B12337" s="135">
        <f>YEAR(source[[#This Row],[report_date]])</f>
        <v>2026</v>
      </c>
      <c r="C12337" s="128">
        <f t="shared" si="575"/>
        <v>1</v>
      </c>
      <c r="D12337" s="136">
        <f t="shared" si="577"/>
        <v>4</v>
      </c>
      <c r="E12337" s="136">
        <f t="shared" si="576"/>
        <v>22</v>
      </c>
      <c r="F12337" s="137" t="s">
        <v>24</v>
      </c>
      <c r="G12337" s="128" t="str">
        <f>VLOOKUP(source[[#This Row],[lending_product_transform]],[3]Mapping!$B$4:$C$37,2,0)</f>
        <v>[Cake] - Cashloan</v>
      </c>
      <c r="H12337" s="128" t="str">
        <f>VLOOKUP(source[[#This Row],[lending_product_transform]],[3]Mapping!$B$3:$D$37,3,0)</f>
        <v>cashloan</v>
      </c>
      <c r="I12337" s="143">
        <v>181212665</v>
      </c>
    </row>
    <row r="12338" spans="1:9" x14ac:dyDescent="0.2">
      <c r="A12338" s="134">
        <v>46044</v>
      </c>
      <c r="B12338" s="135">
        <f>YEAR(source[[#This Row],[report_date]])</f>
        <v>2026</v>
      </c>
      <c r="C12338" s="128">
        <f t="shared" si="575"/>
        <v>1</v>
      </c>
      <c r="D12338" s="136">
        <f t="shared" si="577"/>
        <v>4</v>
      </c>
      <c r="E12338" s="136">
        <f t="shared" si="576"/>
        <v>22</v>
      </c>
      <c r="F12338" s="137" t="s">
        <v>24</v>
      </c>
      <c r="G12338" s="128" t="str">
        <f>VLOOKUP(source[[#This Row],[lending_product_transform]],[3]Mapping!$B$4:$C$37,2,0)</f>
        <v>[Cake] - Cashloan</v>
      </c>
      <c r="H12338" s="128" t="str">
        <f>VLOOKUP(source[[#This Row],[lending_product_transform]],[3]Mapping!$B$3:$D$37,3,0)</f>
        <v>cashloan</v>
      </c>
      <c r="I12338" s="143">
        <v>18900000</v>
      </c>
    </row>
    <row r="12339" spans="1:9" x14ac:dyDescent="0.2">
      <c r="A12339" s="134">
        <v>46044</v>
      </c>
      <c r="B12339" s="135">
        <f>YEAR(source[[#This Row],[report_date]])</f>
        <v>2026</v>
      </c>
      <c r="C12339" s="128">
        <f t="shared" si="575"/>
        <v>1</v>
      </c>
      <c r="D12339" s="136">
        <f t="shared" si="577"/>
        <v>4</v>
      </c>
      <c r="E12339" s="136">
        <f t="shared" si="576"/>
        <v>22</v>
      </c>
      <c r="F12339" s="137" t="s">
        <v>24</v>
      </c>
      <c r="G12339" s="128" t="str">
        <f>VLOOKUP(source[[#This Row],[lending_product_transform]],[3]Mapping!$B$4:$C$37,2,0)</f>
        <v>[Cake] - Cashloan</v>
      </c>
      <c r="H12339" s="128" t="str">
        <f>VLOOKUP(source[[#This Row],[lending_product_transform]],[3]Mapping!$B$3:$D$37,3,0)</f>
        <v>cashloan</v>
      </c>
      <c r="I12339" s="143">
        <v>42000000</v>
      </c>
    </row>
    <row r="12340" spans="1:9" x14ac:dyDescent="0.2">
      <c r="A12340" s="134">
        <v>46044</v>
      </c>
      <c r="B12340" s="135">
        <f>YEAR(source[[#This Row],[report_date]])</f>
        <v>2026</v>
      </c>
      <c r="C12340" s="128">
        <f t="shared" si="575"/>
        <v>1</v>
      </c>
      <c r="D12340" s="136">
        <f t="shared" si="577"/>
        <v>4</v>
      </c>
      <c r="E12340" s="136">
        <f t="shared" si="576"/>
        <v>22</v>
      </c>
      <c r="F12340" s="137" t="s">
        <v>24</v>
      </c>
      <c r="G12340" s="128" t="str">
        <f>VLOOKUP(source[[#This Row],[lending_product_transform]],[3]Mapping!$B$4:$C$37,2,0)</f>
        <v>[Cake] - Cashloan</v>
      </c>
      <c r="H12340" s="128" t="str">
        <f>VLOOKUP(source[[#This Row],[lending_product_transform]],[3]Mapping!$B$3:$D$37,3,0)</f>
        <v>cashloan</v>
      </c>
      <c r="I12340" s="143">
        <v>938160000</v>
      </c>
    </row>
    <row r="12341" spans="1:9" x14ac:dyDescent="0.2">
      <c r="A12341" s="134">
        <v>46044</v>
      </c>
      <c r="B12341" s="135">
        <f>YEAR(source[[#This Row],[report_date]])</f>
        <v>2026</v>
      </c>
      <c r="C12341" s="128">
        <f t="shared" si="575"/>
        <v>1</v>
      </c>
      <c r="D12341" s="136">
        <f t="shared" si="577"/>
        <v>4</v>
      </c>
      <c r="E12341" s="136">
        <f t="shared" si="576"/>
        <v>22</v>
      </c>
      <c r="F12341" s="137" t="s">
        <v>24</v>
      </c>
      <c r="G12341" s="128" t="str">
        <f>VLOOKUP(source[[#This Row],[lending_product_transform]],[3]Mapping!$B$4:$C$37,2,0)</f>
        <v>[Cake] - Cashloan</v>
      </c>
      <c r="H12341" s="128" t="str">
        <f>VLOOKUP(source[[#This Row],[lending_product_transform]],[3]Mapping!$B$3:$D$37,3,0)</f>
        <v>cashloan</v>
      </c>
      <c r="I12341" s="143">
        <v>291168000</v>
      </c>
    </row>
    <row r="12342" spans="1:9" x14ac:dyDescent="0.2">
      <c r="A12342" s="134">
        <v>46044</v>
      </c>
      <c r="B12342" s="135">
        <f>YEAR(source[[#This Row],[report_date]])</f>
        <v>2026</v>
      </c>
      <c r="C12342" s="128">
        <f t="shared" ref="C12342:C12405" si="578">MONTH(A12342)</f>
        <v>1</v>
      </c>
      <c r="D12342" s="136">
        <f t="shared" si="577"/>
        <v>4</v>
      </c>
      <c r="E12342" s="136">
        <f t="shared" ref="E12342:E12405" si="579">DAY(A12342)</f>
        <v>22</v>
      </c>
      <c r="F12342" s="137" t="s">
        <v>24</v>
      </c>
      <c r="G12342" s="128" t="str">
        <f>VLOOKUP(source[[#This Row],[lending_product_transform]],[3]Mapping!$B$4:$C$37,2,0)</f>
        <v>[Cake] - Cashloan</v>
      </c>
      <c r="H12342" s="128" t="str">
        <f>VLOOKUP(source[[#This Row],[lending_product_transform]],[3]Mapping!$B$3:$D$37,3,0)</f>
        <v>cashloan</v>
      </c>
      <c r="I12342" s="143">
        <v>346377364</v>
      </c>
    </row>
    <row r="12343" spans="1:9" x14ac:dyDescent="0.2">
      <c r="A12343" s="134">
        <v>46044</v>
      </c>
      <c r="B12343" s="135">
        <f>YEAR(source[[#This Row],[report_date]])</f>
        <v>2026</v>
      </c>
      <c r="C12343" s="128">
        <f t="shared" si="578"/>
        <v>1</v>
      </c>
      <c r="D12343" s="136">
        <f t="shared" si="577"/>
        <v>4</v>
      </c>
      <c r="E12343" s="136">
        <f t="shared" si="579"/>
        <v>22</v>
      </c>
      <c r="F12343" s="137" t="s">
        <v>24</v>
      </c>
      <c r="G12343" s="128" t="str">
        <f>VLOOKUP(source[[#This Row],[lending_product_transform]],[3]Mapping!$B$4:$C$37,2,0)</f>
        <v>[Cake] - Cashloan</v>
      </c>
      <c r="H12343" s="128" t="str">
        <f>VLOOKUP(source[[#This Row],[lending_product_transform]],[3]Mapping!$B$3:$D$37,3,0)</f>
        <v>cashloan</v>
      </c>
      <c r="I12343" s="143">
        <v>3879930000</v>
      </c>
    </row>
    <row r="12344" spans="1:9" x14ac:dyDescent="0.2">
      <c r="A12344" s="134">
        <v>46044</v>
      </c>
      <c r="B12344" s="135">
        <f>YEAR(source[[#This Row],[report_date]])</f>
        <v>2026</v>
      </c>
      <c r="C12344" s="128">
        <f t="shared" si="578"/>
        <v>1</v>
      </c>
      <c r="D12344" s="136">
        <f t="shared" si="577"/>
        <v>4</v>
      </c>
      <c r="E12344" s="136">
        <f t="shared" si="579"/>
        <v>22</v>
      </c>
      <c r="F12344" s="137" t="s">
        <v>24</v>
      </c>
      <c r="G12344" s="128" t="str">
        <f>VLOOKUP(source[[#This Row],[lending_product_transform]],[3]Mapping!$B$4:$C$37,2,0)</f>
        <v>[Cake] - Cashloan</v>
      </c>
      <c r="H12344" s="128" t="str">
        <f>VLOOKUP(source[[#This Row],[lending_product_transform]],[3]Mapping!$B$3:$D$37,3,0)</f>
        <v>cashloan</v>
      </c>
      <c r="I12344" s="143">
        <v>1201360000</v>
      </c>
    </row>
    <row r="12345" spans="1:9" x14ac:dyDescent="0.2">
      <c r="A12345" s="134">
        <v>46045</v>
      </c>
      <c r="B12345" s="135">
        <f>YEAR(source[[#This Row],[report_date]])</f>
        <v>2026</v>
      </c>
      <c r="C12345" s="128">
        <f t="shared" si="578"/>
        <v>1</v>
      </c>
      <c r="D12345" s="136">
        <f t="shared" si="577"/>
        <v>4</v>
      </c>
      <c r="E12345" s="136">
        <f t="shared" si="579"/>
        <v>23</v>
      </c>
      <c r="F12345" s="137" t="s">
        <v>24</v>
      </c>
      <c r="G12345" s="128" t="str">
        <f>VLOOKUP(source[[#This Row],[lending_product_transform]],[3]Mapping!$B$4:$C$37,2,0)</f>
        <v>[Cake] - Cashloan</v>
      </c>
      <c r="H12345" s="128" t="str">
        <f>VLOOKUP(source[[#This Row],[lending_product_transform]],[3]Mapping!$B$3:$D$37,3,0)</f>
        <v>cashloan</v>
      </c>
      <c r="I12345" s="143">
        <v>651200000</v>
      </c>
    </row>
    <row r="12346" spans="1:9" x14ac:dyDescent="0.2">
      <c r="A12346" s="134">
        <v>46045</v>
      </c>
      <c r="B12346" s="135">
        <f>YEAR(source[[#This Row],[report_date]])</f>
        <v>2026</v>
      </c>
      <c r="C12346" s="128">
        <f t="shared" si="578"/>
        <v>1</v>
      </c>
      <c r="D12346" s="136">
        <f t="shared" si="577"/>
        <v>4</v>
      </c>
      <c r="E12346" s="136">
        <f t="shared" si="579"/>
        <v>23</v>
      </c>
      <c r="F12346" s="137" t="s">
        <v>24</v>
      </c>
      <c r="G12346" s="128" t="str">
        <f>VLOOKUP(source[[#This Row],[lending_product_transform]],[3]Mapping!$B$4:$C$37,2,0)</f>
        <v>[Cake] - Cashloan</v>
      </c>
      <c r="H12346" s="128" t="str">
        <f>VLOOKUP(source[[#This Row],[lending_product_transform]],[3]Mapping!$B$3:$D$37,3,0)</f>
        <v>cashloan</v>
      </c>
      <c r="I12346" s="143">
        <v>372295446</v>
      </c>
    </row>
    <row r="12347" spans="1:9" x14ac:dyDescent="0.2">
      <c r="A12347" s="134">
        <v>46045</v>
      </c>
      <c r="B12347" s="135">
        <f>YEAR(source[[#This Row],[report_date]])</f>
        <v>2026</v>
      </c>
      <c r="C12347" s="128">
        <f t="shared" si="578"/>
        <v>1</v>
      </c>
      <c r="D12347" s="136">
        <f t="shared" si="577"/>
        <v>4</v>
      </c>
      <c r="E12347" s="136">
        <f t="shared" si="579"/>
        <v>23</v>
      </c>
      <c r="F12347" s="137" t="s">
        <v>24</v>
      </c>
      <c r="G12347" s="128" t="str">
        <f>VLOOKUP(source[[#This Row],[lending_product_transform]],[3]Mapping!$B$4:$C$37,2,0)</f>
        <v>[Cake] - Cashloan</v>
      </c>
      <c r="H12347" s="128" t="str">
        <f>VLOOKUP(source[[#This Row],[lending_product_transform]],[3]Mapping!$B$3:$D$37,3,0)</f>
        <v>cashloan</v>
      </c>
      <c r="I12347" s="143">
        <v>15131180000</v>
      </c>
    </row>
    <row r="12348" spans="1:9" x14ac:dyDescent="0.2">
      <c r="A12348" s="134">
        <v>46045</v>
      </c>
      <c r="B12348" s="135">
        <f>YEAR(source[[#This Row],[report_date]])</f>
        <v>2026</v>
      </c>
      <c r="C12348" s="128">
        <f t="shared" si="578"/>
        <v>1</v>
      </c>
      <c r="D12348" s="136">
        <f t="shared" si="577"/>
        <v>4</v>
      </c>
      <c r="E12348" s="136">
        <f t="shared" si="579"/>
        <v>23</v>
      </c>
      <c r="F12348" s="137" t="s">
        <v>24</v>
      </c>
      <c r="G12348" s="128" t="str">
        <f>VLOOKUP(source[[#This Row],[lending_product_transform]],[3]Mapping!$B$4:$C$37,2,0)</f>
        <v>[Cake] - Cashloan</v>
      </c>
      <c r="H12348" s="128" t="str">
        <f>VLOOKUP(source[[#This Row],[lending_product_transform]],[3]Mapping!$B$3:$D$37,3,0)</f>
        <v>cashloan</v>
      </c>
      <c r="I12348" s="143">
        <v>1739089635</v>
      </c>
    </row>
    <row r="12349" spans="1:9" x14ac:dyDescent="0.2">
      <c r="A12349" s="134">
        <v>46045</v>
      </c>
      <c r="B12349" s="135">
        <f>YEAR(source[[#This Row],[report_date]])</f>
        <v>2026</v>
      </c>
      <c r="C12349" s="128">
        <f t="shared" si="578"/>
        <v>1</v>
      </c>
      <c r="D12349" s="136">
        <f t="shared" si="577"/>
        <v>4</v>
      </c>
      <c r="E12349" s="136">
        <f t="shared" si="579"/>
        <v>23</v>
      </c>
      <c r="F12349" s="137" t="s">
        <v>24</v>
      </c>
      <c r="G12349" s="128" t="str">
        <f>VLOOKUP(source[[#This Row],[lending_product_transform]],[3]Mapping!$B$4:$C$37,2,0)</f>
        <v>[Cake] - Cashloan</v>
      </c>
      <c r="H12349" s="128" t="str">
        <f>VLOOKUP(source[[#This Row],[lending_product_transform]],[3]Mapping!$B$3:$D$37,3,0)</f>
        <v>cashloan</v>
      </c>
      <c r="I12349" s="143">
        <v>13554540000</v>
      </c>
    </row>
    <row r="12350" spans="1:9" x14ac:dyDescent="0.2">
      <c r="A12350" s="134">
        <v>46045</v>
      </c>
      <c r="B12350" s="135">
        <f>YEAR(source[[#This Row],[report_date]])</f>
        <v>2026</v>
      </c>
      <c r="C12350" s="128">
        <f t="shared" si="578"/>
        <v>1</v>
      </c>
      <c r="D12350" s="136">
        <f t="shared" si="577"/>
        <v>4</v>
      </c>
      <c r="E12350" s="136">
        <f t="shared" si="579"/>
        <v>23</v>
      </c>
      <c r="F12350" s="137" t="s">
        <v>24</v>
      </c>
      <c r="G12350" s="128" t="str">
        <f>VLOOKUP(source[[#This Row],[lending_product_transform]],[3]Mapping!$B$4:$C$37,2,0)</f>
        <v>[Cake] - Cashloan</v>
      </c>
      <c r="H12350" s="128" t="str">
        <f>VLOOKUP(source[[#This Row],[lending_product_transform]],[3]Mapping!$B$3:$D$37,3,0)</f>
        <v>cashloan</v>
      </c>
      <c r="I12350" s="143">
        <v>5106534</v>
      </c>
    </row>
    <row r="12351" spans="1:9" x14ac:dyDescent="0.2">
      <c r="A12351" s="134">
        <v>46045</v>
      </c>
      <c r="B12351" s="135">
        <f>YEAR(source[[#This Row],[report_date]])</f>
        <v>2026</v>
      </c>
      <c r="C12351" s="128">
        <f t="shared" si="578"/>
        <v>1</v>
      </c>
      <c r="D12351" s="136">
        <f t="shared" si="577"/>
        <v>4</v>
      </c>
      <c r="E12351" s="136">
        <f t="shared" si="579"/>
        <v>23</v>
      </c>
      <c r="F12351" s="137" t="s">
        <v>24</v>
      </c>
      <c r="G12351" s="128" t="str">
        <f>VLOOKUP(source[[#This Row],[lending_product_transform]],[3]Mapping!$B$4:$C$37,2,0)</f>
        <v>[Cake] - Cashloan</v>
      </c>
      <c r="H12351" s="128" t="str">
        <f>VLOOKUP(source[[#This Row],[lending_product_transform]],[3]Mapping!$B$3:$D$37,3,0)</f>
        <v>cashloan</v>
      </c>
      <c r="I12351" s="143">
        <v>0</v>
      </c>
    </row>
    <row r="12352" spans="1:9" x14ac:dyDescent="0.2">
      <c r="A12352" s="134">
        <v>46045</v>
      </c>
      <c r="B12352" s="135">
        <f>YEAR(source[[#This Row],[report_date]])</f>
        <v>2026</v>
      </c>
      <c r="C12352" s="128">
        <f t="shared" si="578"/>
        <v>1</v>
      </c>
      <c r="D12352" s="136">
        <f t="shared" si="577"/>
        <v>4</v>
      </c>
      <c r="E12352" s="136">
        <f t="shared" si="579"/>
        <v>23</v>
      </c>
      <c r="F12352" s="137" t="s">
        <v>24</v>
      </c>
      <c r="G12352" s="128" t="str">
        <f>VLOOKUP(source[[#This Row],[lending_product_transform]],[3]Mapping!$B$4:$C$37,2,0)</f>
        <v>[Cake] - Cashloan</v>
      </c>
      <c r="H12352" s="128" t="str">
        <f>VLOOKUP(source[[#This Row],[lending_product_transform]],[3]Mapping!$B$3:$D$37,3,0)</f>
        <v>cashloan</v>
      </c>
      <c r="I12352" s="143">
        <v>4255310000</v>
      </c>
    </row>
    <row r="12353" spans="1:9" x14ac:dyDescent="0.2">
      <c r="A12353" s="134">
        <v>46045</v>
      </c>
      <c r="B12353" s="135">
        <f>YEAR(source[[#This Row],[report_date]])</f>
        <v>2026</v>
      </c>
      <c r="C12353" s="128">
        <f t="shared" si="578"/>
        <v>1</v>
      </c>
      <c r="D12353" s="136">
        <f t="shared" si="577"/>
        <v>4</v>
      </c>
      <c r="E12353" s="136">
        <f t="shared" si="579"/>
        <v>23</v>
      </c>
      <c r="F12353" s="137" t="s">
        <v>24</v>
      </c>
      <c r="G12353" s="128" t="str">
        <f>VLOOKUP(source[[#This Row],[lending_product_transform]],[3]Mapping!$B$4:$C$37,2,0)</f>
        <v>[Cake] - Cashloan</v>
      </c>
      <c r="H12353" s="128" t="str">
        <f>VLOOKUP(source[[#This Row],[lending_product_transform]],[3]Mapping!$B$3:$D$37,3,0)</f>
        <v>cashloan</v>
      </c>
      <c r="I12353" s="143">
        <v>1336320000</v>
      </c>
    </row>
    <row r="12354" spans="1:9" x14ac:dyDescent="0.2">
      <c r="A12354" s="134">
        <v>46045</v>
      </c>
      <c r="B12354" s="135">
        <f>YEAR(source[[#This Row],[report_date]])</f>
        <v>2026</v>
      </c>
      <c r="C12354" s="128">
        <f t="shared" si="578"/>
        <v>1</v>
      </c>
      <c r="D12354" s="136">
        <f t="shared" si="577"/>
        <v>4</v>
      </c>
      <c r="E12354" s="136">
        <f t="shared" si="579"/>
        <v>23</v>
      </c>
      <c r="F12354" s="137" t="s">
        <v>24</v>
      </c>
      <c r="G12354" s="128" t="str">
        <f>VLOOKUP(source[[#This Row],[lending_product_transform]],[3]Mapping!$B$4:$C$37,2,0)</f>
        <v>[Cake] - Cashloan</v>
      </c>
      <c r="H12354" s="128" t="str">
        <f>VLOOKUP(source[[#This Row],[lending_product_transform]],[3]Mapping!$B$3:$D$37,3,0)</f>
        <v>cashloan</v>
      </c>
      <c r="I12354" s="143">
        <v>14051882</v>
      </c>
    </row>
    <row r="12355" spans="1:9" x14ac:dyDescent="0.2">
      <c r="A12355" s="134">
        <v>46045</v>
      </c>
      <c r="B12355" s="135">
        <f>YEAR(source[[#This Row],[report_date]])</f>
        <v>2026</v>
      </c>
      <c r="C12355" s="128">
        <f t="shared" si="578"/>
        <v>1</v>
      </c>
      <c r="D12355" s="136">
        <f t="shared" si="577"/>
        <v>4</v>
      </c>
      <c r="E12355" s="136">
        <f t="shared" si="579"/>
        <v>23</v>
      </c>
      <c r="F12355" s="137" t="s">
        <v>24</v>
      </c>
      <c r="G12355" s="128" t="str">
        <f>VLOOKUP(source[[#This Row],[lending_product_transform]],[3]Mapping!$B$4:$C$37,2,0)</f>
        <v>[Cake] - Cashloan</v>
      </c>
      <c r="H12355" s="128" t="str">
        <f>VLOOKUP(source[[#This Row],[lending_product_transform]],[3]Mapping!$B$3:$D$37,3,0)</f>
        <v>cashloan</v>
      </c>
      <c r="I12355" s="143">
        <v>1428542224</v>
      </c>
    </row>
    <row r="12356" spans="1:9" x14ac:dyDescent="0.2">
      <c r="A12356" s="134">
        <v>46045</v>
      </c>
      <c r="B12356" s="135">
        <f>YEAR(source[[#This Row],[report_date]])</f>
        <v>2026</v>
      </c>
      <c r="C12356" s="128">
        <f t="shared" si="578"/>
        <v>1</v>
      </c>
      <c r="D12356" s="136">
        <f t="shared" si="577"/>
        <v>4</v>
      </c>
      <c r="E12356" s="136">
        <f t="shared" si="579"/>
        <v>23</v>
      </c>
      <c r="F12356" s="137" t="s">
        <v>24</v>
      </c>
      <c r="G12356" s="128" t="str">
        <f>VLOOKUP(source[[#This Row],[lending_product_transform]],[3]Mapping!$B$4:$C$37,2,0)</f>
        <v>[Cake] - Cashloan</v>
      </c>
      <c r="H12356" s="128" t="str">
        <f>VLOOKUP(source[[#This Row],[lending_product_transform]],[3]Mapping!$B$3:$D$37,3,0)</f>
        <v>cashloan</v>
      </c>
      <c r="I12356" s="143">
        <v>0</v>
      </c>
    </row>
    <row r="12357" spans="1:9" x14ac:dyDescent="0.2">
      <c r="A12357" s="134">
        <v>46045</v>
      </c>
      <c r="B12357" s="135">
        <f>YEAR(source[[#This Row],[report_date]])</f>
        <v>2026</v>
      </c>
      <c r="C12357" s="128">
        <f t="shared" si="578"/>
        <v>1</v>
      </c>
      <c r="D12357" s="136">
        <f t="shared" si="577"/>
        <v>4</v>
      </c>
      <c r="E12357" s="136">
        <f t="shared" si="579"/>
        <v>23</v>
      </c>
      <c r="F12357" s="137" t="s">
        <v>24</v>
      </c>
      <c r="G12357" s="128" t="str">
        <f>VLOOKUP(source[[#This Row],[lending_product_transform]],[3]Mapping!$B$4:$C$37,2,0)</f>
        <v>[Cake] - Cashloan</v>
      </c>
      <c r="H12357" s="128" t="str">
        <f>VLOOKUP(source[[#This Row],[lending_product_transform]],[3]Mapping!$B$3:$D$37,3,0)</f>
        <v>cashloan</v>
      </c>
      <c r="I12357" s="143">
        <v>190400000</v>
      </c>
    </row>
    <row r="12358" spans="1:9" x14ac:dyDescent="0.2">
      <c r="A12358" s="134">
        <v>46045</v>
      </c>
      <c r="B12358" s="135">
        <f>YEAR(source[[#This Row],[report_date]])</f>
        <v>2026</v>
      </c>
      <c r="C12358" s="128">
        <f t="shared" si="578"/>
        <v>1</v>
      </c>
      <c r="D12358" s="136">
        <f t="shared" si="577"/>
        <v>4</v>
      </c>
      <c r="E12358" s="136">
        <f t="shared" si="579"/>
        <v>23</v>
      </c>
      <c r="F12358" s="137" t="s">
        <v>24</v>
      </c>
      <c r="G12358" s="128" t="str">
        <f>VLOOKUP(source[[#This Row],[lending_product_transform]],[3]Mapping!$B$4:$C$37,2,0)</f>
        <v>[Cake] - Cashloan</v>
      </c>
      <c r="H12358" s="128" t="str">
        <f>VLOOKUP(source[[#This Row],[lending_product_transform]],[3]Mapping!$B$3:$D$37,3,0)</f>
        <v>cashloan</v>
      </c>
      <c r="I12358" s="143">
        <v>83430000</v>
      </c>
    </row>
    <row r="12359" spans="1:9" x14ac:dyDescent="0.2">
      <c r="A12359" s="134">
        <v>46045</v>
      </c>
      <c r="B12359" s="135">
        <f>YEAR(source[[#This Row],[report_date]])</f>
        <v>2026</v>
      </c>
      <c r="C12359" s="128">
        <f t="shared" si="578"/>
        <v>1</v>
      </c>
      <c r="D12359" s="136">
        <f t="shared" si="577"/>
        <v>4</v>
      </c>
      <c r="E12359" s="136">
        <f t="shared" si="579"/>
        <v>23</v>
      </c>
      <c r="F12359" s="137" t="s">
        <v>24</v>
      </c>
      <c r="G12359" s="128" t="str">
        <f>VLOOKUP(source[[#This Row],[lending_product_transform]],[3]Mapping!$B$4:$C$37,2,0)</f>
        <v>[Cake] - Cashloan</v>
      </c>
      <c r="H12359" s="128" t="str">
        <f>VLOOKUP(source[[#This Row],[lending_product_transform]],[3]Mapping!$B$3:$D$37,3,0)</f>
        <v>cashloan</v>
      </c>
      <c r="I12359" s="143">
        <v>16048040000</v>
      </c>
    </row>
    <row r="12360" spans="1:9" x14ac:dyDescent="0.2">
      <c r="A12360" s="134">
        <v>46045</v>
      </c>
      <c r="B12360" s="135">
        <f>YEAR(source[[#This Row],[report_date]])</f>
        <v>2026</v>
      </c>
      <c r="C12360" s="128">
        <f t="shared" si="578"/>
        <v>1</v>
      </c>
      <c r="D12360" s="136">
        <f t="shared" si="577"/>
        <v>4</v>
      </c>
      <c r="E12360" s="136">
        <f t="shared" si="579"/>
        <v>23</v>
      </c>
      <c r="F12360" s="137" t="s">
        <v>24</v>
      </c>
      <c r="G12360" s="128" t="str">
        <f>VLOOKUP(source[[#This Row],[lending_product_transform]],[3]Mapping!$B$4:$C$37,2,0)</f>
        <v>[Cake] - Cashloan</v>
      </c>
      <c r="H12360" s="128" t="str">
        <f>VLOOKUP(source[[#This Row],[lending_product_transform]],[3]Mapping!$B$3:$D$37,3,0)</f>
        <v>cashloan</v>
      </c>
      <c r="I12360" s="143">
        <v>0</v>
      </c>
    </row>
    <row r="12361" spans="1:9" x14ac:dyDescent="0.2">
      <c r="A12361" s="134">
        <v>46045</v>
      </c>
      <c r="B12361" s="135">
        <f>YEAR(source[[#This Row],[report_date]])</f>
        <v>2026</v>
      </c>
      <c r="C12361" s="128">
        <f t="shared" si="578"/>
        <v>1</v>
      </c>
      <c r="D12361" s="136">
        <f t="shared" si="577"/>
        <v>4</v>
      </c>
      <c r="E12361" s="136">
        <f t="shared" si="579"/>
        <v>23</v>
      </c>
      <c r="F12361" s="137" t="s">
        <v>24</v>
      </c>
      <c r="G12361" s="128" t="str">
        <f>VLOOKUP(source[[#This Row],[lending_product_transform]],[3]Mapping!$B$4:$C$37,2,0)</f>
        <v>[Cake] - Cashloan</v>
      </c>
      <c r="H12361" s="128" t="str">
        <f>VLOOKUP(source[[#This Row],[lending_product_transform]],[3]Mapping!$B$3:$D$37,3,0)</f>
        <v>cashloan</v>
      </c>
      <c r="I12361" s="143">
        <v>0</v>
      </c>
    </row>
    <row r="12362" spans="1:9" x14ac:dyDescent="0.2">
      <c r="A12362" s="134">
        <v>46045</v>
      </c>
      <c r="B12362" s="135">
        <f>YEAR(source[[#This Row],[report_date]])</f>
        <v>2026</v>
      </c>
      <c r="C12362" s="128">
        <f t="shared" si="578"/>
        <v>1</v>
      </c>
      <c r="D12362" s="136">
        <f t="shared" si="577"/>
        <v>4</v>
      </c>
      <c r="E12362" s="136">
        <f t="shared" si="579"/>
        <v>23</v>
      </c>
      <c r="F12362" s="137" t="s">
        <v>24</v>
      </c>
      <c r="G12362" s="128" t="str">
        <f>VLOOKUP(source[[#This Row],[lending_product_transform]],[3]Mapping!$B$4:$C$37,2,0)</f>
        <v>[Cake] - Cashloan</v>
      </c>
      <c r="H12362" s="128" t="str">
        <f>VLOOKUP(source[[#This Row],[lending_product_transform]],[3]Mapping!$B$3:$D$37,3,0)</f>
        <v>cashloan</v>
      </c>
      <c r="I12362" s="143">
        <v>0</v>
      </c>
    </row>
    <row r="12363" spans="1:9" x14ac:dyDescent="0.2">
      <c r="A12363" s="134">
        <v>46045</v>
      </c>
      <c r="B12363" s="135">
        <f>YEAR(source[[#This Row],[report_date]])</f>
        <v>2026</v>
      </c>
      <c r="C12363" s="128">
        <f t="shared" si="578"/>
        <v>1</v>
      </c>
      <c r="D12363" s="136">
        <f t="shared" si="577"/>
        <v>4</v>
      </c>
      <c r="E12363" s="136">
        <f t="shared" si="579"/>
        <v>23</v>
      </c>
      <c r="F12363" s="137" t="s">
        <v>24</v>
      </c>
      <c r="G12363" s="128" t="str">
        <f>VLOOKUP(source[[#This Row],[lending_product_transform]],[3]Mapping!$B$4:$C$37,2,0)</f>
        <v>[Cake] - Cashloan</v>
      </c>
      <c r="H12363" s="128" t="str">
        <f>VLOOKUP(source[[#This Row],[lending_product_transform]],[3]Mapping!$B$3:$D$37,3,0)</f>
        <v>cashloan</v>
      </c>
      <c r="I12363" s="143">
        <v>0</v>
      </c>
    </row>
    <row r="12364" spans="1:9" x14ac:dyDescent="0.2">
      <c r="A12364" s="134">
        <v>46045</v>
      </c>
      <c r="B12364" s="135">
        <f>YEAR(source[[#This Row],[report_date]])</f>
        <v>2026</v>
      </c>
      <c r="C12364" s="128">
        <f t="shared" si="578"/>
        <v>1</v>
      </c>
      <c r="D12364" s="136">
        <f t="shared" si="577"/>
        <v>4</v>
      </c>
      <c r="E12364" s="136">
        <f t="shared" si="579"/>
        <v>23</v>
      </c>
      <c r="F12364" s="137" t="s">
        <v>24</v>
      </c>
      <c r="G12364" s="128" t="str">
        <f>VLOOKUP(source[[#This Row],[lending_product_transform]],[3]Mapping!$B$4:$C$37,2,0)</f>
        <v>[Cake] - Cashloan</v>
      </c>
      <c r="H12364" s="128" t="str">
        <f>VLOOKUP(source[[#This Row],[lending_product_transform]],[3]Mapping!$B$3:$D$37,3,0)</f>
        <v>cashloan</v>
      </c>
      <c r="I12364" s="143">
        <v>10630332000</v>
      </c>
    </row>
    <row r="12365" spans="1:9" x14ac:dyDescent="0.2">
      <c r="A12365" s="134">
        <v>46045</v>
      </c>
      <c r="B12365" s="135">
        <f>YEAR(source[[#This Row],[report_date]])</f>
        <v>2026</v>
      </c>
      <c r="C12365" s="128">
        <f t="shared" si="578"/>
        <v>1</v>
      </c>
      <c r="D12365" s="136">
        <f t="shared" si="577"/>
        <v>4</v>
      </c>
      <c r="E12365" s="136">
        <f t="shared" si="579"/>
        <v>23</v>
      </c>
      <c r="F12365" s="137" t="s">
        <v>24</v>
      </c>
      <c r="G12365" s="128" t="str">
        <f>VLOOKUP(source[[#This Row],[lending_product_transform]],[3]Mapping!$B$4:$C$37,2,0)</f>
        <v>[Cake] - Cashloan</v>
      </c>
      <c r="H12365" s="128" t="str">
        <f>VLOOKUP(source[[#This Row],[lending_product_transform]],[3]Mapping!$B$3:$D$37,3,0)</f>
        <v>cashloan</v>
      </c>
      <c r="I12365" s="143">
        <v>152190172</v>
      </c>
    </row>
    <row r="12366" spans="1:9" x14ac:dyDescent="0.2">
      <c r="A12366" s="134">
        <v>46045</v>
      </c>
      <c r="B12366" s="135">
        <f>YEAR(source[[#This Row],[report_date]])</f>
        <v>2026</v>
      </c>
      <c r="C12366" s="128">
        <f t="shared" si="578"/>
        <v>1</v>
      </c>
      <c r="D12366" s="136">
        <f t="shared" si="577"/>
        <v>4</v>
      </c>
      <c r="E12366" s="136">
        <f t="shared" si="579"/>
        <v>23</v>
      </c>
      <c r="F12366" s="137" t="s">
        <v>24</v>
      </c>
      <c r="G12366" s="128" t="str">
        <f>VLOOKUP(source[[#This Row],[lending_product_transform]],[3]Mapping!$B$4:$C$37,2,0)</f>
        <v>[Cake] - Cashloan</v>
      </c>
      <c r="H12366" s="128" t="str">
        <f>VLOOKUP(source[[#This Row],[lending_product_transform]],[3]Mapping!$B$3:$D$37,3,0)</f>
        <v>cashloan</v>
      </c>
      <c r="I12366" s="143">
        <v>105000000</v>
      </c>
    </row>
    <row r="12367" spans="1:9" x14ac:dyDescent="0.2">
      <c r="A12367" s="134">
        <v>46045</v>
      </c>
      <c r="B12367" s="135">
        <f>YEAR(source[[#This Row],[report_date]])</f>
        <v>2026</v>
      </c>
      <c r="C12367" s="128">
        <f t="shared" si="578"/>
        <v>1</v>
      </c>
      <c r="D12367" s="136">
        <f t="shared" si="577"/>
        <v>4</v>
      </c>
      <c r="E12367" s="136">
        <f t="shared" si="579"/>
        <v>23</v>
      </c>
      <c r="F12367" s="137" t="s">
        <v>24</v>
      </c>
      <c r="G12367" s="128" t="str">
        <f>VLOOKUP(source[[#This Row],[lending_product_transform]],[3]Mapping!$B$4:$C$37,2,0)</f>
        <v>[Cake] - Cashloan</v>
      </c>
      <c r="H12367" s="128" t="str">
        <f>VLOOKUP(source[[#This Row],[lending_product_transform]],[3]Mapping!$B$3:$D$37,3,0)</f>
        <v>cashloan</v>
      </c>
      <c r="I12367" s="143">
        <v>30000000</v>
      </c>
    </row>
    <row r="12368" spans="1:9" x14ac:dyDescent="0.2">
      <c r="A12368" s="134">
        <v>46045</v>
      </c>
      <c r="B12368" s="135">
        <f>YEAR(source[[#This Row],[report_date]])</f>
        <v>2026</v>
      </c>
      <c r="C12368" s="128">
        <f t="shared" si="578"/>
        <v>1</v>
      </c>
      <c r="D12368" s="136">
        <f t="shared" si="577"/>
        <v>4</v>
      </c>
      <c r="E12368" s="136">
        <f t="shared" si="579"/>
        <v>23</v>
      </c>
      <c r="F12368" s="137" t="s">
        <v>24</v>
      </c>
      <c r="G12368" s="128" t="str">
        <f>VLOOKUP(source[[#This Row],[lending_product_transform]],[3]Mapping!$B$4:$C$37,2,0)</f>
        <v>[Cake] - Cashloan</v>
      </c>
      <c r="H12368" s="128" t="str">
        <f>VLOOKUP(source[[#This Row],[lending_product_transform]],[3]Mapping!$B$3:$D$37,3,0)</f>
        <v>cashloan</v>
      </c>
      <c r="I12368" s="143">
        <v>978700000</v>
      </c>
    </row>
    <row r="12369" spans="1:9" x14ac:dyDescent="0.2">
      <c r="A12369" s="134">
        <v>46045</v>
      </c>
      <c r="B12369" s="135">
        <f>YEAR(source[[#This Row],[report_date]])</f>
        <v>2026</v>
      </c>
      <c r="C12369" s="128">
        <f t="shared" si="578"/>
        <v>1</v>
      </c>
      <c r="D12369" s="136">
        <f t="shared" ref="D12369:D12432" si="580">WEEKNUM(A12369,2)</f>
        <v>4</v>
      </c>
      <c r="E12369" s="136">
        <f t="shared" si="579"/>
        <v>23</v>
      </c>
      <c r="F12369" s="137" t="s">
        <v>24</v>
      </c>
      <c r="G12369" s="128" t="str">
        <f>VLOOKUP(source[[#This Row],[lending_product_transform]],[3]Mapping!$B$4:$C$37,2,0)</f>
        <v>[Cake] - Cashloan</v>
      </c>
      <c r="H12369" s="128" t="str">
        <f>VLOOKUP(source[[#This Row],[lending_product_transform]],[3]Mapping!$B$3:$D$37,3,0)</f>
        <v>cashloan</v>
      </c>
      <c r="I12369" s="143">
        <v>345924000</v>
      </c>
    </row>
    <row r="12370" spans="1:9" x14ac:dyDescent="0.2">
      <c r="A12370" s="134">
        <v>46045</v>
      </c>
      <c r="B12370" s="135">
        <f>YEAR(source[[#This Row],[report_date]])</f>
        <v>2026</v>
      </c>
      <c r="C12370" s="128">
        <f t="shared" si="578"/>
        <v>1</v>
      </c>
      <c r="D12370" s="136">
        <f t="shared" si="580"/>
        <v>4</v>
      </c>
      <c r="E12370" s="136">
        <f t="shared" si="579"/>
        <v>23</v>
      </c>
      <c r="F12370" s="137" t="s">
        <v>24</v>
      </c>
      <c r="G12370" s="128" t="str">
        <f>VLOOKUP(source[[#This Row],[lending_product_transform]],[3]Mapping!$B$4:$C$37,2,0)</f>
        <v>[Cake] - Cashloan</v>
      </c>
      <c r="H12370" s="128" t="str">
        <f>VLOOKUP(source[[#This Row],[lending_product_transform]],[3]Mapping!$B$3:$D$37,3,0)</f>
        <v>cashloan</v>
      </c>
      <c r="I12370" s="143">
        <v>320003512</v>
      </c>
    </row>
    <row r="12371" spans="1:9" x14ac:dyDescent="0.2">
      <c r="A12371" s="134">
        <v>46045</v>
      </c>
      <c r="B12371" s="135">
        <f>YEAR(source[[#This Row],[report_date]])</f>
        <v>2026</v>
      </c>
      <c r="C12371" s="128">
        <f t="shared" si="578"/>
        <v>1</v>
      </c>
      <c r="D12371" s="136">
        <f t="shared" si="580"/>
        <v>4</v>
      </c>
      <c r="E12371" s="136">
        <f t="shared" si="579"/>
        <v>23</v>
      </c>
      <c r="F12371" s="137" t="s">
        <v>24</v>
      </c>
      <c r="G12371" s="128" t="str">
        <f>VLOOKUP(source[[#This Row],[lending_product_transform]],[3]Mapping!$B$4:$C$37,2,0)</f>
        <v>[Cake] - Cashloan</v>
      </c>
      <c r="H12371" s="128" t="str">
        <f>VLOOKUP(source[[#This Row],[lending_product_transform]],[3]Mapping!$B$3:$D$37,3,0)</f>
        <v>cashloan</v>
      </c>
      <c r="I12371" s="143">
        <v>4293830000</v>
      </c>
    </row>
    <row r="12372" spans="1:9" x14ac:dyDescent="0.2">
      <c r="A12372" s="134">
        <v>46045</v>
      </c>
      <c r="B12372" s="135">
        <f>YEAR(source[[#This Row],[report_date]])</f>
        <v>2026</v>
      </c>
      <c r="C12372" s="128">
        <f t="shared" si="578"/>
        <v>1</v>
      </c>
      <c r="D12372" s="136">
        <f t="shared" si="580"/>
        <v>4</v>
      </c>
      <c r="E12372" s="136">
        <f t="shared" si="579"/>
        <v>23</v>
      </c>
      <c r="F12372" s="137" t="s">
        <v>24</v>
      </c>
      <c r="G12372" s="128" t="str">
        <f>VLOOKUP(source[[#This Row],[lending_product_transform]],[3]Mapping!$B$4:$C$37,2,0)</f>
        <v>[Cake] - Cashloan</v>
      </c>
      <c r="H12372" s="128" t="str">
        <f>VLOOKUP(source[[#This Row],[lending_product_transform]],[3]Mapping!$B$3:$D$37,3,0)</f>
        <v>cashloan</v>
      </c>
      <c r="I12372" s="143">
        <v>1116960000</v>
      </c>
    </row>
    <row r="12373" spans="1:9" x14ac:dyDescent="0.2">
      <c r="A12373" s="134">
        <v>46046</v>
      </c>
      <c r="B12373" s="135">
        <f>YEAR(source[[#This Row],[report_date]])</f>
        <v>2026</v>
      </c>
      <c r="C12373" s="128">
        <f t="shared" si="578"/>
        <v>1</v>
      </c>
      <c r="D12373" s="136">
        <f t="shared" si="580"/>
        <v>4</v>
      </c>
      <c r="E12373" s="136">
        <f t="shared" si="579"/>
        <v>24</v>
      </c>
      <c r="F12373" s="137" t="s">
        <v>24</v>
      </c>
      <c r="G12373" s="128" t="str">
        <f>VLOOKUP(source[[#This Row],[lending_product_transform]],[3]Mapping!$B$4:$C$37,2,0)</f>
        <v>[Cake] - Cashloan</v>
      </c>
      <c r="H12373" s="128" t="str">
        <f>VLOOKUP(source[[#This Row],[lending_product_transform]],[3]Mapping!$B$3:$D$37,3,0)</f>
        <v>cashloan</v>
      </c>
      <c r="I12373" s="143">
        <v>715050000</v>
      </c>
    </row>
    <row r="12374" spans="1:9" x14ac:dyDescent="0.2">
      <c r="A12374" s="134">
        <v>46046</v>
      </c>
      <c r="B12374" s="135">
        <f>YEAR(source[[#This Row],[report_date]])</f>
        <v>2026</v>
      </c>
      <c r="C12374" s="128">
        <f t="shared" si="578"/>
        <v>1</v>
      </c>
      <c r="D12374" s="136">
        <f t="shared" si="580"/>
        <v>4</v>
      </c>
      <c r="E12374" s="136">
        <f t="shared" si="579"/>
        <v>24</v>
      </c>
      <c r="F12374" s="137" t="s">
        <v>24</v>
      </c>
      <c r="G12374" s="128" t="str">
        <f>VLOOKUP(source[[#This Row],[lending_product_transform]],[3]Mapping!$B$4:$C$37,2,0)</f>
        <v>[Cake] - Cashloan</v>
      </c>
      <c r="H12374" s="128" t="str">
        <f>VLOOKUP(source[[#This Row],[lending_product_transform]],[3]Mapping!$B$3:$D$37,3,0)</f>
        <v>cashloan</v>
      </c>
      <c r="I12374" s="143">
        <v>366037698</v>
      </c>
    </row>
    <row r="12375" spans="1:9" x14ac:dyDescent="0.2">
      <c r="A12375" s="134">
        <v>46046</v>
      </c>
      <c r="B12375" s="135">
        <f>YEAR(source[[#This Row],[report_date]])</f>
        <v>2026</v>
      </c>
      <c r="C12375" s="128">
        <f t="shared" si="578"/>
        <v>1</v>
      </c>
      <c r="D12375" s="136">
        <f t="shared" si="580"/>
        <v>4</v>
      </c>
      <c r="E12375" s="136">
        <f t="shared" si="579"/>
        <v>24</v>
      </c>
      <c r="F12375" s="137" t="s">
        <v>24</v>
      </c>
      <c r="G12375" s="128" t="str">
        <f>VLOOKUP(source[[#This Row],[lending_product_transform]],[3]Mapping!$B$4:$C$37,2,0)</f>
        <v>[Cake] - Cashloan</v>
      </c>
      <c r="H12375" s="128" t="str">
        <f>VLOOKUP(source[[#This Row],[lending_product_transform]],[3]Mapping!$B$3:$D$37,3,0)</f>
        <v>cashloan</v>
      </c>
      <c r="I12375" s="143">
        <v>12679140000</v>
      </c>
    </row>
    <row r="12376" spans="1:9" x14ac:dyDescent="0.2">
      <c r="A12376" s="134">
        <v>46046</v>
      </c>
      <c r="B12376" s="135">
        <f>YEAR(source[[#This Row],[report_date]])</f>
        <v>2026</v>
      </c>
      <c r="C12376" s="128">
        <f t="shared" si="578"/>
        <v>1</v>
      </c>
      <c r="D12376" s="136">
        <f t="shared" si="580"/>
        <v>4</v>
      </c>
      <c r="E12376" s="136">
        <f t="shared" si="579"/>
        <v>24</v>
      </c>
      <c r="F12376" s="137" t="s">
        <v>24</v>
      </c>
      <c r="G12376" s="128" t="str">
        <f>VLOOKUP(source[[#This Row],[lending_product_transform]],[3]Mapping!$B$4:$C$37,2,0)</f>
        <v>[Cake] - Cashloan</v>
      </c>
      <c r="H12376" s="128" t="str">
        <f>VLOOKUP(source[[#This Row],[lending_product_transform]],[3]Mapping!$B$3:$D$37,3,0)</f>
        <v>cashloan</v>
      </c>
      <c r="I12376" s="143">
        <v>1803418143</v>
      </c>
    </row>
    <row r="12377" spans="1:9" x14ac:dyDescent="0.2">
      <c r="A12377" s="134">
        <v>46046</v>
      </c>
      <c r="B12377" s="135">
        <f>YEAR(source[[#This Row],[report_date]])</f>
        <v>2026</v>
      </c>
      <c r="C12377" s="128">
        <f t="shared" si="578"/>
        <v>1</v>
      </c>
      <c r="D12377" s="136">
        <f t="shared" si="580"/>
        <v>4</v>
      </c>
      <c r="E12377" s="136">
        <f t="shared" si="579"/>
        <v>24</v>
      </c>
      <c r="F12377" s="137" t="s">
        <v>24</v>
      </c>
      <c r="G12377" s="128" t="str">
        <f>VLOOKUP(source[[#This Row],[lending_product_transform]],[3]Mapping!$B$4:$C$37,2,0)</f>
        <v>[Cake] - Cashloan</v>
      </c>
      <c r="H12377" s="128" t="str">
        <f>VLOOKUP(source[[#This Row],[lending_product_transform]],[3]Mapping!$B$3:$D$37,3,0)</f>
        <v>cashloan</v>
      </c>
      <c r="I12377" s="143">
        <v>13823028000</v>
      </c>
    </row>
    <row r="12378" spans="1:9" x14ac:dyDescent="0.2">
      <c r="A12378" s="134">
        <v>46046</v>
      </c>
      <c r="B12378" s="135">
        <f>YEAR(source[[#This Row],[report_date]])</f>
        <v>2026</v>
      </c>
      <c r="C12378" s="128">
        <f t="shared" si="578"/>
        <v>1</v>
      </c>
      <c r="D12378" s="136">
        <f t="shared" si="580"/>
        <v>4</v>
      </c>
      <c r="E12378" s="136">
        <f t="shared" si="579"/>
        <v>24</v>
      </c>
      <c r="F12378" s="137" t="s">
        <v>24</v>
      </c>
      <c r="G12378" s="128" t="str">
        <f>VLOOKUP(source[[#This Row],[lending_product_transform]],[3]Mapping!$B$4:$C$37,2,0)</f>
        <v>[Cake] - Cashloan</v>
      </c>
      <c r="H12378" s="128" t="str">
        <f>VLOOKUP(source[[#This Row],[lending_product_transform]],[3]Mapping!$B$3:$D$37,3,0)</f>
        <v>cashloan</v>
      </c>
      <c r="I12378" s="143">
        <v>1114882</v>
      </c>
    </row>
    <row r="12379" spans="1:9" x14ac:dyDescent="0.2">
      <c r="A12379" s="134">
        <v>46046</v>
      </c>
      <c r="B12379" s="135">
        <f>YEAR(source[[#This Row],[report_date]])</f>
        <v>2026</v>
      </c>
      <c r="C12379" s="128">
        <f t="shared" si="578"/>
        <v>1</v>
      </c>
      <c r="D12379" s="136">
        <f t="shared" si="580"/>
        <v>4</v>
      </c>
      <c r="E12379" s="136">
        <f t="shared" si="579"/>
        <v>24</v>
      </c>
      <c r="F12379" s="137" t="s">
        <v>24</v>
      </c>
      <c r="G12379" s="128" t="str">
        <f>VLOOKUP(source[[#This Row],[lending_product_transform]],[3]Mapping!$B$4:$C$37,2,0)</f>
        <v>[Cake] - Cashloan</v>
      </c>
      <c r="H12379" s="128" t="str">
        <f>VLOOKUP(source[[#This Row],[lending_product_transform]],[3]Mapping!$B$3:$D$37,3,0)</f>
        <v>cashloan</v>
      </c>
      <c r="I12379" s="143">
        <v>0</v>
      </c>
    </row>
    <row r="12380" spans="1:9" x14ac:dyDescent="0.2">
      <c r="A12380" s="134">
        <v>46046</v>
      </c>
      <c r="B12380" s="135">
        <f>YEAR(source[[#This Row],[report_date]])</f>
        <v>2026</v>
      </c>
      <c r="C12380" s="128">
        <f t="shared" si="578"/>
        <v>1</v>
      </c>
      <c r="D12380" s="136">
        <f t="shared" si="580"/>
        <v>4</v>
      </c>
      <c r="E12380" s="136">
        <f t="shared" si="579"/>
        <v>24</v>
      </c>
      <c r="F12380" s="137" t="s">
        <v>24</v>
      </c>
      <c r="G12380" s="128" t="str">
        <f>VLOOKUP(source[[#This Row],[lending_product_transform]],[3]Mapping!$B$4:$C$37,2,0)</f>
        <v>[Cake] - Cashloan</v>
      </c>
      <c r="H12380" s="128" t="str">
        <f>VLOOKUP(source[[#This Row],[lending_product_transform]],[3]Mapping!$B$3:$D$37,3,0)</f>
        <v>cashloan</v>
      </c>
      <c r="I12380" s="143">
        <v>4192230000</v>
      </c>
    </row>
    <row r="12381" spans="1:9" x14ac:dyDescent="0.2">
      <c r="A12381" s="134">
        <v>46046</v>
      </c>
      <c r="B12381" s="135">
        <f>YEAR(source[[#This Row],[report_date]])</f>
        <v>2026</v>
      </c>
      <c r="C12381" s="128">
        <f t="shared" si="578"/>
        <v>1</v>
      </c>
      <c r="D12381" s="136">
        <f t="shared" si="580"/>
        <v>4</v>
      </c>
      <c r="E12381" s="136">
        <f t="shared" si="579"/>
        <v>24</v>
      </c>
      <c r="F12381" s="137" t="s">
        <v>24</v>
      </c>
      <c r="G12381" s="128" t="str">
        <f>VLOOKUP(source[[#This Row],[lending_product_transform]],[3]Mapping!$B$4:$C$37,2,0)</f>
        <v>[Cake] - Cashloan</v>
      </c>
      <c r="H12381" s="128" t="str">
        <f>VLOOKUP(source[[#This Row],[lending_product_transform]],[3]Mapping!$B$3:$D$37,3,0)</f>
        <v>cashloan</v>
      </c>
      <c r="I12381" s="143">
        <v>1276800000</v>
      </c>
    </row>
    <row r="12382" spans="1:9" x14ac:dyDescent="0.2">
      <c r="A12382" s="134">
        <v>46046</v>
      </c>
      <c r="B12382" s="135">
        <f>YEAR(source[[#This Row],[report_date]])</f>
        <v>2026</v>
      </c>
      <c r="C12382" s="128">
        <f t="shared" si="578"/>
        <v>1</v>
      </c>
      <c r="D12382" s="136">
        <f t="shared" si="580"/>
        <v>4</v>
      </c>
      <c r="E12382" s="136">
        <f t="shared" si="579"/>
        <v>24</v>
      </c>
      <c r="F12382" s="137" t="s">
        <v>24</v>
      </c>
      <c r="G12382" s="128" t="str">
        <f>VLOOKUP(source[[#This Row],[lending_product_transform]],[3]Mapping!$B$4:$C$37,2,0)</f>
        <v>[Cake] - Cashloan</v>
      </c>
      <c r="H12382" s="128" t="str">
        <f>VLOOKUP(source[[#This Row],[lending_product_transform]],[3]Mapping!$B$3:$D$37,3,0)</f>
        <v>cashloan</v>
      </c>
      <c r="I12382" s="143">
        <v>770000</v>
      </c>
    </row>
    <row r="12383" spans="1:9" x14ac:dyDescent="0.2">
      <c r="A12383" s="134">
        <v>46046</v>
      </c>
      <c r="B12383" s="135">
        <f>YEAR(source[[#This Row],[report_date]])</f>
        <v>2026</v>
      </c>
      <c r="C12383" s="128">
        <f t="shared" si="578"/>
        <v>1</v>
      </c>
      <c r="D12383" s="136">
        <f t="shared" si="580"/>
        <v>4</v>
      </c>
      <c r="E12383" s="136">
        <f t="shared" si="579"/>
        <v>24</v>
      </c>
      <c r="F12383" s="137" t="s">
        <v>24</v>
      </c>
      <c r="G12383" s="128" t="str">
        <f>VLOOKUP(source[[#This Row],[lending_product_transform]],[3]Mapping!$B$4:$C$37,2,0)</f>
        <v>[Cake] - Cashloan</v>
      </c>
      <c r="H12383" s="128" t="str">
        <f>VLOOKUP(source[[#This Row],[lending_product_transform]],[3]Mapping!$B$3:$D$37,3,0)</f>
        <v>cashloan</v>
      </c>
      <c r="I12383" s="143">
        <v>1472880198</v>
      </c>
    </row>
    <row r="12384" spans="1:9" x14ac:dyDescent="0.2">
      <c r="A12384" s="134">
        <v>46046</v>
      </c>
      <c r="B12384" s="135">
        <f>YEAR(source[[#This Row],[report_date]])</f>
        <v>2026</v>
      </c>
      <c r="C12384" s="128">
        <f t="shared" si="578"/>
        <v>1</v>
      </c>
      <c r="D12384" s="136">
        <f t="shared" si="580"/>
        <v>4</v>
      </c>
      <c r="E12384" s="136">
        <f t="shared" si="579"/>
        <v>24</v>
      </c>
      <c r="F12384" s="137" t="s">
        <v>24</v>
      </c>
      <c r="G12384" s="128" t="str">
        <f>VLOOKUP(source[[#This Row],[lending_product_transform]],[3]Mapping!$B$4:$C$37,2,0)</f>
        <v>[Cake] - Cashloan</v>
      </c>
      <c r="H12384" s="128" t="str">
        <f>VLOOKUP(source[[#This Row],[lending_product_transform]],[3]Mapping!$B$3:$D$37,3,0)</f>
        <v>cashloan</v>
      </c>
      <c r="I12384" s="143">
        <v>0</v>
      </c>
    </row>
    <row r="12385" spans="1:9" x14ac:dyDescent="0.2">
      <c r="A12385" s="134">
        <v>46046</v>
      </c>
      <c r="B12385" s="135">
        <f>YEAR(source[[#This Row],[report_date]])</f>
        <v>2026</v>
      </c>
      <c r="C12385" s="128">
        <f t="shared" si="578"/>
        <v>1</v>
      </c>
      <c r="D12385" s="136">
        <f t="shared" si="580"/>
        <v>4</v>
      </c>
      <c r="E12385" s="136">
        <f t="shared" si="579"/>
        <v>24</v>
      </c>
      <c r="F12385" s="137" t="s">
        <v>24</v>
      </c>
      <c r="G12385" s="128" t="str">
        <f>VLOOKUP(source[[#This Row],[lending_product_transform]],[3]Mapping!$B$4:$C$37,2,0)</f>
        <v>[Cake] - Cashloan</v>
      </c>
      <c r="H12385" s="128" t="str">
        <f>VLOOKUP(source[[#This Row],[lending_product_transform]],[3]Mapping!$B$3:$D$37,3,0)</f>
        <v>cashloan</v>
      </c>
      <c r="I12385" s="143">
        <v>164750000</v>
      </c>
    </row>
    <row r="12386" spans="1:9" x14ac:dyDescent="0.2">
      <c r="A12386" s="134">
        <v>46046</v>
      </c>
      <c r="B12386" s="135">
        <f>YEAR(source[[#This Row],[report_date]])</f>
        <v>2026</v>
      </c>
      <c r="C12386" s="128">
        <f t="shared" si="578"/>
        <v>1</v>
      </c>
      <c r="D12386" s="136">
        <f t="shared" si="580"/>
        <v>4</v>
      </c>
      <c r="E12386" s="136">
        <f t="shared" si="579"/>
        <v>24</v>
      </c>
      <c r="F12386" s="137" t="s">
        <v>24</v>
      </c>
      <c r="G12386" s="128" t="str">
        <f>VLOOKUP(source[[#This Row],[lending_product_transform]],[3]Mapping!$B$4:$C$37,2,0)</f>
        <v>[Cake] - Cashloan</v>
      </c>
      <c r="H12386" s="128" t="str">
        <f>VLOOKUP(source[[#This Row],[lending_product_transform]],[3]Mapping!$B$3:$D$37,3,0)</f>
        <v>cashloan</v>
      </c>
      <c r="I12386" s="143">
        <v>0</v>
      </c>
    </row>
    <row r="12387" spans="1:9" x14ac:dyDescent="0.2">
      <c r="A12387" s="134">
        <v>46046</v>
      </c>
      <c r="B12387" s="135">
        <f>YEAR(source[[#This Row],[report_date]])</f>
        <v>2026</v>
      </c>
      <c r="C12387" s="128">
        <f t="shared" si="578"/>
        <v>1</v>
      </c>
      <c r="D12387" s="136">
        <f t="shared" si="580"/>
        <v>4</v>
      </c>
      <c r="E12387" s="136">
        <f t="shared" si="579"/>
        <v>24</v>
      </c>
      <c r="F12387" s="137" t="s">
        <v>24</v>
      </c>
      <c r="G12387" s="128" t="str">
        <f>VLOOKUP(source[[#This Row],[lending_product_transform]],[3]Mapping!$B$4:$C$37,2,0)</f>
        <v>[Cake] - Cashloan</v>
      </c>
      <c r="H12387" s="128" t="str">
        <f>VLOOKUP(source[[#This Row],[lending_product_transform]],[3]Mapping!$B$3:$D$37,3,0)</f>
        <v>cashloan</v>
      </c>
      <c r="I12387" s="143">
        <v>13038550000</v>
      </c>
    </row>
    <row r="12388" spans="1:9" x14ac:dyDescent="0.2">
      <c r="A12388" s="134">
        <v>46046</v>
      </c>
      <c r="B12388" s="135">
        <f>YEAR(source[[#This Row],[report_date]])</f>
        <v>2026</v>
      </c>
      <c r="C12388" s="128">
        <f t="shared" si="578"/>
        <v>1</v>
      </c>
      <c r="D12388" s="136">
        <f t="shared" si="580"/>
        <v>4</v>
      </c>
      <c r="E12388" s="136">
        <f t="shared" si="579"/>
        <v>24</v>
      </c>
      <c r="F12388" s="137" t="s">
        <v>24</v>
      </c>
      <c r="G12388" s="128" t="str">
        <f>VLOOKUP(source[[#This Row],[lending_product_transform]],[3]Mapping!$B$4:$C$37,2,0)</f>
        <v>[Cake] - Cashloan</v>
      </c>
      <c r="H12388" s="128" t="str">
        <f>VLOOKUP(source[[#This Row],[lending_product_transform]],[3]Mapping!$B$3:$D$37,3,0)</f>
        <v>cashloan</v>
      </c>
      <c r="I12388" s="143">
        <v>0</v>
      </c>
    </row>
    <row r="12389" spans="1:9" x14ac:dyDescent="0.2">
      <c r="A12389" s="134">
        <v>46046</v>
      </c>
      <c r="B12389" s="135">
        <f>YEAR(source[[#This Row],[report_date]])</f>
        <v>2026</v>
      </c>
      <c r="C12389" s="128">
        <f t="shared" si="578"/>
        <v>1</v>
      </c>
      <c r="D12389" s="136">
        <f t="shared" si="580"/>
        <v>4</v>
      </c>
      <c r="E12389" s="136">
        <f t="shared" si="579"/>
        <v>24</v>
      </c>
      <c r="F12389" s="137" t="s">
        <v>24</v>
      </c>
      <c r="G12389" s="128" t="str">
        <f>VLOOKUP(source[[#This Row],[lending_product_transform]],[3]Mapping!$B$4:$C$37,2,0)</f>
        <v>[Cake] - Cashloan</v>
      </c>
      <c r="H12389" s="128" t="str">
        <f>VLOOKUP(source[[#This Row],[lending_product_transform]],[3]Mapping!$B$3:$D$37,3,0)</f>
        <v>cashloan</v>
      </c>
      <c r="I12389" s="143">
        <v>0</v>
      </c>
    </row>
    <row r="12390" spans="1:9" x14ac:dyDescent="0.2">
      <c r="A12390" s="134">
        <v>46046</v>
      </c>
      <c r="B12390" s="135">
        <f>YEAR(source[[#This Row],[report_date]])</f>
        <v>2026</v>
      </c>
      <c r="C12390" s="128">
        <f t="shared" si="578"/>
        <v>1</v>
      </c>
      <c r="D12390" s="136">
        <f t="shared" si="580"/>
        <v>4</v>
      </c>
      <c r="E12390" s="136">
        <f t="shared" si="579"/>
        <v>24</v>
      </c>
      <c r="F12390" s="137" t="s">
        <v>24</v>
      </c>
      <c r="G12390" s="128" t="str">
        <f>VLOOKUP(source[[#This Row],[lending_product_transform]],[3]Mapping!$B$4:$C$37,2,0)</f>
        <v>[Cake] - Cashloan</v>
      </c>
      <c r="H12390" s="128" t="str">
        <f>VLOOKUP(source[[#This Row],[lending_product_transform]],[3]Mapping!$B$3:$D$37,3,0)</f>
        <v>cashloan</v>
      </c>
      <c r="I12390" s="143">
        <v>0</v>
      </c>
    </row>
    <row r="12391" spans="1:9" x14ac:dyDescent="0.2">
      <c r="A12391" s="134">
        <v>46046</v>
      </c>
      <c r="B12391" s="135">
        <f>YEAR(source[[#This Row],[report_date]])</f>
        <v>2026</v>
      </c>
      <c r="C12391" s="128">
        <f t="shared" si="578"/>
        <v>1</v>
      </c>
      <c r="D12391" s="136">
        <f t="shared" si="580"/>
        <v>4</v>
      </c>
      <c r="E12391" s="136">
        <f t="shared" si="579"/>
        <v>24</v>
      </c>
      <c r="F12391" s="137" t="s">
        <v>24</v>
      </c>
      <c r="G12391" s="128" t="str">
        <f>VLOOKUP(source[[#This Row],[lending_product_transform]],[3]Mapping!$B$4:$C$37,2,0)</f>
        <v>[Cake] - Cashloan</v>
      </c>
      <c r="H12391" s="128" t="str">
        <f>VLOOKUP(source[[#This Row],[lending_product_transform]],[3]Mapping!$B$3:$D$37,3,0)</f>
        <v>cashloan</v>
      </c>
      <c r="I12391" s="143">
        <v>0</v>
      </c>
    </row>
    <row r="12392" spans="1:9" x14ac:dyDescent="0.2">
      <c r="A12392" s="134">
        <v>46046</v>
      </c>
      <c r="B12392" s="135">
        <f>YEAR(source[[#This Row],[report_date]])</f>
        <v>2026</v>
      </c>
      <c r="C12392" s="128">
        <f t="shared" si="578"/>
        <v>1</v>
      </c>
      <c r="D12392" s="136">
        <f t="shared" si="580"/>
        <v>4</v>
      </c>
      <c r="E12392" s="136">
        <f t="shared" si="579"/>
        <v>24</v>
      </c>
      <c r="F12392" s="137" t="s">
        <v>24</v>
      </c>
      <c r="G12392" s="128" t="str">
        <f>VLOOKUP(source[[#This Row],[lending_product_transform]],[3]Mapping!$B$4:$C$37,2,0)</f>
        <v>[Cake] - Cashloan</v>
      </c>
      <c r="H12392" s="128" t="str">
        <f>VLOOKUP(source[[#This Row],[lending_product_transform]],[3]Mapping!$B$3:$D$37,3,0)</f>
        <v>cashloan</v>
      </c>
      <c r="I12392" s="143">
        <v>9946044000</v>
      </c>
    </row>
    <row r="12393" spans="1:9" x14ac:dyDescent="0.2">
      <c r="A12393" s="134">
        <v>46046</v>
      </c>
      <c r="B12393" s="135">
        <f>YEAR(source[[#This Row],[report_date]])</f>
        <v>2026</v>
      </c>
      <c r="C12393" s="128">
        <f t="shared" si="578"/>
        <v>1</v>
      </c>
      <c r="D12393" s="136">
        <f t="shared" si="580"/>
        <v>4</v>
      </c>
      <c r="E12393" s="136">
        <f t="shared" si="579"/>
        <v>24</v>
      </c>
      <c r="F12393" s="137" t="s">
        <v>24</v>
      </c>
      <c r="G12393" s="128" t="str">
        <f>VLOOKUP(source[[#This Row],[lending_product_transform]],[3]Mapping!$B$4:$C$37,2,0)</f>
        <v>[Cake] - Cashloan</v>
      </c>
      <c r="H12393" s="128" t="str">
        <f>VLOOKUP(source[[#This Row],[lending_product_transform]],[3]Mapping!$B$3:$D$37,3,0)</f>
        <v>cashloan</v>
      </c>
      <c r="I12393" s="143">
        <v>155691942</v>
      </c>
    </row>
    <row r="12394" spans="1:9" x14ac:dyDescent="0.2">
      <c r="A12394" s="134">
        <v>46046</v>
      </c>
      <c r="B12394" s="135">
        <f>YEAR(source[[#This Row],[report_date]])</f>
        <v>2026</v>
      </c>
      <c r="C12394" s="128">
        <f t="shared" si="578"/>
        <v>1</v>
      </c>
      <c r="D12394" s="136">
        <f t="shared" si="580"/>
        <v>4</v>
      </c>
      <c r="E12394" s="136">
        <f t="shared" si="579"/>
        <v>24</v>
      </c>
      <c r="F12394" s="137" t="s">
        <v>24</v>
      </c>
      <c r="G12394" s="128" t="str">
        <f>VLOOKUP(source[[#This Row],[lending_product_transform]],[3]Mapping!$B$4:$C$37,2,0)</f>
        <v>[Cake] - Cashloan</v>
      </c>
      <c r="H12394" s="128" t="str">
        <f>VLOOKUP(source[[#This Row],[lending_product_transform]],[3]Mapping!$B$3:$D$37,3,0)</f>
        <v>cashloan</v>
      </c>
      <c r="I12394" s="143">
        <v>10500000</v>
      </c>
    </row>
    <row r="12395" spans="1:9" x14ac:dyDescent="0.2">
      <c r="A12395" s="134">
        <v>46046</v>
      </c>
      <c r="B12395" s="135">
        <f>YEAR(source[[#This Row],[report_date]])</f>
        <v>2026</v>
      </c>
      <c r="C12395" s="128">
        <f t="shared" si="578"/>
        <v>1</v>
      </c>
      <c r="D12395" s="136">
        <f t="shared" si="580"/>
        <v>4</v>
      </c>
      <c r="E12395" s="136">
        <f t="shared" si="579"/>
        <v>24</v>
      </c>
      <c r="F12395" s="137" t="s">
        <v>24</v>
      </c>
      <c r="G12395" s="128" t="str">
        <f>VLOOKUP(source[[#This Row],[lending_product_transform]],[3]Mapping!$B$4:$C$37,2,0)</f>
        <v>[Cake] - Cashloan</v>
      </c>
      <c r="H12395" s="128" t="str">
        <f>VLOOKUP(source[[#This Row],[lending_product_transform]],[3]Mapping!$B$3:$D$37,3,0)</f>
        <v>cashloan</v>
      </c>
      <c r="I12395" s="143">
        <v>32000000</v>
      </c>
    </row>
    <row r="12396" spans="1:9" x14ac:dyDescent="0.2">
      <c r="A12396" s="134">
        <v>46046</v>
      </c>
      <c r="B12396" s="135">
        <f>YEAR(source[[#This Row],[report_date]])</f>
        <v>2026</v>
      </c>
      <c r="C12396" s="128">
        <f t="shared" si="578"/>
        <v>1</v>
      </c>
      <c r="D12396" s="136">
        <f t="shared" si="580"/>
        <v>4</v>
      </c>
      <c r="E12396" s="136">
        <f t="shared" si="579"/>
        <v>24</v>
      </c>
      <c r="F12396" s="137" t="s">
        <v>24</v>
      </c>
      <c r="G12396" s="128" t="str">
        <f>VLOOKUP(source[[#This Row],[lending_product_transform]],[3]Mapping!$B$4:$C$37,2,0)</f>
        <v>[Cake] - Cashloan</v>
      </c>
      <c r="H12396" s="128" t="str">
        <f>VLOOKUP(source[[#This Row],[lending_product_transform]],[3]Mapping!$B$3:$D$37,3,0)</f>
        <v>cashloan</v>
      </c>
      <c r="I12396" s="143">
        <v>763170000</v>
      </c>
    </row>
    <row r="12397" spans="1:9" x14ac:dyDescent="0.2">
      <c r="A12397" s="134">
        <v>46046</v>
      </c>
      <c r="B12397" s="135">
        <f>YEAR(source[[#This Row],[report_date]])</f>
        <v>2026</v>
      </c>
      <c r="C12397" s="128">
        <f t="shared" si="578"/>
        <v>1</v>
      </c>
      <c r="D12397" s="136">
        <f t="shared" si="580"/>
        <v>4</v>
      </c>
      <c r="E12397" s="136">
        <f t="shared" si="579"/>
        <v>24</v>
      </c>
      <c r="F12397" s="137" t="s">
        <v>24</v>
      </c>
      <c r="G12397" s="128" t="str">
        <f>VLOOKUP(source[[#This Row],[lending_product_transform]],[3]Mapping!$B$4:$C$37,2,0)</f>
        <v>[Cake] - Cashloan</v>
      </c>
      <c r="H12397" s="128" t="str">
        <f>VLOOKUP(source[[#This Row],[lending_product_transform]],[3]Mapping!$B$3:$D$37,3,0)</f>
        <v>cashloan</v>
      </c>
      <c r="I12397" s="143">
        <v>337716000</v>
      </c>
    </row>
    <row r="12398" spans="1:9" x14ac:dyDescent="0.2">
      <c r="A12398" s="134">
        <v>46046</v>
      </c>
      <c r="B12398" s="135">
        <f>YEAR(source[[#This Row],[report_date]])</f>
        <v>2026</v>
      </c>
      <c r="C12398" s="128">
        <f t="shared" si="578"/>
        <v>1</v>
      </c>
      <c r="D12398" s="136">
        <f t="shared" si="580"/>
        <v>4</v>
      </c>
      <c r="E12398" s="136">
        <f t="shared" si="579"/>
        <v>24</v>
      </c>
      <c r="F12398" s="137" t="s">
        <v>24</v>
      </c>
      <c r="G12398" s="128" t="str">
        <f>VLOOKUP(source[[#This Row],[lending_product_transform]],[3]Mapping!$B$4:$C$37,2,0)</f>
        <v>[Cake] - Cashloan</v>
      </c>
      <c r="H12398" s="128" t="str">
        <f>VLOOKUP(source[[#This Row],[lending_product_transform]],[3]Mapping!$B$3:$D$37,3,0)</f>
        <v>cashloan</v>
      </c>
      <c r="I12398" s="143">
        <v>355477921</v>
      </c>
    </row>
    <row r="12399" spans="1:9" x14ac:dyDescent="0.2">
      <c r="A12399" s="134">
        <v>46046</v>
      </c>
      <c r="B12399" s="135">
        <f>YEAR(source[[#This Row],[report_date]])</f>
        <v>2026</v>
      </c>
      <c r="C12399" s="128">
        <f t="shared" si="578"/>
        <v>1</v>
      </c>
      <c r="D12399" s="136">
        <f t="shared" si="580"/>
        <v>4</v>
      </c>
      <c r="E12399" s="136">
        <f t="shared" si="579"/>
        <v>24</v>
      </c>
      <c r="F12399" s="137" t="s">
        <v>24</v>
      </c>
      <c r="G12399" s="128" t="str">
        <f>VLOOKUP(source[[#This Row],[lending_product_transform]],[3]Mapping!$B$4:$C$37,2,0)</f>
        <v>[Cake] - Cashloan</v>
      </c>
      <c r="H12399" s="128" t="str">
        <f>VLOOKUP(source[[#This Row],[lending_product_transform]],[3]Mapping!$B$3:$D$37,3,0)</f>
        <v>cashloan</v>
      </c>
      <c r="I12399" s="143">
        <v>2971960000</v>
      </c>
    </row>
    <row r="12400" spans="1:9" x14ac:dyDescent="0.2">
      <c r="A12400" s="134">
        <v>46046</v>
      </c>
      <c r="B12400" s="135">
        <f>YEAR(source[[#This Row],[report_date]])</f>
        <v>2026</v>
      </c>
      <c r="C12400" s="128">
        <f t="shared" si="578"/>
        <v>1</v>
      </c>
      <c r="D12400" s="136">
        <f t="shared" si="580"/>
        <v>4</v>
      </c>
      <c r="E12400" s="136">
        <f t="shared" si="579"/>
        <v>24</v>
      </c>
      <c r="F12400" s="137" t="s">
        <v>24</v>
      </c>
      <c r="G12400" s="128" t="str">
        <f>VLOOKUP(source[[#This Row],[lending_product_transform]],[3]Mapping!$B$4:$C$37,2,0)</f>
        <v>[Cake] - Cashloan</v>
      </c>
      <c r="H12400" s="128" t="str">
        <f>VLOOKUP(source[[#This Row],[lending_product_transform]],[3]Mapping!$B$3:$D$37,3,0)</f>
        <v>cashloan</v>
      </c>
      <c r="I12400" s="143">
        <v>1006760000</v>
      </c>
    </row>
    <row r="12401" spans="1:9" x14ac:dyDescent="0.2">
      <c r="A12401" s="134">
        <v>46047</v>
      </c>
      <c r="B12401" s="135">
        <f>YEAR(source[[#This Row],[report_date]])</f>
        <v>2026</v>
      </c>
      <c r="C12401" s="128">
        <f t="shared" si="578"/>
        <v>1</v>
      </c>
      <c r="D12401" s="136">
        <f t="shared" si="580"/>
        <v>4</v>
      </c>
      <c r="E12401" s="136">
        <f t="shared" si="579"/>
        <v>25</v>
      </c>
      <c r="F12401" s="137" t="s">
        <v>24</v>
      </c>
      <c r="G12401" s="128" t="str">
        <f>VLOOKUP(source[[#This Row],[lending_product_transform]],[3]Mapping!$B$4:$C$37,2,0)</f>
        <v>[Cake] - Cashloan</v>
      </c>
      <c r="H12401" s="128" t="str">
        <f>VLOOKUP(source[[#This Row],[lending_product_transform]],[3]Mapping!$B$3:$D$37,3,0)</f>
        <v>cashloan</v>
      </c>
      <c r="I12401" s="143">
        <v>658150000</v>
      </c>
    </row>
    <row r="12402" spans="1:9" x14ac:dyDescent="0.2">
      <c r="A12402" s="134">
        <v>46047</v>
      </c>
      <c r="B12402" s="135">
        <f>YEAR(source[[#This Row],[report_date]])</f>
        <v>2026</v>
      </c>
      <c r="C12402" s="128">
        <f t="shared" si="578"/>
        <v>1</v>
      </c>
      <c r="D12402" s="136">
        <f t="shared" si="580"/>
        <v>4</v>
      </c>
      <c r="E12402" s="136">
        <f t="shared" si="579"/>
        <v>25</v>
      </c>
      <c r="F12402" s="137" t="s">
        <v>24</v>
      </c>
      <c r="G12402" s="128" t="str">
        <f>VLOOKUP(source[[#This Row],[lending_product_transform]],[3]Mapping!$B$4:$C$37,2,0)</f>
        <v>[Cake] - Cashloan</v>
      </c>
      <c r="H12402" s="128" t="str">
        <f>VLOOKUP(source[[#This Row],[lending_product_transform]],[3]Mapping!$B$3:$D$37,3,0)</f>
        <v>cashloan</v>
      </c>
      <c r="I12402" s="143">
        <v>356598797</v>
      </c>
    </row>
    <row r="12403" spans="1:9" x14ac:dyDescent="0.2">
      <c r="A12403" s="134">
        <v>46047</v>
      </c>
      <c r="B12403" s="135">
        <f>YEAR(source[[#This Row],[report_date]])</f>
        <v>2026</v>
      </c>
      <c r="C12403" s="128">
        <f t="shared" si="578"/>
        <v>1</v>
      </c>
      <c r="D12403" s="136">
        <f t="shared" si="580"/>
        <v>4</v>
      </c>
      <c r="E12403" s="136">
        <f t="shared" si="579"/>
        <v>25</v>
      </c>
      <c r="F12403" s="137" t="s">
        <v>24</v>
      </c>
      <c r="G12403" s="128" t="str">
        <f>VLOOKUP(source[[#This Row],[lending_product_transform]],[3]Mapping!$B$4:$C$37,2,0)</f>
        <v>[Cake] - Cashloan</v>
      </c>
      <c r="H12403" s="128" t="str">
        <f>VLOOKUP(source[[#This Row],[lending_product_transform]],[3]Mapping!$B$3:$D$37,3,0)</f>
        <v>cashloan</v>
      </c>
      <c r="I12403" s="143">
        <v>12805630000</v>
      </c>
    </row>
    <row r="12404" spans="1:9" x14ac:dyDescent="0.2">
      <c r="A12404" s="134">
        <v>46047</v>
      </c>
      <c r="B12404" s="135">
        <f>YEAR(source[[#This Row],[report_date]])</f>
        <v>2026</v>
      </c>
      <c r="C12404" s="128">
        <f t="shared" si="578"/>
        <v>1</v>
      </c>
      <c r="D12404" s="136">
        <f t="shared" si="580"/>
        <v>4</v>
      </c>
      <c r="E12404" s="136">
        <f t="shared" si="579"/>
        <v>25</v>
      </c>
      <c r="F12404" s="137" t="s">
        <v>24</v>
      </c>
      <c r="G12404" s="128" t="str">
        <f>VLOOKUP(source[[#This Row],[lending_product_transform]],[3]Mapping!$B$4:$C$37,2,0)</f>
        <v>[Cake] - Cashloan</v>
      </c>
      <c r="H12404" s="128" t="str">
        <f>VLOOKUP(source[[#This Row],[lending_product_transform]],[3]Mapping!$B$3:$D$37,3,0)</f>
        <v>cashloan</v>
      </c>
      <c r="I12404" s="143">
        <v>1641302147</v>
      </c>
    </row>
    <row r="12405" spans="1:9" x14ac:dyDescent="0.2">
      <c r="A12405" s="134">
        <v>46047</v>
      </c>
      <c r="B12405" s="135">
        <f>YEAR(source[[#This Row],[report_date]])</f>
        <v>2026</v>
      </c>
      <c r="C12405" s="128">
        <f t="shared" si="578"/>
        <v>1</v>
      </c>
      <c r="D12405" s="136">
        <f t="shared" si="580"/>
        <v>4</v>
      </c>
      <c r="E12405" s="136">
        <f t="shared" si="579"/>
        <v>25</v>
      </c>
      <c r="F12405" s="137" t="s">
        <v>24</v>
      </c>
      <c r="G12405" s="128" t="str">
        <f>VLOOKUP(source[[#This Row],[lending_product_transform]],[3]Mapping!$B$4:$C$37,2,0)</f>
        <v>[Cake] - Cashloan</v>
      </c>
      <c r="H12405" s="128" t="str">
        <f>VLOOKUP(source[[#This Row],[lending_product_transform]],[3]Mapping!$B$3:$D$37,3,0)</f>
        <v>cashloan</v>
      </c>
      <c r="I12405" s="143">
        <v>13490928000</v>
      </c>
    </row>
    <row r="12406" spans="1:9" x14ac:dyDescent="0.2">
      <c r="A12406" s="134">
        <v>46047</v>
      </c>
      <c r="B12406" s="135">
        <f>YEAR(source[[#This Row],[report_date]])</f>
        <v>2026</v>
      </c>
      <c r="C12406" s="128">
        <f t="shared" ref="C12406:C12469" si="581">MONTH(A12406)</f>
        <v>1</v>
      </c>
      <c r="D12406" s="136">
        <f t="shared" si="580"/>
        <v>4</v>
      </c>
      <c r="E12406" s="136">
        <f t="shared" ref="E12406:E12469" si="582">DAY(A12406)</f>
        <v>25</v>
      </c>
      <c r="F12406" s="137" t="s">
        <v>24</v>
      </c>
      <c r="G12406" s="128" t="str">
        <f>VLOOKUP(source[[#This Row],[lending_product_transform]],[3]Mapping!$B$4:$C$37,2,0)</f>
        <v>[Cake] - Cashloan</v>
      </c>
      <c r="H12406" s="128" t="str">
        <f>VLOOKUP(source[[#This Row],[lending_product_transform]],[3]Mapping!$B$3:$D$37,3,0)</f>
        <v>cashloan</v>
      </c>
      <c r="I12406" s="143">
        <v>15991345</v>
      </c>
    </row>
    <row r="12407" spans="1:9" x14ac:dyDescent="0.2">
      <c r="A12407" s="134">
        <v>46047</v>
      </c>
      <c r="B12407" s="135">
        <f>YEAR(source[[#This Row],[report_date]])</f>
        <v>2026</v>
      </c>
      <c r="C12407" s="128">
        <f t="shared" si="581"/>
        <v>1</v>
      </c>
      <c r="D12407" s="136">
        <f t="shared" si="580"/>
        <v>4</v>
      </c>
      <c r="E12407" s="136">
        <f t="shared" si="582"/>
        <v>25</v>
      </c>
      <c r="F12407" s="137" t="s">
        <v>24</v>
      </c>
      <c r="G12407" s="128" t="str">
        <f>VLOOKUP(source[[#This Row],[lending_product_transform]],[3]Mapping!$B$4:$C$37,2,0)</f>
        <v>[Cake] - Cashloan</v>
      </c>
      <c r="H12407" s="128" t="str">
        <f>VLOOKUP(source[[#This Row],[lending_product_transform]],[3]Mapping!$B$3:$D$37,3,0)</f>
        <v>cashloan</v>
      </c>
      <c r="I12407" s="143">
        <v>0</v>
      </c>
    </row>
    <row r="12408" spans="1:9" x14ac:dyDescent="0.2">
      <c r="A12408" s="134">
        <v>46047</v>
      </c>
      <c r="B12408" s="135">
        <f>YEAR(source[[#This Row],[report_date]])</f>
        <v>2026</v>
      </c>
      <c r="C12408" s="128">
        <f t="shared" si="581"/>
        <v>1</v>
      </c>
      <c r="D12408" s="136">
        <f t="shared" si="580"/>
        <v>4</v>
      </c>
      <c r="E12408" s="136">
        <f t="shared" si="582"/>
        <v>25</v>
      </c>
      <c r="F12408" s="137" t="s">
        <v>24</v>
      </c>
      <c r="G12408" s="128" t="str">
        <f>VLOOKUP(source[[#This Row],[lending_product_transform]],[3]Mapping!$B$4:$C$37,2,0)</f>
        <v>[Cake] - Cashloan</v>
      </c>
      <c r="H12408" s="128" t="str">
        <f>VLOOKUP(source[[#This Row],[lending_product_transform]],[3]Mapping!$B$3:$D$37,3,0)</f>
        <v>cashloan</v>
      </c>
      <c r="I12408" s="143">
        <v>5800610000</v>
      </c>
    </row>
    <row r="12409" spans="1:9" x14ac:dyDescent="0.2">
      <c r="A12409" s="134">
        <v>46047</v>
      </c>
      <c r="B12409" s="135">
        <f>YEAR(source[[#This Row],[report_date]])</f>
        <v>2026</v>
      </c>
      <c r="C12409" s="128">
        <f t="shared" si="581"/>
        <v>1</v>
      </c>
      <c r="D12409" s="136">
        <f t="shared" si="580"/>
        <v>4</v>
      </c>
      <c r="E12409" s="136">
        <f t="shared" si="582"/>
        <v>25</v>
      </c>
      <c r="F12409" s="137" t="s">
        <v>24</v>
      </c>
      <c r="G12409" s="128" t="str">
        <f>VLOOKUP(source[[#This Row],[lending_product_transform]],[3]Mapping!$B$4:$C$37,2,0)</f>
        <v>[Cake] - Cashloan</v>
      </c>
      <c r="H12409" s="128" t="str">
        <f>VLOOKUP(source[[#This Row],[lending_product_transform]],[3]Mapping!$B$3:$D$37,3,0)</f>
        <v>cashloan</v>
      </c>
      <c r="I12409" s="143">
        <v>1009450000</v>
      </c>
    </row>
    <row r="12410" spans="1:9" x14ac:dyDescent="0.2">
      <c r="A12410" s="134">
        <v>46047</v>
      </c>
      <c r="B12410" s="135">
        <f>YEAR(source[[#This Row],[report_date]])</f>
        <v>2026</v>
      </c>
      <c r="C12410" s="128">
        <f t="shared" si="581"/>
        <v>1</v>
      </c>
      <c r="D12410" s="136">
        <f t="shared" si="580"/>
        <v>4</v>
      </c>
      <c r="E12410" s="136">
        <f t="shared" si="582"/>
        <v>25</v>
      </c>
      <c r="F12410" s="137" t="s">
        <v>24</v>
      </c>
      <c r="G12410" s="128" t="str">
        <f>VLOOKUP(source[[#This Row],[lending_product_transform]],[3]Mapping!$B$4:$C$37,2,0)</f>
        <v>[Cake] - Cashloan</v>
      </c>
      <c r="H12410" s="128" t="str">
        <f>VLOOKUP(source[[#This Row],[lending_product_transform]],[3]Mapping!$B$3:$D$37,3,0)</f>
        <v>cashloan</v>
      </c>
      <c r="I12410" s="143">
        <v>7189640</v>
      </c>
    </row>
    <row r="12411" spans="1:9" x14ac:dyDescent="0.2">
      <c r="A12411" s="134">
        <v>46047</v>
      </c>
      <c r="B12411" s="135">
        <f>YEAR(source[[#This Row],[report_date]])</f>
        <v>2026</v>
      </c>
      <c r="C12411" s="128">
        <f t="shared" si="581"/>
        <v>1</v>
      </c>
      <c r="D12411" s="136">
        <f t="shared" si="580"/>
        <v>4</v>
      </c>
      <c r="E12411" s="136">
        <f t="shared" si="582"/>
        <v>25</v>
      </c>
      <c r="F12411" s="137" t="s">
        <v>24</v>
      </c>
      <c r="G12411" s="128" t="str">
        <f>VLOOKUP(source[[#This Row],[lending_product_transform]],[3]Mapping!$B$4:$C$37,2,0)</f>
        <v>[Cake] - Cashloan</v>
      </c>
      <c r="H12411" s="128" t="str">
        <f>VLOOKUP(source[[#This Row],[lending_product_transform]],[3]Mapping!$B$3:$D$37,3,0)</f>
        <v>cashloan</v>
      </c>
      <c r="I12411" s="143">
        <v>1575733898</v>
      </c>
    </row>
    <row r="12412" spans="1:9" x14ac:dyDescent="0.2">
      <c r="A12412" s="134">
        <v>46047</v>
      </c>
      <c r="B12412" s="135">
        <f>YEAR(source[[#This Row],[report_date]])</f>
        <v>2026</v>
      </c>
      <c r="C12412" s="128">
        <f t="shared" si="581"/>
        <v>1</v>
      </c>
      <c r="D12412" s="136">
        <f t="shared" si="580"/>
        <v>4</v>
      </c>
      <c r="E12412" s="136">
        <f t="shared" si="582"/>
        <v>25</v>
      </c>
      <c r="F12412" s="137" t="s">
        <v>24</v>
      </c>
      <c r="G12412" s="128" t="str">
        <f>VLOOKUP(source[[#This Row],[lending_product_transform]],[3]Mapping!$B$4:$C$37,2,0)</f>
        <v>[Cake] - Cashloan</v>
      </c>
      <c r="H12412" s="128" t="str">
        <f>VLOOKUP(source[[#This Row],[lending_product_transform]],[3]Mapping!$B$3:$D$37,3,0)</f>
        <v>cashloan</v>
      </c>
      <c r="I12412" s="143">
        <v>0</v>
      </c>
    </row>
    <row r="12413" spans="1:9" x14ac:dyDescent="0.2">
      <c r="A12413" s="134">
        <v>46047</v>
      </c>
      <c r="B12413" s="135">
        <f>YEAR(source[[#This Row],[report_date]])</f>
        <v>2026</v>
      </c>
      <c r="C12413" s="128">
        <f t="shared" si="581"/>
        <v>1</v>
      </c>
      <c r="D12413" s="136">
        <f t="shared" si="580"/>
        <v>4</v>
      </c>
      <c r="E12413" s="136">
        <f t="shared" si="582"/>
        <v>25</v>
      </c>
      <c r="F12413" s="137" t="s">
        <v>24</v>
      </c>
      <c r="G12413" s="128" t="str">
        <f>VLOOKUP(source[[#This Row],[lending_product_transform]],[3]Mapping!$B$4:$C$37,2,0)</f>
        <v>[Cake] - Cashloan</v>
      </c>
      <c r="H12413" s="128" t="str">
        <f>VLOOKUP(source[[#This Row],[lending_product_transform]],[3]Mapping!$B$3:$D$37,3,0)</f>
        <v>cashloan</v>
      </c>
      <c r="I12413" s="143">
        <v>196250000</v>
      </c>
    </row>
    <row r="12414" spans="1:9" x14ac:dyDescent="0.2">
      <c r="A12414" s="134">
        <v>46047</v>
      </c>
      <c r="B12414" s="135">
        <f>YEAR(source[[#This Row],[report_date]])</f>
        <v>2026</v>
      </c>
      <c r="C12414" s="128">
        <f t="shared" si="581"/>
        <v>1</v>
      </c>
      <c r="D12414" s="136">
        <f t="shared" si="580"/>
        <v>4</v>
      </c>
      <c r="E12414" s="136">
        <f t="shared" si="582"/>
        <v>25</v>
      </c>
      <c r="F12414" s="137" t="s">
        <v>24</v>
      </c>
      <c r="G12414" s="128" t="str">
        <f>VLOOKUP(source[[#This Row],[lending_product_transform]],[3]Mapping!$B$4:$C$37,2,0)</f>
        <v>[Cake] - Cashloan</v>
      </c>
      <c r="H12414" s="128" t="str">
        <f>VLOOKUP(source[[#This Row],[lending_product_transform]],[3]Mapping!$B$3:$D$37,3,0)</f>
        <v>cashloan</v>
      </c>
      <c r="I12414" s="143">
        <v>0</v>
      </c>
    </row>
    <row r="12415" spans="1:9" x14ac:dyDescent="0.2">
      <c r="A12415" s="134">
        <v>46047</v>
      </c>
      <c r="B12415" s="135">
        <f>YEAR(source[[#This Row],[report_date]])</f>
        <v>2026</v>
      </c>
      <c r="C12415" s="128">
        <f t="shared" si="581"/>
        <v>1</v>
      </c>
      <c r="D12415" s="136">
        <f t="shared" si="580"/>
        <v>4</v>
      </c>
      <c r="E12415" s="136">
        <f t="shared" si="582"/>
        <v>25</v>
      </c>
      <c r="F12415" s="137" t="s">
        <v>24</v>
      </c>
      <c r="G12415" s="128" t="str">
        <f>VLOOKUP(source[[#This Row],[lending_product_transform]],[3]Mapping!$B$4:$C$37,2,0)</f>
        <v>[Cake] - Cashloan</v>
      </c>
      <c r="H12415" s="128" t="str">
        <f>VLOOKUP(source[[#This Row],[lending_product_transform]],[3]Mapping!$B$3:$D$37,3,0)</f>
        <v>cashloan</v>
      </c>
      <c r="I12415" s="143">
        <v>15535180000</v>
      </c>
    </row>
    <row r="12416" spans="1:9" x14ac:dyDescent="0.2">
      <c r="A12416" s="134">
        <v>46047</v>
      </c>
      <c r="B12416" s="135">
        <f>YEAR(source[[#This Row],[report_date]])</f>
        <v>2026</v>
      </c>
      <c r="C12416" s="128">
        <f t="shared" si="581"/>
        <v>1</v>
      </c>
      <c r="D12416" s="136">
        <f t="shared" si="580"/>
        <v>4</v>
      </c>
      <c r="E12416" s="136">
        <f t="shared" si="582"/>
        <v>25</v>
      </c>
      <c r="F12416" s="137" t="s">
        <v>24</v>
      </c>
      <c r="G12416" s="128" t="str">
        <f>VLOOKUP(source[[#This Row],[lending_product_transform]],[3]Mapping!$B$4:$C$37,2,0)</f>
        <v>[Cake] - Cashloan</v>
      </c>
      <c r="H12416" s="128" t="str">
        <f>VLOOKUP(source[[#This Row],[lending_product_transform]],[3]Mapping!$B$3:$D$37,3,0)</f>
        <v>cashloan</v>
      </c>
      <c r="I12416" s="143">
        <v>0</v>
      </c>
    </row>
    <row r="12417" spans="1:9" x14ac:dyDescent="0.2">
      <c r="A12417" s="134">
        <v>46047</v>
      </c>
      <c r="B12417" s="135">
        <f>YEAR(source[[#This Row],[report_date]])</f>
        <v>2026</v>
      </c>
      <c r="C12417" s="128">
        <f t="shared" si="581"/>
        <v>1</v>
      </c>
      <c r="D12417" s="136">
        <f t="shared" si="580"/>
        <v>4</v>
      </c>
      <c r="E12417" s="136">
        <f t="shared" si="582"/>
        <v>25</v>
      </c>
      <c r="F12417" s="137" t="s">
        <v>24</v>
      </c>
      <c r="G12417" s="128" t="str">
        <f>VLOOKUP(source[[#This Row],[lending_product_transform]],[3]Mapping!$B$4:$C$37,2,0)</f>
        <v>[Cake] - Cashloan</v>
      </c>
      <c r="H12417" s="128" t="str">
        <f>VLOOKUP(source[[#This Row],[lending_product_transform]],[3]Mapping!$B$3:$D$37,3,0)</f>
        <v>cashloan</v>
      </c>
      <c r="I12417" s="143">
        <v>0</v>
      </c>
    </row>
    <row r="12418" spans="1:9" x14ac:dyDescent="0.2">
      <c r="A12418" s="134">
        <v>46047</v>
      </c>
      <c r="B12418" s="135">
        <f>YEAR(source[[#This Row],[report_date]])</f>
        <v>2026</v>
      </c>
      <c r="C12418" s="128">
        <f t="shared" si="581"/>
        <v>1</v>
      </c>
      <c r="D12418" s="136">
        <f t="shared" si="580"/>
        <v>4</v>
      </c>
      <c r="E12418" s="136">
        <f t="shared" si="582"/>
        <v>25</v>
      </c>
      <c r="F12418" s="137" t="s">
        <v>24</v>
      </c>
      <c r="G12418" s="128" t="str">
        <f>VLOOKUP(source[[#This Row],[lending_product_transform]],[3]Mapping!$B$4:$C$37,2,0)</f>
        <v>[Cake] - Cashloan</v>
      </c>
      <c r="H12418" s="128" t="str">
        <f>VLOOKUP(source[[#This Row],[lending_product_transform]],[3]Mapping!$B$3:$D$37,3,0)</f>
        <v>cashloan</v>
      </c>
      <c r="I12418" s="143">
        <v>0</v>
      </c>
    </row>
    <row r="12419" spans="1:9" x14ac:dyDescent="0.2">
      <c r="A12419" s="134">
        <v>46047</v>
      </c>
      <c r="B12419" s="135">
        <f>YEAR(source[[#This Row],[report_date]])</f>
        <v>2026</v>
      </c>
      <c r="C12419" s="128">
        <f t="shared" si="581"/>
        <v>1</v>
      </c>
      <c r="D12419" s="136">
        <f t="shared" si="580"/>
        <v>4</v>
      </c>
      <c r="E12419" s="136">
        <f t="shared" si="582"/>
        <v>25</v>
      </c>
      <c r="F12419" s="137" t="s">
        <v>24</v>
      </c>
      <c r="G12419" s="128" t="str">
        <f>VLOOKUP(source[[#This Row],[lending_product_transform]],[3]Mapping!$B$4:$C$37,2,0)</f>
        <v>[Cake] - Cashloan</v>
      </c>
      <c r="H12419" s="128" t="str">
        <f>VLOOKUP(source[[#This Row],[lending_product_transform]],[3]Mapping!$B$3:$D$37,3,0)</f>
        <v>cashloan</v>
      </c>
      <c r="I12419" s="143">
        <v>0</v>
      </c>
    </row>
    <row r="12420" spans="1:9" x14ac:dyDescent="0.2">
      <c r="A12420" s="134">
        <v>46047</v>
      </c>
      <c r="B12420" s="135">
        <f>YEAR(source[[#This Row],[report_date]])</f>
        <v>2026</v>
      </c>
      <c r="C12420" s="128">
        <f t="shared" si="581"/>
        <v>1</v>
      </c>
      <c r="D12420" s="136">
        <f t="shared" si="580"/>
        <v>4</v>
      </c>
      <c r="E12420" s="136">
        <f t="shared" si="582"/>
        <v>25</v>
      </c>
      <c r="F12420" s="137" t="s">
        <v>24</v>
      </c>
      <c r="G12420" s="128" t="str">
        <f>VLOOKUP(source[[#This Row],[lending_product_transform]],[3]Mapping!$B$4:$C$37,2,0)</f>
        <v>[Cake] - Cashloan</v>
      </c>
      <c r="H12420" s="128" t="str">
        <f>VLOOKUP(source[[#This Row],[lending_product_transform]],[3]Mapping!$B$3:$D$37,3,0)</f>
        <v>cashloan</v>
      </c>
      <c r="I12420" s="143">
        <v>10800864000</v>
      </c>
    </row>
    <row r="12421" spans="1:9" x14ac:dyDescent="0.2">
      <c r="A12421" s="134">
        <v>46047</v>
      </c>
      <c r="B12421" s="135">
        <f>YEAR(source[[#This Row],[report_date]])</f>
        <v>2026</v>
      </c>
      <c r="C12421" s="128">
        <f t="shared" si="581"/>
        <v>1</v>
      </c>
      <c r="D12421" s="136">
        <f t="shared" si="580"/>
        <v>4</v>
      </c>
      <c r="E12421" s="136">
        <f t="shared" si="582"/>
        <v>25</v>
      </c>
      <c r="F12421" s="137" t="s">
        <v>24</v>
      </c>
      <c r="G12421" s="128" t="str">
        <f>VLOOKUP(source[[#This Row],[lending_product_transform]],[3]Mapping!$B$4:$C$37,2,0)</f>
        <v>[Cake] - Cashloan</v>
      </c>
      <c r="H12421" s="128" t="str">
        <f>VLOOKUP(source[[#This Row],[lending_product_transform]],[3]Mapping!$B$3:$D$37,3,0)</f>
        <v>cashloan</v>
      </c>
      <c r="I12421" s="143">
        <v>148339596</v>
      </c>
    </row>
    <row r="12422" spans="1:9" x14ac:dyDescent="0.2">
      <c r="A12422" s="134">
        <v>46047</v>
      </c>
      <c r="B12422" s="135">
        <f>YEAR(source[[#This Row],[report_date]])</f>
        <v>2026</v>
      </c>
      <c r="C12422" s="128">
        <f t="shared" si="581"/>
        <v>1</v>
      </c>
      <c r="D12422" s="136">
        <f t="shared" si="580"/>
        <v>4</v>
      </c>
      <c r="E12422" s="136">
        <f t="shared" si="582"/>
        <v>25</v>
      </c>
      <c r="F12422" s="137" t="s">
        <v>24</v>
      </c>
      <c r="G12422" s="128" t="str">
        <f>VLOOKUP(source[[#This Row],[lending_product_transform]],[3]Mapping!$B$4:$C$37,2,0)</f>
        <v>[Cake] - Cashloan</v>
      </c>
      <c r="H12422" s="128" t="str">
        <f>VLOOKUP(source[[#This Row],[lending_product_transform]],[3]Mapping!$B$3:$D$37,3,0)</f>
        <v>cashloan</v>
      </c>
      <c r="I12422" s="143">
        <v>88750000</v>
      </c>
    </row>
    <row r="12423" spans="1:9" x14ac:dyDescent="0.2">
      <c r="A12423" s="134">
        <v>46047</v>
      </c>
      <c r="B12423" s="135">
        <f>YEAR(source[[#This Row],[report_date]])</f>
        <v>2026</v>
      </c>
      <c r="C12423" s="128">
        <f t="shared" si="581"/>
        <v>1</v>
      </c>
      <c r="D12423" s="136">
        <f t="shared" si="580"/>
        <v>4</v>
      </c>
      <c r="E12423" s="136">
        <f t="shared" si="582"/>
        <v>25</v>
      </c>
      <c r="F12423" s="137" t="s">
        <v>24</v>
      </c>
      <c r="G12423" s="128" t="str">
        <f>VLOOKUP(source[[#This Row],[lending_product_transform]],[3]Mapping!$B$4:$C$37,2,0)</f>
        <v>[Cake] - Cashloan</v>
      </c>
      <c r="H12423" s="128" t="str">
        <f>VLOOKUP(source[[#This Row],[lending_product_transform]],[3]Mapping!$B$3:$D$37,3,0)</f>
        <v>cashloan</v>
      </c>
      <c r="I12423" s="143">
        <v>57000000</v>
      </c>
    </row>
    <row r="12424" spans="1:9" x14ac:dyDescent="0.2">
      <c r="A12424" s="134">
        <v>46047</v>
      </c>
      <c r="B12424" s="135">
        <f>YEAR(source[[#This Row],[report_date]])</f>
        <v>2026</v>
      </c>
      <c r="C12424" s="128">
        <f t="shared" si="581"/>
        <v>1</v>
      </c>
      <c r="D12424" s="136">
        <f t="shared" si="580"/>
        <v>4</v>
      </c>
      <c r="E12424" s="136">
        <f t="shared" si="582"/>
        <v>25</v>
      </c>
      <c r="F12424" s="137" t="s">
        <v>24</v>
      </c>
      <c r="G12424" s="128" t="str">
        <f>VLOOKUP(source[[#This Row],[lending_product_transform]],[3]Mapping!$B$4:$C$37,2,0)</f>
        <v>[Cake] - Cashloan</v>
      </c>
      <c r="H12424" s="128" t="str">
        <f>VLOOKUP(source[[#This Row],[lending_product_transform]],[3]Mapping!$B$3:$D$37,3,0)</f>
        <v>cashloan</v>
      </c>
      <c r="I12424" s="143">
        <v>996540000</v>
      </c>
    </row>
    <row r="12425" spans="1:9" x14ac:dyDescent="0.2">
      <c r="A12425" s="134">
        <v>46047</v>
      </c>
      <c r="B12425" s="135">
        <f>YEAR(source[[#This Row],[report_date]])</f>
        <v>2026</v>
      </c>
      <c r="C12425" s="128">
        <f t="shared" si="581"/>
        <v>1</v>
      </c>
      <c r="D12425" s="136">
        <f t="shared" si="580"/>
        <v>4</v>
      </c>
      <c r="E12425" s="136">
        <f t="shared" si="582"/>
        <v>25</v>
      </c>
      <c r="F12425" s="137" t="s">
        <v>24</v>
      </c>
      <c r="G12425" s="128" t="str">
        <f>VLOOKUP(source[[#This Row],[lending_product_transform]],[3]Mapping!$B$4:$C$37,2,0)</f>
        <v>[Cake] - Cashloan</v>
      </c>
      <c r="H12425" s="128" t="str">
        <f>VLOOKUP(source[[#This Row],[lending_product_transform]],[3]Mapping!$B$3:$D$37,3,0)</f>
        <v>cashloan</v>
      </c>
      <c r="I12425" s="143">
        <v>296136000</v>
      </c>
    </row>
    <row r="12426" spans="1:9" x14ac:dyDescent="0.2">
      <c r="A12426" s="134">
        <v>46047</v>
      </c>
      <c r="B12426" s="135">
        <f>YEAR(source[[#This Row],[report_date]])</f>
        <v>2026</v>
      </c>
      <c r="C12426" s="128">
        <f t="shared" si="581"/>
        <v>1</v>
      </c>
      <c r="D12426" s="136">
        <f t="shared" si="580"/>
        <v>4</v>
      </c>
      <c r="E12426" s="136">
        <f t="shared" si="582"/>
        <v>25</v>
      </c>
      <c r="F12426" s="137" t="s">
        <v>24</v>
      </c>
      <c r="G12426" s="128" t="str">
        <f>VLOOKUP(source[[#This Row],[lending_product_transform]],[3]Mapping!$B$4:$C$37,2,0)</f>
        <v>[Cake] - Cashloan</v>
      </c>
      <c r="H12426" s="128" t="str">
        <f>VLOOKUP(source[[#This Row],[lending_product_transform]],[3]Mapping!$B$3:$D$37,3,0)</f>
        <v>cashloan</v>
      </c>
      <c r="I12426" s="143">
        <v>326258892</v>
      </c>
    </row>
    <row r="12427" spans="1:9" x14ac:dyDescent="0.2">
      <c r="A12427" s="134">
        <v>46047</v>
      </c>
      <c r="B12427" s="135">
        <f>YEAR(source[[#This Row],[report_date]])</f>
        <v>2026</v>
      </c>
      <c r="C12427" s="128">
        <f t="shared" si="581"/>
        <v>1</v>
      </c>
      <c r="D12427" s="136">
        <f t="shared" si="580"/>
        <v>4</v>
      </c>
      <c r="E12427" s="136">
        <f t="shared" si="582"/>
        <v>25</v>
      </c>
      <c r="F12427" s="137" t="s">
        <v>24</v>
      </c>
      <c r="G12427" s="128" t="str">
        <f>VLOOKUP(source[[#This Row],[lending_product_transform]],[3]Mapping!$B$4:$C$37,2,0)</f>
        <v>[Cake] - Cashloan</v>
      </c>
      <c r="H12427" s="128" t="str">
        <f>VLOOKUP(source[[#This Row],[lending_product_transform]],[3]Mapping!$B$3:$D$37,3,0)</f>
        <v>cashloan</v>
      </c>
      <c r="I12427" s="143">
        <v>3117690000</v>
      </c>
    </row>
    <row r="12428" spans="1:9" x14ac:dyDescent="0.2">
      <c r="A12428" s="134">
        <v>46047</v>
      </c>
      <c r="B12428" s="135">
        <f>YEAR(source[[#This Row],[report_date]])</f>
        <v>2026</v>
      </c>
      <c r="C12428" s="128">
        <f t="shared" si="581"/>
        <v>1</v>
      </c>
      <c r="D12428" s="136">
        <f t="shared" si="580"/>
        <v>4</v>
      </c>
      <c r="E12428" s="136">
        <f t="shared" si="582"/>
        <v>25</v>
      </c>
      <c r="F12428" s="137" t="s">
        <v>24</v>
      </c>
      <c r="G12428" s="128" t="str">
        <f>VLOOKUP(source[[#This Row],[lending_product_transform]],[3]Mapping!$B$4:$C$37,2,0)</f>
        <v>[Cake] - Cashloan</v>
      </c>
      <c r="H12428" s="128" t="str">
        <f>VLOOKUP(source[[#This Row],[lending_product_transform]],[3]Mapping!$B$3:$D$37,3,0)</f>
        <v>cashloan</v>
      </c>
      <c r="I12428" s="143">
        <v>1059840000</v>
      </c>
    </row>
    <row r="12429" spans="1:9" x14ac:dyDescent="0.2">
      <c r="A12429" s="134">
        <v>46048</v>
      </c>
      <c r="B12429" s="135">
        <f>YEAR(source[[#This Row],[report_date]])</f>
        <v>2026</v>
      </c>
      <c r="C12429" s="128">
        <f t="shared" si="581"/>
        <v>1</v>
      </c>
      <c r="D12429" s="136">
        <f t="shared" si="580"/>
        <v>5</v>
      </c>
      <c r="E12429" s="136">
        <f t="shared" si="582"/>
        <v>26</v>
      </c>
      <c r="F12429" s="137" t="s">
        <v>24</v>
      </c>
      <c r="G12429" s="128" t="str">
        <f>VLOOKUP(source[[#This Row],[lending_product_transform]],[3]Mapping!$B$4:$C$37,2,0)</f>
        <v>[Cake] - Cashloan</v>
      </c>
      <c r="H12429" s="128" t="str">
        <f>VLOOKUP(source[[#This Row],[lending_product_transform]],[3]Mapping!$B$3:$D$37,3,0)</f>
        <v>cashloan</v>
      </c>
      <c r="I12429" s="143">
        <v>666750000</v>
      </c>
    </row>
    <row r="12430" spans="1:9" x14ac:dyDescent="0.2">
      <c r="A12430" s="134">
        <v>46048</v>
      </c>
      <c r="B12430" s="135">
        <f>YEAR(source[[#This Row],[report_date]])</f>
        <v>2026</v>
      </c>
      <c r="C12430" s="128">
        <f t="shared" si="581"/>
        <v>1</v>
      </c>
      <c r="D12430" s="136">
        <f t="shared" si="580"/>
        <v>5</v>
      </c>
      <c r="E12430" s="136">
        <f t="shared" si="582"/>
        <v>26</v>
      </c>
      <c r="F12430" s="137" t="s">
        <v>24</v>
      </c>
      <c r="G12430" s="128" t="str">
        <f>VLOOKUP(source[[#This Row],[lending_product_transform]],[3]Mapping!$B$4:$C$37,2,0)</f>
        <v>[Cake] - Cashloan</v>
      </c>
      <c r="H12430" s="128" t="str">
        <f>VLOOKUP(source[[#This Row],[lending_product_transform]],[3]Mapping!$B$3:$D$37,3,0)</f>
        <v>cashloan</v>
      </c>
      <c r="I12430" s="143">
        <v>324787575</v>
      </c>
    </row>
    <row r="12431" spans="1:9" x14ac:dyDescent="0.2">
      <c r="A12431" s="134">
        <v>46048</v>
      </c>
      <c r="B12431" s="135">
        <f>YEAR(source[[#This Row],[report_date]])</f>
        <v>2026</v>
      </c>
      <c r="C12431" s="128">
        <f t="shared" si="581"/>
        <v>1</v>
      </c>
      <c r="D12431" s="136">
        <f t="shared" si="580"/>
        <v>5</v>
      </c>
      <c r="E12431" s="136">
        <f t="shared" si="582"/>
        <v>26</v>
      </c>
      <c r="F12431" s="137" t="s">
        <v>24</v>
      </c>
      <c r="G12431" s="128" t="str">
        <f>VLOOKUP(source[[#This Row],[lending_product_transform]],[3]Mapping!$B$4:$C$37,2,0)</f>
        <v>[Cake] - Cashloan</v>
      </c>
      <c r="H12431" s="128" t="str">
        <f>VLOOKUP(source[[#This Row],[lending_product_transform]],[3]Mapping!$B$3:$D$37,3,0)</f>
        <v>cashloan</v>
      </c>
      <c r="I12431" s="143">
        <v>17445010000</v>
      </c>
    </row>
    <row r="12432" spans="1:9" x14ac:dyDescent="0.2">
      <c r="A12432" s="134">
        <v>46048</v>
      </c>
      <c r="B12432" s="135">
        <f>YEAR(source[[#This Row],[report_date]])</f>
        <v>2026</v>
      </c>
      <c r="C12432" s="128">
        <f t="shared" si="581"/>
        <v>1</v>
      </c>
      <c r="D12432" s="136">
        <f t="shared" si="580"/>
        <v>5</v>
      </c>
      <c r="E12432" s="136">
        <f t="shared" si="582"/>
        <v>26</v>
      </c>
      <c r="F12432" s="137" t="s">
        <v>24</v>
      </c>
      <c r="G12432" s="128" t="str">
        <f>VLOOKUP(source[[#This Row],[lending_product_transform]],[3]Mapping!$B$4:$C$37,2,0)</f>
        <v>[Cake] - Cashloan</v>
      </c>
      <c r="H12432" s="128" t="str">
        <f>VLOOKUP(source[[#This Row],[lending_product_transform]],[3]Mapping!$B$3:$D$37,3,0)</f>
        <v>cashloan</v>
      </c>
      <c r="I12432" s="143">
        <v>2175792087</v>
      </c>
    </row>
    <row r="12433" spans="1:9" x14ac:dyDescent="0.2">
      <c r="A12433" s="134">
        <v>46048</v>
      </c>
      <c r="B12433" s="135">
        <f>YEAR(source[[#This Row],[report_date]])</f>
        <v>2026</v>
      </c>
      <c r="C12433" s="128">
        <f t="shared" si="581"/>
        <v>1</v>
      </c>
      <c r="D12433" s="136">
        <f t="shared" ref="D12433:D12496" si="583">WEEKNUM(A12433,2)</f>
        <v>5</v>
      </c>
      <c r="E12433" s="136">
        <f t="shared" si="582"/>
        <v>26</v>
      </c>
      <c r="F12433" s="137" t="s">
        <v>24</v>
      </c>
      <c r="G12433" s="128" t="str">
        <f>VLOOKUP(source[[#This Row],[lending_product_transform]],[3]Mapping!$B$4:$C$37,2,0)</f>
        <v>[Cake] - Cashloan</v>
      </c>
      <c r="H12433" s="128" t="str">
        <f>VLOOKUP(source[[#This Row],[lending_product_transform]],[3]Mapping!$B$3:$D$37,3,0)</f>
        <v>cashloan</v>
      </c>
      <c r="I12433" s="143">
        <v>14287320000</v>
      </c>
    </row>
    <row r="12434" spans="1:9" x14ac:dyDescent="0.2">
      <c r="A12434" s="134">
        <v>46048</v>
      </c>
      <c r="B12434" s="135">
        <f>YEAR(source[[#This Row],[report_date]])</f>
        <v>2026</v>
      </c>
      <c r="C12434" s="128">
        <f t="shared" si="581"/>
        <v>1</v>
      </c>
      <c r="D12434" s="136">
        <f t="shared" si="583"/>
        <v>5</v>
      </c>
      <c r="E12434" s="136">
        <f t="shared" si="582"/>
        <v>26</v>
      </c>
      <c r="F12434" s="137" t="s">
        <v>24</v>
      </c>
      <c r="G12434" s="128" t="str">
        <f>VLOOKUP(source[[#This Row],[lending_product_transform]],[3]Mapping!$B$4:$C$37,2,0)</f>
        <v>[Cake] - Cashloan</v>
      </c>
      <c r="H12434" s="128" t="str">
        <f>VLOOKUP(source[[#This Row],[lending_product_transform]],[3]Mapping!$B$3:$D$37,3,0)</f>
        <v>cashloan</v>
      </c>
      <c r="I12434" s="143">
        <v>9531104</v>
      </c>
    </row>
    <row r="12435" spans="1:9" x14ac:dyDescent="0.2">
      <c r="A12435" s="134">
        <v>46048</v>
      </c>
      <c r="B12435" s="135">
        <f>YEAR(source[[#This Row],[report_date]])</f>
        <v>2026</v>
      </c>
      <c r="C12435" s="128">
        <f t="shared" si="581"/>
        <v>1</v>
      </c>
      <c r="D12435" s="136">
        <f t="shared" si="583"/>
        <v>5</v>
      </c>
      <c r="E12435" s="136">
        <f t="shared" si="582"/>
        <v>26</v>
      </c>
      <c r="F12435" s="137" t="s">
        <v>24</v>
      </c>
      <c r="G12435" s="128" t="str">
        <f>VLOOKUP(source[[#This Row],[lending_product_transform]],[3]Mapping!$B$4:$C$37,2,0)</f>
        <v>[Cake] - Cashloan</v>
      </c>
      <c r="H12435" s="128" t="str">
        <f>VLOOKUP(source[[#This Row],[lending_product_transform]],[3]Mapping!$B$3:$D$37,3,0)</f>
        <v>cashloan</v>
      </c>
      <c r="I12435" s="143">
        <v>0</v>
      </c>
    </row>
    <row r="12436" spans="1:9" x14ac:dyDescent="0.2">
      <c r="A12436" s="134">
        <v>46048</v>
      </c>
      <c r="B12436" s="135">
        <f>YEAR(source[[#This Row],[report_date]])</f>
        <v>2026</v>
      </c>
      <c r="C12436" s="128">
        <f t="shared" si="581"/>
        <v>1</v>
      </c>
      <c r="D12436" s="136">
        <f t="shared" si="583"/>
        <v>5</v>
      </c>
      <c r="E12436" s="136">
        <f t="shared" si="582"/>
        <v>26</v>
      </c>
      <c r="F12436" s="137" t="s">
        <v>24</v>
      </c>
      <c r="G12436" s="128" t="str">
        <f>VLOOKUP(source[[#This Row],[lending_product_transform]],[3]Mapping!$B$4:$C$37,2,0)</f>
        <v>[Cake] - Cashloan</v>
      </c>
      <c r="H12436" s="128" t="str">
        <f>VLOOKUP(source[[#This Row],[lending_product_transform]],[3]Mapping!$B$3:$D$37,3,0)</f>
        <v>cashloan</v>
      </c>
      <c r="I12436" s="143">
        <v>5627660000</v>
      </c>
    </row>
    <row r="12437" spans="1:9" x14ac:dyDescent="0.2">
      <c r="A12437" s="134">
        <v>46048</v>
      </c>
      <c r="B12437" s="135">
        <f>YEAR(source[[#This Row],[report_date]])</f>
        <v>2026</v>
      </c>
      <c r="C12437" s="128">
        <f t="shared" si="581"/>
        <v>1</v>
      </c>
      <c r="D12437" s="136">
        <f t="shared" si="583"/>
        <v>5</v>
      </c>
      <c r="E12437" s="136">
        <f t="shared" si="582"/>
        <v>26</v>
      </c>
      <c r="F12437" s="137" t="s">
        <v>24</v>
      </c>
      <c r="G12437" s="128" t="str">
        <f>VLOOKUP(source[[#This Row],[lending_product_transform]],[3]Mapping!$B$4:$C$37,2,0)</f>
        <v>[Cake] - Cashloan</v>
      </c>
      <c r="H12437" s="128" t="str">
        <f>VLOOKUP(source[[#This Row],[lending_product_transform]],[3]Mapping!$B$3:$D$37,3,0)</f>
        <v>cashloan</v>
      </c>
      <c r="I12437" s="143">
        <v>1307270000</v>
      </c>
    </row>
    <row r="12438" spans="1:9" x14ac:dyDescent="0.2">
      <c r="A12438" s="134">
        <v>46048</v>
      </c>
      <c r="B12438" s="135">
        <f>YEAR(source[[#This Row],[report_date]])</f>
        <v>2026</v>
      </c>
      <c r="C12438" s="128">
        <f t="shared" si="581"/>
        <v>1</v>
      </c>
      <c r="D12438" s="136">
        <f t="shared" si="583"/>
        <v>5</v>
      </c>
      <c r="E12438" s="136">
        <f t="shared" si="582"/>
        <v>26</v>
      </c>
      <c r="F12438" s="137" t="s">
        <v>24</v>
      </c>
      <c r="G12438" s="128" t="str">
        <f>VLOOKUP(source[[#This Row],[lending_product_transform]],[3]Mapping!$B$4:$C$37,2,0)</f>
        <v>[Cake] - Cashloan</v>
      </c>
      <c r="H12438" s="128" t="str">
        <f>VLOOKUP(source[[#This Row],[lending_product_transform]],[3]Mapping!$B$3:$D$37,3,0)</f>
        <v>cashloan</v>
      </c>
      <c r="I12438" s="143">
        <v>6409383</v>
      </c>
    </row>
    <row r="12439" spans="1:9" x14ac:dyDescent="0.2">
      <c r="A12439" s="134">
        <v>46048</v>
      </c>
      <c r="B12439" s="135">
        <f>YEAR(source[[#This Row],[report_date]])</f>
        <v>2026</v>
      </c>
      <c r="C12439" s="128">
        <f t="shared" si="581"/>
        <v>1</v>
      </c>
      <c r="D12439" s="136">
        <f t="shared" si="583"/>
        <v>5</v>
      </c>
      <c r="E12439" s="136">
        <f t="shared" si="582"/>
        <v>26</v>
      </c>
      <c r="F12439" s="137" t="s">
        <v>24</v>
      </c>
      <c r="G12439" s="128" t="str">
        <f>VLOOKUP(source[[#This Row],[lending_product_transform]],[3]Mapping!$B$4:$C$37,2,0)</f>
        <v>[Cake] - Cashloan</v>
      </c>
      <c r="H12439" s="128" t="str">
        <f>VLOOKUP(source[[#This Row],[lending_product_transform]],[3]Mapping!$B$3:$D$37,3,0)</f>
        <v>cashloan</v>
      </c>
      <c r="I12439" s="143">
        <v>1073074928</v>
      </c>
    </row>
    <row r="12440" spans="1:9" x14ac:dyDescent="0.2">
      <c r="A12440" s="134">
        <v>46048</v>
      </c>
      <c r="B12440" s="135">
        <f>YEAR(source[[#This Row],[report_date]])</f>
        <v>2026</v>
      </c>
      <c r="C12440" s="128">
        <f t="shared" si="581"/>
        <v>1</v>
      </c>
      <c r="D12440" s="136">
        <f t="shared" si="583"/>
        <v>5</v>
      </c>
      <c r="E12440" s="136">
        <f t="shared" si="582"/>
        <v>26</v>
      </c>
      <c r="F12440" s="137" t="s">
        <v>24</v>
      </c>
      <c r="G12440" s="128" t="str">
        <f>VLOOKUP(source[[#This Row],[lending_product_transform]],[3]Mapping!$B$4:$C$37,2,0)</f>
        <v>[Cake] - Cashloan</v>
      </c>
      <c r="H12440" s="128" t="str">
        <f>VLOOKUP(source[[#This Row],[lending_product_transform]],[3]Mapping!$B$3:$D$37,3,0)</f>
        <v>cashloan</v>
      </c>
      <c r="I12440" s="143">
        <v>0</v>
      </c>
    </row>
    <row r="12441" spans="1:9" x14ac:dyDescent="0.2">
      <c r="A12441" s="134">
        <v>46048</v>
      </c>
      <c r="B12441" s="135">
        <f>YEAR(source[[#This Row],[report_date]])</f>
        <v>2026</v>
      </c>
      <c r="C12441" s="128">
        <f t="shared" si="581"/>
        <v>1</v>
      </c>
      <c r="D12441" s="136">
        <f t="shared" si="583"/>
        <v>5</v>
      </c>
      <c r="E12441" s="136">
        <f t="shared" si="582"/>
        <v>26</v>
      </c>
      <c r="F12441" s="137" t="s">
        <v>24</v>
      </c>
      <c r="G12441" s="128" t="str">
        <f>VLOOKUP(source[[#This Row],[lending_product_transform]],[3]Mapping!$B$4:$C$37,2,0)</f>
        <v>[Cake] - Cashloan</v>
      </c>
      <c r="H12441" s="128" t="str">
        <f>VLOOKUP(source[[#This Row],[lending_product_transform]],[3]Mapping!$B$3:$D$37,3,0)</f>
        <v>cashloan</v>
      </c>
      <c r="I12441" s="143">
        <v>355850000</v>
      </c>
    </row>
    <row r="12442" spans="1:9" x14ac:dyDescent="0.2">
      <c r="A12442" s="134">
        <v>46048</v>
      </c>
      <c r="B12442" s="135">
        <f>YEAR(source[[#This Row],[report_date]])</f>
        <v>2026</v>
      </c>
      <c r="C12442" s="128">
        <f t="shared" si="581"/>
        <v>1</v>
      </c>
      <c r="D12442" s="136">
        <f t="shared" si="583"/>
        <v>5</v>
      </c>
      <c r="E12442" s="136">
        <f t="shared" si="582"/>
        <v>26</v>
      </c>
      <c r="F12442" s="137" t="s">
        <v>24</v>
      </c>
      <c r="G12442" s="128" t="str">
        <f>VLOOKUP(source[[#This Row],[lending_product_transform]],[3]Mapping!$B$4:$C$37,2,0)</f>
        <v>[Cake] - Cashloan</v>
      </c>
      <c r="H12442" s="128" t="str">
        <f>VLOOKUP(source[[#This Row],[lending_product_transform]],[3]Mapping!$B$3:$D$37,3,0)</f>
        <v>cashloan</v>
      </c>
      <c r="I12442" s="143">
        <v>75000000</v>
      </c>
    </row>
    <row r="12443" spans="1:9" x14ac:dyDescent="0.2">
      <c r="A12443" s="134">
        <v>46048</v>
      </c>
      <c r="B12443" s="135">
        <f>YEAR(source[[#This Row],[report_date]])</f>
        <v>2026</v>
      </c>
      <c r="C12443" s="128">
        <f t="shared" si="581"/>
        <v>1</v>
      </c>
      <c r="D12443" s="136">
        <f t="shared" si="583"/>
        <v>5</v>
      </c>
      <c r="E12443" s="136">
        <f t="shared" si="582"/>
        <v>26</v>
      </c>
      <c r="F12443" s="137" t="s">
        <v>24</v>
      </c>
      <c r="G12443" s="128" t="str">
        <f>VLOOKUP(source[[#This Row],[lending_product_transform]],[3]Mapping!$B$4:$C$37,2,0)</f>
        <v>[Cake] - Cashloan</v>
      </c>
      <c r="H12443" s="128" t="str">
        <f>VLOOKUP(source[[#This Row],[lending_product_transform]],[3]Mapping!$B$3:$D$37,3,0)</f>
        <v>cashloan</v>
      </c>
      <c r="I12443" s="143">
        <v>16128990000</v>
      </c>
    </row>
    <row r="12444" spans="1:9" x14ac:dyDescent="0.2">
      <c r="A12444" s="134">
        <v>46048</v>
      </c>
      <c r="B12444" s="135">
        <f>YEAR(source[[#This Row],[report_date]])</f>
        <v>2026</v>
      </c>
      <c r="C12444" s="128">
        <f t="shared" si="581"/>
        <v>1</v>
      </c>
      <c r="D12444" s="136">
        <f t="shared" si="583"/>
        <v>5</v>
      </c>
      <c r="E12444" s="136">
        <f t="shared" si="582"/>
        <v>26</v>
      </c>
      <c r="F12444" s="137" t="s">
        <v>24</v>
      </c>
      <c r="G12444" s="128" t="str">
        <f>VLOOKUP(source[[#This Row],[lending_product_transform]],[3]Mapping!$B$4:$C$37,2,0)</f>
        <v>[Cake] - Cashloan</v>
      </c>
      <c r="H12444" s="128" t="str">
        <f>VLOOKUP(source[[#This Row],[lending_product_transform]],[3]Mapping!$B$3:$D$37,3,0)</f>
        <v>cashloan</v>
      </c>
      <c r="I12444" s="143">
        <v>0</v>
      </c>
    </row>
    <row r="12445" spans="1:9" x14ac:dyDescent="0.2">
      <c r="A12445" s="134">
        <v>46048</v>
      </c>
      <c r="B12445" s="135">
        <f>YEAR(source[[#This Row],[report_date]])</f>
        <v>2026</v>
      </c>
      <c r="C12445" s="128">
        <f t="shared" si="581"/>
        <v>1</v>
      </c>
      <c r="D12445" s="136">
        <f t="shared" si="583"/>
        <v>5</v>
      </c>
      <c r="E12445" s="136">
        <f t="shared" si="582"/>
        <v>26</v>
      </c>
      <c r="F12445" s="137" t="s">
        <v>24</v>
      </c>
      <c r="G12445" s="128" t="str">
        <f>VLOOKUP(source[[#This Row],[lending_product_transform]],[3]Mapping!$B$4:$C$37,2,0)</f>
        <v>[Cake] - Cashloan</v>
      </c>
      <c r="H12445" s="128" t="str">
        <f>VLOOKUP(source[[#This Row],[lending_product_transform]],[3]Mapping!$B$3:$D$37,3,0)</f>
        <v>cashloan</v>
      </c>
      <c r="I12445" s="143">
        <v>0</v>
      </c>
    </row>
    <row r="12446" spans="1:9" x14ac:dyDescent="0.2">
      <c r="A12446" s="134">
        <v>46048</v>
      </c>
      <c r="B12446" s="135">
        <f>YEAR(source[[#This Row],[report_date]])</f>
        <v>2026</v>
      </c>
      <c r="C12446" s="128">
        <f t="shared" si="581"/>
        <v>1</v>
      </c>
      <c r="D12446" s="136">
        <f t="shared" si="583"/>
        <v>5</v>
      </c>
      <c r="E12446" s="136">
        <f t="shared" si="582"/>
        <v>26</v>
      </c>
      <c r="F12446" s="137" t="s">
        <v>24</v>
      </c>
      <c r="G12446" s="128" t="str">
        <f>VLOOKUP(source[[#This Row],[lending_product_transform]],[3]Mapping!$B$4:$C$37,2,0)</f>
        <v>[Cake] - Cashloan</v>
      </c>
      <c r="H12446" s="128" t="str">
        <f>VLOOKUP(source[[#This Row],[lending_product_transform]],[3]Mapping!$B$3:$D$37,3,0)</f>
        <v>cashloan</v>
      </c>
      <c r="I12446" s="143">
        <v>0</v>
      </c>
    </row>
    <row r="12447" spans="1:9" x14ac:dyDescent="0.2">
      <c r="A12447" s="134">
        <v>46048</v>
      </c>
      <c r="B12447" s="135">
        <f>YEAR(source[[#This Row],[report_date]])</f>
        <v>2026</v>
      </c>
      <c r="C12447" s="128">
        <f t="shared" si="581"/>
        <v>1</v>
      </c>
      <c r="D12447" s="136">
        <f t="shared" si="583"/>
        <v>5</v>
      </c>
      <c r="E12447" s="136">
        <f t="shared" si="582"/>
        <v>26</v>
      </c>
      <c r="F12447" s="137" t="s">
        <v>24</v>
      </c>
      <c r="G12447" s="128" t="str">
        <f>VLOOKUP(source[[#This Row],[lending_product_transform]],[3]Mapping!$B$4:$C$37,2,0)</f>
        <v>[Cake] - Cashloan</v>
      </c>
      <c r="H12447" s="128" t="str">
        <f>VLOOKUP(source[[#This Row],[lending_product_transform]],[3]Mapping!$B$3:$D$37,3,0)</f>
        <v>cashloan</v>
      </c>
      <c r="I12447" s="143">
        <v>0</v>
      </c>
    </row>
    <row r="12448" spans="1:9" x14ac:dyDescent="0.2">
      <c r="A12448" s="134">
        <v>46048</v>
      </c>
      <c r="B12448" s="135">
        <f>YEAR(source[[#This Row],[report_date]])</f>
        <v>2026</v>
      </c>
      <c r="C12448" s="128">
        <f t="shared" si="581"/>
        <v>1</v>
      </c>
      <c r="D12448" s="136">
        <f t="shared" si="583"/>
        <v>5</v>
      </c>
      <c r="E12448" s="136">
        <f t="shared" si="582"/>
        <v>26</v>
      </c>
      <c r="F12448" s="137" t="s">
        <v>24</v>
      </c>
      <c r="G12448" s="128" t="str">
        <f>VLOOKUP(source[[#This Row],[lending_product_transform]],[3]Mapping!$B$4:$C$37,2,0)</f>
        <v>[Cake] - Cashloan</v>
      </c>
      <c r="H12448" s="128" t="str">
        <f>VLOOKUP(source[[#This Row],[lending_product_transform]],[3]Mapping!$B$3:$D$37,3,0)</f>
        <v>cashloan</v>
      </c>
      <c r="I12448" s="143">
        <v>10711872000</v>
      </c>
    </row>
    <row r="12449" spans="1:9" x14ac:dyDescent="0.2">
      <c r="A12449" s="134">
        <v>46048</v>
      </c>
      <c r="B12449" s="135">
        <f>YEAR(source[[#This Row],[report_date]])</f>
        <v>2026</v>
      </c>
      <c r="C12449" s="128">
        <f t="shared" si="581"/>
        <v>1</v>
      </c>
      <c r="D12449" s="136">
        <f t="shared" si="583"/>
        <v>5</v>
      </c>
      <c r="E12449" s="136">
        <f t="shared" si="582"/>
        <v>26</v>
      </c>
      <c r="F12449" s="137" t="s">
        <v>24</v>
      </c>
      <c r="G12449" s="128" t="str">
        <f>VLOOKUP(source[[#This Row],[lending_product_transform]],[3]Mapping!$B$4:$C$37,2,0)</f>
        <v>[Cake] - Cashloan</v>
      </c>
      <c r="H12449" s="128" t="str">
        <f>VLOOKUP(source[[#This Row],[lending_product_transform]],[3]Mapping!$B$3:$D$37,3,0)</f>
        <v>cashloan</v>
      </c>
      <c r="I12449" s="143">
        <v>204077149</v>
      </c>
    </row>
    <row r="12450" spans="1:9" x14ac:dyDescent="0.2">
      <c r="A12450" s="134">
        <v>46048</v>
      </c>
      <c r="B12450" s="135">
        <f>YEAR(source[[#This Row],[report_date]])</f>
        <v>2026</v>
      </c>
      <c r="C12450" s="128">
        <f t="shared" si="581"/>
        <v>1</v>
      </c>
      <c r="D12450" s="136">
        <f t="shared" si="583"/>
        <v>5</v>
      </c>
      <c r="E12450" s="136">
        <f t="shared" si="582"/>
        <v>26</v>
      </c>
      <c r="F12450" s="137" t="s">
        <v>24</v>
      </c>
      <c r="G12450" s="128" t="str">
        <f>VLOOKUP(source[[#This Row],[lending_product_transform]],[3]Mapping!$B$4:$C$37,2,0)</f>
        <v>[Cake] - Cashloan</v>
      </c>
      <c r="H12450" s="128" t="str">
        <f>VLOOKUP(source[[#This Row],[lending_product_transform]],[3]Mapping!$B$3:$D$37,3,0)</f>
        <v>cashloan</v>
      </c>
      <c r="I12450" s="143">
        <v>16000000</v>
      </c>
    </row>
    <row r="12451" spans="1:9" x14ac:dyDescent="0.2">
      <c r="A12451" s="134">
        <v>46048</v>
      </c>
      <c r="B12451" s="135">
        <f>YEAR(source[[#This Row],[report_date]])</f>
        <v>2026</v>
      </c>
      <c r="C12451" s="128">
        <f t="shared" si="581"/>
        <v>1</v>
      </c>
      <c r="D12451" s="136">
        <f t="shared" si="583"/>
        <v>5</v>
      </c>
      <c r="E12451" s="136">
        <f t="shared" si="582"/>
        <v>26</v>
      </c>
      <c r="F12451" s="137" t="s">
        <v>24</v>
      </c>
      <c r="G12451" s="128" t="str">
        <f>VLOOKUP(source[[#This Row],[lending_product_transform]],[3]Mapping!$B$4:$C$37,2,0)</f>
        <v>[Cake] - Cashloan</v>
      </c>
      <c r="H12451" s="128" t="str">
        <f>VLOOKUP(source[[#This Row],[lending_product_transform]],[3]Mapping!$B$3:$D$37,3,0)</f>
        <v>cashloan</v>
      </c>
      <c r="I12451" s="143">
        <v>65000000</v>
      </c>
    </row>
    <row r="12452" spans="1:9" x14ac:dyDescent="0.2">
      <c r="A12452" s="134">
        <v>46048</v>
      </c>
      <c r="B12452" s="135">
        <f>YEAR(source[[#This Row],[report_date]])</f>
        <v>2026</v>
      </c>
      <c r="C12452" s="128">
        <f t="shared" si="581"/>
        <v>1</v>
      </c>
      <c r="D12452" s="136">
        <f t="shared" si="583"/>
        <v>5</v>
      </c>
      <c r="E12452" s="136">
        <f t="shared" si="582"/>
        <v>26</v>
      </c>
      <c r="F12452" s="137" t="s">
        <v>24</v>
      </c>
      <c r="G12452" s="128" t="str">
        <f>VLOOKUP(source[[#This Row],[lending_product_transform]],[3]Mapping!$B$4:$C$37,2,0)</f>
        <v>[Cake] - Cashloan</v>
      </c>
      <c r="H12452" s="128" t="str">
        <f>VLOOKUP(source[[#This Row],[lending_product_transform]],[3]Mapping!$B$3:$D$37,3,0)</f>
        <v>cashloan</v>
      </c>
      <c r="I12452" s="143">
        <v>794300000</v>
      </c>
    </row>
    <row r="12453" spans="1:9" x14ac:dyDescent="0.2">
      <c r="A12453" s="134">
        <v>46048</v>
      </c>
      <c r="B12453" s="135">
        <f>YEAR(source[[#This Row],[report_date]])</f>
        <v>2026</v>
      </c>
      <c r="C12453" s="128">
        <f t="shared" si="581"/>
        <v>1</v>
      </c>
      <c r="D12453" s="136">
        <f t="shared" si="583"/>
        <v>5</v>
      </c>
      <c r="E12453" s="136">
        <f t="shared" si="582"/>
        <v>26</v>
      </c>
      <c r="F12453" s="137" t="s">
        <v>24</v>
      </c>
      <c r="G12453" s="128" t="str">
        <f>VLOOKUP(source[[#This Row],[lending_product_transform]],[3]Mapping!$B$4:$C$37,2,0)</f>
        <v>[Cake] - Cashloan</v>
      </c>
      <c r="H12453" s="128" t="str">
        <f>VLOOKUP(source[[#This Row],[lending_product_transform]],[3]Mapping!$B$3:$D$37,3,0)</f>
        <v>cashloan</v>
      </c>
      <c r="I12453" s="143">
        <v>357480000</v>
      </c>
    </row>
    <row r="12454" spans="1:9" x14ac:dyDescent="0.2">
      <c r="A12454" s="134">
        <v>46048</v>
      </c>
      <c r="B12454" s="135">
        <f>YEAR(source[[#This Row],[report_date]])</f>
        <v>2026</v>
      </c>
      <c r="C12454" s="128">
        <f t="shared" si="581"/>
        <v>1</v>
      </c>
      <c r="D12454" s="136">
        <f t="shared" si="583"/>
        <v>5</v>
      </c>
      <c r="E12454" s="136">
        <f t="shared" si="582"/>
        <v>26</v>
      </c>
      <c r="F12454" s="137" t="s">
        <v>24</v>
      </c>
      <c r="G12454" s="128" t="str">
        <f>VLOOKUP(source[[#This Row],[lending_product_transform]],[3]Mapping!$B$4:$C$37,2,0)</f>
        <v>[Cake] - Cashloan</v>
      </c>
      <c r="H12454" s="128" t="str">
        <f>VLOOKUP(source[[#This Row],[lending_product_transform]],[3]Mapping!$B$3:$D$37,3,0)</f>
        <v>cashloan</v>
      </c>
      <c r="I12454" s="143">
        <v>393358233</v>
      </c>
    </row>
    <row r="12455" spans="1:9" x14ac:dyDescent="0.2">
      <c r="A12455" s="134">
        <v>46048</v>
      </c>
      <c r="B12455" s="135">
        <f>YEAR(source[[#This Row],[report_date]])</f>
        <v>2026</v>
      </c>
      <c r="C12455" s="128">
        <f t="shared" si="581"/>
        <v>1</v>
      </c>
      <c r="D12455" s="136">
        <f t="shared" si="583"/>
        <v>5</v>
      </c>
      <c r="E12455" s="136">
        <f t="shared" si="582"/>
        <v>26</v>
      </c>
      <c r="F12455" s="137" t="s">
        <v>24</v>
      </c>
      <c r="G12455" s="128" t="str">
        <f>VLOOKUP(source[[#This Row],[lending_product_transform]],[3]Mapping!$B$4:$C$37,2,0)</f>
        <v>[Cake] - Cashloan</v>
      </c>
      <c r="H12455" s="128" t="str">
        <f>VLOOKUP(source[[#This Row],[lending_product_transform]],[3]Mapping!$B$3:$D$37,3,0)</f>
        <v>cashloan</v>
      </c>
      <c r="I12455" s="143">
        <v>3576450000</v>
      </c>
    </row>
    <row r="12456" spans="1:9" x14ac:dyDescent="0.2">
      <c r="A12456" s="134">
        <v>46048</v>
      </c>
      <c r="B12456" s="135">
        <f>YEAR(source[[#This Row],[report_date]])</f>
        <v>2026</v>
      </c>
      <c r="C12456" s="128">
        <f t="shared" si="581"/>
        <v>1</v>
      </c>
      <c r="D12456" s="136">
        <f t="shared" si="583"/>
        <v>5</v>
      </c>
      <c r="E12456" s="136">
        <f t="shared" si="582"/>
        <v>26</v>
      </c>
      <c r="F12456" s="137" t="s">
        <v>24</v>
      </c>
      <c r="G12456" s="128" t="str">
        <f>VLOOKUP(source[[#This Row],[lending_product_transform]],[3]Mapping!$B$4:$C$37,2,0)</f>
        <v>[Cake] - Cashloan</v>
      </c>
      <c r="H12456" s="128" t="str">
        <f>VLOOKUP(source[[#This Row],[lending_product_transform]],[3]Mapping!$B$3:$D$37,3,0)</f>
        <v>cashloan</v>
      </c>
      <c r="I12456" s="143">
        <v>1035520000</v>
      </c>
    </row>
    <row r="12457" spans="1:9" x14ac:dyDescent="0.2">
      <c r="A12457" s="134">
        <v>46049</v>
      </c>
      <c r="B12457" s="135">
        <f>YEAR(source[[#This Row],[report_date]])</f>
        <v>2026</v>
      </c>
      <c r="C12457" s="128">
        <f t="shared" si="581"/>
        <v>1</v>
      </c>
      <c r="D12457" s="136">
        <f t="shared" si="583"/>
        <v>5</v>
      </c>
      <c r="E12457" s="136">
        <f t="shared" si="582"/>
        <v>27</v>
      </c>
      <c r="F12457" s="137" t="s">
        <v>24</v>
      </c>
      <c r="G12457" s="128" t="str">
        <f>VLOOKUP(source[[#This Row],[lending_product_transform]],[3]Mapping!$B$4:$C$37,2,0)</f>
        <v>[Cake] - Cashloan</v>
      </c>
      <c r="H12457" s="128" t="str">
        <f>VLOOKUP(source[[#This Row],[lending_product_transform]],[3]Mapping!$B$3:$D$37,3,0)</f>
        <v>cashloan</v>
      </c>
      <c r="I12457" s="143">
        <v>860950000</v>
      </c>
    </row>
    <row r="12458" spans="1:9" x14ac:dyDescent="0.2">
      <c r="A12458" s="134">
        <v>46049</v>
      </c>
      <c r="B12458" s="135">
        <f>YEAR(source[[#This Row],[report_date]])</f>
        <v>2026</v>
      </c>
      <c r="C12458" s="128">
        <f t="shared" si="581"/>
        <v>1</v>
      </c>
      <c r="D12458" s="136">
        <f t="shared" si="583"/>
        <v>5</v>
      </c>
      <c r="E12458" s="136">
        <f t="shared" si="582"/>
        <v>27</v>
      </c>
      <c r="F12458" s="137" t="s">
        <v>24</v>
      </c>
      <c r="G12458" s="128" t="str">
        <f>VLOOKUP(source[[#This Row],[lending_product_transform]],[3]Mapping!$B$4:$C$37,2,0)</f>
        <v>[Cake] - Cashloan</v>
      </c>
      <c r="H12458" s="128" t="str">
        <f>VLOOKUP(source[[#This Row],[lending_product_transform]],[3]Mapping!$B$3:$D$37,3,0)</f>
        <v>cashloan</v>
      </c>
      <c r="I12458" s="143">
        <v>307292331</v>
      </c>
    </row>
    <row r="12459" spans="1:9" x14ac:dyDescent="0.2">
      <c r="A12459" s="134">
        <v>46049</v>
      </c>
      <c r="B12459" s="135">
        <f>YEAR(source[[#This Row],[report_date]])</f>
        <v>2026</v>
      </c>
      <c r="C12459" s="128">
        <f t="shared" si="581"/>
        <v>1</v>
      </c>
      <c r="D12459" s="136">
        <f t="shared" si="583"/>
        <v>5</v>
      </c>
      <c r="E12459" s="136">
        <f t="shared" si="582"/>
        <v>27</v>
      </c>
      <c r="F12459" s="137" t="s">
        <v>24</v>
      </c>
      <c r="G12459" s="128" t="str">
        <f>VLOOKUP(source[[#This Row],[lending_product_transform]],[3]Mapping!$B$4:$C$37,2,0)</f>
        <v>[Cake] - Cashloan</v>
      </c>
      <c r="H12459" s="128" t="str">
        <f>VLOOKUP(source[[#This Row],[lending_product_transform]],[3]Mapping!$B$3:$D$37,3,0)</f>
        <v>cashloan</v>
      </c>
      <c r="I12459" s="143">
        <v>15198910000</v>
      </c>
    </row>
    <row r="12460" spans="1:9" x14ac:dyDescent="0.2">
      <c r="A12460" s="134">
        <v>46049</v>
      </c>
      <c r="B12460" s="135">
        <f>YEAR(source[[#This Row],[report_date]])</f>
        <v>2026</v>
      </c>
      <c r="C12460" s="128">
        <f t="shared" si="581"/>
        <v>1</v>
      </c>
      <c r="D12460" s="136">
        <f t="shared" si="583"/>
        <v>5</v>
      </c>
      <c r="E12460" s="136">
        <f t="shared" si="582"/>
        <v>27</v>
      </c>
      <c r="F12460" s="137" t="s">
        <v>24</v>
      </c>
      <c r="G12460" s="128" t="str">
        <f>VLOOKUP(source[[#This Row],[lending_product_transform]],[3]Mapping!$B$4:$C$37,2,0)</f>
        <v>[Cake] - Cashloan</v>
      </c>
      <c r="H12460" s="128" t="str">
        <f>VLOOKUP(source[[#This Row],[lending_product_transform]],[3]Mapping!$B$3:$D$37,3,0)</f>
        <v>cashloan</v>
      </c>
      <c r="I12460" s="143">
        <v>1750348854</v>
      </c>
    </row>
    <row r="12461" spans="1:9" x14ac:dyDescent="0.2">
      <c r="A12461" s="134">
        <v>46049</v>
      </c>
      <c r="B12461" s="135">
        <f>YEAR(source[[#This Row],[report_date]])</f>
        <v>2026</v>
      </c>
      <c r="C12461" s="128">
        <f t="shared" si="581"/>
        <v>1</v>
      </c>
      <c r="D12461" s="136">
        <f t="shared" si="583"/>
        <v>5</v>
      </c>
      <c r="E12461" s="136">
        <f t="shared" si="582"/>
        <v>27</v>
      </c>
      <c r="F12461" s="137" t="s">
        <v>24</v>
      </c>
      <c r="G12461" s="128" t="str">
        <f>VLOOKUP(source[[#This Row],[lending_product_transform]],[3]Mapping!$B$4:$C$37,2,0)</f>
        <v>[Cake] - Cashloan</v>
      </c>
      <c r="H12461" s="128" t="str">
        <f>VLOOKUP(source[[#This Row],[lending_product_transform]],[3]Mapping!$B$3:$D$37,3,0)</f>
        <v>cashloan</v>
      </c>
      <c r="I12461" s="143">
        <v>13099644000</v>
      </c>
    </row>
    <row r="12462" spans="1:9" x14ac:dyDescent="0.2">
      <c r="A12462" s="134">
        <v>46049</v>
      </c>
      <c r="B12462" s="135">
        <f>YEAR(source[[#This Row],[report_date]])</f>
        <v>2026</v>
      </c>
      <c r="C12462" s="128">
        <f t="shared" si="581"/>
        <v>1</v>
      </c>
      <c r="D12462" s="136">
        <f t="shared" si="583"/>
        <v>5</v>
      </c>
      <c r="E12462" s="136">
        <f t="shared" si="582"/>
        <v>27</v>
      </c>
      <c r="F12462" s="137" t="s">
        <v>24</v>
      </c>
      <c r="G12462" s="128" t="str">
        <f>VLOOKUP(source[[#This Row],[lending_product_transform]],[3]Mapping!$B$4:$C$37,2,0)</f>
        <v>[Cake] - Cashloan</v>
      </c>
      <c r="H12462" s="128" t="str">
        <f>VLOOKUP(source[[#This Row],[lending_product_transform]],[3]Mapping!$B$3:$D$37,3,0)</f>
        <v>cashloan</v>
      </c>
      <c r="I12462" s="143">
        <v>12824565</v>
      </c>
    </row>
    <row r="12463" spans="1:9" x14ac:dyDescent="0.2">
      <c r="A12463" s="134">
        <v>46049</v>
      </c>
      <c r="B12463" s="135">
        <f>YEAR(source[[#This Row],[report_date]])</f>
        <v>2026</v>
      </c>
      <c r="C12463" s="128">
        <f t="shared" si="581"/>
        <v>1</v>
      </c>
      <c r="D12463" s="136">
        <f t="shared" si="583"/>
        <v>5</v>
      </c>
      <c r="E12463" s="136">
        <f t="shared" si="582"/>
        <v>27</v>
      </c>
      <c r="F12463" s="137" t="s">
        <v>24</v>
      </c>
      <c r="G12463" s="128" t="str">
        <f>VLOOKUP(source[[#This Row],[lending_product_transform]],[3]Mapping!$B$4:$C$37,2,0)</f>
        <v>[Cake] - Cashloan</v>
      </c>
      <c r="H12463" s="128" t="str">
        <f>VLOOKUP(source[[#This Row],[lending_product_transform]],[3]Mapping!$B$3:$D$37,3,0)</f>
        <v>cashloan</v>
      </c>
      <c r="I12463" s="143">
        <v>90000000</v>
      </c>
    </row>
    <row r="12464" spans="1:9" x14ac:dyDescent="0.2">
      <c r="A12464" s="134">
        <v>46049</v>
      </c>
      <c r="B12464" s="135">
        <f>YEAR(source[[#This Row],[report_date]])</f>
        <v>2026</v>
      </c>
      <c r="C12464" s="128">
        <f t="shared" si="581"/>
        <v>1</v>
      </c>
      <c r="D12464" s="136">
        <f t="shared" si="583"/>
        <v>5</v>
      </c>
      <c r="E12464" s="136">
        <f t="shared" si="582"/>
        <v>27</v>
      </c>
      <c r="F12464" s="137" t="s">
        <v>24</v>
      </c>
      <c r="G12464" s="128" t="str">
        <f>VLOOKUP(source[[#This Row],[lending_product_transform]],[3]Mapping!$B$4:$C$37,2,0)</f>
        <v>[Cake] - Cashloan</v>
      </c>
      <c r="H12464" s="128" t="str">
        <f>VLOOKUP(source[[#This Row],[lending_product_transform]],[3]Mapping!$B$3:$D$37,3,0)</f>
        <v>cashloan</v>
      </c>
      <c r="I12464" s="143">
        <v>4565830000</v>
      </c>
    </row>
    <row r="12465" spans="1:9" x14ac:dyDescent="0.2">
      <c r="A12465" s="134">
        <v>46049</v>
      </c>
      <c r="B12465" s="135">
        <f>YEAR(source[[#This Row],[report_date]])</f>
        <v>2026</v>
      </c>
      <c r="C12465" s="128">
        <f t="shared" si="581"/>
        <v>1</v>
      </c>
      <c r="D12465" s="136">
        <f t="shared" si="583"/>
        <v>5</v>
      </c>
      <c r="E12465" s="136">
        <f t="shared" si="582"/>
        <v>27</v>
      </c>
      <c r="F12465" s="137" t="s">
        <v>24</v>
      </c>
      <c r="G12465" s="128" t="str">
        <f>VLOOKUP(source[[#This Row],[lending_product_transform]],[3]Mapping!$B$4:$C$37,2,0)</f>
        <v>[Cake] - Cashloan</v>
      </c>
      <c r="H12465" s="128" t="str">
        <f>VLOOKUP(source[[#This Row],[lending_product_transform]],[3]Mapping!$B$3:$D$37,3,0)</f>
        <v>cashloan</v>
      </c>
      <c r="I12465" s="143">
        <v>1184310000</v>
      </c>
    </row>
    <row r="12466" spans="1:9" x14ac:dyDescent="0.2">
      <c r="A12466" s="134">
        <v>46049</v>
      </c>
      <c r="B12466" s="135">
        <f>YEAR(source[[#This Row],[report_date]])</f>
        <v>2026</v>
      </c>
      <c r="C12466" s="128">
        <f t="shared" si="581"/>
        <v>1</v>
      </c>
      <c r="D12466" s="136">
        <f t="shared" si="583"/>
        <v>5</v>
      </c>
      <c r="E12466" s="136">
        <f t="shared" si="582"/>
        <v>27</v>
      </c>
      <c r="F12466" s="137" t="s">
        <v>24</v>
      </c>
      <c r="G12466" s="128" t="str">
        <f>VLOOKUP(source[[#This Row],[lending_product_transform]],[3]Mapping!$B$4:$C$37,2,0)</f>
        <v>[Cake] - Cashloan</v>
      </c>
      <c r="H12466" s="128" t="str">
        <f>VLOOKUP(source[[#This Row],[lending_product_transform]],[3]Mapping!$B$3:$D$37,3,0)</f>
        <v>cashloan</v>
      </c>
      <c r="I12466" s="143">
        <v>6093112</v>
      </c>
    </row>
    <row r="12467" spans="1:9" x14ac:dyDescent="0.2">
      <c r="A12467" s="134">
        <v>46049</v>
      </c>
      <c r="B12467" s="135">
        <f>YEAR(source[[#This Row],[report_date]])</f>
        <v>2026</v>
      </c>
      <c r="C12467" s="128">
        <f t="shared" si="581"/>
        <v>1</v>
      </c>
      <c r="D12467" s="136">
        <f t="shared" si="583"/>
        <v>5</v>
      </c>
      <c r="E12467" s="136">
        <f t="shared" si="582"/>
        <v>27</v>
      </c>
      <c r="F12467" s="137" t="s">
        <v>24</v>
      </c>
      <c r="G12467" s="128" t="str">
        <f>VLOOKUP(source[[#This Row],[lending_product_transform]],[3]Mapping!$B$4:$C$37,2,0)</f>
        <v>[Cake] - Cashloan</v>
      </c>
      <c r="H12467" s="128" t="str">
        <f>VLOOKUP(source[[#This Row],[lending_product_transform]],[3]Mapping!$B$3:$D$37,3,0)</f>
        <v>cashloan</v>
      </c>
      <c r="I12467" s="143">
        <v>1097345636</v>
      </c>
    </row>
    <row r="12468" spans="1:9" x14ac:dyDescent="0.2">
      <c r="A12468" s="134">
        <v>46049</v>
      </c>
      <c r="B12468" s="135">
        <f>YEAR(source[[#This Row],[report_date]])</f>
        <v>2026</v>
      </c>
      <c r="C12468" s="128">
        <f t="shared" si="581"/>
        <v>1</v>
      </c>
      <c r="D12468" s="136">
        <f t="shared" si="583"/>
        <v>5</v>
      </c>
      <c r="E12468" s="136">
        <f t="shared" si="582"/>
        <v>27</v>
      </c>
      <c r="F12468" s="137" t="s">
        <v>24</v>
      </c>
      <c r="G12468" s="128" t="str">
        <f>VLOOKUP(source[[#This Row],[lending_product_transform]],[3]Mapping!$B$4:$C$37,2,0)</f>
        <v>[Cake] - Cashloan</v>
      </c>
      <c r="H12468" s="128" t="str">
        <f>VLOOKUP(source[[#This Row],[lending_product_transform]],[3]Mapping!$B$3:$D$37,3,0)</f>
        <v>cashloan</v>
      </c>
      <c r="I12468" s="143">
        <v>0</v>
      </c>
    </row>
    <row r="12469" spans="1:9" x14ac:dyDescent="0.2">
      <c r="A12469" s="134">
        <v>46049</v>
      </c>
      <c r="B12469" s="135">
        <f>YEAR(source[[#This Row],[report_date]])</f>
        <v>2026</v>
      </c>
      <c r="C12469" s="128">
        <f t="shared" si="581"/>
        <v>1</v>
      </c>
      <c r="D12469" s="136">
        <f t="shared" si="583"/>
        <v>5</v>
      </c>
      <c r="E12469" s="136">
        <f t="shared" si="582"/>
        <v>27</v>
      </c>
      <c r="F12469" s="137" t="s">
        <v>24</v>
      </c>
      <c r="G12469" s="128" t="str">
        <f>VLOOKUP(source[[#This Row],[lending_product_transform]],[3]Mapping!$B$4:$C$37,2,0)</f>
        <v>[Cake] - Cashloan</v>
      </c>
      <c r="H12469" s="128" t="str">
        <f>VLOOKUP(source[[#This Row],[lending_product_transform]],[3]Mapping!$B$3:$D$37,3,0)</f>
        <v>cashloan</v>
      </c>
      <c r="I12469" s="143">
        <v>269100000</v>
      </c>
    </row>
    <row r="12470" spans="1:9" x14ac:dyDescent="0.2">
      <c r="A12470" s="134">
        <v>46049</v>
      </c>
      <c r="B12470" s="135">
        <f>YEAR(source[[#This Row],[report_date]])</f>
        <v>2026</v>
      </c>
      <c r="C12470" s="128">
        <f t="shared" ref="C12470:C12533" si="584">MONTH(A12470)</f>
        <v>1</v>
      </c>
      <c r="D12470" s="136">
        <f t="shared" si="583"/>
        <v>5</v>
      </c>
      <c r="E12470" s="136">
        <f t="shared" ref="E12470:E12533" si="585">DAY(A12470)</f>
        <v>27</v>
      </c>
      <c r="F12470" s="137" t="s">
        <v>24</v>
      </c>
      <c r="G12470" s="128" t="str">
        <f>VLOOKUP(source[[#This Row],[lending_product_transform]],[3]Mapping!$B$4:$C$37,2,0)</f>
        <v>[Cake] - Cashloan</v>
      </c>
      <c r="H12470" s="128" t="str">
        <f>VLOOKUP(source[[#This Row],[lending_product_transform]],[3]Mapping!$B$3:$D$37,3,0)</f>
        <v>cashloan</v>
      </c>
      <c r="I12470" s="143">
        <v>50000000</v>
      </c>
    </row>
    <row r="12471" spans="1:9" x14ac:dyDescent="0.2">
      <c r="A12471" s="134">
        <v>46049</v>
      </c>
      <c r="B12471" s="135">
        <f>YEAR(source[[#This Row],[report_date]])</f>
        <v>2026</v>
      </c>
      <c r="C12471" s="128">
        <f t="shared" si="584"/>
        <v>1</v>
      </c>
      <c r="D12471" s="136">
        <f t="shared" si="583"/>
        <v>5</v>
      </c>
      <c r="E12471" s="136">
        <f t="shared" si="585"/>
        <v>27</v>
      </c>
      <c r="F12471" s="137" t="s">
        <v>24</v>
      </c>
      <c r="G12471" s="128" t="str">
        <f>VLOOKUP(source[[#This Row],[lending_product_transform]],[3]Mapping!$B$4:$C$37,2,0)</f>
        <v>[Cake] - Cashloan</v>
      </c>
      <c r="H12471" s="128" t="str">
        <f>VLOOKUP(source[[#This Row],[lending_product_transform]],[3]Mapping!$B$3:$D$37,3,0)</f>
        <v>cashloan</v>
      </c>
      <c r="I12471" s="143">
        <v>16055550000</v>
      </c>
    </row>
    <row r="12472" spans="1:9" x14ac:dyDescent="0.2">
      <c r="A12472" s="134">
        <v>46049</v>
      </c>
      <c r="B12472" s="135">
        <f>YEAR(source[[#This Row],[report_date]])</f>
        <v>2026</v>
      </c>
      <c r="C12472" s="128">
        <f t="shared" si="584"/>
        <v>1</v>
      </c>
      <c r="D12472" s="136">
        <f t="shared" si="583"/>
        <v>5</v>
      </c>
      <c r="E12472" s="136">
        <f t="shared" si="585"/>
        <v>27</v>
      </c>
      <c r="F12472" s="137" t="s">
        <v>24</v>
      </c>
      <c r="G12472" s="128" t="str">
        <f>VLOOKUP(source[[#This Row],[lending_product_transform]],[3]Mapping!$B$4:$C$37,2,0)</f>
        <v>[Cake] - Cashloan</v>
      </c>
      <c r="H12472" s="128" t="str">
        <f>VLOOKUP(source[[#This Row],[lending_product_transform]],[3]Mapping!$B$3:$D$37,3,0)</f>
        <v>cashloan</v>
      </c>
      <c r="I12472" s="143">
        <v>0</v>
      </c>
    </row>
    <row r="12473" spans="1:9" x14ac:dyDescent="0.2">
      <c r="A12473" s="134">
        <v>46049</v>
      </c>
      <c r="B12473" s="135">
        <f>YEAR(source[[#This Row],[report_date]])</f>
        <v>2026</v>
      </c>
      <c r="C12473" s="128">
        <f t="shared" si="584"/>
        <v>1</v>
      </c>
      <c r="D12473" s="136">
        <f t="shared" si="583"/>
        <v>5</v>
      </c>
      <c r="E12473" s="136">
        <f t="shared" si="585"/>
        <v>27</v>
      </c>
      <c r="F12473" s="137" t="s">
        <v>24</v>
      </c>
      <c r="G12473" s="128" t="str">
        <f>VLOOKUP(source[[#This Row],[lending_product_transform]],[3]Mapping!$B$4:$C$37,2,0)</f>
        <v>[Cake] - Cashloan</v>
      </c>
      <c r="H12473" s="128" t="str">
        <f>VLOOKUP(source[[#This Row],[lending_product_transform]],[3]Mapping!$B$3:$D$37,3,0)</f>
        <v>cashloan</v>
      </c>
      <c r="I12473" s="143">
        <v>0</v>
      </c>
    </row>
    <row r="12474" spans="1:9" x14ac:dyDescent="0.2">
      <c r="A12474" s="134">
        <v>46049</v>
      </c>
      <c r="B12474" s="135">
        <f>YEAR(source[[#This Row],[report_date]])</f>
        <v>2026</v>
      </c>
      <c r="C12474" s="128">
        <f t="shared" si="584"/>
        <v>1</v>
      </c>
      <c r="D12474" s="136">
        <f t="shared" si="583"/>
        <v>5</v>
      </c>
      <c r="E12474" s="136">
        <f t="shared" si="585"/>
        <v>27</v>
      </c>
      <c r="F12474" s="137" t="s">
        <v>24</v>
      </c>
      <c r="G12474" s="128" t="str">
        <f>VLOOKUP(source[[#This Row],[lending_product_transform]],[3]Mapping!$B$4:$C$37,2,0)</f>
        <v>[Cake] - Cashloan</v>
      </c>
      <c r="H12474" s="128" t="str">
        <f>VLOOKUP(source[[#This Row],[lending_product_transform]],[3]Mapping!$B$3:$D$37,3,0)</f>
        <v>cashloan</v>
      </c>
      <c r="I12474" s="143">
        <v>0</v>
      </c>
    </row>
    <row r="12475" spans="1:9" x14ac:dyDescent="0.2">
      <c r="A12475" s="134">
        <v>46049</v>
      </c>
      <c r="B12475" s="135">
        <f>YEAR(source[[#This Row],[report_date]])</f>
        <v>2026</v>
      </c>
      <c r="C12475" s="128">
        <f t="shared" si="584"/>
        <v>1</v>
      </c>
      <c r="D12475" s="136">
        <f t="shared" si="583"/>
        <v>5</v>
      </c>
      <c r="E12475" s="136">
        <f t="shared" si="585"/>
        <v>27</v>
      </c>
      <c r="F12475" s="137" t="s">
        <v>24</v>
      </c>
      <c r="G12475" s="128" t="str">
        <f>VLOOKUP(source[[#This Row],[lending_product_transform]],[3]Mapping!$B$4:$C$37,2,0)</f>
        <v>[Cake] - Cashloan</v>
      </c>
      <c r="H12475" s="128" t="str">
        <f>VLOOKUP(source[[#This Row],[lending_product_transform]],[3]Mapping!$B$3:$D$37,3,0)</f>
        <v>cashloan</v>
      </c>
      <c r="I12475" s="143">
        <v>0</v>
      </c>
    </row>
    <row r="12476" spans="1:9" x14ac:dyDescent="0.2">
      <c r="A12476" s="134">
        <v>46049</v>
      </c>
      <c r="B12476" s="135">
        <f>YEAR(source[[#This Row],[report_date]])</f>
        <v>2026</v>
      </c>
      <c r="C12476" s="128">
        <f t="shared" si="584"/>
        <v>1</v>
      </c>
      <c r="D12476" s="136">
        <f t="shared" si="583"/>
        <v>5</v>
      </c>
      <c r="E12476" s="136">
        <f t="shared" si="585"/>
        <v>27</v>
      </c>
      <c r="F12476" s="137" t="s">
        <v>24</v>
      </c>
      <c r="G12476" s="128" t="str">
        <f>VLOOKUP(source[[#This Row],[lending_product_transform]],[3]Mapping!$B$4:$C$37,2,0)</f>
        <v>[Cake] - Cashloan</v>
      </c>
      <c r="H12476" s="128" t="str">
        <f>VLOOKUP(source[[#This Row],[lending_product_transform]],[3]Mapping!$B$3:$D$37,3,0)</f>
        <v>cashloan</v>
      </c>
      <c r="I12476" s="143">
        <v>10637892000</v>
      </c>
    </row>
    <row r="12477" spans="1:9" x14ac:dyDescent="0.2">
      <c r="A12477" s="134">
        <v>46049</v>
      </c>
      <c r="B12477" s="135">
        <f>YEAR(source[[#This Row],[report_date]])</f>
        <v>2026</v>
      </c>
      <c r="C12477" s="128">
        <f t="shared" si="584"/>
        <v>1</v>
      </c>
      <c r="D12477" s="136">
        <f t="shared" si="583"/>
        <v>5</v>
      </c>
      <c r="E12477" s="136">
        <f t="shared" si="585"/>
        <v>27</v>
      </c>
      <c r="F12477" s="137" t="s">
        <v>24</v>
      </c>
      <c r="G12477" s="128" t="str">
        <f>VLOOKUP(source[[#This Row],[lending_product_transform]],[3]Mapping!$B$4:$C$37,2,0)</f>
        <v>[Cake] - Cashloan</v>
      </c>
      <c r="H12477" s="128" t="str">
        <f>VLOOKUP(source[[#This Row],[lending_product_transform]],[3]Mapping!$B$3:$D$37,3,0)</f>
        <v>cashloan</v>
      </c>
      <c r="I12477" s="143">
        <v>143015462</v>
      </c>
    </row>
    <row r="12478" spans="1:9" x14ac:dyDescent="0.2">
      <c r="A12478" s="134">
        <v>46049</v>
      </c>
      <c r="B12478" s="135">
        <f>YEAR(source[[#This Row],[report_date]])</f>
        <v>2026</v>
      </c>
      <c r="C12478" s="128">
        <f t="shared" si="584"/>
        <v>1</v>
      </c>
      <c r="D12478" s="136">
        <f t="shared" si="583"/>
        <v>5</v>
      </c>
      <c r="E12478" s="136">
        <f t="shared" si="585"/>
        <v>27</v>
      </c>
      <c r="F12478" s="137" t="s">
        <v>24</v>
      </c>
      <c r="G12478" s="128" t="str">
        <f>VLOOKUP(source[[#This Row],[lending_product_transform]],[3]Mapping!$B$4:$C$37,2,0)</f>
        <v>[Cake] - Cashloan</v>
      </c>
      <c r="H12478" s="128" t="str">
        <f>VLOOKUP(source[[#This Row],[lending_product_transform]],[3]Mapping!$B$3:$D$37,3,0)</f>
        <v>cashloan</v>
      </c>
      <c r="I12478" s="143">
        <v>42000000</v>
      </c>
    </row>
    <row r="12479" spans="1:9" x14ac:dyDescent="0.2">
      <c r="A12479" s="134">
        <v>46049</v>
      </c>
      <c r="B12479" s="135">
        <f>YEAR(source[[#This Row],[report_date]])</f>
        <v>2026</v>
      </c>
      <c r="C12479" s="128">
        <f t="shared" si="584"/>
        <v>1</v>
      </c>
      <c r="D12479" s="136">
        <f t="shared" si="583"/>
        <v>5</v>
      </c>
      <c r="E12479" s="136">
        <f t="shared" si="585"/>
        <v>27</v>
      </c>
      <c r="F12479" s="137" t="s">
        <v>24</v>
      </c>
      <c r="G12479" s="128" t="str">
        <f>VLOOKUP(source[[#This Row],[lending_product_transform]],[3]Mapping!$B$4:$C$37,2,0)</f>
        <v>[Cake] - Cashloan</v>
      </c>
      <c r="H12479" s="128" t="str">
        <f>VLOOKUP(source[[#This Row],[lending_product_transform]],[3]Mapping!$B$3:$D$37,3,0)</f>
        <v>cashloan</v>
      </c>
      <c r="I12479" s="143">
        <v>29000000</v>
      </c>
    </row>
    <row r="12480" spans="1:9" x14ac:dyDescent="0.2">
      <c r="A12480" s="134">
        <v>46049</v>
      </c>
      <c r="B12480" s="135">
        <f>YEAR(source[[#This Row],[report_date]])</f>
        <v>2026</v>
      </c>
      <c r="C12480" s="128">
        <f t="shared" si="584"/>
        <v>1</v>
      </c>
      <c r="D12480" s="136">
        <f t="shared" si="583"/>
        <v>5</v>
      </c>
      <c r="E12480" s="136">
        <f t="shared" si="585"/>
        <v>27</v>
      </c>
      <c r="F12480" s="137" t="s">
        <v>24</v>
      </c>
      <c r="G12480" s="128" t="str">
        <f>VLOOKUP(source[[#This Row],[lending_product_transform]],[3]Mapping!$B$4:$C$37,2,0)</f>
        <v>[Cake] - Cashloan</v>
      </c>
      <c r="H12480" s="128" t="str">
        <f>VLOOKUP(source[[#This Row],[lending_product_transform]],[3]Mapping!$B$3:$D$37,3,0)</f>
        <v>cashloan</v>
      </c>
      <c r="I12480" s="143">
        <v>802390000</v>
      </c>
    </row>
    <row r="12481" spans="1:9" x14ac:dyDescent="0.2">
      <c r="A12481" s="134">
        <v>46049</v>
      </c>
      <c r="B12481" s="135">
        <f>YEAR(source[[#This Row],[report_date]])</f>
        <v>2026</v>
      </c>
      <c r="C12481" s="128">
        <f t="shared" si="584"/>
        <v>1</v>
      </c>
      <c r="D12481" s="136">
        <f t="shared" si="583"/>
        <v>5</v>
      </c>
      <c r="E12481" s="136">
        <f t="shared" si="585"/>
        <v>27</v>
      </c>
      <c r="F12481" s="137" t="s">
        <v>24</v>
      </c>
      <c r="G12481" s="128" t="str">
        <f>VLOOKUP(source[[#This Row],[lending_product_transform]],[3]Mapping!$B$4:$C$37,2,0)</f>
        <v>[Cake] - Cashloan</v>
      </c>
      <c r="H12481" s="128" t="str">
        <f>VLOOKUP(source[[#This Row],[lending_product_transform]],[3]Mapping!$B$3:$D$37,3,0)</f>
        <v>cashloan</v>
      </c>
      <c r="I12481" s="143">
        <v>308448000</v>
      </c>
    </row>
    <row r="12482" spans="1:9" x14ac:dyDescent="0.2">
      <c r="A12482" s="134">
        <v>46049</v>
      </c>
      <c r="B12482" s="135">
        <f>YEAR(source[[#This Row],[report_date]])</f>
        <v>2026</v>
      </c>
      <c r="C12482" s="128">
        <f t="shared" si="584"/>
        <v>1</v>
      </c>
      <c r="D12482" s="136">
        <f t="shared" si="583"/>
        <v>5</v>
      </c>
      <c r="E12482" s="136">
        <f t="shared" si="585"/>
        <v>27</v>
      </c>
      <c r="F12482" s="137" t="s">
        <v>24</v>
      </c>
      <c r="G12482" s="128" t="str">
        <f>VLOOKUP(source[[#This Row],[lending_product_transform]],[3]Mapping!$B$4:$C$37,2,0)</f>
        <v>[Cake] - Cashloan</v>
      </c>
      <c r="H12482" s="128" t="str">
        <f>VLOOKUP(source[[#This Row],[lending_product_transform]],[3]Mapping!$B$3:$D$37,3,0)</f>
        <v>cashloan</v>
      </c>
      <c r="I12482" s="143">
        <v>407241449</v>
      </c>
    </row>
    <row r="12483" spans="1:9" x14ac:dyDescent="0.2">
      <c r="A12483" s="134">
        <v>46049</v>
      </c>
      <c r="B12483" s="135">
        <f>YEAR(source[[#This Row],[report_date]])</f>
        <v>2026</v>
      </c>
      <c r="C12483" s="128">
        <f t="shared" si="584"/>
        <v>1</v>
      </c>
      <c r="D12483" s="136">
        <f t="shared" si="583"/>
        <v>5</v>
      </c>
      <c r="E12483" s="136">
        <f t="shared" si="585"/>
        <v>27</v>
      </c>
      <c r="F12483" s="137" t="s">
        <v>24</v>
      </c>
      <c r="G12483" s="128" t="str">
        <f>VLOOKUP(source[[#This Row],[lending_product_transform]],[3]Mapping!$B$4:$C$37,2,0)</f>
        <v>[Cake] - Cashloan</v>
      </c>
      <c r="H12483" s="128" t="str">
        <f>VLOOKUP(source[[#This Row],[lending_product_transform]],[3]Mapping!$B$3:$D$37,3,0)</f>
        <v>cashloan</v>
      </c>
      <c r="I12483" s="143">
        <v>3536010000</v>
      </c>
    </row>
    <row r="12484" spans="1:9" x14ac:dyDescent="0.2">
      <c r="A12484" s="134">
        <v>46049</v>
      </c>
      <c r="B12484" s="135">
        <f>YEAR(source[[#This Row],[report_date]])</f>
        <v>2026</v>
      </c>
      <c r="C12484" s="128">
        <f t="shared" si="584"/>
        <v>1</v>
      </c>
      <c r="D12484" s="136">
        <f t="shared" si="583"/>
        <v>5</v>
      </c>
      <c r="E12484" s="136">
        <f t="shared" si="585"/>
        <v>27</v>
      </c>
      <c r="F12484" s="137" t="s">
        <v>24</v>
      </c>
      <c r="G12484" s="128" t="str">
        <f>VLOOKUP(source[[#This Row],[lending_product_transform]],[3]Mapping!$B$4:$C$37,2,0)</f>
        <v>[Cake] - Cashloan</v>
      </c>
      <c r="H12484" s="128" t="str">
        <f>VLOOKUP(source[[#This Row],[lending_product_transform]],[3]Mapping!$B$3:$D$37,3,0)</f>
        <v>cashloan</v>
      </c>
      <c r="I12484" s="143">
        <v>1021120000</v>
      </c>
    </row>
    <row r="12485" spans="1:9" x14ac:dyDescent="0.2">
      <c r="A12485" s="134">
        <v>46050</v>
      </c>
      <c r="B12485" s="135">
        <f>YEAR(source[[#This Row],[report_date]])</f>
        <v>2026</v>
      </c>
      <c r="C12485" s="128">
        <f t="shared" si="584"/>
        <v>1</v>
      </c>
      <c r="D12485" s="136">
        <f t="shared" si="583"/>
        <v>5</v>
      </c>
      <c r="E12485" s="136">
        <f t="shared" si="585"/>
        <v>28</v>
      </c>
      <c r="F12485" s="137" t="s">
        <v>24</v>
      </c>
      <c r="G12485" s="128" t="str">
        <f>VLOOKUP(source[[#This Row],[lending_product_transform]],[3]Mapping!$B$4:$C$37,2,0)</f>
        <v>[Cake] - Cashloan</v>
      </c>
      <c r="H12485" s="128" t="str">
        <f>VLOOKUP(source[[#This Row],[lending_product_transform]],[3]Mapping!$B$3:$D$37,3,0)</f>
        <v>cashloan</v>
      </c>
      <c r="I12485" s="143">
        <v>899600000</v>
      </c>
    </row>
    <row r="12486" spans="1:9" x14ac:dyDescent="0.2">
      <c r="A12486" s="134">
        <v>46050</v>
      </c>
      <c r="B12486" s="135">
        <f>YEAR(source[[#This Row],[report_date]])</f>
        <v>2026</v>
      </c>
      <c r="C12486" s="128">
        <f t="shared" si="584"/>
        <v>1</v>
      </c>
      <c r="D12486" s="136">
        <f t="shared" si="583"/>
        <v>5</v>
      </c>
      <c r="E12486" s="136">
        <f t="shared" si="585"/>
        <v>28</v>
      </c>
      <c r="F12486" s="137" t="s">
        <v>24</v>
      </c>
      <c r="G12486" s="128" t="str">
        <f>VLOOKUP(source[[#This Row],[lending_product_transform]],[3]Mapping!$B$4:$C$37,2,0)</f>
        <v>[Cake] - Cashloan</v>
      </c>
      <c r="H12486" s="128" t="str">
        <f>VLOOKUP(source[[#This Row],[lending_product_transform]],[3]Mapping!$B$3:$D$37,3,0)</f>
        <v>cashloan</v>
      </c>
      <c r="I12486" s="143">
        <v>313527514</v>
      </c>
    </row>
    <row r="12487" spans="1:9" x14ac:dyDescent="0.2">
      <c r="A12487" s="134">
        <v>46050</v>
      </c>
      <c r="B12487" s="135">
        <f>YEAR(source[[#This Row],[report_date]])</f>
        <v>2026</v>
      </c>
      <c r="C12487" s="128">
        <f t="shared" si="584"/>
        <v>1</v>
      </c>
      <c r="D12487" s="136">
        <f t="shared" si="583"/>
        <v>5</v>
      </c>
      <c r="E12487" s="136">
        <f t="shared" si="585"/>
        <v>28</v>
      </c>
      <c r="F12487" s="137" t="s">
        <v>24</v>
      </c>
      <c r="G12487" s="128" t="str">
        <f>VLOOKUP(source[[#This Row],[lending_product_transform]],[3]Mapping!$B$4:$C$37,2,0)</f>
        <v>[Cake] - Cashloan</v>
      </c>
      <c r="H12487" s="128" t="str">
        <f>VLOOKUP(source[[#This Row],[lending_product_transform]],[3]Mapping!$B$3:$D$37,3,0)</f>
        <v>cashloan</v>
      </c>
      <c r="I12487" s="143">
        <v>16788790000</v>
      </c>
    </row>
    <row r="12488" spans="1:9" x14ac:dyDescent="0.2">
      <c r="A12488" s="134">
        <v>46050</v>
      </c>
      <c r="B12488" s="135">
        <f>YEAR(source[[#This Row],[report_date]])</f>
        <v>2026</v>
      </c>
      <c r="C12488" s="128">
        <f t="shared" si="584"/>
        <v>1</v>
      </c>
      <c r="D12488" s="136">
        <f t="shared" si="583"/>
        <v>5</v>
      </c>
      <c r="E12488" s="136">
        <f t="shared" si="585"/>
        <v>28</v>
      </c>
      <c r="F12488" s="137" t="s">
        <v>24</v>
      </c>
      <c r="G12488" s="128" t="str">
        <f>VLOOKUP(source[[#This Row],[lending_product_transform]],[3]Mapping!$B$4:$C$37,2,0)</f>
        <v>[Cake] - Cashloan</v>
      </c>
      <c r="H12488" s="128" t="str">
        <f>VLOOKUP(source[[#This Row],[lending_product_transform]],[3]Mapping!$B$3:$D$37,3,0)</f>
        <v>cashloan</v>
      </c>
      <c r="I12488" s="143">
        <v>2143002804</v>
      </c>
    </row>
    <row r="12489" spans="1:9" x14ac:dyDescent="0.2">
      <c r="A12489" s="134">
        <v>46050</v>
      </c>
      <c r="B12489" s="135">
        <f>YEAR(source[[#This Row],[report_date]])</f>
        <v>2026</v>
      </c>
      <c r="C12489" s="128">
        <f t="shared" si="584"/>
        <v>1</v>
      </c>
      <c r="D12489" s="136">
        <f t="shared" si="583"/>
        <v>5</v>
      </c>
      <c r="E12489" s="136">
        <f t="shared" si="585"/>
        <v>28</v>
      </c>
      <c r="F12489" s="137" t="s">
        <v>24</v>
      </c>
      <c r="G12489" s="128" t="str">
        <f>VLOOKUP(source[[#This Row],[lending_product_transform]],[3]Mapping!$B$4:$C$37,2,0)</f>
        <v>[Cake] - Cashloan</v>
      </c>
      <c r="H12489" s="128" t="str">
        <f>VLOOKUP(source[[#This Row],[lending_product_transform]],[3]Mapping!$B$3:$D$37,3,0)</f>
        <v>cashloan</v>
      </c>
      <c r="I12489" s="143">
        <v>12049560000</v>
      </c>
    </row>
    <row r="12490" spans="1:9" x14ac:dyDescent="0.2">
      <c r="A12490" s="134">
        <v>46050</v>
      </c>
      <c r="B12490" s="135">
        <f>YEAR(source[[#This Row],[report_date]])</f>
        <v>2026</v>
      </c>
      <c r="C12490" s="128">
        <f t="shared" si="584"/>
        <v>1</v>
      </c>
      <c r="D12490" s="136">
        <f t="shared" si="583"/>
        <v>5</v>
      </c>
      <c r="E12490" s="136">
        <f t="shared" si="585"/>
        <v>28</v>
      </c>
      <c r="F12490" s="137" t="s">
        <v>24</v>
      </c>
      <c r="G12490" s="128" t="str">
        <f>VLOOKUP(source[[#This Row],[lending_product_transform]],[3]Mapping!$B$4:$C$37,2,0)</f>
        <v>[Cake] - Cashloan</v>
      </c>
      <c r="H12490" s="128" t="str">
        <f>VLOOKUP(source[[#This Row],[lending_product_transform]],[3]Mapping!$B$3:$D$37,3,0)</f>
        <v>cashloan</v>
      </c>
      <c r="I12490" s="143">
        <v>6050161</v>
      </c>
    </row>
    <row r="12491" spans="1:9" x14ac:dyDescent="0.2">
      <c r="A12491" s="134">
        <v>46050</v>
      </c>
      <c r="B12491" s="135">
        <f>YEAR(source[[#This Row],[report_date]])</f>
        <v>2026</v>
      </c>
      <c r="C12491" s="128">
        <f t="shared" si="584"/>
        <v>1</v>
      </c>
      <c r="D12491" s="136">
        <f t="shared" si="583"/>
        <v>5</v>
      </c>
      <c r="E12491" s="136">
        <f t="shared" si="585"/>
        <v>28</v>
      </c>
      <c r="F12491" s="137" t="s">
        <v>24</v>
      </c>
      <c r="G12491" s="128" t="str">
        <f>VLOOKUP(source[[#This Row],[lending_product_transform]],[3]Mapping!$B$4:$C$37,2,0)</f>
        <v>[Cake] - Cashloan</v>
      </c>
      <c r="H12491" s="128" t="str">
        <f>VLOOKUP(source[[#This Row],[lending_product_transform]],[3]Mapping!$B$3:$D$37,3,0)</f>
        <v>cashloan</v>
      </c>
      <c r="I12491" s="143">
        <v>0</v>
      </c>
    </row>
    <row r="12492" spans="1:9" x14ac:dyDescent="0.2">
      <c r="A12492" s="134">
        <v>46050</v>
      </c>
      <c r="B12492" s="135">
        <f>YEAR(source[[#This Row],[report_date]])</f>
        <v>2026</v>
      </c>
      <c r="C12492" s="128">
        <f t="shared" si="584"/>
        <v>1</v>
      </c>
      <c r="D12492" s="136">
        <f t="shared" si="583"/>
        <v>5</v>
      </c>
      <c r="E12492" s="136">
        <f t="shared" si="585"/>
        <v>28</v>
      </c>
      <c r="F12492" s="137" t="s">
        <v>24</v>
      </c>
      <c r="G12492" s="128" t="str">
        <f>VLOOKUP(source[[#This Row],[lending_product_transform]],[3]Mapping!$B$4:$C$37,2,0)</f>
        <v>[Cake] - Cashloan</v>
      </c>
      <c r="H12492" s="128" t="str">
        <f>VLOOKUP(source[[#This Row],[lending_product_transform]],[3]Mapping!$B$3:$D$37,3,0)</f>
        <v>cashloan</v>
      </c>
      <c r="I12492" s="143">
        <v>4504150000</v>
      </c>
    </row>
    <row r="12493" spans="1:9" x14ac:dyDescent="0.2">
      <c r="A12493" s="134">
        <v>46050</v>
      </c>
      <c r="B12493" s="135">
        <f>YEAR(source[[#This Row],[report_date]])</f>
        <v>2026</v>
      </c>
      <c r="C12493" s="128">
        <f t="shared" si="584"/>
        <v>1</v>
      </c>
      <c r="D12493" s="136">
        <f t="shared" si="583"/>
        <v>5</v>
      </c>
      <c r="E12493" s="136">
        <f t="shared" si="585"/>
        <v>28</v>
      </c>
      <c r="F12493" s="137" t="s">
        <v>24</v>
      </c>
      <c r="G12493" s="128" t="str">
        <f>VLOOKUP(source[[#This Row],[lending_product_transform]],[3]Mapping!$B$4:$C$37,2,0)</f>
        <v>[Cake] - Cashloan</v>
      </c>
      <c r="H12493" s="128" t="str">
        <f>VLOOKUP(source[[#This Row],[lending_product_transform]],[3]Mapping!$B$3:$D$37,3,0)</f>
        <v>cashloan</v>
      </c>
      <c r="I12493" s="143">
        <v>1271400000</v>
      </c>
    </row>
    <row r="12494" spans="1:9" x14ac:dyDescent="0.2">
      <c r="A12494" s="134">
        <v>46050</v>
      </c>
      <c r="B12494" s="135">
        <f>YEAR(source[[#This Row],[report_date]])</f>
        <v>2026</v>
      </c>
      <c r="C12494" s="128">
        <f t="shared" si="584"/>
        <v>1</v>
      </c>
      <c r="D12494" s="136">
        <f t="shared" si="583"/>
        <v>5</v>
      </c>
      <c r="E12494" s="136">
        <f t="shared" si="585"/>
        <v>28</v>
      </c>
      <c r="F12494" s="137" t="s">
        <v>24</v>
      </c>
      <c r="G12494" s="128" t="str">
        <f>VLOOKUP(source[[#This Row],[lending_product_transform]],[3]Mapping!$B$4:$C$37,2,0)</f>
        <v>[Cake] - Cashloan</v>
      </c>
      <c r="H12494" s="128" t="str">
        <f>VLOOKUP(source[[#This Row],[lending_product_transform]],[3]Mapping!$B$3:$D$37,3,0)</f>
        <v>cashloan</v>
      </c>
      <c r="I12494" s="143">
        <v>9141345</v>
      </c>
    </row>
    <row r="12495" spans="1:9" x14ac:dyDescent="0.2">
      <c r="A12495" s="134">
        <v>46050</v>
      </c>
      <c r="B12495" s="135">
        <f>YEAR(source[[#This Row],[report_date]])</f>
        <v>2026</v>
      </c>
      <c r="C12495" s="128">
        <f t="shared" si="584"/>
        <v>1</v>
      </c>
      <c r="D12495" s="136">
        <f t="shared" si="583"/>
        <v>5</v>
      </c>
      <c r="E12495" s="136">
        <f t="shared" si="585"/>
        <v>28</v>
      </c>
      <c r="F12495" s="137" t="s">
        <v>24</v>
      </c>
      <c r="G12495" s="128" t="str">
        <f>VLOOKUP(source[[#This Row],[lending_product_transform]],[3]Mapping!$B$4:$C$37,2,0)</f>
        <v>[Cake] - Cashloan</v>
      </c>
      <c r="H12495" s="128" t="str">
        <f>VLOOKUP(source[[#This Row],[lending_product_transform]],[3]Mapping!$B$3:$D$37,3,0)</f>
        <v>cashloan</v>
      </c>
      <c r="I12495" s="143">
        <v>783786124</v>
      </c>
    </row>
    <row r="12496" spans="1:9" x14ac:dyDescent="0.2">
      <c r="A12496" s="134">
        <v>46050</v>
      </c>
      <c r="B12496" s="135">
        <f>YEAR(source[[#This Row],[report_date]])</f>
        <v>2026</v>
      </c>
      <c r="C12496" s="128">
        <f t="shared" si="584"/>
        <v>1</v>
      </c>
      <c r="D12496" s="136">
        <f t="shared" si="583"/>
        <v>5</v>
      </c>
      <c r="E12496" s="136">
        <f t="shared" si="585"/>
        <v>28</v>
      </c>
      <c r="F12496" s="137" t="s">
        <v>24</v>
      </c>
      <c r="G12496" s="128" t="str">
        <f>VLOOKUP(source[[#This Row],[lending_product_transform]],[3]Mapping!$B$4:$C$37,2,0)</f>
        <v>[Cake] - Cashloan</v>
      </c>
      <c r="H12496" s="128" t="str">
        <f>VLOOKUP(source[[#This Row],[lending_product_transform]],[3]Mapping!$B$3:$D$37,3,0)</f>
        <v>cashloan</v>
      </c>
      <c r="I12496" s="143">
        <v>0</v>
      </c>
    </row>
    <row r="12497" spans="1:9" x14ac:dyDescent="0.2">
      <c r="A12497" s="134">
        <v>46050</v>
      </c>
      <c r="B12497" s="135">
        <f>YEAR(source[[#This Row],[report_date]])</f>
        <v>2026</v>
      </c>
      <c r="C12497" s="128">
        <f t="shared" si="584"/>
        <v>1</v>
      </c>
      <c r="D12497" s="136">
        <f t="shared" ref="D12497:D12560" si="586">WEEKNUM(A12497,2)</f>
        <v>5</v>
      </c>
      <c r="E12497" s="136">
        <f t="shared" si="585"/>
        <v>28</v>
      </c>
      <c r="F12497" s="137" t="s">
        <v>24</v>
      </c>
      <c r="G12497" s="128" t="str">
        <f>VLOOKUP(source[[#This Row],[lending_product_transform]],[3]Mapping!$B$4:$C$37,2,0)</f>
        <v>[Cake] - Cashloan</v>
      </c>
      <c r="H12497" s="128" t="str">
        <f>VLOOKUP(source[[#This Row],[lending_product_transform]],[3]Mapping!$B$3:$D$37,3,0)</f>
        <v>cashloan</v>
      </c>
      <c r="I12497" s="143">
        <v>10500000</v>
      </c>
    </row>
    <row r="12498" spans="1:9" x14ac:dyDescent="0.2">
      <c r="A12498" s="134">
        <v>46050</v>
      </c>
      <c r="B12498" s="135">
        <f>YEAR(source[[#This Row],[report_date]])</f>
        <v>2026</v>
      </c>
      <c r="C12498" s="128">
        <f t="shared" si="584"/>
        <v>1</v>
      </c>
      <c r="D12498" s="136">
        <f t="shared" si="586"/>
        <v>5</v>
      </c>
      <c r="E12498" s="136">
        <f t="shared" si="585"/>
        <v>28</v>
      </c>
      <c r="F12498" s="137" t="s">
        <v>24</v>
      </c>
      <c r="G12498" s="128" t="str">
        <f>VLOOKUP(source[[#This Row],[lending_product_transform]],[3]Mapping!$B$4:$C$37,2,0)</f>
        <v>[Cake] - Cashloan</v>
      </c>
      <c r="H12498" s="128" t="str">
        <f>VLOOKUP(source[[#This Row],[lending_product_transform]],[3]Mapping!$B$3:$D$37,3,0)</f>
        <v>cashloan</v>
      </c>
      <c r="I12498" s="143">
        <v>0</v>
      </c>
    </row>
    <row r="12499" spans="1:9" x14ac:dyDescent="0.2">
      <c r="A12499" s="134">
        <v>46050</v>
      </c>
      <c r="B12499" s="135">
        <f>YEAR(source[[#This Row],[report_date]])</f>
        <v>2026</v>
      </c>
      <c r="C12499" s="128">
        <f t="shared" si="584"/>
        <v>1</v>
      </c>
      <c r="D12499" s="136">
        <f t="shared" si="586"/>
        <v>5</v>
      </c>
      <c r="E12499" s="136">
        <f t="shared" si="585"/>
        <v>28</v>
      </c>
      <c r="F12499" s="137" t="s">
        <v>24</v>
      </c>
      <c r="G12499" s="128" t="str">
        <f>VLOOKUP(source[[#This Row],[lending_product_transform]],[3]Mapping!$B$4:$C$37,2,0)</f>
        <v>[Cake] - Cashloan</v>
      </c>
      <c r="H12499" s="128" t="str">
        <f>VLOOKUP(source[[#This Row],[lending_product_transform]],[3]Mapping!$B$3:$D$37,3,0)</f>
        <v>cashloan</v>
      </c>
      <c r="I12499" s="143">
        <v>17562710000</v>
      </c>
    </row>
    <row r="12500" spans="1:9" x14ac:dyDescent="0.2">
      <c r="A12500" s="134">
        <v>46050</v>
      </c>
      <c r="B12500" s="135">
        <f>YEAR(source[[#This Row],[report_date]])</f>
        <v>2026</v>
      </c>
      <c r="C12500" s="128">
        <f t="shared" si="584"/>
        <v>1</v>
      </c>
      <c r="D12500" s="136">
        <f t="shared" si="586"/>
        <v>5</v>
      </c>
      <c r="E12500" s="136">
        <f t="shared" si="585"/>
        <v>28</v>
      </c>
      <c r="F12500" s="137" t="s">
        <v>24</v>
      </c>
      <c r="G12500" s="128" t="str">
        <f>VLOOKUP(source[[#This Row],[lending_product_transform]],[3]Mapping!$B$4:$C$37,2,0)</f>
        <v>[Cake] - Cashloan</v>
      </c>
      <c r="H12500" s="128" t="str">
        <f>VLOOKUP(source[[#This Row],[lending_product_transform]],[3]Mapping!$B$3:$D$37,3,0)</f>
        <v>cashloan</v>
      </c>
      <c r="I12500" s="143">
        <v>0</v>
      </c>
    </row>
    <row r="12501" spans="1:9" x14ac:dyDescent="0.2">
      <c r="A12501" s="134">
        <v>46050</v>
      </c>
      <c r="B12501" s="135">
        <f>YEAR(source[[#This Row],[report_date]])</f>
        <v>2026</v>
      </c>
      <c r="C12501" s="128">
        <f t="shared" si="584"/>
        <v>1</v>
      </c>
      <c r="D12501" s="136">
        <f t="shared" si="586"/>
        <v>5</v>
      </c>
      <c r="E12501" s="136">
        <f t="shared" si="585"/>
        <v>28</v>
      </c>
      <c r="F12501" s="137" t="s">
        <v>24</v>
      </c>
      <c r="G12501" s="128" t="str">
        <f>VLOOKUP(source[[#This Row],[lending_product_transform]],[3]Mapping!$B$4:$C$37,2,0)</f>
        <v>[Cake] - Cashloan</v>
      </c>
      <c r="H12501" s="128" t="str">
        <f>VLOOKUP(source[[#This Row],[lending_product_transform]],[3]Mapping!$B$3:$D$37,3,0)</f>
        <v>cashloan</v>
      </c>
      <c r="I12501" s="143">
        <v>0</v>
      </c>
    </row>
    <row r="12502" spans="1:9" x14ac:dyDescent="0.2">
      <c r="A12502" s="134">
        <v>46050</v>
      </c>
      <c r="B12502" s="135">
        <f>YEAR(source[[#This Row],[report_date]])</f>
        <v>2026</v>
      </c>
      <c r="C12502" s="128">
        <f t="shared" si="584"/>
        <v>1</v>
      </c>
      <c r="D12502" s="136">
        <f t="shared" si="586"/>
        <v>5</v>
      </c>
      <c r="E12502" s="136">
        <f t="shared" si="585"/>
        <v>28</v>
      </c>
      <c r="F12502" s="137" t="s">
        <v>24</v>
      </c>
      <c r="G12502" s="128" t="str">
        <f>VLOOKUP(source[[#This Row],[lending_product_transform]],[3]Mapping!$B$4:$C$37,2,0)</f>
        <v>[Cake] - Cashloan</v>
      </c>
      <c r="H12502" s="128" t="str">
        <f>VLOOKUP(source[[#This Row],[lending_product_transform]],[3]Mapping!$B$3:$D$37,3,0)</f>
        <v>cashloan</v>
      </c>
      <c r="I12502" s="143">
        <v>0</v>
      </c>
    </row>
    <row r="12503" spans="1:9" x14ac:dyDescent="0.2">
      <c r="A12503" s="134">
        <v>46050</v>
      </c>
      <c r="B12503" s="135">
        <f>YEAR(source[[#This Row],[report_date]])</f>
        <v>2026</v>
      </c>
      <c r="C12503" s="128">
        <f t="shared" si="584"/>
        <v>1</v>
      </c>
      <c r="D12503" s="136">
        <f t="shared" si="586"/>
        <v>5</v>
      </c>
      <c r="E12503" s="136">
        <f t="shared" si="585"/>
        <v>28</v>
      </c>
      <c r="F12503" s="137" t="s">
        <v>24</v>
      </c>
      <c r="G12503" s="128" t="str">
        <f>VLOOKUP(source[[#This Row],[lending_product_transform]],[3]Mapping!$B$4:$C$37,2,0)</f>
        <v>[Cake] - Cashloan</v>
      </c>
      <c r="H12503" s="128" t="str">
        <f>VLOOKUP(source[[#This Row],[lending_product_transform]],[3]Mapping!$B$3:$D$37,3,0)</f>
        <v>cashloan</v>
      </c>
      <c r="I12503" s="143">
        <v>0</v>
      </c>
    </row>
    <row r="12504" spans="1:9" x14ac:dyDescent="0.2">
      <c r="A12504" s="134">
        <v>46050</v>
      </c>
      <c r="B12504" s="135">
        <f>YEAR(source[[#This Row],[report_date]])</f>
        <v>2026</v>
      </c>
      <c r="C12504" s="128">
        <f t="shared" si="584"/>
        <v>1</v>
      </c>
      <c r="D12504" s="136">
        <f t="shared" si="586"/>
        <v>5</v>
      </c>
      <c r="E12504" s="136">
        <f t="shared" si="585"/>
        <v>28</v>
      </c>
      <c r="F12504" s="137" t="s">
        <v>24</v>
      </c>
      <c r="G12504" s="128" t="str">
        <f>VLOOKUP(source[[#This Row],[lending_product_transform]],[3]Mapping!$B$4:$C$37,2,0)</f>
        <v>[Cake] - Cashloan</v>
      </c>
      <c r="H12504" s="128" t="str">
        <f>VLOOKUP(source[[#This Row],[lending_product_transform]],[3]Mapping!$B$3:$D$37,3,0)</f>
        <v>cashloan</v>
      </c>
      <c r="I12504" s="143">
        <v>9428184000</v>
      </c>
    </row>
    <row r="12505" spans="1:9" x14ac:dyDescent="0.2">
      <c r="A12505" s="134">
        <v>46050</v>
      </c>
      <c r="B12505" s="135">
        <f>YEAR(source[[#This Row],[report_date]])</f>
        <v>2026</v>
      </c>
      <c r="C12505" s="128">
        <f t="shared" si="584"/>
        <v>1</v>
      </c>
      <c r="D12505" s="136">
        <f t="shared" si="586"/>
        <v>5</v>
      </c>
      <c r="E12505" s="136">
        <f t="shared" si="585"/>
        <v>28</v>
      </c>
      <c r="F12505" s="137" t="s">
        <v>24</v>
      </c>
      <c r="G12505" s="128" t="str">
        <f>VLOOKUP(source[[#This Row],[lending_product_transform]],[3]Mapping!$B$4:$C$37,2,0)</f>
        <v>[Cake] - Cashloan</v>
      </c>
      <c r="H12505" s="128" t="str">
        <f>VLOOKUP(source[[#This Row],[lending_product_transform]],[3]Mapping!$B$3:$D$37,3,0)</f>
        <v>cashloan</v>
      </c>
      <c r="I12505" s="143">
        <v>137552159</v>
      </c>
    </row>
    <row r="12506" spans="1:9" x14ac:dyDescent="0.2">
      <c r="A12506" s="134">
        <v>46050</v>
      </c>
      <c r="B12506" s="135">
        <f>YEAR(source[[#This Row],[report_date]])</f>
        <v>2026</v>
      </c>
      <c r="C12506" s="128">
        <f t="shared" si="584"/>
        <v>1</v>
      </c>
      <c r="D12506" s="136">
        <f t="shared" si="586"/>
        <v>5</v>
      </c>
      <c r="E12506" s="136">
        <f t="shared" si="585"/>
        <v>28</v>
      </c>
      <c r="F12506" s="137" t="s">
        <v>24</v>
      </c>
      <c r="G12506" s="128" t="str">
        <f>VLOOKUP(source[[#This Row],[lending_product_transform]],[3]Mapping!$B$4:$C$37,2,0)</f>
        <v>[Cake] - Cashloan</v>
      </c>
      <c r="H12506" s="128" t="str">
        <f>VLOOKUP(source[[#This Row],[lending_product_transform]],[3]Mapping!$B$3:$D$37,3,0)</f>
        <v>cashloan</v>
      </c>
      <c r="I12506" s="143">
        <v>52500000</v>
      </c>
    </row>
    <row r="12507" spans="1:9" x14ac:dyDescent="0.2">
      <c r="A12507" s="134">
        <v>46050</v>
      </c>
      <c r="B12507" s="135">
        <f>YEAR(source[[#This Row],[report_date]])</f>
        <v>2026</v>
      </c>
      <c r="C12507" s="128">
        <f t="shared" si="584"/>
        <v>1</v>
      </c>
      <c r="D12507" s="136">
        <f t="shared" si="586"/>
        <v>5</v>
      </c>
      <c r="E12507" s="136">
        <f t="shared" si="585"/>
        <v>28</v>
      </c>
      <c r="F12507" s="137" t="s">
        <v>24</v>
      </c>
      <c r="G12507" s="128" t="str">
        <f>VLOOKUP(source[[#This Row],[lending_product_transform]],[3]Mapping!$B$4:$C$37,2,0)</f>
        <v>[Cake] - Cashloan</v>
      </c>
      <c r="H12507" s="128" t="str">
        <f>VLOOKUP(source[[#This Row],[lending_product_transform]],[3]Mapping!$B$3:$D$37,3,0)</f>
        <v>cashloan</v>
      </c>
      <c r="I12507" s="143">
        <v>44000000</v>
      </c>
    </row>
    <row r="12508" spans="1:9" x14ac:dyDescent="0.2">
      <c r="A12508" s="134">
        <v>46050</v>
      </c>
      <c r="B12508" s="135">
        <f>YEAR(source[[#This Row],[report_date]])</f>
        <v>2026</v>
      </c>
      <c r="C12508" s="128">
        <f t="shared" si="584"/>
        <v>1</v>
      </c>
      <c r="D12508" s="136">
        <f t="shared" si="586"/>
        <v>5</v>
      </c>
      <c r="E12508" s="136">
        <f t="shared" si="585"/>
        <v>28</v>
      </c>
      <c r="F12508" s="137" t="s">
        <v>24</v>
      </c>
      <c r="G12508" s="128" t="str">
        <f>VLOOKUP(source[[#This Row],[lending_product_transform]],[3]Mapping!$B$4:$C$37,2,0)</f>
        <v>[Cake] - Cashloan</v>
      </c>
      <c r="H12508" s="128" t="str">
        <f>VLOOKUP(source[[#This Row],[lending_product_transform]],[3]Mapping!$B$3:$D$37,3,0)</f>
        <v>cashloan</v>
      </c>
      <c r="I12508" s="143">
        <v>1038630000</v>
      </c>
    </row>
    <row r="12509" spans="1:9" x14ac:dyDescent="0.2">
      <c r="A12509" s="134">
        <v>46050</v>
      </c>
      <c r="B12509" s="135">
        <f>YEAR(source[[#This Row],[report_date]])</f>
        <v>2026</v>
      </c>
      <c r="C12509" s="128">
        <f t="shared" si="584"/>
        <v>1</v>
      </c>
      <c r="D12509" s="136">
        <f t="shared" si="586"/>
        <v>5</v>
      </c>
      <c r="E12509" s="136">
        <f t="shared" si="585"/>
        <v>28</v>
      </c>
      <c r="F12509" s="137" t="s">
        <v>24</v>
      </c>
      <c r="G12509" s="128" t="str">
        <f>VLOOKUP(source[[#This Row],[lending_product_transform]],[3]Mapping!$B$4:$C$37,2,0)</f>
        <v>[Cake] - Cashloan</v>
      </c>
      <c r="H12509" s="128" t="str">
        <f>VLOOKUP(source[[#This Row],[lending_product_transform]],[3]Mapping!$B$3:$D$37,3,0)</f>
        <v>cashloan</v>
      </c>
      <c r="I12509" s="143">
        <v>227772000</v>
      </c>
    </row>
    <row r="12510" spans="1:9" x14ac:dyDescent="0.2">
      <c r="A12510" s="134">
        <v>46050</v>
      </c>
      <c r="B12510" s="135">
        <f>YEAR(source[[#This Row],[report_date]])</f>
        <v>2026</v>
      </c>
      <c r="C12510" s="128">
        <f t="shared" si="584"/>
        <v>1</v>
      </c>
      <c r="D12510" s="136">
        <f t="shared" si="586"/>
        <v>5</v>
      </c>
      <c r="E12510" s="136">
        <f t="shared" si="585"/>
        <v>28</v>
      </c>
      <c r="F12510" s="137" t="s">
        <v>24</v>
      </c>
      <c r="G12510" s="128" t="str">
        <f>VLOOKUP(source[[#This Row],[lending_product_transform]],[3]Mapping!$B$4:$C$37,2,0)</f>
        <v>[Cake] - Cashloan</v>
      </c>
      <c r="H12510" s="128" t="str">
        <f>VLOOKUP(source[[#This Row],[lending_product_transform]],[3]Mapping!$B$3:$D$37,3,0)</f>
        <v>cashloan</v>
      </c>
      <c r="I12510" s="143">
        <v>437135256</v>
      </c>
    </row>
    <row r="12511" spans="1:9" x14ac:dyDescent="0.2">
      <c r="A12511" s="134">
        <v>46050</v>
      </c>
      <c r="B12511" s="135">
        <f>YEAR(source[[#This Row],[report_date]])</f>
        <v>2026</v>
      </c>
      <c r="C12511" s="128">
        <f t="shared" si="584"/>
        <v>1</v>
      </c>
      <c r="D12511" s="136">
        <f t="shared" si="586"/>
        <v>5</v>
      </c>
      <c r="E12511" s="136">
        <f t="shared" si="585"/>
        <v>28</v>
      </c>
      <c r="F12511" s="137" t="s">
        <v>24</v>
      </c>
      <c r="G12511" s="128" t="str">
        <f>VLOOKUP(source[[#This Row],[lending_product_transform]],[3]Mapping!$B$4:$C$37,2,0)</f>
        <v>[Cake] - Cashloan</v>
      </c>
      <c r="H12511" s="128" t="str">
        <f>VLOOKUP(source[[#This Row],[lending_product_transform]],[3]Mapping!$B$3:$D$37,3,0)</f>
        <v>cashloan</v>
      </c>
      <c r="I12511" s="143">
        <v>3824400000</v>
      </c>
    </row>
    <row r="12512" spans="1:9" x14ac:dyDescent="0.2">
      <c r="A12512" s="134">
        <v>46050</v>
      </c>
      <c r="B12512" s="135">
        <f>YEAR(source[[#This Row],[report_date]])</f>
        <v>2026</v>
      </c>
      <c r="C12512" s="128">
        <f t="shared" si="584"/>
        <v>1</v>
      </c>
      <c r="D12512" s="136">
        <f t="shared" si="586"/>
        <v>5</v>
      </c>
      <c r="E12512" s="136">
        <f t="shared" si="585"/>
        <v>28</v>
      </c>
      <c r="F12512" s="137" t="s">
        <v>24</v>
      </c>
      <c r="G12512" s="128" t="str">
        <f>VLOOKUP(source[[#This Row],[lending_product_transform]],[3]Mapping!$B$4:$C$37,2,0)</f>
        <v>[Cake] - Cashloan</v>
      </c>
      <c r="H12512" s="128" t="str">
        <f>VLOOKUP(source[[#This Row],[lending_product_transform]],[3]Mapping!$B$3:$D$37,3,0)</f>
        <v>cashloan</v>
      </c>
      <c r="I12512" s="143">
        <v>1150200000</v>
      </c>
    </row>
    <row r="12513" spans="1:9" x14ac:dyDescent="0.2">
      <c r="A12513" s="134">
        <v>46051</v>
      </c>
      <c r="B12513" s="135">
        <f>YEAR(source[[#This Row],[report_date]])</f>
        <v>2026</v>
      </c>
      <c r="C12513" s="128">
        <f t="shared" si="584"/>
        <v>1</v>
      </c>
      <c r="D12513" s="136">
        <f t="shared" si="586"/>
        <v>5</v>
      </c>
      <c r="E12513" s="136">
        <f t="shared" si="585"/>
        <v>29</v>
      </c>
      <c r="F12513" s="137" t="s">
        <v>24</v>
      </c>
      <c r="G12513" s="128" t="str">
        <f>VLOOKUP(source[[#This Row],[lending_product_transform]],[3]Mapping!$B$4:$C$37,2,0)</f>
        <v>[Cake] - Cashloan</v>
      </c>
      <c r="H12513" s="128" t="str">
        <f>VLOOKUP(source[[#This Row],[lending_product_transform]],[3]Mapping!$B$3:$D$37,3,0)</f>
        <v>cashloan</v>
      </c>
      <c r="I12513" s="143">
        <v>686550000</v>
      </c>
    </row>
    <row r="12514" spans="1:9" x14ac:dyDescent="0.2">
      <c r="A12514" s="134">
        <v>46051</v>
      </c>
      <c r="B12514" s="135">
        <f>YEAR(source[[#This Row],[report_date]])</f>
        <v>2026</v>
      </c>
      <c r="C12514" s="128">
        <f t="shared" si="584"/>
        <v>1</v>
      </c>
      <c r="D12514" s="136">
        <f t="shared" si="586"/>
        <v>5</v>
      </c>
      <c r="E12514" s="136">
        <f t="shared" si="585"/>
        <v>29</v>
      </c>
      <c r="F12514" s="137" t="s">
        <v>24</v>
      </c>
      <c r="G12514" s="128" t="str">
        <f>VLOOKUP(source[[#This Row],[lending_product_transform]],[3]Mapping!$B$4:$C$37,2,0)</f>
        <v>[Cake] - Cashloan</v>
      </c>
      <c r="H12514" s="128" t="str">
        <f>VLOOKUP(source[[#This Row],[lending_product_transform]],[3]Mapping!$B$3:$D$37,3,0)</f>
        <v>cashloan</v>
      </c>
      <c r="I12514" s="143">
        <v>312566304</v>
      </c>
    </row>
    <row r="12515" spans="1:9" x14ac:dyDescent="0.2">
      <c r="A12515" s="134">
        <v>46051</v>
      </c>
      <c r="B12515" s="135">
        <f>YEAR(source[[#This Row],[report_date]])</f>
        <v>2026</v>
      </c>
      <c r="C12515" s="128">
        <f t="shared" si="584"/>
        <v>1</v>
      </c>
      <c r="D12515" s="136">
        <f t="shared" si="586"/>
        <v>5</v>
      </c>
      <c r="E12515" s="136">
        <f t="shared" si="585"/>
        <v>29</v>
      </c>
      <c r="F12515" s="137" t="s">
        <v>24</v>
      </c>
      <c r="G12515" s="128" t="str">
        <f>VLOOKUP(source[[#This Row],[lending_product_transform]],[3]Mapping!$B$4:$C$37,2,0)</f>
        <v>[Cake] - Cashloan</v>
      </c>
      <c r="H12515" s="128" t="str">
        <f>VLOOKUP(source[[#This Row],[lending_product_transform]],[3]Mapping!$B$3:$D$37,3,0)</f>
        <v>cashloan</v>
      </c>
      <c r="I12515" s="143">
        <v>17662440000</v>
      </c>
    </row>
    <row r="12516" spans="1:9" x14ac:dyDescent="0.2">
      <c r="A12516" s="134">
        <v>46051</v>
      </c>
      <c r="B12516" s="135">
        <f>YEAR(source[[#This Row],[report_date]])</f>
        <v>2026</v>
      </c>
      <c r="C12516" s="128">
        <f t="shared" si="584"/>
        <v>1</v>
      </c>
      <c r="D12516" s="136">
        <f t="shared" si="586"/>
        <v>5</v>
      </c>
      <c r="E12516" s="136">
        <f t="shared" si="585"/>
        <v>29</v>
      </c>
      <c r="F12516" s="137" t="s">
        <v>24</v>
      </c>
      <c r="G12516" s="128" t="str">
        <f>VLOOKUP(source[[#This Row],[lending_product_transform]],[3]Mapping!$B$4:$C$37,2,0)</f>
        <v>[Cake] - Cashloan</v>
      </c>
      <c r="H12516" s="128" t="str">
        <f>VLOOKUP(source[[#This Row],[lending_product_transform]],[3]Mapping!$B$3:$D$37,3,0)</f>
        <v>cashloan</v>
      </c>
      <c r="I12516" s="143">
        <v>1930713305</v>
      </c>
    </row>
    <row r="12517" spans="1:9" x14ac:dyDescent="0.2">
      <c r="A12517" s="134">
        <v>46051</v>
      </c>
      <c r="B12517" s="135">
        <f>YEAR(source[[#This Row],[report_date]])</f>
        <v>2026</v>
      </c>
      <c r="C12517" s="128">
        <f t="shared" si="584"/>
        <v>1</v>
      </c>
      <c r="D12517" s="136">
        <f t="shared" si="586"/>
        <v>5</v>
      </c>
      <c r="E12517" s="136">
        <f t="shared" si="585"/>
        <v>29</v>
      </c>
      <c r="F12517" s="137" t="s">
        <v>24</v>
      </c>
      <c r="G12517" s="128" t="str">
        <f>VLOOKUP(source[[#This Row],[lending_product_transform]],[3]Mapping!$B$4:$C$37,2,0)</f>
        <v>[Cake] - Cashloan</v>
      </c>
      <c r="H12517" s="128" t="str">
        <f>VLOOKUP(source[[#This Row],[lending_product_transform]],[3]Mapping!$B$3:$D$37,3,0)</f>
        <v>cashloan</v>
      </c>
      <c r="I12517" s="143">
        <v>12649068000</v>
      </c>
    </row>
    <row r="12518" spans="1:9" x14ac:dyDescent="0.2">
      <c r="A12518" s="134">
        <v>46051</v>
      </c>
      <c r="B12518" s="135">
        <f>YEAR(source[[#This Row],[report_date]])</f>
        <v>2026</v>
      </c>
      <c r="C12518" s="128">
        <f t="shared" si="584"/>
        <v>1</v>
      </c>
      <c r="D12518" s="136">
        <f t="shared" si="586"/>
        <v>5</v>
      </c>
      <c r="E12518" s="136">
        <f t="shared" si="585"/>
        <v>29</v>
      </c>
      <c r="F12518" s="137" t="s">
        <v>24</v>
      </c>
      <c r="G12518" s="128" t="str">
        <f>VLOOKUP(source[[#This Row],[lending_product_transform]],[3]Mapping!$B$4:$C$37,2,0)</f>
        <v>[Cake] - Cashloan</v>
      </c>
      <c r="H12518" s="128" t="str">
        <f>VLOOKUP(source[[#This Row],[lending_product_transform]],[3]Mapping!$B$3:$D$37,3,0)</f>
        <v>cashloan</v>
      </c>
      <c r="I12518" s="143">
        <v>18451945</v>
      </c>
    </row>
    <row r="12519" spans="1:9" x14ac:dyDescent="0.2">
      <c r="A12519" s="134">
        <v>46051</v>
      </c>
      <c r="B12519" s="135">
        <f>YEAR(source[[#This Row],[report_date]])</f>
        <v>2026</v>
      </c>
      <c r="C12519" s="128">
        <f t="shared" si="584"/>
        <v>1</v>
      </c>
      <c r="D12519" s="136">
        <f t="shared" si="586"/>
        <v>5</v>
      </c>
      <c r="E12519" s="136">
        <f t="shared" si="585"/>
        <v>29</v>
      </c>
      <c r="F12519" s="137" t="s">
        <v>24</v>
      </c>
      <c r="G12519" s="128" t="str">
        <f>VLOOKUP(source[[#This Row],[lending_product_transform]],[3]Mapping!$B$4:$C$37,2,0)</f>
        <v>[Cake] - Cashloan</v>
      </c>
      <c r="H12519" s="128" t="str">
        <f>VLOOKUP(source[[#This Row],[lending_product_transform]],[3]Mapping!$B$3:$D$37,3,0)</f>
        <v>cashloan</v>
      </c>
      <c r="I12519" s="143">
        <v>0</v>
      </c>
    </row>
    <row r="12520" spans="1:9" x14ac:dyDescent="0.2">
      <c r="A12520" s="134">
        <v>46051</v>
      </c>
      <c r="B12520" s="135">
        <f>YEAR(source[[#This Row],[report_date]])</f>
        <v>2026</v>
      </c>
      <c r="C12520" s="128">
        <f t="shared" si="584"/>
        <v>1</v>
      </c>
      <c r="D12520" s="136">
        <f t="shared" si="586"/>
        <v>5</v>
      </c>
      <c r="E12520" s="136">
        <f t="shared" si="585"/>
        <v>29</v>
      </c>
      <c r="F12520" s="137" t="s">
        <v>24</v>
      </c>
      <c r="G12520" s="128" t="str">
        <f>VLOOKUP(source[[#This Row],[lending_product_transform]],[3]Mapping!$B$4:$C$37,2,0)</f>
        <v>[Cake] - Cashloan</v>
      </c>
      <c r="H12520" s="128" t="str">
        <f>VLOOKUP(source[[#This Row],[lending_product_transform]],[3]Mapping!$B$3:$D$37,3,0)</f>
        <v>cashloan</v>
      </c>
      <c r="I12520" s="143">
        <v>4552060000</v>
      </c>
    </row>
    <row r="12521" spans="1:9" x14ac:dyDescent="0.2">
      <c r="A12521" s="134">
        <v>46051</v>
      </c>
      <c r="B12521" s="135">
        <f>YEAR(source[[#This Row],[report_date]])</f>
        <v>2026</v>
      </c>
      <c r="C12521" s="128">
        <f t="shared" si="584"/>
        <v>1</v>
      </c>
      <c r="D12521" s="136">
        <f t="shared" si="586"/>
        <v>5</v>
      </c>
      <c r="E12521" s="136">
        <f t="shared" si="585"/>
        <v>29</v>
      </c>
      <c r="F12521" s="137" t="s">
        <v>24</v>
      </c>
      <c r="G12521" s="128" t="str">
        <f>VLOOKUP(source[[#This Row],[lending_product_transform]],[3]Mapping!$B$4:$C$37,2,0)</f>
        <v>[Cake] - Cashloan</v>
      </c>
      <c r="H12521" s="128" t="str">
        <f>VLOOKUP(source[[#This Row],[lending_product_transform]],[3]Mapping!$B$3:$D$37,3,0)</f>
        <v>cashloan</v>
      </c>
      <c r="I12521" s="143">
        <v>1235550000</v>
      </c>
    </row>
    <row r="12522" spans="1:9" x14ac:dyDescent="0.2">
      <c r="A12522" s="134">
        <v>46051</v>
      </c>
      <c r="B12522" s="135">
        <f>YEAR(source[[#This Row],[report_date]])</f>
        <v>2026</v>
      </c>
      <c r="C12522" s="128">
        <f t="shared" si="584"/>
        <v>1</v>
      </c>
      <c r="D12522" s="136">
        <f t="shared" si="586"/>
        <v>5</v>
      </c>
      <c r="E12522" s="136">
        <f t="shared" si="585"/>
        <v>29</v>
      </c>
      <c r="F12522" s="137" t="s">
        <v>24</v>
      </c>
      <c r="G12522" s="128" t="str">
        <f>VLOOKUP(source[[#This Row],[lending_product_transform]],[3]Mapping!$B$4:$C$37,2,0)</f>
        <v>[Cake] - Cashloan</v>
      </c>
      <c r="H12522" s="128" t="str">
        <f>VLOOKUP(source[[#This Row],[lending_product_transform]],[3]Mapping!$B$3:$D$37,3,0)</f>
        <v>cashloan</v>
      </c>
      <c r="I12522" s="143">
        <v>31476240</v>
      </c>
    </row>
    <row r="12523" spans="1:9" x14ac:dyDescent="0.2">
      <c r="A12523" s="134">
        <v>46051</v>
      </c>
      <c r="B12523" s="135">
        <f>YEAR(source[[#This Row],[report_date]])</f>
        <v>2026</v>
      </c>
      <c r="C12523" s="128">
        <f t="shared" si="584"/>
        <v>1</v>
      </c>
      <c r="D12523" s="136">
        <f t="shared" si="586"/>
        <v>5</v>
      </c>
      <c r="E12523" s="136">
        <f t="shared" si="585"/>
        <v>29</v>
      </c>
      <c r="F12523" s="137" t="s">
        <v>24</v>
      </c>
      <c r="G12523" s="128" t="str">
        <f>VLOOKUP(source[[#This Row],[lending_product_transform]],[3]Mapping!$B$4:$C$37,2,0)</f>
        <v>[Cake] - Cashloan</v>
      </c>
      <c r="H12523" s="128" t="str">
        <f>VLOOKUP(source[[#This Row],[lending_product_transform]],[3]Mapping!$B$3:$D$37,3,0)</f>
        <v>cashloan</v>
      </c>
      <c r="I12523" s="143">
        <v>1004030468</v>
      </c>
    </row>
    <row r="12524" spans="1:9" x14ac:dyDescent="0.2">
      <c r="A12524" s="134">
        <v>46051</v>
      </c>
      <c r="B12524" s="135">
        <f>YEAR(source[[#This Row],[report_date]])</f>
        <v>2026</v>
      </c>
      <c r="C12524" s="128">
        <f t="shared" si="584"/>
        <v>1</v>
      </c>
      <c r="D12524" s="136">
        <f t="shared" si="586"/>
        <v>5</v>
      </c>
      <c r="E12524" s="136">
        <f t="shared" si="585"/>
        <v>29</v>
      </c>
      <c r="F12524" s="137" t="s">
        <v>24</v>
      </c>
      <c r="G12524" s="128" t="str">
        <f>VLOOKUP(source[[#This Row],[lending_product_transform]],[3]Mapping!$B$4:$C$37,2,0)</f>
        <v>[Cake] - Cashloan</v>
      </c>
      <c r="H12524" s="128" t="str">
        <f>VLOOKUP(source[[#This Row],[lending_product_transform]],[3]Mapping!$B$3:$D$37,3,0)</f>
        <v>cashloan</v>
      </c>
      <c r="I12524" s="143">
        <v>0</v>
      </c>
    </row>
    <row r="12525" spans="1:9" x14ac:dyDescent="0.2">
      <c r="A12525" s="134">
        <v>46051</v>
      </c>
      <c r="B12525" s="135">
        <f>YEAR(source[[#This Row],[report_date]])</f>
        <v>2026</v>
      </c>
      <c r="C12525" s="128">
        <f t="shared" si="584"/>
        <v>1</v>
      </c>
      <c r="D12525" s="136">
        <f t="shared" si="586"/>
        <v>5</v>
      </c>
      <c r="E12525" s="136">
        <f t="shared" si="585"/>
        <v>29</v>
      </c>
      <c r="F12525" s="137" t="s">
        <v>24</v>
      </c>
      <c r="G12525" s="128" t="str">
        <f>VLOOKUP(source[[#This Row],[lending_product_transform]],[3]Mapping!$B$4:$C$37,2,0)</f>
        <v>[Cake] - Cashloan</v>
      </c>
      <c r="H12525" s="128" t="str">
        <f>VLOOKUP(source[[#This Row],[lending_product_transform]],[3]Mapping!$B$3:$D$37,3,0)</f>
        <v>cashloan</v>
      </c>
      <c r="I12525" s="143">
        <v>82000000</v>
      </c>
    </row>
    <row r="12526" spans="1:9" x14ac:dyDescent="0.2">
      <c r="A12526" s="134">
        <v>46051</v>
      </c>
      <c r="B12526" s="135">
        <f>YEAR(source[[#This Row],[report_date]])</f>
        <v>2026</v>
      </c>
      <c r="C12526" s="128">
        <f t="shared" si="584"/>
        <v>1</v>
      </c>
      <c r="D12526" s="136">
        <f t="shared" si="586"/>
        <v>5</v>
      </c>
      <c r="E12526" s="136">
        <f t="shared" si="585"/>
        <v>29</v>
      </c>
      <c r="F12526" s="137" t="s">
        <v>24</v>
      </c>
      <c r="G12526" s="128" t="str">
        <f>VLOOKUP(source[[#This Row],[lending_product_transform]],[3]Mapping!$B$4:$C$37,2,0)</f>
        <v>[Cake] - Cashloan</v>
      </c>
      <c r="H12526" s="128" t="str">
        <f>VLOOKUP(source[[#This Row],[lending_product_transform]],[3]Mapping!$B$3:$D$37,3,0)</f>
        <v>cashloan</v>
      </c>
      <c r="I12526" s="143">
        <v>0</v>
      </c>
    </row>
    <row r="12527" spans="1:9" x14ac:dyDescent="0.2">
      <c r="A12527" s="134">
        <v>46051</v>
      </c>
      <c r="B12527" s="135">
        <f>YEAR(source[[#This Row],[report_date]])</f>
        <v>2026</v>
      </c>
      <c r="C12527" s="128">
        <f t="shared" si="584"/>
        <v>1</v>
      </c>
      <c r="D12527" s="136">
        <f t="shared" si="586"/>
        <v>5</v>
      </c>
      <c r="E12527" s="136">
        <f t="shared" si="585"/>
        <v>29</v>
      </c>
      <c r="F12527" s="137" t="s">
        <v>24</v>
      </c>
      <c r="G12527" s="128" t="str">
        <f>VLOOKUP(source[[#This Row],[lending_product_transform]],[3]Mapping!$B$4:$C$37,2,0)</f>
        <v>[Cake] - Cashloan</v>
      </c>
      <c r="H12527" s="128" t="str">
        <f>VLOOKUP(source[[#This Row],[lending_product_transform]],[3]Mapping!$B$3:$D$37,3,0)</f>
        <v>cashloan</v>
      </c>
      <c r="I12527" s="143">
        <v>15671860000</v>
      </c>
    </row>
    <row r="12528" spans="1:9" x14ac:dyDescent="0.2">
      <c r="A12528" s="134">
        <v>46051</v>
      </c>
      <c r="B12528" s="135">
        <f>YEAR(source[[#This Row],[report_date]])</f>
        <v>2026</v>
      </c>
      <c r="C12528" s="128">
        <f t="shared" si="584"/>
        <v>1</v>
      </c>
      <c r="D12528" s="136">
        <f t="shared" si="586"/>
        <v>5</v>
      </c>
      <c r="E12528" s="136">
        <f t="shared" si="585"/>
        <v>29</v>
      </c>
      <c r="F12528" s="137" t="s">
        <v>24</v>
      </c>
      <c r="G12528" s="128" t="str">
        <f>VLOOKUP(source[[#This Row],[lending_product_transform]],[3]Mapping!$B$4:$C$37,2,0)</f>
        <v>[Cake] - Cashloan</v>
      </c>
      <c r="H12528" s="128" t="str">
        <f>VLOOKUP(source[[#This Row],[lending_product_transform]],[3]Mapping!$B$3:$D$37,3,0)</f>
        <v>cashloan</v>
      </c>
      <c r="I12528" s="143">
        <v>0</v>
      </c>
    </row>
    <row r="12529" spans="1:9" x14ac:dyDescent="0.2">
      <c r="A12529" s="134">
        <v>46051</v>
      </c>
      <c r="B12529" s="135">
        <f>YEAR(source[[#This Row],[report_date]])</f>
        <v>2026</v>
      </c>
      <c r="C12529" s="128">
        <f t="shared" si="584"/>
        <v>1</v>
      </c>
      <c r="D12529" s="136">
        <f t="shared" si="586"/>
        <v>5</v>
      </c>
      <c r="E12529" s="136">
        <f t="shared" si="585"/>
        <v>29</v>
      </c>
      <c r="F12529" s="137" t="s">
        <v>24</v>
      </c>
      <c r="G12529" s="128" t="str">
        <f>VLOOKUP(source[[#This Row],[lending_product_transform]],[3]Mapping!$B$4:$C$37,2,0)</f>
        <v>[Cake] - Cashloan</v>
      </c>
      <c r="H12529" s="128" t="str">
        <f>VLOOKUP(source[[#This Row],[lending_product_transform]],[3]Mapping!$B$3:$D$37,3,0)</f>
        <v>cashloan</v>
      </c>
      <c r="I12529" s="143">
        <v>0</v>
      </c>
    </row>
    <row r="12530" spans="1:9" x14ac:dyDescent="0.2">
      <c r="A12530" s="134">
        <v>46051</v>
      </c>
      <c r="B12530" s="135">
        <f>YEAR(source[[#This Row],[report_date]])</f>
        <v>2026</v>
      </c>
      <c r="C12530" s="128">
        <f t="shared" si="584"/>
        <v>1</v>
      </c>
      <c r="D12530" s="136">
        <f t="shared" si="586"/>
        <v>5</v>
      </c>
      <c r="E12530" s="136">
        <f t="shared" si="585"/>
        <v>29</v>
      </c>
      <c r="F12530" s="137" t="s">
        <v>24</v>
      </c>
      <c r="G12530" s="128" t="str">
        <f>VLOOKUP(source[[#This Row],[lending_product_transform]],[3]Mapping!$B$4:$C$37,2,0)</f>
        <v>[Cake] - Cashloan</v>
      </c>
      <c r="H12530" s="128" t="str">
        <f>VLOOKUP(source[[#This Row],[lending_product_transform]],[3]Mapping!$B$3:$D$37,3,0)</f>
        <v>cashloan</v>
      </c>
      <c r="I12530" s="143">
        <v>0</v>
      </c>
    </row>
    <row r="12531" spans="1:9" x14ac:dyDescent="0.2">
      <c r="A12531" s="134">
        <v>46051</v>
      </c>
      <c r="B12531" s="135">
        <f>YEAR(source[[#This Row],[report_date]])</f>
        <v>2026</v>
      </c>
      <c r="C12531" s="128">
        <f t="shared" si="584"/>
        <v>1</v>
      </c>
      <c r="D12531" s="136">
        <f t="shared" si="586"/>
        <v>5</v>
      </c>
      <c r="E12531" s="136">
        <f t="shared" si="585"/>
        <v>29</v>
      </c>
      <c r="F12531" s="137" t="s">
        <v>24</v>
      </c>
      <c r="G12531" s="128" t="str">
        <f>VLOOKUP(source[[#This Row],[lending_product_transform]],[3]Mapping!$B$4:$C$37,2,0)</f>
        <v>[Cake] - Cashloan</v>
      </c>
      <c r="H12531" s="128" t="str">
        <f>VLOOKUP(source[[#This Row],[lending_product_transform]],[3]Mapping!$B$3:$D$37,3,0)</f>
        <v>cashloan</v>
      </c>
      <c r="I12531" s="143">
        <v>0</v>
      </c>
    </row>
    <row r="12532" spans="1:9" x14ac:dyDescent="0.2">
      <c r="A12532" s="134">
        <v>46051</v>
      </c>
      <c r="B12532" s="135">
        <f>YEAR(source[[#This Row],[report_date]])</f>
        <v>2026</v>
      </c>
      <c r="C12532" s="128">
        <f t="shared" si="584"/>
        <v>1</v>
      </c>
      <c r="D12532" s="136">
        <f t="shared" si="586"/>
        <v>5</v>
      </c>
      <c r="E12532" s="136">
        <f t="shared" si="585"/>
        <v>29</v>
      </c>
      <c r="F12532" s="137" t="s">
        <v>24</v>
      </c>
      <c r="G12532" s="128" t="str">
        <f>VLOOKUP(source[[#This Row],[lending_product_transform]],[3]Mapping!$B$4:$C$37,2,0)</f>
        <v>[Cake] - Cashloan</v>
      </c>
      <c r="H12532" s="128" t="str">
        <f>VLOOKUP(source[[#This Row],[lending_product_transform]],[3]Mapping!$B$3:$D$37,3,0)</f>
        <v>cashloan</v>
      </c>
      <c r="I12532" s="143">
        <v>9746352000</v>
      </c>
    </row>
    <row r="12533" spans="1:9" x14ac:dyDescent="0.2">
      <c r="A12533" s="134">
        <v>46051</v>
      </c>
      <c r="B12533" s="135">
        <f>YEAR(source[[#This Row],[report_date]])</f>
        <v>2026</v>
      </c>
      <c r="C12533" s="128">
        <f t="shared" si="584"/>
        <v>1</v>
      </c>
      <c r="D12533" s="136">
        <f t="shared" si="586"/>
        <v>5</v>
      </c>
      <c r="E12533" s="136">
        <f t="shared" si="585"/>
        <v>29</v>
      </c>
      <c r="F12533" s="137" t="s">
        <v>24</v>
      </c>
      <c r="G12533" s="128" t="str">
        <f>VLOOKUP(source[[#This Row],[lending_product_transform]],[3]Mapping!$B$4:$C$37,2,0)</f>
        <v>[Cake] - Cashloan</v>
      </c>
      <c r="H12533" s="128" t="str">
        <f>VLOOKUP(source[[#This Row],[lending_product_transform]],[3]Mapping!$B$3:$D$37,3,0)</f>
        <v>cashloan</v>
      </c>
      <c r="I12533" s="143">
        <v>154146315</v>
      </c>
    </row>
    <row r="12534" spans="1:9" x14ac:dyDescent="0.2">
      <c r="A12534" s="134">
        <v>46051</v>
      </c>
      <c r="B12534" s="135">
        <f>YEAR(source[[#This Row],[report_date]])</f>
        <v>2026</v>
      </c>
      <c r="C12534" s="128">
        <f t="shared" ref="C12534:C12597" si="587">MONTH(A12534)</f>
        <v>1</v>
      </c>
      <c r="D12534" s="136">
        <f t="shared" si="586"/>
        <v>5</v>
      </c>
      <c r="E12534" s="136">
        <f t="shared" ref="E12534:E12597" si="588">DAY(A12534)</f>
        <v>29</v>
      </c>
      <c r="F12534" s="137" t="s">
        <v>24</v>
      </c>
      <c r="G12534" s="128" t="str">
        <f>VLOOKUP(source[[#This Row],[lending_product_transform]],[3]Mapping!$B$4:$C$37,2,0)</f>
        <v>[Cake] - Cashloan</v>
      </c>
      <c r="H12534" s="128" t="str">
        <f>VLOOKUP(source[[#This Row],[lending_product_transform]],[3]Mapping!$B$3:$D$37,3,0)</f>
        <v>cashloan</v>
      </c>
      <c r="I12534" s="143">
        <v>56700000</v>
      </c>
    </row>
    <row r="12535" spans="1:9" x14ac:dyDescent="0.2">
      <c r="A12535" s="134">
        <v>46051</v>
      </c>
      <c r="B12535" s="135">
        <f>YEAR(source[[#This Row],[report_date]])</f>
        <v>2026</v>
      </c>
      <c r="C12535" s="128">
        <f t="shared" si="587"/>
        <v>1</v>
      </c>
      <c r="D12535" s="136">
        <f t="shared" si="586"/>
        <v>5</v>
      </c>
      <c r="E12535" s="136">
        <f t="shared" si="588"/>
        <v>29</v>
      </c>
      <c r="F12535" s="137" t="s">
        <v>24</v>
      </c>
      <c r="G12535" s="128" t="str">
        <f>VLOOKUP(source[[#This Row],[lending_product_transform]],[3]Mapping!$B$4:$C$37,2,0)</f>
        <v>[Cake] - Cashloan</v>
      </c>
      <c r="H12535" s="128" t="str">
        <f>VLOOKUP(source[[#This Row],[lending_product_transform]],[3]Mapping!$B$3:$D$37,3,0)</f>
        <v>cashloan</v>
      </c>
      <c r="I12535" s="143">
        <v>18000000</v>
      </c>
    </row>
    <row r="12536" spans="1:9" x14ac:dyDescent="0.2">
      <c r="A12536" s="134">
        <v>46051</v>
      </c>
      <c r="B12536" s="135">
        <f>YEAR(source[[#This Row],[report_date]])</f>
        <v>2026</v>
      </c>
      <c r="C12536" s="128">
        <f t="shared" si="587"/>
        <v>1</v>
      </c>
      <c r="D12536" s="136">
        <f t="shared" si="586"/>
        <v>5</v>
      </c>
      <c r="E12536" s="136">
        <f t="shared" si="588"/>
        <v>29</v>
      </c>
      <c r="F12536" s="137" t="s">
        <v>24</v>
      </c>
      <c r="G12536" s="128" t="str">
        <f>VLOOKUP(source[[#This Row],[lending_product_transform]],[3]Mapping!$B$4:$C$37,2,0)</f>
        <v>[Cake] - Cashloan</v>
      </c>
      <c r="H12536" s="128" t="str">
        <f>VLOOKUP(source[[#This Row],[lending_product_transform]],[3]Mapping!$B$3:$D$37,3,0)</f>
        <v>cashloan</v>
      </c>
      <c r="I12536" s="143">
        <v>925150000</v>
      </c>
    </row>
    <row r="12537" spans="1:9" x14ac:dyDescent="0.2">
      <c r="A12537" s="134">
        <v>46051</v>
      </c>
      <c r="B12537" s="135">
        <f>YEAR(source[[#This Row],[report_date]])</f>
        <v>2026</v>
      </c>
      <c r="C12537" s="128">
        <f t="shared" si="587"/>
        <v>1</v>
      </c>
      <c r="D12537" s="136">
        <f t="shared" si="586"/>
        <v>5</v>
      </c>
      <c r="E12537" s="136">
        <f t="shared" si="588"/>
        <v>29</v>
      </c>
      <c r="F12537" s="137" t="s">
        <v>24</v>
      </c>
      <c r="G12537" s="128" t="str">
        <f>VLOOKUP(source[[#This Row],[lending_product_transform]],[3]Mapping!$B$4:$C$37,2,0)</f>
        <v>[Cake] - Cashloan</v>
      </c>
      <c r="H12537" s="128" t="str">
        <f>VLOOKUP(source[[#This Row],[lending_product_transform]],[3]Mapping!$B$3:$D$37,3,0)</f>
        <v>cashloan</v>
      </c>
      <c r="I12537" s="143">
        <v>329400000</v>
      </c>
    </row>
    <row r="12538" spans="1:9" x14ac:dyDescent="0.2">
      <c r="A12538" s="134">
        <v>46051</v>
      </c>
      <c r="B12538" s="135">
        <f>YEAR(source[[#This Row],[report_date]])</f>
        <v>2026</v>
      </c>
      <c r="C12538" s="128">
        <f t="shared" si="587"/>
        <v>1</v>
      </c>
      <c r="D12538" s="136">
        <f t="shared" si="586"/>
        <v>5</v>
      </c>
      <c r="E12538" s="136">
        <f t="shared" si="588"/>
        <v>29</v>
      </c>
      <c r="F12538" s="137" t="s">
        <v>24</v>
      </c>
      <c r="G12538" s="128" t="str">
        <f>VLOOKUP(source[[#This Row],[lending_product_transform]],[3]Mapping!$B$4:$C$37,2,0)</f>
        <v>[Cake] - Cashloan</v>
      </c>
      <c r="H12538" s="128" t="str">
        <f>VLOOKUP(source[[#This Row],[lending_product_transform]],[3]Mapping!$B$3:$D$37,3,0)</f>
        <v>cashloan</v>
      </c>
      <c r="I12538" s="143">
        <v>484685422</v>
      </c>
    </row>
    <row r="12539" spans="1:9" x14ac:dyDescent="0.2">
      <c r="A12539" s="134">
        <v>46051</v>
      </c>
      <c r="B12539" s="135">
        <f>YEAR(source[[#This Row],[report_date]])</f>
        <v>2026</v>
      </c>
      <c r="C12539" s="128">
        <f t="shared" si="587"/>
        <v>1</v>
      </c>
      <c r="D12539" s="136">
        <f t="shared" si="586"/>
        <v>5</v>
      </c>
      <c r="E12539" s="136">
        <f t="shared" si="588"/>
        <v>29</v>
      </c>
      <c r="F12539" s="137" t="s">
        <v>24</v>
      </c>
      <c r="G12539" s="128" t="str">
        <f>VLOOKUP(source[[#This Row],[lending_product_transform]],[3]Mapping!$B$4:$C$37,2,0)</f>
        <v>[Cake] - Cashloan</v>
      </c>
      <c r="H12539" s="128" t="str">
        <f>VLOOKUP(source[[#This Row],[lending_product_transform]],[3]Mapping!$B$3:$D$37,3,0)</f>
        <v>cashloan</v>
      </c>
      <c r="I12539" s="143">
        <v>2946050000</v>
      </c>
    </row>
    <row r="12540" spans="1:9" x14ac:dyDescent="0.2">
      <c r="A12540" s="134">
        <v>46051</v>
      </c>
      <c r="B12540" s="135">
        <f>YEAR(source[[#This Row],[report_date]])</f>
        <v>2026</v>
      </c>
      <c r="C12540" s="128">
        <f t="shared" si="587"/>
        <v>1</v>
      </c>
      <c r="D12540" s="136">
        <f t="shared" si="586"/>
        <v>5</v>
      </c>
      <c r="E12540" s="136">
        <f t="shared" si="588"/>
        <v>29</v>
      </c>
      <c r="F12540" s="137" t="s">
        <v>24</v>
      </c>
      <c r="G12540" s="128" t="str">
        <f>VLOOKUP(source[[#This Row],[lending_product_transform]],[3]Mapping!$B$4:$C$37,2,0)</f>
        <v>[Cake] - Cashloan</v>
      </c>
      <c r="H12540" s="128" t="str">
        <f>VLOOKUP(source[[#This Row],[lending_product_transform]],[3]Mapping!$B$3:$D$37,3,0)</f>
        <v>cashloan</v>
      </c>
      <c r="I12540" s="143">
        <v>1033280000</v>
      </c>
    </row>
    <row r="12541" spans="1:9" x14ac:dyDescent="0.2">
      <c r="A12541" s="134">
        <v>46052</v>
      </c>
      <c r="B12541" s="135">
        <f>YEAR(source[[#This Row],[report_date]])</f>
        <v>2026</v>
      </c>
      <c r="C12541" s="128">
        <f t="shared" si="587"/>
        <v>1</v>
      </c>
      <c r="D12541" s="136">
        <f t="shared" si="586"/>
        <v>5</v>
      </c>
      <c r="E12541" s="136">
        <f t="shared" si="588"/>
        <v>30</v>
      </c>
      <c r="F12541" s="137" t="s">
        <v>24</v>
      </c>
      <c r="G12541" s="128" t="str">
        <f>VLOOKUP(source[[#This Row],[lending_product_transform]],[3]Mapping!$B$4:$C$37,2,0)</f>
        <v>[Cake] - Cashloan</v>
      </c>
      <c r="H12541" s="128" t="str">
        <f>VLOOKUP(source[[#This Row],[lending_product_transform]],[3]Mapping!$B$3:$D$37,3,0)</f>
        <v>cashloan</v>
      </c>
      <c r="I12541" s="143">
        <v>596850000</v>
      </c>
    </row>
    <row r="12542" spans="1:9" x14ac:dyDescent="0.2">
      <c r="A12542" s="134">
        <v>46052</v>
      </c>
      <c r="B12542" s="135">
        <f>YEAR(source[[#This Row],[report_date]])</f>
        <v>2026</v>
      </c>
      <c r="C12542" s="128">
        <f t="shared" si="587"/>
        <v>1</v>
      </c>
      <c r="D12542" s="136">
        <f t="shared" si="586"/>
        <v>5</v>
      </c>
      <c r="E12542" s="136">
        <f t="shared" si="588"/>
        <v>30</v>
      </c>
      <c r="F12542" s="137" t="s">
        <v>24</v>
      </c>
      <c r="G12542" s="128" t="str">
        <f>VLOOKUP(source[[#This Row],[lending_product_transform]],[3]Mapping!$B$4:$C$37,2,0)</f>
        <v>[Cake] - Cashloan</v>
      </c>
      <c r="H12542" s="128" t="str">
        <f>VLOOKUP(source[[#This Row],[lending_product_transform]],[3]Mapping!$B$3:$D$37,3,0)</f>
        <v>cashloan</v>
      </c>
      <c r="I12542" s="143">
        <v>361337313</v>
      </c>
    </row>
    <row r="12543" spans="1:9" x14ac:dyDescent="0.2">
      <c r="A12543" s="134">
        <v>46052</v>
      </c>
      <c r="B12543" s="135">
        <f>YEAR(source[[#This Row],[report_date]])</f>
        <v>2026</v>
      </c>
      <c r="C12543" s="128">
        <f t="shared" si="587"/>
        <v>1</v>
      </c>
      <c r="D12543" s="136">
        <f t="shared" si="586"/>
        <v>5</v>
      </c>
      <c r="E12543" s="136">
        <f t="shared" si="588"/>
        <v>30</v>
      </c>
      <c r="F12543" s="137" t="s">
        <v>24</v>
      </c>
      <c r="G12543" s="128" t="str">
        <f>VLOOKUP(source[[#This Row],[lending_product_transform]],[3]Mapping!$B$4:$C$37,2,0)</f>
        <v>[Cake] - Cashloan</v>
      </c>
      <c r="H12543" s="128" t="str">
        <f>VLOOKUP(source[[#This Row],[lending_product_transform]],[3]Mapping!$B$3:$D$37,3,0)</f>
        <v>cashloan</v>
      </c>
      <c r="I12543" s="143">
        <v>17772880000</v>
      </c>
    </row>
    <row r="12544" spans="1:9" x14ac:dyDescent="0.2">
      <c r="A12544" s="134">
        <v>46052</v>
      </c>
      <c r="B12544" s="135">
        <f>YEAR(source[[#This Row],[report_date]])</f>
        <v>2026</v>
      </c>
      <c r="C12544" s="128">
        <f t="shared" si="587"/>
        <v>1</v>
      </c>
      <c r="D12544" s="136">
        <f t="shared" si="586"/>
        <v>5</v>
      </c>
      <c r="E12544" s="136">
        <f t="shared" si="588"/>
        <v>30</v>
      </c>
      <c r="F12544" s="137" t="s">
        <v>24</v>
      </c>
      <c r="G12544" s="128" t="str">
        <f>VLOOKUP(source[[#This Row],[lending_product_transform]],[3]Mapping!$B$4:$C$37,2,0)</f>
        <v>[Cake] - Cashloan</v>
      </c>
      <c r="H12544" s="128" t="str">
        <f>VLOOKUP(source[[#This Row],[lending_product_transform]],[3]Mapping!$B$3:$D$37,3,0)</f>
        <v>cashloan</v>
      </c>
      <c r="I12544" s="143">
        <v>2277389791</v>
      </c>
    </row>
    <row r="12545" spans="1:9" x14ac:dyDescent="0.2">
      <c r="A12545" s="134">
        <v>46052</v>
      </c>
      <c r="B12545" s="135">
        <f>YEAR(source[[#This Row],[report_date]])</f>
        <v>2026</v>
      </c>
      <c r="C12545" s="128">
        <f t="shared" si="587"/>
        <v>1</v>
      </c>
      <c r="D12545" s="136">
        <f t="shared" si="586"/>
        <v>5</v>
      </c>
      <c r="E12545" s="136">
        <f t="shared" si="588"/>
        <v>30</v>
      </c>
      <c r="F12545" s="137" t="s">
        <v>24</v>
      </c>
      <c r="G12545" s="128" t="str">
        <f>VLOOKUP(source[[#This Row],[lending_product_transform]],[3]Mapping!$B$4:$C$37,2,0)</f>
        <v>[Cake] - Cashloan</v>
      </c>
      <c r="H12545" s="128" t="str">
        <f>VLOOKUP(source[[#This Row],[lending_product_transform]],[3]Mapping!$B$3:$D$37,3,0)</f>
        <v>cashloan</v>
      </c>
      <c r="I12545" s="143">
        <v>13122432000</v>
      </c>
    </row>
    <row r="12546" spans="1:9" x14ac:dyDescent="0.2">
      <c r="A12546" s="134">
        <v>46052</v>
      </c>
      <c r="B12546" s="135">
        <f>YEAR(source[[#This Row],[report_date]])</f>
        <v>2026</v>
      </c>
      <c r="C12546" s="128">
        <f t="shared" si="587"/>
        <v>1</v>
      </c>
      <c r="D12546" s="136">
        <f t="shared" si="586"/>
        <v>5</v>
      </c>
      <c r="E12546" s="136">
        <f t="shared" si="588"/>
        <v>30</v>
      </c>
      <c r="F12546" s="137" t="s">
        <v>24</v>
      </c>
      <c r="G12546" s="128" t="str">
        <f>VLOOKUP(source[[#This Row],[lending_product_transform]],[3]Mapping!$B$4:$C$37,2,0)</f>
        <v>[Cake] - Cashloan</v>
      </c>
      <c r="H12546" s="128" t="str">
        <f>VLOOKUP(source[[#This Row],[lending_product_transform]],[3]Mapping!$B$3:$D$37,3,0)</f>
        <v>cashloan</v>
      </c>
      <c r="I12546" s="143">
        <v>17800435</v>
      </c>
    </row>
    <row r="12547" spans="1:9" x14ac:dyDescent="0.2">
      <c r="A12547" s="134">
        <v>46052</v>
      </c>
      <c r="B12547" s="135">
        <f>YEAR(source[[#This Row],[report_date]])</f>
        <v>2026</v>
      </c>
      <c r="C12547" s="128">
        <f t="shared" si="587"/>
        <v>1</v>
      </c>
      <c r="D12547" s="136">
        <f t="shared" si="586"/>
        <v>5</v>
      </c>
      <c r="E12547" s="136">
        <f t="shared" si="588"/>
        <v>30</v>
      </c>
      <c r="F12547" s="137" t="s">
        <v>24</v>
      </c>
      <c r="G12547" s="128" t="str">
        <f>VLOOKUP(source[[#This Row],[lending_product_transform]],[3]Mapping!$B$4:$C$37,2,0)</f>
        <v>[Cake] - Cashloan</v>
      </c>
      <c r="H12547" s="128" t="str">
        <f>VLOOKUP(source[[#This Row],[lending_product_transform]],[3]Mapping!$B$3:$D$37,3,0)</f>
        <v>cashloan</v>
      </c>
      <c r="I12547" s="143">
        <v>90000000</v>
      </c>
    </row>
    <row r="12548" spans="1:9" x14ac:dyDescent="0.2">
      <c r="A12548" s="134">
        <v>46052</v>
      </c>
      <c r="B12548" s="135">
        <f>YEAR(source[[#This Row],[report_date]])</f>
        <v>2026</v>
      </c>
      <c r="C12548" s="128">
        <f t="shared" si="587"/>
        <v>1</v>
      </c>
      <c r="D12548" s="136">
        <f t="shared" si="586"/>
        <v>5</v>
      </c>
      <c r="E12548" s="136">
        <f t="shared" si="588"/>
        <v>30</v>
      </c>
      <c r="F12548" s="137" t="s">
        <v>24</v>
      </c>
      <c r="G12548" s="128" t="str">
        <f>VLOOKUP(source[[#This Row],[lending_product_transform]],[3]Mapping!$B$4:$C$37,2,0)</f>
        <v>[Cake] - Cashloan</v>
      </c>
      <c r="H12548" s="128" t="str">
        <f>VLOOKUP(source[[#This Row],[lending_product_transform]],[3]Mapping!$B$3:$D$37,3,0)</f>
        <v>cashloan</v>
      </c>
      <c r="I12548" s="143">
        <v>4045960000</v>
      </c>
    </row>
    <row r="12549" spans="1:9" x14ac:dyDescent="0.2">
      <c r="A12549" s="134">
        <v>46052</v>
      </c>
      <c r="B12549" s="135">
        <f>YEAR(source[[#This Row],[report_date]])</f>
        <v>2026</v>
      </c>
      <c r="C12549" s="128">
        <f t="shared" si="587"/>
        <v>1</v>
      </c>
      <c r="D12549" s="136">
        <f t="shared" si="586"/>
        <v>5</v>
      </c>
      <c r="E12549" s="136">
        <f t="shared" si="588"/>
        <v>30</v>
      </c>
      <c r="F12549" s="137" t="s">
        <v>24</v>
      </c>
      <c r="G12549" s="128" t="str">
        <f>VLOOKUP(source[[#This Row],[lending_product_transform]],[3]Mapping!$B$4:$C$37,2,0)</f>
        <v>[Cake] - Cashloan</v>
      </c>
      <c r="H12549" s="128" t="str">
        <f>VLOOKUP(source[[#This Row],[lending_product_transform]],[3]Mapping!$B$3:$D$37,3,0)</f>
        <v>cashloan</v>
      </c>
      <c r="I12549" s="143">
        <v>1251400000</v>
      </c>
    </row>
    <row r="12550" spans="1:9" x14ac:dyDescent="0.2">
      <c r="A12550" s="134">
        <v>46052</v>
      </c>
      <c r="B12550" s="135">
        <f>YEAR(source[[#This Row],[report_date]])</f>
        <v>2026</v>
      </c>
      <c r="C12550" s="128">
        <f t="shared" si="587"/>
        <v>1</v>
      </c>
      <c r="D12550" s="136">
        <f t="shared" si="586"/>
        <v>5</v>
      </c>
      <c r="E12550" s="136">
        <f t="shared" si="588"/>
        <v>30</v>
      </c>
      <c r="F12550" s="137" t="s">
        <v>24</v>
      </c>
      <c r="G12550" s="128" t="str">
        <f>VLOOKUP(source[[#This Row],[lending_product_transform]],[3]Mapping!$B$4:$C$37,2,0)</f>
        <v>[Cake] - Cashloan</v>
      </c>
      <c r="H12550" s="128" t="str">
        <f>VLOOKUP(source[[#This Row],[lending_product_transform]],[3]Mapping!$B$3:$D$37,3,0)</f>
        <v>cashloan</v>
      </c>
      <c r="I12550" s="143">
        <v>33450483</v>
      </c>
    </row>
    <row r="12551" spans="1:9" x14ac:dyDescent="0.2">
      <c r="A12551" s="134">
        <v>46052</v>
      </c>
      <c r="B12551" s="135">
        <f>YEAR(source[[#This Row],[report_date]])</f>
        <v>2026</v>
      </c>
      <c r="C12551" s="128">
        <f t="shared" si="587"/>
        <v>1</v>
      </c>
      <c r="D12551" s="136">
        <f t="shared" si="586"/>
        <v>5</v>
      </c>
      <c r="E12551" s="136">
        <f t="shared" si="588"/>
        <v>30</v>
      </c>
      <c r="F12551" s="137" t="s">
        <v>24</v>
      </c>
      <c r="G12551" s="128" t="str">
        <f>VLOOKUP(source[[#This Row],[lending_product_transform]],[3]Mapping!$B$4:$C$37,2,0)</f>
        <v>[Cake] - Cashloan</v>
      </c>
      <c r="H12551" s="128" t="str">
        <f>VLOOKUP(source[[#This Row],[lending_product_transform]],[3]Mapping!$B$3:$D$37,3,0)</f>
        <v>cashloan</v>
      </c>
      <c r="I12551" s="143">
        <v>1191721323</v>
      </c>
    </row>
    <row r="12552" spans="1:9" x14ac:dyDescent="0.2">
      <c r="A12552" s="134">
        <v>46052</v>
      </c>
      <c r="B12552" s="135">
        <f>YEAR(source[[#This Row],[report_date]])</f>
        <v>2026</v>
      </c>
      <c r="C12552" s="128">
        <f t="shared" si="587"/>
        <v>1</v>
      </c>
      <c r="D12552" s="136">
        <f t="shared" si="586"/>
        <v>5</v>
      </c>
      <c r="E12552" s="136">
        <f t="shared" si="588"/>
        <v>30</v>
      </c>
      <c r="F12552" s="137" t="s">
        <v>24</v>
      </c>
      <c r="G12552" s="128" t="str">
        <f>VLOOKUP(source[[#This Row],[lending_product_transform]],[3]Mapping!$B$4:$C$37,2,0)</f>
        <v>[Cake] - Cashloan</v>
      </c>
      <c r="H12552" s="128" t="str">
        <f>VLOOKUP(source[[#This Row],[lending_product_transform]],[3]Mapping!$B$3:$D$37,3,0)</f>
        <v>cashloan</v>
      </c>
      <c r="I12552" s="143">
        <v>0</v>
      </c>
    </row>
    <row r="12553" spans="1:9" x14ac:dyDescent="0.2">
      <c r="A12553" s="134">
        <v>46052</v>
      </c>
      <c r="B12553" s="135">
        <f>YEAR(source[[#This Row],[report_date]])</f>
        <v>2026</v>
      </c>
      <c r="C12553" s="128">
        <f t="shared" si="587"/>
        <v>1</v>
      </c>
      <c r="D12553" s="136">
        <f t="shared" si="586"/>
        <v>5</v>
      </c>
      <c r="E12553" s="136">
        <f t="shared" si="588"/>
        <v>30</v>
      </c>
      <c r="F12553" s="137" t="s">
        <v>24</v>
      </c>
      <c r="G12553" s="128" t="str">
        <f>VLOOKUP(source[[#This Row],[lending_product_transform]],[3]Mapping!$B$4:$C$37,2,0)</f>
        <v>[Cake] - Cashloan</v>
      </c>
      <c r="H12553" s="128" t="str">
        <f>VLOOKUP(source[[#This Row],[lending_product_transform]],[3]Mapping!$B$3:$D$37,3,0)</f>
        <v>cashloan</v>
      </c>
      <c r="I12553" s="143">
        <v>196500000</v>
      </c>
    </row>
    <row r="12554" spans="1:9" x14ac:dyDescent="0.2">
      <c r="A12554" s="134">
        <v>46052</v>
      </c>
      <c r="B12554" s="135">
        <f>YEAR(source[[#This Row],[report_date]])</f>
        <v>2026</v>
      </c>
      <c r="C12554" s="128">
        <f t="shared" si="587"/>
        <v>1</v>
      </c>
      <c r="D12554" s="136">
        <f t="shared" si="586"/>
        <v>5</v>
      </c>
      <c r="E12554" s="136">
        <f t="shared" si="588"/>
        <v>30</v>
      </c>
      <c r="F12554" s="137" t="s">
        <v>24</v>
      </c>
      <c r="G12554" s="128" t="str">
        <f>VLOOKUP(source[[#This Row],[lending_product_transform]],[3]Mapping!$B$4:$C$37,2,0)</f>
        <v>[Cake] - Cashloan</v>
      </c>
      <c r="H12554" s="128" t="str">
        <f>VLOOKUP(source[[#This Row],[lending_product_transform]],[3]Mapping!$B$3:$D$37,3,0)</f>
        <v>cashloan</v>
      </c>
      <c r="I12554" s="143">
        <v>0</v>
      </c>
    </row>
    <row r="12555" spans="1:9" x14ac:dyDescent="0.2">
      <c r="A12555" s="134">
        <v>46052</v>
      </c>
      <c r="B12555" s="135">
        <f>YEAR(source[[#This Row],[report_date]])</f>
        <v>2026</v>
      </c>
      <c r="C12555" s="128">
        <f t="shared" si="587"/>
        <v>1</v>
      </c>
      <c r="D12555" s="136">
        <f t="shared" si="586"/>
        <v>5</v>
      </c>
      <c r="E12555" s="136">
        <f t="shared" si="588"/>
        <v>30</v>
      </c>
      <c r="F12555" s="137" t="s">
        <v>24</v>
      </c>
      <c r="G12555" s="128" t="str">
        <f>VLOOKUP(source[[#This Row],[lending_product_transform]],[3]Mapping!$B$4:$C$37,2,0)</f>
        <v>[Cake] - Cashloan</v>
      </c>
      <c r="H12555" s="128" t="str">
        <f>VLOOKUP(source[[#This Row],[lending_product_transform]],[3]Mapping!$B$3:$D$37,3,0)</f>
        <v>cashloan</v>
      </c>
      <c r="I12555" s="143">
        <v>19896470000</v>
      </c>
    </row>
    <row r="12556" spans="1:9" x14ac:dyDescent="0.2">
      <c r="A12556" s="134">
        <v>46052</v>
      </c>
      <c r="B12556" s="135">
        <f>YEAR(source[[#This Row],[report_date]])</f>
        <v>2026</v>
      </c>
      <c r="C12556" s="128">
        <f t="shared" si="587"/>
        <v>1</v>
      </c>
      <c r="D12556" s="136">
        <f t="shared" si="586"/>
        <v>5</v>
      </c>
      <c r="E12556" s="136">
        <f t="shared" si="588"/>
        <v>30</v>
      </c>
      <c r="F12556" s="137" t="s">
        <v>24</v>
      </c>
      <c r="G12556" s="128" t="str">
        <f>VLOOKUP(source[[#This Row],[lending_product_transform]],[3]Mapping!$B$4:$C$37,2,0)</f>
        <v>[Cake] - Cashloan</v>
      </c>
      <c r="H12556" s="128" t="str">
        <f>VLOOKUP(source[[#This Row],[lending_product_transform]],[3]Mapping!$B$3:$D$37,3,0)</f>
        <v>cashloan</v>
      </c>
      <c r="I12556" s="143">
        <v>0</v>
      </c>
    </row>
    <row r="12557" spans="1:9" x14ac:dyDescent="0.2">
      <c r="A12557" s="134">
        <v>46052</v>
      </c>
      <c r="B12557" s="135">
        <f>YEAR(source[[#This Row],[report_date]])</f>
        <v>2026</v>
      </c>
      <c r="C12557" s="128">
        <f t="shared" si="587"/>
        <v>1</v>
      </c>
      <c r="D12557" s="136">
        <f t="shared" si="586"/>
        <v>5</v>
      </c>
      <c r="E12557" s="136">
        <f t="shared" si="588"/>
        <v>30</v>
      </c>
      <c r="F12557" s="137" t="s">
        <v>24</v>
      </c>
      <c r="G12557" s="128" t="str">
        <f>VLOOKUP(source[[#This Row],[lending_product_transform]],[3]Mapping!$B$4:$C$37,2,0)</f>
        <v>[Cake] - Cashloan</v>
      </c>
      <c r="H12557" s="128" t="str">
        <f>VLOOKUP(source[[#This Row],[lending_product_transform]],[3]Mapping!$B$3:$D$37,3,0)</f>
        <v>cashloan</v>
      </c>
      <c r="I12557" s="143">
        <v>0</v>
      </c>
    </row>
    <row r="12558" spans="1:9" x14ac:dyDescent="0.2">
      <c r="A12558" s="134">
        <v>46052</v>
      </c>
      <c r="B12558" s="135">
        <f>YEAR(source[[#This Row],[report_date]])</f>
        <v>2026</v>
      </c>
      <c r="C12558" s="128">
        <f t="shared" si="587"/>
        <v>1</v>
      </c>
      <c r="D12558" s="136">
        <f t="shared" si="586"/>
        <v>5</v>
      </c>
      <c r="E12558" s="136">
        <f t="shared" si="588"/>
        <v>30</v>
      </c>
      <c r="F12558" s="137" t="s">
        <v>24</v>
      </c>
      <c r="G12558" s="128" t="str">
        <f>VLOOKUP(source[[#This Row],[lending_product_transform]],[3]Mapping!$B$4:$C$37,2,0)</f>
        <v>[Cake] - Cashloan</v>
      </c>
      <c r="H12558" s="128" t="str">
        <f>VLOOKUP(source[[#This Row],[lending_product_transform]],[3]Mapping!$B$3:$D$37,3,0)</f>
        <v>cashloan</v>
      </c>
      <c r="I12558" s="143">
        <v>0</v>
      </c>
    </row>
    <row r="12559" spans="1:9" x14ac:dyDescent="0.2">
      <c r="A12559" s="134">
        <v>46052</v>
      </c>
      <c r="B12559" s="135">
        <f>YEAR(source[[#This Row],[report_date]])</f>
        <v>2026</v>
      </c>
      <c r="C12559" s="128">
        <f t="shared" si="587"/>
        <v>1</v>
      </c>
      <c r="D12559" s="136">
        <f t="shared" si="586"/>
        <v>5</v>
      </c>
      <c r="E12559" s="136">
        <f t="shared" si="588"/>
        <v>30</v>
      </c>
      <c r="F12559" s="137" t="s">
        <v>24</v>
      </c>
      <c r="G12559" s="128" t="str">
        <f>VLOOKUP(source[[#This Row],[lending_product_transform]],[3]Mapping!$B$4:$C$37,2,0)</f>
        <v>[Cake] - Cashloan</v>
      </c>
      <c r="H12559" s="128" t="str">
        <f>VLOOKUP(source[[#This Row],[lending_product_transform]],[3]Mapping!$B$3:$D$37,3,0)</f>
        <v>cashloan</v>
      </c>
      <c r="I12559" s="143">
        <v>20000000</v>
      </c>
    </row>
    <row r="12560" spans="1:9" x14ac:dyDescent="0.2">
      <c r="A12560" s="134">
        <v>46052</v>
      </c>
      <c r="B12560" s="135">
        <f>YEAR(source[[#This Row],[report_date]])</f>
        <v>2026</v>
      </c>
      <c r="C12560" s="128">
        <f t="shared" si="587"/>
        <v>1</v>
      </c>
      <c r="D12560" s="136">
        <f t="shared" si="586"/>
        <v>5</v>
      </c>
      <c r="E12560" s="136">
        <f t="shared" si="588"/>
        <v>30</v>
      </c>
      <c r="F12560" s="137" t="s">
        <v>24</v>
      </c>
      <c r="G12560" s="128" t="str">
        <f>VLOOKUP(source[[#This Row],[lending_product_transform]],[3]Mapping!$B$4:$C$37,2,0)</f>
        <v>[Cake] - Cashloan</v>
      </c>
      <c r="H12560" s="128" t="str">
        <f>VLOOKUP(source[[#This Row],[lending_product_transform]],[3]Mapping!$B$3:$D$37,3,0)</f>
        <v>cashloan</v>
      </c>
      <c r="I12560" s="143">
        <v>10135908000</v>
      </c>
    </row>
    <row r="12561" spans="1:9" x14ac:dyDescent="0.2">
      <c r="A12561" s="134">
        <v>46052</v>
      </c>
      <c r="B12561" s="135">
        <f>YEAR(source[[#This Row],[report_date]])</f>
        <v>2026</v>
      </c>
      <c r="C12561" s="128">
        <f t="shared" si="587"/>
        <v>1</v>
      </c>
      <c r="D12561" s="136">
        <f t="shared" ref="D12561:D12624" si="589">WEEKNUM(A12561,2)</f>
        <v>5</v>
      </c>
      <c r="E12561" s="136">
        <f t="shared" si="588"/>
        <v>30</v>
      </c>
      <c r="F12561" s="137" t="s">
        <v>24</v>
      </c>
      <c r="G12561" s="128" t="str">
        <f>VLOOKUP(source[[#This Row],[lending_product_transform]],[3]Mapping!$B$4:$C$37,2,0)</f>
        <v>[Cake] - Cashloan</v>
      </c>
      <c r="H12561" s="128" t="str">
        <f>VLOOKUP(source[[#This Row],[lending_product_transform]],[3]Mapping!$B$3:$D$37,3,0)</f>
        <v>cashloan</v>
      </c>
      <c r="I12561" s="143">
        <v>163204446</v>
      </c>
    </row>
    <row r="12562" spans="1:9" x14ac:dyDescent="0.2">
      <c r="A12562" s="134">
        <v>46052</v>
      </c>
      <c r="B12562" s="135">
        <f>YEAR(source[[#This Row],[report_date]])</f>
        <v>2026</v>
      </c>
      <c r="C12562" s="128">
        <f t="shared" si="587"/>
        <v>1</v>
      </c>
      <c r="D12562" s="136">
        <f t="shared" si="589"/>
        <v>5</v>
      </c>
      <c r="E12562" s="136">
        <f t="shared" si="588"/>
        <v>30</v>
      </c>
      <c r="F12562" s="137" t="s">
        <v>24</v>
      </c>
      <c r="G12562" s="128" t="str">
        <f>VLOOKUP(source[[#This Row],[lending_product_transform]],[3]Mapping!$B$4:$C$37,2,0)</f>
        <v>[Cake] - Cashloan</v>
      </c>
      <c r="H12562" s="128" t="str">
        <f>VLOOKUP(source[[#This Row],[lending_product_transform]],[3]Mapping!$B$3:$D$37,3,0)</f>
        <v>cashloan</v>
      </c>
      <c r="I12562" s="143">
        <v>157500000</v>
      </c>
    </row>
    <row r="12563" spans="1:9" x14ac:dyDescent="0.2">
      <c r="A12563" s="134">
        <v>46052</v>
      </c>
      <c r="B12563" s="135">
        <f>YEAR(source[[#This Row],[report_date]])</f>
        <v>2026</v>
      </c>
      <c r="C12563" s="128">
        <f t="shared" si="587"/>
        <v>1</v>
      </c>
      <c r="D12563" s="136">
        <f t="shared" si="589"/>
        <v>5</v>
      </c>
      <c r="E12563" s="136">
        <f t="shared" si="588"/>
        <v>30</v>
      </c>
      <c r="F12563" s="137" t="s">
        <v>24</v>
      </c>
      <c r="G12563" s="128" t="str">
        <f>VLOOKUP(source[[#This Row],[lending_product_transform]],[3]Mapping!$B$4:$C$37,2,0)</f>
        <v>[Cake] - Cashloan</v>
      </c>
      <c r="H12563" s="128" t="str">
        <f>VLOOKUP(source[[#This Row],[lending_product_transform]],[3]Mapping!$B$3:$D$37,3,0)</f>
        <v>cashloan</v>
      </c>
      <c r="I12563" s="143">
        <v>28000000</v>
      </c>
    </row>
    <row r="12564" spans="1:9" x14ac:dyDescent="0.2">
      <c r="A12564" s="134">
        <v>46052</v>
      </c>
      <c r="B12564" s="135">
        <f>YEAR(source[[#This Row],[report_date]])</f>
        <v>2026</v>
      </c>
      <c r="C12564" s="128">
        <f t="shared" si="587"/>
        <v>1</v>
      </c>
      <c r="D12564" s="136">
        <f t="shared" si="589"/>
        <v>5</v>
      </c>
      <c r="E12564" s="136">
        <f t="shared" si="588"/>
        <v>30</v>
      </c>
      <c r="F12564" s="137" t="s">
        <v>24</v>
      </c>
      <c r="G12564" s="128" t="str">
        <f>VLOOKUP(source[[#This Row],[lending_product_transform]],[3]Mapping!$B$4:$C$37,2,0)</f>
        <v>[Cake] - Cashloan</v>
      </c>
      <c r="H12564" s="128" t="str">
        <f>VLOOKUP(source[[#This Row],[lending_product_transform]],[3]Mapping!$B$3:$D$37,3,0)</f>
        <v>cashloan</v>
      </c>
      <c r="I12564" s="143">
        <v>719640000</v>
      </c>
    </row>
    <row r="12565" spans="1:9" x14ac:dyDescent="0.2">
      <c r="A12565" s="134">
        <v>46052</v>
      </c>
      <c r="B12565" s="135">
        <f>YEAR(source[[#This Row],[report_date]])</f>
        <v>2026</v>
      </c>
      <c r="C12565" s="128">
        <f t="shared" si="587"/>
        <v>1</v>
      </c>
      <c r="D12565" s="136">
        <f t="shared" si="589"/>
        <v>5</v>
      </c>
      <c r="E12565" s="136">
        <f t="shared" si="588"/>
        <v>30</v>
      </c>
      <c r="F12565" s="137" t="s">
        <v>24</v>
      </c>
      <c r="G12565" s="128" t="str">
        <f>VLOOKUP(source[[#This Row],[lending_product_transform]],[3]Mapping!$B$4:$C$37,2,0)</f>
        <v>[Cake] - Cashloan</v>
      </c>
      <c r="H12565" s="128" t="str">
        <f>VLOOKUP(source[[#This Row],[lending_product_transform]],[3]Mapping!$B$3:$D$37,3,0)</f>
        <v>cashloan</v>
      </c>
      <c r="I12565" s="143">
        <v>365148000</v>
      </c>
    </row>
    <row r="12566" spans="1:9" x14ac:dyDescent="0.2">
      <c r="A12566" s="134">
        <v>46052</v>
      </c>
      <c r="B12566" s="135">
        <f>YEAR(source[[#This Row],[report_date]])</f>
        <v>2026</v>
      </c>
      <c r="C12566" s="128">
        <f t="shared" si="587"/>
        <v>1</v>
      </c>
      <c r="D12566" s="136">
        <f t="shared" si="589"/>
        <v>5</v>
      </c>
      <c r="E12566" s="136">
        <f t="shared" si="588"/>
        <v>30</v>
      </c>
      <c r="F12566" s="137" t="s">
        <v>24</v>
      </c>
      <c r="G12566" s="128" t="str">
        <f>VLOOKUP(source[[#This Row],[lending_product_transform]],[3]Mapping!$B$4:$C$37,2,0)</f>
        <v>[Cake] - Cashloan</v>
      </c>
      <c r="H12566" s="128" t="str">
        <f>VLOOKUP(source[[#This Row],[lending_product_transform]],[3]Mapping!$B$3:$D$37,3,0)</f>
        <v>cashloan</v>
      </c>
      <c r="I12566" s="143">
        <v>525417465</v>
      </c>
    </row>
    <row r="12567" spans="1:9" x14ac:dyDescent="0.2">
      <c r="A12567" s="134">
        <v>46052</v>
      </c>
      <c r="B12567" s="135">
        <f>YEAR(source[[#This Row],[report_date]])</f>
        <v>2026</v>
      </c>
      <c r="C12567" s="128">
        <f t="shared" si="587"/>
        <v>1</v>
      </c>
      <c r="D12567" s="136">
        <f t="shared" si="589"/>
        <v>5</v>
      </c>
      <c r="E12567" s="136">
        <f t="shared" si="588"/>
        <v>30</v>
      </c>
      <c r="F12567" s="137" t="s">
        <v>24</v>
      </c>
      <c r="G12567" s="128" t="str">
        <f>VLOOKUP(source[[#This Row],[lending_product_transform]],[3]Mapping!$B$4:$C$37,2,0)</f>
        <v>[Cake] - Cashloan</v>
      </c>
      <c r="H12567" s="128" t="str">
        <f>VLOOKUP(source[[#This Row],[lending_product_transform]],[3]Mapping!$B$3:$D$37,3,0)</f>
        <v>cashloan</v>
      </c>
      <c r="I12567" s="143">
        <v>3193540000</v>
      </c>
    </row>
    <row r="12568" spans="1:9" x14ac:dyDescent="0.2">
      <c r="A12568" s="134">
        <v>46052</v>
      </c>
      <c r="B12568" s="135">
        <f>YEAR(source[[#This Row],[report_date]])</f>
        <v>2026</v>
      </c>
      <c r="C12568" s="128">
        <f t="shared" si="587"/>
        <v>1</v>
      </c>
      <c r="D12568" s="136">
        <f t="shared" si="589"/>
        <v>5</v>
      </c>
      <c r="E12568" s="136">
        <f t="shared" si="588"/>
        <v>30</v>
      </c>
      <c r="F12568" s="137" t="s">
        <v>24</v>
      </c>
      <c r="G12568" s="128" t="str">
        <f>VLOOKUP(source[[#This Row],[lending_product_transform]],[3]Mapping!$B$4:$C$37,2,0)</f>
        <v>[Cake] - Cashloan</v>
      </c>
      <c r="H12568" s="128" t="str">
        <f>VLOOKUP(source[[#This Row],[lending_product_transform]],[3]Mapping!$B$3:$D$37,3,0)</f>
        <v>cashloan</v>
      </c>
      <c r="I12568" s="143">
        <v>959960000</v>
      </c>
    </row>
    <row r="12569" spans="1:9" x14ac:dyDescent="0.2">
      <c r="A12569" s="134">
        <v>46053</v>
      </c>
      <c r="B12569" s="135">
        <f>YEAR(source[[#This Row],[report_date]])</f>
        <v>2026</v>
      </c>
      <c r="C12569" s="128">
        <f t="shared" si="587"/>
        <v>1</v>
      </c>
      <c r="D12569" s="136">
        <f t="shared" si="589"/>
        <v>5</v>
      </c>
      <c r="E12569" s="136">
        <f t="shared" si="588"/>
        <v>31</v>
      </c>
      <c r="F12569" s="137" t="s">
        <v>24</v>
      </c>
      <c r="G12569" s="128" t="str">
        <f>VLOOKUP(source[[#This Row],[lending_product_transform]],[3]Mapping!$B$4:$C$37,2,0)</f>
        <v>[Cake] - Cashloan</v>
      </c>
      <c r="H12569" s="128" t="str">
        <f>VLOOKUP(source[[#This Row],[lending_product_transform]],[3]Mapping!$B$3:$D$37,3,0)</f>
        <v>cashloan</v>
      </c>
      <c r="I12569" s="143">
        <v>677050000</v>
      </c>
    </row>
    <row r="12570" spans="1:9" x14ac:dyDescent="0.2">
      <c r="A12570" s="134">
        <v>46053</v>
      </c>
      <c r="B12570" s="135">
        <f>YEAR(source[[#This Row],[report_date]])</f>
        <v>2026</v>
      </c>
      <c r="C12570" s="128">
        <f t="shared" si="587"/>
        <v>1</v>
      </c>
      <c r="D12570" s="136">
        <f t="shared" si="589"/>
        <v>5</v>
      </c>
      <c r="E12570" s="136">
        <f t="shared" si="588"/>
        <v>31</v>
      </c>
      <c r="F12570" s="137" t="s">
        <v>24</v>
      </c>
      <c r="G12570" s="128" t="str">
        <f>VLOOKUP(source[[#This Row],[lending_product_transform]],[3]Mapping!$B$4:$C$37,2,0)</f>
        <v>[Cake] - Cashloan</v>
      </c>
      <c r="H12570" s="128" t="str">
        <f>VLOOKUP(source[[#This Row],[lending_product_transform]],[3]Mapping!$B$3:$D$37,3,0)</f>
        <v>cashloan</v>
      </c>
      <c r="I12570" s="143">
        <v>373883034</v>
      </c>
    </row>
    <row r="12571" spans="1:9" x14ac:dyDescent="0.2">
      <c r="A12571" s="134">
        <v>46053</v>
      </c>
      <c r="B12571" s="135">
        <f>YEAR(source[[#This Row],[report_date]])</f>
        <v>2026</v>
      </c>
      <c r="C12571" s="128">
        <f t="shared" si="587"/>
        <v>1</v>
      </c>
      <c r="D12571" s="136">
        <f t="shared" si="589"/>
        <v>5</v>
      </c>
      <c r="E12571" s="136">
        <f t="shared" si="588"/>
        <v>31</v>
      </c>
      <c r="F12571" s="137" t="s">
        <v>24</v>
      </c>
      <c r="G12571" s="128" t="str">
        <f>VLOOKUP(source[[#This Row],[lending_product_transform]],[3]Mapping!$B$4:$C$37,2,0)</f>
        <v>[Cake] - Cashloan</v>
      </c>
      <c r="H12571" s="128" t="str">
        <f>VLOOKUP(source[[#This Row],[lending_product_transform]],[3]Mapping!$B$3:$D$37,3,0)</f>
        <v>cashloan</v>
      </c>
      <c r="I12571" s="143">
        <v>14895630000</v>
      </c>
    </row>
    <row r="12572" spans="1:9" x14ac:dyDescent="0.2">
      <c r="A12572" s="134">
        <v>46053</v>
      </c>
      <c r="B12572" s="135">
        <f>YEAR(source[[#This Row],[report_date]])</f>
        <v>2026</v>
      </c>
      <c r="C12572" s="128">
        <f t="shared" si="587"/>
        <v>1</v>
      </c>
      <c r="D12572" s="136">
        <f t="shared" si="589"/>
        <v>5</v>
      </c>
      <c r="E12572" s="136">
        <f t="shared" si="588"/>
        <v>31</v>
      </c>
      <c r="F12572" s="137" t="s">
        <v>24</v>
      </c>
      <c r="G12572" s="128" t="str">
        <f>VLOOKUP(source[[#This Row],[lending_product_transform]],[3]Mapping!$B$4:$C$37,2,0)</f>
        <v>[Cake] - Cashloan</v>
      </c>
      <c r="H12572" s="128" t="str">
        <f>VLOOKUP(source[[#This Row],[lending_product_transform]],[3]Mapping!$B$3:$D$37,3,0)</f>
        <v>cashloan</v>
      </c>
      <c r="I12572" s="143">
        <v>2048752719</v>
      </c>
    </row>
    <row r="12573" spans="1:9" x14ac:dyDescent="0.2">
      <c r="A12573" s="134">
        <v>46053</v>
      </c>
      <c r="B12573" s="135">
        <f>YEAR(source[[#This Row],[report_date]])</f>
        <v>2026</v>
      </c>
      <c r="C12573" s="128">
        <f t="shared" si="587"/>
        <v>1</v>
      </c>
      <c r="D12573" s="136">
        <f t="shared" si="589"/>
        <v>5</v>
      </c>
      <c r="E12573" s="136">
        <f t="shared" si="588"/>
        <v>31</v>
      </c>
      <c r="F12573" s="137" t="s">
        <v>24</v>
      </c>
      <c r="G12573" s="128" t="str">
        <f>VLOOKUP(source[[#This Row],[lending_product_transform]],[3]Mapping!$B$4:$C$37,2,0)</f>
        <v>[Cake] - Cashloan</v>
      </c>
      <c r="H12573" s="128" t="str">
        <f>VLOOKUP(source[[#This Row],[lending_product_transform]],[3]Mapping!$B$3:$D$37,3,0)</f>
        <v>cashloan</v>
      </c>
      <c r="I12573" s="143">
        <v>12375072000</v>
      </c>
    </row>
    <row r="12574" spans="1:9" x14ac:dyDescent="0.2">
      <c r="A12574" s="134">
        <v>46053</v>
      </c>
      <c r="B12574" s="135">
        <f>YEAR(source[[#This Row],[report_date]])</f>
        <v>2026</v>
      </c>
      <c r="C12574" s="128">
        <f t="shared" si="587"/>
        <v>1</v>
      </c>
      <c r="D12574" s="136">
        <f t="shared" si="589"/>
        <v>5</v>
      </c>
      <c r="E12574" s="136">
        <f t="shared" si="588"/>
        <v>31</v>
      </c>
      <c r="F12574" s="137" t="s">
        <v>24</v>
      </c>
      <c r="G12574" s="128" t="str">
        <f>VLOOKUP(source[[#This Row],[lending_product_transform]],[3]Mapping!$B$4:$C$37,2,0)</f>
        <v>[Cake] - Cashloan</v>
      </c>
      <c r="H12574" s="128" t="str">
        <f>VLOOKUP(source[[#This Row],[lending_product_transform]],[3]Mapping!$B$3:$D$37,3,0)</f>
        <v>cashloan</v>
      </c>
      <c r="I12574" s="143">
        <v>11374944</v>
      </c>
    </row>
    <row r="12575" spans="1:9" x14ac:dyDescent="0.2">
      <c r="A12575" s="134">
        <v>46053</v>
      </c>
      <c r="B12575" s="135">
        <f>YEAR(source[[#This Row],[report_date]])</f>
        <v>2026</v>
      </c>
      <c r="C12575" s="128">
        <f t="shared" si="587"/>
        <v>1</v>
      </c>
      <c r="D12575" s="136">
        <f t="shared" si="589"/>
        <v>5</v>
      </c>
      <c r="E12575" s="136">
        <f t="shared" si="588"/>
        <v>31</v>
      </c>
      <c r="F12575" s="137" t="s">
        <v>24</v>
      </c>
      <c r="G12575" s="128" t="str">
        <f>VLOOKUP(source[[#This Row],[lending_product_transform]],[3]Mapping!$B$4:$C$37,2,0)</f>
        <v>[Cake] - Cashloan</v>
      </c>
      <c r="H12575" s="128" t="str">
        <f>VLOOKUP(source[[#This Row],[lending_product_transform]],[3]Mapping!$B$3:$D$37,3,0)</f>
        <v>cashloan</v>
      </c>
      <c r="I12575" s="143">
        <v>0</v>
      </c>
    </row>
    <row r="12576" spans="1:9" x14ac:dyDescent="0.2">
      <c r="A12576" s="134">
        <v>46053</v>
      </c>
      <c r="B12576" s="135">
        <f>YEAR(source[[#This Row],[report_date]])</f>
        <v>2026</v>
      </c>
      <c r="C12576" s="128">
        <f t="shared" si="587"/>
        <v>1</v>
      </c>
      <c r="D12576" s="136">
        <f t="shared" si="589"/>
        <v>5</v>
      </c>
      <c r="E12576" s="136">
        <f t="shared" si="588"/>
        <v>31</v>
      </c>
      <c r="F12576" s="137" t="s">
        <v>24</v>
      </c>
      <c r="G12576" s="128" t="str">
        <f>VLOOKUP(source[[#This Row],[lending_product_transform]],[3]Mapping!$B$4:$C$37,2,0)</f>
        <v>[Cake] - Cashloan</v>
      </c>
      <c r="H12576" s="128" t="str">
        <f>VLOOKUP(source[[#This Row],[lending_product_transform]],[3]Mapping!$B$3:$D$37,3,0)</f>
        <v>cashloan</v>
      </c>
      <c r="I12576" s="143">
        <v>4307450000</v>
      </c>
    </row>
    <row r="12577" spans="1:9" x14ac:dyDescent="0.2">
      <c r="A12577" s="134">
        <v>46053</v>
      </c>
      <c r="B12577" s="135">
        <f>YEAR(source[[#This Row],[report_date]])</f>
        <v>2026</v>
      </c>
      <c r="C12577" s="128">
        <f t="shared" si="587"/>
        <v>1</v>
      </c>
      <c r="D12577" s="136">
        <f t="shared" si="589"/>
        <v>5</v>
      </c>
      <c r="E12577" s="136">
        <f t="shared" si="588"/>
        <v>31</v>
      </c>
      <c r="F12577" s="137" t="s">
        <v>24</v>
      </c>
      <c r="G12577" s="128" t="str">
        <f>VLOOKUP(source[[#This Row],[lending_product_transform]],[3]Mapping!$B$4:$C$37,2,0)</f>
        <v>[Cake] - Cashloan</v>
      </c>
      <c r="H12577" s="128" t="str">
        <f>VLOOKUP(source[[#This Row],[lending_product_transform]],[3]Mapping!$B$3:$D$37,3,0)</f>
        <v>cashloan</v>
      </c>
      <c r="I12577" s="143">
        <v>1593100000</v>
      </c>
    </row>
    <row r="12578" spans="1:9" x14ac:dyDescent="0.2">
      <c r="A12578" s="134">
        <v>46053</v>
      </c>
      <c r="B12578" s="135">
        <f>YEAR(source[[#This Row],[report_date]])</f>
        <v>2026</v>
      </c>
      <c r="C12578" s="128">
        <f t="shared" si="587"/>
        <v>1</v>
      </c>
      <c r="D12578" s="136">
        <f t="shared" si="589"/>
        <v>5</v>
      </c>
      <c r="E12578" s="136">
        <f t="shared" si="588"/>
        <v>31</v>
      </c>
      <c r="F12578" s="137" t="s">
        <v>24</v>
      </c>
      <c r="G12578" s="128" t="str">
        <f>VLOOKUP(source[[#This Row],[lending_product_transform]],[3]Mapping!$B$4:$C$37,2,0)</f>
        <v>[Cake] - Cashloan</v>
      </c>
      <c r="H12578" s="128" t="str">
        <f>VLOOKUP(source[[#This Row],[lending_product_transform]],[3]Mapping!$B$3:$D$37,3,0)</f>
        <v>cashloan</v>
      </c>
      <c r="I12578" s="143">
        <v>5832456</v>
      </c>
    </row>
    <row r="12579" spans="1:9" x14ac:dyDescent="0.2">
      <c r="A12579" s="134">
        <v>46053</v>
      </c>
      <c r="B12579" s="135">
        <f>YEAR(source[[#This Row],[report_date]])</f>
        <v>2026</v>
      </c>
      <c r="C12579" s="128">
        <f t="shared" si="587"/>
        <v>1</v>
      </c>
      <c r="D12579" s="136">
        <f t="shared" si="589"/>
        <v>5</v>
      </c>
      <c r="E12579" s="136">
        <f t="shared" si="588"/>
        <v>31</v>
      </c>
      <c r="F12579" s="137" t="s">
        <v>24</v>
      </c>
      <c r="G12579" s="128" t="str">
        <f>VLOOKUP(source[[#This Row],[lending_product_transform]],[3]Mapping!$B$4:$C$37,2,0)</f>
        <v>[Cake] - Cashloan</v>
      </c>
      <c r="H12579" s="128" t="str">
        <f>VLOOKUP(source[[#This Row],[lending_product_transform]],[3]Mapping!$B$3:$D$37,3,0)</f>
        <v>cashloan</v>
      </c>
      <c r="I12579" s="143">
        <v>1174527093</v>
      </c>
    </row>
    <row r="12580" spans="1:9" x14ac:dyDescent="0.2">
      <c r="A12580" s="134">
        <v>46053</v>
      </c>
      <c r="B12580" s="135">
        <f>YEAR(source[[#This Row],[report_date]])</f>
        <v>2026</v>
      </c>
      <c r="C12580" s="128">
        <f t="shared" si="587"/>
        <v>1</v>
      </c>
      <c r="D12580" s="136">
        <f t="shared" si="589"/>
        <v>5</v>
      </c>
      <c r="E12580" s="136">
        <f t="shared" si="588"/>
        <v>31</v>
      </c>
      <c r="F12580" s="137" t="s">
        <v>24</v>
      </c>
      <c r="G12580" s="128" t="str">
        <f>VLOOKUP(source[[#This Row],[lending_product_transform]],[3]Mapping!$B$4:$C$37,2,0)</f>
        <v>[Cake] - Cashloan</v>
      </c>
      <c r="H12580" s="128" t="str">
        <f>VLOOKUP(source[[#This Row],[lending_product_transform]],[3]Mapping!$B$3:$D$37,3,0)</f>
        <v>cashloan</v>
      </c>
      <c r="I12580" s="143">
        <v>0</v>
      </c>
    </row>
    <row r="12581" spans="1:9" x14ac:dyDescent="0.2">
      <c r="A12581" s="134">
        <v>46053</v>
      </c>
      <c r="B12581" s="135">
        <f>YEAR(source[[#This Row],[report_date]])</f>
        <v>2026</v>
      </c>
      <c r="C12581" s="128">
        <f t="shared" si="587"/>
        <v>1</v>
      </c>
      <c r="D12581" s="136">
        <f t="shared" si="589"/>
        <v>5</v>
      </c>
      <c r="E12581" s="136">
        <f t="shared" si="588"/>
        <v>31</v>
      </c>
      <c r="F12581" s="137" t="s">
        <v>24</v>
      </c>
      <c r="G12581" s="128" t="str">
        <f>VLOOKUP(source[[#This Row],[lending_product_transform]],[3]Mapping!$B$4:$C$37,2,0)</f>
        <v>[Cake] - Cashloan</v>
      </c>
      <c r="H12581" s="128" t="str">
        <f>VLOOKUP(source[[#This Row],[lending_product_transform]],[3]Mapping!$B$3:$D$37,3,0)</f>
        <v>cashloan</v>
      </c>
      <c r="I12581" s="143">
        <v>206750000</v>
      </c>
    </row>
    <row r="12582" spans="1:9" x14ac:dyDescent="0.2">
      <c r="A12582" s="134">
        <v>46053</v>
      </c>
      <c r="B12582" s="135">
        <f>YEAR(source[[#This Row],[report_date]])</f>
        <v>2026</v>
      </c>
      <c r="C12582" s="128">
        <f t="shared" si="587"/>
        <v>1</v>
      </c>
      <c r="D12582" s="136">
        <f t="shared" si="589"/>
        <v>5</v>
      </c>
      <c r="E12582" s="136">
        <f t="shared" si="588"/>
        <v>31</v>
      </c>
      <c r="F12582" s="137" t="s">
        <v>24</v>
      </c>
      <c r="G12582" s="128" t="str">
        <f>VLOOKUP(source[[#This Row],[lending_product_transform]],[3]Mapping!$B$4:$C$37,2,0)</f>
        <v>[Cake] - Cashloan</v>
      </c>
      <c r="H12582" s="128" t="str">
        <f>VLOOKUP(source[[#This Row],[lending_product_transform]],[3]Mapping!$B$3:$D$37,3,0)</f>
        <v>cashloan</v>
      </c>
      <c r="I12582" s="143">
        <v>0</v>
      </c>
    </row>
    <row r="12583" spans="1:9" x14ac:dyDescent="0.2">
      <c r="A12583" s="134">
        <v>46053</v>
      </c>
      <c r="B12583" s="135">
        <f>YEAR(source[[#This Row],[report_date]])</f>
        <v>2026</v>
      </c>
      <c r="C12583" s="128">
        <f t="shared" si="587"/>
        <v>1</v>
      </c>
      <c r="D12583" s="136">
        <f t="shared" si="589"/>
        <v>5</v>
      </c>
      <c r="E12583" s="136">
        <f t="shared" si="588"/>
        <v>31</v>
      </c>
      <c r="F12583" s="137" t="s">
        <v>24</v>
      </c>
      <c r="G12583" s="128" t="str">
        <f>VLOOKUP(source[[#This Row],[lending_product_transform]],[3]Mapping!$B$4:$C$37,2,0)</f>
        <v>[Cake] - Cashloan</v>
      </c>
      <c r="H12583" s="128" t="str">
        <f>VLOOKUP(source[[#This Row],[lending_product_transform]],[3]Mapping!$B$3:$D$37,3,0)</f>
        <v>cashloan</v>
      </c>
      <c r="I12583" s="143">
        <v>18154570000</v>
      </c>
    </row>
    <row r="12584" spans="1:9" x14ac:dyDescent="0.2">
      <c r="A12584" s="134">
        <v>46053</v>
      </c>
      <c r="B12584" s="135">
        <f>YEAR(source[[#This Row],[report_date]])</f>
        <v>2026</v>
      </c>
      <c r="C12584" s="128">
        <f t="shared" si="587"/>
        <v>1</v>
      </c>
      <c r="D12584" s="136">
        <f t="shared" si="589"/>
        <v>5</v>
      </c>
      <c r="E12584" s="136">
        <f t="shared" si="588"/>
        <v>31</v>
      </c>
      <c r="F12584" s="137" t="s">
        <v>24</v>
      </c>
      <c r="G12584" s="128" t="str">
        <f>VLOOKUP(source[[#This Row],[lending_product_transform]],[3]Mapping!$B$4:$C$37,2,0)</f>
        <v>[Cake] - Cashloan</v>
      </c>
      <c r="H12584" s="128" t="str">
        <f>VLOOKUP(source[[#This Row],[lending_product_transform]],[3]Mapping!$B$3:$D$37,3,0)</f>
        <v>cashloan</v>
      </c>
      <c r="I12584" s="143">
        <v>0</v>
      </c>
    </row>
    <row r="12585" spans="1:9" x14ac:dyDescent="0.2">
      <c r="A12585" s="134">
        <v>46053</v>
      </c>
      <c r="B12585" s="135">
        <f>YEAR(source[[#This Row],[report_date]])</f>
        <v>2026</v>
      </c>
      <c r="C12585" s="128">
        <f t="shared" si="587"/>
        <v>1</v>
      </c>
      <c r="D12585" s="136">
        <f t="shared" si="589"/>
        <v>5</v>
      </c>
      <c r="E12585" s="136">
        <f t="shared" si="588"/>
        <v>31</v>
      </c>
      <c r="F12585" s="137" t="s">
        <v>24</v>
      </c>
      <c r="G12585" s="128" t="str">
        <f>VLOOKUP(source[[#This Row],[lending_product_transform]],[3]Mapping!$B$4:$C$37,2,0)</f>
        <v>[Cake] - Cashloan</v>
      </c>
      <c r="H12585" s="128" t="str">
        <f>VLOOKUP(source[[#This Row],[lending_product_transform]],[3]Mapping!$B$3:$D$37,3,0)</f>
        <v>cashloan</v>
      </c>
      <c r="I12585" s="143">
        <v>0</v>
      </c>
    </row>
    <row r="12586" spans="1:9" x14ac:dyDescent="0.2">
      <c r="A12586" s="134">
        <v>46053</v>
      </c>
      <c r="B12586" s="135">
        <f>YEAR(source[[#This Row],[report_date]])</f>
        <v>2026</v>
      </c>
      <c r="C12586" s="128">
        <f t="shared" si="587"/>
        <v>1</v>
      </c>
      <c r="D12586" s="136">
        <f t="shared" si="589"/>
        <v>5</v>
      </c>
      <c r="E12586" s="136">
        <f t="shared" si="588"/>
        <v>31</v>
      </c>
      <c r="F12586" s="137" t="s">
        <v>24</v>
      </c>
      <c r="G12586" s="128" t="str">
        <f>VLOOKUP(source[[#This Row],[lending_product_transform]],[3]Mapping!$B$4:$C$37,2,0)</f>
        <v>[Cake] - Cashloan</v>
      </c>
      <c r="H12586" s="128" t="str">
        <f>VLOOKUP(source[[#This Row],[lending_product_transform]],[3]Mapping!$B$3:$D$37,3,0)</f>
        <v>cashloan</v>
      </c>
      <c r="I12586" s="143">
        <v>0</v>
      </c>
    </row>
    <row r="12587" spans="1:9" x14ac:dyDescent="0.2">
      <c r="A12587" s="134">
        <v>46053</v>
      </c>
      <c r="B12587" s="135">
        <f>YEAR(source[[#This Row],[report_date]])</f>
        <v>2026</v>
      </c>
      <c r="C12587" s="128">
        <f t="shared" si="587"/>
        <v>1</v>
      </c>
      <c r="D12587" s="136">
        <f t="shared" si="589"/>
        <v>5</v>
      </c>
      <c r="E12587" s="136">
        <f t="shared" si="588"/>
        <v>31</v>
      </c>
      <c r="F12587" s="137" t="s">
        <v>24</v>
      </c>
      <c r="G12587" s="128" t="str">
        <f>VLOOKUP(source[[#This Row],[lending_product_transform]],[3]Mapping!$B$4:$C$37,2,0)</f>
        <v>[Cake] - Cashloan</v>
      </c>
      <c r="H12587" s="128" t="str">
        <f>VLOOKUP(source[[#This Row],[lending_product_transform]],[3]Mapping!$B$3:$D$37,3,0)</f>
        <v>cashloan</v>
      </c>
      <c r="I12587" s="143">
        <v>20700000</v>
      </c>
    </row>
    <row r="12588" spans="1:9" x14ac:dyDescent="0.2">
      <c r="A12588" s="134">
        <v>46053</v>
      </c>
      <c r="B12588" s="135">
        <f>YEAR(source[[#This Row],[report_date]])</f>
        <v>2026</v>
      </c>
      <c r="C12588" s="128">
        <f t="shared" si="587"/>
        <v>1</v>
      </c>
      <c r="D12588" s="136">
        <f t="shared" si="589"/>
        <v>5</v>
      </c>
      <c r="E12588" s="136">
        <f t="shared" si="588"/>
        <v>31</v>
      </c>
      <c r="F12588" s="137" t="s">
        <v>24</v>
      </c>
      <c r="G12588" s="128" t="str">
        <f>VLOOKUP(source[[#This Row],[lending_product_transform]],[3]Mapping!$B$4:$C$37,2,0)</f>
        <v>[Cake] - Cashloan</v>
      </c>
      <c r="H12588" s="128" t="str">
        <f>VLOOKUP(source[[#This Row],[lending_product_transform]],[3]Mapping!$B$3:$D$37,3,0)</f>
        <v>cashloan</v>
      </c>
      <c r="I12588" s="143">
        <v>9434988000</v>
      </c>
    </row>
    <row r="12589" spans="1:9" x14ac:dyDescent="0.2">
      <c r="A12589" s="134">
        <v>46053</v>
      </c>
      <c r="B12589" s="135">
        <f>YEAR(source[[#This Row],[report_date]])</f>
        <v>2026</v>
      </c>
      <c r="C12589" s="128">
        <f t="shared" si="587"/>
        <v>1</v>
      </c>
      <c r="D12589" s="136">
        <f t="shared" si="589"/>
        <v>5</v>
      </c>
      <c r="E12589" s="136">
        <f t="shared" si="588"/>
        <v>31</v>
      </c>
      <c r="F12589" s="137" t="s">
        <v>24</v>
      </c>
      <c r="G12589" s="128" t="str">
        <f>VLOOKUP(source[[#This Row],[lending_product_transform]],[3]Mapping!$B$4:$C$37,2,0)</f>
        <v>[Cake] - Cashloan</v>
      </c>
      <c r="H12589" s="128" t="str">
        <f>VLOOKUP(source[[#This Row],[lending_product_transform]],[3]Mapping!$B$3:$D$37,3,0)</f>
        <v>cashloan</v>
      </c>
      <c r="I12589" s="143">
        <v>175108185</v>
      </c>
    </row>
    <row r="12590" spans="1:9" x14ac:dyDescent="0.2">
      <c r="A12590" s="134">
        <v>46053</v>
      </c>
      <c r="B12590" s="135">
        <f>YEAR(source[[#This Row],[report_date]])</f>
        <v>2026</v>
      </c>
      <c r="C12590" s="128">
        <f t="shared" si="587"/>
        <v>1</v>
      </c>
      <c r="D12590" s="136">
        <f t="shared" si="589"/>
        <v>5</v>
      </c>
      <c r="E12590" s="136">
        <f t="shared" si="588"/>
        <v>31</v>
      </c>
      <c r="F12590" s="137" t="s">
        <v>24</v>
      </c>
      <c r="G12590" s="128" t="str">
        <f>VLOOKUP(source[[#This Row],[lending_product_transform]],[3]Mapping!$B$4:$C$37,2,0)</f>
        <v>[Cake] - Cashloan</v>
      </c>
      <c r="H12590" s="128" t="str">
        <f>VLOOKUP(source[[#This Row],[lending_product_transform]],[3]Mapping!$B$3:$D$37,3,0)</f>
        <v>cashloan</v>
      </c>
      <c r="I12590" s="143">
        <v>26250000</v>
      </c>
    </row>
    <row r="12591" spans="1:9" x14ac:dyDescent="0.2">
      <c r="A12591" s="134">
        <v>46053</v>
      </c>
      <c r="B12591" s="135">
        <f>YEAR(source[[#This Row],[report_date]])</f>
        <v>2026</v>
      </c>
      <c r="C12591" s="128">
        <f t="shared" si="587"/>
        <v>1</v>
      </c>
      <c r="D12591" s="136">
        <f t="shared" si="589"/>
        <v>5</v>
      </c>
      <c r="E12591" s="136">
        <f t="shared" si="588"/>
        <v>31</v>
      </c>
      <c r="F12591" s="137" t="s">
        <v>24</v>
      </c>
      <c r="G12591" s="128" t="str">
        <f>VLOOKUP(source[[#This Row],[lending_product_transform]],[3]Mapping!$B$4:$C$37,2,0)</f>
        <v>[Cake] - Cashloan</v>
      </c>
      <c r="H12591" s="128" t="str">
        <f>VLOOKUP(source[[#This Row],[lending_product_transform]],[3]Mapping!$B$3:$D$37,3,0)</f>
        <v>cashloan</v>
      </c>
      <c r="I12591" s="143">
        <v>54000000</v>
      </c>
    </row>
    <row r="12592" spans="1:9" x14ac:dyDescent="0.2">
      <c r="A12592" s="134">
        <v>46053</v>
      </c>
      <c r="B12592" s="135">
        <f>YEAR(source[[#This Row],[report_date]])</f>
        <v>2026</v>
      </c>
      <c r="C12592" s="128">
        <f t="shared" si="587"/>
        <v>1</v>
      </c>
      <c r="D12592" s="136">
        <f t="shared" si="589"/>
        <v>5</v>
      </c>
      <c r="E12592" s="136">
        <f t="shared" si="588"/>
        <v>31</v>
      </c>
      <c r="F12592" s="137" t="s">
        <v>24</v>
      </c>
      <c r="G12592" s="128" t="str">
        <f>VLOOKUP(source[[#This Row],[lending_product_transform]],[3]Mapping!$B$4:$C$37,2,0)</f>
        <v>[Cake] - Cashloan</v>
      </c>
      <c r="H12592" s="128" t="str">
        <f>VLOOKUP(source[[#This Row],[lending_product_transform]],[3]Mapping!$B$3:$D$37,3,0)</f>
        <v>cashloan</v>
      </c>
      <c r="I12592" s="143">
        <v>835070000</v>
      </c>
    </row>
    <row r="12593" spans="1:9" x14ac:dyDescent="0.2">
      <c r="A12593" s="134">
        <v>46053</v>
      </c>
      <c r="B12593" s="135">
        <f>YEAR(source[[#This Row],[report_date]])</f>
        <v>2026</v>
      </c>
      <c r="C12593" s="128">
        <f t="shared" si="587"/>
        <v>1</v>
      </c>
      <c r="D12593" s="136">
        <f t="shared" si="589"/>
        <v>5</v>
      </c>
      <c r="E12593" s="136">
        <f t="shared" si="588"/>
        <v>31</v>
      </c>
      <c r="F12593" s="137" t="s">
        <v>24</v>
      </c>
      <c r="G12593" s="128" t="str">
        <f>VLOOKUP(source[[#This Row],[lending_product_transform]],[3]Mapping!$B$4:$C$37,2,0)</f>
        <v>[Cake] - Cashloan</v>
      </c>
      <c r="H12593" s="128" t="str">
        <f>VLOOKUP(source[[#This Row],[lending_product_transform]],[3]Mapping!$B$3:$D$37,3,0)</f>
        <v>cashloan</v>
      </c>
      <c r="I12593" s="143">
        <v>250776000</v>
      </c>
    </row>
    <row r="12594" spans="1:9" x14ac:dyDescent="0.2">
      <c r="A12594" s="134">
        <v>46053</v>
      </c>
      <c r="B12594" s="135">
        <f>YEAR(source[[#This Row],[report_date]])</f>
        <v>2026</v>
      </c>
      <c r="C12594" s="128">
        <f t="shared" si="587"/>
        <v>1</v>
      </c>
      <c r="D12594" s="136">
        <f t="shared" si="589"/>
        <v>5</v>
      </c>
      <c r="E12594" s="136">
        <f t="shared" si="588"/>
        <v>31</v>
      </c>
      <c r="F12594" s="137" t="s">
        <v>24</v>
      </c>
      <c r="G12594" s="128" t="str">
        <f>VLOOKUP(source[[#This Row],[lending_product_transform]],[3]Mapping!$B$4:$C$37,2,0)</f>
        <v>[Cake] - Cashloan</v>
      </c>
      <c r="H12594" s="128" t="str">
        <f>VLOOKUP(source[[#This Row],[lending_product_transform]],[3]Mapping!$B$3:$D$37,3,0)</f>
        <v>cashloan</v>
      </c>
      <c r="I12594" s="143">
        <v>414307783</v>
      </c>
    </row>
    <row r="12595" spans="1:9" x14ac:dyDescent="0.2">
      <c r="A12595" s="134">
        <v>46053</v>
      </c>
      <c r="B12595" s="135">
        <f>YEAR(source[[#This Row],[report_date]])</f>
        <v>2026</v>
      </c>
      <c r="C12595" s="128">
        <f t="shared" si="587"/>
        <v>1</v>
      </c>
      <c r="D12595" s="136">
        <f t="shared" si="589"/>
        <v>5</v>
      </c>
      <c r="E12595" s="136">
        <f t="shared" si="588"/>
        <v>31</v>
      </c>
      <c r="F12595" s="137" t="s">
        <v>24</v>
      </c>
      <c r="G12595" s="128" t="str">
        <f>VLOOKUP(source[[#This Row],[lending_product_transform]],[3]Mapping!$B$4:$C$37,2,0)</f>
        <v>[Cake] - Cashloan</v>
      </c>
      <c r="H12595" s="128" t="str">
        <f>VLOOKUP(source[[#This Row],[lending_product_transform]],[3]Mapping!$B$3:$D$37,3,0)</f>
        <v>cashloan</v>
      </c>
      <c r="I12595" s="143">
        <v>2784890000</v>
      </c>
    </row>
    <row r="12596" spans="1:9" x14ac:dyDescent="0.2">
      <c r="A12596" s="134">
        <v>46053</v>
      </c>
      <c r="B12596" s="135">
        <f>YEAR(source[[#This Row],[report_date]])</f>
        <v>2026</v>
      </c>
      <c r="C12596" s="128">
        <f t="shared" si="587"/>
        <v>1</v>
      </c>
      <c r="D12596" s="136">
        <f t="shared" si="589"/>
        <v>5</v>
      </c>
      <c r="E12596" s="136">
        <f t="shared" si="588"/>
        <v>31</v>
      </c>
      <c r="F12596" s="137" t="s">
        <v>24</v>
      </c>
      <c r="G12596" s="128" t="str">
        <f>VLOOKUP(source[[#This Row],[lending_product_transform]],[3]Mapping!$B$4:$C$37,2,0)</f>
        <v>[Cake] - Cashloan</v>
      </c>
      <c r="H12596" s="128" t="str">
        <f>VLOOKUP(source[[#This Row],[lending_product_transform]],[3]Mapping!$B$3:$D$37,3,0)</f>
        <v>cashloan</v>
      </c>
      <c r="I12596" s="143">
        <v>821560000</v>
      </c>
    </row>
    <row r="12597" spans="1:9" x14ac:dyDescent="0.2">
      <c r="A12597" s="134">
        <v>46054</v>
      </c>
      <c r="B12597" s="135">
        <f>YEAR(source[[#This Row],[report_date]])</f>
        <v>2026</v>
      </c>
      <c r="C12597" s="128">
        <f t="shared" si="587"/>
        <v>2</v>
      </c>
      <c r="D12597" s="136">
        <f t="shared" si="589"/>
        <v>5</v>
      </c>
      <c r="E12597" s="136">
        <f t="shared" si="588"/>
        <v>1</v>
      </c>
      <c r="F12597" s="137" t="s">
        <v>24</v>
      </c>
      <c r="G12597" s="128" t="str">
        <f>VLOOKUP(source[[#This Row],[lending_product_transform]],[3]Mapping!$B$4:$C$37,2,0)</f>
        <v>[Cake] - Cashloan</v>
      </c>
      <c r="H12597" s="128" t="str">
        <f>VLOOKUP(source[[#This Row],[lending_product_transform]],[3]Mapping!$B$3:$D$37,3,0)</f>
        <v>cashloan</v>
      </c>
      <c r="I12597" s="143">
        <v>831100000</v>
      </c>
    </row>
    <row r="12598" spans="1:9" x14ac:dyDescent="0.2">
      <c r="A12598" s="134">
        <v>46054</v>
      </c>
      <c r="B12598" s="135">
        <f>YEAR(source[[#This Row],[report_date]])</f>
        <v>2026</v>
      </c>
      <c r="C12598" s="128">
        <f t="shared" ref="C12598:C12661" si="590">MONTH(A12598)</f>
        <v>2</v>
      </c>
      <c r="D12598" s="136">
        <f t="shared" si="589"/>
        <v>5</v>
      </c>
      <c r="E12598" s="136">
        <f t="shared" ref="E12598:E12661" si="591">DAY(A12598)</f>
        <v>1</v>
      </c>
      <c r="F12598" s="137" t="s">
        <v>24</v>
      </c>
      <c r="G12598" s="128" t="str">
        <f>VLOOKUP(source[[#This Row],[lending_product_transform]],[3]Mapping!$B$4:$C$37,2,0)</f>
        <v>[Cake] - Cashloan</v>
      </c>
      <c r="H12598" s="128" t="str">
        <f>VLOOKUP(source[[#This Row],[lending_product_transform]],[3]Mapping!$B$3:$D$37,3,0)</f>
        <v>cashloan</v>
      </c>
      <c r="I12598" s="143">
        <v>417907862</v>
      </c>
    </row>
    <row r="12599" spans="1:9" x14ac:dyDescent="0.2">
      <c r="A12599" s="134">
        <v>46054</v>
      </c>
      <c r="B12599" s="135">
        <f>YEAR(source[[#This Row],[report_date]])</f>
        <v>2026</v>
      </c>
      <c r="C12599" s="128">
        <f t="shared" si="590"/>
        <v>2</v>
      </c>
      <c r="D12599" s="136">
        <f t="shared" si="589"/>
        <v>5</v>
      </c>
      <c r="E12599" s="136">
        <f t="shared" si="591"/>
        <v>1</v>
      </c>
      <c r="F12599" s="137" t="s">
        <v>24</v>
      </c>
      <c r="G12599" s="128" t="str">
        <f>VLOOKUP(source[[#This Row],[lending_product_transform]],[3]Mapping!$B$4:$C$37,2,0)</f>
        <v>[Cake] - Cashloan</v>
      </c>
      <c r="H12599" s="128" t="str">
        <f>VLOOKUP(source[[#This Row],[lending_product_transform]],[3]Mapping!$B$3:$D$37,3,0)</f>
        <v>cashloan</v>
      </c>
      <c r="I12599" s="143">
        <v>15700030000</v>
      </c>
    </row>
    <row r="12600" spans="1:9" x14ac:dyDescent="0.2">
      <c r="A12600" s="134">
        <v>46054</v>
      </c>
      <c r="B12600" s="135">
        <f>YEAR(source[[#This Row],[report_date]])</f>
        <v>2026</v>
      </c>
      <c r="C12600" s="128">
        <f t="shared" si="590"/>
        <v>2</v>
      </c>
      <c r="D12600" s="136">
        <f t="shared" si="589"/>
        <v>5</v>
      </c>
      <c r="E12600" s="136">
        <f t="shared" si="591"/>
        <v>1</v>
      </c>
      <c r="F12600" s="137" t="s">
        <v>24</v>
      </c>
      <c r="G12600" s="128" t="str">
        <f>VLOOKUP(source[[#This Row],[lending_product_transform]],[3]Mapping!$B$4:$C$37,2,0)</f>
        <v>[Cake] - Cashloan</v>
      </c>
      <c r="H12600" s="128" t="str">
        <f>VLOOKUP(source[[#This Row],[lending_product_transform]],[3]Mapping!$B$3:$D$37,3,0)</f>
        <v>cashloan</v>
      </c>
      <c r="I12600" s="143">
        <v>3282208120</v>
      </c>
    </row>
    <row r="12601" spans="1:9" x14ac:dyDescent="0.2">
      <c r="A12601" s="134">
        <v>46054</v>
      </c>
      <c r="B12601" s="135">
        <f>YEAR(source[[#This Row],[report_date]])</f>
        <v>2026</v>
      </c>
      <c r="C12601" s="128">
        <f t="shared" si="590"/>
        <v>2</v>
      </c>
      <c r="D12601" s="136">
        <f t="shared" si="589"/>
        <v>5</v>
      </c>
      <c r="E12601" s="136">
        <f t="shared" si="591"/>
        <v>1</v>
      </c>
      <c r="F12601" s="137" t="s">
        <v>24</v>
      </c>
      <c r="G12601" s="128" t="str">
        <f>VLOOKUP(source[[#This Row],[lending_product_transform]],[3]Mapping!$B$4:$C$37,2,0)</f>
        <v>[Cake] - Cashloan</v>
      </c>
      <c r="H12601" s="128" t="str">
        <f>VLOOKUP(source[[#This Row],[lending_product_transform]],[3]Mapping!$B$3:$D$37,3,0)</f>
        <v>cashloan</v>
      </c>
      <c r="I12601" s="143">
        <v>13618476000</v>
      </c>
    </row>
    <row r="12602" spans="1:9" x14ac:dyDescent="0.2">
      <c r="A12602" s="134">
        <v>46054</v>
      </c>
      <c r="B12602" s="135">
        <f>YEAR(source[[#This Row],[report_date]])</f>
        <v>2026</v>
      </c>
      <c r="C12602" s="128">
        <f t="shared" si="590"/>
        <v>2</v>
      </c>
      <c r="D12602" s="136">
        <f t="shared" si="589"/>
        <v>5</v>
      </c>
      <c r="E12602" s="136">
        <f t="shared" si="591"/>
        <v>1</v>
      </c>
      <c r="F12602" s="137" t="s">
        <v>24</v>
      </c>
      <c r="G12602" s="128" t="str">
        <f>VLOOKUP(source[[#This Row],[lending_product_transform]],[3]Mapping!$B$4:$C$37,2,0)</f>
        <v>[Cake] - Cashloan</v>
      </c>
      <c r="H12602" s="128" t="str">
        <f>VLOOKUP(source[[#This Row],[lending_product_transform]],[3]Mapping!$B$3:$D$37,3,0)</f>
        <v>cashloan</v>
      </c>
      <c r="I12602" s="143">
        <v>26208373</v>
      </c>
    </row>
    <row r="12603" spans="1:9" x14ac:dyDescent="0.2">
      <c r="A12603" s="134">
        <v>46054</v>
      </c>
      <c r="B12603" s="135">
        <f>YEAR(source[[#This Row],[report_date]])</f>
        <v>2026</v>
      </c>
      <c r="C12603" s="128">
        <f t="shared" si="590"/>
        <v>2</v>
      </c>
      <c r="D12603" s="136">
        <f t="shared" si="589"/>
        <v>5</v>
      </c>
      <c r="E12603" s="136">
        <f t="shared" si="591"/>
        <v>1</v>
      </c>
      <c r="F12603" s="137" t="s">
        <v>24</v>
      </c>
      <c r="G12603" s="128" t="str">
        <f>VLOOKUP(source[[#This Row],[lending_product_transform]],[3]Mapping!$B$4:$C$37,2,0)</f>
        <v>[Cake] - Cashloan</v>
      </c>
      <c r="H12603" s="128" t="str">
        <f>VLOOKUP(source[[#This Row],[lending_product_transform]],[3]Mapping!$B$3:$D$37,3,0)</f>
        <v>cashloan</v>
      </c>
      <c r="I12603" s="143">
        <v>0</v>
      </c>
    </row>
    <row r="12604" spans="1:9" x14ac:dyDescent="0.2">
      <c r="A12604" s="134">
        <v>46054</v>
      </c>
      <c r="B12604" s="135">
        <f>YEAR(source[[#This Row],[report_date]])</f>
        <v>2026</v>
      </c>
      <c r="C12604" s="128">
        <f t="shared" si="590"/>
        <v>2</v>
      </c>
      <c r="D12604" s="136">
        <f t="shared" si="589"/>
        <v>5</v>
      </c>
      <c r="E12604" s="136">
        <f t="shared" si="591"/>
        <v>1</v>
      </c>
      <c r="F12604" s="137" t="s">
        <v>24</v>
      </c>
      <c r="G12604" s="128" t="str">
        <f>VLOOKUP(source[[#This Row],[lending_product_transform]],[3]Mapping!$B$4:$C$37,2,0)</f>
        <v>[Cake] - Cashloan</v>
      </c>
      <c r="H12604" s="128" t="str">
        <f>VLOOKUP(source[[#This Row],[lending_product_transform]],[3]Mapping!$B$3:$D$37,3,0)</f>
        <v>cashloan</v>
      </c>
      <c r="I12604" s="143">
        <v>5951750000</v>
      </c>
    </row>
    <row r="12605" spans="1:9" x14ac:dyDescent="0.2">
      <c r="A12605" s="134">
        <v>46054</v>
      </c>
      <c r="B12605" s="135">
        <f>YEAR(source[[#This Row],[report_date]])</f>
        <v>2026</v>
      </c>
      <c r="C12605" s="128">
        <f t="shared" si="590"/>
        <v>2</v>
      </c>
      <c r="D12605" s="136">
        <f t="shared" si="589"/>
        <v>5</v>
      </c>
      <c r="E12605" s="136">
        <f t="shared" si="591"/>
        <v>1</v>
      </c>
      <c r="F12605" s="137" t="s">
        <v>24</v>
      </c>
      <c r="G12605" s="128" t="str">
        <f>VLOOKUP(source[[#This Row],[lending_product_transform]],[3]Mapping!$B$4:$C$37,2,0)</f>
        <v>[Cake] - Cashloan</v>
      </c>
      <c r="H12605" s="128" t="str">
        <f>VLOOKUP(source[[#This Row],[lending_product_transform]],[3]Mapping!$B$3:$D$37,3,0)</f>
        <v>cashloan</v>
      </c>
      <c r="I12605" s="143">
        <v>1592470000</v>
      </c>
    </row>
    <row r="12606" spans="1:9" x14ac:dyDescent="0.2">
      <c r="A12606" s="134">
        <v>46054</v>
      </c>
      <c r="B12606" s="135">
        <f>YEAR(source[[#This Row],[report_date]])</f>
        <v>2026</v>
      </c>
      <c r="C12606" s="128">
        <f t="shared" si="590"/>
        <v>2</v>
      </c>
      <c r="D12606" s="136">
        <f t="shared" si="589"/>
        <v>5</v>
      </c>
      <c r="E12606" s="136">
        <f t="shared" si="591"/>
        <v>1</v>
      </c>
      <c r="F12606" s="137" t="s">
        <v>24</v>
      </c>
      <c r="G12606" s="128" t="str">
        <f>VLOOKUP(source[[#This Row],[lending_product_transform]],[3]Mapping!$B$4:$C$37,2,0)</f>
        <v>[Cake] - Cashloan</v>
      </c>
      <c r="H12606" s="128" t="str">
        <f>VLOOKUP(source[[#This Row],[lending_product_transform]],[3]Mapping!$B$3:$D$37,3,0)</f>
        <v>cashloan</v>
      </c>
      <c r="I12606" s="143">
        <v>5495403</v>
      </c>
    </row>
    <row r="12607" spans="1:9" x14ac:dyDescent="0.2">
      <c r="A12607" s="134">
        <v>46054</v>
      </c>
      <c r="B12607" s="135">
        <f>YEAR(source[[#This Row],[report_date]])</f>
        <v>2026</v>
      </c>
      <c r="C12607" s="128">
        <f t="shared" si="590"/>
        <v>2</v>
      </c>
      <c r="D12607" s="136">
        <f t="shared" si="589"/>
        <v>5</v>
      </c>
      <c r="E12607" s="136">
        <f t="shared" si="591"/>
        <v>1</v>
      </c>
      <c r="F12607" s="137" t="s">
        <v>24</v>
      </c>
      <c r="G12607" s="128" t="str">
        <f>VLOOKUP(source[[#This Row],[lending_product_transform]],[3]Mapping!$B$4:$C$37,2,0)</f>
        <v>[Cake] - Cashloan</v>
      </c>
      <c r="H12607" s="128" t="str">
        <f>VLOOKUP(source[[#This Row],[lending_product_transform]],[3]Mapping!$B$3:$D$37,3,0)</f>
        <v>cashloan</v>
      </c>
      <c r="I12607" s="143">
        <v>2279428587</v>
      </c>
    </row>
    <row r="12608" spans="1:9" x14ac:dyDescent="0.2">
      <c r="A12608" s="134">
        <v>46054</v>
      </c>
      <c r="B12608" s="135">
        <f>YEAR(source[[#This Row],[report_date]])</f>
        <v>2026</v>
      </c>
      <c r="C12608" s="128">
        <f t="shared" si="590"/>
        <v>2</v>
      </c>
      <c r="D12608" s="136">
        <f t="shared" si="589"/>
        <v>5</v>
      </c>
      <c r="E12608" s="136">
        <f t="shared" si="591"/>
        <v>1</v>
      </c>
      <c r="F12608" s="137" t="s">
        <v>24</v>
      </c>
      <c r="G12608" s="128" t="str">
        <f>VLOOKUP(source[[#This Row],[lending_product_transform]],[3]Mapping!$B$4:$C$37,2,0)</f>
        <v>[Cake] - Cashloan</v>
      </c>
      <c r="H12608" s="128" t="str">
        <f>VLOOKUP(source[[#This Row],[lending_product_transform]],[3]Mapping!$B$3:$D$37,3,0)</f>
        <v>cashloan</v>
      </c>
      <c r="I12608" s="143">
        <v>0</v>
      </c>
    </row>
    <row r="12609" spans="1:9" x14ac:dyDescent="0.2">
      <c r="A12609" s="134">
        <v>46054</v>
      </c>
      <c r="B12609" s="135">
        <f>YEAR(source[[#This Row],[report_date]])</f>
        <v>2026</v>
      </c>
      <c r="C12609" s="128">
        <f t="shared" si="590"/>
        <v>2</v>
      </c>
      <c r="D12609" s="136">
        <f t="shared" si="589"/>
        <v>5</v>
      </c>
      <c r="E12609" s="136">
        <f t="shared" si="591"/>
        <v>1</v>
      </c>
      <c r="F12609" s="137" t="s">
        <v>24</v>
      </c>
      <c r="G12609" s="128" t="str">
        <f>VLOOKUP(source[[#This Row],[lending_product_transform]],[3]Mapping!$B$4:$C$37,2,0)</f>
        <v>[Cake] - Cashloan</v>
      </c>
      <c r="H12609" s="128" t="str">
        <f>VLOOKUP(source[[#This Row],[lending_product_transform]],[3]Mapping!$B$3:$D$37,3,0)</f>
        <v>cashloan</v>
      </c>
      <c r="I12609" s="143">
        <v>147500000</v>
      </c>
    </row>
    <row r="12610" spans="1:9" x14ac:dyDescent="0.2">
      <c r="A12610" s="134">
        <v>46054</v>
      </c>
      <c r="B12610" s="135">
        <f>YEAR(source[[#This Row],[report_date]])</f>
        <v>2026</v>
      </c>
      <c r="C12610" s="128">
        <f t="shared" si="590"/>
        <v>2</v>
      </c>
      <c r="D12610" s="136">
        <f t="shared" si="589"/>
        <v>5</v>
      </c>
      <c r="E12610" s="136">
        <f t="shared" si="591"/>
        <v>1</v>
      </c>
      <c r="F12610" s="137" t="s">
        <v>24</v>
      </c>
      <c r="G12610" s="128" t="str">
        <f>VLOOKUP(source[[#This Row],[lending_product_transform]],[3]Mapping!$B$4:$C$37,2,0)</f>
        <v>[Cake] - Cashloan</v>
      </c>
      <c r="H12610" s="128" t="str">
        <f>VLOOKUP(source[[#This Row],[lending_product_transform]],[3]Mapping!$B$3:$D$37,3,0)</f>
        <v>cashloan</v>
      </c>
      <c r="I12610" s="143">
        <v>0</v>
      </c>
    </row>
    <row r="12611" spans="1:9" x14ac:dyDescent="0.2">
      <c r="A12611" s="134">
        <v>46054</v>
      </c>
      <c r="B12611" s="135">
        <f>YEAR(source[[#This Row],[report_date]])</f>
        <v>2026</v>
      </c>
      <c r="C12611" s="128">
        <f t="shared" si="590"/>
        <v>2</v>
      </c>
      <c r="D12611" s="136">
        <f t="shared" si="589"/>
        <v>5</v>
      </c>
      <c r="E12611" s="136">
        <f t="shared" si="591"/>
        <v>1</v>
      </c>
      <c r="F12611" s="137" t="s">
        <v>24</v>
      </c>
      <c r="G12611" s="128" t="str">
        <f>VLOOKUP(source[[#This Row],[lending_product_transform]],[3]Mapping!$B$4:$C$37,2,0)</f>
        <v>[Cake] - Cashloan</v>
      </c>
      <c r="H12611" s="128" t="str">
        <f>VLOOKUP(source[[#This Row],[lending_product_transform]],[3]Mapping!$B$3:$D$37,3,0)</f>
        <v>cashloan</v>
      </c>
      <c r="I12611" s="143">
        <v>20007180000</v>
      </c>
    </row>
    <row r="12612" spans="1:9" x14ac:dyDescent="0.2">
      <c r="A12612" s="134">
        <v>46054</v>
      </c>
      <c r="B12612" s="135">
        <f>YEAR(source[[#This Row],[report_date]])</f>
        <v>2026</v>
      </c>
      <c r="C12612" s="128">
        <f t="shared" si="590"/>
        <v>2</v>
      </c>
      <c r="D12612" s="136">
        <f t="shared" si="589"/>
        <v>5</v>
      </c>
      <c r="E12612" s="136">
        <f t="shared" si="591"/>
        <v>1</v>
      </c>
      <c r="F12612" s="137" t="s">
        <v>24</v>
      </c>
      <c r="G12612" s="128" t="str">
        <f>VLOOKUP(source[[#This Row],[lending_product_transform]],[3]Mapping!$B$4:$C$37,2,0)</f>
        <v>[Cake] - Cashloan</v>
      </c>
      <c r="H12612" s="128" t="str">
        <f>VLOOKUP(source[[#This Row],[lending_product_transform]],[3]Mapping!$B$3:$D$37,3,0)</f>
        <v>cashloan</v>
      </c>
      <c r="I12612" s="143">
        <v>0</v>
      </c>
    </row>
    <row r="12613" spans="1:9" x14ac:dyDescent="0.2">
      <c r="A12613" s="134">
        <v>46054</v>
      </c>
      <c r="B12613" s="135">
        <f>YEAR(source[[#This Row],[report_date]])</f>
        <v>2026</v>
      </c>
      <c r="C12613" s="128">
        <f t="shared" si="590"/>
        <v>2</v>
      </c>
      <c r="D12613" s="136">
        <f t="shared" si="589"/>
        <v>5</v>
      </c>
      <c r="E12613" s="136">
        <f t="shared" si="591"/>
        <v>1</v>
      </c>
      <c r="F12613" s="137" t="s">
        <v>24</v>
      </c>
      <c r="G12613" s="128" t="str">
        <f>VLOOKUP(source[[#This Row],[lending_product_transform]],[3]Mapping!$B$4:$C$37,2,0)</f>
        <v>[Cake] - Cashloan</v>
      </c>
      <c r="H12613" s="128" t="str">
        <f>VLOOKUP(source[[#This Row],[lending_product_transform]],[3]Mapping!$B$3:$D$37,3,0)</f>
        <v>cashloan</v>
      </c>
      <c r="I12613" s="143">
        <v>0</v>
      </c>
    </row>
    <row r="12614" spans="1:9" x14ac:dyDescent="0.2">
      <c r="A12614" s="134">
        <v>46054</v>
      </c>
      <c r="B12614" s="135">
        <f>YEAR(source[[#This Row],[report_date]])</f>
        <v>2026</v>
      </c>
      <c r="C12614" s="128">
        <f t="shared" si="590"/>
        <v>2</v>
      </c>
      <c r="D12614" s="136">
        <f t="shared" si="589"/>
        <v>5</v>
      </c>
      <c r="E12614" s="136">
        <f t="shared" si="591"/>
        <v>1</v>
      </c>
      <c r="F12614" s="137" t="s">
        <v>24</v>
      </c>
      <c r="G12614" s="128" t="str">
        <f>VLOOKUP(source[[#This Row],[lending_product_transform]],[3]Mapping!$B$4:$C$37,2,0)</f>
        <v>[Cake] - Cashloan</v>
      </c>
      <c r="H12614" s="128" t="str">
        <f>VLOOKUP(source[[#This Row],[lending_product_transform]],[3]Mapping!$B$3:$D$37,3,0)</f>
        <v>cashloan</v>
      </c>
      <c r="I12614" s="143">
        <v>0</v>
      </c>
    </row>
    <row r="12615" spans="1:9" x14ac:dyDescent="0.2">
      <c r="A12615" s="134">
        <v>46054</v>
      </c>
      <c r="B12615" s="135">
        <f>YEAR(source[[#This Row],[report_date]])</f>
        <v>2026</v>
      </c>
      <c r="C12615" s="128">
        <f t="shared" si="590"/>
        <v>2</v>
      </c>
      <c r="D12615" s="136">
        <f t="shared" si="589"/>
        <v>5</v>
      </c>
      <c r="E12615" s="136">
        <f t="shared" si="591"/>
        <v>1</v>
      </c>
      <c r="F12615" s="137" t="s">
        <v>24</v>
      </c>
      <c r="G12615" s="128" t="str">
        <f>VLOOKUP(source[[#This Row],[lending_product_transform]],[3]Mapping!$B$4:$C$37,2,0)</f>
        <v>[Cake] - Cashloan</v>
      </c>
      <c r="H12615" s="128" t="str">
        <f>VLOOKUP(source[[#This Row],[lending_product_transform]],[3]Mapping!$B$3:$D$37,3,0)</f>
        <v>cashloan</v>
      </c>
      <c r="I12615" s="143">
        <v>5000000</v>
      </c>
    </row>
    <row r="12616" spans="1:9" x14ac:dyDescent="0.2">
      <c r="A12616" s="134">
        <v>46054</v>
      </c>
      <c r="B12616" s="135">
        <f>YEAR(source[[#This Row],[report_date]])</f>
        <v>2026</v>
      </c>
      <c r="C12616" s="128">
        <f t="shared" si="590"/>
        <v>2</v>
      </c>
      <c r="D12616" s="136">
        <f t="shared" si="589"/>
        <v>5</v>
      </c>
      <c r="E12616" s="136">
        <f t="shared" si="591"/>
        <v>1</v>
      </c>
      <c r="F12616" s="137" t="s">
        <v>24</v>
      </c>
      <c r="G12616" s="128" t="str">
        <f>VLOOKUP(source[[#This Row],[lending_product_transform]],[3]Mapping!$B$4:$C$37,2,0)</f>
        <v>[Cake] - Cashloan</v>
      </c>
      <c r="H12616" s="128" t="str">
        <f>VLOOKUP(source[[#This Row],[lending_product_transform]],[3]Mapping!$B$3:$D$37,3,0)</f>
        <v>cashloan</v>
      </c>
      <c r="I12616" s="143">
        <v>11076048000</v>
      </c>
    </row>
    <row r="12617" spans="1:9" x14ac:dyDescent="0.2">
      <c r="A12617" s="134">
        <v>46054</v>
      </c>
      <c r="B12617" s="135">
        <f>YEAR(source[[#This Row],[report_date]])</f>
        <v>2026</v>
      </c>
      <c r="C12617" s="128">
        <f t="shared" si="590"/>
        <v>2</v>
      </c>
      <c r="D12617" s="136">
        <f t="shared" si="589"/>
        <v>5</v>
      </c>
      <c r="E12617" s="136">
        <f t="shared" si="591"/>
        <v>1</v>
      </c>
      <c r="F12617" s="137" t="s">
        <v>24</v>
      </c>
      <c r="G12617" s="128" t="str">
        <f>VLOOKUP(source[[#This Row],[lending_product_transform]],[3]Mapping!$B$4:$C$37,2,0)</f>
        <v>[Cake] - Cashloan</v>
      </c>
      <c r="H12617" s="128" t="str">
        <f>VLOOKUP(source[[#This Row],[lending_product_transform]],[3]Mapping!$B$3:$D$37,3,0)</f>
        <v>cashloan</v>
      </c>
      <c r="I12617" s="143">
        <v>411746350</v>
      </c>
    </row>
    <row r="12618" spans="1:9" x14ac:dyDescent="0.2">
      <c r="A12618" s="134">
        <v>46054</v>
      </c>
      <c r="B12618" s="135">
        <f>YEAR(source[[#This Row],[report_date]])</f>
        <v>2026</v>
      </c>
      <c r="C12618" s="128">
        <f t="shared" si="590"/>
        <v>2</v>
      </c>
      <c r="D12618" s="136">
        <f t="shared" si="589"/>
        <v>5</v>
      </c>
      <c r="E12618" s="136">
        <f t="shared" si="591"/>
        <v>1</v>
      </c>
      <c r="F12618" s="137" t="s">
        <v>24</v>
      </c>
      <c r="G12618" s="128" t="str">
        <f>VLOOKUP(source[[#This Row],[lending_product_transform]],[3]Mapping!$B$4:$C$37,2,0)</f>
        <v>[Cake] - Cashloan</v>
      </c>
      <c r="H12618" s="128" t="str">
        <f>VLOOKUP(source[[#This Row],[lending_product_transform]],[3]Mapping!$B$3:$D$37,3,0)</f>
        <v>cashloan</v>
      </c>
      <c r="I12618" s="143">
        <v>52500000</v>
      </c>
    </row>
    <row r="12619" spans="1:9" x14ac:dyDescent="0.2">
      <c r="A12619" s="134">
        <v>46054</v>
      </c>
      <c r="B12619" s="135">
        <f>YEAR(source[[#This Row],[report_date]])</f>
        <v>2026</v>
      </c>
      <c r="C12619" s="128">
        <f t="shared" si="590"/>
        <v>2</v>
      </c>
      <c r="D12619" s="136">
        <f t="shared" si="589"/>
        <v>5</v>
      </c>
      <c r="E12619" s="136">
        <f t="shared" si="591"/>
        <v>1</v>
      </c>
      <c r="F12619" s="137" t="s">
        <v>24</v>
      </c>
      <c r="G12619" s="128" t="str">
        <f>VLOOKUP(source[[#This Row],[lending_product_transform]],[3]Mapping!$B$4:$C$37,2,0)</f>
        <v>[Cake] - Cashloan</v>
      </c>
      <c r="H12619" s="128" t="str">
        <f>VLOOKUP(source[[#This Row],[lending_product_transform]],[3]Mapping!$B$3:$D$37,3,0)</f>
        <v>cashloan</v>
      </c>
      <c r="I12619" s="143">
        <v>63000000</v>
      </c>
    </row>
    <row r="12620" spans="1:9" x14ac:dyDescent="0.2">
      <c r="A12620" s="134">
        <v>46054</v>
      </c>
      <c r="B12620" s="135">
        <f>YEAR(source[[#This Row],[report_date]])</f>
        <v>2026</v>
      </c>
      <c r="C12620" s="128">
        <f t="shared" si="590"/>
        <v>2</v>
      </c>
      <c r="D12620" s="136">
        <f t="shared" si="589"/>
        <v>5</v>
      </c>
      <c r="E12620" s="136">
        <f t="shared" si="591"/>
        <v>1</v>
      </c>
      <c r="F12620" s="137" t="s">
        <v>24</v>
      </c>
      <c r="G12620" s="128" t="str">
        <f>VLOOKUP(source[[#This Row],[lending_product_transform]],[3]Mapping!$B$4:$C$37,2,0)</f>
        <v>[Cake] - Cashloan</v>
      </c>
      <c r="H12620" s="128" t="str">
        <f>VLOOKUP(source[[#This Row],[lending_product_transform]],[3]Mapping!$B$3:$D$37,3,0)</f>
        <v>cashloan</v>
      </c>
      <c r="I12620" s="143">
        <v>634180000</v>
      </c>
    </row>
    <row r="12621" spans="1:9" x14ac:dyDescent="0.2">
      <c r="A12621" s="134">
        <v>46054</v>
      </c>
      <c r="B12621" s="135">
        <f>YEAR(source[[#This Row],[report_date]])</f>
        <v>2026</v>
      </c>
      <c r="C12621" s="128">
        <f t="shared" si="590"/>
        <v>2</v>
      </c>
      <c r="D12621" s="136">
        <f t="shared" si="589"/>
        <v>5</v>
      </c>
      <c r="E12621" s="136">
        <f t="shared" si="591"/>
        <v>1</v>
      </c>
      <c r="F12621" s="137" t="s">
        <v>24</v>
      </c>
      <c r="G12621" s="128" t="str">
        <f>VLOOKUP(source[[#This Row],[lending_product_transform]],[3]Mapping!$B$4:$C$37,2,0)</f>
        <v>[Cake] - Cashloan</v>
      </c>
      <c r="H12621" s="128" t="str">
        <f>VLOOKUP(source[[#This Row],[lending_product_transform]],[3]Mapping!$B$3:$D$37,3,0)</f>
        <v>cashloan</v>
      </c>
      <c r="I12621" s="143">
        <v>316332000</v>
      </c>
    </row>
    <row r="12622" spans="1:9" x14ac:dyDescent="0.2">
      <c r="A12622" s="134">
        <v>46054</v>
      </c>
      <c r="B12622" s="135">
        <f>YEAR(source[[#This Row],[report_date]])</f>
        <v>2026</v>
      </c>
      <c r="C12622" s="128">
        <f t="shared" si="590"/>
        <v>2</v>
      </c>
      <c r="D12622" s="136">
        <f t="shared" si="589"/>
        <v>5</v>
      </c>
      <c r="E12622" s="136">
        <f t="shared" si="591"/>
        <v>1</v>
      </c>
      <c r="F12622" s="137" t="s">
        <v>24</v>
      </c>
      <c r="G12622" s="128" t="str">
        <f>VLOOKUP(source[[#This Row],[lending_product_transform]],[3]Mapping!$B$4:$C$37,2,0)</f>
        <v>[Cake] - Cashloan</v>
      </c>
      <c r="H12622" s="128" t="str">
        <f>VLOOKUP(source[[#This Row],[lending_product_transform]],[3]Mapping!$B$3:$D$37,3,0)</f>
        <v>cashloan</v>
      </c>
      <c r="I12622" s="143">
        <v>702035450</v>
      </c>
    </row>
    <row r="12623" spans="1:9" x14ac:dyDescent="0.2">
      <c r="A12623" s="134">
        <v>46054</v>
      </c>
      <c r="B12623" s="135">
        <f>YEAR(source[[#This Row],[report_date]])</f>
        <v>2026</v>
      </c>
      <c r="C12623" s="128">
        <f t="shared" si="590"/>
        <v>2</v>
      </c>
      <c r="D12623" s="136">
        <f t="shared" si="589"/>
        <v>5</v>
      </c>
      <c r="E12623" s="136">
        <f t="shared" si="591"/>
        <v>1</v>
      </c>
      <c r="F12623" s="137" t="s">
        <v>24</v>
      </c>
      <c r="G12623" s="128" t="str">
        <f>VLOOKUP(source[[#This Row],[lending_product_transform]],[3]Mapping!$B$4:$C$37,2,0)</f>
        <v>[Cake] - Cashloan</v>
      </c>
      <c r="H12623" s="128" t="str">
        <f>VLOOKUP(source[[#This Row],[lending_product_transform]],[3]Mapping!$B$3:$D$37,3,0)</f>
        <v>cashloan</v>
      </c>
      <c r="I12623" s="143">
        <v>3272080000</v>
      </c>
    </row>
    <row r="12624" spans="1:9" x14ac:dyDescent="0.2">
      <c r="A12624" s="134">
        <v>46054</v>
      </c>
      <c r="B12624" s="135">
        <f>YEAR(source[[#This Row],[report_date]])</f>
        <v>2026</v>
      </c>
      <c r="C12624" s="128">
        <f t="shared" si="590"/>
        <v>2</v>
      </c>
      <c r="D12624" s="136">
        <f t="shared" si="589"/>
        <v>5</v>
      </c>
      <c r="E12624" s="136">
        <f t="shared" si="591"/>
        <v>1</v>
      </c>
      <c r="F12624" s="137" t="s">
        <v>24</v>
      </c>
      <c r="G12624" s="128" t="str">
        <f>VLOOKUP(source[[#This Row],[lending_product_transform]],[3]Mapping!$B$4:$C$37,2,0)</f>
        <v>[Cake] - Cashloan</v>
      </c>
      <c r="H12624" s="128" t="str">
        <f>VLOOKUP(source[[#This Row],[lending_product_transform]],[3]Mapping!$B$3:$D$37,3,0)</f>
        <v>cashloan</v>
      </c>
      <c r="I12624" s="143">
        <v>902000000</v>
      </c>
    </row>
    <row r="12625" spans="1:9" x14ac:dyDescent="0.2">
      <c r="A12625" s="134">
        <v>46055</v>
      </c>
      <c r="B12625" s="135">
        <f>YEAR(source[[#This Row],[report_date]])</f>
        <v>2026</v>
      </c>
      <c r="C12625" s="128">
        <f t="shared" si="590"/>
        <v>2</v>
      </c>
      <c r="D12625" s="136">
        <f t="shared" ref="D12625:D12688" si="592">WEEKNUM(A12625,2)</f>
        <v>6</v>
      </c>
      <c r="E12625" s="136">
        <f t="shared" si="591"/>
        <v>2</v>
      </c>
      <c r="F12625" s="137" t="s">
        <v>24</v>
      </c>
      <c r="G12625" s="128" t="str">
        <f>VLOOKUP(source[[#This Row],[lending_product_transform]],[3]Mapping!$B$4:$C$37,2,0)</f>
        <v>[Cake] - Cashloan</v>
      </c>
      <c r="H12625" s="128" t="str">
        <f>VLOOKUP(source[[#This Row],[lending_product_transform]],[3]Mapping!$B$3:$D$37,3,0)</f>
        <v>cashloan</v>
      </c>
      <c r="I12625" s="137">
        <v>1003950000</v>
      </c>
    </row>
    <row r="12626" spans="1:9" x14ac:dyDescent="0.2">
      <c r="A12626" s="134">
        <v>46055</v>
      </c>
      <c r="B12626" s="135">
        <f>YEAR(source[[#This Row],[report_date]])</f>
        <v>2026</v>
      </c>
      <c r="C12626" s="128">
        <f t="shared" si="590"/>
        <v>2</v>
      </c>
      <c r="D12626" s="136">
        <f t="shared" si="592"/>
        <v>6</v>
      </c>
      <c r="E12626" s="136">
        <f t="shared" si="591"/>
        <v>2</v>
      </c>
      <c r="F12626" s="137" t="s">
        <v>24</v>
      </c>
      <c r="G12626" s="128" t="str">
        <f>VLOOKUP(source[[#This Row],[lending_product_transform]],[3]Mapping!$B$4:$C$37,2,0)</f>
        <v>[Cake] - Cashloan</v>
      </c>
      <c r="H12626" s="128" t="str">
        <f>VLOOKUP(source[[#This Row],[lending_product_transform]],[3]Mapping!$B$3:$D$37,3,0)</f>
        <v>cashloan</v>
      </c>
      <c r="I12626" s="137">
        <v>415051108</v>
      </c>
    </row>
    <row r="12627" spans="1:9" x14ac:dyDescent="0.2">
      <c r="A12627" s="134">
        <v>46055</v>
      </c>
      <c r="B12627" s="135">
        <f>YEAR(source[[#This Row],[report_date]])</f>
        <v>2026</v>
      </c>
      <c r="C12627" s="128">
        <f t="shared" si="590"/>
        <v>2</v>
      </c>
      <c r="D12627" s="136">
        <f t="shared" si="592"/>
        <v>6</v>
      </c>
      <c r="E12627" s="136">
        <f t="shared" si="591"/>
        <v>2</v>
      </c>
      <c r="F12627" s="137" t="s">
        <v>24</v>
      </c>
      <c r="G12627" s="128" t="str">
        <f>VLOOKUP(source[[#This Row],[lending_product_transform]],[3]Mapping!$B$4:$C$37,2,0)</f>
        <v>[Cake] - Cashloan</v>
      </c>
      <c r="H12627" s="128" t="str">
        <f>VLOOKUP(source[[#This Row],[lending_product_transform]],[3]Mapping!$B$3:$D$37,3,0)</f>
        <v>cashloan</v>
      </c>
      <c r="I12627" s="137">
        <v>19412460000</v>
      </c>
    </row>
    <row r="12628" spans="1:9" x14ac:dyDescent="0.2">
      <c r="A12628" s="134">
        <v>46055</v>
      </c>
      <c r="B12628" s="135">
        <f>YEAR(source[[#This Row],[report_date]])</f>
        <v>2026</v>
      </c>
      <c r="C12628" s="128">
        <f t="shared" si="590"/>
        <v>2</v>
      </c>
      <c r="D12628" s="136">
        <f t="shared" si="592"/>
        <v>6</v>
      </c>
      <c r="E12628" s="136">
        <f t="shared" si="591"/>
        <v>2</v>
      </c>
      <c r="F12628" s="137" t="s">
        <v>24</v>
      </c>
      <c r="G12628" s="128" t="str">
        <f>VLOOKUP(source[[#This Row],[lending_product_transform]],[3]Mapping!$B$4:$C$37,2,0)</f>
        <v>[Cake] - Cashloan</v>
      </c>
      <c r="H12628" s="128" t="str">
        <f>VLOOKUP(source[[#This Row],[lending_product_transform]],[3]Mapping!$B$3:$D$37,3,0)</f>
        <v>cashloan</v>
      </c>
      <c r="I12628" s="137">
        <v>3878796475</v>
      </c>
    </row>
    <row r="12629" spans="1:9" x14ac:dyDescent="0.2">
      <c r="A12629" s="134">
        <v>46055</v>
      </c>
      <c r="B12629" s="135">
        <f>YEAR(source[[#This Row],[report_date]])</f>
        <v>2026</v>
      </c>
      <c r="C12629" s="128">
        <f t="shared" si="590"/>
        <v>2</v>
      </c>
      <c r="D12629" s="136">
        <f t="shared" si="592"/>
        <v>6</v>
      </c>
      <c r="E12629" s="136">
        <f t="shared" si="591"/>
        <v>2</v>
      </c>
      <c r="F12629" s="137" t="s">
        <v>24</v>
      </c>
      <c r="G12629" s="128" t="str">
        <f>VLOOKUP(source[[#This Row],[lending_product_transform]],[3]Mapping!$B$4:$C$37,2,0)</f>
        <v>[Cake] - Cashloan</v>
      </c>
      <c r="H12629" s="128" t="str">
        <f>VLOOKUP(source[[#This Row],[lending_product_transform]],[3]Mapping!$B$3:$D$37,3,0)</f>
        <v>cashloan</v>
      </c>
      <c r="I12629" s="137">
        <v>15100992000</v>
      </c>
    </row>
    <row r="12630" spans="1:9" x14ac:dyDescent="0.2">
      <c r="A12630" s="134">
        <v>46055</v>
      </c>
      <c r="B12630" s="135">
        <f>YEAR(source[[#This Row],[report_date]])</f>
        <v>2026</v>
      </c>
      <c r="C12630" s="128">
        <f t="shared" si="590"/>
        <v>2</v>
      </c>
      <c r="D12630" s="136">
        <f t="shared" si="592"/>
        <v>6</v>
      </c>
      <c r="E12630" s="136">
        <f t="shared" si="591"/>
        <v>2</v>
      </c>
      <c r="F12630" s="137" t="s">
        <v>24</v>
      </c>
      <c r="G12630" s="128" t="str">
        <f>VLOOKUP(source[[#This Row],[lending_product_transform]],[3]Mapping!$B$4:$C$37,2,0)</f>
        <v>[Cake] - Cashloan</v>
      </c>
      <c r="H12630" s="128" t="str">
        <f>VLOOKUP(source[[#This Row],[lending_product_transform]],[3]Mapping!$B$3:$D$37,3,0)</f>
        <v>cashloan</v>
      </c>
      <c r="I12630" s="137">
        <v>44901749</v>
      </c>
    </row>
    <row r="12631" spans="1:9" x14ac:dyDescent="0.2">
      <c r="A12631" s="134">
        <v>46055</v>
      </c>
      <c r="B12631" s="135">
        <f>YEAR(source[[#This Row],[report_date]])</f>
        <v>2026</v>
      </c>
      <c r="C12631" s="128">
        <f t="shared" si="590"/>
        <v>2</v>
      </c>
      <c r="D12631" s="136">
        <f t="shared" si="592"/>
        <v>6</v>
      </c>
      <c r="E12631" s="136">
        <f t="shared" si="591"/>
        <v>2</v>
      </c>
      <c r="F12631" s="137" t="s">
        <v>24</v>
      </c>
      <c r="G12631" s="128" t="str">
        <f>VLOOKUP(source[[#This Row],[lending_product_transform]],[3]Mapping!$B$4:$C$37,2,0)</f>
        <v>[Cake] - Cashloan</v>
      </c>
      <c r="H12631" s="128" t="str">
        <f>VLOOKUP(source[[#This Row],[lending_product_transform]],[3]Mapping!$B$3:$D$37,3,0)</f>
        <v>cashloan</v>
      </c>
      <c r="I12631" s="137">
        <v>0</v>
      </c>
    </row>
    <row r="12632" spans="1:9" x14ac:dyDescent="0.2">
      <c r="A12632" s="134">
        <v>46055</v>
      </c>
      <c r="B12632" s="135">
        <f>YEAR(source[[#This Row],[report_date]])</f>
        <v>2026</v>
      </c>
      <c r="C12632" s="128">
        <f t="shared" si="590"/>
        <v>2</v>
      </c>
      <c r="D12632" s="136">
        <f t="shared" si="592"/>
        <v>6</v>
      </c>
      <c r="E12632" s="136">
        <f t="shared" si="591"/>
        <v>2</v>
      </c>
      <c r="F12632" s="137" t="s">
        <v>24</v>
      </c>
      <c r="G12632" s="128" t="str">
        <f>VLOOKUP(source[[#This Row],[lending_product_transform]],[3]Mapping!$B$4:$C$37,2,0)</f>
        <v>[Cake] - Cashloan</v>
      </c>
      <c r="H12632" s="128" t="str">
        <f>VLOOKUP(source[[#This Row],[lending_product_transform]],[3]Mapping!$B$3:$D$37,3,0)</f>
        <v>cashloan</v>
      </c>
      <c r="I12632" s="137">
        <v>5490500000</v>
      </c>
    </row>
    <row r="12633" spans="1:9" x14ac:dyDescent="0.2">
      <c r="A12633" s="134">
        <v>46055</v>
      </c>
      <c r="B12633" s="135">
        <f>YEAR(source[[#This Row],[report_date]])</f>
        <v>2026</v>
      </c>
      <c r="C12633" s="128">
        <f t="shared" si="590"/>
        <v>2</v>
      </c>
      <c r="D12633" s="136">
        <f t="shared" si="592"/>
        <v>6</v>
      </c>
      <c r="E12633" s="136">
        <f t="shared" si="591"/>
        <v>2</v>
      </c>
      <c r="F12633" s="137" t="s">
        <v>24</v>
      </c>
      <c r="G12633" s="128" t="str">
        <f>VLOOKUP(source[[#This Row],[lending_product_transform]],[3]Mapping!$B$4:$C$37,2,0)</f>
        <v>[Cake] - Cashloan</v>
      </c>
      <c r="H12633" s="128" t="str">
        <f>VLOOKUP(source[[#This Row],[lending_product_transform]],[3]Mapping!$B$3:$D$37,3,0)</f>
        <v>cashloan</v>
      </c>
      <c r="I12633" s="137">
        <v>1823140000</v>
      </c>
    </row>
    <row r="12634" spans="1:9" x14ac:dyDescent="0.2">
      <c r="A12634" s="134">
        <v>46055</v>
      </c>
      <c r="B12634" s="135">
        <f>YEAR(source[[#This Row],[report_date]])</f>
        <v>2026</v>
      </c>
      <c r="C12634" s="128">
        <f t="shared" si="590"/>
        <v>2</v>
      </c>
      <c r="D12634" s="136">
        <f t="shared" si="592"/>
        <v>6</v>
      </c>
      <c r="E12634" s="136">
        <f t="shared" si="591"/>
        <v>2</v>
      </c>
      <c r="F12634" s="137" t="s">
        <v>24</v>
      </c>
      <c r="G12634" s="128" t="str">
        <f>VLOOKUP(source[[#This Row],[lending_product_transform]],[3]Mapping!$B$4:$C$37,2,0)</f>
        <v>[Cake] - Cashloan</v>
      </c>
      <c r="H12634" s="128" t="str">
        <f>VLOOKUP(source[[#This Row],[lending_product_transform]],[3]Mapping!$B$3:$D$37,3,0)</f>
        <v>cashloan</v>
      </c>
      <c r="I12634" s="137">
        <v>34523861</v>
      </c>
    </row>
    <row r="12635" spans="1:9" x14ac:dyDescent="0.2">
      <c r="A12635" s="134">
        <v>46055</v>
      </c>
      <c r="B12635" s="135">
        <f>YEAR(source[[#This Row],[report_date]])</f>
        <v>2026</v>
      </c>
      <c r="C12635" s="128">
        <f t="shared" si="590"/>
        <v>2</v>
      </c>
      <c r="D12635" s="136">
        <f t="shared" si="592"/>
        <v>6</v>
      </c>
      <c r="E12635" s="136">
        <f t="shared" si="591"/>
        <v>2</v>
      </c>
      <c r="F12635" s="137" t="s">
        <v>24</v>
      </c>
      <c r="G12635" s="128" t="str">
        <f>VLOOKUP(source[[#This Row],[lending_product_transform]],[3]Mapping!$B$4:$C$37,2,0)</f>
        <v>[Cake] - Cashloan</v>
      </c>
      <c r="H12635" s="128" t="str">
        <f>VLOOKUP(source[[#This Row],[lending_product_transform]],[3]Mapping!$B$3:$D$37,3,0)</f>
        <v>cashloan</v>
      </c>
      <c r="I12635" s="137">
        <v>2130199811</v>
      </c>
    </row>
    <row r="12636" spans="1:9" x14ac:dyDescent="0.2">
      <c r="A12636" s="134">
        <v>46055</v>
      </c>
      <c r="B12636" s="135">
        <f>YEAR(source[[#This Row],[report_date]])</f>
        <v>2026</v>
      </c>
      <c r="C12636" s="128">
        <f t="shared" si="590"/>
        <v>2</v>
      </c>
      <c r="D12636" s="136">
        <f t="shared" si="592"/>
        <v>6</v>
      </c>
      <c r="E12636" s="136">
        <f t="shared" si="591"/>
        <v>2</v>
      </c>
      <c r="F12636" s="137" t="s">
        <v>24</v>
      </c>
      <c r="G12636" s="128" t="str">
        <f>VLOOKUP(source[[#This Row],[lending_product_transform]],[3]Mapping!$B$4:$C$37,2,0)</f>
        <v>[Cake] - Cashloan</v>
      </c>
      <c r="H12636" s="128" t="str">
        <f>VLOOKUP(source[[#This Row],[lending_product_transform]],[3]Mapping!$B$3:$D$37,3,0)</f>
        <v>cashloan</v>
      </c>
      <c r="I12636" s="137">
        <v>0</v>
      </c>
    </row>
    <row r="12637" spans="1:9" x14ac:dyDescent="0.2">
      <c r="A12637" s="134">
        <v>46055</v>
      </c>
      <c r="B12637" s="135">
        <f>YEAR(source[[#This Row],[report_date]])</f>
        <v>2026</v>
      </c>
      <c r="C12637" s="128">
        <f t="shared" si="590"/>
        <v>2</v>
      </c>
      <c r="D12637" s="136">
        <f t="shared" si="592"/>
        <v>6</v>
      </c>
      <c r="E12637" s="136">
        <f t="shared" si="591"/>
        <v>2</v>
      </c>
      <c r="F12637" s="137" t="s">
        <v>24</v>
      </c>
      <c r="G12637" s="128" t="str">
        <f>VLOOKUP(source[[#This Row],[lending_product_transform]],[3]Mapping!$B$4:$C$37,2,0)</f>
        <v>[Cake] - Cashloan</v>
      </c>
      <c r="H12637" s="128" t="str">
        <f>VLOOKUP(source[[#This Row],[lending_product_transform]],[3]Mapping!$B$3:$D$37,3,0)</f>
        <v>cashloan</v>
      </c>
      <c r="I12637" s="137">
        <v>169000000</v>
      </c>
    </row>
    <row r="12638" spans="1:9" x14ac:dyDescent="0.2">
      <c r="A12638" s="134">
        <v>46055</v>
      </c>
      <c r="B12638" s="135">
        <f>YEAR(source[[#This Row],[report_date]])</f>
        <v>2026</v>
      </c>
      <c r="C12638" s="128">
        <f t="shared" si="590"/>
        <v>2</v>
      </c>
      <c r="D12638" s="136">
        <f t="shared" si="592"/>
        <v>6</v>
      </c>
      <c r="E12638" s="136">
        <f t="shared" si="591"/>
        <v>2</v>
      </c>
      <c r="F12638" s="137" t="s">
        <v>24</v>
      </c>
      <c r="G12638" s="128" t="str">
        <f>VLOOKUP(source[[#This Row],[lending_product_transform]],[3]Mapping!$B$4:$C$37,2,0)</f>
        <v>[Cake] - Cashloan</v>
      </c>
      <c r="H12638" s="128" t="str">
        <f>VLOOKUP(source[[#This Row],[lending_product_transform]],[3]Mapping!$B$3:$D$37,3,0)</f>
        <v>cashloan</v>
      </c>
      <c r="I12638" s="137">
        <v>0</v>
      </c>
    </row>
    <row r="12639" spans="1:9" x14ac:dyDescent="0.2">
      <c r="A12639" s="134">
        <v>46055</v>
      </c>
      <c r="B12639" s="135">
        <f>YEAR(source[[#This Row],[report_date]])</f>
        <v>2026</v>
      </c>
      <c r="C12639" s="128">
        <f t="shared" si="590"/>
        <v>2</v>
      </c>
      <c r="D12639" s="136">
        <f t="shared" si="592"/>
        <v>6</v>
      </c>
      <c r="E12639" s="136">
        <f t="shared" si="591"/>
        <v>2</v>
      </c>
      <c r="F12639" s="137" t="s">
        <v>24</v>
      </c>
      <c r="G12639" s="128" t="str">
        <f>VLOOKUP(source[[#This Row],[lending_product_transform]],[3]Mapping!$B$4:$C$37,2,0)</f>
        <v>[Cake] - Cashloan</v>
      </c>
      <c r="H12639" s="128" t="str">
        <f>VLOOKUP(source[[#This Row],[lending_product_transform]],[3]Mapping!$B$3:$D$37,3,0)</f>
        <v>cashloan</v>
      </c>
      <c r="I12639" s="137">
        <v>21816350000</v>
      </c>
    </row>
    <row r="12640" spans="1:9" x14ac:dyDescent="0.2">
      <c r="A12640" s="134">
        <v>46055</v>
      </c>
      <c r="B12640" s="135">
        <f>YEAR(source[[#This Row],[report_date]])</f>
        <v>2026</v>
      </c>
      <c r="C12640" s="128">
        <f t="shared" si="590"/>
        <v>2</v>
      </c>
      <c r="D12640" s="136">
        <f t="shared" si="592"/>
        <v>6</v>
      </c>
      <c r="E12640" s="136">
        <f t="shared" si="591"/>
        <v>2</v>
      </c>
      <c r="F12640" s="137" t="s">
        <v>24</v>
      </c>
      <c r="G12640" s="128" t="str">
        <f>VLOOKUP(source[[#This Row],[lending_product_transform]],[3]Mapping!$B$4:$C$37,2,0)</f>
        <v>[Cake] - Cashloan</v>
      </c>
      <c r="H12640" s="128" t="str">
        <f>VLOOKUP(source[[#This Row],[lending_product_transform]],[3]Mapping!$B$3:$D$37,3,0)</f>
        <v>cashloan</v>
      </c>
      <c r="I12640" s="137">
        <v>0</v>
      </c>
    </row>
    <row r="12641" spans="1:9" x14ac:dyDescent="0.2">
      <c r="A12641" s="134">
        <v>46055</v>
      </c>
      <c r="B12641" s="135">
        <f>YEAR(source[[#This Row],[report_date]])</f>
        <v>2026</v>
      </c>
      <c r="C12641" s="128">
        <f t="shared" si="590"/>
        <v>2</v>
      </c>
      <c r="D12641" s="136">
        <f t="shared" si="592"/>
        <v>6</v>
      </c>
      <c r="E12641" s="136">
        <f t="shared" si="591"/>
        <v>2</v>
      </c>
      <c r="F12641" s="137" t="s">
        <v>24</v>
      </c>
      <c r="G12641" s="128" t="str">
        <f>VLOOKUP(source[[#This Row],[lending_product_transform]],[3]Mapping!$B$4:$C$37,2,0)</f>
        <v>[Cake] - Cashloan</v>
      </c>
      <c r="H12641" s="128" t="str">
        <f>VLOOKUP(source[[#This Row],[lending_product_transform]],[3]Mapping!$B$3:$D$37,3,0)</f>
        <v>cashloan</v>
      </c>
      <c r="I12641" s="137">
        <v>0</v>
      </c>
    </row>
    <row r="12642" spans="1:9" x14ac:dyDescent="0.2">
      <c r="A12642" s="134">
        <v>46055</v>
      </c>
      <c r="B12642" s="135">
        <f>YEAR(source[[#This Row],[report_date]])</f>
        <v>2026</v>
      </c>
      <c r="C12642" s="128">
        <f t="shared" si="590"/>
        <v>2</v>
      </c>
      <c r="D12642" s="136">
        <f t="shared" si="592"/>
        <v>6</v>
      </c>
      <c r="E12642" s="136">
        <f t="shared" si="591"/>
        <v>2</v>
      </c>
      <c r="F12642" s="137" t="s">
        <v>24</v>
      </c>
      <c r="G12642" s="128" t="str">
        <f>VLOOKUP(source[[#This Row],[lending_product_transform]],[3]Mapping!$B$4:$C$37,2,0)</f>
        <v>[Cake] - Cashloan</v>
      </c>
      <c r="H12642" s="128" t="str">
        <f>VLOOKUP(source[[#This Row],[lending_product_transform]],[3]Mapping!$B$3:$D$37,3,0)</f>
        <v>cashloan</v>
      </c>
      <c r="I12642" s="137">
        <v>0</v>
      </c>
    </row>
    <row r="12643" spans="1:9" x14ac:dyDescent="0.2">
      <c r="A12643" s="134">
        <v>46055</v>
      </c>
      <c r="B12643" s="135">
        <f>YEAR(source[[#This Row],[report_date]])</f>
        <v>2026</v>
      </c>
      <c r="C12643" s="128">
        <f t="shared" si="590"/>
        <v>2</v>
      </c>
      <c r="D12643" s="136">
        <f t="shared" si="592"/>
        <v>6</v>
      </c>
      <c r="E12643" s="136">
        <f t="shared" si="591"/>
        <v>2</v>
      </c>
      <c r="F12643" s="137" t="s">
        <v>24</v>
      </c>
      <c r="G12643" s="128" t="str">
        <f>VLOOKUP(source[[#This Row],[lending_product_transform]],[3]Mapping!$B$4:$C$37,2,0)</f>
        <v>[Cake] - Cashloan</v>
      </c>
      <c r="H12643" s="128" t="str">
        <f>VLOOKUP(source[[#This Row],[lending_product_transform]],[3]Mapping!$B$3:$D$37,3,0)</f>
        <v>cashloan</v>
      </c>
      <c r="I12643" s="137">
        <v>37100000</v>
      </c>
    </row>
    <row r="12644" spans="1:9" x14ac:dyDescent="0.2">
      <c r="A12644" s="134">
        <v>46055</v>
      </c>
      <c r="B12644" s="135">
        <f>YEAR(source[[#This Row],[report_date]])</f>
        <v>2026</v>
      </c>
      <c r="C12644" s="128">
        <f t="shared" si="590"/>
        <v>2</v>
      </c>
      <c r="D12644" s="136">
        <f t="shared" si="592"/>
        <v>6</v>
      </c>
      <c r="E12644" s="136">
        <f t="shared" si="591"/>
        <v>2</v>
      </c>
      <c r="F12644" s="137" t="s">
        <v>24</v>
      </c>
      <c r="G12644" s="128" t="str">
        <f>VLOOKUP(source[[#This Row],[lending_product_transform]],[3]Mapping!$B$4:$C$37,2,0)</f>
        <v>[Cake] - Cashloan</v>
      </c>
      <c r="H12644" s="128" t="str">
        <f>VLOOKUP(source[[#This Row],[lending_product_transform]],[3]Mapping!$B$3:$D$37,3,0)</f>
        <v>cashloan</v>
      </c>
      <c r="I12644" s="137">
        <v>11912292000</v>
      </c>
    </row>
    <row r="12645" spans="1:9" x14ac:dyDescent="0.2">
      <c r="A12645" s="134">
        <v>46055</v>
      </c>
      <c r="B12645" s="135">
        <f>YEAR(source[[#This Row],[report_date]])</f>
        <v>2026</v>
      </c>
      <c r="C12645" s="128">
        <f t="shared" si="590"/>
        <v>2</v>
      </c>
      <c r="D12645" s="136">
        <f t="shared" si="592"/>
        <v>6</v>
      </c>
      <c r="E12645" s="136">
        <f t="shared" si="591"/>
        <v>2</v>
      </c>
      <c r="F12645" s="137" t="s">
        <v>24</v>
      </c>
      <c r="G12645" s="128" t="str">
        <f>VLOOKUP(source[[#This Row],[lending_product_transform]],[3]Mapping!$B$4:$C$37,2,0)</f>
        <v>[Cake] - Cashloan</v>
      </c>
      <c r="H12645" s="128" t="str">
        <f>VLOOKUP(source[[#This Row],[lending_product_transform]],[3]Mapping!$B$3:$D$37,3,0)</f>
        <v>cashloan</v>
      </c>
      <c r="I12645" s="137">
        <v>447859640</v>
      </c>
    </row>
    <row r="12646" spans="1:9" x14ac:dyDescent="0.2">
      <c r="A12646" s="134">
        <v>46055</v>
      </c>
      <c r="B12646" s="135">
        <f>YEAR(source[[#This Row],[report_date]])</f>
        <v>2026</v>
      </c>
      <c r="C12646" s="128">
        <f t="shared" si="590"/>
        <v>2</v>
      </c>
      <c r="D12646" s="136">
        <f t="shared" si="592"/>
        <v>6</v>
      </c>
      <c r="E12646" s="136">
        <f t="shared" si="591"/>
        <v>2</v>
      </c>
      <c r="F12646" s="137" t="s">
        <v>24</v>
      </c>
      <c r="G12646" s="128" t="str">
        <f>VLOOKUP(source[[#This Row],[lending_product_transform]],[3]Mapping!$B$4:$C$37,2,0)</f>
        <v>[Cake] - Cashloan</v>
      </c>
      <c r="H12646" s="128" t="str">
        <f>VLOOKUP(source[[#This Row],[lending_product_transform]],[3]Mapping!$B$3:$D$37,3,0)</f>
        <v>cashloan</v>
      </c>
      <c r="I12646" s="137">
        <v>52000000</v>
      </c>
    </row>
    <row r="12647" spans="1:9" x14ac:dyDescent="0.2">
      <c r="A12647" s="134">
        <v>46055</v>
      </c>
      <c r="B12647" s="135">
        <f>YEAR(source[[#This Row],[report_date]])</f>
        <v>2026</v>
      </c>
      <c r="C12647" s="128">
        <f t="shared" si="590"/>
        <v>2</v>
      </c>
      <c r="D12647" s="136">
        <f t="shared" si="592"/>
        <v>6</v>
      </c>
      <c r="E12647" s="136">
        <f t="shared" si="591"/>
        <v>2</v>
      </c>
      <c r="F12647" s="137" t="s">
        <v>24</v>
      </c>
      <c r="G12647" s="128" t="str">
        <f>VLOOKUP(source[[#This Row],[lending_product_transform]],[3]Mapping!$B$4:$C$37,2,0)</f>
        <v>[Cake] - Cashloan</v>
      </c>
      <c r="H12647" s="128" t="str">
        <f>VLOOKUP(source[[#This Row],[lending_product_transform]],[3]Mapping!$B$3:$D$37,3,0)</f>
        <v>cashloan</v>
      </c>
      <c r="I12647" s="137">
        <v>49000000</v>
      </c>
    </row>
    <row r="12648" spans="1:9" x14ac:dyDescent="0.2">
      <c r="A12648" s="134">
        <v>46055</v>
      </c>
      <c r="B12648" s="135">
        <f>YEAR(source[[#This Row],[report_date]])</f>
        <v>2026</v>
      </c>
      <c r="C12648" s="128">
        <f t="shared" si="590"/>
        <v>2</v>
      </c>
      <c r="D12648" s="136">
        <f t="shared" si="592"/>
        <v>6</v>
      </c>
      <c r="E12648" s="136">
        <f t="shared" si="591"/>
        <v>2</v>
      </c>
      <c r="F12648" s="137" t="s">
        <v>24</v>
      </c>
      <c r="G12648" s="128" t="str">
        <f>VLOOKUP(source[[#This Row],[lending_product_transform]],[3]Mapping!$B$4:$C$37,2,0)</f>
        <v>[Cake] - Cashloan</v>
      </c>
      <c r="H12648" s="128" t="str">
        <f>VLOOKUP(source[[#This Row],[lending_product_transform]],[3]Mapping!$B$3:$D$37,3,0)</f>
        <v>cashloan</v>
      </c>
      <c r="I12648" s="137">
        <v>1013200000</v>
      </c>
    </row>
    <row r="12649" spans="1:9" x14ac:dyDescent="0.2">
      <c r="A12649" s="134">
        <v>46055</v>
      </c>
      <c r="B12649" s="135">
        <f>YEAR(source[[#This Row],[report_date]])</f>
        <v>2026</v>
      </c>
      <c r="C12649" s="128">
        <f t="shared" si="590"/>
        <v>2</v>
      </c>
      <c r="D12649" s="136">
        <f t="shared" si="592"/>
        <v>6</v>
      </c>
      <c r="E12649" s="136">
        <f t="shared" si="591"/>
        <v>2</v>
      </c>
      <c r="F12649" s="137" t="s">
        <v>24</v>
      </c>
      <c r="G12649" s="128" t="str">
        <f>VLOOKUP(source[[#This Row],[lending_product_transform]],[3]Mapping!$B$4:$C$37,2,0)</f>
        <v>[Cake] - Cashloan</v>
      </c>
      <c r="H12649" s="128" t="str">
        <f>VLOOKUP(source[[#This Row],[lending_product_transform]],[3]Mapping!$B$3:$D$37,3,0)</f>
        <v>cashloan</v>
      </c>
      <c r="I12649" s="137">
        <v>458028000</v>
      </c>
    </row>
    <row r="12650" spans="1:9" x14ac:dyDescent="0.2">
      <c r="A12650" s="134">
        <v>46055</v>
      </c>
      <c r="B12650" s="135">
        <f>YEAR(source[[#This Row],[report_date]])</f>
        <v>2026</v>
      </c>
      <c r="C12650" s="128">
        <f t="shared" si="590"/>
        <v>2</v>
      </c>
      <c r="D12650" s="136">
        <f t="shared" si="592"/>
        <v>6</v>
      </c>
      <c r="E12650" s="136">
        <f t="shared" si="591"/>
        <v>2</v>
      </c>
      <c r="F12650" s="137" t="s">
        <v>24</v>
      </c>
      <c r="G12650" s="128" t="str">
        <f>VLOOKUP(source[[#This Row],[lending_product_transform]],[3]Mapping!$B$4:$C$37,2,0)</f>
        <v>[Cake] - Cashloan</v>
      </c>
      <c r="H12650" s="128" t="str">
        <f>VLOOKUP(source[[#This Row],[lending_product_transform]],[3]Mapping!$B$3:$D$37,3,0)</f>
        <v>cashloan</v>
      </c>
      <c r="I12650" s="137">
        <v>992318820</v>
      </c>
    </row>
    <row r="12651" spans="1:9" x14ac:dyDescent="0.2">
      <c r="A12651" s="134">
        <v>46055</v>
      </c>
      <c r="B12651" s="135">
        <f>YEAR(source[[#This Row],[report_date]])</f>
        <v>2026</v>
      </c>
      <c r="C12651" s="128">
        <f t="shared" si="590"/>
        <v>2</v>
      </c>
      <c r="D12651" s="136">
        <f t="shared" si="592"/>
        <v>6</v>
      </c>
      <c r="E12651" s="136">
        <f t="shared" si="591"/>
        <v>2</v>
      </c>
      <c r="F12651" s="137" t="s">
        <v>24</v>
      </c>
      <c r="G12651" s="128" t="str">
        <f>VLOOKUP(source[[#This Row],[lending_product_transform]],[3]Mapping!$B$4:$C$37,2,0)</f>
        <v>[Cake] - Cashloan</v>
      </c>
      <c r="H12651" s="128" t="str">
        <f>VLOOKUP(source[[#This Row],[lending_product_transform]],[3]Mapping!$B$3:$D$37,3,0)</f>
        <v>cashloan</v>
      </c>
      <c r="I12651" s="137">
        <v>4600240000</v>
      </c>
    </row>
    <row r="12652" spans="1:9" x14ac:dyDescent="0.2">
      <c r="A12652" s="134">
        <v>46055</v>
      </c>
      <c r="B12652" s="135">
        <f>YEAR(source[[#This Row],[report_date]])</f>
        <v>2026</v>
      </c>
      <c r="C12652" s="128">
        <f t="shared" si="590"/>
        <v>2</v>
      </c>
      <c r="D12652" s="136">
        <f t="shared" si="592"/>
        <v>6</v>
      </c>
      <c r="E12652" s="136">
        <f t="shared" si="591"/>
        <v>2</v>
      </c>
      <c r="F12652" s="137" t="s">
        <v>24</v>
      </c>
      <c r="G12652" s="128" t="str">
        <f>VLOOKUP(source[[#This Row],[lending_product_transform]],[3]Mapping!$B$4:$C$37,2,0)</f>
        <v>[Cake] - Cashloan</v>
      </c>
      <c r="H12652" s="128" t="str">
        <f>VLOOKUP(source[[#This Row],[lending_product_transform]],[3]Mapping!$B$3:$D$37,3,0)</f>
        <v>cashloan</v>
      </c>
      <c r="I12652" s="137">
        <v>915800000</v>
      </c>
    </row>
    <row r="12653" spans="1:9" x14ac:dyDescent="0.2">
      <c r="A12653" s="134">
        <v>46056</v>
      </c>
      <c r="B12653" s="135">
        <f>YEAR(source[[#This Row],[report_date]])</f>
        <v>2026</v>
      </c>
      <c r="C12653" s="128">
        <f t="shared" si="590"/>
        <v>2</v>
      </c>
      <c r="D12653" s="136">
        <f t="shared" si="592"/>
        <v>6</v>
      </c>
      <c r="E12653" s="136">
        <f t="shared" si="591"/>
        <v>3</v>
      </c>
      <c r="F12653" s="137" t="s">
        <v>24</v>
      </c>
      <c r="G12653" s="128" t="str">
        <f>VLOOKUP(source[[#This Row],[lending_product_transform]],[3]Mapping!$B$4:$C$37,2,0)</f>
        <v>[Cake] - Cashloan</v>
      </c>
      <c r="H12653" s="128" t="str">
        <f>VLOOKUP(source[[#This Row],[lending_product_transform]],[3]Mapping!$B$3:$D$37,3,0)</f>
        <v>cashloan</v>
      </c>
      <c r="I12653" s="137">
        <v>757350000</v>
      </c>
    </row>
    <row r="12654" spans="1:9" x14ac:dyDescent="0.2">
      <c r="A12654" s="134">
        <v>46056</v>
      </c>
      <c r="B12654" s="135">
        <f>YEAR(source[[#This Row],[report_date]])</f>
        <v>2026</v>
      </c>
      <c r="C12654" s="128">
        <f t="shared" si="590"/>
        <v>2</v>
      </c>
      <c r="D12654" s="136">
        <f t="shared" si="592"/>
        <v>6</v>
      </c>
      <c r="E12654" s="136">
        <f t="shared" si="591"/>
        <v>3</v>
      </c>
      <c r="F12654" s="137" t="s">
        <v>24</v>
      </c>
      <c r="G12654" s="128" t="str">
        <f>VLOOKUP(source[[#This Row],[lending_product_transform]],[3]Mapping!$B$4:$C$37,2,0)</f>
        <v>[Cake] - Cashloan</v>
      </c>
      <c r="H12654" s="128" t="str">
        <f>VLOOKUP(source[[#This Row],[lending_product_transform]],[3]Mapping!$B$3:$D$37,3,0)</f>
        <v>cashloan</v>
      </c>
      <c r="I12654" s="137">
        <v>450793395</v>
      </c>
    </row>
    <row r="12655" spans="1:9" x14ac:dyDescent="0.2">
      <c r="A12655" s="134">
        <v>46056</v>
      </c>
      <c r="B12655" s="135">
        <f>YEAR(source[[#This Row],[report_date]])</f>
        <v>2026</v>
      </c>
      <c r="C12655" s="128">
        <f t="shared" si="590"/>
        <v>2</v>
      </c>
      <c r="D12655" s="136">
        <f t="shared" si="592"/>
        <v>6</v>
      </c>
      <c r="E12655" s="136">
        <f t="shared" si="591"/>
        <v>3</v>
      </c>
      <c r="F12655" s="137" t="s">
        <v>24</v>
      </c>
      <c r="G12655" s="128" t="str">
        <f>VLOOKUP(source[[#This Row],[lending_product_transform]],[3]Mapping!$B$4:$C$37,2,0)</f>
        <v>[Cake] - Cashloan</v>
      </c>
      <c r="H12655" s="128" t="str">
        <f>VLOOKUP(source[[#This Row],[lending_product_transform]],[3]Mapping!$B$3:$D$37,3,0)</f>
        <v>cashloan</v>
      </c>
      <c r="I12655" s="137">
        <v>19764290000</v>
      </c>
    </row>
    <row r="12656" spans="1:9" x14ac:dyDescent="0.2">
      <c r="A12656" s="134">
        <v>46056</v>
      </c>
      <c r="B12656" s="135">
        <f>YEAR(source[[#This Row],[report_date]])</f>
        <v>2026</v>
      </c>
      <c r="C12656" s="128">
        <f t="shared" si="590"/>
        <v>2</v>
      </c>
      <c r="D12656" s="136">
        <f t="shared" si="592"/>
        <v>6</v>
      </c>
      <c r="E12656" s="136">
        <f t="shared" si="591"/>
        <v>3</v>
      </c>
      <c r="F12656" s="137" t="s">
        <v>24</v>
      </c>
      <c r="G12656" s="128" t="str">
        <f>VLOOKUP(source[[#This Row],[lending_product_transform]],[3]Mapping!$B$4:$C$37,2,0)</f>
        <v>[Cake] - Cashloan</v>
      </c>
      <c r="H12656" s="128" t="str">
        <f>VLOOKUP(source[[#This Row],[lending_product_transform]],[3]Mapping!$B$3:$D$37,3,0)</f>
        <v>cashloan</v>
      </c>
      <c r="I12656" s="137">
        <v>2759130350</v>
      </c>
    </row>
    <row r="12657" spans="1:9" x14ac:dyDescent="0.2">
      <c r="A12657" s="134">
        <v>46056</v>
      </c>
      <c r="B12657" s="135">
        <f>YEAR(source[[#This Row],[report_date]])</f>
        <v>2026</v>
      </c>
      <c r="C12657" s="128">
        <f t="shared" si="590"/>
        <v>2</v>
      </c>
      <c r="D12657" s="136">
        <f t="shared" si="592"/>
        <v>6</v>
      </c>
      <c r="E12657" s="136">
        <f t="shared" si="591"/>
        <v>3</v>
      </c>
      <c r="F12657" s="137" t="s">
        <v>24</v>
      </c>
      <c r="G12657" s="128" t="str">
        <f>VLOOKUP(source[[#This Row],[lending_product_transform]],[3]Mapping!$B$4:$C$37,2,0)</f>
        <v>[Cake] - Cashloan</v>
      </c>
      <c r="H12657" s="128" t="str">
        <f>VLOOKUP(source[[#This Row],[lending_product_transform]],[3]Mapping!$B$3:$D$37,3,0)</f>
        <v>cashloan</v>
      </c>
      <c r="I12657" s="137">
        <v>14963508000</v>
      </c>
    </row>
    <row r="12658" spans="1:9" x14ac:dyDescent="0.2">
      <c r="A12658" s="134">
        <v>46056</v>
      </c>
      <c r="B12658" s="135">
        <f>YEAR(source[[#This Row],[report_date]])</f>
        <v>2026</v>
      </c>
      <c r="C12658" s="128">
        <f t="shared" si="590"/>
        <v>2</v>
      </c>
      <c r="D12658" s="136">
        <f t="shared" si="592"/>
        <v>6</v>
      </c>
      <c r="E12658" s="136">
        <f t="shared" si="591"/>
        <v>3</v>
      </c>
      <c r="F12658" s="137" t="s">
        <v>24</v>
      </c>
      <c r="G12658" s="128" t="str">
        <f>VLOOKUP(source[[#This Row],[lending_product_transform]],[3]Mapping!$B$4:$C$37,2,0)</f>
        <v>[Cake] - Cashloan</v>
      </c>
      <c r="H12658" s="128" t="str">
        <f>VLOOKUP(source[[#This Row],[lending_product_transform]],[3]Mapping!$B$3:$D$37,3,0)</f>
        <v>cashloan</v>
      </c>
      <c r="I12658" s="137">
        <v>63202779</v>
      </c>
    </row>
    <row r="12659" spans="1:9" x14ac:dyDescent="0.2">
      <c r="A12659" s="134">
        <v>46056</v>
      </c>
      <c r="B12659" s="135">
        <f>YEAR(source[[#This Row],[report_date]])</f>
        <v>2026</v>
      </c>
      <c r="C12659" s="128">
        <f t="shared" si="590"/>
        <v>2</v>
      </c>
      <c r="D12659" s="136">
        <f t="shared" si="592"/>
        <v>6</v>
      </c>
      <c r="E12659" s="136">
        <f t="shared" si="591"/>
        <v>3</v>
      </c>
      <c r="F12659" s="137" t="s">
        <v>24</v>
      </c>
      <c r="G12659" s="128" t="str">
        <f>VLOOKUP(source[[#This Row],[lending_product_transform]],[3]Mapping!$B$4:$C$37,2,0)</f>
        <v>[Cake] - Cashloan</v>
      </c>
      <c r="H12659" s="128" t="str">
        <f>VLOOKUP(source[[#This Row],[lending_product_transform]],[3]Mapping!$B$3:$D$37,3,0)</f>
        <v>cashloan</v>
      </c>
      <c r="I12659" s="137">
        <v>170000000</v>
      </c>
    </row>
    <row r="12660" spans="1:9" x14ac:dyDescent="0.2">
      <c r="A12660" s="134">
        <v>46056</v>
      </c>
      <c r="B12660" s="135">
        <f>YEAR(source[[#This Row],[report_date]])</f>
        <v>2026</v>
      </c>
      <c r="C12660" s="128">
        <f t="shared" si="590"/>
        <v>2</v>
      </c>
      <c r="D12660" s="136">
        <f t="shared" si="592"/>
        <v>6</v>
      </c>
      <c r="E12660" s="136">
        <f t="shared" si="591"/>
        <v>3</v>
      </c>
      <c r="F12660" s="137" t="s">
        <v>24</v>
      </c>
      <c r="G12660" s="128" t="str">
        <f>VLOOKUP(source[[#This Row],[lending_product_transform]],[3]Mapping!$B$4:$C$37,2,0)</f>
        <v>[Cake] - Cashloan</v>
      </c>
      <c r="H12660" s="128" t="str">
        <f>VLOOKUP(source[[#This Row],[lending_product_transform]],[3]Mapping!$B$3:$D$37,3,0)</f>
        <v>cashloan</v>
      </c>
      <c r="I12660" s="137">
        <v>4933810000</v>
      </c>
    </row>
    <row r="12661" spans="1:9" x14ac:dyDescent="0.2">
      <c r="A12661" s="134">
        <v>46056</v>
      </c>
      <c r="B12661" s="135">
        <f>YEAR(source[[#This Row],[report_date]])</f>
        <v>2026</v>
      </c>
      <c r="C12661" s="128">
        <f t="shared" si="590"/>
        <v>2</v>
      </c>
      <c r="D12661" s="136">
        <f t="shared" si="592"/>
        <v>6</v>
      </c>
      <c r="E12661" s="136">
        <f t="shared" si="591"/>
        <v>3</v>
      </c>
      <c r="F12661" s="137" t="s">
        <v>24</v>
      </c>
      <c r="G12661" s="128" t="str">
        <f>VLOOKUP(source[[#This Row],[lending_product_transform]],[3]Mapping!$B$4:$C$37,2,0)</f>
        <v>[Cake] - Cashloan</v>
      </c>
      <c r="H12661" s="128" t="str">
        <f>VLOOKUP(source[[#This Row],[lending_product_transform]],[3]Mapping!$B$3:$D$37,3,0)</f>
        <v>cashloan</v>
      </c>
      <c r="I12661" s="137">
        <v>1587740000</v>
      </c>
    </row>
    <row r="12662" spans="1:9" x14ac:dyDescent="0.2">
      <c r="A12662" s="134">
        <v>46056</v>
      </c>
      <c r="B12662" s="135">
        <f>YEAR(source[[#This Row],[report_date]])</f>
        <v>2026</v>
      </c>
      <c r="C12662" s="128">
        <f t="shared" ref="C12662:C12725" si="593">MONTH(A12662)</f>
        <v>2</v>
      </c>
      <c r="D12662" s="136">
        <f t="shared" si="592"/>
        <v>6</v>
      </c>
      <c r="E12662" s="136">
        <f t="shared" ref="E12662:E12725" si="594">DAY(A12662)</f>
        <v>3</v>
      </c>
      <c r="F12662" s="137" t="s">
        <v>24</v>
      </c>
      <c r="G12662" s="128" t="str">
        <f>VLOOKUP(source[[#This Row],[lending_product_transform]],[3]Mapping!$B$4:$C$37,2,0)</f>
        <v>[Cake] - Cashloan</v>
      </c>
      <c r="H12662" s="128" t="str">
        <f>VLOOKUP(source[[#This Row],[lending_product_transform]],[3]Mapping!$B$3:$D$37,3,0)</f>
        <v>cashloan</v>
      </c>
      <c r="I12662" s="137">
        <v>56334108</v>
      </c>
    </row>
    <row r="12663" spans="1:9" x14ac:dyDescent="0.2">
      <c r="A12663" s="134">
        <v>46056</v>
      </c>
      <c r="B12663" s="135">
        <f>YEAR(source[[#This Row],[report_date]])</f>
        <v>2026</v>
      </c>
      <c r="C12663" s="128">
        <f t="shared" si="593"/>
        <v>2</v>
      </c>
      <c r="D12663" s="136">
        <f t="shared" si="592"/>
        <v>6</v>
      </c>
      <c r="E12663" s="136">
        <f t="shared" si="594"/>
        <v>3</v>
      </c>
      <c r="F12663" s="137" t="s">
        <v>24</v>
      </c>
      <c r="G12663" s="128" t="str">
        <f>VLOOKUP(source[[#This Row],[lending_product_transform]],[3]Mapping!$B$4:$C$37,2,0)</f>
        <v>[Cake] - Cashloan</v>
      </c>
      <c r="H12663" s="128" t="str">
        <f>VLOOKUP(source[[#This Row],[lending_product_transform]],[3]Mapping!$B$3:$D$37,3,0)</f>
        <v>cashloan</v>
      </c>
      <c r="I12663" s="137">
        <v>2337638612</v>
      </c>
    </row>
    <row r="12664" spans="1:9" x14ac:dyDescent="0.2">
      <c r="A12664" s="134">
        <v>46056</v>
      </c>
      <c r="B12664" s="135">
        <f>YEAR(source[[#This Row],[report_date]])</f>
        <v>2026</v>
      </c>
      <c r="C12664" s="128">
        <f t="shared" si="593"/>
        <v>2</v>
      </c>
      <c r="D12664" s="136">
        <f t="shared" si="592"/>
        <v>6</v>
      </c>
      <c r="E12664" s="136">
        <f t="shared" si="594"/>
        <v>3</v>
      </c>
      <c r="F12664" s="137" t="s">
        <v>24</v>
      </c>
      <c r="G12664" s="128" t="str">
        <f>VLOOKUP(source[[#This Row],[lending_product_transform]],[3]Mapping!$B$4:$C$37,2,0)</f>
        <v>[Cake] - Cashloan</v>
      </c>
      <c r="H12664" s="128" t="str">
        <f>VLOOKUP(source[[#This Row],[lending_product_transform]],[3]Mapping!$B$3:$D$37,3,0)</f>
        <v>cashloan</v>
      </c>
      <c r="I12664" s="137">
        <v>0</v>
      </c>
    </row>
    <row r="12665" spans="1:9" x14ac:dyDescent="0.2">
      <c r="A12665" s="134">
        <v>46056</v>
      </c>
      <c r="B12665" s="135">
        <f>YEAR(source[[#This Row],[report_date]])</f>
        <v>2026</v>
      </c>
      <c r="C12665" s="128">
        <f t="shared" si="593"/>
        <v>2</v>
      </c>
      <c r="D12665" s="136">
        <f t="shared" si="592"/>
        <v>6</v>
      </c>
      <c r="E12665" s="136">
        <f t="shared" si="594"/>
        <v>3</v>
      </c>
      <c r="F12665" s="137" t="s">
        <v>24</v>
      </c>
      <c r="G12665" s="128" t="str">
        <f>VLOOKUP(source[[#This Row],[lending_product_transform]],[3]Mapping!$B$4:$C$37,2,0)</f>
        <v>[Cake] - Cashloan</v>
      </c>
      <c r="H12665" s="128" t="str">
        <f>VLOOKUP(source[[#This Row],[lending_product_transform]],[3]Mapping!$B$3:$D$37,3,0)</f>
        <v>cashloan</v>
      </c>
      <c r="I12665" s="137">
        <v>136500000</v>
      </c>
    </row>
    <row r="12666" spans="1:9" x14ac:dyDescent="0.2">
      <c r="A12666" s="134">
        <v>46056</v>
      </c>
      <c r="B12666" s="135">
        <f>YEAR(source[[#This Row],[report_date]])</f>
        <v>2026</v>
      </c>
      <c r="C12666" s="128">
        <f t="shared" si="593"/>
        <v>2</v>
      </c>
      <c r="D12666" s="136">
        <f t="shared" si="592"/>
        <v>6</v>
      </c>
      <c r="E12666" s="136">
        <f t="shared" si="594"/>
        <v>3</v>
      </c>
      <c r="F12666" s="137" t="s">
        <v>24</v>
      </c>
      <c r="G12666" s="128" t="str">
        <f>VLOOKUP(source[[#This Row],[lending_product_transform]],[3]Mapping!$B$4:$C$37,2,0)</f>
        <v>[Cake] - Cashloan</v>
      </c>
      <c r="H12666" s="128" t="str">
        <f>VLOOKUP(source[[#This Row],[lending_product_transform]],[3]Mapping!$B$3:$D$37,3,0)</f>
        <v>cashloan</v>
      </c>
      <c r="I12666" s="137">
        <v>134930000</v>
      </c>
    </row>
    <row r="12667" spans="1:9" x14ac:dyDescent="0.2">
      <c r="A12667" s="134">
        <v>46056</v>
      </c>
      <c r="B12667" s="135">
        <f>YEAR(source[[#This Row],[report_date]])</f>
        <v>2026</v>
      </c>
      <c r="C12667" s="128">
        <f t="shared" si="593"/>
        <v>2</v>
      </c>
      <c r="D12667" s="136">
        <f t="shared" si="592"/>
        <v>6</v>
      </c>
      <c r="E12667" s="136">
        <f t="shared" si="594"/>
        <v>3</v>
      </c>
      <c r="F12667" s="137" t="s">
        <v>24</v>
      </c>
      <c r="G12667" s="128" t="str">
        <f>VLOOKUP(source[[#This Row],[lending_product_transform]],[3]Mapping!$B$4:$C$37,2,0)</f>
        <v>[Cake] - Cashloan</v>
      </c>
      <c r="H12667" s="128" t="str">
        <f>VLOOKUP(source[[#This Row],[lending_product_transform]],[3]Mapping!$B$3:$D$37,3,0)</f>
        <v>cashloan</v>
      </c>
      <c r="I12667" s="137">
        <v>19479820000</v>
      </c>
    </row>
    <row r="12668" spans="1:9" x14ac:dyDescent="0.2">
      <c r="A12668" s="134">
        <v>46056</v>
      </c>
      <c r="B12668" s="135">
        <f>YEAR(source[[#This Row],[report_date]])</f>
        <v>2026</v>
      </c>
      <c r="C12668" s="128">
        <f t="shared" si="593"/>
        <v>2</v>
      </c>
      <c r="D12668" s="136">
        <f t="shared" si="592"/>
        <v>6</v>
      </c>
      <c r="E12668" s="136">
        <f t="shared" si="594"/>
        <v>3</v>
      </c>
      <c r="F12668" s="137" t="s">
        <v>24</v>
      </c>
      <c r="G12668" s="128" t="str">
        <f>VLOOKUP(source[[#This Row],[lending_product_transform]],[3]Mapping!$B$4:$C$37,2,0)</f>
        <v>[Cake] - Cashloan</v>
      </c>
      <c r="H12668" s="128" t="str">
        <f>VLOOKUP(source[[#This Row],[lending_product_transform]],[3]Mapping!$B$3:$D$37,3,0)</f>
        <v>cashloan</v>
      </c>
      <c r="I12668" s="137">
        <v>0</v>
      </c>
    </row>
    <row r="12669" spans="1:9" x14ac:dyDescent="0.2">
      <c r="A12669" s="134">
        <v>46056</v>
      </c>
      <c r="B12669" s="135">
        <f>YEAR(source[[#This Row],[report_date]])</f>
        <v>2026</v>
      </c>
      <c r="C12669" s="128">
        <f t="shared" si="593"/>
        <v>2</v>
      </c>
      <c r="D12669" s="136">
        <f t="shared" si="592"/>
        <v>6</v>
      </c>
      <c r="E12669" s="136">
        <f t="shared" si="594"/>
        <v>3</v>
      </c>
      <c r="F12669" s="137" t="s">
        <v>24</v>
      </c>
      <c r="G12669" s="128" t="str">
        <f>VLOOKUP(source[[#This Row],[lending_product_transform]],[3]Mapping!$B$4:$C$37,2,0)</f>
        <v>[Cake] - Cashloan</v>
      </c>
      <c r="H12669" s="128" t="str">
        <f>VLOOKUP(source[[#This Row],[lending_product_transform]],[3]Mapping!$B$3:$D$37,3,0)</f>
        <v>cashloan</v>
      </c>
      <c r="I12669" s="137">
        <v>0</v>
      </c>
    </row>
    <row r="12670" spans="1:9" x14ac:dyDescent="0.2">
      <c r="A12670" s="134">
        <v>46056</v>
      </c>
      <c r="B12670" s="135">
        <f>YEAR(source[[#This Row],[report_date]])</f>
        <v>2026</v>
      </c>
      <c r="C12670" s="128">
        <f t="shared" si="593"/>
        <v>2</v>
      </c>
      <c r="D12670" s="136">
        <f t="shared" si="592"/>
        <v>6</v>
      </c>
      <c r="E12670" s="136">
        <f t="shared" si="594"/>
        <v>3</v>
      </c>
      <c r="F12670" s="137" t="s">
        <v>24</v>
      </c>
      <c r="G12670" s="128" t="str">
        <f>VLOOKUP(source[[#This Row],[lending_product_transform]],[3]Mapping!$B$4:$C$37,2,0)</f>
        <v>[Cake] - Cashloan</v>
      </c>
      <c r="H12670" s="128" t="str">
        <f>VLOOKUP(source[[#This Row],[lending_product_transform]],[3]Mapping!$B$3:$D$37,3,0)</f>
        <v>cashloan</v>
      </c>
      <c r="I12670" s="137">
        <v>0</v>
      </c>
    </row>
    <row r="12671" spans="1:9" x14ac:dyDescent="0.2">
      <c r="A12671" s="134">
        <v>46056</v>
      </c>
      <c r="B12671" s="135">
        <f>YEAR(source[[#This Row],[report_date]])</f>
        <v>2026</v>
      </c>
      <c r="C12671" s="128">
        <f t="shared" si="593"/>
        <v>2</v>
      </c>
      <c r="D12671" s="136">
        <f t="shared" si="592"/>
        <v>6</v>
      </c>
      <c r="E12671" s="136">
        <f t="shared" si="594"/>
        <v>3</v>
      </c>
      <c r="F12671" s="137" t="s">
        <v>24</v>
      </c>
      <c r="G12671" s="128" t="str">
        <f>VLOOKUP(source[[#This Row],[lending_product_transform]],[3]Mapping!$B$4:$C$37,2,0)</f>
        <v>[Cake] - Cashloan</v>
      </c>
      <c r="H12671" s="128" t="str">
        <f>VLOOKUP(source[[#This Row],[lending_product_transform]],[3]Mapping!$B$3:$D$37,3,0)</f>
        <v>cashloan</v>
      </c>
      <c r="I12671" s="137">
        <v>0</v>
      </c>
    </row>
    <row r="12672" spans="1:9" x14ac:dyDescent="0.2">
      <c r="A12672" s="134">
        <v>46056</v>
      </c>
      <c r="B12672" s="135">
        <f>YEAR(source[[#This Row],[report_date]])</f>
        <v>2026</v>
      </c>
      <c r="C12672" s="128">
        <f t="shared" si="593"/>
        <v>2</v>
      </c>
      <c r="D12672" s="136">
        <f t="shared" si="592"/>
        <v>6</v>
      </c>
      <c r="E12672" s="136">
        <f t="shared" si="594"/>
        <v>3</v>
      </c>
      <c r="F12672" s="137" t="s">
        <v>24</v>
      </c>
      <c r="G12672" s="128" t="str">
        <f>VLOOKUP(source[[#This Row],[lending_product_transform]],[3]Mapping!$B$4:$C$37,2,0)</f>
        <v>[Cake] - Cashloan</v>
      </c>
      <c r="H12672" s="128" t="str">
        <f>VLOOKUP(source[[#This Row],[lending_product_transform]],[3]Mapping!$B$3:$D$37,3,0)</f>
        <v>cashloan</v>
      </c>
      <c r="I12672" s="137">
        <v>11214612000</v>
      </c>
    </row>
    <row r="12673" spans="1:9" x14ac:dyDescent="0.2">
      <c r="A12673" s="134">
        <v>46056</v>
      </c>
      <c r="B12673" s="135">
        <f>YEAR(source[[#This Row],[report_date]])</f>
        <v>2026</v>
      </c>
      <c r="C12673" s="128">
        <f t="shared" si="593"/>
        <v>2</v>
      </c>
      <c r="D12673" s="136">
        <f t="shared" si="592"/>
        <v>6</v>
      </c>
      <c r="E12673" s="136">
        <f t="shared" si="594"/>
        <v>3</v>
      </c>
      <c r="F12673" s="137" t="s">
        <v>24</v>
      </c>
      <c r="G12673" s="128" t="str">
        <f>VLOOKUP(source[[#This Row],[lending_product_transform]],[3]Mapping!$B$4:$C$37,2,0)</f>
        <v>[Cake] - Cashloan</v>
      </c>
      <c r="H12673" s="128" t="str">
        <f>VLOOKUP(source[[#This Row],[lending_product_transform]],[3]Mapping!$B$3:$D$37,3,0)</f>
        <v>cashloan</v>
      </c>
      <c r="I12673" s="137">
        <v>490566204</v>
      </c>
    </row>
    <row r="12674" spans="1:9" x14ac:dyDescent="0.2">
      <c r="A12674" s="134">
        <v>46056</v>
      </c>
      <c r="B12674" s="135">
        <f>YEAR(source[[#This Row],[report_date]])</f>
        <v>2026</v>
      </c>
      <c r="C12674" s="128">
        <f t="shared" si="593"/>
        <v>2</v>
      </c>
      <c r="D12674" s="136">
        <f t="shared" si="592"/>
        <v>6</v>
      </c>
      <c r="E12674" s="136">
        <f t="shared" si="594"/>
        <v>3</v>
      </c>
      <c r="F12674" s="137" t="s">
        <v>24</v>
      </c>
      <c r="G12674" s="128" t="str">
        <f>VLOOKUP(source[[#This Row],[lending_product_transform]],[3]Mapping!$B$4:$C$37,2,0)</f>
        <v>[Cake] - Cashloan</v>
      </c>
      <c r="H12674" s="128" t="str">
        <f>VLOOKUP(source[[#This Row],[lending_product_transform]],[3]Mapping!$B$3:$D$37,3,0)</f>
        <v>cashloan</v>
      </c>
      <c r="I12674" s="137">
        <v>42000000</v>
      </c>
    </row>
    <row r="12675" spans="1:9" x14ac:dyDescent="0.2">
      <c r="A12675" s="134">
        <v>46056</v>
      </c>
      <c r="B12675" s="135">
        <f>YEAR(source[[#This Row],[report_date]])</f>
        <v>2026</v>
      </c>
      <c r="C12675" s="128">
        <f t="shared" si="593"/>
        <v>2</v>
      </c>
      <c r="D12675" s="136">
        <f t="shared" si="592"/>
        <v>6</v>
      </c>
      <c r="E12675" s="136">
        <f t="shared" si="594"/>
        <v>3</v>
      </c>
      <c r="F12675" s="137" t="s">
        <v>24</v>
      </c>
      <c r="G12675" s="128" t="str">
        <f>VLOOKUP(source[[#This Row],[lending_product_transform]],[3]Mapping!$B$4:$C$37,2,0)</f>
        <v>[Cake] - Cashloan</v>
      </c>
      <c r="H12675" s="128" t="str">
        <f>VLOOKUP(source[[#This Row],[lending_product_transform]],[3]Mapping!$B$3:$D$37,3,0)</f>
        <v>cashloan</v>
      </c>
      <c r="I12675" s="137">
        <v>39000000</v>
      </c>
    </row>
    <row r="12676" spans="1:9" x14ac:dyDescent="0.2">
      <c r="A12676" s="134">
        <v>46056</v>
      </c>
      <c r="B12676" s="135">
        <f>YEAR(source[[#This Row],[report_date]])</f>
        <v>2026</v>
      </c>
      <c r="C12676" s="128">
        <f t="shared" si="593"/>
        <v>2</v>
      </c>
      <c r="D12676" s="136">
        <f t="shared" si="592"/>
        <v>6</v>
      </c>
      <c r="E12676" s="136">
        <f t="shared" si="594"/>
        <v>3</v>
      </c>
      <c r="F12676" s="137" t="s">
        <v>24</v>
      </c>
      <c r="G12676" s="128" t="str">
        <f>VLOOKUP(source[[#This Row],[lending_product_transform]],[3]Mapping!$B$4:$C$37,2,0)</f>
        <v>[Cake] - Cashloan</v>
      </c>
      <c r="H12676" s="128" t="str">
        <f>VLOOKUP(source[[#This Row],[lending_product_transform]],[3]Mapping!$B$3:$D$37,3,0)</f>
        <v>cashloan</v>
      </c>
      <c r="I12676" s="137">
        <v>1153780000</v>
      </c>
    </row>
    <row r="12677" spans="1:9" x14ac:dyDescent="0.2">
      <c r="A12677" s="134">
        <v>46056</v>
      </c>
      <c r="B12677" s="135">
        <f>YEAR(source[[#This Row],[report_date]])</f>
        <v>2026</v>
      </c>
      <c r="C12677" s="128">
        <f t="shared" si="593"/>
        <v>2</v>
      </c>
      <c r="D12677" s="136">
        <f t="shared" si="592"/>
        <v>6</v>
      </c>
      <c r="E12677" s="136">
        <f t="shared" si="594"/>
        <v>3</v>
      </c>
      <c r="F12677" s="137" t="s">
        <v>24</v>
      </c>
      <c r="G12677" s="128" t="str">
        <f>VLOOKUP(source[[#This Row],[lending_product_transform]],[3]Mapping!$B$4:$C$37,2,0)</f>
        <v>[Cake] - Cashloan</v>
      </c>
      <c r="H12677" s="128" t="str">
        <f>VLOOKUP(source[[#This Row],[lending_product_transform]],[3]Mapping!$B$3:$D$37,3,0)</f>
        <v>cashloan</v>
      </c>
      <c r="I12677" s="137">
        <v>377028000</v>
      </c>
    </row>
    <row r="12678" spans="1:9" x14ac:dyDescent="0.2">
      <c r="A12678" s="134">
        <v>46056</v>
      </c>
      <c r="B12678" s="135">
        <f>YEAR(source[[#This Row],[report_date]])</f>
        <v>2026</v>
      </c>
      <c r="C12678" s="128">
        <f t="shared" si="593"/>
        <v>2</v>
      </c>
      <c r="D12678" s="136">
        <f t="shared" si="592"/>
        <v>6</v>
      </c>
      <c r="E12678" s="136">
        <f t="shared" si="594"/>
        <v>3</v>
      </c>
      <c r="F12678" s="137" t="s">
        <v>24</v>
      </c>
      <c r="G12678" s="128" t="str">
        <f>VLOOKUP(source[[#This Row],[lending_product_transform]],[3]Mapping!$B$4:$C$37,2,0)</f>
        <v>[Cake] - Cashloan</v>
      </c>
      <c r="H12678" s="128" t="str">
        <f>VLOOKUP(source[[#This Row],[lending_product_transform]],[3]Mapping!$B$3:$D$37,3,0)</f>
        <v>cashloan</v>
      </c>
      <c r="I12678" s="137">
        <v>1394629328</v>
      </c>
    </row>
    <row r="12679" spans="1:9" x14ac:dyDescent="0.2">
      <c r="A12679" s="134">
        <v>46056</v>
      </c>
      <c r="B12679" s="135">
        <f>YEAR(source[[#This Row],[report_date]])</f>
        <v>2026</v>
      </c>
      <c r="C12679" s="128">
        <f t="shared" si="593"/>
        <v>2</v>
      </c>
      <c r="D12679" s="136">
        <f t="shared" si="592"/>
        <v>6</v>
      </c>
      <c r="E12679" s="136">
        <f t="shared" si="594"/>
        <v>3</v>
      </c>
      <c r="F12679" s="137" t="s">
        <v>24</v>
      </c>
      <c r="G12679" s="128" t="str">
        <f>VLOOKUP(source[[#This Row],[lending_product_transform]],[3]Mapping!$B$4:$C$37,2,0)</f>
        <v>[Cake] - Cashloan</v>
      </c>
      <c r="H12679" s="128" t="str">
        <f>VLOOKUP(source[[#This Row],[lending_product_transform]],[3]Mapping!$B$3:$D$37,3,0)</f>
        <v>cashloan</v>
      </c>
      <c r="I12679" s="137">
        <v>5633660000</v>
      </c>
    </row>
    <row r="12680" spans="1:9" x14ac:dyDescent="0.2">
      <c r="A12680" s="134">
        <v>46056</v>
      </c>
      <c r="B12680" s="135">
        <f>YEAR(source[[#This Row],[report_date]])</f>
        <v>2026</v>
      </c>
      <c r="C12680" s="128">
        <f t="shared" si="593"/>
        <v>2</v>
      </c>
      <c r="D12680" s="136">
        <f t="shared" si="592"/>
        <v>6</v>
      </c>
      <c r="E12680" s="136">
        <f t="shared" si="594"/>
        <v>3</v>
      </c>
      <c r="F12680" s="137" t="s">
        <v>24</v>
      </c>
      <c r="G12680" s="128" t="str">
        <f>VLOOKUP(source[[#This Row],[lending_product_transform]],[3]Mapping!$B$4:$C$37,2,0)</f>
        <v>[Cake] - Cashloan</v>
      </c>
      <c r="H12680" s="128" t="str">
        <f>VLOOKUP(source[[#This Row],[lending_product_transform]],[3]Mapping!$B$3:$D$37,3,0)</f>
        <v>cashloan</v>
      </c>
      <c r="I12680" s="137">
        <v>861880000</v>
      </c>
    </row>
    <row r="12681" spans="1:9" x14ac:dyDescent="0.2">
      <c r="A12681" s="134">
        <v>46057</v>
      </c>
      <c r="B12681" s="135">
        <f>YEAR(source[[#This Row],[report_date]])</f>
        <v>2026</v>
      </c>
      <c r="C12681" s="128">
        <f t="shared" si="593"/>
        <v>2</v>
      </c>
      <c r="D12681" s="136">
        <f t="shared" si="592"/>
        <v>6</v>
      </c>
      <c r="E12681" s="136">
        <f t="shared" si="594"/>
        <v>4</v>
      </c>
      <c r="F12681" s="137" t="s">
        <v>24</v>
      </c>
      <c r="G12681" s="128" t="str">
        <f>VLOOKUP(source[[#This Row],[lending_product_transform]],[3]Mapping!$B$4:$C$37,2,0)</f>
        <v>[Cake] - Cashloan</v>
      </c>
      <c r="H12681" s="128" t="str">
        <f>VLOOKUP(source[[#This Row],[lending_product_transform]],[3]Mapping!$B$3:$D$37,3,0)</f>
        <v>cashloan</v>
      </c>
      <c r="I12681" s="137">
        <v>856450000</v>
      </c>
    </row>
    <row r="12682" spans="1:9" x14ac:dyDescent="0.2">
      <c r="A12682" s="134">
        <v>46057</v>
      </c>
      <c r="B12682" s="135">
        <f>YEAR(source[[#This Row],[report_date]])</f>
        <v>2026</v>
      </c>
      <c r="C12682" s="128">
        <f t="shared" si="593"/>
        <v>2</v>
      </c>
      <c r="D12682" s="136">
        <f t="shared" si="592"/>
        <v>6</v>
      </c>
      <c r="E12682" s="136">
        <f t="shared" si="594"/>
        <v>4</v>
      </c>
      <c r="F12682" s="137" t="s">
        <v>24</v>
      </c>
      <c r="G12682" s="128" t="str">
        <f>VLOOKUP(source[[#This Row],[lending_product_transform]],[3]Mapping!$B$4:$C$37,2,0)</f>
        <v>[Cake] - Cashloan</v>
      </c>
      <c r="H12682" s="128" t="str">
        <f>VLOOKUP(source[[#This Row],[lending_product_transform]],[3]Mapping!$B$3:$D$37,3,0)</f>
        <v>cashloan</v>
      </c>
      <c r="I12682" s="137">
        <v>538683337</v>
      </c>
    </row>
    <row r="12683" spans="1:9" x14ac:dyDescent="0.2">
      <c r="A12683" s="134">
        <v>46057</v>
      </c>
      <c r="B12683" s="135">
        <f>YEAR(source[[#This Row],[report_date]])</f>
        <v>2026</v>
      </c>
      <c r="C12683" s="128">
        <f t="shared" si="593"/>
        <v>2</v>
      </c>
      <c r="D12683" s="136">
        <f t="shared" si="592"/>
        <v>6</v>
      </c>
      <c r="E12683" s="136">
        <f t="shared" si="594"/>
        <v>4</v>
      </c>
      <c r="F12683" s="137" t="s">
        <v>24</v>
      </c>
      <c r="G12683" s="128" t="str">
        <f>VLOOKUP(source[[#This Row],[lending_product_transform]],[3]Mapping!$B$4:$C$37,2,0)</f>
        <v>[Cake] - Cashloan</v>
      </c>
      <c r="H12683" s="128" t="str">
        <f>VLOOKUP(source[[#This Row],[lending_product_transform]],[3]Mapping!$B$3:$D$37,3,0)</f>
        <v>cashloan</v>
      </c>
      <c r="I12683" s="137">
        <v>18848620000</v>
      </c>
    </row>
    <row r="12684" spans="1:9" x14ac:dyDescent="0.2">
      <c r="A12684" s="134">
        <v>46057</v>
      </c>
      <c r="B12684" s="135">
        <f>YEAR(source[[#This Row],[report_date]])</f>
        <v>2026</v>
      </c>
      <c r="C12684" s="128">
        <f t="shared" si="593"/>
        <v>2</v>
      </c>
      <c r="D12684" s="136">
        <f t="shared" si="592"/>
        <v>6</v>
      </c>
      <c r="E12684" s="136">
        <f t="shared" si="594"/>
        <v>4</v>
      </c>
      <c r="F12684" s="137" t="s">
        <v>24</v>
      </c>
      <c r="G12684" s="128" t="str">
        <f>VLOOKUP(source[[#This Row],[lending_product_transform]],[3]Mapping!$B$4:$C$37,2,0)</f>
        <v>[Cake] - Cashloan</v>
      </c>
      <c r="H12684" s="128" t="str">
        <f>VLOOKUP(source[[#This Row],[lending_product_transform]],[3]Mapping!$B$3:$D$37,3,0)</f>
        <v>cashloan</v>
      </c>
      <c r="I12684" s="137">
        <v>2607900868</v>
      </c>
    </row>
    <row r="12685" spans="1:9" x14ac:dyDescent="0.2">
      <c r="A12685" s="134">
        <v>46057</v>
      </c>
      <c r="B12685" s="135">
        <f>YEAR(source[[#This Row],[report_date]])</f>
        <v>2026</v>
      </c>
      <c r="C12685" s="128">
        <f t="shared" si="593"/>
        <v>2</v>
      </c>
      <c r="D12685" s="136">
        <f t="shared" si="592"/>
        <v>6</v>
      </c>
      <c r="E12685" s="136">
        <f t="shared" si="594"/>
        <v>4</v>
      </c>
      <c r="F12685" s="137" t="s">
        <v>24</v>
      </c>
      <c r="G12685" s="128" t="str">
        <f>VLOOKUP(source[[#This Row],[lending_product_transform]],[3]Mapping!$B$4:$C$37,2,0)</f>
        <v>[Cake] - Cashloan</v>
      </c>
      <c r="H12685" s="128" t="str">
        <f>VLOOKUP(source[[#This Row],[lending_product_transform]],[3]Mapping!$B$3:$D$37,3,0)</f>
        <v>cashloan</v>
      </c>
      <c r="I12685" s="137">
        <v>14700636000</v>
      </c>
    </row>
    <row r="12686" spans="1:9" x14ac:dyDescent="0.2">
      <c r="A12686" s="134">
        <v>46057</v>
      </c>
      <c r="B12686" s="135">
        <f>YEAR(source[[#This Row],[report_date]])</f>
        <v>2026</v>
      </c>
      <c r="C12686" s="128">
        <f t="shared" si="593"/>
        <v>2</v>
      </c>
      <c r="D12686" s="136">
        <f t="shared" si="592"/>
        <v>6</v>
      </c>
      <c r="E12686" s="136">
        <f t="shared" si="594"/>
        <v>4</v>
      </c>
      <c r="F12686" s="137" t="s">
        <v>24</v>
      </c>
      <c r="G12686" s="128" t="str">
        <f>VLOOKUP(source[[#This Row],[lending_product_transform]],[3]Mapping!$B$4:$C$37,2,0)</f>
        <v>[Cake] - Cashloan</v>
      </c>
      <c r="H12686" s="128" t="str">
        <f>VLOOKUP(source[[#This Row],[lending_product_transform]],[3]Mapping!$B$3:$D$37,3,0)</f>
        <v>cashloan</v>
      </c>
      <c r="I12686" s="137">
        <v>53910975</v>
      </c>
    </row>
    <row r="12687" spans="1:9" x14ac:dyDescent="0.2">
      <c r="A12687" s="134">
        <v>46057</v>
      </c>
      <c r="B12687" s="135">
        <f>YEAR(source[[#This Row],[report_date]])</f>
        <v>2026</v>
      </c>
      <c r="C12687" s="128">
        <f t="shared" si="593"/>
        <v>2</v>
      </c>
      <c r="D12687" s="136">
        <f t="shared" si="592"/>
        <v>6</v>
      </c>
      <c r="E12687" s="136">
        <f t="shared" si="594"/>
        <v>4</v>
      </c>
      <c r="F12687" s="137" t="s">
        <v>24</v>
      </c>
      <c r="G12687" s="128" t="str">
        <f>VLOOKUP(source[[#This Row],[lending_product_transform]],[3]Mapping!$B$4:$C$37,2,0)</f>
        <v>[Cake] - Cashloan</v>
      </c>
      <c r="H12687" s="128" t="str">
        <f>VLOOKUP(source[[#This Row],[lending_product_transform]],[3]Mapping!$B$3:$D$37,3,0)</f>
        <v>cashloan</v>
      </c>
      <c r="I12687" s="137">
        <v>0</v>
      </c>
    </row>
    <row r="12688" spans="1:9" x14ac:dyDescent="0.2">
      <c r="A12688" s="134">
        <v>46057</v>
      </c>
      <c r="B12688" s="135">
        <f>YEAR(source[[#This Row],[report_date]])</f>
        <v>2026</v>
      </c>
      <c r="C12688" s="128">
        <f t="shared" si="593"/>
        <v>2</v>
      </c>
      <c r="D12688" s="136">
        <f t="shared" si="592"/>
        <v>6</v>
      </c>
      <c r="E12688" s="136">
        <f t="shared" si="594"/>
        <v>4</v>
      </c>
      <c r="F12688" s="137" t="s">
        <v>24</v>
      </c>
      <c r="G12688" s="128" t="str">
        <f>VLOOKUP(source[[#This Row],[lending_product_transform]],[3]Mapping!$B$4:$C$37,2,0)</f>
        <v>[Cake] - Cashloan</v>
      </c>
      <c r="H12688" s="128" t="str">
        <f>VLOOKUP(source[[#This Row],[lending_product_transform]],[3]Mapping!$B$3:$D$37,3,0)</f>
        <v>cashloan</v>
      </c>
      <c r="I12688" s="137">
        <v>5183620000</v>
      </c>
    </row>
    <row r="12689" spans="1:9" x14ac:dyDescent="0.2">
      <c r="A12689" s="134">
        <v>46057</v>
      </c>
      <c r="B12689" s="135">
        <f>YEAR(source[[#This Row],[report_date]])</f>
        <v>2026</v>
      </c>
      <c r="C12689" s="128">
        <f t="shared" si="593"/>
        <v>2</v>
      </c>
      <c r="D12689" s="136">
        <f t="shared" ref="D12689:D12752" si="595">WEEKNUM(A12689,2)</f>
        <v>6</v>
      </c>
      <c r="E12689" s="136">
        <f t="shared" si="594"/>
        <v>4</v>
      </c>
      <c r="F12689" s="137" t="s">
        <v>24</v>
      </c>
      <c r="G12689" s="128" t="str">
        <f>VLOOKUP(source[[#This Row],[lending_product_transform]],[3]Mapping!$B$4:$C$37,2,0)</f>
        <v>[Cake] - Cashloan</v>
      </c>
      <c r="H12689" s="128" t="str">
        <f>VLOOKUP(source[[#This Row],[lending_product_transform]],[3]Mapping!$B$3:$D$37,3,0)</f>
        <v>cashloan</v>
      </c>
      <c r="I12689" s="137">
        <v>1219780000</v>
      </c>
    </row>
    <row r="12690" spans="1:9" x14ac:dyDescent="0.2">
      <c r="A12690" s="134">
        <v>46057</v>
      </c>
      <c r="B12690" s="135">
        <f>YEAR(source[[#This Row],[report_date]])</f>
        <v>2026</v>
      </c>
      <c r="C12690" s="128">
        <f t="shared" si="593"/>
        <v>2</v>
      </c>
      <c r="D12690" s="136">
        <f t="shared" si="595"/>
        <v>6</v>
      </c>
      <c r="E12690" s="136">
        <f t="shared" si="594"/>
        <v>4</v>
      </c>
      <c r="F12690" s="137" t="s">
        <v>24</v>
      </c>
      <c r="G12690" s="128" t="str">
        <f>VLOOKUP(source[[#This Row],[lending_product_transform]],[3]Mapping!$B$4:$C$37,2,0)</f>
        <v>[Cake] - Cashloan</v>
      </c>
      <c r="H12690" s="128" t="str">
        <f>VLOOKUP(source[[#This Row],[lending_product_transform]],[3]Mapping!$B$3:$D$37,3,0)</f>
        <v>cashloan</v>
      </c>
      <c r="I12690" s="137">
        <v>53548572</v>
      </c>
    </row>
    <row r="12691" spans="1:9" x14ac:dyDescent="0.2">
      <c r="A12691" s="134">
        <v>46057</v>
      </c>
      <c r="B12691" s="135">
        <f>YEAR(source[[#This Row],[report_date]])</f>
        <v>2026</v>
      </c>
      <c r="C12691" s="128">
        <f t="shared" si="593"/>
        <v>2</v>
      </c>
      <c r="D12691" s="136">
        <f t="shared" si="595"/>
        <v>6</v>
      </c>
      <c r="E12691" s="136">
        <f t="shared" si="594"/>
        <v>4</v>
      </c>
      <c r="F12691" s="137" t="s">
        <v>24</v>
      </c>
      <c r="G12691" s="128" t="str">
        <f>VLOOKUP(source[[#This Row],[lending_product_transform]],[3]Mapping!$B$4:$C$37,2,0)</f>
        <v>[Cake] - Cashloan</v>
      </c>
      <c r="H12691" s="128" t="str">
        <f>VLOOKUP(source[[#This Row],[lending_product_transform]],[3]Mapping!$B$3:$D$37,3,0)</f>
        <v>cashloan</v>
      </c>
      <c r="I12691" s="137">
        <v>2116817182</v>
      </c>
    </row>
    <row r="12692" spans="1:9" x14ac:dyDescent="0.2">
      <c r="A12692" s="134">
        <v>46057</v>
      </c>
      <c r="B12692" s="135">
        <f>YEAR(source[[#This Row],[report_date]])</f>
        <v>2026</v>
      </c>
      <c r="C12692" s="128">
        <f t="shared" si="593"/>
        <v>2</v>
      </c>
      <c r="D12692" s="136">
        <f t="shared" si="595"/>
        <v>6</v>
      </c>
      <c r="E12692" s="136">
        <f t="shared" si="594"/>
        <v>4</v>
      </c>
      <c r="F12692" s="137" t="s">
        <v>24</v>
      </c>
      <c r="G12692" s="128" t="str">
        <f>VLOOKUP(source[[#This Row],[lending_product_transform]],[3]Mapping!$B$4:$C$37,2,0)</f>
        <v>[Cake] - Cashloan</v>
      </c>
      <c r="H12692" s="128" t="str">
        <f>VLOOKUP(source[[#This Row],[lending_product_transform]],[3]Mapping!$B$3:$D$37,3,0)</f>
        <v>cashloan</v>
      </c>
      <c r="I12692" s="137">
        <v>0</v>
      </c>
    </row>
    <row r="12693" spans="1:9" x14ac:dyDescent="0.2">
      <c r="A12693" s="134">
        <v>46057</v>
      </c>
      <c r="B12693" s="135">
        <f>YEAR(source[[#This Row],[report_date]])</f>
        <v>2026</v>
      </c>
      <c r="C12693" s="128">
        <f t="shared" si="593"/>
        <v>2</v>
      </c>
      <c r="D12693" s="136">
        <f t="shared" si="595"/>
        <v>6</v>
      </c>
      <c r="E12693" s="136">
        <f t="shared" si="594"/>
        <v>4</v>
      </c>
      <c r="F12693" s="137" t="s">
        <v>24</v>
      </c>
      <c r="G12693" s="128" t="str">
        <f>VLOOKUP(source[[#This Row],[lending_product_transform]],[3]Mapping!$B$4:$C$37,2,0)</f>
        <v>[Cake] - Cashloan</v>
      </c>
      <c r="H12693" s="128" t="str">
        <f>VLOOKUP(source[[#This Row],[lending_product_transform]],[3]Mapping!$B$3:$D$37,3,0)</f>
        <v>cashloan</v>
      </c>
      <c r="I12693" s="137">
        <v>99750000</v>
      </c>
    </row>
    <row r="12694" spans="1:9" x14ac:dyDescent="0.2">
      <c r="A12694" s="134">
        <v>46057</v>
      </c>
      <c r="B12694" s="135">
        <f>YEAR(source[[#This Row],[report_date]])</f>
        <v>2026</v>
      </c>
      <c r="C12694" s="128">
        <f t="shared" si="593"/>
        <v>2</v>
      </c>
      <c r="D12694" s="136">
        <f t="shared" si="595"/>
        <v>6</v>
      </c>
      <c r="E12694" s="136">
        <f t="shared" si="594"/>
        <v>4</v>
      </c>
      <c r="F12694" s="137" t="s">
        <v>24</v>
      </c>
      <c r="G12694" s="128" t="str">
        <f>VLOOKUP(source[[#This Row],[lending_product_transform]],[3]Mapping!$B$4:$C$37,2,0)</f>
        <v>[Cake] - Cashloan</v>
      </c>
      <c r="H12694" s="128" t="str">
        <f>VLOOKUP(source[[#This Row],[lending_product_transform]],[3]Mapping!$B$3:$D$37,3,0)</f>
        <v>cashloan</v>
      </c>
      <c r="I12694" s="137">
        <v>0</v>
      </c>
    </row>
    <row r="12695" spans="1:9" x14ac:dyDescent="0.2">
      <c r="A12695" s="134">
        <v>46057</v>
      </c>
      <c r="B12695" s="135">
        <f>YEAR(source[[#This Row],[report_date]])</f>
        <v>2026</v>
      </c>
      <c r="C12695" s="128">
        <f t="shared" si="593"/>
        <v>2</v>
      </c>
      <c r="D12695" s="136">
        <f t="shared" si="595"/>
        <v>6</v>
      </c>
      <c r="E12695" s="136">
        <f t="shared" si="594"/>
        <v>4</v>
      </c>
      <c r="F12695" s="137" t="s">
        <v>24</v>
      </c>
      <c r="G12695" s="128" t="str">
        <f>VLOOKUP(source[[#This Row],[lending_product_transform]],[3]Mapping!$B$4:$C$37,2,0)</f>
        <v>[Cake] - Cashloan</v>
      </c>
      <c r="H12695" s="128" t="str">
        <f>VLOOKUP(source[[#This Row],[lending_product_transform]],[3]Mapping!$B$3:$D$37,3,0)</f>
        <v>cashloan</v>
      </c>
      <c r="I12695" s="137">
        <v>20838660000</v>
      </c>
    </row>
    <row r="12696" spans="1:9" x14ac:dyDescent="0.2">
      <c r="A12696" s="134">
        <v>46057</v>
      </c>
      <c r="B12696" s="135">
        <f>YEAR(source[[#This Row],[report_date]])</f>
        <v>2026</v>
      </c>
      <c r="C12696" s="128">
        <f t="shared" si="593"/>
        <v>2</v>
      </c>
      <c r="D12696" s="136">
        <f t="shared" si="595"/>
        <v>6</v>
      </c>
      <c r="E12696" s="136">
        <f t="shared" si="594"/>
        <v>4</v>
      </c>
      <c r="F12696" s="137" t="s">
        <v>24</v>
      </c>
      <c r="G12696" s="128" t="str">
        <f>VLOOKUP(source[[#This Row],[lending_product_transform]],[3]Mapping!$B$4:$C$37,2,0)</f>
        <v>[Cake] - Cashloan</v>
      </c>
      <c r="H12696" s="128" t="str">
        <f>VLOOKUP(source[[#This Row],[lending_product_transform]],[3]Mapping!$B$3:$D$37,3,0)</f>
        <v>cashloan</v>
      </c>
      <c r="I12696" s="137">
        <v>0</v>
      </c>
    </row>
    <row r="12697" spans="1:9" x14ac:dyDescent="0.2">
      <c r="A12697" s="134">
        <v>46057</v>
      </c>
      <c r="B12697" s="135">
        <f>YEAR(source[[#This Row],[report_date]])</f>
        <v>2026</v>
      </c>
      <c r="C12697" s="128">
        <f t="shared" si="593"/>
        <v>2</v>
      </c>
      <c r="D12697" s="136">
        <f t="shared" si="595"/>
        <v>6</v>
      </c>
      <c r="E12697" s="136">
        <f t="shared" si="594"/>
        <v>4</v>
      </c>
      <c r="F12697" s="137" t="s">
        <v>24</v>
      </c>
      <c r="G12697" s="128" t="str">
        <f>VLOOKUP(source[[#This Row],[lending_product_transform]],[3]Mapping!$B$4:$C$37,2,0)</f>
        <v>[Cake] - Cashloan</v>
      </c>
      <c r="H12697" s="128" t="str">
        <f>VLOOKUP(source[[#This Row],[lending_product_transform]],[3]Mapping!$B$3:$D$37,3,0)</f>
        <v>cashloan</v>
      </c>
      <c r="I12697" s="137">
        <v>0</v>
      </c>
    </row>
    <row r="12698" spans="1:9" x14ac:dyDescent="0.2">
      <c r="A12698" s="134">
        <v>46057</v>
      </c>
      <c r="B12698" s="135">
        <f>YEAR(source[[#This Row],[report_date]])</f>
        <v>2026</v>
      </c>
      <c r="C12698" s="128">
        <f t="shared" si="593"/>
        <v>2</v>
      </c>
      <c r="D12698" s="136">
        <f t="shared" si="595"/>
        <v>6</v>
      </c>
      <c r="E12698" s="136">
        <f t="shared" si="594"/>
        <v>4</v>
      </c>
      <c r="F12698" s="137" t="s">
        <v>24</v>
      </c>
      <c r="G12698" s="128" t="str">
        <f>VLOOKUP(source[[#This Row],[lending_product_transform]],[3]Mapping!$B$4:$C$37,2,0)</f>
        <v>[Cake] - Cashloan</v>
      </c>
      <c r="H12698" s="128" t="str">
        <f>VLOOKUP(source[[#This Row],[lending_product_transform]],[3]Mapping!$B$3:$D$37,3,0)</f>
        <v>cashloan</v>
      </c>
      <c r="I12698" s="137">
        <v>0</v>
      </c>
    </row>
    <row r="12699" spans="1:9" x14ac:dyDescent="0.2">
      <c r="A12699" s="134">
        <v>46057</v>
      </c>
      <c r="B12699" s="135">
        <f>YEAR(source[[#This Row],[report_date]])</f>
        <v>2026</v>
      </c>
      <c r="C12699" s="128">
        <f t="shared" si="593"/>
        <v>2</v>
      </c>
      <c r="D12699" s="136">
        <f t="shared" si="595"/>
        <v>6</v>
      </c>
      <c r="E12699" s="136">
        <f t="shared" si="594"/>
        <v>4</v>
      </c>
      <c r="F12699" s="137" t="s">
        <v>24</v>
      </c>
      <c r="G12699" s="128" t="str">
        <f>VLOOKUP(source[[#This Row],[lending_product_transform]],[3]Mapping!$B$4:$C$37,2,0)</f>
        <v>[Cake] - Cashloan</v>
      </c>
      <c r="H12699" s="128" t="str">
        <f>VLOOKUP(source[[#This Row],[lending_product_transform]],[3]Mapping!$B$3:$D$37,3,0)</f>
        <v>cashloan</v>
      </c>
      <c r="I12699" s="137">
        <v>5000000</v>
      </c>
    </row>
    <row r="12700" spans="1:9" x14ac:dyDescent="0.2">
      <c r="A12700" s="134">
        <v>46057</v>
      </c>
      <c r="B12700" s="135">
        <f>YEAR(source[[#This Row],[report_date]])</f>
        <v>2026</v>
      </c>
      <c r="C12700" s="128">
        <f t="shared" si="593"/>
        <v>2</v>
      </c>
      <c r="D12700" s="136">
        <f t="shared" si="595"/>
        <v>6</v>
      </c>
      <c r="E12700" s="136">
        <f t="shared" si="594"/>
        <v>4</v>
      </c>
      <c r="F12700" s="137" t="s">
        <v>24</v>
      </c>
      <c r="G12700" s="128" t="str">
        <f>VLOOKUP(source[[#This Row],[lending_product_transform]],[3]Mapping!$B$4:$C$37,2,0)</f>
        <v>[Cake] - Cashloan</v>
      </c>
      <c r="H12700" s="128" t="str">
        <f>VLOOKUP(source[[#This Row],[lending_product_transform]],[3]Mapping!$B$3:$D$37,3,0)</f>
        <v>cashloan</v>
      </c>
      <c r="I12700" s="137">
        <v>11835288000</v>
      </c>
    </row>
    <row r="12701" spans="1:9" x14ac:dyDescent="0.2">
      <c r="A12701" s="134">
        <v>46057</v>
      </c>
      <c r="B12701" s="135">
        <f>YEAR(source[[#This Row],[report_date]])</f>
        <v>2026</v>
      </c>
      <c r="C12701" s="128">
        <f t="shared" si="593"/>
        <v>2</v>
      </c>
      <c r="D12701" s="136">
        <f t="shared" si="595"/>
        <v>6</v>
      </c>
      <c r="E12701" s="136">
        <f t="shared" si="594"/>
        <v>4</v>
      </c>
      <c r="F12701" s="137" t="s">
        <v>24</v>
      </c>
      <c r="G12701" s="128" t="str">
        <f>VLOOKUP(source[[#This Row],[lending_product_transform]],[3]Mapping!$B$4:$C$37,2,0)</f>
        <v>[Cake] - Cashloan</v>
      </c>
      <c r="H12701" s="128" t="str">
        <f>VLOOKUP(source[[#This Row],[lending_product_transform]],[3]Mapping!$B$3:$D$37,3,0)</f>
        <v>cashloan</v>
      </c>
      <c r="I12701" s="137">
        <v>629395712</v>
      </c>
    </row>
    <row r="12702" spans="1:9" x14ac:dyDescent="0.2">
      <c r="A12702" s="134">
        <v>46057</v>
      </c>
      <c r="B12702" s="135">
        <f>YEAR(source[[#This Row],[report_date]])</f>
        <v>2026</v>
      </c>
      <c r="C12702" s="128">
        <f t="shared" si="593"/>
        <v>2</v>
      </c>
      <c r="D12702" s="136">
        <f t="shared" si="595"/>
        <v>6</v>
      </c>
      <c r="E12702" s="136">
        <f t="shared" si="594"/>
        <v>4</v>
      </c>
      <c r="F12702" s="137" t="s">
        <v>24</v>
      </c>
      <c r="G12702" s="128" t="str">
        <f>VLOOKUP(source[[#This Row],[lending_product_transform]],[3]Mapping!$B$4:$C$37,2,0)</f>
        <v>[Cake] - Cashloan</v>
      </c>
      <c r="H12702" s="128" t="str">
        <f>VLOOKUP(source[[#This Row],[lending_product_transform]],[3]Mapping!$B$3:$D$37,3,0)</f>
        <v>cashloan</v>
      </c>
      <c r="I12702" s="137">
        <v>61000000</v>
      </c>
    </row>
    <row r="12703" spans="1:9" x14ac:dyDescent="0.2">
      <c r="A12703" s="134">
        <v>46057</v>
      </c>
      <c r="B12703" s="135">
        <f>YEAR(source[[#This Row],[report_date]])</f>
        <v>2026</v>
      </c>
      <c r="C12703" s="128">
        <f t="shared" si="593"/>
        <v>2</v>
      </c>
      <c r="D12703" s="136">
        <f t="shared" si="595"/>
        <v>6</v>
      </c>
      <c r="E12703" s="136">
        <f t="shared" si="594"/>
        <v>4</v>
      </c>
      <c r="F12703" s="137" t="s">
        <v>24</v>
      </c>
      <c r="G12703" s="128" t="str">
        <f>VLOOKUP(source[[#This Row],[lending_product_transform]],[3]Mapping!$B$4:$C$37,2,0)</f>
        <v>[Cake] - Cashloan</v>
      </c>
      <c r="H12703" s="128" t="str">
        <f>VLOOKUP(source[[#This Row],[lending_product_transform]],[3]Mapping!$B$3:$D$37,3,0)</f>
        <v>cashloan</v>
      </c>
      <c r="I12703" s="137">
        <v>59000000</v>
      </c>
    </row>
    <row r="12704" spans="1:9" x14ac:dyDescent="0.2">
      <c r="A12704" s="134">
        <v>46057</v>
      </c>
      <c r="B12704" s="135">
        <f>YEAR(source[[#This Row],[report_date]])</f>
        <v>2026</v>
      </c>
      <c r="C12704" s="128">
        <f t="shared" si="593"/>
        <v>2</v>
      </c>
      <c r="D12704" s="136">
        <f t="shared" si="595"/>
        <v>6</v>
      </c>
      <c r="E12704" s="136">
        <f t="shared" si="594"/>
        <v>4</v>
      </c>
      <c r="F12704" s="137" t="s">
        <v>24</v>
      </c>
      <c r="G12704" s="128" t="str">
        <f>VLOOKUP(source[[#This Row],[lending_product_transform]],[3]Mapping!$B$4:$C$37,2,0)</f>
        <v>[Cake] - Cashloan</v>
      </c>
      <c r="H12704" s="128" t="str">
        <f>VLOOKUP(source[[#This Row],[lending_product_transform]],[3]Mapping!$B$3:$D$37,3,0)</f>
        <v>cashloan</v>
      </c>
      <c r="I12704" s="137">
        <v>971280000</v>
      </c>
    </row>
    <row r="12705" spans="1:9" x14ac:dyDescent="0.2">
      <c r="A12705" s="134">
        <v>46057</v>
      </c>
      <c r="B12705" s="135">
        <f>YEAR(source[[#This Row],[report_date]])</f>
        <v>2026</v>
      </c>
      <c r="C12705" s="128">
        <f t="shared" si="593"/>
        <v>2</v>
      </c>
      <c r="D12705" s="136">
        <f t="shared" si="595"/>
        <v>6</v>
      </c>
      <c r="E12705" s="136">
        <f t="shared" si="594"/>
        <v>4</v>
      </c>
      <c r="F12705" s="137" t="s">
        <v>24</v>
      </c>
      <c r="G12705" s="128" t="str">
        <f>VLOOKUP(source[[#This Row],[lending_product_transform]],[3]Mapping!$B$4:$C$37,2,0)</f>
        <v>[Cake] - Cashloan</v>
      </c>
      <c r="H12705" s="128" t="str">
        <f>VLOOKUP(source[[#This Row],[lending_product_transform]],[3]Mapping!$B$3:$D$37,3,0)</f>
        <v>cashloan</v>
      </c>
      <c r="I12705" s="137">
        <v>340200000</v>
      </c>
    </row>
    <row r="12706" spans="1:9" x14ac:dyDescent="0.2">
      <c r="A12706" s="134">
        <v>46057</v>
      </c>
      <c r="B12706" s="135">
        <f>YEAR(source[[#This Row],[report_date]])</f>
        <v>2026</v>
      </c>
      <c r="C12706" s="128">
        <f t="shared" si="593"/>
        <v>2</v>
      </c>
      <c r="D12706" s="136">
        <f t="shared" si="595"/>
        <v>6</v>
      </c>
      <c r="E12706" s="136">
        <f t="shared" si="594"/>
        <v>4</v>
      </c>
      <c r="F12706" s="137" t="s">
        <v>24</v>
      </c>
      <c r="G12706" s="128" t="str">
        <f>VLOOKUP(source[[#This Row],[lending_product_transform]],[3]Mapping!$B$4:$C$37,2,0)</f>
        <v>[Cake] - Cashloan</v>
      </c>
      <c r="H12706" s="128" t="str">
        <f>VLOOKUP(source[[#This Row],[lending_product_transform]],[3]Mapping!$B$3:$D$37,3,0)</f>
        <v>cashloan</v>
      </c>
      <c r="I12706" s="137">
        <v>1806252793</v>
      </c>
    </row>
    <row r="12707" spans="1:9" x14ac:dyDescent="0.2">
      <c r="A12707" s="134">
        <v>46057</v>
      </c>
      <c r="B12707" s="135">
        <f>YEAR(source[[#This Row],[report_date]])</f>
        <v>2026</v>
      </c>
      <c r="C12707" s="128">
        <f t="shared" si="593"/>
        <v>2</v>
      </c>
      <c r="D12707" s="136">
        <f t="shared" si="595"/>
        <v>6</v>
      </c>
      <c r="E12707" s="136">
        <f t="shared" si="594"/>
        <v>4</v>
      </c>
      <c r="F12707" s="137" t="s">
        <v>24</v>
      </c>
      <c r="G12707" s="128" t="str">
        <f>VLOOKUP(source[[#This Row],[lending_product_transform]],[3]Mapping!$B$4:$C$37,2,0)</f>
        <v>[Cake] - Cashloan</v>
      </c>
      <c r="H12707" s="128" t="str">
        <f>VLOOKUP(source[[#This Row],[lending_product_transform]],[3]Mapping!$B$3:$D$37,3,0)</f>
        <v>cashloan</v>
      </c>
      <c r="I12707" s="137">
        <v>5149330000</v>
      </c>
    </row>
    <row r="12708" spans="1:9" x14ac:dyDescent="0.2">
      <c r="A12708" s="134">
        <v>46057</v>
      </c>
      <c r="B12708" s="135">
        <f>YEAR(source[[#This Row],[report_date]])</f>
        <v>2026</v>
      </c>
      <c r="C12708" s="128">
        <f t="shared" si="593"/>
        <v>2</v>
      </c>
      <c r="D12708" s="136">
        <f t="shared" si="595"/>
        <v>6</v>
      </c>
      <c r="E12708" s="136">
        <f t="shared" si="594"/>
        <v>4</v>
      </c>
      <c r="F12708" s="137" t="s">
        <v>24</v>
      </c>
      <c r="G12708" s="128" t="str">
        <f>VLOOKUP(source[[#This Row],[lending_product_transform]],[3]Mapping!$B$4:$C$37,2,0)</f>
        <v>[Cake] - Cashloan</v>
      </c>
      <c r="H12708" s="128" t="str">
        <f>VLOOKUP(source[[#This Row],[lending_product_transform]],[3]Mapping!$B$3:$D$37,3,0)</f>
        <v>cashloan</v>
      </c>
      <c r="I12708" s="137">
        <v>892640000</v>
      </c>
    </row>
    <row r="12709" spans="1:9" x14ac:dyDescent="0.2">
      <c r="A12709" s="134">
        <v>46058</v>
      </c>
      <c r="B12709" s="135">
        <f>YEAR(source[[#This Row],[report_date]])</f>
        <v>2026</v>
      </c>
      <c r="C12709" s="128">
        <f t="shared" si="593"/>
        <v>2</v>
      </c>
      <c r="D12709" s="136">
        <f t="shared" si="595"/>
        <v>6</v>
      </c>
      <c r="E12709" s="136">
        <f t="shared" si="594"/>
        <v>5</v>
      </c>
      <c r="F12709" s="137" t="s">
        <v>24</v>
      </c>
      <c r="G12709" s="128" t="str">
        <f>VLOOKUP(source[[#This Row],[lending_product_transform]],[3]Mapping!$B$4:$C$37,2,0)</f>
        <v>[Cake] - Cashloan</v>
      </c>
      <c r="H12709" s="128" t="str">
        <f>VLOOKUP(source[[#This Row],[lending_product_transform]],[3]Mapping!$B$3:$D$37,3,0)</f>
        <v>cashloan</v>
      </c>
      <c r="I12709" s="137">
        <v>704350000</v>
      </c>
    </row>
    <row r="12710" spans="1:9" x14ac:dyDescent="0.2">
      <c r="A12710" s="134">
        <v>46058</v>
      </c>
      <c r="B12710" s="135">
        <f>YEAR(source[[#This Row],[report_date]])</f>
        <v>2026</v>
      </c>
      <c r="C12710" s="128">
        <f t="shared" si="593"/>
        <v>2</v>
      </c>
      <c r="D12710" s="136">
        <f t="shared" si="595"/>
        <v>6</v>
      </c>
      <c r="E12710" s="136">
        <f t="shared" si="594"/>
        <v>5</v>
      </c>
      <c r="F12710" s="137" t="s">
        <v>24</v>
      </c>
      <c r="G12710" s="128" t="str">
        <f>VLOOKUP(source[[#This Row],[lending_product_transform]],[3]Mapping!$B$4:$C$37,2,0)</f>
        <v>[Cake] - Cashloan</v>
      </c>
      <c r="H12710" s="128" t="str">
        <f>VLOOKUP(source[[#This Row],[lending_product_transform]],[3]Mapping!$B$3:$D$37,3,0)</f>
        <v>cashloan</v>
      </c>
      <c r="I12710" s="137">
        <v>540107490</v>
      </c>
    </row>
    <row r="12711" spans="1:9" x14ac:dyDescent="0.2">
      <c r="A12711" s="134">
        <v>46058</v>
      </c>
      <c r="B12711" s="135">
        <f>YEAR(source[[#This Row],[report_date]])</f>
        <v>2026</v>
      </c>
      <c r="C12711" s="128">
        <f t="shared" si="593"/>
        <v>2</v>
      </c>
      <c r="D12711" s="136">
        <f t="shared" si="595"/>
        <v>6</v>
      </c>
      <c r="E12711" s="136">
        <f t="shared" si="594"/>
        <v>5</v>
      </c>
      <c r="F12711" s="137" t="s">
        <v>24</v>
      </c>
      <c r="G12711" s="128" t="str">
        <f>VLOOKUP(source[[#This Row],[lending_product_transform]],[3]Mapping!$B$4:$C$37,2,0)</f>
        <v>[Cake] - Cashloan</v>
      </c>
      <c r="H12711" s="128" t="str">
        <f>VLOOKUP(source[[#This Row],[lending_product_transform]],[3]Mapping!$B$3:$D$37,3,0)</f>
        <v>cashloan</v>
      </c>
      <c r="I12711" s="137">
        <v>17486150000</v>
      </c>
    </row>
    <row r="12712" spans="1:9" x14ac:dyDescent="0.2">
      <c r="A12712" s="134">
        <v>46058</v>
      </c>
      <c r="B12712" s="135">
        <f>YEAR(source[[#This Row],[report_date]])</f>
        <v>2026</v>
      </c>
      <c r="C12712" s="128">
        <f t="shared" si="593"/>
        <v>2</v>
      </c>
      <c r="D12712" s="136">
        <f t="shared" si="595"/>
        <v>6</v>
      </c>
      <c r="E12712" s="136">
        <f t="shared" si="594"/>
        <v>5</v>
      </c>
      <c r="F12712" s="137" t="s">
        <v>24</v>
      </c>
      <c r="G12712" s="128" t="str">
        <f>VLOOKUP(source[[#This Row],[lending_product_transform]],[3]Mapping!$B$4:$C$37,2,0)</f>
        <v>[Cake] - Cashloan</v>
      </c>
      <c r="H12712" s="128" t="str">
        <f>VLOOKUP(source[[#This Row],[lending_product_transform]],[3]Mapping!$B$3:$D$37,3,0)</f>
        <v>cashloan</v>
      </c>
      <c r="I12712" s="137">
        <v>2698539865</v>
      </c>
    </row>
    <row r="12713" spans="1:9" x14ac:dyDescent="0.2">
      <c r="A12713" s="134">
        <v>46058</v>
      </c>
      <c r="B12713" s="135">
        <f>YEAR(source[[#This Row],[report_date]])</f>
        <v>2026</v>
      </c>
      <c r="C12713" s="128">
        <f t="shared" si="593"/>
        <v>2</v>
      </c>
      <c r="D12713" s="136">
        <f t="shared" si="595"/>
        <v>6</v>
      </c>
      <c r="E12713" s="136">
        <f t="shared" si="594"/>
        <v>5</v>
      </c>
      <c r="F12713" s="137" t="s">
        <v>24</v>
      </c>
      <c r="G12713" s="128" t="str">
        <f>VLOOKUP(source[[#This Row],[lending_product_transform]],[3]Mapping!$B$4:$C$37,2,0)</f>
        <v>[Cake] - Cashloan</v>
      </c>
      <c r="H12713" s="128" t="str">
        <f>VLOOKUP(source[[#This Row],[lending_product_transform]],[3]Mapping!$B$3:$D$37,3,0)</f>
        <v>cashloan</v>
      </c>
      <c r="I12713" s="137">
        <v>15818976000</v>
      </c>
    </row>
    <row r="12714" spans="1:9" x14ac:dyDescent="0.2">
      <c r="A12714" s="134">
        <v>46058</v>
      </c>
      <c r="B12714" s="135">
        <f>YEAR(source[[#This Row],[report_date]])</f>
        <v>2026</v>
      </c>
      <c r="C12714" s="128">
        <f t="shared" si="593"/>
        <v>2</v>
      </c>
      <c r="D12714" s="136">
        <f t="shared" si="595"/>
        <v>6</v>
      </c>
      <c r="E12714" s="136">
        <f t="shared" si="594"/>
        <v>5</v>
      </c>
      <c r="F12714" s="137" t="s">
        <v>24</v>
      </c>
      <c r="G12714" s="128" t="str">
        <f>VLOOKUP(source[[#This Row],[lending_product_transform]],[3]Mapping!$B$4:$C$37,2,0)</f>
        <v>[Cake] - Cashloan</v>
      </c>
      <c r="H12714" s="128" t="str">
        <f>VLOOKUP(source[[#This Row],[lending_product_transform]],[3]Mapping!$B$3:$D$37,3,0)</f>
        <v>cashloan</v>
      </c>
      <c r="I12714" s="137">
        <v>32709955</v>
      </c>
    </row>
    <row r="12715" spans="1:9" x14ac:dyDescent="0.2">
      <c r="A12715" s="134">
        <v>46058</v>
      </c>
      <c r="B12715" s="135">
        <f>YEAR(source[[#This Row],[report_date]])</f>
        <v>2026</v>
      </c>
      <c r="C12715" s="128">
        <f t="shared" si="593"/>
        <v>2</v>
      </c>
      <c r="D12715" s="136">
        <f t="shared" si="595"/>
        <v>6</v>
      </c>
      <c r="E12715" s="136">
        <f t="shared" si="594"/>
        <v>5</v>
      </c>
      <c r="F12715" s="137" t="s">
        <v>24</v>
      </c>
      <c r="G12715" s="128" t="str">
        <f>VLOOKUP(source[[#This Row],[lending_product_transform]],[3]Mapping!$B$4:$C$37,2,0)</f>
        <v>[Cake] - Cashloan</v>
      </c>
      <c r="H12715" s="128" t="str">
        <f>VLOOKUP(source[[#This Row],[lending_product_transform]],[3]Mapping!$B$3:$D$37,3,0)</f>
        <v>cashloan</v>
      </c>
      <c r="I12715" s="137">
        <v>0</v>
      </c>
    </row>
    <row r="12716" spans="1:9" x14ac:dyDescent="0.2">
      <c r="A12716" s="134">
        <v>46058</v>
      </c>
      <c r="B12716" s="135">
        <f>YEAR(source[[#This Row],[report_date]])</f>
        <v>2026</v>
      </c>
      <c r="C12716" s="128">
        <f t="shared" si="593"/>
        <v>2</v>
      </c>
      <c r="D12716" s="136">
        <f t="shared" si="595"/>
        <v>6</v>
      </c>
      <c r="E12716" s="136">
        <f t="shared" si="594"/>
        <v>5</v>
      </c>
      <c r="F12716" s="137" t="s">
        <v>24</v>
      </c>
      <c r="G12716" s="128" t="str">
        <f>VLOOKUP(source[[#This Row],[lending_product_transform]],[3]Mapping!$B$4:$C$37,2,0)</f>
        <v>[Cake] - Cashloan</v>
      </c>
      <c r="H12716" s="128" t="str">
        <f>VLOOKUP(source[[#This Row],[lending_product_transform]],[3]Mapping!$B$3:$D$37,3,0)</f>
        <v>cashloan</v>
      </c>
      <c r="I12716" s="137">
        <v>5183150000</v>
      </c>
    </row>
    <row r="12717" spans="1:9" x14ac:dyDescent="0.2">
      <c r="A12717" s="134">
        <v>46058</v>
      </c>
      <c r="B12717" s="135">
        <f>YEAR(source[[#This Row],[report_date]])</f>
        <v>2026</v>
      </c>
      <c r="C12717" s="128">
        <f t="shared" si="593"/>
        <v>2</v>
      </c>
      <c r="D12717" s="136">
        <f t="shared" si="595"/>
        <v>6</v>
      </c>
      <c r="E12717" s="136">
        <f t="shared" si="594"/>
        <v>5</v>
      </c>
      <c r="F12717" s="137" t="s">
        <v>24</v>
      </c>
      <c r="G12717" s="128" t="str">
        <f>VLOOKUP(source[[#This Row],[lending_product_transform]],[3]Mapping!$B$4:$C$37,2,0)</f>
        <v>[Cake] - Cashloan</v>
      </c>
      <c r="H12717" s="128" t="str">
        <f>VLOOKUP(source[[#This Row],[lending_product_transform]],[3]Mapping!$B$3:$D$37,3,0)</f>
        <v>cashloan</v>
      </c>
      <c r="I12717" s="137">
        <v>1484100000</v>
      </c>
    </row>
    <row r="12718" spans="1:9" x14ac:dyDescent="0.2">
      <c r="A12718" s="134">
        <v>46058</v>
      </c>
      <c r="B12718" s="135">
        <f>YEAR(source[[#This Row],[report_date]])</f>
        <v>2026</v>
      </c>
      <c r="C12718" s="128">
        <f t="shared" si="593"/>
        <v>2</v>
      </c>
      <c r="D12718" s="136">
        <f t="shared" si="595"/>
        <v>6</v>
      </c>
      <c r="E12718" s="136">
        <f t="shared" si="594"/>
        <v>5</v>
      </c>
      <c r="F12718" s="137" t="s">
        <v>24</v>
      </c>
      <c r="G12718" s="128" t="str">
        <f>VLOOKUP(source[[#This Row],[lending_product_transform]],[3]Mapping!$B$4:$C$37,2,0)</f>
        <v>[Cake] - Cashloan</v>
      </c>
      <c r="H12718" s="128" t="str">
        <f>VLOOKUP(source[[#This Row],[lending_product_transform]],[3]Mapping!$B$3:$D$37,3,0)</f>
        <v>cashloan</v>
      </c>
      <c r="I12718" s="137">
        <v>36740495</v>
      </c>
    </row>
    <row r="12719" spans="1:9" x14ac:dyDescent="0.2">
      <c r="A12719" s="134">
        <v>46058</v>
      </c>
      <c r="B12719" s="135">
        <f>YEAR(source[[#This Row],[report_date]])</f>
        <v>2026</v>
      </c>
      <c r="C12719" s="128">
        <f t="shared" si="593"/>
        <v>2</v>
      </c>
      <c r="D12719" s="136">
        <f t="shared" si="595"/>
        <v>6</v>
      </c>
      <c r="E12719" s="136">
        <f t="shared" si="594"/>
        <v>5</v>
      </c>
      <c r="F12719" s="137" t="s">
        <v>24</v>
      </c>
      <c r="G12719" s="128" t="str">
        <f>VLOOKUP(source[[#This Row],[lending_product_transform]],[3]Mapping!$B$4:$C$37,2,0)</f>
        <v>[Cake] - Cashloan</v>
      </c>
      <c r="H12719" s="128" t="str">
        <f>VLOOKUP(source[[#This Row],[lending_product_transform]],[3]Mapping!$B$3:$D$37,3,0)</f>
        <v>cashloan</v>
      </c>
      <c r="I12719" s="137">
        <v>3063895909</v>
      </c>
    </row>
    <row r="12720" spans="1:9" x14ac:dyDescent="0.2">
      <c r="A12720" s="134">
        <v>46058</v>
      </c>
      <c r="B12720" s="135">
        <f>YEAR(source[[#This Row],[report_date]])</f>
        <v>2026</v>
      </c>
      <c r="C12720" s="128">
        <f t="shared" si="593"/>
        <v>2</v>
      </c>
      <c r="D12720" s="136">
        <f t="shared" si="595"/>
        <v>6</v>
      </c>
      <c r="E12720" s="136">
        <f t="shared" si="594"/>
        <v>5</v>
      </c>
      <c r="F12720" s="137" t="s">
        <v>24</v>
      </c>
      <c r="G12720" s="128" t="str">
        <f>VLOOKUP(source[[#This Row],[lending_product_transform]],[3]Mapping!$B$4:$C$37,2,0)</f>
        <v>[Cake] - Cashloan</v>
      </c>
      <c r="H12720" s="128" t="str">
        <f>VLOOKUP(source[[#This Row],[lending_product_transform]],[3]Mapping!$B$3:$D$37,3,0)</f>
        <v>cashloan</v>
      </c>
      <c r="I12720" s="137">
        <v>0</v>
      </c>
    </row>
    <row r="12721" spans="1:9" x14ac:dyDescent="0.2">
      <c r="A12721" s="134">
        <v>46058</v>
      </c>
      <c r="B12721" s="135">
        <f>YEAR(source[[#This Row],[report_date]])</f>
        <v>2026</v>
      </c>
      <c r="C12721" s="128">
        <f t="shared" si="593"/>
        <v>2</v>
      </c>
      <c r="D12721" s="136">
        <f t="shared" si="595"/>
        <v>6</v>
      </c>
      <c r="E12721" s="136">
        <f t="shared" si="594"/>
        <v>5</v>
      </c>
      <c r="F12721" s="137" t="s">
        <v>24</v>
      </c>
      <c r="G12721" s="128" t="str">
        <f>VLOOKUP(source[[#This Row],[lending_product_transform]],[3]Mapping!$B$4:$C$37,2,0)</f>
        <v>[Cake] - Cashloan</v>
      </c>
      <c r="H12721" s="128" t="str">
        <f>VLOOKUP(source[[#This Row],[lending_product_transform]],[3]Mapping!$B$3:$D$37,3,0)</f>
        <v>cashloan</v>
      </c>
      <c r="I12721" s="137">
        <v>224600000</v>
      </c>
    </row>
    <row r="12722" spans="1:9" x14ac:dyDescent="0.2">
      <c r="A12722" s="134">
        <v>46058</v>
      </c>
      <c r="B12722" s="135">
        <f>YEAR(source[[#This Row],[report_date]])</f>
        <v>2026</v>
      </c>
      <c r="C12722" s="128">
        <f t="shared" si="593"/>
        <v>2</v>
      </c>
      <c r="D12722" s="136">
        <f t="shared" si="595"/>
        <v>6</v>
      </c>
      <c r="E12722" s="136">
        <f t="shared" si="594"/>
        <v>5</v>
      </c>
      <c r="F12722" s="137" t="s">
        <v>24</v>
      </c>
      <c r="G12722" s="128" t="str">
        <f>VLOOKUP(source[[#This Row],[lending_product_transform]],[3]Mapping!$B$4:$C$37,2,0)</f>
        <v>[Cake] - Cashloan</v>
      </c>
      <c r="H12722" s="128" t="str">
        <f>VLOOKUP(source[[#This Row],[lending_product_transform]],[3]Mapping!$B$3:$D$37,3,0)</f>
        <v>cashloan</v>
      </c>
      <c r="I12722" s="137">
        <v>83430000</v>
      </c>
    </row>
    <row r="12723" spans="1:9" x14ac:dyDescent="0.2">
      <c r="A12723" s="134">
        <v>46058</v>
      </c>
      <c r="B12723" s="135">
        <f>YEAR(source[[#This Row],[report_date]])</f>
        <v>2026</v>
      </c>
      <c r="C12723" s="128">
        <f t="shared" si="593"/>
        <v>2</v>
      </c>
      <c r="D12723" s="136">
        <f t="shared" si="595"/>
        <v>6</v>
      </c>
      <c r="E12723" s="136">
        <f t="shared" si="594"/>
        <v>5</v>
      </c>
      <c r="F12723" s="137" t="s">
        <v>24</v>
      </c>
      <c r="G12723" s="128" t="str">
        <f>VLOOKUP(source[[#This Row],[lending_product_transform]],[3]Mapping!$B$4:$C$37,2,0)</f>
        <v>[Cake] - Cashloan</v>
      </c>
      <c r="H12723" s="128" t="str">
        <f>VLOOKUP(source[[#This Row],[lending_product_transform]],[3]Mapping!$B$3:$D$37,3,0)</f>
        <v>cashloan</v>
      </c>
      <c r="I12723" s="137">
        <v>21361330000</v>
      </c>
    </row>
    <row r="12724" spans="1:9" x14ac:dyDescent="0.2">
      <c r="A12724" s="134">
        <v>46058</v>
      </c>
      <c r="B12724" s="135">
        <f>YEAR(source[[#This Row],[report_date]])</f>
        <v>2026</v>
      </c>
      <c r="C12724" s="128">
        <f t="shared" si="593"/>
        <v>2</v>
      </c>
      <c r="D12724" s="136">
        <f t="shared" si="595"/>
        <v>6</v>
      </c>
      <c r="E12724" s="136">
        <f t="shared" si="594"/>
        <v>5</v>
      </c>
      <c r="F12724" s="137" t="s">
        <v>24</v>
      </c>
      <c r="G12724" s="128" t="str">
        <f>VLOOKUP(source[[#This Row],[lending_product_transform]],[3]Mapping!$B$4:$C$37,2,0)</f>
        <v>[Cake] - Cashloan</v>
      </c>
      <c r="H12724" s="128" t="str">
        <f>VLOOKUP(source[[#This Row],[lending_product_transform]],[3]Mapping!$B$3:$D$37,3,0)</f>
        <v>cashloan</v>
      </c>
      <c r="I12724" s="137">
        <v>0</v>
      </c>
    </row>
    <row r="12725" spans="1:9" x14ac:dyDescent="0.2">
      <c r="A12725" s="134">
        <v>46058</v>
      </c>
      <c r="B12725" s="135">
        <f>YEAR(source[[#This Row],[report_date]])</f>
        <v>2026</v>
      </c>
      <c r="C12725" s="128">
        <f t="shared" si="593"/>
        <v>2</v>
      </c>
      <c r="D12725" s="136">
        <f t="shared" si="595"/>
        <v>6</v>
      </c>
      <c r="E12725" s="136">
        <f t="shared" si="594"/>
        <v>5</v>
      </c>
      <c r="F12725" s="137" t="s">
        <v>24</v>
      </c>
      <c r="G12725" s="128" t="str">
        <f>VLOOKUP(source[[#This Row],[lending_product_transform]],[3]Mapping!$B$4:$C$37,2,0)</f>
        <v>[Cake] - Cashloan</v>
      </c>
      <c r="H12725" s="128" t="str">
        <f>VLOOKUP(source[[#This Row],[lending_product_transform]],[3]Mapping!$B$3:$D$37,3,0)</f>
        <v>cashloan</v>
      </c>
      <c r="I12725" s="137">
        <v>0</v>
      </c>
    </row>
    <row r="12726" spans="1:9" x14ac:dyDescent="0.2">
      <c r="A12726" s="134">
        <v>46058</v>
      </c>
      <c r="B12726" s="135">
        <f>YEAR(source[[#This Row],[report_date]])</f>
        <v>2026</v>
      </c>
      <c r="C12726" s="128">
        <f t="shared" ref="C12726:C12789" si="596">MONTH(A12726)</f>
        <v>2</v>
      </c>
      <c r="D12726" s="136">
        <f t="shared" si="595"/>
        <v>6</v>
      </c>
      <c r="E12726" s="136">
        <f t="shared" ref="E12726:E12789" si="597">DAY(A12726)</f>
        <v>5</v>
      </c>
      <c r="F12726" s="137" t="s">
        <v>24</v>
      </c>
      <c r="G12726" s="128" t="str">
        <f>VLOOKUP(source[[#This Row],[lending_product_transform]],[3]Mapping!$B$4:$C$37,2,0)</f>
        <v>[Cake] - Cashloan</v>
      </c>
      <c r="H12726" s="128" t="str">
        <f>VLOOKUP(source[[#This Row],[lending_product_transform]],[3]Mapping!$B$3:$D$37,3,0)</f>
        <v>cashloan</v>
      </c>
      <c r="I12726" s="137">
        <v>0</v>
      </c>
    </row>
    <row r="12727" spans="1:9" x14ac:dyDescent="0.2">
      <c r="A12727" s="134">
        <v>46058</v>
      </c>
      <c r="B12727" s="135">
        <f>YEAR(source[[#This Row],[report_date]])</f>
        <v>2026</v>
      </c>
      <c r="C12727" s="128">
        <f t="shared" si="596"/>
        <v>2</v>
      </c>
      <c r="D12727" s="136">
        <f t="shared" si="595"/>
        <v>6</v>
      </c>
      <c r="E12727" s="136">
        <f t="shared" si="597"/>
        <v>5</v>
      </c>
      <c r="F12727" s="137" t="s">
        <v>24</v>
      </c>
      <c r="G12727" s="128" t="str">
        <f>VLOOKUP(source[[#This Row],[lending_product_transform]],[3]Mapping!$B$4:$C$37,2,0)</f>
        <v>[Cake] - Cashloan</v>
      </c>
      <c r="H12727" s="128" t="str">
        <f>VLOOKUP(source[[#This Row],[lending_product_transform]],[3]Mapping!$B$3:$D$37,3,0)</f>
        <v>cashloan</v>
      </c>
      <c r="I12727" s="137">
        <v>12000000</v>
      </c>
    </row>
    <row r="12728" spans="1:9" x14ac:dyDescent="0.2">
      <c r="A12728" s="134">
        <v>46058</v>
      </c>
      <c r="B12728" s="135">
        <f>YEAR(source[[#This Row],[report_date]])</f>
        <v>2026</v>
      </c>
      <c r="C12728" s="128">
        <f t="shared" si="596"/>
        <v>2</v>
      </c>
      <c r="D12728" s="136">
        <f t="shared" si="595"/>
        <v>6</v>
      </c>
      <c r="E12728" s="136">
        <f t="shared" si="597"/>
        <v>5</v>
      </c>
      <c r="F12728" s="137" t="s">
        <v>24</v>
      </c>
      <c r="G12728" s="128" t="str">
        <f>VLOOKUP(source[[#This Row],[lending_product_transform]],[3]Mapping!$B$4:$C$37,2,0)</f>
        <v>[Cake] - Cashloan</v>
      </c>
      <c r="H12728" s="128" t="str">
        <f>VLOOKUP(source[[#This Row],[lending_product_transform]],[3]Mapping!$B$3:$D$37,3,0)</f>
        <v>cashloan</v>
      </c>
      <c r="I12728" s="137">
        <v>11701584000</v>
      </c>
    </row>
    <row r="12729" spans="1:9" x14ac:dyDescent="0.2">
      <c r="A12729" s="134">
        <v>46058</v>
      </c>
      <c r="B12729" s="135">
        <f>YEAR(source[[#This Row],[report_date]])</f>
        <v>2026</v>
      </c>
      <c r="C12729" s="128">
        <f t="shared" si="596"/>
        <v>2</v>
      </c>
      <c r="D12729" s="136">
        <f t="shared" si="595"/>
        <v>6</v>
      </c>
      <c r="E12729" s="136">
        <f t="shared" si="597"/>
        <v>5</v>
      </c>
      <c r="F12729" s="137" t="s">
        <v>24</v>
      </c>
      <c r="G12729" s="128" t="str">
        <f>VLOOKUP(source[[#This Row],[lending_product_transform]],[3]Mapping!$B$4:$C$37,2,0)</f>
        <v>[Cake] - Cashloan</v>
      </c>
      <c r="H12729" s="128" t="str">
        <f>VLOOKUP(source[[#This Row],[lending_product_transform]],[3]Mapping!$B$3:$D$37,3,0)</f>
        <v>cashloan</v>
      </c>
      <c r="I12729" s="137">
        <v>493844603</v>
      </c>
    </row>
    <row r="12730" spans="1:9" x14ac:dyDescent="0.2">
      <c r="A12730" s="134">
        <v>46058</v>
      </c>
      <c r="B12730" s="135">
        <f>YEAR(source[[#This Row],[report_date]])</f>
        <v>2026</v>
      </c>
      <c r="C12730" s="128">
        <f t="shared" si="596"/>
        <v>2</v>
      </c>
      <c r="D12730" s="136">
        <f t="shared" si="595"/>
        <v>6</v>
      </c>
      <c r="E12730" s="136">
        <f t="shared" si="597"/>
        <v>5</v>
      </c>
      <c r="F12730" s="137" t="s">
        <v>24</v>
      </c>
      <c r="G12730" s="128" t="str">
        <f>VLOOKUP(source[[#This Row],[lending_product_transform]],[3]Mapping!$B$4:$C$37,2,0)</f>
        <v>[Cake] - Cashloan</v>
      </c>
      <c r="H12730" s="128" t="str">
        <f>VLOOKUP(source[[#This Row],[lending_product_transform]],[3]Mapping!$B$3:$D$37,3,0)</f>
        <v>cashloan</v>
      </c>
      <c r="I12730" s="137">
        <v>89250000</v>
      </c>
    </row>
    <row r="12731" spans="1:9" x14ac:dyDescent="0.2">
      <c r="A12731" s="134">
        <v>46058</v>
      </c>
      <c r="B12731" s="135">
        <f>YEAR(source[[#This Row],[report_date]])</f>
        <v>2026</v>
      </c>
      <c r="C12731" s="128">
        <f t="shared" si="596"/>
        <v>2</v>
      </c>
      <c r="D12731" s="136">
        <f t="shared" si="595"/>
        <v>6</v>
      </c>
      <c r="E12731" s="136">
        <f t="shared" si="597"/>
        <v>5</v>
      </c>
      <c r="F12731" s="137" t="s">
        <v>24</v>
      </c>
      <c r="G12731" s="128" t="str">
        <f>VLOOKUP(source[[#This Row],[lending_product_transform]],[3]Mapping!$B$4:$C$37,2,0)</f>
        <v>[Cake] - Cashloan</v>
      </c>
      <c r="H12731" s="128" t="str">
        <f>VLOOKUP(source[[#This Row],[lending_product_transform]],[3]Mapping!$B$3:$D$37,3,0)</f>
        <v>cashloan</v>
      </c>
      <c r="I12731" s="137">
        <v>36000000</v>
      </c>
    </row>
    <row r="12732" spans="1:9" x14ac:dyDescent="0.2">
      <c r="A12732" s="134">
        <v>46058</v>
      </c>
      <c r="B12732" s="135">
        <f>YEAR(source[[#This Row],[report_date]])</f>
        <v>2026</v>
      </c>
      <c r="C12732" s="128">
        <f t="shared" si="596"/>
        <v>2</v>
      </c>
      <c r="D12732" s="136">
        <f t="shared" si="595"/>
        <v>6</v>
      </c>
      <c r="E12732" s="136">
        <f t="shared" si="597"/>
        <v>5</v>
      </c>
      <c r="F12732" s="137" t="s">
        <v>24</v>
      </c>
      <c r="G12732" s="128" t="str">
        <f>VLOOKUP(source[[#This Row],[lending_product_transform]],[3]Mapping!$B$4:$C$37,2,0)</f>
        <v>[Cake] - Cashloan</v>
      </c>
      <c r="H12732" s="128" t="str">
        <f>VLOOKUP(source[[#This Row],[lending_product_transform]],[3]Mapping!$B$3:$D$37,3,0)</f>
        <v>cashloan</v>
      </c>
      <c r="I12732" s="137">
        <v>1285590000</v>
      </c>
    </row>
    <row r="12733" spans="1:9" x14ac:dyDescent="0.2">
      <c r="A12733" s="134">
        <v>46058</v>
      </c>
      <c r="B12733" s="135">
        <f>YEAR(source[[#This Row],[report_date]])</f>
        <v>2026</v>
      </c>
      <c r="C12733" s="128">
        <f t="shared" si="596"/>
        <v>2</v>
      </c>
      <c r="D12733" s="136">
        <f t="shared" si="595"/>
        <v>6</v>
      </c>
      <c r="E12733" s="136">
        <f t="shared" si="597"/>
        <v>5</v>
      </c>
      <c r="F12733" s="137" t="s">
        <v>24</v>
      </c>
      <c r="G12733" s="128" t="str">
        <f>VLOOKUP(source[[#This Row],[lending_product_transform]],[3]Mapping!$B$4:$C$37,2,0)</f>
        <v>[Cake] - Cashloan</v>
      </c>
      <c r="H12733" s="128" t="str">
        <f>VLOOKUP(source[[#This Row],[lending_product_transform]],[3]Mapping!$B$3:$D$37,3,0)</f>
        <v>cashloan</v>
      </c>
      <c r="I12733" s="137">
        <v>389124000</v>
      </c>
    </row>
    <row r="12734" spans="1:9" x14ac:dyDescent="0.2">
      <c r="A12734" s="134">
        <v>46058</v>
      </c>
      <c r="B12734" s="135">
        <f>YEAR(source[[#This Row],[report_date]])</f>
        <v>2026</v>
      </c>
      <c r="C12734" s="128">
        <f t="shared" si="596"/>
        <v>2</v>
      </c>
      <c r="D12734" s="136">
        <f t="shared" si="595"/>
        <v>6</v>
      </c>
      <c r="E12734" s="136">
        <f t="shared" si="597"/>
        <v>5</v>
      </c>
      <c r="F12734" s="137" t="s">
        <v>24</v>
      </c>
      <c r="G12734" s="128" t="str">
        <f>VLOOKUP(source[[#This Row],[lending_product_transform]],[3]Mapping!$B$4:$C$37,2,0)</f>
        <v>[Cake] - Cashloan</v>
      </c>
      <c r="H12734" s="128" t="str">
        <f>VLOOKUP(source[[#This Row],[lending_product_transform]],[3]Mapping!$B$3:$D$37,3,0)</f>
        <v>cashloan</v>
      </c>
      <c r="I12734" s="137">
        <v>1245454476</v>
      </c>
    </row>
    <row r="12735" spans="1:9" x14ac:dyDescent="0.2">
      <c r="A12735" s="134">
        <v>46058</v>
      </c>
      <c r="B12735" s="135">
        <f>YEAR(source[[#This Row],[report_date]])</f>
        <v>2026</v>
      </c>
      <c r="C12735" s="128">
        <f t="shared" si="596"/>
        <v>2</v>
      </c>
      <c r="D12735" s="136">
        <f t="shared" si="595"/>
        <v>6</v>
      </c>
      <c r="E12735" s="136">
        <f t="shared" si="597"/>
        <v>5</v>
      </c>
      <c r="F12735" s="137" t="s">
        <v>24</v>
      </c>
      <c r="G12735" s="128" t="str">
        <f>VLOOKUP(source[[#This Row],[lending_product_transform]],[3]Mapping!$B$4:$C$37,2,0)</f>
        <v>[Cake] - Cashloan</v>
      </c>
      <c r="H12735" s="128" t="str">
        <f>VLOOKUP(source[[#This Row],[lending_product_transform]],[3]Mapping!$B$3:$D$37,3,0)</f>
        <v>cashloan</v>
      </c>
      <c r="I12735" s="137">
        <v>4212850000</v>
      </c>
    </row>
    <row r="12736" spans="1:9" x14ac:dyDescent="0.2">
      <c r="A12736" s="134">
        <v>46058</v>
      </c>
      <c r="B12736" s="135">
        <f>YEAR(source[[#This Row],[report_date]])</f>
        <v>2026</v>
      </c>
      <c r="C12736" s="128">
        <f t="shared" si="596"/>
        <v>2</v>
      </c>
      <c r="D12736" s="136">
        <f t="shared" si="595"/>
        <v>6</v>
      </c>
      <c r="E12736" s="136">
        <f t="shared" si="597"/>
        <v>5</v>
      </c>
      <c r="F12736" s="137" t="s">
        <v>24</v>
      </c>
      <c r="G12736" s="128" t="str">
        <f>VLOOKUP(source[[#This Row],[lending_product_transform]],[3]Mapping!$B$4:$C$37,2,0)</f>
        <v>[Cake] - Cashloan</v>
      </c>
      <c r="H12736" s="128" t="str">
        <f>VLOOKUP(source[[#This Row],[lending_product_transform]],[3]Mapping!$B$3:$D$37,3,0)</f>
        <v>cashloan</v>
      </c>
      <c r="I12736" s="137">
        <v>664920000</v>
      </c>
    </row>
    <row r="12737" spans="1:9" x14ac:dyDescent="0.2">
      <c r="A12737" s="134">
        <v>46059</v>
      </c>
      <c r="B12737" s="135">
        <f>YEAR(source[[#This Row],[report_date]])</f>
        <v>2026</v>
      </c>
      <c r="C12737" s="128">
        <f t="shared" si="596"/>
        <v>2</v>
      </c>
      <c r="D12737" s="136">
        <f t="shared" si="595"/>
        <v>6</v>
      </c>
      <c r="E12737" s="136">
        <f t="shared" si="597"/>
        <v>6</v>
      </c>
      <c r="F12737" s="137" t="s">
        <v>24</v>
      </c>
      <c r="G12737" s="128" t="str">
        <f>VLOOKUP(source[[#This Row],[lending_product_transform]],[3]Mapping!$B$4:$C$37,2,0)</f>
        <v>[Cake] - Cashloan</v>
      </c>
      <c r="H12737" s="128" t="str">
        <f>VLOOKUP(source[[#This Row],[lending_product_transform]],[3]Mapping!$B$3:$D$37,3,0)</f>
        <v>cashloan</v>
      </c>
      <c r="I12737" s="137">
        <v>727650000</v>
      </c>
    </row>
    <row r="12738" spans="1:9" x14ac:dyDescent="0.2">
      <c r="A12738" s="134">
        <v>46059</v>
      </c>
      <c r="B12738" s="135">
        <f>YEAR(source[[#This Row],[report_date]])</f>
        <v>2026</v>
      </c>
      <c r="C12738" s="128">
        <f t="shared" si="596"/>
        <v>2</v>
      </c>
      <c r="D12738" s="136">
        <f t="shared" si="595"/>
        <v>6</v>
      </c>
      <c r="E12738" s="136">
        <f t="shared" si="597"/>
        <v>6</v>
      </c>
      <c r="F12738" s="137" t="s">
        <v>24</v>
      </c>
      <c r="G12738" s="128" t="str">
        <f>VLOOKUP(source[[#This Row],[lending_product_transform]],[3]Mapping!$B$4:$C$37,2,0)</f>
        <v>[Cake] - Cashloan</v>
      </c>
      <c r="H12738" s="128" t="str">
        <f>VLOOKUP(source[[#This Row],[lending_product_transform]],[3]Mapping!$B$3:$D$37,3,0)</f>
        <v>cashloan</v>
      </c>
      <c r="I12738" s="137">
        <v>492312958</v>
      </c>
    </row>
    <row r="12739" spans="1:9" x14ac:dyDescent="0.2">
      <c r="A12739" s="134">
        <v>46059</v>
      </c>
      <c r="B12739" s="135">
        <f>YEAR(source[[#This Row],[report_date]])</f>
        <v>2026</v>
      </c>
      <c r="C12739" s="128">
        <f t="shared" si="596"/>
        <v>2</v>
      </c>
      <c r="D12739" s="136">
        <f t="shared" si="595"/>
        <v>6</v>
      </c>
      <c r="E12739" s="136">
        <f t="shared" si="597"/>
        <v>6</v>
      </c>
      <c r="F12739" s="137" t="s">
        <v>24</v>
      </c>
      <c r="G12739" s="128" t="str">
        <f>VLOOKUP(source[[#This Row],[lending_product_transform]],[3]Mapping!$B$4:$C$37,2,0)</f>
        <v>[Cake] - Cashloan</v>
      </c>
      <c r="H12739" s="128" t="str">
        <f>VLOOKUP(source[[#This Row],[lending_product_transform]],[3]Mapping!$B$3:$D$37,3,0)</f>
        <v>cashloan</v>
      </c>
      <c r="I12739" s="137">
        <v>15259600000</v>
      </c>
    </row>
    <row r="12740" spans="1:9" x14ac:dyDescent="0.2">
      <c r="A12740" s="134">
        <v>46059</v>
      </c>
      <c r="B12740" s="135">
        <f>YEAR(source[[#This Row],[report_date]])</f>
        <v>2026</v>
      </c>
      <c r="C12740" s="128">
        <f t="shared" si="596"/>
        <v>2</v>
      </c>
      <c r="D12740" s="136">
        <f t="shared" si="595"/>
        <v>6</v>
      </c>
      <c r="E12740" s="136">
        <f t="shared" si="597"/>
        <v>6</v>
      </c>
      <c r="F12740" s="137" t="s">
        <v>24</v>
      </c>
      <c r="G12740" s="128" t="str">
        <f>VLOOKUP(source[[#This Row],[lending_product_transform]],[3]Mapping!$B$4:$C$37,2,0)</f>
        <v>[Cake] - Cashloan</v>
      </c>
      <c r="H12740" s="128" t="str">
        <f>VLOOKUP(source[[#This Row],[lending_product_transform]],[3]Mapping!$B$3:$D$37,3,0)</f>
        <v>cashloan</v>
      </c>
      <c r="I12740" s="137">
        <v>2270716822</v>
      </c>
    </row>
    <row r="12741" spans="1:9" x14ac:dyDescent="0.2">
      <c r="A12741" s="134">
        <v>46059</v>
      </c>
      <c r="B12741" s="135">
        <f>YEAR(source[[#This Row],[report_date]])</f>
        <v>2026</v>
      </c>
      <c r="C12741" s="128">
        <f t="shared" si="596"/>
        <v>2</v>
      </c>
      <c r="D12741" s="136">
        <f t="shared" si="595"/>
        <v>6</v>
      </c>
      <c r="E12741" s="136">
        <f t="shared" si="597"/>
        <v>6</v>
      </c>
      <c r="F12741" s="137" t="s">
        <v>24</v>
      </c>
      <c r="G12741" s="128" t="str">
        <f>VLOOKUP(source[[#This Row],[lending_product_transform]],[3]Mapping!$B$4:$C$37,2,0)</f>
        <v>[Cake] - Cashloan</v>
      </c>
      <c r="H12741" s="128" t="str">
        <f>VLOOKUP(source[[#This Row],[lending_product_transform]],[3]Mapping!$B$3:$D$37,3,0)</f>
        <v>cashloan</v>
      </c>
      <c r="I12741" s="137">
        <v>12956112000</v>
      </c>
    </row>
    <row r="12742" spans="1:9" x14ac:dyDescent="0.2">
      <c r="A12742" s="134">
        <v>46059</v>
      </c>
      <c r="B12742" s="135">
        <f>YEAR(source[[#This Row],[report_date]])</f>
        <v>2026</v>
      </c>
      <c r="C12742" s="128">
        <f t="shared" si="596"/>
        <v>2</v>
      </c>
      <c r="D12742" s="136">
        <f t="shared" si="595"/>
        <v>6</v>
      </c>
      <c r="E12742" s="136">
        <f t="shared" si="597"/>
        <v>6</v>
      </c>
      <c r="F12742" s="137" t="s">
        <v>24</v>
      </c>
      <c r="G12742" s="128" t="str">
        <f>VLOOKUP(source[[#This Row],[lending_product_transform]],[3]Mapping!$B$4:$C$37,2,0)</f>
        <v>[Cake] - Cashloan</v>
      </c>
      <c r="H12742" s="128" t="str">
        <f>VLOOKUP(source[[#This Row],[lending_product_transform]],[3]Mapping!$B$3:$D$37,3,0)</f>
        <v>cashloan</v>
      </c>
      <c r="I12742" s="137">
        <v>18243965</v>
      </c>
    </row>
    <row r="12743" spans="1:9" x14ac:dyDescent="0.2">
      <c r="A12743" s="134">
        <v>46059</v>
      </c>
      <c r="B12743" s="135">
        <f>YEAR(source[[#This Row],[report_date]])</f>
        <v>2026</v>
      </c>
      <c r="C12743" s="128">
        <f t="shared" si="596"/>
        <v>2</v>
      </c>
      <c r="D12743" s="136">
        <f t="shared" si="595"/>
        <v>6</v>
      </c>
      <c r="E12743" s="136">
        <f t="shared" si="597"/>
        <v>6</v>
      </c>
      <c r="F12743" s="137" t="s">
        <v>24</v>
      </c>
      <c r="G12743" s="128" t="str">
        <f>VLOOKUP(source[[#This Row],[lending_product_transform]],[3]Mapping!$B$4:$C$37,2,0)</f>
        <v>[Cake] - Cashloan</v>
      </c>
      <c r="H12743" s="128" t="str">
        <f>VLOOKUP(source[[#This Row],[lending_product_transform]],[3]Mapping!$B$3:$D$37,3,0)</f>
        <v>cashloan</v>
      </c>
      <c r="I12743" s="137">
        <v>180000000</v>
      </c>
    </row>
    <row r="12744" spans="1:9" x14ac:dyDescent="0.2">
      <c r="A12744" s="134">
        <v>46059</v>
      </c>
      <c r="B12744" s="135">
        <f>YEAR(source[[#This Row],[report_date]])</f>
        <v>2026</v>
      </c>
      <c r="C12744" s="128">
        <f t="shared" si="596"/>
        <v>2</v>
      </c>
      <c r="D12744" s="136">
        <f t="shared" si="595"/>
        <v>6</v>
      </c>
      <c r="E12744" s="136">
        <f t="shared" si="597"/>
        <v>6</v>
      </c>
      <c r="F12744" s="137" t="s">
        <v>24</v>
      </c>
      <c r="G12744" s="128" t="str">
        <f>VLOOKUP(source[[#This Row],[lending_product_transform]],[3]Mapping!$B$4:$C$37,2,0)</f>
        <v>[Cake] - Cashloan</v>
      </c>
      <c r="H12744" s="128" t="str">
        <f>VLOOKUP(source[[#This Row],[lending_product_transform]],[3]Mapping!$B$3:$D$37,3,0)</f>
        <v>cashloan</v>
      </c>
      <c r="I12744" s="137">
        <v>5397880000</v>
      </c>
    </row>
    <row r="12745" spans="1:9" x14ac:dyDescent="0.2">
      <c r="A12745" s="134">
        <v>46059</v>
      </c>
      <c r="B12745" s="135">
        <f>YEAR(source[[#This Row],[report_date]])</f>
        <v>2026</v>
      </c>
      <c r="C12745" s="128">
        <f t="shared" si="596"/>
        <v>2</v>
      </c>
      <c r="D12745" s="136">
        <f t="shared" si="595"/>
        <v>6</v>
      </c>
      <c r="E12745" s="136">
        <f t="shared" si="597"/>
        <v>6</v>
      </c>
      <c r="F12745" s="137" t="s">
        <v>24</v>
      </c>
      <c r="G12745" s="128" t="str">
        <f>VLOOKUP(source[[#This Row],[lending_product_transform]],[3]Mapping!$B$4:$C$37,2,0)</f>
        <v>[Cake] - Cashloan</v>
      </c>
      <c r="H12745" s="128" t="str">
        <f>VLOOKUP(source[[#This Row],[lending_product_transform]],[3]Mapping!$B$3:$D$37,3,0)</f>
        <v>cashloan</v>
      </c>
      <c r="I12745" s="137">
        <v>1229070000</v>
      </c>
    </row>
    <row r="12746" spans="1:9" x14ac:dyDescent="0.2">
      <c r="A12746" s="134">
        <v>46059</v>
      </c>
      <c r="B12746" s="135">
        <f>YEAR(source[[#This Row],[report_date]])</f>
        <v>2026</v>
      </c>
      <c r="C12746" s="128">
        <f t="shared" si="596"/>
        <v>2</v>
      </c>
      <c r="D12746" s="136">
        <f t="shared" si="595"/>
        <v>6</v>
      </c>
      <c r="E12746" s="136">
        <f t="shared" si="597"/>
        <v>6</v>
      </c>
      <c r="F12746" s="137" t="s">
        <v>24</v>
      </c>
      <c r="G12746" s="128" t="str">
        <f>VLOOKUP(source[[#This Row],[lending_product_transform]],[3]Mapping!$B$4:$C$37,2,0)</f>
        <v>[Cake] - Cashloan</v>
      </c>
      <c r="H12746" s="128" t="str">
        <f>VLOOKUP(source[[#This Row],[lending_product_transform]],[3]Mapping!$B$3:$D$37,3,0)</f>
        <v>cashloan</v>
      </c>
      <c r="I12746" s="137">
        <v>15583492</v>
      </c>
    </row>
    <row r="12747" spans="1:9" x14ac:dyDescent="0.2">
      <c r="A12747" s="134">
        <v>46059</v>
      </c>
      <c r="B12747" s="135">
        <f>YEAR(source[[#This Row],[report_date]])</f>
        <v>2026</v>
      </c>
      <c r="C12747" s="128">
        <f t="shared" si="596"/>
        <v>2</v>
      </c>
      <c r="D12747" s="136">
        <f t="shared" si="595"/>
        <v>6</v>
      </c>
      <c r="E12747" s="136">
        <f t="shared" si="597"/>
        <v>6</v>
      </c>
      <c r="F12747" s="137" t="s">
        <v>24</v>
      </c>
      <c r="G12747" s="128" t="str">
        <f>VLOOKUP(source[[#This Row],[lending_product_transform]],[3]Mapping!$B$4:$C$37,2,0)</f>
        <v>[Cake] - Cashloan</v>
      </c>
      <c r="H12747" s="128" t="str">
        <f>VLOOKUP(source[[#This Row],[lending_product_transform]],[3]Mapping!$B$3:$D$37,3,0)</f>
        <v>cashloan</v>
      </c>
      <c r="I12747" s="137">
        <v>2896477859</v>
      </c>
    </row>
    <row r="12748" spans="1:9" x14ac:dyDescent="0.2">
      <c r="A12748" s="134">
        <v>46059</v>
      </c>
      <c r="B12748" s="135">
        <f>YEAR(source[[#This Row],[report_date]])</f>
        <v>2026</v>
      </c>
      <c r="C12748" s="128">
        <f t="shared" si="596"/>
        <v>2</v>
      </c>
      <c r="D12748" s="136">
        <f t="shared" si="595"/>
        <v>6</v>
      </c>
      <c r="E12748" s="136">
        <f t="shared" si="597"/>
        <v>6</v>
      </c>
      <c r="F12748" s="137" t="s">
        <v>24</v>
      </c>
      <c r="G12748" s="128" t="str">
        <f>VLOOKUP(source[[#This Row],[lending_product_transform]],[3]Mapping!$B$4:$C$37,2,0)</f>
        <v>[Cake] - Cashloan</v>
      </c>
      <c r="H12748" s="128" t="str">
        <f>VLOOKUP(source[[#This Row],[lending_product_transform]],[3]Mapping!$B$3:$D$37,3,0)</f>
        <v>cashloan</v>
      </c>
      <c r="I12748" s="137">
        <v>0</v>
      </c>
    </row>
    <row r="12749" spans="1:9" x14ac:dyDescent="0.2">
      <c r="A12749" s="134">
        <v>46059</v>
      </c>
      <c r="B12749" s="135">
        <f>YEAR(source[[#This Row],[report_date]])</f>
        <v>2026</v>
      </c>
      <c r="C12749" s="128">
        <f t="shared" si="596"/>
        <v>2</v>
      </c>
      <c r="D12749" s="136">
        <f t="shared" si="595"/>
        <v>6</v>
      </c>
      <c r="E12749" s="136">
        <f t="shared" si="597"/>
        <v>6</v>
      </c>
      <c r="F12749" s="137" t="s">
        <v>24</v>
      </c>
      <c r="G12749" s="128" t="str">
        <f>VLOOKUP(source[[#This Row],[lending_product_transform]],[3]Mapping!$B$4:$C$37,2,0)</f>
        <v>[Cake] - Cashloan</v>
      </c>
      <c r="H12749" s="128" t="str">
        <f>VLOOKUP(source[[#This Row],[lending_product_transform]],[3]Mapping!$B$3:$D$37,3,0)</f>
        <v>cashloan</v>
      </c>
      <c r="I12749" s="137">
        <v>77250000</v>
      </c>
    </row>
    <row r="12750" spans="1:9" x14ac:dyDescent="0.2">
      <c r="A12750" s="134">
        <v>46059</v>
      </c>
      <c r="B12750" s="135">
        <f>YEAR(source[[#This Row],[report_date]])</f>
        <v>2026</v>
      </c>
      <c r="C12750" s="128">
        <f t="shared" si="596"/>
        <v>2</v>
      </c>
      <c r="D12750" s="136">
        <f t="shared" si="595"/>
        <v>6</v>
      </c>
      <c r="E12750" s="136">
        <f t="shared" si="597"/>
        <v>6</v>
      </c>
      <c r="F12750" s="137" t="s">
        <v>24</v>
      </c>
      <c r="G12750" s="128" t="str">
        <f>VLOOKUP(source[[#This Row],[lending_product_transform]],[3]Mapping!$B$4:$C$37,2,0)</f>
        <v>[Cake] - Cashloan</v>
      </c>
      <c r="H12750" s="128" t="str">
        <f>VLOOKUP(source[[#This Row],[lending_product_transform]],[3]Mapping!$B$3:$D$37,3,0)</f>
        <v>cashloan</v>
      </c>
      <c r="I12750" s="137">
        <v>30900000</v>
      </c>
    </row>
    <row r="12751" spans="1:9" x14ac:dyDescent="0.2">
      <c r="A12751" s="134">
        <v>46059</v>
      </c>
      <c r="B12751" s="135">
        <f>YEAR(source[[#This Row],[report_date]])</f>
        <v>2026</v>
      </c>
      <c r="C12751" s="128">
        <f t="shared" si="596"/>
        <v>2</v>
      </c>
      <c r="D12751" s="136">
        <f t="shared" si="595"/>
        <v>6</v>
      </c>
      <c r="E12751" s="136">
        <f t="shared" si="597"/>
        <v>6</v>
      </c>
      <c r="F12751" s="137" t="s">
        <v>24</v>
      </c>
      <c r="G12751" s="128" t="str">
        <f>VLOOKUP(source[[#This Row],[lending_product_transform]],[3]Mapping!$B$4:$C$37,2,0)</f>
        <v>[Cake] - Cashloan</v>
      </c>
      <c r="H12751" s="128" t="str">
        <f>VLOOKUP(source[[#This Row],[lending_product_transform]],[3]Mapping!$B$3:$D$37,3,0)</f>
        <v>cashloan</v>
      </c>
      <c r="I12751" s="137">
        <v>17838890000</v>
      </c>
    </row>
    <row r="12752" spans="1:9" x14ac:dyDescent="0.2">
      <c r="A12752" s="134">
        <v>46059</v>
      </c>
      <c r="B12752" s="135">
        <f>YEAR(source[[#This Row],[report_date]])</f>
        <v>2026</v>
      </c>
      <c r="C12752" s="128">
        <f t="shared" si="596"/>
        <v>2</v>
      </c>
      <c r="D12752" s="136">
        <f t="shared" si="595"/>
        <v>6</v>
      </c>
      <c r="E12752" s="136">
        <f t="shared" si="597"/>
        <v>6</v>
      </c>
      <c r="F12752" s="137" t="s">
        <v>24</v>
      </c>
      <c r="G12752" s="128" t="str">
        <f>VLOOKUP(source[[#This Row],[lending_product_transform]],[3]Mapping!$B$4:$C$37,2,0)</f>
        <v>[Cake] - Cashloan</v>
      </c>
      <c r="H12752" s="128" t="str">
        <f>VLOOKUP(source[[#This Row],[lending_product_transform]],[3]Mapping!$B$3:$D$37,3,0)</f>
        <v>cashloan</v>
      </c>
      <c r="I12752" s="137">
        <v>0</v>
      </c>
    </row>
    <row r="12753" spans="1:9" x14ac:dyDescent="0.2">
      <c r="A12753" s="134">
        <v>46059</v>
      </c>
      <c r="B12753" s="135">
        <f>YEAR(source[[#This Row],[report_date]])</f>
        <v>2026</v>
      </c>
      <c r="C12753" s="128">
        <f t="shared" si="596"/>
        <v>2</v>
      </c>
      <c r="D12753" s="136">
        <f t="shared" ref="D12753:D12816" si="598">WEEKNUM(A12753,2)</f>
        <v>6</v>
      </c>
      <c r="E12753" s="136">
        <f t="shared" si="597"/>
        <v>6</v>
      </c>
      <c r="F12753" s="137" t="s">
        <v>24</v>
      </c>
      <c r="G12753" s="128" t="str">
        <f>VLOOKUP(source[[#This Row],[lending_product_transform]],[3]Mapping!$B$4:$C$37,2,0)</f>
        <v>[Cake] - Cashloan</v>
      </c>
      <c r="H12753" s="128" t="str">
        <f>VLOOKUP(source[[#This Row],[lending_product_transform]],[3]Mapping!$B$3:$D$37,3,0)</f>
        <v>cashloan</v>
      </c>
      <c r="I12753" s="137">
        <v>0</v>
      </c>
    </row>
    <row r="12754" spans="1:9" x14ac:dyDescent="0.2">
      <c r="A12754" s="134">
        <v>46059</v>
      </c>
      <c r="B12754" s="135">
        <f>YEAR(source[[#This Row],[report_date]])</f>
        <v>2026</v>
      </c>
      <c r="C12754" s="128">
        <f t="shared" si="596"/>
        <v>2</v>
      </c>
      <c r="D12754" s="136">
        <f t="shared" si="598"/>
        <v>6</v>
      </c>
      <c r="E12754" s="136">
        <f t="shared" si="597"/>
        <v>6</v>
      </c>
      <c r="F12754" s="137" t="s">
        <v>24</v>
      </c>
      <c r="G12754" s="128" t="str">
        <f>VLOOKUP(source[[#This Row],[lending_product_transform]],[3]Mapping!$B$4:$C$37,2,0)</f>
        <v>[Cake] - Cashloan</v>
      </c>
      <c r="H12754" s="128" t="str">
        <f>VLOOKUP(source[[#This Row],[lending_product_transform]],[3]Mapping!$B$3:$D$37,3,0)</f>
        <v>cashloan</v>
      </c>
      <c r="I12754" s="137">
        <v>0</v>
      </c>
    </row>
    <row r="12755" spans="1:9" x14ac:dyDescent="0.2">
      <c r="A12755" s="134">
        <v>46059</v>
      </c>
      <c r="B12755" s="135">
        <f>YEAR(source[[#This Row],[report_date]])</f>
        <v>2026</v>
      </c>
      <c r="C12755" s="128">
        <f t="shared" si="596"/>
        <v>2</v>
      </c>
      <c r="D12755" s="136">
        <f t="shared" si="598"/>
        <v>6</v>
      </c>
      <c r="E12755" s="136">
        <f t="shared" si="597"/>
        <v>6</v>
      </c>
      <c r="F12755" s="137" t="s">
        <v>24</v>
      </c>
      <c r="G12755" s="128" t="str">
        <f>VLOOKUP(source[[#This Row],[lending_product_transform]],[3]Mapping!$B$4:$C$37,2,0)</f>
        <v>[Cake] - Cashloan</v>
      </c>
      <c r="H12755" s="128" t="str">
        <f>VLOOKUP(source[[#This Row],[lending_product_transform]],[3]Mapping!$B$3:$D$37,3,0)</f>
        <v>cashloan</v>
      </c>
      <c r="I12755" s="137">
        <v>0</v>
      </c>
    </row>
    <row r="12756" spans="1:9" x14ac:dyDescent="0.2">
      <c r="A12756" s="134">
        <v>46059</v>
      </c>
      <c r="B12756" s="135">
        <f>YEAR(source[[#This Row],[report_date]])</f>
        <v>2026</v>
      </c>
      <c r="C12756" s="128">
        <f t="shared" si="596"/>
        <v>2</v>
      </c>
      <c r="D12756" s="136">
        <f t="shared" si="598"/>
        <v>6</v>
      </c>
      <c r="E12756" s="136">
        <f t="shared" si="597"/>
        <v>6</v>
      </c>
      <c r="F12756" s="137" t="s">
        <v>24</v>
      </c>
      <c r="G12756" s="128" t="str">
        <f>VLOOKUP(source[[#This Row],[lending_product_transform]],[3]Mapping!$B$4:$C$37,2,0)</f>
        <v>[Cake] - Cashloan</v>
      </c>
      <c r="H12756" s="128" t="str">
        <f>VLOOKUP(source[[#This Row],[lending_product_transform]],[3]Mapping!$B$3:$D$37,3,0)</f>
        <v>cashloan</v>
      </c>
      <c r="I12756" s="137">
        <v>11124540000</v>
      </c>
    </row>
    <row r="12757" spans="1:9" x14ac:dyDescent="0.2">
      <c r="A12757" s="134">
        <v>46059</v>
      </c>
      <c r="B12757" s="135">
        <f>YEAR(source[[#This Row],[report_date]])</f>
        <v>2026</v>
      </c>
      <c r="C12757" s="128">
        <f t="shared" si="596"/>
        <v>2</v>
      </c>
      <c r="D12757" s="136">
        <f t="shared" si="598"/>
        <v>6</v>
      </c>
      <c r="E12757" s="136">
        <f t="shared" si="597"/>
        <v>6</v>
      </c>
      <c r="F12757" s="137" t="s">
        <v>24</v>
      </c>
      <c r="G12757" s="128" t="str">
        <f>VLOOKUP(source[[#This Row],[lending_product_transform]],[3]Mapping!$B$4:$C$37,2,0)</f>
        <v>[Cake] - Cashloan</v>
      </c>
      <c r="H12757" s="128" t="str">
        <f>VLOOKUP(source[[#This Row],[lending_product_transform]],[3]Mapping!$B$3:$D$37,3,0)</f>
        <v>cashloan</v>
      </c>
      <c r="I12757" s="137">
        <v>345731246</v>
      </c>
    </row>
    <row r="12758" spans="1:9" x14ac:dyDescent="0.2">
      <c r="A12758" s="134">
        <v>46059</v>
      </c>
      <c r="B12758" s="135">
        <f>YEAR(source[[#This Row],[report_date]])</f>
        <v>2026</v>
      </c>
      <c r="C12758" s="128">
        <f t="shared" si="596"/>
        <v>2</v>
      </c>
      <c r="D12758" s="136">
        <f t="shared" si="598"/>
        <v>6</v>
      </c>
      <c r="E12758" s="136">
        <f t="shared" si="597"/>
        <v>6</v>
      </c>
      <c r="F12758" s="137" t="s">
        <v>24</v>
      </c>
      <c r="G12758" s="128" t="str">
        <f>VLOOKUP(source[[#This Row],[lending_product_transform]],[3]Mapping!$B$4:$C$37,2,0)</f>
        <v>[Cake] - Cashloan</v>
      </c>
      <c r="H12758" s="128" t="str">
        <f>VLOOKUP(source[[#This Row],[lending_product_transform]],[3]Mapping!$B$3:$D$37,3,0)</f>
        <v>cashloan</v>
      </c>
      <c r="I12758" s="137">
        <v>42000000</v>
      </c>
    </row>
    <row r="12759" spans="1:9" x14ac:dyDescent="0.2">
      <c r="A12759" s="134">
        <v>46059</v>
      </c>
      <c r="B12759" s="135">
        <f>YEAR(source[[#This Row],[report_date]])</f>
        <v>2026</v>
      </c>
      <c r="C12759" s="128">
        <f t="shared" si="596"/>
        <v>2</v>
      </c>
      <c r="D12759" s="136">
        <f t="shared" si="598"/>
        <v>6</v>
      </c>
      <c r="E12759" s="136">
        <f t="shared" si="597"/>
        <v>6</v>
      </c>
      <c r="F12759" s="137" t="s">
        <v>24</v>
      </c>
      <c r="G12759" s="128" t="str">
        <f>VLOOKUP(source[[#This Row],[lending_product_transform]],[3]Mapping!$B$4:$C$37,2,0)</f>
        <v>[Cake] - Cashloan</v>
      </c>
      <c r="H12759" s="128" t="str">
        <f>VLOOKUP(source[[#This Row],[lending_product_transform]],[3]Mapping!$B$3:$D$37,3,0)</f>
        <v>cashloan</v>
      </c>
      <c r="I12759" s="137">
        <v>34000000</v>
      </c>
    </row>
    <row r="12760" spans="1:9" x14ac:dyDescent="0.2">
      <c r="A12760" s="134">
        <v>46059</v>
      </c>
      <c r="B12760" s="135">
        <f>YEAR(source[[#This Row],[report_date]])</f>
        <v>2026</v>
      </c>
      <c r="C12760" s="128">
        <f t="shared" si="596"/>
        <v>2</v>
      </c>
      <c r="D12760" s="136">
        <f t="shared" si="598"/>
        <v>6</v>
      </c>
      <c r="E12760" s="136">
        <f t="shared" si="597"/>
        <v>6</v>
      </c>
      <c r="F12760" s="137" t="s">
        <v>24</v>
      </c>
      <c r="G12760" s="128" t="str">
        <f>VLOOKUP(source[[#This Row],[lending_product_transform]],[3]Mapping!$B$4:$C$37,2,0)</f>
        <v>[Cake] - Cashloan</v>
      </c>
      <c r="H12760" s="128" t="str">
        <f>VLOOKUP(source[[#This Row],[lending_product_transform]],[3]Mapping!$B$3:$D$37,3,0)</f>
        <v>cashloan</v>
      </c>
      <c r="I12760" s="137">
        <v>909210000</v>
      </c>
    </row>
    <row r="12761" spans="1:9" x14ac:dyDescent="0.2">
      <c r="A12761" s="134">
        <v>46059</v>
      </c>
      <c r="B12761" s="135">
        <f>YEAR(source[[#This Row],[report_date]])</f>
        <v>2026</v>
      </c>
      <c r="C12761" s="128">
        <f t="shared" si="596"/>
        <v>2</v>
      </c>
      <c r="D12761" s="136">
        <f t="shared" si="598"/>
        <v>6</v>
      </c>
      <c r="E12761" s="136">
        <f t="shared" si="597"/>
        <v>6</v>
      </c>
      <c r="F12761" s="137" t="s">
        <v>24</v>
      </c>
      <c r="G12761" s="128" t="str">
        <f>VLOOKUP(source[[#This Row],[lending_product_transform]],[3]Mapping!$B$4:$C$37,2,0)</f>
        <v>[Cake] - Cashloan</v>
      </c>
      <c r="H12761" s="128" t="str">
        <f>VLOOKUP(source[[#This Row],[lending_product_transform]],[3]Mapping!$B$3:$D$37,3,0)</f>
        <v>cashloan</v>
      </c>
      <c r="I12761" s="137">
        <v>338796000</v>
      </c>
    </row>
    <row r="12762" spans="1:9" x14ac:dyDescent="0.2">
      <c r="A12762" s="134">
        <v>46059</v>
      </c>
      <c r="B12762" s="135">
        <f>YEAR(source[[#This Row],[report_date]])</f>
        <v>2026</v>
      </c>
      <c r="C12762" s="128">
        <f t="shared" si="596"/>
        <v>2</v>
      </c>
      <c r="D12762" s="136">
        <f t="shared" si="598"/>
        <v>6</v>
      </c>
      <c r="E12762" s="136">
        <f t="shared" si="597"/>
        <v>6</v>
      </c>
      <c r="F12762" s="137" t="s">
        <v>24</v>
      </c>
      <c r="G12762" s="128" t="str">
        <f>VLOOKUP(source[[#This Row],[lending_product_transform]],[3]Mapping!$B$4:$C$37,2,0)</f>
        <v>[Cake] - Cashloan</v>
      </c>
      <c r="H12762" s="128" t="str">
        <f>VLOOKUP(source[[#This Row],[lending_product_transform]],[3]Mapping!$B$3:$D$37,3,0)</f>
        <v>cashloan</v>
      </c>
      <c r="I12762" s="137">
        <v>675299337</v>
      </c>
    </row>
    <row r="12763" spans="1:9" x14ac:dyDescent="0.2">
      <c r="A12763" s="134">
        <v>46059</v>
      </c>
      <c r="B12763" s="135">
        <f>YEAR(source[[#This Row],[report_date]])</f>
        <v>2026</v>
      </c>
      <c r="C12763" s="128">
        <f t="shared" si="596"/>
        <v>2</v>
      </c>
      <c r="D12763" s="136">
        <f t="shared" si="598"/>
        <v>6</v>
      </c>
      <c r="E12763" s="136">
        <f t="shared" si="597"/>
        <v>6</v>
      </c>
      <c r="F12763" s="137" t="s">
        <v>24</v>
      </c>
      <c r="G12763" s="128" t="str">
        <f>VLOOKUP(source[[#This Row],[lending_product_transform]],[3]Mapping!$B$4:$C$37,2,0)</f>
        <v>[Cake] - Cashloan</v>
      </c>
      <c r="H12763" s="128" t="str">
        <f>VLOOKUP(source[[#This Row],[lending_product_transform]],[3]Mapping!$B$3:$D$37,3,0)</f>
        <v>cashloan</v>
      </c>
      <c r="I12763" s="137">
        <v>4966990000</v>
      </c>
    </row>
    <row r="12764" spans="1:9" x14ac:dyDescent="0.2">
      <c r="A12764" s="134">
        <v>46059</v>
      </c>
      <c r="B12764" s="135">
        <f>YEAR(source[[#This Row],[report_date]])</f>
        <v>2026</v>
      </c>
      <c r="C12764" s="128">
        <f t="shared" si="596"/>
        <v>2</v>
      </c>
      <c r="D12764" s="136">
        <f t="shared" si="598"/>
        <v>6</v>
      </c>
      <c r="E12764" s="136">
        <f t="shared" si="597"/>
        <v>6</v>
      </c>
      <c r="F12764" s="137" t="s">
        <v>24</v>
      </c>
      <c r="G12764" s="128" t="str">
        <f>VLOOKUP(source[[#This Row],[lending_product_transform]],[3]Mapping!$B$4:$C$37,2,0)</f>
        <v>[Cake] - Cashloan</v>
      </c>
      <c r="H12764" s="128" t="str">
        <f>VLOOKUP(source[[#This Row],[lending_product_transform]],[3]Mapping!$B$3:$D$37,3,0)</f>
        <v>cashloan</v>
      </c>
      <c r="I12764" s="137">
        <v>396560000</v>
      </c>
    </row>
    <row r="12765" spans="1:9" x14ac:dyDescent="0.2">
      <c r="A12765" s="134">
        <v>46060</v>
      </c>
      <c r="B12765" s="135">
        <f>YEAR(source[[#This Row],[report_date]])</f>
        <v>2026</v>
      </c>
      <c r="C12765" s="128">
        <f t="shared" si="596"/>
        <v>2</v>
      </c>
      <c r="D12765" s="136">
        <f t="shared" si="598"/>
        <v>6</v>
      </c>
      <c r="E12765" s="136">
        <f t="shared" si="597"/>
        <v>7</v>
      </c>
      <c r="F12765" s="137" t="s">
        <v>24</v>
      </c>
      <c r="G12765" s="128" t="str">
        <f>VLOOKUP(source[[#This Row],[lending_product_transform]],[3]Mapping!$B$4:$C$37,2,0)</f>
        <v>[Cake] - Cashloan</v>
      </c>
      <c r="H12765" s="128" t="str">
        <f>VLOOKUP(source[[#This Row],[lending_product_transform]],[3]Mapping!$B$3:$D$37,3,0)</f>
        <v>cashloan</v>
      </c>
      <c r="I12765" s="137">
        <v>668900000</v>
      </c>
    </row>
    <row r="12766" spans="1:9" x14ac:dyDescent="0.2">
      <c r="A12766" s="134">
        <v>46060</v>
      </c>
      <c r="B12766" s="135">
        <f>YEAR(source[[#This Row],[report_date]])</f>
        <v>2026</v>
      </c>
      <c r="C12766" s="128">
        <f t="shared" si="596"/>
        <v>2</v>
      </c>
      <c r="D12766" s="136">
        <f t="shared" si="598"/>
        <v>6</v>
      </c>
      <c r="E12766" s="136">
        <f t="shared" si="597"/>
        <v>7</v>
      </c>
      <c r="F12766" s="137" t="s">
        <v>24</v>
      </c>
      <c r="G12766" s="128" t="str">
        <f>VLOOKUP(source[[#This Row],[lending_product_transform]],[3]Mapping!$B$4:$C$37,2,0)</f>
        <v>[Cake] - Cashloan</v>
      </c>
      <c r="H12766" s="128" t="str">
        <f>VLOOKUP(source[[#This Row],[lending_product_transform]],[3]Mapping!$B$3:$D$37,3,0)</f>
        <v>cashloan</v>
      </c>
      <c r="I12766" s="137">
        <v>459868095</v>
      </c>
    </row>
    <row r="12767" spans="1:9" x14ac:dyDescent="0.2">
      <c r="A12767" s="134">
        <v>46060</v>
      </c>
      <c r="B12767" s="135">
        <f>YEAR(source[[#This Row],[report_date]])</f>
        <v>2026</v>
      </c>
      <c r="C12767" s="128">
        <f t="shared" si="596"/>
        <v>2</v>
      </c>
      <c r="D12767" s="136">
        <f t="shared" si="598"/>
        <v>6</v>
      </c>
      <c r="E12767" s="136">
        <f t="shared" si="597"/>
        <v>7</v>
      </c>
      <c r="F12767" s="137" t="s">
        <v>24</v>
      </c>
      <c r="G12767" s="128" t="str">
        <f>VLOOKUP(source[[#This Row],[lending_product_transform]],[3]Mapping!$B$4:$C$37,2,0)</f>
        <v>[Cake] - Cashloan</v>
      </c>
      <c r="H12767" s="128" t="str">
        <f>VLOOKUP(source[[#This Row],[lending_product_transform]],[3]Mapping!$B$3:$D$37,3,0)</f>
        <v>cashloan</v>
      </c>
      <c r="I12767" s="137">
        <v>12618190000</v>
      </c>
    </row>
    <row r="12768" spans="1:9" x14ac:dyDescent="0.2">
      <c r="A12768" s="134">
        <v>46060</v>
      </c>
      <c r="B12768" s="135">
        <f>YEAR(source[[#This Row],[report_date]])</f>
        <v>2026</v>
      </c>
      <c r="C12768" s="128">
        <f t="shared" si="596"/>
        <v>2</v>
      </c>
      <c r="D12768" s="136">
        <f t="shared" si="598"/>
        <v>6</v>
      </c>
      <c r="E12768" s="136">
        <f t="shared" si="597"/>
        <v>7</v>
      </c>
      <c r="F12768" s="137" t="s">
        <v>24</v>
      </c>
      <c r="G12768" s="128" t="str">
        <f>VLOOKUP(source[[#This Row],[lending_product_transform]],[3]Mapping!$B$4:$C$37,2,0)</f>
        <v>[Cake] - Cashloan</v>
      </c>
      <c r="H12768" s="128" t="str">
        <f>VLOOKUP(source[[#This Row],[lending_product_transform]],[3]Mapping!$B$3:$D$37,3,0)</f>
        <v>cashloan</v>
      </c>
      <c r="I12768" s="137">
        <v>1749838140</v>
      </c>
    </row>
    <row r="12769" spans="1:9" x14ac:dyDescent="0.2">
      <c r="A12769" s="134">
        <v>46060</v>
      </c>
      <c r="B12769" s="135">
        <f>YEAR(source[[#This Row],[report_date]])</f>
        <v>2026</v>
      </c>
      <c r="C12769" s="128">
        <f t="shared" si="596"/>
        <v>2</v>
      </c>
      <c r="D12769" s="136">
        <f t="shared" si="598"/>
        <v>6</v>
      </c>
      <c r="E12769" s="136">
        <f t="shared" si="597"/>
        <v>7</v>
      </c>
      <c r="F12769" s="137" t="s">
        <v>24</v>
      </c>
      <c r="G12769" s="128" t="str">
        <f>VLOOKUP(source[[#This Row],[lending_product_transform]],[3]Mapping!$B$4:$C$37,2,0)</f>
        <v>[Cake] - Cashloan</v>
      </c>
      <c r="H12769" s="128" t="str">
        <f>VLOOKUP(source[[#This Row],[lending_product_transform]],[3]Mapping!$B$3:$D$37,3,0)</f>
        <v>cashloan</v>
      </c>
      <c r="I12769" s="137">
        <v>12065004000</v>
      </c>
    </row>
    <row r="12770" spans="1:9" x14ac:dyDescent="0.2">
      <c r="A12770" s="134">
        <v>46060</v>
      </c>
      <c r="B12770" s="135">
        <f>YEAR(source[[#This Row],[report_date]])</f>
        <v>2026</v>
      </c>
      <c r="C12770" s="128">
        <f t="shared" si="596"/>
        <v>2</v>
      </c>
      <c r="D12770" s="136">
        <f t="shared" si="598"/>
        <v>6</v>
      </c>
      <c r="E12770" s="136">
        <f t="shared" si="597"/>
        <v>7</v>
      </c>
      <c r="F12770" s="137" t="s">
        <v>24</v>
      </c>
      <c r="G12770" s="128" t="str">
        <f>VLOOKUP(source[[#This Row],[lending_product_transform]],[3]Mapping!$B$4:$C$37,2,0)</f>
        <v>[Cake] - Cashloan</v>
      </c>
      <c r="H12770" s="128" t="str">
        <f>VLOOKUP(source[[#This Row],[lending_product_transform]],[3]Mapping!$B$3:$D$37,3,0)</f>
        <v>cashloan</v>
      </c>
      <c r="I12770" s="137">
        <v>29974937</v>
      </c>
    </row>
    <row r="12771" spans="1:9" x14ac:dyDescent="0.2">
      <c r="A12771" s="134">
        <v>46060</v>
      </c>
      <c r="B12771" s="135">
        <f>YEAR(source[[#This Row],[report_date]])</f>
        <v>2026</v>
      </c>
      <c r="C12771" s="128">
        <f t="shared" si="596"/>
        <v>2</v>
      </c>
      <c r="D12771" s="136">
        <f t="shared" si="598"/>
        <v>6</v>
      </c>
      <c r="E12771" s="136">
        <f t="shared" si="597"/>
        <v>7</v>
      </c>
      <c r="F12771" s="137" t="s">
        <v>24</v>
      </c>
      <c r="G12771" s="128" t="str">
        <f>VLOOKUP(source[[#This Row],[lending_product_transform]],[3]Mapping!$B$4:$C$37,2,0)</f>
        <v>[Cake] - Cashloan</v>
      </c>
      <c r="H12771" s="128" t="str">
        <f>VLOOKUP(source[[#This Row],[lending_product_transform]],[3]Mapping!$B$3:$D$37,3,0)</f>
        <v>cashloan</v>
      </c>
      <c r="I12771" s="137">
        <v>0</v>
      </c>
    </row>
    <row r="12772" spans="1:9" x14ac:dyDescent="0.2">
      <c r="A12772" s="134">
        <v>46060</v>
      </c>
      <c r="B12772" s="135">
        <f>YEAR(source[[#This Row],[report_date]])</f>
        <v>2026</v>
      </c>
      <c r="C12772" s="128">
        <f t="shared" si="596"/>
        <v>2</v>
      </c>
      <c r="D12772" s="136">
        <f t="shared" si="598"/>
        <v>6</v>
      </c>
      <c r="E12772" s="136">
        <f t="shared" si="597"/>
        <v>7</v>
      </c>
      <c r="F12772" s="137" t="s">
        <v>24</v>
      </c>
      <c r="G12772" s="128" t="str">
        <f>VLOOKUP(source[[#This Row],[lending_product_transform]],[3]Mapping!$B$4:$C$37,2,0)</f>
        <v>[Cake] - Cashloan</v>
      </c>
      <c r="H12772" s="128" t="str">
        <f>VLOOKUP(source[[#This Row],[lending_product_transform]],[3]Mapping!$B$3:$D$37,3,0)</f>
        <v>cashloan</v>
      </c>
      <c r="I12772" s="137">
        <v>4912210000</v>
      </c>
    </row>
    <row r="12773" spans="1:9" x14ac:dyDescent="0.2">
      <c r="A12773" s="134">
        <v>46060</v>
      </c>
      <c r="B12773" s="135">
        <f>YEAR(source[[#This Row],[report_date]])</f>
        <v>2026</v>
      </c>
      <c r="C12773" s="128">
        <f t="shared" si="596"/>
        <v>2</v>
      </c>
      <c r="D12773" s="136">
        <f t="shared" si="598"/>
        <v>6</v>
      </c>
      <c r="E12773" s="136">
        <f t="shared" si="597"/>
        <v>7</v>
      </c>
      <c r="F12773" s="137" t="s">
        <v>24</v>
      </c>
      <c r="G12773" s="128" t="str">
        <f>VLOOKUP(source[[#This Row],[lending_product_transform]],[3]Mapping!$B$4:$C$37,2,0)</f>
        <v>[Cake] - Cashloan</v>
      </c>
      <c r="H12773" s="128" t="str">
        <f>VLOOKUP(source[[#This Row],[lending_product_transform]],[3]Mapping!$B$3:$D$37,3,0)</f>
        <v>cashloan</v>
      </c>
      <c r="I12773" s="137">
        <v>1137190000</v>
      </c>
    </row>
    <row r="12774" spans="1:9" x14ac:dyDescent="0.2">
      <c r="A12774" s="134">
        <v>46060</v>
      </c>
      <c r="B12774" s="135">
        <f>YEAR(source[[#This Row],[report_date]])</f>
        <v>2026</v>
      </c>
      <c r="C12774" s="128">
        <f t="shared" si="596"/>
        <v>2</v>
      </c>
      <c r="D12774" s="136">
        <f t="shared" si="598"/>
        <v>6</v>
      </c>
      <c r="E12774" s="136">
        <f t="shared" si="597"/>
        <v>7</v>
      </c>
      <c r="F12774" s="137" t="s">
        <v>24</v>
      </c>
      <c r="G12774" s="128" t="str">
        <f>VLOOKUP(source[[#This Row],[lending_product_transform]],[3]Mapping!$B$4:$C$37,2,0)</f>
        <v>[Cake] - Cashloan</v>
      </c>
      <c r="H12774" s="128" t="str">
        <f>VLOOKUP(source[[#This Row],[lending_product_transform]],[3]Mapping!$B$3:$D$37,3,0)</f>
        <v>cashloan</v>
      </c>
      <c r="I12774" s="137">
        <v>18099098</v>
      </c>
    </row>
    <row r="12775" spans="1:9" x14ac:dyDescent="0.2">
      <c r="A12775" s="134">
        <v>46060</v>
      </c>
      <c r="B12775" s="135">
        <f>YEAR(source[[#This Row],[report_date]])</f>
        <v>2026</v>
      </c>
      <c r="C12775" s="128">
        <f t="shared" si="596"/>
        <v>2</v>
      </c>
      <c r="D12775" s="136">
        <f t="shared" si="598"/>
        <v>6</v>
      </c>
      <c r="E12775" s="136">
        <f t="shared" si="597"/>
        <v>7</v>
      </c>
      <c r="F12775" s="137" t="s">
        <v>24</v>
      </c>
      <c r="G12775" s="128" t="str">
        <f>VLOOKUP(source[[#This Row],[lending_product_transform]],[3]Mapping!$B$4:$C$37,2,0)</f>
        <v>[Cake] - Cashloan</v>
      </c>
      <c r="H12775" s="128" t="str">
        <f>VLOOKUP(source[[#This Row],[lending_product_transform]],[3]Mapping!$B$3:$D$37,3,0)</f>
        <v>cashloan</v>
      </c>
      <c r="I12775" s="137">
        <v>2986593757</v>
      </c>
    </row>
    <row r="12776" spans="1:9" x14ac:dyDescent="0.2">
      <c r="A12776" s="134">
        <v>46060</v>
      </c>
      <c r="B12776" s="135">
        <f>YEAR(source[[#This Row],[report_date]])</f>
        <v>2026</v>
      </c>
      <c r="C12776" s="128">
        <f t="shared" si="596"/>
        <v>2</v>
      </c>
      <c r="D12776" s="136">
        <f t="shared" si="598"/>
        <v>6</v>
      </c>
      <c r="E12776" s="136">
        <f t="shared" si="597"/>
        <v>7</v>
      </c>
      <c r="F12776" s="137" t="s">
        <v>24</v>
      </c>
      <c r="G12776" s="128" t="str">
        <f>VLOOKUP(source[[#This Row],[lending_product_transform]],[3]Mapping!$B$4:$C$37,2,0)</f>
        <v>[Cake] - Cashloan</v>
      </c>
      <c r="H12776" s="128" t="str">
        <f>VLOOKUP(source[[#This Row],[lending_product_transform]],[3]Mapping!$B$3:$D$37,3,0)</f>
        <v>cashloan</v>
      </c>
      <c r="I12776" s="137">
        <v>0</v>
      </c>
    </row>
    <row r="12777" spans="1:9" x14ac:dyDescent="0.2">
      <c r="A12777" s="134">
        <v>46060</v>
      </c>
      <c r="B12777" s="135">
        <f>YEAR(source[[#This Row],[report_date]])</f>
        <v>2026</v>
      </c>
      <c r="C12777" s="128">
        <f t="shared" si="596"/>
        <v>2</v>
      </c>
      <c r="D12777" s="136">
        <f t="shared" si="598"/>
        <v>6</v>
      </c>
      <c r="E12777" s="136">
        <f t="shared" si="597"/>
        <v>7</v>
      </c>
      <c r="F12777" s="137" t="s">
        <v>24</v>
      </c>
      <c r="G12777" s="128" t="str">
        <f>VLOOKUP(source[[#This Row],[lending_product_transform]],[3]Mapping!$B$4:$C$37,2,0)</f>
        <v>[Cake] - Cashloan</v>
      </c>
      <c r="H12777" s="128" t="str">
        <f>VLOOKUP(source[[#This Row],[lending_product_transform]],[3]Mapping!$B$3:$D$37,3,0)</f>
        <v>cashloan</v>
      </c>
      <c r="I12777" s="137">
        <v>31500000</v>
      </c>
    </row>
    <row r="12778" spans="1:9" x14ac:dyDescent="0.2">
      <c r="A12778" s="134">
        <v>46060</v>
      </c>
      <c r="B12778" s="135">
        <f>YEAR(source[[#This Row],[report_date]])</f>
        <v>2026</v>
      </c>
      <c r="C12778" s="128">
        <f t="shared" si="596"/>
        <v>2</v>
      </c>
      <c r="D12778" s="136">
        <f t="shared" si="598"/>
        <v>6</v>
      </c>
      <c r="E12778" s="136">
        <f t="shared" si="597"/>
        <v>7</v>
      </c>
      <c r="F12778" s="137" t="s">
        <v>24</v>
      </c>
      <c r="G12778" s="128" t="str">
        <f>VLOOKUP(source[[#This Row],[lending_product_transform]],[3]Mapping!$B$4:$C$37,2,0)</f>
        <v>[Cake] - Cashloan</v>
      </c>
      <c r="H12778" s="128" t="str">
        <f>VLOOKUP(source[[#This Row],[lending_product_transform]],[3]Mapping!$B$3:$D$37,3,0)</f>
        <v>cashloan</v>
      </c>
      <c r="I12778" s="137">
        <v>83430000</v>
      </c>
    </row>
    <row r="12779" spans="1:9" x14ac:dyDescent="0.2">
      <c r="A12779" s="134">
        <v>46060</v>
      </c>
      <c r="B12779" s="135">
        <f>YEAR(source[[#This Row],[report_date]])</f>
        <v>2026</v>
      </c>
      <c r="C12779" s="128">
        <f t="shared" si="596"/>
        <v>2</v>
      </c>
      <c r="D12779" s="136">
        <f t="shared" si="598"/>
        <v>6</v>
      </c>
      <c r="E12779" s="136">
        <f t="shared" si="597"/>
        <v>7</v>
      </c>
      <c r="F12779" s="137" t="s">
        <v>24</v>
      </c>
      <c r="G12779" s="128" t="str">
        <f>VLOOKUP(source[[#This Row],[lending_product_transform]],[3]Mapping!$B$4:$C$37,2,0)</f>
        <v>[Cake] - Cashloan</v>
      </c>
      <c r="H12779" s="128" t="str">
        <f>VLOOKUP(source[[#This Row],[lending_product_transform]],[3]Mapping!$B$3:$D$37,3,0)</f>
        <v>cashloan</v>
      </c>
      <c r="I12779" s="137">
        <v>16453260000</v>
      </c>
    </row>
    <row r="12780" spans="1:9" x14ac:dyDescent="0.2">
      <c r="A12780" s="134">
        <v>46060</v>
      </c>
      <c r="B12780" s="135">
        <f>YEAR(source[[#This Row],[report_date]])</f>
        <v>2026</v>
      </c>
      <c r="C12780" s="128">
        <f t="shared" si="596"/>
        <v>2</v>
      </c>
      <c r="D12780" s="136">
        <f t="shared" si="598"/>
        <v>6</v>
      </c>
      <c r="E12780" s="136">
        <f t="shared" si="597"/>
        <v>7</v>
      </c>
      <c r="F12780" s="137" t="s">
        <v>24</v>
      </c>
      <c r="G12780" s="128" t="str">
        <f>VLOOKUP(source[[#This Row],[lending_product_transform]],[3]Mapping!$B$4:$C$37,2,0)</f>
        <v>[Cake] - Cashloan</v>
      </c>
      <c r="H12780" s="128" t="str">
        <f>VLOOKUP(source[[#This Row],[lending_product_transform]],[3]Mapping!$B$3:$D$37,3,0)</f>
        <v>cashloan</v>
      </c>
      <c r="I12780" s="137">
        <v>0</v>
      </c>
    </row>
    <row r="12781" spans="1:9" x14ac:dyDescent="0.2">
      <c r="A12781" s="134">
        <v>46060</v>
      </c>
      <c r="B12781" s="135">
        <f>YEAR(source[[#This Row],[report_date]])</f>
        <v>2026</v>
      </c>
      <c r="C12781" s="128">
        <f t="shared" si="596"/>
        <v>2</v>
      </c>
      <c r="D12781" s="136">
        <f t="shared" si="598"/>
        <v>6</v>
      </c>
      <c r="E12781" s="136">
        <f t="shared" si="597"/>
        <v>7</v>
      </c>
      <c r="F12781" s="137" t="s">
        <v>24</v>
      </c>
      <c r="G12781" s="128" t="str">
        <f>VLOOKUP(source[[#This Row],[lending_product_transform]],[3]Mapping!$B$4:$C$37,2,0)</f>
        <v>[Cake] - Cashloan</v>
      </c>
      <c r="H12781" s="128" t="str">
        <f>VLOOKUP(source[[#This Row],[lending_product_transform]],[3]Mapping!$B$3:$D$37,3,0)</f>
        <v>cashloan</v>
      </c>
      <c r="I12781" s="137">
        <v>0</v>
      </c>
    </row>
    <row r="12782" spans="1:9" x14ac:dyDescent="0.2">
      <c r="A12782" s="134">
        <v>46060</v>
      </c>
      <c r="B12782" s="135">
        <f>YEAR(source[[#This Row],[report_date]])</f>
        <v>2026</v>
      </c>
      <c r="C12782" s="128">
        <f t="shared" si="596"/>
        <v>2</v>
      </c>
      <c r="D12782" s="136">
        <f t="shared" si="598"/>
        <v>6</v>
      </c>
      <c r="E12782" s="136">
        <f t="shared" si="597"/>
        <v>7</v>
      </c>
      <c r="F12782" s="137" t="s">
        <v>24</v>
      </c>
      <c r="G12782" s="128" t="str">
        <f>VLOOKUP(source[[#This Row],[lending_product_transform]],[3]Mapping!$B$4:$C$37,2,0)</f>
        <v>[Cake] - Cashloan</v>
      </c>
      <c r="H12782" s="128" t="str">
        <f>VLOOKUP(source[[#This Row],[lending_product_transform]],[3]Mapping!$B$3:$D$37,3,0)</f>
        <v>cashloan</v>
      </c>
      <c r="I12782" s="137">
        <v>0</v>
      </c>
    </row>
    <row r="12783" spans="1:9" x14ac:dyDescent="0.2">
      <c r="A12783" s="134">
        <v>46060</v>
      </c>
      <c r="B12783" s="135">
        <f>YEAR(source[[#This Row],[report_date]])</f>
        <v>2026</v>
      </c>
      <c r="C12783" s="128">
        <f t="shared" si="596"/>
        <v>2</v>
      </c>
      <c r="D12783" s="136">
        <f t="shared" si="598"/>
        <v>6</v>
      </c>
      <c r="E12783" s="136">
        <f t="shared" si="597"/>
        <v>7</v>
      </c>
      <c r="F12783" s="137" t="s">
        <v>24</v>
      </c>
      <c r="G12783" s="128" t="str">
        <f>VLOOKUP(source[[#This Row],[lending_product_transform]],[3]Mapping!$B$4:$C$37,2,0)</f>
        <v>[Cake] - Cashloan</v>
      </c>
      <c r="H12783" s="128" t="str">
        <f>VLOOKUP(source[[#This Row],[lending_product_transform]],[3]Mapping!$B$3:$D$37,3,0)</f>
        <v>cashloan</v>
      </c>
      <c r="I12783" s="137">
        <v>0</v>
      </c>
    </row>
    <row r="12784" spans="1:9" x14ac:dyDescent="0.2">
      <c r="A12784" s="134">
        <v>46060</v>
      </c>
      <c r="B12784" s="135">
        <f>YEAR(source[[#This Row],[report_date]])</f>
        <v>2026</v>
      </c>
      <c r="C12784" s="128">
        <f t="shared" si="596"/>
        <v>2</v>
      </c>
      <c r="D12784" s="136">
        <f t="shared" si="598"/>
        <v>6</v>
      </c>
      <c r="E12784" s="136">
        <f t="shared" si="597"/>
        <v>7</v>
      </c>
      <c r="F12784" s="137" t="s">
        <v>24</v>
      </c>
      <c r="G12784" s="128" t="str">
        <f>VLOOKUP(source[[#This Row],[lending_product_transform]],[3]Mapping!$B$4:$C$37,2,0)</f>
        <v>[Cake] - Cashloan</v>
      </c>
      <c r="H12784" s="128" t="str">
        <f>VLOOKUP(source[[#This Row],[lending_product_transform]],[3]Mapping!$B$3:$D$37,3,0)</f>
        <v>cashloan</v>
      </c>
      <c r="I12784" s="137">
        <v>10034172000</v>
      </c>
    </row>
    <row r="12785" spans="1:9" x14ac:dyDescent="0.2">
      <c r="A12785" s="134">
        <v>46060</v>
      </c>
      <c r="B12785" s="135">
        <f>YEAR(source[[#This Row],[report_date]])</f>
        <v>2026</v>
      </c>
      <c r="C12785" s="128">
        <f t="shared" si="596"/>
        <v>2</v>
      </c>
      <c r="D12785" s="136">
        <f t="shared" si="598"/>
        <v>6</v>
      </c>
      <c r="E12785" s="136">
        <f t="shared" si="597"/>
        <v>7</v>
      </c>
      <c r="F12785" s="137" t="s">
        <v>24</v>
      </c>
      <c r="G12785" s="128" t="str">
        <f>VLOOKUP(source[[#This Row],[lending_product_transform]],[3]Mapping!$B$4:$C$37,2,0)</f>
        <v>[Cake] - Cashloan</v>
      </c>
      <c r="H12785" s="128" t="str">
        <f>VLOOKUP(source[[#This Row],[lending_product_transform]],[3]Mapping!$B$3:$D$37,3,0)</f>
        <v>cashloan</v>
      </c>
      <c r="I12785" s="137">
        <v>249314006</v>
      </c>
    </row>
    <row r="12786" spans="1:9" x14ac:dyDescent="0.2">
      <c r="A12786" s="134">
        <v>46060</v>
      </c>
      <c r="B12786" s="135">
        <f>YEAR(source[[#This Row],[report_date]])</f>
        <v>2026</v>
      </c>
      <c r="C12786" s="128">
        <f t="shared" si="596"/>
        <v>2</v>
      </c>
      <c r="D12786" s="136">
        <f t="shared" si="598"/>
        <v>6</v>
      </c>
      <c r="E12786" s="136">
        <f t="shared" si="597"/>
        <v>7</v>
      </c>
      <c r="F12786" s="137" t="s">
        <v>24</v>
      </c>
      <c r="G12786" s="128" t="str">
        <f>VLOOKUP(source[[#This Row],[lending_product_transform]],[3]Mapping!$B$4:$C$37,2,0)</f>
        <v>[Cake] - Cashloan</v>
      </c>
      <c r="H12786" s="128" t="str">
        <f>VLOOKUP(source[[#This Row],[lending_product_transform]],[3]Mapping!$B$3:$D$37,3,0)</f>
        <v>cashloan</v>
      </c>
      <c r="I12786" s="137">
        <v>63000000</v>
      </c>
    </row>
    <row r="12787" spans="1:9" x14ac:dyDescent="0.2">
      <c r="A12787" s="134">
        <v>46060</v>
      </c>
      <c r="B12787" s="135">
        <f>YEAR(source[[#This Row],[report_date]])</f>
        <v>2026</v>
      </c>
      <c r="C12787" s="128">
        <f t="shared" si="596"/>
        <v>2</v>
      </c>
      <c r="D12787" s="136">
        <f t="shared" si="598"/>
        <v>6</v>
      </c>
      <c r="E12787" s="136">
        <f t="shared" si="597"/>
        <v>7</v>
      </c>
      <c r="F12787" s="137" t="s">
        <v>24</v>
      </c>
      <c r="G12787" s="128" t="str">
        <f>VLOOKUP(source[[#This Row],[lending_product_transform]],[3]Mapping!$B$4:$C$37,2,0)</f>
        <v>[Cake] - Cashloan</v>
      </c>
      <c r="H12787" s="128" t="str">
        <f>VLOOKUP(source[[#This Row],[lending_product_transform]],[3]Mapping!$B$3:$D$37,3,0)</f>
        <v>cashloan</v>
      </c>
      <c r="I12787" s="137">
        <v>56000000</v>
      </c>
    </row>
    <row r="12788" spans="1:9" x14ac:dyDescent="0.2">
      <c r="A12788" s="134">
        <v>46060</v>
      </c>
      <c r="B12788" s="135">
        <f>YEAR(source[[#This Row],[report_date]])</f>
        <v>2026</v>
      </c>
      <c r="C12788" s="128">
        <f t="shared" si="596"/>
        <v>2</v>
      </c>
      <c r="D12788" s="136">
        <f t="shared" si="598"/>
        <v>6</v>
      </c>
      <c r="E12788" s="136">
        <f t="shared" si="597"/>
        <v>7</v>
      </c>
      <c r="F12788" s="137" t="s">
        <v>24</v>
      </c>
      <c r="G12788" s="128" t="str">
        <f>VLOOKUP(source[[#This Row],[lending_product_transform]],[3]Mapping!$B$4:$C$37,2,0)</f>
        <v>[Cake] - Cashloan</v>
      </c>
      <c r="H12788" s="128" t="str">
        <f>VLOOKUP(source[[#This Row],[lending_product_transform]],[3]Mapping!$B$3:$D$37,3,0)</f>
        <v>cashloan</v>
      </c>
      <c r="I12788" s="137">
        <v>1392850000</v>
      </c>
    </row>
    <row r="12789" spans="1:9" x14ac:dyDescent="0.2">
      <c r="A12789" s="134">
        <v>46060</v>
      </c>
      <c r="B12789" s="135">
        <f>YEAR(source[[#This Row],[report_date]])</f>
        <v>2026</v>
      </c>
      <c r="C12789" s="128">
        <f t="shared" si="596"/>
        <v>2</v>
      </c>
      <c r="D12789" s="136">
        <f t="shared" si="598"/>
        <v>6</v>
      </c>
      <c r="E12789" s="136">
        <f t="shared" si="597"/>
        <v>7</v>
      </c>
      <c r="F12789" s="137" t="s">
        <v>24</v>
      </c>
      <c r="G12789" s="128" t="str">
        <f>VLOOKUP(source[[#This Row],[lending_product_transform]],[3]Mapping!$B$4:$C$37,2,0)</f>
        <v>[Cake] - Cashloan</v>
      </c>
      <c r="H12789" s="128" t="str">
        <f>VLOOKUP(source[[#This Row],[lending_product_transform]],[3]Mapping!$B$3:$D$37,3,0)</f>
        <v>cashloan</v>
      </c>
      <c r="I12789" s="137">
        <v>294732000</v>
      </c>
    </row>
    <row r="12790" spans="1:9" x14ac:dyDescent="0.2">
      <c r="A12790" s="134">
        <v>46060</v>
      </c>
      <c r="B12790" s="135">
        <f>YEAR(source[[#This Row],[report_date]])</f>
        <v>2026</v>
      </c>
      <c r="C12790" s="128">
        <f t="shared" ref="C12790:C12853" si="599">MONTH(A12790)</f>
        <v>2</v>
      </c>
      <c r="D12790" s="136">
        <f t="shared" si="598"/>
        <v>6</v>
      </c>
      <c r="E12790" s="136">
        <f t="shared" ref="E12790:E12853" si="600">DAY(A12790)</f>
        <v>7</v>
      </c>
      <c r="F12790" s="137" t="s">
        <v>24</v>
      </c>
      <c r="G12790" s="128" t="str">
        <f>VLOOKUP(source[[#This Row],[lending_product_transform]],[3]Mapping!$B$4:$C$37,2,0)</f>
        <v>[Cake] - Cashloan</v>
      </c>
      <c r="H12790" s="128" t="str">
        <f>VLOOKUP(source[[#This Row],[lending_product_transform]],[3]Mapping!$B$3:$D$37,3,0)</f>
        <v>cashloan</v>
      </c>
      <c r="I12790" s="137">
        <v>506709554</v>
      </c>
    </row>
    <row r="12791" spans="1:9" x14ac:dyDescent="0.2">
      <c r="A12791" s="134">
        <v>46060</v>
      </c>
      <c r="B12791" s="135">
        <f>YEAR(source[[#This Row],[report_date]])</f>
        <v>2026</v>
      </c>
      <c r="C12791" s="128">
        <f t="shared" si="599"/>
        <v>2</v>
      </c>
      <c r="D12791" s="136">
        <f t="shared" si="598"/>
        <v>6</v>
      </c>
      <c r="E12791" s="136">
        <f t="shared" si="600"/>
        <v>7</v>
      </c>
      <c r="F12791" s="137" t="s">
        <v>24</v>
      </c>
      <c r="G12791" s="128" t="str">
        <f>VLOOKUP(source[[#This Row],[lending_product_transform]],[3]Mapping!$B$4:$C$37,2,0)</f>
        <v>[Cake] - Cashloan</v>
      </c>
      <c r="H12791" s="128" t="str">
        <f>VLOOKUP(source[[#This Row],[lending_product_transform]],[3]Mapping!$B$3:$D$37,3,0)</f>
        <v>cashloan</v>
      </c>
      <c r="I12791" s="137">
        <v>3146690000</v>
      </c>
    </row>
    <row r="12792" spans="1:9" x14ac:dyDescent="0.2">
      <c r="A12792" s="134">
        <v>46060</v>
      </c>
      <c r="B12792" s="135">
        <f>YEAR(source[[#This Row],[report_date]])</f>
        <v>2026</v>
      </c>
      <c r="C12792" s="128">
        <f t="shared" si="599"/>
        <v>2</v>
      </c>
      <c r="D12792" s="136">
        <f t="shared" si="598"/>
        <v>6</v>
      </c>
      <c r="E12792" s="136">
        <f t="shared" si="600"/>
        <v>7</v>
      </c>
      <c r="F12792" s="137" t="s">
        <v>24</v>
      </c>
      <c r="G12792" s="128" t="str">
        <f>VLOOKUP(source[[#This Row],[lending_product_transform]],[3]Mapping!$B$4:$C$37,2,0)</f>
        <v>[Cake] - Cashloan</v>
      </c>
      <c r="H12792" s="128" t="str">
        <f>VLOOKUP(source[[#This Row],[lending_product_transform]],[3]Mapping!$B$3:$D$37,3,0)</f>
        <v>cashloan</v>
      </c>
      <c r="I12792" s="137">
        <v>385080000</v>
      </c>
    </row>
    <row r="12793" spans="1:9" x14ac:dyDescent="0.2">
      <c r="A12793" s="134">
        <v>46061</v>
      </c>
      <c r="B12793" s="135">
        <f>YEAR(source[[#This Row],[report_date]])</f>
        <v>2026</v>
      </c>
      <c r="C12793" s="128">
        <f t="shared" si="599"/>
        <v>2</v>
      </c>
      <c r="D12793" s="136">
        <f t="shared" si="598"/>
        <v>6</v>
      </c>
      <c r="E12793" s="136">
        <f t="shared" si="600"/>
        <v>8</v>
      </c>
      <c r="F12793" s="137" t="s">
        <v>24</v>
      </c>
      <c r="G12793" s="128" t="str">
        <f>VLOOKUP(source[[#This Row],[lending_product_transform]],[3]Mapping!$B$4:$C$37,2,0)</f>
        <v>[Cake] - Cashloan</v>
      </c>
      <c r="H12793" s="128" t="str">
        <f>VLOOKUP(source[[#This Row],[lending_product_transform]],[3]Mapping!$B$3:$D$37,3,0)</f>
        <v>cashloan</v>
      </c>
      <c r="I12793" s="137">
        <v>524250000</v>
      </c>
    </row>
    <row r="12794" spans="1:9" x14ac:dyDescent="0.2">
      <c r="A12794" s="134">
        <v>46061</v>
      </c>
      <c r="B12794" s="135">
        <f>YEAR(source[[#This Row],[report_date]])</f>
        <v>2026</v>
      </c>
      <c r="C12794" s="128">
        <f t="shared" si="599"/>
        <v>2</v>
      </c>
      <c r="D12794" s="136">
        <f t="shared" si="598"/>
        <v>6</v>
      </c>
      <c r="E12794" s="136">
        <f t="shared" si="600"/>
        <v>8</v>
      </c>
      <c r="F12794" s="137" t="s">
        <v>24</v>
      </c>
      <c r="G12794" s="128" t="str">
        <f>VLOOKUP(source[[#This Row],[lending_product_transform]],[3]Mapping!$B$4:$C$37,2,0)</f>
        <v>[Cake] - Cashloan</v>
      </c>
      <c r="H12794" s="128" t="str">
        <f>VLOOKUP(source[[#This Row],[lending_product_transform]],[3]Mapping!$B$3:$D$37,3,0)</f>
        <v>cashloan</v>
      </c>
      <c r="I12794" s="137">
        <v>476770827</v>
      </c>
    </row>
    <row r="12795" spans="1:9" x14ac:dyDescent="0.2">
      <c r="A12795" s="134">
        <v>46061</v>
      </c>
      <c r="B12795" s="135">
        <f>YEAR(source[[#This Row],[report_date]])</f>
        <v>2026</v>
      </c>
      <c r="C12795" s="128">
        <f t="shared" si="599"/>
        <v>2</v>
      </c>
      <c r="D12795" s="136">
        <f t="shared" si="598"/>
        <v>6</v>
      </c>
      <c r="E12795" s="136">
        <f t="shared" si="600"/>
        <v>8</v>
      </c>
      <c r="F12795" s="137" t="s">
        <v>24</v>
      </c>
      <c r="G12795" s="128" t="str">
        <f>VLOOKUP(source[[#This Row],[lending_product_transform]],[3]Mapping!$B$4:$C$37,2,0)</f>
        <v>[Cake] - Cashloan</v>
      </c>
      <c r="H12795" s="128" t="str">
        <f>VLOOKUP(source[[#This Row],[lending_product_transform]],[3]Mapping!$B$3:$D$37,3,0)</f>
        <v>cashloan</v>
      </c>
      <c r="I12795" s="137">
        <v>12137090000</v>
      </c>
    </row>
    <row r="12796" spans="1:9" x14ac:dyDescent="0.2">
      <c r="A12796" s="134">
        <v>46061</v>
      </c>
      <c r="B12796" s="135">
        <f>YEAR(source[[#This Row],[report_date]])</f>
        <v>2026</v>
      </c>
      <c r="C12796" s="128">
        <f t="shared" si="599"/>
        <v>2</v>
      </c>
      <c r="D12796" s="136">
        <f t="shared" si="598"/>
        <v>6</v>
      </c>
      <c r="E12796" s="136">
        <f t="shared" si="600"/>
        <v>8</v>
      </c>
      <c r="F12796" s="137" t="s">
        <v>24</v>
      </c>
      <c r="G12796" s="128" t="str">
        <f>VLOOKUP(source[[#This Row],[lending_product_transform]],[3]Mapping!$B$4:$C$37,2,0)</f>
        <v>[Cake] - Cashloan</v>
      </c>
      <c r="H12796" s="128" t="str">
        <f>VLOOKUP(source[[#This Row],[lending_product_transform]],[3]Mapping!$B$3:$D$37,3,0)</f>
        <v>cashloan</v>
      </c>
      <c r="I12796" s="137">
        <v>1670104358</v>
      </c>
    </row>
    <row r="12797" spans="1:9" x14ac:dyDescent="0.2">
      <c r="A12797" s="134">
        <v>46061</v>
      </c>
      <c r="B12797" s="135">
        <f>YEAR(source[[#This Row],[report_date]])</f>
        <v>2026</v>
      </c>
      <c r="C12797" s="128">
        <f t="shared" si="599"/>
        <v>2</v>
      </c>
      <c r="D12797" s="136">
        <f t="shared" si="598"/>
        <v>6</v>
      </c>
      <c r="E12797" s="136">
        <f t="shared" si="600"/>
        <v>8</v>
      </c>
      <c r="F12797" s="137" t="s">
        <v>24</v>
      </c>
      <c r="G12797" s="128" t="str">
        <f>VLOOKUP(source[[#This Row],[lending_product_transform]],[3]Mapping!$B$4:$C$37,2,0)</f>
        <v>[Cake] - Cashloan</v>
      </c>
      <c r="H12797" s="128" t="str">
        <f>VLOOKUP(source[[#This Row],[lending_product_transform]],[3]Mapping!$B$3:$D$37,3,0)</f>
        <v>cashloan</v>
      </c>
      <c r="I12797" s="137">
        <v>10942128000</v>
      </c>
    </row>
    <row r="12798" spans="1:9" x14ac:dyDescent="0.2">
      <c r="A12798" s="134">
        <v>46061</v>
      </c>
      <c r="B12798" s="135">
        <f>YEAR(source[[#This Row],[report_date]])</f>
        <v>2026</v>
      </c>
      <c r="C12798" s="128">
        <f t="shared" si="599"/>
        <v>2</v>
      </c>
      <c r="D12798" s="136">
        <f t="shared" si="598"/>
        <v>6</v>
      </c>
      <c r="E12798" s="136">
        <f t="shared" si="600"/>
        <v>8</v>
      </c>
      <c r="F12798" s="137" t="s">
        <v>24</v>
      </c>
      <c r="G12798" s="128" t="str">
        <f>VLOOKUP(source[[#This Row],[lending_product_transform]],[3]Mapping!$B$4:$C$37,2,0)</f>
        <v>[Cake] - Cashloan</v>
      </c>
      <c r="H12798" s="128" t="str">
        <f>VLOOKUP(source[[#This Row],[lending_product_transform]],[3]Mapping!$B$3:$D$37,3,0)</f>
        <v>cashloan</v>
      </c>
      <c r="I12798" s="137">
        <v>26052499</v>
      </c>
    </row>
    <row r="12799" spans="1:9" x14ac:dyDescent="0.2">
      <c r="A12799" s="134">
        <v>46061</v>
      </c>
      <c r="B12799" s="135">
        <f>YEAR(source[[#This Row],[report_date]])</f>
        <v>2026</v>
      </c>
      <c r="C12799" s="128">
        <f t="shared" si="599"/>
        <v>2</v>
      </c>
      <c r="D12799" s="136">
        <f t="shared" si="598"/>
        <v>6</v>
      </c>
      <c r="E12799" s="136">
        <f t="shared" si="600"/>
        <v>8</v>
      </c>
      <c r="F12799" s="137" t="s">
        <v>24</v>
      </c>
      <c r="G12799" s="128" t="str">
        <f>VLOOKUP(source[[#This Row],[lending_product_transform]],[3]Mapping!$B$4:$C$37,2,0)</f>
        <v>[Cake] - Cashloan</v>
      </c>
      <c r="H12799" s="128" t="str">
        <f>VLOOKUP(source[[#This Row],[lending_product_transform]],[3]Mapping!$B$3:$D$37,3,0)</f>
        <v>cashloan</v>
      </c>
      <c r="I12799" s="137">
        <v>0</v>
      </c>
    </row>
    <row r="12800" spans="1:9" x14ac:dyDescent="0.2">
      <c r="A12800" s="134">
        <v>46061</v>
      </c>
      <c r="B12800" s="135">
        <f>YEAR(source[[#This Row],[report_date]])</f>
        <v>2026</v>
      </c>
      <c r="C12800" s="128">
        <f t="shared" si="599"/>
        <v>2</v>
      </c>
      <c r="D12800" s="136">
        <f t="shared" si="598"/>
        <v>6</v>
      </c>
      <c r="E12800" s="136">
        <f t="shared" si="600"/>
        <v>8</v>
      </c>
      <c r="F12800" s="137" t="s">
        <v>24</v>
      </c>
      <c r="G12800" s="128" t="str">
        <f>VLOOKUP(source[[#This Row],[lending_product_transform]],[3]Mapping!$B$4:$C$37,2,0)</f>
        <v>[Cake] - Cashloan</v>
      </c>
      <c r="H12800" s="128" t="str">
        <f>VLOOKUP(source[[#This Row],[lending_product_transform]],[3]Mapping!$B$3:$D$37,3,0)</f>
        <v>cashloan</v>
      </c>
      <c r="I12800" s="137">
        <v>5382910000</v>
      </c>
    </row>
    <row r="12801" spans="1:9" x14ac:dyDescent="0.2">
      <c r="A12801" s="134">
        <v>46061</v>
      </c>
      <c r="B12801" s="135">
        <f>YEAR(source[[#This Row],[report_date]])</f>
        <v>2026</v>
      </c>
      <c r="C12801" s="128">
        <f t="shared" si="599"/>
        <v>2</v>
      </c>
      <c r="D12801" s="136">
        <f t="shared" si="598"/>
        <v>6</v>
      </c>
      <c r="E12801" s="136">
        <f t="shared" si="600"/>
        <v>8</v>
      </c>
      <c r="F12801" s="137" t="s">
        <v>24</v>
      </c>
      <c r="G12801" s="128" t="str">
        <f>VLOOKUP(source[[#This Row],[lending_product_transform]],[3]Mapping!$B$4:$C$37,2,0)</f>
        <v>[Cake] - Cashloan</v>
      </c>
      <c r="H12801" s="128" t="str">
        <f>VLOOKUP(source[[#This Row],[lending_product_transform]],[3]Mapping!$B$3:$D$37,3,0)</f>
        <v>cashloan</v>
      </c>
      <c r="I12801" s="137">
        <v>1057020000</v>
      </c>
    </row>
    <row r="12802" spans="1:9" x14ac:dyDescent="0.2">
      <c r="A12802" s="134">
        <v>46061</v>
      </c>
      <c r="B12802" s="135">
        <f>YEAR(source[[#This Row],[report_date]])</f>
        <v>2026</v>
      </c>
      <c r="C12802" s="128">
        <f t="shared" si="599"/>
        <v>2</v>
      </c>
      <c r="D12802" s="136">
        <f t="shared" si="598"/>
        <v>6</v>
      </c>
      <c r="E12802" s="136">
        <f t="shared" si="600"/>
        <v>8</v>
      </c>
      <c r="F12802" s="137" t="s">
        <v>24</v>
      </c>
      <c r="G12802" s="128" t="str">
        <f>VLOOKUP(source[[#This Row],[lending_product_transform]],[3]Mapping!$B$4:$C$37,2,0)</f>
        <v>[Cake] - Cashloan</v>
      </c>
      <c r="H12802" s="128" t="str">
        <f>VLOOKUP(source[[#This Row],[lending_product_transform]],[3]Mapping!$B$3:$D$37,3,0)</f>
        <v>cashloan</v>
      </c>
      <c r="I12802" s="137">
        <v>6988588</v>
      </c>
    </row>
    <row r="12803" spans="1:9" x14ac:dyDescent="0.2">
      <c r="A12803" s="134">
        <v>46061</v>
      </c>
      <c r="B12803" s="135">
        <f>YEAR(source[[#This Row],[report_date]])</f>
        <v>2026</v>
      </c>
      <c r="C12803" s="128">
        <f t="shared" si="599"/>
        <v>2</v>
      </c>
      <c r="D12803" s="136">
        <f t="shared" si="598"/>
        <v>6</v>
      </c>
      <c r="E12803" s="136">
        <f t="shared" si="600"/>
        <v>8</v>
      </c>
      <c r="F12803" s="137" t="s">
        <v>24</v>
      </c>
      <c r="G12803" s="128" t="str">
        <f>VLOOKUP(source[[#This Row],[lending_product_transform]],[3]Mapping!$B$4:$C$37,2,0)</f>
        <v>[Cake] - Cashloan</v>
      </c>
      <c r="H12803" s="128" t="str">
        <f>VLOOKUP(source[[#This Row],[lending_product_transform]],[3]Mapping!$B$3:$D$37,3,0)</f>
        <v>cashloan</v>
      </c>
      <c r="I12803" s="137">
        <v>2817674097</v>
      </c>
    </row>
    <row r="12804" spans="1:9" x14ac:dyDescent="0.2">
      <c r="A12804" s="134">
        <v>46061</v>
      </c>
      <c r="B12804" s="135">
        <f>YEAR(source[[#This Row],[report_date]])</f>
        <v>2026</v>
      </c>
      <c r="C12804" s="128">
        <f t="shared" si="599"/>
        <v>2</v>
      </c>
      <c r="D12804" s="136">
        <f t="shared" si="598"/>
        <v>6</v>
      </c>
      <c r="E12804" s="136">
        <f t="shared" si="600"/>
        <v>8</v>
      </c>
      <c r="F12804" s="137" t="s">
        <v>24</v>
      </c>
      <c r="G12804" s="128" t="str">
        <f>VLOOKUP(source[[#This Row],[lending_product_transform]],[3]Mapping!$B$4:$C$37,2,0)</f>
        <v>[Cake] - Cashloan</v>
      </c>
      <c r="H12804" s="128" t="str">
        <f>VLOOKUP(source[[#This Row],[lending_product_transform]],[3]Mapping!$B$3:$D$37,3,0)</f>
        <v>cashloan</v>
      </c>
      <c r="I12804" s="137">
        <v>0</v>
      </c>
    </row>
    <row r="12805" spans="1:9" x14ac:dyDescent="0.2">
      <c r="A12805" s="134">
        <v>46061</v>
      </c>
      <c r="B12805" s="135">
        <f>YEAR(source[[#This Row],[report_date]])</f>
        <v>2026</v>
      </c>
      <c r="C12805" s="128">
        <f t="shared" si="599"/>
        <v>2</v>
      </c>
      <c r="D12805" s="136">
        <f t="shared" si="598"/>
        <v>6</v>
      </c>
      <c r="E12805" s="136">
        <f t="shared" si="600"/>
        <v>8</v>
      </c>
      <c r="F12805" s="137" t="s">
        <v>24</v>
      </c>
      <c r="G12805" s="128" t="str">
        <f>VLOOKUP(source[[#This Row],[lending_product_transform]],[3]Mapping!$B$4:$C$37,2,0)</f>
        <v>[Cake] - Cashloan</v>
      </c>
      <c r="H12805" s="128" t="str">
        <f>VLOOKUP(source[[#This Row],[lending_product_transform]],[3]Mapping!$B$3:$D$37,3,0)</f>
        <v>cashloan</v>
      </c>
      <c r="I12805" s="137">
        <v>46500000</v>
      </c>
    </row>
    <row r="12806" spans="1:9" x14ac:dyDescent="0.2">
      <c r="A12806" s="134">
        <v>46061</v>
      </c>
      <c r="B12806" s="135">
        <f>YEAR(source[[#This Row],[report_date]])</f>
        <v>2026</v>
      </c>
      <c r="C12806" s="128">
        <f t="shared" si="599"/>
        <v>2</v>
      </c>
      <c r="D12806" s="136">
        <f t="shared" si="598"/>
        <v>6</v>
      </c>
      <c r="E12806" s="136">
        <f t="shared" si="600"/>
        <v>8</v>
      </c>
      <c r="F12806" s="137" t="s">
        <v>24</v>
      </c>
      <c r="G12806" s="128" t="str">
        <f>VLOOKUP(source[[#This Row],[lending_product_transform]],[3]Mapping!$B$4:$C$37,2,0)</f>
        <v>[Cake] - Cashloan</v>
      </c>
      <c r="H12806" s="128" t="str">
        <f>VLOOKUP(source[[#This Row],[lending_product_transform]],[3]Mapping!$B$3:$D$37,3,0)</f>
        <v>cashloan</v>
      </c>
      <c r="I12806" s="137">
        <v>0</v>
      </c>
    </row>
    <row r="12807" spans="1:9" x14ac:dyDescent="0.2">
      <c r="A12807" s="134">
        <v>46061</v>
      </c>
      <c r="B12807" s="135">
        <f>YEAR(source[[#This Row],[report_date]])</f>
        <v>2026</v>
      </c>
      <c r="C12807" s="128">
        <f t="shared" si="599"/>
        <v>2</v>
      </c>
      <c r="D12807" s="136">
        <f t="shared" si="598"/>
        <v>6</v>
      </c>
      <c r="E12807" s="136">
        <f t="shared" si="600"/>
        <v>8</v>
      </c>
      <c r="F12807" s="137" t="s">
        <v>24</v>
      </c>
      <c r="G12807" s="128" t="str">
        <f>VLOOKUP(source[[#This Row],[lending_product_transform]],[3]Mapping!$B$4:$C$37,2,0)</f>
        <v>[Cake] - Cashloan</v>
      </c>
      <c r="H12807" s="128" t="str">
        <f>VLOOKUP(source[[#This Row],[lending_product_transform]],[3]Mapping!$B$3:$D$37,3,0)</f>
        <v>cashloan</v>
      </c>
      <c r="I12807" s="137">
        <v>15212350000</v>
      </c>
    </row>
    <row r="12808" spans="1:9" x14ac:dyDescent="0.2">
      <c r="A12808" s="134">
        <v>46061</v>
      </c>
      <c r="B12808" s="135">
        <f>YEAR(source[[#This Row],[report_date]])</f>
        <v>2026</v>
      </c>
      <c r="C12808" s="128">
        <f t="shared" si="599"/>
        <v>2</v>
      </c>
      <c r="D12808" s="136">
        <f t="shared" si="598"/>
        <v>6</v>
      </c>
      <c r="E12808" s="136">
        <f t="shared" si="600"/>
        <v>8</v>
      </c>
      <c r="F12808" s="137" t="s">
        <v>24</v>
      </c>
      <c r="G12808" s="128" t="str">
        <f>VLOOKUP(source[[#This Row],[lending_product_transform]],[3]Mapping!$B$4:$C$37,2,0)</f>
        <v>[Cake] - Cashloan</v>
      </c>
      <c r="H12808" s="128" t="str">
        <f>VLOOKUP(source[[#This Row],[lending_product_transform]],[3]Mapping!$B$3:$D$37,3,0)</f>
        <v>cashloan</v>
      </c>
      <c r="I12808" s="137">
        <v>0</v>
      </c>
    </row>
    <row r="12809" spans="1:9" x14ac:dyDescent="0.2">
      <c r="A12809" s="134">
        <v>46061</v>
      </c>
      <c r="B12809" s="135">
        <f>YEAR(source[[#This Row],[report_date]])</f>
        <v>2026</v>
      </c>
      <c r="C12809" s="128">
        <f t="shared" si="599"/>
        <v>2</v>
      </c>
      <c r="D12809" s="136">
        <f t="shared" si="598"/>
        <v>6</v>
      </c>
      <c r="E12809" s="136">
        <f t="shared" si="600"/>
        <v>8</v>
      </c>
      <c r="F12809" s="137" t="s">
        <v>24</v>
      </c>
      <c r="G12809" s="128" t="str">
        <f>VLOOKUP(source[[#This Row],[lending_product_transform]],[3]Mapping!$B$4:$C$37,2,0)</f>
        <v>[Cake] - Cashloan</v>
      </c>
      <c r="H12809" s="128" t="str">
        <f>VLOOKUP(source[[#This Row],[lending_product_transform]],[3]Mapping!$B$3:$D$37,3,0)</f>
        <v>cashloan</v>
      </c>
      <c r="I12809" s="137">
        <v>0</v>
      </c>
    </row>
    <row r="12810" spans="1:9" x14ac:dyDescent="0.2">
      <c r="A12810" s="134">
        <v>46061</v>
      </c>
      <c r="B12810" s="135">
        <f>YEAR(source[[#This Row],[report_date]])</f>
        <v>2026</v>
      </c>
      <c r="C12810" s="128">
        <f t="shared" si="599"/>
        <v>2</v>
      </c>
      <c r="D12810" s="136">
        <f t="shared" si="598"/>
        <v>6</v>
      </c>
      <c r="E12810" s="136">
        <f t="shared" si="600"/>
        <v>8</v>
      </c>
      <c r="F12810" s="137" t="s">
        <v>24</v>
      </c>
      <c r="G12810" s="128" t="str">
        <f>VLOOKUP(source[[#This Row],[lending_product_transform]],[3]Mapping!$B$4:$C$37,2,0)</f>
        <v>[Cake] - Cashloan</v>
      </c>
      <c r="H12810" s="128" t="str">
        <f>VLOOKUP(source[[#This Row],[lending_product_transform]],[3]Mapping!$B$3:$D$37,3,0)</f>
        <v>cashloan</v>
      </c>
      <c r="I12810" s="137">
        <v>0</v>
      </c>
    </row>
    <row r="12811" spans="1:9" x14ac:dyDescent="0.2">
      <c r="A12811" s="134">
        <v>46061</v>
      </c>
      <c r="B12811" s="135">
        <f>YEAR(source[[#This Row],[report_date]])</f>
        <v>2026</v>
      </c>
      <c r="C12811" s="128">
        <f t="shared" si="599"/>
        <v>2</v>
      </c>
      <c r="D12811" s="136">
        <f t="shared" si="598"/>
        <v>6</v>
      </c>
      <c r="E12811" s="136">
        <f t="shared" si="600"/>
        <v>8</v>
      </c>
      <c r="F12811" s="137" t="s">
        <v>24</v>
      </c>
      <c r="G12811" s="128" t="str">
        <f>VLOOKUP(source[[#This Row],[lending_product_transform]],[3]Mapping!$B$4:$C$37,2,0)</f>
        <v>[Cake] - Cashloan</v>
      </c>
      <c r="H12811" s="128" t="str">
        <f>VLOOKUP(source[[#This Row],[lending_product_transform]],[3]Mapping!$B$3:$D$37,3,0)</f>
        <v>cashloan</v>
      </c>
      <c r="I12811" s="137">
        <v>32100000</v>
      </c>
    </row>
    <row r="12812" spans="1:9" x14ac:dyDescent="0.2">
      <c r="A12812" s="134">
        <v>46061</v>
      </c>
      <c r="B12812" s="135">
        <f>YEAR(source[[#This Row],[report_date]])</f>
        <v>2026</v>
      </c>
      <c r="C12812" s="128">
        <f t="shared" si="599"/>
        <v>2</v>
      </c>
      <c r="D12812" s="136">
        <f t="shared" si="598"/>
        <v>6</v>
      </c>
      <c r="E12812" s="136">
        <f t="shared" si="600"/>
        <v>8</v>
      </c>
      <c r="F12812" s="137" t="s">
        <v>24</v>
      </c>
      <c r="G12812" s="128" t="str">
        <f>VLOOKUP(source[[#This Row],[lending_product_transform]],[3]Mapping!$B$4:$C$37,2,0)</f>
        <v>[Cake] - Cashloan</v>
      </c>
      <c r="H12812" s="128" t="str">
        <f>VLOOKUP(source[[#This Row],[lending_product_transform]],[3]Mapping!$B$3:$D$37,3,0)</f>
        <v>cashloan</v>
      </c>
      <c r="I12812" s="137">
        <v>9469764000</v>
      </c>
    </row>
    <row r="12813" spans="1:9" x14ac:dyDescent="0.2">
      <c r="A12813" s="134">
        <v>46061</v>
      </c>
      <c r="B12813" s="135">
        <f>YEAR(source[[#This Row],[report_date]])</f>
        <v>2026</v>
      </c>
      <c r="C12813" s="128">
        <f t="shared" si="599"/>
        <v>2</v>
      </c>
      <c r="D12813" s="136">
        <f t="shared" si="598"/>
        <v>6</v>
      </c>
      <c r="E12813" s="136">
        <f t="shared" si="600"/>
        <v>8</v>
      </c>
      <c r="F12813" s="137" t="s">
        <v>24</v>
      </c>
      <c r="G12813" s="128" t="str">
        <f>VLOOKUP(source[[#This Row],[lending_product_transform]],[3]Mapping!$B$4:$C$37,2,0)</f>
        <v>[Cake] - Cashloan</v>
      </c>
      <c r="H12813" s="128" t="str">
        <f>VLOOKUP(source[[#This Row],[lending_product_transform]],[3]Mapping!$B$3:$D$37,3,0)</f>
        <v>cashloan</v>
      </c>
      <c r="I12813" s="137">
        <v>245910684</v>
      </c>
    </row>
    <row r="12814" spans="1:9" x14ac:dyDescent="0.2">
      <c r="A12814" s="134">
        <v>46061</v>
      </c>
      <c r="B12814" s="135">
        <f>YEAR(source[[#This Row],[report_date]])</f>
        <v>2026</v>
      </c>
      <c r="C12814" s="128">
        <f t="shared" si="599"/>
        <v>2</v>
      </c>
      <c r="D12814" s="136">
        <f t="shared" si="598"/>
        <v>6</v>
      </c>
      <c r="E12814" s="136">
        <f t="shared" si="600"/>
        <v>8</v>
      </c>
      <c r="F12814" s="137" t="s">
        <v>24</v>
      </c>
      <c r="G12814" s="128" t="str">
        <f>VLOOKUP(source[[#This Row],[lending_product_transform]],[3]Mapping!$B$4:$C$37,2,0)</f>
        <v>[Cake] - Cashloan</v>
      </c>
      <c r="H12814" s="128" t="str">
        <f>VLOOKUP(source[[#This Row],[lending_product_transform]],[3]Mapping!$B$3:$D$37,3,0)</f>
        <v>cashloan</v>
      </c>
      <c r="I12814" s="137">
        <v>21000000</v>
      </c>
    </row>
    <row r="12815" spans="1:9" x14ac:dyDescent="0.2">
      <c r="A12815" s="134">
        <v>46061</v>
      </c>
      <c r="B12815" s="135">
        <f>YEAR(source[[#This Row],[report_date]])</f>
        <v>2026</v>
      </c>
      <c r="C12815" s="128">
        <f t="shared" si="599"/>
        <v>2</v>
      </c>
      <c r="D12815" s="136">
        <f t="shared" si="598"/>
        <v>6</v>
      </c>
      <c r="E12815" s="136">
        <f t="shared" si="600"/>
        <v>8</v>
      </c>
      <c r="F12815" s="137" t="s">
        <v>24</v>
      </c>
      <c r="G12815" s="128" t="str">
        <f>VLOOKUP(source[[#This Row],[lending_product_transform]],[3]Mapping!$B$4:$C$37,2,0)</f>
        <v>[Cake] - Cashloan</v>
      </c>
      <c r="H12815" s="128" t="str">
        <f>VLOOKUP(source[[#This Row],[lending_product_transform]],[3]Mapping!$B$3:$D$37,3,0)</f>
        <v>cashloan</v>
      </c>
      <c r="I12815" s="137">
        <v>35000000</v>
      </c>
    </row>
    <row r="12816" spans="1:9" x14ac:dyDescent="0.2">
      <c r="A12816" s="134">
        <v>46061</v>
      </c>
      <c r="B12816" s="135">
        <f>YEAR(source[[#This Row],[report_date]])</f>
        <v>2026</v>
      </c>
      <c r="C12816" s="128">
        <f t="shared" si="599"/>
        <v>2</v>
      </c>
      <c r="D12816" s="136">
        <f t="shared" si="598"/>
        <v>6</v>
      </c>
      <c r="E12816" s="136">
        <f t="shared" si="600"/>
        <v>8</v>
      </c>
      <c r="F12816" s="137" t="s">
        <v>24</v>
      </c>
      <c r="G12816" s="128" t="str">
        <f>VLOOKUP(source[[#This Row],[lending_product_transform]],[3]Mapping!$B$4:$C$37,2,0)</f>
        <v>[Cake] - Cashloan</v>
      </c>
      <c r="H12816" s="128" t="str">
        <f>VLOOKUP(source[[#This Row],[lending_product_transform]],[3]Mapping!$B$3:$D$37,3,0)</f>
        <v>cashloan</v>
      </c>
      <c r="I12816" s="137">
        <v>744770000</v>
      </c>
    </row>
    <row r="12817" spans="1:9" x14ac:dyDescent="0.2">
      <c r="A12817" s="134">
        <v>46061</v>
      </c>
      <c r="B12817" s="135">
        <f>YEAR(source[[#This Row],[report_date]])</f>
        <v>2026</v>
      </c>
      <c r="C12817" s="128">
        <f t="shared" si="599"/>
        <v>2</v>
      </c>
      <c r="D12817" s="136">
        <f t="shared" ref="D12817:D12880" si="601">WEEKNUM(A12817,2)</f>
        <v>6</v>
      </c>
      <c r="E12817" s="136">
        <f t="shared" si="600"/>
        <v>8</v>
      </c>
      <c r="F12817" s="137" t="s">
        <v>24</v>
      </c>
      <c r="G12817" s="128" t="str">
        <f>VLOOKUP(source[[#This Row],[lending_product_transform]],[3]Mapping!$B$4:$C$37,2,0)</f>
        <v>[Cake] - Cashloan</v>
      </c>
      <c r="H12817" s="128" t="str">
        <f>VLOOKUP(source[[#This Row],[lending_product_transform]],[3]Mapping!$B$3:$D$37,3,0)</f>
        <v>cashloan</v>
      </c>
      <c r="I12817" s="137">
        <v>252396000</v>
      </c>
    </row>
    <row r="12818" spans="1:9" x14ac:dyDescent="0.2">
      <c r="A12818" s="134">
        <v>46061</v>
      </c>
      <c r="B12818" s="135">
        <f>YEAR(source[[#This Row],[report_date]])</f>
        <v>2026</v>
      </c>
      <c r="C12818" s="128">
        <f t="shared" si="599"/>
        <v>2</v>
      </c>
      <c r="D12818" s="136">
        <f t="shared" si="601"/>
        <v>6</v>
      </c>
      <c r="E12818" s="136">
        <f t="shared" si="600"/>
        <v>8</v>
      </c>
      <c r="F12818" s="137" t="s">
        <v>24</v>
      </c>
      <c r="G12818" s="128" t="str">
        <f>VLOOKUP(source[[#This Row],[lending_product_transform]],[3]Mapping!$B$4:$C$37,2,0)</f>
        <v>[Cake] - Cashloan</v>
      </c>
      <c r="H12818" s="128" t="str">
        <f>VLOOKUP(source[[#This Row],[lending_product_transform]],[3]Mapping!$B$3:$D$37,3,0)</f>
        <v>cashloan</v>
      </c>
      <c r="I12818" s="137">
        <v>432783363</v>
      </c>
    </row>
    <row r="12819" spans="1:9" x14ac:dyDescent="0.2">
      <c r="A12819" s="134">
        <v>46061</v>
      </c>
      <c r="B12819" s="135">
        <f>YEAR(source[[#This Row],[report_date]])</f>
        <v>2026</v>
      </c>
      <c r="C12819" s="128">
        <f t="shared" si="599"/>
        <v>2</v>
      </c>
      <c r="D12819" s="136">
        <f t="shared" si="601"/>
        <v>6</v>
      </c>
      <c r="E12819" s="136">
        <f t="shared" si="600"/>
        <v>8</v>
      </c>
      <c r="F12819" s="137" t="s">
        <v>24</v>
      </c>
      <c r="G12819" s="128" t="str">
        <f>VLOOKUP(source[[#This Row],[lending_product_transform]],[3]Mapping!$B$4:$C$37,2,0)</f>
        <v>[Cake] - Cashloan</v>
      </c>
      <c r="H12819" s="128" t="str">
        <f>VLOOKUP(source[[#This Row],[lending_product_transform]],[3]Mapping!$B$3:$D$37,3,0)</f>
        <v>cashloan</v>
      </c>
      <c r="I12819" s="137">
        <v>3280360000</v>
      </c>
    </row>
    <row r="12820" spans="1:9" x14ac:dyDescent="0.2">
      <c r="A12820" s="134">
        <v>46061</v>
      </c>
      <c r="B12820" s="135">
        <f>YEAR(source[[#This Row],[report_date]])</f>
        <v>2026</v>
      </c>
      <c r="C12820" s="128">
        <f t="shared" si="599"/>
        <v>2</v>
      </c>
      <c r="D12820" s="136">
        <f t="shared" si="601"/>
        <v>6</v>
      </c>
      <c r="E12820" s="136">
        <f t="shared" si="600"/>
        <v>8</v>
      </c>
      <c r="F12820" s="137" t="s">
        <v>24</v>
      </c>
      <c r="G12820" s="128" t="str">
        <f>VLOOKUP(source[[#This Row],[lending_product_transform]],[3]Mapping!$B$4:$C$37,2,0)</f>
        <v>[Cake] - Cashloan</v>
      </c>
      <c r="H12820" s="128" t="str">
        <f>VLOOKUP(source[[#This Row],[lending_product_transform]],[3]Mapping!$B$3:$D$37,3,0)</f>
        <v>cashloan</v>
      </c>
      <c r="I12820" s="137">
        <v>370440000</v>
      </c>
    </row>
    <row r="12821" spans="1:9" x14ac:dyDescent="0.2">
      <c r="A12821" s="134">
        <v>46062</v>
      </c>
      <c r="B12821" s="135">
        <f>YEAR(source[[#This Row],[report_date]])</f>
        <v>2026</v>
      </c>
      <c r="C12821" s="128">
        <f t="shared" si="599"/>
        <v>2</v>
      </c>
      <c r="D12821" s="136">
        <f t="shared" si="601"/>
        <v>7</v>
      </c>
      <c r="E12821" s="136">
        <f t="shared" si="600"/>
        <v>9</v>
      </c>
      <c r="F12821" s="137" t="s">
        <v>24</v>
      </c>
      <c r="G12821" s="128" t="str">
        <f>VLOOKUP(source[[#This Row],[lending_product_transform]],[3]Mapping!$B$4:$C$37,2,0)</f>
        <v>[Cake] - Cashloan</v>
      </c>
      <c r="H12821" s="128" t="str">
        <f>VLOOKUP(source[[#This Row],[lending_product_transform]],[3]Mapping!$B$3:$D$37,3,0)</f>
        <v>cashloan</v>
      </c>
      <c r="I12821" s="137">
        <v>777350000</v>
      </c>
    </row>
    <row r="12822" spans="1:9" x14ac:dyDescent="0.2">
      <c r="A12822" s="134">
        <v>46062</v>
      </c>
      <c r="B12822" s="135">
        <f>YEAR(source[[#This Row],[report_date]])</f>
        <v>2026</v>
      </c>
      <c r="C12822" s="128">
        <f t="shared" si="599"/>
        <v>2</v>
      </c>
      <c r="D12822" s="136">
        <f t="shared" si="601"/>
        <v>7</v>
      </c>
      <c r="E12822" s="136">
        <f t="shared" si="600"/>
        <v>9</v>
      </c>
      <c r="F12822" s="137" t="s">
        <v>24</v>
      </c>
      <c r="G12822" s="128" t="str">
        <f>VLOOKUP(source[[#This Row],[lending_product_transform]],[3]Mapping!$B$4:$C$37,2,0)</f>
        <v>[Cake] - Cashloan</v>
      </c>
      <c r="H12822" s="128" t="str">
        <f>VLOOKUP(source[[#This Row],[lending_product_transform]],[3]Mapping!$B$3:$D$37,3,0)</f>
        <v>cashloan</v>
      </c>
      <c r="I12822" s="137">
        <v>430705140</v>
      </c>
    </row>
    <row r="12823" spans="1:9" x14ac:dyDescent="0.2">
      <c r="A12823" s="134">
        <v>46062</v>
      </c>
      <c r="B12823" s="135">
        <f>YEAR(source[[#This Row],[report_date]])</f>
        <v>2026</v>
      </c>
      <c r="C12823" s="128">
        <f t="shared" si="599"/>
        <v>2</v>
      </c>
      <c r="D12823" s="136">
        <f t="shared" si="601"/>
        <v>7</v>
      </c>
      <c r="E12823" s="136">
        <f t="shared" si="600"/>
        <v>9</v>
      </c>
      <c r="F12823" s="137" t="s">
        <v>24</v>
      </c>
      <c r="G12823" s="128" t="str">
        <f>VLOOKUP(source[[#This Row],[lending_product_transform]],[3]Mapping!$B$4:$C$37,2,0)</f>
        <v>[Cake] - Cashloan</v>
      </c>
      <c r="H12823" s="128" t="str">
        <f>VLOOKUP(source[[#This Row],[lending_product_transform]],[3]Mapping!$B$3:$D$37,3,0)</f>
        <v>cashloan</v>
      </c>
      <c r="I12823" s="137">
        <v>16102800000</v>
      </c>
    </row>
    <row r="12824" spans="1:9" x14ac:dyDescent="0.2">
      <c r="A12824" s="134">
        <v>46062</v>
      </c>
      <c r="B12824" s="135">
        <f>YEAR(source[[#This Row],[report_date]])</f>
        <v>2026</v>
      </c>
      <c r="C12824" s="128">
        <f t="shared" si="599"/>
        <v>2</v>
      </c>
      <c r="D12824" s="136">
        <f t="shared" si="601"/>
        <v>7</v>
      </c>
      <c r="E12824" s="136">
        <f t="shared" si="600"/>
        <v>9</v>
      </c>
      <c r="F12824" s="137" t="s">
        <v>24</v>
      </c>
      <c r="G12824" s="128" t="str">
        <f>VLOOKUP(source[[#This Row],[lending_product_transform]],[3]Mapping!$B$4:$C$37,2,0)</f>
        <v>[Cake] - Cashloan</v>
      </c>
      <c r="H12824" s="128" t="str">
        <f>VLOOKUP(source[[#This Row],[lending_product_transform]],[3]Mapping!$B$3:$D$37,3,0)</f>
        <v>cashloan</v>
      </c>
      <c r="I12824" s="137">
        <v>2307332000</v>
      </c>
    </row>
    <row r="12825" spans="1:9" x14ac:dyDescent="0.2">
      <c r="A12825" s="134">
        <v>46062</v>
      </c>
      <c r="B12825" s="135">
        <f>YEAR(source[[#This Row],[report_date]])</f>
        <v>2026</v>
      </c>
      <c r="C12825" s="128">
        <f t="shared" si="599"/>
        <v>2</v>
      </c>
      <c r="D12825" s="136">
        <f t="shared" si="601"/>
        <v>7</v>
      </c>
      <c r="E12825" s="136">
        <f t="shared" si="600"/>
        <v>9</v>
      </c>
      <c r="F12825" s="137" t="s">
        <v>24</v>
      </c>
      <c r="G12825" s="128" t="str">
        <f>VLOOKUP(source[[#This Row],[lending_product_transform]],[3]Mapping!$B$4:$C$37,2,0)</f>
        <v>[Cake] - Cashloan</v>
      </c>
      <c r="H12825" s="128" t="str">
        <f>VLOOKUP(source[[#This Row],[lending_product_transform]],[3]Mapping!$B$3:$D$37,3,0)</f>
        <v>cashloan</v>
      </c>
      <c r="I12825" s="137">
        <v>13561560000</v>
      </c>
    </row>
    <row r="12826" spans="1:9" x14ac:dyDescent="0.2">
      <c r="A12826" s="134">
        <v>46062</v>
      </c>
      <c r="B12826" s="135">
        <f>YEAR(source[[#This Row],[report_date]])</f>
        <v>2026</v>
      </c>
      <c r="C12826" s="128">
        <f t="shared" si="599"/>
        <v>2</v>
      </c>
      <c r="D12826" s="136">
        <f t="shared" si="601"/>
        <v>7</v>
      </c>
      <c r="E12826" s="136">
        <f t="shared" si="600"/>
        <v>9</v>
      </c>
      <c r="F12826" s="137" t="s">
        <v>24</v>
      </c>
      <c r="G12826" s="128" t="str">
        <f>VLOOKUP(source[[#This Row],[lending_product_transform]],[3]Mapping!$B$4:$C$37,2,0)</f>
        <v>[Cake] - Cashloan</v>
      </c>
      <c r="H12826" s="128" t="str">
        <f>VLOOKUP(source[[#This Row],[lending_product_transform]],[3]Mapping!$B$3:$D$37,3,0)</f>
        <v>cashloan</v>
      </c>
      <c r="I12826" s="137">
        <v>13958264</v>
      </c>
    </row>
    <row r="12827" spans="1:9" x14ac:dyDescent="0.2">
      <c r="A12827" s="134">
        <v>46062</v>
      </c>
      <c r="B12827" s="135">
        <f>YEAR(source[[#This Row],[report_date]])</f>
        <v>2026</v>
      </c>
      <c r="C12827" s="128">
        <f t="shared" si="599"/>
        <v>2</v>
      </c>
      <c r="D12827" s="136">
        <f t="shared" si="601"/>
        <v>7</v>
      </c>
      <c r="E12827" s="136">
        <f t="shared" si="600"/>
        <v>9</v>
      </c>
      <c r="F12827" s="137" t="s">
        <v>24</v>
      </c>
      <c r="G12827" s="128" t="str">
        <f>VLOOKUP(source[[#This Row],[lending_product_transform]],[3]Mapping!$B$4:$C$37,2,0)</f>
        <v>[Cake] - Cashloan</v>
      </c>
      <c r="H12827" s="128" t="str">
        <f>VLOOKUP(source[[#This Row],[lending_product_transform]],[3]Mapping!$B$3:$D$37,3,0)</f>
        <v>cashloan</v>
      </c>
      <c r="I12827" s="137">
        <v>0</v>
      </c>
    </row>
    <row r="12828" spans="1:9" x14ac:dyDescent="0.2">
      <c r="A12828" s="134">
        <v>46062</v>
      </c>
      <c r="B12828" s="135">
        <f>YEAR(source[[#This Row],[report_date]])</f>
        <v>2026</v>
      </c>
      <c r="C12828" s="128">
        <f t="shared" si="599"/>
        <v>2</v>
      </c>
      <c r="D12828" s="136">
        <f t="shared" si="601"/>
        <v>7</v>
      </c>
      <c r="E12828" s="136">
        <f t="shared" si="600"/>
        <v>9</v>
      </c>
      <c r="F12828" s="137" t="s">
        <v>24</v>
      </c>
      <c r="G12828" s="128" t="str">
        <f>VLOOKUP(source[[#This Row],[lending_product_transform]],[3]Mapping!$B$4:$C$37,2,0)</f>
        <v>[Cake] - Cashloan</v>
      </c>
      <c r="H12828" s="128" t="str">
        <f>VLOOKUP(source[[#This Row],[lending_product_transform]],[3]Mapping!$B$3:$D$37,3,0)</f>
        <v>cashloan</v>
      </c>
      <c r="I12828" s="137">
        <v>5687630000</v>
      </c>
    </row>
    <row r="12829" spans="1:9" x14ac:dyDescent="0.2">
      <c r="A12829" s="134">
        <v>46062</v>
      </c>
      <c r="B12829" s="135">
        <f>YEAR(source[[#This Row],[report_date]])</f>
        <v>2026</v>
      </c>
      <c r="C12829" s="128">
        <f t="shared" si="599"/>
        <v>2</v>
      </c>
      <c r="D12829" s="136">
        <f t="shared" si="601"/>
        <v>7</v>
      </c>
      <c r="E12829" s="136">
        <f t="shared" si="600"/>
        <v>9</v>
      </c>
      <c r="F12829" s="137" t="s">
        <v>24</v>
      </c>
      <c r="G12829" s="128" t="str">
        <f>VLOOKUP(source[[#This Row],[lending_product_transform]],[3]Mapping!$B$4:$C$37,2,0)</f>
        <v>[Cake] - Cashloan</v>
      </c>
      <c r="H12829" s="128" t="str">
        <f>VLOOKUP(source[[#This Row],[lending_product_transform]],[3]Mapping!$B$3:$D$37,3,0)</f>
        <v>cashloan</v>
      </c>
      <c r="I12829" s="137">
        <v>1323600000</v>
      </c>
    </row>
    <row r="12830" spans="1:9" x14ac:dyDescent="0.2">
      <c r="A12830" s="134">
        <v>46062</v>
      </c>
      <c r="B12830" s="135">
        <f>YEAR(source[[#This Row],[report_date]])</f>
        <v>2026</v>
      </c>
      <c r="C12830" s="128">
        <f t="shared" si="599"/>
        <v>2</v>
      </c>
      <c r="D12830" s="136">
        <f t="shared" si="601"/>
        <v>7</v>
      </c>
      <c r="E12830" s="136">
        <f t="shared" si="600"/>
        <v>9</v>
      </c>
      <c r="F12830" s="137" t="s">
        <v>24</v>
      </c>
      <c r="G12830" s="128" t="str">
        <f>VLOOKUP(source[[#This Row],[lending_product_transform]],[3]Mapping!$B$4:$C$37,2,0)</f>
        <v>[Cake] - Cashloan</v>
      </c>
      <c r="H12830" s="128" t="str">
        <f>VLOOKUP(source[[#This Row],[lending_product_transform]],[3]Mapping!$B$3:$D$37,3,0)</f>
        <v>cashloan</v>
      </c>
      <c r="I12830" s="137">
        <v>23825640</v>
      </c>
    </row>
    <row r="12831" spans="1:9" x14ac:dyDescent="0.2">
      <c r="A12831" s="134">
        <v>46062</v>
      </c>
      <c r="B12831" s="135">
        <f>YEAR(source[[#This Row],[report_date]])</f>
        <v>2026</v>
      </c>
      <c r="C12831" s="128">
        <f t="shared" si="599"/>
        <v>2</v>
      </c>
      <c r="D12831" s="136">
        <f t="shared" si="601"/>
        <v>7</v>
      </c>
      <c r="E12831" s="136">
        <f t="shared" si="600"/>
        <v>9</v>
      </c>
      <c r="F12831" s="137" t="s">
        <v>24</v>
      </c>
      <c r="G12831" s="128" t="str">
        <f>VLOOKUP(source[[#This Row],[lending_product_transform]],[3]Mapping!$B$4:$C$37,2,0)</f>
        <v>[Cake] - Cashloan</v>
      </c>
      <c r="H12831" s="128" t="str">
        <f>VLOOKUP(source[[#This Row],[lending_product_transform]],[3]Mapping!$B$3:$D$37,3,0)</f>
        <v>cashloan</v>
      </c>
      <c r="I12831" s="137">
        <v>2219111867</v>
      </c>
    </row>
    <row r="12832" spans="1:9" x14ac:dyDescent="0.2">
      <c r="A12832" s="134">
        <v>46062</v>
      </c>
      <c r="B12832" s="135">
        <f>YEAR(source[[#This Row],[report_date]])</f>
        <v>2026</v>
      </c>
      <c r="C12832" s="128">
        <f t="shared" si="599"/>
        <v>2</v>
      </c>
      <c r="D12832" s="136">
        <f t="shared" si="601"/>
        <v>7</v>
      </c>
      <c r="E12832" s="136">
        <f t="shared" si="600"/>
        <v>9</v>
      </c>
      <c r="F12832" s="137" t="s">
        <v>24</v>
      </c>
      <c r="G12832" s="128" t="str">
        <f>VLOOKUP(source[[#This Row],[lending_product_transform]],[3]Mapping!$B$4:$C$37,2,0)</f>
        <v>[Cake] - Cashloan</v>
      </c>
      <c r="H12832" s="128" t="str">
        <f>VLOOKUP(source[[#This Row],[lending_product_transform]],[3]Mapping!$B$3:$D$37,3,0)</f>
        <v>cashloan</v>
      </c>
      <c r="I12832" s="137">
        <v>0</v>
      </c>
    </row>
    <row r="12833" spans="1:9" x14ac:dyDescent="0.2">
      <c r="A12833" s="134">
        <v>46062</v>
      </c>
      <c r="B12833" s="135">
        <f>YEAR(source[[#This Row],[report_date]])</f>
        <v>2026</v>
      </c>
      <c r="C12833" s="128">
        <f t="shared" si="599"/>
        <v>2</v>
      </c>
      <c r="D12833" s="136">
        <f t="shared" si="601"/>
        <v>7</v>
      </c>
      <c r="E12833" s="136">
        <f t="shared" si="600"/>
        <v>9</v>
      </c>
      <c r="F12833" s="137" t="s">
        <v>24</v>
      </c>
      <c r="G12833" s="128" t="str">
        <f>VLOOKUP(source[[#This Row],[lending_product_transform]],[3]Mapping!$B$4:$C$37,2,0)</f>
        <v>[Cake] - Cashloan</v>
      </c>
      <c r="H12833" s="128" t="str">
        <f>VLOOKUP(source[[#This Row],[lending_product_transform]],[3]Mapping!$B$3:$D$37,3,0)</f>
        <v>cashloan</v>
      </c>
      <c r="I12833" s="137">
        <v>150500000</v>
      </c>
    </row>
    <row r="12834" spans="1:9" x14ac:dyDescent="0.2">
      <c r="A12834" s="134">
        <v>46062</v>
      </c>
      <c r="B12834" s="135">
        <f>YEAR(source[[#This Row],[report_date]])</f>
        <v>2026</v>
      </c>
      <c r="C12834" s="128">
        <f t="shared" si="599"/>
        <v>2</v>
      </c>
      <c r="D12834" s="136">
        <f t="shared" si="601"/>
        <v>7</v>
      </c>
      <c r="E12834" s="136">
        <f t="shared" si="600"/>
        <v>9</v>
      </c>
      <c r="F12834" s="137" t="s">
        <v>24</v>
      </c>
      <c r="G12834" s="128" t="str">
        <f>VLOOKUP(source[[#This Row],[lending_product_transform]],[3]Mapping!$B$4:$C$37,2,0)</f>
        <v>[Cake] - Cashloan</v>
      </c>
      <c r="H12834" s="128" t="str">
        <f>VLOOKUP(source[[#This Row],[lending_product_transform]],[3]Mapping!$B$3:$D$37,3,0)</f>
        <v>cashloan</v>
      </c>
      <c r="I12834" s="137">
        <v>0</v>
      </c>
    </row>
    <row r="12835" spans="1:9" x14ac:dyDescent="0.2">
      <c r="A12835" s="134">
        <v>46062</v>
      </c>
      <c r="B12835" s="135">
        <f>YEAR(source[[#This Row],[report_date]])</f>
        <v>2026</v>
      </c>
      <c r="C12835" s="128">
        <f t="shared" si="599"/>
        <v>2</v>
      </c>
      <c r="D12835" s="136">
        <f t="shared" si="601"/>
        <v>7</v>
      </c>
      <c r="E12835" s="136">
        <f t="shared" si="600"/>
        <v>9</v>
      </c>
      <c r="F12835" s="137" t="s">
        <v>24</v>
      </c>
      <c r="G12835" s="128" t="str">
        <f>VLOOKUP(source[[#This Row],[lending_product_transform]],[3]Mapping!$B$4:$C$37,2,0)</f>
        <v>[Cake] - Cashloan</v>
      </c>
      <c r="H12835" s="128" t="str">
        <f>VLOOKUP(source[[#This Row],[lending_product_transform]],[3]Mapping!$B$3:$D$37,3,0)</f>
        <v>cashloan</v>
      </c>
      <c r="I12835" s="137">
        <v>20585370000</v>
      </c>
    </row>
    <row r="12836" spans="1:9" x14ac:dyDescent="0.2">
      <c r="A12836" s="134">
        <v>46062</v>
      </c>
      <c r="B12836" s="135">
        <f>YEAR(source[[#This Row],[report_date]])</f>
        <v>2026</v>
      </c>
      <c r="C12836" s="128">
        <f t="shared" si="599"/>
        <v>2</v>
      </c>
      <c r="D12836" s="136">
        <f t="shared" si="601"/>
        <v>7</v>
      </c>
      <c r="E12836" s="136">
        <f t="shared" si="600"/>
        <v>9</v>
      </c>
      <c r="F12836" s="137" t="s">
        <v>24</v>
      </c>
      <c r="G12836" s="128" t="str">
        <f>VLOOKUP(source[[#This Row],[lending_product_transform]],[3]Mapping!$B$4:$C$37,2,0)</f>
        <v>[Cake] - Cashloan</v>
      </c>
      <c r="H12836" s="128" t="str">
        <f>VLOOKUP(source[[#This Row],[lending_product_transform]],[3]Mapping!$B$3:$D$37,3,0)</f>
        <v>cashloan</v>
      </c>
      <c r="I12836" s="137">
        <v>0</v>
      </c>
    </row>
    <row r="12837" spans="1:9" x14ac:dyDescent="0.2">
      <c r="A12837" s="134">
        <v>46062</v>
      </c>
      <c r="B12837" s="135">
        <f>YEAR(source[[#This Row],[report_date]])</f>
        <v>2026</v>
      </c>
      <c r="C12837" s="128">
        <f t="shared" si="599"/>
        <v>2</v>
      </c>
      <c r="D12837" s="136">
        <f t="shared" si="601"/>
        <v>7</v>
      </c>
      <c r="E12837" s="136">
        <f t="shared" si="600"/>
        <v>9</v>
      </c>
      <c r="F12837" s="137" t="s">
        <v>24</v>
      </c>
      <c r="G12837" s="128" t="str">
        <f>VLOOKUP(source[[#This Row],[lending_product_transform]],[3]Mapping!$B$4:$C$37,2,0)</f>
        <v>[Cake] - Cashloan</v>
      </c>
      <c r="H12837" s="128" t="str">
        <f>VLOOKUP(source[[#This Row],[lending_product_transform]],[3]Mapping!$B$3:$D$37,3,0)</f>
        <v>cashloan</v>
      </c>
      <c r="I12837" s="137">
        <v>0</v>
      </c>
    </row>
    <row r="12838" spans="1:9" x14ac:dyDescent="0.2">
      <c r="A12838" s="134">
        <v>46062</v>
      </c>
      <c r="B12838" s="135">
        <f>YEAR(source[[#This Row],[report_date]])</f>
        <v>2026</v>
      </c>
      <c r="C12838" s="128">
        <f t="shared" si="599"/>
        <v>2</v>
      </c>
      <c r="D12838" s="136">
        <f t="shared" si="601"/>
        <v>7</v>
      </c>
      <c r="E12838" s="136">
        <f t="shared" si="600"/>
        <v>9</v>
      </c>
      <c r="F12838" s="137" t="s">
        <v>24</v>
      </c>
      <c r="G12838" s="128" t="str">
        <f>VLOOKUP(source[[#This Row],[lending_product_transform]],[3]Mapping!$B$4:$C$37,2,0)</f>
        <v>[Cake] - Cashloan</v>
      </c>
      <c r="H12838" s="128" t="str">
        <f>VLOOKUP(source[[#This Row],[lending_product_transform]],[3]Mapping!$B$3:$D$37,3,0)</f>
        <v>cashloan</v>
      </c>
      <c r="I12838" s="137">
        <v>0</v>
      </c>
    </row>
    <row r="12839" spans="1:9" x14ac:dyDescent="0.2">
      <c r="A12839" s="134">
        <v>46062</v>
      </c>
      <c r="B12839" s="135">
        <f>YEAR(source[[#This Row],[report_date]])</f>
        <v>2026</v>
      </c>
      <c r="C12839" s="128">
        <f t="shared" si="599"/>
        <v>2</v>
      </c>
      <c r="D12839" s="136">
        <f t="shared" si="601"/>
        <v>7</v>
      </c>
      <c r="E12839" s="136">
        <f t="shared" si="600"/>
        <v>9</v>
      </c>
      <c r="F12839" s="137" t="s">
        <v>24</v>
      </c>
      <c r="G12839" s="128" t="str">
        <f>VLOOKUP(source[[#This Row],[lending_product_transform]],[3]Mapping!$B$4:$C$37,2,0)</f>
        <v>[Cake] - Cashloan</v>
      </c>
      <c r="H12839" s="128" t="str">
        <f>VLOOKUP(source[[#This Row],[lending_product_transform]],[3]Mapping!$B$3:$D$37,3,0)</f>
        <v>cashloan</v>
      </c>
      <c r="I12839" s="137">
        <v>10000000</v>
      </c>
    </row>
    <row r="12840" spans="1:9" x14ac:dyDescent="0.2">
      <c r="A12840" s="134">
        <v>46062</v>
      </c>
      <c r="B12840" s="135">
        <f>YEAR(source[[#This Row],[report_date]])</f>
        <v>2026</v>
      </c>
      <c r="C12840" s="128">
        <f t="shared" si="599"/>
        <v>2</v>
      </c>
      <c r="D12840" s="136">
        <f t="shared" si="601"/>
        <v>7</v>
      </c>
      <c r="E12840" s="136">
        <f t="shared" si="600"/>
        <v>9</v>
      </c>
      <c r="F12840" s="137" t="s">
        <v>24</v>
      </c>
      <c r="G12840" s="128" t="str">
        <f>VLOOKUP(source[[#This Row],[lending_product_transform]],[3]Mapping!$B$4:$C$37,2,0)</f>
        <v>[Cake] - Cashloan</v>
      </c>
      <c r="H12840" s="128" t="str">
        <f>VLOOKUP(source[[#This Row],[lending_product_transform]],[3]Mapping!$B$3:$D$37,3,0)</f>
        <v>cashloan</v>
      </c>
      <c r="I12840" s="137">
        <v>11518200000</v>
      </c>
    </row>
    <row r="12841" spans="1:9" x14ac:dyDescent="0.2">
      <c r="A12841" s="134">
        <v>46062</v>
      </c>
      <c r="B12841" s="135">
        <f>YEAR(source[[#This Row],[report_date]])</f>
        <v>2026</v>
      </c>
      <c r="C12841" s="128">
        <f t="shared" si="599"/>
        <v>2</v>
      </c>
      <c r="D12841" s="136">
        <f t="shared" si="601"/>
        <v>7</v>
      </c>
      <c r="E12841" s="136">
        <f t="shared" si="600"/>
        <v>9</v>
      </c>
      <c r="F12841" s="137" t="s">
        <v>24</v>
      </c>
      <c r="G12841" s="128" t="str">
        <f>VLOOKUP(source[[#This Row],[lending_product_transform]],[3]Mapping!$B$4:$C$37,2,0)</f>
        <v>[Cake] - Cashloan</v>
      </c>
      <c r="H12841" s="128" t="str">
        <f>VLOOKUP(source[[#This Row],[lending_product_transform]],[3]Mapping!$B$3:$D$37,3,0)</f>
        <v>cashloan</v>
      </c>
      <c r="I12841" s="137">
        <v>252108513</v>
      </c>
    </row>
    <row r="12842" spans="1:9" x14ac:dyDescent="0.2">
      <c r="A12842" s="134">
        <v>46062</v>
      </c>
      <c r="B12842" s="135">
        <f>YEAR(source[[#This Row],[report_date]])</f>
        <v>2026</v>
      </c>
      <c r="C12842" s="128">
        <f t="shared" si="599"/>
        <v>2</v>
      </c>
      <c r="D12842" s="136">
        <f t="shared" si="601"/>
        <v>7</v>
      </c>
      <c r="E12842" s="136">
        <f t="shared" si="600"/>
        <v>9</v>
      </c>
      <c r="F12842" s="137" t="s">
        <v>24</v>
      </c>
      <c r="G12842" s="128" t="str">
        <f>VLOOKUP(source[[#This Row],[lending_product_transform]],[3]Mapping!$B$4:$C$37,2,0)</f>
        <v>[Cake] - Cashloan</v>
      </c>
      <c r="H12842" s="128" t="str">
        <f>VLOOKUP(source[[#This Row],[lending_product_transform]],[3]Mapping!$B$3:$D$37,3,0)</f>
        <v>cashloan</v>
      </c>
      <c r="I12842" s="137">
        <v>94000000</v>
      </c>
    </row>
    <row r="12843" spans="1:9" x14ac:dyDescent="0.2">
      <c r="A12843" s="134">
        <v>46062</v>
      </c>
      <c r="B12843" s="135">
        <f>YEAR(source[[#This Row],[report_date]])</f>
        <v>2026</v>
      </c>
      <c r="C12843" s="128">
        <f t="shared" si="599"/>
        <v>2</v>
      </c>
      <c r="D12843" s="136">
        <f t="shared" si="601"/>
        <v>7</v>
      </c>
      <c r="E12843" s="136">
        <f t="shared" si="600"/>
        <v>9</v>
      </c>
      <c r="F12843" s="137" t="s">
        <v>24</v>
      </c>
      <c r="G12843" s="128" t="str">
        <f>VLOOKUP(source[[#This Row],[lending_product_transform]],[3]Mapping!$B$4:$C$37,2,0)</f>
        <v>[Cake] - Cashloan</v>
      </c>
      <c r="H12843" s="128" t="str">
        <f>VLOOKUP(source[[#This Row],[lending_product_transform]],[3]Mapping!$B$3:$D$37,3,0)</f>
        <v>cashloan</v>
      </c>
      <c r="I12843" s="137">
        <v>44000000</v>
      </c>
    </row>
    <row r="12844" spans="1:9" x14ac:dyDescent="0.2">
      <c r="A12844" s="134">
        <v>46062</v>
      </c>
      <c r="B12844" s="135">
        <f>YEAR(source[[#This Row],[report_date]])</f>
        <v>2026</v>
      </c>
      <c r="C12844" s="128">
        <f t="shared" si="599"/>
        <v>2</v>
      </c>
      <c r="D12844" s="136">
        <f t="shared" si="601"/>
        <v>7</v>
      </c>
      <c r="E12844" s="136">
        <f t="shared" si="600"/>
        <v>9</v>
      </c>
      <c r="F12844" s="137" t="s">
        <v>24</v>
      </c>
      <c r="G12844" s="128" t="str">
        <f>VLOOKUP(source[[#This Row],[lending_product_transform]],[3]Mapping!$B$4:$C$37,2,0)</f>
        <v>[Cake] - Cashloan</v>
      </c>
      <c r="H12844" s="128" t="str">
        <f>VLOOKUP(source[[#This Row],[lending_product_transform]],[3]Mapping!$B$3:$D$37,3,0)</f>
        <v>cashloan</v>
      </c>
      <c r="I12844" s="137">
        <v>1218560000</v>
      </c>
    </row>
    <row r="12845" spans="1:9" x14ac:dyDescent="0.2">
      <c r="A12845" s="134">
        <v>46062</v>
      </c>
      <c r="B12845" s="135">
        <f>YEAR(source[[#This Row],[report_date]])</f>
        <v>2026</v>
      </c>
      <c r="C12845" s="128">
        <f t="shared" si="599"/>
        <v>2</v>
      </c>
      <c r="D12845" s="136">
        <f t="shared" si="601"/>
        <v>7</v>
      </c>
      <c r="E12845" s="136">
        <f t="shared" si="600"/>
        <v>9</v>
      </c>
      <c r="F12845" s="137" t="s">
        <v>24</v>
      </c>
      <c r="G12845" s="128" t="str">
        <f>VLOOKUP(source[[#This Row],[lending_product_transform]],[3]Mapping!$B$4:$C$37,2,0)</f>
        <v>[Cake] - Cashloan</v>
      </c>
      <c r="H12845" s="128" t="str">
        <f>VLOOKUP(source[[#This Row],[lending_product_transform]],[3]Mapping!$B$3:$D$37,3,0)</f>
        <v>cashloan</v>
      </c>
      <c r="I12845" s="137">
        <v>376488000</v>
      </c>
    </row>
    <row r="12846" spans="1:9" x14ac:dyDescent="0.2">
      <c r="A12846" s="134">
        <v>46062</v>
      </c>
      <c r="B12846" s="135">
        <f>YEAR(source[[#This Row],[report_date]])</f>
        <v>2026</v>
      </c>
      <c r="C12846" s="128">
        <f t="shared" si="599"/>
        <v>2</v>
      </c>
      <c r="D12846" s="136">
        <f t="shared" si="601"/>
        <v>7</v>
      </c>
      <c r="E12846" s="136">
        <f t="shared" si="600"/>
        <v>9</v>
      </c>
      <c r="F12846" s="137" t="s">
        <v>24</v>
      </c>
      <c r="G12846" s="128" t="str">
        <f>VLOOKUP(source[[#This Row],[lending_product_transform]],[3]Mapping!$B$4:$C$37,2,0)</f>
        <v>[Cake] - Cashloan</v>
      </c>
      <c r="H12846" s="128" t="str">
        <f>VLOOKUP(source[[#This Row],[lending_product_transform]],[3]Mapping!$B$3:$D$37,3,0)</f>
        <v>cashloan</v>
      </c>
      <c r="I12846" s="137">
        <v>461406552</v>
      </c>
    </row>
    <row r="12847" spans="1:9" x14ac:dyDescent="0.2">
      <c r="A12847" s="134">
        <v>46062</v>
      </c>
      <c r="B12847" s="135">
        <f>YEAR(source[[#This Row],[report_date]])</f>
        <v>2026</v>
      </c>
      <c r="C12847" s="128">
        <f t="shared" si="599"/>
        <v>2</v>
      </c>
      <c r="D12847" s="136">
        <f t="shared" si="601"/>
        <v>7</v>
      </c>
      <c r="E12847" s="136">
        <f t="shared" si="600"/>
        <v>9</v>
      </c>
      <c r="F12847" s="137" t="s">
        <v>24</v>
      </c>
      <c r="G12847" s="128" t="str">
        <f>VLOOKUP(source[[#This Row],[lending_product_transform]],[3]Mapping!$B$4:$C$37,2,0)</f>
        <v>[Cake] - Cashloan</v>
      </c>
      <c r="H12847" s="128" t="str">
        <f>VLOOKUP(source[[#This Row],[lending_product_transform]],[3]Mapping!$B$3:$D$37,3,0)</f>
        <v>cashloan</v>
      </c>
      <c r="I12847" s="137">
        <v>4252950000</v>
      </c>
    </row>
    <row r="12848" spans="1:9" x14ac:dyDescent="0.2">
      <c r="A12848" s="134">
        <v>46062</v>
      </c>
      <c r="B12848" s="135">
        <f>YEAR(source[[#This Row],[report_date]])</f>
        <v>2026</v>
      </c>
      <c r="C12848" s="128">
        <f t="shared" si="599"/>
        <v>2</v>
      </c>
      <c r="D12848" s="136">
        <f t="shared" si="601"/>
        <v>7</v>
      </c>
      <c r="E12848" s="136">
        <f t="shared" si="600"/>
        <v>9</v>
      </c>
      <c r="F12848" s="137" t="s">
        <v>24</v>
      </c>
      <c r="G12848" s="128" t="str">
        <f>VLOOKUP(source[[#This Row],[lending_product_transform]],[3]Mapping!$B$4:$C$37,2,0)</f>
        <v>[Cake] - Cashloan</v>
      </c>
      <c r="H12848" s="128" t="str">
        <f>VLOOKUP(source[[#This Row],[lending_product_transform]],[3]Mapping!$B$3:$D$37,3,0)</f>
        <v>cashloan</v>
      </c>
      <c r="I12848" s="137">
        <v>421640000</v>
      </c>
    </row>
    <row r="12849" spans="1:9" x14ac:dyDescent="0.2">
      <c r="A12849" s="134">
        <v>46063</v>
      </c>
      <c r="B12849" s="135">
        <f>YEAR(source[[#This Row],[report_date]])</f>
        <v>2026</v>
      </c>
      <c r="C12849" s="128">
        <f t="shared" si="599"/>
        <v>2</v>
      </c>
      <c r="D12849" s="136">
        <f t="shared" si="601"/>
        <v>7</v>
      </c>
      <c r="E12849" s="136">
        <f t="shared" si="600"/>
        <v>10</v>
      </c>
      <c r="F12849" s="137" t="s">
        <v>24</v>
      </c>
      <c r="G12849" s="128" t="str">
        <f>VLOOKUP(source[[#This Row],[lending_product_transform]],[3]Mapping!$B$4:$C$37,2,0)</f>
        <v>[Cake] - Cashloan</v>
      </c>
      <c r="H12849" s="128" t="str">
        <f>VLOOKUP(source[[#This Row],[lending_product_transform]],[3]Mapping!$B$3:$D$37,3,0)</f>
        <v>cashloan</v>
      </c>
      <c r="I12849" s="137">
        <v>944550000</v>
      </c>
    </row>
    <row r="12850" spans="1:9" x14ac:dyDescent="0.2">
      <c r="A12850" s="134">
        <v>46063</v>
      </c>
      <c r="B12850" s="135">
        <f>YEAR(source[[#This Row],[report_date]])</f>
        <v>2026</v>
      </c>
      <c r="C12850" s="128">
        <f t="shared" si="599"/>
        <v>2</v>
      </c>
      <c r="D12850" s="136">
        <f t="shared" si="601"/>
        <v>7</v>
      </c>
      <c r="E12850" s="136">
        <f t="shared" si="600"/>
        <v>10</v>
      </c>
      <c r="F12850" s="137" t="s">
        <v>24</v>
      </c>
      <c r="G12850" s="128" t="str">
        <f>VLOOKUP(source[[#This Row],[lending_product_transform]],[3]Mapping!$B$4:$C$37,2,0)</f>
        <v>[Cake] - Cashloan</v>
      </c>
      <c r="H12850" s="128" t="str">
        <f>VLOOKUP(source[[#This Row],[lending_product_transform]],[3]Mapping!$B$3:$D$37,3,0)</f>
        <v>cashloan</v>
      </c>
      <c r="I12850" s="137">
        <v>437028144</v>
      </c>
    </row>
    <row r="12851" spans="1:9" x14ac:dyDescent="0.2">
      <c r="A12851" s="134">
        <v>46063</v>
      </c>
      <c r="B12851" s="135">
        <f>YEAR(source[[#This Row],[report_date]])</f>
        <v>2026</v>
      </c>
      <c r="C12851" s="128">
        <f t="shared" si="599"/>
        <v>2</v>
      </c>
      <c r="D12851" s="136">
        <f t="shared" si="601"/>
        <v>7</v>
      </c>
      <c r="E12851" s="136">
        <f t="shared" si="600"/>
        <v>10</v>
      </c>
      <c r="F12851" s="137" t="s">
        <v>24</v>
      </c>
      <c r="G12851" s="128" t="str">
        <f>VLOOKUP(source[[#This Row],[lending_product_transform]],[3]Mapping!$B$4:$C$37,2,0)</f>
        <v>[Cake] - Cashloan</v>
      </c>
      <c r="H12851" s="128" t="str">
        <f>VLOOKUP(source[[#This Row],[lending_product_transform]],[3]Mapping!$B$3:$D$37,3,0)</f>
        <v>cashloan</v>
      </c>
      <c r="I12851" s="137">
        <v>16196530000</v>
      </c>
    </row>
    <row r="12852" spans="1:9" x14ac:dyDescent="0.2">
      <c r="A12852" s="134">
        <v>46063</v>
      </c>
      <c r="B12852" s="135">
        <f>YEAR(source[[#This Row],[report_date]])</f>
        <v>2026</v>
      </c>
      <c r="C12852" s="128">
        <f t="shared" si="599"/>
        <v>2</v>
      </c>
      <c r="D12852" s="136">
        <f t="shared" si="601"/>
        <v>7</v>
      </c>
      <c r="E12852" s="136">
        <f t="shared" si="600"/>
        <v>10</v>
      </c>
      <c r="F12852" s="137" t="s">
        <v>24</v>
      </c>
      <c r="G12852" s="128" t="str">
        <f>VLOOKUP(source[[#This Row],[lending_product_transform]],[3]Mapping!$B$4:$C$37,2,0)</f>
        <v>[Cake] - Cashloan</v>
      </c>
      <c r="H12852" s="128" t="str">
        <f>VLOOKUP(source[[#This Row],[lending_product_transform]],[3]Mapping!$B$3:$D$37,3,0)</f>
        <v>cashloan</v>
      </c>
      <c r="I12852" s="137">
        <v>2427407614</v>
      </c>
    </row>
    <row r="12853" spans="1:9" x14ac:dyDescent="0.2">
      <c r="A12853" s="134">
        <v>46063</v>
      </c>
      <c r="B12853" s="135">
        <f>YEAR(source[[#This Row],[report_date]])</f>
        <v>2026</v>
      </c>
      <c r="C12853" s="128">
        <f t="shared" si="599"/>
        <v>2</v>
      </c>
      <c r="D12853" s="136">
        <f t="shared" si="601"/>
        <v>7</v>
      </c>
      <c r="E12853" s="136">
        <f t="shared" si="600"/>
        <v>10</v>
      </c>
      <c r="F12853" s="137" t="s">
        <v>24</v>
      </c>
      <c r="G12853" s="128" t="str">
        <f>VLOOKUP(source[[#This Row],[lending_product_transform]],[3]Mapping!$B$4:$C$37,2,0)</f>
        <v>[Cake] - Cashloan</v>
      </c>
      <c r="H12853" s="128" t="str">
        <f>VLOOKUP(source[[#This Row],[lending_product_transform]],[3]Mapping!$B$3:$D$37,3,0)</f>
        <v>cashloan</v>
      </c>
      <c r="I12853" s="137">
        <v>17914284000</v>
      </c>
    </row>
    <row r="12854" spans="1:9" x14ac:dyDescent="0.2">
      <c r="A12854" s="134">
        <v>46063</v>
      </c>
      <c r="B12854" s="135">
        <f>YEAR(source[[#This Row],[report_date]])</f>
        <v>2026</v>
      </c>
      <c r="C12854" s="128">
        <f t="shared" ref="C12854:C12917" si="602">MONTH(A12854)</f>
        <v>2</v>
      </c>
      <c r="D12854" s="136">
        <f t="shared" si="601"/>
        <v>7</v>
      </c>
      <c r="E12854" s="136">
        <f t="shared" ref="E12854:E12917" si="603">DAY(A12854)</f>
        <v>10</v>
      </c>
      <c r="F12854" s="137" t="s">
        <v>24</v>
      </c>
      <c r="G12854" s="128" t="str">
        <f>VLOOKUP(source[[#This Row],[lending_product_transform]],[3]Mapping!$B$4:$C$37,2,0)</f>
        <v>[Cake] - Cashloan</v>
      </c>
      <c r="H12854" s="128" t="str">
        <f>VLOOKUP(source[[#This Row],[lending_product_transform]],[3]Mapping!$B$3:$D$37,3,0)</f>
        <v>cashloan</v>
      </c>
      <c r="I12854" s="137">
        <v>4878535</v>
      </c>
    </row>
    <row r="12855" spans="1:9" x14ac:dyDescent="0.2">
      <c r="A12855" s="134">
        <v>46063</v>
      </c>
      <c r="B12855" s="135">
        <f>YEAR(source[[#This Row],[report_date]])</f>
        <v>2026</v>
      </c>
      <c r="C12855" s="128">
        <f t="shared" si="602"/>
        <v>2</v>
      </c>
      <c r="D12855" s="136">
        <f t="shared" si="601"/>
        <v>7</v>
      </c>
      <c r="E12855" s="136">
        <f t="shared" si="603"/>
        <v>10</v>
      </c>
      <c r="F12855" s="137" t="s">
        <v>24</v>
      </c>
      <c r="G12855" s="128" t="str">
        <f>VLOOKUP(source[[#This Row],[lending_product_transform]],[3]Mapping!$B$4:$C$37,2,0)</f>
        <v>[Cake] - Cashloan</v>
      </c>
      <c r="H12855" s="128" t="str">
        <f>VLOOKUP(source[[#This Row],[lending_product_transform]],[3]Mapping!$B$3:$D$37,3,0)</f>
        <v>cashloan</v>
      </c>
      <c r="I12855" s="137">
        <v>90000000</v>
      </c>
    </row>
    <row r="12856" spans="1:9" x14ac:dyDescent="0.2">
      <c r="A12856" s="134">
        <v>46063</v>
      </c>
      <c r="B12856" s="135">
        <f>YEAR(source[[#This Row],[report_date]])</f>
        <v>2026</v>
      </c>
      <c r="C12856" s="128">
        <f t="shared" si="602"/>
        <v>2</v>
      </c>
      <c r="D12856" s="136">
        <f t="shared" si="601"/>
        <v>7</v>
      </c>
      <c r="E12856" s="136">
        <f t="shared" si="603"/>
        <v>10</v>
      </c>
      <c r="F12856" s="137" t="s">
        <v>24</v>
      </c>
      <c r="G12856" s="128" t="str">
        <f>VLOOKUP(source[[#This Row],[lending_product_transform]],[3]Mapping!$B$4:$C$37,2,0)</f>
        <v>[Cake] - Cashloan</v>
      </c>
      <c r="H12856" s="128" t="str">
        <f>VLOOKUP(source[[#This Row],[lending_product_transform]],[3]Mapping!$B$3:$D$37,3,0)</f>
        <v>cashloan</v>
      </c>
      <c r="I12856" s="137">
        <v>5553250000</v>
      </c>
    </row>
    <row r="12857" spans="1:9" x14ac:dyDescent="0.2">
      <c r="A12857" s="134">
        <v>46063</v>
      </c>
      <c r="B12857" s="135">
        <f>YEAR(source[[#This Row],[report_date]])</f>
        <v>2026</v>
      </c>
      <c r="C12857" s="128">
        <f t="shared" si="602"/>
        <v>2</v>
      </c>
      <c r="D12857" s="136">
        <f t="shared" si="601"/>
        <v>7</v>
      </c>
      <c r="E12857" s="136">
        <f t="shared" si="603"/>
        <v>10</v>
      </c>
      <c r="F12857" s="137" t="s">
        <v>24</v>
      </c>
      <c r="G12857" s="128" t="str">
        <f>VLOOKUP(source[[#This Row],[lending_product_transform]],[3]Mapping!$B$4:$C$37,2,0)</f>
        <v>[Cake] - Cashloan</v>
      </c>
      <c r="H12857" s="128" t="str">
        <f>VLOOKUP(source[[#This Row],[lending_product_transform]],[3]Mapping!$B$3:$D$37,3,0)</f>
        <v>cashloan</v>
      </c>
      <c r="I12857" s="137">
        <v>1816740000</v>
      </c>
    </row>
    <row r="12858" spans="1:9" x14ac:dyDescent="0.2">
      <c r="A12858" s="134">
        <v>46063</v>
      </c>
      <c r="B12858" s="135">
        <f>YEAR(source[[#This Row],[report_date]])</f>
        <v>2026</v>
      </c>
      <c r="C12858" s="128">
        <f t="shared" si="602"/>
        <v>2</v>
      </c>
      <c r="D12858" s="136">
        <f t="shared" si="601"/>
        <v>7</v>
      </c>
      <c r="E12858" s="136">
        <f t="shared" si="603"/>
        <v>10</v>
      </c>
      <c r="F12858" s="137" t="s">
        <v>24</v>
      </c>
      <c r="G12858" s="128" t="str">
        <f>VLOOKUP(source[[#This Row],[lending_product_transform]],[3]Mapping!$B$4:$C$37,2,0)</f>
        <v>[Cake] - Cashloan</v>
      </c>
      <c r="H12858" s="128" t="str">
        <f>VLOOKUP(source[[#This Row],[lending_product_transform]],[3]Mapping!$B$3:$D$37,3,0)</f>
        <v>cashloan</v>
      </c>
      <c r="I12858" s="137">
        <v>16585545</v>
      </c>
    </row>
    <row r="12859" spans="1:9" x14ac:dyDescent="0.2">
      <c r="A12859" s="134">
        <v>46063</v>
      </c>
      <c r="B12859" s="135">
        <f>YEAR(source[[#This Row],[report_date]])</f>
        <v>2026</v>
      </c>
      <c r="C12859" s="128">
        <f t="shared" si="602"/>
        <v>2</v>
      </c>
      <c r="D12859" s="136">
        <f t="shared" si="601"/>
        <v>7</v>
      </c>
      <c r="E12859" s="136">
        <f t="shared" si="603"/>
        <v>10</v>
      </c>
      <c r="F12859" s="137" t="s">
        <v>24</v>
      </c>
      <c r="G12859" s="128" t="str">
        <f>VLOOKUP(source[[#This Row],[lending_product_transform]],[3]Mapping!$B$4:$C$37,2,0)</f>
        <v>[Cake] - Cashloan</v>
      </c>
      <c r="H12859" s="128" t="str">
        <f>VLOOKUP(source[[#This Row],[lending_product_transform]],[3]Mapping!$B$3:$D$37,3,0)</f>
        <v>cashloan</v>
      </c>
      <c r="I12859" s="137">
        <v>2363385233</v>
      </c>
    </row>
    <row r="12860" spans="1:9" x14ac:dyDescent="0.2">
      <c r="A12860" s="134">
        <v>46063</v>
      </c>
      <c r="B12860" s="135">
        <f>YEAR(source[[#This Row],[report_date]])</f>
        <v>2026</v>
      </c>
      <c r="C12860" s="128">
        <f t="shared" si="602"/>
        <v>2</v>
      </c>
      <c r="D12860" s="136">
        <f t="shared" si="601"/>
        <v>7</v>
      </c>
      <c r="E12860" s="136">
        <f t="shared" si="603"/>
        <v>10</v>
      </c>
      <c r="F12860" s="137" t="s">
        <v>24</v>
      </c>
      <c r="G12860" s="128" t="str">
        <f>VLOOKUP(source[[#This Row],[lending_product_transform]],[3]Mapping!$B$4:$C$37,2,0)</f>
        <v>[Cake] - Cashloan</v>
      </c>
      <c r="H12860" s="128" t="str">
        <f>VLOOKUP(source[[#This Row],[lending_product_transform]],[3]Mapping!$B$3:$D$37,3,0)</f>
        <v>cashloan</v>
      </c>
      <c r="I12860" s="137">
        <v>0</v>
      </c>
    </row>
    <row r="12861" spans="1:9" x14ac:dyDescent="0.2">
      <c r="A12861" s="134">
        <v>46063</v>
      </c>
      <c r="B12861" s="135">
        <f>YEAR(source[[#This Row],[report_date]])</f>
        <v>2026</v>
      </c>
      <c r="C12861" s="128">
        <f t="shared" si="602"/>
        <v>2</v>
      </c>
      <c r="D12861" s="136">
        <f t="shared" si="601"/>
        <v>7</v>
      </c>
      <c r="E12861" s="136">
        <f t="shared" si="603"/>
        <v>10</v>
      </c>
      <c r="F12861" s="137" t="s">
        <v>24</v>
      </c>
      <c r="G12861" s="128" t="str">
        <f>VLOOKUP(source[[#This Row],[lending_product_transform]],[3]Mapping!$B$4:$C$37,2,0)</f>
        <v>[Cake] - Cashloan</v>
      </c>
      <c r="H12861" s="128" t="str">
        <f>VLOOKUP(source[[#This Row],[lending_product_transform]],[3]Mapping!$B$3:$D$37,3,0)</f>
        <v>cashloan</v>
      </c>
      <c r="I12861" s="137">
        <v>128250000</v>
      </c>
    </row>
    <row r="12862" spans="1:9" x14ac:dyDescent="0.2">
      <c r="A12862" s="134">
        <v>46063</v>
      </c>
      <c r="B12862" s="135">
        <f>YEAR(source[[#This Row],[report_date]])</f>
        <v>2026</v>
      </c>
      <c r="C12862" s="128">
        <f t="shared" si="602"/>
        <v>2</v>
      </c>
      <c r="D12862" s="136">
        <f t="shared" si="601"/>
        <v>7</v>
      </c>
      <c r="E12862" s="136">
        <f t="shared" si="603"/>
        <v>10</v>
      </c>
      <c r="F12862" s="137" t="s">
        <v>24</v>
      </c>
      <c r="G12862" s="128" t="str">
        <f>VLOOKUP(source[[#This Row],[lending_product_transform]],[3]Mapping!$B$4:$C$37,2,0)</f>
        <v>[Cake] - Cashloan</v>
      </c>
      <c r="H12862" s="128" t="str">
        <f>VLOOKUP(source[[#This Row],[lending_product_transform]],[3]Mapping!$B$3:$D$37,3,0)</f>
        <v>cashloan</v>
      </c>
      <c r="I12862" s="137">
        <v>0</v>
      </c>
    </row>
    <row r="12863" spans="1:9" x14ac:dyDescent="0.2">
      <c r="A12863" s="134">
        <v>46063</v>
      </c>
      <c r="B12863" s="135">
        <f>YEAR(source[[#This Row],[report_date]])</f>
        <v>2026</v>
      </c>
      <c r="C12863" s="128">
        <f t="shared" si="602"/>
        <v>2</v>
      </c>
      <c r="D12863" s="136">
        <f t="shared" si="601"/>
        <v>7</v>
      </c>
      <c r="E12863" s="136">
        <f t="shared" si="603"/>
        <v>10</v>
      </c>
      <c r="F12863" s="137" t="s">
        <v>24</v>
      </c>
      <c r="G12863" s="128" t="str">
        <f>VLOOKUP(source[[#This Row],[lending_product_transform]],[3]Mapping!$B$4:$C$37,2,0)</f>
        <v>[Cake] - Cashloan</v>
      </c>
      <c r="H12863" s="128" t="str">
        <f>VLOOKUP(source[[#This Row],[lending_product_transform]],[3]Mapping!$B$3:$D$37,3,0)</f>
        <v>cashloan</v>
      </c>
      <c r="I12863" s="137">
        <v>22447140000</v>
      </c>
    </row>
    <row r="12864" spans="1:9" x14ac:dyDescent="0.2">
      <c r="A12864" s="134">
        <v>46063</v>
      </c>
      <c r="B12864" s="135">
        <f>YEAR(source[[#This Row],[report_date]])</f>
        <v>2026</v>
      </c>
      <c r="C12864" s="128">
        <f t="shared" si="602"/>
        <v>2</v>
      </c>
      <c r="D12864" s="136">
        <f t="shared" si="601"/>
        <v>7</v>
      </c>
      <c r="E12864" s="136">
        <f t="shared" si="603"/>
        <v>10</v>
      </c>
      <c r="F12864" s="137" t="s">
        <v>24</v>
      </c>
      <c r="G12864" s="128" t="str">
        <f>VLOOKUP(source[[#This Row],[lending_product_transform]],[3]Mapping!$B$4:$C$37,2,0)</f>
        <v>[Cake] - Cashloan</v>
      </c>
      <c r="H12864" s="128" t="str">
        <f>VLOOKUP(source[[#This Row],[lending_product_transform]],[3]Mapping!$B$3:$D$37,3,0)</f>
        <v>cashloan</v>
      </c>
      <c r="I12864" s="137">
        <v>0</v>
      </c>
    </row>
    <row r="12865" spans="1:9" x14ac:dyDescent="0.2">
      <c r="A12865" s="134">
        <v>46063</v>
      </c>
      <c r="B12865" s="135">
        <f>YEAR(source[[#This Row],[report_date]])</f>
        <v>2026</v>
      </c>
      <c r="C12865" s="128">
        <f t="shared" si="602"/>
        <v>2</v>
      </c>
      <c r="D12865" s="136">
        <f t="shared" si="601"/>
        <v>7</v>
      </c>
      <c r="E12865" s="136">
        <f t="shared" si="603"/>
        <v>10</v>
      </c>
      <c r="F12865" s="137" t="s">
        <v>24</v>
      </c>
      <c r="G12865" s="128" t="str">
        <f>VLOOKUP(source[[#This Row],[lending_product_transform]],[3]Mapping!$B$4:$C$37,2,0)</f>
        <v>[Cake] - Cashloan</v>
      </c>
      <c r="H12865" s="128" t="str">
        <f>VLOOKUP(source[[#This Row],[lending_product_transform]],[3]Mapping!$B$3:$D$37,3,0)</f>
        <v>cashloan</v>
      </c>
      <c r="I12865" s="137">
        <v>0</v>
      </c>
    </row>
    <row r="12866" spans="1:9" x14ac:dyDescent="0.2">
      <c r="A12866" s="134">
        <v>46063</v>
      </c>
      <c r="B12866" s="135">
        <f>YEAR(source[[#This Row],[report_date]])</f>
        <v>2026</v>
      </c>
      <c r="C12866" s="128">
        <f t="shared" si="602"/>
        <v>2</v>
      </c>
      <c r="D12866" s="136">
        <f t="shared" si="601"/>
        <v>7</v>
      </c>
      <c r="E12866" s="136">
        <f t="shared" si="603"/>
        <v>10</v>
      </c>
      <c r="F12866" s="137" t="s">
        <v>24</v>
      </c>
      <c r="G12866" s="128" t="str">
        <f>VLOOKUP(source[[#This Row],[lending_product_transform]],[3]Mapping!$B$4:$C$37,2,0)</f>
        <v>[Cake] - Cashloan</v>
      </c>
      <c r="H12866" s="128" t="str">
        <f>VLOOKUP(source[[#This Row],[lending_product_transform]],[3]Mapping!$B$3:$D$37,3,0)</f>
        <v>cashloan</v>
      </c>
      <c r="I12866" s="137">
        <v>0</v>
      </c>
    </row>
    <row r="12867" spans="1:9" x14ac:dyDescent="0.2">
      <c r="A12867" s="134">
        <v>46063</v>
      </c>
      <c r="B12867" s="135">
        <f>YEAR(source[[#This Row],[report_date]])</f>
        <v>2026</v>
      </c>
      <c r="C12867" s="128">
        <f t="shared" si="602"/>
        <v>2</v>
      </c>
      <c r="D12867" s="136">
        <f t="shared" si="601"/>
        <v>7</v>
      </c>
      <c r="E12867" s="136">
        <f t="shared" si="603"/>
        <v>10</v>
      </c>
      <c r="F12867" s="137" t="s">
        <v>24</v>
      </c>
      <c r="G12867" s="128" t="str">
        <f>VLOOKUP(source[[#This Row],[lending_product_transform]],[3]Mapping!$B$4:$C$37,2,0)</f>
        <v>[Cake] - Cashloan</v>
      </c>
      <c r="H12867" s="128" t="str">
        <f>VLOOKUP(source[[#This Row],[lending_product_transform]],[3]Mapping!$B$3:$D$37,3,0)</f>
        <v>cashloan</v>
      </c>
      <c r="I12867" s="137">
        <v>5000000</v>
      </c>
    </row>
    <row r="12868" spans="1:9" x14ac:dyDescent="0.2">
      <c r="A12868" s="134">
        <v>46063</v>
      </c>
      <c r="B12868" s="135">
        <f>YEAR(source[[#This Row],[report_date]])</f>
        <v>2026</v>
      </c>
      <c r="C12868" s="128">
        <f t="shared" si="602"/>
        <v>2</v>
      </c>
      <c r="D12868" s="136">
        <f t="shared" si="601"/>
        <v>7</v>
      </c>
      <c r="E12868" s="136">
        <f t="shared" si="603"/>
        <v>10</v>
      </c>
      <c r="F12868" s="137" t="s">
        <v>24</v>
      </c>
      <c r="G12868" s="128" t="str">
        <f>VLOOKUP(source[[#This Row],[lending_product_transform]],[3]Mapping!$B$4:$C$37,2,0)</f>
        <v>[Cake] - Cashloan</v>
      </c>
      <c r="H12868" s="128" t="str">
        <f>VLOOKUP(source[[#This Row],[lending_product_transform]],[3]Mapping!$B$3:$D$37,3,0)</f>
        <v>cashloan</v>
      </c>
      <c r="I12868" s="137">
        <v>16601760000</v>
      </c>
    </row>
    <row r="12869" spans="1:9" x14ac:dyDescent="0.2">
      <c r="A12869" s="134">
        <v>46063</v>
      </c>
      <c r="B12869" s="135">
        <f>YEAR(source[[#This Row],[report_date]])</f>
        <v>2026</v>
      </c>
      <c r="C12869" s="128">
        <f t="shared" si="602"/>
        <v>2</v>
      </c>
      <c r="D12869" s="136">
        <f t="shared" si="601"/>
        <v>7</v>
      </c>
      <c r="E12869" s="136">
        <f t="shared" si="603"/>
        <v>10</v>
      </c>
      <c r="F12869" s="137" t="s">
        <v>24</v>
      </c>
      <c r="G12869" s="128" t="str">
        <f>VLOOKUP(source[[#This Row],[lending_product_transform]],[3]Mapping!$B$4:$C$37,2,0)</f>
        <v>[Cake] - Cashloan</v>
      </c>
      <c r="H12869" s="128" t="str">
        <f>VLOOKUP(source[[#This Row],[lending_product_transform]],[3]Mapping!$B$3:$D$37,3,0)</f>
        <v>cashloan</v>
      </c>
      <c r="I12869" s="137">
        <v>263184392</v>
      </c>
    </row>
    <row r="12870" spans="1:9" x14ac:dyDescent="0.2">
      <c r="A12870" s="134">
        <v>46063</v>
      </c>
      <c r="B12870" s="135">
        <f>YEAR(source[[#This Row],[report_date]])</f>
        <v>2026</v>
      </c>
      <c r="C12870" s="128">
        <f t="shared" si="602"/>
        <v>2</v>
      </c>
      <c r="D12870" s="136">
        <f t="shared" si="601"/>
        <v>7</v>
      </c>
      <c r="E12870" s="136">
        <f t="shared" si="603"/>
        <v>10</v>
      </c>
      <c r="F12870" s="137" t="s">
        <v>24</v>
      </c>
      <c r="G12870" s="128" t="str">
        <f>VLOOKUP(source[[#This Row],[lending_product_transform]],[3]Mapping!$B$4:$C$37,2,0)</f>
        <v>[Cake] - Cashloan</v>
      </c>
      <c r="H12870" s="128" t="str">
        <f>VLOOKUP(source[[#This Row],[lending_product_transform]],[3]Mapping!$B$3:$D$37,3,0)</f>
        <v>cashloan</v>
      </c>
      <c r="I12870" s="137">
        <v>52500000</v>
      </c>
    </row>
    <row r="12871" spans="1:9" x14ac:dyDescent="0.2">
      <c r="A12871" s="134">
        <v>46063</v>
      </c>
      <c r="B12871" s="135">
        <f>YEAR(source[[#This Row],[report_date]])</f>
        <v>2026</v>
      </c>
      <c r="C12871" s="128">
        <f t="shared" si="602"/>
        <v>2</v>
      </c>
      <c r="D12871" s="136">
        <f t="shared" si="601"/>
        <v>7</v>
      </c>
      <c r="E12871" s="136">
        <f t="shared" si="603"/>
        <v>10</v>
      </c>
      <c r="F12871" s="137" t="s">
        <v>24</v>
      </c>
      <c r="G12871" s="128" t="str">
        <f>VLOOKUP(source[[#This Row],[lending_product_transform]],[3]Mapping!$B$4:$C$37,2,0)</f>
        <v>[Cake] - Cashloan</v>
      </c>
      <c r="H12871" s="128" t="str">
        <f>VLOOKUP(source[[#This Row],[lending_product_transform]],[3]Mapping!$B$3:$D$37,3,0)</f>
        <v>cashloan</v>
      </c>
      <c r="I12871" s="137">
        <v>77000000</v>
      </c>
    </row>
    <row r="12872" spans="1:9" x14ac:dyDescent="0.2">
      <c r="A12872" s="134">
        <v>46063</v>
      </c>
      <c r="B12872" s="135">
        <f>YEAR(source[[#This Row],[report_date]])</f>
        <v>2026</v>
      </c>
      <c r="C12872" s="128">
        <f t="shared" si="602"/>
        <v>2</v>
      </c>
      <c r="D12872" s="136">
        <f t="shared" si="601"/>
        <v>7</v>
      </c>
      <c r="E12872" s="136">
        <f t="shared" si="603"/>
        <v>10</v>
      </c>
      <c r="F12872" s="137" t="s">
        <v>24</v>
      </c>
      <c r="G12872" s="128" t="str">
        <f>VLOOKUP(source[[#This Row],[lending_product_transform]],[3]Mapping!$B$4:$C$37,2,0)</f>
        <v>[Cake] - Cashloan</v>
      </c>
      <c r="H12872" s="128" t="str">
        <f>VLOOKUP(source[[#This Row],[lending_product_transform]],[3]Mapping!$B$3:$D$37,3,0)</f>
        <v>cashloan</v>
      </c>
      <c r="I12872" s="137">
        <v>1239540000</v>
      </c>
    </row>
    <row r="12873" spans="1:9" x14ac:dyDescent="0.2">
      <c r="A12873" s="134">
        <v>46063</v>
      </c>
      <c r="B12873" s="135">
        <f>YEAR(source[[#This Row],[report_date]])</f>
        <v>2026</v>
      </c>
      <c r="C12873" s="128">
        <f t="shared" si="602"/>
        <v>2</v>
      </c>
      <c r="D12873" s="136">
        <f t="shared" si="601"/>
        <v>7</v>
      </c>
      <c r="E12873" s="136">
        <f t="shared" si="603"/>
        <v>10</v>
      </c>
      <c r="F12873" s="137" t="s">
        <v>24</v>
      </c>
      <c r="G12873" s="128" t="str">
        <f>VLOOKUP(source[[#This Row],[lending_product_transform]],[3]Mapping!$B$4:$C$37,2,0)</f>
        <v>[Cake] - Cashloan</v>
      </c>
      <c r="H12873" s="128" t="str">
        <f>VLOOKUP(source[[#This Row],[lending_product_transform]],[3]Mapping!$B$3:$D$37,3,0)</f>
        <v>cashloan</v>
      </c>
      <c r="I12873" s="137">
        <v>437400000</v>
      </c>
    </row>
    <row r="12874" spans="1:9" x14ac:dyDescent="0.2">
      <c r="A12874" s="134">
        <v>46063</v>
      </c>
      <c r="B12874" s="135">
        <f>YEAR(source[[#This Row],[report_date]])</f>
        <v>2026</v>
      </c>
      <c r="C12874" s="128">
        <f t="shared" si="602"/>
        <v>2</v>
      </c>
      <c r="D12874" s="136">
        <f t="shared" si="601"/>
        <v>7</v>
      </c>
      <c r="E12874" s="136">
        <f t="shared" si="603"/>
        <v>10</v>
      </c>
      <c r="F12874" s="137" t="s">
        <v>24</v>
      </c>
      <c r="G12874" s="128" t="str">
        <f>VLOOKUP(source[[#This Row],[lending_product_transform]],[3]Mapping!$B$4:$C$37,2,0)</f>
        <v>[Cake] - Cashloan</v>
      </c>
      <c r="H12874" s="128" t="str">
        <f>VLOOKUP(source[[#This Row],[lending_product_transform]],[3]Mapping!$B$3:$D$37,3,0)</f>
        <v>cashloan</v>
      </c>
      <c r="I12874" s="137">
        <v>531809759</v>
      </c>
    </row>
    <row r="12875" spans="1:9" x14ac:dyDescent="0.2">
      <c r="A12875" s="134">
        <v>46063</v>
      </c>
      <c r="B12875" s="135">
        <f>YEAR(source[[#This Row],[report_date]])</f>
        <v>2026</v>
      </c>
      <c r="C12875" s="128">
        <f t="shared" si="602"/>
        <v>2</v>
      </c>
      <c r="D12875" s="136">
        <f t="shared" si="601"/>
        <v>7</v>
      </c>
      <c r="E12875" s="136">
        <f t="shared" si="603"/>
        <v>10</v>
      </c>
      <c r="F12875" s="137" t="s">
        <v>24</v>
      </c>
      <c r="G12875" s="128" t="str">
        <f>VLOOKUP(source[[#This Row],[lending_product_transform]],[3]Mapping!$B$4:$C$37,2,0)</f>
        <v>[Cake] - Cashloan</v>
      </c>
      <c r="H12875" s="128" t="str">
        <f>VLOOKUP(source[[#This Row],[lending_product_transform]],[3]Mapping!$B$3:$D$37,3,0)</f>
        <v>cashloan</v>
      </c>
      <c r="I12875" s="137">
        <v>4441820000</v>
      </c>
    </row>
    <row r="12876" spans="1:9" x14ac:dyDescent="0.2">
      <c r="A12876" s="134">
        <v>46063</v>
      </c>
      <c r="B12876" s="135">
        <f>YEAR(source[[#This Row],[report_date]])</f>
        <v>2026</v>
      </c>
      <c r="C12876" s="128">
        <f t="shared" si="602"/>
        <v>2</v>
      </c>
      <c r="D12876" s="136">
        <f t="shared" si="601"/>
        <v>7</v>
      </c>
      <c r="E12876" s="136">
        <f t="shared" si="603"/>
        <v>10</v>
      </c>
      <c r="F12876" s="137" t="s">
        <v>24</v>
      </c>
      <c r="G12876" s="128" t="str">
        <f>VLOOKUP(source[[#This Row],[lending_product_transform]],[3]Mapping!$B$4:$C$37,2,0)</f>
        <v>[Cake] - Cashloan</v>
      </c>
      <c r="H12876" s="128" t="str">
        <f>VLOOKUP(source[[#This Row],[lending_product_transform]],[3]Mapping!$B$3:$D$37,3,0)</f>
        <v>cashloan</v>
      </c>
      <c r="I12876" s="137">
        <v>450640000</v>
      </c>
    </row>
    <row r="12877" spans="1:9" x14ac:dyDescent="0.2">
      <c r="A12877" s="134">
        <v>46064</v>
      </c>
      <c r="B12877" s="135">
        <f>YEAR(source[[#This Row],[report_date]])</f>
        <v>2026</v>
      </c>
      <c r="C12877" s="128">
        <f t="shared" si="602"/>
        <v>2</v>
      </c>
      <c r="D12877" s="136">
        <f t="shared" si="601"/>
        <v>7</v>
      </c>
      <c r="E12877" s="136">
        <f t="shared" si="603"/>
        <v>11</v>
      </c>
      <c r="F12877" s="137" t="s">
        <v>24</v>
      </c>
      <c r="G12877" s="128" t="str">
        <f>VLOOKUP(source[[#This Row],[lending_product_transform]],[3]Mapping!$B$4:$C$37,2,0)</f>
        <v>[Cake] - Cashloan</v>
      </c>
      <c r="H12877" s="128" t="str">
        <f>VLOOKUP(source[[#This Row],[lending_product_transform]],[3]Mapping!$B$3:$D$37,3,0)</f>
        <v>cashloan</v>
      </c>
      <c r="I12877" s="137">
        <v>884450000</v>
      </c>
    </row>
    <row r="12878" spans="1:9" x14ac:dyDescent="0.2">
      <c r="A12878" s="134">
        <v>46064</v>
      </c>
      <c r="B12878" s="135">
        <f>YEAR(source[[#This Row],[report_date]])</f>
        <v>2026</v>
      </c>
      <c r="C12878" s="128">
        <f t="shared" si="602"/>
        <v>2</v>
      </c>
      <c r="D12878" s="136">
        <f t="shared" si="601"/>
        <v>7</v>
      </c>
      <c r="E12878" s="136">
        <f t="shared" si="603"/>
        <v>11</v>
      </c>
      <c r="F12878" s="137" t="s">
        <v>24</v>
      </c>
      <c r="G12878" s="128" t="str">
        <f>VLOOKUP(source[[#This Row],[lending_product_transform]],[3]Mapping!$B$4:$C$37,2,0)</f>
        <v>[Cake] - Cashloan</v>
      </c>
      <c r="H12878" s="128" t="str">
        <f>VLOOKUP(source[[#This Row],[lending_product_transform]],[3]Mapping!$B$3:$D$37,3,0)</f>
        <v>cashloan</v>
      </c>
      <c r="I12878" s="137">
        <v>410495563</v>
      </c>
    </row>
    <row r="12879" spans="1:9" x14ac:dyDescent="0.2">
      <c r="A12879" s="134">
        <v>46064</v>
      </c>
      <c r="B12879" s="135">
        <f>YEAR(source[[#This Row],[report_date]])</f>
        <v>2026</v>
      </c>
      <c r="C12879" s="128">
        <f t="shared" si="602"/>
        <v>2</v>
      </c>
      <c r="D12879" s="136">
        <f t="shared" si="601"/>
        <v>7</v>
      </c>
      <c r="E12879" s="136">
        <f t="shared" si="603"/>
        <v>11</v>
      </c>
      <c r="F12879" s="137" t="s">
        <v>24</v>
      </c>
      <c r="G12879" s="128" t="str">
        <f>VLOOKUP(source[[#This Row],[lending_product_transform]],[3]Mapping!$B$4:$C$37,2,0)</f>
        <v>[Cake] - Cashloan</v>
      </c>
      <c r="H12879" s="128" t="str">
        <f>VLOOKUP(source[[#This Row],[lending_product_transform]],[3]Mapping!$B$3:$D$37,3,0)</f>
        <v>cashloan</v>
      </c>
      <c r="I12879" s="137">
        <v>15446610000</v>
      </c>
    </row>
    <row r="12880" spans="1:9" x14ac:dyDescent="0.2">
      <c r="A12880" s="134">
        <v>46064</v>
      </c>
      <c r="B12880" s="135">
        <f>YEAR(source[[#This Row],[report_date]])</f>
        <v>2026</v>
      </c>
      <c r="C12880" s="128">
        <f t="shared" si="602"/>
        <v>2</v>
      </c>
      <c r="D12880" s="136">
        <f t="shared" si="601"/>
        <v>7</v>
      </c>
      <c r="E12880" s="136">
        <f t="shared" si="603"/>
        <v>11</v>
      </c>
      <c r="F12880" s="137" t="s">
        <v>24</v>
      </c>
      <c r="G12880" s="128" t="str">
        <f>VLOOKUP(source[[#This Row],[lending_product_transform]],[3]Mapping!$B$4:$C$37,2,0)</f>
        <v>[Cake] - Cashloan</v>
      </c>
      <c r="H12880" s="128" t="str">
        <f>VLOOKUP(source[[#This Row],[lending_product_transform]],[3]Mapping!$B$3:$D$37,3,0)</f>
        <v>cashloan</v>
      </c>
      <c r="I12880" s="137">
        <v>2518304147</v>
      </c>
    </row>
    <row r="12881" spans="1:9" x14ac:dyDescent="0.2">
      <c r="A12881" s="134">
        <v>46064</v>
      </c>
      <c r="B12881" s="135">
        <f>YEAR(source[[#This Row],[report_date]])</f>
        <v>2026</v>
      </c>
      <c r="C12881" s="128">
        <f t="shared" si="602"/>
        <v>2</v>
      </c>
      <c r="D12881" s="136">
        <f t="shared" ref="D12881:D12944" si="604">WEEKNUM(A12881,2)</f>
        <v>7</v>
      </c>
      <c r="E12881" s="136">
        <f t="shared" si="603"/>
        <v>11</v>
      </c>
      <c r="F12881" s="137" t="s">
        <v>24</v>
      </c>
      <c r="G12881" s="128" t="str">
        <f>VLOOKUP(source[[#This Row],[lending_product_transform]],[3]Mapping!$B$4:$C$37,2,0)</f>
        <v>[Cake] - Cashloan</v>
      </c>
      <c r="H12881" s="128" t="str">
        <f>VLOOKUP(source[[#This Row],[lending_product_transform]],[3]Mapping!$B$3:$D$37,3,0)</f>
        <v>cashloan</v>
      </c>
      <c r="I12881" s="137">
        <v>14549760000</v>
      </c>
    </row>
    <row r="12882" spans="1:9" x14ac:dyDescent="0.2">
      <c r="A12882" s="134">
        <v>46064</v>
      </c>
      <c r="B12882" s="135">
        <f>YEAR(source[[#This Row],[report_date]])</f>
        <v>2026</v>
      </c>
      <c r="C12882" s="128">
        <f t="shared" si="602"/>
        <v>2</v>
      </c>
      <c r="D12882" s="136">
        <f t="shared" si="604"/>
        <v>7</v>
      </c>
      <c r="E12882" s="136">
        <f t="shared" si="603"/>
        <v>11</v>
      </c>
      <c r="F12882" s="137" t="s">
        <v>24</v>
      </c>
      <c r="G12882" s="128" t="str">
        <f>VLOOKUP(source[[#This Row],[lending_product_transform]],[3]Mapping!$B$4:$C$37,2,0)</f>
        <v>[Cake] - Cashloan</v>
      </c>
      <c r="H12882" s="128" t="str">
        <f>VLOOKUP(source[[#This Row],[lending_product_transform]],[3]Mapping!$B$3:$D$37,3,0)</f>
        <v>cashloan</v>
      </c>
      <c r="I12882" s="137">
        <v>8878861</v>
      </c>
    </row>
    <row r="12883" spans="1:9" x14ac:dyDescent="0.2">
      <c r="A12883" s="134">
        <v>46064</v>
      </c>
      <c r="B12883" s="135">
        <f>YEAR(source[[#This Row],[report_date]])</f>
        <v>2026</v>
      </c>
      <c r="C12883" s="128">
        <f t="shared" si="602"/>
        <v>2</v>
      </c>
      <c r="D12883" s="136">
        <f t="shared" si="604"/>
        <v>7</v>
      </c>
      <c r="E12883" s="136">
        <f t="shared" si="603"/>
        <v>11</v>
      </c>
      <c r="F12883" s="137" t="s">
        <v>24</v>
      </c>
      <c r="G12883" s="128" t="str">
        <f>VLOOKUP(source[[#This Row],[lending_product_transform]],[3]Mapping!$B$4:$C$37,2,0)</f>
        <v>[Cake] - Cashloan</v>
      </c>
      <c r="H12883" s="128" t="str">
        <f>VLOOKUP(source[[#This Row],[lending_product_transform]],[3]Mapping!$B$3:$D$37,3,0)</f>
        <v>cashloan</v>
      </c>
      <c r="I12883" s="137">
        <v>0</v>
      </c>
    </row>
    <row r="12884" spans="1:9" x14ac:dyDescent="0.2">
      <c r="A12884" s="134">
        <v>46064</v>
      </c>
      <c r="B12884" s="135">
        <f>YEAR(source[[#This Row],[report_date]])</f>
        <v>2026</v>
      </c>
      <c r="C12884" s="128">
        <f t="shared" si="602"/>
        <v>2</v>
      </c>
      <c r="D12884" s="136">
        <f t="shared" si="604"/>
        <v>7</v>
      </c>
      <c r="E12884" s="136">
        <f t="shared" si="603"/>
        <v>11</v>
      </c>
      <c r="F12884" s="137" t="s">
        <v>24</v>
      </c>
      <c r="G12884" s="128" t="str">
        <f>VLOOKUP(source[[#This Row],[lending_product_transform]],[3]Mapping!$B$4:$C$37,2,0)</f>
        <v>[Cake] - Cashloan</v>
      </c>
      <c r="H12884" s="128" t="str">
        <f>VLOOKUP(source[[#This Row],[lending_product_transform]],[3]Mapping!$B$3:$D$37,3,0)</f>
        <v>cashloan</v>
      </c>
      <c r="I12884" s="137">
        <v>5167060000</v>
      </c>
    </row>
    <row r="12885" spans="1:9" x14ac:dyDescent="0.2">
      <c r="A12885" s="134">
        <v>46064</v>
      </c>
      <c r="B12885" s="135">
        <f>YEAR(source[[#This Row],[report_date]])</f>
        <v>2026</v>
      </c>
      <c r="C12885" s="128">
        <f t="shared" si="602"/>
        <v>2</v>
      </c>
      <c r="D12885" s="136">
        <f t="shared" si="604"/>
        <v>7</v>
      </c>
      <c r="E12885" s="136">
        <f t="shared" si="603"/>
        <v>11</v>
      </c>
      <c r="F12885" s="137" t="s">
        <v>24</v>
      </c>
      <c r="G12885" s="128" t="str">
        <f>VLOOKUP(source[[#This Row],[lending_product_transform]],[3]Mapping!$B$4:$C$37,2,0)</f>
        <v>[Cake] - Cashloan</v>
      </c>
      <c r="H12885" s="128" t="str">
        <f>VLOOKUP(source[[#This Row],[lending_product_transform]],[3]Mapping!$B$3:$D$37,3,0)</f>
        <v>cashloan</v>
      </c>
      <c r="I12885" s="137">
        <v>1733810000</v>
      </c>
    </row>
    <row r="12886" spans="1:9" x14ac:dyDescent="0.2">
      <c r="A12886" s="134">
        <v>46064</v>
      </c>
      <c r="B12886" s="135">
        <f>YEAR(source[[#This Row],[report_date]])</f>
        <v>2026</v>
      </c>
      <c r="C12886" s="128">
        <f t="shared" si="602"/>
        <v>2</v>
      </c>
      <c r="D12886" s="136">
        <f t="shared" si="604"/>
        <v>7</v>
      </c>
      <c r="E12886" s="136">
        <f t="shared" si="603"/>
        <v>11</v>
      </c>
      <c r="F12886" s="137" t="s">
        <v>24</v>
      </c>
      <c r="G12886" s="128" t="str">
        <f>VLOOKUP(source[[#This Row],[lending_product_transform]],[3]Mapping!$B$4:$C$37,2,0)</f>
        <v>[Cake] - Cashloan</v>
      </c>
      <c r="H12886" s="128" t="str">
        <f>VLOOKUP(source[[#This Row],[lending_product_transform]],[3]Mapping!$B$3:$D$37,3,0)</f>
        <v>cashloan</v>
      </c>
      <c r="I12886" s="137">
        <v>11337900</v>
      </c>
    </row>
    <row r="12887" spans="1:9" x14ac:dyDescent="0.2">
      <c r="A12887" s="134">
        <v>46064</v>
      </c>
      <c r="B12887" s="135">
        <f>YEAR(source[[#This Row],[report_date]])</f>
        <v>2026</v>
      </c>
      <c r="C12887" s="128">
        <f t="shared" si="602"/>
        <v>2</v>
      </c>
      <c r="D12887" s="136">
        <f t="shared" si="604"/>
        <v>7</v>
      </c>
      <c r="E12887" s="136">
        <f t="shared" si="603"/>
        <v>11</v>
      </c>
      <c r="F12887" s="137" t="s">
        <v>24</v>
      </c>
      <c r="G12887" s="128" t="str">
        <f>VLOOKUP(source[[#This Row],[lending_product_transform]],[3]Mapping!$B$4:$C$37,2,0)</f>
        <v>[Cake] - Cashloan</v>
      </c>
      <c r="H12887" s="128" t="str">
        <f>VLOOKUP(source[[#This Row],[lending_product_transform]],[3]Mapping!$B$3:$D$37,3,0)</f>
        <v>cashloan</v>
      </c>
      <c r="I12887" s="137">
        <v>2163121408</v>
      </c>
    </row>
    <row r="12888" spans="1:9" x14ac:dyDescent="0.2">
      <c r="A12888" s="134">
        <v>46064</v>
      </c>
      <c r="B12888" s="135">
        <f>YEAR(source[[#This Row],[report_date]])</f>
        <v>2026</v>
      </c>
      <c r="C12888" s="128">
        <f t="shared" si="602"/>
        <v>2</v>
      </c>
      <c r="D12888" s="136">
        <f t="shared" si="604"/>
        <v>7</v>
      </c>
      <c r="E12888" s="136">
        <f t="shared" si="603"/>
        <v>11</v>
      </c>
      <c r="F12888" s="137" t="s">
        <v>24</v>
      </c>
      <c r="G12888" s="128" t="str">
        <f>VLOOKUP(source[[#This Row],[lending_product_transform]],[3]Mapping!$B$4:$C$37,2,0)</f>
        <v>[Cake] - Cashloan</v>
      </c>
      <c r="H12888" s="128" t="str">
        <f>VLOOKUP(source[[#This Row],[lending_product_transform]],[3]Mapping!$B$3:$D$37,3,0)</f>
        <v>cashloan</v>
      </c>
      <c r="I12888" s="137">
        <v>0</v>
      </c>
    </row>
    <row r="12889" spans="1:9" x14ac:dyDescent="0.2">
      <c r="A12889" s="134">
        <v>46064</v>
      </c>
      <c r="B12889" s="135">
        <f>YEAR(source[[#This Row],[report_date]])</f>
        <v>2026</v>
      </c>
      <c r="C12889" s="128">
        <f t="shared" si="602"/>
        <v>2</v>
      </c>
      <c r="D12889" s="136">
        <f t="shared" si="604"/>
        <v>7</v>
      </c>
      <c r="E12889" s="136">
        <f t="shared" si="603"/>
        <v>11</v>
      </c>
      <c r="F12889" s="137" t="s">
        <v>24</v>
      </c>
      <c r="G12889" s="128" t="str">
        <f>VLOOKUP(source[[#This Row],[lending_product_transform]],[3]Mapping!$B$4:$C$37,2,0)</f>
        <v>[Cake] - Cashloan</v>
      </c>
      <c r="H12889" s="128" t="str">
        <f>VLOOKUP(source[[#This Row],[lending_product_transform]],[3]Mapping!$B$3:$D$37,3,0)</f>
        <v>cashloan</v>
      </c>
      <c r="I12889" s="137">
        <v>117000000</v>
      </c>
    </row>
    <row r="12890" spans="1:9" x14ac:dyDescent="0.2">
      <c r="A12890" s="134">
        <v>46064</v>
      </c>
      <c r="B12890" s="135">
        <f>YEAR(source[[#This Row],[report_date]])</f>
        <v>2026</v>
      </c>
      <c r="C12890" s="128">
        <f t="shared" si="602"/>
        <v>2</v>
      </c>
      <c r="D12890" s="136">
        <f t="shared" si="604"/>
        <v>7</v>
      </c>
      <c r="E12890" s="136">
        <f t="shared" si="603"/>
        <v>11</v>
      </c>
      <c r="F12890" s="137" t="s">
        <v>24</v>
      </c>
      <c r="G12890" s="128" t="str">
        <f>VLOOKUP(source[[#This Row],[lending_product_transform]],[3]Mapping!$B$4:$C$37,2,0)</f>
        <v>[Cake] - Cashloan</v>
      </c>
      <c r="H12890" s="128" t="str">
        <f>VLOOKUP(source[[#This Row],[lending_product_transform]],[3]Mapping!$B$3:$D$37,3,0)</f>
        <v>cashloan</v>
      </c>
      <c r="I12890" s="137">
        <v>0</v>
      </c>
    </row>
    <row r="12891" spans="1:9" x14ac:dyDescent="0.2">
      <c r="A12891" s="134">
        <v>46064</v>
      </c>
      <c r="B12891" s="135">
        <f>YEAR(source[[#This Row],[report_date]])</f>
        <v>2026</v>
      </c>
      <c r="C12891" s="128">
        <f t="shared" si="602"/>
        <v>2</v>
      </c>
      <c r="D12891" s="136">
        <f t="shared" si="604"/>
        <v>7</v>
      </c>
      <c r="E12891" s="136">
        <f t="shared" si="603"/>
        <v>11</v>
      </c>
      <c r="F12891" s="137" t="s">
        <v>24</v>
      </c>
      <c r="G12891" s="128" t="str">
        <f>VLOOKUP(source[[#This Row],[lending_product_transform]],[3]Mapping!$B$4:$C$37,2,0)</f>
        <v>[Cake] - Cashloan</v>
      </c>
      <c r="H12891" s="128" t="str">
        <f>VLOOKUP(source[[#This Row],[lending_product_transform]],[3]Mapping!$B$3:$D$37,3,0)</f>
        <v>cashloan</v>
      </c>
      <c r="I12891" s="137">
        <v>20131040000</v>
      </c>
    </row>
    <row r="12892" spans="1:9" x14ac:dyDescent="0.2">
      <c r="A12892" s="134">
        <v>46064</v>
      </c>
      <c r="B12892" s="135">
        <f>YEAR(source[[#This Row],[report_date]])</f>
        <v>2026</v>
      </c>
      <c r="C12892" s="128">
        <f t="shared" si="602"/>
        <v>2</v>
      </c>
      <c r="D12892" s="136">
        <f t="shared" si="604"/>
        <v>7</v>
      </c>
      <c r="E12892" s="136">
        <f t="shared" si="603"/>
        <v>11</v>
      </c>
      <c r="F12892" s="137" t="s">
        <v>24</v>
      </c>
      <c r="G12892" s="128" t="str">
        <f>VLOOKUP(source[[#This Row],[lending_product_transform]],[3]Mapping!$B$4:$C$37,2,0)</f>
        <v>[Cake] - Cashloan</v>
      </c>
      <c r="H12892" s="128" t="str">
        <f>VLOOKUP(source[[#This Row],[lending_product_transform]],[3]Mapping!$B$3:$D$37,3,0)</f>
        <v>cashloan</v>
      </c>
      <c r="I12892" s="137">
        <v>0</v>
      </c>
    </row>
    <row r="12893" spans="1:9" x14ac:dyDescent="0.2">
      <c r="A12893" s="134">
        <v>46064</v>
      </c>
      <c r="B12893" s="135">
        <f>YEAR(source[[#This Row],[report_date]])</f>
        <v>2026</v>
      </c>
      <c r="C12893" s="128">
        <f t="shared" si="602"/>
        <v>2</v>
      </c>
      <c r="D12893" s="136">
        <f t="shared" si="604"/>
        <v>7</v>
      </c>
      <c r="E12893" s="136">
        <f t="shared" si="603"/>
        <v>11</v>
      </c>
      <c r="F12893" s="137" t="s">
        <v>24</v>
      </c>
      <c r="G12893" s="128" t="str">
        <f>VLOOKUP(source[[#This Row],[lending_product_transform]],[3]Mapping!$B$4:$C$37,2,0)</f>
        <v>[Cake] - Cashloan</v>
      </c>
      <c r="H12893" s="128" t="str">
        <f>VLOOKUP(source[[#This Row],[lending_product_transform]],[3]Mapping!$B$3:$D$37,3,0)</f>
        <v>cashloan</v>
      </c>
      <c r="I12893" s="137">
        <v>0</v>
      </c>
    </row>
    <row r="12894" spans="1:9" x14ac:dyDescent="0.2">
      <c r="A12894" s="134">
        <v>46064</v>
      </c>
      <c r="B12894" s="135">
        <f>YEAR(source[[#This Row],[report_date]])</f>
        <v>2026</v>
      </c>
      <c r="C12894" s="128">
        <f t="shared" si="602"/>
        <v>2</v>
      </c>
      <c r="D12894" s="136">
        <f t="shared" si="604"/>
        <v>7</v>
      </c>
      <c r="E12894" s="136">
        <f t="shared" si="603"/>
        <v>11</v>
      </c>
      <c r="F12894" s="137" t="s">
        <v>24</v>
      </c>
      <c r="G12894" s="128" t="str">
        <f>VLOOKUP(source[[#This Row],[lending_product_transform]],[3]Mapping!$B$4:$C$37,2,0)</f>
        <v>[Cake] - Cashloan</v>
      </c>
      <c r="H12894" s="128" t="str">
        <f>VLOOKUP(source[[#This Row],[lending_product_transform]],[3]Mapping!$B$3:$D$37,3,0)</f>
        <v>cashloan</v>
      </c>
      <c r="I12894" s="137">
        <v>0</v>
      </c>
    </row>
    <row r="12895" spans="1:9" x14ac:dyDescent="0.2">
      <c r="A12895" s="134">
        <v>46064</v>
      </c>
      <c r="B12895" s="135">
        <f>YEAR(source[[#This Row],[report_date]])</f>
        <v>2026</v>
      </c>
      <c r="C12895" s="128">
        <f t="shared" si="602"/>
        <v>2</v>
      </c>
      <c r="D12895" s="136">
        <f t="shared" si="604"/>
        <v>7</v>
      </c>
      <c r="E12895" s="136">
        <f t="shared" si="603"/>
        <v>11</v>
      </c>
      <c r="F12895" s="137" t="s">
        <v>24</v>
      </c>
      <c r="G12895" s="128" t="str">
        <f>VLOOKUP(source[[#This Row],[lending_product_transform]],[3]Mapping!$B$4:$C$37,2,0)</f>
        <v>[Cake] - Cashloan</v>
      </c>
      <c r="H12895" s="128" t="str">
        <f>VLOOKUP(source[[#This Row],[lending_product_transform]],[3]Mapping!$B$3:$D$37,3,0)</f>
        <v>cashloan</v>
      </c>
      <c r="I12895" s="137">
        <v>30000000</v>
      </c>
    </row>
    <row r="12896" spans="1:9" x14ac:dyDescent="0.2">
      <c r="A12896" s="134">
        <v>46064</v>
      </c>
      <c r="B12896" s="135">
        <f>YEAR(source[[#This Row],[report_date]])</f>
        <v>2026</v>
      </c>
      <c r="C12896" s="128">
        <f t="shared" si="602"/>
        <v>2</v>
      </c>
      <c r="D12896" s="136">
        <f t="shared" si="604"/>
        <v>7</v>
      </c>
      <c r="E12896" s="136">
        <f t="shared" si="603"/>
        <v>11</v>
      </c>
      <c r="F12896" s="137" t="s">
        <v>24</v>
      </c>
      <c r="G12896" s="128" t="str">
        <f>VLOOKUP(source[[#This Row],[lending_product_transform]],[3]Mapping!$B$4:$C$37,2,0)</f>
        <v>[Cake] - Cashloan</v>
      </c>
      <c r="H12896" s="128" t="str">
        <f>VLOOKUP(source[[#This Row],[lending_product_transform]],[3]Mapping!$B$3:$D$37,3,0)</f>
        <v>cashloan</v>
      </c>
      <c r="I12896" s="137">
        <v>14314212000</v>
      </c>
    </row>
    <row r="12897" spans="1:9" x14ac:dyDescent="0.2">
      <c r="A12897" s="134">
        <v>46064</v>
      </c>
      <c r="B12897" s="135">
        <f>YEAR(source[[#This Row],[report_date]])</f>
        <v>2026</v>
      </c>
      <c r="C12897" s="128">
        <f t="shared" si="602"/>
        <v>2</v>
      </c>
      <c r="D12897" s="136">
        <f t="shared" si="604"/>
        <v>7</v>
      </c>
      <c r="E12897" s="136">
        <f t="shared" si="603"/>
        <v>11</v>
      </c>
      <c r="F12897" s="137" t="s">
        <v>24</v>
      </c>
      <c r="G12897" s="128" t="str">
        <f>VLOOKUP(source[[#This Row],[lending_product_transform]],[3]Mapping!$B$4:$C$37,2,0)</f>
        <v>[Cake] - Cashloan</v>
      </c>
      <c r="H12897" s="128" t="str">
        <f>VLOOKUP(source[[#This Row],[lending_product_transform]],[3]Mapping!$B$3:$D$37,3,0)</f>
        <v>cashloan</v>
      </c>
      <c r="I12897" s="137">
        <v>217746686</v>
      </c>
    </row>
    <row r="12898" spans="1:9" x14ac:dyDescent="0.2">
      <c r="A12898" s="134">
        <v>46064</v>
      </c>
      <c r="B12898" s="135">
        <f>YEAR(source[[#This Row],[report_date]])</f>
        <v>2026</v>
      </c>
      <c r="C12898" s="128">
        <f t="shared" si="602"/>
        <v>2</v>
      </c>
      <c r="D12898" s="136">
        <f t="shared" si="604"/>
        <v>7</v>
      </c>
      <c r="E12898" s="136">
        <f t="shared" si="603"/>
        <v>11</v>
      </c>
      <c r="F12898" s="137" t="s">
        <v>24</v>
      </c>
      <c r="G12898" s="128" t="str">
        <f>VLOOKUP(source[[#This Row],[lending_product_transform]],[3]Mapping!$B$4:$C$37,2,0)</f>
        <v>[Cake] - Cashloan</v>
      </c>
      <c r="H12898" s="128" t="str">
        <f>VLOOKUP(source[[#This Row],[lending_product_transform]],[3]Mapping!$B$3:$D$37,3,0)</f>
        <v>cashloan</v>
      </c>
      <c r="I12898" s="137">
        <v>26250000</v>
      </c>
    </row>
    <row r="12899" spans="1:9" x14ac:dyDescent="0.2">
      <c r="A12899" s="134">
        <v>46064</v>
      </c>
      <c r="B12899" s="135">
        <f>YEAR(source[[#This Row],[report_date]])</f>
        <v>2026</v>
      </c>
      <c r="C12899" s="128">
        <f t="shared" si="602"/>
        <v>2</v>
      </c>
      <c r="D12899" s="136">
        <f t="shared" si="604"/>
        <v>7</v>
      </c>
      <c r="E12899" s="136">
        <f t="shared" si="603"/>
        <v>11</v>
      </c>
      <c r="F12899" s="137" t="s">
        <v>24</v>
      </c>
      <c r="G12899" s="128" t="str">
        <f>VLOOKUP(source[[#This Row],[lending_product_transform]],[3]Mapping!$B$4:$C$37,2,0)</f>
        <v>[Cake] - Cashloan</v>
      </c>
      <c r="H12899" s="128" t="str">
        <f>VLOOKUP(source[[#This Row],[lending_product_transform]],[3]Mapping!$B$3:$D$37,3,0)</f>
        <v>cashloan</v>
      </c>
      <c r="I12899" s="137">
        <v>41000000</v>
      </c>
    </row>
    <row r="12900" spans="1:9" x14ac:dyDescent="0.2">
      <c r="A12900" s="134">
        <v>46064</v>
      </c>
      <c r="B12900" s="135">
        <f>YEAR(source[[#This Row],[report_date]])</f>
        <v>2026</v>
      </c>
      <c r="C12900" s="128">
        <f t="shared" si="602"/>
        <v>2</v>
      </c>
      <c r="D12900" s="136">
        <f t="shared" si="604"/>
        <v>7</v>
      </c>
      <c r="E12900" s="136">
        <f t="shared" si="603"/>
        <v>11</v>
      </c>
      <c r="F12900" s="137" t="s">
        <v>24</v>
      </c>
      <c r="G12900" s="128" t="str">
        <f>VLOOKUP(source[[#This Row],[lending_product_transform]],[3]Mapping!$B$4:$C$37,2,0)</f>
        <v>[Cake] - Cashloan</v>
      </c>
      <c r="H12900" s="128" t="str">
        <f>VLOOKUP(source[[#This Row],[lending_product_transform]],[3]Mapping!$B$3:$D$37,3,0)</f>
        <v>cashloan</v>
      </c>
      <c r="I12900" s="137">
        <v>1090080000</v>
      </c>
    </row>
    <row r="12901" spans="1:9" x14ac:dyDescent="0.2">
      <c r="A12901" s="134">
        <v>46064</v>
      </c>
      <c r="B12901" s="135">
        <f>YEAR(source[[#This Row],[report_date]])</f>
        <v>2026</v>
      </c>
      <c r="C12901" s="128">
        <f t="shared" si="602"/>
        <v>2</v>
      </c>
      <c r="D12901" s="136">
        <f t="shared" si="604"/>
        <v>7</v>
      </c>
      <c r="E12901" s="136">
        <f t="shared" si="603"/>
        <v>11</v>
      </c>
      <c r="F12901" s="137" t="s">
        <v>24</v>
      </c>
      <c r="G12901" s="128" t="str">
        <f>VLOOKUP(source[[#This Row],[lending_product_transform]],[3]Mapping!$B$4:$C$37,2,0)</f>
        <v>[Cake] - Cashloan</v>
      </c>
      <c r="H12901" s="128" t="str">
        <f>VLOOKUP(source[[#This Row],[lending_product_transform]],[3]Mapping!$B$3:$D$37,3,0)</f>
        <v>cashloan</v>
      </c>
      <c r="I12901" s="137">
        <v>388692000</v>
      </c>
    </row>
    <row r="12902" spans="1:9" x14ac:dyDescent="0.2">
      <c r="A12902" s="134">
        <v>46064</v>
      </c>
      <c r="B12902" s="135">
        <f>YEAR(source[[#This Row],[report_date]])</f>
        <v>2026</v>
      </c>
      <c r="C12902" s="128">
        <f t="shared" si="602"/>
        <v>2</v>
      </c>
      <c r="D12902" s="136">
        <f t="shared" si="604"/>
        <v>7</v>
      </c>
      <c r="E12902" s="136">
        <f t="shared" si="603"/>
        <v>11</v>
      </c>
      <c r="F12902" s="137" t="s">
        <v>24</v>
      </c>
      <c r="G12902" s="128" t="str">
        <f>VLOOKUP(source[[#This Row],[lending_product_transform]],[3]Mapping!$B$4:$C$37,2,0)</f>
        <v>[Cake] - Cashloan</v>
      </c>
      <c r="H12902" s="128" t="str">
        <f>VLOOKUP(source[[#This Row],[lending_product_transform]],[3]Mapping!$B$3:$D$37,3,0)</f>
        <v>cashloan</v>
      </c>
      <c r="I12902" s="137">
        <v>380520888</v>
      </c>
    </row>
    <row r="12903" spans="1:9" x14ac:dyDescent="0.2">
      <c r="A12903" s="134">
        <v>46064</v>
      </c>
      <c r="B12903" s="135">
        <f>YEAR(source[[#This Row],[report_date]])</f>
        <v>2026</v>
      </c>
      <c r="C12903" s="128">
        <f t="shared" si="602"/>
        <v>2</v>
      </c>
      <c r="D12903" s="136">
        <f t="shared" si="604"/>
        <v>7</v>
      </c>
      <c r="E12903" s="136">
        <f t="shared" si="603"/>
        <v>11</v>
      </c>
      <c r="F12903" s="137" t="s">
        <v>24</v>
      </c>
      <c r="G12903" s="128" t="str">
        <f>VLOOKUP(source[[#This Row],[lending_product_transform]],[3]Mapping!$B$4:$C$37,2,0)</f>
        <v>[Cake] - Cashloan</v>
      </c>
      <c r="H12903" s="128" t="str">
        <f>VLOOKUP(source[[#This Row],[lending_product_transform]],[3]Mapping!$B$3:$D$37,3,0)</f>
        <v>cashloan</v>
      </c>
      <c r="I12903" s="137">
        <v>4042080000</v>
      </c>
    </row>
    <row r="12904" spans="1:9" x14ac:dyDescent="0.2">
      <c r="A12904" s="134">
        <v>46064</v>
      </c>
      <c r="B12904" s="135">
        <f>YEAR(source[[#This Row],[report_date]])</f>
        <v>2026</v>
      </c>
      <c r="C12904" s="128">
        <f t="shared" si="602"/>
        <v>2</v>
      </c>
      <c r="D12904" s="136">
        <f t="shared" si="604"/>
        <v>7</v>
      </c>
      <c r="E12904" s="136">
        <f t="shared" si="603"/>
        <v>11</v>
      </c>
      <c r="F12904" s="137" t="s">
        <v>24</v>
      </c>
      <c r="G12904" s="128" t="str">
        <f>VLOOKUP(source[[#This Row],[lending_product_transform]],[3]Mapping!$B$4:$C$37,2,0)</f>
        <v>[Cake] - Cashloan</v>
      </c>
      <c r="H12904" s="128" t="str">
        <f>VLOOKUP(source[[#This Row],[lending_product_transform]],[3]Mapping!$B$3:$D$37,3,0)</f>
        <v>cashloan</v>
      </c>
      <c r="I12904" s="137">
        <v>414560000</v>
      </c>
    </row>
    <row r="12905" spans="1:9" x14ac:dyDescent="0.2">
      <c r="A12905" s="134">
        <v>46065</v>
      </c>
      <c r="B12905" s="135">
        <f>YEAR(source[[#This Row],[report_date]])</f>
        <v>2026</v>
      </c>
      <c r="C12905" s="128">
        <f t="shared" si="602"/>
        <v>2</v>
      </c>
      <c r="D12905" s="136">
        <f t="shared" si="604"/>
        <v>7</v>
      </c>
      <c r="E12905" s="136">
        <f t="shared" si="603"/>
        <v>12</v>
      </c>
      <c r="F12905" s="137" t="s">
        <v>24</v>
      </c>
      <c r="G12905" s="128" t="str">
        <f>VLOOKUP(source[[#This Row],[lending_product_transform]],[3]Mapping!$B$4:$C$37,2,0)</f>
        <v>[Cake] - Cashloan</v>
      </c>
      <c r="H12905" s="128" t="str">
        <f>VLOOKUP(source[[#This Row],[lending_product_transform]],[3]Mapping!$B$3:$D$37,3,0)</f>
        <v>cashloan</v>
      </c>
      <c r="I12905" s="137">
        <v>679300000</v>
      </c>
    </row>
    <row r="12906" spans="1:9" x14ac:dyDescent="0.2">
      <c r="A12906" s="134">
        <v>46065</v>
      </c>
      <c r="B12906" s="135">
        <f>YEAR(source[[#This Row],[report_date]])</f>
        <v>2026</v>
      </c>
      <c r="C12906" s="128">
        <f t="shared" si="602"/>
        <v>2</v>
      </c>
      <c r="D12906" s="136">
        <f t="shared" si="604"/>
        <v>7</v>
      </c>
      <c r="E12906" s="136">
        <f t="shared" si="603"/>
        <v>12</v>
      </c>
      <c r="F12906" s="137" t="s">
        <v>24</v>
      </c>
      <c r="G12906" s="128" t="str">
        <f>VLOOKUP(source[[#This Row],[lending_product_transform]],[3]Mapping!$B$4:$C$37,2,0)</f>
        <v>[Cake] - Cashloan</v>
      </c>
      <c r="H12906" s="128" t="str">
        <f>VLOOKUP(source[[#This Row],[lending_product_transform]],[3]Mapping!$B$3:$D$37,3,0)</f>
        <v>cashloan</v>
      </c>
      <c r="I12906" s="137">
        <v>339242997</v>
      </c>
    </row>
    <row r="12907" spans="1:9" x14ac:dyDescent="0.2">
      <c r="A12907" s="134">
        <v>46065</v>
      </c>
      <c r="B12907" s="135">
        <f>YEAR(source[[#This Row],[report_date]])</f>
        <v>2026</v>
      </c>
      <c r="C12907" s="128">
        <f t="shared" si="602"/>
        <v>2</v>
      </c>
      <c r="D12907" s="136">
        <f t="shared" si="604"/>
        <v>7</v>
      </c>
      <c r="E12907" s="136">
        <f t="shared" si="603"/>
        <v>12</v>
      </c>
      <c r="F12907" s="137" t="s">
        <v>24</v>
      </c>
      <c r="G12907" s="128" t="str">
        <f>VLOOKUP(source[[#This Row],[lending_product_transform]],[3]Mapping!$B$4:$C$37,2,0)</f>
        <v>[Cake] - Cashloan</v>
      </c>
      <c r="H12907" s="128" t="str">
        <f>VLOOKUP(source[[#This Row],[lending_product_transform]],[3]Mapping!$B$3:$D$37,3,0)</f>
        <v>cashloan</v>
      </c>
      <c r="I12907" s="137">
        <v>15537640000</v>
      </c>
    </row>
    <row r="12908" spans="1:9" x14ac:dyDescent="0.2">
      <c r="A12908" s="134">
        <v>46065</v>
      </c>
      <c r="B12908" s="135">
        <f>YEAR(source[[#This Row],[report_date]])</f>
        <v>2026</v>
      </c>
      <c r="C12908" s="128">
        <f t="shared" si="602"/>
        <v>2</v>
      </c>
      <c r="D12908" s="136">
        <f t="shared" si="604"/>
        <v>7</v>
      </c>
      <c r="E12908" s="136">
        <f t="shared" si="603"/>
        <v>12</v>
      </c>
      <c r="F12908" s="137" t="s">
        <v>24</v>
      </c>
      <c r="G12908" s="128" t="str">
        <f>VLOOKUP(source[[#This Row],[lending_product_transform]],[3]Mapping!$B$4:$C$37,2,0)</f>
        <v>[Cake] - Cashloan</v>
      </c>
      <c r="H12908" s="128" t="str">
        <f>VLOOKUP(source[[#This Row],[lending_product_transform]],[3]Mapping!$B$3:$D$37,3,0)</f>
        <v>cashloan</v>
      </c>
      <c r="I12908" s="137">
        <v>2012131802</v>
      </c>
    </row>
    <row r="12909" spans="1:9" x14ac:dyDescent="0.2">
      <c r="A12909" s="134">
        <v>46065</v>
      </c>
      <c r="B12909" s="135">
        <f>YEAR(source[[#This Row],[report_date]])</f>
        <v>2026</v>
      </c>
      <c r="C12909" s="128">
        <f t="shared" si="602"/>
        <v>2</v>
      </c>
      <c r="D12909" s="136">
        <f t="shared" si="604"/>
        <v>7</v>
      </c>
      <c r="E12909" s="136">
        <f t="shared" si="603"/>
        <v>12</v>
      </c>
      <c r="F12909" s="137" t="s">
        <v>24</v>
      </c>
      <c r="G12909" s="128" t="str">
        <f>VLOOKUP(source[[#This Row],[lending_product_transform]],[3]Mapping!$B$4:$C$37,2,0)</f>
        <v>[Cake] - Cashloan</v>
      </c>
      <c r="H12909" s="128" t="str">
        <f>VLOOKUP(source[[#This Row],[lending_product_transform]],[3]Mapping!$B$3:$D$37,3,0)</f>
        <v>cashloan</v>
      </c>
      <c r="I12909" s="137">
        <v>14688324000</v>
      </c>
    </row>
    <row r="12910" spans="1:9" x14ac:dyDescent="0.2">
      <c r="A12910" s="134">
        <v>46065</v>
      </c>
      <c r="B12910" s="135">
        <f>YEAR(source[[#This Row],[report_date]])</f>
        <v>2026</v>
      </c>
      <c r="C12910" s="128">
        <f t="shared" si="602"/>
        <v>2</v>
      </c>
      <c r="D12910" s="136">
        <f t="shared" si="604"/>
        <v>7</v>
      </c>
      <c r="E12910" s="136">
        <f t="shared" si="603"/>
        <v>12</v>
      </c>
      <c r="F12910" s="137" t="s">
        <v>24</v>
      </c>
      <c r="G12910" s="128" t="str">
        <f>VLOOKUP(source[[#This Row],[lending_product_transform]],[3]Mapping!$B$4:$C$37,2,0)</f>
        <v>[Cake] - Cashloan</v>
      </c>
      <c r="H12910" s="128" t="str">
        <f>VLOOKUP(source[[#This Row],[lending_product_transform]],[3]Mapping!$B$3:$D$37,3,0)</f>
        <v>cashloan</v>
      </c>
      <c r="I12910" s="137">
        <v>10206317</v>
      </c>
    </row>
    <row r="12911" spans="1:9" x14ac:dyDescent="0.2">
      <c r="A12911" s="134">
        <v>46065</v>
      </c>
      <c r="B12911" s="135">
        <f>YEAR(source[[#This Row],[report_date]])</f>
        <v>2026</v>
      </c>
      <c r="C12911" s="128">
        <f t="shared" si="602"/>
        <v>2</v>
      </c>
      <c r="D12911" s="136">
        <f t="shared" si="604"/>
        <v>7</v>
      </c>
      <c r="E12911" s="136">
        <f t="shared" si="603"/>
        <v>12</v>
      </c>
      <c r="F12911" s="137" t="s">
        <v>24</v>
      </c>
      <c r="G12911" s="128" t="str">
        <f>VLOOKUP(source[[#This Row],[lending_product_transform]],[3]Mapping!$B$4:$C$37,2,0)</f>
        <v>[Cake] - Cashloan</v>
      </c>
      <c r="H12911" s="128" t="str">
        <f>VLOOKUP(source[[#This Row],[lending_product_transform]],[3]Mapping!$B$3:$D$37,3,0)</f>
        <v>cashloan</v>
      </c>
      <c r="I12911" s="137">
        <v>60000000</v>
      </c>
    </row>
    <row r="12912" spans="1:9" x14ac:dyDescent="0.2">
      <c r="A12912" s="134">
        <v>46065</v>
      </c>
      <c r="B12912" s="135">
        <f>YEAR(source[[#This Row],[report_date]])</f>
        <v>2026</v>
      </c>
      <c r="C12912" s="128">
        <f t="shared" si="602"/>
        <v>2</v>
      </c>
      <c r="D12912" s="136">
        <f t="shared" si="604"/>
        <v>7</v>
      </c>
      <c r="E12912" s="136">
        <f t="shared" si="603"/>
        <v>12</v>
      </c>
      <c r="F12912" s="137" t="s">
        <v>24</v>
      </c>
      <c r="G12912" s="128" t="str">
        <f>VLOOKUP(source[[#This Row],[lending_product_transform]],[3]Mapping!$B$4:$C$37,2,0)</f>
        <v>[Cake] - Cashloan</v>
      </c>
      <c r="H12912" s="128" t="str">
        <f>VLOOKUP(source[[#This Row],[lending_product_transform]],[3]Mapping!$B$3:$D$37,3,0)</f>
        <v>cashloan</v>
      </c>
      <c r="I12912" s="137">
        <v>5803230000</v>
      </c>
    </row>
    <row r="12913" spans="1:9" x14ac:dyDescent="0.2">
      <c r="A12913" s="134">
        <v>46065</v>
      </c>
      <c r="B12913" s="135">
        <f>YEAR(source[[#This Row],[report_date]])</f>
        <v>2026</v>
      </c>
      <c r="C12913" s="128">
        <f t="shared" si="602"/>
        <v>2</v>
      </c>
      <c r="D12913" s="136">
        <f t="shared" si="604"/>
        <v>7</v>
      </c>
      <c r="E12913" s="136">
        <f t="shared" si="603"/>
        <v>12</v>
      </c>
      <c r="F12913" s="137" t="s">
        <v>24</v>
      </c>
      <c r="G12913" s="128" t="str">
        <f>VLOOKUP(source[[#This Row],[lending_product_transform]],[3]Mapping!$B$4:$C$37,2,0)</f>
        <v>[Cake] - Cashloan</v>
      </c>
      <c r="H12913" s="128" t="str">
        <f>VLOOKUP(source[[#This Row],[lending_product_transform]],[3]Mapping!$B$3:$D$37,3,0)</f>
        <v>cashloan</v>
      </c>
      <c r="I12913" s="137">
        <v>1310970000</v>
      </c>
    </row>
    <row r="12914" spans="1:9" x14ac:dyDescent="0.2">
      <c r="A12914" s="134">
        <v>46065</v>
      </c>
      <c r="B12914" s="135">
        <f>YEAR(source[[#This Row],[report_date]])</f>
        <v>2026</v>
      </c>
      <c r="C12914" s="128">
        <f t="shared" si="602"/>
        <v>2</v>
      </c>
      <c r="D12914" s="136">
        <f t="shared" si="604"/>
        <v>7</v>
      </c>
      <c r="E12914" s="136">
        <f t="shared" si="603"/>
        <v>12</v>
      </c>
      <c r="F12914" s="137" t="s">
        <v>24</v>
      </c>
      <c r="G12914" s="128" t="str">
        <f>VLOOKUP(source[[#This Row],[lending_product_transform]],[3]Mapping!$B$4:$C$37,2,0)</f>
        <v>[Cake] - Cashloan</v>
      </c>
      <c r="H12914" s="128" t="str">
        <f>VLOOKUP(source[[#This Row],[lending_product_transform]],[3]Mapping!$B$3:$D$37,3,0)</f>
        <v>cashloan</v>
      </c>
      <c r="I12914" s="137">
        <v>11743716</v>
      </c>
    </row>
    <row r="12915" spans="1:9" x14ac:dyDescent="0.2">
      <c r="A12915" s="134">
        <v>46065</v>
      </c>
      <c r="B12915" s="135">
        <f>YEAR(source[[#This Row],[report_date]])</f>
        <v>2026</v>
      </c>
      <c r="C12915" s="128">
        <f t="shared" si="602"/>
        <v>2</v>
      </c>
      <c r="D12915" s="136">
        <f t="shared" si="604"/>
        <v>7</v>
      </c>
      <c r="E12915" s="136">
        <f t="shared" si="603"/>
        <v>12</v>
      </c>
      <c r="F12915" s="137" t="s">
        <v>24</v>
      </c>
      <c r="G12915" s="128" t="str">
        <f>VLOOKUP(source[[#This Row],[lending_product_transform]],[3]Mapping!$B$4:$C$37,2,0)</f>
        <v>[Cake] - Cashloan</v>
      </c>
      <c r="H12915" s="128" t="str">
        <f>VLOOKUP(source[[#This Row],[lending_product_transform]],[3]Mapping!$B$3:$D$37,3,0)</f>
        <v>cashloan</v>
      </c>
      <c r="I12915" s="137">
        <v>1861858527</v>
      </c>
    </row>
    <row r="12916" spans="1:9" x14ac:dyDescent="0.2">
      <c r="A12916" s="134">
        <v>46065</v>
      </c>
      <c r="B12916" s="135">
        <f>YEAR(source[[#This Row],[report_date]])</f>
        <v>2026</v>
      </c>
      <c r="C12916" s="128">
        <f t="shared" si="602"/>
        <v>2</v>
      </c>
      <c r="D12916" s="136">
        <f t="shared" si="604"/>
        <v>7</v>
      </c>
      <c r="E12916" s="136">
        <f t="shared" si="603"/>
        <v>12</v>
      </c>
      <c r="F12916" s="137" t="s">
        <v>24</v>
      </c>
      <c r="G12916" s="128" t="str">
        <f>VLOOKUP(source[[#This Row],[lending_product_transform]],[3]Mapping!$B$4:$C$37,2,0)</f>
        <v>[Cake] - Cashloan</v>
      </c>
      <c r="H12916" s="128" t="str">
        <f>VLOOKUP(source[[#This Row],[lending_product_transform]],[3]Mapping!$B$3:$D$37,3,0)</f>
        <v>cashloan</v>
      </c>
      <c r="I12916" s="137">
        <v>0</v>
      </c>
    </row>
    <row r="12917" spans="1:9" x14ac:dyDescent="0.2">
      <c r="A12917" s="134">
        <v>46065</v>
      </c>
      <c r="B12917" s="135">
        <f>YEAR(source[[#This Row],[report_date]])</f>
        <v>2026</v>
      </c>
      <c r="C12917" s="128">
        <f t="shared" si="602"/>
        <v>2</v>
      </c>
      <c r="D12917" s="136">
        <f t="shared" si="604"/>
        <v>7</v>
      </c>
      <c r="E12917" s="136">
        <f t="shared" si="603"/>
        <v>12</v>
      </c>
      <c r="F12917" s="137" t="s">
        <v>24</v>
      </c>
      <c r="G12917" s="128" t="str">
        <f>VLOOKUP(source[[#This Row],[lending_product_transform]],[3]Mapping!$B$4:$C$37,2,0)</f>
        <v>[Cake] - Cashloan</v>
      </c>
      <c r="H12917" s="128" t="str">
        <f>VLOOKUP(source[[#This Row],[lending_product_transform]],[3]Mapping!$B$3:$D$37,3,0)</f>
        <v>cashloan</v>
      </c>
      <c r="I12917" s="137">
        <v>95050000</v>
      </c>
    </row>
    <row r="12918" spans="1:9" x14ac:dyDescent="0.2">
      <c r="A12918" s="134">
        <v>46065</v>
      </c>
      <c r="B12918" s="135">
        <f>YEAR(source[[#This Row],[report_date]])</f>
        <v>2026</v>
      </c>
      <c r="C12918" s="128">
        <f t="shared" ref="C12918:C12981" si="605">MONTH(A12918)</f>
        <v>2</v>
      </c>
      <c r="D12918" s="136">
        <f t="shared" si="604"/>
        <v>7</v>
      </c>
      <c r="E12918" s="136">
        <f t="shared" ref="E12918:E12981" si="606">DAY(A12918)</f>
        <v>12</v>
      </c>
      <c r="F12918" s="137" t="s">
        <v>24</v>
      </c>
      <c r="G12918" s="128" t="str">
        <f>VLOOKUP(source[[#This Row],[lending_product_transform]],[3]Mapping!$B$4:$C$37,2,0)</f>
        <v>[Cake] - Cashloan</v>
      </c>
      <c r="H12918" s="128" t="str">
        <f>VLOOKUP(source[[#This Row],[lending_product_transform]],[3]Mapping!$B$3:$D$37,3,0)</f>
        <v>cashloan</v>
      </c>
      <c r="I12918" s="137">
        <v>51500000</v>
      </c>
    </row>
    <row r="12919" spans="1:9" x14ac:dyDescent="0.2">
      <c r="A12919" s="134">
        <v>46065</v>
      </c>
      <c r="B12919" s="135">
        <f>YEAR(source[[#This Row],[report_date]])</f>
        <v>2026</v>
      </c>
      <c r="C12919" s="128">
        <f t="shared" si="605"/>
        <v>2</v>
      </c>
      <c r="D12919" s="136">
        <f t="shared" si="604"/>
        <v>7</v>
      </c>
      <c r="E12919" s="136">
        <f t="shared" si="606"/>
        <v>12</v>
      </c>
      <c r="F12919" s="137" t="s">
        <v>24</v>
      </c>
      <c r="G12919" s="128" t="str">
        <f>VLOOKUP(source[[#This Row],[lending_product_transform]],[3]Mapping!$B$4:$C$37,2,0)</f>
        <v>[Cake] - Cashloan</v>
      </c>
      <c r="H12919" s="128" t="str">
        <f>VLOOKUP(source[[#This Row],[lending_product_transform]],[3]Mapping!$B$3:$D$37,3,0)</f>
        <v>cashloan</v>
      </c>
      <c r="I12919" s="137">
        <v>17810790000</v>
      </c>
    </row>
    <row r="12920" spans="1:9" x14ac:dyDescent="0.2">
      <c r="A12920" s="134">
        <v>46065</v>
      </c>
      <c r="B12920" s="135">
        <f>YEAR(source[[#This Row],[report_date]])</f>
        <v>2026</v>
      </c>
      <c r="C12920" s="128">
        <f t="shared" si="605"/>
        <v>2</v>
      </c>
      <c r="D12920" s="136">
        <f t="shared" si="604"/>
        <v>7</v>
      </c>
      <c r="E12920" s="136">
        <f t="shared" si="606"/>
        <v>12</v>
      </c>
      <c r="F12920" s="137" t="s">
        <v>24</v>
      </c>
      <c r="G12920" s="128" t="str">
        <f>VLOOKUP(source[[#This Row],[lending_product_transform]],[3]Mapping!$B$4:$C$37,2,0)</f>
        <v>[Cake] - Cashloan</v>
      </c>
      <c r="H12920" s="128" t="str">
        <f>VLOOKUP(source[[#This Row],[lending_product_transform]],[3]Mapping!$B$3:$D$37,3,0)</f>
        <v>cashloan</v>
      </c>
      <c r="I12920" s="137">
        <v>0</v>
      </c>
    </row>
    <row r="12921" spans="1:9" x14ac:dyDescent="0.2">
      <c r="A12921" s="134">
        <v>46065</v>
      </c>
      <c r="B12921" s="135">
        <f>YEAR(source[[#This Row],[report_date]])</f>
        <v>2026</v>
      </c>
      <c r="C12921" s="128">
        <f t="shared" si="605"/>
        <v>2</v>
      </c>
      <c r="D12921" s="136">
        <f t="shared" si="604"/>
        <v>7</v>
      </c>
      <c r="E12921" s="136">
        <f t="shared" si="606"/>
        <v>12</v>
      </c>
      <c r="F12921" s="137" t="s">
        <v>24</v>
      </c>
      <c r="G12921" s="128" t="str">
        <f>VLOOKUP(source[[#This Row],[lending_product_transform]],[3]Mapping!$B$4:$C$37,2,0)</f>
        <v>[Cake] - Cashloan</v>
      </c>
      <c r="H12921" s="128" t="str">
        <f>VLOOKUP(source[[#This Row],[lending_product_transform]],[3]Mapping!$B$3:$D$37,3,0)</f>
        <v>cashloan</v>
      </c>
      <c r="I12921" s="137">
        <v>0</v>
      </c>
    </row>
    <row r="12922" spans="1:9" x14ac:dyDescent="0.2">
      <c r="A12922" s="134">
        <v>46065</v>
      </c>
      <c r="B12922" s="135">
        <f>YEAR(source[[#This Row],[report_date]])</f>
        <v>2026</v>
      </c>
      <c r="C12922" s="128">
        <f t="shared" si="605"/>
        <v>2</v>
      </c>
      <c r="D12922" s="136">
        <f t="shared" si="604"/>
        <v>7</v>
      </c>
      <c r="E12922" s="136">
        <f t="shared" si="606"/>
        <v>12</v>
      </c>
      <c r="F12922" s="137" t="s">
        <v>24</v>
      </c>
      <c r="G12922" s="128" t="str">
        <f>VLOOKUP(source[[#This Row],[lending_product_transform]],[3]Mapping!$B$4:$C$37,2,0)</f>
        <v>[Cake] - Cashloan</v>
      </c>
      <c r="H12922" s="128" t="str">
        <f>VLOOKUP(source[[#This Row],[lending_product_transform]],[3]Mapping!$B$3:$D$37,3,0)</f>
        <v>cashloan</v>
      </c>
      <c r="I12922" s="137">
        <v>0</v>
      </c>
    </row>
    <row r="12923" spans="1:9" x14ac:dyDescent="0.2">
      <c r="A12923" s="134">
        <v>46065</v>
      </c>
      <c r="B12923" s="135">
        <f>YEAR(source[[#This Row],[report_date]])</f>
        <v>2026</v>
      </c>
      <c r="C12923" s="128">
        <f t="shared" si="605"/>
        <v>2</v>
      </c>
      <c r="D12923" s="136">
        <f t="shared" si="604"/>
        <v>7</v>
      </c>
      <c r="E12923" s="136">
        <f t="shared" si="606"/>
        <v>12</v>
      </c>
      <c r="F12923" s="137" t="s">
        <v>24</v>
      </c>
      <c r="G12923" s="128" t="str">
        <f>VLOOKUP(source[[#This Row],[lending_product_transform]],[3]Mapping!$B$4:$C$37,2,0)</f>
        <v>[Cake] - Cashloan</v>
      </c>
      <c r="H12923" s="128" t="str">
        <f>VLOOKUP(source[[#This Row],[lending_product_transform]],[3]Mapping!$B$3:$D$37,3,0)</f>
        <v>cashloan</v>
      </c>
      <c r="I12923" s="137">
        <v>0</v>
      </c>
    </row>
    <row r="12924" spans="1:9" x14ac:dyDescent="0.2">
      <c r="A12924" s="134">
        <v>46065</v>
      </c>
      <c r="B12924" s="135">
        <f>YEAR(source[[#This Row],[report_date]])</f>
        <v>2026</v>
      </c>
      <c r="C12924" s="128">
        <f t="shared" si="605"/>
        <v>2</v>
      </c>
      <c r="D12924" s="136">
        <f t="shared" si="604"/>
        <v>7</v>
      </c>
      <c r="E12924" s="136">
        <f t="shared" si="606"/>
        <v>12</v>
      </c>
      <c r="F12924" s="137" t="s">
        <v>24</v>
      </c>
      <c r="G12924" s="128" t="str">
        <f>VLOOKUP(source[[#This Row],[lending_product_transform]],[3]Mapping!$B$4:$C$37,2,0)</f>
        <v>[Cake] - Cashloan</v>
      </c>
      <c r="H12924" s="128" t="str">
        <f>VLOOKUP(source[[#This Row],[lending_product_transform]],[3]Mapping!$B$3:$D$37,3,0)</f>
        <v>cashloan</v>
      </c>
      <c r="I12924" s="137">
        <v>14012568000</v>
      </c>
    </row>
    <row r="12925" spans="1:9" x14ac:dyDescent="0.2">
      <c r="A12925" s="134">
        <v>46065</v>
      </c>
      <c r="B12925" s="135">
        <f>YEAR(source[[#This Row],[report_date]])</f>
        <v>2026</v>
      </c>
      <c r="C12925" s="128">
        <f t="shared" si="605"/>
        <v>2</v>
      </c>
      <c r="D12925" s="136">
        <f t="shared" si="604"/>
        <v>7</v>
      </c>
      <c r="E12925" s="136">
        <f t="shared" si="606"/>
        <v>12</v>
      </c>
      <c r="F12925" s="137" t="s">
        <v>24</v>
      </c>
      <c r="G12925" s="128" t="str">
        <f>VLOOKUP(source[[#This Row],[lending_product_transform]],[3]Mapping!$B$4:$C$37,2,0)</f>
        <v>[Cake] - Cashloan</v>
      </c>
      <c r="H12925" s="128" t="str">
        <f>VLOOKUP(source[[#This Row],[lending_product_transform]],[3]Mapping!$B$3:$D$37,3,0)</f>
        <v>cashloan</v>
      </c>
      <c r="I12925" s="137">
        <v>187290414</v>
      </c>
    </row>
    <row r="12926" spans="1:9" x14ac:dyDescent="0.2">
      <c r="A12926" s="134">
        <v>46065</v>
      </c>
      <c r="B12926" s="135">
        <f>YEAR(source[[#This Row],[report_date]])</f>
        <v>2026</v>
      </c>
      <c r="C12926" s="128">
        <f t="shared" si="605"/>
        <v>2</v>
      </c>
      <c r="D12926" s="136">
        <f t="shared" si="604"/>
        <v>7</v>
      </c>
      <c r="E12926" s="136">
        <f t="shared" si="606"/>
        <v>12</v>
      </c>
      <c r="F12926" s="137" t="s">
        <v>24</v>
      </c>
      <c r="G12926" s="128" t="str">
        <f>VLOOKUP(source[[#This Row],[lending_product_transform]],[3]Mapping!$B$4:$C$37,2,0)</f>
        <v>[Cake] - Cashloan</v>
      </c>
      <c r="H12926" s="128" t="str">
        <f>VLOOKUP(source[[#This Row],[lending_product_transform]],[3]Mapping!$B$3:$D$37,3,0)</f>
        <v>cashloan</v>
      </c>
      <c r="I12926" s="137">
        <v>31500000</v>
      </c>
    </row>
    <row r="12927" spans="1:9" x14ac:dyDescent="0.2">
      <c r="A12927" s="134">
        <v>46065</v>
      </c>
      <c r="B12927" s="135">
        <f>YEAR(source[[#This Row],[report_date]])</f>
        <v>2026</v>
      </c>
      <c r="C12927" s="128">
        <f t="shared" si="605"/>
        <v>2</v>
      </c>
      <c r="D12927" s="136">
        <f t="shared" si="604"/>
        <v>7</v>
      </c>
      <c r="E12927" s="136">
        <f t="shared" si="606"/>
        <v>12</v>
      </c>
      <c r="F12927" s="137" t="s">
        <v>24</v>
      </c>
      <c r="G12927" s="128" t="str">
        <f>VLOOKUP(source[[#This Row],[lending_product_transform]],[3]Mapping!$B$4:$C$37,2,0)</f>
        <v>[Cake] - Cashloan</v>
      </c>
      <c r="H12927" s="128" t="str">
        <f>VLOOKUP(source[[#This Row],[lending_product_transform]],[3]Mapping!$B$3:$D$37,3,0)</f>
        <v>cashloan</v>
      </c>
      <c r="I12927" s="137">
        <v>59000000</v>
      </c>
    </row>
    <row r="12928" spans="1:9" x14ac:dyDescent="0.2">
      <c r="A12928" s="134">
        <v>46065</v>
      </c>
      <c r="B12928" s="135">
        <f>YEAR(source[[#This Row],[report_date]])</f>
        <v>2026</v>
      </c>
      <c r="C12928" s="128">
        <f t="shared" si="605"/>
        <v>2</v>
      </c>
      <c r="D12928" s="136">
        <f t="shared" si="604"/>
        <v>7</v>
      </c>
      <c r="E12928" s="136">
        <f t="shared" si="606"/>
        <v>12</v>
      </c>
      <c r="F12928" s="137" t="s">
        <v>24</v>
      </c>
      <c r="G12928" s="128" t="str">
        <f>VLOOKUP(source[[#This Row],[lending_product_transform]],[3]Mapping!$B$4:$C$37,2,0)</f>
        <v>[Cake] - Cashloan</v>
      </c>
      <c r="H12928" s="128" t="str">
        <f>VLOOKUP(source[[#This Row],[lending_product_transform]],[3]Mapping!$B$3:$D$37,3,0)</f>
        <v>cashloan</v>
      </c>
      <c r="I12928" s="137">
        <v>825110000</v>
      </c>
    </row>
    <row r="12929" spans="1:9" x14ac:dyDescent="0.2">
      <c r="A12929" s="134">
        <v>46065</v>
      </c>
      <c r="B12929" s="135">
        <f>YEAR(source[[#This Row],[report_date]])</f>
        <v>2026</v>
      </c>
      <c r="C12929" s="128">
        <f t="shared" si="605"/>
        <v>2</v>
      </c>
      <c r="D12929" s="136">
        <f t="shared" si="604"/>
        <v>7</v>
      </c>
      <c r="E12929" s="136">
        <f t="shared" si="606"/>
        <v>12</v>
      </c>
      <c r="F12929" s="137" t="s">
        <v>24</v>
      </c>
      <c r="G12929" s="128" t="str">
        <f>VLOOKUP(source[[#This Row],[lending_product_transform]],[3]Mapping!$B$4:$C$37,2,0)</f>
        <v>[Cake] - Cashloan</v>
      </c>
      <c r="H12929" s="128" t="str">
        <f>VLOOKUP(source[[#This Row],[lending_product_transform]],[3]Mapping!$B$3:$D$37,3,0)</f>
        <v>cashloan</v>
      </c>
      <c r="I12929" s="137">
        <v>367092000</v>
      </c>
    </row>
    <row r="12930" spans="1:9" x14ac:dyDescent="0.2">
      <c r="A12930" s="134">
        <v>46065</v>
      </c>
      <c r="B12930" s="135">
        <f>YEAR(source[[#This Row],[report_date]])</f>
        <v>2026</v>
      </c>
      <c r="C12930" s="128">
        <f t="shared" si="605"/>
        <v>2</v>
      </c>
      <c r="D12930" s="136">
        <f t="shared" si="604"/>
        <v>7</v>
      </c>
      <c r="E12930" s="136">
        <f t="shared" si="606"/>
        <v>12</v>
      </c>
      <c r="F12930" s="137" t="s">
        <v>24</v>
      </c>
      <c r="G12930" s="128" t="str">
        <f>VLOOKUP(source[[#This Row],[lending_product_transform]],[3]Mapping!$B$4:$C$37,2,0)</f>
        <v>[Cake] - Cashloan</v>
      </c>
      <c r="H12930" s="128" t="str">
        <f>VLOOKUP(source[[#This Row],[lending_product_transform]],[3]Mapping!$B$3:$D$37,3,0)</f>
        <v>cashloan</v>
      </c>
      <c r="I12930" s="137">
        <v>299647278</v>
      </c>
    </row>
    <row r="12931" spans="1:9" x14ac:dyDescent="0.2">
      <c r="A12931" s="134">
        <v>46065</v>
      </c>
      <c r="B12931" s="135">
        <f>YEAR(source[[#This Row],[report_date]])</f>
        <v>2026</v>
      </c>
      <c r="C12931" s="128">
        <f t="shared" si="605"/>
        <v>2</v>
      </c>
      <c r="D12931" s="136">
        <f t="shared" si="604"/>
        <v>7</v>
      </c>
      <c r="E12931" s="136">
        <f t="shared" si="606"/>
        <v>12</v>
      </c>
      <c r="F12931" s="137" t="s">
        <v>24</v>
      </c>
      <c r="G12931" s="128" t="str">
        <f>VLOOKUP(source[[#This Row],[lending_product_transform]],[3]Mapping!$B$4:$C$37,2,0)</f>
        <v>[Cake] - Cashloan</v>
      </c>
      <c r="H12931" s="128" t="str">
        <f>VLOOKUP(source[[#This Row],[lending_product_transform]],[3]Mapping!$B$3:$D$37,3,0)</f>
        <v>cashloan</v>
      </c>
      <c r="I12931" s="137">
        <v>3647310000</v>
      </c>
    </row>
    <row r="12932" spans="1:9" x14ac:dyDescent="0.2">
      <c r="A12932" s="134">
        <v>46065</v>
      </c>
      <c r="B12932" s="135">
        <f>YEAR(source[[#This Row],[report_date]])</f>
        <v>2026</v>
      </c>
      <c r="C12932" s="128">
        <f t="shared" si="605"/>
        <v>2</v>
      </c>
      <c r="D12932" s="136">
        <f t="shared" si="604"/>
        <v>7</v>
      </c>
      <c r="E12932" s="136">
        <f t="shared" si="606"/>
        <v>12</v>
      </c>
      <c r="F12932" s="137" t="s">
        <v>24</v>
      </c>
      <c r="G12932" s="128" t="str">
        <f>VLOOKUP(source[[#This Row],[lending_product_transform]],[3]Mapping!$B$4:$C$37,2,0)</f>
        <v>[Cake] - Cashloan</v>
      </c>
      <c r="H12932" s="128" t="str">
        <f>VLOOKUP(source[[#This Row],[lending_product_transform]],[3]Mapping!$B$3:$D$37,3,0)</f>
        <v>cashloan</v>
      </c>
      <c r="I12932" s="137">
        <v>510520000</v>
      </c>
    </row>
    <row r="12933" spans="1:9" x14ac:dyDescent="0.2">
      <c r="A12933" s="134">
        <v>46066</v>
      </c>
      <c r="B12933" s="135">
        <f>YEAR(source[[#This Row],[report_date]])</f>
        <v>2026</v>
      </c>
      <c r="C12933" s="128">
        <f t="shared" si="605"/>
        <v>2</v>
      </c>
      <c r="D12933" s="136">
        <f t="shared" si="604"/>
        <v>7</v>
      </c>
      <c r="E12933" s="136">
        <f t="shared" si="606"/>
        <v>13</v>
      </c>
      <c r="F12933" s="137" t="s">
        <v>24</v>
      </c>
      <c r="G12933" s="128" t="str">
        <f>VLOOKUP(source[[#This Row],[lending_product_transform]],[3]Mapping!$B$4:$C$37,2,0)</f>
        <v>[Cake] - Cashloan</v>
      </c>
      <c r="H12933" s="128" t="str">
        <f>VLOOKUP(source[[#This Row],[lending_product_transform]],[3]Mapping!$B$3:$D$37,3,0)</f>
        <v>cashloan</v>
      </c>
      <c r="I12933" s="137">
        <v>780600000</v>
      </c>
    </row>
    <row r="12934" spans="1:9" x14ac:dyDescent="0.2">
      <c r="A12934" s="134">
        <v>46066</v>
      </c>
      <c r="B12934" s="135">
        <f>YEAR(source[[#This Row],[report_date]])</f>
        <v>2026</v>
      </c>
      <c r="C12934" s="128">
        <f t="shared" si="605"/>
        <v>2</v>
      </c>
      <c r="D12934" s="136">
        <f t="shared" si="604"/>
        <v>7</v>
      </c>
      <c r="E12934" s="136">
        <f t="shared" si="606"/>
        <v>13</v>
      </c>
      <c r="F12934" s="137" t="s">
        <v>24</v>
      </c>
      <c r="G12934" s="128" t="str">
        <f>VLOOKUP(source[[#This Row],[lending_product_transform]],[3]Mapping!$B$4:$C$37,2,0)</f>
        <v>[Cake] - Cashloan</v>
      </c>
      <c r="H12934" s="128" t="str">
        <f>VLOOKUP(source[[#This Row],[lending_product_transform]],[3]Mapping!$B$3:$D$37,3,0)</f>
        <v>cashloan</v>
      </c>
      <c r="I12934" s="137">
        <v>313771001</v>
      </c>
    </row>
    <row r="12935" spans="1:9" x14ac:dyDescent="0.2">
      <c r="A12935" s="134">
        <v>46066</v>
      </c>
      <c r="B12935" s="135">
        <f>YEAR(source[[#This Row],[report_date]])</f>
        <v>2026</v>
      </c>
      <c r="C12935" s="128">
        <f t="shared" si="605"/>
        <v>2</v>
      </c>
      <c r="D12935" s="136">
        <f t="shared" si="604"/>
        <v>7</v>
      </c>
      <c r="E12935" s="136">
        <f t="shared" si="606"/>
        <v>13</v>
      </c>
      <c r="F12935" s="137" t="s">
        <v>24</v>
      </c>
      <c r="G12935" s="128" t="str">
        <f>VLOOKUP(source[[#This Row],[lending_product_transform]],[3]Mapping!$B$4:$C$37,2,0)</f>
        <v>[Cake] - Cashloan</v>
      </c>
      <c r="H12935" s="128" t="str">
        <f>VLOOKUP(source[[#This Row],[lending_product_transform]],[3]Mapping!$B$3:$D$37,3,0)</f>
        <v>cashloan</v>
      </c>
      <c r="I12935" s="137">
        <v>14101730000</v>
      </c>
    </row>
    <row r="12936" spans="1:9" x14ac:dyDescent="0.2">
      <c r="A12936" s="134">
        <v>46066</v>
      </c>
      <c r="B12936" s="135">
        <f>YEAR(source[[#This Row],[report_date]])</f>
        <v>2026</v>
      </c>
      <c r="C12936" s="128">
        <f t="shared" si="605"/>
        <v>2</v>
      </c>
      <c r="D12936" s="136">
        <f t="shared" si="604"/>
        <v>7</v>
      </c>
      <c r="E12936" s="136">
        <f t="shared" si="606"/>
        <v>13</v>
      </c>
      <c r="F12936" s="137" t="s">
        <v>24</v>
      </c>
      <c r="G12936" s="128" t="str">
        <f>VLOOKUP(source[[#This Row],[lending_product_transform]],[3]Mapping!$B$4:$C$37,2,0)</f>
        <v>[Cake] - Cashloan</v>
      </c>
      <c r="H12936" s="128" t="str">
        <f>VLOOKUP(source[[#This Row],[lending_product_transform]],[3]Mapping!$B$3:$D$37,3,0)</f>
        <v>cashloan</v>
      </c>
      <c r="I12936" s="137">
        <v>2129790209</v>
      </c>
    </row>
    <row r="12937" spans="1:9" x14ac:dyDescent="0.2">
      <c r="A12937" s="134">
        <v>46066</v>
      </c>
      <c r="B12937" s="135">
        <f>YEAR(source[[#This Row],[report_date]])</f>
        <v>2026</v>
      </c>
      <c r="C12937" s="128">
        <f t="shared" si="605"/>
        <v>2</v>
      </c>
      <c r="D12937" s="136">
        <f t="shared" si="604"/>
        <v>7</v>
      </c>
      <c r="E12937" s="136">
        <f t="shared" si="606"/>
        <v>13</v>
      </c>
      <c r="F12937" s="137" t="s">
        <v>24</v>
      </c>
      <c r="G12937" s="128" t="str">
        <f>VLOOKUP(source[[#This Row],[lending_product_transform]],[3]Mapping!$B$4:$C$37,2,0)</f>
        <v>[Cake] - Cashloan</v>
      </c>
      <c r="H12937" s="128" t="str">
        <f>VLOOKUP(source[[#This Row],[lending_product_transform]],[3]Mapping!$B$3:$D$37,3,0)</f>
        <v>cashloan</v>
      </c>
      <c r="I12937" s="137">
        <v>14502564000</v>
      </c>
    </row>
    <row r="12938" spans="1:9" x14ac:dyDescent="0.2">
      <c r="A12938" s="134">
        <v>46066</v>
      </c>
      <c r="B12938" s="135">
        <f>YEAR(source[[#This Row],[report_date]])</f>
        <v>2026</v>
      </c>
      <c r="C12938" s="128">
        <f t="shared" si="605"/>
        <v>2</v>
      </c>
      <c r="D12938" s="136">
        <f t="shared" si="604"/>
        <v>7</v>
      </c>
      <c r="E12938" s="136">
        <f t="shared" si="606"/>
        <v>13</v>
      </c>
      <c r="F12938" s="137" t="s">
        <v>24</v>
      </c>
      <c r="G12938" s="128" t="str">
        <f>VLOOKUP(source[[#This Row],[lending_product_transform]],[3]Mapping!$B$4:$C$37,2,0)</f>
        <v>[Cake] - Cashloan</v>
      </c>
      <c r="H12938" s="128" t="str">
        <f>VLOOKUP(source[[#This Row],[lending_product_transform]],[3]Mapping!$B$3:$D$37,3,0)</f>
        <v>cashloan</v>
      </c>
      <c r="I12938" s="137">
        <v>2973908</v>
      </c>
    </row>
    <row r="12939" spans="1:9" x14ac:dyDescent="0.2">
      <c r="A12939" s="134">
        <v>46066</v>
      </c>
      <c r="B12939" s="135">
        <f>YEAR(source[[#This Row],[report_date]])</f>
        <v>2026</v>
      </c>
      <c r="C12939" s="128">
        <f t="shared" si="605"/>
        <v>2</v>
      </c>
      <c r="D12939" s="136">
        <f t="shared" si="604"/>
        <v>7</v>
      </c>
      <c r="E12939" s="136">
        <f t="shared" si="606"/>
        <v>13</v>
      </c>
      <c r="F12939" s="137" t="s">
        <v>24</v>
      </c>
      <c r="G12939" s="128" t="str">
        <f>VLOOKUP(source[[#This Row],[lending_product_transform]],[3]Mapping!$B$4:$C$37,2,0)</f>
        <v>[Cake] - Cashloan</v>
      </c>
      <c r="H12939" s="128" t="str">
        <f>VLOOKUP(source[[#This Row],[lending_product_transform]],[3]Mapping!$B$3:$D$37,3,0)</f>
        <v>cashloan</v>
      </c>
      <c r="I12939" s="137">
        <v>0</v>
      </c>
    </row>
    <row r="12940" spans="1:9" x14ac:dyDescent="0.2">
      <c r="A12940" s="134">
        <v>46066</v>
      </c>
      <c r="B12940" s="135">
        <f>YEAR(source[[#This Row],[report_date]])</f>
        <v>2026</v>
      </c>
      <c r="C12940" s="128">
        <f t="shared" si="605"/>
        <v>2</v>
      </c>
      <c r="D12940" s="136">
        <f t="shared" si="604"/>
        <v>7</v>
      </c>
      <c r="E12940" s="136">
        <f t="shared" si="606"/>
        <v>13</v>
      </c>
      <c r="F12940" s="137" t="s">
        <v>24</v>
      </c>
      <c r="G12940" s="128" t="str">
        <f>VLOOKUP(source[[#This Row],[lending_product_transform]],[3]Mapping!$B$4:$C$37,2,0)</f>
        <v>[Cake] - Cashloan</v>
      </c>
      <c r="H12940" s="128" t="str">
        <f>VLOOKUP(source[[#This Row],[lending_product_transform]],[3]Mapping!$B$3:$D$37,3,0)</f>
        <v>cashloan</v>
      </c>
      <c r="I12940" s="137">
        <v>5407130000</v>
      </c>
    </row>
    <row r="12941" spans="1:9" x14ac:dyDescent="0.2">
      <c r="A12941" s="134">
        <v>46066</v>
      </c>
      <c r="B12941" s="135">
        <f>YEAR(source[[#This Row],[report_date]])</f>
        <v>2026</v>
      </c>
      <c r="C12941" s="128">
        <f t="shared" si="605"/>
        <v>2</v>
      </c>
      <c r="D12941" s="136">
        <f t="shared" si="604"/>
        <v>7</v>
      </c>
      <c r="E12941" s="136">
        <f t="shared" si="606"/>
        <v>13</v>
      </c>
      <c r="F12941" s="137" t="s">
        <v>24</v>
      </c>
      <c r="G12941" s="128" t="str">
        <f>VLOOKUP(source[[#This Row],[lending_product_transform]],[3]Mapping!$B$4:$C$37,2,0)</f>
        <v>[Cake] - Cashloan</v>
      </c>
      <c r="H12941" s="128" t="str">
        <f>VLOOKUP(source[[#This Row],[lending_product_transform]],[3]Mapping!$B$3:$D$37,3,0)</f>
        <v>cashloan</v>
      </c>
      <c r="I12941" s="137">
        <v>1812790000</v>
      </c>
    </row>
    <row r="12942" spans="1:9" x14ac:dyDescent="0.2">
      <c r="A12942" s="134">
        <v>46066</v>
      </c>
      <c r="B12942" s="135">
        <f>YEAR(source[[#This Row],[report_date]])</f>
        <v>2026</v>
      </c>
      <c r="C12942" s="128">
        <f t="shared" si="605"/>
        <v>2</v>
      </c>
      <c r="D12942" s="136">
        <f t="shared" si="604"/>
        <v>7</v>
      </c>
      <c r="E12942" s="136">
        <f t="shared" si="606"/>
        <v>13</v>
      </c>
      <c r="F12942" s="137" t="s">
        <v>24</v>
      </c>
      <c r="G12942" s="128" t="str">
        <f>VLOOKUP(source[[#This Row],[lending_product_transform]],[3]Mapping!$B$4:$C$37,2,0)</f>
        <v>[Cake] - Cashloan</v>
      </c>
      <c r="H12942" s="128" t="str">
        <f>VLOOKUP(source[[#This Row],[lending_product_transform]],[3]Mapping!$B$3:$D$37,3,0)</f>
        <v>cashloan</v>
      </c>
      <c r="I12942" s="137">
        <v>23918164</v>
      </c>
    </row>
    <row r="12943" spans="1:9" x14ac:dyDescent="0.2">
      <c r="A12943" s="134">
        <v>46066</v>
      </c>
      <c r="B12943" s="135">
        <f>YEAR(source[[#This Row],[report_date]])</f>
        <v>2026</v>
      </c>
      <c r="C12943" s="128">
        <f t="shared" si="605"/>
        <v>2</v>
      </c>
      <c r="D12943" s="136">
        <f t="shared" si="604"/>
        <v>7</v>
      </c>
      <c r="E12943" s="136">
        <f t="shared" si="606"/>
        <v>13</v>
      </c>
      <c r="F12943" s="137" t="s">
        <v>24</v>
      </c>
      <c r="G12943" s="128" t="str">
        <f>VLOOKUP(source[[#This Row],[lending_product_transform]],[3]Mapping!$B$4:$C$37,2,0)</f>
        <v>[Cake] - Cashloan</v>
      </c>
      <c r="H12943" s="128" t="str">
        <f>VLOOKUP(source[[#This Row],[lending_product_transform]],[3]Mapping!$B$3:$D$37,3,0)</f>
        <v>cashloan</v>
      </c>
      <c r="I12943" s="137">
        <v>1673245815</v>
      </c>
    </row>
    <row r="12944" spans="1:9" x14ac:dyDescent="0.2">
      <c r="A12944" s="134">
        <v>46066</v>
      </c>
      <c r="B12944" s="135">
        <f>YEAR(source[[#This Row],[report_date]])</f>
        <v>2026</v>
      </c>
      <c r="C12944" s="128">
        <f t="shared" si="605"/>
        <v>2</v>
      </c>
      <c r="D12944" s="136">
        <f t="shared" si="604"/>
        <v>7</v>
      </c>
      <c r="E12944" s="136">
        <f t="shared" si="606"/>
        <v>13</v>
      </c>
      <c r="F12944" s="137" t="s">
        <v>24</v>
      </c>
      <c r="G12944" s="128" t="str">
        <f>VLOOKUP(source[[#This Row],[lending_product_transform]],[3]Mapping!$B$4:$C$37,2,0)</f>
        <v>[Cake] - Cashloan</v>
      </c>
      <c r="H12944" s="128" t="str">
        <f>VLOOKUP(source[[#This Row],[lending_product_transform]],[3]Mapping!$B$3:$D$37,3,0)</f>
        <v>cashloan</v>
      </c>
      <c r="I12944" s="137">
        <v>0</v>
      </c>
    </row>
    <row r="12945" spans="1:9" x14ac:dyDescent="0.2">
      <c r="A12945" s="134">
        <v>46066</v>
      </c>
      <c r="B12945" s="135">
        <f>YEAR(source[[#This Row],[report_date]])</f>
        <v>2026</v>
      </c>
      <c r="C12945" s="128">
        <f t="shared" si="605"/>
        <v>2</v>
      </c>
      <c r="D12945" s="136">
        <f t="shared" ref="D12945:D13008" si="607">WEEKNUM(A12945,2)</f>
        <v>7</v>
      </c>
      <c r="E12945" s="136">
        <f t="shared" si="606"/>
        <v>13</v>
      </c>
      <c r="F12945" s="137" t="s">
        <v>24</v>
      </c>
      <c r="G12945" s="128" t="str">
        <f>VLOOKUP(source[[#This Row],[lending_product_transform]],[3]Mapping!$B$4:$C$37,2,0)</f>
        <v>[Cake] - Cashloan</v>
      </c>
      <c r="H12945" s="128" t="str">
        <f>VLOOKUP(source[[#This Row],[lending_product_transform]],[3]Mapping!$B$3:$D$37,3,0)</f>
        <v>cashloan</v>
      </c>
      <c r="I12945" s="137">
        <v>171750000</v>
      </c>
    </row>
    <row r="12946" spans="1:9" x14ac:dyDescent="0.2">
      <c r="A12946" s="134">
        <v>46066</v>
      </c>
      <c r="B12946" s="135">
        <f>YEAR(source[[#This Row],[report_date]])</f>
        <v>2026</v>
      </c>
      <c r="C12946" s="128">
        <f t="shared" si="605"/>
        <v>2</v>
      </c>
      <c r="D12946" s="136">
        <f t="shared" si="607"/>
        <v>7</v>
      </c>
      <c r="E12946" s="136">
        <f t="shared" si="606"/>
        <v>13</v>
      </c>
      <c r="F12946" s="137" t="s">
        <v>24</v>
      </c>
      <c r="G12946" s="128" t="str">
        <f>VLOOKUP(source[[#This Row],[lending_product_transform]],[3]Mapping!$B$4:$C$37,2,0)</f>
        <v>[Cake] - Cashloan</v>
      </c>
      <c r="H12946" s="128" t="str">
        <f>VLOOKUP(source[[#This Row],[lending_product_transform]],[3]Mapping!$B$3:$D$37,3,0)</f>
        <v>cashloan</v>
      </c>
      <c r="I12946" s="137">
        <v>0</v>
      </c>
    </row>
    <row r="12947" spans="1:9" x14ac:dyDescent="0.2">
      <c r="A12947" s="134">
        <v>46066</v>
      </c>
      <c r="B12947" s="135">
        <f>YEAR(source[[#This Row],[report_date]])</f>
        <v>2026</v>
      </c>
      <c r="C12947" s="128">
        <f t="shared" si="605"/>
        <v>2</v>
      </c>
      <c r="D12947" s="136">
        <f t="shared" si="607"/>
        <v>7</v>
      </c>
      <c r="E12947" s="136">
        <f t="shared" si="606"/>
        <v>13</v>
      </c>
      <c r="F12947" s="137" t="s">
        <v>24</v>
      </c>
      <c r="G12947" s="128" t="str">
        <f>VLOOKUP(source[[#This Row],[lending_product_transform]],[3]Mapping!$B$4:$C$37,2,0)</f>
        <v>[Cake] - Cashloan</v>
      </c>
      <c r="H12947" s="128" t="str">
        <f>VLOOKUP(source[[#This Row],[lending_product_transform]],[3]Mapping!$B$3:$D$37,3,0)</f>
        <v>cashloan</v>
      </c>
      <c r="I12947" s="137">
        <v>18195930000</v>
      </c>
    </row>
    <row r="12948" spans="1:9" x14ac:dyDescent="0.2">
      <c r="A12948" s="134">
        <v>46066</v>
      </c>
      <c r="B12948" s="135">
        <f>YEAR(source[[#This Row],[report_date]])</f>
        <v>2026</v>
      </c>
      <c r="C12948" s="128">
        <f t="shared" si="605"/>
        <v>2</v>
      </c>
      <c r="D12948" s="136">
        <f t="shared" si="607"/>
        <v>7</v>
      </c>
      <c r="E12948" s="136">
        <f t="shared" si="606"/>
        <v>13</v>
      </c>
      <c r="F12948" s="137" t="s">
        <v>24</v>
      </c>
      <c r="G12948" s="128" t="str">
        <f>VLOOKUP(source[[#This Row],[lending_product_transform]],[3]Mapping!$B$4:$C$37,2,0)</f>
        <v>[Cake] - Cashloan</v>
      </c>
      <c r="H12948" s="128" t="str">
        <f>VLOOKUP(source[[#This Row],[lending_product_transform]],[3]Mapping!$B$3:$D$37,3,0)</f>
        <v>cashloan</v>
      </c>
      <c r="I12948" s="137">
        <v>0</v>
      </c>
    </row>
    <row r="12949" spans="1:9" x14ac:dyDescent="0.2">
      <c r="A12949" s="134">
        <v>46066</v>
      </c>
      <c r="B12949" s="135">
        <f>YEAR(source[[#This Row],[report_date]])</f>
        <v>2026</v>
      </c>
      <c r="C12949" s="128">
        <f t="shared" si="605"/>
        <v>2</v>
      </c>
      <c r="D12949" s="136">
        <f t="shared" si="607"/>
        <v>7</v>
      </c>
      <c r="E12949" s="136">
        <f t="shared" si="606"/>
        <v>13</v>
      </c>
      <c r="F12949" s="137" t="s">
        <v>24</v>
      </c>
      <c r="G12949" s="128" t="str">
        <f>VLOOKUP(source[[#This Row],[lending_product_transform]],[3]Mapping!$B$4:$C$37,2,0)</f>
        <v>[Cake] - Cashloan</v>
      </c>
      <c r="H12949" s="128" t="str">
        <f>VLOOKUP(source[[#This Row],[lending_product_transform]],[3]Mapping!$B$3:$D$37,3,0)</f>
        <v>cashloan</v>
      </c>
      <c r="I12949" s="137">
        <v>0</v>
      </c>
    </row>
    <row r="12950" spans="1:9" x14ac:dyDescent="0.2">
      <c r="A12950" s="134">
        <v>46066</v>
      </c>
      <c r="B12950" s="135">
        <f>YEAR(source[[#This Row],[report_date]])</f>
        <v>2026</v>
      </c>
      <c r="C12950" s="128">
        <f t="shared" si="605"/>
        <v>2</v>
      </c>
      <c r="D12950" s="136">
        <f t="shared" si="607"/>
        <v>7</v>
      </c>
      <c r="E12950" s="136">
        <f t="shared" si="606"/>
        <v>13</v>
      </c>
      <c r="F12950" s="137" t="s">
        <v>24</v>
      </c>
      <c r="G12950" s="128" t="str">
        <f>VLOOKUP(source[[#This Row],[lending_product_transform]],[3]Mapping!$B$4:$C$37,2,0)</f>
        <v>[Cake] - Cashloan</v>
      </c>
      <c r="H12950" s="128" t="str">
        <f>VLOOKUP(source[[#This Row],[lending_product_transform]],[3]Mapping!$B$3:$D$37,3,0)</f>
        <v>cashloan</v>
      </c>
      <c r="I12950" s="137">
        <v>0</v>
      </c>
    </row>
    <row r="12951" spans="1:9" x14ac:dyDescent="0.2">
      <c r="A12951" s="134">
        <v>46066</v>
      </c>
      <c r="B12951" s="135">
        <f>YEAR(source[[#This Row],[report_date]])</f>
        <v>2026</v>
      </c>
      <c r="C12951" s="128">
        <f t="shared" si="605"/>
        <v>2</v>
      </c>
      <c r="D12951" s="136">
        <f t="shared" si="607"/>
        <v>7</v>
      </c>
      <c r="E12951" s="136">
        <f t="shared" si="606"/>
        <v>13</v>
      </c>
      <c r="F12951" s="137" t="s">
        <v>24</v>
      </c>
      <c r="G12951" s="128" t="str">
        <f>VLOOKUP(source[[#This Row],[lending_product_transform]],[3]Mapping!$B$4:$C$37,2,0)</f>
        <v>[Cake] - Cashloan</v>
      </c>
      <c r="H12951" s="128" t="str">
        <f>VLOOKUP(source[[#This Row],[lending_product_transform]],[3]Mapping!$B$3:$D$37,3,0)</f>
        <v>cashloan</v>
      </c>
      <c r="I12951" s="137">
        <v>0</v>
      </c>
    </row>
    <row r="12952" spans="1:9" x14ac:dyDescent="0.2">
      <c r="A12952" s="134">
        <v>46066</v>
      </c>
      <c r="B12952" s="135">
        <f>YEAR(source[[#This Row],[report_date]])</f>
        <v>2026</v>
      </c>
      <c r="C12952" s="128">
        <f t="shared" si="605"/>
        <v>2</v>
      </c>
      <c r="D12952" s="136">
        <f t="shared" si="607"/>
        <v>7</v>
      </c>
      <c r="E12952" s="136">
        <f t="shared" si="606"/>
        <v>13</v>
      </c>
      <c r="F12952" s="137" t="s">
        <v>24</v>
      </c>
      <c r="G12952" s="128" t="str">
        <f>VLOOKUP(source[[#This Row],[lending_product_transform]],[3]Mapping!$B$4:$C$37,2,0)</f>
        <v>[Cake] - Cashloan</v>
      </c>
      <c r="H12952" s="128" t="str">
        <f>VLOOKUP(source[[#This Row],[lending_product_transform]],[3]Mapping!$B$3:$D$37,3,0)</f>
        <v>cashloan</v>
      </c>
      <c r="I12952" s="137">
        <v>14592420000</v>
      </c>
    </row>
    <row r="12953" spans="1:9" x14ac:dyDescent="0.2">
      <c r="A12953" s="134">
        <v>46066</v>
      </c>
      <c r="B12953" s="135">
        <f>YEAR(source[[#This Row],[report_date]])</f>
        <v>2026</v>
      </c>
      <c r="C12953" s="128">
        <f t="shared" si="605"/>
        <v>2</v>
      </c>
      <c r="D12953" s="136">
        <f t="shared" si="607"/>
        <v>7</v>
      </c>
      <c r="E12953" s="136">
        <f t="shared" si="606"/>
        <v>13</v>
      </c>
      <c r="F12953" s="137" t="s">
        <v>24</v>
      </c>
      <c r="G12953" s="128" t="str">
        <f>VLOOKUP(source[[#This Row],[lending_product_transform]],[3]Mapping!$B$4:$C$37,2,0)</f>
        <v>[Cake] - Cashloan</v>
      </c>
      <c r="H12953" s="128" t="str">
        <f>VLOOKUP(source[[#This Row],[lending_product_transform]],[3]Mapping!$B$3:$D$37,3,0)</f>
        <v>cashloan</v>
      </c>
      <c r="I12953" s="137">
        <v>218166026</v>
      </c>
    </row>
    <row r="12954" spans="1:9" x14ac:dyDescent="0.2">
      <c r="A12954" s="134">
        <v>46066</v>
      </c>
      <c r="B12954" s="135">
        <f>YEAR(source[[#This Row],[report_date]])</f>
        <v>2026</v>
      </c>
      <c r="C12954" s="128">
        <f t="shared" si="605"/>
        <v>2</v>
      </c>
      <c r="D12954" s="136">
        <f t="shared" si="607"/>
        <v>7</v>
      </c>
      <c r="E12954" s="136">
        <f t="shared" si="606"/>
        <v>13</v>
      </c>
      <c r="F12954" s="137" t="s">
        <v>24</v>
      </c>
      <c r="G12954" s="128" t="str">
        <f>VLOOKUP(source[[#This Row],[lending_product_transform]],[3]Mapping!$B$4:$C$37,2,0)</f>
        <v>[Cake] - Cashloan</v>
      </c>
      <c r="H12954" s="128" t="str">
        <f>VLOOKUP(source[[#This Row],[lending_product_transform]],[3]Mapping!$B$3:$D$37,3,0)</f>
        <v>cashloan</v>
      </c>
      <c r="I12954" s="137">
        <v>93500000</v>
      </c>
    </row>
    <row r="12955" spans="1:9" x14ac:dyDescent="0.2">
      <c r="A12955" s="134">
        <v>46066</v>
      </c>
      <c r="B12955" s="135">
        <f>YEAR(source[[#This Row],[report_date]])</f>
        <v>2026</v>
      </c>
      <c r="C12955" s="128">
        <f t="shared" si="605"/>
        <v>2</v>
      </c>
      <c r="D12955" s="136">
        <f t="shared" si="607"/>
        <v>7</v>
      </c>
      <c r="E12955" s="136">
        <f t="shared" si="606"/>
        <v>13</v>
      </c>
      <c r="F12955" s="137" t="s">
        <v>24</v>
      </c>
      <c r="G12955" s="128" t="str">
        <f>VLOOKUP(source[[#This Row],[lending_product_transform]],[3]Mapping!$B$4:$C$37,2,0)</f>
        <v>[Cake] - Cashloan</v>
      </c>
      <c r="H12955" s="128" t="str">
        <f>VLOOKUP(source[[#This Row],[lending_product_transform]],[3]Mapping!$B$3:$D$37,3,0)</f>
        <v>cashloan</v>
      </c>
      <c r="I12955" s="137">
        <v>84000000</v>
      </c>
    </row>
    <row r="12956" spans="1:9" x14ac:dyDescent="0.2">
      <c r="A12956" s="134">
        <v>46066</v>
      </c>
      <c r="B12956" s="135">
        <f>YEAR(source[[#This Row],[report_date]])</f>
        <v>2026</v>
      </c>
      <c r="C12956" s="128">
        <f t="shared" si="605"/>
        <v>2</v>
      </c>
      <c r="D12956" s="136">
        <f t="shared" si="607"/>
        <v>7</v>
      </c>
      <c r="E12956" s="136">
        <f t="shared" si="606"/>
        <v>13</v>
      </c>
      <c r="F12956" s="137" t="s">
        <v>24</v>
      </c>
      <c r="G12956" s="128" t="str">
        <f>VLOOKUP(source[[#This Row],[lending_product_transform]],[3]Mapping!$B$4:$C$37,2,0)</f>
        <v>[Cake] - Cashloan</v>
      </c>
      <c r="H12956" s="128" t="str">
        <f>VLOOKUP(source[[#This Row],[lending_product_transform]],[3]Mapping!$B$3:$D$37,3,0)</f>
        <v>cashloan</v>
      </c>
      <c r="I12956" s="137">
        <v>1116740000</v>
      </c>
    </row>
    <row r="12957" spans="1:9" x14ac:dyDescent="0.2">
      <c r="A12957" s="134">
        <v>46066</v>
      </c>
      <c r="B12957" s="135">
        <f>YEAR(source[[#This Row],[report_date]])</f>
        <v>2026</v>
      </c>
      <c r="C12957" s="128">
        <f t="shared" si="605"/>
        <v>2</v>
      </c>
      <c r="D12957" s="136">
        <f t="shared" si="607"/>
        <v>7</v>
      </c>
      <c r="E12957" s="136">
        <f t="shared" si="606"/>
        <v>13</v>
      </c>
      <c r="F12957" s="137" t="s">
        <v>24</v>
      </c>
      <c r="G12957" s="128" t="str">
        <f>VLOOKUP(source[[#This Row],[lending_product_transform]],[3]Mapping!$B$4:$C$37,2,0)</f>
        <v>[Cake] - Cashloan</v>
      </c>
      <c r="H12957" s="128" t="str">
        <f>VLOOKUP(source[[#This Row],[lending_product_transform]],[3]Mapping!$B$3:$D$37,3,0)</f>
        <v>cashloan</v>
      </c>
      <c r="I12957" s="137">
        <v>430812000</v>
      </c>
    </row>
    <row r="12958" spans="1:9" x14ac:dyDescent="0.2">
      <c r="A12958" s="134">
        <v>46066</v>
      </c>
      <c r="B12958" s="135">
        <f>YEAR(source[[#This Row],[report_date]])</f>
        <v>2026</v>
      </c>
      <c r="C12958" s="128">
        <f t="shared" si="605"/>
        <v>2</v>
      </c>
      <c r="D12958" s="136">
        <f t="shared" si="607"/>
        <v>7</v>
      </c>
      <c r="E12958" s="136">
        <f t="shared" si="606"/>
        <v>13</v>
      </c>
      <c r="F12958" s="137" t="s">
        <v>24</v>
      </c>
      <c r="G12958" s="128" t="str">
        <f>VLOOKUP(source[[#This Row],[lending_product_transform]],[3]Mapping!$B$4:$C$37,2,0)</f>
        <v>[Cake] - Cashloan</v>
      </c>
      <c r="H12958" s="128" t="str">
        <f>VLOOKUP(source[[#This Row],[lending_product_transform]],[3]Mapping!$B$3:$D$37,3,0)</f>
        <v>cashloan</v>
      </c>
      <c r="I12958" s="137">
        <v>332005724</v>
      </c>
    </row>
    <row r="12959" spans="1:9" x14ac:dyDescent="0.2">
      <c r="A12959" s="134">
        <v>46066</v>
      </c>
      <c r="B12959" s="135">
        <f>YEAR(source[[#This Row],[report_date]])</f>
        <v>2026</v>
      </c>
      <c r="C12959" s="128">
        <f t="shared" si="605"/>
        <v>2</v>
      </c>
      <c r="D12959" s="136">
        <f t="shared" si="607"/>
        <v>7</v>
      </c>
      <c r="E12959" s="136">
        <f t="shared" si="606"/>
        <v>13</v>
      </c>
      <c r="F12959" s="137" t="s">
        <v>24</v>
      </c>
      <c r="G12959" s="128" t="str">
        <f>VLOOKUP(source[[#This Row],[lending_product_transform]],[3]Mapping!$B$4:$C$37,2,0)</f>
        <v>[Cake] - Cashloan</v>
      </c>
      <c r="H12959" s="128" t="str">
        <f>VLOOKUP(source[[#This Row],[lending_product_transform]],[3]Mapping!$B$3:$D$37,3,0)</f>
        <v>cashloan</v>
      </c>
      <c r="I12959" s="137">
        <v>3427090000</v>
      </c>
    </row>
    <row r="12960" spans="1:9" x14ac:dyDescent="0.2">
      <c r="A12960" s="134">
        <v>46066</v>
      </c>
      <c r="B12960" s="135">
        <f>YEAR(source[[#This Row],[report_date]])</f>
        <v>2026</v>
      </c>
      <c r="C12960" s="128">
        <f t="shared" si="605"/>
        <v>2</v>
      </c>
      <c r="D12960" s="136">
        <f t="shared" si="607"/>
        <v>7</v>
      </c>
      <c r="E12960" s="136">
        <f t="shared" si="606"/>
        <v>13</v>
      </c>
      <c r="F12960" s="137" t="s">
        <v>24</v>
      </c>
      <c r="G12960" s="128" t="str">
        <f>VLOOKUP(source[[#This Row],[lending_product_transform]],[3]Mapping!$B$4:$C$37,2,0)</f>
        <v>[Cake] - Cashloan</v>
      </c>
      <c r="H12960" s="128" t="str">
        <f>VLOOKUP(source[[#This Row],[lending_product_transform]],[3]Mapping!$B$3:$D$37,3,0)</f>
        <v>cashloan</v>
      </c>
      <c r="I12960" s="137">
        <v>414560000</v>
      </c>
    </row>
    <row r="12961" spans="1:9" x14ac:dyDescent="0.2">
      <c r="A12961" s="134">
        <v>46067</v>
      </c>
      <c r="B12961" s="135">
        <f>YEAR(source[[#This Row],[report_date]])</f>
        <v>2026</v>
      </c>
      <c r="C12961" s="128">
        <f t="shared" si="605"/>
        <v>2</v>
      </c>
      <c r="D12961" s="136">
        <f t="shared" si="607"/>
        <v>7</v>
      </c>
      <c r="E12961" s="136">
        <f t="shared" si="606"/>
        <v>14</v>
      </c>
      <c r="F12961" s="137" t="s">
        <v>24</v>
      </c>
      <c r="G12961" s="128" t="str">
        <f>VLOOKUP(source[[#This Row],[lending_product_transform]],[3]Mapping!$B$4:$C$37,2,0)</f>
        <v>[Cake] - Cashloan</v>
      </c>
      <c r="H12961" s="128" t="str">
        <f>VLOOKUP(source[[#This Row],[lending_product_transform]],[3]Mapping!$B$3:$D$37,3,0)</f>
        <v>cashloan</v>
      </c>
      <c r="I12961" s="137">
        <v>355550000</v>
      </c>
    </row>
    <row r="12962" spans="1:9" x14ac:dyDescent="0.2">
      <c r="A12962" s="134">
        <v>46067</v>
      </c>
      <c r="B12962" s="135">
        <f>YEAR(source[[#This Row],[report_date]])</f>
        <v>2026</v>
      </c>
      <c r="C12962" s="128">
        <f t="shared" si="605"/>
        <v>2</v>
      </c>
      <c r="D12962" s="136">
        <f t="shared" si="607"/>
        <v>7</v>
      </c>
      <c r="E12962" s="136">
        <f t="shared" si="606"/>
        <v>14</v>
      </c>
      <c r="F12962" s="137" t="s">
        <v>24</v>
      </c>
      <c r="G12962" s="128" t="str">
        <f>VLOOKUP(source[[#This Row],[lending_product_transform]],[3]Mapping!$B$4:$C$37,2,0)</f>
        <v>[Cake] - Cashloan</v>
      </c>
      <c r="H12962" s="128" t="str">
        <f>VLOOKUP(source[[#This Row],[lending_product_transform]],[3]Mapping!$B$3:$D$37,3,0)</f>
        <v>cashloan</v>
      </c>
      <c r="I12962" s="137">
        <v>258786164</v>
      </c>
    </row>
    <row r="12963" spans="1:9" x14ac:dyDescent="0.2">
      <c r="A12963" s="134">
        <v>46067</v>
      </c>
      <c r="B12963" s="135">
        <f>YEAR(source[[#This Row],[report_date]])</f>
        <v>2026</v>
      </c>
      <c r="C12963" s="128">
        <f t="shared" si="605"/>
        <v>2</v>
      </c>
      <c r="D12963" s="136">
        <f t="shared" si="607"/>
        <v>7</v>
      </c>
      <c r="E12963" s="136">
        <f t="shared" si="606"/>
        <v>14</v>
      </c>
      <c r="F12963" s="137" t="s">
        <v>24</v>
      </c>
      <c r="G12963" s="128" t="str">
        <f>VLOOKUP(source[[#This Row],[lending_product_transform]],[3]Mapping!$B$4:$C$37,2,0)</f>
        <v>[Cake] - Cashloan</v>
      </c>
      <c r="H12963" s="128" t="str">
        <f>VLOOKUP(source[[#This Row],[lending_product_transform]],[3]Mapping!$B$3:$D$37,3,0)</f>
        <v>cashloan</v>
      </c>
      <c r="I12963" s="137">
        <v>9592520000</v>
      </c>
    </row>
    <row r="12964" spans="1:9" x14ac:dyDescent="0.2">
      <c r="A12964" s="134">
        <v>46067</v>
      </c>
      <c r="B12964" s="135">
        <f>YEAR(source[[#This Row],[report_date]])</f>
        <v>2026</v>
      </c>
      <c r="C12964" s="128">
        <f t="shared" si="605"/>
        <v>2</v>
      </c>
      <c r="D12964" s="136">
        <f t="shared" si="607"/>
        <v>7</v>
      </c>
      <c r="E12964" s="136">
        <f t="shared" si="606"/>
        <v>14</v>
      </c>
      <c r="F12964" s="137" t="s">
        <v>24</v>
      </c>
      <c r="G12964" s="128" t="str">
        <f>VLOOKUP(source[[#This Row],[lending_product_transform]],[3]Mapping!$B$4:$C$37,2,0)</f>
        <v>[Cake] - Cashloan</v>
      </c>
      <c r="H12964" s="128" t="str">
        <f>VLOOKUP(source[[#This Row],[lending_product_transform]],[3]Mapping!$B$3:$D$37,3,0)</f>
        <v>cashloan</v>
      </c>
      <c r="I12964" s="137">
        <v>1672196713</v>
      </c>
    </row>
    <row r="12965" spans="1:9" x14ac:dyDescent="0.2">
      <c r="A12965" s="134">
        <v>46067</v>
      </c>
      <c r="B12965" s="135">
        <f>YEAR(source[[#This Row],[report_date]])</f>
        <v>2026</v>
      </c>
      <c r="C12965" s="128">
        <f t="shared" si="605"/>
        <v>2</v>
      </c>
      <c r="D12965" s="136">
        <f t="shared" si="607"/>
        <v>7</v>
      </c>
      <c r="E12965" s="136">
        <f t="shared" si="606"/>
        <v>14</v>
      </c>
      <c r="F12965" s="137" t="s">
        <v>24</v>
      </c>
      <c r="G12965" s="128" t="str">
        <f>VLOOKUP(source[[#This Row],[lending_product_transform]],[3]Mapping!$B$4:$C$37,2,0)</f>
        <v>[Cake] - Cashloan</v>
      </c>
      <c r="H12965" s="128" t="str">
        <f>VLOOKUP(source[[#This Row],[lending_product_transform]],[3]Mapping!$B$3:$D$37,3,0)</f>
        <v>cashloan</v>
      </c>
      <c r="I12965" s="137">
        <v>11142144000</v>
      </c>
    </row>
    <row r="12966" spans="1:9" x14ac:dyDescent="0.2">
      <c r="A12966" s="134">
        <v>46067</v>
      </c>
      <c r="B12966" s="135">
        <f>YEAR(source[[#This Row],[report_date]])</f>
        <v>2026</v>
      </c>
      <c r="C12966" s="128">
        <f t="shared" si="605"/>
        <v>2</v>
      </c>
      <c r="D12966" s="136">
        <f t="shared" si="607"/>
        <v>7</v>
      </c>
      <c r="E12966" s="136">
        <f t="shared" si="606"/>
        <v>14</v>
      </c>
      <c r="F12966" s="137" t="s">
        <v>24</v>
      </c>
      <c r="G12966" s="128" t="str">
        <f>VLOOKUP(source[[#This Row],[lending_product_transform]],[3]Mapping!$B$4:$C$37,2,0)</f>
        <v>[Cake] - Cashloan</v>
      </c>
      <c r="H12966" s="128" t="str">
        <f>VLOOKUP(source[[#This Row],[lending_product_transform]],[3]Mapping!$B$3:$D$37,3,0)</f>
        <v>cashloan</v>
      </c>
      <c r="I12966" s="137">
        <v>1402475</v>
      </c>
    </row>
    <row r="12967" spans="1:9" x14ac:dyDescent="0.2">
      <c r="A12967" s="134">
        <v>46067</v>
      </c>
      <c r="B12967" s="135">
        <f>YEAR(source[[#This Row],[report_date]])</f>
        <v>2026</v>
      </c>
      <c r="C12967" s="128">
        <f t="shared" si="605"/>
        <v>2</v>
      </c>
      <c r="D12967" s="136">
        <f t="shared" si="607"/>
        <v>7</v>
      </c>
      <c r="E12967" s="136">
        <f t="shared" si="606"/>
        <v>14</v>
      </c>
      <c r="F12967" s="137" t="s">
        <v>24</v>
      </c>
      <c r="G12967" s="128" t="str">
        <f>VLOOKUP(source[[#This Row],[lending_product_transform]],[3]Mapping!$B$4:$C$37,2,0)</f>
        <v>[Cake] - Cashloan</v>
      </c>
      <c r="H12967" s="128" t="str">
        <f>VLOOKUP(source[[#This Row],[lending_product_transform]],[3]Mapping!$B$3:$D$37,3,0)</f>
        <v>cashloan</v>
      </c>
      <c r="I12967" s="137">
        <v>0</v>
      </c>
    </row>
    <row r="12968" spans="1:9" x14ac:dyDescent="0.2">
      <c r="A12968" s="134">
        <v>46067</v>
      </c>
      <c r="B12968" s="135">
        <f>YEAR(source[[#This Row],[report_date]])</f>
        <v>2026</v>
      </c>
      <c r="C12968" s="128">
        <f t="shared" si="605"/>
        <v>2</v>
      </c>
      <c r="D12968" s="136">
        <f t="shared" si="607"/>
        <v>7</v>
      </c>
      <c r="E12968" s="136">
        <f t="shared" si="606"/>
        <v>14</v>
      </c>
      <c r="F12968" s="137" t="s">
        <v>24</v>
      </c>
      <c r="G12968" s="128" t="str">
        <f>VLOOKUP(source[[#This Row],[lending_product_transform]],[3]Mapping!$B$4:$C$37,2,0)</f>
        <v>[Cake] - Cashloan</v>
      </c>
      <c r="H12968" s="128" t="str">
        <f>VLOOKUP(source[[#This Row],[lending_product_transform]],[3]Mapping!$B$3:$D$37,3,0)</f>
        <v>cashloan</v>
      </c>
      <c r="I12968" s="137">
        <v>3394570000</v>
      </c>
    </row>
    <row r="12969" spans="1:9" x14ac:dyDescent="0.2">
      <c r="A12969" s="134">
        <v>46067</v>
      </c>
      <c r="B12969" s="135">
        <f>YEAR(source[[#This Row],[report_date]])</f>
        <v>2026</v>
      </c>
      <c r="C12969" s="128">
        <f t="shared" si="605"/>
        <v>2</v>
      </c>
      <c r="D12969" s="136">
        <f t="shared" si="607"/>
        <v>7</v>
      </c>
      <c r="E12969" s="136">
        <f t="shared" si="606"/>
        <v>14</v>
      </c>
      <c r="F12969" s="137" t="s">
        <v>24</v>
      </c>
      <c r="G12969" s="128" t="str">
        <f>VLOOKUP(source[[#This Row],[lending_product_transform]],[3]Mapping!$B$4:$C$37,2,0)</f>
        <v>[Cake] - Cashloan</v>
      </c>
      <c r="H12969" s="128" t="str">
        <f>VLOOKUP(source[[#This Row],[lending_product_transform]],[3]Mapping!$B$3:$D$37,3,0)</f>
        <v>cashloan</v>
      </c>
      <c r="I12969" s="137">
        <v>861650000</v>
      </c>
    </row>
    <row r="12970" spans="1:9" x14ac:dyDescent="0.2">
      <c r="A12970" s="134">
        <v>46067</v>
      </c>
      <c r="B12970" s="135">
        <f>YEAR(source[[#This Row],[report_date]])</f>
        <v>2026</v>
      </c>
      <c r="C12970" s="128">
        <f t="shared" si="605"/>
        <v>2</v>
      </c>
      <c r="D12970" s="136">
        <f t="shared" si="607"/>
        <v>7</v>
      </c>
      <c r="E12970" s="136">
        <f t="shared" si="606"/>
        <v>14</v>
      </c>
      <c r="F12970" s="137" t="s">
        <v>24</v>
      </c>
      <c r="G12970" s="128" t="str">
        <f>VLOOKUP(source[[#This Row],[lending_product_transform]],[3]Mapping!$B$4:$C$37,2,0)</f>
        <v>[Cake] - Cashloan</v>
      </c>
      <c r="H12970" s="128" t="str">
        <f>VLOOKUP(source[[#This Row],[lending_product_transform]],[3]Mapping!$B$3:$D$37,3,0)</f>
        <v>cashloan</v>
      </c>
      <c r="I12970" s="137">
        <v>22600147</v>
      </c>
    </row>
    <row r="12971" spans="1:9" x14ac:dyDescent="0.2">
      <c r="A12971" s="134">
        <v>46067</v>
      </c>
      <c r="B12971" s="135">
        <f>YEAR(source[[#This Row],[report_date]])</f>
        <v>2026</v>
      </c>
      <c r="C12971" s="128">
        <f t="shared" si="605"/>
        <v>2</v>
      </c>
      <c r="D12971" s="136">
        <f t="shared" si="607"/>
        <v>7</v>
      </c>
      <c r="E12971" s="136">
        <f t="shared" si="606"/>
        <v>14</v>
      </c>
      <c r="F12971" s="137" t="s">
        <v>24</v>
      </c>
      <c r="G12971" s="128" t="str">
        <f>VLOOKUP(source[[#This Row],[lending_product_transform]],[3]Mapping!$B$4:$C$37,2,0)</f>
        <v>[Cake] - Cashloan</v>
      </c>
      <c r="H12971" s="128" t="str">
        <f>VLOOKUP(source[[#This Row],[lending_product_transform]],[3]Mapping!$B$3:$D$37,3,0)</f>
        <v>cashloan</v>
      </c>
      <c r="I12971" s="137">
        <v>1558512862</v>
      </c>
    </row>
    <row r="12972" spans="1:9" x14ac:dyDescent="0.2">
      <c r="A12972" s="134">
        <v>46067</v>
      </c>
      <c r="B12972" s="135">
        <f>YEAR(source[[#This Row],[report_date]])</f>
        <v>2026</v>
      </c>
      <c r="C12972" s="128">
        <f t="shared" si="605"/>
        <v>2</v>
      </c>
      <c r="D12972" s="136">
        <f t="shared" si="607"/>
        <v>7</v>
      </c>
      <c r="E12972" s="136">
        <f t="shared" si="606"/>
        <v>14</v>
      </c>
      <c r="F12972" s="137" t="s">
        <v>24</v>
      </c>
      <c r="G12972" s="128" t="str">
        <f>VLOOKUP(source[[#This Row],[lending_product_transform]],[3]Mapping!$B$4:$C$37,2,0)</f>
        <v>[Cake] - Cashloan</v>
      </c>
      <c r="H12972" s="128" t="str">
        <f>VLOOKUP(source[[#This Row],[lending_product_transform]],[3]Mapping!$B$3:$D$37,3,0)</f>
        <v>cashloan</v>
      </c>
      <c r="I12972" s="137">
        <v>0</v>
      </c>
    </row>
    <row r="12973" spans="1:9" x14ac:dyDescent="0.2">
      <c r="A12973" s="134">
        <v>46067</v>
      </c>
      <c r="B12973" s="135">
        <f>YEAR(source[[#This Row],[report_date]])</f>
        <v>2026</v>
      </c>
      <c r="C12973" s="128">
        <f t="shared" si="605"/>
        <v>2</v>
      </c>
      <c r="D12973" s="136">
        <f t="shared" si="607"/>
        <v>7</v>
      </c>
      <c r="E12973" s="136">
        <f t="shared" si="606"/>
        <v>14</v>
      </c>
      <c r="F12973" s="137" t="s">
        <v>24</v>
      </c>
      <c r="G12973" s="128" t="str">
        <f>VLOOKUP(source[[#This Row],[lending_product_transform]],[3]Mapping!$B$4:$C$37,2,0)</f>
        <v>[Cake] - Cashloan</v>
      </c>
      <c r="H12973" s="128" t="str">
        <f>VLOOKUP(source[[#This Row],[lending_product_transform]],[3]Mapping!$B$3:$D$37,3,0)</f>
        <v>cashloan</v>
      </c>
      <c r="I12973" s="137">
        <v>63000000</v>
      </c>
    </row>
    <row r="12974" spans="1:9" x14ac:dyDescent="0.2">
      <c r="A12974" s="134">
        <v>46067</v>
      </c>
      <c r="B12974" s="135">
        <f>YEAR(source[[#This Row],[report_date]])</f>
        <v>2026</v>
      </c>
      <c r="C12974" s="128">
        <f t="shared" si="605"/>
        <v>2</v>
      </c>
      <c r="D12974" s="136">
        <f t="shared" si="607"/>
        <v>7</v>
      </c>
      <c r="E12974" s="136">
        <f t="shared" si="606"/>
        <v>14</v>
      </c>
      <c r="F12974" s="137" t="s">
        <v>24</v>
      </c>
      <c r="G12974" s="128" t="str">
        <f>VLOOKUP(source[[#This Row],[lending_product_transform]],[3]Mapping!$B$4:$C$37,2,0)</f>
        <v>[Cake] - Cashloan</v>
      </c>
      <c r="H12974" s="128" t="str">
        <f>VLOOKUP(source[[#This Row],[lending_product_transform]],[3]Mapping!$B$3:$D$37,3,0)</f>
        <v>cashloan</v>
      </c>
      <c r="I12974" s="137">
        <v>83430000</v>
      </c>
    </row>
    <row r="12975" spans="1:9" x14ac:dyDescent="0.2">
      <c r="A12975" s="134">
        <v>46067</v>
      </c>
      <c r="B12975" s="135">
        <f>YEAR(source[[#This Row],[report_date]])</f>
        <v>2026</v>
      </c>
      <c r="C12975" s="128">
        <f t="shared" si="605"/>
        <v>2</v>
      </c>
      <c r="D12975" s="136">
        <f t="shared" si="607"/>
        <v>7</v>
      </c>
      <c r="E12975" s="136">
        <f t="shared" si="606"/>
        <v>14</v>
      </c>
      <c r="F12975" s="137" t="s">
        <v>24</v>
      </c>
      <c r="G12975" s="128" t="str">
        <f>VLOOKUP(source[[#This Row],[lending_product_transform]],[3]Mapping!$B$4:$C$37,2,0)</f>
        <v>[Cake] - Cashloan</v>
      </c>
      <c r="H12975" s="128" t="str">
        <f>VLOOKUP(source[[#This Row],[lending_product_transform]],[3]Mapping!$B$3:$D$37,3,0)</f>
        <v>cashloan</v>
      </c>
      <c r="I12975" s="137">
        <v>12781040000</v>
      </c>
    </row>
    <row r="12976" spans="1:9" x14ac:dyDescent="0.2">
      <c r="A12976" s="134">
        <v>46067</v>
      </c>
      <c r="B12976" s="135">
        <f>YEAR(source[[#This Row],[report_date]])</f>
        <v>2026</v>
      </c>
      <c r="C12976" s="128">
        <f t="shared" si="605"/>
        <v>2</v>
      </c>
      <c r="D12976" s="136">
        <f t="shared" si="607"/>
        <v>7</v>
      </c>
      <c r="E12976" s="136">
        <f t="shared" si="606"/>
        <v>14</v>
      </c>
      <c r="F12976" s="137" t="s">
        <v>24</v>
      </c>
      <c r="G12976" s="128" t="str">
        <f>VLOOKUP(source[[#This Row],[lending_product_transform]],[3]Mapping!$B$4:$C$37,2,0)</f>
        <v>[Cake] - Cashloan</v>
      </c>
      <c r="H12976" s="128" t="str">
        <f>VLOOKUP(source[[#This Row],[lending_product_transform]],[3]Mapping!$B$3:$D$37,3,0)</f>
        <v>cashloan</v>
      </c>
      <c r="I12976" s="137">
        <v>0</v>
      </c>
    </row>
    <row r="12977" spans="1:9" x14ac:dyDescent="0.2">
      <c r="A12977" s="134">
        <v>46067</v>
      </c>
      <c r="B12977" s="135">
        <f>YEAR(source[[#This Row],[report_date]])</f>
        <v>2026</v>
      </c>
      <c r="C12977" s="128">
        <f t="shared" si="605"/>
        <v>2</v>
      </c>
      <c r="D12977" s="136">
        <f t="shared" si="607"/>
        <v>7</v>
      </c>
      <c r="E12977" s="136">
        <f t="shared" si="606"/>
        <v>14</v>
      </c>
      <c r="F12977" s="137" t="s">
        <v>24</v>
      </c>
      <c r="G12977" s="128" t="str">
        <f>VLOOKUP(source[[#This Row],[lending_product_transform]],[3]Mapping!$B$4:$C$37,2,0)</f>
        <v>[Cake] - Cashloan</v>
      </c>
      <c r="H12977" s="128" t="str">
        <f>VLOOKUP(source[[#This Row],[lending_product_transform]],[3]Mapping!$B$3:$D$37,3,0)</f>
        <v>cashloan</v>
      </c>
      <c r="I12977" s="137">
        <v>0</v>
      </c>
    </row>
    <row r="12978" spans="1:9" x14ac:dyDescent="0.2">
      <c r="A12978" s="134">
        <v>46067</v>
      </c>
      <c r="B12978" s="135">
        <f>YEAR(source[[#This Row],[report_date]])</f>
        <v>2026</v>
      </c>
      <c r="C12978" s="128">
        <f t="shared" si="605"/>
        <v>2</v>
      </c>
      <c r="D12978" s="136">
        <f t="shared" si="607"/>
        <v>7</v>
      </c>
      <c r="E12978" s="136">
        <f t="shared" si="606"/>
        <v>14</v>
      </c>
      <c r="F12978" s="137" t="s">
        <v>24</v>
      </c>
      <c r="G12978" s="128" t="str">
        <f>VLOOKUP(source[[#This Row],[lending_product_transform]],[3]Mapping!$B$4:$C$37,2,0)</f>
        <v>[Cake] - Cashloan</v>
      </c>
      <c r="H12978" s="128" t="str">
        <f>VLOOKUP(source[[#This Row],[lending_product_transform]],[3]Mapping!$B$3:$D$37,3,0)</f>
        <v>cashloan</v>
      </c>
      <c r="I12978" s="137">
        <v>0</v>
      </c>
    </row>
    <row r="12979" spans="1:9" x14ac:dyDescent="0.2">
      <c r="A12979" s="134">
        <v>46067</v>
      </c>
      <c r="B12979" s="135">
        <f>YEAR(source[[#This Row],[report_date]])</f>
        <v>2026</v>
      </c>
      <c r="C12979" s="128">
        <f t="shared" si="605"/>
        <v>2</v>
      </c>
      <c r="D12979" s="136">
        <f t="shared" si="607"/>
        <v>7</v>
      </c>
      <c r="E12979" s="136">
        <f t="shared" si="606"/>
        <v>14</v>
      </c>
      <c r="F12979" s="137" t="s">
        <v>24</v>
      </c>
      <c r="G12979" s="128" t="str">
        <f>VLOOKUP(source[[#This Row],[lending_product_transform]],[3]Mapping!$B$4:$C$37,2,0)</f>
        <v>[Cake] - Cashloan</v>
      </c>
      <c r="H12979" s="128" t="str">
        <f>VLOOKUP(source[[#This Row],[lending_product_transform]],[3]Mapping!$B$3:$D$37,3,0)</f>
        <v>cashloan</v>
      </c>
      <c r="I12979" s="137">
        <v>0</v>
      </c>
    </row>
    <row r="12980" spans="1:9" x14ac:dyDescent="0.2">
      <c r="A12980" s="134">
        <v>46067</v>
      </c>
      <c r="B12980" s="135">
        <f>YEAR(source[[#This Row],[report_date]])</f>
        <v>2026</v>
      </c>
      <c r="C12980" s="128">
        <f t="shared" si="605"/>
        <v>2</v>
      </c>
      <c r="D12980" s="136">
        <f t="shared" si="607"/>
        <v>7</v>
      </c>
      <c r="E12980" s="136">
        <f t="shared" si="606"/>
        <v>14</v>
      </c>
      <c r="F12980" s="137" t="s">
        <v>24</v>
      </c>
      <c r="G12980" s="128" t="str">
        <f>VLOOKUP(source[[#This Row],[lending_product_transform]],[3]Mapping!$B$4:$C$37,2,0)</f>
        <v>[Cake] - Cashloan</v>
      </c>
      <c r="H12980" s="128" t="str">
        <f>VLOOKUP(source[[#This Row],[lending_product_transform]],[3]Mapping!$B$3:$D$37,3,0)</f>
        <v>cashloan</v>
      </c>
      <c r="I12980" s="137">
        <v>12411684000</v>
      </c>
    </row>
    <row r="12981" spans="1:9" x14ac:dyDescent="0.2">
      <c r="A12981" s="134">
        <v>46067</v>
      </c>
      <c r="B12981" s="135">
        <f>YEAR(source[[#This Row],[report_date]])</f>
        <v>2026</v>
      </c>
      <c r="C12981" s="128">
        <f t="shared" si="605"/>
        <v>2</v>
      </c>
      <c r="D12981" s="136">
        <f t="shared" si="607"/>
        <v>7</v>
      </c>
      <c r="E12981" s="136">
        <f t="shared" si="606"/>
        <v>14</v>
      </c>
      <c r="F12981" s="137" t="s">
        <v>24</v>
      </c>
      <c r="G12981" s="128" t="str">
        <f>VLOOKUP(source[[#This Row],[lending_product_transform]],[3]Mapping!$B$4:$C$37,2,0)</f>
        <v>[Cake] - Cashloan</v>
      </c>
      <c r="H12981" s="128" t="str">
        <f>VLOOKUP(source[[#This Row],[lending_product_transform]],[3]Mapping!$B$3:$D$37,3,0)</f>
        <v>cashloan</v>
      </c>
      <c r="I12981" s="137">
        <v>148151559</v>
      </c>
    </row>
    <row r="12982" spans="1:9" x14ac:dyDescent="0.2">
      <c r="A12982" s="134">
        <v>46067</v>
      </c>
      <c r="B12982" s="135">
        <f>YEAR(source[[#This Row],[report_date]])</f>
        <v>2026</v>
      </c>
      <c r="C12982" s="128">
        <f t="shared" ref="C12982:C13045" si="608">MONTH(A12982)</f>
        <v>2</v>
      </c>
      <c r="D12982" s="136">
        <f t="shared" si="607"/>
        <v>7</v>
      </c>
      <c r="E12982" s="136">
        <f t="shared" ref="E12982:E13045" si="609">DAY(A12982)</f>
        <v>14</v>
      </c>
      <c r="F12982" s="137" t="s">
        <v>24</v>
      </c>
      <c r="G12982" s="128" t="str">
        <f>VLOOKUP(source[[#This Row],[lending_product_transform]],[3]Mapping!$B$4:$C$37,2,0)</f>
        <v>[Cake] - Cashloan</v>
      </c>
      <c r="H12982" s="128" t="str">
        <f>VLOOKUP(source[[#This Row],[lending_product_transform]],[3]Mapping!$B$3:$D$37,3,0)</f>
        <v>cashloan</v>
      </c>
      <c r="I12982" s="137">
        <v>41000000</v>
      </c>
    </row>
    <row r="12983" spans="1:9" x14ac:dyDescent="0.2">
      <c r="A12983" s="134">
        <v>46067</v>
      </c>
      <c r="B12983" s="135">
        <f>YEAR(source[[#This Row],[report_date]])</f>
        <v>2026</v>
      </c>
      <c r="C12983" s="128">
        <f t="shared" si="608"/>
        <v>2</v>
      </c>
      <c r="D12983" s="136">
        <f t="shared" si="607"/>
        <v>7</v>
      </c>
      <c r="E12983" s="136">
        <f t="shared" si="609"/>
        <v>14</v>
      </c>
      <c r="F12983" s="137" t="s">
        <v>24</v>
      </c>
      <c r="G12983" s="128" t="str">
        <f>VLOOKUP(source[[#This Row],[lending_product_transform]],[3]Mapping!$B$4:$C$37,2,0)</f>
        <v>[Cake] - Cashloan</v>
      </c>
      <c r="H12983" s="128" t="str">
        <f>VLOOKUP(source[[#This Row],[lending_product_transform]],[3]Mapping!$B$3:$D$37,3,0)</f>
        <v>cashloan</v>
      </c>
      <c r="I12983" s="137">
        <v>41000000</v>
      </c>
    </row>
    <row r="12984" spans="1:9" x14ac:dyDescent="0.2">
      <c r="A12984" s="134">
        <v>46067</v>
      </c>
      <c r="B12984" s="135">
        <f>YEAR(source[[#This Row],[report_date]])</f>
        <v>2026</v>
      </c>
      <c r="C12984" s="128">
        <f t="shared" si="608"/>
        <v>2</v>
      </c>
      <c r="D12984" s="136">
        <f t="shared" si="607"/>
        <v>7</v>
      </c>
      <c r="E12984" s="136">
        <f t="shared" si="609"/>
        <v>14</v>
      </c>
      <c r="F12984" s="137" t="s">
        <v>24</v>
      </c>
      <c r="G12984" s="128" t="str">
        <f>VLOOKUP(source[[#This Row],[lending_product_transform]],[3]Mapping!$B$4:$C$37,2,0)</f>
        <v>[Cake] - Cashloan</v>
      </c>
      <c r="H12984" s="128" t="str">
        <f>VLOOKUP(source[[#This Row],[lending_product_transform]],[3]Mapping!$B$3:$D$37,3,0)</f>
        <v>cashloan</v>
      </c>
      <c r="I12984" s="137">
        <v>768680000</v>
      </c>
    </row>
    <row r="12985" spans="1:9" x14ac:dyDescent="0.2">
      <c r="A12985" s="134">
        <v>46067</v>
      </c>
      <c r="B12985" s="135">
        <f>YEAR(source[[#This Row],[report_date]])</f>
        <v>2026</v>
      </c>
      <c r="C12985" s="128">
        <f t="shared" si="608"/>
        <v>2</v>
      </c>
      <c r="D12985" s="136">
        <f t="shared" si="607"/>
        <v>7</v>
      </c>
      <c r="E12985" s="136">
        <f t="shared" si="609"/>
        <v>14</v>
      </c>
      <c r="F12985" s="137" t="s">
        <v>24</v>
      </c>
      <c r="G12985" s="128" t="str">
        <f>VLOOKUP(source[[#This Row],[lending_product_transform]],[3]Mapping!$B$4:$C$37,2,0)</f>
        <v>[Cake] - Cashloan</v>
      </c>
      <c r="H12985" s="128" t="str">
        <f>VLOOKUP(source[[#This Row],[lending_product_transform]],[3]Mapping!$B$3:$D$37,3,0)</f>
        <v>cashloan</v>
      </c>
      <c r="I12985" s="137">
        <v>248076000</v>
      </c>
    </row>
    <row r="12986" spans="1:9" x14ac:dyDescent="0.2">
      <c r="A12986" s="134">
        <v>46067</v>
      </c>
      <c r="B12986" s="135">
        <f>YEAR(source[[#This Row],[report_date]])</f>
        <v>2026</v>
      </c>
      <c r="C12986" s="128">
        <f t="shared" si="608"/>
        <v>2</v>
      </c>
      <c r="D12986" s="136">
        <f t="shared" si="607"/>
        <v>7</v>
      </c>
      <c r="E12986" s="136">
        <f t="shared" si="609"/>
        <v>14</v>
      </c>
      <c r="F12986" s="137" t="s">
        <v>24</v>
      </c>
      <c r="G12986" s="128" t="str">
        <f>VLOOKUP(source[[#This Row],[lending_product_transform]],[3]Mapping!$B$4:$C$37,2,0)</f>
        <v>[Cake] - Cashloan</v>
      </c>
      <c r="H12986" s="128" t="str">
        <f>VLOOKUP(source[[#This Row],[lending_product_transform]],[3]Mapping!$B$3:$D$37,3,0)</f>
        <v>cashloan</v>
      </c>
      <c r="I12986" s="137">
        <v>293908630</v>
      </c>
    </row>
    <row r="12987" spans="1:9" x14ac:dyDescent="0.2">
      <c r="A12987" s="134">
        <v>46067</v>
      </c>
      <c r="B12987" s="135">
        <f>YEAR(source[[#This Row],[report_date]])</f>
        <v>2026</v>
      </c>
      <c r="C12987" s="128">
        <f t="shared" si="608"/>
        <v>2</v>
      </c>
      <c r="D12987" s="136">
        <f t="shared" si="607"/>
        <v>7</v>
      </c>
      <c r="E12987" s="136">
        <f t="shared" si="609"/>
        <v>14</v>
      </c>
      <c r="F12987" s="137" t="s">
        <v>24</v>
      </c>
      <c r="G12987" s="128" t="str">
        <f>VLOOKUP(source[[#This Row],[lending_product_transform]],[3]Mapping!$B$4:$C$37,2,0)</f>
        <v>[Cake] - Cashloan</v>
      </c>
      <c r="H12987" s="128" t="str">
        <f>VLOOKUP(source[[#This Row],[lending_product_transform]],[3]Mapping!$B$3:$D$37,3,0)</f>
        <v>cashloan</v>
      </c>
      <c r="I12987" s="137">
        <v>2288510000</v>
      </c>
    </row>
    <row r="12988" spans="1:9" x14ac:dyDescent="0.2">
      <c r="A12988" s="134">
        <v>46067</v>
      </c>
      <c r="B12988" s="135">
        <f>YEAR(source[[#This Row],[report_date]])</f>
        <v>2026</v>
      </c>
      <c r="C12988" s="128">
        <f t="shared" si="608"/>
        <v>2</v>
      </c>
      <c r="D12988" s="136">
        <f t="shared" si="607"/>
        <v>7</v>
      </c>
      <c r="E12988" s="136">
        <f t="shared" si="609"/>
        <v>14</v>
      </c>
      <c r="F12988" s="137" t="s">
        <v>24</v>
      </c>
      <c r="G12988" s="128" t="str">
        <f>VLOOKUP(source[[#This Row],[lending_product_transform]],[3]Mapping!$B$4:$C$37,2,0)</f>
        <v>[Cake] - Cashloan</v>
      </c>
      <c r="H12988" s="128" t="str">
        <f>VLOOKUP(source[[#This Row],[lending_product_transform]],[3]Mapping!$B$3:$D$37,3,0)</f>
        <v>cashloan</v>
      </c>
      <c r="I12988" s="137">
        <v>517320000</v>
      </c>
    </row>
    <row r="12989" spans="1:9" x14ac:dyDescent="0.2">
      <c r="A12989" s="134">
        <v>46068</v>
      </c>
      <c r="B12989" s="135">
        <f>YEAR(source[[#This Row],[report_date]])</f>
        <v>2026</v>
      </c>
      <c r="C12989" s="128">
        <f t="shared" si="608"/>
        <v>2</v>
      </c>
      <c r="D12989" s="136">
        <f t="shared" si="607"/>
        <v>7</v>
      </c>
      <c r="E12989" s="136">
        <f t="shared" si="609"/>
        <v>15</v>
      </c>
      <c r="F12989" s="137" t="s">
        <v>24</v>
      </c>
      <c r="G12989" s="128" t="str">
        <f>VLOOKUP(source[[#This Row],[lending_product_transform]],[3]Mapping!$B$4:$C$37,2,0)</f>
        <v>[Cake] - Cashloan</v>
      </c>
      <c r="H12989" s="128" t="str">
        <f>VLOOKUP(source[[#This Row],[lending_product_transform]],[3]Mapping!$B$3:$D$37,3,0)</f>
        <v>cashloan</v>
      </c>
      <c r="I12989" s="137">
        <v>377750000</v>
      </c>
    </row>
    <row r="12990" spans="1:9" x14ac:dyDescent="0.2">
      <c r="A12990" s="134">
        <v>46068</v>
      </c>
      <c r="B12990" s="135">
        <f>YEAR(source[[#This Row],[report_date]])</f>
        <v>2026</v>
      </c>
      <c r="C12990" s="128">
        <f t="shared" si="608"/>
        <v>2</v>
      </c>
      <c r="D12990" s="136">
        <f t="shared" si="607"/>
        <v>7</v>
      </c>
      <c r="E12990" s="136">
        <f t="shared" si="609"/>
        <v>15</v>
      </c>
      <c r="F12990" s="137" t="s">
        <v>24</v>
      </c>
      <c r="G12990" s="128" t="str">
        <f>VLOOKUP(source[[#This Row],[lending_product_transform]],[3]Mapping!$B$4:$C$37,2,0)</f>
        <v>[Cake] - Cashloan</v>
      </c>
      <c r="H12990" s="128" t="str">
        <f>VLOOKUP(source[[#This Row],[lending_product_transform]],[3]Mapping!$B$3:$D$37,3,0)</f>
        <v>cashloan</v>
      </c>
      <c r="I12990" s="137">
        <v>200480969</v>
      </c>
    </row>
    <row r="12991" spans="1:9" x14ac:dyDescent="0.2">
      <c r="A12991" s="134">
        <v>46068</v>
      </c>
      <c r="B12991" s="135">
        <f>YEAR(source[[#This Row],[report_date]])</f>
        <v>2026</v>
      </c>
      <c r="C12991" s="128">
        <f t="shared" si="608"/>
        <v>2</v>
      </c>
      <c r="D12991" s="136">
        <f t="shared" si="607"/>
        <v>7</v>
      </c>
      <c r="E12991" s="136">
        <f t="shared" si="609"/>
        <v>15</v>
      </c>
      <c r="F12991" s="137" t="s">
        <v>24</v>
      </c>
      <c r="G12991" s="128" t="str">
        <f>VLOOKUP(source[[#This Row],[lending_product_transform]],[3]Mapping!$B$4:$C$37,2,0)</f>
        <v>[Cake] - Cashloan</v>
      </c>
      <c r="H12991" s="128" t="str">
        <f>VLOOKUP(source[[#This Row],[lending_product_transform]],[3]Mapping!$B$3:$D$37,3,0)</f>
        <v>cashloan</v>
      </c>
      <c r="I12991" s="137">
        <v>7767740000</v>
      </c>
    </row>
    <row r="12992" spans="1:9" x14ac:dyDescent="0.2">
      <c r="A12992" s="134">
        <v>46068</v>
      </c>
      <c r="B12992" s="135">
        <f>YEAR(source[[#This Row],[report_date]])</f>
        <v>2026</v>
      </c>
      <c r="C12992" s="128">
        <f t="shared" si="608"/>
        <v>2</v>
      </c>
      <c r="D12992" s="136">
        <f t="shared" si="607"/>
        <v>7</v>
      </c>
      <c r="E12992" s="136">
        <f t="shared" si="609"/>
        <v>15</v>
      </c>
      <c r="F12992" s="137" t="s">
        <v>24</v>
      </c>
      <c r="G12992" s="128" t="str">
        <f>VLOOKUP(source[[#This Row],[lending_product_transform]],[3]Mapping!$B$4:$C$37,2,0)</f>
        <v>[Cake] - Cashloan</v>
      </c>
      <c r="H12992" s="128" t="str">
        <f>VLOOKUP(source[[#This Row],[lending_product_transform]],[3]Mapping!$B$3:$D$37,3,0)</f>
        <v>cashloan</v>
      </c>
      <c r="I12992" s="137">
        <v>1507132265</v>
      </c>
    </row>
    <row r="12993" spans="1:9" x14ac:dyDescent="0.2">
      <c r="A12993" s="134">
        <v>46068</v>
      </c>
      <c r="B12993" s="135">
        <f>YEAR(source[[#This Row],[report_date]])</f>
        <v>2026</v>
      </c>
      <c r="C12993" s="128">
        <f t="shared" si="608"/>
        <v>2</v>
      </c>
      <c r="D12993" s="136">
        <f t="shared" si="607"/>
        <v>7</v>
      </c>
      <c r="E12993" s="136">
        <f t="shared" si="609"/>
        <v>15</v>
      </c>
      <c r="F12993" s="137" t="s">
        <v>24</v>
      </c>
      <c r="G12993" s="128" t="str">
        <f>VLOOKUP(source[[#This Row],[lending_product_transform]],[3]Mapping!$B$4:$C$37,2,0)</f>
        <v>[Cake] - Cashloan</v>
      </c>
      <c r="H12993" s="128" t="str">
        <f>VLOOKUP(source[[#This Row],[lending_product_transform]],[3]Mapping!$B$3:$D$37,3,0)</f>
        <v>cashloan</v>
      </c>
      <c r="I12993" s="137">
        <v>10136556000</v>
      </c>
    </row>
    <row r="12994" spans="1:9" x14ac:dyDescent="0.2">
      <c r="A12994" s="134">
        <v>46068</v>
      </c>
      <c r="B12994" s="135">
        <f>YEAR(source[[#This Row],[report_date]])</f>
        <v>2026</v>
      </c>
      <c r="C12994" s="128">
        <f t="shared" si="608"/>
        <v>2</v>
      </c>
      <c r="D12994" s="136">
        <f t="shared" si="607"/>
        <v>7</v>
      </c>
      <c r="E12994" s="136">
        <f t="shared" si="609"/>
        <v>15</v>
      </c>
      <c r="F12994" s="137" t="s">
        <v>24</v>
      </c>
      <c r="G12994" s="128" t="str">
        <f>VLOOKUP(source[[#This Row],[lending_product_transform]],[3]Mapping!$B$4:$C$37,2,0)</f>
        <v>[Cake] - Cashloan</v>
      </c>
      <c r="H12994" s="128" t="str">
        <f>VLOOKUP(source[[#This Row],[lending_product_transform]],[3]Mapping!$B$3:$D$37,3,0)</f>
        <v>cashloan</v>
      </c>
      <c r="I12994" s="137">
        <v>714476</v>
      </c>
    </row>
    <row r="12995" spans="1:9" x14ac:dyDescent="0.2">
      <c r="A12995" s="134">
        <v>46068</v>
      </c>
      <c r="B12995" s="135">
        <f>YEAR(source[[#This Row],[report_date]])</f>
        <v>2026</v>
      </c>
      <c r="C12995" s="128">
        <f t="shared" si="608"/>
        <v>2</v>
      </c>
      <c r="D12995" s="136">
        <f t="shared" si="607"/>
        <v>7</v>
      </c>
      <c r="E12995" s="136">
        <f t="shared" si="609"/>
        <v>15</v>
      </c>
      <c r="F12995" s="137" t="s">
        <v>24</v>
      </c>
      <c r="G12995" s="128" t="str">
        <f>VLOOKUP(source[[#This Row],[lending_product_transform]],[3]Mapping!$B$4:$C$37,2,0)</f>
        <v>[Cake] - Cashloan</v>
      </c>
      <c r="H12995" s="128" t="str">
        <f>VLOOKUP(source[[#This Row],[lending_product_transform]],[3]Mapping!$B$3:$D$37,3,0)</f>
        <v>cashloan</v>
      </c>
      <c r="I12995" s="137">
        <v>0</v>
      </c>
    </row>
    <row r="12996" spans="1:9" x14ac:dyDescent="0.2">
      <c r="A12996" s="134">
        <v>46068</v>
      </c>
      <c r="B12996" s="135">
        <f>YEAR(source[[#This Row],[report_date]])</f>
        <v>2026</v>
      </c>
      <c r="C12996" s="128">
        <f t="shared" si="608"/>
        <v>2</v>
      </c>
      <c r="D12996" s="136">
        <f t="shared" si="607"/>
        <v>7</v>
      </c>
      <c r="E12996" s="136">
        <f t="shared" si="609"/>
        <v>15</v>
      </c>
      <c r="F12996" s="137" t="s">
        <v>24</v>
      </c>
      <c r="G12996" s="128" t="str">
        <f>VLOOKUP(source[[#This Row],[lending_product_transform]],[3]Mapping!$B$4:$C$37,2,0)</f>
        <v>[Cake] - Cashloan</v>
      </c>
      <c r="H12996" s="128" t="str">
        <f>VLOOKUP(source[[#This Row],[lending_product_transform]],[3]Mapping!$B$3:$D$37,3,0)</f>
        <v>cashloan</v>
      </c>
      <c r="I12996" s="137">
        <v>2025270000</v>
      </c>
    </row>
    <row r="12997" spans="1:9" x14ac:dyDescent="0.2">
      <c r="A12997" s="134">
        <v>46068</v>
      </c>
      <c r="B12997" s="135">
        <f>YEAR(source[[#This Row],[report_date]])</f>
        <v>2026</v>
      </c>
      <c r="C12997" s="128">
        <f t="shared" si="608"/>
        <v>2</v>
      </c>
      <c r="D12997" s="136">
        <f t="shared" si="607"/>
        <v>7</v>
      </c>
      <c r="E12997" s="136">
        <f t="shared" si="609"/>
        <v>15</v>
      </c>
      <c r="F12997" s="137" t="s">
        <v>24</v>
      </c>
      <c r="G12997" s="128" t="str">
        <f>VLOOKUP(source[[#This Row],[lending_product_transform]],[3]Mapping!$B$4:$C$37,2,0)</f>
        <v>[Cake] - Cashloan</v>
      </c>
      <c r="H12997" s="128" t="str">
        <f>VLOOKUP(source[[#This Row],[lending_product_transform]],[3]Mapping!$B$3:$D$37,3,0)</f>
        <v>cashloan</v>
      </c>
      <c r="I12997" s="137">
        <v>448410000</v>
      </c>
    </row>
    <row r="12998" spans="1:9" x14ac:dyDescent="0.2">
      <c r="A12998" s="134">
        <v>46068</v>
      </c>
      <c r="B12998" s="135">
        <f>YEAR(source[[#This Row],[report_date]])</f>
        <v>2026</v>
      </c>
      <c r="C12998" s="128">
        <f t="shared" si="608"/>
        <v>2</v>
      </c>
      <c r="D12998" s="136">
        <f t="shared" si="607"/>
        <v>7</v>
      </c>
      <c r="E12998" s="136">
        <f t="shared" si="609"/>
        <v>15</v>
      </c>
      <c r="F12998" s="137" t="s">
        <v>24</v>
      </c>
      <c r="G12998" s="128" t="str">
        <f>VLOOKUP(source[[#This Row],[lending_product_transform]],[3]Mapping!$B$4:$C$37,2,0)</f>
        <v>[Cake] - Cashloan</v>
      </c>
      <c r="H12998" s="128" t="str">
        <f>VLOOKUP(source[[#This Row],[lending_product_transform]],[3]Mapping!$B$3:$D$37,3,0)</f>
        <v>cashloan</v>
      </c>
      <c r="I12998" s="137">
        <v>9994370</v>
      </c>
    </row>
    <row r="12999" spans="1:9" x14ac:dyDescent="0.2">
      <c r="A12999" s="134">
        <v>46068</v>
      </c>
      <c r="B12999" s="135">
        <f>YEAR(source[[#This Row],[report_date]])</f>
        <v>2026</v>
      </c>
      <c r="C12999" s="128">
        <f t="shared" si="608"/>
        <v>2</v>
      </c>
      <c r="D12999" s="136">
        <f t="shared" si="607"/>
        <v>7</v>
      </c>
      <c r="E12999" s="136">
        <f t="shared" si="609"/>
        <v>15</v>
      </c>
      <c r="F12999" s="137" t="s">
        <v>24</v>
      </c>
      <c r="G12999" s="128" t="str">
        <f>VLOOKUP(source[[#This Row],[lending_product_transform]],[3]Mapping!$B$4:$C$37,2,0)</f>
        <v>[Cake] - Cashloan</v>
      </c>
      <c r="H12999" s="128" t="str">
        <f>VLOOKUP(source[[#This Row],[lending_product_transform]],[3]Mapping!$B$3:$D$37,3,0)</f>
        <v>cashloan</v>
      </c>
      <c r="I12999" s="137">
        <v>1094880452</v>
      </c>
    </row>
    <row r="13000" spans="1:9" x14ac:dyDescent="0.2">
      <c r="A13000" s="134">
        <v>46068</v>
      </c>
      <c r="B13000" s="135">
        <f>YEAR(source[[#This Row],[report_date]])</f>
        <v>2026</v>
      </c>
      <c r="C13000" s="128">
        <f t="shared" si="608"/>
        <v>2</v>
      </c>
      <c r="D13000" s="136">
        <f t="shared" si="607"/>
        <v>7</v>
      </c>
      <c r="E13000" s="136">
        <f t="shared" si="609"/>
        <v>15</v>
      </c>
      <c r="F13000" s="137" t="s">
        <v>24</v>
      </c>
      <c r="G13000" s="128" t="str">
        <f>VLOOKUP(source[[#This Row],[lending_product_transform]],[3]Mapping!$B$4:$C$37,2,0)</f>
        <v>[Cake] - Cashloan</v>
      </c>
      <c r="H13000" s="128" t="str">
        <f>VLOOKUP(source[[#This Row],[lending_product_transform]],[3]Mapping!$B$3:$D$37,3,0)</f>
        <v>cashloan</v>
      </c>
      <c r="I13000" s="137">
        <v>0</v>
      </c>
    </row>
    <row r="13001" spans="1:9" x14ac:dyDescent="0.2">
      <c r="A13001" s="134">
        <v>46068</v>
      </c>
      <c r="B13001" s="135">
        <f>YEAR(source[[#This Row],[report_date]])</f>
        <v>2026</v>
      </c>
      <c r="C13001" s="128">
        <f t="shared" si="608"/>
        <v>2</v>
      </c>
      <c r="D13001" s="136">
        <f t="shared" si="607"/>
        <v>7</v>
      </c>
      <c r="E13001" s="136">
        <f t="shared" si="609"/>
        <v>15</v>
      </c>
      <c r="F13001" s="137" t="s">
        <v>24</v>
      </c>
      <c r="G13001" s="128" t="str">
        <f>VLOOKUP(source[[#This Row],[lending_product_transform]],[3]Mapping!$B$4:$C$37,2,0)</f>
        <v>[Cake] - Cashloan</v>
      </c>
      <c r="H13001" s="128" t="str">
        <f>VLOOKUP(source[[#This Row],[lending_product_transform]],[3]Mapping!$B$3:$D$37,3,0)</f>
        <v>cashloan</v>
      </c>
      <c r="I13001" s="137">
        <v>110250000</v>
      </c>
    </row>
    <row r="13002" spans="1:9" x14ac:dyDescent="0.2">
      <c r="A13002" s="134">
        <v>46068</v>
      </c>
      <c r="B13002" s="135">
        <f>YEAR(source[[#This Row],[report_date]])</f>
        <v>2026</v>
      </c>
      <c r="C13002" s="128">
        <f t="shared" si="608"/>
        <v>2</v>
      </c>
      <c r="D13002" s="136">
        <f t="shared" si="607"/>
        <v>7</v>
      </c>
      <c r="E13002" s="136">
        <f t="shared" si="609"/>
        <v>15</v>
      </c>
      <c r="F13002" s="137" t="s">
        <v>24</v>
      </c>
      <c r="G13002" s="128" t="str">
        <f>VLOOKUP(source[[#This Row],[lending_product_transform]],[3]Mapping!$B$4:$C$37,2,0)</f>
        <v>[Cake] - Cashloan</v>
      </c>
      <c r="H13002" s="128" t="str">
        <f>VLOOKUP(source[[#This Row],[lending_product_transform]],[3]Mapping!$B$3:$D$37,3,0)</f>
        <v>cashloan</v>
      </c>
      <c r="I13002" s="137">
        <v>0</v>
      </c>
    </row>
    <row r="13003" spans="1:9" x14ac:dyDescent="0.2">
      <c r="A13003" s="134">
        <v>46068</v>
      </c>
      <c r="B13003" s="135">
        <f>YEAR(source[[#This Row],[report_date]])</f>
        <v>2026</v>
      </c>
      <c r="C13003" s="128">
        <f t="shared" si="608"/>
        <v>2</v>
      </c>
      <c r="D13003" s="136">
        <f t="shared" si="607"/>
        <v>7</v>
      </c>
      <c r="E13003" s="136">
        <f t="shared" si="609"/>
        <v>15</v>
      </c>
      <c r="F13003" s="137" t="s">
        <v>24</v>
      </c>
      <c r="G13003" s="128" t="str">
        <f>VLOOKUP(source[[#This Row],[lending_product_transform]],[3]Mapping!$B$4:$C$37,2,0)</f>
        <v>[Cake] - Cashloan</v>
      </c>
      <c r="H13003" s="128" t="str">
        <f>VLOOKUP(source[[#This Row],[lending_product_transform]],[3]Mapping!$B$3:$D$37,3,0)</f>
        <v>cashloan</v>
      </c>
      <c r="I13003" s="137">
        <v>10542680000</v>
      </c>
    </row>
    <row r="13004" spans="1:9" x14ac:dyDescent="0.2">
      <c r="A13004" s="134">
        <v>46068</v>
      </c>
      <c r="B13004" s="135">
        <f>YEAR(source[[#This Row],[report_date]])</f>
        <v>2026</v>
      </c>
      <c r="C13004" s="128">
        <f t="shared" si="608"/>
        <v>2</v>
      </c>
      <c r="D13004" s="136">
        <f t="shared" si="607"/>
        <v>7</v>
      </c>
      <c r="E13004" s="136">
        <f t="shared" si="609"/>
        <v>15</v>
      </c>
      <c r="F13004" s="137" t="s">
        <v>24</v>
      </c>
      <c r="G13004" s="128" t="str">
        <f>VLOOKUP(source[[#This Row],[lending_product_transform]],[3]Mapping!$B$4:$C$37,2,0)</f>
        <v>[Cake] - Cashloan</v>
      </c>
      <c r="H13004" s="128" t="str">
        <f>VLOOKUP(source[[#This Row],[lending_product_transform]],[3]Mapping!$B$3:$D$37,3,0)</f>
        <v>cashloan</v>
      </c>
      <c r="I13004" s="137">
        <v>0</v>
      </c>
    </row>
    <row r="13005" spans="1:9" x14ac:dyDescent="0.2">
      <c r="A13005" s="134">
        <v>46068</v>
      </c>
      <c r="B13005" s="135">
        <f>YEAR(source[[#This Row],[report_date]])</f>
        <v>2026</v>
      </c>
      <c r="C13005" s="128">
        <f t="shared" si="608"/>
        <v>2</v>
      </c>
      <c r="D13005" s="136">
        <f t="shared" si="607"/>
        <v>7</v>
      </c>
      <c r="E13005" s="136">
        <f t="shared" si="609"/>
        <v>15</v>
      </c>
      <c r="F13005" s="137" t="s">
        <v>24</v>
      </c>
      <c r="G13005" s="128" t="str">
        <f>VLOOKUP(source[[#This Row],[lending_product_transform]],[3]Mapping!$B$4:$C$37,2,0)</f>
        <v>[Cake] - Cashloan</v>
      </c>
      <c r="H13005" s="128" t="str">
        <f>VLOOKUP(source[[#This Row],[lending_product_transform]],[3]Mapping!$B$3:$D$37,3,0)</f>
        <v>cashloan</v>
      </c>
      <c r="I13005" s="137">
        <v>0</v>
      </c>
    </row>
    <row r="13006" spans="1:9" x14ac:dyDescent="0.2">
      <c r="A13006" s="134">
        <v>46068</v>
      </c>
      <c r="B13006" s="135">
        <f>YEAR(source[[#This Row],[report_date]])</f>
        <v>2026</v>
      </c>
      <c r="C13006" s="128">
        <f t="shared" si="608"/>
        <v>2</v>
      </c>
      <c r="D13006" s="136">
        <f t="shared" si="607"/>
        <v>7</v>
      </c>
      <c r="E13006" s="136">
        <f t="shared" si="609"/>
        <v>15</v>
      </c>
      <c r="F13006" s="137" t="s">
        <v>24</v>
      </c>
      <c r="G13006" s="128" t="str">
        <f>VLOOKUP(source[[#This Row],[lending_product_transform]],[3]Mapping!$B$4:$C$37,2,0)</f>
        <v>[Cake] - Cashloan</v>
      </c>
      <c r="H13006" s="128" t="str">
        <f>VLOOKUP(source[[#This Row],[lending_product_transform]],[3]Mapping!$B$3:$D$37,3,0)</f>
        <v>cashloan</v>
      </c>
      <c r="I13006" s="137">
        <v>0</v>
      </c>
    </row>
    <row r="13007" spans="1:9" x14ac:dyDescent="0.2">
      <c r="A13007" s="134">
        <v>46068</v>
      </c>
      <c r="B13007" s="135">
        <f>YEAR(source[[#This Row],[report_date]])</f>
        <v>2026</v>
      </c>
      <c r="C13007" s="128">
        <f t="shared" si="608"/>
        <v>2</v>
      </c>
      <c r="D13007" s="136">
        <f t="shared" si="607"/>
        <v>7</v>
      </c>
      <c r="E13007" s="136">
        <f t="shared" si="609"/>
        <v>15</v>
      </c>
      <c r="F13007" s="137" t="s">
        <v>24</v>
      </c>
      <c r="G13007" s="128" t="str">
        <f>VLOOKUP(source[[#This Row],[lending_product_transform]],[3]Mapping!$B$4:$C$37,2,0)</f>
        <v>[Cake] - Cashloan</v>
      </c>
      <c r="H13007" s="128" t="str">
        <f>VLOOKUP(source[[#This Row],[lending_product_transform]],[3]Mapping!$B$3:$D$37,3,0)</f>
        <v>cashloan</v>
      </c>
      <c r="I13007" s="137">
        <v>15000000</v>
      </c>
    </row>
    <row r="13008" spans="1:9" x14ac:dyDescent="0.2">
      <c r="A13008" s="134">
        <v>46068</v>
      </c>
      <c r="B13008" s="135">
        <f>YEAR(source[[#This Row],[report_date]])</f>
        <v>2026</v>
      </c>
      <c r="C13008" s="128">
        <f t="shared" si="608"/>
        <v>2</v>
      </c>
      <c r="D13008" s="136">
        <f t="shared" si="607"/>
        <v>7</v>
      </c>
      <c r="E13008" s="136">
        <f t="shared" si="609"/>
        <v>15</v>
      </c>
      <c r="F13008" s="137" t="s">
        <v>24</v>
      </c>
      <c r="G13008" s="128" t="str">
        <f>VLOOKUP(source[[#This Row],[lending_product_transform]],[3]Mapping!$B$4:$C$37,2,0)</f>
        <v>[Cake] - Cashloan</v>
      </c>
      <c r="H13008" s="128" t="str">
        <f>VLOOKUP(source[[#This Row],[lending_product_transform]],[3]Mapping!$B$3:$D$37,3,0)</f>
        <v>cashloan</v>
      </c>
      <c r="I13008" s="137">
        <v>10047780000</v>
      </c>
    </row>
    <row r="13009" spans="1:9" x14ac:dyDescent="0.2">
      <c r="A13009" s="134">
        <v>46068</v>
      </c>
      <c r="B13009" s="135">
        <f>YEAR(source[[#This Row],[report_date]])</f>
        <v>2026</v>
      </c>
      <c r="C13009" s="128">
        <f t="shared" si="608"/>
        <v>2</v>
      </c>
      <c r="D13009" s="136">
        <f t="shared" ref="D13009:D13072" si="610">WEEKNUM(A13009,2)</f>
        <v>7</v>
      </c>
      <c r="E13009" s="136">
        <f t="shared" si="609"/>
        <v>15</v>
      </c>
      <c r="F13009" s="137" t="s">
        <v>24</v>
      </c>
      <c r="G13009" s="128" t="str">
        <f>VLOOKUP(source[[#This Row],[lending_product_transform]],[3]Mapping!$B$4:$C$37,2,0)</f>
        <v>[Cake] - Cashloan</v>
      </c>
      <c r="H13009" s="128" t="str">
        <f>VLOOKUP(source[[#This Row],[lending_product_transform]],[3]Mapping!$B$3:$D$37,3,0)</f>
        <v>cashloan</v>
      </c>
      <c r="I13009" s="137">
        <v>141149891</v>
      </c>
    </row>
    <row r="13010" spans="1:9" x14ac:dyDescent="0.2">
      <c r="A13010" s="134">
        <v>46068</v>
      </c>
      <c r="B13010" s="135">
        <f>YEAR(source[[#This Row],[report_date]])</f>
        <v>2026</v>
      </c>
      <c r="C13010" s="128">
        <f t="shared" si="608"/>
        <v>2</v>
      </c>
      <c r="D13010" s="136">
        <f t="shared" si="610"/>
        <v>7</v>
      </c>
      <c r="E13010" s="136">
        <f t="shared" si="609"/>
        <v>15</v>
      </c>
      <c r="F13010" s="137" t="s">
        <v>24</v>
      </c>
      <c r="G13010" s="128" t="str">
        <f>VLOOKUP(source[[#This Row],[lending_product_transform]],[3]Mapping!$B$4:$C$37,2,0)</f>
        <v>[Cake] - Cashloan</v>
      </c>
      <c r="H13010" s="128" t="str">
        <f>VLOOKUP(source[[#This Row],[lending_product_transform]],[3]Mapping!$B$3:$D$37,3,0)</f>
        <v>cashloan</v>
      </c>
      <c r="I13010" s="137">
        <v>63000000</v>
      </c>
    </row>
    <row r="13011" spans="1:9" x14ac:dyDescent="0.2">
      <c r="A13011" s="134">
        <v>46068</v>
      </c>
      <c r="B13011" s="135">
        <f>YEAR(source[[#This Row],[report_date]])</f>
        <v>2026</v>
      </c>
      <c r="C13011" s="128">
        <f t="shared" si="608"/>
        <v>2</v>
      </c>
      <c r="D13011" s="136">
        <f t="shared" si="610"/>
        <v>7</v>
      </c>
      <c r="E13011" s="136">
        <f t="shared" si="609"/>
        <v>15</v>
      </c>
      <c r="F13011" s="137" t="s">
        <v>24</v>
      </c>
      <c r="G13011" s="128" t="str">
        <f>VLOOKUP(source[[#This Row],[lending_product_transform]],[3]Mapping!$B$4:$C$37,2,0)</f>
        <v>[Cake] - Cashloan</v>
      </c>
      <c r="H13011" s="128" t="str">
        <f>VLOOKUP(source[[#This Row],[lending_product_transform]],[3]Mapping!$B$3:$D$37,3,0)</f>
        <v>cashloan</v>
      </c>
      <c r="I13011" s="137">
        <v>38000000</v>
      </c>
    </row>
    <row r="13012" spans="1:9" x14ac:dyDescent="0.2">
      <c r="A13012" s="134">
        <v>46068</v>
      </c>
      <c r="B13012" s="135">
        <f>YEAR(source[[#This Row],[report_date]])</f>
        <v>2026</v>
      </c>
      <c r="C13012" s="128">
        <f t="shared" si="608"/>
        <v>2</v>
      </c>
      <c r="D13012" s="136">
        <f t="shared" si="610"/>
        <v>7</v>
      </c>
      <c r="E13012" s="136">
        <f t="shared" si="609"/>
        <v>15</v>
      </c>
      <c r="F13012" s="137" t="s">
        <v>24</v>
      </c>
      <c r="G13012" s="128" t="str">
        <f>VLOOKUP(source[[#This Row],[lending_product_transform]],[3]Mapping!$B$4:$C$37,2,0)</f>
        <v>[Cake] - Cashloan</v>
      </c>
      <c r="H13012" s="128" t="str">
        <f>VLOOKUP(source[[#This Row],[lending_product_transform]],[3]Mapping!$B$3:$D$37,3,0)</f>
        <v>cashloan</v>
      </c>
      <c r="I13012" s="137">
        <v>647650000</v>
      </c>
    </row>
    <row r="13013" spans="1:9" x14ac:dyDescent="0.2">
      <c r="A13013" s="134">
        <v>46068</v>
      </c>
      <c r="B13013" s="135">
        <f>YEAR(source[[#This Row],[report_date]])</f>
        <v>2026</v>
      </c>
      <c r="C13013" s="128">
        <f t="shared" si="608"/>
        <v>2</v>
      </c>
      <c r="D13013" s="136">
        <f t="shared" si="610"/>
        <v>7</v>
      </c>
      <c r="E13013" s="136">
        <f t="shared" si="609"/>
        <v>15</v>
      </c>
      <c r="F13013" s="137" t="s">
        <v>24</v>
      </c>
      <c r="G13013" s="128" t="str">
        <f>VLOOKUP(source[[#This Row],[lending_product_transform]],[3]Mapping!$B$4:$C$37,2,0)</f>
        <v>[Cake] - Cashloan</v>
      </c>
      <c r="H13013" s="128" t="str">
        <f>VLOOKUP(source[[#This Row],[lending_product_transform]],[3]Mapping!$B$3:$D$37,3,0)</f>
        <v>cashloan</v>
      </c>
      <c r="I13013" s="137">
        <v>288360000</v>
      </c>
    </row>
    <row r="13014" spans="1:9" x14ac:dyDescent="0.2">
      <c r="A13014" s="134">
        <v>46068</v>
      </c>
      <c r="B13014" s="135">
        <f>YEAR(source[[#This Row],[report_date]])</f>
        <v>2026</v>
      </c>
      <c r="C13014" s="128">
        <f t="shared" si="608"/>
        <v>2</v>
      </c>
      <c r="D13014" s="136">
        <f t="shared" si="610"/>
        <v>7</v>
      </c>
      <c r="E13014" s="136">
        <f t="shared" si="609"/>
        <v>15</v>
      </c>
      <c r="F13014" s="137" t="s">
        <v>24</v>
      </c>
      <c r="G13014" s="128" t="str">
        <f>VLOOKUP(source[[#This Row],[lending_product_transform]],[3]Mapping!$B$4:$C$37,2,0)</f>
        <v>[Cake] - Cashloan</v>
      </c>
      <c r="H13014" s="128" t="str">
        <f>VLOOKUP(source[[#This Row],[lending_product_transform]],[3]Mapping!$B$3:$D$37,3,0)</f>
        <v>cashloan</v>
      </c>
      <c r="I13014" s="137">
        <v>262063435</v>
      </c>
    </row>
    <row r="13015" spans="1:9" x14ac:dyDescent="0.2">
      <c r="A13015" s="134">
        <v>46068</v>
      </c>
      <c r="B13015" s="135">
        <f>YEAR(source[[#This Row],[report_date]])</f>
        <v>2026</v>
      </c>
      <c r="C13015" s="128">
        <f t="shared" si="608"/>
        <v>2</v>
      </c>
      <c r="D13015" s="136">
        <f t="shared" si="610"/>
        <v>7</v>
      </c>
      <c r="E13015" s="136">
        <f t="shared" si="609"/>
        <v>15</v>
      </c>
      <c r="F13015" s="137" t="s">
        <v>24</v>
      </c>
      <c r="G13015" s="128" t="str">
        <f>VLOOKUP(source[[#This Row],[lending_product_transform]],[3]Mapping!$B$4:$C$37,2,0)</f>
        <v>[Cake] - Cashloan</v>
      </c>
      <c r="H13015" s="128" t="str">
        <f>VLOOKUP(source[[#This Row],[lending_product_transform]],[3]Mapping!$B$3:$D$37,3,0)</f>
        <v>cashloan</v>
      </c>
      <c r="I13015" s="137">
        <v>2219280000</v>
      </c>
    </row>
    <row r="13016" spans="1:9" x14ac:dyDescent="0.2">
      <c r="A13016" s="134">
        <v>46068</v>
      </c>
      <c r="B13016" s="135">
        <f>YEAR(source[[#This Row],[report_date]])</f>
        <v>2026</v>
      </c>
      <c r="C13016" s="128">
        <f t="shared" si="608"/>
        <v>2</v>
      </c>
      <c r="D13016" s="136">
        <f t="shared" si="610"/>
        <v>7</v>
      </c>
      <c r="E13016" s="136">
        <f t="shared" si="609"/>
        <v>15</v>
      </c>
      <c r="F13016" s="137" t="s">
        <v>24</v>
      </c>
      <c r="G13016" s="128" t="str">
        <f>VLOOKUP(source[[#This Row],[lending_product_transform]],[3]Mapping!$B$4:$C$37,2,0)</f>
        <v>[Cake] - Cashloan</v>
      </c>
      <c r="H13016" s="128" t="str">
        <f>VLOOKUP(source[[#This Row],[lending_product_transform]],[3]Mapping!$B$3:$D$37,3,0)</f>
        <v>cashloan</v>
      </c>
      <c r="I13016" s="137">
        <v>379080000</v>
      </c>
    </row>
    <row r="13017" spans="1:9" x14ac:dyDescent="0.2">
      <c r="A13017" s="134">
        <v>46069</v>
      </c>
      <c r="B13017" s="135">
        <f>YEAR(source[[#This Row],[report_date]])</f>
        <v>2026</v>
      </c>
      <c r="C13017" s="128">
        <f t="shared" si="608"/>
        <v>2</v>
      </c>
      <c r="D13017" s="136">
        <f t="shared" si="610"/>
        <v>8</v>
      </c>
      <c r="E13017" s="136">
        <f t="shared" si="609"/>
        <v>16</v>
      </c>
      <c r="F13017" s="137" t="s">
        <v>24</v>
      </c>
      <c r="G13017" s="128" t="str">
        <f>VLOOKUP(source[[#This Row],[lending_product_transform]],[3]Mapping!$B$4:$C$37,2,0)</f>
        <v>[Cake] - Cashloan</v>
      </c>
      <c r="H13017" s="128" t="str">
        <f>VLOOKUP(source[[#This Row],[lending_product_transform]],[3]Mapping!$B$3:$D$37,3,0)</f>
        <v>cashloan</v>
      </c>
      <c r="I13017" s="137">
        <v>199100000</v>
      </c>
    </row>
    <row r="13018" spans="1:9" x14ac:dyDescent="0.2">
      <c r="A13018" s="134">
        <v>46069</v>
      </c>
      <c r="B13018" s="135">
        <f>YEAR(source[[#This Row],[report_date]])</f>
        <v>2026</v>
      </c>
      <c r="C13018" s="128">
        <f t="shared" si="608"/>
        <v>2</v>
      </c>
      <c r="D13018" s="136">
        <f t="shared" si="610"/>
        <v>8</v>
      </c>
      <c r="E13018" s="136">
        <f t="shared" si="609"/>
        <v>16</v>
      </c>
      <c r="F13018" s="137" t="s">
        <v>24</v>
      </c>
      <c r="G13018" s="128" t="str">
        <f>VLOOKUP(source[[#This Row],[lending_product_transform]],[3]Mapping!$B$4:$C$37,2,0)</f>
        <v>[Cake] - Cashloan</v>
      </c>
      <c r="H13018" s="128" t="str">
        <f>VLOOKUP(source[[#This Row],[lending_product_transform]],[3]Mapping!$B$3:$D$37,3,0)</f>
        <v>cashloan</v>
      </c>
      <c r="I13018" s="137">
        <v>171218066</v>
      </c>
    </row>
    <row r="13019" spans="1:9" x14ac:dyDescent="0.2">
      <c r="A13019" s="134">
        <v>46069</v>
      </c>
      <c r="B13019" s="135">
        <f>YEAR(source[[#This Row],[report_date]])</f>
        <v>2026</v>
      </c>
      <c r="C13019" s="128">
        <f t="shared" si="608"/>
        <v>2</v>
      </c>
      <c r="D13019" s="136">
        <f t="shared" si="610"/>
        <v>8</v>
      </c>
      <c r="E13019" s="136">
        <f t="shared" si="609"/>
        <v>16</v>
      </c>
      <c r="F13019" s="137" t="s">
        <v>24</v>
      </c>
      <c r="G13019" s="128" t="str">
        <f>VLOOKUP(source[[#This Row],[lending_product_transform]],[3]Mapping!$B$4:$C$37,2,0)</f>
        <v>[Cake] - Cashloan</v>
      </c>
      <c r="H13019" s="128" t="str">
        <f>VLOOKUP(source[[#This Row],[lending_product_transform]],[3]Mapping!$B$3:$D$37,3,0)</f>
        <v>cashloan</v>
      </c>
      <c r="I13019" s="137">
        <v>7015060000</v>
      </c>
    </row>
    <row r="13020" spans="1:9" x14ac:dyDescent="0.2">
      <c r="A13020" s="134">
        <v>46069</v>
      </c>
      <c r="B13020" s="135">
        <f>YEAR(source[[#This Row],[report_date]])</f>
        <v>2026</v>
      </c>
      <c r="C13020" s="128">
        <f t="shared" si="608"/>
        <v>2</v>
      </c>
      <c r="D13020" s="136">
        <f t="shared" si="610"/>
        <v>8</v>
      </c>
      <c r="E13020" s="136">
        <f t="shared" si="609"/>
        <v>16</v>
      </c>
      <c r="F13020" s="137" t="s">
        <v>24</v>
      </c>
      <c r="G13020" s="128" t="str">
        <f>VLOOKUP(source[[#This Row],[lending_product_transform]],[3]Mapping!$B$4:$C$37,2,0)</f>
        <v>[Cake] - Cashloan</v>
      </c>
      <c r="H13020" s="128" t="str">
        <f>VLOOKUP(source[[#This Row],[lending_product_transform]],[3]Mapping!$B$3:$D$37,3,0)</f>
        <v>cashloan</v>
      </c>
      <c r="I13020" s="137">
        <v>1577459125</v>
      </c>
    </row>
    <row r="13021" spans="1:9" x14ac:dyDescent="0.2">
      <c r="A13021" s="134">
        <v>46069</v>
      </c>
      <c r="B13021" s="135">
        <f>YEAR(source[[#This Row],[report_date]])</f>
        <v>2026</v>
      </c>
      <c r="C13021" s="128">
        <f t="shared" si="608"/>
        <v>2</v>
      </c>
      <c r="D13021" s="136">
        <f t="shared" si="610"/>
        <v>8</v>
      </c>
      <c r="E13021" s="136">
        <f t="shared" si="609"/>
        <v>16</v>
      </c>
      <c r="F13021" s="137" t="s">
        <v>24</v>
      </c>
      <c r="G13021" s="128" t="str">
        <f>VLOOKUP(source[[#This Row],[lending_product_transform]],[3]Mapping!$B$4:$C$37,2,0)</f>
        <v>[Cake] - Cashloan</v>
      </c>
      <c r="H13021" s="128" t="str">
        <f>VLOOKUP(source[[#This Row],[lending_product_transform]],[3]Mapping!$B$3:$D$37,3,0)</f>
        <v>cashloan</v>
      </c>
      <c r="I13021" s="137">
        <v>9127728000</v>
      </c>
    </row>
    <row r="13022" spans="1:9" x14ac:dyDescent="0.2">
      <c r="A13022" s="134">
        <v>46069</v>
      </c>
      <c r="B13022" s="135">
        <f>YEAR(source[[#This Row],[report_date]])</f>
        <v>2026</v>
      </c>
      <c r="C13022" s="128">
        <f t="shared" si="608"/>
        <v>2</v>
      </c>
      <c r="D13022" s="136">
        <f t="shared" si="610"/>
        <v>8</v>
      </c>
      <c r="E13022" s="136">
        <f t="shared" si="609"/>
        <v>16</v>
      </c>
      <c r="F13022" s="137" t="s">
        <v>24</v>
      </c>
      <c r="G13022" s="128" t="str">
        <f>VLOOKUP(source[[#This Row],[lending_product_transform]],[3]Mapping!$B$4:$C$37,2,0)</f>
        <v>[Cake] - Cashloan</v>
      </c>
      <c r="H13022" s="128" t="str">
        <f>VLOOKUP(source[[#This Row],[lending_product_transform]],[3]Mapping!$B$3:$D$37,3,0)</f>
        <v>cashloan</v>
      </c>
      <c r="I13022" s="137">
        <v>376000</v>
      </c>
    </row>
    <row r="13023" spans="1:9" x14ac:dyDescent="0.2">
      <c r="A13023" s="134">
        <v>46069</v>
      </c>
      <c r="B13023" s="135">
        <f>YEAR(source[[#This Row],[report_date]])</f>
        <v>2026</v>
      </c>
      <c r="C13023" s="128">
        <f t="shared" si="608"/>
        <v>2</v>
      </c>
      <c r="D13023" s="136">
        <f t="shared" si="610"/>
        <v>8</v>
      </c>
      <c r="E13023" s="136">
        <f t="shared" si="609"/>
        <v>16</v>
      </c>
      <c r="F13023" s="137" t="s">
        <v>24</v>
      </c>
      <c r="G13023" s="128" t="str">
        <f>VLOOKUP(source[[#This Row],[lending_product_transform]],[3]Mapping!$B$4:$C$37,2,0)</f>
        <v>[Cake] - Cashloan</v>
      </c>
      <c r="H13023" s="128" t="str">
        <f>VLOOKUP(source[[#This Row],[lending_product_transform]],[3]Mapping!$B$3:$D$37,3,0)</f>
        <v>cashloan</v>
      </c>
      <c r="I13023" s="137">
        <v>0</v>
      </c>
    </row>
    <row r="13024" spans="1:9" x14ac:dyDescent="0.2">
      <c r="A13024" s="134">
        <v>46069</v>
      </c>
      <c r="B13024" s="135">
        <f>YEAR(source[[#This Row],[report_date]])</f>
        <v>2026</v>
      </c>
      <c r="C13024" s="128">
        <f t="shared" si="608"/>
        <v>2</v>
      </c>
      <c r="D13024" s="136">
        <f t="shared" si="610"/>
        <v>8</v>
      </c>
      <c r="E13024" s="136">
        <f t="shared" si="609"/>
        <v>16</v>
      </c>
      <c r="F13024" s="137" t="s">
        <v>24</v>
      </c>
      <c r="G13024" s="128" t="str">
        <f>VLOOKUP(source[[#This Row],[lending_product_transform]],[3]Mapping!$B$4:$C$37,2,0)</f>
        <v>[Cake] - Cashloan</v>
      </c>
      <c r="H13024" s="128" t="str">
        <f>VLOOKUP(source[[#This Row],[lending_product_transform]],[3]Mapping!$B$3:$D$37,3,0)</f>
        <v>cashloan</v>
      </c>
      <c r="I13024" s="137">
        <v>40000000</v>
      </c>
    </row>
    <row r="13025" spans="1:9" x14ac:dyDescent="0.2">
      <c r="A13025" s="134">
        <v>46069</v>
      </c>
      <c r="B13025" s="135">
        <f>YEAR(source[[#This Row],[report_date]])</f>
        <v>2026</v>
      </c>
      <c r="C13025" s="128">
        <f t="shared" si="608"/>
        <v>2</v>
      </c>
      <c r="D13025" s="136">
        <f t="shared" si="610"/>
        <v>8</v>
      </c>
      <c r="E13025" s="136">
        <f t="shared" si="609"/>
        <v>16</v>
      </c>
      <c r="F13025" s="137" t="s">
        <v>24</v>
      </c>
      <c r="G13025" s="128" t="str">
        <f>VLOOKUP(source[[#This Row],[lending_product_transform]],[3]Mapping!$B$4:$C$37,2,0)</f>
        <v>[Cake] - Cashloan</v>
      </c>
      <c r="H13025" s="128" t="str">
        <f>VLOOKUP(source[[#This Row],[lending_product_transform]],[3]Mapping!$B$3:$D$37,3,0)</f>
        <v>cashloan</v>
      </c>
      <c r="I13025" s="137">
        <v>295690000</v>
      </c>
    </row>
    <row r="13026" spans="1:9" x14ac:dyDescent="0.2">
      <c r="A13026" s="134">
        <v>46069</v>
      </c>
      <c r="B13026" s="135">
        <f>YEAR(source[[#This Row],[report_date]])</f>
        <v>2026</v>
      </c>
      <c r="C13026" s="128">
        <f t="shared" si="608"/>
        <v>2</v>
      </c>
      <c r="D13026" s="136">
        <f t="shared" si="610"/>
        <v>8</v>
      </c>
      <c r="E13026" s="136">
        <f t="shared" si="609"/>
        <v>16</v>
      </c>
      <c r="F13026" s="137" t="s">
        <v>24</v>
      </c>
      <c r="G13026" s="128" t="str">
        <f>VLOOKUP(source[[#This Row],[lending_product_transform]],[3]Mapping!$B$4:$C$37,2,0)</f>
        <v>[Cake] - Cashloan</v>
      </c>
      <c r="H13026" s="128" t="str">
        <f>VLOOKUP(source[[#This Row],[lending_product_transform]],[3]Mapping!$B$3:$D$37,3,0)</f>
        <v>cashloan</v>
      </c>
      <c r="I13026" s="137">
        <v>35836</v>
      </c>
    </row>
    <row r="13027" spans="1:9" x14ac:dyDescent="0.2">
      <c r="A13027" s="134">
        <v>46069</v>
      </c>
      <c r="B13027" s="135">
        <f>YEAR(source[[#This Row],[report_date]])</f>
        <v>2026</v>
      </c>
      <c r="C13027" s="128">
        <f t="shared" si="608"/>
        <v>2</v>
      </c>
      <c r="D13027" s="136">
        <f t="shared" si="610"/>
        <v>8</v>
      </c>
      <c r="E13027" s="136">
        <f t="shared" si="609"/>
        <v>16</v>
      </c>
      <c r="F13027" s="137" t="s">
        <v>24</v>
      </c>
      <c r="G13027" s="128" t="str">
        <f>VLOOKUP(source[[#This Row],[lending_product_transform]],[3]Mapping!$B$4:$C$37,2,0)</f>
        <v>[Cake] - Cashloan</v>
      </c>
      <c r="H13027" s="128" t="str">
        <f>VLOOKUP(source[[#This Row],[lending_product_transform]],[3]Mapping!$B$3:$D$37,3,0)</f>
        <v>cashloan</v>
      </c>
      <c r="I13027" s="137">
        <v>108417293</v>
      </c>
    </row>
    <row r="13028" spans="1:9" x14ac:dyDescent="0.2">
      <c r="A13028" s="134">
        <v>46069</v>
      </c>
      <c r="B13028" s="135">
        <f>YEAR(source[[#This Row],[report_date]])</f>
        <v>2026</v>
      </c>
      <c r="C13028" s="128">
        <f t="shared" si="608"/>
        <v>2</v>
      </c>
      <c r="D13028" s="136">
        <f t="shared" si="610"/>
        <v>8</v>
      </c>
      <c r="E13028" s="136">
        <f t="shared" si="609"/>
        <v>16</v>
      </c>
      <c r="F13028" s="137" t="s">
        <v>24</v>
      </c>
      <c r="G13028" s="128" t="str">
        <f>VLOOKUP(source[[#This Row],[lending_product_transform]],[3]Mapping!$B$4:$C$37,2,0)</f>
        <v>[Cake] - Cashloan</v>
      </c>
      <c r="H13028" s="128" t="str">
        <f>VLOOKUP(source[[#This Row],[lending_product_transform]],[3]Mapping!$B$3:$D$37,3,0)</f>
        <v>cashloan</v>
      </c>
      <c r="I13028" s="137">
        <v>0</v>
      </c>
    </row>
    <row r="13029" spans="1:9" x14ac:dyDescent="0.2">
      <c r="A13029" s="134">
        <v>46069</v>
      </c>
      <c r="B13029" s="135">
        <f>YEAR(source[[#This Row],[report_date]])</f>
        <v>2026</v>
      </c>
      <c r="C13029" s="128">
        <f t="shared" si="608"/>
        <v>2</v>
      </c>
      <c r="D13029" s="136">
        <f t="shared" si="610"/>
        <v>8</v>
      </c>
      <c r="E13029" s="136">
        <f t="shared" si="609"/>
        <v>16</v>
      </c>
      <c r="F13029" s="137" t="s">
        <v>24</v>
      </c>
      <c r="G13029" s="128" t="str">
        <f>VLOOKUP(source[[#This Row],[lending_product_transform]],[3]Mapping!$B$4:$C$37,2,0)</f>
        <v>[Cake] - Cashloan</v>
      </c>
      <c r="H13029" s="128" t="str">
        <f>VLOOKUP(source[[#This Row],[lending_product_transform]],[3]Mapping!$B$3:$D$37,3,0)</f>
        <v>cashloan</v>
      </c>
      <c r="I13029" s="137">
        <v>0</v>
      </c>
    </row>
    <row r="13030" spans="1:9" x14ac:dyDescent="0.2">
      <c r="A13030" s="134">
        <v>46069</v>
      </c>
      <c r="B13030" s="135">
        <f>YEAR(source[[#This Row],[report_date]])</f>
        <v>2026</v>
      </c>
      <c r="C13030" s="128">
        <f t="shared" si="608"/>
        <v>2</v>
      </c>
      <c r="D13030" s="136">
        <f t="shared" si="610"/>
        <v>8</v>
      </c>
      <c r="E13030" s="136">
        <f t="shared" si="609"/>
        <v>16</v>
      </c>
      <c r="F13030" s="137" t="s">
        <v>24</v>
      </c>
      <c r="G13030" s="128" t="str">
        <f>VLOOKUP(source[[#This Row],[lending_product_transform]],[3]Mapping!$B$4:$C$37,2,0)</f>
        <v>[Cake] - Cashloan</v>
      </c>
      <c r="H13030" s="128" t="str">
        <f>VLOOKUP(source[[#This Row],[lending_product_transform]],[3]Mapping!$B$3:$D$37,3,0)</f>
        <v>cashloan</v>
      </c>
      <c r="I13030" s="137">
        <v>0</v>
      </c>
    </row>
    <row r="13031" spans="1:9" x14ac:dyDescent="0.2">
      <c r="A13031" s="134">
        <v>46069</v>
      </c>
      <c r="B13031" s="135">
        <f>YEAR(source[[#This Row],[report_date]])</f>
        <v>2026</v>
      </c>
      <c r="C13031" s="128">
        <f t="shared" si="608"/>
        <v>2</v>
      </c>
      <c r="D13031" s="136">
        <f t="shared" si="610"/>
        <v>8</v>
      </c>
      <c r="E13031" s="136">
        <f t="shared" si="609"/>
        <v>16</v>
      </c>
      <c r="F13031" s="137" t="s">
        <v>24</v>
      </c>
      <c r="G13031" s="128" t="str">
        <f>VLOOKUP(source[[#This Row],[lending_product_transform]],[3]Mapping!$B$4:$C$37,2,0)</f>
        <v>[Cake] - Cashloan</v>
      </c>
      <c r="H13031" s="128" t="str">
        <f>VLOOKUP(source[[#This Row],[lending_product_transform]],[3]Mapping!$B$3:$D$37,3,0)</f>
        <v>cashloan</v>
      </c>
      <c r="I13031" s="137">
        <v>8938420000</v>
      </c>
    </row>
    <row r="13032" spans="1:9" x14ac:dyDescent="0.2">
      <c r="A13032" s="134">
        <v>46069</v>
      </c>
      <c r="B13032" s="135">
        <f>YEAR(source[[#This Row],[report_date]])</f>
        <v>2026</v>
      </c>
      <c r="C13032" s="128">
        <f t="shared" si="608"/>
        <v>2</v>
      </c>
      <c r="D13032" s="136">
        <f t="shared" si="610"/>
        <v>8</v>
      </c>
      <c r="E13032" s="136">
        <f t="shared" si="609"/>
        <v>16</v>
      </c>
      <c r="F13032" s="137" t="s">
        <v>24</v>
      </c>
      <c r="G13032" s="128" t="str">
        <f>VLOOKUP(source[[#This Row],[lending_product_transform]],[3]Mapping!$B$4:$C$37,2,0)</f>
        <v>[Cake] - Cashloan</v>
      </c>
      <c r="H13032" s="128" t="str">
        <f>VLOOKUP(source[[#This Row],[lending_product_transform]],[3]Mapping!$B$3:$D$37,3,0)</f>
        <v>cashloan</v>
      </c>
      <c r="I13032" s="137">
        <v>0</v>
      </c>
    </row>
    <row r="13033" spans="1:9" x14ac:dyDescent="0.2">
      <c r="A13033" s="134">
        <v>46069</v>
      </c>
      <c r="B13033" s="135">
        <f>YEAR(source[[#This Row],[report_date]])</f>
        <v>2026</v>
      </c>
      <c r="C13033" s="128">
        <f t="shared" si="608"/>
        <v>2</v>
      </c>
      <c r="D13033" s="136">
        <f t="shared" si="610"/>
        <v>8</v>
      </c>
      <c r="E13033" s="136">
        <f t="shared" si="609"/>
        <v>16</v>
      </c>
      <c r="F13033" s="137" t="s">
        <v>24</v>
      </c>
      <c r="G13033" s="128" t="str">
        <f>VLOOKUP(source[[#This Row],[lending_product_transform]],[3]Mapping!$B$4:$C$37,2,0)</f>
        <v>[Cake] - Cashloan</v>
      </c>
      <c r="H13033" s="128" t="str">
        <f>VLOOKUP(source[[#This Row],[lending_product_transform]],[3]Mapping!$B$3:$D$37,3,0)</f>
        <v>cashloan</v>
      </c>
      <c r="I13033" s="137">
        <v>0</v>
      </c>
    </row>
    <row r="13034" spans="1:9" x14ac:dyDescent="0.2">
      <c r="A13034" s="134">
        <v>46069</v>
      </c>
      <c r="B13034" s="135">
        <f>YEAR(source[[#This Row],[report_date]])</f>
        <v>2026</v>
      </c>
      <c r="C13034" s="128">
        <f t="shared" si="608"/>
        <v>2</v>
      </c>
      <c r="D13034" s="136">
        <f t="shared" si="610"/>
        <v>8</v>
      </c>
      <c r="E13034" s="136">
        <f t="shared" si="609"/>
        <v>16</v>
      </c>
      <c r="F13034" s="137" t="s">
        <v>24</v>
      </c>
      <c r="G13034" s="128" t="str">
        <f>VLOOKUP(source[[#This Row],[lending_product_transform]],[3]Mapping!$B$4:$C$37,2,0)</f>
        <v>[Cake] - Cashloan</v>
      </c>
      <c r="H13034" s="128" t="str">
        <f>VLOOKUP(source[[#This Row],[lending_product_transform]],[3]Mapping!$B$3:$D$37,3,0)</f>
        <v>cashloan</v>
      </c>
      <c r="I13034" s="137">
        <v>0</v>
      </c>
    </row>
    <row r="13035" spans="1:9" x14ac:dyDescent="0.2">
      <c r="A13035" s="134">
        <v>46069</v>
      </c>
      <c r="B13035" s="135">
        <f>YEAR(source[[#This Row],[report_date]])</f>
        <v>2026</v>
      </c>
      <c r="C13035" s="128">
        <f t="shared" si="608"/>
        <v>2</v>
      </c>
      <c r="D13035" s="136">
        <f t="shared" si="610"/>
        <v>8</v>
      </c>
      <c r="E13035" s="136">
        <f t="shared" si="609"/>
        <v>16</v>
      </c>
      <c r="F13035" s="137" t="s">
        <v>24</v>
      </c>
      <c r="G13035" s="128" t="str">
        <f>VLOOKUP(source[[#This Row],[lending_product_transform]],[3]Mapping!$B$4:$C$37,2,0)</f>
        <v>[Cake] - Cashloan</v>
      </c>
      <c r="H13035" s="128" t="str">
        <f>VLOOKUP(source[[#This Row],[lending_product_transform]],[3]Mapping!$B$3:$D$37,3,0)</f>
        <v>cashloan</v>
      </c>
      <c r="I13035" s="137">
        <v>0</v>
      </c>
    </row>
    <row r="13036" spans="1:9" x14ac:dyDescent="0.2">
      <c r="A13036" s="134">
        <v>46069</v>
      </c>
      <c r="B13036" s="135">
        <f>YEAR(source[[#This Row],[report_date]])</f>
        <v>2026</v>
      </c>
      <c r="C13036" s="128">
        <f t="shared" si="608"/>
        <v>2</v>
      </c>
      <c r="D13036" s="136">
        <f t="shared" si="610"/>
        <v>8</v>
      </c>
      <c r="E13036" s="136">
        <f t="shared" si="609"/>
        <v>16</v>
      </c>
      <c r="F13036" s="137" t="s">
        <v>24</v>
      </c>
      <c r="G13036" s="128" t="str">
        <f>VLOOKUP(source[[#This Row],[lending_product_transform]],[3]Mapping!$B$4:$C$37,2,0)</f>
        <v>[Cake] - Cashloan</v>
      </c>
      <c r="H13036" s="128" t="str">
        <f>VLOOKUP(source[[#This Row],[lending_product_transform]],[3]Mapping!$B$3:$D$37,3,0)</f>
        <v>cashloan</v>
      </c>
      <c r="I13036" s="137">
        <v>9461016000</v>
      </c>
    </row>
    <row r="13037" spans="1:9" x14ac:dyDescent="0.2">
      <c r="A13037" s="134">
        <v>46069</v>
      </c>
      <c r="B13037" s="135">
        <f>YEAR(source[[#This Row],[report_date]])</f>
        <v>2026</v>
      </c>
      <c r="C13037" s="128">
        <f t="shared" si="608"/>
        <v>2</v>
      </c>
      <c r="D13037" s="136">
        <f t="shared" si="610"/>
        <v>8</v>
      </c>
      <c r="E13037" s="136">
        <f t="shared" si="609"/>
        <v>16</v>
      </c>
      <c r="F13037" s="137" t="s">
        <v>24</v>
      </c>
      <c r="G13037" s="128" t="str">
        <f>VLOOKUP(source[[#This Row],[lending_product_transform]],[3]Mapping!$B$4:$C$37,2,0)</f>
        <v>[Cake] - Cashloan</v>
      </c>
      <c r="H13037" s="128" t="str">
        <f>VLOOKUP(source[[#This Row],[lending_product_transform]],[3]Mapping!$B$3:$D$37,3,0)</f>
        <v>cashloan</v>
      </c>
      <c r="I13037" s="137">
        <v>104087944</v>
      </c>
    </row>
    <row r="13038" spans="1:9" x14ac:dyDescent="0.2">
      <c r="A13038" s="134">
        <v>46069</v>
      </c>
      <c r="B13038" s="135">
        <f>YEAR(source[[#This Row],[report_date]])</f>
        <v>2026</v>
      </c>
      <c r="C13038" s="128">
        <f t="shared" si="608"/>
        <v>2</v>
      </c>
      <c r="D13038" s="136">
        <f t="shared" si="610"/>
        <v>8</v>
      </c>
      <c r="E13038" s="136">
        <f t="shared" si="609"/>
        <v>16</v>
      </c>
      <c r="F13038" s="137" t="s">
        <v>24</v>
      </c>
      <c r="G13038" s="128" t="str">
        <f>VLOOKUP(source[[#This Row],[lending_product_transform]],[3]Mapping!$B$4:$C$37,2,0)</f>
        <v>[Cake] - Cashloan</v>
      </c>
      <c r="H13038" s="128" t="str">
        <f>VLOOKUP(source[[#This Row],[lending_product_transform]],[3]Mapping!$B$3:$D$37,3,0)</f>
        <v>cashloan</v>
      </c>
      <c r="I13038" s="137">
        <v>35700000</v>
      </c>
    </row>
    <row r="13039" spans="1:9" x14ac:dyDescent="0.2">
      <c r="A13039" s="134">
        <v>46069</v>
      </c>
      <c r="B13039" s="135">
        <f>YEAR(source[[#This Row],[report_date]])</f>
        <v>2026</v>
      </c>
      <c r="C13039" s="128">
        <f t="shared" si="608"/>
        <v>2</v>
      </c>
      <c r="D13039" s="136">
        <f t="shared" si="610"/>
        <v>8</v>
      </c>
      <c r="E13039" s="136">
        <f t="shared" si="609"/>
        <v>16</v>
      </c>
      <c r="F13039" s="137" t="s">
        <v>24</v>
      </c>
      <c r="G13039" s="128" t="str">
        <f>VLOOKUP(source[[#This Row],[lending_product_transform]],[3]Mapping!$B$4:$C$37,2,0)</f>
        <v>[Cake] - Cashloan</v>
      </c>
      <c r="H13039" s="128" t="str">
        <f>VLOOKUP(source[[#This Row],[lending_product_transform]],[3]Mapping!$B$3:$D$37,3,0)</f>
        <v>cashloan</v>
      </c>
      <c r="I13039" s="137">
        <v>57000000</v>
      </c>
    </row>
    <row r="13040" spans="1:9" x14ac:dyDescent="0.2">
      <c r="A13040" s="134">
        <v>46069</v>
      </c>
      <c r="B13040" s="135">
        <f>YEAR(source[[#This Row],[report_date]])</f>
        <v>2026</v>
      </c>
      <c r="C13040" s="128">
        <f t="shared" si="608"/>
        <v>2</v>
      </c>
      <c r="D13040" s="136">
        <f t="shared" si="610"/>
        <v>8</v>
      </c>
      <c r="E13040" s="136">
        <f t="shared" si="609"/>
        <v>16</v>
      </c>
      <c r="F13040" s="137" t="s">
        <v>24</v>
      </c>
      <c r="G13040" s="128" t="str">
        <f>VLOOKUP(source[[#This Row],[lending_product_transform]],[3]Mapping!$B$4:$C$37,2,0)</f>
        <v>[Cake] - Cashloan</v>
      </c>
      <c r="H13040" s="128" t="str">
        <f>VLOOKUP(source[[#This Row],[lending_product_transform]],[3]Mapping!$B$3:$D$37,3,0)</f>
        <v>cashloan</v>
      </c>
      <c r="I13040" s="137">
        <v>324530000</v>
      </c>
    </row>
    <row r="13041" spans="1:9" x14ac:dyDescent="0.2">
      <c r="A13041" s="134">
        <v>46069</v>
      </c>
      <c r="B13041" s="135">
        <f>YEAR(source[[#This Row],[report_date]])</f>
        <v>2026</v>
      </c>
      <c r="C13041" s="128">
        <f t="shared" si="608"/>
        <v>2</v>
      </c>
      <c r="D13041" s="136">
        <f t="shared" si="610"/>
        <v>8</v>
      </c>
      <c r="E13041" s="136">
        <f t="shared" si="609"/>
        <v>16</v>
      </c>
      <c r="F13041" s="137" t="s">
        <v>24</v>
      </c>
      <c r="G13041" s="128" t="str">
        <f>VLOOKUP(source[[#This Row],[lending_product_transform]],[3]Mapping!$B$4:$C$37,2,0)</f>
        <v>[Cake] - Cashloan</v>
      </c>
      <c r="H13041" s="128" t="str">
        <f>VLOOKUP(source[[#This Row],[lending_product_transform]],[3]Mapping!$B$3:$D$37,3,0)</f>
        <v>cashloan</v>
      </c>
      <c r="I13041" s="137">
        <v>150660000</v>
      </c>
    </row>
    <row r="13042" spans="1:9" x14ac:dyDescent="0.2">
      <c r="A13042" s="134">
        <v>46069</v>
      </c>
      <c r="B13042" s="135">
        <f>YEAR(source[[#This Row],[report_date]])</f>
        <v>2026</v>
      </c>
      <c r="C13042" s="128">
        <f t="shared" si="608"/>
        <v>2</v>
      </c>
      <c r="D13042" s="136">
        <f t="shared" si="610"/>
        <v>8</v>
      </c>
      <c r="E13042" s="136">
        <f t="shared" si="609"/>
        <v>16</v>
      </c>
      <c r="F13042" s="137" t="s">
        <v>24</v>
      </c>
      <c r="G13042" s="128" t="str">
        <f>VLOOKUP(source[[#This Row],[lending_product_transform]],[3]Mapping!$B$4:$C$37,2,0)</f>
        <v>[Cake] - Cashloan</v>
      </c>
      <c r="H13042" s="128" t="str">
        <f>VLOOKUP(source[[#This Row],[lending_product_transform]],[3]Mapping!$B$3:$D$37,3,0)</f>
        <v>cashloan</v>
      </c>
      <c r="I13042" s="137">
        <v>156031324</v>
      </c>
    </row>
    <row r="13043" spans="1:9" x14ac:dyDescent="0.2">
      <c r="A13043" s="134">
        <v>46069</v>
      </c>
      <c r="B13043" s="135">
        <f>YEAR(source[[#This Row],[report_date]])</f>
        <v>2026</v>
      </c>
      <c r="C13043" s="128">
        <f t="shared" si="608"/>
        <v>2</v>
      </c>
      <c r="D13043" s="136">
        <f t="shared" si="610"/>
        <v>8</v>
      </c>
      <c r="E13043" s="136">
        <f t="shared" si="609"/>
        <v>16</v>
      </c>
      <c r="F13043" s="137" t="s">
        <v>24</v>
      </c>
      <c r="G13043" s="128" t="str">
        <f>VLOOKUP(source[[#This Row],[lending_product_transform]],[3]Mapping!$B$4:$C$37,2,0)</f>
        <v>[Cake] - Cashloan</v>
      </c>
      <c r="H13043" s="128" t="str">
        <f>VLOOKUP(source[[#This Row],[lending_product_transform]],[3]Mapping!$B$3:$D$37,3,0)</f>
        <v>cashloan</v>
      </c>
      <c r="I13043" s="137">
        <v>1508030000</v>
      </c>
    </row>
    <row r="13044" spans="1:9" x14ac:dyDescent="0.2">
      <c r="A13044" s="134">
        <v>46069</v>
      </c>
      <c r="B13044" s="135">
        <f>YEAR(source[[#This Row],[report_date]])</f>
        <v>2026</v>
      </c>
      <c r="C13044" s="128">
        <f t="shared" si="608"/>
        <v>2</v>
      </c>
      <c r="D13044" s="136">
        <f t="shared" si="610"/>
        <v>8</v>
      </c>
      <c r="E13044" s="136">
        <f t="shared" si="609"/>
        <v>16</v>
      </c>
      <c r="F13044" s="137" t="s">
        <v>24</v>
      </c>
      <c r="G13044" s="128" t="str">
        <f>VLOOKUP(source[[#This Row],[lending_product_transform]],[3]Mapping!$B$4:$C$37,2,0)</f>
        <v>[Cake] - Cashloan</v>
      </c>
      <c r="H13044" s="128" t="str">
        <f>VLOOKUP(source[[#This Row],[lending_product_transform]],[3]Mapping!$B$3:$D$37,3,0)</f>
        <v>cashloan</v>
      </c>
      <c r="I13044" s="137">
        <v>332640000</v>
      </c>
    </row>
    <row r="13045" spans="1:9" x14ac:dyDescent="0.2">
      <c r="A13045" s="134">
        <v>46070</v>
      </c>
      <c r="B13045" s="135">
        <f>YEAR(source[[#This Row],[report_date]])</f>
        <v>2026</v>
      </c>
      <c r="C13045" s="128">
        <f t="shared" si="608"/>
        <v>2</v>
      </c>
      <c r="D13045" s="136">
        <f t="shared" si="610"/>
        <v>8</v>
      </c>
      <c r="E13045" s="136">
        <f t="shared" si="609"/>
        <v>17</v>
      </c>
      <c r="F13045" s="137" t="s">
        <v>24</v>
      </c>
      <c r="G13045" s="128" t="str">
        <f>VLOOKUP(source[[#This Row],[lending_product_transform]],[3]Mapping!$B$4:$C$37,2,0)</f>
        <v>[Cake] - Cashloan</v>
      </c>
      <c r="H13045" s="128" t="str">
        <f>VLOOKUP(source[[#This Row],[lending_product_transform]],[3]Mapping!$B$3:$D$37,3,0)</f>
        <v>cashloan</v>
      </c>
      <c r="I13045" s="137">
        <v>105000000</v>
      </c>
    </row>
    <row r="13046" spans="1:9" x14ac:dyDescent="0.2">
      <c r="A13046" s="134">
        <v>46070</v>
      </c>
      <c r="B13046" s="135">
        <f>YEAR(source[[#This Row],[report_date]])</f>
        <v>2026</v>
      </c>
      <c r="C13046" s="128">
        <f t="shared" ref="C13046:C13109" si="611">MONTH(A13046)</f>
        <v>2</v>
      </c>
      <c r="D13046" s="136">
        <f t="shared" si="610"/>
        <v>8</v>
      </c>
      <c r="E13046" s="136">
        <f t="shared" ref="E13046:E13109" si="612">DAY(A13046)</f>
        <v>17</v>
      </c>
      <c r="F13046" s="137" t="s">
        <v>24</v>
      </c>
      <c r="G13046" s="128" t="str">
        <f>VLOOKUP(source[[#This Row],[lending_product_transform]],[3]Mapping!$B$4:$C$37,2,0)</f>
        <v>[Cake] - Cashloan</v>
      </c>
      <c r="H13046" s="128" t="str">
        <f>VLOOKUP(source[[#This Row],[lending_product_transform]],[3]Mapping!$B$3:$D$37,3,0)</f>
        <v>cashloan</v>
      </c>
      <c r="I13046" s="137">
        <v>133844469</v>
      </c>
    </row>
    <row r="13047" spans="1:9" x14ac:dyDescent="0.2">
      <c r="A13047" s="134">
        <v>46070</v>
      </c>
      <c r="B13047" s="135">
        <f>YEAR(source[[#This Row],[report_date]])</f>
        <v>2026</v>
      </c>
      <c r="C13047" s="128">
        <f t="shared" si="611"/>
        <v>2</v>
      </c>
      <c r="D13047" s="136">
        <f t="shared" si="610"/>
        <v>8</v>
      </c>
      <c r="E13047" s="136">
        <f t="shared" si="612"/>
        <v>17</v>
      </c>
      <c r="F13047" s="137" t="s">
        <v>24</v>
      </c>
      <c r="G13047" s="128" t="str">
        <f>VLOOKUP(source[[#This Row],[lending_product_transform]],[3]Mapping!$B$4:$C$37,2,0)</f>
        <v>[Cake] - Cashloan</v>
      </c>
      <c r="H13047" s="128" t="str">
        <f>VLOOKUP(source[[#This Row],[lending_product_transform]],[3]Mapping!$B$3:$D$37,3,0)</f>
        <v>cashloan</v>
      </c>
      <c r="I13047" s="137">
        <v>2916520000</v>
      </c>
    </row>
    <row r="13048" spans="1:9" x14ac:dyDescent="0.2">
      <c r="A13048" s="134">
        <v>46070</v>
      </c>
      <c r="B13048" s="135">
        <f>YEAR(source[[#This Row],[report_date]])</f>
        <v>2026</v>
      </c>
      <c r="C13048" s="128">
        <f t="shared" si="611"/>
        <v>2</v>
      </c>
      <c r="D13048" s="136">
        <f t="shared" si="610"/>
        <v>8</v>
      </c>
      <c r="E13048" s="136">
        <f t="shared" si="612"/>
        <v>17</v>
      </c>
      <c r="F13048" s="137" t="s">
        <v>24</v>
      </c>
      <c r="G13048" s="128" t="str">
        <f>VLOOKUP(source[[#This Row],[lending_product_transform]],[3]Mapping!$B$4:$C$37,2,0)</f>
        <v>[Cake] - Cashloan</v>
      </c>
      <c r="H13048" s="128" t="str">
        <f>VLOOKUP(source[[#This Row],[lending_product_transform]],[3]Mapping!$B$3:$D$37,3,0)</f>
        <v>cashloan</v>
      </c>
      <c r="I13048" s="137">
        <v>596244194</v>
      </c>
    </row>
    <row r="13049" spans="1:9" x14ac:dyDescent="0.2">
      <c r="A13049" s="134">
        <v>46070</v>
      </c>
      <c r="B13049" s="135">
        <f>YEAR(source[[#This Row],[report_date]])</f>
        <v>2026</v>
      </c>
      <c r="C13049" s="128">
        <f t="shared" si="611"/>
        <v>2</v>
      </c>
      <c r="D13049" s="136">
        <f t="shared" si="610"/>
        <v>8</v>
      </c>
      <c r="E13049" s="136">
        <f t="shared" si="612"/>
        <v>17</v>
      </c>
      <c r="F13049" s="137" t="s">
        <v>24</v>
      </c>
      <c r="G13049" s="128" t="str">
        <f>VLOOKUP(source[[#This Row],[lending_product_transform]],[3]Mapping!$B$4:$C$37,2,0)</f>
        <v>[Cake] - Cashloan</v>
      </c>
      <c r="H13049" s="128" t="str">
        <f>VLOOKUP(source[[#This Row],[lending_product_transform]],[3]Mapping!$B$3:$D$37,3,0)</f>
        <v>cashloan</v>
      </c>
      <c r="I13049" s="137">
        <v>4526820000</v>
      </c>
    </row>
    <row r="13050" spans="1:9" x14ac:dyDescent="0.2">
      <c r="A13050" s="134">
        <v>46070</v>
      </c>
      <c r="B13050" s="135">
        <f>YEAR(source[[#This Row],[report_date]])</f>
        <v>2026</v>
      </c>
      <c r="C13050" s="128">
        <f t="shared" si="611"/>
        <v>2</v>
      </c>
      <c r="D13050" s="136">
        <f t="shared" si="610"/>
        <v>8</v>
      </c>
      <c r="E13050" s="136">
        <f t="shared" si="612"/>
        <v>17</v>
      </c>
      <c r="F13050" s="137" t="s">
        <v>24</v>
      </c>
      <c r="G13050" s="128" t="str">
        <f>VLOOKUP(source[[#This Row],[lending_product_transform]],[3]Mapping!$B$4:$C$37,2,0)</f>
        <v>[Cake] - Cashloan</v>
      </c>
      <c r="H13050" s="128" t="str">
        <f>VLOOKUP(source[[#This Row],[lending_product_transform]],[3]Mapping!$B$3:$D$37,3,0)</f>
        <v>cashloan</v>
      </c>
      <c r="I13050" s="137">
        <v>0</v>
      </c>
    </row>
    <row r="13051" spans="1:9" x14ac:dyDescent="0.2">
      <c r="A13051" s="134">
        <v>46070</v>
      </c>
      <c r="B13051" s="135">
        <f>YEAR(source[[#This Row],[report_date]])</f>
        <v>2026</v>
      </c>
      <c r="C13051" s="128">
        <f t="shared" si="611"/>
        <v>2</v>
      </c>
      <c r="D13051" s="136">
        <f t="shared" si="610"/>
        <v>8</v>
      </c>
      <c r="E13051" s="136">
        <f t="shared" si="612"/>
        <v>17</v>
      </c>
      <c r="F13051" s="137" t="s">
        <v>24</v>
      </c>
      <c r="G13051" s="128" t="str">
        <f>VLOOKUP(source[[#This Row],[lending_product_transform]],[3]Mapping!$B$4:$C$37,2,0)</f>
        <v>[Cake] - Cashloan</v>
      </c>
      <c r="H13051" s="128" t="str">
        <f>VLOOKUP(source[[#This Row],[lending_product_transform]],[3]Mapping!$B$3:$D$37,3,0)</f>
        <v>cashloan</v>
      </c>
      <c r="I13051" s="137">
        <v>0</v>
      </c>
    </row>
    <row r="13052" spans="1:9" x14ac:dyDescent="0.2">
      <c r="A13052" s="134">
        <v>46070</v>
      </c>
      <c r="B13052" s="135">
        <f>YEAR(source[[#This Row],[report_date]])</f>
        <v>2026</v>
      </c>
      <c r="C13052" s="128">
        <f t="shared" si="611"/>
        <v>2</v>
      </c>
      <c r="D13052" s="136">
        <f t="shared" si="610"/>
        <v>8</v>
      </c>
      <c r="E13052" s="136">
        <f t="shared" si="612"/>
        <v>17</v>
      </c>
      <c r="F13052" s="137" t="s">
        <v>24</v>
      </c>
      <c r="G13052" s="128" t="str">
        <f>VLOOKUP(source[[#This Row],[lending_product_transform]],[3]Mapping!$B$4:$C$37,2,0)</f>
        <v>[Cake] - Cashloan</v>
      </c>
      <c r="H13052" s="128" t="str">
        <f>VLOOKUP(source[[#This Row],[lending_product_transform]],[3]Mapping!$B$3:$D$37,3,0)</f>
        <v>cashloan</v>
      </c>
      <c r="I13052" s="137">
        <v>0</v>
      </c>
    </row>
    <row r="13053" spans="1:9" x14ac:dyDescent="0.2">
      <c r="A13053" s="134">
        <v>46070</v>
      </c>
      <c r="B13053" s="135">
        <f>YEAR(source[[#This Row],[report_date]])</f>
        <v>2026</v>
      </c>
      <c r="C13053" s="128">
        <f t="shared" si="611"/>
        <v>2</v>
      </c>
      <c r="D13053" s="136">
        <f t="shared" si="610"/>
        <v>8</v>
      </c>
      <c r="E13053" s="136">
        <f t="shared" si="612"/>
        <v>17</v>
      </c>
      <c r="F13053" s="137" t="s">
        <v>24</v>
      </c>
      <c r="G13053" s="128" t="str">
        <f>VLOOKUP(source[[#This Row],[lending_product_transform]],[3]Mapping!$B$4:$C$37,2,0)</f>
        <v>[Cake] - Cashloan</v>
      </c>
      <c r="H13053" s="128" t="str">
        <f>VLOOKUP(source[[#This Row],[lending_product_transform]],[3]Mapping!$B$3:$D$37,3,0)</f>
        <v>cashloan</v>
      </c>
      <c r="I13053" s="137">
        <v>94200000</v>
      </c>
    </row>
    <row r="13054" spans="1:9" x14ac:dyDescent="0.2">
      <c r="A13054" s="134">
        <v>46070</v>
      </c>
      <c r="B13054" s="135">
        <f>YEAR(source[[#This Row],[report_date]])</f>
        <v>2026</v>
      </c>
      <c r="C13054" s="128">
        <f t="shared" si="611"/>
        <v>2</v>
      </c>
      <c r="D13054" s="136">
        <f t="shared" si="610"/>
        <v>8</v>
      </c>
      <c r="E13054" s="136">
        <f t="shared" si="612"/>
        <v>17</v>
      </c>
      <c r="F13054" s="137" t="s">
        <v>24</v>
      </c>
      <c r="G13054" s="128" t="str">
        <f>VLOOKUP(source[[#This Row],[lending_product_transform]],[3]Mapping!$B$4:$C$37,2,0)</f>
        <v>[Cake] - Cashloan</v>
      </c>
      <c r="H13054" s="128" t="str">
        <f>VLOOKUP(source[[#This Row],[lending_product_transform]],[3]Mapping!$B$3:$D$37,3,0)</f>
        <v>cashloan</v>
      </c>
      <c r="I13054" s="137">
        <v>0</v>
      </c>
    </row>
    <row r="13055" spans="1:9" x14ac:dyDescent="0.2">
      <c r="A13055" s="134">
        <v>46070</v>
      </c>
      <c r="B13055" s="135">
        <f>YEAR(source[[#This Row],[report_date]])</f>
        <v>2026</v>
      </c>
      <c r="C13055" s="128">
        <f t="shared" si="611"/>
        <v>2</v>
      </c>
      <c r="D13055" s="136">
        <f t="shared" si="610"/>
        <v>8</v>
      </c>
      <c r="E13055" s="136">
        <f t="shared" si="612"/>
        <v>17</v>
      </c>
      <c r="F13055" s="137" t="s">
        <v>24</v>
      </c>
      <c r="G13055" s="128" t="str">
        <f>VLOOKUP(source[[#This Row],[lending_product_transform]],[3]Mapping!$B$4:$C$37,2,0)</f>
        <v>[Cake] - Cashloan</v>
      </c>
      <c r="H13055" s="128" t="str">
        <f>VLOOKUP(source[[#This Row],[lending_product_transform]],[3]Mapping!$B$3:$D$37,3,0)</f>
        <v>cashloan</v>
      </c>
      <c r="I13055" s="137">
        <v>26145274</v>
      </c>
    </row>
    <row r="13056" spans="1:9" x14ac:dyDescent="0.2">
      <c r="A13056" s="134">
        <v>46070</v>
      </c>
      <c r="B13056" s="135">
        <f>YEAR(source[[#This Row],[report_date]])</f>
        <v>2026</v>
      </c>
      <c r="C13056" s="128">
        <f t="shared" si="611"/>
        <v>2</v>
      </c>
      <c r="D13056" s="136">
        <f t="shared" si="610"/>
        <v>8</v>
      </c>
      <c r="E13056" s="136">
        <f t="shared" si="612"/>
        <v>17</v>
      </c>
      <c r="F13056" s="137" t="s">
        <v>24</v>
      </c>
      <c r="G13056" s="128" t="str">
        <f>VLOOKUP(source[[#This Row],[lending_product_transform]],[3]Mapping!$B$4:$C$37,2,0)</f>
        <v>[Cake] - Cashloan</v>
      </c>
      <c r="H13056" s="128" t="str">
        <f>VLOOKUP(source[[#This Row],[lending_product_transform]],[3]Mapping!$B$3:$D$37,3,0)</f>
        <v>cashloan</v>
      </c>
      <c r="I13056" s="137">
        <v>0</v>
      </c>
    </row>
    <row r="13057" spans="1:9" x14ac:dyDescent="0.2">
      <c r="A13057" s="134">
        <v>46070</v>
      </c>
      <c r="B13057" s="135">
        <f>YEAR(source[[#This Row],[report_date]])</f>
        <v>2026</v>
      </c>
      <c r="C13057" s="128">
        <f t="shared" si="611"/>
        <v>2</v>
      </c>
      <c r="D13057" s="136">
        <f t="shared" si="610"/>
        <v>8</v>
      </c>
      <c r="E13057" s="136">
        <f t="shared" si="612"/>
        <v>17</v>
      </c>
      <c r="F13057" s="137" t="s">
        <v>24</v>
      </c>
      <c r="G13057" s="128" t="str">
        <f>VLOOKUP(source[[#This Row],[lending_product_transform]],[3]Mapping!$B$4:$C$37,2,0)</f>
        <v>[Cake] - Cashloan</v>
      </c>
      <c r="H13057" s="128" t="str">
        <f>VLOOKUP(source[[#This Row],[lending_product_transform]],[3]Mapping!$B$3:$D$37,3,0)</f>
        <v>cashloan</v>
      </c>
      <c r="I13057" s="137">
        <v>0</v>
      </c>
    </row>
    <row r="13058" spans="1:9" x14ac:dyDescent="0.2">
      <c r="A13058" s="134">
        <v>46070</v>
      </c>
      <c r="B13058" s="135">
        <f>YEAR(source[[#This Row],[report_date]])</f>
        <v>2026</v>
      </c>
      <c r="C13058" s="128">
        <f t="shared" si="611"/>
        <v>2</v>
      </c>
      <c r="D13058" s="136">
        <f t="shared" si="610"/>
        <v>8</v>
      </c>
      <c r="E13058" s="136">
        <f t="shared" si="612"/>
        <v>17</v>
      </c>
      <c r="F13058" s="137" t="s">
        <v>24</v>
      </c>
      <c r="G13058" s="128" t="str">
        <f>VLOOKUP(source[[#This Row],[lending_product_transform]],[3]Mapping!$B$4:$C$37,2,0)</f>
        <v>[Cake] - Cashloan</v>
      </c>
      <c r="H13058" s="128" t="str">
        <f>VLOOKUP(source[[#This Row],[lending_product_transform]],[3]Mapping!$B$3:$D$37,3,0)</f>
        <v>cashloan</v>
      </c>
      <c r="I13058" s="137">
        <v>0</v>
      </c>
    </row>
    <row r="13059" spans="1:9" x14ac:dyDescent="0.2">
      <c r="A13059" s="134">
        <v>46070</v>
      </c>
      <c r="B13059" s="135">
        <f>YEAR(source[[#This Row],[report_date]])</f>
        <v>2026</v>
      </c>
      <c r="C13059" s="128">
        <f t="shared" si="611"/>
        <v>2</v>
      </c>
      <c r="D13059" s="136">
        <f t="shared" si="610"/>
        <v>8</v>
      </c>
      <c r="E13059" s="136">
        <f t="shared" si="612"/>
        <v>17</v>
      </c>
      <c r="F13059" s="137" t="s">
        <v>24</v>
      </c>
      <c r="G13059" s="128" t="str">
        <f>VLOOKUP(source[[#This Row],[lending_product_transform]],[3]Mapping!$B$4:$C$37,2,0)</f>
        <v>[Cake] - Cashloan</v>
      </c>
      <c r="H13059" s="128" t="str">
        <f>VLOOKUP(source[[#This Row],[lending_product_transform]],[3]Mapping!$B$3:$D$37,3,0)</f>
        <v>cashloan</v>
      </c>
      <c r="I13059" s="137">
        <v>4239480000</v>
      </c>
    </row>
    <row r="13060" spans="1:9" x14ac:dyDescent="0.2">
      <c r="A13060" s="134">
        <v>46070</v>
      </c>
      <c r="B13060" s="135">
        <f>YEAR(source[[#This Row],[report_date]])</f>
        <v>2026</v>
      </c>
      <c r="C13060" s="128">
        <f t="shared" si="611"/>
        <v>2</v>
      </c>
      <c r="D13060" s="136">
        <f t="shared" si="610"/>
        <v>8</v>
      </c>
      <c r="E13060" s="136">
        <f t="shared" si="612"/>
        <v>17</v>
      </c>
      <c r="F13060" s="137" t="s">
        <v>24</v>
      </c>
      <c r="G13060" s="128" t="str">
        <f>VLOOKUP(source[[#This Row],[lending_product_transform]],[3]Mapping!$B$4:$C$37,2,0)</f>
        <v>[Cake] - Cashloan</v>
      </c>
      <c r="H13060" s="128" t="str">
        <f>VLOOKUP(source[[#This Row],[lending_product_transform]],[3]Mapping!$B$3:$D$37,3,0)</f>
        <v>cashloan</v>
      </c>
      <c r="I13060" s="137">
        <v>0</v>
      </c>
    </row>
    <row r="13061" spans="1:9" x14ac:dyDescent="0.2">
      <c r="A13061" s="134">
        <v>46070</v>
      </c>
      <c r="B13061" s="135">
        <f>YEAR(source[[#This Row],[report_date]])</f>
        <v>2026</v>
      </c>
      <c r="C13061" s="128">
        <f t="shared" si="611"/>
        <v>2</v>
      </c>
      <c r="D13061" s="136">
        <f t="shared" si="610"/>
        <v>8</v>
      </c>
      <c r="E13061" s="136">
        <f t="shared" si="612"/>
        <v>17</v>
      </c>
      <c r="F13061" s="137" t="s">
        <v>24</v>
      </c>
      <c r="G13061" s="128" t="str">
        <f>VLOOKUP(source[[#This Row],[lending_product_transform]],[3]Mapping!$B$4:$C$37,2,0)</f>
        <v>[Cake] - Cashloan</v>
      </c>
      <c r="H13061" s="128" t="str">
        <f>VLOOKUP(source[[#This Row],[lending_product_transform]],[3]Mapping!$B$3:$D$37,3,0)</f>
        <v>cashloan</v>
      </c>
      <c r="I13061" s="137">
        <v>0</v>
      </c>
    </row>
    <row r="13062" spans="1:9" x14ac:dyDescent="0.2">
      <c r="A13062" s="134">
        <v>46070</v>
      </c>
      <c r="B13062" s="135">
        <f>YEAR(source[[#This Row],[report_date]])</f>
        <v>2026</v>
      </c>
      <c r="C13062" s="128">
        <f t="shared" si="611"/>
        <v>2</v>
      </c>
      <c r="D13062" s="136">
        <f t="shared" si="610"/>
        <v>8</v>
      </c>
      <c r="E13062" s="136">
        <f t="shared" si="612"/>
        <v>17</v>
      </c>
      <c r="F13062" s="137" t="s">
        <v>24</v>
      </c>
      <c r="G13062" s="128" t="str">
        <f>VLOOKUP(source[[#This Row],[lending_product_transform]],[3]Mapping!$B$4:$C$37,2,0)</f>
        <v>[Cake] - Cashloan</v>
      </c>
      <c r="H13062" s="128" t="str">
        <f>VLOOKUP(source[[#This Row],[lending_product_transform]],[3]Mapping!$B$3:$D$37,3,0)</f>
        <v>cashloan</v>
      </c>
      <c r="I13062" s="137">
        <v>0</v>
      </c>
    </row>
    <row r="13063" spans="1:9" x14ac:dyDescent="0.2">
      <c r="A13063" s="134">
        <v>46070</v>
      </c>
      <c r="B13063" s="135">
        <f>YEAR(source[[#This Row],[report_date]])</f>
        <v>2026</v>
      </c>
      <c r="C13063" s="128">
        <f t="shared" si="611"/>
        <v>2</v>
      </c>
      <c r="D13063" s="136">
        <f t="shared" si="610"/>
        <v>8</v>
      </c>
      <c r="E13063" s="136">
        <f t="shared" si="612"/>
        <v>17</v>
      </c>
      <c r="F13063" s="137" t="s">
        <v>24</v>
      </c>
      <c r="G13063" s="128" t="str">
        <f>VLOOKUP(source[[#This Row],[lending_product_transform]],[3]Mapping!$B$4:$C$37,2,0)</f>
        <v>[Cake] - Cashloan</v>
      </c>
      <c r="H13063" s="128" t="str">
        <f>VLOOKUP(source[[#This Row],[lending_product_transform]],[3]Mapping!$B$3:$D$37,3,0)</f>
        <v>cashloan</v>
      </c>
      <c r="I13063" s="137">
        <v>0</v>
      </c>
    </row>
    <row r="13064" spans="1:9" x14ac:dyDescent="0.2">
      <c r="A13064" s="134">
        <v>46070</v>
      </c>
      <c r="B13064" s="135">
        <f>YEAR(source[[#This Row],[report_date]])</f>
        <v>2026</v>
      </c>
      <c r="C13064" s="128">
        <f t="shared" si="611"/>
        <v>2</v>
      </c>
      <c r="D13064" s="136">
        <f t="shared" si="610"/>
        <v>8</v>
      </c>
      <c r="E13064" s="136">
        <f t="shared" si="612"/>
        <v>17</v>
      </c>
      <c r="F13064" s="137" t="s">
        <v>24</v>
      </c>
      <c r="G13064" s="128" t="str">
        <f>VLOOKUP(source[[#This Row],[lending_product_transform]],[3]Mapping!$B$4:$C$37,2,0)</f>
        <v>[Cake] - Cashloan</v>
      </c>
      <c r="H13064" s="128" t="str">
        <f>VLOOKUP(source[[#This Row],[lending_product_transform]],[3]Mapping!$B$3:$D$37,3,0)</f>
        <v>cashloan</v>
      </c>
      <c r="I13064" s="137">
        <v>4456296000</v>
      </c>
    </row>
    <row r="13065" spans="1:9" x14ac:dyDescent="0.2">
      <c r="A13065" s="134">
        <v>46070</v>
      </c>
      <c r="B13065" s="135">
        <f>YEAR(source[[#This Row],[report_date]])</f>
        <v>2026</v>
      </c>
      <c r="C13065" s="128">
        <f t="shared" si="611"/>
        <v>2</v>
      </c>
      <c r="D13065" s="136">
        <f t="shared" si="610"/>
        <v>8</v>
      </c>
      <c r="E13065" s="136">
        <f t="shared" si="612"/>
        <v>17</v>
      </c>
      <c r="F13065" s="137" t="s">
        <v>24</v>
      </c>
      <c r="G13065" s="128" t="str">
        <f>VLOOKUP(source[[#This Row],[lending_product_transform]],[3]Mapping!$B$4:$C$37,2,0)</f>
        <v>[Cake] - Cashloan</v>
      </c>
      <c r="H13065" s="128" t="str">
        <f>VLOOKUP(source[[#This Row],[lending_product_transform]],[3]Mapping!$B$3:$D$37,3,0)</f>
        <v>cashloan</v>
      </c>
      <c r="I13065" s="137">
        <v>93103833</v>
      </c>
    </row>
    <row r="13066" spans="1:9" x14ac:dyDescent="0.2">
      <c r="A13066" s="134">
        <v>46070</v>
      </c>
      <c r="B13066" s="135">
        <f>YEAR(source[[#This Row],[report_date]])</f>
        <v>2026</v>
      </c>
      <c r="C13066" s="128">
        <f t="shared" si="611"/>
        <v>2</v>
      </c>
      <c r="D13066" s="136">
        <f t="shared" si="610"/>
        <v>8</v>
      </c>
      <c r="E13066" s="136">
        <f t="shared" si="612"/>
        <v>17</v>
      </c>
      <c r="F13066" s="137" t="s">
        <v>24</v>
      </c>
      <c r="G13066" s="128" t="str">
        <f>VLOOKUP(source[[#This Row],[lending_product_transform]],[3]Mapping!$B$4:$C$37,2,0)</f>
        <v>[Cake] - Cashloan</v>
      </c>
      <c r="H13066" s="128" t="str">
        <f>VLOOKUP(source[[#This Row],[lending_product_transform]],[3]Mapping!$B$3:$D$37,3,0)</f>
        <v>cashloan</v>
      </c>
      <c r="I13066" s="137">
        <v>0</v>
      </c>
    </row>
    <row r="13067" spans="1:9" x14ac:dyDescent="0.2">
      <c r="A13067" s="134">
        <v>46070</v>
      </c>
      <c r="B13067" s="135">
        <f>YEAR(source[[#This Row],[report_date]])</f>
        <v>2026</v>
      </c>
      <c r="C13067" s="128">
        <f t="shared" si="611"/>
        <v>2</v>
      </c>
      <c r="D13067" s="136">
        <f t="shared" si="610"/>
        <v>8</v>
      </c>
      <c r="E13067" s="136">
        <f t="shared" si="612"/>
        <v>17</v>
      </c>
      <c r="F13067" s="137" t="s">
        <v>24</v>
      </c>
      <c r="G13067" s="128" t="str">
        <f>VLOOKUP(source[[#This Row],[lending_product_transform]],[3]Mapping!$B$4:$C$37,2,0)</f>
        <v>[Cake] - Cashloan</v>
      </c>
      <c r="H13067" s="128" t="str">
        <f>VLOOKUP(source[[#This Row],[lending_product_transform]],[3]Mapping!$B$3:$D$37,3,0)</f>
        <v>cashloan</v>
      </c>
      <c r="I13067" s="137">
        <v>49000000</v>
      </c>
    </row>
    <row r="13068" spans="1:9" x14ac:dyDescent="0.2">
      <c r="A13068" s="134">
        <v>46070</v>
      </c>
      <c r="B13068" s="135">
        <f>YEAR(source[[#This Row],[report_date]])</f>
        <v>2026</v>
      </c>
      <c r="C13068" s="128">
        <f t="shared" si="611"/>
        <v>2</v>
      </c>
      <c r="D13068" s="136">
        <f t="shared" si="610"/>
        <v>8</v>
      </c>
      <c r="E13068" s="136">
        <f t="shared" si="612"/>
        <v>17</v>
      </c>
      <c r="F13068" s="137" t="s">
        <v>24</v>
      </c>
      <c r="G13068" s="128" t="str">
        <f>VLOOKUP(source[[#This Row],[lending_product_transform]],[3]Mapping!$B$4:$C$37,2,0)</f>
        <v>[Cake] - Cashloan</v>
      </c>
      <c r="H13068" s="128" t="str">
        <f>VLOOKUP(source[[#This Row],[lending_product_transform]],[3]Mapping!$B$3:$D$37,3,0)</f>
        <v>cashloan</v>
      </c>
      <c r="I13068" s="137">
        <v>220270000</v>
      </c>
    </row>
    <row r="13069" spans="1:9" x14ac:dyDescent="0.2">
      <c r="A13069" s="134">
        <v>46070</v>
      </c>
      <c r="B13069" s="135">
        <f>YEAR(source[[#This Row],[report_date]])</f>
        <v>2026</v>
      </c>
      <c r="C13069" s="128">
        <f t="shared" si="611"/>
        <v>2</v>
      </c>
      <c r="D13069" s="136">
        <f t="shared" si="610"/>
        <v>8</v>
      </c>
      <c r="E13069" s="136">
        <f t="shared" si="612"/>
        <v>17</v>
      </c>
      <c r="F13069" s="137" t="s">
        <v>24</v>
      </c>
      <c r="G13069" s="128" t="str">
        <f>VLOOKUP(source[[#This Row],[lending_product_transform]],[3]Mapping!$B$4:$C$37,2,0)</f>
        <v>[Cake] - Cashloan</v>
      </c>
      <c r="H13069" s="128" t="str">
        <f>VLOOKUP(source[[#This Row],[lending_product_transform]],[3]Mapping!$B$3:$D$37,3,0)</f>
        <v>cashloan</v>
      </c>
      <c r="I13069" s="137">
        <v>81648000</v>
      </c>
    </row>
    <row r="13070" spans="1:9" x14ac:dyDescent="0.2">
      <c r="A13070" s="134">
        <v>46070</v>
      </c>
      <c r="B13070" s="135">
        <f>YEAR(source[[#This Row],[report_date]])</f>
        <v>2026</v>
      </c>
      <c r="C13070" s="128">
        <f t="shared" si="611"/>
        <v>2</v>
      </c>
      <c r="D13070" s="136">
        <f t="shared" si="610"/>
        <v>8</v>
      </c>
      <c r="E13070" s="136">
        <f t="shared" si="612"/>
        <v>17</v>
      </c>
      <c r="F13070" s="137" t="s">
        <v>24</v>
      </c>
      <c r="G13070" s="128" t="str">
        <f>VLOOKUP(source[[#This Row],[lending_product_transform]],[3]Mapping!$B$4:$C$37,2,0)</f>
        <v>[Cake] - Cashloan</v>
      </c>
      <c r="H13070" s="128" t="str">
        <f>VLOOKUP(source[[#This Row],[lending_product_transform]],[3]Mapping!$B$3:$D$37,3,0)</f>
        <v>cashloan</v>
      </c>
      <c r="I13070" s="137">
        <v>107356656</v>
      </c>
    </row>
    <row r="13071" spans="1:9" x14ac:dyDescent="0.2">
      <c r="A13071" s="134">
        <v>46070</v>
      </c>
      <c r="B13071" s="135">
        <f>YEAR(source[[#This Row],[report_date]])</f>
        <v>2026</v>
      </c>
      <c r="C13071" s="128">
        <f t="shared" si="611"/>
        <v>2</v>
      </c>
      <c r="D13071" s="136">
        <f t="shared" si="610"/>
        <v>8</v>
      </c>
      <c r="E13071" s="136">
        <f t="shared" si="612"/>
        <v>17</v>
      </c>
      <c r="F13071" s="137" t="s">
        <v>24</v>
      </c>
      <c r="G13071" s="128" t="str">
        <f>VLOOKUP(source[[#This Row],[lending_product_transform]],[3]Mapping!$B$4:$C$37,2,0)</f>
        <v>[Cake] - Cashloan</v>
      </c>
      <c r="H13071" s="128" t="str">
        <f>VLOOKUP(source[[#This Row],[lending_product_transform]],[3]Mapping!$B$3:$D$37,3,0)</f>
        <v>cashloan</v>
      </c>
      <c r="I13071" s="137">
        <v>595680000</v>
      </c>
    </row>
    <row r="13072" spans="1:9" x14ac:dyDescent="0.2">
      <c r="A13072" s="134">
        <v>46070</v>
      </c>
      <c r="B13072" s="135">
        <f>YEAR(source[[#This Row],[report_date]])</f>
        <v>2026</v>
      </c>
      <c r="C13072" s="128">
        <f t="shared" si="611"/>
        <v>2</v>
      </c>
      <c r="D13072" s="136">
        <f t="shared" si="610"/>
        <v>8</v>
      </c>
      <c r="E13072" s="136">
        <f t="shared" si="612"/>
        <v>17</v>
      </c>
      <c r="F13072" s="137" t="s">
        <v>24</v>
      </c>
      <c r="G13072" s="128" t="str">
        <f>VLOOKUP(source[[#This Row],[lending_product_transform]],[3]Mapping!$B$4:$C$37,2,0)</f>
        <v>[Cake] - Cashloan</v>
      </c>
      <c r="H13072" s="128" t="str">
        <f>VLOOKUP(source[[#This Row],[lending_product_transform]],[3]Mapping!$B$3:$D$37,3,0)</f>
        <v>cashloan</v>
      </c>
      <c r="I13072" s="137">
        <v>156600000</v>
      </c>
    </row>
    <row r="13073" spans="1:9" x14ac:dyDescent="0.2">
      <c r="A13073" s="134">
        <v>46071</v>
      </c>
      <c r="B13073" s="135">
        <f>YEAR(source[[#This Row],[report_date]])</f>
        <v>2026</v>
      </c>
      <c r="C13073" s="128">
        <f t="shared" si="611"/>
        <v>2</v>
      </c>
      <c r="D13073" s="136">
        <f t="shared" ref="D13073:D13136" si="613">WEEKNUM(A13073,2)</f>
        <v>8</v>
      </c>
      <c r="E13073" s="136">
        <f t="shared" si="612"/>
        <v>18</v>
      </c>
      <c r="F13073" s="137" t="s">
        <v>24</v>
      </c>
      <c r="G13073" s="128" t="str">
        <f>VLOOKUP(source[[#This Row],[lending_product_transform]],[3]Mapping!$B$4:$C$37,2,0)</f>
        <v>[Cake] - Cashloan</v>
      </c>
      <c r="H13073" s="128" t="str">
        <f>VLOOKUP(source[[#This Row],[lending_product_transform]],[3]Mapping!$B$3:$D$37,3,0)</f>
        <v>cashloan</v>
      </c>
      <c r="I13073" s="137">
        <v>124400000</v>
      </c>
    </row>
    <row r="13074" spans="1:9" x14ac:dyDescent="0.2">
      <c r="A13074" s="134">
        <v>46071</v>
      </c>
      <c r="B13074" s="135">
        <f>YEAR(source[[#This Row],[report_date]])</f>
        <v>2026</v>
      </c>
      <c r="C13074" s="128">
        <f t="shared" si="611"/>
        <v>2</v>
      </c>
      <c r="D13074" s="136">
        <f t="shared" si="613"/>
        <v>8</v>
      </c>
      <c r="E13074" s="136">
        <f t="shared" si="612"/>
        <v>18</v>
      </c>
      <c r="F13074" s="137" t="s">
        <v>24</v>
      </c>
      <c r="G13074" s="128" t="str">
        <f>VLOOKUP(source[[#This Row],[lending_product_transform]],[3]Mapping!$B$4:$C$37,2,0)</f>
        <v>[Cake] - Cashloan</v>
      </c>
      <c r="H13074" s="128" t="str">
        <f>VLOOKUP(source[[#This Row],[lending_product_transform]],[3]Mapping!$B$3:$D$37,3,0)</f>
        <v>cashloan</v>
      </c>
      <c r="I13074" s="137">
        <v>164703306</v>
      </c>
    </row>
    <row r="13075" spans="1:9" x14ac:dyDescent="0.2">
      <c r="A13075" s="134">
        <v>46071</v>
      </c>
      <c r="B13075" s="135">
        <f>YEAR(source[[#This Row],[report_date]])</f>
        <v>2026</v>
      </c>
      <c r="C13075" s="128">
        <f t="shared" si="611"/>
        <v>2</v>
      </c>
      <c r="D13075" s="136">
        <f t="shared" si="613"/>
        <v>8</v>
      </c>
      <c r="E13075" s="136">
        <f t="shared" si="612"/>
        <v>18</v>
      </c>
      <c r="F13075" s="137" t="s">
        <v>24</v>
      </c>
      <c r="G13075" s="128" t="str">
        <f>VLOOKUP(source[[#This Row],[lending_product_transform]],[3]Mapping!$B$4:$C$37,2,0)</f>
        <v>[Cake] - Cashloan</v>
      </c>
      <c r="H13075" s="128" t="str">
        <f>VLOOKUP(source[[#This Row],[lending_product_transform]],[3]Mapping!$B$3:$D$37,3,0)</f>
        <v>cashloan</v>
      </c>
      <c r="I13075" s="137">
        <v>3893200000</v>
      </c>
    </row>
    <row r="13076" spans="1:9" x14ac:dyDescent="0.2">
      <c r="A13076" s="134">
        <v>46071</v>
      </c>
      <c r="B13076" s="135">
        <f>YEAR(source[[#This Row],[report_date]])</f>
        <v>2026</v>
      </c>
      <c r="C13076" s="128">
        <f t="shared" si="611"/>
        <v>2</v>
      </c>
      <c r="D13076" s="136">
        <f t="shared" si="613"/>
        <v>8</v>
      </c>
      <c r="E13076" s="136">
        <f t="shared" si="612"/>
        <v>18</v>
      </c>
      <c r="F13076" s="137" t="s">
        <v>24</v>
      </c>
      <c r="G13076" s="128" t="str">
        <f>VLOOKUP(source[[#This Row],[lending_product_transform]],[3]Mapping!$B$4:$C$37,2,0)</f>
        <v>[Cake] - Cashloan</v>
      </c>
      <c r="H13076" s="128" t="str">
        <f>VLOOKUP(source[[#This Row],[lending_product_transform]],[3]Mapping!$B$3:$D$37,3,0)</f>
        <v>cashloan</v>
      </c>
      <c r="I13076" s="137">
        <v>554331648</v>
      </c>
    </row>
    <row r="13077" spans="1:9" x14ac:dyDescent="0.2">
      <c r="A13077" s="134">
        <v>46071</v>
      </c>
      <c r="B13077" s="135">
        <f>YEAR(source[[#This Row],[report_date]])</f>
        <v>2026</v>
      </c>
      <c r="C13077" s="128">
        <f t="shared" si="611"/>
        <v>2</v>
      </c>
      <c r="D13077" s="136">
        <f t="shared" si="613"/>
        <v>8</v>
      </c>
      <c r="E13077" s="136">
        <f t="shared" si="612"/>
        <v>18</v>
      </c>
      <c r="F13077" s="137" t="s">
        <v>24</v>
      </c>
      <c r="G13077" s="128" t="str">
        <f>VLOOKUP(source[[#This Row],[lending_product_transform]],[3]Mapping!$B$4:$C$37,2,0)</f>
        <v>[Cake] - Cashloan</v>
      </c>
      <c r="H13077" s="128" t="str">
        <f>VLOOKUP(source[[#This Row],[lending_product_transform]],[3]Mapping!$B$3:$D$37,3,0)</f>
        <v>cashloan</v>
      </c>
      <c r="I13077" s="137">
        <v>4757616000</v>
      </c>
    </row>
    <row r="13078" spans="1:9" x14ac:dyDescent="0.2">
      <c r="A13078" s="134">
        <v>46071</v>
      </c>
      <c r="B13078" s="135">
        <f>YEAR(source[[#This Row],[report_date]])</f>
        <v>2026</v>
      </c>
      <c r="C13078" s="128">
        <f t="shared" si="611"/>
        <v>2</v>
      </c>
      <c r="D13078" s="136">
        <f t="shared" si="613"/>
        <v>8</v>
      </c>
      <c r="E13078" s="136">
        <f t="shared" si="612"/>
        <v>18</v>
      </c>
      <c r="F13078" s="137" t="s">
        <v>24</v>
      </c>
      <c r="G13078" s="128" t="str">
        <f>VLOOKUP(source[[#This Row],[lending_product_transform]],[3]Mapping!$B$4:$C$37,2,0)</f>
        <v>[Cake] - Cashloan</v>
      </c>
      <c r="H13078" s="128" t="str">
        <f>VLOOKUP(source[[#This Row],[lending_product_transform]],[3]Mapping!$B$3:$D$37,3,0)</f>
        <v>cashloan</v>
      </c>
      <c r="I13078" s="137">
        <v>0</v>
      </c>
    </row>
    <row r="13079" spans="1:9" x14ac:dyDescent="0.2">
      <c r="A13079" s="134">
        <v>46071</v>
      </c>
      <c r="B13079" s="135">
        <f>YEAR(source[[#This Row],[report_date]])</f>
        <v>2026</v>
      </c>
      <c r="C13079" s="128">
        <f t="shared" si="611"/>
        <v>2</v>
      </c>
      <c r="D13079" s="136">
        <f t="shared" si="613"/>
        <v>8</v>
      </c>
      <c r="E13079" s="136">
        <f t="shared" si="612"/>
        <v>18</v>
      </c>
      <c r="F13079" s="137" t="s">
        <v>24</v>
      </c>
      <c r="G13079" s="128" t="str">
        <f>VLOOKUP(source[[#This Row],[lending_product_transform]],[3]Mapping!$B$4:$C$37,2,0)</f>
        <v>[Cake] - Cashloan</v>
      </c>
      <c r="H13079" s="128" t="str">
        <f>VLOOKUP(source[[#This Row],[lending_product_transform]],[3]Mapping!$B$3:$D$37,3,0)</f>
        <v>cashloan</v>
      </c>
      <c r="I13079" s="137">
        <v>0</v>
      </c>
    </row>
    <row r="13080" spans="1:9" x14ac:dyDescent="0.2">
      <c r="A13080" s="134">
        <v>46071</v>
      </c>
      <c r="B13080" s="135">
        <f>YEAR(source[[#This Row],[report_date]])</f>
        <v>2026</v>
      </c>
      <c r="C13080" s="128">
        <f t="shared" si="611"/>
        <v>2</v>
      </c>
      <c r="D13080" s="136">
        <f t="shared" si="613"/>
        <v>8</v>
      </c>
      <c r="E13080" s="136">
        <f t="shared" si="612"/>
        <v>18</v>
      </c>
      <c r="F13080" s="137" t="s">
        <v>24</v>
      </c>
      <c r="G13080" s="128" t="str">
        <f>VLOOKUP(source[[#This Row],[lending_product_transform]],[3]Mapping!$B$4:$C$37,2,0)</f>
        <v>[Cake] - Cashloan</v>
      </c>
      <c r="H13080" s="128" t="str">
        <f>VLOOKUP(source[[#This Row],[lending_product_transform]],[3]Mapping!$B$3:$D$37,3,0)</f>
        <v>cashloan</v>
      </c>
      <c r="I13080" s="137">
        <v>0</v>
      </c>
    </row>
    <row r="13081" spans="1:9" x14ac:dyDescent="0.2">
      <c r="A13081" s="134">
        <v>46071</v>
      </c>
      <c r="B13081" s="135">
        <f>YEAR(source[[#This Row],[report_date]])</f>
        <v>2026</v>
      </c>
      <c r="C13081" s="128">
        <f t="shared" si="611"/>
        <v>2</v>
      </c>
      <c r="D13081" s="136">
        <f t="shared" si="613"/>
        <v>8</v>
      </c>
      <c r="E13081" s="136">
        <f t="shared" si="612"/>
        <v>18</v>
      </c>
      <c r="F13081" s="137" t="s">
        <v>24</v>
      </c>
      <c r="G13081" s="128" t="str">
        <f>VLOOKUP(source[[#This Row],[lending_product_transform]],[3]Mapping!$B$4:$C$37,2,0)</f>
        <v>[Cake] - Cashloan</v>
      </c>
      <c r="H13081" s="128" t="str">
        <f>VLOOKUP(source[[#This Row],[lending_product_transform]],[3]Mapping!$B$3:$D$37,3,0)</f>
        <v>cashloan</v>
      </c>
      <c r="I13081" s="137">
        <v>64200000</v>
      </c>
    </row>
    <row r="13082" spans="1:9" x14ac:dyDescent="0.2">
      <c r="A13082" s="134">
        <v>46071</v>
      </c>
      <c r="B13082" s="135">
        <f>YEAR(source[[#This Row],[report_date]])</f>
        <v>2026</v>
      </c>
      <c r="C13082" s="128">
        <f t="shared" si="611"/>
        <v>2</v>
      </c>
      <c r="D13082" s="136">
        <f t="shared" si="613"/>
        <v>8</v>
      </c>
      <c r="E13082" s="136">
        <f t="shared" si="612"/>
        <v>18</v>
      </c>
      <c r="F13082" s="137" t="s">
        <v>24</v>
      </c>
      <c r="G13082" s="128" t="str">
        <f>VLOOKUP(source[[#This Row],[lending_product_transform]],[3]Mapping!$B$4:$C$37,2,0)</f>
        <v>[Cake] - Cashloan</v>
      </c>
      <c r="H13082" s="128" t="str">
        <f>VLOOKUP(source[[#This Row],[lending_product_transform]],[3]Mapping!$B$3:$D$37,3,0)</f>
        <v>cashloan</v>
      </c>
      <c r="I13082" s="137">
        <v>0</v>
      </c>
    </row>
    <row r="13083" spans="1:9" x14ac:dyDescent="0.2">
      <c r="A13083" s="134">
        <v>46071</v>
      </c>
      <c r="B13083" s="135">
        <f>YEAR(source[[#This Row],[report_date]])</f>
        <v>2026</v>
      </c>
      <c r="C13083" s="128">
        <f t="shared" si="611"/>
        <v>2</v>
      </c>
      <c r="D13083" s="136">
        <f t="shared" si="613"/>
        <v>8</v>
      </c>
      <c r="E13083" s="136">
        <f t="shared" si="612"/>
        <v>18</v>
      </c>
      <c r="F13083" s="137" t="s">
        <v>24</v>
      </c>
      <c r="G13083" s="128" t="str">
        <f>VLOOKUP(source[[#This Row],[lending_product_transform]],[3]Mapping!$B$4:$C$37,2,0)</f>
        <v>[Cake] - Cashloan</v>
      </c>
      <c r="H13083" s="128" t="str">
        <f>VLOOKUP(source[[#This Row],[lending_product_transform]],[3]Mapping!$B$3:$D$37,3,0)</f>
        <v>cashloan</v>
      </c>
      <c r="I13083" s="137">
        <v>85033036</v>
      </c>
    </row>
    <row r="13084" spans="1:9" x14ac:dyDescent="0.2">
      <c r="A13084" s="134">
        <v>46071</v>
      </c>
      <c r="B13084" s="135">
        <f>YEAR(source[[#This Row],[report_date]])</f>
        <v>2026</v>
      </c>
      <c r="C13084" s="128">
        <f t="shared" si="611"/>
        <v>2</v>
      </c>
      <c r="D13084" s="136">
        <f t="shared" si="613"/>
        <v>8</v>
      </c>
      <c r="E13084" s="136">
        <f t="shared" si="612"/>
        <v>18</v>
      </c>
      <c r="F13084" s="137" t="s">
        <v>24</v>
      </c>
      <c r="G13084" s="128" t="str">
        <f>VLOOKUP(source[[#This Row],[lending_product_transform]],[3]Mapping!$B$4:$C$37,2,0)</f>
        <v>[Cake] - Cashloan</v>
      </c>
      <c r="H13084" s="128" t="str">
        <f>VLOOKUP(source[[#This Row],[lending_product_transform]],[3]Mapping!$B$3:$D$37,3,0)</f>
        <v>cashloan</v>
      </c>
      <c r="I13084" s="137">
        <v>0</v>
      </c>
    </row>
    <row r="13085" spans="1:9" x14ac:dyDescent="0.2">
      <c r="A13085" s="134">
        <v>46071</v>
      </c>
      <c r="B13085" s="135">
        <f>YEAR(source[[#This Row],[report_date]])</f>
        <v>2026</v>
      </c>
      <c r="C13085" s="128">
        <f t="shared" si="611"/>
        <v>2</v>
      </c>
      <c r="D13085" s="136">
        <f t="shared" si="613"/>
        <v>8</v>
      </c>
      <c r="E13085" s="136">
        <f t="shared" si="612"/>
        <v>18</v>
      </c>
      <c r="F13085" s="137" t="s">
        <v>24</v>
      </c>
      <c r="G13085" s="128" t="str">
        <f>VLOOKUP(source[[#This Row],[lending_product_transform]],[3]Mapping!$B$4:$C$37,2,0)</f>
        <v>[Cake] - Cashloan</v>
      </c>
      <c r="H13085" s="128" t="str">
        <f>VLOOKUP(source[[#This Row],[lending_product_transform]],[3]Mapping!$B$3:$D$37,3,0)</f>
        <v>cashloan</v>
      </c>
      <c r="I13085" s="137">
        <v>0</v>
      </c>
    </row>
    <row r="13086" spans="1:9" x14ac:dyDescent="0.2">
      <c r="A13086" s="134">
        <v>46071</v>
      </c>
      <c r="B13086" s="135">
        <f>YEAR(source[[#This Row],[report_date]])</f>
        <v>2026</v>
      </c>
      <c r="C13086" s="128">
        <f t="shared" si="611"/>
        <v>2</v>
      </c>
      <c r="D13086" s="136">
        <f t="shared" si="613"/>
        <v>8</v>
      </c>
      <c r="E13086" s="136">
        <f t="shared" si="612"/>
        <v>18</v>
      </c>
      <c r="F13086" s="137" t="s">
        <v>24</v>
      </c>
      <c r="G13086" s="128" t="str">
        <f>VLOOKUP(source[[#This Row],[lending_product_transform]],[3]Mapping!$B$4:$C$37,2,0)</f>
        <v>[Cake] - Cashloan</v>
      </c>
      <c r="H13086" s="128" t="str">
        <f>VLOOKUP(source[[#This Row],[lending_product_transform]],[3]Mapping!$B$3:$D$37,3,0)</f>
        <v>cashloan</v>
      </c>
      <c r="I13086" s="137">
        <v>0</v>
      </c>
    </row>
    <row r="13087" spans="1:9" x14ac:dyDescent="0.2">
      <c r="A13087" s="134">
        <v>46071</v>
      </c>
      <c r="B13087" s="135">
        <f>YEAR(source[[#This Row],[report_date]])</f>
        <v>2026</v>
      </c>
      <c r="C13087" s="128">
        <f t="shared" si="611"/>
        <v>2</v>
      </c>
      <c r="D13087" s="136">
        <f t="shared" si="613"/>
        <v>8</v>
      </c>
      <c r="E13087" s="136">
        <f t="shared" si="612"/>
        <v>18</v>
      </c>
      <c r="F13087" s="137" t="s">
        <v>24</v>
      </c>
      <c r="G13087" s="128" t="str">
        <f>VLOOKUP(source[[#This Row],[lending_product_transform]],[3]Mapping!$B$4:$C$37,2,0)</f>
        <v>[Cake] - Cashloan</v>
      </c>
      <c r="H13087" s="128" t="str">
        <f>VLOOKUP(source[[#This Row],[lending_product_transform]],[3]Mapping!$B$3:$D$37,3,0)</f>
        <v>cashloan</v>
      </c>
      <c r="I13087" s="137">
        <v>4522890000</v>
      </c>
    </row>
    <row r="13088" spans="1:9" x14ac:dyDescent="0.2">
      <c r="A13088" s="134">
        <v>46071</v>
      </c>
      <c r="B13088" s="135">
        <f>YEAR(source[[#This Row],[report_date]])</f>
        <v>2026</v>
      </c>
      <c r="C13088" s="128">
        <f t="shared" si="611"/>
        <v>2</v>
      </c>
      <c r="D13088" s="136">
        <f t="shared" si="613"/>
        <v>8</v>
      </c>
      <c r="E13088" s="136">
        <f t="shared" si="612"/>
        <v>18</v>
      </c>
      <c r="F13088" s="137" t="s">
        <v>24</v>
      </c>
      <c r="G13088" s="128" t="str">
        <f>VLOOKUP(source[[#This Row],[lending_product_transform]],[3]Mapping!$B$4:$C$37,2,0)</f>
        <v>[Cake] - Cashloan</v>
      </c>
      <c r="H13088" s="128" t="str">
        <f>VLOOKUP(source[[#This Row],[lending_product_transform]],[3]Mapping!$B$3:$D$37,3,0)</f>
        <v>cashloan</v>
      </c>
      <c r="I13088" s="137">
        <v>0</v>
      </c>
    </row>
    <row r="13089" spans="1:9" x14ac:dyDescent="0.2">
      <c r="A13089" s="134">
        <v>46071</v>
      </c>
      <c r="B13089" s="135">
        <f>YEAR(source[[#This Row],[report_date]])</f>
        <v>2026</v>
      </c>
      <c r="C13089" s="128">
        <f t="shared" si="611"/>
        <v>2</v>
      </c>
      <c r="D13089" s="136">
        <f t="shared" si="613"/>
        <v>8</v>
      </c>
      <c r="E13089" s="136">
        <f t="shared" si="612"/>
        <v>18</v>
      </c>
      <c r="F13089" s="137" t="s">
        <v>24</v>
      </c>
      <c r="G13089" s="128" t="str">
        <f>VLOOKUP(source[[#This Row],[lending_product_transform]],[3]Mapping!$B$4:$C$37,2,0)</f>
        <v>[Cake] - Cashloan</v>
      </c>
      <c r="H13089" s="128" t="str">
        <f>VLOOKUP(source[[#This Row],[lending_product_transform]],[3]Mapping!$B$3:$D$37,3,0)</f>
        <v>cashloan</v>
      </c>
      <c r="I13089" s="137">
        <v>0</v>
      </c>
    </row>
    <row r="13090" spans="1:9" x14ac:dyDescent="0.2">
      <c r="A13090" s="134">
        <v>46071</v>
      </c>
      <c r="B13090" s="135">
        <f>YEAR(source[[#This Row],[report_date]])</f>
        <v>2026</v>
      </c>
      <c r="C13090" s="128">
        <f t="shared" si="611"/>
        <v>2</v>
      </c>
      <c r="D13090" s="136">
        <f t="shared" si="613"/>
        <v>8</v>
      </c>
      <c r="E13090" s="136">
        <f t="shared" si="612"/>
        <v>18</v>
      </c>
      <c r="F13090" s="137" t="s">
        <v>24</v>
      </c>
      <c r="G13090" s="128" t="str">
        <f>VLOOKUP(source[[#This Row],[lending_product_transform]],[3]Mapping!$B$4:$C$37,2,0)</f>
        <v>[Cake] - Cashloan</v>
      </c>
      <c r="H13090" s="128" t="str">
        <f>VLOOKUP(source[[#This Row],[lending_product_transform]],[3]Mapping!$B$3:$D$37,3,0)</f>
        <v>cashloan</v>
      </c>
      <c r="I13090" s="137">
        <v>0</v>
      </c>
    </row>
    <row r="13091" spans="1:9" x14ac:dyDescent="0.2">
      <c r="A13091" s="134">
        <v>46071</v>
      </c>
      <c r="B13091" s="135">
        <f>YEAR(source[[#This Row],[report_date]])</f>
        <v>2026</v>
      </c>
      <c r="C13091" s="128">
        <f t="shared" si="611"/>
        <v>2</v>
      </c>
      <c r="D13091" s="136">
        <f t="shared" si="613"/>
        <v>8</v>
      </c>
      <c r="E13091" s="136">
        <f t="shared" si="612"/>
        <v>18</v>
      </c>
      <c r="F13091" s="137" t="s">
        <v>24</v>
      </c>
      <c r="G13091" s="128" t="str">
        <f>VLOOKUP(source[[#This Row],[lending_product_transform]],[3]Mapping!$B$4:$C$37,2,0)</f>
        <v>[Cake] - Cashloan</v>
      </c>
      <c r="H13091" s="128" t="str">
        <f>VLOOKUP(source[[#This Row],[lending_product_transform]],[3]Mapping!$B$3:$D$37,3,0)</f>
        <v>cashloan</v>
      </c>
      <c r="I13091" s="137">
        <v>0</v>
      </c>
    </row>
    <row r="13092" spans="1:9" x14ac:dyDescent="0.2">
      <c r="A13092" s="134">
        <v>46071</v>
      </c>
      <c r="B13092" s="135">
        <f>YEAR(source[[#This Row],[report_date]])</f>
        <v>2026</v>
      </c>
      <c r="C13092" s="128">
        <f t="shared" si="611"/>
        <v>2</v>
      </c>
      <c r="D13092" s="136">
        <f t="shared" si="613"/>
        <v>8</v>
      </c>
      <c r="E13092" s="136">
        <f t="shared" si="612"/>
        <v>18</v>
      </c>
      <c r="F13092" s="137" t="s">
        <v>24</v>
      </c>
      <c r="G13092" s="128" t="str">
        <f>VLOOKUP(source[[#This Row],[lending_product_transform]],[3]Mapping!$B$4:$C$37,2,0)</f>
        <v>[Cake] - Cashloan</v>
      </c>
      <c r="H13092" s="128" t="str">
        <f>VLOOKUP(source[[#This Row],[lending_product_transform]],[3]Mapping!$B$3:$D$37,3,0)</f>
        <v>cashloan</v>
      </c>
      <c r="I13092" s="137">
        <v>4945860000</v>
      </c>
    </row>
    <row r="13093" spans="1:9" x14ac:dyDescent="0.2">
      <c r="A13093" s="134">
        <v>46071</v>
      </c>
      <c r="B13093" s="135">
        <f>YEAR(source[[#This Row],[report_date]])</f>
        <v>2026</v>
      </c>
      <c r="C13093" s="128">
        <f t="shared" si="611"/>
        <v>2</v>
      </c>
      <c r="D13093" s="136">
        <f t="shared" si="613"/>
        <v>8</v>
      </c>
      <c r="E13093" s="136">
        <f t="shared" si="612"/>
        <v>18</v>
      </c>
      <c r="F13093" s="137" t="s">
        <v>24</v>
      </c>
      <c r="G13093" s="128" t="str">
        <f>VLOOKUP(source[[#This Row],[lending_product_transform]],[3]Mapping!$B$4:$C$37,2,0)</f>
        <v>[Cake] - Cashloan</v>
      </c>
      <c r="H13093" s="128" t="str">
        <f>VLOOKUP(source[[#This Row],[lending_product_transform]],[3]Mapping!$B$3:$D$37,3,0)</f>
        <v>cashloan</v>
      </c>
      <c r="I13093" s="137">
        <v>91904715</v>
      </c>
    </row>
    <row r="13094" spans="1:9" x14ac:dyDescent="0.2">
      <c r="A13094" s="134">
        <v>46071</v>
      </c>
      <c r="B13094" s="135">
        <f>YEAR(source[[#This Row],[report_date]])</f>
        <v>2026</v>
      </c>
      <c r="C13094" s="128">
        <f t="shared" si="611"/>
        <v>2</v>
      </c>
      <c r="D13094" s="136">
        <f t="shared" si="613"/>
        <v>8</v>
      </c>
      <c r="E13094" s="136">
        <f t="shared" si="612"/>
        <v>18</v>
      </c>
      <c r="F13094" s="137" t="s">
        <v>24</v>
      </c>
      <c r="G13094" s="128" t="str">
        <f>VLOOKUP(source[[#This Row],[lending_product_transform]],[3]Mapping!$B$4:$C$37,2,0)</f>
        <v>[Cake] - Cashloan</v>
      </c>
      <c r="H13094" s="128" t="str">
        <f>VLOOKUP(source[[#This Row],[lending_product_transform]],[3]Mapping!$B$3:$D$37,3,0)</f>
        <v>cashloan</v>
      </c>
      <c r="I13094" s="137">
        <v>0</v>
      </c>
    </row>
    <row r="13095" spans="1:9" x14ac:dyDescent="0.2">
      <c r="A13095" s="134">
        <v>46071</v>
      </c>
      <c r="B13095" s="135">
        <f>YEAR(source[[#This Row],[report_date]])</f>
        <v>2026</v>
      </c>
      <c r="C13095" s="128">
        <f t="shared" si="611"/>
        <v>2</v>
      </c>
      <c r="D13095" s="136">
        <f t="shared" si="613"/>
        <v>8</v>
      </c>
      <c r="E13095" s="136">
        <f t="shared" si="612"/>
        <v>18</v>
      </c>
      <c r="F13095" s="137" t="s">
        <v>24</v>
      </c>
      <c r="G13095" s="128" t="str">
        <f>VLOOKUP(source[[#This Row],[lending_product_transform]],[3]Mapping!$B$4:$C$37,2,0)</f>
        <v>[Cake] - Cashloan</v>
      </c>
      <c r="H13095" s="128" t="str">
        <f>VLOOKUP(source[[#This Row],[lending_product_transform]],[3]Mapping!$B$3:$D$37,3,0)</f>
        <v>cashloan</v>
      </c>
      <c r="I13095" s="137">
        <v>19000000</v>
      </c>
    </row>
    <row r="13096" spans="1:9" x14ac:dyDescent="0.2">
      <c r="A13096" s="134">
        <v>46071</v>
      </c>
      <c r="B13096" s="135">
        <f>YEAR(source[[#This Row],[report_date]])</f>
        <v>2026</v>
      </c>
      <c r="C13096" s="128">
        <f t="shared" si="611"/>
        <v>2</v>
      </c>
      <c r="D13096" s="136">
        <f t="shared" si="613"/>
        <v>8</v>
      </c>
      <c r="E13096" s="136">
        <f t="shared" si="612"/>
        <v>18</v>
      </c>
      <c r="F13096" s="137" t="s">
        <v>24</v>
      </c>
      <c r="G13096" s="128" t="str">
        <f>VLOOKUP(source[[#This Row],[lending_product_transform]],[3]Mapping!$B$4:$C$37,2,0)</f>
        <v>[Cake] - Cashloan</v>
      </c>
      <c r="H13096" s="128" t="str">
        <f>VLOOKUP(source[[#This Row],[lending_product_transform]],[3]Mapping!$B$3:$D$37,3,0)</f>
        <v>cashloan</v>
      </c>
      <c r="I13096" s="137">
        <v>232350000</v>
      </c>
    </row>
    <row r="13097" spans="1:9" x14ac:dyDescent="0.2">
      <c r="A13097" s="134">
        <v>46071</v>
      </c>
      <c r="B13097" s="135">
        <f>YEAR(source[[#This Row],[report_date]])</f>
        <v>2026</v>
      </c>
      <c r="C13097" s="128">
        <f t="shared" si="611"/>
        <v>2</v>
      </c>
      <c r="D13097" s="136">
        <f t="shared" si="613"/>
        <v>8</v>
      </c>
      <c r="E13097" s="136">
        <f t="shared" si="612"/>
        <v>18</v>
      </c>
      <c r="F13097" s="137" t="s">
        <v>24</v>
      </c>
      <c r="G13097" s="128" t="str">
        <f>VLOOKUP(source[[#This Row],[lending_product_transform]],[3]Mapping!$B$4:$C$37,2,0)</f>
        <v>[Cake] - Cashloan</v>
      </c>
      <c r="H13097" s="128" t="str">
        <f>VLOOKUP(source[[#This Row],[lending_product_transform]],[3]Mapping!$B$3:$D$37,3,0)</f>
        <v>cashloan</v>
      </c>
      <c r="I13097" s="137">
        <v>131868000</v>
      </c>
    </row>
    <row r="13098" spans="1:9" x14ac:dyDescent="0.2">
      <c r="A13098" s="134">
        <v>46071</v>
      </c>
      <c r="B13098" s="135">
        <f>YEAR(source[[#This Row],[report_date]])</f>
        <v>2026</v>
      </c>
      <c r="C13098" s="128">
        <f t="shared" si="611"/>
        <v>2</v>
      </c>
      <c r="D13098" s="136">
        <f t="shared" si="613"/>
        <v>8</v>
      </c>
      <c r="E13098" s="136">
        <f t="shared" si="612"/>
        <v>18</v>
      </c>
      <c r="F13098" s="137" t="s">
        <v>24</v>
      </c>
      <c r="G13098" s="128" t="str">
        <f>VLOOKUP(source[[#This Row],[lending_product_transform]],[3]Mapping!$B$4:$C$37,2,0)</f>
        <v>[Cake] - Cashloan</v>
      </c>
      <c r="H13098" s="128" t="str">
        <f>VLOOKUP(source[[#This Row],[lending_product_transform]],[3]Mapping!$B$3:$D$37,3,0)</f>
        <v>cashloan</v>
      </c>
      <c r="I13098" s="137">
        <v>103238725</v>
      </c>
    </row>
    <row r="13099" spans="1:9" x14ac:dyDescent="0.2">
      <c r="A13099" s="134">
        <v>46071</v>
      </c>
      <c r="B13099" s="135">
        <f>YEAR(source[[#This Row],[report_date]])</f>
        <v>2026</v>
      </c>
      <c r="C13099" s="128">
        <f t="shared" si="611"/>
        <v>2</v>
      </c>
      <c r="D13099" s="136">
        <f t="shared" si="613"/>
        <v>8</v>
      </c>
      <c r="E13099" s="136">
        <f t="shared" si="612"/>
        <v>18</v>
      </c>
      <c r="F13099" s="137" t="s">
        <v>24</v>
      </c>
      <c r="G13099" s="128" t="str">
        <f>VLOOKUP(source[[#This Row],[lending_product_transform]],[3]Mapping!$B$4:$C$37,2,0)</f>
        <v>[Cake] - Cashloan</v>
      </c>
      <c r="H13099" s="128" t="str">
        <f>VLOOKUP(source[[#This Row],[lending_product_transform]],[3]Mapping!$B$3:$D$37,3,0)</f>
        <v>cashloan</v>
      </c>
      <c r="I13099" s="137">
        <v>973840000</v>
      </c>
    </row>
    <row r="13100" spans="1:9" x14ac:dyDescent="0.2">
      <c r="A13100" s="134">
        <v>46071</v>
      </c>
      <c r="B13100" s="135">
        <f>YEAR(source[[#This Row],[report_date]])</f>
        <v>2026</v>
      </c>
      <c r="C13100" s="128">
        <f t="shared" si="611"/>
        <v>2</v>
      </c>
      <c r="D13100" s="136">
        <f t="shared" si="613"/>
        <v>8</v>
      </c>
      <c r="E13100" s="136">
        <f t="shared" si="612"/>
        <v>18</v>
      </c>
      <c r="F13100" s="137" t="s">
        <v>24</v>
      </c>
      <c r="G13100" s="128" t="str">
        <f>VLOOKUP(source[[#This Row],[lending_product_transform]],[3]Mapping!$B$4:$C$37,2,0)</f>
        <v>[Cake] - Cashloan</v>
      </c>
      <c r="H13100" s="128" t="str">
        <f>VLOOKUP(source[[#This Row],[lending_product_transform]],[3]Mapping!$B$3:$D$37,3,0)</f>
        <v>cashloan</v>
      </c>
      <c r="I13100" s="137">
        <v>220320000</v>
      </c>
    </row>
    <row r="13101" spans="1:9" x14ac:dyDescent="0.2">
      <c r="A13101" s="134">
        <v>46072</v>
      </c>
      <c r="B13101" s="135">
        <f>YEAR(source[[#This Row],[report_date]])</f>
        <v>2026</v>
      </c>
      <c r="C13101" s="128">
        <f t="shared" si="611"/>
        <v>2</v>
      </c>
      <c r="D13101" s="136">
        <f t="shared" si="613"/>
        <v>8</v>
      </c>
      <c r="E13101" s="136">
        <f t="shared" si="612"/>
        <v>19</v>
      </c>
      <c r="F13101" s="137" t="s">
        <v>24</v>
      </c>
      <c r="G13101" s="128" t="str">
        <f>VLOOKUP(source[[#This Row],[lending_product_transform]],[3]Mapping!$B$4:$C$37,2,0)</f>
        <v>[Cake] - Cashloan</v>
      </c>
      <c r="H13101" s="128" t="str">
        <f>VLOOKUP(source[[#This Row],[lending_product_transform]],[3]Mapping!$B$3:$D$37,3,0)</f>
        <v>cashloan</v>
      </c>
      <c r="I13101" s="137">
        <v>200900000</v>
      </c>
    </row>
    <row r="13102" spans="1:9" x14ac:dyDescent="0.2">
      <c r="A13102" s="134">
        <v>46072</v>
      </c>
      <c r="B13102" s="135">
        <f>YEAR(source[[#This Row],[report_date]])</f>
        <v>2026</v>
      </c>
      <c r="C13102" s="128">
        <f t="shared" si="611"/>
        <v>2</v>
      </c>
      <c r="D13102" s="136">
        <f t="shared" si="613"/>
        <v>8</v>
      </c>
      <c r="E13102" s="136">
        <f t="shared" si="612"/>
        <v>19</v>
      </c>
      <c r="F13102" s="137" t="s">
        <v>24</v>
      </c>
      <c r="G13102" s="128" t="str">
        <f>VLOOKUP(source[[#This Row],[lending_product_transform]],[3]Mapping!$B$4:$C$37,2,0)</f>
        <v>[Cake] - Cashloan</v>
      </c>
      <c r="H13102" s="128" t="str">
        <f>VLOOKUP(source[[#This Row],[lending_product_transform]],[3]Mapping!$B$3:$D$37,3,0)</f>
        <v>cashloan</v>
      </c>
      <c r="I13102" s="137">
        <v>145976336</v>
      </c>
    </row>
    <row r="13103" spans="1:9" x14ac:dyDescent="0.2">
      <c r="A13103" s="134">
        <v>46072</v>
      </c>
      <c r="B13103" s="135">
        <f>YEAR(source[[#This Row],[report_date]])</f>
        <v>2026</v>
      </c>
      <c r="C13103" s="128">
        <f t="shared" si="611"/>
        <v>2</v>
      </c>
      <c r="D13103" s="136">
        <f t="shared" si="613"/>
        <v>8</v>
      </c>
      <c r="E13103" s="136">
        <f t="shared" si="612"/>
        <v>19</v>
      </c>
      <c r="F13103" s="137" t="s">
        <v>24</v>
      </c>
      <c r="G13103" s="128" t="str">
        <f>VLOOKUP(source[[#This Row],[lending_product_transform]],[3]Mapping!$B$4:$C$37,2,0)</f>
        <v>[Cake] - Cashloan</v>
      </c>
      <c r="H13103" s="128" t="str">
        <f>VLOOKUP(source[[#This Row],[lending_product_transform]],[3]Mapping!$B$3:$D$37,3,0)</f>
        <v>cashloan</v>
      </c>
      <c r="I13103" s="137">
        <v>3873140000</v>
      </c>
    </row>
    <row r="13104" spans="1:9" x14ac:dyDescent="0.2">
      <c r="A13104" s="134">
        <v>46072</v>
      </c>
      <c r="B13104" s="135">
        <f>YEAR(source[[#This Row],[report_date]])</f>
        <v>2026</v>
      </c>
      <c r="C13104" s="128">
        <f t="shared" si="611"/>
        <v>2</v>
      </c>
      <c r="D13104" s="136">
        <f t="shared" si="613"/>
        <v>8</v>
      </c>
      <c r="E13104" s="136">
        <f t="shared" si="612"/>
        <v>19</v>
      </c>
      <c r="F13104" s="137" t="s">
        <v>24</v>
      </c>
      <c r="G13104" s="128" t="str">
        <f>VLOOKUP(source[[#This Row],[lending_product_transform]],[3]Mapping!$B$4:$C$37,2,0)</f>
        <v>[Cake] - Cashloan</v>
      </c>
      <c r="H13104" s="128" t="str">
        <f>VLOOKUP(source[[#This Row],[lending_product_transform]],[3]Mapping!$B$3:$D$37,3,0)</f>
        <v>cashloan</v>
      </c>
      <c r="I13104" s="137">
        <v>633877795</v>
      </c>
    </row>
    <row r="13105" spans="1:9" x14ac:dyDescent="0.2">
      <c r="A13105" s="134">
        <v>46072</v>
      </c>
      <c r="B13105" s="135">
        <f>YEAR(source[[#This Row],[report_date]])</f>
        <v>2026</v>
      </c>
      <c r="C13105" s="128">
        <f t="shared" si="611"/>
        <v>2</v>
      </c>
      <c r="D13105" s="136">
        <f t="shared" si="613"/>
        <v>8</v>
      </c>
      <c r="E13105" s="136">
        <f t="shared" si="612"/>
        <v>19</v>
      </c>
      <c r="F13105" s="137" t="s">
        <v>24</v>
      </c>
      <c r="G13105" s="128" t="str">
        <f>VLOOKUP(source[[#This Row],[lending_product_transform]],[3]Mapping!$B$4:$C$37,2,0)</f>
        <v>[Cake] - Cashloan</v>
      </c>
      <c r="H13105" s="128" t="str">
        <f>VLOOKUP(source[[#This Row],[lending_product_transform]],[3]Mapping!$B$3:$D$37,3,0)</f>
        <v>cashloan</v>
      </c>
      <c r="I13105" s="137">
        <v>5544396000</v>
      </c>
    </row>
    <row r="13106" spans="1:9" x14ac:dyDescent="0.2">
      <c r="A13106" s="134">
        <v>46072</v>
      </c>
      <c r="B13106" s="135">
        <f>YEAR(source[[#This Row],[report_date]])</f>
        <v>2026</v>
      </c>
      <c r="C13106" s="128">
        <f t="shared" si="611"/>
        <v>2</v>
      </c>
      <c r="D13106" s="136">
        <f t="shared" si="613"/>
        <v>8</v>
      </c>
      <c r="E13106" s="136">
        <f t="shared" si="612"/>
        <v>19</v>
      </c>
      <c r="F13106" s="137" t="s">
        <v>24</v>
      </c>
      <c r="G13106" s="128" t="str">
        <f>VLOOKUP(source[[#This Row],[lending_product_transform]],[3]Mapping!$B$4:$C$37,2,0)</f>
        <v>[Cake] - Cashloan</v>
      </c>
      <c r="H13106" s="128" t="str">
        <f>VLOOKUP(source[[#This Row],[lending_product_transform]],[3]Mapping!$B$3:$D$37,3,0)</f>
        <v>cashloan</v>
      </c>
      <c r="I13106" s="137">
        <v>0</v>
      </c>
    </row>
    <row r="13107" spans="1:9" x14ac:dyDescent="0.2">
      <c r="A13107" s="134">
        <v>46072</v>
      </c>
      <c r="B13107" s="135">
        <f>YEAR(source[[#This Row],[report_date]])</f>
        <v>2026</v>
      </c>
      <c r="C13107" s="128">
        <f t="shared" si="611"/>
        <v>2</v>
      </c>
      <c r="D13107" s="136">
        <f t="shared" si="613"/>
        <v>8</v>
      </c>
      <c r="E13107" s="136">
        <f t="shared" si="612"/>
        <v>19</v>
      </c>
      <c r="F13107" s="137" t="s">
        <v>24</v>
      </c>
      <c r="G13107" s="128" t="str">
        <f>VLOOKUP(source[[#This Row],[lending_product_transform]],[3]Mapping!$B$4:$C$37,2,0)</f>
        <v>[Cake] - Cashloan</v>
      </c>
      <c r="H13107" s="128" t="str">
        <f>VLOOKUP(source[[#This Row],[lending_product_transform]],[3]Mapping!$B$3:$D$37,3,0)</f>
        <v>cashloan</v>
      </c>
      <c r="I13107" s="137">
        <v>0</v>
      </c>
    </row>
    <row r="13108" spans="1:9" x14ac:dyDescent="0.2">
      <c r="A13108" s="134">
        <v>46072</v>
      </c>
      <c r="B13108" s="135">
        <f>YEAR(source[[#This Row],[report_date]])</f>
        <v>2026</v>
      </c>
      <c r="C13108" s="128">
        <f t="shared" si="611"/>
        <v>2</v>
      </c>
      <c r="D13108" s="136">
        <f t="shared" si="613"/>
        <v>8</v>
      </c>
      <c r="E13108" s="136">
        <f t="shared" si="612"/>
        <v>19</v>
      </c>
      <c r="F13108" s="137" t="s">
        <v>24</v>
      </c>
      <c r="G13108" s="128" t="str">
        <f>VLOOKUP(source[[#This Row],[lending_product_transform]],[3]Mapping!$B$4:$C$37,2,0)</f>
        <v>[Cake] - Cashloan</v>
      </c>
      <c r="H13108" s="128" t="str">
        <f>VLOOKUP(source[[#This Row],[lending_product_transform]],[3]Mapping!$B$3:$D$37,3,0)</f>
        <v>cashloan</v>
      </c>
      <c r="I13108" s="137">
        <v>0</v>
      </c>
    </row>
    <row r="13109" spans="1:9" x14ac:dyDescent="0.2">
      <c r="A13109" s="134">
        <v>46072</v>
      </c>
      <c r="B13109" s="135">
        <f>YEAR(source[[#This Row],[report_date]])</f>
        <v>2026</v>
      </c>
      <c r="C13109" s="128">
        <f t="shared" si="611"/>
        <v>2</v>
      </c>
      <c r="D13109" s="136">
        <f t="shared" si="613"/>
        <v>8</v>
      </c>
      <c r="E13109" s="136">
        <f t="shared" si="612"/>
        <v>19</v>
      </c>
      <c r="F13109" s="137" t="s">
        <v>24</v>
      </c>
      <c r="G13109" s="128" t="str">
        <f>VLOOKUP(source[[#This Row],[lending_product_transform]],[3]Mapping!$B$4:$C$37,2,0)</f>
        <v>[Cake] - Cashloan</v>
      </c>
      <c r="H13109" s="128" t="str">
        <f>VLOOKUP(source[[#This Row],[lending_product_transform]],[3]Mapping!$B$3:$D$37,3,0)</f>
        <v>cashloan</v>
      </c>
      <c r="I13109" s="137">
        <v>194450000</v>
      </c>
    </row>
    <row r="13110" spans="1:9" x14ac:dyDescent="0.2">
      <c r="A13110" s="134">
        <v>46072</v>
      </c>
      <c r="B13110" s="135">
        <f>YEAR(source[[#This Row],[report_date]])</f>
        <v>2026</v>
      </c>
      <c r="C13110" s="128">
        <f t="shared" ref="C13110:C13173" si="614">MONTH(A13110)</f>
        <v>2</v>
      </c>
      <c r="D13110" s="136">
        <f t="shared" si="613"/>
        <v>8</v>
      </c>
      <c r="E13110" s="136">
        <f t="shared" ref="E13110:E13173" si="615">DAY(A13110)</f>
        <v>19</v>
      </c>
      <c r="F13110" s="137" t="s">
        <v>24</v>
      </c>
      <c r="G13110" s="128" t="str">
        <f>VLOOKUP(source[[#This Row],[lending_product_transform]],[3]Mapping!$B$4:$C$37,2,0)</f>
        <v>[Cake] - Cashloan</v>
      </c>
      <c r="H13110" s="128" t="str">
        <f>VLOOKUP(source[[#This Row],[lending_product_transform]],[3]Mapping!$B$3:$D$37,3,0)</f>
        <v>cashloan</v>
      </c>
      <c r="I13110" s="137">
        <v>0</v>
      </c>
    </row>
    <row r="13111" spans="1:9" x14ac:dyDescent="0.2">
      <c r="A13111" s="134">
        <v>46072</v>
      </c>
      <c r="B13111" s="135">
        <f>YEAR(source[[#This Row],[report_date]])</f>
        <v>2026</v>
      </c>
      <c r="C13111" s="128">
        <f t="shared" si="614"/>
        <v>2</v>
      </c>
      <c r="D13111" s="136">
        <f t="shared" si="613"/>
        <v>8</v>
      </c>
      <c r="E13111" s="136">
        <f t="shared" si="615"/>
        <v>19</v>
      </c>
      <c r="F13111" s="137" t="s">
        <v>24</v>
      </c>
      <c r="G13111" s="128" t="str">
        <f>VLOOKUP(source[[#This Row],[lending_product_transform]],[3]Mapping!$B$4:$C$37,2,0)</f>
        <v>[Cake] - Cashloan</v>
      </c>
      <c r="H13111" s="128" t="str">
        <f>VLOOKUP(source[[#This Row],[lending_product_transform]],[3]Mapping!$B$3:$D$37,3,0)</f>
        <v>cashloan</v>
      </c>
      <c r="I13111" s="137">
        <v>89601074</v>
      </c>
    </row>
    <row r="13112" spans="1:9" x14ac:dyDescent="0.2">
      <c r="A13112" s="134">
        <v>46072</v>
      </c>
      <c r="B13112" s="135">
        <f>YEAR(source[[#This Row],[report_date]])</f>
        <v>2026</v>
      </c>
      <c r="C13112" s="128">
        <f t="shared" si="614"/>
        <v>2</v>
      </c>
      <c r="D13112" s="136">
        <f t="shared" si="613"/>
        <v>8</v>
      </c>
      <c r="E13112" s="136">
        <f t="shared" si="615"/>
        <v>19</v>
      </c>
      <c r="F13112" s="137" t="s">
        <v>24</v>
      </c>
      <c r="G13112" s="128" t="str">
        <f>VLOOKUP(source[[#This Row],[lending_product_transform]],[3]Mapping!$B$4:$C$37,2,0)</f>
        <v>[Cake] - Cashloan</v>
      </c>
      <c r="H13112" s="128" t="str">
        <f>VLOOKUP(source[[#This Row],[lending_product_transform]],[3]Mapping!$B$3:$D$37,3,0)</f>
        <v>cashloan</v>
      </c>
      <c r="I13112" s="137">
        <v>0</v>
      </c>
    </row>
    <row r="13113" spans="1:9" x14ac:dyDescent="0.2">
      <c r="A13113" s="134">
        <v>46072</v>
      </c>
      <c r="B13113" s="135">
        <f>YEAR(source[[#This Row],[report_date]])</f>
        <v>2026</v>
      </c>
      <c r="C13113" s="128">
        <f t="shared" si="614"/>
        <v>2</v>
      </c>
      <c r="D13113" s="136">
        <f t="shared" si="613"/>
        <v>8</v>
      </c>
      <c r="E13113" s="136">
        <f t="shared" si="615"/>
        <v>19</v>
      </c>
      <c r="F13113" s="137" t="s">
        <v>24</v>
      </c>
      <c r="G13113" s="128" t="str">
        <f>VLOOKUP(source[[#This Row],[lending_product_transform]],[3]Mapping!$B$4:$C$37,2,0)</f>
        <v>[Cake] - Cashloan</v>
      </c>
      <c r="H13113" s="128" t="str">
        <f>VLOOKUP(source[[#This Row],[lending_product_transform]],[3]Mapping!$B$3:$D$37,3,0)</f>
        <v>cashloan</v>
      </c>
      <c r="I13113" s="137">
        <v>0</v>
      </c>
    </row>
    <row r="13114" spans="1:9" x14ac:dyDescent="0.2">
      <c r="A13114" s="134">
        <v>46072</v>
      </c>
      <c r="B13114" s="135">
        <f>YEAR(source[[#This Row],[report_date]])</f>
        <v>2026</v>
      </c>
      <c r="C13114" s="128">
        <f t="shared" si="614"/>
        <v>2</v>
      </c>
      <c r="D13114" s="136">
        <f t="shared" si="613"/>
        <v>8</v>
      </c>
      <c r="E13114" s="136">
        <f t="shared" si="615"/>
        <v>19</v>
      </c>
      <c r="F13114" s="137" t="s">
        <v>24</v>
      </c>
      <c r="G13114" s="128" t="str">
        <f>VLOOKUP(source[[#This Row],[lending_product_transform]],[3]Mapping!$B$4:$C$37,2,0)</f>
        <v>[Cake] - Cashloan</v>
      </c>
      <c r="H13114" s="128" t="str">
        <f>VLOOKUP(source[[#This Row],[lending_product_transform]],[3]Mapping!$B$3:$D$37,3,0)</f>
        <v>cashloan</v>
      </c>
      <c r="I13114" s="137">
        <v>0</v>
      </c>
    </row>
    <row r="13115" spans="1:9" x14ac:dyDescent="0.2">
      <c r="A13115" s="134">
        <v>46072</v>
      </c>
      <c r="B13115" s="135">
        <f>YEAR(source[[#This Row],[report_date]])</f>
        <v>2026</v>
      </c>
      <c r="C13115" s="128">
        <f t="shared" si="614"/>
        <v>2</v>
      </c>
      <c r="D13115" s="136">
        <f t="shared" si="613"/>
        <v>8</v>
      </c>
      <c r="E13115" s="136">
        <f t="shared" si="615"/>
        <v>19</v>
      </c>
      <c r="F13115" s="137" t="s">
        <v>24</v>
      </c>
      <c r="G13115" s="128" t="str">
        <f>VLOOKUP(source[[#This Row],[lending_product_transform]],[3]Mapping!$B$4:$C$37,2,0)</f>
        <v>[Cake] - Cashloan</v>
      </c>
      <c r="H13115" s="128" t="str">
        <f>VLOOKUP(source[[#This Row],[lending_product_transform]],[3]Mapping!$B$3:$D$37,3,0)</f>
        <v>cashloan</v>
      </c>
      <c r="I13115" s="137">
        <v>4887520000</v>
      </c>
    </row>
    <row r="13116" spans="1:9" x14ac:dyDescent="0.2">
      <c r="A13116" s="134">
        <v>46072</v>
      </c>
      <c r="B13116" s="135">
        <f>YEAR(source[[#This Row],[report_date]])</f>
        <v>2026</v>
      </c>
      <c r="C13116" s="128">
        <f t="shared" si="614"/>
        <v>2</v>
      </c>
      <c r="D13116" s="136">
        <f t="shared" si="613"/>
        <v>8</v>
      </c>
      <c r="E13116" s="136">
        <f t="shared" si="615"/>
        <v>19</v>
      </c>
      <c r="F13116" s="137" t="s">
        <v>24</v>
      </c>
      <c r="G13116" s="128" t="str">
        <f>VLOOKUP(source[[#This Row],[lending_product_transform]],[3]Mapping!$B$4:$C$37,2,0)</f>
        <v>[Cake] - Cashloan</v>
      </c>
      <c r="H13116" s="128" t="str">
        <f>VLOOKUP(source[[#This Row],[lending_product_transform]],[3]Mapping!$B$3:$D$37,3,0)</f>
        <v>cashloan</v>
      </c>
      <c r="I13116" s="137">
        <v>0</v>
      </c>
    </row>
    <row r="13117" spans="1:9" x14ac:dyDescent="0.2">
      <c r="A13117" s="134">
        <v>46072</v>
      </c>
      <c r="B13117" s="135">
        <f>YEAR(source[[#This Row],[report_date]])</f>
        <v>2026</v>
      </c>
      <c r="C13117" s="128">
        <f t="shared" si="614"/>
        <v>2</v>
      </c>
      <c r="D13117" s="136">
        <f t="shared" si="613"/>
        <v>8</v>
      </c>
      <c r="E13117" s="136">
        <f t="shared" si="615"/>
        <v>19</v>
      </c>
      <c r="F13117" s="137" t="s">
        <v>24</v>
      </c>
      <c r="G13117" s="128" t="str">
        <f>VLOOKUP(source[[#This Row],[lending_product_transform]],[3]Mapping!$B$4:$C$37,2,0)</f>
        <v>[Cake] - Cashloan</v>
      </c>
      <c r="H13117" s="128" t="str">
        <f>VLOOKUP(source[[#This Row],[lending_product_transform]],[3]Mapping!$B$3:$D$37,3,0)</f>
        <v>cashloan</v>
      </c>
      <c r="I13117" s="137">
        <v>0</v>
      </c>
    </row>
    <row r="13118" spans="1:9" x14ac:dyDescent="0.2">
      <c r="A13118" s="134">
        <v>46072</v>
      </c>
      <c r="B13118" s="135">
        <f>YEAR(source[[#This Row],[report_date]])</f>
        <v>2026</v>
      </c>
      <c r="C13118" s="128">
        <f t="shared" si="614"/>
        <v>2</v>
      </c>
      <c r="D13118" s="136">
        <f t="shared" si="613"/>
        <v>8</v>
      </c>
      <c r="E13118" s="136">
        <f t="shared" si="615"/>
        <v>19</v>
      </c>
      <c r="F13118" s="137" t="s">
        <v>24</v>
      </c>
      <c r="G13118" s="128" t="str">
        <f>VLOOKUP(source[[#This Row],[lending_product_transform]],[3]Mapping!$B$4:$C$37,2,0)</f>
        <v>[Cake] - Cashloan</v>
      </c>
      <c r="H13118" s="128" t="str">
        <f>VLOOKUP(source[[#This Row],[lending_product_transform]],[3]Mapping!$B$3:$D$37,3,0)</f>
        <v>cashloan</v>
      </c>
      <c r="I13118" s="137">
        <v>0</v>
      </c>
    </row>
    <row r="13119" spans="1:9" x14ac:dyDescent="0.2">
      <c r="A13119" s="134">
        <v>46072</v>
      </c>
      <c r="B13119" s="135">
        <f>YEAR(source[[#This Row],[report_date]])</f>
        <v>2026</v>
      </c>
      <c r="C13119" s="128">
        <f t="shared" si="614"/>
        <v>2</v>
      </c>
      <c r="D13119" s="136">
        <f t="shared" si="613"/>
        <v>8</v>
      </c>
      <c r="E13119" s="136">
        <f t="shared" si="615"/>
        <v>19</v>
      </c>
      <c r="F13119" s="137" t="s">
        <v>24</v>
      </c>
      <c r="G13119" s="128" t="str">
        <f>VLOOKUP(source[[#This Row],[lending_product_transform]],[3]Mapping!$B$4:$C$37,2,0)</f>
        <v>[Cake] - Cashloan</v>
      </c>
      <c r="H13119" s="128" t="str">
        <f>VLOOKUP(source[[#This Row],[lending_product_transform]],[3]Mapping!$B$3:$D$37,3,0)</f>
        <v>cashloan</v>
      </c>
      <c r="I13119" s="137">
        <v>0</v>
      </c>
    </row>
    <row r="13120" spans="1:9" x14ac:dyDescent="0.2">
      <c r="A13120" s="134">
        <v>46072</v>
      </c>
      <c r="B13120" s="135">
        <f>YEAR(source[[#This Row],[report_date]])</f>
        <v>2026</v>
      </c>
      <c r="C13120" s="128">
        <f t="shared" si="614"/>
        <v>2</v>
      </c>
      <c r="D13120" s="136">
        <f t="shared" si="613"/>
        <v>8</v>
      </c>
      <c r="E13120" s="136">
        <f t="shared" si="615"/>
        <v>19</v>
      </c>
      <c r="F13120" s="137" t="s">
        <v>24</v>
      </c>
      <c r="G13120" s="128" t="str">
        <f>VLOOKUP(source[[#This Row],[lending_product_transform]],[3]Mapping!$B$4:$C$37,2,0)</f>
        <v>[Cake] - Cashloan</v>
      </c>
      <c r="H13120" s="128" t="str">
        <f>VLOOKUP(source[[#This Row],[lending_product_transform]],[3]Mapping!$B$3:$D$37,3,0)</f>
        <v>cashloan</v>
      </c>
      <c r="I13120" s="137">
        <v>5241240000</v>
      </c>
    </row>
    <row r="13121" spans="1:9" x14ac:dyDescent="0.2">
      <c r="A13121" s="134">
        <v>46072</v>
      </c>
      <c r="B13121" s="135">
        <f>YEAR(source[[#This Row],[report_date]])</f>
        <v>2026</v>
      </c>
      <c r="C13121" s="128">
        <f t="shared" si="614"/>
        <v>2</v>
      </c>
      <c r="D13121" s="136">
        <f t="shared" si="613"/>
        <v>8</v>
      </c>
      <c r="E13121" s="136">
        <f t="shared" si="615"/>
        <v>19</v>
      </c>
      <c r="F13121" s="137" t="s">
        <v>24</v>
      </c>
      <c r="G13121" s="128" t="str">
        <f>VLOOKUP(source[[#This Row],[lending_product_transform]],[3]Mapping!$B$4:$C$37,2,0)</f>
        <v>[Cake] - Cashloan</v>
      </c>
      <c r="H13121" s="128" t="str">
        <f>VLOOKUP(source[[#This Row],[lending_product_transform]],[3]Mapping!$B$3:$D$37,3,0)</f>
        <v>cashloan</v>
      </c>
      <c r="I13121" s="137">
        <v>79258073</v>
      </c>
    </row>
    <row r="13122" spans="1:9" x14ac:dyDescent="0.2">
      <c r="A13122" s="134">
        <v>46072</v>
      </c>
      <c r="B13122" s="135">
        <f>YEAR(source[[#This Row],[report_date]])</f>
        <v>2026</v>
      </c>
      <c r="C13122" s="128">
        <f t="shared" si="614"/>
        <v>2</v>
      </c>
      <c r="D13122" s="136">
        <f t="shared" si="613"/>
        <v>8</v>
      </c>
      <c r="E13122" s="136">
        <f t="shared" si="615"/>
        <v>19</v>
      </c>
      <c r="F13122" s="137" t="s">
        <v>24</v>
      </c>
      <c r="G13122" s="128" t="str">
        <f>VLOOKUP(source[[#This Row],[lending_product_transform]],[3]Mapping!$B$4:$C$37,2,0)</f>
        <v>[Cake] - Cashloan</v>
      </c>
      <c r="H13122" s="128" t="str">
        <f>VLOOKUP(source[[#This Row],[lending_product_transform]],[3]Mapping!$B$3:$D$37,3,0)</f>
        <v>cashloan</v>
      </c>
      <c r="I13122" s="137">
        <v>21000000</v>
      </c>
    </row>
    <row r="13123" spans="1:9" x14ac:dyDescent="0.2">
      <c r="A13123" s="134">
        <v>46072</v>
      </c>
      <c r="B13123" s="135">
        <f>YEAR(source[[#This Row],[report_date]])</f>
        <v>2026</v>
      </c>
      <c r="C13123" s="128">
        <f t="shared" si="614"/>
        <v>2</v>
      </c>
      <c r="D13123" s="136">
        <f t="shared" si="613"/>
        <v>8</v>
      </c>
      <c r="E13123" s="136">
        <f t="shared" si="615"/>
        <v>19</v>
      </c>
      <c r="F13123" s="137" t="s">
        <v>24</v>
      </c>
      <c r="G13123" s="128" t="str">
        <f>VLOOKUP(source[[#This Row],[lending_product_transform]],[3]Mapping!$B$4:$C$37,2,0)</f>
        <v>[Cake] - Cashloan</v>
      </c>
      <c r="H13123" s="128" t="str">
        <f>VLOOKUP(source[[#This Row],[lending_product_transform]],[3]Mapping!$B$3:$D$37,3,0)</f>
        <v>cashloan</v>
      </c>
      <c r="I13123" s="137">
        <v>19000000</v>
      </c>
    </row>
    <row r="13124" spans="1:9" x14ac:dyDescent="0.2">
      <c r="A13124" s="134">
        <v>46072</v>
      </c>
      <c r="B13124" s="135">
        <f>YEAR(source[[#This Row],[report_date]])</f>
        <v>2026</v>
      </c>
      <c r="C13124" s="128">
        <f t="shared" si="614"/>
        <v>2</v>
      </c>
      <c r="D13124" s="136">
        <f t="shared" si="613"/>
        <v>8</v>
      </c>
      <c r="E13124" s="136">
        <f t="shared" si="615"/>
        <v>19</v>
      </c>
      <c r="F13124" s="137" t="s">
        <v>24</v>
      </c>
      <c r="G13124" s="128" t="str">
        <f>VLOOKUP(source[[#This Row],[lending_product_transform]],[3]Mapping!$B$4:$C$37,2,0)</f>
        <v>[Cake] - Cashloan</v>
      </c>
      <c r="H13124" s="128" t="str">
        <f>VLOOKUP(source[[#This Row],[lending_product_transform]],[3]Mapping!$B$3:$D$37,3,0)</f>
        <v>cashloan</v>
      </c>
      <c r="I13124" s="137">
        <v>179800000</v>
      </c>
    </row>
    <row r="13125" spans="1:9" x14ac:dyDescent="0.2">
      <c r="A13125" s="134">
        <v>46072</v>
      </c>
      <c r="B13125" s="135">
        <f>YEAR(source[[#This Row],[report_date]])</f>
        <v>2026</v>
      </c>
      <c r="C13125" s="128">
        <f t="shared" si="614"/>
        <v>2</v>
      </c>
      <c r="D13125" s="136">
        <f t="shared" si="613"/>
        <v>8</v>
      </c>
      <c r="E13125" s="136">
        <f t="shared" si="615"/>
        <v>19</v>
      </c>
      <c r="F13125" s="137" t="s">
        <v>24</v>
      </c>
      <c r="G13125" s="128" t="str">
        <f>VLOOKUP(source[[#This Row],[lending_product_transform]],[3]Mapping!$B$4:$C$37,2,0)</f>
        <v>[Cake] - Cashloan</v>
      </c>
      <c r="H13125" s="128" t="str">
        <f>VLOOKUP(source[[#This Row],[lending_product_transform]],[3]Mapping!$B$3:$D$37,3,0)</f>
        <v>cashloan</v>
      </c>
      <c r="I13125" s="137">
        <v>112644000</v>
      </c>
    </row>
    <row r="13126" spans="1:9" x14ac:dyDescent="0.2">
      <c r="A13126" s="134">
        <v>46072</v>
      </c>
      <c r="B13126" s="135">
        <f>YEAR(source[[#This Row],[report_date]])</f>
        <v>2026</v>
      </c>
      <c r="C13126" s="128">
        <f t="shared" si="614"/>
        <v>2</v>
      </c>
      <c r="D13126" s="136">
        <f t="shared" si="613"/>
        <v>8</v>
      </c>
      <c r="E13126" s="136">
        <f t="shared" si="615"/>
        <v>19</v>
      </c>
      <c r="F13126" s="137" t="s">
        <v>24</v>
      </c>
      <c r="G13126" s="128" t="str">
        <f>VLOOKUP(source[[#This Row],[lending_product_transform]],[3]Mapping!$B$4:$C$37,2,0)</f>
        <v>[Cake] - Cashloan</v>
      </c>
      <c r="H13126" s="128" t="str">
        <f>VLOOKUP(source[[#This Row],[lending_product_transform]],[3]Mapping!$B$3:$D$37,3,0)</f>
        <v>cashloan</v>
      </c>
      <c r="I13126" s="137">
        <v>96671855</v>
      </c>
    </row>
    <row r="13127" spans="1:9" x14ac:dyDescent="0.2">
      <c r="A13127" s="134">
        <v>46072</v>
      </c>
      <c r="B13127" s="135">
        <f>YEAR(source[[#This Row],[report_date]])</f>
        <v>2026</v>
      </c>
      <c r="C13127" s="128">
        <f t="shared" si="614"/>
        <v>2</v>
      </c>
      <c r="D13127" s="136">
        <f t="shared" si="613"/>
        <v>8</v>
      </c>
      <c r="E13127" s="136">
        <f t="shared" si="615"/>
        <v>19</v>
      </c>
      <c r="F13127" s="137" t="s">
        <v>24</v>
      </c>
      <c r="G13127" s="128" t="str">
        <f>VLOOKUP(source[[#This Row],[lending_product_transform]],[3]Mapping!$B$4:$C$37,2,0)</f>
        <v>[Cake] - Cashloan</v>
      </c>
      <c r="H13127" s="128" t="str">
        <f>VLOOKUP(source[[#This Row],[lending_product_transform]],[3]Mapping!$B$3:$D$37,3,0)</f>
        <v>cashloan</v>
      </c>
      <c r="I13127" s="137">
        <v>1016350000</v>
      </c>
    </row>
    <row r="13128" spans="1:9" x14ac:dyDescent="0.2">
      <c r="A13128" s="134">
        <v>46072</v>
      </c>
      <c r="B13128" s="135">
        <f>YEAR(source[[#This Row],[report_date]])</f>
        <v>2026</v>
      </c>
      <c r="C13128" s="128">
        <f t="shared" si="614"/>
        <v>2</v>
      </c>
      <c r="D13128" s="136">
        <f t="shared" si="613"/>
        <v>8</v>
      </c>
      <c r="E13128" s="136">
        <f t="shared" si="615"/>
        <v>19</v>
      </c>
      <c r="F13128" s="137" t="s">
        <v>24</v>
      </c>
      <c r="G13128" s="128" t="str">
        <f>VLOOKUP(source[[#This Row],[lending_product_transform]],[3]Mapping!$B$4:$C$37,2,0)</f>
        <v>[Cake] - Cashloan</v>
      </c>
      <c r="H13128" s="128" t="str">
        <f>VLOOKUP(source[[#This Row],[lending_product_transform]],[3]Mapping!$B$3:$D$37,3,0)</f>
        <v>cashloan</v>
      </c>
      <c r="I13128" s="137">
        <v>247320000</v>
      </c>
    </row>
    <row r="13129" spans="1:9" x14ac:dyDescent="0.2">
      <c r="A13129" s="134">
        <v>46073</v>
      </c>
      <c r="B13129" s="135">
        <f>YEAR(source[[#This Row],[report_date]])</f>
        <v>2026</v>
      </c>
      <c r="C13129" s="128">
        <f t="shared" si="614"/>
        <v>2</v>
      </c>
      <c r="D13129" s="136">
        <f t="shared" si="613"/>
        <v>8</v>
      </c>
      <c r="E13129" s="136">
        <f t="shared" si="615"/>
        <v>20</v>
      </c>
      <c r="F13129" s="137" t="s">
        <v>24</v>
      </c>
      <c r="G13129" s="128" t="str">
        <f>VLOOKUP(source[[#This Row],[lending_product_transform]],[3]Mapping!$B$4:$C$37,2,0)</f>
        <v>[Cake] - Cashloan</v>
      </c>
      <c r="H13129" s="128" t="str">
        <f>VLOOKUP(source[[#This Row],[lending_product_transform]],[3]Mapping!$B$3:$D$37,3,0)</f>
        <v>cashloan</v>
      </c>
      <c r="I13129" s="137">
        <v>264000000</v>
      </c>
    </row>
    <row r="13130" spans="1:9" x14ac:dyDescent="0.2">
      <c r="A13130" s="134">
        <v>46073</v>
      </c>
      <c r="B13130" s="135">
        <f>YEAR(source[[#This Row],[report_date]])</f>
        <v>2026</v>
      </c>
      <c r="C13130" s="128">
        <f t="shared" si="614"/>
        <v>2</v>
      </c>
      <c r="D13130" s="136">
        <f t="shared" si="613"/>
        <v>8</v>
      </c>
      <c r="E13130" s="136">
        <f t="shared" si="615"/>
        <v>20</v>
      </c>
      <c r="F13130" s="137" t="s">
        <v>24</v>
      </c>
      <c r="G13130" s="128" t="str">
        <f>VLOOKUP(source[[#This Row],[lending_product_transform]],[3]Mapping!$B$4:$C$37,2,0)</f>
        <v>[Cake] - Cashloan</v>
      </c>
      <c r="H13130" s="128" t="str">
        <f>VLOOKUP(source[[#This Row],[lending_product_transform]],[3]Mapping!$B$3:$D$37,3,0)</f>
        <v>cashloan</v>
      </c>
      <c r="I13130" s="137">
        <v>194476613</v>
      </c>
    </row>
    <row r="13131" spans="1:9" x14ac:dyDescent="0.2">
      <c r="A13131" s="134">
        <v>46073</v>
      </c>
      <c r="B13131" s="135">
        <f>YEAR(source[[#This Row],[report_date]])</f>
        <v>2026</v>
      </c>
      <c r="C13131" s="128">
        <f t="shared" si="614"/>
        <v>2</v>
      </c>
      <c r="D13131" s="136">
        <f t="shared" si="613"/>
        <v>8</v>
      </c>
      <c r="E13131" s="136">
        <f t="shared" si="615"/>
        <v>20</v>
      </c>
      <c r="F13131" s="137" t="s">
        <v>24</v>
      </c>
      <c r="G13131" s="128" t="str">
        <f>VLOOKUP(source[[#This Row],[lending_product_transform]],[3]Mapping!$B$4:$C$37,2,0)</f>
        <v>[Cake] - Cashloan</v>
      </c>
      <c r="H13131" s="128" t="str">
        <f>VLOOKUP(source[[#This Row],[lending_product_transform]],[3]Mapping!$B$3:$D$37,3,0)</f>
        <v>cashloan</v>
      </c>
      <c r="I13131" s="137">
        <v>4534250000</v>
      </c>
    </row>
    <row r="13132" spans="1:9" x14ac:dyDescent="0.2">
      <c r="A13132" s="134">
        <v>46073</v>
      </c>
      <c r="B13132" s="135">
        <f>YEAR(source[[#This Row],[report_date]])</f>
        <v>2026</v>
      </c>
      <c r="C13132" s="128">
        <f t="shared" si="614"/>
        <v>2</v>
      </c>
      <c r="D13132" s="136">
        <f t="shared" si="613"/>
        <v>8</v>
      </c>
      <c r="E13132" s="136">
        <f t="shared" si="615"/>
        <v>20</v>
      </c>
      <c r="F13132" s="137" t="s">
        <v>24</v>
      </c>
      <c r="G13132" s="128" t="str">
        <f>VLOOKUP(source[[#This Row],[lending_product_transform]],[3]Mapping!$B$4:$C$37,2,0)</f>
        <v>[Cake] - Cashloan</v>
      </c>
      <c r="H13132" s="128" t="str">
        <f>VLOOKUP(source[[#This Row],[lending_product_transform]],[3]Mapping!$B$3:$D$37,3,0)</f>
        <v>cashloan</v>
      </c>
      <c r="I13132" s="137">
        <v>878059568</v>
      </c>
    </row>
    <row r="13133" spans="1:9" x14ac:dyDescent="0.2">
      <c r="A13133" s="134">
        <v>46073</v>
      </c>
      <c r="B13133" s="135">
        <f>YEAR(source[[#This Row],[report_date]])</f>
        <v>2026</v>
      </c>
      <c r="C13133" s="128">
        <f t="shared" si="614"/>
        <v>2</v>
      </c>
      <c r="D13133" s="136">
        <f t="shared" si="613"/>
        <v>8</v>
      </c>
      <c r="E13133" s="136">
        <f t="shared" si="615"/>
        <v>20</v>
      </c>
      <c r="F13133" s="137" t="s">
        <v>24</v>
      </c>
      <c r="G13133" s="128" t="str">
        <f>VLOOKUP(source[[#This Row],[lending_product_transform]],[3]Mapping!$B$4:$C$37,2,0)</f>
        <v>[Cake] - Cashloan</v>
      </c>
      <c r="H13133" s="128" t="str">
        <f>VLOOKUP(source[[#This Row],[lending_product_transform]],[3]Mapping!$B$3:$D$37,3,0)</f>
        <v>cashloan</v>
      </c>
      <c r="I13133" s="137">
        <v>7240752000</v>
      </c>
    </row>
    <row r="13134" spans="1:9" x14ac:dyDescent="0.2">
      <c r="A13134" s="134">
        <v>46073</v>
      </c>
      <c r="B13134" s="135">
        <f>YEAR(source[[#This Row],[report_date]])</f>
        <v>2026</v>
      </c>
      <c r="C13134" s="128">
        <f t="shared" si="614"/>
        <v>2</v>
      </c>
      <c r="D13134" s="136">
        <f t="shared" si="613"/>
        <v>8</v>
      </c>
      <c r="E13134" s="136">
        <f t="shared" si="615"/>
        <v>20</v>
      </c>
      <c r="F13134" s="137" t="s">
        <v>24</v>
      </c>
      <c r="G13134" s="128" t="str">
        <f>VLOOKUP(source[[#This Row],[lending_product_transform]],[3]Mapping!$B$4:$C$37,2,0)</f>
        <v>[Cake] - Cashloan</v>
      </c>
      <c r="H13134" s="128" t="str">
        <f>VLOOKUP(source[[#This Row],[lending_product_transform]],[3]Mapping!$B$3:$D$37,3,0)</f>
        <v>cashloan</v>
      </c>
      <c r="I13134" s="137">
        <v>248600</v>
      </c>
    </row>
    <row r="13135" spans="1:9" x14ac:dyDescent="0.2">
      <c r="A13135" s="134">
        <v>46073</v>
      </c>
      <c r="B13135" s="135">
        <f>YEAR(source[[#This Row],[report_date]])</f>
        <v>2026</v>
      </c>
      <c r="C13135" s="128">
        <f t="shared" si="614"/>
        <v>2</v>
      </c>
      <c r="D13135" s="136">
        <f t="shared" si="613"/>
        <v>8</v>
      </c>
      <c r="E13135" s="136">
        <f t="shared" si="615"/>
        <v>20</v>
      </c>
      <c r="F13135" s="137" t="s">
        <v>24</v>
      </c>
      <c r="G13135" s="128" t="str">
        <f>VLOOKUP(source[[#This Row],[lending_product_transform]],[3]Mapping!$B$4:$C$37,2,0)</f>
        <v>[Cake] - Cashloan</v>
      </c>
      <c r="H13135" s="128" t="str">
        <f>VLOOKUP(source[[#This Row],[lending_product_transform]],[3]Mapping!$B$3:$D$37,3,0)</f>
        <v>cashloan</v>
      </c>
      <c r="I13135" s="137">
        <v>0</v>
      </c>
    </row>
    <row r="13136" spans="1:9" x14ac:dyDescent="0.2">
      <c r="A13136" s="134">
        <v>46073</v>
      </c>
      <c r="B13136" s="135">
        <f>YEAR(source[[#This Row],[report_date]])</f>
        <v>2026</v>
      </c>
      <c r="C13136" s="128">
        <f t="shared" si="614"/>
        <v>2</v>
      </c>
      <c r="D13136" s="136">
        <f t="shared" si="613"/>
        <v>8</v>
      </c>
      <c r="E13136" s="136">
        <f t="shared" si="615"/>
        <v>20</v>
      </c>
      <c r="F13136" s="137" t="s">
        <v>24</v>
      </c>
      <c r="G13136" s="128" t="str">
        <f>VLOOKUP(source[[#This Row],[lending_product_transform]],[3]Mapping!$B$4:$C$37,2,0)</f>
        <v>[Cake] - Cashloan</v>
      </c>
      <c r="H13136" s="128" t="str">
        <f>VLOOKUP(source[[#This Row],[lending_product_transform]],[3]Mapping!$B$3:$D$37,3,0)</f>
        <v>cashloan</v>
      </c>
      <c r="I13136" s="137">
        <v>510300000</v>
      </c>
    </row>
    <row r="13137" spans="1:9" x14ac:dyDescent="0.2">
      <c r="A13137" s="134">
        <v>46073</v>
      </c>
      <c r="B13137" s="135">
        <f>YEAR(source[[#This Row],[report_date]])</f>
        <v>2026</v>
      </c>
      <c r="C13137" s="128">
        <f t="shared" si="614"/>
        <v>2</v>
      </c>
      <c r="D13137" s="136">
        <f t="shared" ref="D13137:D13200" si="616">WEEKNUM(A13137,2)</f>
        <v>8</v>
      </c>
      <c r="E13137" s="136">
        <f t="shared" si="615"/>
        <v>20</v>
      </c>
      <c r="F13137" s="137" t="s">
        <v>24</v>
      </c>
      <c r="G13137" s="128" t="str">
        <f>VLOOKUP(source[[#This Row],[lending_product_transform]],[3]Mapping!$B$4:$C$37,2,0)</f>
        <v>[Cake] - Cashloan</v>
      </c>
      <c r="H13137" s="128" t="str">
        <f>VLOOKUP(source[[#This Row],[lending_product_transform]],[3]Mapping!$B$3:$D$37,3,0)</f>
        <v>cashloan</v>
      </c>
      <c r="I13137" s="137">
        <v>154800000</v>
      </c>
    </row>
    <row r="13138" spans="1:9" x14ac:dyDescent="0.2">
      <c r="A13138" s="134">
        <v>46073</v>
      </c>
      <c r="B13138" s="135">
        <f>YEAR(source[[#This Row],[report_date]])</f>
        <v>2026</v>
      </c>
      <c r="C13138" s="128">
        <f t="shared" si="614"/>
        <v>2</v>
      </c>
      <c r="D13138" s="136">
        <f t="shared" si="616"/>
        <v>8</v>
      </c>
      <c r="E13138" s="136">
        <f t="shared" si="615"/>
        <v>20</v>
      </c>
      <c r="F13138" s="137" t="s">
        <v>24</v>
      </c>
      <c r="G13138" s="128" t="str">
        <f>VLOOKUP(source[[#This Row],[lending_product_transform]],[3]Mapping!$B$4:$C$37,2,0)</f>
        <v>[Cake] - Cashloan</v>
      </c>
      <c r="H13138" s="128" t="str">
        <f>VLOOKUP(source[[#This Row],[lending_product_transform]],[3]Mapping!$B$3:$D$37,3,0)</f>
        <v>cashloan</v>
      </c>
      <c r="I13138" s="137">
        <v>3961000</v>
      </c>
    </row>
    <row r="13139" spans="1:9" x14ac:dyDescent="0.2">
      <c r="A13139" s="134">
        <v>46073</v>
      </c>
      <c r="B13139" s="135">
        <f>YEAR(source[[#This Row],[report_date]])</f>
        <v>2026</v>
      </c>
      <c r="C13139" s="128">
        <f t="shared" si="614"/>
        <v>2</v>
      </c>
      <c r="D13139" s="136">
        <f t="shared" si="616"/>
        <v>8</v>
      </c>
      <c r="E13139" s="136">
        <f t="shared" si="615"/>
        <v>20</v>
      </c>
      <c r="F13139" s="137" t="s">
        <v>24</v>
      </c>
      <c r="G13139" s="128" t="str">
        <f>VLOOKUP(source[[#This Row],[lending_product_transform]],[3]Mapping!$B$4:$C$37,2,0)</f>
        <v>[Cake] - Cashloan</v>
      </c>
      <c r="H13139" s="128" t="str">
        <f>VLOOKUP(source[[#This Row],[lending_product_transform]],[3]Mapping!$B$3:$D$37,3,0)</f>
        <v>cashloan</v>
      </c>
      <c r="I13139" s="137">
        <v>770659205</v>
      </c>
    </row>
    <row r="13140" spans="1:9" x14ac:dyDescent="0.2">
      <c r="A13140" s="134">
        <v>46073</v>
      </c>
      <c r="B13140" s="135">
        <f>YEAR(source[[#This Row],[report_date]])</f>
        <v>2026</v>
      </c>
      <c r="C13140" s="128">
        <f t="shared" si="614"/>
        <v>2</v>
      </c>
      <c r="D13140" s="136">
        <f t="shared" si="616"/>
        <v>8</v>
      </c>
      <c r="E13140" s="136">
        <f t="shared" si="615"/>
        <v>20</v>
      </c>
      <c r="F13140" s="137" t="s">
        <v>24</v>
      </c>
      <c r="G13140" s="128" t="str">
        <f>VLOOKUP(source[[#This Row],[lending_product_transform]],[3]Mapping!$B$4:$C$37,2,0)</f>
        <v>[Cake] - Cashloan</v>
      </c>
      <c r="H13140" s="128" t="str">
        <f>VLOOKUP(source[[#This Row],[lending_product_transform]],[3]Mapping!$B$3:$D$37,3,0)</f>
        <v>cashloan</v>
      </c>
      <c r="I13140" s="137">
        <v>0</v>
      </c>
    </row>
    <row r="13141" spans="1:9" x14ac:dyDescent="0.2">
      <c r="A13141" s="134">
        <v>46073</v>
      </c>
      <c r="B13141" s="135">
        <f>YEAR(source[[#This Row],[report_date]])</f>
        <v>2026</v>
      </c>
      <c r="C13141" s="128">
        <f t="shared" si="614"/>
        <v>2</v>
      </c>
      <c r="D13141" s="136">
        <f t="shared" si="616"/>
        <v>8</v>
      </c>
      <c r="E13141" s="136">
        <f t="shared" si="615"/>
        <v>20</v>
      </c>
      <c r="F13141" s="137" t="s">
        <v>24</v>
      </c>
      <c r="G13141" s="128" t="str">
        <f>VLOOKUP(source[[#This Row],[lending_product_transform]],[3]Mapping!$B$4:$C$37,2,0)</f>
        <v>[Cake] - Cashloan</v>
      </c>
      <c r="H13141" s="128" t="str">
        <f>VLOOKUP(source[[#This Row],[lending_product_transform]],[3]Mapping!$B$3:$D$37,3,0)</f>
        <v>cashloan</v>
      </c>
      <c r="I13141" s="137">
        <v>0</v>
      </c>
    </row>
    <row r="13142" spans="1:9" x14ac:dyDescent="0.2">
      <c r="A13142" s="134">
        <v>46073</v>
      </c>
      <c r="B13142" s="135">
        <f>YEAR(source[[#This Row],[report_date]])</f>
        <v>2026</v>
      </c>
      <c r="C13142" s="128">
        <f t="shared" si="614"/>
        <v>2</v>
      </c>
      <c r="D13142" s="136">
        <f t="shared" si="616"/>
        <v>8</v>
      </c>
      <c r="E13142" s="136">
        <f t="shared" si="615"/>
        <v>20</v>
      </c>
      <c r="F13142" s="137" t="s">
        <v>24</v>
      </c>
      <c r="G13142" s="128" t="str">
        <f>VLOOKUP(source[[#This Row],[lending_product_transform]],[3]Mapping!$B$4:$C$37,2,0)</f>
        <v>[Cake] - Cashloan</v>
      </c>
      <c r="H13142" s="128" t="str">
        <f>VLOOKUP(source[[#This Row],[lending_product_transform]],[3]Mapping!$B$3:$D$37,3,0)</f>
        <v>cashloan</v>
      </c>
      <c r="I13142" s="137">
        <v>0</v>
      </c>
    </row>
    <row r="13143" spans="1:9" x14ac:dyDescent="0.2">
      <c r="A13143" s="134">
        <v>46073</v>
      </c>
      <c r="B13143" s="135">
        <f>YEAR(source[[#This Row],[report_date]])</f>
        <v>2026</v>
      </c>
      <c r="C13143" s="128">
        <f t="shared" si="614"/>
        <v>2</v>
      </c>
      <c r="D13143" s="136">
        <f t="shared" si="616"/>
        <v>8</v>
      </c>
      <c r="E13143" s="136">
        <f t="shared" si="615"/>
        <v>20</v>
      </c>
      <c r="F13143" s="137" t="s">
        <v>24</v>
      </c>
      <c r="G13143" s="128" t="str">
        <f>VLOOKUP(source[[#This Row],[lending_product_transform]],[3]Mapping!$B$4:$C$37,2,0)</f>
        <v>[Cake] - Cashloan</v>
      </c>
      <c r="H13143" s="128" t="str">
        <f>VLOOKUP(source[[#This Row],[lending_product_transform]],[3]Mapping!$B$3:$D$37,3,0)</f>
        <v>cashloan</v>
      </c>
      <c r="I13143" s="137">
        <v>5836680000</v>
      </c>
    </row>
    <row r="13144" spans="1:9" x14ac:dyDescent="0.2">
      <c r="A13144" s="134">
        <v>46073</v>
      </c>
      <c r="B13144" s="135">
        <f>YEAR(source[[#This Row],[report_date]])</f>
        <v>2026</v>
      </c>
      <c r="C13144" s="128">
        <f t="shared" si="614"/>
        <v>2</v>
      </c>
      <c r="D13144" s="136">
        <f t="shared" si="616"/>
        <v>8</v>
      </c>
      <c r="E13144" s="136">
        <f t="shared" si="615"/>
        <v>20</v>
      </c>
      <c r="F13144" s="137" t="s">
        <v>24</v>
      </c>
      <c r="G13144" s="128" t="str">
        <f>VLOOKUP(source[[#This Row],[lending_product_transform]],[3]Mapping!$B$4:$C$37,2,0)</f>
        <v>[Cake] - Cashloan</v>
      </c>
      <c r="H13144" s="128" t="str">
        <f>VLOOKUP(source[[#This Row],[lending_product_transform]],[3]Mapping!$B$3:$D$37,3,0)</f>
        <v>cashloan</v>
      </c>
      <c r="I13144" s="137">
        <v>0</v>
      </c>
    </row>
    <row r="13145" spans="1:9" x14ac:dyDescent="0.2">
      <c r="A13145" s="134">
        <v>46073</v>
      </c>
      <c r="B13145" s="135">
        <f>YEAR(source[[#This Row],[report_date]])</f>
        <v>2026</v>
      </c>
      <c r="C13145" s="128">
        <f t="shared" si="614"/>
        <v>2</v>
      </c>
      <c r="D13145" s="136">
        <f t="shared" si="616"/>
        <v>8</v>
      </c>
      <c r="E13145" s="136">
        <f t="shared" si="615"/>
        <v>20</v>
      </c>
      <c r="F13145" s="137" t="s">
        <v>24</v>
      </c>
      <c r="G13145" s="128" t="str">
        <f>VLOOKUP(source[[#This Row],[lending_product_transform]],[3]Mapping!$B$4:$C$37,2,0)</f>
        <v>[Cake] - Cashloan</v>
      </c>
      <c r="H13145" s="128" t="str">
        <f>VLOOKUP(source[[#This Row],[lending_product_transform]],[3]Mapping!$B$3:$D$37,3,0)</f>
        <v>cashloan</v>
      </c>
      <c r="I13145" s="137">
        <v>0</v>
      </c>
    </row>
    <row r="13146" spans="1:9" x14ac:dyDescent="0.2">
      <c r="A13146" s="134">
        <v>46073</v>
      </c>
      <c r="B13146" s="135">
        <f>YEAR(source[[#This Row],[report_date]])</f>
        <v>2026</v>
      </c>
      <c r="C13146" s="128">
        <f t="shared" si="614"/>
        <v>2</v>
      </c>
      <c r="D13146" s="136">
        <f t="shared" si="616"/>
        <v>8</v>
      </c>
      <c r="E13146" s="136">
        <f t="shared" si="615"/>
        <v>20</v>
      </c>
      <c r="F13146" s="137" t="s">
        <v>24</v>
      </c>
      <c r="G13146" s="128" t="str">
        <f>VLOOKUP(source[[#This Row],[lending_product_transform]],[3]Mapping!$B$4:$C$37,2,0)</f>
        <v>[Cake] - Cashloan</v>
      </c>
      <c r="H13146" s="128" t="str">
        <f>VLOOKUP(source[[#This Row],[lending_product_transform]],[3]Mapping!$B$3:$D$37,3,0)</f>
        <v>cashloan</v>
      </c>
      <c r="I13146" s="137">
        <v>0</v>
      </c>
    </row>
    <row r="13147" spans="1:9" x14ac:dyDescent="0.2">
      <c r="A13147" s="134">
        <v>46073</v>
      </c>
      <c r="B13147" s="135">
        <f>YEAR(source[[#This Row],[report_date]])</f>
        <v>2026</v>
      </c>
      <c r="C13147" s="128">
        <f t="shared" si="614"/>
        <v>2</v>
      </c>
      <c r="D13147" s="136">
        <f t="shared" si="616"/>
        <v>8</v>
      </c>
      <c r="E13147" s="136">
        <f t="shared" si="615"/>
        <v>20</v>
      </c>
      <c r="F13147" s="137" t="s">
        <v>24</v>
      </c>
      <c r="G13147" s="128" t="str">
        <f>VLOOKUP(source[[#This Row],[lending_product_transform]],[3]Mapping!$B$4:$C$37,2,0)</f>
        <v>[Cake] - Cashloan</v>
      </c>
      <c r="H13147" s="128" t="str">
        <f>VLOOKUP(source[[#This Row],[lending_product_transform]],[3]Mapping!$B$3:$D$37,3,0)</f>
        <v>cashloan</v>
      </c>
      <c r="I13147" s="137">
        <v>0</v>
      </c>
    </row>
    <row r="13148" spans="1:9" x14ac:dyDescent="0.2">
      <c r="A13148" s="134">
        <v>46073</v>
      </c>
      <c r="B13148" s="135">
        <f>YEAR(source[[#This Row],[report_date]])</f>
        <v>2026</v>
      </c>
      <c r="C13148" s="128">
        <f t="shared" si="614"/>
        <v>2</v>
      </c>
      <c r="D13148" s="136">
        <f t="shared" si="616"/>
        <v>8</v>
      </c>
      <c r="E13148" s="136">
        <f t="shared" si="615"/>
        <v>20</v>
      </c>
      <c r="F13148" s="137" t="s">
        <v>24</v>
      </c>
      <c r="G13148" s="128" t="str">
        <f>VLOOKUP(source[[#This Row],[lending_product_transform]],[3]Mapping!$B$4:$C$37,2,0)</f>
        <v>[Cake] - Cashloan</v>
      </c>
      <c r="H13148" s="128" t="str">
        <f>VLOOKUP(source[[#This Row],[lending_product_transform]],[3]Mapping!$B$3:$D$37,3,0)</f>
        <v>cashloan</v>
      </c>
      <c r="I13148" s="137">
        <v>6076404000</v>
      </c>
    </row>
    <row r="13149" spans="1:9" x14ac:dyDescent="0.2">
      <c r="A13149" s="134">
        <v>46073</v>
      </c>
      <c r="B13149" s="135">
        <f>YEAR(source[[#This Row],[report_date]])</f>
        <v>2026</v>
      </c>
      <c r="C13149" s="128">
        <f t="shared" si="614"/>
        <v>2</v>
      </c>
      <c r="D13149" s="136">
        <f t="shared" si="616"/>
        <v>8</v>
      </c>
      <c r="E13149" s="136">
        <f t="shared" si="615"/>
        <v>20</v>
      </c>
      <c r="F13149" s="137" t="s">
        <v>24</v>
      </c>
      <c r="G13149" s="128" t="str">
        <f>VLOOKUP(source[[#This Row],[lending_product_transform]],[3]Mapping!$B$4:$C$37,2,0)</f>
        <v>[Cake] - Cashloan</v>
      </c>
      <c r="H13149" s="128" t="str">
        <f>VLOOKUP(source[[#This Row],[lending_product_transform]],[3]Mapping!$B$3:$D$37,3,0)</f>
        <v>cashloan</v>
      </c>
      <c r="I13149" s="137">
        <v>106842556</v>
      </c>
    </row>
    <row r="13150" spans="1:9" x14ac:dyDescent="0.2">
      <c r="A13150" s="134">
        <v>46073</v>
      </c>
      <c r="B13150" s="135">
        <f>YEAR(source[[#This Row],[report_date]])</f>
        <v>2026</v>
      </c>
      <c r="C13150" s="128">
        <f t="shared" si="614"/>
        <v>2</v>
      </c>
      <c r="D13150" s="136">
        <f t="shared" si="616"/>
        <v>8</v>
      </c>
      <c r="E13150" s="136">
        <f t="shared" si="615"/>
        <v>20</v>
      </c>
      <c r="F13150" s="137" t="s">
        <v>24</v>
      </c>
      <c r="G13150" s="128" t="str">
        <f>VLOOKUP(source[[#This Row],[lending_product_transform]],[3]Mapping!$B$4:$C$37,2,0)</f>
        <v>[Cake] - Cashloan</v>
      </c>
      <c r="H13150" s="128" t="str">
        <f>VLOOKUP(source[[#This Row],[lending_product_transform]],[3]Mapping!$B$3:$D$37,3,0)</f>
        <v>cashloan</v>
      </c>
      <c r="I13150" s="137">
        <v>31500000</v>
      </c>
    </row>
    <row r="13151" spans="1:9" x14ac:dyDescent="0.2">
      <c r="A13151" s="134">
        <v>46073</v>
      </c>
      <c r="B13151" s="135">
        <f>YEAR(source[[#This Row],[report_date]])</f>
        <v>2026</v>
      </c>
      <c r="C13151" s="128">
        <f t="shared" si="614"/>
        <v>2</v>
      </c>
      <c r="D13151" s="136">
        <f t="shared" si="616"/>
        <v>8</v>
      </c>
      <c r="E13151" s="136">
        <f t="shared" si="615"/>
        <v>20</v>
      </c>
      <c r="F13151" s="137" t="s">
        <v>24</v>
      </c>
      <c r="G13151" s="128" t="str">
        <f>VLOOKUP(source[[#This Row],[lending_product_transform]],[3]Mapping!$B$4:$C$37,2,0)</f>
        <v>[Cake] - Cashloan</v>
      </c>
      <c r="H13151" s="128" t="str">
        <f>VLOOKUP(source[[#This Row],[lending_product_transform]],[3]Mapping!$B$3:$D$37,3,0)</f>
        <v>cashloan</v>
      </c>
      <c r="I13151" s="137">
        <v>22000000</v>
      </c>
    </row>
    <row r="13152" spans="1:9" x14ac:dyDescent="0.2">
      <c r="A13152" s="134">
        <v>46073</v>
      </c>
      <c r="B13152" s="135">
        <f>YEAR(source[[#This Row],[report_date]])</f>
        <v>2026</v>
      </c>
      <c r="C13152" s="128">
        <f t="shared" si="614"/>
        <v>2</v>
      </c>
      <c r="D13152" s="136">
        <f t="shared" si="616"/>
        <v>8</v>
      </c>
      <c r="E13152" s="136">
        <f t="shared" si="615"/>
        <v>20</v>
      </c>
      <c r="F13152" s="137" t="s">
        <v>24</v>
      </c>
      <c r="G13152" s="128" t="str">
        <f>VLOOKUP(source[[#This Row],[lending_product_transform]],[3]Mapping!$B$4:$C$37,2,0)</f>
        <v>[Cake] - Cashloan</v>
      </c>
      <c r="H13152" s="128" t="str">
        <f>VLOOKUP(source[[#This Row],[lending_product_transform]],[3]Mapping!$B$3:$D$37,3,0)</f>
        <v>cashloan</v>
      </c>
      <c r="I13152" s="137">
        <v>409870000</v>
      </c>
    </row>
    <row r="13153" spans="1:9" x14ac:dyDescent="0.2">
      <c r="A13153" s="134">
        <v>46073</v>
      </c>
      <c r="B13153" s="135">
        <f>YEAR(source[[#This Row],[report_date]])</f>
        <v>2026</v>
      </c>
      <c r="C13153" s="128">
        <f t="shared" si="614"/>
        <v>2</v>
      </c>
      <c r="D13153" s="136">
        <f t="shared" si="616"/>
        <v>8</v>
      </c>
      <c r="E13153" s="136">
        <f t="shared" si="615"/>
        <v>20</v>
      </c>
      <c r="F13153" s="137" t="s">
        <v>24</v>
      </c>
      <c r="G13153" s="128" t="str">
        <f>VLOOKUP(source[[#This Row],[lending_product_transform]],[3]Mapping!$B$4:$C$37,2,0)</f>
        <v>[Cake] - Cashloan</v>
      </c>
      <c r="H13153" s="128" t="str">
        <f>VLOOKUP(source[[#This Row],[lending_product_transform]],[3]Mapping!$B$3:$D$37,3,0)</f>
        <v>cashloan</v>
      </c>
      <c r="I13153" s="137">
        <v>173664000</v>
      </c>
    </row>
    <row r="13154" spans="1:9" x14ac:dyDescent="0.2">
      <c r="A13154" s="134">
        <v>46073</v>
      </c>
      <c r="B13154" s="135">
        <f>YEAR(source[[#This Row],[report_date]])</f>
        <v>2026</v>
      </c>
      <c r="C13154" s="128">
        <f t="shared" si="614"/>
        <v>2</v>
      </c>
      <c r="D13154" s="136">
        <f t="shared" si="616"/>
        <v>8</v>
      </c>
      <c r="E13154" s="136">
        <f t="shared" si="615"/>
        <v>20</v>
      </c>
      <c r="F13154" s="137" t="s">
        <v>24</v>
      </c>
      <c r="G13154" s="128" t="str">
        <f>VLOOKUP(source[[#This Row],[lending_product_transform]],[3]Mapping!$B$4:$C$37,2,0)</f>
        <v>[Cake] - Cashloan</v>
      </c>
      <c r="H13154" s="128" t="str">
        <f>VLOOKUP(source[[#This Row],[lending_product_transform]],[3]Mapping!$B$3:$D$37,3,0)</f>
        <v>cashloan</v>
      </c>
      <c r="I13154" s="137">
        <v>139793113</v>
      </c>
    </row>
    <row r="13155" spans="1:9" x14ac:dyDescent="0.2">
      <c r="A13155" s="134">
        <v>46073</v>
      </c>
      <c r="B13155" s="135">
        <f>YEAR(source[[#This Row],[report_date]])</f>
        <v>2026</v>
      </c>
      <c r="C13155" s="128">
        <f t="shared" si="614"/>
        <v>2</v>
      </c>
      <c r="D13155" s="136">
        <f t="shared" si="616"/>
        <v>8</v>
      </c>
      <c r="E13155" s="136">
        <f t="shared" si="615"/>
        <v>20</v>
      </c>
      <c r="F13155" s="137" t="s">
        <v>24</v>
      </c>
      <c r="G13155" s="128" t="str">
        <f>VLOOKUP(source[[#This Row],[lending_product_transform]],[3]Mapping!$B$4:$C$37,2,0)</f>
        <v>[Cake] - Cashloan</v>
      </c>
      <c r="H13155" s="128" t="str">
        <f>VLOOKUP(source[[#This Row],[lending_product_transform]],[3]Mapping!$B$3:$D$37,3,0)</f>
        <v>cashloan</v>
      </c>
      <c r="I13155" s="137">
        <v>885530000</v>
      </c>
    </row>
    <row r="13156" spans="1:9" x14ac:dyDescent="0.2">
      <c r="A13156" s="134">
        <v>46073</v>
      </c>
      <c r="B13156" s="135">
        <f>YEAR(source[[#This Row],[report_date]])</f>
        <v>2026</v>
      </c>
      <c r="C13156" s="128">
        <f t="shared" si="614"/>
        <v>2</v>
      </c>
      <c r="D13156" s="136">
        <f t="shared" si="616"/>
        <v>8</v>
      </c>
      <c r="E13156" s="136">
        <f t="shared" si="615"/>
        <v>20</v>
      </c>
      <c r="F13156" s="137" t="s">
        <v>24</v>
      </c>
      <c r="G13156" s="128" t="str">
        <f>VLOOKUP(source[[#This Row],[lending_product_transform]],[3]Mapping!$B$4:$C$37,2,0)</f>
        <v>[Cake] - Cashloan</v>
      </c>
      <c r="H13156" s="128" t="str">
        <f>VLOOKUP(source[[#This Row],[lending_product_transform]],[3]Mapping!$B$3:$D$37,3,0)</f>
        <v>cashloan</v>
      </c>
      <c r="I13156" s="137">
        <v>284880000</v>
      </c>
    </row>
    <row r="13157" spans="1:9" x14ac:dyDescent="0.2">
      <c r="A13157" s="134">
        <v>46074</v>
      </c>
      <c r="B13157" s="135">
        <f>YEAR(source[[#This Row],[report_date]])</f>
        <v>2026</v>
      </c>
      <c r="C13157" s="128">
        <f t="shared" si="614"/>
        <v>2</v>
      </c>
      <c r="D13157" s="136">
        <f t="shared" si="616"/>
        <v>8</v>
      </c>
      <c r="E13157" s="136">
        <f t="shared" si="615"/>
        <v>21</v>
      </c>
      <c r="F13157" s="137" t="s">
        <v>24</v>
      </c>
      <c r="G13157" s="128" t="str">
        <f>VLOOKUP(source[[#This Row],[lending_product_transform]],[3]Mapping!$B$4:$C$37,2,0)</f>
        <v>[Cake] - Cashloan</v>
      </c>
      <c r="H13157" s="128" t="str">
        <f>VLOOKUP(source[[#This Row],[lending_product_transform]],[3]Mapping!$B$3:$D$37,3,0)</f>
        <v>cashloan</v>
      </c>
      <c r="I13157" s="137">
        <v>300800000</v>
      </c>
    </row>
    <row r="13158" spans="1:9" x14ac:dyDescent="0.2">
      <c r="A13158" s="134">
        <v>46074</v>
      </c>
      <c r="B13158" s="135">
        <f>YEAR(source[[#This Row],[report_date]])</f>
        <v>2026</v>
      </c>
      <c r="C13158" s="128">
        <f t="shared" si="614"/>
        <v>2</v>
      </c>
      <c r="D13158" s="136">
        <f t="shared" si="616"/>
        <v>8</v>
      </c>
      <c r="E13158" s="136">
        <f t="shared" si="615"/>
        <v>21</v>
      </c>
      <c r="F13158" s="137" t="s">
        <v>24</v>
      </c>
      <c r="G13158" s="128" t="str">
        <f>VLOOKUP(source[[#This Row],[lending_product_transform]],[3]Mapping!$B$4:$C$37,2,0)</f>
        <v>[Cake] - Cashloan</v>
      </c>
      <c r="H13158" s="128" t="str">
        <f>VLOOKUP(source[[#This Row],[lending_product_transform]],[3]Mapping!$B$3:$D$37,3,0)</f>
        <v>cashloan</v>
      </c>
      <c r="I13158" s="137">
        <v>214986926</v>
      </c>
    </row>
    <row r="13159" spans="1:9" x14ac:dyDescent="0.2">
      <c r="A13159" s="134">
        <v>46074</v>
      </c>
      <c r="B13159" s="135">
        <f>YEAR(source[[#This Row],[report_date]])</f>
        <v>2026</v>
      </c>
      <c r="C13159" s="128">
        <f t="shared" si="614"/>
        <v>2</v>
      </c>
      <c r="D13159" s="136">
        <f t="shared" si="616"/>
        <v>8</v>
      </c>
      <c r="E13159" s="136">
        <f t="shared" si="615"/>
        <v>21</v>
      </c>
      <c r="F13159" s="137" t="s">
        <v>24</v>
      </c>
      <c r="G13159" s="128" t="str">
        <f>VLOOKUP(source[[#This Row],[lending_product_transform]],[3]Mapping!$B$4:$C$37,2,0)</f>
        <v>[Cake] - Cashloan</v>
      </c>
      <c r="H13159" s="128" t="str">
        <f>VLOOKUP(source[[#This Row],[lending_product_transform]],[3]Mapping!$B$3:$D$37,3,0)</f>
        <v>cashloan</v>
      </c>
      <c r="I13159" s="137">
        <v>5288040000</v>
      </c>
    </row>
    <row r="13160" spans="1:9" x14ac:dyDescent="0.2">
      <c r="A13160" s="134">
        <v>46074</v>
      </c>
      <c r="B13160" s="135">
        <f>YEAR(source[[#This Row],[report_date]])</f>
        <v>2026</v>
      </c>
      <c r="C13160" s="128">
        <f t="shared" si="614"/>
        <v>2</v>
      </c>
      <c r="D13160" s="136">
        <f t="shared" si="616"/>
        <v>8</v>
      </c>
      <c r="E13160" s="136">
        <f t="shared" si="615"/>
        <v>21</v>
      </c>
      <c r="F13160" s="137" t="s">
        <v>24</v>
      </c>
      <c r="G13160" s="128" t="str">
        <f>VLOOKUP(source[[#This Row],[lending_product_transform]],[3]Mapping!$B$4:$C$37,2,0)</f>
        <v>[Cake] - Cashloan</v>
      </c>
      <c r="H13160" s="128" t="str">
        <f>VLOOKUP(source[[#This Row],[lending_product_transform]],[3]Mapping!$B$3:$D$37,3,0)</f>
        <v>cashloan</v>
      </c>
      <c r="I13160" s="137">
        <v>899004779</v>
      </c>
    </row>
    <row r="13161" spans="1:9" x14ac:dyDescent="0.2">
      <c r="A13161" s="134">
        <v>46074</v>
      </c>
      <c r="B13161" s="135">
        <f>YEAR(source[[#This Row],[report_date]])</f>
        <v>2026</v>
      </c>
      <c r="C13161" s="128">
        <f t="shared" si="614"/>
        <v>2</v>
      </c>
      <c r="D13161" s="136">
        <f t="shared" si="616"/>
        <v>8</v>
      </c>
      <c r="E13161" s="136">
        <f t="shared" si="615"/>
        <v>21</v>
      </c>
      <c r="F13161" s="137" t="s">
        <v>24</v>
      </c>
      <c r="G13161" s="128" t="str">
        <f>VLOOKUP(source[[#This Row],[lending_product_transform]],[3]Mapping!$B$4:$C$37,2,0)</f>
        <v>[Cake] - Cashloan</v>
      </c>
      <c r="H13161" s="128" t="str">
        <f>VLOOKUP(source[[#This Row],[lending_product_transform]],[3]Mapping!$B$3:$D$37,3,0)</f>
        <v>cashloan</v>
      </c>
      <c r="I13161" s="137">
        <v>8806104000</v>
      </c>
    </row>
    <row r="13162" spans="1:9" x14ac:dyDescent="0.2">
      <c r="A13162" s="134">
        <v>46074</v>
      </c>
      <c r="B13162" s="135">
        <f>YEAR(source[[#This Row],[report_date]])</f>
        <v>2026</v>
      </c>
      <c r="C13162" s="128">
        <f t="shared" si="614"/>
        <v>2</v>
      </c>
      <c r="D13162" s="136">
        <f t="shared" si="616"/>
        <v>8</v>
      </c>
      <c r="E13162" s="136">
        <f t="shared" si="615"/>
        <v>21</v>
      </c>
      <c r="F13162" s="137" t="s">
        <v>24</v>
      </c>
      <c r="G13162" s="128" t="str">
        <f>VLOOKUP(source[[#This Row],[lending_product_transform]],[3]Mapping!$B$4:$C$37,2,0)</f>
        <v>[Cake] - Cashloan</v>
      </c>
      <c r="H13162" s="128" t="str">
        <f>VLOOKUP(source[[#This Row],[lending_product_transform]],[3]Mapping!$B$3:$D$37,3,0)</f>
        <v>cashloan</v>
      </c>
      <c r="I13162" s="137">
        <v>4615697</v>
      </c>
    </row>
    <row r="13163" spans="1:9" x14ac:dyDescent="0.2">
      <c r="A13163" s="134">
        <v>46074</v>
      </c>
      <c r="B13163" s="135">
        <f>YEAR(source[[#This Row],[report_date]])</f>
        <v>2026</v>
      </c>
      <c r="C13163" s="128">
        <f t="shared" si="614"/>
        <v>2</v>
      </c>
      <c r="D13163" s="136">
        <f t="shared" si="616"/>
        <v>8</v>
      </c>
      <c r="E13163" s="136">
        <f t="shared" si="615"/>
        <v>21</v>
      </c>
      <c r="F13163" s="137" t="s">
        <v>24</v>
      </c>
      <c r="G13163" s="128" t="str">
        <f>VLOOKUP(source[[#This Row],[lending_product_transform]],[3]Mapping!$B$4:$C$37,2,0)</f>
        <v>[Cake] - Cashloan</v>
      </c>
      <c r="H13163" s="128" t="str">
        <f>VLOOKUP(source[[#This Row],[lending_product_transform]],[3]Mapping!$B$3:$D$37,3,0)</f>
        <v>cashloan</v>
      </c>
      <c r="I13163" s="137">
        <v>0</v>
      </c>
    </row>
    <row r="13164" spans="1:9" x14ac:dyDescent="0.2">
      <c r="A13164" s="134">
        <v>46074</v>
      </c>
      <c r="B13164" s="135">
        <f>YEAR(source[[#This Row],[report_date]])</f>
        <v>2026</v>
      </c>
      <c r="C13164" s="128">
        <f t="shared" si="614"/>
        <v>2</v>
      </c>
      <c r="D13164" s="136">
        <f t="shared" si="616"/>
        <v>8</v>
      </c>
      <c r="E13164" s="136">
        <f t="shared" si="615"/>
        <v>21</v>
      </c>
      <c r="F13164" s="137" t="s">
        <v>24</v>
      </c>
      <c r="G13164" s="128" t="str">
        <f>VLOOKUP(source[[#This Row],[lending_product_transform]],[3]Mapping!$B$4:$C$37,2,0)</f>
        <v>[Cake] - Cashloan</v>
      </c>
      <c r="H13164" s="128" t="str">
        <f>VLOOKUP(source[[#This Row],[lending_product_transform]],[3]Mapping!$B$3:$D$37,3,0)</f>
        <v>cashloan</v>
      </c>
      <c r="I13164" s="137">
        <v>875250000</v>
      </c>
    </row>
    <row r="13165" spans="1:9" x14ac:dyDescent="0.2">
      <c r="A13165" s="134">
        <v>46074</v>
      </c>
      <c r="B13165" s="135">
        <f>YEAR(source[[#This Row],[report_date]])</f>
        <v>2026</v>
      </c>
      <c r="C13165" s="128">
        <f t="shared" si="614"/>
        <v>2</v>
      </c>
      <c r="D13165" s="136">
        <f t="shared" si="616"/>
        <v>8</v>
      </c>
      <c r="E13165" s="136">
        <f t="shared" si="615"/>
        <v>21</v>
      </c>
      <c r="F13165" s="137" t="s">
        <v>24</v>
      </c>
      <c r="G13165" s="128" t="str">
        <f>VLOOKUP(source[[#This Row],[lending_product_transform]],[3]Mapping!$B$4:$C$37,2,0)</f>
        <v>[Cake] - Cashloan</v>
      </c>
      <c r="H13165" s="128" t="str">
        <f>VLOOKUP(source[[#This Row],[lending_product_transform]],[3]Mapping!$B$3:$D$37,3,0)</f>
        <v>cashloan</v>
      </c>
      <c r="I13165" s="137">
        <v>413700000</v>
      </c>
    </row>
    <row r="13166" spans="1:9" x14ac:dyDescent="0.2">
      <c r="A13166" s="134">
        <v>46074</v>
      </c>
      <c r="B13166" s="135">
        <f>YEAR(source[[#This Row],[report_date]])</f>
        <v>2026</v>
      </c>
      <c r="C13166" s="128">
        <f t="shared" si="614"/>
        <v>2</v>
      </c>
      <c r="D13166" s="136">
        <f t="shared" si="616"/>
        <v>8</v>
      </c>
      <c r="E13166" s="136">
        <f t="shared" si="615"/>
        <v>21</v>
      </c>
      <c r="F13166" s="137" t="s">
        <v>24</v>
      </c>
      <c r="G13166" s="128" t="str">
        <f>VLOOKUP(source[[#This Row],[lending_product_transform]],[3]Mapping!$B$4:$C$37,2,0)</f>
        <v>[Cake] - Cashloan</v>
      </c>
      <c r="H13166" s="128" t="str">
        <f>VLOOKUP(source[[#This Row],[lending_product_transform]],[3]Mapping!$B$3:$D$37,3,0)</f>
        <v>cashloan</v>
      </c>
      <c r="I13166" s="137">
        <v>8939426</v>
      </c>
    </row>
    <row r="13167" spans="1:9" x14ac:dyDescent="0.2">
      <c r="A13167" s="134">
        <v>46074</v>
      </c>
      <c r="B13167" s="135">
        <f>YEAR(source[[#This Row],[report_date]])</f>
        <v>2026</v>
      </c>
      <c r="C13167" s="128">
        <f t="shared" si="614"/>
        <v>2</v>
      </c>
      <c r="D13167" s="136">
        <f t="shared" si="616"/>
        <v>8</v>
      </c>
      <c r="E13167" s="136">
        <f t="shared" si="615"/>
        <v>21</v>
      </c>
      <c r="F13167" s="137" t="s">
        <v>24</v>
      </c>
      <c r="G13167" s="128" t="str">
        <f>VLOOKUP(source[[#This Row],[lending_product_transform]],[3]Mapping!$B$4:$C$37,2,0)</f>
        <v>[Cake] - Cashloan</v>
      </c>
      <c r="H13167" s="128" t="str">
        <f>VLOOKUP(source[[#This Row],[lending_product_transform]],[3]Mapping!$B$3:$D$37,3,0)</f>
        <v>cashloan</v>
      </c>
      <c r="I13167" s="137">
        <v>959095652</v>
      </c>
    </row>
    <row r="13168" spans="1:9" x14ac:dyDescent="0.2">
      <c r="A13168" s="134">
        <v>46074</v>
      </c>
      <c r="B13168" s="135">
        <f>YEAR(source[[#This Row],[report_date]])</f>
        <v>2026</v>
      </c>
      <c r="C13168" s="128">
        <f t="shared" si="614"/>
        <v>2</v>
      </c>
      <c r="D13168" s="136">
        <f t="shared" si="616"/>
        <v>8</v>
      </c>
      <c r="E13168" s="136">
        <f t="shared" si="615"/>
        <v>21</v>
      </c>
      <c r="F13168" s="137" t="s">
        <v>24</v>
      </c>
      <c r="G13168" s="128" t="str">
        <f>VLOOKUP(source[[#This Row],[lending_product_transform]],[3]Mapping!$B$4:$C$37,2,0)</f>
        <v>[Cake] - Cashloan</v>
      </c>
      <c r="H13168" s="128" t="str">
        <f>VLOOKUP(source[[#This Row],[lending_product_transform]],[3]Mapping!$B$3:$D$37,3,0)</f>
        <v>cashloan</v>
      </c>
      <c r="I13168" s="137">
        <v>0</v>
      </c>
    </row>
    <row r="13169" spans="1:9" x14ac:dyDescent="0.2">
      <c r="A13169" s="134">
        <v>46074</v>
      </c>
      <c r="B13169" s="135">
        <f>YEAR(source[[#This Row],[report_date]])</f>
        <v>2026</v>
      </c>
      <c r="C13169" s="128">
        <f t="shared" si="614"/>
        <v>2</v>
      </c>
      <c r="D13169" s="136">
        <f t="shared" si="616"/>
        <v>8</v>
      </c>
      <c r="E13169" s="136">
        <f t="shared" si="615"/>
        <v>21</v>
      </c>
      <c r="F13169" s="137" t="s">
        <v>24</v>
      </c>
      <c r="G13169" s="128" t="str">
        <f>VLOOKUP(source[[#This Row],[lending_product_transform]],[3]Mapping!$B$4:$C$37,2,0)</f>
        <v>[Cake] - Cashloan</v>
      </c>
      <c r="H13169" s="128" t="str">
        <f>VLOOKUP(source[[#This Row],[lending_product_transform]],[3]Mapping!$B$3:$D$37,3,0)</f>
        <v>cashloan</v>
      </c>
      <c r="I13169" s="137">
        <v>0</v>
      </c>
    </row>
    <row r="13170" spans="1:9" x14ac:dyDescent="0.2">
      <c r="A13170" s="134">
        <v>46074</v>
      </c>
      <c r="B13170" s="135">
        <f>YEAR(source[[#This Row],[report_date]])</f>
        <v>2026</v>
      </c>
      <c r="C13170" s="128">
        <f t="shared" si="614"/>
        <v>2</v>
      </c>
      <c r="D13170" s="136">
        <f t="shared" si="616"/>
        <v>8</v>
      </c>
      <c r="E13170" s="136">
        <f t="shared" si="615"/>
        <v>21</v>
      </c>
      <c r="F13170" s="137" t="s">
        <v>24</v>
      </c>
      <c r="G13170" s="128" t="str">
        <f>VLOOKUP(source[[#This Row],[lending_product_transform]],[3]Mapping!$B$4:$C$37,2,0)</f>
        <v>[Cake] - Cashloan</v>
      </c>
      <c r="H13170" s="128" t="str">
        <f>VLOOKUP(source[[#This Row],[lending_product_transform]],[3]Mapping!$B$3:$D$37,3,0)</f>
        <v>cashloan</v>
      </c>
      <c r="I13170" s="137">
        <v>0</v>
      </c>
    </row>
    <row r="13171" spans="1:9" x14ac:dyDescent="0.2">
      <c r="A13171" s="134">
        <v>46074</v>
      </c>
      <c r="B13171" s="135">
        <f>YEAR(source[[#This Row],[report_date]])</f>
        <v>2026</v>
      </c>
      <c r="C13171" s="128">
        <f t="shared" si="614"/>
        <v>2</v>
      </c>
      <c r="D13171" s="136">
        <f t="shared" si="616"/>
        <v>8</v>
      </c>
      <c r="E13171" s="136">
        <f t="shared" si="615"/>
        <v>21</v>
      </c>
      <c r="F13171" s="137" t="s">
        <v>24</v>
      </c>
      <c r="G13171" s="128" t="str">
        <f>VLOOKUP(source[[#This Row],[lending_product_transform]],[3]Mapping!$B$4:$C$37,2,0)</f>
        <v>[Cake] - Cashloan</v>
      </c>
      <c r="H13171" s="128" t="str">
        <f>VLOOKUP(source[[#This Row],[lending_product_transform]],[3]Mapping!$B$3:$D$37,3,0)</f>
        <v>cashloan</v>
      </c>
      <c r="I13171" s="137">
        <v>6245630000</v>
      </c>
    </row>
    <row r="13172" spans="1:9" x14ac:dyDescent="0.2">
      <c r="A13172" s="134">
        <v>46074</v>
      </c>
      <c r="B13172" s="135">
        <f>YEAR(source[[#This Row],[report_date]])</f>
        <v>2026</v>
      </c>
      <c r="C13172" s="128">
        <f t="shared" si="614"/>
        <v>2</v>
      </c>
      <c r="D13172" s="136">
        <f t="shared" si="616"/>
        <v>8</v>
      </c>
      <c r="E13172" s="136">
        <f t="shared" si="615"/>
        <v>21</v>
      </c>
      <c r="F13172" s="137" t="s">
        <v>24</v>
      </c>
      <c r="G13172" s="128" t="str">
        <f>VLOOKUP(source[[#This Row],[lending_product_transform]],[3]Mapping!$B$4:$C$37,2,0)</f>
        <v>[Cake] - Cashloan</v>
      </c>
      <c r="H13172" s="128" t="str">
        <f>VLOOKUP(source[[#This Row],[lending_product_transform]],[3]Mapping!$B$3:$D$37,3,0)</f>
        <v>cashloan</v>
      </c>
      <c r="I13172" s="137">
        <v>0</v>
      </c>
    </row>
    <row r="13173" spans="1:9" x14ac:dyDescent="0.2">
      <c r="A13173" s="134">
        <v>46074</v>
      </c>
      <c r="B13173" s="135">
        <f>YEAR(source[[#This Row],[report_date]])</f>
        <v>2026</v>
      </c>
      <c r="C13173" s="128">
        <f t="shared" si="614"/>
        <v>2</v>
      </c>
      <c r="D13173" s="136">
        <f t="shared" si="616"/>
        <v>8</v>
      </c>
      <c r="E13173" s="136">
        <f t="shared" si="615"/>
        <v>21</v>
      </c>
      <c r="F13173" s="137" t="s">
        <v>24</v>
      </c>
      <c r="G13173" s="128" t="str">
        <f>VLOOKUP(source[[#This Row],[lending_product_transform]],[3]Mapping!$B$4:$C$37,2,0)</f>
        <v>[Cake] - Cashloan</v>
      </c>
      <c r="H13173" s="128" t="str">
        <f>VLOOKUP(source[[#This Row],[lending_product_transform]],[3]Mapping!$B$3:$D$37,3,0)</f>
        <v>cashloan</v>
      </c>
      <c r="I13173" s="137">
        <v>0</v>
      </c>
    </row>
    <row r="13174" spans="1:9" x14ac:dyDescent="0.2">
      <c r="A13174" s="134">
        <v>46074</v>
      </c>
      <c r="B13174" s="135">
        <f>YEAR(source[[#This Row],[report_date]])</f>
        <v>2026</v>
      </c>
      <c r="C13174" s="128">
        <f t="shared" ref="C13174:C13237" si="617">MONTH(A13174)</f>
        <v>2</v>
      </c>
      <c r="D13174" s="136">
        <f t="shared" si="616"/>
        <v>8</v>
      </c>
      <c r="E13174" s="136">
        <f t="shared" ref="E13174:E13237" si="618">DAY(A13174)</f>
        <v>21</v>
      </c>
      <c r="F13174" s="137" t="s">
        <v>24</v>
      </c>
      <c r="G13174" s="128" t="str">
        <f>VLOOKUP(source[[#This Row],[lending_product_transform]],[3]Mapping!$B$4:$C$37,2,0)</f>
        <v>[Cake] - Cashloan</v>
      </c>
      <c r="H13174" s="128" t="str">
        <f>VLOOKUP(source[[#This Row],[lending_product_transform]],[3]Mapping!$B$3:$D$37,3,0)</f>
        <v>cashloan</v>
      </c>
      <c r="I13174" s="137">
        <v>0</v>
      </c>
    </row>
    <row r="13175" spans="1:9" x14ac:dyDescent="0.2">
      <c r="A13175" s="134">
        <v>46074</v>
      </c>
      <c r="B13175" s="135">
        <f>YEAR(source[[#This Row],[report_date]])</f>
        <v>2026</v>
      </c>
      <c r="C13175" s="128">
        <f t="shared" si="617"/>
        <v>2</v>
      </c>
      <c r="D13175" s="136">
        <f t="shared" si="616"/>
        <v>8</v>
      </c>
      <c r="E13175" s="136">
        <f t="shared" si="618"/>
        <v>21</v>
      </c>
      <c r="F13175" s="137" t="s">
        <v>24</v>
      </c>
      <c r="G13175" s="128" t="str">
        <f>VLOOKUP(source[[#This Row],[lending_product_transform]],[3]Mapping!$B$4:$C$37,2,0)</f>
        <v>[Cake] - Cashloan</v>
      </c>
      <c r="H13175" s="128" t="str">
        <f>VLOOKUP(source[[#This Row],[lending_product_transform]],[3]Mapping!$B$3:$D$37,3,0)</f>
        <v>cashloan</v>
      </c>
      <c r="I13175" s="137">
        <v>0</v>
      </c>
    </row>
    <row r="13176" spans="1:9" x14ac:dyDescent="0.2">
      <c r="A13176" s="134">
        <v>46074</v>
      </c>
      <c r="B13176" s="135">
        <f>YEAR(source[[#This Row],[report_date]])</f>
        <v>2026</v>
      </c>
      <c r="C13176" s="128">
        <f t="shared" si="617"/>
        <v>2</v>
      </c>
      <c r="D13176" s="136">
        <f t="shared" si="616"/>
        <v>8</v>
      </c>
      <c r="E13176" s="136">
        <f t="shared" si="618"/>
        <v>21</v>
      </c>
      <c r="F13176" s="137" t="s">
        <v>24</v>
      </c>
      <c r="G13176" s="128" t="str">
        <f>VLOOKUP(source[[#This Row],[lending_product_transform]],[3]Mapping!$B$4:$C$37,2,0)</f>
        <v>[Cake] - Cashloan</v>
      </c>
      <c r="H13176" s="128" t="str">
        <f>VLOOKUP(source[[#This Row],[lending_product_transform]],[3]Mapping!$B$3:$D$37,3,0)</f>
        <v>cashloan</v>
      </c>
      <c r="I13176" s="137">
        <v>7378020000</v>
      </c>
    </row>
    <row r="13177" spans="1:9" x14ac:dyDescent="0.2">
      <c r="A13177" s="134">
        <v>46074</v>
      </c>
      <c r="B13177" s="135">
        <f>YEAR(source[[#This Row],[report_date]])</f>
        <v>2026</v>
      </c>
      <c r="C13177" s="128">
        <f t="shared" si="617"/>
        <v>2</v>
      </c>
      <c r="D13177" s="136">
        <f t="shared" si="616"/>
        <v>8</v>
      </c>
      <c r="E13177" s="136">
        <f t="shared" si="618"/>
        <v>21</v>
      </c>
      <c r="F13177" s="137" t="s">
        <v>24</v>
      </c>
      <c r="G13177" s="128" t="str">
        <f>VLOOKUP(source[[#This Row],[lending_product_transform]],[3]Mapping!$B$4:$C$37,2,0)</f>
        <v>[Cake] - Cashloan</v>
      </c>
      <c r="H13177" s="128" t="str">
        <f>VLOOKUP(source[[#This Row],[lending_product_transform]],[3]Mapping!$B$3:$D$37,3,0)</f>
        <v>cashloan</v>
      </c>
      <c r="I13177" s="137">
        <v>104014462</v>
      </c>
    </row>
    <row r="13178" spans="1:9" x14ac:dyDescent="0.2">
      <c r="A13178" s="134">
        <v>46074</v>
      </c>
      <c r="B13178" s="135">
        <f>YEAR(source[[#This Row],[report_date]])</f>
        <v>2026</v>
      </c>
      <c r="C13178" s="128">
        <f t="shared" si="617"/>
        <v>2</v>
      </c>
      <c r="D13178" s="136">
        <f t="shared" si="616"/>
        <v>8</v>
      </c>
      <c r="E13178" s="136">
        <f t="shared" si="618"/>
        <v>21</v>
      </c>
      <c r="F13178" s="137" t="s">
        <v>24</v>
      </c>
      <c r="G13178" s="128" t="str">
        <f>VLOOKUP(source[[#This Row],[lending_product_transform]],[3]Mapping!$B$4:$C$37,2,0)</f>
        <v>[Cake] - Cashloan</v>
      </c>
      <c r="H13178" s="128" t="str">
        <f>VLOOKUP(source[[#This Row],[lending_product_transform]],[3]Mapping!$B$3:$D$37,3,0)</f>
        <v>cashloan</v>
      </c>
      <c r="I13178" s="137">
        <v>10500000</v>
      </c>
    </row>
    <row r="13179" spans="1:9" x14ac:dyDescent="0.2">
      <c r="A13179" s="134">
        <v>46074</v>
      </c>
      <c r="B13179" s="135">
        <f>YEAR(source[[#This Row],[report_date]])</f>
        <v>2026</v>
      </c>
      <c r="C13179" s="128">
        <f t="shared" si="617"/>
        <v>2</v>
      </c>
      <c r="D13179" s="136">
        <f t="shared" si="616"/>
        <v>8</v>
      </c>
      <c r="E13179" s="136">
        <f t="shared" si="618"/>
        <v>21</v>
      </c>
      <c r="F13179" s="137" t="s">
        <v>24</v>
      </c>
      <c r="G13179" s="128" t="str">
        <f>VLOOKUP(source[[#This Row],[lending_product_transform]],[3]Mapping!$B$4:$C$37,2,0)</f>
        <v>[Cake] - Cashloan</v>
      </c>
      <c r="H13179" s="128" t="str">
        <f>VLOOKUP(source[[#This Row],[lending_product_transform]],[3]Mapping!$B$3:$D$37,3,0)</f>
        <v>cashloan</v>
      </c>
      <c r="I13179" s="137">
        <v>40000000</v>
      </c>
    </row>
    <row r="13180" spans="1:9" x14ac:dyDescent="0.2">
      <c r="A13180" s="134">
        <v>46074</v>
      </c>
      <c r="B13180" s="135">
        <f>YEAR(source[[#This Row],[report_date]])</f>
        <v>2026</v>
      </c>
      <c r="C13180" s="128">
        <f t="shared" si="617"/>
        <v>2</v>
      </c>
      <c r="D13180" s="136">
        <f t="shared" si="616"/>
        <v>8</v>
      </c>
      <c r="E13180" s="136">
        <f t="shared" si="618"/>
        <v>21</v>
      </c>
      <c r="F13180" s="137" t="s">
        <v>24</v>
      </c>
      <c r="G13180" s="128" t="str">
        <f>VLOOKUP(source[[#This Row],[lending_product_transform]],[3]Mapping!$B$4:$C$37,2,0)</f>
        <v>[Cake] - Cashloan</v>
      </c>
      <c r="H13180" s="128" t="str">
        <f>VLOOKUP(source[[#This Row],[lending_product_transform]],[3]Mapping!$B$3:$D$37,3,0)</f>
        <v>cashloan</v>
      </c>
      <c r="I13180" s="137">
        <v>343140000</v>
      </c>
    </row>
    <row r="13181" spans="1:9" x14ac:dyDescent="0.2">
      <c r="A13181" s="134">
        <v>46074</v>
      </c>
      <c r="B13181" s="135">
        <f>YEAR(source[[#This Row],[report_date]])</f>
        <v>2026</v>
      </c>
      <c r="C13181" s="128">
        <f t="shared" si="617"/>
        <v>2</v>
      </c>
      <c r="D13181" s="136">
        <f t="shared" si="616"/>
        <v>8</v>
      </c>
      <c r="E13181" s="136">
        <f t="shared" si="618"/>
        <v>21</v>
      </c>
      <c r="F13181" s="137" t="s">
        <v>24</v>
      </c>
      <c r="G13181" s="128" t="str">
        <f>VLOOKUP(source[[#This Row],[lending_product_transform]],[3]Mapping!$B$4:$C$37,2,0)</f>
        <v>[Cake] - Cashloan</v>
      </c>
      <c r="H13181" s="128" t="str">
        <f>VLOOKUP(source[[#This Row],[lending_product_transform]],[3]Mapping!$B$3:$D$37,3,0)</f>
        <v>cashloan</v>
      </c>
      <c r="I13181" s="137">
        <v>156276000</v>
      </c>
    </row>
    <row r="13182" spans="1:9" x14ac:dyDescent="0.2">
      <c r="A13182" s="134">
        <v>46074</v>
      </c>
      <c r="B13182" s="135">
        <f>YEAR(source[[#This Row],[report_date]])</f>
        <v>2026</v>
      </c>
      <c r="C13182" s="128">
        <f t="shared" si="617"/>
        <v>2</v>
      </c>
      <c r="D13182" s="136">
        <f t="shared" si="616"/>
        <v>8</v>
      </c>
      <c r="E13182" s="136">
        <f t="shared" si="618"/>
        <v>21</v>
      </c>
      <c r="F13182" s="137" t="s">
        <v>24</v>
      </c>
      <c r="G13182" s="128" t="str">
        <f>VLOOKUP(source[[#This Row],[lending_product_transform]],[3]Mapping!$B$4:$C$37,2,0)</f>
        <v>[Cake] - Cashloan</v>
      </c>
      <c r="H13182" s="128" t="str">
        <f>VLOOKUP(source[[#This Row],[lending_product_transform]],[3]Mapping!$B$3:$D$37,3,0)</f>
        <v>cashloan</v>
      </c>
      <c r="I13182" s="137">
        <v>198687649</v>
      </c>
    </row>
    <row r="13183" spans="1:9" x14ac:dyDescent="0.2">
      <c r="A13183" s="134">
        <v>46074</v>
      </c>
      <c r="B13183" s="135">
        <f>YEAR(source[[#This Row],[report_date]])</f>
        <v>2026</v>
      </c>
      <c r="C13183" s="128">
        <f t="shared" si="617"/>
        <v>2</v>
      </c>
      <c r="D13183" s="136">
        <f t="shared" si="616"/>
        <v>8</v>
      </c>
      <c r="E13183" s="136">
        <f t="shared" si="618"/>
        <v>21</v>
      </c>
      <c r="F13183" s="137" t="s">
        <v>24</v>
      </c>
      <c r="G13183" s="128" t="str">
        <f>VLOOKUP(source[[#This Row],[lending_product_transform]],[3]Mapping!$B$4:$C$37,2,0)</f>
        <v>[Cake] - Cashloan</v>
      </c>
      <c r="H13183" s="128" t="str">
        <f>VLOOKUP(source[[#This Row],[lending_product_transform]],[3]Mapping!$B$3:$D$37,3,0)</f>
        <v>cashloan</v>
      </c>
      <c r="I13183" s="137">
        <v>1252750000</v>
      </c>
    </row>
    <row r="13184" spans="1:9" x14ac:dyDescent="0.2">
      <c r="A13184" s="134">
        <v>46074</v>
      </c>
      <c r="B13184" s="135">
        <f>YEAR(source[[#This Row],[report_date]])</f>
        <v>2026</v>
      </c>
      <c r="C13184" s="128">
        <f t="shared" si="617"/>
        <v>2</v>
      </c>
      <c r="D13184" s="136">
        <f t="shared" si="616"/>
        <v>8</v>
      </c>
      <c r="E13184" s="136">
        <f t="shared" si="618"/>
        <v>21</v>
      </c>
      <c r="F13184" s="137" t="s">
        <v>24</v>
      </c>
      <c r="G13184" s="128" t="str">
        <f>VLOOKUP(source[[#This Row],[lending_product_transform]],[3]Mapping!$B$4:$C$37,2,0)</f>
        <v>[Cake] - Cashloan</v>
      </c>
      <c r="H13184" s="128" t="str">
        <f>VLOOKUP(source[[#This Row],[lending_product_transform]],[3]Mapping!$B$3:$D$37,3,0)</f>
        <v>cashloan</v>
      </c>
      <c r="I13184" s="137">
        <v>304400000</v>
      </c>
    </row>
    <row r="13185" spans="1:9" x14ac:dyDescent="0.2">
      <c r="A13185" s="134">
        <v>46075</v>
      </c>
      <c r="B13185" s="135">
        <f>YEAR(source[[#This Row],[report_date]])</f>
        <v>2026</v>
      </c>
      <c r="C13185" s="128">
        <f t="shared" si="617"/>
        <v>2</v>
      </c>
      <c r="D13185" s="136">
        <f t="shared" si="616"/>
        <v>8</v>
      </c>
      <c r="E13185" s="136">
        <f t="shared" si="618"/>
        <v>22</v>
      </c>
      <c r="F13185" s="137" t="s">
        <v>24</v>
      </c>
      <c r="G13185" s="128" t="str">
        <f>VLOOKUP(source[[#This Row],[lending_product_transform]],[3]Mapping!$B$4:$C$37,2,0)</f>
        <v>[Cake] - Cashloan</v>
      </c>
      <c r="H13185" s="128" t="str">
        <f>VLOOKUP(source[[#This Row],[lending_product_transform]],[3]Mapping!$B$3:$D$37,3,0)</f>
        <v>cashloan</v>
      </c>
      <c r="I13185" s="137">
        <v>580200000</v>
      </c>
    </row>
    <row r="13186" spans="1:9" x14ac:dyDescent="0.2">
      <c r="A13186" s="134">
        <v>46075</v>
      </c>
      <c r="B13186" s="135">
        <f>YEAR(source[[#This Row],[report_date]])</f>
        <v>2026</v>
      </c>
      <c r="C13186" s="128">
        <f t="shared" si="617"/>
        <v>2</v>
      </c>
      <c r="D13186" s="136">
        <f t="shared" si="616"/>
        <v>8</v>
      </c>
      <c r="E13186" s="136">
        <f t="shared" si="618"/>
        <v>22</v>
      </c>
      <c r="F13186" s="137" t="s">
        <v>24</v>
      </c>
      <c r="G13186" s="128" t="str">
        <f>VLOOKUP(source[[#This Row],[lending_product_transform]],[3]Mapping!$B$4:$C$37,2,0)</f>
        <v>[Cake] - Cashloan</v>
      </c>
      <c r="H13186" s="128" t="str">
        <f>VLOOKUP(source[[#This Row],[lending_product_transform]],[3]Mapping!$B$3:$D$37,3,0)</f>
        <v>cashloan</v>
      </c>
      <c r="I13186" s="137">
        <v>284287591</v>
      </c>
    </row>
    <row r="13187" spans="1:9" x14ac:dyDescent="0.2">
      <c r="A13187" s="134">
        <v>46075</v>
      </c>
      <c r="B13187" s="135">
        <f>YEAR(source[[#This Row],[report_date]])</f>
        <v>2026</v>
      </c>
      <c r="C13187" s="128">
        <f t="shared" si="617"/>
        <v>2</v>
      </c>
      <c r="D13187" s="136">
        <f t="shared" si="616"/>
        <v>8</v>
      </c>
      <c r="E13187" s="136">
        <f t="shared" si="618"/>
        <v>22</v>
      </c>
      <c r="F13187" s="137" t="s">
        <v>24</v>
      </c>
      <c r="G13187" s="128" t="str">
        <f>VLOOKUP(source[[#This Row],[lending_product_transform]],[3]Mapping!$B$4:$C$37,2,0)</f>
        <v>[Cake] - Cashloan</v>
      </c>
      <c r="H13187" s="128" t="str">
        <f>VLOOKUP(source[[#This Row],[lending_product_transform]],[3]Mapping!$B$3:$D$37,3,0)</f>
        <v>cashloan</v>
      </c>
      <c r="I13187" s="137">
        <v>5969330000</v>
      </c>
    </row>
    <row r="13188" spans="1:9" x14ac:dyDescent="0.2">
      <c r="A13188" s="134">
        <v>46075</v>
      </c>
      <c r="B13188" s="135">
        <f>YEAR(source[[#This Row],[report_date]])</f>
        <v>2026</v>
      </c>
      <c r="C13188" s="128">
        <f t="shared" si="617"/>
        <v>2</v>
      </c>
      <c r="D13188" s="136">
        <f t="shared" si="616"/>
        <v>8</v>
      </c>
      <c r="E13188" s="136">
        <f t="shared" si="618"/>
        <v>22</v>
      </c>
      <c r="F13188" s="137" t="s">
        <v>24</v>
      </c>
      <c r="G13188" s="128" t="str">
        <f>VLOOKUP(source[[#This Row],[lending_product_transform]],[3]Mapping!$B$4:$C$37,2,0)</f>
        <v>[Cake] - Cashloan</v>
      </c>
      <c r="H13188" s="128" t="str">
        <f>VLOOKUP(source[[#This Row],[lending_product_transform]],[3]Mapping!$B$3:$D$37,3,0)</f>
        <v>cashloan</v>
      </c>
      <c r="I13188" s="137">
        <v>1145161870</v>
      </c>
    </row>
    <row r="13189" spans="1:9" x14ac:dyDescent="0.2">
      <c r="A13189" s="134">
        <v>46075</v>
      </c>
      <c r="B13189" s="135">
        <f>YEAR(source[[#This Row],[report_date]])</f>
        <v>2026</v>
      </c>
      <c r="C13189" s="128">
        <f t="shared" si="617"/>
        <v>2</v>
      </c>
      <c r="D13189" s="136">
        <f t="shared" si="616"/>
        <v>8</v>
      </c>
      <c r="E13189" s="136">
        <f t="shared" si="618"/>
        <v>22</v>
      </c>
      <c r="F13189" s="137" t="s">
        <v>24</v>
      </c>
      <c r="G13189" s="128" t="str">
        <f>VLOOKUP(source[[#This Row],[lending_product_transform]],[3]Mapping!$B$4:$C$37,2,0)</f>
        <v>[Cake] - Cashloan</v>
      </c>
      <c r="H13189" s="128" t="str">
        <f>VLOOKUP(source[[#This Row],[lending_product_transform]],[3]Mapping!$B$3:$D$37,3,0)</f>
        <v>cashloan</v>
      </c>
      <c r="I13189" s="137">
        <v>12687840000</v>
      </c>
    </row>
    <row r="13190" spans="1:9" x14ac:dyDescent="0.2">
      <c r="A13190" s="134">
        <v>46075</v>
      </c>
      <c r="B13190" s="135">
        <f>YEAR(source[[#This Row],[report_date]])</f>
        <v>2026</v>
      </c>
      <c r="C13190" s="128">
        <f t="shared" si="617"/>
        <v>2</v>
      </c>
      <c r="D13190" s="136">
        <f t="shared" si="616"/>
        <v>8</v>
      </c>
      <c r="E13190" s="136">
        <f t="shared" si="618"/>
        <v>22</v>
      </c>
      <c r="F13190" s="137" t="s">
        <v>24</v>
      </c>
      <c r="G13190" s="128" t="str">
        <f>VLOOKUP(source[[#This Row],[lending_product_transform]],[3]Mapping!$B$4:$C$37,2,0)</f>
        <v>[Cake] - Cashloan</v>
      </c>
      <c r="H13190" s="128" t="str">
        <f>VLOOKUP(source[[#This Row],[lending_product_transform]],[3]Mapping!$B$3:$D$37,3,0)</f>
        <v>cashloan</v>
      </c>
      <c r="I13190" s="137">
        <v>4576096</v>
      </c>
    </row>
    <row r="13191" spans="1:9" x14ac:dyDescent="0.2">
      <c r="A13191" s="134">
        <v>46075</v>
      </c>
      <c r="B13191" s="135">
        <f>YEAR(source[[#This Row],[report_date]])</f>
        <v>2026</v>
      </c>
      <c r="C13191" s="128">
        <f t="shared" si="617"/>
        <v>2</v>
      </c>
      <c r="D13191" s="136">
        <f t="shared" si="616"/>
        <v>8</v>
      </c>
      <c r="E13191" s="136">
        <f t="shared" si="618"/>
        <v>22</v>
      </c>
      <c r="F13191" s="137" t="s">
        <v>24</v>
      </c>
      <c r="G13191" s="128" t="str">
        <f>VLOOKUP(source[[#This Row],[lending_product_transform]],[3]Mapping!$B$4:$C$37,2,0)</f>
        <v>[Cake] - Cashloan</v>
      </c>
      <c r="H13191" s="128" t="str">
        <f>VLOOKUP(source[[#This Row],[lending_product_transform]],[3]Mapping!$B$3:$D$37,3,0)</f>
        <v>cashloan</v>
      </c>
      <c r="I13191" s="137">
        <v>0</v>
      </c>
    </row>
    <row r="13192" spans="1:9" x14ac:dyDescent="0.2">
      <c r="A13192" s="134">
        <v>46075</v>
      </c>
      <c r="B13192" s="135">
        <f>YEAR(source[[#This Row],[report_date]])</f>
        <v>2026</v>
      </c>
      <c r="C13192" s="128">
        <f t="shared" si="617"/>
        <v>2</v>
      </c>
      <c r="D13192" s="136">
        <f t="shared" si="616"/>
        <v>8</v>
      </c>
      <c r="E13192" s="136">
        <f t="shared" si="618"/>
        <v>22</v>
      </c>
      <c r="F13192" s="137" t="s">
        <v>24</v>
      </c>
      <c r="G13192" s="128" t="str">
        <f>VLOOKUP(source[[#This Row],[lending_product_transform]],[3]Mapping!$B$4:$C$37,2,0)</f>
        <v>[Cake] - Cashloan</v>
      </c>
      <c r="H13192" s="128" t="str">
        <f>VLOOKUP(source[[#This Row],[lending_product_transform]],[3]Mapping!$B$3:$D$37,3,0)</f>
        <v>cashloan</v>
      </c>
      <c r="I13192" s="137">
        <v>1526840000</v>
      </c>
    </row>
    <row r="13193" spans="1:9" x14ac:dyDescent="0.2">
      <c r="A13193" s="134">
        <v>46075</v>
      </c>
      <c r="B13193" s="135">
        <f>YEAR(source[[#This Row],[report_date]])</f>
        <v>2026</v>
      </c>
      <c r="C13193" s="128">
        <f t="shared" si="617"/>
        <v>2</v>
      </c>
      <c r="D13193" s="136">
        <f t="shared" si="616"/>
        <v>8</v>
      </c>
      <c r="E13193" s="136">
        <f t="shared" si="618"/>
        <v>22</v>
      </c>
      <c r="F13193" s="137" t="s">
        <v>24</v>
      </c>
      <c r="G13193" s="128" t="str">
        <f>VLOOKUP(source[[#This Row],[lending_product_transform]],[3]Mapping!$B$4:$C$37,2,0)</f>
        <v>[Cake] - Cashloan</v>
      </c>
      <c r="H13193" s="128" t="str">
        <f>VLOOKUP(source[[#This Row],[lending_product_transform]],[3]Mapping!$B$3:$D$37,3,0)</f>
        <v>cashloan</v>
      </c>
      <c r="I13193" s="137">
        <v>450400000</v>
      </c>
    </row>
    <row r="13194" spans="1:9" x14ac:dyDescent="0.2">
      <c r="A13194" s="134">
        <v>46075</v>
      </c>
      <c r="B13194" s="135">
        <f>YEAR(source[[#This Row],[report_date]])</f>
        <v>2026</v>
      </c>
      <c r="C13194" s="128">
        <f t="shared" si="617"/>
        <v>2</v>
      </c>
      <c r="D13194" s="136">
        <f t="shared" si="616"/>
        <v>8</v>
      </c>
      <c r="E13194" s="136">
        <f t="shared" si="618"/>
        <v>22</v>
      </c>
      <c r="F13194" s="137" t="s">
        <v>24</v>
      </c>
      <c r="G13194" s="128" t="str">
        <f>VLOOKUP(source[[#This Row],[lending_product_transform]],[3]Mapping!$B$4:$C$37,2,0)</f>
        <v>[Cake] - Cashloan</v>
      </c>
      <c r="H13194" s="128" t="str">
        <f>VLOOKUP(source[[#This Row],[lending_product_transform]],[3]Mapping!$B$3:$D$37,3,0)</f>
        <v>cashloan</v>
      </c>
      <c r="I13194" s="137">
        <v>7949324</v>
      </c>
    </row>
    <row r="13195" spans="1:9" x14ac:dyDescent="0.2">
      <c r="A13195" s="134">
        <v>46075</v>
      </c>
      <c r="B13195" s="135">
        <f>YEAR(source[[#This Row],[report_date]])</f>
        <v>2026</v>
      </c>
      <c r="C13195" s="128">
        <f t="shared" si="617"/>
        <v>2</v>
      </c>
      <c r="D13195" s="136">
        <f t="shared" si="616"/>
        <v>8</v>
      </c>
      <c r="E13195" s="136">
        <f t="shared" si="618"/>
        <v>22</v>
      </c>
      <c r="F13195" s="137" t="s">
        <v>24</v>
      </c>
      <c r="G13195" s="128" t="str">
        <f>VLOOKUP(source[[#This Row],[lending_product_transform]],[3]Mapping!$B$4:$C$37,2,0)</f>
        <v>[Cake] - Cashloan</v>
      </c>
      <c r="H13195" s="128" t="str">
        <f>VLOOKUP(source[[#This Row],[lending_product_transform]],[3]Mapping!$B$3:$D$37,3,0)</f>
        <v>cashloan</v>
      </c>
      <c r="I13195" s="137">
        <v>1054032746</v>
      </c>
    </row>
    <row r="13196" spans="1:9" x14ac:dyDescent="0.2">
      <c r="A13196" s="134">
        <v>46075</v>
      </c>
      <c r="B13196" s="135">
        <f>YEAR(source[[#This Row],[report_date]])</f>
        <v>2026</v>
      </c>
      <c r="C13196" s="128">
        <f t="shared" si="617"/>
        <v>2</v>
      </c>
      <c r="D13196" s="136">
        <f t="shared" si="616"/>
        <v>8</v>
      </c>
      <c r="E13196" s="136">
        <f t="shared" si="618"/>
        <v>22</v>
      </c>
      <c r="F13196" s="137" t="s">
        <v>24</v>
      </c>
      <c r="G13196" s="128" t="str">
        <f>VLOOKUP(source[[#This Row],[lending_product_transform]],[3]Mapping!$B$4:$C$37,2,0)</f>
        <v>[Cake] - Cashloan</v>
      </c>
      <c r="H13196" s="128" t="str">
        <f>VLOOKUP(source[[#This Row],[lending_product_transform]],[3]Mapping!$B$3:$D$37,3,0)</f>
        <v>cashloan</v>
      </c>
      <c r="I13196" s="137">
        <v>0</v>
      </c>
    </row>
    <row r="13197" spans="1:9" x14ac:dyDescent="0.2">
      <c r="A13197" s="134">
        <v>46075</v>
      </c>
      <c r="B13197" s="135">
        <f>YEAR(source[[#This Row],[report_date]])</f>
        <v>2026</v>
      </c>
      <c r="C13197" s="128">
        <f t="shared" si="617"/>
        <v>2</v>
      </c>
      <c r="D13197" s="136">
        <f t="shared" si="616"/>
        <v>8</v>
      </c>
      <c r="E13197" s="136">
        <f t="shared" si="618"/>
        <v>22</v>
      </c>
      <c r="F13197" s="137" t="s">
        <v>24</v>
      </c>
      <c r="G13197" s="128" t="str">
        <f>VLOOKUP(source[[#This Row],[lending_product_transform]],[3]Mapping!$B$4:$C$37,2,0)</f>
        <v>[Cake] - Cashloan</v>
      </c>
      <c r="H13197" s="128" t="str">
        <f>VLOOKUP(source[[#This Row],[lending_product_transform]],[3]Mapping!$B$3:$D$37,3,0)</f>
        <v>cashloan</v>
      </c>
      <c r="I13197" s="137">
        <v>15750000</v>
      </c>
    </row>
    <row r="13198" spans="1:9" x14ac:dyDescent="0.2">
      <c r="A13198" s="134">
        <v>46075</v>
      </c>
      <c r="B13198" s="135">
        <f>YEAR(source[[#This Row],[report_date]])</f>
        <v>2026</v>
      </c>
      <c r="C13198" s="128">
        <f t="shared" si="617"/>
        <v>2</v>
      </c>
      <c r="D13198" s="136">
        <f t="shared" si="616"/>
        <v>8</v>
      </c>
      <c r="E13198" s="136">
        <f t="shared" si="618"/>
        <v>22</v>
      </c>
      <c r="F13198" s="137" t="s">
        <v>24</v>
      </c>
      <c r="G13198" s="128" t="str">
        <f>VLOOKUP(source[[#This Row],[lending_product_transform]],[3]Mapping!$B$4:$C$37,2,0)</f>
        <v>[Cake] - Cashloan</v>
      </c>
      <c r="H13198" s="128" t="str">
        <f>VLOOKUP(source[[#This Row],[lending_product_transform]],[3]Mapping!$B$3:$D$37,3,0)</f>
        <v>cashloan</v>
      </c>
      <c r="I13198" s="137">
        <v>0</v>
      </c>
    </row>
    <row r="13199" spans="1:9" x14ac:dyDescent="0.2">
      <c r="A13199" s="134">
        <v>46075</v>
      </c>
      <c r="B13199" s="135">
        <f>YEAR(source[[#This Row],[report_date]])</f>
        <v>2026</v>
      </c>
      <c r="C13199" s="128">
        <f t="shared" si="617"/>
        <v>2</v>
      </c>
      <c r="D13199" s="136">
        <f t="shared" si="616"/>
        <v>8</v>
      </c>
      <c r="E13199" s="136">
        <f t="shared" si="618"/>
        <v>22</v>
      </c>
      <c r="F13199" s="137" t="s">
        <v>24</v>
      </c>
      <c r="G13199" s="128" t="str">
        <f>VLOOKUP(source[[#This Row],[lending_product_transform]],[3]Mapping!$B$4:$C$37,2,0)</f>
        <v>[Cake] - Cashloan</v>
      </c>
      <c r="H13199" s="128" t="str">
        <f>VLOOKUP(source[[#This Row],[lending_product_transform]],[3]Mapping!$B$3:$D$37,3,0)</f>
        <v>cashloan</v>
      </c>
      <c r="I13199" s="137">
        <v>7908400000</v>
      </c>
    </row>
    <row r="13200" spans="1:9" x14ac:dyDescent="0.2">
      <c r="A13200" s="134">
        <v>46075</v>
      </c>
      <c r="B13200" s="135">
        <f>YEAR(source[[#This Row],[report_date]])</f>
        <v>2026</v>
      </c>
      <c r="C13200" s="128">
        <f t="shared" si="617"/>
        <v>2</v>
      </c>
      <c r="D13200" s="136">
        <f t="shared" si="616"/>
        <v>8</v>
      </c>
      <c r="E13200" s="136">
        <f t="shared" si="618"/>
        <v>22</v>
      </c>
      <c r="F13200" s="137" t="s">
        <v>24</v>
      </c>
      <c r="G13200" s="128" t="str">
        <f>VLOOKUP(source[[#This Row],[lending_product_transform]],[3]Mapping!$B$4:$C$37,2,0)</f>
        <v>[Cake] - Cashloan</v>
      </c>
      <c r="H13200" s="128" t="str">
        <f>VLOOKUP(source[[#This Row],[lending_product_transform]],[3]Mapping!$B$3:$D$37,3,0)</f>
        <v>cashloan</v>
      </c>
      <c r="I13200" s="137">
        <v>0</v>
      </c>
    </row>
    <row r="13201" spans="1:9" x14ac:dyDescent="0.2">
      <c r="A13201" s="134">
        <v>46075</v>
      </c>
      <c r="B13201" s="135">
        <f>YEAR(source[[#This Row],[report_date]])</f>
        <v>2026</v>
      </c>
      <c r="C13201" s="128">
        <f t="shared" si="617"/>
        <v>2</v>
      </c>
      <c r="D13201" s="136">
        <f t="shared" ref="D13201:D13264" si="619">WEEKNUM(A13201,2)</f>
        <v>8</v>
      </c>
      <c r="E13201" s="136">
        <f t="shared" si="618"/>
        <v>22</v>
      </c>
      <c r="F13201" s="137" t="s">
        <v>24</v>
      </c>
      <c r="G13201" s="128" t="str">
        <f>VLOOKUP(source[[#This Row],[lending_product_transform]],[3]Mapping!$B$4:$C$37,2,0)</f>
        <v>[Cake] - Cashloan</v>
      </c>
      <c r="H13201" s="128" t="str">
        <f>VLOOKUP(source[[#This Row],[lending_product_transform]],[3]Mapping!$B$3:$D$37,3,0)</f>
        <v>cashloan</v>
      </c>
      <c r="I13201" s="137">
        <v>0</v>
      </c>
    </row>
    <row r="13202" spans="1:9" x14ac:dyDescent="0.2">
      <c r="A13202" s="134">
        <v>46075</v>
      </c>
      <c r="B13202" s="135">
        <f>YEAR(source[[#This Row],[report_date]])</f>
        <v>2026</v>
      </c>
      <c r="C13202" s="128">
        <f t="shared" si="617"/>
        <v>2</v>
      </c>
      <c r="D13202" s="136">
        <f t="shared" si="619"/>
        <v>8</v>
      </c>
      <c r="E13202" s="136">
        <f t="shared" si="618"/>
        <v>22</v>
      </c>
      <c r="F13202" s="137" t="s">
        <v>24</v>
      </c>
      <c r="G13202" s="128" t="str">
        <f>VLOOKUP(source[[#This Row],[lending_product_transform]],[3]Mapping!$B$4:$C$37,2,0)</f>
        <v>[Cake] - Cashloan</v>
      </c>
      <c r="H13202" s="128" t="str">
        <f>VLOOKUP(source[[#This Row],[lending_product_transform]],[3]Mapping!$B$3:$D$37,3,0)</f>
        <v>cashloan</v>
      </c>
      <c r="I13202" s="137">
        <v>0</v>
      </c>
    </row>
    <row r="13203" spans="1:9" x14ac:dyDescent="0.2">
      <c r="A13203" s="134">
        <v>46075</v>
      </c>
      <c r="B13203" s="135">
        <f>YEAR(source[[#This Row],[report_date]])</f>
        <v>2026</v>
      </c>
      <c r="C13203" s="128">
        <f t="shared" si="617"/>
        <v>2</v>
      </c>
      <c r="D13203" s="136">
        <f t="shared" si="619"/>
        <v>8</v>
      </c>
      <c r="E13203" s="136">
        <f t="shared" si="618"/>
        <v>22</v>
      </c>
      <c r="F13203" s="137" t="s">
        <v>24</v>
      </c>
      <c r="G13203" s="128" t="str">
        <f>VLOOKUP(source[[#This Row],[lending_product_transform]],[3]Mapping!$B$4:$C$37,2,0)</f>
        <v>[Cake] - Cashloan</v>
      </c>
      <c r="H13203" s="128" t="str">
        <f>VLOOKUP(source[[#This Row],[lending_product_transform]],[3]Mapping!$B$3:$D$37,3,0)</f>
        <v>cashloan</v>
      </c>
      <c r="I13203" s="137">
        <v>0</v>
      </c>
    </row>
    <row r="13204" spans="1:9" x14ac:dyDescent="0.2">
      <c r="A13204" s="134">
        <v>46075</v>
      </c>
      <c r="B13204" s="135">
        <f>YEAR(source[[#This Row],[report_date]])</f>
        <v>2026</v>
      </c>
      <c r="C13204" s="128">
        <f t="shared" si="617"/>
        <v>2</v>
      </c>
      <c r="D13204" s="136">
        <f t="shared" si="619"/>
        <v>8</v>
      </c>
      <c r="E13204" s="136">
        <f t="shared" si="618"/>
        <v>22</v>
      </c>
      <c r="F13204" s="137" t="s">
        <v>24</v>
      </c>
      <c r="G13204" s="128" t="str">
        <f>VLOOKUP(source[[#This Row],[lending_product_transform]],[3]Mapping!$B$4:$C$37,2,0)</f>
        <v>[Cake] - Cashloan</v>
      </c>
      <c r="H13204" s="128" t="str">
        <f>VLOOKUP(source[[#This Row],[lending_product_transform]],[3]Mapping!$B$3:$D$37,3,0)</f>
        <v>cashloan</v>
      </c>
      <c r="I13204" s="137">
        <v>8930412000</v>
      </c>
    </row>
    <row r="13205" spans="1:9" x14ac:dyDescent="0.2">
      <c r="A13205" s="134">
        <v>46075</v>
      </c>
      <c r="B13205" s="135">
        <f>YEAR(source[[#This Row],[report_date]])</f>
        <v>2026</v>
      </c>
      <c r="C13205" s="128">
        <f t="shared" si="617"/>
        <v>2</v>
      </c>
      <c r="D13205" s="136">
        <f t="shared" si="619"/>
        <v>8</v>
      </c>
      <c r="E13205" s="136">
        <f t="shared" si="618"/>
        <v>22</v>
      </c>
      <c r="F13205" s="137" t="s">
        <v>24</v>
      </c>
      <c r="G13205" s="128" t="str">
        <f>VLOOKUP(source[[#This Row],[lending_product_transform]],[3]Mapping!$B$4:$C$37,2,0)</f>
        <v>[Cake] - Cashloan</v>
      </c>
      <c r="H13205" s="128" t="str">
        <f>VLOOKUP(source[[#This Row],[lending_product_transform]],[3]Mapping!$B$3:$D$37,3,0)</f>
        <v>cashloan</v>
      </c>
      <c r="I13205" s="137">
        <v>129829872</v>
      </c>
    </row>
    <row r="13206" spans="1:9" x14ac:dyDescent="0.2">
      <c r="A13206" s="134">
        <v>46075</v>
      </c>
      <c r="B13206" s="135">
        <f>YEAR(source[[#This Row],[report_date]])</f>
        <v>2026</v>
      </c>
      <c r="C13206" s="128">
        <f t="shared" si="617"/>
        <v>2</v>
      </c>
      <c r="D13206" s="136">
        <f t="shared" si="619"/>
        <v>8</v>
      </c>
      <c r="E13206" s="136">
        <f t="shared" si="618"/>
        <v>22</v>
      </c>
      <c r="F13206" s="137" t="s">
        <v>24</v>
      </c>
      <c r="G13206" s="128" t="str">
        <f>VLOOKUP(source[[#This Row],[lending_product_transform]],[3]Mapping!$B$4:$C$37,2,0)</f>
        <v>[Cake] - Cashloan</v>
      </c>
      <c r="H13206" s="128" t="str">
        <f>VLOOKUP(source[[#This Row],[lending_product_transform]],[3]Mapping!$B$3:$D$37,3,0)</f>
        <v>cashloan</v>
      </c>
      <c r="I13206" s="137">
        <v>109250000</v>
      </c>
    </row>
    <row r="13207" spans="1:9" x14ac:dyDescent="0.2">
      <c r="A13207" s="134">
        <v>46075</v>
      </c>
      <c r="B13207" s="135">
        <f>YEAR(source[[#This Row],[report_date]])</f>
        <v>2026</v>
      </c>
      <c r="C13207" s="128">
        <f t="shared" si="617"/>
        <v>2</v>
      </c>
      <c r="D13207" s="136">
        <f t="shared" si="619"/>
        <v>8</v>
      </c>
      <c r="E13207" s="136">
        <f t="shared" si="618"/>
        <v>22</v>
      </c>
      <c r="F13207" s="137" t="s">
        <v>24</v>
      </c>
      <c r="G13207" s="128" t="str">
        <f>VLOOKUP(source[[#This Row],[lending_product_transform]],[3]Mapping!$B$4:$C$37,2,0)</f>
        <v>[Cake] - Cashloan</v>
      </c>
      <c r="H13207" s="128" t="str">
        <f>VLOOKUP(source[[#This Row],[lending_product_transform]],[3]Mapping!$B$3:$D$37,3,0)</f>
        <v>cashloan</v>
      </c>
      <c r="I13207" s="137">
        <v>52000000</v>
      </c>
    </row>
    <row r="13208" spans="1:9" x14ac:dyDescent="0.2">
      <c r="A13208" s="134">
        <v>46075</v>
      </c>
      <c r="B13208" s="135">
        <f>YEAR(source[[#This Row],[report_date]])</f>
        <v>2026</v>
      </c>
      <c r="C13208" s="128">
        <f t="shared" si="617"/>
        <v>2</v>
      </c>
      <c r="D13208" s="136">
        <f t="shared" si="619"/>
        <v>8</v>
      </c>
      <c r="E13208" s="136">
        <f t="shared" si="618"/>
        <v>22</v>
      </c>
      <c r="F13208" s="137" t="s">
        <v>24</v>
      </c>
      <c r="G13208" s="128" t="str">
        <f>VLOOKUP(source[[#This Row],[lending_product_transform]],[3]Mapping!$B$4:$C$37,2,0)</f>
        <v>[Cake] - Cashloan</v>
      </c>
      <c r="H13208" s="128" t="str">
        <f>VLOOKUP(source[[#This Row],[lending_product_transform]],[3]Mapping!$B$3:$D$37,3,0)</f>
        <v>cashloan</v>
      </c>
      <c r="I13208" s="137">
        <v>500160000</v>
      </c>
    </row>
    <row r="13209" spans="1:9" x14ac:dyDescent="0.2">
      <c r="A13209" s="134">
        <v>46075</v>
      </c>
      <c r="B13209" s="135">
        <f>YEAR(source[[#This Row],[report_date]])</f>
        <v>2026</v>
      </c>
      <c r="C13209" s="128">
        <f t="shared" si="617"/>
        <v>2</v>
      </c>
      <c r="D13209" s="136">
        <f t="shared" si="619"/>
        <v>8</v>
      </c>
      <c r="E13209" s="136">
        <f t="shared" si="618"/>
        <v>22</v>
      </c>
      <c r="F13209" s="137" t="s">
        <v>24</v>
      </c>
      <c r="G13209" s="128" t="str">
        <f>VLOOKUP(source[[#This Row],[lending_product_transform]],[3]Mapping!$B$4:$C$37,2,0)</f>
        <v>[Cake] - Cashloan</v>
      </c>
      <c r="H13209" s="128" t="str">
        <f>VLOOKUP(source[[#This Row],[lending_product_transform]],[3]Mapping!$B$3:$D$37,3,0)</f>
        <v>cashloan</v>
      </c>
      <c r="I13209" s="137">
        <v>269352000</v>
      </c>
    </row>
    <row r="13210" spans="1:9" x14ac:dyDescent="0.2">
      <c r="A13210" s="134">
        <v>46075</v>
      </c>
      <c r="B13210" s="135">
        <f>YEAR(source[[#This Row],[report_date]])</f>
        <v>2026</v>
      </c>
      <c r="C13210" s="128">
        <f t="shared" si="617"/>
        <v>2</v>
      </c>
      <c r="D13210" s="136">
        <f t="shared" si="619"/>
        <v>8</v>
      </c>
      <c r="E13210" s="136">
        <f t="shared" si="618"/>
        <v>22</v>
      </c>
      <c r="F13210" s="137" t="s">
        <v>24</v>
      </c>
      <c r="G13210" s="128" t="str">
        <f>VLOOKUP(source[[#This Row],[lending_product_transform]],[3]Mapping!$B$4:$C$37,2,0)</f>
        <v>[Cake] - Cashloan</v>
      </c>
      <c r="H13210" s="128" t="str">
        <f>VLOOKUP(source[[#This Row],[lending_product_transform]],[3]Mapping!$B$3:$D$37,3,0)</f>
        <v>cashloan</v>
      </c>
      <c r="I13210" s="137">
        <v>244266863</v>
      </c>
    </row>
    <row r="13211" spans="1:9" x14ac:dyDescent="0.2">
      <c r="A13211" s="134">
        <v>46075</v>
      </c>
      <c r="B13211" s="135">
        <f>YEAR(source[[#This Row],[report_date]])</f>
        <v>2026</v>
      </c>
      <c r="C13211" s="128">
        <f t="shared" si="617"/>
        <v>2</v>
      </c>
      <c r="D13211" s="136">
        <f t="shared" si="619"/>
        <v>8</v>
      </c>
      <c r="E13211" s="136">
        <f t="shared" si="618"/>
        <v>22</v>
      </c>
      <c r="F13211" s="137" t="s">
        <v>24</v>
      </c>
      <c r="G13211" s="128" t="str">
        <f>VLOOKUP(source[[#This Row],[lending_product_transform]],[3]Mapping!$B$4:$C$37,2,0)</f>
        <v>[Cake] - Cashloan</v>
      </c>
      <c r="H13211" s="128" t="str">
        <f>VLOOKUP(source[[#This Row],[lending_product_transform]],[3]Mapping!$B$3:$D$37,3,0)</f>
        <v>cashloan</v>
      </c>
      <c r="I13211" s="137">
        <v>1462680000</v>
      </c>
    </row>
    <row r="13212" spans="1:9" x14ac:dyDescent="0.2">
      <c r="A13212" s="134">
        <v>46075</v>
      </c>
      <c r="B13212" s="135">
        <f>YEAR(source[[#This Row],[report_date]])</f>
        <v>2026</v>
      </c>
      <c r="C13212" s="128">
        <f t="shared" si="617"/>
        <v>2</v>
      </c>
      <c r="D13212" s="136">
        <f t="shared" si="619"/>
        <v>8</v>
      </c>
      <c r="E13212" s="136">
        <f t="shared" si="618"/>
        <v>22</v>
      </c>
      <c r="F13212" s="137" t="s">
        <v>24</v>
      </c>
      <c r="G13212" s="128" t="str">
        <f>VLOOKUP(source[[#This Row],[lending_product_transform]],[3]Mapping!$B$4:$C$37,2,0)</f>
        <v>[Cake] - Cashloan</v>
      </c>
      <c r="H13212" s="128" t="str">
        <f>VLOOKUP(source[[#This Row],[lending_product_transform]],[3]Mapping!$B$3:$D$37,3,0)</f>
        <v>cashloan</v>
      </c>
      <c r="I13212" s="137">
        <v>354240000</v>
      </c>
    </row>
    <row r="13213" spans="1:9" x14ac:dyDescent="0.2">
      <c r="A13213" s="134">
        <v>46076</v>
      </c>
      <c r="B13213" s="135">
        <f>YEAR(source[[#This Row],[report_date]])</f>
        <v>2026</v>
      </c>
      <c r="C13213" s="128">
        <f t="shared" si="617"/>
        <v>2</v>
      </c>
      <c r="D13213" s="136">
        <f t="shared" si="619"/>
        <v>9</v>
      </c>
      <c r="E13213" s="136">
        <f t="shared" si="618"/>
        <v>23</v>
      </c>
      <c r="F13213" s="137" t="s">
        <v>24</v>
      </c>
      <c r="G13213" s="128" t="str">
        <f>VLOOKUP(source[[#This Row],[lending_product_transform]],[3]Mapping!$B$4:$C$37,2,0)</f>
        <v>[Cake] - Cashloan</v>
      </c>
      <c r="H13213" s="128" t="str">
        <f>VLOOKUP(source[[#This Row],[lending_product_transform]],[3]Mapping!$B$3:$D$37,3,0)</f>
        <v>cashloan</v>
      </c>
      <c r="I13213" s="143">
        <v>456650000</v>
      </c>
    </row>
    <row r="13214" spans="1:9" x14ac:dyDescent="0.2">
      <c r="A13214" s="134">
        <v>46076</v>
      </c>
      <c r="B13214" s="135">
        <f>YEAR(source[[#This Row],[report_date]])</f>
        <v>2026</v>
      </c>
      <c r="C13214" s="128">
        <f t="shared" si="617"/>
        <v>2</v>
      </c>
      <c r="D13214" s="136">
        <f t="shared" si="619"/>
        <v>9</v>
      </c>
      <c r="E13214" s="136">
        <f t="shared" si="618"/>
        <v>23</v>
      </c>
      <c r="F13214" s="137" t="s">
        <v>24</v>
      </c>
      <c r="G13214" s="128" t="str">
        <f>VLOOKUP(source[[#This Row],[lending_product_transform]],[3]Mapping!$B$4:$C$37,2,0)</f>
        <v>[Cake] - Cashloan</v>
      </c>
      <c r="H13214" s="128" t="str">
        <f>VLOOKUP(source[[#This Row],[lending_product_transform]],[3]Mapping!$B$3:$D$37,3,0)</f>
        <v>cashloan</v>
      </c>
      <c r="I13214" s="143">
        <v>283424694</v>
      </c>
    </row>
    <row r="13215" spans="1:9" x14ac:dyDescent="0.2">
      <c r="A13215" s="134">
        <v>46076</v>
      </c>
      <c r="B13215" s="135">
        <f>YEAR(source[[#This Row],[report_date]])</f>
        <v>2026</v>
      </c>
      <c r="C13215" s="128">
        <f t="shared" si="617"/>
        <v>2</v>
      </c>
      <c r="D13215" s="136">
        <f t="shared" si="619"/>
        <v>9</v>
      </c>
      <c r="E13215" s="136">
        <f t="shared" si="618"/>
        <v>23</v>
      </c>
      <c r="F13215" s="137" t="s">
        <v>24</v>
      </c>
      <c r="G13215" s="128" t="str">
        <f>VLOOKUP(source[[#This Row],[lending_product_transform]],[3]Mapping!$B$4:$C$37,2,0)</f>
        <v>[Cake] - Cashloan</v>
      </c>
      <c r="H13215" s="128" t="str">
        <f>VLOOKUP(source[[#This Row],[lending_product_transform]],[3]Mapping!$B$3:$D$37,3,0)</f>
        <v>cashloan</v>
      </c>
      <c r="I13215" s="143">
        <v>10136260000</v>
      </c>
    </row>
    <row r="13216" spans="1:9" x14ac:dyDescent="0.2">
      <c r="A13216" s="134">
        <v>46076</v>
      </c>
      <c r="B13216" s="135">
        <f>YEAR(source[[#This Row],[report_date]])</f>
        <v>2026</v>
      </c>
      <c r="C13216" s="128">
        <f t="shared" si="617"/>
        <v>2</v>
      </c>
      <c r="D13216" s="136">
        <f t="shared" si="619"/>
        <v>9</v>
      </c>
      <c r="E13216" s="136">
        <f t="shared" si="618"/>
        <v>23</v>
      </c>
      <c r="F13216" s="137" t="s">
        <v>24</v>
      </c>
      <c r="G13216" s="128" t="str">
        <f>VLOOKUP(source[[#This Row],[lending_product_transform]],[3]Mapping!$B$4:$C$37,2,0)</f>
        <v>[Cake] - Cashloan</v>
      </c>
      <c r="H13216" s="128" t="str">
        <f>VLOOKUP(source[[#This Row],[lending_product_transform]],[3]Mapping!$B$3:$D$37,3,0)</f>
        <v>cashloan</v>
      </c>
      <c r="I13216" s="143">
        <v>2180900609</v>
      </c>
    </row>
    <row r="13217" spans="1:9" x14ac:dyDescent="0.2">
      <c r="A13217" s="134">
        <v>46076</v>
      </c>
      <c r="B13217" s="135">
        <f>YEAR(source[[#This Row],[report_date]])</f>
        <v>2026</v>
      </c>
      <c r="C13217" s="128">
        <f t="shared" si="617"/>
        <v>2</v>
      </c>
      <c r="D13217" s="136">
        <f t="shared" si="619"/>
        <v>9</v>
      </c>
      <c r="E13217" s="136">
        <f t="shared" si="618"/>
        <v>23</v>
      </c>
      <c r="F13217" s="137" t="s">
        <v>24</v>
      </c>
      <c r="G13217" s="128" t="str">
        <f>VLOOKUP(source[[#This Row],[lending_product_transform]],[3]Mapping!$B$4:$C$37,2,0)</f>
        <v>[Cake] - Cashloan</v>
      </c>
      <c r="H13217" s="128" t="str">
        <f>VLOOKUP(source[[#This Row],[lending_product_transform]],[3]Mapping!$B$3:$D$37,3,0)</f>
        <v>cashloan</v>
      </c>
      <c r="I13217" s="143">
        <v>18643608000</v>
      </c>
    </row>
    <row r="13218" spans="1:9" x14ac:dyDescent="0.2">
      <c r="A13218" s="134">
        <v>46076</v>
      </c>
      <c r="B13218" s="135">
        <f>YEAR(source[[#This Row],[report_date]])</f>
        <v>2026</v>
      </c>
      <c r="C13218" s="128">
        <f t="shared" si="617"/>
        <v>2</v>
      </c>
      <c r="D13218" s="136">
        <f t="shared" si="619"/>
        <v>9</v>
      </c>
      <c r="E13218" s="136">
        <f t="shared" si="618"/>
        <v>23</v>
      </c>
      <c r="F13218" s="137" t="s">
        <v>24</v>
      </c>
      <c r="G13218" s="128" t="str">
        <f>VLOOKUP(source[[#This Row],[lending_product_transform]],[3]Mapping!$B$4:$C$37,2,0)</f>
        <v>[Cake] - Cashloan</v>
      </c>
      <c r="H13218" s="128" t="str">
        <f>VLOOKUP(source[[#This Row],[lending_product_transform]],[3]Mapping!$B$3:$D$37,3,0)</f>
        <v>cashloan</v>
      </c>
      <c r="I13218" s="143">
        <v>8811023</v>
      </c>
    </row>
    <row r="13219" spans="1:9" x14ac:dyDescent="0.2">
      <c r="A13219" s="134">
        <v>46076</v>
      </c>
      <c r="B13219" s="135">
        <f>YEAR(source[[#This Row],[report_date]])</f>
        <v>2026</v>
      </c>
      <c r="C13219" s="128">
        <f t="shared" si="617"/>
        <v>2</v>
      </c>
      <c r="D13219" s="136">
        <f t="shared" si="619"/>
        <v>9</v>
      </c>
      <c r="E13219" s="136">
        <f t="shared" si="618"/>
        <v>23</v>
      </c>
      <c r="F13219" s="137" t="s">
        <v>24</v>
      </c>
      <c r="G13219" s="128" t="str">
        <f>VLOOKUP(source[[#This Row],[lending_product_transform]],[3]Mapping!$B$4:$C$37,2,0)</f>
        <v>[Cake] - Cashloan</v>
      </c>
      <c r="H13219" s="128" t="str">
        <f>VLOOKUP(source[[#This Row],[lending_product_transform]],[3]Mapping!$B$3:$D$37,3,0)</f>
        <v>cashloan</v>
      </c>
      <c r="I13219" s="143">
        <v>0</v>
      </c>
    </row>
    <row r="13220" spans="1:9" x14ac:dyDescent="0.2">
      <c r="A13220" s="134">
        <v>46076</v>
      </c>
      <c r="B13220" s="135">
        <f>YEAR(source[[#This Row],[report_date]])</f>
        <v>2026</v>
      </c>
      <c r="C13220" s="128">
        <f t="shared" si="617"/>
        <v>2</v>
      </c>
      <c r="D13220" s="136">
        <f t="shared" si="619"/>
        <v>9</v>
      </c>
      <c r="E13220" s="136">
        <f t="shared" si="618"/>
        <v>23</v>
      </c>
      <c r="F13220" s="137" t="s">
        <v>24</v>
      </c>
      <c r="G13220" s="128" t="str">
        <f>VLOOKUP(source[[#This Row],[lending_product_transform]],[3]Mapping!$B$4:$C$37,2,0)</f>
        <v>[Cake] - Cashloan</v>
      </c>
      <c r="H13220" s="128" t="str">
        <f>VLOOKUP(source[[#This Row],[lending_product_transform]],[3]Mapping!$B$3:$D$37,3,0)</f>
        <v>cashloan</v>
      </c>
      <c r="I13220" s="143">
        <v>2430000000</v>
      </c>
    </row>
    <row r="13221" spans="1:9" x14ac:dyDescent="0.2">
      <c r="A13221" s="134">
        <v>46076</v>
      </c>
      <c r="B13221" s="135">
        <f>YEAR(source[[#This Row],[report_date]])</f>
        <v>2026</v>
      </c>
      <c r="C13221" s="128">
        <f t="shared" si="617"/>
        <v>2</v>
      </c>
      <c r="D13221" s="136">
        <f t="shared" si="619"/>
        <v>9</v>
      </c>
      <c r="E13221" s="136">
        <f t="shared" si="618"/>
        <v>23</v>
      </c>
      <c r="F13221" s="137" t="s">
        <v>24</v>
      </c>
      <c r="G13221" s="128" t="str">
        <f>VLOOKUP(source[[#This Row],[lending_product_transform]],[3]Mapping!$B$4:$C$37,2,0)</f>
        <v>[Cake] - Cashloan</v>
      </c>
      <c r="H13221" s="128" t="str">
        <f>VLOOKUP(source[[#This Row],[lending_product_transform]],[3]Mapping!$B$3:$D$37,3,0)</f>
        <v>cashloan</v>
      </c>
      <c r="I13221" s="143">
        <v>669890000</v>
      </c>
    </row>
    <row r="13222" spans="1:9" x14ac:dyDescent="0.2">
      <c r="A13222" s="134">
        <v>46076</v>
      </c>
      <c r="B13222" s="135">
        <f>YEAR(source[[#This Row],[report_date]])</f>
        <v>2026</v>
      </c>
      <c r="C13222" s="128">
        <f t="shared" si="617"/>
        <v>2</v>
      </c>
      <c r="D13222" s="136">
        <f t="shared" si="619"/>
        <v>9</v>
      </c>
      <c r="E13222" s="136">
        <f t="shared" si="618"/>
        <v>23</v>
      </c>
      <c r="F13222" s="137" t="s">
        <v>24</v>
      </c>
      <c r="G13222" s="128" t="str">
        <f>VLOOKUP(source[[#This Row],[lending_product_transform]],[3]Mapping!$B$4:$C$37,2,0)</f>
        <v>[Cake] - Cashloan</v>
      </c>
      <c r="H13222" s="128" t="str">
        <f>VLOOKUP(source[[#This Row],[lending_product_transform]],[3]Mapping!$B$3:$D$37,3,0)</f>
        <v>cashloan</v>
      </c>
      <c r="I13222" s="143">
        <v>7807533</v>
      </c>
    </row>
    <row r="13223" spans="1:9" x14ac:dyDescent="0.2">
      <c r="A13223" s="134">
        <v>46076</v>
      </c>
      <c r="B13223" s="135">
        <f>YEAR(source[[#This Row],[report_date]])</f>
        <v>2026</v>
      </c>
      <c r="C13223" s="128">
        <f t="shared" si="617"/>
        <v>2</v>
      </c>
      <c r="D13223" s="136">
        <f t="shared" si="619"/>
        <v>9</v>
      </c>
      <c r="E13223" s="136">
        <f t="shared" si="618"/>
        <v>23</v>
      </c>
      <c r="F13223" s="137" t="s">
        <v>24</v>
      </c>
      <c r="G13223" s="128" t="str">
        <f>VLOOKUP(source[[#This Row],[lending_product_transform]],[3]Mapping!$B$4:$C$37,2,0)</f>
        <v>[Cake] - Cashloan</v>
      </c>
      <c r="H13223" s="128" t="str">
        <f>VLOOKUP(source[[#This Row],[lending_product_transform]],[3]Mapping!$B$3:$D$37,3,0)</f>
        <v>cashloan</v>
      </c>
      <c r="I13223" s="143">
        <v>1025473591</v>
      </c>
    </row>
    <row r="13224" spans="1:9" x14ac:dyDescent="0.2">
      <c r="A13224" s="134">
        <v>46076</v>
      </c>
      <c r="B13224" s="135">
        <f>YEAR(source[[#This Row],[report_date]])</f>
        <v>2026</v>
      </c>
      <c r="C13224" s="128">
        <f t="shared" si="617"/>
        <v>2</v>
      </c>
      <c r="D13224" s="136">
        <f t="shared" si="619"/>
        <v>9</v>
      </c>
      <c r="E13224" s="136">
        <f t="shared" si="618"/>
        <v>23</v>
      </c>
      <c r="F13224" s="137" t="s">
        <v>24</v>
      </c>
      <c r="G13224" s="128" t="str">
        <f>VLOOKUP(source[[#This Row],[lending_product_transform]],[3]Mapping!$B$4:$C$37,2,0)</f>
        <v>[Cake] - Cashloan</v>
      </c>
      <c r="H13224" s="128" t="str">
        <f>VLOOKUP(source[[#This Row],[lending_product_transform]],[3]Mapping!$B$3:$D$37,3,0)</f>
        <v>cashloan</v>
      </c>
      <c r="I13224" s="143">
        <v>0</v>
      </c>
    </row>
    <row r="13225" spans="1:9" x14ac:dyDescent="0.2">
      <c r="A13225" s="134">
        <v>46076</v>
      </c>
      <c r="B13225" s="135">
        <f>YEAR(source[[#This Row],[report_date]])</f>
        <v>2026</v>
      </c>
      <c r="C13225" s="128">
        <f t="shared" si="617"/>
        <v>2</v>
      </c>
      <c r="D13225" s="136">
        <f t="shared" si="619"/>
        <v>9</v>
      </c>
      <c r="E13225" s="136">
        <f t="shared" si="618"/>
        <v>23</v>
      </c>
      <c r="F13225" s="137" t="s">
        <v>24</v>
      </c>
      <c r="G13225" s="128" t="str">
        <f>VLOOKUP(source[[#This Row],[lending_product_transform]],[3]Mapping!$B$4:$C$37,2,0)</f>
        <v>[Cake] - Cashloan</v>
      </c>
      <c r="H13225" s="128" t="str">
        <f>VLOOKUP(source[[#This Row],[lending_product_transform]],[3]Mapping!$B$3:$D$37,3,0)</f>
        <v>cashloan</v>
      </c>
      <c r="I13225" s="143">
        <v>83000000</v>
      </c>
    </row>
    <row r="13226" spans="1:9" x14ac:dyDescent="0.2">
      <c r="A13226" s="134">
        <v>46076</v>
      </c>
      <c r="B13226" s="135">
        <f>YEAR(source[[#This Row],[report_date]])</f>
        <v>2026</v>
      </c>
      <c r="C13226" s="128">
        <f t="shared" si="617"/>
        <v>2</v>
      </c>
      <c r="D13226" s="136">
        <f t="shared" si="619"/>
        <v>9</v>
      </c>
      <c r="E13226" s="136">
        <f t="shared" si="618"/>
        <v>23</v>
      </c>
      <c r="F13226" s="137" t="s">
        <v>24</v>
      </c>
      <c r="G13226" s="128" t="str">
        <f>VLOOKUP(source[[#This Row],[lending_product_transform]],[3]Mapping!$B$4:$C$37,2,0)</f>
        <v>[Cake] - Cashloan</v>
      </c>
      <c r="H13226" s="128" t="str">
        <f>VLOOKUP(source[[#This Row],[lending_product_transform]],[3]Mapping!$B$3:$D$37,3,0)</f>
        <v>cashloan</v>
      </c>
      <c r="I13226" s="143">
        <v>0</v>
      </c>
    </row>
    <row r="13227" spans="1:9" x14ac:dyDescent="0.2">
      <c r="A13227" s="134">
        <v>46076</v>
      </c>
      <c r="B13227" s="135">
        <f>YEAR(source[[#This Row],[report_date]])</f>
        <v>2026</v>
      </c>
      <c r="C13227" s="128">
        <f t="shared" si="617"/>
        <v>2</v>
      </c>
      <c r="D13227" s="136">
        <f t="shared" si="619"/>
        <v>9</v>
      </c>
      <c r="E13227" s="136">
        <f t="shared" si="618"/>
        <v>23</v>
      </c>
      <c r="F13227" s="137" t="s">
        <v>24</v>
      </c>
      <c r="G13227" s="128" t="str">
        <f>VLOOKUP(source[[#This Row],[lending_product_transform]],[3]Mapping!$B$4:$C$37,2,0)</f>
        <v>[Cake] - Cashloan</v>
      </c>
      <c r="H13227" s="128" t="str">
        <f>VLOOKUP(source[[#This Row],[lending_product_transform]],[3]Mapping!$B$3:$D$37,3,0)</f>
        <v>cashloan</v>
      </c>
      <c r="I13227" s="143">
        <v>10714010000</v>
      </c>
    </row>
    <row r="13228" spans="1:9" x14ac:dyDescent="0.2">
      <c r="A13228" s="134">
        <v>46076</v>
      </c>
      <c r="B13228" s="135">
        <f>YEAR(source[[#This Row],[report_date]])</f>
        <v>2026</v>
      </c>
      <c r="C13228" s="128">
        <f t="shared" si="617"/>
        <v>2</v>
      </c>
      <c r="D13228" s="136">
        <f t="shared" si="619"/>
        <v>9</v>
      </c>
      <c r="E13228" s="136">
        <f t="shared" si="618"/>
        <v>23</v>
      </c>
      <c r="F13228" s="137" t="s">
        <v>24</v>
      </c>
      <c r="G13228" s="128" t="str">
        <f>VLOOKUP(source[[#This Row],[lending_product_transform]],[3]Mapping!$B$4:$C$37,2,0)</f>
        <v>[Cake] - Cashloan</v>
      </c>
      <c r="H13228" s="128" t="str">
        <f>VLOOKUP(source[[#This Row],[lending_product_transform]],[3]Mapping!$B$3:$D$37,3,0)</f>
        <v>cashloan</v>
      </c>
      <c r="I13228" s="143">
        <v>0</v>
      </c>
    </row>
    <row r="13229" spans="1:9" x14ac:dyDescent="0.2">
      <c r="A13229" s="134">
        <v>46076</v>
      </c>
      <c r="B13229" s="135">
        <f>YEAR(source[[#This Row],[report_date]])</f>
        <v>2026</v>
      </c>
      <c r="C13229" s="128">
        <f t="shared" si="617"/>
        <v>2</v>
      </c>
      <c r="D13229" s="136">
        <f t="shared" si="619"/>
        <v>9</v>
      </c>
      <c r="E13229" s="136">
        <f t="shared" si="618"/>
        <v>23</v>
      </c>
      <c r="F13229" s="137" t="s">
        <v>24</v>
      </c>
      <c r="G13229" s="128" t="str">
        <f>VLOOKUP(source[[#This Row],[lending_product_transform]],[3]Mapping!$B$4:$C$37,2,0)</f>
        <v>[Cake] - Cashloan</v>
      </c>
      <c r="H13229" s="128" t="str">
        <f>VLOOKUP(source[[#This Row],[lending_product_transform]],[3]Mapping!$B$3:$D$37,3,0)</f>
        <v>cashloan</v>
      </c>
      <c r="I13229" s="143">
        <v>0</v>
      </c>
    </row>
    <row r="13230" spans="1:9" x14ac:dyDescent="0.2">
      <c r="A13230" s="134">
        <v>46076</v>
      </c>
      <c r="B13230" s="135">
        <f>YEAR(source[[#This Row],[report_date]])</f>
        <v>2026</v>
      </c>
      <c r="C13230" s="128">
        <f t="shared" si="617"/>
        <v>2</v>
      </c>
      <c r="D13230" s="136">
        <f t="shared" si="619"/>
        <v>9</v>
      </c>
      <c r="E13230" s="136">
        <f t="shared" si="618"/>
        <v>23</v>
      </c>
      <c r="F13230" s="137" t="s">
        <v>24</v>
      </c>
      <c r="G13230" s="128" t="str">
        <f>VLOOKUP(source[[#This Row],[lending_product_transform]],[3]Mapping!$B$4:$C$37,2,0)</f>
        <v>[Cake] - Cashloan</v>
      </c>
      <c r="H13230" s="128" t="str">
        <f>VLOOKUP(source[[#This Row],[lending_product_transform]],[3]Mapping!$B$3:$D$37,3,0)</f>
        <v>cashloan</v>
      </c>
      <c r="I13230" s="143">
        <v>0</v>
      </c>
    </row>
    <row r="13231" spans="1:9" x14ac:dyDescent="0.2">
      <c r="A13231" s="134">
        <v>46076</v>
      </c>
      <c r="B13231" s="135">
        <f>YEAR(source[[#This Row],[report_date]])</f>
        <v>2026</v>
      </c>
      <c r="C13231" s="128">
        <f t="shared" si="617"/>
        <v>2</v>
      </c>
      <c r="D13231" s="136">
        <f t="shared" si="619"/>
        <v>9</v>
      </c>
      <c r="E13231" s="136">
        <f t="shared" si="618"/>
        <v>23</v>
      </c>
      <c r="F13231" s="137" t="s">
        <v>24</v>
      </c>
      <c r="G13231" s="128" t="str">
        <f>VLOOKUP(source[[#This Row],[lending_product_transform]],[3]Mapping!$B$4:$C$37,2,0)</f>
        <v>[Cake] - Cashloan</v>
      </c>
      <c r="H13231" s="128" t="str">
        <f>VLOOKUP(source[[#This Row],[lending_product_transform]],[3]Mapping!$B$3:$D$37,3,0)</f>
        <v>cashloan</v>
      </c>
      <c r="I13231" s="143">
        <v>0</v>
      </c>
    </row>
    <row r="13232" spans="1:9" x14ac:dyDescent="0.2">
      <c r="A13232" s="134">
        <v>46076</v>
      </c>
      <c r="B13232" s="135">
        <f>YEAR(source[[#This Row],[report_date]])</f>
        <v>2026</v>
      </c>
      <c r="C13232" s="128">
        <f t="shared" si="617"/>
        <v>2</v>
      </c>
      <c r="D13232" s="136">
        <f t="shared" si="619"/>
        <v>9</v>
      </c>
      <c r="E13232" s="136">
        <f t="shared" si="618"/>
        <v>23</v>
      </c>
      <c r="F13232" s="137" t="s">
        <v>24</v>
      </c>
      <c r="G13232" s="128" t="str">
        <f>VLOOKUP(source[[#This Row],[lending_product_transform]],[3]Mapping!$B$4:$C$37,2,0)</f>
        <v>[Cake] - Cashloan</v>
      </c>
      <c r="H13232" s="128" t="str">
        <f>VLOOKUP(source[[#This Row],[lending_product_transform]],[3]Mapping!$B$3:$D$37,3,0)</f>
        <v>cashloan</v>
      </c>
      <c r="I13232" s="143">
        <v>11487204000</v>
      </c>
    </row>
    <row r="13233" spans="1:9" x14ac:dyDescent="0.2">
      <c r="A13233" s="134">
        <v>46076</v>
      </c>
      <c r="B13233" s="135">
        <f>YEAR(source[[#This Row],[report_date]])</f>
        <v>2026</v>
      </c>
      <c r="C13233" s="128">
        <f t="shared" si="617"/>
        <v>2</v>
      </c>
      <c r="D13233" s="136">
        <f t="shared" si="619"/>
        <v>9</v>
      </c>
      <c r="E13233" s="136">
        <f t="shared" si="618"/>
        <v>23</v>
      </c>
      <c r="F13233" s="137" t="s">
        <v>24</v>
      </c>
      <c r="G13233" s="128" t="str">
        <f>VLOOKUP(source[[#This Row],[lending_product_transform]],[3]Mapping!$B$4:$C$37,2,0)</f>
        <v>[Cake] - Cashloan</v>
      </c>
      <c r="H13233" s="128" t="str">
        <f>VLOOKUP(source[[#This Row],[lending_product_transform]],[3]Mapping!$B$3:$D$37,3,0)</f>
        <v>cashloan</v>
      </c>
      <c r="I13233" s="143">
        <v>138188824</v>
      </c>
    </row>
    <row r="13234" spans="1:9" x14ac:dyDescent="0.2">
      <c r="A13234" s="134">
        <v>46076</v>
      </c>
      <c r="B13234" s="135">
        <f>YEAR(source[[#This Row],[report_date]])</f>
        <v>2026</v>
      </c>
      <c r="C13234" s="128">
        <f t="shared" si="617"/>
        <v>2</v>
      </c>
      <c r="D13234" s="136">
        <f t="shared" si="619"/>
        <v>9</v>
      </c>
      <c r="E13234" s="136">
        <f t="shared" si="618"/>
        <v>23</v>
      </c>
      <c r="F13234" s="137" t="s">
        <v>24</v>
      </c>
      <c r="G13234" s="128" t="str">
        <f>VLOOKUP(source[[#This Row],[lending_product_transform]],[3]Mapping!$B$4:$C$37,2,0)</f>
        <v>[Cake] - Cashloan</v>
      </c>
      <c r="H13234" s="128" t="str">
        <f>VLOOKUP(source[[#This Row],[lending_product_transform]],[3]Mapping!$B$3:$D$37,3,0)</f>
        <v>cashloan</v>
      </c>
      <c r="I13234" s="143">
        <v>52500000</v>
      </c>
    </row>
    <row r="13235" spans="1:9" x14ac:dyDescent="0.2">
      <c r="A13235" s="134">
        <v>46076</v>
      </c>
      <c r="B13235" s="135">
        <f>YEAR(source[[#This Row],[report_date]])</f>
        <v>2026</v>
      </c>
      <c r="C13235" s="128">
        <f t="shared" si="617"/>
        <v>2</v>
      </c>
      <c r="D13235" s="136">
        <f t="shared" si="619"/>
        <v>9</v>
      </c>
      <c r="E13235" s="136">
        <f t="shared" si="618"/>
        <v>23</v>
      </c>
      <c r="F13235" s="137" t="s">
        <v>24</v>
      </c>
      <c r="G13235" s="128" t="str">
        <f>VLOOKUP(source[[#This Row],[lending_product_transform]],[3]Mapping!$B$4:$C$37,2,0)</f>
        <v>[Cake] - Cashloan</v>
      </c>
      <c r="H13235" s="128" t="str">
        <f>VLOOKUP(source[[#This Row],[lending_product_transform]],[3]Mapping!$B$3:$D$37,3,0)</f>
        <v>cashloan</v>
      </c>
      <c r="I13235" s="143">
        <v>43000000</v>
      </c>
    </row>
    <row r="13236" spans="1:9" x14ac:dyDescent="0.2">
      <c r="A13236" s="134">
        <v>46076</v>
      </c>
      <c r="B13236" s="135">
        <f>YEAR(source[[#This Row],[report_date]])</f>
        <v>2026</v>
      </c>
      <c r="C13236" s="128">
        <f t="shared" si="617"/>
        <v>2</v>
      </c>
      <c r="D13236" s="136">
        <f t="shared" si="619"/>
        <v>9</v>
      </c>
      <c r="E13236" s="136">
        <f t="shared" si="618"/>
        <v>23</v>
      </c>
      <c r="F13236" s="137" t="s">
        <v>24</v>
      </c>
      <c r="G13236" s="128" t="str">
        <f>VLOOKUP(source[[#This Row],[lending_product_transform]],[3]Mapping!$B$4:$C$37,2,0)</f>
        <v>[Cake] - Cashloan</v>
      </c>
      <c r="H13236" s="128" t="str">
        <f>VLOOKUP(source[[#This Row],[lending_product_transform]],[3]Mapping!$B$3:$D$37,3,0)</f>
        <v>cashloan</v>
      </c>
      <c r="I13236" s="143">
        <v>756400000</v>
      </c>
    </row>
    <row r="13237" spans="1:9" x14ac:dyDescent="0.2">
      <c r="A13237" s="134">
        <v>46076</v>
      </c>
      <c r="B13237" s="135">
        <f>YEAR(source[[#This Row],[report_date]])</f>
        <v>2026</v>
      </c>
      <c r="C13237" s="128">
        <f t="shared" si="617"/>
        <v>2</v>
      </c>
      <c r="D13237" s="136">
        <f t="shared" si="619"/>
        <v>9</v>
      </c>
      <c r="E13237" s="136">
        <f t="shared" si="618"/>
        <v>23</v>
      </c>
      <c r="F13237" s="137" t="s">
        <v>24</v>
      </c>
      <c r="G13237" s="128" t="str">
        <f>VLOOKUP(source[[#This Row],[lending_product_transform]],[3]Mapping!$B$4:$C$37,2,0)</f>
        <v>[Cake] - Cashloan</v>
      </c>
      <c r="H13237" s="128" t="str">
        <f>VLOOKUP(source[[#This Row],[lending_product_transform]],[3]Mapping!$B$3:$D$37,3,0)</f>
        <v>cashloan</v>
      </c>
      <c r="I13237" s="143">
        <v>392580000</v>
      </c>
    </row>
    <row r="13238" spans="1:9" x14ac:dyDescent="0.2">
      <c r="A13238" s="134">
        <v>46076</v>
      </c>
      <c r="B13238" s="135">
        <f>YEAR(source[[#This Row],[report_date]])</f>
        <v>2026</v>
      </c>
      <c r="C13238" s="128">
        <f t="shared" ref="C13238:C13301" si="620">MONTH(A13238)</f>
        <v>2</v>
      </c>
      <c r="D13238" s="136">
        <f t="shared" si="619"/>
        <v>9</v>
      </c>
      <c r="E13238" s="136">
        <f t="shared" ref="E13238:E13301" si="621">DAY(A13238)</f>
        <v>23</v>
      </c>
      <c r="F13238" s="137" t="s">
        <v>24</v>
      </c>
      <c r="G13238" s="128" t="str">
        <f>VLOOKUP(source[[#This Row],[lending_product_transform]],[3]Mapping!$B$4:$C$37,2,0)</f>
        <v>[Cake] - Cashloan</v>
      </c>
      <c r="H13238" s="128" t="str">
        <f>VLOOKUP(source[[#This Row],[lending_product_transform]],[3]Mapping!$B$3:$D$37,3,0)</f>
        <v>cashloan</v>
      </c>
      <c r="I13238" s="143">
        <v>320598241</v>
      </c>
    </row>
    <row r="13239" spans="1:9" x14ac:dyDescent="0.2">
      <c r="A13239" s="134">
        <v>46076</v>
      </c>
      <c r="B13239" s="135">
        <f>YEAR(source[[#This Row],[report_date]])</f>
        <v>2026</v>
      </c>
      <c r="C13239" s="128">
        <f t="shared" si="620"/>
        <v>2</v>
      </c>
      <c r="D13239" s="136">
        <f t="shared" si="619"/>
        <v>9</v>
      </c>
      <c r="E13239" s="136">
        <f t="shared" si="621"/>
        <v>23</v>
      </c>
      <c r="F13239" s="137" t="s">
        <v>24</v>
      </c>
      <c r="G13239" s="128" t="str">
        <f>VLOOKUP(source[[#This Row],[lending_product_transform]],[3]Mapping!$B$4:$C$37,2,0)</f>
        <v>[Cake] - Cashloan</v>
      </c>
      <c r="H13239" s="128" t="str">
        <f>VLOOKUP(source[[#This Row],[lending_product_transform]],[3]Mapping!$B$3:$D$37,3,0)</f>
        <v>cashloan</v>
      </c>
      <c r="I13239" s="143">
        <v>2024080000</v>
      </c>
    </row>
    <row r="13240" spans="1:9" x14ac:dyDescent="0.2">
      <c r="A13240" s="134">
        <v>46076</v>
      </c>
      <c r="B13240" s="135">
        <f>YEAR(source[[#This Row],[report_date]])</f>
        <v>2026</v>
      </c>
      <c r="C13240" s="128">
        <f t="shared" si="620"/>
        <v>2</v>
      </c>
      <c r="D13240" s="136">
        <f t="shared" si="619"/>
        <v>9</v>
      </c>
      <c r="E13240" s="136">
        <f t="shared" si="621"/>
        <v>23</v>
      </c>
      <c r="F13240" s="137" t="s">
        <v>24</v>
      </c>
      <c r="G13240" s="128" t="str">
        <f>VLOOKUP(source[[#This Row],[lending_product_transform]],[3]Mapping!$B$4:$C$37,2,0)</f>
        <v>[Cake] - Cashloan</v>
      </c>
      <c r="H13240" s="128" t="str">
        <f>VLOOKUP(source[[#This Row],[lending_product_transform]],[3]Mapping!$B$3:$D$37,3,0)</f>
        <v>cashloan</v>
      </c>
      <c r="I13240" s="143">
        <v>357480000</v>
      </c>
    </row>
    <row r="13241" spans="1:9" x14ac:dyDescent="0.2">
      <c r="A13241" s="134">
        <v>46077</v>
      </c>
      <c r="B13241" s="135">
        <f>YEAR(source[[#This Row],[report_date]])</f>
        <v>2026</v>
      </c>
      <c r="C13241" s="128">
        <f t="shared" si="620"/>
        <v>2</v>
      </c>
      <c r="D13241" s="136">
        <f t="shared" si="619"/>
        <v>9</v>
      </c>
      <c r="E13241" s="136">
        <f t="shared" si="621"/>
        <v>24</v>
      </c>
      <c r="F13241" s="137" t="s">
        <v>24</v>
      </c>
      <c r="G13241" s="128" t="str">
        <f>VLOOKUP(source[[#This Row],[lending_product_transform]],[3]Mapping!$B$4:$C$37,2,0)</f>
        <v>[Cake] - Cashloan</v>
      </c>
      <c r="H13241" s="128" t="str">
        <f>VLOOKUP(source[[#This Row],[lending_product_transform]],[3]Mapping!$B$3:$D$37,3,0)</f>
        <v>cashloan</v>
      </c>
      <c r="I13241" s="143">
        <v>454700000</v>
      </c>
    </row>
    <row r="13242" spans="1:9" x14ac:dyDescent="0.2">
      <c r="A13242" s="134">
        <v>46077</v>
      </c>
      <c r="B13242" s="135">
        <f>YEAR(source[[#This Row],[report_date]])</f>
        <v>2026</v>
      </c>
      <c r="C13242" s="128">
        <f t="shared" si="620"/>
        <v>2</v>
      </c>
      <c r="D13242" s="136">
        <f t="shared" si="619"/>
        <v>9</v>
      </c>
      <c r="E13242" s="136">
        <f t="shared" si="621"/>
        <v>24</v>
      </c>
      <c r="F13242" s="137" t="s">
        <v>24</v>
      </c>
      <c r="G13242" s="128" t="str">
        <f>VLOOKUP(source[[#This Row],[lending_product_transform]],[3]Mapping!$B$4:$C$37,2,0)</f>
        <v>[Cake] - Cashloan</v>
      </c>
      <c r="H13242" s="128" t="str">
        <f>VLOOKUP(source[[#This Row],[lending_product_transform]],[3]Mapping!$B$3:$D$37,3,0)</f>
        <v>cashloan</v>
      </c>
      <c r="I13242" s="143">
        <v>283287013</v>
      </c>
    </row>
    <row r="13243" spans="1:9" x14ac:dyDescent="0.2">
      <c r="A13243" s="134">
        <v>46077</v>
      </c>
      <c r="B13243" s="135">
        <f>YEAR(source[[#This Row],[report_date]])</f>
        <v>2026</v>
      </c>
      <c r="C13243" s="128">
        <f t="shared" si="620"/>
        <v>2</v>
      </c>
      <c r="D13243" s="136">
        <f t="shared" si="619"/>
        <v>9</v>
      </c>
      <c r="E13243" s="136">
        <f t="shared" si="621"/>
        <v>24</v>
      </c>
      <c r="F13243" s="137" t="s">
        <v>24</v>
      </c>
      <c r="G13243" s="128" t="str">
        <f>VLOOKUP(source[[#This Row],[lending_product_transform]],[3]Mapping!$B$4:$C$37,2,0)</f>
        <v>[Cake] - Cashloan</v>
      </c>
      <c r="H13243" s="128" t="str">
        <f>VLOOKUP(source[[#This Row],[lending_product_transform]],[3]Mapping!$B$3:$D$37,3,0)</f>
        <v>cashloan</v>
      </c>
      <c r="I13243" s="143">
        <v>9067840000</v>
      </c>
    </row>
    <row r="13244" spans="1:9" x14ac:dyDescent="0.2">
      <c r="A13244" s="134">
        <v>46077</v>
      </c>
      <c r="B13244" s="135">
        <f>YEAR(source[[#This Row],[report_date]])</f>
        <v>2026</v>
      </c>
      <c r="C13244" s="128">
        <f t="shared" si="620"/>
        <v>2</v>
      </c>
      <c r="D13244" s="136">
        <f t="shared" si="619"/>
        <v>9</v>
      </c>
      <c r="E13244" s="136">
        <f t="shared" si="621"/>
        <v>24</v>
      </c>
      <c r="F13244" s="137" t="s">
        <v>24</v>
      </c>
      <c r="G13244" s="128" t="str">
        <f>VLOOKUP(source[[#This Row],[lending_product_transform]],[3]Mapping!$B$4:$C$37,2,0)</f>
        <v>[Cake] - Cashloan</v>
      </c>
      <c r="H13244" s="128" t="str">
        <f>VLOOKUP(source[[#This Row],[lending_product_transform]],[3]Mapping!$B$3:$D$37,3,0)</f>
        <v>cashloan</v>
      </c>
      <c r="I13244" s="143">
        <v>1935620045</v>
      </c>
    </row>
    <row r="13245" spans="1:9" x14ac:dyDescent="0.2">
      <c r="A13245" s="134">
        <v>46077</v>
      </c>
      <c r="B13245" s="135">
        <f>YEAR(source[[#This Row],[report_date]])</f>
        <v>2026</v>
      </c>
      <c r="C13245" s="128">
        <f t="shared" si="620"/>
        <v>2</v>
      </c>
      <c r="D13245" s="136">
        <f t="shared" si="619"/>
        <v>9</v>
      </c>
      <c r="E13245" s="136">
        <f t="shared" si="621"/>
        <v>24</v>
      </c>
      <c r="F13245" s="137" t="s">
        <v>24</v>
      </c>
      <c r="G13245" s="128" t="str">
        <f>VLOOKUP(source[[#This Row],[lending_product_transform]],[3]Mapping!$B$4:$C$37,2,0)</f>
        <v>[Cake] - Cashloan</v>
      </c>
      <c r="H13245" s="128" t="str">
        <f>VLOOKUP(source[[#This Row],[lending_product_transform]],[3]Mapping!$B$3:$D$37,3,0)</f>
        <v>cashloan</v>
      </c>
      <c r="I13245" s="143">
        <v>13664808000</v>
      </c>
    </row>
    <row r="13246" spans="1:9" x14ac:dyDescent="0.2">
      <c r="A13246" s="134">
        <v>46077</v>
      </c>
      <c r="B13246" s="135">
        <f>YEAR(source[[#This Row],[report_date]])</f>
        <v>2026</v>
      </c>
      <c r="C13246" s="128">
        <f t="shared" si="620"/>
        <v>2</v>
      </c>
      <c r="D13246" s="136">
        <f t="shared" si="619"/>
        <v>9</v>
      </c>
      <c r="E13246" s="136">
        <f t="shared" si="621"/>
        <v>24</v>
      </c>
      <c r="F13246" s="137" t="s">
        <v>24</v>
      </c>
      <c r="G13246" s="128" t="str">
        <f>VLOOKUP(source[[#This Row],[lending_product_transform]],[3]Mapping!$B$4:$C$37,2,0)</f>
        <v>[Cake] - Cashloan</v>
      </c>
      <c r="H13246" s="128" t="str">
        <f>VLOOKUP(source[[#This Row],[lending_product_transform]],[3]Mapping!$B$3:$D$37,3,0)</f>
        <v>cashloan</v>
      </c>
      <c r="I13246" s="143">
        <v>3443210</v>
      </c>
    </row>
    <row r="13247" spans="1:9" x14ac:dyDescent="0.2">
      <c r="A13247" s="134">
        <v>46077</v>
      </c>
      <c r="B13247" s="135">
        <f>YEAR(source[[#This Row],[report_date]])</f>
        <v>2026</v>
      </c>
      <c r="C13247" s="128">
        <f t="shared" si="620"/>
        <v>2</v>
      </c>
      <c r="D13247" s="136">
        <f t="shared" si="619"/>
        <v>9</v>
      </c>
      <c r="E13247" s="136">
        <f t="shared" si="621"/>
        <v>24</v>
      </c>
      <c r="F13247" s="137" t="s">
        <v>24</v>
      </c>
      <c r="G13247" s="128" t="str">
        <f>VLOOKUP(source[[#This Row],[lending_product_transform]],[3]Mapping!$B$4:$C$37,2,0)</f>
        <v>[Cake] - Cashloan</v>
      </c>
      <c r="H13247" s="128" t="str">
        <f>VLOOKUP(source[[#This Row],[lending_product_transform]],[3]Mapping!$B$3:$D$37,3,0)</f>
        <v>cashloan</v>
      </c>
      <c r="I13247" s="143">
        <v>0</v>
      </c>
    </row>
    <row r="13248" spans="1:9" x14ac:dyDescent="0.2">
      <c r="A13248" s="134">
        <v>46077</v>
      </c>
      <c r="B13248" s="135">
        <f>YEAR(source[[#This Row],[report_date]])</f>
        <v>2026</v>
      </c>
      <c r="C13248" s="128">
        <f t="shared" si="620"/>
        <v>2</v>
      </c>
      <c r="D13248" s="136">
        <f t="shared" si="619"/>
        <v>9</v>
      </c>
      <c r="E13248" s="136">
        <f t="shared" si="621"/>
        <v>24</v>
      </c>
      <c r="F13248" s="137" t="s">
        <v>24</v>
      </c>
      <c r="G13248" s="128" t="str">
        <f>VLOOKUP(source[[#This Row],[lending_product_transform]],[3]Mapping!$B$4:$C$37,2,0)</f>
        <v>[Cake] - Cashloan</v>
      </c>
      <c r="H13248" s="128" t="str">
        <f>VLOOKUP(source[[#This Row],[lending_product_transform]],[3]Mapping!$B$3:$D$37,3,0)</f>
        <v>cashloan</v>
      </c>
      <c r="I13248" s="143">
        <v>2456100000</v>
      </c>
    </row>
    <row r="13249" spans="1:9" x14ac:dyDescent="0.2">
      <c r="A13249" s="134">
        <v>46077</v>
      </c>
      <c r="B13249" s="135">
        <f>YEAR(source[[#This Row],[report_date]])</f>
        <v>2026</v>
      </c>
      <c r="C13249" s="128">
        <f t="shared" si="620"/>
        <v>2</v>
      </c>
      <c r="D13249" s="136">
        <f t="shared" si="619"/>
        <v>9</v>
      </c>
      <c r="E13249" s="136">
        <f t="shared" si="621"/>
        <v>24</v>
      </c>
      <c r="F13249" s="137" t="s">
        <v>24</v>
      </c>
      <c r="G13249" s="128" t="str">
        <f>VLOOKUP(source[[#This Row],[lending_product_transform]],[3]Mapping!$B$4:$C$37,2,0)</f>
        <v>[Cake] - Cashloan</v>
      </c>
      <c r="H13249" s="128" t="str">
        <f>VLOOKUP(source[[#This Row],[lending_product_transform]],[3]Mapping!$B$3:$D$37,3,0)</f>
        <v>cashloan</v>
      </c>
      <c r="I13249" s="143">
        <v>871680000</v>
      </c>
    </row>
    <row r="13250" spans="1:9" x14ac:dyDescent="0.2">
      <c r="A13250" s="134">
        <v>46077</v>
      </c>
      <c r="B13250" s="135">
        <f>YEAR(source[[#This Row],[report_date]])</f>
        <v>2026</v>
      </c>
      <c r="C13250" s="128">
        <f t="shared" si="620"/>
        <v>2</v>
      </c>
      <c r="D13250" s="136">
        <f t="shared" si="619"/>
        <v>9</v>
      </c>
      <c r="E13250" s="136">
        <f t="shared" si="621"/>
        <v>24</v>
      </c>
      <c r="F13250" s="137" t="s">
        <v>24</v>
      </c>
      <c r="G13250" s="128" t="str">
        <f>VLOOKUP(source[[#This Row],[lending_product_transform]],[3]Mapping!$B$4:$C$37,2,0)</f>
        <v>[Cake] - Cashloan</v>
      </c>
      <c r="H13250" s="128" t="str">
        <f>VLOOKUP(source[[#This Row],[lending_product_transform]],[3]Mapping!$B$3:$D$37,3,0)</f>
        <v>cashloan</v>
      </c>
      <c r="I13250" s="143">
        <v>7922883</v>
      </c>
    </row>
    <row r="13251" spans="1:9" x14ac:dyDescent="0.2">
      <c r="A13251" s="134">
        <v>46077</v>
      </c>
      <c r="B13251" s="135">
        <f>YEAR(source[[#This Row],[report_date]])</f>
        <v>2026</v>
      </c>
      <c r="C13251" s="128">
        <f t="shared" si="620"/>
        <v>2</v>
      </c>
      <c r="D13251" s="136">
        <f t="shared" si="619"/>
        <v>9</v>
      </c>
      <c r="E13251" s="136">
        <f t="shared" si="621"/>
        <v>24</v>
      </c>
      <c r="F13251" s="137" t="s">
        <v>24</v>
      </c>
      <c r="G13251" s="128" t="str">
        <f>VLOOKUP(source[[#This Row],[lending_product_transform]],[3]Mapping!$B$4:$C$37,2,0)</f>
        <v>[Cake] - Cashloan</v>
      </c>
      <c r="H13251" s="128" t="str">
        <f>VLOOKUP(source[[#This Row],[lending_product_transform]],[3]Mapping!$B$3:$D$37,3,0)</f>
        <v>cashloan</v>
      </c>
      <c r="I13251" s="143">
        <v>761753633</v>
      </c>
    </row>
    <row r="13252" spans="1:9" x14ac:dyDescent="0.2">
      <c r="A13252" s="134">
        <v>46077</v>
      </c>
      <c r="B13252" s="135">
        <f>YEAR(source[[#This Row],[report_date]])</f>
        <v>2026</v>
      </c>
      <c r="C13252" s="128">
        <f t="shared" si="620"/>
        <v>2</v>
      </c>
      <c r="D13252" s="136">
        <f t="shared" si="619"/>
        <v>9</v>
      </c>
      <c r="E13252" s="136">
        <f t="shared" si="621"/>
        <v>24</v>
      </c>
      <c r="F13252" s="137" t="s">
        <v>24</v>
      </c>
      <c r="G13252" s="128" t="str">
        <f>VLOOKUP(source[[#This Row],[lending_product_transform]],[3]Mapping!$B$4:$C$37,2,0)</f>
        <v>[Cake] - Cashloan</v>
      </c>
      <c r="H13252" s="128" t="str">
        <f>VLOOKUP(source[[#This Row],[lending_product_transform]],[3]Mapping!$B$3:$D$37,3,0)</f>
        <v>cashloan</v>
      </c>
      <c r="I13252" s="143">
        <v>0</v>
      </c>
    </row>
    <row r="13253" spans="1:9" x14ac:dyDescent="0.2">
      <c r="A13253" s="134">
        <v>46077</v>
      </c>
      <c r="B13253" s="135">
        <f>YEAR(source[[#This Row],[report_date]])</f>
        <v>2026</v>
      </c>
      <c r="C13253" s="128">
        <f t="shared" si="620"/>
        <v>2</v>
      </c>
      <c r="D13253" s="136">
        <f t="shared" si="619"/>
        <v>9</v>
      </c>
      <c r="E13253" s="136">
        <f t="shared" si="621"/>
        <v>24</v>
      </c>
      <c r="F13253" s="137" t="s">
        <v>24</v>
      </c>
      <c r="G13253" s="128" t="str">
        <f>VLOOKUP(source[[#This Row],[lending_product_transform]],[3]Mapping!$B$4:$C$37,2,0)</f>
        <v>[Cake] - Cashloan</v>
      </c>
      <c r="H13253" s="128" t="str">
        <f>VLOOKUP(source[[#This Row],[lending_product_transform]],[3]Mapping!$B$3:$D$37,3,0)</f>
        <v>cashloan</v>
      </c>
      <c r="I13253" s="143">
        <v>30500000</v>
      </c>
    </row>
    <row r="13254" spans="1:9" x14ac:dyDescent="0.2">
      <c r="A13254" s="134">
        <v>46077</v>
      </c>
      <c r="B13254" s="135">
        <f>YEAR(source[[#This Row],[report_date]])</f>
        <v>2026</v>
      </c>
      <c r="C13254" s="128">
        <f t="shared" si="620"/>
        <v>2</v>
      </c>
      <c r="D13254" s="136">
        <f t="shared" si="619"/>
        <v>9</v>
      </c>
      <c r="E13254" s="136">
        <f t="shared" si="621"/>
        <v>24</v>
      </c>
      <c r="F13254" s="137" t="s">
        <v>24</v>
      </c>
      <c r="G13254" s="128" t="str">
        <f>VLOOKUP(source[[#This Row],[lending_product_transform]],[3]Mapping!$B$4:$C$37,2,0)</f>
        <v>[Cake] - Cashloan</v>
      </c>
      <c r="H13254" s="128" t="str">
        <f>VLOOKUP(source[[#This Row],[lending_product_transform]],[3]Mapping!$B$3:$D$37,3,0)</f>
        <v>cashloan</v>
      </c>
      <c r="I13254" s="143">
        <v>0</v>
      </c>
    </row>
    <row r="13255" spans="1:9" x14ac:dyDescent="0.2">
      <c r="A13255" s="134">
        <v>46077</v>
      </c>
      <c r="B13255" s="135">
        <f>YEAR(source[[#This Row],[report_date]])</f>
        <v>2026</v>
      </c>
      <c r="C13255" s="128">
        <f t="shared" si="620"/>
        <v>2</v>
      </c>
      <c r="D13255" s="136">
        <f t="shared" si="619"/>
        <v>9</v>
      </c>
      <c r="E13255" s="136">
        <f t="shared" si="621"/>
        <v>24</v>
      </c>
      <c r="F13255" s="137" t="s">
        <v>24</v>
      </c>
      <c r="G13255" s="128" t="str">
        <f>VLOOKUP(source[[#This Row],[lending_product_transform]],[3]Mapping!$B$4:$C$37,2,0)</f>
        <v>[Cake] - Cashloan</v>
      </c>
      <c r="H13255" s="128" t="str">
        <f>VLOOKUP(source[[#This Row],[lending_product_transform]],[3]Mapping!$B$3:$D$37,3,0)</f>
        <v>cashloan</v>
      </c>
      <c r="I13255" s="143">
        <v>10193390000</v>
      </c>
    </row>
    <row r="13256" spans="1:9" x14ac:dyDescent="0.2">
      <c r="A13256" s="134">
        <v>46077</v>
      </c>
      <c r="B13256" s="135">
        <f>YEAR(source[[#This Row],[report_date]])</f>
        <v>2026</v>
      </c>
      <c r="C13256" s="128">
        <f t="shared" si="620"/>
        <v>2</v>
      </c>
      <c r="D13256" s="136">
        <f t="shared" si="619"/>
        <v>9</v>
      </c>
      <c r="E13256" s="136">
        <f t="shared" si="621"/>
        <v>24</v>
      </c>
      <c r="F13256" s="137" t="s">
        <v>24</v>
      </c>
      <c r="G13256" s="128" t="str">
        <f>VLOOKUP(source[[#This Row],[lending_product_transform]],[3]Mapping!$B$4:$C$37,2,0)</f>
        <v>[Cake] - Cashloan</v>
      </c>
      <c r="H13256" s="128" t="str">
        <f>VLOOKUP(source[[#This Row],[lending_product_transform]],[3]Mapping!$B$3:$D$37,3,0)</f>
        <v>cashloan</v>
      </c>
      <c r="I13256" s="143">
        <v>0</v>
      </c>
    </row>
    <row r="13257" spans="1:9" x14ac:dyDescent="0.2">
      <c r="A13257" s="134">
        <v>46077</v>
      </c>
      <c r="B13257" s="135">
        <f>YEAR(source[[#This Row],[report_date]])</f>
        <v>2026</v>
      </c>
      <c r="C13257" s="128">
        <f t="shared" si="620"/>
        <v>2</v>
      </c>
      <c r="D13257" s="136">
        <f t="shared" si="619"/>
        <v>9</v>
      </c>
      <c r="E13257" s="136">
        <f t="shared" si="621"/>
        <v>24</v>
      </c>
      <c r="F13257" s="137" t="s">
        <v>24</v>
      </c>
      <c r="G13257" s="128" t="str">
        <f>VLOOKUP(source[[#This Row],[lending_product_transform]],[3]Mapping!$B$4:$C$37,2,0)</f>
        <v>[Cake] - Cashloan</v>
      </c>
      <c r="H13257" s="128" t="str">
        <f>VLOOKUP(source[[#This Row],[lending_product_transform]],[3]Mapping!$B$3:$D$37,3,0)</f>
        <v>cashloan</v>
      </c>
      <c r="I13257" s="143">
        <v>0</v>
      </c>
    </row>
    <row r="13258" spans="1:9" x14ac:dyDescent="0.2">
      <c r="A13258" s="134">
        <v>46077</v>
      </c>
      <c r="B13258" s="135">
        <f>YEAR(source[[#This Row],[report_date]])</f>
        <v>2026</v>
      </c>
      <c r="C13258" s="128">
        <f t="shared" si="620"/>
        <v>2</v>
      </c>
      <c r="D13258" s="136">
        <f t="shared" si="619"/>
        <v>9</v>
      </c>
      <c r="E13258" s="136">
        <f t="shared" si="621"/>
        <v>24</v>
      </c>
      <c r="F13258" s="137" t="s">
        <v>24</v>
      </c>
      <c r="G13258" s="128" t="str">
        <f>VLOOKUP(source[[#This Row],[lending_product_transform]],[3]Mapping!$B$4:$C$37,2,0)</f>
        <v>[Cake] - Cashloan</v>
      </c>
      <c r="H13258" s="128" t="str">
        <f>VLOOKUP(source[[#This Row],[lending_product_transform]],[3]Mapping!$B$3:$D$37,3,0)</f>
        <v>cashloan</v>
      </c>
      <c r="I13258" s="143">
        <v>0</v>
      </c>
    </row>
    <row r="13259" spans="1:9" x14ac:dyDescent="0.2">
      <c r="A13259" s="134">
        <v>46077</v>
      </c>
      <c r="B13259" s="135">
        <f>YEAR(source[[#This Row],[report_date]])</f>
        <v>2026</v>
      </c>
      <c r="C13259" s="128">
        <f t="shared" si="620"/>
        <v>2</v>
      </c>
      <c r="D13259" s="136">
        <f t="shared" si="619"/>
        <v>9</v>
      </c>
      <c r="E13259" s="136">
        <f t="shared" si="621"/>
        <v>24</v>
      </c>
      <c r="F13259" s="137" t="s">
        <v>24</v>
      </c>
      <c r="G13259" s="128" t="str">
        <f>VLOOKUP(source[[#This Row],[lending_product_transform]],[3]Mapping!$B$4:$C$37,2,0)</f>
        <v>[Cake] - Cashloan</v>
      </c>
      <c r="H13259" s="128" t="str">
        <f>VLOOKUP(source[[#This Row],[lending_product_transform]],[3]Mapping!$B$3:$D$37,3,0)</f>
        <v>cashloan</v>
      </c>
      <c r="I13259" s="143">
        <v>0</v>
      </c>
    </row>
    <row r="13260" spans="1:9" x14ac:dyDescent="0.2">
      <c r="A13260" s="134">
        <v>46077</v>
      </c>
      <c r="B13260" s="135">
        <f>YEAR(source[[#This Row],[report_date]])</f>
        <v>2026</v>
      </c>
      <c r="C13260" s="128">
        <f t="shared" si="620"/>
        <v>2</v>
      </c>
      <c r="D13260" s="136">
        <f t="shared" si="619"/>
        <v>9</v>
      </c>
      <c r="E13260" s="136">
        <f t="shared" si="621"/>
        <v>24</v>
      </c>
      <c r="F13260" s="137" t="s">
        <v>24</v>
      </c>
      <c r="G13260" s="128" t="str">
        <f>VLOOKUP(source[[#This Row],[lending_product_transform]],[3]Mapping!$B$4:$C$37,2,0)</f>
        <v>[Cake] - Cashloan</v>
      </c>
      <c r="H13260" s="128" t="str">
        <f>VLOOKUP(source[[#This Row],[lending_product_transform]],[3]Mapping!$B$3:$D$37,3,0)</f>
        <v>cashloan</v>
      </c>
      <c r="I13260" s="143">
        <v>9525708000</v>
      </c>
    </row>
    <row r="13261" spans="1:9" x14ac:dyDescent="0.2">
      <c r="A13261" s="134">
        <v>46077</v>
      </c>
      <c r="B13261" s="135">
        <f>YEAR(source[[#This Row],[report_date]])</f>
        <v>2026</v>
      </c>
      <c r="C13261" s="128">
        <f t="shared" si="620"/>
        <v>2</v>
      </c>
      <c r="D13261" s="136">
        <f t="shared" si="619"/>
        <v>9</v>
      </c>
      <c r="E13261" s="136">
        <f t="shared" si="621"/>
        <v>24</v>
      </c>
      <c r="F13261" s="137" t="s">
        <v>24</v>
      </c>
      <c r="G13261" s="128" t="str">
        <f>VLOOKUP(source[[#This Row],[lending_product_transform]],[3]Mapping!$B$4:$C$37,2,0)</f>
        <v>[Cake] - Cashloan</v>
      </c>
      <c r="H13261" s="128" t="str">
        <f>VLOOKUP(source[[#This Row],[lending_product_transform]],[3]Mapping!$B$3:$D$37,3,0)</f>
        <v>cashloan</v>
      </c>
      <c r="I13261" s="143">
        <v>162284261</v>
      </c>
    </row>
    <row r="13262" spans="1:9" x14ac:dyDescent="0.2">
      <c r="A13262" s="134">
        <v>46077</v>
      </c>
      <c r="B13262" s="135">
        <f>YEAR(source[[#This Row],[report_date]])</f>
        <v>2026</v>
      </c>
      <c r="C13262" s="128">
        <f t="shared" si="620"/>
        <v>2</v>
      </c>
      <c r="D13262" s="136">
        <f t="shared" si="619"/>
        <v>9</v>
      </c>
      <c r="E13262" s="136">
        <f t="shared" si="621"/>
        <v>24</v>
      </c>
      <c r="F13262" s="137" t="s">
        <v>24</v>
      </c>
      <c r="G13262" s="128" t="str">
        <f>VLOOKUP(source[[#This Row],[lending_product_transform]],[3]Mapping!$B$4:$C$37,2,0)</f>
        <v>[Cake] - Cashloan</v>
      </c>
      <c r="H13262" s="128" t="str">
        <f>VLOOKUP(source[[#This Row],[lending_product_transform]],[3]Mapping!$B$3:$D$37,3,0)</f>
        <v>cashloan</v>
      </c>
      <c r="I13262" s="143">
        <v>42000000</v>
      </c>
    </row>
    <row r="13263" spans="1:9" x14ac:dyDescent="0.2">
      <c r="A13263" s="134">
        <v>46077</v>
      </c>
      <c r="B13263" s="135">
        <f>YEAR(source[[#This Row],[report_date]])</f>
        <v>2026</v>
      </c>
      <c r="C13263" s="128">
        <f t="shared" si="620"/>
        <v>2</v>
      </c>
      <c r="D13263" s="136">
        <f t="shared" si="619"/>
        <v>9</v>
      </c>
      <c r="E13263" s="136">
        <f t="shared" si="621"/>
        <v>24</v>
      </c>
      <c r="F13263" s="137" t="s">
        <v>24</v>
      </c>
      <c r="G13263" s="128" t="str">
        <f>VLOOKUP(source[[#This Row],[lending_product_transform]],[3]Mapping!$B$4:$C$37,2,0)</f>
        <v>[Cake] - Cashloan</v>
      </c>
      <c r="H13263" s="128" t="str">
        <f>VLOOKUP(source[[#This Row],[lending_product_transform]],[3]Mapping!$B$3:$D$37,3,0)</f>
        <v>cashloan</v>
      </c>
      <c r="I13263" s="143">
        <v>55000000</v>
      </c>
    </row>
    <row r="13264" spans="1:9" x14ac:dyDescent="0.2">
      <c r="A13264" s="134">
        <v>46077</v>
      </c>
      <c r="B13264" s="135">
        <f>YEAR(source[[#This Row],[report_date]])</f>
        <v>2026</v>
      </c>
      <c r="C13264" s="128">
        <f t="shared" si="620"/>
        <v>2</v>
      </c>
      <c r="D13264" s="136">
        <f t="shared" si="619"/>
        <v>9</v>
      </c>
      <c r="E13264" s="136">
        <f t="shared" si="621"/>
        <v>24</v>
      </c>
      <c r="F13264" s="137" t="s">
        <v>24</v>
      </c>
      <c r="G13264" s="128" t="str">
        <f>VLOOKUP(source[[#This Row],[lending_product_transform]],[3]Mapping!$B$4:$C$37,2,0)</f>
        <v>[Cake] - Cashloan</v>
      </c>
      <c r="H13264" s="128" t="str">
        <f>VLOOKUP(source[[#This Row],[lending_product_transform]],[3]Mapping!$B$3:$D$37,3,0)</f>
        <v>cashloan</v>
      </c>
      <c r="I13264" s="143">
        <v>831980000</v>
      </c>
    </row>
    <row r="13265" spans="1:9" x14ac:dyDescent="0.2">
      <c r="A13265" s="134">
        <v>46077</v>
      </c>
      <c r="B13265" s="135">
        <f>YEAR(source[[#This Row],[report_date]])</f>
        <v>2026</v>
      </c>
      <c r="C13265" s="128">
        <f t="shared" si="620"/>
        <v>2</v>
      </c>
      <c r="D13265" s="136">
        <f t="shared" ref="D13265:D13328" si="622">WEEKNUM(A13265,2)</f>
        <v>9</v>
      </c>
      <c r="E13265" s="136">
        <f t="shared" si="621"/>
        <v>24</v>
      </c>
      <c r="F13265" s="137" t="s">
        <v>24</v>
      </c>
      <c r="G13265" s="128" t="str">
        <f>VLOOKUP(source[[#This Row],[lending_product_transform]],[3]Mapping!$B$4:$C$37,2,0)</f>
        <v>[Cake] - Cashloan</v>
      </c>
      <c r="H13265" s="128" t="str">
        <f>VLOOKUP(source[[#This Row],[lending_product_transform]],[3]Mapping!$B$3:$D$37,3,0)</f>
        <v>cashloan</v>
      </c>
      <c r="I13265" s="143">
        <v>341280000</v>
      </c>
    </row>
    <row r="13266" spans="1:9" x14ac:dyDescent="0.2">
      <c r="A13266" s="134">
        <v>46077</v>
      </c>
      <c r="B13266" s="135">
        <f>YEAR(source[[#This Row],[report_date]])</f>
        <v>2026</v>
      </c>
      <c r="C13266" s="128">
        <f t="shared" si="620"/>
        <v>2</v>
      </c>
      <c r="D13266" s="136">
        <f t="shared" si="622"/>
        <v>9</v>
      </c>
      <c r="E13266" s="136">
        <f t="shared" si="621"/>
        <v>24</v>
      </c>
      <c r="F13266" s="137" t="s">
        <v>24</v>
      </c>
      <c r="G13266" s="128" t="str">
        <f>VLOOKUP(source[[#This Row],[lending_product_transform]],[3]Mapping!$B$4:$C$37,2,0)</f>
        <v>[Cake] - Cashloan</v>
      </c>
      <c r="H13266" s="128" t="str">
        <f>VLOOKUP(source[[#This Row],[lending_product_transform]],[3]Mapping!$B$3:$D$37,3,0)</f>
        <v>cashloan</v>
      </c>
      <c r="I13266" s="143">
        <v>339130789</v>
      </c>
    </row>
    <row r="13267" spans="1:9" x14ac:dyDescent="0.2">
      <c r="A13267" s="134">
        <v>46077</v>
      </c>
      <c r="B13267" s="135">
        <f>YEAR(source[[#This Row],[report_date]])</f>
        <v>2026</v>
      </c>
      <c r="C13267" s="128">
        <f t="shared" si="620"/>
        <v>2</v>
      </c>
      <c r="D13267" s="136">
        <f t="shared" si="622"/>
        <v>9</v>
      </c>
      <c r="E13267" s="136">
        <f t="shared" si="621"/>
        <v>24</v>
      </c>
      <c r="F13267" s="137" t="s">
        <v>24</v>
      </c>
      <c r="G13267" s="128" t="str">
        <f>VLOOKUP(source[[#This Row],[lending_product_transform]],[3]Mapping!$B$4:$C$37,2,0)</f>
        <v>[Cake] - Cashloan</v>
      </c>
      <c r="H13267" s="128" t="str">
        <f>VLOOKUP(source[[#This Row],[lending_product_transform]],[3]Mapping!$B$3:$D$37,3,0)</f>
        <v>cashloan</v>
      </c>
      <c r="I13267" s="143">
        <v>2192730000</v>
      </c>
    </row>
    <row r="13268" spans="1:9" x14ac:dyDescent="0.2">
      <c r="A13268" s="134">
        <v>46077</v>
      </c>
      <c r="B13268" s="135">
        <f>YEAR(source[[#This Row],[report_date]])</f>
        <v>2026</v>
      </c>
      <c r="C13268" s="128">
        <f t="shared" si="620"/>
        <v>2</v>
      </c>
      <c r="D13268" s="136">
        <f t="shared" si="622"/>
        <v>9</v>
      </c>
      <c r="E13268" s="136">
        <f t="shared" si="621"/>
        <v>24</v>
      </c>
      <c r="F13268" s="137" t="s">
        <v>24</v>
      </c>
      <c r="G13268" s="128" t="str">
        <f>VLOOKUP(source[[#This Row],[lending_product_transform]],[3]Mapping!$B$4:$C$37,2,0)</f>
        <v>[Cake] - Cashloan</v>
      </c>
      <c r="H13268" s="128" t="str">
        <f>VLOOKUP(source[[#This Row],[lending_product_transform]],[3]Mapping!$B$3:$D$37,3,0)</f>
        <v>cashloan</v>
      </c>
      <c r="I13268" s="143">
        <v>366120000</v>
      </c>
    </row>
    <row r="13269" spans="1:9" x14ac:dyDescent="0.2">
      <c r="A13269" s="134">
        <v>46078</v>
      </c>
      <c r="B13269" s="135">
        <f>YEAR(source[[#This Row],[report_date]])</f>
        <v>2026</v>
      </c>
      <c r="C13269" s="128">
        <f t="shared" si="620"/>
        <v>2</v>
      </c>
      <c r="D13269" s="136">
        <f t="shared" si="622"/>
        <v>9</v>
      </c>
      <c r="E13269" s="136">
        <f t="shared" si="621"/>
        <v>25</v>
      </c>
      <c r="F13269" s="137" t="s">
        <v>24</v>
      </c>
      <c r="G13269" s="128" t="str">
        <f>VLOOKUP(source[[#This Row],[lending_product_transform]],[3]Mapping!$B$4:$C$37,2,0)</f>
        <v>[Cake] - Cashloan</v>
      </c>
      <c r="H13269" s="128" t="str">
        <f>VLOOKUP(source[[#This Row],[lending_product_transform]],[3]Mapping!$B$3:$D$37,3,0)</f>
        <v>cashloan</v>
      </c>
      <c r="I13269" s="143">
        <v>269850000</v>
      </c>
    </row>
    <row r="13270" spans="1:9" x14ac:dyDescent="0.2">
      <c r="A13270" s="134">
        <v>46078</v>
      </c>
      <c r="B13270" s="135">
        <f>YEAR(source[[#This Row],[report_date]])</f>
        <v>2026</v>
      </c>
      <c r="C13270" s="128">
        <f t="shared" si="620"/>
        <v>2</v>
      </c>
      <c r="D13270" s="136">
        <f t="shared" si="622"/>
        <v>9</v>
      </c>
      <c r="E13270" s="136">
        <f t="shared" si="621"/>
        <v>25</v>
      </c>
      <c r="F13270" s="137" t="s">
        <v>24</v>
      </c>
      <c r="G13270" s="128" t="str">
        <f>VLOOKUP(source[[#This Row],[lending_product_transform]],[3]Mapping!$B$4:$C$37,2,0)</f>
        <v>[Cake] - Cashloan</v>
      </c>
      <c r="H13270" s="128" t="str">
        <f>VLOOKUP(source[[#This Row],[lending_product_transform]],[3]Mapping!$B$3:$D$37,3,0)</f>
        <v>cashloan</v>
      </c>
      <c r="I13270" s="143">
        <v>295929344</v>
      </c>
    </row>
    <row r="13271" spans="1:9" x14ac:dyDescent="0.2">
      <c r="A13271" s="134">
        <v>46078</v>
      </c>
      <c r="B13271" s="135">
        <f>YEAR(source[[#This Row],[report_date]])</f>
        <v>2026</v>
      </c>
      <c r="C13271" s="128">
        <f t="shared" si="620"/>
        <v>2</v>
      </c>
      <c r="D13271" s="136">
        <f t="shared" si="622"/>
        <v>9</v>
      </c>
      <c r="E13271" s="136">
        <f t="shared" si="621"/>
        <v>25</v>
      </c>
      <c r="F13271" s="137" t="s">
        <v>24</v>
      </c>
      <c r="G13271" s="128" t="str">
        <f>VLOOKUP(source[[#This Row],[lending_product_transform]],[3]Mapping!$B$4:$C$37,2,0)</f>
        <v>[Cake] - Cashloan</v>
      </c>
      <c r="H13271" s="128" t="str">
        <f>VLOOKUP(source[[#This Row],[lending_product_transform]],[3]Mapping!$B$3:$D$37,3,0)</f>
        <v>cashloan</v>
      </c>
      <c r="I13271" s="143">
        <v>9953570000</v>
      </c>
    </row>
    <row r="13272" spans="1:9" x14ac:dyDescent="0.2">
      <c r="A13272" s="134">
        <v>46078</v>
      </c>
      <c r="B13272" s="135">
        <f>YEAR(source[[#This Row],[report_date]])</f>
        <v>2026</v>
      </c>
      <c r="C13272" s="128">
        <f t="shared" si="620"/>
        <v>2</v>
      </c>
      <c r="D13272" s="136">
        <f t="shared" si="622"/>
        <v>9</v>
      </c>
      <c r="E13272" s="136">
        <f t="shared" si="621"/>
        <v>25</v>
      </c>
      <c r="F13272" s="137" t="s">
        <v>24</v>
      </c>
      <c r="G13272" s="128" t="str">
        <f>VLOOKUP(source[[#This Row],[lending_product_transform]],[3]Mapping!$B$4:$C$37,2,0)</f>
        <v>[Cake] - Cashloan</v>
      </c>
      <c r="H13272" s="128" t="str">
        <f>VLOOKUP(source[[#This Row],[lending_product_transform]],[3]Mapping!$B$3:$D$37,3,0)</f>
        <v>cashloan</v>
      </c>
      <c r="I13272" s="143">
        <v>2079070507</v>
      </c>
    </row>
    <row r="13273" spans="1:9" x14ac:dyDescent="0.2">
      <c r="A13273" s="134">
        <v>46078</v>
      </c>
      <c r="B13273" s="135">
        <f>YEAR(source[[#This Row],[report_date]])</f>
        <v>2026</v>
      </c>
      <c r="C13273" s="128">
        <f t="shared" si="620"/>
        <v>2</v>
      </c>
      <c r="D13273" s="136">
        <f t="shared" si="622"/>
        <v>9</v>
      </c>
      <c r="E13273" s="136">
        <f t="shared" si="621"/>
        <v>25</v>
      </c>
      <c r="F13273" s="137" t="s">
        <v>24</v>
      </c>
      <c r="G13273" s="128" t="str">
        <f>VLOOKUP(source[[#This Row],[lending_product_transform]],[3]Mapping!$B$4:$C$37,2,0)</f>
        <v>[Cake] - Cashloan</v>
      </c>
      <c r="H13273" s="128" t="str">
        <f>VLOOKUP(source[[#This Row],[lending_product_transform]],[3]Mapping!$B$3:$D$37,3,0)</f>
        <v>cashloan</v>
      </c>
      <c r="I13273" s="143">
        <v>13688676000</v>
      </c>
    </row>
    <row r="13274" spans="1:9" x14ac:dyDescent="0.2">
      <c r="A13274" s="134">
        <v>46078</v>
      </c>
      <c r="B13274" s="135">
        <f>YEAR(source[[#This Row],[report_date]])</f>
        <v>2026</v>
      </c>
      <c r="C13274" s="128">
        <f t="shared" si="620"/>
        <v>2</v>
      </c>
      <c r="D13274" s="136">
        <f t="shared" si="622"/>
        <v>9</v>
      </c>
      <c r="E13274" s="136">
        <f t="shared" si="621"/>
        <v>25</v>
      </c>
      <c r="F13274" s="137" t="s">
        <v>24</v>
      </c>
      <c r="G13274" s="128" t="str">
        <f>VLOOKUP(source[[#This Row],[lending_product_transform]],[3]Mapping!$B$4:$C$37,2,0)</f>
        <v>[Cake] - Cashloan</v>
      </c>
      <c r="H13274" s="128" t="str">
        <f>VLOOKUP(source[[#This Row],[lending_product_transform]],[3]Mapping!$B$3:$D$37,3,0)</f>
        <v>cashloan</v>
      </c>
      <c r="I13274" s="143">
        <v>12319883</v>
      </c>
    </row>
    <row r="13275" spans="1:9" x14ac:dyDescent="0.2">
      <c r="A13275" s="134">
        <v>46078</v>
      </c>
      <c r="B13275" s="135">
        <f>YEAR(source[[#This Row],[report_date]])</f>
        <v>2026</v>
      </c>
      <c r="C13275" s="128">
        <f t="shared" si="620"/>
        <v>2</v>
      </c>
      <c r="D13275" s="136">
        <f t="shared" si="622"/>
        <v>9</v>
      </c>
      <c r="E13275" s="136">
        <f t="shared" si="621"/>
        <v>25</v>
      </c>
      <c r="F13275" s="137" t="s">
        <v>24</v>
      </c>
      <c r="G13275" s="128" t="str">
        <f>VLOOKUP(source[[#This Row],[lending_product_transform]],[3]Mapping!$B$4:$C$37,2,0)</f>
        <v>[Cake] - Cashloan</v>
      </c>
      <c r="H13275" s="128" t="str">
        <f>VLOOKUP(source[[#This Row],[lending_product_transform]],[3]Mapping!$B$3:$D$37,3,0)</f>
        <v>cashloan</v>
      </c>
      <c r="I13275" s="143">
        <v>0</v>
      </c>
    </row>
    <row r="13276" spans="1:9" x14ac:dyDescent="0.2">
      <c r="A13276" s="134">
        <v>46078</v>
      </c>
      <c r="B13276" s="135">
        <f>YEAR(source[[#This Row],[report_date]])</f>
        <v>2026</v>
      </c>
      <c r="C13276" s="128">
        <f t="shared" si="620"/>
        <v>2</v>
      </c>
      <c r="D13276" s="136">
        <f t="shared" si="622"/>
        <v>9</v>
      </c>
      <c r="E13276" s="136">
        <f t="shared" si="621"/>
        <v>25</v>
      </c>
      <c r="F13276" s="137" t="s">
        <v>24</v>
      </c>
      <c r="G13276" s="128" t="str">
        <f>VLOOKUP(source[[#This Row],[lending_product_transform]],[3]Mapping!$B$4:$C$37,2,0)</f>
        <v>[Cake] - Cashloan</v>
      </c>
      <c r="H13276" s="128" t="str">
        <f>VLOOKUP(source[[#This Row],[lending_product_transform]],[3]Mapping!$B$3:$D$37,3,0)</f>
        <v>cashloan</v>
      </c>
      <c r="I13276" s="143">
        <v>2727830000</v>
      </c>
    </row>
    <row r="13277" spans="1:9" x14ac:dyDescent="0.2">
      <c r="A13277" s="134">
        <v>46078</v>
      </c>
      <c r="B13277" s="135">
        <f>YEAR(source[[#This Row],[report_date]])</f>
        <v>2026</v>
      </c>
      <c r="C13277" s="128">
        <f t="shared" si="620"/>
        <v>2</v>
      </c>
      <c r="D13277" s="136">
        <f t="shared" si="622"/>
        <v>9</v>
      </c>
      <c r="E13277" s="136">
        <f t="shared" si="621"/>
        <v>25</v>
      </c>
      <c r="F13277" s="137" t="s">
        <v>24</v>
      </c>
      <c r="G13277" s="128" t="str">
        <f>VLOOKUP(source[[#This Row],[lending_product_transform]],[3]Mapping!$B$4:$C$37,2,0)</f>
        <v>[Cake] - Cashloan</v>
      </c>
      <c r="H13277" s="128" t="str">
        <f>VLOOKUP(source[[#This Row],[lending_product_transform]],[3]Mapping!$B$3:$D$37,3,0)</f>
        <v>cashloan</v>
      </c>
      <c r="I13277" s="143">
        <v>949020000</v>
      </c>
    </row>
    <row r="13278" spans="1:9" x14ac:dyDescent="0.2">
      <c r="A13278" s="134">
        <v>46078</v>
      </c>
      <c r="B13278" s="135">
        <f>YEAR(source[[#This Row],[report_date]])</f>
        <v>2026</v>
      </c>
      <c r="C13278" s="128">
        <f t="shared" si="620"/>
        <v>2</v>
      </c>
      <c r="D13278" s="136">
        <f t="shared" si="622"/>
        <v>9</v>
      </c>
      <c r="E13278" s="136">
        <f t="shared" si="621"/>
        <v>25</v>
      </c>
      <c r="F13278" s="137" t="s">
        <v>24</v>
      </c>
      <c r="G13278" s="128" t="str">
        <f>VLOOKUP(source[[#This Row],[lending_product_transform]],[3]Mapping!$B$4:$C$37,2,0)</f>
        <v>[Cake] - Cashloan</v>
      </c>
      <c r="H13278" s="128" t="str">
        <f>VLOOKUP(source[[#This Row],[lending_product_transform]],[3]Mapping!$B$3:$D$37,3,0)</f>
        <v>cashloan</v>
      </c>
      <c r="I13278" s="143">
        <v>33547368</v>
      </c>
    </row>
    <row r="13279" spans="1:9" x14ac:dyDescent="0.2">
      <c r="A13279" s="134">
        <v>46078</v>
      </c>
      <c r="B13279" s="135">
        <f>YEAR(source[[#This Row],[report_date]])</f>
        <v>2026</v>
      </c>
      <c r="C13279" s="128">
        <f t="shared" si="620"/>
        <v>2</v>
      </c>
      <c r="D13279" s="136">
        <f t="shared" si="622"/>
        <v>9</v>
      </c>
      <c r="E13279" s="136">
        <f t="shared" si="621"/>
        <v>25</v>
      </c>
      <c r="F13279" s="137" t="s">
        <v>24</v>
      </c>
      <c r="G13279" s="128" t="str">
        <f>VLOOKUP(source[[#This Row],[lending_product_transform]],[3]Mapping!$B$4:$C$37,2,0)</f>
        <v>[Cake] - Cashloan</v>
      </c>
      <c r="H13279" s="128" t="str">
        <f>VLOOKUP(source[[#This Row],[lending_product_transform]],[3]Mapping!$B$3:$D$37,3,0)</f>
        <v>cashloan</v>
      </c>
      <c r="I13279" s="143">
        <v>938990697</v>
      </c>
    </row>
    <row r="13280" spans="1:9" x14ac:dyDescent="0.2">
      <c r="A13280" s="134">
        <v>46078</v>
      </c>
      <c r="B13280" s="135">
        <f>YEAR(source[[#This Row],[report_date]])</f>
        <v>2026</v>
      </c>
      <c r="C13280" s="128">
        <f t="shared" si="620"/>
        <v>2</v>
      </c>
      <c r="D13280" s="136">
        <f t="shared" si="622"/>
        <v>9</v>
      </c>
      <c r="E13280" s="136">
        <f t="shared" si="621"/>
        <v>25</v>
      </c>
      <c r="F13280" s="137" t="s">
        <v>24</v>
      </c>
      <c r="G13280" s="128" t="str">
        <f>VLOOKUP(source[[#This Row],[lending_product_transform]],[3]Mapping!$B$4:$C$37,2,0)</f>
        <v>[Cake] - Cashloan</v>
      </c>
      <c r="H13280" s="128" t="str">
        <f>VLOOKUP(source[[#This Row],[lending_product_transform]],[3]Mapping!$B$3:$D$37,3,0)</f>
        <v>cashloan</v>
      </c>
      <c r="I13280" s="143">
        <v>0</v>
      </c>
    </row>
    <row r="13281" spans="1:9" x14ac:dyDescent="0.2">
      <c r="A13281" s="134">
        <v>46078</v>
      </c>
      <c r="B13281" s="135">
        <f>YEAR(source[[#This Row],[report_date]])</f>
        <v>2026</v>
      </c>
      <c r="C13281" s="128">
        <f t="shared" si="620"/>
        <v>2</v>
      </c>
      <c r="D13281" s="136">
        <f t="shared" si="622"/>
        <v>9</v>
      </c>
      <c r="E13281" s="136">
        <f t="shared" si="621"/>
        <v>25</v>
      </c>
      <c r="F13281" s="137" t="s">
        <v>24</v>
      </c>
      <c r="G13281" s="128" t="str">
        <f>VLOOKUP(source[[#This Row],[lending_product_transform]],[3]Mapping!$B$4:$C$37,2,0)</f>
        <v>[Cake] - Cashloan</v>
      </c>
      <c r="H13281" s="128" t="str">
        <f>VLOOKUP(source[[#This Row],[lending_product_transform]],[3]Mapping!$B$3:$D$37,3,0)</f>
        <v>cashloan</v>
      </c>
      <c r="I13281" s="143">
        <v>72500000</v>
      </c>
    </row>
    <row r="13282" spans="1:9" x14ac:dyDescent="0.2">
      <c r="A13282" s="134">
        <v>46078</v>
      </c>
      <c r="B13282" s="135">
        <f>YEAR(source[[#This Row],[report_date]])</f>
        <v>2026</v>
      </c>
      <c r="C13282" s="128">
        <f t="shared" si="620"/>
        <v>2</v>
      </c>
      <c r="D13282" s="136">
        <f t="shared" si="622"/>
        <v>9</v>
      </c>
      <c r="E13282" s="136">
        <f t="shared" si="621"/>
        <v>25</v>
      </c>
      <c r="F13282" s="137" t="s">
        <v>24</v>
      </c>
      <c r="G13282" s="128" t="str">
        <f>VLOOKUP(source[[#This Row],[lending_product_transform]],[3]Mapping!$B$4:$C$37,2,0)</f>
        <v>[Cake] - Cashloan</v>
      </c>
      <c r="H13282" s="128" t="str">
        <f>VLOOKUP(source[[#This Row],[lending_product_transform]],[3]Mapping!$B$3:$D$37,3,0)</f>
        <v>cashloan</v>
      </c>
      <c r="I13282" s="143">
        <v>0</v>
      </c>
    </row>
    <row r="13283" spans="1:9" x14ac:dyDescent="0.2">
      <c r="A13283" s="134">
        <v>46078</v>
      </c>
      <c r="B13283" s="135">
        <f>YEAR(source[[#This Row],[report_date]])</f>
        <v>2026</v>
      </c>
      <c r="C13283" s="128">
        <f t="shared" si="620"/>
        <v>2</v>
      </c>
      <c r="D13283" s="136">
        <f t="shared" si="622"/>
        <v>9</v>
      </c>
      <c r="E13283" s="136">
        <f t="shared" si="621"/>
        <v>25</v>
      </c>
      <c r="F13283" s="137" t="s">
        <v>24</v>
      </c>
      <c r="G13283" s="128" t="str">
        <f>VLOOKUP(source[[#This Row],[lending_product_transform]],[3]Mapping!$B$4:$C$37,2,0)</f>
        <v>[Cake] - Cashloan</v>
      </c>
      <c r="H13283" s="128" t="str">
        <f>VLOOKUP(source[[#This Row],[lending_product_transform]],[3]Mapping!$B$3:$D$37,3,0)</f>
        <v>cashloan</v>
      </c>
      <c r="I13283" s="143">
        <v>10302190000</v>
      </c>
    </row>
    <row r="13284" spans="1:9" x14ac:dyDescent="0.2">
      <c r="A13284" s="134">
        <v>46078</v>
      </c>
      <c r="B13284" s="135">
        <f>YEAR(source[[#This Row],[report_date]])</f>
        <v>2026</v>
      </c>
      <c r="C13284" s="128">
        <f t="shared" si="620"/>
        <v>2</v>
      </c>
      <c r="D13284" s="136">
        <f t="shared" si="622"/>
        <v>9</v>
      </c>
      <c r="E13284" s="136">
        <f t="shared" si="621"/>
        <v>25</v>
      </c>
      <c r="F13284" s="137" t="s">
        <v>24</v>
      </c>
      <c r="G13284" s="128" t="str">
        <f>VLOOKUP(source[[#This Row],[lending_product_transform]],[3]Mapping!$B$4:$C$37,2,0)</f>
        <v>[Cake] - Cashloan</v>
      </c>
      <c r="H13284" s="128" t="str">
        <f>VLOOKUP(source[[#This Row],[lending_product_transform]],[3]Mapping!$B$3:$D$37,3,0)</f>
        <v>cashloan</v>
      </c>
      <c r="I13284" s="143">
        <v>0</v>
      </c>
    </row>
    <row r="13285" spans="1:9" x14ac:dyDescent="0.2">
      <c r="A13285" s="134">
        <v>46078</v>
      </c>
      <c r="B13285" s="135">
        <f>YEAR(source[[#This Row],[report_date]])</f>
        <v>2026</v>
      </c>
      <c r="C13285" s="128">
        <f t="shared" si="620"/>
        <v>2</v>
      </c>
      <c r="D13285" s="136">
        <f t="shared" si="622"/>
        <v>9</v>
      </c>
      <c r="E13285" s="136">
        <f t="shared" si="621"/>
        <v>25</v>
      </c>
      <c r="F13285" s="137" t="s">
        <v>24</v>
      </c>
      <c r="G13285" s="128" t="str">
        <f>VLOOKUP(source[[#This Row],[lending_product_transform]],[3]Mapping!$B$4:$C$37,2,0)</f>
        <v>[Cake] - Cashloan</v>
      </c>
      <c r="H13285" s="128" t="str">
        <f>VLOOKUP(source[[#This Row],[lending_product_transform]],[3]Mapping!$B$3:$D$37,3,0)</f>
        <v>cashloan</v>
      </c>
      <c r="I13285" s="143">
        <v>0</v>
      </c>
    </row>
    <row r="13286" spans="1:9" x14ac:dyDescent="0.2">
      <c r="A13286" s="134">
        <v>46078</v>
      </c>
      <c r="B13286" s="135">
        <f>YEAR(source[[#This Row],[report_date]])</f>
        <v>2026</v>
      </c>
      <c r="C13286" s="128">
        <f t="shared" si="620"/>
        <v>2</v>
      </c>
      <c r="D13286" s="136">
        <f t="shared" si="622"/>
        <v>9</v>
      </c>
      <c r="E13286" s="136">
        <f t="shared" si="621"/>
        <v>25</v>
      </c>
      <c r="F13286" s="137" t="s">
        <v>24</v>
      </c>
      <c r="G13286" s="128" t="str">
        <f>VLOOKUP(source[[#This Row],[lending_product_transform]],[3]Mapping!$B$4:$C$37,2,0)</f>
        <v>[Cake] - Cashloan</v>
      </c>
      <c r="H13286" s="128" t="str">
        <f>VLOOKUP(source[[#This Row],[lending_product_transform]],[3]Mapping!$B$3:$D$37,3,0)</f>
        <v>cashloan</v>
      </c>
      <c r="I13286" s="143">
        <v>0</v>
      </c>
    </row>
    <row r="13287" spans="1:9" x14ac:dyDescent="0.2">
      <c r="A13287" s="134">
        <v>46078</v>
      </c>
      <c r="B13287" s="135">
        <f>YEAR(source[[#This Row],[report_date]])</f>
        <v>2026</v>
      </c>
      <c r="C13287" s="128">
        <f t="shared" si="620"/>
        <v>2</v>
      </c>
      <c r="D13287" s="136">
        <f t="shared" si="622"/>
        <v>9</v>
      </c>
      <c r="E13287" s="136">
        <f t="shared" si="621"/>
        <v>25</v>
      </c>
      <c r="F13287" s="137" t="s">
        <v>24</v>
      </c>
      <c r="G13287" s="128" t="str">
        <f>VLOOKUP(source[[#This Row],[lending_product_transform]],[3]Mapping!$B$4:$C$37,2,0)</f>
        <v>[Cake] - Cashloan</v>
      </c>
      <c r="H13287" s="128" t="str">
        <f>VLOOKUP(source[[#This Row],[lending_product_transform]],[3]Mapping!$B$3:$D$37,3,0)</f>
        <v>cashloan</v>
      </c>
      <c r="I13287" s="143">
        <v>0</v>
      </c>
    </row>
    <row r="13288" spans="1:9" x14ac:dyDescent="0.2">
      <c r="A13288" s="134">
        <v>46078</v>
      </c>
      <c r="B13288" s="135">
        <f>YEAR(source[[#This Row],[report_date]])</f>
        <v>2026</v>
      </c>
      <c r="C13288" s="128">
        <f t="shared" si="620"/>
        <v>2</v>
      </c>
      <c r="D13288" s="136">
        <f t="shared" si="622"/>
        <v>9</v>
      </c>
      <c r="E13288" s="136">
        <f t="shared" si="621"/>
        <v>25</v>
      </c>
      <c r="F13288" s="137" t="s">
        <v>24</v>
      </c>
      <c r="G13288" s="128" t="str">
        <f>VLOOKUP(source[[#This Row],[lending_product_transform]],[3]Mapping!$B$4:$C$37,2,0)</f>
        <v>[Cake] - Cashloan</v>
      </c>
      <c r="H13288" s="128" t="str">
        <f>VLOOKUP(source[[#This Row],[lending_product_transform]],[3]Mapping!$B$3:$D$37,3,0)</f>
        <v>cashloan</v>
      </c>
      <c r="I13288" s="143">
        <v>10211292000</v>
      </c>
    </row>
    <row r="13289" spans="1:9" x14ac:dyDescent="0.2">
      <c r="A13289" s="134">
        <v>46078</v>
      </c>
      <c r="B13289" s="135">
        <f>YEAR(source[[#This Row],[report_date]])</f>
        <v>2026</v>
      </c>
      <c r="C13289" s="128">
        <f t="shared" si="620"/>
        <v>2</v>
      </c>
      <c r="D13289" s="136">
        <f t="shared" si="622"/>
        <v>9</v>
      </c>
      <c r="E13289" s="136">
        <f t="shared" si="621"/>
        <v>25</v>
      </c>
      <c r="F13289" s="137" t="s">
        <v>24</v>
      </c>
      <c r="G13289" s="128" t="str">
        <f>VLOOKUP(source[[#This Row],[lending_product_transform]],[3]Mapping!$B$4:$C$37,2,0)</f>
        <v>[Cake] - Cashloan</v>
      </c>
      <c r="H13289" s="128" t="str">
        <f>VLOOKUP(source[[#This Row],[lending_product_transform]],[3]Mapping!$B$3:$D$37,3,0)</f>
        <v>cashloan</v>
      </c>
      <c r="I13289" s="143">
        <v>175329420</v>
      </c>
    </row>
    <row r="13290" spans="1:9" x14ac:dyDescent="0.2">
      <c r="A13290" s="134">
        <v>46078</v>
      </c>
      <c r="B13290" s="135">
        <f>YEAR(source[[#This Row],[report_date]])</f>
        <v>2026</v>
      </c>
      <c r="C13290" s="128">
        <f t="shared" si="620"/>
        <v>2</v>
      </c>
      <c r="D13290" s="136">
        <f t="shared" si="622"/>
        <v>9</v>
      </c>
      <c r="E13290" s="136">
        <f t="shared" si="621"/>
        <v>25</v>
      </c>
      <c r="F13290" s="137" t="s">
        <v>24</v>
      </c>
      <c r="G13290" s="128" t="str">
        <f>VLOOKUP(source[[#This Row],[lending_product_transform]],[3]Mapping!$B$4:$C$37,2,0)</f>
        <v>[Cake] - Cashloan</v>
      </c>
      <c r="H13290" s="128" t="str">
        <f>VLOOKUP(source[[#This Row],[lending_product_transform]],[3]Mapping!$B$3:$D$37,3,0)</f>
        <v>cashloan</v>
      </c>
      <c r="I13290" s="143">
        <v>42000000</v>
      </c>
    </row>
    <row r="13291" spans="1:9" x14ac:dyDescent="0.2">
      <c r="A13291" s="134">
        <v>46078</v>
      </c>
      <c r="B13291" s="135">
        <f>YEAR(source[[#This Row],[report_date]])</f>
        <v>2026</v>
      </c>
      <c r="C13291" s="128">
        <f t="shared" si="620"/>
        <v>2</v>
      </c>
      <c r="D13291" s="136">
        <f t="shared" si="622"/>
        <v>9</v>
      </c>
      <c r="E13291" s="136">
        <f t="shared" si="621"/>
        <v>25</v>
      </c>
      <c r="F13291" s="137" t="s">
        <v>24</v>
      </c>
      <c r="G13291" s="128" t="str">
        <f>VLOOKUP(source[[#This Row],[lending_product_transform]],[3]Mapping!$B$4:$C$37,2,0)</f>
        <v>[Cake] - Cashloan</v>
      </c>
      <c r="H13291" s="128" t="str">
        <f>VLOOKUP(source[[#This Row],[lending_product_transform]],[3]Mapping!$B$3:$D$37,3,0)</f>
        <v>cashloan</v>
      </c>
      <c r="I13291" s="143">
        <v>51000000</v>
      </c>
    </row>
    <row r="13292" spans="1:9" x14ac:dyDescent="0.2">
      <c r="A13292" s="134">
        <v>46078</v>
      </c>
      <c r="B13292" s="135">
        <f>YEAR(source[[#This Row],[report_date]])</f>
        <v>2026</v>
      </c>
      <c r="C13292" s="128">
        <f t="shared" si="620"/>
        <v>2</v>
      </c>
      <c r="D13292" s="136">
        <f t="shared" si="622"/>
        <v>9</v>
      </c>
      <c r="E13292" s="136">
        <f t="shared" si="621"/>
        <v>25</v>
      </c>
      <c r="F13292" s="137" t="s">
        <v>24</v>
      </c>
      <c r="G13292" s="128" t="str">
        <f>VLOOKUP(source[[#This Row],[lending_product_transform]],[3]Mapping!$B$4:$C$37,2,0)</f>
        <v>[Cake] - Cashloan</v>
      </c>
      <c r="H13292" s="128" t="str">
        <f>VLOOKUP(source[[#This Row],[lending_product_transform]],[3]Mapping!$B$3:$D$37,3,0)</f>
        <v>cashloan</v>
      </c>
      <c r="I13292" s="143">
        <v>504460000</v>
      </c>
    </row>
    <row r="13293" spans="1:9" x14ac:dyDescent="0.2">
      <c r="A13293" s="134">
        <v>46078</v>
      </c>
      <c r="B13293" s="135">
        <f>YEAR(source[[#This Row],[report_date]])</f>
        <v>2026</v>
      </c>
      <c r="C13293" s="128">
        <f t="shared" si="620"/>
        <v>2</v>
      </c>
      <c r="D13293" s="136">
        <f t="shared" si="622"/>
        <v>9</v>
      </c>
      <c r="E13293" s="136">
        <f t="shared" si="621"/>
        <v>25</v>
      </c>
      <c r="F13293" s="137" t="s">
        <v>24</v>
      </c>
      <c r="G13293" s="128" t="str">
        <f>VLOOKUP(source[[#This Row],[lending_product_transform]],[3]Mapping!$B$4:$C$37,2,0)</f>
        <v>[Cake] - Cashloan</v>
      </c>
      <c r="H13293" s="128" t="str">
        <f>VLOOKUP(source[[#This Row],[lending_product_transform]],[3]Mapping!$B$3:$D$37,3,0)</f>
        <v>cashloan</v>
      </c>
      <c r="I13293" s="143">
        <v>285336000</v>
      </c>
    </row>
    <row r="13294" spans="1:9" x14ac:dyDescent="0.2">
      <c r="A13294" s="134">
        <v>46078</v>
      </c>
      <c r="B13294" s="135">
        <f>YEAR(source[[#This Row],[report_date]])</f>
        <v>2026</v>
      </c>
      <c r="C13294" s="128">
        <f t="shared" si="620"/>
        <v>2</v>
      </c>
      <c r="D13294" s="136">
        <f t="shared" si="622"/>
        <v>9</v>
      </c>
      <c r="E13294" s="136">
        <f t="shared" si="621"/>
        <v>25</v>
      </c>
      <c r="F13294" s="137" t="s">
        <v>24</v>
      </c>
      <c r="G13294" s="128" t="str">
        <f>VLOOKUP(source[[#This Row],[lending_product_transform]],[3]Mapping!$B$4:$C$37,2,0)</f>
        <v>[Cake] - Cashloan</v>
      </c>
      <c r="H13294" s="128" t="str">
        <f>VLOOKUP(source[[#This Row],[lending_product_transform]],[3]Mapping!$B$3:$D$37,3,0)</f>
        <v>cashloan</v>
      </c>
      <c r="I13294" s="143">
        <v>352897049</v>
      </c>
    </row>
    <row r="13295" spans="1:9" x14ac:dyDescent="0.2">
      <c r="A13295" s="134">
        <v>46078</v>
      </c>
      <c r="B13295" s="135">
        <f>YEAR(source[[#This Row],[report_date]])</f>
        <v>2026</v>
      </c>
      <c r="C13295" s="128">
        <f t="shared" si="620"/>
        <v>2</v>
      </c>
      <c r="D13295" s="136">
        <f t="shared" si="622"/>
        <v>9</v>
      </c>
      <c r="E13295" s="136">
        <f t="shared" si="621"/>
        <v>25</v>
      </c>
      <c r="F13295" s="137" t="s">
        <v>24</v>
      </c>
      <c r="G13295" s="128" t="str">
        <f>VLOOKUP(source[[#This Row],[lending_product_transform]],[3]Mapping!$B$4:$C$37,2,0)</f>
        <v>[Cake] - Cashloan</v>
      </c>
      <c r="H13295" s="128" t="str">
        <f>VLOOKUP(source[[#This Row],[lending_product_transform]],[3]Mapping!$B$3:$D$37,3,0)</f>
        <v>cashloan</v>
      </c>
      <c r="I13295" s="143">
        <v>2264870000</v>
      </c>
    </row>
    <row r="13296" spans="1:9" x14ac:dyDescent="0.2">
      <c r="A13296" s="134">
        <v>46078</v>
      </c>
      <c r="B13296" s="135">
        <f>YEAR(source[[#This Row],[report_date]])</f>
        <v>2026</v>
      </c>
      <c r="C13296" s="128">
        <f t="shared" si="620"/>
        <v>2</v>
      </c>
      <c r="D13296" s="136">
        <f t="shared" si="622"/>
        <v>9</v>
      </c>
      <c r="E13296" s="136">
        <f t="shared" si="621"/>
        <v>25</v>
      </c>
      <c r="F13296" s="137" t="s">
        <v>24</v>
      </c>
      <c r="G13296" s="128" t="str">
        <f>VLOOKUP(source[[#This Row],[lending_product_transform]],[3]Mapping!$B$4:$C$37,2,0)</f>
        <v>[Cake] - Cashloan</v>
      </c>
      <c r="H13296" s="128" t="str">
        <f>VLOOKUP(source[[#This Row],[lending_product_transform]],[3]Mapping!$B$3:$D$37,3,0)</f>
        <v>cashloan</v>
      </c>
      <c r="I13296" s="143">
        <v>401760000</v>
      </c>
    </row>
    <row r="13297" spans="1:9" x14ac:dyDescent="0.2">
      <c r="A13297" s="134">
        <v>46079</v>
      </c>
      <c r="B13297" s="135">
        <f>YEAR(source[[#This Row],[report_date]])</f>
        <v>2026</v>
      </c>
      <c r="C13297" s="128">
        <f t="shared" si="620"/>
        <v>2</v>
      </c>
      <c r="D13297" s="136">
        <f t="shared" si="622"/>
        <v>9</v>
      </c>
      <c r="E13297" s="136">
        <f t="shared" si="621"/>
        <v>26</v>
      </c>
      <c r="F13297" s="137" t="s">
        <v>24</v>
      </c>
      <c r="G13297" s="128" t="str">
        <f>VLOOKUP(source[[#This Row],[lending_product_transform]],[3]Mapping!$B$4:$C$37,2,0)</f>
        <v>[Cake] - Cashloan</v>
      </c>
      <c r="H13297" s="128" t="str">
        <f>VLOOKUP(source[[#This Row],[lending_product_transform]],[3]Mapping!$B$3:$D$37,3,0)</f>
        <v>cashloan</v>
      </c>
      <c r="I13297" s="143">
        <v>438300000</v>
      </c>
    </row>
    <row r="13298" spans="1:9" x14ac:dyDescent="0.2">
      <c r="A13298" s="134">
        <v>46079</v>
      </c>
      <c r="B13298" s="135">
        <f>YEAR(source[[#This Row],[report_date]])</f>
        <v>2026</v>
      </c>
      <c r="C13298" s="128">
        <f t="shared" si="620"/>
        <v>2</v>
      </c>
      <c r="D13298" s="136">
        <f t="shared" si="622"/>
        <v>9</v>
      </c>
      <c r="E13298" s="136">
        <f t="shared" si="621"/>
        <v>26</v>
      </c>
      <c r="F13298" s="137" t="s">
        <v>24</v>
      </c>
      <c r="G13298" s="128" t="str">
        <f>VLOOKUP(source[[#This Row],[lending_product_transform]],[3]Mapping!$B$4:$C$37,2,0)</f>
        <v>[Cake] - Cashloan</v>
      </c>
      <c r="H13298" s="128" t="str">
        <f>VLOOKUP(source[[#This Row],[lending_product_transform]],[3]Mapping!$B$3:$D$37,3,0)</f>
        <v>cashloan</v>
      </c>
      <c r="I13298" s="143">
        <v>320224994</v>
      </c>
    </row>
    <row r="13299" spans="1:9" x14ac:dyDescent="0.2">
      <c r="A13299" s="134">
        <v>46079</v>
      </c>
      <c r="B13299" s="135">
        <f>YEAR(source[[#This Row],[report_date]])</f>
        <v>2026</v>
      </c>
      <c r="C13299" s="128">
        <f t="shared" si="620"/>
        <v>2</v>
      </c>
      <c r="D13299" s="136">
        <f t="shared" si="622"/>
        <v>9</v>
      </c>
      <c r="E13299" s="136">
        <f t="shared" si="621"/>
        <v>26</v>
      </c>
      <c r="F13299" s="137" t="s">
        <v>24</v>
      </c>
      <c r="G13299" s="128" t="str">
        <f>VLOOKUP(source[[#This Row],[lending_product_transform]],[3]Mapping!$B$4:$C$37,2,0)</f>
        <v>[Cake] - Cashloan</v>
      </c>
      <c r="H13299" s="128" t="str">
        <f>VLOOKUP(source[[#This Row],[lending_product_transform]],[3]Mapping!$B$3:$D$37,3,0)</f>
        <v>cashloan</v>
      </c>
      <c r="I13299" s="143">
        <v>8898300000</v>
      </c>
    </row>
    <row r="13300" spans="1:9" x14ac:dyDescent="0.2">
      <c r="A13300" s="134">
        <v>46079</v>
      </c>
      <c r="B13300" s="135">
        <f>YEAR(source[[#This Row],[report_date]])</f>
        <v>2026</v>
      </c>
      <c r="C13300" s="128">
        <f t="shared" si="620"/>
        <v>2</v>
      </c>
      <c r="D13300" s="136">
        <f t="shared" si="622"/>
        <v>9</v>
      </c>
      <c r="E13300" s="136">
        <f t="shared" si="621"/>
        <v>26</v>
      </c>
      <c r="F13300" s="137" t="s">
        <v>24</v>
      </c>
      <c r="G13300" s="128" t="str">
        <f>VLOOKUP(source[[#This Row],[lending_product_transform]],[3]Mapping!$B$4:$C$37,2,0)</f>
        <v>[Cake] - Cashloan</v>
      </c>
      <c r="H13300" s="128" t="str">
        <f>VLOOKUP(source[[#This Row],[lending_product_transform]],[3]Mapping!$B$3:$D$37,3,0)</f>
        <v>cashloan</v>
      </c>
      <c r="I13300" s="143">
        <v>1709680434</v>
      </c>
    </row>
    <row r="13301" spans="1:9" x14ac:dyDescent="0.2">
      <c r="A13301" s="134">
        <v>46079</v>
      </c>
      <c r="B13301" s="135">
        <f>YEAR(source[[#This Row],[report_date]])</f>
        <v>2026</v>
      </c>
      <c r="C13301" s="128">
        <f t="shared" si="620"/>
        <v>2</v>
      </c>
      <c r="D13301" s="136">
        <f t="shared" si="622"/>
        <v>9</v>
      </c>
      <c r="E13301" s="136">
        <f t="shared" si="621"/>
        <v>26</v>
      </c>
      <c r="F13301" s="137" t="s">
        <v>24</v>
      </c>
      <c r="G13301" s="128" t="str">
        <f>VLOOKUP(source[[#This Row],[lending_product_transform]],[3]Mapping!$B$4:$C$37,2,0)</f>
        <v>[Cake] - Cashloan</v>
      </c>
      <c r="H13301" s="128" t="str">
        <f>VLOOKUP(source[[#This Row],[lending_product_transform]],[3]Mapping!$B$3:$D$37,3,0)</f>
        <v>cashloan</v>
      </c>
      <c r="I13301" s="143">
        <v>12725100000</v>
      </c>
    </row>
    <row r="13302" spans="1:9" x14ac:dyDescent="0.2">
      <c r="A13302" s="134">
        <v>46079</v>
      </c>
      <c r="B13302" s="135">
        <f>YEAR(source[[#This Row],[report_date]])</f>
        <v>2026</v>
      </c>
      <c r="C13302" s="128">
        <f t="shared" ref="C13302:C13365" si="623">MONTH(A13302)</f>
        <v>2</v>
      </c>
      <c r="D13302" s="136">
        <f t="shared" si="622"/>
        <v>9</v>
      </c>
      <c r="E13302" s="136">
        <f t="shared" ref="E13302:E13365" si="624">DAY(A13302)</f>
        <v>26</v>
      </c>
      <c r="F13302" s="137" t="s">
        <v>24</v>
      </c>
      <c r="G13302" s="128" t="str">
        <f>VLOOKUP(source[[#This Row],[lending_product_transform]],[3]Mapping!$B$4:$C$37,2,0)</f>
        <v>[Cake] - Cashloan</v>
      </c>
      <c r="H13302" s="128" t="str">
        <f>VLOOKUP(source[[#This Row],[lending_product_transform]],[3]Mapping!$B$3:$D$37,3,0)</f>
        <v>cashloan</v>
      </c>
      <c r="I13302" s="143">
        <v>12107317</v>
      </c>
    </row>
    <row r="13303" spans="1:9" x14ac:dyDescent="0.2">
      <c r="A13303" s="134">
        <v>46079</v>
      </c>
      <c r="B13303" s="135">
        <f>YEAR(source[[#This Row],[report_date]])</f>
        <v>2026</v>
      </c>
      <c r="C13303" s="128">
        <f t="shared" si="623"/>
        <v>2</v>
      </c>
      <c r="D13303" s="136">
        <f t="shared" si="622"/>
        <v>9</v>
      </c>
      <c r="E13303" s="136">
        <f t="shared" si="624"/>
        <v>26</v>
      </c>
      <c r="F13303" s="137" t="s">
        <v>24</v>
      </c>
      <c r="G13303" s="128" t="str">
        <f>VLOOKUP(source[[#This Row],[lending_product_transform]],[3]Mapping!$B$4:$C$37,2,0)</f>
        <v>[Cake] - Cashloan</v>
      </c>
      <c r="H13303" s="128" t="str">
        <f>VLOOKUP(source[[#This Row],[lending_product_transform]],[3]Mapping!$B$3:$D$37,3,0)</f>
        <v>cashloan</v>
      </c>
      <c r="I13303" s="143">
        <v>29000000</v>
      </c>
    </row>
    <row r="13304" spans="1:9" x14ac:dyDescent="0.2">
      <c r="A13304" s="134">
        <v>46079</v>
      </c>
      <c r="B13304" s="135">
        <f>YEAR(source[[#This Row],[report_date]])</f>
        <v>2026</v>
      </c>
      <c r="C13304" s="128">
        <f t="shared" si="623"/>
        <v>2</v>
      </c>
      <c r="D13304" s="136">
        <f t="shared" si="622"/>
        <v>9</v>
      </c>
      <c r="E13304" s="136">
        <f t="shared" si="624"/>
        <v>26</v>
      </c>
      <c r="F13304" s="137" t="s">
        <v>24</v>
      </c>
      <c r="G13304" s="128" t="str">
        <f>VLOOKUP(source[[#This Row],[lending_product_transform]],[3]Mapping!$B$4:$C$37,2,0)</f>
        <v>[Cake] - Cashloan</v>
      </c>
      <c r="H13304" s="128" t="str">
        <f>VLOOKUP(source[[#This Row],[lending_product_transform]],[3]Mapping!$B$3:$D$37,3,0)</f>
        <v>cashloan</v>
      </c>
      <c r="I13304" s="143">
        <v>1860980000</v>
      </c>
    </row>
    <row r="13305" spans="1:9" x14ac:dyDescent="0.2">
      <c r="A13305" s="134">
        <v>46079</v>
      </c>
      <c r="B13305" s="135">
        <f>YEAR(source[[#This Row],[report_date]])</f>
        <v>2026</v>
      </c>
      <c r="C13305" s="128">
        <f t="shared" si="623"/>
        <v>2</v>
      </c>
      <c r="D13305" s="136">
        <f t="shared" si="622"/>
        <v>9</v>
      </c>
      <c r="E13305" s="136">
        <f t="shared" si="624"/>
        <v>26</v>
      </c>
      <c r="F13305" s="137" t="s">
        <v>24</v>
      </c>
      <c r="G13305" s="128" t="str">
        <f>VLOOKUP(source[[#This Row],[lending_product_transform]],[3]Mapping!$B$4:$C$37,2,0)</f>
        <v>[Cake] - Cashloan</v>
      </c>
      <c r="H13305" s="128" t="str">
        <f>VLOOKUP(source[[#This Row],[lending_product_transform]],[3]Mapping!$B$3:$D$37,3,0)</f>
        <v>cashloan</v>
      </c>
      <c r="I13305" s="143">
        <v>900790000</v>
      </c>
    </row>
    <row r="13306" spans="1:9" x14ac:dyDescent="0.2">
      <c r="A13306" s="134">
        <v>46079</v>
      </c>
      <c r="B13306" s="135">
        <f>YEAR(source[[#This Row],[report_date]])</f>
        <v>2026</v>
      </c>
      <c r="C13306" s="128">
        <f t="shared" si="623"/>
        <v>2</v>
      </c>
      <c r="D13306" s="136">
        <f t="shared" si="622"/>
        <v>9</v>
      </c>
      <c r="E13306" s="136">
        <f t="shared" si="624"/>
        <v>26</v>
      </c>
      <c r="F13306" s="137" t="s">
        <v>24</v>
      </c>
      <c r="G13306" s="128" t="str">
        <f>VLOOKUP(source[[#This Row],[lending_product_transform]],[3]Mapping!$B$4:$C$37,2,0)</f>
        <v>[Cake] - Cashloan</v>
      </c>
      <c r="H13306" s="128" t="str">
        <f>VLOOKUP(source[[#This Row],[lending_product_transform]],[3]Mapping!$B$3:$D$37,3,0)</f>
        <v>cashloan</v>
      </c>
      <c r="I13306" s="143">
        <v>16838744</v>
      </c>
    </row>
    <row r="13307" spans="1:9" x14ac:dyDescent="0.2">
      <c r="A13307" s="134">
        <v>46079</v>
      </c>
      <c r="B13307" s="135">
        <f>YEAR(source[[#This Row],[report_date]])</f>
        <v>2026</v>
      </c>
      <c r="C13307" s="128">
        <f t="shared" si="623"/>
        <v>2</v>
      </c>
      <c r="D13307" s="136">
        <f t="shared" si="622"/>
        <v>9</v>
      </c>
      <c r="E13307" s="136">
        <f t="shared" si="624"/>
        <v>26</v>
      </c>
      <c r="F13307" s="137" t="s">
        <v>24</v>
      </c>
      <c r="G13307" s="128" t="str">
        <f>VLOOKUP(source[[#This Row],[lending_product_transform]],[3]Mapping!$B$4:$C$37,2,0)</f>
        <v>[Cake] - Cashloan</v>
      </c>
      <c r="H13307" s="128" t="str">
        <f>VLOOKUP(source[[#This Row],[lending_product_transform]],[3]Mapping!$B$3:$D$37,3,0)</f>
        <v>cashloan</v>
      </c>
      <c r="I13307" s="143">
        <v>841888111</v>
      </c>
    </row>
    <row r="13308" spans="1:9" x14ac:dyDescent="0.2">
      <c r="A13308" s="134">
        <v>46079</v>
      </c>
      <c r="B13308" s="135">
        <f>YEAR(source[[#This Row],[report_date]])</f>
        <v>2026</v>
      </c>
      <c r="C13308" s="128">
        <f t="shared" si="623"/>
        <v>2</v>
      </c>
      <c r="D13308" s="136">
        <f t="shared" si="622"/>
        <v>9</v>
      </c>
      <c r="E13308" s="136">
        <f t="shared" si="624"/>
        <v>26</v>
      </c>
      <c r="F13308" s="137" t="s">
        <v>24</v>
      </c>
      <c r="G13308" s="128" t="str">
        <f>VLOOKUP(source[[#This Row],[lending_product_transform]],[3]Mapping!$B$4:$C$37,2,0)</f>
        <v>[Cake] - Cashloan</v>
      </c>
      <c r="H13308" s="128" t="str">
        <f>VLOOKUP(source[[#This Row],[lending_product_transform]],[3]Mapping!$B$3:$D$37,3,0)</f>
        <v>cashloan</v>
      </c>
      <c r="I13308" s="143">
        <v>0</v>
      </c>
    </row>
    <row r="13309" spans="1:9" x14ac:dyDescent="0.2">
      <c r="A13309" s="134">
        <v>46079</v>
      </c>
      <c r="B13309" s="135">
        <f>YEAR(source[[#This Row],[report_date]])</f>
        <v>2026</v>
      </c>
      <c r="C13309" s="128">
        <f t="shared" si="623"/>
        <v>2</v>
      </c>
      <c r="D13309" s="136">
        <f t="shared" si="622"/>
        <v>9</v>
      </c>
      <c r="E13309" s="136">
        <f t="shared" si="624"/>
        <v>26</v>
      </c>
      <c r="F13309" s="137" t="s">
        <v>24</v>
      </c>
      <c r="G13309" s="128" t="str">
        <f>VLOOKUP(source[[#This Row],[lending_product_transform]],[3]Mapping!$B$4:$C$37,2,0)</f>
        <v>[Cake] - Cashloan</v>
      </c>
      <c r="H13309" s="128" t="str">
        <f>VLOOKUP(source[[#This Row],[lending_product_transform]],[3]Mapping!$B$3:$D$37,3,0)</f>
        <v>cashloan</v>
      </c>
      <c r="I13309" s="143">
        <v>41250000</v>
      </c>
    </row>
    <row r="13310" spans="1:9" x14ac:dyDescent="0.2">
      <c r="A13310" s="134">
        <v>46079</v>
      </c>
      <c r="B13310" s="135">
        <f>YEAR(source[[#This Row],[report_date]])</f>
        <v>2026</v>
      </c>
      <c r="C13310" s="128">
        <f t="shared" si="623"/>
        <v>2</v>
      </c>
      <c r="D13310" s="136">
        <f t="shared" si="622"/>
        <v>9</v>
      </c>
      <c r="E13310" s="136">
        <f t="shared" si="624"/>
        <v>26</v>
      </c>
      <c r="F13310" s="137" t="s">
        <v>24</v>
      </c>
      <c r="G13310" s="128" t="str">
        <f>VLOOKUP(source[[#This Row],[lending_product_transform]],[3]Mapping!$B$4:$C$37,2,0)</f>
        <v>[Cake] - Cashloan</v>
      </c>
      <c r="H13310" s="128" t="str">
        <f>VLOOKUP(source[[#This Row],[lending_product_transform]],[3]Mapping!$B$3:$D$37,3,0)</f>
        <v>cashloan</v>
      </c>
      <c r="I13310" s="143">
        <v>0</v>
      </c>
    </row>
    <row r="13311" spans="1:9" x14ac:dyDescent="0.2">
      <c r="A13311" s="134">
        <v>46079</v>
      </c>
      <c r="B13311" s="135">
        <f>YEAR(source[[#This Row],[report_date]])</f>
        <v>2026</v>
      </c>
      <c r="C13311" s="128">
        <f t="shared" si="623"/>
        <v>2</v>
      </c>
      <c r="D13311" s="136">
        <f t="shared" si="622"/>
        <v>9</v>
      </c>
      <c r="E13311" s="136">
        <f t="shared" si="624"/>
        <v>26</v>
      </c>
      <c r="F13311" s="137" t="s">
        <v>24</v>
      </c>
      <c r="G13311" s="128" t="str">
        <f>VLOOKUP(source[[#This Row],[lending_product_transform]],[3]Mapping!$B$4:$C$37,2,0)</f>
        <v>[Cake] - Cashloan</v>
      </c>
      <c r="H13311" s="128" t="str">
        <f>VLOOKUP(source[[#This Row],[lending_product_transform]],[3]Mapping!$B$3:$D$37,3,0)</f>
        <v>cashloan</v>
      </c>
      <c r="I13311" s="143">
        <v>10847910000</v>
      </c>
    </row>
    <row r="13312" spans="1:9" x14ac:dyDescent="0.2">
      <c r="A13312" s="134">
        <v>46079</v>
      </c>
      <c r="B13312" s="135">
        <f>YEAR(source[[#This Row],[report_date]])</f>
        <v>2026</v>
      </c>
      <c r="C13312" s="128">
        <f t="shared" si="623"/>
        <v>2</v>
      </c>
      <c r="D13312" s="136">
        <f t="shared" si="622"/>
        <v>9</v>
      </c>
      <c r="E13312" s="136">
        <f t="shared" si="624"/>
        <v>26</v>
      </c>
      <c r="F13312" s="137" t="s">
        <v>24</v>
      </c>
      <c r="G13312" s="128" t="str">
        <f>VLOOKUP(source[[#This Row],[lending_product_transform]],[3]Mapping!$B$4:$C$37,2,0)</f>
        <v>[Cake] - Cashloan</v>
      </c>
      <c r="H13312" s="128" t="str">
        <f>VLOOKUP(source[[#This Row],[lending_product_transform]],[3]Mapping!$B$3:$D$37,3,0)</f>
        <v>cashloan</v>
      </c>
      <c r="I13312" s="143">
        <v>0</v>
      </c>
    </row>
    <row r="13313" spans="1:9" x14ac:dyDescent="0.2">
      <c r="A13313" s="134">
        <v>46079</v>
      </c>
      <c r="B13313" s="135">
        <f>YEAR(source[[#This Row],[report_date]])</f>
        <v>2026</v>
      </c>
      <c r="C13313" s="128">
        <f t="shared" si="623"/>
        <v>2</v>
      </c>
      <c r="D13313" s="136">
        <f t="shared" si="622"/>
        <v>9</v>
      </c>
      <c r="E13313" s="136">
        <f t="shared" si="624"/>
        <v>26</v>
      </c>
      <c r="F13313" s="137" t="s">
        <v>24</v>
      </c>
      <c r="G13313" s="128" t="str">
        <f>VLOOKUP(source[[#This Row],[lending_product_transform]],[3]Mapping!$B$4:$C$37,2,0)</f>
        <v>[Cake] - Cashloan</v>
      </c>
      <c r="H13313" s="128" t="str">
        <f>VLOOKUP(source[[#This Row],[lending_product_transform]],[3]Mapping!$B$3:$D$37,3,0)</f>
        <v>cashloan</v>
      </c>
      <c r="I13313" s="143">
        <v>0</v>
      </c>
    </row>
    <row r="13314" spans="1:9" x14ac:dyDescent="0.2">
      <c r="A13314" s="134">
        <v>46079</v>
      </c>
      <c r="B13314" s="135">
        <f>YEAR(source[[#This Row],[report_date]])</f>
        <v>2026</v>
      </c>
      <c r="C13314" s="128">
        <f t="shared" si="623"/>
        <v>2</v>
      </c>
      <c r="D13314" s="136">
        <f t="shared" si="622"/>
        <v>9</v>
      </c>
      <c r="E13314" s="136">
        <f t="shared" si="624"/>
        <v>26</v>
      </c>
      <c r="F13314" s="137" t="s">
        <v>24</v>
      </c>
      <c r="G13314" s="128" t="str">
        <f>VLOOKUP(source[[#This Row],[lending_product_transform]],[3]Mapping!$B$4:$C$37,2,0)</f>
        <v>[Cake] - Cashloan</v>
      </c>
      <c r="H13314" s="128" t="str">
        <f>VLOOKUP(source[[#This Row],[lending_product_transform]],[3]Mapping!$B$3:$D$37,3,0)</f>
        <v>cashloan</v>
      </c>
      <c r="I13314" s="143">
        <v>0</v>
      </c>
    </row>
    <row r="13315" spans="1:9" x14ac:dyDescent="0.2">
      <c r="A13315" s="134">
        <v>46079</v>
      </c>
      <c r="B13315" s="135">
        <f>YEAR(source[[#This Row],[report_date]])</f>
        <v>2026</v>
      </c>
      <c r="C13315" s="128">
        <f t="shared" si="623"/>
        <v>2</v>
      </c>
      <c r="D13315" s="136">
        <f t="shared" si="622"/>
        <v>9</v>
      </c>
      <c r="E13315" s="136">
        <f t="shared" si="624"/>
        <v>26</v>
      </c>
      <c r="F13315" s="137" t="s">
        <v>24</v>
      </c>
      <c r="G13315" s="128" t="str">
        <f>VLOOKUP(source[[#This Row],[lending_product_transform]],[3]Mapping!$B$4:$C$37,2,0)</f>
        <v>[Cake] - Cashloan</v>
      </c>
      <c r="H13315" s="128" t="str">
        <f>VLOOKUP(source[[#This Row],[lending_product_transform]],[3]Mapping!$B$3:$D$37,3,0)</f>
        <v>cashloan</v>
      </c>
      <c r="I13315" s="143">
        <v>0</v>
      </c>
    </row>
    <row r="13316" spans="1:9" x14ac:dyDescent="0.2">
      <c r="A13316" s="134">
        <v>46079</v>
      </c>
      <c r="B13316" s="135">
        <f>YEAR(source[[#This Row],[report_date]])</f>
        <v>2026</v>
      </c>
      <c r="C13316" s="128">
        <f t="shared" si="623"/>
        <v>2</v>
      </c>
      <c r="D13316" s="136">
        <f t="shared" si="622"/>
        <v>9</v>
      </c>
      <c r="E13316" s="136">
        <f t="shared" si="624"/>
        <v>26</v>
      </c>
      <c r="F13316" s="137" t="s">
        <v>24</v>
      </c>
      <c r="G13316" s="128" t="str">
        <f>VLOOKUP(source[[#This Row],[lending_product_transform]],[3]Mapping!$B$4:$C$37,2,0)</f>
        <v>[Cake] - Cashloan</v>
      </c>
      <c r="H13316" s="128" t="str">
        <f>VLOOKUP(source[[#This Row],[lending_product_transform]],[3]Mapping!$B$3:$D$37,3,0)</f>
        <v>cashloan</v>
      </c>
      <c r="I13316" s="143">
        <v>9692460000</v>
      </c>
    </row>
    <row r="13317" spans="1:9" x14ac:dyDescent="0.2">
      <c r="A13317" s="134">
        <v>46079</v>
      </c>
      <c r="B13317" s="135">
        <f>YEAR(source[[#This Row],[report_date]])</f>
        <v>2026</v>
      </c>
      <c r="C13317" s="128">
        <f t="shared" si="623"/>
        <v>2</v>
      </c>
      <c r="D13317" s="136">
        <f t="shared" si="622"/>
        <v>9</v>
      </c>
      <c r="E13317" s="136">
        <f t="shared" si="624"/>
        <v>26</v>
      </c>
      <c r="F13317" s="137" t="s">
        <v>24</v>
      </c>
      <c r="G13317" s="128" t="str">
        <f>VLOOKUP(source[[#This Row],[lending_product_transform]],[3]Mapping!$B$4:$C$37,2,0)</f>
        <v>[Cake] - Cashloan</v>
      </c>
      <c r="H13317" s="128" t="str">
        <f>VLOOKUP(source[[#This Row],[lending_product_transform]],[3]Mapping!$B$3:$D$37,3,0)</f>
        <v>cashloan</v>
      </c>
      <c r="I13317" s="143">
        <v>157400360</v>
      </c>
    </row>
    <row r="13318" spans="1:9" x14ac:dyDescent="0.2">
      <c r="A13318" s="134">
        <v>46079</v>
      </c>
      <c r="B13318" s="135">
        <f>YEAR(source[[#This Row],[report_date]])</f>
        <v>2026</v>
      </c>
      <c r="C13318" s="128">
        <f t="shared" si="623"/>
        <v>2</v>
      </c>
      <c r="D13318" s="136">
        <f t="shared" si="622"/>
        <v>9</v>
      </c>
      <c r="E13318" s="136">
        <f t="shared" si="624"/>
        <v>26</v>
      </c>
      <c r="F13318" s="137" t="s">
        <v>24</v>
      </c>
      <c r="G13318" s="128" t="str">
        <f>VLOOKUP(source[[#This Row],[lending_product_transform]],[3]Mapping!$B$4:$C$37,2,0)</f>
        <v>[Cake] - Cashloan</v>
      </c>
      <c r="H13318" s="128" t="str">
        <f>VLOOKUP(source[[#This Row],[lending_product_transform]],[3]Mapping!$B$3:$D$37,3,0)</f>
        <v>cashloan</v>
      </c>
      <c r="I13318" s="143">
        <v>52500000</v>
      </c>
    </row>
    <row r="13319" spans="1:9" x14ac:dyDescent="0.2">
      <c r="A13319" s="134">
        <v>46079</v>
      </c>
      <c r="B13319" s="135">
        <f>YEAR(source[[#This Row],[report_date]])</f>
        <v>2026</v>
      </c>
      <c r="C13319" s="128">
        <f t="shared" si="623"/>
        <v>2</v>
      </c>
      <c r="D13319" s="136">
        <f t="shared" si="622"/>
        <v>9</v>
      </c>
      <c r="E13319" s="136">
        <f t="shared" si="624"/>
        <v>26</v>
      </c>
      <c r="F13319" s="137" t="s">
        <v>24</v>
      </c>
      <c r="G13319" s="128" t="str">
        <f>VLOOKUP(source[[#This Row],[lending_product_transform]],[3]Mapping!$B$4:$C$37,2,0)</f>
        <v>[Cake] - Cashloan</v>
      </c>
      <c r="H13319" s="128" t="str">
        <f>VLOOKUP(source[[#This Row],[lending_product_transform]],[3]Mapping!$B$3:$D$37,3,0)</f>
        <v>cashloan</v>
      </c>
      <c r="I13319" s="143">
        <v>21000000</v>
      </c>
    </row>
    <row r="13320" spans="1:9" x14ac:dyDescent="0.2">
      <c r="A13320" s="134">
        <v>46079</v>
      </c>
      <c r="B13320" s="135">
        <f>YEAR(source[[#This Row],[report_date]])</f>
        <v>2026</v>
      </c>
      <c r="C13320" s="128">
        <f t="shared" si="623"/>
        <v>2</v>
      </c>
      <c r="D13320" s="136">
        <f t="shared" si="622"/>
        <v>9</v>
      </c>
      <c r="E13320" s="136">
        <f t="shared" si="624"/>
        <v>26</v>
      </c>
      <c r="F13320" s="137" t="s">
        <v>24</v>
      </c>
      <c r="G13320" s="128" t="str">
        <f>VLOOKUP(source[[#This Row],[lending_product_transform]],[3]Mapping!$B$4:$C$37,2,0)</f>
        <v>[Cake] - Cashloan</v>
      </c>
      <c r="H13320" s="128" t="str">
        <f>VLOOKUP(source[[#This Row],[lending_product_transform]],[3]Mapping!$B$3:$D$37,3,0)</f>
        <v>cashloan</v>
      </c>
      <c r="I13320" s="143">
        <v>633600000</v>
      </c>
    </row>
    <row r="13321" spans="1:9" x14ac:dyDescent="0.2">
      <c r="A13321" s="134">
        <v>46079</v>
      </c>
      <c r="B13321" s="135">
        <f>YEAR(source[[#This Row],[report_date]])</f>
        <v>2026</v>
      </c>
      <c r="C13321" s="128">
        <f t="shared" si="623"/>
        <v>2</v>
      </c>
      <c r="D13321" s="136">
        <f t="shared" si="622"/>
        <v>9</v>
      </c>
      <c r="E13321" s="136">
        <f t="shared" si="624"/>
        <v>26</v>
      </c>
      <c r="F13321" s="137" t="s">
        <v>24</v>
      </c>
      <c r="G13321" s="128" t="str">
        <f>VLOOKUP(source[[#This Row],[lending_product_transform]],[3]Mapping!$B$4:$C$37,2,0)</f>
        <v>[Cake] - Cashloan</v>
      </c>
      <c r="H13321" s="128" t="str">
        <f>VLOOKUP(source[[#This Row],[lending_product_transform]],[3]Mapping!$B$3:$D$37,3,0)</f>
        <v>cashloan</v>
      </c>
      <c r="I13321" s="143">
        <v>240624000</v>
      </c>
    </row>
    <row r="13322" spans="1:9" x14ac:dyDescent="0.2">
      <c r="A13322" s="134">
        <v>46079</v>
      </c>
      <c r="B13322" s="135">
        <f>YEAR(source[[#This Row],[report_date]])</f>
        <v>2026</v>
      </c>
      <c r="C13322" s="128">
        <f t="shared" si="623"/>
        <v>2</v>
      </c>
      <c r="D13322" s="136">
        <f t="shared" si="622"/>
        <v>9</v>
      </c>
      <c r="E13322" s="136">
        <f t="shared" si="624"/>
        <v>26</v>
      </c>
      <c r="F13322" s="137" t="s">
        <v>24</v>
      </c>
      <c r="G13322" s="128" t="str">
        <f>VLOOKUP(source[[#This Row],[lending_product_transform]],[3]Mapping!$B$4:$C$37,2,0)</f>
        <v>[Cake] - Cashloan</v>
      </c>
      <c r="H13322" s="128" t="str">
        <f>VLOOKUP(source[[#This Row],[lending_product_transform]],[3]Mapping!$B$3:$D$37,3,0)</f>
        <v>cashloan</v>
      </c>
      <c r="I13322" s="143">
        <v>381068555</v>
      </c>
    </row>
    <row r="13323" spans="1:9" x14ac:dyDescent="0.2">
      <c r="A13323" s="134">
        <v>46079</v>
      </c>
      <c r="B13323" s="135">
        <f>YEAR(source[[#This Row],[report_date]])</f>
        <v>2026</v>
      </c>
      <c r="C13323" s="128">
        <f t="shared" si="623"/>
        <v>2</v>
      </c>
      <c r="D13323" s="136">
        <f t="shared" si="622"/>
        <v>9</v>
      </c>
      <c r="E13323" s="136">
        <f t="shared" si="624"/>
        <v>26</v>
      </c>
      <c r="F13323" s="137" t="s">
        <v>24</v>
      </c>
      <c r="G13323" s="128" t="str">
        <f>VLOOKUP(source[[#This Row],[lending_product_transform]],[3]Mapping!$B$4:$C$37,2,0)</f>
        <v>[Cake] - Cashloan</v>
      </c>
      <c r="H13323" s="128" t="str">
        <f>VLOOKUP(source[[#This Row],[lending_product_transform]],[3]Mapping!$B$3:$D$37,3,0)</f>
        <v>cashloan</v>
      </c>
      <c r="I13323" s="143">
        <v>2354610000</v>
      </c>
    </row>
    <row r="13324" spans="1:9" x14ac:dyDescent="0.2">
      <c r="A13324" s="134">
        <v>46079</v>
      </c>
      <c r="B13324" s="135">
        <f>YEAR(source[[#This Row],[report_date]])</f>
        <v>2026</v>
      </c>
      <c r="C13324" s="128">
        <f t="shared" si="623"/>
        <v>2</v>
      </c>
      <c r="D13324" s="136">
        <f t="shared" si="622"/>
        <v>9</v>
      </c>
      <c r="E13324" s="136">
        <f t="shared" si="624"/>
        <v>26</v>
      </c>
      <c r="F13324" s="137" t="s">
        <v>24</v>
      </c>
      <c r="G13324" s="128" t="str">
        <f>VLOOKUP(source[[#This Row],[lending_product_transform]],[3]Mapping!$B$4:$C$37,2,0)</f>
        <v>[Cake] - Cashloan</v>
      </c>
      <c r="H13324" s="128" t="str">
        <f>VLOOKUP(source[[#This Row],[lending_product_transform]],[3]Mapping!$B$3:$D$37,3,0)</f>
        <v>cashloan</v>
      </c>
      <c r="I13324" s="143">
        <v>414720000</v>
      </c>
    </row>
    <row r="13325" spans="1:9" x14ac:dyDescent="0.2">
      <c r="A13325" s="134">
        <v>46080</v>
      </c>
      <c r="B13325" s="135">
        <f>YEAR(source[[#This Row],[report_date]])</f>
        <v>2026</v>
      </c>
      <c r="C13325" s="128">
        <f t="shared" si="623"/>
        <v>2</v>
      </c>
      <c r="D13325" s="136">
        <f t="shared" si="622"/>
        <v>9</v>
      </c>
      <c r="E13325" s="136">
        <f t="shared" si="624"/>
        <v>27</v>
      </c>
      <c r="F13325" s="137" t="s">
        <v>24</v>
      </c>
      <c r="G13325" s="128" t="str">
        <f>VLOOKUP(source[[#This Row],[lending_product_transform]],[3]Mapping!$B$4:$C$37,2,0)</f>
        <v>[Cake] - Cashloan</v>
      </c>
      <c r="H13325" s="128" t="str">
        <f>VLOOKUP(source[[#This Row],[lending_product_transform]],[3]Mapping!$B$3:$D$37,3,0)</f>
        <v>cashloan</v>
      </c>
      <c r="I13325" s="143">
        <v>403050000</v>
      </c>
    </row>
    <row r="13326" spans="1:9" x14ac:dyDescent="0.2">
      <c r="A13326" s="134">
        <v>46080</v>
      </c>
      <c r="B13326" s="135">
        <f>YEAR(source[[#This Row],[report_date]])</f>
        <v>2026</v>
      </c>
      <c r="C13326" s="128">
        <f t="shared" si="623"/>
        <v>2</v>
      </c>
      <c r="D13326" s="136">
        <f t="shared" si="622"/>
        <v>9</v>
      </c>
      <c r="E13326" s="136">
        <f t="shared" si="624"/>
        <v>27</v>
      </c>
      <c r="F13326" s="137" t="s">
        <v>24</v>
      </c>
      <c r="G13326" s="128" t="str">
        <f>VLOOKUP(source[[#This Row],[lending_product_transform]],[3]Mapping!$B$4:$C$37,2,0)</f>
        <v>[Cake] - Cashloan</v>
      </c>
      <c r="H13326" s="128" t="str">
        <f>VLOOKUP(source[[#This Row],[lending_product_transform]],[3]Mapping!$B$3:$D$37,3,0)</f>
        <v>cashloan</v>
      </c>
      <c r="I13326" s="143">
        <v>273787154</v>
      </c>
    </row>
    <row r="13327" spans="1:9" x14ac:dyDescent="0.2">
      <c r="A13327" s="134">
        <v>46080</v>
      </c>
      <c r="B13327" s="135">
        <f>YEAR(source[[#This Row],[report_date]])</f>
        <v>2026</v>
      </c>
      <c r="C13327" s="128">
        <f t="shared" si="623"/>
        <v>2</v>
      </c>
      <c r="D13327" s="136">
        <f t="shared" si="622"/>
        <v>9</v>
      </c>
      <c r="E13327" s="136">
        <f t="shared" si="624"/>
        <v>27</v>
      </c>
      <c r="F13327" s="137" t="s">
        <v>24</v>
      </c>
      <c r="G13327" s="128" t="str">
        <f>VLOOKUP(source[[#This Row],[lending_product_transform]],[3]Mapping!$B$4:$C$37,2,0)</f>
        <v>[Cake] - Cashloan</v>
      </c>
      <c r="H13327" s="128" t="str">
        <f>VLOOKUP(source[[#This Row],[lending_product_transform]],[3]Mapping!$B$3:$D$37,3,0)</f>
        <v>cashloan</v>
      </c>
      <c r="I13327" s="143">
        <v>9579890000</v>
      </c>
    </row>
    <row r="13328" spans="1:9" x14ac:dyDescent="0.2">
      <c r="A13328" s="134">
        <v>46080</v>
      </c>
      <c r="B13328" s="135">
        <f>YEAR(source[[#This Row],[report_date]])</f>
        <v>2026</v>
      </c>
      <c r="C13328" s="128">
        <f t="shared" si="623"/>
        <v>2</v>
      </c>
      <c r="D13328" s="136">
        <f t="shared" si="622"/>
        <v>9</v>
      </c>
      <c r="E13328" s="136">
        <f t="shared" si="624"/>
        <v>27</v>
      </c>
      <c r="F13328" s="137" t="s">
        <v>24</v>
      </c>
      <c r="G13328" s="128" t="str">
        <f>VLOOKUP(source[[#This Row],[lending_product_transform]],[3]Mapping!$B$4:$C$37,2,0)</f>
        <v>[Cake] - Cashloan</v>
      </c>
      <c r="H13328" s="128" t="str">
        <f>VLOOKUP(source[[#This Row],[lending_product_transform]],[3]Mapping!$B$3:$D$37,3,0)</f>
        <v>cashloan</v>
      </c>
      <c r="I13328" s="143">
        <v>2035848864</v>
      </c>
    </row>
    <row r="13329" spans="1:9" x14ac:dyDescent="0.2">
      <c r="A13329" s="134">
        <v>46080</v>
      </c>
      <c r="B13329" s="135">
        <f>YEAR(source[[#This Row],[report_date]])</f>
        <v>2026</v>
      </c>
      <c r="C13329" s="128">
        <f t="shared" si="623"/>
        <v>2</v>
      </c>
      <c r="D13329" s="136">
        <f t="shared" ref="D13329:D13392" si="625">WEEKNUM(A13329,2)</f>
        <v>9</v>
      </c>
      <c r="E13329" s="136">
        <f t="shared" si="624"/>
        <v>27</v>
      </c>
      <c r="F13329" s="137" t="s">
        <v>24</v>
      </c>
      <c r="G13329" s="128" t="str">
        <f>VLOOKUP(source[[#This Row],[lending_product_transform]],[3]Mapping!$B$4:$C$37,2,0)</f>
        <v>[Cake] - Cashloan</v>
      </c>
      <c r="H13329" s="128" t="str">
        <f>VLOOKUP(source[[#This Row],[lending_product_transform]],[3]Mapping!$B$3:$D$37,3,0)</f>
        <v>cashloan</v>
      </c>
      <c r="I13329" s="143">
        <v>13109364000</v>
      </c>
    </row>
    <row r="13330" spans="1:9" x14ac:dyDescent="0.2">
      <c r="A13330" s="134">
        <v>46080</v>
      </c>
      <c r="B13330" s="135">
        <f>YEAR(source[[#This Row],[report_date]])</f>
        <v>2026</v>
      </c>
      <c r="C13330" s="128">
        <f t="shared" si="623"/>
        <v>2</v>
      </c>
      <c r="D13330" s="136">
        <f t="shared" si="625"/>
        <v>9</v>
      </c>
      <c r="E13330" s="136">
        <f t="shared" si="624"/>
        <v>27</v>
      </c>
      <c r="F13330" s="137" t="s">
        <v>24</v>
      </c>
      <c r="G13330" s="128" t="str">
        <f>VLOOKUP(source[[#This Row],[lending_product_transform]],[3]Mapping!$B$4:$C$37,2,0)</f>
        <v>[Cake] - Cashloan</v>
      </c>
      <c r="H13330" s="128" t="str">
        <f>VLOOKUP(source[[#This Row],[lending_product_transform]],[3]Mapping!$B$3:$D$37,3,0)</f>
        <v>cashloan</v>
      </c>
      <c r="I13330" s="143">
        <v>7089201</v>
      </c>
    </row>
    <row r="13331" spans="1:9" x14ac:dyDescent="0.2">
      <c r="A13331" s="134">
        <v>46080</v>
      </c>
      <c r="B13331" s="135">
        <f>YEAR(source[[#This Row],[report_date]])</f>
        <v>2026</v>
      </c>
      <c r="C13331" s="128">
        <f t="shared" si="623"/>
        <v>2</v>
      </c>
      <c r="D13331" s="136">
        <f t="shared" si="625"/>
        <v>9</v>
      </c>
      <c r="E13331" s="136">
        <f t="shared" si="624"/>
        <v>27</v>
      </c>
      <c r="F13331" s="137" t="s">
        <v>24</v>
      </c>
      <c r="G13331" s="128" t="str">
        <f>VLOOKUP(source[[#This Row],[lending_product_transform]],[3]Mapping!$B$4:$C$37,2,0)</f>
        <v>[Cake] - Cashloan</v>
      </c>
      <c r="H13331" s="128" t="str">
        <f>VLOOKUP(source[[#This Row],[lending_product_transform]],[3]Mapping!$B$3:$D$37,3,0)</f>
        <v>cashloan</v>
      </c>
      <c r="I13331" s="143">
        <v>0</v>
      </c>
    </row>
    <row r="13332" spans="1:9" x14ac:dyDescent="0.2">
      <c r="A13332" s="134">
        <v>46080</v>
      </c>
      <c r="B13332" s="135">
        <f>YEAR(source[[#This Row],[report_date]])</f>
        <v>2026</v>
      </c>
      <c r="C13332" s="128">
        <f t="shared" si="623"/>
        <v>2</v>
      </c>
      <c r="D13332" s="136">
        <f t="shared" si="625"/>
        <v>9</v>
      </c>
      <c r="E13332" s="136">
        <f t="shared" si="624"/>
        <v>27</v>
      </c>
      <c r="F13332" s="137" t="s">
        <v>24</v>
      </c>
      <c r="G13332" s="128" t="str">
        <f>VLOOKUP(source[[#This Row],[lending_product_transform]],[3]Mapping!$B$4:$C$37,2,0)</f>
        <v>[Cake] - Cashloan</v>
      </c>
      <c r="H13332" s="128" t="str">
        <f>VLOOKUP(source[[#This Row],[lending_product_transform]],[3]Mapping!$B$3:$D$37,3,0)</f>
        <v>cashloan</v>
      </c>
      <c r="I13332" s="143">
        <v>2015920000</v>
      </c>
    </row>
    <row r="13333" spans="1:9" x14ac:dyDescent="0.2">
      <c r="A13333" s="134">
        <v>46080</v>
      </c>
      <c r="B13333" s="135">
        <f>YEAR(source[[#This Row],[report_date]])</f>
        <v>2026</v>
      </c>
      <c r="C13333" s="128">
        <f t="shared" si="623"/>
        <v>2</v>
      </c>
      <c r="D13333" s="136">
        <f t="shared" si="625"/>
        <v>9</v>
      </c>
      <c r="E13333" s="136">
        <f t="shared" si="624"/>
        <v>27</v>
      </c>
      <c r="F13333" s="137" t="s">
        <v>24</v>
      </c>
      <c r="G13333" s="128" t="str">
        <f>VLOOKUP(source[[#This Row],[lending_product_transform]],[3]Mapping!$B$4:$C$37,2,0)</f>
        <v>[Cake] - Cashloan</v>
      </c>
      <c r="H13333" s="128" t="str">
        <f>VLOOKUP(source[[#This Row],[lending_product_transform]],[3]Mapping!$B$3:$D$37,3,0)</f>
        <v>cashloan</v>
      </c>
      <c r="I13333" s="143">
        <v>988260000</v>
      </c>
    </row>
    <row r="13334" spans="1:9" x14ac:dyDescent="0.2">
      <c r="A13334" s="134">
        <v>46080</v>
      </c>
      <c r="B13334" s="135">
        <f>YEAR(source[[#This Row],[report_date]])</f>
        <v>2026</v>
      </c>
      <c r="C13334" s="128">
        <f t="shared" si="623"/>
        <v>2</v>
      </c>
      <c r="D13334" s="136">
        <f t="shared" si="625"/>
        <v>9</v>
      </c>
      <c r="E13334" s="136">
        <f t="shared" si="624"/>
        <v>27</v>
      </c>
      <c r="F13334" s="137" t="s">
        <v>24</v>
      </c>
      <c r="G13334" s="128" t="str">
        <f>VLOOKUP(source[[#This Row],[lending_product_transform]],[3]Mapping!$B$4:$C$37,2,0)</f>
        <v>[Cake] - Cashloan</v>
      </c>
      <c r="H13334" s="128" t="str">
        <f>VLOOKUP(source[[#This Row],[lending_product_transform]],[3]Mapping!$B$3:$D$37,3,0)</f>
        <v>cashloan</v>
      </c>
      <c r="I13334" s="143">
        <v>9437228</v>
      </c>
    </row>
    <row r="13335" spans="1:9" x14ac:dyDescent="0.2">
      <c r="A13335" s="134">
        <v>46080</v>
      </c>
      <c r="B13335" s="135">
        <f>YEAR(source[[#This Row],[report_date]])</f>
        <v>2026</v>
      </c>
      <c r="C13335" s="128">
        <f t="shared" si="623"/>
        <v>2</v>
      </c>
      <c r="D13335" s="136">
        <f t="shared" si="625"/>
        <v>9</v>
      </c>
      <c r="E13335" s="136">
        <f t="shared" si="624"/>
        <v>27</v>
      </c>
      <c r="F13335" s="137" t="s">
        <v>24</v>
      </c>
      <c r="G13335" s="128" t="str">
        <f>VLOOKUP(source[[#This Row],[lending_product_transform]],[3]Mapping!$B$4:$C$37,2,0)</f>
        <v>[Cake] - Cashloan</v>
      </c>
      <c r="H13335" s="128" t="str">
        <f>VLOOKUP(source[[#This Row],[lending_product_transform]],[3]Mapping!$B$3:$D$37,3,0)</f>
        <v>cashloan</v>
      </c>
      <c r="I13335" s="143">
        <v>960373872</v>
      </c>
    </row>
    <row r="13336" spans="1:9" x14ac:dyDescent="0.2">
      <c r="A13336" s="134">
        <v>46080</v>
      </c>
      <c r="B13336" s="135">
        <f>YEAR(source[[#This Row],[report_date]])</f>
        <v>2026</v>
      </c>
      <c r="C13336" s="128">
        <f t="shared" si="623"/>
        <v>2</v>
      </c>
      <c r="D13336" s="136">
        <f t="shared" si="625"/>
        <v>9</v>
      </c>
      <c r="E13336" s="136">
        <f t="shared" si="624"/>
        <v>27</v>
      </c>
      <c r="F13336" s="137" t="s">
        <v>24</v>
      </c>
      <c r="G13336" s="128" t="str">
        <f>VLOOKUP(source[[#This Row],[lending_product_transform]],[3]Mapping!$B$4:$C$37,2,0)</f>
        <v>[Cake] - Cashloan</v>
      </c>
      <c r="H13336" s="128" t="str">
        <f>VLOOKUP(source[[#This Row],[lending_product_transform]],[3]Mapping!$B$3:$D$37,3,0)</f>
        <v>cashloan</v>
      </c>
      <c r="I13336" s="143">
        <v>0</v>
      </c>
    </row>
    <row r="13337" spans="1:9" x14ac:dyDescent="0.2">
      <c r="A13337" s="134">
        <v>46080</v>
      </c>
      <c r="B13337" s="135">
        <f>YEAR(source[[#This Row],[report_date]])</f>
        <v>2026</v>
      </c>
      <c r="C13337" s="128">
        <f t="shared" si="623"/>
        <v>2</v>
      </c>
      <c r="D13337" s="136">
        <f t="shared" si="625"/>
        <v>9</v>
      </c>
      <c r="E13337" s="136">
        <f t="shared" si="624"/>
        <v>27</v>
      </c>
      <c r="F13337" s="137" t="s">
        <v>24</v>
      </c>
      <c r="G13337" s="128" t="str">
        <f>VLOOKUP(source[[#This Row],[lending_product_transform]],[3]Mapping!$B$4:$C$37,2,0)</f>
        <v>[Cake] - Cashloan</v>
      </c>
      <c r="H13337" s="128" t="str">
        <f>VLOOKUP(source[[#This Row],[lending_product_transform]],[3]Mapping!$B$3:$D$37,3,0)</f>
        <v>cashloan</v>
      </c>
      <c r="I13337" s="143">
        <v>21000000</v>
      </c>
    </row>
    <row r="13338" spans="1:9" x14ac:dyDescent="0.2">
      <c r="A13338" s="134">
        <v>46080</v>
      </c>
      <c r="B13338" s="135">
        <f>YEAR(source[[#This Row],[report_date]])</f>
        <v>2026</v>
      </c>
      <c r="C13338" s="128">
        <f t="shared" si="623"/>
        <v>2</v>
      </c>
      <c r="D13338" s="136">
        <f t="shared" si="625"/>
        <v>9</v>
      </c>
      <c r="E13338" s="136">
        <f t="shared" si="624"/>
        <v>27</v>
      </c>
      <c r="F13338" s="137" t="s">
        <v>24</v>
      </c>
      <c r="G13338" s="128" t="str">
        <f>VLOOKUP(source[[#This Row],[lending_product_transform]],[3]Mapping!$B$4:$C$37,2,0)</f>
        <v>[Cake] - Cashloan</v>
      </c>
      <c r="H13338" s="128" t="str">
        <f>VLOOKUP(source[[#This Row],[lending_product_transform]],[3]Mapping!$B$3:$D$37,3,0)</f>
        <v>cashloan</v>
      </c>
      <c r="I13338" s="143">
        <v>0</v>
      </c>
    </row>
    <row r="13339" spans="1:9" x14ac:dyDescent="0.2">
      <c r="A13339" s="134">
        <v>46080</v>
      </c>
      <c r="B13339" s="135">
        <f>YEAR(source[[#This Row],[report_date]])</f>
        <v>2026</v>
      </c>
      <c r="C13339" s="128">
        <f t="shared" si="623"/>
        <v>2</v>
      </c>
      <c r="D13339" s="136">
        <f t="shared" si="625"/>
        <v>9</v>
      </c>
      <c r="E13339" s="136">
        <f t="shared" si="624"/>
        <v>27</v>
      </c>
      <c r="F13339" s="137" t="s">
        <v>24</v>
      </c>
      <c r="G13339" s="128" t="str">
        <f>VLOOKUP(source[[#This Row],[lending_product_transform]],[3]Mapping!$B$4:$C$37,2,0)</f>
        <v>[Cake] - Cashloan</v>
      </c>
      <c r="H13339" s="128" t="str">
        <f>VLOOKUP(source[[#This Row],[lending_product_transform]],[3]Mapping!$B$3:$D$37,3,0)</f>
        <v>cashloan</v>
      </c>
      <c r="I13339" s="143">
        <v>11525560000</v>
      </c>
    </row>
    <row r="13340" spans="1:9" x14ac:dyDescent="0.2">
      <c r="A13340" s="134">
        <v>46080</v>
      </c>
      <c r="B13340" s="135">
        <f>YEAR(source[[#This Row],[report_date]])</f>
        <v>2026</v>
      </c>
      <c r="C13340" s="128">
        <f t="shared" si="623"/>
        <v>2</v>
      </c>
      <c r="D13340" s="136">
        <f t="shared" si="625"/>
        <v>9</v>
      </c>
      <c r="E13340" s="136">
        <f t="shared" si="624"/>
        <v>27</v>
      </c>
      <c r="F13340" s="137" t="s">
        <v>24</v>
      </c>
      <c r="G13340" s="128" t="str">
        <f>VLOOKUP(source[[#This Row],[lending_product_transform]],[3]Mapping!$B$4:$C$37,2,0)</f>
        <v>[Cake] - Cashloan</v>
      </c>
      <c r="H13340" s="128" t="str">
        <f>VLOOKUP(source[[#This Row],[lending_product_transform]],[3]Mapping!$B$3:$D$37,3,0)</f>
        <v>cashloan</v>
      </c>
      <c r="I13340" s="143">
        <v>0</v>
      </c>
    </row>
    <row r="13341" spans="1:9" x14ac:dyDescent="0.2">
      <c r="A13341" s="134">
        <v>46080</v>
      </c>
      <c r="B13341" s="135">
        <f>YEAR(source[[#This Row],[report_date]])</f>
        <v>2026</v>
      </c>
      <c r="C13341" s="128">
        <f t="shared" si="623"/>
        <v>2</v>
      </c>
      <c r="D13341" s="136">
        <f t="shared" si="625"/>
        <v>9</v>
      </c>
      <c r="E13341" s="136">
        <f t="shared" si="624"/>
        <v>27</v>
      </c>
      <c r="F13341" s="137" t="s">
        <v>24</v>
      </c>
      <c r="G13341" s="128" t="str">
        <f>VLOOKUP(source[[#This Row],[lending_product_transform]],[3]Mapping!$B$4:$C$37,2,0)</f>
        <v>[Cake] - Cashloan</v>
      </c>
      <c r="H13341" s="128" t="str">
        <f>VLOOKUP(source[[#This Row],[lending_product_transform]],[3]Mapping!$B$3:$D$37,3,0)</f>
        <v>cashloan</v>
      </c>
      <c r="I13341" s="143">
        <v>0</v>
      </c>
    </row>
    <row r="13342" spans="1:9" x14ac:dyDescent="0.2">
      <c r="A13342" s="134">
        <v>46080</v>
      </c>
      <c r="B13342" s="135">
        <f>YEAR(source[[#This Row],[report_date]])</f>
        <v>2026</v>
      </c>
      <c r="C13342" s="128">
        <f t="shared" si="623"/>
        <v>2</v>
      </c>
      <c r="D13342" s="136">
        <f t="shared" si="625"/>
        <v>9</v>
      </c>
      <c r="E13342" s="136">
        <f t="shared" si="624"/>
        <v>27</v>
      </c>
      <c r="F13342" s="137" t="s">
        <v>24</v>
      </c>
      <c r="G13342" s="128" t="str">
        <f>VLOOKUP(source[[#This Row],[lending_product_transform]],[3]Mapping!$B$4:$C$37,2,0)</f>
        <v>[Cake] - Cashloan</v>
      </c>
      <c r="H13342" s="128" t="str">
        <f>VLOOKUP(source[[#This Row],[lending_product_transform]],[3]Mapping!$B$3:$D$37,3,0)</f>
        <v>cashloan</v>
      </c>
      <c r="I13342" s="143">
        <v>0</v>
      </c>
    </row>
    <row r="13343" spans="1:9" x14ac:dyDescent="0.2">
      <c r="A13343" s="134">
        <v>46080</v>
      </c>
      <c r="B13343" s="135">
        <f>YEAR(source[[#This Row],[report_date]])</f>
        <v>2026</v>
      </c>
      <c r="C13343" s="128">
        <f t="shared" si="623"/>
        <v>2</v>
      </c>
      <c r="D13343" s="136">
        <f t="shared" si="625"/>
        <v>9</v>
      </c>
      <c r="E13343" s="136">
        <f t="shared" si="624"/>
        <v>27</v>
      </c>
      <c r="F13343" s="137" t="s">
        <v>24</v>
      </c>
      <c r="G13343" s="128" t="str">
        <f>VLOOKUP(source[[#This Row],[lending_product_transform]],[3]Mapping!$B$4:$C$37,2,0)</f>
        <v>[Cake] - Cashloan</v>
      </c>
      <c r="H13343" s="128" t="str">
        <f>VLOOKUP(source[[#This Row],[lending_product_transform]],[3]Mapping!$B$3:$D$37,3,0)</f>
        <v>cashloan</v>
      </c>
      <c r="I13343" s="143">
        <v>0</v>
      </c>
    </row>
    <row r="13344" spans="1:9" x14ac:dyDescent="0.2">
      <c r="A13344" s="134">
        <v>46080</v>
      </c>
      <c r="B13344" s="135">
        <f>YEAR(source[[#This Row],[report_date]])</f>
        <v>2026</v>
      </c>
      <c r="C13344" s="128">
        <f t="shared" si="623"/>
        <v>2</v>
      </c>
      <c r="D13344" s="136">
        <f t="shared" si="625"/>
        <v>9</v>
      </c>
      <c r="E13344" s="136">
        <f t="shared" si="624"/>
        <v>27</v>
      </c>
      <c r="F13344" s="137" t="s">
        <v>24</v>
      </c>
      <c r="G13344" s="128" t="str">
        <f>VLOOKUP(source[[#This Row],[lending_product_transform]],[3]Mapping!$B$4:$C$37,2,0)</f>
        <v>[Cake] - Cashloan</v>
      </c>
      <c r="H13344" s="128" t="str">
        <f>VLOOKUP(source[[#This Row],[lending_product_transform]],[3]Mapping!$B$3:$D$37,3,0)</f>
        <v>cashloan</v>
      </c>
      <c r="I13344" s="143">
        <v>10505916000</v>
      </c>
    </row>
    <row r="13345" spans="1:9" x14ac:dyDescent="0.2">
      <c r="A13345" s="134">
        <v>46080</v>
      </c>
      <c r="B13345" s="135">
        <f>YEAR(source[[#This Row],[report_date]])</f>
        <v>2026</v>
      </c>
      <c r="C13345" s="128">
        <f t="shared" si="623"/>
        <v>2</v>
      </c>
      <c r="D13345" s="136">
        <f t="shared" si="625"/>
        <v>9</v>
      </c>
      <c r="E13345" s="136">
        <f t="shared" si="624"/>
        <v>27</v>
      </c>
      <c r="F13345" s="137" t="s">
        <v>24</v>
      </c>
      <c r="G13345" s="128" t="str">
        <f>VLOOKUP(source[[#This Row],[lending_product_transform]],[3]Mapping!$B$4:$C$37,2,0)</f>
        <v>[Cake] - Cashloan</v>
      </c>
      <c r="H13345" s="128" t="str">
        <f>VLOOKUP(source[[#This Row],[lending_product_transform]],[3]Mapping!$B$3:$D$37,3,0)</f>
        <v>cashloan</v>
      </c>
      <c r="I13345" s="143">
        <v>150728976</v>
      </c>
    </row>
    <row r="13346" spans="1:9" x14ac:dyDescent="0.2">
      <c r="A13346" s="134">
        <v>46080</v>
      </c>
      <c r="B13346" s="135">
        <f>YEAR(source[[#This Row],[report_date]])</f>
        <v>2026</v>
      </c>
      <c r="C13346" s="128">
        <f t="shared" si="623"/>
        <v>2</v>
      </c>
      <c r="D13346" s="136">
        <f t="shared" si="625"/>
        <v>9</v>
      </c>
      <c r="E13346" s="136">
        <f t="shared" si="624"/>
        <v>27</v>
      </c>
      <c r="F13346" s="137" t="s">
        <v>24</v>
      </c>
      <c r="G13346" s="128" t="str">
        <f>VLOOKUP(source[[#This Row],[lending_product_transform]],[3]Mapping!$B$4:$C$37,2,0)</f>
        <v>[Cake] - Cashloan</v>
      </c>
      <c r="H13346" s="128" t="str">
        <f>VLOOKUP(source[[#This Row],[lending_product_transform]],[3]Mapping!$B$3:$D$37,3,0)</f>
        <v>cashloan</v>
      </c>
      <c r="I13346" s="143">
        <v>0</v>
      </c>
    </row>
    <row r="13347" spans="1:9" x14ac:dyDescent="0.2">
      <c r="A13347" s="134">
        <v>46080</v>
      </c>
      <c r="B13347" s="135">
        <f>YEAR(source[[#This Row],[report_date]])</f>
        <v>2026</v>
      </c>
      <c r="C13347" s="128">
        <f t="shared" si="623"/>
        <v>2</v>
      </c>
      <c r="D13347" s="136">
        <f t="shared" si="625"/>
        <v>9</v>
      </c>
      <c r="E13347" s="136">
        <f t="shared" si="624"/>
        <v>27</v>
      </c>
      <c r="F13347" s="137" t="s">
        <v>24</v>
      </c>
      <c r="G13347" s="128" t="str">
        <f>VLOOKUP(source[[#This Row],[lending_product_transform]],[3]Mapping!$B$4:$C$37,2,0)</f>
        <v>[Cake] - Cashloan</v>
      </c>
      <c r="H13347" s="128" t="str">
        <f>VLOOKUP(source[[#This Row],[lending_product_transform]],[3]Mapping!$B$3:$D$37,3,0)</f>
        <v>cashloan</v>
      </c>
      <c r="I13347" s="143">
        <v>50000000</v>
      </c>
    </row>
    <row r="13348" spans="1:9" x14ac:dyDescent="0.2">
      <c r="A13348" s="134">
        <v>46080</v>
      </c>
      <c r="B13348" s="135">
        <f>YEAR(source[[#This Row],[report_date]])</f>
        <v>2026</v>
      </c>
      <c r="C13348" s="128">
        <f t="shared" si="623"/>
        <v>2</v>
      </c>
      <c r="D13348" s="136">
        <f t="shared" si="625"/>
        <v>9</v>
      </c>
      <c r="E13348" s="136">
        <f t="shared" si="624"/>
        <v>27</v>
      </c>
      <c r="F13348" s="137" t="s">
        <v>24</v>
      </c>
      <c r="G13348" s="128" t="str">
        <f>VLOOKUP(source[[#This Row],[lending_product_transform]],[3]Mapping!$B$4:$C$37,2,0)</f>
        <v>[Cake] - Cashloan</v>
      </c>
      <c r="H13348" s="128" t="str">
        <f>VLOOKUP(source[[#This Row],[lending_product_transform]],[3]Mapping!$B$3:$D$37,3,0)</f>
        <v>cashloan</v>
      </c>
      <c r="I13348" s="143">
        <v>943050000</v>
      </c>
    </row>
    <row r="13349" spans="1:9" x14ac:dyDescent="0.2">
      <c r="A13349" s="134">
        <v>46080</v>
      </c>
      <c r="B13349" s="135">
        <f>YEAR(source[[#This Row],[report_date]])</f>
        <v>2026</v>
      </c>
      <c r="C13349" s="128">
        <f t="shared" si="623"/>
        <v>2</v>
      </c>
      <c r="D13349" s="136">
        <f t="shared" si="625"/>
        <v>9</v>
      </c>
      <c r="E13349" s="136">
        <f t="shared" si="624"/>
        <v>27</v>
      </c>
      <c r="F13349" s="137" t="s">
        <v>24</v>
      </c>
      <c r="G13349" s="128" t="str">
        <f>VLOOKUP(source[[#This Row],[lending_product_transform]],[3]Mapping!$B$4:$C$37,2,0)</f>
        <v>[Cake] - Cashloan</v>
      </c>
      <c r="H13349" s="128" t="str">
        <f>VLOOKUP(source[[#This Row],[lending_product_transform]],[3]Mapping!$B$3:$D$37,3,0)</f>
        <v>cashloan</v>
      </c>
      <c r="I13349" s="143">
        <v>224748000</v>
      </c>
    </row>
    <row r="13350" spans="1:9" x14ac:dyDescent="0.2">
      <c r="A13350" s="134">
        <v>46080</v>
      </c>
      <c r="B13350" s="135">
        <f>YEAR(source[[#This Row],[report_date]])</f>
        <v>2026</v>
      </c>
      <c r="C13350" s="128">
        <f t="shared" si="623"/>
        <v>2</v>
      </c>
      <c r="D13350" s="136">
        <f t="shared" si="625"/>
        <v>9</v>
      </c>
      <c r="E13350" s="136">
        <f t="shared" si="624"/>
        <v>27</v>
      </c>
      <c r="F13350" s="137" t="s">
        <v>24</v>
      </c>
      <c r="G13350" s="128" t="str">
        <f>VLOOKUP(source[[#This Row],[lending_product_transform]],[3]Mapping!$B$4:$C$37,2,0)</f>
        <v>[Cake] - Cashloan</v>
      </c>
      <c r="H13350" s="128" t="str">
        <f>VLOOKUP(source[[#This Row],[lending_product_transform]],[3]Mapping!$B$3:$D$37,3,0)</f>
        <v>cashloan</v>
      </c>
      <c r="I13350" s="143">
        <v>472738951</v>
      </c>
    </row>
    <row r="13351" spans="1:9" x14ac:dyDescent="0.2">
      <c r="A13351" s="134">
        <v>46080</v>
      </c>
      <c r="B13351" s="135">
        <f>YEAR(source[[#This Row],[report_date]])</f>
        <v>2026</v>
      </c>
      <c r="C13351" s="128">
        <f t="shared" si="623"/>
        <v>2</v>
      </c>
      <c r="D13351" s="136">
        <f t="shared" si="625"/>
        <v>9</v>
      </c>
      <c r="E13351" s="136">
        <f t="shared" si="624"/>
        <v>27</v>
      </c>
      <c r="F13351" s="137" t="s">
        <v>24</v>
      </c>
      <c r="G13351" s="128" t="str">
        <f>VLOOKUP(source[[#This Row],[lending_product_transform]],[3]Mapping!$B$4:$C$37,2,0)</f>
        <v>[Cake] - Cashloan</v>
      </c>
      <c r="H13351" s="128" t="str">
        <f>VLOOKUP(source[[#This Row],[lending_product_transform]],[3]Mapping!$B$3:$D$37,3,0)</f>
        <v>cashloan</v>
      </c>
      <c r="I13351" s="143">
        <v>2136490000</v>
      </c>
    </row>
    <row r="13352" spans="1:9" x14ac:dyDescent="0.2">
      <c r="A13352" s="134">
        <v>46080</v>
      </c>
      <c r="B13352" s="135">
        <f>YEAR(source[[#This Row],[report_date]])</f>
        <v>2026</v>
      </c>
      <c r="C13352" s="128">
        <f t="shared" si="623"/>
        <v>2</v>
      </c>
      <c r="D13352" s="136">
        <f t="shared" si="625"/>
        <v>9</v>
      </c>
      <c r="E13352" s="136">
        <f t="shared" si="624"/>
        <v>27</v>
      </c>
      <c r="F13352" s="137" t="s">
        <v>24</v>
      </c>
      <c r="G13352" s="128" t="str">
        <f>VLOOKUP(source[[#This Row],[lending_product_transform]],[3]Mapping!$B$4:$C$37,2,0)</f>
        <v>[Cake] - Cashloan</v>
      </c>
      <c r="H13352" s="128" t="str">
        <f>VLOOKUP(source[[#This Row],[lending_product_transform]],[3]Mapping!$B$3:$D$37,3,0)</f>
        <v>cashloan</v>
      </c>
      <c r="I13352" s="143">
        <v>384480000</v>
      </c>
    </row>
    <row r="13353" spans="1:9" x14ac:dyDescent="0.2">
      <c r="A13353" s="134">
        <v>46081</v>
      </c>
      <c r="B13353" s="135">
        <f>YEAR(source[[#This Row],[report_date]])</f>
        <v>2026</v>
      </c>
      <c r="C13353" s="128">
        <f t="shared" si="623"/>
        <v>2</v>
      </c>
      <c r="D13353" s="136">
        <f t="shared" si="625"/>
        <v>9</v>
      </c>
      <c r="E13353" s="136">
        <f t="shared" si="624"/>
        <v>28</v>
      </c>
      <c r="F13353" s="137" t="s">
        <v>24</v>
      </c>
      <c r="G13353" s="128" t="str">
        <f>VLOOKUP(source[[#This Row],[lending_product_transform]],[3]Mapping!$B$4:$C$37,2,0)</f>
        <v>[Cake] - Cashloan</v>
      </c>
      <c r="H13353" s="128" t="str">
        <f>VLOOKUP(source[[#This Row],[lending_product_transform]],[3]Mapping!$B$3:$D$37,3,0)</f>
        <v>cashloan</v>
      </c>
      <c r="I13353" s="143">
        <v>454250000</v>
      </c>
    </row>
    <row r="13354" spans="1:9" x14ac:dyDescent="0.2">
      <c r="A13354" s="134">
        <v>46081</v>
      </c>
      <c r="B13354" s="135">
        <f>YEAR(source[[#This Row],[report_date]])</f>
        <v>2026</v>
      </c>
      <c r="C13354" s="128">
        <f t="shared" si="623"/>
        <v>2</v>
      </c>
      <c r="D13354" s="136">
        <f t="shared" si="625"/>
        <v>9</v>
      </c>
      <c r="E13354" s="136">
        <f t="shared" si="624"/>
        <v>28</v>
      </c>
      <c r="F13354" s="137" t="s">
        <v>24</v>
      </c>
      <c r="G13354" s="128" t="str">
        <f>VLOOKUP(source[[#This Row],[lending_product_transform]],[3]Mapping!$B$4:$C$37,2,0)</f>
        <v>[Cake] - Cashloan</v>
      </c>
      <c r="H13354" s="128" t="str">
        <f>VLOOKUP(source[[#This Row],[lending_product_transform]],[3]Mapping!$B$3:$D$37,3,0)</f>
        <v>cashloan</v>
      </c>
      <c r="I13354" s="143">
        <v>285496773</v>
      </c>
    </row>
    <row r="13355" spans="1:9" x14ac:dyDescent="0.2">
      <c r="A13355" s="134">
        <v>46081</v>
      </c>
      <c r="B13355" s="135">
        <f>YEAR(source[[#This Row],[report_date]])</f>
        <v>2026</v>
      </c>
      <c r="C13355" s="128">
        <f t="shared" si="623"/>
        <v>2</v>
      </c>
      <c r="D13355" s="136">
        <f t="shared" si="625"/>
        <v>9</v>
      </c>
      <c r="E13355" s="136">
        <f t="shared" si="624"/>
        <v>28</v>
      </c>
      <c r="F13355" s="137" t="s">
        <v>24</v>
      </c>
      <c r="G13355" s="128" t="str">
        <f>VLOOKUP(source[[#This Row],[lending_product_transform]],[3]Mapping!$B$4:$C$37,2,0)</f>
        <v>[Cake] - Cashloan</v>
      </c>
      <c r="H13355" s="128" t="str">
        <f>VLOOKUP(source[[#This Row],[lending_product_transform]],[3]Mapping!$B$3:$D$37,3,0)</f>
        <v>cashloan</v>
      </c>
      <c r="I13355" s="143">
        <v>9419310000</v>
      </c>
    </row>
    <row r="13356" spans="1:9" x14ac:dyDescent="0.2">
      <c r="A13356" s="134">
        <v>46081</v>
      </c>
      <c r="B13356" s="135">
        <f>YEAR(source[[#This Row],[report_date]])</f>
        <v>2026</v>
      </c>
      <c r="C13356" s="128">
        <f t="shared" si="623"/>
        <v>2</v>
      </c>
      <c r="D13356" s="136">
        <f t="shared" si="625"/>
        <v>9</v>
      </c>
      <c r="E13356" s="136">
        <f t="shared" si="624"/>
        <v>28</v>
      </c>
      <c r="F13356" s="137" t="s">
        <v>24</v>
      </c>
      <c r="G13356" s="128" t="str">
        <f>VLOOKUP(source[[#This Row],[lending_product_transform]],[3]Mapping!$B$4:$C$37,2,0)</f>
        <v>[Cake] - Cashloan</v>
      </c>
      <c r="H13356" s="128" t="str">
        <f>VLOOKUP(source[[#This Row],[lending_product_transform]],[3]Mapping!$B$3:$D$37,3,0)</f>
        <v>cashloan</v>
      </c>
      <c r="I13356" s="143">
        <v>2038506007</v>
      </c>
    </row>
    <row r="13357" spans="1:9" x14ac:dyDescent="0.2">
      <c r="A13357" s="134">
        <v>46081</v>
      </c>
      <c r="B13357" s="135">
        <f>YEAR(source[[#This Row],[report_date]])</f>
        <v>2026</v>
      </c>
      <c r="C13357" s="128">
        <f t="shared" si="623"/>
        <v>2</v>
      </c>
      <c r="D13357" s="136">
        <f t="shared" si="625"/>
        <v>9</v>
      </c>
      <c r="E13357" s="136">
        <f t="shared" si="624"/>
        <v>28</v>
      </c>
      <c r="F13357" s="137" t="s">
        <v>24</v>
      </c>
      <c r="G13357" s="128" t="str">
        <f>VLOOKUP(source[[#This Row],[lending_product_transform]],[3]Mapping!$B$4:$C$37,2,0)</f>
        <v>[Cake] - Cashloan</v>
      </c>
      <c r="H13357" s="128" t="str">
        <f>VLOOKUP(source[[#This Row],[lending_product_transform]],[3]Mapping!$B$3:$D$37,3,0)</f>
        <v>cashloan</v>
      </c>
      <c r="I13357" s="143">
        <v>12960324000</v>
      </c>
    </row>
    <row r="13358" spans="1:9" x14ac:dyDescent="0.2">
      <c r="A13358" s="134">
        <v>46081</v>
      </c>
      <c r="B13358" s="135">
        <f>YEAR(source[[#This Row],[report_date]])</f>
        <v>2026</v>
      </c>
      <c r="C13358" s="128">
        <f t="shared" si="623"/>
        <v>2</v>
      </c>
      <c r="D13358" s="136">
        <f t="shared" si="625"/>
        <v>9</v>
      </c>
      <c r="E13358" s="136">
        <f t="shared" si="624"/>
        <v>28</v>
      </c>
      <c r="F13358" s="137" t="s">
        <v>24</v>
      </c>
      <c r="G13358" s="128" t="str">
        <f>VLOOKUP(source[[#This Row],[lending_product_transform]],[3]Mapping!$B$4:$C$37,2,0)</f>
        <v>[Cake] - Cashloan</v>
      </c>
      <c r="H13358" s="128" t="str">
        <f>VLOOKUP(source[[#This Row],[lending_product_transform]],[3]Mapping!$B$3:$D$37,3,0)</f>
        <v>cashloan</v>
      </c>
      <c r="I13358" s="143">
        <v>14951163</v>
      </c>
    </row>
    <row r="13359" spans="1:9" x14ac:dyDescent="0.2">
      <c r="A13359" s="134">
        <v>46081</v>
      </c>
      <c r="B13359" s="135">
        <f>YEAR(source[[#This Row],[report_date]])</f>
        <v>2026</v>
      </c>
      <c r="C13359" s="128">
        <f t="shared" si="623"/>
        <v>2</v>
      </c>
      <c r="D13359" s="136">
        <f t="shared" si="625"/>
        <v>9</v>
      </c>
      <c r="E13359" s="136">
        <f t="shared" si="624"/>
        <v>28</v>
      </c>
      <c r="F13359" s="137" t="s">
        <v>24</v>
      </c>
      <c r="G13359" s="128" t="str">
        <f>VLOOKUP(source[[#This Row],[lending_product_transform]],[3]Mapping!$B$4:$C$37,2,0)</f>
        <v>[Cake] - Cashloan</v>
      </c>
      <c r="H13359" s="128" t="str">
        <f>VLOOKUP(source[[#This Row],[lending_product_transform]],[3]Mapping!$B$3:$D$37,3,0)</f>
        <v>cashloan</v>
      </c>
      <c r="I13359" s="143">
        <v>90000000</v>
      </c>
    </row>
    <row r="13360" spans="1:9" x14ac:dyDescent="0.2">
      <c r="A13360" s="134">
        <v>46081</v>
      </c>
      <c r="B13360" s="135">
        <f>YEAR(source[[#This Row],[report_date]])</f>
        <v>2026</v>
      </c>
      <c r="C13360" s="128">
        <f t="shared" si="623"/>
        <v>2</v>
      </c>
      <c r="D13360" s="136">
        <f t="shared" si="625"/>
        <v>9</v>
      </c>
      <c r="E13360" s="136">
        <f t="shared" si="624"/>
        <v>28</v>
      </c>
      <c r="F13360" s="137" t="s">
        <v>24</v>
      </c>
      <c r="G13360" s="128" t="str">
        <f>VLOOKUP(source[[#This Row],[lending_product_transform]],[3]Mapping!$B$4:$C$37,2,0)</f>
        <v>[Cake] - Cashloan</v>
      </c>
      <c r="H13360" s="128" t="str">
        <f>VLOOKUP(source[[#This Row],[lending_product_transform]],[3]Mapping!$B$3:$D$37,3,0)</f>
        <v>cashloan</v>
      </c>
      <c r="I13360" s="143">
        <v>2253560000</v>
      </c>
    </row>
    <row r="13361" spans="1:9" x14ac:dyDescent="0.2">
      <c r="A13361" s="134">
        <v>46081</v>
      </c>
      <c r="B13361" s="135">
        <f>YEAR(source[[#This Row],[report_date]])</f>
        <v>2026</v>
      </c>
      <c r="C13361" s="128">
        <f t="shared" si="623"/>
        <v>2</v>
      </c>
      <c r="D13361" s="136">
        <f t="shared" si="625"/>
        <v>9</v>
      </c>
      <c r="E13361" s="136">
        <f t="shared" si="624"/>
        <v>28</v>
      </c>
      <c r="F13361" s="137" t="s">
        <v>24</v>
      </c>
      <c r="G13361" s="128" t="str">
        <f>VLOOKUP(source[[#This Row],[lending_product_transform]],[3]Mapping!$B$4:$C$37,2,0)</f>
        <v>[Cake] - Cashloan</v>
      </c>
      <c r="H13361" s="128" t="str">
        <f>VLOOKUP(source[[#This Row],[lending_product_transform]],[3]Mapping!$B$3:$D$37,3,0)</f>
        <v>cashloan</v>
      </c>
      <c r="I13361" s="143">
        <v>1114190000</v>
      </c>
    </row>
    <row r="13362" spans="1:9" x14ac:dyDescent="0.2">
      <c r="A13362" s="134">
        <v>46081</v>
      </c>
      <c r="B13362" s="135">
        <f>YEAR(source[[#This Row],[report_date]])</f>
        <v>2026</v>
      </c>
      <c r="C13362" s="128">
        <f t="shared" si="623"/>
        <v>2</v>
      </c>
      <c r="D13362" s="136">
        <f t="shared" si="625"/>
        <v>9</v>
      </c>
      <c r="E13362" s="136">
        <f t="shared" si="624"/>
        <v>28</v>
      </c>
      <c r="F13362" s="137" t="s">
        <v>24</v>
      </c>
      <c r="G13362" s="128" t="str">
        <f>VLOOKUP(source[[#This Row],[lending_product_transform]],[3]Mapping!$B$4:$C$37,2,0)</f>
        <v>[Cake] - Cashloan</v>
      </c>
      <c r="H13362" s="128" t="str">
        <f>VLOOKUP(source[[#This Row],[lending_product_transform]],[3]Mapping!$B$3:$D$37,3,0)</f>
        <v>cashloan</v>
      </c>
      <c r="I13362" s="143">
        <v>11819380</v>
      </c>
    </row>
    <row r="13363" spans="1:9" x14ac:dyDescent="0.2">
      <c r="A13363" s="134">
        <v>46081</v>
      </c>
      <c r="B13363" s="135">
        <f>YEAR(source[[#This Row],[report_date]])</f>
        <v>2026</v>
      </c>
      <c r="C13363" s="128">
        <f t="shared" si="623"/>
        <v>2</v>
      </c>
      <c r="D13363" s="136">
        <f t="shared" si="625"/>
        <v>9</v>
      </c>
      <c r="E13363" s="136">
        <f t="shared" si="624"/>
        <v>28</v>
      </c>
      <c r="F13363" s="137" t="s">
        <v>24</v>
      </c>
      <c r="G13363" s="128" t="str">
        <f>VLOOKUP(source[[#This Row],[lending_product_transform]],[3]Mapping!$B$4:$C$37,2,0)</f>
        <v>[Cake] - Cashloan</v>
      </c>
      <c r="H13363" s="128" t="str">
        <f>VLOOKUP(source[[#This Row],[lending_product_transform]],[3]Mapping!$B$3:$D$37,3,0)</f>
        <v>cashloan</v>
      </c>
      <c r="I13363" s="143">
        <v>1156345072</v>
      </c>
    </row>
    <row r="13364" spans="1:9" x14ac:dyDescent="0.2">
      <c r="A13364" s="134">
        <v>46081</v>
      </c>
      <c r="B13364" s="135">
        <f>YEAR(source[[#This Row],[report_date]])</f>
        <v>2026</v>
      </c>
      <c r="C13364" s="128">
        <f t="shared" si="623"/>
        <v>2</v>
      </c>
      <c r="D13364" s="136">
        <f t="shared" si="625"/>
        <v>9</v>
      </c>
      <c r="E13364" s="136">
        <f t="shared" si="624"/>
        <v>28</v>
      </c>
      <c r="F13364" s="137" t="s">
        <v>24</v>
      </c>
      <c r="G13364" s="128" t="str">
        <f>VLOOKUP(source[[#This Row],[lending_product_transform]],[3]Mapping!$B$4:$C$37,2,0)</f>
        <v>[Cake] - Cashloan</v>
      </c>
      <c r="H13364" s="128" t="str">
        <f>VLOOKUP(source[[#This Row],[lending_product_transform]],[3]Mapping!$B$3:$D$37,3,0)</f>
        <v>cashloan</v>
      </c>
      <c r="I13364" s="143">
        <v>0</v>
      </c>
    </row>
    <row r="13365" spans="1:9" x14ac:dyDescent="0.2">
      <c r="A13365" s="134">
        <v>46081</v>
      </c>
      <c r="B13365" s="135">
        <f>YEAR(source[[#This Row],[report_date]])</f>
        <v>2026</v>
      </c>
      <c r="C13365" s="128">
        <f t="shared" si="623"/>
        <v>2</v>
      </c>
      <c r="D13365" s="136">
        <f t="shared" si="625"/>
        <v>9</v>
      </c>
      <c r="E13365" s="136">
        <f t="shared" si="624"/>
        <v>28</v>
      </c>
      <c r="F13365" s="137" t="s">
        <v>24</v>
      </c>
      <c r="G13365" s="128" t="str">
        <f>VLOOKUP(source[[#This Row],[lending_product_transform]],[3]Mapping!$B$4:$C$37,2,0)</f>
        <v>[Cake] - Cashloan</v>
      </c>
      <c r="H13365" s="128" t="str">
        <f>VLOOKUP(source[[#This Row],[lending_product_transform]],[3]Mapping!$B$3:$D$37,3,0)</f>
        <v>cashloan</v>
      </c>
      <c r="I13365" s="143">
        <v>0</v>
      </c>
    </row>
    <row r="13366" spans="1:9" x14ac:dyDescent="0.2">
      <c r="A13366" s="134">
        <v>46081</v>
      </c>
      <c r="B13366" s="135">
        <f>YEAR(source[[#This Row],[report_date]])</f>
        <v>2026</v>
      </c>
      <c r="C13366" s="128">
        <f t="shared" ref="C13366:C13429" si="626">MONTH(A13366)</f>
        <v>2</v>
      </c>
      <c r="D13366" s="136">
        <f t="shared" si="625"/>
        <v>9</v>
      </c>
      <c r="E13366" s="136">
        <f t="shared" ref="E13366:E13429" si="627">DAY(A13366)</f>
        <v>28</v>
      </c>
      <c r="F13366" s="137" t="s">
        <v>24</v>
      </c>
      <c r="G13366" s="128" t="str">
        <f>VLOOKUP(source[[#This Row],[lending_product_transform]],[3]Mapping!$B$4:$C$37,2,0)</f>
        <v>[Cake] - Cashloan</v>
      </c>
      <c r="H13366" s="128" t="str">
        <f>VLOOKUP(source[[#This Row],[lending_product_transform]],[3]Mapping!$B$3:$D$37,3,0)</f>
        <v>cashloan</v>
      </c>
      <c r="I13366" s="143">
        <v>0</v>
      </c>
    </row>
    <row r="13367" spans="1:9" x14ac:dyDescent="0.2">
      <c r="A13367" s="134">
        <v>46081</v>
      </c>
      <c r="B13367" s="135">
        <f>YEAR(source[[#This Row],[report_date]])</f>
        <v>2026</v>
      </c>
      <c r="C13367" s="128">
        <f t="shared" si="626"/>
        <v>2</v>
      </c>
      <c r="D13367" s="136">
        <f t="shared" si="625"/>
        <v>9</v>
      </c>
      <c r="E13367" s="136">
        <f t="shared" si="627"/>
        <v>28</v>
      </c>
      <c r="F13367" s="137" t="s">
        <v>24</v>
      </c>
      <c r="G13367" s="128" t="str">
        <f>VLOOKUP(source[[#This Row],[lending_product_transform]],[3]Mapping!$B$4:$C$37,2,0)</f>
        <v>[Cake] - Cashloan</v>
      </c>
      <c r="H13367" s="128" t="str">
        <f>VLOOKUP(source[[#This Row],[lending_product_transform]],[3]Mapping!$B$3:$D$37,3,0)</f>
        <v>cashloan</v>
      </c>
      <c r="I13367" s="143">
        <v>10730150000</v>
      </c>
    </row>
    <row r="13368" spans="1:9" x14ac:dyDescent="0.2">
      <c r="A13368" s="134">
        <v>46081</v>
      </c>
      <c r="B13368" s="135">
        <f>YEAR(source[[#This Row],[report_date]])</f>
        <v>2026</v>
      </c>
      <c r="C13368" s="128">
        <f t="shared" si="626"/>
        <v>2</v>
      </c>
      <c r="D13368" s="136">
        <f t="shared" si="625"/>
        <v>9</v>
      </c>
      <c r="E13368" s="136">
        <f t="shared" si="627"/>
        <v>28</v>
      </c>
      <c r="F13368" s="137" t="s">
        <v>24</v>
      </c>
      <c r="G13368" s="128" t="str">
        <f>VLOOKUP(source[[#This Row],[lending_product_transform]],[3]Mapping!$B$4:$C$37,2,0)</f>
        <v>[Cake] - Cashloan</v>
      </c>
      <c r="H13368" s="128" t="str">
        <f>VLOOKUP(source[[#This Row],[lending_product_transform]],[3]Mapping!$B$3:$D$37,3,0)</f>
        <v>cashloan</v>
      </c>
      <c r="I13368" s="143">
        <v>0</v>
      </c>
    </row>
    <row r="13369" spans="1:9" x14ac:dyDescent="0.2">
      <c r="A13369" s="134">
        <v>46081</v>
      </c>
      <c r="B13369" s="135">
        <f>YEAR(source[[#This Row],[report_date]])</f>
        <v>2026</v>
      </c>
      <c r="C13369" s="128">
        <f t="shared" si="626"/>
        <v>2</v>
      </c>
      <c r="D13369" s="136">
        <f t="shared" si="625"/>
        <v>9</v>
      </c>
      <c r="E13369" s="136">
        <f t="shared" si="627"/>
        <v>28</v>
      </c>
      <c r="F13369" s="137" t="s">
        <v>24</v>
      </c>
      <c r="G13369" s="128" t="str">
        <f>VLOOKUP(source[[#This Row],[lending_product_transform]],[3]Mapping!$B$4:$C$37,2,0)</f>
        <v>[Cake] - Cashloan</v>
      </c>
      <c r="H13369" s="128" t="str">
        <f>VLOOKUP(source[[#This Row],[lending_product_transform]],[3]Mapping!$B$3:$D$37,3,0)</f>
        <v>cashloan</v>
      </c>
      <c r="I13369" s="143">
        <v>0</v>
      </c>
    </row>
    <row r="13370" spans="1:9" x14ac:dyDescent="0.2">
      <c r="A13370" s="134">
        <v>46081</v>
      </c>
      <c r="B13370" s="135">
        <f>YEAR(source[[#This Row],[report_date]])</f>
        <v>2026</v>
      </c>
      <c r="C13370" s="128">
        <f t="shared" si="626"/>
        <v>2</v>
      </c>
      <c r="D13370" s="136">
        <f t="shared" si="625"/>
        <v>9</v>
      </c>
      <c r="E13370" s="136">
        <f t="shared" si="627"/>
        <v>28</v>
      </c>
      <c r="F13370" s="137" t="s">
        <v>24</v>
      </c>
      <c r="G13370" s="128" t="str">
        <f>VLOOKUP(source[[#This Row],[lending_product_transform]],[3]Mapping!$B$4:$C$37,2,0)</f>
        <v>[Cake] - Cashloan</v>
      </c>
      <c r="H13370" s="128" t="str">
        <f>VLOOKUP(source[[#This Row],[lending_product_transform]],[3]Mapping!$B$3:$D$37,3,0)</f>
        <v>cashloan</v>
      </c>
      <c r="I13370" s="143">
        <v>0</v>
      </c>
    </row>
    <row r="13371" spans="1:9" x14ac:dyDescent="0.2">
      <c r="A13371" s="134">
        <v>46081</v>
      </c>
      <c r="B13371" s="135">
        <f>YEAR(source[[#This Row],[report_date]])</f>
        <v>2026</v>
      </c>
      <c r="C13371" s="128">
        <f t="shared" si="626"/>
        <v>2</v>
      </c>
      <c r="D13371" s="136">
        <f t="shared" si="625"/>
        <v>9</v>
      </c>
      <c r="E13371" s="136">
        <f t="shared" si="627"/>
        <v>28</v>
      </c>
      <c r="F13371" s="137" t="s">
        <v>24</v>
      </c>
      <c r="G13371" s="128" t="str">
        <f>VLOOKUP(source[[#This Row],[lending_product_transform]],[3]Mapping!$B$4:$C$37,2,0)</f>
        <v>[Cake] - Cashloan</v>
      </c>
      <c r="H13371" s="128" t="str">
        <f>VLOOKUP(source[[#This Row],[lending_product_transform]],[3]Mapping!$B$3:$D$37,3,0)</f>
        <v>cashloan</v>
      </c>
      <c r="I13371" s="143">
        <v>0</v>
      </c>
    </row>
    <row r="13372" spans="1:9" x14ac:dyDescent="0.2">
      <c r="A13372" s="134">
        <v>46081</v>
      </c>
      <c r="B13372" s="135">
        <f>YEAR(source[[#This Row],[report_date]])</f>
        <v>2026</v>
      </c>
      <c r="C13372" s="128">
        <f t="shared" si="626"/>
        <v>2</v>
      </c>
      <c r="D13372" s="136">
        <f t="shared" si="625"/>
        <v>9</v>
      </c>
      <c r="E13372" s="136">
        <f t="shared" si="627"/>
        <v>28</v>
      </c>
      <c r="F13372" s="137" t="s">
        <v>24</v>
      </c>
      <c r="G13372" s="128" t="str">
        <f>VLOOKUP(source[[#This Row],[lending_product_transform]],[3]Mapping!$B$4:$C$37,2,0)</f>
        <v>[Cake] - Cashloan</v>
      </c>
      <c r="H13372" s="128" t="str">
        <f>VLOOKUP(source[[#This Row],[lending_product_transform]],[3]Mapping!$B$3:$D$37,3,0)</f>
        <v>cashloan</v>
      </c>
      <c r="I13372" s="143">
        <v>10585296000</v>
      </c>
    </row>
    <row r="13373" spans="1:9" x14ac:dyDescent="0.2">
      <c r="A13373" s="134">
        <v>46081</v>
      </c>
      <c r="B13373" s="135">
        <f>YEAR(source[[#This Row],[report_date]])</f>
        <v>2026</v>
      </c>
      <c r="C13373" s="128">
        <f t="shared" si="626"/>
        <v>2</v>
      </c>
      <c r="D13373" s="136">
        <f t="shared" si="625"/>
        <v>9</v>
      </c>
      <c r="E13373" s="136">
        <f t="shared" si="627"/>
        <v>28</v>
      </c>
      <c r="F13373" s="137" t="s">
        <v>24</v>
      </c>
      <c r="G13373" s="128" t="str">
        <f>VLOOKUP(source[[#This Row],[lending_product_transform]],[3]Mapping!$B$4:$C$37,2,0)</f>
        <v>[Cake] - Cashloan</v>
      </c>
      <c r="H13373" s="128" t="str">
        <f>VLOOKUP(source[[#This Row],[lending_product_transform]],[3]Mapping!$B$3:$D$37,3,0)</f>
        <v>cashloan</v>
      </c>
      <c r="I13373" s="143">
        <v>146266557</v>
      </c>
    </row>
    <row r="13374" spans="1:9" x14ac:dyDescent="0.2">
      <c r="A13374" s="134">
        <v>46081</v>
      </c>
      <c r="B13374" s="135">
        <f>YEAR(source[[#This Row],[report_date]])</f>
        <v>2026</v>
      </c>
      <c r="C13374" s="128">
        <f t="shared" si="626"/>
        <v>2</v>
      </c>
      <c r="D13374" s="136">
        <f t="shared" si="625"/>
        <v>9</v>
      </c>
      <c r="E13374" s="136">
        <f t="shared" si="627"/>
        <v>28</v>
      </c>
      <c r="F13374" s="137" t="s">
        <v>24</v>
      </c>
      <c r="G13374" s="128" t="str">
        <f>VLOOKUP(source[[#This Row],[lending_product_transform]],[3]Mapping!$B$4:$C$37,2,0)</f>
        <v>[Cake] - Cashloan</v>
      </c>
      <c r="H13374" s="128" t="str">
        <f>VLOOKUP(source[[#This Row],[lending_product_transform]],[3]Mapping!$B$3:$D$37,3,0)</f>
        <v>cashloan</v>
      </c>
      <c r="I13374" s="143">
        <v>20500000</v>
      </c>
    </row>
    <row r="13375" spans="1:9" x14ac:dyDescent="0.2">
      <c r="A13375" s="134">
        <v>46081</v>
      </c>
      <c r="B13375" s="135">
        <f>YEAR(source[[#This Row],[report_date]])</f>
        <v>2026</v>
      </c>
      <c r="C13375" s="128">
        <f t="shared" si="626"/>
        <v>2</v>
      </c>
      <c r="D13375" s="136">
        <f t="shared" si="625"/>
        <v>9</v>
      </c>
      <c r="E13375" s="136">
        <f t="shared" si="627"/>
        <v>28</v>
      </c>
      <c r="F13375" s="137" t="s">
        <v>24</v>
      </c>
      <c r="G13375" s="128" t="str">
        <f>VLOOKUP(source[[#This Row],[lending_product_transform]],[3]Mapping!$B$4:$C$37,2,0)</f>
        <v>[Cake] - Cashloan</v>
      </c>
      <c r="H13375" s="128" t="str">
        <f>VLOOKUP(source[[#This Row],[lending_product_transform]],[3]Mapping!$B$3:$D$37,3,0)</f>
        <v>cashloan</v>
      </c>
      <c r="I13375" s="143">
        <v>34000000</v>
      </c>
    </row>
    <row r="13376" spans="1:9" x14ac:dyDescent="0.2">
      <c r="A13376" s="134">
        <v>46081</v>
      </c>
      <c r="B13376" s="135">
        <f>YEAR(source[[#This Row],[report_date]])</f>
        <v>2026</v>
      </c>
      <c r="C13376" s="128">
        <f t="shared" si="626"/>
        <v>2</v>
      </c>
      <c r="D13376" s="136">
        <f t="shared" si="625"/>
        <v>9</v>
      </c>
      <c r="E13376" s="136">
        <f t="shared" si="627"/>
        <v>28</v>
      </c>
      <c r="F13376" s="137" t="s">
        <v>24</v>
      </c>
      <c r="G13376" s="128" t="str">
        <f>VLOOKUP(source[[#This Row],[lending_product_transform]],[3]Mapping!$B$4:$C$37,2,0)</f>
        <v>[Cake] - Cashloan</v>
      </c>
      <c r="H13376" s="128" t="str">
        <f>VLOOKUP(source[[#This Row],[lending_product_transform]],[3]Mapping!$B$3:$D$37,3,0)</f>
        <v>cashloan</v>
      </c>
      <c r="I13376" s="143">
        <v>667490000</v>
      </c>
    </row>
    <row r="13377" spans="1:9" x14ac:dyDescent="0.2">
      <c r="A13377" s="134">
        <v>46081</v>
      </c>
      <c r="B13377" s="135">
        <f>YEAR(source[[#This Row],[report_date]])</f>
        <v>2026</v>
      </c>
      <c r="C13377" s="128">
        <f t="shared" si="626"/>
        <v>2</v>
      </c>
      <c r="D13377" s="136">
        <f t="shared" si="625"/>
        <v>9</v>
      </c>
      <c r="E13377" s="136">
        <f t="shared" si="627"/>
        <v>28</v>
      </c>
      <c r="F13377" s="137" t="s">
        <v>24</v>
      </c>
      <c r="G13377" s="128" t="str">
        <f>VLOOKUP(source[[#This Row],[lending_product_transform]],[3]Mapping!$B$4:$C$37,2,0)</f>
        <v>[Cake] - Cashloan</v>
      </c>
      <c r="H13377" s="128" t="str">
        <f>VLOOKUP(source[[#This Row],[lending_product_transform]],[3]Mapping!$B$3:$D$37,3,0)</f>
        <v>cashloan</v>
      </c>
      <c r="I13377" s="143">
        <v>323892000</v>
      </c>
    </row>
    <row r="13378" spans="1:9" x14ac:dyDescent="0.2">
      <c r="A13378" s="134">
        <v>46081</v>
      </c>
      <c r="B13378" s="135">
        <f>YEAR(source[[#This Row],[report_date]])</f>
        <v>2026</v>
      </c>
      <c r="C13378" s="128">
        <f t="shared" si="626"/>
        <v>2</v>
      </c>
      <c r="D13378" s="136">
        <f t="shared" si="625"/>
        <v>9</v>
      </c>
      <c r="E13378" s="136">
        <f t="shared" si="627"/>
        <v>28</v>
      </c>
      <c r="F13378" s="137" t="s">
        <v>24</v>
      </c>
      <c r="G13378" s="128" t="str">
        <f>VLOOKUP(source[[#This Row],[lending_product_transform]],[3]Mapping!$B$4:$C$37,2,0)</f>
        <v>[Cake] - Cashloan</v>
      </c>
      <c r="H13378" s="128" t="str">
        <f>VLOOKUP(source[[#This Row],[lending_product_transform]],[3]Mapping!$B$3:$D$37,3,0)</f>
        <v>cashloan</v>
      </c>
      <c r="I13378" s="143">
        <v>455690480</v>
      </c>
    </row>
    <row r="13379" spans="1:9" x14ac:dyDescent="0.2">
      <c r="A13379" s="134">
        <v>46081</v>
      </c>
      <c r="B13379" s="135">
        <f>YEAR(source[[#This Row],[report_date]])</f>
        <v>2026</v>
      </c>
      <c r="C13379" s="128">
        <f t="shared" si="626"/>
        <v>2</v>
      </c>
      <c r="D13379" s="136">
        <f t="shared" si="625"/>
        <v>9</v>
      </c>
      <c r="E13379" s="136">
        <f t="shared" si="627"/>
        <v>28</v>
      </c>
      <c r="F13379" s="137" t="s">
        <v>24</v>
      </c>
      <c r="G13379" s="128" t="str">
        <f>VLOOKUP(source[[#This Row],[lending_product_transform]],[3]Mapping!$B$4:$C$37,2,0)</f>
        <v>[Cake] - Cashloan</v>
      </c>
      <c r="H13379" s="128" t="str">
        <f>VLOOKUP(source[[#This Row],[lending_product_transform]],[3]Mapping!$B$3:$D$37,3,0)</f>
        <v>cashloan</v>
      </c>
      <c r="I13379" s="143">
        <v>2177870000</v>
      </c>
    </row>
    <row r="13380" spans="1:9" x14ac:dyDescent="0.2">
      <c r="A13380" s="134">
        <v>46081</v>
      </c>
      <c r="B13380" s="135">
        <f>YEAR(source[[#This Row],[report_date]])</f>
        <v>2026</v>
      </c>
      <c r="C13380" s="128">
        <f t="shared" si="626"/>
        <v>2</v>
      </c>
      <c r="D13380" s="136">
        <f t="shared" si="625"/>
        <v>9</v>
      </c>
      <c r="E13380" s="136">
        <f t="shared" si="627"/>
        <v>28</v>
      </c>
      <c r="F13380" s="137" t="s">
        <v>24</v>
      </c>
      <c r="G13380" s="128" t="str">
        <f>VLOOKUP(source[[#This Row],[lending_product_transform]],[3]Mapping!$B$4:$C$37,2,0)</f>
        <v>[Cake] - Cashloan</v>
      </c>
      <c r="H13380" s="128" t="str">
        <f>VLOOKUP(source[[#This Row],[lending_product_transform]],[3]Mapping!$B$3:$D$37,3,0)</f>
        <v>cashloan</v>
      </c>
      <c r="I13380" s="143">
        <v>463320000</v>
      </c>
    </row>
    <row r="13381" spans="1:9" x14ac:dyDescent="0.2">
      <c r="A13381" s="134">
        <v>46082</v>
      </c>
      <c r="B13381" s="135">
        <f>YEAR(source[[#This Row],[report_date]])</f>
        <v>2026</v>
      </c>
      <c r="C13381" s="128">
        <f t="shared" si="626"/>
        <v>3</v>
      </c>
      <c r="D13381" s="136">
        <f t="shared" si="625"/>
        <v>9</v>
      </c>
      <c r="E13381" s="136">
        <f t="shared" si="627"/>
        <v>1</v>
      </c>
      <c r="F13381" s="137" t="s">
        <v>24</v>
      </c>
      <c r="G13381" s="128" t="str">
        <f>VLOOKUP(source[[#This Row],[lending_product_transform]],[3]Mapping!$B$4:$C$37,2,0)</f>
        <v>[Cake] - Cashloan</v>
      </c>
      <c r="H13381" s="128" t="str">
        <f>VLOOKUP(source[[#This Row],[lending_product_transform]],[3]Mapping!$B$3:$D$37,3,0)</f>
        <v>cashloan</v>
      </c>
      <c r="I13381" s="143">
        <v>583800000</v>
      </c>
    </row>
    <row r="13382" spans="1:9" x14ac:dyDescent="0.2">
      <c r="A13382" s="134">
        <v>46082</v>
      </c>
      <c r="B13382" s="135">
        <f>YEAR(source[[#This Row],[report_date]])</f>
        <v>2026</v>
      </c>
      <c r="C13382" s="128">
        <f t="shared" si="626"/>
        <v>3</v>
      </c>
      <c r="D13382" s="136">
        <f t="shared" si="625"/>
        <v>9</v>
      </c>
      <c r="E13382" s="136">
        <f t="shared" si="627"/>
        <v>1</v>
      </c>
      <c r="F13382" s="137" t="s">
        <v>24</v>
      </c>
      <c r="G13382" s="128" t="str">
        <f>VLOOKUP(source[[#This Row],[lending_product_transform]],[3]Mapping!$B$4:$C$37,2,0)</f>
        <v>[Cake] - Cashloan</v>
      </c>
      <c r="H13382" s="128" t="str">
        <f>VLOOKUP(source[[#This Row],[lending_product_transform]],[3]Mapping!$B$3:$D$37,3,0)</f>
        <v>cashloan</v>
      </c>
      <c r="I13382" s="143">
        <v>300405796</v>
      </c>
    </row>
    <row r="13383" spans="1:9" x14ac:dyDescent="0.2">
      <c r="A13383" s="134">
        <v>46082</v>
      </c>
      <c r="B13383" s="135">
        <f>YEAR(source[[#This Row],[report_date]])</f>
        <v>2026</v>
      </c>
      <c r="C13383" s="128">
        <f t="shared" si="626"/>
        <v>3</v>
      </c>
      <c r="D13383" s="136">
        <f t="shared" si="625"/>
        <v>9</v>
      </c>
      <c r="E13383" s="136">
        <f t="shared" si="627"/>
        <v>1</v>
      </c>
      <c r="F13383" s="137" t="s">
        <v>24</v>
      </c>
      <c r="G13383" s="128" t="str">
        <f>VLOOKUP(source[[#This Row],[lending_product_transform]],[3]Mapping!$B$4:$C$37,2,0)</f>
        <v>[Cake] - Cashloan</v>
      </c>
      <c r="H13383" s="128" t="str">
        <f>VLOOKUP(source[[#This Row],[lending_product_transform]],[3]Mapping!$B$3:$D$37,3,0)</f>
        <v>cashloan</v>
      </c>
      <c r="I13383" s="143">
        <v>9480850000</v>
      </c>
    </row>
    <row r="13384" spans="1:9" x14ac:dyDescent="0.2">
      <c r="A13384" s="134">
        <v>46082</v>
      </c>
      <c r="B13384" s="135">
        <f>YEAR(source[[#This Row],[report_date]])</f>
        <v>2026</v>
      </c>
      <c r="C13384" s="128">
        <f t="shared" si="626"/>
        <v>3</v>
      </c>
      <c r="D13384" s="136">
        <f t="shared" si="625"/>
        <v>9</v>
      </c>
      <c r="E13384" s="136">
        <f t="shared" si="627"/>
        <v>1</v>
      </c>
      <c r="F13384" s="137" t="s">
        <v>24</v>
      </c>
      <c r="G13384" s="128" t="str">
        <f>VLOOKUP(source[[#This Row],[lending_product_transform]],[3]Mapping!$B$4:$C$37,2,0)</f>
        <v>[Cake] - Cashloan</v>
      </c>
      <c r="H13384" s="128" t="str">
        <f>VLOOKUP(source[[#This Row],[lending_product_transform]],[3]Mapping!$B$3:$D$37,3,0)</f>
        <v>cashloan</v>
      </c>
      <c r="I13384" s="143">
        <v>2923609940</v>
      </c>
    </row>
    <row r="13385" spans="1:9" x14ac:dyDescent="0.2">
      <c r="A13385" s="134">
        <v>46082</v>
      </c>
      <c r="B13385" s="135">
        <f>YEAR(source[[#This Row],[report_date]])</f>
        <v>2026</v>
      </c>
      <c r="C13385" s="128">
        <f t="shared" si="626"/>
        <v>3</v>
      </c>
      <c r="D13385" s="136">
        <f t="shared" si="625"/>
        <v>9</v>
      </c>
      <c r="E13385" s="136">
        <f t="shared" si="627"/>
        <v>1</v>
      </c>
      <c r="F13385" s="137" t="s">
        <v>24</v>
      </c>
      <c r="G13385" s="128" t="str">
        <f>VLOOKUP(source[[#This Row],[lending_product_transform]],[3]Mapping!$B$4:$C$37,2,0)</f>
        <v>[Cake] - Cashloan</v>
      </c>
      <c r="H13385" s="128" t="str">
        <f>VLOOKUP(source[[#This Row],[lending_product_transform]],[3]Mapping!$B$3:$D$37,3,0)</f>
        <v>cashloan</v>
      </c>
      <c r="I13385" s="143">
        <v>14175540000</v>
      </c>
    </row>
    <row r="13386" spans="1:9" x14ac:dyDescent="0.2">
      <c r="A13386" s="134">
        <v>46082</v>
      </c>
      <c r="B13386" s="135">
        <f>YEAR(source[[#This Row],[report_date]])</f>
        <v>2026</v>
      </c>
      <c r="C13386" s="128">
        <f t="shared" si="626"/>
        <v>3</v>
      </c>
      <c r="D13386" s="136">
        <f t="shared" si="625"/>
        <v>9</v>
      </c>
      <c r="E13386" s="136">
        <f t="shared" si="627"/>
        <v>1</v>
      </c>
      <c r="F13386" s="137" t="s">
        <v>24</v>
      </c>
      <c r="G13386" s="128" t="str">
        <f>VLOOKUP(source[[#This Row],[lending_product_transform]],[3]Mapping!$B$4:$C$37,2,0)</f>
        <v>[Cake] - Cashloan</v>
      </c>
      <c r="H13386" s="128" t="str">
        <f>VLOOKUP(source[[#This Row],[lending_product_transform]],[3]Mapping!$B$3:$D$37,3,0)</f>
        <v>cashloan</v>
      </c>
      <c r="I13386" s="143">
        <v>3332217</v>
      </c>
    </row>
    <row r="13387" spans="1:9" x14ac:dyDescent="0.2">
      <c r="A13387" s="134">
        <v>46082</v>
      </c>
      <c r="B13387" s="135">
        <f>YEAR(source[[#This Row],[report_date]])</f>
        <v>2026</v>
      </c>
      <c r="C13387" s="128">
        <f t="shared" si="626"/>
        <v>3</v>
      </c>
      <c r="D13387" s="136">
        <f t="shared" si="625"/>
        <v>9</v>
      </c>
      <c r="E13387" s="136">
        <f t="shared" si="627"/>
        <v>1</v>
      </c>
      <c r="F13387" s="137" t="s">
        <v>24</v>
      </c>
      <c r="G13387" s="128" t="str">
        <f>VLOOKUP(source[[#This Row],[lending_product_transform]],[3]Mapping!$B$4:$C$37,2,0)</f>
        <v>[Cake] - Cashloan</v>
      </c>
      <c r="H13387" s="128" t="str">
        <f>VLOOKUP(source[[#This Row],[lending_product_transform]],[3]Mapping!$B$3:$D$37,3,0)</f>
        <v>cashloan</v>
      </c>
      <c r="I13387" s="143">
        <v>0</v>
      </c>
    </row>
    <row r="13388" spans="1:9" x14ac:dyDescent="0.2">
      <c r="A13388" s="134">
        <v>46082</v>
      </c>
      <c r="B13388" s="135">
        <f>YEAR(source[[#This Row],[report_date]])</f>
        <v>2026</v>
      </c>
      <c r="C13388" s="128">
        <f t="shared" si="626"/>
        <v>3</v>
      </c>
      <c r="D13388" s="136">
        <f t="shared" si="625"/>
        <v>9</v>
      </c>
      <c r="E13388" s="136">
        <f t="shared" si="627"/>
        <v>1</v>
      </c>
      <c r="F13388" s="137" t="s">
        <v>24</v>
      </c>
      <c r="G13388" s="128" t="str">
        <f>VLOOKUP(source[[#This Row],[lending_product_transform]],[3]Mapping!$B$4:$C$37,2,0)</f>
        <v>[Cake] - Cashloan</v>
      </c>
      <c r="H13388" s="128" t="str">
        <f>VLOOKUP(source[[#This Row],[lending_product_transform]],[3]Mapping!$B$3:$D$37,3,0)</f>
        <v>cashloan</v>
      </c>
      <c r="I13388" s="143">
        <v>2746690000</v>
      </c>
    </row>
    <row r="13389" spans="1:9" x14ac:dyDescent="0.2">
      <c r="A13389" s="134">
        <v>46082</v>
      </c>
      <c r="B13389" s="135">
        <f>YEAR(source[[#This Row],[report_date]])</f>
        <v>2026</v>
      </c>
      <c r="C13389" s="128">
        <f t="shared" si="626"/>
        <v>3</v>
      </c>
      <c r="D13389" s="136">
        <f t="shared" si="625"/>
        <v>9</v>
      </c>
      <c r="E13389" s="136">
        <f t="shared" si="627"/>
        <v>1</v>
      </c>
      <c r="F13389" s="137" t="s">
        <v>24</v>
      </c>
      <c r="G13389" s="128" t="str">
        <f>VLOOKUP(source[[#This Row],[lending_product_transform]],[3]Mapping!$B$4:$C$37,2,0)</f>
        <v>[Cake] - Cashloan</v>
      </c>
      <c r="H13389" s="128" t="str">
        <f>VLOOKUP(source[[#This Row],[lending_product_transform]],[3]Mapping!$B$3:$D$37,3,0)</f>
        <v>cashloan</v>
      </c>
      <c r="I13389" s="143">
        <v>994000000</v>
      </c>
    </row>
    <row r="13390" spans="1:9" x14ac:dyDescent="0.2">
      <c r="A13390" s="134">
        <v>46082</v>
      </c>
      <c r="B13390" s="135">
        <f>YEAR(source[[#This Row],[report_date]])</f>
        <v>2026</v>
      </c>
      <c r="C13390" s="128">
        <f t="shared" si="626"/>
        <v>3</v>
      </c>
      <c r="D13390" s="136">
        <f t="shared" si="625"/>
        <v>9</v>
      </c>
      <c r="E13390" s="136">
        <f t="shared" si="627"/>
        <v>1</v>
      </c>
      <c r="F13390" s="137" t="s">
        <v>24</v>
      </c>
      <c r="G13390" s="128" t="str">
        <f>VLOOKUP(source[[#This Row],[lending_product_transform]],[3]Mapping!$B$4:$C$37,2,0)</f>
        <v>[Cake] - Cashloan</v>
      </c>
      <c r="H13390" s="128" t="str">
        <f>VLOOKUP(source[[#This Row],[lending_product_transform]],[3]Mapping!$B$3:$D$37,3,0)</f>
        <v>cashloan</v>
      </c>
      <c r="I13390" s="143">
        <v>10875742</v>
      </c>
    </row>
    <row r="13391" spans="1:9" x14ac:dyDescent="0.2">
      <c r="A13391" s="134">
        <v>46082</v>
      </c>
      <c r="B13391" s="135">
        <f>YEAR(source[[#This Row],[report_date]])</f>
        <v>2026</v>
      </c>
      <c r="C13391" s="128">
        <f t="shared" si="626"/>
        <v>3</v>
      </c>
      <c r="D13391" s="136">
        <f t="shared" si="625"/>
        <v>9</v>
      </c>
      <c r="E13391" s="136">
        <f t="shared" si="627"/>
        <v>1</v>
      </c>
      <c r="F13391" s="137" t="s">
        <v>24</v>
      </c>
      <c r="G13391" s="128" t="str">
        <f>VLOOKUP(source[[#This Row],[lending_product_transform]],[3]Mapping!$B$4:$C$37,2,0)</f>
        <v>[Cake] - Cashloan</v>
      </c>
      <c r="H13391" s="128" t="str">
        <f>VLOOKUP(source[[#This Row],[lending_product_transform]],[3]Mapping!$B$3:$D$37,3,0)</f>
        <v>cashloan</v>
      </c>
      <c r="I13391" s="143">
        <v>1327248931</v>
      </c>
    </row>
    <row r="13392" spans="1:9" x14ac:dyDescent="0.2">
      <c r="A13392" s="134">
        <v>46082</v>
      </c>
      <c r="B13392" s="135">
        <f>YEAR(source[[#This Row],[report_date]])</f>
        <v>2026</v>
      </c>
      <c r="C13392" s="128">
        <f t="shared" si="626"/>
        <v>3</v>
      </c>
      <c r="D13392" s="136">
        <f t="shared" si="625"/>
        <v>9</v>
      </c>
      <c r="E13392" s="136">
        <f t="shared" si="627"/>
        <v>1</v>
      </c>
      <c r="F13392" s="137" t="s">
        <v>24</v>
      </c>
      <c r="G13392" s="128" t="str">
        <f>VLOOKUP(source[[#This Row],[lending_product_transform]],[3]Mapping!$B$4:$C$37,2,0)</f>
        <v>[Cake] - Cashloan</v>
      </c>
      <c r="H13392" s="128" t="str">
        <f>VLOOKUP(source[[#This Row],[lending_product_transform]],[3]Mapping!$B$3:$D$37,3,0)</f>
        <v>cashloan</v>
      </c>
      <c r="I13392" s="143">
        <v>0</v>
      </c>
    </row>
    <row r="13393" spans="1:9" x14ac:dyDescent="0.2">
      <c r="A13393" s="134">
        <v>46082</v>
      </c>
      <c r="B13393" s="135">
        <f>YEAR(source[[#This Row],[report_date]])</f>
        <v>2026</v>
      </c>
      <c r="C13393" s="128">
        <f t="shared" si="626"/>
        <v>3</v>
      </c>
      <c r="D13393" s="136">
        <f t="shared" ref="D13393:D13456" si="628">WEEKNUM(A13393,2)</f>
        <v>9</v>
      </c>
      <c r="E13393" s="136">
        <f t="shared" si="627"/>
        <v>1</v>
      </c>
      <c r="F13393" s="137" t="s">
        <v>24</v>
      </c>
      <c r="G13393" s="128" t="str">
        <f>VLOOKUP(source[[#This Row],[lending_product_transform]],[3]Mapping!$B$4:$C$37,2,0)</f>
        <v>[Cake] - Cashloan</v>
      </c>
      <c r="H13393" s="128" t="str">
        <f>VLOOKUP(source[[#This Row],[lending_product_transform]],[3]Mapping!$B$3:$D$37,3,0)</f>
        <v>cashloan</v>
      </c>
      <c r="I13393" s="143">
        <v>10500000</v>
      </c>
    </row>
    <row r="13394" spans="1:9" x14ac:dyDescent="0.2">
      <c r="A13394" s="134">
        <v>46082</v>
      </c>
      <c r="B13394" s="135">
        <f>YEAR(source[[#This Row],[report_date]])</f>
        <v>2026</v>
      </c>
      <c r="C13394" s="128">
        <f t="shared" si="626"/>
        <v>3</v>
      </c>
      <c r="D13394" s="136">
        <f t="shared" si="628"/>
        <v>9</v>
      </c>
      <c r="E13394" s="136">
        <f t="shared" si="627"/>
        <v>1</v>
      </c>
      <c r="F13394" s="137" t="s">
        <v>24</v>
      </c>
      <c r="G13394" s="128" t="str">
        <f>VLOOKUP(source[[#This Row],[lending_product_transform]],[3]Mapping!$B$4:$C$37,2,0)</f>
        <v>[Cake] - Cashloan</v>
      </c>
      <c r="H13394" s="128" t="str">
        <f>VLOOKUP(source[[#This Row],[lending_product_transform]],[3]Mapping!$B$3:$D$37,3,0)</f>
        <v>cashloan</v>
      </c>
      <c r="I13394" s="143">
        <v>0</v>
      </c>
    </row>
    <row r="13395" spans="1:9" x14ac:dyDescent="0.2">
      <c r="A13395" s="134">
        <v>46082</v>
      </c>
      <c r="B13395" s="135">
        <f>YEAR(source[[#This Row],[report_date]])</f>
        <v>2026</v>
      </c>
      <c r="C13395" s="128">
        <f t="shared" si="626"/>
        <v>3</v>
      </c>
      <c r="D13395" s="136">
        <f t="shared" si="628"/>
        <v>9</v>
      </c>
      <c r="E13395" s="136">
        <f t="shared" si="627"/>
        <v>1</v>
      </c>
      <c r="F13395" s="137" t="s">
        <v>24</v>
      </c>
      <c r="G13395" s="128" t="str">
        <f>VLOOKUP(source[[#This Row],[lending_product_transform]],[3]Mapping!$B$4:$C$37,2,0)</f>
        <v>[Cake] - Cashloan</v>
      </c>
      <c r="H13395" s="128" t="str">
        <f>VLOOKUP(source[[#This Row],[lending_product_transform]],[3]Mapping!$B$3:$D$37,3,0)</f>
        <v>cashloan</v>
      </c>
      <c r="I13395" s="143">
        <v>12236800000</v>
      </c>
    </row>
    <row r="13396" spans="1:9" x14ac:dyDescent="0.2">
      <c r="A13396" s="134">
        <v>46082</v>
      </c>
      <c r="B13396" s="135">
        <f>YEAR(source[[#This Row],[report_date]])</f>
        <v>2026</v>
      </c>
      <c r="C13396" s="128">
        <f t="shared" si="626"/>
        <v>3</v>
      </c>
      <c r="D13396" s="136">
        <f t="shared" si="628"/>
        <v>9</v>
      </c>
      <c r="E13396" s="136">
        <f t="shared" si="627"/>
        <v>1</v>
      </c>
      <c r="F13396" s="137" t="s">
        <v>24</v>
      </c>
      <c r="G13396" s="128" t="str">
        <f>VLOOKUP(source[[#This Row],[lending_product_transform]],[3]Mapping!$B$4:$C$37,2,0)</f>
        <v>[Cake] - Cashloan</v>
      </c>
      <c r="H13396" s="128" t="str">
        <f>VLOOKUP(source[[#This Row],[lending_product_transform]],[3]Mapping!$B$3:$D$37,3,0)</f>
        <v>cashloan</v>
      </c>
      <c r="I13396" s="143">
        <v>0</v>
      </c>
    </row>
    <row r="13397" spans="1:9" x14ac:dyDescent="0.2">
      <c r="A13397" s="134">
        <v>46082</v>
      </c>
      <c r="B13397" s="135">
        <f>YEAR(source[[#This Row],[report_date]])</f>
        <v>2026</v>
      </c>
      <c r="C13397" s="128">
        <f t="shared" si="626"/>
        <v>3</v>
      </c>
      <c r="D13397" s="136">
        <f t="shared" si="628"/>
        <v>9</v>
      </c>
      <c r="E13397" s="136">
        <f t="shared" si="627"/>
        <v>1</v>
      </c>
      <c r="F13397" s="137" t="s">
        <v>24</v>
      </c>
      <c r="G13397" s="128" t="str">
        <f>VLOOKUP(source[[#This Row],[lending_product_transform]],[3]Mapping!$B$4:$C$37,2,0)</f>
        <v>[Cake] - Cashloan</v>
      </c>
      <c r="H13397" s="128" t="str">
        <f>VLOOKUP(source[[#This Row],[lending_product_transform]],[3]Mapping!$B$3:$D$37,3,0)</f>
        <v>cashloan</v>
      </c>
      <c r="I13397" s="143">
        <v>0</v>
      </c>
    </row>
    <row r="13398" spans="1:9" x14ac:dyDescent="0.2">
      <c r="A13398" s="134">
        <v>46082</v>
      </c>
      <c r="B13398" s="135">
        <f>YEAR(source[[#This Row],[report_date]])</f>
        <v>2026</v>
      </c>
      <c r="C13398" s="128">
        <f t="shared" si="626"/>
        <v>3</v>
      </c>
      <c r="D13398" s="136">
        <f t="shared" si="628"/>
        <v>9</v>
      </c>
      <c r="E13398" s="136">
        <f t="shared" si="627"/>
        <v>1</v>
      </c>
      <c r="F13398" s="137" t="s">
        <v>24</v>
      </c>
      <c r="G13398" s="128" t="str">
        <f>VLOOKUP(source[[#This Row],[lending_product_transform]],[3]Mapping!$B$4:$C$37,2,0)</f>
        <v>[Cake] - Cashloan</v>
      </c>
      <c r="H13398" s="128" t="str">
        <f>VLOOKUP(source[[#This Row],[lending_product_transform]],[3]Mapping!$B$3:$D$37,3,0)</f>
        <v>cashloan</v>
      </c>
      <c r="I13398" s="143">
        <v>0</v>
      </c>
    </row>
    <row r="13399" spans="1:9" x14ac:dyDescent="0.2">
      <c r="A13399" s="134">
        <v>46082</v>
      </c>
      <c r="B13399" s="135">
        <f>YEAR(source[[#This Row],[report_date]])</f>
        <v>2026</v>
      </c>
      <c r="C13399" s="128">
        <f t="shared" si="626"/>
        <v>3</v>
      </c>
      <c r="D13399" s="136">
        <f t="shared" si="628"/>
        <v>9</v>
      </c>
      <c r="E13399" s="136">
        <f t="shared" si="627"/>
        <v>1</v>
      </c>
      <c r="F13399" s="137" t="s">
        <v>24</v>
      </c>
      <c r="G13399" s="128" t="str">
        <f>VLOOKUP(source[[#This Row],[lending_product_transform]],[3]Mapping!$B$4:$C$37,2,0)</f>
        <v>[Cake] - Cashloan</v>
      </c>
      <c r="H13399" s="128" t="str">
        <f>VLOOKUP(source[[#This Row],[lending_product_transform]],[3]Mapping!$B$3:$D$37,3,0)</f>
        <v>cashloan</v>
      </c>
      <c r="I13399" s="143">
        <v>0</v>
      </c>
    </row>
    <row r="13400" spans="1:9" x14ac:dyDescent="0.2">
      <c r="A13400" s="134">
        <v>46082</v>
      </c>
      <c r="B13400" s="135">
        <f>YEAR(source[[#This Row],[report_date]])</f>
        <v>2026</v>
      </c>
      <c r="C13400" s="128">
        <f t="shared" si="626"/>
        <v>3</v>
      </c>
      <c r="D13400" s="136">
        <f t="shared" si="628"/>
        <v>9</v>
      </c>
      <c r="E13400" s="136">
        <f t="shared" si="627"/>
        <v>1</v>
      </c>
      <c r="F13400" s="137" t="s">
        <v>24</v>
      </c>
      <c r="G13400" s="128" t="str">
        <f>VLOOKUP(source[[#This Row],[lending_product_transform]],[3]Mapping!$B$4:$C$37,2,0)</f>
        <v>[Cake] - Cashloan</v>
      </c>
      <c r="H13400" s="128" t="str">
        <f>VLOOKUP(source[[#This Row],[lending_product_transform]],[3]Mapping!$B$3:$D$37,3,0)</f>
        <v>cashloan</v>
      </c>
      <c r="I13400" s="143">
        <v>11641212000</v>
      </c>
    </row>
    <row r="13401" spans="1:9" x14ac:dyDescent="0.2">
      <c r="A13401" s="134">
        <v>46082</v>
      </c>
      <c r="B13401" s="135">
        <f>YEAR(source[[#This Row],[report_date]])</f>
        <v>2026</v>
      </c>
      <c r="C13401" s="128">
        <f t="shared" si="626"/>
        <v>3</v>
      </c>
      <c r="D13401" s="136">
        <f t="shared" si="628"/>
        <v>9</v>
      </c>
      <c r="E13401" s="136">
        <f t="shared" si="627"/>
        <v>1</v>
      </c>
      <c r="F13401" s="137" t="s">
        <v>24</v>
      </c>
      <c r="G13401" s="128" t="str">
        <f>VLOOKUP(source[[#This Row],[lending_product_transform]],[3]Mapping!$B$4:$C$37,2,0)</f>
        <v>[Cake] - Cashloan</v>
      </c>
      <c r="H13401" s="128" t="str">
        <f>VLOOKUP(source[[#This Row],[lending_product_transform]],[3]Mapping!$B$3:$D$37,3,0)</f>
        <v>cashloan</v>
      </c>
      <c r="I13401" s="143">
        <v>355551409</v>
      </c>
    </row>
    <row r="13402" spans="1:9" x14ac:dyDescent="0.2">
      <c r="A13402" s="134">
        <v>46082</v>
      </c>
      <c r="B13402" s="135">
        <f>YEAR(source[[#This Row],[report_date]])</f>
        <v>2026</v>
      </c>
      <c r="C13402" s="128">
        <f t="shared" si="626"/>
        <v>3</v>
      </c>
      <c r="D13402" s="136">
        <f t="shared" si="628"/>
        <v>9</v>
      </c>
      <c r="E13402" s="136">
        <f t="shared" si="627"/>
        <v>1</v>
      </c>
      <c r="F13402" s="137" t="s">
        <v>24</v>
      </c>
      <c r="G13402" s="128" t="str">
        <f>VLOOKUP(source[[#This Row],[lending_product_transform]],[3]Mapping!$B$4:$C$37,2,0)</f>
        <v>[Cake] - Cashloan</v>
      </c>
      <c r="H13402" s="128" t="str">
        <f>VLOOKUP(source[[#This Row],[lending_product_transform]],[3]Mapping!$B$3:$D$37,3,0)</f>
        <v>cashloan</v>
      </c>
      <c r="I13402" s="143">
        <v>21000000</v>
      </c>
    </row>
    <row r="13403" spans="1:9" x14ac:dyDescent="0.2">
      <c r="A13403" s="134">
        <v>46082</v>
      </c>
      <c r="B13403" s="135">
        <f>YEAR(source[[#This Row],[report_date]])</f>
        <v>2026</v>
      </c>
      <c r="C13403" s="128">
        <f t="shared" si="626"/>
        <v>3</v>
      </c>
      <c r="D13403" s="136">
        <f t="shared" si="628"/>
        <v>9</v>
      </c>
      <c r="E13403" s="136">
        <f t="shared" si="627"/>
        <v>1</v>
      </c>
      <c r="F13403" s="137" t="s">
        <v>24</v>
      </c>
      <c r="G13403" s="128" t="str">
        <f>VLOOKUP(source[[#This Row],[lending_product_transform]],[3]Mapping!$B$4:$C$37,2,0)</f>
        <v>[Cake] - Cashloan</v>
      </c>
      <c r="H13403" s="128" t="str">
        <f>VLOOKUP(source[[#This Row],[lending_product_transform]],[3]Mapping!$B$3:$D$37,3,0)</f>
        <v>cashloan</v>
      </c>
      <c r="I13403" s="143">
        <v>62000000</v>
      </c>
    </row>
    <row r="13404" spans="1:9" x14ac:dyDescent="0.2">
      <c r="A13404" s="134">
        <v>46082</v>
      </c>
      <c r="B13404" s="135">
        <f>YEAR(source[[#This Row],[report_date]])</f>
        <v>2026</v>
      </c>
      <c r="C13404" s="128">
        <f t="shared" si="626"/>
        <v>3</v>
      </c>
      <c r="D13404" s="136">
        <f t="shared" si="628"/>
        <v>9</v>
      </c>
      <c r="E13404" s="136">
        <f t="shared" si="627"/>
        <v>1</v>
      </c>
      <c r="F13404" s="137" t="s">
        <v>24</v>
      </c>
      <c r="G13404" s="128" t="str">
        <f>VLOOKUP(source[[#This Row],[lending_product_transform]],[3]Mapping!$B$4:$C$37,2,0)</f>
        <v>[Cake] - Cashloan</v>
      </c>
      <c r="H13404" s="128" t="str">
        <f>VLOOKUP(source[[#This Row],[lending_product_transform]],[3]Mapping!$B$3:$D$37,3,0)</f>
        <v>cashloan</v>
      </c>
      <c r="I13404" s="143">
        <v>812230000</v>
      </c>
    </row>
    <row r="13405" spans="1:9" x14ac:dyDescent="0.2">
      <c r="A13405" s="134">
        <v>46082</v>
      </c>
      <c r="B13405" s="135">
        <f>YEAR(source[[#This Row],[report_date]])</f>
        <v>2026</v>
      </c>
      <c r="C13405" s="128">
        <f t="shared" si="626"/>
        <v>3</v>
      </c>
      <c r="D13405" s="136">
        <f t="shared" si="628"/>
        <v>9</v>
      </c>
      <c r="E13405" s="136">
        <f t="shared" si="627"/>
        <v>1</v>
      </c>
      <c r="F13405" s="137" t="s">
        <v>24</v>
      </c>
      <c r="G13405" s="128" t="str">
        <f>VLOOKUP(source[[#This Row],[lending_product_transform]],[3]Mapping!$B$4:$C$37,2,0)</f>
        <v>[Cake] - Cashloan</v>
      </c>
      <c r="H13405" s="128" t="str">
        <f>VLOOKUP(source[[#This Row],[lending_product_transform]],[3]Mapping!$B$3:$D$37,3,0)</f>
        <v>cashloan</v>
      </c>
      <c r="I13405" s="143">
        <v>272592000</v>
      </c>
    </row>
    <row r="13406" spans="1:9" x14ac:dyDescent="0.2">
      <c r="A13406" s="134">
        <v>46082</v>
      </c>
      <c r="B13406" s="135">
        <f>YEAR(source[[#This Row],[report_date]])</f>
        <v>2026</v>
      </c>
      <c r="C13406" s="128">
        <f t="shared" si="626"/>
        <v>3</v>
      </c>
      <c r="D13406" s="136">
        <f t="shared" si="628"/>
        <v>9</v>
      </c>
      <c r="E13406" s="136">
        <f t="shared" si="627"/>
        <v>1</v>
      </c>
      <c r="F13406" s="137" t="s">
        <v>24</v>
      </c>
      <c r="G13406" s="128" t="str">
        <f>VLOOKUP(source[[#This Row],[lending_product_transform]],[3]Mapping!$B$4:$C$37,2,0)</f>
        <v>[Cake] - Cashloan</v>
      </c>
      <c r="H13406" s="128" t="str">
        <f>VLOOKUP(source[[#This Row],[lending_product_transform]],[3]Mapping!$B$3:$D$37,3,0)</f>
        <v>cashloan</v>
      </c>
      <c r="I13406" s="143">
        <v>599289418</v>
      </c>
    </row>
    <row r="13407" spans="1:9" x14ac:dyDescent="0.2">
      <c r="A13407" s="134">
        <v>46082</v>
      </c>
      <c r="B13407" s="135">
        <f>YEAR(source[[#This Row],[report_date]])</f>
        <v>2026</v>
      </c>
      <c r="C13407" s="128">
        <f t="shared" si="626"/>
        <v>3</v>
      </c>
      <c r="D13407" s="136">
        <f t="shared" si="628"/>
        <v>9</v>
      </c>
      <c r="E13407" s="136">
        <f t="shared" si="627"/>
        <v>1</v>
      </c>
      <c r="F13407" s="137" t="s">
        <v>24</v>
      </c>
      <c r="G13407" s="128" t="str">
        <f>VLOOKUP(source[[#This Row],[lending_product_transform]],[3]Mapping!$B$4:$C$37,2,0)</f>
        <v>[Cake] - Cashloan</v>
      </c>
      <c r="H13407" s="128" t="str">
        <f>VLOOKUP(source[[#This Row],[lending_product_transform]],[3]Mapping!$B$3:$D$37,3,0)</f>
        <v>cashloan</v>
      </c>
      <c r="I13407" s="143">
        <v>2724510000</v>
      </c>
    </row>
    <row r="13408" spans="1:9" x14ac:dyDescent="0.2">
      <c r="A13408" s="134">
        <v>46082</v>
      </c>
      <c r="B13408" s="135">
        <f>YEAR(source[[#This Row],[report_date]])</f>
        <v>2026</v>
      </c>
      <c r="C13408" s="128">
        <f t="shared" si="626"/>
        <v>3</v>
      </c>
      <c r="D13408" s="136">
        <f t="shared" si="628"/>
        <v>9</v>
      </c>
      <c r="E13408" s="136">
        <f t="shared" si="627"/>
        <v>1</v>
      </c>
      <c r="F13408" s="137" t="s">
        <v>24</v>
      </c>
      <c r="G13408" s="128" t="str">
        <f>VLOOKUP(source[[#This Row],[lending_product_transform]],[3]Mapping!$B$4:$C$37,2,0)</f>
        <v>[Cake] - Cashloan</v>
      </c>
      <c r="H13408" s="128" t="str">
        <f>VLOOKUP(source[[#This Row],[lending_product_transform]],[3]Mapping!$B$3:$D$37,3,0)</f>
        <v>cashloan</v>
      </c>
      <c r="I13408" s="143">
        <v>298080000</v>
      </c>
    </row>
    <row r="13409" spans="1:9" x14ac:dyDescent="0.2">
      <c r="A13409" s="134">
        <v>46083</v>
      </c>
      <c r="B13409" s="135">
        <f>YEAR(source[[#This Row],[report_date]])</f>
        <v>2026</v>
      </c>
      <c r="C13409" s="128">
        <f t="shared" si="626"/>
        <v>3</v>
      </c>
      <c r="D13409" s="136">
        <f t="shared" si="628"/>
        <v>10</v>
      </c>
      <c r="E13409" s="136">
        <f t="shared" si="627"/>
        <v>2</v>
      </c>
      <c r="F13409" s="137" t="s">
        <v>24</v>
      </c>
      <c r="G13409" s="128" t="str">
        <f>VLOOKUP(source[[#This Row],[lending_product_transform]],[3]Mapping!$B$4:$C$37,2,0)</f>
        <v>[Cake] - Cashloan</v>
      </c>
      <c r="H13409" s="128" t="str">
        <f>VLOOKUP(source[[#This Row],[lending_product_transform]],[3]Mapping!$B$3:$D$37,3,0)</f>
        <v>cashloan</v>
      </c>
      <c r="I13409" s="143">
        <v>503600000</v>
      </c>
    </row>
    <row r="13410" spans="1:9" x14ac:dyDescent="0.2">
      <c r="A13410" s="134">
        <v>46083</v>
      </c>
      <c r="B13410" s="135">
        <f>YEAR(source[[#This Row],[report_date]])</f>
        <v>2026</v>
      </c>
      <c r="C13410" s="128">
        <f t="shared" si="626"/>
        <v>3</v>
      </c>
      <c r="D13410" s="136">
        <f t="shared" si="628"/>
        <v>10</v>
      </c>
      <c r="E13410" s="136">
        <f t="shared" si="627"/>
        <v>2</v>
      </c>
      <c r="F13410" s="137" t="s">
        <v>24</v>
      </c>
      <c r="G13410" s="128" t="str">
        <f>VLOOKUP(source[[#This Row],[lending_product_transform]],[3]Mapping!$B$4:$C$37,2,0)</f>
        <v>[Cake] - Cashloan</v>
      </c>
      <c r="H13410" s="128" t="str">
        <f>VLOOKUP(source[[#This Row],[lending_product_transform]],[3]Mapping!$B$3:$D$37,3,0)</f>
        <v>cashloan</v>
      </c>
      <c r="I13410" s="143">
        <v>346848287</v>
      </c>
    </row>
    <row r="13411" spans="1:9" x14ac:dyDescent="0.2">
      <c r="A13411" s="134">
        <v>46083</v>
      </c>
      <c r="B13411" s="135">
        <f>YEAR(source[[#This Row],[report_date]])</f>
        <v>2026</v>
      </c>
      <c r="C13411" s="128">
        <f t="shared" si="626"/>
        <v>3</v>
      </c>
      <c r="D13411" s="136">
        <f t="shared" si="628"/>
        <v>10</v>
      </c>
      <c r="E13411" s="136">
        <f t="shared" si="627"/>
        <v>2</v>
      </c>
      <c r="F13411" s="137" t="s">
        <v>24</v>
      </c>
      <c r="G13411" s="128" t="str">
        <f>VLOOKUP(source[[#This Row],[lending_product_transform]],[3]Mapping!$B$4:$C$37,2,0)</f>
        <v>[Cake] - Cashloan</v>
      </c>
      <c r="H13411" s="128" t="str">
        <f>VLOOKUP(source[[#This Row],[lending_product_transform]],[3]Mapping!$B$3:$D$37,3,0)</f>
        <v>cashloan</v>
      </c>
      <c r="I13411" s="143">
        <v>11842400000</v>
      </c>
    </row>
    <row r="13412" spans="1:9" x14ac:dyDescent="0.2">
      <c r="A13412" s="134">
        <v>46083</v>
      </c>
      <c r="B13412" s="135">
        <f>YEAR(source[[#This Row],[report_date]])</f>
        <v>2026</v>
      </c>
      <c r="C13412" s="128">
        <f t="shared" si="626"/>
        <v>3</v>
      </c>
      <c r="D13412" s="136">
        <f t="shared" si="628"/>
        <v>10</v>
      </c>
      <c r="E13412" s="136">
        <f t="shared" si="627"/>
        <v>2</v>
      </c>
      <c r="F13412" s="137" t="s">
        <v>24</v>
      </c>
      <c r="G13412" s="128" t="str">
        <f>VLOOKUP(source[[#This Row],[lending_product_transform]],[3]Mapping!$B$4:$C$37,2,0)</f>
        <v>[Cake] - Cashloan</v>
      </c>
      <c r="H13412" s="128" t="str">
        <f>VLOOKUP(source[[#This Row],[lending_product_transform]],[3]Mapping!$B$3:$D$37,3,0)</f>
        <v>cashloan</v>
      </c>
      <c r="I13412" s="143">
        <v>3209812806</v>
      </c>
    </row>
    <row r="13413" spans="1:9" x14ac:dyDescent="0.2">
      <c r="A13413" s="134">
        <v>46083</v>
      </c>
      <c r="B13413" s="135">
        <f>YEAR(source[[#This Row],[report_date]])</f>
        <v>2026</v>
      </c>
      <c r="C13413" s="128">
        <f t="shared" si="626"/>
        <v>3</v>
      </c>
      <c r="D13413" s="136">
        <f t="shared" si="628"/>
        <v>10</v>
      </c>
      <c r="E13413" s="136">
        <f t="shared" si="627"/>
        <v>2</v>
      </c>
      <c r="F13413" s="137" t="s">
        <v>24</v>
      </c>
      <c r="G13413" s="128" t="str">
        <f>VLOOKUP(source[[#This Row],[lending_product_transform]],[3]Mapping!$B$4:$C$37,2,0)</f>
        <v>[Cake] - Cashloan</v>
      </c>
      <c r="H13413" s="128" t="str">
        <f>VLOOKUP(source[[#This Row],[lending_product_transform]],[3]Mapping!$B$3:$D$37,3,0)</f>
        <v>cashloan</v>
      </c>
      <c r="I13413" s="143">
        <v>15727068000</v>
      </c>
    </row>
    <row r="13414" spans="1:9" x14ac:dyDescent="0.2">
      <c r="A13414" s="134">
        <v>46083</v>
      </c>
      <c r="B13414" s="135">
        <f>YEAR(source[[#This Row],[report_date]])</f>
        <v>2026</v>
      </c>
      <c r="C13414" s="128">
        <f t="shared" si="626"/>
        <v>3</v>
      </c>
      <c r="D13414" s="136">
        <f t="shared" si="628"/>
        <v>10</v>
      </c>
      <c r="E13414" s="136">
        <f t="shared" si="627"/>
        <v>2</v>
      </c>
      <c r="F13414" s="137" t="s">
        <v>24</v>
      </c>
      <c r="G13414" s="128" t="str">
        <f>VLOOKUP(source[[#This Row],[lending_product_transform]],[3]Mapping!$B$4:$C$37,2,0)</f>
        <v>[Cake] - Cashloan</v>
      </c>
      <c r="H13414" s="128" t="str">
        <f>VLOOKUP(source[[#This Row],[lending_product_transform]],[3]Mapping!$B$3:$D$37,3,0)</f>
        <v>cashloan</v>
      </c>
      <c r="I13414" s="143">
        <v>42606676</v>
      </c>
    </row>
    <row r="13415" spans="1:9" x14ac:dyDescent="0.2">
      <c r="A13415" s="134">
        <v>46083</v>
      </c>
      <c r="B13415" s="135">
        <f>YEAR(source[[#This Row],[report_date]])</f>
        <v>2026</v>
      </c>
      <c r="C13415" s="128">
        <f t="shared" si="626"/>
        <v>3</v>
      </c>
      <c r="D13415" s="136">
        <f t="shared" si="628"/>
        <v>10</v>
      </c>
      <c r="E13415" s="136">
        <f t="shared" si="627"/>
        <v>2</v>
      </c>
      <c r="F13415" s="137" t="s">
        <v>24</v>
      </c>
      <c r="G13415" s="128" t="str">
        <f>VLOOKUP(source[[#This Row],[lending_product_transform]],[3]Mapping!$B$4:$C$37,2,0)</f>
        <v>[Cake] - Cashloan</v>
      </c>
      <c r="H13415" s="128" t="str">
        <f>VLOOKUP(source[[#This Row],[lending_product_transform]],[3]Mapping!$B$3:$D$37,3,0)</f>
        <v>cashloan</v>
      </c>
      <c r="I13415" s="143">
        <v>137000000</v>
      </c>
    </row>
    <row r="13416" spans="1:9" x14ac:dyDescent="0.2">
      <c r="A13416" s="134">
        <v>46083</v>
      </c>
      <c r="B13416" s="135">
        <f>YEAR(source[[#This Row],[report_date]])</f>
        <v>2026</v>
      </c>
      <c r="C13416" s="128">
        <f t="shared" si="626"/>
        <v>3</v>
      </c>
      <c r="D13416" s="136">
        <f t="shared" si="628"/>
        <v>10</v>
      </c>
      <c r="E13416" s="136">
        <f t="shared" si="627"/>
        <v>2</v>
      </c>
      <c r="F13416" s="137" t="s">
        <v>24</v>
      </c>
      <c r="G13416" s="128" t="str">
        <f>VLOOKUP(source[[#This Row],[lending_product_transform]],[3]Mapping!$B$4:$C$37,2,0)</f>
        <v>[Cake] - Cashloan</v>
      </c>
      <c r="H13416" s="128" t="str">
        <f>VLOOKUP(source[[#This Row],[lending_product_transform]],[3]Mapping!$B$3:$D$37,3,0)</f>
        <v>cashloan</v>
      </c>
      <c r="I13416" s="143">
        <v>2425040000</v>
      </c>
    </row>
    <row r="13417" spans="1:9" x14ac:dyDescent="0.2">
      <c r="A13417" s="134">
        <v>46083</v>
      </c>
      <c r="B13417" s="135">
        <f>YEAR(source[[#This Row],[report_date]])</f>
        <v>2026</v>
      </c>
      <c r="C13417" s="128">
        <f t="shared" si="626"/>
        <v>3</v>
      </c>
      <c r="D13417" s="136">
        <f t="shared" si="628"/>
        <v>10</v>
      </c>
      <c r="E13417" s="136">
        <f t="shared" si="627"/>
        <v>2</v>
      </c>
      <c r="F13417" s="137" t="s">
        <v>24</v>
      </c>
      <c r="G13417" s="128" t="str">
        <f>VLOOKUP(source[[#This Row],[lending_product_transform]],[3]Mapping!$B$4:$C$37,2,0)</f>
        <v>[Cake] - Cashloan</v>
      </c>
      <c r="H13417" s="128" t="str">
        <f>VLOOKUP(source[[#This Row],[lending_product_transform]],[3]Mapping!$B$3:$D$37,3,0)</f>
        <v>cashloan</v>
      </c>
      <c r="I13417" s="143">
        <v>1602830000</v>
      </c>
    </row>
    <row r="13418" spans="1:9" x14ac:dyDescent="0.2">
      <c r="A13418" s="134">
        <v>46083</v>
      </c>
      <c r="B13418" s="135">
        <f>YEAR(source[[#This Row],[report_date]])</f>
        <v>2026</v>
      </c>
      <c r="C13418" s="128">
        <f t="shared" si="626"/>
        <v>3</v>
      </c>
      <c r="D13418" s="136">
        <f t="shared" si="628"/>
        <v>10</v>
      </c>
      <c r="E13418" s="136">
        <f t="shared" si="627"/>
        <v>2</v>
      </c>
      <c r="F13418" s="137" t="s">
        <v>24</v>
      </c>
      <c r="G13418" s="128" t="str">
        <f>VLOOKUP(source[[#This Row],[lending_product_transform]],[3]Mapping!$B$4:$C$37,2,0)</f>
        <v>[Cake] - Cashloan</v>
      </c>
      <c r="H13418" s="128" t="str">
        <f>VLOOKUP(source[[#This Row],[lending_product_transform]],[3]Mapping!$B$3:$D$37,3,0)</f>
        <v>cashloan</v>
      </c>
      <c r="I13418" s="143">
        <v>17596216</v>
      </c>
    </row>
    <row r="13419" spans="1:9" x14ac:dyDescent="0.2">
      <c r="A13419" s="134">
        <v>46083</v>
      </c>
      <c r="B13419" s="135">
        <f>YEAR(source[[#This Row],[report_date]])</f>
        <v>2026</v>
      </c>
      <c r="C13419" s="128">
        <f t="shared" si="626"/>
        <v>3</v>
      </c>
      <c r="D13419" s="136">
        <f t="shared" si="628"/>
        <v>10</v>
      </c>
      <c r="E13419" s="136">
        <f t="shared" si="627"/>
        <v>2</v>
      </c>
      <c r="F13419" s="137" t="s">
        <v>24</v>
      </c>
      <c r="G13419" s="128" t="str">
        <f>VLOOKUP(source[[#This Row],[lending_product_transform]],[3]Mapping!$B$4:$C$37,2,0)</f>
        <v>[Cake] - Cashloan</v>
      </c>
      <c r="H13419" s="128" t="str">
        <f>VLOOKUP(source[[#This Row],[lending_product_transform]],[3]Mapping!$B$3:$D$37,3,0)</f>
        <v>cashloan</v>
      </c>
      <c r="I13419" s="143">
        <v>1378449521</v>
      </c>
    </row>
    <row r="13420" spans="1:9" x14ac:dyDescent="0.2">
      <c r="A13420" s="134">
        <v>46083</v>
      </c>
      <c r="B13420" s="135">
        <f>YEAR(source[[#This Row],[report_date]])</f>
        <v>2026</v>
      </c>
      <c r="C13420" s="128">
        <f t="shared" si="626"/>
        <v>3</v>
      </c>
      <c r="D13420" s="136">
        <f t="shared" si="628"/>
        <v>10</v>
      </c>
      <c r="E13420" s="136">
        <f t="shared" si="627"/>
        <v>2</v>
      </c>
      <c r="F13420" s="137" t="s">
        <v>24</v>
      </c>
      <c r="G13420" s="128" t="str">
        <f>VLOOKUP(source[[#This Row],[lending_product_transform]],[3]Mapping!$B$4:$C$37,2,0)</f>
        <v>[Cake] - Cashloan</v>
      </c>
      <c r="H13420" s="128" t="str">
        <f>VLOOKUP(source[[#This Row],[lending_product_transform]],[3]Mapping!$B$3:$D$37,3,0)</f>
        <v>cashloan</v>
      </c>
      <c r="I13420" s="143">
        <v>0</v>
      </c>
    </row>
    <row r="13421" spans="1:9" x14ac:dyDescent="0.2">
      <c r="A13421" s="134">
        <v>46083</v>
      </c>
      <c r="B13421" s="135">
        <f>YEAR(source[[#This Row],[report_date]])</f>
        <v>2026</v>
      </c>
      <c r="C13421" s="128">
        <f t="shared" si="626"/>
        <v>3</v>
      </c>
      <c r="D13421" s="136">
        <f t="shared" si="628"/>
        <v>10</v>
      </c>
      <c r="E13421" s="136">
        <f t="shared" si="627"/>
        <v>2</v>
      </c>
      <c r="F13421" s="137" t="s">
        <v>24</v>
      </c>
      <c r="G13421" s="128" t="str">
        <f>VLOOKUP(source[[#This Row],[lending_product_transform]],[3]Mapping!$B$4:$C$37,2,0)</f>
        <v>[Cake] - Cashloan</v>
      </c>
      <c r="H13421" s="128" t="str">
        <f>VLOOKUP(source[[#This Row],[lending_product_transform]],[3]Mapping!$B$3:$D$37,3,0)</f>
        <v>cashloan</v>
      </c>
      <c r="I13421" s="143">
        <v>141000000</v>
      </c>
    </row>
    <row r="13422" spans="1:9" x14ac:dyDescent="0.2">
      <c r="A13422" s="134">
        <v>46083</v>
      </c>
      <c r="B13422" s="135">
        <f>YEAR(source[[#This Row],[report_date]])</f>
        <v>2026</v>
      </c>
      <c r="C13422" s="128">
        <f t="shared" si="626"/>
        <v>3</v>
      </c>
      <c r="D13422" s="136">
        <f t="shared" si="628"/>
        <v>10</v>
      </c>
      <c r="E13422" s="136">
        <f t="shared" si="627"/>
        <v>2</v>
      </c>
      <c r="F13422" s="137" t="s">
        <v>24</v>
      </c>
      <c r="G13422" s="128" t="str">
        <f>VLOOKUP(source[[#This Row],[lending_product_transform]],[3]Mapping!$B$4:$C$37,2,0)</f>
        <v>[Cake] - Cashloan</v>
      </c>
      <c r="H13422" s="128" t="str">
        <f>VLOOKUP(source[[#This Row],[lending_product_transform]],[3]Mapping!$B$3:$D$37,3,0)</f>
        <v>cashloan</v>
      </c>
      <c r="I13422" s="143">
        <v>0</v>
      </c>
    </row>
    <row r="13423" spans="1:9" x14ac:dyDescent="0.2">
      <c r="A13423" s="134">
        <v>46083</v>
      </c>
      <c r="B13423" s="135">
        <f>YEAR(source[[#This Row],[report_date]])</f>
        <v>2026</v>
      </c>
      <c r="C13423" s="128">
        <f t="shared" si="626"/>
        <v>3</v>
      </c>
      <c r="D13423" s="136">
        <f t="shared" si="628"/>
        <v>10</v>
      </c>
      <c r="E13423" s="136">
        <f t="shared" si="627"/>
        <v>2</v>
      </c>
      <c r="F13423" s="137" t="s">
        <v>24</v>
      </c>
      <c r="G13423" s="128" t="str">
        <f>VLOOKUP(source[[#This Row],[lending_product_transform]],[3]Mapping!$B$4:$C$37,2,0)</f>
        <v>[Cake] - Cashloan</v>
      </c>
      <c r="H13423" s="128" t="str">
        <f>VLOOKUP(source[[#This Row],[lending_product_transform]],[3]Mapping!$B$3:$D$37,3,0)</f>
        <v>cashloan</v>
      </c>
      <c r="I13423" s="143">
        <v>14738820000</v>
      </c>
    </row>
    <row r="13424" spans="1:9" x14ac:dyDescent="0.2">
      <c r="A13424" s="134">
        <v>46083</v>
      </c>
      <c r="B13424" s="135">
        <f>YEAR(source[[#This Row],[report_date]])</f>
        <v>2026</v>
      </c>
      <c r="C13424" s="128">
        <f t="shared" si="626"/>
        <v>3</v>
      </c>
      <c r="D13424" s="136">
        <f t="shared" si="628"/>
        <v>10</v>
      </c>
      <c r="E13424" s="136">
        <f t="shared" si="627"/>
        <v>2</v>
      </c>
      <c r="F13424" s="137" t="s">
        <v>24</v>
      </c>
      <c r="G13424" s="128" t="str">
        <f>VLOOKUP(source[[#This Row],[lending_product_transform]],[3]Mapping!$B$4:$C$37,2,0)</f>
        <v>[Cake] - Cashloan</v>
      </c>
      <c r="H13424" s="128" t="str">
        <f>VLOOKUP(source[[#This Row],[lending_product_transform]],[3]Mapping!$B$3:$D$37,3,0)</f>
        <v>cashloan</v>
      </c>
      <c r="I13424" s="143">
        <v>0</v>
      </c>
    </row>
    <row r="13425" spans="1:9" x14ac:dyDescent="0.2">
      <c r="A13425" s="134">
        <v>46083</v>
      </c>
      <c r="B13425" s="135">
        <f>YEAR(source[[#This Row],[report_date]])</f>
        <v>2026</v>
      </c>
      <c r="C13425" s="128">
        <f t="shared" si="626"/>
        <v>3</v>
      </c>
      <c r="D13425" s="136">
        <f t="shared" si="628"/>
        <v>10</v>
      </c>
      <c r="E13425" s="136">
        <f t="shared" si="627"/>
        <v>2</v>
      </c>
      <c r="F13425" s="137" t="s">
        <v>24</v>
      </c>
      <c r="G13425" s="128" t="str">
        <f>VLOOKUP(source[[#This Row],[lending_product_transform]],[3]Mapping!$B$4:$C$37,2,0)</f>
        <v>[Cake] - Cashloan</v>
      </c>
      <c r="H13425" s="128" t="str">
        <f>VLOOKUP(source[[#This Row],[lending_product_transform]],[3]Mapping!$B$3:$D$37,3,0)</f>
        <v>cashloan</v>
      </c>
      <c r="I13425" s="143">
        <v>0</v>
      </c>
    </row>
    <row r="13426" spans="1:9" x14ac:dyDescent="0.2">
      <c r="A13426" s="134">
        <v>46083</v>
      </c>
      <c r="B13426" s="135">
        <f>YEAR(source[[#This Row],[report_date]])</f>
        <v>2026</v>
      </c>
      <c r="C13426" s="128">
        <f t="shared" si="626"/>
        <v>3</v>
      </c>
      <c r="D13426" s="136">
        <f t="shared" si="628"/>
        <v>10</v>
      </c>
      <c r="E13426" s="136">
        <f t="shared" si="627"/>
        <v>2</v>
      </c>
      <c r="F13426" s="137" t="s">
        <v>24</v>
      </c>
      <c r="G13426" s="128" t="str">
        <f>VLOOKUP(source[[#This Row],[lending_product_transform]],[3]Mapping!$B$4:$C$37,2,0)</f>
        <v>[Cake] - Cashloan</v>
      </c>
      <c r="H13426" s="128" t="str">
        <f>VLOOKUP(source[[#This Row],[lending_product_transform]],[3]Mapping!$B$3:$D$37,3,0)</f>
        <v>cashloan</v>
      </c>
      <c r="I13426" s="143">
        <v>0</v>
      </c>
    </row>
    <row r="13427" spans="1:9" x14ac:dyDescent="0.2">
      <c r="A13427" s="134">
        <v>46083</v>
      </c>
      <c r="B13427" s="135">
        <f>YEAR(source[[#This Row],[report_date]])</f>
        <v>2026</v>
      </c>
      <c r="C13427" s="128">
        <f t="shared" si="626"/>
        <v>3</v>
      </c>
      <c r="D13427" s="136">
        <f t="shared" si="628"/>
        <v>10</v>
      </c>
      <c r="E13427" s="136">
        <f t="shared" si="627"/>
        <v>2</v>
      </c>
      <c r="F13427" s="137" t="s">
        <v>24</v>
      </c>
      <c r="G13427" s="128" t="str">
        <f>VLOOKUP(source[[#This Row],[lending_product_transform]],[3]Mapping!$B$4:$C$37,2,0)</f>
        <v>[Cake] - Cashloan</v>
      </c>
      <c r="H13427" s="128" t="str">
        <f>VLOOKUP(source[[#This Row],[lending_product_transform]],[3]Mapping!$B$3:$D$37,3,0)</f>
        <v>cashloan</v>
      </c>
      <c r="I13427" s="143">
        <v>0</v>
      </c>
    </row>
    <row r="13428" spans="1:9" x14ac:dyDescent="0.2">
      <c r="A13428" s="134">
        <v>46083</v>
      </c>
      <c r="B13428" s="135">
        <f>YEAR(source[[#This Row],[report_date]])</f>
        <v>2026</v>
      </c>
      <c r="C13428" s="128">
        <f t="shared" si="626"/>
        <v>3</v>
      </c>
      <c r="D13428" s="136">
        <f t="shared" si="628"/>
        <v>10</v>
      </c>
      <c r="E13428" s="136">
        <f t="shared" si="627"/>
        <v>2</v>
      </c>
      <c r="F13428" s="137" t="s">
        <v>24</v>
      </c>
      <c r="G13428" s="128" t="str">
        <f>VLOOKUP(source[[#This Row],[lending_product_transform]],[3]Mapping!$B$4:$C$37,2,0)</f>
        <v>[Cake] - Cashloan</v>
      </c>
      <c r="H13428" s="128" t="str">
        <f>VLOOKUP(source[[#This Row],[lending_product_transform]],[3]Mapping!$B$3:$D$37,3,0)</f>
        <v>cashloan</v>
      </c>
      <c r="I13428" s="143">
        <v>12564828000</v>
      </c>
    </row>
    <row r="13429" spans="1:9" x14ac:dyDescent="0.2">
      <c r="A13429" s="134">
        <v>46083</v>
      </c>
      <c r="B13429" s="135">
        <f>YEAR(source[[#This Row],[report_date]])</f>
        <v>2026</v>
      </c>
      <c r="C13429" s="128">
        <f t="shared" si="626"/>
        <v>3</v>
      </c>
      <c r="D13429" s="136">
        <f t="shared" si="628"/>
        <v>10</v>
      </c>
      <c r="E13429" s="136">
        <f t="shared" si="627"/>
        <v>2</v>
      </c>
      <c r="F13429" s="137" t="s">
        <v>24</v>
      </c>
      <c r="G13429" s="128" t="str">
        <f>VLOOKUP(source[[#This Row],[lending_product_transform]],[3]Mapping!$B$4:$C$37,2,0)</f>
        <v>[Cake] - Cashloan</v>
      </c>
      <c r="H13429" s="128" t="str">
        <f>VLOOKUP(source[[#This Row],[lending_product_transform]],[3]Mapping!$B$3:$D$37,3,0)</f>
        <v>cashloan</v>
      </c>
      <c r="I13429" s="143">
        <v>400719017</v>
      </c>
    </row>
    <row r="13430" spans="1:9" x14ac:dyDescent="0.2">
      <c r="A13430" s="134">
        <v>46083</v>
      </c>
      <c r="B13430" s="135">
        <f>YEAR(source[[#This Row],[report_date]])</f>
        <v>2026</v>
      </c>
      <c r="C13430" s="128">
        <f t="shared" ref="C13430:C13493" si="629">MONTH(A13430)</f>
        <v>3</v>
      </c>
      <c r="D13430" s="136">
        <f t="shared" si="628"/>
        <v>10</v>
      </c>
      <c r="E13430" s="136">
        <f t="shared" ref="E13430:E13493" si="630">DAY(A13430)</f>
        <v>2</v>
      </c>
      <c r="F13430" s="137" t="s">
        <v>24</v>
      </c>
      <c r="G13430" s="128" t="str">
        <f>VLOOKUP(source[[#This Row],[lending_product_transform]],[3]Mapping!$B$4:$C$37,2,0)</f>
        <v>[Cake] - Cashloan</v>
      </c>
      <c r="H13430" s="128" t="str">
        <f>VLOOKUP(source[[#This Row],[lending_product_transform]],[3]Mapping!$B$3:$D$37,3,0)</f>
        <v>cashloan</v>
      </c>
      <c r="I13430" s="143">
        <v>21000000</v>
      </c>
    </row>
    <row r="13431" spans="1:9" x14ac:dyDescent="0.2">
      <c r="A13431" s="134">
        <v>46083</v>
      </c>
      <c r="B13431" s="135">
        <f>YEAR(source[[#This Row],[report_date]])</f>
        <v>2026</v>
      </c>
      <c r="C13431" s="128">
        <f t="shared" si="629"/>
        <v>3</v>
      </c>
      <c r="D13431" s="136">
        <f t="shared" si="628"/>
        <v>10</v>
      </c>
      <c r="E13431" s="136">
        <f t="shared" si="630"/>
        <v>2</v>
      </c>
      <c r="F13431" s="137" t="s">
        <v>24</v>
      </c>
      <c r="G13431" s="128" t="str">
        <f>VLOOKUP(source[[#This Row],[lending_product_transform]],[3]Mapping!$B$4:$C$37,2,0)</f>
        <v>[Cake] - Cashloan</v>
      </c>
      <c r="H13431" s="128" t="str">
        <f>VLOOKUP(source[[#This Row],[lending_product_transform]],[3]Mapping!$B$3:$D$37,3,0)</f>
        <v>cashloan</v>
      </c>
      <c r="I13431" s="143">
        <v>86000000</v>
      </c>
    </row>
    <row r="13432" spans="1:9" x14ac:dyDescent="0.2">
      <c r="A13432" s="134">
        <v>46083</v>
      </c>
      <c r="B13432" s="135">
        <f>YEAR(source[[#This Row],[report_date]])</f>
        <v>2026</v>
      </c>
      <c r="C13432" s="128">
        <f t="shared" si="629"/>
        <v>3</v>
      </c>
      <c r="D13432" s="136">
        <f t="shared" si="628"/>
        <v>10</v>
      </c>
      <c r="E13432" s="136">
        <f t="shared" si="630"/>
        <v>2</v>
      </c>
      <c r="F13432" s="137" t="s">
        <v>24</v>
      </c>
      <c r="G13432" s="128" t="str">
        <f>VLOOKUP(source[[#This Row],[lending_product_transform]],[3]Mapping!$B$4:$C$37,2,0)</f>
        <v>[Cake] - Cashloan</v>
      </c>
      <c r="H13432" s="128" t="str">
        <f>VLOOKUP(source[[#This Row],[lending_product_transform]],[3]Mapping!$B$3:$D$37,3,0)</f>
        <v>cashloan</v>
      </c>
      <c r="I13432" s="143">
        <v>674200000</v>
      </c>
    </row>
    <row r="13433" spans="1:9" x14ac:dyDescent="0.2">
      <c r="A13433" s="134">
        <v>46083</v>
      </c>
      <c r="B13433" s="135">
        <f>YEAR(source[[#This Row],[report_date]])</f>
        <v>2026</v>
      </c>
      <c r="C13433" s="128">
        <f t="shared" si="629"/>
        <v>3</v>
      </c>
      <c r="D13433" s="136">
        <f t="shared" si="628"/>
        <v>10</v>
      </c>
      <c r="E13433" s="136">
        <f t="shared" si="630"/>
        <v>2</v>
      </c>
      <c r="F13433" s="137" t="s">
        <v>24</v>
      </c>
      <c r="G13433" s="128" t="str">
        <f>VLOOKUP(source[[#This Row],[lending_product_transform]],[3]Mapping!$B$4:$C$37,2,0)</f>
        <v>[Cake] - Cashloan</v>
      </c>
      <c r="H13433" s="128" t="str">
        <f>VLOOKUP(source[[#This Row],[lending_product_transform]],[3]Mapping!$B$3:$D$37,3,0)</f>
        <v>cashloan</v>
      </c>
      <c r="I13433" s="143">
        <v>258120000</v>
      </c>
    </row>
    <row r="13434" spans="1:9" x14ac:dyDescent="0.2">
      <c r="A13434" s="134">
        <v>46083</v>
      </c>
      <c r="B13434" s="135">
        <f>YEAR(source[[#This Row],[report_date]])</f>
        <v>2026</v>
      </c>
      <c r="C13434" s="128">
        <f t="shared" si="629"/>
        <v>3</v>
      </c>
      <c r="D13434" s="136">
        <f t="shared" si="628"/>
        <v>10</v>
      </c>
      <c r="E13434" s="136">
        <f t="shared" si="630"/>
        <v>2</v>
      </c>
      <c r="F13434" s="137" t="s">
        <v>24</v>
      </c>
      <c r="G13434" s="128" t="str">
        <f>VLOOKUP(source[[#This Row],[lending_product_transform]],[3]Mapping!$B$4:$C$37,2,0)</f>
        <v>[Cake] - Cashloan</v>
      </c>
      <c r="H13434" s="128" t="str">
        <f>VLOOKUP(source[[#This Row],[lending_product_transform]],[3]Mapping!$B$3:$D$37,3,0)</f>
        <v>cashloan</v>
      </c>
      <c r="I13434" s="143">
        <v>879010061</v>
      </c>
    </row>
    <row r="13435" spans="1:9" x14ac:dyDescent="0.2">
      <c r="A13435" s="134">
        <v>46083</v>
      </c>
      <c r="B13435" s="135">
        <f>YEAR(source[[#This Row],[report_date]])</f>
        <v>2026</v>
      </c>
      <c r="C13435" s="128">
        <f t="shared" si="629"/>
        <v>3</v>
      </c>
      <c r="D13435" s="136">
        <f t="shared" si="628"/>
        <v>10</v>
      </c>
      <c r="E13435" s="136">
        <f t="shared" si="630"/>
        <v>2</v>
      </c>
      <c r="F13435" s="137" t="s">
        <v>24</v>
      </c>
      <c r="G13435" s="128" t="str">
        <f>VLOOKUP(source[[#This Row],[lending_product_transform]],[3]Mapping!$B$4:$C$37,2,0)</f>
        <v>[Cake] - Cashloan</v>
      </c>
      <c r="H13435" s="128" t="str">
        <f>VLOOKUP(source[[#This Row],[lending_product_transform]],[3]Mapping!$B$3:$D$37,3,0)</f>
        <v>cashloan</v>
      </c>
      <c r="I13435" s="143">
        <v>2953550000</v>
      </c>
    </row>
    <row r="13436" spans="1:9" x14ac:dyDescent="0.2">
      <c r="A13436" s="134">
        <v>46083</v>
      </c>
      <c r="B13436" s="135">
        <f>YEAR(source[[#This Row],[report_date]])</f>
        <v>2026</v>
      </c>
      <c r="C13436" s="128">
        <f t="shared" si="629"/>
        <v>3</v>
      </c>
      <c r="D13436" s="136">
        <f t="shared" si="628"/>
        <v>10</v>
      </c>
      <c r="E13436" s="136">
        <f t="shared" si="630"/>
        <v>2</v>
      </c>
      <c r="F13436" s="137" t="s">
        <v>24</v>
      </c>
      <c r="G13436" s="128" t="str">
        <f>VLOOKUP(source[[#This Row],[lending_product_transform]],[3]Mapping!$B$4:$C$37,2,0)</f>
        <v>[Cake] - Cashloan</v>
      </c>
      <c r="H13436" s="128" t="str">
        <f>VLOOKUP(source[[#This Row],[lending_product_transform]],[3]Mapping!$B$3:$D$37,3,0)</f>
        <v>cashloan</v>
      </c>
      <c r="I13436" s="143">
        <v>275400000</v>
      </c>
    </row>
    <row r="13437" spans="1:9" x14ac:dyDescent="0.2">
      <c r="A13437" s="134">
        <v>46084</v>
      </c>
      <c r="B13437" s="135">
        <f>YEAR(source[[#This Row],[report_date]])</f>
        <v>2026</v>
      </c>
      <c r="C13437" s="128">
        <f t="shared" si="629"/>
        <v>3</v>
      </c>
      <c r="D13437" s="136">
        <f t="shared" si="628"/>
        <v>10</v>
      </c>
      <c r="E13437" s="136">
        <f t="shared" si="630"/>
        <v>3</v>
      </c>
      <c r="F13437" s="137" t="s">
        <v>24</v>
      </c>
      <c r="G13437" s="128" t="str">
        <f>VLOOKUP(source[[#This Row],[lending_product_transform]],[3]Mapping!$B$4:$C$37,2,0)</f>
        <v>[Cake] - Cashloan</v>
      </c>
      <c r="H13437" s="128" t="str">
        <f>VLOOKUP(source[[#This Row],[lending_product_transform]],[3]Mapping!$B$3:$D$37,3,0)</f>
        <v>cashloan</v>
      </c>
      <c r="I13437" s="143">
        <v>611750000</v>
      </c>
    </row>
    <row r="13438" spans="1:9" x14ac:dyDescent="0.2">
      <c r="A13438" s="134">
        <v>46084</v>
      </c>
      <c r="B13438" s="135">
        <f>YEAR(source[[#This Row],[report_date]])</f>
        <v>2026</v>
      </c>
      <c r="C13438" s="128">
        <f t="shared" si="629"/>
        <v>3</v>
      </c>
      <c r="D13438" s="136">
        <f t="shared" si="628"/>
        <v>10</v>
      </c>
      <c r="E13438" s="136">
        <f t="shared" si="630"/>
        <v>3</v>
      </c>
      <c r="F13438" s="137" t="s">
        <v>24</v>
      </c>
      <c r="G13438" s="128" t="str">
        <f>VLOOKUP(source[[#This Row],[lending_product_transform]],[3]Mapping!$B$4:$C$37,2,0)</f>
        <v>[Cake] - Cashloan</v>
      </c>
      <c r="H13438" s="128" t="str">
        <f>VLOOKUP(source[[#This Row],[lending_product_transform]],[3]Mapping!$B$3:$D$37,3,0)</f>
        <v>cashloan</v>
      </c>
      <c r="I13438" s="143">
        <v>372685557</v>
      </c>
    </row>
    <row r="13439" spans="1:9" x14ac:dyDescent="0.2">
      <c r="A13439" s="134">
        <v>46084</v>
      </c>
      <c r="B13439" s="135">
        <f>YEAR(source[[#This Row],[report_date]])</f>
        <v>2026</v>
      </c>
      <c r="C13439" s="128">
        <f t="shared" si="629"/>
        <v>3</v>
      </c>
      <c r="D13439" s="136">
        <f t="shared" si="628"/>
        <v>10</v>
      </c>
      <c r="E13439" s="136">
        <f t="shared" si="630"/>
        <v>3</v>
      </c>
      <c r="F13439" s="137" t="s">
        <v>24</v>
      </c>
      <c r="G13439" s="128" t="str">
        <f>VLOOKUP(source[[#This Row],[lending_product_transform]],[3]Mapping!$B$4:$C$37,2,0)</f>
        <v>[Cake] - Cashloan</v>
      </c>
      <c r="H13439" s="128" t="str">
        <f>VLOOKUP(source[[#This Row],[lending_product_transform]],[3]Mapping!$B$3:$D$37,3,0)</f>
        <v>cashloan</v>
      </c>
      <c r="I13439" s="143">
        <v>11512230000</v>
      </c>
    </row>
    <row r="13440" spans="1:9" x14ac:dyDescent="0.2">
      <c r="A13440" s="134">
        <v>46084</v>
      </c>
      <c r="B13440" s="135">
        <f>YEAR(source[[#This Row],[report_date]])</f>
        <v>2026</v>
      </c>
      <c r="C13440" s="128">
        <f t="shared" si="629"/>
        <v>3</v>
      </c>
      <c r="D13440" s="136">
        <f t="shared" si="628"/>
        <v>10</v>
      </c>
      <c r="E13440" s="136">
        <f t="shared" si="630"/>
        <v>3</v>
      </c>
      <c r="F13440" s="137" t="s">
        <v>24</v>
      </c>
      <c r="G13440" s="128" t="str">
        <f>VLOOKUP(source[[#This Row],[lending_product_transform]],[3]Mapping!$B$4:$C$37,2,0)</f>
        <v>[Cake] - Cashloan</v>
      </c>
      <c r="H13440" s="128" t="str">
        <f>VLOOKUP(source[[#This Row],[lending_product_transform]],[3]Mapping!$B$3:$D$37,3,0)</f>
        <v>cashloan</v>
      </c>
      <c r="I13440" s="143">
        <v>2529067397</v>
      </c>
    </row>
    <row r="13441" spans="1:9" x14ac:dyDescent="0.2">
      <c r="A13441" s="134">
        <v>46084</v>
      </c>
      <c r="B13441" s="135">
        <f>YEAR(source[[#This Row],[report_date]])</f>
        <v>2026</v>
      </c>
      <c r="C13441" s="128">
        <f t="shared" si="629"/>
        <v>3</v>
      </c>
      <c r="D13441" s="136">
        <f t="shared" si="628"/>
        <v>10</v>
      </c>
      <c r="E13441" s="136">
        <f t="shared" si="630"/>
        <v>3</v>
      </c>
      <c r="F13441" s="137" t="s">
        <v>24</v>
      </c>
      <c r="G13441" s="128" t="str">
        <f>VLOOKUP(source[[#This Row],[lending_product_transform]],[3]Mapping!$B$4:$C$37,2,0)</f>
        <v>[Cake] - Cashloan</v>
      </c>
      <c r="H13441" s="128" t="str">
        <f>VLOOKUP(source[[#This Row],[lending_product_transform]],[3]Mapping!$B$3:$D$37,3,0)</f>
        <v>cashloan</v>
      </c>
      <c r="I13441" s="143">
        <v>14775372000</v>
      </c>
    </row>
    <row r="13442" spans="1:9" x14ac:dyDescent="0.2">
      <c r="A13442" s="134">
        <v>46084</v>
      </c>
      <c r="B13442" s="135">
        <f>YEAR(source[[#This Row],[report_date]])</f>
        <v>2026</v>
      </c>
      <c r="C13442" s="128">
        <f t="shared" si="629"/>
        <v>3</v>
      </c>
      <c r="D13442" s="136">
        <f t="shared" si="628"/>
        <v>10</v>
      </c>
      <c r="E13442" s="136">
        <f t="shared" si="630"/>
        <v>3</v>
      </c>
      <c r="F13442" s="137" t="s">
        <v>24</v>
      </c>
      <c r="G13442" s="128" t="str">
        <f>VLOOKUP(source[[#This Row],[lending_product_transform]],[3]Mapping!$B$4:$C$37,2,0)</f>
        <v>[Cake] - Cashloan</v>
      </c>
      <c r="H13442" s="128" t="str">
        <f>VLOOKUP(source[[#This Row],[lending_product_transform]],[3]Mapping!$B$3:$D$37,3,0)</f>
        <v>cashloan</v>
      </c>
      <c r="I13442" s="143">
        <v>37758534</v>
      </c>
    </row>
    <row r="13443" spans="1:9" x14ac:dyDescent="0.2">
      <c r="A13443" s="134">
        <v>46084</v>
      </c>
      <c r="B13443" s="135">
        <f>YEAR(source[[#This Row],[report_date]])</f>
        <v>2026</v>
      </c>
      <c r="C13443" s="128">
        <f t="shared" si="629"/>
        <v>3</v>
      </c>
      <c r="D13443" s="136">
        <f t="shared" si="628"/>
        <v>10</v>
      </c>
      <c r="E13443" s="136">
        <f t="shared" si="630"/>
        <v>3</v>
      </c>
      <c r="F13443" s="137" t="s">
        <v>24</v>
      </c>
      <c r="G13443" s="128" t="str">
        <f>VLOOKUP(source[[#This Row],[lending_product_transform]],[3]Mapping!$B$4:$C$37,2,0)</f>
        <v>[Cake] - Cashloan</v>
      </c>
      <c r="H13443" s="128" t="str">
        <f>VLOOKUP(source[[#This Row],[lending_product_transform]],[3]Mapping!$B$3:$D$37,3,0)</f>
        <v>cashloan</v>
      </c>
      <c r="I13443" s="143">
        <v>0</v>
      </c>
    </row>
    <row r="13444" spans="1:9" x14ac:dyDescent="0.2">
      <c r="A13444" s="134">
        <v>46084</v>
      </c>
      <c r="B13444" s="135">
        <f>YEAR(source[[#This Row],[report_date]])</f>
        <v>2026</v>
      </c>
      <c r="C13444" s="128">
        <f t="shared" si="629"/>
        <v>3</v>
      </c>
      <c r="D13444" s="136">
        <f t="shared" si="628"/>
        <v>10</v>
      </c>
      <c r="E13444" s="136">
        <f t="shared" si="630"/>
        <v>3</v>
      </c>
      <c r="F13444" s="137" t="s">
        <v>24</v>
      </c>
      <c r="G13444" s="128" t="str">
        <f>VLOOKUP(source[[#This Row],[lending_product_transform]],[3]Mapping!$B$4:$C$37,2,0)</f>
        <v>[Cake] - Cashloan</v>
      </c>
      <c r="H13444" s="128" t="str">
        <f>VLOOKUP(source[[#This Row],[lending_product_transform]],[3]Mapping!$B$3:$D$37,3,0)</f>
        <v>cashloan</v>
      </c>
      <c r="I13444" s="143">
        <v>2675990000</v>
      </c>
    </row>
    <row r="13445" spans="1:9" x14ac:dyDescent="0.2">
      <c r="A13445" s="134">
        <v>46084</v>
      </c>
      <c r="B13445" s="135">
        <f>YEAR(source[[#This Row],[report_date]])</f>
        <v>2026</v>
      </c>
      <c r="C13445" s="128">
        <f t="shared" si="629"/>
        <v>3</v>
      </c>
      <c r="D13445" s="136">
        <f t="shared" si="628"/>
        <v>10</v>
      </c>
      <c r="E13445" s="136">
        <f t="shared" si="630"/>
        <v>3</v>
      </c>
      <c r="F13445" s="137" t="s">
        <v>24</v>
      </c>
      <c r="G13445" s="128" t="str">
        <f>VLOOKUP(source[[#This Row],[lending_product_transform]],[3]Mapping!$B$4:$C$37,2,0)</f>
        <v>[Cake] - Cashloan</v>
      </c>
      <c r="H13445" s="128" t="str">
        <f>VLOOKUP(source[[#This Row],[lending_product_transform]],[3]Mapping!$B$3:$D$37,3,0)</f>
        <v>cashloan</v>
      </c>
      <c r="I13445" s="143">
        <v>894900000</v>
      </c>
    </row>
    <row r="13446" spans="1:9" x14ac:dyDescent="0.2">
      <c r="A13446" s="134">
        <v>46084</v>
      </c>
      <c r="B13446" s="135">
        <f>YEAR(source[[#This Row],[report_date]])</f>
        <v>2026</v>
      </c>
      <c r="C13446" s="128">
        <f t="shared" si="629"/>
        <v>3</v>
      </c>
      <c r="D13446" s="136">
        <f t="shared" si="628"/>
        <v>10</v>
      </c>
      <c r="E13446" s="136">
        <f t="shared" si="630"/>
        <v>3</v>
      </c>
      <c r="F13446" s="137" t="s">
        <v>24</v>
      </c>
      <c r="G13446" s="128" t="str">
        <f>VLOOKUP(source[[#This Row],[lending_product_transform]],[3]Mapping!$B$4:$C$37,2,0)</f>
        <v>[Cake] - Cashloan</v>
      </c>
      <c r="H13446" s="128" t="str">
        <f>VLOOKUP(source[[#This Row],[lending_product_transform]],[3]Mapping!$B$3:$D$37,3,0)</f>
        <v>cashloan</v>
      </c>
      <c r="I13446" s="143">
        <v>45301170</v>
      </c>
    </row>
    <row r="13447" spans="1:9" x14ac:dyDescent="0.2">
      <c r="A13447" s="134">
        <v>46084</v>
      </c>
      <c r="B13447" s="135">
        <f>YEAR(source[[#This Row],[report_date]])</f>
        <v>2026</v>
      </c>
      <c r="C13447" s="128">
        <f t="shared" si="629"/>
        <v>3</v>
      </c>
      <c r="D13447" s="136">
        <f t="shared" si="628"/>
        <v>10</v>
      </c>
      <c r="E13447" s="136">
        <f t="shared" si="630"/>
        <v>3</v>
      </c>
      <c r="F13447" s="137" t="s">
        <v>24</v>
      </c>
      <c r="G13447" s="128" t="str">
        <f>VLOOKUP(source[[#This Row],[lending_product_transform]],[3]Mapping!$B$4:$C$37,2,0)</f>
        <v>[Cake] - Cashloan</v>
      </c>
      <c r="H13447" s="128" t="str">
        <f>VLOOKUP(source[[#This Row],[lending_product_transform]],[3]Mapping!$B$3:$D$37,3,0)</f>
        <v>cashloan</v>
      </c>
      <c r="I13447" s="143">
        <v>1690329959</v>
      </c>
    </row>
    <row r="13448" spans="1:9" x14ac:dyDescent="0.2">
      <c r="A13448" s="134">
        <v>46084</v>
      </c>
      <c r="B13448" s="135">
        <f>YEAR(source[[#This Row],[report_date]])</f>
        <v>2026</v>
      </c>
      <c r="C13448" s="128">
        <f t="shared" si="629"/>
        <v>3</v>
      </c>
      <c r="D13448" s="136">
        <f t="shared" si="628"/>
        <v>10</v>
      </c>
      <c r="E13448" s="136">
        <f t="shared" si="630"/>
        <v>3</v>
      </c>
      <c r="F13448" s="137" t="s">
        <v>24</v>
      </c>
      <c r="G13448" s="128" t="str">
        <f>VLOOKUP(source[[#This Row],[lending_product_transform]],[3]Mapping!$B$4:$C$37,2,0)</f>
        <v>[Cake] - Cashloan</v>
      </c>
      <c r="H13448" s="128" t="str">
        <f>VLOOKUP(source[[#This Row],[lending_product_transform]],[3]Mapping!$B$3:$D$37,3,0)</f>
        <v>cashloan</v>
      </c>
      <c r="I13448" s="143">
        <v>0</v>
      </c>
    </row>
    <row r="13449" spans="1:9" x14ac:dyDescent="0.2">
      <c r="A13449" s="134">
        <v>46084</v>
      </c>
      <c r="B13449" s="135">
        <f>YEAR(source[[#This Row],[report_date]])</f>
        <v>2026</v>
      </c>
      <c r="C13449" s="128">
        <f t="shared" si="629"/>
        <v>3</v>
      </c>
      <c r="D13449" s="136">
        <f t="shared" si="628"/>
        <v>10</v>
      </c>
      <c r="E13449" s="136">
        <f t="shared" si="630"/>
        <v>3</v>
      </c>
      <c r="F13449" s="137" t="s">
        <v>24</v>
      </c>
      <c r="G13449" s="128" t="str">
        <f>VLOOKUP(source[[#This Row],[lending_product_transform]],[3]Mapping!$B$4:$C$37,2,0)</f>
        <v>[Cake] - Cashloan</v>
      </c>
      <c r="H13449" s="128" t="str">
        <f>VLOOKUP(source[[#This Row],[lending_product_transform]],[3]Mapping!$B$3:$D$37,3,0)</f>
        <v>cashloan</v>
      </c>
      <c r="I13449" s="143">
        <v>57750000</v>
      </c>
    </row>
    <row r="13450" spans="1:9" x14ac:dyDescent="0.2">
      <c r="A13450" s="134">
        <v>46084</v>
      </c>
      <c r="B13450" s="135">
        <f>YEAR(source[[#This Row],[report_date]])</f>
        <v>2026</v>
      </c>
      <c r="C13450" s="128">
        <f t="shared" si="629"/>
        <v>3</v>
      </c>
      <c r="D13450" s="136">
        <f t="shared" si="628"/>
        <v>10</v>
      </c>
      <c r="E13450" s="136">
        <f t="shared" si="630"/>
        <v>3</v>
      </c>
      <c r="F13450" s="137" t="s">
        <v>24</v>
      </c>
      <c r="G13450" s="128" t="str">
        <f>VLOOKUP(source[[#This Row],[lending_product_transform]],[3]Mapping!$B$4:$C$37,2,0)</f>
        <v>[Cake] - Cashloan</v>
      </c>
      <c r="H13450" s="128" t="str">
        <f>VLOOKUP(source[[#This Row],[lending_product_transform]],[3]Mapping!$B$3:$D$37,3,0)</f>
        <v>cashloan</v>
      </c>
      <c r="I13450" s="143">
        <v>180000000</v>
      </c>
    </row>
    <row r="13451" spans="1:9" x14ac:dyDescent="0.2">
      <c r="A13451" s="134">
        <v>46084</v>
      </c>
      <c r="B13451" s="135">
        <f>YEAR(source[[#This Row],[report_date]])</f>
        <v>2026</v>
      </c>
      <c r="C13451" s="128">
        <f t="shared" si="629"/>
        <v>3</v>
      </c>
      <c r="D13451" s="136">
        <f t="shared" si="628"/>
        <v>10</v>
      </c>
      <c r="E13451" s="136">
        <f t="shared" si="630"/>
        <v>3</v>
      </c>
      <c r="F13451" s="137" t="s">
        <v>24</v>
      </c>
      <c r="G13451" s="128" t="str">
        <f>VLOOKUP(source[[#This Row],[lending_product_transform]],[3]Mapping!$B$4:$C$37,2,0)</f>
        <v>[Cake] - Cashloan</v>
      </c>
      <c r="H13451" s="128" t="str">
        <f>VLOOKUP(source[[#This Row],[lending_product_transform]],[3]Mapping!$B$3:$D$37,3,0)</f>
        <v>cashloan</v>
      </c>
      <c r="I13451" s="143">
        <v>15084270000</v>
      </c>
    </row>
    <row r="13452" spans="1:9" x14ac:dyDescent="0.2">
      <c r="A13452" s="134">
        <v>46084</v>
      </c>
      <c r="B13452" s="135">
        <f>YEAR(source[[#This Row],[report_date]])</f>
        <v>2026</v>
      </c>
      <c r="C13452" s="128">
        <f t="shared" si="629"/>
        <v>3</v>
      </c>
      <c r="D13452" s="136">
        <f t="shared" si="628"/>
        <v>10</v>
      </c>
      <c r="E13452" s="136">
        <f t="shared" si="630"/>
        <v>3</v>
      </c>
      <c r="F13452" s="137" t="s">
        <v>24</v>
      </c>
      <c r="G13452" s="128" t="str">
        <f>VLOOKUP(source[[#This Row],[lending_product_transform]],[3]Mapping!$B$4:$C$37,2,0)</f>
        <v>[Cake] - Cashloan</v>
      </c>
      <c r="H13452" s="128" t="str">
        <f>VLOOKUP(source[[#This Row],[lending_product_transform]],[3]Mapping!$B$3:$D$37,3,0)</f>
        <v>cashloan</v>
      </c>
      <c r="I13452" s="143">
        <v>0</v>
      </c>
    </row>
    <row r="13453" spans="1:9" x14ac:dyDescent="0.2">
      <c r="A13453" s="134">
        <v>46084</v>
      </c>
      <c r="B13453" s="135">
        <f>YEAR(source[[#This Row],[report_date]])</f>
        <v>2026</v>
      </c>
      <c r="C13453" s="128">
        <f t="shared" si="629"/>
        <v>3</v>
      </c>
      <c r="D13453" s="136">
        <f t="shared" si="628"/>
        <v>10</v>
      </c>
      <c r="E13453" s="136">
        <f t="shared" si="630"/>
        <v>3</v>
      </c>
      <c r="F13453" s="137" t="s">
        <v>24</v>
      </c>
      <c r="G13453" s="128" t="str">
        <f>VLOOKUP(source[[#This Row],[lending_product_transform]],[3]Mapping!$B$4:$C$37,2,0)</f>
        <v>[Cake] - Cashloan</v>
      </c>
      <c r="H13453" s="128" t="str">
        <f>VLOOKUP(source[[#This Row],[lending_product_transform]],[3]Mapping!$B$3:$D$37,3,0)</f>
        <v>cashloan</v>
      </c>
      <c r="I13453" s="143">
        <v>0</v>
      </c>
    </row>
    <row r="13454" spans="1:9" x14ac:dyDescent="0.2">
      <c r="A13454" s="134">
        <v>46084</v>
      </c>
      <c r="B13454" s="135">
        <f>YEAR(source[[#This Row],[report_date]])</f>
        <v>2026</v>
      </c>
      <c r="C13454" s="128">
        <f t="shared" si="629"/>
        <v>3</v>
      </c>
      <c r="D13454" s="136">
        <f t="shared" si="628"/>
        <v>10</v>
      </c>
      <c r="E13454" s="136">
        <f t="shared" si="630"/>
        <v>3</v>
      </c>
      <c r="F13454" s="137" t="s">
        <v>24</v>
      </c>
      <c r="G13454" s="128" t="str">
        <f>VLOOKUP(source[[#This Row],[lending_product_transform]],[3]Mapping!$B$4:$C$37,2,0)</f>
        <v>[Cake] - Cashloan</v>
      </c>
      <c r="H13454" s="128" t="str">
        <f>VLOOKUP(source[[#This Row],[lending_product_transform]],[3]Mapping!$B$3:$D$37,3,0)</f>
        <v>cashloan</v>
      </c>
      <c r="I13454" s="143">
        <v>0</v>
      </c>
    </row>
    <row r="13455" spans="1:9" x14ac:dyDescent="0.2">
      <c r="A13455" s="134">
        <v>46084</v>
      </c>
      <c r="B13455" s="135">
        <f>YEAR(source[[#This Row],[report_date]])</f>
        <v>2026</v>
      </c>
      <c r="C13455" s="128">
        <f t="shared" si="629"/>
        <v>3</v>
      </c>
      <c r="D13455" s="136">
        <f t="shared" si="628"/>
        <v>10</v>
      </c>
      <c r="E13455" s="136">
        <f t="shared" si="630"/>
        <v>3</v>
      </c>
      <c r="F13455" s="137" t="s">
        <v>24</v>
      </c>
      <c r="G13455" s="128" t="str">
        <f>VLOOKUP(source[[#This Row],[lending_product_transform]],[3]Mapping!$B$4:$C$37,2,0)</f>
        <v>[Cake] - Cashloan</v>
      </c>
      <c r="H13455" s="128" t="str">
        <f>VLOOKUP(source[[#This Row],[lending_product_transform]],[3]Mapping!$B$3:$D$37,3,0)</f>
        <v>cashloan</v>
      </c>
      <c r="I13455" s="143">
        <v>0</v>
      </c>
    </row>
    <row r="13456" spans="1:9" x14ac:dyDescent="0.2">
      <c r="A13456" s="134">
        <v>46084</v>
      </c>
      <c r="B13456" s="135">
        <f>YEAR(source[[#This Row],[report_date]])</f>
        <v>2026</v>
      </c>
      <c r="C13456" s="128">
        <f t="shared" si="629"/>
        <v>3</v>
      </c>
      <c r="D13456" s="136">
        <f t="shared" si="628"/>
        <v>10</v>
      </c>
      <c r="E13456" s="136">
        <f t="shared" si="630"/>
        <v>3</v>
      </c>
      <c r="F13456" s="137" t="s">
        <v>24</v>
      </c>
      <c r="G13456" s="128" t="str">
        <f>VLOOKUP(source[[#This Row],[lending_product_transform]],[3]Mapping!$B$4:$C$37,2,0)</f>
        <v>[Cake] - Cashloan</v>
      </c>
      <c r="H13456" s="128" t="str">
        <f>VLOOKUP(source[[#This Row],[lending_product_transform]],[3]Mapping!$B$3:$D$37,3,0)</f>
        <v>cashloan</v>
      </c>
      <c r="I13456" s="143">
        <v>11459340000</v>
      </c>
    </row>
    <row r="13457" spans="1:9" x14ac:dyDescent="0.2">
      <c r="A13457" s="134">
        <v>46084</v>
      </c>
      <c r="B13457" s="135">
        <f>YEAR(source[[#This Row],[report_date]])</f>
        <v>2026</v>
      </c>
      <c r="C13457" s="128">
        <f t="shared" si="629"/>
        <v>3</v>
      </c>
      <c r="D13457" s="136">
        <f t="shared" ref="D13457:D13520" si="631">WEEKNUM(A13457,2)</f>
        <v>10</v>
      </c>
      <c r="E13457" s="136">
        <f t="shared" si="630"/>
        <v>3</v>
      </c>
      <c r="F13457" s="137" t="s">
        <v>24</v>
      </c>
      <c r="G13457" s="128" t="str">
        <f>VLOOKUP(source[[#This Row],[lending_product_transform]],[3]Mapping!$B$4:$C$37,2,0)</f>
        <v>[Cake] - Cashloan</v>
      </c>
      <c r="H13457" s="128" t="str">
        <f>VLOOKUP(source[[#This Row],[lending_product_transform]],[3]Mapping!$B$3:$D$37,3,0)</f>
        <v>cashloan</v>
      </c>
      <c r="I13457" s="143">
        <v>422286618</v>
      </c>
    </row>
    <row r="13458" spans="1:9" x14ac:dyDescent="0.2">
      <c r="A13458" s="134">
        <v>46084</v>
      </c>
      <c r="B13458" s="135">
        <f>YEAR(source[[#This Row],[report_date]])</f>
        <v>2026</v>
      </c>
      <c r="C13458" s="128">
        <f t="shared" si="629"/>
        <v>3</v>
      </c>
      <c r="D13458" s="136">
        <f t="shared" si="631"/>
        <v>10</v>
      </c>
      <c r="E13458" s="136">
        <f t="shared" si="630"/>
        <v>3</v>
      </c>
      <c r="F13458" s="137" t="s">
        <v>24</v>
      </c>
      <c r="G13458" s="128" t="str">
        <f>VLOOKUP(source[[#This Row],[lending_product_transform]],[3]Mapping!$B$4:$C$37,2,0)</f>
        <v>[Cake] - Cashloan</v>
      </c>
      <c r="H13458" s="128" t="str">
        <f>VLOOKUP(source[[#This Row],[lending_product_transform]],[3]Mapping!$B$3:$D$37,3,0)</f>
        <v>cashloan</v>
      </c>
      <c r="I13458" s="143">
        <v>42000000</v>
      </c>
    </row>
    <row r="13459" spans="1:9" x14ac:dyDescent="0.2">
      <c r="A13459" s="134">
        <v>46084</v>
      </c>
      <c r="B13459" s="135">
        <f>YEAR(source[[#This Row],[report_date]])</f>
        <v>2026</v>
      </c>
      <c r="C13459" s="128">
        <f t="shared" si="629"/>
        <v>3</v>
      </c>
      <c r="D13459" s="136">
        <f t="shared" si="631"/>
        <v>10</v>
      </c>
      <c r="E13459" s="136">
        <f t="shared" si="630"/>
        <v>3</v>
      </c>
      <c r="F13459" s="137" t="s">
        <v>24</v>
      </c>
      <c r="G13459" s="128" t="str">
        <f>VLOOKUP(source[[#This Row],[lending_product_transform]],[3]Mapping!$B$4:$C$37,2,0)</f>
        <v>[Cake] - Cashloan</v>
      </c>
      <c r="H13459" s="128" t="str">
        <f>VLOOKUP(source[[#This Row],[lending_product_transform]],[3]Mapping!$B$3:$D$37,3,0)</f>
        <v>cashloan</v>
      </c>
      <c r="I13459" s="143">
        <v>44000000</v>
      </c>
    </row>
    <row r="13460" spans="1:9" x14ac:dyDescent="0.2">
      <c r="A13460" s="134">
        <v>46084</v>
      </c>
      <c r="B13460" s="135">
        <f>YEAR(source[[#This Row],[report_date]])</f>
        <v>2026</v>
      </c>
      <c r="C13460" s="128">
        <f t="shared" si="629"/>
        <v>3</v>
      </c>
      <c r="D13460" s="136">
        <f t="shared" si="631"/>
        <v>10</v>
      </c>
      <c r="E13460" s="136">
        <f t="shared" si="630"/>
        <v>3</v>
      </c>
      <c r="F13460" s="137" t="s">
        <v>24</v>
      </c>
      <c r="G13460" s="128" t="str">
        <f>VLOOKUP(source[[#This Row],[lending_product_transform]],[3]Mapping!$B$4:$C$37,2,0)</f>
        <v>[Cake] - Cashloan</v>
      </c>
      <c r="H13460" s="128" t="str">
        <f>VLOOKUP(source[[#This Row],[lending_product_transform]],[3]Mapping!$B$3:$D$37,3,0)</f>
        <v>cashloan</v>
      </c>
      <c r="I13460" s="143">
        <v>680480000</v>
      </c>
    </row>
    <row r="13461" spans="1:9" x14ac:dyDescent="0.2">
      <c r="A13461" s="134">
        <v>46084</v>
      </c>
      <c r="B13461" s="135">
        <f>YEAR(source[[#This Row],[report_date]])</f>
        <v>2026</v>
      </c>
      <c r="C13461" s="128">
        <f t="shared" si="629"/>
        <v>3</v>
      </c>
      <c r="D13461" s="136">
        <f t="shared" si="631"/>
        <v>10</v>
      </c>
      <c r="E13461" s="136">
        <f t="shared" si="630"/>
        <v>3</v>
      </c>
      <c r="F13461" s="137" t="s">
        <v>24</v>
      </c>
      <c r="G13461" s="128" t="str">
        <f>VLOOKUP(source[[#This Row],[lending_product_transform]],[3]Mapping!$B$4:$C$37,2,0)</f>
        <v>[Cake] - Cashloan</v>
      </c>
      <c r="H13461" s="128" t="str">
        <f>VLOOKUP(source[[#This Row],[lending_product_transform]],[3]Mapping!$B$3:$D$37,3,0)</f>
        <v>cashloan</v>
      </c>
      <c r="I13461" s="143">
        <v>370872000</v>
      </c>
    </row>
    <row r="13462" spans="1:9" x14ac:dyDescent="0.2">
      <c r="A13462" s="134">
        <v>46084</v>
      </c>
      <c r="B13462" s="135">
        <f>YEAR(source[[#This Row],[report_date]])</f>
        <v>2026</v>
      </c>
      <c r="C13462" s="128">
        <f t="shared" si="629"/>
        <v>3</v>
      </c>
      <c r="D13462" s="136">
        <f t="shared" si="631"/>
        <v>10</v>
      </c>
      <c r="E13462" s="136">
        <f t="shared" si="630"/>
        <v>3</v>
      </c>
      <c r="F13462" s="137" t="s">
        <v>24</v>
      </c>
      <c r="G13462" s="128" t="str">
        <f>VLOOKUP(source[[#This Row],[lending_product_transform]],[3]Mapping!$B$4:$C$37,2,0)</f>
        <v>[Cake] - Cashloan</v>
      </c>
      <c r="H13462" s="128" t="str">
        <f>VLOOKUP(source[[#This Row],[lending_product_transform]],[3]Mapping!$B$3:$D$37,3,0)</f>
        <v>cashloan</v>
      </c>
      <c r="I13462" s="143">
        <v>938862337</v>
      </c>
    </row>
    <row r="13463" spans="1:9" x14ac:dyDescent="0.2">
      <c r="A13463" s="134">
        <v>46084</v>
      </c>
      <c r="B13463" s="135">
        <f>YEAR(source[[#This Row],[report_date]])</f>
        <v>2026</v>
      </c>
      <c r="C13463" s="128">
        <f t="shared" si="629"/>
        <v>3</v>
      </c>
      <c r="D13463" s="136">
        <f t="shared" si="631"/>
        <v>10</v>
      </c>
      <c r="E13463" s="136">
        <f t="shared" si="630"/>
        <v>3</v>
      </c>
      <c r="F13463" s="137" t="s">
        <v>24</v>
      </c>
      <c r="G13463" s="128" t="str">
        <f>VLOOKUP(source[[#This Row],[lending_product_transform]],[3]Mapping!$B$4:$C$37,2,0)</f>
        <v>[Cake] - Cashloan</v>
      </c>
      <c r="H13463" s="128" t="str">
        <f>VLOOKUP(source[[#This Row],[lending_product_transform]],[3]Mapping!$B$3:$D$37,3,0)</f>
        <v>cashloan</v>
      </c>
      <c r="I13463" s="143">
        <v>3363900000</v>
      </c>
    </row>
    <row r="13464" spans="1:9" x14ac:dyDescent="0.2">
      <c r="A13464" s="134">
        <v>46084</v>
      </c>
      <c r="B13464" s="135">
        <f>YEAR(source[[#This Row],[report_date]])</f>
        <v>2026</v>
      </c>
      <c r="C13464" s="128">
        <f t="shared" si="629"/>
        <v>3</v>
      </c>
      <c r="D13464" s="136">
        <f t="shared" si="631"/>
        <v>10</v>
      </c>
      <c r="E13464" s="136">
        <f t="shared" si="630"/>
        <v>3</v>
      </c>
      <c r="F13464" s="137" t="s">
        <v>24</v>
      </c>
      <c r="G13464" s="128" t="str">
        <f>VLOOKUP(source[[#This Row],[lending_product_transform]],[3]Mapping!$B$4:$C$37,2,0)</f>
        <v>[Cake] - Cashloan</v>
      </c>
      <c r="H13464" s="128" t="str">
        <f>VLOOKUP(source[[#This Row],[lending_product_transform]],[3]Mapping!$B$3:$D$37,3,0)</f>
        <v>cashloan</v>
      </c>
      <c r="I13464" s="143">
        <v>241920000</v>
      </c>
    </row>
    <row r="13465" spans="1:9" x14ac:dyDescent="0.2">
      <c r="A13465" s="134">
        <v>46085</v>
      </c>
      <c r="B13465" s="135">
        <f>YEAR(source[[#This Row],[report_date]])</f>
        <v>2026</v>
      </c>
      <c r="C13465" s="128">
        <f t="shared" si="629"/>
        <v>3</v>
      </c>
      <c r="D13465" s="136">
        <f t="shared" si="631"/>
        <v>10</v>
      </c>
      <c r="E13465" s="136">
        <f t="shared" si="630"/>
        <v>4</v>
      </c>
      <c r="F13465" s="137" t="s">
        <v>24</v>
      </c>
      <c r="G13465" s="128" t="str">
        <f>VLOOKUP(source[[#This Row],[lending_product_transform]],[3]Mapping!$B$4:$C$37,2,0)</f>
        <v>[Cake] - Cashloan</v>
      </c>
      <c r="H13465" s="128" t="str">
        <f>VLOOKUP(source[[#This Row],[lending_product_transform]],[3]Mapping!$B$3:$D$37,3,0)</f>
        <v>cashloan</v>
      </c>
      <c r="I13465" s="143">
        <v>931600000</v>
      </c>
    </row>
    <row r="13466" spans="1:9" x14ac:dyDescent="0.2">
      <c r="A13466" s="134">
        <v>46085</v>
      </c>
      <c r="B13466" s="135">
        <f>YEAR(source[[#This Row],[report_date]])</f>
        <v>2026</v>
      </c>
      <c r="C13466" s="128">
        <f t="shared" si="629"/>
        <v>3</v>
      </c>
      <c r="D13466" s="136">
        <f t="shared" si="631"/>
        <v>10</v>
      </c>
      <c r="E13466" s="136">
        <f t="shared" si="630"/>
        <v>4</v>
      </c>
      <c r="F13466" s="137" t="s">
        <v>24</v>
      </c>
      <c r="G13466" s="128" t="str">
        <f>VLOOKUP(source[[#This Row],[lending_product_transform]],[3]Mapping!$B$4:$C$37,2,0)</f>
        <v>[Cake] - Cashloan</v>
      </c>
      <c r="H13466" s="128" t="str">
        <f>VLOOKUP(source[[#This Row],[lending_product_transform]],[3]Mapping!$B$3:$D$37,3,0)</f>
        <v>cashloan</v>
      </c>
      <c r="I13466" s="143">
        <v>382729387</v>
      </c>
    </row>
    <row r="13467" spans="1:9" x14ac:dyDescent="0.2">
      <c r="A13467" s="134">
        <v>46085</v>
      </c>
      <c r="B13467" s="135">
        <f>YEAR(source[[#This Row],[report_date]])</f>
        <v>2026</v>
      </c>
      <c r="C13467" s="128">
        <f t="shared" si="629"/>
        <v>3</v>
      </c>
      <c r="D13467" s="136">
        <f t="shared" si="631"/>
        <v>10</v>
      </c>
      <c r="E13467" s="136">
        <f t="shared" si="630"/>
        <v>4</v>
      </c>
      <c r="F13467" s="137" t="s">
        <v>24</v>
      </c>
      <c r="G13467" s="128" t="str">
        <f>VLOOKUP(source[[#This Row],[lending_product_transform]],[3]Mapping!$B$4:$C$37,2,0)</f>
        <v>[Cake] - Cashloan</v>
      </c>
      <c r="H13467" s="128" t="str">
        <f>VLOOKUP(source[[#This Row],[lending_product_transform]],[3]Mapping!$B$3:$D$37,3,0)</f>
        <v>cashloan</v>
      </c>
      <c r="I13467" s="143">
        <v>10237060000</v>
      </c>
    </row>
    <row r="13468" spans="1:9" x14ac:dyDescent="0.2">
      <c r="A13468" s="134">
        <v>46085</v>
      </c>
      <c r="B13468" s="135">
        <f>YEAR(source[[#This Row],[report_date]])</f>
        <v>2026</v>
      </c>
      <c r="C13468" s="128">
        <f t="shared" si="629"/>
        <v>3</v>
      </c>
      <c r="D13468" s="136">
        <f t="shared" si="631"/>
        <v>10</v>
      </c>
      <c r="E13468" s="136">
        <f t="shared" si="630"/>
        <v>4</v>
      </c>
      <c r="F13468" s="137" t="s">
        <v>24</v>
      </c>
      <c r="G13468" s="128" t="str">
        <f>VLOOKUP(source[[#This Row],[lending_product_transform]],[3]Mapping!$B$4:$C$37,2,0)</f>
        <v>[Cake] - Cashloan</v>
      </c>
      <c r="H13468" s="128" t="str">
        <f>VLOOKUP(source[[#This Row],[lending_product_transform]],[3]Mapping!$B$3:$D$37,3,0)</f>
        <v>cashloan</v>
      </c>
      <c r="I13468" s="143">
        <v>2109105849</v>
      </c>
    </row>
    <row r="13469" spans="1:9" x14ac:dyDescent="0.2">
      <c r="A13469" s="134">
        <v>46085</v>
      </c>
      <c r="B13469" s="135">
        <f>YEAR(source[[#This Row],[report_date]])</f>
        <v>2026</v>
      </c>
      <c r="C13469" s="128">
        <f t="shared" si="629"/>
        <v>3</v>
      </c>
      <c r="D13469" s="136">
        <f t="shared" si="631"/>
        <v>10</v>
      </c>
      <c r="E13469" s="136">
        <f t="shared" si="630"/>
        <v>4</v>
      </c>
      <c r="F13469" s="137" t="s">
        <v>24</v>
      </c>
      <c r="G13469" s="128" t="str">
        <f>VLOOKUP(source[[#This Row],[lending_product_transform]],[3]Mapping!$B$4:$C$37,2,0)</f>
        <v>[Cake] - Cashloan</v>
      </c>
      <c r="H13469" s="128" t="str">
        <f>VLOOKUP(source[[#This Row],[lending_product_transform]],[3]Mapping!$B$3:$D$37,3,0)</f>
        <v>cashloan</v>
      </c>
      <c r="I13469" s="143">
        <v>14409900000</v>
      </c>
    </row>
    <row r="13470" spans="1:9" x14ac:dyDescent="0.2">
      <c r="A13470" s="134">
        <v>46085</v>
      </c>
      <c r="B13470" s="135">
        <f>YEAR(source[[#This Row],[report_date]])</f>
        <v>2026</v>
      </c>
      <c r="C13470" s="128">
        <f t="shared" si="629"/>
        <v>3</v>
      </c>
      <c r="D13470" s="136">
        <f t="shared" si="631"/>
        <v>10</v>
      </c>
      <c r="E13470" s="136">
        <f t="shared" si="630"/>
        <v>4</v>
      </c>
      <c r="F13470" s="137" t="s">
        <v>24</v>
      </c>
      <c r="G13470" s="128" t="str">
        <f>VLOOKUP(source[[#This Row],[lending_product_transform]],[3]Mapping!$B$4:$C$37,2,0)</f>
        <v>[Cake] - Cashloan</v>
      </c>
      <c r="H13470" s="128" t="str">
        <f>VLOOKUP(source[[#This Row],[lending_product_transform]],[3]Mapping!$B$3:$D$37,3,0)</f>
        <v>cashloan</v>
      </c>
      <c r="I13470" s="143">
        <v>29007207</v>
      </c>
    </row>
    <row r="13471" spans="1:9" x14ac:dyDescent="0.2">
      <c r="A13471" s="134">
        <v>46085</v>
      </c>
      <c r="B13471" s="135">
        <f>YEAR(source[[#This Row],[report_date]])</f>
        <v>2026</v>
      </c>
      <c r="C13471" s="128">
        <f t="shared" si="629"/>
        <v>3</v>
      </c>
      <c r="D13471" s="136">
        <f t="shared" si="631"/>
        <v>10</v>
      </c>
      <c r="E13471" s="136">
        <f t="shared" si="630"/>
        <v>4</v>
      </c>
      <c r="F13471" s="137" t="s">
        <v>24</v>
      </c>
      <c r="G13471" s="128" t="str">
        <f>VLOOKUP(source[[#This Row],[lending_product_transform]],[3]Mapping!$B$4:$C$37,2,0)</f>
        <v>[Cake] - Cashloan</v>
      </c>
      <c r="H13471" s="128" t="str">
        <f>VLOOKUP(source[[#This Row],[lending_product_transform]],[3]Mapping!$B$3:$D$37,3,0)</f>
        <v>cashloan</v>
      </c>
      <c r="I13471" s="143">
        <v>0</v>
      </c>
    </row>
    <row r="13472" spans="1:9" x14ac:dyDescent="0.2">
      <c r="A13472" s="134">
        <v>46085</v>
      </c>
      <c r="B13472" s="135">
        <f>YEAR(source[[#This Row],[report_date]])</f>
        <v>2026</v>
      </c>
      <c r="C13472" s="128">
        <f t="shared" si="629"/>
        <v>3</v>
      </c>
      <c r="D13472" s="136">
        <f t="shared" si="631"/>
        <v>10</v>
      </c>
      <c r="E13472" s="136">
        <f t="shared" si="630"/>
        <v>4</v>
      </c>
      <c r="F13472" s="137" t="s">
        <v>24</v>
      </c>
      <c r="G13472" s="128" t="str">
        <f>VLOOKUP(source[[#This Row],[lending_product_transform]],[3]Mapping!$B$4:$C$37,2,0)</f>
        <v>[Cake] - Cashloan</v>
      </c>
      <c r="H13472" s="128" t="str">
        <f>VLOOKUP(source[[#This Row],[lending_product_transform]],[3]Mapping!$B$3:$D$37,3,0)</f>
        <v>cashloan</v>
      </c>
      <c r="I13472" s="143">
        <v>2544310000</v>
      </c>
    </row>
    <row r="13473" spans="1:9" x14ac:dyDescent="0.2">
      <c r="A13473" s="134">
        <v>46085</v>
      </c>
      <c r="B13473" s="135">
        <f>YEAR(source[[#This Row],[report_date]])</f>
        <v>2026</v>
      </c>
      <c r="C13473" s="128">
        <f t="shared" si="629"/>
        <v>3</v>
      </c>
      <c r="D13473" s="136">
        <f t="shared" si="631"/>
        <v>10</v>
      </c>
      <c r="E13473" s="136">
        <f t="shared" si="630"/>
        <v>4</v>
      </c>
      <c r="F13473" s="137" t="s">
        <v>24</v>
      </c>
      <c r="G13473" s="128" t="str">
        <f>VLOOKUP(source[[#This Row],[lending_product_transform]],[3]Mapping!$B$4:$C$37,2,0)</f>
        <v>[Cake] - Cashloan</v>
      </c>
      <c r="H13473" s="128" t="str">
        <f>VLOOKUP(source[[#This Row],[lending_product_transform]],[3]Mapping!$B$3:$D$37,3,0)</f>
        <v>cashloan</v>
      </c>
      <c r="I13473" s="143">
        <v>530770000</v>
      </c>
    </row>
    <row r="13474" spans="1:9" x14ac:dyDescent="0.2">
      <c r="A13474" s="134">
        <v>46085</v>
      </c>
      <c r="B13474" s="135">
        <f>YEAR(source[[#This Row],[report_date]])</f>
        <v>2026</v>
      </c>
      <c r="C13474" s="128">
        <f t="shared" si="629"/>
        <v>3</v>
      </c>
      <c r="D13474" s="136">
        <f t="shared" si="631"/>
        <v>10</v>
      </c>
      <c r="E13474" s="136">
        <f t="shared" si="630"/>
        <v>4</v>
      </c>
      <c r="F13474" s="137" t="s">
        <v>24</v>
      </c>
      <c r="G13474" s="128" t="str">
        <f>VLOOKUP(source[[#This Row],[lending_product_transform]],[3]Mapping!$B$4:$C$37,2,0)</f>
        <v>[Cake] - Cashloan</v>
      </c>
      <c r="H13474" s="128" t="str">
        <f>VLOOKUP(source[[#This Row],[lending_product_transform]],[3]Mapping!$B$3:$D$37,3,0)</f>
        <v>cashloan</v>
      </c>
      <c r="I13474" s="143">
        <v>19140845</v>
      </c>
    </row>
    <row r="13475" spans="1:9" x14ac:dyDescent="0.2">
      <c r="A13475" s="134">
        <v>46085</v>
      </c>
      <c r="B13475" s="135">
        <f>YEAR(source[[#This Row],[report_date]])</f>
        <v>2026</v>
      </c>
      <c r="C13475" s="128">
        <f t="shared" si="629"/>
        <v>3</v>
      </c>
      <c r="D13475" s="136">
        <f t="shared" si="631"/>
        <v>10</v>
      </c>
      <c r="E13475" s="136">
        <f t="shared" si="630"/>
        <v>4</v>
      </c>
      <c r="F13475" s="137" t="s">
        <v>24</v>
      </c>
      <c r="G13475" s="128" t="str">
        <f>VLOOKUP(source[[#This Row],[lending_product_transform]],[3]Mapping!$B$4:$C$37,2,0)</f>
        <v>[Cake] - Cashloan</v>
      </c>
      <c r="H13475" s="128" t="str">
        <f>VLOOKUP(source[[#This Row],[lending_product_transform]],[3]Mapping!$B$3:$D$37,3,0)</f>
        <v>cashloan</v>
      </c>
      <c r="I13475" s="143">
        <v>1851851331</v>
      </c>
    </row>
    <row r="13476" spans="1:9" x14ac:dyDescent="0.2">
      <c r="A13476" s="134">
        <v>46085</v>
      </c>
      <c r="B13476" s="135">
        <f>YEAR(source[[#This Row],[report_date]])</f>
        <v>2026</v>
      </c>
      <c r="C13476" s="128">
        <f t="shared" si="629"/>
        <v>3</v>
      </c>
      <c r="D13476" s="136">
        <f t="shared" si="631"/>
        <v>10</v>
      </c>
      <c r="E13476" s="136">
        <f t="shared" si="630"/>
        <v>4</v>
      </c>
      <c r="F13476" s="137" t="s">
        <v>24</v>
      </c>
      <c r="G13476" s="128" t="str">
        <f>VLOOKUP(source[[#This Row],[lending_product_transform]],[3]Mapping!$B$4:$C$37,2,0)</f>
        <v>[Cake] - Cashloan</v>
      </c>
      <c r="H13476" s="128" t="str">
        <f>VLOOKUP(source[[#This Row],[lending_product_transform]],[3]Mapping!$B$3:$D$37,3,0)</f>
        <v>cashloan</v>
      </c>
      <c r="I13476" s="143">
        <v>0</v>
      </c>
    </row>
    <row r="13477" spans="1:9" x14ac:dyDescent="0.2">
      <c r="A13477" s="134">
        <v>46085</v>
      </c>
      <c r="B13477" s="135">
        <f>YEAR(source[[#This Row],[report_date]])</f>
        <v>2026</v>
      </c>
      <c r="C13477" s="128">
        <f t="shared" si="629"/>
        <v>3</v>
      </c>
      <c r="D13477" s="136">
        <f t="shared" si="631"/>
        <v>10</v>
      </c>
      <c r="E13477" s="136">
        <f t="shared" si="630"/>
        <v>4</v>
      </c>
      <c r="F13477" s="137" t="s">
        <v>24</v>
      </c>
      <c r="G13477" s="128" t="str">
        <f>VLOOKUP(source[[#This Row],[lending_product_transform]],[3]Mapping!$B$4:$C$37,2,0)</f>
        <v>[Cake] - Cashloan</v>
      </c>
      <c r="H13477" s="128" t="str">
        <f>VLOOKUP(source[[#This Row],[lending_product_transform]],[3]Mapping!$B$3:$D$37,3,0)</f>
        <v>cashloan</v>
      </c>
      <c r="I13477" s="143">
        <v>50500000</v>
      </c>
    </row>
    <row r="13478" spans="1:9" x14ac:dyDescent="0.2">
      <c r="A13478" s="134">
        <v>46085</v>
      </c>
      <c r="B13478" s="135">
        <f>YEAR(source[[#This Row],[report_date]])</f>
        <v>2026</v>
      </c>
      <c r="C13478" s="128">
        <f t="shared" si="629"/>
        <v>3</v>
      </c>
      <c r="D13478" s="136">
        <f t="shared" si="631"/>
        <v>10</v>
      </c>
      <c r="E13478" s="136">
        <f t="shared" si="630"/>
        <v>4</v>
      </c>
      <c r="F13478" s="137" t="s">
        <v>24</v>
      </c>
      <c r="G13478" s="128" t="str">
        <f>VLOOKUP(source[[#This Row],[lending_product_transform]],[3]Mapping!$B$4:$C$37,2,0)</f>
        <v>[Cake] - Cashloan</v>
      </c>
      <c r="H13478" s="128" t="str">
        <f>VLOOKUP(source[[#This Row],[lending_product_transform]],[3]Mapping!$B$3:$D$37,3,0)</f>
        <v>cashloan</v>
      </c>
      <c r="I13478" s="143">
        <v>0</v>
      </c>
    </row>
    <row r="13479" spans="1:9" x14ac:dyDescent="0.2">
      <c r="A13479" s="134">
        <v>46085</v>
      </c>
      <c r="B13479" s="135">
        <f>YEAR(source[[#This Row],[report_date]])</f>
        <v>2026</v>
      </c>
      <c r="C13479" s="128">
        <f t="shared" si="629"/>
        <v>3</v>
      </c>
      <c r="D13479" s="136">
        <f t="shared" si="631"/>
        <v>10</v>
      </c>
      <c r="E13479" s="136">
        <f t="shared" si="630"/>
        <v>4</v>
      </c>
      <c r="F13479" s="137" t="s">
        <v>24</v>
      </c>
      <c r="G13479" s="128" t="str">
        <f>VLOOKUP(source[[#This Row],[lending_product_transform]],[3]Mapping!$B$4:$C$37,2,0)</f>
        <v>[Cake] - Cashloan</v>
      </c>
      <c r="H13479" s="128" t="str">
        <f>VLOOKUP(source[[#This Row],[lending_product_transform]],[3]Mapping!$B$3:$D$37,3,0)</f>
        <v>cashloan</v>
      </c>
      <c r="I13479" s="143">
        <v>13872060000</v>
      </c>
    </row>
    <row r="13480" spans="1:9" x14ac:dyDescent="0.2">
      <c r="A13480" s="134">
        <v>46085</v>
      </c>
      <c r="B13480" s="135">
        <f>YEAR(source[[#This Row],[report_date]])</f>
        <v>2026</v>
      </c>
      <c r="C13480" s="128">
        <f t="shared" si="629"/>
        <v>3</v>
      </c>
      <c r="D13480" s="136">
        <f t="shared" si="631"/>
        <v>10</v>
      </c>
      <c r="E13480" s="136">
        <f t="shared" si="630"/>
        <v>4</v>
      </c>
      <c r="F13480" s="137" t="s">
        <v>24</v>
      </c>
      <c r="G13480" s="128" t="str">
        <f>VLOOKUP(source[[#This Row],[lending_product_transform]],[3]Mapping!$B$4:$C$37,2,0)</f>
        <v>[Cake] - Cashloan</v>
      </c>
      <c r="H13480" s="128" t="str">
        <f>VLOOKUP(source[[#This Row],[lending_product_transform]],[3]Mapping!$B$3:$D$37,3,0)</f>
        <v>cashloan</v>
      </c>
      <c r="I13480" s="143">
        <v>0</v>
      </c>
    </row>
    <row r="13481" spans="1:9" x14ac:dyDescent="0.2">
      <c r="A13481" s="134">
        <v>46085</v>
      </c>
      <c r="B13481" s="135">
        <f>YEAR(source[[#This Row],[report_date]])</f>
        <v>2026</v>
      </c>
      <c r="C13481" s="128">
        <f t="shared" si="629"/>
        <v>3</v>
      </c>
      <c r="D13481" s="136">
        <f t="shared" si="631"/>
        <v>10</v>
      </c>
      <c r="E13481" s="136">
        <f t="shared" si="630"/>
        <v>4</v>
      </c>
      <c r="F13481" s="137" t="s">
        <v>24</v>
      </c>
      <c r="G13481" s="128" t="str">
        <f>VLOOKUP(source[[#This Row],[lending_product_transform]],[3]Mapping!$B$4:$C$37,2,0)</f>
        <v>[Cake] - Cashloan</v>
      </c>
      <c r="H13481" s="128" t="str">
        <f>VLOOKUP(source[[#This Row],[lending_product_transform]],[3]Mapping!$B$3:$D$37,3,0)</f>
        <v>cashloan</v>
      </c>
      <c r="I13481" s="143">
        <v>0</v>
      </c>
    </row>
    <row r="13482" spans="1:9" x14ac:dyDescent="0.2">
      <c r="A13482" s="134">
        <v>46085</v>
      </c>
      <c r="B13482" s="135">
        <f>YEAR(source[[#This Row],[report_date]])</f>
        <v>2026</v>
      </c>
      <c r="C13482" s="128">
        <f t="shared" si="629"/>
        <v>3</v>
      </c>
      <c r="D13482" s="136">
        <f t="shared" si="631"/>
        <v>10</v>
      </c>
      <c r="E13482" s="136">
        <f t="shared" si="630"/>
        <v>4</v>
      </c>
      <c r="F13482" s="137" t="s">
        <v>24</v>
      </c>
      <c r="G13482" s="128" t="str">
        <f>VLOOKUP(source[[#This Row],[lending_product_transform]],[3]Mapping!$B$4:$C$37,2,0)</f>
        <v>[Cake] - Cashloan</v>
      </c>
      <c r="H13482" s="128" t="str">
        <f>VLOOKUP(source[[#This Row],[lending_product_transform]],[3]Mapping!$B$3:$D$37,3,0)</f>
        <v>cashloan</v>
      </c>
      <c r="I13482" s="143">
        <v>0</v>
      </c>
    </row>
    <row r="13483" spans="1:9" x14ac:dyDescent="0.2">
      <c r="A13483" s="134">
        <v>46085</v>
      </c>
      <c r="B13483" s="135">
        <f>YEAR(source[[#This Row],[report_date]])</f>
        <v>2026</v>
      </c>
      <c r="C13483" s="128">
        <f t="shared" si="629"/>
        <v>3</v>
      </c>
      <c r="D13483" s="136">
        <f t="shared" si="631"/>
        <v>10</v>
      </c>
      <c r="E13483" s="136">
        <f t="shared" si="630"/>
        <v>4</v>
      </c>
      <c r="F13483" s="137" t="s">
        <v>24</v>
      </c>
      <c r="G13483" s="128" t="str">
        <f>VLOOKUP(source[[#This Row],[lending_product_transform]],[3]Mapping!$B$4:$C$37,2,0)</f>
        <v>[Cake] - Cashloan</v>
      </c>
      <c r="H13483" s="128" t="str">
        <f>VLOOKUP(source[[#This Row],[lending_product_transform]],[3]Mapping!$B$3:$D$37,3,0)</f>
        <v>cashloan</v>
      </c>
      <c r="I13483" s="143">
        <v>0</v>
      </c>
    </row>
    <row r="13484" spans="1:9" x14ac:dyDescent="0.2">
      <c r="A13484" s="134">
        <v>46085</v>
      </c>
      <c r="B13484" s="135">
        <f>YEAR(source[[#This Row],[report_date]])</f>
        <v>2026</v>
      </c>
      <c r="C13484" s="128">
        <f t="shared" si="629"/>
        <v>3</v>
      </c>
      <c r="D13484" s="136">
        <f t="shared" si="631"/>
        <v>10</v>
      </c>
      <c r="E13484" s="136">
        <f t="shared" si="630"/>
        <v>4</v>
      </c>
      <c r="F13484" s="137" t="s">
        <v>24</v>
      </c>
      <c r="G13484" s="128" t="str">
        <f>VLOOKUP(source[[#This Row],[lending_product_transform]],[3]Mapping!$B$4:$C$37,2,0)</f>
        <v>[Cake] - Cashloan</v>
      </c>
      <c r="H13484" s="128" t="str">
        <f>VLOOKUP(source[[#This Row],[lending_product_transform]],[3]Mapping!$B$3:$D$37,3,0)</f>
        <v>cashloan</v>
      </c>
      <c r="I13484" s="143">
        <v>11243124000</v>
      </c>
    </row>
    <row r="13485" spans="1:9" x14ac:dyDescent="0.2">
      <c r="A13485" s="134">
        <v>46085</v>
      </c>
      <c r="B13485" s="135">
        <f>YEAR(source[[#This Row],[report_date]])</f>
        <v>2026</v>
      </c>
      <c r="C13485" s="128">
        <f t="shared" si="629"/>
        <v>3</v>
      </c>
      <c r="D13485" s="136">
        <f t="shared" si="631"/>
        <v>10</v>
      </c>
      <c r="E13485" s="136">
        <f t="shared" si="630"/>
        <v>4</v>
      </c>
      <c r="F13485" s="137" t="s">
        <v>24</v>
      </c>
      <c r="G13485" s="128" t="str">
        <f>VLOOKUP(source[[#This Row],[lending_product_transform]],[3]Mapping!$B$4:$C$37,2,0)</f>
        <v>[Cake] - Cashloan</v>
      </c>
      <c r="H13485" s="128" t="str">
        <f>VLOOKUP(source[[#This Row],[lending_product_transform]],[3]Mapping!$B$3:$D$37,3,0)</f>
        <v>cashloan</v>
      </c>
      <c r="I13485" s="143">
        <v>415009282</v>
      </c>
    </row>
    <row r="13486" spans="1:9" x14ac:dyDescent="0.2">
      <c r="A13486" s="134">
        <v>46085</v>
      </c>
      <c r="B13486" s="135">
        <f>YEAR(source[[#This Row],[report_date]])</f>
        <v>2026</v>
      </c>
      <c r="C13486" s="128">
        <f t="shared" si="629"/>
        <v>3</v>
      </c>
      <c r="D13486" s="136">
        <f t="shared" si="631"/>
        <v>10</v>
      </c>
      <c r="E13486" s="136">
        <f t="shared" si="630"/>
        <v>4</v>
      </c>
      <c r="F13486" s="137" t="s">
        <v>24</v>
      </c>
      <c r="G13486" s="128" t="str">
        <f>VLOOKUP(source[[#This Row],[lending_product_transform]],[3]Mapping!$B$4:$C$37,2,0)</f>
        <v>[Cake] - Cashloan</v>
      </c>
      <c r="H13486" s="128" t="str">
        <f>VLOOKUP(source[[#This Row],[lending_product_transform]],[3]Mapping!$B$3:$D$37,3,0)</f>
        <v>cashloan</v>
      </c>
      <c r="I13486" s="143">
        <v>21000000</v>
      </c>
    </row>
    <row r="13487" spans="1:9" x14ac:dyDescent="0.2">
      <c r="A13487" s="134">
        <v>46085</v>
      </c>
      <c r="B13487" s="135">
        <f>YEAR(source[[#This Row],[report_date]])</f>
        <v>2026</v>
      </c>
      <c r="C13487" s="128">
        <f t="shared" si="629"/>
        <v>3</v>
      </c>
      <c r="D13487" s="136">
        <f t="shared" si="631"/>
        <v>10</v>
      </c>
      <c r="E13487" s="136">
        <f t="shared" si="630"/>
        <v>4</v>
      </c>
      <c r="F13487" s="137" t="s">
        <v>24</v>
      </c>
      <c r="G13487" s="128" t="str">
        <f>VLOOKUP(source[[#This Row],[lending_product_transform]],[3]Mapping!$B$4:$C$37,2,0)</f>
        <v>[Cake] - Cashloan</v>
      </c>
      <c r="H13487" s="128" t="str">
        <f>VLOOKUP(source[[#This Row],[lending_product_transform]],[3]Mapping!$B$3:$D$37,3,0)</f>
        <v>cashloan</v>
      </c>
      <c r="I13487" s="143">
        <v>79000000</v>
      </c>
    </row>
    <row r="13488" spans="1:9" x14ac:dyDescent="0.2">
      <c r="A13488" s="134">
        <v>46085</v>
      </c>
      <c r="B13488" s="135">
        <f>YEAR(source[[#This Row],[report_date]])</f>
        <v>2026</v>
      </c>
      <c r="C13488" s="128">
        <f t="shared" si="629"/>
        <v>3</v>
      </c>
      <c r="D13488" s="136">
        <f t="shared" si="631"/>
        <v>10</v>
      </c>
      <c r="E13488" s="136">
        <f t="shared" si="630"/>
        <v>4</v>
      </c>
      <c r="F13488" s="137" t="s">
        <v>24</v>
      </c>
      <c r="G13488" s="128" t="str">
        <f>VLOOKUP(source[[#This Row],[lending_product_transform]],[3]Mapping!$B$4:$C$37,2,0)</f>
        <v>[Cake] - Cashloan</v>
      </c>
      <c r="H13488" s="128" t="str">
        <f>VLOOKUP(source[[#This Row],[lending_product_transform]],[3]Mapping!$B$3:$D$37,3,0)</f>
        <v>cashloan</v>
      </c>
      <c r="I13488" s="143">
        <v>823050000</v>
      </c>
    </row>
    <row r="13489" spans="1:9" x14ac:dyDescent="0.2">
      <c r="A13489" s="134">
        <v>46085</v>
      </c>
      <c r="B13489" s="135">
        <f>YEAR(source[[#This Row],[report_date]])</f>
        <v>2026</v>
      </c>
      <c r="C13489" s="128">
        <f t="shared" si="629"/>
        <v>3</v>
      </c>
      <c r="D13489" s="136">
        <f t="shared" si="631"/>
        <v>10</v>
      </c>
      <c r="E13489" s="136">
        <f t="shared" si="630"/>
        <v>4</v>
      </c>
      <c r="F13489" s="137" t="s">
        <v>24</v>
      </c>
      <c r="G13489" s="128" t="str">
        <f>VLOOKUP(source[[#This Row],[lending_product_transform]],[3]Mapping!$B$4:$C$37,2,0)</f>
        <v>[Cake] - Cashloan</v>
      </c>
      <c r="H13489" s="128" t="str">
        <f>VLOOKUP(source[[#This Row],[lending_product_transform]],[3]Mapping!$B$3:$D$37,3,0)</f>
        <v>cashloan</v>
      </c>
      <c r="I13489" s="143">
        <v>338364000</v>
      </c>
    </row>
    <row r="13490" spans="1:9" x14ac:dyDescent="0.2">
      <c r="A13490" s="134">
        <v>46085</v>
      </c>
      <c r="B13490" s="135">
        <f>YEAR(source[[#This Row],[report_date]])</f>
        <v>2026</v>
      </c>
      <c r="C13490" s="128">
        <f t="shared" si="629"/>
        <v>3</v>
      </c>
      <c r="D13490" s="136">
        <f t="shared" si="631"/>
        <v>10</v>
      </c>
      <c r="E13490" s="136">
        <f t="shared" si="630"/>
        <v>4</v>
      </c>
      <c r="F13490" s="137" t="s">
        <v>24</v>
      </c>
      <c r="G13490" s="128" t="str">
        <f>VLOOKUP(source[[#This Row],[lending_product_transform]],[3]Mapping!$B$4:$C$37,2,0)</f>
        <v>[Cake] - Cashloan</v>
      </c>
      <c r="H13490" s="128" t="str">
        <f>VLOOKUP(source[[#This Row],[lending_product_transform]],[3]Mapping!$B$3:$D$37,3,0)</f>
        <v>cashloan</v>
      </c>
      <c r="I13490" s="143">
        <v>1036822973</v>
      </c>
    </row>
    <row r="13491" spans="1:9" x14ac:dyDescent="0.2">
      <c r="A13491" s="134">
        <v>46085</v>
      </c>
      <c r="B13491" s="135">
        <f>YEAR(source[[#This Row],[report_date]])</f>
        <v>2026</v>
      </c>
      <c r="C13491" s="128">
        <f t="shared" si="629"/>
        <v>3</v>
      </c>
      <c r="D13491" s="136">
        <f t="shared" si="631"/>
        <v>10</v>
      </c>
      <c r="E13491" s="136">
        <f t="shared" si="630"/>
        <v>4</v>
      </c>
      <c r="F13491" s="137" t="s">
        <v>24</v>
      </c>
      <c r="G13491" s="128" t="str">
        <f>VLOOKUP(source[[#This Row],[lending_product_transform]],[3]Mapping!$B$4:$C$37,2,0)</f>
        <v>[Cake] - Cashloan</v>
      </c>
      <c r="H13491" s="128" t="str">
        <f>VLOOKUP(source[[#This Row],[lending_product_transform]],[3]Mapping!$B$3:$D$37,3,0)</f>
        <v>cashloan</v>
      </c>
      <c r="I13491" s="143">
        <v>3466000000</v>
      </c>
    </row>
    <row r="13492" spans="1:9" x14ac:dyDescent="0.2">
      <c r="A13492" s="134">
        <v>46085</v>
      </c>
      <c r="B13492" s="135">
        <f>YEAR(source[[#This Row],[report_date]])</f>
        <v>2026</v>
      </c>
      <c r="C13492" s="128">
        <f t="shared" si="629"/>
        <v>3</v>
      </c>
      <c r="D13492" s="136">
        <f t="shared" si="631"/>
        <v>10</v>
      </c>
      <c r="E13492" s="136">
        <f t="shared" si="630"/>
        <v>4</v>
      </c>
      <c r="F13492" s="137" t="s">
        <v>24</v>
      </c>
      <c r="G13492" s="128" t="str">
        <f>VLOOKUP(source[[#This Row],[lending_product_transform]],[3]Mapping!$B$4:$C$37,2,0)</f>
        <v>[Cake] - Cashloan</v>
      </c>
      <c r="H13492" s="128" t="str">
        <f>VLOOKUP(source[[#This Row],[lending_product_transform]],[3]Mapping!$B$3:$D$37,3,0)</f>
        <v>cashloan</v>
      </c>
      <c r="I13492" s="143">
        <v>246240000</v>
      </c>
    </row>
    <row r="13493" spans="1:9" x14ac:dyDescent="0.2">
      <c r="A13493" s="134">
        <v>46086</v>
      </c>
      <c r="B13493" s="135">
        <f>YEAR(source[[#This Row],[report_date]])</f>
        <v>2026</v>
      </c>
      <c r="C13493" s="128">
        <f t="shared" si="629"/>
        <v>3</v>
      </c>
      <c r="D13493" s="136">
        <f t="shared" si="631"/>
        <v>10</v>
      </c>
      <c r="E13493" s="136">
        <f t="shared" si="630"/>
        <v>5</v>
      </c>
      <c r="F13493" s="137" t="s">
        <v>24</v>
      </c>
      <c r="G13493" s="128" t="str">
        <f>VLOOKUP(source[[#This Row],[lending_product_transform]],[3]Mapping!$B$4:$C$37,2,0)</f>
        <v>[Cake] - Cashloan</v>
      </c>
      <c r="H13493" s="128" t="str">
        <f>VLOOKUP(source[[#This Row],[lending_product_transform]],[3]Mapping!$B$3:$D$37,3,0)</f>
        <v>cashloan</v>
      </c>
      <c r="I13493" s="143">
        <v>920400000</v>
      </c>
    </row>
    <row r="13494" spans="1:9" x14ac:dyDescent="0.2">
      <c r="A13494" s="134">
        <v>46086</v>
      </c>
      <c r="B13494" s="135">
        <f>YEAR(source[[#This Row],[report_date]])</f>
        <v>2026</v>
      </c>
      <c r="C13494" s="128">
        <f t="shared" ref="C13494:C13557" si="632">MONTH(A13494)</f>
        <v>3</v>
      </c>
      <c r="D13494" s="136">
        <f t="shared" si="631"/>
        <v>10</v>
      </c>
      <c r="E13494" s="136">
        <f t="shared" ref="E13494:E13557" si="633">DAY(A13494)</f>
        <v>5</v>
      </c>
      <c r="F13494" s="137" t="s">
        <v>24</v>
      </c>
      <c r="G13494" s="128" t="str">
        <f>VLOOKUP(source[[#This Row],[lending_product_transform]],[3]Mapping!$B$4:$C$37,2,0)</f>
        <v>[Cake] - Cashloan</v>
      </c>
      <c r="H13494" s="128" t="str">
        <f>VLOOKUP(source[[#This Row],[lending_product_transform]],[3]Mapping!$B$3:$D$37,3,0)</f>
        <v>cashloan</v>
      </c>
      <c r="I13494" s="143">
        <v>381541237</v>
      </c>
    </row>
    <row r="13495" spans="1:9" x14ac:dyDescent="0.2">
      <c r="A13495" s="134">
        <v>46086</v>
      </c>
      <c r="B13495" s="135">
        <f>YEAR(source[[#This Row],[report_date]])</f>
        <v>2026</v>
      </c>
      <c r="C13495" s="128">
        <f t="shared" si="632"/>
        <v>3</v>
      </c>
      <c r="D13495" s="136">
        <f t="shared" si="631"/>
        <v>10</v>
      </c>
      <c r="E13495" s="136">
        <f t="shared" si="633"/>
        <v>5</v>
      </c>
      <c r="F13495" s="137" t="s">
        <v>24</v>
      </c>
      <c r="G13495" s="128" t="str">
        <f>VLOOKUP(source[[#This Row],[lending_product_transform]],[3]Mapping!$B$4:$C$37,2,0)</f>
        <v>[Cake] - Cashloan</v>
      </c>
      <c r="H13495" s="128" t="str">
        <f>VLOOKUP(source[[#This Row],[lending_product_transform]],[3]Mapping!$B$3:$D$37,3,0)</f>
        <v>cashloan</v>
      </c>
      <c r="I13495" s="143">
        <v>10802360000</v>
      </c>
    </row>
    <row r="13496" spans="1:9" x14ac:dyDescent="0.2">
      <c r="A13496" s="134">
        <v>46086</v>
      </c>
      <c r="B13496" s="135">
        <f>YEAR(source[[#This Row],[report_date]])</f>
        <v>2026</v>
      </c>
      <c r="C13496" s="128">
        <f t="shared" si="632"/>
        <v>3</v>
      </c>
      <c r="D13496" s="136">
        <f t="shared" si="631"/>
        <v>10</v>
      </c>
      <c r="E13496" s="136">
        <f t="shared" si="633"/>
        <v>5</v>
      </c>
      <c r="F13496" s="137" t="s">
        <v>24</v>
      </c>
      <c r="G13496" s="128" t="str">
        <f>VLOOKUP(source[[#This Row],[lending_product_transform]],[3]Mapping!$B$4:$C$37,2,0)</f>
        <v>[Cake] - Cashloan</v>
      </c>
      <c r="H13496" s="128" t="str">
        <f>VLOOKUP(source[[#This Row],[lending_product_transform]],[3]Mapping!$B$3:$D$37,3,0)</f>
        <v>cashloan</v>
      </c>
      <c r="I13496" s="143">
        <v>2570374691</v>
      </c>
    </row>
    <row r="13497" spans="1:9" x14ac:dyDescent="0.2">
      <c r="A13497" s="134">
        <v>46086</v>
      </c>
      <c r="B13497" s="135">
        <f>YEAR(source[[#This Row],[report_date]])</f>
        <v>2026</v>
      </c>
      <c r="C13497" s="128">
        <f t="shared" si="632"/>
        <v>3</v>
      </c>
      <c r="D13497" s="136">
        <f t="shared" si="631"/>
        <v>10</v>
      </c>
      <c r="E13497" s="136">
        <f t="shared" si="633"/>
        <v>5</v>
      </c>
      <c r="F13497" s="137" t="s">
        <v>24</v>
      </c>
      <c r="G13497" s="128" t="str">
        <f>VLOOKUP(source[[#This Row],[lending_product_transform]],[3]Mapping!$B$4:$C$37,2,0)</f>
        <v>[Cake] - Cashloan</v>
      </c>
      <c r="H13497" s="128" t="str">
        <f>VLOOKUP(source[[#This Row],[lending_product_transform]],[3]Mapping!$B$3:$D$37,3,0)</f>
        <v>cashloan</v>
      </c>
      <c r="I13497" s="143">
        <v>16653816000</v>
      </c>
    </row>
    <row r="13498" spans="1:9" x14ac:dyDescent="0.2">
      <c r="A13498" s="134">
        <v>46086</v>
      </c>
      <c r="B13498" s="135">
        <f>YEAR(source[[#This Row],[report_date]])</f>
        <v>2026</v>
      </c>
      <c r="C13498" s="128">
        <f t="shared" si="632"/>
        <v>3</v>
      </c>
      <c r="D13498" s="136">
        <f t="shared" si="631"/>
        <v>10</v>
      </c>
      <c r="E13498" s="136">
        <f t="shared" si="633"/>
        <v>5</v>
      </c>
      <c r="F13498" s="137" t="s">
        <v>24</v>
      </c>
      <c r="G13498" s="128" t="str">
        <f>VLOOKUP(source[[#This Row],[lending_product_transform]],[3]Mapping!$B$4:$C$37,2,0)</f>
        <v>[Cake] - Cashloan</v>
      </c>
      <c r="H13498" s="128" t="str">
        <f>VLOOKUP(source[[#This Row],[lending_product_transform]],[3]Mapping!$B$3:$D$37,3,0)</f>
        <v>cashloan</v>
      </c>
      <c r="I13498" s="143">
        <v>38027617</v>
      </c>
    </row>
    <row r="13499" spans="1:9" x14ac:dyDescent="0.2">
      <c r="A13499" s="134">
        <v>46086</v>
      </c>
      <c r="B13499" s="135">
        <f>YEAR(source[[#This Row],[report_date]])</f>
        <v>2026</v>
      </c>
      <c r="C13499" s="128">
        <f t="shared" si="632"/>
        <v>3</v>
      </c>
      <c r="D13499" s="136">
        <f t="shared" si="631"/>
        <v>10</v>
      </c>
      <c r="E13499" s="136">
        <f t="shared" si="633"/>
        <v>5</v>
      </c>
      <c r="F13499" s="137" t="s">
        <v>24</v>
      </c>
      <c r="G13499" s="128" t="str">
        <f>VLOOKUP(source[[#This Row],[lending_product_transform]],[3]Mapping!$B$4:$C$37,2,0)</f>
        <v>[Cake] - Cashloan</v>
      </c>
      <c r="H13499" s="128" t="str">
        <f>VLOOKUP(source[[#This Row],[lending_product_transform]],[3]Mapping!$B$3:$D$37,3,0)</f>
        <v>cashloan</v>
      </c>
      <c r="I13499" s="143">
        <v>0</v>
      </c>
    </row>
    <row r="13500" spans="1:9" x14ac:dyDescent="0.2">
      <c r="A13500" s="134">
        <v>46086</v>
      </c>
      <c r="B13500" s="135">
        <f>YEAR(source[[#This Row],[report_date]])</f>
        <v>2026</v>
      </c>
      <c r="C13500" s="128">
        <f t="shared" si="632"/>
        <v>3</v>
      </c>
      <c r="D13500" s="136">
        <f t="shared" si="631"/>
        <v>10</v>
      </c>
      <c r="E13500" s="136">
        <f t="shared" si="633"/>
        <v>5</v>
      </c>
      <c r="F13500" s="137" t="s">
        <v>24</v>
      </c>
      <c r="G13500" s="128" t="str">
        <f>VLOOKUP(source[[#This Row],[lending_product_transform]],[3]Mapping!$B$4:$C$37,2,0)</f>
        <v>[Cake] - Cashloan</v>
      </c>
      <c r="H13500" s="128" t="str">
        <f>VLOOKUP(source[[#This Row],[lending_product_transform]],[3]Mapping!$B$3:$D$37,3,0)</f>
        <v>cashloan</v>
      </c>
      <c r="I13500" s="143">
        <v>2562210000</v>
      </c>
    </row>
    <row r="13501" spans="1:9" x14ac:dyDescent="0.2">
      <c r="A13501" s="134">
        <v>46086</v>
      </c>
      <c r="B13501" s="135">
        <f>YEAR(source[[#This Row],[report_date]])</f>
        <v>2026</v>
      </c>
      <c r="C13501" s="128">
        <f t="shared" si="632"/>
        <v>3</v>
      </c>
      <c r="D13501" s="136">
        <f t="shared" si="631"/>
        <v>10</v>
      </c>
      <c r="E13501" s="136">
        <f t="shared" si="633"/>
        <v>5</v>
      </c>
      <c r="F13501" s="137" t="s">
        <v>24</v>
      </c>
      <c r="G13501" s="128" t="str">
        <f>VLOOKUP(source[[#This Row],[lending_product_transform]],[3]Mapping!$B$4:$C$37,2,0)</f>
        <v>[Cake] - Cashloan</v>
      </c>
      <c r="H13501" s="128" t="str">
        <f>VLOOKUP(source[[#This Row],[lending_product_transform]],[3]Mapping!$B$3:$D$37,3,0)</f>
        <v>cashloan</v>
      </c>
      <c r="I13501" s="143">
        <v>864230000</v>
      </c>
    </row>
    <row r="13502" spans="1:9" x14ac:dyDescent="0.2">
      <c r="A13502" s="134">
        <v>46086</v>
      </c>
      <c r="B13502" s="135">
        <f>YEAR(source[[#This Row],[report_date]])</f>
        <v>2026</v>
      </c>
      <c r="C13502" s="128">
        <f t="shared" si="632"/>
        <v>3</v>
      </c>
      <c r="D13502" s="136">
        <f t="shared" si="631"/>
        <v>10</v>
      </c>
      <c r="E13502" s="136">
        <f t="shared" si="633"/>
        <v>5</v>
      </c>
      <c r="F13502" s="137" t="s">
        <v>24</v>
      </c>
      <c r="G13502" s="128" t="str">
        <f>VLOOKUP(source[[#This Row],[lending_product_transform]],[3]Mapping!$B$4:$C$37,2,0)</f>
        <v>[Cake] - Cashloan</v>
      </c>
      <c r="H13502" s="128" t="str">
        <f>VLOOKUP(source[[#This Row],[lending_product_transform]],[3]Mapping!$B$3:$D$37,3,0)</f>
        <v>cashloan</v>
      </c>
      <c r="I13502" s="143">
        <v>27119171</v>
      </c>
    </row>
    <row r="13503" spans="1:9" x14ac:dyDescent="0.2">
      <c r="A13503" s="134">
        <v>46086</v>
      </c>
      <c r="B13503" s="135">
        <f>YEAR(source[[#This Row],[report_date]])</f>
        <v>2026</v>
      </c>
      <c r="C13503" s="128">
        <f t="shared" si="632"/>
        <v>3</v>
      </c>
      <c r="D13503" s="136">
        <f t="shared" si="631"/>
        <v>10</v>
      </c>
      <c r="E13503" s="136">
        <f t="shared" si="633"/>
        <v>5</v>
      </c>
      <c r="F13503" s="137" t="s">
        <v>24</v>
      </c>
      <c r="G13503" s="128" t="str">
        <f>VLOOKUP(source[[#This Row],[lending_product_transform]],[3]Mapping!$B$4:$C$37,2,0)</f>
        <v>[Cake] - Cashloan</v>
      </c>
      <c r="H13503" s="128" t="str">
        <f>VLOOKUP(source[[#This Row],[lending_product_transform]],[3]Mapping!$B$3:$D$37,3,0)</f>
        <v>cashloan</v>
      </c>
      <c r="I13503" s="143">
        <v>1740984689</v>
      </c>
    </row>
    <row r="13504" spans="1:9" x14ac:dyDescent="0.2">
      <c r="A13504" s="134">
        <v>46086</v>
      </c>
      <c r="B13504" s="135">
        <f>YEAR(source[[#This Row],[report_date]])</f>
        <v>2026</v>
      </c>
      <c r="C13504" s="128">
        <f t="shared" si="632"/>
        <v>3</v>
      </c>
      <c r="D13504" s="136">
        <f t="shared" si="631"/>
        <v>10</v>
      </c>
      <c r="E13504" s="136">
        <f t="shared" si="633"/>
        <v>5</v>
      </c>
      <c r="F13504" s="137" t="s">
        <v>24</v>
      </c>
      <c r="G13504" s="128" t="str">
        <f>VLOOKUP(source[[#This Row],[lending_product_transform]],[3]Mapping!$B$4:$C$37,2,0)</f>
        <v>[Cake] - Cashloan</v>
      </c>
      <c r="H13504" s="128" t="str">
        <f>VLOOKUP(source[[#This Row],[lending_product_transform]],[3]Mapping!$B$3:$D$37,3,0)</f>
        <v>cashloan</v>
      </c>
      <c r="I13504" s="143">
        <v>0</v>
      </c>
    </row>
    <row r="13505" spans="1:9" x14ac:dyDescent="0.2">
      <c r="A13505" s="134">
        <v>46086</v>
      </c>
      <c r="B13505" s="135">
        <f>YEAR(source[[#This Row],[report_date]])</f>
        <v>2026</v>
      </c>
      <c r="C13505" s="128">
        <f t="shared" si="632"/>
        <v>3</v>
      </c>
      <c r="D13505" s="136">
        <f t="shared" si="631"/>
        <v>10</v>
      </c>
      <c r="E13505" s="136">
        <f t="shared" si="633"/>
        <v>5</v>
      </c>
      <c r="F13505" s="137" t="s">
        <v>24</v>
      </c>
      <c r="G13505" s="128" t="str">
        <f>VLOOKUP(source[[#This Row],[lending_product_transform]],[3]Mapping!$B$4:$C$37,2,0)</f>
        <v>[Cake] - Cashloan</v>
      </c>
      <c r="H13505" s="128" t="str">
        <f>VLOOKUP(source[[#This Row],[lending_product_transform]],[3]Mapping!$B$3:$D$37,3,0)</f>
        <v>cashloan</v>
      </c>
      <c r="I13505" s="143">
        <v>10500000</v>
      </c>
    </row>
    <row r="13506" spans="1:9" x14ac:dyDescent="0.2">
      <c r="A13506" s="134">
        <v>46086</v>
      </c>
      <c r="B13506" s="135">
        <f>YEAR(source[[#This Row],[report_date]])</f>
        <v>2026</v>
      </c>
      <c r="C13506" s="128">
        <f t="shared" si="632"/>
        <v>3</v>
      </c>
      <c r="D13506" s="136">
        <f t="shared" si="631"/>
        <v>10</v>
      </c>
      <c r="E13506" s="136">
        <f t="shared" si="633"/>
        <v>5</v>
      </c>
      <c r="F13506" s="137" t="s">
        <v>24</v>
      </c>
      <c r="G13506" s="128" t="str">
        <f>VLOOKUP(source[[#This Row],[lending_product_transform]],[3]Mapping!$B$4:$C$37,2,0)</f>
        <v>[Cake] - Cashloan</v>
      </c>
      <c r="H13506" s="128" t="str">
        <f>VLOOKUP(source[[#This Row],[lending_product_transform]],[3]Mapping!$B$3:$D$37,3,0)</f>
        <v>cashloan</v>
      </c>
      <c r="I13506" s="143">
        <v>0</v>
      </c>
    </row>
    <row r="13507" spans="1:9" x14ac:dyDescent="0.2">
      <c r="A13507" s="134">
        <v>46086</v>
      </c>
      <c r="B13507" s="135">
        <f>YEAR(source[[#This Row],[report_date]])</f>
        <v>2026</v>
      </c>
      <c r="C13507" s="128">
        <f t="shared" si="632"/>
        <v>3</v>
      </c>
      <c r="D13507" s="136">
        <f t="shared" si="631"/>
        <v>10</v>
      </c>
      <c r="E13507" s="136">
        <f t="shared" si="633"/>
        <v>5</v>
      </c>
      <c r="F13507" s="137" t="s">
        <v>24</v>
      </c>
      <c r="G13507" s="128" t="str">
        <f>VLOOKUP(source[[#This Row],[lending_product_transform]],[3]Mapping!$B$4:$C$37,2,0)</f>
        <v>[Cake] - Cashloan</v>
      </c>
      <c r="H13507" s="128" t="str">
        <f>VLOOKUP(source[[#This Row],[lending_product_transform]],[3]Mapping!$B$3:$D$37,3,0)</f>
        <v>cashloan</v>
      </c>
      <c r="I13507" s="143">
        <v>15499430000</v>
      </c>
    </row>
    <row r="13508" spans="1:9" x14ac:dyDescent="0.2">
      <c r="A13508" s="134">
        <v>46086</v>
      </c>
      <c r="B13508" s="135">
        <f>YEAR(source[[#This Row],[report_date]])</f>
        <v>2026</v>
      </c>
      <c r="C13508" s="128">
        <f t="shared" si="632"/>
        <v>3</v>
      </c>
      <c r="D13508" s="136">
        <f t="shared" si="631"/>
        <v>10</v>
      </c>
      <c r="E13508" s="136">
        <f t="shared" si="633"/>
        <v>5</v>
      </c>
      <c r="F13508" s="137" t="s">
        <v>24</v>
      </c>
      <c r="G13508" s="128" t="str">
        <f>VLOOKUP(source[[#This Row],[lending_product_transform]],[3]Mapping!$B$4:$C$37,2,0)</f>
        <v>[Cake] - Cashloan</v>
      </c>
      <c r="H13508" s="128" t="str">
        <f>VLOOKUP(source[[#This Row],[lending_product_transform]],[3]Mapping!$B$3:$D$37,3,0)</f>
        <v>cashloan</v>
      </c>
      <c r="I13508" s="143">
        <v>0</v>
      </c>
    </row>
    <row r="13509" spans="1:9" x14ac:dyDescent="0.2">
      <c r="A13509" s="134">
        <v>46086</v>
      </c>
      <c r="B13509" s="135">
        <f>YEAR(source[[#This Row],[report_date]])</f>
        <v>2026</v>
      </c>
      <c r="C13509" s="128">
        <f t="shared" si="632"/>
        <v>3</v>
      </c>
      <c r="D13509" s="136">
        <f t="shared" si="631"/>
        <v>10</v>
      </c>
      <c r="E13509" s="136">
        <f t="shared" si="633"/>
        <v>5</v>
      </c>
      <c r="F13509" s="137" t="s">
        <v>24</v>
      </c>
      <c r="G13509" s="128" t="str">
        <f>VLOOKUP(source[[#This Row],[lending_product_transform]],[3]Mapping!$B$4:$C$37,2,0)</f>
        <v>[Cake] - Cashloan</v>
      </c>
      <c r="H13509" s="128" t="str">
        <f>VLOOKUP(source[[#This Row],[lending_product_transform]],[3]Mapping!$B$3:$D$37,3,0)</f>
        <v>cashloan</v>
      </c>
      <c r="I13509" s="143">
        <v>0</v>
      </c>
    </row>
    <row r="13510" spans="1:9" x14ac:dyDescent="0.2">
      <c r="A13510" s="134">
        <v>46086</v>
      </c>
      <c r="B13510" s="135">
        <f>YEAR(source[[#This Row],[report_date]])</f>
        <v>2026</v>
      </c>
      <c r="C13510" s="128">
        <f t="shared" si="632"/>
        <v>3</v>
      </c>
      <c r="D13510" s="136">
        <f t="shared" si="631"/>
        <v>10</v>
      </c>
      <c r="E13510" s="136">
        <f t="shared" si="633"/>
        <v>5</v>
      </c>
      <c r="F13510" s="137" t="s">
        <v>24</v>
      </c>
      <c r="G13510" s="128" t="str">
        <f>VLOOKUP(source[[#This Row],[lending_product_transform]],[3]Mapping!$B$4:$C$37,2,0)</f>
        <v>[Cake] - Cashloan</v>
      </c>
      <c r="H13510" s="128" t="str">
        <f>VLOOKUP(source[[#This Row],[lending_product_transform]],[3]Mapping!$B$3:$D$37,3,0)</f>
        <v>cashloan</v>
      </c>
      <c r="I13510" s="143">
        <v>0</v>
      </c>
    </row>
    <row r="13511" spans="1:9" x14ac:dyDescent="0.2">
      <c r="A13511" s="134">
        <v>46086</v>
      </c>
      <c r="B13511" s="135">
        <f>YEAR(source[[#This Row],[report_date]])</f>
        <v>2026</v>
      </c>
      <c r="C13511" s="128">
        <f t="shared" si="632"/>
        <v>3</v>
      </c>
      <c r="D13511" s="136">
        <f t="shared" si="631"/>
        <v>10</v>
      </c>
      <c r="E13511" s="136">
        <f t="shared" si="633"/>
        <v>5</v>
      </c>
      <c r="F13511" s="137" t="s">
        <v>24</v>
      </c>
      <c r="G13511" s="128" t="str">
        <f>VLOOKUP(source[[#This Row],[lending_product_transform]],[3]Mapping!$B$4:$C$37,2,0)</f>
        <v>[Cake] - Cashloan</v>
      </c>
      <c r="H13511" s="128" t="str">
        <f>VLOOKUP(source[[#This Row],[lending_product_transform]],[3]Mapping!$B$3:$D$37,3,0)</f>
        <v>cashloan</v>
      </c>
      <c r="I13511" s="143">
        <v>0</v>
      </c>
    </row>
    <row r="13512" spans="1:9" x14ac:dyDescent="0.2">
      <c r="A13512" s="134">
        <v>46086</v>
      </c>
      <c r="B13512" s="135">
        <f>YEAR(source[[#This Row],[report_date]])</f>
        <v>2026</v>
      </c>
      <c r="C13512" s="128">
        <f t="shared" si="632"/>
        <v>3</v>
      </c>
      <c r="D13512" s="136">
        <f t="shared" si="631"/>
        <v>10</v>
      </c>
      <c r="E13512" s="136">
        <f t="shared" si="633"/>
        <v>5</v>
      </c>
      <c r="F13512" s="137" t="s">
        <v>24</v>
      </c>
      <c r="G13512" s="128" t="str">
        <f>VLOOKUP(source[[#This Row],[lending_product_transform]],[3]Mapping!$B$4:$C$37,2,0)</f>
        <v>[Cake] - Cashloan</v>
      </c>
      <c r="H13512" s="128" t="str">
        <f>VLOOKUP(source[[#This Row],[lending_product_transform]],[3]Mapping!$B$3:$D$37,3,0)</f>
        <v>cashloan</v>
      </c>
      <c r="I13512" s="143">
        <v>12778560000</v>
      </c>
    </row>
    <row r="13513" spans="1:9" x14ac:dyDescent="0.2">
      <c r="A13513" s="134">
        <v>46086</v>
      </c>
      <c r="B13513" s="135">
        <f>YEAR(source[[#This Row],[report_date]])</f>
        <v>2026</v>
      </c>
      <c r="C13513" s="128">
        <f t="shared" si="632"/>
        <v>3</v>
      </c>
      <c r="D13513" s="136">
        <f t="shared" si="631"/>
        <v>10</v>
      </c>
      <c r="E13513" s="136">
        <f t="shared" si="633"/>
        <v>5</v>
      </c>
      <c r="F13513" s="137" t="s">
        <v>24</v>
      </c>
      <c r="G13513" s="128" t="str">
        <f>VLOOKUP(source[[#This Row],[lending_product_transform]],[3]Mapping!$B$4:$C$37,2,0)</f>
        <v>[Cake] - Cashloan</v>
      </c>
      <c r="H13513" s="128" t="str">
        <f>VLOOKUP(source[[#This Row],[lending_product_transform]],[3]Mapping!$B$3:$D$37,3,0)</f>
        <v>cashloan</v>
      </c>
      <c r="I13513" s="143">
        <v>433122512</v>
      </c>
    </row>
    <row r="13514" spans="1:9" x14ac:dyDescent="0.2">
      <c r="A13514" s="134">
        <v>46086</v>
      </c>
      <c r="B13514" s="135">
        <f>YEAR(source[[#This Row],[report_date]])</f>
        <v>2026</v>
      </c>
      <c r="C13514" s="128">
        <f t="shared" si="632"/>
        <v>3</v>
      </c>
      <c r="D13514" s="136">
        <f t="shared" si="631"/>
        <v>10</v>
      </c>
      <c r="E13514" s="136">
        <f t="shared" si="633"/>
        <v>5</v>
      </c>
      <c r="F13514" s="137" t="s">
        <v>24</v>
      </c>
      <c r="G13514" s="128" t="str">
        <f>VLOOKUP(source[[#This Row],[lending_product_transform]],[3]Mapping!$B$4:$C$37,2,0)</f>
        <v>[Cake] - Cashloan</v>
      </c>
      <c r="H13514" s="128" t="str">
        <f>VLOOKUP(source[[#This Row],[lending_product_transform]],[3]Mapping!$B$3:$D$37,3,0)</f>
        <v>cashloan</v>
      </c>
      <c r="I13514" s="143">
        <v>68250000</v>
      </c>
    </row>
    <row r="13515" spans="1:9" x14ac:dyDescent="0.2">
      <c r="A13515" s="134">
        <v>46086</v>
      </c>
      <c r="B13515" s="135">
        <f>YEAR(source[[#This Row],[report_date]])</f>
        <v>2026</v>
      </c>
      <c r="C13515" s="128">
        <f t="shared" si="632"/>
        <v>3</v>
      </c>
      <c r="D13515" s="136">
        <f t="shared" si="631"/>
        <v>10</v>
      </c>
      <c r="E13515" s="136">
        <f t="shared" si="633"/>
        <v>5</v>
      </c>
      <c r="F13515" s="137" t="s">
        <v>24</v>
      </c>
      <c r="G13515" s="128" t="str">
        <f>VLOOKUP(source[[#This Row],[lending_product_transform]],[3]Mapping!$B$4:$C$37,2,0)</f>
        <v>[Cake] - Cashloan</v>
      </c>
      <c r="H13515" s="128" t="str">
        <f>VLOOKUP(source[[#This Row],[lending_product_transform]],[3]Mapping!$B$3:$D$37,3,0)</f>
        <v>cashloan</v>
      </c>
      <c r="I13515" s="143">
        <v>74000000</v>
      </c>
    </row>
    <row r="13516" spans="1:9" x14ac:dyDescent="0.2">
      <c r="A13516" s="134">
        <v>46086</v>
      </c>
      <c r="B13516" s="135">
        <f>YEAR(source[[#This Row],[report_date]])</f>
        <v>2026</v>
      </c>
      <c r="C13516" s="128">
        <f t="shared" si="632"/>
        <v>3</v>
      </c>
      <c r="D13516" s="136">
        <f t="shared" si="631"/>
        <v>10</v>
      </c>
      <c r="E13516" s="136">
        <f t="shared" si="633"/>
        <v>5</v>
      </c>
      <c r="F13516" s="137" t="s">
        <v>24</v>
      </c>
      <c r="G13516" s="128" t="str">
        <f>VLOOKUP(source[[#This Row],[lending_product_transform]],[3]Mapping!$B$4:$C$37,2,0)</f>
        <v>[Cake] - Cashloan</v>
      </c>
      <c r="H13516" s="128" t="str">
        <f>VLOOKUP(source[[#This Row],[lending_product_transform]],[3]Mapping!$B$3:$D$37,3,0)</f>
        <v>cashloan</v>
      </c>
      <c r="I13516" s="143">
        <v>883360000</v>
      </c>
    </row>
    <row r="13517" spans="1:9" x14ac:dyDescent="0.2">
      <c r="A13517" s="134">
        <v>46086</v>
      </c>
      <c r="B13517" s="135">
        <f>YEAR(source[[#This Row],[report_date]])</f>
        <v>2026</v>
      </c>
      <c r="C13517" s="128">
        <f t="shared" si="632"/>
        <v>3</v>
      </c>
      <c r="D13517" s="136">
        <f t="shared" si="631"/>
        <v>10</v>
      </c>
      <c r="E13517" s="136">
        <f t="shared" si="633"/>
        <v>5</v>
      </c>
      <c r="F13517" s="137" t="s">
        <v>24</v>
      </c>
      <c r="G13517" s="128" t="str">
        <f>VLOOKUP(source[[#This Row],[lending_product_transform]],[3]Mapping!$B$4:$C$37,2,0)</f>
        <v>[Cake] - Cashloan</v>
      </c>
      <c r="H13517" s="128" t="str">
        <f>VLOOKUP(source[[#This Row],[lending_product_transform]],[3]Mapping!$B$3:$D$37,3,0)</f>
        <v>cashloan</v>
      </c>
      <c r="I13517" s="143">
        <v>348408000</v>
      </c>
    </row>
    <row r="13518" spans="1:9" x14ac:dyDescent="0.2">
      <c r="A13518" s="134">
        <v>46086</v>
      </c>
      <c r="B13518" s="135">
        <f>YEAR(source[[#This Row],[report_date]])</f>
        <v>2026</v>
      </c>
      <c r="C13518" s="128">
        <f t="shared" si="632"/>
        <v>3</v>
      </c>
      <c r="D13518" s="136">
        <f t="shared" si="631"/>
        <v>10</v>
      </c>
      <c r="E13518" s="136">
        <f t="shared" si="633"/>
        <v>5</v>
      </c>
      <c r="F13518" s="137" t="s">
        <v>24</v>
      </c>
      <c r="G13518" s="128" t="str">
        <f>VLOOKUP(source[[#This Row],[lending_product_transform]],[3]Mapping!$B$4:$C$37,2,0)</f>
        <v>[Cake] - Cashloan</v>
      </c>
      <c r="H13518" s="128" t="str">
        <f>VLOOKUP(source[[#This Row],[lending_product_transform]],[3]Mapping!$B$3:$D$37,3,0)</f>
        <v>cashloan</v>
      </c>
      <c r="I13518" s="143">
        <v>993225841</v>
      </c>
    </row>
    <row r="13519" spans="1:9" x14ac:dyDescent="0.2">
      <c r="A13519" s="134">
        <v>46086</v>
      </c>
      <c r="B13519" s="135">
        <f>YEAR(source[[#This Row],[report_date]])</f>
        <v>2026</v>
      </c>
      <c r="C13519" s="128">
        <f t="shared" si="632"/>
        <v>3</v>
      </c>
      <c r="D13519" s="136">
        <f t="shared" si="631"/>
        <v>10</v>
      </c>
      <c r="E13519" s="136">
        <f t="shared" si="633"/>
        <v>5</v>
      </c>
      <c r="F13519" s="137" t="s">
        <v>24</v>
      </c>
      <c r="G13519" s="128" t="str">
        <f>VLOOKUP(source[[#This Row],[lending_product_transform]],[3]Mapping!$B$4:$C$37,2,0)</f>
        <v>[Cake] - Cashloan</v>
      </c>
      <c r="H13519" s="128" t="str">
        <f>VLOOKUP(source[[#This Row],[lending_product_transform]],[3]Mapping!$B$3:$D$37,3,0)</f>
        <v>cashloan</v>
      </c>
      <c r="I13519" s="143">
        <v>2743100000</v>
      </c>
    </row>
    <row r="13520" spans="1:9" x14ac:dyDescent="0.2">
      <c r="A13520" s="134">
        <v>46086</v>
      </c>
      <c r="B13520" s="135">
        <f>YEAR(source[[#This Row],[report_date]])</f>
        <v>2026</v>
      </c>
      <c r="C13520" s="128">
        <f t="shared" si="632"/>
        <v>3</v>
      </c>
      <c r="D13520" s="136">
        <f t="shared" si="631"/>
        <v>10</v>
      </c>
      <c r="E13520" s="136">
        <f t="shared" si="633"/>
        <v>5</v>
      </c>
      <c r="F13520" s="137" t="s">
        <v>24</v>
      </c>
      <c r="G13520" s="128" t="str">
        <f>VLOOKUP(source[[#This Row],[lending_product_transform]],[3]Mapping!$B$4:$C$37,2,0)</f>
        <v>[Cake] - Cashloan</v>
      </c>
      <c r="H13520" s="128" t="str">
        <f>VLOOKUP(source[[#This Row],[lending_product_transform]],[3]Mapping!$B$3:$D$37,3,0)</f>
        <v>cashloan</v>
      </c>
      <c r="I13520" s="143">
        <v>261360000</v>
      </c>
    </row>
    <row r="13521" spans="1:9" x14ac:dyDescent="0.2">
      <c r="A13521" s="134">
        <v>46087</v>
      </c>
      <c r="B13521" s="135">
        <f>YEAR(source[[#This Row],[report_date]])</f>
        <v>2026</v>
      </c>
      <c r="C13521" s="128">
        <f t="shared" si="632"/>
        <v>3</v>
      </c>
      <c r="D13521" s="136">
        <f t="shared" ref="D13521:D13584" si="634">WEEKNUM(A13521,2)</f>
        <v>10</v>
      </c>
      <c r="E13521" s="136">
        <f t="shared" si="633"/>
        <v>6</v>
      </c>
      <c r="F13521" s="137" t="s">
        <v>24</v>
      </c>
      <c r="G13521" s="128" t="str">
        <f>VLOOKUP(source[[#This Row],[lending_product_transform]],[3]Mapping!$B$4:$C$37,2,0)</f>
        <v>[Cake] - Cashloan</v>
      </c>
      <c r="H13521" s="128" t="str">
        <f>VLOOKUP(source[[#This Row],[lending_product_transform]],[3]Mapping!$B$3:$D$37,3,0)</f>
        <v>cashloan</v>
      </c>
      <c r="I13521" s="143">
        <v>1000050000</v>
      </c>
    </row>
    <row r="13522" spans="1:9" x14ac:dyDescent="0.2">
      <c r="A13522" s="134">
        <v>46087</v>
      </c>
      <c r="B13522" s="135">
        <f>YEAR(source[[#This Row],[report_date]])</f>
        <v>2026</v>
      </c>
      <c r="C13522" s="128">
        <f t="shared" si="632"/>
        <v>3</v>
      </c>
      <c r="D13522" s="136">
        <f t="shared" si="634"/>
        <v>10</v>
      </c>
      <c r="E13522" s="136">
        <f t="shared" si="633"/>
        <v>6</v>
      </c>
      <c r="F13522" s="137" t="s">
        <v>24</v>
      </c>
      <c r="G13522" s="128" t="str">
        <f>VLOOKUP(source[[#This Row],[lending_product_transform]],[3]Mapping!$B$4:$C$37,2,0)</f>
        <v>[Cake] - Cashloan</v>
      </c>
      <c r="H13522" s="128" t="str">
        <f>VLOOKUP(source[[#This Row],[lending_product_transform]],[3]Mapping!$B$3:$D$37,3,0)</f>
        <v>cashloan</v>
      </c>
      <c r="I13522" s="143">
        <v>484191458</v>
      </c>
    </row>
    <row r="13523" spans="1:9" x14ac:dyDescent="0.2">
      <c r="A13523" s="134">
        <v>46087</v>
      </c>
      <c r="B13523" s="135">
        <f>YEAR(source[[#This Row],[report_date]])</f>
        <v>2026</v>
      </c>
      <c r="C13523" s="128">
        <f t="shared" si="632"/>
        <v>3</v>
      </c>
      <c r="D13523" s="136">
        <f t="shared" si="634"/>
        <v>10</v>
      </c>
      <c r="E13523" s="136">
        <f t="shared" si="633"/>
        <v>6</v>
      </c>
      <c r="F13523" s="137" t="s">
        <v>24</v>
      </c>
      <c r="G13523" s="128" t="str">
        <f>VLOOKUP(source[[#This Row],[lending_product_transform]],[3]Mapping!$B$4:$C$37,2,0)</f>
        <v>[Cake] - Cashloan</v>
      </c>
      <c r="H13523" s="128" t="str">
        <f>VLOOKUP(source[[#This Row],[lending_product_transform]],[3]Mapping!$B$3:$D$37,3,0)</f>
        <v>cashloan</v>
      </c>
      <c r="I13523" s="143">
        <v>11391310000</v>
      </c>
    </row>
    <row r="13524" spans="1:9" x14ac:dyDescent="0.2">
      <c r="A13524" s="134">
        <v>46087</v>
      </c>
      <c r="B13524" s="135">
        <f>YEAR(source[[#This Row],[report_date]])</f>
        <v>2026</v>
      </c>
      <c r="C13524" s="128">
        <f t="shared" si="632"/>
        <v>3</v>
      </c>
      <c r="D13524" s="136">
        <f t="shared" si="634"/>
        <v>10</v>
      </c>
      <c r="E13524" s="136">
        <f t="shared" si="633"/>
        <v>6</v>
      </c>
      <c r="F13524" s="137" t="s">
        <v>24</v>
      </c>
      <c r="G13524" s="128" t="str">
        <f>VLOOKUP(source[[#This Row],[lending_product_transform]],[3]Mapping!$B$4:$C$37,2,0)</f>
        <v>[Cake] - Cashloan</v>
      </c>
      <c r="H13524" s="128" t="str">
        <f>VLOOKUP(source[[#This Row],[lending_product_transform]],[3]Mapping!$B$3:$D$37,3,0)</f>
        <v>cashloan</v>
      </c>
      <c r="I13524" s="143">
        <v>1857916210</v>
      </c>
    </row>
    <row r="13525" spans="1:9" x14ac:dyDescent="0.2">
      <c r="A13525" s="134">
        <v>46087</v>
      </c>
      <c r="B13525" s="135">
        <f>YEAR(source[[#This Row],[report_date]])</f>
        <v>2026</v>
      </c>
      <c r="C13525" s="128">
        <f t="shared" si="632"/>
        <v>3</v>
      </c>
      <c r="D13525" s="136">
        <f t="shared" si="634"/>
        <v>10</v>
      </c>
      <c r="E13525" s="136">
        <f t="shared" si="633"/>
        <v>6</v>
      </c>
      <c r="F13525" s="137" t="s">
        <v>24</v>
      </c>
      <c r="G13525" s="128" t="str">
        <f>VLOOKUP(source[[#This Row],[lending_product_transform]],[3]Mapping!$B$4:$C$37,2,0)</f>
        <v>[Cake] - Cashloan</v>
      </c>
      <c r="H13525" s="128" t="str">
        <f>VLOOKUP(source[[#This Row],[lending_product_transform]],[3]Mapping!$B$3:$D$37,3,0)</f>
        <v>cashloan</v>
      </c>
      <c r="I13525" s="143">
        <v>14831856000</v>
      </c>
    </row>
    <row r="13526" spans="1:9" x14ac:dyDescent="0.2">
      <c r="A13526" s="134">
        <v>46087</v>
      </c>
      <c r="B13526" s="135">
        <f>YEAR(source[[#This Row],[report_date]])</f>
        <v>2026</v>
      </c>
      <c r="C13526" s="128">
        <f t="shared" si="632"/>
        <v>3</v>
      </c>
      <c r="D13526" s="136">
        <f t="shared" si="634"/>
        <v>10</v>
      </c>
      <c r="E13526" s="136">
        <f t="shared" si="633"/>
        <v>6</v>
      </c>
      <c r="F13526" s="137" t="s">
        <v>24</v>
      </c>
      <c r="G13526" s="128" t="str">
        <f>VLOOKUP(source[[#This Row],[lending_product_transform]],[3]Mapping!$B$4:$C$37,2,0)</f>
        <v>[Cake] - Cashloan</v>
      </c>
      <c r="H13526" s="128" t="str">
        <f>VLOOKUP(source[[#This Row],[lending_product_transform]],[3]Mapping!$B$3:$D$37,3,0)</f>
        <v>cashloan</v>
      </c>
      <c r="I13526" s="143">
        <v>29411088</v>
      </c>
    </row>
    <row r="13527" spans="1:9" x14ac:dyDescent="0.2">
      <c r="A13527" s="134">
        <v>46087</v>
      </c>
      <c r="B13527" s="135">
        <f>YEAR(source[[#This Row],[report_date]])</f>
        <v>2026</v>
      </c>
      <c r="C13527" s="128">
        <f t="shared" si="632"/>
        <v>3</v>
      </c>
      <c r="D13527" s="136">
        <f t="shared" si="634"/>
        <v>10</v>
      </c>
      <c r="E13527" s="136">
        <f t="shared" si="633"/>
        <v>6</v>
      </c>
      <c r="F13527" s="137" t="s">
        <v>24</v>
      </c>
      <c r="G13527" s="128" t="str">
        <f>VLOOKUP(source[[#This Row],[lending_product_transform]],[3]Mapping!$B$4:$C$37,2,0)</f>
        <v>[Cake] - Cashloan</v>
      </c>
      <c r="H13527" s="128" t="str">
        <f>VLOOKUP(source[[#This Row],[lending_product_transform]],[3]Mapping!$B$3:$D$37,3,0)</f>
        <v>cashloan</v>
      </c>
      <c r="I13527" s="143">
        <v>0</v>
      </c>
    </row>
    <row r="13528" spans="1:9" x14ac:dyDescent="0.2">
      <c r="A13528" s="134">
        <v>46087</v>
      </c>
      <c r="B13528" s="135">
        <f>YEAR(source[[#This Row],[report_date]])</f>
        <v>2026</v>
      </c>
      <c r="C13528" s="128">
        <f t="shared" si="632"/>
        <v>3</v>
      </c>
      <c r="D13528" s="136">
        <f t="shared" si="634"/>
        <v>10</v>
      </c>
      <c r="E13528" s="136">
        <f t="shared" si="633"/>
        <v>6</v>
      </c>
      <c r="F13528" s="137" t="s">
        <v>24</v>
      </c>
      <c r="G13528" s="128" t="str">
        <f>VLOOKUP(source[[#This Row],[lending_product_transform]],[3]Mapping!$B$4:$C$37,2,0)</f>
        <v>[Cake] - Cashloan</v>
      </c>
      <c r="H13528" s="128" t="str">
        <f>VLOOKUP(source[[#This Row],[lending_product_transform]],[3]Mapping!$B$3:$D$37,3,0)</f>
        <v>cashloan</v>
      </c>
      <c r="I13528" s="143">
        <v>2278440000</v>
      </c>
    </row>
    <row r="13529" spans="1:9" x14ac:dyDescent="0.2">
      <c r="A13529" s="134">
        <v>46087</v>
      </c>
      <c r="B13529" s="135">
        <f>YEAR(source[[#This Row],[report_date]])</f>
        <v>2026</v>
      </c>
      <c r="C13529" s="128">
        <f t="shared" si="632"/>
        <v>3</v>
      </c>
      <c r="D13529" s="136">
        <f t="shared" si="634"/>
        <v>10</v>
      </c>
      <c r="E13529" s="136">
        <f t="shared" si="633"/>
        <v>6</v>
      </c>
      <c r="F13529" s="137" t="s">
        <v>24</v>
      </c>
      <c r="G13529" s="128" t="str">
        <f>VLOOKUP(source[[#This Row],[lending_product_transform]],[3]Mapping!$B$4:$C$37,2,0)</f>
        <v>[Cake] - Cashloan</v>
      </c>
      <c r="H13529" s="128" t="str">
        <f>VLOOKUP(source[[#This Row],[lending_product_transform]],[3]Mapping!$B$3:$D$37,3,0)</f>
        <v>cashloan</v>
      </c>
      <c r="I13529" s="143">
        <v>1169890000</v>
      </c>
    </row>
    <row r="13530" spans="1:9" x14ac:dyDescent="0.2">
      <c r="A13530" s="134">
        <v>46087</v>
      </c>
      <c r="B13530" s="135">
        <f>YEAR(source[[#This Row],[report_date]])</f>
        <v>2026</v>
      </c>
      <c r="C13530" s="128">
        <f t="shared" si="632"/>
        <v>3</v>
      </c>
      <c r="D13530" s="136">
        <f t="shared" si="634"/>
        <v>10</v>
      </c>
      <c r="E13530" s="136">
        <f t="shared" si="633"/>
        <v>6</v>
      </c>
      <c r="F13530" s="137" t="s">
        <v>24</v>
      </c>
      <c r="G13530" s="128" t="str">
        <f>VLOOKUP(source[[#This Row],[lending_product_transform]],[3]Mapping!$B$4:$C$37,2,0)</f>
        <v>[Cake] - Cashloan</v>
      </c>
      <c r="H13530" s="128" t="str">
        <f>VLOOKUP(source[[#This Row],[lending_product_transform]],[3]Mapping!$B$3:$D$37,3,0)</f>
        <v>cashloan</v>
      </c>
      <c r="I13530" s="143">
        <v>33571315</v>
      </c>
    </row>
    <row r="13531" spans="1:9" x14ac:dyDescent="0.2">
      <c r="A13531" s="134">
        <v>46087</v>
      </c>
      <c r="B13531" s="135">
        <f>YEAR(source[[#This Row],[report_date]])</f>
        <v>2026</v>
      </c>
      <c r="C13531" s="128">
        <f t="shared" si="632"/>
        <v>3</v>
      </c>
      <c r="D13531" s="136">
        <f t="shared" si="634"/>
        <v>10</v>
      </c>
      <c r="E13531" s="136">
        <f t="shared" si="633"/>
        <v>6</v>
      </c>
      <c r="F13531" s="137" t="s">
        <v>24</v>
      </c>
      <c r="G13531" s="128" t="str">
        <f>VLOOKUP(source[[#This Row],[lending_product_transform]],[3]Mapping!$B$4:$C$37,2,0)</f>
        <v>[Cake] - Cashloan</v>
      </c>
      <c r="H13531" s="128" t="str">
        <f>VLOOKUP(source[[#This Row],[lending_product_transform]],[3]Mapping!$B$3:$D$37,3,0)</f>
        <v>cashloan</v>
      </c>
      <c r="I13531" s="143">
        <v>1561772550</v>
      </c>
    </row>
    <row r="13532" spans="1:9" x14ac:dyDescent="0.2">
      <c r="A13532" s="134">
        <v>46087</v>
      </c>
      <c r="B13532" s="135">
        <f>YEAR(source[[#This Row],[report_date]])</f>
        <v>2026</v>
      </c>
      <c r="C13532" s="128">
        <f t="shared" si="632"/>
        <v>3</v>
      </c>
      <c r="D13532" s="136">
        <f t="shared" si="634"/>
        <v>10</v>
      </c>
      <c r="E13532" s="136">
        <f t="shared" si="633"/>
        <v>6</v>
      </c>
      <c r="F13532" s="137" t="s">
        <v>24</v>
      </c>
      <c r="G13532" s="128" t="str">
        <f>VLOOKUP(source[[#This Row],[lending_product_transform]],[3]Mapping!$B$4:$C$37,2,0)</f>
        <v>[Cake] - Cashloan</v>
      </c>
      <c r="H13532" s="128" t="str">
        <f>VLOOKUP(source[[#This Row],[lending_product_transform]],[3]Mapping!$B$3:$D$37,3,0)</f>
        <v>cashloan</v>
      </c>
      <c r="I13532" s="143">
        <v>0</v>
      </c>
    </row>
    <row r="13533" spans="1:9" x14ac:dyDescent="0.2">
      <c r="A13533" s="134">
        <v>46087</v>
      </c>
      <c r="B13533" s="135">
        <f>YEAR(source[[#This Row],[report_date]])</f>
        <v>2026</v>
      </c>
      <c r="C13533" s="128">
        <f t="shared" si="632"/>
        <v>3</v>
      </c>
      <c r="D13533" s="136">
        <f t="shared" si="634"/>
        <v>10</v>
      </c>
      <c r="E13533" s="136">
        <f t="shared" si="633"/>
        <v>6</v>
      </c>
      <c r="F13533" s="137" t="s">
        <v>24</v>
      </c>
      <c r="G13533" s="128" t="str">
        <f>VLOOKUP(source[[#This Row],[lending_product_transform]],[3]Mapping!$B$4:$C$37,2,0)</f>
        <v>[Cake] - Cashloan</v>
      </c>
      <c r="H13533" s="128" t="str">
        <f>VLOOKUP(source[[#This Row],[lending_product_transform]],[3]Mapping!$B$3:$D$37,3,0)</f>
        <v>cashloan</v>
      </c>
      <c r="I13533" s="143">
        <v>81900000</v>
      </c>
    </row>
    <row r="13534" spans="1:9" x14ac:dyDescent="0.2">
      <c r="A13534" s="134">
        <v>46087</v>
      </c>
      <c r="B13534" s="135">
        <f>YEAR(source[[#This Row],[report_date]])</f>
        <v>2026</v>
      </c>
      <c r="C13534" s="128">
        <f t="shared" si="632"/>
        <v>3</v>
      </c>
      <c r="D13534" s="136">
        <f t="shared" si="634"/>
        <v>10</v>
      </c>
      <c r="E13534" s="136">
        <f t="shared" si="633"/>
        <v>6</v>
      </c>
      <c r="F13534" s="137" t="s">
        <v>24</v>
      </c>
      <c r="G13534" s="128" t="str">
        <f>VLOOKUP(source[[#This Row],[lending_product_transform]],[3]Mapping!$B$4:$C$37,2,0)</f>
        <v>[Cake] - Cashloan</v>
      </c>
      <c r="H13534" s="128" t="str">
        <f>VLOOKUP(source[[#This Row],[lending_product_transform]],[3]Mapping!$B$3:$D$37,3,0)</f>
        <v>cashloan</v>
      </c>
      <c r="I13534" s="143">
        <v>101000000</v>
      </c>
    </row>
    <row r="13535" spans="1:9" x14ac:dyDescent="0.2">
      <c r="A13535" s="134">
        <v>46087</v>
      </c>
      <c r="B13535" s="135">
        <f>YEAR(source[[#This Row],[report_date]])</f>
        <v>2026</v>
      </c>
      <c r="C13535" s="128">
        <f t="shared" si="632"/>
        <v>3</v>
      </c>
      <c r="D13535" s="136">
        <f t="shared" si="634"/>
        <v>10</v>
      </c>
      <c r="E13535" s="136">
        <f t="shared" si="633"/>
        <v>6</v>
      </c>
      <c r="F13535" s="137" t="s">
        <v>24</v>
      </c>
      <c r="G13535" s="128" t="str">
        <f>VLOOKUP(source[[#This Row],[lending_product_transform]],[3]Mapping!$B$4:$C$37,2,0)</f>
        <v>[Cake] - Cashloan</v>
      </c>
      <c r="H13535" s="128" t="str">
        <f>VLOOKUP(source[[#This Row],[lending_product_transform]],[3]Mapping!$B$3:$D$37,3,0)</f>
        <v>cashloan</v>
      </c>
      <c r="I13535" s="143">
        <v>15035160000</v>
      </c>
    </row>
    <row r="13536" spans="1:9" x14ac:dyDescent="0.2">
      <c r="A13536" s="134">
        <v>46087</v>
      </c>
      <c r="B13536" s="135">
        <f>YEAR(source[[#This Row],[report_date]])</f>
        <v>2026</v>
      </c>
      <c r="C13536" s="128">
        <f t="shared" si="632"/>
        <v>3</v>
      </c>
      <c r="D13536" s="136">
        <f t="shared" si="634"/>
        <v>10</v>
      </c>
      <c r="E13536" s="136">
        <f t="shared" si="633"/>
        <v>6</v>
      </c>
      <c r="F13536" s="137" t="s">
        <v>24</v>
      </c>
      <c r="G13536" s="128" t="str">
        <f>VLOOKUP(source[[#This Row],[lending_product_transform]],[3]Mapping!$B$4:$C$37,2,0)</f>
        <v>[Cake] - Cashloan</v>
      </c>
      <c r="H13536" s="128" t="str">
        <f>VLOOKUP(source[[#This Row],[lending_product_transform]],[3]Mapping!$B$3:$D$37,3,0)</f>
        <v>cashloan</v>
      </c>
      <c r="I13536" s="143">
        <v>0</v>
      </c>
    </row>
    <row r="13537" spans="1:9" x14ac:dyDescent="0.2">
      <c r="A13537" s="134">
        <v>46087</v>
      </c>
      <c r="B13537" s="135">
        <f>YEAR(source[[#This Row],[report_date]])</f>
        <v>2026</v>
      </c>
      <c r="C13537" s="128">
        <f t="shared" si="632"/>
        <v>3</v>
      </c>
      <c r="D13537" s="136">
        <f t="shared" si="634"/>
        <v>10</v>
      </c>
      <c r="E13537" s="136">
        <f t="shared" si="633"/>
        <v>6</v>
      </c>
      <c r="F13537" s="137" t="s">
        <v>24</v>
      </c>
      <c r="G13537" s="128" t="str">
        <f>VLOOKUP(source[[#This Row],[lending_product_transform]],[3]Mapping!$B$4:$C$37,2,0)</f>
        <v>[Cake] - Cashloan</v>
      </c>
      <c r="H13537" s="128" t="str">
        <f>VLOOKUP(source[[#This Row],[lending_product_transform]],[3]Mapping!$B$3:$D$37,3,0)</f>
        <v>cashloan</v>
      </c>
      <c r="I13537" s="143">
        <v>0</v>
      </c>
    </row>
    <row r="13538" spans="1:9" x14ac:dyDescent="0.2">
      <c r="A13538" s="134">
        <v>46087</v>
      </c>
      <c r="B13538" s="135">
        <f>YEAR(source[[#This Row],[report_date]])</f>
        <v>2026</v>
      </c>
      <c r="C13538" s="128">
        <f t="shared" si="632"/>
        <v>3</v>
      </c>
      <c r="D13538" s="136">
        <f t="shared" si="634"/>
        <v>10</v>
      </c>
      <c r="E13538" s="136">
        <f t="shared" si="633"/>
        <v>6</v>
      </c>
      <c r="F13538" s="137" t="s">
        <v>24</v>
      </c>
      <c r="G13538" s="128" t="str">
        <f>VLOOKUP(source[[#This Row],[lending_product_transform]],[3]Mapping!$B$4:$C$37,2,0)</f>
        <v>[Cake] - Cashloan</v>
      </c>
      <c r="H13538" s="128" t="str">
        <f>VLOOKUP(source[[#This Row],[lending_product_transform]],[3]Mapping!$B$3:$D$37,3,0)</f>
        <v>cashloan</v>
      </c>
      <c r="I13538" s="143">
        <v>0</v>
      </c>
    </row>
    <row r="13539" spans="1:9" x14ac:dyDescent="0.2">
      <c r="A13539" s="134">
        <v>46087</v>
      </c>
      <c r="B13539" s="135">
        <f>YEAR(source[[#This Row],[report_date]])</f>
        <v>2026</v>
      </c>
      <c r="C13539" s="128">
        <f t="shared" si="632"/>
        <v>3</v>
      </c>
      <c r="D13539" s="136">
        <f t="shared" si="634"/>
        <v>10</v>
      </c>
      <c r="E13539" s="136">
        <f t="shared" si="633"/>
        <v>6</v>
      </c>
      <c r="F13539" s="137" t="s">
        <v>24</v>
      </c>
      <c r="G13539" s="128" t="str">
        <f>VLOOKUP(source[[#This Row],[lending_product_transform]],[3]Mapping!$B$4:$C$37,2,0)</f>
        <v>[Cake] - Cashloan</v>
      </c>
      <c r="H13539" s="128" t="str">
        <f>VLOOKUP(source[[#This Row],[lending_product_transform]],[3]Mapping!$B$3:$D$37,3,0)</f>
        <v>cashloan</v>
      </c>
      <c r="I13539" s="143">
        <v>12000000</v>
      </c>
    </row>
    <row r="13540" spans="1:9" x14ac:dyDescent="0.2">
      <c r="A13540" s="134">
        <v>46087</v>
      </c>
      <c r="B13540" s="135">
        <f>YEAR(source[[#This Row],[report_date]])</f>
        <v>2026</v>
      </c>
      <c r="C13540" s="128">
        <f t="shared" si="632"/>
        <v>3</v>
      </c>
      <c r="D13540" s="136">
        <f t="shared" si="634"/>
        <v>10</v>
      </c>
      <c r="E13540" s="136">
        <f t="shared" si="633"/>
        <v>6</v>
      </c>
      <c r="F13540" s="137" t="s">
        <v>24</v>
      </c>
      <c r="G13540" s="128" t="str">
        <f>VLOOKUP(source[[#This Row],[lending_product_transform]],[3]Mapping!$B$4:$C$37,2,0)</f>
        <v>[Cake] - Cashloan</v>
      </c>
      <c r="H13540" s="128" t="str">
        <f>VLOOKUP(source[[#This Row],[lending_product_transform]],[3]Mapping!$B$3:$D$37,3,0)</f>
        <v>cashloan</v>
      </c>
      <c r="I13540" s="143">
        <v>12088980000</v>
      </c>
    </row>
    <row r="13541" spans="1:9" x14ac:dyDescent="0.2">
      <c r="A13541" s="134">
        <v>46087</v>
      </c>
      <c r="B13541" s="135">
        <f>YEAR(source[[#This Row],[report_date]])</f>
        <v>2026</v>
      </c>
      <c r="C13541" s="128">
        <f t="shared" si="632"/>
        <v>3</v>
      </c>
      <c r="D13541" s="136">
        <f t="shared" si="634"/>
        <v>10</v>
      </c>
      <c r="E13541" s="136">
        <f t="shared" si="633"/>
        <v>6</v>
      </c>
      <c r="F13541" s="137" t="s">
        <v>24</v>
      </c>
      <c r="G13541" s="128" t="str">
        <f>VLOOKUP(source[[#This Row],[lending_product_transform]],[3]Mapping!$B$4:$C$37,2,0)</f>
        <v>[Cake] - Cashloan</v>
      </c>
      <c r="H13541" s="128" t="str">
        <f>VLOOKUP(source[[#This Row],[lending_product_transform]],[3]Mapping!$B$3:$D$37,3,0)</f>
        <v>cashloan</v>
      </c>
      <c r="I13541" s="143">
        <v>378004341</v>
      </c>
    </row>
    <row r="13542" spans="1:9" x14ac:dyDescent="0.2">
      <c r="A13542" s="134">
        <v>46087</v>
      </c>
      <c r="B13542" s="135">
        <f>YEAR(source[[#This Row],[report_date]])</f>
        <v>2026</v>
      </c>
      <c r="C13542" s="128">
        <f t="shared" si="632"/>
        <v>3</v>
      </c>
      <c r="D13542" s="136">
        <f t="shared" si="634"/>
        <v>10</v>
      </c>
      <c r="E13542" s="136">
        <f t="shared" si="633"/>
        <v>6</v>
      </c>
      <c r="F13542" s="137" t="s">
        <v>24</v>
      </c>
      <c r="G13542" s="128" t="str">
        <f>VLOOKUP(source[[#This Row],[lending_product_transform]],[3]Mapping!$B$4:$C$37,2,0)</f>
        <v>[Cake] - Cashloan</v>
      </c>
      <c r="H13542" s="128" t="str">
        <f>VLOOKUP(source[[#This Row],[lending_product_transform]],[3]Mapping!$B$3:$D$37,3,0)</f>
        <v>cashloan</v>
      </c>
      <c r="I13542" s="143">
        <v>57750000</v>
      </c>
    </row>
    <row r="13543" spans="1:9" x14ac:dyDescent="0.2">
      <c r="A13543" s="134">
        <v>46087</v>
      </c>
      <c r="B13543" s="135">
        <f>YEAR(source[[#This Row],[report_date]])</f>
        <v>2026</v>
      </c>
      <c r="C13543" s="128">
        <f t="shared" si="632"/>
        <v>3</v>
      </c>
      <c r="D13543" s="136">
        <f t="shared" si="634"/>
        <v>10</v>
      </c>
      <c r="E13543" s="136">
        <f t="shared" si="633"/>
        <v>6</v>
      </c>
      <c r="F13543" s="137" t="s">
        <v>24</v>
      </c>
      <c r="G13543" s="128" t="str">
        <f>VLOOKUP(source[[#This Row],[lending_product_transform]],[3]Mapping!$B$4:$C$37,2,0)</f>
        <v>[Cake] - Cashloan</v>
      </c>
      <c r="H13543" s="128" t="str">
        <f>VLOOKUP(source[[#This Row],[lending_product_transform]],[3]Mapping!$B$3:$D$37,3,0)</f>
        <v>cashloan</v>
      </c>
      <c r="I13543" s="143">
        <v>59000000</v>
      </c>
    </row>
    <row r="13544" spans="1:9" x14ac:dyDescent="0.2">
      <c r="A13544" s="134">
        <v>46087</v>
      </c>
      <c r="B13544" s="135">
        <f>YEAR(source[[#This Row],[report_date]])</f>
        <v>2026</v>
      </c>
      <c r="C13544" s="128">
        <f t="shared" si="632"/>
        <v>3</v>
      </c>
      <c r="D13544" s="136">
        <f t="shared" si="634"/>
        <v>10</v>
      </c>
      <c r="E13544" s="136">
        <f t="shared" si="633"/>
        <v>6</v>
      </c>
      <c r="F13544" s="137" t="s">
        <v>24</v>
      </c>
      <c r="G13544" s="128" t="str">
        <f>VLOOKUP(source[[#This Row],[lending_product_transform]],[3]Mapping!$B$4:$C$37,2,0)</f>
        <v>[Cake] - Cashloan</v>
      </c>
      <c r="H13544" s="128" t="str">
        <f>VLOOKUP(source[[#This Row],[lending_product_transform]],[3]Mapping!$B$3:$D$37,3,0)</f>
        <v>cashloan</v>
      </c>
      <c r="I13544" s="143">
        <v>624590000</v>
      </c>
    </row>
    <row r="13545" spans="1:9" x14ac:dyDescent="0.2">
      <c r="A13545" s="134">
        <v>46087</v>
      </c>
      <c r="B13545" s="135">
        <f>YEAR(source[[#This Row],[report_date]])</f>
        <v>2026</v>
      </c>
      <c r="C13545" s="128">
        <f t="shared" si="632"/>
        <v>3</v>
      </c>
      <c r="D13545" s="136">
        <f t="shared" si="634"/>
        <v>10</v>
      </c>
      <c r="E13545" s="136">
        <f t="shared" si="633"/>
        <v>6</v>
      </c>
      <c r="F13545" s="137" t="s">
        <v>24</v>
      </c>
      <c r="G13545" s="128" t="str">
        <f>VLOOKUP(source[[#This Row],[lending_product_transform]],[3]Mapping!$B$4:$C$37,2,0)</f>
        <v>[Cake] - Cashloan</v>
      </c>
      <c r="H13545" s="128" t="str">
        <f>VLOOKUP(source[[#This Row],[lending_product_transform]],[3]Mapping!$B$3:$D$37,3,0)</f>
        <v>cashloan</v>
      </c>
      <c r="I13545" s="143">
        <v>353268000</v>
      </c>
    </row>
    <row r="13546" spans="1:9" x14ac:dyDescent="0.2">
      <c r="A13546" s="134">
        <v>46087</v>
      </c>
      <c r="B13546" s="135">
        <f>YEAR(source[[#This Row],[report_date]])</f>
        <v>2026</v>
      </c>
      <c r="C13546" s="128">
        <f t="shared" si="632"/>
        <v>3</v>
      </c>
      <c r="D13546" s="136">
        <f t="shared" si="634"/>
        <v>10</v>
      </c>
      <c r="E13546" s="136">
        <f t="shared" si="633"/>
        <v>6</v>
      </c>
      <c r="F13546" s="137" t="s">
        <v>24</v>
      </c>
      <c r="G13546" s="128" t="str">
        <f>VLOOKUP(source[[#This Row],[lending_product_transform]],[3]Mapping!$B$4:$C$37,2,0)</f>
        <v>[Cake] - Cashloan</v>
      </c>
      <c r="H13546" s="128" t="str">
        <f>VLOOKUP(source[[#This Row],[lending_product_transform]],[3]Mapping!$B$3:$D$37,3,0)</f>
        <v>cashloan</v>
      </c>
      <c r="I13546" s="143">
        <v>961434278</v>
      </c>
    </row>
    <row r="13547" spans="1:9" x14ac:dyDescent="0.2">
      <c r="A13547" s="134">
        <v>46087</v>
      </c>
      <c r="B13547" s="135">
        <f>YEAR(source[[#This Row],[report_date]])</f>
        <v>2026</v>
      </c>
      <c r="C13547" s="128">
        <f t="shared" si="632"/>
        <v>3</v>
      </c>
      <c r="D13547" s="136">
        <f t="shared" si="634"/>
        <v>10</v>
      </c>
      <c r="E13547" s="136">
        <f t="shared" si="633"/>
        <v>6</v>
      </c>
      <c r="F13547" s="137" t="s">
        <v>24</v>
      </c>
      <c r="G13547" s="128" t="str">
        <f>VLOOKUP(source[[#This Row],[lending_product_transform]],[3]Mapping!$B$4:$C$37,2,0)</f>
        <v>[Cake] - Cashloan</v>
      </c>
      <c r="H13547" s="128" t="str">
        <f>VLOOKUP(source[[#This Row],[lending_product_transform]],[3]Mapping!$B$3:$D$37,3,0)</f>
        <v>cashloan</v>
      </c>
      <c r="I13547" s="143">
        <v>2978810000</v>
      </c>
    </row>
    <row r="13548" spans="1:9" x14ac:dyDescent="0.2">
      <c r="A13548" s="134">
        <v>46087</v>
      </c>
      <c r="B13548" s="135">
        <f>YEAR(source[[#This Row],[report_date]])</f>
        <v>2026</v>
      </c>
      <c r="C13548" s="128">
        <f t="shared" si="632"/>
        <v>3</v>
      </c>
      <c r="D13548" s="136">
        <f t="shared" si="634"/>
        <v>10</v>
      </c>
      <c r="E13548" s="136">
        <f t="shared" si="633"/>
        <v>6</v>
      </c>
      <c r="F13548" s="137" t="s">
        <v>24</v>
      </c>
      <c r="G13548" s="128" t="str">
        <f>VLOOKUP(source[[#This Row],[lending_product_transform]],[3]Mapping!$B$4:$C$37,2,0)</f>
        <v>[Cake] - Cashloan</v>
      </c>
      <c r="H13548" s="128" t="str">
        <f>VLOOKUP(source[[#This Row],[lending_product_transform]],[3]Mapping!$B$3:$D$37,3,0)</f>
        <v>cashloan</v>
      </c>
      <c r="I13548" s="143">
        <v>306720000</v>
      </c>
    </row>
    <row r="13549" spans="1:9" x14ac:dyDescent="0.2">
      <c r="A13549" s="134">
        <v>46088</v>
      </c>
      <c r="B13549" s="135">
        <f>YEAR(source[[#This Row],[report_date]])</f>
        <v>2026</v>
      </c>
      <c r="C13549" s="128">
        <f t="shared" si="632"/>
        <v>3</v>
      </c>
      <c r="D13549" s="136">
        <f t="shared" si="634"/>
        <v>10</v>
      </c>
      <c r="E13549" s="136">
        <f t="shared" si="633"/>
        <v>7</v>
      </c>
      <c r="F13549" s="137" t="s">
        <v>24</v>
      </c>
      <c r="G13549" s="128" t="str">
        <f>VLOOKUP(source[[#This Row],[lending_product_transform]],[3]Mapping!$B$4:$C$37,2,0)</f>
        <v>[Cake] - Cashloan</v>
      </c>
      <c r="H13549" s="128" t="str">
        <f>VLOOKUP(source[[#This Row],[lending_product_transform]],[3]Mapping!$B$3:$D$37,3,0)</f>
        <v>cashloan</v>
      </c>
      <c r="I13549" s="143">
        <v>799000000</v>
      </c>
    </row>
    <row r="13550" spans="1:9" x14ac:dyDescent="0.2">
      <c r="A13550" s="134">
        <v>46088</v>
      </c>
      <c r="B13550" s="135">
        <f>YEAR(source[[#This Row],[report_date]])</f>
        <v>2026</v>
      </c>
      <c r="C13550" s="128">
        <f t="shared" si="632"/>
        <v>3</v>
      </c>
      <c r="D13550" s="136">
        <f t="shared" si="634"/>
        <v>10</v>
      </c>
      <c r="E13550" s="136">
        <f t="shared" si="633"/>
        <v>7</v>
      </c>
      <c r="F13550" s="137" t="s">
        <v>24</v>
      </c>
      <c r="G13550" s="128" t="str">
        <f>VLOOKUP(source[[#This Row],[lending_product_transform]],[3]Mapping!$B$4:$C$37,2,0)</f>
        <v>[Cake] - Cashloan</v>
      </c>
      <c r="H13550" s="128" t="str">
        <f>VLOOKUP(source[[#This Row],[lending_product_transform]],[3]Mapping!$B$3:$D$37,3,0)</f>
        <v>cashloan</v>
      </c>
      <c r="I13550" s="143">
        <v>553260146</v>
      </c>
    </row>
    <row r="13551" spans="1:9" x14ac:dyDescent="0.2">
      <c r="A13551" s="134">
        <v>46088</v>
      </c>
      <c r="B13551" s="135">
        <f>YEAR(source[[#This Row],[report_date]])</f>
        <v>2026</v>
      </c>
      <c r="C13551" s="128">
        <f t="shared" si="632"/>
        <v>3</v>
      </c>
      <c r="D13551" s="136">
        <f t="shared" si="634"/>
        <v>10</v>
      </c>
      <c r="E13551" s="136">
        <f t="shared" si="633"/>
        <v>7</v>
      </c>
      <c r="F13551" s="137" t="s">
        <v>24</v>
      </c>
      <c r="G13551" s="128" t="str">
        <f>VLOOKUP(source[[#This Row],[lending_product_transform]],[3]Mapping!$B$4:$C$37,2,0)</f>
        <v>[Cake] - Cashloan</v>
      </c>
      <c r="H13551" s="128" t="str">
        <f>VLOOKUP(source[[#This Row],[lending_product_transform]],[3]Mapping!$B$3:$D$37,3,0)</f>
        <v>cashloan</v>
      </c>
      <c r="I13551" s="143">
        <v>9829120000</v>
      </c>
    </row>
    <row r="13552" spans="1:9" x14ac:dyDescent="0.2">
      <c r="A13552" s="134">
        <v>46088</v>
      </c>
      <c r="B13552" s="135">
        <f>YEAR(source[[#This Row],[report_date]])</f>
        <v>2026</v>
      </c>
      <c r="C13552" s="128">
        <f t="shared" si="632"/>
        <v>3</v>
      </c>
      <c r="D13552" s="136">
        <f t="shared" si="634"/>
        <v>10</v>
      </c>
      <c r="E13552" s="136">
        <f t="shared" si="633"/>
        <v>7</v>
      </c>
      <c r="F13552" s="137" t="s">
        <v>24</v>
      </c>
      <c r="G13552" s="128" t="str">
        <f>VLOOKUP(source[[#This Row],[lending_product_transform]],[3]Mapping!$B$4:$C$37,2,0)</f>
        <v>[Cake] - Cashloan</v>
      </c>
      <c r="H13552" s="128" t="str">
        <f>VLOOKUP(source[[#This Row],[lending_product_transform]],[3]Mapping!$B$3:$D$37,3,0)</f>
        <v>cashloan</v>
      </c>
      <c r="I13552" s="143">
        <v>1599889408</v>
      </c>
    </row>
    <row r="13553" spans="1:9" x14ac:dyDescent="0.2">
      <c r="A13553" s="134">
        <v>46088</v>
      </c>
      <c r="B13553" s="135">
        <f>YEAR(source[[#This Row],[report_date]])</f>
        <v>2026</v>
      </c>
      <c r="C13553" s="128">
        <f t="shared" si="632"/>
        <v>3</v>
      </c>
      <c r="D13553" s="136">
        <f t="shared" si="634"/>
        <v>10</v>
      </c>
      <c r="E13553" s="136">
        <f t="shared" si="633"/>
        <v>7</v>
      </c>
      <c r="F13553" s="137" t="s">
        <v>24</v>
      </c>
      <c r="G13553" s="128" t="str">
        <f>VLOOKUP(source[[#This Row],[lending_product_transform]],[3]Mapping!$B$4:$C$37,2,0)</f>
        <v>[Cake] - Cashloan</v>
      </c>
      <c r="H13553" s="128" t="str">
        <f>VLOOKUP(source[[#This Row],[lending_product_transform]],[3]Mapping!$B$3:$D$37,3,0)</f>
        <v>cashloan</v>
      </c>
      <c r="I13553" s="143">
        <v>13104612000</v>
      </c>
    </row>
    <row r="13554" spans="1:9" x14ac:dyDescent="0.2">
      <c r="A13554" s="134">
        <v>46088</v>
      </c>
      <c r="B13554" s="135">
        <f>YEAR(source[[#This Row],[report_date]])</f>
        <v>2026</v>
      </c>
      <c r="C13554" s="128">
        <f t="shared" si="632"/>
        <v>3</v>
      </c>
      <c r="D13554" s="136">
        <f t="shared" si="634"/>
        <v>10</v>
      </c>
      <c r="E13554" s="136">
        <f t="shared" si="633"/>
        <v>7</v>
      </c>
      <c r="F13554" s="137" t="s">
        <v>24</v>
      </c>
      <c r="G13554" s="128" t="str">
        <f>VLOOKUP(source[[#This Row],[lending_product_transform]],[3]Mapping!$B$4:$C$37,2,0)</f>
        <v>[Cake] - Cashloan</v>
      </c>
      <c r="H13554" s="128" t="str">
        <f>VLOOKUP(source[[#This Row],[lending_product_transform]],[3]Mapping!$B$3:$D$37,3,0)</f>
        <v>cashloan</v>
      </c>
      <c r="I13554" s="143">
        <v>32345164</v>
      </c>
    </row>
    <row r="13555" spans="1:9" x14ac:dyDescent="0.2">
      <c r="A13555" s="134">
        <v>46088</v>
      </c>
      <c r="B13555" s="135">
        <f>YEAR(source[[#This Row],[report_date]])</f>
        <v>2026</v>
      </c>
      <c r="C13555" s="128">
        <f t="shared" si="632"/>
        <v>3</v>
      </c>
      <c r="D13555" s="136">
        <f t="shared" si="634"/>
        <v>10</v>
      </c>
      <c r="E13555" s="136">
        <f t="shared" si="633"/>
        <v>7</v>
      </c>
      <c r="F13555" s="137" t="s">
        <v>24</v>
      </c>
      <c r="G13555" s="128" t="str">
        <f>VLOOKUP(source[[#This Row],[lending_product_transform]],[3]Mapping!$B$4:$C$37,2,0)</f>
        <v>[Cake] - Cashloan</v>
      </c>
      <c r="H13555" s="128" t="str">
        <f>VLOOKUP(source[[#This Row],[lending_product_transform]],[3]Mapping!$B$3:$D$37,3,0)</f>
        <v>cashloan</v>
      </c>
      <c r="I13555" s="143">
        <v>0</v>
      </c>
    </row>
    <row r="13556" spans="1:9" x14ac:dyDescent="0.2">
      <c r="A13556" s="134">
        <v>46088</v>
      </c>
      <c r="B13556" s="135">
        <f>YEAR(source[[#This Row],[report_date]])</f>
        <v>2026</v>
      </c>
      <c r="C13556" s="128">
        <f t="shared" si="632"/>
        <v>3</v>
      </c>
      <c r="D13556" s="136">
        <f t="shared" si="634"/>
        <v>10</v>
      </c>
      <c r="E13556" s="136">
        <f t="shared" si="633"/>
        <v>7</v>
      </c>
      <c r="F13556" s="137" t="s">
        <v>24</v>
      </c>
      <c r="G13556" s="128" t="str">
        <f>VLOOKUP(source[[#This Row],[lending_product_transform]],[3]Mapping!$B$4:$C$37,2,0)</f>
        <v>[Cake] - Cashloan</v>
      </c>
      <c r="H13556" s="128" t="str">
        <f>VLOOKUP(source[[#This Row],[lending_product_transform]],[3]Mapping!$B$3:$D$37,3,0)</f>
        <v>cashloan</v>
      </c>
      <c r="I13556" s="143">
        <v>2326180000</v>
      </c>
    </row>
    <row r="13557" spans="1:9" x14ac:dyDescent="0.2">
      <c r="A13557" s="134">
        <v>46088</v>
      </c>
      <c r="B13557" s="135">
        <f>YEAR(source[[#This Row],[report_date]])</f>
        <v>2026</v>
      </c>
      <c r="C13557" s="128">
        <f t="shared" si="632"/>
        <v>3</v>
      </c>
      <c r="D13557" s="136">
        <f t="shared" si="634"/>
        <v>10</v>
      </c>
      <c r="E13557" s="136">
        <f t="shared" si="633"/>
        <v>7</v>
      </c>
      <c r="F13557" s="137" t="s">
        <v>24</v>
      </c>
      <c r="G13557" s="128" t="str">
        <f>VLOOKUP(source[[#This Row],[lending_product_transform]],[3]Mapping!$B$4:$C$37,2,0)</f>
        <v>[Cake] - Cashloan</v>
      </c>
      <c r="H13557" s="128" t="str">
        <f>VLOOKUP(source[[#This Row],[lending_product_transform]],[3]Mapping!$B$3:$D$37,3,0)</f>
        <v>cashloan</v>
      </c>
      <c r="I13557" s="143">
        <v>810700000</v>
      </c>
    </row>
    <row r="13558" spans="1:9" x14ac:dyDescent="0.2">
      <c r="A13558" s="134">
        <v>46088</v>
      </c>
      <c r="B13558" s="135">
        <f>YEAR(source[[#This Row],[report_date]])</f>
        <v>2026</v>
      </c>
      <c r="C13558" s="128">
        <f t="shared" ref="C13558:C13621" si="635">MONTH(A13558)</f>
        <v>3</v>
      </c>
      <c r="D13558" s="136">
        <f t="shared" si="634"/>
        <v>10</v>
      </c>
      <c r="E13558" s="136">
        <f t="shared" ref="E13558:E13621" si="636">DAY(A13558)</f>
        <v>7</v>
      </c>
      <c r="F13558" s="137" t="s">
        <v>24</v>
      </c>
      <c r="G13558" s="128" t="str">
        <f>VLOOKUP(source[[#This Row],[lending_product_transform]],[3]Mapping!$B$4:$C$37,2,0)</f>
        <v>[Cake] - Cashloan</v>
      </c>
      <c r="H13558" s="128" t="str">
        <f>VLOOKUP(source[[#This Row],[lending_product_transform]],[3]Mapping!$B$3:$D$37,3,0)</f>
        <v>cashloan</v>
      </c>
      <c r="I13558" s="143">
        <v>43010269</v>
      </c>
    </row>
    <row r="13559" spans="1:9" x14ac:dyDescent="0.2">
      <c r="A13559" s="134">
        <v>46088</v>
      </c>
      <c r="B13559" s="135">
        <f>YEAR(source[[#This Row],[report_date]])</f>
        <v>2026</v>
      </c>
      <c r="C13559" s="128">
        <f t="shared" si="635"/>
        <v>3</v>
      </c>
      <c r="D13559" s="136">
        <f t="shared" si="634"/>
        <v>10</v>
      </c>
      <c r="E13559" s="136">
        <f t="shared" si="636"/>
        <v>7</v>
      </c>
      <c r="F13559" s="137" t="s">
        <v>24</v>
      </c>
      <c r="G13559" s="128" t="str">
        <f>VLOOKUP(source[[#This Row],[lending_product_transform]],[3]Mapping!$B$4:$C$37,2,0)</f>
        <v>[Cake] - Cashloan</v>
      </c>
      <c r="H13559" s="128" t="str">
        <f>VLOOKUP(source[[#This Row],[lending_product_transform]],[3]Mapping!$B$3:$D$37,3,0)</f>
        <v>cashloan</v>
      </c>
      <c r="I13559" s="143">
        <v>2303460345</v>
      </c>
    </row>
    <row r="13560" spans="1:9" x14ac:dyDescent="0.2">
      <c r="A13560" s="134">
        <v>46088</v>
      </c>
      <c r="B13560" s="135">
        <f>YEAR(source[[#This Row],[report_date]])</f>
        <v>2026</v>
      </c>
      <c r="C13560" s="128">
        <f t="shared" si="635"/>
        <v>3</v>
      </c>
      <c r="D13560" s="136">
        <f t="shared" si="634"/>
        <v>10</v>
      </c>
      <c r="E13560" s="136">
        <f t="shared" si="636"/>
        <v>7</v>
      </c>
      <c r="F13560" s="137" t="s">
        <v>24</v>
      </c>
      <c r="G13560" s="128" t="str">
        <f>VLOOKUP(source[[#This Row],[lending_product_transform]],[3]Mapping!$B$4:$C$37,2,0)</f>
        <v>[Cake] - Cashloan</v>
      </c>
      <c r="H13560" s="128" t="str">
        <f>VLOOKUP(source[[#This Row],[lending_product_transform]],[3]Mapping!$B$3:$D$37,3,0)</f>
        <v>cashloan</v>
      </c>
      <c r="I13560" s="143">
        <v>0</v>
      </c>
    </row>
    <row r="13561" spans="1:9" x14ac:dyDescent="0.2">
      <c r="A13561" s="134">
        <v>46088</v>
      </c>
      <c r="B13561" s="135">
        <f>YEAR(source[[#This Row],[report_date]])</f>
        <v>2026</v>
      </c>
      <c r="C13561" s="128">
        <f t="shared" si="635"/>
        <v>3</v>
      </c>
      <c r="D13561" s="136">
        <f t="shared" si="634"/>
        <v>10</v>
      </c>
      <c r="E13561" s="136">
        <f t="shared" si="636"/>
        <v>7</v>
      </c>
      <c r="F13561" s="137" t="s">
        <v>24</v>
      </c>
      <c r="G13561" s="128" t="str">
        <f>VLOOKUP(source[[#This Row],[lending_product_transform]],[3]Mapping!$B$4:$C$37,2,0)</f>
        <v>[Cake] - Cashloan</v>
      </c>
      <c r="H13561" s="128" t="str">
        <f>VLOOKUP(source[[#This Row],[lending_product_transform]],[3]Mapping!$B$3:$D$37,3,0)</f>
        <v>cashloan</v>
      </c>
      <c r="I13561" s="143">
        <v>47250000</v>
      </c>
    </row>
    <row r="13562" spans="1:9" x14ac:dyDescent="0.2">
      <c r="A13562" s="134">
        <v>46088</v>
      </c>
      <c r="B13562" s="135">
        <f>YEAR(source[[#This Row],[report_date]])</f>
        <v>2026</v>
      </c>
      <c r="C13562" s="128">
        <f t="shared" si="635"/>
        <v>3</v>
      </c>
      <c r="D13562" s="136">
        <f t="shared" si="634"/>
        <v>10</v>
      </c>
      <c r="E13562" s="136">
        <f t="shared" si="636"/>
        <v>7</v>
      </c>
      <c r="F13562" s="137" t="s">
        <v>24</v>
      </c>
      <c r="G13562" s="128" t="str">
        <f>VLOOKUP(source[[#This Row],[lending_product_transform]],[3]Mapping!$B$4:$C$37,2,0)</f>
        <v>[Cake] - Cashloan</v>
      </c>
      <c r="H13562" s="128" t="str">
        <f>VLOOKUP(source[[#This Row],[lending_product_transform]],[3]Mapping!$B$3:$D$37,3,0)</f>
        <v>cashloan</v>
      </c>
      <c r="I13562" s="143">
        <v>0</v>
      </c>
    </row>
    <row r="13563" spans="1:9" x14ac:dyDescent="0.2">
      <c r="A13563" s="134">
        <v>46088</v>
      </c>
      <c r="B13563" s="135">
        <f>YEAR(source[[#This Row],[report_date]])</f>
        <v>2026</v>
      </c>
      <c r="C13563" s="128">
        <f t="shared" si="635"/>
        <v>3</v>
      </c>
      <c r="D13563" s="136">
        <f t="shared" si="634"/>
        <v>10</v>
      </c>
      <c r="E13563" s="136">
        <f t="shared" si="636"/>
        <v>7</v>
      </c>
      <c r="F13563" s="137" t="s">
        <v>24</v>
      </c>
      <c r="G13563" s="128" t="str">
        <f>VLOOKUP(source[[#This Row],[lending_product_transform]],[3]Mapping!$B$4:$C$37,2,0)</f>
        <v>[Cake] - Cashloan</v>
      </c>
      <c r="H13563" s="128" t="str">
        <f>VLOOKUP(source[[#This Row],[lending_product_transform]],[3]Mapping!$B$3:$D$37,3,0)</f>
        <v>cashloan</v>
      </c>
      <c r="I13563" s="143">
        <v>13506010000</v>
      </c>
    </row>
    <row r="13564" spans="1:9" x14ac:dyDescent="0.2">
      <c r="A13564" s="134">
        <v>46088</v>
      </c>
      <c r="B13564" s="135">
        <f>YEAR(source[[#This Row],[report_date]])</f>
        <v>2026</v>
      </c>
      <c r="C13564" s="128">
        <f t="shared" si="635"/>
        <v>3</v>
      </c>
      <c r="D13564" s="136">
        <f t="shared" si="634"/>
        <v>10</v>
      </c>
      <c r="E13564" s="136">
        <f t="shared" si="636"/>
        <v>7</v>
      </c>
      <c r="F13564" s="137" t="s">
        <v>24</v>
      </c>
      <c r="G13564" s="128" t="str">
        <f>VLOOKUP(source[[#This Row],[lending_product_transform]],[3]Mapping!$B$4:$C$37,2,0)</f>
        <v>[Cake] - Cashloan</v>
      </c>
      <c r="H13564" s="128" t="str">
        <f>VLOOKUP(source[[#This Row],[lending_product_transform]],[3]Mapping!$B$3:$D$37,3,0)</f>
        <v>cashloan</v>
      </c>
      <c r="I13564" s="143">
        <v>0</v>
      </c>
    </row>
    <row r="13565" spans="1:9" x14ac:dyDescent="0.2">
      <c r="A13565" s="134">
        <v>46088</v>
      </c>
      <c r="B13565" s="135">
        <f>YEAR(source[[#This Row],[report_date]])</f>
        <v>2026</v>
      </c>
      <c r="C13565" s="128">
        <f t="shared" si="635"/>
        <v>3</v>
      </c>
      <c r="D13565" s="136">
        <f t="shared" si="634"/>
        <v>10</v>
      </c>
      <c r="E13565" s="136">
        <f t="shared" si="636"/>
        <v>7</v>
      </c>
      <c r="F13565" s="137" t="s">
        <v>24</v>
      </c>
      <c r="G13565" s="128" t="str">
        <f>VLOOKUP(source[[#This Row],[lending_product_transform]],[3]Mapping!$B$4:$C$37,2,0)</f>
        <v>[Cake] - Cashloan</v>
      </c>
      <c r="H13565" s="128" t="str">
        <f>VLOOKUP(source[[#This Row],[lending_product_transform]],[3]Mapping!$B$3:$D$37,3,0)</f>
        <v>cashloan</v>
      </c>
      <c r="I13565" s="143">
        <v>0</v>
      </c>
    </row>
    <row r="13566" spans="1:9" x14ac:dyDescent="0.2">
      <c r="A13566" s="134">
        <v>46088</v>
      </c>
      <c r="B13566" s="135">
        <f>YEAR(source[[#This Row],[report_date]])</f>
        <v>2026</v>
      </c>
      <c r="C13566" s="128">
        <f t="shared" si="635"/>
        <v>3</v>
      </c>
      <c r="D13566" s="136">
        <f t="shared" si="634"/>
        <v>10</v>
      </c>
      <c r="E13566" s="136">
        <f t="shared" si="636"/>
        <v>7</v>
      </c>
      <c r="F13566" s="137" t="s">
        <v>24</v>
      </c>
      <c r="G13566" s="128" t="str">
        <f>VLOOKUP(source[[#This Row],[lending_product_transform]],[3]Mapping!$B$4:$C$37,2,0)</f>
        <v>[Cake] - Cashloan</v>
      </c>
      <c r="H13566" s="128" t="str">
        <f>VLOOKUP(source[[#This Row],[lending_product_transform]],[3]Mapping!$B$3:$D$37,3,0)</f>
        <v>cashloan</v>
      </c>
      <c r="I13566" s="143">
        <v>0</v>
      </c>
    </row>
    <row r="13567" spans="1:9" x14ac:dyDescent="0.2">
      <c r="A13567" s="134">
        <v>46088</v>
      </c>
      <c r="B13567" s="135">
        <f>YEAR(source[[#This Row],[report_date]])</f>
        <v>2026</v>
      </c>
      <c r="C13567" s="128">
        <f t="shared" si="635"/>
        <v>3</v>
      </c>
      <c r="D13567" s="136">
        <f t="shared" si="634"/>
        <v>10</v>
      </c>
      <c r="E13567" s="136">
        <f t="shared" si="636"/>
        <v>7</v>
      </c>
      <c r="F13567" s="137" t="s">
        <v>24</v>
      </c>
      <c r="G13567" s="128" t="str">
        <f>VLOOKUP(source[[#This Row],[lending_product_transform]],[3]Mapping!$B$4:$C$37,2,0)</f>
        <v>[Cake] - Cashloan</v>
      </c>
      <c r="H13567" s="128" t="str">
        <f>VLOOKUP(source[[#This Row],[lending_product_transform]],[3]Mapping!$B$3:$D$37,3,0)</f>
        <v>cashloan</v>
      </c>
      <c r="I13567" s="143">
        <v>0</v>
      </c>
    </row>
    <row r="13568" spans="1:9" x14ac:dyDescent="0.2">
      <c r="A13568" s="134">
        <v>46088</v>
      </c>
      <c r="B13568" s="135">
        <f>YEAR(source[[#This Row],[report_date]])</f>
        <v>2026</v>
      </c>
      <c r="C13568" s="128">
        <f t="shared" si="635"/>
        <v>3</v>
      </c>
      <c r="D13568" s="136">
        <f t="shared" si="634"/>
        <v>10</v>
      </c>
      <c r="E13568" s="136">
        <f t="shared" si="636"/>
        <v>7</v>
      </c>
      <c r="F13568" s="137" t="s">
        <v>24</v>
      </c>
      <c r="G13568" s="128" t="str">
        <f>VLOOKUP(source[[#This Row],[lending_product_transform]],[3]Mapping!$B$4:$C$37,2,0)</f>
        <v>[Cake] - Cashloan</v>
      </c>
      <c r="H13568" s="128" t="str">
        <f>VLOOKUP(source[[#This Row],[lending_product_transform]],[3]Mapping!$B$3:$D$37,3,0)</f>
        <v>cashloan</v>
      </c>
      <c r="I13568" s="143">
        <v>11672532000</v>
      </c>
    </row>
    <row r="13569" spans="1:9" x14ac:dyDescent="0.2">
      <c r="A13569" s="134">
        <v>46088</v>
      </c>
      <c r="B13569" s="135">
        <f>YEAR(source[[#This Row],[report_date]])</f>
        <v>2026</v>
      </c>
      <c r="C13569" s="128">
        <f t="shared" si="635"/>
        <v>3</v>
      </c>
      <c r="D13569" s="136">
        <f t="shared" si="634"/>
        <v>10</v>
      </c>
      <c r="E13569" s="136">
        <f t="shared" si="636"/>
        <v>7</v>
      </c>
      <c r="F13569" s="137" t="s">
        <v>24</v>
      </c>
      <c r="G13569" s="128" t="str">
        <f>VLOOKUP(source[[#This Row],[lending_product_transform]],[3]Mapping!$B$4:$C$37,2,0)</f>
        <v>[Cake] - Cashloan</v>
      </c>
      <c r="H13569" s="128" t="str">
        <f>VLOOKUP(source[[#This Row],[lending_product_transform]],[3]Mapping!$B$3:$D$37,3,0)</f>
        <v>cashloan</v>
      </c>
      <c r="I13569" s="143">
        <v>492328380</v>
      </c>
    </row>
    <row r="13570" spans="1:9" x14ac:dyDescent="0.2">
      <c r="A13570" s="134">
        <v>46088</v>
      </c>
      <c r="B13570" s="135">
        <f>YEAR(source[[#This Row],[report_date]])</f>
        <v>2026</v>
      </c>
      <c r="C13570" s="128">
        <f t="shared" si="635"/>
        <v>3</v>
      </c>
      <c r="D13570" s="136">
        <f t="shared" si="634"/>
        <v>10</v>
      </c>
      <c r="E13570" s="136">
        <f t="shared" si="636"/>
        <v>7</v>
      </c>
      <c r="F13570" s="137" t="s">
        <v>24</v>
      </c>
      <c r="G13570" s="128" t="str">
        <f>VLOOKUP(source[[#This Row],[lending_product_transform]],[3]Mapping!$B$4:$C$37,2,0)</f>
        <v>[Cake] - Cashloan</v>
      </c>
      <c r="H13570" s="128" t="str">
        <f>VLOOKUP(source[[#This Row],[lending_product_transform]],[3]Mapping!$B$3:$D$37,3,0)</f>
        <v>cashloan</v>
      </c>
      <c r="I13570" s="143">
        <v>24500000</v>
      </c>
    </row>
    <row r="13571" spans="1:9" x14ac:dyDescent="0.2">
      <c r="A13571" s="134">
        <v>46088</v>
      </c>
      <c r="B13571" s="135">
        <f>YEAR(source[[#This Row],[report_date]])</f>
        <v>2026</v>
      </c>
      <c r="C13571" s="128">
        <f t="shared" si="635"/>
        <v>3</v>
      </c>
      <c r="D13571" s="136">
        <f t="shared" si="634"/>
        <v>10</v>
      </c>
      <c r="E13571" s="136">
        <f t="shared" si="636"/>
        <v>7</v>
      </c>
      <c r="F13571" s="137" t="s">
        <v>24</v>
      </c>
      <c r="G13571" s="128" t="str">
        <f>VLOOKUP(source[[#This Row],[lending_product_transform]],[3]Mapping!$B$4:$C$37,2,0)</f>
        <v>[Cake] - Cashloan</v>
      </c>
      <c r="H13571" s="128" t="str">
        <f>VLOOKUP(source[[#This Row],[lending_product_transform]],[3]Mapping!$B$3:$D$37,3,0)</f>
        <v>cashloan</v>
      </c>
      <c r="I13571" s="143">
        <v>48000000</v>
      </c>
    </row>
    <row r="13572" spans="1:9" x14ac:dyDescent="0.2">
      <c r="A13572" s="134">
        <v>46088</v>
      </c>
      <c r="B13572" s="135">
        <f>YEAR(source[[#This Row],[report_date]])</f>
        <v>2026</v>
      </c>
      <c r="C13572" s="128">
        <f t="shared" si="635"/>
        <v>3</v>
      </c>
      <c r="D13572" s="136">
        <f t="shared" si="634"/>
        <v>10</v>
      </c>
      <c r="E13572" s="136">
        <f t="shared" si="636"/>
        <v>7</v>
      </c>
      <c r="F13572" s="137" t="s">
        <v>24</v>
      </c>
      <c r="G13572" s="128" t="str">
        <f>VLOOKUP(source[[#This Row],[lending_product_transform]],[3]Mapping!$B$4:$C$37,2,0)</f>
        <v>[Cake] - Cashloan</v>
      </c>
      <c r="H13572" s="128" t="str">
        <f>VLOOKUP(source[[#This Row],[lending_product_transform]],[3]Mapping!$B$3:$D$37,3,0)</f>
        <v>cashloan</v>
      </c>
      <c r="I13572" s="143">
        <v>785170000</v>
      </c>
    </row>
    <row r="13573" spans="1:9" x14ac:dyDescent="0.2">
      <c r="A13573" s="134">
        <v>46088</v>
      </c>
      <c r="B13573" s="135">
        <f>YEAR(source[[#This Row],[report_date]])</f>
        <v>2026</v>
      </c>
      <c r="C13573" s="128">
        <f t="shared" si="635"/>
        <v>3</v>
      </c>
      <c r="D13573" s="136">
        <f t="shared" si="634"/>
        <v>10</v>
      </c>
      <c r="E13573" s="136">
        <f t="shared" si="636"/>
        <v>7</v>
      </c>
      <c r="F13573" s="137" t="s">
        <v>24</v>
      </c>
      <c r="G13573" s="128" t="str">
        <f>VLOOKUP(source[[#This Row],[lending_product_transform]],[3]Mapping!$B$4:$C$37,2,0)</f>
        <v>[Cake] - Cashloan</v>
      </c>
      <c r="H13573" s="128" t="str">
        <f>VLOOKUP(source[[#This Row],[lending_product_transform]],[3]Mapping!$B$3:$D$37,3,0)</f>
        <v>cashloan</v>
      </c>
      <c r="I13573" s="143">
        <v>340956000</v>
      </c>
    </row>
    <row r="13574" spans="1:9" x14ac:dyDescent="0.2">
      <c r="A13574" s="134">
        <v>46088</v>
      </c>
      <c r="B13574" s="135">
        <f>YEAR(source[[#This Row],[report_date]])</f>
        <v>2026</v>
      </c>
      <c r="C13574" s="128">
        <f t="shared" si="635"/>
        <v>3</v>
      </c>
      <c r="D13574" s="136">
        <f t="shared" si="634"/>
        <v>10</v>
      </c>
      <c r="E13574" s="136">
        <f t="shared" si="636"/>
        <v>7</v>
      </c>
      <c r="F13574" s="137" t="s">
        <v>24</v>
      </c>
      <c r="G13574" s="128" t="str">
        <f>VLOOKUP(source[[#This Row],[lending_product_transform]],[3]Mapping!$B$4:$C$37,2,0)</f>
        <v>[Cake] - Cashloan</v>
      </c>
      <c r="H13574" s="128" t="str">
        <f>VLOOKUP(source[[#This Row],[lending_product_transform]],[3]Mapping!$B$3:$D$37,3,0)</f>
        <v>cashloan</v>
      </c>
      <c r="I13574" s="143">
        <v>1307798867</v>
      </c>
    </row>
    <row r="13575" spans="1:9" x14ac:dyDescent="0.2">
      <c r="A13575" s="134">
        <v>46088</v>
      </c>
      <c r="B13575" s="135">
        <f>YEAR(source[[#This Row],[report_date]])</f>
        <v>2026</v>
      </c>
      <c r="C13575" s="128">
        <f t="shared" si="635"/>
        <v>3</v>
      </c>
      <c r="D13575" s="136">
        <f t="shared" si="634"/>
        <v>10</v>
      </c>
      <c r="E13575" s="136">
        <f t="shared" si="636"/>
        <v>7</v>
      </c>
      <c r="F13575" s="137" t="s">
        <v>24</v>
      </c>
      <c r="G13575" s="128" t="str">
        <f>VLOOKUP(source[[#This Row],[lending_product_transform]],[3]Mapping!$B$4:$C$37,2,0)</f>
        <v>[Cake] - Cashloan</v>
      </c>
      <c r="H13575" s="128" t="str">
        <f>VLOOKUP(source[[#This Row],[lending_product_transform]],[3]Mapping!$B$3:$D$37,3,0)</f>
        <v>cashloan</v>
      </c>
      <c r="I13575" s="143">
        <v>2778100000</v>
      </c>
    </row>
    <row r="13576" spans="1:9" x14ac:dyDescent="0.2">
      <c r="A13576" s="134">
        <v>46088</v>
      </c>
      <c r="B13576" s="135">
        <f>YEAR(source[[#This Row],[report_date]])</f>
        <v>2026</v>
      </c>
      <c r="C13576" s="128">
        <f t="shared" si="635"/>
        <v>3</v>
      </c>
      <c r="D13576" s="136">
        <f t="shared" si="634"/>
        <v>10</v>
      </c>
      <c r="E13576" s="136">
        <f t="shared" si="636"/>
        <v>7</v>
      </c>
      <c r="F13576" s="137" t="s">
        <v>24</v>
      </c>
      <c r="G13576" s="128" t="str">
        <f>VLOOKUP(source[[#This Row],[lending_product_transform]],[3]Mapping!$B$4:$C$37,2,0)</f>
        <v>[Cake] - Cashloan</v>
      </c>
      <c r="H13576" s="128" t="str">
        <f>VLOOKUP(source[[#This Row],[lending_product_transform]],[3]Mapping!$B$3:$D$37,3,0)</f>
        <v>cashloan</v>
      </c>
      <c r="I13576" s="143">
        <v>210600000</v>
      </c>
    </row>
    <row r="13577" spans="1:9" x14ac:dyDescent="0.2">
      <c r="A13577" s="134">
        <v>46089</v>
      </c>
      <c r="B13577" s="135">
        <f>YEAR(source[[#This Row],[report_date]])</f>
        <v>2026</v>
      </c>
      <c r="C13577" s="128">
        <f t="shared" si="635"/>
        <v>3</v>
      </c>
      <c r="D13577" s="136">
        <f t="shared" si="634"/>
        <v>10</v>
      </c>
      <c r="E13577" s="136">
        <f t="shared" si="636"/>
        <v>8</v>
      </c>
      <c r="F13577" s="137" t="s">
        <v>24</v>
      </c>
      <c r="G13577" s="128" t="str">
        <f>VLOOKUP(source[[#This Row],[lending_product_transform]],[3]Mapping!$B$4:$C$37,2,0)</f>
        <v>[Cake] - Cashloan</v>
      </c>
      <c r="H13577" s="128" t="str">
        <f>VLOOKUP(source[[#This Row],[lending_product_transform]],[3]Mapping!$B$3:$D$37,3,0)</f>
        <v>cashloan</v>
      </c>
      <c r="I13577" s="143">
        <v>686850000</v>
      </c>
    </row>
    <row r="13578" spans="1:9" x14ac:dyDescent="0.2">
      <c r="A13578" s="134">
        <v>46089</v>
      </c>
      <c r="B13578" s="135">
        <f>YEAR(source[[#This Row],[report_date]])</f>
        <v>2026</v>
      </c>
      <c r="C13578" s="128">
        <f t="shared" si="635"/>
        <v>3</v>
      </c>
      <c r="D13578" s="136">
        <f t="shared" si="634"/>
        <v>10</v>
      </c>
      <c r="E13578" s="136">
        <f t="shared" si="636"/>
        <v>8</v>
      </c>
      <c r="F13578" s="137" t="s">
        <v>24</v>
      </c>
      <c r="G13578" s="128" t="str">
        <f>VLOOKUP(source[[#This Row],[lending_product_transform]],[3]Mapping!$B$4:$C$37,2,0)</f>
        <v>[Cake] - Cashloan</v>
      </c>
      <c r="H13578" s="128" t="str">
        <f>VLOOKUP(source[[#This Row],[lending_product_transform]],[3]Mapping!$B$3:$D$37,3,0)</f>
        <v>cashloan</v>
      </c>
      <c r="I13578" s="143">
        <v>550123381</v>
      </c>
    </row>
    <row r="13579" spans="1:9" x14ac:dyDescent="0.2">
      <c r="A13579" s="134">
        <v>46089</v>
      </c>
      <c r="B13579" s="135">
        <f>YEAR(source[[#This Row],[report_date]])</f>
        <v>2026</v>
      </c>
      <c r="C13579" s="128">
        <f t="shared" si="635"/>
        <v>3</v>
      </c>
      <c r="D13579" s="136">
        <f t="shared" si="634"/>
        <v>10</v>
      </c>
      <c r="E13579" s="136">
        <f t="shared" si="636"/>
        <v>8</v>
      </c>
      <c r="F13579" s="137" t="s">
        <v>24</v>
      </c>
      <c r="G13579" s="128" t="str">
        <f>VLOOKUP(source[[#This Row],[lending_product_transform]],[3]Mapping!$B$4:$C$37,2,0)</f>
        <v>[Cake] - Cashloan</v>
      </c>
      <c r="H13579" s="128" t="str">
        <f>VLOOKUP(source[[#This Row],[lending_product_transform]],[3]Mapping!$B$3:$D$37,3,0)</f>
        <v>cashloan</v>
      </c>
      <c r="I13579" s="143">
        <v>7785860000</v>
      </c>
    </row>
    <row r="13580" spans="1:9" x14ac:dyDescent="0.2">
      <c r="A13580" s="134">
        <v>46089</v>
      </c>
      <c r="B13580" s="135">
        <f>YEAR(source[[#This Row],[report_date]])</f>
        <v>2026</v>
      </c>
      <c r="C13580" s="128">
        <f t="shared" si="635"/>
        <v>3</v>
      </c>
      <c r="D13580" s="136">
        <f t="shared" si="634"/>
        <v>10</v>
      </c>
      <c r="E13580" s="136">
        <f t="shared" si="636"/>
        <v>8</v>
      </c>
      <c r="F13580" s="137" t="s">
        <v>24</v>
      </c>
      <c r="G13580" s="128" t="str">
        <f>VLOOKUP(source[[#This Row],[lending_product_transform]],[3]Mapping!$B$4:$C$37,2,0)</f>
        <v>[Cake] - Cashloan</v>
      </c>
      <c r="H13580" s="128" t="str">
        <f>VLOOKUP(source[[#This Row],[lending_product_transform]],[3]Mapping!$B$3:$D$37,3,0)</f>
        <v>cashloan</v>
      </c>
      <c r="I13580" s="143">
        <v>1514346309</v>
      </c>
    </row>
    <row r="13581" spans="1:9" x14ac:dyDescent="0.2">
      <c r="A13581" s="134">
        <v>46089</v>
      </c>
      <c r="B13581" s="135">
        <f>YEAR(source[[#This Row],[report_date]])</f>
        <v>2026</v>
      </c>
      <c r="C13581" s="128">
        <f t="shared" si="635"/>
        <v>3</v>
      </c>
      <c r="D13581" s="136">
        <f t="shared" si="634"/>
        <v>10</v>
      </c>
      <c r="E13581" s="136">
        <f t="shared" si="636"/>
        <v>8</v>
      </c>
      <c r="F13581" s="137" t="s">
        <v>24</v>
      </c>
      <c r="G13581" s="128" t="str">
        <f>VLOOKUP(source[[#This Row],[lending_product_transform]],[3]Mapping!$B$4:$C$37,2,0)</f>
        <v>[Cake] - Cashloan</v>
      </c>
      <c r="H13581" s="128" t="str">
        <f>VLOOKUP(source[[#This Row],[lending_product_transform]],[3]Mapping!$B$3:$D$37,3,0)</f>
        <v>cashloan</v>
      </c>
      <c r="I13581" s="143">
        <v>12004956000</v>
      </c>
    </row>
    <row r="13582" spans="1:9" x14ac:dyDescent="0.2">
      <c r="A13582" s="134">
        <v>46089</v>
      </c>
      <c r="B13582" s="135">
        <f>YEAR(source[[#This Row],[report_date]])</f>
        <v>2026</v>
      </c>
      <c r="C13582" s="128">
        <f t="shared" si="635"/>
        <v>3</v>
      </c>
      <c r="D13582" s="136">
        <f t="shared" si="634"/>
        <v>10</v>
      </c>
      <c r="E13582" s="136">
        <f t="shared" si="636"/>
        <v>8</v>
      </c>
      <c r="F13582" s="137" t="s">
        <v>24</v>
      </c>
      <c r="G13582" s="128" t="str">
        <f>VLOOKUP(source[[#This Row],[lending_product_transform]],[3]Mapping!$B$4:$C$37,2,0)</f>
        <v>[Cake] - Cashloan</v>
      </c>
      <c r="H13582" s="128" t="str">
        <f>VLOOKUP(source[[#This Row],[lending_product_transform]],[3]Mapping!$B$3:$D$37,3,0)</f>
        <v>cashloan</v>
      </c>
      <c r="I13582" s="143">
        <v>10952075</v>
      </c>
    </row>
    <row r="13583" spans="1:9" x14ac:dyDescent="0.2">
      <c r="A13583" s="134">
        <v>46089</v>
      </c>
      <c r="B13583" s="135">
        <f>YEAR(source[[#This Row],[report_date]])</f>
        <v>2026</v>
      </c>
      <c r="C13583" s="128">
        <f t="shared" si="635"/>
        <v>3</v>
      </c>
      <c r="D13583" s="136">
        <f t="shared" si="634"/>
        <v>10</v>
      </c>
      <c r="E13583" s="136">
        <f t="shared" si="636"/>
        <v>8</v>
      </c>
      <c r="F13583" s="137" t="s">
        <v>24</v>
      </c>
      <c r="G13583" s="128" t="str">
        <f>VLOOKUP(source[[#This Row],[lending_product_transform]],[3]Mapping!$B$4:$C$37,2,0)</f>
        <v>[Cake] - Cashloan</v>
      </c>
      <c r="H13583" s="128" t="str">
        <f>VLOOKUP(source[[#This Row],[lending_product_transform]],[3]Mapping!$B$3:$D$37,3,0)</f>
        <v>cashloan</v>
      </c>
      <c r="I13583" s="143">
        <v>90000000</v>
      </c>
    </row>
    <row r="13584" spans="1:9" x14ac:dyDescent="0.2">
      <c r="A13584" s="134">
        <v>46089</v>
      </c>
      <c r="B13584" s="135">
        <f>YEAR(source[[#This Row],[report_date]])</f>
        <v>2026</v>
      </c>
      <c r="C13584" s="128">
        <f t="shared" si="635"/>
        <v>3</v>
      </c>
      <c r="D13584" s="136">
        <f t="shared" si="634"/>
        <v>10</v>
      </c>
      <c r="E13584" s="136">
        <f t="shared" si="636"/>
        <v>8</v>
      </c>
      <c r="F13584" s="137" t="s">
        <v>24</v>
      </c>
      <c r="G13584" s="128" t="str">
        <f>VLOOKUP(source[[#This Row],[lending_product_transform]],[3]Mapping!$B$4:$C$37,2,0)</f>
        <v>[Cake] - Cashloan</v>
      </c>
      <c r="H13584" s="128" t="str">
        <f>VLOOKUP(source[[#This Row],[lending_product_transform]],[3]Mapping!$B$3:$D$37,3,0)</f>
        <v>cashloan</v>
      </c>
      <c r="I13584" s="143">
        <v>2365410000</v>
      </c>
    </row>
    <row r="13585" spans="1:9" x14ac:dyDescent="0.2">
      <c r="A13585" s="134">
        <v>46089</v>
      </c>
      <c r="B13585" s="135">
        <f>YEAR(source[[#This Row],[report_date]])</f>
        <v>2026</v>
      </c>
      <c r="C13585" s="128">
        <f t="shared" si="635"/>
        <v>3</v>
      </c>
      <c r="D13585" s="136">
        <f t="shared" ref="D13585:D13648" si="637">WEEKNUM(A13585,2)</f>
        <v>10</v>
      </c>
      <c r="E13585" s="136">
        <f t="shared" si="636"/>
        <v>8</v>
      </c>
      <c r="F13585" s="137" t="s">
        <v>24</v>
      </c>
      <c r="G13585" s="128" t="str">
        <f>VLOOKUP(source[[#This Row],[lending_product_transform]],[3]Mapping!$B$4:$C$37,2,0)</f>
        <v>[Cake] - Cashloan</v>
      </c>
      <c r="H13585" s="128" t="str">
        <f>VLOOKUP(source[[#This Row],[lending_product_transform]],[3]Mapping!$B$3:$D$37,3,0)</f>
        <v>cashloan</v>
      </c>
      <c r="I13585" s="143">
        <v>893500000</v>
      </c>
    </row>
    <row r="13586" spans="1:9" x14ac:dyDescent="0.2">
      <c r="A13586" s="134">
        <v>46089</v>
      </c>
      <c r="B13586" s="135">
        <f>YEAR(source[[#This Row],[report_date]])</f>
        <v>2026</v>
      </c>
      <c r="C13586" s="128">
        <f t="shared" si="635"/>
        <v>3</v>
      </c>
      <c r="D13586" s="136">
        <f t="shared" si="637"/>
        <v>10</v>
      </c>
      <c r="E13586" s="136">
        <f t="shared" si="636"/>
        <v>8</v>
      </c>
      <c r="F13586" s="137" t="s">
        <v>24</v>
      </c>
      <c r="G13586" s="128" t="str">
        <f>VLOOKUP(source[[#This Row],[lending_product_transform]],[3]Mapping!$B$4:$C$37,2,0)</f>
        <v>[Cake] - Cashloan</v>
      </c>
      <c r="H13586" s="128" t="str">
        <f>VLOOKUP(source[[#This Row],[lending_product_transform]],[3]Mapping!$B$3:$D$37,3,0)</f>
        <v>cashloan</v>
      </c>
      <c r="I13586" s="143">
        <v>15463949</v>
      </c>
    </row>
    <row r="13587" spans="1:9" x14ac:dyDescent="0.2">
      <c r="A13587" s="134">
        <v>46089</v>
      </c>
      <c r="B13587" s="135">
        <f>YEAR(source[[#This Row],[report_date]])</f>
        <v>2026</v>
      </c>
      <c r="C13587" s="128">
        <f t="shared" si="635"/>
        <v>3</v>
      </c>
      <c r="D13587" s="136">
        <f t="shared" si="637"/>
        <v>10</v>
      </c>
      <c r="E13587" s="136">
        <f t="shared" si="636"/>
        <v>8</v>
      </c>
      <c r="F13587" s="137" t="s">
        <v>24</v>
      </c>
      <c r="G13587" s="128" t="str">
        <f>VLOOKUP(source[[#This Row],[lending_product_transform]],[3]Mapping!$B$4:$C$37,2,0)</f>
        <v>[Cake] - Cashloan</v>
      </c>
      <c r="H13587" s="128" t="str">
        <f>VLOOKUP(source[[#This Row],[lending_product_transform]],[3]Mapping!$B$3:$D$37,3,0)</f>
        <v>cashloan</v>
      </c>
      <c r="I13587" s="143">
        <v>1880067689</v>
      </c>
    </row>
    <row r="13588" spans="1:9" x14ac:dyDescent="0.2">
      <c r="A13588" s="134">
        <v>46089</v>
      </c>
      <c r="B13588" s="135">
        <f>YEAR(source[[#This Row],[report_date]])</f>
        <v>2026</v>
      </c>
      <c r="C13588" s="128">
        <f t="shared" si="635"/>
        <v>3</v>
      </c>
      <c r="D13588" s="136">
        <f t="shared" si="637"/>
        <v>10</v>
      </c>
      <c r="E13588" s="136">
        <f t="shared" si="636"/>
        <v>8</v>
      </c>
      <c r="F13588" s="137" t="s">
        <v>24</v>
      </c>
      <c r="G13588" s="128" t="str">
        <f>VLOOKUP(source[[#This Row],[lending_product_transform]],[3]Mapping!$B$4:$C$37,2,0)</f>
        <v>[Cake] - Cashloan</v>
      </c>
      <c r="H13588" s="128" t="str">
        <f>VLOOKUP(source[[#This Row],[lending_product_transform]],[3]Mapping!$B$3:$D$37,3,0)</f>
        <v>cashloan</v>
      </c>
      <c r="I13588" s="143">
        <v>0</v>
      </c>
    </row>
    <row r="13589" spans="1:9" x14ac:dyDescent="0.2">
      <c r="A13589" s="134">
        <v>46089</v>
      </c>
      <c r="B13589" s="135">
        <f>YEAR(source[[#This Row],[report_date]])</f>
        <v>2026</v>
      </c>
      <c r="C13589" s="128">
        <f t="shared" si="635"/>
        <v>3</v>
      </c>
      <c r="D13589" s="136">
        <f t="shared" si="637"/>
        <v>10</v>
      </c>
      <c r="E13589" s="136">
        <f t="shared" si="636"/>
        <v>8</v>
      </c>
      <c r="F13589" s="137" t="s">
        <v>24</v>
      </c>
      <c r="G13589" s="128" t="str">
        <f>VLOOKUP(source[[#This Row],[lending_product_transform]],[3]Mapping!$B$4:$C$37,2,0)</f>
        <v>[Cake] - Cashloan</v>
      </c>
      <c r="H13589" s="128" t="str">
        <f>VLOOKUP(source[[#This Row],[lending_product_transform]],[3]Mapping!$B$3:$D$37,3,0)</f>
        <v>cashloan</v>
      </c>
      <c r="I13589" s="143">
        <v>0</v>
      </c>
    </row>
    <row r="13590" spans="1:9" x14ac:dyDescent="0.2">
      <c r="A13590" s="134">
        <v>46089</v>
      </c>
      <c r="B13590" s="135">
        <f>YEAR(source[[#This Row],[report_date]])</f>
        <v>2026</v>
      </c>
      <c r="C13590" s="128">
        <f t="shared" si="635"/>
        <v>3</v>
      </c>
      <c r="D13590" s="136">
        <f t="shared" si="637"/>
        <v>10</v>
      </c>
      <c r="E13590" s="136">
        <f t="shared" si="636"/>
        <v>8</v>
      </c>
      <c r="F13590" s="137" t="s">
        <v>24</v>
      </c>
      <c r="G13590" s="128" t="str">
        <f>VLOOKUP(source[[#This Row],[lending_product_transform]],[3]Mapping!$B$4:$C$37,2,0)</f>
        <v>[Cake] - Cashloan</v>
      </c>
      <c r="H13590" s="128" t="str">
        <f>VLOOKUP(source[[#This Row],[lending_product_transform]],[3]Mapping!$B$3:$D$37,3,0)</f>
        <v>cashloan</v>
      </c>
      <c r="I13590" s="143">
        <v>0</v>
      </c>
    </row>
    <row r="13591" spans="1:9" x14ac:dyDescent="0.2">
      <c r="A13591" s="134">
        <v>46089</v>
      </c>
      <c r="B13591" s="135">
        <f>YEAR(source[[#This Row],[report_date]])</f>
        <v>2026</v>
      </c>
      <c r="C13591" s="128">
        <f t="shared" si="635"/>
        <v>3</v>
      </c>
      <c r="D13591" s="136">
        <f t="shared" si="637"/>
        <v>10</v>
      </c>
      <c r="E13591" s="136">
        <f t="shared" si="636"/>
        <v>8</v>
      </c>
      <c r="F13591" s="137" t="s">
        <v>24</v>
      </c>
      <c r="G13591" s="128" t="str">
        <f>VLOOKUP(source[[#This Row],[lending_product_transform]],[3]Mapping!$B$4:$C$37,2,0)</f>
        <v>[Cake] - Cashloan</v>
      </c>
      <c r="H13591" s="128" t="str">
        <f>VLOOKUP(source[[#This Row],[lending_product_transform]],[3]Mapping!$B$3:$D$37,3,0)</f>
        <v>cashloan</v>
      </c>
      <c r="I13591" s="143">
        <v>13167390000</v>
      </c>
    </row>
    <row r="13592" spans="1:9" x14ac:dyDescent="0.2">
      <c r="A13592" s="134">
        <v>46089</v>
      </c>
      <c r="B13592" s="135">
        <f>YEAR(source[[#This Row],[report_date]])</f>
        <v>2026</v>
      </c>
      <c r="C13592" s="128">
        <f t="shared" si="635"/>
        <v>3</v>
      </c>
      <c r="D13592" s="136">
        <f t="shared" si="637"/>
        <v>10</v>
      </c>
      <c r="E13592" s="136">
        <f t="shared" si="636"/>
        <v>8</v>
      </c>
      <c r="F13592" s="137" t="s">
        <v>24</v>
      </c>
      <c r="G13592" s="128" t="str">
        <f>VLOOKUP(source[[#This Row],[lending_product_transform]],[3]Mapping!$B$4:$C$37,2,0)</f>
        <v>[Cake] - Cashloan</v>
      </c>
      <c r="H13592" s="128" t="str">
        <f>VLOOKUP(source[[#This Row],[lending_product_transform]],[3]Mapping!$B$3:$D$37,3,0)</f>
        <v>cashloan</v>
      </c>
      <c r="I13592" s="143">
        <v>0</v>
      </c>
    </row>
    <row r="13593" spans="1:9" x14ac:dyDescent="0.2">
      <c r="A13593" s="134">
        <v>46089</v>
      </c>
      <c r="B13593" s="135">
        <f>YEAR(source[[#This Row],[report_date]])</f>
        <v>2026</v>
      </c>
      <c r="C13593" s="128">
        <f t="shared" si="635"/>
        <v>3</v>
      </c>
      <c r="D13593" s="136">
        <f t="shared" si="637"/>
        <v>10</v>
      </c>
      <c r="E13593" s="136">
        <f t="shared" si="636"/>
        <v>8</v>
      </c>
      <c r="F13593" s="137" t="s">
        <v>24</v>
      </c>
      <c r="G13593" s="128" t="str">
        <f>VLOOKUP(source[[#This Row],[lending_product_transform]],[3]Mapping!$B$4:$C$37,2,0)</f>
        <v>[Cake] - Cashloan</v>
      </c>
      <c r="H13593" s="128" t="str">
        <f>VLOOKUP(source[[#This Row],[lending_product_transform]],[3]Mapping!$B$3:$D$37,3,0)</f>
        <v>cashloan</v>
      </c>
      <c r="I13593" s="143">
        <v>0</v>
      </c>
    </row>
    <row r="13594" spans="1:9" x14ac:dyDescent="0.2">
      <c r="A13594" s="134">
        <v>46089</v>
      </c>
      <c r="B13594" s="135">
        <f>YEAR(source[[#This Row],[report_date]])</f>
        <v>2026</v>
      </c>
      <c r="C13594" s="128">
        <f t="shared" si="635"/>
        <v>3</v>
      </c>
      <c r="D13594" s="136">
        <f t="shared" si="637"/>
        <v>10</v>
      </c>
      <c r="E13594" s="136">
        <f t="shared" si="636"/>
        <v>8</v>
      </c>
      <c r="F13594" s="137" t="s">
        <v>24</v>
      </c>
      <c r="G13594" s="128" t="str">
        <f>VLOOKUP(source[[#This Row],[lending_product_transform]],[3]Mapping!$B$4:$C$37,2,0)</f>
        <v>[Cake] - Cashloan</v>
      </c>
      <c r="H13594" s="128" t="str">
        <f>VLOOKUP(source[[#This Row],[lending_product_transform]],[3]Mapping!$B$3:$D$37,3,0)</f>
        <v>cashloan</v>
      </c>
      <c r="I13594" s="143">
        <v>0</v>
      </c>
    </row>
    <row r="13595" spans="1:9" x14ac:dyDescent="0.2">
      <c r="A13595" s="134">
        <v>46089</v>
      </c>
      <c r="B13595" s="135">
        <f>YEAR(source[[#This Row],[report_date]])</f>
        <v>2026</v>
      </c>
      <c r="C13595" s="128">
        <f t="shared" si="635"/>
        <v>3</v>
      </c>
      <c r="D13595" s="136">
        <f t="shared" si="637"/>
        <v>10</v>
      </c>
      <c r="E13595" s="136">
        <f t="shared" si="636"/>
        <v>8</v>
      </c>
      <c r="F13595" s="137" t="s">
        <v>24</v>
      </c>
      <c r="G13595" s="128" t="str">
        <f>VLOOKUP(source[[#This Row],[lending_product_transform]],[3]Mapping!$B$4:$C$37,2,0)</f>
        <v>[Cake] - Cashloan</v>
      </c>
      <c r="H13595" s="128" t="str">
        <f>VLOOKUP(source[[#This Row],[lending_product_transform]],[3]Mapping!$B$3:$D$37,3,0)</f>
        <v>cashloan</v>
      </c>
      <c r="I13595" s="143">
        <v>0</v>
      </c>
    </row>
    <row r="13596" spans="1:9" x14ac:dyDescent="0.2">
      <c r="A13596" s="134">
        <v>46089</v>
      </c>
      <c r="B13596" s="135">
        <f>YEAR(source[[#This Row],[report_date]])</f>
        <v>2026</v>
      </c>
      <c r="C13596" s="128">
        <f t="shared" si="635"/>
        <v>3</v>
      </c>
      <c r="D13596" s="136">
        <f t="shared" si="637"/>
        <v>10</v>
      </c>
      <c r="E13596" s="136">
        <f t="shared" si="636"/>
        <v>8</v>
      </c>
      <c r="F13596" s="137" t="s">
        <v>24</v>
      </c>
      <c r="G13596" s="128" t="str">
        <f>VLOOKUP(source[[#This Row],[lending_product_transform]],[3]Mapping!$B$4:$C$37,2,0)</f>
        <v>[Cake] - Cashloan</v>
      </c>
      <c r="H13596" s="128" t="str">
        <f>VLOOKUP(source[[#This Row],[lending_product_transform]],[3]Mapping!$B$3:$D$37,3,0)</f>
        <v>cashloan</v>
      </c>
      <c r="I13596" s="143">
        <v>10349424000</v>
      </c>
    </row>
    <row r="13597" spans="1:9" x14ac:dyDescent="0.2">
      <c r="A13597" s="134">
        <v>46089</v>
      </c>
      <c r="B13597" s="135">
        <f>YEAR(source[[#This Row],[report_date]])</f>
        <v>2026</v>
      </c>
      <c r="C13597" s="128">
        <f t="shared" si="635"/>
        <v>3</v>
      </c>
      <c r="D13597" s="136">
        <f t="shared" si="637"/>
        <v>10</v>
      </c>
      <c r="E13597" s="136">
        <f t="shared" si="636"/>
        <v>8</v>
      </c>
      <c r="F13597" s="137" t="s">
        <v>24</v>
      </c>
      <c r="G13597" s="128" t="str">
        <f>VLOOKUP(source[[#This Row],[lending_product_transform]],[3]Mapping!$B$4:$C$37,2,0)</f>
        <v>[Cake] - Cashloan</v>
      </c>
      <c r="H13597" s="128" t="str">
        <f>VLOOKUP(source[[#This Row],[lending_product_transform]],[3]Mapping!$B$3:$D$37,3,0)</f>
        <v>cashloan</v>
      </c>
      <c r="I13597" s="143">
        <v>322444910</v>
      </c>
    </row>
    <row r="13598" spans="1:9" x14ac:dyDescent="0.2">
      <c r="A13598" s="134">
        <v>46089</v>
      </c>
      <c r="B13598" s="135">
        <f>YEAR(source[[#This Row],[report_date]])</f>
        <v>2026</v>
      </c>
      <c r="C13598" s="128">
        <f t="shared" si="635"/>
        <v>3</v>
      </c>
      <c r="D13598" s="136">
        <f t="shared" si="637"/>
        <v>10</v>
      </c>
      <c r="E13598" s="136">
        <f t="shared" si="636"/>
        <v>8</v>
      </c>
      <c r="F13598" s="137" t="s">
        <v>24</v>
      </c>
      <c r="G13598" s="128" t="str">
        <f>VLOOKUP(source[[#This Row],[lending_product_transform]],[3]Mapping!$B$4:$C$37,2,0)</f>
        <v>[Cake] - Cashloan</v>
      </c>
      <c r="H13598" s="128" t="str">
        <f>VLOOKUP(source[[#This Row],[lending_product_transform]],[3]Mapping!$B$3:$D$37,3,0)</f>
        <v>cashloan</v>
      </c>
      <c r="I13598" s="143">
        <v>10000000</v>
      </c>
    </row>
    <row r="13599" spans="1:9" x14ac:dyDescent="0.2">
      <c r="A13599" s="134">
        <v>46089</v>
      </c>
      <c r="B13599" s="135">
        <f>YEAR(source[[#This Row],[report_date]])</f>
        <v>2026</v>
      </c>
      <c r="C13599" s="128">
        <f t="shared" si="635"/>
        <v>3</v>
      </c>
      <c r="D13599" s="136">
        <f t="shared" si="637"/>
        <v>10</v>
      </c>
      <c r="E13599" s="136">
        <f t="shared" si="636"/>
        <v>8</v>
      </c>
      <c r="F13599" s="137" t="s">
        <v>24</v>
      </c>
      <c r="G13599" s="128" t="str">
        <f>VLOOKUP(source[[#This Row],[lending_product_transform]],[3]Mapping!$B$4:$C$37,2,0)</f>
        <v>[Cake] - Cashloan</v>
      </c>
      <c r="H13599" s="128" t="str">
        <f>VLOOKUP(source[[#This Row],[lending_product_transform]],[3]Mapping!$B$3:$D$37,3,0)</f>
        <v>cashloan</v>
      </c>
      <c r="I13599" s="143">
        <v>55000000</v>
      </c>
    </row>
    <row r="13600" spans="1:9" x14ac:dyDescent="0.2">
      <c r="A13600" s="134">
        <v>46089</v>
      </c>
      <c r="B13600" s="135">
        <f>YEAR(source[[#This Row],[report_date]])</f>
        <v>2026</v>
      </c>
      <c r="C13600" s="128">
        <f t="shared" si="635"/>
        <v>3</v>
      </c>
      <c r="D13600" s="136">
        <f t="shared" si="637"/>
        <v>10</v>
      </c>
      <c r="E13600" s="136">
        <f t="shared" si="636"/>
        <v>8</v>
      </c>
      <c r="F13600" s="137" t="s">
        <v>24</v>
      </c>
      <c r="G13600" s="128" t="str">
        <f>VLOOKUP(source[[#This Row],[lending_product_transform]],[3]Mapping!$B$4:$C$37,2,0)</f>
        <v>[Cake] - Cashloan</v>
      </c>
      <c r="H13600" s="128" t="str">
        <f>VLOOKUP(source[[#This Row],[lending_product_transform]],[3]Mapping!$B$3:$D$37,3,0)</f>
        <v>cashloan</v>
      </c>
      <c r="I13600" s="143">
        <v>874430000</v>
      </c>
    </row>
    <row r="13601" spans="1:9" x14ac:dyDescent="0.2">
      <c r="A13601" s="134">
        <v>46089</v>
      </c>
      <c r="B13601" s="135">
        <f>YEAR(source[[#This Row],[report_date]])</f>
        <v>2026</v>
      </c>
      <c r="C13601" s="128">
        <f t="shared" si="635"/>
        <v>3</v>
      </c>
      <c r="D13601" s="136">
        <f t="shared" si="637"/>
        <v>10</v>
      </c>
      <c r="E13601" s="136">
        <f t="shared" si="636"/>
        <v>8</v>
      </c>
      <c r="F13601" s="137" t="s">
        <v>24</v>
      </c>
      <c r="G13601" s="128" t="str">
        <f>VLOOKUP(source[[#This Row],[lending_product_transform]],[3]Mapping!$B$4:$C$37,2,0)</f>
        <v>[Cake] - Cashloan</v>
      </c>
      <c r="H13601" s="128" t="str">
        <f>VLOOKUP(source[[#This Row],[lending_product_transform]],[3]Mapping!$B$3:$D$37,3,0)</f>
        <v>cashloan</v>
      </c>
      <c r="I13601" s="143">
        <v>328212000</v>
      </c>
    </row>
    <row r="13602" spans="1:9" x14ac:dyDescent="0.2">
      <c r="A13602" s="134">
        <v>46089</v>
      </c>
      <c r="B13602" s="135">
        <f>YEAR(source[[#This Row],[report_date]])</f>
        <v>2026</v>
      </c>
      <c r="C13602" s="128">
        <f t="shared" si="635"/>
        <v>3</v>
      </c>
      <c r="D13602" s="136">
        <f t="shared" si="637"/>
        <v>10</v>
      </c>
      <c r="E13602" s="136">
        <f t="shared" si="636"/>
        <v>8</v>
      </c>
      <c r="F13602" s="137" t="s">
        <v>24</v>
      </c>
      <c r="G13602" s="128" t="str">
        <f>VLOOKUP(source[[#This Row],[lending_product_transform]],[3]Mapping!$B$4:$C$37,2,0)</f>
        <v>[Cake] - Cashloan</v>
      </c>
      <c r="H13602" s="128" t="str">
        <f>VLOOKUP(source[[#This Row],[lending_product_transform]],[3]Mapping!$B$3:$D$37,3,0)</f>
        <v>cashloan</v>
      </c>
      <c r="I13602" s="143">
        <v>624902725</v>
      </c>
    </row>
    <row r="13603" spans="1:9" x14ac:dyDescent="0.2">
      <c r="A13603" s="134">
        <v>46089</v>
      </c>
      <c r="B13603" s="135">
        <f>YEAR(source[[#This Row],[report_date]])</f>
        <v>2026</v>
      </c>
      <c r="C13603" s="128">
        <f t="shared" si="635"/>
        <v>3</v>
      </c>
      <c r="D13603" s="136">
        <f t="shared" si="637"/>
        <v>10</v>
      </c>
      <c r="E13603" s="136">
        <f t="shared" si="636"/>
        <v>8</v>
      </c>
      <c r="F13603" s="137" t="s">
        <v>24</v>
      </c>
      <c r="G13603" s="128" t="str">
        <f>VLOOKUP(source[[#This Row],[lending_product_transform]],[3]Mapping!$B$4:$C$37,2,0)</f>
        <v>[Cake] - Cashloan</v>
      </c>
      <c r="H13603" s="128" t="str">
        <f>VLOOKUP(source[[#This Row],[lending_product_transform]],[3]Mapping!$B$3:$D$37,3,0)</f>
        <v>cashloan</v>
      </c>
      <c r="I13603" s="143">
        <v>2246390000</v>
      </c>
    </row>
    <row r="13604" spans="1:9" x14ac:dyDescent="0.2">
      <c r="A13604" s="134">
        <v>46089</v>
      </c>
      <c r="B13604" s="135">
        <f>YEAR(source[[#This Row],[report_date]])</f>
        <v>2026</v>
      </c>
      <c r="C13604" s="128">
        <f t="shared" si="635"/>
        <v>3</v>
      </c>
      <c r="D13604" s="136">
        <f t="shared" si="637"/>
        <v>10</v>
      </c>
      <c r="E13604" s="136">
        <f t="shared" si="636"/>
        <v>8</v>
      </c>
      <c r="F13604" s="137" t="s">
        <v>24</v>
      </c>
      <c r="G13604" s="128" t="str">
        <f>VLOOKUP(source[[#This Row],[lending_product_transform]],[3]Mapping!$B$4:$C$37,2,0)</f>
        <v>[Cake] - Cashloan</v>
      </c>
      <c r="H13604" s="128" t="str">
        <f>VLOOKUP(source[[#This Row],[lending_product_transform]],[3]Mapping!$B$3:$D$37,3,0)</f>
        <v>cashloan</v>
      </c>
      <c r="I13604" s="143">
        <v>264600000</v>
      </c>
    </row>
    <row r="13605" spans="1:9" x14ac:dyDescent="0.2">
      <c r="A13605" s="134">
        <v>46090</v>
      </c>
      <c r="B13605" s="135">
        <f>YEAR(source[[#This Row],[report_date]])</f>
        <v>2026</v>
      </c>
      <c r="C13605" s="128">
        <f t="shared" si="635"/>
        <v>3</v>
      </c>
      <c r="D13605" s="136">
        <f t="shared" si="637"/>
        <v>11</v>
      </c>
      <c r="E13605" s="136">
        <f t="shared" si="636"/>
        <v>9</v>
      </c>
      <c r="F13605" s="137" t="s">
        <v>24</v>
      </c>
      <c r="G13605" s="128" t="str">
        <f>VLOOKUP(source[[#This Row],[lending_product_transform]],[3]Mapping!$B$4:$C$37,2,0)</f>
        <v>[Cake] - Cashloan</v>
      </c>
      <c r="H13605" s="128" t="str">
        <f>VLOOKUP(source[[#This Row],[lending_product_transform]],[3]Mapping!$B$3:$D$37,3,0)</f>
        <v>cashloan</v>
      </c>
      <c r="I13605" s="137">
        <v>1005700000</v>
      </c>
    </row>
    <row r="13606" spans="1:9" x14ac:dyDescent="0.2">
      <c r="A13606" s="134">
        <v>46090</v>
      </c>
      <c r="B13606" s="135">
        <f>YEAR(source[[#This Row],[report_date]])</f>
        <v>2026</v>
      </c>
      <c r="C13606" s="128">
        <f t="shared" si="635"/>
        <v>3</v>
      </c>
      <c r="D13606" s="136">
        <f t="shared" si="637"/>
        <v>11</v>
      </c>
      <c r="E13606" s="136">
        <f t="shared" si="636"/>
        <v>9</v>
      </c>
      <c r="F13606" s="137" t="s">
        <v>24</v>
      </c>
      <c r="G13606" s="128" t="str">
        <f>VLOOKUP(source[[#This Row],[lending_product_transform]],[3]Mapping!$B$4:$C$37,2,0)</f>
        <v>[Cake] - Cashloan</v>
      </c>
      <c r="H13606" s="128" t="str">
        <f>VLOOKUP(source[[#This Row],[lending_product_transform]],[3]Mapping!$B$3:$D$37,3,0)</f>
        <v>cashloan</v>
      </c>
      <c r="I13606" s="137">
        <v>444974431</v>
      </c>
    </row>
    <row r="13607" spans="1:9" x14ac:dyDescent="0.2">
      <c r="A13607" s="134">
        <v>46090</v>
      </c>
      <c r="B13607" s="135">
        <f>YEAR(source[[#This Row],[report_date]])</f>
        <v>2026</v>
      </c>
      <c r="C13607" s="128">
        <f t="shared" si="635"/>
        <v>3</v>
      </c>
      <c r="D13607" s="136">
        <f t="shared" si="637"/>
        <v>11</v>
      </c>
      <c r="E13607" s="136">
        <f t="shared" si="636"/>
        <v>9</v>
      </c>
      <c r="F13607" s="137" t="s">
        <v>24</v>
      </c>
      <c r="G13607" s="128" t="str">
        <f>VLOOKUP(source[[#This Row],[lending_product_transform]],[3]Mapping!$B$4:$C$37,2,0)</f>
        <v>[Cake] - Cashloan</v>
      </c>
      <c r="H13607" s="128" t="str">
        <f>VLOOKUP(source[[#This Row],[lending_product_transform]],[3]Mapping!$B$3:$D$37,3,0)</f>
        <v>cashloan</v>
      </c>
      <c r="I13607" s="137">
        <v>11435820000</v>
      </c>
    </row>
    <row r="13608" spans="1:9" x14ac:dyDescent="0.2">
      <c r="A13608" s="134">
        <v>46090</v>
      </c>
      <c r="B13608" s="135">
        <f>YEAR(source[[#This Row],[report_date]])</f>
        <v>2026</v>
      </c>
      <c r="C13608" s="128">
        <f t="shared" si="635"/>
        <v>3</v>
      </c>
      <c r="D13608" s="136">
        <f t="shared" si="637"/>
        <v>11</v>
      </c>
      <c r="E13608" s="136">
        <f t="shared" si="636"/>
        <v>9</v>
      </c>
      <c r="F13608" s="137" t="s">
        <v>24</v>
      </c>
      <c r="G13608" s="128" t="str">
        <f>VLOOKUP(source[[#This Row],[lending_product_transform]],[3]Mapping!$B$4:$C$37,2,0)</f>
        <v>[Cake] - Cashloan</v>
      </c>
      <c r="H13608" s="128" t="str">
        <f>VLOOKUP(source[[#This Row],[lending_product_transform]],[3]Mapping!$B$3:$D$37,3,0)</f>
        <v>cashloan</v>
      </c>
      <c r="I13608" s="137">
        <v>2060454033</v>
      </c>
    </row>
    <row r="13609" spans="1:9" x14ac:dyDescent="0.2">
      <c r="A13609" s="134">
        <v>46090</v>
      </c>
      <c r="B13609" s="135">
        <f>YEAR(source[[#This Row],[report_date]])</f>
        <v>2026</v>
      </c>
      <c r="C13609" s="128">
        <f t="shared" si="635"/>
        <v>3</v>
      </c>
      <c r="D13609" s="136">
        <f t="shared" si="637"/>
        <v>11</v>
      </c>
      <c r="E13609" s="136">
        <f t="shared" si="636"/>
        <v>9</v>
      </c>
      <c r="F13609" s="137" t="s">
        <v>24</v>
      </c>
      <c r="G13609" s="128" t="str">
        <f>VLOOKUP(source[[#This Row],[lending_product_transform]],[3]Mapping!$B$4:$C$37,2,0)</f>
        <v>[Cake] - Cashloan</v>
      </c>
      <c r="H13609" s="128" t="str">
        <f>VLOOKUP(source[[#This Row],[lending_product_transform]],[3]Mapping!$B$3:$D$37,3,0)</f>
        <v>cashloan</v>
      </c>
      <c r="I13609" s="137">
        <v>13272768000</v>
      </c>
    </row>
    <row r="13610" spans="1:9" x14ac:dyDescent="0.2">
      <c r="A13610" s="134">
        <v>46090</v>
      </c>
      <c r="B13610" s="135">
        <f>YEAR(source[[#This Row],[report_date]])</f>
        <v>2026</v>
      </c>
      <c r="C13610" s="128">
        <f t="shared" si="635"/>
        <v>3</v>
      </c>
      <c r="D13610" s="136">
        <f t="shared" si="637"/>
        <v>11</v>
      </c>
      <c r="E13610" s="136">
        <f t="shared" si="636"/>
        <v>9</v>
      </c>
      <c r="F13610" s="137" t="s">
        <v>24</v>
      </c>
      <c r="G13610" s="128" t="str">
        <f>VLOOKUP(source[[#This Row],[lending_product_transform]],[3]Mapping!$B$4:$C$37,2,0)</f>
        <v>[Cake] - Cashloan</v>
      </c>
      <c r="H13610" s="128" t="str">
        <f>VLOOKUP(source[[#This Row],[lending_product_transform]],[3]Mapping!$B$3:$D$37,3,0)</f>
        <v>cashloan</v>
      </c>
      <c r="I13610" s="137">
        <v>19002826</v>
      </c>
    </row>
    <row r="13611" spans="1:9" x14ac:dyDescent="0.2">
      <c r="A13611" s="134">
        <v>46090</v>
      </c>
      <c r="B13611" s="135">
        <f>YEAR(source[[#This Row],[report_date]])</f>
        <v>2026</v>
      </c>
      <c r="C13611" s="128">
        <f t="shared" si="635"/>
        <v>3</v>
      </c>
      <c r="D13611" s="136">
        <f t="shared" si="637"/>
        <v>11</v>
      </c>
      <c r="E13611" s="136">
        <f t="shared" si="636"/>
        <v>9</v>
      </c>
      <c r="F13611" s="137" t="s">
        <v>24</v>
      </c>
      <c r="G13611" s="128" t="str">
        <f>VLOOKUP(source[[#This Row],[lending_product_transform]],[3]Mapping!$B$4:$C$37,2,0)</f>
        <v>[Cake] - Cashloan</v>
      </c>
      <c r="H13611" s="128" t="str">
        <f>VLOOKUP(source[[#This Row],[lending_product_transform]],[3]Mapping!$B$3:$D$37,3,0)</f>
        <v>cashloan</v>
      </c>
      <c r="I13611" s="137">
        <v>0</v>
      </c>
    </row>
    <row r="13612" spans="1:9" x14ac:dyDescent="0.2">
      <c r="A13612" s="134">
        <v>46090</v>
      </c>
      <c r="B13612" s="135">
        <f>YEAR(source[[#This Row],[report_date]])</f>
        <v>2026</v>
      </c>
      <c r="C13612" s="128">
        <f t="shared" si="635"/>
        <v>3</v>
      </c>
      <c r="D13612" s="136">
        <f t="shared" si="637"/>
        <v>11</v>
      </c>
      <c r="E13612" s="136">
        <f t="shared" si="636"/>
        <v>9</v>
      </c>
      <c r="F13612" s="137" t="s">
        <v>24</v>
      </c>
      <c r="G13612" s="128" t="str">
        <f>VLOOKUP(source[[#This Row],[lending_product_transform]],[3]Mapping!$B$4:$C$37,2,0)</f>
        <v>[Cake] - Cashloan</v>
      </c>
      <c r="H13612" s="128" t="str">
        <f>VLOOKUP(source[[#This Row],[lending_product_transform]],[3]Mapping!$B$3:$D$37,3,0)</f>
        <v>cashloan</v>
      </c>
      <c r="I13612" s="137">
        <v>2979040000</v>
      </c>
    </row>
    <row r="13613" spans="1:9" x14ac:dyDescent="0.2">
      <c r="A13613" s="134">
        <v>46090</v>
      </c>
      <c r="B13613" s="135">
        <f>YEAR(source[[#This Row],[report_date]])</f>
        <v>2026</v>
      </c>
      <c r="C13613" s="128">
        <f t="shared" si="635"/>
        <v>3</v>
      </c>
      <c r="D13613" s="136">
        <f t="shared" si="637"/>
        <v>11</v>
      </c>
      <c r="E13613" s="136">
        <f t="shared" si="636"/>
        <v>9</v>
      </c>
      <c r="F13613" s="137" t="s">
        <v>24</v>
      </c>
      <c r="G13613" s="128" t="str">
        <f>VLOOKUP(source[[#This Row],[lending_product_transform]],[3]Mapping!$B$4:$C$37,2,0)</f>
        <v>[Cake] - Cashloan</v>
      </c>
      <c r="H13613" s="128" t="str">
        <f>VLOOKUP(source[[#This Row],[lending_product_transform]],[3]Mapping!$B$3:$D$37,3,0)</f>
        <v>cashloan</v>
      </c>
      <c r="I13613" s="137">
        <v>994660000</v>
      </c>
    </row>
    <row r="13614" spans="1:9" x14ac:dyDescent="0.2">
      <c r="A13614" s="134">
        <v>46090</v>
      </c>
      <c r="B13614" s="135">
        <f>YEAR(source[[#This Row],[report_date]])</f>
        <v>2026</v>
      </c>
      <c r="C13614" s="128">
        <f t="shared" si="635"/>
        <v>3</v>
      </c>
      <c r="D13614" s="136">
        <f t="shared" si="637"/>
        <v>11</v>
      </c>
      <c r="E13614" s="136">
        <f t="shared" si="636"/>
        <v>9</v>
      </c>
      <c r="F13614" s="137" t="s">
        <v>24</v>
      </c>
      <c r="G13614" s="128" t="str">
        <f>VLOOKUP(source[[#This Row],[lending_product_transform]],[3]Mapping!$B$4:$C$37,2,0)</f>
        <v>[Cake] - Cashloan</v>
      </c>
      <c r="H13614" s="128" t="str">
        <f>VLOOKUP(source[[#This Row],[lending_product_transform]],[3]Mapping!$B$3:$D$37,3,0)</f>
        <v>cashloan</v>
      </c>
      <c r="I13614" s="137">
        <v>27289580</v>
      </c>
    </row>
    <row r="13615" spans="1:9" x14ac:dyDescent="0.2">
      <c r="A13615" s="134">
        <v>46090</v>
      </c>
      <c r="B13615" s="135">
        <f>YEAR(source[[#This Row],[report_date]])</f>
        <v>2026</v>
      </c>
      <c r="C13615" s="128">
        <f t="shared" si="635"/>
        <v>3</v>
      </c>
      <c r="D13615" s="136">
        <f t="shared" si="637"/>
        <v>11</v>
      </c>
      <c r="E13615" s="136">
        <f t="shared" si="636"/>
        <v>9</v>
      </c>
      <c r="F13615" s="137" t="s">
        <v>24</v>
      </c>
      <c r="G13615" s="128" t="str">
        <f>VLOOKUP(source[[#This Row],[lending_product_transform]],[3]Mapping!$B$4:$C$37,2,0)</f>
        <v>[Cake] - Cashloan</v>
      </c>
      <c r="H13615" s="128" t="str">
        <f>VLOOKUP(source[[#This Row],[lending_product_transform]],[3]Mapping!$B$3:$D$37,3,0)</f>
        <v>cashloan</v>
      </c>
      <c r="I13615" s="137">
        <v>1144625438</v>
      </c>
    </row>
    <row r="13616" spans="1:9" x14ac:dyDescent="0.2">
      <c r="A13616" s="134">
        <v>46090</v>
      </c>
      <c r="B13616" s="135">
        <f>YEAR(source[[#This Row],[report_date]])</f>
        <v>2026</v>
      </c>
      <c r="C13616" s="128">
        <f t="shared" si="635"/>
        <v>3</v>
      </c>
      <c r="D13616" s="136">
        <f t="shared" si="637"/>
        <v>11</v>
      </c>
      <c r="E13616" s="136">
        <f t="shared" si="636"/>
        <v>9</v>
      </c>
      <c r="F13616" s="137" t="s">
        <v>24</v>
      </c>
      <c r="G13616" s="128" t="str">
        <f>VLOOKUP(source[[#This Row],[lending_product_transform]],[3]Mapping!$B$4:$C$37,2,0)</f>
        <v>[Cake] - Cashloan</v>
      </c>
      <c r="H13616" s="128" t="str">
        <f>VLOOKUP(source[[#This Row],[lending_product_transform]],[3]Mapping!$B$3:$D$37,3,0)</f>
        <v>cashloan</v>
      </c>
      <c r="I13616" s="137">
        <v>0</v>
      </c>
    </row>
    <row r="13617" spans="1:9" x14ac:dyDescent="0.2">
      <c r="A13617" s="134">
        <v>46090</v>
      </c>
      <c r="B13617" s="135">
        <f>YEAR(source[[#This Row],[report_date]])</f>
        <v>2026</v>
      </c>
      <c r="C13617" s="128">
        <f t="shared" si="635"/>
        <v>3</v>
      </c>
      <c r="D13617" s="136">
        <f t="shared" si="637"/>
        <v>11</v>
      </c>
      <c r="E13617" s="136">
        <f t="shared" si="636"/>
        <v>9</v>
      </c>
      <c r="F13617" s="137" t="s">
        <v>24</v>
      </c>
      <c r="G13617" s="128" t="str">
        <f>VLOOKUP(source[[#This Row],[lending_product_transform]],[3]Mapping!$B$4:$C$37,2,0)</f>
        <v>[Cake] - Cashloan</v>
      </c>
      <c r="H13617" s="128" t="str">
        <f>VLOOKUP(source[[#This Row],[lending_product_transform]],[3]Mapping!$B$3:$D$37,3,0)</f>
        <v>cashloan</v>
      </c>
      <c r="I13617" s="137">
        <v>156000000</v>
      </c>
    </row>
    <row r="13618" spans="1:9" x14ac:dyDescent="0.2">
      <c r="A13618" s="134">
        <v>46090</v>
      </c>
      <c r="B13618" s="135">
        <f>YEAR(source[[#This Row],[report_date]])</f>
        <v>2026</v>
      </c>
      <c r="C13618" s="128">
        <f t="shared" si="635"/>
        <v>3</v>
      </c>
      <c r="D13618" s="136">
        <f t="shared" si="637"/>
        <v>11</v>
      </c>
      <c r="E13618" s="136">
        <f t="shared" si="636"/>
        <v>9</v>
      </c>
      <c r="F13618" s="137" t="s">
        <v>24</v>
      </c>
      <c r="G13618" s="128" t="str">
        <f>VLOOKUP(source[[#This Row],[lending_product_transform]],[3]Mapping!$B$4:$C$37,2,0)</f>
        <v>[Cake] - Cashloan</v>
      </c>
      <c r="H13618" s="128" t="str">
        <f>VLOOKUP(source[[#This Row],[lending_product_transform]],[3]Mapping!$B$3:$D$37,3,0)</f>
        <v>cashloan</v>
      </c>
      <c r="I13618" s="137">
        <v>81000000</v>
      </c>
    </row>
    <row r="13619" spans="1:9" x14ac:dyDescent="0.2">
      <c r="A13619" s="134">
        <v>46090</v>
      </c>
      <c r="B13619" s="135">
        <f>YEAR(source[[#This Row],[report_date]])</f>
        <v>2026</v>
      </c>
      <c r="C13619" s="128">
        <f t="shared" si="635"/>
        <v>3</v>
      </c>
      <c r="D13619" s="136">
        <f t="shared" si="637"/>
        <v>11</v>
      </c>
      <c r="E13619" s="136">
        <f t="shared" si="636"/>
        <v>9</v>
      </c>
      <c r="F13619" s="137" t="s">
        <v>24</v>
      </c>
      <c r="G13619" s="128" t="str">
        <f>VLOOKUP(source[[#This Row],[lending_product_transform]],[3]Mapping!$B$4:$C$37,2,0)</f>
        <v>[Cake] - Cashloan</v>
      </c>
      <c r="H13619" s="128" t="str">
        <f>VLOOKUP(source[[#This Row],[lending_product_transform]],[3]Mapping!$B$3:$D$37,3,0)</f>
        <v>cashloan</v>
      </c>
      <c r="I13619" s="137">
        <v>16470360000</v>
      </c>
    </row>
    <row r="13620" spans="1:9" x14ac:dyDescent="0.2">
      <c r="A13620" s="134">
        <v>46090</v>
      </c>
      <c r="B13620" s="135">
        <f>YEAR(source[[#This Row],[report_date]])</f>
        <v>2026</v>
      </c>
      <c r="C13620" s="128">
        <f t="shared" si="635"/>
        <v>3</v>
      </c>
      <c r="D13620" s="136">
        <f t="shared" si="637"/>
        <v>11</v>
      </c>
      <c r="E13620" s="136">
        <f t="shared" si="636"/>
        <v>9</v>
      </c>
      <c r="F13620" s="137" t="s">
        <v>24</v>
      </c>
      <c r="G13620" s="128" t="str">
        <f>VLOOKUP(source[[#This Row],[lending_product_transform]],[3]Mapping!$B$4:$C$37,2,0)</f>
        <v>[Cake] - Cashloan</v>
      </c>
      <c r="H13620" s="128" t="str">
        <f>VLOOKUP(source[[#This Row],[lending_product_transform]],[3]Mapping!$B$3:$D$37,3,0)</f>
        <v>cashloan</v>
      </c>
      <c r="I13620" s="137">
        <v>0</v>
      </c>
    </row>
    <row r="13621" spans="1:9" x14ac:dyDescent="0.2">
      <c r="A13621" s="134">
        <v>46090</v>
      </c>
      <c r="B13621" s="135">
        <f>YEAR(source[[#This Row],[report_date]])</f>
        <v>2026</v>
      </c>
      <c r="C13621" s="128">
        <f t="shared" si="635"/>
        <v>3</v>
      </c>
      <c r="D13621" s="136">
        <f t="shared" si="637"/>
        <v>11</v>
      </c>
      <c r="E13621" s="136">
        <f t="shared" si="636"/>
        <v>9</v>
      </c>
      <c r="F13621" s="137" t="s">
        <v>24</v>
      </c>
      <c r="G13621" s="128" t="str">
        <f>VLOOKUP(source[[#This Row],[lending_product_transform]],[3]Mapping!$B$4:$C$37,2,0)</f>
        <v>[Cake] - Cashloan</v>
      </c>
      <c r="H13621" s="128" t="str">
        <f>VLOOKUP(source[[#This Row],[lending_product_transform]],[3]Mapping!$B$3:$D$37,3,0)</f>
        <v>cashloan</v>
      </c>
      <c r="I13621" s="137">
        <v>0</v>
      </c>
    </row>
    <row r="13622" spans="1:9" x14ac:dyDescent="0.2">
      <c r="A13622" s="134">
        <v>46090</v>
      </c>
      <c r="B13622" s="135">
        <f>YEAR(source[[#This Row],[report_date]])</f>
        <v>2026</v>
      </c>
      <c r="C13622" s="128">
        <f t="shared" ref="C13622:C13685" si="638">MONTH(A13622)</f>
        <v>3</v>
      </c>
      <c r="D13622" s="136">
        <f t="shared" si="637"/>
        <v>11</v>
      </c>
      <c r="E13622" s="136">
        <f t="shared" ref="E13622:E13685" si="639">DAY(A13622)</f>
        <v>9</v>
      </c>
      <c r="F13622" s="137" t="s">
        <v>24</v>
      </c>
      <c r="G13622" s="128" t="str">
        <f>VLOOKUP(source[[#This Row],[lending_product_transform]],[3]Mapping!$B$4:$C$37,2,0)</f>
        <v>[Cake] - Cashloan</v>
      </c>
      <c r="H13622" s="128" t="str">
        <f>VLOOKUP(source[[#This Row],[lending_product_transform]],[3]Mapping!$B$3:$D$37,3,0)</f>
        <v>cashloan</v>
      </c>
      <c r="I13622" s="137">
        <v>0</v>
      </c>
    </row>
    <row r="13623" spans="1:9" x14ac:dyDescent="0.2">
      <c r="A13623" s="134">
        <v>46090</v>
      </c>
      <c r="B13623" s="135">
        <f>YEAR(source[[#This Row],[report_date]])</f>
        <v>2026</v>
      </c>
      <c r="C13623" s="128">
        <f t="shared" si="638"/>
        <v>3</v>
      </c>
      <c r="D13623" s="136">
        <f t="shared" si="637"/>
        <v>11</v>
      </c>
      <c r="E13623" s="136">
        <f t="shared" si="639"/>
        <v>9</v>
      </c>
      <c r="F13623" s="137" t="s">
        <v>24</v>
      </c>
      <c r="G13623" s="128" t="str">
        <f>VLOOKUP(source[[#This Row],[lending_product_transform]],[3]Mapping!$B$4:$C$37,2,0)</f>
        <v>[Cake] - Cashloan</v>
      </c>
      <c r="H13623" s="128" t="str">
        <f>VLOOKUP(source[[#This Row],[lending_product_transform]],[3]Mapping!$B$3:$D$37,3,0)</f>
        <v>cashloan</v>
      </c>
      <c r="I13623" s="137">
        <v>0</v>
      </c>
    </row>
    <row r="13624" spans="1:9" x14ac:dyDescent="0.2">
      <c r="A13624" s="134">
        <v>46090</v>
      </c>
      <c r="B13624" s="135">
        <f>YEAR(source[[#This Row],[report_date]])</f>
        <v>2026</v>
      </c>
      <c r="C13624" s="128">
        <f t="shared" si="638"/>
        <v>3</v>
      </c>
      <c r="D13624" s="136">
        <f t="shared" si="637"/>
        <v>11</v>
      </c>
      <c r="E13624" s="136">
        <f t="shared" si="639"/>
        <v>9</v>
      </c>
      <c r="F13624" s="137" t="s">
        <v>24</v>
      </c>
      <c r="G13624" s="128" t="str">
        <f>VLOOKUP(source[[#This Row],[lending_product_transform]],[3]Mapping!$B$4:$C$37,2,0)</f>
        <v>[Cake] - Cashloan</v>
      </c>
      <c r="H13624" s="128" t="str">
        <f>VLOOKUP(source[[#This Row],[lending_product_transform]],[3]Mapping!$B$3:$D$37,3,0)</f>
        <v>cashloan</v>
      </c>
      <c r="I13624" s="137">
        <v>10891260000</v>
      </c>
    </row>
    <row r="13625" spans="1:9" x14ac:dyDescent="0.2">
      <c r="A13625" s="134">
        <v>46090</v>
      </c>
      <c r="B13625" s="135">
        <f>YEAR(source[[#This Row],[report_date]])</f>
        <v>2026</v>
      </c>
      <c r="C13625" s="128">
        <f t="shared" si="638"/>
        <v>3</v>
      </c>
      <c r="D13625" s="136">
        <f t="shared" si="637"/>
        <v>11</v>
      </c>
      <c r="E13625" s="136">
        <f t="shared" si="639"/>
        <v>9</v>
      </c>
      <c r="F13625" s="137" t="s">
        <v>24</v>
      </c>
      <c r="G13625" s="128" t="str">
        <f>VLOOKUP(source[[#This Row],[lending_product_transform]],[3]Mapping!$B$4:$C$37,2,0)</f>
        <v>[Cake] - Cashloan</v>
      </c>
      <c r="H13625" s="128" t="str">
        <f>VLOOKUP(source[[#This Row],[lending_product_transform]],[3]Mapping!$B$3:$D$37,3,0)</f>
        <v>cashloan</v>
      </c>
      <c r="I13625" s="137">
        <v>341293506</v>
      </c>
    </row>
    <row r="13626" spans="1:9" x14ac:dyDescent="0.2">
      <c r="A13626" s="134">
        <v>46090</v>
      </c>
      <c r="B13626" s="135">
        <f>YEAR(source[[#This Row],[report_date]])</f>
        <v>2026</v>
      </c>
      <c r="C13626" s="128">
        <f t="shared" si="638"/>
        <v>3</v>
      </c>
      <c r="D13626" s="136">
        <f t="shared" si="637"/>
        <v>11</v>
      </c>
      <c r="E13626" s="136">
        <f t="shared" si="639"/>
        <v>9</v>
      </c>
      <c r="F13626" s="137" t="s">
        <v>24</v>
      </c>
      <c r="G13626" s="128" t="str">
        <f>VLOOKUP(source[[#This Row],[lending_product_transform]],[3]Mapping!$B$4:$C$37,2,0)</f>
        <v>[Cake] - Cashloan</v>
      </c>
      <c r="H13626" s="128" t="str">
        <f>VLOOKUP(source[[#This Row],[lending_product_transform]],[3]Mapping!$B$3:$D$37,3,0)</f>
        <v>cashloan</v>
      </c>
      <c r="I13626" s="137">
        <v>21000000</v>
      </c>
    </row>
    <row r="13627" spans="1:9" x14ac:dyDescent="0.2">
      <c r="A13627" s="134">
        <v>46090</v>
      </c>
      <c r="B13627" s="135">
        <f>YEAR(source[[#This Row],[report_date]])</f>
        <v>2026</v>
      </c>
      <c r="C13627" s="128">
        <f t="shared" si="638"/>
        <v>3</v>
      </c>
      <c r="D13627" s="136">
        <f t="shared" si="637"/>
        <v>11</v>
      </c>
      <c r="E13627" s="136">
        <f t="shared" si="639"/>
        <v>9</v>
      </c>
      <c r="F13627" s="137" t="s">
        <v>24</v>
      </c>
      <c r="G13627" s="128" t="str">
        <f>VLOOKUP(source[[#This Row],[lending_product_transform]],[3]Mapping!$B$4:$C$37,2,0)</f>
        <v>[Cake] - Cashloan</v>
      </c>
      <c r="H13627" s="128" t="str">
        <f>VLOOKUP(source[[#This Row],[lending_product_transform]],[3]Mapping!$B$3:$D$37,3,0)</f>
        <v>cashloan</v>
      </c>
      <c r="I13627" s="137">
        <v>81000000</v>
      </c>
    </row>
    <row r="13628" spans="1:9" x14ac:dyDescent="0.2">
      <c r="A13628" s="134">
        <v>46090</v>
      </c>
      <c r="B13628" s="135">
        <f>YEAR(source[[#This Row],[report_date]])</f>
        <v>2026</v>
      </c>
      <c r="C13628" s="128">
        <f t="shared" si="638"/>
        <v>3</v>
      </c>
      <c r="D13628" s="136">
        <f t="shared" si="637"/>
        <v>11</v>
      </c>
      <c r="E13628" s="136">
        <f t="shared" si="639"/>
        <v>9</v>
      </c>
      <c r="F13628" s="137" t="s">
        <v>24</v>
      </c>
      <c r="G13628" s="128" t="str">
        <f>VLOOKUP(source[[#This Row],[lending_product_transform]],[3]Mapping!$B$4:$C$37,2,0)</f>
        <v>[Cake] - Cashloan</v>
      </c>
      <c r="H13628" s="128" t="str">
        <f>VLOOKUP(source[[#This Row],[lending_product_transform]],[3]Mapping!$B$3:$D$37,3,0)</f>
        <v>cashloan</v>
      </c>
      <c r="I13628" s="137">
        <v>944290000</v>
      </c>
    </row>
    <row r="13629" spans="1:9" x14ac:dyDescent="0.2">
      <c r="A13629" s="134">
        <v>46090</v>
      </c>
      <c r="B13629" s="135">
        <f>YEAR(source[[#This Row],[report_date]])</f>
        <v>2026</v>
      </c>
      <c r="C13629" s="128">
        <f t="shared" si="638"/>
        <v>3</v>
      </c>
      <c r="D13629" s="136">
        <f t="shared" si="637"/>
        <v>11</v>
      </c>
      <c r="E13629" s="136">
        <f t="shared" si="639"/>
        <v>9</v>
      </c>
      <c r="F13629" s="137" t="s">
        <v>24</v>
      </c>
      <c r="G13629" s="128" t="str">
        <f>VLOOKUP(source[[#This Row],[lending_product_transform]],[3]Mapping!$B$4:$C$37,2,0)</f>
        <v>[Cake] - Cashloan</v>
      </c>
      <c r="H13629" s="128" t="str">
        <f>VLOOKUP(source[[#This Row],[lending_product_transform]],[3]Mapping!$B$3:$D$37,3,0)</f>
        <v>cashloan</v>
      </c>
      <c r="I13629" s="137">
        <v>268920000</v>
      </c>
    </row>
    <row r="13630" spans="1:9" x14ac:dyDescent="0.2">
      <c r="A13630" s="134">
        <v>46090</v>
      </c>
      <c r="B13630" s="135">
        <f>YEAR(source[[#This Row],[report_date]])</f>
        <v>2026</v>
      </c>
      <c r="C13630" s="128">
        <f t="shared" si="638"/>
        <v>3</v>
      </c>
      <c r="D13630" s="136">
        <f t="shared" si="637"/>
        <v>11</v>
      </c>
      <c r="E13630" s="136">
        <f t="shared" si="639"/>
        <v>9</v>
      </c>
      <c r="F13630" s="137" t="s">
        <v>24</v>
      </c>
      <c r="G13630" s="128" t="str">
        <f>VLOOKUP(source[[#This Row],[lending_product_transform]],[3]Mapping!$B$4:$C$37,2,0)</f>
        <v>[Cake] - Cashloan</v>
      </c>
      <c r="H13630" s="128" t="str">
        <f>VLOOKUP(source[[#This Row],[lending_product_transform]],[3]Mapping!$B$3:$D$37,3,0)</f>
        <v>cashloan</v>
      </c>
      <c r="I13630" s="137">
        <v>580390160</v>
      </c>
    </row>
    <row r="13631" spans="1:9" x14ac:dyDescent="0.2">
      <c r="A13631" s="134">
        <v>46090</v>
      </c>
      <c r="B13631" s="135">
        <f>YEAR(source[[#This Row],[report_date]])</f>
        <v>2026</v>
      </c>
      <c r="C13631" s="128">
        <f t="shared" si="638"/>
        <v>3</v>
      </c>
      <c r="D13631" s="136">
        <f t="shared" si="637"/>
        <v>11</v>
      </c>
      <c r="E13631" s="136">
        <f t="shared" si="639"/>
        <v>9</v>
      </c>
      <c r="F13631" s="137" t="s">
        <v>24</v>
      </c>
      <c r="G13631" s="128" t="str">
        <f>VLOOKUP(source[[#This Row],[lending_product_transform]],[3]Mapping!$B$4:$C$37,2,0)</f>
        <v>[Cake] - Cashloan</v>
      </c>
      <c r="H13631" s="128" t="str">
        <f>VLOOKUP(source[[#This Row],[lending_product_transform]],[3]Mapping!$B$3:$D$37,3,0)</f>
        <v>cashloan</v>
      </c>
      <c r="I13631" s="137">
        <v>2689610000</v>
      </c>
    </row>
    <row r="13632" spans="1:9" x14ac:dyDescent="0.2">
      <c r="A13632" s="134">
        <v>46090</v>
      </c>
      <c r="B13632" s="135">
        <f>YEAR(source[[#This Row],[report_date]])</f>
        <v>2026</v>
      </c>
      <c r="C13632" s="128">
        <f t="shared" si="638"/>
        <v>3</v>
      </c>
      <c r="D13632" s="136">
        <f t="shared" si="637"/>
        <v>11</v>
      </c>
      <c r="E13632" s="136">
        <f t="shared" si="639"/>
        <v>9</v>
      </c>
      <c r="F13632" s="137" t="s">
        <v>24</v>
      </c>
      <c r="G13632" s="128" t="str">
        <f>VLOOKUP(source[[#This Row],[lending_product_transform]],[3]Mapping!$B$4:$C$37,2,0)</f>
        <v>[Cake] - Cashloan</v>
      </c>
      <c r="H13632" s="128" t="str">
        <f>VLOOKUP(source[[#This Row],[lending_product_transform]],[3]Mapping!$B$3:$D$37,3,0)</f>
        <v>cashloan</v>
      </c>
      <c r="I13632" s="137">
        <v>279720000</v>
      </c>
    </row>
    <row r="13633" spans="1:9" x14ac:dyDescent="0.2">
      <c r="A13633" s="134">
        <v>46091</v>
      </c>
      <c r="B13633" s="135">
        <f>YEAR(source[[#This Row],[report_date]])</f>
        <v>2026</v>
      </c>
      <c r="C13633" s="128">
        <f t="shared" si="638"/>
        <v>3</v>
      </c>
      <c r="D13633" s="136">
        <f t="shared" si="637"/>
        <v>11</v>
      </c>
      <c r="E13633" s="136">
        <f t="shared" si="639"/>
        <v>10</v>
      </c>
      <c r="F13633" s="137" t="s">
        <v>24</v>
      </c>
      <c r="G13633" s="128" t="str">
        <f>VLOOKUP(source[[#This Row],[lending_product_transform]],[3]Mapping!$B$4:$C$37,2,0)</f>
        <v>[Cake] - Cashloan</v>
      </c>
      <c r="H13633" s="128" t="str">
        <f>VLOOKUP(source[[#This Row],[lending_product_transform]],[3]Mapping!$B$3:$D$37,3,0)</f>
        <v>cashloan</v>
      </c>
      <c r="I13633" s="137">
        <v>1279400000</v>
      </c>
    </row>
    <row r="13634" spans="1:9" x14ac:dyDescent="0.2">
      <c r="A13634" s="134">
        <v>46091</v>
      </c>
      <c r="B13634" s="135">
        <f>YEAR(source[[#This Row],[report_date]])</f>
        <v>2026</v>
      </c>
      <c r="C13634" s="128">
        <f t="shared" si="638"/>
        <v>3</v>
      </c>
      <c r="D13634" s="136">
        <f t="shared" si="637"/>
        <v>11</v>
      </c>
      <c r="E13634" s="136">
        <f t="shared" si="639"/>
        <v>10</v>
      </c>
      <c r="F13634" s="137" t="s">
        <v>24</v>
      </c>
      <c r="G13634" s="128" t="str">
        <f>VLOOKUP(source[[#This Row],[lending_product_transform]],[3]Mapping!$B$4:$C$37,2,0)</f>
        <v>[Cake] - Cashloan</v>
      </c>
      <c r="H13634" s="128" t="str">
        <f>VLOOKUP(source[[#This Row],[lending_product_transform]],[3]Mapping!$B$3:$D$37,3,0)</f>
        <v>cashloan</v>
      </c>
      <c r="I13634" s="137">
        <v>377427314</v>
      </c>
    </row>
    <row r="13635" spans="1:9" x14ac:dyDescent="0.2">
      <c r="A13635" s="134">
        <v>46091</v>
      </c>
      <c r="B13635" s="135">
        <f>YEAR(source[[#This Row],[report_date]])</f>
        <v>2026</v>
      </c>
      <c r="C13635" s="128">
        <f t="shared" si="638"/>
        <v>3</v>
      </c>
      <c r="D13635" s="136">
        <f t="shared" si="637"/>
        <v>11</v>
      </c>
      <c r="E13635" s="136">
        <f t="shared" si="639"/>
        <v>10</v>
      </c>
      <c r="F13635" s="137" t="s">
        <v>24</v>
      </c>
      <c r="G13635" s="128" t="str">
        <f>VLOOKUP(source[[#This Row],[lending_product_transform]],[3]Mapping!$B$4:$C$37,2,0)</f>
        <v>[Cake] - Cashloan</v>
      </c>
      <c r="H13635" s="128" t="str">
        <f>VLOOKUP(source[[#This Row],[lending_product_transform]],[3]Mapping!$B$3:$D$37,3,0)</f>
        <v>cashloan</v>
      </c>
      <c r="I13635" s="137">
        <v>7659850000</v>
      </c>
    </row>
    <row r="13636" spans="1:9" x14ac:dyDescent="0.2">
      <c r="A13636" s="134">
        <v>46091</v>
      </c>
      <c r="B13636" s="135">
        <f>YEAR(source[[#This Row],[report_date]])</f>
        <v>2026</v>
      </c>
      <c r="C13636" s="128">
        <f t="shared" si="638"/>
        <v>3</v>
      </c>
      <c r="D13636" s="136">
        <f t="shared" si="637"/>
        <v>11</v>
      </c>
      <c r="E13636" s="136">
        <f t="shared" si="639"/>
        <v>10</v>
      </c>
      <c r="F13636" s="137" t="s">
        <v>24</v>
      </c>
      <c r="G13636" s="128" t="str">
        <f>VLOOKUP(source[[#This Row],[lending_product_transform]],[3]Mapping!$B$4:$C$37,2,0)</f>
        <v>[Cake] - Cashloan</v>
      </c>
      <c r="H13636" s="128" t="str">
        <f>VLOOKUP(source[[#This Row],[lending_product_transform]],[3]Mapping!$B$3:$D$37,3,0)</f>
        <v>cashloan</v>
      </c>
      <c r="I13636" s="137">
        <v>2025375445</v>
      </c>
    </row>
    <row r="13637" spans="1:9" x14ac:dyDescent="0.2">
      <c r="A13637" s="134">
        <v>46091</v>
      </c>
      <c r="B13637" s="135">
        <f>YEAR(source[[#This Row],[report_date]])</f>
        <v>2026</v>
      </c>
      <c r="C13637" s="128">
        <f t="shared" si="638"/>
        <v>3</v>
      </c>
      <c r="D13637" s="136">
        <f t="shared" si="637"/>
        <v>11</v>
      </c>
      <c r="E13637" s="136">
        <f t="shared" si="639"/>
        <v>10</v>
      </c>
      <c r="F13637" s="137" t="s">
        <v>24</v>
      </c>
      <c r="G13637" s="128" t="str">
        <f>VLOOKUP(source[[#This Row],[lending_product_transform]],[3]Mapping!$B$4:$C$37,2,0)</f>
        <v>[Cake] - Cashloan</v>
      </c>
      <c r="H13637" s="128" t="str">
        <f>VLOOKUP(source[[#This Row],[lending_product_transform]],[3]Mapping!$B$3:$D$37,3,0)</f>
        <v>cashloan</v>
      </c>
      <c r="I13637" s="137">
        <v>18105552000</v>
      </c>
    </row>
    <row r="13638" spans="1:9" x14ac:dyDescent="0.2">
      <c r="A13638" s="134">
        <v>46091</v>
      </c>
      <c r="B13638" s="135">
        <f>YEAR(source[[#This Row],[report_date]])</f>
        <v>2026</v>
      </c>
      <c r="C13638" s="128">
        <f t="shared" si="638"/>
        <v>3</v>
      </c>
      <c r="D13638" s="136">
        <f t="shared" si="637"/>
        <v>11</v>
      </c>
      <c r="E13638" s="136">
        <f t="shared" si="639"/>
        <v>10</v>
      </c>
      <c r="F13638" s="137" t="s">
        <v>24</v>
      </c>
      <c r="G13638" s="128" t="str">
        <f>VLOOKUP(source[[#This Row],[lending_product_transform]],[3]Mapping!$B$4:$C$37,2,0)</f>
        <v>[Cake] - Cashloan</v>
      </c>
      <c r="H13638" s="128" t="str">
        <f>VLOOKUP(source[[#This Row],[lending_product_transform]],[3]Mapping!$B$3:$D$37,3,0)</f>
        <v>cashloan</v>
      </c>
      <c r="I13638" s="137">
        <v>23264856</v>
      </c>
    </row>
    <row r="13639" spans="1:9" x14ac:dyDescent="0.2">
      <c r="A13639" s="134">
        <v>46091</v>
      </c>
      <c r="B13639" s="135">
        <f>YEAR(source[[#This Row],[report_date]])</f>
        <v>2026</v>
      </c>
      <c r="C13639" s="128">
        <f t="shared" si="638"/>
        <v>3</v>
      </c>
      <c r="D13639" s="136">
        <f t="shared" si="637"/>
        <v>11</v>
      </c>
      <c r="E13639" s="136">
        <f t="shared" si="639"/>
        <v>10</v>
      </c>
      <c r="F13639" s="137" t="s">
        <v>24</v>
      </c>
      <c r="G13639" s="128" t="str">
        <f>VLOOKUP(source[[#This Row],[lending_product_transform]],[3]Mapping!$B$4:$C$37,2,0)</f>
        <v>[Cake] - Cashloan</v>
      </c>
      <c r="H13639" s="128" t="str">
        <f>VLOOKUP(source[[#This Row],[lending_product_transform]],[3]Mapping!$B$3:$D$37,3,0)</f>
        <v>cashloan</v>
      </c>
      <c r="I13639" s="137">
        <v>90000000</v>
      </c>
    </row>
    <row r="13640" spans="1:9" x14ac:dyDescent="0.2">
      <c r="A13640" s="134">
        <v>46091</v>
      </c>
      <c r="B13640" s="135">
        <f>YEAR(source[[#This Row],[report_date]])</f>
        <v>2026</v>
      </c>
      <c r="C13640" s="128">
        <f t="shared" si="638"/>
        <v>3</v>
      </c>
      <c r="D13640" s="136">
        <f t="shared" si="637"/>
        <v>11</v>
      </c>
      <c r="E13640" s="136">
        <f t="shared" si="639"/>
        <v>10</v>
      </c>
      <c r="F13640" s="137" t="s">
        <v>24</v>
      </c>
      <c r="G13640" s="128" t="str">
        <f>VLOOKUP(source[[#This Row],[lending_product_transform]],[3]Mapping!$B$4:$C$37,2,0)</f>
        <v>[Cake] - Cashloan</v>
      </c>
      <c r="H13640" s="128" t="str">
        <f>VLOOKUP(source[[#This Row],[lending_product_transform]],[3]Mapping!$B$3:$D$37,3,0)</f>
        <v>cashloan</v>
      </c>
      <c r="I13640" s="137">
        <v>2601090000</v>
      </c>
    </row>
    <row r="13641" spans="1:9" x14ac:dyDescent="0.2">
      <c r="A13641" s="134">
        <v>46091</v>
      </c>
      <c r="B13641" s="135">
        <f>YEAR(source[[#This Row],[report_date]])</f>
        <v>2026</v>
      </c>
      <c r="C13641" s="128">
        <f t="shared" si="638"/>
        <v>3</v>
      </c>
      <c r="D13641" s="136">
        <f t="shared" si="637"/>
        <v>11</v>
      </c>
      <c r="E13641" s="136">
        <f t="shared" si="639"/>
        <v>10</v>
      </c>
      <c r="F13641" s="137" t="s">
        <v>24</v>
      </c>
      <c r="G13641" s="128" t="str">
        <f>VLOOKUP(source[[#This Row],[lending_product_transform]],[3]Mapping!$B$4:$C$37,2,0)</f>
        <v>[Cake] - Cashloan</v>
      </c>
      <c r="H13641" s="128" t="str">
        <f>VLOOKUP(source[[#This Row],[lending_product_transform]],[3]Mapping!$B$3:$D$37,3,0)</f>
        <v>cashloan</v>
      </c>
      <c r="I13641" s="137">
        <v>909560000</v>
      </c>
    </row>
    <row r="13642" spans="1:9" x14ac:dyDescent="0.2">
      <c r="A13642" s="134">
        <v>46091</v>
      </c>
      <c r="B13642" s="135">
        <f>YEAR(source[[#This Row],[report_date]])</f>
        <v>2026</v>
      </c>
      <c r="C13642" s="128">
        <f t="shared" si="638"/>
        <v>3</v>
      </c>
      <c r="D13642" s="136">
        <f t="shared" si="637"/>
        <v>11</v>
      </c>
      <c r="E13642" s="136">
        <f t="shared" si="639"/>
        <v>10</v>
      </c>
      <c r="F13642" s="137" t="s">
        <v>24</v>
      </c>
      <c r="G13642" s="128" t="str">
        <f>VLOOKUP(source[[#This Row],[lending_product_transform]],[3]Mapping!$B$4:$C$37,2,0)</f>
        <v>[Cake] - Cashloan</v>
      </c>
      <c r="H13642" s="128" t="str">
        <f>VLOOKUP(source[[#This Row],[lending_product_transform]],[3]Mapping!$B$3:$D$37,3,0)</f>
        <v>cashloan</v>
      </c>
      <c r="I13642" s="137">
        <v>28209071</v>
      </c>
    </row>
    <row r="13643" spans="1:9" x14ac:dyDescent="0.2">
      <c r="A13643" s="134">
        <v>46091</v>
      </c>
      <c r="B13643" s="135">
        <f>YEAR(source[[#This Row],[report_date]])</f>
        <v>2026</v>
      </c>
      <c r="C13643" s="128">
        <f t="shared" si="638"/>
        <v>3</v>
      </c>
      <c r="D13643" s="136">
        <f t="shared" si="637"/>
        <v>11</v>
      </c>
      <c r="E13643" s="136">
        <f t="shared" si="639"/>
        <v>10</v>
      </c>
      <c r="F13643" s="137" t="s">
        <v>24</v>
      </c>
      <c r="G13643" s="128" t="str">
        <f>VLOOKUP(source[[#This Row],[lending_product_transform]],[3]Mapping!$B$4:$C$37,2,0)</f>
        <v>[Cake] - Cashloan</v>
      </c>
      <c r="H13643" s="128" t="str">
        <f>VLOOKUP(source[[#This Row],[lending_product_transform]],[3]Mapping!$B$3:$D$37,3,0)</f>
        <v>cashloan</v>
      </c>
      <c r="I13643" s="137">
        <v>1378495798</v>
      </c>
    </row>
    <row r="13644" spans="1:9" x14ac:dyDescent="0.2">
      <c r="A13644" s="134">
        <v>46091</v>
      </c>
      <c r="B13644" s="135">
        <f>YEAR(source[[#This Row],[report_date]])</f>
        <v>2026</v>
      </c>
      <c r="C13644" s="128">
        <f t="shared" si="638"/>
        <v>3</v>
      </c>
      <c r="D13644" s="136">
        <f t="shared" si="637"/>
        <v>11</v>
      </c>
      <c r="E13644" s="136">
        <f t="shared" si="639"/>
        <v>10</v>
      </c>
      <c r="F13644" s="137" t="s">
        <v>24</v>
      </c>
      <c r="G13644" s="128" t="str">
        <f>VLOOKUP(source[[#This Row],[lending_product_transform]],[3]Mapping!$B$4:$C$37,2,0)</f>
        <v>[Cake] - Cashloan</v>
      </c>
      <c r="H13644" s="128" t="str">
        <f>VLOOKUP(source[[#This Row],[lending_product_transform]],[3]Mapping!$B$3:$D$37,3,0)</f>
        <v>cashloan</v>
      </c>
      <c r="I13644" s="137">
        <v>0</v>
      </c>
    </row>
    <row r="13645" spans="1:9" x14ac:dyDescent="0.2">
      <c r="A13645" s="134">
        <v>46091</v>
      </c>
      <c r="B13645" s="135">
        <f>YEAR(source[[#This Row],[report_date]])</f>
        <v>2026</v>
      </c>
      <c r="C13645" s="128">
        <f t="shared" si="638"/>
        <v>3</v>
      </c>
      <c r="D13645" s="136">
        <f t="shared" si="637"/>
        <v>11</v>
      </c>
      <c r="E13645" s="136">
        <f t="shared" si="639"/>
        <v>10</v>
      </c>
      <c r="F13645" s="137" t="s">
        <v>24</v>
      </c>
      <c r="G13645" s="128" t="str">
        <f>VLOOKUP(source[[#This Row],[lending_product_transform]],[3]Mapping!$B$4:$C$37,2,0)</f>
        <v>[Cake] - Cashloan</v>
      </c>
      <c r="H13645" s="128" t="str">
        <f>VLOOKUP(source[[#This Row],[lending_product_transform]],[3]Mapping!$B$3:$D$37,3,0)</f>
        <v>cashloan</v>
      </c>
      <c r="I13645" s="137">
        <v>124750000</v>
      </c>
    </row>
    <row r="13646" spans="1:9" x14ac:dyDescent="0.2">
      <c r="A13646" s="134">
        <v>46091</v>
      </c>
      <c r="B13646" s="135">
        <f>YEAR(source[[#This Row],[report_date]])</f>
        <v>2026</v>
      </c>
      <c r="C13646" s="128">
        <f t="shared" si="638"/>
        <v>3</v>
      </c>
      <c r="D13646" s="136">
        <f t="shared" si="637"/>
        <v>11</v>
      </c>
      <c r="E13646" s="136">
        <f t="shared" si="639"/>
        <v>10</v>
      </c>
      <c r="F13646" s="137" t="s">
        <v>24</v>
      </c>
      <c r="G13646" s="128" t="str">
        <f>VLOOKUP(source[[#This Row],[lending_product_transform]],[3]Mapping!$B$4:$C$37,2,0)</f>
        <v>[Cake] - Cashloan</v>
      </c>
      <c r="H13646" s="128" t="str">
        <f>VLOOKUP(source[[#This Row],[lending_product_transform]],[3]Mapping!$B$3:$D$37,3,0)</f>
        <v>cashloan</v>
      </c>
      <c r="I13646" s="137">
        <v>0</v>
      </c>
    </row>
    <row r="13647" spans="1:9" x14ac:dyDescent="0.2">
      <c r="A13647" s="134">
        <v>46091</v>
      </c>
      <c r="B13647" s="135">
        <f>YEAR(source[[#This Row],[report_date]])</f>
        <v>2026</v>
      </c>
      <c r="C13647" s="128">
        <f t="shared" si="638"/>
        <v>3</v>
      </c>
      <c r="D13647" s="136">
        <f t="shared" si="637"/>
        <v>11</v>
      </c>
      <c r="E13647" s="136">
        <f t="shared" si="639"/>
        <v>10</v>
      </c>
      <c r="F13647" s="137" t="s">
        <v>24</v>
      </c>
      <c r="G13647" s="128" t="str">
        <f>VLOOKUP(source[[#This Row],[lending_product_transform]],[3]Mapping!$B$4:$C$37,2,0)</f>
        <v>[Cake] - Cashloan</v>
      </c>
      <c r="H13647" s="128" t="str">
        <f>VLOOKUP(source[[#This Row],[lending_product_transform]],[3]Mapping!$B$3:$D$37,3,0)</f>
        <v>cashloan</v>
      </c>
      <c r="I13647" s="137">
        <v>17593010000</v>
      </c>
    </row>
    <row r="13648" spans="1:9" x14ac:dyDescent="0.2">
      <c r="A13648" s="134">
        <v>46091</v>
      </c>
      <c r="B13648" s="135">
        <f>YEAR(source[[#This Row],[report_date]])</f>
        <v>2026</v>
      </c>
      <c r="C13648" s="128">
        <f t="shared" si="638"/>
        <v>3</v>
      </c>
      <c r="D13648" s="136">
        <f t="shared" si="637"/>
        <v>11</v>
      </c>
      <c r="E13648" s="136">
        <f t="shared" si="639"/>
        <v>10</v>
      </c>
      <c r="F13648" s="137" t="s">
        <v>24</v>
      </c>
      <c r="G13648" s="128" t="str">
        <f>VLOOKUP(source[[#This Row],[lending_product_transform]],[3]Mapping!$B$4:$C$37,2,0)</f>
        <v>[Cake] - Cashloan</v>
      </c>
      <c r="H13648" s="128" t="str">
        <f>VLOOKUP(source[[#This Row],[lending_product_transform]],[3]Mapping!$B$3:$D$37,3,0)</f>
        <v>cashloan</v>
      </c>
      <c r="I13648" s="137">
        <v>0</v>
      </c>
    </row>
    <row r="13649" spans="1:9" x14ac:dyDescent="0.2">
      <c r="A13649" s="134">
        <v>46091</v>
      </c>
      <c r="B13649" s="135">
        <f>YEAR(source[[#This Row],[report_date]])</f>
        <v>2026</v>
      </c>
      <c r="C13649" s="128">
        <f t="shared" si="638"/>
        <v>3</v>
      </c>
      <c r="D13649" s="136">
        <f t="shared" ref="D13649:D13712" si="640">WEEKNUM(A13649,2)</f>
        <v>11</v>
      </c>
      <c r="E13649" s="136">
        <f t="shared" si="639"/>
        <v>10</v>
      </c>
      <c r="F13649" s="137" t="s">
        <v>24</v>
      </c>
      <c r="G13649" s="128" t="str">
        <f>VLOOKUP(source[[#This Row],[lending_product_transform]],[3]Mapping!$B$4:$C$37,2,0)</f>
        <v>[Cake] - Cashloan</v>
      </c>
      <c r="H13649" s="128" t="str">
        <f>VLOOKUP(source[[#This Row],[lending_product_transform]],[3]Mapping!$B$3:$D$37,3,0)</f>
        <v>cashloan</v>
      </c>
      <c r="I13649" s="137">
        <v>0</v>
      </c>
    </row>
    <row r="13650" spans="1:9" x14ac:dyDescent="0.2">
      <c r="A13650" s="134">
        <v>46091</v>
      </c>
      <c r="B13650" s="135">
        <f>YEAR(source[[#This Row],[report_date]])</f>
        <v>2026</v>
      </c>
      <c r="C13650" s="128">
        <f t="shared" si="638"/>
        <v>3</v>
      </c>
      <c r="D13650" s="136">
        <f t="shared" si="640"/>
        <v>11</v>
      </c>
      <c r="E13650" s="136">
        <f t="shared" si="639"/>
        <v>10</v>
      </c>
      <c r="F13650" s="137" t="s">
        <v>24</v>
      </c>
      <c r="G13650" s="128" t="str">
        <f>VLOOKUP(source[[#This Row],[lending_product_transform]],[3]Mapping!$B$4:$C$37,2,0)</f>
        <v>[Cake] - Cashloan</v>
      </c>
      <c r="H13650" s="128" t="str">
        <f>VLOOKUP(source[[#This Row],[lending_product_transform]],[3]Mapping!$B$3:$D$37,3,0)</f>
        <v>cashloan</v>
      </c>
      <c r="I13650" s="137">
        <v>0</v>
      </c>
    </row>
    <row r="13651" spans="1:9" x14ac:dyDescent="0.2">
      <c r="A13651" s="134">
        <v>46091</v>
      </c>
      <c r="B13651" s="135">
        <f>YEAR(source[[#This Row],[report_date]])</f>
        <v>2026</v>
      </c>
      <c r="C13651" s="128">
        <f t="shared" si="638"/>
        <v>3</v>
      </c>
      <c r="D13651" s="136">
        <f t="shared" si="640"/>
        <v>11</v>
      </c>
      <c r="E13651" s="136">
        <f t="shared" si="639"/>
        <v>10</v>
      </c>
      <c r="F13651" s="137" t="s">
        <v>24</v>
      </c>
      <c r="G13651" s="128" t="str">
        <f>VLOOKUP(source[[#This Row],[lending_product_transform]],[3]Mapping!$B$4:$C$37,2,0)</f>
        <v>[Cake] - Cashloan</v>
      </c>
      <c r="H13651" s="128" t="str">
        <f>VLOOKUP(source[[#This Row],[lending_product_transform]],[3]Mapping!$B$3:$D$37,3,0)</f>
        <v>cashloan</v>
      </c>
      <c r="I13651" s="137">
        <v>0</v>
      </c>
    </row>
    <row r="13652" spans="1:9" x14ac:dyDescent="0.2">
      <c r="A13652" s="134">
        <v>46091</v>
      </c>
      <c r="B13652" s="135">
        <f>YEAR(source[[#This Row],[report_date]])</f>
        <v>2026</v>
      </c>
      <c r="C13652" s="128">
        <f t="shared" si="638"/>
        <v>3</v>
      </c>
      <c r="D13652" s="136">
        <f t="shared" si="640"/>
        <v>11</v>
      </c>
      <c r="E13652" s="136">
        <f t="shared" si="639"/>
        <v>10</v>
      </c>
      <c r="F13652" s="137" t="s">
        <v>24</v>
      </c>
      <c r="G13652" s="128" t="str">
        <f>VLOOKUP(source[[#This Row],[lending_product_transform]],[3]Mapping!$B$4:$C$37,2,0)</f>
        <v>[Cake] - Cashloan</v>
      </c>
      <c r="H13652" s="128" t="str">
        <f>VLOOKUP(source[[#This Row],[lending_product_transform]],[3]Mapping!$B$3:$D$37,3,0)</f>
        <v>cashloan</v>
      </c>
      <c r="I13652" s="137">
        <v>17252460000</v>
      </c>
    </row>
    <row r="13653" spans="1:9" x14ac:dyDescent="0.2">
      <c r="A13653" s="134">
        <v>46091</v>
      </c>
      <c r="B13653" s="135">
        <f>YEAR(source[[#This Row],[report_date]])</f>
        <v>2026</v>
      </c>
      <c r="C13653" s="128">
        <f t="shared" si="638"/>
        <v>3</v>
      </c>
      <c r="D13653" s="136">
        <f t="shared" si="640"/>
        <v>11</v>
      </c>
      <c r="E13653" s="136">
        <f t="shared" si="639"/>
        <v>10</v>
      </c>
      <c r="F13653" s="137" t="s">
        <v>24</v>
      </c>
      <c r="G13653" s="128" t="str">
        <f>VLOOKUP(source[[#This Row],[lending_product_transform]],[3]Mapping!$B$4:$C$37,2,0)</f>
        <v>[Cake] - Cashloan</v>
      </c>
      <c r="H13653" s="128" t="str">
        <f>VLOOKUP(source[[#This Row],[lending_product_transform]],[3]Mapping!$B$3:$D$37,3,0)</f>
        <v>cashloan</v>
      </c>
      <c r="I13653" s="137">
        <v>287490745</v>
      </c>
    </row>
    <row r="13654" spans="1:9" x14ac:dyDescent="0.2">
      <c r="A13654" s="134">
        <v>46091</v>
      </c>
      <c r="B13654" s="135">
        <f>YEAR(source[[#This Row],[report_date]])</f>
        <v>2026</v>
      </c>
      <c r="C13654" s="128">
        <f t="shared" si="638"/>
        <v>3</v>
      </c>
      <c r="D13654" s="136">
        <f t="shared" si="640"/>
        <v>11</v>
      </c>
      <c r="E13654" s="136">
        <f t="shared" si="639"/>
        <v>10</v>
      </c>
      <c r="F13654" s="137" t="s">
        <v>24</v>
      </c>
      <c r="G13654" s="128" t="str">
        <f>VLOOKUP(source[[#This Row],[lending_product_transform]],[3]Mapping!$B$4:$C$37,2,0)</f>
        <v>[Cake] - Cashloan</v>
      </c>
      <c r="H13654" s="128" t="str">
        <f>VLOOKUP(source[[#This Row],[lending_product_transform]],[3]Mapping!$B$3:$D$37,3,0)</f>
        <v>cashloan</v>
      </c>
      <c r="I13654" s="137">
        <v>36750000</v>
      </c>
    </row>
    <row r="13655" spans="1:9" x14ac:dyDescent="0.2">
      <c r="A13655" s="134">
        <v>46091</v>
      </c>
      <c r="B13655" s="135">
        <f>YEAR(source[[#This Row],[report_date]])</f>
        <v>2026</v>
      </c>
      <c r="C13655" s="128">
        <f t="shared" si="638"/>
        <v>3</v>
      </c>
      <c r="D13655" s="136">
        <f t="shared" si="640"/>
        <v>11</v>
      </c>
      <c r="E13655" s="136">
        <f t="shared" si="639"/>
        <v>10</v>
      </c>
      <c r="F13655" s="137" t="s">
        <v>24</v>
      </c>
      <c r="G13655" s="128" t="str">
        <f>VLOOKUP(source[[#This Row],[lending_product_transform]],[3]Mapping!$B$4:$C$37,2,0)</f>
        <v>[Cake] - Cashloan</v>
      </c>
      <c r="H13655" s="128" t="str">
        <f>VLOOKUP(source[[#This Row],[lending_product_transform]],[3]Mapping!$B$3:$D$37,3,0)</f>
        <v>cashloan</v>
      </c>
      <c r="I13655" s="137">
        <v>55000000</v>
      </c>
    </row>
    <row r="13656" spans="1:9" x14ac:dyDescent="0.2">
      <c r="A13656" s="134">
        <v>46091</v>
      </c>
      <c r="B13656" s="135">
        <f>YEAR(source[[#This Row],[report_date]])</f>
        <v>2026</v>
      </c>
      <c r="C13656" s="128">
        <f t="shared" si="638"/>
        <v>3</v>
      </c>
      <c r="D13656" s="136">
        <f t="shared" si="640"/>
        <v>11</v>
      </c>
      <c r="E13656" s="136">
        <f t="shared" si="639"/>
        <v>10</v>
      </c>
      <c r="F13656" s="137" t="s">
        <v>24</v>
      </c>
      <c r="G13656" s="128" t="str">
        <f>VLOOKUP(source[[#This Row],[lending_product_transform]],[3]Mapping!$B$4:$C$37,2,0)</f>
        <v>[Cake] - Cashloan</v>
      </c>
      <c r="H13656" s="128" t="str">
        <f>VLOOKUP(source[[#This Row],[lending_product_transform]],[3]Mapping!$B$3:$D$37,3,0)</f>
        <v>cashloan</v>
      </c>
      <c r="I13656" s="137">
        <v>1053210000</v>
      </c>
    </row>
    <row r="13657" spans="1:9" x14ac:dyDescent="0.2">
      <c r="A13657" s="134">
        <v>46091</v>
      </c>
      <c r="B13657" s="135">
        <f>YEAR(source[[#This Row],[report_date]])</f>
        <v>2026</v>
      </c>
      <c r="C13657" s="128">
        <f t="shared" si="638"/>
        <v>3</v>
      </c>
      <c r="D13657" s="136">
        <f t="shared" si="640"/>
        <v>11</v>
      </c>
      <c r="E13657" s="136">
        <f t="shared" si="639"/>
        <v>10</v>
      </c>
      <c r="F13657" s="137" t="s">
        <v>24</v>
      </c>
      <c r="G13657" s="128" t="str">
        <f>VLOOKUP(source[[#This Row],[lending_product_transform]],[3]Mapping!$B$4:$C$37,2,0)</f>
        <v>[Cake] - Cashloan</v>
      </c>
      <c r="H13657" s="128" t="str">
        <f>VLOOKUP(source[[#This Row],[lending_product_transform]],[3]Mapping!$B$3:$D$37,3,0)</f>
        <v>cashloan</v>
      </c>
      <c r="I13657" s="137">
        <v>430596000</v>
      </c>
    </row>
    <row r="13658" spans="1:9" x14ac:dyDescent="0.2">
      <c r="A13658" s="134">
        <v>46091</v>
      </c>
      <c r="B13658" s="135">
        <f>YEAR(source[[#This Row],[report_date]])</f>
        <v>2026</v>
      </c>
      <c r="C13658" s="128">
        <f t="shared" si="638"/>
        <v>3</v>
      </c>
      <c r="D13658" s="136">
        <f t="shared" si="640"/>
        <v>11</v>
      </c>
      <c r="E13658" s="136">
        <f t="shared" si="639"/>
        <v>10</v>
      </c>
      <c r="F13658" s="137" t="s">
        <v>24</v>
      </c>
      <c r="G13658" s="128" t="str">
        <f>VLOOKUP(source[[#This Row],[lending_product_transform]],[3]Mapping!$B$4:$C$37,2,0)</f>
        <v>[Cake] - Cashloan</v>
      </c>
      <c r="H13658" s="128" t="str">
        <f>VLOOKUP(source[[#This Row],[lending_product_transform]],[3]Mapping!$B$3:$D$37,3,0)</f>
        <v>cashloan</v>
      </c>
      <c r="I13658" s="137">
        <v>529054519</v>
      </c>
    </row>
    <row r="13659" spans="1:9" x14ac:dyDescent="0.2">
      <c r="A13659" s="134">
        <v>46091</v>
      </c>
      <c r="B13659" s="135">
        <f>YEAR(source[[#This Row],[report_date]])</f>
        <v>2026</v>
      </c>
      <c r="C13659" s="128">
        <f t="shared" si="638"/>
        <v>3</v>
      </c>
      <c r="D13659" s="136">
        <f t="shared" si="640"/>
        <v>11</v>
      </c>
      <c r="E13659" s="136">
        <f t="shared" si="639"/>
        <v>10</v>
      </c>
      <c r="F13659" s="137" t="s">
        <v>24</v>
      </c>
      <c r="G13659" s="128" t="str">
        <f>VLOOKUP(source[[#This Row],[lending_product_transform]],[3]Mapping!$B$4:$C$37,2,0)</f>
        <v>[Cake] - Cashloan</v>
      </c>
      <c r="H13659" s="128" t="str">
        <f>VLOOKUP(source[[#This Row],[lending_product_transform]],[3]Mapping!$B$3:$D$37,3,0)</f>
        <v>cashloan</v>
      </c>
      <c r="I13659" s="137">
        <v>3004280000</v>
      </c>
    </row>
    <row r="13660" spans="1:9" x14ac:dyDescent="0.2">
      <c r="A13660" s="134">
        <v>46091</v>
      </c>
      <c r="B13660" s="135">
        <f>YEAR(source[[#This Row],[report_date]])</f>
        <v>2026</v>
      </c>
      <c r="C13660" s="128">
        <f t="shared" si="638"/>
        <v>3</v>
      </c>
      <c r="D13660" s="136">
        <f t="shared" si="640"/>
        <v>11</v>
      </c>
      <c r="E13660" s="136">
        <f t="shared" si="639"/>
        <v>10</v>
      </c>
      <c r="F13660" s="137" t="s">
        <v>24</v>
      </c>
      <c r="G13660" s="128" t="str">
        <f>VLOOKUP(source[[#This Row],[lending_product_transform]],[3]Mapping!$B$4:$C$37,2,0)</f>
        <v>[Cake] - Cashloan</v>
      </c>
      <c r="H13660" s="128" t="str">
        <f>VLOOKUP(source[[#This Row],[lending_product_transform]],[3]Mapping!$B$3:$D$37,3,0)</f>
        <v>cashloan</v>
      </c>
      <c r="I13660" s="137">
        <v>297000000</v>
      </c>
    </row>
    <row r="13661" spans="1:9" x14ac:dyDescent="0.2">
      <c r="A13661" s="134">
        <v>46092</v>
      </c>
      <c r="B13661" s="135">
        <f>YEAR(source[[#This Row],[report_date]])</f>
        <v>2026</v>
      </c>
      <c r="C13661" s="128">
        <f t="shared" si="638"/>
        <v>3</v>
      </c>
      <c r="D13661" s="136">
        <f t="shared" si="640"/>
        <v>11</v>
      </c>
      <c r="E13661" s="136">
        <f t="shared" si="639"/>
        <v>11</v>
      </c>
      <c r="F13661" s="137" t="s">
        <v>24</v>
      </c>
      <c r="G13661" s="128" t="str">
        <f>VLOOKUP(source[[#This Row],[lending_product_transform]],[3]Mapping!$B$4:$C$37,2,0)</f>
        <v>[Cake] - Cashloan</v>
      </c>
      <c r="H13661" s="128" t="str">
        <f>VLOOKUP(source[[#This Row],[lending_product_transform]],[3]Mapping!$B$3:$D$37,3,0)</f>
        <v>cashloan</v>
      </c>
      <c r="I13661" s="137">
        <v>849100000</v>
      </c>
    </row>
    <row r="13662" spans="1:9" x14ac:dyDescent="0.2">
      <c r="A13662" s="134">
        <v>46092</v>
      </c>
      <c r="B13662" s="135">
        <f>YEAR(source[[#This Row],[report_date]])</f>
        <v>2026</v>
      </c>
      <c r="C13662" s="128">
        <f t="shared" si="638"/>
        <v>3</v>
      </c>
      <c r="D13662" s="136">
        <f t="shared" si="640"/>
        <v>11</v>
      </c>
      <c r="E13662" s="136">
        <f t="shared" si="639"/>
        <v>11</v>
      </c>
      <c r="F13662" s="137" t="s">
        <v>24</v>
      </c>
      <c r="G13662" s="128" t="str">
        <f>VLOOKUP(source[[#This Row],[lending_product_transform]],[3]Mapping!$B$4:$C$37,2,0)</f>
        <v>[Cake] - Cashloan</v>
      </c>
      <c r="H13662" s="128" t="str">
        <f>VLOOKUP(source[[#This Row],[lending_product_transform]],[3]Mapping!$B$3:$D$37,3,0)</f>
        <v>cashloan</v>
      </c>
      <c r="I13662" s="137">
        <v>315493673</v>
      </c>
    </row>
    <row r="13663" spans="1:9" x14ac:dyDescent="0.2">
      <c r="A13663" s="134">
        <v>46092</v>
      </c>
      <c r="B13663" s="135">
        <f>YEAR(source[[#This Row],[report_date]])</f>
        <v>2026</v>
      </c>
      <c r="C13663" s="128">
        <f t="shared" si="638"/>
        <v>3</v>
      </c>
      <c r="D13663" s="136">
        <f t="shared" si="640"/>
        <v>11</v>
      </c>
      <c r="E13663" s="136">
        <f t="shared" si="639"/>
        <v>11</v>
      </c>
      <c r="F13663" s="137" t="s">
        <v>24</v>
      </c>
      <c r="G13663" s="128" t="str">
        <f>VLOOKUP(source[[#This Row],[lending_product_transform]],[3]Mapping!$B$4:$C$37,2,0)</f>
        <v>[Cake] - Cashloan</v>
      </c>
      <c r="H13663" s="128" t="str">
        <f>VLOOKUP(source[[#This Row],[lending_product_transform]],[3]Mapping!$B$3:$D$37,3,0)</f>
        <v>cashloan</v>
      </c>
      <c r="I13663" s="137">
        <v>6733330000</v>
      </c>
    </row>
    <row r="13664" spans="1:9" x14ac:dyDescent="0.2">
      <c r="A13664" s="134">
        <v>46092</v>
      </c>
      <c r="B13664" s="135">
        <f>YEAR(source[[#This Row],[report_date]])</f>
        <v>2026</v>
      </c>
      <c r="C13664" s="128">
        <f t="shared" si="638"/>
        <v>3</v>
      </c>
      <c r="D13664" s="136">
        <f t="shared" si="640"/>
        <v>11</v>
      </c>
      <c r="E13664" s="136">
        <f t="shared" si="639"/>
        <v>11</v>
      </c>
      <c r="F13664" s="137" t="s">
        <v>24</v>
      </c>
      <c r="G13664" s="128" t="str">
        <f>VLOOKUP(source[[#This Row],[lending_product_transform]],[3]Mapping!$B$4:$C$37,2,0)</f>
        <v>[Cake] - Cashloan</v>
      </c>
      <c r="H13664" s="128" t="str">
        <f>VLOOKUP(source[[#This Row],[lending_product_transform]],[3]Mapping!$B$3:$D$37,3,0)</f>
        <v>cashloan</v>
      </c>
      <c r="I13664" s="137">
        <v>1633382328</v>
      </c>
    </row>
    <row r="13665" spans="1:9" x14ac:dyDescent="0.2">
      <c r="A13665" s="134">
        <v>46092</v>
      </c>
      <c r="B13665" s="135">
        <f>YEAR(source[[#This Row],[report_date]])</f>
        <v>2026</v>
      </c>
      <c r="C13665" s="128">
        <f t="shared" si="638"/>
        <v>3</v>
      </c>
      <c r="D13665" s="136">
        <f t="shared" si="640"/>
        <v>11</v>
      </c>
      <c r="E13665" s="136">
        <f t="shared" si="639"/>
        <v>11</v>
      </c>
      <c r="F13665" s="137" t="s">
        <v>24</v>
      </c>
      <c r="G13665" s="128" t="str">
        <f>VLOOKUP(source[[#This Row],[lending_product_transform]],[3]Mapping!$B$4:$C$37,2,0)</f>
        <v>[Cake] - Cashloan</v>
      </c>
      <c r="H13665" s="128" t="str">
        <f>VLOOKUP(source[[#This Row],[lending_product_transform]],[3]Mapping!$B$3:$D$37,3,0)</f>
        <v>cashloan</v>
      </c>
      <c r="I13665" s="137">
        <v>14773644000</v>
      </c>
    </row>
    <row r="13666" spans="1:9" x14ac:dyDescent="0.2">
      <c r="A13666" s="134">
        <v>46092</v>
      </c>
      <c r="B13666" s="135">
        <f>YEAR(source[[#This Row],[report_date]])</f>
        <v>2026</v>
      </c>
      <c r="C13666" s="128">
        <f t="shared" si="638"/>
        <v>3</v>
      </c>
      <c r="D13666" s="136">
        <f t="shared" si="640"/>
        <v>11</v>
      </c>
      <c r="E13666" s="136">
        <f t="shared" si="639"/>
        <v>11</v>
      </c>
      <c r="F13666" s="137" t="s">
        <v>24</v>
      </c>
      <c r="G13666" s="128" t="str">
        <f>VLOOKUP(source[[#This Row],[lending_product_transform]],[3]Mapping!$B$4:$C$37,2,0)</f>
        <v>[Cake] - Cashloan</v>
      </c>
      <c r="H13666" s="128" t="str">
        <f>VLOOKUP(source[[#This Row],[lending_product_transform]],[3]Mapping!$B$3:$D$37,3,0)</f>
        <v>cashloan</v>
      </c>
      <c r="I13666" s="137">
        <v>15972375</v>
      </c>
    </row>
    <row r="13667" spans="1:9" x14ac:dyDescent="0.2">
      <c r="A13667" s="134">
        <v>46092</v>
      </c>
      <c r="B13667" s="135">
        <f>YEAR(source[[#This Row],[report_date]])</f>
        <v>2026</v>
      </c>
      <c r="C13667" s="128">
        <f t="shared" si="638"/>
        <v>3</v>
      </c>
      <c r="D13667" s="136">
        <f t="shared" si="640"/>
        <v>11</v>
      </c>
      <c r="E13667" s="136">
        <f t="shared" si="639"/>
        <v>11</v>
      </c>
      <c r="F13667" s="137" t="s">
        <v>24</v>
      </c>
      <c r="G13667" s="128" t="str">
        <f>VLOOKUP(source[[#This Row],[lending_product_transform]],[3]Mapping!$B$4:$C$37,2,0)</f>
        <v>[Cake] - Cashloan</v>
      </c>
      <c r="H13667" s="128" t="str">
        <f>VLOOKUP(source[[#This Row],[lending_product_transform]],[3]Mapping!$B$3:$D$37,3,0)</f>
        <v>cashloan</v>
      </c>
      <c r="I13667" s="137">
        <v>90000000</v>
      </c>
    </row>
    <row r="13668" spans="1:9" x14ac:dyDescent="0.2">
      <c r="A13668" s="134">
        <v>46092</v>
      </c>
      <c r="B13668" s="135">
        <f>YEAR(source[[#This Row],[report_date]])</f>
        <v>2026</v>
      </c>
      <c r="C13668" s="128">
        <f t="shared" si="638"/>
        <v>3</v>
      </c>
      <c r="D13668" s="136">
        <f t="shared" si="640"/>
        <v>11</v>
      </c>
      <c r="E13668" s="136">
        <f t="shared" si="639"/>
        <v>11</v>
      </c>
      <c r="F13668" s="137" t="s">
        <v>24</v>
      </c>
      <c r="G13668" s="128" t="str">
        <f>VLOOKUP(source[[#This Row],[lending_product_transform]],[3]Mapping!$B$4:$C$37,2,0)</f>
        <v>[Cake] - Cashloan</v>
      </c>
      <c r="H13668" s="128" t="str">
        <f>VLOOKUP(source[[#This Row],[lending_product_transform]],[3]Mapping!$B$3:$D$37,3,0)</f>
        <v>cashloan</v>
      </c>
      <c r="I13668" s="137">
        <v>2780660000</v>
      </c>
    </row>
    <row r="13669" spans="1:9" x14ac:dyDescent="0.2">
      <c r="A13669" s="134">
        <v>46092</v>
      </c>
      <c r="B13669" s="135">
        <f>YEAR(source[[#This Row],[report_date]])</f>
        <v>2026</v>
      </c>
      <c r="C13669" s="128">
        <f t="shared" si="638"/>
        <v>3</v>
      </c>
      <c r="D13669" s="136">
        <f t="shared" si="640"/>
        <v>11</v>
      </c>
      <c r="E13669" s="136">
        <f t="shared" si="639"/>
        <v>11</v>
      </c>
      <c r="F13669" s="137" t="s">
        <v>24</v>
      </c>
      <c r="G13669" s="128" t="str">
        <f>VLOOKUP(source[[#This Row],[lending_product_transform]],[3]Mapping!$B$4:$C$37,2,0)</f>
        <v>[Cake] - Cashloan</v>
      </c>
      <c r="H13669" s="128" t="str">
        <f>VLOOKUP(source[[#This Row],[lending_product_transform]],[3]Mapping!$B$3:$D$37,3,0)</f>
        <v>cashloan</v>
      </c>
      <c r="I13669" s="137">
        <v>1063850000</v>
      </c>
    </row>
    <row r="13670" spans="1:9" x14ac:dyDescent="0.2">
      <c r="A13670" s="134">
        <v>46092</v>
      </c>
      <c r="B13670" s="135">
        <f>YEAR(source[[#This Row],[report_date]])</f>
        <v>2026</v>
      </c>
      <c r="C13670" s="128">
        <f t="shared" si="638"/>
        <v>3</v>
      </c>
      <c r="D13670" s="136">
        <f t="shared" si="640"/>
        <v>11</v>
      </c>
      <c r="E13670" s="136">
        <f t="shared" si="639"/>
        <v>11</v>
      </c>
      <c r="F13670" s="137" t="s">
        <v>24</v>
      </c>
      <c r="G13670" s="128" t="str">
        <f>VLOOKUP(source[[#This Row],[lending_product_transform]],[3]Mapping!$B$4:$C$37,2,0)</f>
        <v>[Cake] - Cashloan</v>
      </c>
      <c r="H13670" s="128" t="str">
        <f>VLOOKUP(source[[#This Row],[lending_product_transform]],[3]Mapping!$B$3:$D$37,3,0)</f>
        <v>cashloan</v>
      </c>
      <c r="I13670" s="137">
        <v>8023750</v>
      </c>
    </row>
    <row r="13671" spans="1:9" x14ac:dyDescent="0.2">
      <c r="A13671" s="134">
        <v>46092</v>
      </c>
      <c r="B13671" s="135">
        <f>YEAR(source[[#This Row],[report_date]])</f>
        <v>2026</v>
      </c>
      <c r="C13671" s="128">
        <f t="shared" si="638"/>
        <v>3</v>
      </c>
      <c r="D13671" s="136">
        <f t="shared" si="640"/>
        <v>11</v>
      </c>
      <c r="E13671" s="136">
        <f t="shared" si="639"/>
        <v>11</v>
      </c>
      <c r="F13671" s="137" t="s">
        <v>24</v>
      </c>
      <c r="G13671" s="128" t="str">
        <f>VLOOKUP(source[[#This Row],[lending_product_transform]],[3]Mapping!$B$4:$C$37,2,0)</f>
        <v>[Cake] - Cashloan</v>
      </c>
      <c r="H13671" s="128" t="str">
        <f>VLOOKUP(source[[#This Row],[lending_product_transform]],[3]Mapping!$B$3:$D$37,3,0)</f>
        <v>cashloan</v>
      </c>
      <c r="I13671" s="137">
        <v>1002477433</v>
      </c>
    </row>
    <row r="13672" spans="1:9" x14ac:dyDescent="0.2">
      <c r="A13672" s="134">
        <v>46092</v>
      </c>
      <c r="B13672" s="135">
        <f>YEAR(source[[#This Row],[report_date]])</f>
        <v>2026</v>
      </c>
      <c r="C13672" s="128">
        <f t="shared" si="638"/>
        <v>3</v>
      </c>
      <c r="D13672" s="136">
        <f t="shared" si="640"/>
        <v>11</v>
      </c>
      <c r="E13672" s="136">
        <f t="shared" si="639"/>
        <v>11</v>
      </c>
      <c r="F13672" s="137" t="s">
        <v>24</v>
      </c>
      <c r="G13672" s="128" t="str">
        <f>VLOOKUP(source[[#This Row],[lending_product_transform]],[3]Mapping!$B$4:$C$37,2,0)</f>
        <v>[Cake] - Cashloan</v>
      </c>
      <c r="H13672" s="128" t="str">
        <f>VLOOKUP(source[[#This Row],[lending_product_transform]],[3]Mapping!$B$3:$D$37,3,0)</f>
        <v>cashloan</v>
      </c>
      <c r="I13672" s="137">
        <v>0</v>
      </c>
    </row>
    <row r="13673" spans="1:9" x14ac:dyDescent="0.2">
      <c r="A13673" s="134">
        <v>46092</v>
      </c>
      <c r="B13673" s="135">
        <f>YEAR(source[[#This Row],[report_date]])</f>
        <v>2026</v>
      </c>
      <c r="C13673" s="128">
        <f t="shared" si="638"/>
        <v>3</v>
      </c>
      <c r="D13673" s="136">
        <f t="shared" si="640"/>
        <v>11</v>
      </c>
      <c r="E13673" s="136">
        <f t="shared" si="639"/>
        <v>11</v>
      </c>
      <c r="F13673" s="137" t="s">
        <v>24</v>
      </c>
      <c r="G13673" s="128" t="str">
        <f>VLOOKUP(source[[#This Row],[lending_product_transform]],[3]Mapping!$B$4:$C$37,2,0)</f>
        <v>[Cake] - Cashloan</v>
      </c>
      <c r="H13673" s="128" t="str">
        <f>VLOOKUP(source[[#This Row],[lending_product_transform]],[3]Mapping!$B$3:$D$37,3,0)</f>
        <v>cashloan</v>
      </c>
      <c r="I13673" s="137">
        <v>57000000</v>
      </c>
    </row>
    <row r="13674" spans="1:9" x14ac:dyDescent="0.2">
      <c r="A13674" s="134">
        <v>46092</v>
      </c>
      <c r="B13674" s="135">
        <f>YEAR(source[[#This Row],[report_date]])</f>
        <v>2026</v>
      </c>
      <c r="C13674" s="128">
        <f t="shared" si="638"/>
        <v>3</v>
      </c>
      <c r="D13674" s="136">
        <f t="shared" si="640"/>
        <v>11</v>
      </c>
      <c r="E13674" s="136">
        <f t="shared" si="639"/>
        <v>11</v>
      </c>
      <c r="F13674" s="137" t="s">
        <v>24</v>
      </c>
      <c r="G13674" s="128" t="str">
        <f>VLOOKUP(source[[#This Row],[lending_product_transform]],[3]Mapping!$B$4:$C$37,2,0)</f>
        <v>[Cake] - Cashloan</v>
      </c>
      <c r="H13674" s="128" t="str">
        <f>VLOOKUP(source[[#This Row],[lending_product_transform]],[3]Mapping!$B$3:$D$37,3,0)</f>
        <v>cashloan</v>
      </c>
      <c r="I13674" s="137">
        <v>0</v>
      </c>
    </row>
    <row r="13675" spans="1:9" x14ac:dyDescent="0.2">
      <c r="A13675" s="134">
        <v>46092</v>
      </c>
      <c r="B13675" s="135">
        <f>YEAR(source[[#This Row],[report_date]])</f>
        <v>2026</v>
      </c>
      <c r="C13675" s="128">
        <f t="shared" si="638"/>
        <v>3</v>
      </c>
      <c r="D13675" s="136">
        <f t="shared" si="640"/>
        <v>11</v>
      </c>
      <c r="E13675" s="136">
        <f t="shared" si="639"/>
        <v>11</v>
      </c>
      <c r="F13675" s="137" t="s">
        <v>24</v>
      </c>
      <c r="G13675" s="128" t="str">
        <f>VLOOKUP(source[[#This Row],[lending_product_transform]],[3]Mapping!$B$4:$C$37,2,0)</f>
        <v>[Cake] - Cashloan</v>
      </c>
      <c r="H13675" s="128" t="str">
        <f>VLOOKUP(source[[#This Row],[lending_product_transform]],[3]Mapping!$B$3:$D$37,3,0)</f>
        <v>cashloan</v>
      </c>
      <c r="I13675" s="137">
        <v>17138770000</v>
      </c>
    </row>
    <row r="13676" spans="1:9" x14ac:dyDescent="0.2">
      <c r="A13676" s="134">
        <v>46092</v>
      </c>
      <c r="B13676" s="135">
        <f>YEAR(source[[#This Row],[report_date]])</f>
        <v>2026</v>
      </c>
      <c r="C13676" s="128">
        <f t="shared" si="638"/>
        <v>3</v>
      </c>
      <c r="D13676" s="136">
        <f t="shared" si="640"/>
        <v>11</v>
      </c>
      <c r="E13676" s="136">
        <f t="shared" si="639"/>
        <v>11</v>
      </c>
      <c r="F13676" s="137" t="s">
        <v>24</v>
      </c>
      <c r="G13676" s="128" t="str">
        <f>VLOOKUP(source[[#This Row],[lending_product_transform]],[3]Mapping!$B$4:$C$37,2,0)</f>
        <v>[Cake] - Cashloan</v>
      </c>
      <c r="H13676" s="128" t="str">
        <f>VLOOKUP(source[[#This Row],[lending_product_transform]],[3]Mapping!$B$3:$D$37,3,0)</f>
        <v>cashloan</v>
      </c>
      <c r="I13676" s="137">
        <v>0</v>
      </c>
    </row>
    <row r="13677" spans="1:9" x14ac:dyDescent="0.2">
      <c r="A13677" s="134">
        <v>46092</v>
      </c>
      <c r="B13677" s="135">
        <f>YEAR(source[[#This Row],[report_date]])</f>
        <v>2026</v>
      </c>
      <c r="C13677" s="128">
        <f t="shared" si="638"/>
        <v>3</v>
      </c>
      <c r="D13677" s="136">
        <f t="shared" si="640"/>
        <v>11</v>
      </c>
      <c r="E13677" s="136">
        <f t="shared" si="639"/>
        <v>11</v>
      </c>
      <c r="F13677" s="137" t="s">
        <v>24</v>
      </c>
      <c r="G13677" s="128" t="str">
        <f>VLOOKUP(source[[#This Row],[lending_product_transform]],[3]Mapping!$B$4:$C$37,2,0)</f>
        <v>[Cake] - Cashloan</v>
      </c>
      <c r="H13677" s="128" t="str">
        <f>VLOOKUP(source[[#This Row],[lending_product_transform]],[3]Mapping!$B$3:$D$37,3,0)</f>
        <v>cashloan</v>
      </c>
      <c r="I13677" s="137">
        <v>0</v>
      </c>
    </row>
    <row r="13678" spans="1:9" x14ac:dyDescent="0.2">
      <c r="A13678" s="134">
        <v>46092</v>
      </c>
      <c r="B13678" s="135">
        <f>YEAR(source[[#This Row],[report_date]])</f>
        <v>2026</v>
      </c>
      <c r="C13678" s="128">
        <f t="shared" si="638"/>
        <v>3</v>
      </c>
      <c r="D13678" s="136">
        <f t="shared" si="640"/>
        <v>11</v>
      </c>
      <c r="E13678" s="136">
        <f t="shared" si="639"/>
        <v>11</v>
      </c>
      <c r="F13678" s="137" t="s">
        <v>24</v>
      </c>
      <c r="G13678" s="128" t="str">
        <f>VLOOKUP(source[[#This Row],[lending_product_transform]],[3]Mapping!$B$4:$C$37,2,0)</f>
        <v>[Cake] - Cashloan</v>
      </c>
      <c r="H13678" s="128" t="str">
        <f>VLOOKUP(source[[#This Row],[lending_product_transform]],[3]Mapping!$B$3:$D$37,3,0)</f>
        <v>cashloan</v>
      </c>
      <c r="I13678" s="137">
        <v>0</v>
      </c>
    </row>
    <row r="13679" spans="1:9" x14ac:dyDescent="0.2">
      <c r="A13679" s="134">
        <v>46092</v>
      </c>
      <c r="B13679" s="135">
        <f>YEAR(source[[#This Row],[report_date]])</f>
        <v>2026</v>
      </c>
      <c r="C13679" s="128">
        <f t="shared" si="638"/>
        <v>3</v>
      </c>
      <c r="D13679" s="136">
        <f t="shared" si="640"/>
        <v>11</v>
      </c>
      <c r="E13679" s="136">
        <f t="shared" si="639"/>
        <v>11</v>
      </c>
      <c r="F13679" s="137" t="s">
        <v>24</v>
      </c>
      <c r="G13679" s="128" t="str">
        <f>VLOOKUP(source[[#This Row],[lending_product_transform]],[3]Mapping!$B$4:$C$37,2,0)</f>
        <v>[Cake] - Cashloan</v>
      </c>
      <c r="H13679" s="128" t="str">
        <f>VLOOKUP(source[[#This Row],[lending_product_transform]],[3]Mapping!$B$3:$D$37,3,0)</f>
        <v>cashloan</v>
      </c>
      <c r="I13679" s="137">
        <v>0</v>
      </c>
    </row>
    <row r="13680" spans="1:9" x14ac:dyDescent="0.2">
      <c r="A13680" s="134">
        <v>46092</v>
      </c>
      <c r="B13680" s="135">
        <f>YEAR(source[[#This Row],[report_date]])</f>
        <v>2026</v>
      </c>
      <c r="C13680" s="128">
        <f t="shared" si="638"/>
        <v>3</v>
      </c>
      <c r="D13680" s="136">
        <f t="shared" si="640"/>
        <v>11</v>
      </c>
      <c r="E13680" s="136">
        <f t="shared" si="639"/>
        <v>11</v>
      </c>
      <c r="F13680" s="137" t="s">
        <v>24</v>
      </c>
      <c r="G13680" s="128" t="str">
        <f>VLOOKUP(source[[#This Row],[lending_product_transform]],[3]Mapping!$B$4:$C$37,2,0)</f>
        <v>[Cake] - Cashloan</v>
      </c>
      <c r="H13680" s="128" t="str">
        <f>VLOOKUP(source[[#This Row],[lending_product_transform]],[3]Mapping!$B$3:$D$37,3,0)</f>
        <v>cashloan</v>
      </c>
      <c r="I13680" s="137">
        <v>13339728000</v>
      </c>
    </row>
    <row r="13681" spans="1:9" x14ac:dyDescent="0.2">
      <c r="A13681" s="134">
        <v>46092</v>
      </c>
      <c r="B13681" s="135">
        <f>YEAR(source[[#This Row],[report_date]])</f>
        <v>2026</v>
      </c>
      <c r="C13681" s="128">
        <f t="shared" si="638"/>
        <v>3</v>
      </c>
      <c r="D13681" s="136">
        <f t="shared" si="640"/>
        <v>11</v>
      </c>
      <c r="E13681" s="136">
        <f t="shared" si="639"/>
        <v>11</v>
      </c>
      <c r="F13681" s="137" t="s">
        <v>24</v>
      </c>
      <c r="G13681" s="128" t="str">
        <f>VLOOKUP(source[[#This Row],[lending_product_transform]],[3]Mapping!$B$4:$C$37,2,0)</f>
        <v>[Cake] - Cashloan</v>
      </c>
      <c r="H13681" s="128" t="str">
        <f>VLOOKUP(source[[#This Row],[lending_product_transform]],[3]Mapping!$B$3:$D$37,3,0)</f>
        <v>cashloan</v>
      </c>
      <c r="I13681" s="137">
        <v>242495696</v>
      </c>
    </row>
    <row r="13682" spans="1:9" x14ac:dyDescent="0.2">
      <c r="A13682" s="134">
        <v>46092</v>
      </c>
      <c r="B13682" s="135">
        <f>YEAR(source[[#This Row],[report_date]])</f>
        <v>2026</v>
      </c>
      <c r="C13682" s="128">
        <f t="shared" si="638"/>
        <v>3</v>
      </c>
      <c r="D13682" s="136">
        <f t="shared" si="640"/>
        <v>11</v>
      </c>
      <c r="E13682" s="136">
        <f t="shared" si="639"/>
        <v>11</v>
      </c>
      <c r="F13682" s="137" t="s">
        <v>24</v>
      </c>
      <c r="G13682" s="128" t="str">
        <f>VLOOKUP(source[[#This Row],[lending_product_transform]],[3]Mapping!$B$4:$C$37,2,0)</f>
        <v>[Cake] - Cashloan</v>
      </c>
      <c r="H13682" s="128" t="str">
        <f>VLOOKUP(source[[#This Row],[lending_product_transform]],[3]Mapping!$B$3:$D$37,3,0)</f>
        <v>cashloan</v>
      </c>
      <c r="I13682" s="137">
        <v>20000000</v>
      </c>
    </row>
    <row r="13683" spans="1:9" x14ac:dyDescent="0.2">
      <c r="A13683" s="134">
        <v>46092</v>
      </c>
      <c r="B13683" s="135">
        <f>YEAR(source[[#This Row],[report_date]])</f>
        <v>2026</v>
      </c>
      <c r="C13683" s="128">
        <f t="shared" si="638"/>
        <v>3</v>
      </c>
      <c r="D13683" s="136">
        <f t="shared" si="640"/>
        <v>11</v>
      </c>
      <c r="E13683" s="136">
        <f t="shared" si="639"/>
        <v>11</v>
      </c>
      <c r="F13683" s="137" t="s">
        <v>24</v>
      </c>
      <c r="G13683" s="128" t="str">
        <f>VLOOKUP(source[[#This Row],[lending_product_transform]],[3]Mapping!$B$4:$C$37,2,0)</f>
        <v>[Cake] - Cashloan</v>
      </c>
      <c r="H13683" s="128" t="str">
        <f>VLOOKUP(source[[#This Row],[lending_product_transform]],[3]Mapping!$B$3:$D$37,3,0)</f>
        <v>cashloan</v>
      </c>
      <c r="I13683" s="137">
        <v>44000000</v>
      </c>
    </row>
    <row r="13684" spans="1:9" x14ac:dyDescent="0.2">
      <c r="A13684" s="134">
        <v>46092</v>
      </c>
      <c r="B13684" s="135">
        <f>YEAR(source[[#This Row],[report_date]])</f>
        <v>2026</v>
      </c>
      <c r="C13684" s="128">
        <f t="shared" si="638"/>
        <v>3</v>
      </c>
      <c r="D13684" s="136">
        <f t="shared" si="640"/>
        <v>11</v>
      </c>
      <c r="E13684" s="136">
        <f t="shared" si="639"/>
        <v>11</v>
      </c>
      <c r="F13684" s="137" t="s">
        <v>24</v>
      </c>
      <c r="G13684" s="128" t="str">
        <f>VLOOKUP(source[[#This Row],[lending_product_transform]],[3]Mapping!$B$4:$C$37,2,0)</f>
        <v>[Cake] - Cashloan</v>
      </c>
      <c r="H13684" s="128" t="str">
        <f>VLOOKUP(source[[#This Row],[lending_product_transform]],[3]Mapping!$B$3:$D$37,3,0)</f>
        <v>cashloan</v>
      </c>
      <c r="I13684" s="137">
        <v>621770000</v>
      </c>
    </row>
    <row r="13685" spans="1:9" x14ac:dyDescent="0.2">
      <c r="A13685" s="134">
        <v>46092</v>
      </c>
      <c r="B13685" s="135">
        <f>YEAR(source[[#This Row],[report_date]])</f>
        <v>2026</v>
      </c>
      <c r="C13685" s="128">
        <f t="shared" si="638"/>
        <v>3</v>
      </c>
      <c r="D13685" s="136">
        <f t="shared" si="640"/>
        <v>11</v>
      </c>
      <c r="E13685" s="136">
        <f t="shared" si="639"/>
        <v>11</v>
      </c>
      <c r="F13685" s="137" t="s">
        <v>24</v>
      </c>
      <c r="G13685" s="128" t="str">
        <f>VLOOKUP(source[[#This Row],[lending_product_transform]],[3]Mapping!$B$4:$C$37,2,0)</f>
        <v>[Cake] - Cashloan</v>
      </c>
      <c r="H13685" s="128" t="str">
        <f>VLOOKUP(source[[#This Row],[lending_product_transform]],[3]Mapping!$B$3:$D$37,3,0)</f>
        <v>cashloan</v>
      </c>
      <c r="I13685" s="137">
        <v>347004000</v>
      </c>
    </row>
    <row r="13686" spans="1:9" x14ac:dyDescent="0.2">
      <c r="A13686" s="134">
        <v>46092</v>
      </c>
      <c r="B13686" s="135">
        <f>YEAR(source[[#This Row],[report_date]])</f>
        <v>2026</v>
      </c>
      <c r="C13686" s="128">
        <f t="shared" ref="C13686:C13749" si="641">MONTH(A13686)</f>
        <v>3</v>
      </c>
      <c r="D13686" s="136">
        <f t="shared" si="640"/>
        <v>11</v>
      </c>
      <c r="E13686" s="136">
        <f t="shared" ref="E13686:E13749" si="642">DAY(A13686)</f>
        <v>11</v>
      </c>
      <c r="F13686" s="137" t="s">
        <v>24</v>
      </c>
      <c r="G13686" s="128" t="str">
        <f>VLOOKUP(source[[#This Row],[lending_product_transform]],[3]Mapping!$B$4:$C$37,2,0)</f>
        <v>[Cake] - Cashloan</v>
      </c>
      <c r="H13686" s="128" t="str">
        <f>VLOOKUP(source[[#This Row],[lending_product_transform]],[3]Mapping!$B$3:$D$37,3,0)</f>
        <v>cashloan</v>
      </c>
      <c r="I13686" s="137">
        <v>399203922</v>
      </c>
    </row>
    <row r="13687" spans="1:9" x14ac:dyDescent="0.2">
      <c r="A13687" s="134">
        <v>46092</v>
      </c>
      <c r="B13687" s="135">
        <f>YEAR(source[[#This Row],[report_date]])</f>
        <v>2026</v>
      </c>
      <c r="C13687" s="128">
        <f t="shared" si="641"/>
        <v>3</v>
      </c>
      <c r="D13687" s="136">
        <f t="shared" si="640"/>
        <v>11</v>
      </c>
      <c r="E13687" s="136">
        <f t="shared" si="642"/>
        <v>11</v>
      </c>
      <c r="F13687" s="137" t="s">
        <v>24</v>
      </c>
      <c r="G13687" s="128" t="str">
        <f>VLOOKUP(source[[#This Row],[lending_product_transform]],[3]Mapping!$B$4:$C$37,2,0)</f>
        <v>[Cake] - Cashloan</v>
      </c>
      <c r="H13687" s="128" t="str">
        <f>VLOOKUP(source[[#This Row],[lending_product_transform]],[3]Mapping!$B$3:$D$37,3,0)</f>
        <v>cashloan</v>
      </c>
      <c r="I13687" s="137">
        <v>2524010000</v>
      </c>
    </row>
    <row r="13688" spans="1:9" x14ac:dyDescent="0.2">
      <c r="A13688" s="134">
        <v>46092</v>
      </c>
      <c r="B13688" s="135">
        <f>YEAR(source[[#This Row],[report_date]])</f>
        <v>2026</v>
      </c>
      <c r="C13688" s="128">
        <f t="shared" si="641"/>
        <v>3</v>
      </c>
      <c r="D13688" s="136">
        <f t="shared" si="640"/>
        <v>11</v>
      </c>
      <c r="E13688" s="136">
        <f t="shared" si="642"/>
        <v>11</v>
      </c>
      <c r="F13688" s="137" t="s">
        <v>24</v>
      </c>
      <c r="G13688" s="128" t="str">
        <f>VLOOKUP(source[[#This Row],[lending_product_transform]],[3]Mapping!$B$4:$C$37,2,0)</f>
        <v>[Cake] - Cashloan</v>
      </c>
      <c r="H13688" s="128" t="str">
        <f>VLOOKUP(source[[#This Row],[lending_product_transform]],[3]Mapping!$B$3:$D$37,3,0)</f>
        <v>cashloan</v>
      </c>
      <c r="I13688" s="137">
        <v>287280000</v>
      </c>
    </row>
    <row r="13689" spans="1:9" x14ac:dyDescent="0.2">
      <c r="A13689" s="134">
        <v>46093</v>
      </c>
      <c r="B13689" s="135">
        <f>YEAR(source[[#This Row],[report_date]])</f>
        <v>2026</v>
      </c>
      <c r="C13689" s="128">
        <f t="shared" si="641"/>
        <v>3</v>
      </c>
      <c r="D13689" s="136">
        <f t="shared" si="640"/>
        <v>11</v>
      </c>
      <c r="E13689" s="136">
        <f t="shared" si="642"/>
        <v>12</v>
      </c>
      <c r="F13689" s="137" t="s">
        <v>24</v>
      </c>
      <c r="G13689" s="128" t="str">
        <f>VLOOKUP(source[[#This Row],[lending_product_transform]],[3]Mapping!$B$4:$C$37,2,0)</f>
        <v>[Cake] - Cashloan</v>
      </c>
      <c r="H13689" s="128" t="str">
        <f>VLOOKUP(source[[#This Row],[lending_product_transform]],[3]Mapping!$B$3:$D$37,3,0)</f>
        <v>cashloan</v>
      </c>
      <c r="I13689" s="137">
        <v>799790000</v>
      </c>
    </row>
    <row r="13690" spans="1:9" x14ac:dyDescent="0.2">
      <c r="A13690" s="134">
        <v>46093</v>
      </c>
      <c r="B13690" s="135">
        <f>YEAR(source[[#This Row],[report_date]])</f>
        <v>2026</v>
      </c>
      <c r="C13690" s="128">
        <f t="shared" si="641"/>
        <v>3</v>
      </c>
      <c r="D13690" s="136">
        <f t="shared" si="640"/>
        <v>11</v>
      </c>
      <c r="E13690" s="136">
        <f t="shared" si="642"/>
        <v>12</v>
      </c>
      <c r="F13690" s="137" t="s">
        <v>24</v>
      </c>
      <c r="G13690" s="128" t="str">
        <f>VLOOKUP(source[[#This Row],[lending_product_transform]],[3]Mapping!$B$4:$C$37,2,0)</f>
        <v>[Cake] - Cashloan</v>
      </c>
      <c r="H13690" s="128" t="str">
        <f>VLOOKUP(source[[#This Row],[lending_product_transform]],[3]Mapping!$B$3:$D$37,3,0)</f>
        <v>cashloan</v>
      </c>
      <c r="I13690" s="137">
        <v>331407688</v>
      </c>
    </row>
    <row r="13691" spans="1:9" x14ac:dyDescent="0.2">
      <c r="A13691" s="134">
        <v>46093</v>
      </c>
      <c r="B13691" s="135">
        <f>YEAR(source[[#This Row],[report_date]])</f>
        <v>2026</v>
      </c>
      <c r="C13691" s="128">
        <f t="shared" si="641"/>
        <v>3</v>
      </c>
      <c r="D13691" s="136">
        <f t="shared" si="640"/>
        <v>11</v>
      </c>
      <c r="E13691" s="136">
        <f t="shared" si="642"/>
        <v>12</v>
      </c>
      <c r="F13691" s="137" t="s">
        <v>24</v>
      </c>
      <c r="G13691" s="128" t="str">
        <f>VLOOKUP(source[[#This Row],[lending_product_transform]],[3]Mapping!$B$4:$C$37,2,0)</f>
        <v>[Cake] - Cashloan</v>
      </c>
      <c r="H13691" s="128" t="str">
        <f>VLOOKUP(source[[#This Row],[lending_product_transform]],[3]Mapping!$B$3:$D$37,3,0)</f>
        <v>cashloan</v>
      </c>
      <c r="I13691" s="137">
        <v>8530410000</v>
      </c>
    </row>
    <row r="13692" spans="1:9" x14ac:dyDescent="0.2">
      <c r="A13692" s="134">
        <v>46093</v>
      </c>
      <c r="B13692" s="135">
        <f>YEAR(source[[#This Row],[report_date]])</f>
        <v>2026</v>
      </c>
      <c r="C13692" s="128">
        <f t="shared" si="641"/>
        <v>3</v>
      </c>
      <c r="D13692" s="136">
        <f t="shared" si="640"/>
        <v>11</v>
      </c>
      <c r="E13692" s="136">
        <f t="shared" si="642"/>
        <v>12</v>
      </c>
      <c r="F13692" s="137" t="s">
        <v>24</v>
      </c>
      <c r="G13692" s="128" t="str">
        <f>VLOOKUP(source[[#This Row],[lending_product_transform]],[3]Mapping!$B$4:$C$37,2,0)</f>
        <v>[Cake] - Cashloan</v>
      </c>
      <c r="H13692" s="128" t="str">
        <f>VLOOKUP(source[[#This Row],[lending_product_transform]],[3]Mapping!$B$3:$D$37,3,0)</f>
        <v>cashloan</v>
      </c>
      <c r="I13692" s="137">
        <v>1530565656</v>
      </c>
    </row>
    <row r="13693" spans="1:9" x14ac:dyDescent="0.2">
      <c r="A13693" s="134">
        <v>46093</v>
      </c>
      <c r="B13693" s="135">
        <f>YEAR(source[[#This Row],[report_date]])</f>
        <v>2026</v>
      </c>
      <c r="C13693" s="128">
        <f t="shared" si="641"/>
        <v>3</v>
      </c>
      <c r="D13693" s="136">
        <f t="shared" si="640"/>
        <v>11</v>
      </c>
      <c r="E13693" s="136">
        <f t="shared" si="642"/>
        <v>12</v>
      </c>
      <c r="F13693" s="137" t="s">
        <v>24</v>
      </c>
      <c r="G13693" s="128" t="str">
        <f>VLOOKUP(source[[#This Row],[lending_product_transform]],[3]Mapping!$B$4:$C$37,2,0)</f>
        <v>[Cake] - Cashloan</v>
      </c>
      <c r="H13693" s="128" t="str">
        <f>VLOOKUP(source[[#This Row],[lending_product_transform]],[3]Mapping!$B$3:$D$37,3,0)</f>
        <v>cashloan</v>
      </c>
      <c r="I13693" s="137">
        <v>13646988000</v>
      </c>
    </row>
    <row r="13694" spans="1:9" x14ac:dyDescent="0.2">
      <c r="A13694" s="134">
        <v>46093</v>
      </c>
      <c r="B13694" s="135">
        <f>YEAR(source[[#This Row],[report_date]])</f>
        <v>2026</v>
      </c>
      <c r="C13694" s="128">
        <f t="shared" si="641"/>
        <v>3</v>
      </c>
      <c r="D13694" s="136">
        <f t="shared" si="640"/>
        <v>11</v>
      </c>
      <c r="E13694" s="136">
        <f t="shared" si="642"/>
        <v>12</v>
      </c>
      <c r="F13694" s="137" t="s">
        <v>24</v>
      </c>
      <c r="G13694" s="128" t="str">
        <f>VLOOKUP(source[[#This Row],[lending_product_transform]],[3]Mapping!$B$4:$C$37,2,0)</f>
        <v>[Cake] - Cashloan</v>
      </c>
      <c r="H13694" s="128" t="str">
        <f>VLOOKUP(source[[#This Row],[lending_product_transform]],[3]Mapping!$B$3:$D$37,3,0)</f>
        <v>cashloan</v>
      </c>
      <c r="I13694" s="137">
        <v>9304549</v>
      </c>
    </row>
    <row r="13695" spans="1:9" x14ac:dyDescent="0.2">
      <c r="A13695" s="134">
        <v>46093</v>
      </c>
      <c r="B13695" s="135">
        <f>YEAR(source[[#This Row],[report_date]])</f>
        <v>2026</v>
      </c>
      <c r="C13695" s="128">
        <f t="shared" si="641"/>
        <v>3</v>
      </c>
      <c r="D13695" s="136">
        <f t="shared" si="640"/>
        <v>11</v>
      </c>
      <c r="E13695" s="136">
        <f t="shared" si="642"/>
        <v>12</v>
      </c>
      <c r="F13695" s="137" t="s">
        <v>24</v>
      </c>
      <c r="G13695" s="128" t="str">
        <f>VLOOKUP(source[[#This Row],[lending_product_transform]],[3]Mapping!$B$4:$C$37,2,0)</f>
        <v>[Cake] - Cashloan</v>
      </c>
      <c r="H13695" s="128" t="str">
        <f>VLOOKUP(source[[#This Row],[lending_product_transform]],[3]Mapping!$B$3:$D$37,3,0)</f>
        <v>cashloan</v>
      </c>
      <c r="I13695" s="137">
        <v>0</v>
      </c>
    </row>
    <row r="13696" spans="1:9" x14ac:dyDescent="0.2">
      <c r="A13696" s="134">
        <v>46093</v>
      </c>
      <c r="B13696" s="135">
        <f>YEAR(source[[#This Row],[report_date]])</f>
        <v>2026</v>
      </c>
      <c r="C13696" s="128">
        <f t="shared" si="641"/>
        <v>3</v>
      </c>
      <c r="D13696" s="136">
        <f t="shared" si="640"/>
        <v>11</v>
      </c>
      <c r="E13696" s="136">
        <f t="shared" si="642"/>
        <v>12</v>
      </c>
      <c r="F13696" s="137" t="s">
        <v>24</v>
      </c>
      <c r="G13696" s="128" t="str">
        <f>VLOOKUP(source[[#This Row],[lending_product_transform]],[3]Mapping!$B$4:$C$37,2,0)</f>
        <v>[Cake] - Cashloan</v>
      </c>
      <c r="H13696" s="128" t="str">
        <f>VLOOKUP(source[[#This Row],[lending_product_transform]],[3]Mapping!$B$3:$D$37,3,0)</f>
        <v>cashloan</v>
      </c>
      <c r="I13696" s="137">
        <v>2922300000</v>
      </c>
    </row>
    <row r="13697" spans="1:9" x14ac:dyDescent="0.2">
      <c r="A13697" s="134">
        <v>46093</v>
      </c>
      <c r="B13697" s="135">
        <f>YEAR(source[[#This Row],[report_date]])</f>
        <v>2026</v>
      </c>
      <c r="C13697" s="128">
        <f t="shared" si="641"/>
        <v>3</v>
      </c>
      <c r="D13697" s="136">
        <f t="shared" si="640"/>
        <v>11</v>
      </c>
      <c r="E13697" s="136">
        <f t="shared" si="642"/>
        <v>12</v>
      </c>
      <c r="F13697" s="137" t="s">
        <v>24</v>
      </c>
      <c r="G13697" s="128" t="str">
        <f>VLOOKUP(source[[#This Row],[lending_product_transform]],[3]Mapping!$B$4:$C$37,2,0)</f>
        <v>[Cake] - Cashloan</v>
      </c>
      <c r="H13697" s="128" t="str">
        <f>VLOOKUP(source[[#This Row],[lending_product_transform]],[3]Mapping!$B$3:$D$37,3,0)</f>
        <v>cashloan</v>
      </c>
      <c r="I13697" s="137">
        <v>1472490000</v>
      </c>
    </row>
    <row r="13698" spans="1:9" x14ac:dyDescent="0.2">
      <c r="A13698" s="134">
        <v>46093</v>
      </c>
      <c r="B13698" s="135">
        <f>YEAR(source[[#This Row],[report_date]])</f>
        <v>2026</v>
      </c>
      <c r="C13698" s="128">
        <f t="shared" si="641"/>
        <v>3</v>
      </c>
      <c r="D13698" s="136">
        <f t="shared" si="640"/>
        <v>11</v>
      </c>
      <c r="E13698" s="136">
        <f t="shared" si="642"/>
        <v>12</v>
      </c>
      <c r="F13698" s="137" t="s">
        <v>24</v>
      </c>
      <c r="G13698" s="128" t="str">
        <f>VLOOKUP(source[[#This Row],[lending_product_transform]],[3]Mapping!$B$4:$C$37,2,0)</f>
        <v>[Cake] - Cashloan</v>
      </c>
      <c r="H13698" s="128" t="str">
        <f>VLOOKUP(source[[#This Row],[lending_product_transform]],[3]Mapping!$B$3:$D$37,3,0)</f>
        <v>cashloan</v>
      </c>
      <c r="I13698" s="137">
        <v>0</v>
      </c>
    </row>
    <row r="13699" spans="1:9" x14ac:dyDescent="0.2">
      <c r="A13699" s="134">
        <v>46093</v>
      </c>
      <c r="B13699" s="135">
        <f>YEAR(source[[#This Row],[report_date]])</f>
        <v>2026</v>
      </c>
      <c r="C13699" s="128">
        <f t="shared" si="641"/>
        <v>3</v>
      </c>
      <c r="D13699" s="136">
        <f t="shared" si="640"/>
        <v>11</v>
      </c>
      <c r="E13699" s="136">
        <f t="shared" si="642"/>
        <v>12</v>
      </c>
      <c r="F13699" s="137" t="s">
        <v>24</v>
      </c>
      <c r="G13699" s="128" t="str">
        <f>VLOOKUP(source[[#This Row],[lending_product_transform]],[3]Mapping!$B$4:$C$37,2,0)</f>
        <v>[Cake] - Cashloan</v>
      </c>
      <c r="H13699" s="128" t="str">
        <f>VLOOKUP(source[[#This Row],[lending_product_transform]],[3]Mapping!$B$3:$D$37,3,0)</f>
        <v>cashloan</v>
      </c>
      <c r="I13699" s="137">
        <v>1072016424</v>
      </c>
    </row>
    <row r="13700" spans="1:9" x14ac:dyDescent="0.2">
      <c r="A13700" s="134">
        <v>46093</v>
      </c>
      <c r="B13700" s="135">
        <f>YEAR(source[[#This Row],[report_date]])</f>
        <v>2026</v>
      </c>
      <c r="C13700" s="128">
        <f t="shared" si="641"/>
        <v>3</v>
      </c>
      <c r="D13700" s="136">
        <f t="shared" si="640"/>
        <v>11</v>
      </c>
      <c r="E13700" s="136">
        <f t="shared" si="642"/>
        <v>12</v>
      </c>
      <c r="F13700" s="137" t="s">
        <v>24</v>
      </c>
      <c r="G13700" s="128" t="str">
        <f>VLOOKUP(source[[#This Row],[lending_product_transform]],[3]Mapping!$B$4:$C$37,2,0)</f>
        <v>[Cake] - Cashloan</v>
      </c>
      <c r="H13700" s="128" t="str">
        <f>VLOOKUP(source[[#This Row],[lending_product_transform]],[3]Mapping!$B$3:$D$37,3,0)</f>
        <v>cashloan</v>
      </c>
      <c r="I13700" s="137">
        <v>0</v>
      </c>
    </row>
    <row r="13701" spans="1:9" x14ac:dyDescent="0.2">
      <c r="A13701" s="134">
        <v>46093</v>
      </c>
      <c r="B13701" s="135">
        <f>YEAR(source[[#This Row],[report_date]])</f>
        <v>2026</v>
      </c>
      <c r="C13701" s="128">
        <f t="shared" si="641"/>
        <v>3</v>
      </c>
      <c r="D13701" s="136">
        <f t="shared" si="640"/>
        <v>11</v>
      </c>
      <c r="E13701" s="136">
        <f t="shared" si="642"/>
        <v>12</v>
      </c>
      <c r="F13701" s="137" t="s">
        <v>24</v>
      </c>
      <c r="G13701" s="128" t="str">
        <f>VLOOKUP(source[[#This Row],[lending_product_transform]],[3]Mapping!$B$4:$C$37,2,0)</f>
        <v>[Cake] - Cashloan</v>
      </c>
      <c r="H13701" s="128" t="str">
        <f>VLOOKUP(source[[#This Row],[lending_product_transform]],[3]Mapping!$B$3:$D$37,3,0)</f>
        <v>cashloan</v>
      </c>
      <c r="I13701" s="137">
        <v>84850000</v>
      </c>
    </row>
    <row r="13702" spans="1:9" x14ac:dyDescent="0.2">
      <c r="A13702" s="134">
        <v>46093</v>
      </c>
      <c r="B13702" s="135">
        <f>YEAR(source[[#This Row],[report_date]])</f>
        <v>2026</v>
      </c>
      <c r="C13702" s="128">
        <f t="shared" si="641"/>
        <v>3</v>
      </c>
      <c r="D13702" s="136">
        <f t="shared" si="640"/>
        <v>11</v>
      </c>
      <c r="E13702" s="136">
        <f t="shared" si="642"/>
        <v>12</v>
      </c>
      <c r="F13702" s="137" t="s">
        <v>24</v>
      </c>
      <c r="G13702" s="128" t="str">
        <f>VLOOKUP(source[[#This Row],[lending_product_transform]],[3]Mapping!$B$4:$C$37,2,0)</f>
        <v>[Cake] - Cashloan</v>
      </c>
      <c r="H13702" s="128" t="str">
        <f>VLOOKUP(source[[#This Row],[lending_product_transform]],[3]Mapping!$B$3:$D$37,3,0)</f>
        <v>cashloan</v>
      </c>
      <c r="I13702" s="137">
        <v>56000000</v>
      </c>
    </row>
    <row r="13703" spans="1:9" x14ac:dyDescent="0.2">
      <c r="A13703" s="134">
        <v>46093</v>
      </c>
      <c r="B13703" s="135">
        <f>YEAR(source[[#This Row],[report_date]])</f>
        <v>2026</v>
      </c>
      <c r="C13703" s="128">
        <f t="shared" si="641"/>
        <v>3</v>
      </c>
      <c r="D13703" s="136">
        <f t="shared" si="640"/>
        <v>11</v>
      </c>
      <c r="E13703" s="136">
        <f t="shared" si="642"/>
        <v>12</v>
      </c>
      <c r="F13703" s="137" t="s">
        <v>24</v>
      </c>
      <c r="G13703" s="128" t="str">
        <f>VLOOKUP(source[[#This Row],[lending_product_transform]],[3]Mapping!$B$4:$C$37,2,0)</f>
        <v>[Cake] - Cashloan</v>
      </c>
      <c r="H13703" s="128" t="str">
        <f>VLOOKUP(source[[#This Row],[lending_product_transform]],[3]Mapping!$B$3:$D$37,3,0)</f>
        <v>cashloan</v>
      </c>
      <c r="I13703" s="137">
        <v>15967630000</v>
      </c>
    </row>
    <row r="13704" spans="1:9" x14ac:dyDescent="0.2">
      <c r="A13704" s="134">
        <v>46093</v>
      </c>
      <c r="B13704" s="135">
        <f>YEAR(source[[#This Row],[report_date]])</f>
        <v>2026</v>
      </c>
      <c r="C13704" s="128">
        <f t="shared" si="641"/>
        <v>3</v>
      </c>
      <c r="D13704" s="136">
        <f t="shared" si="640"/>
        <v>11</v>
      </c>
      <c r="E13704" s="136">
        <f t="shared" si="642"/>
        <v>12</v>
      </c>
      <c r="F13704" s="137" t="s">
        <v>24</v>
      </c>
      <c r="G13704" s="128" t="str">
        <f>VLOOKUP(source[[#This Row],[lending_product_transform]],[3]Mapping!$B$4:$C$37,2,0)</f>
        <v>[Cake] - Cashloan</v>
      </c>
      <c r="H13704" s="128" t="str">
        <f>VLOOKUP(source[[#This Row],[lending_product_transform]],[3]Mapping!$B$3:$D$37,3,0)</f>
        <v>cashloan</v>
      </c>
      <c r="I13704" s="137">
        <v>0</v>
      </c>
    </row>
    <row r="13705" spans="1:9" x14ac:dyDescent="0.2">
      <c r="A13705" s="134">
        <v>46093</v>
      </c>
      <c r="B13705" s="135">
        <f>YEAR(source[[#This Row],[report_date]])</f>
        <v>2026</v>
      </c>
      <c r="C13705" s="128">
        <f t="shared" si="641"/>
        <v>3</v>
      </c>
      <c r="D13705" s="136">
        <f t="shared" si="640"/>
        <v>11</v>
      </c>
      <c r="E13705" s="136">
        <f t="shared" si="642"/>
        <v>12</v>
      </c>
      <c r="F13705" s="137" t="s">
        <v>24</v>
      </c>
      <c r="G13705" s="128" t="str">
        <f>VLOOKUP(source[[#This Row],[lending_product_transform]],[3]Mapping!$B$4:$C$37,2,0)</f>
        <v>[Cake] - Cashloan</v>
      </c>
      <c r="H13705" s="128" t="str">
        <f>VLOOKUP(source[[#This Row],[lending_product_transform]],[3]Mapping!$B$3:$D$37,3,0)</f>
        <v>cashloan</v>
      </c>
      <c r="I13705" s="137">
        <v>0</v>
      </c>
    </row>
    <row r="13706" spans="1:9" x14ac:dyDescent="0.2">
      <c r="A13706" s="134">
        <v>46093</v>
      </c>
      <c r="B13706" s="135">
        <f>YEAR(source[[#This Row],[report_date]])</f>
        <v>2026</v>
      </c>
      <c r="C13706" s="128">
        <f t="shared" si="641"/>
        <v>3</v>
      </c>
      <c r="D13706" s="136">
        <f t="shared" si="640"/>
        <v>11</v>
      </c>
      <c r="E13706" s="136">
        <f t="shared" si="642"/>
        <v>12</v>
      </c>
      <c r="F13706" s="137" t="s">
        <v>24</v>
      </c>
      <c r="G13706" s="128" t="str">
        <f>VLOOKUP(source[[#This Row],[lending_product_transform]],[3]Mapping!$B$4:$C$37,2,0)</f>
        <v>[Cake] - Cashloan</v>
      </c>
      <c r="H13706" s="128" t="str">
        <f>VLOOKUP(source[[#This Row],[lending_product_transform]],[3]Mapping!$B$3:$D$37,3,0)</f>
        <v>cashloan</v>
      </c>
      <c r="I13706" s="137">
        <v>0</v>
      </c>
    </row>
    <row r="13707" spans="1:9" x14ac:dyDescent="0.2">
      <c r="A13707" s="134">
        <v>46093</v>
      </c>
      <c r="B13707" s="135">
        <f>YEAR(source[[#This Row],[report_date]])</f>
        <v>2026</v>
      </c>
      <c r="C13707" s="128">
        <f t="shared" si="641"/>
        <v>3</v>
      </c>
      <c r="D13707" s="136">
        <f t="shared" si="640"/>
        <v>11</v>
      </c>
      <c r="E13707" s="136">
        <f t="shared" si="642"/>
        <v>12</v>
      </c>
      <c r="F13707" s="137" t="s">
        <v>24</v>
      </c>
      <c r="G13707" s="128" t="str">
        <f>VLOOKUP(source[[#This Row],[lending_product_transform]],[3]Mapping!$B$4:$C$37,2,0)</f>
        <v>[Cake] - Cashloan</v>
      </c>
      <c r="H13707" s="128" t="str">
        <f>VLOOKUP(source[[#This Row],[lending_product_transform]],[3]Mapping!$B$3:$D$37,3,0)</f>
        <v>cashloan</v>
      </c>
      <c r="I13707" s="137">
        <v>0</v>
      </c>
    </row>
    <row r="13708" spans="1:9" x14ac:dyDescent="0.2">
      <c r="A13708" s="134">
        <v>46093</v>
      </c>
      <c r="B13708" s="135">
        <f>YEAR(source[[#This Row],[report_date]])</f>
        <v>2026</v>
      </c>
      <c r="C13708" s="128">
        <f t="shared" si="641"/>
        <v>3</v>
      </c>
      <c r="D13708" s="136">
        <f t="shared" si="640"/>
        <v>11</v>
      </c>
      <c r="E13708" s="136">
        <f t="shared" si="642"/>
        <v>12</v>
      </c>
      <c r="F13708" s="137" t="s">
        <v>24</v>
      </c>
      <c r="G13708" s="128" t="str">
        <f>VLOOKUP(source[[#This Row],[lending_product_transform]],[3]Mapping!$B$4:$C$37,2,0)</f>
        <v>[Cake] - Cashloan</v>
      </c>
      <c r="H13708" s="128" t="str">
        <f>VLOOKUP(source[[#This Row],[lending_product_transform]],[3]Mapping!$B$3:$D$37,3,0)</f>
        <v>cashloan</v>
      </c>
      <c r="I13708" s="137">
        <v>12603276000</v>
      </c>
    </row>
    <row r="13709" spans="1:9" x14ac:dyDescent="0.2">
      <c r="A13709" s="134">
        <v>46093</v>
      </c>
      <c r="B13709" s="135">
        <f>YEAR(source[[#This Row],[report_date]])</f>
        <v>2026</v>
      </c>
      <c r="C13709" s="128">
        <f t="shared" si="641"/>
        <v>3</v>
      </c>
      <c r="D13709" s="136">
        <f t="shared" si="640"/>
        <v>11</v>
      </c>
      <c r="E13709" s="136">
        <f t="shared" si="642"/>
        <v>12</v>
      </c>
      <c r="F13709" s="137" t="s">
        <v>24</v>
      </c>
      <c r="G13709" s="128" t="str">
        <f>VLOOKUP(source[[#This Row],[lending_product_transform]],[3]Mapping!$B$4:$C$37,2,0)</f>
        <v>[Cake] - Cashloan</v>
      </c>
      <c r="H13709" s="128" t="str">
        <f>VLOOKUP(source[[#This Row],[lending_product_transform]],[3]Mapping!$B$3:$D$37,3,0)</f>
        <v>cashloan</v>
      </c>
      <c r="I13709" s="137">
        <v>245991061</v>
      </c>
    </row>
    <row r="13710" spans="1:9" x14ac:dyDescent="0.2">
      <c r="A13710" s="134">
        <v>46093</v>
      </c>
      <c r="B13710" s="135">
        <f>YEAR(source[[#This Row],[report_date]])</f>
        <v>2026</v>
      </c>
      <c r="C13710" s="128">
        <f t="shared" si="641"/>
        <v>3</v>
      </c>
      <c r="D13710" s="136">
        <f t="shared" si="640"/>
        <v>11</v>
      </c>
      <c r="E13710" s="136">
        <f t="shared" si="642"/>
        <v>12</v>
      </c>
      <c r="F13710" s="137" t="s">
        <v>24</v>
      </c>
      <c r="G13710" s="128" t="str">
        <f>VLOOKUP(source[[#This Row],[lending_product_transform]],[3]Mapping!$B$4:$C$37,2,0)</f>
        <v>[Cake] - Cashloan</v>
      </c>
      <c r="H13710" s="128" t="str">
        <f>VLOOKUP(source[[#This Row],[lending_product_transform]],[3]Mapping!$B$3:$D$37,3,0)</f>
        <v>cashloan</v>
      </c>
      <c r="I13710" s="137">
        <v>0</v>
      </c>
    </row>
    <row r="13711" spans="1:9" x14ac:dyDescent="0.2">
      <c r="A13711" s="134">
        <v>46093</v>
      </c>
      <c r="B13711" s="135">
        <f>YEAR(source[[#This Row],[report_date]])</f>
        <v>2026</v>
      </c>
      <c r="C13711" s="128">
        <f t="shared" si="641"/>
        <v>3</v>
      </c>
      <c r="D13711" s="136">
        <f t="shared" si="640"/>
        <v>11</v>
      </c>
      <c r="E13711" s="136">
        <f t="shared" si="642"/>
        <v>12</v>
      </c>
      <c r="F13711" s="137" t="s">
        <v>24</v>
      </c>
      <c r="G13711" s="128" t="str">
        <f>VLOOKUP(source[[#This Row],[lending_product_transform]],[3]Mapping!$B$4:$C$37,2,0)</f>
        <v>[Cake] - Cashloan</v>
      </c>
      <c r="H13711" s="128" t="str">
        <f>VLOOKUP(source[[#This Row],[lending_product_transform]],[3]Mapping!$B$3:$D$37,3,0)</f>
        <v>cashloan</v>
      </c>
      <c r="I13711" s="137">
        <v>44000000</v>
      </c>
    </row>
    <row r="13712" spans="1:9" x14ac:dyDescent="0.2">
      <c r="A13712" s="134">
        <v>46093</v>
      </c>
      <c r="B13712" s="135">
        <f>YEAR(source[[#This Row],[report_date]])</f>
        <v>2026</v>
      </c>
      <c r="C13712" s="128">
        <f t="shared" si="641"/>
        <v>3</v>
      </c>
      <c r="D13712" s="136">
        <f t="shared" si="640"/>
        <v>11</v>
      </c>
      <c r="E13712" s="136">
        <f t="shared" si="642"/>
        <v>12</v>
      </c>
      <c r="F13712" s="137" t="s">
        <v>24</v>
      </c>
      <c r="G13712" s="128" t="str">
        <f>VLOOKUP(source[[#This Row],[lending_product_transform]],[3]Mapping!$B$4:$C$37,2,0)</f>
        <v>[Cake] - Cashloan</v>
      </c>
      <c r="H13712" s="128" t="str">
        <f>VLOOKUP(source[[#This Row],[lending_product_transform]],[3]Mapping!$B$3:$D$37,3,0)</f>
        <v>cashloan</v>
      </c>
      <c r="I13712" s="137">
        <v>959840000</v>
      </c>
    </row>
    <row r="13713" spans="1:9" x14ac:dyDescent="0.2">
      <c r="A13713" s="134">
        <v>46093</v>
      </c>
      <c r="B13713" s="135">
        <f>YEAR(source[[#This Row],[report_date]])</f>
        <v>2026</v>
      </c>
      <c r="C13713" s="128">
        <f t="shared" si="641"/>
        <v>3</v>
      </c>
      <c r="D13713" s="136">
        <f t="shared" ref="D13713:D13776" si="643">WEEKNUM(A13713,2)</f>
        <v>11</v>
      </c>
      <c r="E13713" s="136">
        <f t="shared" si="642"/>
        <v>12</v>
      </c>
      <c r="F13713" s="137" t="s">
        <v>24</v>
      </c>
      <c r="G13713" s="128" t="str">
        <f>VLOOKUP(source[[#This Row],[lending_product_transform]],[3]Mapping!$B$4:$C$37,2,0)</f>
        <v>[Cake] - Cashloan</v>
      </c>
      <c r="H13713" s="128" t="str">
        <f>VLOOKUP(source[[#This Row],[lending_product_transform]],[3]Mapping!$B$3:$D$37,3,0)</f>
        <v>cashloan</v>
      </c>
      <c r="I13713" s="137">
        <v>373140000</v>
      </c>
    </row>
    <row r="13714" spans="1:9" x14ac:dyDescent="0.2">
      <c r="A13714" s="134">
        <v>46093</v>
      </c>
      <c r="B13714" s="135">
        <f>YEAR(source[[#This Row],[report_date]])</f>
        <v>2026</v>
      </c>
      <c r="C13714" s="128">
        <f t="shared" si="641"/>
        <v>3</v>
      </c>
      <c r="D13714" s="136">
        <f t="shared" si="643"/>
        <v>11</v>
      </c>
      <c r="E13714" s="136">
        <f t="shared" si="642"/>
        <v>12</v>
      </c>
      <c r="F13714" s="137" t="s">
        <v>24</v>
      </c>
      <c r="G13714" s="128" t="str">
        <f>VLOOKUP(source[[#This Row],[lending_product_transform]],[3]Mapping!$B$4:$C$37,2,0)</f>
        <v>[Cake] - Cashloan</v>
      </c>
      <c r="H13714" s="128" t="str">
        <f>VLOOKUP(source[[#This Row],[lending_product_transform]],[3]Mapping!$B$3:$D$37,3,0)</f>
        <v>cashloan</v>
      </c>
      <c r="I13714" s="137">
        <v>390819785</v>
      </c>
    </row>
    <row r="13715" spans="1:9" x14ac:dyDescent="0.2">
      <c r="A13715" s="134">
        <v>46093</v>
      </c>
      <c r="B13715" s="135">
        <f>YEAR(source[[#This Row],[report_date]])</f>
        <v>2026</v>
      </c>
      <c r="C13715" s="128">
        <f t="shared" si="641"/>
        <v>3</v>
      </c>
      <c r="D13715" s="136">
        <f t="shared" si="643"/>
        <v>11</v>
      </c>
      <c r="E13715" s="136">
        <f t="shared" si="642"/>
        <v>12</v>
      </c>
      <c r="F13715" s="137" t="s">
        <v>24</v>
      </c>
      <c r="G13715" s="128" t="str">
        <f>VLOOKUP(source[[#This Row],[lending_product_transform]],[3]Mapping!$B$4:$C$37,2,0)</f>
        <v>[Cake] - Cashloan</v>
      </c>
      <c r="H13715" s="128" t="str">
        <f>VLOOKUP(source[[#This Row],[lending_product_transform]],[3]Mapping!$B$3:$D$37,3,0)</f>
        <v>cashloan</v>
      </c>
      <c r="I13715" s="137">
        <v>2351920000</v>
      </c>
    </row>
    <row r="13716" spans="1:9" x14ac:dyDescent="0.2">
      <c r="A13716" s="134">
        <v>46093</v>
      </c>
      <c r="B13716" s="135">
        <f>YEAR(source[[#This Row],[report_date]])</f>
        <v>2026</v>
      </c>
      <c r="C13716" s="128">
        <f t="shared" si="641"/>
        <v>3</v>
      </c>
      <c r="D13716" s="136">
        <f t="shared" si="643"/>
        <v>11</v>
      </c>
      <c r="E13716" s="136">
        <f t="shared" si="642"/>
        <v>12</v>
      </c>
      <c r="F13716" s="137" t="s">
        <v>24</v>
      </c>
      <c r="G13716" s="128" t="str">
        <f>VLOOKUP(source[[#This Row],[lending_product_transform]],[3]Mapping!$B$4:$C$37,2,0)</f>
        <v>[Cake] - Cashloan</v>
      </c>
      <c r="H13716" s="128" t="str">
        <f>VLOOKUP(source[[#This Row],[lending_product_transform]],[3]Mapping!$B$3:$D$37,3,0)</f>
        <v>cashloan</v>
      </c>
      <c r="I13716" s="137">
        <v>261360000</v>
      </c>
    </row>
    <row r="13717" spans="1:9" x14ac:dyDescent="0.2">
      <c r="A13717" s="134">
        <v>46094</v>
      </c>
      <c r="B13717" s="135">
        <f>YEAR(source[[#This Row],[report_date]])</f>
        <v>2026</v>
      </c>
      <c r="C13717" s="128">
        <f t="shared" si="641"/>
        <v>3</v>
      </c>
      <c r="D13717" s="136">
        <f t="shared" si="643"/>
        <v>11</v>
      </c>
      <c r="E13717" s="136">
        <f t="shared" si="642"/>
        <v>13</v>
      </c>
      <c r="F13717" s="137" t="s">
        <v>24</v>
      </c>
      <c r="G13717" s="128" t="str">
        <f>VLOOKUP(source[[#This Row],[lending_product_transform]],[3]Mapping!$B$4:$C$37,2,0)</f>
        <v>[Cake] - Cashloan</v>
      </c>
      <c r="H13717" s="128" t="str">
        <f>VLOOKUP(source[[#This Row],[lending_product_transform]],[3]Mapping!$B$3:$D$37,3,0)</f>
        <v>cashloan</v>
      </c>
      <c r="I13717" s="137">
        <v>793730000</v>
      </c>
    </row>
    <row r="13718" spans="1:9" x14ac:dyDescent="0.2">
      <c r="A13718" s="134">
        <v>46094</v>
      </c>
      <c r="B13718" s="135">
        <f>YEAR(source[[#This Row],[report_date]])</f>
        <v>2026</v>
      </c>
      <c r="C13718" s="128">
        <f t="shared" si="641"/>
        <v>3</v>
      </c>
      <c r="D13718" s="136">
        <f t="shared" si="643"/>
        <v>11</v>
      </c>
      <c r="E13718" s="136">
        <f t="shared" si="642"/>
        <v>13</v>
      </c>
      <c r="F13718" s="137" t="s">
        <v>24</v>
      </c>
      <c r="G13718" s="128" t="str">
        <f>VLOOKUP(source[[#This Row],[lending_product_transform]],[3]Mapping!$B$4:$C$37,2,0)</f>
        <v>[Cake] - Cashloan</v>
      </c>
      <c r="H13718" s="128" t="str">
        <f>VLOOKUP(source[[#This Row],[lending_product_transform]],[3]Mapping!$B$3:$D$37,3,0)</f>
        <v>cashloan</v>
      </c>
      <c r="I13718" s="137">
        <v>356146497</v>
      </c>
    </row>
    <row r="13719" spans="1:9" x14ac:dyDescent="0.2">
      <c r="A13719" s="134">
        <v>46094</v>
      </c>
      <c r="B13719" s="135">
        <f>YEAR(source[[#This Row],[report_date]])</f>
        <v>2026</v>
      </c>
      <c r="C13719" s="128">
        <f t="shared" si="641"/>
        <v>3</v>
      </c>
      <c r="D13719" s="136">
        <f t="shared" si="643"/>
        <v>11</v>
      </c>
      <c r="E13719" s="136">
        <f t="shared" si="642"/>
        <v>13</v>
      </c>
      <c r="F13719" s="137" t="s">
        <v>24</v>
      </c>
      <c r="G13719" s="128" t="str">
        <f>VLOOKUP(source[[#This Row],[lending_product_transform]],[3]Mapping!$B$4:$C$37,2,0)</f>
        <v>[Cake] - Cashloan</v>
      </c>
      <c r="H13719" s="128" t="str">
        <f>VLOOKUP(source[[#This Row],[lending_product_transform]],[3]Mapping!$B$3:$D$37,3,0)</f>
        <v>cashloan</v>
      </c>
      <c r="I13719" s="137">
        <v>8666460000</v>
      </c>
    </row>
    <row r="13720" spans="1:9" x14ac:dyDescent="0.2">
      <c r="A13720" s="134">
        <v>46094</v>
      </c>
      <c r="B13720" s="135">
        <f>YEAR(source[[#This Row],[report_date]])</f>
        <v>2026</v>
      </c>
      <c r="C13720" s="128">
        <f t="shared" si="641"/>
        <v>3</v>
      </c>
      <c r="D13720" s="136">
        <f t="shared" si="643"/>
        <v>11</v>
      </c>
      <c r="E13720" s="136">
        <f t="shared" si="642"/>
        <v>13</v>
      </c>
      <c r="F13720" s="137" t="s">
        <v>24</v>
      </c>
      <c r="G13720" s="128" t="str">
        <f>VLOOKUP(source[[#This Row],[lending_product_transform]],[3]Mapping!$B$4:$C$37,2,0)</f>
        <v>[Cake] - Cashloan</v>
      </c>
      <c r="H13720" s="128" t="str">
        <f>VLOOKUP(source[[#This Row],[lending_product_transform]],[3]Mapping!$B$3:$D$37,3,0)</f>
        <v>cashloan</v>
      </c>
      <c r="I13720" s="137">
        <v>1514794635</v>
      </c>
    </row>
    <row r="13721" spans="1:9" x14ac:dyDescent="0.2">
      <c r="A13721" s="134">
        <v>46094</v>
      </c>
      <c r="B13721" s="135">
        <f>YEAR(source[[#This Row],[report_date]])</f>
        <v>2026</v>
      </c>
      <c r="C13721" s="128">
        <f t="shared" si="641"/>
        <v>3</v>
      </c>
      <c r="D13721" s="136">
        <f t="shared" si="643"/>
        <v>11</v>
      </c>
      <c r="E13721" s="136">
        <f t="shared" si="642"/>
        <v>13</v>
      </c>
      <c r="F13721" s="137" t="s">
        <v>24</v>
      </c>
      <c r="G13721" s="128" t="str">
        <f>VLOOKUP(source[[#This Row],[lending_product_transform]],[3]Mapping!$B$4:$C$37,2,0)</f>
        <v>[Cake] - Cashloan</v>
      </c>
      <c r="H13721" s="128" t="str">
        <f>VLOOKUP(source[[#This Row],[lending_product_transform]],[3]Mapping!$B$3:$D$37,3,0)</f>
        <v>cashloan</v>
      </c>
      <c r="I13721" s="137">
        <v>13784580000</v>
      </c>
    </row>
    <row r="13722" spans="1:9" x14ac:dyDescent="0.2">
      <c r="A13722" s="134">
        <v>46094</v>
      </c>
      <c r="B13722" s="135">
        <f>YEAR(source[[#This Row],[report_date]])</f>
        <v>2026</v>
      </c>
      <c r="C13722" s="128">
        <f t="shared" si="641"/>
        <v>3</v>
      </c>
      <c r="D13722" s="136">
        <f t="shared" si="643"/>
        <v>11</v>
      </c>
      <c r="E13722" s="136">
        <f t="shared" si="642"/>
        <v>13</v>
      </c>
      <c r="F13722" s="137" t="s">
        <v>24</v>
      </c>
      <c r="G13722" s="128" t="str">
        <f>VLOOKUP(source[[#This Row],[lending_product_transform]],[3]Mapping!$B$4:$C$37,2,0)</f>
        <v>[Cake] - Cashloan</v>
      </c>
      <c r="H13722" s="128" t="str">
        <f>VLOOKUP(source[[#This Row],[lending_product_transform]],[3]Mapping!$B$3:$D$37,3,0)</f>
        <v>cashloan</v>
      </c>
      <c r="I13722" s="137">
        <v>5687443</v>
      </c>
    </row>
    <row r="13723" spans="1:9" x14ac:dyDescent="0.2">
      <c r="A13723" s="134">
        <v>46094</v>
      </c>
      <c r="B13723" s="135">
        <f>YEAR(source[[#This Row],[report_date]])</f>
        <v>2026</v>
      </c>
      <c r="C13723" s="128">
        <f t="shared" si="641"/>
        <v>3</v>
      </c>
      <c r="D13723" s="136">
        <f t="shared" si="643"/>
        <v>11</v>
      </c>
      <c r="E13723" s="136">
        <f t="shared" si="642"/>
        <v>13</v>
      </c>
      <c r="F13723" s="137" t="s">
        <v>24</v>
      </c>
      <c r="G13723" s="128" t="str">
        <f>VLOOKUP(source[[#This Row],[lending_product_transform]],[3]Mapping!$B$4:$C$37,2,0)</f>
        <v>[Cake] - Cashloan</v>
      </c>
      <c r="H13723" s="128" t="str">
        <f>VLOOKUP(source[[#This Row],[lending_product_transform]],[3]Mapping!$B$3:$D$37,3,0)</f>
        <v>cashloan</v>
      </c>
      <c r="I13723" s="137">
        <v>0</v>
      </c>
    </row>
    <row r="13724" spans="1:9" x14ac:dyDescent="0.2">
      <c r="A13724" s="134">
        <v>46094</v>
      </c>
      <c r="B13724" s="135">
        <f>YEAR(source[[#This Row],[report_date]])</f>
        <v>2026</v>
      </c>
      <c r="C13724" s="128">
        <f t="shared" si="641"/>
        <v>3</v>
      </c>
      <c r="D13724" s="136">
        <f t="shared" si="643"/>
        <v>11</v>
      </c>
      <c r="E13724" s="136">
        <f t="shared" si="642"/>
        <v>13</v>
      </c>
      <c r="F13724" s="137" t="s">
        <v>24</v>
      </c>
      <c r="G13724" s="128" t="str">
        <f>VLOOKUP(source[[#This Row],[lending_product_transform]],[3]Mapping!$B$4:$C$37,2,0)</f>
        <v>[Cake] - Cashloan</v>
      </c>
      <c r="H13724" s="128" t="str">
        <f>VLOOKUP(source[[#This Row],[lending_product_transform]],[3]Mapping!$B$3:$D$37,3,0)</f>
        <v>cashloan</v>
      </c>
      <c r="I13724" s="137">
        <v>2284260000</v>
      </c>
    </row>
    <row r="13725" spans="1:9" x14ac:dyDescent="0.2">
      <c r="A13725" s="134">
        <v>46094</v>
      </c>
      <c r="B13725" s="135">
        <f>YEAR(source[[#This Row],[report_date]])</f>
        <v>2026</v>
      </c>
      <c r="C13725" s="128">
        <f t="shared" si="641"/>
        <v>3</v>
      </c>
      <c r="D13725" s="136">
        <f t="shared" si="643"/>
        <v>11</v>
      </c>
      <c r="E13725" s="136">
        <f t="shared" si="642"/>
        <v>13</v>
      </c>
      <c r="F13725" s="137" t="s">
        <v>24</v>
      </c>
      <c r="G13725" s="128" t="str">
        <f>VLOOKUP(source[[#This Row],[lending_product_transform]],[3]Mapping!$B$4:$C$37,2,0)</f>
        <v>[Cake] - Cashloan</v>
      </c>
      <c r="H13725" s="128" t="str">
        <f>VLOOKUP(source[[#This Row],[lending_product_transform]],[3]Mapping!$B$3:$D$37,3,0)</f>
        <v>cashloan</v>
      </c>
      <c r="I13725" s="137">
        <v>1217500000</v>
      </c>
    </row>
    <row r="13726" spans="1:9" x14ac:dyDescent="0.2">
      <c r="A13726" s="134">
        <v>46094</v>
      </c>
      <c r="B13726" s="135">
        <f>YEAR(source[[#This Row],[report_date]])</f>
        <v>2026</v>
      </c>
      <c r="C13726" s="128">
        <f t="shared" si="641"/>
        <v>3</v>
      </c>
      <c r="D13726" s="136">
        <f t="shared" si="643"/>
        <v>11</v>
      </c>
      <c r="E13726" s="136">
        <f t="shared" si="642"/>
        <v>13</v>
      </c>
      <c r="F13726" s="137" t="s">
        <v>24</v>
      </c>
      <c r="G13726" s="128" t="str">
        <f>VLOOKUP(source[[#This Row],[lending_product_transform]],[3]Mapping!$B$4:$C$37,2,0)</f>
        <v>[Cake] - Cashloan</v>
      </c>
      <c r="H13726" s="128" t="str">
        <f>VLOOKUP(source[[#This Row],[lending_product_transform]],[3]Mapping!$B$3:$D$37,3,0)</f>
        <v>cashloan</v>
      </c>
      <c r="I13726" s="137">
        <v>10468258</v>
      </c>
    </row>
    <row r="13727" spans="1:9" x14ac:dyDescent="0.2">
      <c r="A13727" s="134">
        <v>46094</v>
      </c>
      <c r="B13727" s="135">
        <f>YEAR(source[[#This Row],[report_date]])</f>
        <v>2026</v>
      </c>
      <c r="C13727" s="128">
        <f t="shared" si="641"/>
        <v>3</v>
      </c>
      <c r="D13727" s="136">
        <f t="shared" si="643"/>
        <v>11</v>
      </c>
      <c r="E13727" s="136">
        <f t="shared" si="642"/>
        <v>13</v>
      </c>
      <c r="F13727" s="137" t="s">
        <v>24</v>
      </c>
      <c r="G13727" s="128" t="str">
        <f>VLOOKUP(source[[#This Row],[lending_product_transform]],[3]Mapping!$B$4:$C$37,2,0)</f>
        <v>[Cake] - Cashloan</v>
      </c>
      <c r="H13727" s="128" t="str">
        <f>VLOOKUP(source[[#This Row],[lending_product_transform]],[3]Mapping!$B$3:$D$37,3,0)</f>
        <v>cashloan</v>
      </c>
      <c r="I13727" s="137">
        <v>1261795830</v>
      </c>
    </row>
    <row r="13728" spans="1:9" x14ac:dyDescent="0.2">
      <c r="A13728" s="134">
        <v>46094</v>
      </c>
      <c r="B13728" s="135">
        <f>YEAR(source[[#This Row],[report_date]])</f>
        <v>2026</v>
      </c>
      <c r="C13728" s="128">
        <f t="shared" si="641"/>
        <v>3</v>
      </c>
      <c r="D13728" s="136">
        <f t="shared" si="643"/>
        <v>11</v>
      </c>
      <c r="E13728" s="136">
        <f t="shared" si="642"/>
        <v>13</v>
      </c>
      <c r="F13728" s="137" t="s">
        <v>24</v>
      </c>
      <c r="G13728" s="128" t="str">
        <f>VLOOKUP(source[[#This Row],[lending_product_transform]],[3]Mapping!$B$4:$C$37,2,0)</f>
        <v>[Cake] - Cashloan</v>
      </c>
      <c r="H13728" s="128" t="str">
        <f>VLOOKUP(source[[#This Row],[lending_product_transform]],[3]Mapping!$B$3:$D$37,3,0)</f>
        <v>cashloan</v>
      </c>
      <c r="I13728" s="137">
        <v>0</v>
      </c>
    </row>
    <row r="13729" spans="1:9" x14ac:dyDescent="0.2">
      <c r="A13729" s="134">
        <v>46094</v>
      </c>
      <c r="B13729" s="135">
        <f>YEAR(source[[#This Row],[report_date]])</f>
        <v>2026</v>
      </c>
      <c r="C13729" s="128">
        <f t="shared" si="641"/>
        <v>3</v>
      </c>
      <c r="D13729" s="136">
        <f t="shared" si="643"/>
        <v>11</v>
      </c>
      <c r="E13729" s="136">
        <f t="shared" si="642"/>
        <v>13</v>
      </c>
      <c r="F13729" s="137" t="s">
        <v>24</v>
      </c>
      <c r="G13729" s="128" t="str">
        <f>VLOOKUP(source[[#This Row],[lending_product_transform]],[3]Mapping!$B$4:$C$37,2,0)</f>
        <v>[Cake] - Cashloan</v>
      </c>
      <c r="H13729" s="128" t="str">
        <f>VLOOKUP(source[[#This Row],[lending_product_transform]],[3]Mapping!$B$3:$D$37,3,0)</f>
        <v>cashloan</v>
      </c>
      <c r="I13729" s="137">
        <v>67750000</v>
      </c>
    </row>
    <row r="13730" spans="1:9" x14ac:dyDescent="0.2">
      <c r="A13730" s="134">
        <v>46094</v>
      </c>
      <c r="B13730" s="135">
        <f>YEAR(source[[#This Row],[report_date]])</f>
        <v>2026</v>
      </c>
      <c r="C13730" s="128">
        <f t="shared" si="641"/>
        <v>3</v>
      </c>
      <c r="D13730" s="136">
        <f t="shared" si="643"/>
        <v>11</v>
      </c>
      <c r="E13730" s="136">
        <f t="shared" si="642"/>
        <v>13</v>
      </c>
      <c r="F13730" s="137" t="s">
        <v>24</v>
      </c>
      <c r="G13730" s="128" t="str">
        <f>VLOOKUP(source[[#This Row],[lending_product_transform]],[3]Mapping!$B$4:$C$37,2,0)</f>
        <v>[Cake] - Cashloan</v>
      </c>
      <c r="H13730" s="128" t="str">
        <f>VLOOKUP(source[[#This Row],[lending_product_transform]],[3]Mapping!$B$3:$D$37,3,0)</f>
        <v>cashloan</v>
      </c>
      <c r="I13730" s="137">
        <v>32000000</v>
      </c>
    </row>
    <row r="13731" spans="1:9" x14ac:dyDescent="0.2">
      <c r="A13731" s="134">
        <v>46094</v>
      </c>
      <c r="B13731" s="135">
        <f>YEAR(source[[#This Row],[report_date]])</f>
        <v>2026</v>
      </c>
      <c r="C13731" s="128">
        <f t="shared" si="641"/>
        <v>3</v>
      </c>
      <c r="D13731" s="136">
        <f t="shared" si="643"/>
        <v>11</v>
      </c>
      <c r="E13731" s="136">
        <f t="shared" si="642"/>
        <v>13</v>
      </c>
      <c r="F13731" s="137" t="s">
        <v>24</v>
      </c>
      <c r="G13731" s="128" t="str">
        <f>VLOOKUP(source[[#This Row],[lending_product_transform]],[3]Mapping!$B$4:$C$37,2,0)</f>
        <v>[Cake] - Cashloan</v>
      </c>
      <c r="H13731" s="128" t="str">
        <f>VLOOKUP(source[[#This Row],[lending_product_transform]],[3]Mapping!$B$3:$D$37,3,0)</f>
        <v>cashloan</v>
      </c>
      <c r="I13731" s="137">
        <v>17298350000</v>
      </c>
    </row>
    <row r="13732" spans="1:9" x14ac:dyDescent="0.2">
      <c r="A13732" s="134">
        <v>46094</v>
      </c>
      <c r="B13732" s="135">
        <f>YEAR(source[[#This Row],[report_date]])</f>
        <v>2026</v>
      </c>
      <c r="C13732" s="128">
        <f t="shared" si="641"/>
        <v>3</v>
      </c>
      <c r="D13732" s="136">
        <f t="shared" si="643"/>
        <v>11</v>
      </c>
      <c r="E13732" s="136">
        <f t="shared" si="642"/>
        <v>13</v>
      </c>
      <c r="F13732" s="137" t="s">
        <v>24</v>
      </c>
      <c r="G13732" s="128" t="str">
        <f>VLOOKUP(source[[#This Row],[lending_product_transform]],[3]Mapping!$B$4:$C$37,2,0)</f>
        <v>[Cake] - Cashloan</v>
      </c>
      <c r="H13732" s="128" t="str">
        <f>VLOOKUP(source[[#This Row],[lending_product_transform]],[3]Mapping!$B$3:$D$37,3,0)</f>
        <v>cashloan</v>
      </c>
      <c r="I13732" s="137">
        <v>0</v>
      </c>
    </row>
    <row r="13733" spans="1:9" x14ac:dyDescent="0.2">
      <c r="A13733" s="134">
        <v>46094</v>
      </c>
      <c r="B13733" s="135">
        <f>YEAR(source[[#This Row],[report_date]])</f>
        <v>2026</v>
      </c>
      <c r="C13733" s="128">
        <f t="shared" si="641"/>
        <v>3</v>
      </c>
      <c r="D13733" s="136">
        <f t="shared" si="643"/>
        <v>11</v>
      </c>
      <c r="E13733" s="136">
        <f t="shared" si="642"/>
        <v>13</v>
      </c>
      <c r="F13733" s="137" t="s">
        <v>24</v>
      </c>
      <c r="G13733" s="128" t="str">
        <f>VLOOKUP(source[[#This Row],[lending_product_transform]],[3]Mapping!$B$4:$C$37,2,0)</f>
        <v>[Cake] - Cashloan</v>
      </c>
      <c r="H13733" s="128" t="str">
        <f>VLOOKUP(source[[#This Row],[lending_product_transform]],[3]Mapping!$B$3:$D$37,3,0)</f>
        <v>cashloan</v>
      </c>
      <c r="I13733" s="137">
        <v>0</v>
      </c>
    </row>
    <row r="13734" spans="1:9" x14ac:dyDescent="0.2">
      <c r="A13734" s="134">
        <v>46094</v>
      </c>
      <c r="B13734" s="135">
        <f>YEAR(source[[#This Row],[report_date]])</f>
        <v>2026</v>
      </c>
      <c r="C13734" s="128">
        <f t="shared" si="641"/>
        <v>3</v>
      </c>
      <c r="D13734" s="136">
        <f t="shared" si="643"/>
        <v>11</v>
      </c>
      <c r="E13734" s="136">
        <f t="shared" si="642"/>
        <v>13</v>
      </c>
      <c r="F13734" s="137" t="s">
        <v>24</v>
      </c>
      <c r="G13734" s="128" t="str">
        <f>VLOOKUP(source[[#This Row],[lending_product_transform]],[3]Mapping!$B$4:$C$37,2,0)</f>
        <v>[Cake] - Cashloan</v>
      </c>
      <c r="H13734" s="128" t="str">
        <f>VLOOKUP(source[[#This Row],[lending_product_transform]],[3]Mapping!$B$3:$D$37,3,0)</f>
        <v>cashloan</v>
      </c>
      <c r="I13734" s="137">
        <v>0</v>
      </c>
    </row>
    <row r="13735" spans="1:9" x14ac:dyDescent="0.2">
      <c r="A13735" s="134">
        <v>46094</v>
      </c>
      <c r="B13735" s="135">
        <f>YEAR(source[[#This Row],[report_date]])</f>
        <v>2026</v>
      </c>
      <c r="C13735" s="128">
        <f t="shared" si="641"/>
        <v>3</v>
      </c>
      <c r="D13735" s="136">
        <f t="shared" si="643"/>
        <v>11</v>
      </c>
      <c r="E13735" s="136">
        <f t="shared" si="642"/>
        <v>13</v>
      </c>
      <c r="F13735" s="137" t="s">
        <v>24</v>
      </c>
      <c r="G13735" s="128" t="str">
        <f>VLOOKUP(source[[#This Row],[lending_product_transform]],[3]Mapping!$B$4:$C$37,2,0)</f>
        <v>[Cake] - Cashloan</v>
      </c>
      <c r="H13735" s="128" t="str">
        <f>VLOOKUP(source[[#This Row],[lending_product_transform]],[3]Mapping!$B$3:$D$37,3,0)</f>
        <v>cashloan</v>
      </c>
      <c r="I13735" s="137">
        <v>0</v>
      </c>
    </row>
    <row r="13736" spans="1:9" x14ac:dyDescent="0.2">
      <c r="A13736" s="134">
        <v>46094</v>
      </c>
      <c r="B13736" s="135">
        <f>YEAR(source[[#This Row],[report_date]])</f>
        <v>2026</v>
      </c>
      <c r="C13736" s="128">
        <f t="shared" si="641"/>
        <v>3</v>
      </c>
      <c r="D13736" s="136">
        <f t="shared" si="643"/>
        <v>11</v>
      </c>
      <c r="E13736" s="136">
        <f t="shared" si="642"/>
        <v>13</v>
      </c>
      <c r="F13736" s="137" t="s">
        <v>24</v>
      </c>
      <c r="G13736" s="128" t="str">
        <f>VLOOKUP(source[[#This Row],[lending_product_transform]],[3]Mapping!$B$4:$C$37,2,0)</f>
        <v>[Cake] - Cashloan</v>
      </c>
      <c r="H13736" s="128" t="str">
        <f>VLOOKUP(source[[#This Row],[lending_product_transform]],[3]Mapping!$B$3:$D$37,3,0)</f>
        <v>cashloan</v>
      </c>
      <c r="I13736" s="137">
        <v>13376124000</v>
      </c>
    </row>
    <row r="13737" spans="1:9" x14ac:dyDescent="0.2">
      <c r="A13737" s="134">
        <v>46094</v>
      </c>
      <c r="B13737" s="135">
        <f>YEAR(source[[#This Row],[report_date]])</f>
        <v>2026</v>
      </c>
      <c r="C13737" s="128">
        <f t="shared" si="641"/>
        <v>3</v>
      </c>
      <c r="D13737" s="136">
        <f t="shared" si="643"/>
        <v>11</v>
      </c>
      <c r="E13737" s="136">
        <f t="shared" si="642"/>
        <v>13</v>
      </c>
      <c r="F13737" s="137" t="s">
        <v>24</v>
      </c>
      <c r="G13737" s="128" t="str">
        <f>VLOOKUP(source[[#This Row],[lending_product_transform]],[3]Mapping!$B$4:$C$37,2,0)</f>
        <v>[Cake] - Cashloan</v>
      </c>
      <c r="H13737" s="128" t="str">
        <f>VLOOKUP(source[[#This Row],[lending_product_transform]],[3]Mapping!$B$3:$D$37,3,0)</f>
        <v>cashloan</v>
      </c>
      <c r="I13737" s="137">
        <v>178610788</v>
      </c>
    </row>
    <row r="13738" spans="1:9" x14ac:dyDescent="0.2">
      <c r="A13738" s="134">
        <v>46094</v>
      </c>
      <c r="B13738" s="135">
        <f>YEAR(source[[#This Row],[report_date]])</f>
        <v>2026</v>
      </c>
      <c r="C13738" s="128">
        <f t="shared" si="641"/>
        <v>3</v>
      </c>
      <c r="D13738" s="136">
        <f t="shared" si="643"/>
        <v>11</v>
      </c>
      <c r="E13738" s="136">
        <f t="shared" si="642"/>
        <v>13</v>
      </c>
      <c r="F13738" s="137" t="s">
        <v>24</v>
      </c>
      <c r="G13738" s="128" t="str">
        <f>VLOOKUP(source[[#This Row],[lending_product_transform]],[3]Mapping!$B$4:$C$37,2,0)</f>
        <v>[Cake] - Cashloan</v>
      </c>
      <c r="H13738" s="128" t="str">
        <f>VLOOKUP(source[[#This Row],[lending_product_transform]],[3]Mapping!$B$3:$D$37,3,0)</f>
        <v>cashloan</v>
      </c>
      <c r="I13738" s="137">
        <v>21000000</v>
      </c>
    </row>
    <row r="13739" spans="1:9" x14ac:dyDescent="0.2">
      <c r="A13739" s="134">
        <v>46094</v>
      </c>
      <c r="B13739" s="135">
        <f>YEAR(source[[#This Row],[report_date]])</f>
        <v>2026</v>
      </c>
      <c r="C13739" s="128">
        <f t="shared" si="641"/>
        <v>3</v>
      </c>
      <c r="D13739" s="136">
        <f t="shared" si="643"/>
        <v>11</v>
      </c>
      <c r="E13739" s="136">
        <f t="shared" si="642"/>
        <v>13</v>
      </c>
      <c r="F13739" s="137" t="s">
        <v>24</v>
      </c>
      <c r="G13739" s="128" t="str">
        <f>VLOOKUP(source[[#This Row],[lending_product_transform]],[3]Mapping!$B$4:$C$37,2,0)</f>
        <v>[Cake] - Cashloan</v>
      </c>
      <c r="H13739" s="128" t="str">
        <f>VLOOKUP(source[[#This Row],[lending_product_transform]],[3]Mapping!$B$3:$D$37,3,0)</f>
        <v>cashloan</v>
      </c>
      <c r="I13739" s="137">
        <v>15000000</v>
      </c>
    </row>
    <row r="13740" spans="1:9" x14ac:dyDescent="0.2">
      <c r="A13740" s="134">
        <v>46094</v>
      </c>
      <c r="B13740" s="135">
        <f>YEAR(source[[#This Row],[report_date]])</f>
        <v>2026</v>
      </c>
      <c r="C13740" s="128">
        <f t="shared" si="641"/>
        <v>3</v>
      </c>
      <c r="D13740" s="136">
        <f t="shared" si="643"/>
        <v>11</v>
      </c>
      <c r="E13740" s="136">
        <f t="shared" si="642"/>
        <v>13</v>
      </c>
      <c r="F13740" s="137" t="s">
        <v>24</v>
      </c>
      <c r="G13740" s="128" t="str">
        <f>VLOOKUP(source[[#This Row],[lending_product_transform]],[3]Mapping!$B$4:$C$37,2,0)</f>
        <v>[Cake] - Cashloan</v>
      </c>
      <c r="H13740" s="128" t="str">
        <f>VLOOKUP(source[[#This Row],[lending_product_transform]],[3]Mapping!$B$3:$D$37,3,0)</f>
        <v>cashloan</v>
      </c>
      <c r="I13740" s="137">
        <v>685640000</v>
      </c>
    </row>
    <row r="13741" spans="1:9" x14ac:dyDescent="0.2">
      <c r="A13741" s="134">
        <v>46094</v>
      </c>
      <c r="B13741" s="135">
        <f>YEAR(source[[#This Row],[report_date]])</f>
        <v>2026</v>
      </c>
      <c r="C13741" s="128">
        <f t="shared" si="641"/>
        <v>3</v>
      </c>
      <c r="D13741" s="136">
        <f t="shared" si="643"/>
        <v>11</v>
      </c>
      <c r="E13741" s="136">
        <f t="shared" si="642"/>
        <v>13</v>
      </c>
      <c r="F13741" s="137" t="s">
        <v>24</v>
      </c>
      <c r="G13741" s="128" t="str">
        <f>VLOOKUP(source[[#This Row],[lending_product_transform]],[3]Mapping!$B$4:$C$37,2,0)</f>
        <v>[Cake] - Cashloan</v>
      </c>
      <c r="H13741" s="128" t="str">
        <f>VLOOKUP(source[[#This Row],[lending_product_transform]],[3]Mapping!$B$3:$D$37,3,0)</f>
        <v>cashloan</v>
      </c>
      <c r="I13741" s="137">
        <v>327564000</v>
      </c>
    </row>
    <row r="13742" spans="1:9" x14ac:dyDescent="0.2">
      <c r="A13742" s="134">
        <v>46094</v>
      </c>
      <c r="B13742" s="135">
        <f>YEAR(source[[#This Row],[report_date]])</f>
        <v>2026</v>
      </c>
      <c r="C13742" s="128">
        <f t="shared" si="641"/>
        <v>3</v>
      </c>
      <c r="D13742" s="136">
        <f t="shared" si="643"/>
        <v>11</v>
      </c>
      <c r="E13742" s="136">
        <f t="shared" si="642"/>
        <v>13</v>
      </c>
      <c r="F13742" s="137" t="s">
        <v>24</v>
      </c>
      <c r="G13742" s="128" t="str">
        <f>VLOOKUP(source[[#This Row],[lending_product_transform]],[3]Mapping!$B$4:$C$37,2,0)</f>
        <v>[Cake] - Cashloan</v>
      </c>
      <c r="H13742" s="128" t="str">
        <f>VLOOKUP(source[[#This Row],[lending_product_transform]],[3]Mapping!$B$3:$D$37,3,0)</f>
        <v>cashloan</v>
      </c>
      <c r="I13742" s="137">
        <v>301348104</v>
      </c>
    </row>
    <row r="13743" spans="1:9" x14ac:dyDescent="0.2">
      <c r="A13743" s="134">
        <v>46094</v>
      </c>
      <c r="B13743" s="135">
        <f>YEAR(source[[#This Row],[report_date]])</f>
        <v>2026</v>
      </c>
      <c r="C13743" s="128">
        <f t="shared" si="641"/>
        <v>3</v>
      </c>
      <c r="D13743" s="136">
        <f t="shared" si="643"/>
        <v>11</v>
      </c>
      <c r="E13743" s="136">
        <f t="shared" si="642"/>
        <v>13</v>
      </c>
      <c r="F13743" s="137" t="s">
        <v>24</v>
      </c>
      <c r="G13743" s="128" t="str">
        <f>VLOOKUP(source[[#This Row],[lending_product_transform]],[3]Mapping!$B$4:$C$37,2,0)</f>
        <v>[Cake] - Cashloan</v>
      </c>
      <c r="H13743" s="128" t="str">
        <f>VLOOKUP(source[[#This Row],[lending_product_transform]],[3]Mapping!$B$3:$D$37,3,0)</f>
        <v>cashloan</v>
      </c>
      <c r="I13743" s="137">
        <v>3044990000</v>
      </c>
    </row>
    <row r="13744" spans="1:9" x14ac:dyDescent="0.2">
      <c r="A13744" s="134">
        <v>46094</v>
      </c>
      <c r="B13744" s="135">
        <f>YEAR(source[[#This Row],[report_date]])</f>
        <v>2026</v>
      </c>
      <c r="C13744" s="128">
        <f t="shared" si="641"/>
        <v>3</v>
      </c>
      <c r="D13744" s="136">
        <f t="shared" si="643"/>
        <v>11</v>
      </c>
      <c r="E13744" s="136">
        <f t="shared" si="642"/>
        <v>13</v>
      </c>
      <c r="F13744" s="137" t="s">
        <v>24</v>
      </c>
      <c r="G13744" s="128" t="str">
        <f>VLOOKUP(source[[#This Row],[lending_product_transform]],[3]Mapping!$B$4:$C$37,2,0)</f>
        <v>[Cake] - Cashloan</v>
      </c>
      <c r="H13744" s="128" t="str">
        <f>VLOOKUP(source[[#This Row],[lending_product_transform]],[3]Mapping!$B$3:$D$37,3,0)</f>
        <v>cashloan</v>
      </c>
      <c r="I13744" s="137">
        <v>251640000</v>
      </c>
    </row>
    <row r="13745" spans="1:9" x14ac:dyDescent="0.2">
      <c r="A13745" s="134">
        <v>46095</v>
      </c>
      <c r="B13745" s="135">
        <f>YEAR(source[[#This Row],[report_date]])</f>
        <v>2026</v>
      </c>
      <c r="C13745" s="128">
        <f t="shared" si="641"/>
        <v>3</v>
      </c>
      <c r="D13745" s="136">
        <f t="shared" si="643"/>
        <v>11</v>
      </c>
      <c r="E13745" s="136">
        <f t="shared" si="642"/>
        <v>14</v>
      </c>
      <c r="F13745" s="137" t="s">
        <v>24</v>
      </c>
      <c r="G13745" s="128" t="str">
        <f>VLOOKUP(source[[#This Row],[lending_product_transform]],[3]Mapping!$B$4:$C$37,2,0)</f>
        <v>[Cake] - Cashloan</v>
      </c>
      <c r="H13745" s="128" t="str">
        <f>VLOOKUP(source[[#This Row],[lending_product_transform]],[3]Mapping!$B$3:$D$37,3,0)</f>
        <v>cashloan</v>
      </c>
      <c r="I13745" s="137">
        <v>803580000</v>
      </c>
    </row>
    <row r="13746" spans="1:9" x14ac:dyDescent="0.2">
      <c r="A13746" s="134">
        <v>46095</v>
      </c>
      <c r="B13746" s="135">
        <f>YEAR(source[[#This Row],[report_date]])</f>
        <v>2026</v>
      </c>
      <c r="C13746" s="128">
        <f t="shared" si="641"/>
        <v>3</v>
      </c>
      <c r="D13746" s="136">
        <f t="shared" si="643"/>
        <v>11</v>
      </c>
      <c r="E13746" s="136">
        <f t="shared" si="642"/>
        <v>14</v>
      </c>
      <c r="F13746" s="137" t="s">
        <v>24</v>
      </c>
      <c r="G13746" s="128" t="str">
        <f>VLOOKUP(source[[#This Row],[lending_product_transform]],[3]Mapping!$B$4:$C$37,2,0)</f>
        <v>[Cake] - Cashloan</v>
      </c>
      <c r="H13746" s="128" t="str">
        <f>VLOOKUP(source[[#This Row],[lending_product_transform]],[3]Mapping!$B$3:$D$37,3,0)</f>
        <v>cashloan</v>
      </c>
      <c r="I13746" s="137">
        <v>327651632</v>
      </c>
    </row>
    <row r="13747" spans="1:9" x14ac:dyDescent="0.2">
      <c r="A13747" s="134">
        <v>46095</v>
      </c>
      <c r="B13747" s="135">
        <f>YEAR(source[[#This Row],[report_date]])</f>
        <v>2026</v>
      </c>
      <c r="C13747" s="128">
        <f t="shared" si="641"/>
        <v>3</v>
      </c>
      <c r="D13747" s="136">
        <f t="shared" si="643"/>
        <v>11</v>
      </c>
      <c r="E13747" s="136">
        <f t="shared" si="642"/>
        <v>14</v>
      </c>
      <c r="F13747" s="137" t="s">
        <v>24</v>
      </c>
      <c r="G13747" s="128" t="str">
        <f>VLOOKUP(source[[#This Row],[lending_product_transform]],[3]Mapping!$B$4:$C$37,2,0)</f>
        <v>[Cake] - Cashloan</v>
      </c>
      <c r="H13747" s="128" t="str">
        <f>VLOOKUP(source[[#This Row],[lending_product_transform]],[3]Mapping!$B$3:$D$37,3,0)</f>
        <v>cashloan</v>
      </c>
      <c r="I13747" s="137">
        <v>8204550000</v>
      </c>
    </row>
    <row r="13748" spans="1:9" x14ac:dyDescent="0.2">
      <c r="A13748" s="134">
        <v>46095</v>
      </c>
      <c r="B13748" s="135">
        <f>YEAR(source[[#This Row],[report_date]])</f>
        <v>2026</v>
      </c>
      <c r="C13748" s="128">
        <f t="shared" si="641"/>
        <v>3</v>
      </c>
      <c r="D13748" s="136">
        <f t="shared" si="643"/>
        <v>11</v>
      </c>
      <c r="E13748" s="136">
        <f t="shared" si="642"/>
        <v>14</v>
      </c>
      <c r="F13748" s="137" t="s">
        <v>24</v>
      </c>
      <c r="G13748" s="128" t="str">
        <f>VLOOKUP(source[[#This Row],[lending_product_transform]],[3]Mapping!$B$4:$C$37,2,0)</f>
        <v>[Cake] - Cashloan</v>
      </c>
      <c r="H13748" s="128" t="str">
        <f>VLOOKUP(source[[#This Row],[lending_product_transform]],[3]Mapping!$B$3:$D$37,3,0)</f>
        <v>cashloan</v>
      </c>
      <c r="I13748" s="137">
        <v>1385447749</v>
      </c>
    </row>
    <row r="13749" spans="1:9" x14ac:dyDescent="0.2">
      <c r="A13749" s="134">
        <v>46095</v>
      </c>
      <c r="B13749" s="135">
        <f>YEAR(source[[#This Row],[report_date]])</f>
        <v>2026</v>
      </c>
      <c r="C13749" s="128">
        <f t="shared" si="641"/>
        <v>3</v>
      </c>
      <c r="D13749" s="136">
        <f t="shared" si="643"/>
        <v>11</v>
      </c>
      <c r="E13749" s="136">
        <f t="shared" si="642"/>
        <v>14</v>
      </c>
      <c r="F13749" s="137" t="s">
        <v>24</v>
      </c>
      <c r="G13749" s="128" t="str">
        <f>VLOOKUP(source[[#This Row],[lending_product_transform]],[3]Mapping!$B$4:$C$37,2,0)</f>
        <v>[Cake] - Cashloan</v>
      </c>
      <c r="H13749" s="128" t="str">
        <f>VLOOKUP(source[[#This Row],[lending_product_transform]],[3]Mapping!$B$3:$D$37,3,0)</f>
        <v>cashloan</v>
      </c>
      <c r="I13749" s="137">
        <v>12531564000</v>
      </c>
    </row>
    <row r="13750" spans="1:9" x14ac:dyDescent="0.2">
      <c r="A13750" s="134">
        <v>46095</v>
      </c>
      <c r="B13750" s="135">
        <f>YEAR(source[[#This Row],[report_date]])</f>
        <v>2026</v>
      </c>
      <c r="C13750" s="128">
        <f t="shared" ref="C13750:C13813" si="644">MONTH(A13750)</f>
        <v>3</v>
      </c>
      <c r="D13750" s="136">
        <f t="shared" si="643"/>
        <v>11</v>
      </c>
      <c r="E13750" s="136">
        <f t="shared" ref="E13750:E13813" si="645">DAY(A13750)</f>
        <v>14</v>
      </c>
      <c r="F13750" s="137" t="s">
        <v>24</v>
      </c>
      <c r="G13750" s="128" t="str">
        <f>VLOOKUP(source[[#This Row],[lending_product_transform]],[3]Mapping!$B$4:$C$37,2,0)</f>
        <v>[Cake] - Cashloan</v>
      </c>
      <c r="H13750" s="128" t="str">
        <f>VLOOKUP(source[[#This Row],[lending_product_transform]],[3]Mapping!$B$3:$D$37,3,0)</f>
        <v>cashloan</v>
      </c>
      <c r="I13750" s="137">
        <v>4988697</v>
      </c>
    </row>
    <row r="13751" spans="1:9" x14ac:dyDescent="0.2">
      <c r="A13751" s="134">
        <v>46095</v>
      </c>
      <c r="B13751" s="135">
        <f>YEAR(source[[#This Row],[report_date]])</f>
        <v>2026</v>
      </c>
      <c r="C13751" s="128">
        <f t="shared" si="644"/>
        <v>3</v>
      </c>
      <c r="D13751" s="136">
        <f t="shared" si="643"/>
        <v>11</v>
      </c>
      <c r="E13751" s="136">
        <f t="shared" si="645"/>
        <v>14</v>
      </c>
      <c r="F13751" s="137" t="s">
        <v>24</v>
      </c>
      <c r="G13751" s="128" t="str">
        <f>VLOOKUP(source[[#This Row],[lending_product_transform]],[3]Mapping!$B$4:$C$37,2,0)</f>
        <v>[Cake] - Cashloan</v>
      </c>
      <c r="H13751" s="128" t="str">
        <f>VLOOKUP(source[[#This Row],[lending_product_transform]],[3]Mapping!$B$3:$D$37,3,0)</f>
        <v>cashloan</v>
      </c>
      <c r="I13751" s="137">
        <v>90000000</v>
      </c>
    </row>
    <row r="13752" spans="1:9" x14ac:dyDescent="0.2">
      <c r="A13752" s="134">
        <v>46095</v>
      </c>
      <c r="B13752" s="135">
        <f>YEAR(source[[#This Row],[report_date]])</f>
        <v>2026</v>
      </c>
      <c r="C13752" s="128">
        <f t="shared" si="644"/>
        <v>3</v>
      </c>
      <c r="D13752" s="136">
        <f t="shared" si="643"/>
        <v>11</v>
      </c>
      <c r="E13752" s="136">
        <f t="shared" si="645"/>
        <v>14</v>
      </c>
      <c r="F13752" s="137" t="s">
        <v>24</v>
      </c>
      <c r="G13752" s="128" t="str">
        <f>VLOOKUP(source[[#This Row],[lending_product_transform]],[3]Mapping!$B$4:$C$37,2,0)</f>
        <v>[Cake] - Cashloan</v>
      </c>
      <c r="H13752" s="128" t="str">
        <f>VLOOKUP(source[[#This Row],[lending_product_transform]],[3]Mapping!$B$3:$D$37,3,0)</f>
        <v>cashloan</v>
      </c>
      <c r="I13752" s="137">
        <v>2378780000</v>
      </c>
    </row>
    <row r="13753" spans="1:9" x14ac:dyDescent="0.2">
      <c r="A13753" s="134">
        <v>46095</v>
      </c>
      <c r="B13753" s="135">
        <f>YEAR(source[[#This Row],[report_date]])</f>
        <v>2026</v>
      </c>
      <c r="C13753" s="128">
        <f t="shared" si="644"/>
        <v>3</v>
      </c>
      <c r="D13753" s="136">
        <f t="shared" si="643"/>
        <v>11</v>
      </c>
      <c r="E13753" s="136">
        <f t="shared" si="645"/>
        <v>14</v>
      </c>
      <c r="F13753" s="137" t="s">
        <v>24</v>
      </c>
      <c r="G13753" s="128" t="str">
        <f>VLOOKUP(source[[#This Row],[lending_product_transform]],[3]Mapping!$B$4:$C$37,2,0)</f>
        <v>[Cake] - Cashloan</v>
      </c>
      <c r="H13753" s="128" t="str">
        <f>VLOOKUP(source[[#This Row],[lending_product_transform]],[3]Mapping!$B$3:$D$37,3,0)</f>
        <v>cashloan</v>
      </c>
      <c r="I13753" s="137">
        <v>1039980000</v>
      </c>
    </row>
    <row r="13754" spans="1:9" x14ac:dyDescent="0.2">
      <c r="A13754" s="134">
        <v>46095</v>
      </c>
      <c r="B13754" s="135">
        <f>YEAR(source[[#This Row],[report_date]])</f>
        <v>2026</v>
      </c>
      <c r="C13754" s="128">
        <f t="shared" si="644"/>
        <v>3</v>
      </c>
      <c r="D13754" s="136">
        <f t="shared" si="643"/>
        <v>11</v>
      </c>
      <c r="E13754" s="136">
        <f t="shared" si="645"/>
        <v>14</v>
      </c>
      <c r="F13754" s="137" t="s">
        <v>24</v>
      </c>
      <c r="G13754" s="128" t="str">
        <f>VLOOKUP(source[[#This Row],[lending_product_transform]],[3]Mapping!$B$4:$C$37,2,0)</f>
        <v>[Cake] - Cashloan</v>
      </c>
      <c r="H13754" s="128" t="str">
        <f>VLOOKUP(source[[#This Row],[lending_product_transform]],[3]Mapping!$B$3:$D$37,3,0)</f>
        <v>cashloan</v>
      </c>
      <c r="I13754" s="137">
        <v>2443938</v>
      </c>
    </row>
    <row r="13755" spans="1:9" x14ac:dyDescent="0.2">
      <c r="A13755" s="134">
        <v>46095</v>
      </c>
      <c r="B13755" s="135">
        <f>YEAR(source[[#This Row],[report_date]])</f>
        <v>2026</v>
      </c>
      <c r="C13755" s="128">
        <f t="shared" si="644"/>
        <v>3</v>
      </c>
      <c r="D13755" s="136">
        <f t="shared" si="643"/>
        <v>11</v>
      </c>
      <c r="E13755" s="136">
        <f t="shared" si="645"/>
        <v>14</v>
      </c>
      <c r="F13755" s="137" t="s">
        <v>24</v>
      </c>
      <c r="G13755" s="128" t="str">
        <f>VLOOKUP(source[[#This Row],[lending_product_transform]],[3]Mapping!$B$4:$C$37,2,0)</f>
        <v>[Cake] - Cashloan</v>
      </c>
      <c r="H13755" s="128" t="str">
        <f>VLOOKUP(source[[#This Row],[lending_product_transform]],[3]Mapping!$B$3:$D$37,3,0)</f>
        <v>cashloan</v>
      </c>
      <c r="I13755" s="137">
        <v>1473294906</v>
      </c>
    </row>
    <row r="13756" spans="1:9" x14ac:dyDescent="0.2">
      <c r="A13756" s="134">
        <v>46095</v>
      </c>
      <c r="B13756" s="135">
        <f>YEAR(source[[#This Row],[report_date]])</f>
        <v>2026</v>
      </c>
      <c r="C13756" s="128">
        <f t="shared" si="644"/>
        <v>3</v>
      </c>
      <c r="D13756" s="136">
        <f t="shared" si="643"/>
        <v>11</v>
      </c>
      <c r="E13756" s="136">
        <f t="shared" si="645"/>
        <v>14</v>
      </c>
      <c r="F13756" s="137" t="s">
        <v>24</v>
      </c>
      <c r="G13756" s="128" t="str">
        <f>VLOOKUP(source[[#This Row],[lending_product_transform]],[3]Mapping!$B$4:$C$37,2,0)</f>
        <v>[Cake] - Cashloan</v>
      </c>
      <c r="H13756" s="128" t="str">
        <f>VLOOKUP(source[[#This Row],[lending_product_transform]],[3]Mapping!$B$3:$D$37,3,0)</f>
        <v>cashloan</v>
      </c>
      <c r="I13756" s="137">
        <v>0</v>
      </c>
    </row>
    <row r="13757" spans="1:9" x14ac:dyDescent="0.2">
      <c r="A13757" s="134">
        <v>46095</v>
      </c>
      <c r="B13757" s="135">
        <f>YEAR(source[[#This Row],[report_date]])</f>
        <v>2026</v>
      </c>
      <c r="C13757" s="128">
        <f t="shared" si="644"/>
        <v>3</v>
      </c>
      <c r="D13757" s="136">
        <f t="shared" si="643"/>
        <v>11</v>
      </c>
      <c r="E13757" s="136">
        <f t="shared" si="645"/>
        <v>14</v>
      </c>
      <c r="F13757" s="137" t="s">
        <v>24</v>
      </c>
      <c r="G13757" s="128" t="str">
        <f>VLOOKUP(source[[#This Row],[lending_product_transform]],[3]Mapping!$B$4:$C$37,2,0)</f>
        <v>[Cake] - Cashloan</v>
      </c>
      <c r="H13757" s="128" t="str">
        <f>VLOOKUP(source[[#This Row],[lending_product_transform]],[3]Mapping!$B$3:$D$37,3,0)</f>
        <v>cashloan</v>
      </c>
      <c r="I13757" s="137">
        <v>15750000</v>
      </c>
    </row>
    <row r="13758" spans="1:9" x14ac:dyDescent="0.2">
      <c r="A13758" s="134">
        <v>46095</v>
      </c>
      <c r="B13758" s="135">
        <f>YEAR(source[[#This Row],[report_date]])</f>
        <v>2026</v>
      </c>
      <c r="C13758" s="128">
        <f t="shared" si="644"/>
        <v>3</v>
      </c>
      <c r="D13758" s="136">
        <f t="shared" si="643"/>
        <v>11</v>
      </c>
      <c r="E13758" s="136">
        <f t="shared" si="645"/>
        <v>14</v>
      </c>
      <c r="F13758" s="137" t="s">
        <v>24</v>
      </c>
      <c r="G13758" s="128" t="str">
        <f>VLOOKUP(source[[#This Row],[lending_product_transform]],[3]Mapping!$B$4:$C$37,2,0)</f>
        <v>[Cake] - Cashloan</v>
      </c>
      <c r="H13758" s="128" t="str">
        <f>VLOOKUP(source[[#This Row],[lending_product_transform]],[3]Mapping!$B$3:$D$37,3,0)</f>
        <v>cashloan</v>
      </c>
      <c r="I13758" s="137">
        <v>0</v>
      </c>
    </row>
    <row r="13759" spans="1:9" x14ac:dyDescent="0.2">
      <c r="A13759" s="134">
        <v>46095</v>
      </c>
      <c r="B13759" s="135">
        <f>YEAR(source[[#This Row],[report_date]])</f>
        <v>2026</v>
      </c>
      <c r="C13759" s="128">
        <f t="shared" si="644"/>
        <v>3</v>
      </c>
      <c r="D13759" s="136">
        <f t="shared" si="643"/>
        <v>11</v>
      </c>
      <c r="E13759" s="136">
        <f t="shared" si="645"/>
        <v>14</v>
      </c>
      <c r="F13759" s="137" t="s">
        <v>24</v>
      </c>
      <c r="G13759" s="128" t="str">
        <f>VLOOKUP(source[[#This Row],[lending_product_transform]],[3]Mapping!$B$4:$C$37,2,0)</f>
        <v>[Cake] - Cashloan</v>
      </c>
      <c r="H13759" s="128" t="str">
        <f>VLOOKUP(source[[#This Row],[lending_product_transform]],[3]Mapping!$B$3:$D$37,3,0)</f>
        <v>cashloan</v>
      </c>
      <c r="I13759" s="137">
        <v>16076280000</v>
      </c>
    </row>
    <row r="13760" spans="1:9" x14ac:dyDescent="0.2">
      <c r="A13760" s="134">
        <v>46095</v>
      </c>
      <c r="B13760" s="135">
        <f>YEAR(source[[#This Row],[report_date]])</f>
        <v>2026</v>
      </c>
      <c r="C13760" s="128">
        <f t="shared" si="644"/>
        <v>3</v>
      </c>
      <c r="D13760" s="136">
        <f t="shared" si="643"/>
        <v>11</v>
      </c>
      <c r="E13760" s="136">
        <f t="shared" si="645"/>
        <v>14</v>
      </c>
      <c r="F13760" s="137" t="s">
        <v>24</v>
      </c>
      <c r="G13760" s="128" t="str">
        <f>VLOOKUP(source[[#This Row],[lending_product_transform]],[3]Mapping!$B$4:$C$37,2,0)</f>
        <v>[Cake] - Cashloan</v>
      </c>
      <c r="H13760" s="128" t="str">
        <f>VLOOKUP(source[[#This Row],[lending_product_transform]],[3]Mapping!$B$3:$D$37,3,0)</f>
        <v>cashloan</v>
      </c>
      <c r="I13760" s="137">
        <v>0</v>
      </c>
    </row>
    <row r="13761" spans="1:9" x14ac:dyDescent="0.2">
      <c r="A13761" s="134">
        <v>46095</v>
      </c>
      <c r="B13761" s="135">
        <f>YEAR(source[[#This Row],[report_date]])</f>
        <v>2026</v>
      </c>
      <c r="C13761" s="128">
        <f t="shared" si="644"/>
        <v>3</v>
      </c>
      <c r="D13761" s="136">
        <f t="shared" si="643"/>
        <v>11</v>
      </c>
      <c r="E13761" s="136">
        <f t="shared" si="645"/>
        <v>14</v>
      </c>
      <c r="F13761" s="137" t="s">
        <v>24</v>
      </c>
      <c r="G13761" s="128" t="str">
        <f>VLOOKUP(source[[#This Row],[lending_product_transform]],[3]Mapping!$B$4:$C$37,2,0)</f>
        <v>[Cake] - Cashloan</v>
      </c>
      <c r="H13761" s="128" t="str">
        <f>VLOOKUP(source[[#This Row],[lending_product_transform]],[3]Mapping!$B$3:$D$37,3,0)</f>
        <v>cashloan</v>
      </c>
      <c r="I13761" s="137">
        <v>0</v>
      </c>
    </row>
    <row r="13762" spans="1:9" x14ac:dyDescent="0.2">
      <c r="A13762" s="134">
        <v>46095</v>
      </c>
      <c r="B13762" s="135">
        <f>YEAR(source[[#This Row],[report_date]])</f>
        <v>2026</v>
      </c>
      <c r="C13762" s="128">
        <f t="shared" si="644"/>
        <v>3</v>
      </c>
      <c r="D13762" s="136">
        <f t="shared" si="643"/>
        <v>11</v>
      </c>
      <c r="E13762" s="136">
        <f t="shared" si="645"/>
        <v>14</v>
      </c>
      <c r="F13762" s="137" t="s">
        <v>24</v>
      </c>
      <c r="G13762" s="128" t="str">
        <f>VLOOKUP(source[[#This Row],[lending_product_transform]],[3]Mapping!$B$4:$C$37,2,0)</f>
        <v>[Cake] - Cashloan</v>
      </c>
      <c r="H13762" s="128" t="str">
        <f>VLOOKUP(source[[#This Row],[lending_product_transform]],[3]Mapping!$B$3:$D$37,3,0)</f>
        <v>cashloan</v>
      </c>
      <c r="I13762" s="137">
        <v>0</v>
      </c>
    </row>
    <row r="13763" spans="1:9" x14ac:dyDescent="0.2">
      <c r="A13763" s="134">
        <v>46095</v>
      </c>
      <c r="B13763" s="135">
        <f>YEAR(source[[#This Row],[report_date]])</f>
        <v>2026</v>
      </c>
      <c r="C13763" s="128">
        <f t="shared" si="644"/>
        <v>3</v>
      </c>
      <c r="D13763" s="136">
        <f t="shared" si="643"/>
        <v>11</v>
      </c>
      <c r="E13763" s="136">
        <f t="shared" si="645"/>
        <v>14</v>
      </c>
      <c r="F13763" s="137" t="s">
        <v>24</v>
      </c>
      <c r="G13763" s="128" t="str">
        <f>VLOOKUP(source[[#This Row],[lending_product_transform]],[3]Mapping!$B$4:$C$37,2,0)</f>
        <v>[Cake] - Cashloan</v>
      </c>
      <c r="H13763" s="128" t="str">
        <f>VLOOKUP(source[[#This Row],[lending_product_transform]],[3]Mapping!$B$3:$D$37,3,0)</f>
        <v>cashloan</v>
      </c>
      <c r="I13763" s="137">
        <v>0</v>
      </c>
    </row>
    <row r="13764" spans="1:9" x14ac:dyDescent="0.2">
      <c r="A13764" s="134">
        <v>46095</v>
      </c>
      <c r="B13764" s="135">
        <f>YEAR(source[[#This Row],[report_date]])</f>
        <v>2026</v>
      </c>
      <c r="C13764" s="128">
        <f t="shared" si="644"/>
        <v>3</v>
      </c>
      <c r="D13764" s="136">
        <f t="shared" si="643"/>
        <v>11</v>
      </c>
      <c r="E13764" s="136">
        <f t="shared" si="645"/>
        <v>14</v>
      </c>
      <c r="F13764" s="137" t="s">
        <v>24</v>
      </c>
      <c r="G13764" s="128" t="str">
        <f>VLOOKUP(source[[#This Row],[lending_product_transform]],[3]Mapping!$B$4:$C$37,2,0)</f>
        <v>[Cake] - Cashloan</v>
      </c>
      <c r="H13764" s="128" t="str">
        <f>VLOOKUP(source[[#This Row],[lending_product_transform]],[3]Mapping!$B$3:$D$37,3,0)</f>
        <v>cashloan</v>
      </c>
      <c r="I13764" s="137">
        <v>12209184000</v>
      </c>
    </row>
    <row r="13765" spans="1:9" x14ac:dyDescent="0.2">
      <c r="A13765" s="134">
        <v>46095</v>
      </c>
      <c r="B13765" s="135">
        <f>YEAR(source[[#This Row],[report_date]])</f>
        <v>2026</v>
      </c>
      <c r="C13765" s="128">
        <f t="shared" si="644"/>
        <v>3</v>
      </c>
      <c r="D13765" s="136">
        <f t="shared" si="643"/>
        <v>11</v>
      </c>
      <c r="E13765" s="136">
        <f t="shared" si="645"/>
        <v>14</v>
      </c>
      <c r="F13765" s="137" t="s">
        <v>24</v>
      </c>
      <c r="G13765" s="128" t="str">
        <f>VLOOKUP(source[[#This Row],[lending_product_transform]],[3]Mapping!$B$4:$C$37,2,0)</f>
        <v>[Cake] - Cashloan</v>
      </c>
      <c r="H13765" s="128" t="str">
        <f>VLOOKUP(source[[#This Row],[lending_product_transform]],[3]Mapping!$B$3:$D$37,3,0)</f>
        <v>cashloan</v>
      </c>
      <c r="I13765" s="137">
        <v>155508526</v>
      </c>
    </row>
    <row r="13766" spans="1:9" x14ac:dyDescent="0.2">
      <c r="A13766" s="134">
        <v>46095</v>
      </c>
      <c r="B13766" s="135">
        <f>YEAR(source[[#This Row],[report_date]])</f>
        <v>2026</v>
      </c>
      <c r="C13766" s="128">
        <f t="shared" si="644"/>
        <v>3</v>
      </c>
      <c r="D13766" s="136">
        <f t="shared" si="643"/>
        <v>11</v>
      </c>
      <c r="E13766" s="136">
        <f t="shared" si="645"/>
        <v>14</v>
      </c>
      <c r="F13766" s="137" t="s">
        <v>24</v>
      </c>
      <c r="G13766" s="128" t="str">
        <f>VLOOKUP(source[[#This Row],[lending_product_transform]],[3]Mapping!$B$4:$C$37,2,0)</f>
        <v>[Cake] - Cashloan</v>
      </c>
      <c r="H13766" s="128" t="str">
        <f>VLOOKUP(source[[#This Row],[lending_product_transform]],[3]Mapping!$B$3:$D$37,3,0)</f>
        <v>cashloan</v>
      </c>
      <c r="I13766" s="137">
        <v>25750000</v>
      </c>
    </row>
    <row r="13767" spans="1:9" x14ac:dyDescent="0.2">
      <c r="A13767" s="134">
        <v>46095</v>
      </c>
      <c r="B13767" s="135">
        <f>YEAR(source[[#This Row],[report_date]])</f>
        <v>2026</v>
      </c>
      <c r="C13767" s="128">
        <f t="shared" si="644"/>
        <v>3</v>
      </c>
      <c r="D13767" s="136">
        <f t="shared" si="643"/>
        <v>11</v>
      </c>
      <c r="E13767" s="136">
        <f t="shared" si="645"/>
        <v>14</v>
      </c>
      <c r="F13767" s="137" t="s">
        <v>24</v>
      </c>
      <c r="G13767" s="128" t="str">
        <f>VLOOKUP(source[[#This Row],[lending_product_transform]],[3]Mapping!$B$4:$C$37,2,0)</f>
        <v>[Cake] - Cashloan</v>
      </c>
      <c r="H13767" s="128" t="str">
        <f>VLOOKUP(source[[#This Row],[lending_product_transform]],[3]Mapping!$B$3:$D$37,3,0)</f>
        <v>cashloan</v>
      </c>
      <c r="I13767" s="137">
        <v>31000000</v>
      </c>
    </row>
    <row r="13768" spans="1:9" x14ac:dyDescent="0.2">
      <c r="A13768" s="134">
        <v>46095</v>
      </c>
      <c r="B13768" s="135">
        <f>YEAR(source[[#This Row],[report_date]])</f>
        <v>2026</v>
      </c>
      <c r="C13768" s="128">
        <f t="shared" si="644"/>
        <v>3</v>
      </c>
      <c r="D13768" s="136">
        <f t="shared" si="643"/>
        <v>11</v>
      </c>
      <c r="E13768" s="136">
        <f t="shared" si="645"/>
        <v>14</v>
      </c>
      <c r="F13768" s="137" t="s">
        <v>24</v>
      </c>
      <c r="G13768" s="128" t="str">
        <f>VLOOKUP(source[[#This Row],[lending_product_transform]],[3]Mapping!$B$4:$C$37,2,0)</f>
        <v>[Cake] - Cashloan</v>
      </c>
      <c r="H13768" s="128" t="str">
        <f>VLOOKUP(source[[#This Row],[lending_product_transform]],[3]Mapping!$B$3:$D$37,3,0)</f>
        <v>cashloan</v>
      </c>
      <c r="I13768" s="137">
        <v>827810000</v>
      </c>
    </row>
    <row r="13769" spans="1:9" x14ac:dyDescent="0.2">
      <c r="A13769" s="134">
        <v>46095</v>
      </c>
      <c r="B13769" s="135">
        <f>YEAR(source[[#This Row],[report_date]])</f>
        <v>2026</v>
      </c>
      <c r="C13769" s="128">
        <f t="shared" si="644"/>
        <v>3</v>
      </c>
      <c r="D13769" s="136">
        <f t="shared" si="643"/>
        <v>11</v>
      </c>
      <c r="E13769" s="136">
        <f t="shared" si="645"/>
        <v>14</v>
      </c>
      <c r="F13769" s="137" t="s">
        <v>24</v>
      </c>
      <c r="G13769" s="128" t="str">
        <f>VLOOKUP(source[[#This Row],[lending_product_transform]],[3]Mapping!$B$4:$C$37,2,0)</f>
        <v>[Cake] - Cashloan</v>
      </c>
      <c r="H13769" s="128" t="str">
        <f>VLOOKUP(source[[#This Row],[lending_product_transform]],[3]Mapping!$B$3:$D$37,3,0)</f>
        <v>cashloan</v>
      </c>
      <c r="I13769" s="137">
        <v>232848000</v>
      </c>
    </row>
    <row r="13770" spans="1:9" x14ac:dyDescent="0.2">
      <c r="A13770" s="134">
        <v>46095</v>
      </c>
      <c r="B13770" s="135">
        <f>YEAR(source[[#This Row],[report_date]])</f>
        <v>2026</v>
      </c>
      <c r="C13770" s="128">
        <f t="shared" si="644"/>
        <v>3</v>
      </c>
      <c r="D13770" s="136">
        <f t="shared" si="643"/>
        <v>11</v>
      </c>
      <c r="E13770" s="136">
        <f t="shared" si="645"/>
        <v>14</v>
      </c>
      <c r="F13770" s="137" t="s">
        <v>24</v>
      </c>
      <c r="G13770" s="128" t="str">
        <f>VLOOKUP(source[[#This Row],[lending_product_transform]],[3]Mapping!$B$4:$C$37,2,0)</f>
        <v>[Cake] - Cashloan</v>
      </c>
      <c r="H13770" s="128" t="str">
        <f>VLOOKUP(source[[#This Row],[lending_product_transform]],[3]Mapping!$B$3:$D$37,3,0)</f>
        <v>cashloan</v>
      </c>
      <c r="I13770" s="137">
        <v>260285273</v>
      </c>
    </row>
    <row r="13771" spans="1:9" x14ac:dyDescent="0.2">
      <c r="A13771" s="134">
        <v>46095</v>
      </c>
      <c r="B13771" s="135">
        <f>YEAR(source[[#This Row],[report_date]])</f>
        <v>2026</v>
      </c>
      <c r="C13771" s="128">
        <f t="shared" si="644"/>
        <v>3</v>
      </c>
      <c r="D13771" s="136">
        <f t="shared" si="643"/>
        <v>11</v>
      </c>
      <c r="E13771" s="136">
        <f t="shared" si="645"/>
        <v>14</v>
      </c>
      <c r="F13771" s="137" t="s">
        <v>24</v>
      </c>
      <c r="G13771" s="128" t="str">
        <f>VLOOKUP(source[[#This Row],[lending_product_transform]],[3]Mapping!$B$4:$C$37,2,0)</f>
        <v>[Cake] - Cashloan</v>
      </c>
      <c r="H13771" s="128" t="str">
        <f>VLOOKUP(source[[#This Row],[lending_product_transform]],[3]Mapping!$B$3:$D$37,3,0)</f>
        <v>cashloan</v>
      </c>
      <c r="I13771" s="137">
        <v>2484080000</v>
      </c>
    </row>
    <row r="13772" spans="1:9" x14ac:dyDescent="0.2">
      <c r="A13772" s="134">
        <v>46095</v>
      </c>
      <c r="B13772" s="135">
        <f>YEAR(source[[#This Row],[report_date]])</f>
        <v>2026</v>
      </c>
      <c r="C13772" s="128">
        <f t="shared" si="644"/>
        <v>3</v>
      </c>
      <c r="D13772" s="136">
        <f t="shared" si="643"/>
        <v>11</v>
      </c>
      <c r="E13772" s="136">
        <f t="shared" si="645"/>
        <v>14</v>
      </c>
      <c r="F13772" s="137" t="s">
        <v>24</v>
      </c>
      <c r="G13772" s="128" t="str">
        <f>VLOOKUP(source[[#This Row],[lending_product_transform]],[3]Mapping!$B$4:$C$37,2,0)</f>
        <v>[Cake] - Cashloan</v>
      </c>
      <c r="H13772" s="128" t="str">
        <f>VLOOKUP(source[[#This Row],[lending_product_transform]],[3]Mapping!$B$3:$D$37,3,0)</f>
        <v>cashloan</v>
      </c>
      <c r="I13772" s="137">
        <v>287280000</v>
      </c>
    </row>
    <row r="13773" spans="1:9" x14ac:dyDescent="0.2">
      <c r="A13773" s="134">
        <v>46096</v>
      </c>
      <c r="B13773" s="135">
        <f>YEAR(source[[#This Row],[report_date]])</f>
        <v>2026</v>
      </c>
      <c r="C13773" s="128">
        <f t="shared" si="644"/>
        <v>3</v>
      </c>
      <c r="D13773" s="136">
        <f t="shared" si="643"/>
        <v>11</v>
      </c>
      <c r="E13773" s="136">
        <f t="shared" si="645"/>
        <v>15</v>
      </c>
      <c r="F13773" s="137" t="s">
        <v>24</v>
      </c>
      <c r="G13773" s="128" t="str">
        <f>VLOOKUP(source[[#This Row],[lending_product_transform]],[3]Mapping!$B$4:$C$37,2,0)</f>
        <v>[Cake] - Cashloan</v>
      </c>
      <c r="H13773" s="128" t="str">
        <f>VLOOKUP(source[[#This Row],[lending_product_transform]],[3]Mapping!$B$3:$D$37,3,0)</f>
        <v>cashloan</v>
      </c>
      <c r="I13773" s="137">
        <v>780470000</v>
      </c>
    </row>
    <row r="13774" spans="1:9" x14ac:dyDescent="0.2">
      <c r="A13774" s="134">
        <v>46096</v>
      </c>
      <c r="B13774" s="135">
        <f>YEAR(source[[#This Row],[report_date]])</f>
        <v>2026</v>
      </c>
      <c r="C13774" s="128">
        <f t="shared" si="644"/>
        <v>3</v>
      </c>
      <c r="D13774" s="136">
        <f t="shared" si="643"/>
        <v>11</v>
      </c>
      <c r="E13774" s="136">
        <f t="shared" si="645"/>
        <v>15</v>
      </c>
      <c r="F13774" s="137" t="s">
        <v>24</v>
      </c>
      <c r="G13774" s="128" t="str">
        <f>VLOOKUP(source[[#This Row],[lending_product_transform]],[3]Mapping!$B$4:$C$37,2,0)</f>
        <v>[Cake] - Cashloan</v>
      </c>
      <c r="H13774" s="128" t="str">
        <f>VLOOKUP(source[[#This Row],[lending_product_transform]],[3]Mapping!$B$3:$D$37,3,0)</f>
        <v>cashloan</v>
      </c>
      <c r="I13774" s="137">
        <v>313866408</v>
      </c>
    </row>
    <row r="13775" spans="1:9" x14ac:dyDescent="0.2">
      <c r="A13775" s="134">
        <v>46096</v>
      </c>
      <c r="B13775" s="135">
        <f>YEAR(source[[#This Row],[report_date]])</f>
        <v>2026</v>
      </c>
      <c r="C13775" s="128">
        <f t="shared" si="644"/>
        <v>3</v>
      </c>
      <c r="D13775" s="136">
        <f t="shared" si="643"/>
        <v>11</v>
      </c>
      <c r="E13775" s="136">
        <f t="shared" si="645"/>
        <v>15</v>
      </c>
      <c r="F13775" s="137" t="s">
        <v>24</v>
      </c>
      <c r="G13775" s="128" t="str">
        <f>VLOOKUP(source[[#This Row],[lending_product_transform]],[3]Mapping!$B$4:$C$37,2,0)</f>
        <v>[Cake] - Cashloan</v>
      </c>
      <c r="H13775" s="128" t="str">
        <f>VLOOKUP(source[[#This Row],[lending_product_transform]],[3]Mapping!$B$3:$D$37,3,0)</f>
        <v>cashloan</v>
      </c>
      <c r="I13775" s="137">
        <v>8212700000</v>
      </c>
    </row>
    <row r="13776" spans="1:9" x14ac:dyDescent="0.2">
      <c r="A13776" s="134">
        <v>46096</v>
      </c>
      <c r="B13776" s="135">
        <f>YEAR(source[[#This Row],[report_date]])</f>
        <v>2026</v>
      </c>
      <c r="C13776" s="128">
        <f t="shared" si="644"/>
        <v>3</v>
      </c>
      <c r="D13776" s="136">
        <f t="shared" si="643"/>
        <v>11</v>
      </c>
      <c r="E13776" s="136">
        <f t="shared" si="645"/>
        <v>15</v>
      </c>
      <c r="F13776" s="137" t="s">
        <v>24</v>
      </c>
      <c r="G13776" s="128" t="str">
        <f>VLOOKUP(source[[#This Row],[lending_product_transform]],[3]Mapping!$B$4:$C$37,2,0)</f>
        <v>[Cake] - Cashloan</v>
      </c>
      <c r="H13776" s="128" t="str">
        <f>VLOOKUP(source[[#This Row],[lending_product_transform]],[3]Mapping!$B$3:$D$37,3,0)</f>
        <v>cashloan</v>
      </c>
      <c r="I13776" s="137">
        <v>1420287975</v>
      </c>
    </row>
    <row r="13777" spans="1:9" x14ac:dyDescent="0.2">
      <c r="A13777" s="134">
        <v>46096</v>
      </c>
      <c r="B13777" s="135">
        <f>YEAR(source[[#This Row],[report_date]])</f>
        <v>2026</v>
      </c>
      <c r="C13777" s="128">
        <f t="shared" si="644"/>
        <v>3</v>
      </c>
      <c r="D13777" s="136">
        <f t="shared" ref="D13777:D13840" si="646">WEEKNUM(A13777,2)</f>
        <v>11</v>
      </c>
      <c r="E13777" s="136">
        <f t="shared" si="645"/>
        <v>15</v>
      </c>
      <c r="F13777" s="137" t="s">
        <v>24</v>
      </c>
      <c r="G13777" s="128" t="str">
        <f>VLOOKUP(source[[#This Row],[lending_product_transform]],[3]Mapping!$B$4:$C$37,2,0)</f>
        <v>[Cake] - Cashloan</v>
      </c>
      <c r="H13777" s="128" t="str">
        <f>VLOOKUP(source[[#This Row],[lending_product_transform]],[3]Mapping!$B$3:$D$37,3,0)</f>
        <v>cashloan</v>
      </c>
      <c r="I13777" s="137">
        <v>13145976000</v>
      </c>
    </row>
    <row r="13778" spans="1:9" x14ac:dyDescent="0.2">
      <c r="A13778" s="134">
        <v>46096</v>
      </c>
      <c r="B13778" s="135">
        <f>YEAR(source[[#This Row],[report_date]])</f>
        <v>2026</v>
      </c>
      <c r="C13778" s="128">
        <f t="shared" si="644"/>
        <v>3</v>
      </c>
      <c r="D13778" s="136">
        <f t="shared" si="646"/>
        <v>11</v>
      </c>
      <c r="E13778" s="136">
        <f t="shared" si="645"/>
        <v>15</v>
      </c>
      <c r="F13778" s="137" t="s">
        <v>24</v>
      </c>
      <c r="G13778" s="128" t="str">
        <f>VLOOKUP(source[[#This Row],[lending_product_transform]],[3]Mapping!$B$4:$C$37,2,0)</f>
        <v>[Cake] - Cashloan</v>
      </c>
      <c r="H13778" s="128" t="str">
        <f>VLOOKUP(source[[#This Row],[lending_product_transform]],[3]Mapping!$B$3:$D$37,3,0)</f>
        <v>cashloan</v>
      </c>
      <c r="I13778" s="137">
        <v>6520350</v>
      </c>
    </row>
    <row r="13779" spans="1:9" x14ac:dyDescent="0.2">
      <c r="A13779" s="134">
        <v>46096</v>
      </c>
      <c r="B13779" s="135">
        <f>YEAR(source[[#This Row],[report_date]])</f>
        <v>2026</v>
      </c>
      <c r="C13779" s="128">
        <f t="shared" si="644"/>
        <v>3</v>
      </c>
      <c r="D13779" s="136">
        <f t="shared" si="646"/>
        <v>11</v>
      </c>
      <c r="E13779" s="136">
        <f t="shared" si="645"/>
        <v>15</v>
      </c>
      <c r="F13779" s="137" t="s">
        <v>24</v>
      </c>
      <c r="G13779" s="128" t="str">
        <f>VLOOKUP(source[[#This Row],[lending_product_transform]],[3]Mapping!$B$4:$C$37,2,0)</f>
        <v>[Cake] - Cashloan</v>
      </c>
      <c r="H13779" s="128" t="str">
        <f>VLOOKUP(source[[#This Row],[lending_product_transform]],[3]Mapping!$B$3:$D$37,3,0)</f>
        <v>cashloan</v>
      </c>
      <c r="I13779" s="137">
        <v>0</v>
      </c>
    </row>
    <row r="13780" spans="1:9" x14ac:dyDescent="0.2">
      <c r="A13780" s="134">
        <v>46096</v>
      </c>
      <c r="B13780" s="135">
        <f>YEAR(source[[#This Row],[report_date]])</f>
        <v>2026</v>
      </c>
      <c r="C13780" s="128">
        <f t="shared" si="644"/>
        <v>3</v>
      </c>
      <c r="D13780" s="136">
        <f t="shared" si="646"/>
        <v>11</v>
      </c>
      <c r="E13780" s="136">
        <f t="shared" si="645"/>
        <v>15</v>
      </c>
      <c r="F13780" s="137" t="s">
        <v>24</v>
      </c>
      <c r="G13780" s="128" t="str">
        <f>VLOOKUP(source[[#This Row],[lending_product_transform]],[3]Mapping!$B$4:$C$37,2,0)</f>
        <v>[Cake] - Cashloan</v>
      </c>
      <c r="H13780" s="128" t="str">
        <f>VLOOKUP(source[[#This Row],[lending_product_transform]],[3]Mapping!$B$3:$D$37,3,0)</f>
        <v>cashloan</v>
      </c>
      <c r="I13780" s="137">
        <v>2604000000</v>
      </c>
    </row>
    <row r="13781" spans="1:9" x14ac:dyDescent="0.2">
      <c r="A13781" s="134">
        <v>46096</v>
      </c>
      <c r="B13781" s="135">
        <f>YEAR(source[[#This Row],[report_date]])</f>
        <v>2026</v>
      </c>
      <c r="C13781" s="128">
        <f t="shared" si="644"/>
        <v>3</v>
      </c>
      <c r="D13781" s="136">
        <f t="shared" si="646"/>
        <v>11</v>
      </c>
      <c r="E13781" s="136">
        <f t="shared" si="645"/>
        <v>15</v>
      </c>
      <c r="F13781" s="137" t="s">
        <v>24</v>
      </c>
      <c r="G13781" s="128" t="str">
        <f>VLOOKUP(source[[#This Row],[lending_product_transform]],[3]Mapping!$B$4:$C$37,2,0)</f>
        <v>[Cake] - Cashloan</v>
      </c>
      <c r="H13781" s="128" t="str">
        <f>VLOOKUP(source[[#This Row],[lending_product_transform]],[3]Mapping!$B$3:$D$37,3,0)</f>
        <v>cashloan</v>
      </c>
      <c r="I13781" s="137">
        <v>943170000</v>
      </c>
    </row>
    <row r="13782" spans="1:9" x14ac:dyDescent="0.2">
      <c r="A13782" s="134">
        <v>46096</v>
      </c>
      <c r="B13782" s="135">
        <f>YEAR(source[[#This Row],[report_date]])</f>
        <v>2026</v>
      </c>
      <c r="C13782" s="128">
        <f t="shared" si="644"/>
        <v>3</v>
      </c>
      <c r="D13782" s="136">
        <f t="shared" si="646"/>
        <v>11</v>
      </c>
      <c r="E13782" s="136">
        <f t="shared" si="645"/>
        <v>15</v>
      </c>
      <c r="F13782" s="137" t="s">
        <v>24</v>
      </c>
      <c r="G13782" s="128" t="str">
        <f>VLOOKUP(source[[#This Row],[lending_product_transform]],[3]Mapping!$B$4:$C$37,2,0)</f>
        <v>[Cake] - Cashloan</v>
      </c>
      <c r="H13782" s="128" t="str">
        <f>VLOOKUP(source[[#This Row],[lending_product_transform]],[3]Mapping!$B$3:$D$37,3,0)</f>
        <v>cashloan</v>
      </c>
      <c r="I13782" s="137">
        <v>3165025</v>
      </c>
    </row>
    <row r="13783" spans="1:9" x14ac:dyDescent="0.2">
      <c r="A13783" s="134">
        <v>46096</v>
      </c>
      <c r="B13783" s="135">
        <f>YEAR(source[[#This Row],[report_date]])</f>
        <v>2026</v>
      </c>
      <c r="C13783" s="128">
        <f t="shared" si="644"/>
        <v>3</v>
      </c>
      <c r="D13783" s="136">
        <f t="shared" si="646"/>
        <v>11</v>
      </c>
      <c r="E13783" s="136">
        <f t="shared" si="645"/>
        <v>15</v>
      </c>
      <c r="F13783" s="137" t="s">
        <v>24</v>
      </c>
      <c r="G13783" s="128" t="str">
        <f>VLOOKUP(source[[#This Row],[lending_product_transform]],[3]Mapping!$B$4:$C$37,2,0)</f>
        <v>[Cake] - Cashloan</v>
      </c>
      <c r="H13783" s="128" t="str">
        <f>VLOOKUP(source[[#This Row],[lending_product_transform]],[3]Mapping!$B$3:$D$37,3,0)</f>
        <v>cashloan</v>
      </c>
      <c r="I13783" s="137">
        <v>1593617519</v>
      </c>
    </row>
    <row r="13784" spans="1:9" x14ac:dyDescent="0.2">
      <c r="A13784" s="134">
        <v>46096</v>
      </c>
      <c r="B13784" s="135">
        <f>YEAR(source[[#This Row],[report_date]])</f>
        <v>2026</v>
      </c>
      <c r="C13784" s="128">
        <f t="shared" si="644"/>
        <v>3</v>
      </c>
      <c r="D13784" s="136">
        <f t="shared" si="646"/>
        <v>11</v>
      </c>
      <c r="E13784" s="136">
        <f t="shared" si="645"/>
        <v>15</v>
      </c>
      <c r="F13784" s="137" t="s">
        <v>24</v>
      </c>
      <c r="G13784" s="128" t="str">
        <f>VLOOKUP(source[[#This Row],[lending_product_transform]],[3]Mapping!$B$4:$C$37,2,0)</f>
        <v>[Cake] - Cashloan</v>
      </c>
      <c r="H13784" s="128" t="str">
        <f>VLOOKUP(source[[#This Row],[lending_product_transform]],[3]Mapping!$B$3:$D$37,3,0)</f>
        <v>cashloan</v>
      </c>
      <c r="I13784" s="137">
        <v>0</v>
      </c>
    </row>
    <row r="13785" spans="1:9" x14ac:dyDescent="0.2">
      <c r="A13785" s="134">
        <v>46096</v>
      </c>
      <c r="B13785" s="135">
        <f>YEAR(source[[#This Row],[report_date]])</f>
        <v>2026</v>
      </c>
      <c r="C13785" s="128">
        <f t="shared" si="644"/>
        <v>3</v>
      </c>
      <c r="D13785" s="136">
        <f t="shared" si="646"/>
        <v>11</v>
      </c>
      <c r="E13785" s="136">
        <f t="shared" si="645"/>
        <v>15</v>
      </c>
      <c r="F13785" s="137" t="s">
        <v>24</v>
      </c>
      <c r="G13785" s="128" t="str">
        <f>VLOOKUP(source[[#This Row],[lending_product_transform]],[3]Mapping!$B$4:$C$37,2,0)</f>
        <v>[Cake] - Cashloan</v>
      </c>
      <c r="H13785" s="128" t="str">
        <f>VLOOKUP(source[[#This Row],[lending_product_transform]],[3]Mapping!$B$3:$D$37,3,0)</f>
        <v>cashloan</v>
      </c>
      <c r="I13785" s="137">
        <v>0</v>
      </c>
    </row>
    <row r="13786" spans="1:9" x14ac:dyDescent="0.2">
      <c r="A13786" s="134">
        <v>46096</v>
      </c>
      <c r="B13786" s="135">
        <f>YEAR(source[[#This Row],[report_date]])</f>
        <v>2026</v>
      </c>
      <c r="C13786" s="128">
        <f t="shared" si="644"/>
        <v>3</v>
      </c>
      <c r="D13786" s="136">
        <f t="shared" si="646"/>
        <v>11</v>
      </c>
      <c r="E13786" s="136">
        <f t="shared" si="645"/>
        <v>15</v>
      </c>
      <c r="F13786" s="137" t="s">
        <v>24</v>
      </c>
      <c r="G13786" s="128" t="str">
        <f>VLOOKUP(source[[#This Row],[lending_product_transform]],[3]Mapping!$B$4:$C$37,2,0)</f>
        <v>[Cake] - Cashloan</v>
      </c>
      <c r="H13786" s="128" t="str">
        <f>VLOOKUP(source[[#This Row],[lending_product_transform]],[3]Mapping!$B$3:$D$37,3,0)</f>
        <v>cashloan</v>
      </c>
      <c r="I13786" s="137">
        <v>0</v>
      </c>
    </row>
    <row r="13787" spans="1:9" x14ac:dyDescent="0.2">
      <c r="A13787" s="134">
        <v>46096</v>
      </c>
      <c r="B13787" s="135">
        <f>YEAR(source[[#This Row],[report_date]])</f>
        <v>2026</v>
      </c>
      <c r="C13787" s="128">
        <f t="shared" si="644"/>
        <v>3</v>
      </c>
      <c r="D13787" s="136">
        <f t="shared" si="646"/>
        <v>11</v>
      </c>
      <c r="E13787" s="136">
        <f t="shared" si="645"/>
        <v>15</v>
      </c>
      <c r="F13787" s="137" t="s">
        <v>24</v>
      </c>
      <c r="G13787" s="128" t="str">
        <f>VLOOKUP(source[[#This Row],[lending_product_transform]],[3]Mapping!$B$4:$C$37,2,0)</f>
        <v>[Cake] - Cashloan</v>
      </c>
      <c r="H13787" s="128" t="str">
        <f>VLOOKUP(source[[#This Row],[lending_product_transform]],[3]Mapping!$B$3:$D$37,3,0)</f>
        <v>cashloan</v>
      </c>
      <c r="I13787" s="137">
        <v>16139750000</v>
      </c>
    </row>
    <row r="13788" spans="1:9" x14ac:dyDescent="0.2">
      <c r="A13788" s="134">
        <v>46096</v>
      </c>
      <c r="B13788" s="135">
        <f>YEAR(source[[#This Row],[report_date]])</f>
        <v>2026</v>
      </c>
      <c r="C13788" s="128">
        <f t="shared" si="644"/>
        <v>3</v>
      </c>
      <c r="D13788" s="136">
        <f t="shared" si="646"/>
        <v>11</v>
      </c>
      <c r="E13788" s="136">
        <f t="shared" si="645"/>
        <v>15</v>
      </c>
      <c r="F13788" s="137" t="s">
        <v>24</v>
      </c>
      <c r="G13788" s="128" t="str">
        <f>VLOOKUP(source[[#This Row],[lending_product_transform]],[3]Mapping!$B$4:$C$37,2,0)</f>
        <v>[Cake] - Cashloan</v>
      </c>
      <c r="H13788" s="128" t="str">
        <f>VLOOKUP(source[[#This Row],[lending_product_transform]],[3]Mapping!$B$3:$D$37,3,0)</f>
        <v>cashloan</v>
      </c>
      <c r="I13788" s="137">
        <v>0</v>
      </c>
    </row>
    <row r="13789" spans="1:9" x14ac:dyDescent="0.2">
      <c r="A13789" s="134">
        <v>46096</v>
      </c>
      <c r="B13789" s="135">
        <f>YEAR(source[[#This Row],[report_date]])</f>
        <v>2026</v>
      </c>
      <c r="C13789" s="128">
        <f t="shared" si="644"/>
        <v>3</v>
      </c>
      <c r="D13789" s="136">
        <f t="shared" si="646"/>
        <v>11</v>
      </c>
      <c r="E13789" s="136">
        <f t="shared" si="645"/>
        <v>15</v>
      </c>
      <c r="F13789" s="137" t="s">
        <v>24</v>
      </c>
      <c r="G13789" s="128" t="str">
        <f>VLOOKUP(source[[#This Row],[lending_product_transform]],[3]Mapping!$B$4:$C$37,2,0)</f>
        <v>[Cake] - Cashloan</v>
      </c>
      <c r="H13789" s="128" t="str">
        <f>VLOOKUP(source[[#This Row],[lending_product_transform]],[3]Mapping!$B$3:$D$37,3,0)</f>
        <v>cashloan</v>
      </c>
      <c r="I13789" s="137">
        <v>0</v>
      </c>
    </row>
    <row r="13790" spans="1:9" x14ac:dyDescent="0.2">
      <c r="A13790" s="134">
        <v>46096</v>
      </c>
      <c r="B13790" s="135">
        <f>YEAR(source[[#This Row],[report_date]])</f>
        <v>2026</v>
      </c>
      <c r="C13790" s="128">
        <f t="shared" si="644"/>
        <v>3</v>
      </c>
      <c r="D13790" s="136">
        <f t="shared" si="646"/>
        <v>11</v>
      </c>
      <c r="E13790" s="136">
        <f t="shared" si="645"/>
        <v>15</v>
      </c>
      <c r="F13790" s="137" t="s">
        <v>24</v>
      </c>
      <c r="G13790" s="128" t="str">
        <f>VLOOKUP(source[[#This Row],[lending_product_transform]],[3]Mapping!$B$4:$C$37,2,0)</f>
        <v>[Cake] - Cashloan</v>
      </c>
      <c r="H13790" s="128" t="str">
        <f>VLOOKUP(source[[#This Row],[lending_product_transform]],[3]Mapping!$B$3:$D$37,3,0)</f>
        <v>cashloan</v>
      </c>
      <c r="I13790" s="137">
        <v>0</v>
      </c>
    </row>
    <row r="13791" spans="1:9" x14ac:dyDescent="0.2">
      <c r="A13791" s="134">
        <v>46096</v>
      </c>
      <c r="B13791" s="135">
        <f>YEAR(source[[#This Row],[report_date]])</f>
        <v>2026</v>
      </c>
      <c r="C13791" s="128">
        <f t="shared" si="644"/>
        <v>3</v>
      </c>
      <c r="D13791" s="136">
        <f t="shared" si="646"/>
        <v>11</v>
      </c>
      <c r="E13791" s="136">
        <f t="shared" si="645"/>
        <v>15</v>
      </c>
      <c r="F13791" s="137" t="s">
        <v>24</v>
      </c>
      <c r="G13791" s="128" t="str">
        <f>VLOOKUP(source[[#This Row],[lending_product_transform]],[3]Mapping!$B$4:$C$37,2,0)</f>
        <v>[Cake] - Cashloan</v>
      </c>
      <c r="H13791" s="128" t="str">
        <f>VLOOKUP(source[[#This Row],[lending_product_transform]],[3]Mapping!$B$3:$D$37,3,0)</f>
        <v>cashloan</v>
      </c>
      <c r="I13791" s="137">
        <v>0</v>
      </c>
    </row>
    <row r="13792" spans="1:9" x14ac:dyDescent="0.2">
      <c r="A13792" s="134">
        <v>46096</v>
      </c>
      <c r="B13792" s="135">
        <f>YEAR(source[[#This Row],[report_date]])</f>
        <v>2026</v>
      </c>
      <c r="C13792" s="128">
        <f t="shared" si="644"/>
        <v>3</v>
      </c>
      <c r="D13792" s="136">
        <f t="shared" si="646"/>
        <v>11</v>
      </c>
      <c r="E13792" s="136">
        <f t="shared" si="645"/>
        <v>15</v>
      </c>
      <c r="F13792" s="137" t="s">
        <v>24</v>
      </c>
      <c r="G13792" s="128" t="str">
        <f>VLOOKUP(source[[#This Row],[lending_product_transform]],[3]Mapping!$B$4:$C$37,2,0)</f>
        <v>[Cake] - Cashloan</v>
      </c>
      <c r="H13792" s="128" t="str">
        <f>VLOOKUP(source[[#This Row],[lending_product_transform]],[3]Mapping!$B$3:$D$37,3,0)</f>
        <v>cashloan</v>
      </c>
      <c r="I13792" s="137">
        <v>11918448000</v>
      </c>
    </row>
    <row r="13793" spans="1:9" x14ac:dyDescent="0.2">
      <c r="A13793" s="134">
        <v>46096</v>
      </c>
      <c r="B13793" s="135">
        <f>YEAR(source[[#This Row],[report_date]])</f>
        <v>2026</v>
      </c>
      <c r="C13793" s="128">
        <f t="shared" si="644"/>
        <v>3</v>
      </c>
      <c r="D13793" s="136">
        <f t="shared" si="646"/>
        <v>11</v>
      </c>
      <c r="E13793" s="136">
        <f t="shared" si="645"/>
        <v>15</v>
      </c>
      <c r="F13793" s="137" t="s">
        <v>24</v>
      </c>
      <c r="G13793" s="128" t="str">
        <f>VLOOKUP(source[[#This Row],[lending_product_transform]],[3]Mapping!$B$4:$C$37,2,0)</f>
        <v>[Cake] - Cashloan</v>
      </c>
      <c r="H13793" s="128" t="str">
        <f>VLOOKUP(source[[#This Row],[lending_product_transform]],[3]Mapping!$B$3:$D$37,3,0)</f>
        <v>cashloan</v>
      </c>
      <c r="I13793" s="137">
        <v>200447996</v>
      </c>
    </row>
    <row r="13794" spans="1:9" x14ac:dyDescent="0.2">
      <c r="A13794" s="134">
        <v>46096</v>
      </c>
      <c r="B13794" s="135">
        <f>YEAR(source[[#This Row],[report_date]])</f>
        <v>2026</v>
      </c>
      <c r="C13794" s="128">
        <f t="shared" si="644"/>
        <v>3</v>
      </c>
      <c r="D13794" s="136">
        <f t="shared" si="646"/>
        <v>11</v>
      </c>
      <c r="E13794" s="136">
        <f t="shared" si="645"/>
        <v>15</v>
      </c>
      <c r="F13794" s="137" t="s">
        <v>24</v>
      </c>
      <c r="G13794" s="128" t="str">
        <f>VLOOKUP(source[[#This Row],[lending_product_transform]],[3]Mapping!$B$4:$C$37,2,0)</f>
        <v>[Cake] - Cashloan</v>
      </c>
      <c r="H13794" s="128" t="str">
        <f>VLOOKUP(source[[#This Row],[lending_product_transform]],[3]Mapping!$B$3:$D$37,3,0)</f>
        <v>cashloan</v>
      </c>
      <c r="I13794" s="137">
        <v>63000000</v>
      </c>
    </row>
    <row r="13795" spans="1:9" x14ac:dyDescent="0.2">
      <c r="A13795" s="134">
        <v>46096</v>
      </c>
      <c r="B13795" s="135">
        <f>YEAR(source[[#This Row],[report_date]])</f>
        <v>2026</v>
      </c>
      <c r="C13795" s="128">
        <f t="shared" si="644"/>
        <v>3</v>
      </c>
      <c r="D13795" s="136">
        <f t="shared" si="646"/>
        <v>11</v>
      </c>
      <c r="E13795" s="136">
        <f t="shared" si="645"/>
        <v>15</v>
      </c>
      <c r="F13795" s="137" t="s">
        <v>24</v>
      </c>
      <c r="G13795" s="128" t="str">
        <f>VLOOKUP(source[[#This Row],[lending_product_transform]],[3]Mapping!$B$4:$C$37,2,0)</f>
        <v>[Cake] - Cashloan</v>
      </c>
      <c r="H13795" s="128" t="str">
        <f>VLOOKUP(source[[#This Row],[lending_product_transform]],[3]Mapping!$B$3:$D$37,3,0)</f>
        <v>cashloan</v>
      </c>
      <c r="I13795" s="137">
        <v>46000000</v>
      </c>
    </row>
    <row r="13796" spans="1:9" x14ac:dyDescent="0.2">
      <c r="A13796" s="134">
        <v>46096</v>
      </c>
      <c r="B13796" s="135">
        <f>YEAR(source[[#This Row],[report_date]])</f>
        <v>2026</v>
      </c>
      <c r="C13796" s="128">
        <f t="shared" si="644"/>
        <v>3</v>
      </c>
      <c r="D13796" s="136">
        <f t="shared" si="646"/>
        <v>11</v>
      </c>
      <c r="E13796" s="136">
        <f t="shared" si="645"/>
        <v>15</v>
      </c>
      <c r="F13796" s="137" t="s">
        <v>24</v>
      </c>
      <c r="G13796" s="128" t="str">
        <f>VLOOKUP(source[[#This Row],[lending_product_transform]],[3]Mapping!$B$4:$C$37,2,0)</f>
        <v>[Cake] - Cashloan</v>
      </c>
      <c r="H13796" s="128" t="str">
        <f>VLOOKUP(source[[#This Row],[lending_product_transform]],[3]Mapping!$B$3:$D$37,3,0)</f>
        <v>cashloan</v>
      </c>
      <c r="I13796" s="137">
        <v>664980000</v>
      </c>
    </row>
    <row r="13797" spans="1:9" x14ac:dyDescent="0.2">
      <c r="A13797" s="134">
        <v>46096</v>
      </c>
      <c r="B13797" s="135">
        <f>YEAR(source[[#This Row],[report_date]])</f>
        <v>2026</v>
      </c>
      <c r="C13797" s="128">
        <f t="shared" si="644"/>
        <v>3</v>
      </c>
      <c r="D13797" s="136">
        <f t="shared" si="646"/>
        <v>11</v>
      </c>
      <c r="E13797" s="136">
        <f t="shared" si="645"/>
        <v>15</v>
      </c>
      <c r="F13797" s="137" t="s">
        <v>24</v>
      </c>
      <c r="G13797" s="128" t="str">
        <f>VLOOKUP(source[[#This Row],[lending_product_transform]],[3]Mapping!$B$4:$C$37,2,0)</f>
        <v>[Cake] - Cashloan</v>
      </c>
      <c r="H13797" s="128" t="str">
        <f>VLOOKUP(source[[#This Row],[lending_product_transform]],[3]Mapping!$B$3:$D$37,3,0)</f>
        <v>cashloan</v>
      </c>
      <c r="I13797" s="137">
        <v>349272000</v>
      </c>
    </row>
    <row r="13798" spans="1:9" x14ac:dyDescent="0.2">
      <c r="A13798" s="134">
        <v>46096</v>
      </c>
      <c r="B13798" s="135">
        <f>YEAR(source[[#This Row],[report_date]])</f>
        <v>2026</v>
      </c>
      <c r="C13798" s="128">
        <f t="shared" si="644"/>
        <v>3</v>
      </c>
      <c r="D13798" s="136">
        <f t="shared" si="646"/>
        <v>11</v>
      </c>
      <c r="E13798" s="136">
        <f t="shared" si="645"/>
        <v>15</v>
      </c>
      <c r="F13798" s="137" t="s">
        <v>24</v>
      </c>
      <c r="G13798" s="128" t="str">
        <f>VLOOKUP(source[[#This Row],[lending_product_transform]],[3]Mapping!$B$4:$C$37,2,0)</f>
        <v>[Cake] - Cashloan</v>
      </c>
      <c r="H13798" s="128" t="str">
        <f>VLOOKUP(source[[#This Row],[lending_product_transform]],[3]Mapping!$B$3:$D$37,3,0)</f>
        <v>cashloan</v>
      </c>
      <c r="I13798" s="137">
        <v>272319266</v>
      </c>
    </row>
    <row r="13799" spans="1:9" x14ac:dyDescent="0.2">
      <c r="A13799" s="134">
        <v>46096</v>
      </c>
      <c r="B13799" s="135">
        <f>YEAR(source[[#This Row],[report_date]])</f>
        <v>2026</v>
      </c>
      <c r="C13799" s="128">
        <f t="shared" si="644"/>
        <v>3</v>
      </c>
      <c r="D13799" s="136">
        <f t="shared" si="646"/>
        <v>11</v>
      </c>
      <c r="E13799" s="136">
        <f t="shared" si="645"/>
        <v>15</v>
      </c>
      <c r="F13799" s="137" t="s">
        <v>24</v>
      </c>
      <c r="G13799" s="128" t="str">
        <f>VLOOKUP(source[[#This Row],[lending_product_transform]],[3]Mapping!$B$4:$C$37,2,0)</f>
        <v>[Cake] - Cashloan</v>
      </c>
      <c r="H13799" s="128" t="str">
        <f>VLOOKUP(source[[#This Row],[lending_product_transform]],[3]Mapping!$B$3:$D$37,3,0)</f>
        <v>cashloan</v>
      </c>
      <c r="I13799" s="137">
        <v>2889930000</v>
      </c>
    </row>
    <row r="13800" spans="1:9" x14ac:dyDescent="0.2">
      <c r="A13800" s="134">
        <v>46096</v>
      </c>
      <c r="B13800" s="135">
        <f>YEAR(source[[#This Row],[report_date]])</f>
        <v>2026</v>
      </c>
      <c r="C13800" s="128">
        <f t="shared" si="644"/>
        <v>3</v>
      </c>
      <c r="D13800" s="136">
        <f t="shared" si="646"/>
        <v>11</v>
      </c>
      <c r="E13800" s="136">
        <f t="shared" si="645"/>
        <v>15</v>
      </c>
      <c r="F13800" s="137" t="s">
        <v>24</v>
      </c>
      <c r="G13800" s="128" t="str">
        <f>VLOOKUP(source[[#This Row],[lending_product_transform]],[3]Mapping!$B$4:$C$37,2,0)</f>
        <v>[Cake] - Cashloan</v>
      </c>
      <c r="H13800" s="128" t="str">
        <f>VLOOKUP(source[[#This Row],[lending_product_transform]],[3]Mapping!$B$3:$D$37,3,0)</f>
        <v>cashloan</v>
      </c>
      <c r="I13800" s="137">
        <v>283176000</v>
      </c>
    </row>
    <row r="13801" spans="1:9" x14ac:dyDescent="0.2">
      <c r="A13801" s="134">
        <v>46097</v>
      </c>
      <c r="B13801" s="135">
        <f>YEAR(source[[#This Row],[report_date]])</f>
        <v>2026</v>
      </c>
      <c r="C13801" s="128">
        <f t="shared" si="644"/>
        <v>3</v>
      </c>
      <c r="D13801" s="136">
        <f t="shared" si="646"/>
        <v>12</v>
      </c>
      <c r="E13801" s="136">
        <f t="shared" si="645"/>
        <v>16</v>
      </c>
      <c r="F13801" s="137" t="s">
        <v>24</v>
      </c>
      <c r="G13801" s="128" t="str">
        <f>VLOOKUP(source[[#This Row],[lending_product_transform]],[3]Mapping!$B$4:$C$37,2,0)</f>
        <v>[Cake] - Cashloan</v>
      </c>
      <c r="H13801" s="128" t="str">
        <f>VLOOKUP(source[[#This Row],[lending_product_transform]],[3]Mapping!$B$3:$D$37,3,0)</f>
        <v>cashloan</v>
      </c>
      <c r="I13801" s="137">
        <v>740080000</v>
      </c>
    </row>
    <row r="13802" spans="1:9" x14ac:dyDescent="0.2">
      <c r="A13802" s="134">
        <v>46097</v>
      </c>
      <c r="B13802" s="135">
        <f>YEAR(source[[#This Row],[report_date]])</f>
        <v>2026</v>
      </c>
      <c r="C13802" s="128">
        <f t="shared" si="644"/>
        <v>3</v>
      </c>
      <c r="D13802" s="136">
        <f t="shared" si="646"/>
        <v>12</v>
      </c>
      <c r="E13802" s="136">
        <f t="shared" si="645"/>
        <v>16</v>
      </c>
      <c r="F13802" s="137" t="s">
        <v>24</v>
      </c>
      <c r="G13802" s="128" t="str">
        <f>VLOOKUP(source[[#This Row],[lending_product_transform]],[3]Mapping!$B$4:$C$37,2,0)</f>
        <v>[Cake] - Cashloan</v>
      </c>
      <c r="H13802" s="128" t="str">
        <f>VLOOKUP(source[[#This Row],[lending_product_transform]],[3]Mapping!$B$3:$D$37,3,0)</f>
        <v>cashloan</v>
      </c>
      <c r="I13802" s="137">
        <v>299822776</v>
      </c>
    </row>
    <row r="13803" spans="1:9" x14ac:dyDescent="0.2">
      <c r="A13803" s="134">
        <v>46097</v>
      </c>
      <c r="B13803" s="135">
        <f>YEAR(source[[#This Row],[report_date]])</f>
        <v>2026</v>
      </c>
      <c r="C13803" s="128">
        <f t="shared" si="644"/>
        <v>3</v>
      </c>
      <c r="D13803" s="136">
        <f t="shared" si="646"/>
        <v>12</v>
      </c>
      <c r="E13803" s="136">
        <f t="shared" si="645"/>
        <v>16</v>
      </c>
      <c r="F13803" s="137" t="s">
        <v>24</v>
      </c>
      <c r="G13803" s="128" t="str">
        <f>VLOOKUP(source[[#This Row],[lending_product_transform]],[3]Mapping!$B$4:$C$37,2,0)</f>
        <v>[Cake] - Cashloan</v>
      </c>
      <c r="H13803" s="128" t="str">
        <f>VLOOKUP(source[[#This Row],[lending_product_transform]],[3]Mapping!$B$3:$D$37,3,0)</f>
        <v>cashloan</v>
      </c>
      <c r="I13803" s="137">
        <v>10591300000</v>
      </c>
    </row>
    <row r="13804" spans="1:9" x14ac:dyDescent="0.2">
      <c r="A13804" s="134">
        <v>46097</v>
      </c>
      <c r="B13804" s="135">
        <f>YEAR(source[[#This Row],[report_date]])</f>
        <v>2026</v>
      </c>
      <c r="C13804" s="128">
        <f t="shared" si="644"/>
        <v>3</v>
      </c>
      <c r="D13804" s="136">
        <f t="shared" si="646"/>
        <v>12</v>
      </c>
      <c r="E13804" s="136">
        <f t="shared" si="645"/>
        <v>16</v>
      </c>
      <c r="F13804" s="137" t="s">
        <v>24</v>
      </c>
      <c r="G13804" s="128" t="str">
        <f>VLOOKUP(source[[#This Row],[lending_product_transform]],[3]Mapping!$B$4:$C$37,2,0)</f>
        <v>[Cake] - Cashloan</v>
      </c>
      <c r="H13804" s="128" t="str">
        <f>VLOOKUP(source[[#This Row],[lending_product_transform]],[3]Mapping!$B$3:$D$37,3,0)</f>
        <v>cashloan</v>
      </c>
      <c r="I13804" s="137">
        <v>1944313410</v>
      </c>
    </row>
    <row r="13805" spans="1:9" x14ac:dyDescent="0.2">
      <c r="A13805" s="134">
        <v>46097</v>
      </c>
      <c r="B13805" s="135">
        <f>YEAR(source[[#This Row],[report_date]])</f>
        <v>2026</v>
      </c>
      <c r="C13805" s="128">
        <f t="shared" si="644"/>
        <v>3</v>
      </c>
      <c r="D13805" s="136">
        <f t="shared" si="646"/>
        <v>12</v>
      </c>
      <c r="E13805" s="136">
        <f t="shared" si="645"/>
        <v>16</v>
      </c>
      <c r="F13805" s="137" t="s">
        <v>24</v>
      </c>
      <c r="G13805" s="128" t="str">
        <f>VLOOKUP(source[[#This Row],[lending_product_transform]],[3]Mapping!$B$4:$C$37,2,0)</f>
        <v>[Cake] - Cashloan</v>
      </c>
      <c r="H13805" s="128" t="str">
        <f>VLOOKUP(source[[#This Row],[lending_product_transform]],[3]Mapping!$B$3:$D$37,3,0)</f>
        <v>cashloan</v>
      </c>
      <c r="I13805" s="137">
        <v>13928544000</v>
      </c>
    </row>
    <row r="13806" spans="1:9" x14ac:dyDescent="0.2">
      <c r="A13806" s="134">
        <v>46097</v>
      </c>
      <c r="B13806" s="135">
        <f>YEAR(source[[#This Row],[report_date]])</f>
        <v>2026</v>
      </c>
      <c r="C13806" s="128">
        <f t="shared" si="644"/>
        <v>3</v>
      </c>
      <c r="D13806" s="136">
        <f t="shared" si="646"/>
        <v>12</v>
      </c>
      <c r="E13806" s="136">
        <f t="shared" si="645"/>
        <v>16</v>
      </c>
      <c r="F13806" s="137" t="s">
        <v>24</v>
      </c>
      <c r="G13806" s="128" t="str">
        <f>VLOOKUP(source[[#This Row],[lending_product_transform]],[3]Mapping!$B$4:$C$37,2,0)</f>
        <v>[Cake] - Cashloan</v>
      </c>
      <c r="H13806" s="128" t="str">
        <f>VLOOKUP(source[[#This Row],[lending_product_transform]],[3]Mapping!$B$3:$D$37,3,0)</f>
        <v>cashloan</v>
      </c>
      <c r="I13806" s="137">
        <v>2764780</v>
      </c>
    </row>
    <row r="13807" spans="1:9" x14ac:dyDescent="0.2">
      <c r="A13807" s="134">
        <v>46097</v>
      </c>
      <c r="B13807" s="135">
        <f>YEAR(source[[#This Row],[report_date]])</f>
        <v>2026</v>
      </c>
      <c r="C13807" s="128">
        <f t="shared" si="644"/>
        <v>3</v>
      </c>
      <c r="D13807" s="136">
        <f t="shared" si="646"/>
        <v>12</v>
      </c>
      <c r="E13807" s="136">
        <f t="shared" si="645"/>
        <v>16</v>
      </c>
      <c r="F13807" s="137" t="s">
        <v>24</v>
      </c>
      <c r="G13807" s="128" t="str">
        <f>VLOOKUP(source[[#This Row],[lending_product_transform]],[3]Mapping!$B$4:$C$37,2,0)</f>
        <v>[Cake] - Cashloan</v>
      </c>
      <c r="H13807" s="128" t="str">
        <f>VLOOKUP(source[[#This Row],[lending_product_transform]],[3]Mapping!$B$3:$D$37,3,0)</f>
        <v>cashloan</v>
      </c>
      <c r="I13807" s="137">
        <v>90000000</v>
      </c>
    </row>
    <row r="13808" spans="1:9" x14ac:dyDescent="0.2">
      <c r="A13808" s="134">
        <v>46097</v>
      </c>
      <c r="B13808" s="135">
        <f>YEAR(source[[#This Row],[report_date]])</f>
        <v>2026</v>
      </c>
      <c r="C13808" s="128">
        <f t="shared" si="644"/>
        <v>3</v>
      </c>
      <c r="D13808" s="136">
        <f t="shared" si="646"/>
        <v>12</v>
      </c>
      <c r="E13808" s="136">
        <f t="shared" si="645"/>
        <v>16</v>
      </c>
      <c r="F13808" s="137" t="s">
        <v>24</v>
      </c>
      <c r="G13808" s="128" t="str">
        <f>VLOOKUP(source[[#This Row],[lending_product_transform]],[3]Mapping!$B$4:$C$37,2,0)</f>
        <v>[Cake] - Cashloan</v>
      </c>
      <c r="H13808" s="128" t="str">
        <f>VLOOKUP(source[[#This Row],[lending_product_transform]],[3]Mapping!$B$3:$D$37,3,0)</f>
        <v>cashloan</v>
      </c>
      <c r="I13808" s="137">
        <v>2441860000</v>
      </c>
    </row>
    <row r="13809" spans="1:9" x14ac:dyDescent="0.2">
      <c r="A13809" s="134">
        <v>46097</v>
      </c>
      <c r="B13809" s="135">
        <f>YEAR(source[[#This Row],[report_date]])</f>
        <v>2026</v>
      </c>
      <c r="C13809" s="128">
        <f t="shared" si="644"/>
        <v>3</v>
      </c>
      <c r="D13809" s="136">
        <f t="shared" si="646"/>
        <v>12</v>
      </c>
      <c r="E13809" s="136">
        <f t="shared" si="645"/>
        <v>16</v>
      </c>
      <c r="F13809" s="137" t="s">
        <v>24</v>
      </c>
      <c r="G13809" s="128" t="str">
        <f>VLOOKUP(source[[#This Row],[lending_product_transform]],[3]Mapping!$B$4:$C$37,2,0)</f>
        <v>[Cake] - Cashloan</v>
      </c>
      <c r="H13809" s="128" t="str">
        <f>VLOOKUP(source[[#This Row],[lending_product_transform]],[3]Mapping!$B$3:$D$37,3,0)</f>
        <v>cashloan</v>
      </c>
      <c r="I13809" s="137">
        <v>781550000</v>
      </c>
    </row>
    <row r="13810" spans="1:9" x14ac:dyDescent="0.2">
      <c r="A13810" s="134">
        <v>46097</v>
      </c>
      <c r="B13810" s="135">
        <f>YEAR(source[[#This Row],[report_date]])</f>
        <v>2026</v>
      </c>
      <c r="C13810" s="128">
        <f t="shared" si="644"/>
        <v>3</v>
      </c>
      <c r="D13810" s="136">
        <f t="shared" si="646"/>
        <v>12</v>
      </c>
      <c r="E13810" s="136">
        <f t="shared" si="645"/>
        <v>16</v>
      </c>
      <c r="F13810" s="137" t="s">
        <v>24</v>
      </c>
      <c r="G13810" s="128" t="str">
        <f>VLOOKUP(source[[#This Row],[lending_product_transform]],[3]Mapping!$B$4:$C$37,2,0)</f>
        <v>[Cake] - Cashloan</v>
      </c>
      <c r="H13810" s="128" t="str">
        <f>VLOOKUP(source[[#This Row],[lending_product_transform]],[3]Mapping!$B$3:$D$37,3,0)</f>
        <v>cashloan</v>
      </c>
      <c r="I13810" s="137">
        <v>15958499</v>
      </c>
    </row>
    <row r="13811" spans="1:9" x14ac:dyDescent="0.2">
      <c r="A13811" s="134">
        <v>46097</v>
      </c>
      <c r="B13811" s="135">
        <f>YEAR(source[[#This Row],[report_date]])</f>
        <v>2026</v>
      </c>
      <c r="C13811" s="128">
        <f t="shared" si="644"/>
        <v>3</v>
      </c>
      <c r="D13811" s="136">
        <f t="shared" si="646"/>
        <v>12</v>
      </c>
      <c r="E13811" s="136">
        <f t="shared" si="645"/>
        <v>16</v>
      </c>
      <c r="F13811" s="137" t="s">
        <v>24</v>
      </c>
      <c r="G13811" s="128" t="str">
        <f>VLOOKUP(source[[#This Row],[lending_product_transform]],[3]Mapping!$B$4:$C$37,2,0)</f>
        <v>[Cake] - Cashloan</v>
      </c>
      <c r="H13811" s="128" t="str">
        <f>VLOOKUP(source[[#This Row],[lending_product_transform]],[3]Mapping!$B$3:$D$37,3,0)</f>
        <v>cashloan</v>
      </c>
      <c r="I13811" s="137">
        <v>791668366</v>
      </c>
    </row>
    <row r="13812" spans="1:9" x14ac:dyDescent="0.2">
      <c r="A13812" s="134">
        <v>46097</v>
      </c>
      <c r="B13812" s="135">
        <f>YEAR(source[[#This Row],[report_date]])</f>
        <v>2026</v>
      </c>
      <c r="C13812" s="128">
        <f t="shared" si="644"/>
        <v>3</v>
      </c>
      <c r="D13812" s="136">
        <f t="shared" si="646"/>
        <v>12</v>
      </c>
      <c r="E13812" s="136">
        <f t="shared" si="645"/>
        <v>16</v>
      </c>
      <c r="F13812" s="137" t="s">
        <v>24</v>
      </c>
      <c r="G13812" s="128" t="str">
        <f>VLOOKUP(source[[#This Row],[lending_product_transform]],[3]Mapping!$B$4:$C$37,2,0)</f>
        <v>[Cake] - Cashloan</v>
      </c>
      <c r="H13812" s="128" t="str">
        <f>VLOOKUP(source[[#This Row],[lending_product_transform]],[3]Mapping!$B$3:$D$37,3,0)</f>
        <v>cashloan</v>
      </c>
      <c r="I13812" s="137">
        <v>0</v>
      </c>
    </row>
    <row r="13813" spans="1:9" x14ac:dyDescent="0.2">
      <c r="A13813" s="134">
        <v>46097</v>
      </c>
      <c r="B13813" s="135">
        <f>YEAR(source[[#This Row],[report_date]])</f>
        <v>2026</v>
      </c>
      <c r="C13813" s="128">
        <f t="shared" si="644"/>
        <v>3</v>
      </c>
      <c r="D13813" s="136">
        <f t="shared" si="646"/>
        <v>12</v>
      </c>
      <c r="E13813" s="136">
        <f t="shared" si="645"/>
        <v>16</v>
      </c>
      <c r="F13813" s="137" t="s">
        <v>24</v>
      </c>
      <c r="G13813" s="128" t="str">
        <f>VLOOKUP(source[[#This Row],[lending_product_transform]],[3]Mapping!$B$4:$C$37,2,0)</f>
        <v>[Cake] - Cashloan</v>
      </c>
      <c r="H13813" s="128" t="str">
        <f>VLOOKUP(source[[#This Row],[lending_product_transform]],[3]Mapping!$B$3:$D$37,3,0)</f>
        <v>cashloan</v>
      </c>
      <c r="I13813" s="137">
        <v>129250000</v>
      </c>
    </row>
    <row r="13814" spans="1:9" x14ac:dyDescent="0.2">
      <c r="A13814" s="134">
        <v>46097</v>
      </c>
      <c r="B13814" s="135">
        <f>YEAR(source[[#This Row],[report_date]])</f>
        <v>2026</v>
      </c>
      <c r="C13814" s="128">
        <f t="shared" ref="C13814:C13877" si="647">MONTH(A13814)</f>
        <v>3</v>
      </c>
      <c r="D13814" s="136">
        <f t="shared" si="646"/>
        <v>12</v>
      </c>
      <c r="E13814" s="136">
        <f t="shared" ref="E13814:E13877" si="648">DAY(A13814)</f>
        <v>16</v>
      </c>
      <c r="F13814" s="137" t="s">
        <v>24</v>
      </c>
      <c r="G13814" s="128" t="str">
        <f>VLOOKUP(source[[#This Row],[lending_product_transform]],[3]Mapping!$B$4:$C$37,2,0)</f>
        <v>[Cake] - Cashloan</v>
      </c>
      <c r="H13814" s="128" t="str">
        <f>VLOOKUP(source[[#This Row],[lending_product_transform]],[3]Mapping!$B$3:$D$37,3,0)</f>
        <v>cashloan</v>
      </c>
      <c r="I13814" s="137">
        <v>0</v>
      </c>
    </row>
    <row r="13815" spans="1:9" x14ac:dyDescent="0.2">
      <c r="A13815" s="134">
        <v>46097</v>
      </c>
      <c r="B13815" s="135">
        <f>YEAR(source[[#This Row],[report_date]])</f>
        <v>2026</v>
      </c>
      <c r="C13815" s="128">
        <f t="shared" si="647"/>
        <v>3</v>
      </c>
      <c r="D13815" s="136">
        <f t="shared" si="646"/>
        <v>12</v>
      </c>
      <c r="E13815" s="136">
        <f t="shared" si="648"/>
        <v>16</v>
      </c>
      <c r="F13815" s="137" t="s">
        <v>24</v>
      </c>
      <c r="G13815" s="128" t="str">
        <f>VLOOKUP(source[[#This Row],[lending_product_transform]],[3]Mapping!$B$4:$C$37,2,0)</f>
        <v>[Cake] - Cashloan</v>
      </c>
      <c r="H13815" s="128" t="str">
        <f>VLOOKUP(source[[#This Row],[lending_product_transform]],[3]Mapping!$B$3:$D$37,3,0)</f>
        <v>cashloan</v>
      </c>
      <c r="I13815" s="137">
        <v>18652390000</v>
      </c>
    </row>
    <row r="13816" spans="1:9" x14ac:dyDescent="0.2">
      <c r="A13816" s="134">
        <v>46097</v>
      </c>
      <c r="B13816" s="135">
        <f>YEAR(source[[#This Row],[report_date]])</f>
        <v>2026</v>
      </c>
      <c r="C13816" s="128">
        <f t="shared" si="647"/>
        <v>3</v>
      </c>
      <c r="D13816" s="136">
        <f t="shared" si="646"/>
        <v>12</v>
      </c>
      <c r="E13816" s="136">
        <f t="shared" si="648"/>
        <v>16</v>
      </c>
      <c r="F13816" s="137" t="s">
        <v>24</v>
      </c>
      <c r="G13816" s="128" t="str">
        <f>VLOOKUP(source[[#This Row],[lending_product_transform]],[3]Mapping!$B$4:$C$37,2,0)</f>
        <v>[Cake] - Cashloan</v>
      </c>
      <c r="H13816" s="128" t="str">
        <f>VLOOKUP(source[[#This Row],[lending_product_transform]],[3]Mapping!$B$3:$D$37,3,0)</f>
        <v>cashloan</v>
      </c>
      <c r="I13816" s="137">
        <v>0</v>
      </c>
    </row>
    <row r="13817" spans="1:9" x14ac:dyDescent="0.2">
      <c r="A13817" s="134">
        <v>46097</v>
      </c>
      <c r="B13817" s="135">
        <f>YEAR(source[[#This Row],[report_date]])</f>
        <v>2026</v>
      </c>
      <c r="C13817" s="128">
        <f t="shared" si="647"/>
        <v>3</v>
      </c>
      <c r="D13817" s="136">
        <f t="shared" si="646"/>
        <v>12</v>
      </c>
      <c r="E13817" s="136">
        <f t="shared" si="648"/>
        <v>16</v>
      </c>
      <c r="F13817" s="137" t="s">
        <v>24</v>
      </c>
      <c r="G13817" s="128" t="str">
        <f>VLOOKUP(source[[#This Row],[lending_product_transform]],[3]Mapping!$B$4:$C$37,2,0)</f>
        <v>[Cake] - Cashloan</v>
      </c>
      <c r="H13817" s="128" t="str">
        <f>VLOOKUP(source[[#This Row],[lending_product_transform]],[3]Mapping!$B$3:$D$37,3,0)</f>
        <v>cashloan</v>
      </c>
      <c r="I13817" s="137">
        <v>0</v>
      </c>
    </row>
    <row r="13818" spans="1:9" x14ac:dyDescent="0.2">
      <c r="A13818" s="134">
        <v>46097</v>
      </c>
      <c r="B13818" s="135">
        <f>YEAR(source[[#This Row],[report_date]])</f>
        <v>2026</v>
      </c>
      <c r="C13818" s="128">
        <f t="shared" si="647"/>
        <v>3</v>
      </c>
      <c r="D13818" s="136">
        <f t="shared" si="646"/>
        <v>12</v>
      </c>
      <c r="E13818" s="136">
        <f t="shared" si="648"/>
        <v>16</v>
      </c>
      <c r="F13818" s="137" t="s">
        <v>24</v>
      </c>
      <c r="G13818" s="128" t="str">
        <f>VLOOKUP(source[[#This Row],[lending_product_transform]],[3]Mapping!$B$4:$C$37,2,0)</f>
        <v>[Cake] - Cashloan</v>
      </c>
      <c r="H13818" s="128" t="str">
        <f>VLOOKUP(source[[#This Row],[lending_product_transform]],[3]Mapping!$B$3:$D$37,3,0)</f>
        <v>cashloan</v>
      </c>
      <c r="I13818" s="137">
        <v>0</v>
      </c>
    </row>
    <row r="13819" spans="1:9" x14ac:dyDescent="0.2">
      <c r="A13819" s="134">
        <v>46097</v>
      </c>
      <c r="B13819" s="135">
        <f>YEAR(source[[#This Row],[report_date]])</f>
        <v>2026</v>
      </c>
      <c r="C13819" s="128">
        <f t="shared" si="647"/>
        <v>3</v>
      </c>
      <c r="D13819" s="136">
        <f t="shared" si="646"/>
        <v>12</v>
      </c>
      <c r="E13819" s="136">
        <f t="shared" si="648"/>
        <v>16</v>
      </c>
      <c r="F13819" s="137" t="s">
        <v>24</v>
      </c>
      <c r="G13819" s="128" t="str">
        <f>VLOOKUP(source[[#This Row],[lending_product_transform]],[3]Mapping!$B$4:$C$37,2,0)</f>
        <v>[Cake] - Cashloan</v>
      </c>
      <c r="H13819" s="128" t="str">
        <f>VLOOKUP(source[[#This Row],[lending_product_transform]],[3]Mapping!$B$3:$D$37,3,0)</f>
        <v>cashloan</v>
      </c>
      <c r="I13819" s="137">
        <v>0</v>
      </c>
    </row>
    <row r="13820" spans="1:9" x14ac:dyDescent="0.2">
      <c r="A13820" s="134">
        <v>46097</v>
      </c>
      <c r="B13820" s="135">
        <f>YEAR(source[[#This Row],[report_date]])</f>
        <v>2026</v>
      </c>
      <c r="C13820" s="128">
        <f t="shared" si="647"/>
        <v>3</v>
      </c>
      <c r="D13820" s="136">
        <f t="shared" si="646"/>
        <v>12</v>
      </c>
      <c r="E13820" s="136">
        <f t="shared" si="648"/>
        <v>16</v>
      </c>
      <c r="F13820" s="137" t="s">
        <v>24</v>
      </c>
      <c r="G13820" s="128" t="str">
        <f>VLOOKUP(source[[#This Row],[lending_product_transform]],[3]Mapping!$B$4:$C$37,2,0)</f>
        <v>[Cake] - Cashloan</v>
      </c>
      <c r="H13820" s="128" t="str">
        <f>VLOOKUP(source[[#This Row],[lending_product_transform]],[3]Mapping!$B$3:$D$37,3,0)</f>
        <v>cashloan</v>
      </c>
      <c r="I13820" s="137">
        <v>12140280000</v>
      </c>
    </row>
    <row r="13821" spans="1:9" x14ac:dyDescent="0.2">
      <c r="A13821" s="134">
        <v>46097</v>
      </c>
      <c r="B13821" s="135">
        <f>YEAR(source[[#This Row],[report_date]])</f>
        <v>2026</v>
      </c>
      <c r="C13821" s="128">
        <f t="shared" si="647"/>
        <v>3</v>
      </c>
      <c r="D13821" s="136">
        <f t="shared" si="646"/>
        <v>12</v>
      </c>
      <c r="E13821" s="136">
        <f t="shared" si="648"/>
        <v>16</v>
      </c>
      <c r="F13821" s="137" t="s">
        <v>24</v>
      </c>
      <c r="G13821" s="128" t="str">
        <f>VLOOKUP(source[[#This Row],[lending_product_transform]],[3]Mapping!$B$4:$C$37,2,0)</f>
        <v>[Cake] - Cashloan</v>
      </c>
      <c r="H13821" s="128" t="str">
        <f>VLOOKUP(source[[#This Row],[lending_product_transform]],[3]Mapping!$B$3:$D$37,3,0)</f>
        <v>cashloan</v>
      </c>
      <c r="I13821" s="137">
        <v>199800737</v>
      </c>
    </row>
    <row r="13822" spans="1:9" x14ac:dyDescent="0.2">
      <c r="A13822" s="134">
        <v>46097</v>
      </c>
      <c r="B13822" s="135">
        <f>YEAR(source[[#This Row],[report_date]])</f>
        <v>2026</v>
      </c>
      <c r="C13822" s="128">
        <f t="shared" si="647"/>
        <v>3</v>
      </c>
      <c r="D13822" s="136">
        <f t="shared" si="646"/>
        <v>12</v>
      </c>
      <c r="E13822" s="136">
        <f t="shared" si="648"/>
        <v>16</v>
      </c>
      <c r="F13822" s="137" t="s">
        <v>24</v>
      </c>
      <c r="G13822" s="128" t="str">
        <f>VLOOKUP(source[[#This Row],[lending_product_transform]],[3]Mapping!$B$4:$C$37,2,0)</f>
        <v>[Cake] - Cashloan</v>
      </c>
      <c r="H13822" s="128" t="str">
        <f>VLOOKUP(source[[#This Row],[lending_product_transform]],[3]Mapping!$B$3:$D$37,3,0)</f>
        <v>cashloan</v>
      </c>
      <c r="I13822" s="137">
        <v>51500000</v>
      </c>
    </row>
    <row r="13823" spans="1:9" x14ac:dyDescent="0.2">
      <c r="A13823" s="134">
        <v>46097</v>
      </c>
      <c r="B13823" s="135">
        <f>YEAR(source[[#This Row],[report_date]])</f>
        <v>2026</v>
      </c>
      <c r="C13823" s="128">
        <f t="shared" si="647"/>
        <v>3</v>
      </c>
      <c r="D13823" s="136">
        <f t="shared" si="646"/>
        <v>12</v>
      </c>
      <c r="E13823" s="136">
        <f t="shared" si="648"/>
        <v>16</v>
      </c>
      <c r="F13823" s="137" t="s">
        <v>24</v>
      </c>
      <c r="G13823" s="128" t="str">
        <f>VLOOKUP(source[[#This Row],[lending_product_transform]],[3]Mapping!$B$4:$C$37,2,0)</f>
        <v>[Cake] - Cashloan</v>
      </c>
      <c r="H13823" s="128" t="str">
        <f>VLOOKUP(source[[#This Row],[lending_product_transform]],[3]Mapping!$B$3:$D$37,3,0)</f>
        <v>cashloan</v>
      </c>
      <c r="I13823" s="137">
        <v>25000000</v>
      </c>
    </row>
    <row r="13824" spans="1:9" x14ac:dyDescent="0.2">
      <c r="A13824" s="134">
        <v>46097</v>
      </c>
      <c r="B13824" s="135">
        <f>YEAR(source[[#This Row],[report_date]])</f>
        <v>2026</v>
      </c>
      <c r="C13824" s="128">
        <f t="shared" si="647"/>
        <v>3</v>
      </c>
      <c r="D13824" s="136">
        <f t="shared" si="646"/>
        <v>12</v>
      </c>
      <c r="E13824" s="136">
        <f t="shared" si="648"/>
        <v>16</v>
      </c>
      <c r="F13824" s="137" t="s">
        <v>24</v>
      </c>
      <c r="G13824" s="128" t="str">
        <f>VLOOKUP(source[[#This Row],[lending_product_transform]],[3]Mapping!$B$4:$C$37,2,0)</f>
        <v>[Cake] - Cashloan</v>
      </c>
      <c r="H13824" s="128" t="str">
        <f>VLOOKUP(source[[#This Row],[lending_product_transform]],[3]Mapping!$B$3:$D$37,3,0)</f>
        <v>cashloan</v>
      </c>
      <c r="I13824" s="137">
        <v>695310000</v>
      </c>
    </row>
    <row r="13825" spans="1:9" x14ac:dyDescent="0.2">
      <c r="A13825" s="134">
        <v>46097</v>
      </c>
      <c r="B13825" s="135">
        <f>YEAR(source[[#This Row],[report_date]])</f>
        <v>2026</v>
      </c>
      <c r="C13825" s="128">
        <f t="shared" si="647"/>
        <v>3</v>
      </c>
      <c r="D13825" s="136">
        <f t="shared" si="646"/>
        <v>12</v>
      </c>
      <c r="E13825" s="136">
        <f t="shared" si="648"/>
        <v>16</v>
      </c>
      <c r="F13825" s="137" t="s">
        <v>24</v>
      </c>
      <c r="G13825" s="128" t="str">
        <f>VLOOKUP(source[[#This Row],[lending_product_transform]],[3]Mapping!$B$4:$C$37,2,0)</f>
        <v>[Cake] - Cashloan</v>
      </c>
      <c r="H13825" s="128" t="str">
        <f>VLOOKUP(source[[#This Row],[lending_product_transform]],[3]Mapping!$B$3:$D$37,3,0)</f>
        <v>cashloan</v>
      </c>
      <c r="I13825" s="137">
        <v>311472000</v>
      </c>
    </row>
    <row r="13826" spans="1:9" x14ac:dyDescent="0.2">
      <c r="A13826" s="134">
        <v>46097</v>
      </c>
      <c r="B13826" s="135">
        <f>YEAR(source[[#This Row],[report_date]])</f>
        <v>2026</v>
      </c>
      <c r="C13826" s="128">
        <f t="shared" si="647"/>
        <v>3</v>
      </c>
      <c r="D13826" s="136">
        <f t="shared" si="646"/>
        <v>12</v>
      </c>
      <c r="E13826" s="136">
        <f t="shared" si="648"/>
        <v>16</v>
      </c>
      <c r="F13826" s="137" t="s">
        <v>24</v>
      </c>
      <c r="G13826" s="128" t="str">
        <f>VLOOKUP(source[[#This Row],[lending_product_transform]],[3]Mapping!$B$4:$C$37,2,0)</f>
        <v>[Cake] - Cashloan</v>
      </c>
      <c r="H13826" s="128" t="str">
        <f>VLOOKUP(source[[#This Row],[lending_product_transform]],[3]Mapping!$B$3:$D$37,3,0)</f>
        <v>cashloan</v>
      </c>
      <c r="I13826" s="137">
        <v>262504491</v>
      </c>
    </row>
    <row r="13827" spans="1:9" x14ac:dyDescent="0.2">
      <c r="A13827" s="134">
        <v>46097</v>
      </c>
      <c r="B13827" s="135">
        <f>YEAR(source[[#This Row],[report_date]])</f>
        <v>2026</v>
      </c>
      <c r="C13827" s="128">
        <f t="shared" si="647"/>
        <v>3</v>
      </c>
      <c r="D13827" s="136">
        <f t="shared" si="646"/>
        <v>12</v>
      </c>
      <c r="E13827" s="136">
        <f t="shared" si="648"/>
        <v>16</v>
      </c>
      <c r="F13827" s="137" t="s">
        <v>24</v>
      </c>
      <c r="G13827" s="128" t="str">
        <f>VLOOKUP(source[[#This Row],[lending_product_transform]],[3]Mapping!$B$4:$C$37,2,0)</f>
        <v>[Cake] - Cashloan</v>
      </c>
      <c r="H13827" s="128" t="str">
        <f>VLOOKUP(source[[#This Row],[lending_product_transform]],[3]Mapping!$B$3:$D$37,3,0)</f>
        <v>cashloan</v>
      </c>
      <c r="I13827" s="137">
        <v>3685390000</v>
      </c>
    </row>
    <row r="13828" spans="1:9" x14ac:dyDescent="0.2">
      <c r="A13828" s="134">
        <v>46097</v>
      </c>
      <c r="B13828" s="135">
        <f>YEAR(source[[#This Row],[report_date]])</f>
        <v>2026</v>
      </c>
      <c r="C13828" s="128">
        <f t="shared" si="647"/>
        <v>3</v>
      </c>
      <c r="D13828" s="136">
        <f t="shared" si="646"/>
        <v>12</v>
      </c>
      <c r="E13828" s="136">
        <f t="shared" si="648"/>
        <v>16</v>
      </c>
      <c r="F13828" s="137" t="s">
        <v>24</v>
      </c>
      <c r="G13828" s="128" t="str">
        <f>VLOOKUP(source[[#This Row],[lending_product_transform]],[3]Mapping!$B$4:$C$37,2,0)</f>
        <v>[Cake] - Cashloan</v>
      </c>
      <c r="H13828" s="128" t="str">
        <f>VLOOKUP(source[[#This Row],[lending_product_transform]],[3]Mapping!$B$3:$D$37,3,0)</f>
        <v>cashloan</v>
      </c>
      <c r="I13828" s="137">
        <v>303264000</v>
      </c>
    </row>
    <row r="13829" spans="1:9" x14ac:dyDescent="0.2">
      <c r="A13829" s="134">
        <v>46098</v>
      </c>
      <c r="B13829" s="135">
        <f>YEAR(source[[#This Row],[report_date]])</f>
        <v>2026</v>
      </c>
      <c r="C13829" s="128">
        <f t="shared" si="647"/>
        <v>3</v>
      </c>
      <c r="D13829" s="136">
        <f t="shared" si="646"/>
        <v>12</v>
      </c>
      <c r="E13829" s="136">
        <f t="shared" si="648"/>
        <v>17</v>
      </c>
      <c r="F13829" s="137" t="s">
        <v>24</v>
      </c>
      <c r="G13829" s="128" t="str">
        <f>VLOOKUP(source[[#This Row],[lending_product_transform]],[3]Mapping!$B$4:$C$37,2,0)</f>
        <v>[Cake] - Cashloan</v>
      </c>
      <c r="H13829" s="128" t="str">
        <f>VLOOKUP(source[[#This Row],[lending_product_transform]],[3]Mapping!$B$3:$D$37,3,0)</f>
        <v>cashloan</v>
      </c>
      <c r="I13829" s="137">
        <v>689880000</v>
      </c>
    </row>
    <row r="13830" spans="1:9" x14ac:dyDescent="0.2">
      <c r="A13830" s="134">
        <v>46098</v>
      </c>
      <c r="B13830" s="135">
        <f>YEAR(source[[#This Row],[report_date]])</f>
        <v>2026</v>
      </c>
      <c r="C13830" s="128">
        <f t="shared" si="647"/>
        <v>3</v>
      </c>
      <c r="D13830" s="136">
        <f t="shared" si="646"/>
        <v>12</v>
      </c>
      <c r="E13830" s="136">
        <f t="shared" si="648"/>
        <v>17</v>
      </c>
      <c r="F13830" s="137" t="s">
        <v>24</v>
      </c>
      <c r="G13830" s="128" t="str">
        <f>VLOOKUP(source[[#This Row],[lending_product_transform]],[3]Mapping!$B$4:$C$37,2,0)</f>
        <v>[Cake] - Cashloan</v>
      </c>
      <c r="H13830" s="128" t="str">
        <f>VLOOKUP(source[[#This Row],[lending_product_transform]],[3]Mapping!$B$3:$D$37,3,0)</f>
        <v>cashloan</v>
      </c>
      <c r="I13830" s="137">
        <v>287745140</v>
      </c>
    </row>
    <row r="13831" spans="1:9" x14ac:dyDescent="0.2">
      <c r="A13831" s="134">
        <v>46098</v>
      </c>
      <c r="B13831" s="135">
        <f>YEAR(source[[#This Row],[report_date]])</f>
        <v>2026</v>
      </c>
      <c r="C13831" s="128">
        <f t="shared" si="647"/>
        <v>3</v>
      </c>
      <c r="D13831" s="136">
        <f t="shared" si="646"/>
        <v>12</v>
      </c>
      <c r="E13831" s="136">
        <f t="shared" si="648"/>
        <v>17</v>
      </c>
      <c r="F13831" s="137" t="s">
        <v>24</v>
      </c>
      <c r="G13831" s="128" t="str">
        <f>VLOOKUP(source[[#This Row],[lending_product_transform]],[3]Mapping!$B$4:$C$37,2,0)</f>
        <v>[Cake] - Cashloan</v>
      </c>
      <c r="H13831" s="128" t="str">
        <f>VLOOKUP(source[[#This Row],[lending_product_transform]],[3]Mapping!$B$3:$D$37,3,0)</f>
        <v>cashloan</v>
      </c>
      <c r="I13831" s="137">
        <v>10769930000</v>
      </c>
    </row>
    <row r="13832" spans="1:9" x14ac:dyDescent="0.2">
      <c r="A13832" s="134">
        <v>46098</v>
      </c>
      <c r="B13832" s="135">
        <f>YEAR(source[[#This Row],[report_date]])</f>
        <v>2026</v>
      </c>
      <c r="C13832" s="128">
        <f t="shared" si="647"/>
        <v>3</v>
      </c>
      <c r="D13832" s="136">
        <f t="shared" si="646"/>
        <v>12</v>
      </c>
      <c r="E13832" s="136">
        <f t="shared" si="648"/>
        <v>17</v>
      </c>
      <c r="F13832" s="137" t="s">
        <v>24</v>
      </c>
      <c r="G13832" s="128" t="str">
        <f>VLOOKUP(source[[#This Row],[lending_product_transform]],[3]Mapping!$B$4:$C$37,2,0)</f>
        <v>[Cake] - Cashloan</v>
      </c>
      <c r="H13832" s="128" t="str">
        <f>VLOOKUP(source[[#This Row],[lending_product_transform]],[3]Mapping!$B$3:$D$37,3,0)</f>
        <v>cashloan</v>
      </c>
      <c r="I13832" s="137">
        <v>1636874628</v>
      </c>
    </row>
    <row r="13833" spans="1:9" x14ac:dyDescent="0.2">
      <c r="A13833" s="134">
        <v>46098</v>
      </c>
      <c r="B13833" s="135">
        <f>YEAR(source[[#This Row],[report_date]])</f>
        <v>2026</v>
      </c>
      <c r="C13833" s="128">
        <f t="shared" si="647"/>
        <v>3</v>
      </c>
      <c r="D13833" s="136">
        <f t="shared" si="646"/>
        <v>12</v>
      </c>
      <c r="E13833" s="136">
        <f t="shared" si="648"/>
        <v>17</v>
      </c>
      <c r="F13833" s="137" t="s">
        <v>24</v>
      </c>
      <c r="G13833" s="128" t="str">
        <f>VLOOKUP(source[[#This Row],[lending_product_transform]],[3]Mapping!$B$4:$C$37,2,0)</f>
        <v>[Cake] - Cashloan</v>
      </c>
      <c r="H13833" s="128" t="str">
        <f>VLOOKUP(source[[#This Row],[lending_product_transform]],[3]Mapping!$B$3:$D$37,3,0)</f>
        <v>cashloan</v>
      </c>
      <c r="I13833" s="137">
        <v>12807828000</v>
      </c>
    </row>
    <row r="13834" spans="1:9" x14ac:dyDescent="0.2">
      <c r="A13834" s="134">
        <v>46098</v>
      </c>
      <c r="B13834" s="135">
        <f>YEAR(source[[#This Row],[report_date]])</f>
        <v>2026</v>
      </c>
      <c r="C13834" s="128">
        <f t="shared" si="647"/>
        <v>3</v>
      </c>
      <c r="D13834" s="136">
        <f t="shared" si="646"/>
        <v>12</v>
      </c>
      <c r="E13834" s="136">
        <f t="shared" si="648"/>
        <v>17</v>
      </c>
      <c r="F13834" s="137" t="s">
        <v>24</v>
      </c>
      <c r="G13834" s="128" t="str">
        <f>VLOOKUP(source[[#This Row],[lending_product_transform]],[3]Mapping!$B$4:$C$37,2,0)</f>
        <v>[Cake] - Cashloan</v>
      </c>
      <c r="H13834" s="128" t="str">
        <f>VLOOKUP(source[[#This Row],[lending_product_transform]],[3]Mapping!$B$3:$D$37,3,0)</f>
        <v>cashloan</v>
      </c>
      <c r="I13834" s="137">
        <v>2576000</v>
      </c>
    </row>
    <row r="13835" spans="1:9" x14ac:dyDescent="0.2">
      <c r="A13835" s="134">
        <v>46098</v>
      </c>
      <c r="B13835" s="135">
        <f>YEAR(source[[#This Row],[report_date]])</f>
        <v>2026</v>
      </c>
      <c r="C13835" s="128">
        <f t="shared" si="647"/>
        <v>3</v>
      </c>
      <c r="D13835" s="136">
        <f t="shared" si="646"/>
        <v>12</v>
      </c>
      <c r="E13835" s="136">
        <f t="shared" si="648"/>
        <v>17</v>
      </c>
      <c r="F13835" s="137" t="s">
        <v>24</v>
      </c>
      <c r="G13835" s="128" t="str">
        <f>VLOOKUP(source[[#This Row],[lending_product_transform]],[3]Mapping!$B$4:$C$37,2,0)</f>
        <v>[Cake] - Cashloan</v>
      </c>
      <c r="H13835" s="128" t="str">
        <f>VLOOKUP(source[[#This Row],[lending_product_transform]],[3]Mapping!$B$3:$D$37,3,0)</f>
        <v>cashloan</v>
      </c>
      <c r="I13835" s="137">
        <v>140000000</v>
      </c>
    </row>
    <row r="13836" spans="1:9" x14ac:dyDescent="0.2">
      <c r="A13836" s="134">
        <v>46098</v>
      </c>
      <c r="B13836" s="135">
        <f>YEAR(source[[#This Row],[report_date]])</f>
        <v>2026</v>
      </c>
      <c r="C13836" s="128">
        <f t="shared" si="647"/>
        <v>3</v>
      </c>
      <c r="D13836" s="136">
        <f t="shared" si="646"/>
        <v>12</v>
      </c>
      <c r="E13836" s="136">
        <f t="shared" si="648"/>
        <v>17</v>
      </c>
      <c r="F13836" s="137" t="s">
        <v>24</v>
      </c>
      <c r="G13836" s="128" t="str">
        <f>VLOOKUP(source[[#This Row],[lending_product_transform]],[3]Mapping!$B$4:$C$37,2,0)</f>
        <v>[Cake] - Cashloan</v>
      </c>
      <c r="H13836" s="128" t="str">
        <f>VLOOKUP(source[[#This Row],[lending_product_transform]],[3]Mapping!$B$3:$D$37,3,0)</f>
        <v>cashloan</v>
      </c>
      <c r="I13836" s="137">
        <v>2809160000</v>
      </c>
    </row>
    <row r="13837" spans="1:9" x14ac:dyDescent="0.2">
      <c r="A13837" s="134">
        <v>46098</v>
      </c>
      <c r="B13837" s="135">
        <f>YEAR(source[[#This Row],[report_date]])</f>
        <v>2026</v>
      </c>
      <c r="C13837" s="128">
        <f t="shared" si="647"/>
        <v>3</v>
      </c>
      <c r="D13837" s="136">
        <f t="shared" si="646"/>
        <v>12</v>
      </c>
      <c r="E13837" s="136">
        <f t="shared" si="648"/>
        <v>17</v>
      </c>
      <c r="F13837" s="137" t="s">
        <v>24</v>
      </c>
      <c r="G13837" s="128" t="str">
        <f>VLOOKUP(source[[#This Row],[lending_product_transform]],[3]Mapping!$B$4:$C$37,2,0)</f>
        <v>[Cake] - Cashloan</v>
      </c>
      <c r="H13837" s="128" t="str">
        <f>VLOOKUP(source[[#This Row],[lending_product_transform]],[3]Mapping!$B$3:$D$37,3,0)</f>
        <v>cashloan</v>
      </c>
      <c r="I13837" s="137">
        <v>833370000</v>
      </c>
    </row>
    <row r="13838" spans="1:9" x14ac:dyDescent="0.2">
      <c r="A13838" s="134">
        <v>46098</v>
      </c>
      <c r="B13838" s="135">
        <f>YEAR(source[[#This Row],[report_date]])</f>
        <v>2026</v>
      </c>
      <c r="C13838" s="128">
        <f t="shared" si="647"/>
        <v>3</v>
      </c>
      <c r="D13838" s="136">
        <f t="shared" si="646"/>
        <v>12</v>
      </c>
      <c r="E13838" s="136">
        <f t="shared" si="648"/>
        <v>17</v>
      </c>
      <c r="F13838" s="137" t="s">
        <v>24</v>
      </c>
      <c r="G13838" s="128" t="str">
        <f>VLOOKUP(source[[#This Row],[lending_product_transform]],[3]Mapping!$B$4:$C$37,2,0)</f>
        <v>[Cake] - Cashloan</v>
      </c>
      <c r="H13838" s="128" t="str">
        <f>VLOOKUP(source[[#This Row],[lending_product_transform]],[3]Mapping!$B$3:$D$37,3,0)</f>
        <v>cashloan</v>
      </c>
      <c r="I13838" s="137">
        <v>8492997</v>
      </c>
    </row>
    <row r="13839" spans="1:9" x14ac:dyDescent="0.2">
      <c r="A13839" s="134">
        <v>46098</v>
      </c>
      <c r="B13839" s="135">
        <f>YEAR(source[[#This Row],[report_date]])</f>
        <v>2026</v>
      </c>
      <c r="C13839" s="128">
        <f t="shared" si="647"/>
        <v>3</v>
      </c>
      <c r="D13839" s="136">
        <f t="shared" si="646"/>
        <v>12</v>
      </c>
      <c r="E13839" s="136">
        <f t="shared" si="648"/>
        <v>17</v>
      </c>
      <c r="F13839" s="137" t="s">
        <v>24</v>
      </c>
      <c r="G13839" s="128" t="str">
        <f>VLOOKUP(source[[#This Row],[lending_product_transform]],[3]Mapping!$B$4:$C$37,2,0)</f>
        <v>[Cake] - Cashloan</v>
      </c>
      <c r="H13839" s="128" t="str">
        <f>VLOOKUP(source[[#This Row],[lending_product_transform]],[3]Mapping!$B$3:$D$37,3,0)</f>
        <v>cashloan</v>
      </c>
      <c r="I13839" s="137">
        <v>974785500</v>
      </c>
    </row>
    <row r="13840" spans="1:9" x14ac:dyDescent="0.2">
      <c r="A13840" s="134">
        <v>46098</v>
      </c>
      <c r="B13840" s="135">
        <f>YEAR(source[[#This Row],[report_date]])</f>
        <v>2026</v>
      </c>
      <c r="C13840" s="128">
        <f t="shared" si="647"/>
        <v>3</v>
      </c>
      <c r="D13840" s="136">
        <f t="shared" si="646"/>
        <v>12</v>
      </c>
      <c r="E13840" s="136">
        <f t="shared" si="648"/>
        <v>17</v>
      </c>
      <c r="F13840" s="137" t="s">
        <v>24</v>
      </c>
      <c r="G13840" s="128" t="str">
        <f>VLOOKUP(source[[#This Row],[lending_product_transform]],[3]Mapping!$B$4:$C$37,2,0)</f>
        <v>[Cake] - Cashloan</v>
      </c>
      <c r="H13840" s="128" t="str">
        <f>VLOOKUP(source[[#This Row],[lending_product_transform]],[3]Mapping!$B$3:$D$37,3,0)</f>
        <v>cashloan</v>
      </c>
      <c r="I13840" s="137">
        <v>0</v>
      </c>
    </row>
    <row r="13841" spans="1:9" x14ac:dyDescent="0.2">
      <c r="A13841" s="134">
        <v>46098</v>
      </c>
      <c r="B13841" s="135">
        <f>YEAR(source[[#This Row],[report_date]])</f>
        <v>2026</v>
      </c>
      <c r="C13841" s="128">
        <f t="shared" si="647"/>
        <v>3</v>
      </c>
      <c r="D13841" s="136">
        <f t="shared" ref="D13841:D13904" si="649">WEEKNUM(A13841,2)</f>
        <v>12</v>
      </c>
      <c r="E13841" s="136">
        <f t="shared" si="648"/>
        <v>17</v>
      </c>
      <c r="F13841" s="137" t="s">
        <v>24</v>
      </c>
      <c r="G13841" s="128" t="str">
        <f>VLOOKUP(source[[#This Row],[lending_product_transform]],[3]Mapping!$B$4:$C$37,2,0)</f>
        <v>[Cake] - Cashloan</v>
      </c>
      <c r="H13841" s="128" t="str">
        <f>VLOOKUP(source[[#This Row],[lending_product_transform]],[3]Mapping!$B$3:$D$37,3,0)</f>
        <v>cashloan</v>
      </c>
      <c r="I13841" s="137">
        <v>41500000</v>
      </c>
    </row>
    <row r="13842" spans="1:9" x14ac:dyDescent="0.2">
      <c r="A13842" s="134">
        <v>46098</v>
      </c>
      <c r="B13842" s="135">
        <f>YEAR(source[[#This Row],[report_date]])</f>
        <v>2026</v>
      </c>
      <c r="C13842" s="128">
        <f t="shared" si="647"/>
        <v>3</v>
      </c>
      <c r="D13842" s="136">
        <f t="shared" si="649"/>
        <v>12</v>
      </c>
      <c r="E13842" s="136">
        <f t="shared" si="648"/>
        <v>17</v>
      </c>
      <c r="F13842" s="137" t="s">
        <v>24</v>
      </c>
      <c r="G13842" s="128" t="str">
        <f>VLOOKUP(source[[#This Row],[lending_product_transform]],[3]Mapping!$B$4:$C$37,2,0)</f>
        <v>[Cake] - Cashloan</v>
      </c>
      <c r="H13842" s="128" t="str">
        <f>VLOOKUP(source[[#This Row],[lending_product_transform]],[3]Mapping!$B$3:$D$37,3,0)</f>
        <v>cashloan</v>
      </c>
      <c r="I13842" s="137">
        <v>0</v>
      </c>
    </row>
    <row r="13843" spans="1:9" x14ac:dyDescent="0.2">
      <c r="A13843" s="134">
        <v>46098</v>
      </c>
      <c r="B13843" s="135">
        <f>YEAR(source[[#This Row],[report_date]])</f>
        <v>2026</v>
      </c>
      <c r="C13843" s="128">
        <f t="shared" si="647"/>
        <v>3</v>
      </c>
      <c r="D13843" s="136">
        <f t="shared" si="649"/>
        <v>12</v>
      </c>
      <c r="E13843" s="136">
        <f t="shared" si="648"/>
        <v>17</v>
      </c>
      <c r="F13843" s="137" t="s">
        <v>24</v>
      </c>
      <c r="G13843" s="128" t="str">
        <f>VLOOKUP(source[[#This Row],[lending_product_transform]],[3]Mapping!$B$4:$C$37,2,0)</f>
        <v>[Cake] - Cashloan</v>
      </c>
      <c r="H13843" s="128" t="str">
        <f>VLOOKUP(source[[#This Row],[lending_product_transform]],[3]Mapping!$B$3:$D$37,3,0)</f>
        <v>cashloan</v>
      </c>
      <c r="I13843" s="137">
        <v>17827750000</v>
      </c>
    </row>
    <row r="13844" spans="1:9" x14ac:dyDescent="0.2">
      <c r="A13844" s="134">
        <v>46098</v>
      </c>
      <c r="B13844" s="135">
        <f>YEAR(source[[#This Row],[report_date]])</f>
        <v>2026</v>
      </c>
      <c r="C13844" s="128">
        <f t="shared" si="647"/>
        <v>3</v>
      </c>
      <c r="D13844" s="136">
        <f t="shared" si="649"/>
        <v>12</v>
      </c>
      <c r="E13844" s="136">
        <f t="shared" si="648"/>
        <v>17</v>
      </c>
      <c r="F13844" s="137" t="s">
        <v>24</v>
      </c>
      <c r="G13844" s="128" t="str">
        <f>VLOOKUP(source[[#This Row],[lending_product_transform]],[3]Mapping!$B$4:$C$37,2,0)</f>
        <v>[Cake] - Cashloan</v>
      </c>
      <c r="H13844" s="128" t="str">
        <f>VLOOKUP(source[[#This Row],[lending_product_transform]],[3]Mapping!$B$3:$D$37,3,0)</f>
        <v>cashloan</v>
      </c>
      <c r="I13844" s="137">
        <v>0</v>
      </c>
    </row>
    <row r="13845" spans="1:9" x14ac:dyDescent="0.2">
      <c r="A13845" s="134">
        <v>46098</v>
      </c>
      <c r="B13845" s="135">
        <f>YEAR(source[[#This Row],[report_date]])</f>
        <v>2026</v>
      </c>
      <c r="C13845" s="128">
        <f t="shared" si="647"/>
        <v>3</v>
      </c>
      <c r="D13845" s="136">
        <f t="shared" si="649"/>
        <v>12</v>
      </c>
      <c r="E13845" s="136">
        <f t="shared" si="648"/>
        <v>17</v>
      </c>
      <c r="F13845" s="137" t="s">
        <v>24</v>
      </c>
      <c r="G13845" s="128" t="str">
        <f>VLOOKUP(source[[#This Row],[lending_product_transform]],[3]Mapping!$B$4:$C$37,2,0)</f>
        <v>[Cake] - Cashloan</v>
      </c>
      <c r="H13845" s="128" t="str">
        <f>VLOOKUP(source[[#This Row],[lending_product_transform]],[3]Mapping!$B$3:$D$37,3,0)</f>
        <v>cashloan</v>
      </c>
      <c r="I13845" s="137">
        <v>0</v>
      </c>
    </row>
    <row r="13846" spans="1:9" x14ac:dyDescent="0.2">
      <c r="A13846" s="134">
        <v>46098</v>
      </c>
      <c r="B13846" s="135">
        <f>YEAR(source[[#This Row],[report_date]])</f>
        <v>2026</v>
      </c>
      <c r="C13846" s="128">
        <f t="shared" si="647"/>
        <v>3</v>
      </c>
      <c r="D13846" s="136">
        <f t="shared" si="649"/>
        <v>12</v>
      </c>
      <c r="E13846" s="136">
        <f t="shared" si="648"/>
        <v>17</v>
      </c>
      <c r="F13846" s="137" t="s">
        <v>24</v>
      </c>
      <c r="G13846" s="128" t="str">
        <f>VLOOKUP(source[[#This Row],[lending_product_transform]],[3]Mapping!$B$4:$C$37,2,0)</f>
        <v>[Cake] - Cashloan</v>
      </c>
      <c r="H13846" s="128" t="str">
        <f>VLOOKUP(source[[#This Row],[lending_product_transform]],[3]Mapping!$B$3:$D$37,3,0)</f>
        <v>cashloan</v>
      </c>
      <c r="I13846" s="137">
        <v>0</v>
      </c>
    </row>
    <row r="13847" spans="1:9" x14ac:dyDescent="0.2">
      <c r="A13847" s="134">
        <v>46098</v>
      </c>
      <c r="B13847" s="135">
        <f>YEAR(source[[#This Row],[report_date]])</f>
        <v>2026</v>
      </c>
      <c r="C13847" s="128">
        <f t="shared" si="647"/>
        <v>3</v>
      </c>
      <c r="D13847" s="136">
        <f t="shared" si="649"/>
        <v>12</v>
      </c>
      <c r="E13847" s="136">
        <f t="shared" si="648"/>
        <v>17</v>
      </c>
      <c r="F13847" s="137" t="s">
        <v>24</v>
      </c>
      <c r="G13847" s="128" t="str">
        <f>VLOOKUP(source[[#This Row],[lending_product_transform]],[3]Mapping!$B$4:$C$37,2,0)</f>
        <v>[Cake] - Cashloan</v>
      </c>
      <c r="H13847" s="128" t="str">
        <f>VLOOKUP(source[[#This Row],[lending_product_transform]],[3]Mapping!$B$3:$D$37,3,0)</f>
        <v>cashloan</v>
      </c>
      <c r="I13847" s="137">
        <v>0</v>
      </c>
    </row>
    <row r="13848" spans="1:9" x14ac:dyDescent="0.2">
      <c r="A13848" s="134">
        <v>46098</v>
      </c>
      <c r="B13848" s="135">
        <f>YEAR(source[[#This Row],[report_date]])</f>
        <v>2026</v>
      </c>
      <c r="C13848" s="128">
        <f t="shared" si="647"/>
        <v>3</v>
      </c>
      <c r="D13848" s="136">
        <f t="shared" si="649"/>
        <v>12</v>
      </c>
      <c r="E13848" s="136">
        <f t="shared" si="648"/>
        <v>17</v>
      </c>
      <c r="F13848" s="137" t="s">
        <v>24</v>
      </c>
      <c r="G13848" s="128" t="str">
        <f>VLOOKUP(source[[#This Row],[lending_product_transform]],[3]Mapping!$B$4:$C$37,2,0)</f>
        <v>[Cake] - Cashloan</v>
      </c>
      <c r="H13848" s="128" t="str">
        <f>VLOOKUP(source[[#This Row],[lending_product_transform]],[3]Mapping!$B$3:$D$37,3,0)</f>
        <v>cashloan</v>
      </c>
      <c r="I13848" s="137">
        <v>11693592000</v>
      </c>
    </row>
    <row r="13849" spans="1:9" x14ac:dyDescent="0.2">
      <c r="A13849" s="134">
        <v>46098</v>
      </c>
      <c r="B13849" s="135">
        <f>YEAR(source[[#This Row],[report_date]])</f>
        <v>2026</v>
      </c>
      <c r="C13849" s="128">
        <f t="shared" si="647"/>
        <v>3</v>
      </c>
      <c r="D13849" s="136">
        <f t="shared" si="649"/>
        <v>12</v>
      </c>
      <c r="E13849" s="136">
        <f t="shared" si="648"/>
        <v>17</v>
      </c>
      <c r="F13849" s="137" t="s">
        <v>24</v>
      </c>
      <c r="G13849" s="128" t="str">
        <f>VLOOKUP(source[[#This Row],[lending_product_transform]],[3]Mapping!$B$4:$C$37,2,0)</f>
        <v>[Cake] - Cashloan</v>
      </c>
      <c r="H13849" s="128" t="str">
        <f>VLOOKUP(source[[#This Row],[lending_product_transform]],[3]Mapping!$B$3:$D$37,3,0)</f>
        <v>cashloan</v>
      </c>
      <c r="I13849" s="137">
        <v>155065377</v>
      </c>
    </row>
    <row r="13850" spans="1:9" x14ac:dyDescent="0.2">
      <c r="A13850" s="134">
        <v>46098</v>
      </c>
      <c r="B13850" s="135">
        <f>YEAR(source[[#This Row],[report_date]])</f>
        <v>2026</v>
      </c>
      <c r="C13850" s="128">
        <f t="shared" si="647"/>
        <v>3</v>
      </c>
      <c r="D13850" s="136">
        <f t="shared" si="649"/>
        <v>12</v>
      </c>
      <c r="E13850" s="136">
        <f t="shared" si="648"/>
        <v>17</v>
      </c>
      <c r="F13850" s="137" t="s">
        <v>24</v>
      </c>
      <c r="G13850" s="128" t="str">
        <f>VLOOKUP(source[[#This Row],[lending_product_transform]],[3]Mapping!$B$4:$C$37,2,0)</f>
        <v>[Cake] - Cashloan</v>
      </c>
      <c r="H13850" s="128" t="str">
        <f>VLOOKUP(source[[#This Row],[lending_product_transform]],[3]Mapping!$B$3:$D$37,3,0)</f>
        <v>cashloan</v>
      </c>
      <c r="I13850" s="137">
        <v>36750000</v>
      </c>
    </row>
    <row r="13851" spans="1:9" x14ac:dyDescent="0.2">
      <c r="A13851" s="134">
        <v>46098</v>
      </c>
      <c r="B13851" s="135">
        <f>YEAR(source[[#This Row],[report_date]])</f>
        <v>2026</v>
      </c>
      <c r="C13851" s="128">
        <f t="shared" si="647"/>
        <v>3</v>
      </c>
      <c r="D13851" s="136">
        <f t="shared" si="649"/>
        <v>12</v>
      </c>
      <c r="E13851" s="136">
        <f t="shared" si="648"/>
        <v>17</v>
      </c>
      <c r="F13851" s="137" t="s">
        <v>24</v>
      </c>
      <c r="G13851" s="128" t="str">
        <f>VLOOKUP(source[[#This Row],[lending_product_transform]],[3]Mapping!$B$4:$C$37,2,0)</f>
        <v>[Cake] - Cashloan</v>
      </c>
      <c r="H13851" s="128" t="str">
        <f>VLOOKUP(source[[#This Row],[lending_product_transform]],[3]Mapping!$B$3:$D$37,3,0)</f>
        <v>cashloan</v>
      </c>
      <c r="I13851" s="137">
        <v>45000000</v>
      </c>
    </row>
    <row r="13852" spans="1:9" x14ac:dyDescent="0.2">
      <c r="A13852" s="134">
        <v>46098</v>
      </c>
      <c r="B13852" s="135">
        <f>YEAR(source[[#This Row],[report_date]])</f>
        <v>2026</v>
      </c>
      <c r="C13852" s="128">
        <f t="shared" si="647"/>
        <v>3</v>
      </c>
      <c r="D13852" s="136">
        <f t="shared" si="649"/>
        <v>12</v>
      </c>
      <c r="E13852" s="136">
        <f t="shared" si="648"/>
        <v>17</v>
      </c>
      <c r="F13852" s="137" t="s">
        <v>24</v>
      </c>
      <c r="G13852" s="128" t="str">
        <f>VLOOKUP(source[[#This Row],[lending_product_transform]],[3]Mapping!$B$4:$C$37,2,0)</f>
        <v>[Cake] - Cashloan</v>
      </c>
      <c r="H13852" s="128" t="str">
        <f>VLOOKUP(source[[#This Row],[lending_product_transform]],[3]Mapping!$B$3:$D$37,3,0)</f>
        <v>cashloan</v>
      </c>
      <c r="I13852" s="137">
        <v>822140000</v>
      </c>
    </row>
    <row r="13853" spans="1:9" x14ac:dyDescent="0.2">
      <c r="A13853" s="134">
        <v>46098</v>
      </c>
      <c r="B13853" s="135">
        <f>YEAR(source[[#This Row],[report_date]])</f>
        <v>2026</v>
      </c>
      <c r="C13853" s="128">
        <f t="shared" si="647"/>
        <v>3</v>
      </c>
      <c r="D13853" s="136">
        <f t="shared" si="649"/>
        <v>12</v>
      </c>
      <c r="E13853" s="136">
        <f t="shared" si="648"/>
        <v>17</v>
      </c>
      <c r="F13853" s="137" t="s">
        <v>24</v>
      </c>
      <c r="G13853" s="128" t="str">
        <f>VLOOKUP(source[[#This Row],[lending_product_transform]],[3]Mapping!$B$4:$C$37,2,0)</f>
        <v>[Cake] - Cashloan</v>
      </c>
      <c r="H13853" s="128" t="str">
        <f>VLOOKUP(source[[#This Row],[lending_product_transform]],[3]Mapping!$B$3:$D$37,3,0)</f>
        <v>cashloan</v>
      </c>
      <c r="I13853" s="137">
        <v>332532000</v>
      </c>
    </row>
    <row r="13854" spans="1:9" x14ac:dyDescent="0.2">
      <c r="A13854" s="134">
        <v>46098</v>
      </c>
      <c r="B13854" s="135">
        <f>YEAR(source[[#This Row],[report_date]])</f>
        <v>2026</v>
      </c>
      <c r="C13854" s="128">
        <f t="shared" si="647"/>
        <v>3</v>
      </c>
      <c r="D13854" s="136">
        <f t="shared" si="649"/>
        <v>12</v>
      </c>
      <c r="E13854" s="136">
        <f t="shared" si="648"/>
        <v>17</v>
      </c>
      <c r="F13854" s="137" t="s">
        <v>24</v>
      </c>
      <c r="G13854" s="128" t="str">
        <f>VLOOKUP(source[[#This Row],[lending_product_transform]],[3]Mapping!$B$4:$C$37,2,0)</f>
        <v>[Cake] - Cashloan</v>
      </c>
      <c r="H13854" s="128" t="str">
        <f>VLOOKUP(source[[#This Row],[lending_product_transform]],[3]Mapping!$B$3:$D$37,3,0)</f>
        <v>cashloan</v>
      </c>
      <c r="I13854" s="137">
        <v>253690101</v>
      </c>
    </row>
    <row r="13855" spans="1:9" x14ac:dyDescent="0.2">
      <c r="A13855" s="134">
        <v>46098</v>
      </c>
      <c r="B13855" s="135">
        <f>YEAR(source[[#This Row],[report_date]])</f>
        <v>2026</v>
      </c>
      <c r="C13855" s="128">
        <f t="shared" si="647"/>
        <v>3</v>
      </c>
      <c r="D13855" s="136">
        <f t="shared" si="649"/>
        <v>12</v>
      </c>
      <c r="E13855" s="136">
        <f t="shared" si="648"/>
        <v>17</v>
      </c>
      <c r="F13855" s="137" t="s">
        <v>24</v>
      </c>
      <c r="G13855" s="128" t="str">
        <f>VLOOKUP(source[[#This Row],[lending_product_transform]],[3]Mapping!$B$4:$C$37,2,0)</f>
        <v>[Cake] - Cashloan</v>
      </c>
      <c r="H13855" s="128" t="str">
        <f>VLOOKUP(source[[#This Row],[lending_product_transform]],[3]Mapping!$B$3:$D$37,3,0)</f>
        <v>cashloan</v>
      </c>
      <c r="I13855" s="137">
        <v>3012840000</v>
      </c>
    </row>
    <row r="13856" spans="1:9" x14ac:dyDescent="0.2">
      <c r="A13856" s="134">
        <v>46098</v>
      </c>
      <c r="B13856" s="135">
        <f>YEAR(source[[#This Row],[report_date]])</f>
        <v>2026</v>
      </c>
      <c r="C13856" s="128">
        <f t="shared" si="647"/>
        <v>3</v>
      </c>
      <c r="D13856" s="136">
        <f t="shared" si="649"/>
        <v>12</v>
      </c>
      <c r="E13856" s="136">
        <f t="shared" si="648"/>
        <v>17</v>
      </c>
      <c r="F13856" s="137" t="s">
        <v>24</v>
      </c>
      <c r="G13856" s="128" t="str">
        <f>VLOOKUP(source[[#This Row],[lending_product_transform]],[3]Mapping!$B$4:$C$37,2,0)</f>
        <v>[Cake] - Cashloan</v>
      </c>
      <c r="H13856" s="128" t="str">
        <f>VLOOKUP(source[[#This Row],[lending_product_transform]],[3]Mapping!$B$3:$D$37,3,0)</f>
        <v>cashloan</v>
      </c>
      <c r="I13856" s="137">
        <v>308016000</v>
      </c>
    </row>
    <row r="13857" spans="1:9" x14ac:dyDescent="0.2">
      <c r="A13857" s="134">
        <v>46099</v>
      </c>
      <c r="B13857" s="135">
        <f>YEAR(source[[#This Row],[report_date]])</f>
        <v>2026</v>
      </c>
      <c r="C13857" s="128">
        <f t="shared" si="647"/>
        <v>3</v>
      </c>
      <c r="D13857" s="136">
        <f t="shared" si="649"/>
        <v>12</v>
      </c>
      <c r="E13857" s="136">
        <f t="shared" si="648"/>
        <v>18</v>
      </c>
      <c r="F13857" s="137" t="s">
        <v>24</v>
      </c>
      <c r="G13857" s="128" t="str">
        <f>VLOOKUP(source[[#This Row],[lending_product_transform]],[3]Mapping!$B$4:$C$37,2,0)</f>
        <v>[Cake] - Cashloan</v>
      </c>
      <c r="H13857" s="128" t="str">
        <f>VLOOKUP(source[[#This Row],[lending_product_transform]],[3]Mapping!$B$3:$D$37,3,0)</f>
        <v>cashloan</v>
      </c>
      <c r="I13857" s="137">
        <v>790190000</v>
      </c>
    </row>
    <row r="13858" spans="1:9" x14ac:dyDescent="0.2">
      <c r="A13858" s="134">
        <v>46099</v>
      </c>
      <c r="B13858" s="135">
        <f>YEAR(source[[#This Row],[report_date]])</f>
        <v>2026</v>
      </c>
      <c r="C13858" s="128">
        <f t="shared" si="647"/>
        <v>3</v>
      </c>
      <c r="D13858" s="136">
        <f t="shared" si="649"/>
        <v>12</v>
      </c>
      <c r="E13858" s="136">
        <f t="shared" si="648"/>
        <v>18</v>
      </c>
      <c r="F13858" s="137" t="s">
        <v>24</v>
      </c>
      <c r="G13858" s="128" t="str">
        <f>VLOOKUP(source[[#This Row],[lending_product_transform]],[3]Mapping!$B$4:$C$37,2,0)</f>
        <v>[Cake] - Cashloan</v>
      </c>
      <c r="H13858" s="128" t="str">
        <f>VLOOKUP(source[[#This Row],[lending_product_transform]],[3]Mapping!$B$3:$D$37,3,0)</f>
        <v>cashloan</v>
      </c>
      <c r="I13858" s="137">
        <v>296570474</v>
      </c>
    </row>
    <row r="13859" spans="1:9" x14ac:dyDescent="0.2">
      <c r="A13859" s="134">
        <v>46099</v>
      </c>
      <c r="B13859" s="135">
        <f>YEAR(source[[#This Row],[report_date]])</f>
        <v>2026</v>
      </c>
      <c r="C13859" s="128">
        <f t="shared" si="647"/>
        <v>3</v>
      </c>
      <c r="D13859" s="136">
        <f t="shared" si="649"/>
        <v>12</v>
      </c>
      <c r="E13859" s="136">
        <f t="shared" si="648"/>
        <v>18</v>
      </c>
      <c r="F13859" s="137" t="s">
        <v>24</v>
      </c>
      <c r="G13859" s="128" t="str">
        <f>VLOOKUP(source[[#This Row],[lending_product_transform]],[3]Mapping!$B$4:$C$37,2,0)</f>
        <v>[Cake] - Cashloan</v>
      </c>
      <c r="H13859" s="128" t="str">
        <f>VLOOKUP(source[[#This Row],[lending_product_transform]],[3]Mapping!$B$3:$D$37,3,0)</f>
        <v>cashloan</v>
      </c>
      <c r="I13859" s="137">
        <v>15602770000</v>
      </c>
    </row>
    <row r="13860" spans="1:9" x14ac:dyDescent="0.2">
      <c r="A13860" s="134">
        <v>46099</v>
      </c>
      <c r="B13860" s="135">
        <f>YEAR(source[[#This Row],[report_date]])</f>
        <v>2026</v>
      </c>
      <c r="C13860" s="128">
        <f t="shared" si="647"/>
        <v>3</v>
      </c>
      <c r="D13860" s="136">
        <f t="shared" si="649"/>
        <v>12</v>
      </c>
      <c r="E13860" s="136">
        <f t="shared" si="648"/>
        <v>18</v>
      </c>
      <c r="F13860" s="137" t="s">
        <v>24</v>
      </c>
      <c r="G13860" s="128" t="str">
        <f>VLOOKUP(source[[#This Row],[lending_product_transform]],[3]Mapping!$B$4:$C$37,2,0)</f>
        <v>[Cake] - Cashloan</v>
      </c>
      <c r="H13860" s="128" t="str">
        <f>VLOOKUP(source[[#This Row],[lending_product_transform]],[3]Mapping!$B$3:$D$37,3,0)</f>
        <v>cashloan</v>
      </c>
      <c r="I13860" s="137">
        <v>1479101155</v>
      </c>
    </row>
    <row r="13861" spans="1:9" x14ac:dyDescent="0.2">
      <c r="A13861" s="134">
        <v>46099</v>
      </c>
      <c r="B13861" s="135">
        <f>YEAR(source[[#This Row],[report_date]])</f>
        <v>2026</v>
      </c>
      <c r="C13861" s="128">
        <f t="shared" si="647"/>
        <v>3</v>
      </c>
      <c r="D13861" s="136">
        <f t="shared" si="649"/>
        <v>12</v>
      </c>
      <c r="E13861" s="136">
        <f t="shared" si="648"/>
        <v>18</v>
      </c>
      <c r="F13861" s="137" t="s">
        <v>24</v>
      </c>
      <c r="G13861" s="128" t="str">
        <f>VLOOKUP(source[[#This Row],[lending_product_transform]],[3]Mapping!$B$4:$C$37,2,0)</f>
        <v>[Cake] - Cashloan</v>
      </c>
      <c r="H13861" s="128" t="str">
        <f>VLOOKUP(source[[#This Row],[lending_product_transform]],[3]Mapping!$B$3:$D$37,3,0)</f>
        <v>cashloan</v>
      </c>
      <c r="I13861" s="137">
        <v>12733848000</v>
      </c>
    </row>
    <row r="13862" spans="1:9" x14ac:dyDescent="0.2">
      <c r="A13862" s="134">
        <v>46099</v>
      </c>
      <c r="B13862" s="135">
        <f>YEAR(source[[#This Row],[report_date]])</f>
        <v>2026</v>
      </c>
      <c r="C13862" s="128">
        <f t="shared" si="647"/>
        <v>3</v>
      </c>
      <c r="D13862" s="136">
        <f t="shared" si="649"/>
        <v>12</v>
      </c>
      <c r="E13862" s="136">
        <f t="shared" si="648"/>
        <v>18</v>
      </c>
      <c r="F13862" s="137" t="s">
        <v>24</v>
      </c>
      <c r="G13862" s="128" t="str">
        <f>VLOOKUP(source[[#This Row],[lending_product_transform]],[3]Mapping!$B$4:$C$37,2,0)</f>
        <v>[Cake] - Cashloan</v>
      </c>
      <c r="H13862" s="128" t="str">
        <f>VLOOKUP(source[[#This Row],[lending_product_transform]],[3]Mapping!$B$3:$D$37,3,0)</f>
        <v>cashloan</v>
      </c>
      <c r="I13862" s="137">
        <v>2074804</v>
      </c>
    </row>
    <row r="13863" spans="1:9" x14ac:dyDescent="0.2">
      <c r="A13863" s="134">
        <v>46099</v>
      </c>
      <c r="B13863" s="135">
        <f>YEAR(source[[#This Row],[report_date]])</f>
        <v>2026</v>
      </c>
      <c r="C13863" s="128">
        <f t="shared" si="647"/>
        <v>3</v>
      </c>
      <c r="D13863" s="136">
        <f t="shared" si="649"/>
        <v>12</v>
      </c>
      <c r="E13863" s="136">
        <f t="shared" si="648"/>
        <v>18</v>
      </c>
      <c r="F13863" s="137" t="s">
        <v>24</v>
      </c>
      <c r="G13863" s="128" t="str">
        <f>VLOOKUP(source[[#This Row],[lending_product_transform]],[3]Mapping!$B$4:$C$37,2,0)</f>
        <v>[Cake] - Cashloan</v>
      </c>
      <c r="H13863" s="128" t="str">
        <f>VLOOKUP(source[[#This Row],[lending_product_transform]],[3]Mapping!$B$3:$D$37,3,0)</f>
        <v>cashloan</v>
      </c>
      <c r="I13863" s="137">
        <v>0</v>
      </c>
    </row>
    <row r="13864" spans="1:9" x14ac:dyDescent="0.2">
      <c r="A13864" s="134">
        <v>46099</v>
      </c>
      <c r="B13864" s="135">
        <f>YEAR(source[[#This Row],[report_date]])</f>
        <v>2026</v>
      </c>
      <c r="C13864" s="128">
        <f t="shared" si="647"/>
        <v>3</v>
      </c>
      <c r="D13864" s="136">
        <f t="shared" si="649"/>
        <v>12</v>
      </c>
      <c r="E13864" s="136">
        <f t="shared" si="648"/>
        <v>18</v>
      </c>
      <c r="F13864" s="137" t="s">
        <v>24</v>
      </c>
      <c r="G13864" s="128" t="str">
        <f>VLOOKUP(source[[#This Row],[lending_product_transform]],[3]Mapping!$B$4:$C$37,2,0)</f>
        <v>[Cake] - Cashloan</v>
      </c>
      <c r="H13864" s="128" t="str">
        <f>VLOOKUP(source[[#This Row],[lending_product_transform]],[3]Mapping!$B$3:$D$37,3,0)</f>
        <v>cashloan</v>
      </c>
      <c r="I13864" s="137">
        <v>2304920000</v>
      </c>
    </row>
    <row r="13865" spans="1:9" x14ac:dyDescent="0.2">
      <c r="A13865" s="134">
        <v>46099</v>
      </c>
      <c r="B13865" s="135">
        <f>YEAR(source[[#This Row],[report_date]])</f>
        <v>2026</v>
      </c>
      <c r="C13865" s="128">
        <f t="shared" si="647"/>
        <v>3</v>
      </c>
      <c r="D13865" s="136">
        <f t="shared" si="649"/>
        <v>12</v>
      </c>
      <c r="E13865" s="136">
        <f t="shared" si="648"/>
        <v>18</v>
      </c>
      <c r="F13865" s="137" t="s">
        <v>24</v>
      </c>
      <c r="G13865" s="128" t="str">
        <f>VLOOKUP(source[[#This Row],[lending_product_transform]],[3]Mapping!$B$4:$C$37,2,0)</f>
        <v>[Cake] - Cashloan</v>
      </c>
      <c r="H13865" s="128" t="str">
        <f>VLOOKUP(source[[#This Row],[lending_product_transform]],[3]Mapping!$B$3:$D$37,3,0)</f>
        <v>cashloan</v>
      </c>
      <c r="I13865" s="137">
        <v>1060050000</v>
      </c>
    </row>
    <row r="13866" spans="1:9" x14ac:dyDescent="0.2">
      <c r="A13866" s="134">
        <v>46099</v>
      </c>
      <c r="B13866" s="135">
        <f>YEAR(source[[#This Row],[report_date]])</f>
        <v>2026</v>
      </c>
      <c r="C13866" s="128">
        <f t="shared" si="647"/>
        <v>3</v>
      </c>
      <c r="D13866" s="136">
        <f t="shared" si="649"/>
        <v>12</v>
      </c>
      <c r="E13866" s="136">
        <f t="shared" si="648"/>
        <v>18</v>
      </c>
      <c r="F13866" s="137" t="s">
        <v>24</v>
      </c>
      <c r="G13866" s="128" t="str">
        <f>VLOOKUP(source[[#This Row],[lending_product_transform]],[3]Mapping!$B$4:$C$37,2,0)</f>
        <v>[Cake] - Cashloan</v>
      </c>
      <c r="H13866" s="128" t="str">
        <f>VLOOKUP(source[[#This Row],[lending_product_transform]],[3]Mapping!$B$3:$D$37,3,0)</f>
        <v>cashloan</v>
      </c>
      <c r="I13866" s="137">
        <v>2390000</v>
      </c>
    </row>
    <row r="13867" spans="1:9" x14ac:dyDescent="0.2">
      <c r="A13867" s="134">
        <v>46099</v>
      </c>
      <c r="B13867" s="135">
        <f>YEAR(source[[#This Row],[report_date]])</f>
        <v>2026</v>
      </c>
      <c r="C13867" s="128">
        <f t="shared" si="647"/>
        <v>3</v>
      </c>
      <c r="D13867" s="136">
        <f t="shared" si="649"/>
        <v>12</v>
      </c>
      <c r="E13867" s="136">
        <f t="shared" si="648"/>
        <v>18</v>
      </c>
      <c r="F13867" s="137" t="s">
        <v>24</v>
      </c>
      <c r="G13867" s="128" t="str">
        <f>VLOOKUP(source[[#This Row],[lending_product_transform]],[3]Mapping!$B$4:$C$37,2,0)</f>
        <v>[Cake] - Cashloan</v>
      </c>
      <c r="H13867" s="128" t="str">
        <f>VLOOKUP(source[[#This Row],[lending_product_transform]],[3]Mapping!$B$3:$D$37,3,0)</f>
        <v>cashloan</v>
      </c>
      <c r="I13867" s="137">
        <v>861633067</v>
      </c>
    </row>
    <row r="13868" spans="1:9" x14ac:dyDescent="0.2">
      <c r="A13868" s="134">
        <v>46099</v>
      </c>
      <c r="B13868" s="135">
        <f>YEAR(source[[#This Row],[report_date]])</f>
        <v>2026</v>
      </c>
      <c r="C13868" s="128">
        <f t="shared" si="647"/>
        <v>3</v>
      </c>
      <c r="D13868" s="136">
        <f t="shared" si="649"/>
        <v>12</v>
      </c>
      <c r="E13868" s="136">
        <f t="shared" si="648"/>
        <v>18</v>
      </c>
      <c r="F13868" s="137" t="s">
        <v>24</v>
      </c>
      <c r="G13868" s="128" t="str">
        <f>VLOOKUP(source[[#This Row],[lending_product_transform]],[3]Mapping!$B$4:$C$37,2,0)</f>
        <v>[Cake] - Cashloan</v>
      </c>
      <c r="H13868" s="128" t="str">
        <f>VLOOKUP(source[[#This Row],[lending_product_transform]],[3]Mapping!$B$3:$D$37,3,0)</f>
        <v>cashloan</v>
      </c>
      <c r="I13868" s="137">
        <v>0</v>
      </c>
    </row>
    <row r="13869" spans="1:9" x14ac:dyDescent="0.2">
      <c r="A13869" s="134">
        <v>46099</v>
      </c>
      <c r="B13869" s="135">
        <f>YEAR(source[[#This Row],[report_date]])</f>
        <v>2026</v>
      </c>
      <c r="C13869" s="128">
        <f t="shared" si="647"/>
        <v>3</v>
      </c>
      <c r="D13869" s="136">
        <f t="shared" si="649"/>
        <v>12</v>
      </c>
      <c r="E13869" s="136">
        <f t="shared" si="648"/>
        <v>18</v>
      </c>
      <c r="F13869" s="137" t="s">
        <v>24</v>
      </c>
      <c r="G13869" s="128" t="str">
        <f>VLOOKUP(source[[#This Row],[lending_product_transform]],[3]Mapping!$B$4:$C$37,2,0)</f>
        <v>[Cake] - Cashloan</v>
      </c>
      <c r="H13869" s="128" t="str">
        <f>VLOOKUP(source[[#This Row],[lending_product_transform]],[3]Mapping!$B$3:$D$37,3,0)</f>
        <v>cashloan</v>
      </c>
      <c r="I13869" s="137">
        <v>57250000</v>
      </c>
    </row>
    <row r="13870" spans="1:9" x14ac:dyDescent="0.2">
      <c r="A13870" s="134">
        <v>46099</v>
      </c>
      <c r="B13870" s="135">
        <f>YEAR(source[[#This Row],[report_date]])</f>
        <v>2026</v>
      </c>
      <c r="C13870" s="128">
        <f t="shared" si="647"/>
        <v>3</v>
      </c>
      <c r="D13870" s="136">
        <f t="shared" si="649"/>
        <v>12</v>
      </c>
      <c r="E13870" s="136">
        <f t="shared" si="648"/>
        <v>18</v>
      </c>
      <c r="F13870" s="137" t="s">
        <v>24</v>
      </c>
      <c r="G13870" s="128" t="str">
        <f>VLOOKUP(source[[#This Row],[lending_product_transform]],[3]Mapping!$B$4:$C$37,2,0)</f>
        <v>[Cake] - Cashloan</v>
      </c>
      <c r="H13870" s="128" t="str">
        <f>VLOOKUP(source[[#This Row],[lending_product_transform]],[3]Mapping!$B$3:$D$37,3,0)</f>
        <v>cashloan</v>
      </c>
      <c r="I13870" s="137">
        <v>0</v>
      </c>
    </row>
    <row r="13871" spans="1:9" x14ac:dyDescent="0.2">
      <c r="A13871" s="134">
        <v>46099</v>
      </c>
      <c r="B13871" s="135">
        <f>YEAR(source[[#This Row],[report_date]])</f>
        <v>2026</v>
      </c>
      <c r="C13871" s="128">
        <f t="shared" si="647"/>
        <v>3</v>
      </c>
      <c r="D13871" s="136">
        <f t="shared" si="649"/>
        <v>12</v>
      </c>
      <c r="E13871" s="136">
        <f t="shared" si="648"/>
        <v>18</v>
      </c>
      <c r="F13871" s="137" t="s">
        <v>24</v>
      </c>
      <c r="G13871" s="128" t="str">
        <f>VLOOKUP(source[[#This Row],[lending_product_transform]],[3]Mapping!$B$4:$C$37,2,0)</f>
        <v>[Cake] - Cashloan</v>
      </c>
      <c r="H13871" s="128" t="str">
        <f>VLOOKUP(source[[#This Row],[lending_product_transform]],[3]Mapping!$B$3:$D$37,3,0)</f>
        <v>cashloan</v>
      </c>
      <c r="I13871" s="137">
        <v>18102430000</v>
      </c>
    </row>
    <row r="13872" spans="1:9" x14ac:dyDescent="0.2">
      <c r="A13872" s="134">
        <v>46099</v>
      </c>
      <c r="B13872" s="135">
        <f>YEAR(source[[#This Row],[report_date]])</f>
        <v>2026</v>
      </c>
      <c r="C13872" s="128">
        <f t="shared" si="647"/>
        <v>3</v>
      </c>
      <c r="D13872" s="136">
        <f t="shared" si="649"/>
        <v>12</v>
      </c>
      <c r="E13872" s="136">
        <f t="shared" si="648"/>
        <v>18</v>
      </c>
      <c r="F13872" s="137" t="s">
        <v>24</v>
      </c>
      <c r="G13872" s="128" t="str">
        <f>VLOOKUP(source[[#This Row],[lending_product_transform]],[3]Mapping!$B$4:$C$37,2,0)</f>
        <v>[Cake] - Cashloan</v>
      </c>
      <c r="H13872" s="128" t="str">
        <f>VLOOKUP(source[[#This Row],[lending_product_transform]],[3]Mapping!$B$3:$D$37,3,0)</f>
        <v>cashloan</v>
      </c>
      <c r="I13872" s="137">
        <v>0</v>
      </c>
    </row>
    <row r="13873" spans="1:9" x14ac:dyDescent="0.2">
      <c r="A13873" s="134">
        <v>46099</v>
      </c>
      <c r="B13873" s="135">
        <f>YEAR(source[[#This Row],[report_date]])</f>
        <v>2026</v>
      </c>
      <c r="C13873" s="128">
        <f t="shared" si="647"/>
        <v>3</v>
      </c>
      <c r="D13873" s="136">
        <f t="shared" si="649"/>
        <v>12</v>
      </c>
      <c r="E13873" s="136">
        <f t="shared" si="648"/>
        <v>18</v>
      </c>
      <c r="F13873" s="137" t="s">
        <v>24</v>
      </c>
      <c r="G13873" s="128" t="str">
        <f>VLOOKUP(source[[#This Row],[lending_product_transform]],[3]Mapping!$B$4:$C$37,2,0)</f>
        <v>[Cake] - Cashloan</v>
      </c>
      <c r="H13873" s="128" t="str">
        <f>VLOOKUP(source[[#This Row],[lending_product_transform]],[3]Mapping!$B$3:$D$37,3,0)</f>
        <v>cashloan</v>
      </c>
      <c r="I13873" s="137">
        <v>0</v>
      </c>
    </row>
    <row r="13874" spans="1:9" x14ac:dyDescent="0.2">
      <c r="A13874" s="134">
        <v>46099</v>
      </c>
      <c r="B13874" s="135">
        <f>YEAR(source[[#This Row],[report_date]])</f>
        <v>2026</v>
      </c>
      <c r="C13874" s="128">
        <f t="shared" si="647"/>
        <v>3</v>
      </c>
      <c r="D13874" s="136">
        <f t="shared" si="649"/>
        <v>12</v>
      </c>
      <c r="E13874" s="136">
        <f t="shared" si="648"/>
        <v>18</v>
      </c>
      <c r="F13874" s="137" t="s">
        <v>24</v>
      </c>
      <c r="G13874" s="128" t="str">
        <f>VLOOKUP(source[[#This Row],[lending_product_transform]],[3]Mapping!$B$4:$C$37,2,0)</f>
        <v>[Cake] - Cashloan</v>
      </c>
      <c r="H13874" s="128" t="str">
        <f>VLOOKUP(source[[#This Row],[lending_product_transform]],[3]Mapping!$B$3:$D$37,3,0)</f>
        <v>cashloan</v>
      </c>
      <c r="I13874" s="137">
        <v>0</v>
      </c>
    </row>
    <row r="13875" spans="1:9" x14ac:dyDescent="0.2">
      <c r="A13875" s="134">
        <v>46099</v>
      </c>
      <c r="B13875" s="135">
        <f>YEAR(source[[#This Row],[report_date]])</f>
        <v>2026</v>
      </c>
      <c r="C13875" s="128">
        <f t="shared" si="647"/>
        <v>3</v>
      </c>
      <c r="D13875" s="136">
        <f t="shared" si="649"/>
        <v>12</v>
      </c>
      <c r="E13875" s="136">
        <f t="shared" si="648"/>
        <v>18</v>
      </c>
      <c r="F13875" s="137" t="s">
        <v>24</v>
      </c>
      <c r="G13875" s="128" t="str">
        <f>VLOOKUP(source[[#This Row],[lending_product_transform]],[3]Mapping!$B$4:$C$37,2,0)</f>
        <v>[Cake] - Cashloan</v>
      </c>
      <c r="H13875" s="128" t="str">
        <f>VLOOKUP(source[[#This Row],[lending_product_transform]],[3]Mapping!$B$3:$D$37,3,0)</f>
        <v>cashloan</v>
      </c>
      <c r="I13875" s="137">
        <v>0</v>
      </c>
    </row>
    <row r="13876" spans="1:9" x14ac:dyDescent="0.2">
      <c r="A13876" s="134">
        <v>46099</v>
      </c>
      <c r="B13876" s="135">
        <f>YEAR(source[[#This Row],[report_date]])</f>
        <v>2026</v>
      </c>
      <c r="C13876" s="128">
        <f t="shared" si="647"/>
        <v>3</v>
      </c>
      <c r="D13876" s="136">
        <f t="shared" si="649"/>
        <v>12</v>
      </c>
      <c r="E13876" s="136">
        <f t="shared" si="648"/>
        <v>18</v>
      </c>
      <c r="F13876" s="137" t="s">
        <v>24</v>
      </c>
      <c r="G13876" s="128" t="str">
        <f>VLOOKUP(source[[#This Row],[lending_product_transform]],[3]Mapping!$B$4:$C$37,2,0)</f>
        <v>[Cake] - Cashloan</v>
      </c>
      <c r="H13876" s="128" t="str">
        <f>VLOOKUP(source[[#This Row],[lending_product_transform]],[3]Mapping!$B$3:$D$37,3,0)</f>
        <v>cashloan</v>
      </c>
      <c r="I13876" s="137">
        <v>11252088000</v>
      </c>
    </row>
    <row r="13877" spans="1:9" x14ac:dyDescent="0.2">
      <c r="A13877" s="134">
        <v>46099</v>
      </c>
      <c r="B13877" s="135">
        <f>YEAR(source[[#This Row],[report_date]])</f>
        <v>2026</v>
      </c>
      <c r="C13877" s="128">
        <f t="shared" si="647"/>
        <v>3</v>
      </c>
      <c r="D13877" s="136">
        <f t="shared" si="649"/>
        <v>12</v>
      </c>
      <c r="E13877" s="136">
        <f t="shared" si="648"/>
        <v>18</v>
      </c>
      <c r="F13877" s="137" t="s">
        <v>24</v>
      </c>
      <c r="G13877" s="128" t="str">
        <f>VLOOKUP(source[[#This Row],[lending_product_transform]],[3]Mapping!$B$4:$C$37,2,0)</f>
        <v>[Cake] - Cashloan</v>
      </c>
      <c r="H13877" s="128" t="str">
        <f>VLOOKUP(source[[#This Row],[lending_product_transform]],[3]Mapping!$B$3:$D$37,3,0)</f>
        <v>cashloan</v>
      </c>
      <c r="I13877" s="137">
        <v>133540913</v>
      </c>
    </row>
    <row r="13878" spans="1:9" x14ac:dyDescent="0.2">
      <c r="A13878" s="134">
        <v>46099</v>
      </c>
      <c r="B13878" s="135">
        <f>YEAR(source[[#This Row],[report_date]])</f>
        <v>2026</v>
      </c>
      <c r="C13878" s="128">
        <f t="shared" ref="C13878:C13941" si="650">MONTH(A13878)</f>
        <v>3</v>
      </c>
      <c r="D13878" s="136">
        <f t="shared" si="649"/>
        <v>12</v>
      </c>
      <c r="E13878" s="136">
        <f t="shared" ref="E13878:E13941" si="651">DAY(A13878)</f>
        <v>18</v>
      </c>
      <c r="F13878" s="137" t="s">
        <v>24</v>
      </c>
      <c r="G13878" s="128" t="str">
        <f>VLOOKUP(source[[#This Row],[lending_product_transform]],[3]Mapping!$B$4:$C$37,2,0)</f>
        <v>[Cake] - Cashloan</v>
      </c>
      <c r="H13878" s="128" t="str">
        <f>VLOOKUP(source[[#This Row],[lending_product_transform]],[3]Mapping!$B$3:$D$37,3,0)</f>
        <v>cashloan</v>
      </c>
      <c r="I13878" s="137">
        <v>68250000</v>
      </c>
    </row>
    <row r="13879" spans="1:9" x14ac:dyDescent="0.2">
      <c r="A13879" s="134">
        <v>46099</v>
      </c>
      <c r="B13879" s="135">
        <f>YEAR(source[[#This Row],[report_date]])</f>
        <v>2026</v>
      </c>
      <c r="C13879" s="128">
        <f t="shared" si="650"/>
        <v>3</v>
      </c>
      <c r="D13879" s="136">
        <f t="shared" si="649"/>
        <v>12</v>
      </c>
      <c r="E13879" s="136">
        <f t="shared" si="651"/>
        <v>18</v>
      </c>
      <c r="F13879" s="137" t="s">
        <v>24</v>
      </c>
      <c r="G13879" s="128" t="str">
        <f>VLOOKUP(source[[#This Row],[lending_product_transform]],[3]Mapping!$B$4:$C$37,2,0)</f>
        <v>[Cake] - Cashloan</v>
      </c>
      <c r="H13879" s="128" t="str">
        <f>VLOOKUP(source[[#This Row],[lending_product_transform]],[3]Mapping!$B$3:$D$37,3,0)</f>
        <v>cashloan</v>
      </c>
      <c r="I13879" s="137">
        <v>41000000</v>
      </c>
    </row>
    <row r="13880" spans="1:9" x14ac:dyDescent="0.2">
      <c r="A13880" s="134">
        <v>46099</v>
      </c>
      <c r="B13880" s="135">
        <f>YEAR(source[[#This Row],[report_date]])</f>
        <v>2026</v>
      </c>
      <c r="C13880" s="128">
        <f t="shared" si="650"/>
        <v>3</v>
      </c>
      <c r="D13880" s="136">
        <f t="shared" si="649"/>
        <v>12</v>
      </c>
      <c r="E13880" s="136">
        <f t="shared" si="651"/>
        <v>18</v>
      </c>
      <c r="F13880" s="137" t="s">
        <v>24</v>
      </c>
      <c r="G13880" s="128" t="str">
        <f>VLOOKUP(source[[#This Row],[lending_product_transform]],[3]Mapping!$B$4:$C$37,2,0)</f>
        <v>[Cake] - Cashloan</v>
      </c>
      <c r="H13880" s="128" t="str">
        <f>VLOOKUP(source[[#This Row],[lending_product_transform]],[3]Mapping!$B$3:$D$37,3,0)</f>
        <v>cashloan</v>
      </c>
      <c r="I13880" s="137">
        <v>843090000</v>
      </c>
    </row>
    <row r="13881" spans="1:9" x14ac:dyDescent="0.2">
      <c r="A13881" s="134">
        <v>46099</v>
      </c>
      <c r="B13881" s="135">
        <f>YEAR(source[[#This Row],[report_date]])</f>
        <v>2026</v>
      </c>
      <c r="C13881" s="128">
        <f t="shared" si="650"/>
        <v>3</v>
      </c>
      <c r="D13881" s="136">
        <f t="shared" si="649"/>
        <v>12</v>
      </c>
      <c r="E13881" s="136">
        <f t="shared" si="651"/>
        <v>18</v>
      </c>
      <c r="F13881" s="137" t="s">
        <v>24</v>
      </c>
      <c r="G13881" s="128" t="str">
        <f>VLOOKUP(source[[#This Row],[lending_product_transform]],[3]Mapping!$B$4:$C$37,2,0)</f>
        <v>[Cake] - Cashloan</v>
      </c>
      <c r="H13881" s="128" t="str">
        <f>VLOOKUP(source[[#This Row],[lending_product_transform]],[3]Mapping!$B$3:$D$37,3,0)</f>
        <v>cashloan</v>
      </c>
      <c r="I13881" s="137">
        <v>337176000</v>
      </c>
    </row>
    <row r="13882" spans="1:9" x14ac:dyDescent="0.2">
      <c r="A13882" s="134">
        <v>46099</v>
      </c>
      <c r="B13882" s="135">
        <f>YEAR(source[[#This Row],[report_date]])</f>
        <v>2026</v>
      </c>
      <c r="C13882" s="128">
        <f t="shared" si="650"/>
        <v>3</v>
      </c>
      <c r="D13882" s="136">
        <f t="shared" si="649"/>
        <v>12</v>
      </c>
      <c r="E13882" s="136">
        <f t="shared" si="651"/>
        <v>18</v>
      </c>
      <c r="F13882" s="137" t="s">
        <v>24</v>
      </c>
      <c r="G13882" s="128" t="str">
        <f>VLOOKUP(source[[#This Row],[lending_product_transform]],[3]Mapping!$B$4:$C$37,2,0)</f>
        <v>[Cake] - Cashloan</v>
      </c>
      <c r="H13882" s="128" t="str">
        <f>VLOOKUP(source[[#This Row],[lending_product_transform]],[3]Mapping!$B$3:$D$37,3,0)</f>
        <v>cashloan</v>
      </c>
      <c r="I13882" s="137">
        <v>206571311</v>
      </c>
    </row>
    <row r="13883" spans="1:9" x14ac:dyDescent="0.2">
      <c r="A13883" s="134">
        <v>46099</v>
      </c>
      <c r="B13883" s="135">
        <f>YEAR(source[[#This Row],[report_date]])</f>
        <v>2026</v>
      </c>
      <c r="C13883" s="128">
        <f t="shared" si="650"/>
        <v>3</v>
      </c>
      <c r="D13883" s="136">
        <f t="shared" si="649"/>
        <v>12</v>
      </c>
      <c r="E13883" s="136">
        <f t="shared" si="651"/>
        <v>18</v>
      </c>
      <c r="F13883" s="137" t="s">
        <v>24</v>
      </c>
      <c r="G13883" s="128" t="str">
        <f>VLOOKUP(source[[#This Row],[lending_product_transform]],[3]Mapping!$B$4:$C$37,2,0)</f>
        <v>[Cake] - Cashloan</v>
      </c>
      <c r="H13883" s="128" t="str">
        <f>VLOOKUP(source[[#This Row],[lending_product_transform]],[3]Mapping!$B$3:$D$37,3,0)</f>
        <v>cashloan</v>
      </c>
      <c r="I13883" s="137">
        <v>2777110000</v>
      </c>
    </row>
    <row r="13884" spans="1:9" x14ac:dyDescent="0.2">
      <c r="A13884" s="134">
        <v>46099</v>
      </c>
      <c r="B13884" s="135">
        <f>YEAR(source[[#This Row],[report_date]])</f>
        <v>2026</v>
      </c>
      <c r="C13884" s="128">
        <f t="shared" si="650"/>
        <v>3</v>
      </c>
      <c r="D13884" s="136">
        <f t="shared" si="649"/>
        <v>12</v>
      </c>
      <c r="E13884" s="136">
        <f t="shared" si="651"/>
        <v>18</v>
      </c>
      <c r="F13884" s="137" t="s">
        <v>24</v>
      </c>
      <c r="G13884" s="128" t="str">
        <f>VLOOKUP(source[[#This Row],[lending_product_transform]],[3]Mapping!$B$4:$C$37,2,0)</f>
        <v>[Cake] - Cashloan</v>
      </c>
      <c r="H13884" s="128" t="str">
        <f>VLOOKUP(source[[#This Row],[lending_product_transform]],[3]Mapping!$B$3:$D$37,3,0)</f>
        <v>cashloan</v>
      </c>
      <c r="I13884" s="137">
        <v>326268000</v>
      </c>
    </row>
    <row r="13885" spans="1:9" x14ac:dyDescent="0.2">
      <c r="A13885" s="134">
        <v>46100</v>
      </c>
      <c r="B13885" s="135">
        <f>YEAR(source[[#This Row],[report_date]])</f>
        <v>2026</v>
      </c>
      <c r="C13885" s="128">
        <f t="shared" si="650"/>
        <v>3</v>
      </c>
      <c r="D13885" s="136">
        <f t="shared" si="649"/>
        <v>12</v>
      </c>
      <c r="E13885" s="136">
        <f t="shared" si="651"/>
        <v>19</v>
      </c>
      <c r="F13885" s="137" t="s">
        <v>24</v>
      </c>
      <c r="G13885" s="128" t="str">
        <f>VLOOKUP(source[[#This Row],[lending_product_transform]],[3]Mapping!$B$4:$C$37,2,0)</f>
        <v>[Cake] - Cashloan</v>
      </c>
      <c r="H13885" s="128" t="str">
        <f>VLOOKUP(source[[#This Row],[lending_product_transform]],[3]Mapping!$B$3:$D$37,3,0)</f>
        <v>cashloan</v>
      </c>
      <c r="I13885" s="137">
        <v>753550000</v>
      </c>
    </row>
    <row r="13886" spans="1:9" x14ac:dyDescent="0.2">
      <c r="A13886" s="134">
        <v>46100</v>
      </c>
      <c r="B13886" s="135">
        <f>YEAR(source[[#This Row],[report_date]])</f>
        <v>2026</v>
      </c>
      <c r="C13886" s="128">
        <f t="shared" si="650"/>
        <v>3</v>
      </c>
      <c r="D13886" s="136">
        <f t="shared" si="649"/>
        <v>12</v>
      </c>
      <c r="E13886" s="136">
        <f t="shared" si="651"/>
        <v>19</v>
      </c>
      <c r="F13886" s="137" t="s">
        <v>24</v>
      </c>
      <c r="G13886" s="128" t="str">
        <f>VLOOKUP(source[[#This Row],[lending_product_transform]],[3]Mapping!$B$4:$C$37,2,0)</f>
        <v>[Cake] - Cashloan</v>
      </c>
      <c r="H13886" s="128" t="str">
        <f>VLOOKUP(source[[#This Row],[lending_product_transform]],[3]Mapping!$B$3:$D$37,3,0)</f>
        <v>cashloan</v>
      </c>
      <c r="I13886" s="137">
        <v>306159731</v>
      </c>
    </row>
    <row r="13887" spans="1:9" x14ac:dyDescent="0.2">
      <c r="A13887" s="134">
        <v>46100</v>
      </c>
      <c r="B13887" s="135">
        <f>YEAR(source[[#This Row],[report_date]])</f>
        <v>2026</v>
      </c>
      <c r="C13887" s="128">
        <f t="shared" si="650"/>
        <v>3</v>
      </c>
      <c r="D13887" s="136">
        <f t="shared" si="649"/>
        <v>12</v>
      </c>
      <c r="E13887" s="136">
        <f t="shared" si="651"/>
        <v>19</v>
      </c>
      <c r="F13887" s="137" t="s">
        <v>24</v>
      </c>
      <c r="G13887" s="128" t="str">
        <f>VLOOKUP(source[[#This Row],[lending_product_transform]],[3]Mapping!$B$4:$C$37,2,0)</f>
        <v>[Cake] - Cashloan</v>
      </c>
      <c r="H13887" s="128" t="str">
        <f>VLOOKUP(source[[#This Row],[lending_product_transform]],[3]Mapping!$B$3:$D$37,3,0)</f>
        <v>cashloan</v>
      </c>
      <c r="I13887" s="137">
        <v>16671240000</v>
      </c>
    </row>
    <row r="13888" spans="1:9" x14ac:dyDescent="0.2">
      <c r="A13888" s="134">
        <v>46100</v>
      </c>
      <c r="B13888" s="135">
        <f>YEAR(source[[#This Row],[report_date]])</f>
        <v>2026</v>
      </c>
      <c r="C13888" s="128">
        <f t="shared" si="650"/>
        <v>3</v>
      </c>
      <c r="D13888" s="136">
        <f t="shared" si="649"/>
        <v>12</v>
      </c>
      <c r="E13888" s="136">
        <f t="shared" si="651"/>
        <v>19</v>
      </c>
      <c r="F13888" s="137" t="s">
        <v>24</v>
      </c>
      <c r="G13888" s="128" t="str">
        <f>VLOOKUP(source[[#This Row],[lending_product_transform]],[3]Mapping!$B$4:$C$37,2,0)</f>
        <v>[Cake] - Cashloan</v>
      </c>
      <c r="H13888" s="128" t="str">
        <f>VLOOKUP(source[[#This Row],[lending_product_transform]],[3]Mapping!$B$3:$D$37,3,0)</f>
        <v>cashloan</v>
      </c>
      <c r="I13888" s="137">
        <v>1463978226</v>
      </c>
    </row>
    <row r="13889" spans="1:9" x14ac:dyDescent="0.2">
      <c r="A13889" s="134">
        <v>46100</v>
      </c>
      <c r="B13889" s="135">
        <f>YEAR(source[[#This Row],[report_date]])</f>
        <v>2026</v>
      </c>
      <c r="C13889" s="128">
        <f t="shared" si="650"/>
        <v>3</v>
      </c>
      <c r="D13889" s="136">
        <f t="shared" si="649"/>
        <v>12</v>
      </c>
      <c r="E13889" s="136">
        <f t="shared" si="651"/>
        <v>19</v>
      </c>
      <c r="F13889" s="137" t="s">
        <v>24</v>
      </c>
      <c r="G13889" s="128" t="str">
        <f>VLOOKUP(source[[#This Row],[lending_product_transform]],[3]Mapping!$B$4:$C$37,2,0)</f>
        <v>[Cake] - Cashloan</v>
      </c>
      <c r="H13889" s="128" t="str">
        <f>VLOOKUP(source[[#This Row],[lending_product_transform]],[3]Mapping!$B$3:$D$37,3,0)</f>
        <v>cashloan</v>
      </c>
      <c r="I13889" s="137">
        <v>12993696000</v>
      </c>
    </row>
    <row r="13890" spans="1:9" x14ac:dyDescent="0.2">
      <c r="A13890" s="134">
        <v>46100</v>
      </c>
      <c r="B13890" s="135">
        <f>YEAR(source[[#This Row],[report_date]])</f>
        <v>2026</v>
      </c>
      <c r="C13890" s="128">
        <f t="shared" si="650"/>
        <v>3</v>
      </c>
      <c r="D13890" s="136">
        <f t="shared" si="649"/>
        <v>12</v>
      </c>
      <c r="E13890" s="136">
        <f t="shared" si="651"/>
        <v>19</v>
      </c>
      <c r="F13890" s="137" t="s">
        <v>24</v>
      </c>
      <c r="G13890" s="128" t="str">
        <f>VLOOKUP(source[[#This Row],[lending_product_transform]],[3]Mapping!$B$4:$C$37,2,0)</f>
        <v>[Cake] - Cashloan</v>
      </c>
      <c r="H13890" s="128" t="str">
        <f>VLOOKUP(source[[#This Row],[lending_product_transform]],[3]Mapping!$B$3:$D$37,3,0)</f>
        <v>cashloan</v>
      </c>
      <c r="I13890" s="137">
        <v>0</v>
      </c>
    </row>
    <row r="13891" spans="1:9" x14ac:dyDescent="0.2">
      <c r="A13891" s="134">
        <v>46100</v>
      </c>
      <c r="B13891" s="135">
        <f>YEAR(source[[#This Row],[report_date]])</f>
        <v>2026</v>
      </c>
      <c r="C13891" s="128">
        <f t="shared" si="650"/>
        <v>3</v>
      </c>
      <c r="D13891" s="136">
        <f t="shared" si="649"/>
        <v>12</v>
      </c>
      <c r="E13891" s="136">
        <f t="shared" si="651"/>
        <v>19</v>
      </c>
      <c r="F13891" s="137" t="s">
        <v>24</v>
      </c>
      <c r="G13891" s="128" t="str">
        <f>VLOOKUP(source[[#This Row],[lending_product_transform]],[3]Mapping!$B$4:$C$37,2,0)</f>
        <v>[Cake] - Cashloan</v>
      </c>
      <c r="H13891" s="128" t="str">
        <f>VLOOKUP(source[[#This Row],[lending_product_transform]],[3]Mapping!$B$3:$D$37,3,0)</f>
        <v>cashloan</v>
      </c>
      <c r="I13891" s="137">
        <v>0</v>
      </c>
    </row>
    <row r="13892" spans="1:9" x14ac:dyDescent="0.2">
      <c r="A13892" s="134">
        <v>46100</v>
      </c>
      <c r="B13892" s="135">
        <f>YEAR(source[[#This Row],[report_date]])</f>
        <v>2026</v>
      </c>
      <c r="C13892" s="128">
        <f t="shared" si="650"/>
        <v>3</v>
      </c>
      <c r="D13892" s="136">
        <f t="shared" si="649"/>
        <v>12</v>
      </c>
      <c r="E13892" s="136">
        <f t="shared" si="651"/>
        <v>19</v>
      </c>
      <c r="F13892" s="137" t="s">
        <v>24</v>
      </c>
      <c r="G13892" s="128" t="str">
        <f>VLOOKUP(source[[#This Row],[lending_product_transform]],[3]Mapping!$B$4:$C$37,2,0)</f>
        <v>[Cake] - Cashloan</v>
      </c>
      <c r="H13892" s="128" t="str">
        <f>VLOOKUP(source[[#This Row],[lending_product_transform]],[3]Mapping!$B$3:$D$37,3,0)</f>
        <v>cashloan</v>
      </c>
      <c r="I13892" s="137">
        <v>2331900000</v>
      </c>
    </row>
    <row r="13893" spans="1:9" x14ac:dyDescent="0.2">
      <c r="A13893" s="134">
        <v>46100</v>
      </c>
      <c r="B13893" s="135">
        <f>YEAR(source[[#This Row],[report_date]])</f>
        <v>2026</v>
      </c>
      <c r="C13893" s="128">
        <f t="shared" si="650"/>
        <v>3</v>
      </c>
      <c r="D13893" s="136">
        <f t="shared" si="649"/>
        <v>12</v>
      </c>
      <c r="E13893" s="136">
        <f t="shared" si="651"/>
        <v>19</v>
      </c>
      <c r="F13893" s="137" t="s">
        <v>24</v>
      </c>
      <c r="G13893" s="128" t="str">
        <f>VLOOKUP(source[[#This Row],[lending_product_transform]],[3]Mapping!$B$4:$C$37,2,0)</f>
        <v>[Cake] - Cashloan</v>
      </c>
      <c r="H13893" s="128" t="str">
        <f>VLOOKUP(source[[#This Row],[lending_product_transform]],[3]Mapping!$B$3:$D$37,3,0)</f>
        <v>cashloan</v>
      </c>
      <c r="I13893" s="137">
        <v>646270000</v>
      </c>
    </row>
    <row r="13894" spans="1:9" x14ac:dyDescent="0.2">
      <c r="A13894" s="134">
        <v>46100</v>
      </c>
      <c r="B13894" s="135">
        <f>YEAR(source[[#This Row],[report_date]])</f>
        <v>2026</v>
      </c>
      <c r="C13894" s="128">
        <f t="shared" si="650"/>
        <v>3</v>
      </c>
      <c r="D13894" s="136">
        <f t="shared" si="649"/>
        <v>12</v>
      </c>
      <c r="E13894" s="136">
        <f t="shared" si="651"/>
        <v>19</v>
      </c>
      <c r="F13894" s="137" t="s">
        <v>24</v>
      </c>
      <c r="G13894" s="128" t="str">
        <f>VLOOKUP(source[[#This Row],[lending_product_transform]],[3]Mapping!$B$4:$C$37,2,0)</f>
        <v>[Cake] - Cashloan</v>
      </c>
      <c r="H13894" s="128" t="str">
        <f>VLOOKUP(source[[#This Row],[lending_product_transform]],[3]Mapping!$B$3:$D$37,3,0)</f>
        <v>cashloan</v>
      </c>
      <c r="I13894" s="137">
        <v>0</v>
      </c>
    </row>
    <row r="13895" spans="1:9" x14ac:dyDescent="0.2">
      <c r="A13895" s="134">
        <v>46100</v>
      </c>
      <c r="B13895" s="135">
        <f>YEAR(source[[#This Row],[report_date]])</f>
        <v>2026</v>
      </c>
      <c r="C13895" s="128">
        <f t="shared" si="650"/>
        <v>3</v>
      </c>
      <c r="D13895" s="136">
        <f t="shared" si="649"/>
        <v>12</v>
      </c>
      <c r="E13895" s="136">
        <f t="shared" si="651"/>
        <v>19</v>
      </c>
      <c r="F13895" s="137" t="s">
        <v>24</v>
      </c>
      <c r="G13895" s="128" t="str">
        <f>VLOOKUP(source[[#This Row],[lending_product_transform]],[3]Mapping!$B$4:$C$37,2,0)</f>
        <v>[Cake] - Cashloan</v>
      </c>
      <c r="H13895" s="128" t="str">
        <f>VLOOKUP(source[[#This Row],[lending_product_transform]],[3]Mapping!$B$3:$D$37,3,0)</f>
        <v>cashloan</v>
      </c>
      <c r="I13895" s="137">
        <v>714632375</v>
      </c>
    </row>
    <row r="13896" spans="1:9" x14ac:dyDescent="0.2">
      <c r="A13896" s="134">
        <v>46100</v>
      </c>
      <c r="B13896" s="135">
        <f>YEAR(source[[#This Row],[report_date]])</f>
        <v>2026</v>
      </c>
      <c r="C13896" s="128">
        <f t="shared" si="650"/>
        <v>3</v>
      </c>
      <c r="D13896" s="136">
        <f t="shared" si="649"/>
        <v>12</v>
      </c>
      <c r="E13896" s="136">
        <f t="shared" si="651"/>
        <v>19</v>
      </c>
      <c r="F13896" s="137" t="s">
        <v>24</v>
      </c>
      <c r="G13896" s="128" t="str">
        <f>VLOOKUP(source[[#This Row],[lending_product_transform]],[3]Mapping!$B$4:$C$37,2,0)</f>
        <v>[Cake] - Cashloan</v>
      </c>
      <c r="H13896" s="128" t="str">
        <f>VLOOKUP(source[[#This Row],[lending_product_transform]],[3]Mapping!$B$3:$D$37,3,0)</f>
        <v>cashloan</v>
      </c>
      <c r="I13896" s="137">
        <v>0</v>
      </c>
    </row>
    <row r="13897" spans="1:9" x14ac:dyDescent="0.2">
      <c r="A13897" s="134">
        <v>46100</v>
      </c>
      <c r="B13897" s="135">
        <f>YEAR(source[[#This Row],[report_date]])</f>
        <v>2026</v>
      </c>
      <c r="C13897" s="128">
        <f t="shared" si="650"/>
        <v>3</v>
      </c>
      <c r="D13897" s="136">
        <f t="shared" si="649"/>
        <v>12</v>
      </c>
      <c r="E13897" s="136">
        <f t="shared" si="651"/>
        <v>19</v>
      </c>
      <c r="F13897" s="137" t="s">
        <v>24</v>
      </c>
      <c r="G13897" s="128" t="str">
        <f>VLOOKUP(source[[#This Row],[lending_product_transform]],[3]Mapping!$B$4:$C$37,2,0)</f>
        <v>[Cake] - Cashloan</v>
      </c>
      <c r="H13897" s="128" t="str">
        <f>VLOOKUP(source[[#This Row],[lending_product_transform]],[3]Mapping!$B$3:$D$37,3,0)</f>
        <v>cashloan</v>
      </c>
      <c r="I13897" s="137">
        <v>30750000</v>
      </c>
    </row>
    <row r="13898" spans="1:9" x14ac:dyDescent="0.2">
      <c r="A13898" s="134">
        <v>46100</v>
      </c>
      <c r="B13898" s="135">
        <f>YEAR(source[[#This Row],[report_date]])</f>
        <v>2026</v>
      </c>
      <c r="C13898" s="128">
        <f t="shared" si="650"/>
        <v>3</v>
      </c>
      <c r="D13898" s="136">
        <f t="shared" si="649"/>
        <v>12</v>
      </c>
      <c r="E13898" s="136">
        <f t="shared" si="651"/>
        <v>19</v>
      </c>
      <c r="F13898" s="137" t="s">
        <v>24</v>
      </c>
      <c r="G13898" s="128" t="str">
        <f>VLOOKUP(source[[#This Row],[lending_product_transform]],[3]Mapping!$B$4:$C$37,2,0)</f>
        <v>[Cake] - Cashloan</v>
      </c>
      <c r="H13898" s="128" t="str">
        <f>VLOOKUP(source[[#This Row],[lending_product_transform]],[3]Mapping!$B$3:$D$37,3,0)</f>
        <v>cashloan</v>
      </c>
      <c r="I13898" s="137">
        <v>90000000</v>
      </c>
    </row>
    <row r="13899" spans="1:9" x14ac:dyDescent="0.2">
      <c r="A13899" s="134">
        <v>46100</v>
      </c>
      <c r="B13899" s="135">
        <f>YEAR(source[[#This Row],[report_date]])</f>
        <v>2026</v>
      </c>
      <c r="C13899" s="128">
        <f t="shared" si="650"/>
        <v>3</v>
      </c>
      <c r="D13899" s="136">
        <f t="shared" si="649"/>
        <v>12</v>
      </c>
      <c r="E13899" s="136">
        <f t="shared" si="651"/>
        <v>19</v>
      </c>
      <c r="F13899" s="137" t="s">
        <v>24</v>
      </c>
      <c r="G13899" s="128" t="str">
        <f>VLOOKUP(source[[#This Row],[lending_product_transform]],[3]Mapping!$B$4:$C$37,2,0)</f>
        <v>[Cake] - Cashloan</v>
      </c>
      <c r="H13899" s="128" t="str">
        <f>VLOOKUP(source[[#This Row],[lending_product_transform]],[3]Mapping!$B$3:$D$37,3,0)</f>
        <v>cashloan</v>
      </c>
      <c r="I13899" s="137">
        <v>17639360000</v>
      </c>
    </row>
    <row r="13900" spans="1:9" x14ac:dyDescent="0.2">
      <c r="A13900" s="134">
        <v>46100</v>
      </c>
      <c r="B13900" s="135">
        <f>YEAR(source[[#This Row],[report_date]])</f>
        <v>2026</v>
      </c>
      <c r="C13900" s="128">
        <f t="shared" si="650"/>
        <v>3</v>
      </c>
      <c r="D13900" s="136">
        <f t="shared" si="649"/>
        <v>12</v>
      </c>
      <c r="E13900" s="136">
        <f t="shared" si="651"/>
        <v>19</v>
      </c>
      <c r="F13900" s="137" t="s">
        <v>24</v>
      </c>
      <c r="G13900" s="128" t="str">
        <f>VLOOKUP(source[[#This Row],[lending_product_transform]],[3]Mapping!$B$4:$C$37,2,0)</f>
        <v>[Cake] - Cashloan</v>
      </c>
      <c r="H13900" s="128" t="str">
        <f>VLOOKUP(source[[#This Row],[lending_product_transform]],[3]Mapping!$B$3:$D$37,3,0)</f>
        <v>cashloan</v>
      </c>
      <c r="I13900" s="137">
        <v>0</v>
      </c>
    </row>
    <row r="13901" spans="1:9" x14ac:dyDescent="0.2">
      <c r="A13901" s="134">
        <v>46100</v>
      </c>
      <c r="B13901" s="135">
        <f>YEAR(source[[#This Row],[report_date]])</f>
        <v>2026</v>
      </c>
      <c r="C13901" s="128">
        <f t="shared" si="650"/>
        <v>3</v>
      </c>
      <c r="D13901" s="136">
        <f t="shared" si="649"/>
        <v>12</v>
      </c>
      <c r="E13901" s="136">
        <f t="shared" si="651"/>
        <v>19</v>
      </c>
      <c r="F13901" s="137" t="s">
        <v>24</v>
      </c>
      <c r="G13901" s="128" t="str">
        <f>VLOOKUP(source[[#This Row],[lending_product_transform]],[3]Mapping!$B$4:$C$37,2,0)</f>
        <v>[Cake] - Cashloan</v>
      </c>
      <c r="H13901" s="128" t="str">
        <f>VLOOKUP(source[[#This Row],[lending_product_transform]],[3]Mapping!$B$3:$D$37,3,0)</f>
        <v>cashloan</v>
      </c>
      <c r="I13901" s="137">
        <v>0</v>
      </c>
    </row>
    <row r="13902" spans="1:9" x14ac:dyDescent="0.2">
      <c r="A13902" s="134">
        <v>46100</v>
      </c>
      <c r="B13902" s="135">
        <f>YEAR(source[[#This Row],[report_date]])</f>
        <v>2026</v>
      </c>
      <c r="C13902" s="128">
        <f t="shared" si="650"/>
        <v>3</v>
      </c>
      <c r="D13902" s="136">
        <f t="shared" si="649"/>
        <v>12</v>
      </c>
      <c r="E13902" s="136">
        <f t="shared" si="651"/>
        <v>19</v>
      </c>
      <c r="F13902" s="137" t="s">
        <v>24</v>
      </c>
      <c r="G13902" s="128" t="str">
        <f>VLOOKUP(source[[#This Row],[lending_product_transform]],[3]Mapping!$B$4:$C$37,2,0)</f>
        <v>[Cake] - Cashloan</v>
      </c>
      <c r="H13902" s="128" t="str">
        <f>VLOOKUP(source[[#This Row],[lending_product_transform]],[3]Mapping!$B$3:$D$37,3,0)</f>
        <v>cashloan</v>
      </c>
      <c r="I13902" s="137">
        <v>0</v>
      </c>
    </row>
    <row r="13903" spans="1:9" x14ac:dyDescent="0.2">
      <c r="A13903" s="134">
        <v>46100</v>
      </c>
      <c r="B13903" s="135">
        <f>YEAR(source[[#This Row],[report_date]])</f>
        <v>2026</v>
      </c>
      <c r="C13903" s="128">
        <f t="shared" si="650"/>
        <v>3</v>
      </c>
      <c r="D13903" s="136">
        <f t="shared" si="649"/>
        <v>12</v>
      </c>
      <c r="E13903" s="136">
        <f t="shared" si="651"/>
        <v>19</v>
      </c>
      <c r="F13903" s="137" t="s">
        <v>24</v>
      </c>
      <c r="G13903" s="128" t="str">
        <f>VLOOKUP(source[[#This Row],[lending_product_transform]],[3]Mapping!$B$4:$C$37,2,0)</f>
        <v>[Cake] - Cashloan</v>
      </c>
      <c r="H13903" s="128" t="str">
        <f>VLOOKUP(source[[#This Row],[lending_product_transform]],[3]Mapping!$B$3:$D$37,3,0)</f>
        <v>cashloan</v>
      </c>
      <c r="I13903" s="137">
        <v>0</v>
      </c>
    </row>
    <row r="13904" spans="1:9" x14ac:dyDescent="0.2">
      <c r="A13904" s="134">
        <v>46100</v>
      </c>
      <c r="B13904" s="135">
        <f>YEAR(source[[#This Row],[report_date]])</f>
        <v>2026</v>
      </c>
      <c r="C13904" s="128">
        <f t="shared" si="650"/>
        <v>3</v>
      </c>
      <c r="D13904" s="136">
        <f t="shared" si="649"/>
        <v>12</v>
      </c>
      <c r="E13904" s="136">
        <f t="shared" si="651"/>
        <v>19</v>
      </c>
      <c r="F13904" s="137" t="s">
        <v>24</v>
      </c>
      <c r="G13904" s="128" t="str">
        <f>VLOOKUP(source[[#This Row],[lending_product_transform]],[3]Mapping!$B$4:$C$37,2,0)</f>
        <v>[Cake] - Cashloan</v>
      </c>
      <c r="H13904" s="128" t="str">
        <f>VLOOKUP(source[[#This Row],[lending_product_transform]],[3]Mapping!$B$3:$D$37,3,0)</f>
        <v>cashloan</v>
      </c>
      <c r="I13904" s="137">
        <v>10874196000</v>
      </c>
    </row>
    <row r="13905" spans="1:9" x14ac:dyDescent="0.2">
      <c r="A13905" s="134">
        <v>46100</v>
      </c>
      <c r="B13905" s="135">
        <f>YEAR(source[[#This Row],[report_date]])</f>
        <v>2026</v>
      </c>
      <c r="C13905" s="128">
        <f t="shared" si="650"/>
        <v>3</v>
      </c>
      <c r="D13905" s="136">
        <f t="shared" ref="D13905:D13968" si="652">WEEKNUM(A13905,2)</f>
        <v>12</v>
      </c>
      <c r="E13905" s="136">
        <f t="shared" si="651"/>
        <v>19</v>
      </c>
      <c r="F13905" s="137" t="s">
        <v>24</v>
      </c>
      <c r="G13905" s="128" t="str">
        <f>VLOOKUP(source[[#This Row],[lending_product_transform]],[3]Mapping!$B$4:$C$37,2,0)</f>
        <v>[Cake] - Cashloan</v>
      </c>
      <c r="H13905" s="128" t="str">
        <f>VLOOKUP(source[[#This Row],[lending_product_transform]],[3]Mapping!$B$3:$D$37,3,0)</f>
        <v>cashloan</v>
      </c>
      <c r="I13905" s="137">
        <v>129135792</v>
      </c>
    </row>
    <row r="13906" spans="1:9" x14ac:dyDescent="0.2">
      <c r="A13906" s="134">
        <v>46100</v>
      </c>
      <c r="B13906" s="135">
        <f>YEAR(source[[#This Row],[report_date]])</f>
        <v>2026</v>
      </c>
      <c r="C13906" s="128">
        <f t="shared" si="650"/>
        <v>3</v>
      </c>
      <c r="D13906" s="136">
        <f t="shared" si="652"/>
        <v>12</v>
      </c>
      <c r="E13906" s="136">
        <f t="shared" si="651"/>
        <v>19</v>
      </c>
      <c r="F13906" s="137" t="s">
        <v>24</v>
      </c>
      <c r="G13906" s="128" t="str">
        <f>VLOOKUP(source[[#This Row],[lending_product_transform]],[3]Mapping!$B$4:$C$37,2,0)</f>
        <v>[Cake] - Cashloan</v>
      </c>
      <c r="H13906" s="128" t="str">
        <f>VLOOKUP(source[[#This Row],[lending_product_transform]],[3]Mapping!$B$3:$D$37,3,0)</f>
        <v>cashloan</v>
      </c>
      <c r="I13906" s="137">
        <v>42000000</v>
      </c>
    </row>
    <row r="13907" spans="1:9" x14ac:dyDescent="0.2">
      <c r="A13907" s="134">
        <v>46100</v>
      </c>
      <c r="B13907" s="135">
        <f>YEAR(source[[#This Row],[report_date]])</f>
        <v>2026</v>
      </c>
      <c r="C13907" s="128">
        <f t="shared" si="650"/>
        <v>3</v>
      </c>
      <c r="D13907" s="136">
        <f t="shared" si="652"/>
        <v>12</v>
      </c>
      <c r="E13907" s="136">
        <f t="shared" si="651"/>
        <v>19</v>
      </c>
      <c r="F13907" s="137" t="s">
        <v>24</v>
      </c>
      <c r="G13907" s="128" t="str">
        <f>VLOOKUP(source[[#This Row],[lending_product_transform]],[3]Mapping!$B$4:$C$37,2,0)</f>
        <v>[Cake] - Cashloan</v>
      </c>
      <c r="H13907" s="128" t="str">
        <f>VLOOKUP(source[[#This Row],[lending_product_transform]],[3]Mapping!$B$3:$D$37,3,0)</f>
        <v>cashloan</v>
      </c>
      <c r="I13907" s="137">
        <v>58000000</v>
      </c>
    </row>
    <row r="13908" spans="1:9" x14ac:dyDescent="0.2">
      <c r="A13908" s="134">
        <v>46100</v>
      </c>
      <c r="B13908" s="135">
        <f>YEAR(source[[#This Row],[report_date]])</f>
        <v>2026</v>
      </c>
      <c r="C13908" s="128">
        <f t="shared" si="650"/>
        <v>3</v>
      </c>
      <c r="D13908" s="136">
        <f t="shared" si="652"/>
        <v>12</v>
      </c>
      <c r="E13908" s="136">
        <f t="shared" si="651"/>
        <v>19</v>
      </c>
      <c r="F13908" s="137" t="s">
        <v>24</v>
      </c>
      <c r="G13908" s="128" t="str">
        <f>VLOOKUP(source[[#This Row],[lending_product_transform]],[3]Mapping!$B$4:$C$37,2,0)</f>
        <v>[Cake] - Cashloan</v>
      </c>
      <c r="H13908" s="128" t="str">
        <f>VLOOKUP(source[[#This Row],[lending_product_transform]],[3]Mapping!$B$3:$D$37,3,0)</f>
        <v>cashloan</v>
      </c>
      <c r="I13908" s="137">
        <v>810750000</v>
      </c>
    </row>
    <row r="13909" spans="1:9" x14ac:dyDescent="0.2">
      <c r="A13909" s="134">
        <v>46100</v>
      </c>
      <c r="B13909" s="135">
        <f>YEAR(source[[#This Row],[report_date]])</f>
        <v>2026</v>
      </c>
      <c r="C13909" s="128">
        <f t="shared" si="650"/>
        <v>3</v>
      </c>
      <c r="D13909" s="136">
        <f t="shared" si="652"/>
        <v>12</v>
      </c>
      <c r="E13909" s="136">
        <f t="shared" si="651"/>
        <v>19</v>
      </c>
      <c r="F13909" s="137" t="s">
        <v>24</v>
      </c>
      <c r="G13909" s="128" t="str">
        <f>VLOOKUP(source[[#This Row],[lending_product_transform]],[3]Mapping!$B$4:$C$37,2,0)</f>
        <v>[Cake] - Cashloan</v>
      </c>
      <c r="H13909" s="128" t="str">
        <f>VLOOKUP(source[[#This Row],[lending_product_transform]],[3]Mapping!$B$3:$D$37,3,0)</f>
        <v>cashloan</v>
      </c>
      <c r="I13909" s="137">
        <v>306396000</v>
      </c>
    </row>
    <row r="13910" spans="1:9" x14ac:dyDescent="0.2">
      <c r="A13910" s="134">
        <v>46100</v>
      </c>
      <c r="B13910" s="135">
        <f>YEAR(source[[#This Row],[report_date]])</f>
        <v>2026</v>
      </c>
      <c r="C13910" s="128">
        <f t="shared" si="650"/>
        <v>3</v>
      </c>
      <c r="D13910" s="136">
        <f t="shared" si="652"/>
        <v>12</v>
      </c>
      <c r="E13910" s="136">
        <f t="shared" si="651"/>
        <v>19</v>
      </c>
      <c r="F13910" s="137" t="s">
        <v>24</v>
      </c>
      <c r="G13910" s="128" t="str">
        <f>VLOOKUP(source[[#This Row],[lending_product_transform]],[3]Mapping!$B$4:$C$37,2,0)</f>
        <v>[Cake] - Cashloan</v>
      </c>
      <c r="H13910" s="128" t="str">
        <f>VLOOKUP(source[[#This Row],[lending_product_transform]],[3]Mapping!$B$3:$D$37,3,0)</f>
        <v>cashloan</v>
      </c>
      <c r="I13910" s="137">
        <v>237133397</v>
      </c>
    </row>
    <row r="13911" spans="1:9" x14ac:dyDescent="0.2">
      <c r="A13911" s="134">
        <v>46100</v>
      </c>
      <c r="B13911" s="135">
        <f>YEAR(source[[#This Row],[report_date]])</f>
        <v>2026</v>
      </c>
      <c r="C13911" s="128">
        <f t="shared" si="650"/>
        <v>3</v>
      </c>
      <c r="D13911" s="136">
        <f t="shared" si="652"/>
        <v>12</v>
      </c>
      <c r="E13911" s="136">
        <f t="shared" si="651"/>
        <v>19</v>
      </c>
      <c r="F13911" s="137" t="s">
        <v>24</v>
      </c>
      <c r="G13911" s="128" t="str">
        <f>VLOOKUP(source[[#This Row],[lending_product_transform]],[3]Mapping!$B$4:$C$37,2,0)</f>
        <v>[Cake] - Cashloan</v>
      </c>
      <c r="H13911" s="128" t="str">
        <f>VLOOKUP(source[[#This Row],[lending_product_transform]],[3]Mapping!$B$3:$D$37,3,0)</f>
        <v>cashloan</v>
      </c>
      <c r="I13911" s="137">
        <v>3403850000</v>
      </c>
    </row>
    <row r="13912" spans="1:9" x14ac:dyDescent="0.2">
      <c r="A13912" s="134">
        <v>46100</v>
      </c>
      <c r="B13912" s="135">
        <f>YEAR(source[[#This Row],[report_date]])</f>
        <v>2026</v>
      </c>
      <c r="C13912" s="128">
        <f t="shared" si="650"/>
        <v>3</v>
      </c>
      <c r="D13912" s="136">
        <f t="shared" si="652"/>
        <v>12</v>
      </c>
      <c r="E13912" s="136">
        <f t="shared" si="651"/>
        <v>19</v>
      </c>
      <c r="F13912" s="137" t="s">
        <v>24</v>
      </c>
      <c r="G13912" s="128" t="str">
        <f>VLOOKUP(source[[#This Row],[lending_product_transform]],[3]Mapping!$B$4:$C$37,2,0)</f>
        <v>[Cake] - Cashloan</v>
      </c>
      <c r="H13912" s="128" t="str">
        <f>VLOOKUP(source[[#This Row],[lending_product_transform]],[3]Mapping!$B$3:$D$37,3,0)</f>
        <v>cashloan</v>
      </c>
      <c r="I13912" s="137">
        <v>370116000</v>
      </c>
    </row>
    <row r="13913" spans="1:9" x14ac:dyDescent="0.2">
      <c r="A13913" s="134">
        <v>46101</v>
      </c>
      <c r="B13913" s="135">
        <f>YEAR(source[[#This Row],[report_date]])</f>
        <v>2026</v>
      </c>
      <c r="C13913" s="128">
        <f t="shared" si="650"/>
        <v>3</v>
      </c>
      <c r="D13913" s="136">
        <f t="shared" si="652"/>
        <v>12</v>
      </c>
      <c r="E13913" s="136">
        <f t="shared" si="651"/>
        <v>20</v>
      </c>
      <c r="F13913" s="137" t="s">
        <v>24</v>
      </c>
      <c r="G13913" s="128" t="str">
        <f>VLOOKUP(source[[#This Row],[lending_product_transform]],[3]Mapping!$B$4:$C$37,2,0)</f>
        <v>[Cake] - Cashloan</v>
      </c>
      <c r="H13913" s="128" t="str">
        <f>VLOOKUP(source[[#This Row],[lending_product_transform]],[3]Mapping!$B$3:$D$37,3,0)</f>
        <v>cashloan</v>
      </c>
      <c r="I13913" s="137">
        <v>655130000</v>
      </c>
    </row>
    <row r="13914" spans="1:9" x14ac:dyDescent="0.2">
      <c r="A13914" s="134">
        <v>46101</v>
      </c>
      <c r="B13914" s="135">
        <f>YEAR(source[[#This Row],[report_date]])</f>
        <v>2026</v>
      </c>
      <c r="C13914" s="128">
        <f t="shared" si="650"/>
        <v>3</v>
      </c>
      <c r="D13914" s="136">
        <f t="shared" si="652"/>
        <v>12</v>
      </c>
      <c r="E13914" s="136">
        <f t="shared" si="651"/>
        <v>20</v>
      </c>
      <c r="F13914" s="137" t="s">
        <v>24</v>
      </c>
      <c r="G13914" s="128" t="str">
        <f>VLOOKUP(source[[#This Row],[lending_product_transform]],[3]Mapping!$B$4:$C$37,2,0)</f>
        <v>[Cake] - Cashloan</v>
      </c>
      <c r="H13914" s="128" t="str">
        <f>VLOOKUP(source[[#This Row],[lending_product_transform]],[3]Mapping!$B$3:$D$37,3,0)</f>
        <v>cashloan</v>
      </c>
      <c r="I13914" s="137">
        <v>333714600</v>
      </c>
    </row>
    <row r="13915" spans="1:9" x14ac:dyDescent="0.2">
      <c r="A13915" s="134">
        <v>46101</v>
      </c>
      <c r="B13915" s="135">
        <f>YEAR(source[[#This Row],[report_date]])</f>
        <v>2026</v>
      </c>
      <c r="C13915" s="128">
        <f t="shared" si="650"/>
        <v>3</v>
      </c>
      <c r="D13915" s="136">
        <f t="shared" si="652"/>
        <v>12</v>
      </c>
      <c r="E13915" s="136">
        <f t="shared" si="651"/>
        <v>20</v>
      </c>
      <c r="F13915" s="137" t="s">
        <v>24</v>
      </c>
      <c r="G13915" s="128" t="str">
        <f>VLOOKUP(source[[#This Row],[lending_product_transform]],[3]Mapping!$B$4:$C$37,2,0)</f>
        <v>[Cake] - Cashloan</v>
      </c>
      <c r="H13915" s="128" t="str">
        <f>VLOOKUP(source[[#This Row],[lending_product_transform]],[3]Mapping!$B$3:$D$37,3,0)</f>
        <v>cashloan</v>
      </c>
      <c r="I13915" s="137">
        <v>23880010000</v>
      </c>
    </row>
    <row r="13916" spans="1:9" x14ac:dyDescent="0.2">
      <c r="A13916" s="134">
        <v>46101</v>
      </c>
      <c r="B13916" s="135">
        <f>YEAR(source[[#This Row],[report_date]])</f>
        <v>2026</v>
      </c>
      <c r="C13916" s="128">
        <f t="shared" si="650"/>
        <v>3</v>
      </c>
      <c r="D13916" s="136">
        <f t="shared" si="652"/>
        <v>12</v>
      </c>
      <c r="E13916" s="136">
        <f t="shared" si="651"/>
        <v>20</v>
      </c>
      <c r="F13916" s="137" t="s">
        <v>24</v>
      </c>
      <c r="G13916" s="128" t="str">
        <f>VLOOKUP(source[[#This Row],[lending_product_transform]],[3]Mapping!$B$4:$C$37,2,0)</f>
        <v>[Cake] - Cashloan</v>
      </c>
      <c r="H13916" s="128" t="str">
        <f>VLOOKUP(source[[#This Row],[lending_product_transform]],[3]Mapping!$B$3:$D$37,3,0)</f>
        <v>cashloan</v>
      </c>
      <c r="I13916" s="137">
        <v>1567932673</v>
      </c>
    </row>
    <row r="13917" spans="1:9" x14ac:dyDescent="0.2">
      <c r="A13917" s="134">
        <v>46101</v>
      </c>
      <c r="B13917" s="135">
        <f>YEAR(source[[#This Row],[report_date]])</f>
        <v>2026</v>
      </c>
      <c r="C13917" s="128">
        <f t="shared" si="650"/>
        <v>3</v>
      </c>
      <c r="D13917" s="136">
        <f t="shared" si="652"/>
        <v>12</v>
      </c>
      <c r="E13917" s="136">
        <f t="shared" si="651"/>
        <v>20</v>
      </c>
      <c r="F13917" s="137" t="s">
        <v>24</v>
      </c>
      <c r="G13917" s="128" t="str">
        <f>VLOOKUP(source[[#This Row],[lending_product_transform]],[3]Mapping!$B$4:$C$37,2,0)</f>
        <v>[Cake] - Cashloan</v>
      </c>
      <c r="H13917" s="128" t="str">
        <f>VLOOKUP(source[[#This Row],[lending_product_transform]],[3]Mapping!$B$3:$D$37,3,0)</f>
        <v>cashloan</v>
      </c>
      <c r="I13917" s="137">
        <v>13876920000</v>
      </c>
    </row>
    <row r="13918" spans="1:9" x14ac:dyDescent="0.2">
      <c r="A13918" s="134">
        <v>46101</v>
      </c>
      <c r="B13918" s="135">
        <f>YEAR(source[[#This Row],[report_date]])</f>
        <v>2026</v>
      </c>
      <c r="C13918" s="128">
        <f t="shared" si="650"/>
        <v>3</v>
      </c>
      <c r="D13918" s="136">
        <f t="shared" si="652"/>
        <v>12</v>
      </c>
      <c r="E13918" s="136">
        <f t="shared" si="651"/>
        <v>20</v>
      </c>
      <c r="F13918" s="137" t="s">
        <v>24</v>
      </c>
      <c r="G13918" s="128" t="str">
        <f>VLOOKUP(source[[#This Row],[lending_product_transform]],[3]Mapping!$B$4:$C$37,2,0)</f>
        <v>[Cake] - Cashloan</v>
      </c>
      <c r="H13918" s="128" t="str">
        <f>VLOOKUP(source[[#This Row],[lending_product_transform]],[3]Mapping!$B$3:$D$37,3,0)</f>
        <v>cashloan</v>
      </c>
      <c r="I13918" s="137">
        <v>6170882</v>
      </c>
    </row>
    <row r="13919" spans="1:9" x14ac:dyDescent="0.2">
      <c r="A13919" s="134">
        <v>46101</v>
      </c>
      <c r="B13919" s="135">
        <f>YEAR(source[[#This Row],[report_date]])</f>
        <v>2026</v>
      </c>
      <c r="C13919" s="128">
        <f t="shared" si="650"/>
        <v>3</v>
      </c>
      <c r="D13919" s="136">
        <f t="shared" si="652"/>
        <v>12</v>
      </c>
      <c r="E13919" s="136">
        <f t="shared" si="651"/>
        <v>20</v>
      </c>
      <c r="F13919" s="137" t="s">
        <v>24</v>
      </c>
      <c r="G13919" s="128" t="str">
        <f>VLOOKUP(source[[#This Row],[lending_product_transform]],[3]Mapping!$B$4:$C$37,2,0)</f>
        <v>[Cake] - Cashloan</v>
      </c>
      <c r="H13919" s="128" t="str">
        <f>VLOOKUP(source[[#This Row],[lending_product_transform]],[3]Mapping!$B$3:$D$37,3,0)</f>
        <v>cashloan</v>
      </c>
      <c r="I13919" s="137">
        <v>90000000</v>
      </c>
    </row>
    <row r="13920" spans="1:9" x14ac:dyDescent="0.2">
      <c r="A13920" s="134">
        <v>46101</v>
      </c>
      <c r="B13920" s="135">
        <f>YEAR(source[[#This Row],[report_date]])</f>
        <v>2026</v>
      </c>
      <c r="C13920" s="128">
        <f t="shared" si="650"/>
        <v>3</v>
      </c>
      <c r="D13920" s="136">
        <f t="shared" si="652"/>
        <v>12</v>
      </c>
      <c r="E13920" s="136">
        <f t="shared" si="651"/>
        <v>20</v>
      </c>
      <c r="F13920" s="137" t="s">
        <v>24</v>
      </c>
      <c r="G13920" s="128" t="str">
        <f>VLOOKUP(source[[#This Row],[lending_product_transform]],[3]Mapping!$B$4:$C$37,2,0)</f>
        <v>[Cake] - Cashloan</v>
      </c>
      <c r="H13920" s="128" t="str">
        <f>VLOOKUP(source[[#This Row],[lending_product_transform]],[3]Mapping!$B$3:$D$37,3,0)</f>
        <v>cashloan</v>
      </c>
      <c r="I13920" s="137">
        <v>2169670000</v>
      </c>
    </row>
    <row r="13921" spans="1:9" x14ac:dyDescent="0.2">
      <c r="A13921" s="134">
        <v>46101</v>
      </c>
      <c r="B13921" s="135">
        <f>YEAR(source[[#This Row],[report_date]])</f>
        <v>2026</v>
      </c>
      <c r="C13921" s="128">
        <f t="shared" si="650"/>
        <v>3</v>
      </c>
      <c r="D13921" s="136">
        <f t="shared" si="652"/>
        <v>12</v>
      </c>
      <c r="E13921" s="136">
        <f t="shared" si="651"/>
        <v>20</v>
      </c>
      <c r="F13921" s="137" t="s">
        <v>24</v>
      </c>
      <c r="G13921" s="128" t="str">
        <f>VLOOKUP(source[[#This Row],[lending_product_transform]],[3]Mapping!$B$4:$C$37,2,0)</f>
        <v>[Cake] - Cashloan</v>
      </c>
      <c r="H13921" s="128" t="str">
        <f>VLOOKUP(source[[#This Row],[lending_product_transform]],[3]Mapping!$B$3:$D$37,3,0)</f>
        <v>cashloan</v>
      </c>
      <c r="I13921" s="137">
        <v>943600000</v>
      </c>
    </row>
    <row r="13922" spans="1:9" x14ac:dyDescent="0.2">
      <c r="A13922" s="134">
        <v>46101</v>
      </c>
      <c r="B13922" s="135">
        <f>YEAR(source[[#This Row],[report_date]])</f>
        <v>2026</v>
      </c>
      <c r="C13922" s="128">
        <f t="shared" si="650"/>
        <v>3</v>
      </c>
      <c r="D13922" s="136">
        <f t="shared" si="652"/>
        <v>12</v>
      </c>
      <c r="E13922" s="136">
        <f t="shared" si="651"/>
        <v>20</v>
      </c>
      <c r="F13922" s="137" t="s">
        <v>24</v>
      </c>
      <c r="G13922" s="128" t="str">
        <f>VLOOKUP(source[[#This Row],[lending_product_transform]],[3]Mapping!$B$4:$C$37,2,0)</f>
        <v>[Cake] - Cashloan</v>
      </c>
      <c r="H13922" s="128" t="str">
        <f>VLOOKUP(source[[#This Row],[lending_product_transform]],[3]Mapping!$B$3:$D$37,3,0)</f>
        <v>cashloan</v>
      </c>
      <c r="I13922" s="137">
        <v>3074683</v>
      </c>
    </row>
    <row r="13923" spans="1:9" x14ac:dyDescent="0.2">
      <c r="A13923" s="134">
        <v>46101</v>
      </c>
      <c r="B13923" s="135">
        <f>YEAR(source[[#This Row],[report_date]])</f>
        <v>2026</v>
      </c>
      <c r="C13923" s="128">
        <f t="shared" si="650"/>
        <v>3</v>
      </c>
      <c r="D13923" s="136">
        <f t="shared" si="652"/>
        <v>12</v>
      </c>
      <c r="E13923" s="136">
        <f t="shared" si="651"/>
        <v>20</v>
      </c>
      <c r="F13923" s="137" t="s">
        <v>24</v>
      </c>
      <c r="G13923" s="128" t="str">
        <f>VLOOKUP(source[[#This Row],[lending_product_transform]],[3]Mapping!$B$4:$C$37,2,0)</f>
        <v>[Cake] - Cashloan</v>
      </c>
      <c r="H13923" s="128" t="str">
        <f>VLOOKUP(source[[#This Row],[lending_product_transform]],[3]Mapping!$B$3:$D$37,3,0)</f>
        <v>cashloan</v>
      </c>
      <c r="I13923" s="137">
        <v>777976238</v>
      </c>
    </row>
    <row r="13924" spans="1:9" x14ac:dyDescent="0.2">
      <c r="A13924" s="134">
        <v>46101</v>
      </c>
      <c r="B13924" s="135">
        <f>YEAR(source[[#This Row],[report_date]])</f>
        <v>2026</v>
      </c>
      <c r="C13924" s="128">
        <f t="shared" si="650"/>
        <v>3</v>
      </c>
      <c r="D13924" s="136">
        <f t="shared" si="652"/>
        <v>12</v>
      </c>
      <c r="E13924" s="136">
        <f t="shared" si="651"/>
        <v>20</v>
      </c>
      <c r="F13924" s="137" t="s">
        <v>24</v>
      </c>
      <c r="G13924" s="128" t="str">
        <f>VLOOKUP(source[[#This Row],[lending_product_transform]],[3]Mapping!$B$4:$C$37,2,0)</f>
        <v>[Cake] - Cashloan</v>
      </c>
      <c r="H13924" s="128" t="str">
        <f>VLOOKUP(source[[#This Row],[lending_product_transform]],[3]Mapping!$B$3:$D$37,3,0)</f>
        <v>cashloan</v>
      </c>
      <c r="I13924" s="137">
        <v>0</v>
      </c>
    </row>
    <row r="13925" spans="1:9" x14ac:dyDescent="0.2">
      <c r="A13925" s="134">
        <v>46101</v>
      </c>
      <c r="B13925" s="135">
        <f>YEAR(source[[#This Row],[report_date]])</f>
        <v>2026</v>
      </c>
      <c r="C13925" s="128">
        <f t="shared" si="650"/>
        <v>3</v>
      </c>
      <c r="D13925" s="136">
        <f t="shared" si="652"/>
        <v>12</v>
      </c>
      <c r="E13925" s="136">
        <f t="shared" si="651"/>
        <v>20</v>
      </c>
      <c r="F13925" s="137" t="s">
        <v>24</v>
      </c>
      <c r="G13925" s="128" t="str">
        <f>VLOOKUP(source[[#This Row],[lending_product_transform]],[3]Mapping!$B$4:$C$37,2,0)</f>
        <v>[Cake] - Cashloan</v>
      </c>
      <c r="H13925" s="128" t="str">
        <f>VLOOKUP(source[[#This Row],[lending_product_transform]],[3]Mapping!$B$3:$D$37,3,0)</f>
        <v>cashloan</v>
      </c>
      <c r="I13925" s="137">
        <v>112650000</v>
      </c>
    </row>
    <row r="13926" spans="1:9" x14ac:dyDescent="0.2">
      <c r="A13926" s="134">
        <v>46101</v>
      </c>
      <c r="B13926" s="135">
        <f>YEAR(source[[#This Row],[report_date]])</f>
        <v>2026</v>
      </c>
      <c r="C13926" s="128">
        <f t="shared" si="650"/>
        <v>3</v>
      </c>
      <c r="D13926" s="136">
        <f t="shared" si="652"/>
        <v>12</v>
      </c>
      <c r="E13926" s="136">
        <f t="shared" si="651"/>
        <v>20</v>
      </c>
      <c r="F13926" s="137" t="s">
        <v>24</v>
      </c>
      <c r="G13926" s="128" t="str">
        <f>VLOOKUP(source[[#This Row],[lending_product_transform]],[3]Mapping!$B$4:$C$37,2,0)</f>
        <v>[Cake] - Cashloan</v>
      </c>
      <c r="H13926" s="128" t="str">
        <f>VLOOKUP(source[[#This Row],[lending_product_transform]],[3]Mapping!$B$3:$D$37,3,0)</f>
        <v>cashloan</v>
      </c>
      <c r="I13926" s="137">
        <v>0</v>
      </c>
    </row>
    <row r="13927" spans="1:9" x14ac:dyDescent="0.2">
      <c r="A13927" s="134">
        <v>46101</v>
      </c>
      <c r="B13927" s="135">
        <f>YEAR(source[[#This Row],[report_date]])</f>
        <v>2026</v>
      </c>
      <c r="C13927" s="128">
        <f t="shared" si="650"/>
        <v>3</v>
      </c>
      <c r="D13927" s="136">
        <f t="shared" si="652"/>
        <v>12</v>
      </c>
      <c r="E13927" s="136">
        <f t="shared" si="651"/>
        <v>20</v>
      </c>
      <c r="F13927" s="137" t="s">
        <v>24</v>
      </c>
      <c r="G13927" s="128" t="str">
        <f>VLOOKUP(source[[#This Row],[lending_product_transform]],[3]Mapping!$B$4:$C$37,2,0)</f>
        <v>[Cake] - Cashloan</v>
      </c>
      <c r="H13927" s="128" t="str">
        <f>VLOOKUP(source[[#This Row],[lending_product_transform]],[3]Mapping!$B$3:$D$37,3,0)</f>
        <v>cashloan</v>
      </c>
      <c r="I13927" s="137">
        <v>18118340000</v>
      </c>
    </row>
    <row r="13928" spans="1:9" x14ac:dyDescent="0.2">
      <c r="A13928" s="134">
        <v>46101</v>
      </c>
      <c r="B13928" s="135">
        <f>YEAR(source[[#This Row],[report_date]])</f>
        <v>2026</v>
      </c>
      <c r="C13928" s="128">
        <f t="shared" si="650"/>
        <v>3</v>
      </c>
      <c r="D13928" s="136">
        <f t="shared" si="652"/>
        <v>12</v>
      </c>
      <c r="E13928" s="136">
        <f t="shared" si="651"/>
        <v>20</v>
      </c>
      <c r="F13928" s="137" t="s">
        <v>24</v>
      </c>
      <c r="G13928" s="128" t="str">
        <f>VLOOKUP(source[[#This Row],[lending_product_transform]],[3]Mapping!$B$4:$C$37,2,0)</f>
        <v>[Cake] - Cashloan</v>
      </c>
      <c r="H13928" s="128" t="str">
        <f>VLOOKUP(source[[#This Row],[lending_product_transform]],[3]Mapping!$B$3:$D$37,3,0)</f>
        <v>cashloan</v>
      </c>
      <c r="I13928" s="137">
        <v>0</v>
      </c>
    </row>
    <row r="13929" spans="1:9" x14ac:dyDescent="0.2">
      <c r="A13929" s="134">
        <v>46101</v>
      </c>
      <c r="B13929" s="135">
        <f>YEAR(source[[#This Row],[report_date]])</f>
        <v>2026</v>
      </c>
      <c r="C13929" s="128">
        <f t="shared" si="650"/>
        <v>3</v>
      </c>
      <c r="D13929" s="136">
        <f t="shared" si="652"/>
        <v>12</v>
      </c>
      <c r="E13929" s="136">
        <f t="shared" si="651"/>
        <v>20</v>
      </c>
      <c r="F13929" s="137" t="s">
        <v>24</v>
      </c>
      <c r="G13929" s="128" t="str">
        <f>VLOOKUP(source[[#This Row],[lending_product_transform]],[3]Mapping!$B$4:$C$37,2,0)</f>
        <v>[Cake] - Cashloan</v>
      </c>
      <c r="H13929" s="128" t="str">
        <f>VLOOKUP(source[[#This Row],[lending_product_transform]],[3]Mapping!$B$3:$D$37,3,0)</f>
        <v>cashloan</v>
      </c>
      <c r="I13929" s="137">
        <v>0</v>
      </c>
    </row>
    <row r="13930" spans="1:9" x14ac:dyDescent="0.2">
      <c r="A13930" s="134">
        <v>46101</v>
      </c>
      <c r="B13930" s="135">
        <f>YEAR(source[[#This Row],[report_date]])</f>
        <v>2026</v>
      </c>
      <c r="C13930" s="128">
        <f t="shared" si="650"/>
        <v>3</v>
      </c>
      <c r="D13930" s="136">
        <f t="shared" si="652"/>
        <v>12</v>
      </c>
      <c r="E13930" s="136">
        <f t="shared" si="651"/>
        <v>20</v>
      </c>
      <c r="F13930" s="137" t="s">
        <v>24</v>
      </c>
      <c r="G13930" s="128" t="str">
        <f>VLOOKUP(source[[#This Row],[lending_product_transform]],[3]Mapping!$B$4:$C$37,2,0)</f>
        <v>[Cake] - Cashloan</v>
      </c>
      <c r="H13930" s="128" t="str">
        <f>VLOOKUP(source[[#This Row],[lending_product_transform]],[3]Mapping!$B$3:$D$37,3,0)</f>
        <v>cashloan</v>
      </c>
      <c r="I13930" s="137">
        <v>0</v>
      </c>
    </row>
    <row r="13931" spans="1:9" x14ac:dyDescent="0.2">
      <c r="A13931" s="134">
        <v>46101</v>
      </c>
      <c r="B13931" s="135">
        <f>YEAR(source[[#This Row],[report_date]])</f>
        <v>2026</v>
      </c>
      <c r="C13931" s="128">
        <f t="shared" si="650"/>
        <v>3</v>
      </c>
      <c r="D13931" s="136">
        <f t="shared" si="652"/>
        <v>12</v>
      </c>
      <c r="E13931" s="136">
        <f t="shared" si="651"/>
        <v>20</v>
      </c>
      <c r="F13931" s="137" t="s">
        <v>24</v>
      </c>
      <c r="G13931" s="128" t="str">
        <f>VLOOKUP(source[[#This Row],[lending_product_transform]],[3]Mapping!$B$4:$C$37,2,0)</f>
        <v>[Cake] - Cashloan</v>
      </c>
      <c r="H13931" s="128" t="str">
        <f>VLOOKUP(source[[#This Row],[lending_product_transform]],[3]Mapping!$B$3:$D$37,3,0)</f>
        <v>cashloan</v>
      </c>
      <c r="I13931" s="137">
        <v>0</v>
      </c>
    </row>
    <row r="13932" spans="1:9" x14ac:dyDescent="0.2">
      <c r="A13932" s="134">
        <v>46101</v>
      </c>
      <c r="B13932" s="135">
        <f>YEAR(source[[#This Row],[report_date]])</f>
        <v>2026</v>
      </c>
      <c r="C13932" s="128">
        <f t="shared" si="650"/>
        <v>3</v>
      </c>
      <c r="D13932" s="136">
        <f t="shared" si="652"/>
        <v>12</v>
      </c>
      <c r="E13932" s="136">
        <f t="shared" si="651"/>
        <v>20</v>
      </c>
      <c r="F13932" s="137" t="s">
        <v>24</v>
      </c>
      <c r="G13932" s="128" t="str">
        <f>VLOOKUP(source[[#This Row],[lending_product_transform]],[3]Mapping!$B$4:$C$37,2,0)</f>
        <v>[Cake] - Cashloan</v>
      </c>
      <c r="H13932" s="128" t="str">
        <f>VLOOKUP(source[[#This Row],[lending_product_transform]],[3]Mapping!$B$3:$D$37,3,0)</f>
        <v>cashloan</v>
      </c>
      <c r="I13932" s="137">
        <v>11708820000</v>
      </c>
    </row>
    <row r="13933" spans="1:9" x14ac:dyDescent="0.2">
      <c r="A13933" s="134">
        <v>46101</v>
      </c>
      <c r="B13933" s="135">
        <f>YEAR(source[[#This Row],[report_date]])</f>
        <v>2026</v>
      </c>
      <c r="C13933" s="128">
        <f t="shared" si="650"/>
        <v>3</v>
      </c>
      <c r="D13933" s="136">
        <f t="shared" si="652"/>
        <v>12</v>
      </c>
      <c r="E13933" s="136">
        <f t="shared" si="651"/>
        <v>20</v>
      </c>
      <c r="F13933" s="137" t="s">
        <v>24</v>
      </c>
      <c r="G13933" s="128" t="str">
        <f>VLOOKUP(source[[#This Row],[lending_product_transform]],[3]Mapping!$B$4:$C$37,2,0)</f>
        <v>[Cake] - Cashloan</v>
      </c>
      <c r="H13933" s="128" t="str">
        <f>VLOOKUP(source[[#This Row],[lending_product_transform]],[3]Mapping!$B$3:$D$37,3,0)</f>
        <v>cashloan</v>
      </c>
      <c r="I13933" s="137">
        <v>137125168</v>
      </c>
    </row>
    <row r="13934" spans="1:9" x14ac:dyDescent="0.2">
      <c r="A13934" s="134">
        <v>46101</v>
      </c>
      <c r="B13934" s="135">
        <f>YEAR(source[[#This Row],[report_date]])</f>
        <v>2026</v>
      </c>
      <c r="C13934" s="128">
        <f t="shared" si="650"/>
        <v>3</v>
      </c>
      <c r="D13934" s="136">
        <f t="shared" si="652"/>
        <v>12</v>
      </c>
      <c r="E13934" s="136">
        <f t="shared" si="651"/>
        <v>20</v>
      </c>
      <c r="F13934" s="137" t="s">
        <v>24</v>
      </c>
      <c r="G13934" s="128" t="str">
        <f>VLOOKUP(source[[#This Row],[lending_product_transform]],[3]Mapping!$B$4:$C$37,2,0)</f>
        <v>[Cake] - Cashloan</v>
      </c>
      <c r="H13934" s="128" t="str">
        <f>VLOOKUP(source[[#This Row],[lending_product_transform]],[3]Mapping!$B$3:$D$37,3,0)</f>
        <v>cashloan</v>
      </c>
      <c r="I13934" s="137">
        <v>35700000</v>
      </c>
    </row>
    <row r="13935" spans="1:9" x14ac:dyDescent="0.2">
      <c r="A13935" s="134">
        <v>46101</v>
      </c>
      <c r="B13935" s="135">
        <f>YEAR(source[[#This Row],[report_date]])</f>
        <v>2026</v>
      </c>
      <c r="C13935" s="128">
        <f t="shared" si="650"/>
        <v>3</v>
      </c>
      <c r="D13935" s="136">
        <f t="shared" si="652"/>
        <v>12</v>
      </c>
      <c r="E13935" s="136">
        <f t="shared" si="651"/>
        <v>20</v>
      </c>
      <c r="F13935" s="137" t="s">
        <v>24</v>
      </c>
      <c r="G13935" s="128" t="str">
        <f>VLOOKUP(source[[#This Row],[lending_product_transform]],[3]Mapping!$B$4:$C$37,2,0)</f>
        <v>[Cake] - Cashloan</v>
      </c>
      <c r="H13935" s="128" t="str">
        <f>VLOOKUP(source[[#This Row],[lending_product_transform]],[3]Mapping!$B$3:$D$37,3,0)</f>
        <v>cashloan</v>
      </c>
      <c r="I13935" s="137">
        <v>60000000</v>
      </c>
    </row>
    <row r="13936" spans="1:9" x14ac:dyDescent="0.2">
      <c r="A13936" s="134">
        <v>46101</v>
      </c>
      <c r="B13936" s="135">
        <f>YEAR(source[[#This Row],[report_date]])</f>
        <v>2026</v>
      </c>
      <c r="C13936" s="128">
        <f t="shared" si="650"/>
        <v>3</v>
      </c>
      <c r="D13936" s="136">
        <f t="shared" si="652"/>
        <v>12</v>
      </c>
      <c r="E13936" s="136">
        <f t="shared" si="651"/>
        <v>20</v>
      </c>
      <c r="F13936" s="137" t="s">
        <v>24</v>
      </c>
      <c r="G13936" s="128" t="str">
        <f>VLOOKUP(source[[#This Row],[lending_product_transform]],[3]Mapping!$B$4:$C$37,2,0)</f>
        <v>[Cake] - Cashloan</v>
      </c>
      <c r="H13936" s="128" t="str">
        <f>VLOOKUP(source[[#This Row],[lending_product_transform]],[3]Mapping!$B$3:$D$37,3,0)</f>
        <v>cashloan</v>
      </c>
      <c r="I13936" s="137">
        <v>571890000</v>
      </c>
    </row>
    <row r="13937" spans="1:9" x14ac:dyDescent="0.2">
      <c r="A13937" s="134">
        <v>46101</v>
      </c>
      <c r="B13937" s="135">
        <f>YEAR(source[[#This Row],[report_date]])</f>
        <v>2026</v>
      </c>
      <c r="C13937" s="128">
        <f t="shared" si="650"/>
        <v>3</v>
      </c>
      <c r="D13937" s="136">
        <f t="shared" si="652"/>
        <v>12</v>
      </c>
      <c r="E13937" s="136">
        <f t="shared" si="651"/>
        <v>20</v>
      </c>
      <c r="F13937" s="137" t="s">
        <v>24</v>
      </c>
      <c r="G13937" s="128" t="str">
        <f>VLOOKUP(source[[#This Row],[lending_product_transform]],[3]Mapping!$B$4:$C$37,2,0)</f>
        <v>[Cake] - Cashloan</v>
      </c>
      <c r="H13937" s="128" t="str">
        <f>VLOOKUP(source[[#This Row],[lending_product_transform]],[3]Mapping!$B$3:$D$37,3,0)</f>
        <v>cashloan</v>
      </c>
      <c r="I13937" s="137">
        <v>335232000</v>
      </c>
    </row>
    <row r="13938" spans="1:9" x14ac:dyDescent="0.2">
      <c r="A13938" s="134">
        <v>46101</v>
      </c>
      <c r="B13938" s="135">
        <f>YEAR(source[[#This Row],[report_date]])</f>
        <v>2026</v>
      </c>
      <c r="C13938" s="128">
        <f t="shared" si="650"/>
        <v>3</v>
      </c>
      <c r="D13938" s="136">
        <f t="shared" si="652"/>
        <v>12</v>
      </c>
      <c r="E13938" s="136">
        <f t="shared" si="651"/>
        <v>20</v>
      </c>
      <c r="F13938" s="137" t="s">
        <v>24</v>
      </c>
      <c r="G13938" s="128" t="str">
        <f>VLOOKUP(source[[#This Row],[lending_product_transform]],[3]Mapping!$B$4:$C$37,2,0)</f>
        <v>[Cake] - Cashloan</v>
      </c>
      <c r="H13938" s="128" t="str">
        <f>VLOOKUP(source[[#This Row],[lending_product_transform]],[3]Mapping!$B$3:$D$37,3,0)</f>
        <v>cashloan</v>
      </c>
      <c r="I13938" s="137">
        <v>231388445</v>
      </c>
    </row>
    <row r="13939" spans="1:9" x14ac:dyDescent="0.2">
      <c r="A13939" s="134">
        <v>46101</v>
      </c>
      <c r="B13939" s="135">
        <f>YEAR(source[[#This Row],[report_date]])</f>
        <v>2026</v>
      </c>
      <c r="C13939" s="128">
        <f t="shared" si="650"/>
        <v>3</v>
      </c>
      <c r="D13939" s="136">
        <f t="shared" si="652"/>
        <v>12</v>
      </c>
      <c r="E13939" s="136">
        <f t="shared" si="651"/>
        <v>20</v>
      </c>
      <c r="F13939" s="137" t="s">
        <v>24</v>
      </c>
      <c r="G13939" s="128" t="str">
        <f>VLOOKUP(source[[#This Row],[lending_product_transform]],[3]Mapping!$B$4:$C$37,2,0)</f>
        <v>[Cake] - Cashloan</v>
      </c>
      <c r="H13939" s="128" t="str">
        <f>VLOOKUP(source[[#This Row],[lending_product_transform]],[3]Mapping!$B$3:$D$37,3,0)</f>
        <v>cashloan</v>
      </c>
      <c r="I13939" s="137">
        <v>3367960000</v>
      </c>
    </row>
    <row r="13940" spans="1:9" x14ac:dyDescent="0.2">
      <c r="A13940" s="134">
        <v>46101</v>
      </c>
      <c r="B13940" s="135">
        <f>YEAR(source[[#This Row],[report_date]])</f>
        <v>2026</v>
      </c>
      <c r="C13940" s="128">
        <f t="shared" si="650"/>
        <v>3</v>
      </c>
      <c r="D13940" s="136">
        <f t="shared" si="652"/>
        <v>12</v>
      </c>
      <c r="E13940" s="136">
        <f t="shared" si="651"/>
        <v>20</v>
      </c>
      <c r="F13940" s="137" t="s">
        <v>24</v>
      </c>
      <c r="G13940" s="128" t="str">
        <f>VLOOKUP(source[[#This Row],[lending_product_transform]],[3]Mapping!$B$4:$C$37,2,0)</f>
        <v>[Cake] - Cashloan</v>
      </c>
      <c r="H13940" s="128" t="str">
        <f>VLOOKUP(source[[#This Row],[lending_product_transform]],[3]Mapping!$B$3:$D$37,3,0)</f>
        <v>cashloan</v>
      </c>
      <c r="I13940" s="137">
        <v>196020000</v>
      </c>
    </row>
    <row r="13941" spans="1:9" x14ac:dyDescent="0.2">
      <c r="A13941" s="134">
        <v>46102</v>
      </c>
      <c r="B13941" s="135">
        <f>YEAR(source[[#This Row],[report_date]])</f>
        <v>2026</v>
      </c>
      <c r="C13941" s="128">
        <f t="shared" si="650"/>
        <v>3</v>
      </c>
      <c r="D13941" s="136">
        <f t="shared" si="652"/>
        <v>12</v>
      </c>
      <c r="E13941" s="136">
        <f t="shared" si="651"/>
        <v>21</v>
      </c>
      <c r="F13941" s="137" t="s">
        <v>24</v>
      </c>
      <c r="G13941" s="128" t="str">
        <f>VLOOKUP(source[[#This Row],[lending_product_transform]],[3]Mapping!$B$4:$C$37,2,0)</f>
        <v>[Cake] - Cashloan</v>
      </c>
      <c r="H13941" s="128" t="str">
        <f>VLOOKUP(source[[#This Row],[lending_product_transform]],[3]Mapping!$B$3:$D$37,3,0)</f>
        <v>cashloan</v>
      </c>
      <c r="I13941" s="137">
        <v>734770000</v>
      </c>
    </row>
    <row r="13942" spans="1:9" x14ac:dyDescent="0.2">
      <c r="A13942" s="134">
        <v>46102</v>
      </c>
      <c r="B13942" s="135">
        <f>YEAR(source[[#This Row],[report_date]])</f>
        <v>2026</v>
      </c>
      <c r="C13942" s="128">
        <f t="shared" ref="C13942:C14005" si="653">MONTH(A13942)</f>
        <v>3</v>
      </c>
      <c r="D13942" s="136">
        <f t="shared" si="652"/>
        <v>12</v>
      </c>
      <c r="E13942" s="136">
        <f t="shared" ref="E13942:E14005" si="654">DAY(A13942)</f>
        <v>21</v>
      </c>
      <c r="F13942" s="137" t="s">
        <v>24</v>
      </c>
      <c r="G13942" s="128" t="str">
        <f>VLOOKUP(source[[#This Row],[lending_product_transform]],[3]Mapping!$B$4:$C$37,2,0)</f>
        <v>[Cake] - Cashloan</v>
      </c>
      <c r="H13942" s="128" t="str">
        <f>VLOOKUP(source[[#This Row],[lending_product_transform]],[3]Mapping!$B$3:$D$37,3,0)</f>
        <v>cashloan</v>
      </c>
      <c r="I13942" s="137">
        <v>319891352</v>
      </c>
    </row>
    <row r="13943" spans="1:9" x14ac:dyDescent="0.2">
      <c r="A13943" s="134">
        <v>46102</v>
      </c>
      <c r="B13943" s="135">
        <f>YEAR(source[[#This Row],[report_date]])</f>
        <v>2026</v>
      </c>
      <c r="C13943" s="128">
        <f t="shared" si="653"/>
        <v>3</v>
      </c>
      <c r="D13943" s="136">
        <f t="shared" si="652"/>
        <v>12</v>
      </c>
      <c r="E13943" s="136">
        <f t="shared" si="654"/>
        <v>21</v>
      </c>
      <c r="F13943" s="137" t="s">
        <v>24</v>
      </c>
      <c r="G13943" s="128" t="str">
        <f>VLOOKUP(source[[#This Row],[lending_product_transform]],[3]Mapping!$B$4:$C$37,2,0)</f>
        <v>[Cake] - Cashloan</v>
      </c>
      <c r="H13943" s="128" t="str">
        <f>VLOOKUP(source[[#This Row],[lending_product_transform]],[3]Mapping!$B$3:$D$37,3,0)</f>
        <v>cashloan</v>
      </c>
      <c r="I13943" s="137">
        <v>18475940000</v>
      </c>
    </row>
    <row r="13944" spans="1:9" x14ac:dyDescent="0.2">
      <c r="A13944" s="134">
        <v>46102</v>
      </c>
      <c r="B13944" s="135">
        <f>YEAR(source[[#This Row],[report_date]])</f>
        <v>2026</v>
      </c>
      <c r="C13944" s="128">
        <f t="shared" si="653"/>
        <v>3</v>
      </c>
      <c r="D13944" s="136">
        <f t="shared" si="652"/>
        <v>12</v>
      </c>
      <c r="E13944" s="136">
        <f t="shared" si="654"/>
        <v>21</v>
      </c>
      <c r="F13944" s="137" t="s">
        <v>24</v>
      </c>
      <c r="G13944" s="128" t="str">
        <f>VLOOKUP(source[[#This Row],[lending_product_transform]],[3]Mapping!$B$4:$C$37,2,0)</f>
        <v>[Cake] - Cashloan</v>
      </c>
      <c r="H13944" s="128" t="str">
        <f>VLOOKUP(source[[#This Row],[lending_product_transform]],[3]Mapping!$B$3:$D$37,3,0)</f>
        <v>cashloan</v>
      </c>
      <c r="I13944" s="137">
        <v>1471621421</v>
      </c>
    </row>
    <row r="13945" spans="1:9" x14ac:dyDescent="0.2">
      <c r="A13945" s="134">
        <v>46102</v>
      </c>
      <c r="B13945" s="135">
        <f>YEAR(source[[#This Row],[report_date]])</f>
        <v>2026</v>
      </c>
      <c r="C13945" s="128">
        <f t="shared" si="653"/>
        <v>3</v>
      </c>
      <c r="D13945" s="136">
        <f t="shared" si="652"/>
        <v>12</v>
      </c>
      <c r="E13945" s="136">
        <f t="shared" si="654"/>
        <v>21</v>
      </c>
      <c r="F13945" s="137" t="s">
        <v>24</v>
      </c>
      <c r="G13945" s="128" t="str">
        <f>VLOOKUP(source[[#This Row],[lending_product_transform]],[3]Mapping!$B$4:$C$37,2,0)</f>
        <v>[Cake] - Cashloan</v>
      </c>
      <c r="H13945" s="128" t="str">
        <f>VLOOKUP(source[[#This Row],[lending_product_transform]],[3]Mapping!$B$3:$D$37,3,0)</f>
        <v>cashloan</v>
      </c>
      <c r="I13945" s="137">
        <v>12961836000</v>
      </c>
    </row>
    <row r="13946" spans="1:9" x14ac:dyDescent="0.2">
      <c r="A13946" s="134">
        <v>46102</v>
      </c>
      <c r="B13946" s="135">
        <f>YEAR(source[[#This Row],[report_date]])</f>
        <v>2026</v>
      </c>
      <c r="C13946" s="128">
        <f t="shared" si="653"/>
        <v>3</v>
      </c>
      <c r="D13946" s="136">
        <f t="shared" si="652"/>
        <v>12</v>
      </c>
      <c r="E13946" s="136">
        <f t="shared" si="654"/>
        <v>21</v>
      </c>
      <c r="F13946" s="137" t="s">
        <v>24</v>
      </c>
      <c r="G13946" s="128" t="str">
        <f>VLOOKUP(source[[#This Row],[lending_product_transform]],[3]Mapping!$B$4:$C$37,2,0)</f>
        <v>[Cake] - Cashloan</v>
      </c>
      <c r="H13946" s="128" t="str">
        <f>VLOOKUP(source[[#This Row],[lending_product_transform]],[3]Mapping!$B$3:$D$37,3,0)</f>
        <v>cashloan</v>
      </c>
      <c r="I13946" s="137">
        <v>6995860</v>
      </c>
    </row>
    <row r="13947" spans="1:9" x14ac:dyDescent="0.2">
      <c r="A13947" s="134">
        <v>46102</v>
      </c>
      <c r="B13947" s="135">
        <f>YEAR(source[[#This Row],[report_date]])</f>
        <v>2026</v>
      </c>
      <c r="C13947" s="128">
        <f t="shared" si="653"/>
        <v>3</v>
      </c>
      <c r="D13947" s="136">
        <f t="shared" si="652"/>
        <v>12</v>
      </c>
      <c r="E13947" s="136">
        <f t="shared" si="654"/>
        <v>21</v>
      </c>
      <c r="F13947" s="137" t="s">
        <v>24</v>
      </c>
      <c r="G13947" s="128" t="str">
        <f>VLOOKUP(source[[#This Row],[lending_product_transform]],[3]Mapping!$B$4:$C$37,2,0)</f>
        <v>[Cake] - Cashloan</v>
      </c>
      <c r="H13947" s="128" t="str">
        <f>VLOOKUP(source[[#This Row],[lending_product_transform]],[3]Mapping!$B$3:$D$37,3,0)</f>
        <v>cashloan</v>
      </c>
      <c r="I13947" s="137">
        <v>90000000</v>
      </c>
    </row>
    <row r="13948" spans="1:9" x14ac:dyDescent="0.2">
      <c r="A13948" s="134">
        <v>46102</v>
      </c>
      <c r="B13948" s="135">
        <f>YEAR(source[[#This Row],[report_date]])</f>
        <v>2026</v>
      </c>
      <c r="C13948" s="128">
        <f t="shared" si="653"/>
        <v>3</v>
      </c>
      <c r="D13948" s="136">
        <f t="shared" si="652"/>
        <v>12</v>
      </c>
      <c r="E13948" s="136">
        <f t="shared" si="654"/>
        <v>21</v>
      </c>
      <c r="F13948" s="137" t="s">
        <v>24</v>
      </c>
      <c r="G13948" s="128" t="str">
        <f>VLOOKUP(source[[#This Row],[lending_product_transform]],[3]Mapping!$B$4:$C$37,2,0)</f>
        <v>[Cake] - Cashloan</v>
      </c>
      <c r="H13948" s="128" t="str">
        <f>VLOOKUP(source[[#This Row],[lending_product_transform]],[3]Mapping!$B$3:$D$37,3,0)</f>
        <v>cashloan</v>
      </c>
      <c r="I13948" s="137">
        <v>2342230000</v>
      </c>
    </row>
    <row r="13949" spans="1:9" x14ac:dyDescent="0.2">
      <c r="A13949" s="134">
        <v>46102</v>
      </c>
      <c r="B13949" s="135">
        <f>YEAR(source[[#This Row],[report_date]])</f>
        <v>2026</v>
      </c>
      <c r="C13949" s="128">
        <f t="shared" si="653"/>
        <v>3</v>
      </c>
      <c r="D13949" s="136">
        <f t="shared" si="652"/>
        <v>12</v>
      </c>
      <c r="E13949" s="136">
        <f t="shared" si="654"/>
        <v>21</v>
      </c>
      <c r="F13949" s="137" t="s">
        <v>24</v>
      </c>
      <c r="G13949" s="128" t="str">
        <f>VLOOKUP(source[[#This Row],[lending_product_transform]],[3]Mapping!$B$4:$C$37,2,0)</f>
        <v>[Cake] - Cashloan</v>
      </c>
      <c r="H13949" s="128" t="str">
        <f>VLOOKUP(source[[#This Row],[lending_product_transform]],[3]Mapping!$B$3:$D$37,3,0)</f>
        <v>cashloan</v>
      </c>
      <c r="I13949" s="137">
        <v>683760000</v>
      </c>
    </row>
    <row r="13950" spans="1:9" x14ac:dyDescent="0.2">
      <c r="A13950" s="134">
        <v>46102</v>
      </c>
      <c r="B13950" s="135">
        <f>YEAR(source[[#This Row],[report_date]])</f>
        <v>2026</v>
      </c>
      <c r="C13950" s="128">
        <f t="shared" si="653"/>
        <v>3</v>
      </c>
      <c r="D13950" s="136">
        <f t="shared" si="652"/>
        <v>12</v>
      </c>
      <c r="E13950" s="136">
        <f t="shared" si="654"/>
        <v>21</v>
      </c>
      <c r="F13950" s="137" t="s">
        <v>24</v>
      </c>
      <c r="G13950" s="128" t="str">
        <f>VLOOKUP(source[[#This Row],[lending_product_transform]],[3]Mapping!$B$4:$C$37,2,0)</f>
        <v>[Cake] - Cashloan</v>
      </c>
      <c r="H13950" s="128" t="str">
        <f>VLOOKUP(source[[#This Row],[lending_product_transform]],[3]Mapping!$B$3:$D$37,3,0)</f>
        <v>cashloan</v>
      </c>
      <c r="I13950" s="137">
        <v>16060990</v>
      </c>
    </row>
    <row r="13951" spans="1:9" x14ac:dyDescent="0.2">
      <c r="A13951" s="134">
        <v>46102</v>
      </c>
      <c r="B13951" s="135">
        <f>YEAR(source[[#This Row],[report_date]])</f>
        <v>2026</v>
      </c>
      <c r="C13951" s="128">
        <f t="shared" si="653"/>
        <v>3</v>
      </c>
      <c r="D13951" s="136">
        <f t="shared" si="652"/>
        <v>12</v>
      </c>
      <c r="E13951" s="136">
        <f t="shared" si="654"/>
        <v>21</v>
      </c>
      <c r="F13951" s="137" t="s">
        <v>24</v>
      </c>
      <c r="G13951" s="128" t="str">
        <f>VLOOKUP(source[[#This Row],[lending_product_transform]],[3]Mapping!$B$4:$C$37,2,0)</f>
        <v>[Cake] - Cashloan</v>
      </c>
      <c r="H13951" s="128" t="str">
        <f>VLOOKUP(source[[#This Row],[lending_product_transform]],[3]Mapping!$B$3:$D$37,3,0)</f>
        <v>cashloan</v>
      </c>
      <c r="I13951" s="137">
        <v>1271252878</v>
      </c>
    </row>
    <row r="13952" spans="1:9" x14ac:dyDescent="0.2">
      <c r="A13952" s="134">
        <v>46102</v>
      </c>
      <c r="B13952" s="135">
        <f>YEAR(source[[#This Row],[report_date]])</f>
        <v>2026</v>
      </c>
      <c r="C13952" s="128">
        <f t="shared" si="653"/>
        <v>3</v>
      </c>
      <c r="D13952" s="136">
        <f t="shared" si="652"/>
        <v>12</v>
      </c>
      <c r="E13952" s="136">
        <f t="shared" si="654"/>
        <v>21</v>
      </c>
      <c r="F13952" s="137" t="s">
        <v>24</v>
      </c>
      <c r="G13952" s="128" t="str">
        <f>VLOOKUP(source[[#This Row],[lending_product_transform]],[3]Mapping!$B$4:$C$37,2,0)</f>
        <v>[Cake] - Cashloan</v>
      </c>
      <c r="H13952" s="128" t="str">
        <f>VLOOKUP(source[[#This Row],[lending_product_transform]],[3]Mapping!$B$3:$D$37,3,0)</f>
        <v>cashloan</v>
      </c>
      <c r="I13952" s="137">
        <v>0</v>
      </c>
    </row>
    <row r="13953" spans="1:9" x14ac:dyDescent="0.2">
      <c r="A13953" s="134">
        <v>46102</v>
      </c>
      <c r="B13953" s="135">
        <f>YEAR(source[[#This Row],[report_date]])</f>
        <v>2026</v>
      </c>
      <c r="C13953" s="128">
        <f t="shared" si="653"/>
        <v>3</v>
      </c>
      <c r="D13953" s="136">
        <f t="shared" si="652"/>
        <v>12</v>
      </c>
      <c r="E13953" s="136">
        <f t="shared" si="654"/>
        <v>21</v>
      </c>
      <c r="F13953" s="137" t="s">
        <v>24</v>
      </c>
      <c r="G13953" s="128" t="str">
        <f>VLOOKUP(source[[#This Row],[lending_product_transform]],[3]Mapping!$B$4:$C$37,2,0)</f>
        <v>[Cake] - Cashloan</v>
      </c>
      <c r="H13953" s="128" t="str">
        <f>VLOOKUP(source[[#This Row],[lending_product_transform]],[3]Mapping!$B$3:$D$37,3,0)</f>
        <v>cashloan</v>
      </c>
      <c r="I13953" s="137">
        <v>26250000</v>
      </c>
    </row>
    <row r="13954" spans="1:9" x14ac:dyDescent="0.2">
      <c r="A13954" s="134">
        <v>46102</v>
      </c>
      <c r="B13954" s="135">
        <f>YEAR(source[[#This Row],[report_date]])</f>
        <v>2026</v>
      </c>
      <c r="C13954" s="128">
        <f t="shared" si="653"/>
        <v>3</v>
      </c>
      <c r="D13954" s="136">
        <f t="shared" si="652"/>
        <v>12</v>
      </c>
      <c r="E13954" s="136">
        <f t="shared" si="654"/>
        <v>21</v>
      </c>
      <c r="F13954" s="137" t="s">
        <v>24</v>
      </c>
      <c r="G13954" s="128" t="str">
        <f>VLOOKUP(source[[#This Row],[lending_product_transform]],[3]Mapping!$B$4:$C$37,2,0)</f>
        <v>[Cake] - Cashloan</v>
      </c>
      <c r="H13954" s="128" t="str">
        <f>VLOOKUP(source[[#This Row],[lending_product_transform]],[3]Mapping!$B$3:$D$37,3,0)</f>
        <v>cashloan</v>
      </c>
      <c r="I13954" s="137">
        <v>0</v>
      </c>
    </row>
    <row r="13955" spans="1:9" x14ac:dyDescent="0.2">
      <c r="A13955" s="134">
        <v>46102</v>
      </c>
      <c r="B13955" s="135">
        <f>YEAR(source[[#This Row],[report_date]])</f>
        <v>2026</v>
      </c>
      <c r="C13955" s="128">
        <f t="shared" si="653"/>
        <v>3</v>
      </c>
      <c r="D13955" s="136">
        <f t="shared" si="652"/>
        <v>12</v>
      </c>
      <c r="E13955" s="136">
        <f t="shared" si="654"/>
        <v>21</v>
      </c>
      <c r="F13955" s="137" t="s">
        <v>24</v>
      </c>
      <c r="G13955" s="128" t="str">
        <f>VLOOKUP(source[[#This Row],[lending_product_transform]],[3]Mapping!$B$4:$C$37,2,0)</f>
        <v>[Cake] - Cashloan</v>
      </c>
      <c r="H13955" s="128" t="str">
        <f>VLOOKUP(source[[#This Row],[lending_product_transform]],[3]Mapping!$B$3:$D$37,3,0)</f>
        <v>cashloan</v>
      </c>
      <c r="I13955" s="137">
        <v>16057500000</v>
      </c>
    </row>
    <row r="13956" spans="1:9" x14ac:dyDescent="0.2">
      <c r="A13956" s="134">
        <v>46102</v>
      </c>
      <c r="B13956" s="135">
        <f>YEAR(source[[#This Row],[report_date]])</f>
        <v>2026</v>
      </c>
      <c r="C13956" s="128">
        <f t="shared" si="653"/>
        <v>3</v>
      </c>
      <c r="D13956" s="136">
        <f t="shared" si="652"/>
        <v>12</v>
      </c>
      <c r="E13956" s="136">
        <f t="shared" si="654"/>
        <v>21</v>
      </c>
      <c r="F13956" s="137" t="s">
        <v>24</v>
      </c>
      <c r="G13956" s="128" t="str">
        <f>VLOOKUP(source[[#This Row],[lending_product_transform]],[3]Mapping!$B$4:$C$37,2,0)</f>
        <v>[Cake] - Cashloan</v>
      </c>
      <c r="H13956" s="128" t="str">
        <f>VLOOKUP(source[[#This Row],[lending_product_transform]],[3]Mapping!$B$3:$D$37,3,0)</f>
        <v>cashloan</v>
      </c>
      <c r="I13956" s="137">
        <v>0</v>
      </c>
    </row>
    <row r="13957" spans="1:9" x14ac:dyDescent="0.2">
      <c r="A13957" s="134">
        <v>46102</v>
      </c>
      <c r="B13957" s="135">
        <f>YEAR(source[[#This Row],[report_date]])</f>
        <v>2026</v>
      </c>
      <c r="C13957" s="128">
        <f t="shared" si="653"/>
        <v>3</v>
      </c>
      <c r="D13957" s="136">
        <f t="shared" si="652"/>
        <v>12</v>
      </c>
      <c r="E13957" s="136">
        <f t="shared" si="654"/>
        <v>21</v>
      </c>
      <c r="F13957" s="137" t="s">
        <v>24</v>
      </c>
      <c r="G13957" s="128" t="str">
        <f>VLOOKUP(source[[#This Row],[lending_product_transform]],[3]Mapping!$B$4:$C$37,2,0)</f>
        <v>[Cake] - Cashloan</v>
      </c>
      <c r="H13957" s="128" t="str">
        <f>VLOOKUP(source[[#This Row],[lending_product_transform]],[3]Mapping!$B$3:$D$37,3,0)</f>
        <v>cashloan</v>
      </c>
      <c r="I13957" s="137">
        <v>0</v>
      </c>
    </row>
    <row r="13958" spans="1:9" x14ac:dyDescent="0.2">
      <c r="A13958" s="134">
        <v>46102</v>
      </c>
      <c r="B13958" s="135">
        <f>YEAR(source[[#This Row],[report_date]])</f>
        <v>2026</v>
      </c>
      <c r="C13958" s="128">
        <f t="shared" si="653"/>
        <v>3</v>
      </c>
      <c r="D13958" s="136">
        <f t="shared" si="652"/>
        <v>12</v>
      </c>
      <c r="E13958" s="136">
        <f t="shared" si="654"/>
        <v>21</v>
      </c>
      <c r="F13958" s="137" t="s">
        <v>24</v>
      </c>
      <c r="G13958" s="128" t="str">
        <f>VLOOKUP(source[[#This Row],[lending_product_transform]],[3]Mapping!$B$4:$C$37,2,0)</f>
        <v>[Cake] - Cashloan</v>
      </c>
      <c r="H13958" s="128" t="str">
        <f>VLOOKUP(source[[#This Row],[lending_product_transform]],[3]Mapping!$B$3:$D$37,3,0)</f>
        <v>cashloan</v>
      </c>
      <c r="I13958" s="137">
        <v>0</v>
      </c>
    </row>
    <row r="13959" spans="1:9" x14ac:dyDescent="0.2">
      <c r="A13959" s="134">
        <v>46102</v>
      </c>
      <c r="B13959" s="135">
        <f>YEAR(source[[#This Row],[report_date]])</f>
        <v>2026</v>
      </c>
      <c r="C13959" s="128">
        <f t="shared" si="653"/>
        <v>3</v>
      </c>
      <c r="D13959" s="136">
        <f t="shared" si="652"/>
        <v>12</v>
      </c>
      <c r="E13959" s="136">
        <f t="shared" si="654"/>
        <v>21</v>
      </c>
      <c r="F13959" s="137" t="s">
        <v>24</v>
      </c>
      <c r="G13959" s="128" t="str">
        <f>VLOOKUP(source[[#This Row],[lending_product_transform]],[3]Mapping!$B$4:$C$37,2,0)</f>
        <v>[Cake] - Cashloan</v>
      </c>
      <c r="H13959" s="128" t="str">
        <f>VLOOKUP(source[[#This Row],[lending_product_transform]],[3]Mapping!$B$3:$D$37,3,0)</f>
        <v>cashloan</v>
      </c>
      <c r="I13959" s="137">
        <v>0</v>
      </c>
    </row>
    <row r="13960" spans="1:9" x14ac:dyDescent="0.2">
      <c r="A13960" s="134">
        <v>46102</v>
      </c>
      <c r="B13960" s="135">
        <f>YEAR(source[[#This Row],[report_date]])</f>
        <v>2026</v>
      </c>
      <c r="C13960" s="128">
        <f t="shared" si="653"/>
        <v>3</v>
      </c>
      <c r="D13960" s="136">
        <f t="shared" si="652"/>
        <v>12</v>
      </c>
      <c r="E13960" s="136">
        <f t="shared" si="654"/>
        <v>21</v>
      </c>
      <c r="F13960" s="137" t="s">
        <v>24</v>
      </c>
      <c r="G13960" s="128" t="str">
        <f>VLOOKUP(source[[#This Row],[lending_product_transform]],[3]Mapping!$B$4:$C$37,2,0)</f>
        <v>[Cake] - Cashloan</v>
      </c>
      <c r="H13960" s="128" t="str">
        <f>VLOOKUP(source[[#This Row],[lending_product_transform]],[3]Mapping!$B$3:$D$37,3,0)</f>
        <v>cashloan</v>
      </c>
      <c r="I13960" s="137">
        <v>10785096000</v>
      </c>
    </row>
    <row r="13961" spans="1:9" x14ac:dyDescent="0.2">
      <c r="A13961" s="134">
        <v>46102</v>
      </c>
      <c r="B13961" s="135">
        <f>YEAR(source[[#This Row],[report_date]])</f>
        <v>2026</v>
      </c>
      <c r="C13961" s="128">
        <f t="shared" si="653"/>
        <v>3</v>
      </c>
      <c r="D13961" s="136">
        <f t="shared" si="652"/>
        <v>12</v>
      </c>
      <c r="E13961" s="136">
        <f t="shared" si="654"/>
        <v>21</v>
      </c>
      <c r="F13961" s="137" t="s">
        <v>24</v>
      </c>
      <c r="G13961" s="128" t="str">
        <f>VLOOKUP(source[[#This Row],[lending_product_transform]],[3]Mapping!$B$4:$C$37,2,0)</f>
        <v>[Cake] - Cashloan</v>
      </c>
      <c r="H13961" s="128" t="str">
        <f>VLOOKUP(source[[#This Row],[lending_product_transform]],[3]Mapping!$B$3:$D$37,3,0)</f>
        <v>cashloan</v>
      </c>
      <c r="I13961" s="137">
        <v>173243458</v>
      </c>
    </row>
    <row r="13962" spans="1:9" x14ac:dyDescent="0.2">
      <c r="A13962" s="134">
        <v>46102</v>
      </c>
      <c r="B13962" s="135">
        <f>YEAR(source[[#This Row],[report_date]])</f>
        <v>2026</v>
      </c>
      <c r="C13962" s="128">
        <f t="shared" si="653"/>
        <v>3</v>
      </c>
      <c r="D13962" s="136">
        <f t="shared" si="652"/>
        <v>12</v>
      </c>
      <c r="E13962" s="136">
        <f t="shared" si="654"/>
        <v>21</v>
      </c>
      <c r="F13962" s="137" t="s">
        <v>24</v>
      </c>
      <c r="G13962" s="128" t="str">
        <f>VLOOKUP(source[[#This Row],[lending_product_transform]],[3]Mapping!$B$4:$C$37,2,0)</f>
        <v>[Cake] - Cashloan</v>
      </c>
      <c r="H13962" s="128" t="str">
        <f>VLOOKUP(source[[#This Row],[lending_product_transform]],[3]Mapping!$B$3:$D$37,3,0)</f>
        <v>cashloan</v>
      </c>
      <c r="I13962" s="137">
        <v>72500000</v>
      </c>
    </row>
    <row r="13963" spans="1:9" x14ac:dyDescent="0.2">
      <c r="A13963" s="134">
        <v>46102</v>
      </c>
      <c r="B13963" s="135">
        <f>YEAR(source[[#This Row],[report_date]])</f>
        <v>2026</v>
      </c>
      <c r="C13963" s="128">
        <f t="shared" si="653"/>
        <v>3</v>
      </c>
      <c r="D13963" s="136">
        <f t="shared" si="652"/>
        <v>12</v>
      </c>
      <c r="E13963" s="136">
        <f t="shared" si="654"/>
        <v>21</v>
      </c>
      <c r="F13963" s="137" t="s">
        <v>24</v>
      </c>
      <c r="G13963" s="128" t="str">
        <f>VLOOKUP(source[[#This Row],[lending_product_transform]],[3]Mapping!$B$4:$C$37,2,0)</f>
        <v>[Cake] - Cashloan</v>
      </c>
      <c r="H13963" s="128" t="str">
        <f>VLOOKUP(source[[#This Row],[lending_product_transform]],[3]Mapping!$B$3:$D$37,3,0)</f>
        <v>cashloan</v>
      </c>
      <c r="I13963" s="137">
        <v>55000000</v>
      </c>
    </row>
    <row r="13964" spans="1:9" x14ac:dyDescent="0.2">
      <c r="A13964" s="134">
        <v>46102</v>
      </c>
      <c r="B13964" s="135">
        <f>YEAR(source[[#This Row],[report_date]])</f>
        <v>2026</v>
      </c>
      <c r="C13964" s="128">
        <f t="shared" si="653"/>
        <v>3</v>
      </c>
      <c r="D13964" s="136">
        <f t="shared" si="652"/>
        <v>12</v>
      </c>
      <c r="E13964" s="136">
        <f t="shared" si="654"/>
        <v>21</v>
      </c>
      <c r="F13964" s="137" t="s">
        <v>24</v>
      </c>
      <c r="G13964" s="128" t="str">
        <f>VLOOKUP(source[[#This Row],[lending_product_transform]],[3]Mapping!$B$4:$C$37,2,0)</f>
        <v>[Cake] - Cashloan</v>
      </c>
      <c r="H13964" s="128" t="str">
        <f>VLOOKUP(source[[#This Row],[lending_product_transform]],[3]Mapping!$B$3:$D$37,3,0)</f>
        <v>cashloan</v>
      </c>
      <c r="I13964" s="137">
        <v>800800000</v>
      </c>
    </row>
    <row r="13965" spans="1:9" x14ac:dyDescent="0.2">
      <c r="A13965" s="134">
        <v>46102</v>
      </c>
      <c r="B13965" s="135">
        <f>YEAR(source[[#This Row],[report_date]])</f>
        <v>2026</v>
      </c>
      <c r="C13965" s="128">
        <f t="shared" si="653"/>
        <v>3</v>
      </c>
      <c r="D13965" s="136">
        <f t="shared" si="652"/>
        <v>12</v>
      </c>
      <c r="E13965" s="136">
        <f t="shared" si="654"/>
        <v>21</v>
      </c>
      <c r="F13965" s="137" t="s">
        <v>24</v>
      </c>
      <c r="G13965" s="128" t="str">
        <f>VLOOKUP(source[[#This Row],[lending_product_transform]],[3]Mapping!$B$4:$C$37,2,0)</f>
        <v>[Cake] - Cashloan</v>
      </c>
      <c r="H13965" s="128" t="str">
        <f>VLOOKUP(source[[#This Row],[lending_product_transform]],[3]Mapping!$B$3:$D$37,3,0)</f>
        <v>cashloan</v>
      </c>
      <c r="I13965" s="137">
        <v>314928000</v>
      </c>
    </row>
    <row r="13966" spans="1:9" x14ac:dyDescent="0.2">
      <c r="A13966" s="134">
        <v>46102</v>
      </c>
      <c r="B13966" s="135">
        <f>YEAR(source[[#This Row],[report_date]])</f>
        <v>2026</v>
      </c>
      <c r="C13966" s="128">
        <f t="shared" si="653"/>
        <v>3</v>
      </c>
      <c r="D13966" s="136">
        <f t="shared" si="652"/>
        <v>12</v>
      </c>
      <c r="E13966" s="136">
        <f t="shared" si="654"/>
        <v>21</v>
      </c>
      <c r="F13966" s="137" t="s">
        <v>24</v>
      </c>
      <c r="G13966" s="128" t="str">
        <f>VLOOKUP(source[[#This Row],[lending_product_transform]],[3]Mapping!$B$4:$C$37,2,0)</f>
        <v>[Cake] - Cashloan</v>
      </c>
      <c r="H13966" s="128" t="str">
        <f>VLOOKUP(source[[#This Row],[lending_product_transform]],[3]Mapping!$B$3:$D$37,3,0)</f>
        <v>cashloan</v>
      </c>
      <c r="I13966" s="137">
        <v>252798773</v>
      </c>
    </row>
    <row r="13967" spans="1:9" x14ac:dyDescent="0.2">
      <c r="A13967" s="134">
        <v>46102</v>
      </c>
      <c r="B13967" s="135">
        <f>YEAR(source[[#This Row],[report_date]])</f>
        <v>2026</v>
      </c>
      <c r="C13967" s="128">
        <f t="shared" si="653"/>
        <v>3</v>
      </c>
      <c r="D13967" s="136">
        <f t="shared" si="652"/>
        <v>12</v>
      </c>
      <c r="E13967" s="136">
        <f t="shared" si="654"/>
        <v>21</v>
      </c>
      <c r="F13967" s="137" t="s">
        <v>24</v>
      </c>
      <c r="G13967" s="128" t="str">
        <f>VLOOKUP(source[[#This Row],[lending_product_transform]],[3]Mapping!$B$4:$C$37,2,0)</f>
        <v>[Cake] - Cashloan</v>
      </c>
      <c r="H13967" s="128" t="str">
        <f>VLOOKUP(source[[#This Row],[lending_product_transform]],[3]Mapping!$B$3:$D$37,3,0)</f>
        <v>cashloan</v>
      </c>
      <c r="I13967" s="137">
        <v>3304280000</v>
      </c>
    </row>
    <row r="13968" spans="1:9" x14ac:dyDescent="0.2">
      <c r="A13968" s="134">
        <v>46102</v>
      </c>
      <c r="B13968" s="135">
        <f>YEAR(source[[#This Row],[report_date]])</f>
        <v>2026</v>
      </c>
      <c r="C13968" s="128">
        <f t="shared" si="653"/>
        <v>3</v>
      </c>
      <c r="D13968" s="136">
        <f t="shared" si="652"/>
        <v>12</v>
      </c>
      <c r="E13968" s="136">
        <f t="shared" si="654"/>
        <v>21</v>
      </c>
      <c r="F13968" s="137" t="s">
        <v>24</v>
      </c>
      <c r="G13968" s="128" t="str">
        <f>VLOOKUP(source[[#This Row],[lending_product_transform]],[3]Mapping!$B$4:$C$37,2,0)</f>
        <v>[Cake] - Cashloan</v>
      </c>
      <c r="H13968" s="128" t="str">
        <f>VLOOKUP(source[[#This Row],[lending_product_transform]],[3]Mapping!$B$3:$D$37,3,0)</f>
        <v>cashloan</v>
      </c>
      <c r="I13968" s="137">
        <v>29160000</v>
      </c>
    </row>
    <row r="13969" spans="1:9" x14ac:dyDescent="0.2">
      <c r="A13969" s="134">
        <v>46103</v>
      </c>
      <c r="B13969" s="135">
        <f>YEAR(source[[#This Row],[report_date]])</f>
        <v>2026</v>
      </c>
      <c r="C13969" s="128">
        <f t="shared" si="653"/>
        <v>3</v>
      </c>
      <c r="D13969" s="136">
        <f t="shared" ref="D13969:D14032" si="655">WEEKNUM(A13969,2)</f>
        <v>12</v>
      </c>
      <c r="E13969" s="136">
        <f t="shared" si="654"/>
        <v>22</v>
      </c>
      <c r="F13969" s="137" t="s">
        <v>24</v>
      </c>
      <c r="G13969" s="128" t="str">
        <f>VLOOKUP(source[[#This Row],[lending_product_transform]],[3]Mapping!$B$4:$C$37,2,0)</f>
        <v>[Cake] - Cashloan</v>
      </c>
      <c r="H13969" s="128" t="str">
        <f>VLOOKUP(source[[#This Row],[lending_product_transform]],[3]Mapping!$B$3:$D$37,3,0)</f>
        <v>cashloan</v>
      </c>
      <c r="I13969" s="137">
        <v>607520000</v>
      </c>
    </row>
    <row r="13970" spans="1:9" x14ac:dyDescent="0.2">
      <c r="A13970" s="134">
        <v>46103</v>
      </c>
      <c r="B13970" s="135">
        <f>YEAR(source[[#This Row],[report_date]])</f>
        <v>2026</v>
      </c>
      <c r="C13970" s="128">
        <f t="shared" si="653"/>
        <v>3</v>
      </c>
      <c r="D13970" s="136">
        <f t="shared" si="655"/>
        <v>12</v>
      </c>
      <c r="E13970" s="136">
        <f t="shared" si="654"/>
        <v>22</v>
      </c>
      <c r="F13970" s="137" t="s">
        <v>24</v>
      </c>
      <c r="G13970" s="128" t="str">
        <f>VLOOKUP(source[[#This Row],[lending_product_transform]],[3]Mapping!$B$4:$C$37,2,0)</f>
        <v>[Cake] - Cashloan</v>
      </c>
      <c r="H13970" s="128" t="str">
        <f>VLOOKUP(source[[#This Row],[lending_product_transform]],[3]Mapping!$B$3:$D$37,3,0)</f>
        <v>cashloan</v>
      </c>
      <c r="I13970" s="137">
        <v>342822230</v>
      </c>
    </row>
    <row r="13971" spans="1:9" x14ac:dyDescent="0.2">
      <c r="A13971" s="134">
        <v>46103</v>
      </c>
      <c r="B13971" s="135">
        <f>YEAR(source[[#This Row],[report_date]])</f>
        <v>2026</v>
      </c>
      <c r="C13971" s="128">
        <f t="shared" si="653"/>
        <v>3</v>
      </c>
      <c r="D13971" s="136">
        <f t="shared" si="655"/>
        <v>12</v>
      </c>
      <c r="E13971" s="136">
        <f t="shared" si="654"/>
        <v>22</v>
      </c>
      <c r="F13971" s="137" t="s">
        <v>24</v>
      </c>
      <c r="G13971" s="128" t="str">
        <f>VLOOKUP(source[[#This Row],[lending_product_transform]],[3]Mapping!$B$4:$C$37,2,0)</f>
        <v>[Cake] - Cashloan</v>
      </c>
      <c r="H13971" s="128" t="str">
        <f>VLOOKUP(source[[#This Row],[lending_product_transform]],[3]Mapping!$B$3:$D$37,3,0)</f>
        <v>cashloan</v>
      </c>
      <c r="I13971" s="137">
        <v>14779100000</v>
      </c>
    </row>
    <row r="13972" spans="1:9" x14ac:dyDescent="0.2">
      <c r="A13972" s="134">
        <v>46103</v>
      </c>
      <c r="B13972" s="135">
        <f>YEAR(source[[#This Row],[report_date]])</f>
        <v>2026</v>
      </c>
      <c r="C13972" s="128">
        <f t="shared" si="653"/>
        <v>3</v>
      </c>
      <c r="D13972" s="136">
        <f t="shared" si="655"/>
        <v>12</v>
      </c>
      <c r="E13972" s="136">
        <f t="shared" si="654"/>
        <v>22</v>
      </c>
      <c r="F13972" s="137" t="s">
        <v>24</v>
      </c>
      <c r="G13972" s="128" t="str">
        <f>VLOOKUP(source[[#This Row],[lending_product_transform]],[3]Mapping!$B$4:$C$37,2,0)</f>
        <v>[Cake] - Cashloan</v>
      </c>
      <c r="H13972" s="128" t="str">
        <f>VLOOKUP(source[[#This Row],[lending_product_transform]],[3]Mapping!$B$3:$D$37,3,0)</f>
        <v>cashloan</v>
      </c>
      <c r="I13972" s="137">
        <v>1530795139</v>
      </c>
    </row>
    <row r="13973" spans="1:9" x14ac:dyDescent="0.2">
      <c r="A13973" s="134">
        <v>46103</v>
      </c>
      <c r="B13973" s="135">
        <f>YEAR(source[[#This Row],[report_date]])</f>
        <v>2026</v>
      </c>
      <c r="C13973" s="128">
        <f t="shared" si="653"/>
        <v>3</v>
      </c>
      <c r="D13973" s="136">
        <f t="shared" si="655"/>
        <v>12</v>
      </c>
      <c r="E13973" s="136">
        <f t="shared" si="654"/>
        <v>22</v>
      </c>
      <c r="F13973" s="137" t="s">
        <v>24</v>
      </c>
      <c r="G13973" s="128" t="str">
        <f>VLOOKUP(source[[#This Row],[lending_product_transform]],[3]Mapping!$B$4:$C$37,2,0)</f>
        <v>[Cake] - Cashloan</v>
      </c>
      <c r="H13973" s="128" t="str">
        <f>VLOOKUP(source[[#This Row],[lending_product_transform]],[3]Mapping!$B$3:$D$37,3,0)</f>
        <v>cashloan</v>
      </c>
      <c r="I13973" s="137">
        <v>12373560000</v>
      </c>
    </row>
    <row r="13974" spans="1:9" x14ac:dyDescent="0.2">
      <c r="A13974" s="134">
        <v>46103</v>
      </c>
      <c r="B13974" s="135">
        <f>YEAR(source[[#This Row],[report_date]])</f>
        <v>2026</v>
      </c>
      <c r="C13974" s="128">
        <f t="shared" si="653"/>
        <v>3</v>
      </c>
      <c r="D13974" s="136">
        <f t="shared" si="655"/>
        <v>12</v>
      </c>
      <c r="E13974" s="136">
        <f t="shared" si="654"/>
        <v>22</v>
      </c>
      <c r="F13974" s="137" t="s">
        <v>24</v>
      </c>
      <c r="G13974" s="128" t="str">
        <f>VLOOKUP(source[[#This Row],[lending_product_transform]],[3]Mapping!$B$4:$C$37,2,0)</f>
        <v>[Cake] - Cashloan</v>
      </c>
      <c r="H13974" s="128" t="str">
        <f>VLOOKUP(source[[#This Row],[lending_product_transform]],[3]Mapping!$B$3:$D$37,3,0)</f>
        <v>cashloan</v>
      </c>
      <c r="I13974" s="137">
        <v>1440172</v>
      </c>
    </row>
    <row r="13975" spans="1:9" x14ac:dyDescent="0.2">
      <c r="A13975" s="134">
        <v>46103</v>
      </c>
      <c r="B13975" s="135">
        <f>YEAR(source[[#This Row],[report_date]])</f>
        <v>2026</v>
      </c>
      <c r="C13975" s="128">
        <f t="shared" si="653"/>
        <v>3</v>
      </c>
      <c r="D13975" s="136">
        <f t="shared" si="655"/>
        <v>12</v>
      </c>
      <c r="E13975" s="136">
        <f t="shared" si="654"/>
        <v>22</v>
      </c>
      <c r="F13975" s="137" t="s">
        <v>24</v>
      </c>
      <c r="G13975" s="128" t="str">
        <f>VLOOKUP(source[[#This Row],[lending_product_transform]],[3]Mapping!$B$4:$C$37,2,0)</f>
        <v>[Cake] - Cashloan</v>
      </c>
      <c r="H13975" s="128" t="str">
        <f>VLOOKUP(source[[#This Row],[lending_product_transform]],[3]Mapping!$B$3:$D$37,3,0)</f>
        <v>cashloan</v>
      </c>
      <c r="I13975" s="137">
        <v>0</v>
      </c>
    </row>
    <row r="13976" spans="1:9" x14ac:dyDescent="0.2">
      <c r="A13976" s="134">
        <v>46103</v>
      </c>
      <c r="B13976" s="135">
        <f>YEAR(source[[#This Row],[report_date]])</f>
        <v>2026</v>
      </c>
      <c r="C13976" s="128">
        <f t="shared" si="653"/>
        <v>3</v>
      </c>
      <c r="D13976" s="136">
        <f t="shared" si="655"/>
        <v>12</v>
      </c>
      <c r="E13976" s="136">
        <f t="shared" si="654"/>
        <v>22</v>
      </c>
      <c r="F13976" s="137" t="s">
        <v>24</v>
      </c>
      <c r="G13976" s="128" t="str">
        <f>VLOOKUP(source[[#This Row],[lending_product_transform]],[3]Mapping!$B$4:$C$37,2,0)</f>
        <v>[Cake] - Cashloan</v>
      </c>
      <c r="H13976" s="128" t="str">
        <f>VLOOKUP(source[[#This Row],[lending_product_transform]],[3]Mapping!$B$3:$D$37,3,0)</f>
        <v>cashloan</v>
      </c>
      <c r="I13976" s="137">
        <v>2681070000</v>
      </c>
    </row>
    <row r="13977" spans="1:9" x14ac:dyDescent="0.2">
      <c r="A13977" s="134">
        <v>46103</v>
      </c>
      <c r="B13977" s="135">
        <f>YEAR(source[[#This Row],[report_date]])</f>
        <v>2026</v>
      </c>
      <c r="C13977" s="128">
        <f t="shared" si="653"/>
        <v>3</v>
      </c>
      <c r="D13977" s="136">
        <f t="shared" si="655"/>
        <v>12</v>
      </c>
      <c r="E13977" s="136">
        <f t="shared" si="654"/>
        <v>22</v>
      </c>
      <c r="F13977" s="137" t="s">
        <v>24</v>
      </c>
      <c r="G13977" s="128" t="str">
        <f>VLOOKUP(source[[#This Row],[lending_product_transform]],[3]Mapping!$B$4:$C$37,2,0)</f>
        <v>[Cake] - Cashloan</v>
      </c>
      <c r="H13977" s="128" t="str">
        <f>VLOOKUP(source[[#This Row],[lending_product_transform]],[3]Mapping!$B$3:$D$37,3,0)</f>
        <v>cashloan</v>
      </c>
      <c r="I13977" s="137">
        <v>861180000</v>
      </c>
    </row>
    <row r="13978" spans="1:9" x14ac:dyDescent="0.2">
      <c r="A13978" s="134">
        <v>46103</v>
      </c>
      <c r="B13978" s="135">
        <f>YEAR(source[[#This Row],[report_date]])</f>
        <v>2026</v>
      </c>
      <c r="C13978" s="128">
        <f t="shared" si="653"/>
        <v>3</v>
      </c>
      <c r="D13978" s="136">
        <f t="shared" si="655"/>
        <v>12</v>
      </c>
      <c r="E13978" s="136">
        <f t="shared" si="654"/>
        <v>22</v>
      </c>
      <c r="F13978" s="137" t="s">
        <v>24</v>
      </c>
      <c r="G13978" s="128" t="str">
        <f>VLOOKUP(source[[#This Row],[lending_product_transform]],[3]Mapping!$B$4:$C$37,2,0)</f>
        <v>[Cake] - Cashloan</v>
      </c>
      <c r="H13978" s="128" t="str">
        <f>VLOOKUP(source[[#This Row],[lending_product_transform]],[3]Mapping!$B$3:$D$37,3,0)</f>
        <v>cashloan</v>
      </c>
      <c r="I13978" s="137">
        <v>3268232</v>
      </c>
    </row>
    <row r="13979" spans="1:9" x14ac:dyDescent="0.2">
      <c r="A13979" s="134">
        <v>46103</v>
      </c>
      <c r="B13979" s="135">
        <f>YEAR(source[[#This Row],[report_date]])</f>
        <v>2026</v>
      </c>
      <c r="C13979" s="128">
        <f t="shared" si="653"/>
        <v>3</v>
      </c>
      <c r="D13979" s="136">
        <f t="shared" si="655"/>
        <v>12</v>
      </c>
      <c r="E13979" s="136">
        <f t="shared" si="654"/>
        <v>22</v>
      </c>
      <c r="F13979" s="137" t="s">
        <v>24</v>
      </c>
      <c r="G13979" s="128" t="str">
        <f>VLOOKUP(source[[#This Row],[lending_product_transform]],[3]Mapping!$B$4:$C$37,2,0)</f>
        <v>[Cake] - Cashloan</v>
      </c>
      <c r="H13979" s="128" t="str">
        <f>VLOOKUP(source[[#This Row],[lending_product_transform]],[3]Mapping!$B$3:$D$37,3,0)</f>
        <v>cashloan</v>
      </c>
      <c r="I13979" s="137">
        <v>974267581</v>
      </c>
    </row>
    <row r="13980" spans="1:9" x14ac:dyDescent="0.2">
      <c r="A13980" s="134">
        <v>46103</v>
      </c>
      <c r="B13980" s="135">
        <f>YEAR(source[[#This Row],[report_date]])</f>
        <v>2026</v>
      </c>
      <c r="C13980" s="128">
        <f t="shared" si="653"/>
        <v>3</v>
      </c>
      <c r="D13980" s="136">
        <f t="shared" si="655"/>
        <v>12</v>
      </c>
      <c r="E13980" s="136">
        <f t="shared" si="654"/>
        <v>22</v>
      </c>
      <c r="F13980" s="137" t="s">
        <v>24</v>
      </c>
      <c r="G13980" s="128" t="str">
        <f>VLOOKUP(source[[#This Row],[lending_product_transform]],[3]Mapping!$B$4:$C$37,2,0)</f>
        <v>[Cake] - Cashloan</v>
      </c>
      <c r="H13980" s="128" t="str">
        <f>VLOOKUP(source[[#This Row],[lending_product_transform]],[3]Mapping!$B$3:$D$37,3,0)</f>
        <v>cashloan</v>
      </c>
      <c r="I13980" s="137">
        <v>0</v>
      </c>
    </row>
    <row r="13981" spans="1:9" x14ac:dyDescent="0.2">
      <c r="A13981" s="134">
        <v>46103</v>
      </c>
      <c r="B13981" s="135">
        <f>YEAR(source[[#This Row],[report_date]])</f>
        <v>2026</v>
      </c>
      <c r="C13981" s="128">
        <f t="shared" si="653"/>
        <v>3</v>
      </c>
      <c r="D13981" s="136">
        <f t="shared" si="655"/>
        <v>12</v>
      </c>
      <c r="E13981" s="136">
        <f t="shared" si="654"/>
        <v>22</v>
      </c>
      <c r="F13981" s="137" t="s">
        <v>24</v>
      </c>
      <c r="G13981" s="128" t="str">
        <f>VLOOKUP(source[[#This Row],[lending_product_transform]],[3]Mapping!$B$4:$C$37,2,0)</f>
        <v>[Cake] - Cashloan</v>
      </c>
      <c r="H13981" s="128" t="str">
        <f>VLOOKUP(source[[#This Row],[lending_product_transform]],[3]Mapping!$B$3:$D$37,3,0)</f>
        <v>cashloan</v>
      </c>
      <c r="I13981" s="137">
        <v>0</v>
      </c>
    </row>
    <row r="13982" spans="1:9" x14ac:dyDescent="0.2">
      <c r="A13982" s="134">
        <v>46103</v>
      </c>
      <c r="B13982" s="135">
        <f>YEAR(source[[#This Row],[report_date]])</f>
        <v>2026</v>
      </c>
      <c r="C13982" s="128">
        <f t="shared" si="653"/>
        <v>3</v>
      </c>
      <c r="D13982" s="136">
        <f t="shared" si="655"/>
        <v>12</v>
      </c>
      <c r="E13982" s="136">
        <f t="shared" si="654"/>
        <v>22</v>
      </c>
      <c r="F13982" s="137" t="s">
        <v>24</v>
      </c>
      <c r="G13982" s="128" t="str">
        <f>VLOOKUP(source[[#This Row],[lending_product_transform]],[3]Mapping!$B$4:$C$37,2,0)</f>
        <v>[Cake] - Cashloan</v>
      </c>
      <c r="H13982" s="128" t="str">
        <f>VLOOKUP(source[[#This Row],[lending_product_transform]],[3]Mapping!$B$3:$D$37,3,0)</f>
        <v>cashloan</v>
      </c>
      <c r="I13982" s="137">
        <v>0</v>
      </c>
    </row>
    <row r="13983" spans="1:9" x14ac:dyDescent="0.2">
      <c r="A13983" s="134">
        <v>46103</v>
      </c>
      <c r="B13983" s="135">
        <f>YEAR(source[[#This Row],[report_date]])</f>
        <v>2026</v>
      </c>
      <c r="C13983" s="128">
        <f t="shared" si="653"/>
        <v>3</v>
      </c>
      <c r="D13983" s="136">
        <f t="shared" si="655"/>
        <v>12</v>
      </c>
      <c r="E13983" s="136">
        <f t="shared" si="654"/>
        <v>22</v>
      </c>
      <c r="F13983" s="137" t="s">
        <v>24</v>
      </c>
      <c r="G13983" s="128" t="str">
        <f>VLOOKUP(source[[#This Row],[lending_product_transform]],[3]Mapping!$B$4:$C$37,2,0)</f>
        <v>[Cake] - Cashloan</v>
      </c>
      <c r="H13983" s="128" t="str">
        <f>VLOOKUP(source[[#This Row],[lending_product_transform]],[3]Mapping!$B$3:$D$37,3,0)</f>
        <v>cashloan</v>
      </c>
      <c r="I13983" s="137">
        <v>15876090000</v>
      </c>
    </row>
    <row r="13984" spans="1:9" x14ac:dyDescent="0.2">
      <c r="A13984" s="134">
        <v>46103</v>
      </c>
      <c r="B13984" s="135">
        <f>YEAR(source[[#This Row],[report_date]])</f>
        <v>2026</v>
      </c>
      <c r="C13984" s="128">
        <f t="shared" si="653"/>
        <v>3</v>
      </c>
      <c r="D13984" s="136">
        <f t="shared" si="655"/>
        <v>12</v>
      </c>
      <c r="E13984" s="136">
        <f t="shared" si="654"/>
        <v>22</v>
      </c>
      <c r="F13984" s="137" t="s">
        <v>24</v>
      </c>
      <c r="G13984" s="128" t="str">
        <f>VLOOKUP(source[[#This Row],[lending_product_transform]],[3]Mapping!$B$4:$C$37,2,0)</f>
        <v>[Cake] - Cashloan</v>
      </c>
      <c r="H13984" s="128" t="str">
        <f>VLOOKUP(source[[#This Row],[lending_product_transform]],[3]Mapping!$B$3:$D$37,3,0)</f>
        <v>cashloan</v>
      </c>
      <c r="I13984" s="137">
        <v>0</v>
      </c>
    </row>
    <row r="13985" spans="1:9" x14ac:dyDescent="0.2">
      <c r="A13985" s="134">
        <v>46103</v>
      </c>
      <c r="B13985" s="135">
        <f>YEAR(source[[#This Row],[report_date]])</f>
        <v>2026</v>
      </c>
      <c r="C13985" s="128">
        <f t="shared" si="653"/>
        <v>3</v>
      </c>
      <c r="D13985" s="136">
        <f t="shared" si="655"/>
        <v>12</v>
      </c>
      <c r="E13985" s="136">
        <f t="shared" si="654"/>
        <v>22</v>
      </c>
      <c r="F13985" s="137" t="s">
        <v>24</v>
      </c>
      <c r="G13985" s="128" t="str">
        <f>VLOOKUP(source[[#This Row],[lending_product_transform]],[3]Mapping!$B$4:$C$37,2,0)</f>
        <v>[Cake] - Cashloan</v>
      </c>
      <c r="H13985" s="128" t="str">
        <f>VLOOKUP(source[[#This Row],[lending_product_transform]],[3]Mapping!$B$3:$D$37,3,0)</f>
        <v>cashloan</v>
      </c>
      <c r="I13985" s="137">
        <v>0</v>
      </c>
    </row>
    <row r="13986" spans="1:9" x14ac:dyDescent="0.2">
      <c r="A13986" s="134">
        <v>46103</v>
      </c>
      <c r="B13986" s="135">
        <f>YEAR(source[[#This Row],[report_date]])</f>
        <v>2026</v>
      </c>
      <c r="C13986" s="128">
        <f t="shared" si="653"/>
        <v>3</v>
      </c>
      <c r="D13986" s="136">
        <f t="shared" si="655"/>
        <v>12</v>
      </c>
      <c r="E13986" s="136">
        <f t="shared" si="654"/>
        <v>22</v>
      </c>
      <c r="F13986" s="137" t="s">
        <v>24</v>
      </c>
      <c r="G13986" s="128" t="str">
        <f>VLOOKUP(source[[#This Row],[lending_product_transform]],[3]Mapping!$B$4:$C$37,2,0)</f>
        <v>[Cake] - Cashloan</v>
      </c>
      <c r="H13986" s="128" t="str">
        <f>VLOOKUP(source[[#This Row],[lending_product_transform]],[3]Mapping!$B$3:$D$37,3,0)</f>
        <v>cashloan</v>
      </c>
      <c r="I13986" s="137">
        <v>0</v>
      </c>
    </row>
    <row r="13987" spans="1:9" x14ac:dyDescent="0.2">
      <c r="A13987" s="134">
        <v>46103</v>
      </c>
      <c r="B13987" s="135">
        <f>YEAR(source[[#This Row],[report_date]])</f>
        <v>2026</v>
      </c>
      <c r="C13987" s="128">
        <f t="shared" si="653"/>
        <v>3</v>
      </c>
      <c r="D13987" s="136">
        <f t="shared" si="655"/>
        <v>12</v>
      </c>
      <c r="E13987" s="136">
        <f t="shared" si="654"/>
        <v>22</v>
      </c>
      <c r="F13987" s="137" t="s">
        <v>24</v>
      </c>
      <c r="G13987" s="128" t="str">
        <f>VLOOKUP(source[[#This Row],[lending_product_transform]],[3]Mapping!$B$4:$C$37,2,0)</f>
        <v>[Cake] - Cashloan</v>
      </c>
      <c r="H13987" s="128" t="str">
        <f>VLOOKUP(source[[#This Row],[lending_product_transform]],[3]Mapping!$B$3:$D$37,3,0)</f>
        <v>cashloan</v>
      </c>
      <c r="I13987" s="137">
        <v>0</v>
      </c>
    </row>
    <row r="13988" spans="1:9" x14ac:dyDescent="0.2">
      <c r="A13988" s="134">
        <v>46103</v>
      </c>
      <c r="B13988" s="135">
        <f>YEAR(source[[#This Row],[report_date]])</f>
        <v>2026</v>
      </c>
      <c r="C13988" s="128">
        <f t="shared" si="653"/>
        <v>3</v>
      </c>
      <c r="D13988" s="136">
        <f t="shared" si="655"/>
        <v>12</v>
      </c>
      <c r="E13988" s="136">
        <f t="shared" si="654"/>
        <v>22</v>
      </c>
      <c r="F13988" s="137" t="s">
        <v>24</v>
      </c>
      <c r="G13988" s="128" t="str">
        <f>VLOOKUP(source[[#This Row],[lending_product_transform]],[3]Mapping!$B$4:$C$37,2,0)</f>
        <v>[Cake] - Cashloan</v>
      </c>
      <c r="H13988" s="128" t="str">
        <f>VLOOKUP(source[[#This Row],[lending_product_transform]],[3]Mapping!$B$3:$D$37,3,0)</f>
        <v>cashloan</v>
      </c>
      <c r="I13988" s="137">
        <v>11044404000</v>
      </c>
    </row>
    <row r="13989" spans="1:9" x14ac:dyDescent="0.2">
      <c r="A13989" s="134">
        <v>46103</v>
      </c>
      <c r="B13989" s="135">
        <f>YEAR(source[[#This Row],[report_date]])</f>
        <v>2026</v>
      </c>
      <c r="C13989" s="128">
        <f t="shared" si="653"/>
        <v>3</v>
      </c>
      <c r="D13989" s="136">
        <f t="shared" si="655"/>
        <v>12</v>
      </c>
      <c r="E13989" s="136">
        <f t="shared" si="654"/>
        <v>22</v>
      </c>
      <c r="F13989" s="137" t="s">
        <v>24</v>
      </c>
      <c r="G13989" s="128" t="str">
        <f>VLOOKUP(source[[#This Row],[lending_product_transform]],[3]Mapping!$B$4:$C$37,2,0)</f>
        <v>[Cake] - Cashloan</v>
      </c>
      <c r="H13989" s="128" t="str">
        <f>VLOOKUP(source[[#This Row],[lending_product_transform]],[3]Mapping!$B$3:$D$37,3,0)</f>
        <v>cashloan</v>
      </c>
      <c r="I13989" s="137">
        <v>139985406</v>
      </c>
    </row>
    <row r="13990" spans="1:9" x14ac:dyDescent="0.2">
      <c r="A13990" s="134">
        <v>46103</v>
      </c>
      <c r="B13990" s="135">
        <f>YEAR(source[[#This Row],[report_date]])</f>
        <v>2026</v>
      </c>
      <c r="C13990" s="128">
        <f t="shared" si="653"/>
        <v>3</v>
      </c>
      <c r="D13990" s="136">
        <f t="shared" si="655"/>
        <v>12</v>
      </c>
      <c r="E13990" s="136">
        <f t="shared" si="654"/>
        <v>22</v>
      </c>
      <c r="F13990" s="137" t="s">
        <v>24</v>
      </c>
      <c r="G13990" s="128" t="str">
        <f>VLOOKUP(source[[#This Row],[lending_product_transform]],[3]Mapping!$B$4:$C$37,2,0)</f>
        <v>[Cake] - Cashloan</v>
      </c>
      <c r="H13990" s="128" t="str">
        <f>VLOOKUP(source[[#This Row],[lending_product_transform]],[3]Mapping!$B$3:$D$37,3,0)</f>
        <v>cashloan</v>
      </c>
      <c r="I13990" s="137">
        <v>42000000</v>
      </c>
    </row>
    <row r="13991" spans="1:9" x14ac:dyDescent="0.2">
      <c r="A13991" s="134">
        <v>46103</v>
      </c>
      <c r="B13991" s="135">
        <f>YEAR(source[[#This Row],[report_date]])</f>
        <v>2026</v>
      </c>
      <c r="C13991" s="128">
        <f t="shared" si="653"/>
        <v>3</v>
      </c>
      <c r="D13991" s="136">
        <f t="shared" si="655"/>
        <v>12</v>
      </c>
      <c r="E13991" s="136">
        <f t="shared" si="654"/>
        <v>22</v>
      </c>
      <c r="F13991" s="137" t="s">
        <v>24</v>
      </c>
      <c r="G13991" s="128" t="str">
        <f>VLOOKUP(source[[#This Row],[lending_product_transform]],[3]Mapping!$B$4:$C$37,2,0)</f>
        <v>[Cake] - Cashloan</v>
      </c>
      <c r="H13991" s="128" t="str">
        <f>VLOOKUP(source[[#This Row],[lending_product_transform]],[3]Mapping!$B$3:$D$37,3,0)</f>
        <v>cashloan</v>
      </c>
      <c r="I13991" s="137">
        <v>49000000</v>
      </c>
    </row>
    <row r="13992" spans="1:9" x14ac:dyDescent="0.2">
      <c r="A13992" s="134">
        <v>46103</v>
      </c>
      <c r="B13992" s="135">
        <f>YEAR(source[[#This Row],[report_date]])</f>
        <v>2026</v>
      </c>
      <c r="C13992" s="128">
        <f t="shared" si="653"/>
        <v>3</v>
      </c>
      <c r="D13992" s="136">
        <f t="shared" si="655"/>
        <v>12</v>
      </c>
      <c r="E13992" s="136">
        <f t="shared" si="654"/>
        <v>22</v>
      </c>
      <c r="F13992" s="137" t="s">
        <v>24</v>
      </c>
      <c r="G13992" s="128" t="str">
        <f>VLOOKUP(source[[#This Row],[lending_product_transform]],[3]Mapping!$B$4:$C$37,2,0)</f>
        <v>[Cake] - Cashloan</v>
      </c>
      <c r="H13992" s="128" t="str">
        <f>VLOOKUP(source[[#This Row],[lending_product_transform]],[3]Mapping!$B$3:$D$37,3,0)</f>
        <v>cashloan</v>
      </c>
      <c r="I13992" s="137">
        <v>572920000</v>
      </c>
    </row>
    <row r="13993" spans="1:9" x14ac:dyDescent="0.2">
      <c r="A13993" s="134">
        <v>46103</v>
      </c>
      <c r="B13993" s="135">
        <f>YEAR(source[[#This Row],[report_date]])</f>
        <v>2026</v>
      </c>
      <c r="C13993" s="128">
        <f t="shared" si="653"/>
        <v>3</v>
      </c>
      <c r="D13993" s="136">
        <f t="shared" si="655"/>
        <v>12</v>
      </c>
      <c r="E13993" s="136">
        <f t="shared" si="654"/>
        <v>22</v>
      </c>
      <c r="F13993" s="137" t="s">
        <v>24</v>
      </c>
      <c r="G13993" s="128" t="str">
        <f>VLOOKUP(source[[#This Row],[lending_product_transform]],[3]Mapping!$B$4:$C$37,2,0)</f>
        <v>[Cake] - Cashloan</v>
      </c>
      <c r="H13993" s="128" t="str">
        <f>VLOOKUP(source[[#This Row],[lending_product_transform]],[3]Mapping!$B$3:$D$37,3,0)</f>
        <v>cashloan</v>
      </c>
      <c r="I13993" s="137">
        <v>266868000</v>
      </c>
    </row>
    <row r="13994" spans="1:9" x14ac:dyDescent="0.2">
      <c r="A13994" s="134">
        <v>46103</v>
      </c>
      <c r="B13994" s="135">
        <f>YEAR(source[[#This Row],[report_date]])</f>
        <v>2026</v>
      </c>
      <c r="C13994" s="128">
        <f t="shared" si="653"/>
        <v>3</v>
      </c>
      <c r="D13994" s="136">
        <f t="shared" si="655"/>
        <v>12</v>
      </c>
      <c r="E13994" s="136">
        <f t="shared" si="654"/>
        <v>22</v>
      </c>
      <c r="F13994" s="137" t="s">
        <v>24</v>
      </c>
      <c r="G13994" s="128" t="str">
        <f>VLOOKUP(source[[#This Row],[lending_product_transform]],[3]Mapping!$B$4:$C$37,2,0)</f>
        <v>[Cake] - Cashloan</v>
      </c>
      <c r="H13994" s="128" t="str">
        <f>VLOOKUP(source[[#This Row],[lending_product_transform]],[3]Mapping!$B$3:$D$37,3,0)</f>
        <v>cashloan</v>
      </c>
      <c r="I13994" s="137">
        <v>319332411</v>
      </c>
    </row>
    <row r="13995" spans="1:9" x14ac:dyDescent="0.2">
      <c r="A13995" s="134">
        <v>46103</v>
      </c>
      <c r="B13995" s="135">
        <f>YEAR(source[[#This Row],[report_date]])</f>
        <v>2026</v>
      </c>
      <c r="C13995" s="128">
        <f t="shared" si="653"/>
        <v>3</v>
      </c>
      <c r="D13995" s="136">
        <f t="shared" si="655"/>
        <v>12</v>
      </c>
      <c r="E13995" s="136">
        <f t="shared" si="654"/>
        <v>22</v>
      </c>
      <c r="F13995" s="137" t="s">
        <v>24</v>
      </c>
      <c r="G13995" s="128" t="str">
        <f>VLOOKUP(source[[#This Row],[lending_product_transform]],[3]Mapping!$B$4:$C$37,2,0)</f>
        <v>[Cake] - Cashloan</v>
      </c>
      <c r="H13995" s="128" t="str">
        <f>VLOOKUP(source[[#This Row],[lending_product_transform]],[3]Mapping!$B$3:$D$37,3,0)</f>
        <v>cashloan</v>
      </c>
      <c r="I13995" s="137">
        <v>2796330000</v>
      </c>
    </row>
    <row r="13996" spans="1:9" x14ac:dyDescent="0.2">
      <c r="A13996" s="134">
        <v>46103</v>
      </c>
      <c r="B13996" s="135">
        <f>YEAR(source[[#This Row],[report_date]])</f>
        <v>2026</v>
      </c>
      <c r="C13996" s="128">
        <f t="shared" si="653"/>
        <v>3</v>
      </c>
      <c r="D13996" s="136">
        <f t="shared" si="655"/>
        <v>12</v>
      </c>
      <c r="E13996" s="136">
        <f t="shared" si="654"/>
        <v>22</v>
      </c>
      <c r="F13996" s="137" t="s">
        <v>24</v>
      </c>
      <c r="G13996" s="128" t="str">
        <f>VLOOKUP(source[[#This Row],[lending_product_transform]],[3]Mapping!$B$4:$C$37,2,0)</f>
        <v>[Cake] - Cashloan</v>
      </c>
      <c r="H13996" s="128" t="str">
        <f>VLOOKUP(source[[#This Row],[lending_product_transform]],[3]Mapping!$B$3:$D$37,3,0)</f>
        <v>cashloan</v>
      </c>
      <c r="I13996" s="137">
        <v>30240000</v>
      </c>
    </row>
    <row r="13997" spans="1:9" x14ac:dyDescent="0.2">
      <c r="A13997" s="134">
        <v>46104</v>
      </c>
      <c r="B13997" s="135">
        <f>YEAR(source[[#This Row],[report_date]])</f>
        <v>2026</v>
      </c>
      <c r="C13997" s="128">
        <f t="shared" si="653"/>
        <v>3</v>
      </c>
      <c r="D13997" s="136">
        <f t="shared" si="655"/>
        <v>13</v>
      </c>
      <c r="E13997" s="136">
        <f t="shared" si="654"/>
        <v>23</v>
      </c>
      <c r="F13997" s="137" t="s">
        <v>24</v>
      </c>
      <c r="G13997" s="128" t="str">
        <f>VLOOKUP(source[[#This Row],[lending_product_transform]],[3]Mapping!$B$4:$C$37,2,0)</f>
        <v>[Cake] - Cashloan</v>
      </c>
      <c r="H13997" s="128" t="str">
        <f>VLOOKUP(source[[#This Row],[lending_product_transform]],[3]Mapping!$B$3:$D$37,3,0)</f>
        <v>cashloan</v>
      </c>
      <c r="I13997" s="137">
        <v>695790000</v>
      </c>
    </row>
    <row r="13998" spans="1:9" x14ac:dyDescent="0.2">
      <c r="A13998" s="134">
        <v>46104</v>
      </c>
      <c r="B13998" s="135">
        <f>YEAR(source[[#This Row],[report_date]])</f>
        <v>2026</v>
      </c>
      <c r="C13998" s="128">
        <f t="shared" si="653"/>
        <v>3</v>
      </c>
      <c r="D13998" s="136">
        <f t="shared" si="655"/>
        <v>13</v>
      </c>
      <c r="E13998" s="136">
        <f t="shared" si="654"/>
        <v>23</v>
      </c>
      <c r="F13998" s="137" t="s">
        <v>24</v>
      </c>
      <c r="G13998" s="128" t="str">
        <f>VLOOKUP(source[[#This Row],[lending_product_transform]],[3]Mapping!$B$4:$C$37,2,0)</f>
        <v>[Cake] - Cashloan</v>
      </c>
      <c r="H13998" s="128" t="str">
        <f>VLOOKUP(source[[#This Row],[lending_product_transform]],[3]Mapping!$B$3:$D$37,3,0)</f>
        <v>cashloan</v>
      </c>
      <c r="I13998" s="137">
        <v>278930554</v>
      </c>
    </row>
    <row r="13999" spans="1:9" x14ac:dyDescent="0.2">
      <c r="A13999" s="134">
        <v>46104</v>
      </c>
      <c r="B13999" s="135">
        <f>YEAR(source[[#This Row],[report_date]])</f>
        <v>2026</v>
      </c>
      <c r="C13999" s="128">
        <f t="shared" si="653"/>
        <v>3</v>
      </c>
      <c r="D13999" s="136">
        <f t="shared" si="655"/>
        <v>13</v>
      </c>
      <c r="E13999" s="136">
        <f t="shared" si="654"/>
        <v>23</v>
      </c>
      <c r="F13999" s="137" t="s">
        <v>24</v>
      </c>
      <c r="G13999" s="128" t="str">
        <f>VLOOKUP(source[[#This Row],[lending_product_transform]],[3]Mapping!$B$4:$C$37,2,0)</f>
        <v>[Cake] - Cashloan</v>
      </c>
      <c r="H13999" s="128" t="str">
        <f>VLOOKUP(source[[#This Row],[lending_product_transform]],[3]Mapping!$B$3:$D$37,3,0)</f>
        <v>cashloan</v>
      </c>
      <c r="I13999" s="137">
        <v>18739380000</v>
      </c>
    </row>
    <row r="14000" spans="1:9" x14ac:dyDescent="0.2">
      <c r="A14000" s="134">
        <v>46104</v>
      </c>
      <c r="B14000" s="135">
        <f>YEAR(source[[#This Row],[report_date]])</f>
        <v>2026</v>
      </c>
      <c r="C14000" s="128">
        <f t="shared" si="653"/>
        <v>3</v>
      </c>
      <c r="D14000" s="136">
        <f t="shared" si="655"/>
        <v>13</v>
      </c>
      <c r="E14000" s="136">
        <f t="shared" si="654"/>
        <v>23</v>
      </c>
      <c r="F14000" s="137" t="s">
        <v>24</v>
      </c>
      <c r="G14000" s="128" t="str">
        <f>VLOOKUP(source[[#This Row],[lending_product_transform]],[3]Mapping!$B$4:$C$37,2,0)</f>
        <v>[Cake] - Cashloan</v>
      </c>
      <c r="H14000" s="128" t="str">
        <f>VLOOKUP(source[[#This Row],[lending_product_transform]],[3]Mapping!$B$3:$D$37,3,0)</f>
        <v>cashloan</v>
      </c>
      <c r="I14000" s="137">
        <v>1527725458</v>
      </c>
    </row>
    <row r="14001" spans="1:9" x14ac:dyDescent="0.2">
      <c r="A14001" s="134">
        <v>46104</v>
      </c>
      <c r="B14001" s="135">
        <f>YEAR(source[[#This Row],[report_date]])</f>
        <v>2026</v>
      </c>
      <c r="C14001" s="128">
        <f t="shared" si="653"/>
        <v>3</v>
      </c>
      <c r="D14001" s="136">
        <f t="shared" si="655"/>
        <v>13</v>
      </c>
      <c r="E14001" s="136">
        <f t="shared" si="654"/>
        <v>23</v>
      </c>
      <c r="F14001" s="137" t="s">
        <v>24</v>
      </c>
      <c r="G14001" s="128" t="str">
        <f>VLOOKUP(source[[#This Row],[lending_product_transform]],[3]Mapping!$B$4:$C$37,2,0)</f>
        <v>[Cake] - Cashloan</v>
      </c>
      <c r="H14001" s="128" t="str">
        <f>VLOOKUP(source[[#This Row],[lending_product_transform]],[3]Mapping!$B$3:$D$37,3,0)</f>
        <v>cashloan</v>
      </c>
      <c r="I14001" s="137">
        <v>13494276000</v>
      </c>
    </row>
    <row r="14002" spans="1:9" x14ac:dyDescent="0.2">
      <c r="A14002" s="134">
        <v>46104</v>
      </c>
      <c r="B14002" s="135">
        <f>YEAR(source[[#This Row],[report_date]])</f>
        <v>2026</v>
      </c>
      <c r="C14002" s="128">
        <f t="shared" si="653"/>
        <v>3</v>
      </c>
      <c r="D14002" s="136">
        <f t="shared" si="655"/>
        <v>13</v>
      </c>
      <c r="E14002" s="136">
        <f t="shared" si="654"/>
        <v>23</v>
      </c>
      <c r="F14002" s="137" t="s">
        <v>24</v>
      </c>
      <c r="G14002" s="128" t="str">
        <f>VLOOKUP(source[[#This Row],[lending_product_transform]],[3]Mapping!$B$4:$C$37,2,0)</f>
        <v>[Cake] - Cashloan</v>
      </c>
      <c r="H14002" s="128" t="str">
        <f>VLOOKUP(source[[#This Row],[lending_product_transform]],[3]Mapping!$B$3:$D$37,3,0)</f>
        <v>cashloan</v>
      </c>
      <c r="I14002" s="137">
        <v>13556549</v>
      </c>
    </row>
    <row r="14003" spans="1:9" x14ac:dyDescent="0.2">
      <c r="A14003" s="134">
        <v>46104</v>
      </c>
      <c r="B14003" s="135">
        <f>YEAR(source[[#This Row],[report_date]])</f>
        <v>2026</v>
      </c>
      <c r="C14003" s="128">
        <f t="shared" si="653"/>
        <v>3</v>
      </c>
      <c r="D14003" s="136">
        <f t="shared" si="655"/>
        <v>13</v>
      </c>
      <c r="E14003" s="136">
        <f t="shared" si="654"/>
        <v>23</v>
      </c>
      <c r="F14003" s="137" t="s">
        <v>24</v>
      </c>
      <c r="G14003" s="128" t="str">
        <f>VLOOKUP(source[[#This Row],[lending_product_transform]],[3]Mapping!$B$4:$C$37,2,0)</f>
        <v>[Cake] - Cashloan</v>
      </c>
      <c r="H14003" s="128" t="str">
        <f>VLOOKUP(source[[#This Row],[lending_product_transform]],[3]Mapping!$B$3:$D$37,3,0)</f>
        <v>cashloan</v>
      </c>
      <c r="I14003" s="137">
        <v>50000000</v>
      </c>
    </row>
    <row r="14004" spans="1:9" x14ac:dyDescent="0.2">
      <c r="A14004" s="134">
        <v>46104</v>
      </c>
      <c r="B14004" s="135">
        <f>YEAR(source[[#This Row],[report_date]])</f>
        <v>2026</v>
      </c>
      <c r="C14004" s="128">
        <f t="shared" si="653"/>
        <v>3</v>
      </c>
      <c r="D14004" s="136">
        <f t="shared" si="655"/>
        <v>13</v>
      </c>
      <c r="E14004" s="136">
        <f t="shared" si="654"/>
        <v>23</v>
      </c>
      <c r="F14004" s="137" t="s">
        <v>24</v>
      </c>
      <c r="G14004" s="128" t="str">
        <f>VLOOKUP(source[[#This Row],[lending_product_transform]],[3]Mapping!$B$4:$C$37,2,0)</f>
        <v>[Cake] - Cashloan</v>
      </c>
      <c r="H14004" s="128" t="str">
        <f>VLOOKUP(source[[#This Row],[lending_product_transform]],[3]Mapping!$B$3:$D$37,3,0)</f>
        <v>cashloan</v>
      </c>
      <c r="I14004" s="137">
        <v>1886090000</v>
      </c>
    </row>
    <row r="14005" spans="1:9" x14ac:dyDescent="0.2">
      <c r="A14005" s="134">
        <v>46104</v>
      </c>
      <c r="B14005" s="135">
        <f>YEAR(source[[#This Row],[report_date]])</f>
        <v>2026</v>
      </c>
      <c r="C14005" s="128">
        <f t="shared" si="653"/>
        <v>3</v>
      </c>
      <c r="D14005" s="136">
        <f t="shared" si="655"/>
        <v>13</v>
      </c>
      <c r="E14005" s="136">
        <f t="shared" si="654"/>
        <v>23</v>
      </c>
      <c r="F14005" s="137" t="s">
        <v>24</v>
      </c>
      <c r="G14005" s="128" t="str">
        <f>VLOOKUP(source[[#This Row],[lending_product_transform]],[3]Mapping!$B$4:$C$37,2,0)</f>
        <v>[Cake] - Cashloan</v>
      </c>
      <c r="H14005" s="128" t="str">
        <f>VLOOKUP(source[[#This Row],[lending_product_transform]],[3]Mapping!$B$3:$D$37,3,0)</f>
        <v>cashloan</v>
      </c>
      <c r="I14005" s="137">
        <v>638650000</v>
      </c>
    </row>
    <row r="14006" spans="1:9" x14ac:dyDescent="0.2">
      <c r="A14006" s="134">
        <v>46104</v>
      </c>
      <c r="B14006" s="135">
        <f>YEAR(source[[#This Row],[report_date]])</f>
        <v>2026</v>
      </c>
      <c r="C14006" s="128">
        <f t="shared" ref="C14006:C14069" si="656">MONTH(A14006)</f>
        <v>3</v>
      </c>
      <c r="D14006" s="136">
        <f t="shared" si="655"/>
        <v>13</v>
      </c>
      <c r="E14006" s="136">
        <f t="shared" ref="E14006:E14069" si="657">DAY(A14006)</f>
        <v>23</v>
      </c>
      <c r="F14006" s="137" t="s">
        <v>24</v>
      </c>
      <c r="G14006" s="128" t="str">
        <f>VLOOKUP(source[[#This Row],[lending_product_transform]],[3]Mapping!$B$4:$C$37,2,0)</f>
        <v>[Cake] - Cashloan</v>
      </c>
      <c r="H14006" s="128" t="str">
        <f>VLOOKUP(source[[#This Row],[lending_product_transform]],[3]Mapping!$B$3:$D$37,3,0)</f>
        <v>cashloan</v>
      </c>
      <c r="I14006" s="137">
        <v>1103000</v>
      </c>
    </row>
    <row r="14007" spans="1:9" x14ac:dyDescent="0.2">
      <c r="A14007" s="134">
        <v>46104</v>
      </c>
      <c r="B14007" s="135">
        <f>YEAR(source[[#This Row],[report_date]])</f>
        <v>2026</v>
      </c>
      <c r="C14007" s="128">
        <f t="shared" si="656"/>
        <v>3</v>
      </c>
      <c r="D14007" s="136">
        <f t="shared" si="655"/>
        <v>13</v>
      </c>
      <c r="E14007" s="136">
        <f t="shared" si="657"/>
        <v>23</v>
      </c>
      <c r="F14007" s="137" t="s">
        <v>24</v>
      </c>
      <c r="G14007" s="128" t="str">
        <f>VLOOKUP(source[[#This Row],[lending_product_transform]],[3]Mapping!$B$4:$C$37,2,0)</f>
        <v>[Cake] - Cashloan</v>
      </c>
      <c r="H14007" s="128" t="str">
        <f>VLOOKUP(source[[#This Row],[lending_product_transform]],[3]Mapping!$B$3:$D$37,3,0)</f>
        <v>cashloan</v>
      </c>
      <c r="I14007" s="137">
        <v>761779372</v>
      </c>
    </row>
    <row r="14008" spans="1:9" x14ac:dyDescent="0.2">
      <c r="A14008" s="134">
        <v>46104</v>
      </c>
      <c r="B14008" s="135">
        <f>YEAR(source[[#This Row],[report_date]])</f>
        <v>2026</v>
      </c>
      <c r="C14008" s="128">
        <f t="shared" si="656"/>
        <v>3</v>
      </c>
      <c r="D14008" s="136">
        <f t="shared" si="655"/>
        <v>13</v>
      </c>
      <c r="E14008" s="136">
        <f t="shared" si="657"/>
        <v>23</v>
      </c>
      <c r="F14008" s="137" t="s">
        <v>24</v>
      </c>
      <c r="G14008" s="128" t="str">
        <f>VLOOKUP(source[[#This Row],[lending_product_transform]],[3]Mapping!$B$4:$C$37,2,0)</f>
        <v>[Cake] - Cashloan</v>
      </c>
      <c r="H14008" s="128" t="str">
        <f>VLOOKUP(source[[#This Row],[lending_product_transform]],[3]Mapping!$B$3:$D$37,3,0)</f>
        <v>cashloan</v>
      </c>
      <c r="I14008" s="137">
        <v>0</v>
      </c>
    </row>
    <row r="14009" spans="1:9" x14ac:dyDescent="0.2">
      <c r="A14009" s="134">
        <v>46104</v>
      </c>
      <c r="B14009" s="135">
        <f>YEAR(source[[#This Row],[report_date]])</f>
        <v>2026</v>
      </c>
      <c r="C14009" s="128">
        <f t="shared" si="656"/>
        <v>3</v>
      </c>
      <c r="D14009" s="136">
        <f t="shared" si="655"/>
        <v>13</v>
      </c>
      <c r="E14009" s="136">
        <f t="shared" si="657"/>
        <v>23</v>
      </c>
      <c r="F14009" s="137" t="s">
        <v>24</v>
      </c>
      <c r="G14009" s="128" t="str">
        <f>VLOOKUP(source[[#This Row],[lending_product_transform]],[3]Mapping!$B$4:$C$37,2,0)</f>
        <v>[Cake] - Cashloan</v>
      </c>
      <c r="H14009" s="128" t="str">
        <f>VLOOKUP(source[[#This Row],[lending_product_transform]],[3]Mapping!$B$3:$D$37,3,0)</f>
        <v>cashloan</v>
      </c>
      <c r="I14009" s="137">
        <v>73500000</v>
      </c>
    </row>
    <row r="14010" spans="1:9" x14ac:dyDescent="0.2">
      <c r="A14010" s="134">
        <v>46104</v>
      </c>
      <c r="B14010" s="135">
        <f>YEAR(source[[#This Row],[report_date]])</f>
        <v>2026</v>
      </c>
      <c r="C14010" s="128">
        <f t="shared" si="656"/>
        <v>3</v>
      </c>
      <c r="D14010" s="136">
        <f t="shared" si="655"/>
        <v>13</v>
      </c>
      <c r="E14010" s="136">
        <f t="shared" si="657"/>
        <v>23</v>
      </c>
      <c r="F14010" s="137" t="s">
        <v>24</v>
      </c>
      <c r="G14010" s="128" t="str">
        <f>VLOOKUP(source[[#This Row],[lending_product_transform]],[3]Mapping!$B$4:$C$37,2,0)</f>
        <v>[Cake] - Cashloan</v>
      </c>
      <c r="H14010" s="128" t="str">
        <f>VLOOKUP(source[[#This Row],[lending_product_transform]],[3]Mapping!$B$3:$D$37,3,0)</f>
        <v>cashloan</v>
      </c>
      <c r="I14010" s="137">
        <v>0</v>
      </c>
    </row>
    <row r="14011" spans="1:9" x14ac:dyDescent="0.2">
      <c r="A14011" s="134">
        <v>46104</v>
      </c>
      <c r="B14011" s="135">
        <f>YEAR(source[[#This Row],[report_date]])</f>
        <v>2026</v>
      </c>
      <c r="C14011" s="128">
        <f t="shared" si="656"/>
        <v>3</v>
      </c>
      <c r="D14011" s="136">
        <f t="shared" si="655"/>
        <v>13</v>
      </c>
      <c r="E14011" s="136">
        <f t="shared" si="657"/>
        <v>23</v>
      </c>
      <c r="F14011" s="137" t="s">
        <v>24</v>
      </c>
      <c r="G14011" s="128" t="str">
        <f>VLOOKUP(source[[#This Row],[lending_product_transform]],[3]Mapping!$B$4:$C$37,2,0)</f>
        <v>[Cake] - Cashloan</v>
      </c>
      <c r="H14011" s="128" t="str">
        <f>VLOOKUP(source[[#This Row],[lending_product_transform]],[3]Mapping!$B$3:$D$37,3,0)</f>
        <v>cashloan</v>
      </c>
      <c r="I14011" s="137">
        <v>17549970000</v>
      </c>
    </row>
    <row r="14012" spans="1:9" x14ac:dyDescent="0.2">
      <c r="A14012" s="134">
        <v>46104</v>
      </c>
      <c r="B14012" s="135">
        <f>YEAR(source[[#This Row],[report_date]])</f>
        <v>2026</v>
      </c>
      <c r="C14012" s="128">
        <f t="shared" si="656"/>
        <v>3</v>
      </c>
      <c r="D14012" s="136">
        <f t="shared" si="655"/>
        <v>13</v>
      </c>
      <c r="E14012" s="136">
        <f t="shared" si="657"/>
        <v>23</v>
      </c>
      <c r="F14012" s="137" t="s">
        <v>24</v>
      </c>
      <c r="G14012" s="128" t="str">
        <f>VLOOKUP(source[[#This Row],[lending_product_transform]],[3]Mapping!$B$4:$C$37,2,0)</f>
        <v>[Cake] - Cashloan</v>
      </c>
      <c r="H14012" s="128" t="str">
        <f>VLOOKUP(source[[#This Row],[lending_product_transform]],[3]Mapping!$B$3:$D$37,3,0)</f>
        <v>cashloan</v>
      </c>
      <c r="I14012" s="137">
        <v>0</v>
      </c>
    </row>
    <row r="14013" spans="1:9" x14ac:dyDescent="0.2">
      <c r="A14013" s="134">
        <v>46104</v>
      </c>
      <c r="B14013" s="135">
        <f>YEAR(source[[#This Row],[report_date]])</f>
        <v>2026</v>
      </c>
      <c r="C14013" s="128">
        <f t="shared" si="656"/>
        <v>3</v>
      </c>
      <c r="D14013" s="136">
        <f t="shared" si="655"/>
        <v>13</v>
      </c>
      <c r="E14013" s="136">
        <f t="shared" si="657"/>
        <v>23</v>
      </c>
      <c r="F14013" s="137" t="s">
        <v>24</v>
      </c>
      <c r="G14013" s="128" t="str">
        <f>VLOOKUP(source[[#This Row],[lending_product_transform]],[3]Mapping!$B$4:$C$37,2,0)</f>
        <v>[Cake] - Cashloan</v>
      </c>
      <c r="H14013" s="128" t="str">
        <f>VLOOKUP(source[[#This Row],[lending_product_transform]],[3]Mapping!$B$3:$D$37,3,0)</f>
        <v>cashloan</v>
      </c>
      <c r="I14013" s="137">
        <v>0</v>
      </c>
    </row>
    <row r="14014" spans="1:9" x14ac:dyDescent="0.2">
      <c r="A14014" s="134">
        <v>46104</v>
      </c>
      <c r="B14014" s="135">
        <f>YEAR(source[[#This Row],[report_date]])</f>
        <v>2026</v>
      </c>
      <c r="C14014" s="128">
        <f t="shared" si="656"/>
        <v>3</v>
      </c>
      <c r="D14014" s="136">
        <f t="shared" si="655"/>
        <v>13</v>
      </c>
      <c r="E14014" s="136">
        <f t="shared" si="657"/>
        <v>23</v>
      </c>
      <c r="F14014" s="137" t="s">
        <v>24</v>
      </c>
      <c r="G14014" s="128" t="str">
        <f>VLOOKUP(source[[#This Row],[lending_product_transform]],[3]Mapping!$B$4:$C$37,2,0)</f>
        <v>[Cake] - Cashloan</v>
      </c>
      <c r="H14014" s="128" t="str">
        <f>VLOOKUP(source[[#This Row],[lending_product_transform]],[3]Mapping!$B$3:$D$37,3,0)</f>
        <v>cashloan</v>
      </c>
      <c r="I14014" s="137">
        <v>0</v>
      </c>
    </row>
    <row r="14015" spans="1:9" x14ac:dyDescent="0.2">
      <c r="A14015" s="134">
        <v>46104</v>
      </c>
      <c r="B14015" s="135">
        <f>YEAR(source[[#This Row],[report_date]])</f>
        <v>2026</v>
      </c>
      <c r="C14015" s="128">
        <f t="shared" si="656"/>
        <v>3</v>
      </c>
      <c r="D14015" s="136">
        <f t="shared" si="655"/>
        <v>13</v>
      </c>
      <c r="E14015" s="136">
        <f t="shared" si="657"/>
        <v>23</v>
      </c>
      <c r="F14015" s="137" t="s">
        <v>24</v>
      </c>
      <c r="G14015" s="128" t="str">
        <f>VLOOKUP(source[[#This Row],[lending_product_transform]],[3]Mapping!$B$4:$C$37,2,0)</f>
        <v>[Cake] - Cashloan</v>
      </c>
      <c r="H14015" s="128" t="str">
        <f>VLOOKUP(source[[#This Row],[lending_product_transform]],[3]Mapping!$B$3:$D$37,3,0)</f>
        <v>cashloan</v>
      </c>
      <c r="I14015" s="137">
        <v>0</v>
      </c>
    </row>
    <row r="14016" spans="1:9" x14ac:dyDescent="0.2">
      <c r="A14016" s="134">
        <v>46104</v>
      </c>
      <c r="B14016" s="135">
        <f>YEAR(source[[#This Row],[report_date]])</f>
        <v>2026</v>
      </c>
      <c r="C14016" s="128">
        <f t="shared" si="656"/>
        <v>3</v>
      </c>
      <c r="D14016" s="136">
        <f t="shared" si="655"/>
        <v>13</v>
      </c>
      <c r="E14016" s="136">
        <f t="shared" si="657"/>
        <v>23</v>
      </c>
      <c r="F14016" s="137" t="s">
        <v>24</v>
      </c>
      <c r="G14016" s="128" t="str">
        <f>VLOOKUP(source[[#This Row],[lending_product_transform]],[3]Mapping!$B$4:$C$37,2,0)</f>
        <v>[Cake] - Cashloan</v>
      </c>
      <c r="H14016" s="128" t="str">
        <f>VLOOKUP(source[[#This Row],[lending_product_transform]],[3]Mapping!$B$3:$D$37,3,0)</f>
        <v>cashloan</v>
      </c>
      <c r="I14016" s="137">
        <v>11250468000</v>
      </c>
    </row>
    <row r="14017" spans="1:9" x14ac:dyDescent="0.2">
      <c r="A14017" s="134">
        <v>46104</v>
      </c>
      <c r="B14017" s="135">
        <f>YEAR(source[[#This Row],[report_date]])</f>
        <v>2026</v>
      </c>
      <c r="C14017" s="128">
        <f t="shared" si="656"/>
        <v>3</v>
      </c>
      <c r="D14017" s="136">
        <f t="shared" si="655"/>
        <v>13</v>
      </c>
      <c r="E14017" s="136">
        <f t="shared" si="657"/>
        <v>23</v>
      </c>
      <c r="F14017" s="137" t="s">
        <v>24</v>
      </c>
      <c r="G14017" s="128" t="str">
        <f>VLOOKUP(source[[#This Row],[lending_product_transform]],[3]Mapping!$B$4:$C$37,2,0)</f>
        <v>[Cake] - Cashloan</v>
      </c>
      <c r="H14017" s="128" t="str">
        <f>VLOOKUP(source[[#This Row],[lending_product_transform]],[3]Mapping!$B$3:$D$37,3,0)</f>
        <v>cashloan</v>
      </c>
      <c r="I14017" s="137">
        <v>120630730</v>
      </c>
    </row>
    <row r="14018" spans="1:9" x14ac:dyDescent="0.2">
      <c r="A14018" s="134">
        <v>46104</v>
      </c>
      <c r="B14018" s="135">
        <f>YEAR(source[[#This Row],[report_date]])</f>
        <v>2026</v>
      </c>
      <c r="C14018" s="128">
        <f t="shared" si="656"/>
        <v>3</v>
      </c>
      <c r="D14018" s="136">
        <f t="shared" si="655"/>
        <v>13</v>
      </c>
      <c r="E14018" s="136">
        <f t="shared" si="657"/>
        <v>23</v>
      </c>
      <c r="F14018" s="137" t="s">
        <v>24</v>
      </c>
      <c r="G14018" s="128" t="str">
        <f>VLOOKUP(source[[#This Row],[lending_product_transform]],[3]Mapping!$B$4:$C$37,2,0)</f>
        <v>[Cake] - Cashloan</v>
      </c>
      <c r="H14018" s="128" t="str">
        <f>VLOOKUP(source[[#This Row],[lending_product_transform]],[3]Mapping!$B$3:$D$37,3,0)</f>
        <v>cashloan</v>
      </c>
      <c r="I14018" s="137">
        <v>119700000</v>
      </c>
    </row>
    <row r="14019" spans="1:9" x14ac:dyDescent="0.2">
      <c r="A14019" s="134">
        <v>46104</v>
      </c>
      <c r="B14019" s="135">
        <f>YEAR(source[[#This Row],[report_date]])</f>
        <v>2026</v>
      </c>
      <c r="C14019" s="128">
        <f t="shared" si="656"/>
        <v>3</v>
      </c>
      <c r="D14019" s="136">
        <f t="shared" si="655"/>
        <v>13</v>
      </c>
      <c r="E14019" s="136">
        <f t="shared" si="657"/>
        <v>23</v>
      </c>
      <c r="F14019" s="137" t="s">
        <v>24</v>
      </c>
      <c r="G14019" s="128" t="str">
        <f>VLOOKUP(source[[#This Row],[lending_product_transform]],[3]Mapping!$B$4:$C$37,2,0)</f>
        <v>[Cake] - Cashloan</v>
      </c>
      <c r="H14019" s="128" t="str">
        <f>VLOOKUP(source[[#This Row],[lending_product_transform]],[3]Mapping!$B$3:$D$37,3,0)</f>
        <v>cashloan</v>
      </c>
      <c r="I14019" s="137">
        <v>61000000</v>
      </c>
    </row>
    <row r="14020" spans="1:9" x14ac:dyDescent="0.2">
      <c r="A14020" s="134">
        <v>46104</v>
      </c>
      <c r="B14020" s="135">
        <f>YEAR(source[[#This Row],[report_date]])</f>
        <v>2026</v>
      </c>
      <c r="C14020" s="128">
        <f t="shared" si="656"/>
        <v>3</v>
      </c>
      <c r="D14020" s="136">
        <f t="shared" si="655"/>
        <v>13</v>
      </c>
      <c r="E14020" s="136">
        <f t="shared" si="657"/>
        <v>23</v>
      </c>
      <c r="F14020" s="137" t="s">
        <v>24</v>
      </c>
      <c r="G14020" s="128" t="str">
        <f>VLOOKUP(source[[#This Row],[lending_product_transform]],[3]Mapping!$B$4:$C$37,2,0)</f>
        <v>[Cake] - Cashloan</v>
      </c>
      <c r="H14020" s="128" t="str">
        <f>VLOOKUP(source[[#This Row],[lending_product_transform]],[3]Mapping!$B$3:$D$37,3,0)</f>
        <v>cashloan</v>
      </c>
      <c r="I14020" s="137">
        <v>914960000</v>
      </c>
    </row>
    <row r="14021" spans="1:9" x14ac:dyDescent="0.2">
      <c r="A14021" s="134">
        <v>46104</v>
      </c>
      <c r="B14021" s="135">
        <f>YEAR(source[[#This Row],[report_date]])</f>
        <v>2026</v>
      </c>
      <c r="C14021" s="128">
        <f t="shared" si="656"/>
        <v>3</v>
      </c>
      <c r="D14021" s="136">
        <f t="shared" si="655"/>
        <v>13</v>
      </c>
      <c r="E14021" s="136">
        <f t="shared" si="657"/>
        <v>23</v>
      </c>
      <c r="F14021" s="137" t="s">
        <v>24</v>
      </c>
      <c r="G14021" s="128" t="str">
        <f>VLOOKUP(source[[#This Row],[lending_product_transform]],[3]Mapping!$B$4:$C$37,2,0)</f>
        <v>[Cake] - Cashloan</v>
      </c>
      <c r="H14021" s="128" t="str">
        <f>VLOOKUP(source[[#This Row],[lending_product_transform]],[3]Mapping!$B$3:$D$37,3,0)</f>
        <v>cashloan</v>
      </c>
      <c r="I14021" s="137">
        <v>269136000</v>
      </c>
    </row>
    <row r="14022" spans="1:9" x14ac:dyDescent="0.2">
      <c r="A14022" s="134">
        <v>46104</v>
      </c>
      <c r="B14022" s="135">
        <f>YEAR(source[[#This Row],[report_date]])</f>
        <v>2026</v>
      </c>
      <c r="C14022" s="128">
        <f t="shared" si="656"/>
        <v>3</v>
      </c>
      <c r="D14022" s="136">
        <f t="shared" si="655"/>
        <v>13</v>
      </c>
      <c r="E14022" s="136">
        <f t="shared" si="657"/>
        <v>23</v>
      </c>
      <c r="F14022" s="137" t="s">
        <v>24</v>
      </c>
      <c r="G14022" s="128" t="str">
        <f>VLOOKUP(source[[#This Row],[lending_product_transform]],[3]Mapping!$B$4:$C$37,2,0)</f>
        <v>[Cake] - Cashloan</v>
      </c>
      <c r="H14022" s="128" t="str">
        <f>VLOOKUP(source[[#This Row],[lending_product_transform]],[3]Mapping!$B$3:$D$37,3,0)</f>
        <v>cashloan</v>
      </c>
      <c r="I14022" s="137">
        <v>317714985</v>
      </c>
    </row>
    <row r="14023" spans="1:9" x14ac:dyDescent="0.2">
      <c r="A14023" s="134">
        <v>46104</v>
      </c>
      <c r="B14023" s="135">
        <f>YEAR(source[[#This Row],[report_date]])</f>
        <v>2026</v>
      </c>
      <c r="C14023" s="128">
        <f t="shared" si="656"/>
        <v>3</v>
      </c>
      <c r="D14023" s="136">
        <f t="shared" si="655"/>
        <v>13</v>
      </c>
      <c r="E14023" s="136">
        <f t="shared" si="657"/>
        <v>23</v>
      </c>
      <c r="F14023" s="137" t="s">
        <v>24</v>
      </c>
      <c r="G14023" s="128" t="str">
        <f>VLOOKUP(source[[#This Row],[lending_product_transform]],[3]Mapping!$B$4:$C$37,2,0)</f>
        <v>[Cake] - Cashloan</v>
      </c>
      <c r="H14023" s="128" t="str">
        <f>VLOOKUP(source[[#This Row],[lending_product_transform]],[3]Mapping!$B$3:$D$37,3,0)</f>
        <v>cashloan</v>
      </c>
      <c r="I14023" s="137">
        <v>3001550000</v>
      </c>
    </row>
    <row r="14024" spans="1:9" x14ac:dyDescent="0.2">
      <c r="A14024" s="134">
        <v>46104</v>
      </c>
      <c r="B14024" s="135">
        <f>YEAR(source[[#This Row],[report_date]])</f>
        <v>2026</v>
      </c>
      <c r="C14024" s="128">
        <f t="shared" si="656"/>
        <v>3</v>
      </c>
      <c r="D14024" s="136">
        <f t="shared" si="655"/>
        <v>13</v>
      </c>
      <c r="E14024" s="136">
        <f t="shared" si="657"/>
        <v>23</v>
      </c>
      <c r="F14024" s="137" t="s">
        <v>24</v>
      </c>
      <c r="G14024" s="128" t="str">
        <f>VLOOKUP(source[[#This Row],[lending_product_transform]],[3]Mapping!$B$4:$C$37,2,0)</f>
        <v>[Cake] - Cashloan</v>
      </c>
      <c r="H14024" s="128" t="str">
        <f>VLOOKUP(source[[#This Row],[lending_product_transform]],[3]Mapping!$B$3:$D$37,3,0)</f>
        <v>cashloan</v>
      </c>
      <c r="I14024" s="137">
        <v>11880000</v>
      </c>
    </row>
    <row r="14025" spans="1:9" x14ac:dyDescent="0.2">
      <c r="A14025" s="134">
        <v>46105</v>
      </c>
      <c r="B14025" s="135">
        <f>YEAR(source[[#This Row],[report_date]])</f>
        <v>2026</v>
      </c>
      <c r="C14025" s="128">
        <f t="shared" si="656"/>
        <v>3</v>
      </c>
      <c r="D14025" s="136">
        <f t="shared" si="655"/>
        <v>13</v>
      </c>
      <c r="E14025" s="136">
        <f t="shared" si="657"/>
        <v>24</v>
      </c>
      <c r="F14025" s="137" t="s">
        <v>24</v>
      </c>
      <c r="G14025" s="128" t="str">
        <f>VLOOKUP(source[[#This Row],[lending_product_transform]],[3]Mapping!$B$4:$C$37,2,0)</f>
        <v>[Cake] - Cashloan</v>
      </c>
      <c r="H14025" s="128" t="str">
        <f>VLOOKUP(source[[#This Row],[lending_product_transform]],[3]Mapping!$B$3:$D$37,3,0)</f>
        <v>cashloan</v>
      </c>
      <c r="I14025" s="137">
        <v>730660000</v>
      </c>
    </row>
    <row r="14026" spans="1:9" x14ac:dyDescent="0.2">
      <c r="A14026" s="134">
        <v>46105</v>
      </c>
      <c r="B14026" s="135">
        <f>YEAR(source[[#This Row],[report_date]])</f>
        <v>2026</v>
      </c>
      <c r="C14026" s="128">
        <f t="shared" si="656"/>
        <v>3</v>
      </c>
      <c r="D14026" s="136">
        <f t="shared" si="655"/>
        <v>13</v>
      </c>
      <c r="E14026" s="136">
        <f t="shared" si="657"/>
        <v>24</v>
      </c>
      <c r="F14026" s="137" t="s">
        <v>24</v>
      </c>
      <c r="G14026" s="128" t="str">
        <f>VLOOKUP(source[[#This Row],[lending_product_transform]],[3]Mapping!$B$4:$C$37,2,0)</f>
        <v>[Cake] - Cashloan</v>
      </c>
      <c r="H14026" s="128" t="str">
        <f>VLOOKUP(source[[#This Row],[lending_product_transform]],[3]Mapping!$B$3:$D$37,3,0)</f>
        <v>cashloan</v>
      </c>
      <c r="I14026" s="137">
        <v>307487767</v>
      </c>
    </row>
    <row r="14027" spans="1:9" x14ac:dyDescent="0.2">
      <c r="A14027" s="134">
        <v>46105</v>
      </c>
      <c r="B14027" s="135">
        <f>YEAR(source[[#This Row],[report_date]])</f>
        <v>2026</v>
      </c>
      <c r="C14027" s="128">
        <f t="shared" si="656"/>
        <v>3</v>
      </c>
      <c r="D14027" s="136">
        <f t="shared" si="655"/>
        <v>13</v>
      </c>
      <c r="E14027" s="136">
        <f t="shared" si="657"/>
        <v>24</v>
      </c>
      <c r="F14027" s="137" t="s">
        <v>24</v>
      </c>
      <c r="G14027" s="128" t="str">
        <f>VLOOKUP(source[[#This Row],[lending_product_transform]],[3]Mapping!$B$4:$C$37,2,0)</f>
        <v>[Cake] - Cashloan</v>
      </c>
      <c r="H14027" s="128" t="str">
        <f>VLOOKUP(source[[#This Row],[lending_product_transform]],[3]Mapping!$B$3:$D$37,3,0)</f>
        <v>cashloan</v>
      </c>
      <c r="I14027" s="137">
        <v>16395660000</v>
      </c>
    </row>
    <row r="14028" spans="1:9" x14ac:dyDescent="0.2">
      <c r="A14028" s="134">
        <v>46105</v>
      </c>
      <c r="B14028" s="135">
        <f>YEAR(source[[#This Row],[report_date]])</f>
        <v>2026</v>
      </c>
      <c r="C14028" s="128">
        <f t="shared" si="656"/>
        <v>3</v>
      </c>
      <c r="D14028" s="136">
        <f t="shared" si="655"/>
        <v>13</v>
      </c>
      <c r="E14028" s="136">
        <f t="shared" si="657"/>
        <v>24</v>
      </c>
      <c r="F14028" s="137" t="s">
        <v>24</v>
      </c>
      <c r="G14028" s="128" t="str">
        <f>VLOOKUP(source[[#This Row],[lending_product_transform]],[3]Mapping!$B$4:$C$37,2,0)</f>
        <v>[Cake] - Cashloan</v>
      </c>
      <c r="H14028" s="128" t="str">
        <f>VLOOKUP(source[[#This Row],[lending_product_transform]],[3]Mapping!$B$3:$D$37,3,0)</f>
        <v>cashloan</v>
      </c>
      <c r="I14028" s="137">
        <v>1685209063</v>
      </c>
    </row>
    <row r="14029" spans="1:9" x14ac:dyDescent="0.2">
      <c r="A14029" s="134">
        <v>46105</v>
      </c>
      <c r="B14029" s="135">
        <f>YEAR(source[[#This Row],[report_date]])</f>
        <v>2026</v>
      </c>
      <c r="C14029" s="128">
        <f t="shared" si="656"/>
        <v>3</v>
      </c>
      <c r="D14029" s="136">
        <f t="shared" si="655"/>
        <v>13</v>
      </c>
      <c r="E14029" s="136">
        <f t="shared" si="657"/>
        <v>24</v>
      </c>
      <c r="F14029" s="137" t="s">
        <v>24</v>
      </c>
      <c r="G14029" s="128" t="str">
        <f>VLOOKUP(source[[#This Row],[lending_product_transform]],[3]Mapping!$B$4:$C$37,2,0)</f>
        <v>[Cake] - Cashloan</v>
      </c>
      <c r="H14029" s="128" t="str">
        <f>VLOOKUP(source[[#This Row],[lending_product_transform]],[3]Mapping!$B$3:$D$37,3,0)</f>
        <v>cashloan</v>
      </c>
      <c r="I14029" s="137">
        <v>12734604000</v>
      </c>
    </row>
    <row r="14030" spans="1:9" x14ac:dyDescent="0.2">
      <c r="A14030" s="134">
        <v>46105</v>
      </c>
      <c r="B14030" s="135">
        <f>YEAR(source[[#This Row],[report_date]])</f>
        <v>2026</v>
      </c>
      <c r="C14030" s="128">
        <f t="shared" si="656"/>
        <v>3</v>
      </c>
      <c r="D14030" s="136">
        <f t="shared" si="655"/>
        <v>13</v>
      </c>
      <c r="E14030" s="136">
        <f t="shared" si="657"/>
        <v>24</v>
      </c>
      <c r="F14030" s="137" t="s">
        <v>24</v>
      </c>
      <c r="G14030" s="128" t="str">
        <f>VLOOKUP(source[[#This Row],[lending_product_transform]],[3]Mapping!$B$4:$C$37,2,0)</f>
        <v>[Cake] - Cashloan</v>
      </c>
      <c r="H14030" s="128" t="str">
        <f>VLOOKUP(source[[#This Row],[lending_product_transform]],[3]Mapping!$B$3:$D$37,3,0)</f>
        <v>cashloan</v>
      </c>
      <c r="I14030" s="137">
        <v>8102318</v>
      </c>
    </row>
    <row r="14031" spans="1:9" x14ac:dyDescent="0.2">
      <c r="A14031" s="134">
        <v>46105</v>
      </c>
      <c r="B14031" s="135">
        <f>YEAR(source[[#This Row],[report_date]])</f>
        <v>2026</v>
      </c>
      <c r="C14031" s="128">
        <f t="shared" si="656"/>
        <v>3</v>
      </c>
      <c r="D14031" s="136">
        <f t="shared" si="655"/>
        <v>13</v>
      </c>
      <c r="E14031" s="136">
        <f t="shared" si="657"/>
        <v>24</v>
      </c>
      <c r="F14031" s="137" t="s">
        <v>24</v>
      </c>
      <c r="G14031" s="128" t="str">
        <f>VLOOKUP(source[[#This Row],[lending_product_transform]],[3]Mapping!$B$4:$C$37,2,0)</f>
        <v>[Cake] - Cashloan</v>
      </c>
      <c r="H14031" s="128" t="str">
        <f>VLOOKUP(source[[#This Row],[lending_product_transform]],[3]Mapping!$B$3:$D$37,3,0)</f>
        <v>cashloan</v>
      </c>
      <c r="I14031" s="137">
        <v>80000000</v>
      </c>
    </row>
    <row r="14032" spans="1:9" x14ac:dyDescent="0.2">
      <c r="A14032" s="134">
        <v>46105</v>
      </c>
      <c r="B14032" s="135">
        <f>YEAR(source[[#This Row],[report_date]])</f>
        <v>2026</v>
      </c>
      <c r="C14032" s="128">
        <f t="shared" si="656"/>
        <v>3</v>
      </c>
      <c r="D14032" s="136">
        <f t="shared" si="655"/>
        <v>13</v>
      </c>
      <c r="E14032" s="136">
        <f t="shared" si="657"/>
        <v>24</v>
      </c>
      <c r="F14032" s="137" t="s">
        <v>24</v>
      </c>
      <c r="G14032" s="128" t="str">
        <f>VLOOKUP(source[[#This Row],[lending_product_transform]],[3]Mapping!$B$4:$C$37,2,0)</f>
        <v>[Cake] - Cashloan</v>
      </c>
      <c r="H14032" s="128" t="str">
        <f>VLOOKUP(source[[#This Row],[lending_product_transform]],[3]Mapping!$B$3:$D$37,3,0)</f>
        <v>cashloan</v>
      </c>
      <c r="I14032" s="137">
        <v>2197800000</v>
      </c>
    </row>
    <row r="14033" spans="1:9" x14ac:dyDescent="0.2">
      <c r="A14033" s="134">
        <v>46105</v>
      </c>
      <c r="B14033" s="135">
        <f>YEAR(source[[#This Row],[report_date]])</f>
        <v>2026</v>
      </c>
      <c r="C14033" s="128">
        <f t="shared" si="656"/>
        <v>3</v>
      </c>
      <c r="D14033" s="136">
        <f t="shared" ref="D14033:D14096" si="658">WEEKNUM(A14033,2)</f>
        <v>13</v>
      </c>
      <c r="E14033" s="136">
        <f t="shared" si="657"/>
        <v>24</v>
      </c>
      <c r="F14033" s="137" t="s">
        <v>24</v>
      </c>
      <c r="G14033" s="128" t="str">
        <f>VLOOKUP(source[[#This Row],[lending_product_transform]],[3]Mapping!$B$4:$C$37,2,0)</f>
        <v>[Cake] - Cashloan</v>
      </c>
      <c r="H14033" s="128" t="str">
        <f>VLOOKUP(source[[#This Row],[lending_product_transform]],[3]Mapping!$B$3:$D$37,3,0)</f>
        <v>cashloan</v>
      </c>
      <c r="I14033" s="137">
        <v>799920000</v>
      </c>
    </row>
    <row r="14034" spans="1:9" x14ac:dyDescent="0.2">
      <c r="A14034" s="134">
        <v>46105</v>
      </c>
      <c r="B14034" s="135">
        <f>YEAR(source[[#This Row],[report_date]])</f>
        <v>2026</v>
      </c>
      <c r="C14034" s="128">
        <f t="shared" si="656"/>
        <v>3</v>
      </c>
      <c r="D14034" s="136">
        <f t="shared" si="658"/>
        <v>13</v>
      </c>
      <c r="E14034" s="136">
        <f t="shared" si="657"/>
        <v>24</v>
      </c>
      <c r="F14034" s="137" t="s">
        <v>24</v>
      </c>
      <c r="G14034" s="128" t="str">
        <f>VLOOKUP(source[[#This Row],[lending_product_transform]],[3]Mapping!$B$4:$C$37,2,0)</f>
        <v>[Cake] - Cashloan</v>
      </c>
      <c r="H14034" s="128" t="str">
        <f>VLOOKUP(source[[#This Row],[lending_product_transform]],[3]Mapping!$B$3:$D$37,3,0)</f>
        <v>cashloan</v>
      </c>
      <c r="I14034" s="137">
        <v>461000</v>
      </c>
    </row>
    <row r="14035" spans="1:9" x14ac:dyDescent="0.2">
      <c r="A14035" s="134">
        <v>46105</v>
      </c>
      <c r="B14035" s="135">
        <f>YEAR(source[[#This Row],[report_date]])</f>
        <v>2026</v>
      </c>
      <c r="C14035" s="128">
        <f t="shared" si="656"/>
        <v>3</v>
      </c>
      <c r="D14035" s="136">
        <f t="shared" si="658"/>
        <v>13</v>
      </c>
      <c r="E14035" s="136">
        <f t="shared" si="657"/>
        <v>24</v>
      </c>
      <c r="F14035" s="137" t="s">
        <v>24</v>
      </c>
      <c r="G14035" s="128" t="str">
        <f>VLOOKUP(source[[#This Row],[lending_product_transform]],[3]Mapping!$B$4:$C$37,2,0)</f>
        <v>[Cake] - Cashloan</v>
      </c>
      <c r="H14035" s="128" t="str">
        <f>VLOOKUP(source[[#This Row],[lending_product_transform]],[3]Mapping!$B$3:$D$37,3,0)</f>
        <v>cashloan</v>
      </c>
      <c r="I14035" s="137">
        <v>657687289</v>
      </c>
    </row>
    <row r="14036" spans="1:9" x14ac:dyDescent="0.2">
      <c r="A14036" s="134">
        <v>46105</v>
      </c>
      <c r="B14036" s="135">
        <f>YEAR(source[[#This Row],[report_date]])</f>
        <v>2026</v>
      </c>
      <c r="C14036" s="128">
        <f t="shared" si="656"/>
        <v>3</v>
      </c>
      <c r="D14036" s="136">
        <f t="shared" si="658"/>
        <v>13</v>
      </c>
      <c r="E14036" s="136">
        <f t="shared" si="657"/>
        <v>24</v>
      </c>
      <c r="F14036" s="137" t="s">
        <v>24</v>
      </c>
      <c r="G14036" s="128" t="str">
        <f>VLOOKUP(source[[#This Row],[lending_product_transform]],[3]Mapping!$B$4:$C$37,2,0)</f>
        <v>[Cake] - Cashloan</v>
      </c>
      <c r="H14036" s="128" t="str">
        <f>VLOOKUP(source[[#This Row],[lending_product_transform]],[3]Mapping!$B$3:$D$37,3,0)</f>
        <v>cashloan</v>
      </c>
      <c r="I14036" s="137">
        <v>0</v>
      </c>
    </row>
    <row r="14037" spans="1:9" x14ac:dyDescent="0.2">
      <c r="A14037" s="134">
        <v>46105</v>
      </c>
      <c r="B14037" s="135">
        <f>YEAR(source[[#This Row],[report_date]])</f>
        <v>2026</v>
      </c>
      <c r="C14037" s="128">
        <f t="shared" si="656"/>
        <v>3</v>
      </c>
      <c r="D14037" s="136">
        <f t="shared" si="658"/>
        <v>13</v>
      </c>
      <c r="E14037" s="136">
        <f t="shared" si="657"/>
        <v>24</v>
      </c>
      <c r="F14037" s="137" t="s">
        <v>24</v>
      </c>
      <c r="G14037" s="128" t="str">
        <f>VLOOKUP(source[[#This Row],[lending_product_transform]],[3]Mapping!$B$4:$C$37,2,0)</f>
        <v>[Cake] - Cashloan</v>
      </c>
      <c r="H14037" s="128" t="str">
        <f>VLOOKUP(source[[#This Row],[lending_product_transform]],[3]Mapping!$B$3:$D$37,3,0)</f>
        <v>cashloan</v>
      </c>
      <c r="I14037" s="137">
        <v>78000000</v>
      </c>
    </row>
    <row r="14038" spans="1:9" x14ac:dyDescent="0.2">
      <c r="A14038" s="134">
        <v>46105</v>
      </c>
      <c r="B14038" s="135">
        <f>YEAR(source[[#This Row],[report_date]])</f>
        <v>2026</v>
      </c>
      <c r="C14038" s="128">
        <f t="shared" si="656"/>
        <v>3</v>
      </c>
      <c r="D14038" s="136">
        <f t="shared" si="658"/>
        <v>13</v>
      </c>
      <c r="E14038" s="136">
        <f t="shared" si="657"/>
        <v>24</v>
      </c>
      <c r="F14038" s="137" t="s">
        <v>24</v>
      </c>
      <c r="G14038" s="128" t="str">
        <f>VLOOKUP(source[[#This Row],[lending_product_transform]],[3]Mapping!$B$4:$C$37,2,0)</f>
        <v>[Cake] - Cashloan</v>
      </c>
      <c r="H14038" s="128" t="str">
        <f>VLOOKUP(source[[#This Row],[lending_product_transform]],[3]Mapping!$B$3:$D$37,3,0)</f>
        <v>cashloan</v>
      </c>
      <c r="I14038" s="137">
        <v>0</v>
      </c>
    </row>
    <row r="14039" spans="1:9" x14ac:dyDescent="0.2">
      <c r="A14039" s="134">
        <v>46105</v>
      </c>
      <c r="B14039" s="135">
        <f>YEAR(source[[#This Row],[report_date]])</f>
        <v>2026</v>
      </c>
      <c r="C14039" s="128">
        <f t="shared" si="656"/>
        <v>3</v>
      </c>
      <c r="D14039" s="136">
        <f t="shared" si="658"/>
        <v>13</v>
      </c>
      <c r="E14039" s="136">
        <f t="shared" si="657"/>
        <v>24</v>
      </c>
      <c r="F14039" s="137" t="s">
        <v>24</v>
      </c>
      <c r="G14039" s="128" t="str">
        <f>VLOOKUP(source[[#This Row],[lending_product_transform]],[3]Mapping!$B$4:$C$37,2,0)</f>
        <v>[Cake] - Cashloan</v>
      </c>
      <c r="H14039" s="128" t="str">
        <f>VLOOKUP(source[[#This Row],[lending_product_transform]],[3]Mapping!$B$3:$D$37,3,0)</f>
        <v>cashloan</v>
      </c>
      <c r="I14039" s="137">
        <v>17340180000</v>
      </c>
    </row>
    <row r="14040" spans="1:9" x14ac:dyDescent="0.2">
      <c r="A14040" s="134">
        <v>46105</v>
      </c>
      <c r="B14040" s="135">
        <f>YEAR(source[[#This Row],[report_date]])</f>
        <v>2026</v>
      </c>
      <c r="C14040" s="128">
        <f t="shared" si="656"/>
        <v>3</v>
      </c>
      <c r="D14040" s="136">
        <f t="shared" si="658"/>
        <v>13</v>
      </c>
      <c r="E14040" s="136">
        <f t="shared" si="657"/>
        <v>24</v>
      </c>
      <c r="F14040" s="137" t="s">
        <v>24</v>
      </c>
      <c r="G14040" s="128" t="str">
        <f>VLOOKUP(source[[#This Row],[lending_product_transform]],[3]Mapping!$B$4:$C$37,2,0)</f>
        <v>[Cake] - Cashloan</v>
      </c>
      <c r="H14040" s="128" t="str">
        <f>VLOOKUP(source[[#This Row],[lending_product_transform]],[3]Mapping!$B$3:$D$37,3,0)</f>
        <v>cashloan</v>
      </c>
      <c r="I14040" s="137">
        <v>0</v>
      </c>
    </row>
    <row r="14041" spans="1:9" x14ac:dyDescent="0.2">
      <c r="A14041" s="134">
        <v>46105</v>
      </c>
      <c r="B14041" s="135">
        <f>YEAR(source[[#This Row],[report_date]])</f>
        <v>2026</v>
      </c>
      <c r="C14041" s="128">
        <f t="shared" si="656"/>
        <v>3</v>
      </c>
      <c r="D14041" s="136">
        <f t="shared" si="658"/>
        <v>13</v>
      </c>
      <c r="E14041" s="136">
        <f t="shared" si="657"/>
        <v>24</v>
      </c>
      <c r="F14041" s="137" t="s">
        <v>24</v>
      </c>
      <c r="G14041" s="128" t="str">
        <f>VLOOKUP(source[[#This Row],[lending_product_transform]],[3]Mapping!$B$4:$C$37,2,0)</f>
        <v>[Cake] - Cashloan</v>
      </c>
      <c r="H14041" s="128" t="str">
        <f>VLOOKUP(source[[#This Row],[lending_product_transform]],[3]Mapping!$B$3:$D$37,3,0)</f>
        <v>cashloan</v>
      </c>
      <c r="I14041" s="137">
        <v>0</v>
      </c>
    </row>
    <row r="14042" spans="1:9" x14ac:dyDescent="0.2">
      <c r="A14042" s="134">
        <v>46105</v>
      </c>
      <c r="B14042" s="135">
        <f>YEAR(source[[#This Row],[report_date]])</f>
        <v>2026</v>
      </c>
      <c r="C14042" s="128">
        <f t="shared" si="656"/>
        <v>3</v>
      </c>
      <c r="D14042" s="136">
        <f t="shared" si="658"/>
        <v>13</v>
      </c>
      <c r="E14042" s="136">
        <f t="shared" si="657"/>
        <v>24</v>
      </c>
      <c r="F14042" s="137" t="s">
        <v>24</v>
      </c>
      <c r="G14042" s="128" t="str">
        <f>VLOOKUP(source[[#This Row],[lending_product_transform]],[3]Mapping!$B$4:$C$37,2,0)</f>
        <v>[Cake] - Cashloan</v>
      </c>
      <c r="H14042" s="128" t="str">
        <f>VLOOKUP(source[[#This Row],[lending_product_transform]],[3]Mapping!$B$3:$D$37,3,0)</f>
        <v>cashloan</v>
      </c>
      <c r="I14042" s="137">
        <v>0</v>
      </c>
    </row>
    <row r="14043" spans="1:9" x14ac:dyDescent="0.2">
      <c r="A14043" s="134">
        <v>46105</v>
      </c>
      <c r="B14043" s="135">
        <f>YEAR(source[[#This Row],[report_date]])</f>
        <v>2026</v>
      </c>
      <c r="C14043" s="128">
        <f t="shared" si="656"/>
        <v>3</v>
      </c>
      <c r="D14043" s="136">
        <f t="shared" si="658"/>
        <v>13</v>
      </c>
      <c r="E14043" s="136">
        <f t="shared" si="657"/>
        <v>24</v>
      </c>
      <c r="F14043" s="137" t="s">
        <v>24</v>
      </c>
      <c r="G14043" s="128" t="str">
        <f>VLOOKUP(source[[#This Row],[lending_product_transform]],[3]Mapping!$B$4:$C$37,2,0)</f>
        <v>[Cake] - Cashloan</v>
      </c>
      <c r="H14043" s="128" t="str">
        <f>VLOOKUP(source[[#This Row],[lending_product_transform]],[3]Mapping!$B$3:$D$37,3,0)</f>
        <v>cashloan</v>
      </c>
      <c r="I14043" s="137">
        <v>0</v>
      </c>
    </row>
    <row r="14044" spans="1:9" x14ac:dyDescent="0.2">
      <c r="A14044" s="134">
        <v>46105</v>
      </c>
      <c r="B14044" s="135">
        <f>YEAR(source[[#This Row],[report_date]])</f>
        <v>2026</v>
      </c>
      <c r="C14044" s="128">
        <f t="shared" si="656"/>
        <v>3</v>
      </c>
      <c r="D14044" s="136">
        <f t="shared" si="658"/>
        <v>13</v>
      </c>
      <c r="E14044" s="136">
        <f t="shared" si="657"/>
        <v>24</v>
      </c>
      <c r="F14044" s="137" t="s">
        <v>24</v>
      </c>
      <c r="G14044" s="128" t="str">
        <f>VLOOKUP(source[[#This Row],[lending_product_transform]],[3]Mapping!$B$4:$C$37,2,0)</f>
        <v>[Cake] - Cashloan</v>
      </c>
      <c r="H14044" s="128" t="str">
        <f>VLOOKUP(source[[#This Row],[lending_product_transform]],[3]Mapping!$B$3:$D$37,3,0)</f>
        <v>cashloan</v>
      </c>
      <c r="I14044" s="137">
        <v>11052720000</v>
      </c>
    </row>
    <row r="14045" spans="1:9" x14ac:dyDescent="0.2">
      <c r="A14045" s="134">
        <v>46105</v>
      </c>
      <c r="B14045" s="135">
        <f>YEAR(source[[#This Row],[report_date]])</f>
        <v>2026</v>
      </c>
      <c r="C14045" s="128">
        <f t="shared" si="656"/>
        <v>3</v>
      </c>
      <c r="D14045" s="136">
        <f t="shared" si="658"/>
        <v>13</v>
      </c>
      <c r="E14045" s="136">
        <f t="shared" si="657"/>
        <v>24</v>
      </c>
      <c r="F14045" s="137" t="s">
        <v>24</v>
      </c>
      <c r="G14045" s="128" t="str">
        <f>VLOOKUP(source[[#This Row],[lending_product_transform]],[3]Mapping!$B$4:$C$37,2,0)</f>
        <v>[Cake] - Cashloan</v>
      </c>
      <c r="H14045" s="128" t="str">
        <f>VLOOKUP(source[[#This Row],[lending_product_transform]],[3]Mapping!$B$3:$D$37,3,0)</f>
        <v>cashloan</v>
      </c>
      <c r="I14045" s="137">
        <v>131582412</v>
      </c>
    </row>
    <row r="14046" spans="1:9" x14ac:dyDescent="0.2">
      <c r="A14046" s="134">
        <v>46105</v>
      </c>
      <c r="B14046" s="135">
        <f>YEAR(source[[#This Row],[report_date]])</f>
        <v>2026</v>
      </c>
      <c r="C14046" s="128">
        <f t="shared" si="656"/>
        <v>3</v>
      </c>
      <c r="D14046" s="136">
        <f t="shared" si="658"/>
        <v>13</v>
      </c>
      <c r="E14046" s="136">
        <f t="shared" si="657"/>
        <v>24</v>
      </c>
      <c r="F14046" s="137" t="s">
        <v>24</v>
      </c>
      <c r="G14046" s="128" t="str">
        <f>VLOOKUP(source[[#This Row],[lending_product_transform]],[3]Mapping!$B$4:$C$37,2,0)</f>
        <v>[Cake] - Cashloan</v>
      </c>
      <c r="H14046" s="128" t="str">
        <f>VLOOKUP(source[[#This Row],[lending_product_transform]],[3]Mapping!$B$3:$D$37,3,0)</f>
        <v>cashloan</v>
      </c>
      <c r="I14046" s="137">
        <v>77250000</v>
      </c>
    </row>
    <row r="14047" spans="1:9" x14ac:dyDescent="0.2">
      <c r="A14047" s="134">
        <v>46105</v>
      </c>
      <c r="B14047" s="135">
        <f>YEAR(source[[#This Row],[report_date]])</f>
        <v>2026</v>
      </c>
      <c r="C14047" s="128">
        <f t="shared" si="656"/>
        <v>3</v>
      </c>
      <c r="D14047" s="136">
        <f t="shared" si="658"/>
        <v>13</v>
      </c>
      <c r="E14047" s="136">
        <f t="shared" si="657"/>
        <v>24</v>
      </c>
      <c r="F14047" s="137" t="s">
        <v>24</v>
      </c>
      <c r="G14047" s="128" t="str">
        <f>VLOOKUP(source[[#This Row],[lending_product_transform]],[3]Mapping!$B$4:$C$37,2,0)</f>
        <v>[Cake] - Cashloan</v>
      </c>
      <c r="H14047" s="128" t="str">
        <f>VLOOKUP(source[[#This Row],[lending_product_transform]],[3]Mapping!$B$3:$D$37,3,0)</f>
        <v>cashloan</v>
      </c>
      <c r="I14047" s="137">
        <v>61000000</v>
      </c>
    </row>
    <row r="14048" spans="1:9" x14ac:dyDescent="0.2">
      <c r="A14048" s="134">
        <v>46105</v>
      </c>
      <c r="B14048" s="135">
        <f>YEAR(source[[#This Row],[report_date]])</f>
        <v>2026</v>
      </c>
      <c r="C14048" s="128">
        <f t="shared" si="656"/>
        <v>3</v>
      </c>
      <c r="D14048" s="136">
        <f t="shared" si="658"/>
        <v>13</v>
      </c>
      <c r="E14048" s="136">
        <f t="shared" si="657"/>
        <v>24</v>
      </c>
      <c r="F14048" s="137" t="s">
        <v>24</v>
      </c>
      <c r="G14048" s="128" t="str">
        <f>VLOOKUP(source[[#This Row],[lending_product_transform]],[3]Mapping!$B$4:$C$37,2,0)</f>
        <v>[Cake] - Cashloan</v>
      </c>
      <c r="H14048" s="128" t="str">
        <f>VLOOKUP(source[[#This Row],[lending_product_transform]],[3]Mapping!$B$3:$D$37,3,0)</f>
        <v>cashloan</v>
      </c>
      <c r="I14048" s="137">
        <v>643770000</v>
      </c>
    </row>
    <row r="14049" spans="1:9" x14ac:dyDescent="0.2">
      <c r="A14049" s="134">
        <v>46105</v>
      </c>
      <c r="B14049" s="135">
        <f>YEAR(source[[#This Row],[report_date]])</f>
        <v>2026</v>
      </c>
      <c r="C14049" s="128">
        <f t="shared" si="656"/>
        <v>3</v>
      </c>
      <c r="D14049" s="136">
        <f t="shared" si="658"/>
        <v>13</v>
      </c>
      <c r="E14049" s="136">
        <f t="shared" si="657"/>
        <v>24</v>
      </c>
      <c r="F14049" s="137" t="s">
        <v>24</v>
      </c>
      <c r="G14049" s="128" t="str">
        <f>VLOOKUP(source[[#This Row],[lending_product_transform]],[3]Mapping!$B$4:$C$37,2,0)</f>
        <v>[Cake] - Cashloan</v>
      </c>
      <c r="H14049" s="128" t="str">
        <f>VLOOKUP(source[[#This Row],[lending_product_transform]],[3]Mapping!$B$3:$D$37,3,0)</f>
        <v>cashloan</v>
      </c>
      <c r="I14049" s="137">
        <v>330156000</v>
      </c>
    </row>
    <row r="14050" spans="1:9" x14ac:dyDescent="0.2">
      <c r="A14050" s="134">
        <v>46105</v>
      </c>
      <c r="B14050" s="135">
        <f>YEAR(source[[#This Row],[report_date]])</f>
        <v>2026</v>
      </c>
      <c r="C14050" s="128">
        <f t="shared" si="656"/>
        <v>3</v>
      </c>
      <c r="D14050" s="136">
        <f t="shared" si="658"/>
        <v>13</v>
      </c>
      <c r="E14050" s="136">
        <f t="shared" si="657"/>
        <v>24</v>
      </c>
      <c r="F14050" s="137" t="s">
        <v>24</v>
      </c>
      <c r="G14050" s="128" t="str">
        <f>VLOOKUP(source[[#This Row],[lending_product_transform]],[3]Mapping!$B$4:$C$37,2,0)</f>
        <v>[Cake] - Cashloan</v>
      </c>
      <c r="H14050" s="128" t="str">
        <f>VLOOKUP(source[[#This Row],[lending_product_transform]],[3]Mapping!$B$3:$D$37,3,0)</f>
        <v>cashloan</v>
      </c>
      <c r="I14050" s="137">
        <v>344505081</v>
      </c>
    </row>
    <row r="14051" spans="1:9" x14ac:dyDescent="0.2">
      <c r="A14051" s="134">
        <v>46105</v>
      </c>
      <c r="B14051" s="135">
        <f>YEAR(source[[#This Row],[report_date]])</f>
        <v>2026</v>
      </c>
      <c r="C14051" s="128">
        <f t="shared" si="656"/>
        <v>3</v>
      </c>
      <c r="D14051" s="136">
        <f t="shared" si="658"/>
        <v>13</v>
      </c>
      <c r="E14051" s="136">
        <f t="shared" si="657"/>
        <v>24</v>
      </c>
      <c r="F14051" s="137" t="s">
        <v>24</v>
      </c>
      <c r="G14051" s="128" t="str">
        <f>VLOOKUP(source[[#This Row],[lending_product_transform]],[3]Mapping!$B$4:$C$37,2,0)</f>
        <v>[Cake] - Cashloan</v>
      </c>
      <c r="H14051" s="128" t="str">
        <f>VLOOKUP(source[[#This Row],[lending_product_transform]],[3]Mapping!$B$3:$D$37,3,0)</f>
        <v>cashloan</v>
      </c>
      <c r="I14051" s="137">
        <v>3313580000</v>
      </c>
    </row>
    <row r="14052" spans="1:9" x14ac:dyDescent="0.2">
      <c r="A14052" s="134">
        <v>46105</v>
      </c>
      <c r="B14052" s="135">
        <f>YEAR(source[[#This Row],[report_date]])</f>
        <v>2026</v>
      </c>
      <c r="C14052" s="128">
        <f t="shared" si="656"/>
        <v>3</v>
      </c>
      <c r="D14052" s="136">
        <f t="shared" si="658"/>
        <v>13</v>
      </c>
      <c r="E14052" s="136">
        <f t="shared" si="657"/>
        <v>24</v>
      </c>
      <c r="F14052" s="137" t="s">
        <v>24</v>
      </c>
      <c r="G14052" s="128" t="str">
        <f>VLOOKUP(source[[#This Row],[lending_product_transform]],[3]Mapping!$B$4:$C$37,2,0)</f>
        <v>[Cake] - Cashloan</v>
      </c>
      <c r="H14052" s="128" t="str">
        <f>VLOOKUP(source[[#This Row],[lending_product_transform]],[3]Mapping!$B$3:$D$37,3,0)</f>
        <v>cashloan</v>
      </c>
      <c r="I14052" s="137">
        <v>9936000</v>
      </c>
    </row>
    <row r="14053" spans="1:9" x14ac:dyDescent="0.2">
      <c r="A14053" s="134">
        <v>46106</v>
      </c>
      <c r="B14053" s="135">
        <f>YEAR(source[[#This Row],[report_date]])</f>
        <v>2026</v>
      </c>
      <c r="C14053" s="128">
        <f t="shared" si="656"/>
        <v>3</v>
      </c>
      <c r="D14053" s="136">
        <f t="shared" si="658"/>
        <v>13</v>
      </c>
      <c r="E14053" s="136">
        <f t="shared" si="657"/>
        <v>25</v>
      </c>
      <c r="F14053" s="137" t="s">
        <v>24</v>
      </c>
      <c r="G14053" s="128" t="str">
        <f>VLOOKUP(source[[#This Row],[lending_product_transform]],[3]Mapping!$B$4:$C$37,2,0)</f>
        <v>[Cake] - Cashloan</v>
      </c>
      <c r="H14053" s="128" t="str">
        <f>VLOOKUP(source[[#This Row],[lending_product_transform]],[3]Mapping!$B$3:$D$37,3,0)</f>
        <v>cashloan</v>
      </c>
      <c r="I14053" s="137">
        <v>488420000</v>
      </c>
    </row>
    <row r="14054" spans="1:9" x14ac:dyDescent="0.2">
      <c r="A14054" s="134">
        <v>46106</v>
      </c>
      <c r="B14054" s="135">
        <f>YEAR(source[[#This Row],[report_date]])</f>
        <v>2026</v>
      </c>
      <c r="C14054" s="128">
        <f t="shared" si="656"/>
        <v>3</v>
      </c>
      <c r="D14054" s="136">
        <f t="shared" si="658"/>
        <v>13</v>
      </c>
      <c r="E14054" s="136">
        <f t="shared" si="657"/>
        <v>25</v>
      </c>
      <c r="F14054" s="137" t="s">
        <v>24</v>
      </c>
      <c r="G14054" s="128" t="str">
        <f>VLOOKUP(source[[#This Row],[lending_product_transform]],[3]Mapping!$B$4:$C$37,2,0)</f>
        <v>[Cake] - Cashloan</v>
      </c>
      <c r="H14054" s="128" t="str">
        <f>VLOOKUP(source[[#This Row],[lending_product_transform]],[3]Mapping!$B$3:$D$37,3,0)</f>
        <v>cashloan</v>
      </c>
      <c r="I14054" s="137">
        <v>321551950</v>
      </c>
    </row>
    <row r="14055" spans="1:9" x14ac:dyDescent="0.2">
      <c r="A14055" s="134">
        <v>46106</v>
      </c>
      <c r="B14055" s="135">
        <f>YEAR(source[[#This Row],[report_date]])</f>
        <v>2026</v>
      </c>
      <c r="C14055" s="128">
        <f t="shared" si="656"/>
        <v>3</v>
      </c>
      <c r="D14055" s="136">
        <f t="shared" si="658"/>
        <v>13</v>
      </c>
      <c r="E14055" s="136">
        <f t="shared" si="657"/>
        <v>25</v>
      </c>
      <c r="F14055" s="137" t="s">
        <v>24</v>
      </c>
      <c r="G14055" s="128" t="str">
        <f>VLOOKUP(source[[#This Row],[lending_product_transform]],[3]Mapping!$B$4:$C$37,2,0)</f>
        <v>[Cake] - Cashloan</v>
      </c>
      <c r="H14055" s="128" t="str">
        <f>VLOOKUP(source[[#This Row],[lending_product_transform]],[3]Mapping!$B$3:$D$37,3,0)</f>
        <v>cashloan</v>
      </c>
      <c r="I14055" s="137">
        <v>16534200000</v>
      </c>
    </row>
    <row r="14056" spans="1:9" x14ac:dyDescent="0.2">
      <c r="A14056" s="134">
        <v>46106</v>
      </c>
      <c r="B14056" s="135">
        <f>YEAR(source[[#This Row],[report_date]])</f>
        <v>2026</v>
      </c>
      <c r="C14056" s="128">
        <f t="shared" si="656"/>
        <v>3</v>
      </c>
      <c r="D14056" s="136">
        <f t="shared" si="658"/>
        <v>13</v>
      </c>
      <c r="E14056" s="136">
        <f t="shared" si="657"/>
        <v>25</v>
      </c>
      <c r="F14056" s="137" t="s">
        <v>24</v>
      </c>
      <c r="G14056" s="128" t="str">
        <f>VLOOKUP(source[[#This Row],[lending_product_transform]],[3]Mapping!$B$4:$C$37,2,0)</f>
        <v>[Cake] - Cashloan</v>
      </c>
      <c r="H14056" s="128" t="str">
        <f>VLOOKUP(source[[#This Row],[lending_product_transform]],[3]Mapping!$B$3:$D$37,3,0)</f>
        <v>cashloan</v>
      </c>
      <c r="I14056" s="137">
        <v>1549129864</v>
      </c>
    </row>
    <row r="14057" spans="1:9" x14ac:dyDescent="0.2">
      <c r="A14057" s="134">
        <v>46106</v>
      </c>
      <c r="B14057" s="135">
        <f>YEAR(source[[#This Row],[report_date]])</f>
        <v>2026</v>
      </c>
      <c r="C14057" s="128">
        <f t="shared" si="656"/>
        <v>3</v>
      </c>
      <c r="D14057" s="136">
        <f t="shared" si="658"/>
        <v>13</v>
      </c>
      <c r="E14057" s="136">
        <f t="shared" si="657"/>
        <v>25</v>
      </c>
      <c r="F14057" s="137" t="s">
        <v>24</v>
      </c>
      <c r="G14057" s="128" t="str">
        <f>VLOOKUP(source[[#This Row],[lending_product_transform]],[3]Mapping!$B$4:$C$37,2,0)</f>
        <v>[Cake] - Cashloan</v>
      </c>
      <c r="H14057" s="128" t="str">
        <f>VLOOKUP(source[[#This Row],[lending_product_transform]],[3]Mapping!$B$3:$D$37,3,0)</f>
        <v>cashloan</v>
      </c>
      <c r="I14057" s="137">
        <v>13166604000</v>
      </c>
    </row>
    <row r="14058" spans="1:9" x14ac:dyDescent="0.2">
      <c r="A14058" s="134">
        <v>46106</v>
      </c>
      <c r="B14058" s="135">
        <f>YEAR(source[[#This Row],[report_date]])</f>
        <v>2026</v>
      </c>
      <c r="C14058" s="128">
        <f t="shared" si="656"/>
        <v>3</v>
      </c>
      <c r="D14058" s="136">
        <f t="shared" si="658"/>
        <v>13</v>
      </c>
      <c r="E14058" s="136">
        <f t="shared" si="657"/>
        <v>25</v>
      </c>
      <c r="F14058" s="137" t="s">
        <v>24</v>
      </c>
      <c r="G14058" s="128" t="str">
        <f>VLOOKUP(source[[#This Row],[lending_product_transform]],[3]Mapping!$B$4:$C$37,2,0)</f>
        <v>[Cake] - Cashloan</v>
      </c>
      <c r="H14058" s="128" t="str">
        <f>VLOOKUP(source[[#This Row],[lending_product_transform]],[3]Mapping!$B$3:$D$37,3,0)</f>
        <v>cashloan</v>
      </c>
      <c r="I14058" s="137">
        <v>6570346</v>
      </c>
    </row>
    <row r="14059" spans="1:9" x14ac:dyDescent="0.2">
      <c r="A14059" s="134">
        <v>46106</v>
      </c>
      <c r="B14059" s="135">
        <f>YEAR(source[[#This Row],[report_date]])</f>
        <v>2026</v>
      </c>
      <c r="C14059" s="128">
        <f t="shared" si="656"/>
        <v>3</v>
      </c>
      <c r="D14059" s="136">
        <f t="shared" si="658"/>
        <v>13</v>
      </c>
      <c r="E14059" s="136">
        <f t="shared" si="657"/>
        <v>25</v>
      </c>
      <c r="F14059" s="137" t="s">
        <v>24</v>
      </c>
      <c r="G14059" s="128" t="str">
        <f>VLOOKUP(source[[#This Row],[lending_product_transform]],[3]Mapping!$B$4:$C$37,2,0)</f>
        <v>[Cake] - Cashloan</v>
      </c>
      <c r="H14059" s="128" t="str">
        <f>VLOOKUP(source[[#This Row],[lending_product_transform]],[3]Mapping!$B$3:$D$37,3,0)</f>
        <v>cashloan</v>
      </c>
      <c r="I14059" s="137">
        <v>0</v>
      </c>
    </row>
    <row r="14060" spans="1:9" x14ac:dyDescent="0.2">
      <c r="A14060" s="134">
        <v>46106</v>
      </c>
      <c r="B14060" s="135">
        <f>YEAR(source[[#This Row],[report_date]])</f>
        <v>2026</v>
      </c>
      <c r="C14060" s="128">
        <f t="shared" si="656"/>
        <v>3</v>
      </c>
      <c r="D14060" s="136">
        <f t="shared" si="658"/>
        <v>13</v>
      </c>
      <c r="E14060" s="136">
        <f t="shared" si="657"/>
        <v>25</v>
      </c>
      <c r="F14060" s="137" t="s">
        <v>24</v>
      </c>
      <c r="G14060" s="128" t="str">
        <f>VLOOKUP(source[[#This Row],[lending_product_transform]],[3]Mapping!$B$4:$C$37,2,0)</f>
        <v>[Cake] - Cashloan</v>
      </c>
      <c r="H14060" s="128" t="str">
        <f>VLOOKUP(source[[#This Row],[lending_product_transform]],[3]Mapping!$B$3:$D$37,3,0)</f>
        <v>cashloan</v>
      </c>
      <c r="I14060" s="137">
        <v>2007250000</v>
      </c>
    </row>
    <row r="14061" spans="1:9" x14ac:dyDescent="0.2">
      <c r="A14061" s="134">
        <v>46106</v>
      </c>
      <c r="B14061" s="135">
        <f>YEAR(source[[#This Row],[report_date]])</f>
        <v>2026</v>
      </c>
      <c r="C14061" s="128">
        <f t="shared" si="656"/>
        <v>3</v>
      </c>
      <c r="D14061" s="136">
        <f t="shared" si="658"/>
        <v>13</v>
      </c>
      <c r="E14061" s="136">
        <f t="shared" si="657"/>
        <v>25</v>
      </c>
      <c r="F14061" s="137" t="s">
        <v>24</v>
      </c>
      <c r="G14061" s="128" t="str">
        <f>VLOOKUP(source[[#This Row],[lending_product_transform]],[3]Mapping!$B$4:$C$37,2,0)</f>
        <v>[Cake] - Cashloan</v>
      </c>
      <c r="H14061" s="128" t="str">
        <f>VLOOKUP(source[[#This Row],[lending_product_transform]],[3]Mapping!$B$3:$D$37,3,0)</f>
        <v>cashloan</v>
      </c>
      <c r="I14061" s="137">
        <v>590790000</v>
      </c>
    </row>
    <row r="14062" spans="1:9" x14ac:dyDescent="0.2">
      <c r="A14062" s="134">
        <v>46106</v>
      </c>
      <c r="B14062" s="135">
        <f>YEAR(source[[#This Row],[report_date]])</f>
        <v>2026</v>
      </c>
      <c r="C14062" s="128">
        <f t="shared" si="656"/>
        <v>3</v>
      </c>
      <c r="D14062" s="136">
        <f t="shared" si="658"/>
        <v>13</v>
      </c>
      <c r="E14062" s="136">
        <f t="shared" si="657"/>
        <v>25</v>
      </c>
      <c r="F14062" s="137" t="s">
        <v>24</v>
      </c>
      <c r="G14062" s="128" t="str">
        <f>VLOOKUP(source[[#This Row],[lending_product_transform]],[3]Mapping!$B$4:$C$37,2,0)</f>
        <v>[Cake] - Cashloan</v>
      </c>
      <c r="H14062" s="128" t="str">
        <f>VLOOKUP(source[[#This Row],[lending_product_transform]],[3]Mapping!$B$3:$D$37,3,0)</f>
        <v>cashloan</v>
      </c>
      <c r="I14062" s="137">
        <v>918134</v>
      </c>
    </row>
    <row r="14063" spans="1:9" x14ac:dyDescent="0.2">
      <c r="A14063" s="134">
        <v>46106</v>
      </c>
      <c r="B14063" s="135">
        <f>YEAR(source[[#This Row],[report_date]])</f>
        <v>2026</v>
      </c>
      <c r="C14063" s="128">
        <f t="shared" si="656"/>
        <v>3</v>
      </c>
      <c r="D14063" s="136">
        <f t="shared" si="658"/>
        <v>13</v>
      </c>
      <c r="E14063" s="136">
        <f t="shared" si="657"/>
        <v>25</v>
      </c>
      <c r="F14063" s="137" t="s">
        <v>24</v>
      </c>
      <c r="G14063" s="128" t="str">
        <f>VLOOKUP(source[[#This Row],[lending_product_transform]],[3]Mapping!$B$4:$C$37,2,0)</f>
        <v>[Cake] - Cashloan</v>
      </c>
      <c r="H14063" s="128" t="str">
        <f>VLOOKUP(source[[#This Row],[lending_product_transform]],[3]Mapping!$B$3:$D$37,3,0)</f>
        <v>cashloan</v>
      </c>
      <c r="I14063" s="137">
        <v>733219421</v>
      </c>
    </row>
    <row r="14064" spans="1:9" x14ac:dyDescent="0.2">
      <c r="A14064" s="134">
        <v>46106</v>
      </c>
      <c r="B14064" s="135">
        <f>YEAR(source[[#This Row],[report_date]])</f>
        <v>2026</v>
      </c>
      <c r="C14064" s="128">
        <f t="shared" si="656"/>
        <v>3</v>
      </c>
      <c r="D14064" s="136">
        <f t="shared" si="658"/>
        <v>13</v>
      </c>
      <c r="E14064" s="136">
        <f t="shared" si="657"/>
        <v>25</v>
      </c>
      <c r="F14064" s="137" t="s">
        <v>24</v>
      </c>
      <c r="G14064" s="128" t="str">
        <f>VLOOKUP(source[[#This Row],[lending_product_transform]],[3]Mapping!$B$4:$C$37,2,0)</f>
        <v>[Cake] - Cashloan</v>
      </c>
      <c r="H14064" s="128" t="str">
        <f>VLOOKUP(source[[#This Row],[lending_product_transform]],[3]Mapping!$B$3:$D$37,3,0)</f>
        <v>cashloan</v>
      </c>
      <c r="I14064" s="137">
        <v>0</v>
      </c>
    </row>
    <row r="14065" spans="1:9" x14ac:dyDescent="0.2">
      <c r="A14065" s="134">
        <v>46106</v>
      </c>
      <c r="B14065" s="135">
        <f>YEAR(source[[#This Row],[report_date]])</f>
        <v>2026</v>
      </c>
      <c r="C14065" s="128">
        <f t="shared" si="656"/>
        <v>3</v>
      </c>
      <c r="D14065" s="136">
        <f t="shared" si="658"/>
        <v>13</v>
      </c>
      <c r="E14065" s="136">
        <f t="shared" si="657"/>
        <v>25</v>
      </c>
      <c r="F14065" s="137" t="s">
        <v>24</v>
      </c>
      <c r="G14065" s="128" t="str">
        <f>VLOOKUP(source[[#This Row],[lending_product_transform]],[3]Mapping!$B$4:$C$37,2,0)</f>
        <v>[Cake] - Cashloan</v>
      </c>
      <c r="H14065" s="128" t="str">
        <f>VLOOKUP(source[[#This Row],[lending_product_transform]],[3]Mapping!$B$3:$D$37,3,0)</f>
        <v>cashloan</v>
      </c>
      <c r="I14065" s="137">
        <v>88200000</v>
      </c>
    </row>
    <row r="14066" spans="1:9" x14ac:dyDescent="0.2">
      <c r="A14066" s="134">
        <v>46106</v>
      </c>
      <c r="B14066" s="135">
        <f>YEAR(source[[#This Row],[report_date]])</f>
        <v>2026</v>
      </c>
      <c r="C14066" s="128">
        <f t="shared" si="656"/>
        <v>3</v>
      </c>
      <c r="D14066" s="136">
        <f t="shared" si="658"/>
        <v>13</v>
      </c>
      <c r="E14066" s="136">
        <f t="shared" si="657"/>
        <v>25</v>
      </c>
      <c r="F14066" s="137" t="s">
        <v>24</v>
      </c>
      <c r="G14066" s="128" t="str">
        <f>VLOOKUP(source[[#This Row],[lending_product_transform]],[3]Mapping!$B$4:$C$37,2,0)</f>
        <v>[Cake] - Cashloan</v>
      </c>
      <c r="H14066" s="128" t="str">
        <f>VLOOKUP(source[[#This Row],[lending_product_transform]],[3]Mapping!$B$3:$D$37,3,0)</f>
        <v>cashloan</v>
      </c>
      <c r="I14066" s="137">
        <v>33000000</v>
      </c>
    </row>
    <row r="14067" spans="1:9" x14ac:dyDescent="0.2">
      <c r="A14067" s="134">
        <v>46106</v>
      </c>
      <c r="B14067" s="135">
        <f>YEAR(source[[#This Row],[report_date]])</f>
        <v>2026</v>
      </c>
      <c r="C14067" s="128">
        <f t="shared" si="656"/>
        <v>3</v>
      </c>
      <c r="D14067" s="136">
        <f t="shared" si="658"/>
        <v>13</v>
      </c>
      <c r="E14067" s="136">
        <f t="shared" si="657"/>
        <v>25</v>
      </c>
      <c r="F14067" s="137" t="s">
        <v>24</v>
      </c>
      <c r="G14067" s="128" t="str">
        <f>VLOOKUP(source[[#This Row],[lending_product_transform]],[3]Mapping!$B$4:$C$37,2,0)</f>
        <v>[Cake] - Cashloan</v>
      </c>
      <c r="H14067" s="128" t="str">
        <f>VLOOKUP(source[[#This Row],[lending_product_transform]],[3]Mapping!$B$3:$D$37,3,0)</f>
        <v>cashloan</v>
      </c>
      <c r="I14067" s="137">
        <v>15584130000</v>
      </c>
    </row>
    <row r="14068" spans="1:9" x14ac:dyDescent="0.2">
      <c r="A14068" s="134">
        <v>46106</v>
      </c>
      <c r="B14068" s="135">
        <f>YEAR(source[[#This Row],[report_date]])</f>
        <v>2026</v>
      </c>
      <c r="C14068" s="128">
        <f t="shared" si="656"/>
        <v>3</v>
      </c>
      <c r="D14068" s="136">
        <f t="shared" si="658"/>
        <v>13</v>
      </c>
      <c r="E14068" s="136">
        <f t="shared" si="657"/>
        <v>25</v>
      </c>
      <c r="F14068" s="137" t="s">
        <v>24</v>
      </c>
      <c r="G14068" s="128" t="str">
        <f>VLOOKUP(source[[#This Row],[lending_product_transform]],[3]Mapping!$B$4:$C$37,2,0)</f>
        <v>[Cake] - Cashloan</v>
      </c>
      <c r="H14068" s="128" t="str">
        <f>VLOOKUP(source[[#This Row],[lending_product_transform]],[3]Mapping!$B$3:$D$37,3,0)</f>
        <v>cashloan</v>
      </c>
      <c r="I14068" s="137">
        <v>0</v>
      </c>
    </row>
    <row r="14069" spans="1:9" x14ac:dyDescent="0.2">
      <c r="A14069" s="134">
        <v>46106</v>
      </c>
      <c r="B14069" s="135">
        <f>YEAR(source[[#This Row],[report_date]])</f>
        <v>2026</v>
      </c>
      <c r="C14069" s="128">
        <f t="shared" si="656"/>
        <v>3</v>
      </c>
      <c r="D14069" s="136">
        <f t="shared" si="658"/>
        <v>13</v>
      </c>
      <c r="E14069" s="136">
        <f t="shared" si="657"/>
        <v>25</v>
      </c>
      <c r="F14069" s="137" t="s">
        <v>24</v>
      </c>
      <c r="G14069" s="128" t="str">
        <f>VLOOKUP(source[[#This Row],[lending_product_transform]],[3]Mapping!$B$4:$C$37,2,0)</f>
        <v>[Cake] - Cashloan</v>
      </c>
      <c r="H14069" s="128" t="str">
        <f>VLOOKUP(source[[#This Row],[lending_product_transform]],[3]Mapping!$B$3:$D$37,3,0)</f>
        <v>cashloan</v>
      </c>
      <c r="I14069" s="137">
        <v>0</v>
      </c>
    </row>
    <row r="14070" spans="1:9" x14ac:dyDescent="0.2">
      <c r="A14070" s="134">
        <v>46106</v>
      </c>
      <c r="B14070" s="135">
        <f>YEAR(source[[#This Row],[report_date]])</f>
        <v>2026</v>
      </c>
      <c r="C14070" s="128">
        <f t="shared" ref="C14070:C14133" si="659">MONTH(A14070)</f>
        <v>3</v>
      </c>
      <c r="D14070" s="136">
        <f t="shared" si="658"/>
        <v>13</v>
      </c>
      <c r="E14070" s="136">
        <f t="shared" ref="E14070:E14133" si="660">DAY(A14070)</f>
        <v>25</v>
      </c>
      <c r="F14070" s="137" t="s">
        <v>24</v>
      </c>
      <c r="G14070" s="128" t="str">
        <f>VLOOKUP(source[[#This Row],[lending_product_transform]],[3]Mapping!$B$4:$C$37,2,0)</f>
        <v>[Cake] - Cashloan</v>
      </c>
      <c r="H14070" s="128" t="str">
        <f>VLOOKUP(source[[#This Row],[lending_product_transform]],[3]Mapping!$B$3:$D$37,3,0)</f>
        <v>cashloan</v>
      </c>
      <c r="I14070" s="137">
        <v>0</v>
      </c>
    </row>
    <row r="14071" spans="1:9" x14ac:dyDescent="0.2">
      <c r="A14071" s="134">
        <v>46106</v>
      </c>
      <c r="B14071" s="135">
        <f>YEAR(source[[#This Row],[report_date]])</f>
        <v>2026</v>
      </c>
      <c r="C14071" s="128">
        <f t="shared" si="659"/>
        <v>3</v>
      </c>
      <c r="D14071" s="136">
        <f t="shared" si="658"/>
        <v>13</v>
      </c>
      <c r="E14071" s="136">
        <f t="shared" si="660"/>
        <v>25</v>
      </c>
      <c r="F14071" s="137" t="s">
        <v>24</v>
      </c>
      <c r="G14071" s="128" t="str">
        <f>VLOOKUP(source[[#This Row],[lending_product_transform]],[3]Mapping!$B$4:$C$37,2,0)</f>
        <v>[Cake] - Cashloan</v>
      </c>
      <c r="H14071" s="128" t="str">
        <f>VLOOKUP(source[[#This Row],[lending_product_transform]],[3]Mapping!$B$3:$D$37,3,0)</f>
        <v>cashloan</v>
      </c>
      <c r="I14071" s="137">
        <v>0</v>
      </c>
    </row>
    <row r="14072" spans="1:9" x14ac:dyDescent="0.2">
      <c r="A14072" s="134">
        <v>46106</v>
      </c>
      <c r="B14072" s="135">
        <f>YEAR(source[[#This Row],[report_date]])</f>
        <v>2026</v>
      </c>
      <c r="C14072" s="128">
        <f t="shared" si="659"/>
        <v>3</v>
      </c>
      <c r="D14072" s="136">
        <f t="shared" si="658"/>
        <v>13</v>
      </c>
      <c r="E14072" s="136">
        <f t="shared" si="660"/>
        <v>25</v>
      </c>
      <c r="F14072" s="137" t="s">
        <v>24</v>
      </c>
      <c r="G14072" s="128" t="str">
        <f>VLOOKUP(source[[#This Row],[lending_product_transform]],[3]Mapping!$B$4:$C$37,2,0)</f>
        <v>[Cake] - Cashloan</v>
      </c>
      <c r="H14072" s="128" t="str">
        <f>VLOOKUP(source[[#This Row],[lending_product_transform]],[3]Mapping!$B$3:$D$37,3,0)</f>
        <v>cashloan</v>
      </c>
      <c r="I14072" s="137">
        <v>10550196000</v>
      </c>
    </row>
    <row r="14073" spans="1:9" x14ac:dyDescent="0.2">
      <c r="A14073" s="134">
        <v>46106</v>
      </c>
      <c r="B14073" s="135">
        <f>YEAR(source[[#This Row],[report_date]])</f>
        <v>2026</v>
      </c>
      <c r="C14073" s="128">
        <f t="shared" si="659"/>
        <v>3</v>
      </c>
      <c r="D14073" s="136">
        <f t="shared" si="658"/>
        <v>13</v>
      </c>
      <c r="E14073" s="136">
        <f t="shared" si="660"/>
        <v>25</v>
      </c>
      <c r="F14073" s="137" t="s">
        <v>24</v>
      </c>
      <c r="G14073" s="128" t="str">
        <f>VLOOKUP(source[[#This Row],[lending_product_transform]],[3]Mapping!$B$4:$C$37,2,0)</f>
        <v>[Cake] - Cashloan</v>
      </c>
      <c r="H14073" s="128" t="str">
        <f>VLOOKUP(source[[#This Row],[lending_product_transform]],[3]Mapping!$B$3:$D$37,3,0)</f>
        <v>cashloan</v>
      </c>
      <c r="I14073" s="137">
        <v>129784512</v>
      </c>
    </row>
    <row r="14074" spans="1:9" x14ac:dyDescent="0.2">
      <c r="A14074" s="134">
        <v>46106</v>
      </c>
      <c r="B14074" s="135">
        <f>YEAR(source[[#This Row],[report_date]])</f>
        <v>2026</v>
      </c>
      <c r="C14074" s="128">
        <f t="shared" si="659"/>
        <v>3</v>
      </c>
      <c r="D14074" s="136">
        <f t="shared" si="658"/>
        <v>13</v>
      </c>
      <c r="E14074" s="136">
        <f t="shared" si="660"/>
        <v>25</v>
      </c>
      <c r="F14074" s="137" t="s">
        <v>24</v>
      </c>
      <c r="G14074" s="128" t="str">
        <f>VLOOKUP(source[[#This Row],[lending_product_transform]],[3]Mapping!$B$4:$C$37,2,0)</f>
        <v>[Cake] - Cashloan</v>
      </c>
      <c r="H14074" s="128" t="str">
        <f>VLOOKUP(source[[#This Row],[lending_product_transform]],[3]Mapping!$B$3:$D$37,3,0)</f>
        <v>cashloan</v>
      </c>
      <c r="I14074" s="137">
        <v>42000000</v>
      </c>
    </row>
    <row r="14075" spans="1:9" x14ac:dyDescent="0.2">
      <c r="A14075" s="134">
        <v>46106</v>
      </c>
      <c r="B14075" s="135">
        <f>YEAR(source[[#This Row],[report_date]])</f>
        <v>2026</v>
      </c>
      <c r="C14075" s="128">
        <f t="shared" si="659"/>
        <v>3</v>
      </c>
      <c r="D14075" s="136">
        <f t="shared" si="658"/>
        <v>13</v>
      </c>
      <c r="E14075" s="136">
        <f t="shared" si="660"/>
        <v>25</v>
      </c>
      <c r="F14075" s="137" t="s">
        <v>24</v>
      </c>
      <c r="G14075" s="128" t="str">
        <f>VLOOKUP(source[[#This Row],[lending_product_transform]],[3]Mapping!$B$4:$C$37,2,0)</f>
        <v>[Cake] - Cashloan</v>
      </c>
      <c r="H14075" s="128" t="str">
        <f>VLOOKUP(source[[#This Row],[lending_product_transform]],[3]Mapping!$B$3:$D$37,3,0)</f>
        <v>cashloan</v>
      </c>
      <c r="I14075" s="137">
        <v>62000000</v>
      </c>
    </row>
    <row r="14076" spans="1:9" x14ac:dyDescent="0.2">
      <c r="A14076" s="134">
        <v>46106</v>
      </c>
      <c r="B14076" s="135">
        <f>YEAR(source[[#This Row],[report_date]])</f>
        <v>2026</v>
      </c>
      <c r="C14076" s="128">
        <f t="shared" si="659"/>
        <v>3</v>
      </c>
      <c r="D14076" s="136">
        <f t="shared" si="658"/>
        <v>13</v>
      </c>
      <c r="E14076" s="136">
        <f t="shared" si="660"/>
        <v>25</v>
      </c>
      <c r="F14076" s="137" t="s">
        <v>24</v>
      </c>
      <c r="G14076" s="128" t="str">
        <f>VLOOKUP(source[[#This Row],[lending_product_transform]],[3]Mapping!$B$4:$C$37,2,0)</f>
        <v>[Cake] - Cashloan</v>
      </c>
      <c r="H14076" s="128" t="str">
        <f>VLOOKUP(source[[#This Row],[lending_product_transform]],[3]Mapping!$B$3:$D$37,3,0)</f>
        <v>cashloan</v>
      </c>
      <c r="I14076" s="137">
        <v>814810000</v>
      </c>
    </row>
    <row r="14077" spans="1:9" x14ac:dyDescent="0.2">
      <c r="A14077" s="134">
        <v>46106</v>
      </c>
      <c r="B14077" s="135">
        <f>YEAR(source[[#This Row],[report_date]])</f>
        <v>2026</v>
      </c>
      <c r="C14077" s="128">
        <f t="shared" si="659"/>
        <v>3</v>
      </c>
      <c r="D14077" s="136">
        <f t="shared" si="658"/>
        <v>13</v>
      </c>
      <c r="E14077" s="136">
        <f t="shared" si="660"/>
        <v>25</v>
      </c>
      <c r="F14077" s="137" t="s">
        <v>24</v>
      </c>
      <c r="G14077" s="128" t="str">
        <f>VLOOKUP(source[[#This Row],[lending_product_transform]],[3]Mapping!$B$4:$C$37,2,0)</f>
        <v>[Cake] - Cashloan</v>
      </c>
      <c r="H14077" s="128" t="str">
        <f>VLOOKUP(source[[#This Row],[lending_product_transform]],[3]Mapping!$B$3:$D$37,3,0)</f>
        <v>cashloan</v>
      </c>
      <c r="I14077" s="137">
        <v>200124000</v>
      </c>
    </row>
    <row r="14078" spans="1:9" x14ac:dyDescent="0.2">
      <c r="A14078" s="134">
        <v>46106</v>
      </c>
      <c r="B14078" s="135">
        <f>YEAR(source[[#This Row],[report_date]])</f>
        <v>2026</v>
      </c>
      <c r="C14078" s="128">
        <f t="shared" si="659"/>
        <v>3</v>
      </c>
      <c r="D14078" s="136">
        <f t="shared" si="658"/>
        <v>13</v>
      </c>
      <c r="E14078" s="136">
        <f t="shared" si="660"/>
        <v>25</v>
      </c>
      <c r="F14078" s="137" t="s">
        <v>24</v>
      </c>
      <c r="G14078" s="128" t="str">
        <f>VLOOKUP(source[[#This Row],[lending_product_transform]],[3]Mapping!$B$4:$C$37,2,0)</f>
        <v>[Cake] - Cashloan</v>
      </c>
      <c r="H14078" s="128" t="str">
        <f>VLOOKUP(source[[#This Row],[lending_product_transform]],[3]Mapping!$B$3:$D$37,3,0)</f>
        <v>cashloan</v>
      </c>
      <c r="I14078" s="137">
        <v>334914405</v>
      </c>
    </row>
    <row r="14079" spans="1:9" x14ac:dyDescent="0.2">
      <c r="A14079" s="134">
        <v>46106</v>
      </c>
      <c r="B14079" s="135">
        <f>YEAR(source[[#This Row],[report_date]])</f>
        <v>2026</v>
      </c>
      <c r="C14079" s="128">
        <f t="shared" si="659"/>
        <v>3</v>
      </c>
      <c r="D14079" s="136">
        <f t="shared" si="658"/>
        <v>13</v>
      </c>
      <c r="E14079" s="136">
        <f t="shared" si="660"/>
        <v>25</v>
      </c>
      <c r="F14079" s="137" t="s">
        <v>24</v>
      </c>
      <c r="G14079" s="128" t="str">
        <f>VLOOKUP(source[[#This Row],[lending_product_transform]],[3]Mapping!$B$4:$C$37,2,0)</f>
        <v>[Cake] - Cashloan</v>
      </c>
      <c r="H14079" s="128" t="str">
        <f>VLOOKUP(source[[#This Row],[lending_product_transform]],[3]Mapping!$B$3:$D$37,3,0)</f>
        <v>cashloan</v>
      </c>
      <c r="I14079" s="137">
        <v>3132060000</v>
      </c>
    </row>
    <row r="14080" spans="1:9" x14ac:dyDescent="0.2">
      <c r="A14080" s="134">
        <v>46106</v>
      </c>
      <c r="B14080" s="135">
        <f>YEAR(source[[#This Row],[report_date]])</f>
        <v>2026</v>
      </c>
      <c r="C14080" s="128">
        <f t="shared" si="659"/>
        <v>3</v>
      </c>
      <c r="D14080" s="136">
        <f t="shared" si="658"/>
        <v>13</v>
      </c>
      <c r="E14080" s="136">
        <f t="shared" si="660"/>
        <v>25</v>
      </c>
      <c r="F14080" s="137" t="s">
        <v>24</v>
      </c>
      <c r="G14080" s="128" t="str">
        <f>VLOOKUP(source[[#This Row],[lending_product_transform]],[3]Mapping!$B$4:$C$37,2,0)</f>
        <v>[Cake] - Cashloan</v>
      </c>
      <c r="H14080" s="128" t="str">
        <f>VLOOKUP(source[[#This Row],[lending_product_transform]],[3]Mapping!$B$3:$D$37,3,0)</f>
        <v>cashloan</v>
      </c>
      <c r="I14080" s="137">
        <v>11880000</v>
      </c>
    </row>
    <row r="14081" spans="1:9" x14ac:dyDescent="0.2">
      <c r="A14081" s="134">
        <v>46107</v>
      </c>
      <c r="B14081" s="135">
        <f>YEAR(source[[#This Row],[report_date]])</f>
        <v>2026</v>
      </c>
      <c r="C14081" s="128">
        <f t="shared" si="659"/>
        <v>3</v>
      </c>
      <c r="D14081" s="136">
        <f t="shared" si="658"/>
        <v>13</v>
      </c>
      <c r="E14081" s="136">
        <f t="shared" si="660"/>
        <v>26</v>
      </c>
      <c r="F14081" s="137" t="s">
        <v>24</v>
      </c>
      <c r="G14081" s="128" t="str">
        <f>VLOOKUP(source[[#This Row],[lending_product_transform]],[3]Mapping!$B$4:$C$37,2,0)</f>
        <v>[Cake] - Cashloan</v>
      </c>
      <c r="H14081" s="128" t="str">
        <f>VLOOKUP(source[[#This Row],[lending_product_transform]],[3]Mapping!$B$3:$D$37,3,0)</f>
        <v>cashloan</v>
      </c>
      <c r="I14081" s="137">
        <v>652160000</v>
      </c>
    </row>
    <row r="14082" spans="1:9" x14ac:dyDescent="0.2">
      <c r="A14082" s="134">
        <v>46107</v>
      </c>
      <c r="B14082" s="135">
        <f>YEAR(source[[#This Row],[report_date]])</f>
        <v>2026</v>
      </c>
      <c r="C14082" s="128">
        <f t="shared" si="659"/>
        <v>3</v>
      </c>
      <c r="D14082" s="136">
        <f t="shared" si="658"/>
        <v>13</v>
      </c>
      <c r="E14082" s="136">
        <f t="shared" si="660"/>
        <v>26</v>
      </c>
      <c r="F14082" s="137" t="s">
        <v>24</v>
      </c>
      <c r="G14082" s="128" t="str">
        <f>VLOOKUP(source[[#This Row],[lending_product_transform]],[3]Mapping!$B$4:$C$37,2,0)</f>
        <v>[Cake] - Cashloan</v>
      </c>
      <c r="H14082" s="128" t="str">
        <f>VLOOKUP(source[[#This Row],[lending_product_transform]],[3]Mapping!$B$3:$D$37,3,0)</f>
        <v>cashloan</v>
      </c>
      <c r="I14082" s="137">
        <v>269557885</v>
      </c>
    </row>
    <row r="14083" spans="1:9" x14ac:dyDescent="0.2">
      <c r="A14083" s="134">
        <v>46107</v>
      </c>
      <c r="B14083" s="135">
        <f>YEAR(source[[#This Row],[report_date]])</f>
        <v>2026</v>
      </c>
      <c r="C14083" s="128">
        <f t="shared" si="659"/>
        <v>3</v>
      </c>
      <c r="D14083" s="136">
        <f t="shared" si="658"/>
        <v>13</v>
      </c>
      <c r="E14083" s="136">
        <f t="shared" si="660"/>
        <v>26</v>
      </c>
      <c r="F14083" s="137" t="s">
        <v>24</v>
      </c>
      <c r="G14083" s="128" t="str">
        <f>VLOOKUP(source[[#This Row],[lending_product_transform]],[3]Mapping!$B$4:$C$37,2,0)</f>
        <v>[Cake] - Cashloan</v>
      </c>
      <c r="H14083" s="128" t="str">
        <f>VLOOKUP(source[[#This Row],[lending_product_transform]],[3]Mapping!$B$3:$D$37,3,0)</f>
        <v>cashloan</v>
      </c>
      <c r="I14083" s="137">
        <v>13958880000</v>
      </c>
    </row>
    <row r="14084" spans="1:9" x14ac:dyDescent="0.2">
      <c r="A14084" s="134">
        <v>46107</v>
      </c>
      <c r="B14084" s="135">
        <f>YEAR(source[[#This Row],[report_date]])</f>
        <v>2026</v>
      </c>
      <c r="C14084" s="128">
        <f t="shared" si="659"/>
        <v>3</v>
      </c>
      <c r="D14084" s="136">
        <f t="shared" si="658"/>
        <v>13</v>
      </c>
      <c r="E14084" s="136">
        <f t="shared" si="660"/>
        <v>26</v>
      </c>
      <c r="F14084" s="137" t="s">
        <v>24</v>
      </c>
      <c r="G14084" s="128" t="str">
        <f>VLOOKUP(source[[#This Row],[lending_product_transform]],[3]Mapping!$B$4:$C$37,2,0)</f>
        <v>[Cake] - Cashloan</v>
      </c>
      <c r="H14084" s="128" t="str">
        <f>VLOOKUP(source[[#This Row],[lending_product_transform]],[3]Mapping!$B$3:$D$37,3,0)</f>
        <v>cashloan</v>
      </c>
      <c r="I14084" s="137">
        <v>1669586175</v>
      </c>
    </row>
    <row r="14085" spans="1:9" x14ac:dyDescent="0.2">
      <c r="A14085" s="134">
        <v>46107</v>
      </c>
      <c r="B14085" s="135">
        <f>YEAR(source[[#This Row],[report_date]])</f>
        <v>2026</v>
      </c>
      <c r="C14085" s="128">
        <f t="shared" si="659"/>
        <v>3</v>
      </c>
      <c r="D14085" s="136">
        <f t="shared" si="658"/>
        <v>13</v>
      </c>
      <c r="E14085" s="136">
        <f t="shared" si="660"/>
        <v>26</v>
      </c>
      <c r="F14085" s="137" t="s">
        <v>24</v>
      </c>
      <c r="G14085" s="128" t="str">
        <f>VLOOKUP(source[[#This Row],[lending_product_transform]],[3]Mapping!$B$4:$C$37,2,0)</f>
        <v>[Cake] - Cashloan</v>
      </c>
      <c r="H14085" s="128" t="str">
        <f>VLOOKUP(source[[#This Row],[lending_product_transform]],[3]Mapping!$B$3:$D$37,3,0)</f>
        <v>cashloan</v>
      </c>
      <c r="I14085" s="137">
        <v>12550248000</v>
      </c>
    </row>
    <row r="14086" spans="1:9" x14ac:dyDescent="0.2">
      <c r="A14086" s="134">
        <v>46107</v>
      </c>
      <c r="B14086" s="135">
        <f>YEAR(source[[#This Row],[report_date]])</f>
        <v>2026</v>
      </c>
      <c r="C14086" s="128">
        <f t="shared" si="659"/>
        <v>3</v>
      </c>
      <c r="D14086" s="136">
        <f t="shared" si="658"/>
        <v>13</v>
      </c>
      <c r="E14086" s="136">
        <f t="shared" si="660"/>
        <v>26</v>
      </c>
      <c r="F14086" s="137" t="s">
        <v>24</v>
      </c>
      <c r="G14086" s="128" t="str">
        <f>VLOOKUP(source[[#This Row],[lending_product_transform]],[3]Mapping!$B$4:$C$37,2,0)</f>
        <v>[Cake] - Cashloan</v>
      </c>
      <c r="H14086" s="128" t="str">
        <f>VLOOKUP(source[[#This Row],[lending_product_transform]],[3]Mapping!$B$3:$D$37,3,0)</f>
        <v>cashloan</v>
      </c>
      <c r="I14086" s="137">
        <v>2133905</v>
      </c>
    </row>
    <row r="14087" spans="1:9" x14ac:dyDescent="0.2">
      <c r="A14087" s="134">
        <v>46107</v>
      </c>
      <c r="B14087" s="135">
        <f>YEAR(source[[#This Row],[report_date]])</f>
        <v>2026</v>
      </c>
      <c r="C14087" s="128">
        <f t="shared" si="659"/>
        <v>3</v>
      </c>
      <c r="D14087" s="136">
        <f t="shared" si="658"/>
        <v>13</v>
      </c>
      <c r="E14087" s="136">
        <f t="shared" si="660"/>
        <v>26</v>
      </c>
      <c r="F14087" s="137" t="s">
        <v>24</v>
      </c>
      <c r="G14087" s="128" t="str">
        <f>VLOOKUP(source[[#This Row],[lending_product_transform]],[3]Mapping!$B$4:$C$37,2,0)</f>
        <v>[Cake] - Cashloan</v>
      </c>
      <c r="H14087" s="128" t="str">
        <f>VLOOKUP(source[[#This Row],[lending_product_transform]],[3]Mapping!$B$3:$D$37,3,0)</f>
        <v>cashloan</v>
      </c>
      <c r="I14087" s="137">
        <v>180000000</v>
      </c>
    </row>
    <row r="14088" spans="1:9" x14ac:dyDescent="0.2">
      <c r="A14088" s="134">
        <v>46107</v>
      </c>
      <c r="B14088" s="135">
        <f>YEAR(source[[#This Row],[report_date]])</f>
        <v>2026</v>
      </c>
      <c r="C14088" s="128">
        <f t="shared" si="659"/>
        <v>3</v>
      </c>
      <c r="D14088" s="136">
        <f t="shared" si="658"/>
        <v>13</v>
      </c>
      <c r="E14088" s="136">
        <f t="shared" si="660"/>
        <v>26</v>
      </c>
      <c r="F14088" s="137" t="s">
        <v>24</v>
      </c>
      <c r="G14088" s="128" t="str">
        <f>VLOOKUP(source[[#This Row],[lending_product_transform]],[3]Mapping!$B$4:$C$37,2,0)</f>
        <v>[Cake] - Cashloan</v>
      </c>
      <c r="H14088" s="128" t="str">
        <f>VLOOKUP(source[[#This Row],[lending_product_transform]],[3]Mapping!$B$3:$D$37,3,0)</f>
        <v>cashloan</v>
      </c>
      <c r="I14088" s="137">
        <v>2195470000</v>
      </c>
    </row>
    <row r="14089" spans="1:9" x14ac:dyDescent="0.2">
      <c r="A14089" s="134">
        <v>46107</v>
      </c>
      <c r="B14089" s="135">
        <f>YEAR(source[[#This Row],[report_date]])</f>
        <v>2026</v>
      </c>
      <c r="C14089" s="128">
        <f t="shared" si="659"/>
        <v>3</v>
      </c>
      <c r="D14089" s="136">
        <f t="shared" si="658"/>
        <v>13</v>
      </c>
      <c r="E14089" s="136">
        <f t="shared" si="660"/>
        <v>26</v>
      </c>
      <c r="F14089" s="137" t="s">
        <v>24</v>
      </c>
      <c r="G14089" s="128" t="str">
        <f>VLOOKUP(source[[#This Row],[lending_product_transform]],[3]Mapping!$B$4:$C$37,2,0)</f>
        <v>[Cake] - Cashloan</v>
      </c>
      <c r="H14089" s="128" t="str">
        <f>VLOOKUP(source[[#This Row],[lending_product_transform]],[3]Mapping!$B$3:$D$37,3,0)</f>
        <v>cashloan</v>
      </c>
      <c r="I14089" s="137">
        <v>814550000</v>
      </c>
    </row>
    <row r="14090" spans="1:9" x14ac:dyDescent="0.2">
      <c r="A14090" s="134">
        <v>46107</v>
      </c>
      <c r="B14090" s="135">
        <f>YEAR(source[[#This Row],[report_date]])</f>
        <v>2026</v>
      </c>
      <c r="C14090" s="128">
        <f t="shared" si="659"/>
        <v>3</v>
      </c>
      <c r="D14090" s="136">
        <f t="shared" si="658"/>
        <v>13</v>
      </c>
      <c r="E14090" s="136">
        <f t="shared" si="660"/>
        <v>26</v>
      </c>
      <c r="F14090" s="137" t="s">
        <v>24</v>
      </c>
      <c r="G14090" s="128" t="str">
        <f>VLOOKUP(source[[#This Row],[lending_product_transform]],[3]Mapping!$B$4:$C$37,2,0)</f>
        <v>[Cake] - Cashloan</v>
      </c>
      <c r="H14090" s="128" t="str">
        <f>VLOOKUP(source[[#This Row],[lending_product_transform]],[3]Mapping!$B$3:$D$37,3,0)</f>
        <v>cashloan</v>
      </c>
      <c r="I14090" s="137">
        <v>4126898</v>
      </c>
    </row>
    <row r="14091" spans="1:9" x14ac:dyDescent="0.2">
      <c r="A14091" s="134">
        <v>46107</v>
      </c>
      <c r="B14091" s="135">
        <f>YEAR(source[[#This Row],[report_date]])</f>
        <v>2026</v>
      </c>
      <c r="C14091" s="128">
        <f t="shared" si="659"/>
        <v>3</v>
      </c>
      <c r="D14091" s="136">
        <f t="shared" si="658"/>
        <v>13</v>
      </c>
      <c r="E14091" s="136">
        <f t="shared" si="660"/>
        <v>26</v>
      </c>
      <c r="F14091" s="137" t="s">
        <v>24</v>
      </c>
      <c r="G14091" s="128" t="str">
        <f>VLOOKUP(source[[#This Row],[lending_product_transform]],[3]Mapping!$B$4:$C$37,2,0)</f>
        <v>[Cake] - Cashloan</v>
      </c>
      <c r="H14091" s="128" t="str">
        <f>VLOOKUP(source[[#This Row],[lending_product_transform]],[3]Mapping!$B$3:$D$37,3,0)</f>
        <v>cashloan</v>
      </c>
      <c r="I14091" s="137">
        <v>622647077</v>
      </c>
    </row>
    <row r="14092" spans="1:9" x14ac:dyDescent="0.2">
      <c r="A14092" s="134">
        <v>46107</v>
      </c>
      <c r="B14092" s="135">
        <f>YEAR(source[[#This Row],[report_date]])</f>
        <v>2026</v>
      </c>
      <c r="C14092" s="128">
        <f t="shared" si="659"/>
        <v>3</v>
      </c>
      <c r="D14092" s="136">
        <f t="shared" si="658"/>
        <v>13</v>
      </c>
      <c r="E14092" s="136">
        <f t="shared" si="660"/>
        <v>26</v>
      </c>
      <c r="F14092" s="137" t="s">
        <v>24</v>
      </c>
      <c r="G14092" s="128" t="str">
        <f>VLOOKUP(source[[#This Row],[lending_product_transform]],[3]Mapping!$B$4:$C$37,2,0)</f>
        <v>[Cake] - Cashloan</v>
      </c>
      <c r="H14092" s="128" t="str">
        <f>VLOOKUP(source[[#This Row],[lending_product_transform]],[3]Mapping!$B$3:$D$37,3,0)</f>
        <v>cashloan</v>
      </c>
      <c r="I14092" s="137">
        <v>0</v>
      </c>
    </row>
    <row r="14093" spans="1:9" x14ac:dyDescent="0.2">
      <c r="A14093" s="134">
        <v>46107</v>
      </c>
      <c r="B14093" s="135">
        <f>YEAR(source[[#This Row],[report_date]])</f>
        <v>2026</v>
      </c>
      <c r="C14093" s="128">
        <f t="shared" si="659"/>
        <v>3</v>
      </c>
      <c r="D14093" s="136">
        <f t="shared" si="658"/>
        <v>13</v>
      </c>
      <c r="E14093" s="136">
        <f t="shared" si="660"/>
        <v>26</v>
      </c>
      <c r="F14093" s="137" t="s">
        <v>24</v>
      </c>
      <c r="G14093" s="128" t="str">
        <f>VLOOKUP(source[[#This Row],[lending_product_transform]],[3]Mapping!$B$4:$C$37,2,0)</f>
        <v>[Cake] - Cashloan</v>
      </c>
      <c r="H14093" s="128" t="str">
        <f>VLOOKUP(source[[#This Row],[lending_product_transform]],[3]Mapping!$B$3:$D$37,3,0)</f>
        <v>cashloan</v>
      </c>
      <c r="I14093" s="137">
        <v>80900000</v>
      </c>
    </row>
    <row r="14094" spans="1:9" x14ac:dyDescent="0.2">
      <c r="A14094" s="134">
        <v>46107</v>
      </c>
      <c r="B14094" s="135">
        <f>YEAR(source[[#This Row],[report_date]])</f>
        <v>2026</v>
      </c>
      <c r="C14094" s="128">
        <f t="shared" si="659"/>
        <v>3</v>
      </c>
      <c r="D14094" s="136">
        <f t="shared" si="658"/>
        <v>13</v>
      </c>
      <c r="E14094" s="136">
        <f t="shared" si="660"/>
        <v>26</v>
      </c>
      <c r="F14094" s="137" t="s">
        <v>24</v>
      </c>
      <c r="G14094" s="128" t="str">
        <f>VLOOKUP(source[[#This Row],[lending_product_transform]],[3]Mapping!$B$4:$C$37,2,0)</f>
        <v>[Cake] - Cashloan</v>
      </c>
      <c r="H14094" s="128" t="str">
        <f>VLOOKUP(source[[#This Row],[lending_product_transform]],[3]Mapping!$B$3:$D$37,3,0)</f>
        <v>cashloan</v>
      </c>
      <c r="I14094" s="137">
        <v>90000000</v>
      </c>
    </row>
    <row r="14095" spans="1:9" x14ac:dyDescent="0.2">
      <c r="A14095" s="134">
        <v>46107</v>
      </c>
      <c r="B14095" s="135">
        <f>YEAR(source[[#This Row],[report_date]])</f>
        <v>2026</v>
      </c>
      <c r="C14095" s="128">
        <f t="shared" si="659"/>
        <v>3</v>
      </c>
      <c r="D14095" s="136">
        <f t="shared" si="658"/>
        <v>13</v>
      </c>
      <c r="E14095" s="136">
        <f t="shared" si="660"/>
        <v>26</v>
      </c>
      <c r="F14095" s="137" t="s">
        <v>24</v>
      </c>
      <c r="G14095" s="128" t="str">
        <f>VLOOKUP(source[[#This Row],[lending_product_transform]],[3]Mapping!$B$4:$C$37,2,0)</f>
        <v>[Cake] - Cashloan</v>
      </c>
      <c r="H14095" s="128" t="str">
        <f>VLOOKUP(source[[#This Row],[lending_product_transform]],[3]Mapping!$B$3:$D$37,3,0)</f>
        <v>cashloan</v>
      </c>
      <c r="I14095" s="137">
        <v>14117640000</v>
      </c>
    </row>
    <row r="14096" spans="1:9" x14ac:dyDescent="0.2">
      <c r="A14096" s="134">
        <v>46107</v>
      </c>
      <c r="B14096" s="135">
        <f>YEAR(source[[#This Row],[report_date]])</f>
        <v>2026</v>
      </c>
      <c r="C14096" s="128">
        <f t="shared" si="659"/>
        <v>3</v>
      </c>
      <c r="D14096" s="136">
        <f t="shared" si="658"/>
        <v>13</v>
      </c>
      <c r="E14096" s="136">
        <f t="shared" si="660"/>
        <v>26</v>
      </c>
      <c r="F14096" s="137" t="s">
        <v>24</v>
      </c>
      <c r="G14096" s="128" t="str">
        <f>VLOOKUP(source[[#This Row],[lending_product_transform]],[3]Mapping!$B$4:$C$37,2,0)</f>
        <v>[Cake] - Cashloan</v>
      </c>
      <c r="H14096" s="128" t="str">
        <f>VLOOKUP(source[[#This Row],[lending_product_transform]],[3]Mapping!$B$3:$D$37,3,0)</f>
        <v>cashloan</v>
      </c>
      <c r="I14096" s="137">
        <v>0</v>
      </c>
    </row>
    <row r="14097" spans="1:9" x14ac:dyDescent="0.2">
      <c r="A14097" s="134">
        <v>46107</v>
      </c>
      <c r="B14097" s="135">
        <f>YEAR(source[[#This Row],[report_date]])</f>
        <v>2026</v>
      </c>
      <c r="C14097" s="128">
        <f t="shared" si="659"/>
        <v>3</v>
      </c>
      <c r="D14097" s="136">
        <f t="shared" ref="D14097:D14160" si="661">WEEKNUM(A14097,2)</f>
        <v>13</v>
      </c>
      <c r="E14097" s="136">
        <f t="shared" si="660"/>
        <v>26</v>
      </c>
      <c r="F14097" s="137" t="s">
        <v>24</v>
      </c>
      <c r="G14097" s="128" t="str">
        <f>VLOOKUP(source[[#This Row],[lending_product_transform]],[3]Mapping!$B$4:$C$37,2,0)</f>
        <v>[Cake] - Cashloan</v>
      </c>
      <c r="H14097" s="128" t="str">
        <f>VLOOKUP(source[[#This Row],[lending_product_transform]],[3]Mapping!$B$3:$D$37,3,0)</f>
        <v>cashloan</v>
      </c>
      <c r="I14097" s="137">
        <v>0</v>
      </c>
    </row>
    <row r="14098" spans="1:9" x14ac:dyDescent="0.2">
      <c r="A14098" s="134">
        <v>46107</v>
      </c>
      <c r="B14098" s="135">
        <f>YEAR(source[[#This Row],[report_date]])</f>
        <v>2026</v>
      </c>
      <c r="C14098" s="128">
        <f t="shared" si="659"/>
        <v>3</v>
      </c>
      <c r="D14098" s="136">
        <f t="shared" si="661"/>
        <v>13</v>
      </c>
      <c r="E14098" s="136">
        <f t="shared" si="660"/>
        <v>26</v>
      </c>
      <c r="F14098" s="137" t="s">
        <v>24</v>
      </c>
      <c r="G14098" s="128" t="str">
        <f>VLOOKUP(source[[#This Row],[lending_product_transform]],[3]Mapping!$B$4:$C$37,2,0)</f>
        <v>[Cake] - Cashloan</v>
      </c>
      <c r="H14098" s="128" t="str">
        <f>VLOOKUP(source[[#This Row],[lending_product_transform]],[3]Mapping!$B$3:$D$37,3,0)</f>
        <v>cashloan</v>
      </c>
      <c r="I14098" s="137">
        <v>0</v>
      </c>
    </row>
    <row r="14099" spans="1:9" x14ac:dyDescent="0.2">
      <c r="A14099" s="134">
        <v>46107</v>
      </c>
      <c r="B14099" s="135">
        <f>YEAR(source[[#This Row],[report_date]])</f>
        <v>2026</v>
      </c>
      <c r="C14099" s="128">
        <f t="shared" si="659"/>
        <v>3</v>
      </c>
      <c r="D14099" s="136">
        <f t="shared" si="661"/>
        <v>13</v>
      </c>
      <c r="E14099" s="136">
        <f t="shared" si="660"/>
        <v>26</v>
      </c>
      <c r="F14099" s="137" t="s">
        <v>24</v>
      </c>
      <c r="G14099" s="128" t="str">
        <f>VLOOKUP(source[[#This Row],[lending_product_transform]],[3]Mapping!$B$4:$C$37,2,0)</f>
        <v>[Cake] - Cashloan</v>
      </c>
      <c r="H14099" s="128" t="str">
        <f>VLOOKUP(source[[#This Row],[lending_product_transform]],[3]Mapping!$B$3:$D$37,3,0)</f>
        <v>cashloan</v>
      </c>
      <c r="I14099" s="137">
        <v>0</v>
      </c>
    </row>
    <row r="14100" spans="1:9" x14ac:dyDescent="0.2">
      <c r="A14100" s="134">
        <v>46107</v>
      </c>
      <c r="B14100" s="135">
        <f>YEAR(source[[#This Row],[report_date]])</f>
        <v>2026</v>
      </c>
      <c r="C14100" s="128">
        <f t="shared" si="659"/>
        <v>3</v>
      </c>
      <c r="D14100" s="136">
        <f t="shared" si="661"/>
        <v>13</v>
      </c>
      <c r="E14100" s="136">
        <f t="shared" si="660"/>
        <v>26</v>
      </c>
      <c r="F14100" s="137" t="s">
        <v>24</v>
      </c>
      <c r="G14100" s="128" t="str">
        <f>VLOOKUP(source[[#This Row],[lending_product_transform]],[3]Mapping!$B$4:$C$37,2,0)</f>
        <v>[Cake] - Cashloan</v>
      </c>
      <c r="H14100" s="128" t="str">
        <f>VLOOKUP(source[[#This Row],[lending_product_transform]],[3]Mapping!$B$3:$D$37,3,0)</f>
        <v>cashloan</v>
      </c>
      <c r="I14100" s="137">
        <v>9997884000</v>
      </c>
    </row>
    <row r="14101" spans="1:9" x14ac:dyDescent="0.2">
      <c r="A14101" s="134">
        <v>46107</v>
      </c>
      <c r="B14101" s="135">
        <f>YEAR(source[[#This Row],[report_date]])</f>
        <v>2026</v>
      </c>
      <c r="C14101" s="128">
        <f t="shared" si="659"/>
        <v>3</v>
      </c>
      <c r="D14101" s="136">
        <f t="shared" si="661"/>
        <v>13</v>
      </c>
      <c r="E14101" s="136">
        <f t="shared" si="660"/>
        <v>26</v>
      </c>
      <c r="F14101" s="137" t="s">
        <v>24</v>
      </c>
      <c r="G14101" s="128" t="str">
        <f>VLOOKUP(source[[#This Row],[lending_product_transform]],[3]Mapping!$B$4:$C$37,2,0)</f>
        <v>[Cake] - Cashloan</v>
      </c>
      <c r="H14101" s="128" t="str">
        <f>VLOOKUP(source[[#This Row],[lending_product_transform]],[3]Mapping!$B$3:$D$37,3,0)</f>
        <v>cashloan</v>
      </c>
      <c r="I14101" s="137">
        <v>134580841</v>
      </c>
    </row>
    <row r="14102" spans="1:9" x14ac:dyDescent="0.2">
      <c r="A14102" s="134">
        <v>46107</v>
      </c>
      <c r="B14102" s="135">
        <f>YEAR(source[[#This Row],[report_date]])</f>
        <v>2026</v>
      </c>
      <c r="C14102" s="128">
        <f t="shared" si="659"/>
        <v>3</v>
      </c>
      <c r="D14102" s="136">
        <f t="shared" si="661"/>
        <v>13</v>
      </c>
      <c r="E14102" s="136">
        <f t="shared" si="660"/>
        <v>26</v>
      </c>
      <c r="F14102" s="137" t="s">
        <v>24</v>
      </c>
      <c r="G14102" s="128" t="str">
        <f>VLOOKUP(source[[#This Row],[lending_product_transform]],[3]Mapping!$B$4:$C$37,2,0)</f>
        <v>[Cake] - Cashloan</v>
      </c>
      <c r="H14102" s="128" t="str">
        <f>VLOOKUP(source[[#This Row],[lending_product_transform]],[3]Mapping!$B$3:$D$37,3,0)</f>
        <v>cashloan</v>
      </c>
      <c r="I14102" s="137">
        <v>10500000</v>
      </c>
    </row>
    <row r="14103" spans="1:9" x14ac:dyDescent="0.2">
      <c r="A14103" s="134">
        <v>46107</v>
      </c>
      <c r="B14103" s="135">
        <f>YEAR(source[[#This Row],[report_date]])</f>
        <v>2026</v>
      </c>
      <c r="C14103" s="128">
        <f t="shared" si="659"/>
        <v>3</v>
      </c>
      <c r="D14103" s="136">
        <f t="shared" si="661"/>
        <v>13</v>
      </c>
      <c r="E14103" s="136">
        <f t="shared" si="660"/>
        <v>26</v>
      </c>
      <c r="F14103" s="137" t="s">
        <v>24</v>
      </c>
      <c r="G14103" s="128" t="str">
        <f>VLOOKUP(source[[#This Row],[lending_product_transform]],[3]Mapping!$B$4:$C$37,2,0)</f>
        <v>[Cake] - Cashloan</v>
      </c>
      <c r="H14103" s="128" t="str">
        <f>VLOOKUP(source[[#This Row],[lending_product_transform]],[3]Mapping!$B$3:$D$37,3,0)</f>
        <v>cashloan</v>
      </c>
      <c r="I14103" s="137">
        <v>41000000</v>
      </c>
    </row>
    <row r="14104" spans="1:9" x14ac:dyDescent="0.2">
      <c r="A14104" s="134">
        <v>46107</v>
      </c>
      <c r="B14104" s="135">
        <f>YEAR(source[[#This Row],[report_date]])</f>
        <v>2026</v>
      </c>
      <c r="C14104" s="128">
        <f t="shared" si="659"/>
        <v>3</v>
      </c>
      <c r="D14104" s="136">
        <f t="shared" si="661"/>
        <v>13</v>
      </c>
      <c r="E14104" s="136">
        <f t="shared" si="660"/>
        <v>26</v>
      </c>
      <c r="F14104" s="137" t="s">
        <v>24</v>
      </c>
      <c r="G14104" s="128" t="str">
        <f>VLOOKUP(source[[#This Row],[lending_product_transform]],[3]Mapping!$B$4:$C$37,2,0)</f>
        <v>[Cake] - Cashloan</v>
      </c>
      <c r="H14104" s="128" t="str">
        <f>VLOOKUP(source[[#This Row],[lending_product_transform]],[3]Mapping!$B$3:$D$37,3,0)</f>
        <v>cashloan</v>
      </c>
      <c r="I14104" s="137">
        <v>619260000</v>
      </c>
    </row>
    <row r="14105" spans="1:9" x14ac:dyDescent="0.2">
      <c r="A14105" s="134">
        <v>46107</v>
      </c>
      <c r="B14105" s="135">
        <f>YEAR(source[[#This Row],[report_date]])</f>
        <v>2026</v>
      </c>
      <c r="C14105" s="128">
        <f t="shared" si="659"/>
        <v>3</v>
      </c>
      <c r="D14105" s="136">
        <f t="shared" si="661"/>
        <v>13</v>
      </c>
      <c r="E14105" s="136">
        <f t="shared" si="660"/>
        <v>26</v>
      </c>
      <c r="F14105" s="137" t="s">
        <v>24</v>
      </c>
      <c r="G14105" s="128" t="str">
        <f>VLOOKUP(source[[#This Row],[lending_product_transform]],[3]Mapping!$B$4:$C$37,2,0)</f>
        <v>[Cake] - Cashloan</v>
      </c>
      <c r="H14105" s="128" t="str">
        <f>VLOOKUP(source[[#This Row],[lending_product_transform]],[3]Mapping!$B$3:$D$37,3,0)</f>
        <v>cashloan</v>
      </c>
      <c r="I14105" s="137">
        <v>231660000</v>
      </c>
    </row>
    <row r="14106" spans="1:9" x14ac:dyDescent="0.2">
      <c r="A14106" s="134">
        <v>46107</v>
      </c>
      <c r="B14106" s="135">
        <f>YEAR(source[[#This Row],[report_date]])</f>
        <v>2026</v>
      </c>
      <c r="C14106" s="128">
        <f t="shared" si="659"/>
        <v>3</v>
      </c>
      <c r="D14106" s="136">
        <f t="shared" si="661"/>
        <v>13</v>
      </c>
      <c r="E14106" s="136">
        <f t="shared" si="660"/>
        <v>26</v>
      </c>
      <c r="F14106" s="137" t="s">
        <v>24</v>
      </c>
      <c r="G14106" s="128" t="str">
        <f>VLOOKUP(source[[#This Row],[lending_product_transform]],[3]Mapping!$B$4:$C$37,2,0)</f>
        <v>[Cake] - Cashloan</v>
      </c>
      <c r="H14106" s="128" t="str">
        <f>VLOOKUP(source[[#This Row],[lending_product_transform]],[3]Mapping!$B$3:$D$37,3,0)</f>
        <v>cashloan</v>
      </c>
      <c r="I14106" s="137">
        <v>338359237</v>
      </c>
    </row>
    <row r="14107" spans="1:9" x14ac:dyDescent="0.2">
      <c r="A14107" s="134">
        <v>46107</v>
      </c>
      <c r="B14107" s="135">
        <f>YEAR(source[[#This Row],[report_date]])</f>
        <v>2026</v>
      </c>
      <c r="C14107" s="128">
        <f t="shared" si="659"/>
        <v>3</v>
      </c>
      <c r="D14107" s="136">
        <f t="shared" si="661"/>
        <v>13</v>
      </c>
      <c r="E14107" s="136">
        <f t="shared" si="660"/>
        <v>26</v>
      </c>
      <c r="F14107" s="137" t="s">
        <v>24</v>
      </c>
      <c r="G14107" s="128" t="str">
        <f>VLOOKUP(source[[#This Row],[lending_product_transform]],[3]Mapping!$B$4:$C$37,2,0)</f>
        <v>[Cake] - Cashloan</v>
      </c>
      <c r="H14107" s="128" t="str">
        <f>VLOOKUP(source[[#This Row],[lending_product_transform]],[3]Mapping!$B$3:$D$37,3,0)</f>
        <v>cashloan</v>
      </c>
      <c r="I14107" s="137">
        <v>3438610000</v>
      </c>
    </row>
    <row r="14108" spans="1:9" x14ac:dyDescent="0.2">
      <c r="A14108" s="134">
        <v>46107</v>
      </c>
      <c r="B14108" s="135">
        <f>YEAR(source[[#This Row],[report_date]])</f>
        <v>2026</v>
      </c>
      <c r="C14108" s="128">
        <f t="shared" si="659"/>
        <v>3</v>
      </c>
      <c r="D14108" s="136">
        <f t="shared" si="661"/>
        <v>13</v>
      </c>
      <c r="E14108" s="136">
        <f t="shared" si="660"/>
        <v>26</v>
      </c>
      <c r="F14108" s="137" t="s">
        <v>24</v>
      </c>
      <c r="G14108" s="128" t="str">
        <f>VLOOKUP(source[[#This Row],[lending_product_transform]],[3]Mapping!$B$4:$C$37,2,0)</f>
        <v>[Cake] - Cashloan</v>
      </c>
      <c r="H14108" s="128" t="str">
        <f>VLOOKUP(source[[#This Row],[lending_product_transform]],[3]Mapping!$B$3:$D$37,3,0)</f>
        <v>cashloan</v>
      </c>
      <c r="I14108" s="137">
        <v>30996000</v>
      </c>
    </row>
    <row r="14109" spans="1:9" x14ac:dyDescent="0.2">
      <c r="A14109" s="134">
        <v>46108</v>
      </c>
      <c r="B14109" s="135">
        <f>YEAR(source[[#This Row],[report_date]])</f>
        <v>2026</v>
      </c>
      <c r="C14109" s="128">
        <f t="shared" si="659"/>
        <v>3</v>
      </c>
      <c r="D14109" s="136">
        <f t="shared" si="661"/>
        <v>13</v>
      </c>
      <c r="E14109" s="136">
        <f t="shared" si="660"/>
        <v>27</v>
      </c>
      <c r="F14109" s="137" t="s">
        <v>24</v>
      </c>
      <c r="G14109" s="128" t="str">
        <f>VLOOKUP(source[[#This Row],[lending_product_transform]],[3]Mapping!$B$4:$C$37,2,0)</f>
        <v>[Cake] - Cashloan</v>
      </c>
      <c r="H14109" s="128" t="str">
        <f>VLOOKUP(source[[#This Row],[lending_product_transform]],[3]Mapping!$B$3:$D$37,3,0)</f>
        <v>cashloan</v>
      </c>
      <c r="I14109" s="137">
        <v>757300000</v>
      </c>
    </row>
    <row r="14110" spans="1:9" x14ac:dyDescent="0.2">
      <c r="A14110" s="134">
        <v>46108</v>
      </c>
      <c r="B14110" s="135">
        <f>YEAR(source[[#This Row],[report_date]])</f>
        <v>2026</v>
      </c>
      <c r="C14110" s="128">
        <f t="shared" si="659"/>
        <v>3</v>
      </c>
      <c r="D14110" s="136">
        <f t="shared" si="661"/>
        <v>13</v>
      </c>
      <c r="E14110" s="136">
        <f t="shared" si="660"/>
        <v>27</v>
      </c>
      <c r="F14110" s="137" t="s">
        <v>24</v>
      </c>
      <c r="G14110" s="128" t="str">
        <f>VLOOKUP(source[[#This Row],[lending_product_transform]],[3]Mapping!$B$4:$C$37,2,0)</f>
        <v>[Cake] - Cashloan</v>
      </c>
      <c r="H14110" s="128" t="str">
        <f>VLOOKUP(source[[#This Row],[lending_product_transform]],[3]Mapping!$B$3:$D$37,3,0)</f>
        <v>cashloan</v>
      </c>
      <c r="I14110" s="137">
        <v>277734584</v>
      </c>
    </row>
    <row r="14111" spans="1:9" x14ac:dyDescent="0.2">
      <c r="A14111" s="134">
        <v>46108</v>
      </c>
      <c r="B14111" s="135">
        <f>YEAR(source[[#This Row],[report_date]])</f>
        <v>2026</v>
      </c>
      <c r="C14111" s="128">
        <f t="shared" si="659"/>
        <v>3</v>
      </c>
      <c r="D14111" s="136">
        <f t="shared" si="661"/>
        <v>13</v>
      </c>
      <c r="E14111" s="136">
        <f t="shared" si="660"/>
        <v>27</v>
      </c>
      <c r="F14111" s="137" t="s">
        <v>24</v>
      </c>
      <c r="G14111" s="128" t="str">
        <f>VLOOKUP(source[[#This Row],[lending_product_transform]],[3]Mapping!$B$4:$C$37,2,0)</f>
        <v>[Cake] - Cashloan</v>
      </c>
      <c r="H14111" s="128" t="str">
        <f>VLOOKUP(source[[#This Row],[lending_product_transform]],[3]Mapping!$B$3:$D$37,3,0)</f>
        <v>cashloan</v>
      </c>
      <c r="I14111" s="137">
        <v>14454090000</v>
      </c>
    </row>
    <row r="14112" spans="1:9" x14ac:dyDescent="0.2">
      <c r="A14112" s="134">
        <v>46108</v>
      </c>
      <c r="B14112" s="135">
        <f>YEAR(source[[#This Row],[report_date]])</f>
        <v>2026</v>
      </c>
      <c r="C14112" s="128">
        <f t="shared" si="659"/>
        <v>3</v>
      </c>
      <c r="D14112" s="136">
        <f t="shared" si="661"/>
        <v>13</v>
      </c>
      <c r="E14112" s="136">
        <f t="shared" si="660"/>
        <v>27</v>
      </c>
      <c r="F14112" s="137" t="s">
        <v>24</v>
      </c>
      <c r="G14112" s="128" t="str">
        <f>VLOOKUP(source[[#This Row],[lending_product_transform]],[3]Mapping!$B$4:$C$37,2,0)</f>
        <v>[Cake] - Cashloan</v>
      </c>
      <c r="H14112" s="128" t="str">
        <f>VLOOKUP(source[[#This Row],[lending_product_transform]],[3]Mapping!$B$3:$D$37,3,0)</f>
        <v>cashloan</v>
      </c>
      <c r="I14112" s="137">
        <v>1415176565</v>
      </c>
    </row>
    <row r="14113" spans="1:9" x14ac:dyDescent="0.2">
      <c r="A14113" s="134">
        <v>46108</v>
      </c>
      <c r="B14113" s="135">
        <f>YEAR(source[[#This Row],[report_date]])</f>
        <v>2026</v>
      </c>
      <c r="C14113" s="128">
        <f t="shared" si="659"/>
        <v>3</v>
      </c>
      <c r="D14113" s="136">
        <f t="shared" si="661"/>
        <v>13</v>
      </c>
      <c r="E14113" s="136">
        <f t="shared" si="660"/>
        <v>27</v>
      </c>
      <c r="F14113" s="137" t="s">
        <v>24</v>
      </c>
      <c r="G14113" s="128" t="str">
        <f>VLOOKUP(source[[#This Row],[lending_product_transform]],[3]Mapping!$B$4:$C$37,2,0)</f>
        <v>[Cake] - Cashloan</v>
      </c>
      <c r="H14113" s="128" t="str">
        <f>VLOOKUP(source[[#This Row],[lending_product_transform]],[3]Mapping!$B$3:$D$37,3,0)</f>
        <v>cashloan</v>
      </c>
      <c r="I14113" s="137">
        <v>13318020000</v>
      </c>
    </row>
    <row r="14114" spans="1:9" x14ac:dyDescent="0.2">
      <c r="A14114" s="134">
        <v>46108</v>
      </c>
      <c r="B14114" s="135">
        <f>YEAR(source[[#This Row],[report_date]])</f>
        <v>2026</v>
      </c>
      <c r="C14114" s="128">
        <f t="shared" si="659"/>
        <v>3</v>
      </c>
      <c r="D14114" s="136">
        <f t="shared" si="661"/>
        <v>13</v>
      </c>
      <c r="E14114" s="136">
        <f t="shared" si="660"/>
        <v>27</v>
      </c>
      <c r="F14114" s="137" t="s">
        <v>24</v>
      </c>
      <c r="G14114" s="128" t="str">
        <f>VLOOKUP(source[[#This Row],[lending_product_transform]],[3]Mapping!$B$4:$C$37,2,0)</f>
        <v>[Cake] - Cashloan</v>
      </c>
      <c r="H14114" s="128" t="str">
        <f>VLOOKUP(source[[#This Row],[lending_product_transform]],[3]Mapping!$B$3:$D$37,3,0)</f>
        <v>cashloan</v>
      </c>
      <c r="I14114" s="137">
        <v>2047496</v>
      </c>
    </row>
    <row r="14115" spans="1:9" x14ac:dyDescent="0.2">
      <c r="A14115" s="134">
        <v>46108</v>
      </c>
      <c r="B14115" s="135">
        <f>YEAR(source[[#This Row],[report_date]])</f>
        <v>2026</v>
      </c>
      <c r="C14115" s="128">
        <f t="shared" si="659"/>
        <v>3</v>
      </c>
      <c r="D14115" s="136">
        <f t="shared" si="661"/>
        <v>13</v>
      </c>
      <c r="E14115" s="136">
        <f t="shared" si="660"/>
        <v>27</v>
      </c>
      <c r="F14115" s="137" t="s">
        <v>24</v>
      </c>
      <c r="G14115" s="128" t="str">
        <f>VLOOKUP(source[[#This Row],[lending_product_transform]],[3]Mapping!$B$4:$C$37,2,0)</f>
        <v>[Cake] - Cashloan</v>
      </c>
      <c r="H14115" s="128" t="str">
        <f>VLOOKUP(source[[#This Row],[lending_product_transform]],[3]Mapping!$B$3:$D$37,3,0)</f>
        <v>cashloan</v>
      </c>
      <c r="I14115" s="137">
        <v>90000000</v>
      </c>
    </row>
    <row r="14116" spans="1:9" x14ac:dyDescent="0.2">
      <c r="A14116" s="134">
        <v>46108</v>
      </c>
      <c r="B14116" s="135">
        <f>YEAR(source[[#This Row],[report_date]])</f>
        <v>2026</v>
      </c>
      <c r="C14116" s="128">
        <f t="shared" si="659"/>
        <v>3</v>
      </c>
      <c r="D14116" s="136">
        <f t="shared" si="661"/>
        <v>13</v>
      </c>
      <c r="E14116" s="136">
        <f t="shared" si="660"/>
        <v>27</v>
      </c>
      <c r="F14116" s="137" t="s">
        <v>24</v>
      </c>
      <c r="G14116" s="128" t="str">
        <f>VLOOKUP(source[[#This Row],[lending_product_transform]],[3]Mapping!$B$4:$C$37,2,0)</f>
        <v>[Cake] - Cashloan</v>
      </c>
      <c r="H14116" s="128" t="str">
        <f>VLOOKUP(source[[#This Row],[lending_product_transform]],[3]Mapping!$B$3:$D$37,3,0)</f>
        <v>cashloan</v>
      </c>
      <c r="I14116" s="137">
        <v>1723540000</v>
      </c>
    </row>
    <row r="14117" spans="1:9" x14ac:dyDescent="0.2">
      <c r="A14117" s="134">
        <v>46108</v>
      </c>
      <c r="B14117" s="135">
        <f>YEAR(source[[#This Row],[report_date]])</f>
        <v>2026</v>
      </c>
      <c r="C14117" s="128">
        <f t="shared" si="659"/>
        <v>3</v>
      </c>
      <c r="D14117" s="136">
        <f t="shared" si="661"/>
        <v>13</v>
      </c>
      <c r="E14117" s="136">
        <f t="shared" si="660"/>
        <v>27</v>
      </c>
      <c r="F14117" s="137" t="s">
        <v>24</v>
      </c>
      <c r="G14117" s="128" t="str">
        <f>VLOOKUP(source[[#This Row],[lending_product_transform]],[3]Mapping!$B$4:$C$37,2,0)</f>
        <v>[Cake] - Cashloan</v>
      </c>
      <c r="H14117" s="128" t="str">
        <f>VLOOKUP(source[[#This Row],[lending_product_transform]],[3]Mapping!$B$3:$D$37,3,0)</f>
        <v>cashloan</v>
      </c>
      <c r="I14117" s="137">
        <v>709360000</v>
      </c>
    </row>
    <row r="14118" spans="1:9" x14ac:dyDescent="0.2">
      <c r="A14118" s="134">
        <v>46108</v>
      </c>
      <c r="B14118" s="135">
        <f>YEAR(source[[#This Row],[report_date]])</f>
        <v>2026</v>
      </c>
      <c r="C14118" s="128">
        <f t="shared" si="659"/>
        <v>3</v>
      </c>
      <c r="D14118" s="136">
        <f t="shared" si="661"/>
        <v>13</v>
      </c>
      <c r="E14118" s="136">
        <f t="shared" si="660"/>
        <v>27</v>
      </c>
      <c r="F14118" s="137" t="s">
        <v>24</v>
      </c>
      <c r="G14118" s="128" t="str">
        <f>VLOOKUP(source[[#This Row],[lending_product_transform]],[3]Mapping!$B$4:$C$37,2,0)</f>
        <v>[Cake] - Cashloan</v>
      </c>
      <c r="H14118" s="128" t="str">
        <f>VLOOKUP(source[[#This Row],[lending_product_transform]],[3]Mapping!$B$3:$D$37,3,0)</f>
        <v>cashloan</v>
      </c>
      <c r="I14118" s="137">
        <v>4536962</v>
      </c>
    </row>
    <row r="14119" spans="1:9" x14ac:dyDescent="0.2">
      <c r="A14119" s="134">
        <v>46108</v>
      </c>
      <c r="B14119" s="135">
        <f>YEAR(source[[#This Row],[report_date]])</f>
        <v>2026</v>
      </c>
      <c r="C14119" s="128">
        <f t="shared" si="659"/>
        <v>3</v>
      </c>
      <c r="D14119" s="136">
        <f t="shared" si="661"/>
        <v>13</v>
      </c>
      <c r="E14119" s="136">
        <f t="shared" si="660"/>
        <v>27</v>
      </c>
      <c r="F14119" s="137" t="s">
        <v>24</v>
      </c>
      <c r="G14119" s="128" t="str">
        <f>VLOOKUP(source[[#This Row],[lending_product_transform]],[3]Mapping!$B$4:$C$37,2,0)</f>
        <v>[Cake] - Cashloan</v>
      </c>
      <c r="H14119" s="128" t="str">
        <f>VLOOKUP(source[[#This Row],[lending_product_transform]],[3]Mapping!$B$3:$D$37,3,0)</f>
        <v>cashloan</v>
      </c>
      <c r="I14119" s="137">
        <v>715815253</v>
      </c>
    </row>
    <row r="14120" spans="1:9" x14ac:dyDescent="0.2">
      <c r="A14120" s="134">
        <v>46108</v>
      </c>
      <c r="B14120" s="135">
        <f>YEAR(source[[#This Row],[report_date]])</f>
        <v>2026</v>
      </c>
      <c r="C14120" s="128">
        <f t="shared" si="659"/>
        <v>3</v>
      </c>
      <c r="D14120" s="136">
        <f t="shared" si="661"/>
        <v>13</v>
      </c>
      <c r="E14120" s="136">
        <f t="shared" si="660"/>
        <v>27</v>
      </c>
      <c r="F14120" s="137" t="s">
        <v>24</v>
      </c>
      <c r="G14120" s="128" t="str">
        <f>VLOOKUP(source[[#This Row],[lending_product_transform]],[3]Mapping!$B$4:$C$37,2,0)</f>
        <v>[Cake] - Cashloan</v>
      </c>
      <c r="H14120" s="128" t="str">
        <f>VLOOKUP(source[[#This Row],[lending_product_transform]],[3]Mapping!$B$3:$D$37,3,0)</f>
        <v>cashloan</v>
      </c>
      <c r="I14120" s="137">
        <v>0</v>
      </c>
    </row>
    <row r="14121" spans="1:9" x14ac:dyDescent="0.2">
      <c r="A14121" s="134">
        <v>46108</v>
      </c>
      <c r="B14121" s="135">
        <f>YEAR(source[[#This Row],[report_date]])</f>
        <v>2026</v>
      </c>
      <c r="C14121" s="128">
        <f t="shared" si="659"/>
        <v>3</v>
      </c>
      <c r="D14121" s="136">
        <f t="shared" si="661"/>
        <v>13</v>
      </c>
      <c r="E14121" s="136">
        <f t="shared" si="660"/>
        <v>27</v>
      </c>
      <c r="F14121" s="137" t="s">
        <v>24</v>
      </c>
      <c r="G14121" s="128" t="str">
        <f>VLOOKUP(source[[#This Row],[lending_product_transform]],[3]Mapping!$B$4:$C$37,2,0)</f>
        <v>[Cake] - Cashloan</v>
      </c>
      <c r="H14121" s="128" t="str">
        <f>VLOOKUP(source[[#This Row],[lending_product_transform]],[3]Mapping!$B$3:$D$37,3,0)</f>
        <v>cashloan</v>
      </c>
      <c r="I14121" s="137">
        <v>52500000</v>
      </c>
    </row>
    <row r="14122" spans="1:9" x14ac:dyDescent="0.2">
      <c r="A14122" s="134">
        <v>46108</v>
      </c>
      <c r="B14122" s="135">
        <f>YEAR(source[[#This Row],[report_date]])</f>
        <v>2026</v>
      </c>
      <c r="C14122" s="128">
        <f t="shared" si="659"/>
        <v>3</v>
      </c>
      <c r="D14122" s="136">
        <f t="shared" si="661"/>
        <v>13</v>
      </c>
      <c r="E14122" s="136">
        <f t="shared" si="660"/>
        <v>27</v>
      </c>
      <c r="F14122" s="137" t="s">
        <v>24</v>
      </c>
      <c r="G14122" s="128" t="str">
        <f>VLOOKUP(source[[#This Row],[lending_product_transform]],[3]Mapping!$B$4:$C$37,2,0)</f>
        <v>[Cake] - Cashloan</v>
      </c>
      <c r="H14122" s="128" t="str">
        <f>VLOOKUP(source[[#This Row],[lending_product_transform]],[3]Mapping!$B$3:$D$37,3,0)</f>
        <v>cashloan</v>
      </c>
      <c r="I14122" s="137">
        <v>0</v>
      </c>
    </row>
    <row r="14123" spans="1:9" x14ac:dyDescent="0.2">
      <c r="A14123" s="134">
        <v>46108</v>
      </c>
      <c r="B14123" s="135">
        <f>YEAR(source[[#This Row],[report_date]])</f>
        <v>2026</v>
      </c>
      <c r="C14123" s="128">
        <f t="shared" si="659"/>
        <v>3</v>
      </c>
      <c r="D14123" s="136">
        <f t="shared" si="661"/>
        <v>13</v>
      </c>
      <c r="E14123" s="136">
        <f t="shared" si="660"/>
        <v>27</v>
      </c>
      <c r="F14123" s="137" t="s">
        <v>24</v>
      </c>
      <c r="G14123" s="128" t="str">
        <f>VLOOKUP(source[[#This Row],[lending_product_transform]],[3]Mapping!$B$4:$C$37,2,0)</f>
        <v>[Cake] - Cashloan</v>
      </c>
      <c r="H14123" s="128" t="str">
        <f>VLOOKUP(source[[#This Row],[lending_product_transform]],[3]Mapping!$B$3:$D$37,3,0)</f>
        <v>cashloan</v>
      </c>
      <c r="I14123" s="137">
        <v>15557300000</v>
      </c>
    </row>
    <row r="14124" spans="1:9" x14ac:dyDescent="0.2">
      <c r="A14124" s="134">
        <v>46108</v>
      </c>
      <c r="B14124" s="135">
        <f>YEAR(source[[#This Row],[report_date]])</f>
        <v>2026</v>
      </c>
      <c r="C14124" s="128">
        <f t="shared" si="659"/>
        <v>3</v>
      </c>
      <c r="D14124" s="136">
        <f t="shared" si="661"/>
        <v>13</v>
      </c>
      <c r="E14124" s="136">
        <f t="shared" si="660"/>
        <v>27</v>
      </c>
      <c r="F14124" s="137" t="s">
        <v>24</v>
      </c>
      <c r="G14124" s="128" t="str">
        <f>VLOOKUP(source[[#This Row],[lending_product_transform]],[3]Mapping!$B$4:$C$37,2,0)</f>
        <v>[Cake] - Cashloan</v>
      </c>
      <c r="H14124" s="128" t="str">
        <f>VLOOKUP(source[[#This Row],[lending_product_transform]],[3]Mapping!$B$3:$D$37,3,0)</f>
        <v>cashloan</v>
      </c>
      <c r="I14124" s="137">
        <v>0</v>
      </c>
    </row>
    <row r="14125" spans="1:9" x14ac:dyDescent="0.2">
      <c r="A14125" s="134">
        <v>46108</v>
      </c>
      <c r="B14125" s="135">
        <f>YEAR(source[[#This Row],[report_date]])</f>
        <v>2026</v>
      </c>
      <c r="C14125" s="128">
        <f t="shared" si="659"/>
        <v>3</v>
      </c>
      <c r="D14125" s="136">
        <f t="shared" si="661"/>
        <v>13</v>
      </c>
      <c r="E14125" s="136">
        <f t="shared" si="660"/>
        <v>27</v>
      </c>
      <c r="F14125" s="137" t="s">
        <v>24</v>
      </c>
      <c r="G14125" s="128" t="str">
        <f>VLOOKUP(source[[#This Row],[lending_product_transform]],[3]Mapping!$B$4:$C$37,2,0)</f>
        <v>[Cake] - Cashloan</v>
      </c>
      <c r="H14125" s="128" t="str">
        <f>VLOOKUP(source[[#This Row],[lending_product_transform]],[3]Mapping!$B$3:$D$37,3,0)</f>
        <v>cashloan</v>
      </c>
      <c r="I14125" s="137">
        <v>0</v>
      </c>
    </row>
    <row r="14126" spans="1:9" x14ac:dyDescent="0.2">
      <c r="A14126" s="134">
        <v>46108</v>
      </c>
      <c r="B14126" s="135">
        <f>YEAR(source[[#This Row],[report_date]])</f>
        <v>2026</v>
      </c>
      <c r="C14126" s="128">
        <f t="shared" si="659"/>
        <v>3</v>
      </c>
      <c r="D14126" s="136">
        <f t="shared" si="661"/>
        <v>13</v>
      </c>
      <c r="E14126" s="136">
        <f t="shared" si="660"/>
        <v>27</v>
      </c>
      <c r="F14126" s="137" t="s">
        <v>24</v>
      </c>
      <c r="G14126" s="128" t="str">
        <f>VLOOKUP(source[[#This Row],[lending_product_transform]],[3]Mapping!$B$4:$C$37,2,0)</f>
        <v>[Cake] - Cashloan</v>
      </c>
      <c r="H14126" s="128" t="str">
        <f>VLOOKUP(source[[#This Row],[lending_product_transform]],[3]Mapping!$B$3:$D$37,3,0)</f>
        <v>cashloan</v>
      </c>
      <c r="I14126" s="137">
        <v>0</v>
      </c>
    </row>
    <row r="14127" spans="1:9" x14ac:dyDescent="0.2">
      <c r="A14127" s="134">
        <v>46108</v>
      </c>
      <c r="B14127" s="135">
        <f>YEAR(source[[#This Row],[report_date]])</f>
        <v>2026</v>
      </c>
      <c r="C14127" s="128">
        <f t="shared" si="659"/>
        <v>3</v>
      </c>
      <c r="D14127" s="136">
        <f t="shared" si="661"/>
        <v>13</v>
      </c>
      <c r="E14127" s="136">
        <f t="shared" si="660"/>
        <v>27</v>
      </c>
      <c r="F14127" s="137" t="s">
        <v>24</v>
      </c>
      <c r="G14127" s="128" t="str">
        <f>VLOOKUP(source[[#This Row],[lending_product_transform]],[3]Mapping!$B$4:$C$37,2,0)</f>
        <v>[Cake] - Cashloan</v>
      </c>
      <c r="H14127" s="128" t="str">
        <f>VLOOKUP(source[[#This Row],[lending_product_transform]],[3]Mapping!$B$3:$D$37,3,0)</f>
        <v>cashloan</v>
      </c>
      <c r="I14127" s="137">
        <v>0</v>
      </c>
    </row>
    <row r="14128" spans="1:9" x14ac:dyDescent="0.2">
      <c r="A14128" s="134">
        <v>46108</v>
      </c>
      <c r="B14128" s="135">
        <f>YEAR(source[[#This Row],[report_date]])</f>
        <v>2026</v>
      </c>
      <c r="C14128" s="128">
        <f t="shared" si="659"/>
        <v>3</v>
      </c>
      <c r="D14128" s="136">
        <f t="shared" si="661"/>
        <v>13</v>
      </c>
      <c r="E14128" s="136">
        <f t="shared" si="660"/>
        <v>27</v>
      </c>
      <c r="F14128" s="137" t="s">
        <v>24</v>
      </c>
      <c r="G14128" s="128" t="str">
        <f>VLOOKUP(source[[#This Row],[lending_product_transform]],[3]Mapping!$B$4:$C$37,2,0)</f>
        <v>[Cake] - Cashloan</v>
      </c>
      <c r="H14128" s="128" t="str">
        <f>VLOOKUP(source[[#This Row],[lending_product_transform]],[3]Mapping!$B$3:$D$37,3,0)</f>
        <v>cashloan</v>
      </c>
      <c r="I14128" s="137">
        <v>10031904000</v>
      </c>
    </row>
    <row r="14129" spans="1:9" x14ac:dyDescent="0.2">
      <c r="A14129" s="134">
        <v>46108</v>
      </c>
      <c r="B14129" s="135">
        <f>YEAR(source[[#This Row],[report_date]])</f>
        <v>2026</v>
      </c>
      <c r="C14129" s="128">
        <f t="shared" si="659"/>
        <v>3</v>
      </c>
      <c r="D14129" s="136">
        <f t="shared" si="661"/>
        <v>13</v>
      </c>
      <c r="E14129" s="136">
        <f t="shared" si="660"/>
        <v>27</v>
      </c>
      <c r="F14129" s="137" t="s">
        <v>24</v>
      </c>
      <c r="G14129" s="128" t="str">
        <f>VLOOKUP(source[[#This Row],[lending_product_transform]],[3]Mapping!$B$4:$C$37,2,0)</f>
        <v>[Cake] - Cashloan</v>
      </c>
      <c r="H14129" s="128" t="str">
        <f>VLOOKUP(source[[#This Row],[lending_product_transform]],[3]Mapping!$B$3:$D$37,3,0)</f>
        <v>cashloan</v>
      </c>
      <c r="I14129" s="137">
        <v>147440122</v>
      </c>
    </row>
    <row r="14130" spans="1:9" x14ac:dyDescent="0.2">
      <c r="A14130" s="134">
        <v>46108</v>
      </c>
      <c r="B14130" s="135">
        <f>YEAR(source[[#This Row],[report_date]])</f>
        <v>2026</v>
      </c>
      <c r="C14130" s="128">
        <f t="shared" si="659"/>
        <v>3</v>
      </c>
      <c r="D14130" s="136">
        <f t="shared" si="661"/>
        <v>13</v>
      </c>
      <c r="E14130" s="136">
        <f t="shared" si="660"/>
        <v>27</v>
      </c>
      <c r="F14130" s="137" t="s">
        <v>24</v>
      </c>
      <c r="G14130" s="128" t="str">
        <f>VLOOKUP(source[[#This Row],[lending_product_transform]],[3]Mapping!$B$4:$C$37,2,0)</f>
        <v>[Cake] - Cashloan</v>
      </c>
      <c r="H14130" s="128" t="str">
        <f>VLOOKUP(source[[#This Row],[lending_product_transform]],[3]Mapping!$B$3:$D$37,3,0)</f>
        <v>cashloan</v>
      </c>
      <c r="I14130" s="137">
        <v>109250000</v>
      </c>
    </row>
    <row r="14131" spans="1:9" x14ac:dyDescent="0.2">
      <c r="A14131" s="134">
        <v>46108</v>
      </c>
      <c r="B14131" s="135">
        <f>YEAR(source[[#This Row],[report_date]])</f>
        <v>2026</v>
      </c>
      <c r="C14131" s="128">
        <f t="shared" si="659"/>
        <v>3</v>
      </c>
      <c r="D14131" s="136">
        <f t="shared" si="661"/>
        <v>13</v>
      </c>
      <c r="E14131" s="136">
        <f t="shared" si="660"/>
        <v>27</v>
      </c>
      <c r="F14131" s="137" t="s">
        <v>24</v>
      </c>
      <c r="G14131" s="128" t="str">
        <f>VLOOKUP(source[[#This Row],[lending_product_transform]],[3]Mapping!$B$4:$C$37,2,0)</f>
        <v>[Cake] - Cashloan</v>
      </c>
      <c r="H14131" s="128" t="str">
        <f>VLOOKUP(source[[#This Row],[lending_product_transform]],[3]Mapping!$B$3:$D$37,3,0)</f>
        <v>cashloan</v>
      </c>
      <c r="I14131" s="137">
        <v>52000000</v>
      </c>
    </row>
    <row r="14132" spans="1:9" x14ac:dyDescent="0.2">
      <c r="A14132" s="134">
        <v>46108</v>
      </c>
      <c r="B14132" s="135">
        <f>YEAR(source[[#This Row],[report_date]])</f>
        <v>2026</v>
      </c>
      <c r="C14132" s="128">
        <f t="shared" si="659"/>
        <v>3</v>
      </c>
      <c r="D14132" s="136">
        <f t="shared" si="661"/>
        <v>13</v>
      </c>
      <c r="E14132" s="136">
        <f t="shared" si="660"/>
        <v>27</v>
      </c>
      <c r="F14132" s="137" t="s">
        <v>24</v>
      </c>
      <c r="G14132" s="128" t="str">
        <f>VLOOKUP(source[[#This Row],[lending_product_transform]],[3]Mapping!$B$4:$C$37,2,0)</f>
        <v>[Cake] - Cashloan</v>
      </c>
      <c r="H14132" s="128" t="str">
        <f>VLOOKUP(source[[#This Row],[lending_product_transform]],[3]Mapping!$B$3:$D$37,3,0)</f>
        <v>cashloan</v>
      </c>
      <c r="I14132" s="137">
        <v>938840000</v>
      </c>
    </row>
    <row r="14133" spans="1:9" x14ac:dyDescent="0.2">
      <c r="A14133" s="134">
        <v>46108</v>
      </c>
      <c r="B14133" s="135">
        <f>YEAR(source[[#This Row],[report_date]])</f>
        <v>2026</v>
      </c>
      <c r="C14133" s="128">
        <f t="shared" si="659"/>
        <v>3</v>
      </c>
      <c r="D14133" s="136">
        <f t="shared" si="661"/>
        <v>13</v>
      </c>
      <c r="E14133" s="136">
        <f t="shared" si="660"/>
        <v>27</v>
      </c>
      <c r="F14133" s="137" t="s">
        <v>24</v>
      </c>
      <c r="G14133" s="128" t="str">
        <f>VLOOKUP(source[[#This Row],[lending_product_transform]],[3]Mapping!$B$4:$C$37,2,0)</f>
        <v>[Cake] - Cashloan</v>
      </c>
      <c r="H14133" s="128" t="str">
        <f>VLOOKUP(source[[#This Row],[lending_product_transform]],[3]Mapping!$B$3:$D$37,3,0)</f>
        <v>cashloan</v>
      </c>
      <c r="I14133" s="137">
        <v>328104000</v>
      </c>
    </row>
    <row r="14134" spans="1:9" x14ac:dyDescent="0.2">
      <c r="A14134" s="134">
        <v>46108</v>
      </c>
      <c r="B14134" s="135">
        <f>YEAR(source[[#This Row],[report_date]])</f>
        <v>2026</v>
      </c>
      <c r="C14134" s="128">
        <f t="shared" ref="C14134:C14197" si="662">MONTH(A14134)</f>
        <v>3</v>
      </c>
      <c r="D14134" s="136">
        <f t="shared" si="661"/>
        <v>13</v>
      </c>
      <c r="E14134" s="136">
        <f t="shared" ref="E14134:E14197" si="663">DAY(A14134)</f>
        <v>27</v>
      </c>
      <c r="F14134" s="137" t="s">
        <v>24</v>
      </c>
      <c r="G14134" s="128" t="str">
        <f>VLOOKUP(source[[#This Row],[lending_product_transform]],[3]Mapping!$B$4:$C$37,2,0)</f>
        <v>[Cake] - Cashloan</v>
      </c>
      <c r="H14134" s="128" t="str">
        <f>VLOOKUP(source[[#This Row],[lending_product_transform]],[3]Mapping!$B$3:$D$37,3,0)</f>
        <v>cashloan</v>
      </c>
      <c r="I14134" s="137">
        <v>360744201</v>
      </c>
    </row>
    <row r="14135" spans="1:9" x14ac:dyDescent="0.2">
      <c r="A14135" s="134">
        <v>46108</v>
      </c>
      <c r="B14135" s="135">
        <f>YEAR(source[[#This Row],[report_date]])</f>
        <v>2026</v>
      </c>
      <c r="C14135" s="128">
        <f t="shared" si="662"/>
        <v>3</v>
      </c>
      <c r="D14135" s="136">
        <f t="shared" si="661"/>
        <v>13</v>
      </c>
      <c r="E14135" s="136">
        <f t="shared" si="663"/>
        <v>27</v>
      </c>
      <c r="F14135" s="137" t="s">
        <v>24</v>
      </c>
      <c r="G14135" s="128" t="str">
        <f>VLOOKUP(source[[#This Row],[lending_product_transform]],[3]Mapping!$B$4:$C$37,2,0)</f>
        <v>[Cake] - Cashloan</v>
      </c>
      <c r="H14135" s="128" t="str">
        <f>VLOOKUP(source[[#This Row],[lending_product_transform]],[3]Mapping!$B$3:$D$37,3,0)</f>
        <v>cashloan</v>
      </c>
      <c r="I14135" s="137">
        <v>3028230000</v>
      </c>
    </row>
    <row r="14136" spans="1:9" x14ac:dyDescent="0.2">
      <c r="A14136" s="134">
        <v>46108</v>
      </c>
      <c r="B14136" s="135">
        <f>YEAR(source[[#This Row],[report_date]])</f>
        <v>2026</v>
      </c>
      <c r="C14136" s="128">
        <f t="shared" si="662"/>
        <v>3</v>
      </c>
      <c r="D14136" s="136">
        <f t="shared" si="661"/>
        <v>13</v>
      </c>
      <c r="E14136" s="136">
        <f t="shared" si="663"/>
        <v>27</v>
      </c>
      <c r="F14136" s="137" t="s">
        <v>24</v>
      </c>
      <c r="G14136" s="128" t="str">
        <f>VLOOKUP(source[[#This Row],[lending_product_transform]],[3]Mapping!$B$4:$C$37,2,0)</f>
        <v>[Cake] - Cashloan</v>
      </c>
      <c r="H14136" s="128" t="str">
        <f>VLOOKUP(source[[#This Row],[lending_product_transform]],[3]Mapping!$B$3:$D$37,3,0)</f>
        <v>cashloan</v>
      </c>
      <c r="I14136" s="137">
        <v>4320000</v>
      </c>
    </row>
    <row r="14137" spans="1:9" x14ac:dyDescent="0.2">
      <c r="A14137" s="134">
        <v>46109</v>
      </c>
      <c r="B14137" s="135">
        <f>YEAR(source[[#This Row],[report_date]])</f>
        <v>2026</v>
      </c>
      <c r="C14137" s="128">
        <f t="shared" si="662"/>
        <v>3</v>
      </c>
      <c r="D14137" s="136">
        <f t="shared" si="661"/>
        <v>13</v>
      </c>
      <c r="E14137" s="136">
        <f t="shared" si="663"/>
        <v>28</v>
      </c>
      <c r="F14137" s="137" t="s">
        <v>24</v>
      </c>
      <c r="G14137" s="128" t="str">
        <f>VLOOKUP(source[[#This Row],[lending_product_transform]],[3]Mapping!$B$4:$C$37,2,0)</f>
        <v>[Cake] - Cashloan</v>
      </c>
      <c r="H14137" s="128" t="str">
        <f>VLOOKUP(source[[#This Row],[lending_product_transform]],[3]Mapping!$B$3:$D$37,3,0)</f>
        <v>cashloan</v>
      </c>
      <c r="I14137" s="137">
        <v>677070000</v>
      </c>
    </row>
    <row r="14138" spans="1:9" x14ac:dyDescent="0.2">
      <c r="A14138" s="134">
        <v>46109</v>
      </c>
      <c r="B14138" s="135">
        <f>YEAR(source[[#This Row],[report_date]])</f>
        <v>2026</v>
      </c>
      <c r="C14138" s="128">
        <f t="shared" si="662"/>
        <v>3</v>
      </c>
      <c r="D14138" s="136">
        <f t="shared" si="661"/>
        <v>13</v>
      </c>
      <c r="E14138" s="136">
        <f t="shared" si="663"/>
        <v>28</v>
      </c>
      <c r="F14138" s="137" t="s">
        <v>24</v>
      </c>
      <c r="G14138" s="128" t="str">
        <f>VLOOKUP(source[[#This Row],[lending_product_transform]],[3]Mapping!$B$4:$C$37,2,0)</f>
        <v>[Cake] - Cashloan</v>
      </c>
      <c r="H14138" s="128" t="str">
        <f>VLOOKUP(source[[#This Row],[lending_product_transform]],[3]Mapping!$B$3:$D$37,3,0)</f>
        <v>cashloan</v>
      </c>
      <c r="I14138" s="137">
        <v>273794305</v>
      </c>
    </row>
    <row r="14139" spans="1:9" x14ac:dyDescent="0.2">
      <c r="A14139" s="134">
        <v>46109</v>
      </c>
      <c r="B14139" s="135">
        <f>YEAR(source[[#This Row],[report_date]])</f>
        <v>2026</v>
      </c>
      <c r="C14139" s="128">
        <f t="shared" si="662"/>
        <v>3</v>
      </c>
      <c r="D14139" s="136">
        <f t="shared" si="661"/>
        <v>13</v>
      </c>
      <c r="E14139" s="136">
        <f t="shared" si="663"/>
        <v>28</v>
      </c>
      <c r="F14139" s="137" t="s">
        <v>24</v>
      </c>
      <c r="G14139" s="128" t="str">
        <f>VLOOKUP(source[[#This Row],[lending_product_transform]],[3]Mapping!$B$4:$C$37,2,0)</f>
        <v>[Cake] - Cashloan</v>
      </c>
      <c r="H14139" s="128" t="str">
        <f>VLOOKUP(source[[#This Row],[lending_product_transform]],[3]Mapping!$B$3:$D$37,3,0)</f>
        <v>cashloan</v>
      </c>
      <c r="I14139" s="137">
        <v>12398330000</v>
      </c>
    </row>
    <row r="14140" spans="1:9" x14ac:dyDescent="0.2">
      <c r="A14140" s="134">
        <v>46109</v>
      </c>
      <c r="B14140" s="135">
        <f>YEAR(source[[#This Row],[report_date]])</f>
        <v>2026</v>
      </c>
      <c r="C14140" s="128">
        <f t="shared" si="662"/>
        <v>3</v>
      </c>
      <c r="D14140" s="136">
        <f t="shared" si="661"/>
        <v>13</v>
      </c>
      <c r="E14140" s="136">
        <f t="shared" si="663"/>
        <v>28</v>
      </c>
      <c r="F14140" s="137" t="s">
        <v>24</v>
      </c>
      <c r="G14140" s="128" t="str">
        <f>VLOOKUP(source[[#This Row],[lending_product_transform]],[3]Mapping!$B$4:$C$37,2,0)</f>
        <v>[Cake] - Cashloan</v>
      </c>
      <c r="H14140" s="128" t="str">
        <f>VLOOKUP(source[[#This Row],[lending_product_transform]],[3]Mapping!$B$3:$D$37,3,0)</f>
        <v>cashloan</v>
      </c>
      <c r="I14140" s="137">
        <v>1305929004</v>
      </c>
    </row>
    <row r="14141" spans="1:9" x14ac:dyDescent="0.2">
      <c r="A14141" s="134">
        <v>46109</v>
      </c>
      <c r="B14141" s="135">
        <f>YEAR(source[[#This Row],[report_date]])</f>
        <v>2026</v>
      </c>
      <c r="C14141" s="128">
        <f t="shared" si="662"/>
        <v>3</v>
      </c>
      <c r="D14141" s="136">
        <f t="shared" si="661"/>
        <v>13</v>
      </c>
      <c r="E14141" s="136">
        <f t="shared" si="663"/>
        <v>28</v>
      </c>
      <c r="F14141" s="137" t="s">
        <v>24</v>
      </c>
      <c r="G14141" s="128" t="str">
        <f>VLOOKUP(source[[#This Row],[lending_product_transform]],[3]Mapping!$B$4:$C$37,2,0)</f>
        <v>[Cake] - Cashloan</v>
      </c>
      <c r="H14141" s="128" t="str">
        <f>VLOOKUP(source[[#This Row],[lending_product_transform]],[3]Mapping!$B$3:$D$37,3,0)</f>
        <v>cashloan</v>
      </c>
      <c r="I14141" s="137">
        <v>11948796000</v>
      </c>
    </row>
    <row r="14142" spans="1:9" x14ac:dyDescent="0.2">
      <c r="A14142" s="134">
        <v>46109</v>
      </c>
      <c r="B14142" s="135">
        <f>YEAR(source[[#This Row],[report_date]])</f>
        <v>2026</v>
      </c>
      <c r="C14142" s="128">
        <f t="shared" si="662"/>
        <v>3</v>
      </c>
      <c r="D14142" s="136">
        <f t="shared" si="661"/>
        <v>13</v>
      </c>
      <c r="E14142" s="136">
        <f t="shared" si="663"/>
        <v>28</v>
      </c>
      <c r="F14142" s="137" t="s">
        <v>24</v>
      </c>
      <c r="G14142" s="128" t="str">
        <f>VLOOKUP(source[[#This Row],[lending_product_transform]],[3]Mapping!$B$4:$C$37,2,0)</f>
        <v>[Cake] - Cashloan</v>
      </c>
      <c r="H14142" s="128" t="str">
        <f>VLOOKUP(source[[#This Row],[lending_product_transform]],[3]Mapping!$B$3:$D$37,3,0)</f>
        <v>cashloan</v>
      </c>
      <c r="I14142" s="137">
        <v>2802019</v>
      </c>
    </row>
    <row r="14143" spans="1:9" x14ac:dyDescent="0.2">
      <c r="A14143" s="134">
        <v>46109</v>
      </c>
      <c r="B14143" s="135">
        <f>YEAR(source[[#This Row],[report_date]])</f>
        <v>2026</v>
      </c>
      <c r="C14143" s="128">
        <f t="shared" si="662"/>
        <v>3</v>
      </c>
      <c r="D14143" s="136">
        <f t="shared" si="661"/>
        <v>13</v>
      </c>
      <c r="E14143" s="136">
        <f t="shared" si="663"/>
        <v>28</v>
      </c>
      <c r="F14143" s="137" t="s">
        <v>24</v>
      </c>
      <c r="G14143" s="128" t="str">
        <f>VLOOKUP(source[[#This Row],[lending_product_transform]],[3]Mapping!$B$4:$C$37,2,0)</f>
        <v>[Cake] - Cashloan</v>
      </c>
      <c r="H14143" s="128" t="str">
        <f>VLOOKUP(source[[#This Row],[lending_product_transform]],[3]Mapping!$B$3:$D$37,3,0)</f>
        <v>cashloan</v>
      </c>
      <c r="I14143" s="137">
        <v>35000000</v>
      </c>
    </row>
    <row r="14144" spans="1:9" x14ac:dyDescent="0.2">
      <c r="A14144" s="134">
        <v>46109</v>
      </c>
      <c r="B14144" s="135">
        <f>YEAR(source[[#This Row],[report_date]])</f>
        <v>2026</v>
      </c>
      <c r="C14144" s="128">
        <f t="shared" si="662"/>
        <v>3</v>
      </c>
      <c r="D14144" s="136">
        <f t="shared" si="661"/>
        <v>13</v>
      </c>
      <c r="E14144" s="136">
        <f t="shared" si="663"/>
        <v>28</v>
      </c>
      <c r="F14144" s="137" t="s">
        <v>24</v>
      </c>
      <c r="G14144" s="128" t="str">
        <f>VLOOKUP(source[[#This Row],[lending_product_transform]],[3]Mapping!$B$4:$C$37,2,0)</f>
        <v>[Cake] - Cashloan</v>
      </c>
      <c r="H14144" s="128" t="str">
        <f>VLOOKUP(source[[#This Row],[lending_product_transform]],[3]Mapping!$B$3:$D$37,3,0)</f>
        <v>cashloan</v>
      </c>
      <c r="I14144" s="137">
        <v>2368860000</v>
      </c>
    </row>
    <row r="14145" spans="1:9" x14ac:dyDescent="0.2">
      <c r="A14145" s="134">
        <v>46109</v>
      </c>
      <c r="B14145" s="135">
        <f>YEAR(source[[#This Row],[report_date]])</f>
        <v>2026</v>
      </c>
      <c r="C14145" s="128">
        <f t="shared" si="662"/>
        <v>3</v>
      </c>
      <c r="D14145" s="136">
        <f t="shared" si="661"/>
        <v>13</v>
      </c>
      <c r="E14145" s="136">
        <f t="shared" si="663"/>
        <v>28</v>
      </c>
      <c r="F14145" s="137" t="s">
        <v>24</v>
      </c>
      <c r="G14145" s="128" t="str">
        <f>VLOOKUP(source[[#This Row],[lending_product_transform]],[3]Mapping!$B$4:$C$37,2,0)</f>
        <v>[Cake] - Cashloan</v>
      </c>
      <c r="H14145" s="128" t="str">
        <f>VLOOKUP(source[[#This Row],[lending_product_transform]],[3]Mapping!$B$3:$D$37,3,0)</f>
        <v>cashloan</v>
      </c>
      <c r="I14145" s="137">
        <v>1046200000</v>
      </c>
    </row>
    <row r="14146" spans="1:9" x14ac:dyDescent="0.2">
      <c r="A14146" s="134">
        <v>46109</v>
      </c>
      <c r="B14146" s="135">
        <f>YEAR(source[[#This Row],[report_date]])</f>
        <v>2026</v>
      </c>
      <c r="C14146" s="128">
        <f t="shared" si="662"/>
        <v>3</v>
      </c>
      <c r="D14146" s="136">
        <f t="shared" si="661"/>
        <v>13</v>
      </c>
      <c r="E14146" s="136">
        <f t="shared" si="663"/>
        <v>28</v>
      </c>
      <c r="F14146" s="137" t="s">
        <v>24</v>
      </c>
      <c r="G14146" s="128" t="str">
        <f>VLOOKUP(source[[#This Row],[lending_product_transform]],[3]Mapping!$B$4:$C$37,2,0)</f>
        <v>[Cake] - Cashloan</v>
      </c>
      <c r="H14146" s="128" t="str">
        <f>VLOOKUP(source[[#This Row],[lending_product_transform]],[3]Mapping!$B$3:$D$37,3,0)</f>
        <v>cashloan</v>
      </c>
      <c r="I14146" s="137">
        <v>3964267</v>
      </c>
    </row>
    <row r="14147" spans="1:9" x14ac:dyDescent="0.2">
      <c r="A14147" s="134">
        <v>46109</v>
      </c>
      <c r="B14147" s="135">
        <f>YEAR(source[[#This Row],[report_date]])</f>
        <v>2026</v>
      </c>
      <c r="C14147" s="128">
        <f t="shared" si="662"/>
        <v>3</v>
      </c>
      <c r="D14147" s="136">
        <f t="shared" si="661"/>
        <v>13</v>
      </c>
      <c r="E14147" s="136">
        <f t="shared" si="663"/>
        <v>28</v>
      </c>
      <c r="F14147" s="137" t="s">
        <v>24</v>
      </c>
      <c r="G14147" s="128" t="str">
        <f>VLOOKUP(source[[#This Row],[lending_product_transform]],[3]Mapping!$B$4:$C$37,2,0)</f>
        <v>[Cake] - Cashloan</v>
      </c>
      <c r="H14147" s="128" t="str">
        <f>VLOOKUP(source[[#This Row],[lending_product_transform]],[3]Mapping!$B$3:$D$37,3,0)</f>
        <v>cashloan</v>
      </c>
      <c r="I14147" s="137">
        <v>868090181</v>
      </c>
    </row>
    <row r="14148" spans="1:9" x14ac:dyDescent="0.2">
      <c r="A14148" s="134">
        <v>46109</v>
      </c>
      <c r="B14148" s="135">
        <f>YEAR(source[[#This Row],[report_date]])</f>
        <v>2026</v>
      </c>
      <c r="C14148" s="128">
        <f t="shared" si="662"/>
        <v>3</v>
      </c>
      <c r="D14148" s="136">
        <f t="shared" si="661"/>
        <v>13</v>
      </c>
      <c r="E14148" s="136">
        <f t="shared" si="663"/>
        <v>28</v>
      </c>
      <c r="F14148" s="137" t="s">
        <v>24</v>
      </c>
      <c r="G14148" s="128" t="str">
        <f>VLOOKUP(source[[#This Row],[lending_product_transform]],[3]Mapping!$B$4:$C$37,2,0)</f>
        <v>[Cake] - Cashloan</v>
      </c>
      <c r="H14148" s="128" t="str">
        <f>VLOOKUP(source[[#This Row],[lending_product_transform]],[3]Mapping!$B$3:$D$37,3,0)</f>
        <v>cashloan</v>
      </c>
      <c r="I14148" s="137">
        <v>0</v>
      </c>
    </row>
    <row r="14149" spans="1:9" x14ac:dyDescent="0.2">
      <c r="A14149" s="134">
        <v>46109</v>
      </c>
      <c r="B14149" s="135">
        <f>YEAR(source[[#This Row],[report_date]])</f>
        <v>2026</v>
      </c>
      <c r="C14149" s="128">
        <f t="shared" si="662"/>
        <v>3</v>
      </c>
      <c r="D14149" s="136">
        <f t="shared" si="661"/>
        <v>13</v>
      </c>
      <c r="E14149" s="136">
        <f t="shared" si="663"/>
        <v>28</v>
      </c>
      <c r="F14149" s="137" t="s">
        <v>24</v>
      </c>
      <c r="G14149" s="128" t="str">
        <f>VLOOKUP(source[[#This Row],[lending_product_transform]],[3]Mapping!$B$4:$C$37,2,0)</f>
        <v>[Cake] - Cashloan</v>
      </c>
      <c r="H14149" s="128" t="str">
        <f>VLOOKUP(source[[#This Row],[lending_product_transform]],[3]Mapping!$B$3:$D$37,3,0)</f>
        <v>cashloan</v>
      </c>
      <c r="I14149" s="137">
        <v>17000000</v>
      </c>
    </row>
    <row r="14150" spans="1:9" x14ac:dyDescent="0.2">
      <c r="A14150" s="134">
        <v>46109</v>
      </c>
      <c r="B14150" s="135">
        <f>YEAR(source[[#This Row],[report_date]])</f>
        <v>2026</v>
      </c>
      <c r="C14150" s="128">
        <f t="shared" si="662"/>
        <v>3</v>
      </c>
      <c r="D14150" s="136">
        <f t="shared" si="661"/>
        <v>13</v>
      </c>
      <c r="E14150" s="136">
        <f t="shared" si="663"/>
        <v>28</v>
      </c>
      <c r="F14150" s="137" t="s">
        <v>24</v>
      </c>
      <c r="G14150" s="128" t="str">
        <f>VLOOKUP(source[[#This Row],[lending_product_transform]],[3]Mapping!$B$4:$C$37,2,0)</f>
        <v>[Cake] - Cashloan</v>
      </c>
      <c r="H14150" s="128" t="str">
        <f>VLOOKUP(source[[#This Row],[lending_product_transform]],[3]Mapping!$B$3:$D$37,3,0)</f>
        <v>cashloan</v>
      </c>
      <c r="I14150" s="137">
        <v>0</v>
      </c>
    </row>
    <row r="14151" spans="1:9" x14ac:dyDescent="0.2">
      <c r="A14151" s="134">
        <v>46109</v>
      </c>
      <c r="B14151" s="135">
        <f>YEAR(source[[#This Row],[report_date]])</f>
        <v>2026</v>
      </c>
      <c r="C14151" s="128">
        <f t="shared" si="662"/>
        <v>3</v>
      </c>
      <c r="D14151" s="136">
        <f t="shared" si="661"/>
        <v>13</v>
      </c>
      <c r="E14151" s="136">
        <f t="shared" si="663"/>
        <v>28</v>
      </c>
      <c r="F14151" s="137" t="s">
        <v>24</v>
      </c>
      <c r="G14151" s="128" t="str">
        <f>VLOOKUP(source[[#This Row],[lending_product_transform]],[3]Mapping!$B$4:$C$37,2,0)</f>
        <v>[Cake] - Cashloan</v>
      </c>
      <c r="H14151" s="128" t="str">
        <f>VLOOKUP(source[[#This Row],[lending_product_transform]],[3]Mapping!$B$3:$D$37,3,0)</f>
        <v>cashloan</v>
      </c>
      <c r="I14151" s="137">
        <v>15321170000</v>
      </c>
    </row>
    <row r="14152" spans="1:9" x14ac:dyDescent="0.2">
      <c r="A14152" s="134">
        <v>46109</v>
      </c>
      <c r="B14152" s="135">
        <f>YEAR(source[[#This Row],[report_date]])</f>
        <v>2026</v>
      </c>
      <c r="C14152" s="128">
        <f t="shared" si="662"/>
        <v>3</v>
      </c>
      <c r="D14152" s="136">
        <f t="shared" si="661"/>
        <v>13</v>
      </c>
      <c r="E14152" s="136">
        <f t="shared" si="663"/>
        <v>28</v>
      </c>
      <c r="F14152" s="137" t="s">
        <v>24</v>
      </c>
      <c r="G14152" s="128" t="str">
        <f>VLOOKUP(source[[#This Row],[lending_product_transform]],[3]Mapping!$B$4:$C$37,2,0)</f>
        <v>[Cake] - Cashloan</v>
      </c>
      <c r="H14152" s="128" t="str">
        <f>VLOOKUP(source[[#This Row],[lending_product_transform]],[3]Mapping!$B$3:$D$37,3,0)</f>
        <v>cashloan</v>
      </c>
      <c r="I14152" s="137">
        <v>0</v>
      </c>
    </row>
    <row r="14153" spans="1:9" x14ac:dyDescent="0.2">
      <c r="A14153" s="134">
        <v>46109</v>
      </c>
      <c r="B14153" s="135">
        <f>YEAR(source[[#This Row],[report_date]])</f>
        <v>2026</v>
      </c>
      <c r="C14153" s="128">
        <f t="shared" si="662"/>
        <v>3</v>
      </c>
      <c r="D14153" s="136">
        <f t="shared" si="661"/>
        <v>13</v>
      </c>
      <c r="E14153" s="136">
        <f t="shared" si="663"/>
        <v>28</v>
      </c>
      <c r="F14153" s="137" t="s">
        <v>24</v>
      </c>
      <c r="G14153" s="128" t="str">
        <f>VLOOKUP(source[[#This Row],[lending_product_transform]],[3]Mapping!$B$4:$C$37,2,0)</f>
        <v>[Cake] - Cashloan</v>
      </c>
      <c r="H14153" s="128" t="str">
        <f>VLOOKUP(source[[#This Row],[lending_product_transform]],[3]Mapping!$B$3:$D$37,3,0)</f>
        <v>cashloan</v>
      </c>
      <c r="I14153" s="137">
        <v>0</v>
      </c>
    </row>
    <row r="14154" spans="1:9" x14ac:dyDescent="0.2">
      <c r="A14154" s="134">
        <v>46109</v>
      </c>
      <c r="B14154" s="135">
        <f>YEAR(source[[#This Row],[report_date]])</f>
        <v>2026</v>
      </c>
      <c r="C14154" s="128">
        <f t="shared" si="662"/>
        <v>3</v>
      </c>
      <c r="D14154" s="136">
        <f t="shared" si="661"/>
        <v>13</v>
      </c>
      <c r="E14154" s="136">
        <f t="shared" si="663"/>
        <v>28</v>
      </c>
      <c r="F14154" s="137" t="s">
        <v>24</v>
      </c>
      <c r="G14154" s="128" t="str">
        <f>VLOOKUP(source[[#This Row],[lending_product_transform]],[3]Mapping!$B$4:$C$37,2,0)</f>
        <v>[Cake] - Cashloan</v>
      </c>
      <c r="H14154" s="128" t="str">
        <f>VLOOKUP(source[[#This Row],[lending_product_transform]],[3]Mapping!$B$3:$D$37,3,0)</f>
        <v>cashloan</v>
      </c>
      <c r="I14154" s="137">
        <v>0</v>
      </c>
    </row>
    <row r="14155" spans="1:9" x14ac:dyDescent="0.2">
      <c r="A14155" s="134">
        <v>46109</v>
      </c>
      <c r="B14155" s="135">
        <f>YEAR(source[[#This Row],[report_date]])</f>
        <v>2026</v>
      </c>
      <c r="C14155" s="128">
        <f t="shared" si="662"/>
        <v>3</v>
      </c>
      <c r="D14155" s="136">
        <f t="shared" si="661"/>
        <v>13</v>
      </c>
      <c r="E14155" s="136">
        <f t="shared" si="663"/>
        <v>28</v>
      </c>
      <c r="F14155" s="137" t="s">
        <v>24</v>
      </c>
      <c r="G14155" s="128" t="str">
        <f>VLOOKUP(source[[#This Row],[lending_product_transform]],[3]Mapping!$B$4:$C$37,2,0)</f>
        <v>[Cake] - Cashloan</v>
      </c>
      <c r="H14155" s="128" t="str">
        <f>VLOOKUP(source[[#This Row],[lending_product_transform]],[3]Mapping!$B$3:$D$37,3,0)</f>
        <v>cashloan</v>
      </c>
      <c r="I14155" s="137">
        <v>0</v>
      </c>
    </row>
    <row r="14156" spans="1:9" x14ac:dyDescent="0.2">
      <c r="A14156" s="134">
        <v>46109</v>
      </c>
      <c r="B14156" s="135">
        <f>YEAR(source[[#This Row],[report_date]])</f>
        <v>2026</v>
      </c>
      <c r="C14156" s="128">
        <f t="shared" si="662"/>
        <v>3</v>
      </c>
      <c r="D14156" s="136">
        <f t="shared" si="661"/>
        <v>13</v>
      </c>
      <c r="E14156" s="136">
        <f t="shared" si="663"/>
        <v>28</v>
      </c>
      <c r="F14156" s="137" t="s">
        <v>24</v>
      </c>
      <c r="G14156" s="128" t="str">
        <f>VLOOKUP(source[[#This Row],[lending_product_transform]],[3]Mapping!$B$4:$C$37,2,0)</f>
        <v>[Cake] - Cashloan</v>
      </c>
      <c r="H14156" s="128" t="str">
        <f>VLOOKUP(source[[#This Row],[lending_product_transform]],[3]Mapping!$B$3:$D$37,3,0)</f>
        <v>cashloan</v>
      </c>
      <c r="I14156" s="137">
        <v>9915048000</v>
      </c>
    </row>
    <row r="14157" spans="1:9" x14ac:dyDescent="0.2">
      <c r="A14157" s="134">
        <v>46109</v>
      </c>
      <c r="B14157" s="135">
        <f>YEAR(source[[#This Row],[report_date]])</f>
        <v>2026</v>
      </c>
      <c r="C14157" s="128">
        <f t="shared" si="662"/>
        <v>3</v>
      </c>
      <c r="D14157" s="136">
        <f t="shared" si="661"/>
        <v>13</v>
      </c>
      <c r="E14157" s="136">
        <f t="shared" si="663"/>
        <v>28</v>
      </c>
      <c r="F14157" s="137" t="s">
        <v>24</v>
      </c>
      <c r="G14157" s="128" t="str">
        <f>VLOOKUP(source[[#This Row],[lending_product_transform]],[3]Mapping!$B$4:$C$37,2,0)</f>
        <v>[Cake] - Cashloan</v>
      </c>
      <c r="H14157" s="128" t="str">
        <f>VLOOKUP(source[[#This Row],[lending_product_transform]],[3]Mapping!$B$3:$D$37,3,0)</f>
        <v>cashloan</v>
      </c>
      <c r="I14157" s="137">
        <v>130096861</v>
      </c>
    </row>
    <row r="14158" spans="1:9" x14ac:dyDescent="0.2">
      <c r="A14158" s="134">
        <v>46109</v>
      </c>
      <c r="B14158" s="135">
        <f>YEAR(source[[#This Row],[report_date]])</f>
        <v>2026</v>
      </c>
      <c r="C14158" s="128">
        <f t="shared" si="662"/>
        <v>3</v>
      </c>
      <c r="D14158" s="136">
        <f t="shared" si="661"/>
        <v>13</v>
      </c>
      <c r="E14158" s="136">
        <f t="shared" si="663"/>
        <v>28</v>
      </c>
      <c r="F14158" s="137" t="s">
        <v>24</v>
      </c>
      <c r="G14158" s="128" t="str">
        <f>VLOOKUP(source[[#This Row],[lending_product_transform]],[3]Mapping!$B$4:$C$37,2,0)</f>
        <v>[Cake] - Cashloan</v>
      </c>
      <c r="H14158" s="128" t="str">
        <f>VLOOKUP(source[[#This Row],[lending_product_transform]],[3]Mapping!$B$3:$D$37,3,0)</f>
        <v>cashloan</v>
      </c>
      <c r="I14158" s="137">
        <v>68250000</v>
      </c>
    </row>
    <row r="14159" spans="1:9" x14ac:dyDescent="0.2">
      <c r="A14159" s="134">
        <v>46109</v>
      </c>
      <c r="B14159" s="135">
        <f>YEAR(source[[#This Row],[report_date]])</f>
        <v>2026</v>
      </c>
      <c r="C14159" s="128">
        <f t="shared" si="662"/>
        <v>3</v>
      </c>
      <c r="D14159" s="136">
        <f t="shared" si="661"/>
        <v>13</v>
      </c>
      <c r="E14159" s="136">
        <f t="shared" si="663"/>
        <v>28</v>
      </c>
      <c r="F14159" s="137" t="s">
        <v>24</v>
      </c>
      <c r="G14159" s="128" t="str">
        <f>VLOOKUP(source[[#This Row],[lending_product_transform]],[3]Mapping!$B$4:$C$37,2,0)</f>
        <v>[Cake] - Cashloan</v>
      </c>
      <c r="H14159" s="128" t="str">
        <f>VLOOKUP(source[[#This Row],[lending_product_transform]],[3]Mapping!$B$3:$D$37,3,0)</f>
        <v>cashloan</v>
      </c>
      <c r="I14159" s="137">
        <v>65000000</v>
      </c>
    </row>
    <row r="14160" spans="1:9" x14ac:dyDescent="0.2">
      <c r="A14160" s="134">
        <v>46109</v>
      </c>
      <c r="B14160" s="135">
        <f>YEAR(source[[#This Row],[report_date]])</f>
        <v>2026</v>
      </c>
      <c r="C14160" s="128">
        <f t="shared" si="662"/>
        <v>3</v>
      </c>
      <c r="D14160" s="136">
        <f t="shared" si="661"/>
        <v>13</v>
      </c>
      <c r="E14160" s="136">
        <f t="shared" si="663"/>
        <v>28</v>
      </c>
      <c r="F14160" s="137" t="s">
        <v>24</v>
      </c>
      <c r="G14160" s="128" t="str">
        <f>VLOOKUP(source[[#This Row],[lending_product_transform]],[3]Mapping!$B$4:$C$37,2,0)</f>
        <v>[Cake] - Cashloan</v>
      </c>
      <c r="H14160" s="128" t="str">
        <f>VLOOKUP(source[[#This Row],[lending_product_transform]],[3]Mapping!$B$3:$D$37,3,0)</f>
        <v>cashloan</v>
      </c>
      <c r="I14160" s="137">
        <v>935980000</v>
      </c>
    </row>
    <row r="14161" spans="1:9" x14ac:dyDescent="0.2">
      <c r="A14161" s="134">
        <v>46109</v>
      </c>
      <c r="B14161" s="135">
        <f>YEAR(source[[#This Row],[report_date]])</f>
        <v>2026</v>
      </c>
      <c r="C14161" s="128">
        <f t="shared" si="662"/>
        <v>3</v>
      </c>
      <c r="D14161" s="136">
        <f t="shared" ref="D14161:D14224" si="664">WEEKNUM(A14161,2)</f>
        <v>13</v>
      </c>
      <c r="E14161" s="136">
        <f t="shared" si="663"/>
        <v>28</v>
      </c>
      <c r="F14161" s="137" t="s">
        <v>24</v>
      </c>
      <c r="G14161" s="128" t="str">
        <f>VLOOKUP(source[[#This Row],[lending_product_transform]],[3]Mapping!$B$4:$C$37,2,0)</f>
        <v>[Cake] - Cashloan</v>
      </c>
      <c r="H14161" s="128" t="str">
        <f>VLOOKUP(source[[#This Row],[lending_product_transform]],[3]Mapping!$B$3:$D$37,3,0)</f>
        <v>cashloan</v>
      </c>
      <c r="I14161" s="137">
        <v>326700000</v>
      </c>
    </row>
    <row r="14162" spans="1:9" x14ac:dyDescent="0.2">
      <c r="A14162" s="134">
        <v>46109</v>
      </c>
      <c r="B14162" s="135">
        <f>YEAR(source[[#This Row],[report_date]])</f>
        <v>2026</v>
      </c>
      <c r="C14162" s="128">
        <f t="shared" si="662"/>
        <v>3</v>
      </c>
      <c r="D14162" s="136">
        <f t="shared" si="664"/>
        <v>13</v>
      </c>
      <c r="E14162" s="136">
        <f t="shared" si="663"/>
        <v>28</v>
      </c>
      <c r="F14162" s="137" t="s">
        <v>24</v>
      </c>
      <c r="G14162" s="128" t="str">
        <f>VLOOKUP(source[[#This Row],[lending_product_transform]],[3]Mapping!$B$4:$C$37,2,0)</f>
        <v>[Cake] - Cashloan</v>
      </c>
      <c r="H14162" s="128" t="str">
        <f>VLOOKUP(source[[#This Row],[lending_product_transform]],[3]Mapping!$B$3:$D$37,3,0)</f>
        <v>cashloan</v>
      </c>
      <c r="I14162" s="137">
        <v>351764250</v>
      </c>
    </row>
    <row r="14163" spans="1:9" x14ac:dyDescent="0.2">
      <c r="A14163" s="134">
        <v>46109</v>
      </c>
      <c r="B14163" s="135">
        <f>YEAR(source[[#This Row],[report_date]])</f>
        <v>2026</v>
      </c>
      <c r="C14163" s="128">
        <f t="shared" si="662"/>
        <v>3</v>
      </c>
      <c r="D14163" s="136">
        <f t="shared" si="664"/>
        <v>13</v>
      </c>
      <c r="E14163" s="136">
        <f t="shared" si="663"/>
        <v>28</v>
      </c>
      <c r="F14163" s="137" t="s">
        <v>24</v>
      </c>
      <c r="G14163" s="128" t="str">
        <f>VLOOKUP(source[[#This Row],[lending_product_transform]],[3]Mapping!$B$4:$C$37,2,0)</f>
        <v>[Cake] - Cashloan</v>
      </c>
      <c r="H14163" s="128" t="str">
        <f>VLOOKUP(source[[#This Row],[lending_product_transform]],[3]Mapping!$B$3:$D$37,3,0)</f>
        <v>cashloan</v>
      </c>
      <c r="I14163" s="137">
        <v>2806780000</v>
      </c>
    </row>
    <row r="14164" spans="1:9" x14ac:dyDescent="0.2">
      <c r="A14164" s="134">
        <v>46109</v>
      </c>
      <c r="B14164" s="135">
        <f>YEAR(source[[#This Row],[report_date]])</f>
        <v>2026</v>
      </c>
      <c r="C14164" s="128">
        <f t="shared" si="662"/>
        <v>3</v>
      </c>
      <c r="D14164" s="136">
        <f t="shared" si="664"/>
        <v>13</v>
      </c>
      <c r="E14164" s="136">
        <f t="shared" si="663"/>
        <v>28</v>
      </c>
      <c r="F14164" s="137" t="s">
        <v>24</v>
      </c>
      <c r="G14164" s="128" t="str">
        <f>VLOOKUP(source[[#This Row],[lending_product_transform]],[3]Mapping!$B$4:$C$37,2,0)</f>
        <v>[Cake] - Cashloan</v>
      </c>
      <c r="H14164" s="128" t="str">
        <f>VLOOKUP(source[[#This Row],[lending_product_transform]],[3]Mapping!$B$3:$D$37,3,0)</f>
        <v>cashloan</v>
      </c>
      <c r="I14164" s="137">
        <v>3240000</v>
      </c>
    </row>
    <row r="14165" spans="1:9" x14ac:dyDescent="0.2">
      <c r="A14165" s="134">
        <v>46110</v>
      </c>
      <c r="B14165" s="135">
        <f>YEAR(source[[#This Row],[report_date]])</f>
        <v>2026</v>
      </c>
      <c r="C14165" s="128">
        <f t="shared" si="662"/>
        <v>3</v>
      </c>
      <c r="D14165" s="136">
        <f t="shared" si="664"/>
        <v>13</v>
      </c>
      <c r="E14165" s="136">
        <f t="shared" si="663"/>
        <v>29</v>
      </c>
      <c r="F14165" s="137" t="s">
        <v>24</v>
      </c>
      <c r="G14165" s="128" t="str">
        <f>VLOOKUP(source[[#This Row],[lending_product_transform]],[3]Mapping!$B$4:$C$37,2,0)</f>
        <v>[Cake] - Cashloan</v>
      </c>
      <c r="H14165" s="128" t="str">
        <f>VLOOKUP(source[[#This Row],[lending_product_transform]],[3]Mapping!$B$3:$D$37,3,0)</f>
        <v>cashloan</v>
      </c>
      <c r="I14165" s="137">
        <v>662610000</v>
      </c>
    </row>
    <row r="14166" spans="1:9" x14ac:dyDescent="0.2">
      <c r="A14166" s="134">
        <v>46110</v>
      </c>
      <c r="B14166" s="135">
        <f>YEAR(source[[#This Row],[report_date]])</f>
        <v>2026</v>
      </c>
      <c r="C14166" s="128">
        <f t="shared" si="662"/>
        <v>3</v>
      </c>
      <c r="D14166" s="136">
        <f t="shared" si="664"/>
        <v>13</v>
      </c>
      <c r="E14166" s="136">
        <f t="shared" si="663"/>
        <v>29</v>
      </c>
      <c r="F14166" s="137" t="s">
        <v>24</v>
      </c>
      <c r="G14166" s="128" t="str">
        <f>VLOOKUP(source[[#This Row],[lending_product_transform]],[3]Mapping!$B$4:$C$37,2,0)</f>
        <v>[Cake] - Cashloan</v>
      </c>
      <c r="H14166" s="128" t="str">
        <f>VLOOKUP(source[[#This Row],[lending_product_transform]],[3]Mapping!$B$3:$D$37,3,0)</f>
        <v>cashloan</v>
      </c>
      <c r="I14166" s="137">
        <v>316649498</v>
      </c>
    </row>
    <row r="14167" spans="1:9" x14ac:dyDescent="0.2">
      <c r="A14167" s="134">
        <v>46110</v>
      </c>
      <c r="B14167" s="135">
        <f>YEAR(source[[#This Row],[report_date]])</f>
        <v>2026</v>
      </c>
      <c r="C14167" s="128">
        <f t="shared" si="662"/>
        <v>3</v>
      </c>
      <c r="D14167" s="136">
        <f t="shared" si="664"/>
        <v>13</v>
      </c>
      <c r="E14167" s="136">
        <f t="shared" si="663"/>
        <v>29</v>
      </c>
      <c r="F14167" s="137" t="s">
        <v>24</v>
      </c>
      <c r="G14167" s="128" t="str">
        <f>VLOOKUP(source[[#This Row],[lending_product_transform]],[3]Mapping!$B$4:$C$37,2,0)</f>
        <v>[Cake] - Cashloan</v>
      </c>
      <c r="H14167" s="128" t="str">
        <f>VLOOKUP(source[[#This Row],[lending_product_transform]],[3]Mapping!$B$3:$D$37,3,0)</f>
        <v>cashloan</v>
      </c>
      <c r="I14167" s="137">
        <v>10164860000</v>
      </c>
    </row>
    <row r="14168" spans="1:9" x14ac:dyDescent="0.2">
      <c r="A14168" s="134">
        <v>46110</v>
      </c>
      <c r="B14168" s="135">
        <f>YEAR(source[[#This Row],[report_date]])</f>
        <v>2026</v>
      </c>
      <c r="C14168" s="128">
        <f t="shared" si="662"/>
        <v>3</v>
      </c>
      <c r="D14168" s="136">
        <f t="shared" si="664"/>
        <v>13</v>
      </c>
      <c r="E14168" s="136">
        <f t="shared" si="663"/>
        <v>29</v>
      </c>
      <c r="F14168" s="137" t="s">
        <v>24</v>
      </c>
      <c r="G14168" s="128" t="str">
        <f>VLOOKUP(source[[#This Row],[lending_product_transform]],[3]Mapping!$B$4:$C$37,2,0)</f>
        <v>[Cake] - Cashloan</v>
      </c>
      <c r="H14168" s="128" t="str">
        <f>VLOOKUP(source[[#This Row],[lending_product_transform]],[3]Mapping!$B$3:$D$37,3,0)</f>
        <v>cashloan</v>
      </c>
      <c r="I14168" s="137">
        <v>1296102256</v>
      </c>
    </row>
    <row r="14169" spans="1:9" x14ac:dyDescent="0.2">
      <c r="A14169" s="134">
        <v>46110</v>
      </c>
      <c r="B14169" s="135">
        <f>YEAR(source[[#This Row],[report_date]])</f>
        <v>2026</v>
      </c>
      <c r="C14169" s="128">
        <f t="shared" si="662"/>
        <v>3</v>
      </c>
      <c r="D14169" s="136">
        <f t="shared" si="664"/>
        <v>13</v>
      </c>
      <c r="E14169" s="136">
        <f t="shared" si="663"/>
        <v>29</v>
      </c>
      <c r="F14169" s="137" t="s">
        <v>24</v>
      </c>
      <c r="G14169" s="128" t="str">
        <f>VLOOKUP(source[[#This Row],[lending_product_transform]],[3]Mapping!$B$4:$C$37,2,0)</f>
        <v>[Cake] - Cashloan</v>
      </c>
      <c r="H14169" s="128" t="str">
        <f>VLOOKUP(source[[#This Row],[lending_product_transform]],[3]Mapping!$B$3:$D$37,3,0)</f>
        <v>cashloan</v>
      </c>
      <c r="I14169" s="137">
        <v>11300580000</v>
      </c>
    </row>
    <row r="14170" spans="1:9" x14ac:dyDescent="0.2">
      <c r="A14170" s="134">
        <v>46110</v>
      </c>
      <c r="B14170" s="135">
        <f>YEAR(source[[#This Row],[report_date]])</f>
        <v>2026</v>
      </c>
      <c r="C14170" s="128">
        <f t="shared" si="662"/>
        <v>3</v>
      </c>
      <c r="D14170" s="136">
        <f t="shared" si="664"/>
        <v>13</v>
      </c>
      <c r="E14170" s="136">
        <f t="shared" si="663"/>
        <v>29</v>
      </c>
      <c r="F14170" s="137" t="s">
        <v>24</v>
      </c>
      <c r="G14170" s="128" t="str">
        <f>VLOOKUP(source[[#This Row],[lending_product_transform]],[3]Mapping!$B$4:$C$37,2,0)</f>
        <v>[Cake] - Cashloan</v>
      </c>
      <c r="H14170" s="128" t="str">
        <f>VLOOKUP(source[[#This Row],[lending_product_transform]],[3]Mapping!$B$3:$D$37,3,0)</f>
        <v>cashloan</v>
      </c>
      <c r="I14170" s="137">
        <v>3356656</v>
      </c>
    </row>
    <row r="14171" spans="1:9" x14ac:dyDescent="0.2">
      <c r="A14171" s="134">
        <v>46110</v>
      </c>
      <c r="B14171" s="135">
        <f>YEAR(source[[#This Row],[report_date]])</f>
        <v>2026</v>
      </c>
      <c r="C14171" s="128">
        <f t="shared" si="662"/>
        <v>3</v>
      </c>
      <c r="D14171" s="136">
        <f t="shared" si="664"/>
        <v>13</v>
      </c>
      <c r="E14171" s="136">
        <f t="shared" si="663"/>
        <v>29</v>
      </c>
      <c r="F14171" s="137" t="s">
        <v>24</v>
      </c>
      <c r="G14171" s="128" t="str">
        <f>VLOOKUP(source[[#This Row],[lending_product_transform]],[3]Mapping!$B$4:$C$37,2,0)</f>
        <v>[Cake] - Cashloan</v>
      </c>
      <c r="H14171" s="128" t="str">
        <f>VLOOKUP(source[[#This Row],[lending_product_transform]],[3]Mapping!$B$3:$D$37,3,0)</f>
        <v>cashloan</v>
      </c>
      <c r="I14171" s="137">
        <v>0</v>
      </c>
    </row>
    <row r="14172" spans="1:9" x14ac:dyDescent="0.2">
      <c r="A14172" s="134">
        <v>46110</v>
      </c>
      <c r="B14172" s="135">
        <f>YEAR(source[[#This Row],[report_date]])</f>
        <v>2026</v>
      </c>
      <c r="C14172" s="128">
        <f t="shared" si="662"/>
        <v>3</v>
      </c>
      <c r="D14172" s="136">
        <f t="shared" si="664"/>
        <v>13</v>
      </c>
      <c r="E14172" s="136">
        <f t="shared" si="663"/>
        <v>29</v>
      </c>
      <c r="F14172" s="137" t="s">
        <v>24</v>
      </c>
      <c r="G14172" s="128" t="str">
        <f>VLOOKUP(source[[#This Row],[lending_product_transform]],[3]Mapping!$B$4:$C$37,2,0)</f>
        <v>[Cake] - Cashloan</v>
      </c>
      <c r="H14172" s="128" t="str">
        <f>VLOOKUP(source[[#This Row],[lending_product_transform]],[3]Mapping!$B$3:$D$37,3,0)</f>
        <v>cashloan</v>
      </c>
      <c r="I14172" s="137">
        <v>2775080000</v>
      </c>
    </row>
    <row r="14173" spans="1:9" x14ac:dyDescent="0.2">
      <c r="A14173" s="134">
        <v>46110</v>
      </c>
      <c r="B14173" s="135">
        <f>YEAR(source[[#This Row],[report_date]])</f>
        <v>2026</v>
      </c>
      <c r="C14173" s="128">
        <f t="shared" si="662"/>
        <v>3</v>
      </c>
      <c r="D14173" s="136">
        <f t="shared" si="664"/>
        <v>13</v>
      </c>
      <c r="E14173" s="136">
        <f t="shared" si="663"/>
        <v>29</v>
      </c>
      <c r="F14173" s="137" t="s">
        <v>24</v>
      </c>
      <c r="G14173" s="128" t="str">
        <f>VLOOKUP(source[[#This Row],[lending_product_transform]],[3]Mapping!$B$4:$C$37,2,0)</f>
        <v>[Cake] - Cashloan</v>
      </c>
      <c r="H14173" s="128" t="str">
        <f>VLOOKUP(source[[#This Row],[lending_product_transform]],[3]Mapping!$B$3:$D$37,3,0)</f>
        <v>cashloan</v>
      </c>
      <c r="I14173" s="137">
        <v>896920000</v>
      </c>
    </row>
    <row r="14174" spans="1:9" x14ac:dyDescent="0.2">
      <c r="A14174" s="134">
        <v>46110</v>
      </c>
      <c r="B14174" s="135">
        <f>YEAR(source[[#This Row],[report_date]])</f>
        <v>2026</v>
      </c>
      <c r="C14174" s="128">
        <f t="shared" si="662"/>
        <v>3</v>
      </c>
      <c r="D14174" s="136">
        <f t="shared" si="664"/>
        <v>13</v>
      </c>
      <c r="E14174" s="136">
        <f t="shared" si="663"/>
        <v>29</v>
      </c>
      <c r="F14174" s="137" t="s">
        <v>24</v>
      </c>
      <c r="G14174" s="128" t="str">
        <f>VLOOKUP(source[[#This Row],[lending_product_transform]],[3]Mapping!$B$4:$C$37,2,0)</f>
        <v>[Cake] - Cashloan</v>
      </c>
      <c r="H14174" s="128" t="str">
        <f>VLOOKUP(source[[#This Row],[lending_product_transform]],[3]Mapping!$B$3:$D$37,3,0)</f>
        <v>cashloan</v>
      </c>
      <c r="I14174" s="137">
        <v>6972182</v>
      </c>
    </row>
    <row r="14175" spans="1:9" x14ac:dyDescent="0.2">
      <c r="A14175" s="134">
        <v>46110</v>
      </c>
      <c r="B14175" s="135">
        <f>YEAR(source[[#This Row],[report_date]])</f>
        <v>2026</v>
      </c>
      <c r="C14175" s="128">
        <f t="shared" si="662"/>
        <v>3</v>
      </c>
      <c r="D14175" s="136">
        <f t="shared" si="664"/>
        <v>13</v>
      </c>
      <c r="E14175" s="136">
        <f t="shared" si="663"/>
        <v>29</v>
      </c>
      <c r="F14175" s="137" t="s">
        <v>24</v>
      </c>
      <c r="G14175" s="128" t="str">
        <f>VLOOKUP(source[[#This Row],[lending_product_transform]],[3]Mapping!$B$4:$C$37,2,0)</f>
        <v>[Cake] - Cashloan</v>
      </c>
      <c r="H14175" s="128" t="str">
        <f>VLOOKUP(source[[#This Row],[lending_product_transform]],[3]Mapping!$B$3:$D$37,3,0)</f>
        <v>cashloan</v>
      </c>
      <c r="I14175" s="137">
        <v>1049981885</v>
      </c>
    </row>
    <row r="14176" spans="1:9" x14ac:dyDescent="0.2">
      <c r="A14176" s="134">
        <v>46110</v>
      </c>
      <c r="B14176" s="135">
        <f>YEAR(source[[#This Row],[report_date]])</f>
        <v>2026</v>
      </c>
      <c r="C14176" s="128">
        <f t="shared" si="662"/>
        <v>3</v>
      </c>
      <c r="D14176" s="136">
        <f t="shared" si="664"/>
        <v>13</v>
      </c>
      <c r="E14176" s="136">
        <f t="shared" si="663"/>
        <v>29</v>
      </c>
      <c r="F14176" s="137" t="s">
        <v>24</v>
      </c>
      <c r="G14176" s="128" t="str">
        <f>VLOOKUP(source[[#This Row],[lending_product_transform]],[3]Mapping!$B$4:$C$37,2,0)</f>
        <v>[Cake] - Cashloan</v>
      </c>
      <c r="H14176" s="128" t="str">
        <f>VLOOKUP(source[[#This Row],[lending_product_transform]],[3]Mapping!$B$3:$D$37,3,0)</f>
        <v>cashloan</v>
      </c>
      <c r="I14176" s="137">
        <v>0</v>
      </c>
    </row>
    <row r="14177" spans="1:9" x14ac:dyDescent="0.2">
      <c r="A14177" s="134">
        <v>46110</v>
      </c>
      <c r="B14177" s="135">
        <f>YEAR(source[[#This Row],[report_date]])</f>
        <v>2026</v>
      </c>
      <c r="C14177" s="128">
        <f t="shared" si="662"/>
        <v>3</v>
      </c>
      <c r="D14177" s="136">
        <f t="shared" si="664"/>
        <v>13</v>
      </c>
      <c r="E14177" s="136">
        <f t="shared" si="663"/>
        <v>29</v>
      </c>
      <c r="F14177" s="137" t="s">
        <v>24</v>
      </c>
      <c r="G14177" s="128" t="str">
        <f>VLOOKUP(source[[#This Row],[lending_product_transform]],[3]Mapping!$B$4:$C$37,2,0)</f>
        <v>[Cake] - Cashloan</v>
      </c>
      <c r="H14177" s="128" t="str">
        <f>VLOOKUP(source[[#This Row],[lending_product_transform]],[3]Mapping!$B$3:$D$37,3,0)</f>
        <v>cashloan</v>
      </c>
      <c r="I14177" s="137">
        <v>10500000</v>
      </c>
    </row>
    <row r="14178" spans="1:9" x14ac:dyDescent="0.2">
      <c r="A14178" s="134">
        <v>46110</v>
      </c>
      <c r="B14178" s="135">
        <f>YEAR(source[[#This Row],[report_date]])</f>
        <v>2026</v>
      </c>
      <c r="C14178" s="128">
        <f t="shared" si="662"/>
        <v>3</v>
      </c>
      <c r="D14178" s="136">
        <f t="shared" si="664"/>
        <v>13</v>
      </c>
      <c r="E14178" s="136">
        <f t="shared" si="663"/>
        <v>29</v>
      </c>
      <c r="F14178" s="137" t="s">
        <v>24</v>
      </c>
      <c r="G14178" s="128" t="str">
        <f>VLOOKUP(source[[#This Row],[lending_product_transform]],[3]Mapping!$B$4:$C$37,2,0)</f>
        <v>[Cake] - Cashloan</v>
      </c>
      <c r="H14178" s="128" t="str">
        <f>VLOOKUP(source[[#This Row],[lending_product_transform]],[3]Mapping!$B$3:$D$37,3,0)</f>
        <v>cashloan</v>
      </c>
      <c r="I14178" s="137">
        <v>0</v>
      </c>
    </row>
    <row r="14179" spans="1:9" x14ac:dyDescent="0.2">
      <c r="A14179" s="134">
        <v>46110</v>
      </c>
      <c r="B14179" s="135">
        <f>YEAR(source[[#This Row],[report_date]])</f>
        <v>2026</v>
      </c>
      <c r="C14179" s="128">
        <f t="shared" si="662"/>
        <v>3</v>
      </c>
      <c r="D14179" s="136">
        <f t="shared" si="664"/>
        <v>13</v>
      </c>
      <c r="E14179" s="136">
        <f t="shared" si="663"/>
        <v>29</v>
      </c>
      <c r="F14179" s="137" t="s">
        <v>24</v>
      </c>
      <c r="G14179" s="128" t="str">
        <f>VLOOKUP(source[[#This Row],[lending_product_transform]],[3]Mapping!$B$4:$C$37,2,0)</f>
        <v>[Cake] - Cashloan</v>
      </c>
      <c r="H14179" s="128" t="str">
        <f>VLOOKUP(source[[#This Row],[lending_product_transform]],[3]Mapping!$B$3:$D$37,3,0)</f>
        <v>cashloan</v>
      </c>
      <c r="I14179" s="137">
        <v>14703700000</v>
      </c>
    </row>
    <row r="14180" spans="1:9" x14ac:dyDescent="0.2">
      <c r="A14180" s="134">
        <v>46110</v>
      </c>
      <c r="B14180" s="135">
        <f>YEAR(source[[#This Row],[report_date]])</f>
        <v>2026</v>
      </c>
      <c r="C14180" s="128">
        <f t="shared" si="662"/>
        <v>3</v>
      </c>
      <c r="D14180" s="136">
        <f t="shared" si="664"/>
        <v>13</v>
      </c>
      <c r="E14180" s="136">
        <f t="shared" si="663"/>
        <v>29</v>
      </c>
      <c r="F14180" s="137" t="s">
        <v>24</v>
      </c>
      <c r="G14180" s="128" t="str">
        <f>VLOOKUP(source[[#This Row],[lending_product_transform]],[3]Mapping!$B$4:$C$37,2,0)</f>
        <v>[Cake] - Cashloan</v>
      </c>
      <c r="H14180" s="128" t="str">
        <f>VLOOKUP(source[[#This Row],[lending_product_transform]],[3]Mapping!$B$3:$D$37,3,0)</f>
        <v>cashloan</v>
      </c>
      <c r="I14180" s="137">
        <v>0</v>
      </c>
    </row>
    <row r="14181" spans="1:9" x14ac:dyDescent="0.2">
      <c r="A14181" s="134">
        <v>46110</v>
      </c>
      <c r="B14181" s="135">
        <f>YEAR(source[[#This Row],[report_date]])</f>
        <v>2026</v>
      </c>
      <c r="C14181" s="128">
        <f t="shared" si="662"/>
        <v>3</v>
      </c>
      <c r="D14181" s="136">
        <f t="shared" si="664"/>
        <v>13</v>
      </c>
      <c r="E14181" s="136">
        <f t="shared" si="663"/>
        <v>29</v>
      </c>
      <c r="F14181" s="137" t="s">
        <v>24</v>
      </c>
      <c r="G14181" s="128" t="str">
        <f>VLOOKUP(source[[#This Row],[lending_product_transform]],[3]Mapping!$B$4:$C$37,2,0)</f>
        <v>[Cake] - Cashloan</v>
      </c>
      <c r="H14181" s="128" t="str">
        <f>VLOOKUP(source[[#This Row],[lending_product_transform]],[3]Mapping!$B$3:$D$37,3,0)</f>
        <v>cashloan</v>
      </c>
      <c r="I14181" s="137">
        <v>0</v>
      </c>
    </row>
    <row r="14182" spans="1:9" x14ac:dyDescent="0.2">
      <c r="A14182" s="134">
        <v>46110</v>
      </c>
      <c r="B14182" s="135">
        <f>YEAR(source[[#This Row],[report_date]])</f>
        <v>2026</v>
      </c>
      <c r="C14182" s="128">
        <f t="shared" si="662"/>
        <v>3</v>
      </c>
      <c r="D14182" s="136">
        <f t="shared" si="664"/>
        <v>13</v>
      </c>
      <c r="E14182" s="136">
        <f t="shared" si="663"/>
        <v>29</v>
      </c>
      <c r="F14182" s="137" t="s">
        <v>24</v>
      </c>
      <c r="G14182" s="128" t="str">
        <f>VLOOKUP(source[[#This Row],[lending_product_transform]],[3]Mapping!$B$4:$C$37,2,0)</f>
        <v>[Cake] - Cashloan</v>
      </c>
      <c r="H14182" s="128" t="str">
        <f>VLOOKUP(source[[#This Row],[lending_product_transform]],[3]Mapping!$B$3:$D$37,3,0)</f>
        <v>cashloan</v>
      </c>
      <c r="I14182" s="137">
        <v>0</v>
      </c>
    </row>
    <row r="14183" spans="1:9" x14ac:dyDescent="0.2">
      <c r="A14183" s="134">
        <v>46110</v>
      </c>
      <c r="B14183" s="135">
        <f>YEAR(source[[#This Row],[report_date]])</f>
        <v>2026</v>
      </c>
      <c r="C14183" s="128">
        <f t="shared" si="662"/>
        <v>3</v>
      </c>
      <c r="D14183" s="136">
        <f t="shared" si="664"/>
        <v>13</v>
      </c>
      <c r="E14183" s="136">
        <f t="shared" si="663"/>
        <v>29</v>
      </c>
      <c r="F14183" s="137" t="s">
        <v>24</v>
      </c>
      <c r="G14183" s="128" t="str">
        <f>VLOOKUP(source[[#This Row],[lending_product_transform]],[3]Mapping!$B$4:$C$37,2,0)</f>
        <v>[Cake] - Cashloan</v>
      </c>
      <c r="H14183" s="128" t="str">
        <f>VLOOKUP(source[[#This Row],[lending_product_transform]],[3]Mapping!$B$3:$D$37,3,0)</f>
        <v>cashloan</v>
      </c>
      <c r="I14183" s="137">
        <v>0</v>
      </c>
    </row>
    <row r="14184" spans="1:9" x14ac:dyDescent="0.2">
      <c r="A14184" s="134">
        <v>46110</v>
      </c>
      <c r="B14184" s="135">
        <f>YEAR(source[[#This Row],[report_date]])</f>
        <v>2026</v>
      </c>
      <c r="C14184" s="128">
        <f t="shared" si="662"/>
        <v>3</v>
      </c>
      <c r="D14184" s="136">
        <f t="shared" si="664"/>
        <v>13</v>
      </c>
      <c r="E14184" s="136">
        <f t="shared" si="663"/>
        <v>29</v>
      </c>
      <c r="F14184" s="137" t="s">
        <v>24</v>
      </c>
      <c r="G14184" s="128" t="str">
        <f>VLOOKUP(source[[#This Row],[lending_product_transform]],[3]Mapping!$B$4:$C$37,2,0)</f>
        <v>[Cake] - Cashloan</v>
      </c>
      <c r="H14184" s="128" t="str">
        <f>VLOOKUP(source[[#This Row],[lending_product_transform]],[3]Mapping!$B$3:$D$37,3,0)</f>
        <v>cashloan</v>
      </c>
      <c r="I14184" s="137">
        <v>10008360000</v>
      </c>
    </row>
    <row r="14185" spans="1:9" x14ac:dyDescent="0.2">
      <c r="A14185" s="134">
        <v>46110</v>
      </c>
      <c r="B14185" s="135">
        <f>YEAR(source[[#This Row],[report_date]])</f>
        <v>2026</v>
      </c>
      <c r="C14185" s="128">
        <f t="shared" si="662"/>
        <v>3</v>
      </c>
      <c r="D14185" s="136">
        <f t="shared" si="664"/>
        <v>13</v>
      </c>
      <c r="E14185" s="136">
        <f t="shared" si="663"/>
        <v>29</v>
      </c>
      <c r="F14185" s="137" t="s">
        <v>24</v>
      </c>
      <c r="G14185" s="128" t="str">
        <f>VLOOKUP(source[[#This Row],[lending_product_transform]],[3]Mapping!$B$4:$C$37,2,0)</f>
        <v>[Cake] - Cashloan</v>
      </c>
      <c r="H14185" s="128" t="str">
        <f>VLOOKUP(source[[#This Row],[lending_product_transform]],[3]Mapping!$B$3:$D$37,3,0)</f>
        <v>cashloan</v>
      </c>
      <c r="I14185" s="137">
        <v>137201286</v>
      </c>
    </row>
    <row r="14186" spans="1:9" x14ac:dyDescent="0.2">
      <c r="A14186" s="134">
        <v>46110</v>
      </c>
      <c r="B14186" s="135">
        <f>YEAR(source[[#This Row],[report_date]])</f>
        <v>2026</v>
      </c>
      <c r="C14186" s="128">
        <f t="shared" si="662"/>
        <v>3</v>
      </c>
      <c r="D14186" s="136">
        <f t="shared" si="664"/>
        <v>13</v>
      </c>
      <c r="E14186" s="136">
        <f t="shared" si="663"/>
        <v>29</v>
      </c>
      <c r="F14186" s="137" t="s">
        <v>24</v>
      </c>
      <c r="G14186" s="128" t="str">
        <f>VLOOKUP(source[[#This Row],[lending_product_transform]],[3]Mapping!$B$4:$C$37,2,0)</f>
        <v>[Cake] - Cashloan</v>
      </c>
      <c r="H14186" s="128" t="str">
        <f>VLOOKUP(source[[#This Row],[lending_product_transform]],[3]Mapping!$B$3:$D$37,3,0)</f>
        <v>cashloan</v>
      </c>
      <c r="I14186" s="137">
        <v>63000000</v>
      </c>
    </row>
    <row r="14187" spans="1:9" x14ac:dyDescent="0.2">
      <c r="A14187" s="134">
        <v>46110</v>
      </c>
      <c r="B14187" s="135">
        <f>YEAR(source[[#This Row],[report_date]])</f>
        <v>2026</v>
      </c>
      <c r="C14187" s="128">
        <f t="shared" si="662"/>
        <v>3</v>
      </c>
      <c r="D14187" s="136">
        <f t="shared" si="664"/>
        <v>13</v>
      </c>
      <c r="E14187" s="136">
        <f t="shared" si="663"/>
        <v>29</v>
      </c>
      <c r="F14187" s="137" t="s">
        <v>24</v>
      </c>
      <c r="G14187" s="128" t="str">
        <f>VLOOKUP(source[[#This Row],[lending_product_transform]],[3]Mapping!$B$4:$C$37,2,0)</f>
        <v>[Cake] - Cashloan</v>
      </c>
      <c r="H14187" s="128" t="str">
        <f>VLOOKUP(source[[#This Row],[lending_product_transform]],[3]Mapping!$B$3:$D$37,3,0)</f>
        <v>cashloan</v>
      </c>
      <c r="I14187" s="137">
        <v>43000000</v>
      </c>
    </row>
    <row r="14188" spans="1:9" x14ac:dyDescent="0.2">
      <c r="A14188" s="134">
        <v>46110</v>
      </c>
      <c r="B14188" s="135">
        <f>YEAR(source[[#This Row],[report_date]])</f>
        <v>2026</v>
      </c>
      <c r="C14188" s="128">
        <f t="shared" si="662"/>
        <v>3</v>
      </c>
      <c r="D14188" s="136">
        <f t="shared" si="664"/>
        <v>13</v>
      </c>
      <c r="E14188" s="136">
        <f t="shared" si="663"/>
        <v>29</v>
      </c>
      <c r="F14188" s="137" t="s">
        <v>24</v>
      </c>
      <c r="G14188" s="128" t="str">
        <f>VLOOKUP(source[[#This Row],[lending_product_transform]],[3]Mapping!$B$4:$C$37,2,0)</f>
        <v>[Cake] - Cashloan</v>
      </c>
      <c r="H14188" s="128" t="str">
        <f>VLOOKUP(source[[#This Row],[lending_product_transform]],[3]Mapping!$B$3:$D$37,3,0)</f>
        <v>cashloan</v>
      </c>
      <c r="I14188" s="137">
        <v>575390000</v>
      </c>
    </row>
    <row r="14189" spans="1:9" x14ac:dyDescent="0.2">
      <c r="A14189" s="134">
        <v>46110</v>
      </c>
      <c r="B14189" s="135">
        <f>YEAR(source[[#This Row],[report_date]])</f>
        <v>2026</v>
      </c>
      <c r="C14189" s="128">
        <f t="shared" si="662"/>
        <v>3</v>
      </c>
      <c r="D14189" s="136">
        <f t="shared" si="664"/>
        <v>13</v>
      </c>
      <c r="E14189" s="136">
        <f t="shared" si="663"/>
        <v>29</v>
      </c>
      <c r="F14189" s="137" t="s">
        <v>24</v>
      </c>
      <c r="G14189" s="128" t="str">
        <f>VLOOKUP(source[[#This Row],[lending_product_transform]],[3]Mapping!$B$4:$C$37,2,0)</f>
        <v>[Cake] - Cashloan</v>
      </c>
      <c r="H14189" s="128" t="str">
        <f>VLOOKUP(source[[#This Row],[lending_product_transform]],[3]Mapping!$B$3:$D$37,3,0)</f>
        <v>cashloan</v>
      </c>
      <c r="I14189" s="137">
        <v>199260000</v>
      </c>
    </row>
    <row r="14190" spans="1:9" x14ac:dyDescent="0.2">
      <c r="A14190" s="134">
        <v>46110</v>
      </c>
      <c r="B14190" s="135">
        <f>YEAR(source[[#This Row],[report_date]])</f>
        <v>2026</v>
      </c>
      <c r="C14190" s="128">
        <f t="shared" si="662"/>
        <v>3</v>
      </c>
      <c r="D14190" s="136">
        <f t="shared" si="664"/>
        <v>13</v>
      </c>
      <c r="E14190" s="136">
        <f t="shared" si="663"/>
        <v>29</v>
      </c>
      <c r="F14190" s="137" t="s">
        <v>24</v>
      </c>
      <c r="G14190" s="128" t="str">
        <f>VLOOKUP(source[[#This Row],[lending_product_transform]],[3]Mapping!$B$4:$C$37,2,0)</f>
        <v>[Cake] - Cashloan</v>
      </c>
      <c r="H14190" s="128" t="str">
        <f>VLOOKUP(source[[#This Row],[lending_product_transform]],[3]Mapping!$B$3:$D$37,3,0)</f>
        <v>cashloan</v>
      </c>
      <c r="I14190" s="137">
        <v>302359652</v>
      </c>
    </row>
    <row r="14191" spans="1:9" x14ac:dyDescent="0.2">
      <c r="A14191" s="134">
        <v>46110</v>
      </c>
      <c r="B14191" s="135">
        <f>YEAR(source[[#This Row],[report_date]])</f>
        <v>2026</v>
      </c>
      <c r="C14191" s="128">
        <f t="shared" si="662"/>
        <v>3</v>
      </c>
      <c r="D14191" s="136">
        <f t="shared" si="664"/>
        <v>13</v>
      </c>
      <c r="E14191" s="136">
        <f t="shared" si="663"/>
        <v>29</v>
      </c>
      <c r="F14191" s="137" t="s">
        <v>24</v>
      </c>
      <c r="G14191" s="128" t="str">
        <f>VLOOKUP(source[[#This Row],[lending_product_transform]],[3]Mapping!$B$4:$C$37,2,0)</f>
        <v>[Cake] - Cashloan</v>
      </c>
      <c r="H14191" s="128" t="str">
        <f>VLOOKUP(source[[#This Row],[lending_product_transform]],[3]Mapping!$B$3:$D$37,3,0)</f>
        <v>cashloan</v>
      </c>
      <c r="I14191" s="137">
        <v>2793520000</v>
      </c>
    </row>
    <row r="14192" spans="1:9" x14ac:dyDescent="0.2">
      <c r="A14192" s="134">
        <v>46110</v>
      </c>
      <c r="B14192" s="135">
        <f>YEAR(source[[#This Row],[report_date]])</f>
        <v>2026</v>
      </c>
      <c r="C14192" s="128">
        <f t="shared" si="662"/>
        <v>3</v>
      </c>
      <c r="D14192" s="136">
        <f t="shared" si="664"/>
        <v>13</v>
      </c>
      <c r="E14192" s="136">
        <f t="shared" si="663"/>
        <v>29</v>
      </c>
      <c r="F14192" s="137" t="s">
        <v>24</v>
      </c>
      <c r="G14192" s="128" t="str">
        <f>VLOOKUP(source[[#This Row],[lending_product_transform]],[3]Mapping!$B$4:$C$37,2,0)</f>
        <v>[Cake] - Cashloan</v>
      </c>
      <c r="H14192" s="128" t="str">
        <f>VLOOKUP(source[[#This Row],[lending_product_transform]],[3]Mapping!$B$3:$D$37,3,0)</f>
        <v>cashloan</v>
      </c>
      <c r="I14192" s="137">
        <v>19440000</v>
      </c>
    </row>
    <row r="14193" spans="1:9" x14ac:dyDescent="0.2">
      <c r="A14193" s="134">
        <v>46111</v>
      </c>
      <c r="B14193" s="135">
        <f>YEAR(source[[#This Row],[report_date]])</f>
        <v>2026</v>
      </c>
      <c r="C14193" s="128">
        <f t="shared" si="662"/>
        <v>3</v>
      </c>
      <c r="D14193" s="136">
        <f t="shared" si="664"/>
        <v>14</v>
      </c>
      <c r="E14193" s="136">
        <f t="shared" si="663"/>
        <v>30</v>
      </c>
      <c r="F14193" s="137" t="s">
        <v>24</v>
      </c>
      <c r="G14193" s="128" t="str">
        <f>VLOOKUP(source[[#This Row],[lending_product_transform]],[3]Mapping!$B$4:$C$37,2,0)</f>
        <v>[Cake] - Cashloan</v>
      </c>
      <c r="H14193" s="128" t="str">
        <f>VLOOKUP(source[[#This Row],[lending_product_transform]],[3]Mapping!$B$3:$D$37,3,0)</f>
        <v>cashloan</v>
      </c>
      <c r="I14193" s="143">
        <v>993310000</v>
      </c>
    </row>
    <row r="14194" spans="1:9" x14ac:dyDescent="0.2">
      <c r="A14194" s="134">
        <v>46111</v>
      </c>
      <c r="B14194" s="135">
        <f>YEAR(source[[#This Row],[report_date]])</f>
        <v>2026</v>
      </c>
      <c r="C14194" s="128">
        <f t="shared" si="662"/>
        <v>3</v>
      </c>
      <c r="D14194" s="136">
        <f t="shared" si="664"/>
        <v>14</v>
      </c>
      <c r="E14194" s="136">
        <f t="shared" si="663"/>
        <v>30</v>
      </c>
      <c r="F14194" s="137" t="s">
        <v>24</v>
      </c>
      <c r="G14194" s="128" t="str">
        <f>VLOOKUP(source[[#This Row],[lending_product_transform]],[3]Mapping!$B$4:$C$37,2,0)</f>
        <v>[Cake] - Cashloan</v>
      </c>
      <c r="H14194" s="128" t="str">
        <f>VLOOKUP(source[[#This Row],[lending_product_transform]],[3]Mapping!$B$3:$D$37,3,0)</f>
        <v>cashloan</v>
      </c>
      <c r="I14194" s="143">
        <v>281625178</v>
      </c>
    </row>
    <row r="14195" spans="1:9" x14ac:dyDescent="0.2">
      <c r="A14195" s="134">
        <v>46111</v>
      </c>
      <c r="B14195" s="135">
        <f>YEAR(source[[#This Row],[report_date]])</f>
        <v>2026</v>
      </c>
      <c r="C14195" s="128">
        <f t="shared" si="662"/>
        <v>3</v>
      </c>
      <c r="D14195" s="136">
        <f t="shared" si="664"/>
        <v>14</v>
      </c>
      <c r="E14195" s="136">
        <f t="shared" si="663"/>
        <v>30</v>
      </c>
      <c r="F14195" s="137" t="s">
        <v>24</v>
      </c>
      <c r="G14195" s="128" t="str">
        <f>VLOOKUP(source[[#This Row],[lending_product_transform]],[3]Mapping!$B$4:$C$37,2,0)</f>
        <v>[Cake] - Cashloan</v>
      </c>
      <c r="H14195" s="128" t="str">
        <f>VLOOKUP(source[[#This Row],[lending_product_transform]],[3]Mapping!$B$3:$D$37,3,0)</f>
        <v>cashloan</v>
      </c>
      <c r="I14195" s="143">
        <v>23109140000</v>
      </c>
    </row>
    <row r="14196" spans="1:9" x14ac:dyDescent="0.2">
      <c r="A14196" s="134">
        <v>46111</v>
      </c>
      <c r="B14196" s="135">
        <f>YEAR(source[[#This Row],[report_date]])</f>
        <v>2026</v>
      </c>
      <c r="C14196" s="128">
        <f t="shared" si="662"/>
        <v>3</v>
      </c>
      <c r="D14196" s="136">
        <f t="shared" si="664"/>
        <v>14</v>
      </c>
      <c r="E14196" s="136">
        <f t="shared" si="663"/>
        <v>30</v>
      </c>
      <c r="F14196" s="137" t="s">
        <v>24</v>
      </c>
      <c r="G14196" s="128" t="str">
        <f>VLOOKUP(source[[#This Row],[lending_product_transform]],[3]Mapping!$B$4:$C$37,2,0)</f>
        <v>[Cake] - Cashloan</v>
      </c>
      <c r="H14196" s="128" t="str">
        <f>VLOOKUP(source[[#This Row],[lending_product_transform]],[3]Mapping!$B$3:$D$37,3,0)</f>
        <v>cashloan</v>
      </c>
      <c r="I14196" s="143">
        <v>2111846731</v>
      </c>
    </row>
    <row r="14197" spans="1:9" x14ac:dyDescent="0.2">
      <c r="A14197" s="134">
        <v>46111</v>
      </c>
      <c r="B14197" s="135">
        <f>YEAR(source[[#This Row],[report_date]])</f>
        <v>2026</v>
      </c>
      <c r="C14197" s="128">
        <f t="shared" si="662"/>
        <v>3</v>
      </c>
      <c r="D14197" s="136">
        <f t="shared" si="664"/>
        <v>14</v>
      </c>
      <c r="E14197" s="136">
        <f t="shared" si="663"/>
        <v>30</v>
      </c>
      <c r="F14197" s="137" t="s">
        <v>24</v>
      </c>
      <c r="G14197" s="128" t="str">
        <f>VLOOKUP(source[[#This Row],[lending_product_transform]],[3]Mapping!$B$4:$C$37,2,0)</f>
        <v>[Cake] - Cashloan</v>
      </c>
      <c r="H14197" s="128" t="str">
        <f>VLOOKUP(source[[#This Row],[lending_product_transform]],[3]Mapping!$B$3:$D$37,3,0)</f>
        <v>cashloan</v>
      </c>
      <c r="I14197" s="143">
        <v>13423212000</v>
      </c>
    </row>
    <row r="14198" spans="1:9" x14ac:dyDescent="0.2">
      <c r="A14198" s="134">
        <v>46111</v>
      </c>
      <c r="B14198" s="135">
        <f>YEAR(source[[#This Row],[report_date]])</f>
        <v>2026</v>
      </c>
      <c r="C14198" s="128">
        <f t="shared" ref="C14198:C14261" si="665">MONTH(A14198)</f>
        <v>3</v>
      </c>
      <c r="D14198" s="136">
        <f t="shared" si="664"/>
        <v>14</v>
      </c>
      <c r="E14198" s="136">
        <f t="shared" ref="E14198:E14261" si="666">DAY(A14198)</f>
        <v>30</v>
      </c>
      <c r="F14198" s="137" t="s">
        <v>24</v>
      </c>
      <c r="G14198" s="128" t="str">
        <f>VLOOKUP(source[[#This Row],[lending_product_transform]],[3]Mapping!$B$4:$C$37,2,0)</f>
        <v>[Cake] - Cashloan</v>
      </c>
      <c r="H14198" s="128" t="str">
        <f>VLOOKUP(source[[#This Row],[lending_product_transform]],[3]Mapping!$B$3:$D$37,3,0)</f>
        <v>cashloan</v>
      </c>
      <c r="I14198" s="143">
        <v>727428</v>
      </c>
    </row>
    <row r="14199" spans="1:9" x14ac:dyDescent="0.2">
      <c r="A14199" s="134">
        <v>46111</v>
      </c>
      <c r="B14199" s="135">
        <f>YEAR(source[[#This Row],[report_date]])</f>
        <v>2026</v>
      </c>
      <c r="C14199" s="128">
        <f t="shared" si="665"/>
        <v>3</v>
      </c>
      <c r="D14199" s="136">
        <f t="shared" si="664"/>
        <v>14</v>
      </c>
      <c r="E14199" s="136">
        <f t="shared" si="666"/>
        <v>30</v>
      </c>
      <c r="F14199" s="137" t="s">
        <v>24</v>
      </c>
      <c r="G14199" s="128" t="str">
        <f>VLOOKUP(source[[#This Row],[lending_product_transform]],[3]Mapping!$B$4:$C$37,2,0)</f>
        <v>[Cake] - Cashloan</v>
      </c>
      <c r="H14199" s="128" t="str">
        <f>VLOOKUP(source[[#This Row],[lending_product_transform]],[3]Mapping!$B$3:$D$37,3,0)</f>
        <v>cashloan</v>
      </c>
      <c r="I14199" s="143">
        <v>0</v>
      </c>
    </row>
    <row r="14200" spans="1:9" x14ac:dyDescent="0.2">
      <c r="A14200" s="134">
        <v>46111</v>
      </c>
      <c r="B14200" s="135">
        <f>YEAR(source[[#This Row],[report_date]])</f>
        <v>2026</v>
      </c>
      <c r="C14200" s="128">
        <f t="shared" si="665"/>
        <v>3</v>
      </c>
      <c r="D14200" s="136">
        <f t="shared" si="664"/>
        <v>14</v>
      </c>
      <c r="E14200" s="136">
        <f t="shared" si="666"/>
        <v>30</v>
      </c>
      <c r="F14200" s="137" t="s">
        <v>24</v>
      </c>
      <c r="G14200" s="128" t="str">
        <f>VLOOKUP(source[[#This Row],[lending_product_transform]],[3]Mapping!$B$4:$C$37,2,0)</f>
        <v>[Cake] - Cashloan</v>
      </c>
      <c r="H14200" s="128" t="str">
        <f>VLOOKUP(source[[#This Row],[lending_product_transform]],[3]Mapping!$B$3:$D$37,3,0)</f>
        <v>cashloan</v>
      </c>
      <c r="I14200" s="143">
        <v>2801700000</v>
      </c>
    </row>
    <row r="14201" spans="1:9" x14ac:dyDescent="0.2">
      <c r="A14201" s="134">
        <v>46111</v>
      </c>
      <c r="B14201" s="135">
        <f>YEAR(source[[#This Row],[report_date]])</f>
        <v>2026</v>
      </c>
      <c r="C14201" s="128">
        <f t="shared" si="665"/>
        <v>3</v>
      </c>
      <c r="D14201" s="136">
        <f t="shared" si="664"/>
        <v>14</v>
      </c>
      <c r="E14201" s="136">
        <f t="shared" si="666"/>
        <v>30</v>
      </c>
      <c r="F14201" s="137" t="s">
        <v>24</v>
      </c>
      <c r="G14201" s="128" t="str">
        <f>VLOOKUP(source[[#This Row],[lending_product_transform]],[3]Mapping!$B$4:$C$37,2,0)</f>
        <v>[Cake] - Cashloan</v>
      </c>
      <c r="H14201" s="128" t="str">
        <f>VLOOKUP(source[[#This Row],[lending_product_transform]],[3]Mapping!$B$3:$D$37,3,0)</f>
        <v>cashloan</v>
      </c>
      <c r="I14201" s="143">
        <v>723830000</v>
      </c>
    </row>
    <row r="14202" spans="1:9" x14ac:dyDescent="0.2">
      <c r="A14202" s="134">
        <v>46111</v>
      </c>
      <c r="B14202" s="135">
        <f>YEAR(source[[#This Row],[report_date]])</f>
        <v>2026</v>
      </c>
      <c r="C14202" s="128">
        <f t="shared" si="665"/>
        <v>3</v>
      </c>
      <c r="D14202" s="136">
        <f t="shared" si="664"/>
        <v>14</v>
      </c>
      <c r="E14202" s="136">
        <f t="shared" si="666"/>
        <v>30</v>
      </c>
      <c r="F14202" s="137" t="s">
        <v>24</v>
      </c>
      <c r="G14202" s="128" t="str">
        <f>VLOOKUP(source[[#This Row],[lending_product_transform]],[3]Mapping!$B$4:$C$37,2,0)</f>
        <v>[Cake] - Cashloan</v>
      </c>
      <c r="H14202" s="128" t="str">
        <f>VLOOKUP(source[[#This Row],[lending_product_transform]],[3]Mapping!$B$3:$D$37,3,0)</f>
        <v>cashloan</v>
      </c>
      <c r="I14202" s="143">
        <v>4213371</v>
      </c>
    </row>
    <row r="14203" spans="1:9" x14ac:dyDescent="0.2">
      <c r="A14203" s="134">
        <v>46111</v>
      </c>
      <c r="B14203" s="135">
        <f>YEAR(source[[#This Row],[report_date]])</f>
        <v>2026</v>
      </c>
      <c r="C14203" s="128">
        <f t="shared" si="665"/>
        <v>3</v>
      </c>
      <c r="D14203" s="136">
        <f t="shared" si="664"/>
        <v>14</v>
      </c>
      <c r="E14203" s="136">
        <f t="shared" si="666"/>
        <v>30</v>
      </c>
      <c r="F14203" s="137" t="s">
        <v>24</v>
      </c>
      <c r="G14203" s="128" t="str">
        <f>VLOOKUP(source[[#This Row],[lending_product_transform]],[3]Mapping!$B$4:$C$37,2,0)</f>
        <v>[Cake] - Cashloan</v>
      </c>
      <c r="H14203" s="128" t="str">
        <f>VLOOKUP(source[[#This Row],[lending_product_transform]],[3]Mapping!$B$3:$D$37,3,0)</f>
        <v>cashloan</v>
      </c>
      <c r="I14203" s="143">
        <v>699971960</v>
      </c>
    </row>
    <row r="14204" spans="1:9" x14ac:dyDescent="0.2">
      <c r="A14204" s="134">
        <v>46111</v>
      </c>
      <c r="B14204" s="135">
        <f>YEAR(source[[#This Row],[report_date]])</f>
        <v>2026</v>
      </c>
      <c r="C14204" s="128">
        <f t="shared" si="665"/>
        <v>3</v>
      </c>
      <c r="D14204" s="136">
        <f t="shared" si="664"/>
        <v>14</v>
      </c>
      <c r="E14204" s="136">
        <f t="shared" si="666"/>
        <v>30</v>
      </c>
      <c r="F14204" s="137" t="s">
        <v>24</v>
      </c>
      <c r="G14204" s="128" t="str">
        <f>VLOOKUP(source[[#This Row],[lending_product_transform]],[3]Mapping!$B$4:$C$37,2,0)</f>
        <v>[Cake] - Cashloan</v>
      </c>
      <c r="H14204" s="128" t="str">
        <f>VLOOKUP(source[[#This Row],[lending_product_transform]],[3]Mapping!$B$3:$D$37,3,0)</f>
        <v>cashloan</v>
      </c>
      <c r="I14204" s="143">
        <v>0</v>
      </c>
    </row>
    <row r="14205" spans="1:9" x14ac:dyDescent="0.2">
      <c r="A14205" s="134">
        <v>46111</v>
      </c>
      <c r="B14205" s="135">
        <f>YEAR(source[[#This Row],[report_date]])</f>
        <v>2026</v>
      </c>
      <c r="C14205" s="128">
        <f t="shared" si="665"/>
        <v>3</v>
      </c>
      <c r="D14205" s="136">
        <f t="shared" si="664"/>
        <v>14</v>
      </c>
      <c r="E14205" s="136">
        <f t="shared" si="666"/>
        <v>30</v>
      </c>
      <c r="F14205" s="137" t="s">
        <v>24</v>
      </c>
      <c r="G14205" s="128" t="str">
        <f>VLOOKUP(source[[#This Row],[lending_product_transform]],[3]Mapping!$B$4:$C$37,2,0)</f>
        <v>[Cake] - Cashloan</v>
      </c>
      <c r="H14205" s="128" t="str">
        <f>VLOOKUP(source[[#This Row],[lending_product_transform]],[3]Mapping!$B$3:$D$37,3,0)</f>
        <v>cashloan</v>
      </c>
      <c r="I14205" s="143">
        <v>56500000</v>
      </c>
    </row>
    <row r="14206" spans="1:9" x14ac:dyDescent="0.2">
      <c r="A14206" s="134">
        <v>46111</v>
      </c>
      <c r="B14206" s="135">
        <f>YEAR(source[[#This Row],[report_date]])</f>
        <v>2026</v>
      </c>
      <c r="C14206" s="128">
        <f t="shared" si="665"/>
        <v>3</v>
      </c>
      <c r="D14206" s="136">
        <f t="shared" si="664"/>
        <v>14</v>
      </c>
      <c r="E14206" s="136">
        <f t="shared" si="666"/>
        <v>30</v>
      </c>
      <c r="F14206" s="137" t="s">
        <v>24</v>
      </c>
      <c r="G14206" s="128" t="str">
        <f>VLOOKUP(source[[#This Row],[lending_product_transform]],[3]Mapping!$B$4:$C$37,2,0)</f>
        <v>[Cake] - Cashloan</v>
      </c>
      <c r="H14206" s="128" t="str">
        <f>VLOOKUP(source[[#This Row],[lending_product_transform]],[3]Mapping!$B$3:$D$37,3,0)</f>
        <v>cashloan</v>
      </c>
      <c r="I14206" s="143">
        <v>0</v>
      </c>
    </row>
    <row r="14207" spans="1:9" x14ac:dyDescent="0.2">
      <c r="A14207" s="134">
        <v>46111</v>
      </c>
      <c r="B14207" s="135">
        <f>YEAR(source[[#This Row],[report_date]])</f>
        <v>2026</v>
      </c>
      <c r="C14207" s="128">
        <f t="shared" si="665"/>
        <v>3</v>
      </c>
      <c r="D14207" s="136">
        <f t="shared" si="664"/>
        <v>14</v>
      </c>
      <c r="E14207" s="136">
        <f t="shared" si="666"/>
        <v>30</v>
      </c>
      <c r="F14207" s="137" t="s">
        <v>24</v>
      </c>
      <c r="G14207" s="128" t="str">
        <f>VLOOKUP(source[[#This Row],[lending_product_transform]],[3]Mapping!$B$4:$C$37,2,0)</f>
        <v>[Cake] - Cashloan</v>
      </c>
      <c r="H14207" s="128" t="str">
        <f>VLOOKUP(source[[#This Row],[lending_product_transform]],[3]Mapping!$B$3:$D$37,3,0)</f>
        <v>cashloan</v>
      </c>
      <c r="I14207" s="143">
        <v>17333700000</v>
      </c>
    </row>
    <row r="14208" spans="1:9" x14ac:dyDescent="0.2">
      <c r="A14208" s="134">
        <v>46111</v>
      </c>
      <c r="B14208" s="135">
        <f>YEAR(source[[#This Row],[report_date]])</f>
        <v>2026</v>
      </c>
      <c r="C14208" s="128">
        <f t="shared" si="665"/>
        <v>3</v>
      </c>
      <c r="D14208" s="136">
        <f t="shared" si="664"/>
        <v>14</v>
      </c>
      <c r="E14208" s="136">
        <f t="shared" si="666"/>
        <v>30</v>
      </c>
      <c r="F14208" s="137" t="s">
        <v>24</v>
      </c>
      <c r="G14208" s="128" t="str">
        <f>VLOOKUP(source[[#This Row],[lending_product_transform]],[3]Mapping!$B$4:$C$37,2,0)</f>
        <v>[Cake] - Cashloan</v>
      </c>
      <c r="H14208" s="128" t="str">
        <f>VLOOKUP(source[[#This Row],[lending_product_transform]],[3]Mapping!$B$3:$D$37,3,0)</f>
        <v>cashloan</v>
      </c>
      <c r="I14208" s="143">
        <v>0</v>
      </c>
    </row>
    <row r="14209" spans="1:9" x14ac:dyDescent="0.2">
      <c r="A14209" s="134">
        <v>46111</v>
      </c>
      <c r="B14209" s="135">
        <f>YEAR(source[[#This Row],[report_date]])</f>
        <v>2026</v>
      </c>
      <c r="C14209" s="128">
        <f t="shared" si="665"/>
        <v>3</v>
      </c>
      <c r="D14209" s="136">
        <f t="shared" si="664"/>
        <v>14</v>
      </c>
      <c r="E14209" s="136">
        <f t="shared" si="666"/>
        <v>30</v>
      </c>
      <c r="F14209" s="137" t="s">
        <v>24</v>
      </c>
      <c r="G14209" s="128" t="str">
        <f>VLOOKUP(source[[#This Row],[lending_product_transform]],[3]Mapping!$B$4:$C$37,2,0)</f>
        <v>[Cake] - Cashloan</v>
      </c>
      <c r="H14209" s="128" t="str">
        <f>VLOOKUP(source[[#This Row],[lending_product_transform]],[3]Mapping!$B$3:$D$37,3,0)</f>
        <v>cashloan</v>
      </c>
      <c r="I14209" s="143">
        <v>0</v>
      </c>
    </row>
    <row r="14210" spans="1:9" x14ac:dyDescent="0.2">
      <c r="A14210" s="134">
        <v>46111</v>
      </c>
      <c r="B14210" s="135">
        <f>YEAR(source[[#This Row],[report_date]])</f>
        <v>2026</v>
      </c>
      <c r="C14210" s="128">
        <f t="shared" si="665"/>
        <v>3</v>
      </c>
      <c r="D14210" s="136">
        <f t="shared" si="664"/>
        <v>14</v>
      </c>
      <c r="E14210" s="136">
        <f t="shared" si="666"/>
        <v>30</v>
      </c>
      <c r="F14210" s="137" t="s">
        <v>24</v>
      </c>
      <c r="G14210" s="128" t="str">
        <f>VLOOKUP(source[[#This Row],[lending_product_transform]],[3]Mapping!$B$4:$C$37,2,0)</f>
        <v>[Cake] - Cashloan</v>
      </c>
      <c r="H14210" s="128" t="str">
        <f>VLOOKUP(source[[#This Row],[lending_product_transform]],[3]Mapping!$B$3:$D$37,3,0)</f>
        <v>cashloan</v>
      </c>
      <c r="I14210" s="143">
        <v>0</v>
      </c>
    </row>
    <row r="14211" spans="1:9" x14ac:dyDescent="0.2">
      <c r="A14211" s="134">
        <v>46111</v>
      </c>
      <c r="B14211" s="135">
        <f>YEAR(source[[#This Row],[report_date]])</f>
        <v>2026</v>
      </c>
      <c r="C14211" s="128">
        <f t="shared" si="665"/>
        <v>3</v>
      </c>
      <c r="D14211" s="136">
        <f t="shared" si="664"/>
        <v>14</v>
      </c>
      <c r="E14211" s="136">
        <f t="shared" si="666"/>
        <v>30</v>
      </c>
      <c r="F14211" s="137" t="s">
        <v>24</v>
      </c>
      <c r="G14211" s="128" t="str">
        <f>VLOOKUP(source[[#This Row],[lending_product_transform]],[3]Mapping!$B$4:$C$37,2,0)</f>
        <v>[Cake] - Cashloan</v>
      </c>
      <c r="H14211" s="128" t="str">
        <f>VLOOKUP(source[[#This Row],[lending_product_transform]],[3]Mapping!$B$3:$D$37,3,0)</f>
        <v>cashloan</v>
      </c>
      <c r="I14211" s="143">
        <v>0</v>
      </c>
    </row>
    <row r="14212" spans="1:9" x14ac:dyDescent="0.2">
      <c r="A14212" s="134">
        <v>46111</v>
      </c>
      <c r="B14212" s="135">
        <f>YEAR(source[[#This Row],[report_date]])</f>
        <v>2026</v>
      </c>
      <c r="C14212" s="128">
        <f t="shared" si="665"/>
        <v>3</v>
      </c>
      <c r="D14212" s="136">
        <f t="shared" si="664"/>
        <v>14</v>
      </c>
      <c r="E14212" s="136">
        <f t="shared" si="666"/>
        <v>30</v>
      </c>
      <c r="F14212" s="137" t="s">
        <v>24</v>
      </c>
      <c r="G14212" s="128" t="str">
        <f>VLOOKUP(source[[#This Row],[lending_product_transform]],[3]Mapping!$B$4:$C$37,2,0)</f>
        <v>[Cake] - Cashloan</v>
      </c>
      <c r="H14212" s="128" t="str">
        <f>VLOOKUP(source[[#This Row],[lending_product_transform]],[3]Mapping!$B$3:$D$37,3,0)</f>
        <v>cashloan</v>
      </c>
      <c r="I14212" s="143">
        <v>10073808000</v>
      </c>
    </row>
    <row r="14213" spans="1:9" x14ac:dyDescent="0.2">
      <c r="A14213" s="134">
        <v>46111</v>
      </c>
      <c r="B14213" s="135">
        <f>YEAR(source[[#This Row],[report_date]])</f>
        <v>2026</v>
      </c>
      <c r="C14213" s="128">
        <f t="shared" si="665"/>
        <v>3</v>
      </c>
      <c r="D14213" s="136">
        <f t="shared" si="664"/>
        <v>14</v>
      </c>
      <c r="E14213" s="136">
        <f t="shared" si="666"/>
        <v>30</v>
      </c>
      <c r="F14213" s="137" t="s">
        <v>24</v>
      </c>
      <c r="G14213" s="128" t="str">
        <f>VLOOKUP(source[[#This Row],[lending_product_transform]],[3]Mapping!$B$4:$C$37,2,0)</f>
        <v>[Cake] - Cashloan</v>
      </c>
      <c r="H14213" s="128" t="str">
        <f>VLOOKUP(source[[#This Row],[lending_product_transform]],[3]Mapping!$B$3:$D$37,3,0)</f>
        <v>cashloan</v>
      </c>
      <c r="I14213" s="143">
        <v>152400733</v>
      </c>
    </row>
    <row r="14214" spans="1:9" x14ac:dyDescent="0.2">
      <c r="A14214" s="134">
        <v>46111</v>
      </c>
      <c r="B14214" s="135">
        <f>YEAR(source[[#This Row],[report_date]])</f>
        <v>2026</v>
      </c>
      <c r="C14214" s="128">
        <f t="shared" si="665"/>
        <v>3</v>
      </c>
      <c r="D14214" s="136">
        <f t="shared" si="664"/>
        <v>14</v>
      </c>
      <c r="E14214" s="136">
        <f t="shared" si="666"/>
        <v>30</v>
      </c>
      <c r="F14214" s="137" t="s">
        <v>24</v>
      </c>
      <c r="G14214" s="128" t="str">
        <f>VLOOKUP(source[[#This Row],[lending_product_transform]],[3]Mapping!$B$4:$C$37,2,0)</f>
        <v>[Cake] - Cashloan</v>
      </c>
      <c r="H14214" s="128" t="str">
        <f>VLOOKUP(source[[#This Row],[lending_product_transform]],[3]Mapping!$B$3:$D$37,3,0)</f>
        <v>cashloan</v>
      </c>
      <c r="I14214" s="143">
        <v>42000000</v>
      </c>
    </row>
    <row r="14215" spans="1:9" x14ac:dyDescent="0.2">
      <c r="A14215" s="134">
        <v>46111</v>
      </c>
      <c r="B14215" s="135">
        <f>YEAR(source[[#This Row],[report_date]])</f>
        <v>2026</v>
      </c>
      <c r="C14215" s="128">
        <f t="shared" si="665"/>
        <v>3</v>
      </c>
      <c r="D14215" s="136">
        <f t="shared" si="664"/>
        <v>14</v>
      </c>
      <c r="E14215" s="136">
        <f t="shared" si="666"/>
        <v>30</v>
      </c>
      <c r="F14215" s="137" t="s">
        <v>24</v>
      </c>
      <c r="G14215" s="128" t="str">
        <f>VLOOKUP(source[[#This Row],[lending_product_transform]],[3]Mapping!$B$4:$C$37,2,0)</f>
        <v>[Cake] - Cashloan</v>
      </c>
      <c r="H14215" s="128" t="str">
        <f>VLOOKUP(source[[#This Row],[lending_product_transform]],[3]Mapping!$B$3:$D$37,3,0)</f>
        <v>cashloan</v>
      </c>
      <c r="I14215" s="143">
        <v>69000000</v>
      </c>
    </row>
    <row r="14216" spans="1:9" x14ac:dyDescent="0.2">
      <c r="A14216" s="134">
        <v>46111</v>
      </c>
      <c r="B14216" s="135">
        <f>YEAR(source[[#This Row],[report_date]])</f>
        <v>2026</v>
      </c>
      <c r="C14216" s="128">
        <f t="shared" si="665"/>
        <v>3</v>
      </c>
      <c r="D14216" s="136">
        <f t="shared" si="664"/>
        <v>14</v>
      </c>
      <c r="E14216" s="136">
        <f t="shared" si="666"/>
        <v>30</v>
      </c>
      <c r="F14216" s="137" t="s">
        <v>24</v>
      </c>
      <c r="G14216" s="128" t="str">
        <f>VLOOKUP(source[[#This Row],[lending_product_transform]],[3]Mapping!$B$4:$C$37,2,0)</f>
        <v>[Cake] - Cashloan</v>
      </c>
      <c r="H14216" s="128" t="str">
        <f>VLOOKUP(source[[#This Row],[lending_product_transform]],[3]Mapping!$B$3:$D$37,3,0)</f>
        <v>cashloan</v>
      </c>
      <c r="I14216" s="143">
        <v>815880000</v>
      </c>
    </row>
    <row r="14217" spans="1:9" x14ac:dyDescent="0.2">
      <c r="A14217" s="134">
        <v>46111</v>
      </c>
      <c r="B14217" s="135">
        <f>YEAR(source[[#This Row],[report_date]])</f>
        <v>2026</v>
      </c>
      <c r="C14217" s="128">
        <f t="shared" si="665"/>
        <v>3</v>
      </c>
      <c r="D14217" s="136">
        <f t="shared" si="664"/>
        <v>14</v>
      </c>
      <c r="E14217" s="136">
        <f t="shared" si="666"/>
        <v>30</v>
      </c>
      <c r="F14217" s="137" t="s">
        <v>24</v>
      </c>
      <c r="G14217" s="128" t="str">
        <f>VLOOKUP(source[[#This Row],[lending_product_transform]],[3]Mapping!$B$4:$C$37,2,0)</f>
        <v>[Cake] - Cashloan</v>
      </c>
      <c r="H14217" s="128" t="str">
        <f>VLOOKUP(source[[#This Row],[lending_product_transform]],[3]Mapping!$B$3:$D$37,3,0)</f>
        <v>cashloan</v>
      </c>
      <c r="I14217" s="143">
        <v>290844000</v>
      </c>
    </row>
    <row r="14218" spans="1:9" x14ac:dyDescent="0.2">
      <c r="A14218" s="134">
        <v>46111</v>
      </c>
      <c r="B14218" s="135">
        <f>YEAR(source[[#This Row],[report_date]])</f>
        <v>2026</v>
      </c>
      <c r="C14218" s="128">
        <f t="shared" si="665"/>
        <v>3</v>
      </c>
      <c r="D14218" s="136">
        <f t="shared" si="664"/>
        <v>14</v>
      </c>
      <c r="E14218" s="136">
        <f t="shared" si="666"/>
        <v>30</v>
      </c>
      <c r="F14218" s="137" t="s">
        <v>24</v>
      </c>
      <c r="G14218" s="128" t="str">
        <f>VLOOKUP(source[[#This Row],[lending_product_transform]],[3]Mapping!$B$4:$C$37,2,0)</f>
        <v>[Cake] - Cashloan</v>
      </c>
      <c r="H14218" s="128" t="str">
        <f>VLOOKUP(source[[#This Row],[lending_product_transform]],[3]Mapping!$B$3:$D$37,3,0)</f>
        <v>cashloan</v>
      </c>
      <c r="I14218" s="143">
        <v>406227567</v>
      </c>
    </row>
    <row r="14219" spans="1:9" x14ac:dyDescent="0.2">
      <c r="A14219" s="134">
        <v>46111</v>
      </c>
      <c r="B14219" s="135">
        <f>YEAR(source[[#This Row],[report_date]])</f>
        <v>2026</v>
      </c>
      <c r="C14219" s="128">
        <f t="shared" si="665"/>
        <v>3</v>
      </c>
      <c r="D14219" s="136">
        <f t="shared" si="664"/>
        <v>14</v>
      </c>
      <c r="E14219" s="136">
        <f t="shared" si="666"/>
        <v>30</v>
      </c>
      <c r="F14219" s="137" t="s">
        <v>24</v>
      </c>
      <c r="G14219" s="128" t="str">
        <f>VLOOKUP(source[[#This Row],[lending_product_transform]],[3]Mapping!$B$4:$C$37,2,0)</f>
        <v>[Cake] - Cashloan</v>
      </c>
      <c r="H14219" s="128" t="str">
        <f>VLOOKUP(source[[#This Row],[lending_product_transform]],[3]Mapping!$B$3:$D$37,3,0)</f>
        <v>cashloan</v>
      </c>
      <c r="I14219" s="143">
        <v>3728950000</v>
      </c>
    </row>
    <row r="14220" spans="1:9" x14ac:dyDescent="0.2">
      <c r="A14220" s="134">
        <v>46111</v>
      </c>
      <c r="B14220" s="135">
        <f>YEAR(source[[#This Row],[report_date]])</f>
        <v>2026</v>
      </c>
      <c r="C14220" s="128">
        <f t="shared" si="665"/>
        <v>3</v>
      </c>
      <c r="D14220" s="136">
        <f t="shared" si="664"/>
        <v>14</v>
      </c>
      <c r="E14220" s="136">
        <f t="shared" si="666"/>
        <v>30</v>
      </c>
      <c r="F14220" s="137" t="s">
        <v>24</v>
      </c>
      <c r="G14220" s="128" t="str">
        <f>VLOOKUP(source[[#This Row],[lending_product_transform]],[3]Mapping!$B$4:$C$37,2,0)</f>
        <v>[Cake] - Cashloan</v>
      </c>
      <c r="H14220" s="128" t="str">
        <f>VLOOKUP(source[[#This Row],[lending_product_transform]],[3]Mapping!$B$3:$D$37,3,0)</f>
        <v>cashloan</v>
      </c>
      <c r="I14220" s="143">
        <v>2160000</v>
      </c>
    </row>
    <row r="14221" spans="1:9" x14ac:dyDescent="0.2">
      <c r="A14221" s="134">
        <v>46112</v>
      </c>
      <c r="B14221" s="135">
        <f>YEAR(source[[#This Row],[report_date]])</f>
        <v>2026</v>
      </c>
      <c r="C14221" s="128">
        <f t="shared" si="665"/>
        <v>3</v>
      </c>
      <c r="D14221" s="136">
        <f t="shared" si="664"/>
        <v>14</v>
      </c>
      <c r="E14221" s="136">
        <f t="shared" si="666"/>
        <v>31</v>
      </c>
      <c r="F14221" s="137" t="s">
        <v>24</v>
      </c>
      <c r="G14221" s="128" t="str">
        <f>VLOOKUP(source[[#This Row],[lending_product_transform]],[3]Mapping!$B$4:$C$37,2,0)</f>
        <v>[Cake] - Cashloan</v>
      </c>
      <c r="H14221" s="128" t="str">
        <f>VLOOKUP(source[[#This Row],[lending_product_transform]],[3]Mapping!$B$3:$D$37,3,0)</f>
        <v>cashloan</v>
      </c>
      <c r="I14221" s="143">
        <v>494560000</v>
      </c>
    </row>
    <row r="14222" spans="1:9" x14ac:dyDescent="0.2">
      <c r="A14222" s="134">
        <v>46112</v>
      </c>
      <c r="B14222" s="135">
        <f>YEAR(source[[#This Row],[report_date]])</f>
        <v>2026</v>
      </c>
      <c r="C14222" s="128">
        <f t="shared" si="665"/>
        <v>3</v>
      </c>
      <c r="D14222" s="136">
        <f t="shared" si="664"/>
        <v>14</v>
      </c>
      <c r="E14222" s="136">
        <f t="shared" si="666"/>
        <v>31</v>
      </c>
      <c r="F14222" s="137" t="s">
        <v>24</v>
      </c>
      <c r="G14222" s="128" t="str">
        <f>VLOOKUP(source[[#This Row],[lending_product_transform]],[3]Mapping!$B$4:$C$37,2,0)</f>
        <v>[Cake] - Cashloan</v>
      </c>
      <c r="H14222" s="128" t="str">
        <f>VLOOKUP(source[[#This Row],[lending_product_transform]],[3]Mapping!$B$3:$D$37,3,0)</f>
        <v>cashloan</v>
      </c>
      <c r="I14222" s="143">
        <v>278192946</v>
      </c>
    </row>
    <row r="14223" spans="1:9" x14ac:dyDescent="0.2">
      <c r="A14223" s="134">
        <v>46112</v>
      </c>
      <c r="B14223" s="135">
        <f>YEAR(source[[#This Row],[report_date]])</f>
        <v>2026</v>
      </c>
      <c r="C14223" s="128">
        <f t="shared" si="665"/>
        <v>3</v>
      </c>
      <c r="D14223" s="136">
        <f t="shared" si="664"/>
        <v>14</v>
      </c>
      <c r="E14223" s="136">
        <f t="shared" si="666"/>
        <v>31</v>
      </c>
      <c r="F14223" s="137" t="s">
        <v>24</v>
      </c>
      <c r="G14223" s="128" t="str">
        <f>VLOOKUP(source[[#This Row],[lending_product_transform]],[3]Mapping!$B$4:$C$37,2,0)</f>
        <v>[Cake] - Cashloan</v>
      </c>
      <c r="H14223" s="128" t="str">
        <f>VLOOKUP(source[[#This Row],[lending_product_transform]],[3]Mapping!$B$3:$D$37,3,0)</f>
        <v>cashloan</v>
      </c>
      <c r="I14223" s="143">
        <v>21130850000</v>
      </c>
    </row>
    <row r="14224" spans="1:9" x14ac:dyDescent="0.2">
      <c r="A14224" s="134">
        <v>46112</v>
      </c>
      <c r="B14224" s="135">
        <f>YEAR(source[[#This Row],[report_date]])</f>
        <v>2026</v>
      </c>
      <c r="C14224" s="128">
        <f t="shared" si="665"/>
        <v>3</v>
      </c>
      <c r="D14224" s="136">
        <f t="shared" si="664"/>
        <v>14</v>
      </c>
      <c r="E14224" s="136">
        <f t="shared" si="666"/>
        <v>31</v>
      </c>
      <c r="F14224" s="137" t="s">
        <v>24</v>
      </c>
      <c r="G14224" s="128" t="str">
        <f>VLOOKUP(source[[#This Row],[lending_product_transform]],[3]Mapping!$B$4:$C$37,2,0)</f>
        <v>[Cake] - Cashloan</v>
      </c>
      <c r="H14224" s="128" t="str">
        <f>VLOOKUP(source[[#This Row],[lending_product_transform]],[3]Mapping!$B$3:$D$37,3,0)</f>
        <v>cashloan</v>
      </c>
      <c r="I14224" s="143">
        <v>1650036262</v>
      </c>
    </row>
    <row r="14225" spans="1:9" x14ac:dyDescent="0.2">
      <c r="A14225" s="134">
        <v>46112</v>
      </c>
      <c r="B14225" s="135">
        <f>YEAR(source[[#This Row],[report_date]])</f>
        <v>2026</v>
      </c>
      <c r="C14225" s="128">
        <f t="shared" si="665"/>
        <v>3</v>
      </c>
      <c r="D14225" s="136">
        <f t="shared" ref="D14225:D14288" si="667">WEEKNUM(A14225,2)</f>
        <v>14</v>
      </c>
      <c r="E14225" s="136">
        <f t="shared" si="666"/>
        <v>31</v>
      </c>
      <c r="F14225" s="137" t="s">
        <v>24</v>
      </c>
      <c r="G14225" s="128" t="str">
        <f>VLOOKUP(source[[#This Row],[lending_product_transform]],[3]Mapping!$B$4:$C$37,2,0)</f>
        <v>[Cake] - Cashloan</v>
      </c>
      <c r="H14225" s="128" t="str">
        <f>VLOOKUP(source[[#This Row],[lending_product_transform]],[3]Mapping!$B$3:$D$37,3,0)</f>
        <v>cashloan</v>
      </c>
      <c r="I14225" s="143">
        <v>14102100000</v>
      </c>
    </row>
    <row r="14226" spans="1:9" x14ac:dyDescent="0.2">
      <c r="A14226" s="134">
        <v>46112</v>
      </c>
      <c r="B14226" s="135">
        <f>YEAR(source[[#This Row],[report_date]])</f>
        <v>2026</v>
      </c>
      <c r="C14226" s="128">
        <f t="shared" si="665"/>
        <v>3</v>
      </c>
      <c r="D14226" s="136">
        <f t="shared" si="667"/>
        <v>14</v>
      </c>
      <c r="E14226" s="136">
        <f t="shared" si="666"/>
        <v>31</v>
      </c>
      <c r="F14226" s="137" t="s">
        <v>24</v>
      </c>
      <c r="G14226" s="128" t="str">
        <f>VLOOKUP(source[[#This Row],[lending_product_transform]],[3]Mapping!$B$4:$C$37,2,0)</f>
        <v>[Cake] - Cashloan</v>
      </c>
      <c r="H14226" s="128" t="str">
        <f>VLOOKUP(source[[#This Row],[lending_product_transform]],[3]Mapping!$B$3:$D$37,3,0)</f>
        <v>cashloan</v>
      </c>
      <c r="I14226" s="143">
        <v>3835390</v>
      </c>
    </row>
    <row r="14227" spans="1:9" x14ac:dyDescent="0.2">
      <c r="A14227" s="134">
        <v>46112</v>
      </c>
      <c r="B14227" s="135">
        <f>YEAR(source[[#This Row],[report_date]])</f>
        <v>2026</v>
      </c>
      <c r="C14227" s="128">
        <f t="shared" si="665"/>
        <v>3</v>
      </c>
      <c r="D14227" s="136">
        <f t="shared" si="667"/>
        <v>14</v>
      </c>
      <c r="E14227" s="136">
        <f t="shared" si="666"/>
        <v>31</v>
      </c>
      <c r="F14227" s="137" t="s">
        <v>24</v>
      </c>
      <c r="G14227" s="128" t="str">
        <f>VLOOKUP(source[[#This Row],[lending_product_transform]],[3]Mapping!$B$4:$C$37,2,0)</f>
        <v>[Cake] - Cashloan</v>
      </c>
      <c r="H14227" s="128" t="str">
        <f>VLOOKUP(source[[#This Row],[lending_product_transform]],[3]Mapping!$B$3:$D$37,3,0)</f>
        <v>cashloan</v>
      </c>
      <c r="I14227" s="143">
        <v>0</v>
      </c>
    </row>
    <row r="14228" spans="1:9" x14ac:dyDescent="0.2">
      <c r="A14228" s="134">
        <v>46112</v>
      </c>
      <c r="B14228" s="135">
        <f>YEAR(source[[#This Row],[report_date]])</f>
        <v>2026</v>
      </c>
      <c r="C14228" s="128">
        <f t="shared" si="665"/>
        <v>3</v>
      </c>
      <c r="D14228" s="136">
        <f t="shared" si="667"/>
        <v>14</v>
      </c>
      <c r="E14228" s="136">
        <f t="shared" si="666"/>
        <v>31</v>
      </c>
      <c r="F14228" s="137" t="s">
        <v>24</v>
      </c>
      <c r="G14228" s="128" t="str">
        <f>VLOOKUP(source[[#This Row],[lending_product_transform]],[3]Mapping!$B$4:$C$37,2,0)</f>
        <v>[Cake] - Cashloan</v>
      </c>
      <c r="H14228" s="128" t="str">
        <f>VLOOKUP(source[[#This Row],[lending_product_transform]],[3]Mapping!$B$3:$D$37,3,0)</f>
        <v>cashloan</v>
      </c>
      <c r="I14228" s="143">
        <v>2271050000</v>
      </c>
    </row>
    <row r="14229" spans="1:9" x14ac:dyDescent="0.2">
      <c r="A14229" s="134">
        <v>46112</v>
      </c>
      <c r="B14229" s="135">
        <f>YEAR(source[[#This Row],[report_date]])</f>
        <v>2026</v>
      </c>
      <c r="C14229" s="128">
        <f t="shared" si="665"/>
        <v>3</v>
      </c>
      <c r="D14229" s="136">
        <f t="shared" si="667"/>
        <v>14</v>
      </c>
      <c r="E14229" s="136">
        <f t="shared" si="666"/>
        <v>31</v>
      </c>
      <c r="F14229" s="137" t="s">
        <v>24</v>
      </c>
      <c r="G14229" s="128" t="str">
        <f>VLOOKUP(source[[#This Row],[lending_product_transform]],[3]Mapping!$B$4:$C$37,2,0)</f>
        <v>[Cake] - Cashloan</v>
      </c>
      <c r="H14229" s="128" t="str">
        <f>VLOOKUP(source[[#This Row],[lending_product_transform]],[3]Mapping!$B$3:$D$37,3,0)</f>
        <v>cashloan</v>
      </c>
      <c r="I14229" s="143">
        <v>765370000</v>
      </c>
    </row>
    <row r="14230" spans="1:9" x14ac:dyDescent="0.2">
      <c r="A14230" s="134">
        <v>46112</v>
      </c>
      <c r="B14230" s="135">
        <f>YEAR(source[[#This Row],[report_date]])</f>
        <v>2026</v>
      </c>
      <c r="C14230" s="128">
        <f t="shared" si="665"/>
        <v>3</v>
      </c>
      <c r="D14230" s="136">
        <f t="shared" si="667"/>
        <v>14</v>
      </c>
      <c r="E14230" s="136">
        <f t="shared" si="666"/>
        <v>31</v>
      </c>
      <c r="F14230" s="137" t="s">
        <v>24</v>
      </c>
      <c r="G14230" s="128" t="str">
        <f>VLOOKUP(source[[#This Row],[lending_product_transform]],[3]Mapping!$B$4:$C$37,2,0)</f>
        <v>[Cake] - Cashloan</v>
      </c>
      <c r="H14230" s="128" t="str">
        <f>VLOOKUP(source[[#This Row],[lending_product_transform]],[3]Mapping!$B$3:$D$37,3,0)</f>
        <v>cashloan</v>
      </c>
      <c r="I14230" s="143">
        <v>9824710</v>
      </c>
    </row>
    <row r="14231" spans="1:9" x14ac:dyDescent="0.2">
      <c r="A14231" s="134">
        <v>46112</v>
      </c>
      <c r="B14231" s="135">
        <f>YEAR(source[[#This Row],[report_date]])</f>
        <v>2026</v>
      </c>
      <c r="C14231" s="128">
        <f t="shared" si="665"/>
        <v>3</v>
      </c>
      <c r="D14231" s="136">
        <f t="shared" si="667"/>
        <v>14</v>
      </c>
      <c r="E14231" s="136">
        <f t="shared" si="666"/>
        <v>31</v>
      </c>
      <c r="F14231" s="137" t="s">
        <v>24</v>
      </c>
      <c r="G14231" s="128" t="str">
        <f>VLOOKUP(source[[#This Row],[lending_product_transform]],[3]Mapping!$B$4:$C$37,2,0)</f>
        <v>[Cake] - Cashloan</v>
      </c>
      <c r="H14231" s="128" t="str">
        <f>VLOOKUP(source[[#This Row],[lending_product_transform]],[3]Mapping!$B$3:$D$37,3,0)</f>
        <v>cashloan</v>
      </c>
      <c r="I14231" s="143">
        <v>736425134</v>
      </c>
    </row>
    <row r="14232" spans="1:9" x14ac:dyDescent="0.2">
      <c r="A14232" s="134">
        <v>46112</v>
      </c>
      <c r="B14232" s="135">
        <f>YEAR(source[[#This Row],[report_date]])</f>
        <v>2026</v>
      </c>
      <c r="C14232" s="128">
        <f t="shared" si="665"/>
        <v>3</v>
      </c>
      <c r="D14232" s="136">
        <f t="shared" si="667"/>
        <v>14</v>
      </c>
      <c r="E14232" s="136">
        <f t="shared" si="666"/>
        <v>31</v>
      </c>
      <c r="F14232" s="137" t="s">
        <v>24</v>
      </c>
      <c r="G14232" s="128" t="str">
        <f>VLOOKUP(source[[#This Row],[lending_product_transform]],[3]Mapping!$B$4:$C$37,2,0)</f>
        <v>[Cake] - Cashloan</v>
      </c>
      <c r="H14232" s="128" t="str">
        <f>VLOOKUP(source[[#This Row],[lending_product_transform]],[3]Mapping!$B$3:$D$37,3,0)</f>
        <v>cashloan</v>
      </c>
      <c r="I14232" s="143">
        <v>0</v>
      </c>
    </row>
    <row r="14233" spans="1:9" x14ac:dyDescent="0.2">
      <c r="A14233" s="134">
        <v>46112</v>
      </c>
      <c r="B14233" s="135">
        <f>YEAR(source[[#This Row],[report_date]])</f>
        <v>2026</v>
      </c>
      <c r="C14233" s="128">
        <f t="shared" si="665"/>
        <v>3</v>
      </c>
      <c r="D14233" s="136">
        <f t="shared" si="667"/>
        <v>14</v>
      </c>
      <c r="E14233" s="136">
        <f t="shared" si="666"/>
        <v>31</v>
      </c>
      <c r="F14233" s="137" t="s">
        <v>24</v>
      </c>
      <c r="G14233" s="128" t="str">
        <f>VLOOKUP(source[[#This Row],[lending_product_transform]],[3]Mapping!$B$4:$C$37,2,0)</f>
        <v>[Cake] - Cashloan</v>
      </c>
      <c r="H14233" s="128" t="str">
        <f>VLOOKUP(source[[#This Row],[lending_product_transform]],[3]Mapping!$B$3:$D$37,3,0)</f>
        <v>cashloan</v>
      </c>
      <c r="I14233" s="143">
        <v>61000000</v>
      </c>
    </row>
    <row r="14234" spans="1:9" x14ac:dyDescent="0.2">
      <c r="A14234" s="134">
        <v>46112</v>
      </c>
      <c r="B14234" s="135">
        <f>YEAR(source[[#This Row],[report_date]])</f>
        <v>2026</v>
      </c>
      <c r="C14234" s="128">
        <f t="shared" si="665"/>
        <v>3</v>
      </c>
      <c r="D14234" s="136">
        <f t="shared" si="667"/>
        <v>14</v>
      </c>
      <c r="E14234" s="136">
        <f t="shared" si="666"/>
        <v>31</v>
      </c>
      <c r="F14234" s="137" t="s">
        <v>24</v>
      </c>
      <c r="G14234" s="128" t="str">
        <f>VLOOKUP(source[[#This Row],[lending_product_transform]],[3]Mapping!$B$4:$C$37,2,0)</f>
        <v>[Cake] - Cashloan</v>
      </c>
      <c r="H14234" s="128" t="str">
        <f>VLOOKUP(source[[#This Row],[lending_product_transform]],[3]Mapping!$B$3:$D$37,3,0)</f>
        <v>cashloan</v>
      </c>
      <c r="I14234" s="143">
        <v>0</v>
      </c>
    </row>
    <row r="14235" spans="1:9" x14ac:dyDescent="0.2">
      <c r="A14235" s="134">
        <v>46112</v>
      </c>
      <c r="B14235" s="135">
        <f>YEAR(source[[#This Row],[report_date]])</f>
        <v>2026</v>
      </c>
      <c r="C14235" s="128">
        <f t="shared" si="665"/>
        <v>3</v>
      </c>
      <c r="D14235" s="136">
        <f t="shared" si="667"/>
        <v>14</v>
      </c>
      <c r="E14235" s="136">
        <f t="shared" si="666"/>
        <v>31</v>
      </c>
      <c r="F14235" s="137" t="s">
        <v>24</v>
      </c>
      <c r="G14235" s="128" t="str">
        <f>VLOOKUP(source[[#This Row],[lending_product_transform]],[3]Mapping!$B$4:$C$37,2,0)</f>
        <v>[Cake] - Cashloan</v>
      </c>
      <c r="H14235" s="128" t="str">
        <f>VLOOKUP(source[[#This Row],[lending_product_transform]],[3]Mapping!$B$3:$D$37,3,0)</f>
        <v>cashloan</v>
      </c>
      <c r="I14235" s="143">
        <v>16357500000</v>
      </c>
    </row>
    <row r="14236" spans="1:9" x14ac:dyDescent="0.2">
      <c r="A14236" s="134">
        <v>46112</v>
      </c>
      <c r="B14236" s="135">
        <f>YEAR(source[[#This Row],[report_date]])</f>
        <v>2026</v>
      </c>
      <c r="C14236" s="128">
        <f t="shared" si="665"/>
        <v>3</v>
      </c>
      <c r="D14236" s="136">
        <f t="shared" si="667"/>
        <v>14</v>
      </c>
      <c r="E14236" s="136">
        <f t="shared" si="666"/>
        <v>31</v>
      </c>
      <c r="F14236" s="137" t="s">
        <v>24</v>
      </c>
      <c r="G14236" s="128" t="str">
        <f>VLOOKUP(source[[#This Row],[lending_product_transform]],[3]Mapping!$B$4:$C$37,2,0)</f>
        <v>[Cake] - Cashloan</v>
      </c>
      <c r="H14236" s="128" t="str">
        <f>VLOOKUP(source[[#This Row],[lending_product_transform]],[3]Mapping!$B$3:$D$37,3,0)</f>
        <v>cashloan</v>
      </c>
      <c r="I14236" s="143">
        <v>0</v>
      </c>
    </row>
    <row r="14237" spans="1:9" x14ac:dyDescent="0.2">
      <c r="A14237" s="134">
        <v>46112</v>
      </c>
      <c r="B14237" s="135">
        <f>YEAR(source[[#This Row],[report_date]])</f>
        <v>2026</v>
      </c>
      <c r="C14237" s="128">
        <f t="shared" si="665"/>
        <v>3</v>
      </c>
      <c r="D14237" s="136">
        <f t="shared" si="667"/>
        <v>14</v>
      </c>
      <c r="E14237" s="136">
        <f t="shared" si="666"/>
        <v>31</v>
      </c>
      <c r="F14237" s="137" t="s">
        <v>24</v>
      </c>
      <c r="G14237" s="128" t="str">
        <f>VLOOKUP(source[[#This Row],[lending_product_transform]],[3]Mapping!$B$4:$C$37,2,0)</f>
        <v>[Cake] - Cashloan</v>
      </c>
      <c r="H14237" s="128" t="str">
        <f>VLOOKUP(source[[#This Row],[lending_product_transform]],[3]Mapping!$B$3:$D$37,3,0)</f>
        <v>cashloan</v>
      </c>
      <c r="I14237" s="143">
        <v>0</v>
      </c>
    </row>
    <row r="14238" spans="1:9" x14ac:dyDescent="0.2">
      <c r="A14238" s="134">
        <v>46112</v>
      </c>
      <c r="B14238" s="135">
        <f>YEAR(source[[#This Row],[report_date]])</f>
        <v>2026</v>
      </c>
      <c r="C14238" s="128">
        <f t="shared" si="665"/>
        <v>3</v>
      </c>
      <c r="D14238" s="136">
        <f t="shared" si="667"/>
        <v>14</v>
      </c>
      <c r="E14238" s="136">
        <f t="shared" si="666"/>
        <v>31</v>
      </c>
      <c r="F14238" s="137" t="s">
        <v>24</v>
      </c>
      <c r="G14238" s="128" t="str">
        <f>VLOOKUP(source[[#This Row],[lending_product_transform]],[3]Mapping!$B$4:$C$37,2,0)</f>
        <v>[Cake] - Cashloan</v>
      </c>
      <c r="H14238" s="128" t="str">
        <f>VLOOKUP(source[[#This Row],[lending_product_transform]],[3]Mapping!$B$3:$D$37,3,0)</f>
        <v>cashloan</v>
      </c>
      <c r="I14238" s="143">
        <v>0</v>
      </c>
    </row>
    <row r="14239" spans="1:9" x14ac:dyDescent="0.2">
      <c r="A14239" s="134">
        <v>46112</v>
      </c>
      <c r="B14239" s="135">
        <f>YEAR(source[[#This Row],[report_date]])</f>
        <v>2026</v>
      </c>
      <c r="C14239" s="128">
        <f t="shared" si="665"/>
        <v>3</v>
      </c>
      <c r="D14239" s="136">
        <f t="shared" si="667"/>
        <v>14</v>
      </c>
      <c r="E14239" s="136">
        <f t="shared" si="666"/>
        <v>31</v>
      </c>
      <c r="F14239" s="137" t="s">
        <v>24</v>
      </c>
      <c r="G14239" s="128" t="str">
        <f>VLOOKUP(source[[#This Row],[lending_product_transform]],[3]Mapping!$B$4:$C$37,2,0)</f>
        <v>[Cake] - Cashloan</v>
      </c>
      <c r="H14239" s="128" t="str">
        <f>VLOOKUP(source[[#This Row],[lending_product_transform]],[3]Mapping!$B$3:$D$37,3,0)</f>
        <v>cashloan</v>
      </c>
      <c r="I14239" s="143">
        <v>0</v>
      </c>
    </row>
    <row r="14240" spans="1:9" x14ac:dyDescent="0.2">
      <c r="A14240" s="134">
        <v>46112</v>
      </c>
      <c r="B14240" s="135">
        <f>YEAR(source[[#This Row],[report_date]])</f>
        <v>2026</v>
      </c>
      <c r="C14240" s="128">
        <f t="shared" si="665"/>
        <v>3</v>
      </c>
      <c r="D14240" s="136">
        <f t="shared" si="667"/>
        <v>14</v>
      </c>
      <c r="E14240" s="136">
        <f t="shared" si="666"/>
        <v>31</v>
      </c>
      <c r="F14240" s="137" t="s">
        <v>24</v>
      </c>
      <c r="G14240" s="128" t="str">
        <f>VLOOKUP(source[[#This Row],[lending_product_transform]],[3]Mapping!$B$4:$C$37,2,0)</f>
        <v>[Cake] - Cashloan</v>
      </c>
      <c r="H14240" s="128" t="str">
        <f>VLOOKUP(source[[#This Row],[lending_product_transform]],[3]Mapping!$B$3:$D$37,3,0)</f>
        <v>cashloan</v>
      </c>
      <c r="I14240" s="143">
        <v>10811772000</v>
      </c>
    </row>
    <row r="14241" spans="1:9" x14ac:dyDescent="0.2">
      <c r="A14241" s="134">
        <v>46112</v>
      </c>
      <c r="B14241" s="135">
        <f>YEAR(source[[#This Row],[report_date]])</f>
        <v>2026</v>
      </c>
      <c r="C14241" s="128">
        <f t="shared" si="665"/>
        <v>3</v>
      </c>
      <c r="D14241" s="136">
        <f t="shared" si="667"/>
        <v>14</v>
      </c>
      <c r="E14241" s="136">
        <f t="shared" si="666"/>
        <v>31</v>
      </c>
      <c r="F14241" s="137" t="s">
        <v>24</v>
      </c>
      <c r="G14241" s="128" t="str">
        <f>VLOOKUP(source[[#This Row],[lending_product_transform]],[3]Mapping!$B$4:$C$37,2,0)</f>
        <v>[Cake] - Cashloan</v>
      </c>
      <c r="H14241" s="128" t="str">
        <f>VLOOKUP(source[[#This Row],[lending_product_transform]],[3]Mapping!$B$3:$D$37,3,0)</f>
        <v>cashloan</v>
      </c>
      <c r="I14241" s="143">
        <v>148977859</v>
      </c>
    </row>
    <row r="14242" spans="1:9" x14ac:dyDescent="0.2">
      <c r="A14242" s="134">
        <v>46112</v>
      </c>
      <c r="B14242" s="135">
        <f>YEAR(source[[#This Row],[report_date]])</f>
        <v>2026</v>
      </c>
      <c r="C14242" s="128">
        <f t="shared" si="665"/>
        <v>3</v>
      </c>
      <c r="D14242" s="136">
        <f t="shared" si="667"/>
        <v>14</v>
      </c>
      <c r="E14242" s="136">
        <f t="shared" si="666"/>
        <v>31</v>
      </c>
      <c r="F14242" s="137" t="s">
        <v>24</v>
      </c>
      <c r="G14242" s="128" t="str">
        <f>VLOOKUP(source[[#This Row],[lending_product_transform]],[3]Mapping!$B$4:$C$37,2,0)</f>
        <v>[Cake] - Cashloan</v>
      </c>
      <c r="H14242" s="128" t="str">
        <f>VLOOKUP(source[[#This Row],[lending_product_transform]],[3]Mapping!$B$3:$D$37,3,0)</f>
        <v>cashloan</v>
      </c>
      <c r="I14242" s="143">
        <v>63000000</v>
      </c>
    </row>
    <row r="14243" spans="1:9" x14ac:dyDescent="0.2">
      <c r="A14243" s="134">
        <v>46112</v>
      </c>
      <c r="B14243" s="135">
        <f>YEAR(source[[#This Row],[report_date]])</f>
        <v>2026</v>
      </c>
      <c r="C14243" s="128">
        <f t="shared" si="665"/>
        <v>3</v>
      </c>
      <c r="D14243" s="136">
        <f t="shared" si="667"/>
        <v>14</v>
      </c>
      <c r="E14243" s="136">
        <f t="shared" si="666"/>
        <v>31</v>
      </c>
      <c r="F14243" s="137" t="s">
        <v>24</v>
      </c>
      <c r="G14243" s="128" t="str">
        <f>VLOOKUP(source[[#This Row],[lending_product_transform]],[3]Mapping!$B$4:$C$37,2,0)</f>
        <v>[Cake] - Cashloan</v>
      </c>
      <c r="H14243" s="128" t="str">
        <f>VLOOKUP(source[[#This Row],[lending_product_transform]],[3]Mapping!$B$3:$D$37,3,0)</f>
        <v>cashloan</v>
      </c>
      <c r="I14243" s="143">
        <v>56000000</v>
      </c>
    </row>
    <row r="14244" spans="1:9" x14ac:dyDescent="0.2">
      <c r="A14244" s="134">
        <v>46112</v>
      </c>
      <c r="B14244" s="135">
        <f>YEAR(source[[#This Row],[report_date]])</f>
        <v>2026</v>
      </c>
      <c r="C14244" s="128">
        <f t="shared" si="665"/>
        <v>3</v>
      </c>
      <c r="D14244" s="136">
        <f t="shared" si="667"/>
        <v>14</v>
      </c>
      <c r="E14244" s="136">
        <f t="shared" si="666"/>
        <v>31</v>
      </c>
      <c r="F14244" s="137" t="s">
        <v>24</v>
      </c>
      <c r="G14244" s="128" t="str">
        <f>VLOOKUP(source[[#This Row],[lending_product_transform]],[3]Mapping!$B$4:$C$37,2,0)</f>
        <v>[Cake] - Cashloan</v>
      </c>
      <c r="H14244" s="128" t="str">
        <f>VLOOKUP(source[[#This Row],[lending_product_transform]],[3]Mapping!$B$3:$D$37,3,0)</f>
        <v>cashloan</v>
      </c>
      <c r="I14244" s="143">
        <v>1195750000</v>
      </c>
    </row>
    <row r="14245" spans="1:9" x14ac:dyDescent="0.2">
      <c r="A14245" s="134">
        <v>46112</v>
      </c>
      <c r="B14245" s="135">
        <f>YEAR(source[[#This Row],[report_date]])</f>
        <v>2026</v>
      </c>
      <c r="C14245" s="128">
        <f t="shared" si="665"/>
        <v>3</v>
      </c>
      <c r="D14245" s="136">
        <f t="shared" si="667"/>
        <v>14</v>
      </c>
      <c r="E14245" s="136">
        <f t="shared" si="666"/>
        <v>31</v>
      </c>
      <c r="F14245" s="137" t="s">
        <v>24</v>
      </c>
      <c r="G14245" s="128" t="str">
        <f>VLOOKUP(source[[#This Row],[lending_product_transform]],[3]Mapping!$B$4:$C$37,2,0)</f>
        <v>[Cake] - Cashloan</v>
      </c>
      <c r="H14245" s="128" t="str">
        <f>VLOOKUP(source[[#This Row],[lending_product_transform]],[3]Mapping!$B$3:$D$37,3,0)</f>
        <v>cashloan</v>
      </c>
      <c r="I14245" s="143">
        <v>357372000</v>
      </c>
    </row>
    <row r="14246" spans="1:9" x14ac:dyDescent="0.2">
      <c r="A14246" s="134">
        <v>46112</v>
      </c>
      <c r="B14246" s="135">
        <f>YEAR(source[[#This Row],[report_date]])</f>
        <v>2026</v>
      </c>
      <c r="C14246" s="128">
        <f t="shared" si="665"/>
        <v>3</v>
      </c>
      <c r="D14246" s="136">
        <f t="shared" si="667"/>
        <v>14</v>
      </c>
      <c r="E14246" s="136">
        <f t="shared" si="666"/>
        <v>31</v>
      </c>
      <c r="F14246" s="137" t="s">
        <v>24</v>
      </c>
      <c r="G14246" s="128" t="str">
        <f>VLOOKUP(source[[#This Row],[lending_product_transform]],[3]Mapping!$B$4:$C$37,2,0)</f>
        <v>[Cake] - Cashloan</v>
      </c>
      <c r="H14246" s="128" t="str">
        <f>VLOOKUP(source[[#This Row],[lending_product_transform]],[3]Mapping!$B$3:$D$37,3,0)</f>
        <v>cashloan</v>
      </c>
      <c r="I14246" s="143">
        <v>430328774</v>
      </c>
    </row>
    <row r="14247" spans="1:9" x14ac:dyDescent="0.2">
      <c r="A14247" s="134">
        <v>46112</v>
      </c>
      <c r="B14247" s="135">
        <f>YEAR(source[[#This Row],[report_date]])</f>
        <v>2026</v>
      </c>
      <c r="C14247" s="128">
        <f t="shared" si="665"/>
        <v>3</v>
      </c>
      <c r="D14247" s="136">
        <f t="shared" si="667"/>
        <v>14</v>
      </c>
      <c r="E14247" s="136">
        <f t="shared" si="666"/>
        <v>31</v>
      </c>
      <c r="F14247" s="137" t="s">
        <v>24</v>
      </c>
      <c r="G14247" s="128" t="str">
        <f>VLOOKUP(source[[#This Row],[lending_product_transform]],[3]Mapping!$B$4:$C$37,2,0)</f>
        <v>[Cake] - Cashloan</v>
      </c>
      <c r="H14247" s="128" t="str">
        <f>VLOOKUP(source[[#This Row],[lending_product_transform]],[3]Mapping!$B$3:$D$37,3,0)</f>
        <v>cashloan</v>
      </c>
      <c r="I14247" s="143">
        <v>3696090000</v>
      </c>
    </row>
    <row r="14248" spans="1:9" x14ac:dyDescent="0.2">
      <c r="A14248" s="134">
        <v>46112</v>
      </c>
      <c r="B14248" s="135">
        <f>YEAR(source[[#This Row],[report_date]])</f>
        <v>2026</v>
      </c>
      <c r="C14248" s="128">
        <f t="shared" si="665"/>
        <v>3</v>
      </c>
      <c r="D14248" s="136">
        <f t="shared" si="667"/>
        <v>14</v>
      </c>
      <c r="E14248" s="136">
        <f t="shared" si="666"/>
        <v>31</v>
      </c>
      <c r="F14248" s="137" t="s">
        <v>24</v>
      </c>
      <c r="G14248" s="128" t="str">
        <f>VLOOKUP(source[[#This Row],[lending_product_transform]],[3]Mapping!$B$4:$C$37,2,0)</f>
        <v>[Cake] - Cashloan</v>
      </c>
      <c r="H14248" s="128" t="str">
        <f>VLOOKUP(source[[#This Row],[lending_product_transform]],[3]Mapping!$B$3:$D$37,3,0)</f>
        <v>cashloan</v>
      </c>
      <c r="I14248" s="143">
        <v>8640000</v>
      </c>
    </row>
    <row r="14249" spans="1:9" x14ac:dyDescent="0.2">
      <c r="A14249" s="134">
        <v>46113</v>
      </c>
      <c r="B14249" s="135">
        <f>YEAR(source[[#This Row],[report_date]])</f>
        <v>2026</v>
      </c>
      <c r="C14249" s="128">
        <f t="shared" si="665"/>
        <v>4</v>
      </c>
      <c r="D14249" s="136">
        <f t="shared" si="667"/>
        <v>14</v>
      </c>
      <c r="E14249" s="136">
        <f t="shared" si="666"/>
        <v>1</v>
      </c>
      <c r="F14249" s="137" t="s">
        <v>24</v>
      </c>
      <c r="G14249" s="128" t="str">
        <f>VLOOKUP(source[[#This Row],[lending_product_transform]],[3]Mapping!$B$4:$C$37,2,0)</f>
        <v>[Cake] - Cashloan</v>
      </c>
      <c r="H14249" s="128" t="str">
        <f>VLOOKUP(source[[#This Row],[lending_product_transform]],[3]Mapping!$B$3:$D$37,3,0)</f>
        <v>cashloan</v>
      </c>
      <c r="I14249" s="143">
        <v>629980000</v>
      </c>
    </row>
    <row r="14250" spans="1:9" x14ac:dyDescent="0.2">
      <c r="A14250" s="134">
        <v>46113</v>
      </c>
      <c r="B14250" s="135">
        <f>YEAR(source[[#This Row],[report_date]])</f>
        <v>2026</v>
      </c>
      <c r="C14250" s="128">
        <f t="shared" si="665"/>
        <v>4</v>
      </c>
      <c r="D14250" s="136">
        <f t="shared" si="667"/>
        <v>14</v>
      </c>
      <c r="E14250" s="136">
        <f t="shared" si="666"/>
        <v>1</v>
      </c>
      <c r="F14250" s="137" t="s">
        <v>24</v>
      </c>
      <c r="G14250" s="128" t="str">
        <f>VLOOKUP(source[[#This Row],[lending_product_transform]],[3]Mapping!$B$4:$C$37,2,0)</f>
        <v>[Cake] - Cashloan</v>
      </c>
      <c r="H14250" s="128" t="str">
        <f>VLOOKUP(source[[#This Row],[lending_product_transform]],[3]Mapping!$B$3:$D$37,3,0)</f>
        <v>cashloan</v>
      </c>
      <c r="I14250" s="143">
        <v>308993836</v>
      </c>
    </row>
    <row r="14251" spans="1:9" x14ac:dyDescent="0.2">
      <c r="A14251" s="134">
        <v>46113</v>
      </c>
      <c r="B14251" s="135">
        <f>YEAR(source[[#This Row],[report_date]])</f>
        <v>2026</v>
      </c>
      <c r="C14251" s="128">
        <f t="shared" si="665"/>
        <v>4</v>
      </c>
      <c r="D14251" s="136">
        <f t="shared" si="667"/>
        <v>14</v>
      </c>
      <c r="E14251" s="136">
        <f t="shared" si="666"/>
        <v>1</v>
      </c>
      <c r="F14251" s="137" t="s">
        <v>24</v>
      </c>
      <c r="G14251" s="128" t="str">
        <f>VLOOKUP(source[[#This Row],[lending_product_transform]],[3]Mapping!$B$4:$C$37,2,0)</f>
        <v>[Cake] - Cashloan</v>
      </c>
      <c r="H14251" s="128" t="str">
        <f>VLOOKUP(source[[#This Row],[lending_product_transform]],[3]Mapping!$B$3:$D$37,3,0)</f>
        <v>cashloan</v>
      </c>
      <c r="I14251" s="143">
        <v>22731350000</v>
      </c>
    </row>
    <row r="14252" spans="1:9" x14ac:dyDescent="0.2">
      <c r="A14252" s="134">
        <v>46113</v>
      </c>
      <c r="B14252" s="135">
        <f>YEAR(source[[#This Row],[report_date]])</f>
        <v>2026</v>
      </c>
      <c r="C14252" s="128">
        <f t="shared" si="665"/>
        <v>4</v>
      </c>
      <c r="D14252" s="136">
        <f t="shared" si="667"/>
        <v>14</v>
      </c>
      <c r="E14252" s="136">
        <f t="shared" si="666"/>
        <v>1</v>
      </c>
      <c r="F14252" s="137" t="s">
        <v>24</v>
      </c>
      <c r="G14252" s="128" t="str">
        <f>VLOOKUP(source[[#This Row],[lending_product_transform]],[3]Mapping!$B$4:$C$37,2,0)</f>
        <v>[Cake] - Cashloan</v>
      </c>
      <c r="H14252" s="128" t="str">
        <f>VLOOKUP(source[[#This Row],[lending_product_transform]],[3]Mapping!$B$3:$D$37,3,0)</f>
        <v>cashloan</v>
      </c>
      <c r="I14252" s="143">
        <v>2812778254</v>
      </c>
    </row>
    <row r="14253" spans="1:9" x14ac:dyDescent="0.2">
      <c r="A14253" s="134">
        <v>46113</v>
      </c>
      <c r="B14253" s="135">
        <f>YEAR(source[[#This Row],[report_date]])</f>
        <v>2026</v>
      </c>
      <c r="C14253" s="128">
        <f t="shared" si="665"/>
        <v>4</v>
      </c>
      <c r="D14253" s="136">
        <f t="shared" si="667"/>
        <v>14</v>
      </c>
      <c r="E14253" s="136">
        <f t="shared" si="666"/>
        <v>1</v>
      </c>
      <c r="F14253" s="137" t="s">
        <v>24</v>
      </c>
      <c r="G14253" s="128" t="str">
        <f>VLOOKUP(source[[#This Row],[lending_product_transform]],[3]Mapping!$B$4:$C$37,2,0)</f>
        <v>[Cake] - Cashloan</v>
      </c>
      <c r="H14253" s="128" t="str">
        <f>VLOOKUP(source[[#This Row],[lending_product_transform]],[3]Mapping!$B$3:$D$37,3,0)</f>
        <v>cashloan</v>
      </c>
      <c r="I14253" s="143">
        <v>14857452000</v>
      </c>
    </row>
    <row r="14254" spans="1:9" x14ac:dyDescent="0.2">
      <c r="A14254" s="134">
        <v>46113</v>
      </c>
      <c r="B14254" s="135">
        <f>YEAR(source[[#This Row],[report_date]])</f>
        <v>2026</v>
      </c>
      <c r="C14254" s="128">
        <f t="shared" si="665"/>
        <v>4</v>
      </c>
      <c r="D14254" s="136">
        <f t="shared" si="667"/>
        <v>14</v>
      </c>
      <c r="E14254" s="136">
        <f t="shared" si="666"/>
        <v>1</v>
      </c>
      <c r="F14254" s="137" t="s">
        <v>24</v>
      </c>
      <c r="G14254" s="128" t="str">
        <f>VLOOKUP(source[[#This Row],[lending_product_transform]],[3]Mapping!$B$4:$C$37,2,0)</f>
        <v>[Cake] - Cashloan</v>
      </c>
      <c r="H14254" s="128" t="str">
        <f>VLOOKUP(source[[#This Row],[lending_product_transform]],[3]Mapping!$B$3:$D$37,3,0)</f>
        <v>cashloan</v>
      </c>
      <c r="I14254" s="143">
        <v>6410587</v>
      </c>
    </row>
    <row r="14255" spans="1:9" x14ac:dyDescent="0.2">
      <c r="A14255" s="134">
        <v>46113</v>
      </c>
      <c r="B14255" s="135">
        <f>YEAR(source[[#This Row],[report_date]])</f>
        <v>2026</v>
      </c>
      <c r="C14255" s="128">
        <f t="shared" si="665"/>
        <v>4</v>
      </c>
      <c r="D14255" s="136">
        <f t="shared" si="667"/>
        <v>14</v>
      </c>
      <c r="E14255" s="136">
        <f t="shared" si="666"/>
        <v>1</v>
      </c>
      <c r="F14255" s="137" t="s">
        <v>24</v>
      </c>
      <c r="G14255" s="128" t="str">
        <f>VLOOKUP(source[[#This Row],[lending_product_transform]],[3]Mapping!$B$4:$C$37,2,0)</f>
        <v>[Cake] - Cashloan</v>
      </c>
      <c r="H14255" s="128" t="str">
        <f>VLOOKUP(source[[#This Row],[lending_product_transform]],[3]Mapping!$B$3:$D$37,3,0)</f>
        <v>cashloan</v>
      </c>
      <c r="I14255" s="143">
        <v>0</v>
      </c>
    </row>
    <row r="14256" spans="1:9" x14ac:dyDescent="0.2">
      <c r="A14256" s="134">
        <v>46113</v>
      </c>
      <c r="B14256" s="135">
        <f>YEAR(source[[#This Row],[report_date]])</f>
        <v>2026</v>
      </c>
      <c r="C14256" s="128">
        <f t="shared" si="665"/>
        <v>4</v>
      </c>
      <c r="D14256" s="136">
        <f t="shared" si="667"/>
        <v>14</v>
      </c>
      <c r="E14256" s="136">
        <f t="shared" si="666"/>
        <v>1</v>
      </c>
      <c r="F14256" s="137" t="s">
        <v>24</v>
      </c>
      <c r="G14256" s="128" t="str">
        <f>VLOOKUP(source[[#This Row],[lending_product_transform]],[3]Mapping!$B$4:$C$37,2,0)</f>
        <v>[Cake] - Cashloan</v>
      </c>
      <c r="H14256" s="128" t="str">
        <f>VLOOKUP(source[[#This Row],[lending_product_transform]],[3]Mapping!$B$3:$D$37,3,0)</f>
        <v>cashloan</v>
      </c>
      <c r="I14256" s="143">
        <v>2649000000</v>
      </c>
    </row>
    <row r="14257" spans="1:9" x14ac:dyDescent="0.2">
      <c r="A14257" s="134">
        <v>46113</v>
      </c>
      <c r="B14257" s="135">
        <f>YEAR(source[[#This Row],[report_date]])</f>
        <v>2026</v>
      </c>
      <c r="C14257" s="128">
        <f t="shared" si="665"/>
        <v>4</v>
      </c>
      <c r="D14257" s="136">
        <f t="shared" si="667"/>
        <v>14</v>
      </c>
      <c r="E14257" s="136">
        <f t="shared" si="666"/>
        <v>1</v>
      </c>
      <c r="F14257" s="137" t="s">
        <v>24</v>
      </c>
      <c r="G14257" s="128" t="str">
        <f>VLOOKUP(source[[#This Row],[lending_product_transform]],[3]Mapping!$B$4:$C$37,2,0)</f>
        <v>[Cake] - Cashloan</v>
      </c>
      <c r="H14257" s="128" t="str">
        <f>VLOOKUP(source[[#This Row],[lending_product_transform]],[3]Mapping!$B$3:$D$37,3,0)</f>
        <v>cashloan</v>
      </c>
      <c r="I14257" s="143">
        <v>719020000</v>
      </c>
    </row>
    <row r="14258" spans="1:9" x14ac:dyDescent="0.2">
      <c r="A14258" s="134">
        <v>46113</v>
      </c>
      <c r="B14258" s="135">
        <f>YEAR(source[[#This Row],[report_date]])</f>
        <v>2026</v>
      </c>
      <c r="C14258" s="128">
        <f t="shared" si="665"/>
        <v>4</v>
      </c>
      <c r="D14258" s="136">
        <f t="shared" si="667"/>
        <v>14</v>
      </c>
      <c r="E14258" s="136">
        <f t="shared" si="666"/>
        <v>1</v>
      </c>
      <c r="F14258" s="137" t="s">
        <v>24</v>
      </c>
      <c r="G14258" s="128" t="str">
        <f>VLOOKUP(source[[#This Row],[lending_product_transform]],[3]Mapping!$B$4:$C$37,2,0)</f>
        <v>[Cake] - Cashloan</v>
      </c>
      <c r="H14258" s="128" t="str">
        <f>VLOOKUP(source[[#This Row],[lending_product_transform]],[3]Mapping!$B$3:$D$37,3,0)</f>
        <v>cashloan</v>
      </c>
      <c r="I14258" s="143">
        <v>9890000</v>
      </c>
    </row>
    <row r="14259" spans="1:9" x14ac:dyDescent="0.2">
      <c r="A14259" s="134">
        <v>46113</v>
      </c>
      <c r="B14259" s="135">
        <f>YEAR(source[[#This Row],[report_date]])</f>
        <v>2026</v>
      </c>
      <c r="C14259" s="128">
        <f t="shared" si="665"/>
        <v>4</v>
      </c>
      <c r="D14259" s="136">
        <f t="shared" si="667"/>
        <v>14</v>
      </c>
      <c r="E14259" s="136">
        <f t="shared" si="666"/>
        <v>1</v>
      </c>
      <c r="F14259" s="137" t="s">
        <v>24</v>
      </c>
      <c r="G14259" s="128" t="str">
        <f>VLOOKUP(source[[#This Row],[lending_product_transform]],[3]Mapping!$B$4:$C$37,2,0)</f>
        <v>[Cake] - Cashloan</v>
      </c>
      <c r="H14259" s="128" t="str">
        <f>VLOOKUP(source[[#This Row],[lending_product_transform]],[3]Mapping!$B$3:$D$37,3,0)</f>
        <v>cashloan</v>
      </c>
      <c r="I14259" s="143">
        <v>1143977797</v>
      </c>
    </row>
    <row r="14260" spans="1:9" x14ac:dyDescent="0.2">
      <c r="A14260" s="134">
        <v>46113</v>
      </c>
      <c r="B14260" s="135">
        <f>YEAR(source[[#This Row],[report_date]])</f>
        <v>2026</v>
      </c>
      <c r="C14260" s="128">
        <f t="shared" si="665"/>
        <v>4</v>
      </c>
      <c r="D14260" s="136">
        <f t="shared" si="667"/>
        <v>14</v>
      </c>
      <c r="E14260" s="136">
        <f t="shared" si="666"/>
        <v>1</v>
      </c>
      <c r="F14260" s="137" t="s">
        <v>24</v>
      </c>
      <c r="G14260" s="128" t="str">
        <f>VLOOKUP(source[[#This Row],[lending_product_transform]],[3]Mapping!$B$4:$C$37,2,0)</f>
        <v>[Cake] - Cashloan</v>
      </c>
      <c r="H14260" s="128" t="str">
        <f>VLOOKUP(source[[#This Row],[lending_product_transform]],[3]Mapping!$B$3:$D$37,3,0)</f>
        <v>cashloan</v>
      </c>
      <c r="I14260" s="143">
        <v>0</v>
      </c>
    </row>
    <row r="14261" spans="1:9" x14ac:dyDescent="0.2">
      <c r="A14261" s="134">
        <v>46113</v>
      </c>
      <c r="B14261" s="135">
        <f>YEAR(source[[#This Row],[report_date]])</f>
        <v>2026</v>
      </c>
      <c r="C14261" s="128">
        <f t="shared" si="665"/>
        <v>4</v>
      </c>
      <c r="D14261" s="136">
        <f t="shared" si="667"/>
        <v>14</v>
      </c>
      <c r="E14261" s="136">
        <f t="shared" si="666"/>
        <v>1</v>
      </c>
      <c r="F14261" s="137" t="s">
        <v>24</v>
      </c>
      <c r="G14261" s="128" t="str">
        <f>VLOOKUP(source[[#This Row],[lending_product_transform]],[3]Mapping!$B$4:$C$37,2,0)</f>
        <v>[Cake] - Cashloan</v>
      </c>
      <c r="H14261" s="128" t="str">
        <f>VLOOKUP(source[[#This Row],[lending_product_transform]],[3]Mapping!$B$3:$D$37,3,0)</f>
        <v>cashloan</v>
      </c>
      <c r="I14261" s="143">
        <v>102500000</v>
      </c>
    </row>
    <row r="14262" spans="1:9" x14ac:dyDescent="0.2">
      <c r="A14262" s="134">
        <v>46113</v>
      </c>
      <c r="B14262" s="135">
        <f>YEAR(source[[#This Row],[report_date]])</f>
        <v>2026</v>
      </c>
      <c r="C14262" s="128">
        <f t="shared" ref="C14262:C14325" si="668">MONTH(A14262)</f>
        <v>4</v>
      </c>
      <c r="D14262" s="136">
        <f t="shared" si="667"/>
        <v>14</v>
      </c>
      <c r="E14262" s="136">
        <f t="shared" ref="E14262:E14325" si="669">DAY(A14262)</f>
        <v>1</v>
      </c>
      <c r="F14262" s="137" t="s">
        <v>24</v>
      </c>
      <c r="G14262" s="128" t="str">
        <f>VLOOKUP(source[[#This Row],[lending_product_transform]],[3]Mapping!$B$4:$C$37,2,0)</f>
        <v>[Cake] - Cashloan</v>
      </c>
      <c r="H14262" s="128" t="str">
        <f>VLOOKUP(source[[#This Row],[lending_product_transform]],[3]Mapping!$B$3:$D$37,3,0)</f>
        <v>cashloan</v>
      </c>
      <c r="I14262" s="143">
        <v>0</v>
      </c>
    </row>
    <row r="14263" spans="1:9" x14ac:dyDescent="0.2">
      <c r="A14263" s="134">
        <v>46113</v>
      </c>
      <c r="B14263" s="135">
        <f>YEAR(source[[#This Row],[report_date]])</f>
        <v>2026</v>
      </c>
      <c r="C14263" s="128">
        <f t="shared" si="668"/>
        <v>4</v>
      </c>
      <c r="D14263" s="136">
        <f t="shared" si="667"/>
        <v>14</v>
      </c>
      <c r="E14263" s="136">
        <f t="shared" si="669"/>
        <v>1</v>
      </c>
      <c r="F14263" s="137" t="s">
        <v>24</v>
      </c>
      <c r="G14263" s="128" t="str">
        <f>VLOOKUP(source[[#This Row],[lending_product_transform]],[3]Mapping!$B$4:$C$37,2,0)</f>
        <v>[Cake] - Cashloan</v>
      </c>
      <c r="H14263" s="128" t="str">
        <f>VLOOKUP(source[[#This Row],[lending_product_transform]],[3]Mapping!$B$3:$D$37,3,0)</f>
        <v>cashloan</v>
      </c>
      <c r="I14263" s="143">
        <v>17700590000</v>
      </c>
    </row>
    <row r="14264" spans="1:9" x14ac:dyDescent="0.2">
      <c r="A14264" s="134">
        <v>46113</v>
      </c>
      <c r="B14264" s="135">
        <f>YEAR(source[[#This Row],[report_date]])</f>
        <v>2026</v>
      </c>
      <c r="C14264" s="128">
        <f t="shared" si="668"/>
        <v>4</v>
      </c>
      <c r="D14264" s="136">
        <f t="shared" si="667"/>
        <v>14</v>
      </c>
      <c r="E14264" s="136">
        <f t="shared" si="669"/>
        <v>1</v>
      </c>
      <c r="F14264" s="137" t="s">
        <v>24</v>
      </c>
      <c r="G14264" s="128" t="str">
        <f>VLOOKUP(source[[#This Row],[lending_product_transform]],[3]Mapping!$B$4:$C$37,2,0)</f>
        <v>[Cake] - Cashloan</v>
      </c>
      <c r="H14264" s="128" t="str">
        <f>VLOOKUP(source[[#This Row],[lending_product_transform]],[3]Mapping!$B$3:$D$37,3,0)</f>
        <v>cashloan</v>
      </c>
      <c r="I14264" s="143">
        <v>0</v>
      </c>
    </row>
    <row r="14265" spans="1:9" x14ac:dyDescent="0.2">
      <c r="A14265" s="134">
        <v>46113</v>
      </c>
      <c r="B14265" s="135">
        <f>YEAR(source[[#This Row],[report_date]])</f>
        <v>2026</v>
      </c>
      <c r="C14265" s="128">
        <f t="shared" si="668"/>
        <v>4</v>
      </c>
      <c r="D14265" s="136">
        <f t="shared" si="667"/>
        <v>14</v>
      </c>
      <c r="E14265" s="136">
        <f t="shared" si="669"/>
        <v>1</v>
      </c>
      <c r="F14265" s="137" t="s">
        <v>24</v>
      </c>
      <c r="G14265" s="128" t="str">
        <f>VLOOKUP(source[[#This Row],[lending_product_transform]],[3]Mapping!$B$4:$C$37,2,0)</f>
        <v>[Cake] - Cashloan</v>
      </c>
      <c r="H14265" s="128" t="str">
        <f>VLOOKUP(source[[#This Row],[lending_product_transform]],[3]Mapping!$B$3:$D$37,3,0)</f>
        <v>cashloan</v>
      </c>
      <c r="I14265" s="143">
        <v>0</v>
      </c>
    </row>
    <row r="14266" spans="1:9" x14ac:dyDescent="0.2">
      <c r="A14266" s="134">
        <v>46113</v>
      </c>
      <c r="B14266" s="135">
        <f>YEAR(source[[#This Row],[report_date]])</f>
        <v>2026</v>
      </c>
      <c r="C14266" s="128">
        <f t="shared" si="668"/>
        <v>4</v>
      </c>
      <c r="D14266" s="136">
        <f t="shared" si="667"/>
        <v>14</v>
      </c>
      <c r="E14266" s="136">
        <f t="shared" si="669"/>
        <v>1</v>
      </c>
      <c r="F14266" s="137" t="s">
        <v>24</v>
      </c>
      <c r="G14266" s="128" t="str">
        <f>VLOOKUP(source[[#This Row],[lending_product_transform]],[3]Mapping!$B$4:$C$37,2,0)</f>
        <v>[Cake] - Cashloan</v>
      </c>
      <c r="H14266" s="128" t="str">
        <f>VLOOKUP(source[[#This Row],[lending_product_transform]],[3]Mapping!$B$3:$D$37,3,0)</f>
        <v>cashloan</v>
      </c>
      <c r="I14266" s="143">
        <v>0</v>
      </c>
    </row>
    <row r="14267" spans="1:9" x14ac:dyDescent="0.2">
      <c r="A14267" s="134">
        <v>46113</v>
      </c>
      <c r="B14267" s="135">
        <f>YEAR(source[[#This Row],[report_date]])</f>
        <v>2026</v>
      </c>
      <c r="C14267" s="128">
        <f t="shared" si="668"/>
        <v>4</v>
      </c>
      <c r="D14267" s="136">
        <f t="shared" si="667"/>
        <v>14</v>
      </c>
      <c r="E14267" s="136">
        <f t="shared" si="669"/>
        <v>1</v>
      </c>
      <c r="F14267" s="137" t="s">
        <v>24</v>
      </c>
      <c r="G14267" s="128" t="str">
        <f>VLOOKUP(source[[#This Row],[lending_product_transform]],[3]Mapping!$B$4:$C$37,2,0)</f>
        <v>[Cake] - Cashloan</v>
      </c>
      <c r="H14267" s="128" t="str">
        <f>VLOOKUP(source[[#This Row],[lending_product_transform]],[3]Mapping!$B$3:$D$37,3,0)</f>
        <v>cashloan</v>
      </c>
      <c r="I14267" s="143">
        <v>0</v>
      </c>
    </row>
    <row r="14268" spans="1:9" x14ac:dyDescent="0.2">
      <c r="A14268" s="134">
        <v>46113</v>
      </c>
      <c r="B14268" s="135">
        <f>YEAR(source[[#This Row],[report_date]])</f>
        <v>2026</v>
      </c>
      <c r="C14268" s="128">
        <f t="shared" si="668"/>
        <v>4</v>
      </c>
      <c r="D14268" s="136">
        <f t="shared" si="667"/>
        <v>14</v>
      </c>
      <c r="E14268" s="136">
        <f t="shared" si="669"/>
        <v>1</v>
      </c>
      <c r="F14268" s="137" t="s">
        <v>24</v>
      </c>
      <c r="G14268" s="128" t="str">
        <f>VLOOKUP(source[[#This Row],[lending_product_transform]],[3]Mapping!$B$4:$C$37,2,0)</f>
        <v>[Cake] - Cashloan</v>
      </c>
      <c r="H14268" s="128" t="str">
        <f>VLOOKUP(source[[#This Row],[lending_product_transform]],[3]Mapping!$B$3:$D$37,3,0)</f>
        <v>cashloan</v>
      </c>
      <c r="I14268" s="143">
        <v>11718324000</v>
      </c>
    </row>
    <row r="14269" spans="1:9" x14ac:dyDescent="0.2">
      <c r="A14269" s="134">
        <v>46113</v>
      </c>
      <c r="B14269" s="135">
        <f>YEAR(source[[#This Row],[report_date]])</f>
        <v>2026</v>
      </c>
      <c r="C14269" s="128">
        <f t="shared" si="668"/>
        <v>4</v>
      </c>
      <c r="D14269" s="136">
        <f t="shared" si="667"/>
        <v>14</v>
      </c>
      <c r="E14269" s="136">
        <f t="shared" si="669"/>
        <v>1</v>
      </c>
      <c r="F14269" s="137" t="s">
        <v>24</v>
      </c>
      <c r="G14269" s="128" t="str">
        <f>VLOOKUP(source[[#This Row],[lending_product_transform]],[3]Mapping!$B$4:$C$37,2,0)</f>
        <v>[Cake] - Cashloan</v>
      </c>
      <c r="H14269" s="128" t="str">
        <f>VLOOKUP(source[[#This Row],[lending_product_transform]],[3]Mapping!$B$3:$D$37,3,0)</f>
        <v>cashloan</v>
      </c>
      <c r="I14269" s="143">
        <v>435088361</v>
      </c>
    </row>
    <row r="14270" spans="1:9" x14ac:dyDescent="0.2">
      <c r="A14270" s="134">
        <v>46113</v>
      </c>
      <c r="B14270" s="135">
        <f>YEAR(source[[#This Row],[report_date]])</f>
        <v>2026</v>
      </c>
      <c r="C14270" s="128">
        <f t="shared" si="668"/>
        <v>4</v>
      </c>
      <c r="D14270" s="136">
        <f t="shared" si="667"/>
        <v>14</v>
      </c>
      <c r="E14270" s="136">
        <f t="shared" si="669"/>
        <v>1</v>
      </c>
      <c r="F14270" s="137" t="s">
        <v>24</v>
      </c>
      <c r="G14270" s="128" t="str">
        <f>VLOOKUP(source[[#This Row],[lending_product_transform]],[3]Mapping!$B$4:$C$37,2,0)</f>
        <v>[Cake] - Cashloan</v>
      </c>
      <c r="H14270" s="128" t="str">
        <f>VLOOKUP(source[[#This Row],[lending_product_transform]],[3]Mapping!$B$3:$D$37,3,0)</f>
        <v>cashloan</v>
      </c>
      <c r="I14270" s="143">
        <v>41500000</v>
      </c>
    </row>
    <row r="14271" spans="1:9" x14ac:dyDescent="0.2">
      <c r="A14271" s="134">
        <v>46113</v>
      </c>
      <c r="B14271" s="135">
        <f>YEAR(source[[#This Row],[report_date]])</f>
        <v>2026</v>
      </c>
      <c r="C14271" s="128">
        <f t="shared" si="668"/>
        <v>4</v>
      </c>
      <c r="D14271" s="136">
        <f t="shared" si="667"/>
        <v>14</v>
      </c>
      <c r="E14271" s="136">
        <f t="shared" si="669"/>
        <v>1</v>
      </c>
      <c r="F14271" s="137" t="s">
        <v>24</v>
      </c>
      <c r="G14271" s="128" t="str">
        <f>VLOOKUP(source[[#This Row],[lending_product_transform]],[3]Mapping!$B$4:$C$37,2,0)</f>
        <v>[Cake] - Cashloan</v>
      </c>
      <c r="H14271" s="128" t="str">
        <f>VLOOKUP(source[[#This Row],[lending_product_transform]],[3]Mapping!$B$3:$D$37,3,0)</f>
        <v>cashloan</v>
      </c>
      <c r="I14271" s="143">
        <v>74000000</v>
      </c>
    </row>
    <row r="14272" spans="1:9" x14ac:dyDescent="0.2">
      <c r="A14272" s="134">
        <v>46113</v>
      </c>
      <c r="B14272" s="135">
        <f>YEAR(source[[#This Row],[report_date]])</f>
        <v>2026</v>
      </c>
      <c r="C14272" s="128">
        <f t="shared" si="668"/>
        <v>4</v>
      </c>
      <c r="D14272" s="136">
        <f t="shared" si="667"/>
        <v>14</v>
      </c>
      <c r="E14272" s="136">
        <f t="shared" si="669"/>
        <v>1</v>
      </c>
      <c r="F14272" s="137" t="s">
        <v>24</v>
      </c>
      <c r="G14272" s="128" t="str">
        <f>VLOOKUP(source[[#This Row],[lending_product_transform]],[3]Mapping!$B$4:$C$37,2,0)</f>
        <v>[Cake] - Cashloan</v>
      </c>
      <c r="H14272" s="128" t="str">
        <f>VLOOKUP(source[[#This Row],[lending_product_transform]],[3]Mapping!$B$3:$D$37,3,0)</f>
        <v>cashloan</v>
      </c>
      <c r="I14272" s="143">
        <v>660620000</v>
      </c>
    </row>
    <row r="14273" spans="1:9" x14ac:dyDescent="0.2">
      <c r="A14273" s="134">
        <v>46113</v>
      </c>
      <c r="B14273" s="135">
        <f>YEAR(source[[#This Row],[report_date]])</f>
        <v>2026</v>
      </c>
      <c r="C14273" s="128">
        <f t="shared" si="668"/>
        <v>4</v>
      </c>
      <c r="D14273" s="136">
        <f t="shared" si="667"/>
        <v>14</v>
      </c>
      <c r="E14273" s="136">
        <f t="shared" si="669"/>
        <v>1</v>
      </c>
      <c r="F14273" s="137" t="s">
        <v>24</v>
      </c>
      <c r="G14273" s="128" t="str">
        <f>VLOOKUP(source[[#This Row],[lending_product_transform]],[3]Mapping!$B$4:$C$37,2,0)</f>
        <v>[Cake] - Cashloan</v>
      </c>
      <c r="H14273" s="128" t="str">
        <f>VLOOKUP(source[[#This Row],[lending_product_transform]],[3]Mapping!$B$3:$D$37,3,0)</f>
        <v>cashloan</v>
      </c>
      <c r="I14273" s="143">
        <v>299484000</v>
      </c>
    </row>
    <row r="14274" spans="1:9" x14ac:dyDescent="0.2">
      <c r="A14274" s="134">
        <v>46113</v>
      </c>
      <c r="B14274" s="135">
        <f>YEAR(source[[#This Row],[report_date]])</f>
        <v>2026</v>
      </c>
      <c r="C14274" s="128">
        <f t="shared" si="668"/>
        <v>4</v>
      </c>
      <c r="D14274" s="136">
        <f t="shared" si="667"/>
        <v>14</v>
      </c>
      <c r="E14274" s="136">
        <f t="shared" si="669"/>
        <v>1</v>
      </c>
      <c r="F14274" s="137" t="s">
        <v>24</v>
      </c>
      <c r="G14274" s="128" t="str">
        <f>VLOOKUP(source[[#This Row],[lending_product_transform]],[3]Mapping!$B$4:$C$37,2,0)</f>
        <v>[Cake] - Cashloan</v>
      </c>
      <c r="H14274" s="128" t="str">
        <f>VLOOKUP(source[[#This Row],[lending_product_transform]],[3]Mapping!$B$3:$D$37,3,0)</f>
        <v>cashloan</v>
      </c>
      <c r="I14274" s="143">
        <v>609579152</v>
      </c>
    </row>
    <row r="14275" spans="1:9" x14ac:dyDescent="0.2">
      <c r="A14275" s="134">
        <v>46113</v>
      </c>
      <c r="B14275" s="135">
        <f>YEAR(source[[#This Row],[report_date]])</f>
        <v>2026</v>
      </c>
      <c r="C14275" s="128">
        <f t="shared" si="668"/>
        <v>4</v>
      </c>
      <c r="D14275" s="136">
        <f t="shared" si="667"/>
        <v>14</v>
      </c>
      <c r="E14275" s="136">
        <f t="shared" si="669"/>
        <v>1</v>
      </c>
      <c r="F14275" s="137" t="s">
        <v>24</v>
      </c>
      <c r="G14275" s="128" t="str">
        <f>VLOOKUP(source[[#This Row],[lending_product_transform]],[3]Mapping!$B$4:$C$37,2,0)</f>
        <v>[Cake] - Cashloan</v>
      </c>
      <c r="H14275" s="128" t="str">
        <f>VLOOKUP(source[[#This Row],[lending_product_transform]],[3]Mapping!$B$3:$D$37,3,0)</f>
        <v>cashloan</v>
      </c>
      <c r="I14275" s="143">
        <v>9613660000</v>
      </c>
    </row>
    <row r="14276" spans="1:9" x14ac:dyDescent="0.2">
      <c r="A14276" s="134">
        <v>46113</v>
      </c>
      <c r="B14276" s="135">
        <f>YEAR(source[[#This Row],[report_date]])</f>
        <v>2026</v>
      </c>
      <c r="C14276" s="128">
        <f t="shared" si="668"/>
        <v>4</v>
      </c>
      <c r="D14276" s="136">
        <f t="shared" si="667"/>
        <v>14</v>
      </c>
      <c r="E14276" s="136">
        <f t="shared" si="669"/>
        <v>1</v>
      </c>
      <c r="F14276" s="137" t="s">
        <v>24</v>
      </c>
      <c r="G14276" s="128" t="str">
        <f>VLOOKUP(source[[#This Row],[lending_product_transform]],[3]Mapping!$B$4:$C$37,2,0)</f>
        <v>[Cake] - Cashloan</v>
      </c>
      <c r="H14276" s="128" t="str">
        <f>VLOOKUP(source[[#This Row],[lending_product_transform]],[3]Mapping!$B$3:$D$37,3,0)</f>
        <v>cashloan</v>
      </c>
      <c r="I14276" s="143">
        <v>12528000</v>
      </c>
    </row>
    <row r="14277" spans="1:9" x14ac:dyDescent="0.2">
      <c r="A14277" s="134">
        <v>46114</v>
      </c>
      <c r="B14277" s="135">
        <f>YEAR(source[[#This Row],[report_date]])</f>
        <v>2026</v>
      </c>
      <c r="C14277" s="128">
        <f t="shared" si="668"/>
        <v>4</v>
      </c>
      <c r="D14277" s="136">
        <f t="shared" si="667"/>
        <v>14</v>
      </c>
      <c r="E14277" s="136">
        <f t="shared" si="669"/>
        <v>2</v>
      </c>
      <c r="F14277" s="137" t="s">
        <v>24</v>
      </c>
      <c r="G14277" s="128" t="str">
        <f>VLOOKUP(source[[#This Row],[lending_product_transform]],[3]Mapping!$B$4:$C$37,2,0)</f>
        <v>[Cake] - Cashloan</v>
      </c>
      <c r="H14277" s="128" t="str">
        <f>VLOOKUP(source[[#This Row],[lending_product_transform]],[3]Mapping!$B$3:$D$37,3,0)</f>
        <v>cashloan</v>
      </c>
      <c r="I14277" s="143">
        <v>722370000</v>
      </c>
    </row>
    <row r="14278" spans="1:9" x14ac:dyDescent="0.2">
      <c r="A14278" s="134">
        <v>46114</v>
      </c>
      <c r="B14278" s="135">
        <f>YEAR(source[[#This Row],[report_date]])</f>
        <v>2026</v>
      </c>
      <c r="C14278" s="128">
        <f t="shared" si="668"/>
        <v>4</v>
      </c>
      <c r="D14278" s="136">
        <f t="shared" si="667"/>
        <v>14</v>
      </c>
      <c r="E14278" s="136">
        <f t="shared" si="669"/>
        <v>2</v>
      </c>
      <c r="F14278" s="137" t="s">
        <v>24</v>
      </c>
      <c r="G14278" s="128" t="str">
        <f>VLOOKUP(source[[#This Row],[lending_product_transform]],[3]Mapping!$B$4:$C$37,2,0)</f>
        <v>[Cake] - Cashloan</v>
      </c>
      <c r="H14278" s="128" t="str">
        <f>VLOOKUP(source[[#This Row],[lending_product_transform]],[3]Mapping!$B$3:$D$37,3,0)</f>
        <v>cashloan</v>
      </c>
      <c r="I14278" s="143">
        <v>328591353</v>
      </c>
    </row>
    <row r="14279" spans="1:9" x14ac:dyDescent="0.2">
      <c r="A14279" s="134">
        <v>46114</v>
      </c>
      <c r="B14279" s="135">
        <f>YEAR(source[[#This Row],[report_date]])</f>
        <v>2026</v>
      </c>
      <c r="C14279" s="128">
        <f t="shared" si="668"/>
        <v>4</v>
      </c>
      <c r="D14279" s="136">
        <f t="shared" si="667"/>
        <v>14</v>
      </c>
      <c r="E14279" s="136">
        <f t="shared" si="669"/>
        <v>2</v>
      </c>
      <c r="F14279" s="137" t="s">
        <v>24</v>
      </c>
      <c r="G14279" s="128" t="str">
        <f>VLOOKUP(source[[#This Row],[lending_product_transform]],[3]Mapping!$B$4:$C$37,2,0)</f>
        <v>[Cake] - Cashloan</v>
      </c>
      <c r="H14279" s="128" t="str">
        <f>VLOOKUP(source[[#This Row],[lending_product_transform]],[3]Mapping!$B$3:$D$37,3,0)</f>
        <v>cashloan</v>
      </c>
      <c r="I14279" s="143">
        <v>19712400000</v>
      </c>
    </row>
    <row r="14280" spans="1:9" x14ac:dyDescent="0.2">
      <c r="A14280" s="134">
        <v>46114</v>
      </c>
      <c r="B14280" s="135">
        <f>YEAR(source[[#This Row],[report_date]])</f>
        <v>2026</v>
      </c>
      <c r="C14280" s="128">
        <f t="shared" si="668"/>
        <v>4</v>
      </c>
      <c r="D14280" s="136">
        <f t="shared" si="667"/>
        <v>14</v>
      </c>
      <c r="E14280" s="136">
        <f t="shared" si="669"/>
        <v>2</v>
      </c>
      <c r="F14280" s="137" t="s">
        <v>24</v>
      </c>
      <c r="G14280" s="128" t="str">
        <f>VLOOKUP(source[[#This Row],[lending_product_transform]],[3]Mapping!$B$4:$C$37,2,0)</f>
        <v>[Cake] - Cashloan</v>
      </c>
      <c r="H14280" s="128" t="str">
        <f>VLOOKUP(source[[#This Row],[lending_product_transform]],[3]Mapping!$B$3:$D$37,3,0)</f>
        <v>cashloan</v>
      </c>
      <c r="I14280" s="143">
        <v>2342325450</v>
      </c>
    </row>
    <row r="14281" spans="1:9" x14ac:dyDescent="0.2">
      <c r="A14281" s="134">
        <v>46114</v>
      </c>
      <c r="B14281" s="135">
        <f>YEAR(source[[#This Row],[report_date]])</f>
        <v>2026</v>
      </c>
      <c r="C14281" s="128">
        <f t="shared" si="668"/>
        <v>4</v>
      </c>
      <c r="D14281" s="136">
        <f t="shared" si="667"/>
        <v>14</v>
      </c>
      <c r="E14281" s="136">
        <f t="shared" si="669"/>
        <v>2</v>
      </c>
      <c r="F14281" s="137" t="s">
        <v>24</v>
      </c>
      <c r="G14281" s="128" t="str">
        <f>VLOOKUP(source[[#This Row],[lending_product_transform]],[3]Mapping!$B$4:$C$37,2,0)</f>
        <v>[Cake] - Cashloan</v>
      </c>
      <c r="H14281" s="128" t="str">
        <f>VLOOKUP(source[[#This Row],[lending_product_transform]],[3]Mapping!$B$3:$D$37,3,0)</f>
        <v>cashloan</v>
      </c>
      <c r="I14281" s="143">
        <v>13335408000</v>
      </c>
    </row>
    <row r="14282" spans="1:9" x14ac:dyDescent="0.2">
      <c r="A14282" s="134">
        <v>46114</v>
      </c>
      <c r="B14282" s="135">
        <f>YEAR(source[[#This Row],[report_date]])</f>
        <v>2026</v>
      </c>
      <c r="C14282" s="128">
        <f t="shared" si="668"/>
        <v>4</v>
      </c>
      <c r="D14282" s="136">
        <f t="shared" si="667"/>
        <v>14</v>
      </c>
      <c r="E14282" s="136">
        <f t="shared" si="669"/>
        <v>2</v>
      </c>
      <c r="F14282" s="137" t="s">
        <v>24</v>
      </c>
      <c r="G14282" s="128" t="str">
        <f>VLOOKUP(source[[#This Row],[lending_product_transform]],[3]Mapping!$B$4:$C$37,2,0)</f>
        <v>[Cake] - Cashloan</v>
      </c>
      <c r="H14282" s="128" t="str">
        <f>VLOOKUP(source[[#This Row],[lending_product_transform]],[3]Mapping!$B$3:$D$37,3,0)</f>
        <v>cashloan</v>
      </c>
      <c r="I14282" s="143">
        <v>22490346</v>
      </c>
    </row>
    <row r="14283" spans="1:9" x14ac:dyDescent="0.2">
      <c r="A14283" s="134">
        <v>46114</v>
      </c>
      <c r="B14283" s="135">
        <f>YEAR(source[[#This Row],[report_date]])</f>
        <v>2026</v>
      </c>
      <c r="C14283" s="128">
        <f t="shared" si="668"/>
        <v>4</v>
      </c>
      <c r="D14283" s="136">
        <f t="shared" si="667"/>
        <v>14</v>
      </c>
      <c r="E14283" s="136">
        <f t="shared" si="669"/>
        <v>2</v>
      </c>
      <c r="F14283" s="137" t="s">
        <v>24</v>
      </c>
      <c r="G14283" s="128" t="str">
        <f>VLOOKUP(source[[#This Row],[lending_product_transform]],[3]Mapping!$B$4:$C$37,2,0)</f>
        <v>[Cake] - Cashloan</v>
      </c>
      <c r="H14283" s="128" t="str">
        <f>VLOOKUP(source[[#This Row],[lending_product_transform]],[3]Mapping!$B$3:$D$37,3,0)</f>
        <v>cashloan</v>
      </c>
      <c r="I14283" s="143">
        <v>180000000</v>
      </c>
    </row>
    <row r="14284" spans="1:9" x14ac:dyDescent="0.2">
      <c r="A14284" s="134">
        <v>46114</v>
      </c>
      <c r="B14284" s="135">
        <f>YEAR(source[[#This Row],[report_date]])</f>
        <v>2026</v>
      </c>
      <c r="C14284" s="128">
        <f t="shared" si="668"/>
        <v>4</v>
      </c>
      <c r="D14284" s="136">
        <f t="shared" si="667"/>
        <v>14</v>
      </c>
      <c r="E14284" s="136">
        <f t="shared" si="669"/>
        <v>2</v>
      </c>
      <c r="F14284" s="137" t="s">
        <v>24</v>
      </c>
      <c r="G14284" s="128" t="str">
        <f>VLOOKUP(source[[#This Row],[lending_product_transform]],[3]Mapping!$B$4:$C$37,2,0)</f>
        <v>[Cake] - Cashloan</v>
      </c>
      <c r="H14284" s="128" t="str">
        <f>VLOOKUP(source[[#This Row],[lending_product_transform]],[3]Mapping!$B$3:$D$37,3,0)</f>
        <v>cashloan</v>
      </c>
      <c r="I14284" s="143">
        <v>2298380000</v>
      </c>
    </row>
    <row r="14285" spans="1:9" x14ac:dyDescent="0.2">
      <c r="A14285" s="134">
        <v>46114</v>
      </c>
      <c r="B14285" s="135">
        <f>YEAR(source[[#This Row],[report_date]])</f>
        <v>2026</v>
      </c>
      <c r="C14285" s="128">
        <f t="shared" si="668"/>
        <v>4</v>
      </c>
      <c r="D14285" s="136">
        <f t="shared" si="667"/>
        <v>14</v>
      </c>
      <c r="E14285" s="136">
        <f t="shared" si="669"/>
        <v>2</v>
      </c>
      <c r="F14285" s="137" t="s">
        <v>24</v>
      </c>
      <c r="G14285" s="128" t="str">
        <f>VLOOKUP(source[[#This Row],[lending_product_transform]],[3]Mapping!$B$4:$C$37,2,0)</f>
        <v>[Cake] - Cashloan</v>
      </c>
      <c r="H14285" s="128" t="str">
        <f>VLOOKUP(source[[#This Row],[lending_product_transform]],[3]Mapping!$B$3:$D$37,3,0)</f>
        <v>cashloan</v>
      </c>
      <c r="I14285" s="143">
        <v>1198420000</v>
      </c>
    </row>
    <row r="14286" spans="1:9" x14ac:dyDescent="0.2">
      <c r="A14286" s="134">
        <v>46114</v>
      </c>
      <c r="B14286" s="135">
        <f>YEAR(source[[#This Row],[report_date]])</f>
        <v>2026</v>
      </c>
      <c r="C14286" s="128">
        <f t="shared" si="668"/>
        <v>4</v>
      </c>
      <c r="D14286" s="136">
        <f t="shared" si="667"/>
        <v>14</v>
      </c>
      <c r="E14286" s="136">
        <f t="shared" si="669"/>
        <v>2</v>
      </c>
      <c r="F14286" s="137" t="s">
        <v>24</v>
      </c>
      <c r="G14286" s="128" t="str">
        <f>VLOOKUP(source[[#This Row],[lending_product_transform]],[3]Mapping!$B$4:$C$37,2,0)</f>
        <v>[Cake] - Cashloan</v>
      </c>
      <c r="H14286" s="128" t="str">
        <f>VLOOKUP(source[[#This Row],[lending_product_transform]],[3]Mapping!$B$3:$D$37,3,0)</f>
        <v>cashloan</v>
      </c>
      <c r="I14286" s="143">
        <v>19042578</v>
      </c>
    </row>
    <row r="14287" spans="1:9" x14ac:dyDescent="0.2">
      <c r="A14287" s="134">
        <v>46114</v>
      </c>
      <c r="B14287" s="135">
        <f>YEAR(source[[#This Row],[report_date]])</f>
        <v>2026</v>
      </c>
      <c r="C14287" s="128">
        <f t="shared" si="668"/>
        <v>4</v>
      </c>
      <c r="D14287" s="136">
        <f t="shared" si="667"/>
        <v>14</v>
      </c>
      <c r="E14287" s="136">
        <f t="shared" si="669"/>
        <v>2</v>
      </c>
      <c r="F14287" s="137" t="s">
        <v>24</v>
      </c>
      <c r="G14287" s="128" t="str">
        <f>VLOOKUP(source[[#This Row],[lending_product_transform]],[3]Mapping!$B$4:$C$37,2,0)</f>
        <v>[Cake] - Cashloan</v>
      </c>
      <c r="H14287" s="128" t="str">
        <f>VLOOKUP(source[[#This Row],[lending_product_transform]],[3]Mapping!$B$3:$D$37,3,0)</f>
        <v>cashloan</v>
      </c>
      <c r="I14287" s="143">
        <v>1258751775</v>
      </c>
    </row>
    <row r="14288" spans="1:9" x14ac:dyDescent="0.2">
      <c r="A14288" s="134">
        <v>46114</v>
      </c>
      <c r="B14288" s="135">
        <f>YEAR(source[[#This Row],[report_date]])</f>
        <v>2026</v>
      </c>
      <c r="C14288" s="128">
        <f t="shared" si="668"/>
        <v>4</v>
      </c>
      <c r="D14288" s="136">
        <f t="shared" si="667"/>
        <v>14</v>
      </c>
      <c r="E14288" s="136">
        <f t="shared" si="669"/>
        <v>2</v>
      </c>
      <c r="F14288" s="137" t="s">
        <v>24</v>
      </c>
      <c r="G14288" s="128" t="str">
        <f>VLOOKUP(source[[#This Row],[lending_product_transform]],[3]Mapping!$B$4:$C$37,2,0)</f>
        <v>[Cake] - Cashloan</v>
      </c>
      <c r="H14288" s="128" t="str">
        <f>VLOOKUP(source[[#This Row],[lending_product_transform]],[3]Mapping!$B$3:$D$37,3,0)</f>
        <v>cashloan</v>
      </c>
      <c r="I14288" s="143">
        <v>0</v>
      </c>
    </row>
    <row r="14289" spans="1:9" x14ac:dyDescent="0.2">
      <c r="A14289" s="134">
        <v>46114</v>
      </c>
      <c r="B14289" s="135">
        <f>YEAR(source[[#This Row],[report_date]])</f>
        <v>2026</v>
      </c>
      <c r="C14289" s="128">
        <f t="shared" si="668"/>
        <v>4</v>
      </c>
      <c r="D14289" s="136">
        <f t="shared" ref="D14289:D14352" si="670">WEEKNUM(A14289,2)</f>
        <v>14</v>
      </c>
      <c r="E14289" s="136">
        <f t="shared" si="669"/>
        <v>2</v>
      </c>
      <c r="F14289" s="137" t="s">
        <v>24</v>
      </c>
      <c r="G14289" s="128" t="str">
        <f>VLOOKUP(source[[#This Row],[lending_product_transform]],[3]Mapping!$B$4:$C$37,2,0)</f>
        <v>[Cake] - Cashloan</v>
      </c>
      <c r="H14289" s="128" t="str">
        <f>VLOOKUP(source[[#This Row],[lending_product_transform]],[3]Mapping!$B$3:$D$37,3,0)</f>
        <v>cashloan</v>
      </c>
      <c r="I14289" s="143">
        <v>10500000</v>
      </c>
    </row>
    <row r="14290" spans="1:9" x14ac:dyDescent="0.2">
      <c r="A14290" s="134">
        <v>46114</v>
      </c>
      <c r="B14290" s="135">
        <f>YEAR(source[[#This Row],[report_date]])</f>
        <v>2026</v>
      </c>
      <c r="C14290" s="128">
        <f t="shared" si="668"/>
        <v>4</v>
      </c>
      <c r="D14290" s="136">
        <f t="shared" si="670"/>
        <v>14</v>
      </c>
      <c r="E14290" s="136">
        <f t="shared" si="669"/>
        <v>2</v>
      </c>
      <c r="F14290" s="137" t="s">
        <v>24</v>
      </c>
      <c r="G14290" s="128" t="str">
        <f>VLOOKUP(source[[#This Row],[lending_product_transform]],[3]Mapping!$B$4:$C$37,2,0)</f>
        <v>[Cake] - Cashloan</v>
      </c>
      <c r="H14290" s="128" t="str">
        <f>VLOOKUP(source[[#This Row],[lending_product_transform]],[3]Mapping!$B$3:$D$37,3,0)</f>
        <v>cashloan</v>
      </c>
      <c r="I14290" s="143">
        <v>56000000</v>
      </c>
    </row>
    <row r="14291" spans="1:9" x14ac:dyDescent="0.2">
      <c r="A14291" s="134">
        <v>46114</v>
      </c>
      <c r="B14291" s="135">
        <f>YEAR(source[[#This Row],[report_date]])</f>
        <v>2026</v>
      </c>
      <c r="C14291" s="128">
        <f t="shared" si="668"/>
        <v>4</v>
      </c>
      <c r="D14291" s="136">
        <f t="shared" si="670"/>
        <v>14</v>
      </c>
      <c r="E14291" s="136">
        <f t="shared" si="669"/>
        <v>2</v>
      </c>
      <c r="F14291" s="137" t="s">
        <v>24</v>
      </c>
      <c r="G14291" s="128" t="str">
        <f>VLOOKUP(source[[#This Row],[lending_product_transform]],[3]Mapping!$B$4:$C$37,2,0)</f>
        <v>[Cake] - Cashloan</v>
      </c>
      <c r="H14291" s="128" t="str">
        <f>VLOOKUP(source[[#This Row],[lending_product_transform]],[3]Mapping!$B$3:$D$37,3,0)</f>
        <v>cashloan</v>
      </c>
      <c r="I14291" s="143">
        <v>16327360000</v>
      </c>
    </row>
    <row r="14292" spans="1:9" x14ac:dyDescent="0.2">
      <c r="A14292" s="134">
        <v>46114</v>
      </c>
      <c r="B14292" s="135">
        <f>YEAR(source[[#This Row],[report_date]])</f>
        <v>2026</v>
      </c>
      <c r="C14292" s="128">
        <f t="shared" si="668"/>
        <v>4</v>
      </c>
      <c r="D14292" s="136">
        <f t="shared" si="670"/>
        <v>14</v>
      </c>
      <c r="E14292" s="136">
        <f t="shared" si="669"/>
        <v>2</v>
      </c>
      <c r="F14292" s="137" t="s">
        <v>24</v>
      </c>
      <c r="G14292" s="128" t="str">
        <f>VLOOKUP(source[[#This Row],[lending_product_transform]],[3]Mapping!$B$4:$C$37,2,0)</f>
        <v>[Cake] - Cashloan</v>
      </c>
      <c r="H14292" s="128" t="str">
        <f>VLOOKUP(source[[#This Row],[lending_product_transform]],[3]Mapping!$B$3:$D$37,3,0)</f>
        <v>cashloan</v>
      </c>
      <c r="I14292" s="143">
        <v>0</v>
      </c>
    </row>
    <row r="14293" spans="1:9" x14ac:dyDescent="0.2">
      <c r="A14293" s="134">
        <v>46114</v>
      </c>
      <c r="B14293" s="135">
        <f>YEAR(source[[#This Row],[report_date]])</f>
        <v>2026</v>
      </c>
      <c r="C14293" s="128">
        <f t="shared" si="668"/>
        <v>4</v>
      </c>
      <c r="D14293" s="136">
        <f t="shared" si="670"/>
        <v>14</v>
      </c>
      <c r="E14293" s="136">
        <f t="shared" si="669"/>
        <v>2</v>
      </c>
      <c r="F14293" s="137" t="s">
        <v>24</v>
      </c>
      <c r="G14293" s="128" t="str">
        <f>VLOOKUP(source[[#This Row],[lending_product_transform]],[3]Mapping!$B$4:$C$37,2,0)</f>
        <v>[Cake] - Cashloan</v>
      </c>
      <c r="H14293" s="128" t="str">
        <f>VLOOKUP(source[[#This Row],[lending_product_transform]],[3]Mapping!$B$3:$D$37,3,0)</f>
        <v>cashloan</v>
      </c>
      <c r="I14293" s="143">
        <v>0</v>
      </c>
    </row>
    <row r="14294" spans="1:9" x14ac:dyDescent="0.2">
      <c r="A14294" s="134">
        <v>46114</v>
      </c>
      <c r="B14294" s="135">
        <f>YEAR(source[[#This Row],[report_date]])</f>
        <v>2026</v>
      </c>
      <c r="C14294" s="128">
        <f t="shared" si="668"/>
        <v>4</v>
      </c>
      <c r="D14294" s="136">
        <f t="shared" si="670"/>
        <v>14</v>
      </c>
      <c r="E14294" s="136">
        <f t="shared" si="669"/>
        <v>2</v>
      </c>
      <c r="F14294" s="137" t="s">
        <v>24</v>
      </c>
      <c r="G14294" s="128" t="str">
        <f>VLOOKUP(source[[#This Row],[lending_product_transform]],[3]Mapping!$B$4:$C$37,2,0)</f>
        <v>[Cake] - Cashloan</v>
      </c>
      <c r="H14294" s="128" t="str">
        <f>VLOOKUP(source[[#This Row],[lending_product_transform]],[3]Mapping!$B$3:$D$37,3,0)</f>
        <v>cashloan</v>
      </c>
      <c r="I14294" s="143">
        <v>0</v>
      </c>
    </row>
    <row r="14295" spans="1:9" x14ac:dyDescent="0.2">
      <c r="A14295" s="134">
        <v>46114</v>
      </c>
      <c r="B14295" s="135">
        <f>YEAR(source[[#This Row],[report_date]])</f>
        <v>2026</v>
      </c>
      <c r="C14295" s="128">
        <f t="shared" si="668"/>
        <v>4</v>
      </c>
      <c r="D14295" s="136">
        <f t="shared" si="670"/>
        <v>14</v>
      </c>
      <c r="E14295" s="136">
        <f t="shared" si="669"/>
        <v>2</v>
      </c>
      <c r="F14295" s="137" t="s">
        <v>24</v>
      </c>
      <c r="G14295" s="128" t="str">
        <f>VLOOKUP(source[[#This Row],[lending_product_transform]],[3]Mapping!$B$4:$C$37,2,0)</f>
        <v>[Cake] - Cashloan</v>
      </c>
      <c r="H14295" s="128" t="str">
        <f>VLOOKUP(source[[#This Row],[lending_product_transform]],[3]Mapping!$B$3:$D$37,3,0)</f>
        <v>cashloan</v>
      </c>
      <c r="I14295" s="143">
        <v>21400000</v>
      </c>
    </row>
    <row r="14296" spans="1:9" x14ac:dyDescent="0.2">
      <c r="A14296" s="134">
        <v>46114</v>
      </c>
      <c r="B14296" s="135">
        <f>YEAR(source[[#This Row],[report_date]])</f>
        <v>2026</v>
      </c>
      <c r="C14296" s="128">
        <f t="shared" si="668"/>
        <v>4</v>
      </c>
      <c r="D14296" s="136">
        <f t="shared" si="670"/>
        <v>14</v>
      </c>
      <c r="E14296" s="136">
        <f t="shared" si="669"/>
        <v>2</v>
      </c>
      <c r="F14296" s="137" t="s">
        <v>24</v>
      </c>
      <c r="G14296" s="128" t="str">
        <f>VLOOKUP(source[[#This Row],[lending_product_transform]],[3]Mapping!$B$4:$C$37,2,0)</f>
        <v>[Cake] - Cashloan</v>
      </c>
      <c r="H14296" s="128" t="str">
        <f>VLOOKUP(source[[#This Row],[lending_product_transform]],[3]Mapping!$B$3:$D$37,3,0)</f>
        <v>cashloan</v>
      </c>
      <c r="I14296" s="143">
        <v>11229300000</v>
      </c>
    </row>
    <row r="14297" spans="1:9" x14ac:dyDescent="0.2">
      <c r="A14297" s="134">
        <v>46114</v>
      </c>
      <c r="B14297" s="135">
        <f>YEAR(source[[#This Row],[report_date]])</f>
        <v>2026</v>
      </c>
      <c r="C14297" s="128">
        <f t="shared" si="668"/>
        <v>4</v>
      </c>
      <c r="D14297" s="136">
        <f t="shared" si="670"/>
        <v>14</v>
      </c>
      <c r="E14297" s="136">
        <f t="shared" si="669"/>
        <v>2</v>
      </c>
      <c r="F14297" s="137" t="s">
        <v>24</v>
      </c>
      <c r="G14297" s="128" t="str">
        <f>VLOOKUP(source[[#This Row],[lending_product_transform]],[3]Mapping!$B$4:$C$37,2,0)</f>
        <v>[Cake] - Cashloan</v>
      </c>
      <c r="H14297" s="128" t="str">
        <f>VLOOKUP(source[[#This Row],[lending_product_transform]],[3]Mapping!$B$3:$D$37,3,0)</f>
        <v>cashloan</v>
      </c>
      <c r="I14297" s="143">
        <v>420440924</v>
      </c>
    </row>
    <row r="14298" spans="1:9" x14ac:dyDescent="0.2">
      <c r="A14298" s="134">
        <v>46114</v>
      </c>
      <c r="B14298" s="135">
        <f>YEAR(source[[#This Row],[report_date]])</f>
        <v>2026</v>
      </c>
      <c r="C14298" s="128">
        <f t="shared" si="668"/>
        <v>4</v>
      </c>
      <c r="D14298" s="136">
        <f t="shared" si="670"/>
        <v>14</v>
      </c>
      <c r="E14298" s="136">
        <f t="shared" si="669"/>
        <v>2</v>
      </c>
      <c r="F14298" s="137" t="s">
        <v>24</v>
      </c>
      <c r="G14298" s="128" t="str">
        <f>VLOOKUP(source[[#This Row],[lending_product_transform]],[3]Mapping!$B$4:$C$37,2,0)</f>
        <v>[Cake] - Cashloan</v>
      </c>
      <c r="H14298" s="128" t="str">
        <f>VLOOKUP(source[[#This Row],[lending_product_transform]],[3]Mapping!$B$3:$D$37,3,0)</f>
        <v>cashloan</v>
      </c>
      <c r="I14298" s="143">
        <v>29500000</v>
      </c>
    </row>
    <row r="14299" spans="1:9" x14ac:dyDescent="0.2">
      <c r="A14299" s="134">
        <v>46114</v>
      </c>
      <c r="B14299" s="135">
        <f>YEAR(source[[#This Row],[report_date]])</f>
        <v>2026</v>
      </c>
      <c r="C14299" s="128">
        <f t="shared" si="668"/>
        <v>4</v>
      </c>
      <c r="D14299" s="136">
        <f t="shared" si="670"/>
        <v>14</v>
      </c>
      <c r="E14299" s="136">
        <f t="shared" si="669"/>
        <v>2</v>
      </c>
      <c r="F14299" s="137" t="s">
        <v>24</v>
      </c>
      <c r="G14299" s="128" t="str">
        <f>VLOOKUP(source[[#This Row],[lending_product_transform]],[3]Mapping!$B$4:$C$37,2,0)</f>
        <v>[Cake] - Cashloan</v>
      </c>
      <c r="H14299" s="128" t="str">
        <f>VLOOKUP(source[[#This Row],[lending_product_transform]],[3]Mapping!$B$3:$D$37,3,0)</f>
        <v>cashloan</v>
      </c>
      <c r="I14299" s="143">
        <v>58000000</v>
      </c>
    </row>
    <row r="14300" spans="1:9" x14ac:dyDescent="0.2">
      <c r="A14300" s="134">
        <v>46114</v>
      </c>
      <c r="B14300" s="135">
        <f>YEAR(source[[#This Row],[report_date]])</f>
        <v>2026</v>
      </c>
      <c r="C14300" s="128">
        <f t="shared" si="668"/>
        <v>4</v>
      </c>
      <c r="D14300" s="136">
        <f t="shared" si="670"/>
        <v>14</v>
      </c>
      <c r="E14300" s="136">
        <f t="shared" si="669"/>
        <v>2</v>
      </c>
      <c r="F14300" s="137" t="s">
        <v>24</v>
      </c>
      <c r="G14300" s="128" t="str">
        <f>VLOOKUP(source[[#This Row],[lending_product_transform]],[3]Mapping!$B$4:$C$37,2,0)</f>
        <v>[Cake] - Cashloan</v>
      </c>
      <c r="H14300" s="128" t="str">
        <f>VLOOKUP(source[[#This Row],[lending_product_transform]],[3]Mapping!$B$3:$D$37,3,0)</f>
        <v>cashloan</v>
      </c>
      <c r="I14300" s="143">
        <v>576530000</v>
      </c>
    </row>
    <row r="14301" spans="1:9" x14ac:dyDescent="0.2">
      <c r="A14301" s="134">
        <v>46114</v>
      </c>
      <c r="B14301" s="135">
        <f>YEAR(source[[#This Row],[report_date]])</f>
        <v>2026</v>
      </c>
      <c r="C14301" s="128">
        <f t="shared" si="668"/>
        <v>4</v>
      </c>
      <c r="D14301" s="136">
        <f t="shared" si="670"/>
        <v>14</v>
      </c>
      <c r="E14301" s="136">
        <f t="shared" si="669"/>
        <v>2</v>
      </c>
      <c r="F14301" s="137" t="s">
        <v>24</v>
      </c>
      <c r="G14301" s="128" t="str">
        <f>VLOOKUP(source[[#This Row],[lending_product_transform]],[3]Mapping!$B$4:$C$37,2,0)</f>
        <v>[Cake] - Cashloan</v>
      </c>
      <c r="H14301" s="128" t="str">
        <f>VLOOKUP(source[[#This Row],[lending_product_transform]],[3]Mapping!$B$3:$D$37,3,0)</f>
        <v>cashloan</v>
      </c>
      <c r="I14301" s="143">
        <v>314820000</v>
      </c>
    </row>
    <row r="14302" spans="1:9" x14ac:dyDescent="0.2">
      <c r="A14302" s="134">
        <v>46114</v>
      </c>
      <c r="B14302" s="135">
        <f>YEAR(source[[#This Row],[report_date]])</f>
        <v>2026</v>
      </c>
      <c r="C14302" s="128">
        <f t="shared" si="668"/>
        <v>4</v>
      </c>
      <c r="D14302" s="136">
        <f t="shared" si="670"/>
        <v>14</v>
      </c>
      <c r="E14302" s="136">
        <f t="shared" si="669"/>
        <v>2</v>
      </c>
      <c r="F14302" s="137" t="s">
        <v>24</v>
      </c>
      <c r="G14302" s="128" t="str">
        <f>VLOOKUP(source[[#This Row],[lending_product_transform]],[3]Mapping!$B$4:$C$37,2,0)</f>
        <v>[Cake] - Cashloan</v>
      </c>
      <c r="H14302" s="128" t="str">
        <f>VLOOKUP(source[[#This Row],[lending_product_transform]],[3]Mapping!$B$3:$D$37,3,0)</f>
        <v>cashloan</v>
      </c>
      <c r="I14302" s="143">
        <v>912032990</v>
      </c>
    </row>
    <row r="14303" spans="1:9" x14ac:dyDescent="0.2">
      <c r="A14303" s="134">
        <v>46114</v>
      </c>
      <c r="B14303" s="135">
        <f>YEAR(source[[#This Row],[report_date]])</f>
        <v>2026</v>
      </c>
      <c r="C14303" s="128">
        <f t="shared" si="668"/>
        <v>4</v>
      </c>
      <c r="D14303" s="136">
        <f t="shared" si="670"/>
        <v>14</v>
      </c>
      <c r="E14303" s="136">
        <f t="shared" si="669"/>
        <v>2</v>
      </c>
      <c r="F14303" s="137" t="s">
        <v>24</v>
      </c>
      <c r="G14303" s="128" t="str">
        <f>VLOOKUP(source[[#This Row],[lending_product_transform]],[3]Mapping!$B$4:$C$37,2,0)</f>
        <v>[Cake] - Cashloan</v>
      </c>
      <c r="H14303" s="128" t="str">
        <f>VLOOKUP(source[[#This Row],[lending_product_transform]],[3]Mapping!$B$3:$D$37,3,0)</f>
        <v>cashloan</v>
      </c>
      <c r="I14303" s="143">
        <v>8155820000</v>
      </c>
    </row>
    <row r="14304" spans="1:9" x14ac:dyDescent="0.2">
      <c r="A14304" s="134">
        <v>46114</v>
      </c>
      <c r="B14304" s="135">
        <f>YEAR(source[[#This Row],[report_date]])</f>
        <v>2026</v>
      </c>
      <c r="C14304" s="128">
        <f t="shared" si="668"/>
        <v>4</v>
      </c>
      <c r="D14304" s="136">
        <f t="shared" si="670"/>
        <v>14</v>
      </c>
      <c r="E14304" s="136">
        <f t="shared" si="669"/>
        <v>2</v>
      </c>
      <c r="F14304" s="137" t="s">
        <v>24</v>
      </c>
      <c r="G14304" s="128" t="str">
        <f>VLOOKUP(source[[#This Row],[lending_product_transform]],[3]Mapping!$B$4:$C$37,2,0)</f>
        <v>[Cake] - Cashloan</v>
      </c>
      <c r="H14304" s="128" t="str">
        <f>VLOOKUP(source[[#This Row],[lending_product_transform]],[3]Mapping!$B$3:$D$37,3,0)</f>
        <v>cashloan</v>
      </c>
      <c r="I14304" s="143">
        <v>2160000</v>
      </c>
    </row>
    <row r="14305" spans="1:9" x14ac:dyDescent="0.2">
      <c r="A14305" s="134">
        <v>46115</v>
      </c>
      <c r="B14305" s="135">
        <f>YEAR(source[[#This Row],[report_date]])</f>
        <v>2026</v>
      </c>
      <c r="C14305" s="128">
        <f t="shared" si="668"/>
        <v>4</v>
      </c>
      <c r="D14305" s="136">
        <f t="shared" si="670"/>
        <v>14</v>
      </c>
      <c r="E14305" s="136">
        <f t="shared" si="669"/>
        <v>3</v>
      </c>
      <c r="F14305" s="137" t="s">
        <v>24</v>
      </c>
      <c r="G14305" s="128" t="str">
        <f>VLOOKUP(source[[#This Row],[lending_product_transform]],[3]Mapping!$B$4:$C$37,2,0)</f>
        <v>[Cake] - Cashloan</v>
      </c>
      <c r="H14305" s="128" t="str">
        <f>VLOOKUP(source[[#This Row],[lending_product_transform]],[3]Mapping!$B$3:$D$37,3,0)</f>
        <v>cashloan</v>
      </c>
      <c r="I14305" s="143">
        <v>495880000</v>
      </c>
    </row>
    <row r="14306" spans="1:9" x14ac:dyDescent="0.2">
      <c r="A14306" s="134">
        <v>46115</v>
      </c>
      <c r="B14306" s="135">
        <f>YEAR(source[[#This Row],[report_date]])</f>
        <v>2026</v>
      </c>
      <c r="C14306" s="128">
        <f t="shared" si="668"/>
        <v>4</v>
      </c>
      <c r="D14306" s="136">
        <f t="shared" si="670"/>
        <v>14</v>
      </c>
      <c r="E14306" s="136">
        <f t="shared" si="669"/>
        <v>3</v>
      </c>
      <c r="F14306" s="137" t="s">
        <v>24</v>
      </c>
      <c r="G14306" s="128" t="str">
        <f>VLOOKUP(source[[#This Row],[lending_product_transform]],[3]Mapping!$B$4:$C$37,2,0)</f>
        <v>[Cake] - Cashloan</v>
      </c>
      <c r="H14306" s="128" t="str">
        <f>VLOOKUP(source[[#This Row],[lending_product_transform]],[3]Mapping!$B$3:$D$37,3,0)</f>
        <v>cashloan</v>
      </c>
      <c r="I14306" s="143">
        <v>398855712</v>
      </c>
    </row>
    <row r="14307" spans="1:9" x14ac:dyDescent="0.2">
      <c r="A14307" s="134">
        <v>46115</v>
      </c>
      <c r="B14307" s="135">
        <f>YEAR(source[[#This Row],[report_date]])</f>
        <v>2026</v>
      </c>
      <c r="C14307" s="128">
        <f t="shared" si="668"/>
        <v>4</v>
      </c>
      <c r="D14307" s="136">
        <f t="shared" si="670"/>
        <v>14</v>
      </c>
      <c r="E14307" s="136">
        <f t="shared" si="669"/>
        <v>3</v>
      </c>
      <c r="F14307" s="137" t="s">
        <v>24</v>
      </c>
      <c r="G14307" s="128" t="str">
        <f>VLOOKUP(source[[#This Row],[lending_product_transform]],[3]Mapping!$B$4:$C$37,2,0)</f>
        <v>[Cake] - Cashloan</v>
      </c>
      <c r="H14307" s="128" t="str">
        <f>VLOOKUP(source[[#This Row],[lending_product_transform]],[3]Mapping!$B$3:$D$37,3,0)</f>
        <v>cashloan</v>
      </c>
      <c r="I14307" s="143">
        <v>20172160000</v>
      </c>
    </row>
    <row r="14308" spans="1:9" x14ac:dyDescent="0.2">
      <c r="A14308" s="134">
        <v>46115</v>
      </c>
      <c r="B14308" s="135">
        <f>YEAR(source[[#This Row],[report_date]])</f>
        <v>2026</v>
      </c>
      <c r="C14308" s="128">
        <f t="shared" si="668"/>
        <v>4</v>
      </c>
      <c r="D14308" s="136">
        <f t="shared" si="670"/>
        <v>14</v>
      </c>
      <c r="E14308" s="136">
        <f t="shared" si="669"/>
        <v>3</v>
      </c>
      <c r="F14308" s="137" t="s">
        <v>24</v>
      </c>
      <c r="G14308" s="128" t="str">
        <f>VLOOKUP(source[[#This Row],[lending_product_transform]],[3]Mapping!$B$4:$C$37,2,0)</f>
        <v>[Cake] - Cashloan</v>
      </c>
      <c r="H14308" s="128" t="str">
        <f>VLOOKUP(source[[#This Row],[lending_product_transform]],[3]Mapping!$B$3:$D$37,3,0)</f>
        <v>cashloan</v>
      </c>
      <c r="I14308" s="143">
        <v>2047843328</v>
      </c>
    </row>
    <row r="14309" spans="1:9" x14ac:dyDescent="0.2">
      <c r="A14309" s="134">
        <v>46115</v>
      </c>
      <c r="B14309" s="135">
        <f>YEAR(source[[#This Row],[report_date]])</f>
        <v>2026</v>
      </c>
      <c r="C14309" s="128">
        <f t="shared" si="668"/>
        <v>4</v>
      </c>
      <c r="D14309" s="136">
        <f t="shared" si="670"/>
        <v>14</v>
      </c>
      <c r="E14309" s="136">
        <f t="shared" si="669"/>
        <v>3</v>
      </c>
      <c r="F14309" s="137" t="s">
        <v>24</v>
      </c>
      <c r="G14309" s="128" t="str">
        <f>VLOOKUP(source[[#This Row],[lending_product_transform]],[3]Mapping!$B$4:$C$37,2,0)</f>
        <v>[Cake] - Cashloan</v>
      </c>
      <c r="H14309" s="128" t="str">
        <f>VLOOKUP(source[[#This Row],[lending_product_transform]],[3]Mapping!$B$3:$D$37,3,0)</f>
        <v>cashloan</v>
      </c>
      <c r="I14309" s="143">
        <v>14106960000</v>
      </c>
    </row>
    <row r="14310" spans="1:9" x14ac:dyDescent="0.2">
      <c r="A14310" s="134">
        <v>46115</v>
      </c>
      <c r="B14310" s="135">
        <f>YEAR(source[[#This Row],[report_date]])</f>
        <v>2026</v>
      </c>
      <c r="C14310" s="128">
        <f t="shared" si="668"/>
        <v>4</v>
      </c>
      <c r="D14310" s="136">
        <f t="shared" si="670"/>
        <v>14</v>
      </c>
      <c r="E14310" s="136">
        <f t="shared" si="669"/>
        <v>3</v>
      </c>
      <c r="F14310" s="137" t="s">
        <v>24</v>
      </c>
      <c r="G14310" s="128" t="str">
        <f>VLOOKUP(source[[#This Row],[lending_product_transform]],[3]Mapping!$B$4:$C$37,2,0)</f>
        <v>[Cake] - Cashloan</v>
      </c>
      <c r="H14310" s="128" t="str">
        <f>VLOOKUP(source[[#This Row],[lending_product_transform]],[3]Mapping!$B$3:$D$37,3,0)</f>
        <v>cashloan</v>
      </c>
      <c r="I14310" s="143">
        <v>0</v>
      </c>
    </row>
    <row r="14311" spans="1:9" x14ac:dyDescent="0.2">
      <c r="A14311" s="134">
        <v>46115</v>
      </c>
      <c r="B14311" s="135">
        <f>YEAR(source[[#This Row],[report_date]])</f>
        <v>2026</v>
      </c>
      <c r="C14311" s="128">
        <f t="shared" si="668"/>
        <v>4</v>
      </c>
      <c r="D14311" s="136">
        <f t="shared" si="670"/>
        <v>14</v>
      </c>
      <c r="E14311" s="136">
        <f t="shared" si="669"/>
        <v>3</v>
      </c>
      <c r="F14311" s="137" t="s">
        <v>24</v>
      </c>
      <c r="G14311" s="128" t="str">
        <f>VLOOKUP(source[[#This Row],[lending_product_transform]],[3]Mapping!$B$4:$C$37,2,0)</f>
        <v>[Cake] - Cashloan</v>
      </c>
      <c r="H14311" s="128" t="str">
        <f>VLOOKUP(source[[#This Row],[lending_product_transform]],[3]Mapping!$B$3:$D$37,3,0)</f>
        <v>cashloan</v>
      </c>
      <c r="I14311" s="143">
        <v>0</v>
      </c>
    </row>
    <row r="14312" spans="1:9" x14ac:dyDescent="0.2">
      <c r="A14312" s="134">
        <v>46115</v>
      </c>
      <c r="B14312" s="135">
        <f>YEAR(source[[#This Row],[report_date]])</f>
        <v>2026</v>
      </c>
      <c r="C14312" s="128">
        <f t="shared" si="668"/>
        <v>4</v>
      </c>
      <c r="D14312" s="136">
        <f t="shared" si="670"/>
        <v>14</v>
      </c>
      <c r="E14312" s="136">
        <f t="shared" si="669"/>
        <v>3</v>
      </c>
      <c r="F14312" s="137" t="s">
        <v>24</v>
      </c>
      <c r="G14312" s="128" t="str">
        <f>VLOOKUP(source[[#This Row],[lending_product_transform]],[3]Mapping!$B$4:$C$37,2,0)</f>
        <v>[Cake] - Cashloan</v>
      </c>
      <c r="H14312" s="128" t="str">
        <f>VLOOKUP(source[[#This Row],[lending_product_transform]],[3]Mapping!$B$3:$D$37,3,0)</f>
        <v>cashloan</v>
      </c>
      <c r="I14312" s="143">
        <v>1956850000</v>
      </c>
    </row>
    <row r="14313" spans="1:9" x14ac:dyDescent="0.2">
      <c r="A14313" s="134">
        <v>46115</v>
      </c>
      <c r="B14313" s="135">
        <f>YEAR(source[[#This Row],[report_date]])</f>
        <v>2026</v>
      </c>
      <c r="C14313" s="128">
        <f t="shared" si="668"/>
        <v>4</v>
      </c>
      <c r="D14313" s="136">
        <f t="shared" si="670"/>
        <v>14</v>
      </c>
      <c r="E14313" s="136">
        <f t="shared" si="669"/>
        <v>3</v>
      </c>
      <c r="F14313" s="137" t="s">
        <v>24</v>
      </c>
      <c r="G14313" s="128" t="str">
        <f>VLOOKUP(source[[#This Row],[lending_product_transform]],[3]Mapping!$B$4:$C$37,2,0)</f>
        <v>[Cake] - Cashloan</v>
      </c>
      <c r="H14313" s="128" t="str">
        <f>VLOOKUP(source[[#This Row],[lending_product_transform]],[3]Mapping!$B$3:$D$37,3,0)</f>
        <v>cashloan</v>
      </c>
      <c r="I14313" s="143">
        <v>717470000</v>
      </c>
    </row>
    <row r="14314" spans="1:9" x14ac:dyDescent="0.2">
      <c r="A14314" s="134">
        <v>46115</v>
      </c>
      <c r="B14314" s="135">
        <f>YEAR(source[[#This Row],[report_date]])</f>
        <v>2026</v>
      </c>
      <c r="C14314" s="128">
        <f t="shared" si="668"/>
        <v>4</v>
      </c>
      <c r="D14314" s="136">
        <f t="shared" si="670"/>
        <v>14</v>
      </c>
      <c r="E14314" s="136">
        <f t="shared" si="669"/>
        <v>3</v>
      </c>
      <c r="F14314" s="137" t="s">
        <v>24</v>
      </c>
      <c r="G14314" s="128" t="str">
        <f>VLOOKUP(source[[#This Row],[lending_product_transform]],[3]Mapping!$B$4:$C$37,2,0)</f>
        <v>[Cake] - Cashloan</v>
      </c>
      <c r="H14314" s="128" t="str">
        <f>VLOOKUP(source[[#This Row],[lending_product_transform]],[3]Mapping!$B$3:$D$37,3,0)</f>
        <v>cashloan</v>
      </c>
      <c r="I14314" s="143">
        <v>32629158</v>
      </c>
    </row>
    <row r="14315" spans="1:9" x14ac:dyDescent="0.2">
      <c r="A14315" s="134">
        <v>46115</v>
      </c>
      <c r="B14315" s="135">
        <f>YEAR(source[[#This Row],[report_date]])</f>
        <v>2026</v>
      </c>
      <c r="C14315" s="128">
        <f t="shared" si="668"/>
        <v>4</v>
      </c>
      <c r="D14315" s="136">
        <f t="shared" si="670"/>
        <v>14</v>
      </c>
      <c r="E14315" s="136">
        <f t="shared" si="669"/>
        <v>3</v>
      </c>
      <c r="F14315" s="137" t="s">
        <v>24</v>
      </c>
      <c r="G14315" s="128" t="str">
        <f>VLOOKUP(source[[#This Row],[lending_product_transform]],[3]Mapping!$B$4:$C$37,2,0)</f>
        <v>[Cake] - Cashloan</v>
      </c>
      <c r="H14315" s="128" t="str">
        <f>VLOOKUP(source[[#This Row],[lending_product_transform]],[3]Mapping!$B$3:$D$37,3,0)</f>
        <v>cashloan</v>
      </c>
      <c r="I14315" s="143">
        <v>1599343908</v>
      </c>
    </row>
    <row r="14316" spans="1:9" x14ac:dyDescent="0.2">
      <c r="A14316" s="134">
        <v>46115</v>
      </c>
      <c r="B14316" s="135">
        <f>YEAR(source[[#This Row],[report_date]])</f>
        <v>2026</v>
      </c>
      <c r="C14316" s="128">
        <f t="shared" si="668"/>
        <v>4</v>
      </c>
      <c r="D14316" s="136">
        <f t="shared" si="670"/>
        <v>14</v>
      </c>
      <c r="E14316" s="136">
        <f t="shared" si="669"/>
        <v>3</v>
      </c>
      <c r="F14316" s="137" t="s">
        <v>24</v>
      </c>
      <c r="G14316" s="128" t="str">
        <f>VLOOKUP(source[[#This Row],[lending_product_transform]],[3]Mapping!$B$4:$C$37,2,0)</f>
        <v>[Cake] - Cashloan</v>
      </c>
      <c r="H14316" s="128" t="str">
        <f>VLOOKUP(source[[#This Row],[lending_product_transform]],[3]Mapping!$B$3:$D$37,3,0)</f>
        <v>cashloan</v>
      </c>
      <c r="I14316" s="143">
        <v>0</v>
      </c>
    </row>
    <row r="14317" spans="1:9" x14ac:dyDescent="0.2">
      <c r="A14317" s="134">
        <v>46115</v>
      </c>
      <c r="B14317" s="135">
        <f>YEAR(source[[#This Row],[report_date]])</f>
        <v>2026</v>
      </c>
      <c r="C14317" s="128">
        <f t="shared" si="668"/>
        <v>4</v>
      </c>
      <c r="D14317" s="136">
        <f t="shared" si="670"/>
        <v>14</v>
      </c>
      <c r="E14317" s="136">
        <f t="shared" si="669"/>
        <v>3</v>
      </c>
      <c r="F14317" s="137" t="s">
        <v>24</v>
      </c>
      <c r="G14317" s="128" t="str">
        <f>VLOOKUP(source[[#This Row],[lending_product_transform]],[3]Mapping!$B$4:$C$37,2,0)</f>
        <v>[Cake] - Cashloan</v>
      </c>
      <c r="H14317" s="128" t="str">
        <f>VLOOKUP(source[[#This Row],[lending_product_transform]],[3]Mapping!$B$3:$D$37,3,0)</f>
        <v>cashloan</v>
      </c>
      <c r="I14317" s="143">
        <v>25500000</v>
      </c>
    </row>
    <row r="14318" spans="1:9" x14ac:dyDescent="0.2">
      <c r="A14318" s="134">
        <v>46115</v>
      </c>
      <c r="B14318" s="135">
        <f>YEAR(source[[#This Row],[report_date]])</f>
        <v>2026</v>
      </c>
      <c r="C14318" s="128">
        <f t="shared" si="668"/>
        <v>4</v>
      </c>
      <c r="D14318" s="136">
        <f t="shared" si="670"/>
        <v>14</v>
      </c>
      <c r="E14318" s="136">
        <f t="shared" si="669"/>
        <v>3</v>
      </c>
      <c r="F14318" s="137" t="s">
        <v>24</v>
      </c>
      <c r="G14318" s="128" t="str">
        <f>VLOOKUP(source[[#This Row],[lending_product_transform]],[3]Mapping!$B$4:$C$37,2,0)</f>
        <v>[Cake] - Cashloan</v>
      </c>
      <c r="H14318" s="128" t="str">
        <f>VLOOKUP(source[[#This Row],[lending_product_transform]],[3]Mapping!$B$3:$D$37,3,0)</f>
        <v>cashloan</v>
      </c>
      <c r="I14318" s="143">
        <v>82400000</v>
      </c>
    </row>
    <row r="14319" spans="1:9" x14ac:dyDescent="0.2">
      <c r="A14319" s="134">
        <v>46115</v>
      </c>
      <c r="B14319" s="135">
        <f>YEAR(source[[#This Row],[report_date]])</f>
        <v>2026</v>
      </c>
      <c r="C14319" s="128">
        <f t="shared" si="668"/>
        <v>4</v>
      </c>
      <c r="D14319" s="136">
        <f t="shared" si="670"/>
        <v>14</v>
      </c>
      <c r="E14319" s="136">
        <f t="shared" si="669"/>
        <v>3</v>
      </c>
      <c r="F14319" s="137" t="s">
        <v>24</v>
      </c>
      <c r="G14319" s="128" t="str">
        <f>VLOOKUP(source[[#This Row],[lending_product_transform]],[3]Mapping!$B$4:$C$37,2,0)</f>
        <v>[Cake] - Cashloan</v>
      </c>
      <c r="H14319" s="128" t="str">
        <f>VLOOKUP(source[[#This Row],[lending_product_transform]],[3]Mapping!$B$3:$D$37,3,0)</f>
        <v>cashloan</v>
      </c>
      <c r="I14319" s="143">
        <v>17836470000</v>
      </c>
    </row>
    <row r="14320" spans="1:9" x14ac:dyDescent="0.2">
      <c r="A14320" s="134">
        <v>46115</v>
      </c>
      <c r="B14320" s="135">
        <f>YEAR(source[[#This Row],[report_date]])</f>
        <v>2026</v>
      </c>
      <c r="C14320" s="128">
        <f t="shared" si="668"/>
        <v>4</v>
      </c>
      <c r="D14320" s="136">
        <f t="shared" si="670"/>
        <v>14</v>
      </c>
      <c r="E14320" s="136">
        <f t="shared" si="669"/>
        <v>3</v>
      </c>
      <c r="F14320" s="137" t="s">
        <v>24</v>
      </c>
      <c r="G14320" s="128" t="str">
        <f>VLOOKUP(source[[#This Row],[lending_product_transform]],[3]Mapping!$B$4:$C$37,2,0)</f>
        <v>[Cake] - Cashloan</v>
      </c>
      <c r="H14320" s="128" t="str">
        <f>VLOOKUP(source[[#This Row],[lending_product_transform]],[3]Mapping!$B$3:$D$37,3,0)</f>
        <v>cashloan</v>
      </c>
      <c r="I14320" s="143">
        <v>0</v>
      </c>
    </row>
    <row r="14321" spans="1:9" x14ac:dyDescent="0.2">
      <c r="A14321" s="134">
        <v>46115</v>
      </c>
      <c r="B14321" s="135">
        <f>YEAR(source[[#This Row],[report_date]])</f>
        <v>2026</v>
      </c>
      <c r="C14321" s="128">
        <f t="shared" si="668"/>
        <v>4</v>
      </c>
      <c r="D14321" s="136">
        <f t="shared" si="670"/>
        <v>14</v>
      </c>
      <c r="E14321" s="136">
        <f t="shared" si="669"/>
        <v>3</v>
      </c>
      <c r="F14321" s="137" t="s">
        <v>24</v>
      </c>
      <c r="G14321" s="128" t="str">
        <f>VLOOKUP(source[[#This Row],[lending_product_transform]],[3]Mapping!$B$4:$C$37,2,0)</f>
        <v>[Cake] - Cashloan</v>
      </c>
      <c r="H14321" s="128" t="str">
        <f>VLOOKUP(source[[#This Row],[lending_product_transform]],[3]Mapping!$B$3:$D$37,3,0)</f>
        <v>cashloan</v>
      </c>
      <c r="I14321" s="143">
        <v>0</v>
      </c>
    </row>
    <row r="14322" spans="1:9" x14ac:dyDescent="0.2">
      <c r="A14322" s="134">
        <v>46115</v>
      </c>
      <c r="B14322" s="135">
        <f>YEAR(source[[#This Row],[report_date]])</f>
        <v>2026</v>
      </c>
      <c r="C14322" s="128">
        <f t="shared" si="668"/>
        <v>4</v>
      </c>
      <c r="D14322" s="136">
        <f t="shared" si="670"/>
        <v>14</v>
      </c>
      <c r="E14322" s="136">
        <f t="shared" si="669"/>
        <v>3</v>
      </c>
      <c r="F14322" s="137" t="s">
        <v>24</v>
      </c>
      <c r="G14322" s="128" t="str">
        <f>VLOOKUP(source[[#This Row],[lending_product_transform]],[3]Mapping!$B$4:$C$37,2,0)</f>
        <v>[Cake] - Cashloan</v>
      </c>
      <c r="H14322" s="128" t="str">
        <f>VLOOKUP(source[[#This Row],[lending_product_transform]],[3]Mapping!$B$3:$D$37,3,0)</f>
        <v>cashloan</v>
      </c>
      <c r="I14322" s="143">
        <v>0</v>
      </c>
    </row>
    <row r="14323" spans="1:9" x14ac:dyDescent="0.2">
      <c r="A14323" s="134">
        <v>46115</v>
      </c>
      <c r="B14323" s="135">
        <f>YEAR(source[[#This Row],[report_date]])</f>
        <v>2026</v>
      </c>
      <c r="C14323" s="128">
        <f t="shared" si="668"/>
        <v>4</v>
      </c>
      <c r="D14323" s="136">
        <f t="shared" si="670"/>
        <v>14</v>
      </c>
      <c r="E14323" s="136">
        <f t="shared" si="669"/>
        <v>3</v>
      </c>
      <c r="F14323" s="137" t="s">
        <v>24</v>
      </c>
      <c r="G14323" s="128" t="str">
        <f>VLOOKUP(source[[#This Row],[lending_product_transform]],[3]Mapping!$B$4:$C$37,2,0)</f>
        <v>[Cake] - Cashloan</v>
      </c>
      <c r="H14323" s="128" t="str">
        <f>VLOOKUP(source[[#This Row],[lending_product_transform]],[3]Mapping!$B$3:$D$37,3,0)</f>
        <v>cashloan</v>
      </c>
      <c r="I14323" s="143">
        <v>0</v>
      </c>
    </row>
    <row r="14324" spans="1:9" x14ac:dyDescent="0.2">
      <c r="A14324" s="134">
        <v>46115</v>
      </c>
      <c r="B14324" s="135">
        <f>YEAR(source[[#This Row],[report_date]])</f>
        <v>2026</v>
      </c>
      <c r="C14324" s="128">
        <f t="shared" si="668"/>
        <v>4</v>
      </c>
      <c r="D14324" s="136">
        <f t="shared" si="670"/>
        <v>14</v>
      </c>
      <c r="E14324" s="136">
        <f t="shared" si="669"/>
        <v>3</v>
      </c>
      <c r="F14324" s="137" t="s">
        <v>24</v>
      </c>
      <c r="G14324" s="128" t="str">
        <f>VLOOKUP(source[[#This Row],[lending_product_transform]],[3]Mapping!$B$4:$C$37,2,0)</f>
        <v>[Cake] - Cashloan</v>
      </c>
      <c r="H14324" s="128" t="str">
        <f>VLOOKUP(source[[#This Row],[lending_product_transform]],[3]Mapping!$B$3:$D$37,3,0)</f>
        <v>cashloan</v>
      </c>
      <c r="I14324" s="143">
        <v>10819224000</v>
      </c>
    </row>
    <row r="14325" spans="1:9" x14ac:dyDescent="0.2">
      <c r="A14325" s="134">
        <v>46115</v>
      </c>
      <c r="B14325" s="135">
        <f>YEAR(source[[#This Row],[report_date]])</f>
        <v>2026</v>
      </c>
      <c r="C14325" s="128">
        <f t="shared" si="668"/>
        <v>4</v>
      </c>
      <c r="D14325" s="136">
        <f t="shared" si="670"/>
        <v>14</v>
      </c>
      <c r="E14325" s="136">
        <f t="shared" si="669"/>
        <v>3</v>
      </c>
      <c r="F14325" s="137" t="s">
        <v>24</v>
      </c>
      <c r="G14325" s="128" t="str">
        <f>VLOOKUP(source[[#This Row],[lending_product_transform]],[3]Mapping!$B$4:$C$37,2,0)</f>
        <v>[Cake] - Cashloan</v>
      </c>
      <c r="H14325" s="128" t="str">
        <f>VLOOKUP(source[[#This Row],[lending_product_transform]],[3]Mapping!$B$3:$D$37,3,0)</f>
        <v>cashloan</v>
      </c>
      <c r="I14325" s="143">
        <v>508044615</v>
      </c>
    </row>
    <row r="14326" spans="1:9" x14ac:dyDescent="0.2">
      <c r="A14326" s="134">
        <v>46115</v>
      </c>
      <c r="B14326" s="135">
        <f>YEAR(source[[#This Row],[report_date]])</f>
        <v>2026</v>
      </c>
      <c r="C14326" s="128">
        <f t="shared" ref="C14326:C14389" si="671">MONTH(A14326)</f>
        <v>4</v>
      </c>
      <c r="D14326" s="136">
        <f t="shared" si="670"/>
        <v>14</v>
      </c>
      <c r="E14326" s="136">
        <f t="shared" ref="E14326:E14389" si="672">DAY(A14326)</f>
        <v>3</v>
      </c>
      <c r="F14326" s="137" t="s">
        <v>24</v>
      </c>
      <c r="G14326" s="128" t="str">
        <f>VLOOKUP(source[[#This Row],[lending_product_transform]],[3]Mapping!$B$4:$C$37,2,0)</f>
        <v>[Cake] - Cashloan</v>
      </c>
      <c r="H14326" s="128" t="str">
        <f>VLOOKUP(source[[#This Row],[lending_product_transform]],[3]Mapping!$B$3:$D$37,3,0)</f>
        <v>cashloan</v>
      </c>
      <c r="I14326" s="143">
        <v>21000000</v>
      </c>
    </row>
    <row r="14327" spans="1:9" x14ac:dyDescent="0.2">
      <c r="A14327" s="134">
        <v>46115</v>
      </c>
      <c r="B14327" s="135">
        <f>YEAR(source[[#This Row],[report_date]])</f>
        <v>2026</v>
      </c>
      <c r="C14327" s="128">
        <f t="shared" si="671"/>
        <v>4</v>
      </c>
      <c r="D14327" s="136">
        <f t="shared" si="670"/>
        <v>14</v>
      </c>
      <c r="E14327" s="136">
        <f t="shared" si="672"/>
        <v>3</v>
      </c>
      <c r="F14327" s="137" t="s">
        <v>24</v>
      </c>
      <c r="G14327" s="128" t="str">
        <f>VLOOKUP(source[[#This Row],[lending_product_transform]],[3]Mapping!$B$4:$C$37,2,0)</f>
        <v>[Cake] - Cashloan</v>
      </c>
      <c r="H14327" s="128" t="str">
        <f>VLOOKUP(source[[#This Row],[lending_product_transform]],[3]Mapping!$B$3:$D$37,3,0)</f>
        <v>cashloan</v>
      </c>
      <c r="I14327" s="143">
        <v>38000000</v>
      </c>
    </row>
    <row r="14328" spans="1:9" x14ac:dyDescent="0.2">
      <c r="A14328" s="134">
        <v>46115</v>
      </c>
      <c r="B14328" s="135">
        <f>YEAR(source[[#This Row],[report_date]])</f>
        <v>2026</v>
      </c>
      <c r="C14328" s="128">
        <f t="shared" si="671"/>
        <v>4</v>
      </c>
      <c r="D14328" s="136">
        <f t="shared" si="670"/>
        <v>14</v>
      </c>
      <c r="E14328" s="136">
        <f t="shared" si="672"/>
        <v>3</v>
      </c>
      <c r="F14328" s="137" t="s">
        <v>24</v>
      </c>
      <c r="G14328" s="128" t="str">
        <f>VLOOKUP(source[[#This Row],[lending_product_transform]],[3]Mapping!$B$4:$C$37,2,0)</f>
        <v>[Cake] - Cashloan</v>
      </c>
      <c r="H14328" s="128" t="str">
        <f>VLOOKUP(source[[#This Row],[lending_product_transform]],[3]Mapping!$B$3:$D$37,3,0)</f>
        <v>cashloan</v>
      </c>
      <c r="I14328" s="143">
        <v>796090000</v>
      </c>
    </row>
    <row r="14329" spans="1:9" x14ac:dyDescent="0.2">
      <c r="A14329" s="134">
        <v>46115</v>
      </c>
      <c r="B14329" s="135">
        <f>YEAR(source[[#This Row],[report_date]])</f>
        <v>2026</v>
      </c>
      <c r="C14329" s="128">
        <f t="shared" si="671"/>
        <v>4</v>
      </c>
      <c r="D14329" s="136">
        <f t="shared" si="670"/>
        <v>14</v>
      </c>
      <c r="E14329" s="136">
        <f t="shared" si="672"/>
        <v>3</v>
      </c>
      <c r="F14329" s="137" t="s">
        <v>24</v>
      </c>
      <c r="G14329" s="128" t="str">
        <f>VLOOKUP(source[[#This Row],[lending_product_transform]],[3]Mapping!$B$4:$C$37,2,0)</f>
        <v>[Cake] - Cashloan</v>
      </c>
      <c r="H14329" s="128" t="str">
        <f>VLOOKUP(source[[#This Row],[lending_product_transform]],[3]Mapping!$B$3:$D$37,3,0)</f>
        <v>cashloan</v>
      </c>
      <c r="I14329" s="143">
        <v>313200000</v>
      </c>
    </row>
    <row r="14330" spans="1:9" x14ac:dyDescent="0.2">
      <c r="A14330" s="134">
        <v>46115</v>
      </c>
      <c r="B14330" s="135">
        <f>YEAR(source[[#This Row],[report_date]])</f>
        <v>2026</v>
      </c>
      <c r="C14330" s="128">
        <f t="shared" si="671"/>
        <v>4</v>
      </c>
      <c r="D14330" s="136">
        <f t="shared" si="670"/>
        <v>14</v>
      </c>
      <c r="E14330" s="136">
        <f t="shared" si="672"/>
        <v>3</v>
      </c>
      <c r="F14330" s="137" t="s">
        <v>24</v>
      </c>
      <c r="G14330" s="128" t="str">
        <f>VLOOKUP(source[[#This Row],[lending_product_transform]],[3]Mapping!$B$4:$C$37,2,0)</f>
        <v>[Cake] - Cashloan</v>
      </c>
      <c r="H14330" s="128" t="str">
        <f>VLOOKUP(source[[#This Row],[lending_product_transform]],[3]Mapping!$B$3:$D$37,3,0)</f>
        <v>cashloan</v>
      </c>
      <c r="I14330" s="143">
        <v>1299011380</v>
      </c>
    </row>
    <row r="14331" spans="1:9" x14ac:dyDescent="0.2">
      <c r="A14331" s="134">
        <v>46115</v>
      </c>
      <c r="B14331" s="135">
        <f>YEAR(source[[#This Row],[report_date]])</f>
        <v>2026</v>
      </c>
      <c r="C14331" s="128">
        <f t="shared" si="671"/>
        <v>4</v>
      </c>
      <c r="D14331" s="136">
        <f t="shared" si="670"/>
        <v>14</v>
      </c>
      <c r="E14331" s="136">
        <f t="shared" si="672"/>
        <v>3</v>
      </c>
      <c r="F14331" s="137" t="s">
        <v>24</v>
      </c>
      <c r="G14331" s="128" t="str">
        <f>VLOOKUP(source[[#This Row],[lending_product_transform]],[3]Mapping!$B$4:$C$37,2,0)</f>
        <v>[Cake] - Cashloan</v>
      </c>
      <c r="H14331" s="128" t="str">
        <f>VLOOKUP(source[[#This Row],[lending_product_transform]],[3]Mapping!$B$3:$D$37,3,0)</f>
        <v>cashloan</v>
      </c>
      <c r="I14331" s="143">
        <v>7863820000</v>
      </c>
    </row>
    <row r="14332" spans="1:9" x14ac:dyDescent="0.2">
      <c r="A14332" s="134">
        <v>46115</v>
      </c>
      <c r="B14332" s="135">
        <f>YEAR(source[[#This Row],[report_date]])</f>
        <v>2026</v>
      </c>
      <c r="C14332" s="128">
        <f t="shared" si="671"/>
        <v>4</v>
      </c>
      <c r="D14332" s="136">
        <f t="shared" si="670"/>
        <v>14</v>
      </c>
      <c r="E14332" s="136">
        <f t="shared" si="672"/>
        <v>3</v>
      </c>
      <c r="F14332" s="137" t="s">
        <v>24</v>
      </c>
      <c r="G14332" s="128" t="str">
        <f>VLOOKUP(source[[#This Row],[lending_product_transform]],[3]Mapping!$B$4:$C$37,2,0)</f>
        <v>[Cake] - Cashloan</v>
      </c>
      <c r="H14332" s="128" t="str">
        <f>VLOOKUP(source[[#This Row],[lending_product_transform]],[3]Mapping!$B$3:$D$37,3,0)</f>
        <v>cashloan</v>
      </c>
      <c r="I14332" s="143">
        <v>2160000</v>
      </c>
    </row>
    <row r="14333" spans="1:9" x14ac:dyDescent="0.2">
      <c r="A14333" s="134">
        <v>46116</v>
      </c>
      <c r="B14333" s="135">
        <f>YEAR(source[[#This Row],[report_date]])</f>
        <v>2026</v>
      </c>
      <c r="C14333" s="128">
        <f t="shared" si="671"/>
        <v>4</v>
      </c>
      <c r="D14333" s="136">
        <f t="shared" si="670"/>
        <v>14</v>
      </c>
      <c r="E14333" s="136">
        <f t="shared" si="672"/>
        <v>4</v>
      </c>
      <c r="F14333" s="137" t="s">
        <v>24</v>
      </c>
      <c r="G14333" s="128" t="str">
        <f>VLOOKUP(source[[#This Row],[lending_product_transform]],[3]Mapping!$B$4:$C$37,2,0)</f>
        <v>[Cake] - Cashloan</v>
      </c>
      <c r="H14333" s="128" t="str">
        <f>VLOOKUP(source[[#This Row],[lending_product_transform]],[3]Mapping!$B$3:$D$37,3,0)</f>
        <v>cashloan</v>
      </c>
      <c r="I14333" s="143">
        <v>576150000</v>
      </c>
    </row>
    <row r="14334" spans="1:9" x14ac:dyDescent="0.2">
      <c r="A14334" s="134">
        <v>46116</v>
      </c>
      <c r="B14334" s="135">
        <f>YEAR(source[[#This Row],[report_date]])</f>
        <v>2026</v>
      </c>
      <c r="C14334" s="128">
        <f t="shared" si="671"/>
        <v>4</v>
      </c>
      <c r="D14334" s="136">
        <f t="shared" si="670"/>
        <v>14</v>
      </c>
      <c r="E14334" s="136">
        <f t="shared" si="672"/>
        <v>4</v>
      </c>
      <c r="F14334" s="137" t="s">
        <v>24</v>
      </c>
      <c r="G14334" s="128" t="str">
        <f>VLOOKUP(source[[#This Row],[lending_product_transform]],[3]Mapping!$B$4:$C$37,2,0)</f>
        <v>[Cake] - Cashloan</v>
      </c>
      <c r="H14334" s="128" t="str">
        <f>VLOOKUP(source[[#This Row],[lending_product_transform]],[3]Mapping!$B$3:$D$37,3,0)</f>
        <v>cashloan</v>
      </c>
      <c r="I14334" s="143">
        <v>513712363</v>
      </c>
    </row>
    <row r="14335" spans="1:9" x14ac:dyDescent="0.2">
      <c r="A14335" s="134">
        <v>46116</v>
      </c>
      <c r="B14335" s="135">
        <f>YEAR(source[[#This Row],[report_date]])</f>
        <v>2026</v>
      </c>
      <c r="C14335" s="128">
        <f t="shared" si="671"/>
        <v>4</v>
      </c>
      <c r="D14335" s="136">
        <f t="shared" si="670"/>
        <v>14</v>
      </c>
      <c r="E14335" s="136">
        <f t="shared" si="672"/>
        <v>4</v>
      </c>
      <c r="F14335" s="137" t="s">
        <v>24</v>
      </c>
      <c r="G14335" s="128" t="str">
        <f>VLOOKUP(source[[#This Row],[lending_product_transform]],[3]Mapping!$B$4:$C$37,2,0)</f>
        <v>[Cake] - Cashloan</v>
      </c>
      <c r="H14335" s="128" t="str">
        <f>VLOOKUP(source[[#This Row],[lending_product_transform]],[3]Mapping!$B$3:$D$37,3,0)</f>
        <v>cashloan</v>
      </c>
      <c r="I14335" s="143">
        <v>18382180000</v>
      </c>
    </row>
    <row r="14336" spans="1:9" x14ac:dyDescent="0.2">
      <c r="A14336" s="134">
        <v>46116</v>
      </c>
      <c r="B14336" s="135">
        <f>YEAR(source[[#This Row],[report_date]])</f>
        <v>2026</v>
      </c>
      <c r="C14336" s="128">
        <f t="shared" si="671"/>
        <v>4</v>
      </c>
      <c r="D14336" s="136">
        <f t="shared" si="670"/>
        <v>14</v>
      </c>
      <c r="E14336" s="136">
        <f t="shared" si="672"/>
        <v>4</v>
      </c>
      <c r="F14336" s="137" t="s">
        <v>24</v>
      </c>
      <c r="G14336" s="128" t="str">
        <f>VLOOKUP(source[[#This Row],[lending_product_transform]],[3]Mapping!$B$4:$C$37,2,0)</f>
        <v>[Cake] - Cashloan</v>
      </c>
      <c r="H14336" s="128" t="str">
        <f>VLOOKUP(source[[#This Row],[lending_product_transform]],[3]Mapping!$B$3:$D$37,3,0)</f>
        <v>cashloan</v>
      </c>
      <c r="I14336" s="143">
        <v>1855556717</v>
      </c>
    </row>
    <row r="14337" spans="1:9" x14ac:dyDescent="0.2">
      <c r="A14337" s="134">
        <v>46116</v>
      </c>
      <c r="B14337" s="135">
        <f>YEAR(source[[#This Row],[report_date]])</f>
        <v>2026</v>
      </c>
      <c r="C14337" s="128">
        <f t="shared" si="671"/>
        <v>4</v>
      </c>
      <c r="D14337" s="136">
        <f t="shared" si="670"/>
        <v>14</v>
      </c>
      <c r="E14337" s="136">
        <f t="shared" si="672"/>
        <v>4</v>
      </c>
      <c r="F14337" s="137" t="s">
        <v>24</v>
      </c>
      <c r="G14337" s="128" t="str">
        <f>VLOOKUP(source[[#This Row],[lending_product_transform]],[3]Mapping!$B$4:$C$37,2,0)</f>
        <v>[Cake] - Cashloan</v>
      </c>
      <c r="H14337" s="128" t="str">
        <f>VLOOKUP(source[[#This Row],[lending_product_transform]],[3]Mapping!$B$3:$D$37,3,0)</f>
        <v>cashloan</v>
      </c>
      <c r="I14337" s="143">
        <v>13801320000</v>
      </c>
    </row>
    <row r="14338" spans="1:9" x14ac:dyDescent="0.2">
      <c r="A14338" s="134">
        <v>46116</v>
      </c>
      <c r="B14338" s="135">
        <f>YEAR(source[[#This Row],[report_date]])</f>
        <v>2026</v>
      </c>
      <c r="C14338" s="128">
        <f t="shared" si="671"/>
        <v>4</v>
      </c>
      <c r="D14338" s="136">
        <f t="shared" si="670"/>
        <v>14</v>
      </c>
      <c r="E14338" s="136">
        <f t="shared" si="672"/>
        <v>4</v>
      </c>
      <c r="F14338" s="137" t="s">
        <v>24</v>
      </c>
      <c r="G14338" s="128" t="str">
        <f>VLOOKUP(source[[#This Row],[lending_product_transform]],[3]Mapping!$B$4:$C$37,2,0)</f>
        <v>[Cake] - Cashloan</v>
      </c>
      <c r="H14338" s="128" t="str">
        <f>VLOOKUP(source[[#This Row],[lending_product_transform]],[3]Mapping!$B$3:$D$37,3,0)</f>
        <v>cashloan</v>
      </c>
      <c r="I14338" s="143">
        <v>0</v>
      </c>
    </row>
    <row r="14339" spans="1:9" x14ac:dyDescent="0.2">
      <c r="A14339" s="134">
        <v>46116</v>
      </c>
      <c r="B14339" s="135">
        <f>YEAR(source[[#This Row],[report_date]])</f>
        <v>2026</v>
      </c>
      <c r="C14339" s="128">
        <f t="shared" si="671"/>
        <v>4</v>
      </c>
      <c r="D14339" s="136">
        <f t="shared" si="670"/>
        <v>14</v>
      </c>
      <c r="E14339" s="136">
        <f t="shared" si="672"/>
        <v>4</v>
      </c>
      <c r="F14339" s="137" t="s">
        <v>24</v>
      </c>
      <c r="G14339" s="128" t="str">
        <f>VLOOKUP(source[[#This Row],[lending_product_transform]],[3]Mapping!$B$4:$C$37,2,0)</f>
        <v>[Cake] - Cashloan</v>
      </c>
      <c r="H14339" s="128" t="str">
        <f>VLOOKUP(source[[#This Row],[lending_product_transform]],[3]Mapping!$B$3:$D$37,3,0)</f>
        <v>cashloan</v>
      </c>
      <c r="I14339" s="143">
        <v>0</v>
      </c>
    </row>
    <row r="14340" spans="1:9" x14ac:dyDescent="0.2">
      <c r="A14340" s="134">
        <v>46116</v>
      </c>
      <c r="B14340" s="135">
        <f>YEAR(source[[#This Row],[report_date]])</f>
        <v>2026</v>
      </c>
      <c r="C14340" s="128">
        <f t="shared" si="671"/>
        <v>4</v>
      </c>
      <c r="D14340" s="136">
        <f t="shared" si="670"/>
        <v>14</v>
      </c>
      <c r="E14340" s="136">
        <f t="shared" si="672"/>
        <v>4</v>
      </c>
      <c r="F14340" s="137" t="s">
        <v>24</v>
      </c>
      <c r="G14340" s="128" t="str">
        <f>VLOOKUP(source[[#This Row],[lending_product_transform]],[3]Mapping!$B$4:$C$37,2,0)</f>
        <v>[Cake] - Cashloan</v>
      </c>
      <c r="H14340" s="128" t="str">
        <f>VLOOKUP(source[[#This Row],[lending_product_transform]],[3]Mapping!$B$3:$D$37,3,0)</f>
        <v>cashloan</v>
      </c>
      <c r="I14340" s="143">
        <v>2658650000</v>
      </c>
    </row>
    <row r="14341" spans="1:9" x14ac:dyDescent="0.2">
      <c r="A14341" s="134">
        <v>46116</v>
      </c>
      <c r="B14341" s="135">
        <f>YEAR(source[[#This Row],[report_date]])</f>
        <v>2026</v>
      </c>
      <c r="C14341" s="128">
        <f t="shared" si="671"/>
        <v>4</v>
      </c>
      <c r="D14341" s="136">
        <f t="shared" si="670"/>
        <v>14</v>
      </c>
      <c r="E14341" s="136">
        <f t="shared" si="672"/>
        <v>4</v>
      </c>
      <c r="F14341" s="137" t="s">
        <v>24</v>
      </c>
      <c r="G14341" s="128" t="str">
        <f>VLOOKUP(source[[#This Row],[lending_product_transform]],[3]Mapping!$B$4:$C$37,2,0)</f>
        <v>[Cake] - Cashloan</v>
      </c>
      <c r="H14341" s="128" t="str">
        <f>VLOOKUP(source[[#This Row],[lending_product_transform]],[3]Mapping!$B$3:$D$37,3,0)</f>
        <v>cashloan</v>
      </c>
      <c r="I14341" s="143">
        <v>650900000</v>
      </c>
    </row>
    <row r="14342" spans="1:9" x14ac:dyDescent="0.2">
      <c r="A14342" s="134">
        <v>46116</v>
      </c>
      <c r="B14342" s="135">
        <f>YEAR(source[[#This Row],[report_date]])</f>
        <v>2026</v>
      </c>
      <c r="C14342" s="128">
        <f t="shared" si="671"/>
        <v>4</v>
      </c>
      <c r="D14342" s="136">
        <f t="shared" si="670"/>
        <v>14</v>
      </c>
      <c r="E14342" s="136">
        <f t="shared" si="672"/>
        <v>4</v>
      </c>
      <c r="F14342" s="137" t="s">
        <v>24</v>
      </c>
      <c r="G14342" s="128" t="str">
        <f>VLOOKUP(source[[#This Row],[lending_product_transform]],[3]Mapping!$B$4:$C$37,2,0)</f>
        <v>[Cake] - Cashloan</v>
      </c>
      <c r="H14342" s="128" t="str">
        <f>VLOOKUP(source[[#This Row],[lending_product_transform]],[3]Mapping!$B$3:$D$37,3,0)</f>
        <v>cashloan</v>
      </c>
      <c r="I14342" s="143">
        <v>34486187</v>
      </c>
    </row>
    <row r="14343" spans="1:9" x14ac:dyDescent="0.2">
      <c r="A14343" s="134">
        <v>46116</v>
      </c>
      <c r="B14343" s="135">
        <f>YEAR(source[[#This Row],[report_date]])</f>
        <v>2026</v>
      </c>
      <c r="C14343" s="128">
        <f t="shared" si="671"/>
        <v>4</v>
      </c>
      <c r="D14343" s="136">
        <f t="shared" si="670"/>
        <v>14</v>
      </c>
      <c r="E14343" s="136">
        <f t="shared" si="672"/>
        <v>4</v>
      </c>
      <c r="F14343" s="137" t="s">
        <v>24</v>
      </c>
      <c r="G14343" s="128" t="str">
        <f>VLOOKUP(source[[#This Row],[lending_product_transform]],[3]Mapping!$B$4:$C$37,2,0)</f>
        <v>[Cake] - Cashloan</v>
      </c>
      <c r="H14343" s="128" t="str">
        <f>VLOOKUP(source[[#This Row],[lending_product_transform]],[3]Mapping!$B$3:$D$37,3,0)</f>
        <v>cashloan</v>
      </c>
      <c r="I14343" s="143">
        <v>1763209762</v>
      </c>
    </row>
    <row r="14344" spans="1:9" x14ac:dyDescent="0.2">
      <c r="A14344" s="134">
        <v>46116</v>
      </c>
      <c r="B14344" s="135">
        <f>YEAR(source[[#This Row],[report_date]])</f>
        <v>2026</v>
      </c>
      <c r="C14344" s="128">
        <f t="shared" si="671"/>
        <v>4</v>
      </c>
      <c r="D14344" s="136">
        <f t="shared" si="670"/>
        <v>14</v>
      </c>
      <c r="E14344" s="136">
        <f t="shared" si="672"/>
        <v>4</v>
      </c>
      <c r="F14344" s="137" t="s">
        <v>24</v>
      </c>
      <c r="G14344" s="128" t="str">
        <f>VLOOKUP(source[[#This Row],[lending_product_transform]],[3]Mapping!$B$4:$C$37,2,0)</f>
        <v>[Cake] - Cashloan</v>
      </c>
      <c r="H14344" s="128" t="str">
        <f>VLOOKUP(source[[#This Row],[lending_product_transform]],[3]Mapping!$B$3:$D$37,3,0)</f>
        <v>cashloan</v>
      </c>
      <c r="I14344" s="143">
        <v>0</v>
      </c>
    </row>
    <row r="14345" spans="1:9" x14ac:dyDescent="0.2">
      <c r="A14345" s="134">
        <v>46116</v>
      </c>
      <c r="B14345" s="135">
        <f>YEAR(source[[#This Row],[report_date]])</f>
        <v>2026</v>
      </c>
      <c r="C14345" s="128">
        <f t="shared" si="671"/>
        <v>4</v>
      </c>
      <c r="D14345" s="136">
        <f t="shared" si="670"/>
        <v>14</v>
      </c>
      <c r="E14345" s="136">
        <f t="shared" si="672"/>
        <v>4</v>
      </c>
      <c r="F14345" s="137" t="s">
        <v>24</v>
      </c>
      <c r="G14345" s="128" t="str">
        <f>VLOOKUP(source[[#This Row],[lending_product_transform]],[3]Mapping!$B$4:$C$37,2,0)</f>
        <v>[Cake] - Cashloan</v>
      </c>
      <c r="H14345" s="128" t="str">
        <f>VLOOKUP(source[[#This Row],[lending_product_transform]],[3]Mapping!$B$3:$D$37,3,0)</f>
        <v>cashloan</v>
      </c>
      <c r="I14345" s="143">
        <v>40000000</v>
      </c>
    </row>
    <row r="14346" spans="1:9" x14ac:dyDescent="0.2">
      <c r="A14346" s="134">
        <v>46116</v>
      </c>
      <c r="B14346" s="135">
        <f>YEAR(source[[#This Row],[report_date]])</f>
        <v>2026</v>
      </c>
      <c r="C14346" s="128">
        <f t="shared" si="671"/>
        <v>4</v>
      </c>
      <c r="D14346" s="136">
        <f t="shared" si="670"/>
        <v>14</v>
      </c>
      <c r="E14346" s="136">
        <f t="shared" si="672"/>
        <v>4</v>
      </c>
      <c r="F14346" s="137" t="s">
        <v>24</v>
      </c>
      <c r="G14346" s="128" t="str">
        <f>VLOOKUP(source[[#This Row],[lending_product_transform]],[3]Mapping!$B$4:$C$37,2,0)</f>
        <v>[Cake] - Cashloan</v>
      </c>
      <c r="H14346" s="128" t="str">
        <f>VLOOKUP(source[[#This Row],[lending_product_transform]],[3]Mapping!$B$3:$D$37,3,0)</f>
        <v>cashloan</v>
      </c>
      <c r="I14346" s="143">
        <v>0</v>
      </c>
    </row>
    <row r="14347" spans="1:9" x14ac:dyDescent="0.2">
      <c r="A14347" s="134">
        <v>46116</v>
      </c>
      <c r="B14347" s="135">
        <f>YEAR(source[[#This Row],[report_date]])</f>
        <v>2026</v>
      </c>
      <c r="C14347" s="128">
        <f t="shared" si="671"/>
        <v>4</v>
      </c>
      <c r="D14347" s="136">
        <f t="shared" si="670"/>
        <v>14</v>
      </c>
      <c r="E14347" s="136">
        <f t="shared" si="672"/>
        <v>4</v>
      </c>
      <c r="F14347" s="137" t="s">
        <v>24</v>
      </c>
      <c r="G14347" s="128" t="str">
        <f>VLOOKUP(source[[#This Row],[lending_product_transform]],[3]Mapping!$B$4:$C$37,2,0)</f>
        <v>[Cake] - Cashloan</v>
      </c>
      <c r="H14347" s="128" t="str">
        <f>VLOOKUP(source[[#This Row],[lending_product_transform]],[3]Mapping!$B$3:$D$37,3,0)</f>
        <v>cashloan</v>
      </c>
      <c r="I14347" s="143">
        <v>16223600000</v>
      </c>
    </row>
    <row r="14348" spans="1:9" x14ac:dyDescent="0.2">
      <c r="A14348" s="134">
        <v>46116</v>
      </c>
      <c r="B14348" s="135">
        <f>YEAR(source[[#This Row],[report_date]])</f>
        <v>2026</v>
      </c>
      <c r="C14348" s="128">
        <f t="shared" si="671"/>
        <v>4</v>
      </c>
      <c r="D14348" s="136">
        <f t="shared" si="670"/>
        <v>14</v>
      </c>
      <c r="E14348" s="136">
        <f t="shared" si="672"/>
        <v>4</v>
      </c>
      <c r="F14348" s="137" t="s">
        <v>24</v>
      </c>
      <c r="G14348" s="128" t="str">
        <f>VLOOKUP(source[[#This Row],[lending_product_transform]],[3]Mapping!$B$4:$C$37,2,0)</f>
        <v>[Cake] - Cashloan</v>
      </c>
      <c r="H14348" s="128" t="str">
        <f>VLOOKUP(source[[#This Row],[lending_product_transform]],[3]Mapping!$B$3:$D$37,3,0)</f>
        <v>cashloan</v>
      </c>
      <c r="I14348" s="143">
        <v>0</v>
      </c>
    </row>
    <row r="14349" spans="1:9" x14ac:dyDescent="0.2">
      <c r="A14349" s="134">
        <v>46116</v>
      </c>
      <c r="B14349" s="135">
        <f>YEAR(source[[#This Row],[report_date]])</f>
        <v>2026</v>
      </c>
      <c r="C14349" s="128">
        <f t="shared" si="671"/>
        <v>4</v>
      </c>
      <c r="D14349" s="136">
        <f t="shared" si="670"/>
        <v>14</v>
      </c>
      <c r="E14349" s="136">
        <f t="shared" si="672"/>
        <v>4</v>
      </c>
      <c r="F14349" s="137" t="s">
        <v>24</v>
      </c>
      <c r="G14349" s="128" t="str">
        <f>VLOOKUP(source[[#This Row],[lending_product_transform]],[3]Mapping!$B$4:$C$37,2,0)</f>
        <v>[Cake] - Cashloan</v>
      </c>
      <c r="H14349" s="128" t="str">
        <f>VLOOKUP(source[[#This Row],[lending_product_transform]],[3]Mapping!$B$3:$D$37,3,0)</f>
        <v>cashloan</v>
      </c>
      <c r="I14349" s="143">
        <v>0</v>
      </c>
    </row>
    <row r="14350" spans="1:9" x14ac:dyDescent="0.2">
      <c r="A14350" s="134">
        <v>46116</v>
      </c>
      <c r="B14350" s="135">
        <f>YEAR(source[[#This Row],[report_date]])</f>
        <v>2026</v>
      </c>
      <c r="C14350" s="128">
        <f t="shared" si="671"/>
        <v>4</v>
      </c>
      <c r="D14350" s="136">
        <f t="shared" si="670"/>
        <v>14</v>
      </c>
      <c r="E14350" s="136">
        <f t="shared" si="672"/>
        <v>4</v>
      </c>
      <c r="F14350" s="137" t="s">
        <v>24</v>
      </c>
      <c r="G14350" s="128" t="str">
        <f>VLOOKUP(source[[#This Row],[lending_product_transform]],[3]Mapping!$B$4:$C$37,2,0)</f>
        <v>[Cake] - Cashloan</v>
      </c>
      <c r="H14350" s="128" t="str">
        <f>VLOOKUP(source[[#This Row],[lending_product_transform]],[3]Mapping!$B$3:$D$37,3,0)</f>
        <v>cashloan</v>
      </c>
      <c r="I14350" s="143">
        <v>0</v>
      </c>
    </row>
    <row r="14351" spans="1:9" x14ac:dyDescent="0.2">
      <c r="A14351" s="134">
        <v>46116</v>
      </c>
      <c r="B14351" s="135">
        <f>YEAR(source[[#This Row],[report_date]])</f>
        <v>2026</v>
      </c>
      <c r="C14351" s="128">
        <f t="shared" si="671"/>
        <v>4</v>
      </c>
      <c r="D14351" s="136">
        <f t="shared" si="670"/>
        <v>14</v>
      </c>
      <c r="E14351" s="136">
        <f t="shared" si="672"/>
        <v>4</v>
      </c>
      <c r="F14351" s="137" t="s">
        <v>24</v>
      </c>
      <c r="G14351" s="128" t="str">
        <f>VLOOKUP(source[[#This Row],[lending_product_transform]],[3]Mapping!$B$4:$C$37,2,0)</f>
        <v>[Cake] - Cashloan</v>
      </c>
      <c r="H14351" s="128" t="str">
        <f>VLOOKUP(source[[#This Row],[lending_product_transform]],[3]Mapping!$B$3:$D$37,3,0)</f>
        <v>cashloan</v>
      </c>
      <c r="I14351" s="143">
        <v>0</v>
      </c>
    </row>
    <row r="14352" spans="1:9" x14ac:dyDescent="0.2">
      <c r="A14352" s="134">
        <v>46116</v>
      </c>
      <c r="B14352" s="135">
        <f>YEAR(source[[#This Row],[report_date]])</f>
        <v>2026</v>
      </c>
      <c r="C14352" s="128">
        <f t="shared" si="671"/>
        <v>4</v>
      </c>
      <c r="D14352" s="136">
        <f t="shared" si="670"/>
        <v>14</v>
      </c>
      <c r="E14352" s="136">
        <f t="shared" si="672"/>
        <v>4</v>
      </c>
      <c r="F14352" s="137" t="s">
        <v>24</v>
      </c>
      <c r="G14352" s="128" t="str">
        <f>VLOOKUP(source[[#This Row],[lending_product_transform]],[3]Mapping!$B$4:$C$37,2,0)</f>
        <v>[Cake] - Cashloan</v>
      </c>
      <c r="H14352" s="128" t="str">
        <f>VLOOKUP(source[[#This Row],[lending_product_transform]],[3]Mapping!$B$3:$D$37,3,0)</f>
        <v>cashloan</v>
      </c>
      <c r="I14352" s="143">
        <v>11136204000</v>
      </c>
    </row>
    <row r="14353" spans="1:9" x14ac:dyDescent="0.2">
      <c r="A14353" s="134">
        <v>46116</v>
      </c>
      <c r="B14353" s="135">
        <f>YEAR(source[[#This Row],[report_date]])</f>
        <v>2026</v>
      </c>
      <c r="C14353" s="128">
        <f t="shared" si="671"/>
        <v>4</v>
      </c>
      <c r="D14353" s="136">
        <f t="shared" ref="D14353:D14416" si="673">WEEKNUM(A14353,2)</f>
        <v>14</v>
      </c>
      <c r="E14353" s="136">
        <f t="shared" si="672"/>
        <v>4</v>
      </c>
      <c r="F14353" s="137" t="s">
        <v>24</v>
      </c>
      <c r="G14353" s="128" t="str">
        <f>VLOOKUP(source[[#This Row],[lending_product_transform]],[3]Mapping!$B$4:$C$37,2,0)</f>
        <v>[Cake] - Cashloan</v>
      </c>
      <c r="H14353" s="128" t="str">
        <f>VLOOKUP(source[[#This Row],[lending_product_transform]],[3]Mapping!$B$3:$D$37,3,0)</f>
        <v>cashloan</v>
      </c>
      <c r="I14353" s="143">
        <v>630565541</v>
      </c>
    </row>
    <row r="14354" spans="1:9" x14ac:dyDescent="0.2">
      <c r="A14354" s="134">
        <v>46116</v>
      </c>
      <c r="B14354" s="135">
        <f>YEAR(source[[#This Row],[report_date]])</f>
        <v>2026</v>
      </c>
      <c r="C14354" s="128">
        <f t="shared" si="671"/>
        <v>4</v>
      </c>
      <c r="D14354" s="136">
        <f t="shared" si="673"/>
        <v>14</v>
      </c>
      <c r="E14354" s="136">
        <f t="shared" si="672"/>
        <v>4</v>
      </c>
      <c r="F14354" s="137" t="s">
        <v>24</v>
      </c>
      <c r="G14354" s="128" t="str">
        <f>VLOOKUP(source[[#This Row],[lending_product_transform]],[3]Mapping!$B$4:$C$37,2,0)</f>
        <v>[Cake] - Cashloan</v>
      </c>
      <c r="H14354" s="128" t="str">
        <f>VLOOKUP(source[[#This Row],[lending_product_transform]],[3]Mapping!$B$3:$D$37,3,0)</f>
        <v>cashloan</v>
      </c>
      <c r="I14354" s="143">
        <v>63000000</v>
      </c>
    </row>
    <row r="14355" spans="1:9" x14ac:dyDescent="0.2">
      <c r="A14355" s="134">
        <v>46116</v>
      </c>
      <c r="B14355" s="135">
        <f>YEAR(source[[#This Row],[report_date]])</f>
        <v>2026</v>
      </c>
      <c r="C14355" s="128">
        <f t="shared" si="671"/>
        <v>4</v>
      </c>
      <c r="D14355" s="136">
        <f t="shared" si="673"/>
        <v>14</v>
      </c>
      <c r="E14355" s="136">
        <f t="shared" si="672"/>
        <v>4</v>
      </c>
      <c r="F14355" s="137" t="s">
        <v>24</v>
      </c>
      <c r="G14355" s="128" t="str">
        <f>VLOOKUP(source[[#This Row],[lending_product_transform]],[3]Mapping!$B$4:$C$37,2,0)</f>
        <v>[Cake] - Cashloan</v>
      </c>
      <c r="H14355" s="128" t="str">
        <f>VLOOKUP(source[[#This Row],[lending_product_transform]],[3]Mapping!$B$3:$D$37,3,0)</f>
        <v>cashloan</v>
      </c>
      <c r="I14355" s="143">
        <v>49000000</v>
      </c>
    </row>
    <row r="14356" spans="1:9" x14ac:dyDescent="0.2">
      <c r="A14356" s="134">
        <v>46116</v>
      </c>
      <c r="B14356" s="135">
        <f>YEAR(source[[#This Row],[report_date]])</f>
        <v>2026</v>
      </c>
      <c r="C14356" s="128">
        <f t="shared" si="671"/>
        <v>4</v>
      </c>
      <c r="D14356" s="136">
        <f t="shared" si="673"/>
        <v>14</v>
      </c>
      <c r="E14356" s="136">
        <f t="shared" si="672"/>
        <v>4</v>
      </c>
      <c r="F14356" s="137" t="s">
        <v>24</v>
      </c>
      <c r="G14356" s="128" t="str">
        <f>VLOOKUP(source[[#This Row],[lending_product_transform]],[3]Mapping!$B$4:$C$37,2,0)</f>
        <v>[Cake] - Cashloan</v>
      </c>
      <c r="H14356" s="128" t="str">
        <f>VLOOKUP(source[[#This Row],[lending_product_transform]],[3]Mapping!$B$3:$D$37,3,0)</f>
        <v>cashloan</v>
      </c>
      <c r="I14356" s="143">
        <v>603970000</v>
      </c>
    </row>
    <row r="14357" spans="1:9" x14ac:dyDescent="0.2">
      <c r="A14357" s="134">
        <v>46116</v>
      </c>
      <c r="B14357" s="135">
        <f>YEAR(source[[#This Row],[report_date]])</f>
        <v>2026</v>
      </c>
      <c r="C14357" s="128">
        <f t="shared" si="671"/>
        <v>4</v>
      </c>
      <c r="D14357" s="136">
        <f t="shared" si="673"/>
        <v>14</v>
      </c>
      <c r="E14357" s="136">
        <f t="shared" si="672"/>
        <v>4</v>
      </c>
      <c r="F14357" s="137" t="s">
        <v>24</v>
      </c>
      <c r="G14357" s="128" t="str">
        <f>VLOOKUP(source[[#This Row],[lending_product_transform]],[3]Mapping!$B$4:$C$37,2,0)</f>
        <v>[Cake] - Cashloan</v>
      </c>
      <c r="H14357" s="128" t="str">
        <f>VLOOKUP(source[[#This Row],[lending_product_transform]],[3]Mapping!$B$3:$D$37,3,0)</f>
        <v>cashloan</v>
      </c>
      <c r="I14357" s="143">
        <v>315792000</v>
      </c>
    </row>
    <row r="14358" spans="1:9" x14ac:dyDescent="0.2">
      <c r="A14358" s="134">
        <v>46116</v>
      </c>
      <c r="B14358" s="135">
        <f>YEAR(source[[#This Row],[report_date]])</f>
        <v>2026</v>
      </c>
      <c r="C14358" s="128">
        <f t="shared" si="671"/>
        <v>4</v>
      </c>
      <c r="D14358" s="136">
        <f t="shared" si="673"/>
        <v>14</v>
      </c>
      <c r="E14358" s="136">
        <f t="shared" si="672"/>
        <v>4</v>
      </c>
      <c r="F14358" s="137" t="s">
        <v>24</v>
      </c>
      <c r="G14358" s="128" t="str">
        <f>VLOOKUP(source[[#This Row],[lending_product_transform]],[3]Mapping!$B$4:$C$37,2,0)</f>
        <v>[Cake] - Cashloan</v>
      </c>
      <c r="H14358" s="128" t="str">
        <f>VLOOKUP(source[[#This Row],[lending_product_transform]],[3]Mapping!$B$3:$D$37,3,0)</f>
        <v>cashloan</v>
      </c>
      <c r="I14358" s="143">
        <v>1642965022</v>
      </c>
    </row>
    <row r="14359" spans="1:9" x14ac:dyDescent="0.2">
      <c r="A14359" s="134">
        <v>46116</v>
      </c>
      <c r="B14359" s="135">
        <f>YEAR(source[[#This Row],[report_date]])</f>
        <v>2026</v>
      </c>
      <c r="C14359" s="128">
        <f t="shared" si="671"/>
        <v>4</v>
      </c>
      <c r="D14359" s="136">
        <f t="shared" si="673"/>
        <v>14</v>
      </c>
      <c r="E14359" s="136">
        <f t="shared" si="672"/>
        <v>4</v>
      </c>
      <c r="F14359" s="137" t="s">
        <v>24</v>
      </c>
      <c r="G14359" s="128" t="str">
        <f>VLOOKUP(source[[#This Row],[lending_product_transform]],[3]Mapping!$B$4:$C$37,2,0)</f>
        <v>[Cake] - Cashloan</v>
      </c>
      <c r="H14359" s="128" t="str">
        <f>VLOOKUP(source[[#This Row],[lending_product_transform]],[3]Mapping!$B$3:$D$37,3,0)</f>
        <v>cashloan</v>
      </c>
      <c r="I14359" s="143">
        <v>6077010000</v>
      </c>
    </row>
    <row r="14360" spans="1:9" x14ac:dyDescent="0.2">
      <c r="A14360" s="134">
        <v>46116</v>
      </c>
      <c r="B14360" s="135">
        <f>YEAR(source[[#This Row],[report_date]])</f>
        <v>2026</v>
      </c>
      <c r="C14360" s="128">
        <f t="shared" si="671"/>
        <v>4</v>
      </c>
      <c r="D14360" s="136">
        <f t="shared" si="673"/>
        <v>14</v>
      </c>
      <c r="E14360" s="136">
        <f t="shared" si="672"/>
        <v>4</v>
      </c>
      <c r="F14360" s="137" t="s">
        <v>24</v>
      </c>
      <c r="G14360" s="128" t="str">
        <f>VLOOKUP(source[[#This Row],[lending_product_transform]],[3]Mapping!$B$4:$C$37,2,0)</f>
        <v>[Cake] - Cashloan</v>
      </c>
      <c r="H14360" s="128" t="str">
        <f>VLOOKUP(source[[#This Row],[lending_product_transform]],[3]Mapping!$B$3:$D$37,3,0)</f>
        <v>cashloan</v>
      </c>
      <c r="I14360" s="143">
        <v>4320000</v>
      </c>
    </row>
    <row r="14361" spans="1:9" x14ac:dyDescent="0.2">
      <c r="A14361" s="134">
        <v>46117</v>
      </c>
      <c r="B14361" s="135">
        <f>YEAR(source[[#This Row],[report_date]])</f>
        <v>2026</v>
      </c>
      <c r="C14361" s="128">
        <f t="shared" si="671"/>
        <v>4</v>
      </c>
      <c r="D14361" s="136">
        <f t="shared" si="673"/>
        <v>14</v>
      </c>
      <c r="E14361" s="136">
        <f t="shared" si="672"/>
        <v>5</v>
      </c>
      <c r="F14361" s="137" t="s">
        <v>24</v>
      </c>
      <c r="G14361" s="128" t="str">
        <f>VLOOKUP(source[[#This Row],[lending_product_transform]],[3]Mapping!$B$4:$C$37,2,0)</f>
        <v>[Cake] - Cashloan</v>
      </c>
      <c r="H14361" s="128" t="str">
        <f>VLOOKUP(source[[#This Row],[lending_product_transform]],[3]Mapping!$B$3:$D$37,3,0)</f>
        <v>cashloan</v>
      </c>
      <c r="I14361" s="143">
        <v>658150000</v>
      </c>
    </row>
    <row r="14362" spans="1:9" x14ac:dyDescent="0.2">
      <c r="A14362" s="134">
        <v>46117</v>
      </c>
      <c r="B14362" s="135">
        <f>YEAR(source[[#This Row],[report_date]])</f>
        <v>2026</v>
      </c>
      <c r="C14362" s="128">
        <f t="shared" si="671"/>
        <v>4</v>
      </c>
      <c r="D14362" s="136">
        <f t="shared" si="673"/>
        <v>14</v>
      </c>
      <c r="E14362" s="136">
        <f t="shared" si="672"/>
        <v>5</v>
      </c>
      <c r="F14362" s="137" t="s">
        <v>24</v>
      </c>
      <c r="G14362" s="128" t="str">
        <f>VLOOKUP(source[[#This Row],[lending_product_transform]],[3]Mapping!$B$4:$C$37,2,0)</f>
        <v>[Cake] - Cashloan</v>
      </c>
      <c r="H14362" s="128" t="str">
        <f>VLOOKUP(source[[#This Row],[lending_product_transform]],[3]Mapping!$B$3:$D$37,3,0)</f>
        <v>cashloan</v>
      </c>
      <c r="I14362" s="143">
        <v>473511847</v>
      </c>
    </row>
    <row r="14363" spans="1:9" x14ac:dyDescent="0.2">
      <c r="A14363" s="134">
        <v>46117</v>
      </c>
      <c r="B14363" s="135">
        <f>YEAR(source[[#This Row],[report_date]])</f>
        <v>2026</v>
      </c>
      <c r="C14363" s="128">
        <f t="shared" si="671"/>
        <v>4</v>
      </c>
      <c r="D14363" s="136">
        <f t="shared" si="673"/>
        <v>14</v>
      </c>
      <c r="E14363" s="136">
        <f t="shared" si="672"/>
        <v>5</v>
      </c>
      <c r="F14363" s="137" t="s">
        <v>24</v>
      </c>
      <c r="G14363" s="128" t="str">
        <f>VLOOKUP(source[[#This Row],[lending_product_transform]],[3]Mapping!$B$4:$C$37,2,0)</f>
        <v>[Cake] - Cashloan</v>
      </c>
      <c r="H14363" s="128" t="str">
        <f>VLOOKUP(source[[#This Row],[lending_product_transform]],[3]Mapping!$B$3:$D$37,3,0)</f>
        <v>cashloan</v>
      </c>
      <c r="I14363" s="143">
        <v>15050540000</v>
      </c>
    </row>
    <row r="14364" spans="1:9" x14ac:dyDescent="0.2">
      <c r="A14364" s="134">
        <v>46117</v>
      </c>
      <c r="B14364" s="135">
        <f>YEAR(source[[#This Row],[report_date]])</f>
        <v>2026</v>
      </c>
      <c r="C14364" s="128">
        <f t="shared" si="671"/>
        <v>4</v>
      </c>
      <c r="D14364" s="136">
        <f t="shared" si="673"/>
        <v>14</v>
      </c>
      <c r="E14364" s="136">
        <f t="shared" si="672"/>
        <v>5</v>
      </c>
      <c r="F14364" s="137" t="s">
        <v>24</v>
      </c>
      <c r="G14364" s="128" t="str">
        <f>VLOOKUP(source[[#This Row],[lending_product_transform]],[3]Mapping!$B$4:$C$37,2,0)</f>
        <v>[Cake] - Cashloan</v>
      </c>
      <c r="H14364" s="128" t="str">
        <f>VLOOKUP(source[[#This Row],[lending_product_transform]],[3]Mapping!$B$3:$D$37,3,0)</f>
        <v>cashloan</v>
      </c>
      <c r="I14364" s="143">
        <v>1581600309</v>
      </c>
    </row>
    <row r="14365" spans="1:9" x14ac:dyDescent="0.2">
      <c r="A14365" s="134">
        <v>46117</v>
      </c>
      <c r="B14365" s="135">
        <f>YEAR(source[[#This Row],[report_date]])</f>
        <v>2026</v>
      </c>
      <c r="C14365" s="128">
        <f t="shared" si="671"/>
        <v>4</v>
      </c>
      <c r="D14365" s="136">
        <f t="shared" si="673"/>
        <v>14</v>
      </c>
      <c r="E14365" s="136">
        <f t="shared" si="672"/>
        <v>5</v>
      </c>
      <c r="F14365" s="137" t="s">
        <v>24</v>
      </c>
      <c r="G14365" s="128" t="str">
        <f>VLOOKUP(source[[#This Row],[lending_product_transform]],[3]Mapping!$B$4:$C$37,2,0)</f>
        <v>[Cake] - Cashloan</v>
      </c>
      <c r="H14365" s="128" t="str">
        <f>VLOOKUP(source[[#This Row],[lending_product_transform]],[3]Mapping!$B$3:$D$37,3,0)</f>
        <v>cashloan</v>
      </c>
      <c r="I14365" s="143">
        <v>13768704000</v>
      </c>
    </row>
    <row r="14366" spans="1:9" x14ac:dyDescent="0.2">
      <c r="A14366" s="134">
        <v>46117</v>
      </c>
      <c r="B14366" s="135">
        <f>YEAR(source[[#This Row],[report_date]])</f>
        <v>2026</v>
      </c>
      <c r="C14366" s="128">
        <f t="shared" si="671"/>
        <v>4</v>
      </c>
      <c r="D14366" s="136">
        <f t="shared" si="673"/>
        <v>14</v>
      </c>
      <c r="E14366" s="136">
        <f t="shared" si="672"/>
        <v>5</v>
      </c>
      <c r="F14366" s="137" t="s">
        <v>24</v>
      </c>
      <c r="G14366" s="128" t="str">
        <f>VLOOKUP(source[[#This Row],[lending_product_transform]],[3]Mapping!$B$4:$C$37,2,0)</f>
        <v>[Cake] - Cashloan</v>
      </c>
      <c r="H14366" s="128" t="str">
        <f>VLOOKUP(source[[#This Row],[lending_product_transform]],[3]Mapping!$B$3:$D$37,3,0)</f>
        <v>cashloan</v>
      </c>
      <c r="I14366" s="143">
        <v>0</v>
      </c>
    </row>
    <row r="14367" spans="1:9" x14ac:dyDescent="0.2">
      <c r="A14367" s="134">
        <v>46117</v>
      </c>
      <c r="B14367" s="135">
        <f>YEAR(source[[#This Row],[report_date]])</f>
        <v>2026</v>
      </c>
      <c r="C14367" s="128">
        <f t="shared" si="671"/>
        <v>4</v>
      </c>
      <c r="D14367" s="136">
        <f t="shared" si="673"/>
        <v>14</v>
      </c>
      <c r="E14367" s="136">
        <f t="shared" si="672"/>
        <v>5</v>
      </c>
      <c r="F14367" s="137" t="s">
        <v>24</v>
      </c>
      <c r="G14367" s="128" t="str">
        <f>VLOOKUP(source[[#This Row],[lending_product_transform]],[3]Mapping!$B$4:$C$37,2,0)</f>
        <v>[Cake] - Cashloan</v>
      </c>
      <c r="H14367" s="128" t="str">
        <f>VLOOKUP(source[[#This Row],[lending_product_transform]],[3]Mapping!$B$3:$D$37,3,0)</f>
        <v>cashloan</v>
      </c>
      <c r="I14367" s="143">
        <v>0</v>
      </c>
    </row>
    <row r="14368" spans="1:9" x14ac:dyDescent="0.2">
      <c r="A14368" s="134">
        <v>46117</v>
      </c>
      <c r="B14368" s="135">
        <f>YEAR(source[[#This Row],[report_date]])</f>
        <v>2026</v>
      </c>
      <c r="C14368" s="128">
        <f t="shared" si="671"/>
        <v>4</v>
      </c>
      <c r="D14368" s="136">
        <f t="shared" si="673"/>
        <v>14</v>
      </c>
      <c r="E14368" s="136">
        <f t="shared" si="672"/>
        <v>5</v>
      </c>
      <c r="F14368" s="137" t="s">
        <v>24</v>
      </c>
      <c r="G14368" s="128" t="str">
        <f>VLOOKUP(source[[#This Row],[lending_product_transform]],[3]Mapping!$B$4:$C$37,2,0)</f>
        <v>[Cake] - Cashloan</v>
      </c>
      <c r="H14368" s="128" t="str">
        <f>VLOOKUP(source[[#This Row],[lending_product_transform]],[3]Mapping!$B$3:$D$37,3,0)</f>
        <v>cashloan</v>
      </c>
      <c r="I14368" s="143">
        <v>2859120000</v>
      </c>
    </row>
    <row r="14369" spans="1:9" x14ac:dyDescent="0.2">
      <c r="A14369" s="134">
        <v>46117</v>
      </c>
      <c r="B14369" s="135">
        <f>YEAR(source[[#This Row],[report_date]])</f>
        <v>2026</v>
      </c>
      <c r="C14369" s="128">
        <f t="shared" si="671"/>
        <v>4</v>
      </c>
      <c r="D14369" s="136">
        <f t="shared" si="673"/>
        <v>14</v>
      </c>
      <c r="E14369" s="136">
        <f t="shared" si="672"/>
        <v>5</v>
      </c>
      <c r="F14369" s="137" t="s">
        <v>24</v>
      </c>
      <c r="G14369" s="128" t="str">
        <f>VLOOKUP(source[[#This Row],[lending_product_transform]],[3]Mapping!$B$4:$C$37,2,0)</f>
        <v>[Cake] - Cashloan</v>
      </c>
      <c r="H14369" s="128" t="str">
        <f>VLOOKUP(source[[#This Row],[lending_product_transform]],[3]Mapping!$B$3:$D$37,3,0)</f>
        <v>cashloan</v>
      </c>
      <c r="I14369" s="143">
        <v>936350000</v>
      </c>
    </row>
    <row r="14370" spans="1:9" x14ac:dyDescent="0.2">
      <c r="A14370" s="134">
        <v>46117</v>
      </c>
      <c r="B14370" s="135">
        <f>YEAR(source[[#This Row],[report_date]])</f>
        <v>2026</v>
      </c>
      <c r="C14370" s="128">
        <f t="shared" si="671"/>
        <v>4</v>
      </c>
      <c r="D14370" s="136">
        <f t="shared" si="673"/>
        <v>14</v>
      </c>
      <c r="E14370" s="136">
        <f t="shared" si="672"/>
        <v>5</v>
      </c>
      <c r="F14370" s="137" t="s">
        <v>24</v>
      </c>
      <c r="G14370" s="128" t="str">
        <f>VLOOKUP(source[[#This Row],[lending_product_transform]],[3]Mapping!$B$4:$C$37,2,0)</f>
        <v>[Cake] - Cashloan</v>
      </c>
      <c r="H14370" s="128" t="str">
        <f>VLOOKUP(source[[#This Row],[lending_product_transform]],[3]Mapping!$B$3:$D$37,3,0)</f>
        <v>cashloan</v>
      </c>
      <c r="I14370" s="143">
        <v>38596801</v>
      </c>
    </row>
    <row r="14371" spans="1:9" x14ac:dyDescent="0.2">
      <c r="A14371" s="134">
        <v>46117</v>
      </c>
      <c r="B14371" s="135">
        <f>YEAR(source[[#This Row],[report_date]])</f>
        <v>2026</v>
      </c>
      <c r="C14371" s="128">
        <f t="shared" si="671"/>
        <v>4</v>
      </c>
      <c r="D14371" s="136">
        <f t="shared" si="673"/>
        <v>14</v>
      </c>
      <c r="E14371" s="136">
        <f t="shared" si="672"/>
        <v>5</v>
      </c>
      <c r="F14371" s="137" t="s">
        <v>24</v>
      </c>
      <c r="G14371" s="128" t="str">
        <f>VLOOKUP(source[[#This Row],[lending_product_transform]],[3]Mapping!$B$4:$C$37,2,0)</f>
        <v>[Cake] - Cashloan</v>
      </c>
      <c r="H14371" s="128" t="str">
        <f>VLOOKUP(source[[#This Row],[lending_product_transform]],[3]Mapping!$B$3:$D$37,3,0)</f>
        <v>cashloan</v>
      </c>
      <c r="I14371" s="143">
        <v>1719202172</v>
      </c>
    </row>
    <row r="14372" spans="1:9" x14ac:dyDescent="0.2">
      <c r="A14372" s="134">
        <v>46117</v>
      </c>
      <c r="B14372" s="135">
        <f>YEAR(source[[#This Row],[report_date]])</f>
        <v>2026</v>
      </c>
      <c r="C14372" s="128">
        <f t="shared" si="671"/>
        <v>4</v>
      </c>
      <c r="D14372" s="136">
        <f t="shared" si="673"/>
        <v>14</v>
      </c>
      <c r="E14372" s="136">
        <f t="shared" si="672"/>
        <v>5</v>
      </c>
      <c r="F14372" s="137" t="s">
        <v>24</v>
      </c>
      <c r="G14372" s="128" t="str">
        <f>VLOOKUP(source[[#This Row],[lending_product_transform]],[3]Mapping!$B$4:$C$37,2,0)</f>
        <v>[Cake] - Cashloan</v>
      </c>
      <c r="H14372" s="128" t="str">
        <f>VLOOKUP(source[[#This Row],[lending_product_transform]],[3]Mapping!$B$3:$D$37,3,0)</f>
        <v>cashloan</v>
      </c>
      <c r="I14372" s="143">
        <v>0</v>
      </c>
    </row>
    <row r="14373" spans="1:9" x14ac:dyDescent="0.2">
      <c r="A14373" s="134">
        <v>46117</v>
      </c>
      <c r="B14373" s="135">
        <f>YEAR(source[[#This Row],[report_date]])</f>
        <v>2026</v>
      </c>
      <c r="C14373" s="128">
        <f t="shared" si="671"/>
        <v>4</v>
      </c>
      <c r="D14373" s="136">
        <f t="shared" si="673"/>
        <v>14</v>
      </c>
      <c r="E14373" s="136">
        <f t="shared" si="672"/>
        <v>5</v>
      </c>
      <c r="F14373" s="137" t="s">
        <v>24</v>
      </c>
      <c r="G14373" s="128" t="str">
        <f>VLOOKUP(source[[#This Row],[lending_product_transform]],[3]Mapping!$B$4:$C$37,2,0)</f>
        <v>[Cake] - Cashloan</v>
      </c>
      <c r="H14373" s="128" t="str">
        <f>VLOOKUP(source[[#This Row],[lending_product_transform]],[3]Mapping!$B$3:$D$37,3,0)</f>
        <v>cashloan</v>
      </c>
      <c r="I14373" s="143">
        <v>42000000</v>
      </c>
    </row>
    <row r="14374" spans="1:9" x14ac:dyDescent="0.2">
      <c r="A14374" s="134">
        <v>46117</v>
      </c>
      <c r="B14374" s="135">
        <f>YEAR(source[[#This Row],[report_date]])</f>
        <v>2026</v>
      </c>
      <c r="C14374" s="128">
        <f t="shared" si="671"/>
        <v>4</v>
      </c>
      <c r="D14374" s="136">
        <f t="shared" si="673"/>
        <v>14</v>
      </c>
      <c r="E14374" s="136">
        <f t="shared" si="672"/>
        <v>5</v>
      </c>
      <c r="F14374" s="137" t="s">
        <v>24</v>
      </c>
      <c r="G14374" s="128" t="str">
        <f>VLOOKUP(source[[#This Row],[lending_product_transform]],[3]Mapping!$B$4:$C$37,2,0)</f>
        <v>[Cake] - Cashloan</v>
      </c>
      <c r="H14374" s="128" t="str">
        <f>VLOOKUP(source[[#This Row],[lending_product_transform]],[3]Mapping!$B$3:$D$37,3,0)</f>
        <v>cashloan</v>
      </c>
      <c r="I14374" s="143">
        <v>0</v>
      </c>
    </row>
    <row r="14375" spans="1:9" x14ac:dyDescent="0.2">
      <c r="A14375" s="134">
        <v>46117</v>
      </c>
      <c r="B14375" s="135">
        <f>YEAR(source[[#This Row],[report_date]])</f>
        <v>2026</v>
      </c>
      <c r="C14375" s="128">
        <f t="shared" si="671"/>
        <v>4</v>
      </c>
      <c r="D14375" s="136">
        <f t="shared" si="673"/>
        <v>14</v>
      </c>
      <c r="E14375" s="136">
        <f t="shared" si="672"/>
        <v>5</v>
      </c>
      <c r="F14375" s="137" t="s">
        <v>24</v>
      </c>
      <c r="G14375" s="128" t="str">
        <f>VLOOKUP(source[[#This Row],[lending_product_transform]],[3]Mapping!$B$4:$C$37,2,0)</f>
        <v>[Cake] - Cashloan</v>
      </c>
      <c r="H14375" s="128" t="str">
        <f>VLOOKUP(source[[#This Row],[lending_product_transform]],[3]Mapping!$B$3:$D$37,3,0)</f>
        <v>cashloan</v>
      </c>
      <c r="I14375" s="143">
        <v>14475880000</v>
      </c>
    </row>
    <row r="14376" spans="1:9" x14ac:dyDescent="0.2">
      <c r="A14376" s="134">
        <v>46117</v>
      </c>
      <c r="B14376" s="135">
        <f>YEAR(source[[#This Row],[report_date]])</f>
        <v>2026</v>
      </c>
      <c r="C14376" s="128">
        <f t="shared" si="671"/>
        <v>4</v>
      </c>
      <c r="D14376" s="136">
        <f t="shared" si="673"/>
        <v>14</v>
      </c>
      <c r="E14376" s="136">
        <f t="shared" si="672"/>
        <v>5</v>
      </c>
      <c r="F14376" s="137" t="s">
        <v>24</v>
      </c>
      <c r="G14376" s="128" t="str">
        <f>VLOOKUP(source[[#This Row],[lending_product_transform]],[3]Mapping!$B$4:$C$37,2,0)</f>
        <v>[Cake] - Cashloan</v>
      </c>
      <c r="H14376" s="128" t="str">
        <f>VLOOKUP(source[[#This Row],[lending_product_transform]],[3]Mapping!$B$3:$D$37,3,0)</f>
        <v>cashloan</v>
      </c>
      <c r="I14376" s="143">
        <v>0</v>
      </c>
    </row>
    <row r="14377" spans="1:9" x14ac:dyDescent="0.2">
      <c r="A14377" s="134">
        <v>46117</v>
      </c>
      <c r="B14377" s="135">
        <f>YEAR(source[[#This Row],[report_date]])</f>
        <v>2026</v>
      </c>
      <c r="C14377" s="128">
        <f t="shared" si="671"/>
        <v>4</v>
      </c>
      <c r="D14377" s="136">
        <f t="shared" si="673"/>
        <v>14</v>
      </c>
      <c r="E14377" s="136">
        <f t="shared" si="672"/>
        <v>5</v>
      </c>
      <c r="F14377" s="137" t="s">
        <v>24</v>
      </c>
      <c r="G14377" s="128" t="str">
        <f>VLOOKUP(source[[#This Row],[lending_product_transform]],[3]Mapping!$B$4:$C$37,2,0)</f>
        <v>[Cake] - Cashloan</v>
      </c>
      <c r="H14377" s="128" t="str">
        <f>VLOOKUP(source[[#This Row],[lending_product_transform]],[3]Mapping!$B$3:$D$37,3,0)</f>
        <v>cashloan</v>
      </c>
      <c r="I14377" s="143">
        <v>0</v>
      </c>
    </row>
    <row r="14378" spans="1:9" x14ac:dyDescent="0.2">
      <c r="A14378" s="134">
        <v>46117</v>
      </c>
      <c r="B14378" s="135">
        <f>YEAR(source[[#This Row],[report_date]])</f>
        <v>2026</v>
      </c>
      <c r="C14378" s="128">
        <f t="shared" si="671"/>
        <v>4</v>
      </c>
      <c r="D14378" s="136">
        <f t="shared" si="673"/>
        <v>14</v>
      </c>
      <c r="E14378" s="136">
        <f t="shared" si="672"/>
        <v>5</v>
      </c>
      <c r="F14378" s="137" t="s">
        <v>24</v>
      </c>
      <c r="G14378" s="128" t="str">
        <f>VLOOKUP(source[[#This Row],[lending_product_transform]],[3]Mapping!$B$4:$C$37,2,0)</f>
        <v>[Cake] - Cashloan</v>
      </c>
      <c r="H14378" s="128" t="str">
        <f>VLOOKUP(source[[#This Row],[lending_product_transform]],[3]Mapping!$B$3:$D$37,3,0)</f>
        <v>cashloan</v>
      </c>
      <c r="I14378" s="143">
        <v>0</v>
      </c>
    </row>
    <row r="14379" spans="1:9" x14ac:dyDescent="0.2">
      <c r="A14379" s="134">
        <v>46117</v>
      </c>
      <c r="B14379" s="135">
        <f>YEAR(source[[#This Row],[report_date]])</f>
        <v>2026</v>
      </c>
      <c r="C14379" s="128">
        <f t="shared" si="671"/>
        <v>4</v>
      </c>
      <c r="D14379" s="136">
        <f t="shared" si="673"/>
        <v>14</v>
      </c>
      <c r="E14379" s="136">
        <f t="shared" si="672"/>
        <v>5</v>
      </c>
      <c r="F14379" s="137" t="s">
        <v>24</v>
      </c>
      <c r="G14379" s="128" t="str">
        <f>VLOOKUP(source[[#This Row],[lending_product_transform]],[3]Mapping!$B$4:$C$37,2,0)</f>
        <v>[Cake] - Cashloan</v>
      </c>
      <c r="H14379" s="128" t="str">
        <f>VLOOKUP(source[[#This Row],[lending_product_transform]],[3]Mapping!$B$3:$D$37,3,0)</f>
        <v>cashloan</v>
      </c>
      <c r="I14379" s="143">
        <v>0</v>
      </c>
    </row>
    <row r="14380" spans="1:9" x14ac:dyDescent="0.2">
      <c r="A14380" s="134">
        <v>46117</v>
      </c>
      <c r="B14380" s="135">
        <f>YEAR(source[[#This Row],[report_date]])</f>
        <v>2026</v>
      </c>
      <c r="C14380" s="128">
        <f t="shared" si="671"/>
        <v>4</v>
      </c>
      <c r="D14380" s="136">
        <f t="shared" si="673"/>
        <v>14</v>
      </c>
      <c r="E14380" s="136">
        <f t="shared" si="672"/>
        <v>5</v>
      </c>
      <c r="F14380" s="137" t="s">
        <v>24</v>
      </c>
      <c r="G14380" s="128" t="str">
        <f>VLOOKUP(source[[#This Row],[lending_product_transform]],[3]Mapping!$B$4:$C$37,2,0)</f>
        <v>[Cake] - Cashloan</v>
      </c>
      <c r="H14380" s="128" t="str">
        <f>VLOOKUP(source[[#This Row],[lending_product_transform]],[3]Mapping!$B$3:$D$37,3,0)</f>
        <v>cashloan</v>
      </c>
      <c r="I14380" s="143">
        <v>11467656000</v>
      </c>
    </row>
    <row r="14381" spans="1:9" x14ac:dyDescent="0.2">
      <c r="A14381" s="134">
        <v>46117</v>
      </c>
      <c r="B14381" s="135">
        <f>YEAR(source[[#This Row],[report_date]])</f>
        <v>2026</v>
      </c>
      <c r="C14381" s="128">
        <f t="shared" si="671"/>
        <v>4</v>
      </c>
      <c r="D14381" s="136">
        <f t="shared" si="673"/>
        <v>14</v>
      </c>
      <c r="E14381" s="136">
        <f t="shared" si="672"/>
        <v>5</v>
      </c>
      <c r="F14381" s="137" t="s">
        <v>24</v>
      </c>
      <c r="G14381" s="128" t="str">
        <f>VLOOKUP(source[[#This Row],[lending_product_transform]],[3]Mapping!$B$4:$C$37,2,0)</f>
        <v>[Cake] - Cashloan</v>
      </c>
      <c r="H14381" s="128" t="str">
        <f>VLOOKUP(source[[#This Row],[lending_product_transform]],[3]Mapping!$B$3:$D$37,3,0)</f>
        <v>cashloan</v>
      </c>
      <c r="I14381" s="143">
        <v>468020802</v>
      </c>
    </row>
    <row r="14382" spans="1:9" x14ac:dyDescent="0.2">
      <c r="A14382" s="134">
        <v>46117</v>
      </c>
      <c r="B14382" s="135">
        <f>YEAR(source[[#This Row],[report_date]])</f>
        <v>2026</v>
      </c>
      <c r="C14382" s="128">
        <f t="shared" si="671"/>
        <v>4</v>
      </c>
      <c r="D14382" s="136">
        <f t="shared" si="673"/>
        <v>14</v>
      </c>
      <c r="E14382" s="136">
        <f t="shared" si="672"/>
        <v>5</v>
      </c>
      <c r="F14382" s="137" t="s">
        <v>24</v>
      </c>
      <c r="G14382" s="128" t="str">
        <f>VLOOKUP(source[[#This Row],[lending_product_transform]],[3]Mapping!$B$4:$C$37,2,0)</f>
        <v>[Cake] - Cashloan</v>
      </c>
      <c r="H14382" s="128" t="str">
        <f>VLOOKUP(source[[#This Row],[lending_product_transform]],[3]Mapping!$B$3:$D$37,3,0)</f>
        <v>cashloan</v>
      </c>
      <c r="I14382" s="143">
        <v>21000000</v>
      </c>
    </row>
    <row r="14383" spans="1:9" x14ac:dyDescent="0.2">
      <c r="A14383" s="134">
        <v>46117</v>
      </c>
      <c r="B14383" s="135">
        <f>YEAR(source[[#This Row],[report_date]])</f>
        <v>2026</v>
      </c>
      <c r="C14383" s="128">
        <f t="shared" si="671"/>
        <v>4</v>
      </c>
      <c r="D14383" s="136">
        <f t="shared" si="673"/>
        <v>14</v>
      </c>
      <c r="E14383" s="136">
        <f t="shared" si="672"/>
        <v>5</v>
      </c>
      <c r="F14383" s="137" t="s">
        <v>24</v>
      </c>
      <c r="G14383" s="128" t="str">
        <f>VLOOKUP(source[[#This Row],[lending_product_transform]],[3]Mapping!$B$4:$C$37,2,0)</f>
        <v>[Cake] - Cashloan</v>
      </c>
      <c r="H14383" s="128" t="str">
        <f>VLOOKUP(source[[#This Row],[lending_product_transform]],[3]Mapping!$B$3:$D$37,3,0)</f>
        <v>cashloan</v>
      </c>
      <c r="I14383" s="143">
        <v>97000000</v>
      </c>
    </row>
    <row r="14384" spans="1:9" x14ac:dyDescent="0.2">
      <c r="A14384" s="134">
        <v>46117</v>
      </c>
      <c r="B14384" s="135">
        <f>YEAR(source[[#This Row],[report_date]])</f>
        <v>2026</v>
      </c>
      <c r="C14384" s="128">
        <f t="shared" si="671"/>
        <v>4</v>
      </c>
      <c r="D14384" s="136">
        <f t="shared" si="673"/>
        <v>14</v>
      </c>
      <c r="E14384" s="136">
        <f t="shared" si="672"/>
        <v>5</v>
      </c>
      <c r="F14384" s="137" t="s">
        <v>24</v>
      </c>
      <c r="G14384" s="128" t="str">
        <f>VLOOKUP(source[[#This Row],[lending_product_transform]],[3]Mapping!$B$4:$C$37,2,0)</f>
        <v>[Cake] - Cashloan</v>
      </c>
      <c r="H14384" s="128" t="str">
        <f>VLOOKUP(source[[#This Row],[lending_product_transform]],[3]Mapping!$B$3:$D$37,3,0)</f>
        <v>cashloan</v>
      </c>
      <c r="I14384" s="143">
        <v>871700000</v>
      </c>
    </row>
    <row r="14385" spans="1:9" x14ac:dyDescent="0.2">
      <c r="A14385" s="134">
        <v>46117</v>
      </c>
      <c r="B14385" s="135">
        <f>YEAR(source[[#This Row],[report_date]])</f>
        <v>2026</v>
      </c>
      <c r="C14385" s="128">
        <f t="shared" si="671"/>
        <v>4</v>
      </c>
      <c r="D14385" s="136">
        <f t="shared" si="673"/>
        <v>14</v>
      </c>
      <c r="E14385" s="136">
        <f t="shared" si="672"/>
        <v>5</v>
      </c>
      <c r="F14385" s="137" t="s">
        <v>24</v>
      </c>
      <c r="G14385" s="128" t="str">
        <f>VLOOKUP(source[[#This Row],[lending_product_transform]],[3]Mapping!$B$4:$C$37,2,0)</f>
        <v>[Cake] - Cashloan</v>
      </c>
      <c r="H14385" s="128" t="str">
        <f>VLOOKUP(source[[#This Row],[lending_product_transform]],[3]Mapping!$B$3:$D$37,3,0)</f>
        <v>cashloan</v>
      </c>
      <c r="I14385" s="143">
        <v>417204000</v>
      </c>
    </row>
    <row r="14386" spans="1:9" x14ac:dyDescent="0.2">
      <c r="A14386" s="134">
        <v>46117</v>
      </c>
      <c r="B14386" s="135">
        <f>YEAR(source[[#This Row],[report_date]])</f>
        <v>2026</v>
      </c>
      <c r="C14386" s="128">
        <f t="shared" si="671"/>
        <v>4</v>
      </c>
      <c r="D14386" s="136">
        <f t="shared" si="673"/>
        <v>14</v>
      </c>
      <c r="E14386" s="136">
        <f t="shared" si="672"/>
        <v>5</v>
      </c>
      <c r="F14386" s="137" t="s">
        <v>24</v>
      </c>
      <c r="G14386" s="128" t="str">
        <f>VLOOKUP(source[[#This Row],[lending_product_transform]],[3]Mapping!$B$4:$C$37,2,0)</f>
        <v>[Cake] - Cashloan</v>
      </c>
      <c r="H14386" s="128" t="str">
        <f>VLOOKUP(source[[#This Row],[lending_product_transform]],[3]Mapping!$B$3:$D$37,3,0)</f>
        <v>cashloan</v>
      </c>
      <c r="I14386" s="143">
        <v>967608584</v>
      </c>
    </row>
    <row r="14387" spans="1:9" x14ac:dyDescent="0.2">
      <c r="A14387" s="134">
        <v>46117</v>
      </c>
      <c r="B14387" s="135">
        <f>YEAR(source[[#This Row],[report_date]])</f>
        <v>2026</v>
      </c>
      <c r="C14387" s="128">
        <f t="shared" si="671"/>
        <v>4</v>
      </c>
      <c r="D14387" s="136">
        <f t="shared" si="673"/>
        <v>14</v>
      </c>
      <c r="E14387" s="136">
        <f t="shared" si="672"/>
        <v>5</v>
      </c>
      <c r="F14387" s="137" t="s">
        <v>24</v>
      </c>
      <c r="G14387" s="128" t="str">
        <f>VLOOKUP(source[[#This Row],[lending_product_transform]],[3]Mapping!$B$4:$C$37,2,0)</f>
        <v>[Cake] - Cashloan</v>
      </c>
      <c r="H14387" s="128" t="str">
        <f>VLOOKUP(source[[#This Row],[lending_product_transform]],[3]Mapping!$B$3:$D$37,3,0)</f>
        <v>cashloan</v>
      </c>
      <c r="I14387" s="143">
        <v>6031250000</v>
      </c>
    </row>
    <row r="14388" spans="1:9" x14ac:dyDescent="0.2">
      <c r="A14388" s="134">
        <v>46117</v>
      </c>
      <c r="B14388" s="135">
        <f>YEAR(source[[#This Row],[report_date]])</f>
        <v>2026</v>
      </c>
      <c r="C14388" s="128">
        <f t="shared" si="671"/>
        <v>4</v>
      </c>
      <c r="D14388" s="136">
        <f t="shared" si="673"/>
        <v>14</v>
      </c>
      <c r="E14388" s="136">
        <f t="shared" si="672"/>
        <v>5</v>
      </c>
      <c r="F14388" s="137" t="s">
        <v>24</v>
      </c>
      <c r="G14388" s="128" t="str">
        <f>VLOOKUP(source[[#This Row],[lending_product_transform]],[3]Mapping!$B$4:$C$37,2,0)</f>
        <v>[Cake] - Cashloan</v>
      </c>
      <c r="H14388" s="128" t="str">
        <f>VLOOKUP(source[[#This Row],[lending_product_transform]],[3]Mapping!$B$3:$D$37,3,0)</f>
        <v>cashloan</v>
      </c>
      <c r="I14388" s="143">
        <v>0</v>
      </c>
    </row>
    <row r="14389" spans="1:9" x14ac:dyDescent="0.2">
      <c r="A14389" s="134">
        <v>46118</v>
      </c>
      <c r="B14389" s="135">
        <f>YEAR(source[[#This Row],[report_date]])</f>
        <v>2026</v>
      </c>
      <c r="C14389" s="128">
        <f t="shared" si="671"/>
        <v>4</v>
      </c>
      <c r="D14389" s="136">
        <f t="shared" si="673"/>
        <v>15</v>
      </c>
      <c r="E14389" s="136">
        <f t="shared" si="672"/>
        <v>6</v>
      </c>
      <c r="F14389" s="137" t="s">
        <v>24</v>
      </c>
      <c r="G14389" s="128" t="str">
        <f>VLOOKUP(source[[#This Row],[lending_product_transform]],[3]Mapping!$B$4:$C$37,2,0)</f>
        <v>[Cake] - Cashloan</v>
      </c>
      <c r="H14389" s="128" t="str">
        <f>VLOOKUP(source[[#This Row],[lending_product_transform]],[3]Mapping!$B$3:$D$37,3,0)</f>
        <v>cashloan</v>
      </c>
      <c r="I14389" s="137">
        <v>789650000</v>
      </c>
    </row>
    <row r="14390" spans="1:9" x14ac:dyDescent="0.2">
      <c r="A14390" s="134">
        <v>46118</v>
      </c>
      <c r="B14390" s="135">
        <f>YEAR(source[[#This Row],[report_date]])</f>
        <v>2026</v>
      </c>
      <c r="C14390" s="128">
        <f t="shared" ref="C14390:C14453" si="674">MONTH(A14390)</f>
        <v>4</v>
      </c>
      <c r="D14390" s="136">
        <f t="shared" si="673"/>
        <v>15</v>
      </c>
      <c r="E14390" s="136">
        <f t="shared" ref="E14390:E14453" si="675">DAY(A14390)</f>
        <v>6</v>
      </c>
      <c r="F14390" s="137" t="s">
        <v>24</v>
      </c>
      <c r="G14390" s="128" t="str">
        <f>VLOOKUP(source[[#This Row],[lending_product_transform]],[3]Mapping!$B$4:$C$37,2,0)</f>
        <v>[Cake] - Cashloan</v>
      </c>
      <c r="H14390" s="128" t="str">
        <f>VLOOKUP(source[[#This Row],[lending_product_transform]],[3]Mapping!$B$3:$D$37,3,0)</f>
        <v>cashloan</v>
      </c>
      <c r="I14390" s="137">
        <v>362846492</v>
      </c>
    </row>
    <row r="14391" spans="1:9" x14ac:dyDescent="0.2">
      <c r="A14391" s="134">
        <v>46118</v>
      </c>
      <c r="B14391" s="135">
        <f>YEAR(source[[#This Row],[report_date]])</f>
        <v>2026</v>
      </c>
      <c r="C14391" s="128">
        <f t="shared" si="674"/>
        <v>4</v>
      </c>
      <c r="D14391" s="136">
        <f t="shared" si="673"/>
        <v>15</v>
      </c>
      <c r="E14391" s="136">
        <f t="shared" si="675"/>
        <v>6</v>
      </c>
      <c r="F14391" s="137" t="s">
        <v>24</v>
      </c>
      <c r="G14391" s="128" t="str">
        <f>VLOOKUP(source[[#This Row],[lending_product_transform]],[3]Mapping!$B$4:$C$37,2,0)</f>
        <v>[Cake] - Cashloan</v>
      </c>
      <c r="H14391" s="128" t="str">
        <f>VLOOKUP(source[[#This Row],[lending_product_transform]],[3]Mapping!$B$3:$D$37,3,0)</f>
        <v>cashloan</v>
      </c>
      <c r="I14391" s="137">
        <v>18506700000</v>
      </c>
    </row>
    <row r="14392" spans="1:9" x14ac:dyDescent="0.2">
      <c r="A14392" s="134">
        <v>46118</v>
      </c>
      <c r="B14392" s="135">
        <f>YEAR(source[[#This Row],[report_date]])</f>
        <v>2026</v>
      </c>
      <c r="C14392" s="128">
        <f t="shared" si="674"/>
        <v>4</v>
      </c>
      <c r="D14392" s="136">
        <f t="shared" si="673"/>
        <v>15</v>
      </c>
      <c r="E14392" s="136">
        <f t="shared" si="675"/>
        <v>6</v>
      </c>
      <c r="F14392" s="137" t="s">
        <v>24</v>
      </c>
      <c r="G14392" s="128" t="str">
        <f>VLOOKUP(source[[#This Row],[lending_product_transform]],[3]Mapping!$B$4:$C$37,2,0)</f>
        <v>[Cake] - Cashloan</v>
      </c>
      <c r="H14392" s="128" t="str">
        <f>VLOOKUP(source[[#This Row],[lending_product_transform]],[3]Mapping!$B$3:$D$37,3,0)</f>
        <v>cashloan</v>
      </c>
      <c r="I14392" s="137">
        <v>2081988827</v>
      </c>
    </row>
    <row r="14393" spans="1:9" x14ac:dyDescent="0.2">
      <c r="A14393" s="134">
        <v>46118</v>
      </c>
      <c r="B14393" s="135">
        <f>YEAR(source[[#This Row],[report_date]])</f>
        <v>2026</v>
      </c>
      <c r="C14393" s="128">
        <f t="shared" si="674"/>
        <v>4</v>
      </c>
      <c r="D14393" s="136">
        <f t="shared" si="673"/>
        <v>15</v>
      </c>
      <c r="E14393" s="136">
        <f t="shared" si="675"/>
        <v>6</v>
      </c>
      <c r="F14393" s="137" t="s">
        <v>24</v>
      </c>
      <c r="G14393" s="128" t="str">
        <f>VLOOKUP(source[[#This Row],[lending_product_transform]],[3]Mapping!$B$4:$C$37,2,0)</f>
        <v>[Cake] - Cashloan</v>
      </c>
      <c r="H14393" s="128" t="str">
        <f>VLOOKUP(source[[#This Row],[lending_product_transform]],[3]Mapping!$B$3:$D$37,3,0)</f>
        <v>cashloan</v>
      </c>
      <c r="I14393" s="137">
        <v>14511960000</v>
      </c>
    </row>
    <row r="14394" spans="1:9" x14ac:dyDescent="0.2">
      <c r="A14394" s="134">
        <v>46118</v>
      </c>
      <c r="B14394" s="135">
        <f>YEAR(source[[#This Row],[report_date]])</f>
        <v>2026</v>
      </c>
      <c r="C14394" s="128">
        <f t="shared" si="674"/>
        <v>4</v>
      </c>
      <c r="D14394" s="136">
        <f t="shared" si="673"/>
        <v>15</v>
      </c>
      <c r="E14394" s="136">
        <f t="shared" si="675"/>
        <v>6</v>
      </c>
      <c r="F14394" s="137" t="s">
        <v>24</v>
      </c>
      <c r="G14394" s="128" t="str">
        <f>VLOOKUP(source[[#This Row],[lending_product_transform]],[3]Mapping!$B$4:$C$37,2,0)</f>
        <v>[Cake] - Cashloan</v>
      </c>
      <c r="H14394" s="128" t="str">
        <f>VLOOKUP(source[[#This Row],[lending_product_transform]],[3]Mapping!$B$3:$D$37,3,0)</f>
        <v>cashloan</v>
      </c>
      <c r="I14394" s="137">
        <v>0</v>
      </c>
    </row>
    <row r="14395" spans="1:9" x14ac:dyDescent="0.2">
      <c r="A14395" s="134">
        <v>46118</v>
      </c>
      <c r="B14395" s="135">
        <f>YEAR(source[[#This Row],[report_date]])</f>
        <v>2026</v>
      </c>
      <c r="C14395" s="128">
        <f t="shared" si="674"/>
        <v>4</v>
      </c>
      <c r="D14395" s="136">
        <f t="shared" si="673"/>
        <v>15</v>
      </c>
      <c r="E14395" s="136">
        <f t="shared" si="675"/>
        <v>6</v>
      </c>
      <c r="F14395" s="137" t="s">
        <v>24</v>
      </c>
      <c r="G14395" s="128" t="str">
        <f>VLOOKUP(source[[#This Row],[lending_product_transform]],[3]Mapping!$B$4:$C$37,2,0)</f>
        <v>[Cake] - Cashloan</v>
      </c>
      <c r="H14395" s="128" t="str">
        <f>VLOOKUP(source[[#This Row],[lending_product_transform]],[3]Mapping!$B$3:$D$37,3,0)</f>
        <v>cashloan</v>
      </c>
      <c r="I14395" s="137">
        <v>0</v>
      </c>
    </row>
    <row r="14396" spans="1:9" x14ac:dyDescent="0.2">
      <c r="A14396" s="134">
        <v>46118</v>
      </c>
      <c r="B14396" s="135">
        <f>YEAR(source[[#This Row],[report_date]])</f>
        <v>2026</v>
      </c>
      <c r="C14396" s="128">
        <f t="shared" si="674"/>
        <v>4</v>
      </c>
      <c r="D14396" s="136">
        <f t="shared" si="673"/>
        <v>15</v>
      </c>
      <c r="E14396" s="136">
        <f t="shared" si="675"/>
        <v>6</v>
      </c>
      <c r="F14396" s="137" t="s">
        <v>24</v>
      </c>
      <c r="G14396" s="128" t="str">
        <f>VLOOKUP(source[[#This Row],[lending_product_transform]],[3]Mapping!$B$4:$C$37,2,0)</f>
        <v>[Cake] - Cashloan</v>
      </c>
      <c r="H14396" s="128" t="str">
        <f>VLOOKUP(source[[#This Row],[lending_product_transform]],[3]Mapping!$B$3:$D$37,3,0)</f>
        <v>cashloan</v>
      </c>
      <c r="I14396" s="137">
        <v>2560610000</v>
      </c>
    </row>
    <row r="14397" spans="1:9" x14ac:dyDescent="0.2">
      <c r="A14397" s="134">
        <v>46118</v>
      </c>
      <c r="B14397" s="135">
        <f>YEAR(source[[#This Row],[report_date]])</f>
        <v>2026</v>
      </c>
      <c r="C14397" s="128">
        <f t="shared" si="674"/>
        <v>4</v>
      </c>
      <c r="D14397" s="136">
        <f t="shared" si="673"/>
        <v>15</v>
      </c>
      <c r="E14397" s="136">
        <f t="shared" si="675"/>
        <v>6</v>
      </c>
      <c r="F14397" s="137" t="s">
        <v>24</v>
      </c>
      <c r="G14397" s="128" t="str">
        <f>VLOOKUP(source[[#This Row],[lending_product_transform]],[3]Mapping!$B$4:$C$37,2,0)</f>
        <v>[Cake] - Cashloan</v>
      </c>
      <c r="H14397" s="128" t="str">
        <f>VLOOKUP(source[[#This Row],[lending_product_transform]],[3]Mapping!$B$3:$D$37,3,0)</f>
        <v>cashloan</v>
      </c>
      <c r="I14397" s="137">
        <v>1214350000</v>
      </c>
    </row>
    <row r="14398" spans="1:9" x14ac:dyDescent="0.2">
      <c r="A14398" s="134">
        <v>46118</v>
      </c>
      <c r="B14398" s="135">
        <f>YEAR(source[[#This Row],[report_date]])</f>
        <v>2026</v>
      </c>
      <c r="C14398" s="128">
        <f t="shared" si="674"/>
        <v>4</v>
      </c>
      <c r="D14398" s="136">
        <f t="shared" si="673"/>
        <v>15</v>
      </c>
      <c r="E14398" s="136">
        <f t="shared" si="675"/>
        <v>6</v>
      </c>
      <c r="F14398" s="137" t="s">
        <v>24</v>
      </c>
      <c r="G14398" s="128" t="str">
        <f>VLOOKUP(source[[#This Row],[lending_product_transform]],[3]Mapping!$B$4:$C$37,2,0)</f>
        <v>[Cake] - Cashloan</v>
      </c>
      <c r="H14398" s="128" t="str">
        <f>VLOOKUP(source[[#This Row],[lending_product_transform]],[3]Mapping!$B$3:$D$37,3,0)</f>
        <v>cashloan</v>
      </c>
      <c r="I14398" s="137">
        <v>13639216</v>
      </c>
    </row>
    <row r="14399" spans="1:9" x14ac:dyDescent="0.2">
      <c r="A14399" s="134">
        <v>46118</v>
      </c>
      <c r="B14399" s="135">
        <f>YEAR(source[[#This Row],[report_date]])</f>
        <v>2026</v>
      </c>
      <c r="C14399" s="128">
        <f t="shared" si="674"/>
        <v>4</v>
      </c>
      <c r="D14399" s="136">
        <f t="shared" si="673"/>
        <v>15</v>
      </c>
      <c r="E14399" s="136">
        <f t="shared" si="675"/>
        <v>6</v>
      </c>
      <c r="F14399" s="137" t="s">
        <v>24</v>
      </c>
      <c r="G14399" s="128" t="str">
        <f>VLOOKUP(source[[#This Row],[lending_product_transform]],[3]Mapping!$B$4:$C$37,2,0)</f>
        <v>[Cake] - Cashloan</v>
      </c>
      <c r="H14399" s="128" t="str">
        <f>VLOOKUP(source[[#This Row],[lending_product_transform]],[3]Mapping!$B$3:$D$37,3,0)</f>
        <v>cashloan</v>
      </c>
      <c r="I14399" s="137">
        <v>1231822499</v>
      </c>
    </row>
    <row r="14400" spans="1:9" x14ac:dyDescent="0.2">
      <c r="A14400" s="134">
        <v>46118</v>
      </c>
      <c r="B14400" s="135">
        <f>YEAR(source[[#This Row],[report_date]])</f>
        <v>2026</v>
      </c>
      <c r="C14400" s="128">
        <f t="shared" si="674"/>
        <v>4</v>
      </c>
      <c r="D14400" s="136">
        <f t="shared" si="673"/>
        <v>15</v>
      </c>
      <c r="E14400" s="136">
        <f t="shared" si="675"/>
        <v>6</v>
      </c>
      <c r="F14400" s="137" t="s">
        <v>24</v>
      </c>
      <c r="G14400" s="128" t="str">
        <f>VLOOKUP(source[[#This Row],[lending_product_transform]],[3]Mapping!$B$4:$C$37,2,0)</f>
        <v>[Cake] - Cashloan</v>
      </c>
      <c r="H14400" s="128" t="str">
        <f>VLOOKUP(source[[#This Row],[lending_product_transform]],[3]Mapping!$B$3:$D$37,3,0)</f>
        <v>cashloan</v>
      </c>
      <c r="I14400" s="137">
        <v>0</v>
      </c>
    </row>
    <row r="14401" spans="1:9" x14ac:dyDescent="0.2">
      <c r="A14401" s="134">
        <v>46118</v>
      </c>
      <c r="B14401" s="135">
        <f>YEAR(source[[#This Row],[report_date]])</f>
        <v>2026</v>
      </c>
      <c r="C14401" s="128">
        <f t="shared" si="674"/>
        <v>4</v>
      </c>
      <c r="D14401" s="136">
        <f t="shared" si="673"/>
        <v>15</v>
      </c>
      <c r="E14401" s="136">
        <f t="shared" si="675"/>
        <v>6</v>
      </c>
      <c r="F14401" s="137" t="s">
        <v>24</v>
      </c>
      <c r="G14401" s="128" t="str">
        <f>VLOOKUP(source[[#This Row],[lending_product_transform]],[3]Mapping!$B$4:$C$37,2,0)</f>
        <v>[Cake] - Cashloan</v>
      </c>
      <c r="H14401" s="128" t="str">
        <f>VLOOKUP(source[[#This Row],[lending_product_transform]],[3]Mapping!$B$3:$D$37,3,0)</f>
        <v>cashloan</v>
      </c>
      <c r="I14401" s="137">
        <v>41250000</v>
      </c>
    </row>
    <row r="14402" spans="1:9" x14ac:dyDescent="0.2">
      <c r="A14402" s="134">
        <v>46118</v>
      </c>
      <c r="B14402" s="135">
        <f>YEAR(source[[#This Row],[report_date]])</f>
        <v>2026</v>
      </c>
      <c r="C14402" s="128">
        <f t="shared" si="674"/>
        <v>4</v>
      </c>
      <c r="D14402" s="136">
        <f t="shared" si="673"/>
        <v>15</v>
      </c>
      <c r="E14402" s="136">
        <f t="shared" si="675"/>
        <v>6</v>
      </c>
      <c r="F14402" s="137" t="s">
        <v>24</v>
      </c>
      <c r="G14402" s="128" t="str">
        <f>VLOOKUP(source[[#This Row],[lending_product_transform]],[3]Mapping!$B$4:$C$37,2,0)</f>
        <v>[Cake] - Cashloan</v>
      </c>
      <c r="H14402" s="128" t="str">
        <f>VLOOKUP(source[[#This Row],[lending_product_transform]],[3]Mapping!$B$3:$D$37,3,0)</f>
        <v>cashloan</v>
      </c>
      <c r="I14402" s="137">
        <v>81000000</v>
      </c>
    </row>
    <row r="14403" spans="1:9" x14ac:dyDescent="0.2">
      <c r="A14403" s="134">
        <v>46118</v>
      </c>
      <c r="B14403" s="135">
        <f>YEAR(source[[#This Row],[report_date]])</f>
        <v>2026</v>
      </c>
      <c r="C14403" s="128">
        <f t="shared" si="674"/>
        <v>4</v>
      </c>
      <c r="D14403" s="136">
        <f t="shared" si="673"/>
        <v>15</v>
      </c>
      <c r="E14403" s="136">
        <f t="shared" si="675"/>
        <v>6</v>
      </c>
      <c r="F14403" s="137" t="s">
        <v>24</v>
      </c>
      <c r="G14403" s="128" t="str">
        <f>VLOOKUP(source[[#This Row],[lending_product_transform]],[3]Mapping!$B$4:$C$37,2,0)</f>
        <v>[Cake] - Cashloan</v>
      </c>
      <c r="H14403" s="128" t="str">
        <f>VLOOKUP(source[[#This Row],[lending_product_transform]],[3]Mapping!$B$3:$D$37,3,0)</f>
        <v>cashloan</v>
      </c>
      <c r="I14403" s="137">
        <v>16524910000</v>
      </c>
    </row>
    <row r="14404" spans="1:9" x14ac:dyDescent="0.2">
      <c r="A14404" s="134">
        <v>46118</v>
      </c>
      <c r="B14404" s="135">
        <f>YEAR(source[[#This Row],[report_date]])</f>
        <v>2026</v>
      </c>
      <c r="C14404" s="128">
        <f t="shared" si="674"/>
        <v>4</v>
      </c>
      <c r="D14404" s="136">
        <f t="shared" si="673"/>
        <v>15</v>
      </c>
      <c r="E14404" s="136">
        <f t="shared" si="675"/>
        <v>6</v>
      </c>
      <c r="F14404" s="137" t="s">
        <v>24</v>
      </c>
      <c r="G14404" s="128" t="str">
        <f>VLOOKUP(source[[#This Row],[lending_product_transform]],[3]Mapping!$B$4:$C$37,2,0)</f>
        <v>[Cake] - Cashloan</v>
      </c>
      <c r="H14404" s="128" t="str">
        <f>VLOOKUP(source[[#This Row],[lending_product_transform]],[3]Mapping!$B$3:$D$37,3,0)</f>
        <v>cashloan</v>
      </c>
      <c r="I14404" s="137">
        <v>0</v>
      </c>
    </row>
    <row r="14405" spans="1:9" x14ac:dyDescent="0.2">
      <c r="A14405" s="134">
        <v>46118</v>
      </c>
      <c r="B14405" s="135">
        <f>YEAR(source[[#This Row],[report_date]])</f>
        <v>2026</v>
      </c>
      <c r="C14405" s="128">
        <f t="shared" si="674"/>
        <v>4</v>
      </c>
      <c r="D14405" s="136">
        <f t="shared" si="673"/>
        <v>15</v>
      </c>
      <c r="E14405" s="136">
        <f t="shared" si="675"/>
        <v>6</v>
      </c>
      <c r="F14405" s="137" t="s">
        <v>24</v>
      </c>
      <c r="G14405" s="128" t="str">
        <f>VLOOKUP(source[[#This Row],[lending_product_transform]],[3]Mapping!$B$4:$C$37,2,0)</f>
        <v>[Cake] - Cashloan</v>
      </c>
      <c r="H14405" s="128" t="str">
        <f>VLOOKUP(source[[#This Row],[lending_product_transform]],[3]Mapping!$B$3:$D$37,3,0)</f>
        <v>cashloan</v>
      </c>
      <c r="I14405" s="137">
        <v>0</v>
      </c>
    </row>
    <row r="14406" spans="1:9" x14ac:dyDescent="0.2">
      <c r="A14406" s="134">
        <v>46118</v>
      </c>
      <c r="B14406" s="135">
        <f>YEAR(source[[#This Row],[report_date]])</f>
        <v>2026</v>
      </c>
      <c r="C14406" s="128">
        <f t="shared" si="674"/>
        <v>4</v>
      </c>
      <c r="D14406" s="136">
        <f t="shared" si="673"/>
        <v>15</v>
      </c>
      <c r="E14406" s="136">
        <f t="shared" si="675"/>
        <v>6</v>
      </c>
      <c r="F14406" s="137" t="s">
        <v>24</v>
      </c>
      <c r="G14406" s="128" t="str">
        <f>VLOOKUP(source[[#This Row],[lending_product_transform]],[3]Mapping!$B$4:$C$37,2,0)</f>
        <v>[Cake] - Cashloan</v>
      </c>
      <c r="H14406" s="128" t="str">
        <f>VLOOKUP(source[[#This Row],[lending_product_transform]],[3]Mapping!$B$3:$D$37,3,0)</f>
        <v>cashloan</v>
      </c>
      <c r="I14406" s="137">
        <v>0</v>
      </c>
    </row>
    <row r="14407" spans="1:9" x14ac:dyDescent="0.2">
      <c r="A14407" s="134">
        <v>46118</v>
      </c>
      <c r="B14407" s="135">
        <f>YEAR(source[[#This Row],[report_date]])</f>
        <v>2026</v>
      </c>
      <c r="C14407" s="128">
        <f t="shared" si="674"/>
        <v>4</v>
      </c>
      <c r="D14407" s="136">
        <f t="shared" si="673"/>
        <v>15</v>
      </c>
      <c r="E14407" s="136">
        <f t="shared" si="675"/>
        <v>6</v>
      </c>
      <c r="F14407" s="137" t="s">
        <v>24</v>
      </c>
      <c r="G14407" s="128" t="str">
        <f>VLOOKUP(source[[#This Row],[lending_product_transform]],[3]Mapping!$B$4:$C$37,2,0)</f>
        <v>[Cake] - Cashloan</v>
      </c>
      <c r="H14407" s="128" t="str">
        <f>VLOOKUP(source[[#This Row],[lending_product_transform]],[3]Mapping!$B$3:$D$37,3,0)</f>
        <v>cashloan</v>
      </c>
      <c r="I14407" s="137">
        <v>0</v>
      </c>
    </row>
    <row r="14408" spans="1:9" x14ac:dyDescent="0.2">
      <c r="A14408" s="134">
        <v>46118</v>
      </c>
      <c r="B14408" s="135">
        <f>YEAR(source[[#This Row],[report_date]])</f>
        <v>2026</v>
      </c>
      <c r="C14408" s="128">
        <f t="shared" si="674"/>
        <v>4</v>
      </c>
      <c r="D14408" s="136">
        <f t="shared" si="673"/>
        <v>15</v>
      </c>
      <c r="E14408" s="136">
        <f t="shared" si="675"/>
        <v>6</v>
      </c>
      <c r="F14408" s="137" t="s">
        <v>24</v>
      </c>
      <c r="G14408" s="128" t="str">
        <f>VLOOKUP(source[[#This Row],[lending_product_transform]],[3]Mapping!$B$4:$C$37,2,0)</f>
        <v>[Cake] - Cashloan</v>
      </c>
      <c r="H14408" s="128" t="str">
        <f>VLOOKUP(source[[#This Row],[lending_product_transform]],[3]Mapping!$B$3:$D$37,3,0)</f>
        <v>cashloan</v>
      </c>
      <c r="I14408" s="137">
        <v>10685088000</v>
      </c>
    </row>
    <row r="14409" spans="1:9" x14ac:dyDescent="0.2">
      <c r="A14409" s="134">
        <v>46118</v>
      </c>
      <c r="B14409" s="135">
        <f>YEAR(source[[#This Row],[report_date]])</f>
        <v>2026</v>
      </c>
      <c r="C14409" s="128">
        <f t="shared" si="674"/>
        <v>4</v>
      </c>
      <c r="D14409" s="136">
        <f t="shared" si="673"/>
        <v>15</v>
      </c>
      <c r="E14409" s="136">
        <f t="shared" si="675"/>
        <v>6</v>
      </c>
      <c r="F14409" s="137" t="s">
        <v>24</v>
      </c>
      <c r="G14409" s="128" t="str">
        <f>VLOOKUP(source[[#This Row],[lending_product_transform]],[3]Mapping!$B$4:$C$37,2,0)</f>
        <v>[Cake] - Cashloan</v>
      </c>
      <c r="H14409" s="128" t="str">
        <f>VLOOKUP(source[[#This Row],[lending_product_transform]],[3]Mapping!$B$3:$D$37,3,0)</f>
        <v>cashloan</v>
      </c>
      <c r="I14409" s="137">
        <v>413044188</v>
      </c>
    </row>
    <row r="14410" spans="1:9" x14ac:dyDescent="0.2">
      <c r="A14410" s="134">
        <v>46118</v>
      </c>
      <c r="B14410" s="135">
        <f>YEAR(source[[#This Row],[report_date]])</f>
        <v>2026</v>
      </c>
      <c r="C14410" s="128">
        <f t="shared" si="674"/>
        <v>4</v>
      </c>
      <c r="D14410" s="136">
        <f t="shared" si="673"/>
        <v>15</v>
      </c>
      <c r="E14410" s="136">
        <f t="shared" si="675"/>
        <v>6</v>
      </c>
      <c r="F14410" s="137" t="s">
        <v>24</v>
      </c>
      <c r="G14410" s="128" t="str">
        <f>VLOOKUP(source[[#This Row],[lending_product_transform]],[3]Mapping!$B$4:$C$37,2,0)</f>
        <v>[Cake] - Cashloan</v>
      </c>
      <c r="H14410" s="128" t="str">
        <f>VLOOKUP(source[[#This Row],[lending_product_transform]],[3]Mapping!$B$3:$D$37,3,0)</f>
        <v>cashloan</v>
      </c>
      <c r="I14410" s="137">
        <v>31500000</v>
      </c>
    </row>
    <row r="14411" spans="1:9" x14ac:dyDescent="0.2">
      <c r="A14411" s="134">
        <v>46118</v>
      </c>
      <c r="B14411" s="135">
        <f>YEAR(source[[#This Row],[report_date]])</f>
        <v>2026</v>
      </c>
      <c r="C14411" s="128">
        <f t="shared" si="674"/>
        <v>4</v>
      </c>
      <c r="D14411" s="136">
        <f t="shared" si="673"/>
        <v>15</v>
      </c>
      <c r="E14411" s="136">
        <f t="shared" si="675"/>
        <v>6</v>
      </c>
      <c r="F14411" s="137" t="s">
        <v>24</v>
      </c>
      <c r="G14411" s="128" t="str">
        <f>VLOOKUP(source[[#This Row],[lending_product_transform]],[3]Mapping!$B$4:$C$37,2,0)</f>
        <v>[Cake] - Cashloan</v>
      </c>
      <c r="H14411" s="128" t="str">
        <f>VLOOKUP(source[[#This Row],[lending_product_transform]],[3]Mapping!$B$3:$D$37,3,0)</f>
        <v>cashloan</v>
      </c>
      <c r="I14411" s="137">
        <v>60000000</v>
      </c>
    </row>
    <row r="14412" spans="1:9" x14ac:dyDescent="0.2">
      <c r="A14412" s="134">
        <v>46118</v>
      </c>
      <c r="B14412" s="135">
        <f>YEAR(source[[#This Row],[report_date]])</f>
        <v>2026</v>
      </c>
      <c r="C14412" s="128">
        <f t="shared" si="674"/>
        <v>4</v>
      </c>
      <c r="D14412" s="136">
        <f t="shared" si="673"/>
        <v>15</v>
      </c>
      <c r="E14412" s="136">
        <f t="shared" si="675"/>
        <v>6</v>
      </c>
      <c r="F14412" s="137" t="s">
        <v>24</v>
      </c>
      <c r="G14412" s="128" t="str">
        <f>VLOOKUP(source[[#This Row],[lending_product_transform]],[3]Mapping!$B$4:$C$37,2,0)</f>
        <v>[Cake] - Cashloan</v>
      </c>
      <c r="H14412" s="128" t="str">
        <f>VLOOKUP(source[[#This Row],[lending_product_transform]],[3]Mapping!$B$3:$D$37,3,0)</f>
        <v>cashloan</v>
      </c>
      <c r="I14412" s="137">
        <v>884770000</v>
      </c>
    </row>
    <row r="14413" spans="1:9" x14ac:dyDescent="0.2">
      <c r="A14413" s="134">
        <v>46118</v>
      </c>
      <c r="B14413" s="135">
        <f>YEAR(source[[#This Row],[report_date]])</f>
        <v>2026</v>
      </c>
      <c r="C14413" s="128">
        <f t="shared" si="674"/>
        <v>4</v>
      </c>
      <c r="D14413" s="136">
        <f t="shared" si="673"/>
        <v>15</v>
      </c>
      <c r="E14413" s="136">
        <f t="shared" si="675"/>
        <v>6</v>
      </c>
      <c r="F14413" s="137" t="s">
        <v>24</v>
      </c>
      <c r="G14413" s="128" t="str">
        <f>VLOOKUP(source[[#This Row],[lending_product_transform]],[3]Mapping!$B$4:$C$37,2,0)</f>
        <v>[Cake] - Cashloan</v>
      </c>
      <c r="H14413" s="128" t="str">
        <f>VLOOKUP(source[[#This Row],[lending_product_transform]],[3]Mapping!$B$3:$D$37,3,0)</f>
        <v>cashloan</v>
      </c>
      <c r="I14413" s="137">
        <v>345492000</v>
      </c>
    </row>
    <row r="14414" spans="1:9" x14ac:dyDescent="0.2">
      <c r="A14414" s="134">
        <v>46118</v>
      </c>
      <c r="B14414" s="135">
        <f>YEAR(source[[#This Row],[report_date]])</f>
        <v>2026</v>
      </c>
      <c r="C14414" s="128">
        <f t="shared" si="674"/>
        <v>4</v>
      </c>
      <c r="D14414" s="136">
        <f t="shared" si="673"/>
        <v>15</v>
      </c>
      <c r="E14414" s="136">
        <f t="shared" si="675"/>
        <v>6</v>
      </c>
      <c r="F14414" s="137" t="s">
        <v>24</v>
      </c>
      <c r="G14414" s="128" t="str">
        <f>VLOOKUP(source[[#This Row],[lending_product_transform]],[3]Mapping!$B$4:$C$37,2,0)</f>
        <v>[Cake] - Cashloan</v>
      </c>
      <c r="H14414" s="128" t="str">
        <f>VLOOKUP(source[[#This Row],[lending_product_transform]],[3]Mapping!$B$3:$D$37,3,0)</f>
        <v>cashloan</v>
      </c>
      <c r="I14414" s="137">
        <v>639747115</v>
      </c>
    </row>
    <row r="14415" spans="1:9" x14ac:dyDescent="0.2">
      <c r="A14415" s="134">
        <v>46118</v>
      </c>
      <c r="B14415" s="135">
        <f>YEAR(source[[#This Row],[report_date]])</f>
        <v>2026</v>
      </c>
      <c r="C14415" s="128">
        <f t="shared" si="674"/>
        <v>4</v>
      </c>
      <c r="D14415" s="136">
        <f t="shared" si="673"/>
        <v>15</v>
      </c>
      <c r="E14415" s="136">
        <f t="shared" si="675"/>
        <v>6</v>
      </c>
      <c r="F14415" s="137" t="s">
        <v>24</v>
      </c>
      <c r="G14415" s="128" t="str">
        <f>VLOOKUP(source[[#This Row],[lending_product_transform]],[3]Mapping!$B$4:$C$37,2,0)</f>
        <v>[Cake] - Cashloan</v>
      </c>
      <c r="H14415" s="128" t="str">
        <f>VLOOKUP(source[[#This Row],[lending_product_transform]],[3]Mapping!$B$3:$D$37,3,0)</f>
        <v>cashloan</v>
      </c>
      <c r="I14415" s="137">
        <v>7145550000</v>
      </c>
    </row>
    <row r="14416" spans="1:9" x14ac:dyDescent="0.2">
      <c r="A14416" s="134">
        <v>46118</v>
      </c>
      <c r="B14416" s="135">
        <f>YEAR(source[[#This Row],[report_date]])</f>
        <v>2026</v>
      </c>
      <c r="C14416" s="128">
        <f t="shared" si="674"/>
        <v>4</v>
      </c>
      <c r="D14416" s="136">
        <f t="shared" si="673"/>
        <v>15</v>
      </c>
      <c r="E14416" s="136">
        <f t="shared" si="675"/>
        <v>6</v>
      </c>
      <c r="F14416" s="137" t="s">
        <v>24</v>
      </c>
      <c r="G14416" s="128" t="str">
        <f>VLOOKUP(source[[#This Row],[lending_product_transform]],[3]Mapping!$B$4:$C$37,2,0)</f>
        <v>[Cake] - Cashloan</v>
      </c>
      <c r="H14416" s="128" t="str">
        <f>VLOOKUP(source[[#This Row],[lending_product_transform]],[3]Mapping!$B$3:$D$37,3,0)</f>
        <v>cashloan</v>
      </c>
      <c r="I14416" s="137">
        <v>3240000</v>
      </c>
    </row>
    <row r="14417" spans="1:9" x14ac:dyDescent="0.2">
      <c r="A14417" s="134">
        <v>46119</v>
      </c>
      <c r="B14417" s="135">
        <f>YEAR(source[[#This Row],[report_date]])</f>
        <v>2026</v>
      </c>
      <c r="C14417" s="128">
        <f t="shared" si="674"/>
        <v>4</v>
      </c>
      <c r="D14417" s="136">
        <f t="shared" ref="D14417:D14480" si="676">WEEKNUM(A14417,2)</f>
        <v>15</v>
      </c>
      <c r="E14417" s="136">
        <f t="shared" si="675"/>
        <v>7</v>
      </c>
      <c r="F14417" s="137" t="s">
        <v>24</v>
      </c>
      <c r="G14417" s="128" t="str">
        <f>VLOOKUP(source[[#This Row],[lending_product_transform]],[3]Mapping!$B$4:$C$37,2,0)</f>
        <v>[Cake] - Cashloan</v>
      </c>
      <c r="H14417" s="128" t="str">
        <f>VLOOKUP(source[[#This Row],[lending_product_transform]],[3]Mapping!$B$3:$D$37,3,0)</f>
        <v>cashloan</v>
      </c>
      <c r="I14417" s="137">
        <v>803500000</v>
      </c>
    </row>
    <row r="14418" spans="1:9" x14ac:dyDescent="0.2">
      <c r="A14418" s="134">
        <v>46119</v>
      </c>
      <c r="B14418" s="135">
        <f>YEAR(source[[#This Row],[report_date]])</f>
        <v>2026</v>
      </c>
      <c r="C14418" s="128">
        <f t="shared" si="674"/>
        <v>4</v>
      </c>
      <c r="D14418" s="136">
        <f t="shared" si="676"/>
        <v>15</v>
      </c>
      <c r="E14418" s="136">
        <f t="shared" si="675"/>
        <v>7</v>
      </c>
      <c r="F14418" s="137" t="s">
        <v>24</v>
      </c>
      <c r="G14418" s="128" t="str">
        <f>VLOOKUP(source[[#This Row],[lending_product_transform]],[3]Mapping!$B$4:$C$37,2,0)</f>
        <v>[Cake] - Cashloan</v>
      </c>
      <c r="H14418" s="128" t="str">
        <f>VLOOKUP(source[[#This Row],[lending_product_transform]],[3]Mapping!$B$3:$D$37,3,0)</f>
        <v>cashloan</v>
      </c>
      <c r="I14418" s="137">
        <v>323742554</v>
      </c>
    </row>
    <row r="14419" spans="1:9" x14ac:dyDescent="0.2">
      <c r="A14419" s="134">
        <v>46119</v>
      </c>
      <c r="B14419" s="135">
        <f>YEAR(source[[#This Row],[report_date]])</f>
        <v>2026</v>
      </c>
      <c r="C14419" s="128">
        <f t="shared" si="674"/>
        <v>4</v>
      </c>
      <c r="D14419" s="136">
        <f t="shared" si="676"/>
        <v>15</v>
      </c>
      <c r="E14419" s="136">
        <f t="shared" si="675"/>
        <v>7</v>
      </c>
      <c r="F14419" s="137" t="s">
        <v>24</v>
      </c>
      <c r="G14419" s="128" t="str">
        <f>VLOOKUP(source[[#This Row],[lending_product_transform]],[3]Mapping!$B$4:$C$37,2,0)</f>
        <v>[Cake] - Cashloan</v>
      </c>
      <c r="H14419" s="128" t="str">
        <f>VLOOKUP(source[[#This Row],[lending_product_transform]],[3]Mapping!$B$3:$D$37,3,0)</f>
        <v>cashloan</v>
      </c>
      <c r="I14419" s="137">
        <v>16980340000</v>
      </c>
    </row>
    <row r="14420" spans="1:9" x14ac:dyDescent="0.2">
      <c r="A14420" s="134">
        <v>46119</v>
      </c>
      <c r="B14420" s="135">
        <f>YEAR(source[[#This Row],[report_date]])</f>
        <v>2026</v>
      </c>
      <c r="C14420" s="128">
        <f t="shared" si="674"/>
        <v>4</v>
      </c>
      <c r="D14420" s="136">
        <f t="shared" si="676"/>
        <v>15</v>
      </c>
      <c r="E14420" s="136">
        <f t="shared" si="675"/>
        <v>7</v>
      </c>
      <c r="F14420" s="137" t="s">
        <v>24</v>
      </c>
      <c r="G14420" s="128" t="str">
        <f>VLOOKUP(source[[#This Row],[lending_product_transform]],[3]Mapping!$B$4:$C$37,2,0)</f>
        <v>[Cake] - Cashloan</v>
      </c>
      <c r="H14420" s="128" t="str">
        <f>VLOOKUP(source[[#This Row],[lending_product_transform]],[3]Mapping!$B$3:$D$37,3,0)</f>
        <v>cashloan</v>
      </c>
      <c r="I14420" s="137">
        <v>1734498184</v>
      </c>
    </row>
    <row r="14421" spans="1:9" x14ac:dyDescent="0.2">
      <c r="A14421" s="134">
        <v>46119</v>
      </c>
      <c r="B14421" s="135">
        <f>YEAR(source[[#This Row],[report_date]])</f>
        <v>2026</v>
      </c>
      <c r="C14421" s="128">
        <f t="shared" si="674"/>
        <v>4</v>
      </c>
      <c r="D14421" s="136">
        <f t="shared" si="676"/>
        <v>15</v>
      </c>
      <c r="E14421" s="136">
        <f t="shared" si="675"/>
        <v>7</v>
      </c>
      <c r="F14421" s="137" t="s">
        <v>24</v>
      </c>
      <c r="G14421" s="128" t="str">
        <f>VLOOKUP(source[[#This Row],[lending_product_transform]],[3]Mapping!$B$4:$C$37,2,0)</f>
        <v>[Cake] - Cashloan</v>
      </c>
      <c r="H14421" s="128" t="str">
        <f>VLOOKUP(source[[#This Row],[lending_product_transform]],[3]Mapping!$B$3:$D$37,3,0)</f>
        <v>cashloan</v>
      </c>
      <c r="I14421" s="137">
        <v>14266584000</v>
      </c>
    </row>
    <row r="14422" spans="1:9" x14ac:dyDescent="0.2">
      <c r="A14422" s="134">
        <v>46119</v>
      </c>
      <c r="B14422" s="135">
        <f>YEAR(source[[#This Row],[report_date]])</f>
        <v>2026</v>
      </c>
      <c r="C14422" s="128">
        <f t="shared" si="674"/>
        <v>4</v>
      </c>
      <c r="D14422" s="136">
        <f t="shared" si="676"/>
        <v>15</v>
      </c>
      <c r="E14422" s="136">
        <f t="shared" si="675"/>
        <v>7</v>
      </c>
      <c r="F14422" s="137" t="s">
        <v>24</v>
      </c>
      <c r="G14422" s="128" t="str">
        <f>VLOOKUP(source[[#This Row],[lending_product_transform]],[3]Mapping!$B$4:$C$37,2,0)</f>
        <v>[Cake] - Cashloan</v>
      </c>
      <c r="H14422" s="128" t="str">
        <f>VLOOKUP(source[[#This Row],[lending_product_transform]],[3]Mapping!$B$3:$D$37,3,0)</f>
        <v>cashloan</v>
      </c>
      <c r="I14422" s="137">
        <v>0</v>
      </c>
    </row>
    <row r="14423" spans="1:9" x14ac:dyDescent="0.2">
      <c r="A14423" s="134">
        <v>46119</v>
      </c>
      <c r="B14423" s="135">
        <f>YEAR(source[[#This Row],[report_date]])</f>
        <v>2026</v>
      </c>
      <c r="C14423" s="128">
        <f t="shared" si="674"/>
        <v>4</v>
      </c>
      <c r="D14423" s="136">
        <f t="shared" si="676"/>
        <v>15</v>
      </c>
      <c r="E14423" s="136">
        <f t="shared" si="675"/>
        <v>7</v>
      </c>
      <c r="F14423" s="137" t="s">
        <v>24</v>
      </c>
      <c r="G14423" s="128" t="str">
        <f>VLOOKUP(source[[#This Row],[lending_product_transform]],[3]Mapping!$B$4:$C$37,2,0)</f>
        <v>[Cake] - Cashloan</v>
      </c>
      <c r="H14423" s="128" t="str">
        <f>VLOOKUP(source[[#This Row],[lending_product_transform]],[3]Mapping!$B$3:$D$37,3,0)</f>
        <v>cashloan</v>
      </c>
      <c r="I14423" s="137">
        <v>170000000</v>
      </c>
    </row>
    <row r="14424" spans="1:9" x14ac:dyDescent="0.2">
      <c r="A14424" s="134">
        <v>46119</v>
      </c>
      <c r="B14424" s="135">
        <f>YEAR(source[[#This Row],[report_date]])</f>
        <v>2026</v>
      </c>
      <c r="C14424" s="128">
        <f t="shared" si="674"/>
        <v>4</v>
      </c>
      <c r="D14424" s="136">
        <f t="shared" si="676"/>
        <v>15</v>
      </c>
      <c r="E14424" s="136">
        <f t="shared" si="675"/>
        <v>7</v>
      </c>
      <c r="F14424" s="137" t="s">
        <v>24</v>
      </c>
      <c r="G14424" s="128" t="str">
        <f>VLOOKUP(source[[#This Row],[lending_product_transform]],[3]Mapping!$B$4:$C$37,2,0)</f>
        <v>[Cake] - Cashloan</v>
      </c>
      <c r="H14424" s="128" t="str">
        <f>VLOOKUP(source[[#This Row],[lending_product_transform]],[3]Mapping!$B$3:$D$37,3,0)</f>
        <v>cashloan</v>
      </c>
      <c r="I14424" s="137">
        <v>2352120000</v>
      </c>
    </row>
    <row r="14425" spans="1:9" x14ac:dyDescent="0.2">
      <c r="A14425" s="134">
        <v>46119</v>
      </c>
      <c r="B14425" s="135">
        <f>YEAR(source[[#This Row],[report_date]])</f>
        <v>2026</v>
      </c>
      <c r="C14425" s="128">
        <f t="shared" si="674"/>
        <v>4</v>
      </c>
      <c r="D14425" s="136">
        <f t="shared" si="676"/>
        <v>15</v>
      </c>
      <c r="E14425" s="136">
        <f t="shared" si="675"/>
        <v>7</v>
      </c>
      <c r="F14425" s="137" t="s">
        <v>24</v>
      </c>
      <c r="G14425" s="128" t="str">
        <f>VLOOKUP(source[[#This Row],[lending_product_transform]],[3]Mapping!$B$4:$C$37,2,0)</f>
        <v>[Cake] - Cashloan</v>
      </c>
      <c r="H14425" s="128" t="str">
        <f>VLOOKUP(source[[#This Row],[lending_product_transform]],[3]Mapping!$B$3:$D$37,3,0)</f>
        <v>cashloan</v>
      </c>
      <c r="I14425" s="137">
        <v>1111890000</v>
      </c>
    </row>
    <row r="14426" spans="1:9" x14ac:dyDescent="0.2">
      <c r="A14426" s="134">
        <v>46119</v>
      </c>
      <c r="B14426" s="135">
        <f>YEAR(source[[#This Row],[report_date]])</f>
        <v>2026</v>
      </c>
      <c r="C14426" s="128">
        <f t="shared" si="674"/>
        <v>4</v>
      </c>
      <c r="D14426" s="136">
        <f t="shared" si="676"/>
        <v>15</v>
      </c>
      <c r="E14426" s="136">
        <f t="shared" si="675"/>
        <v>7</v>
      </c>
      <c r="F14426" s="137" t="s">
        <v>24</v>
      </c>
      <c r="G14426" s="128" t="str">
        <f>VLOOKUP(source[[#This Row],[lending_product_transform]],[3]Mapping!$B$4:$C$37,2,0)</f>
        <v>[Cake] - Cashloan</v>
      </c>
      <c r="H14426" s="128" t="str">
        <f>VLOOKUP(source[[#This Row],[lending_product_transform]],[3]Mapping!$B$3:$D$37,3,0)</f>
        <v>cashloan</v>
      </c>
      <c r="I14426" s="137">
        <v>8941124</v>
      </c>
    </row>
    <row r="14427" spans="1:9" x14ac:dyDescent="0.2">
      <c r="A14427" s="134">
        <v>46119</v>
      </c>
      <c r="B14427" s="135">
        <f>YEAR(source[[#This Row],[report_date]])</f>
        <v>2026</v>
      </c>
      <c r="C14427" s="128">
        <f t="shared" si="674"/>
        <v>4</v>
      </c>
      <c r="D14427" s="136">
        <f t="shared" si="676"/>
        <v>15</v>
      </c>
      <c r="E14427" s="136">
        <f t="shared" si="675"/>
        <v>7</v>
      </c>
      <c r="F14427" s="137" t="s">
        <v>24</v>
      </c>
      <c r="G14427" s="128" t="str">
        <f>VLOOKUP(source[[#This Row],[lending_product_transform]],[3]Mapping!$B$4:$C$37,2,0)</f>
        <v>[Cake] - Cashloan</v>
      </c>
      <c r="H14427" s="128" t="str">
        <f>VLOOKUP(source[[#This Row],[lending_product_transform]],[3]Mapping!$B$3:$D$37,3,0)</f>
        <v>cashloan</v>
      </c>
      <c r="I14427" s="137">
        <v>1133115086</v>
      </c>
    </row>
    <row r="14428" spans="1:9" x14ac:dyDescent="0.2">
      <c r="A14428" s="134">
        <v>46119</v>
      </c>
      <c r="B14428" s="135">
        <f>YEAR(source[[#This Row],[report_date]])</f>
        <v>2026</v>
      </c>
      <c r="C14428" s="128">
        <f t="shared" si="674"/>
        <v>4</v>
      </c>
      <c r="D14428" s="136">
        <f t="shared" si="676"/>
        <v>15</v>
      </c>
      <c r="E14428" s="136">
        <f t="shared" si="675"/>
        <v>7</v>
      </c>
      <c r="F14428" s="137" t="s">
        <v>24</v>
      </c>
      <c r="G14428" s="128" t="str">
        <f>VLOOKUP(source[[#This Row],[lending_product_transform]],[3]Mapping!$B$4:$C$37,2,0)</f>
        <v>[Cake] - Cashloan</v>
      </c>
      <c r="H14428" s="128" t="str">
        <f>VLOOKUP(source[[#This Row],[lending_product_transform]],[3]Mapping!$B$3:$D$37,3,0)</f>
        <v>cashloan</v>
      </c>
      <c r="I14428" s="137">
        <v>0</v>
      </c>
    </row>
    <row r="14429" spans="1:9" x14ac:dyDescent="0.2">
      <c r="A14429" s="134">
        <v>46119</v>
      </c>
      <c r="B14429" s="135">
        <f>YEAR(source[[#This Row],[report_date]])</f>
        <v>2026</v>
      </c>
      <c r="C14429" s="128">
        <f t="shared" si="674"/>
        <v>4</v>
      </c>
      <c r="D14429" s="136">
        <f t="shared" si="676"/>
        <v>15</v>
      </c>
      <c r="E14429" s="136">
        <f t="shared" si="675"/>
        <v>7</v>
      </c>
      <c r="F14429" s="137" t="s">
        <v>24</v>
      </c>
      <c r="G14429" s="128" t="str">
        <f>VLOOKUP(source[[#This Row],[lending_product_transform]],[3]Mapping!$B$4:$C$37,2,0)</f>
        <v>[Cake] - Cashloan</v>
      </c>
      <c r="H14429" s="128" t="str">
        <f>VLOOKUP(source[[#This Row],[lending_product_transform]],[3]Mapping!$B$3:$D$37,3,0)</f>
        <v>cashloan</v>
      </c>
      <c r="I14429" s="137">
        <v>35750000</v>
      </c>
    </row>
    <row r="14430" spans="1:9" x14ac:dyDescent="0.2">
      <c r="A14430" s="134">
        <v>46119</v>
      </c>
      <c r="B14430" s="135">
        <f>YEAR(source[[#This Row],[report_date]])</f>
        <v>2026</v>
      </c>
      <c r="C14430" s="128">
        <f t="shared" si="674"/>
        <v>4</v>
      </c>
      <c r="D14430" s="136">
        <f t="shared" si="676"/>
        <v>15</v>
      </c>
      <c r="E14430" s="136">
        <f t="shared" si="675"/>
        <v>7</v>
      </c>
      <c r="F14430" s="137" t="s">
        <v>24</v>
      </c>
      <c r="G14430" s="128" t="str">
        <f>VLOOKUP(source[[#This Row],[lending_product_transform]],[3]Mapping!$B$4:$C$37,2,0)</f>
        <v>[Cake] - Cashloan</v>
      </c>
      <c r="H14430" s="128" t="str">
        <f>VLOOKUP(source[[#This Row],[lending_product_transform]],[3]Mapping!$B$3:$D$37,3,0)</f>
        <v>cashloan</v>
      </c>
      <c r="I14430" s="137">
        <v>49000000</v>
      </c>
    </row>
    <row r="14431" spans="1:9" x14ac:dyDescent="0.2">
      <c r="A14431" s="134">
        <v>46119</v>
      </c>
      <c r="B14431" s="135">
        <f>YEAR(source[[#This Row],[report_date]])</f>
        <v>2026</v>
      </c>
      <c r="C14431" s="128">
        <f t="shared" si="674"/>
        <v>4</v>
      </c>
      <c r="D14431" s="136">
        <f t="shared" si="676"/>
        <v>15</v>
      </c>
      <c r="E14431" s="136">
        <f t="shared" si="675"/>
        <v>7</v>
      </c>
      <c r="F14431" s="137" t="s">
        <v>24</v>
      </c>
      <c r="G14431" s="128" t="str">
        <f>VLOOKUP(source[[#This Row],[lending_product_transform]],[3]Mapping!$B$4:$C$37,2,0)</f>
        <v>[Cake] - Cashloan</v>
      </c>
      <c r="H14431" s="128" t="str">
        <f>VLOOKUP(source[[#This Row],[lending_product_transform]],[3]Mapping!$B$3:$D$37,3,0)</f>
        <v>cashloan</v>
      </c>
      <c r="I14431" s="137">
        <v>15016120000</v>
      </c>
    </row>
    <row r="14432" spans="1:9" x14ac:dyDescent="0.2">
      <c r="A14432" s="134">
        <v>46119</v>
      </c>
      <c r="B14432" s="135">
        <f>YEAR(source[[#This Row],[report_date]])</f>
        <v>2026</v>
      </c>
      <c r="C14432" s="128">
        <f t="shared" si="674"/>
        <v>4</v>
      </c>
      <c r="D14432" s="136">
        <f t="shared" si="676"/>
        <v>15</v>
      </c>
      <c r="E14432" s="136">
        <f t="shared" si="675"/>
        <v>7</v>
      </c>
      <c r="F14432" s="137" t="s">
        <v>24</v>
      </c>
      <c r="G14432" s="128" t="str">
        <f>VLOOKUP(source[[#This Row],[lending_product_transform]],[3]Mapping!$B$4:$C$37,2,0)</f>
        <v>[Cake] - Cashloan</v>
      </c>
      <c r="H14432" s="128" t="str">
        <f>VLOOKUP(source[[#This Row],[lending_product_transform]],[3]Mapping!$B$3:$D$37,3,0)</f>
        <v>cashloan</v>
      </c>
      <c r="I14432" s="137">
        <v>0</v>
      </c>
    </row>
    <row r="14433" spans="1:9" x14ac:dyDescent="0.2">
      <c r="A14433" s="134">
        <v>46119</v>
      </c>
      <c r="B14433" s="135">
        <f>YEAR(source[[#This Row],[report_date]])</f>
        <v>2026</v>
      </c>
      <c r="C14433" s="128">
        <f t="shared" si="674"/>
        <v>4</v>
      </c>
      <c r="D14433" s="136">
        <f t="shared" si="676"/>
        <v>15</v>
      </c>
      <c r="E14433" s="136">
        <f t="shared" si="675"/>
        <v>7</v>
      </c>
      <c r="F14433" s="137" t="s">
        <v>24</v>
      </c>
      <c r="G14433" s="128" t="str">
        <f>VLOOKUP(source[[#This Row],[lending_product_transform]],[3]Mapping!$B$4:$C$37,2,0)</f>
        <v>[Cake] - Cashloan</v>
      </c>
      <c r="H14433" s="128" t="str">
        <f>VLOOKUP(source[[#This Row],[lending_product_transform]],[3]Mapping!$B$3:$D$37,3,0)</f>
        <v>cashloan</v>
      </c>
      <c r="I14433" s="137">
        <v>0</v>
      </c>
    </row>
    <row r="14434" spans="1:9" x14ac:dyDescent="0.2">
      <c r="A14434" s="134">
        <v>46119</v>
      </c>
      <c r="B14434" s="135">
        <f>YEAR(source[[#This Row],[report_date]])</f>
        <v>2026</v>
      </c>
      <c r="C14434" s="128">
        <f t="shared" si="674"/>
        <v>4</v>
      </c>
      <c r="D14434" s="136">
        <f t="shared" si="676"/>
        <v>15</v>
      </c>
      <c r="E14434" s="136">
        <f t="shared" si="675"/>
        <v>7</v>
      </c>
      <c r="F14434" s="137" t="s">
        <v>24</v>
      </c>
      <c r="G14434" s="128" t="str">
        <f>VLOOKUP(source[[#This Row],[lending_product_transform]],[3]Mapping!$B$4:$C$37,2,0)</f>
        <v>[Cake] - Cashloan</v>
      </c>
      <c r="H14434" s="128" t="str">
        <f>VLOOKUP(source[[#This Row],[lending_product_transform]],[3]Mapping!$B$3:$D$37,3,0)</f>
        <v>cashloan</v>
      </c>
      <c r="I14434" s="137">
        <v>0</v>
      </c>
    </row>
    <row r="14435" spans="1:9" x14ac:dyDescent="0.2">
      <c r="A14435" s="134">
        <v>46119</v>
      </c>
      <c r="B14435" s="135">
        <f>YEAR(source[[#This Row],[report_date]])</f>
        <v>2026</v>
      </c>
      <c r="C14435" s="128">
        <f t="shared" si="674"/>
        <v>4</v>
      </c>
      <c r="D14435" s="136">
        <f t="shared" si="676"/>
        <v>15</v>
      </c>
      <c r="E14435" s="136">
        <f t="shared" si="675"/>
        <v>7</v>
      </c>
      <c r="F14435" s="137" t="s">
        <v>24</v>
      </c>
      <c r="G14435" s="128" t="str">
        <f>VLOOKUP(source[[#This Row],[lending_product_transform]],[3]Mapping!$B$4:$C$37,2,0)</f>
        <v>[Cake] - Cashloan</v>
      </c>
      <c r="H14435" s="128" t="str">
        <f>VLOOKUP(source[[#This Row],[lending_product_transform]],[3]Mapping!$B$3:$D$37,3,0)</f>
        <v>cashloan</v>
      </c>
      <c r="I14435" s="137">
        <v>0</v>
      </c>
    </row>
    <row r="14436" spans="1:9" x14ac:dyDescent="0.2">
      <c r="A14436" s="134">
        <v>46119</v>
      </c>
      <c r="B14436" s="135">
        <f>YEAR(source[[#This Row],[report_date]])</f>
        <v>2026</v>
      </c>
      <c r="C14436" s="128">
        <f t="shared" si="674"/>
        <v>4</v>
      </c>
      <c r="D14436" s="136">
        <f t="shared" si="676"/>
        <v>15</v>
      </c>
      <c r="E14436" s="136">
        <f t="shared" si="675"/>
        <v>7</v>
      </c>
      <c r="F14436" s="137" t="s">
        <v>24</v>
      </c>
      <c r="G14436" s="128" t="str">
        <f>VLOOKUP(source[[#This Row],[lending_product_transform]],[3]Mapping!$B$4:$C$37,2,0)</f>
        <v>[Cake] - Cashloan</v>
      </c>
      <c r="H14436" s="128" t="str">
        <f>VLOOKUP(source[[#This Row],[lending_product_transform]],[3]Mapping!$B$3:$D$37,3,0)</f>
        <v>cashloan</v>
      </c>
      <c r="I14436" s="137">
        <v>10865772000</v>
      </c>
    </row>
    <row r="14437" spans="1:9" x14ac:dyDescent="0.2">
      <c r="A14437" s="134">
        <v>46119</v>
      </c>
      <c r="B14437" s="135">
        <f>YEAR(source[[#This Row],[report_date]])</f>
        <v>2026</v>
      </c>
      <c r="C14437" s="128">
        <f t="shared" si="674"/>
        <v>4</v>
      </c>
      <c r="D14437" s="136">
        <f t="shared" si="676"/>
        <v>15</v>
      </c>
      <c r="E14437" s="136">
        <f t="shared" si="675"/>
        <v>7</v>
      </c>
      <c r="F14437" s="137" t="s">
        <v>24</v>
      </c>
      <c r="G14437" s="128" t="str">
        <f>VLOOKUP(source[[#This Row],[lending_product_transform]],[3]Mapping!$B$4:$C$37,2,0)</f>
        <v>[Cake] - Cashloan</v>
      </c>
      <c r="H14437" s="128" t="str">
        <f>VLOOKUP(source[[#This Row],[lending_product_transform]],[3]Mapping!$B$3:$D$37,3,0)</f>
        <v>cashloan</v>
      </c>
      <c r="I14437" s="137">
        <v>326694706</v>
      </c>
    </row>
    <row r="14438" spans="1:9" x14ac:dyDescent="0.2">
      <c r="A14438" s="134">
        <v>46119</v>
      </c>
      <c r="B14438" s="135">
        <f>YEAR(source[[#This Row],[report_date]])</f>
        <v>2026</v>
      </c>
      <c r="C14438" s="128">
        <f t="shared" si="674"/>
        <v>4</v>
      </c>
      <c r="D14438" s="136">
        <f t="shared" si="676"/>
        <v>15</v>
      </c>
      <c r="E14438" s="136">
        <f t="shared" si="675"/>
        <v>7</v>
      </c>
      <c r="F14438" s="137" t="s">
        <v>24</v>
      </c>
      <c r="G14438" s="128" t="str">
        <f>VLOOKUP(source[[#This Row],[lending_product_transform]],[3]Mapping!$B$4:$C$37,2,0)</f>
        <v>[Cake] - Cashloan</v>
      </c>
      <c r="H14438" s="128" t="str">
        <f>VLOOKUP(source[[#This Row],[lending_product_transform]],[3]Mapping!$B$3:$D$37,3,0)</f>
        <v>cashloan</v>
      </c>
      <c r="I14438" s="137">
        <v>42000000</v>
      </c>
    </row>
    <row r="14439" spans="1:9" x14ac:dyDescent="0.2">
      <c r="A14439" s="134">
        <v>46119</v>
      </c>
      <c r="B14439" s="135">
        <f>YEAR(source[[#This Row],[report_date]])</f>
        <v>2026</v>
      </c>
      <c r="C14439" s="128">
        <f t="shared" si="674"/>
        <v>4</v>
      </c>
      <c r="D14439" s="136">
        <f t="shared" si="676"/>
        <v>15</v>
      </c>
      <c r="E14439" s="136">
        <f t="shared" si="675"/>
        <v>7</v>
      </c>
      <c r="F14439" s="137" t="s">
        <v>24</v>
      </c>
      <c r="G14439" s="128" t="str">
        <f>VLOOKUP(source[[#This Row],[lending_product_transform]],[3]Mapping!$B$4:$C$37,2,0)</f>
        <v>[Cake] - Cashloan</v>
      </c>
      <c r="H14439" s="128" t="str">
        <f>VLOOKUP(source[[#This Row],[lending_product_transform]],[3]Mapping!$B$3:$D$37,3,0)</f>
        <v>cashloan</v>
      </c>
      <c r="I14439" s="137">
        <v>47000000</v>
      </c>
    </row>
    <row r="14440" spans="1:9" x14ac:dyDescent="0.2">
      <c r="A14440" s="134">
        <v>46119</v>
      </c>
      <c r="B14440" s="135">
        <f>YEAR(source[[#This Row],[report_date]])</f>
        <v>2026</v>
      </c>
      <c r="C14440" s="128">
        <f t="shared" si="674"/>
        <v>4</v>
      </c>
      <c r="D14440" s="136">
        <f t="shared" si="676"/>
        <v>15</v>
      </c>
      <c r="E14440" s="136">
        <f t="shared" si="675"/>
        <v>7</v>
      </c>
      <c r="F14440" s="137" t="s">
        <v>24</v>
      </c>
      <c r="G14440" s="128" t="str">
        <f>VLOOKUP(source[[#This Row],[lending_product_transform]],[3]Mapping!$B$4:$C$37,2,0)</f>
        <v>[Cake] - Cashloan</v>
      </c>
      <c r="H14440" s="128" t="str">
        <f>VLOOKUP(source[[#This Row],[lending_product_transform]],[3]Mapping!$B$3:$D$37,3,0)</f>
        <v>cashloan</v>
      </c>
      <c r="I14440" s="137">
        <v>710300000</v>
      </c>
    </row>
    <row r="14441" spans="1:9" x14ac:dyDescent="0.2">
      <c r="A14441" s="134">
        <v>46119</v>
      </c>
      <c r="B14441" s="135">
        <f>YEAR(source[[#This Row],[report_date]])</f>
        <v>2026</v>
      </c>
      <c r="C14441" s="128">
        <f t="shared" si="674"/>
        <v>4</v>
      </c>
      <c r="D14441" s="136">
        <f t="shared" si="676"/>
        <v>15</v>
      </c>
      <c r="E14441" s="136">
        <f t="shared" si="675"/>
        <v>7</v>
      </c>
      <c r="F14441" s="137" t="s">
        <v>24</v>
      </c>
      <c r="G14441" s="128" t="str">
        <f>VLOOKUP(source[[#This Row],[lending_product_transform]],[3]Mapping!$B$4:$C$37,2,0)</f>
        <v>[Cake] - Cashloan</v>
      </c>
      <c r="H14441" s="128" t="str">
        <f>VLOOKUP(source[[#This Row],[lending_product_transform]],[3]Mapping!$B$3:$D$37,3,0)</f>
        <v>cashloan</v>
      </c>
      <c r="I14441" s="137">
        <v>403272000</v>
      </c>
    </row>
    <row r="14442" spans="1:9" x14ac:dyDescent="0.2">
      <c r="A14442" s="134">
        <v>46119</v>
      </c>
      <c r="B14442" s="135">
        <f>YEAR(source[[#This Row],[report_date]])</f>
        <v>2026</v>
      </c>
      <c r="C14442" s="128">
        <f t="shared" si="674"/>
        <v>4</v>
      </c>
      <c r="D14442" s="136">
        <f t="shared" si="676"/>
        <v>15</v>
      </c>
      <c r="E14442" s="136">
        <f t="shared" si="675"/>
        <v>7</v>
      </c>
      <c r="F14442" s="137" t="s">
        <v>24</v>
      </c>
      <c r="G14442" s="128" t="str">
        <f>VLOOKUP(source[[#This Row],[lending_product_transform]],[3]Mapping!$B$4:$C$37,2,0)</f>
        <v>[Cake] - Cashloan</v>
      </c>
      <c r="H14442" s="128" t="str">
        <f>VLOOKUP(source[[#This Row],[lending_product_transform]],[3]Mapping!$B$3:$D$37,3,0)</f>
        <v>cashloan</v>
      </c>
      <c r="I14442" s="137">
        <v>546232895</v>
      </c>
    </row>
    <row r="14443" spans="1:9" x14ac:dyDescent="0.2">
      <c r="A14443" s="134">
        <v>46119</v>
      </c>
      <c r="B14443" s="135">
        <f>YEAR(source[[#This Row],[report_date]])</f>
        <v>2026</v>
      </c>
      <c r="C14443" s="128">
        <f t="shared" si="674"/>
        <v>4</v>
      </c>
      <c r="D14443" s="136">
        <f t="shared" si="676"/>
        <v>15</v>
      </c>
      <c r="E14443" s="136">
        <f t="shared" si="675"/>
        <v>7</v>
      </c>
      <c r="F14443" s="137" t="s">
        <v>24</v>
      </c>
      <c r="G14443" s="128" t="str">
        <f>VLOOKUP(source[[#This Row],[lending_product_transform]],[3]Mapping!$B$4:$C$37,2,0)</f>
        <v>[Cake] - Cashloan</v>
      </c>
      <c r="H14443" s="128" t="str">
        <f>VLOOKUP(source[[#This Row],[lending_product_transform]],[3]Mapping!$B$3:$D$37,3,0)</f>
        <v>cashloan</v>
      </c>
      <c r="I14443" s="137">
        <v>6696150000</v>
      </c>
    </row>
    <row r="14444" spans="1:9" x14ac:dyDescent="0.2">
      <c r="A14444" s="134">
        <v>46119</v>
      </c>
      <c r="B14444" s="135">
        <f>YEAR(source[[#This Row],[report_date]])</f>
        <v>2026</v>
      </c>
      <c r="C14444" s="128">
        <f t="shared" si="674"/>
        <v>4</v>
      </c>
      <c r="D14444" s="136">
        <f t="shared" si="676"/>
        <v>15</v>
      </c>
      <c r="E14444" s="136">
        <f t="shared" si="675"/>
        <v>7</v>
      </c>
      <c r="F14444" s="137" t="s">
        <v>24</v>
      </c>
      <c r="G14444" s="128" t="str">
        <f>VLOOKUP(source[[#This Row],[lending_product_transform]],[3]Mapping!$B$4:$C$37,2,0)</f>
        <v>[Cake] - Cashloan</v>
      </c>
      <c r="H14444" s="128" t="str">
        <f>VLOOKUP(source[[#This Row],[lending_product_transform]],[3]Mapping!$B$3:$D$37,3,0)</f>
        <v>cashloan</v>
      </c>
      <c r="I14444" s="137">
        <v>4320000</v>
      </c>
    </row>
    <row r="14445" spans="1:9" x14ac:dyDescent="0.2">
      <c r="A14445" s="134">
        <v>46120</v>
      </c>
      <c r="B14445" s="135">
        <f>YEAR(source[[#This Row],[report_date]])</f>
        <v>2026</v>
      </c>
      <c r="C14445" s="128">
        <f t="shared" si="674"/>
        <v>4</v>
      </c>
      <c r="D14445" s="136">
        <f t="shared" si="676"/>
        <v>15</v>
      </c>
      <c r="E14445" s="136">
        <f t="shared" si="675"/>
        <v>8</v>
      </c>
      <c r="F14445" s="137" t="s">
        <v>24</v>
      </c>
      <c r="G14445" s="128" t="str">
        <f>VLOOKUP(source[[#This Row],[lending_product_transform]],[3]Mapping!$B$4:$C$37,2,0)</f>
        <v>[Cake] - Cashloan</v>
      </c>
      <c r="H14445" s="128" t="str">
        <f>VLOOKUP(source[[#This Row],[lending_product_transform]],[3]Mapping!$B$3:$D$37,3,0)</f>
        <v>cashloan</v>
      </c>
      <c r="I14445" s="137">
        <v>689210000</v>
      </c>
    </row>
    <row r="14446" spans="1:9" x14ac:dyDescent="0.2">
      <c r="A14446" s="134">
        <v>46120</v>
      </c>
      <c r="B14446" s="135">
        <f>YEAR(source[[#This Row],[report_date]])</f>
        <v>2026</v>
      </c>
      <c r="C14446" s="128">
        <f t="shared" si="674"/>
        <v>4</v>
      </c>
      <c r="D14446" s="136">
        <f t="shared" si="676"/>
        <v>15</v>
      </c>
      <c r="E14446" s="136">
        <f t="shared" si="675"/>
        <v>8</v>
      </c>
      <c r="F14446" s="137" t="s">
        <v>24</v>
      </c>
      <c r="G14446" s="128" t="str">
        <f>VLOOKUP(source[[#This Row],[lending_product_transform]],[3]Mapping!$B$4:$C$37,2,0)</f>
        <v>[Cake] - Cashloan</v>
      </c>
      <c r="H14446" s="128" t="str">
        <f>VLOOKUP(source[[#This Row],[lending_product_transform]],[3]Mapping!$B$3:$D$37,3,0)</f>
        <v>cashloan</v>
      </c>
      <c r="I14446" s="137">
        <v>331308932</v>
      </c>
    </row>
    <row r="14447" spans="1:9" x14ac:dyDescent="0.2">
      <c r="A14447" s="134">
        <v>46120</v>
      </c>
      <c r="B14447" s="135">
        <f>YEAR(source[[#This Row],[report_date]])</f>
        <v>2026</v>
      </c>
      <c r="C14447" s="128">
        <f t="shared" si="674"/>
        <v>4</v>
      </c>
      <c r="D14447" s="136">
        <f t="shared" si="676"/>
        <v>15</v>
      </c>
      <c r="E14447" s="136">
        <f t="shared" si="675"/>
        <v>8</v>
      </c>
      <c r="F14447" s="137" t="s">
        <v>24</v>
      </c>
      <c r="G14447" s="128" t="str">
        <f>VLOOKUP(source[[#This Row],[lending_product_transform]],[3]Mapping!$B$4:$C$37,2,0)</f>
        <v>[Cake] - Cashloan</v>
      </c>
      <c r="H14447" s="128" t="str">
        <f>VLOOKUP(source[[#This Row],[lending_product_transform]],[3]Mapping!$B$3:$D$37,3,0)</f>
        <v>cashloan</v>
      </c>
      <c r="I14447" s="137">
        <v>16108350000</v>
      </c>
    </row>
    <row r="14448" spans="1:9" x14ac:dyDescent="0.2">
      <c r="A14448" s="134">
        <v>46120</v>
      </c>
      <c r="B14448" s="135">
        <f>YEAR(source[[#This Row],[report_date]])</f>
        <v>2026</v>
      </c>
      <c r="C14448" s="128">
        <f t="shared" si="674"/>
        <v>4</v>
      </c>
      <c r="D14448" s="136">
        <f t="shared" si="676"/>
        <v>15</v>
      </c>
      <c r="E14448" s="136">
        <f t="shared" si="675"/>
        <v>8</v>
      </c>
      <c r="F14448" s="137" t="s">
        <v>24</v>
      </c>
      <c r="G14448" s="128" t="str">
        <f>VLOOKUP(source[[#This Row],[lending_product_transform]],[3]Mapping!$B$4:$C$37,2,0)</f>
        <v>[Cake] - Cashloan</v>
      </c>
      <c r="H14448" s="128" t="str">
        <f>VLOOKUP(source[[#This Row],[lending_product_transform]],[3]Mapping!$B$3:$D$37,3,0)</f>
        <v>cashloan</v>
      </c>
      <c r="I14448" s="137">
        <v>1698948013</v>
      </c>
    </row>
    <row r="14449" spans="1:9" x14ac:dyDescent="0.2">
      <c r="A14449" s="134">
        <v>46120</v>
      </c>
      <c r="B14449" s="135">
        <f>YEAR(source[[#This Row],[report_date]])</f>
        <v>2026</v>
      </c>
      <c r="C14449" s="128">
        <f t="shared" si="674"/>
        <v>4</v>
      </c>
      <c r="D14449" s="136">
        <f t="shared" si="676"/>
        <v>15</v>
      </c>
      <c r="E14449" s="136">
        <f t="shared" si="675"/>
        <v>8</v>
      </c>
      <c r="F14449" s="137" t="s">
        <v>24</v>
      </c>
      <c r="G14449" s="128" t="str">
        <f>VLOOKUP(source[[#This Row],[lending_product_transform]],[3]Mapping!$B$4:$C$37,2,0)</f>
        <v>[Cake] - Cashloan</v>
      </c>
      <c r="H14449" s="128" t="str">
        <f>VLOOKUP(source[[#This Row],[lending_product_transform]],[3]Mapping!$B$3:$D$37,3,0)</f>
        <v>cashloan</v>
      </c>
      <c r="I14449" s="137">
        <v>14246388000</v>
      </c>
    </row>
    <row r="14450" spans="1:9" x14ac:dyDescent="0.2">
      <c r="A14450" s="134">
        <v>46120</v>
      </c>
      <c r="B14450" s="135">
        <f>YEAR(source[[#This Row],[report_date]])</f>
        <v>2026</v>
      </c>
      <c r="C14450" s="128">
        <f t="shared" si="674"/>
        <v>4</v>
      </c>
      <c r="D14450" s="136">
        <f t="shared" si="676"/>
        <v>15</v>
      </c>
      <c r="E14450" s="136">
        <f t="shared" si="675"/>
        <v>8</v>
      </c>
      <c r="F14450" s="137" t="s">
        <v>24</v>
      </c>
      <c r="G14450" s="128" t="str">
        <f>VLOOKUP(source[[#This Row],[lending_product_transform]],[3]Mapping!$B$4:$C$37,2,0)</f>
        <v>[Cake] - Cashloan</v>
      </c>
      <c r="H14450" s="128" t="str">
        <f>VLOOKUP(source[[#This Row],[lending_product_transform]],[3]Mapping!$B$3:$D$37,3,0)</f>
        <v>cashloan</v>
      </c>
      <c r="I14450" s="137">
        <v>0</v>
      </c>
    </row>
    <row r="14451" spans="1:9" x14ac:dyDescent="0.2">
      <c r="A14451" s="134">
        <v>46120</v>
      </c>
      <c r="B14451" s="135">
        <f>YEAR(source[[#This Row],[report_date]])</f>
        <v>2026</v>
      </c>
      <c r="C14451" s="128">
        <f t="shared" si="674"/>
        <v>4</v>
      </c>
      <c r="D14451" s="136">
        <f t="shared" si="676"/>
        <v>15</v>
      </c>
      <c r="E14451" s="136">
        <f t="shared" si="675"/>
        <v>8</v>
      </c>
      <c r="F14451" s="137" t="s">
        <v>24</v>
      </c>
      <c r="G14451" s="128" t="str">
        <f>VLOOKUP(source[[#This Row],[lending_product_transform]],[3]Mapping!$B$4:$C$37,2,0)</f>
        <v>[Cake] - Cashloan</v>
      </c>
      <c r="H14451" s="128" t="str">
        <f>VLOOKUP(source[[#This Row],[lending_product_transform]],[3]Mapping!$B$3:$D$37,3,0)</f>
        <v>cashloan</v>
      </c>
      <c r="I14451" s="137">
        <v>0</v>
      </c>
    </row>
    <row r="14452" spans="1:9" x14ac:dyDescent="0.2">
      <c r="A14452" s="134">
        <v>46120</v>
      </c>
      <c r="B14452" s="135">
        <f>YEAR(source[[#This Row],[report_date]])</f>
        <v>2026</v>
      </c>
      <c r="C14452" s="128">
        <f t="shared" si="674"/>
        <v>4</v>
      </c>
      <c r="D14452" s="136">
        <f t="shared" si="676"/>
        <v>15</v>
      </c>
      <c r="E14452" s="136">
        <f t="shared" si="675"/>
        <v>8</v>
      </c>
      <c r="F14452" s="137" t="s">
        <v>24</v>
      </c>
      <c r="G14452" s="128" t="str">
        <f>VLOOKUP(source[[#This Row],[lending_product_transform]],[3]Mapping!$B$4:$C$37,2,0)</f>
        <v>[Cake] - Cashloan</v>
      </c>
      <c r="H14452" s="128" t="str">
        <f>VLOOKUP(source[[#This Row],[lending_product_transform]],[3]Mapping!$B$3:$D$37,3,0)</f>
        <v>cashloan</v>
      </c>
      <c r="I14452" s="137">
        <v>2533400000</v>
      </c>
    </row>
    <row r="14453" spans="1:9" x14ac:dyDescent="0.2">
      <c r="A14453" s="134">
        <v>46120</v>
      </c>
      <c r="B14453" s="135">
        <f>YEAR(source[[#This Row],[report_date]])</f>
        <v>2026</v>
      </c>
      <c r="C14453" s="128">
        <f t="shared" si="674"/>
        <v>4</v>
      </c>
      <c r="D14453" s="136">
        <f t="shared" si="676"/>
        <v>15</v>
      </c>
      <c r="E14453" s="136">
        <f t="shared" si="675"/>
        <v>8</v>
      </c>
      <c r="F14453" s="137" t="s">
        <v>24</v>
      </c>
      <c r="G14453" s="128" t="str">
        <f>VLOOKUP(source[[#This Row],[lending_product_transform]],[3]Mapping!$B$4:$C$37,2,0)</f>
        <v>[Cake] - Cashloan</v>
      </c>
      <c r="H14453" s="128" t="str">
        <f>VLOOKUP(source[[#This Row],[lending_product_transform]],[3]Mapping!$B$3:$D$37,3,0)</f>
        <v>cashloan</v>
      </c>
      <c r="I14453" s="137">
        <v>726830000</v>
      </c>
    </row>
    <row r="14454" spans="1:9" x14ac:dyDescent="0.2">
      <c r="A14454" s="134">
        <v>46120</v>
      </c>
      <c r="B14454" s="135">
        <f>YEAR(source[[#This Row],[report_date]])</f>
        <v>2026</v>
      </c>
      <c r="C14454" s="128">
        <f t="shared" ref="C14454:C14517" si="677">MONTH(A14454)</f>
        <v>4</v>
      </c>
      <c r="D14454" s="136">
        <f t="shared" si="676"/>
        <v>15</v>
      </c>
      <c r="E14454" s="136">
        <f t="shared" ref="E14454:E14517" si="678">DAY(A14454)</f>
        <v>8</v>
      </c>
      <c r="F14454" s="137" t="s">
        <v>24</v>
      </c>
      <c r="G14454" s="128" t="str">
        <f>VLOOKUP(source[[#This Row],[lending_product_transform]],[3]Mapping!$B$4:$C$37,2,0)</f>
        <v>[Cake] - Cashloan</v>
      </c>
      <c r="H14454" s="128" t="str">
        <f>VLOOKUP(source[[#This Row],[lending_product_transform]],[3]Mapping!$B$3:$D$37,3,0)</f>
        <v>cashloan</v>
      </c>
      <c r="I14454" s="137">
        <v>35135499</v>
      </c>
    </row>
    <row r="14455" spans="1:9" x14ac:dyDescent="0.2">
      <c r="A14455" s="134">
        <v>46120</v>
      </c>
      <c r="B14455" s="135">
        <f>YEAR(source[[#This Row],[report_date]])</f>
        <v>2026</v>
      </c>
      <c r="C14455" s="128">
        <f t="shared" si="677"/>
        <v>4</v>
      </c>
      <c r="D14455" s="136">
        <f t="shared" si="676"/>
        <v>15</v>
      </c>
      <c r="E14455" s="136">
        <f t="shared" si="678"/>
        <v>8</v>
      </c>
      <c r="F14455" s="137" t="s">
        <v>24</v>
      </c>
      <c r="G14455" s="128" t="str">
        <f>VLOOKUP(source[[#This Row],[lending_product_transform]],[3]Mapping!$B$4:$C$37,2,0)</f>
        <v>[Cake] - Cashloan</v>
      </c>
      <c r="H14455" s="128" t="str">
        <f>VLOOKUP(source[[#This Row],[lending_product_transform]],[3]Mapping!$B$3:$D$37,3,0)</f>
        <v>cashloan</v>
      </c>
      <c r="I14455" s="137">
        <v>1263557686</v>
      </c>
    </row>
    <row r="14456" spans="1:9" x14ac:dyDescent="0.2">
      <c r="A14456" s="134">
        <v>46120</v>
      </c>
      <c r="B14456" s="135">
        <f>YEAR(source[[#This Row],[report_date]])</f>
        <v>2026</v>
      </c>
      <c r="C14456" s="128">
        <f t="shared" si="677"/>
        <v>4</v>
      </c>
      <c r="D14456" s="136">
        <f t="shared" si="676"/>
        <v>15</v>
      </c>
      <c r="E14456" s="136">
        <f t="shared" si="678"/>
        <v>8</v>
      </c>
      <c r="F14456" s="137" t="s">
        <v>24</v>
      </c>
      <c r="G14456" s="128" t="str">
        <f>VLOOKUP(source[[#This Row],[lending_product_transform]],[3]Mapping!$B$4:$C$37,2,0)</f>
        <v>[Cake] - Cashloan</v>
      </c>
      <c r="H14456" s="128" t="str">
        <f>VLOOKUP(source[[#This Row],[lending_product_transform]],[3]Mapping!$B$3:$D$37,3,0)</f>
        <v>cashloan</v>
      </c>
      <c r="I14456" s="137">
        <v>0</v>
      </c>
    </row>
    <row r="14457" spans="1:9" x14ac:dyDescent="0.2">
      <c r="A14457" s="134">
        <v>46120</v>
      </c>
      <c r="B14457" s="135">
        <f>YEAR(source[[#This Row],[report_date]])</f>
        <v>2026</v>
      </c>
      <c r="C14457" s="128">
        <f t="shared" si="677"/>
        <v>4</v>
      </c>
      <c r="D14457" s="136">
        <f t="shared" si="676"/>
        <v>15</v>
      </c>
      <c r="E14457" s="136">
        <f t="shared" si="678"/>
        <v>8</v>
      </c>
      <c r="F14457" s="137" t="s">
        <v>24</v>
      </c>
      <c r="G14457" s="128" t="str">
        <f>VLOOKUP(source[[#This Row],[lending_product_transform]],[3]Mapping!$B$4:$C$37,2,0)</f>
        <v>[Cake] - Cashloan</v>
      </c>
      <c r="H14457" s="128" t="str">
        <f>VLOOKUP(source[[#This Row],[lending_product_transform]],[3]Mapping!$B$3:$D$37,3,0)</f>
        <v>cashloan</v>
      </c>
      <c r="I14457" s="137">
        <v>77700000</v>
      </c>
    </row>
    <row r="14458" spans="1:9" x14ac:dyDescent="0.2">
      <c r="A14458" s="134">
        <v>46120</v>
      </c>
      <c r="B14458" s="135">
        <f>YEAR(source[[#This Row],[report_date]])</f>
        <v>2026</v>
      </c>
      <c r="C14458" s="128">
        <f t="shared" si="677"/>
        <v>4</v>
      </c>
      <c r="D14458" s="136">
        <f t="shared" si="676"/>
        <v>15</v>
      </c>
      <c r="E14458" s="136">
        <f t="shared" si="678"/>
        <v>8</v>
      </c>
      <c r="F14458" s="137" t="s">
        <v>24</v>
      </c>
      <c r="G14458" s="128" t="str">
        <f>VLOOKUP(source[[#This Row],[lending_product_transform]],[3]Mapping!$B$4:$C$37,2,0)</f>
        <v>[Cake] - Cashloan</v>
      </c>
      <c r="H14458" s="128" t="str">
        <f>VLOOKUP(source[[#This Row],[lending_product_transform]],[3]Mapping!$B$3:$D$37,3,0)</f>
        <v>cashloan</v>
      </c>
      <c r="I14458" s="137">
        <v>0</v>
      </c>
    </row>
    <row r="14459" spans="1:9" x14ac:dyDescent="0.2">
      <c r="A14459" s="134">
        <v>46120</v>
      </c>
      <c r="B14459" s="135">
        <f>YEAR(source[[#This Row],[report_date]])</f>
        <v>2026</v>
      </c>
      <c r="C14459" s="128">
        <f t="shared" si="677"/>
        <v>4</v>
      </c>
      <c r="D14459" s="136">
        <f t="shared" si="676"/>
        <v>15</v>
      </c>
      <c r="E14459" s="136">
        <f t="shared" si="678"/>
        <v>8</v>
      </c>
      <c r="F14459" s="137" t="s">
        <v>24</v>
      </c>
      <c r="G14459" s="128" t="str">
        <f>VLOOKUP(source[[#This Row],[lending_product_transform]],[3]Mapping!$B$4:$C$37,2,0)</f>
        <v>[Cake] - Cashloan</v>
      </c>
      <c r="H14459" s="128" t="str">
        <f>VLOOKUP(source[[#This Row],[lending_product_transform]],[3]Mapping!$B$3:$D$37,3,0)</f>
        <v>cashloan</v>
      </c>
      <c r="I14459" s="137">
        <v>16870560000</v>
      </c>
    </row>
    <row r="14460" spans="1:9" x14ac:dyDescent="0.2">
      <c r="A14460" s="134">
        <v>46120</v>
      </c>
      <c r="B14460" s="135">
        <f>YEAR(source[[#This Row],[report_date]])</f>
        <v>2026</v>
      </c>
      <c r="C14460" s="128">
        <f t="shared" si="677"/>
        <v>4</v>
      </c>
      <c r="D14460" s="136">
        <f t="shared" si="676"/>
        <v>15</v>
      </c>
      <c r="E14460" s="136">
        <f t="shared" si="678"/>
        <v>8</v>
      </c>
      <c r="F14460" s="137" t="s">
        <v>24</v>
      </c>
      <c r="G14460" s="128" t="str">
        <f>VLOOKUP(source[[#This Row],[lending_product_transform]],[3]Mapping!$B$4:$C$37,2,0)</f>
        <v>[Cake] - Cashloan</v>
      </c>
      <c r="H14460" s="128" t="str">
        <f>VLOOKUP(source[[#This Row],[lending_product_transform]],[3]Mapping!$B$3:$D$37,3,0)</f>
        <v>cashloan</v>
      </c>
      <c r="I14460" s="137">
        <v>0</v>
      </c>
    </row>
    <row r="14461" spans="1:9" x14ac:dyDescent="0.2">
      <c r="A14461" s="134">
        <v>46120</v>
      </c>
      <c r="B14461" s="135">
        <f>YEAR(source[[#This Row],[report_date]])</f>
        <v>2026</v>
      </c>
      <c r="C14461" s="128">
        <f t="shared" si="677"/>
        <v>4</v>
      </c>
      <c r="D14461" s="136">
        <f t="shared" si="676"/>
        <v>15</v>
      </c>
      <c r="E14461" s="136">
        <f t="shared" si="678"/>
        <v>8</v>
      </c>
      <c r="F14461" s="137" t="s">
        <v>24</v>
      </c>
      <c r="G14461" s="128" t="str">
        <f>VLOOKUP(source[[#This Row],[lending_product_transform]],[3]Mapping!$B$4:$C$37,2,0)</f>
        <v>[Cake] - Cashloan</v>
      </c>
      <c r="H14461" s="128" t="str">
        <f>VLOOKUP(source[[#This Row],[lending_product_transform]],[3]Mapping!$B$3:$D$37,3,0)</f>
        <v>cashloan</v>
      </c>
      <c r="I14461" s="137">
        <v>0</v>
      </c>
    </row>
    <row r="14462" spans="1:9" x14ac:dyDescent="0.2">
      <c r="A14462" s="134">
        <v>46120</v>
      </c>
      <c r="B14462" s="135">
        <f>YEAR(source[[#This Row],[report_date]])</f>
        <v>2026</v>
      </c>
      <c r="C14462" s="128">
        <f t="shared" si="677"/>
        <v>4</v>
      </c>
      <c r="D14462" s="136">
        <f t="shared" si="676"/>
        <v>15</v>
      </c>
      <c r="E14462" s="136">
        <f t="shared" si="678"/>
        <v>8</v>
      </c>
      <c r="F14462" s="137" t="s">
        <v>24</v>
      </c>
      <c r="G14462" s="128" t="str">
        <f>VLOOKUP(source[[#This Row],[lending_product_transform]],[3]Mapping!$B$4:$C$37,2,0)</f>
        <v>[Cake] - Cashloan</v>
      </c>
      <c r="H14462" s="128" t="str">
        <f>VLOOKUP(source[[#This Row],[lending_product_transform]],[3]Mapping!$B$3:$D$37,3,0)</f>
        <v>cashloan</v>
      </c>
      <c r="I14462" s="137">
        <v>0</v>
      </c>
    </row>
    <row r="14463" spans="1:9" x14ac:dyDescent="0.2">
      <c r="A14463" s="134">
        <v>46120</v>
      </c>
      <c r="B14463" s="135">
        <f>YEAR(source[[#This Row],[report_date]])</f>
        <v>2026</v>
      </c>
      <c r="C14463" s="128">
        <f t="shared" si="677"/>
        <v>4</v>
      </c>
      <c r="D14463" s="136">
        <f t="shared" si="676"/>
        <v>15</v>
      </c>
      <c r="E14463" s="136">
        <f t="shared" si="678"/>
        <v>8</v>
      </c>
      <c r="F14463" s="137" t="s">
        <v>24</v>
      </c>
      <c r="G14463" s="128" t="str">
        <f>VLOOKUP(source[[#This Row],[lending_product_transform]],[3]Mapping!$B$4:$C$37,2,0)</f>
        <v>[Cake] - Cashloan</v>
      </c>
      <c r="H14463" s="128" t="str">
        <f>VLOOKUP(source[[#This Row],[lending_product_transform]],[3]Mapping!$B$3:$D$37,3,0)</f>
        <v>cashloan</v>
      </c>
      <c r="I14463" s="137">
        <v>5000000</v>
      </c>
    </row>
    <row r="14464" spans="1:9" x14ac:dyDescent="0.2">
      <c r="A14464" s="134">
        <v>46120</v>
      </c>
      <c r="B14464" s="135">
        <f>YEAR(source[[#This Row],[report_date]])</f>
        <v>2026</v>
      </c>
      <c r="C14464" s="128">
        <f t="shared" si="677"/>
        <v>4</v>
      </c>
      <c r="D14464" s="136">
        <f t="shared" si="676"/>
        <v>15</v>
      </c>
      <c r="E14464" s="136">
        <f t="shared" si="678"/>
        <v>8</v>
      </c>
      <c r="F14464" s="137" t="s">
        <v>24</v>
      </c>
      <c r="G14464" s="128" t="str">
        <f>VLOOKUP(source[[#This Row],[lending_product_transform]],[3]Mapping!$B$4:$C$37,2,0)</f>
        <v>[Cake] - Cashloan</v>
      </c>
      <c r="H14464" s="128" t="str">
        <f>VLOOKUP(source[[#This Row],[lending_product_transform]],[3]Mapping!$B$3:$D$37,3,0)</f>
        <v>cashloan</v>
      </c>
      <c r="I14464" s="137">
        <v>10242288000</v>
      </c>
    </row>
    <row r="14465" spans="1:9" x14ac:dyDescent="0.2">
      <c r="A14465" s="134">
        <v>46120</v>
      </c>
      <c r="B14465" s="135">
        <f>YEAR(source[[#This Row],[report_date]])</f>
        <v>2026</v>
      </c>
      <c r="C14465" s="128">
        <f t="shared" si="677"/>
        <v>4</v>
      </c>
      <c r="D14465" s="136">
        <f t="shared" si="676"/>
        <v>15</v>
      </c>
      <c r="E14465" s="136">
        <f t="shared" si="678"/>
        <v>8</v>
      </c>
      <c r="F14465" s="137" t="s">
        <v>24</v>
      </c>
      <c r="G14465" s="128" t="str">
        <f>VLOOKUP(source[[#This Row],[lending_product_transform]],[3]Mapping!$B$4:$C$37,2,0)</f>
        <v>[Cake] - Cashloan</v>
      </c>
      <c r="H14465" s="128" t="str">
        <f>VLOOKUP(source[[#This Row],[lending_product_transform]],[3]Mapping!$B$3:$D$37,3,0)</f>
        <v>cashloan</v>
      </c>
      <c r="I14465" s="137">
        <v>267798669</v>
      </c>
    </row>
    <row r="14466" spans="1:9" x14ac:dyDescent="0.2">
      <c r="A14466" s="134">
        <v>46120</v>
      </c>
      <c r="B14466" s="135">
        <f>YEAR(source[[#This Row],[report_date]])</f>
        <v>2026</v>
      </c>
      <c r="C14466" s="128">
        <f t="shared" si="677"/>
        <v>4</v>
      </c>
      <c r="D14466" s="136">
        <f t="shared" si="676"/>
        <v>15</v>
      </c>
      <c r="E14466" s="136">
        <f t="shared" si="678"/>
        <v>8</v>
      </c>
      <c r="F14466" s="137" t="s">
        <v>24</v>
      </c>
      <c r="G14466" s="128" t="str">
        <f>VLOOKUP(source[[#This Row],[lending_product_transform]],[3]Mapping!$B$4:$C$37,2,0)</f>
        <v>[Cake] - Cashloan</v>
      </c>
      <c r="H14466" s="128" t="str">
        <f>VLOOKUP(source[[#This Row],[lending_product_transform]],[3]Mapping!$B$3:$D$37,3,0)</f>
        <v>cashloan</v>
      </c>
      <c r="I14466" s="137">
        <v>52000000</v>
      </c>
    </row>
    <row r="14467" spans="1:9" x14ac:dyDescent="0.2">
      <c r="A14467" s="134">
        <v>46120</v>
      </c>
      <c r="B14467" s="135">
        <f>YEAR(source[[#This Row],[report_date]])</f>
        <v>2026</v>
      </c>
      <c r="C14467" s="128">
        <f t="shared" si="677"/>
        <v>4</v>
      </c>
      <c r="D14467" s="136">
        <f t="shared" si="676"/>
        <v>15</v>
      </c>
      <c r="E14467" s="136">
        <f t="shared" si="678"/>
        <v>8</v>
      </c>
      <c r="F14467" s="137" t="s">
        <v>24</v>
      </c>
      <c r="G14467" s="128" t="str">
        <f>VLOOKUP(source[[#This Row],[lending_product_transform]],[3]Mapping!$B$4:$C$37,2,0)</f>
        <v>[Cake] - Cashloan</v>
      </c>
      <c r="H14467" s="128" t="str">
        <f>VLOOKUP(source[[#This Row],[lending_product_transform]],[3]Mapping!$B$3:$D$37,3,0)</f>
        <v>cashloan</v>
      </c>
      <c r="I14467" s="137">
        <v>72000000</v>
      </c>
    </row>
    <row r="14468" spans="1:9" x14ac:dyDescent="0.2">
      <c r="A14468" s="134">
        <v>46120</v>
      </c>
      <c r="B14468" s="135">
        <f>YEAR(source[[#This Row],[report_date]])</f>
        <v>2026</v>
      </c>
      <c r="C14468" s="128">
        <f t="shared" si="677"/>
        <v>4</v>
      </c>
      <c r="D14468" s="136">
        <f t="shared" si="676"/>
        <v>15</v>
      </c>
      <c r="E14468" s="136">
        <f t="shared" si="678"/>
        <v>8</v>
      </c>
      <c r="F14468" s="137" t="s">
        <v>24</v>
      </c>
      <c r="G14468" s="128" t="str">
        <f>VLOOKUP(source[[#This Row],[lending_product_transform]],[3]Mapping!$B$4:$C$37,2,0)</f>
        <v>[Cake] - Cashloan</v>
      </c>
      <c r="H14468" s="128" t="str">
        <f>VLOOKUP(source[[#This Row],[lending_product_transform]],[3]Mapping!$B$3:$D$37,3,0)</f>
        <v>cashloan</v>
      </c>
      <c r="I14468" s="137">
        <v>779900000</v>
      </c>
    </row>
    <row r="14469" spans="1:9" x14ac:dyDescent="0.2">
      <c r="A14469" s="134">
        <v>46120</v>
      </c>
      <c r="B14469" s="135">
        <f>YEAR(source[[#This Row],[report_date]])</f>
        <v>2026</v>
      </c>
      <c r="C14469" s="128">
        <f t="shared" si="677"/>
        <v>4</v>
      </c>
      <c r="D14469" s="136">
        <f t="shared" si="676"/>
        <v>15</v>
      </c>
      <c r="E14469" s="136">
        <f t="shared" si="678"/>
        <v>8</v>
      </c>
      <c r="F14469" s="137" t="s">
        <v>24</v>
      </c>
      <c r="G14469" s="128" t="str">
        <f>VLOOKUP(source[[#This Row],[lending_product_transform]],[3]Mapping!$B$4:$C$37,2,0)</f>
        <v>[Cake] - Cashloan</v>
      </c>
      <c r="H14469" s="128" t="str">
        <f>VLOOKUP(source[[#This Row],[lending_product_transform]],[3]Mapping!$B$3:$D$37,3,0)</f>
        <v>cashloan</v>
      </c>
      <c r="I14469" s="137">
        <v>356292000</v>
      </c>
    </row>
    <row r="14470" spans="1:9" x14ac:dyDescent="0.2">
      <c r="A14470" s="134">
        <v>46120</v>
      </c>
      <c r="B14470" s="135">
        <f>YEAR(source[[#This Row],[report_date]])</f>
        <v>2026</v>
      </c>
      <c r="C14470" s="128">
        <f t="shared" si="677"/>
        <v>4</v>
      </c>
      <c r="D14470" s="136">
        <f t="shared" si="676"/>
        <v>15</v>
      </c>
      <c r="E14470" s="136">
        <f t="shared" si="678"/>
        <v>8</v>
      </c>
      <c r="F14470" s="137" t="s">
        <v>24</v>
      </c>
      <c r="G14470" s="128" t="str">
        <f>VLOOKUP(source[[#This Row],[lending_product_transform]],[3]Mapping!$B$4:$C$37,2,0)</f>
        <v>[Cake] - Cashloan</v>
      </c>
      <c r="H14470" s="128" t="str">
        <f>VLOOKUP(source[[#This Row],[lending_product_transform]],[3]Mapping!$B$3:$D$37,3,0)</f>
        <v>cashloan</v>
      </c>
      <c r="I14470" s="137">
        <v>413342105</v>
      </c>
    </row>
    <row r="14471" spans="1:9" x14ac:dyDescent="0.2">
      <c r="A14471" s="134">
        <v>46120</v>
      </c>
      <c r="B14471" s="135">
        <f>YEAR(source[[#This Row],[report_date]])</f>
        <v>2026</v>
      </c>
      <c r="C14471" s="128">
        <f t="shared" si="677"/>
        <v>4</v>
      </c>
      <c r="D14471" s="136">
        <f t="shared" si="676"/>
        <v>15</v>
      </c>
      <c r="E14471" s="136">
        <f t="shared" si="678"/>
        <v>8</v>
      </c>
      <c r="F14471" s="137" t="s">
        <v>24</v>
      </c>
      <c r="G14471" s="128" t="str">
        <f>VLOOKUP(source[[#This Row],[lending_product_transform]],[3]Mapping!$B$4:$C$37,2,0)</f>
        <v>[Cake] - Cashloan</v>
      </c>
      <c r="H14471" s="128" t="str">
        <f>VLOOKUP(source[[#This Row],[lending_product_transform]],[3]Mapping!$B$3:$D$37,3,0)</f>
        <v>cashloan</v>
      </c>
      <c r="I14471" s="137">
        <v>5908770000</v>
      </c>
    </row>
    <row r="14472" spans="1:9" x14ac:dyDescent="0.2">
      <c r="A14472" s="134">
        <v>46120</v>
      </c>
      <c r="B14472" s="135">
        <f>YEAR(source[[#This Row],[report_date]])</f>
        <v>2026</v>
      </c>
      <c r="C14472" s="128">
        <f t="shared" si="677"/>
        <v>4</v>
      </c>
      <c r="D14472" s="136">
        <f t="shared" si="676"/>
        <v>15</v>
      </c>
      <c r="E14472" s="136">
        <f t="shared" si="678"/>
        <v>8</v>
      </c>
      <c r="F14472" s="137" t="s">
        <v>24</v>
      </c>
      <c r="G14472" s="128" t="str">
        <f>VLOOKUP(source[[#This Row],[lending_product_transform]],[3]Mapping!$B$4:$C$37,2,0)</f>
        <v>[Cake] - Cashloan</v>
      </c>
      <c r="H14472" s="128" t="str">
        <f>VLOOKUP(source[[#This Row],[lending_product_transform]],[3]Mapping!$B$3:$D$37,3,0)</f>
        <v>cashloan</v>
      </c>
      <c r="I14472" s="137">
        <v>10800000</v>
      </c>
    </row>
    <row r="14473" spans="1:9" x14ac:dyDescent="0.2">
      <c r="A14473" s="134">
        <v>46121</v>
      </c>
      <c r="B14473" s="135">
        <f>YEAR(source[[#This Row],[report_date]])</f>
        <v>2026</v>
      </c>
      <c r="C14473" s="128">
        <f t="shared" si="677"/>
        <v>4</v>
      </c>
      <c r="D14473" s="136">
        <f t="shared" si="676"/>
        <v>15</v>
      </c>
      <c r="E14473" s="136">
        <f t="shared" si="678"/>
        <v>9</v>
      </c>
      <c r="F14473" s="137" t="s">
        <v>24</v>
      </c>
      <c r="G14473" s="128" t="str">
        <f>VLOOKUP(source[[#This Row],[lending_product_transform]],[3]Mapping!$B$4:$C$37,2,0)</f>
        <v>[Cake] - Cashloan</v>
      </c>
      <c r="H14473" s="128" t="str">
        <f>VLOOKUP(source[[#This Row],[lending_product_transform]],[3]Mapping!$B$3:$D$37,3,0)</f>
        <v>cashloan</v>
      </c>
      <c r="I14473" s="137">
        <v>627800000</v>
      </c>
    </row>
    <row r="14474" spans="1:9" x14ac:dyDescent="0.2">
      <c r="A14474" s="134">
        <v>46121</v>
      </c>
      <c r="B14474" s="135">
        <f>YEAR(source[[#This Row],[report_date]])</f>
        <v>2026</v>
      </c>
      <c r="C14474" s="128">
        <f t="shared" si="677"/>
        <v>4</v>
      </c>
      <c r="D14474" s="136">
        <f t="shared" si="676"/>
        <v>15</v>
      </c>
      <c r="E14474" s="136">
        <f t="shared" si="678"/>
        <v>9</v>
      </c>
      <c r="F14474" s="137" t="s">
        <v>24</v>
      </c>
      <c r="G14474" s="128" t="str">
        <f>VLOOKUP(source[[#This Row],[lending_product_transform]],[3]Mapping!$B$4:$C$37,2,0)</f>
        <v>[Cake] - Cashloan</v>
      </c>
      <c r="H14474" s="128" t="str">
        <f>VLOOKUP(source[[#This Row],[lending_product_transform]],[3]Mapping!$B$3:$D$37,3,0)</f>
        <v>cashloan</v>
      </c>
      <c r="I14474" s="137">
        <v>330557519</v>
      </c>
    </row>
    <row r="14475" spans="1:9" x14ac:dyDescent="0.2">
      <c r="A14475" s="134">
        <v>46121</v>
      </c>
      <c r="B14475" s="135">
        <f>YEAR(source[[#This Row],[report_date]])</f>
        <v>2026</v>
      </c>
      <c r="C14475" s="128">
        <f t="shared" si="677"/>
        <v>4</v>
      </c>
      <c r="D14475" s="136">
        <f t="shared" si="676"/>
        <v>15</v>
      </c>
      <c r="E14475" s="136">
        <f t="shared" si="678"/>
        <v>9</v>
      </c>
      <c r="F14475" s="137" t="s">
        <v>24</v>
      </c>
      <c r="G14475" s="128" t="str">
        <f>VLOOKUP(source[[#This Row],[lending_product_transform]],[3]Mapping!$B$4:$C$37,2,0)</f>
        <v>[Cake] - Cashloan</v>
      </c>
      <c r="H14475" s="128" t="str">
        <f>VLOOKUP(source[[#This Row],[lending_product_transform]],[3]Mapping!$B$3:$D$37,3,0)</f>
        <v>cashloan</v>
      </c>
      <c r="I14475" s="137">
        <v>17443040000</v>
      </c>
    </row>
    <row r="14476" spans="1:9" x14ac:dyDescent="0.2">
      <c r="A14476" s="134">
        <v>46121</v>
      </c>
      <c r="B14476" s="135">
        <f>YEAR(source[[#This Row],[report_date]])</f>
        <v>2026</v>
      </c>
      <c r="C14476" s="128">
        <f t="shared" si="677"/>
        <v>4</v>
      </c>
      <c r="D14476" s="136">
        <f t="shared" si="676"/>
        <v>15</v>
      </c>
      <c r="E14476" s="136">
        <f t="shared" si="678"/>
        <v>9</v>
      </c>
      <c r="F14476" s="137" t="s">
        <v>24</v>
      </c>
      <c r="G14476" s="128" t="str">
        <f>VLOOKUP(source[[#This Row],[lending_product_transform]],[3]Mapping!$B$4:$C$37,2,0)</f>
        <v>[Cake] - Cashloan</v>
      </c>
      <c r="H14476" s="128" t="str">
        <f>VLOOKUP(source[[#This Row],[lending_product_transform]],[3]Mapping!$B$3:$D$37,3,0)</f>
        <v>cashloan</v>
      </c>
      <c r="I14476" s="137">
        <v>2092921255</v>
      </c>
    </row>
    <row r="14477" spans="1:9" x14ac:dyDescent="0.2">
      <c r="A14477" s="134">
        <v>46121</v>
      </c>
      <c r="B14477" s="135">
        <f>YEAR(source[[#This Row],[report_date]])</f>
        <v>2026</v>
      </c>
      <c r="C14477" s="128">
        <f t="shared" si="677"/>
        <v>4</v>
      </c>
      <c r="D14477" s="136">
        <f t="shared" si="676"/>
        <v>15</v>
      </c>
      <c r="E14477" s="136">
        <f t="shared" si="678"/>
        <v>9</v>
      </c>
      <c r="F14477" s="137" t="s">
        <v>24</v>
      </c>
      <c r="G14477" s="128" t="str">
        <f>VLOOKUP(source[[#This Row],[lending_product_transform]],[3]Mapping!$B$4:$C$37,2,0)</f>
        <v>[Cake] - Cashloan</v>
      </c>
      <c r="H14477" s="128" t="str">
        <f>VLOOKUP(source[[#This Row],[lending_product_transform]],[3]Mapping!$B$3:$D$37,3,0)</f>
        <v>cashloan</v>
      </c>
      <c r="I14477" s="137">
        <v>15453072000</v>
      </c>
    </row>
    <row r="14478" spans="1:9" x14ac:dyDescent="0.2">
      <c r="A14478" s="134">
        <v>46121</v>
      </c>
      <c r="B14478" s="135">
        <f>YEAR(source[[#This Row],[report_date]])</f>
        <v>2026</v>
      </c>
      <c r="C14478" s="128">
        <f t="shared" si="677"/>
        <v>4</v>
      </c>
      <c r="D14478" s="136">
        <f t="shared" si="676"/>
        <v>15</v>
      </c>
      <c r="E14478" s="136">
        <f t="shared" si="678"/>
        <v>9</v>
      </c>
      <c r="F14478" s="137" t="s">
        <v>24</v>
      </c>
      <c r="G14478" s="128" t="str">
        <f>VLOOKUP(source[[#This Row],[lending_product_transform]],[3]Mapping!$B$4:$C$37,2,0)</f>
        <v>[Cake] - Cashloan</v>
      </c>
      <c r="H14478" s="128" t="str">
        <f>VLOOKUP(source[[#This Row],[lending_product_transform]],[3]Mapping!$B$3:$D$37,3,0)</f>
        <v>cashloan</v>
      </c>
      <c r="I14478" s="137">
        <v>0</v>
      </c>
    </row>
    <row r="14479" spans="1:9" x14ac:dyDescent="0.2">
      <c r="A14479" s="134">
        <v>46121</v>
      </c>
      <c r="B14479" s="135">
        <f>YEAR(source[[#This Row],[report_date]])</f>
        <v>2026</v>
      </c>
      <c r="C14479" s="128">
        <f t="shared" si="677"/>
        <v>4</v>
      </c>
      <c r="D14479" s="136">
        <f t="shared" si="676"/>
        <v>15</v>
      </c>
      <c r="E14479" s="136">
        <f t="shared" si="678"/>
        <v>9</v>
      </c>
      <c r="F14479" s="137" t="s">
        <v>24</v>
      </c>
      <c r="G14479" s="128" t="str">
        <f>VLOOKUP(source[[#This Row],[lending_product_transform]],[3]Mapping!$B$4:$C$37,2,0)</f>
        <v>[Cake] - Cashloan</v>
      </c>
      <c r="H14479" s="128" t="str">
        <f>VLOOKUP(source[[#This Row],[lending_product_transform]],[3]Mapping!$B$3:$D$37,3,0)</f>
        <v>cashloan</v>
      </c>
      <c r="I14479" s="137">
        <v>160000000</v>
      </c>
    </row>
    <row r="14480" spans="1:9" x14ac:dyDescent="0.2">
      <c r="A14480" s="134">
        <v>46121</v>
      </c>
      <c r="B14480" s="135">
        <f>YEAR(source[[#This Row],[report_date]])</f>
        <v>2026</v>
      </c>
      <c r="C14480" s="128">
        <f t="shared" si="677"/>
        <v>4</v>
      </c>
      <c r="D14480" s="136">
        <f t="shared" si="676"/>
        <v>15</v>
      </c>
      <c r="E14480" s="136">
        <f t="shared" si="678"/>
        <v>9</v>
      </c>
      <c r="F14480" s="137" t="s">
        <v>24</v>
      </c>
      <c r="G14480" s="128" t="str">
        <f>VLOOKUP(source[[#This Row],[lending_product_transform]],[3]Mapping!$B$4:$C$37,2,0)</f>
        <v>[Cake] - Cashloan</v>
      </c>
      <c r="H14480" s="128" t="str">
        <f>VLOOKUP(source[[#This Row],[lending_product_transform]],[3]Mapping!$B$3:$D$37,3,0)</f>
        <v>cashloan</v>
      </c>
      <c r="I14480" s="137">
        <v>2707270000</v>
      </c>
    </row>
    <row r="14481" spans="1:9" x14ac:dyDescent="0.2">
      <c r="A14481" s="134">
        <v>46121</v>
      </c>
      <c r="B14481" s="135">
        <f>YEAR(source[[#This Row],[report_date]])</f>
        <v>2026</v>
      </c>
      <c r="C14481" s="128">
        <f t="shared" si="677"/>
        <v>4</v>
      </c>
      <c r="D14481" s="136">
        <f t="shared" ref="D14481:D14544" si="679">WEEKNUM(A14481,2)</f>
        <v>15</v>
      </c>
      <c r="E14481" s="136">
        <f t="shared" si="678"/>
        <v>9</v>
      </c>
      <c r="F14481" s="137" t="s">
        <v>24</v>
      </c>
      <c r="G14481" s="128" t="str">
        <f>VLOOKUP(source[[#This Row],[lending_product_transform]],[3]Mapping!$B$4:$C$37,2,0)</f>
        <v>[Cake] - Cashloan</v>
      </c>
      <c r="H14481" s="128" t="str">
        <f>VLOOKUP(source[[#This Row],[lending_product_transform]],[3]Mapping!$B$3:$D$37,3,0)</f>
        <v>cashloan</v>
      </c>
      <c r="I14481" s="137">
        <v>774550000</v>
      </c>
    </row>
    <row r="14482" spans="1:9" x14ac:dyDescent="0.2">
      <c r="A14482" s="134">
        <v>46121</v>
      </c>
      <c r="B14482" s="135">
        <f>YEAR(source[[#This Row],[report_date]])</f>
        <v>2026</v>
      </c>
      <c r="C14482" s="128">
        <f t="shared" si="677"/>
        <v>4</v>
      </c>
      <c r="D14482" s="136">
        <f t="shared" si="679"/>
        <v>15</v>
      </c>
      <c r="E14482" s="136">
        <f t="shared" si="678"/>
        <v>9</v>
      </c>
      <c r="F14482" s="137" t="s">
        <v>24</v>
      </c>
      <c r="G14482" s="128" t="str">
        <f>VLOOKUP(source[[#This Row],[lending_product_transform]],[3]Mapping!$B$4:$C$37,2,0)</f>
        <v>[Cake] - Cashloan</v>
      </c>
      <c r="H14482" s="128" t="str">
        <f>VLOOKUP(source[[#This Row],[lending_product_transform]],[3]Mapping!$B$3:$D$37,3,0)</f>
        <v>cashloan</v>
      </c>
      <c r="I14482" s="137">
        <v>15950594</v>
      </c>
    </row>
    <row r="14483" spans="1:9" x14ac:dyDescent="0.2">
      <c r="A14483" s="134">
        <v>46121</v>
      </c>
      <c r="B14483" s="135">
        <f>YEAR(source[[#This Row],[report_date]])</f>
        <v>2026</v>
      </c>
      <c r="C14483" s="128">
        <f t="shared" si="677"/>
        <v>4</v>
      </c>
      <c r="D14483" s="136">
        <f t="shared" si="679"/>
        <v>15</v>
      </c>
      <c r="E14483" s="136">
        <f t="shared" si="678"/>
        <v>9</v>
      </c>
      <c r="F14483" s="137" t="s">
        <v>24</v>
      </c>
      <c r="G14483" s="128" t="str">
        <f>VLOOKUP(source[[#This Row],[lending_product_transform]],[3]Mapping!$B$4:$C$37,2,0)</f>
        <v>[Cake] - Cashloan</v>
      </c>
      <c r="H14483" s="128" t="str">
        <f>VLOOKUP(source[[#This Row],[lending_product_transform]],[3]Mapping!$B$3:$D$37,3,0)</f>
        <v>cashloan</v>
      </c>
      <c r="I14483" s="137">
        <v>1169180632</v>
      </c>
    </row>
    <row r="14484" spans="1:9" x14ac:dyDescent="0.2">
      <c r="A14484" s="134">
        <v>46121</v>
      </c>
      <c r="B14484" s="135">
        <f>YEAR(source[[#This Row],[report_date]])</f>
        <v>2026</v>
      </c>
      <c r="C14484" s="128">
        <f t="shared" si="677"/>
        <v>4</v>
      </c>
      <c r="D14484" s="136">
        <f t="shared" si="679"/>
        <v>15</v>
      </c>
      <c r="E14484" s="136">
        <f t="shared" si="678"/>
        <v>9</v>
      </c>
      <c r="F14484" s="137" t="s">
        <v>24</v>
      </c>
      <c r="G14484" s="128" t="str">
        <f>VLOOKUP(source[[#This Row],[lending_product_transform]],[3]Mapping!$B$4:$C$37,2,0)</f>
        <v>[Cake] - Cashloan</v>
      </c>
      <c r="H14484" s="128" t="str">
        <f>VLOOKUP(source[[#This Row],[lending_product_transform]],[3]Mapping!$B$3:$D$37,3,0)</f>
        <v>cashloan</v>
      </c>
      <c r="I14484" s="137">
        <v>0</v>
      </c>
    </row>
    <row r="14485" spans="1:9" x14ac:dyDescent="0.2">
      <c r="A14485" s="134">
        <v>46121</v>
      </c>
      <c r="B14485" s="135">
        <f>YEAR(source[[#This Row],[report_date]])</f>
        <v>2026</v>
      </c>
      <c r="C14485" s="128">
        <f t="shared" si="677"/>
        <v>4</v>
      </c>
      <c r="D14485" s="136">
        <f t="shared" si="679"/>
        <v>15</v>
      </c>
      <c r="E14485" s="136">
        <f t="shared" si="678"/>
        <v>9</v>
      </c>
      <c r="F14485" s="137" t="s">
        <v>24</v>
      </c>
      <c r="G14485" s="128" t="str">
        <f>VLOOKUP(source[[#This Row],[lending_product_transform]],[3]Mapping!$B$4:$C$37,2,0)</f>
        <v>[Cake] - Cashloan</v>
      </c>
      <c r="H14485" s="128" t="str">
        <f>VLOOKUP(source[[#This Row],[lending_product_transform]],[3]Mapping!$B$3:$D$37,3,0)</f>
        <v>cashloan</v>
      </c>
      <c r="I14485" s="137">
        <v>40750000</v>
      </c>
    </row>
    <row r="14486" spans="1:9" x14ac:dyDescent="0.2">
      <c r="A14486" s="134">
        <v>46121</v>
      </c>
      <c r="B14486" s="135">
        <f>YEAR(source[[#This Row],[report_date]])</f>
        <v>2026</v>
      </c>
      <c r="C14486" s="128">
        <f t="shared" si="677"/>
        <v>4</v>
      </c>
      <c r="D14486" s="136">
        <f t="shared" si="679"/>
        <v>15</v>
      </c>
      <c r="E14486" s="136">
        <f t="shared" si="678"/>
        <v>9</v>
      </c>
      <c r="F14486" s="137" t="s">
        <v>24</v>
      </c>
      <c r="G14486" s="128" t="str">
        <f>VLOOKUP(source[[#This Row],[lending_product_transform]],[3]Mapping!$B$4:$C$37,2,0)</f>
        <v>[Cake] - Cashloan</v>
      </c>
      <c r="H14486" s="128" t="str">
        <f>VLOOKUP(source[[#This Row],[lending_product_transform]],[3]Mapping!$B$3:$D$37,3,0)</f>
        <v>cashloan</v>
      </c>
      <c r="I14486" s="137">
        <v>0</v>
      </c>
    </row>
    <row r="14487" spans="1:9" x14ac:dyDescent="0.2">
      <c r="A14487" s="134">
        <v>46121</v>
      </c>
      <c r="B14487" s="135">
        <f>YEAR(source[[#This Row],[report_date]])</f>
        <v>2026</v>
      </c>
      <c r="C14487" s="128">
        <f t="shared" si="677"/>
        <v>4</v>
      </c>
      <c r="D14487" s="136">
        <f t="shared" si="679"/>
        <v>15</v>
      </c>
      <c r="E14487" s="136">
        <f t="shared" si="678"/>
        <v>9</v>
      </c>
      <c r="F14487" s="137" t="s">
        <v>24</v>
      </c>
      <c r="G14487" s="128" t="str">
        <f>VLOOKUP(source[[#This Row],[lending_product_transform]],[3]Mapping!$B$4:$C$37,2,0)</f>
        <v>[Cake] - Cashloan</v>
      </c>
      <c r="H14487" s="128" t="str">
        <f>VLOOKUP(source[[#This Row],[lending_product_transform]],[3]Mapping!$B$3:$D$37,3,0)</f>
        <v>cashloan</v>
      </c>
      <c r="I14487" s="137">
        <v>15938400000</v>
      </c>
    </row>
    <row r="14488" spans="1:9" x14ac:dyDescent="0.2">
      <c r="A14488" s="134">
        <v>46121</v>
      </c>
      <c r="B14488" s="135">
        <f>YEAR(source[[#This Row],[report_date]])</f>
        <v>2026</v>
      </c>
      <c r="C14488" s="128">
        <f t="shared" si="677"/>
        <v>4</v>
      </c>
      <c r="D14488" s="136">
        <f t="shared" si="679"/>
        <v>15</v>
      </c>
      <c r="E14488" s="136">
        <f t="shared" si="678"/>
        <v>9</v>
      </c>
      <c r="F14488" s="137" t="s">
        <v>24</v>
      </c>
      <c r="G14488" s="128" t="str">
        <f>VLOOKUP(source[[#This Row],[lending_product_transform]],[3]Mapping!$B$4:$C$37,2,0)</f>
        <v>[Cake] - Cashloan</v>
      </c>
      <c r="H14488" s="128" t="str">
        <f>VLOOKUP(source[[#This Row],[lending_product_transform]],[3]Mapping!$B$3:$D$37,3,0)</f>
        <v>cashloan</v>
      </c>
      <c r="I14488" s="137">
        <v>0</v>
      </c>
    </row>
    <row r="14489" spans="1:9" x14ac:dyDescent="0.2">
      <c r="A14489" s="134">
        <v>46121</v>
      </c>
      <c r="B14489" s="135">
        <f>YEAR(source[[#This Row],[report_date]])</f>
        <v>2026</v>
      </c>
      <c r="C14489" s="128">
        <f t="shared" si="677"/>
        <v>4</v>
      </c>
      <c r="D14489" s="136">
        <f t="shared" si="679"/>
        <v>15</v>
      </c>
      <c r="E14489" s="136">
        <f t="shared" si="678"/>
        <v>9</v>
      </c>
      <c r="F14489" s="137" t="s">
        <v>24</v>
      </c>
      <c r="G14489" s="128" t="str">
        <f>VLOOKUP(source[[#This Row],[lending_product_transform]],[3]Mapping!$B$4:$C$37,2,0)</f>
        <v>[Cake] - Cashloan</v>
      </c>
      <c r="H14489" s="128" t="str">
        <f>VLOOKUP(source[[#This Row],[lending_product_transform]],[3]Mapping!$B$3:$D$37,3,0)</f>
        <v>cashloan</v>
      </c>
      <c r="I14489" s="137">
        <v>0</v>
      </c>
    </row>
    <row r="14490" spans="1:9" x14ac:dyDescent="0.2">
      <c r="A14490" s="134">
        <v>46121</v>
      </c>
      <c r="B14490" s="135">
        <f>YEAR(source[[#This Row],[report_date]])</f>
        <v>2026</v>
      </c>
      <c r="C14490" s="128">
        <f t="shared" si="677"/>
        <v>4</v>
      </c>
      <c r="D14490" s="136">
        <f t="shared" si="679"/>
        <v>15</v>
      </c>
      <c r="E14490" s="136">
        <f t="shared" si="678"/>
        <v>9</v>
      </c>
      <c r="F14490" s="137" t="s">
        <v>24</v>
      </c>
      <c r="G14490" s="128" t="str">
        <f>VLOOKUP(source[[#This Row],[lending_product_transform]],[3]Mapping!$B$4:$C$37,2,0)</f>
        <v>[Cake] - Cashloan</v>
      </c>
      <c r="H14490" s="128" t="str">
        <f>VLOOKUP(source[[#This Row],[lending_product_transform]],[3]Mapping!$B$3:$D$37,3,0)</f>
        <v>cashloan</v>
      </c>
      <c r="I14490" s="137">
        <v>0</v>
      </c>
    </row>
    <row r="14491" spans="1:9" x14ac:dyDescent="0.2">
      <c r="A14491" s="134">
        <v>46121</v>
      </c>
      <c r="B14491" s="135">
        <f>YEAR(source[[#This Row],[report_date]])</f>
        <v>2026</v>
      </c>
      <c r="C14491" s="128">
        <f t="shared" si="677"/>
        <v>4</v>
      </c>
      <c r="D14491" s="136">
        <f t="shared" si="679"/>
        <v>15</v>
      </c>
      <c r="E14491" s="136">
        <f t="shared" si="678"/>
        <v>9</v>
      </c>
      <c r="F14491" s="137" t="s">
        <v>24</v>
      </c>
      <c r="G14491" s="128" t="str">
        <f>VLOOKUP(source[[#This Row],[lending_product_transform]],[3]Mapping!$B$4:$C$37,2,0)</f>
        <v>[Cake] - Cashloan</v>
      </c>
      <c r="H14491" s="128" t="str">
        <f>VLOOKUP(source[[#This Row],[lending_product_transform]],[3]Mapping!$B$3:$D$37,3,0)</f>
        <v>cashloan</v>
      </c>
      <c r="I14491" s="137">
        <v>0</v>
      </c>
    </row>
    <row r="14492" spans="1:9" x14ac:dyDescent="0.2">
      <c r="A14492" s="134">
        <v>46121</v>
      </c>
      <c r="B14492" s="135">
        <f>YEAR(source[[#This Row],[report_date]])</f>
        <v>2026</v>
      </c>
      <c r="C14492" s="128">
        <f t="shared" si="677"/>
        <v>4</v>
      </c>
      <c r="D14492" s="136">
        <f t="shared" si="679"/>
        <v>15</v>
      </c>
      <c r="E14492" s="136">
        <f t="shared" si="678"/>
        <v>9</v>
      </c>
      <c r="F14492" s="137" t="s">
        <v>24</v>
      </c>
      <c r="G14492" s="128" t="str">
        <f>VLOOKUP(source[[#This Row],[lending_product_transform]],[3]Mapping!$B$4:$C$37,2,0)</f>
        <v>[Cake] - Cashloan</v>
      </c>
      <c r="H14492" s="128" t="str">
        <f>VLOOKUP(source[[#This Row],[lending_product_transform]],[3]Mapping!$B$3:$D$37,3,0)</f>
        <v>cashloan</v>
      </c>
      <c r="I14492" s="137">
        <v>10114092000</v>
      </c>
    </row>
    <row r="14493" spans="1:9" x14ac:dyDescent="0.2">
      <c r="A14493" s="134">
        <v>46121</v>
      </c>
      <c r="B14493" s="135">
        <f>YEAR(source[[#This Row],[report_date]])</f>
        <v>2026</v>
      </c>
      <c r="C14493" s="128">
        <f t="shared" si="677"/>
        <v>4</v>
      </c>
      <c r="D14493" s="136">
        <f t="shared" si="679"/>
        <v>15</v>
      </c>
      <c r="E14493" s="136">
        <f t="shared" si="678"/>
        <v>9</v>
      </c>
      <c r="F14493" s="137" t="s">
        <v>24</v>
      </c>
      <c r="G14493" s="128" t="str">
        <f>VLOOKUP(source[[#This Row],[lending_product_transform]],[3]Mapping!$B$4:$C$37,2,0)</f>
        <v>[Cake] - Cashloan</v>
      </c>
      <c r="H14493" s="128" t="str">
        <f>VLOOKUP(source[[#This Row],[lending_product_transform]],[3]Mapping!$B$3:$D$37,3,0)</f>
        <v>cashloan</v>
      </c>
      <c r="I14493" s="137">
        <v>249829358</v>
      </c>
    </row>
    <row r="14494" spans="1:9" x14ac:dyDescent="0.2">
      <c r="A14494" s="134">
        <v>46121</v>
      </c>
      <c r="B14494" s="135">
        <f>YEAR(source[[#This Row],[report_date]])</f>
        <v>2026</v>
      </c>
      <c r="C14494" s="128">
        <f t="shared" si="677"/>
        <v>4</v>
      </c>
      <c r="D14494" s="136">
        <f t="shared" si="679"/>
        <v>15</v>
      </c>
      <c r="E14494" s="136">
        <f t="shared" si="678"/>
        <v>9</v>
      </c>
      <c r="F14494" s="137" t="s">
        <v>24</v>
      </c>
      <c r="G14494" s="128" t="str">
        <f>VLOOKUP(source[[#This Row],[lending_product_transform]],[3]Mapping!$B$4:$C$37,2,0)</f>
        <v>[Cake] - Cashloan</v>
      </c>
      <c r="H14494" s="128" t="str">
        <f>VLOOKUP(source[[#This Row],[lending_product_transform]],[3]Mapping!$B$3:$D$37,3,0)</f>
        <v>cashloan</v>
      </c>
      <c r="I14494" s="137">
        <v>42000000</v>
      </c>
    </row>
    <row r="14495" spans="1:9" x14ac:dyDescent="0.2">
      <c r="A14495" s="134">
        <v>46121</v>
      </c>
      <c r="B14495" s="135">
        <f>YEAR(source[[#This Row],[report_date]])</f>
        <v>2026</v>
      </c>
      <c r="C14495" s="128">
        <f t="shared" si="677"/>
        <v>4</v>
      </c>
      <c r="D14495" s="136">
        <f t="shared" si="679"/>
        <v>15</v>
      </c>
      <c r="E14495" s="136">
        <f t="shared" si="678"/>
        <v>9</v>
      </c>
      <c r="F14495" s="137" t="s">
        <v>24</v>
      </c>
      <c r="G14495" s="128" t="str">
        <f>VLOOKUP(source[[#This Row],[lending_product_transform]],[3]Mapping!$B$4:$C$37,2,0)</f>
        <v>[Cake] - Cashloan</v>
      </c>
      <c r="H14495" s="128" t="str">
        <f>VLOOKUP(source[[#This Row],[lending_product_transform]],[3]Mapping!$B$3:$D$37,3,0)</f>
        <v>cashloan</v>
      </c>
      <c r="I14495" s="137">
        <v>45000000</v>
      </c>
    </row>
    <row r="14496" spans="1:9" x14ac:dyDescent="0.2">
      <c r="A14496" s="134">
        <v>46121</v>
      </c>
      <c r="B14496" s="135">
        <f>YEAR(source[[#This Row],[report_date]])</f>
        <v>2026</v>
      </c>
      <c r="C14496" s="128">
        <f t="shared" si="677"/>
        <v>4</v>
      </c>
      <c r="D14496" s="136">
        <f t="shared" si="679"/>
        <v>15</v>
      </c>
      <c r="E14496" s="136">
        <f t="shared" si="678"/>
        <v>9</v>
      </c>
      <c r="F14496" s="137" t="s">
        <v>24</v>
      </c>
      <c r="G14496" s="128" t="str">
        <f>VLOOKUP(source[[#This Row],[lending_product_transform]],[3]Mapping!$B$4:$C$37,2,0)</f>
        <v>[Cake] - Cashloan</v>
      </c>
      <c r="H14496" s="128" t="str">
        <f>VLOOKUP(source[[#This Row],[lending_product_transform]],[3]Mapping!$B$3:$D$37,3,0)</f>
        <v>cashloan</v>
      </c>
      <c r="I14496" s="137">
        <v>867440000</v>
      </c>
    </row>
    <row r="14497" spans="1:9" x14ac:dyDescent="0.2">
      <c r="A14497" s="134">
        <v>46121</v>
      </c>
      <c r="B14497" s="135">
        <f>YEAR(source[[#This Row],[report_date]])</f>
        <v>2026</v>
      </c>
      <c r="C14497" s="128">
        <f t="shared" si="677"/>
        <v>4</v>
      </c>
      <c r="D14497" s="136">
        <f t="shared" si="679"/>
        <v>15</v>
      </c>
      <c r="E14497" s="136">
        <f t="shared" si="678"/>
        <v>9</v>
      </c>
      <c r="F14497" s="137" t="s">
        <v>24</v>
      </c>
      <c r="G14497" s="128" t="str">
        <f>VLOOKUP(source[[#This Row],[lending_product_transform]],[3]Mapping!$B$4:$C$37,2,0)</f>
        <v>[Cake] - Cashloan</v>
      </c>
      <c r="H14497" s="128" t="str">
        <f>VLOOKUP(source[[#This Row],[lending_product_transform]],[3]Mapping!$B$3:$D$37,3,0)</f>
        <v>cashloan</v>
      </c>
      <c r="I14497" s="137">
        <v>373788000</v>
      </c>
    </row>
    <row r="14498" spans="1:9" x14ac:dyDescent="0.2">
      <c r="A14498" s="134">
        <v>46121</v>
      </c>
      <c r="B14498" s="135">
        <f>YEAR(source[[#This Row],[report_date]])</f>
        <v>2026</v>
      </c>
      <c r="C14498" s="128">
        <f t="shared" si="677"/>
        <v>4</v>
      </c>
      <c r="D14498" s="136">
        <f t="shared" si="679"/>
        <v>15</v>
      </c>
      <c r="E14498" s="136">
        <f t="shared" si="678"/>
        <v>9</v>
      </c>
      <c r="F14498" s="137" t="s">
        <v>24</v>
      </c>
      <c r="G14498" s="128" t="str">
        <f>VLOOKUP(source[[#This Row],[lending_product_transform]],[3]Mapping!$B$4:$C$37,2,0)</f>
        <v>[Cake] - Cashloan</v>
      </c>
      <c r="H14498" s="128" t="str">
        <f>VLOOKUP(source[[#This Row],[lending_product_transform]],[3]Mapping!$B$3:$D$37,3,0)</f>
        <v>cashloan</v>
      </c>
      <c r="I14498" s="137">
        <v>448450851</v>
      </c>
    </row>
    <row r="14499" spans="1:9" x14ac:dyDescent="0.2">
      <c r="A14499" s="134">
        <v>46121</v>
      </c>
      <c r="B14499" s="135">
        <f>YEAR(source[[#This Row],[report_date]])</f>
        <v>2026</v>
      </c>
      <c r="C14499" s="128">
        <f t="shared" si="677"/>
        <v>4</v>
      </c>
      <c r="D14499" s="136">
        <f t="shared" si="679"/>
        <v>15</v>
      </c>
      <c r="E14499" s="136">
        <f t="shared" si="678"/>
        <v>9</v>
      </c>
      <c r="F14499" s="137" t="s">
        <v>24</v>
      </c>
      <c r="G14499" s="128" t="str">
        <f>VLOOKUP(source[[#This Row],[lending_product_transform]],[3]Mapping!$B$4:$C$37,2,0)</f>
        <v>[Cake] - Cashloan</v>
      </c>
      <c r="H14499" s="128" t="str">
        <f>VLOOKUP(source[[#This Row],[lending_product_transform]],[3]Mapping!$B$3:$D$37,3,0)</f>
        <v>cashloan</v>
      </c>
      <c r="I14499" s="137">
        <v>6647070000</v>
      </c>
    </row>
    <row r="14500" spans="1:9" x14ac:dyDescent="0.2">
      <c r="A14500" s="134">
        <v>46121</v>
      </c>
      <c r="B14500" s="135">
        <f>YEAR(source[[#This Row],[report_date]])</f>
        <v>2026</v>
      </c>
      <c r="C14500" s="128">
        <f t="shared" si="677"/>
        <v>4</v>
      </c>
      <c r="D14500" s="136">
        <f t="shared" si="679"/>
        <v>15</v>
      </c>
      <c r="E14500" s="136">
        <f t="shared" si="678"/>
        <v>9</v>
      </c>
      <c r="F14500" s="137" t="s">
        <v>24</v>
      </c>
      <c r="G14500" s="128" t="str">
        <f>VLOOKUP(source[[#This Row],[lending_product_transform]],[3]Mapping!$B$4:$C$37,2,0)</f>
        <v>[Cake] - Cashloan</v>
      </c>
      <c r="H14500" s="128" t="str">
        <f>VLOOKUP(source[[#This Row],[lending_product_transform]],[3]Mapping!$B$3:$D$37,3,0)</f>
        <v>cashloan</v>
      </c>
      <c r="I14500" s="137">
        <v>0</v>
      </c>
    </row>
    <row r="14501" spans="1:9" x14ac:dyDescent="0.2">
      <c r="A14501" s="134">
        <v>46122</v>
      </c>
      <c r="B14501" s="135">
        <f>YEAR(source[[#This Row],[report_date]])</f>
        <v>2026</v>
      </c>
      <c r="C14501" s="128">
        <f t="shared" si="677"/>
        <v>4</v>
      </c>
      <c r="D14501" s="136">
        <f t="shared" si="679"/>
        <v>15</v>
      </c>
      <c r="E14501" s="136">
        <f t="shared" si="678"/>
        <v>10</v>
      </c>
      <c r="F14501" s="137" t="s">
        <v>24</v>
      </c>
      <c r="G14501" s="128" t="str">
        <f>VLOOKUP(source[[#This Row],[lending_product_transform]],[3]Mapping!$B$4:$C$37,2,0)</f>
        <v>[Cake] - Cashloan</v>
      </c>
      <c r="H14501" s="128" t="str">
        <f>VLOOKUP(source[[#This Row],[lending_product_transform]],[3]Mapping!$B$3:$D$37,3,0)</f>
        <v>cashloan</v>
      </c>
      <c r="I14501" s="137">
        <v>662610000</v>
      </c>
    </row>
    <row r="14502" spans="1:9" x14ac:dyDescent="0.2">
      <c r="A14502" s="134">
        <v>46122</v>
      </c>
      <c r="B14502" s="135">
        <f>YEAR(source[[#This Row],[report_date]])</f>
        <v>2026</v>
      </c>
      <c r="C14502" s="128">
        <f t="shared" si="677"/>
        <v>4</v>
      </c>
      <c r="D14502" s="136">
        <f t="shared" si="679"/>
        <v>15</v>
      </c>
      <c r="E14502" s="136">
        <f t="shared" si="678"/>
        <v>10</v>
      </c>
      <c r="F14502" s="137" t="s">
        <v>24</v>
      </c>
      <c r="G14502" s="128" t="str">
        <f>VLOOKUP(source[[#This Row],[lending_product_transform]],[3]Mapping!$B$4:$C$37,2,0)</f>
        <v>[Cake] - Cashloan</v>
      </c>
      <c r="H14502" s="128" t="str">
        <f>VLOOKUP(source[[#This Row],[lending_product_transform]],[3]Mapping!$B$3:$D$37,3,0)</f>
        <v>cashloan</v>
      </c>
      <c r="I14502" s="137">
        <v>303036975</v>
      </c>
    </row>
    <row r="14503" spans="1:9" x14ac:dyDescent="0.2">
      <c r="A14503" s="134">
        <v>46122</v>
      </c>
      <c r="B14503" s="135">
        <f>YEAR(source[[#This Row],[report_date]])</f>
        <v>2026</v>
      </c>
      <c r="C14503" s="128">
        <f t="shared" si="677"/>
        <v>4</v>
      </c>
      <c r="D14503" s="136">
        <f t="shared" si="679"/>
        <v>15</v>
      </c>
      <c r="E14503" s="136">
        <f t="shared" si="678"/>
        <v>10</v>
      </c>
      <c r="F14503" s="137" t="s">
        <v>24</v>
      </c>
      <c r="G14503" s="128" t="str">
        <f>VLOOKUP(source[[#This Row],[lending_product_transform]],[3]Mapping!$B$4:$C$37,2,0)</f>
        <v>[Cake] - Cashloan</v>
      </c>
      <c r="H14503" s="128" t="str">
        <f>VLOOKUP(source[[#This Row],[lending_product_transform]],[3]Mapping!$B$3:$D$37,3,0)</f>
        <v>cashloan</v>
      </c>
      <c r="I14503" s="137">
        <v>16824250000</v>
      </c>
    </row>
    <row r="14504" spans="1:9" x14ac:dyDescent="0.2">
      <c r="A14504" s="134">
        <v>46122</v>
      </c>
      <c r="B14504" s="135">
        <f>YEAR(source[[#This Row],[report_date]])</f>
        <v>2026</v>
      </c>
      <c r="C14504" s="128">
        <f t="shared" si="677"/>
        <v>4</v>
      </c>
      <c r="D14504" s="136">
        <f t="shared" si="679"/>
        <v>15</v>
      </c>
      <c r="E14504" s="136">
        <f t="shared" si="678"/>
        <v>10</v>
      </c>
      <c r="F14504" s="137" t="s">
        <v>24</v>
      </c>
      <c r="G14504" s="128" t="str">
        <f>VLOOKUP(source[[#This Row],[lending_product_transform]],[3]Mapping!$B$4:$C$37,2,0)</f>
        <v>[Cake] - Cashloan</v>
      </c>
      <c r="H14504" s="128" t="str">
        <f>VLOOKUP(source[[#This Row],[lending_product_transform]],[3]Mapping!$B$3:$D$37,3,0)</f>
        <v>cashloan</v>
      </c>
      <c r="I14504" s="137">
        <v>2520438537</v>
      </c>
    </row>
    <row r="14505" spans="1:9" x14ac:dyDescent="0.2">
      <c r="A14505" s="134">
        <v>46122</v>
      </c>
      <c r="B14505" s="135">
        <f>YEAR(source[[#This Row],[report_date]])</f>
        <v>2026</v>
      </c>
      <c r="C14505" s="128">
        <f t="shared" si="677"/>
        <v>4</v>
      </c>
      <c r="D14505" s="136">
        <f t="shared" si="679"/>
        <v>15</v>
      </c>
      <c r="E14505" s="136">
        <f t="shared" si="678"/>
        <v>10</v>
      </c>
      <c r="F14505" s="137" t="s">
        <v>24</v>
      </c>
      <c r="G14505" s="128" t="str">
        <f>VLOOKUP(source[[#This Row],[lending_product_transform]],[3]Mapping!$B$4:$C$37,2,0)</f>
        <v>[Cake] - Cashloan</v>
      </c>
      <c r="H14505" s="128" t="str">
        <f>VLOOKUP(source[[#This Row],[lending_product_transform]],[3]Mapping!$B$3:$D$37,3,0)</f>
        <v>cashloan</v>
      </c>
      <c r="I14505" s="137">
        <v>20986668000</v>
      </c>
    </row>
    <row r="14506" spans="1:9" x14ac:dyDescent="0.2">
      <c r="A14506" s="134">
        <v>46122</v>
      </c>
      <c r="B14506" s="135">
        <f>YEAR(source[[#This Row],[report_date]])</f>
        <v>2026</v>
      </c>
      <c r="C14506" s="128">
        <f t="shared" si="677"/>
        <v>4</v>
      </c>
      <c r="D14506" s="136">
        <f t="shared" si="679"/>
        <v>15</v>
      </c>
      <c r="E14506" s="136">
        <f t="shared" si="678"/>
        <v>10</v>
      </c>
      <c r="F14506" s="137" t="s">
        <v>24</v>
      </c>
      <c r="G14506" s="128" t="str">
        <f>VLOOKUP(source[[#This Row],[lending_product_transform]],[3]Mapping!$B$4:$C$37,2,0)</f>
        <v>[Cake] - Cashloan</v>
      </c>
      <c r="H14506" s="128" t="str">
        <f>VLOOKUP(source[[#This Row],[lending_product_transform]],[3]Mapping!$B$3:$D$37,3,0)</f>
        <v>cashloan</v>
      </c>
      <c r="I14506" s="137">
        <v>0</v>
      </c>
    </row>
    <row r="14507" spans="1:9" x14ac:dyDescent="0.2">
      <c r="A14507" s="134">
        <v>46122</v>
      </c>
      <c r="B14507" s="135">
        <f>YEAR(source[[#This Row],[report_date]])</f>
        <v>2026</v>
      </c>
      <c r="C14507" s="128">
        <f t="shared" si="677"/>
        <v>4</v>
      </c>
      <c r="D14507" s="136">
        <f t="shared" si="679"/>
        <v>15</v>
      </c>
      <c r="E14507" s="136">
        <f t="shared" si="678"/>
        <v>10</v>
      </c>
      <c r="F14507" s="137" t="s">
        <v>24</v>
      </c>
      <c r="G14507" s="128" t="str">
        <f>VLOOKUP(source[[#This Row],[lending_product_transform]],[3]Mapping!$B$4:$C$37,2,0)</f>
        <v>[Cake] - Cashloan</v>
      </c>
      <c r="H14507" s="128" t="str">
        <f>VLOOKUP(source[[#This Row],[lending_product_transform]],[3]Mapping!$B$3:$D$37,3,0)</f>
        <v>cashloan</v>
      </c>
      <c r="I14507" s="137">
        <v>0</v>
      </c>
    </row>
    <row r="14508" spans="1:9" x14ac:dyDescent="0.2">
      <c r="A14508" s="134">
        <v>46122</v>
      </c>
      <c r="B14508" s="135">
        <f>YEAR(source[[#This Row],[report_date]])</f>
        <v>2026</v>
      </c>
      <c r="C14508" s="128">
        <f t="shared" si="677"/>
        <v>4</v>
      </c>
      <c r="D14508" s="136">
        <f t="shared" si="679"/>
        <v>15</v>
      </c>
      <c r="E14508" s="136">
        <f t="shared" si="678"/>
        <v>10</v>
      </c>
      <c r="F14508" s="137" t="s">
        <v>24</v>
      </c>
      <c r="G14508" s="128" t="str">
        <f>VLOOKUP(source[[#This Row],[lending_product_transform]],[3]Mapping!$B$4:$C$37,2,0)</f>
        <v>[Cake] - Cashloan</v>
      </c>
      <c r="H14508" s="128" t="str">
        <f>VLOOKUP(source[[#This Row],[lending_product_transform]],[3]Mapping!$B$3:$D$37,3,0)</f>
        <v>cashloan</v>
      </c>
      <c r="I14508" s="137">
        <v>2979680000</v>
      </c>
    </row>
    <row r="14509" spans="1:9" x14ac:dyDescent="0.2">
      <c r="A14509" s="134">
        <v>46122</v>
      </c>
      <c r="B14509" s="135">
        <f>YEAR(source[[#This Row],[report_date]])</f>
        <v>2026</v>
      </c>
      <c r="C14509" s="128">
        <f t="shared" si="677"/>
        <v>4</v>
      </c>
      <c r="D14509" s="136">
        <f t="shared" si="679"/>
        <v>15</v>
      </c>
      <c r="E14509" s="136">
        <f t="shared" si="678"/>
        <v>10</v>
      </c>
      <c r="F14509" s="137" t="s">
        <v>24</v>
      </c>
      <c r="G14509" s="128" t="str">
        <f>VLOOKUP(source[[#This Row],[lending_product_transform]],[3]Mapping!$B$4:$C$37,2,0)</f>
        <v>[Cake] - Cashloan</v>
      </c>
      <c r="H14509" s="128" t="str">
        <f>VLOOKUP(source[[#This Row],[lending_product_transform]],[3]Mapping!$B$3:$D$37,3,0)</f>
        <v>cashloan</v>
      </c>
      <c r="I14509" s="137">
        <v>1144350000</v>
      </c>
    </row>
    <row r="14510" spans="1:9" x14ac:dyDescent="0.2">
      <c r="A14510" s="134">
        <v>46122</v>
      </c>
      <c r="B14510" s="135">
        <f>YEAR(source[[#This Row],[report_date]])</f>
        <v>2026</v>
      </c>
      <c r="C14510" s="128">
        <f t="shared" si="677"/>
        <v>4</v>
      </c>
      <c r="D14510" s="136">
        <f t="shared" si="679"/>
        <v>15</v>
      </c>
      <c r="E14510" s="136">
        <f t="shared" si="678"/>
        <v>10</v>
      </c>
      <c r="F14510" s="137" t="s">
        <v>24</v>
      </c>
      <c r="G14510" s="128" t="str">
        <f>VLOOKUP(source[[#This Row],[lending_product_transform]],[3]Mapping!$B$4:$C$37,2,0)</f>
        <v>[Cake] - Cashloan</v>
      </c>
      <c r="H14510" s="128" t="str">
        <f>VLOOKUP(source[[#This Row],[lending_product_transform]],[3]Mapping!$B$3:$D$37,3,0)</f>
        <v>cashloan</v>
      </c>
      <c r="I14510" s="137">
        <v>3038883</v>
      </c>
    </row>
    <row r="14511" spans="1:9" x14ac:dyDescent="0.2">
      <c r="A14511" s="134">
        <v>46122</v>
      </c>
      <c r="B14511" s="135">
        <f>YEAR(source[[#This Row],[report_date]])</f>
        <v>2026</v>
      </c>
      <c r="C14511" s="128">
        <f t="shared" si="677"/>
        <v>4</v>
      </c>
      <c r="D14511" s="136">
        <f t="shared" si="679"/>
        <v>15</v>
      </c>
      <c r="E14511" s="136">
        <f t="shared" si="678"/>
        <v>10</v>
      </c>
      <c r="F14511" s="137" t="s">
        <v>24</v>
      </c>
      <c r="G14511" s="128" t="str">
        <f>VLOOKUP(source[[#This Row],[lending_product_transform]],[3]Mapping!$B$4:$C$37,2,0)</f>
        <v>[Cake] - Cashloan</v>
      </c>
      <c r="H14511" s="128" t="str">
        <f>VLOOKUP(source[[#This Row],[lending_product_transform]],[3]Mapping!$B$3:$D$37,3,0)</f>
        <v>cashloan</v>
      </c>
      <c r="I14511" s="137">
        <v>1389954668</v>
      </c>
    </row>
    <row r="14512" spans="1:9" x14ac:dyDescent="0.2">
      <c r="A14512" s="134">
        <v>46122</v>
      </c>
      <c r="B14512" s="135">
        <f>YEAR(source[[#This Row],[report_date]])</f>
        <v>2026</v>
      </c>
      <c r="C14512" s="128">
        <f t="shared" si="677"/>
        <v>4</v>
      </c>
      <c r="D14512" s="136">
        <f t="shared" si="679"/>
        <v>15</v>
      </c>
      <c r="E14512" s="136">
        <f t="shared" si="678"/>
        <v>10</v>
      </c>
      <c r="F14512" s="137" t="s">
        <v>24</v>
      </c>
      <c r="G14512" s="128" t="str">
        <f>VLOOKUP(source[[#This Row],[lending_product_transform]],[3]Mapping!$B$4:$C$37,2,0)</f>
        <v>[Cake] - Cashloan</v>
      </c>
      <c r="H14512" s="128" t="str">
        <f>VLOOKUP(source[[#This Row],[lending_product_transform]],[3]Mapping!$B$3:$D$37,3,0)</f>
        <v>cashloan</v>
      </c>
      <c r="I14512" s="137">
        <v>0</v>
      </c>
    </row>
    <row r="14513" spans="1:9" x14ac:dyDescent="0.2">
      <c r="A14513" s="134">
        <v>46122</v>
      </c>
      <c r="B14513" s="135">
        <f>YEAR(source[[#This Row],[report_date]])</f>
        <v>2026</v>
      </c>
      <c r="C14513" s="128">
        <f t="shared" si="677"/>
        <v>4</v>
      </c>
      <c r="D14513" s="136">
        <f t="shared" si="679"/>
        <v>15</v>
      </c>
      <c r="E14513" s="136">
        <f t="shared" si="678"/>
        <v>10</v>
      </c>
      <c r="F14513" s="137" t="s">
        <v>24</v>
      </c>
      <c r="G14513" s="128" t="str">
        <f>VLOOKUP(source[[#This Row],[lending_product_transform]],[3]Mapping!$B$4:$C$37,2,0)</f>
        <v>[Cake] - Cashloan</v>
      </c>
      <c r="H14513" s="128" t="str">
        <f>VLOOKUP(source[[#This Row],[lending_product_transform]],[3]Mapping!$B$3:$D$37,3,0)</f>
        <v>cashloan</v>
      </c>
      <c r="I14513" s="137">
        <v>99750000</v>
      </c>
    </row>
    <row r="14514" spans="1:9" x14ac:dyDescent="0.2">
      <c r="A14514" s="134">
        <v>46122</v>
      </c>
      <c r="B14514" s="135">
        <f>YEAR(source[[#This Row],[report_date]])</f>
        <v>2026</v>
      </c>
      <c r="C14514" s="128">
        <f t="shared" si="677"/>
        <v>4</v>
      </c>
      <c r="D14514" s="136">
        <f t="shared" si="679"/>
        <v>15</v>
      </c>
      <c r="E14514" s="136">
        <f t="shared" si="678"/>
        <v>10</v>
      </c>
      <c r="F14514" s="137" t="s">
        <v>24</v>
      </c>
      <c r="G14514" s="128" t="str">
        <f>VLOOKUP(source[[#This Row],[lending_product_transform]],[3]Mapping!$B$4:$C$37,2,0)</f>
        <v>[Cake] - Cashloan</v>
      </c>
      <c r="H14514" s="128" t="str">
        <f>VLOOKUP(source[[#This Row],[lending_product_transform]],[3]Mapping!$B$3:$D$37,3,0)</f>
        <v>cashloan</v>
      </c>
      <c r="I14514" s="137">
        <v>0</v>
      </c>
    </row>
    <row r="14515" spans="1:9" x14ac:dyDescent="0.2">
      <c r="A14515" s="134">
        <v>46122</v>
      </c>
      <c r="B14515" s="135">
        <f>YEAR(source[[#This Row],[report_date]])</f>
        <v>2026</v>
      </c>
      <c r="C14515" s="128">
        <f t="shared" si="677"/>
        <v>4</v>
      </c>
      <c r="D14515" s="136">
        <f t="shared" si="679"/>
        <v>15</v>
      </c>
      <c r="E14515" s="136">
        <f t="shared" si="678"/>
        <v>10</v>
      </c>
      <c r="F14515" s="137" t="s">
        <v>24</v>
      </c>
      <c r="G14515" s="128" t="str">
        <f>VLOOKUP(source[[#This Row],[lending_product_transform]],[3]Mapping!$B$4:$C$37,2,0)</f>
        <v>[Cake] - Cashloan</v>
      </c>
      <c r="H14515" s="128" t="str">
        <f>VLOOKUP(source[[#This Row],[lending_product_transform]],[3]Mapping!$B$3:$D$37,3,0)</f>
        <v>cashloan</v>
      </c>
      <c r="I14515" s="137">
        <v>19497540000</v>
      </c>
    </row>
    <row r="14516" spans="1:9" x14ac:dyDescent="0.2">
      <c r="A14516" s="134">
        <v>46122</v>
      </c>
      <c r="B14516" s="135">
        <f>YEAR(source[[#This Row],[report_date]])</f>
        <v>2026</v>
      </c>
      <c r="C14516" s="128">
        <f t="shared" si="677"/>
        <v>4</v>
      </c>
      <c r="D14516" s="136">
        <f t="shared" si="679"/>
        <v>15</v>
      </c>
      <c r="E14516" s="136">
        <f t="shared" si="678"/>
        <v>10</v>
      </c>
      <c r="F14516" s="137" t="s">
        <v>24</v>
      </c>
      <c r="G14516" s="128" t="str">
        <f>VLOOKUP(source[[#This Row],[lending_product_transform]],[3]Mapping!$B$4:$C$37,2,0)</f>
        <v>[Cake] - Cashloan</v>
      </c>
      <c r="H14516" s="128" t="str">
        <f>VLOOKUP(source[[#This Row],[lending_product_transform]],[3]Mapping!$B$3:$D$37,3,0)</f>
        <v>cashloan</v>
      </c>
      <c r="I14516" s="137">
        <v>0</v>
      </c>
    </row>
    <row r="14517" spans="1:9" x14ac:dyDescent="0.2">
      <c r="A14517" s="134">
        <v>46122</v>
      </c>
      <c r="B14517" s="135">
        <f>YEAR(source[[#This Row],[report_date]])</f>
        <v>2026</v>
      </c>
      <c r="C14517" s="128">
        <f t="shared" si="677"/>
        <v>4</v>
      </c>
      <c r="D14517" s="136">
        <f t="shared" si="679"/>
        <v>15</v>
      </c>
      <c r="E14517" s="136">
        <f t="shared" si="678"/>
        <v>10</v>
      </c>
      <c r="F14517" s="137" t="s">
        <v>24</v>
      </c>
      <c r="G14517" s="128" t="str">
        <f>VLOOKUP(source[[#This Row],[lending_product_transform]],[3]Mapping!$B$4:$C$37,2,0)</f>
        <v>[Cake] - Cashloan</v>
      </c>
      <c r="H14517" s="128" t="str">
        <f>VLOOKUP(source[[#This Row],[lending_product_transform]],[3]Mapping!$B$3:$D$37,3,0)</f>
        <v>cashloan</v>
      </c>
      <c r="I14517" s="137">
        <v>0</v>
      </c>
    </row>
    <row r="14518" spans="1:9" x14ac:dyDescent="0.2">
      <c r="A14518" s="134">
        <v>46122</v>
      </c>
      <c r="B14518" s="135">
        <f>YEAR(source[[#This Row],[report_date]])</f>
        <v>2026</v>
      </c>
      <c r="C14518" s="128">
        <f t="shared" ref="C14518:C14581" si="680">MONTH(A14518)</f>
        <v>4</v>
      </c>
      <c r="D14518" s="136">
        <f t="shared" si="679"/>
        <v>15</v>
      </c>
      <c r="E14518" s="136">
        <f t="shared" ref="E14518:E14581" si="681">DAY(A14518)</f>
        <v>10</v>
      </c>
      <c r="F14518" s="137" t="s">
        <v>24</v>
      </c>
      <c r="G14518" s="128" t="str">
        <f>VLOOKUP(source[[#This Row],[lending_product_transform]],[3]Mapping!$B$4:$C$37,2,0)</f>
        <v>[Cake] - Cashloan</v>
      </c>
      <c r="H14518" s="128" t="str">
        <f>VLOOKUP(source[[#This Row],[lending_product_transform]],[3]Mapping!$B$3:$D$37,3,0)</f>
        <v>cashloan</v>
      </c>
      <c r="I14518" s="137">
        <v>0</v>
      </c>
    </row>
    <row r="14519" spans="1:9" x14ac:dyDescent="0.2">
      <c r="A14519" s="134">
        <v>46122</v>
      </c>
      <c r="B14519" s="135">
        <f>YEAR(source[[#This Row],[report_date]])</f>
        <v>2026</v>
      </c>
      <c r="C14519" s="128">
        <f t="shared" si="680"/>
        <v>4</v>
      </c>
      <c r="D14519" s="136">
        <f t="shared" si="679"/>
        <v>15</v>
      </c>
      <c r="E14519" s="136">
        <f t="shared" si="681"/>
        <v>10</v>
      </c>
      <c r="F14519" s="137" t="s">
        <v>24</v>
      </c>
      <c r="G14519" s="128" t="str">
        <f>VLOOKUP(source[[#This Row],[lending_product_transform]],[3]Mapping!$B$4:$C$37,2,0)</f>
        <v>[Cake] - Cashloan</v>
      </c>
      <c r="H14519" s="128" t="str">
        <f>VLOOKUP(source[[#This Row],[lending_product_transform]],[3]Mapping!$B$3:$D$37,3,0)</f>
        <v>cashloan</v>
      </c>
      <c r="I14519" s="137">
        <v>0</v>
      </c>
    </row>
    <row r="14520" spans="1:9" x14ac:dyDescent="0.2">
      <c r="A14520" s="134">
        <v>46122</v>
      </c>
      <c r="B14520" s="135">
        <f>YEAR(source[[#This Row],[report_date]])</f>
        <v>2026</v>
      </c>
      <c r="C14520" s="128">
        <f t="shared" si="680"/>
        <v>4</v>
      </c>
      <c r="D14520" s="136">
        <f t="shared" si="679"/>
        <v>15</v>
      </c>
      <c r="E14520" s="136">
        <f t="shared" si="681"/>
        <v>10</v>
      </c>
      <c r="F14520" s="137" t="s">
        <v>24</v>
      </c>
      <c r="G14520" s="128" t="str">
        <f>VLOOKUP(source[[#This Row],[lending_product_transform]],[3]Mapping!$B$4:$C$37,2,0)</f>
        <v>[Cake] - Cashloan</v>
      </c>
      <c r="H14520" s="128" t="str">
        <f>VLOOKUP(source[[#This Row],[lending_product_transform]],[3]Mapping!$B$3:$D$37,3,0)</f>
        <v>cashloan</v>
      </c>
      <c r="I14520" s="137">
        <v>15692292000</v>
      </c>
    </row>
    <row r="14521" spans="1:9" x14ac:dyDescent="0.2">
      <c r="A14521" s="134">
        <v>46122</v>
      </c>
      <c r="B14521" s="135">
        <f>YEAR(source[[#This Row],[report_date]])</f>
        <v>2026</v>
      </c>
      <c r="C14521" s="128">
        <f t="shared" si="680"/>
        <v>4</v>
      </c>
      <c r="D14521" s="136">
        <f t="shared" si="679"/>
        <v>15</v>
      </c>
      <c r="E14521" s="136">
        <f t="shared" si="681"/>
        <v>10</v>
      </c>
      <c r="F14521" s="137" t="s">
        <v>24</v>
      </c>
      <c r="G14521" s="128" t="str">
        <f>VLOOKUP(source[[#This Row],[lending_product_transform]],[3]Mapping!$B$4:$C$37,2,0)</f>
        <v>[Cake] - Cashloan</v>
      </c>
      <c r="H14521" s="128" t="str">
        <f>VLOOKUP(source[[#This Row],[lending_product_transform]],[3]Mapping!$B$3:$D$37,3,0)</f>
        <v>cashloan</v>
      </c>
      <c r="I14521" s="137">
        <v>248584146</v>
      </c>
    </row>
    <row r="14522" spans="1:9" x14ac:dyDescent="0.2">
      <c r="A14522" s="134">
        <v>46122</v>
      </c>
      <c r="B14522" s="135">
        <f>YEAR(source[[#This Row],[report_date]])</f>
        <v>2026</v>
      </c>
      <c r="C14522" s="128">
        <f t="shared" si="680"/>
        <v>4</v>
      </c>
      <c r="D14522" s="136">
        <f t="shared" si="679"/>
        <v>15</v>
      </c>
      <c r="E14522" s="136">
        <f t="shared" si="681"/>
        <v>10</v>
      </c>
      <c r="F14522" s="137" t="s">
        <v>24</v>
      </c>
      <c r="G14522" s="128" t="str">
        <f>VLOOKUP(source[[#This Row],[lending_product_transform]],[3]Mapping!$B$4:$C$37,2,0)</f>
        <v>[Cake] - Cashloan</v>
      </c>
      <c r="H14522" s="128" t="str">
        <f>VLOOKUP(source[[#This Row],[lending_product_transform]],[3]Mapping!$B$3:$D$37,3,0)</f>
        <v>cashloan</v>
      </c>
      <c r="I14522" s="137">
        <v>31000000</v>
      </c>
    </row>
    <row r="14523" spans="1:9" x14ac:dyDescent="0.2">
      <c r="A14523" s="134">
        <v>46122</v>
      </c>
      <c r="B14523" s="135">
        <f>YEAR(source[[#This Row],[report_date]])</f>
        <v>2026</v>
      </c>
      <c r="C14523" s="128">
        <f t="shared" si="680"/>
        <v>4</v>
      </c>
      <c r="D14523" s="136">
        <f t="shared" si="679"/>
        <v>15</v>
      </c>
      <c r="E14523" s="136">
        <f t="shared" si="681"/>
        <v>10</v>
      </c>
      <c r="F14523" s="137" t="s">
        <v>24</v>
      </c>
      <c r="G14523" s="128" t="str">
        <f>VLOOKUP(source[[#This Row],[lending_product_transform]],[3]Mapping!$B$4:$C$37,2,0)</f>
        <v>[Cake] - Cashloan</v>
      </c>
      <c r="H14523" s="128" t="str">
        <f>VLOOKUP(source[[#This Row],[lending_product_transform]],[3]Mapping!$B$3:$D$37,3,0)</f>
        <v>cashloan</v>
      </c>
      <c r="I14523" s="137">
        <v>31000000</v>
      </c>
    </row>
    <row r="14524" spans="1:9" x14ac:dyDescent="0.2">
      <c r="A14524" s="134">
        <v>46122</v>
      </c>
      <c r="B14524" s="135">
        <f>YEAR(source[[#This Row],[report_date]])</f>
        <v>2026</v>
      </c>
      <c r="C14524" s="128">
        <f t="shared" si="680"/>
        <v>4</v>
      </c>
      <c r="D14524" s="136">
        <f t="shared" si="679"/>
        <v>15</v>
      </c>
      <c r="E14524" s="136">
        <f t="shared" si="681"/>
        <v>10</v>
      </c>
      <c r="F14524" s="137" t="s">
        <v>24</v>
      </c>
      <c r="G14524" s="128" t="str">
        <f>VLOOKUP(source[[#This Row],[lending_product_transform]],[3]Mapping!$B$4:$C$37,2,0)</f>
        <v>[Cake] - Cashloan</v>
      </c>
      <c r="H14524" s="128" t="str">
        <f>VLOOKUP(source[[#This Row],[lending_product_transform]],[3]Mapping!$B$3:$D$37,3,0)</f>
        <v>cashloan</v>
      </c>
      <c r="I14524" s="137">
        <v>1104220000</v>
      </c>
    </row>
    <row r="14525" spans="1:9" x14ac:dyDescent="0.2">
      <c r="A14525" s="134">
        <v>46122</v>
      </c>
      <c r="B14525" s="135">
        <f>YEAR(source[[#This Row],[report_date]])</f>
        <v>2026</v>
      </c>
      <c r="C14525" s="128">
        <f t="shared" si="680"/>
        <v>4</v>
      </c>
      <c r="D14525" s="136">
        <f t="shared" si="679"/>
        <v>15</v>
      </c>
      <c r="E14525" s="136">
        <f t="shared" si="681"/>
        <v>10</v>
      </c>
      <c r="F14525" s="137" t="s">
        <v>24</v>
      </c>
      <c r="G14525" s="128" t="str">
        <f>VLOOKUP(source[[#This Row],[lending_product_transform]],[3]Mapping!$B$4:$C$37,2,0)</f>
        <v>[Cake] - Cashloan</v>
      </c>
      <c r="H14525" s="128" t="str">
        <f>VLOOKUP(source[[#This Row],[lending_product_transform]],[3]Mapping!$B$3:$D$37,3,0)</f>
        <v>cashloan</v>
      </c>
      <c r="I14525" s="137">
        <v>393660000</v>
      </c>
    </row>
    <row r="14526" spans="1:9" x14ac:dyDescent="0.2">
      <c r="A14526" s="134">
        <v>46122</v>
      </c>
      <c r="B14526" s="135">
        <f>YEAR(source[[#This Row],[report_date]])</f>
        <v>2026</v>
      </c>
      <c r="C14526" s="128">
        <f t="shared" si="680"/>
        <v>4</v>
      </c>
      <c r="D14526" s="136">
        <f t="shared" si="679"/>
        <v>15</v>
      </c>
      <c r="E14526" s="136">
        <f t="shared" si="681"/>
        <v>10</v>
      </c>
      <c r="F14526" s="137" t="s">
        <v>24</v>
      </c>
      <c r="G14526" s="128" t="str">
        <f>VLOOKUP(source[[#This Row],[lending_product_transform]],[3]Mapping!$B$4:$C$37,2,0)</f>
        <v>[Cake] - Cashloan</v>
      </c>
      <c r="H14526" s="128" t="str">
        <f>VLOOKUP(source[[#This Row],[lending_product_transform]],[3]Mapping!$B$3:$D$37,3,0)</f>
        <v>cashloan</v>
      </c>
      <c r="I14526" s="137">
        <v>379675871</v>
      </c>
    </row>
    <row r="14527" spans="1:9" x14ac:dyDescent="0.2">
      <c r="A14527" s="134">
        <v>46122</v>
      </c>
      <c r="B14527" s="135">
        <f>YEAR(source[[#This Row],[report_date]])</f>
        <v>2026</v>
      </c>
      <c r="C14527" s="128">
        <f t="shared" si="680"/>
        <v>4</v>
      </c>
      <c r="D14527" s="136">
        <f t="shared" si="679"/>
        <v>15</v>
      </c>
      <c r="E14527" s="136">
        <f t="shared" si="681"/>
        <v>10</v>
      </c>
      <c r="F14527" s="137" t="s">
        <v>24</v>
      </c>
      <c r="G14527" s="128" t="str">
        <f>VLOOKUP(source[[#This Row],[lending_product_transform]],[3]Mapping!$B$4:$C$37,2,0)</f>
        <v>[Cake] - Cashloan</v>
      </c>
      <c r="H14527" s="128" t="str">
        <f>VLOOKUP(source[[#This Row],[lending_product_transform]],[3]Mapping!$B$3:$D$37,3,0)</f>
        <v>cashloan</v>
      </c>
      <c r="I14527" s="137">
        <v>7207520000</v>
      </c>
    </row>
    <row r="14528" spans="1:9" x14ac:dyDescent="0.2">
      <c r="A14528" s="134">
        <v>46122</v>
      </c>
      <c r="B14528" s="135">
        <f>YEAR(source[[#This Row],[report_date]])</f>
        <v>2026</v>
      </c>
      <c r="C14528" s="128">
        <f t="shared" si="680"/>
        <v>4</v>
      </c>
      <c r="D14528" s="136">
        <f t="shared" si="679"/>
        <v>15</v>
      </c>
      <c r="E14528" s="136">
        <f t="shared" si="681"/>
        <v>10</v>
      </c>
      <c r="F14528" s="137" t="s">
        <v>24</v>
      </c>
      <c r="G14528" s="128" t="str">
        <f>VLOOKUP(source[[#This Row],[lending_product_transform]],[3]Mapping!$B$4:$C$37,2,0)</f>
        <v>[Cake] - Cashloan</v>
      </c>
      <c r="H14528" s="128" t="str">
        <f>VLOOKUP(source[[#This Row],[lending_product_transform]],[3]Mapping!$B$3:$D$37,3,0)</f>
        <v>cashloan</v>
      </c>
      <c r="I14528" s="137">
        <v>3240000</v>
      </c>
    </row>
    <row r="14529" spans="1:9" x14ac:dyDescent="0.2">
      <c r="A14529" s="134">
        <v>46123</v>
      </c>
      <c r="B14529" s="135">
        <f>YEAR(source[[#This Row],[report_date]])</f>
        <v>2026</v>
      </c>
      <c r="C14529" s="128">
        <f t="shared" si="680"/>
        <v>4</v>
      </c>
      <c r="D14529" s="136">
        <f t="shared" si="679"/>
        <v>15</v>
      </c>
      <c r="E14529" s="136">
        <f t="shared" si="681"/>
        <v>11</v>
      </c>
      <c r="F14529" s="137" t="s">
        <v>24</v>
      </c>
      <c r="G14529" s="128" t="str">
        <f>VLOOKUP(source[[#This Row],[lending_product_transform]],[3]Mapping!$B$4:$C$37,2,0)</f>
        <v>[Cake] - Cashloan</v>
      </c>
      <c r="H14529" s="128" t="str">
        <f>VLOOKUP(source[[#This Row],[lending_product_transform]],[3]Mapping!$B$3:$D$37,3,0)</f>
        <v>cashloan</v>
      </c>
      <c r="I14529" s="137">
        <v>563600000</v>
      </c>
    </row>
    <row r="14530" spans="1:9" x14ac:dyDescent="0.2">
      <c r="A14530" s="134">
        <v>46123</v>
      </c>
      <c r="B14530" s="135">
        <f>YEAR(source[[#This Row],[report_date]])</f>
        <v>2026</v>
      </c>
      <c r="C14530" s="128">
        <f t="shared" si="680"/>
        <v>4</v>
      </c>
      <c r="D14530" s="136">
        <f t="shared" si="679"/>
        <v>15</v>
      </c>
      <c r="E14530" s="136">
        <f t="shared" si="681"/>
        <v>11</v>
      </c>
      <c r="F14530" s="137" t="s">
        <v>24</v>
      </c>
      <c r="G14530" s="128" t="str">
        <f>VLOOKUP(source[[#This Row],[lending_product_transform]],[3]Mapping!$B$4:$C$37,2,0)</f>
        <v>[Cake] - Cashloan</v>
      </c>
      <c r="H14530" s="128" t="str">
        <f>VLOOKUP(source[[#This Row],[lending_product_transform]],[3]Mapping!$B$3:$D$37,3,0)</f>
        <v>cashloan</v>
      </c>
      <c r="I14530" s="137">
        <v>265177744</v>
      </c>
    </row>
    <row r="14531" spans="1:9" x14ac:dyDescent="0.2">
      <c r="A14531" s="134">
        <v>46123</v>
      </c>
      <c r="B14531" s="135">
        <f>YEAR(source[[#This Row],[report_date]])</f>
        <v>2026</v>
      </c>
      <c r="C14531" s="128">
        <f t="shared" si="680"/>
        <v>4</v>
      </c>
      <c r="D14531" s="136">
        <f t="shared" si="679"/>
        <v>15</v>
      </c>
      <c r="E14531" s="136">
        <f t="shared" si="681"/>
        <v>11</v>
      </c>
      <c r="F14531" s="137" t="s">
        <v>24</v>
      </c>
      <c r="G14531" s="128" t="str">
        <f>VLOOKUP(source[[#This Row],[lending_product_transform]],[3]Mapping!$B$4:$C$37,2,0)</f>
        <v>[Cake] - Cashloan</v>
      </c>
      <c r="H14531" s="128" t="str">
        <f>VLOOKUP(source[[#This Row],[lending_product_transform]],[3]Mapping!$B$3:$D$37,3,0)</f>
        <v>cashloan</v>
      </c>
      <c r="I14531" s="137">
        <v>13512620000</v>
      </c>
    </row>
    <row r="14532" spans="1:9" x14ac:dyDescent="0.2">
      <c r="A14532" s="134">
        <v>46123</v>
      </c>
      <c r="B14532" s="135">
        <f>YEAR(source[[#This Row],[report_date]])</f>
        <v>2026</v>
      </c>
      <c r="C14532" s="128">
        <f t="shared" si="680"/>
        <v>4</v>
      </c>
      <c r="D14532" s="136">
        <f t="shared" si="679"/>
        <v>15</v>
      </c>
      <c r="E14532" s="136">
        <f t="shared" si="681"/>
        <v>11</v>
      </c>
      <c r="F14532" s="137" t="s">
        <v>24</v>
      </c>
      <c r="G14532" s="128" t="str">
        <f>VLOOKUP(source[[#This Row],[lending_product_transform]],[3]Mapping!$B$4:$C$37,2,0)</f>
        <v>[Cake] - Cashloan</v>
      </c>
      <c r="H14532" s="128" t="str">
        <f>VLOOKUP(source[[#This Row],[lending_product_transform]],[3]Mapping!$B$3:$D$37,3,0)</f>
        <v>cashloan</v>
      </c>
      <c r="I14532" s="137">
        <v>1393909416</v>
      </c>
    </row>
    <row r="14533" spans="1:9" x14ac:dyDescent="0.2">
      <c r="A14533" s="134">
        <v>46123</v>
      </c>
      <c r="B14533" s="135">
        <f>YEAR(source[[#This Row],[report_date]])</f>
        <v>2026</v>
      </c>
      <c r="C14533" s="128">
        <f t="shared" si="680"/>
        <v>4</v>
      </c>
      <c r="D14533" s="136">
        <f t="shared" si="679"/>
        <v>15</v>
      </c>
      <c r="E14533" s="136">
        <f t="shared" si="681"/>
        <v>11</v>
      </c>
      <c r="F14533" s="137" t="s">
        <v>24</v>
      </c>
      <c r="G14533" s="128" t="str">
        <f>VLOOKUP(source[[#This Row],[lending_product_transform]],[3]Mapping!$B$4:$C$37,2,0)</f>
        <v>[Cake] - Cashloan</v>
      </c>
      <c r="H14533" s="128" t="str">
        <f>VLOOKUP(source[[#This Row],[lending_product_transform]],[3]Mapping!$B$3:$D$37,3,0)</f>
        <v>cashloan</v>
      </c>
      <c r="I14533" s="137">
        <v>15474348000</v>
      </c>
    </row>
    <row r="14534" spans="1:9" x14ac:dyDescent="0.2">
      <c r="A14534" s="134">
        <v>46123</v>
      </c>
      <c r="B14534" s="135">
        <f>YEAR(source[[#This Row],[report_date]])</f>
        <v>2026</v>
      </c>
      <c r="C14534" s="128">
        <f t="shared" si="680"/>
        <v>4</v>
      </c>
      <c r="D14534" s="136">
        <f t="shared" si="679"/>
        <v>15</v>
      </c>
      <c r="E14534" s="136">
        <f t="shared" si="681"/>
        <v>11</v>
      </c>
      <c r="F14534" s="137" t="s">
        <v>24</v>
      </c>
      <c r="G14534" s="128" t="str">
        <f>VLOOKUP(source[[#This Row],[lending_product_transform]],[3]Mapping!$B$4:$C$37,2,0)</f>
        <v>[Cake] - Cashloan</v>
      </c>
      <c r="H14534" s="128" t="str">
        <f>VLOOKUP(source[[#This Row],[lending_product_transform]],[3]Mapping!$B$3:$D$37,3,0)</f>
        <v>cashloan</v>
      </c>
      <c r="I14534" s="137">
        <v>0</v>
      </c>
    </row>
    <row r="14535" spans="1:9" x14ac:dyDescent="0.2">
      <c r="A14535" s="134">
        <v>46123</v>
      </c>
      <c r="B14535" s="135">
        <f>YEAR(source[[#This Row],[report_date]])</f>
        <v>2026</v>
      </c>
      <c r="C14535" s="128">
        <f t="shared" si="680"/>
        <v>4</v>
      </c>
      <c r="D14535" s="136">
        <f t="shared" si="679"/>
        <v>15</v>
      </c>
      <c r="E14535" s="136">
        <f t="shared" si="681"/>
        <v>11</v>
      </c>
      <c r="F14535" s="137" t="s">
        <v>24</v>
      </c>
      <c r="G14535" s="128" t="str">
        <f>VLOOKUP(source[[#This Row],[lending_product_transform]],[3]Mapping!$B$4:$C$37,2,0)</f>
        <v>[Cake] - Cashloan</v>
      </c>
      <c r="H14535" s="128" t="str">
        <f>VLOOKUP(source[[#This Row],[lending_product_transform]],[3]Mapping!$B$3:$D$37,3,0)</f>
        <v>cashloan</v>
      </c>
      <c r="I14535" s="137">
        <v>90000000</v>
      </c>
    </row>
    <row r="14536" spans="1:9" x14ac:dyDescent="0.2">
      <c r="A14536" s="134">
        <v>46123</v>
      </c>
      <c r="B14536" s="135">
        <f>YEAR(source[[#This Row],[report_date]])</f>
        <v>2026</v>
      </c>
      <c r="C14536" s="128">
        <f t="shared" si="680"/>
        <v>4</v>
      </c>
      <c r="D14536" s="136">
        <f t="shared" si="679"/>
        <v>15</v>
      </c>
      <c r="E14536" s="136">
        <f t="shared" si="681"/>
        <v>11</v>
      </c>
      <c r="F14536" s="137" t="s">
        <v>24</v>
      </c>
      <c r="G14536" s="128" t="str">
        <f>VLOOKUP(source[[#This Row],[lending_product_transform]],[3]Mapping!$B$4:$C$37,2,0)</f>
        <v>[Cake] - Cashloan</v>
      </c>
      <c r="H14536" s="128" t="str">
        <f>VLOOKUP(source[[#This Row],[lending_product_transform]],[3]Mapping!$B$3:$D$37,3,0)</f>
        <v>cashloan</v>
      </c>
      <c r="I14536" s="137">
        <v>3246320000</v>
      </c>
    </row>
    <row r="14537" spans="1:9" x14ac:dyDescent="0.2">
      <c r="A14537" s="134">
        <v>46123</v>
      </c>
      <c r="B14537" s="135">
        <f>YEAR(source[[#This Row],[report_date]])</f>
        <v>2026</v>
      </c>
      <c r="C14537" s="128">
        <f t="shared" si="680"/>
        <v>4</v>
      </c>
      <c r="D14537" s="136">
        <f t="shared" si="679"/>
        <v>15</v>
      </c>
      <c r="E14537" s="136">
        <f t="shared" si="681"/>
        <v>11</v>
      </c>
      <c r="F14537" s="137" t="s">
        <v>24</v>
      </c>
      <c r="G14537" s="128" t="str">
        <f>VLOOKUP(source[[#This Row],[lending_product_transform]],[3]Mapping!$B$4:$C$37,2,0)</f>
        <v>[Cake] - Cashloan</v>
      </c>
      <c r="H14537" s="128" t="str">
        <f>VLOOKUP(source[[#This Row],[lending_product_transform]],[3]Mapping!$B$3:$D$37,3,0)</f>
        <v>cashloan</v>
      </c>
      <c r="I14537" s="137">
        <v>726040000</v>
      </c>
    </row>
    <row r="14538" spans="1:9" x14ac:dyDescent="0.2">
      <c r="A14538" s="134">
        <v>46123</v>
      </c>
      <c r="B14538" s="135">
        <f>YEAR(source[[#This Row],[report_date]])</f>
        <v>2026</v>
      </c>
      <c r="C14538" s="128">
        <f t="shared" si="680"/>
        <v>4</v>
      </c>
      <c r="D14538" s="136">
        <f t="shared" si="679"/>
        <v>15</v>
      </c>
      <c r="E14538" s="136">
        <f t="shared" si="681"/>
        <v>11</v>
      </c>
      <c r="F14538" s="137" t="s">
        <v>24</v>
      </c>
      <c r="G14538" s="128" t="str">
        <f>VLOOKUP(source[[#This Row],[lending_product_transform]],[3]Mapping!$B$4:$C$37,2,0)</f>
        <v>[Cake] - Cashloan</v>
      </c>
      <c r="H14538" s="128" t="str">
        <f>VLOOKUP(source[[#This Row],[lending_product_transform]],[3]Mapping!$B$3:$D$37,3,0)</f>
        <v>cashloan</v>
      </c>
      <c r="I14538" s="137">
        <v>2678744</v>
      </c>
    </row>
    <row r="14539" spans="1:9" x14ac:dyDescent="0.2">
      <c r="A14539" s="134">
        <v>46123</v>
      </c>
      <c r="B14539" s="135">
        <f>YEAR(source[[#This Row],[report_date]])</f>
        <v>2026</v>
      </c>
      <c r="C14539" s="128">
        <f t="shared" si="680"/>
        <v>4</v>
      </c>
      <c r="D14539" s="136">
        <f t="shared" si="679"/>
        <v>15</v>
      </c>
      <c r="E14539" s="136">
        <f t="shared" si="681"/>
        <v>11</v>
      </c>
      <c r="F14539" s="137" t="s">
        <v>24</v>
      </c>
      <c r="G14539" s="128" t="str">
        <f>VLOOKUP(source[[#This Row],[lending_product_transform]],[3]Mapping!$B$4:$C$37,2,0)</f>
        <v>[Cake] - Cashloan</v>
      </c>
      <c r="H14539" s="128" t="str">
        <f>VLOOKUP(source[[#This Row],[lending_product_transform]],[3]Mapping!$B$3:$D$37,3,0)</f>
        <v>cashloan</v>
      </c>
      <c r="I14539" s="137">
        <v>1437630222</v>
      </c>
    </row>
    <row r="14540" spans="1:9" x14ac:dyDescent="0.2">
      <c r="A14540" s="134">
        <v>46123</v>
      </c>
      <c r="B14540" s="135">
        <f>YEAR(source[[#This Row],[report_date]])</f>
        <v>2026</v>
      </c>
      <c r="C14540" s="128">
        <f t="shared" si="680"/>
        <v>4</v>
      </c>
      <c r="D14540" s="136">
        <f t="shared" si="679"/>
        <v>15</v>
      </c>
      <c r="E14540" s="136">
        <f t="shared" si="681"/>
        <v>11</v>
      </c>
      <c r="F14540" s="137" t="s">
        <v>24</v>
      </c>
      <c r="G14540" s="128" t="str">
        <f>VLOOKUP(source[[#This Row],[lending_product_transform]],[3]Mapping!$B$4:$C$37,2,0)</f>
        <v>[Cake] - Cashloan</v>
      </c>
      <c r="H14540" s="128" t="str">
        <f>VLOOKUP(source[[#This Row],[lending_product_transform]],[3]Mapping!$B$3:$D$37,3,0)</f>
        <v>cashloan</v>
      </c>
      <c r="I14540" s="137">
        <v>0</v>
      </c>
    </row>
    <row r="14541" spans="1:9" x14ac:dyDescent="0.2">
      <c r="A14541" s="134">
        <v>46123</v>
      </c>
      <c r="B14541" s="135">
        <f>YEAR(source[[#This Row],[report_date]])</f>
        <v>2026</v>
      </c>
      <c r="C14541" s="128">
        <f t="shared" si="680"/>
        <v>4</v>
      </c>
      <c r="D14541" s="136">
        <f t="shared" si="679"/>
        <v>15</v>
      </c>
      <c r="E14541" s="136">
        <f t="shared" si="681"/>
        <v>11</v>
      </c>
      <c r="F14541" s="137" t="s">
        <v>24</v>
      </c>
      <c r="G14541" s="128" t="str">
        <f>VLOOKUP(source[[#This Row],[lending_product_transform]],[3]Mapping!$B$4:$C$37,2,0)</f>
        <v>[Cake] - Cashloan</v>
      </c>
      <c r="H14541" s="128" t="str">
        <f>VLOOKUP(source[[#This Row],[lending_product_transform]],[3]Mapping!$B$3:$D$37,3,0)</f>
        <v>cashloan</v>
      </c>
      <c r="I14541" s="137">
        <v>10000000</v>
      </c>
    </row>
    <row r="14542" spans="1:9" x14ac:dyDescent="0.2">
      <c r="A14542" s="134">
        <v>46123</v>
      </c>
      <c r="B14542" s="135">
        <f>YEAR(source[[#This Row],[report_date]])</f>
        <v>2026</v>
      </c>
      <c r="C14542" s="128">
        <f t="shared" si="680"/>
        <v>4</v>
      </c>
      <c r="D14542" s="136">
        <f t="shared" si="679"/>
        <v>15</v>
      </c>
      <c r="E14542" s="136">
        <f t="shared" si="681"/>
        <v>11</v>
      </c>
      <c r="F14542" s="137" t="s">
        <v>24</v>
      </c>
      <c r="G14542" s="128" t="str">
        <f>VLOOKUP(source[[#This Row],[lending_product_transform]],[3]Mapping!$B$4:$C$37,2,0)</f>
        <v>[Cake] - Cashloan</v>
      </c>
      <c r="H14542" s="128" t="str">
        <f>VLOOKUP(source[[#This Row],[lending_product_transform]],[3]Mapping!$B$3:$D$37,3,0)</f>
        <v>cashloan</v>
      </c>
      <c r="I14542" s="137">
        <v>0</v>
      </c>
    </row>
    <row r="14543" spans="1:9" x14ac:dyDescent="0.2">
      <c r="A14543" s="134">
        <v>46123</v>
      </c>
      <c r="B14543" s="135">
        <f>YEAR(source[[#This Row],[report_date]])</f>
        <v>2026</v>
      </c>
      <c r="C14543" s="128">
        <f t="shared" si="680"/>
        <v>4</v>
      </c>
      <c r="D14543" s="136">
        <f t="shared" si="679"/>
        <v>15</v>
      </c>
      <c r="E14543" s="136">
        <f t="shared" si="681"/>
        <v>11</v>
      </c>
      <c r="F14543" s="137" t="s">
        <v>24</v>
      </c>
      <c r="G14543" s="128" t="str">
        <f>VLOOKUP(source[[#This Row],[lending_product_transform]],[3]Mapping!$B$4:$C$37,2,0)</f>
        <v>[Cake] - Cashloan</v>
      </c>
      <c r="H14543" s="128" t="str">
        <f>VLOOKUP(source[[#This Row],[lending_product_transform]],[3]Mapping!$B$3:$D$37,3,0)</f>
        <v>cashloan</v>
      </c>
      <c r="I14543" s="137">
        <v>16632280000</v>
      </c>
    </row>
    <row r="14544" spans="1:9" x14ac:dyDescent="0.2">
      <c r="A14544" s="134">
        <v>46123</v>
      </c>
      <c r="B14544" s="135">
        <f>YEAR(source[[#This Row],[report_date]])</f>
        <v>2026</v>
      </c>
      <c r="C14544" s="128">
        <f t="shared" si="680"/>
        <v>4</v>
      </c>
      <c r="D14544" s="136">
        <f t="shared" si="679"/>
        <v>15</v>
      </c>
      <c r="E14544" s="136">
        <f t="shared" si="681"/>
        <v>11</v>
      </c>
      <c r="F14544" s="137" t="s">
        <v>24</v>
      </c>
      <c r="G14544" s="128" t="str">
        <f>VLOOKUP(source[[#This Row],[lending_product_transform]],[3]Mapping!$B$4:$C$37,2,0)</f>
        <v>[Cake] - Cashloan</v>
      </c>
      <c r="H14544" s="128" t="str">
        <f>VLOOKUP(source[[#This Row],[lending_product_transform]],[3]Mapping!$B$3:$D$37,3,0)</f>
        <v>cashloan</v>
      </c>
      <c r="I14544" s="137">
        <v>0</v>
      </c>
    </row>
    <row r="14545" spans="1:9" x14ac:dyDescent="0.2">
      <c r="A14545" s="134">
        <v>46123</v>
      </c>
      <c r="B14545" s="135">
        <f>YEAR(source[[#This Row],[report_date]])</f>
        <v>2026</v>
      </c>
      <c r="C14545" s="128">
        <f t="shared" si="680"/>
        <v>4</v>
      </c>
      <c r="D14545" s="136">
        <f t="shared" ref="D14545:D14608" si="682">WEEKNUM(A14545,2)</f>
        <v>15</v>
      </c>
      <c r="E14545" s="136">
        <f t="shared" si="681"/>
        <v>11</v>
      </c>
      <c r="F14545" s="137" t="s">
        <v>24</v>
      </c>
      <c r="G14545" s="128" t="str">
        <f>VLOOKUP(source[[#This Row],[lending_product_transform]],[3]Mapping!$B$4:$C$37,2,0)</f>
        <v>[Cake] - Cashloan</v>
      </c>
      <c r="H14545" s="128" t="str">
        <f>VLOOKUP(source[[#This Row],[lending_product_transform]],[3]Mapping!$B$3:$D$37,3,0)</f>
        <v>cashloan</v>
      </c>
      <c r="I14545" s="137">
        <v>0</v>
      </c>
    </row>
    <row r="14546" spans="1:9" x14ac:dyDescent="0.2">
      <c r="A14546" s="134">
        <v>46123</v>
      </c>
      <c r="B14546" s="135">
        <f>YEAR(source[[#This Row],[report_date]])</f>
        <v>2026</v>
      </c>
      <c r="C14546" s="128">
        <f t="shared" si="680"/>
        <v>4</v>
      </c>
      <c r="D14546" s="136">
        <f t="shared" si="682"/>
        <v>15</v>
      </c>
      <c r="E14546" s="136">
        <f t="shared" si="681"/>
        <v>11</v>
      </c>
      <c r="F14546" s="137" t="s">
        <v>24</v>
      </c>
      <c r="G14546" s="128" t="str">
        <f>VLOOKUP(source[[#This Row],[lending_product_transform]],[3]Mapping!$B$4:$C$37,2,0)</f>
        <v>[Cake] - Cashloan</v>
      </c>
      <c r="H14546" s="128" t="str">
        <f>VLOOKUP(source[[#This Row],[lending_product_transform]],[3]Mapping!$B$3:$D$37,3,0)</f>
        <v>cashloan</v>
      </c>
      <c r="I14546" s="137">
        <v>0</v>
      </c>
    </row>
    <row r="14547" spans="1:9" x14ac:dyDescent="0.2">
      <c r="A14547" s="134">
        <v>46123</v>
      </c>
      <c r="B14547" s="135">
        <f>YEAR(source[[#This Row],[report_date]])</f>
        <v>2026</v>
      </c>
      <c r="C14547" s="128">
        <f t="shared" si="680"/>
        <v>4</v>
      </c>
      <c r="D14547" s="136">
        <f t="shared" si="682"/>
        <v>15</v>
      </c>
      <c r="E14547" s="136">
        <f t="shared" si="681"/>
        <v>11</v>
      </c>
      <c r="F14547" s="137" t="s">
        <v>24</v>
      </c>
      <c r="G14547" s="128" t="str">
        <f>VLOOKUP(source[[#This Row],[lending_product_transform]],[3]Mapping!$B$4:$C$37,2,0)</f>
        <v>[Cake] - Cashloan</v>
      </c>
      <c r="H14547" s="128" t="str">
        <f>VLOOKUP(source[[#This Row],[lending_product_transform]],[3]Mapping!$B$3:$D$37,3,0)</f>
        <v>cashloan</v>
      </c>
      <c r="I14547" s="137">
        <v>0</v>
      </c>
    </row>
    <row r="14548" spans="1:9" x14ac:dyDescent="0.2">
      <c r="A14548" s="134">
        <v>46123</v>
      </c>
      <c r="B14548" s="135">
        <f>YEAR(source[[#This Row],[report_date]])</f>
        <v>2026</v>
      </c>
      <c r="C14548" s="128">
        <f t="shared" si="680"/>
        <v>4</v>
      </c>
      <c r="D14548" s="136">
        <f t="shared" si="682"/>
        <v>15</v>
      </c>
      <c r="E14548" s="136">
        <f t="shared" si="681"/>
        <v>11</v>
      </c>
      <c r="F14548" s="137" t="s">
        <v>24</v>
      </c>
      <c r="G14548" s="128" t="str">
        <f>VLOOKUP(source[[#This Row],[lending_product_transform]],[3]Mapping!$B$4:$C$37,2,0)</f>
        <v>[Cake] - Cashloan</v>
      </c>
      <c r="H14548" s="128" t="str">
        <f>VLOOKUP(source[[#This Row],[lending_product_transform]],[3]Mapping!$B$3:$D$37,3,0)</f>
        <v>cashloan</v>
      </c>
      <c r="I14548" s="137">
        <v>12623040000</v>
      </c>
    </row>
    <row r="14549" spans="1:9" x14ac:dyDescent="0.2">
      <c r="A14549" s="134">
        <v>46123</v>
      </c>
      <c r="B14549" s="135">
        <f>YEAR(source[[#This Row],[report_date]])</f>
        <v>2026</v>
      </c>
      <c r="C14549" s="128">
        <f t="shared" si="680"/>
        <v>4</v>
      </c>
      <c r="D14549" s="136">
        <f t="shared" si="682"/>
        <v>15</v>
      </c>
      <c r="E14549" s="136">
        <f t="shared" si="681"/>
        <v>11</v>
      </c>
      <c r="F14549" s="137" t="s">
        <v>24</v>
      </c>
      <c r="G14549" s="128" t="str">
        <f>VLOOKUP(source[[#This Row],[lending_product_transform]],[3]Mapping!$B$4:$C$37,2,0)</f>
        <v>[Cake] - Cashloan</v>
      </c>
      <c r="H14549" s="128" t="str">
        <f>VLOOKUP(source[[#This Row],[lending_product_transform]],[3]Mapping!$B$3:$D$37,3,0)</f>
        <v>cashloan</v>
      </c>
      <c r="I14549" s="137">
        <v>187797328</v>
      </c>
    </row>
    <row r="14550" spans="1:9" x14ac:dyDescent="0.2">
      <c r="A14550" s="134">
        <v>46123</v>
      </c>
      <c r="B14550" s="135">
        <f>YEAR(source[[#This Row],[report_date]])</f>
        <v>2026</v>
      </c>
      <c r="C14550" s="128">
        <f t="shared" si="680"/>
        <v>4</v>
      </c>
      <c r="D14550" s="136">
        <f t="shared" si="682"/>
        <v>15</v>
      </c>
      <c r="E14550" s="136">
        <f t="shared" si="681"/>
        <v>11</v>
      </c>
      <c r="F14550" s="137" t="s">
        <v>24</v>
      </c>
      <c r="G14550" s="128" t="str">
        <f>VLOOKUP(source[[#This Row],[lending_product_transform]],[3]Mapping!$B$4:$C$37,2,0)</f>
        <v>[Cake] - Cashloan</v>
      </c>
      <c r="H14550" s="128" t="str">
        <f>VLOOKUP(source[[#This Row],[lending_product_transform]],[3]Mapping!$B$3:$D$37,3,0)</f>
        <v>cashloan</v>
      </c>
      <c r="I14550" s="137">
        <v>57750000</v>
      </c>
    </row>
    <row r="14551" spans="1:9" x14ac:dyDescent="0.2">
      <c r="A14551" s="134">
        <v>46123</v>
      </c>
      <c r="B14551" s="135">
        <f>YEAR(source[[#This Row],[report_date]])</f>
        <v>2026</v>
      </c>
      <c r="C14551" s="128">
        <f t="shared" si="680"/>
        <v>4</v>
      </c>
      <c r="D14551" s="136">
        <f t="shared" si="682"/>
        <v>15</v>
      </c>
      <c r="E14551" s="136">
        <f t="shared" si="681"/>
        <v>11</v>
      </c>
      <c r="F14551" s="137" t="s">
        <v>24</v>
      </c>
      <c r="G14551" s="128" t="str">
        <f>VLOOKUP(source[[#This Row],[lending_product_transform]],[3]Mapping!$B$4:$C$37,2,0)</f>
        <v>[Cake] - Cashloan</v>
      </c>
      <c r="H14551" s="128" t="str">
        <f>VLOOKUP(source[[#This Row],[lending_product_transform]],[3]Mapping!$B$3:$D$37,3,0)</f>
        <v>cashloan</v>
      </c>
      <c r="I14551" s="137">
        <v>30000000</v>
      </c>
    </row>
    <row r="14552" spans="1:9" x14ac:dyDescent="0.2">
      <c r="A14552" s="134">
        <v>46123</v>
      </c>
      <c r="B14552" s="135">
        <f>YEAR(source[[#This Row],[report_date]])</f>
        <v>2026</v>
      </c>
      <c r="C14552" s="128">
        <f t="shared" si="680"/>
        <v>4</v>
      </c>
      <c r="D14552" s="136">
        <f t="shared" si="682"/>
        <v>15</v>
      </c>
      <c r="E14552" s="136">
        <f t="shared" si="681"/>
        <v>11</v>
      </c>
      <c r="F14552" s="137" t="s">
        <v>24</v>
      </c>
      <c r="G14552" s="128" t="str">
        <f>VLOOKUP(source[[#This Row],[lending_product_transform]],[3]Mapping!$B$4:$C$37,2,0)</f>
        <v>[Cake] - Cashloan</v>
      </c>
      <c r="H14552" s="128" t="str">
        <f>VLOOKUP(source[[#This Row],[lending_product_transform]],[3]Mapping!$B$3:$D$37,3,0)</f>
        <v>cashloan</v>
      </c>
      <c r="I14552" s="137">
        <v>626120000</v>
      </c>
    </row>
    <row r="14553" spans="1:9" x14ac:dyDescent="0.2">
      <c r="A14553" s="134">
        <v>46123</v>
      </c>
      <c r="B14553" s="135">
        <f>YEAR(source[[#This Row],[report_date]])</f>
        <v>2026</v>
      </c>
      <c r="C14553" s="128">
        <f t="shared" si="680"/>
        <v>4</v>
      </c>
      <c r="D14553" s="136">
        <f t="shared" si="682"/>
        <v>15</v>
      </c>
      <c r="E14553" s="136">
        <f t="shared" si="681"/>
        <v>11</v>
      </c>
      <c r="F14553" s="137" t="s">
        <v>24</v>
      </c>
      <c r="G14553" s="128" t="str">
        <f>VLOOKUP(source[[#This Row],[lending_product_transform]],[3]Mapping!$B$4:$C$37,2,0)</f>
        <v>[Cake] - Cashloan</v>
      </c>
      <c r="H14553" s="128" t="str">
        <f>VLOOKUP(source[[#This Row],[lending_product_transform]],[3]Mapping!$B$3:$D$37,3,0)</f>
        <v>cashloan</v>
      </c>
      <c r="I14553" s="137">
        <v>302292000</v>
      </c>
    </row>
    <row r="14554" spans="1:9" x14ac:dyDescent="0.2">
      <c r="A14554" s="134">
        <v>46123</v>
      </c>
      <c r="B14554" s="135">
        <f>YEAR(source[[#This Row],[report_date]])</f>
        <v>2026</v>
      </c>
      <c r="C14554" s="128">
        <f t="shared" si="680"/>
        <v>4</v>
      </c>
      <c r="D14554" s="136">
        <f t="shared" si="682"/>
        <v>15</v>
      </c>
      <c r="E14554" s="136">
        <f t="shared" si="681"/>
        <v>11</v>
      </c>
      <c r="F14554" s="137" t="s">
        <v>24</v>
      </c>
      <c r="G14554" s="128" t="str">
        <f>VLOOKUP(source[[#This Row],[lending_product_transform]],[3]Mapping!$B$4:$C$37,2,0)</f>
        <v>[Cake] - Cashloan</v>
      </c>
      <c r="H14554" s="128" t="str">
        <f>VLOOKUP(source[[#This Row],[lending_product_transform]],[3]Mapping!$B$3:$D$37,3,0)</f>
        <v>cashloan</v>
      </c>
      <c r="I14554" s="137">
        <v>323468087</v>
      </c>
    </row>
    <row r="14555" spans="1:9" x14ac:dyDescent="0.2">
      <c r="A14555" s="134">
        <v>46123</v>
      </c>
      <c r="B14555" s="135">
        <f>YEAR(source[[#This Row],[report_date]])</f>
        <v>2026</v>
      </c>
      <c r="C14555" s="128">
        <f t="shared" si="680"/>
        <v>4</v>
      </c>
      <c r="D14555" s="136">
        <f t="shared" si="682"/>
        <v>15</v>
      </c>
      <c r="E14555" s="136">
        <f t="shared" si="681"/>
        <v>11</v>
      </c>
      <c r="F14555" s="137" t="s">
        <v>24</v>
      </c>
      <c r="G14555" s="128" t="str">
        <f>VLOOKUP(source[[#This Row],[lending_product_transform]],[3]Mapping!$B$4:$C$37,2,0)</f>
        <v>[Cake] - Cashloan</v>
      </c>
      <c r="H14555" s="128" t="str">
        <f>VLOOKUP(source[[#This Row],[lending_product_transform]],[3]Mapping!$B$3:$D$37,3,0)</f>
        <v>cashloan</v>
      </c>
      <c r="I14555" s="137">
        <v>5508250000</v>
      </c>
    </row>
    <row r="14556" spans="1:9" x14ac:dyDescent="0.2">
      <c r="A14556" s="134">
        <v>46123</v>
      </c>
      <c r="B14556" s="135">
        <f>YEAR(source[[#This Row],[report_date]])</f>
        <v>2026</v>
      </c>
      <c r="C14556" s="128">
        <f t="shared" si="680"/>
        <v>4</v>
      </c>
      <c r="D14556" s="136">
        <f t="shared" si="682"/>
        <v>15</v>
      </c>
      <c r="E14556" s="136">
        <f t="shared" si="681"/>
        <v>11</v>
      </c>
      <c r="F14556" s="137" t="s">
        <v>24</v>
      </c>
      <c r="G14556" s="128" t="str">
        <f>VLOOKUP(source[[#This Row],[lending_product_transform]],[3]Mapping!$B$4:$C$37,2,0)</f>
        <v>[Cake] - Cashloan</v>
      </c>
      <c r="H14556" s="128" t="str">
        <f>VLOOKUP(source[[#This Row],[lending_product_transform]],[3]Mapping!$B$3:$D$37,3,0)</f>
        <v>cashloan</v>
      </c>
      <c r="I14556" s="137">
        <v>0</v>
      </c>
    </row>
    <row r="14557" spans="1:9" x14ac:dyDescent="0.2">
      <c r="A14557" s="134">
        <v>46124</v>
      </c>
      <c r="B14557" s="135">
        <f>YEAR(source[[#This Row],[report_date]])</f>
        <v>2026</v>
      </c>
      <c r="C14557" s="128">
        <f t="shared" si="680"/>
        <v>4</v>
      </c>
      <c r="D14557" s="136">
        <f t="shared" si="682"/>
        <v>15</v>
      </c>
      <c r="E14557" s="136">
        <f t="shared" si="681"/>
        <v>12</v>
      </c>
      <c r="F14557" s="137" t="s">
        <v>24</v>
      </c>
      <c r="G14557" s="128" t="str">
        <f>VLOOKUP(source[[#This Row],[lending_product_transform]],[3]Mapping!$B$4:$C$37,2,0)</f>
        <v>[Cake] - Cashloan</v>
      </c>
      <c r="H14557" s="128" t="str">
        <f>VLOOKUP(source[[#This Row],[lending_product_transform]],[3]Mapping!$B$3:$D$37,3,0)</f>
        <v>cashloan</v>
      </c>
      <c r="I14557" s="137">
        <v>671250000</v>
      </c>
    </row>
    <row r="14558" spans="1:9" x14ac:dyDescent="0.2">
      <c r="A14558" s="134">
        <v>46124</v>
      </c>
      <c r="B14558" s="135">
        <f>YEAR(source[[#This Row],[report_date]])</f>
        <v>2026</v>
      </c>
      <c r="C14558" s="128">
        <f t="shared" si="680"/>
        <v>4</v>
      </c>
      <c r="D14558" s="136">
        <f t="shared" si="682"/>
        <v>15</v>
      </c>
      <c r="E14558" s="136">
        <f t="shared" si="681"/>
        <v>12</v>
      </c>
      <c r="F14558" s="137" t="s">
        <v>24</v>
      </c>
      <c r="G14558" s="128" t="str">
        <f>VLOOKUP(source[[#This Row],[lending_product_transform]],[3]Mapping!$B$4:$C$37,2,0)</f>
        <v>[Cake] - Cashloan</v>
      </c>
      <c r="H14558" s="128" t="str">
        <f>VLOOKUP(source[[#This Row],[lending_product_transform]],[3]Mapping!$B$3:$D$37,3,0)</f>
        <v>cashloan</v>
      </c>
      <c r="I14558" s="137">
        <v>316296496</v>
      </c>
    </row>
    <row r="14559" spans="1:9" x14ac:dyDescent="0.2">
      <c r="A14559" s="134">
        <v>46124</v>
      </c>
      <c r="B14559" s="135">
        <f>YEAR(source[[#This Row],[report_date]])</f>
        <v>2026</v>
      </c>
      <c r="C14559" s="128">
        <f t="shared" si="680"/>
        <v>4</v>
      </c>
      <c r="D14559" s="136">
        <f t="shared" si="682"/>
        <v>15</v>
      </c>
      <c r="E14559" s="136">
        <f t="shared" si="681"/>
        <v>12</v>
      </c>
      <c r="F14559" s="137" t="s">
        <v>24</v>
      </c>
      <c r="G14559" s="128" t="str">
        <f>VLOOKUP(source[[#This Row],[lending_product_transform]],[3]Mapping!$B$4:$C$37,2,0)</f>
        <v>[Cake] - Cashloan</v>
      </c>
      <c r="H14559" s="128" t="str">
        <f>VLOOKUP(source[[#This Row],[lending_product_transform]],[3]Mapping!$B$3:$D$37,3,0)</f>
        <v>cashloan</v>
      </c>
      <c r="I14559" s="137">
        <v>10894830000</v>
      </c>
    </row>
    <row r="14560" spans="1:9" x14ac:dyDescent="0.2">
      <c r="A14560" s="134">
        <v>46124</v>
      </c>
      <c r="B14560" s="135">
        <f>YEAR(source[[#This Row],[report_date]])</f>
        <v>2026</v>
      </c>
      <c r="C14560" s="128">
        <f t="shared" si="680"/>
        <v>4</v>
      </c>
      <c r="D14560" s="136">
        <f t="shared" si="682"/>
        <v>15</v>
      </c>
      <c r="E14560" s="136">
        <f t="shared" si="681"/>
        <v>12</v>
      </c>
      <c r="F14560" s="137" t="s">
        <v>24</v>
      </c>
      <c r="G14560" s="128" t="str">
        <f>VLOOKUP(source[[#This Row],[lending_product_transform]],[3]Mapping!$B$4:$C$37,2,0)</f>
        <v>[Cake] - Cashloan</v>
      </c>
      <c r="H14560" s="128" t="str">
        <f>VLOOKUP(source[[#This Row],[lending_product_transform]],[3]Mapping!$B$3:$D$37,3,0)</f>
        <v>cashloan</v>
      </c>
      <c r="I14560" s="137">
        <v>1236101463</v>
      </c>
    </row>
    <row r="14561" spans="1:9" x14ac:dyDescent="0.2">
      <c r="A14561" s="134">
        <v>46124</v>
      </c>
      <c r="B14561" s="135">
        <f>YEAR(source[[#This Row],[report_date]])</f>
        <v>2026</v>
      </c>
      <c r="C14561" s="128">
        <f t="shared" si="680"/>
        <v>4</v>
      </c>
      <c r="D14561" s="136">
        <f t="shared" si="682"/>
        <v>15</v>
      </c>
      <c r="E14561" s="136">
        <f t="shared" si="681"/>
        <v>12</v>
      </c>
      <c r="F14561" s="137" t="s">
        <v>24</v>
      </c>
      <c r="G14561" s="128" t="str">
        <f>VLOOKUP(source[[#This Row],[lending_product_transform]],[3]Mapping!$B$4:$C$37,2,0)</f>
        <v>[Cake] - Cashloan</v>
      </c>
      <c r="H14561" s="128" t="str">
        <f>VLOOKUP(source[[#This Row],[lending_product_transform]],[3]Mapping!$B$3:$D$37,3,0)</f>
        <v>cashloan</v>
      </c>
      <c r="I14561" s="137">
        <v>13592988000</v>
      </c>
    </row>
    <row r="14562" spans="1:9" x14ac:dyDescent="0.2">
      <c r="A14562" s="134">
        <v>46124</v>
      </c>
      <c r="B14562" s="135">
        <f>YEAR(source[[#This Row],[report_date]])</f>
        <v>2026</v>
      </c>
      <c r="C14562" s="128">
        <f t="shared" si="680"/>
        <v>4</v>
      </c>
      <c r="D14562" s="136">
        <f t="shared" si="682"/>
        <v>15</v>
      </c>
      <c r="E14562" s="136">
        <f t="shared" si="681"/>
        <v>12</v>
      </c>
      <c r="F14562" s="137" t="s">
        <v>24</v>
      </c>
      <c r="G14562" s="128" t="str">
        <f>VLOOKUP(source[[#This Row],[lending_product_transform]],[3]Mapping!$B$4:$C$37,2,0)</f>
        <v>[Cake] - Cashloan</v>
      </c>
      <c r="H14562" s="128" t="str">
        <f>VLOOKUP(source[[#This Row],[lending_product_transform]],[3]Mapping!$B$3:$D$37,3,0)</f>
        <v>cashloan</v>
      </c>
      <c r="I14562" s="137">
        <v>0</v>
      </c>
    </row>
    <row r="14563" spans="1:9" x14ac:dyDescent="0.2">
      <c r="A14563" s="134">
        <v>46124</v>
      </c>
      <c r="B14563" s="135">
        <f>YEAR(source[[#This Row],[report_date]])</f>
        <v>2026</v>
      </c>
      <c r="C14563" s="128">
        <f t="shared" si="680"/>
        <v>4</v>
      </c>
      <c r="D14563" s="136">
        <f t="shared" si="682"/>
        <v>15</v>
      </c>
      <c r="E14563" s="136">
        <f t="shared" si="681"/>
        <v>12</v>
      </c>
      <c r="F14563" s="137" t="s">
        <v>24</v>
      </c>
      <c r="G14563" s="128" t="str">
        <f>VLOOKUP(source[[#This Row],[lending_product_transform]],[3]Mapping!$B$4:$C$37,2,0)</f>
        <v>[Cake] - Cashloan</v>
      </c>
      <c r="H14563" s="128" t="str">
        <f>VLOOKUP(source[[#This Row],[lending_product_transform]],[3]Mapping!$B$3:$D$37,3,0)</f>
        <v>cashloan</v>
      </c>
      <c r="I14563" s="137">
        <v>0</v>
      </c>
    </row>
    <row r="14564" spans="1:9" x14ac:dyDescent="0.2">
      <c r="A14564" s="134">
        <v>46124</v>
      </c>
      <c r="B14564" s="135">
        <f>YEAR(source[[#This Row],[report_date]])</f>
        <v>2026</v>
      </c>
      <c r="C14564" s="128">
        <f t="shared" si="680"/>
        <v>4</v>
      </c>
      <c r="D14564" s="136">
        <f t="shared" si="682"/>
        <v>15</v>
      </c>
      <c r="E14564" s="136">
        <f t="shared" si="681"/>
        <v>12</v>
      </c>
      <c r="F14564" s="137" t="s">
        <v>24</v>
      </c>
      <c r="G14564" s="128" t="str">
        <f>VLOOKUP(source[[#This Row],[lending_product_transform]],[3]Mapping!$B$4:$C$37,2,0)</f>
        <v>[Cake] - Cashloan</v>
      </c>
      <c r="H14564" s="128" t="str">
        <f>VLOOKUP(source[[#This Row],[lending_product_transform]],[3]Mapping!$B$3:$D$37,3,0)</f>
        <v>cashloan</v>
      </c>
      <c r="I14564" s="137">
        <v>3536440000</v>
      </c>
    </row>
    <row r="14565" spans="1:9" x14ac:dyDescent="0.2">
      <c r="A14565" s="134">
        <v>46124</v>
      </c>
      <c r="B14565" s="135">
        <f>YEAR(source[[#This Row],[report_date]])</f>
        <v>2026</v>
      </c>
      <c r="C14565" s="128">
        <f t="shared" si="680"/>
        <v>4</v>
      </c>
      <c r="D14565" s="136">
        <f t="shared" si="682"/>
        <v>15</v>
      </c>
      <c r="E14565" s="136">
        <f t="shared" si="681"/>
        <v>12</v>
      </c>
      <c r="F14565" s="137" t="s">
        <v>24</v>
      </c>
      <c r="G14565" s="128" t="str">
        <f>VLOOKUP(source[[#This Row],[lending_product_transform]],[3]Mapping!$B$4:$C$37,2,0)</f>
        <v>[Cake] - Cashloan</v>
      </c>
      <c r="H14565" s="128" t="str">
        <f>VLOOKUP(source[[#This Row],[lending_product_transform]],[3]Mapping!$B$3:$D$37,3,0)</f>
        <v>cashloan</v>
      </c>
      <c r="I14565" s="137">
        <v>564090000</v>
      </c>
    </row>
    <row r="14566" spans="1:9" x14ac:dyDescent="0.2">
      <c r="A14566" s="134">
        <v>46124</v>
      </c>
      <c r="B14566" s="135">
        <f>YEAR(source[[#This Row],[report_date]])</f>
        <v>2026</v>
      </c>
      <c r="C14566" s="128">
        <f t="shared" si="680"/>
        <v>4</v>
      </c>
      <c r="D14566" s="136">
        <f t="shared" si="682"/>
        <v>15</v>
      </c>
      <c r="E14566" s="136">
        <f t="shared" si="681"/>
        <v>12</v>
      </c>
      <c r="F14566" s="137" t="s">
        <v>24</v>
      </c>
      <c r="G14566" s="128" t="str">
        <f>VLOOKUP(source[[#This Row],[lending_product_transform]],[3]Mapping!$B$4:$C$37,2,0)</f>
        <v>[Cake] - Cashloan</v>
      </c>
      <c r="H14566" s="128" t="str">
        <f>VLOOKUP(source[[#This Row],[lending_product_transform]],[3]Mapping!$B$3:$D$37,3,0)</f>
        <v>cashloan</v>
      </c>
      <c r="I14566" s="137">
        <v>6340708</v>
      </c>
    </row>
    <row r="14567" spans="1:9" x14ac:dyDescent="0.2">
      <c r="A14567" s="134">
        <v>46124</v>
      </c>
      <c r="B14567" s="135">
        <f>YEAR(source[[#This Row],[report_date]])</f>
        <v>2026</v>
      </c>
      <c r="C14567" s="128">
        <f t="shared" si="680"/>
        <v>4</v>
      </c>
      <c r="D14567" s="136">
        <f t="shared" si="682"/>
        <v>15</v>
      </c>
      <c r="E14567" s="136">
        <f t="shared" si="681"/>
        <v>12</v>
      </c>
      <c r="F14567" s="137" t="s">
        <v>24</v>
      </c>
      <c r="G14567" s="128" t="str">
        <f>VLOOKUP(source[[#This Row],[lending_product_transform]],[3]Mapping!$B$4:$C$37,2,0)</f>
        <v>[Cake] - Cashloan</v>
      </c>
      <c r="H14567" s="128" t="str">
        <f>VLOOKUP(source[[#This Row],[lending_product_transform]],[3]Mapping!$B$3:$D$37,3,0)</f>
        <v>cashloan</v>
      </c>
      <c r="I14567" s="137">
        <v>1413464582</v>
      </c>
    </row>
    <row r="14568" spans="1:9" x14ac:dyDescent="0.2">
      <c r="A14568" s="134">
        <v>46124</v>
      </c>
      <c r="B14568" s="135">
        <f>YEAR(source[[#This Row],[report_date]])</f>
        <v>2026</v>
      </c>
      <c r="C14568" s="128">
        <f t="shared" si="680"/>
        <v>4</v>
      </c>
      <c r="D14568" s="136">
        <f t="shared" si="682"/>
        <v>15</v>
      </c>
      <c r="E14568" s="136">
        <f t="shared" si="681"/>
        <v>12</v>
      </c>
      <c r="F14568" s="137" t="s">
        <v>24</v>
      </c>
      <c r="G14568" s="128" t="str">
        <f>VLOOKUP(source[[#This Row],[lending_product_transform]],[3]Mapping!$B$4:$C$37,2,0)</f>
        <v>[Cake] - Cashloan</v>
      </c>
      <c r="H14568" s="128" t="str">
        <f>VLOOKUP(source[[#This Row],[lending_product_transform]],[3]Mapping!$B$3:$D$37,3,0)</f>
        <v>cashloan</v>
      </c>
      <c r="I14568" s="137">
        <v>0</v>
      </c>
    </row>
    <row r="14569" spans="1:9" x14ac:dyDescent="0.2">
      <c r="A14569" s="134">
        <v>46124</v>
      </c>
      <c r="B14569" s="135">
        <f>YEAR(source[[#This Row],[report_date]])</f>
        <v>2026</v>
      </c>
      <c r="C14569" s="128">
        <f t="shared" si="680"/>
        <v>4</v>
      </c>
      <c r="D14569" s="136">
        <f t="shared" si="682"/>
        <v>15</v>
      </c>
      <c r="E14569" s="136">
        <f t="shared" si="681"/>
        <v>12</v>
      </c>
      <c r="F14569" s="137" t="s">
        <v>24</v>
      </c>
      <c r="G14569" s="128" t="str">
        <f>VLOOKUP(source[[#This Row],[lending_product_transform]],[3]Mapping!$B$4:$C$37,2,0)</f>
        <v>[Cake] - Cashloan</v>
      </c>
      <c r="H14569" s="128" t="str">
        <f>VLOOKUP(source[[#This Row],[lending_product_transform]],[3]Mapping!$B$3:$D$37,3,0)</f>
        <v>cashloan</v>
      </c>
      <c r="I14569" s="137">
        <v>0</v>
      </c>
    </row>
    <row r="14570" spans="1:9" x14ac:dyDescent="0.2">
      <c r="A14570" s="134">
        <v>46124</v>
      </c>
      <c r="B14570" s="135">
        <f>YEAR(source[[#This Row],[report_date]])</f>
        <v>2026</v>
      </c>
      <c r="C14570" s="128">
        <f t="shared" si="680"/>
        <v>4</v>
      </c>
      <c r="D14570" s="136">
        <f t="shared" si="682"/>
        <v>15</v>
      </c>
      <c r="E14570" s="136">
        <f t="shared" si="681"/>
        <v>12</v>
      </c>
      <c r="F14570" s="137" t="s">
        <v>24</v>
      </c>
      <c r="G14570" s="128" t="str">
        <f>VLOOKUP(source[[#This Row],[lending_product_transform]],[3]Mapping!$B$4:$C$37,2,0)</f>
        <v>[Cake] - Cashloan</v>
      </c>
      <c r="H14570" s="128" t="str">
        <f>VLOOKUP(source[[#This Row],[lending_product_transform]],[3]Mapping!$B$3:$D$37,3,0)</f>
        <v>cashloan</v>
      </c>
      <c r="I14570" s="137">
        <v>0</v>
      </c>
    </row>
    <row r="14571" spans="1:9" x14ac:dyDescent="0.2">
      <c r="A14571" s="134">
        <v>46124</v>
      </c>
      <c r="B14571" s="135">
        <f>YEAR(source[[#This Row],[report_date]])</f>
        <v>2026</v>
      </c>
      <c r="C14571" s="128">
        <f t="shared" si="680"/>
        <v>4</v>
      </c>
      <c r="D14571" s="136">
        <f t="shared" si="682"/>
        <v>15</v>
      </c>
      <c r="E14571" s="136">
        <f t="shared" si="681"/>
        <v>12</v>
      </c>
      <c r="F14571" s="137" t="s">
        <v>24</v>
      </c>
      <c r="G14571" s="128" t="str">
        <f>VLOOKUP(source[[#This Row],[lending_product_transform]],[3]Mapping!$B$4:$C$37,2,0)</f>
        <v>[Cake] - Cashloan</v>
      </c>
      <c r="H14571" s="128" t="str">
        <f>VLOOKUP(source[[#This Row],[lending_product_transform]],[3]Mapping!$B$3:$D$37,3,0)</f>
        <v>cashloan</v>
      </c>
      <c r="I14571" s="137">
        <v>16581150000</v>
      </c>
    </row>
    <row r="14572" spans="1:9" x14ac:dyDescent="0.2">
      <c r="A14572" s="134">
        <v>46124</v>
      </c>
      <c r="B14572" s="135">
        <f>YEAR(source[[#This Row],[report_date]])</f>
        <v>2026</v>
      </c>
      <c r="C14572" s="128">
        <f t="shared" si="680"/>
        <v>4</v>
      </c>
      <c r="D14572" s="136">
        <f t="shared" si="682"/>
        <v>15</v>
      </c>
      <c r="E14572" s="136">
        <f t="shared" si="681"/>
        <v>12</v>
      </c>
      <c r="F14572" s="137" t="s">
        <v>24</v>
      </c>
      <c r="G14572" s="128" t="str">
        <f>VLOOKUP(source[[#This Row],[lending_product_transform]],[3]Mapping!$B$4:$C$37,2,0)</f>
        <v>[Cake] - Cashloan</v>
      </c>
      <c r="H14572" s="128" t="str">
        <f>VLOOKUP(source[[#This Row],[lending_product_transform]],[3]Mapping!$B$3:$D$37,3,0)</f>
        <v>cashloan</v>
      </c>
      <c r="I14572" s="137">
        <v>0</v>
      </c>
    </row>
    <row r="14573" spans="1:9" x14ac:dyDescent="0.2">
      <c r="A14573" s="134">
        <v>46124</v>
      </c>
      <c r="B14573" s="135">
        <f>YEAR(source[[#This Row],[report_date]])</f>
        <v>2026</v>
      </c>
      <c r="C14573" s="128">
        <f t="shared" si="680"/>
        <v>4</v>
      </c>
      <c r="D14573" s="136">
        <f t="shared" si="682"/>
        <v>15</v>
      </c>
      <c r="E14573" s="136">
        <f t="shared" si="681"/>
        <v>12</v>
      </c>
      <c r="F14573" s="137" t="s">
        <v>24</v>
      </c>
      <c r="G14573" s="128" t="str">
        <f>VLOOKUP(source[[#This Row],[lending_product_transform]],[3]Mapping!$B$4:$C$37,2,0)</f>
        <v>[Cake] - Cashloan</v>
      </c>
      <c r="H14573" s="128" t="str">
        <f>VLOOKUP(source[[#This Row],[lending_product_transform]],[3]Mapping!$B$3:$D$37,3,0)</f>
        <v>cashloan</v>
      </c>
      <c r="I14573" s="137">
        <v>0</v>
      </c>
    </row>
    <row r="14574" spans="1:9" x14ac:dyDescent="0.2">
      <c r="A14574" s="134">
        <v>46124</v>
      </c>
      <c r="B14574" s="135">
        <f>YEAR(source[[#This Row],[report_date]])</f>
        <v>2026</v>
      </c>
      <c r="C14574" s="128">
        <f t="shared" si="680"/>
        <v>4</v>
      </c>
      <c r="D14574" s="136">
        <f t="shared" si="682"/>
        <v>15</v>
      </c>
      <c r="E14574" s="136">
        <f t="shared" si="681"/>
        <v>12</v>
      </c>
      <c r="F14574" s="137" t="s">
        <v>24</v>
      </c>
      <c r="G14574" s="128" t="str">
        <f>VLOOKUP(source[[#This Row],[lending_product_transform]],[3]Mapping!$B$4:$C$37,2,0)</f>
        <v>[Cake] - Cashloan</v>
      </c>
      <c r="H14574" s="128" t="str">
        <f>VLOOKUP(source[[#This Row],[lending_product_transform]],[3]Mapping!$B$3:$D$37,3,0)</f>
        <v>cashloan</v>
      </c>
      <c r="I14574" s="137">
        <v>0</v>
      </c>
    </row>
    <row r="14575" spans="1:9" x14ac:dyDescent="0.2">
      <c r="A14575" s="134">
        <v>46124</v>
      </c>
      <c r="B14575" s="135">
        <f>YEAR(source[[#This Row],[report_date]])</f>
        <v>2026</v>
      </c>
      <c r="C14575" s="128">
        <f t="shared" si="680"/>
        <v>4</v>
      </c>
      <c r="D14575" s="136">
        <f t="shared" si="682"/>
        <v>15</v>
      </c>
      <c r="E14575" s="136">
        <f t="shared" si="681"/>
        <v>12</v>
      </c>
      <c r="F14575" s="137" t="s">
        <v>24</v>
      </c>
      <c r="G14575" s="128" t="str">
        <f>VLOOKUP(source[[#This Row],[lending_product_transform]],[3]Mapping!$B$4:$C$37,2,0)</f>
        <v>[Cake] - Cashloan</v>
      </c>
      <c r="H14575" s="128" t="str">
        <f>VLOOKUP(source[[#This Row],[lending_product_transform]],[3]Mapping!$B$3:$D$37,3,0)</f>
        <v>cashloan</v>
      </c>
      <c r="I14575" s="137">
        <v>0</v>
      </c>
    </row>
    <row r="14576" spans="1:9" x14ac:dyDescent="0.2">
      <c r="A14576" s="134">
        <v>46124</v>
      </c>
      <c r="B14576" s="135">
        <f>YEAR(source[[#This Row],[report_date]])</f>
        <v>2026</v>
      </c>
      <c r="C14576" s="128">
        <f t="shared" si="680"/>
        <v>4</v>
      </c>
      <c r="D14576" s="136">
        <f t="shared" si="682"/>
        <v>15</v>
      </c>
      <c r="E14576" s="136">
        <f t="shared" si="681"/>
        <v>12</v>
      </c>
      <c r="F14576" s="137" t="s">
        <v>24</v>
      </c>
      <c r="G14576" s="128" t="str">
        <f>VLOOKUP(source[[#This Row],[lending_product_transform]],[3]Mapping!$B$4:$C$37,2,0)</f>
        <v>[Cake] - Cashloan</v>
      </c>
      <c r="H14576" s="128" t="str">
        <f>VLOOKUP(source[[#This Row],[lending_product_transform]],[3]Mapping!$B$3:$D$37,3,0)</f>
        <v>cashloan</v>
      </c>
      <c r="I14576" s="137">
        <v>10937592000</v>
      </c>
    </row>
    <row r="14577" spans="1:9" x14ac:dyDescent="0.2">
      <c r="A14577" s="134">
        <v>46124</v>
      </c>
      <c r="B14577" s="135">
        <f>YEAR(source[[#This Row],[report_date]])</f>
        <v>2026</v>
      </c>
      <c r="C14577" s="128">
        <f t="shared" si="680"/>
        <v>4</v>
      </c>
      <c r="D14577" s="136">
        <f t="shared" si="682"/>
        <v>15</v>
      </c>
      <c r="E14577" s="136">
        <f t="shared" si="681"/>
        <v>12</v>
      </c>
      <c r="F14577" s="137" t="s">
        <v>24</v>
      </c>
      <c r="G14577" s="128" t="str">
        <f>VLOOKUP(source[[#This Row],[lending_product_transform]],[3]Mapping!$B$4:$C$37,2,0)</f>
        <v>[Cake] - Cashloan</v>
      </c>
      <c r="H14577" s="128" t="str">
        <f>VLOOKUP(source[[#This Row],[lending_product_transform]],[3]Mapping!$B$3:$D$37,3,0)</f>
        <v>cashloan</v>
      </c>
      <c r="I14577" s="137">
        <v>197904553</v>
      </c>
    </row>
    <row r="14578" spans="1:9" x14ac:dyDescent="0.2">
      <c r="A14578" s="134">
        <v>46124</v>
      </c>
      <c r="B14578" s="135">
        <f>YEAR(source[[#This Row],[report_date]])</f>
        <v>2026</v>
      </c>
      <c r="C14578" s="128">
        <f t="shared" si="680"/>
        <v>4</v>
      </c>
      <c r="D14578" s="136">
        <f t="shared" si="682"/>
        <v>15</v>
      </c>
      <c r="E14578" s="136">
        <f t="shared" si="681"/>
        <v>12</v>
      </c>
      <c r="F14578" s="137" t="s">
        <v>24</v>
      </c>
      <c r="G14578" s="128" t="str">
        <f>VLOOKUP(source[[#This Row],[lending_product_transform]],[3]Mapping!$B$4:$C$37,2,0)</f>
        <v>[Cake] - Cashloan</v>
      </c>
      <c r="H14578" s="128" t="str">
        <f>VLOOKUP(source[[#This Row],[lending_product_transform]],[3]Mapping!$B$3:$D$37,3,0)</f>
        <v>cashloan</v>
      </c>
      <c r="I14578" s="137">
        <v>21000000</v>
      </c>
    </row>
    <row r="14579" spans="1:9" x14ac:dyDescent="0.2">
      <c r="A14579" s="134">
        <v>46124</v>
      </c>
      <c r="B14579" s="135">
        <f>YEAR(source[[#This Row],[report_date]])</f>
        <v>2026</v>
      </c>
      <c r="C14579" s="128">
        <f t="shared" si="680"/>
        <v>4</v>
      </c>
      <c r="D14579" s="136">
        <f t="shared" si="682"/>
        <v>15</v>
      </c>
      <c r="E14579" s="136">
        <f t="shared" si="681"/>
        <v>12</v>
      </c>
      <c r="F14579" s="137" t="s">
        <v>24</v>
      </c>
      <c r="G14579" s="128" t="str">
        <f>VLOOKUP(source[[#This Row],[lending_product_transform]],[3]Mapping!$B$4:$C$37,2,0)</f>
        <v>[Cake] - Cashloan</v>
      </c>
      <c r="H14579" s="128" t="str">
        <f>VLOOKUP(source[[#This Row],[lending_product_transform]],[3]Mapping!$B$3:$D$37,3,0)</f>
        <v>cashloan</v>
      </c>
      <c r="I14579" s="137">
        <v>45000000</v>
      </c>
    </row>
    <row r="14580" spans="1:9" x14ac:dyDescent="0.2">
      <c r="A14580" s="134">
        <v>46124</v>
      </c>
      <c r="B14580" s="135">
        <f>YEAR(source[[#This Row],[report_date]])</f>
        <v>2026</v>
      </c>
      <c r="C14580" s="128">
        <f t="shared" si="680"/>
        <v>4</v>
      </c>
      <c r="D14580" s="136">
        <f t="shared" si="682"/>
        <v>15</v>
      </c>
      <c r="E14580" s="136">
        <f t="shared" si="681"/>
        <v>12</v>
      </c>
      <c r="F14580" s="137" t="s">
        <v>24</v>
      </c>
      <c r="G14580" s="128" t="str">
        <f>VLOOKUP(source[[#This Row],[lending_product_transform]],[3]Mapping!$B$4:$C$37,2,0)</f>
        <v>[Cake] - Cashloan</v>
      </c>
      <c r="H14580" s="128" t="str">
        <f>VLOOKUP(source[[#This Row],[lending_product_transform]],[3]Mapping!$B$3:$D$37,3,0)</f>
        <v>cashloan</v>
      </c>
      <c r="I14580" s="137">
        <v>553580000</v>
      </c>
    </row>
    <row r="14581" spans="1:9" x14ac:dyDescent="0.2">
      <c r="A14581" s="134">
        <v>46124</v>
      </c>
      <c r="B14581" s="135">
        <f>YEAR(source[[#This Row],[report_date]])</f>
        <v>2026</v>
      </c>
      <c r="C14581" s="128">
        <f t="shared" si="680"/>
        <v>4</v>
      </c>
      <c r="D14581" s="136">
        <f t="shared" si="682"/>
        <v>15</v>
      </c>
      <c r="E14581" s="136">
        <f t="shared" si="681"/>
        <v>12</v>
      </c>
      <c r="F14581" s="137" t="s">
        <v>24</v>
      </c>
      <c r="G14581" s="128" t="str">
        <f>VLOOKUP(source[[#This Row],[lending_product_transform]],[3]Mapping!$B$4:$C$37,2,0)</f>
        <v>[Cake] - Cashloan</v>
      </c>
      <c r="H14581" s="128" t="str">
        <f>VLOOKUP(source[[#This Row],[lending_product_transform]],[3]Mapping!$B$3:$D$37,3,0)</f>
        <v>cashloan</v>
      </c>
      <c r="I14581" s="137">
        <v>275400000</v>
      </c>
    </row>
    <row r="14582" spans="1:9" x14ac:dyDescent="0.2">
      <c r="A14582" s="134">
        <v>46124</v>
      </c>
      <c r="B14582" s="135">
        <f>YEAR(source[[#This Row],[report_date]])</f>
        <v>2026</v>
      </c>
      <c r="C14582" s="128">
        <f t="shared" ref="C14582:C14645" si="683">MONTH(A14582)</f>
        <v>4</v>
      </c>
      <c r="D14582" s="136">
        <f t="shared" si="682"/>
        <v>15</v>
      </c>
      <c r="E14582" s="136">
        <f t="shared" ref="E14582:E14645" si="684">DAY(A14582)</f>
        <v>12</v>
      </c>
      <c r="F14582" s="137" t="s">
        <v>24</v>
      </c>
      <c r="G14582" s="128" t="str">
        <f>VLOOKUP(source[[#This Row],[lending_product_transform]],[3]Mapping!$B$4:$C$37,2,0)</f>
        <v>[Cake] - Cashloan</v>
      </c>
      <c r="H14582" s="128" t="str">
        <f>VLOOKUP(source[[#This Row],[lending_product_transform]],[3]Mapping!$B$3:$D$37,3,0)</f>
        <v>cashloan</v>
      </c>
      <c r="I14582" s="137">
        <v>249197333</v>
      </c>
    </row>
    <row r="14583" spans="1:9" x14ac:dyDescent="0.2">
      <c r="A14583" s="134">
        <v>46124</v>
      </c>
      <c r="B14583" s="135">
        <f>YEAR(source[[#This Row],[report_date]])</f>
        <v>2026</v>
      </c>
      <c r="C14583" s="128">
        <f t="shared" si="683"/>
        <v>4</v>
      </c>
      <c r="D14583" s="136">
        <f t="shared" si="682"/>
        <v>15</v>
      </c>
      <c r="E14583" s="136">
        <f t="shared" si="684"/>
        <v>12</v>
      </c>
      <c r="F14583" s="137" t="s">
        <v>24</v>
      </c>
      <c r="G14583" s="128" t="str">
        <f>VLOOKUP(source[[#This Row],[lending_product_transform]],[3]Mapping!$B$4:$C$37,2,0)</f>
        <v>[Cake] - Cashloan</v>
      </c>
      <c r="H14583" s="128" t="str">
        <f>VLOOKUP(source[[#This Row],[lending_product_transform]],[3]Mapping!$B$3:$D$37,3,0)</f>
        <v>cashloan</v>
      </c>
      <c r="I14583" s="137">
        <v>4706910000</v>
      </c>
    </row>
    <row r="14584" spans="1:9" x14ac:dyDescent="0.2">
      <c r="A14584" s="134">
        <v>46124</v>
      </c>
      <c r="B14584" s="135">
        <f>YEAR(source[[#This Row],[report_date]])</f>
        <v>2026</v>
      </c>
      <c r="C14584" s="128">
        <f t="shared" si="683"/>
        <v>4</v>
      </c>
      <c r="D14584" s="136">
        <f t="shared" si="682"/>
        <v>15</v>
      </c>
      <c r="E14584" s="136">
        <f t="shared" si="684"/>
        <v>12</v>
      </c>
      <c r="F14584" s="137" t="s">
        <v>24</v>
      </c>
      <c r="G14584" s="128" t="str">
        <f>VLOOKUP(source[[#This Row],[lending_product_transform]],[3]Mapping!$B$4:$C$37,2,0)</f>
        <v>[Cake] - Cashloan</v>
      </c>
      <c r="H14584" s="128" t="str">
        <f>VLOOKUP(source[[#This Row],[lending_product_transform]],[3]Mapping!$B$3:$D$37,3,0)</f>
        <v>cashloan</v>
      </c>
      <c r="I14584" s="137">
        <v>6480000</v>
      </c>
    </row>
    <row r="14585" spans="1:9" x14ac:dyDescent="0.2">
      <c r="A14585" s="134">
        <v>46125</v>
      </c>
      <c r="B14585" s="135">
        <f>YEAR(source[[#This Row],[report_date]])</f>
        <v>2026</v>
      </c>
      <c r="C14585" s="128">
        <f t="shared" si="683"/>
        <v>4</v>
      </c>
      <c r="D14585" s="136">
        <f t="shared" si="682"/>
        <v>16</v>
      </c>
      <c r="E14585" s="136">
        <f t="shared" si="684"/>
        <v>13</v>
      </c>
      <c r="F14585" s="137" t="s">
        <v>24</v>
      </c>
      <c r="G14585" s="128" t="str">
        <f>VLOOKUP(source[[#This Row],[lending_product_transform]],[3]Mapping!$B$4:$C$37,2,0)</f>
        <v>[Cake] - Cashloan</v>
      </c>
      <c r="H14585" s="128" t="str">
        <f>VLOOKUP(source[[#This Row],[lending_product_transform]],[3]Mapping!$B$3:$D$37,3,0)</f>
        <v>cashloan</v>
      </c>
      <c r="I14585" s="137">
        <v>438810000</v>
      </c>
    </row>
    <row r="14586" spans="1:9" x14ac:dyDescent="0.2">
      <c r="A14586" s="134">
        <v>46125</v>
      </c>
      <c r="B14586" s="135">
        <f>YEAR(source[[#This Row],[report_date]])</f>
        <v>2026</v>
      </c>
      <c r="C14586" s="128">
        <f t="shared" si="683"/>
        <v>4</v>
      </c>
      <c r="D14586" s="136">
        <f t="shared" si="682"/>
        <v>16</v>
      </c>
      <c r="E14586" s="136">
        <f t="shared" si="684"/>
        <v>13</v>
      </c>
      <c r="F14586" s="137" t="s">
        <v>24</v>
      </c>
      <c r="G14586" s="128" t="str">
        <f>VLOOKUP(source[[#This Row],[lending_product_transform]],[3]Mapping!$B$4:$C$37,2,0)</f>
        <v>[Cake] - Cashloan</v>
      </c>
      <c r="H14586" s="128" t="str">
        <f>VLOOKUP(source[[#This Row],[lending_product_transform]],[3]Mapping!$B$3:$D$37,3,0)</f>
        <v>cashloan</v>
      </c>
      <c r="I14586" s="137">
        <v>273934417</v>
      </c>
    </row>
    <row r="14587" spans="1:9" x14ac:dyDescent="0.2">
      <c r="A14587" s="134">
        <v>46125</v>
      </c>
      <c r="B14587" s="135">
        <f>YEAR(source[[#This Row],[report_date]])</f>
        <v>2026</v>
      </c>
      <c r="C14587" s="128">
        <f t="shared" si="683"/>
        <v>4</v>
      </c>
      <c r="D14587" s="136">
        <f t="shared" si="682"/>
        <v>16</v>
      </c>
      <c r="E14587" s="136">
        <f t="shared" si="684"/>
        <v>13</v>
      </c>
      <c r="F14587" s="137" t="s">
        <v>24</v>
      </c>
      <c r="G14587" s="128" t="str">
        <f>VLOOKUP(source[[#This Row],[lending_product_transform]],[3]Mapping!$B$4:$C$37,2,0)</f>
        <v>[Cake] - Cashloan</v>
      </c>
      <c r="H14587" s="128" t="str">
        <f>VLOOKUP(source[[#This Row],[lending_product_transform]],[3]Mapping!$B$3:$D$37,3,0)</f>
        <v>cashloan</v>
      </c>
      <c r="I14587" s="137">
        <v>16424450000</v>
      </c>
    </row>
    <row r="14588" spans="1:9" x14ac:dyDescent="0.2">
      <c r="A14588" s="134">
        <v>46125</v>
      </c>
      <c r="B14588" s="135">
        <f>YEAR(source[[#This Row],[report_date]])</f>
        <v>2026</v>
      </c>
      <c r="C14588" s="128">
        <f t="shared" si="683"/>
        <v>4</v>
      </c>
      <c r="D14588" s="136">
        <f t="shared" si="682"/>
        <v>16</v>
      </c>
      <c r="E14588" s="136">
        <f t="shared" si="684"/>
        <v>13</v>
      </c>
      <c r="F14588" s="137" t="s">
        <v>24</v>
      </c>
      <c r="G14588" s="128" t="str">
        <f>VLOOKUP(source[[#This Row],[lending_product_transform]],[3]Mapping!$B$4:$C$37,2,0)</f>
        <v>[Cake] - Cashloan</v>
      </c>
      <c r="H14588" s="128" t="str">
        <f>VLOOKUP(source[[#This Row],[lending_product_transform]],[3]Mapping!$B$3:$D$37,3,0)</f>
        <v>cashloan</v>
      </c>
      <c r="I14588" s="137">
        <v>1602643991</v>
      </c>
    </row>
    <row r="14589" spans="1:9" x14ac:dyDescent="0.2">
      <c r="A14589" s="134">
        <v>46125</v>
      </c>
      <c r="B14589" s="135">
        <f>YEAR(source[[#This Row],[report_date]])</f>
        <v>2026</v>
      </c>
      <c r="C14589" s="128">
        <f t="shared" si="683"/>
        <v>4</v>
      </c>
      <c r="D14589" s="136">
        <f t="shared" si="682"/>
        <v>16</v>
      </c>
      <c r="E14589" s="136">
        <f t="shared" si="684"/>
        <v>13</v>
      </c>
      <c r="F14589" s="137" t="s">
        <v>24</v>
      </c>
      <c r="G14589" s="128" t="str">
        <f>VLOOKUP(source[[#This Row],[lending_product_transform]],[3]Mapping!$B$4:$C$37,2,0)</f>
        <v>[Cake] - Cashloan</v>
      </c>
      <c r="H14589" s="128" t="str">
        <f>VLOOKUP(source[[#This Row],[lending_product_transform]],[3]Mapping!$B$3:$D$37,3,0)</f>
        <v>cashloan</v>
      </c>
      <c r="I14589" s="137">
        <v>13723668000</v>
      </c>
    </row>
    <row r="14590" spans="1:9" x14ac:dyDescent="0.2">
      <c r="A14590" s="134">
        <v>46125</v>
      </c>
      <c r="B14590" s="135">
        <f>YEAR(source[[#This Row],[report_date]])</f>
        <v>2026</v>
      </c>
      <c r="C14590" s="128">
        <f t="shared" si="683"/>
        <v>4</v>
      </c>
      <c r="D14590" s="136">
        <f t="shared" si="682"/>
        <v>16</v>
      </c>
      <c r="E14590" s="136">
        <f t="shared" si="684"/>
        <v>13</v>
      </c>
      <c r="F14590" s="137" t="s">
        <v>24</v>
      </c>
      <c r="G14590" s="128" t="str">
        <f>VLOOKUP(source[[#This Row],[lending_product_transform]],[3]Mapping!$B$4:$C$37,2,0)</f>
        <v>[Cake] - Cashloan</v>
      </c>
      <c r="H14590" s="128" t="str">
        <f>VLOOKUP(source[[#This Row],[lending_product_transform]],[3]Mapping!$B$3:$D$37,3,0)</f>
        <v>cashloan</v>
      </c>
      <c r="I14590" s="137">
        <v>0</v>
      </c>
    </row>
    <row r="14591" spans="1:9" x14ac:dyDescent="0.2">
      <c r="A14591" s="134">
        <v>46125</v>
      </c>
      <c r="B14591" s="135">
        <f>YEAR(source[[#This Row],[report_date]])</f>
        <v>2026</v>
      </c>
      <c r="C14591" s="128">
        <f t="shared" si="683"/>
        <v>4</v>
      </c>
      <c r="D14591" s="136">
        <f t="shared" si="682"/>
        <v>16</v>
      </c>
      <c r="E14591" s="136">
        <f t="shared" si="684"/>
        <v>13</v>
      </c>
      <c r="F14591" s="137" t="s">
        <v>24</v>
      </c>
      <c r="G14591" s="128" t="str">
        <f>VLOOKUP(source[[#This Row],[lending_product_transform]],[3]Mapping!$B$4:$C$37,2,0)</f>
        <v>[Cake] - Cashloan</v>
      </c>
      <c r="H14591" s="128" t="str">
        <f>VLOOKUP(source[[#This Row],[lending_product_transform]],[3]Mapping!$B$3:$D$37,3,0)</f>
        <v>cashloan</v>
      </c>
      <c r="I14591" s="137">
        <v>0</v>
      </c>
    </row>
    <row r="14592" spans="1:9" x14ac:dyDescent="0.2">
      <c r="A14592" s="134">
        <v>46125</v>
      </c>
      <c r="B14592" s="135">
        <f>YEAR(source[[#This Row],[report_date]])</f>
        <v>2026</v>
      </c>
      <c r="C14592" s="128">
        <f t="shared" si="683"/>
        <v>4</v>
      </c>
      <c r="D14592" s="136">
        <f t="shared" si="682"/>
        <v>16</v>
      </c>
      <c r="E14592" s="136">
        <f t="shared" si="684"/>
        <v>13</v>
      </c>
      <c r="F14592" s="137" t="s">
        <v>24</v>
      </c>
      <c r="G14592" s="128" t="str">
        <f>VLOOKUP(source[[#This Row],[lending_product_transform]],[3]Mapping!$B$4:$C$37,2,0)</f>
        <v>[Cake] - Cashloan</v>
      </c>
      <c r="H14592" s="128" t="str">
        <f>VLOOKUP(source[[#This Row],[lending_product_transform]],[3]Mapping!$B$3:$D$37,3,0)</f>
        <v>cashloan</v>
      </c>
      <c r="I14592" s="137">
        <v>3167440000</v>
      </c>
    </row>
    <row r="14593" spans="1:9" x14ac:dyDescent="0.2">
      <c r="A14593" s="134">
        <v>46125</v>
      </c>
      <c r="B14593" s="135">
        <f>YEAR(source[[#This Row],[report_date]])</f>
        <v>2026</v>
      </c>
      <c r="C14593" s="128">
        <f t="shared" si="683"/>
        <v>4</v>
      </c>
      <c r="D14593" s="136">
        <f t="shared" si="682"/>
        <v>16</v>
      </c>
      <c r="E14593" s="136">
        <f t="shared" si="684"/>
        <v>13</v>
      </c>
      <c r="F14593" s="137" t="s">
        <v>24</v>
      </c>
      <c r="G14593" s="128" t="str">
        <f>VLOOKUP(source[[#This Row],[lending_product_transform]],[3]Mapping!$B$4:$C$37,2,0)</f>
        <v>[Cake] - Cashloan</v>
      </c>
      <c r="H14593" s="128" t="str">
        <f>VLOOKUP(source[[#This Row],[lending_product_transform]],[3]Mapping!$B$3:$D$37,3,0)</f>
        <v>cashloan</v>
      </c>
      <c r="I14593" s="137">
        <v>848380000</v>
      </c>
    </row>
    <row r="14594" spans="1:9" x14ac:dyDescent="0.2">
      <c r="A14594" s="134">
        <v>46125</v>
      </c>
      <c r="B14594" s="135">
        <f>YEAR(source[[#This Row],[report_date]])</f>
        <v>2026</v>
      </c>
      <c r="C14594" s="128">
        <f t="shared" si="683"/>
        <v>4</v>
      </c>
      <c r="D14594" s="136">
        <f t="shared" si="682"/>
        <v>16</v>
      </c>
      <c r="E14594" s="136">
        <f t="shared" si="684"/>
        <v>13</v>
      </c>
      <c r="F14594" s="137" t="s">
        <v>24</v>
      </c>
      <c r="G14594" s="128" t="str">
        <f>VLOOKUP(source[[#This Row],[lending_product_transform]],[3]Mapping!$B$4:$C$37,2,0)</f>
        <v>[Cake] - Cashloan</v>
      </c>
      <c r="H14594" s="128" t="str">
        <f>VLOOKUP(source[[#This Row],[lending_product_transform]],[3]Mapping!$B$3:$D$37,3,0)</f>
        <v>cashloan</v>
      </c>
      <c r="I14594" s="137">
        <v>5954006</v>
      </c>
    </row>
    <row r="14595" spans="1:9" x14ac:dyDescent="0.2">
      <c r="A14595" s="134">
        <v>46125</v>
      </c>
      <c r="B14595" s="135">
        <f>YEAR(source[[#This Row],[report_date]])</f>
        <v>2026</v>
      </c>
      <c r="C14595" s="128">
        <f t="shared" si="683"/>
        <v>4</v>
      </c>
      <c r="D14595" s="136">
        <f t="shared" si="682"/>
        <v>16</v>
      </c>
      <c r="E14595" s="136">
        <f t="shared" si="684"/>
        <v>13</v>
      </c>
      <c r="F14595" s="137" t="s">
        <v>24</v>
      </c>
      <c r="G14595" s="128" t="str">
        <f>VLOOKUP(source[[#This Row],[lending_product_transform]],[3]Mapping!$B$4:$C$37,2,0)</f>
        <v>[Cake] - Cashloan</v>
      </c>
      <c r="H14595" s="128" t="str">
        <f>VLOOKUP(source[[#This Row],[lending_product_transform]],[3]Mapping!$B$3:$D$37,3,0)</f>
        <v>cashloan</v>
      </c>
      <c r="I14595" s="137">
        <v>879939666</v>
      </c>
    </row>
    <row r="14596" spans="1:9" x14ac:dyDescent="0.2">
      <c r="A14596" s="134">
        <v>46125</v>
      </c>
      <c r="B14596" s="135">
        <f>YEAR(source[[#This Row],[report_date]])</f>
        <v>2026</v>
      </c>
      <c r="C14596" s="128">
        <f t="shared" si="683"/>
        <v>4</v>
      </c>
      <c r="D14596" s="136">
        <f t="shared" si="682"/>
        <v>16</v>
      </c>
      <c r="E14596" s="136">
        <f t="shared" si="684"/>
        <v>13</v>
      </c>
      <c r="F14596" s="137" t="s">
        <v>24</v>
      </c>
      <c r="G14596" s="128" t="str">
        <f>VLOOKUP(source[[#This Row],[lending_product_transform]],[3]Mapping!$B$4:$C$37,2,0)</f>
        <v>[Cake] - Cashloan</v>
      </c>
      <c r="H14596" s="128" t="str">
        <f>VLOOKUP(source[[#This Row],[lending_product_transform]],[3]Mapping!$B$3:$D$37,3,0)</f>
        <v>cashloan</v>
      </c>
      <c r="I14596" s="137">
        <v>0</v>
      </c>
    </row>
    <row r="14597" spans="1:9" x14ac:dyDescent="0.2">
      <c r="A14597" s="134">
        <v>46125</v>
      </c>
      <c r="B14597" s="135">
        <f>YEAR(source[[#This Row],[report_date]])</f>
        <v>2026</v>
      </c>
      <c r="C14597" s="128">
        <f t="shared" si="683"/>
        <v>4</v>
      </c>
      <c r="D14597" s="136">
        <f t="shared" si="682"/>
        <v>16</v>
      </c>
      <c r="E14597" s="136">
        <f t="shared" si="684"/>
        <v>13</v>
      </c>
      <c r="F14597" s="137" t="s">
        <v>24</v>
      </c>
      <c r="G14597" s="128" t="str">
        <f>VLOOKUP(source[[#This Row],[lending_product_transform]],[3]Mapping!$B$4:$C$37,2,0)</f>
        <v>[Cake] - Cashloan</v>
      </c>
      <c r="H14597" s="128" t="str">
        <f>VLOOKUP(source[[#This Row],[lending_product_transform]],[3]Mapping!$B$3:$D$37,3,0)</f>
        <v>cashloan</v>
      </c>
      <c r="I14597" s="137">
        <v>52500000</v>
      </c>
    </row>
    <row r="14598" spans="1:9" x14ac:dyDescent="0.2">
      <c r="A14598" s="134">
        <v>46125</v>
      </c>
      <c r="B14598" s="135">
        <f>YEAR(source[[#This Row],[report_date]])</f>
        <v>2026</v>
      </c>
      <c r="C14598" s="128">
        <f t="shared" si="683"/>
        <v>4</v>
      </c>
      <c r="D14598" s="136">
        <f t="shared" si="682"/>
        <v>16</v>
      </c>
      <c r="E14598" s="136">
        <f t="shared" si="684"/>
        <v>13</v>
      </c>
      <c r="F14598" s="137" t="s">
        <v>24</v>
      </c>
      <c r="G14598" s="128" t="str">
        <f>VLOOKUP(source[[#This Row],[lending_product_transform]],[3]Mapping!$B$4:$C$37,2,0)</f>
        <v>[Cake] - Cashloan</v>
      </c>
      <c r="H14598" s="128" t="str">
        <f>VLOOKUP(source[[#This Row],[lending_product_transform]],[3]Mapping!$B$3:$D$37,3,0)</f>
        <v>cashloan</v>
      </c>
      <c r="I14598" s="137">
        <v>0</v>
      </c>
    </row>
    <row r="14599" spans="1:9" x14ac:dyDescent="0.2">
      <c r="A14599" s="134">
        <v>46125</v>
      </c>
      <c r="B14599" s="135">
        <f>YEAR(source[[#This Row],[report_date]])</f>
        <v>2026</v>
      </c>
      <c r="C14599" s="128">
        <f t="shared" si="683"/>
        <v>4</v>
      </c>
      <c r="D14599" s="136">
        <f t="shared" si="682"/>
        <v>16</v>
      </c>
      <c r="E14599" s="136">
        <f t="shared" si="684"/>
        <v>13</v>
      </c>
      <c r="F14599" s="137" t="s">
        <v>24</v>
      </c>
      <c r="G14599" s="128" t="str">
        <f>VLOOKUP(source[[#This Row],[lending_product_transform]],[3]Mapping!$B$4:$C$37,2,0)</f>
        <v>[Cake] - Cashloan</v>
      </c>
      <c r="H14599" s="128" t="str">
        <f>VLOOKUP(source[[#This Row],[lending_product_transform]],[3]Mapping!$B$3:$D$37,3,0)</f>
        <v>cashloan</v>
      </c>
      <c r="I14599" s="137">
        <v>17959910000</v>
      </c>
    </row>
    <row r="14600" spans="1:9" x14ac:dyDescent="0.2">
      <c r="A14600" s="134">
        <v>46125</v>
      </c>
      <c r="B14600" s="135">
        <f>YEAR(source[[#This Row],[report_date]])</f>
        <v>2026</v>
      </c>
      <c r="C14600" s="128">
        <f t="shared" si="683"/>
        <v>4</v>
      </c>
      <c r="D14600" s="136">
        <f t="shared" si="682"/>
        <v>16</v>
      </c>
      <c r="E14600" s="136">
        <f t="shared" si="684"/>
        <v>13</v>
      </c>
      <c r="F14600" s="137" t="s">
        <v>24</v>
      </c>
      <c r="G14600" s="128" t="str">
        <f>VLOOKUP(source[[#This Row],[lending_product_transform]],[3]Mapping!$B$4:$C$37,2,0)</f>
        <v>[Cake] - Cashloan</v>
      </c>
      <c r="H14600" s="128" t="str">
        <f>VLOOKUP(source[[#This Row],[lending_product_transform]],[3]Mapping!$B$3:$D$37,3,0)</f>
        <v>cashloan</v>
      </c>
      <c r="I14600" s="137">
        <v>0</v>
      </c>
    </row>
    <row r="14601" spans="1:9" x14ac:dyDescent="0.2">
      <c r="A14601" s="134">
        <v>46125</v>
      </c>
      <c r="B14601" s="135">
        <f>YEAR(source[[#This Row],[report_date]])</f>
        <v>2026</v>
      </c>
      <c r="C14601" s="128">
        <f t="shared" si="683"/>
        <v>4</v>
      </c>
      <c r="D14601" s="136">
        <f t="shared" si="682"/>
        <v>16</v>
      </c>
      <c r="E14601" s="136">
        <f t="shared" si="684"/>
        <v>13</v>
      </c>
      <c r="F14601" s="137" t="s">
        <v>24</v>
      </c>
      <c r="G14601" s="128" t="str">
        <f>VLOOKUP(source[[#This Row],[lending_product_transform]],[3]Mapping!$B$4:$C$37,2,0)</f>
        <v>[Cake] - Cashloan</v>
      </c>
      <c r="H14601" s="128" t="str">
        <f>VLOOKUP(source[[#This Row],[lending_product_transform]],[3]Mapping!$B$3:$D$37,3,0)</f>
        <v>cashloan</v>
      </c>
      <c r="I14601" s="137">
        <v>0</v>
      </c>
    </row>
    <row r="14602" spans="1:9" x14ac:dyDescent="0.2">
      <c r="A14602" s="134">
        <v>46125</v>
      </c>
      <c r="B14602" s="135">
        <f>YEAR(source[[#This Row],[report_date]])</f>
        <v>2026</v>
      </c>
      <c r="C14602" s="128">
        <f t="shared" si="683"/>
        <v>4</v>
      </c>
      <c r="D14602" s="136">
        <f t="shared" si="682"/>
        <v>16</v>
      </c>
      <c r="E14602" s="136">
        <f t="shared" si="684"/>
        <v>13</v>
      </c>
      <c r="F14602" s="137" t="s">
        <v>24</v>
      </c>
      <c r="G14602" s="128" t="str">
        <f>VLOOKUP(source[[#This Row],[lending_product_transform]],[3]Mapping!$B$4:$C$37,2,0)</f>
        <v>[Cake] - Cashloan</v>
      </c>
      <c r="H14602" s="128" t="str">
        <f>VLOOKUP(source[[#This Row],[lending_product_transform]],[3]Mapping!$B$3:$D$37,3,0)</f>
        <v>cashloan</v>
      </c>
      <c r="I14602" s="137">
        <v>0</v>
      </c>
    </row>
    <row r="14603" spans="1:9" x14ac:dyDescent="0.2">
      <c r="A14603" s="134">
        <v>46125</v>
      </c>
      <c r="B14603" s="135">
        <f>YEAR(source[[#This Row],[report_date]])</f>
        <v>2026</v>
      </c>
      <c r="C14603" s="128">
        <f t="shared" si="683"/>
        <v>4</v>
      </c>
      <c r="D14603" s="136">
        <f t="shared" si="682"/>
        <v>16</v>
      </c>
      <c r="E14603" s="136">
        <f t="shared" si="684"/>
        <v>13</v>
      </c>
      <c r="F14603" s="137" t="s">
        <v>24</v>
      </c>
      <c r="G14603" s="128" t="str">
        <f>VLOOKUP(source[[#This Row],[lending_product_transform]],[3]Mapping!$B$4:$C$37,2,0)</f>
        <v>[Cake] - Cashloan</v>
      </c>
      <c r="H14603" s="128" t="str">
        <f>VLOOKUP(source[[#This Row],[lending_product_transform]],[3]Mapping!$B$3:$D$37,3,0)</f>
        <v>cashloan</v>
      </c>
      <c r="I14603" s="137">
        <v>0</v>
      </c>
    </row>
    <row r="14604" spans="1:9" x14ac:dyDescent="0.2">
      <c r="A14604" s="134">
        <v>46125</v>
      </c>
      <c r="B14604" s="135">
        <f>YEAR(source[[#This Row],[report_date]])</f>
        <v>2026</v>
      </c>
      <c r="C14604" s="128">
        <f t="shared" si="683"/>
        <v>4</v>
      </c>
      <c r="D14604" s="136">
        <f t="shared" si="682"/>
        <v>16</v>
      </c>
      <c r="E14604" s="136">
        <f t="shared" si="684"/>
        <v>13</v>
      </c>
      <c r="F14604" s="137" t="s">
        <v>24</v>
      </c>
      <c r="G14604" s="128" t="str">
        <f>VLOOKUP(source[[#This Row],[lending_product_transform]],[3]Mapping!$B$4:$C$37,2,0)</f>
        <v>[Cake] - Cashloan</v>
      </c>
      <c r="H14604" s="128" t="str">
        <f>VLOOKUP(source[[#This Row],[lending_product_transform]],[3]Mapping!$B$3:$D$37,3,0)</f>
        <v>cashloan</v>
      </c>
      <c r="I14604" s="137">
        <v>10580652000</v>
      </c>
    </row>
    <row r="14605" spans="1:9" x14ac:dyDescent="0.2">
      <c r="A14605" s="134">
        <v>46125</v>
      </c>
      <c r="B14605" s="135">
        <f>YEAR(source[[#This Row],[report_date]])</f>
        <v>2026</v>
      </c>
      <c r="C14605" s="128">
        <f t="shared" si="683"/>
        <v>4</v>
      </c>
      <c r="D14605" s="136">
        <f t="shared" si="682"/>
        <v>16</v>
      </c>
      <c r="E14605" s="136">
        <f t="shared" si="684"/>
        <v>13</v>
      </c>
      <c r="F14605" s="137" t="s">
        <v>24</v>
      </c>
      <c r="G14605" s="128" t="str">
        <f>VLOOKUP(source[[#This Row],[lending_product_transform]],[3]Mapping!$B$4:$C$37,2,0)</f>
        <v>[Cake] - Cashloan</v>
      </c>
      <c r="H14605" s="128" t="str">
        <f>VLOOKUP(source[[#This Row],[lending_product_transform]],[3]Mapping!$B$3:$D$37,3,0)</f>
        <v>cashloan</v>
      </c>
      <c r="I14605" s="137">
        <v>178900462</v>
      </c>
    </row>
    <row r="14606" spans="1:9" x14ac:dyDescent="0.2">
      <c r="A14606" s="134">
        <v>46125</v>
      </c>
      <c r="B14606" s="135">
        <f>YEAR(source[[#This Row],[report_date]])</f>
        <v>2026</v>
      </c>
      <c r="C14606" s="128">
        <f t="shared" si="683"/>
        <v>4</v>
      </c>
      <c r="D14606" s="136">
        <f t="shared" si="682"/>
        <v>16</v>
      </c>
      <c r="E14606" s="136">
        <f t="shared" si="684"/>
        <v>13</v>
      </c>
      <c r="F14606" s="137" t="s">
        <v>24</v>
      </c>
      <c r="G14606" s="128" t="str">
        <f>VLOOKUP(source[[#This Row],[lending_product_transform]],[3]Mapping!$B$4:$C$37,2,0)</f>
        <v>[Cake] - Cashloan</v>
      </c>
      <c r="H14606" s="128" t="str">
        <f>VLOOKUP(source[[#This Row],[lending_product_transform]],[3]Mapping!$B$3:$D$37,3,0)</f>
        <v>cashloan</v>
      </c>
      <c r="I14606" s="137">
        <v>31500000</v>
      </c>
    </row>
    <row r="14607" spans="1:9" x14ac:dyDescent="0.2">
      <c r="A14607" s="134">
        <v>46125</v>
      </c>
      <c r="B14607" s="135">
        <f>YEAR(source[[#This Row],[report_date]])</f>
        <v>2026</v>
      </c>
      <c r="C14607" s="128">
        <f t="shared" si="683"/>
        <v>4</v>
      </c>
      <c r="D14607" s="136">
        <f t="shared" si="682"/>
        <v>16</v>
      </c>
      <c r="E14607" s="136">
        <f t="shared" si="684"/>
        <v>13</v>
      </c>
      <c r="F14607" s="137" t="s">
        <v>24</v>
      </c>
      <c r="G14607" s="128" t="str">
        <f>VLOOKUP(source[[#This Row],[lending_product_transform]],[3]Mapping!$B$4:$C$37,2,0)</f>
        <v>[Cake] - Cashloan</v>
      </c>
      <c r="H14607" s="128" t="str">
        <f>VLOOKUP(source[[#This Row],[lending_product_transform]],[3]Mapping!$B$3:$D$37,3,0)</f>
        <v>cashloan</v>
      </c>
      <c r="I14607" s="137">
        <v>53000000</v>
      </c>
    </row>
    <row r="14608" spans="1:9" x14ac:dyDescent="0.2">
      <c r="A14608" s="134">
        <v>46125</v>
      </c>
      <c r="B14608" s="135">
        <f>YEAR(source[[#This Row],[report_date]])</f>
        <v>2026</v>
      </c>
      <c r="C14608" s="128">
        <f t="shared" si="683"/>
        <v>4</v>
      </c>
      <c r="D14608" s="136">
        <f t="shared" si="682"/>
        <v>16</v>
      </c>
      <c r="E14608" s="136">
        <f t="shared" si="684"/>
        <v>13</v>
      </c>
      <c r="F14608" s="137" t="s">
        <v>24</v>
      </c>
      <c r="G14608" s="128" t="str">
        <f>VLOOKUP(source[[#This Row],[lending_product_transform]],[3]Mapping!$B$4:$C$37,2,0)</f>
        <v>[Cake] - Cashloan</v>
      </c>
      <c r="H14608" s="128" t="str">
        <f>VLOOKUP(source[[#This Row],[lending_product_transform]],[3]Mapping!$B$3:$D$37,3,0)</f>
        <v>cashloan</v>
      </c>
      <c r="I14608" s="137">
        <v>537320000</v>
      </c>
    </row>
    <row r="14609" spans="1:9" x14ac:dyDescent="0.2">
      <c r="A14609" s="134">
        <v>46125</v>
      </c>
      <c r="B14609" s="135">
        <f>YEAR(source[[#This Row],[report_date]])</f>
        <v>2026</v>
      </c>
      <c r="C14609" s="128">
        <f t="shared" si="683"/>
        <v>4</v>
      </c>
      <c r="D14609" s="136">
        <f t="shared" ref="D14609:D14672" si="685">WEEKNUM(A14609,2)</f>
        <v>16</v>
      </c>
      <c r="E14609" s="136">
        <f t="shared" si="684"/>
        <v>13</v>
      </c>
      <c r="F14609" s="137" t="s">
        <v>24</v>
      </c>
      <c r="G14609" s="128" t="str">
        <f>VLOOKUP(source[[#This Row],[lending_product_transform]],[3]Mapping!$B$4:$C$37,2,0)</f>
        <v>[Cake] - Cashloan</v>
      </c>
      <c r="H14609" s="128" t="str">
        <f>VLOOKUP(source[[#This Row],[lending_product_transform]],[3]Mapping!$B$3:$D$37,3,0)</f>
        <v>cashloan</v>
      </c>
      <c r="I14609" s="137">
        <v>369684000</v>
      </c>
    </row>
    <row r="14610" spans="1:9" x14ac:dyDescent="0.2">
      <c r="A14610" s="134">
        <v>46125</v>
      </c>
      <c r="B14610" s="135">
        <f>YEAR(source[[#This Row],[report_date]])</f>
        <v>2026</v>
      </c>
      <c r="C14610" s="128">
        <f t="shared" si="683"/>
        <v>4</v>
      </c>
      <c r="D14610" s="136">
        <f t="shared" si="685"/>
        <v>16</v>
      </c>
      <c r="E14610" s="136">
        <f t="shared" si="684"/>
        <v>13</v>
      </c>
      <c r="F14610" s="137" t="s">
        <v>24</v>
      </c>
      <c r="G14610" s="128" t="str">
        <f>VLOOKUP(source[[#This Row],[lending_product_transform]],[3]Mapping!$B$4:$C$37,2,0)</f>
        <v>[Cake] - Cashloan</v>
      </c>
      <c r="H14610" s="128" t="str">
        <f>VLOOKUP(source[[#This Row],[lending_product_transform]],[3]Mapping!$B$3:$D$37,3,0)</f>
        <v>cashloan</v>
      </c>
      <c r="I14610" s="137">
        <v>301895258</v>
      </c>
    </row>
    <row r="14611" spans="1:9" x14ac:dyDescent="0.2">
      <c r="A14611" s="134">
        <v>46125</v>
      </c>
      <c r="B14611" s="135">
        <f>YEAR(source[[#This Row],[report_date]])</f>
        <v>2026</v>
      </c>
      <c r="C14611" s="128">
        <f t="shared" si="683"/>
        <v>4</v>
      </c>
      <c r="D14611" s="136">
        <f t="shared" si="685"/>
        <v>16</v>
      </c>
      <c r="E14611" s="136">
        <f t="shared" si="684"/>
        <v>13</v>
      </c>
      <c r="F14611" s="137" t="s">
        <v>24</v>
      </c>
      <c r="G14611" s="128" t="str">
        <f>VLOOKUP(source[[#This Row],[lending_product_transform]],[3]Mapping!$B$4:$C$37,2,0)</f>
        <v>[Cake] - Cashloan</v>
      </c>
      <c r="H14611" s="128" t="str">
        <f>VLOOKUP(source[[#This Row],[lending_product_transform]],[3]Mapping!$B$3:$D$37,3,0)</f>
        <v>cashloan</v>
      </c>
      <c r="I14611" s="137">
        <v>5343780000</v>
      </c>
    </row>
    <row r="14612" spans="1:9" x14ac:dyDescent="0.2">
      <c r="A14612" s="134">
        <v>46125</v>
      </c>
      <c r="B14612" s="135">
        <f>YEAR(source[[#This Row],[report_date]])</f>
        <v>2026</v>
      </c>
      <c r="C14612" s="128">
        <f t="shared" si="683"/>
        <v>4</v>
      </c>
      <c r="D14612" s="136">
        <f t="shared" si="685"/>
        <v>16</v>
      </c>
      <c r="E14612" s="136">
        <f t="shared" si="684"/>
        <v>13</v>
      </c>
      <c r="F14612" s="137" t="s">
        <v>24</v>
      </c>
      <c r="G14612" s="128" t="str">
        <f>VLOOKUP(source[[#This Row],[lending_product_transform]],[3]Mapping!$B$4:$C$37,2,0)</f>
        <v>[Cake] - Cashloan</v>
      </c>
      <c r="H14612" s="128" t="str">
        <f>VLOOKUP(source[[#This Row],[lending_product_transform]],[3]Mapping!$B$3:$D$37,3,0)</f>
        <v>cashloan</v>
      </c>
      <c r="I14612" s="137">
        <v>2160000</v>
      </c>
    </row>
    <row r="14613" spans="1:9" x14ac:dyDescent="0.2">
      <c r="A14613" s="134">
        <v>46126</v>
      </c>
      <c r="B14613" s="135">
        <f>YEAR(source[[#This Row],[report_date]])</f>
        <v>2026</v>
      </c>
      <c r="C14613" s="128">
        <f t="shared" si="683"/>
        <v>4</v>
      </c>
      <c r="D14613" s="136">
        <f t="shared" si="685"/>
        <v>16</v>
      </c>
      <c r="E14613" s="136">
        <f t="shared" si="684"/>
        <v>14</v>
      </c>
      <c r="F14613" s="137" t="s">
        <v>24</v>
      </c>
      <c r="G14613" s="128" t="str">
        <f>VLOOKUP(source[[#This Row],[lending_product_transform]],[3]Mapping!$B$4:$C$37,2,0)</f>
        <v>[Cake] - Cashloan</v>
      </c>
      <c r="H14613" s="128" t="str">
        <f>VLOOKUP(source[[#This Row],[lending_product_transform]],[3]Mapping!$B$3:$D$37,3,0)</f>
        <v>cashloan</v>
      </c>
      <c r="I14613" s="137">
        <v>386090000</v>
      </c>
    </row>
    <row r="14614" spans="1:9" x14ac:dyDescent="0.2">
      <c r="A14614" s="134">
        <v>46126</v>
      </c>
      <c r="B14614" s="135">
        <f>YEAR(source[[#This Row],[report_date]])</f>
        <v>2026</v>
      </c>
      <c r="C14614" s="128">
        <f t="shared" si="683"/>
        <v>4</v>
      </c>
      <c r="D14614" s="136">
        <f t="shared" si="685"/>
        <v>16</v>
      </c>
      <c r="E14614" s="136">
        <f t="shared" si="684"/>
        <v>14</v>
      </c>
      <c r="F14614" s="137" t="s">
        <v>24</v>
      </c>
      <c r="G14614" s="128" t="str">
        <f>VLOOKUP(source[[#This Row],[lending_product_transform]],[3]Mapping!$B$4:$C$37,2,0)</f>
        <v>[Cake] - Cashloan</v>
      </c>
      <c r="H14614" s="128" t="str">
        <f>VLOOKUP(source[[#This Row],[lending_product_transform]],[3]Mapping!$B$3:$D$37,3,0)</f>
        <v>cashloan</v>
      </c>
      <c r="I14614" s="137">
        <v>255411827</v>
      </c>
    </row>
    <row r="14615" spans="1:9" x14ac:dyDescent="0.2">
      <c r="A14615" s="134">
        <v>46126</v>
      </c>
      <c r="B14615" s="135">
        <f>YEAR(source[[#This Row],[report_date]])</f>
        <v>2026</v>
      </c>
      <c r="C14615" s="128">
        <f t="shared" si="683"/>
        <v>4</v>
      </c>
      <c r="D14615" s="136">
        <f t="shared" si="685"/>
        <v>16</v>
      </c>
      <c r="E14615" s="136">
        <f t="shared" si="684"/>
        <v>14</v>
      </c>
      <c r="F14615" s="137" t="s">
        <v>24</v>
      </c>
      <c r="G14615" s="128" t="str">
        <f>VLOOKUP(source[[#This Row],[lending_product_transform]],[3]Mapping!$B$4:$C$37,2,0)</f>
        <v>[Cake] - Cashloan</v>
      </c>
      <c r="H14615" s="128" t="str">
        <f>VLOOKUP(source[[#This Row],[lending_product_transform]],[3]Mapping!$B$3:$D$37,3,0)</f>
        <v>cashloan</v>
      </c>
      <c r="I14615" s="137">
        <v>14958530000</v>
      </c>
    </row>
    <row r="14616" spans="1:9" x14ac:dyDescent="0.2">
      <c r="A14616" s="134">
        <v>46126</v>
      </c>
      <c r="B14616" s="135">
        <f>YEAR(source[[#This Row],[report_date]])</f>
        <v>2026</v>
      </c>
      <c r="C14616" s="128">
        <f t="shared" si="683"/>
        <v>4</v>
      </c>
      <c r="D14616" s="136">
        <f t="shared" si="685"/>
        <v>16</v>
      </c>
      <c r="E14616" s="136">
        <f t="shared" si="684"/>
        <v>14</v>
      </c>
      <c r="F14616" s="137" t="s">
        <v>24</v>
      </c>
      <c r="G14616" s="128" t="str">
        <f>VLOOKUP(source[[#This Row],[lending_product_transform]],[3]Mapping!$B$4:$C$37,2,0)</f>
        <v>[Cake] - Cashloan</v>
      </c>
      <c r="H14616" s="128" t="str">
        <f>VLOOKUP(source[[#This Row],[lending_product_transform]],[3]Mapping!$B$3:$D$37,3,0)</f>
        <v>cashloan</v>
      </c>
      <c r="I14616" s="137">
        <v>1362590416</v>
      </c>
    </row>
    <row r="14617" spans="1:9" x14ac:dyDescent="0.2">
      <c r="A14617" s="134">
        <v>46126</v>
      </c>
      <c r="B14617" s="135">
        <f>YEAR(source[[#This Row],[report_date]])</f>
        <v>2026</v>
      </c>
      <c r="C14617" s="128">
        <f t="shared" si="683"/>
        <v>4</v>
      </c>
      <c r="D14617" s="136">
        <f t="shared" si="685"/>
        <v>16</v>
      </c>
      <c r="E14617" s="136">
        <f t="shared" si="684"/>
        <v>14</v>
      </c>
      <c r="F14617" s="137" t="s">
        <v>24</v>
      </c>
      <c r="G14617" s="128" t="str">
        <f>VLOOKUP(source[[#This Row],[lending_product_transform]],[3]Mapping!$B$4:$C$37,2,0)</f>
        <v>[Cake] - Cashloan</v>
      </c>
      <c r="H14617" s="128" t="str">
        <f>VLOOKUP(source[[#This Row],[lending_product_transform]],[3]Mapping!$B$3:$D$37,3,0)</f>
        <v>cashloan</v>
      </c>
      <c r="I14617" s="137">
        <v>13722588000</v>
      </c>
    </row>
    <row r="14618" spans="1:9" x14ac:dyDescent="0.2">
      <c r="A14618" s="134">
        <v>46126</v>
      </c>
      <c r="B14618" s="135">
        <f>YEAR(source[[#This Row],[report_date]])</f>
        <v>2026</v>
      </c>
      <c r="C14618" s="128">
        <f t="shared" si="683"/>
        <v>4</v>
      </c>
      <c r="D14618" s="136">
        <f t="shared" si="685"/>
        <v>16</v>
      </c>
      <c r="E14618" s="136">
        <f t="shared" si="684"/>
        <v>14</v>
      </c>
      <c r="F14618" s="137" t="s">
        <v>24</v>
      </c>
      <c r="G14618" s="128" t="str">
        <f>VLOOKUP(source[[#This Row],[lending_product_transform]],[3]Mapping!$B$4:$C$37,2,0)</f>
        <v>[Cake] - Cashloan</v>
      </c>
      <c r="H14618" s="128" t="str">
        <f>VLOOKUP(source[[#This Row],[lending_product_transform]],[3]Mapping!$B$3:$D$37,3,0)</f>
        <v>cashloan</v>
      </c>
      <c r="I14618" s="137">
        <v>0</v>
      </c>
    </row>
    <row r="14619" spans="1:9" x14ac:dyDescent="0.2">
      <c r="A14619" s="134">
        <v>46126</v>
      </c>
      <c r="B14619" s="135">
        <f>YEAR(source[[#This Row],[report_date]])</f>
        <v>2026</v>
      </c>
      <c r="C14619" s="128">
        <f t="shared" si="683"/>
        <v>4</v>
      </c>
      <c r="D14619" s="136">
        <f t="shared" si="685"/>
        <v>16</v>
      </c>
      <c r="E14619" s="136">
        <f t="shared" si="684"/>
        <v>14</v>
      </c>
      <c r="F14619" s="137" t="s">
        <v>24</v>
      </c>
      <c r="G14619" s="128" t="str">
        <f>VLOOKUP(source[[#This Row],[lending_product_transform]],[3]Mapping!$B$4:$C$37,2,0)</f>
        <v>[Cake] - Cashloan</v>
      </c>
      <c r="H14619" s="128" t="str">
        <f>VLOOKUP(source[[#This Row],[lending_product_transform]],[3]Mapping!$B$3:$D$37,3,0)</f>
        <v>cashloan</v>
      </c>
      <c r="I14619" s="137">
        <v>90000000</v>
      </c>
    </row>
    <row r="14620" spans="1:9" x14ac:dyDescent="0.2">
      <c r="A14620" s="134">
        <v>46126</v>
      </c>
      <c r="B14620" s="135">
        <f>YEAR(source[[#This Row],[report_date]])</f>
        <v>2026</v>
      </c>
      <c r="C14620" s="128">
        <f t="shared" si="683"/>
        <v>4</v>
      </c>
      <c r="D14620" s="136">
        <f t="shared" si="685"/>
        <v>16</v>
      </c>
      <c r="E14620" s="136">
        <f t="shared" si="684"/>
        <v>14</v>
      </c>
      <c r="F14620" s="137" t="s">
        <v>24</v>
      </c>
      <c r="G14620" s="128" t="str">
        <f>VLOOKUP(source[[#This Row],[lending_product_transform]],[3]Mapping!$B$4:$C$37,2,0)</f>
        <v>[Cake] - Cashloan</v>
      </c>
      <c r="H14620" s="128" t="str">
        <f>VLOOKUP(source[[#This Row],[lending_product_transform]],[3]Mapping!$B$3:$D$37,3,0)</f>
        <v>cashloan</v>
      </c>
      <c r="I14620" s="137">
        <v>2837450000</v>
      </c>
    </row>
    <row r="14621" spans="1:9" x14ac:dyDescent="0.2">
      <c r="A14621" s="134">
        <v>46126</v>
      </c>
      <c r="B14621" s="135">
        <f>YEAR(source[[#This Row],[report_date]])</f>
        <v>2026</v>
      </c>
      <c r="C14621" s="128">
        <f t="shared" si="683"/>
        <v>4</v>
      </c>
      <c r="D14621" s="136">
        <f t="shared" si="685"/>
        <v>16</v>
      </c>
      <c r="E14621" s="136">
        <f t="shared" si="684"/>
        <v>14</v>
      </c>
      <c r="F14621" s="137" t="s">
        <v>24</v>
      </c>
      <c r="G14621" s="128" t="str">
        <f>VLOOKUP(source[[#This Row],[lending_product_transform]],[3]Mapping!$B$4:$C$37,2,0)</f>
        <v>[Cake] - Cashloan</v>
      </c>
      <c r="H14621" s="128" t="str">
        <f>VLOOKUP(source[[#This Row],[lending_product_transform]],[3]Mapping!$B$3:$D$37,3,0)</f>
        <v>cashloan</v>
      </c>
      <c r="I14621" s="137">
        <v>567530000</v>
      </c>
    </row>
    <row r="14622" spans="1:9" x14ac:dyDescent="0.2">
      <c r="A14622" s="134">
        <v>46126</v>
      </c>
      <c r="B14622" s="135">
        <f>YEAR(source[[#This Row],[report_date]])</f>
        <v>2026</v>
      </c>
      <c r="C14622" s="128">
        <f t="shared" si="683"/>
        <v>4</v>
      </c>
      <c r="D14622" s="136">
        <f t="shared" si="685"/>
        <v>16</v>
      </c>
      <c r="E14622" s="136">
        <f t="shared" si="684"/>
        <v>14</v>
      </c>
      <c r="F14622" s="137" t="s">
        <v>24</v>
      </c>
      <c r="G14622" s="128" t="str">
        <f>VLOOKUP(source[[#This Row],[lending_product_transform]],[3]Mapping!$B$4:$C$37,2,0)</f>
        <v>[Cake] - Cashloan</v>
      </c>
      <c r="H14622" s="128" t="str">
        <f>VLOOKUP(source[[#This Row],[lending_product_transform]],[3]Mapping!$B$3:$D$37,3,0)</f>
        <v>cashloan</v>
      </c>
      <c r="I14622" s="137">
        <v>1828000</v>
      </c>
    </row>
    <row r="14623" spans="1:9" x14ac:dyDescent="0.2">
      <c r="A14623" s="134">
        <v>46126</v>
      </c>
      <c r="B14623" s="135">
        <f>YEAR(source[[#This Row],[report_date]])</f>
        <v>2026</v>
      </c>
      <c r="C14623" s="128">
        <f t="shared" si="683"/>
        <v>4</v>
      </c>
      <c r="D14623" s="136">
        <f t="shared" si="685"/>
        <v>16</v>
      </c>
      <c r="E14623" s="136">
        <f t="shared" si="684"/>
        <v>14</v>
      </c>
      <c r="F14623" s="137" t="s">
        <v>24</v>
      </c>
      <c r="G14623" s="128" t="str">
        <f>VLOOKUP(source[[#This Row],[lending_product_transform]],[3]Mapping!$B$4:$C$37,2,0)</f>
        <v>[Cake] - Cashloan</v>
      </c>
      <c r="H14623" s="128" t="str">
        <f>VLOOKUP(source[[#This Row],[lending_product_transform]],[3]Mapping!$B$3:$D$37,3,0)</f>
        <v>cashloan</v>
      </c>
      <c r="I14623" s="137">
        <v>932321018</v>
      </c>
    </row>
    <row r="14624" spans="1:9" x14ac:dyDescent="0.2">
      <c r="A14624" s="134">
        <v>46126</v>
      </c>
      <c r="B14624" s="135">
        <f>YEAR(source[[#This Row],[report_date]])</f>
        <v>2026</v>
      </c>
      <c r="C14624" s="128">
        <f t="shared" si="683"/>
        <v>4</v>
      </c>
      <c r="D14624" s="136">
        <f t="shared" si="685"/>
        <v>16</v>
      </c>
      <c r="E14624" s="136">
        <f t="shared" si="684"/>
        <v>14</v>
      </c>
      <c r="F14624" s="137" t="s">
        <v>24</v>
      </c>
      <c r="G14624" s="128" t="str">
        <f>VLOOKUP(source[[#This Row],[lending_product_transform]],[3]Mapping!$B$4:$C$37,2,0)</f>
        <v>[Cake] - Cashloan</v>
      </c>
      <c r="H14624" s="128" t="str">
        <f>VLOOKUP(source[[#This Row],[lending_product_transform]],[3]Mapping!$B$3:$D$37,3,0)</f>
        <v>cashloan</v>
      </c>
      <c r="I14624" s="137">
        <v>0</v>
      </c>
    </row>
    <row r="14625" spans="1:9" x14ac:dyDescent="0.2">
      <c r="A14625" s="134">
        <v>46126</v>
      </c>
      <c r="B14625" s="135">
        <f>YEAR(source[[#This Row],[report_date]])</f>
        <v>2026</v>
      </c>
      <c r="C14625" s="128">
        <f t="shared" si="683"/>
        <v>4</v>
      </c>
      <c r="D14625" s="136">
        <f t="shared" si="685"/>
        <v>16</v>
      </c>
      <c r="E14625" s="136">
        <f t="shared" si="684"/>
        <v>14</v>
      </c>
      <c r="F14625" s="137" t="s">
        <v>24</v>
      </c>
      <c r="G14625" s="128" t="str">
        <f>VLOOKUP(source[[#This Row],[lending_product_transform]],[3]Mapping!$B$4:$C$37,2,0)</f>
        <v>[Cake] - Cashloan</v>
      </c>
      <c r="H14625" s="128" t="str">
        <f>VLOOKUP(source[[#This Row],[lending_product_transform]],[3]Mapping!$B$3:$D$37,3,0)</f>
        <v>cashloan</v>
      </c>
      <c r="I14625" s="137">
        <v>93250000</v>
      </c>
    </row>
    <row r="14626" spans="1:9" x14ac:dyDescent="0.2">
      <c r="A14626" s="134">
        <v>46126</v>
      </c>
      <c r="B14626" s="135">
        <f>YEAR(source[[#This Row],[report_date]])</f>
        <v>2026</v>
      </c>
      <c r="C14626" s="128">
        <f t="shared" si="683"/>
        <v>4</v>
      </c>
      <c r="D14626" s="136">
        <f t="shared" si="685"/>
        <v>16</v>
      </c>
      <c r="E14626" s="136">
        <f t="shared" si="684"/>
        <v>14</v>
      </c>
      <c r="F14626" s="137" t="s">
        <v>24</v>
      </c>
      <c r="G14626" s="128" t="str">
        <f>VLOOKUP(source[[#This Row],[lending_product_transform]],[3]Mapping!$B$4:$C$37,2,0)</f>
        <v>[Cake] - Cashloan</v>
      </c>
      <c r="H14626" s="128" t="str">
        <f>VLOOKUP(source[[#This Row],[lending_product_transform]],[3]Mapping!$B$3:$D$37,3,0)</f>
        <v>cashloan</v>
      </c>
      <c r="I14626" s="137">
        <v>0</v>
      </c>
    </row>
    <row r="14627" spans="1:9" x14ac:dyDescent="0.2">
      <c r="A14627" s="134">
        <v>46126</v>
      </c>
      <c r="B14627" s="135">
        <f>YEAR(source[[#This Row],[report_date]])</f>
        <v>2026</v>
      </c>
      <c r="C14627" s="128">
        <f t="shared" si="683"/>
        <v>4</v>
      </c>
      <c r="D14627" s="136">
        <f t="shared" si="685"/>
        <v>16</v>
      </c>
      <c r="E14627" s="136">
        <f t="shared" si="684"/>
        <v>14</v>
      </c>
      <c r="F14627" s="137" t="s">
        <v>24</v>
      </c>
      <c r="G14627" s="128" t="str">
        <f>VLOOKUP(source[[#This Row],[lending_product_transform]],[3]Mapping!$B$4:$C$37,2,0)</f>
        <v>[Cake] - Cashloan</v>
      </c>
      <c r="H14627" s="128" t="str">
        <f>VLOOKUP(source[[#This Row],[lending_product_transform]],[3]Mapping!$B$3:$D$37,3,0)</f>
        <v>cashloan</v>
      </c>
      <c r="I14627" s="137">
        <v>18714060000</v>
      </c>
    </row>
    <row r="14628" spans="1:9" x14ac:dyDescent="0.2">
      <c r="A14628" s="134">
        <v>46126</v>
      </c>
      <c r="B14628" s="135">
        <f>YEAR(source[[#This Row],[report_date]])</f>
        <v>2026</v>
      </c>
      <c r="C14628" s="128">
        <f t="shared" si="683"/>
        <v>4</v>
      </c>
      <c r="D14628" s="136">
        <f t="shared" si="685"/>
        <v>16</v>
      </c>
      <c r="E14628" s="136">
        <f t="shared" si="684"/>
        <v>14</v>
      </c>
      <c r="F14628" s="137" t="s">
        <v>24</v>
      </c>
      <c r="G14628" s="128" t="str">
        <f>VLOOKUP(source[[#This Row],[lending_product_transform]],[3]Mapping!$B$4:$C$37,2,0)</f>
        <v>[Cake] - Cashloan</v>
      </c>
      <c r="H14628" s="128" t="str">
        <f>VLOOKUP(source[[#This Row],[lending_product_transform]],[3]Mapping!$B$3:$D$37,3,0)</f>
        <v>cashloan</v>
      </c>
      <c r="I14628" s="137">
        <v>0</v>
      </c>
    </row>
    <row r="14629" spans="1:9" x14ac:dyDescent="0.2">
      <c r="A14629" s="134">
        <v>46126</v>
      </c>
      <c r="B14629" s="135">
        <f>YEAR(source[[#This Row],[report_date]])</f>
        <v>2026</v>
      </c>
      <c r="C14629" s="128">
        <f t="shared" si="683"/>
        <v>4</v>
      </c>
      <c r="D14629" s="136">
        <f t="shared" si="685"/>
        <v>16</v>
      </c>
      <c r="E14629" s="136">
        <f t="shared" si="684"/>
        <v>14</v>
      </c>
      <c r="F14629" s="137" t="s">
        <v>24</v>
      </c>
      <c r="G14629" s="128" t="str">
        <f>VLOOKUP(source[[#This Row],[lending_product_transform]],[3]Mapping!$B$4:$C$37,2,0)</f>
        <v>[Cake] - Cashloan</v>
      </c>
      <c r="H14629" s="128" t="str">
        <f>VLOOKUP(source[[#This Row],[lending_product_transform]],[3]Mapping!$B$3:$D$37,3,0)</f>
        <v>cashloan</v>
      </c>
      <c r="I14629" s="137">
        <v>0</v>
      </c>
    </row>
    <row r="14630" spans="1:9" x14ac:dyDescent="0.2">
      <c r="A14630" s="134">
        <v>46126</v>
      </c>
      <c r="B14630" s="135">
        <f>YEAR(source[[#This Row],[report_date]])</f>
        <v>2026</v>
      </c>
      <c r="C14630" s="128">
        <f t="shared" si="683"/>
        <v>4</v>
      </c>
      <c r="D14630" s="136">
        <f t="shared" si="685"/>
        <v>16</v>
      </c>
      <c r="E14630" s="136">
        <f t="shared" si="684"/>
        <v>14</v>
      </c>
      <c r="F14630" s="137" t="s">
        <v>24</v>
      </c>
      <c r="G14630" s="128" t="str">
        <f>VLOOKUP(source[[#This Row],[lending_product_transform]],[3]Mapping!$B$4:$C$37,2,0)</f>
        <v>[Cake] - Cashloan</v>
      </c>
      <c r="H14630" s="128" t="str">
        <f>VLOOKUP(source[[#This Row],[lending_product_transform]],[3]Mapping!$B$3:$D$37,3,0)</f>
        <v>cashloan</v>
      </c>
      <c r="I14630" s="137">
        <v>0</v>
      </c>
    </row>
    <row r="14631" spans="1:9" x14ac:dyDescent="0.2">
      <c r="A14631" s="134">
        <v>46126</v>
      </c>
      <c r="B14631" s="135">
        <f>YEAR(source[[#This Row],[report_date]])</f>
        <v>2026</v>
      </c>
      <c r="C14631" s="128">
        <f t="shared" si="683"/>
        <v>4</v>
      </c>
      <c r="D14631" s="136">
        <f t="shared" si="685"/>
        <v>16</v>
      </c>
      <c r="E14631" s="136">
        <f t="shared" si="684"/>
        <v>14</v>
      </c>
      <c r="F14631" s="137" t="s">
        <v>24</v>
      </c>
      <c r="G14631" s="128" t="str">
        <f>VLOOKUP(source[[#This Row],[lending_product_transform]],[3]Mapping!$B$4:$C$37,2,0)</f>
        <v>[Cake] - Cashloan</v>
      </c>
      <c r="H14631" s="128" t="str">
        <f>VLOOKUP(source[[#This Row],[lending_product_transform]],[3]Mapping!$B$3:$D$37,3,0)</f>
        <v>cashloan</v>
      </c>
      <c r="I14631" s="137">
        <v>0</v>
      </c>
    </row>
    <row r="14632" spans="1:9" x14ac:dyDescent="0.2">
      <c r="A14632" s="134">
        <v>46126</v>
      </c>
      <c r="B14632" s="135">
        <f>YEAR(source[[#This Row],[report_date]])</f>
        <v>2026</v>
      </c>
      <c r="C14632" s="128">
        <f t="shared" si="683"/>
        <v>4</v>
      </c>
      <c r="D14632" s="136">
        <f t="shared" si="685"/>
        <v>16</v>
      </c>
      <c r="E14632" s="136">
        <f t="shared" si="684"/>
        <v>14</v>
      </c>
      <c r="F14632" s="137" t="s">
        <v>24</v>
      </c>
      <c r="G14632" s="128" t="str">
        <f>VLOOKUP(source[[#This Row],[lending_product_transform]],[3]Mapping!$B$4:$C$37,2,0)</f>
        <v>[Cake] - Cashloan</v>
      </c>
      <c r="H14632" s="128" t="str">
        <f>VLOOKUP(source[[#This Row],[lending_product_transform]],[3]Mapping!$B$3:$D$37,3,0)</f>
        <v>cashloan</v>
      </c>
      <c r="I14632" s="137">
        <v>10200060000</v>
      </c>
    </row>
    <row r="14633" spans="1:9" x14ac:dyDescent="0.2">
      <c r="A14633" s="134">
        <v>46126</v>
      </c>
      <c r="B14633" s="135">
        <f>YEAR(source[[#This Row],[report_date]])</f>
        <v>2026</v>
      </c>
      <c r="C14633" s="128">
        <f t="shared" si="683"/>
        <v>4</v>
      </c>
      <c r="D14633" s="136">
        <f t="shared" si="685"/>
        <v>16</v>
      </c>
      <c r="E14633" s="136">
        <f t="shared" si="684"/>
        <v>14</v>
      </c>
      <c r="F14633" s="137" t="s">
        <v>24</v>
      </c>
      <c r="G14633" s="128" t="str">
        <f>VLOOKUP(source[[#This Row],[lending_product_transform]],[3]Mapping!$B$4:$C$37,2,0)</f>
        <v>[Cake] - Cashloan</v>
      </c>
      <c r="H14633" s="128" t="str">
        <f>VLOOKUP(source[[#This Row],[lending_product_transform]],[3]Mapping!$B$3:$D$37,3,0)</f>
        <v>cashloan</v>
      </c>
      <c r="I14633" s="137">
        <v>157377981</v>
      </c>
    </row>
    <row r="14634" spans="1:9" x14ac:dyDescent="0.2">
      <c r="A14634" s="134">
        <v>46126</v>
      </c>
      <c r="B14634" s="135">
        <f>YEAR(source[[#This Row],[report_date]])</f>
        <v>2026</v>
      </c>
      <c r="C14634" s="128">
        <f t="shared" si="683"/>
        <v>4</v>
      </c>
      <c r="D14634" s="136">
        <f t="shared" si="685"/>
        <v>16</v>
      </c>
      <c r="E14634" s="136">
        <f t="shared" si="684"/>
        <v>14</v>
      </c>
      <c r="F14634" s="137" t="s">
        <v>24</v>
      </c>
      <c r="G14634" s="128" t="str">
        <f>VLOOKUP(source[[#This Row],[lending_product_transform]],[3]Mapping!$B$4:$C$37,2,0)</f>
        <v>[Cake] - Cashloan</v>
      </c>
      <c r="H14634" s="128" t="str">
        <f>VLOOKUP(source[[#This Row],[lending_product_transform]],[3]Mapping!$B$3:$D$37,3,0)</f>
        <v>cashloan</v>
      </c>
      <c r="I14634" s="137">
        <v>57750000</v>
      </c>
    </row>
    <row r="14635" spans="1:9" x14ac:dyDescent="0.2">
      <c r="A14635" s="134">
        <v>46126</v>
      </c>
      <c r="B14635" s="135">
        <f>YEAR(source[[#This Row],[report_date]])</f>
        <v>2026</v>
      </c>
      <c r="C14635" s="128">
        <f t="shared" si="683"/>
        <v>4</v>
      </c>
      <c r="D14635" s="136">
        <f t="shared" si="685"/>
        <v>16</v>
      </c>
      <c r="E14635" s="136">
        <f t="shared" si="684"/>
        <v>14</v>
      </c>
      <c r="F14635" s="137" t="s">
        <v>24</v>
      </c>
      <c r="G14635" s="128" t="str">
        <f>VLOOKUP(source[[#This Row],[lending_product_transform]],[3]Mapping!$B$4:$C$37,2,0)</f>
        <v>[Cake] - Cashloan</v>
      </c>
      <c r="H14635" s="128" t="str">
        <f>VLOOKUP(source[[#This Row],[lending_product_transform]],[3]Mapping!$B$3:$D$37,3,0)</f>
        <v>cashloan</v>
      </c>
      <c r="I14635" s="137">
        <v>52000000</v>
      </c>
    </row>
    <row r="14636" spans="1:9" x14ac:dyDescent="0.2">
      <c r="A14636" s="134">
        <v>46126</v>
      </c>
      <c r="B14636" s="135">
        <f>YEAR(source[[#This Row],[report_date]])</f>
        <v>2026</v>
      </c>
      <c r="C14636" s="128">
        <f t="shared" si="683"/>
        <v>4</v>
      </c>
      <c r="D14636" s="136">
        <f t="shared" si="685"/>
        <v>16</v>
      </c>
      <c r="E14636" s="136">
        <f t="shared" si="684"/>
        <v>14</v>
      </c>
      <c r="F14636" s="137" t="s">
        <v>24</v>
      </c>
      <c r="G14636" s="128" t="str">
        <f>VLOOKUP(source[[#This Row],[lending_product_transform]],[3]Mapping!$B$4:$C$37,2,0)</f>
        <v>[Cake] - Cashloan</v>
      </c>
      <c r="H14636" s="128" t="str">
        <f>VLOOKUP(source[[#This Row],[lending_product_transform]],[3]Mapping!$B$3:$D$37,3,0)</f>
        <v>cashloan</v>
      </c>
      <c r="I14636" s="137">
        <v>658790000</v>
      </c>
    </row>
    <row r="14637" spans="1:9" x14ac:dyDescent="0.2">
      <c r="A14637" s="134">
        <v>46126</v>
      </c>
      <c r="B14637" s="135">
        <f>YEAR(source[[#This Row],[report_date]])</f>
        <v>2026</v>
      </c>
      <c r="C14637" s="128">
        <f t="shared" si="683"/>
        <v>4</v>
      </c>
      <c r="D14637" s="136">
        <f t="shared" si="685"/>
        <v>16</v>
      </c>
      <c r="E14637" s="136">
        <f t="shared" si="684"/>
        <v>14</v>
      </c>
      <c r="F14637" s="137" t="s">
        <v>24</v>
      </c>
      <c r="G14637" s="128" t="str">
        <f>VLOOKUP(source[[#This Row],[lending_product_transform]],[3]Mapping!$B$4:$C$37,2,0)</f>
        <v>[Cake] - Cashloan</v>
      </c>
      <c r="H14637" s="128" t="str">
        <f>VLOOKUP(source[[#This Row],[lending_product_transform]],[3]Mapping!$B$3:$D$37,3,0)</f>
        <v>cashloan</v>
      </c>
      <c r="I14637" s="137">
        <v>349920000</v>
      </c>
    </row>
    <row r="14638" spans="1:9" x14ac:dyDescent="0.2">
      <c r="A14638" s="134">
        <v>46126</v>
      </c>
      <c r="B14638" s="135">
        <f>YEAR(source[[#This Row],[report_date]])</f>
        <v>2026</v>
      </c>
      <c r="C14638" s="128">
        <f t="shared" si="683"/>
        <v>4</v>
      </c>
      <c r="D14638" s="136">
        <f t="shared" si="685"/>
        <v>16</v>
      </c>
      <c r="E14638" s="136">
        <f t="shared" si="684"/>
        <v>14</v>
      </c>
      <c r="F14638" s="137" t="s">
        <v>24</v>
      </c>
      <c r="G14638" s="128" t="str">
        <f>VLOOKUP(source[[#This Row],[lending_product_transform]],[3]Mapping!$B$4:$C$37,2,0)</f>
        <v>[Cake] - Cashloan</v>
      </c>
      <c r="H14638" s="128" t="str">
        <f>VLOOKUP(source[[#This Row],[lending_product_transform]],[3]Mapping!$B$3:$D$37,3,0)</f>
        <v>cashloan</v>
      </c>
      <c r="I14638" s="137">
        <v>252671303</v>
      </c>
    </row>
    <row r="14639" spans="1:9" x14ac:dyDescent="0.2">
      <c r="A14639" s="134">
        <v>46126</v>
      </c>
      <c r="B14639" s="135">
        <f>YEAR(source[[#This Row],[report_date]])</f>
        <v>2026</v>
      </c>
      <c r="C14639" s="128">
        <f t="shared" si="683"/>
        <v>4</v>
      </c>
      <c r="D14639" s="136">
        <f t="shared" si="685"/>
        <v>16</v>
      </c>
      <c r="E14639" s="136">
        <f t="shared" si="684"/>
        <v>14</v>
      </c>
      <c r="F14639" s="137" t="s">
        <v>24</v>
      </c>
      <c r="G14639" s="128" t="str">
        <f>VLOOKUP(source[[#This Row],[lending_product_transform]],[3]Mapping!$B$4:$C$37,2,0)</f>
        <v>[Cake] - Cashloan</v>
      </c>
      <c r="H14639" s="128" t="str">
        <f>VLOOKUP(source[[#This Row],[lending_product_transform]],[3]Mapping!$B$3:$D$37,3,0)</f>
        <v>cashloan</v>
      </c>
      <c r="I14639" s="137">
        <v>5869520000</v>
      </c>
    </row>
    <row r="14640" spans="1:9" x14ac:dyDescent="0.2">
      <c r="A14640" s="134">
        <v>46126</v>
      </c>
      <c r="B14640" s="135">
        <f>YEAR(source[[#This Row],[report_date]])</f>
        <v>2026</v>
      </c>
      <c r="C14640" s="128">
        <f t="shared" si="683"/>
        <v>4</v>
      </c>
      <c r="D14640" s="136">
        <f t="shared" si="685"/>
        <v>16</v>
      </c>
      <c r="E14640" s="136">
        <f t="shared" si="684"/>
        <v>14</v>
      </c>
      <c r="F14640" s="137" t="s">
        <v>24</v>
      </c>
      <c r="G14640" s="128" t="str">
        <f>VLOOKUP(source[[#This Row],[lending_product_transform]],[3]Mapping!$B$4:$C$37,2,0)</f>
        <v>[Cake] - Cashloan</v>
      </c>
      <c r="H14640" s="128" t="str">
        <f>VLOOKUP(source[[#This Row],[lending_product_transform]],[3]Mapping!$B$3:$D$37,3,0)</f>
        <v>cashloan</v>
      </c>
      <c r="I14640" s="137">
        <v>6480000</v>
      </c>
    </row>
    <row r="14641" spans="1:9" x14ac:dyDescent="0.2">
      <c r="A14641" s="134">
        <v>46127</v>
      </c>
      <c r="B14641" s="135">
        <f>YEAR(source[[#This Row],[report_date]])</f>
        <v>2026</v>
      </c>
      <c r="C14641" s="128">
        <f t="shared" si="683"/>
        <v>4</v>
      </c>
      <c r="D14641" s="136">
        <f t="shared" si="685"/>
        <v>16</v>
      </c>
      <c r="E14641" s="136">
        <f t="shared" si="684"/>
        <v>15</v>
      </c>
      <c r="F14641" s="137" t="s">
        <v>24</v>
      </c>
      <c r="G14641" s="128" t="str">
        <f>VLOOKUP(source[[#This Row],[lending_product_transform]],[3]Mapping!$B$4:$C$37,2,0)</f>
        <v>[Cake] - Cashloan</v>
      </c>
      <c r="H14641" s="128" t="str">
        <f>VLOOKUP(source[[#This Row],[lending_product_transform]],[3]Mapping!$B$3:$D$37,3,0)</f>
        <v>cashloan</v>
      </c>
      <c r="I14641" s="137">
        <v>485090000</v>
      </c>
    </row>
    <row r="14642" spans="1:9" x14ac:dyDescent="0.2">
      <c r="A14642" s="134">
        <v>46127</v>
      </c>
      <c r="B14642" s="135">
        <f>YEAR(source[[#This Row],[report_date]])</f>
        <v>2026</v>
      </c>
      <c r="C14642" s="128">
        <f t="shared" si="683"/>
        <v>4</v>
      </c>
      <c r="D14642" s="136">
        <f t="shared" si="685"/>
        <v>16</v>
      </c>
      <c r="E14642" s="136">
        <f t="shared" si="684"/>
        <v>15</v>
      </c>
      <c r="F14642" s="137" t="s">
        <v>24</v>
      </c>
      <c r="G14642" s="128" t="str">
        <f>VLOOKUP(source[[#This Row],[lending_product_transform]],[3]Mapping!$B$4:$C$37,2,0)</f>
        <v>[Cake] - Cashloan</v>
      </c>
      <c r="H14642" s="128" t="str">
        <f>VLOOKUP(source[[#This Row],[lending_product_transform]],[3]Mapping!$B$3:$D$37,3,0)</f>
        <v>cashloan</v>
      </c>
      <c r="I14642" s="137">
        <v>255129496</v>
      </c>
    </row>
    <row r="14643" spans="1:9" x14ac:dyDescent="0.2">
      <c r="A14643" s="134">
        <v>46127</v>
      </c>
      <c r="B14643" s="135">
        <f>YEAR(source[[#This Row],[report_date]])</f>
        <v>2026</v>
      </c>
      <c r="C14643" s="128">
        <f t="shared" si="683"/>
        <v>4</v>
      </c>
      <c r="D14643" s="136">
        <f t="shared" si="685"/>
        <v>16</v>
      </c>
      <c r="E14643" s="136">
        <f t="shared" si="684"/>
        <v>15</v>
      </c>
      <c r="F14643" s="137" t="s">
        <v>24</v>
      </c>
      <c r="G14643" s="128" t="str">
        <f>VLOOKUP(source[[#This Row],[lending_product_transform]],[3]Mapping!$B$4:$C$37,2,0)</f>
        <v>[Cake] - Cashloan</v>
      </c>
      <c r="H14643" s="128" t="str">
        <f>VLOOKUP(source[[#This Row],[lending_product_transform]],[3]Mapping!$B$3:$D$37,3,0)</f>
        <v>cashloan</v>
      </c>
      <c r="I14643" s="137">
        <v>17456220000</v>
      </c>
    </row>
    <row r="14644" spans="1:9" x14ac:dyDescent="0.2">
      <c r="A14644" s="134">
        <v>46127</v>
      </c>
      <c r="B14644" s="135">
        <f>YEAR(source[[#This Row],[report_date]])</f>
        <v>2026</v>
      </c>
      <c r="C14644" s="128">
        <f t="shared" si="683"/>
        <v>4</v>
      </c>
      <c r="D14644" s="136">
        <f t="shared" si="685"/>
        <v>16</v>
      </c>
      <c r="E14644" s="136">
        <f t="shared" si="684"/>
        <v>15</v>
      </c>
      <c r="F14644" s="137" t="s">
        <v>24</v>
      </c>
      <c r="G14644" s="128" t="str">
        <f>VLOOKUP(source[[#This Row],[lending_product_transform]],[3]Mapping!$B$4:$C$37,2,0)</f>
        <v>[Cake] - Cashloan</v>
      </c>
      <c r="H14644" s="128" t="str">
        <f>VLOOKUP(source[[#This Row],[lending_product_transform]],[3]Mapping!$B$3:$D$37,3,0)</f>
        <v>cashloan</v>
      </c>
      <c r="I14644" s="137">
        <v>1675318227</v>
      </c>
    </row>
    <row r="14645" spans="1:9" x14ac:dyDescent="0.2">
      <c r="A14645" s="134">
        <v>46127</v>
      </c>
      <c r="B14645" s="135">
        <f>YEAR(source[[#This Row],[report_date]])</f>
        <v>2026</v>
      </c>
      <c r="C14645" s="128">
        <f t="shared" si="683"/>
        <v>4</v>
      </c>
      <c r="D14645" s="136">
        <f t="shared" si="685"/>
        <v>16</v>
      </c>
      <c r="E14645" s="136">
        <f t="shared" si="684"/>
        <v>15</v>
      </c>
      <c r="F14645" s="137" t="s">
        <v>24</v>
      </c>
      <c r="G14645" s="128" t="str">
        <f>VLOOKUP(source[[#This Row],[lending_product_transform]],[3]Mapping!$B$4:$C$37,2,0)</f>
        <v>[Cake] - Cashloan</v>
      </c>
      <c r="H14645" s="128" t="str">
        <f>VLOOKUP(source[[#This Row],[lending_product_transform]],[3]Mapping!$B$3:$D$37,3,0)</f>
        <v>cashloan</v>
      </c>
      <c r="I14645" s="137">
        <v>15747264000</v>
      </c>
    </row>
    <row r="14646" spans="1:9" x14ac:dyDescent="0.2">
      <c r="A14646" s="134">
        <v>46127</v>
      </c>
      <c r="B14646" s="135">
        <f>YEAR(source[[#This Row],[report_date]])</f>
        <v>2026</v>
      </c>
      <c r="C14646" s="128">
        <f t="shared" ref="C14646:C14709" si="686">MONTH(A14646)</f>
        <v>4</v>
      </c>
      <c r="D14646" s="136">
        <f t="shared" si="685"/>
        <v>16</v>
      </c>
      <c r="E14646" s="136">
        <f t="shared" ref="E14646:E14709" si="687">DAY(A14646)</f>
        <v>15</v>
      </c>
      <c r="F14646" s="137" t="s">
        <v>24</v>
      </c>
      <c r="G14646" s="128" t="str">
        <f>VLOOKUP(source[[#This Row],[lending_product_transform]],[3]Mapping!$B$4:$C$37,2,0)</f>
        <v>[Cake] - Cashloan</v>
      </c>
      <c r="H14646" s="128" t="str">
        <f>VLOOKUP(source[[#This Row],[lending_product_transform]],[3]Mapping!$B$3:$D$37,3,0)</f>
        <v>cashloan</v>
      </c>
      <c r="I14646" s="137">
        <v>0</v>
      </c>
    </row>
    <row r="14647" spans="1:9" x14ac:dyDescent="0.2">
      <c r="A14647" s="134">
        <v>46127</v>
      </c>
      <c r="B14647" s="135">
        <f>YEAR(source[[#This Row],[report_date]])</f>
        <v>2026</v>
      </c>
      <c r="C14647" s="128">
        <f t="shared" si="686"/>
        <v>4</v>
      </c>
      <c r="D14647" s="136">
        <f t="shared" si="685"/>
        <v>16</v>
      </c>
      <c r="E14647" s="136">
        <f t="shared" si="687"/>
        <v>15</v>
      </c>
      <c r="F14647" s="137" t="s">
        <v>24</v>
      </c>
      <c r="G14647" s="128" t="str">
        <f>VLOOKUP(source[[#This Row],[lending_product_transform]],[3]Mapping!$B$4:$C$37,2,0)</f>
        <v>[Cake] - Cashloan</v>
      </c>
      <c r="H14647" s="128" t="str">
        <f>VLOOKUP(source[[#This Row],[lending_product_transform]],[3]Mapping!$B$3:$D$37,3,0)</f>
        <v>cashloan</v>
      </c>
      <c r="I14647" s="137">
        <v>0</v>
      </c>
    </row>
    <row r="14648" spans="1:9" x14ac:dyDescent="0.2">
      <c r="A14648" s="134">
        <v>46127</v>
      </c>
      <c r="B14648" s="135">
        <f>YEAR(source[[#This Row],[report_date]])</f>
        <v>2026</v>
      </c>
      <c r="C14648" s="128">
        <f t="shared" si="686"/>
        <v>4</v>
      </c>
      <c r="D14648" s="136">
        <f t="shared" si="685"/>
        <v>16</v>
      </c>
      <c r="E14648" s="136">
        <f t="shared" si="687"/>
        <v>15</v>
      </c>
      <c r="F14648" s="137" t="s">
        <v>24</v>
      </c>
      <c r="G14648" s="128" t="str">
        <f>VLOOKUP(source[[#This Row],[lending_product_transform]],[3]Mapping!$B$4:$C$37,2,0)</f>
        <v>[Cake] - Cashloan</v>
      </c>
      <c r="H14648" s="128" t="str">
        <f>VLOOKUP(source[[#This Row],[lending_product_transform]],[3]Mapping!$B$3:$D$37,3,0)</f>
        <v>cashloan</v>
      </c>
      <c r="I14648" s="137">
        <v>2574730000</v>
      </c>
    </row>
    <row r="14649" spans="1:9" x14ac:dyDescent="0.2">
      <c r="A14649" s="134">
        <v>46127</v>
      </c>
      <c r="B14649" s="135">
        <f>YEAR(source[[#This Row],[report_date]])</f>
        <v>2026</v>
      </c>
      <c r="C14649" s="128">
        <f t="shared" si="686"/>
        <v>4</v>
      </c>
      <c r="D14649" s="136">
        <f t="shared" si="685"/>
        <v>16</v>
      </c>
      <c r="E14649" s="136">
        <f t="shared" si="687"/>
        <v>15</v>
      </c>
      <c r="F14649" s="137" t="s">
        <v>24</v>
      </c>
      <c r="G14649" s="128" t="str">
        <f>VLOOKUP(source[[#This Row],[lending_product_transform]],[3]Mapping!$B$4:$C$37,2,0)</f>
        <v>[Cake] - Cashloan</v>
      </c>
      <c r="H14649" s="128" t="str">
        <f>VLOOKUP(source[[#This Row],[lending_product_transform]],[3]Mapping!$B$3:$D$37,3,0)</f>
        <v>cashloan</v>
      </c>
      <c r="I14649" s="137">
        <v>901760000</v>
      </c>
    </row>
    <row r="14650" spans="1:9" x14ac:dyDescent="0.2">
      <c r="A14650" s="134">
        <v>46127</v>
      </c>
      <c r="B14650" s="135">
        <f>YEAR(source[[#This Row],[report_date]])</f>
        <v>2026</v>
      </c>
      <c r="C14650" s="128">
        <f t="shared" si="686"/>
        <v>4</v>
      </c>
      <c r="D14650" s="136">
        <f t="shared" si="685"/>
        <v>16</v>
      </c>
      <c r="E14650" s="136">
        <f t="shared" si="687"/>
        <v>15</v>
      </c>
      <c r="F14650" s="137" t="s">
        <v>24</v>
      </c>
      <c r="G14650" s="128" t="str">
        <f>VLOOKUP(source[[#This Row],[lending_product_transform]],[3]Mapping!$B$4:$C$37,2,0)</f>
        <v>[Cake] - Cashloan</v>
      </c>
      <c r="H14650" s="128" t="str">
        <f>VLOOKUP(source[[#This Row],[lending_product_transform]],[3]Mapping!$B$3:$D$37,3,0)</f>
        <v>cashloan</v>
      </c>
      <c r="I14650" s="137">
        <v>5093685</v>
      </c>
    </row>
    <row r="14651" spans="1:9" x14ac:dyDescent="0.2">
      <c r="A14651" s="134">
        <v>46127</v>
      </c>
      <c r="B14651" s="135">
        <f>YEAR(source[[#This Row],[report_date]])</f>
        <v>2026</v>
      </c>
      <c r="C14651" s="128">
        <f t="shared" si="686"/>
        <v>4</v>
      </c>
      <c r="D14651" s="136">
        <f t="shared" si="685"/>
        <v>16</v>
      </c>
      <c r="E14651" s="136">
        <f t="shared" si="687"/>
        <v>15</v>
      </c>
      <c r="F14651" s="137" t="s">
        <v>24</v>
      </c>
      <c r="G14651" s="128" t="str">
        <f>VLOOKUP(source[[#This Row],[lending_product_transform]],[3]Mapping!$B$4:$C$37,2,0)</f>
        <v>[Cake] - Cashloan</v>
      </c>
      <c r="H14651" s="128" t="str">
        <f>VLOOKUP(source[[#This Row],[lending_product_transform]],[3]Mapping!$B$3:$D$37,3,0)</f>
        <v>cashloan</v>
      </c>
      <c r="I14651" s="137">
        <v>995142647</v>
      </c>
    </row>
    <row r="14652" spans="1:9" x14ac:dyDescent="0.2">
      <c r="A14652" s="134">
        <v>46127</v>
      </c>
      <c r="B14652" s="135">
        <f>YEAR(source[[#This Row],[report_date]])</f>
        <v>2026</v>
      </c>
      <c r="C14652" s="128">
        <f t="shared" si="686"/>
        <v>4</v>
      </c>
      <c r="D14652" s="136">
        <f t="shared" si="685"/>
        <v>16</v>
      </c>
      <c r="E14652" s="136">
        <f t="shared" si="687"/>
        <v>15</v>
      </c>
      <c r="F14652" s="137" t="s">
        <v>24</v>
      </c>
      <c r="G14652" s="128" t="str">
        <f>VLOOKUP(source[[#This Row],[lending_product_transform]],[3]Mapping!$B$4:$C$37,2,0)</f>
        <v>[Cake] - Cashloan</v>
      </c>
      <c r="H14652" s="128" t="str">
        <f>VLOOKUP(source[[#This Row],[lending_product_transform]],[3]Mapping!$B$3:$D$37,3,0)</f>
        <v>cashloan</v>
      </c>
      <c r="I14652" s="137">
        <v>0</v>
      </c>
    </row>
    <row r="14653" spans="1:9" x14ac:dyDescent="0.2">
      <c r="A14653" s="134">
        <v>46127</v>
      </c>
      <c r="B14653" s="135">
        <f>YEAR(source[[#This Row],[report_date]])</f>
        <v>2026</v>
      </c>
      <c r="C14653" s="128">
        <f t="shared" si="686"/>
        <v>4</v>
      </c>
      <c r="D14653" s="136">
        <f t="shared" si="685"/>
        <v>16</v>
      </c>
      <c r="E14653" s="136">
        <f t="shared" si="687"/>
        <v>15</v>
      </c>
      <c r="F14653" s="137" t="s">
        <v>24</v>
      </c>
      <c r="G14653" s="128" t="str">
        <f>VLOOKUP(source[[#This Row],[lending_product_transform]],[3]Mapping!$B$4:$C$37,2,0)</f>
        <v>[Cake] - Cashloan</v>
      </c>
      <c r="H14653" s="128" t="str">
        <f>VLOOKUP(source[[#This Row],[lending_product_transform]],[3]Mapping!$B$3:$D$37,3,0)</f>
        <v>cashloan</v>
      </c>
      <c r="I14653" s="137">
        <v>67500000</v>
      </c>
    </row>
    <row r="14654" spans="1:9" x14ac:dyDescent="0.2">
      <c r="A14654" s="134">
        <v>46127</v>
      </c>
      <c r="B14654" s="135">
        <f>YEAR(source[[#This Row],[report_date]])</f>
        <v>2026</v>
      </c>
      <c r="C14654" s="128">
        <f t="shared" si="686"/>
        <v>4</v>
      </c>
      <c r="D14654" s="136">
        <f t="shared" si="685"/>
        <v>16</v>
      </c>
      <c r="E14654" s="136">
        <f t="shared" si="687"/>
        <v>15</v>
      </c>
      <c r="F14654" s="137" t="s">
        <v>24</v>
      </c>
      <c r="G14654" s="128" t="str">
        <f>VLOOKUP(source[[#This Row],[lending_product_transform]],[3]Mapping!$B$4:$C$37,2,0)</f>
        <v>[Cake] - Cashloan</v>
      </c>
      <c r="H14654" s="128" t="str">
        <f>VLOOKUP(source[[#This Row],[lending_product_transform]],[3]Mapping!$B$3:$D$37,3,0)</f>
        <v>cashloan</v>
      </c>
      <c r="I14654" s="137">
        <v>0</v>
      </c>
    </row>
    <row r="14655" spans="1:9" x14ac:dyDescent="0.2">
      <c r="A14655" s="134">
        <v>46127</v>
      </c>
      <c r="B14655" s="135">
        <f>YEAR(source[[#This Row],[report_date]])</f>
        <v>2026</v>
      </c>
      <c r="C14655" s="128">
        <f t="shared" si="686"/>
        <v>4</v>
      </c>
      <c r="D14655" s="136">
        <f t="shared" si="685"/>
        <v>16</v>
      </c>
      <c r="E14655" s="136">
        <f t="shared" si="687"/>
        <v>15</v>
      </c>
      <c r="F14655" s="137" t="s">
        <v>24</v>
      </c>
      <c r="G14655" s="128" t="str">
        <f>VLOOKUP(source[[#This Row],[lending_product_transform]],[3]Mapping!$B$4:$C$37,2,0)</f>
        <v>[Cake] - Cashloan</v>
      </c>
      <c r="H14655" s="128" t="str">
        <f>VLOOKUP(source[[#This Row],[lending_product_transform]],[3]Mapping!$B$3:$D$37,3,0)</f>
        <v>cashloan</v>
      </c>
      <c r="I14655" s="137">
        <v>19516940000</v>
      </c>
    </row>
    <row r="14656" spans="1:9" x14ac:dyDescent="0.2">
      <c r="A14656" s="134">
        <v>46127</v>
      </c>
      <c r="B14656" s="135">
        <f>YEAR(source[[#This Row],[report_date]])</f>
        <v>2026</v>
      </c>
      <c r="C14656" s="128">
        <f t="shared" si="686"/>
        <v>4</v>
      </c>
      <c r="D14656" s="136">
        <f t="shared" si="685"/>
        <v>16</v>
      </c>
      <c r="E14656" s="136">
        <f t="shared" si="687"/>
        <v>15</v>
      </c>
      <c r="F14656" s="137" t="s">
        <v>24</v>
      </c>
      <c r="G14656" s="128" t="str">
        <f>VLOOKUP(source[[#This Row],[lending_product_transform]],[3]Mapping!$B$4:$C$37,2,0)</f>
        <v>[Cake] - Cashloan</v>
      </c>
      <c r="H14656" s="128" t="str">
        <f>VLOOKUP(source[[#This Row],[lending_product_transform]],[3]Mapping!$B$3:$D$37,3,0)</f>
        <v>cashloan</v>
      </c>
      <c r="I14656" s="137">
        <v>0</v>
      </c>
    </row>
    <row r="14657" spans="1:9" x14ac:dyDescent="0.2">
      <c r="A14657" s="134">
        <v>46127</v>
      </c>
      <c r="B14657" s="135">
        <f>YEAR(source[[#This Row],[report_date]])</f>
        <v>2026</v>
      </c>
      <c r="C14657" s="128">
        <f t="shared" si="686"/>
        <v>4</v>
      </c>
      <c r="D14657" s="136">
        <f t="shared" si="685"/>
        <v>16</v>
      </c>
      <c r="E14657" s="136">
        <f t="shared" si="687"/>
        <v>15</v>
      </c>
      <c r="F14657" s="137" t="s">
        <v>24</v>
      </c>
      <c r="G14657" s="128" t="str">
        <f>VLOOKUP(source[[#This Row],[lending_product_transform]],[3]Mapping!$B$4:$C$37,2,0)</f>
        <v>[Cake] - Cashloan</v>
      </c>
      <c r="H14657" s="128" t="str">
        <f>VLOOKUP(source[[#This Row],[lending_product_transform]],[3]Mapping!$B$3:$D$37,3,0)</f>
        <v>cashloan</v>
      </c>
      <c r="I14657" s="137">
        <v>0</v>
      </c>
    </row>
    <row r="14658" spans="1:9" x14ac:dyDescent="0.2">
      <c r="A14658" s="134">
        <v>46127</v>
      </c>
      <c r="B14658" s="135">
        <f>YEAR(source[[#This Row],[report_date]])</f>
        <v>2026</v>
      </c>
      <c r="C14658" s="128">
        <f t="shared" si="686"/>
        <v>4</v>
      </c>
      <c r="D14658" s="136">
        <f t="shared" si="685"/>
        <v>16</v>
      </c>
      <c r="E14658" s="136">
        <f t="shared" si="687"/>
        <v>15</v>
      </c>
      <c r="F14658" s="137" t="s">
        <v>24</v>
      </c>
      <c r="G14658" s="128" t="str">
        <f>VLOOKUP(source[[#This Row],[lending_product_transform]],[3]Mapping!$B$4:$C$37,2,0)</f>
        <v>[Cake] - Cashloan</v>
      </c>
      <c r="H14658" s="128" t="str">
        <f>VLOOKUP(source[[#This Row],[lending_product_transform]],[3]Mapping!$B$3:$D$37,3,0)</f>
        <v>cashloan</v>
      </c>
      <c r="I14658" s="137">
        <v>0</v>
      </c>
    </row>
    <row r="14659" spans="1:9" x14ac:dyDescent="0.2">
      <c r="A14659" s="134">
        <v>46127</v>
      </c>
      <c r="B14659" s="135">
        <f>YEAR(source[[#This Row],[report_date]])</f>
        <v>2026</v>
      </c>
      <c r="C14659" s="128">
        <f t="shared" si="686"/>
        <v>4</v>
      </c>
      <c r="D14659" s="136">
        <f t="shared" si="685"/>
        <v>16</v>
      </c>
      <c r="E14659" s="136">
        <f t="shared" si="687"/>
        <v>15</v>
      </c>
      <c r="F14659" s="137" t="s">
        <v>24</v>
      </c>
      <c r="G14659" s="128" t="str">
        <f>VLOOKUP(source[[#This Row],[lending_product_transform]],[3]Mapping!$B$4:$C$37,2,0)</f>
        <v>[Cake] - Cashloan</v>
      </c>
      <c r="H14659" s="128" t="str">
        <f>VLOOKUP(source[[#This Row],[lending_product_transform]],[3]Mapping!$B$3:$D$37,3,0)</f>
        <v>cashloan</v>
      </c>
      <c r="I14659" s="137">
        <v>0</v>
      </c>
    </row>
    <row r="14660" spans="1:9" x14ac:dyDescent="0.2">
      <c r="A14660" s="134">
        <v>46127</v>
      </c>
      <c r="B14660" s="135">
        <f>YEAR(source[[#This Row],[report_date]])</f>
        <v>2026</v>
      </c>
      <c r="C14660" s="128">
        <f t="shared" si="686"/>
        <v>4</v>
      </c>
      <c r="D14660" s="136">
        <f t="shared" si="685"/>
        <v>16</v>
      </c>
      <c r="E14660" s="136">
        <f t="shared" si="687"/>
        <v>15</v>
      </c>
      <c r="F14660" s="137" t="s">
        <v>24</v>
      </c>
      <c r="G14660" s="128" t="str">
        <f>VLOOKUP(source[[#This Row],[lending_product_transform]],[3]Mapping!$B$4:$C$37,2,0)</f>
        <v>[Cake] - Cashloan</v>
      </c>
      <c r="H14660" s="128" t="str">
        <f>VLOOKUP(source[[#This Row],[lending_product_transform]],[3]Mapping!$B$3:$D$37,3,0)</f>
        <v>cashloan</v>
      </c>
      <c r="I14660" s="137">
        <v>12952548000</v>
      </c>
    </row>
    <row r="14661" spans="1:9" x14ac:dyDescent="0.2">
      <c r="A14661" s="134">
        <v>46127</v>
      </c>
      <c r="B14661" s="135">
        <f>YEAR(source[[#This Row],[report_date]])</f>
        <v>2026</v>
      </c>
      <c r="C14661" s="128">
        <f t="shared" si="686"/>
        <v>4</v>
      </c>
      <c r="D14661" s="136">
        <f t="shared" si="685"/>
        <v>16</v>
      </c>
      <c r="E14661" s="136">
        <f t="shared" si="687"/>
        <v>15</v>
      </c>
      <c r="F14661" s="137" t="s">
        <v>24</v>
      </c>
      <c r="G14661" s="128" t="str">
        <f>VLOOKUP(source[[#This Row],[lending_product_transform]],[3]Mapping!$B$4:$C$37,2,0)</f>
        <v>[Cake] - Cashloan</v>
      </c>
      <c r="H14661" s="128" t="str">
        <f>VLOOKUP(source[[#This Row],[lending_product_transform]],[3]Mapping!$B$3:$D$37,3,0)</f>
        <v>cashloan</v>
      </c>
      <c r="I14661" s="137">
        <v>173992190</v>
      </c>
    </row>
    <row r="14662" spans="1:9" x14ac:dyDescent="0.2">
      <c r="A14662" s="134">
        <v>46127</v>
      </c>
      <c r="B14662" s="135">
        <f>YEAR(source[[#This Row],[report_date]])</f>
        <v>2026</v>
      </c>
      <c r="C14662" s="128">
        <f t="shared" si="686"/>
        <v>4</v>
      </c>
      <c r="D14662" s="136">
        <f t="shared" si="685"/>
        <v>16</v>
      </c>
      <c r="E14662" s="136">
        <f t="shared" si="687"/>
        <v>15</v>
      </c>
      <c r="F14662" s="137" t="s">
        <v>24</v>
      </c>
      <c r="G14662" s="128" t="str">
        <f>VLOOKUP(source[[#This Row],[lending_product_transform]],[3]Mapping!$B$4:$C$37,2,0)</f>
        <v>[Cake] - Cashloan</v>
      </c>
      <c r="H14662" s="128" t="str">
        <f>VLOOKUP(source[[#This Row],[lending_product_transform]],[3]Mapping!$B$3:$D$37,3,0)</f>
        <v>cashloan</v>
      </c>
      <c r="I14662" s="137">
        <v>0</v>
      </c>
    </row>
    <row r="14663" spans="1:9" x14ac:dyDescent="0.2">
      <c r="A14663" s="134">
        <v>46127</v>
      </c>
      <c r="B14663" s="135">
        <f>YEAR(source[[#This Row],[report_date]])</f>
        <v>2026</v>
      </c>
      <c r="C14663" s="128">
        <f t="shared" si="686"/>
        <v>4</v>
      </c>
      <c r="D14663" s="136">
        <f t="shared" si="685"/>
        <v>16</v>
      </c>
      <c r="E14663" s="136">
        <f t="shared" si="687"/>
        <v>15</v>
      </c>
      <c r="F14663" s="137" t="s">
        <v>24</v>
      </c>
      <c r="G14663" s="128" t="str">
        <f>VLOOKUP(source[[#This Row],[lending_product_transform]],[3]Mapping!$B$4:$C$37,2,0)</f>
        <v>[Cake] - Cashloan</v>
      </c>
      <c r="H14663" s="128" t="str">
        <f>VLOOKUP(source[[#This Row],[lending_product_transform]],[3]Mapping!$B$3:$D$37,3,0)</f>
        <v>cashloan</v>
      </c>
      <c r="I14663" s="137">
        <v>33000000</v>
      </c>
    </row>
    <row r="14664" spans="1:9" x14ac:dyDescent="0.2">
      <c r="A14664" s="134">
        <v>46127</v>
      </c>
      <c r="B14664" s="135">
        <f>YEAR(source[[#This Row],[report_date]])</f>
        <v>2026</v>
      </c>
      <c r="C14664" s="128">
        <f t="shared" si="686"/>
        <v>4</v>
      </c>
      <c r="D14664" s="136">
        <f t="shared" si="685"/>
        <v>16</v>
      </c>
      <c r="E14664" s="136">
        <f t="shared" si="687"/>
        <v>15</v>
      </c>
      <c r="F14664" s="137" t="s">
        <v>24</v>
      </c>
      <c r="G14664" s="128" t="str">
        <f>VLOOKUP(source[[#This Row],[lending_product_transform]],[3]Mapping!$B$4:$C$37,2,0)</f>
        <v>[Cake] - Cashloan</v>
      </c>
      <c r="H14664" s="128" t="str">
        <f>VLOOKUP(source[[#This Row],[lending_product_transform]],[3]Mapping!$B$3:$D$37,3,0)</f>
        <v>cashloan</v>
      </c>
      <c r="I14664" s="137">
        <v>743090000</v>
      </c>
    </row>
    <row r="14665" spans="1:9" x14ac:dyDescent="0.2">
      <c r="A14665" s="134">
        <v>46127</v>
      </c>
      <c r="B14665" s="135">
        <f>YEAR(source[[#This Row],[report_date]])</f>
        <v>2026</v>
      </c>
      <c r="C14665" s="128">
        <f t="shared" si="686"/>
        <v>4</v>
      </c>
      <c r="D14665" s="136">
        <f t="shared" si="685"/>
        <v>16</v>
      </c>
      <c r="E14665" s="136">
        <f t="shared" si="687"/>
        <v>15</v>
      </c>
      <c r="F14665" s="137" t="s">
        <v>24</v>
      </c>
      <c r="G14665" s="128" t="str">
        <f>VLOOKUP(source[[#This Row],[lending_product_transform]],[3]Mapping!$B$4:$C$37,2,0)</f>
        <v>[Cake] - Cashloan</v>
      </c>
      <c r="H14665" s="128" t="str">
        <f>VLOOKUP(source[[#This Row],[lending_product_transform]],[3]Mapping!$B$3:$D$37,3,0)</f>
        <v>cashloan</v>
      </c>
      <c r="I14665" s="137">
        <v>327996000</v>
      </c>
    </row>
    <row r="14666" spans="1:9" x14ac:dyDescent="0.2">
      <c r="A14666" s="134">
        <v>46127</v>
      </c>
      <c r="B14666" s="135">
        <f>YEAR(source[[#This Row],[report_date]])</f>
        <v>2026</v>
      </c>
      <c r="C14666" s="128">
        <f t="shared" si="686"/>
        <v>4</v>
      </c>
      <c r="D14666" s="136">
        <f t="shared" si="685"/>
        <v>16</v>
      </c>
      <c r="E14666" s="136">
        <f t="shared" si="687"/>
        <v>15</v>
      </c>
      <c r="F14666" s="137" t="s">
        <v>24</v>
      </c>
      <c r="G14666" s="128" t="str">
        <f>VLOOKUP(source[[#This Row],[lending_product_transform]],[3]Mapping!$B$4:$C$37,2,0)</f>
        <v>[Cake] - Cashloan</v>
      </c>
      <c r="H14666" s="128" t="str">
        <f>VLOOKUP(source[[#This Row],[lending_product_transform]],[3]Mapping!$B$3:$D$37,3,0)</f>
        <v>cashloan</v>
      </c>
      <c r="I14666" s="137">
        <v>270805620</v>
      </c>
    </row>
    <row r="14667" spans="1:9" x14ac:dyDescent="0.2">
      <c r="A14667" s="134">
        <v>46127</v>
      </c>
      <c r="B14667" s="135">
        <f>YEAR(source[[#This Row],[report_date]])</f>
        <v>2026</v>
      </c>
      <c r="C14667" s="128">
        <f t="shared" si="686"/>
        <v>4</v>
      </c>
      <c r="D14667" s="136">
        <f t="shared" si="685"/>
        <v>16</v>
      </c>
      <c r="E14667" s="136">
        <f t="shared" si="687"/>
        <v>15</v>
      </c>
      <c r="F14667" s="137" t="s">
        <v>24</v>
      </c>
      <c r="G14667" s="128" t="str">
        <f>VLOOKUP(source[[#This Row],[lending_product_transform]],[3]Mapping!$B$4:$C$37,2,0)</f>
        <v>[Cake] - Cashloan</v>
      </c>
      <c r="H14667" s="128" t="str">
        <f>VLOOKUP(source[[#This Row],[lending_product_transform]],[3]Mapping!$B$3:$D$37,3,0)</f>
        <v>cashloan</v>
      </c>
      <c r="I14667" s="137">
        <v>6386390000</v>
      </c>
    </row>
    <row r="14668" spans="1:9" x14ac:dyDescent="0.2">
      <c r="A14668" s="134">
        <v>46127</v>
      </c>
      <c r="B14668" s="135">
        <f>YEAR(source[[#This Row],[report_date]])</f>
        <v>2026</v>
      </c>
      <c r="C14668" s="128">
        <f t="shared" si="686"/>
        <v>4</v>
      </c>
      <c r="D14668" s="136">
        <f t="shared" si="685"/>
        <v>16</v>
      </c>
      <c r="E14668" s="136">
        <f t="shared" si="687"/>
        <v>15</v>
      </c>
      <c r="F14668" s="137" t="s">
        <v>24</v>
      </c>
      <c r="G14668" s="128" t="str">
        <f>VLOOKUP(source[[#This Row],[lending_product_transform]],[3]Mapping!$B$4:$C$37,2,0)</f>
        <v>[Cake] - Cashloan</v>
      </c>
      <c r="H14668" s="128" t="str">
        <f>VLOOKUP(source[[#This Row],[lending_product_transform]],[3]Mapping!$B$3:$D$37,3,0)</f>
        <v>cashloan</v>
      </c>
      <c r="I14668" s="137">
        <v>8640000</v>
      </c>
    </row>
    <row r="14669" spans="1:9" x14ac:dyDescent="0.2">
      <c r="A14669" s="134">
        <v>46128</v>
      </c>
      <c r="B14669" s="135">
        <f>YEAR(source[[#This Row],[report_date]])</f>
        <v>2026</v>
      </c>
      <c r="C14669" s="128">
        <f t="shared" si="686"/>
        <v>4</v>
      </c>
      <c r="D14669" s="136">
        <f t="shared" si="685"/>
        <v>16</v>
      </c>
      <c r="E14669" s="136">
        <f t="shared" si="687"/>
        <v>16</v>
      </c>
      <c r="F14669" s="137" t="s">
        <v>24</v>
      </c>
      <c r="G14669" s="128" t="str">
        <f>VLOOKUP(source[[#This Row],[lending_product_transform]],[3]Mapping!$B$4:$C$37,2,0)</f>
        <v>[Cake] - Cashloan</v>
      </c>
      <c r="H14669" s="128" t="str">
        <f>VLOOKUP(source[[#This Row],[lending_product_transform]],[3]Mapping!$B$3:$D$37,3,0)</f>
        <v>cashloan</v>
      </c>
      <c r="I14669" s="137">
        <v>394650000</v>
      </c>
    </row>
    <row r="14670" spans="1:9" x14ac:dyDescent="0.2">
      <c r="A14670" s="134">
        <v>46128</v>
      </c>
      <c r="B14670" s="135">
        <f>YEAR(source[[#This Row],[report_date]])</f>
        <v>2026</v>
      </c>
      <c r="C14670" s="128">
        <f t="shared" si="686"/>
        <v>4</v>
      </c>
      <c r="D14670" s="136">
        <f t="shared" si="685"/>
        <v>16</v>
      </c>
      <c r="E14670" s="136">
        <f t="shared" si="687"/>
        <v>16</v>
      </c>
      <c r="F14670" s="137" t="s">
        <v>24</v>
      </c>
      <c r="G14670" s="128" t="str">
        <f>VLOOKUP(source[[#This Row],[lending_product_transform]],[3]Mapping!$B$4:$C$37,2,0)</f>
        <v>[Cake] - Cashloan</v>
      </c>
      <c r="H14670" s="128" t="str">
        <f>VLOOKUP(source[[#This Row],[lending_product_transform]],[3]Mapping!$B$3:$D$37,3,0)</f>
        <v>cashloan</v>
      </c>
      <c r="I14670" s="137">
        <v>252673938</v>
      </c>
    </row>
    <row r="14671" spans="1:9" x14ac:dyDescent="0.2">
      <c r="A14671" s="134">
        <v>46128</v>
      </c>
      <c r="B14671" s="135">
        <f>YEAR(source[[#This Row],[report_date]])</f>
        <v>2026</v>
      </c>
      <c r="C14671" s="128">
        <f t="shared" si="686"/>
        <v>4</v>
      </c>
      <c r="D14671" s="136">
        <f t="shared" si="685"/>
        <v>16</v>
      </c>
      <c r="E14671" s="136">
        <f t="shared" si="687"/>
        <v>16</v>
      </c>
      <c r="F14671" s="137" t="s">
        <v>24</v>
      </c>
      <c r="G14671" s="128" t="str">
        <f>VLOOKUP(source[[#This Row],[lending_product_transform]],[3]Mapping!$B$4:$C$37,2,0)</f>
        <v>[Cake] - Cashloan</v>
      </c>
      <c r="H14671" s="128" t="str">
        <f>VLOOKUP(source[[#This Row],[lending_product_transform]],[3]Mapping!$B$3:$D$37,3,0)</f>
        <v>cashloan</v>
      </c>
      <c r="I14671" s="137">
        <v>15575360000</v>
      </c>
    </row>
    <row r="14672" spans="1:9" x14ac:dyDescent="0.2">
      <c r="A14672" s="134">
        <v>46128</v>
      </c>
      <c r="B14672" s="135">
        <f>YEAR(source[[#This Row],[report_date]])</f>
        <v>2026</v>
      </c>
      <c r="C14672" s="128">
        <f t="shared" si="686"/>
        <v>4</v>
      </c>
      <c r="D14672" s="136">
        <f t="shared" si="685"/>
        <v>16</v>
      </c>
      <c r="E14672" s="136">
        <f t="shared" si="687"/>
        <v>16</v>
      </c>
      <c r="F14672" s="137" t="s">
        <v>24</v>
      </c>
      <c r="G14672" s="128" t="str">
        <f>VLOOKUP(source[[#This Row],[lending_product_transform]],[3]Mapping!$B$4:$C$37,2,0)</f>
        <v>[Cake] - Cashloan</v>
      </c>
      <c r="H14672" s="128" t="str">
        <f>VLOOKUP(source[[#This Row],[lending_product_transform]],[3]Mapping!$B$3:$D$37,3,0)</f>
        <v>cashloan</v>
      </c>
      <c r="I14672" s="137">
        <v>1378132749</v>
      </c>
    </row>
    <row r="14673" spans="1:9" x14ac:dyDescent="0.2">
      <c r="A14673" s="134">
        <v>46128</v>
      </c>
      <c r="B14673" s="135">
        <f>YEAR(source[[#This Row],[report_date]])</f>
        <v>2026</v>
      </c>
      <c r="C14673" s="128">
        <f t="shared" si="686"/>
        <v>4</v>
      </c>
      <c r="D14673" s="136">
        <f t="shared" ref="D14673:D14736" si="688">WEEKNUM(A14673,2)</f>
        <v>16</v>
      </c>
      <c r="E14673" s="136">
        <f t="shared" si="687"/>
        <v>16</v>
      </c>
      <c r="F14673" s="137" t="s">
        <v>24</v>
      </c>
      <c r="G14673" s="128" t="str">
        <f>VLOOKUP(source[[#This Row],[lending_product_transform]],[3]Mapping!$B$4:$C$37,2,0)</f>
        <v>[Cake] - Cashloan</v>
      </c>
      <c r="H14673" s="128" t="str">
        <f>VLOOKUP(source[[#This Row],[lending_product_transform]],[3]Mapping!$B$3:$D$37,3,0)</f>
        <v>cashloan</v>
      </c>
      <c r="I14673" s="137">
        <v>14120028000</v>
      </c>
    </row>
    <row r="14674" spans="1:9" x14ac:dyDescent="0.2">
      <c r="A14674" s="134">
        <v>46128</v>
      </c>
      <c r="B14674" s="135">
        <f>YEAR(source[[#This Row],[report_date]])</f>
        <v>2026</v>
      </c>
      <c r="C14674" s="128">
        <f t="shared" si="686"/>
        <v>4</v>
      </c>
      <c r="D14674" s="136">
        <f t="shared" si="688"/>
        <v>16</v>
      </c>
      <c r="E14674" s="136">
        <f t="shared" si="687"/>
        <v>16</v>
      </c>
      <c r="F14674" s="137" t="s">
        <v>24</v>
      </c>
      <c r="G14674" s="128" t="str">
        <f>VLOOKUP(source[[#This Row],[lending_product_transform]],[3]Mapping!$B$4:$C$37,2,0)</f>
        <v>[Cake] - Cashloan</v>
      </c>
      <c r="H14674" s="128" t="str">
        <f>VLOOKUP(source[[#This Row],[lending_product_transform]],[3]Mapping!$B$3:$D$37,3,0)</f>
        <v>cashloan</v>
      </c>
      <c r="I14674" s="137">
        <v>0</v>
      </c>
    </row>
    <row r="14675" spans="1:9" x14ac:dyDescent="0.2">
      <c r="A14675" s="134">
        <v>46128</v>
      </c>
      <c r="B14675" s="135">
        <f>YEAR(source[[#This Row],[report_date]])</f>
        <v>2026</v>
      </c>
      <c r="C14675" s="128">
        <f t="shared" si="686"/>
        <v>4</v>
      </c>
      <c r="D14675" s="136">
        <f t="shared" si="688"/>
        <v>16</v>
      </c>
      <c r="E14675" s="136">
        <f t="shared" si="687"/>
        <v>16</v>
      </c>
      <c r="F14675" s="137" t="s">
        <v>24</v>
      </c>
      <c r="G14675" s="128" t="str">
        <f>VLOOKUP(source[[#This Row],[lending_product_transform]],[3]Mapping!$B$4:$C$37,2,0)</f>
        <v>[Cake] - Cashloan</v>
      </c>
      <c r="H14675" s="128" t="str">
        <f>VLOOKUP(source[[#This Row],[lending_product_transform]],[3]Mapping!$B$3:$D$37,3,0)</f>
        <v>cashloan</v>
      </c>
      <c r="I14675" s="137">
        <v>0</v>
      </c>
    </row>
    <row r="14676" spans="1:9" x14ac:dyDescent="0.2">
      <c r="A14676" s="134">
        <v>46128</v>
      </c>
      <c r="B14676" s="135">
        <f>YEAR(source[[#This Row],[report_date]])</f>
        <v>2026</v>
      </c>
      <c r="C14676" s="128">
        <f t="shared" si="686"/>
        <v>4</v>
      </c>
      <c r="D14676" s="136">
        <f t="shared" si="688"/>
        <v>16</v>
      </c>
      <c r="E14676" s="136">
        <f t="shared" si="687"/>
        <v>16</v>
      </c>
      <c r="F14676" s="137" t="s">
        <v>24</v>
      </c>
      <c r="G14676" s="128" t="str">
        <f>VLOOKUP(source[[#This Row],[lending_product_transform]],[3]Mapping!$B$4:$C$37,2,0)</f>
        <v>[Cake] - Cashloan</v>
      </c>
      <c r="H14676" s="128" t="str">
        <f>VLOOKUP(source[[#This Row],[lending_product_transform]],[3]Mapping!$B$3:$D$37,3,0)</f>
        <v>cashloan</v>
      </c>
      <c r="I14676" s="137">
        <v>2827170000</v>
      </c>
    </row>
    <row r="14677" spans="1:9" x14ac:dyDescent="0.2">
      <c r="A14677" s="134">
        <v>46128</v>
      </c>
      <c r="B14677" s="135">
        <f>YEAR(source[[#This Row],[report_date]])</f>
        <v>2026</v>
      </c>
      <c r="C14677" s="128">
        <f t="shared" si="686"/>
        <v>4</v>
      </c>
      <c r="D14677" s="136">
        <f t="shared" si="688"/>
        <v>16</v>
      </c>
      <c r="E14677" s="136">
        <f t="shared" si="687"/>
        <v>16</v>
      </c>
      <c r="F14677" s="137" t="s">
        <v>24</v>
      </c>
      <c r="G14677" s="128" t="str">
        <f>VLOOKUP(source[[#This Row],[lending_product_transform]],[3]Mapping!$B$4:$C$37,2,0)</f>
        <v>[Cake] - Cashloan</v>
      </c>
      <c r="H14677" s="128" t="str">
        <f>VLOOKUP(source[[#This Row],[lending_product_transform]],[3]Mapping!$B$3:$D$37,3,0)</f>
        <v>cashloan</v>
      </c>
      <c r="I14677" s="137">
        <v>850760000</v>
      </c>
    </row>
    <row r="14678" spans="1:9" x14ac:dyDescent="0.2">
      <c r="A14678" s="134">
        <v>46128</v>
      </c>
      <c r="B14678" s="135">
        <f>YEAR(source[[#This Row],[report_date]])</f>
        <v>2026</v>
      </c>
      <c r="C14678" s="128">
        <f t="shared" si="686"/>
        <v>4</v>
      </c>
      <c r="D14678" s="136">
        <f t="shared" si="688"/>
        <v>16</v>
      </c>
      <c r="E14678" s="136">
        <f t="shared" si="687"/>
        <v>16</v>
      </c>
      <c r="F14678" s="137" t="s">
        <v>24</v>
      </c>
      <c r="G14678" s="128" t="str">
        <f>VLOOKUP(source[[#This Row],[lending_product_transform]],[3]Mapping!$B$4:$C$37,2,0)</f>
        <v>[Cake] - Cashloan</v>
      </c>
      <c r="H14678" s="128" t="str">
        <f>VLOOKUP(source[[#This Row],[lending_product_transform]],[3]Mapping!$B$3:$D$37,3,0)</f>
        <v>cashloan</v>
      </c>
      <c r="I14678" s="137">
        <v>11266593</v>
      </c>
    </row>
    <row r="14679" spans="1:9" x14ac:dyDescent="0.2">
      <c r="A14679" s="134">
        <v>46128</v>
      </c>
      <c r="B14679" s="135">
        <f>YEAR(source[[#This Row],[report_date]])</f>
        <v>2026</v>
      </c>
      <c r="C14679" s="128">
        <f t="shared" si="686"/>
        <v>4</v>
      </c>
      <c r="D14679" s="136">
        <f t="shared" si="688"/>
        <v>16</v>
      </c>
      <c r="E14679" s="136">
        <f t="shared" si="687"/>
        <v>16</v>
      </c>
      <c r="F14679" s="137" t="s">
        <v>24</v>
      </c>
      <c r="G14679" s="128" t="str">
        <f>VLOOKUP(source[[#This Row],[lending_product_transform]],[3]Mapping!$B$4:$C$37,2,0)</f>
        <v>[Cake] - Cashloan</v>
      </c>
      <c r="H14679" s="128" t="str">
        <f>VLOOKUP(source[[#This Row],[lending_product_transform]],[3]Mapping!$B$3:$D$37,3,0)</f>
        <v>cashloan</v>
      </c>
      <c r="I14679" s="137">
        <v>864715463</v>
      </c>
    </row>
    <row r="14680" spans="1:9" x14ac:dyDescent="0.2">
      <c r="A14680" s="134">
        <v>46128</v>
      </c>
      <c r="B14680" s="135">
        <f>YEAR(source[[#This Row],[report_date]])</f>
        <v>2026</v>
      </c>
      <c r="C14680" s="128">
        <f t="shared" si="686"/>
        <v>4</v>
      </c>
      <c r="D14680" s="136">
        <f t="shared" si="688"/>
        <v>16</v>
      </c>
      <c r="E14680" s="136">
        <f t="shared" si="687"/>
        <v>16</v>
      </c>
      <c r="F14680" s="137" t="s">
        <v>24</v>
      </c>
      <c r="G14680" s="128" t="str">
        <f>VLOOKUP(source[[#This Row],[lending_product_transform]],[3]Mapping!$B$4:$C$37,2,0)</f>
        <v>[Cake] - Cashloan</v>
      </c>
      <c r="H14680" s="128" t="str">
        <f>VLOOKUP(source[[#This Row],[lending_product_transform]],[3]Mapping!$B$3:$D$37,3,0)</f>
        <v>cashloan</v>
      </c>
      <c r="I14680" s="137">
        <v>0</v>
      </c>
    </row>
    <row r="14681" spans="1:9" x14ac:dyDescent="0.2">
      <c r="A14681" s="134">
        <v>46128</v>
      </c>
      <c r="B14681" s="135">
        <f>YEAR(source[[#This Row],[report_date]])</f>
        <v>2026</v>
      </c>
      <c r="C14681" s="128">
        <f t="shared" si="686"/>
        <v>4</v>
      </c>
      <c r="D14681" s="136">
        <f t="shared" si="688"/>
        <v>16</v>
      </c>
      <c r="E14681" s="136">
        <f t="shared" si="687"/>
        <v>16</v>
      </c>
      <c r="F14681" s="137" t="s">
        <v>24</v>
      </c>
      <c r="G14681" s="128" t="str">
        <f>VLOOKUP(source[[#This Row],[lending_product_transform]],[3]Mapping!$B$4:$C$37,2,0)</f>
        <v>[Cake] - Cashloan</v>
      </c>
      <c r="H14681" s="128" t="str">
        <f>VLOOKUP(source[[#This Row],[lending_product_transform]],[3]Mapping!$B$3:$D$37,3,0)</f>
        <v>cashloan</v>
      </c>
      <c r="I14681" s="137">
        <v>40000000</v>
      </c>
    </row>
    <row r="14682" spans="1:9" x14ac:dyDescent="0.2">
      <c r="A14682" s="134">
        <v>46128</v>
      </c>
      <c r="B14682" s="135">
        <f>YEAR(source[[#This Row],[report_date]])</f>
        <v>2026</v>
      </c>
      <c r="C14682" s="128">
        <f t="shared" si="686"/>
        <v>4</v>
      </c>
      <c r="D14682" s="136">
        <f t="shared" si="688"/>
        <v>16</v>
      </c>
      <c r="E14682" s="136">
        <f t="shared" si="687"/>
        <v>16</v>
      </c>
      <c r="F14682" s="137" t="s">
        <v>24</v>
      </c>
      <c r="G14682" s="128" t="str">
        <f>VLOOKUP(source[[#This Row],[lending_product_transform]],[3]Mapping!$B$4:$C$37,2,0)</f>
        <v>[Cake] - Cashloan</v>
      </c>
      <c r="H14682" s="128" t="str">
        <f>VLOOKUP(source[[#This Row],[lending_product_transform]],[3]Mapping!$B$3:$D$37,3,0)</f>
        <v>cashloan</v>
      </c>
      <c r="I14682" s="137">
        <v>0</v>
      </c>
    </row>
    <row r="14683" spans="1:9" x14ac:dyDescent="0.2">
      <c r="A14683" s="134">
        <v>46128</v>
      </c>
      <c r="B14683" s="135">
        <f>YEAR(source[[#This Row],[report_date]])</f>
        <v>2026</v>
      </c>
      <c r="C14683" s="128">
        <f t="shared" si="686"/>
        <v>4</v>
      </c>
      <c r="D14683" s="136">
        <f t="shared" si="688"/>
        <v>16</v>
      </c>
      <c r="E14683" s="136">
        <f t="shared" si="687"/>
        <v>16</v>
      </c>
      <c r="F14683" s="137" t="s">
        <v>24</v>
      </c>
      <c r="G14683" s="128" t="str">
        <f>VLOOKUP(source[[#This Row],[lending_product_transform]],[3]Mapping!$B$4:$C$37,2,0)</f>
        <v>[Cake] - Cashloan</v>
      </c>
      <c r="H14683" s="128" t="str">
        <f>VLOOKUP(source[[#This Row],[lending_product_transform]],[3]Mapping!$B$3:$D$37,3,0)</f>
        <v>cashloan</v>
      </c>
      <c r="I14683" s="137">
        <v>18022650000</v>
      </c>
    </row>
    <row r="14684" spans="1:9" x14ac:dyDescent="0.2">
      <c r="A14684" s="134">
        <v>46128</v>
      </c>
      <c r="B14684" s="135">
        <f>YEAR(source[[#This Row],[report_date]])</f>
        <v>2026</v>
      </c>
      <c r="C14684" s="128">
        <f t="shared" si="686"/>
        <v>4</v>
      </c>
      <c r="D14684" s="136">
        <f t="shared" si="688"/>
        <v>16</v>
      </c>
      <c r="E14684" s="136">
        <f t="shared" si="687"/>
        <v>16</v>
      </c>
      <c r="F14684" s="137" t="s">
        <v>24</v>
      </c>
      <c r="G14684" s="128" t="str">
        <f>VLOOKUP(source[[#This Row],[lending_product_transform]],[3]Mapping!$B$4:$C$37,2,0)</f>
        <v>[Cake] - Cashloan</v>
      </c>
      <c r="H14684" s="128" t="str">
        <f>VLOOKUP(source[[#This Row],[lending_product_transform]],[3]Mapping!$B$3:$D$37,3,0)</f>
        <v>cashloan</v>
      </c>
      <c r="I14684" s="137">
        <v>0</v>
      </c>
    </row>
    <row r="14685" spans="1:9" x14ac:dyDescent="0.2">
      <c r="A14685" s="134">
        <v>46128</v>
      </c>
      <c r="B14685" s="135">
        <f>YEAR(source[[#This Row],[report_date]])</f>
        <v>2026</v>
      </c>
      <c r="C14685" s="128">
        <f t="shared" si="686"/>
        <v>4</v>
      </c>
      <c r="D14685" s="136">
        <f t="shared" si="688"/>
        <v>16</v>
      </c>
      <c r="E14685" s="136">
        <f t="shared" si="687"/>
        <v>16</v>
      </c>
      <c r="F14685" s="137" t="s">
        <v>24</v>
      </c>
      <c r="G14685" s="128" t="str">
        <f>VLOOKUP(source[[#This Row],[lending_product_transform]],[3]Mapping!$B$4:$C$37,2,0)</f>
        <v>[Cake] - Cashloan</v>
      </c>
      <c r="H14685" s="128" t="str">
        <f>VLOOKUP(source[[#This Row],[lending_product_transform]],[3]Mapping!$B$3:$D$37,3,0)</f>
        <v>cashloan</v>
      </c>
      <c r="I14685" s="137">
        <v>0</v>
      </c>
    </row>
    <row r="14686" spans="1:9" x14ac:dyDescent="0.2">
      <c r="A14686" s="134">
        <v>46128</v>
      </c>
      <c r="B14686" s="135">
        <f>YEAR(source[[#This Row],[report_date]])</f>
        <v>2026</v>
      </c>
      <c r="C14686" s="128">
        <f t="shared" si="686"/>
        <v>4</v>
      </c>
      <c r="D14686" s="136">
        <f t="shared" si="688"/>
        <v>16</v>
      </c>
      <c r="E14686" s="136">
        <f t="shared" si="687"/>
        <v>16</v>
      </c>
      <c r="F14686" s="137" t="s">
        <v>24</v>
      </c>
      <c r="G14686" s="128" t="str">
        <f>VLOOKUP(source[[#This Row],[lending_product_transform]],[3]Mapping!$B$4:$C$37,2,0)</f>
        <v>[Cake] - Cashloan</v>
      </c>
      <c r="H14686" s="128" t="str">
        <f>VLOOKUP(source[[#This Row],[lending_product_transform]],[3]Mapping!$B$3:$D$37,3,0)</f>
        <v>cashloan</v>
      </c>
      <c r="I14686" s="137">
        <v>0</v>
      </c>
    </row>
    <row r="14687" spans="1:9" x14ac:dyDescent="0.2">
      <c r="A14687" s="134">
        <v>46128</v>
      </c>
      <c r="B14687" s="135">
        <f>YEAR(source[[#This Row],[report_date]])</f>
        <v>2026</v>
      </c>
      <c r="C14687" s="128">
        <f t="shared" si="686"/>
        <v>4</v>
      </c>
      <c r="D14687" s="136">
        <f t="shared" si="688"/>
        <v>16</v>
      </c>
      <c r="E14687" s="136">
        <f t="shared" si="687"/>
        <v>16</v>
      </c>
      <c r="F14687" s="137" t="s">
        <v>24</v>
      </c>
      <c r="G14687" s="128" t="str">
        <f>VLOOKUP(source[[#This Row],[lending_product_transform]],[3]Mapping!$B$4:$C$37,2,0)</f>
        <v>[Cake] - Cashloan</v>
      </c>
      <c r="H14687" s="128" t="str">
        <f>VLOOKUP(source[[#This Row],[lending_product_transform]],[3]Mapping!$B$3:$D$37,3,0)</f>
        <v>cashloan</v>
      </c>
      <c r="I14687" s="137">
        <v>0</v>
      </c>
    </row>
    <row r="14688" spans="1:9" x14ac:dyDescent="0.2">
      <c r="A14688" s="134">
        <v>46128</v>
      </c>
      <c r="B14688" s="135">
        <f>YEAR(source[[#This Row],[report_date]])</f>
        <v>2026</v>
      </c>
      <c r="C14688" s="128">
        <f t="shared" si="686"/>
        <v>4</v>
      </c>
      <c r="D14688" s="136">
        <f t="shared" si="688"/>
        <v>16</v>
      </c>
      <c r="E14688" s="136">
        <f t="shared" si="687"/>
        <v>16</v>
      </c>
      <c r="F14688" s="137" t="s">
        <v>24</v>
      </c>
      <c r="G14688" s="128" t="str">
        <f>VLOOKUP(source[[#This Row],[lending_product_transform]],[3]Mapping!$B$4:$C$37,2,0)</f>
        <v>[Cake] - Cashloan</v>
      </c>
      <c r="H14688" s="128" t="str">
        <f>VLOOKUP(source[[#This Row],[lending_product_transform]],[3]Mapping!$B$3:$D$37,3,0)</f>
        <v>cashloan</v>
      </c>
      <c r="I14688" s="137">
        <v>11571228000</v>
      </c>
    </row>
    <row r="14689" spans="1:9" x14ac:dyDescent="0.2">
      <c r="A14689" s="134">
        <v>46128</v>
      </c>
      <c r="B14689" s="135">
        <f>YEAR(source[[#This Row],[report_date]])</f>
        <v>2026</v>
      </c>
      <c r="C14689" s="128">
        <f t="shared" si="686"/>
        <v>4</v>
      </c>
      <c r="D14689" s="136">
        <f t="shared" si="688"/>
        <v>16</v>
      </c>
      <c r="E14689" s="136">
        <f t="shared" si="687"/>
        <v>16</v>
      </c>
      <c r="F14689" s="137" t="s">
        <v>24</v>
      </c>
      <c r="G14689" s="128" t="str">
        <f>VLOOKUP(source[[#This Row],[lending_product_transform]],[3]Mapping!$B$4:$C$37,2,0)</f>
        <v>[Cake] - Cashloan</v>
      </c>
      <c r="H14689" s="128" t="str">
        <f>VLOOKUP(source[[#This Row],[lending_product_transform]],[3]Mapping!$B$3:$D$37,3,0)</f>
        <v>cashloan</v>
      </c>
      <c r="I14689" s="137">
        <v>180321316</v>
      </c>
    </row>
    <row r="14690" spans="1:9" x14ac:dyDescent="0.2">
      <c r="A14690" s="134">
        <v>46128</v>
      </c>
      <c r="B14690" s="135">
        <f>YEAR(source[[#This Row],[report_date]])</f>
        <v>2026</v>
      </c>
      <c r="C14690" s="128">
        <f t="shared" si="686"/>
        <v>4</v>
      </c>
      <c r="D14690" s="136">
        <f t="shared" si="688"/>
        <v>16</v>
      </c>
      <c r="E14690" s="136">
        <f t="shared" si="687"/>
        <v>16</v>
      </c>
      <c r="F14690" s="137" t="s">
        <v>24</v>
      </c>
      <c r="G14690" s="128" t="str">
        <f>VLOOKUP(source[[#This Row],[lending_product_transform]],[3]Mapping!$B$4:$C$37,2,0)</f>
        <v>[Cake] - Cashloan</v>
      </c>
      <c r="H14690" s="128" t="str">
        <f>VLOOKUP(source[[#This Row],[lending_product_transform]],[3]Mapping!$B$3:$D$37,3,0)</f>
        <v>cashloan</v>
      </c>
      <c r="I14690" s="137">
        <v>42000000</v>
      </c>
    </row>
    <row r="14691" spans="1:9" x14ac:dyDescent="0.2">
      <c r="A14691" s="134">
        <v>46128</v>
      </c>
      <c r="B14691" s="135">
        <f>YEAR(source[[#This Row],[report_date]])</f>
        <v>2026</v>
      </c>
      <c r="C14691" s="128">
        <f t="shared" si="686"/>
        <v>4</v>
      </c>
      <c r="D14691" s="136">
        <f t="shared" si="688"/>
        <v>16</v>
      </c>
      <c r="E14691" s="136">
        <f t="shared" si="687"/>
        <v>16</v>
      </c>
      <c r="F14691" s="137" t="s">
        <v>24</v>
      </c>
      <c r="G14691" s="128" t="str">
        <f>VLOOKUP(source[[#This Row],[lending_product_transform]],[3]Mapping!$B$4:$C$37,2,0)</f>
        <v>[Cake] - Cashloan</v>
      </c>
      <c r="H14691" s="128" t="str">
        <f>VLOOKUP(source[[#This Row],[lending_product_transform]],[3]Mapping!$B$3:$D$37,3,0)</f>
        <v>cashloan</v>
      </c>
      <c r="I14691" s="137">
        <v>38000000</v>
      </c>
    </row>
    <row r="14692" spans="1:9" x14ac:dyDescent="0.2">
      <c r="A14692" s="134">
        <v>46128</v>
      </c>
      <c r="B14692" s="135">
        <f>YEAR(source[[#This Row],[report_date]])</f>
        <v>2026</v>
      </c>
      <c r="C14692" s="128">
        <f t="shared" si="686"/>
        <v>4</v>
      </c>
      <c r="D14692" s="136">
        <f t="shared" si="688"/>
        <v>16</v>
      </c>
      <c r="E14692" s="136">
        <f t="shared" si="687"/>
        <v>16</v>
      </c>
      <c r="F14692" s="137" t="s">
        <v>24</v>
      </c>
      <c r="G14692" s="128" t="str">
        <f>VLOOKUP(source[[#This Row],[lending_product_transform]],[3]Mapping!$B$4:$C$37,2,0)</f>
        <v>[Cake] - Cashloan</v>
      </c>
      <c r="H14692" s="128" t="str">
        <f>VLOOKUP(source[[#This Row],[lending_product_transform]],[3]Mapping!$B$3:$D$37,3,0)</f>
        <v>cashloan</v>
      </c>
      <c r="I14692" s="137">
        <v>654280000</v>
      </c>
    </row>
    <row r="14693" spans="1:9" x14ac:dyDescent="0.2">
      <c r="A14693" s="134">
        <v>46128</v>
      </c>
      <c r="B14693" s="135">
        <f>YEAR(source[[#This Row],[report_date]])</f>
        <v>2026</v>
      </c>
      <c r="C14693" s="128">
        <f t="shared" si="686"/>
        <v>4</v>
      </c>
      <c r="D14693" s="136">
        <f t="shared" si="688"/>
        <v>16</v>
      </c>
      <c r="E14693" s="136">
        <f t="shared" si="687"/>
        <v>16</v>
      </c>
      <c r="F14693" s="137" t="s">
        <v>24</v>
      </c>
      <c r="G14693" s="128" t="str">
        <f>VLOOKUP(source[[#This Row],[lending_product_transform]],[3]Mapping!$B$4:$C$37,2,0)</f>
        <v>[Cake] - Cashloan</v>
      </c>
      <c r="H14693" s="128" t="str">
        <f>VLOOKUP(source[[#This Row],[lending_product_transform]],[3]Mapping!$B$3:$D$37,3,0)</f>
        <v>cashloan</v>
      </c>
      <c r="I14693" s="137">
        <v>282312000</v>
      </c>
    </row>
    <row r="14694" spans="1:9" x14ac:dyDescent="0.2">
      <c r="A14694" s="134">
        <v>46128</v>
      </c>
      <c r="B14694" s="135">
        <f>YEAR(source[[#This Row],[report_date]])</f>
        <v>2026</v>
      </c>
      <c r="C14694" s="128">
        <f t="shared" si="686"/>
        <v>4</v>
      </c>
      <c r="D14694" s="136">
        <f t="shared" si="688"/>
        <v>16</v>
      </c>
      <c r="E14694" s="136">
        <f t="shared" si="687"/>
        <v>16</v>
      </c>
      <c r="F14694" s="137" t="s">
        <v>24</v>
      </c>
      <c r="G14694" s="128" t="str">
        <f>VLOOKUP(source[[#This Row],[lending_product_transform]],[3]Mapping!$B$4:$C$37,2,0)</f>
        <v>[Cake] - Cashloan</v>
      </c>
      <c r="H14694" s="128" t="str">
        <f>VLOOKUP(source[[#This Row],[lending_product_transform]],[3]Mapping!$B$3:$D$37,3,0)</f>
        <v>cashloan</v>
      </c>
      <c r="I14694" s="137">
        <v>248742818</v>
      </c>
    </row>
    <row r="14695" spans="1:9" x14ac:dyDescent="0.2">
      <c r="A14695" s="134">
        <v>46128</v>
      </c>
      <c r="B14695" s="135">
        <f>YEAR(source[[#This Row],[report_date]])</f>
        <v>2026</v>
      </c>
      <c r="C14695" s="128">
        <f t="shared" si="686"/>
        <v>4</v>
      </c>
      <c r="D14695" s="136">
        <f t="shared" si="688"/>
        <v>16</v>
      </c>
      <c r="E14695" s="136">
        <f t="shared" si="687"/>
        <v>16</v>
      </c>
      <c r="F14695" s="137" t="s">
        <v>24</v>
      </c>
      <c r="G14695" s="128" t="str">
        <f>VLOOKUP(source[[#This Row],[lending_product_transform]],[3]Mapping!$B$4:$C$37,2,0)</f>
        <v>[Cake] - Cashloan</v>
      </c>
      <c r="H14695" s="128" t="str">
        <f>VLOOKUP(source[[#This Row],[lending_product_transform]],[3]Mapping!$B$3:$D$37,3,0)</f>
        <v>cashloan</v>
      </c>
      <c r="I14695" s="137">
        <v>5763210000</v>
      </c>
    </row>
    <row r="14696" spans="1:9" x14ac:dyDescent="0.2">
      <c r="A14696" s="134">
        <v>46128</v>
      </c>
      <c r="B14696" s="135">
        <f>YEAR(source[[#This Row],[report_date]])</f>
        <v>2026</v>
      </c>
      <c r="C14696" s="128">
        <f t="shared" si="686"/>
        <v>4</v>
      </c>
      <c r="D14696" s="136">
        <f t="shared" si="688"/>
        <v>16</v>
      </c>
      <c r="E14696" s="136">
        <f t="shared" si="687"/>
        <v>16</v>
      </c>
      <c r="F14696" s="137" t="s">
        <v>24</v>
      </c>
      <c r="G14696" s="128" t="str">
        <f>VLOOKUP(source[[#This Row],[lending_product_transform]],[3]Mapping!$B$4:$C$37,2,0)</f>
        <v>[Cake] - Cashloan</v>
      </c>
      <c r="H14696" s="128" t="str">
        <f>VLOOKUP(source[[#This Row],[lending_product_transform]],[3]Mapping!$B$3:$D$37,3,0)</f>
        <v>cashloan</v>
      </c>
      <c r="I14696" s="137">
        <v>6480000</v>
      </c>
    </row>
    <row r="14697" spans="1:9" x14ac:dyDescent="0.2">
      <c r="A14697" s="134">
        <v>46129</v>
      </c>
      <c r="B14697" s="135">
        <f>YEAR(source[[#This Row],[report_date]])</f>
        <v>2026</v>
      </c>
      <c r="C14697" s="128">
        <f t="shared" si="686"/>
        <v>4</v>
      </c>
      <c r="D14697" s="136">
        <f t="shared" si="688"/>
        <v>16</v>
      </c>
      <c r="E14697" s="136">
        <f t="shared" si="687"/>
        <v>17</v>
      </c>
      <c r="F14697" s="137" t="s">
        <v>24</v>
      </c>
      <c r="G14697" s="128" t="str">
        <f>VLOOKUP(source[[#This Row],[lending_product_transform]],[3]Mapping!$B$4:$C$37,2,0)</f>
        <v>[Cake] - Cashloan</v>
      </c>
      <c r="H14697" s="128" t="str">
        <f>VLOOKUP(source[[#This Row],[lending_product_transform]],[3]Mapping!$B$3:$D$37,3,0)</f>
        <v>cashloan</v>
      </c>
      <c r="I14697" s="137">
        <v>431120000</v>
      </c>
    </row>
    <row r="14698" spans="1:9" x14ac:dyDescent="0.2">
      <c r="A14698" s="134">
        <v>46129</v>
      </c>
      <c r="B14698" s="135">
        <f>YEAR(source[[#This Row],[report_date]])</f>
        <v>2026</v>
      </c>
      <c r="C14698" s="128">
        <f t="shared" si="686"/>
        <v>4</v>
      </c>
      <c r="D14698" s="136">
        <f t="shared" si="688"/>
        <v>16</v>
      </c>
      <c r="E14698" s="136">
        <f t="shared" si="687"/>
        <v>17</v>
      </c>
      <c r="F14698" s="137" t="s">
        <v>24</v>
      </c>
      <c r="G14698" s="128" t="str">
        <f>VLOOKUP(source[[#This Row],[lending_product_transform]],[3]Mapping!$B$4:$C$37,2,0)</f>
        <v>[Cake] - Cashloan</v>
      </c>
      <c r="H14698" s="128" t="str">
        <f>VLOOKUP(source[[#This Row],[lending_product_transform]],[3]Mapping!$B$3:$D$37,3,0)</f>
        <v>cashloan</v>
      </c>
      <c r="I14698" s="137">
        <v>257394445</v>
      </c>
    </row>
    <row r="14699" spans="1:9" x14ac:dyDescent="0.2">
      <c r="A14699" s="134">
        <v>46129</v>
      </c>
      <c r="B14699" s="135">
        <f>YEAR(source[[#This Row],[report_date]])</f>
        <v>2026</v>
      </c>
      <c r="C14699" s="128">
        <f t="shared" si="686"/>
        <v>4</v>
      </c>
      <c r="D14699" s="136">
        <f t="shared" si="688"/>
        <v>16</v>
      </c>
      <c r="E14699" s="136">
        <f t="shared" si="687"/>
        <v>17</v>
      </c>
      <c r="F14699" s="137" t="s">
        <v>24</v>
      </c>
      <c r="G14699" s="128" t="str">
        <f>VLOOKUP(source[[#This Row],[lending_product_transform]],[3]Mapping!$B$4:$C$37,2,0)</f>
        <v>[Cake] - Cashloan</v>
      </c>
      <c r="H14699" s="128" t="str">
        <f>VLOOKUP(source[[#This Row],[lending_product_transform]],[3]Mapping!$B$3:$D$37,3,0)</f>
        <v>cashloan</v>
      </c>
      <c r="I14699" s="137">
        <v>13467110000</v>
      </c>
    </row>
    <row r="14700" spans="1:9" x14ac:dyDescent="0.2">
      <c r="A14700" s="134">
        <v>46129</v>
      </c>
      <c r="B14700" s="135">
        <f>YEAR(source[[#This Row],[report_date]])</f>
        <v>2026</v>
      </c>
      <c r="C14700" s="128">
        <f t="shared" si="686"/>
        <v>4</v>
      </c>
      <c r="D14700" s="136">
        <f t="shared" si="688"/>
        <v>16</v>
      </c>
      <c r="E14700" s="136">
        <f t="shared" si="687"/>
        <v>17</v>
      </c>
      <c r="F14700" s="137" t="s">
        <v>24</v>
      </c>
      <c r="G14700" s="128" t="str">
        <f>VLOOKUP(source[[#This Row],[lending_product_transform]],[3]Mapping!$B$4:$C$37,2,0)</f>
        <v>[Cake] - Cashloan</v>
      </c>
      <c r="H14700" s="128" t="str">
        <f>VLOOKUP(source[[#This Row],[lending_product_transform]],[3]Mapping!$B$3:$D$37,3,0)</f>
        <v>cashloan</v>
      </c>
      <c r="I14700" s="137">
        <v>1237946176</v>
      </c>
    </row>
    <row r="14701" spans="1:9" x14ac:dyDescent="0.2">
      <c r="A14701" s="134">
        <v>46129</v>
      </c>
      <c r="B14701" s="135">
        <f>YEAR(source[[#This Row],[report_date]])</f>
        <v>2026</v>
      </c>
      <c r="C14701" s="128">
        <f t="shared" si="686"/>
        <v>4</v>
      </c>
      <c r="D14701" s="136">
        <f t="shared" si="688"/>
        <v>16</v>
      </c>
      <c r="E14701" s="136">
        <f t="shared" si="687"/>
        <v>17</v>
      </c>
      <c r="F14701" s="137" t="s">
        <v>24</v>
      </c>
      <c r="G14701" s="128" t="str">
        <f>VLOOKUP(source[[#This Row],[lending_product_transform]],[3]Mapping!$B$4:$C$37,2,0)</f>
        <v>[Cake] - Cashloan</v>
      </c>
      <c r="H14701" s="128" t="str">
        <f>VLOOKUP(source[[#This Row],[lending_product_transform]],[3]Mapping!$B$3:$D$37,3,0)</f>
        <v>cashloan</v>
      </c>
      <c r="I14701" s="137">
        <v>13727232000</v>
      </c>
    </row>
    <row r="14702" spans="1:9" x14ac:dyDescent="0.2">
      <c r="A14702" s="134">
        <v>46129</v>
      </c>
      <c r="B14702" s="135">
        <f>YEAR(source[[#This Row],[report_date]])</f>
        <v>2026</v>
      </c>
      <c r="C14702" s="128">
        <f t="shared" si="686"/>
        <v>4</v>
      </c>
      <c r="D14702" s="136">
        <f t="shared" si="688"/>
        <v>16</v>
      </c>
      <c r="E14702" s="136">
        <f t="shared" si="687"/>
        <v>17</v>
      </c>
      <c r="F14702" s="137" t="s">
        <v>24</v>
      </c>
      <c r="G14702" s="128" t="str">
        <f>VLOOKUP(source[[#This Row],[lending_product_transform]],[3]Mapping!$B$4:$C$37,2,0)</f>
        <v>[Cake] - Cashloan</v>
      </c>
      <c r="H14702" s="128" t="str">
        <f>VLOOKUP(source[[#This Row],[lending_product_transform]],[3]Mapping!$B$3:$D$37,3,0)</f>
        <v>cashloan</v>
      </c>
      <c r="I14702" s="137">
        <v>0</v>
      </c>
    </row>
    <row r="14703" spans="1:9" x14ac:dyDescent="0.2">
      <c r="A14703" s="134">
        <v>46129</v>
      </c>
      <c r="B14703" s="135">
        <f>YEAR(source[[#This Row],[report_date]])</f>
        <v>2026</v>
      </c>
      <c r="C14703" s="128">
        <f t="shared" si="686"/>
        <v>4</v>
      </c>
      <c r="D14703" s="136">
        <f t="shared" si="688"/>
        <v>16</v>
      </c>
      <c r="E14703" s="136">
        <f t="shared" si="687"/>
        <v>17</v>
      </c>
      <c r="F14703" s="137" t="s">
        <v>24</v>
      </c>
      <c r="G14703" s="128" t="str">
        <f>VLOOKUP(source[[#This Row],[lending_product_transform]],[3]Mapping!$B$4:$C$37,2,0)</f>
        <v>[Cake] - Cashloan</v>
      </c>
      <c r="H14703" s="128" t="str">
        <f>VLOOKUP(source[[#This Row],[lending_product_transform]],[3]Mapping!$B$3:$D$37,3,0)</f>
        <v>cashloan</v>
      </c>
      <c r="I14703" s="137">
        <v>90000000</v>
      </c>
    </row>
    <row r="14704" spans="1:9" x14ac:dyDescent="0.2">
      <c r="A14704" s="134">
        <v>46129</v>
      </c>
      <c r="B14704" s="135">
        <f>YEAR(source[[#This Row],[report_date]])</f>
        <v>2026</v>
      </c>
      <c r="C14704" s="128">
        <f t="shared" si="686"/>
        <v>4</v>
      </c>
      <c r="D14704" s="136">
        <f t="shared" si="688"/>
        <v>16</v>
      </c>
      <c r="E14704" s="136">
        <f t="shared" si="687"/>
        <v>17</v>
      </c>
      <c r="F14704" s="137" t="s">
        <v>24</v>
      </c>
      <c r="G14704" s="128" t="str">
        <f>VLOOKUP(source[[#This Row],[lending_product_transform]],[3]Mapping!$B$4:$C$37,2,0)</f>
        <v>[Cake] - Cashloan</v>
      </c>
      <c r="H14704" s="128" t="str">
        <f>VLOOKUP(source[[#This Row],[lending_product_transform]],[3]Mapping!$B$3:$D$37,3,0)</f>
        <v>cashloan</v>
      </c>
      <c r="I14704" s="137">
        <v>2383890000</v>
      </c>
    </row>
    <row r="14705" spans="1:9" x14ac:dyDescent="0.2">
      <c r="A14705" s="134">
        <v>46129</v>
      </c>
      <c r="B14705" s="135">
        <f>YEAR(source[[#This Row],[report_date]])</f>
        <v>2026</v>
      </c>
      <c r="C14705" s="128">
        <f t="shared" si="686"/>
        <v>4</v>
      </c>
      <c r="D14705" s="136">
        <f t="shared" si="688"/>
        <v>16</v>
      </c>
      <c r="E14705" s="136">
        <f t="shared" si="687"/>
        <v>17</v>
      </c>
      <c r="F14705" s="137" t="s">
        <v>24</v>
      </c>
      <c r="G14705" s="128" t="str">
        <f>VLOOKUP(source[[#This Row],[lending_product_transform]],[3]Mapping!$B$4:$C$37,2,0)</f>
        <v>[Cake] - Cashloan</v>
      </c>
      <c r="H14705" s="128" t="str">
        <f>VLOOKUP(source[[#This Row],[lending_product_transform]],[3]Mapping!$B$3:$D$37,3,0)</f>
        <v>cashloan</v>
      </c>
      <c r="I14705" s="137">
        <v>1076550000</v>
      </c>
    </row>
    <row r="14706" spans="1:9" x14ac:dyDescent="0.2">
      <c r="A14706" s="134">
        <v>46129</v>
      </c>
      <c r="B14706" s="135">
        <f>YEAR(source[[#This Row],[report_date]])</f>
        <v>2026</v>
      </c>
      <c r="C14706" s="128">
        <f t="shared" si="686"/>
        <v>4</v>
      </c>
      <c r="D14706" s="136">
        <f t="shared" si="688"/>
        <v>16</v>
      </c>
      <c r="E14706" s="136">
        <f t="shared" si="687"/>
        <v>17</v>
      </c>
      <c r="F14706" s="137" t="s">
        <v>24</v>
      </c>
      <c r="G14706" s="128" t="str">
        <f>VLOOKUP(source[[#This Row],[lending_product_transform]],[3]Mapping!$B$4:$C$37,2,0)</f>
        <v>[Cake] - Cashloan</v>
      </c>
      <c r="H14706" s="128" t="str">
        <f>VLOOKUP(source[[#This Row],[lending_product_transform]],[3]Mapping!$B$3:$D$37,3,0)</f>
        <v>cashloan</v>
      </c>
      <c r="I14706" s="137">
        <v>2077000</v>
      </c>
    </row>
    <row r="14707" spans="1:9" x14ac:dyDescent="0.2">
      <c r="A14707" s="134">
        <v>46129</v>
      </c>
      <c r="B14707" s="135">
        <f>YEAR(source[[#This Row],[report_date]])</f>
        <v>2026</v>
      </c>
      <c r="C14707" s="128">
        <f t="shared" si="686"/>
        <v>4</v>
      </c>
      <c r="D14707" s="136">
        <f t="shared" si="688"/>
        <v>16</v>
      </c>
      <c r="E14707" s="136">
        <f t="shared" si="687"/>
        <v>17</v>
      </c>
      <c r="F14707" s="137" t="s">
        <v>24</v>
      </c>
      <c r="G14707" s="128" t="str">
        <f>VLOOKUP(source[[#This Row],[lending_product_transform]],[3]Mapping!$B$4:$C$37,2,0)</f>
        <v>[Cake] - Cashloan</v>
      </c>
      <c r="H14707" s="128" t="str">
        <f>VLOOKUP(source[[#This Row],[lending_product_transform]],[3]Mapping!$B$3:$D$37,3,0)</f>
        <v>cashloan</v>
      </c>
      <c r="I14707" s="137">
        <v>1001350918</v>
      </c>
    </row>
    <row r="14708" spans="1:9" x14ac:dyDescent="0.2">
      <c r="A14708" s="134">
        <v>46129</v>
      </c>
      <c r="B14708" s="135">
        <f>YEAR(source[[#This Row],[report_date]])</f>
        <v>2026</v>
      </c>
      <c r="C14708" s="128">
        <f t="shared" si="686"/>
        <v>4</v>
      </c>
      <c r="D14708" s="136">
        <f t="shared" si="688"/>
        <v>16</v>
      </c>
      <c r="E14708" s="136">
        <f t="shared" si="687"/>
        <v>17</v>
      </c>
      <c r="F14708" s="137" t="s">
        <v>24</v>
      </c>
      <c r="G14708" s="128" t="str">
        <f>VLOOKUP(source[[#This Row],[lending_product_transform]],[3]Mapping!$B$4:$C$37,2,0)</f>
        <v>[Cake] - Cashloan</v>
      </c>
      <c r="H14708" s="128" t="str">
        <f>VLOOKUP(source[[#This Row],[lending_product_transform]],[3]Mapping!$B$3:$D$37,3,0)</f>
        <v>cashloan</v>
      </c>
      <c r="I14708" s="137">
        <v>0</v>
      </c>
    </row>
    <row r="14709" spans="1:9" x14ac:dyDescent="0.2">
      <c r="A14709" s="134">
        <v>46129</v>
      </c>
      <c r="B14709" s="135">
        <f>YEAR(source[[#This Row],[report_date]])</f>
        <v>2026</v>
      </c>
      <c r="C14709" s="128">
        <f t="shared" si="686"/>
        <v>4</v>
      </c>
      <c r="D14709" s="136">
        <f t="shared" si="688"/>
        <v>16</v>
      </c>
      <c r="E14709" s="136">
        <f t="shared" si="687"/>
        <v>17</v>
      </c>
      <c r="F14709" s="137" t="s">
        <v>24</v>
      </c>
      <c r="G14709" s="128" t="str">
        <f>VLOOKUP(source[[#This Row],[lending_product_transform]],[3]Mapping!$B$4:$C$37,2,0)</f>
        <v>[Cake] - Cashloan</v>
      </c>
      <c r="H14709" s="128" t="str">
        <f>VLOOKUP(source[[#This Row],[lending_product_transform]],[3]Mapping!$B$3:$D$37,3,0)</f>
        <v>cashloan</v>
      </c>
      <c r="I14709" s="137">
        <v>63000000</v>
      </c>
    </row>
    <row r="14710" spans="1:9" x14ac:dyDescent="0.2">
      <c r="A14710" s="134">
        <v>46129</v>
      </c>
      <c r="B14710" s="135">
        <f>YEAR(source[[#This Row],[report_date]])</f>
        <v>2026</v>
      </c>
      <c r="C14710" s="128">
        <f t="shared" ref="C14710:C14773" si="689">MONTH(A14710)</f>
        <v>4</v>
      </c>
      <c r="D14710" s="136">
        <f t="shared" si="688"/>
        <v>16</v>
      </c>
      <c r="E14710" s="136">
        <f t="shared" ref="E14710:E14773" si="690">DAY(A14710)</f>
        <v>17</v>
      </c>
      <c r="F14710" s="137" t="s">
        <v>24</v>
      </c>
      <c r="G14710" s="128" t="str">
        <f>VLOOKUP(source[[#This Row],[lending_product_transform]],[3]Mapping!$B$4:$C$37,2,0)</f>
        <v>[Cake] - Cashloan</v>
      </c>
      <c r="H14710" s="128" t="str">
        <f>VLOOKUP(source[[#This Row],[lending_product_transform]],[3]Mapping!$B$3:$D$37,3,0)</f>
        <v>cashloan</v>
      </c>
      <c r="I14710" s="137">
        <v>0</v>
      </c>
    </row>
    <row r="14711" spans="1:9" x14ac:dyDescent="0.2">
      <c r="A14711" s="134">
        <v>46129</v>
      </c>
      <c r="B14711" s="135">
        <f>YEAR(source[[#This Row],[report_date]])</f>
        <v>2026</v>
      </c>
      <c r="C14711" s="128">
        <f t="shared" si="689"/>
        <v>4</v>
      </c>
      <c r="D14711" s="136">
        <f t="shared" si="688"/>
        <v>16</v>
      </c>
      <c r="E14711" s="136">
        <f t="shared" si="690"/>
        <v>17</v>
      </c>
      <c r="F14711" s="137" t="s">
        <v>24</v>
      </c>
      <c r="G14711" s="128" t="str">
        <f>VLOOKUP(source[[#This Row],[lending_product_transform]],[3]Mapping!$B$4:$C$37,2,0)</f>
        <v>[Cake] - Cashloan</v>
      </c>
      <c r="H14711" s="128" t="str">
        <f>VLOOKUP(source[[#This Row],[lending_product_transform]],[3]Mapping!$B$3:$D$37,3,0)</f>
        <v>cashloan</v>
      </c>
      <c r="I14711" s="137">
        <v>17459440000</v>
      </c>
    </row>
    <row r="14712" spans="1:9" x14ac:dyDescent="0.2">
      <c r="A14712" s="134">
        <v>46129</v>
      </c>
      <c r="B14712" s="135">
        <f>YEAR(source[[#This Row],[report_date]])</f>
        <v>2026</v>
      </c>
      <c r="C14712" s="128">
        <f t="shared" si="689"/>
        <v>4</v>
      </c>
      <c r="D14712" s="136">
        <f t="shared" si="688"/>
        <v>16</v>
      </c>
      <c r="E14712" s="136">
        <f t="shared" si="690"/>
        <v>17</v>
      </c>
      <c r="F14712" s="137" t="s">
        <v>24</v>
      </c>
      <c r="G14712" s="128" t="str">
        <f>VLOOKUP(source[[#This Row],[lending_product_transform]],[3]Mapping!$B$4:$C$37,2,0)</f>
        <v>[Cake] - Cashloan</v>
      </c>
      <c r="H14712" s="128" t="str">
        <f>VLOOKUP(source[[#This Row],[lending_product_transform]],[3]Mapping!$B$3:$D$37,3,0)</f>
        <v>cashloan</v>
      </c>
      <c r="I14712" s="137">
        <v>0</v>
      </c>
    </row>
    <row r="14713" spans="1:9" x14ac:dyDescent="0.2">
      <c r="A14713" s="134">
        <v>46129</v>
      </c>
      <c r="B14713" s="135">
        <f>YEAR(source[[#This Row],[report_date]])</f>
        <v>2026</v>
      </c>
      <c r="C14713" s="128">
        <f t="shared" si="689"/>
        <v>4</v>
      </c>
      <c r="D14713" s="136">
        <f t="shared" si="688"/>
        <v>16</v>
      </c>
      <c r="E14713" s="136">
        <f t="shared" si="690"/>
        <v>17</v>
      </c>
      <c r="F14713" s="137" t="s">
        <v>24</v>
      </c>
      <c r="G14713" s="128" t="str">
        <f>VLOOKUP(source[[#This Row],[lending_product_transform]],[3]Mapping!$B$4:$C$37,2,0)</f>
        <v>[Cake] - Cashloan</v>
      </c>
      <c r="H14713" s="128" t="str">
        <f>VLOOKUP(source[[#This Row],[lending_product_transform]],[3]Mapping!$B$3:$D$37,3,0)</f>
        <v>cashloan</v>
      </c>
      <c r="I14713" s="137">
        <v>0</v>
      </c>
    </row>
    <row r="14714" spans="1:9" x14ac:dyDescent="0.2">
      <c r="A14714" s="134">
        <v>46129</v>
      </c>
      <c r="B14714" s="135">
        <f>YEAR(source[[#This Row],[report_date]])</f>
        <v>2026</v>
      </c>
      <c r="C14714" s="128">
        <f t="shared" si="689"/>
        <v>4</v>
      </c>
      <c r="D14714" s="136">
        <f t="shared" si="688"/>
        <v>16</v>
      </c>
      <c r="E14714" s="136">
        <f t="shared" si="690"/>
        <v>17</v>
      </c>
      <c r="F14714" s="137" t="s">
        <v>24</v>
      </c>
      <c r="G14714" s="128" t="str">
        <f>VLOOKUP(source[[#This Row],[lending_product_transform]],[3]Mapping!$B$4:$C$37,2,0)</f>
        <v>[Cake] - Cashloan</v>
      </c>
      <c r="H14714" s="128" t="str">
        <f>VLOOKUP(source[[#This Row],[lending_product_transform]],[3]Mapping!$B$3:$D$37,3,0)</f>
        <v>cashloan</v>
      </c>
      <c r="I14714" s="137">
        <v>0</v>
      </c>
    </row>
    <row r="14715" spans="1:9" x14ac:dyDescent="0.2">
      <c r="A14715" s="134">
        <v>46129</v>
      </c>
      <c r="B14715" s="135">
        <f>YEAR(source[[#This Row],[report_date]])</f>
        <v>2026</v>
      </c>
      <c r="C14715" s="128">
        <f t="shared" si="689"/>
        <v>4</v>
      </c>
      <c r="D14715" s="136">
        <f t="shared" si="688"/>
        <v>16</v>
      </c>
      <c r="E14715" s="136">
        <f t="shared" si="690"/>
        <v>17</v>
      </c>
      <c r="F14715" s="137" t="s">
        <v>24</v>
      </c>
      <c r="G14715" s="128" t="str">
        <f>VLOOKUP(source[[#This Row],[lending_product_transform]],[3]Mapping!$B$4:$C$37,2,0)</f>
        <v>[Cake] - Cashloan</v>
      </c>
      <c r="H14715" s="128" t="str">
        <f>VLOOKUP(source[[#This Row],[lending_product_transform]],[3]Mapping!$B$3:$D$37,3,0)</f>
        <v>cashloan</v>
      </c>
      <c r="I14715" s="137">
        <v>0</v>
      </c>
    </row>
    <row r="14716" spans="1:9" x14ac:dyDescent="0.2">
      <c r="A14716" s="134">
        <v>46129</v>
      </c>
      <c r="B14716" s="135">
        <f>YEAR(source[[#This Row],[report_date]])</f>
        <v>2026</v>
      </c>
      <c r="C14716" s="128">
        <f t="shared" si="689"/>
        <v>4</v>
      </c>
      <c r="D14716" s="136">
        <f t="shared" si="688"/>
        <v>16</v>
      </c>
      <c r="E14716" s="136">
        <f t="shared" si="690"/>
        <v>17</v>
      </c>
      <c r="F14716" s="137" t="s">
        <v>24</v>
      </c>
      <c r="G14716" s="128" t="str">
        <f>VLOOKUP(source[[#This Row],[lending_product_transform]],[3]Mapping!$B$4:$C$37,2,0)</f>
        <v>[Cake] - Cashloan</v>
      </c>
      <c r="H14716" s="128" t="str">
        <f>VLOOKUP(source[[#This Row],[lending_product_transform]],[3]Mapping!$B$3:$D$37,3,0)</f>
        <v>cashloan</v>
      </c>
      <c r="I14716" s="137">
        <v>10529244000</v>
      </c>
    </row>
    <row r="14717" spans="1:9" x14ac:dyDescent="0.2">
      <c r="A14717" s="134">
        <v>46129</v>
      </c>
      <c r="B14717" s="135">
        <f>YEAR(source[[#This Row],[report_date]])</f>
        <v>2026</v>
      </c>
      <c r="C14717" s="128">
        <f t="shared" si="689"/>
        <v>4</v>
      </c>
      <c r="D14717" s="136">
        <f t="shared" si="688"/>
        <v>16</v>
      </c>
      <c r="E14717" s="136">
        <f t="shared" si="690"/>
        <v>17</v>
      </c>
      <c r="F14717" s="137" t="s">
        <v>24</v>
      </c>
      <c r="G14717" s="128" t="str">
        <f>VLOOKUP(source[[#This Row],[lending_product_transform]],[3]Mapping!$B$4:$C$37,2,0)</f>
        <v>[Cake] - Cashloan</v>
      </c>
      <c r="H14717" s="128" t="str">
        <f>VLOOKUP(source[[#This Row],[lending_product_transform]],[3]Mapping!$B$3:$D$37,3,0)</f>
        <v>cashloan</v>
      </c>
      <c r="I14717" s="137">
        <v>154684658</v>
      </c>
    </row>
    <row r="14718" spans="1:9" x14ac:dyDescent="0.2">
      <c r="A14718" s="134">
        <v>46129</v>
      </c>
      <c r="B14718" s="135">
        <f>YEAR(source[[#This Row],[report_date]])</f>
        <v>2026</v>
      </c>
      <c r="C14718" s="128">
        <f t="shared" si="689"/>
        <v>4</v>
      </c>
      <c r="D14718" s="136">
        <f t="shared" si="688"/>
        <v>16</v>
      </c>
      <c r="E14718" s="136">
        <f t="shared" si="690"/>
        <v>17</v>
      </c>
      <c r="F14718" s="137" t="s">
        <v>24</v>
      </c>
      <c r="G14718" s="128" t="str">
        <f>VLOOKUP(source[[#This Row],[lending_product_transform]],[3]Mapping!$B$4:$C$37,2,0)</f>
        <v>[Cake] - Cashloan</v>
      </c>
      <c r="H14718" s="128" t="str">
        <f>VLOOKUP(source[[#This Row],[lending_product_transform]],[3]Mapping!$B$3:$D$37,3,0)</f>
        <v>cashloan</v>
      </c>
      <c r="I14718" s="137">
        <v>30500000</v>
      </c>
    </row>
    <row r="14719" spans="1:9" x14ac:dyDescent="0.2">
      <c r="A14719" s="134">
        <v>46129</v>
      </c>
      <c r="B14719" s="135">
        <f>YEAR(source[[#This Row],[report_date]])</f>
        <v>2026</v>
      </c>
      <c r="C14719" s="128">
        <f t="shared" si="689"/>
        <v>4</v>
      </c>
      <c r="D14719" s="136">
        <f t="shared" si="688"/>
        <v>16</v>
      </c>
      <c r="E14719" s="136">
        <f t="shared" si="690"/>
        <v>17</v>
      </c>
      <c r="F14719" s="137" t="s">
        <v>24</v>
      </c>
      <c r="G14719" s="128" t="str">
        <f>VLOOKUP(source[[#This Row],[lending_product_transform]],[3]Mapping!$B$4:$C$37,2,0)</f>
        <v>[Cake] - Cashloan</v>
      </c>
      <c r="H14719" s="128" t="str">
        <f>VLOOKUP(source[[#This Row],[lending_product_transform]],[3]Mapping!$B$3:$D$37,3,0)</f>
        <v>cashloan</v>
      </c>
      <c r="I14719" s="137">
        <v>14000000</v>
      </c>
    </row>
    <row r="14720" spans="1:9" x14ac:dyDescent="0.2">
      <c r="A14720" s="134">
        <v>46129</v>
      </c>
      <c r="B14720" s="135">
        <f>YEAR(source[[#This Row],[report_date]])</f>
        <v>2026</v>
      </c>
      <c r="C14720" s="128">
        <f t="shared" si="689"/>
        <v>4</v>
      </c>
      <c r="D14720" s="136">
        <f t="shared" si="688"/>
        <v>16</v>
      </c>
      <c r="E14720" s="136">
        <f t="shared" si="690"/>
        <v>17</v>
      </c>
      <c r="F14720" s="137" t="s">
        <v>24</v>
      </c>
      <c r="G14720" s="128" t="str">
        <f>VLOOKUP(source[[#This Row],[lending_product_transform]],[3]Mapping!$B$4:$C$37,2,0)</f>
        <v>[Cake] - Cashloan</v>
      </c>
      <c r="H14720" s="128" t="str">
        <f>VLOOKUP(source[[#This Row],[lending_product_transform]],[3]Mapping!$B$3:$D$37,3,0)</f>
        <v>cashloan</v>
      </c>
      <c r="I14720" s="137">
        <v>1043820000</v>
      </c>
    </row>
    <row r="14721" spans="1:9" x14ac:dyDescent="0.2">
      <c r="A14721" s="134">
        <v>46129</v>
      </c>
      <c r="B14721" s="135">
        <f>YEAR(source[[#This Row],[report_date]])</f>
        <v>2026</v>
      </c>
      <c r="C14721" s="128">
        <f t="shared" si="689"/>
        <v>4</v>
      </c>
      <c r="D14721" s="136">
        <f t="shared" si="688"/>
        <v>16</v>
      </c>
      <c r="E14721" s="136">
        <f t="shared" si="690"/>
        <v>17</v>
      </c>
      <c r="F14721" s="137" t="s">
        <v>24</v>
      </c>
      <c r="G14721" s="128" t="str">
        <f>VLOOKUP(source[[#This Row],[lending_product_transform]],[3]Mapping!$B$4:$C$37,2,0)</f>
        <v>[Cake] - Cashloan</v>
      </c>
      <c r="H14721" s="128" t="str">
        <f>VLOOKUP(source[[#This Row],[lending_product_transform]],[3]Mapping!$B$3:$D$37,3,0)</f>
        <v>cashloan</v>
      </c>
      <c r="I14721" s="137">
        <v>363852000</v>
      </c>
    </row>
    <row r="14722" spans="1:9" x14ac:dyDescent="0.2">
      <c r="A14722" s="134">
        <v>46129</v>
      </c>
      <c r="B14722" s="135">
        <f>YEAR(source[[#This Row],[report_date]])</f>
        <v>2026</v>
      </c>
      <c r="C14722" s="128">
        <f t="shared" si="689"/>
        <v>4</v>
      </c>
      <c r="D14722" s="136">
        <f t="shared" si="688"/>
        <v>16</v>
      </c>
      <c r="E14722" s="136">
        <f t="shared" si="690"/>
        <v>17</v>
      </c>
      <c r="F14722" s="137" t="s">
        <v>24</v>
      </c>
      <c r="G14722" s="128" t="str">
        <f>VLOOKUP(source[[#This Row],[lending_product_transform]],[3]Mapping!$B$4:$C$37,2,0)</f>
        <v>[Cake] - Cashloan</v>
      </c>
      <c r="H14722" s="128" t="str">
        <f>VLOOKUP(source[[#This Row],[lending_product_transform]],[3]Mapping!$B$3:$D$37,3,0)</f>
        <v>cashloan</v>
      </c>
      <c r="I14722" s="137">
        <v>227579849</v>
      </c>
    </row>
    <row r="14723" spans="1:9" x14ac:dyDescent="0.2">
      <c r="A14723" s="134">
        <v>46129</v>
      </c>
      <c r="B14723" s="135">
        <f>YEAR(source[[#This Row],[report_date]])</f>
        <v>2026</v>
      </c>
      <c r="C14723" s="128">
        <f t="shared" si="689"/>
        <v>4</v>
      </c>
      <c r="D14723" s="136">
        <f t="shared" si="688"/>
        <v>16</v>
      </c>
      <c r="E14723" s="136">
        <f t="shared" si="690"/>
        <v>17</v>
      </c>
      <c r="F14723" s="137" t="s">
        <v>24</v>
      </c>
      <c r="G14723" s="128" t="str">
        <f>VLOOKUP(source[[#This Row],[lending_product_transform]],[3]Mapping!$B$4:$C$37,2,0)</f>
        <v>[Cake] - Cashloan</v>
      </c>
      <c r="H14723" s="128" t="str">
        <f>VLOOKUP(source[[#This Row],[lending_product_transform]],[3]Mapping!$B$3:$D$37,3,0)</f>
        <v>cashloan</v>
      </c>
      <c r="I14723" s="137">
        <v>5666300000</v>
      </c>
    </row>
    <row r="14724" spans="1:9" x14ac:dyDescent="0.2">
      <c r="A14724" s="134">
        <v>46129</v>
      </c>
      <c r="B14724" s="135">
        <f>YEAR(source[[#This Row],[report_date]])</f>
        <v>2026</v>
      </c>
      <c r="C14724" s="128">
        <f t="shared" si="689"/>
        <v>4</v>
      </c>
      <c r="D14724" s="136">
        <f t="shared" si="688"/>
        <v>16</v>
      </c>
      <c r="E14724" s="136">
        <f t="shared" si="690"/>
        <v>17</v>
      </c>
      <c r="F14724" s="137" t="s">
        <v>24</v>
      </c>
      <c r="G14724" s="128" t="str">
        <f>VLOOKUP(source[[#This Row],[lending_product_transform]],[3]Mapping!$B$4:$C$37,2,0)</f>
        <v>[Cake] - Cashloan</v>
      </c>
      <c r="H14724" s="128" t="str">
        <f>VLOOKUP(source[[#This Row],[lending_product_transform]],[3]Mapping!$B$3:$D$37,3,0)</f>
        <v>cashloan</v>
      </c>
      <c r="I14724" s="137">
        <v>0</v>
      </c>
    </row>
    <row r="14725" spans="1:9" x14ac:dyDescent="0.2">
      <c r="A14725" s="134">
        <v>46130</v>
      </c>
      <c r="B14725" s="135">
        <f>YEAR(source[[#This Row],[report_date]])</f>
        <v>2026</v>
      </c>
      <c r="C14725" s="128">
        <f t="shared" si="689"/>
        <v>4</v>
      </c>
      <c r="D14725" s="136">
        <f t="shared" si="688"/>
        <v>16</v>
      </c>
      <c r="E14725" s="136">
        <f t="shared" si="690"/>
        <v>18</v>
      </c>
      <c r="F14725" s="137" t="s">
        <v>24</v>
      </c>
      <c r="G14725" s="128" t="str">
        <f>VLOOKUP(source[[#This Row],[lending_product_transform]],[3]Mapping!$B$4:$C$37,2,0)</f>
        <v>[Cake] - Cashloan</v>
      </c>
      <c r="H14725" s="128" t="str">
        <f>VLOOKUP(source[[#This Row],[lending_product_transform]],[3]Mapping!$B$3:$D$37,3,0)</f>
        <v>cashloan</v>
      </c>
      <c r="I14725" s="137">
        <v>490320000</v>
      </c>
    </row>
    <row r="14726" spans="1:9" x14ac:dyDescent="0.2">
      <c r="A14726" s="134">
        <v>46130</v>
      </c>
      <c r="B14726" s="135">
        <f>YEAR(source[[#This Row],[report_date]])</f>
        <v>2026</v>
      </c>
      <c r="C14726" s="128">
        <f t="shared" si="689"/>
        <v>4</v>
      </c>
      <c r="D14726" s="136">
        <f t="shared" si="688"/>
        <v>16</v>
      </c>
      <c r="E14726" s="136">
        <f t="shared" si="690"/>
        <v>18</v>
      </c>
      <c r="F14726" s="137" t="s">
        <v>24</v>
      </c>
      <c r="G14726" s="128" t="str">
        <f>VLOOKUP(source[[#This Row],[lending_product_transform]],[3]Mapping!$B$4:$C$37,2,0)</f>
        <v>[Cake] - Cashloan</v>
      </c>
      <c r="H14726" s="128" t="str">
        <f>VLOOKUP(source[[#This Row],[lending_product_transform]],[3]Mapping!$B$3:$D$37,3,0)</f>
        <v>cashloan</v>
      </c>
      <c r="I14726" s="137">
        <v>249342174</v>
      </c>
    </row>
    <row r="14727" spans="1:9" x14ac:dyDescent="0.2">
      <c r="A14727" s="134">
        <v>46130</v>
      </c>
      <c r="B14727" s="135">
        <f>YEAR(source[[#This Row],[report_date]])</f>
        <v>2026</v>
      </c>
      <c r="C14727" s="128">
        <f t="shared" si="689"/>
        <v>4</v>
      </c>
      <c r="D14727" s="136">
        <f t="shared" si="688"/>
        <v>16</v>
      </c>
      <c r="E14727" s="136">
        <f t="shared" si="690"/>
        <v>18</v>
      </c>
      <c r="F14727" s="137" t="s">
        <v>24</v>
      </c>
      <c r="G14727" s="128" t="str">
        <f>VLOOKUP(source[[#This Row],[lending_product_transform]],[3]Mapping!$B$4:$C$37,2,0)</f>
        <v>[Cake] - Cashloan</v>
      </c>
      <c r="H14727" s="128" t="str">
        <f>VLOOKUP(source[[#This Row],[lending_product_transform]],[3]Mapping!$B$3:$D$37,3,0)</f>
        <v>cashloan</v>
      </c>
      <c r="I14727" s="137">
        <v>12698440000</v>
      </c>
    </row>
    <row r="14728" spans="1:9" x14ac:dyDescent="0.2">
      <c r="A14728" s="134">
        <v>46130</v>
      </c>
      <c r="B14728" s="135">
        <f>YEAR(source[[#This Row],[report_date]])</f>
        <v>2026</v>
      </c>
      <c r="C14728" s="128">
        <f t="shared" si="689"/>
        <v>4</v>
      </c>
      <c r="D14728" s="136">
        <f t="shared" si="688"/>
        <v>16</v>
      </c>
      <c r="E14728" s="136">
        <f t="shared" si="690"/>
        <v>18</v>
      </c>
      <c r="F14728" s="137" t="s">
        <v>24</v>
      </c>
      <c r="G14728" s="128" t="str">
        <f>VLOOKUP(source[[#This Row],[lending_product_transform]],[3]Mapping!$B$4:$C$37,2,0)</f>
        <v>[Cake] - Cashloan</v>
      </c>
      <c r="H14728" s="128" t="str">
        <f>VLOOKUP(source[[#This Row],[lending_product_transform]],[3]Mapping!$B$3:$D$37,3,0)</f>
        <v>cashloan</v>
      </c>
      <c r="I14728" s="137">
        <v>1188494503</v>
      </c>
    </row>
    <row r="14729" spans="1:9" x14ac:dyDescent="0.2">
      <c r="A14729" s="134">
        <v>46130</v>
      </c>
      <c r="B14729" s="135">
        <f>YEAR(source[[#This Row],[report_date]])</f>
        <v>2026</v>
      </c>
      <c r="C14729" s="128">
        <f t="shared" si="689"/>
        <v>4</v>
      </c>
      <c r="D14729" s="136">
        <f t="shared" si="688"/>
        <v>16</v>
      </c>
      <c r="E14729" s="136">
        <f t="shared" si="690"/>
        <v>18</v>
      </c>
      <c r="F14729" s="137" t="s">
        <v>24</v>
      </c>
      <c r="G14729" s="128" t="str">
        <f>VLOOKUP(source[[#This Row],[lending_product_transform]],[3]Mapping!$B$4:$C$37,2,0)</f>
        <v>[Cake] - Cashloan</v>
      </c>
      <c r="H14729" s="128" t="str">
        <f>VLOOKUP(source[[#This Row],[lending_product_transform]],[3]Mapping!$B$3:$D$37,3,0)</f>
        <v>cashloan</v>
      </c>
      <c r="I14729" s="137">
        <v>12928356000</v>
      </c>
    </row>
    <row r="14730" spans="1:9" x14ac:dyDescent="0.2">
      <c r="A14730" s="134">
        <v>46130</v>
      </c>
      <c r="B14730" s="135">
        <f>YEAR(source[[#This Row],[report_date]])</f>
        <v>2026</v>
      </c>
      <c r="C14730" s="128">
        <f t="shared" si="689"/>
        <v>4</v>
      </c>
      <c r="D14730" s="136">
        <f t="shared" si="688"/>
        <v>16</v>
      </c>
      <c r="E14730" s="136">
        <f t="shared" si="690"/>
        <v>18</v>
      </c>
      <c r="F14730" s="137" t="s">
        <v>24</v>
      </c>
      <c r="G14730" s="128" t="str">
        <f>VLOOKUP(source[[#This Row],[lending_product_transform]],[3]Mapping!$B$4:$C$37,2,0)</f>
        <v>[Cake] - Cashloan</v>
      </c>
      <c r="H14730" s="128" t="str">
        <f>VLOOKUP(source[[#This Row],[lending_product_transform]],[3]Mapping!$B$3:$D$37,3,0)</f>
        <v>cashloan</v>
      </c>
      <c r="I14730" s="137">
        <v>0</v>
      </c>
    </row>
    <row r="14731" spans="1:9" x14ac:dyDescent="0.2">
      <c r="A14731" s="134">
        <v>46130</v>
      </c>
      <c r="B14731" s="135">
        <f>YEAR(source[[#This Row],[report_date]])</f>
        <v>2026</v>
      </c>
      <c r="C14731" s="128">
        <f t="shared" si="689"/>
        <v>4</v>
      </c>
      <c r="D14731" s="136">
        <f t="shared" si="688"/>
        <v>16</v>
      </c>
      <c r="E14731" s="136">
        <f t="shared" si="690"/>
        <v>18</v>
      </c>
      <c r="F14731" s="137" t="s">
        <v>24</v>
      </c>
      <c r="G14731" s="128" t="str">
        <f>VLOOKUP(source[[#This Row],[lending_product_transform]],[3]Mapping!$B$4:$C$37,2,0)</f>
        <v>[Cake] - Cashloan</v>
      </c>
      <c r="H14731" s="128" t="str">
        <f>VLOOKUP(source[[#This Row],[lending_product_transform]],[3]Mapping!$B$3:$D$37,3,0)</f>
        <v>cashloan</v>
      </c>
      <c r="I14731" s="137">
        <v>0</v>
      </c>
    </row>
    <row r="14732" spans="1:9" x14ac:dyDescent="0.2">
      <c r="A14732" s="134">
        <v>46130</v>
      </c>
      <c r="B14732" s="135">
        <f>YEAR(source[[#This Row],[report_date]])</f>
        <v>2026</v>
      </c>
      <c r="C14732" s="128">
        <f t="shared" si="689"/>
        <v>4</v>
      </c>
      <c r="D14732" s="136">
        <f t="shared" si="688"/>
        <v>16</v>
      </c>
      <c r="E14732" s="136">
        <f t="shared" si="690"/>
        <v>18</v>
      </c>
      <c r="F14732" s="137" t="s">
        <v>24</v>
      </c>
      <c r="G14732" s="128" t="str">
        <f>VLOOKUP(source[[#This Row],[lending_product_transform]],[3]Mapping!$B$4:$C$37,2,0)</f>
        <v>[Cake] - Cashloan</v>
      </c>
      <c r="H14732" s="128" t="str">
        <f>VLOOKUP(source[[#This Row],[lending_product_transform]],[3]Mapping!$B$3:$D$37,3,0)</f>
        <v>cashloan</v>
      </c>
      <c r="I14732" s="137">
        <v>2279150000</v>
      </c>
    </row>
    <row r="14733" spans="1:9" x14ac:dyDescent="0.2">
      <c r="A14733" s="134">
        <v>46130</v>
      </c>
      <c r="B14733" s="135">
        <f>YEAR(source[[#This Row],[report_date]])</f>
        <v>2026</v>
      </c>
      <c r="C14733" s="128">
        <f t="shared" si="689"/>
        <v>4</v>
      </c>
      <c r="D14733" s="136">
        <f t="shared" si="688"/>
        <v>16</v>
      </c>
      <c r="E14733" s="136">
        <f t="shared" si="690"/>
        <v>18</v>
      </c>
      <c r="F14733" s="137" t="s">
        <v>24</v>
      </c>
      <c r="G14733" s="128" t="str">
        <f>VLOOKUP(source[[#This Row],[lending_product_transform]],[3]Mapping!$B$4:$C$37,2,0)</f>
        <v>[Cake] - Cashloan</v>
      </c>
      <c r="H14733" s="128" t="str">
        <f>VLOOKUP(source[[#This Row],[lending_product_transform]],[3]Mapping!$B$3:$D$37,3,0)</f>
        <v>cashloan</v>
      </c>
      <c r="I14733" s="137">
        <v>939210000</v>
      </c>
    </row>
    <row r="14734" spans="1:9" x14ac:dyDescent="0.2">
      <c r="A14734" s="134">
        <v>46130</v>
      </c>
      <c r="B14734" s="135">
        <f>YEAR(source[[#This Row],[report_date]])</f>
        <v>2026</v>
      </c>
      <c r="C14734" s="128">
        <f t="shared" si="689"/>
        <v>4</v>
      </c>
      <c r="D14734" s="136">
        <f t="shared" si="688"/>
        <v>16</v>
      </c>
      <c r="E14734" s="136">
        <f t="shared" si="690"/>
        <v>18</v>
      </c>
      <c r="F14734" s="137" t="s">
        <v>24</v>
      </c>
      <c r="G14734" s="128" t="str">
        <f>VLOOKUP(source[[#This Row],[lending_product_transform]],[3]Mapping!$B$4:$C$37,2,0)</f>
        <v>[Cake] - Cashloan</v>
      </c>
      <c r="H14734" s="128" t="str">
        <f>VLOOKUP(source[[#This Row],[lending_product_transform]],[3]Mapping!$B$3:$D$37,3,0)</f>
        <v>cashloan</v>
      </c>
      <c r="I14734" s="137">
        <v>19197095</v>
      </c>
    </row>
    <row r="14735" spans="1:9" x14ac:dyDescent="0.2">
      <c r="A14735" s="134">
        <v>46130</v>
      </c>
      <c r="B14735" s="135">
        <f>YEAR(source[[#This Row],[report_date]])</f>
        <v>2026</v>
      </c>
      <c r="C14735" s="128">
        <f t="shared" si="689"/>
        <v>4</v>
      </c>
      <c r="D14735" s="136">
        <f t="shared" si="688"/>
        <v>16</v>
      </c>
      <c r="E14735" s="136">
        <f t="shared" si="690"/>
        <v>18</v>
      </c>
      <c r="F14735" s="137" t="s">
        <v>24</v>
      </c>
      <c r="G14735" s="128" t="str">
        <f>VLOOKUP(source[[#This Row],[lending_product_transform]],[3]Mapping!$B$4:$C$37,2,0)</f>
        <v>[Cake] - Cashloan</v>
      </c>
      <c r="H14735" s="128" t="str">
        <f>VLOOKUP(source[[#This Row],[lending_product_transform]],[3]Mapping!$B$3:$D$37,3,0)</f>
        <v>cashloan</v>
      </c>
      <c r="I14735" s="137">
        <v>1276263506</v>
      </c>
    </row>
    <row r="14736" spans="1:9" x14ac:dyDescent="0.2">
      <c r="A14736" s="134">
        <v>46130</v>
      </c>
      <c r="B14736" s="135">
        <f>YEAR(source[[#This Row],[report_date]])</f>
        <v>2026</v>
      </c>
      <c r="C14736" s="128">
        <f t="shared" si="689"/>
        <v>4</v>
      </c>
      <c r="D14736" s="136">
        <f t="shared" si="688"/>
        <v>16</v>
      </c>
      <c r="E14736" s="136">
        <f t="shared" si="690"/>
        <v>18</v>
      </c>
      <c r="F14736" s="137" t="s">
        <v>24</v>
      </c>
      <c r="G14736" s="128" t="str">
        <f>VLOOKUP(source[[#This Row],[lending_product_transform]],[3]Mapping!$B$4:$C$37,2,0)</f>
        <v>[Cake] - Cashloan</v>
      </c>
      <c r="H14736" s="128" t="str">
        <f>VLOOKUP(source[[#This Row],[lending_product_transform]],[3]Mapping!$B$3:$D$37,3,0)</f>
        <v>cashloan</v>
      </c>
      <c r="I14736" s="137">
        <v>0</v>
      </c>
    </row>
    <row r="14737" spans="1:9" x14ac:dyDescent="0.2">
      <c r="A14737" s="134">
        <v>46130</v>
      </c>
      <c r="B14737" s="135">
        <f>YEAR(source[[#This Row],[report_date]])</f>
        <v>2026</v>
      </c>
      <c r="C14737" s="128">
        <f t="shared" si="689"/>
        <v>4</v>
      </c>
      <c r="D14737" s="136">
        <f t="shared" ref="D14737:D14780" si="691">WEEKNUM(A14737,2)</f>
        <v>16</v>
      </c>
      <c r="E14737" s="136">
        <f t="shared" si="690"/>
        <v>18</v>
      </c>
      <c r="F14737" s="137" t="s">
        <v>24</v>
      </c>
      <c r="G14737" s="128" t="str">
        <f>VLOOKUP(source[[#This Row],[lending_product_transform]],[3]Mapping!$B$4:$C$37,2,0)</f>
        <v>[Cake] - Cashloan</v>
      </c>
      <c r="H14737" s="128" t="str">
        <f>VLOOKUP(source[[#This Row],[lending_product_transform]],[3]Mapping!$B$3:$D$37,3,0)</f>
        <v>cashloan</v>
      </c>
      <c r="I14737" s="137">
        <v>77700000</v>
      </c>
    </row>
    <row r="14738" spans="1:9" x14ac:dyDescent="0.2">
      <c r="A14738" s="134">
        <v>46130</v>
      </c>
      <c r="B14738" s="135">
        <f>YEAR(source[[#This Row],[report_date]])</f>
        <v>2026</v>
      </c>
      <c r="C14738" s="128">
        <f t="shared" si="689"/>
        <v>4</v>
      </c>
      <c r="D14738" s="136">
        <f t="shared" si="691"/>
        <v>16</v>
      </c>
      <c r="E14738" s="136">
        <f t="shared" si="690"/>
        <v>18</v>
      </c>
      <c r="F14738" s="137" t="s">
        <v>24</v>
      </c>
      <c r="G14738" s="128" t="str">
        <f>VLOOKUP(source[[#This Row],[lending_product_transform]],[3]Mapping!$B$4:$C$37,2,0)</f>
        <v>[Cake] - Cashloan</v>
      </c>
      <c r="H14738" s="128" t="str">
        <f>VLOOKUP(source[[#This Row],[lending_product_transform]],[3]Mapping!$B$3:$D$37,3,0)</f>
        <v>cashloan</v>
      </c>
      <c r="I14738" s="137">
        <v>0</v>
      </c>
    </row>
    <row r="14739" spans="1:9" x14ac:dyDescent="0.2">
      <c r="A14739" s="134">
        <v>46130</v>
      </c>
      <c r="B14739" s="135">
        <f>YEAR(source[[#This Row],[report_date]])</f>
        <v>2026</v>
      </c>
      <c r="C14739" s="128">
        <f t="shared" si="689"/>
        <v>4</v>
      </c>
      <c r="D14739" s="136">
        <f t="shared" si="691"/>
        <v>16</v>
      </c>
      <c r="E14739" s="136">
        <f t="shared" si="690"/>
        <v>18</v>
      </c>
      <c r="F14739" s="137" t="s">
        <v>24</v>
      </c>
      <c r="G14739" s="128" t="str">
        <f>VLOOKUP(source[[#This Row],[lending_product_transform]],[3]Mapping!$B$4:$C$37,2,0)</f>
        <v>[Cake] - Cashloan</v>
      </c>
      <c r="H14739" s="128" t="str">
        <f>VLOOKUP(source[[#This Row],[lending_product_transform]],[3]Mapping!$B$3:$D$37,3,0)</f>
        <v>cashloan</v>
      </c>
      <c r="I14739" s="137">
        <v>14181630000</v>
      </c>
    </row>
    <row r="14740" spans="1:9" x14ac:dyDescent="0.2">
      <c r="A14740" s="134">
        <v>46130</v>
      </c>
      <c r="B14740" s="135">
        <f>YEAR(source[[#This Row],[report_date]])</f>
        <v>2026</v>
      </c>
      <c r="C14740" s="128">
        <f t="shared" si="689"/>
        <v>4</v>
      </c>
      <c r="D14740" s="136">
        <f t="shared" si="691"/>
        <v>16</v>
      </c>
      <c r="E14740" s="136">
        <f t="shared" si="690"/>
        <v>18</v>
      </c>
      <c r="F14740" s="137" t="s">
        <v>24</v>
      </c>
      <c r="G14740" s="128" t="str">
        <f>VLOOKUP(source[[#This Row],[lending_product_transform]],[3]Mapping!$B$4:$C$37,2,0)</f>
        <v>[Cake] - Cashloan</v>
      </c>
      <c r="H14740" s="128" t="str">
        <f>VLOOKUP(source[[#This Row],[lending_product_transform]],[3]Mapping!$B$3:$D$37,3,0)</f>
        <v>cashloan</v>
      </c>
      <c r="I14740" s="137">
        <v>0</v>
      </c>
    </row>
    <row r="14741" spans="1:9" x14ac:dyDescent="0.2">
      <c r="A14741" s="134">
        <v>46130</v>
      </c>
      <c r="B14741" s="135">
        <f>YEAR(source[[#This Row],[report_date]])</f>
        <v>2026</v>
      </c>
      <c r="C14741" s="128">
        <f t="shared" si="689"/>
        <v>4</v>
      </c>
      <c r="D14741" s="136">
        <f t="shared" si="691"/>
        <v>16</v>
      </c>
      <c r="E14741" s="136">
        <f t="shared" si="690"/>
        <v>18</v>
      </c>
      <c r="F14741" s="137" t="s">
        <v>24</v>
      </c>
      <c r="G14741" s="128" t="str">
        <f>VLOOKUP(source[[#This Row],[lending_product_transform]],[3]Mapping!$B$4:$C$37,2,0)</f>
        <v>[Cake] - Cashloan</v>
      </c>
      <c r="H14741" s="128" t="str">
        <f>VLOOKUP(source[[#This Row],[lending_product_transform]],[3]Mapping!$B$3:$D$37,3,0)</f>
        <v>cashloan</v>
      </c>
      <c r="I14741" s="137">
        <v>0</v>
      </c>
    </row>
    <row r="14742" spans="1:9" x14ac:dyDescent="0.2">
      <c r="A14742" s="134">
        <v>46130</v>
      </c>
      <c r="B14742" s="135">
        <f>YEAR(source[[#This Row],[report_date]])</f>
        <v>2026</v>
      </c>
      <c r="C14742" s="128">
        <f t="shared" si="689"/>
        <v>4</v>
      </c>
      <c r="D14742" s="136">
        <f t="shared" si="691"/>
        <v>16</v>
      </c>
      <c r="E14742" s="136">
        <f t="shared" si="690"/>
        <v>18</v>
      </c>
      <c r="F14742" s="137" t="s">
        <v>24</v>
      </c>
      <c r="G14742" s="128" t="str">
        <f>VLOOKUP(source[[#This Row],[lending_product_transform]],[3]Mapping!$B$4:$C$37,2,0)</f>
        <v>[Cake] - Cashloan</v>
      </c>
      <c r="H14742" s="128" t="str">
        <f>VLOOKUP(source[[#This Row],[lending_product_transform]],[3]Mapping!$B$3:$D$37,3,0)</f>
        <v>cashloan</v>
      </c>
      <c r="I14742" s="137">
        <v>0</v>
      </c>
    </row>
    <row r="14743" spans="1:9" x14ac:dyDescent="0.2">
      <c r="A14743" s="134">
        <v>46130</v>
      </c>
      <c r="B14743" s="135">
        <f>YEAR(source[[#This Row],[report_date]])</f>
        <v>2026</v>
      </c>
      <c r="C14743" s="128">
        <f t="shared" si="689"/>
        <v>4</v>
      </c>
      <c r="D14743" s="136">
        <f t="shared" si="691"/>
        <v>16</v>
      </c>
      <c r="E14743" s="136">
        <f t="shared" si="690"/>
        <v>18</v>
      </c>
      <c r="F14743" s="137" t="s">
        <v>24</v>
      </c>
      <c r="G14743" s="128" t="str">
        <f>VLOOKUP(source[[#This Row],[lending_product_transform]],[3]Mapping!$B$4:$C$37,2,0)</f>
        <v>[Cake] - Cashloan</v>
      </c>
      <c r="H14743" s="128" t="str">
        <f>VLOOKUP(source[[#This Row],[lending_product_transform]],[3]Mapping!$B$3:$D$37,3,0)</f>
        <v>cashloan</v>
      </c>
      <c r="I14743" s="137">
        <v>0</v>
      </c>
    </row>
    <row r="14744" spans="1:9" x14ac:dyDescent="0.2">
      <c r="A14744" s="134">
        <v>46130</v>
      </c>
      <c r="B14744" s="135">
        <f>YEAR(source[[#This Row],[report_date]])</f>
        <v>2026</v>
      </c>
      <c r="C14744" s="128">
        <f t="shared" si="689"/>
        <v>4</v>
      </c>
      <c r="D14744" s="136">
        <f t="shared" si="691"/>
        <v>16</v>
      </c>
      <c r="E14744" s="136">
        <f t="shared" si="690"/>
        <v>18</v>
      </c>
      <c r="F14744" s="137" t="s">
        <v>24</v>
      </c>
      <c r="G14744" s="128" t="str">
        <f>VLOOKUP(source[[#This Row],[lending_product_transform]],[3]Mapping!$B$4:$C$37,2,0)</f>
        <v>[Cake] - Cashloan</v>
      </c>
      <c r="H14744" s="128" t="str">
        <f>VLOOKUP(source[[#This Row],[lending_product_transform]],[3]Mapping!$B$3:$D$37,3,0)</f>
        <v>cashloan</v>
      </c>
      <c r="I14744" s="137">
        <v>10708632000</v>
      </c>
    </row>
    <row r="14745" spans="1:9" x14ac:dyDescent="0.2">
      <c r="A14745" s="134">
        <v>46130</v>
      </c>
      <c r="B14745" s="135">
        <f>YEAR(source[[#This Row],[report_date]])</f>
        <v>2026</v>
      </c>
      <c r="C14745" s="128">
        <f t="shared" si="689"/>
        <v>4</v>
      </c>
      <c r="D14745" s="136">
        <f t="shared" si="691"/>
        <v>16</v>
      </c>
      <c r="E14745" s="136">
        <f t="shared" si="690"/>
        <v>18</v>
      </c>
      <c r="F14745" s="137" t="s">
        <v>24</v>
      </c>
      <c r="G14745" s="128" t="str">
        <f>VLOOKUP(source[[#This Row],[lending_product_transform]],[3]Mapping!$B$4:$C$37,2,0)</f>
        <v>[Cake] - Cashloan</v>
      </c>
      <c r="H14745" s="128" t="str">
        <f>VLOOKUP(source[[#This Row],[lending_product_transform]],[3]Mapping!$B$3:$D$37,3,0)</f>
        <v>cashloan</v>
      </c>
      <c r="I14745" s="137">
        <v>122729974</v>
      </c>
    </row>
    <row r="14746" spans="1:9" x14ac:dyDescent="0.2">
      <c r="A14746" s="134">
        <v>46130</v>
      </c>
      <c r="B14746" s="135">
        <f>YEAR(source[[#This Row],[report_date]])</f>
        <v>2026</v>
      </c>
      <c r="C14746" s="128">
        <f t="shared" si="689"/>
        <v>4</v>
      </c>
      <c r="D14746" s="136">
        <f t="shared" si="691"/>
        <v>16</v>
      </c>
      <c r="E14746" s="136">
        <f t="shared" si="690"/>
        <v>18</v>
      </c>
      <c r="F14746" s="137" t="s">
        <v>24</v>
      </c>
      <c r="G14746" s="128" t="str">
        <f>VLOOKUP(source[[#This Row],[lending_product_transform]],[3]Mapping!$B$4:$C$37,2,0)</f>
        <v>[Cake] - Cashloan</v>
      </c>
      <c r="H14746" s="128" t="str">
        <f>VLOOKUP(source[[#This Row],[lending_product_transform]],[3]Mapping!$B$3:$D$37,3,0)</f>
        <v>cashloan</v>
      </c>
      <c r="I14746" s="137">
        <v>53550000</v>
      </c>
    </row>
    <row r="14747" spans="1:9" x14ac:dyDescent="0.2">
      <c r="A14747" s="134">
        <v>46130</v>
      </c>
      <c r="B14747" s="135">
        <f>YEAR(source[[#This Row],[report_date]])</f>
        <v>2026</v>
      </c>
      <c r="C14747" s="128">
        <f t="shared" si="689"/>
        <v>4</v>
      </c>
      <c r="D14747" s="136">
        <f t="shared" si="691"/>
        <v>16</v>
      </c>
      <c r="E14747" s="136">
        <f t="shared" si="690"/>
        <v>18</v>
      </c>
      <c r="F14747" s="137" t="s">
        <v>24</v>
      </c>
      <c r="G14747" s="128" t="str">
        <f>VLOOKUP(source[[#This Row],[lending_product_transform]],[3]Mapping!$B$4:$C$37,2,0)</f>
        <v>[Cake] - Cashloan</v>
      </c>
      <c r="H14747" s="128" t="str">
        <f>VLOOKUP(source[[#This Row],[lending_product_transform]],[3]Mapping!$B$3:$D$37,3,0)</f>
        <v>cashloan</v>
      </c>
      <c r="I14747" s="137">
        <v>35000000</v>
      </c>
    </row>
    <row r="14748" spans="1:9" x14ac:dyDescent="0.2">
      <c r="A14748" s="134">
        <v>46130</v>
      </c>
      <c r="B14748" s="135">
        <f>YEAR(source[[#This Row],[report_date]])</f>
        <v>2026</v>
      </c>
      <c r="C14748" s="128">
        <f t="shared" si="689"/>
        <v>4</v>
      </c>
      <c r="D14748" s="136">
        <f t="shared" si="691"/>
        <v>16</v>
      </c>
      <c r="E14748" s="136">
        <f t="shared" si="690"/>
        <v>18</v>
      </c>
      <c r="F14748" s="137" t="s">
        <v>24</v>
      </c>
      <c r="G14748" s="128" t="str">
        <f>VLOOKUP(source[[#This Row],[lending_product_transform]],[3]Mapping!$B$4:$C$37,2,0)</f>
        <v>[Cake] - Cashloan</v>
      </c>
      <c r="H14748" s="128" t="str">
        <f>VLOOKUP(source[[#This Row],[lending_product_transform]],[3]Mapping!$B$3:$D$37,3,0)</f>
        <v>cashloan</v>
      </c>
      <c r="I14748" s="137">
        <v>655810000</v>
      </c>
    </row>
    <row r="14749" spans="1:9" x14ac:dyDescent="0.2">
      <c r="A14749" s="134">
        <v>46130</v>
      </c>
      <c r="B14749" s="135">
        <f>YEAR(source[[#This Row],[report_date]])</f>
        <v>2026</v>
      </c>
      <c r="C14749" s="128">
        <f t="shared" si="689"/>
        <v>4</v>
      </c>
      <c r="D14749" s="136">
        <f t="shared" si="691"/>
        <v>16</v>
      </c>
      <c r="E14749" s="136">
        <f t="shared" si="690"/>
        <v>18</v>
      </c>
      <c r="F14749" s="137" t="s">
        <v>24</v>
      </c>
      <c r="G14749" s="128" t="str">
        <f>VLOOKUP(source[[#This Row],[lending_product_transform]],[3]Mapping!$B$4:$C$37,2,0)</f>
        <v>[Cake] - Cashloan</v>
      </c>
      <c r="H14749" s="128" t="str">
        <f>VLOOKUP(source[[#This Row],[lending_product_transform]],[3]Mapping!$B$3:$D$37,3,0)</f>
        <v>cashloan</v>
      </c>
      <c r="I14749" s="137">
        <v>240948000</v>
      </c>
    </row>
    <row r="14750" spans="1:9" x14ac:dyDescent="0.2">
      <c r="A14750" s="134">
        <v>46130</v>
      </c>
      <c r="B14750" s="135">
        <f>YEAR(source[[#This Row],[report_date]])</f>
        <v>2026</v>
      </c>
      <c r="C14750" s="128">
        <f t="shared" si="689"/>
        <v>4</v>
      </c>
      <c r="D14750" s="136">
        <f t="shared" si="691"/>
        <v>16</v>
      </c>
      <c r="E14750" s="136">
        <f t="shared" si="690"/>
        <v>18</v>
      </c>
      <c r="F14750" s="137" t="s">
        <v>24</v>
      </c>
      <c r="G14750" s="128" t="str">
        <f>VLOOKUP(source[[#This Row],[lending_product_transform]],[3]Mapping!$B$4:$C$37,2,0)</f>
        <v>[Cake] - Cashloan</v>
      </c>
      <c r="H14750" s="128" t="str">
        <f>VLOOKUP(source[[#This Row],[lending_product_transform]],[3]Mapping!$B$3:$D$37,3,0)</f>
        <v>cashloan</v>
      </c>
      <c r="I14750" s="137">
        <v>162104649</v>
      </c>
    </row>
    <row r="14751" spans="1:9" x14ac:dyDescent="0.2">
      <c r="A14751" s="134">
        <v>46130</v>
      </c>
      <c r="B14751" s="135">
        <f>YEAR(source[[#This Row],[report_date]])</f>
        <v>2026</v>
      </c>
      <c r="C14751" s="128">
        <f t="shared" si="689"/>
        <v>4</v>
      </c>
      <c r="D14751" s="136">
        <f t="shared" si="691"/>
        <v>16</v>
      </c>
      <c r="E14751" s="136">
        <f t="shared" si="690"/>
        <v>18</v>
      </c>
      <c r="F14751" s="137" t="s">
        <v>24</v>
      </c>
      <c r="G14751" s="128" t="str">
        <f>VLOOKUP(source[[#This Row],[lending_product_transform]],[3]Mapping!$B$4:$C$37,2,0)</f>
        <v>[Cake] - Cashloan</v>
      </c>
      <c r="H14751" s="128" t="str">
        <f>VLOOKUP(source[[#This Row],[lending_product_transform]],[3]Mapping!$B$3:$D$37,3,0)</f>
        <v>cashloan</v>
      </c>
      <c r="I14751" s="137">
        <v>4977120000</v>
      </c>
    </row>
    <row r="14752" spans="1:9" x14ac:dyDescent="0.2">
      <c r="A14752" s="134">
        <v>46130</v>
      </c>
      <c r="B14752" s="135">
        <f>YEAR(source[[#This Row],[report_date]])</f>
        <v>2026</v>
      </c>
      <c r="C14752" s="128">
        <f t="shared" si="689"/>
        <v>4</v>
      </c>
      <c r="D14752" s="136">
        <f t="shared" si="691"/>
        <v>16</v>
      </c>
      <c r="E14752" s="136">
        <f t="shared" si="690"/>
        <v>18</v>
      </c>
      <c r="F14752" s="137" t="s">
        <v>24</v>
      </c>
      <c r="G14752" s="128" t="str">
        <f>VLOOKUP(source[[#This Row],[lending_product_transform]],[3]Mapping!$B$4:$C$37,2,0)</f>
        <v>[Cake] - Cashloan</v>
      </c>
      <c r="H14752" s="128" t="str">
        <f>VLOOKUP(source[[#This Row],[lending_product_transform]],[3]Mapping!$B$3:$D$37,3,0)</f>
        <v>cashloan</v>
      </c>
      <c r="I14752" s="137">
        <v>0</v>
      </c>
    </row>
    <row r="14753" spans="1:9" x14ac:dyDescent="0.2">
      <c r="A14753" s="134">
        <v>46131</v>
      </c>
      <c r="B14753" s="135">
        <f>YEAR(source[[#This Row],[report_date]])</f>
        <v>2026</v>
      </c>
      <c r="C14753" s="128">
        <f t="shared" si="689"/>
        <v>4</v>
      </c>
      <c r="D14753" s="136">
        <f t="shared" si="691"/>
        <v>16</v>
      </c>
      <c r="E14753" s="136">
        <f t="shared" si="690"/>
        <v>19</v>
      </c>
      <c r="F14753" s="137" t="s">
        <v>24</v>
      </c>
      <c r="G14753" s="128" t="str">
        <f>VLOOKUP(source[[#This Row],[lending_product_transform]],[3]Mapping!$B$4:$C$37,2,0)</f>
        <v>[Cake] - Cashloan</v>
      </c>
      <c r="H14753" s="128" t="str">
        <f>VLOOKUP(source[[#This Row],[lending_product_transform]],[3]Mapping!$B$3:$D$37,3,0)</f>
        <v>cashloan</v>
      </c>
      <c r="I14753" s="137">
        <v>569780000</v>
      </c>
    </row>
    <row r="14754" spans="1:9" x14ac:dyDescent="0.2">
      <c r="A14754" s="134">
        <v>46131</v>
      </c>
      <c r="B14754" s="135">
        <f>YEAR(source[[#This Row],[report_date]])</f>
        <v>2026</v>
      </c>
      <c r="C14754" s="128">
        <f t="shared" si="689"/>
        <v>4</v>
      </c>
      <c r="D14754" s="136">
        <f t="shared" si="691"/>
        <v>16</v>
      </c>
      <c r="E14754" s="136">
        <f t="shared" si="690"/>
        <v>19</v>
      </c>
      <c r="F14754" s="137" t="s">
        <v>24</v>
      </c>
      <c r="G14754" s="128" t="str">
        <f>VLOOKUP(source[[#This Row],[lending_product_transform]],[3]Mapping!$B$4:$C$37,2,0)</f>
        <v>[Cake] - Cashloan</v>
      </c>
      <c r="H14754" s="128" t="str">
        <f>VLOOKUP(source[[#This Row],[lending_product_transform]],[3]Mapping!$B$3:$D$37,3,0)</f>
        <v>cashloan</v>
      </c>
      <c r="I14754" s="137">
        <v>273767079</v>
      </c>
    </row>
    <row r="14755" spans="1:9" x14ac:dyDescent="0.2">
      <c r="A14755" s="134">
        <v>46131</v>
      </c>
      <c r="B14755" s="135">
        <f>YEAR(source[[#This Row],[report_date]])</f>
        <v>2026</v>
      </c>
      <c r="C14755" s="128">
        <f t="shared" si="689"/>
        <v>4</v>
      </c>
      <c r="D14755" s="136">
        <f t="shared" si="691"/>
        <v>16</v>
      </c>
      <c r="E14755" s="136">
        <f t="shared" si="690"/>
        <v>19</v>
      </c>
      <c r="F14755" s="137" t="s">
        <v>24</v>
      </c>
      <c r="G14755" s="128" t="str">
        <f>VLOOKUP(source[[#This Row],[lending_product_transform]],[3]Mapping!$B$4:$C$37,2,0)</f>
        <v>[Cake] - Cashloan</v>
      </c>
      <c r="H14755" s="128" t="str">
        <f>VLOOKUP(source[[#This Row],[lending_product_transform]],[3]Mapping!$B$3:$D$37,3,0)</f>
        <v>cashloan</v>
      </c>
      <c r="I14755" s="137">
        <v>11894970000</v>
      </c>
    </row>
    <row r="14756" spans="1:9" x14ac:dyDescent="0.2">
      <c r="A14756" s="134">
        <v>46131</v>
      </c>
      <c r="B14756" s="135">
        <f>YEAR(source[[#This Row],[report_date]])</f>
        <v>2026</v>
      </c>
      <c r="C14756" s="128">
        <f t="shared" si="689"/>
        <v>4</v>
      </c>
      <c r="D14756" s="136">
        <f t="shared" si="691"/>
        <v>16</v>
      </c>
      <c r="E14756" s="136">
        <f t="shared" si="690"/>
        <v>19</v>
      </c>
      <c r="F14756" s="137" t="s">
        <v>24</v>
      </c>
      <c r="G14756" s="128" t="str">
        <f>VLOOKUP(source[[#This Row],[lending_product_transform]],[3]Mapping!$B$4:$C$37,2,0)</f>
        <v>[Cake] - Cashloan</v>
      </c>
      <c r="H14756" s="128" t="str">
        <f>VLOOKUP(source[[#This Row],[lending_product_transform]],[3]Mapping!$B$3:$D$37,3,0)</f>
        <v>cashloan</v>
      </c>
      <c r="I14756" s="137">
        <v>1072639158</v>
      </c>
    </row>
    <row r="14757" spans="1:9" x14ac:dyDescent="0.2">
      <c r="A14757" s="134">
        <v>46131</v>
      </c>
      <c r="B14757" s="135">
        <f>YEAR(source[[#This Row],[report_date]])</f>
        <v>2026</v>
      </c>
      <c r="C14757" s="128">
        <f t="shared" si="689"/>
        <v>4</v>
      </c>
      <c r="D14757" s="136">
        <f t="shared" si="691"/>
        <v>16</v>
      </c>
      <c r="E14757" s="136">
        <f t="shared" si="690"/>
        <v>19</v>
      </c>
      <c r="F14757" s="137" t="s">
        <v>24</v>
      </c>
      <c r="G14757" s="128" t="str">
        <f>VLOOKUP(source[[#This Row],[lending_product_transform]],[3]Mapping!$B$4:$C$37,2,0)</f>
        <v>[Cake] - Cashloan</v>
      </c>
      <c r="H14757" s="128" t="str">
        <f>VLOOKUP(source[[#This Row],[lending_product_transform]],[3]Mapping!$B$3:$D$37,3,0)</f>
        <v>cashloan</v>
      </c>
      <c r="I14757" s="137">
        <v>13170600000</v>
      </c>
    </row>
    <row r="14758" spans="1:9" x14ac:dyDescent="0.2">
      <c r="A14758" s="134">
        <v>46131</v>
      </c>
      <c r="B14758" s="135">
        <f>YEAR(source[[#This Row],[report_date]])</f>
        <v>2026</v>
      </c>
      <c r="C14758" s="128">
        <f t="shared" si="689"/>
        <v>4</v>
      </c>
      <c r="D14758" s="136">
        <f t="shared" si="691"/>
        <v>16</v>
      </c>
      <c r="E14758" s="136">
        <f t="shared" si="690"/>
        <v>19</v>
      </c>
      <c r="F14758" s="137" t="s">
        <v>24</v>
      </c>
      <c r="G14758" s="128" t="str">
        <f>VLOOKUP(source[[#This Row],[lending_product_transform]],[3]Mapping!$B$4:$C$37,2,0)</f>
        <v>[Cake] - Cashloan</v>
      </c>
      <c r="H14758" s="128" t="str">
        <f>VLOOKUP(source[[#This Row],[lending_product_transform]],[3]Mapping!$B$3:$D$37,3,0)</f>
        <v>cashloan</v>
      </c>
      <c r="I14758" s="137">
        <v>0</v>
      </c>
    </row>
    <row r="14759" spans="1:9" x14ac:dyDescent="0.2">
      <c r="A14759" s="134">
        <v>46131</v>
      </c>
      <c r="B14759" s="135">
        <f>YEAR(source[[#This Row],[report_date]])</f>
        <v>2026</v>
      </c>
      <c r="C14759" s="128">
        <f t="shared" si="689"/>
        <v>4</v>
      </c>
      <c r="D14759" s="136">
        <f t="shared" si="691"/>
        <v>16</v>
      </c>
      <c r="E14759" s="136">
        <f t="shared" si="690"/>
        <v>19</v>
      </c>
      <c r="F14759" s="137" t="s">
        <v>24</v>
      </c>
      <c r="G14759" s="128" t="str">
        <f>VLOOKUP(source[[#This Row],[lending_product_transform]],[3]Mapping!$B$4:$C$37,2,0)</f>
        <v>[Cake] - Cashloan</v>
      </c>
      <c r="H14759" s="128" t="str">
        <f>VLOOKUP(source[[#This Row],[lending_product_transform]],[3]Mapping!$B$3:$D$37,3,0)</f>
        <v>cashloan</v>
      </c>
      <c r="I14759" s="137">
        <v>0</v>
      </c>
    </row>
    <row r="14760" spans="1:9" x14ac:dyDescent="0.2">
      <c r="A14760" s="134">
        <v>46131</v>
      </c>
      <c r="B14760" s="135">
        <f>YEAR(source[[#This Row],[report_date]])</f>
        <v>2026</v>
      </c>
      <c r="C14760" s="128">
        <f t="shared" si="689"/>
        <v>4</v>
      </c>
      <c r="D14760" s="136">
        <f t="shared" si="691"/>
        <v>16</v>
      </c>
      <c r="E14760" s="136">
        <f t="shared" si="690"/>
        <v>19</v>
      </c>
      <c r="F14760" s="137" t="s">
        <v>24</v>
      </c>
      <c r="G14760" s="128" t="str">
        <f>VLOOKUP(source[[#This Row],[lending_product_transform]],[3]Mapping!$B$4:$C$37,2,0)</f>
        <v>[Cake] - Cashloan</v>
      </c>
      <c r="H14760" s="128" t="str">
        <f>VLOOKUP(source[[#This Row],[lending_product_transform]],[3]Mapping!$B$3:$D$37,3,0)</f>
        <v>cashloan</v>
      </c>
      <c r="I14760" s="137">
        <v>3196900000</v>
      </c>
    </row>
    <row r="14761" spans="1:9" x14ac:dyDescent="0.2">
      <c r="A14761" s="134">
        <v>46131</v>
      </c>
      <c r="B14761" s="135">
        <f>YEAR(source[[#This Row],[report_date]])</f>
        <v>2026</v>
      </c>
      <c r="C14761" s="128">
        <f t="shared" si="689"/>
        <v>4</v>
      </c>
      <c r="D14761" s="136">
        <f t="shared" si="691"/>
        <v>16</v>
      </c>
      <c r="E14761" s="136">
        <f t="shared" si="690"/>
        <v>19</v>
      </c>
      <c r="F14761" s="137" t="s">
        <v>24</v>
      </c>
      <c r="G14761" s="128" t="str">
        <f>VLOOKUP(source[[#This Row],[lending_product_transform]],[3]Mapping!$B$4:$C$37,2,0)</f>
        <v>[Cake] - Cashloan</v>
      </c>
      <c r="H14761" s="128" t="str">
        <f>VLOOKUP(source[[#This Row],[lending_product_transform]],[3]Mapping!$B$3:$D$37,3,0)</f>
        <v>cashloan</v>
      </c>
      <c r="I14761" s="137">
        <v>580250000</v>
      </c>
    </row>
    <row r="14762" spans="1:9" x14ac:dyDescent="0.2">
      <c r="A14762" s="134">
        <v>46131</v>
      </c>
      <c r="B14762" s="135">
        <f>YEAR(source[[#This Row],[report_date]])</f>
        <v>2026</v>
      </c>
      <c r="C14762" s="128">
        <f t="shared" si="689"/>
        <v>4</v>
      </c>
      <c r="D14762" s="136">
        <f t="shared" si="691"/>
        <v>16</v>
      </c>
      <c r="E14762" s="136">
        <f t="shared" si="690"/>
        <v>19</v>
      </c>
      <c r="F14762" s="137" t="s">
        <v>24</v>
      </c>
      <c r="G14762" s="128" t="str">
        <f>VLOOKUP(source[[#This Row],[lending_product_transform]],[3]Mapping!$B$4:$C$37,2,0)</f>
        <v>[Cake] - Cashloan</v>
      </c>
      <c r="H14762" s="128" t="str">
        <f>VLOOKUP(source[[#This Row],[lending_product_transform]],[3]Mapping!$B$3:$D$37,3,0)</f>
        <v>cashloan</v>
      </c>
      <c r="I14762" s="137">
        <v>6009443</v>
      </c>
    </row>
    <row r="14763" spans="1:9" x14ac:dyDescent="0.2">
      <c r="A14763" s="134">
        <v>46131</v>
      </c>
      <c r="B14763" s="135">
        <f>YEAR(source[[#This Row],[report_date]])</f>
        <v>2026</v>
      </c>
      <c r="C14763" s="128">
        <f t="shared" si="689"/>
        <v>4</v>
      </c>
      <c r="D14763" s="136">
        <f t="shared" si="691"/>
        <v>16</v>
      </c>
      <c r="E14763" s="136">
        <f t="shared" si="690"/>
        <v>19</v>
      </c>
      <c r="F14763" s="137" t="s">
        <v>24</v>
      </c>
      <c r="G14763" s="128" t="str">
        <f>VLOOKUP(source[[#This Row],[lending_product_transform]],[3]Mapping!$B$4:$C$37,2,0)</f>
        <v>[Cake] - Cashloan</v>
      </c>
      <c r="H14763" s="128" t="str">
        <f>VLOOKUP(source[[#This Row],[lending_product_transform]],[3]Mapping!$B$3:$D$37,3,0)</f>
        <v>cashloan</v>
      </c>
      <c r="I14763" s="137">
        <v>1162515757</v>
      </c>
    </row>
    <row r="14764" spans="1:9" x14ac:dyDescent="0.2">
      <c r="A14764" s="134">
        <v>46131</v>
      </c>
      <c r="B14764" s="135">
        <f>YEAR(source[[#This Row],[report_date]])</f>
        <v>2026</v>
      </c>
      <c r="C14764" s="128">
        <f t="shared" si="689"/>
        <v>4</v>
      </c>
      <c r="D14764" s="136">
        <f t="shared" si="691"/>
        <v>16</v>
      </c>
      <c r="E14764" s="136">
        <f t="shared" si="690"/>
        <v>19</v>
      </c>
      <c r="F14764" s="137" t="s">
        <v>24</v>
      </c>
      <c r="G14764" s="128" t="str">
        <f>VLOOKUP(source[[#This Row],[lending_product_transform]],[3]Mapping!$B$4:$C$37,2,0)</f>
        <v>[Cake] - Cashloan</v>
      </c>
      <c r="H14764" s="128" t="str">
        <f>VLOOKUP(source[[#This Row],[lending_product_transform]],[3]Mapping!$B$3:$D$37,3,0)</f>
        <v>cashloan</v>
      </c>
      <c r="I14764" s="137">
        <v>0</v>
      </c>
    </row>
    <row r="14765" spans="1:9" x14ac:dyDescent="0.2">
      <c r="A14765" s="134">
        <v>46131</v>
      </c>
      <c r="B14765" s="135">
        <f>YEAR(source[[#This Row],[report_date]])</f>
        <v>2026</v>
      </c>
      <c r="C14765" s="128">
        <f t="shared" si="689"/>
        <v>4</v>
      </c>
      <c r="D14765" s="136">
        <f t="shared" si="691"/>
        <v>16</v>
      </c>
      <c r="E14765" s="136">
        <f t="shared" si="690"/>
        <v>19</v>
      </c>
      <c r="F14765" s="137" t="s">
        <v>24</v>
      </c>
      <c r="G14765" s="128" t="str">
        <f>VLOOKUP(source[[#This Row],[lending_product_transform]],[3]Mapping!$B$4:$C$37,2,0)</f>
        <v>[Cake] - Cashloan</v>
      </c>
      <c r="H14765" s="128" t="str">
        <f>VLOOKUP(source[[#This Row],[lending_product_transform]],[3]Mapping!$B$3:$D$37,3,0)</f>
        <v>cashloan</v>
      </c>
      <c r="I14765" s="137">
        <v>15750000</v>
      </c>
    </row>
    <row r="14766" spans="1:9" x14ac:dyDescent="0.2">
      <c r="A14766" s="134">
        <v>46131</v>
      </c>
      <c r="B14766" s="135">
        <f>YEAR(source[[#This Row],[report_date]])</f>
        <v>2026</v>
      </c>
      <c r="C14766" s="128">
        <f t="shared" si="689"/>
        <v>4</v>
      </c>
      <c r="D14766" s="136">
        <f t="shared" si="691"/>
        <v>16</v>
      </c>
      <c r="E14766" s="136">
        <f t="shared" si="690"/>
        <v>19</v>
      </c>
      <c r="F14766" s="137" t="s">
        <v>24</v>
      </c>
      <c r="G14766" s="128" t="str">
        <f>VLOOKUP(source[[#This Row],[lending_product_transform]],[3]Mapping!$B$4:$C$37,2,0)</f>
        <v>[Cake] - Cashloan</v>
      </c>
      <c r="H14766" s="128" t="str">
        <f>VLOOKUP(source[[#This Row],[lending_product_transform]],[3]Mapping!$B$3:$D$37,3,0)</f>
        <v>cashloan</v>
      </c>
      <c r="I14766" s="137">
        <v>0</v>
      </c>
    </row>
    <row r="14767" spans="1:9" x14ac:dyDescent="0.2">
      <c r="A14767" s="134">
        <v>46131</v>
      </c>
      <c r="B14767" s="135">
        <f>YEAR(source[[#This Row],[report_date]])</f>
        <v>2026</v>
      </c>
      <c r="C14767" s="128">
        <f t="shared" si="689"/>
        <v>4</v>
      </c>
      <c r="D14767" s="136">
        <f t="shared" si="691"/>
        <v>16</v>
      </c>
      <c r="E14767" s="136">
        <f t="shared" si="690"/>
        <v>19</v>
      </c>
      <c r="F14767" s="137" t="s">
        <v>24</v>
      </c>
      <c r="G14767" s="128" t="str">
        <f>VLOOKUP(source[[#This Row],[lending_product_transform]],[3]Mapping!$B$4:$C$37,2,0)</f>
        <v>[Cake] - Cashloan</v>
      </c>
      <c r="H14767" s="128" t="str">
        <f>VLOOKUP(source[[#This Row],[lending_product_transform]],[3]Mapping!$B$3:$D$37,3,0)</f>
        <v>cashloan</v>
      </c>
      <c r="I14767" s="137">
        <v>15575200000</v>
      </c>
    </row>
    <row r="14768" spans="1:9" x14ac:dyDescent="0.2">
      <c r="A14768" s="134">
        <v>46131</v>
      </c>
      <c r="B14768" s="135">
        <f>YEAR(source[[#This Row],[report_date]])</f>
        <v>2026</v>
      </c>
      <c r="C14768" s="128">
        <f t="shared" si="689"/>
        <v>4</v>
      </c>
      <c r="D14768" s="136">
        <f t="shared" si="691"/>
        <v>16</v>
      </c>
      <c r="E14768" s="136">
        <f t="shared" si="690"/>
        <v>19</v>
      </c>
      <c r="F14768" s="137" t="s">
        <v>24</v>
      </c>
      <c r="G14768" s="128" t="str">
        <f>VLOOKUP(source[[#This Row],[lending_product_transform]],[3]Mapping!$B$4:$C$37,2,0)</f>
        <v>[Cake] - Cashloan</v>
      </c>
      <c r="H14768" s="128" t="str">
        <f>VLOOKUP(source[[#This Row],[lending_product_transform]],[3]Mapping!$B$3:$D$37,3,0)</f>
        <v>cashloan</v>
      </c>
      <c r="I14768" s="137">
        <v>0</v>
      </c>
    </row>
    <row r="14769" spans="1:9" x14ac:dyDescent="0.2">
      <c r="A14769" s="134">
        <v>46131</v>
      </c>
      <c r="B14769" s="135">
        <f>YEAR(source[[#This Row],[report_date]])</f>
        <v>2026</v>
      </c>
      <c r="C14769" s="128">
        <f t="shared" si="689"/>
        <v>4</v>
      </c>
      <c r="D14769" s="136">
        <f t="shared" si="691"/>
        <v>16</v>
      </c>
      <c r="E14769" s="136">
        <f t="shared" si="690"/>
        <v>19</v>
      </c>
      <c r="F14769" s="137" t="s">
        <v>24</v>
      </c>
      <c r="G14769" s="128" t="str">
        <f>VLOOKUP(source[[#This Row],[lending_product_transform]],[3]Mapping!$B$4:$C$37,2,0)</f>
        <v>[Cake] - Cashloan</v>
      </c>
      <c r="H14769" s="128" t="str">
        <f>VLOOKUP(source[[#This Row],[lending_product_transform]],[3]Mapping!$B$3:$D$37,3,0)</f>
        <v>cashloan</v>
      </c>
      <c r="I14769" s="137">
        <v>0</v>
      </c>
    </row>
    <row r="14770" spans="1:9" x14ac:dyDescent="0.2">
      <c r="A14770" s="134">
        <v>46131</v>
      </c>
      <c r="B14770" s="135">
        <f>YEAR(source[[#This Row],[report_date]])</f>
        <v>2026</v>
      </c>
      <c r="C14770" s="128">
        <f t="shared" si="689"/>
        <v>4</v>
      </c>
      <c r="D14770" s="136">
        <f t="shared" si="691"/>
        <v>16</v>
      </c>
      <c r="E14770" s="136">
        <f t="shared" si="690"/>
        <v>19</v>
      </c>
      <c r="F14770" s="137" t="s">
        <v>24</v>
      </c>
      <c r="G14770" s="128" t="str">
        <f>VLOOKUP(source[[#This Row],[lending_product_transform]],[3]Mapping!$B$4:$C$37,2,0)</f>
        <v>[Cake] - Cashloan</v>
      </c>
      <c r="H14770" s="128" t="str">
        <f>VLOOKUP(source[[#This Row],[lending_product_transform]],[3]Mapping!$B$3:$D$37,3,0)</f>
        <v>cashloan</v>
      </c>
      <c r="I14770" s="137">
        <v>0</v>
      </c>
    </row>
    <row r="14771" spans="1:9" x14ac:dyDescent="0.2">
      <c r="A14771" s="134">
        <v>46131</v>
      </c>
      <c r="B14771" s="135">
        <f>YEAR(source[[#This Row],[report_date]])</f>
        <v>2026</v>
      </c>
      <c r="C14771" s="128">
        <f t="shared" si="689"/>
        <v>4</v>
      </c>
      <c r="D14771" s="136">
        <f t="shared" si="691"/>
        <v>16</v>
      </c>
      <c r="E14771" s="136">
        <f t="shared" si="690"/>
        <v>19</v>
      </c>
      <c r="F14771" s="137" t="s">
        <v>24</v>
      </c>
      <c r="G14771" s="128" t="str">
        <f>VLOOKUP(source[[#This Row],[lending_product_transform]],[3]Mapping!$B$4:$C$37,2,0)</f>
        <v>[Cake] - Cashloan</v>
      </c>
      <c r="H14771" s="128" t="str">
        <f>VLOOKUP(source[[#This Row],[lending_product_transform]],[3]Mapping!$B$3:$D$37,3,0)</f>
        <v>cashloan</v>
      </c>
      <c r="I14771" s="137">
        <v>0</v>
      </c>
    </row>
    <row r="14772" spans="1:9" x14ac:dyDescent="0.2">
      <c r="A14772" s="134">
        <v>46131</v>
      </c>
      <c r="B14772" s="135">
        <f>YEAR(source[[#This Row],[report_date]])</f>
        <v>2026</v>
      </c>
      <c r="C14772" s="128">
        <f t="shared" si="689"/>
        <v>4</v>
      </c>
      <c r="D14772" s="136">
        <f t="shared" si="691"/>
        <v>16</v>
      </c>
      <c r="E14772" s="136">
        <f t="shared" si="690"/>
        <v>19</v>
      </c>
      <c r="F14772" s="137" t="s">
        <v>24</v>
      </c>
      <c r="G14772" s="128" t="str">
        <f>VLOOKUP(source[[#This Row],[lending_product_transform]],[3]Mapping!$B$4:$C$37,2,0)</f>
        <v>[Cake] - Cashloan</v>
      </c>
      <c r="H14772" s="128" t="str">
        <f>VLOOKUP(source[[#This Row],[lending_product_transform]],[3]Mapping!$B$3:$D$37,3,0)</f>
        <v>cashloan</v>
      </c>
      <c r="I14772" s="137">
        <v>10571796000</v>
      </c>
    </row>
    <row r="14773" spans="1:9" x14ac:dyDescent="0.2">
      <c r="A14773" s="134">
        <v>46131</v>
      </c>
      <c r="B14773" s="135">
        <f>YEAR(source[[#This Row],[report_date]])</f>
        <v>2026</v>
      </c>
      <c r="C14773" s="128">
        <f t="shared" si="689"/>
        <v>4</v>
      </c>
      <c r="D14773" s="136">
        <f t="shared" si="691"/>
        <v>16</v>
      </c>
      <c r="E14773" s="136">
        <f t="shared" si="690"/>
        <v>19</v>
      </c>
      <c r="F14773" s="137" t="s">
        <v>24</v>
      </c>
      <c r="G14773" s="128" t="str">
        <f>VLOOKUP(source[[#This Row],[lending_product_transform]],[3]Mapping!$B$4:$C$37,2,0)</f>
        <v>[Cake] - Cashloan</v>
      </c>
      <c r="H14773" s="128" t="str">
        <f>VLOOKUP(source[[#This Row],[lending_product_transform]],[3]Mapping!$B$3:$D$37,3,0)</f>
        <v>cashloan</v>
      </c>
      <c r="I14773" s="137">
        <v>131540008</v>
      </c>
    </row>
    <row r="14774" spans="1:9" x14ac:dyDescent="0.2">
      <c r="A14774" s="134">
        <v>46131</v>
      </c>
      <c r="B14774" s="135">
        <f>YEAR(source[[#This Row],[report_date]])</f>
        <v>2026</v>
      </c>
      <c r="C14774" s="128">
        <f t="shared" ref="C14774:C14780" si="692">MONTH(A14774)</f>
        <v>4</v>
      </c>
      <c r="D14774" s="136">
        <f t="shared" si="691"/>
        <v>16</v>
      </c>
      <c r="E14774" s="136">
        <f t="shared" ref="E14774:E14780" si="693">DAY(A14774)</f>
        <v>19</v>
      </c>
      <c r="F14774" s="137" t="s">
        <v>24</v>
      </c>
      <c r="G14774" s="128" t="str">
        <f>VLOOKUP(source[[#This Row],[lending_product_transform]],[3]Mapping!$B$4:$C$37,2,0)</f>
        <v>[Cake] - Cashloan</v>
      </c>
      <c r="H14774" s="128" t="str">
        <f>VLOOKUP(source[[#This Row],[lending_product_transform]],[3]Mapping!$B$3:$D$37,3,0)</f>
        <v>cashloan</v>
      </c>
      <c r="I14774" s="137">
        <v>42000000</v>
      </c>
    </row>
    <row r="14775" spans="1:9" x14ac:dyDescent="0.2">
      <c r="A14775" s="134">
        <v>46131</v>
      </c>
      <c r="B14775" s="135">
        <f>YEAR(source[[#This Row],[report_date]])</f>
        <v>2026</v>
      </c>
      <c r="C14775" s="128">
        <f t="shared" si="692"/>
        <v>4</v>
      </c>
      <c r="D14775" s="136">
        <f t="shared" si="691"/>
        <v>16</v>
      </c>
      <c r="E14775" s="136">
        <f t="shared" si="693"/>
        <v>19</v>
      </c>
      <c r="F14775" s="137" t="s">
        <v>24</v>
      </c>
      <c r="G14775" s="128" t="str">
        <f>VLOOKUP(source[[#This Row],[lending_product_transform]],[3]Mapping!$B$4:$C$37,2,0)</f>
        <v>[Cake] - Cashloan</v>
      </c>
      <c r="H14775" s="128" t="str">
        <f>VLOOKUP(source[[#This Row],[lending_product_transform]],[3]Mapping!$B$3:$D$37,3,0)</f>
        <v>cashloan</v>
      </c>
      <c r="I14775" s="137">
        <v>43000000</v>
      </c>
    </row>
    <row r="14776" spans="1:9" x14ac:dyDescent="0.2">
      <c r="A14776" s="134">
        <v>46131</v>
      </c>
      <c r="B14776" s="135">
        <f>YEAR(source[[#This Row],[report_date]])</f>
        <v>2026</v>
      </c>
      <c r="C14776" s="128">
        <f t="shared" si="692"/>
        <v>4</v>
      </c>
      <c r="D14776" s="136">
        <f t="shared" si="691"/>
        <v>16</v>
      </c>
      <c r="E14776" s="136">
        <f t="shared" si="693"/>
        <v>19</v>
      </c>
      <c r="F14776" s="137" t="s">
        <v>24</v>
      </c>
      <c r="G14776" s="128" t="str">
        <f>VLOOKUP(source[[#This Row],[lending_product_transform]],[3]Mapping!$B$4:$C$37,2,0)</f>
        <v>[Cake] - Cashloan</v>
      </c>
      <c r="H14776" s="128" t="str">
        <f>VLOOKUP(source[[#This Row],[lending_product_transform]],[3]Mapping!$B$3:$D$37,3,0)</f>
        <v>cashloan</v>
      </c>
      <c r="I14776" s="137">
        <v>902290000</v>
      </c>
    </row>
    <row r="14777" spans="1:9" x14ac:dyDescent="0.2">
      <c r="A14777" s="134">
        <v>46131</v>
      </c>
      <c r="B14777" s="135">
        <f>YEAR(source[[#This Row],[report_date]])</f>
        <v>2026</v>
      </c>
      <c r="C14777" s="128">
        <f t="shared" si="692"/>
        <v>4</v>
      </c>
      <c r="D14777" s="136">
        <f t="shared" si="691"/>
        <v>16</v>
      </c>
      <c r="E14777" s="136">
        <f t="shared" si="693"/>
        <v>19</v>
      </c>
      <c r="F14777" s="137" t="s">
        <v>24</v>
      </c>
      <c r="G14777" s="128" t="str">
        <f>VLOOKUP(source[[#This Row],[lending_product_transform]],[3]Mapping!$B$4:$C$37,2,0)</f>
        <v>[Cake] - Cashloan</v>
      </c>
      <c r="H14777" s="128" t="str">
        <f>VLOOKUP(source[[#This Row],[lending_product_transform]],[3]Mapping!$B$3:$D$37,3,0)</f>
        <v>cashloan</v>
      </c>
      <c r="I14777" s="137">
        <v>210600000</v>
      </c>
    </row>
    <row r="14778" spans="1:9" x14ac:dyDescent="0.2">
      <c r="A14778" s="134">
        <v>46131</v>
      </c>
      <c r="B14778" s="135">
        <f>YEAR(source[[#This Row],[report_date]])</f>
        <v>2026</v>
      </c>
      <c r="C14778" s="128">
        <f t="shared" si="692"/>
        <v>4</v>
      </c>
      <c r="D14778" s="136">
        <f t="shared" si="691"/>
        <v>16</v>
      </c>
      <c r="E14778" s="136">
        <f t="shared" si="693"/>
        <v>19</v>
      </c>
      <c r="F14778" s="137" t="s">
        <v>24</v>
      </c>
      <c r="G14778" s="128" t="str">
        <f>VLOOKUP(source[[#This Row],[lending_product_transform]],[3]Mapping!$B$4:$C$37,2,0)</f>
        <v>[Cake] - Cashloan</v>
      </c>
      <c r="H14778" s="128" t="str">
        <f>VLOOKUP(source[[#This Row],[lending_product_transform]],[3]Mapping!$B$3:$D$37,3,0)</f>
        <v>cashloan</v>
      </c>
      <c r="I14778" s="137">
        <v>201304062</v>
      </c>
    </row>
    <row r="14779" spans="1:9" x14ac:dyDescent="0.2">
      <c r="A14779" s="134">
        <v>46131</v>
      </c>
      <c r="B14779" s="135">
        <f>YEAR(source[[#This Row],[report_date]])</f>
        <v>2026</v>
      </c>
      <c r="C14779" s="128">
        <f t="shared" si="692"/>
        <v>4</v>
      </c>
      <c r="D14779" s="136">
        <f t="shared" si="691"/>
        <v>16</v>
      </c>
      <c r="E14779" s="136">
        <f t="shared" si="693"/>
        <v>19</v>
      </c>
      <c r="F14779" s="137" t="s">
        <v>24</v>
      </c>
      <c r="G14779" s="128" t="str">
        <f>VLOOKUP(source[[#This Row],[lending_product_transform]],[3]Mapping!$B$4:$C$37,2,0)</f>
        <v>[Cake] - Cashloan</v>
      </c>
      <c r="H14779" s="128" t="str">
        <f>VLOOKUP(source[[#This Row],[lending_product_transform]],[3]Mapping!$B$3:$D$37,3,0)</f>
        <v>cashloan</v>
      </c>
      <c r="I14779" s="137">
        <v>4101160000</v>
      </c>
    </row>
    <row r="14780" spans="1:9" x14ac:dyDescent="0.2">
      <c r="A14780" s="134">
        <v>46131</v>
      </c>
      <c r="B14780" s="135">
        <f>YEAR(source[[#This Row],[report_date]])</f>
        <v>2026</v>
      </c>
      <c r="C14780" s="128">
        <f t="shared" si="692"/>
        <v>4</v>
      </c>
      <c r="D14780" s="136">
        <f t="shared" si="691"/>
        <v>16</v>
      </c>
      <c r="E14780" s="136">
        <f t="shared" si="693"/>
        <v>19</v>
      </c>
      <c r="F14780" s="137" t="s">
        <v>24</v>
      </c>
      <c r="G14780" s="128" t="str">
        <f>VLOOKUP(source[[#This Row],[lending_product_transform]],[3]Mapping!$B$4:$C$37,2,0)</f>
        <v>[Cake] - Cashloan</v>
      </c>
      <c r="H14780" s="128" t="str">
        <f>VLOOKUP(source[[#This Row],[lending_product_transform]],[3]Mapping!$B$3:$D$37,3,0)</f>
        <v>cashloan</v>
      </c>
      <c r="I14780" s="137">
        <v>0</v>
      </c>
    </row>
    <row r="14781" spans="1:9" x14ac:dyDescent="0.2">
      <c r="A14781" s="134">
        <v>46132</v>
      </c>
      <c r="B14781" s="549">
        <f>YEAR(source[[#This Row],[report_date]])</f>
        <v>2026</v>
      </c>
      <c r="C14781" s="128">
        <f t="shared" ref="C14781:C14812" si="694">MONTH(A14781)</f>
        <v>4</v>
      </c>
      <c r="D14781" s="136">
        <f t="shared" ref="D14781:D14812" si="695">WEEKNUM(A14781,2)</f>
        <v>17</v>
      </c>
      <c r="E14781" s="136">
        <f t="shared" ref="E14781:E14812" si="696">DAY(A14781)</f>
        <v>20</v>
      </c>
      <c r="F14781" s="128" t="s">
        <v>24</v>
      </c>
      <c r="G14781" s="128" t="str">
        <f>VLOOKUP(source[[#This Row],[lending_product_transform]],[3]Mapping!$B$4:$C$37,2,0)</f>
        <v>[Cake] - Cashloan</v>
      </c>
      <c r="H14781" s="128" t="str">
        <f>VLOOKUP(source[[#This Row],[lending_product_transform]],[3]Mapping!$B$3:$D$37,3,0)</f>
        <v>cashloan</v>
      </c>
      <c r="I14781" s="549">
        <v>443250000</v>
      </c>
    </row>
    <row r="14782" spans="1:9" x14ac:dyDescent="0.2">
      <c r="A14782" s="134">
        <v>46132</v>
      </c>
      <c r="B14782" s="549">
        <f>YEAR(source[[#This Row],[report_date]])</f>
        <v>2026</v>
      </c>
      <c r="C14782" s="128">
        <f t="shared" si="694"/>
        <v>4</v>
      </c>
      <c r="D14782" s="136">
        <f t="shared" si="695"/>
        <v>17</v>
      </c>
      <c r="E14782" s="136">
        <f t="shared" si="696"/>
        <v>20</v>
      </c>
      <c r="F14782" s="128" t="s">
        <v>24</v>
      </c>
      <c r="G14782" s="128" t="str">
        <f>VLOOKUP(source[[#This Row],[lending_product_transform]],[3]Mapping!$B$4:$C$37,2,0)</f>
        <v>[Cake] - Cashloan</v>
      </c>
      <c r="H14782" s="128" t="str">
        <f>VLOOKUP(source[[#This Row],[lending_product_transform]],[3]Mapping!$B$3:$D$37,3,0)</f>
        <v>cashloan</v>
      </c>
      <c r="I14782" s="549">
        <v>251999633</v>
      </c>
    </row>
    <row r="14783" spans="1:9" x14ac:dyDescent="0.2">
      <c r="A14783" s="134">
        <v>46132</v>
      </c>
      <c r="B14783" s="549">
        <f>YEAR(source[[#This Row],[report_date]])</f>
        <v>2026</v>
      </c>
      <c r="C14783" s="128">
        <f t="shared" si="694"/>
        <v>4</v>
      </c>
      <c r="D14783" s="136">
        <f t="shared" si="695"/>
        <v>17</v>
      </c>
      <c r="E14783" s="136">
        <f t="shared" si="696"/>
        <v>20</v>
      </c>
      <c r="F14783" s="128" t="s">
        <v>24</v>
      </c>
      <c r="G14783" s="128" t="str">
        <f>VLOOKUP(source[[#This Row],[lending_product_transform]],[3]Mapping!$B$4:$C$37,2,0)</f>
        <v>[Cake] - Cashloan</v>
      </c>
      <c r="H14783" s="128" t="str">
        <f>VLOOKUP(source[[#This Row],[lending_product_transform]],[3]Mapping!$B$3:$D$37,3,0)</f>
        <v>cashloan</v>
      </c>
      <c r="I14783" s="549">
        <v>14875820000</v>
      </c>
    </row>
    <row r="14784" spans="1:9" x14ac:dyDescent="0.2">
      <c r="A14784" s="134">
        <v>46132</v>
      </c>
      <c r="B14784" s="549">
        <f>YEAR(source[[#This Row],[report_date]])</f>
        <v>2026</v>
      </c>
      <c r="C14784" s="128">
        <f t="shared" si="694"/>
        <v>4</v>
      </c>
      <c r="D14784" s="136">
        <f t="shared" si="695"/>
        <v>17</v>
      </c>
      <c r="E14784" s="136">
        <f t="shared" si="696"/>
        <v>20</v>
      </c>
      <c r="F14784" s="128" t="s">
        <v>24</v>
      </c>
      <c r="G14784" s="128" t="str">
        <f>VLOOKUP(source[[#This Row],[lending_product_transform]],[3]Mapping!$B$4:$C$37,2,0)</f>
        <v>[Cake] - Cashloan</v>
      </c>
      <c r="H14784" s="128" t="str">
        <f>VLOOKUP(source[[#This Row],[lending_product_transform]],[3]Mapping!$B$3:$D$37,3,0)</f>
        <v>cashloan</v>
      </c>
      <c r="I14784" s="549">
        <v>2794444072</v>
      </c>
    </row>
    <row r="14785" spans="1:9" x14ac:dyDescent="0.2">
      <c r="A14785" s="134">
        <v>46132</v>
      </c>
      <c r="B14785" s="549">
        <f>YEAR(source[[#This Row],[report_date]])</f>
        <v>2026</v>
      </c>
      <c r="C14785" s="128">
        <f t="shared" si="694"/>
        <v>4</v>
      </c>
      <c r="D14785" s="136">
        <f t="shared" si="695"/>
        <v>17</v>
      </c>
      <c r="E14785" s="136">
        <f t="shared" si="696"/>
        <v>20</v>
      </c>
      <c r="F14785" s="128" t="s">
        <v>24</v>
      </c>
      <c r="G14785" s="128" t="str">
        <f>VLOOKUP(source[[#This Row],[lending_product_transform]],[3]Mapping!$B$4:$C$37,2,0)</f>
        <v>[Cake] - Cashloan</v>
      </c>
      <c r="H14785" s="128" t="str">
        <f>VLOOKUP(source[[#This Row],[lending_product_transform]],[3]Mapping!$B$3:$D$37,3,0)</f>
        <v>cashloan</v>
      </c>
      <c r="I14785" s="549">
        <v>14755608000</v>
      </c>
    </row>
    <row r="14786" spans="1:9" x14ac:dyDescent="0.2">
      <c r="A14786" s="134">
        <v>46132</v>
      </c>
      <c r="B14786" s="549">
        <f>YEAR(source[[#This Row],[report_date]])</f>
        <v>2026</v>
      </c>
      <c r="C14786" s="128">
        <f t="shared" si="694"/>
        <v>4</v>
      </c>
      <c r="D14786" s="136">
        <f t="shared" si="695"/>
        <v>17</v>
      </c>
      <c r="E14786" s="136">
        <f t="shared" si="696"/>
        <v>20</v>
      </c>
      <c r="F14786" s="128" t="s">
        <v>24</v>
      </c>
      <c r="G14786" s="128" t="str">
        <f>VLOOKUP(source[[#This Row],[lending_product_transform]],[3]Mapping!$B$4:$C$37,2,0)</f>
        <v>[Cake] - Cashloan</v>
      </c>
      <c r="H14786" s="128" t="str">
        <f>VLOOKUP(source[[#This Row],[lending_product_transform]],[3]Mapping!$B$3:$D$37,3,0)</f>
        <v>cashloan</v>
      </c>
      <c r="I14786" s="549">
        <v>0</v>
      </c>
    </row>
    <row r="14787" spans="1:9" x14ac:dyDescent="0.2">
      <c r="A14787" s="134">
        <v>46132</v>
      </c>
      <c r="B14787" s="549">
        <f>YEAR(source[[#This Row],[report_date]])</f>
        <v>2026</v>
      </c>
      <c r="C14787" s="128">
        <f t="shared" si="694"/>
        <v>4</v>
      </c>
      <c r="D14787" s="136">
        <f t="shared" si="695"/>
        <v>17</v>
      </c>
      <c r="E14787" s="136">
        <f t="shared" si="696"/>
        <v>20</v>
      </c>
      <c r="F14787" s="128" t="s">
        <v>24</v>
      </c>
      <c r="G14787" s="128" t="str">
        <f>VLOOKUP(source[[#This Row],[lending_product_transform]],[3]Mapping!$B$4:$C$37,2,0)</f>
        <v>[Cake] - Cashloan</v>
      </c>
      <c r="H14787" s="128" t="str">
        <f>VLOOKUP(source[[#This Row],[lending_product_transform]],[3]Mapping!$B$3:$D$37,3,0)</f>
        <v>cashloan</v>
      </c>
      <c r="I14787" s="549">
        <v>0</v>
      </c>
    </row>
    <row r="14788" spans="1:9" x14ac:dyDescent="0.2">
      <c r="A14788" s="134">
        <v>46132</v>
      </c>
      <c r="B14788" s="549">
        <f>YEAR(source[[#This Row],[report_date]])</f>
        <v>2026</v>
      </c>
      <c r="C14788" s="128">
        <f t="shared" si="694"/>
        <v>4</v>
      </c>
      <c r="D14788" s="136">
        <f t="shared" si="695"/>
        <v>17</v>
      </c>
      <c r="E14788" s="136">
        <f t="shared" si="696"/>
        <v>20</v>
      </c>
      <c r="F14788" s="128" t="s">
        <v>24</v>
      </c>
      <c r="G14788" s="128" t="str">
        <f>VLOOKUP(source[[#This Row],[lending_product_transform]],[3]Mapping!$B$4:$C$37,2,0)</f>
        <v>[Cake] - Cashloan</v>
      </c>
      <c r="H14788" s="128" t="str">
        <f>VLOOKUP(source[[#This Row],[lending_product_transform]],[3]Mapping!$B$3:$D$37,3,0)</f>
        <v>cashloan</v>
      </c>
      <c r="I14788" s="549">
        <v>2936790000</v>
      </c>
    </row>
    <row r="14789" spans="1:9" x14ac:dyDescent="0.2">
      <c r="A14789" s="134">
        <v>46132</v>
      </c>
      <c r="B14789" s="549">
        <f>YEAR(source[[#This Row],[report_date]])</f>
        <v>2026</v>
      </c>
      <c r="C14789" s="128">
        <f t="shared" si="694"/>
        <v>4</v>
      </c>
      <c r="D14789" s="136">
        <f t="shared" si="695"/>
        <v>17</v>
      </c>
      <c r="E14789" s="136">
        <f t="shared" si="696"/>
        <v>20</v>
      </c>
      <c r="F14789" s="128" t="s">
        <v>24</v>
      </c>
      <c r="G14789" s="128" t="str">
        <f>VLOOKUP(source[[#This Row],[lending_product_transform]],[3]Mapping!$B$4:$C$37,2,0)</f>
        <v>[Cake] - Cashloan</v>
      </c>
      <c r="H14789" s="128" t="str">
        <f>VLOOKUP(source[[#This Row],[lending_product_transform]],[3]Mapping!$B$3:$D$37,3,0)</f>
        <v>cashloan</v>
      </c>
      <c r="I14789" s="549">
        <v>998770000</v>
      </c>
    </row>
    <row r="14790" spans="1:9" x14ac:dyDescent="0.2">
      <c r="A14790" s="134">
        <v>46132</v>
      </c>
      <c r="B14790" s="549">
        <f>YEAR(source[[#This Row],[report_date]])</f>
        <v>2026</v>
      </c>
      <c r="C14790" s="128">
        <f t="shared" si="694"/>
        <v>4</v>
      </c>
      <c r="D14790" s="136">
        <f t="shared" si="695"/>
        <v>17</v>
      </c>
      <c r="E14790" s="136">
        <f t="shared" si="696"/>
        <v>20</v>
      </c>
      <c r="F14790" s="128" t="s">
        <v>24</v>
      </c>
      <c r="G14790" s="128" t="str">
        <f>VLOOKUP(source[[#This Row],[lending_product_transform]],[3]Mapping!$B$4:$C$37,2,0)</f>
        <v>[Cake] - Cashloan</v>
      </c>
      <c r="H14790" s="128" t="str">
        <f>VLOOKUP(source[[#This Row],[lending_product_transform]],[3]Mapping!$B$3:$D$37,3,0)</f>
        <v>cashloan</v>
      </c>
      <c r="I14790" s="549">
        <v>13525090</v>
      </c>
    </row>
    <row r="14791" spans="1:9" x14ac:dyDescent="0.2">
      <c r="A14791" s="134">
        <v>46132</v>
      </c>
      <c r="B14791" s="549">
        <f>YEAR(source[[#This Row],[report_date]])</f>
        <v>2026</v>
      </c>
      <c r="C14791" s="128">
        <f t="shared" si="694"/>
        <v>4</v>
      </c>
      <c r="D14791" s="136">
        <f t="shared" si="695"/>
        <v>17</v>
      </c>
      <c r="E14791" s="136">
        <f t="shared" si="696"/>
        <v>20</v>
      </c>
      <c r="F14791" s="128" t="s">
        <v>24</v>
      </c>
      <c r="G14791" s="128" t="str">
        <f>VLOOKUP(source[[#This Row],[lending_product_transform]],[3]Mapping!$B$4:$C$37,2,0)</f>
        <v>[Cake] - Cashloan</v>
      </c>
      <c r="H14791" s="128" t="str">
        <f>VLOOKUP(source[[#This Row],[lending_product_transform]],[3]Mapping!$B$3:$D$37,3,0)</f>
        <v>cashloan</v>
      </c>
      <c r="I14791" s="549">
        <v>804617153</v>
      </c>
    </row>
    <row r="14792" spans="1:9" x14ac:dyDescent="0.2">
      <c r="A14792" s="134">
        <v>46132</v>
      </c>
      <c r="B14792" s="549">
        <f>YEAR(source[[#This Row],[report_date]])</f>
        <v>2026</v>
      </c>
      <c r="C14792" s="128">
        <f t="shared" si="694"/>
        <v>4</v>
      </c>
      <c r="D14792" s="136">
        <f t="shared" si="695"/>
        <v>17</v>
      </c>
      <c r="E14792" s="136">
        <f t="shared" si="696"/>
        <v>20</v>
      </c>
      <c r="F14792" s="128" t="s">
        <v>24</v>
      </c>
      <c r="G14792" s="128" t="str">
        <f>VLOOKUP(source[[#This Row],[lending_product_transform]],[3]Mapping!$B$4:$C$37,2,0)</f>
        <v>[Cake] - Cashloan</v>
      </c>
      <c r="H14792" s="128" t="str">
        <f>VLOOKUP(source[[#This Row],[lending_product_transform]],[3]Mapping!$B$3:$D$37,3,0)</f>
        <v>cashloan</v>
      </c>
      <c r="I14792" s="549">
        <v>0</v>
      </c>
    </row>
    <row r="14793" spans="1:9" x14ac:dyDescent="0.2">
      <c r="A14793" s="134">
        <v>46132</v>
      </c>
      <c r="B14793" s="549">
        <f>YEAR(source[[#This Row],[report_date]])</f>
        <v>2026</v>
      </c>
      <c r="C14793" s="128">
        <f t="shared" si="694"/>
        <v>4</v>
      </c>
      <c r="D14793" s="136">
        <f t="shared" si="695"/>
        <v>17</v>
      </c>
      <c r="E14793" s="136">
        <f t="shared" si="696"/>
        <v>20</v>
      </c>
      <c r="F14793" s="128" t="s">
        <v>24</v>
      </c>
      <c r="G14793" s="128" t="str">
        <f>VLOOKUP(source[[#This Row],[lending_product_transform]],[3]Mapping!$B$4:$C$37,2,0)</f>
        <v>[Cake] - Cashloan</v>
      </c>
      <c r="H14793" s="128" t="str">
        <f>VLOOKUP(source[[#This Row],[lending_product_transform]],[3]Mapping!$B$3:$D$37,3,0)</f>
        <v>cashloan</v>
      </c>
      <c r="I14793" s="549">
        <v>73500000</v>
      </c>
    </row>
    <row r="14794" spans="1:9" x14ac:dyDescent="0.2">
      <c r="A14794" s="134">
        <v>46132</v>
      </c>
      <c r="B14794" s="549">
        <f>YEAR(source[[#This Row],[report_date]])</f>
        <v>2026</v>
      </c>
      <c r="C14794" s="128">
        <f t="shared" si="694"/>
        <v>4</v>
      </c>
      <c r="D14794" s="136">
        <f t="shared" si="695"/>
        <v>17</v>
      </c>
      <c r="E14794" s="136">
        <f t="shared" si="696"/>
        <v>20</v>
      </c>
      <c r="F14794" s="128" t="s">
        <v>24</v>
      </c>
      <c r="G14794" s="128" t="str">
        <f>VLOOKUP(source[[#This Row],[lending_product_transform]],[3]Mapping!$B$4:$C$37,2,0)</f>
        <v>[Cake] - Cashloan</v>
      </c>
      <c r="H14794" s="128" t="str">
        <f>VLOOKUP(source[[#This Row],[lending_product_transform]],[3]Mapping!$B$3:$D$37,3,0)</f>
        <v>cashloan</v>
      </c>
      <c r="I14794" s="549">
        <v>0</v>
      </c>
    </row>
    <row r="14795" spans="1:9" x14ac:dyDescent="0.2">
      <c r="A14795" s="134">
        <v>46132</v>
      </c>
      <c r="B14795" s="549">
        <f>YEAR(source[[#This Row],[report_date]])</f>
        <v>2026</v>
      </c>
      <c r="C14795" s="128">
        <f t="shared" si="694"/>
        <v>4</v>
      </c>
      <c r="D14795" s="136">
        <f t="shared" si="695"/>
        <v>17</v>
      </c>
      <c r="E14795" s="136">
        <f t="shared" si="696"/>
        <v>20</v>
      </c>
      <c r="F14795" s="128" t="s">
        <v>24</v>
      </c>
      <c r="G14795" s="128" t="str">
        <f>VLOOKUP(source[[#This Row],[lending_product_transform]],[3]Mapping!$B$4:$C$37,2,0)</f>
        <v>[Cake] - Cashloan</v>
      </c>
      <c r="H14795" s="128" t="str">
        <f>VLOOKUP(source[[#This Row],[lending_product_transform]],[3]Mapping!$B$3:$D$37,3,0)</f>
        <v>cashloan</v>
      </c>
      <c r="I14795" s="549">
        <v>16555900000</v>
      </c>
    </row>
    <row r="14796" spans="1:9" x14ac:dyDescent="0.2">
      <c r="A14796" s="134">
        <v>46132</v>
      </c>
      <c r="B14796" s="549">
        <f>YEAR(source[[#This Row],[report_date]])</f>
        <v>2026</v>
      </c>
      <c r="C14796" s="128">
        <f t="shared" si="694"/>
        <v>4</v>
      </c>
      <c r="D14796" s="136">
        <f t="shared" si="695"/>
        <v>17</v>
      </c>
      <c r="E14796" s="136">
        <f t="shared" si="696"/>
        <v>20</v>
      </c>
      <c r="F14796" s="128" t="s">
        <v>24</v>
      </c>
      <c r="G14796" s="128" t="str">
        <f>VLOOKUP(source[[#This Row],[lending_product_transform]],[3]Mapping!$B$4:$C$37,2,0)</f>
        <v>[Cake] - Cashloan</v>
      </c>
      <c r="H14796" s="128" t="str">
        <f>VLOOKUP(source[[#This Row],[lending_product_transform]],[3]Mapping!$B$3:$D$37,3,0)</f>
        <v>cashloan</v>
      </c>
      <c r="I14796" s="549">
        <v>0</v>
      </c>
    </row>
    <row r="14797" spans="1:9" x14ac:dyDescent="0.2">
      <c r="A14797" s="134">
        <v>46132</v>
      </c>
      <c r="B14797" s="549">
        <f>YEAR(source[[#This Row],[report_date]])</f>
        <v>2026</v>
      </c>
      <c r="C14797" s="128">
        <f t="shared" si="694"/>
        <v>4</v>
      </c>
      <c r="D14797" s="136">
        <f t="shared" si="695"/>
        <v>17</v>
      </c>
      <c r="E14797" s="136">
        <f t="shared" si="696"/>
        <v>20</v>
      </c>
      <c r="F14797" s="128" t="s">
        <v>24</v>
      </c>
      <c r="G14797" s="128" t="str">
        <f>VLOOKUP(source[[#This Row],[lending_product_transform]],[3]Mapping!$B$4:$C$37,2,0)</f>
        <v>[Cake] - Cashloan</v>
      </c>
      <c r="H14797" s="128" t="str">
        <f>VLOOKUP(source[[#This Row],[lending_product_transform]],[3]Mapping!$B$3:$D$37,3,0)</f>
        <v>cashloan</v>
      </c>
      <c r="I14797" s="549">
        <v>0</v>
      </c>
    </row>
    <row r="14798" spans="1:9" x14ac:dyDescent="0.2">
      <c r="A14798" s="134">
        <v>46132</v>
      </c>
      <c r="B14798" s="549">
        <f>YEAR(source[[#This Row],[report_date]])</f>
        <v>2026</v>
      </c>
      <c r="C14798" s="128">
        <f t="shared" si="694"/>
        <v>4</v>
      </c>
      <c r="D14798" s="136">
        <f t="shared" si="695"/>
        <v>17</v>
      </c>
      <c r="E14798" s="136">
        <f t="shared" si="696"/>
        <v>20</v>
      </c>
      <c r="F14798" s="128" t="s">
        <v>24</v>
      </c>
      <c r="G14798" s="128" t="str">
        <f>VLOOKUP(source[[#This Row],[lending_product_transform]],[3]Mapping!$B$4:$C$37,2,0)</f>
        <v>[Cake] - Cashloan</v>
      </c>
      <c r="H14798" s="128" t="str">
        <f>VLOOKUP(source[[#This Row],[lending_product_transform]],[3]Mapping!$B$3:$D$37,3,0)</f>
        <v>cashloan</v>
      </c>
      <c r="I14798" s="549">
        <v>0</v>
      </c>
    </row>
    <row r="14799" spans="1:9" x14ac:dyDescent="0.2">
      <c r="A14799" s="134">
        <v>46132</v>
      </c>
      <c r="B14799" s="549">
        <f>YEAR(source[[#This Row],[report_date]])</f>
        <v>2026</v>
      </c>
      <c r="C14799" s="128">
        <f t="shared" si="694"/>
        <v>4</v>
      </c>
      <c r="D14799" s="136">
        <f t="shared" si="695"/>
        <v>17</v>
      </c>
      <c r="E14799" s="136">
        <f t="shared" si="696"/>
        <v>20</v>
      </c>
      <c r="F14799" s="128" t="s">
        <v>24</v>
      </c>
      <c r="G14799" s="128" t="str">
        <f>VLOOKUP(source[[#This Row],[lending_product_transform]],[3]Mapping!$B$4:$C$37,2,0)</f>
        <v>[Cake] - Cashloan</v>
      </c>
      <c r="H14799" s="128" t="str">
        <f>VLOOKUP(source[[#This Row],[lending_product_transform]],[3]Mapping!$B$3:$D$37,3,0)</f>
        <v>cashloan</v>
      </c>
      <c r="I14799" s="549">
        <v>0</v>
      </c>
    </row>
    <row r="14800" spans="1:9" x14ac:dyDescent="0.2">
      <c r="A14800" s="134">
        <v>46132</v>
      </c>
      <c r="B14800" s="549">
        <f>YEAR(source[[#This Row],[report_date]])</f>
        <v>2026</v>
      </c>
      <c r="C14800" s="128">
        <f t="shared" si="694"/>
        <v>4</v>
      </c>
      <c r="D14800" s="136">
        <f t="shared" si="695"/>
        <v>17</v>
      </c>
      <c r="E14800" s="136">
        <f t="shared" si="696"/>
        <v>20</v>
      </c>
      <c r="F14800" s="128" t="s">
        <v>24</v>
      </c>
      <c r="G14800" s="128" t="str">
        <f>VLOOKUP(source[[#This Row],[lending_product_transform]],[3]Mapping!$B$4:$C$37,2,0)</f>
        <v>[Cake] - Cashloan</v>
      </c>
      <c r="H14800" s="128" t="str">
        <f>VLOOKUP(source[[#This Row],[lending_product_transform]],[3]Mapping!$B$3:$D$37,3,0)</f>
        <v>cashloan</v>
      </c>
      <c r="I14800" s="549">
        <v>11234592000</v>
      </c>
    </row>
    <row r="14801" spans="1:9" x14ac:dyDescent="0.2">
      <c r="A14801" s="134">
        <v>46132</v>
      </c>
      <c r="B14801" s="549">
        <f>YEAR(source[[#This Row],[report_date]])</f>
        <v>2026</v>
      </c>
      <c r="C14801" s="128">
        <f t="shared" si="694"/>
        <v>4</v>
      </c>
      <c r="D14801" s="136">
        <f t="shared" si="695"/>
        <v>17</v>
      </c>
      <c r="E14801" s="136">
        <f t="shared" si="696"/>
        <v>20</v>
      </c>
      <c r="F14801" s="128" t="s">
        <v>24</v>
      </c>
      <c r="G14801" s="128" t="str">
        <f>VLOOKUP(source[[#This Row],[lending_product_transform]],[3]Mapping!$B$4:$C$37,2,0)</f>
        <v>[Cake] - Cashloan</v>
      </c>
      <c r="H14801" s="128" t="str">
        <f>VLOOKUP(source[[#This Row],[lending_product_transform]],[3]Mapping!$B$3:$D$37,3,0)</f>
        <v>cashloan</v>
      </c>
      <c r="I14801" s="549">
        <v>168559692</v>
      </c>
    </row>
    <row r="14802" spans="1:9" x14ac:dyDescent="0.2">
      <c r="A14802" s="134">
        <v>46132</v>
      </c>
      <c r="B14802" s="549">
        <f>YEAR(source[[#This Row],[report_date]])</f>
        <v>2026</v>
      </c>
      <c r="C14802" s="128">
        <f t="shared" si="694"/>
        <v>4</v>
      </c>
      <c r="D14802" s="136">
        <f t="shared" si="695"/>
        <v>17</v>
      </c>
      <c r="E14802" s="136">
        <f t="shared" si="696"/>
        <v>20</v>
      </c>
      <c r="F14802" s="128" t="s">
        <v>24</v>
      </c>
      <c r="G14802" s="128" t="str">
        <f>VLOOKUP(source[[#This Row],[lending_product_transform]],[3]Mapping!$B$4:$C$37,2,0)</f>
        <v>[Cake] - Cashloan</v>
      </c>
      <c r="H14802" s="128" t="str">
        <f>VLOOKUP(source[[#This Row],[lending_product_transform]],[3]Mapping!$B$3:$D$37,3,0)</f>
        <v>cashloan</v>
      </c>
      <c r="I14802" s="549">
        <v>72500000</v>
      </c>
    </row>
    <row r="14803" spans="1:9" x14ac:dyDescent="0.2">
      <c r="A14803" s="134">
        <v>46132</v>
      </c>
      <c r="B14803" s="549">
        <f>YEAR(source[[#This Row],[report_date]])</f>
        <v>2026</v>
      </c>
      <c r="C14803" s="128">
        <f t="shared" si="694"/>
        <v>4</v>
      </c>
      <c r="D14803" s="136">
        <f t="shared" si="695"/>
        <v>17</v>
      </c>
      <c r="E14803" s="136">
        <f t="shared" si="696"/>
        <v>20</v>
      </c>
      <c r="F14803" s="128" t="s">
        <v>24</v>
      </c>
      <c r="G14803" s="128" t="str">
        <f>VLOOKUP(source[[#This Row],[lending_product_transform]],[3]Mapping!$B$4:$C$37,2,0)</f>
        <v>[Cake] - Cashloan</v>
      </c>
      <c r="H14803" s="128" t="str">
        <f>VLOOKUP(source[[#This Row],[lending_product_transform]],[3]Mapping!$B$3:$D$37,3,0)</f>
        <v>cashloan</v>
      </c>
      <c r="I14803" s="549">
        <v>46000000</v>
      </c>
    </row>
    <row r="14804" spans="1:9" x14ac:dyDescent="0.2">
      <c r="A14804" s="134">
        <v>46132</v>
      </c>
      <c r="B14804" s="549">
        <f>YEAR(source[[#This Row],[report_date]])</f>
        <v>2026</v>
      </c>
      <c r="C14804" s="128">
        <f t="shared" si="694"/>
        <v>4</v>
      </c>
      <c r="D14804" s="136">
        <f t="shared" si="695"/>
        <v>17</v>
      </c>
      <c r="E14804" s="136">
        <f t="shared" si="696"/>
        <v>20</v>
      </c>
      <c r="F14804" s="128" t="s">
        <v>24</v>
      </c>
      <c r="G14804" s="128" t="str">
        <f>VLOOKUP(source[[#This Row],[lending_product_transform]],[3]Mapping!$B$4:$C$37,2,0)</f>
        <v>[Cake] - Cashloan</v>
      </c>
      <c r="H14804" s="128" t="str">
        <f>VLOOKUP(source[[#This Row],[lending_product_transform]],[3]Mapping!$B$3:$D$37,3,0)</f>
        <v>cashloan</v>
      </c>
      <c r="I14804" s="549">
        <v>840560000</v>
      </c>
    </row>
    <row r="14805" spans="1:9" x14ac:dyDescent="0.2">
      <c r="A14805" s="134">
        <v>46132</v>
      </c>
      <c r="B14805" s="549">
        <f>YEAR(source[[#This Row],[report_date]])</f>
        <v>2026</v>
      </c>
      <c r="C14805" s="128">
        <f t="shared" si="694"/>
        <v>4</v>
      </c>
      <c r="D14805" s="136">
        <f t="shared" si="695"/>
        <v>17</v>
      </c>
      <c r="E14805" s="136">
        <f t="shared" si="696"/>
        <v>20</v>
      </c>
      <c r="F14805" s="128" t="s">
        <v>24</v>
      </c>
      <c r="G14805" s="128" t="str">
        <f>VLOOKUP(source[[#This Row],[lending_product_transform]],[3]Mapping!$B$4:$C$37,2,0)</f>
        <v>[Cake] - Cashloan</v>
      </c>
      <c r="H14805" s="128" t="str">
        <f>VLOOKUP(source[[#This Row],[lending_product_transform]],[3]Mapping!$B$3:$D$37,3,0)</f>
        <v>cashloan</v>
      </c>
      <c r="I14805" s="549">
        <v>337608000</v>
      </c>
    </row>
    <row r="14806" spans="1:9" x14ac:dyDescent="0.2">
      <c r="A14806" s="134">
        <v>46132</v>
      </c>
      <c r="B14806" s="549">
        <f>YEAR(source[[#This Row],[report_date]])</f>
        <v>2026</v>
      </c>
      <c r="C14806" s="128">
        <f t="shared" si="694"/>
        <v>4</v>
      </c>
      <c r="D14806" s="136">
        <f t="shared" si="695"/>
        <v>17</v>
      </c>
      <c r="E14806" s="136">
        <f t="shared" si="696"/>
        <v>20</v>
      </c>
      <c r="F14806" s="128" t="s">
        <v>24</v>
      </c>
      <c r="G14806" s="128" t="str">
        <f>VLOOKUP(source[[#This Row],[lending_product_transform]],[3]Mapping!$B$4:$C$37,2,0)</f>
        <v>[Cake] - Cashloan</v>
      </c>
      <c r="H14806" s="128" t="str">
        <f>VLOOKUP(source[[#This Row],[lending_product_transform]],[3]Mapping!$B$3:$D$37,3,0)</f>
        <v>cashloan</v>
      </c>
      <c r="I14806" s="549">
        <v>226619379</v>
      </c>
    </row>
    <row r="14807" spans="1:9" x14ac:dyDescent="0.2">
      <c r="A14807" s="134">
        <v>46132</v>
      </c>
      <c r="B14807" s="549">
        <f>YEAR(source[[#This Row],[report_date]])</f>
        <v>2026</v>
      </c>
      <c r="C14807" s="128">
        <f t="shared" si="694"/>
        <v>4</v>
      </c>
      <c r="D14807" s="136">
        <f t="shared" si="695"/>
        <v>17</v>
      </c>
      <c r="E14807" s="136">
        <f t="shared" si="696"/>
        <v>20</v>
      </c>
      <c r="F14807" s="128" t="s">
        <v>24</v>
      </c>
      <c r="G14807" s="128" t="str">
        <f>VLOOKUP(source[[#This Row],[lending_product_transform]],[3]Mapping!$B$4:$C$37,2,0)</f>
        <v>[Cake] - Cashloan</v>
      </c>
      <c r="H14807" s="128" t="str">
        <f>VLOOKUP(source[[#This Row],[lending_product_transform]],[3]Mapping!$B$3:$D$37,3,0)</f>
        <v>cashloan</v>
      </c>
      <c r="I14807" s="549">
        <v>5538620000</v>
      </c>
    </row>
    <row r="14808" spans="1:9" x14ac:dyDescent="0.2">
      <c r="A14808" s="134">
        <v>46132</v>
      </c>
      <c r="B14808" s="549">
        <f>YEAR(source[[#This Row],[report_date]])</f>
        <v>2026</v>
      </c>
      <c r="C14808" s="128">
        <f t="shared" si="694"/>
        <v>4</v>
      </c>
      <c r="D14808" s="136">
        <f t="shared" si="695"/>
        <v>17</v>
      </c>
      <c r="E14808" s="136">
        <f t="shared" si="696"/>
        <v>20</v>
      </c>
      <c r="F14808" s="128" t="s">
        <v>24</v>
      </c>
      <c r="G14808" s="128" t="str">
        <f>VLOOKUP(source[[#This Row],[lending_product_transform]],[3]Mapping!$B$4:$C$37,2,0)</f>
        <v>[Cake] - Cashloan</v>
      </c>
      <c r="H14808" s="128" t="str">
        <f>VLOOKUP(source[[#This Row],[lending_product_transform]],[3]Mapping!$B$3:$D$37,3,0)</f>
        <v>cashloan</v>
      </c>
      <c r="I14808" s="549">
        <v>0</v>
      </c>
    </row>
    <row r="14809" spans="1:9" x14ac:dyDescent="0.2">
      <c r="A14809" s="134">
        <v>46133</v>
      </c>
      <c r="B14809" s="549">
        <f>YEAR(source[[#This Row],[report_date]])</f>
        <v>2026</v>
      </c>
      <c r="C14809" s="128">
        <f t="shared" si="694"/>
        <v>4</v>
      </c>
      <c r="D14809" s="136">
        <f t="shared" si="695"/>
        <v>17</v>
      </c>
      <c r="E14809" s="136">
        <f t="shared" si="696"/>
        <v>21</v>
      </c>
      <c r="F14809" s="128" t="s">
        <v>24</v>
      </c>
      <c r="G14809" s="128" t="str">
        <f>VLOOKUP(source[[#This Row],[lending_product_transform]],[3]Mapping!$B$4:$C$37,2,0)</f>
        <v>[Cake] - Cashloan</v>
      </c>
      <c r="H14809" s="128" t="str">
        <f>VLOOKUP(source[[#This Row],[lending_product_transform]],[3]Mapping!$B$3:$D$37,3,0)</f>
        <v>cashloan</v>
      </c>
      <c r="I14809" s="549">
        <v>332570000</v>
      </c>
    </row>
    <row r="14810" spans="1:9" x14ac:dyDescent="0.2">
      <c r="A14810" s="134">
        <v>46133</v>
      </c>
      <c r="B14810" s="549">
        <f>YEAR(source[[#This Row],[report_date]])</f>
        <v>2026</v>
      </c>
      <c r="C14810" s="128">
        <f t="shared" si="694"/>
        <v>4</v>
      </c>
      <c r="D14810" s="136">
        <f t="shared" si="695"/>
        <v>17</v>
      </c>
      <c r="E14810" s="136">
        <f t="shared" si="696"/>
        <v>21</v>
      </c>
      <c r="F14810" s="128" t="s">
        <v>24</v>
      </c>
      <c r="G14810" s="128" t="str">
        <f>VLOOKUP(source[[#This Row],[lending_product_transform]],[3]Mapping!$B$4:$C$37,2,0)</f>
        <v>[Cake] - Cashloan</v>
      </c>
      <c r="H14810" s="128" t="str">
        <f>VLOOKUP(source[[#This Row],[lending_product_transform]],[3]Mapping!$B$3:$D$37,3,0)</f>
        <v>cashloan</v>
      </c>
      <c r="I14810" s="549">
        <v>288336238</v>
      </c>
    </row>
    <row r="14811" spans="1:9" x14ac:dyDescent="0.2">
      <c r="A14811" s="134">
        <v>46133</v>
      </c>
      <c r="B14811" s="549">
        <f>YEAR(source[[#This Row],[report_date]])</f>
        <v>2026</v>
      </c>
      <c r="C14811" s="128">
        <f t="shared" si="694"/>
        <v>4</v>
      </c>
      <c r="D14811" s="136">
        <f t="shared" si="695"/>
        <v>17</v>
      </c>
      <c r="E14811" s="136">
        <f t="shared" si="696"/>
        <v>21</v>
      </c>
      <c r="F14811" s="128" t="s">
        <v>24</v>
      </c>
      <c r="G14811" s="128" t="str">
        <f>VLOOKUP(source[[#This Row],[lending_product_transform]],[3]Mapping!$B$4:$C$37,2,0)</f>
        <v>[Cake] - Cashloan</v>
      </c>
      <c r="H14811" s="128" t="str">
        <f>VLOOKUP(source[[#This Row],[lending_product_transform]],[3]Mapping!$B$3:$D$37,3,0)</f>
        <v>cashloan</v>
      </c>
      <c r="I14811" s="549">
        <v>13878130000</v>
      </c>
    </row>
    <row r="14812" spans="1:9" x14ac:dyDescent="0.2">
      <c r="A14812" s="134">
        <v>46133</v>
      </c>
      <c r="B14812" s="549">
        <f>YEAR(source[[#This Row],[report_date]])</f>
        <v>2026</v>
      </c>
      <c r="C14812" s="128">
        <f t="shared" si="694"/>
        <v>4</v>
      </c>
      <c r="D14812" s="136">
        <f t="shared" si="695"/>
        <v>17</v>
      </c>
      <c r="E14812" s="136">
        <f t="shared" si="696"/>
        <v>21</v>
      </c>
      <c r="F14812" s="128" t="s">
        <v>24</v>
      </c>
      <c r="G14812" s="128" t="str">
        <f>VLOOKUP(source[[#This Row],[lending_product_transform]],[3]Mapping!$B$4:$C$37,2,0)</f>
        <v>[Cake] - Cashloan</v>
      </c>
      <c r="H14812" s="128" t="str">
        <f>VLOOKUP(source[[#This Row],[lending_product_transform]],[3]Mapping!$B$3:$D$37,3,0)</f>
        <v>cashloan</v>
      </c>
      <c r="I14812" s="549">
        <v>1509161012</v>
      </c>
    </row>
    <row r="14813" spans="1:9" x14ac:dyDescent="0.2">
      <c r="A14813" s="134">
        <v>46133</v>
      </c>
      <c r="B14813" s="549">
        <f>YEAR(source[[#This Row],[report_date]])</f>
        <v>2026</v>
      </c>
      <c r="C14813" s="128">
        <f t="shared" ref="C14813:C14844" si="697">MONTH(A14813)</f>
        <v>4</v>
      </c>
      <c r="D14813" s="136">
        <f t="shared" ref="D14813:D14844" si="698">WEEKNUM(A14813,2)</f>
        <v>17</v>
      </c>
      <c r="E14813" s="136">
        <f t="shared" ref="E14813:E14844" si="699">DAY(A14813)</f>
        <v>21</v>
      </c>
      <c r="F14813" s="128" t="s">
        <v>24</v>
      </c>
      <c r="G14813" s="128" t="str">
        <f>VLOOKUP(source[[#This Row],[lending_product_transform]],[3]Mapping!$B$4:$C$37,2,0)</f>
        <v>[Cake] - Cashloan</v>
      </c>
      <c r="H14813" s="128" t="str">
        <f>VLOOKUP(source[[#This Row],[lending_product_transform]],[3]Mapping!$B$3:$D$37,3,0)</f>
        <v>cashloan</v>
      </c>
      <c r="I14813" s="549">
        <v>13785984000</v>
      </c>
    </row>
    <row r="14814" spans="1:9" x14ac:dyDescent="0.2">
      <c r="A14814" s="134">
        <v>46133</v>
      </c>
      <c r="B14814" s="549">
        <f>YEAR(source[[#This Row],[report_date]])</f>
        <v>2026</v>
      </c>
      <c r="C14814" s="128">
        <f t="shared" si="697"/>
        <v>4</v>
      </c>
      <c r="D14814" s="136">
        <f t="shared" si="698"/>
        <v>17</v>
      </c>
      <c r="E14814" s="136">
        <f t="shared" si="699"/>
        <v>21</v>
      </c>
      <c r="F14814" s="128" t="s">
        <v>24</v>
      </c>
      <c r="G14814" s="128" t="str">
        <f>VLOOKUP(source[[#This Row],[lending_product_transform]],[3]Mapping!$B$4:$C$37,2,0)</f>
        <v>[Cake] - Cashloan</v>
      </c>
      <c r="H14814" s="128" t="str">
        <f>VLOOKUP(source[[#This Row],[lending_product_transform]],[3]Mapping!$B$3:$D$37,3,0)</f>
        <v>cashloan</v>
      </c>
      <c r="I14814" s="549">
        <v>0</v>
      </c>
    </row>
    <row r="14815" spans="1:9" x14ac:dyDescent="0.2">
      <c r="A14815" s="134">
        <v>46133</v>
      </c>
      <c r="B14815" s="549">
        <f>YEAR(source[[#This Row],[report_date]])</f>
        <v>2026</v>
      </c>
      <c r="C14815" s="128">
        <f t="shared" si="697"/>
        <v>4</v>
      </c>
      <c r="D14815" s="136">
        <f t="shared" si="698"/>
        <v>17</v>
      </c>
      <c r="E14815" s="136">
        <f t="shared" si="699"/>
        <v>21</v>
      </c>
      <c r="F14815" s="128" t="s">
        <v>24</v>
      </c>
      <c r="G14815" s="128" t="str">
        <f>VLOOKUP(source[[#This Row],[lending_product_transform]],[3]Mapping!$B$4:$C$37,2,0)</f>
        <v>[Cake] - Cashloan</v>
      </c>
      <c r="H14815" s="128" t="str">
        <f>VLOOKUP(source[[#This Row],[lending_product_transform]],[3]Mapping!$B$3:$D$37,3,0)</f>
        <v>cashloan</v>
      </c>
      <c r="I14815" s="549">
        <v>0</v>
      </c>
    </row>
    <row r="14816" spans="1:9" x14ac:dyDescent="0.2">
      <c r="A14816" s="134">
        <v>46133</v>
      </c>
      <c r="B14816" s="549">
        <f>YEAR(source[[#This Row],[report_date]])</f>
        <v>2026</v>
      </c>
      <c r="C14816" s="128">
        <f t="shared" si="697"/>
        <v>4</v>
      </c>
      <c r="D14816" s="136">
        <f t="shared" si="698"/>
        <v>17</v>
      </c>
      <c r="E14816" s="136">
        <f t="shared" si="699"/>
        <v>21</v>
      </c>
      <c r="F14816" s="128" t="s">
        <v>24</v>
      </c>
      <c r="G14816" s="128" t="str">
        <f>VLOOKUP(source[[#This Row],[lending_product_transform]],[3]Mapping!$B$4:$C$37,2,0)</f>
        <v>[Cake] - Cashloan</v>
      </c>
      <c r="H14816" s="128" t="str">
        <f>VLOOKUP(source[[#This Row],[lending_product_transform]],[3]Mapping!$B$3:$D$37,3,0)</f>
        <v>cashloan</v>
      </c>
      <c r="I14816" s="549">
        <v>2285230000</v>
      </c>
    </row>
    <row r="14817" spans="1:9" x14ac:dyDescent="0.2">
      <c r="A14817" s="134">
        <v>46133</v>
      </c>
      <c r="B14817" s="549">
        <f>YEAR(source[[#This Row],[report_date]])</f>
        <v>2026</v>
      </c>
      <c r="C14817" s="128">
        <f t="shared" si="697"/>
        <v>4</v>
      </c>
      <c r="D14817" s="136">
        <f t="shared" si="698"/>
        <v>17</v>
      </c>
      <c r="E14817" s="136">
        <f t="shared" si="699"/>
        <v>21</v>
      </c>
      <c r="F14817" s="128" t="s">
        <v>24</v>
      </c>
      <c r="G14817" s="128" t="str">
        <f>VLOOKUP(source[[#This Row],[lending_product_transform]],[3]Mapping!$B$4:$C$37,2,0)</f>
        <v>[Cake] - Cashloan</v>
      </c>
      <c r="H14817" s="128" t="str">
        <f>VLOOKUP(source[[#This Row],[lending_product_transform]],[3]Mapping!$B$3:$D$37,3,0)</f>
        <v>cashloan</v>
      </c>
      <c r="I14817" s="549">
        <v>956550000</v>
      </c>
    </row>
    <row r="14818" spans="1:9" x14ac:dyDescent="0.2">
      <c r="A14818" s="134">
        <v>46133</v>
      </c>
      <c r="B14818" s="549">
        <f>YEAR(source[[#This Row],[report_date]])</f>
        <v>2026</v>
      </c>
      <c r="C14818" s="128">
        <f t="shared" si="697"/>
        <v>4</v>
      </c>
      <c r="D14818" s="136">
        <f t="shared" si="698"/>
        <v>17</v>
      </c>
      <c r="E14818" s="136">
        <f t="shared" si="699"/>
        <v>21</v>
      </c>
      <c r="F14818" s="128" t="s">
        <v>24</v>
      </c>
      <c r="G14818" s="128" t="str">
        <f>VLOOKUP(source[[#This Row],[lending_product_transform]],[3]Mapping!$B$4:$C$37,2,0)</f>
        <v>[Cake] - Cashloan</v>
      </c>
      <c r="H14818" s="128" t="str">
        <f>VLOOKUP(source[[#This Row],[lending_product_transform]],[3]Mapping!$B$3:$D$37,3,0)</f>
        <v>cashloan</v>
      </c>
      <c r="I14818" s="549">
        <v>16625330</v>
      </c>
    </row>
    <row r="14819" spans="1:9" x14ac:dyDescent="0.2">
      <c r="A14819" s="134">
        <v>46133</v>
      </c>
      <c r="B14819" s="549">
        <f>YEAR(source[[#This Row],[report_date]])</f>
        <v>2026</v>
      </c>
      <c r="C14819" s="128">
        <f t="shared" si="697"/>
        <v>4</v>
      </c>
      <c r="D14819" s="136">
        <f t="shared" si="698"/>
        <v>17</v>
      </c>
      <c r="E14819" s="136">
        <f t="shared" si="699"/>
        <v>21</v>
      </c>
      <c r="F14819" s="128" t="s">
        <v>24</v>
      </c>
      <c r="G14819" s="128" t="str">
        <f>VLOOKUP(source[[#This Row],[lending_product_transform]],[3]Mapping!$B$4:$C$37,2,0)</f>
        <v>[Cake] - Cashloan</v>
      </c>
      <c r="H14819" s="128" t="str">
        <f>VLOOKUP(source[[#This Row],[lending_product_transform]],[3]Mapping!$B$3:$D$37,3,0)</f>
        <v>cashloan</v>
      </c>
      <c r="I14819" s="549">
        <v>944037049</v>
      </c>
    </row>
    <row r="14820" spans="1:9" x14ac:dyDescent="0.2">
      <c r="A14820" s="134">
        <v>46133</v>
      </c>
      <c r="B14820" s="549">
        <f>YEAR(source[[#This Row],[report_date]])</f>
        <v>2026</v>
      </c>
      <c r="C14820" s="128">
        <f t="shared" si="697"/>
        <v>4</v>
      </c>
      <c r="D14820" s="136">
        <f t="shared" si="698"/>
        <v>17</v>
      </c>
      <c r="E14820" s="136">
        <f t="shared" si="699"/>
        <v>21</v>
      </c>
      <c r="F14820" s="128" t="s">
        <v>24</v>
      </c>
      <c r="G14820" s="128" t="str">
        <f>VLOOKUP(source[[#This Row],[lending_product_transform]],[3]Mapping!$B$4:$C$37,2,0)</f>
        <v>[Cake] - Cashloan</v>
      </c>
      <c r="H14820" s="128" t="str">
        <f>VLOOKUP(source[[#This Row],[lending_product_transform]],[3]Mapping!$B$3:$D$37,3,0)</f>
        <v>cashloan</v>
      </c>
      <c r="I14820" s="549">
        <v>0</v>
      </c>
    </row>
    <row r="14821" spans="1:9" x14ac:dyDescent="0.2">
      <c r="A14821" s="134">
        <v>46133</v>
      </c>
      <c r="B14821" s="549">
        <f>YEAR(source[[#This Row],[report_date]])</f>
        <v>2026</v>
      </c>
      <c r="C14821" s="128">
        <f t="shared" si="697"/>
        <v>4</v>
      </c>
      <c r="D14821" s="136">
        <f t="shared" si="698"/>
        <v>17</v>
      </c>
      <c r="E14821" s="136">
        <f t="shared" si="699"/>
        <v>21</v>
      </c>
      <c r="F14821" s="128" t="s">
        <v>24</v>
      </c>
      <c r="G14821" s="128" t="str">
        <f>VLOOKUP(source[[#This Row],[lending_product_transform]],[3]Mapping!$B$4:$C$37,2,0)</f>
        <v>[Cake] - Cashloan</v>
      </c>
      <c r="H14821" s="128" t="str">
        <f>VLOOKUP(source[[#This Row],[lending_product_transform]],[3]Mapping!$B$3:$D$37,3,0)</f>
        <v>cashloan</v>
      </c>
      <c r="I14821" s="549">
        <v>51750000</v>
      </c>
    </row>
    <row r="14822" spans="1:9" x14ac:dyDescent="0.2">
      <c r="A14822" s="134">
        <v>46133</v>
      </c>
      <c r="B14822" s="549">
        <f>YEAR(source[[#This Row],[report_date]])</f>
        <v>2026</v>
      </c>
      <c r="C14822" s="128">
        <f t="shared" si="697"/>
        <v>4</v>
      </c>
      <c r="D14822" s="136">
        <f t="shared" si="698"/>
        <v>17</v>
      </c>
      <c r="E14822" s="136">
        <f t="shared" si="699"/>
        <v>21</v>
      </c>
      <c r="F14822" s="128" t="s">
        <v>24</v>
      </c>
      <c r="G14822" s="128" t="str">
        <f>VLOOKUP(source[[#This Row],[lending_product_transform]],[3]Mapping!$B$4:$C$37,2,0)</f>
        <v>[Cake] - Cashloan</v>
      </c>
      <c r="H14822" s="128" t="str">
        <f>VLOOKUP(source[[#This Row],[lending_product_transform]],[3]Mapping!$B$3:$D$37,3,0)</f>
        <v>cashloan</v>
      </c>
      <c r="I14822" s="549">
        <v>0</v>
      </c>
    </row>
    <row r="14823" spans="1:9" x14ac:dyDescent="0.2">
      <c r="A14823" s="134">
        <v>46133</v>
      </c>
      <c r="B14823" s="549">
        <f>YEAR(source[[#This Row],[report_date]])</f>
        <v>2026</v>
      </c>
      <c r="C14823" s="128">
        <f t="shared" si="697"/>
        <v>4</v>
      </c>
      <c r="D14823" s="136">
        <f t="shared" si="698"/>
        <v>17</v>
      </c>
      <c r="E14823" s="136">
        <f t="shared" si="699"/>
        <v>21</v>
      </c>
      <c r="F14823" s="128" t="s">
        <v>24</v>
      </c>
      <c r="G14823" s="128" t="str">
        <f>VLOOKUP(source[[#This Row],[lending_product_transform]],[3]Mapping!$B$4:$C$37,2,0)</f>
        <v>[Cake] - Cashloan</v>
      </c>
      <c r="H14823" s="128" t="str">
        <f>VLOOKUP(source[[#This Row],[lending_product_transform]],[3]Mapping!$B$3:$D$37,3,0)</f>
        <v>cashloan</v>
      </c>
      <c r="I14823" s="549">
        <v>17244300000</v>
      </c>
    </row>
    <row r="14824" spans="1:9" x14ac:dyDescent="0.2">
      <c r="A14824" s="134">
        <v>46133</v>
      </c>
      <c r="B14824" s="549">
        <f>YEAR(source[[#This Row],[report_date]])</f>
        <v>2026</v>
      </c>
      <c r="C14824" s="128">
        <f t="shared" si="697"/>
        <v>4</v>
      </c>
      <c r="D14824" s="136">
        <f t="shared" si="698"/>
        <v>17</v>
      </c>
      <c r="E14824" s="136">
        <f t="shared" si="699"/>
        <v>21</v>
      </c>
      <c r="F14824" s="128" t="s">
        <v>24</v>
      </c>
      <c r="G14824" s="128" t="str">
        <f>VLOOKUP(source[[#This Row],[lending_product_transform]],[3]Mapping!$B$4:$C$37,2,0)</f>
        <v>[Cake] - Cashloan</v>
      </c>
      <c r="H14824" s="128" t="str">
        <f>VLOOKUP(source[[#This Row],[lending_product_transform]],[3]Mapping!$B$3:$D$37,3,0)</f>
        <v>cashloan</v>
      </c>
      <c r="I14824" s="549">
        <v>0</v>
      </c>
    </row>
    <row r="14825" spans="1:9" x14ac:dyDescent="0.2">
      <c r="A14825" s="134">
        <v>46133</v>
      </c>
      <c r="B14825" s="549">
        <f>YEAR(source[[#This Row],[report_date]])</f>
        <v>2026</v>
      </c>
      <c r="C14825" s="128">
        <f t="shared" si="697"/>
        <v>4</v>
      </c>
      <c r="D14825" s="136">
        <f t="shared" si="698"/>
        <v>17</v>
      </c>
      <c r="E14825" s="136">
        <f t="shared" si="699"/>
        <v>21</v>
      </c>
      <c r="F14825" s="128" t="s">
        <v>24</v>
      </c>
      <c r="G14825" s="128" t="str">
        <f>VLOOKUP(source[[#This Row],[lending_product_transform]],[3]Mapping!$B$4:$C$37,2,0)</f>
        <v>[Cake] - Cashloan</v>
      </c>
      <c r="H14825" s="128" t="str">
        <f>VLOOKUP(source[[#This Row],[lending_product_transform]],[3]Mapping!$B$3:$D$37,3,0)</f>
        <v>cashloan</v>
      </c>
      <c r="I14825" s="549">
        <v>0</v>
      </c>
    </row>
    <row r="14826" spans="1:9" x14ac:dyDescent="0.2">
      <c r="A14826" s="134">
        <v>46133</v>
      </c>
      <c r="B14826" s="549">
        <f>YEAR(source[[#This Row],[report_date]])</f>
        <v>2026</v>
      </c>
      <c r="C14826" s="128">
        <f t="shared" si="697"/>
        <v>4</v>
      </c>
      <c r="D14826" s="136">
        <f t="shared" si="698"/>
        <v>17</v>
      </c>
      <c r="E14826" s="136">
        <f t="shared" si="699"/>
        <v>21</v>
      </c>
      <c r="F14826" s="128" t="s">
        <v>24</v>
      </c>
      <c r="G14826" s="128" t="str">
        <f>VLOOKUP(source[[#This Row],[lending_product_transform]],[3]Mapping!$B$4:$C$37,2,0)</f>
        <v>[Cake] - Cashloan</v>
      </c>
      <c r="H14826" s="128" t="str">
        <f>VLOOKUP(source[[#This Row],[lending_product_transform]],[3]Mapping!$B$3:$D$37,3,0)</f>
        <v>cashloan</v>
      </c>
      <c r="I14826" s="549">
        <v>0</v>
      </c>
    </row>
    <row r="14827" spans="1:9" x14ac:dyDescent="0.2">
      <c r="A14827" s="134">
        <v>46133</v>
      </c>
      <c r="B14827" s="549">
        <f>YEAR(source[[#This Row],[report_date]])</f>
        <v>2026</v>
      </c>
      <c r="C14827" s="128">
        <f t="shared" si="697"/>
        <v>4</v>
      </c>
      <c r="D14827" s="136">
        <f t="shared" si="698"/>
        <v>17</v>
      </c>
      <c r="E14827" s="136">
        <f t="shared" si="699"/>
        <v>21</v>
      </c>
      <c r="F14827" s="128" t="s">
        <v>24</v>
      </c>
      <c r="G14827" s="128" t="str">
        <f>VLOOKUP(source[[#This Row],[lending_product_transform]],[3]Mapping!$B$4:$C$37,2,0)</f>
        <v>[Cake] - Cashloan</v>
      </c>
      <c r="H14827" s="128" t="str">
        <f>VLOOKUP(source[[#This Row],[lending_product_transform]],[3]Mapping!$B$3:$D$37,3,0)</f>
        <v>cashloan</v>
      </c>
      <c r="I14827" s="549">
        <v>0</v>
      </c>
    </row>
    <row r="14828" spans="1:9" x14ac:dyDescent="0.2">
      <c r="A14828" s="134">
        <v>46133</v>
      </c>
      <c r="B14828" s="549">
        <f>YEAR(source[[#This Row],[report_date]])</f>
        <v>2026</v>
      </c>
      <c r="C14828" s="128">
        <f t="shared" si="697"/>
        <v>4</v>
      </c>
      <c r="D14828" s="136">
        <f t="shared" si="698"/>
        <v>17</v>
      </c>
      <c r="E14828" s="136">
        <f t="shared" si="699"/>
        <v>21</v>
      </c>
      <c r="F14828" s="128" t="s">
        <v>24</v>
      </c>
      <c r="G14828" s="128" t="str">
        <f>VLOOKUP(source[[#This Row],[lending_product_transform]],[3]Mapping!$B$4:$C$37,2,0)</f>
        <v>[Cake] - Cashloan</v>
      </c>
      <c r="H14828" s="128" t="str">
        <f>VLOOKUP(source[[#This Row],[lending_product_transform]],[3]Mapping!$B$3:$D$37,3,0)</f>
        <v>cashloan</v>
      </c>
      <c r="I14828" s="549">
        <v>10527732000</v>
      </c>
    </row>
    <row r="14829" spans="1:9" x14ac:dyDescent="0.2">
      <c r="A14829" s="134">
        <v>46133</v>
      </c>
      <c r="B14829" s="549">
        <f>YEAR(source[[#This Row],[report_date]])</f>
        <v>2026</v>
      </c>
      <c r="C14829" s="128">
        <f t="shared" si="697"/>
        <v>4</v>
      </c>
      <c r="D14829" s="136">
        <f t="shared" si="698"/>
        <v>17</v>
      </c>
      <c r="E14829" s="136">
        <f t="shared" si="699"/>
        <v>21</v>
      </c>
      <c r="F14829" s="128" t="s">
        <v>24</v>
      </c>
      <c r="G14829" s="128" t="str">
        <f>VLOOKUP(source[[#This Row],[lending_product_transform]],[3]Mapping!$B$4:$C$37,2,0)</f>
        <v>[Cake] - Cashloan</v>
      </c>
      <c r="H14829" s="128" t="str">
        <f>VLOOKUP(source[[#This Row],[lending_product_transform]],[3]Mapping!$B$3:$D$37,3,0)</f>
        <v>cashloan</v>
      </c>
      <c r="I14829" s="549">
        <v>179683952</v>
      </c>
    </row>
    <row r="14830" spans="1:9" x14ac:dyDescent="0.2">
      <c r="A14830" s="134">
        <v>46133</v>
      </c>
      <c r="B14830" s="549">
        <f>YEAR(source[[#This Row],[report_date]])</f>
        <v>2026</v>
      </c>
      <c r="C14830" s="128">
        <f t="shared" si="697"/>
        <v>4</v>
      </c>
      <c r="D14830" s="136">
        <f t="shared" si="698"/>
        <v>17</v>
      </c>
      <c r="E14830" s="136">
        <f t="shared" si="699"/>
        <v>21</v>
      </c>
      <c r="F14830" s="128" t="s">
        <v>24</v>
      </c>
      <c r="G14830" s="128" t="str">
        <f>VLOOKUP(source[[#This Row],[lending_product_transform]],[3]Mapping!$B$4:$C$37,2,0)</f>
        <v>[Cake] - Cashloan</v>
      </c>
      <c r="H14830" s="128" t="str">
        <f>VLOOKUP(source[[#This Row],[lending_product_transform]],[3]Mapping!$B$3:$D$37,3,0)</f>
        <v>cashloan</v>
      </c>
      <c r="I14830" s="549">
        <v>10500000</v>
      </c>
    </row>
    <row r="14831" spans="1:9" x14ac:dyDescent="0.2">
      <c r="A14831" s="134">
        <v>46133</v>
      </c>
      <c r="B14831" s="549">
        <f>YEAR(source[[#This Row],[report_date]])</f>
        <v>2026</v>
      </c>
      <c r="C14831" s="128">
        <f t="shared" si="697"/>
        <v>4</v>
      </c>
      <c r="D14831" s="136">
        <f t="shared" si="698"/>
        <v>17</v>
      </c>
      <c r="E14831" s="136">
        <f t="shared" si="699"/>
        <v>21</v>
      </c>
      <c r="F14831" s="128" t="s">
        <v>24</v>
      </c>
      <c r="G14831" s="128" t="str">
        <f>VLOOKUP(source[[#This Row],[lending_product_transform]],[3]Mapping!$B$4:$C$37,2,0)</f>
        <v>[Cake] - Cashloan</v>
      </c>
      <c r="H14831" s="128" t="str">
        <f>VLOOKUP(source[[#This Row],[lending_product_transform]],[3]Mapping!$B$3:$D$37,3,0)</f>
        <v>cashloan</v>
      </c>
      <c r="I14831" s="549">
        <v>65000000</v>
      </c>
    </row>
    <row r="14832" spans="1:9" x14ac:dyDescent="0.2">
      <c r="A14832" s="134">
        <v>46133</v>
      </c>
      <c r="B14832" s="549">
        <f>YEAR(source[[#This Row],[report_date]])</f>
        <v>2026</v>
      </c>
      <c r="C14832" s="128">
        <f t="shared" si="697"/>
        <v>4</v>
      </c>
      <c r="D14832" s="136">
        <f t="shared" si="698"/>
        <v>17</v>
      </c>
      <c r="E14832" s="136">
        <f t="shared" si="699"/>
        <v>21</v>
      </c>
      <c r="F14832" s="128" t="s">
        <v>24</v>
      </c>
      <c r="G14832" s="128" t="str">
        <f>VLOOKUP(source[[#This Row],[lending_product_transform]],[3]Mapping!$B$4:$C$37,2,0)</f>
        <v>[Cake] - Cashloan</v>
      </c>
      <c r="H14832" s="128" t="str">
        <f>VLOOKUP(source[[#This Row],[lending_product_transform]],[3]Mapping!$B$3:$D$37,3,0)</f>
        <v>cashloan</v>
      </c>
      <c r="I14832" s="549">
        <v>869660000</v>
      </c>
    </row>
    <row r="14833" spans="1:9" x14ac:dyDescent="0.2">
      <c r="A14833" s="134">
        <v>46133</v>
      </c>
      <c r="B14833" s="549">
        <f>YEAR(source[[#This Row],[report_date]])</f>
        <v>2026</v>
      </c>
      <c r="C14833" s="128">
        <f t="shared" si="697"/>
        <v>4</v>
      </c>
      <c r="D14833" s="136">
        <f t="shared" si="698"/>
        <v>17</v>
      </c>
      <c r="E14833" s="136">
        <f t="shared" si="699"/>
        <v>21</v>
      </c>
      <c r="F14833" s="128" t="s">
        <v>24</v>
      </c>
      <c r="G14833" s="128" t="str">
        <f>VLOOKUP(source[[#This Row],[lending_product_transform]],[3]Mapping!$B$4:$C$37,2,0)</f>
        <v>[Cake] - Cashloan</v>
      </c>
      <c r="H14833" s="128" t="str">
        <f>VLOOKUP(source[[#This Row],[lending_product_transform]],[3]Mapping!$B$3:$D$37,3,0)</f>
        <v>cashloan</v>
      </c>
      <c r="I14833" s="549">
        <v>332316000</v>
      </c>
    </row>
    <row r="14834" spans="1:9" x14ac:dyDescent="0.2">
      <c r="A14834" s="134">
        <v>46133</v>
      </c>
      <c r="B14834" s="549">
        <f>YEAR(source[[#This Row],[report_date]])</f>
        <v>2026</v>
      </c>
      <c r="C14834" s="128">
        <f t="shared" si="697"/>
        <v>4</v>
      </c>
      <c r="D14834" s="136">
        <f t="shared" si="698"/>
        <v>17</v>
      </c>
      <c r="E14834" s="136">
        <f t="shared" si="699"/>
        <v>21</v>
      </c>
      <c r="F14834" s="128" t="s">
        <v>24</v>
      </c>
      <c r="G14834" s="128" t="str">
        <f>VLOOKUP(source[[#This Row],[lending_product_transform]],[3]Mapping!$B$4:$C$37,2,0)</f>
        <v>[Cake] - Cashloan</v>
      </c>
      <c r="H14834" s="128" t="str">
        <f>VLOOKUP(source[[#This Row],[lending_product_transform]],[3]Mapping!$B$3:$D$37,3,0)</f>
        <v>cashloan</v>
      </c>
      <c r="I14834" s="549">
        <v>303930939</v>
      </c>
    </row>
    <row r="14835" spans="1:9" x14ac:dyDescent="0.2">
      <c r="A14835" s="134">
        <v>46133</v>
      </c>
      <c r="B14835" s="549">
        <f>YEAR(source[[#This Row],[report_date]])</f>
        <v>2026</v>
      </c>
      <c r="C14835" s="128">
        <f t="shared" si="697"/>
        <v>4</v>
      </c>
      <c r="D14835" s="136">
        <f t="shared" si="698"/>
        <v>17</v>
      </c>
      <c r="E14835" s="136">
        <f t="shared" si="699"/>
        <v>21</v>
      </c>
      <c r="F14835" s="128" t="s">
        <v>24</v>
      </c>
      <c r="G14835" s="128" t="str">
        <f>VLOOKUP(source[[#This Row],[lending_product_transform]],[3]Mapping!$B$4:$C$37,2,0)</f>
        <v>[Cake] - Cashloan</v>
      </c>
      <c r="H14835" s="128" t="str">
        <f>VLOOKUP(source[[#This Row],[lending_product_transform]],[3]Mapping!$B$3:$D$37,3,0)</f>
        <v>cashloan</v>
      </c>
      <c r="I14835" s="549">
        <v>4818270000</v>
      </c>
    </row>
    <row r="14836" spans="1:9" x14ac:dyDescent="0.2">
      <c r="A14836" s="134">
        <v>46133</v>
      </c>
      <c r="B14836" s="549">
        <f>YEAR(source[[#This Row],[report_date]])</f>
        <v>2026</v>
      </c>
      <c r="C14836" s="128">
        <f t="shared" si="697"/>
        <v>4</v>
      </c>
      <c r="D14836" s="136">
        <f t="shared" si="698"/>
        <v>17</v>
      </c>
      <c r="E14836" s="136">
        <f t="shared" si="699"/>
        <v>21</v>
      </c>
      <c r="F14836" s="128" t="s">
        <v>24</v>
      </c>
      <c r="G14836" s="128" t="str">
        <f>VLOOKUP(source[[#This Row],[lending_product_transform]],[3]Mapping!$B$4:$C$37,2,0)</f>
        <v>[Cake] - Cashloan</v>
      </c>
      <c r="H14836" s="128" t="str">
        <f>VLOOKUP(source[[#This Row],[lending_product_transform]],[3]Mapping!$B$3:$D$37,3,0)</f>
        <v>cashloan</v>
      </c>
      <c r="I14836" s="549">
        <v>0</v>
      </c>
    </row>
    <row r="14837" spans="1:9" x14ac:dyDescent="0.2">
      <c r="A14837" s="134">
        <v>46134</v>
      </c>
      <c r="B14837" s="549">
        <f>YEAR(source[[#This Row],[report_date]])</f>
        <v>2026</v>
      </c>
      <c r="C14837" s="128">
        <f t="shared" si="697"/>
        <v>4</v>
      </c>
      <c r="D14837" s="136">
        <f t="shared" si="698"/>
        <v>17</v>
      </c>
      <c r="E14837" s="136">
        <f t="shared" si="699"/>
        <v>22</v>
      </c>
      <c r="F14837" s="128" t="s">
        <v>24</v>
      </c>
      <c r="G14837" s="128" t="str">
        <f>VLOOKUP(source[[#This Row],[lending_product_transform]],[3]Mapping!$B$4:$C$37,2,0)</f>
        <v>[Cake] - Cashloan</v>
      </c>
      <c r="H14837" s="128" t="str">
        <f>VLOOKUP(source[[#This Row],[lending_product_transform]],[3]Mapping!$B$3:$D$37,3,0)</f>
        <v>cashloan</v>
      </c>
      <c r="I14837" s="549">
        <v>243180000</v>
      </c>
    </row>
    <row r="14838" spans="1:9" x14ac:dyDescent="0.2">
      <c r="A14838" s="134">
        <v>46134</v>
      </c>
      <c r="B14838" s="549">
        <f>YEAR(source[[#This Row],[report_date]])</f>
        <v>2026</v>
      </c>
      <c r="C14838" s="128">
        <f t="shared" si="697"/>
        <v>4</v>
      </c>
      <c r="D14838" s="136">
        <f t="shared" si="698"/>
        <v>17</v>
      </c>
      <c r="E14838" s="136">
        <f t="shared" si="699"/>
        <v>22</v>
      </c>
      <c r="F14838" s="128" t="s">
        <v>24</v>
      </c>
      <c r="G14838" s="128" t="str">
        <f>VLOOKUP(source[[#This Row],[lending_product_transform]],[3]Mapping!$B$4:$C$37,2,0)</f>
        <v>[Cake] - Cashloan</v>
      </c>
      <c r="H14838" s="128" t="str">
        <f>VLOOKUP(source[[#This Row],[lending_product_transform]],[3]Mapping!$B$3:$D$37,3,0)</f>
        <v>cashloan</v>
      </c>
      <c r="I14838" s="549">
        <v>282811198</v>
      </c>
    </row>
    <row r="14839" spans="1:9" x14ac:dyDescent="0.2">
      <c r="A14839" s="134">
        <v>46134</v>
      </c>
      <c r="B14839" s="549">
        <f>YEAR(source[[#This Row],[report_date]])</f>
        <v>2026</v>
      </c>
      <c r="C14839" s="128">
        <f t="shared" si="697"/>
        <v>4</v>
      </c>
      <c r="D14839" s="136">
        <f t="shared" si="698"/>
        <v>17</v>
      </c>
      <c r="E14839" s="136">
        <f t="shared" si="699"/>
        <v>22</v>
      </c>
      <c r="F14839" s="128" t="s">
        <v>24</v>
      </c>
      <c r="G14839" s="128" t="str">
        <f>VLOOKUP(source[[#This Row],[lending_product_transform]],[3]Mapping!$B$4:$C$37,2,0)</f>
        <v>[Cake] - Cashloan</v>
      </c>
      <c r="H14839" s="128" t="str">
        <f>VLOOKUP(source[[#This Row],[lending_product_transform]],[3]Mapping!$B$3:$D$37,3,0)</f>
        <v>cashloan</v>
      </c>
      <c r="I14839" s="549">
        <v>13039630000</v>
      </c>
    </row>
    <row r="14840" spans="1:9" x14ac:dyDescent="0.2">
      <c r="A14840" s="134">
        <v>46134</v>
      </c>
      <c r="B14840" s="549">
        <f>YEAR(source[[#This Row],[report_date]])</f>
        <v>2026</v>
      </c>
      <c r="C14840" s="128">
        <f t="shared" si="697"/>
        <v>4</v>
      </c>
      <c r="D14840" s="136">
        <f t="shared" si="698"/>
        <v>17</v>
      </c>
      <c r="E14840" s="136">
        <f t="shared" si="699"/>
        <v>22</v>
      </c>
      <c r="F14840" s="128" t="s">
        <v>24</v>
      </c>
      <c r="G14840" s="128" t="str">
        <f>VLOOKUP(source[[#This Row],[lending_product_transform]],[3]Mapping!$B$4:$C$37,2,0)</f>
        <v>[Cake] - Cashloan</v>
      </c>
      <c r="H14840" s="128" t="str">
        <f>VLOOKUP(source[[#This Row],[lending_product_transform]],[3]Mapping!$B$3:$D$37,3,0)</f>
        <v>cashloan</v>
      </c>
      <c r="I14840" s="549">
        <v>1483311980</v>
      </c>
    </row>
    <row r="14841" spans="1:9" x14ac:dyDescent="0.2">
      <c r="A14841" s="134">
        <v>46134</v>
      </c>
      <c r="B14841" s="549">
        <f>YEAR(source[[#This Row],[report_date]])</f>
        <v>2026</v>
      </c>
      <c r="C14841" s="128">
        <f t="shared" si="697"/>
        <v>4</v>
      </c>
      <c r="D14841" s="136">
        <f t="shared" si="698"/>
        <v>17</v>
      </c>
      <c r="E14841" s="136">
        <f t="shared" si="699"/>
        <v>22</v>
      </c>
      <c r="F14841" s="128" t="s">
        <v>24</v>
      </c>
      <c r="G14841" s="128" t="str">
        <f>VLOOKUP(source[[#This Row],[lending_product_transform]],[3]Mapping!$B$4:$C$37,2,0)</f>
        <v>[Cake] - Cashloan</v>
      </c>
      <c r="H14841" s="128" t="str">
        <f>VLOOKUP(source[[#This Row],[lending_product_transform]],[3]Mapping!$B$3:$D$37,3,0)</f>
        <v>cashloan</v>
      </c>
      <c r="I14841" s="549">
        <v>13454964000</v>
      </c>
    </row>
    <row r="14842" spans="1:9" x14ac:dyDescent="0.2">
      <c r="A14842" s="134">
        <v>46134</v>
      </c>
      <c r="B14842" s="549">
        <f>YEAR(source[[#This Row],[report_date]])</f>
        <v>2026</v>
      </c>
      <c r="C14842" s="128">
        <f t="shared" si="697"/>
        <v>4</v>
      </c>
      <c r="D14842" s="136">
        <f t="shared" si="698"/>
        <v>17</v>
      </c>
      <c r="E14842" s="136">
        <f t="shared" si="699"/>
        <v>22</v>
      </c>
      <c r="F14842" s="128" t="s">
        <v>24</v>
      </c>
      <c r="G14842" s="128" t="str">
        <f>VLOOKUP(source[[#This Row],[lending_product_transform]],[3]Mapping!$B$4:$C$37,2,0)</f>
        <v>[Cake] - Cashloan</v>
      </c>
      <c r="H14842" s="128" t="str">
        <f>VLOOKUP(source[[#This Row],[lending_product_transform]],[3]Mapping!$B$3:$D$37,3,0)</f>
        <v>cashloan</v>
      </c>
      <c r="I14842" s="549">
        <v>0</v>
      </c>
    </row>
    <row r="14843" spans="1:9" x14ac:dyDescent="0.2">
      <c r="A14843" s="134">
        <v>46134</v>
      </c>
      <c r="B14843" s="549">
        <f>YEAR(source[[#This Row],[report_date]])</f>
        <v>2026</v>
      </c>
      <c r="C14843" s="128">
        <f t="shared" si="697"/>
        <v>4</v>
      </c>
      <c r="D14843" s="136">
        <f t="shared" si="698"/>
        <v>17</v>
      </c>
      <c r="E14843" s="136">
        <f t="shared" si="699"/>
        <v>22</v>
      </c>
      <c r="F14843" s="128" t="s">
        <v>24</v>
      </c>
      <c r="G14843" s="128" t="str">
        <f>VLOOKUP(source[[#This Row],[lending_product_transform]],[3]Mapping!$B$4:$C$37,2,0)</f>
        <v>[Cake] - Cashloan</v>
      </c>
      <c r="H14843" s="128" t="str">
        <f>VLOOKUP(source[[#This Row],[lending_product_transform]],[3]Mapping!$B$3:$D$37,3,0)</f>
        <v>cashloan</v>
      </c>
      <c r="I14843" s="549">
        <v>0</v>
      </c>
    </row>
    <row r="14844" spans="1:9" x14ac:dyDescent="0.2">
      <c r="A14844" s="134">
        <v>46134</v>
      </c>
      <c r="B14844" s="549">
        <f>YEAR(source[[#This Row],[report_date]])</f>
        <v>2026</v>
      </c>
      <c r="C14844" s="128">
        <f t="shared" si="697"/>
        <v>4</v>
      </c>
      <c r="D14844" s="136">
        <f t="shared" si="698"/>
        <v>17</v>
      </c>
      <c r="E14844" s="136">
        <f t="shared" si="699"/>
        <v>22</v>
      </c>
      <c r="F14844" s="128" t="s">
        <v>24</v>
      </c>
      <c r="G14844" s="128" t="str">
        <f>VLOOKUP(source[[#This Row],[lending_product_transform]],[3]Mapping!$B$4:$C$37,2,0)</f>
        <v>[Cake] - Cashloan</v>
      </c>
      <c r="H14844" s="128" t="str">
        <f>VLOOKUP(source[[#This Row],[lending_product_transform]],[3]Mapping!$B$3:$D$37,3,0)</f>
        <v>cashloan</v>
      </c>
      <c r="I14844" s="549">
        <v>2311780000</v>
      </c>
    </row>
    <row r="14845" spans="1:9" x14ac:dyDescent="0.2">
      <c r="A14845" s="134">
        <v>46134</v>
      </c>
      <c r="B14845" s="549">
        <f>YEAR(source[[#This Row],[report_date]])</f>
        <v>2026</v>
      </c>
      <c r="C14845" s="128">
        <f t="shared" ref="C14845:C14864" si="700">MONTH(A14845)</f>
        <v>4</v>
      </c>
      <c r="D14845" s="136">
        <f t="shared" ref="D14845:D14864" si="701">WEEKNUM(A14845,2)</f>
        <v>17</v>
      </c>
      <c r="E14845" s="136">
        <f t="shared" ref="E14845:E14864" si="702">DAY(A14845)</f>
        <v>22</v>
      </c>
      <c r="F14845" s="128" t="s">
        <v>24</v>
      </c>
      <c r="G14845" s="128" t="str">
        <f>VLOOKUP(source[[#This Row],[lending_product_transform]],[3]Mapping!$B$4:$C$37,2,0)</f>
        <v>[Cake] - Cashloan</v>
      </c>
      <c r="H14845" s="128" t="str">
        <f>VLOOKUP(source[[#This Row],[lending_product_transform]],[3]Mapping!$B$3:$D$37,3,0)</f>
        <v>cashloan</v>
      </c>
      <c r="I14845" s="549">
        <v>994270000</v>
      </c>
    </row>
    <row r="14846" spans="1:9" x14ac:dyDescent="0.2">
      <c r="A14846" s="134">
        <v>46134</v>
      </c>
      <c r="B14846" s="549">
        <f>YEAR(source[[#This Row],[report_date]])</f>
        <v>2026</v>
      </c>
      <c r="C14846" s="128">
        <f t="shared" si="700"/>
        <v>4</v>
      </c>
      <c r="D14846" s="136">
        <f t="shared" si="701"/>
        <v>17</v>
      </c>
      <c r="E14846" s="136">
        <f t="shared" si="702"/>
        <v>22</v>
      </c>
      <c r="F14846" s="128" t="s">
        <v>24</v>
      </c>
      <c r="G14846" s="128" t="str">
        <f>VLOOKUP(source[[#This Row],[lending_product_transform]],[3]Mapping!$B$4:$C$37,2,0)</f>
        <v>[Cake] - Cashloan</v>
      </c>
      <c r="H14846" s="128" t="str">
        <f>VLOOKUP(source[[#This Row],[lending_product_transform]],[3]Mapping!$B$3:$D$37,3,0)</f>
        <v>cashloan</v>
      </c>
      <c r="I14846" s="549">
        <v>5289000</v>
      </c>
    </row>
    <row r="14847" spans="1:9" x14ac:dyDescent="0.2">
      <c r="A14847" s="134">
        <v>46134</v>
      </c>
      <c r="B14847" s="549">
        <f>YEAR(source[[#This Row],[report_date]])</f>
        <v>2026</v>
      </c>
      <c r="C14847" s="128">
        <f t="shared" si="700"/>
        <v>4</v>
      </c>
      <c r="D14847" s="136">
        <f t="shared" si="701"/>
        <v>17</v>
      </c>
      <c r="E14847" s="136">
        <f t="shared" si="702"/>
        <v>22</v>
      </c>
      <c r="F14847" s="128" t="s">
        <v>24</v>
      </c>
      <c r="G14847" s="128" t="str">
        <f>VLOOKUP(source[[#This Row],[lending_product_transform]],[3]Mapping!$B$4:$C$37,2,0)</f>
        <v>[Cake] - Cashloan</v>
      </c>
      <c r="H14847" s="128" t="str">
        <f>VLOOKUP(source[[#This Row],[lending_product_transform]],[3]Mapping!$B$3:$D$37,3,0)</f>
        <v>cashloan</v>
      </c>
      <c r="I14847" s="549">
        <v>873223574</v>
      </c>
    </row>
    <row r="14848" spans="1:9" x14ac:dyDescent="0.2">
      <c r="A14848" s="134">
        <v>46134</v>
      </c>
      <c r="B14848" s="549">
        <f>YEAR(source[[#This Row],[report_date]])</f>
        <v>2026</v>
      </c>
      <c r="C14848" s="128">
        <f t="shared" si="700"/>
        <v>4</v>
      </c>
      <c r="D14848" s="136">
        <f t="shared" si="701"/>
        <v>17</v>
      </c>
      <c r="E14848" s="136">
        <f t="shared" si="702"/>
        <v>22</v>
      </c>
      <c r="F14848" s="128" t="s">
        <v>24</v>
      </c>
      <c r="G14848" s="128" t="str">
        <f>VLOOKUP(source[[#This Row],[lending_product_transform]],[3]Mapping!$B$4:$C$37,2,0)</f>
        <v>[Cake] - Cashloan</v>
      </c>
      <c r="H14848" s="128" t="str">
        <f>VLOOKUP(source[[#This Row],[lending_product_transform]],[3]Mapping!$B$3:$D$37,3,0)</f>
        <v>cashloan</v>
      </c>
      <c r="I14848" s="549">
        <v>0</v>
      </c>
    </row>
    <row r="14849" spans="1:9" x14ac:dyDescent="0.2">
      <c r="A14849" s="134">
        <v>46134</v>
      </c>
      <c r="B14849" s="549">
        <f>YEAR(source[[#This Row],[report_date]])</f>
        <v>2026</v>
      </c>
      <c r="C14849" s="128">
        <f t="shared" si="700"/>
        <v>4</v>
      </c>
      <c r="D14849" s="136">
        <f t="shared" si="701"/>
        <v>17</v>
      </c>
      <c r="E14849" s="136">
        <f t="shared" si="702"/>
        <v>22</v>
      </c>
      <c r="F14849" s="128" t="s">
        <v>24</v>
      </c>
      <c r="G14849" s="128" t="str">
        <f>VLOOKUP(source[[#This Row],[lending_product_transform]],[3]Mapping!$B$4:$C$37,2,0)</f>
        <v>[Cake] - Cashloan</v>
      </c>
      <c r="H14849" s="128" t="str">
        <f>VLOOKUP(source[[#This Row],[lending_product_transform]],[3]Mapping!$B$3:$D$37,3,0)</f>
        <v>cashloan</v>
      </c>
      <c r="I14849" s="549">
        <v>15000000</v>
      </c>
    </row>
    <row r="14850" spans="1:9" x14ac:dyDescent="0.2">
      <c r="A14850" s="134">
        <v>46134</v>
      </c>
      <c r="B14850" s="549">
        <f>YEAR(source[[#This Row],[report_date]])</f>
        <v>2026</v>
      </c>
      <c r="C14850" s="128">
        <f t="shared" si="700"/>
        <v>4</v>
      </c>
      <c r="D14850" s="136">
        <f t="shared" si="701"/>
        <v>17</v>
      </c>
      <c r="E14850" s="136">
        <f t="shared" si="702"/>
        <v>22</v>
      </c>
      <c r="F14850" s="128" t="s">
        <v>24</v>
      </c>
      <c r="G14850" s="128" t="str">
        <f>VLOOKUP(source[[#This Row],[lending_product_transform]],[3]Mapping!$B$4:$C$37,2,0)</f>
        <v>[Cake] - Cashloan</v>
      </c>
      <c r="H14850" s="128" t="str">
        <f>VLOOKUP(source[[#This Row],[lending_product_transform]],[3]Mapping!$B$3:$D$37,3,0)</f>
        <v>cashloan</v>
      </c>
      <c r="I14850" s="549">
        <v>0</v>
      </c>
    </row>
    <row r="14851" spans="1:9" x14ac:dyDescent="0.2">
      <c r="A14851" s="134">
        <v>46134</v>
      </c>
      <c r="B14851" s="549">
        <f>YEAR(source[[#This Row],[report_date]])</f>
        <v>2026</v>
      </c>
      <c r="C14851" s="128">
        <f t="shared" si="700"/>
        <v>4</v>
      </c>
      <c r="D14851" s="136">
        <f t="shared" si="701"/>
        <v>17</v>
      </c>
      <c r="E14851" s="136">
        <f t="shared" si="702"/>
        <v>22</v>
      </c>
      <c r="F14851" s="128" t="s">
        <v>24</v>
      </c>
      <c r="G14851" s="128" t="str">
        <f>VLOOKUP(source[[#This Row],[lending_product_transform]],[3]Mapping!$B$4:$C$37,2,0)</f>
        <v>[Cake] - Cashloan</v>
      </c>
      <c r="H14851" s="128" t="str">
        <f>VLOOKUP(source[[#This Row],[lending_product_transform]],[3]Mapping!$B$3:$D$37,3,0)</f>
        <v>cashloan</v>
      </c>
      <c r="I14851" s="549">
        <v>13777860000</v>
      </c>
    </row>
    <row r="14852" spans="1:9" x14ac:dyDescent="0.2">
      <c r="A14852" s="134">
        <v>46134</v>
      </c>
      <c r="B14852" s="549">
        <f>YEAR(source[[#This Row],[report_date]])</f>
        <v>2026</v>
      </c>
      <c r="C14852" s="128">
        <f t="shared" si="700"/>
        <v>4</v>
      </c>
      <c r="D14852" s="136">
        <f t="shared" si="701"/>
        <v>17</v>
      </c>
      <c r="E14852" s="136">
        <f t="shared" si="702"/>
        <v>22</v>
      </c>
      <c r="F14852" s="128" t="s">
        <v>24</v>
      </c>
      <c r="G14852" s="128" t="str">
        <f>VLOOKUP(source[[#This Row],[lending_product_transform]],[3]Mapping!$B$4:$C$37,2,0)</f>
        <v>[Cake] - Cashloan</v>
      </c>
      <c r="H14852" s="128" t="str">
        <f>VLOOKUP(source[[#This Row],[lending_product_transform]],[3]Mapping!$B$3:$D$37,3,0)</f>
        <v>cashloan</v>
      </c>
      <c r="I14852" s="549">
        <v>0</v>
      </c>
    </row>
    <row r="14853" spans="1:9" x14ac:dyDescent="0.2">
      <c r="A14853" s="134">
        <v>46134</v>
      </c>
      <c r="B14853" s="549">
        <f>YEAR(source[[#This Row],[report_date]])</f>
        <v>2026</v>
      </c>
      <c r="C14853" s="128">
        <f t="shared" si="700"/>
        <v>4</v>
      </c>
      <c r="D14853" s="136">
        <f t="shared" si="701"/>
        <v>17</v>
      </c>
      <c r="E14853" s="136">
        <f t="shared" si="702"/>
        <v>22</v>
      </c>
      <c r="F14853" s="128" t="s">
        <v>24</v>
      </c>
      <c r="G14853" s="128" t="str">
        <f>VLOOKUP(source[[#This Row],[lending_product_transform]],[3]Mapping!$B$4:$C$37,2,0)</f>
        <v>[Cake] - Cashloan</v>
      </c>
      <c r="H14853" s="128" t="str">
        <f>VLOOKUP(source[[#This Row],[lending_product_transform]],[3]Mapping!$B$3:$D$37,3,0)</f>
        <v>cashloan</v>
      </c>
      <c r="I14853" s="549">
        <v>0</v>
      </c>
    </row>
    <row r="14854" spans="1:9" x14ac:dyDescent="0.2">
      <c r="A14854" s="134">
        <v>46134</v>
      </c>
      <c r="B14854" s="549">
        <f>YEAR(source[[#This Row],[report_date]])</f>
        <v>2026</v>
      </c>
      <c r="C14854" s="128">
        <f t="shared" si="700"/>
        <v>4</v>
      </c>
      <c r="D14854" s="136">
        <f t="shared" si="701"/>
        <v>17</v>
      </c>
      <c r="E14854" s="136">
        <f t="shared" si="702"/>
        <v>22</v>
      </c>
      <c r="F14854" s="128" t="s">
        <v>24</v>
      </c>
      <c r="G14854" s="128" t="str">
        <f>VLOOKUP(source[[#This Row],[lending_product_transform]],[3]Mapping!$B$4:$C$37,2,0)</f>
        <v>[Cake] - Cashloan</v>
      </c>
      <c r="H14854" s="128" t="str">
        <f>VLOOKUP(source[[#This Row],[lending_product_transform]],[3]Mapping!$B$3:$D$37,3,0)</f>
        <v>cashloan</v>
      </c>
      <c r="I14854" s="549">
        <v>0</v>
      </c>
    </row>
    <row r="14855" spans="1:9" x14ac:dyDescent="0.2">
      <c r="A14855" s="134">
        <v>46134</v>
      </c>
      <c r="B14855" s="549">
        <f>YEAR(source[[#This Row],[report_date]])</f>
        <v>2026</v>
      </c>
      <c r="C14855" s="128">
        <f t="shared" si="700"/>
        <v>4</v>
      </c>
      <c r="D14855" s="136">
        <f t="shared" si="701"/>
        <v>17</v>
      </c>
      <c r="E14855" s="136">
        <f t="shared" si="702"/>
        <v>22</v>
      </c>
      <c r="F14855" s="128" t="s">
        <v>24</v>
      </c>
      <c r="G14855" s="128" t="str">
        <f>VLOOKUP(source[[#This Row],[lending_product_transform]],[3]Mapping!$B$4:$C$37,2,0)</f>
        <v>[Cake] - Cashloan</v>
      </c>
      <c r="H14855" s="128" t="str">
        <f>VLOOKUP(source[[#This Row],[lending_product_transform]],[3]Mapping!$B$3:$D$37,3,0)</f>
        <v>cashloan</v>
      </c>
      <c r="I14855" s="549">
        <v>0</v>
      </c>
    </row>
    <row r="14856" spans="1:9" x14ac:dyDescent="0.2">
      <c r="A14856" s="134">
        <v>46134</v>
      </c>
      <c r="B14856" s="549">
        <f>YEAR(source[[#This Row],[report_date]])</f>
        <v>2026</v>
      </c>
      <c r="C14856" s="128">
        <f t="shared" si="700"/>
        <v>4</v>
      </c>
      <c r="D14856" s="136">
        <f t="shared" si="701"/>
        <v>17</v>
      </c>
      <c r="E14856" s="136">
        <f t="shared" si="702"/>
        <v>22</v>
      </c>
      <c r="F14856" s="128" t="s">
        <v>24</v>
      </c>
      <c r="G14856" s="128" t="str">
        <f>VLOOKUP(source[[#This Row],[lending_product_transform]],[3]Mapping!$B$4:$C$37,2,0)</f>
        <v>[Cake] - Cashloan</v>
      </c>
      <c r="H14856" s="128" t="str">
        <f>VLOOKUP(source[[#This Row],[lending_product_transform]],[3]Mapping!$B$3:$D$37,3,0)</f>
        <v>cashloan</v>
      </c>
      <c r="I14856" s="549">
        <v>10224036000</v>
      </c>
    </row>
    <row r="14857" spans="1:9" x14ac:dyDescent="0.2">
      <c r="A14857" s="134">
        <v>46134</v>
      </c>
      <c r="B14857" s="549">
        <f>YEAR(source[[#This Row],[report_date]])</f>
        <v>2026</v>
      </c>
      <c r="C14857" s="128">
        <f t="shared" si="700"/>
        <v>4</v>
      </c>
      <c r="D14857" s="136">
        <f t="shared" si="701"/>
        <v>17</v>
      </c>
      <c r="E14857" s="136">
        <f t="shared" si="702"/>
        <v>22</v>
      </c>
      <c r="F14857" s="128" t="s">
        <v>24</v>
      </c>
      <c r="G14857" s="128" t="str">
        <f>VLOOKUP(source[[#This Row],[lending_product_transform]],[3]Mapping!$B$4:$C$37,2,0)</f>
        <v>[Cake] - Cashloan</v>
      </c>
      <c r="H14857" s="128" t="str">
        <f>VLOOKUP(source[[#This Row],[lending_product_transform]],[3]Mapping!$B$3:$D$37,3,0)</f>
        <v>cashloan</v>
      </c>
      <c r="I14857" s="549">
        <v>116695203</v>
      </c>
    </row>
    <row r="14858" spans="1:9" x14ac:dyDescent="0.2">
      <c r="A14858" s="134">
        <v>46134</v>
      </c>
      <c r="B14858" s="549">
        <f>YEAR(source[[#This Row],[report_date]])</f>
        <v>2026</v>
      </c>
      <c r="C14858" s="128">
        <f t="shared" si="700"/>
        <v>4</v>
      </c>
      <c r="D14858" s="136">
        <f t="shared" si="701"/>
        <v>17</v>
      </c>
      <c r="E14858" s="136">
        <f t="shared" si="702"/>
        <v>22</v>
      </c>
      <c r="F14858" s="128" t="s">
        <v>24</v>
      </c>
      <c r="G14858" s="128" t="str">
        <f>VLOOKUP(source[[#This Row],[lending_product_transform]],[3]Mapping!$B$4:$C$37,2,0)</f>
        <v>[Cake] - Cashloan</v>
      </c>
      <c r="H14858" s="128" t="str">
        <f>VLOOKUP(source[[#This Row],[lending_product_transform]],[3]Mapping!$B$3:$D$37,3,0)</f>
        <v>cashloan</v>
      </c>
      <c r="I14858" s="549">
        <v>41500000</v>
      </c>
    </row>
    <row r="14859" spans="1:9" x14ac:dyDescent="0.2">
      <c r="A14859" s="134">
        <v>46134</v>
      </c>
      <c r="B14859" s="549">
        <f>YEAR(source[[#This Row],[report_date]])</f>
        <v>2026</v>
      </c>
      <c r="C14859" s="128">
        <f t="shared" si="700"/>
        <v>4</v>
      </c>
      <c r="D14859" s="136">
        <f t="shared" si="701"/>
        <v>17</v>
      </c>
      <c r="E14859" s="136">
        <f t="shared" si="702"/>
        <v>22</v>
      </c>
      <c r="F14859" s="128" t="s">
        <v>24</v>
      </c>
      <c r="G14859" s="128" t="str">
        <f>VLOOKUP(source[[#This Row],[lending_product_transform]],[3]Mapping!$B$4:$C$37,2,0)</f>
        <v>[Cake] - Cashloan</v>
      </c>
      <c r="H14859" s="128" t="str">
        <f>VLOOKUP(source[[#This Row],[lending_product_transform]],[3]Mapping!$B$3:$D$37,3,0)</f>
        <v>cashloan</v>
      </c>
      <c r="I14859" s="549">
        <v>69000000</v>
      </c>
    </row>
    <row r="14860" spans="1:9" x14ac:dyDescent="0.2">
      <c r="A14860" s="134">
        <v>46134</v>
      </c>
      <c r="B14860" s="549">
        <f>YEAR(source[[#This Row],[report_date]])</f>
        <v>2026</v>
      </c>
      <c r="C14860" s="128">
        <f t="shared" si="700"/>
        <v>4</v>
      </c>
      <c r="D14860" s="136">
        <f t="shared" si="701"/>
        <v>17</v>
      </c>
      <c r="E14860" s="136">
        <f t="shared" si="702"/>
        <v>22</v>
      </c>
      <c r="F14860" s="128" t="s">
        <v>24</v>
      </c>
      <c r="G14860" s="128" t="str">
        <f>VLOOKUP(source[[#This Row],[lending_product_transform]],[3]Mapping!$B$4:$C$37,2,0)</f>
        <v>[Cake] - Cashloan</v>
      </c>
      <c r="H14860" s="128" t="str">
        <f>VLOOKUP(source[[#This Row],[lending_product_transform]],[3]Mapping!$B$3:$D$37,3,0)</f>
        <v>cashloan</v>
      </c>
      <c r="I14860" s="549">
        <v>637280000</v>
      </c>
    </row>
    <row r="14861" spans="1:9" x14ac:dyDescent="0.2">
      <c r="A14861" s="134">
        <v>46134</v>
      </c>
      <c r="B14861" s="549">
        <f>YEAR(source[[#This Row],[report_date]])</f>
        <v>2026</v>
      </c>
      <c r="C14861" s="128">
        <f t="shared" si="700"/>
        <v>4</v>
      </c>
      <c r="D14861" s="136">
        <f t="shared" si="701"/>
        <v>17</v>
      </c>
      <c r="E14861" s="136">
        <f t="shared" si="702"/>
        <v>22</v>
      </c>
      <c r="F14861" s="128" t="s">
        <v>24</v>
      </c>
      <c r="G14861" s="128" t="str">
        <f>VLOOKUP(source[[#This Row],[lending_product_transform]],[3]Mapping!$B$4:$C$37,2,0)</f>
        <v>[Cake] - Cashloan</v>
      </c>
      <c r="H14861" s="128" t="str">
        <f>VLOOKUP(source[[#This Row],[lending_product_transform]],[3]Mapping!$B$3:$D$37,3,0)</f>
        <v>cashloan</v>
      </c>
      <c r="I14861" s="549">
        <v>309852000</v>
      </c>
    </row>
    <row r="14862" spans="1:9" x14ac:dyDescent="0.2">
      <c r="A14862" s="134">
        <v>46134</v>
      </c>
      <c r="B14862" s="549">
        <f>YEAR(source[[#This Row],[report_date]])</f>
        <v>2026</v>
      </c>
      <c r="C14862" s="128">
        <f t="shared" si="700"/>
        <v>4</v>
      </c>
      <c r="D14862" s="136">
        <f t="shared" si="701"/>
        <v>17</v>
      </c>
      <c r="E14862" s="136">
        <f t="shared" si="702"/>
        <v>22</v>
      </c>
      <c r="F14862" s="128" t="s">
        <v>24</v>
      </c>
      <c r="G14862" s="128" t="str">
        <f>VLOOKUP(source[[#This Row],[lending_product_transform]],[3]Mapping!$B$4:$C$37,2,0)</f>
        <v>[Cake] - Cashloan</v>
      </c>
      <c r="H14862" s="128" t="str">
        <f>VLOOKUP(source[[#This Row],[lending_product_transform]],[3]Mapping!$B$3:$D$37,3,0)</f>
        <v>cashloan</v>
      </c>
      <c r="I14862" s="549">
        <v>316000074</v>
      </c>
    </row>
    <row r="14863" spans="1:9" x14ac:dyDescent="0.2">
      <c r="A14863" s="134">
        <v>46134</v>
      </c>
      <c r="B14863" s="549">
        <f>YEAR(source[[#This Row],[report_date]])</f>
        <v>2026</v>
      </c>
      <c r="C14863" s="128">
        <f t="shared" si="700"/>
        <v>4</v>
      </c>
      <c r="D14863" s="136">
        <f t="shared" si="701"/>
        <v>17</v>
      </c>
      <c r="E14863" s="136">
        <f t="shared" si="702"/>
        <v>22</v>
      </c>
      <c r="F14863" s="128" t="s">
        <v>24</v>
      </c>
      <c r="G14863" s="128" t="str">
        <f>VLOOKUP(source[[#This Row],[lending_product_transform]],[3]Mapping!$B$4:$C$37,2,0)</f>
        <v>[Cake] - Cashloan</v>
      </c>
      <c r="H14863" s="128" t="str">
        <f>VLOOKUP(source[[#This Row],[lending_product_transform]],[3]Mapping!$B$3:$D$37,3,0)</f>
        <v>cashloan</v>
      </c>
      <c r="I14863" s="549">
        <v>5213060000</v>
      </c>
    </row>
    <row r="14864" spans="1:9" x14ac:dyDescent="0.2">
      <c r="A14864" s="134">
        <v>46134</v>
      </c>
      <c r="B14864" s="549">
        <f>YEAR(source[[#This Row],[report_date]])</f>
        <v>2026</v>
      </c>
      <c r="C14864" s="128">
        <f t="shared" si="700"/>
        <v>4</v>
      </c>
      <c r="D14864" s="136">
        <f t="shared" si="701"/>
        <v>17</v>
      </c>
      <c r="E14864" s="136">
        <f t="shared" si="702"/>
        <v>22</v>
      </c>
      <c r="F14864" s="128" t="s">
        <v>24</v>
      </c>
      <c r="G14864" s="128" t="str">
        <f>VLOOKUP(source[[#This Row],[lending_product_transform]],[3]Mapping!$B$4:$C$37,2,0)</f>
        <v>[Cake] - Cashloan</v>
      </c>
      <c r="H14864" s="128" t="str">
        <f>VLOOKUP(source[[#This Row],[lending_product_transform]],[3]Mapping!$B$3:$D$37,3,0)</f>
        <v>cashloan</v>
      </c>
      <c r="I14864" s="549">
        <v>0</v>
      </c>
    </row>
    <row r="14865" spans="1:9" x14ac:dyDescent="0.2">
      <c r="A14865" s="134">
        <v>46135</v>
      </c>
      <c r="B14865" s="549">
        <f>YEAR(source[[#This Row],[report_date]])</f>
        <v>2026</v>
      </c>
      <c r="C14865" s="128">
        <f t="shared" ref="C14865:C14928" si="703">MONTH(A14865)</f>
        <v>4</v>
      </c>
      <c r="D14865" s="136">
        <f t="shared" ref="D14865:D14928" si="704">WEEKNUM(A14865,2)</f>
        <v>17</v>
      </c>
      <c r="E14865" s="136">
        <f t="shared" ref="E14865:E14928" si="705">DAY(A14865)</f>
        <v>23</v>
      </c>
      <c r="F14865" s="128" t="s">
        <v>24</v>
      </c>
      <c r="G14865" s="128" t="str">
        <f>VLOOKUP(source[[#This Row],[lending_product_transform]],[3]Mapping!$B$4:$C$37,2,0)</f>
        <v>[Cake] - Cashloan</v>
      </c>
      <c r="H14865" s="128" t="str">
        <f>VLOOKUP(source[[#This Row],[lending_product_transform]],[3]Mapping!$B$3:$D$37,3,0)</f>
        <v>cashloan</v>
      </c>
      <c r="I14865" s="549">
        <v>433220000</v>
      </c>
    </row>
    <row r="14866" spans="1:9" x14ac:dyDescent="0.2">
      <c r="A14866" s="134">
        <v>46135</v>
      </c>
      <c r="B14866" s="549">
        <f>YEAR(source[[#This Row],[report_date]])</f>
        <v>2026</v>
      </c>
      <c r="C14866" s="128">
        <f t="shared" si="703"/>
        <v>4</v>
      </c>
      <c r="D14866" s="136">
        <f t="shared" si="704"/>
        <v>17</v>
      </c>
      <c r="E14866" s="136">
        <f t="shared" si="705"/>
        <v>23</v>
      </c>
      <c r="F14866" s="128" t="s">
        <v>24</v>
      </c>
      <c r="G14866" s="128" t="str">
        <f>VLOOKUP(source[[#This Row],[lending_product_transform]],[3]Mapping!$B$4:$C$37,2,0)</f>
        <v>[Cake] - Cashloan</v>
      </c>
      <c r="H14866" s="128" t="str">
        <f>VLOOKUP(source[[#This Row],[lending_product_transform]],[3]Mapping!$B$3:$D$37,3,0)</f>
        <v>cashloan</v>
      </c>
      <c r="I14866" s="549">
        <v>281076094</v>
      </c>
    </row>
    <row r="14867" spans="1:9" x14ac:dyDescent="0.2">
      <c r="A14867" s="134">
        <v>46135</v>
      </c>
      <c r="B14867" s="549">
        <f>YEAR(source[[#This Row],[report_date]])</f>
        <v>2026</v>
      </c>
      <c r="C14867" s="128">
        <f t="shared" si="703"/>
        <v>4</v>
      </c>
      <c r="D14867" s="136">
        <f t="shared" si="704"/>
        <v>17</v>
      </c>
      <c r="E14867" s="136">
        <f t="shared" si="705"/>
        <v>23</v>
      </c>
      <c r="F14867" s="128" t="s">
        <v>24</v>
      </c>
      <c r="G14867" s="128" t="str">
        <f>VLOOKUP(source[[#This Row],[lending_product_transform]],[3]Mapping!$B$4:$C$37,2,0)</f>
        <v>[Cake] - Cashloan</v>
      </c>
      <c r="H14867" s="128" t="str">
        <f>VLOOKUP(source[[#This Row],[lending_product_transform]],[3]Mapping!$B$3:$D$37,3,0)</f>
        <v>cashloan</v>
      </c>
      <c r="I14867" s="549">
        <v>12871680000</v>
      </c>
    </row>
    <row r="14868" spans="1:9" x14ac:dyDescent="0.2">
      <c r="A14868" s="134">
        <v>46135</v>
      </c>
      <c r="B14868" s="549">
        <f>YEAR(source[[#This Row],[report_date]])</f>
        <v>2026</v>
      </c>
      <c r="C14868" s="128">
        <f t="shared" si="703"/>
        <v>4</v>
      </c>
      <c r="D14868" s="136">
        <f t="shared" si="704"/>
        <v>17</v>
      </c>
      <c r="E14868" s="136">
        <f t="shared" si="705"/>
        <v>23</v>
      </c>
      <c r="F14868" s="128" t="s">
        <v>24</v>
      </c>
      <c r="G14868" s="128" t="str">
        <f>VLOOKUP(source[[#This Row],[lending_product_transform]],[3]Mapping!$B$4:$C$37,2,0)</f>
        <v>[Cake] - Cashloan</v>
      </c>
      <c r="H14868" s="128" t="str">
        <f>VLOOKUP(source[[#This Row],[lending_product_transform]],[3]Mapping!$B$3:$D$37,3,0)</f>
        <v>cashloan</v>
      </c>
      <c r="I14868" s="549">
        <v>1181657913</v>
      </c>
    </row>
    <row r="14869" spans="1:9" x14ac:dyDescent="0.2">
      <c r="A14869" s="134">
        <v>46135</v>
      </c>
      <c r="B14869" s="549">
        <f>YEAR(source[[#This Row],[report_date]])</f>
        <v>2026</v>
      </c>
      <c r="C14869" s="128">
        <f t="shared" si="703"/>
        <v>4</v>
      </c>
      <c r="D14869" s="136">
        <f t="shared" si="704"/>
        <v>17</v>
      </c>
      <c r="E14869" s="136">
        <f t="shared" si="705"/>
        <v>23</v>
      </c>
      <c r="F14869" s="128" t="s">
        <v>24</v>
      </c>
      <c r="G14869" s="128" t="str">
        <f>VLOOKUP(source[[#This Row],[lending_product_transform]],[3]Mapping!$B$4:$C$37,2,0)</f>
        <v>[Cake] - Cashloan</v>
      </c>
      <c r="H14869" s="128" t="str">
        <f>VLOOKUP(source[[#This Row],[lending_product_transform]],[3]Mapping!$B$3:$D$37,3,0)</f>
        <v>cashloan</v>
      </c>
      <c r="I14869" s="549">
        <v>13141656000</v>
      </c>
    </row>
    <row r="14870" spans="1:9" x14ac:dyDescent="0.2">
      <c r="A14870" s="134">
        <v>46135</v>
      </c>
      <c r="B14870" s="549">
        <f>YEAR(source[[#This Row],[report_date]])</f>
        <v>2026</v>
      </c>
      <c r="C14870" s="128">
        <f t="shared" si="703"/>
        <v>4</v>
      </c>
      <c r="D14870" s="136">
        <f t="shared" si="704"/>
        <v>17</v>
      </c>
      <c r="E14870" s="136">
        <f t="shared" si="705"/>
        <v>23</v>
      </c>
      <c r="F14870" s="128" t="s">
        <v>24</v>
      </c>
      <c r="G14870" s="128" t="str">
        <f>VLOOKUP(source[[#This Row],[lending_product_transform]],[3]Mapping!$B$4:$C$37,2,0)</f>
        <v>[Cake] - Cashloan</v>
      </c>
      <c r="H14870" s="128" t="str">
        <f>VLOOKUP(source[[#This Row],[lending_product_transform]],[3]Mapping!$B$3:$D$37,3,0)</f>
        <v>cashloan</v>
      </c>
      <c r="I14870" s="549">
        <v>0</v>
      </c>
    </row>
    <row r="14871" spans="1:9" x14ac:dyDescent="0.2">
      <c r="A14871" s="134">
        <v>46135</v>
      </c>
      <c r="B14871" s="549">
        <f>YEAR(source[[#This Row],[report_date]])</f>
        <v>2026</v>
      </c>
      <c r="C14871" s="128">
        <f t="shared" si="703"/>
        <v>4</v>
      </c>
      <c r="D14871" s="136">
        <f t="shared" si="704"/>
        <v>17</v>
      </c>
      <c r="E14871" s="136">
        <f t="shared" si="705"/>
        <v>23</v>
      </c>
      <c r="F14871" s="128" t="s">
        <v>24</v>
      </c>
      <c r="G14871" s="128" t="str">
        <f>VLOOKUP(source[[#This Row],[lending_product_transform]],[3]Mapping!$B$4:$C$37,2,0)</f>
        <v>[Cake] - Cashloan</v>
      </c>
      <c r="H14871" s="128" t="str">
        <f>VLOOKUP(source[[#This Row],[lending_product_transform]],[3]Mapping!$B$3:$D$37,3,0)</f>
        <v>cashloan</v>
      </c>
      <c r="I14871" s="549">
        <v>0</v>
      </c>
    </row>
    <row r="14872" spans="1:9" x14ac:dyDescent="0.2">
      <c r="A14872" s="134">
        <v>46135</v>
      </c>
      <c r="B14872" s="549">
        <f>YEAR(source[[#This Row],[report_date]])</f>
        <v>2026</v>
      </c>
      <c r="C14872" s="128">
        <f t="shared" si="703"/>
        <v>4</v>
      </c>
      <c r="D14872" s="136">
        <f t="shared" si="704"/>
        <v>17</v>
      </c>
      <c r="E14872" s="136">
        <f t="shared" si="705"/>
        <v>23</v>
      </c>
      <c r="F14872" s="128" t="s">
        <v>24</v>
      </c>
      <c r="G14872" s="128" t="str">
        <f>VLOOKUP(source[[#This Row],[lending_product_transform]],[3]Mapping!$B$4:$C$37,2,0)</f>
        <v>[Cake] - Cashloan</v>
      </c>
      <c r="H14872" s="128" t="str">
        <f>VLOOKUP(source[[#This Row],[lending_product_transform]],[3]Mapping!$B$3:$D$37,3,0)</f>
        <v>cashloan</v>
      </c>
      <c r="I14872" s="549">
        <v>2658420000</v>
      </c>
    </row>
    <row r="14873" spans="1:9" x14ac:dyDescent="0.2">
      <c r="A14873" s="134">
        <v>46135</v>
      </c>
      <c r="B14873" s="549">
        <f>YEAR(source[[#This Row],[report_date]])</f>
        <v>2026</v>
      </c>
      <c r="C14873" s="128">
        <f t="shared" si="703"/>
        <v>4</v>
      </c>
      <c r="D14873" s="136">
        <f t="shared" si="704"/>
        <v>17</v>
      </c>
      <c r="E14873" s="136">
        <f t="shared" si="705"/>
        <v>23</v>
      </c>
      <c r="F14873" s="128" t="s">
        <v>24</v>
      </c>
      <c r="G14873" s="128" t="str">
        <f>VLOOKUP(source[[#This Row],[lending_product_transform]],[3]Mapping!$B$4:$C$37,2,0)</f>
        <v>[Cake] - Cashloan</v>
      </c>
      <c r="H14873" s="128" t="str">
        <f>VLOOKUP(source[[#This Row],[lending_product_transform]],[3]Mapping!$B$3:$D$37,3,0)</f>
        <v>cashloan</v>
      </c>
      <c r="I14873" s="549">
        <v>362910000</v>
      </c>
    </row>
    <row r="14874" spans="1:9" x14ac:dyDescent="0.2">
      <c r="A14874" s="134">
        <v>46135</v>
      </c>
      <c r="B14874" s="549">
        <f>YEAR(source[[#This Row],[report_date]])</f>
        <v>2026</v>
      </c>
      <c r="C14874" s="128">
        <f t="shared" si="703"/>
        <v>4</v>
      </c>
      <c r="D14874" s="136">
        <f t="shared" si="704"/>
        <v>17</v>
      </c>
      <c r="E14874" s="136">
        <f t="shared" si="705"/>
        <v>23</v>
      </c>
      <c r="F14874" s="128" t="s">
        <v>24</v>
      </c>
      <c r="G14874" s="128" t="str">
        <f>VLOOKUP(source[[#This Row],[lending_product_transform]],[3]Mapping!$B$4:$C$37,2,0)</f>
        <v>[Cake] - Cashloan</v>
      </c>
      <c r="H14874" s="128" t="str">
        <f>VLOOKUP(source[[#This Row],[lending_product_transform]],[3]Mapping!$B$3:$D$37,3,0)</f>
        <v>cashloan</v>
      </c>
      <c r="I14874" s="549">
        <v>1737297</v>
      </c>
    </row>
    <row r="14875" spans="1:9" x14ac:dyDescent="0.2">
      <c r="A14875" s="134">
        <v>46135</v>
      </c>
      <c r="B14875" s="549">
        <f>YEAR(source[[#This Row],[report_date]])</f>
        <v>2026</v>
      </c>
      <c r="C14875" s="128">
        <f t="shared" si="703"/>
        <v>4</v>
      </c>
      <c r="D14875" s="136">
        <f t="shared" si="704"/>
        <v>17</v>
      </c>
      <c r="E14875" s="136">
        <f t="shared" si="705"/>
        <v>23</v>
      </c>
      <c r="F14875" s="128" t="s">
        <v>24</v>
      </c>
      <c r="G14875" s="128" t="str">
        <f>VLOOKUP(source[[#This Row],[lending_product_transform]],[3]Mapping!$B$4:$C$37,2,0)</f>
        <v>[Cake] - Cashloan</v>
      </c>
      <c r="H14875" s="128" t="str">
        <f>VLOOKUP(source[[#This Row],[lending_product_transform]],[3]Mapping!$B$3:$D$37,3,0)</f>
        <v>cashloan</v>
      </c>
      <c r="I14875" s="549">
        <v>834597567</v>
      </c>
    </row>
    <row r="14876" spans="1:9" x14ac:dyDescent="0.2">
      <c r="A14876" s="134">
        <v>46135</v>
      </c>
      <c r="B14876" s="549">
        <f>YEAR(source[[#This Row],[report_date]])</f>
        <v>2026</v>
      </c>
      <c r="C14876" s="128">
        <f t="shared" si="703"/>
        <v>4</v>
      </c>
      <c r="D14876" s="136">
        <f t="shared" si="704"/>
        <v>17</v>
      </c>
      <c r="E14876" s="136">
        <f t="shared" si="705"/>
        <v>23</v>
      </c>
      <c r="F14876" s="128" t="s">
        <v>24</v>
      </c>
      <c r="G14876" s="128" t="str">
        <f>VLOOKUP(source[[#This Row],[lending_product_transform]],[3]Mapping!$B$4:$C$37,2,0)</f>
        <v>[Cake] - Cashloan</v>
      </c>
      <c r="H14876" s="128" t="str">
        <f>VLOOKUP(source[[#This Row],[lending_product_transform]],[3]Mapping!$B$3:$D$37,3,0)</f>
        <v>cashloan</v>
      </c>
      <c r="I14876" s="549">
        <v>0</v>
      </c>
    </row>
    <row r="14877" spans="1:9" x14ac:dyDescent="0.2">
      <c r="A14877" s="134">
        <v>46135</v>
      </c>
      <c r="B14877" s="549">
        <f>YEAR(source[[#This Row],[report_date]])</f>
        <v>2026</v>
      </c>
      <c r="C14877" s="128">
        <f t="shared" si="703"/>
        <v>4</v>
      </c>
      <c r="D14877" s="136">
        <f t="shared" si="704"/>
        <v>17</v>
      </c>
      <c r="E14877" s="136">
        <f t="shared" si="705"/>
        <v>23</v>
      </c>
      <c r="F14877" s="128" t="s">
        <v>24</v>
      </c>
      <c r="G14877" s="128" t="str">
        <f>VLOOKUP(source[[#This Row],[lending_product_transform]],[3]Mapping!$B$4:$C$37,2,0)</f>
        <v>[Cake] - Cashloan</v>
      </c>
      <c r="H14877" s="128" t="str">
        <f>VLOOKUP(source[[#This Row],[lending_product_transform]],[3]Mapping!$B$3:$D$37,3,0)</f>
        <v>cashloan</v>
      </c>
      <c r="I14877" s="549">
        <v>70750000</v>
      </c>
    </row>
    <row r="14878" spans="1:9" x14ac:dyDescent="0.2">
      <c r="A14878" s="134">
        <v>46135</v>
      </c>
      <c r="B14878" s="549">
        <f>YEAR(source[[#This Row],[report_date]])</f>
        <v>2026</v>
      </c>
      <c r="C14878" s="128">
        <f t="shared" si="703"/>
        <v>4</v>
      </c>
      <c r="D14878" s="136">
        <f t="shared" si="704"/>
        <v>17</v>
      </c>
      <c r="E14878" s="136">
        <f t="shared" si="705"/>
        <v>23</v>
      </c>
      <c r="F14878" s="128" t="s">
        <v>24</v>
      </c>
      <c r="G14878" s="128" t="str">
        <f>VLOOKUP(source[[#This Row],[lending_product_transform]],[3]Mapping!$B$4:$C$37,2,0)</f>
        <v>[Cake] - Cashloan</v>
      </c>
      <c r="H14878" s="128" t="str">
        <f>VLOOKUP(source[[#This Row],[lending_product_transform]],[3]Mapping!$B$3:$D$37,3,0)</f>
        <v>cashloan</v>
      </c>
      <c r="I14878" s="549">
        <v>0</v>
      </c>
    </row>
    <row r="14879" spans="1:9" x14ac:dyDescent="0.2">
      <c r="A14879" s="134">
        <v>46135</v>
      </c>
      <c r="B14879" s="549">
        <f>YEAR(source[[#This Row],[report_date]])</f>
        <v>2026</v>
      </c>
      <c r="C14879" s="128">
        <f t="shared" si="703"/>
        <v>4</v>
      </c>
      <c r="D14879" s="136">
        <f t="shared" si="704"/>
        <v>17</v>
      </c>
      <c r="E14879" s="136">
        <f t="shared" si="705"/>
        <v>23</v>
      </c>
      <c r="F14879" s="128" t="s">
        <v>24</v>
      </c>
      <c r="G14879" s="128" t="str">
        <f>VLOOKUP(source[[#This Row],[lending_product_transform]],[3]Mapping!$B$4:$C$37,2,0)</f>
        <v>[Cake] - Cashloan</v>
      </c>
      <c r="H14879" s="128" t="str">
        <f>VLOOKUP(source[[#This Row],[lending_product_transform]],[3]Mapping!$B$3:$D$37,3,0)</f>
        <v>cashloan</v>
      </c>
      <c r="I14879" s="549">
        <v>15241400000</v>
      </c>
    </row>
    <row r="14880" spans="1:9" x14ac:dyDescent="0.2">
      <c r="A14880" s="134">
        <v>46135</v>
      </c>
      <c r="B14880" s="549">
        <f>YEAR(source[[#This Row],[report_date]])</f>
        <v>2026</v>
      </c>
      <c r="C14880" s="128">
        <f t="shared" si="703"/>
        <v>4</v>
      </c>
      <c r="D14880" s="136">
        <f t="shared" si="704"/>
        <v>17</v>
      </c>
      <c r="E14880" s="136">
        <f t="shared" si="705"/>
        <v>23</v>
      </c>
      <c r="F14880" s="128" t="s">
        <v>24</v>
      </c>
      <c r="G14880" s="128" t="str">
        <f>VLOOKUP(source[[#This Row],[lending_product_transform]],[3]Mapping!$B$4:$C$37,2,0)</f>
        <v>[Cake] - Cashloan</v>
      </c>
      <c r="H14880" s="128" t="str">
        <f>VLOOKUP(source[[#This Row],[lending_product_transform]],[3]Mapping!$B$3:$D$37,3,0)</f>
        <v>cashloan</v>
      </c>
      <c r="I14880" s="549">
        <v>0</v>
      </c>
    </row>
    <row r="14881" spans="1:9" x14ac:dyDescent="0.2">
      <c r="A14881" s="134">
        <v>46135</v>
      </c>
      <c r="B14881" s="549">
        <f>YEAR(source[[#This Row],[report_date]])</f>
        <v>2026</v>
      </c>
      <c r="C14881" s="128">
        <f t="shared" si="703"/>
        <v>4</v>
      </c>
      <c r="D14881" s="136">
        <f t="shared" si="704"/>
        <v>17</v>
      </c>
      <c r="E14881" s="136">
        <f t="shared" si="705"/>
        <v>23</v>
      </c>
      <c r="F14881" s="128" t="s">
        <v>24</v>
      </c>
      <c r="G14881" s="128" t="str">
        <f>VLOOKUP(source[[#This Row],[lending_product_transform]],[3]Mapping!$B$4:$C$37,2,0)</f>
        <v>[Cake] - Cashloan</v>
      </c>
      <c r="H14881" s="128" t="str">
        <f>VLOOKUP(source[[#This Row],[lending_product_transform]],[3]Mapping!$B$3:$D$37,3,0)</f>
        <v>cashloan</v>
      </c>
      <c r="I14881" s="549">
        <v>0</v>
      </c>
    </row>
    <row r="14882" spans="1:9" x14ac:dyDescent="0.2">
      <c r="A14882" s="134">
        <v>46135</v>
      </c>
      <c r="B14882" s="549">
        <f>YEAR(source[[#This Row],[report_date]])</f>
        <v>2026</v>
      </c>
      <c r="C14882" s="128">
        <f t="shared" si="703"/>
        <v>4</v>
      </c>
      <c r="D14882" s="136">
        <f t="shared" si="704"/>
        <v>17</v>
      </c>
      <c r="E14882" s="136">
        <f t="shared" si="705"/>
        <v>23</v>
      </c>
      <c r="F14882" s="128" t="s">
        <v>24</v>
      </c>
      <c r="G14882" s="128" t="str">
        <f>VLOOKUP(source[[#This Row],[lending_product_transform]],[3]Mapping!$B$4:$C$37,2,0)</f>
        <v>[Cake] - Cashloan</v>
      </c>
      <c r="H14882" s="128" t="str">
        <f>VLOOKUP(source[[#This Row],[lending_product_transform]],[3]Mapping!$B$3:$D$37,3,0)</f>
        <v>cashloan</v>
      </c>
      <c r="I14882" s="549">
        <v>0</v>
      </c>
    </row>
    <row r="14883" spans="1:9" x14ac:dyDescent="0.2">
      <c r="A14883" s="134">
        <v>46135</v>
      </c>
      <c r="B14883" s="549">
        <f>YEAR(source[[#This Row],[report_date]])</f>
        <v>2026</v>
      </c>
      <c r="C14883" s="128">
        <f t="shared" si="703"/>
        <v>4</v>
      </c>
      <c r="D14883" s="136">
        <f t="shared" si="704"/>
        <v>17</v>
      </c>
      <c r="E14883" s="136">
        <f t="shared" si="705"/>
        <v>23</v>
      </c>
      <c r="F14883" s="128" t="s">
        <v>24</v>
      </c>
      <c r="G14883" s="128" t="str">
        <f>VLOOKUP(source[[#This Row],[lending_product_transform]],[3]Mapping!$B$4:$C$37,2,0)</f>
        <v>[Cake] - Cashloan</v>
      </c>
      <c r="H14883" s="128" t="str">
        <f>VLOOKUP(source[[#This Row],[lending_product_transform]],[3]Mapping!$B$3:$D$37,3,0)</f>
        <v>cashloan</v>
      </c>
      <c r="I14883" s="549">
        <v>0</v>
      </c>
    </row>
    <row r="14884" spans="1:9" x14ac:dyDescent="0.2">
      <c r="A14884" s="134">
        <v>46135</v>
      </c>
      <c r="B14884" s="549">
        <f>YEAR(source[[#This Row],[report_date]])</f>
        <v>2026</v>
      </c>
      <c r="C14884" s="128">
        <f t="shared" si="703"/>
        <v>4</v>
      </c>
      <c r="D14884" s="136">
        <f t="shared" si="704"/>
        <v>17</v>
      </c>
      <c r="E14884" s="136">
        <f t="shared" si="705"/>
        <v>23</v>
      </c>
      <c r="F14884" s="128" t="s">
        <v>24</v>
      </c>
      <c r="G14884" s="128" t="str">
        <f>VLOOKUP(source[[#This Row],[lending_product_transform]],[3]Mapping!$B$4:$C$37,2,0)</f>
        <v>[Cake] - Cashloan</v>
      </c>
      <c r="H14884" s="128" t="str">
        <f>VLOOKUP(source[[#This Row],[lending_product_transform]],[3]Mapping!$B$3:$D$37,3,0)</f>
        <v>cashloan</v>
      </c>
      <c r="I14884" s="549">
        <v>11162664000</v>
      </c>
    </row>
    <row r="14885" spans="1:9" x14ac:dyDescent="0.2">
      <c r="A14885" s="134">
        <v>46135</v>
      </c>
      <c r="B14885" s="549">
        <f>YEAR(source[[#This Row],[report_date]])</f>
        <v>2026</v>
      </c>
      <c r="C14885" s="128">
        <f t="shared" si="703"/>
        <v>4</v>
      </c>
      <c r="D14885" s="136">
        <f t="shared" si="704"/>
        <v>17</v>
      </c>
      <c r="E14885" s="136">
        <f t="shared" si="705"/>
        <v>23</v>
      </c>
      <c r="F14885" s="128" t="s">
        <v>24</v>
      </c>
      <c r="G14885" s="128" t="str">
        <f>VLOOKUP(source[[#This Row],[lending_product_transform]],[3]Mapping!$B$4:$C$37,2,0)</f>
        <v>[Cake] - Cashloan</v>
      </c>
      <c r="H14885" s="128" t="str">
        <f>VLOOKUP(source[[#This Row],[lending_product_transform]],[3]Mapping!$B$3:$D$37,3,0)</f>
        <v>cashloan</v>
      </c>
      <c r="I14885" s="549">
        <v>136768567</v>
      </c>
    </row>
    <row r="14886" spans="1:9" x14ac:dyDescent="0.2">
      <c r="A14886" s="134">
        <v>46135</v>
      </c>
      <c r="B14886" s="549">
        <f>YEAR(source[[#This Row],[report_date]])</f>
        <v>2026</v>
      </c>
      <c r="C14886" s="128">
        <f t="shared" si="703"/>
        <v>4</v>
      </c>
      <c r="D14886" s="136">
        <f t="shared" si="704"/>
        <v>17</v>
      </c>
      <c r="E14886" s="136">
        <f t="shared" si="705"/>
        <v>23</v>
      </c>
      <c r="F14886" s="128" t="s">
        <v>24</v>
      </c>
      <c r="G14886" s="128" t="str">
        <f>VLOOKUP(source[[#This Row],[lending_product_transform]],[3]Mapping!$B$4:$C$37,2,0)</f>
        <v>[Cake] - Cashloan</v>
      </c>
      <c r="H14886" s="128" t="str">
        <f>VLOOKUP(source[[#This Row],[lending_product_transform]],[3]Mapping!$B$3:$D$37,3,0)</f>
        <v>cashloan</v>
      </c>
      <c r="I14886" s="549">
        <v>0</v>
      </c>
    </row>
    <row r="14887" spans="1:9" x14ac:dyDescent="0.2">
      <c r="A14887" s="134">
        <v>46135</v>
      </c>
      <c r="B14887" s="549">
        <f>YEAR(source[[#This Row],[report_date]])</f>
        <v>2026</v>
      </c>
      <c r="C14887" s="128">
        <f t="shared" si="703"/>
        <v>4</v>
      </c>
      <c r="D14887" s="136">
        <f t="shared" si="704"/>
        <v>17</v>
      </c>
      <c r="E14887" s="136">
        <f t="shared" si="705"/>
        <v>23</v>
      </c>
      <c r="F14887" s="128" t="s">
        <v>24</v>
      </c>
      <c r="G14887" s="128" t="str">
        <f>VLOOKUP(source[[#This Row],[lending_product_transform]],[3]Mapping!$B$4:$C$37,2,0)</f>
        <v>[Cake] - Cashloan</v>
      </c>
      <c r="H14887" s="128" t="str">
        <f>VLOOKUP(source[[#This Row],[lending_product_transform]],[3]Mapping!$B$3:$D$37,3,0)</f>
        <v>cashloan</v>
      </c>
      <c r="I14887" s="549">
        <v>68000000</v>
      </c>
    </row>
    <row r="14888" spans="1:9" x14ac:dyDescent="0.2">
      <c r="A14888" s="134">
        <v>46135</v>
      </c>
      <c r="B14888" s="549">
        <f>YEAR(source[[#This Row],[report_date]])</f>
        <v>2026</v>
      </c>
      <c r="C14888" s="128">
        <f t="shared" si="703"/>
        <v>4</v>
      </c>
      <c r="D14888" s="136">
        <f t="shared" si="704"/>
        <v>17</v>
      </c>
      <c r="E14888" s="136">
        <f t="shared" si="705"/>
        <v>23</v>
      </c>
      <c r="F14888" s="128" t="s">
        <v>24</v>
      </c>
      <c r="G14888" s="128" t="str">
        <f>VLOOKUP(source[[#This Row],[lending_product_transform]],[3]Mapping!$B$4:$C$37,2,0)</f>
        <v>[Cake] - Cashloan</v>
      </c>
      <c r="H14888" s="128" t="str">
        <f>VLOOKUP(source[[#This Row],[lending_product_transform]],[3]Mapping!$B$3:$D$37,3,0)</f>
        <v>cashloan</v>
      </c>
      <c r="I14888" s="549">
        <v>919280000</v>
      </c>
    </row>
    <row r="14889" spans="1:9" x14ac:dyDescent="0.2">
      <c r="A14889" s="134">
        <v>46135</v>
      </c>
      <c r="B14889" s="549">
        <f>YEAR(source[[#This Row],[report_date]])</f>
        <v>2026</v>
      </c>
      <c r="C14889" s="128">
        <f t="shared" si="703"/>
        <v>4</v>
      </c>
      <c r="D14889" s="136">
        <f t="shared" si="704"/>
        <v>17</v>
      </c>
      <c r="E14889" s="136">
        <f t="shared" si="705"/>
        <v>23</v>
      </c>
      <c r="F14889" s="128" t="s">
        <v>24</v>
      </c>
      <c r="G14889" s="128" t="str">
        <f>VLOOKUP(source[[#This Row],[lending_product_transform]],[3]Mapping!$B$4:$C$37,2,0)</f>
        <v>[Cake] - Cashloan</v>
      </c>
      <c r="H14889" s="128" t="str">
        <f>VLOOKUP(source[[#This Row],[lending_product_transform]],[3]Mapping!$B$3:$D$37,3,0)</f>
        <v>cashloan</v>
      </c>
      <c r="I14889" s="549">
        <v>276588000</v>
      </c>
    </row>
    <row r="14890" spans="1:9" x14ac:dyDescent="0.2">
      <c r="A14890" s="134">
        <v>46135</v>
      </c>
      <c r="B14890" s="549">
        <f>YEAR(source[[#This Row],[report_date]])</f>
        <v>2026</v>
      </c>
      <c r="C14890" s="128">
        <f t="shared" si="703"/>
        <v>4</v>
      </c>
      <c r="D14890" s="136">
        <f t="shared" si="704"/>
        <v>17</v>
      </c>
      <c r="E14890" s="136">
        <f t="shared" si="705"/>
        <v>23</v>
      </c>
      <c r="F14890" s="128" t="s">
        <v>24</v>
      </c>
      <c r="G14890" s="128" t="str">
        <f>VLOOKUP(source[[#This Row],[lending_product_transform]],[3]Mapping!$B$4:$C$37,2,0)</f>
        <v>[Cake] - Cashloan</v>
      </c>
      <c r="H14890" s="128" t="str">
        <f>VLOOKUP(source[[#This Row],[lending_product_transform]],[3]Mapping!$B$3:$D$37,3,0)</f>
        <v>cashloan</v>
      </c>
      <c r="I14890" s="549">
        <v>286743556</v>
      </c>
    </row>
    <row r="14891" spans="1:9" x14ac:dyDescent="0.2">
      <c r="A14891" s="134">
        <v>46135</v>
      </c>
      <c r="B14891" s="549">
        <f>YEAR(source[[#This Row],[report_date]])</f>
        <v>2026</v>
      </c>
      <c r="C14891" s="128">
        <f t="shared" si="703"/>
        <v>4</v>
      </c>
      <c r="D14891" s="136">
        <f t="shared" si="704"/>
        <v>17</v>
      </c>
      <c r="E14891" s="136">
        <f t="shared" si="705"/>
        <v>23</v>
      </c>
      <c r="F14891" s="128" t="s">
        <v>24</v>
      </c>
      <c r="G14891" s="128" t="str">
        <f>VLOOKUP(source[[#This Row],[lending_product_transform]],[3]Mapping!$B$4:$C$37,2,0)</f>
        <v>[Cake] - Cashloan</v>
      </c>
      <c r="H14891" s="128" t="str">
        <f>VLOOKUP(source[[#This Row],[lending_product_transform]],[3]Mapping!$B$3:$D$37,3,0)</f>
        <v>cashloan</v>
      </c>
      <c r="I14891" s="549">
        <v>4642340000</v>
      </c>
    </row>
    <row r="14892" spans="1:9" x14ac:dyDescent="0.2">
      <c r="A14892" s="134">
        <v>46135</v>
      </c>
      <c r="B14892" s="549">
        <f>YEAR(source[[#This Row],[report_date]])</f>
        <v>2026</v>
      </c>
      <c r="C14892" s="128">
        <f t="shared" si="703"/>
        <v>4</v>
      </c>
      <c r="D14892" s="136">
        <f t="shared" si="704"/>
        <v>17</v>
      </c>
      <c r="E14892" s="136">
        <f t="shared" si="705"/>
        <v>23</v>
      </c>
      <c r="F14892" s="128" t="s">
        <v>24</v>
      </c>
      <c r="G14892" s="128" t="str">
        <f>VLOOKUP(source[[#This Row],[lending_product_transform]],[3]Mapping!$B$4:$C$37,2,0)</f>
        <v>[Cake] - Cashloan</v>
      </c>
      <c r="H14892" s="128" t="str">
        <f>VLOOKUP(source[[#This Row],[lending_product_transform]],[3]Mapping!$B$3:$D$37,3,0)</f>
        <v>cashloan</v>
      </c>
      <c r="I14892" s="549">
        <v>0</v>
      </c>
    </row>
    <row r="14893" spans="1:9" x14ac:dyDescent="0.2">
      <c r="A14893" s="134">
        <v>46136</v>
      </c>
      <c r="B14893" s="549">
        <f>YEAR(source[[#This Row],[report_date]])</f>
        <v>2026</v>
      </c>
      <c r="C14893" s="128">
        <f t="shared" si="703"/>
        <v>4</v>
      </c>
      <c r="D14893" s="136">
        <f t="shared" si="704"/>
        <v>17</v>
      </c>
      <c r="E14893" s="136">
        <f t="shared" si="705"/>
        <v>24</v>
      </c>
      <c r="F14893" s="128" t="s">
        <v>24</v>
      </c>
      <c r="G14893" s="128" t="str">
        <f>VLOOKUP(source[[#This Row],[lending_product_transform]],[3]Mapping!$B$4:$C$37,2,0)</f>
        <v>[Cake] - Cashloan</v>
      </c>
      <c r="H14893" s="128" t="str">
        <f>VLOOKUP(source[[#This Row],[lending_product_transform]],[3]Mapping!$B$3:$D$37,3,0)</f>
        <v>cashloan</v>
      </c>
      <c r="I14893" s="549">
        <v>808150000</v>
      </c>
    </row>
    <row r="14894" spans="1:9" x14ac:dyDescent="0.2">
      <c r="A14894" s="134">
        <v>46136</v>
      </c>
      <c r="B14894" s="549">
        <f>YEAR(source[[#This Row],[report_date]])</f>
        <v>2026</v>
      </c>
      <c r="C14894" s="128">
        <f t="shared" si="703"/>
        <v>4</v>
      </c>
      <c r="D14894" s="136">
        <f t="shared" si="704"/>
        <v>17</v>
      </c>
      <c r="E14894" s="136">
        <f t="shared" si="705"/>
        <v>24</v>
      </c>
      <c r="F14894" s="128" t="s">
        <v>24</v>
      </c>
      <c r="G14894" s="128" t="str">
        <f>VLOOKUP(source[[#This Row],[lending_product_transform]],[3]Mapping!$B$4:$C$37,2,0)</f>
        <v>[Cake] - Cashloan</v>
      </c>
      <c r="H14894" s="128" t="str">
        <f>VLOOKUP(source[[#This Row],[lending_product_transform]],[3]Mapping!$B$3:$D$37,3,0)</f>
        <v>cashloan</v>
      </c>
      <c r="I14894" s="549">
        <v>333584406</v>
      </c>
    </row>
    <row r="14895" spans="1:9" x14ac:dyDescent="0.2">
      <c r="A14895" s="134">
        <v>46136</v>
      </c>
      <c r="B14895" s="549">
        <f>YEAR(source[[#This Row],[report_date]])</f>
        <v>2026</v>
      </c>
      <c r="C14895" s="128">
        <f t="shared" si="703"/>
        <v>4</v>
      </c>
      <c r="D14895" s="136">
        <f t="shared" si="704"/>
        <v>17</v>
      </c>
      <c r="E14895" s="136">
        <f t="shared" si="705"/>
        <v>24</v>
      </c>
      <c r="F14895" s="128" t="s">
        <v>24</v>
      </c>
      <c r="G14895" s="128" t="str">
        <f>VLOOKUP(source[[#This Row],[lending_product_transform]],[3]Mapping!$B$4:$C$37,2,0)</f>
        <v>[Cake] - Cashloan</v>
      </c>
      <c r="H14895" s="128" t="str">
        <f>VLOOKUP(source[[#This Row],[lending_product_transform]],[3]Mapping!$B$3:$D$37,3,0)</f>
        <v>cashloan</v>
      </c>
      <c r="I14895" s="549">
        <v>13354840000</v>
      </c>
    </row>
    <row r="14896" spans="1:9" x14ac:dyDescent="0.2">
      <c r="A14896" s="134">
        <v>46136</v>
      </c>
      <c r="B14896" s="549">
        <f>YEAR(source[[#This Row],[report_date]])</f>
        <v>2026</v>
      </c>
      <c r="C14896" s="128">
        <f t="shared" si="703"/>
        <v>4</v>
      </c>
      <c r="D14896" s="136">
        <f t="shared" si="704"/>
        <v>17</v>
      </c>
      <c r="E14896" s="136">
        <f t="shared" si="705"/>
        <v>24</v>
      </c>
      <c r="F14896" s="128" t="s">
        <v>24</v>
      </c>
      <c r="G14896" s="128" t="str">
        <f>VLOOKUP(source[[#This Row],[lending_product_transform]],[3]Mapping!$B$4:$C$37,2,0)</f>
        <v>[Cake] - Cashloan</v>
      </c>
      <c r="H14896" s="128" t="str">
        <f>VLOOKUP(source[[#This Row],[lending_product_transform]],[3]Mapping!$B$3:$D$37,3,0)</f>
        <v>cashloan</v>
      </c>
      <c r="I14896" s="549">
        <v>1354050620</v>
      </c>
    </row>
    <row r="14897" spans="1:9" x14ac:dyDescent="0.2">
      <c r="A14897" s="134">
        <v>46136</v>
      </c>
      <c r="B14897" s="549">
        <f>YEAR(source[[#This Row],[report_date]])</f>
        <v>2026</v>
      </c>
      <c r="C14897" s="128">
        <f t="shared" si="703"/>
        <v>4</v>
      </c>
      <c r="D14897" s="136">
        <f t="shared" si="704"/>
        <v>17</v>
      </c>
      <c r="E14897" s="136">
        <f t="shared" si="705"/>
        <v>24</v>
      </c>
      <c r="F14897" s="128" t="s">
        <v>24</v>
      </c>
      <c r="G14897" s="128" t="str">
        <f>VLOOKUP(source[[#This Row],[lending_product_transform]],[3]Mapping!$B$4:$C$37,2,0)</f>
        <v>[Cake] - Cashloan</v>
      </c>
      <c r="H14897" s="128" t="str">
        <f>VLOOKUP(source[[#This Row],[lending_product_transform]],[3]Mapping!$B$3:$D$37,3,0)</f>
        <v>cashloan</v>
      </c>
      <c r="I14897" s="549">
        <v>14447700000</v>
      </c>
    </row>
    <row r="14898" spans="1:9" x14ac:dyDescent="0.2">
      <c r="A14898" s="134">
        <v>46136</v>
      </c>
      <c r="B14898" s="549">
        <f>YEAR(source[[#This Row],[report_date]])</f>
        <v>2026</v>
      </c>
      <c r="C14898" s="128">
        <f t="shared" si="703"/>
        <v>4</v>
      </c>
      <c r="D14898" s="136">
        <f t="shared" si="704"/>
        <v>17</v>
      </c>
      <c r="E14898" s="136">
        <f t="shared" si="705"/>
        <v>24</v>
      </c>
      <c r="F14898" s="128" t="s">
        <v>24</v>
      </c>
      <c r="G14898" s="128" t="str">
        <f>VLOOKUP(source[[#This Row],[lending_product_transform]],[3]Mapping!$B$4:$C$37,2,0)</f>
        <v>[Cake] - Cashloan</v>
      </c>
      <c r="H14898" s="128" t="str">
        <f>VLOOKUP(source[[#This Row],[lending_product_transform]],[3]Mapping!$B$3:$D$37,3,0)</f>
        <v>cashloan</v>
      </c>
      <c r="I14898" s="549">
        <v>0</v>
      </c>
    </row>
    <row r="14899" spans="1:9" x14ac:dyDescent="0.2">
      <c r="A14899" s="134">
        <v>46136</v>
      </c>
      <c r="B14899" s="549">
        <f>YEAR(source[[#This Row],[report_date]])</f>
        <v>2026</v>
      </c>
      <c r="C14899" s="128">
        <f t="shared" si="703"/>
        <v>4</v>
      </c>
      <c r="D14899" s="136">
        <f t="shared" si="704"/>
        <v>17</v>
      </c>
      <c r="E14899" s="136">
        <f t="shared" si="705"/>
        <v>24</v>
      </c>
      <c r="F14899" s="128" t="s">
        <v>24</v>
      </c>
      <c r="G14899" s="128" t="str">
        <f>VLOOKUP(source[[#This Row],[lending_product_transform]],[3]Mapping!$B$4:$C$37,2,0)</f>
        <v>[Cake] - Cashloan</v>
      </c>
      <c r="H14899" s="128" t="str">
        <f>VLOOKUP(source[[#This Row],[lending_product_transform]],[3]Mapping!$B$3:$D$37,3,0)</f>
        <v>cashloan</v>
      </c>
      <c r="I14899" s="549">
        <v>80000000</v>
      </c>
    </row>
    <row r="14900" spans="1:9" x14ac:dyDescent="0.2">
      <c r="A14900" s="134">
        <v>46136</v>
      </c>
      <c r="B14900" s="549">
        <f>YEAR(source[[#This Row],[report_date]])</f>
        <v>2026</v>
      </c>
      <c r="C14900" s="128">
        <f t="shared" si="703"/>
        <v>4</v>
      </c>
      <c r="D14900" s="136">
        <f t="shared" si="704"/>
        <v>17</v>
      </c>
      <c r="E14900" s="136">
        <f t="shared" si="705"/>
        <v>24</v>
      </c>
      <c r="F14900" s="128" t="s">
        <v>24</v>
      </c>
      <c r="G14900" s="128" t="str">
        <f>VLOOKUP(source[[#This Row],[lending_product_transform]],[3]Mapping!$B$4:$C$37,2,0)</f>
        <v>[Cake] - Cashloan</v>
      </c>
      <c r="H14900" s="128" t="str">
        <f>VLOOKUP(source[[#This Row],[lending_product_transform]],[3]Mapping!$B$3:$D$37,3,0)</f>
        <v>cashloan</v>
      </c>
      <c r="I14900" s="549">
        <v>2558540000</v>
      </c>
    </row>
    <row r="14901" spans="1:9" x14ac:dyDescent="0.2">
      <c r="A14901" s="134">
        <v>46136</v>
      </c>
      <c r="B14901" s="549">
        <f>YEAR(source[[#This Row],[report_date]])</f>
        <v>2026</v>
      </c>
      <c r="C14901" s="128">
        <f t="shared" si="703"/>
        <v>4</v>
      </c>
      <c r="D14901" s="136">
        <f t="shared" si="704"/>
        <v>17</v>
      </c>
      <c r="E14901" s="136">
        <f t="shared" si="705"/>
        <v>24</v>
      </c>
      <c r="F14901" s="128" t="s">
        <v>24</v>
      </c>
      <c r="G14901" s="128" t="str">
        <f>VLOOKUP(source[[#This Row],[lending_product_transform]],[3]Mapping!$B$4:$C$37,2,0)</f>
        <v>[Cake] - Cashloan</v>
      </c>
      <c r="H14901" s="128" t="str">
        <f>VLOOKUP(source[[#This Row],[lending_product_transform]],[3]Mapping!$B$3:$D$37,3,0)</f>
        <v>cashloan</v>
      </c>
      <c r="I14901" s="549">
        <v>751340000</v>
      </c>
    </row>
    <row r="14902" spans="1:9" x14ac:dyDescent="0.2">
      <c r="A14902" s="134">
        <v>46136</v>
      </c>
      <c r="B14902" s="549">
        <f>YEAR(source[[#This Row],[report_date]])</f>
        <v>2026</v>
      </c>
      <c r="C14902" s="128">
        <f t="shared" si="703"/>
        <v>4</v>
      </c>
      <c r="D14902" s="136">
        <f t="shared" si="704"/>
        <v>17</v>
      </c>
      <c r="E14902" s="136">
        <f t="shared" si="705"/>
        <v>24</v>
      </c>
      <c r="F14902" s="128" t="s">
        <v>24</v>
      </c>
      <c r="G14902" s="128" t="str">
        <f>VLOOKUP(source[[#This Row],[lending_product_transform]],[3]Mapping!$B$4:$C$37,2,0)</f>
        <v>[Cake] - Cashloan</v>
      </c>
      <c r="H14902" s="128" t="str">
        <f>VLOOKUP(source[[#This Row],[lending_product_transform]],[3]Mapping!$B$3:$D$37,3,0)</f>
        <v>cashloan</v>
      </c>
      <c r="I14902" s="549">
        <v>10477887</v>
      </c>
    </row>
    <row r="14903" spans="1:9" x14ac:dyDescent="0.2">
      <c r="A14903" s="134">
        <v>46136</v>
      </c>
      <c r="B14903" s="549">
        <f>YEAR(source[[#This Row],[report_date]])</f>
        <v>2026</v>
      </c>
      <c r="C14903" s="128">
        <f t="shared" si="703"/>
        <v>4</v>
      </c>
      <c r="D14903" s="136">
        <f t="shared" si="704"/>
        <v>17</v>
      </c>
      <c r="E14903" s="136">
        <f t="shared" si="705"/>
        <v>24</v>
      </c>
      <c r="F14903" s="128" t="s">
        <v>24</v>
      </c>
      <c r="G14903" s="128" t="str">
        <f>VLOOKUP(source[[#This Row],[lending_product_transform]],[3]Mapping!$B$4:$C$37,2,0)</f>
        <v>[Cake] - Cashloan</v>
      </c>
      <c r="H14903" s="128" t="str">
        <f>VLOOKUP(source[[#This Row],[lending_product_transform]],[3]Mapping!$B$3:$D$37,3,0)</f>
        <v>cashloan</v>
      </c>
      <c r="I14903" s="549">
        <v>1176833106</v>
      </c>
    </row>
    <row r="14904" spans="1:9" x14ac:dyDescent="0.2">
      <c r="A14904" s="134">
        <v>46136</v>
      </c>
      <c r="B14904" s="549">
        <f>YEAR(source[[#This Row],[report_date]])</f>
        <v>2026</v>
      </c>
      <c r="C14904" s="128">
        <f t="shared" si="703"/>
        <v>4</v>
      </c>
      <c r="D14904" s="136">
        <f t="shared" si="704"/>
        <v>17</v>
      </c>
      <c r="E14904" s="136">
        <f t="shared" si="705"/>
        <v>24</v>
      </c>
      <c r="F14904" s="128" t="s">
        <v>24</v>
      </c>
      <c r="G14904" s="128" t="str">
        <f>VLOOKUP(source[[#This Row],[lending_product_transform]],[3]Mapping!$B$4:$C$37,2,0)</f>
        <v>[Cake] - Cashloan</v>
      </c>
      <c r="H14904" s="128" t="str">
        <f>VLOOKUP(source[[#This Row],[lending_product_transform]],[3]Mapping!$B$3:$D$37,3,0)</f>
        <v>cashloan</v>
      </c>
      <c r="I14904" s="549">
        <v>0</v>
      </c>
    </row>
    <row r="14905" spans="1:9" x14ac:dyDescent="0.2">
      <c r="A14905" s="134">
        <v>46136</v>
      </c>
      <c r="B14905" s="549">
        <f>YEAR(source[[#This Row],[report_date]])</f>
        <v>2026</v>
      </c>
      <c r="C14905" s="128">
        <f t="shared" si="703"/>
        <v>4</v>
      </c>
      <c r="D14905" s="136">
        <f t="shared" si="704"/>
        <v>17</v>
      </c>
      <c r="E14905" s="136">
        <f t="shared" si="705"/>
        <v>24</v>
      </c>
      <c r="F14905" s="128" t="s">
        <v>24</v>
      </c>
      <c r="G14905" s="128" t="str">
        <f>VLOOKUP(source[[#This Row],[lending_product_transform]],[3]Mapping!$B$4:$C$37,2,0)</f>
        <v>[Cake] - Cashloan</v>
      </c>
      <c r="H14905" s="128" t="str">
        <f>VLOOKUP(source[[#This Row],[lending_product_transform]],[3]Mapping!$B$3:$D$37,3,0)</f>
        <v>cashloan</v>
      </c>
      <c r="I14905" s="549">
        <v>48900000</v>
      </c>
    </row>
    <row r="14906" spans="1:9" x14ac:dyDescent="0.2">
      <c r="A14906" s="134">
        <v>46136</v>
      </c>
      <c r="B14906" s="549">
        <f>YEAR(source[[#This Row],[report_date]])</f>
        <v>2026</v>
      </c>
      <c r="C14906" s="128">
        <f t="shared" si="703"/>
        <v>4</v>
      </c>
      <c r="D14906" s="136">
        <f t="shared" si="704"/>
        <v>17</v>
      </c>
      <c r="E14906" s="136">
        <f t="shared" si="705"/>
        <v>24</v>
      </c>
      <c r="F14906" s="128" t="s">
        <v>24</v>
      </c>
      <c r="G14906" s="128" t="str">
        <f>VLOOKUP(source[[#This Row],[lending_product_transform]],[3]Mapping!$B$4:$C$37,2,0)</f>
        <v>[Cake] - Cashloan</v>
      </c>
      <c r="H14906" s="128" t="str">
        <f>VLOOKUP(source[[#This Row],[lending_product_transform]],[3]Mapping!$B$3:$D$37,3,0)</f>
        <v>cashloan</v>
      </c>
      <c r="I14906" s="549">
        <v>0</v>
      </c>
    </row>
    <row r="14907" spans="1:9" x14ac:dyDescent="0.2">
      <c r="A14907" s="134">
        <v>46136</v>
      </c>
      <c r="B14907" s="549">
        <f>YEAR(source[[#This Row],[report_date]])</f>
        <v>2026</v>
      </c>
      <c r="C14907" s="128">
        <f t="shared" si="703"/>
        <v>4</v>
      </c>
      <c r="D14907" s="136">
        <f t="shared" si="704"/>
        <v>17</v>
      </c>
      <c r="E14907" s="136">
        <f t="shared" si="705"/>
        <v>24</v>
      </c>
      <c r="F14907" s="128" t="s">
        <v>24</v>
      </c>
      <c r="G14907" s="128" t="str">
        <f>VLOOKUP(source[[#This Row],[lending_product_transform]],[3]Mapping!$B$4:$C$37,2,0)</f>
        <v>[Cake] - Cashloan</v>
      </c>
      <c r="H14907" s="128" t="str">
        <f>VLOOKUP(source[[#This Row],[lending_product_transform]],[3]Mapping!$B$3:$D$37,3,0)</f>
        <v>cashloan</v>
      </c>
      <c r="I14907" s="549">
        <v>17715760000</v>
      </c>
    </row>
    <row r="14908" spans="1:9" x14ac:dyDescent="0.2">
      <c r="A14908" s="134">
        <v>46136</v>
      </c>
      <c r="B14908" s="549">
        <f>YEAR(source[[#This Row],[report_date]])</f>
        <v>2026</v>
      </c>
      <c r="C14908" s="128">
        <f t="shared" si="703"/>
        <v>4</v>
      </c>
      <c r="D14908" s="136">
        <f t="shared" si="704"/>
        <v>17</v>
      </c>
      <c r="E14908" s="136">
        <f t="shared" si="705"/>
        <v>24</v>
      </c>
      <c r="F14908" s="128" t="s">
        <v>24</v>
      </c>
      <c r="G14908" s="128" t="str">
        <f>VLOOKUP(source[[#This Row],[lending_product_transform]],[3]Mapping!$B$4:$C$37,2,0)</f>
        <v>[Cake] - Cashloan</v>
      </c>
      <c r="H14908" s="128" t="str">
        <f>VLOOKUP(source[[#This Row],[lending_product_transform]],[3]Mapping!$B$3:$D$37,3,0)</f>
        <v>cashloan</v>
      </c>
      <c r="I14908" s="549">
        <v>0</v>
      </c>
    </row>
    <row r="14909" spans="1:9" x14ac:dyDescent="0.2">
      <c r="A14909" s="134">
        <v>46136</v>
      </c>
      <c r="B14909" s="549">
        <f>YEAR(source[[#This Row],[report_date]])</f>
        <v>2026</v>
      </c>
      <c r="C14909" s="128">
        <f t="shared" si="703"/>
        <v>4</v>
      </c>
      <c r="D14909" s="136">
        <f t="shared" si="704"/>
        <v>17</v>
      </c>
      <c r="E14909" s="136">
        <f t="shared" si="705"/>
        <v>24</v>
      </c>
      <c r="F14909" s="128" t="s">
        <v>24</v>
      </c>
      <c r="G14909" s="128" t="str">
        <f>VLOOKUP(source[[#This Row],[lending_product_transform]],[3]Mapping!$B$4:$C$37,2,0)</f>
        <v>[Cake] - Cashloan</v>
      </c>
      <c r="H14909" s="128" t="str">
        <f>VLOOKUP(source[[#This Row],[lending_product_transform]],[3]Mapping!$B$3:$D$37,3,0)</f>
        <v>cashloan</v>
      </c>
      <c r="I14909" s="549">
        <v>0</v>
      </c>
    </row>
    <row r="14910" spans="1:9" x14ac:dyDescent="0.2">
      <c r="A14910" s="134">
        <v>46136</v>
      </c>
      <c r="B14910" s="549">
        <f>YEAR(source[[#This Row],[report_date]])</f>
        <v>2026</v>
      </c>
      <c r="C14910" s="128">
        <f t="shared" si="703"/>
        <v>4</v>
      </c>
      <c r="D14910" s="136">
        <f t="shared" si="704"/>
        <v>17</v>
      </c>
      <c r="E14910" s="136">
        <f t="shared" si="705"/>
        <v>24</v>
      </c>
      <c r="F14910" s="128" t="s">
        <v>24</v>
      </c>
      <c r="G14910" s="128" t="str">
        <f>VLOOKUP(source[[#This Row],[lending_product_transform]],[3]Mapping!$B$4:$C$37,2,0)</f>
        <v>[Cake] - Cashloan</v>
      </c>
      <c r="H14910" s="128" t="str">
        <f>VLOOKUP(source[[#This Row],[lending_product_transform]],[3]Mapping!$B$3:$D$37,3,0)</f>
        <v>cashloan</v>
      </c>
      <c r="I14910" s="549">
        <v>0</v>
      </c>
    </row>
    <row r="14911" spans="1:9" x14ac:dyDescent="0.2">
      <c r="A14911" s="134">
        <v>46136</v>
      </c>
      <c r="B14911" s="549">
        <f>YEAR(source[[#This Row],[report_date]])</f>
        <v>2026</v>
      </c>
      <c r="C14911" s="128">
        <f t="shared" si="703"/>
        <v>4</v>
      </c>
      <c r="D14911" s="136">
        <f t="shared" si="704"/>
        <v>17</v>
      </c>
      <c r="E14911" s="136">
        <f t="shared" si="705"/>
        <v>24</v>
      </c>
      <c r="F14911" s="128" t="s">
        <v>24</v>
      </c>
      <c r="G14911" s="128" t="str">
        <f>VLOOKUP(source[[#This Row],[lending_product_transform]],[3]Mapping!$B$4:$C$37,2,0)</f>
        <v>[Cake] - Cashloan</v>
      </c>
      <c r="H14911" s="128" t="str">
        <f>VLOOKUP(source[[#This Row],[lending_product_transform]],[3]Mapping!$B$3:$D$37,3,0)</f>
        <v>cashloan</v>
      </c>
      <c r="I14911" s="549">
        <v>0</v>
      </c>
    </row>
    <row r="14912" spans="1:9" x14ac:dyDescent="0.2">
      <c r="A14912" s="134">
        <v>46136</v>
      </c>
      <c r="B14912" s="549">
        <f>YEAR(source[[#This Row],[report_date]])</f>
        <v>2026</v>
      </c>
      <c r="C14912" s="128">
        <f t="shared" si="703"/>
        <v>4</v>
      </c>
      <c r="D14912" s="136">
        <f t="shared" si="704"/>
        <v>17</v>
      </c>
      <c r="E14912" s="136">
        <f t="shared" si="705"/>
        <v>24</v>
      </c>
      <c r="F14912" s="128" t="s">
        <v>24</v>
      </c>
      <c r="G14912" s="128" t="str">
        <f>VLOOKUP(source[[#This Row],[lending_product_transform]],[3]Mapping!$B$4:$C$37,2,0)</f>
        <v>[Cake] - Cashloan</v>
      </c>
      <c r="H14912" s="128" t="str">
        <f>VLOOKUP(source[[#This Row],[lending_product_transform]],[3]Mapping!$B$3:$D$37,3,0)</f>
        <v>cashloan</v>
      </c>
      <c r="I14912" s="549">
        <v>11401236000</v>
      </c>
    </row>
    <row r="14913" spans="1:9" x14ac:dyDescent="0.2">
      <c r="A14913" s="134">
        <v>46136</v>
      </c>
      <c r="B14913" s="549">
        <f>YEAR(source[[#This Row],[report_date]])</f>
        <v>2026</v>
      </c>
      <c r="C14913" s="128">
        <f t="shared" si="703"/>
        <v>4</v>
      </c>
      <c r="D14913" s="136">
        <f t="shared" si="704"/>
        <v>17</v>
      </c>
      <c r="E14913" s="136">
        <f t="shared" si="705"/>
        <v>24</v>
      </c>
      <c r="F14913" s="128" t="s">
        <v>24</v>
      </c>
      <c r="G14913" s="128" t="str">
        <f>VLOOKUP(source[[#This Row],[lending_product_transform]],[3]Mapping!$B$4:$C$37,2,0)</f>
        <v>[Cake] - Cashloan</v>
      </c>
      <c r="H14913" s="128" t="str">
        <f>VLOOKUP(source[[#This Row],[lending_product_transform]],[3]Mapping!$B$3:$D$37,3,0)</f>
        <v>cashloan</v>
      </c>
      <c r="I14913" s="549">
        <v>143695252</v>
      </c>
    </row>
    <row r="14914" spans="1:9" x14ac:dyDescent="0.2">
      <c r="A14914" s="134">
        <v>46136</v>
      </c>
      <c r="B14914" s="549">
        <f>YEAR(source[[#This Row],[report_date]])</f>
        <v>2026</v>
      </c>
      <c r="C14914" s="128">
        <f t="shared" si="703"/>
        <v>4</v>
      </c>
      <c r="D14914" s="136">
        <f t="shared" si="704"/>
        <v>17</v>
      </c>
      <c r="E14914" s="136">
        <f t="shared" si="705"/>
        <v>24</v>
      </c>
      <c r="F14914" s="128" t="s">
        <v>24</v>
      </c>
      <c r="G14914" s="128" t="str">
        <f>VLOOKUP(source[[#This Row],[lending_product_transform]],[3]Mapping!$B$4:$C$37,2,0)</f>
        <v>[Cake] - Cashloan</v>
      </c>
      <c r="H14914" s="128" t="str">
        <f>VLOOKUP(source[[#This Row],[lending_product_transform]],[3]Mapping!$B$3:$D$37,3,0)</f>
        <v>cashloan</v>
      </c>
      <c r="I14914" s="549">
        <v>21000000</v>
      </c>
    </row>
    <row r="14915" spans="1:9" x14ac:dyDescent="0.2">
      <c r="A14915" s="134">
        <v>46136</v>
      </c>
      <c r="B14915" s="549">
        <f>YEAR(source[[#This Row],[report_date]])</f>
        <v>2026</v>
      </c>
      <c r="C14915" s="128">
        <f t="shared" si="703"/>
        <v>4</v>
      </c>
      <c r="D14915" s="136">
        <f t="shared" si="704"/>
        <v>17</v>
      </c>
      <c r="E14915" s="136">
        <f t="shared" si="705"/>
        <v>24</v>
      </c>
      <c r="F14915" s="128" t="s">
        <v>24</v>
      </c>
      <c r="G14915" s="128" t="str">
        <f>VLOOKUP(source[[#This Row],[lending_product_transform]],[3]Mapping!$B$4:$C$37,2,0)</f>
        <v>[Cake] - Cashloan</v>
      </c>
      <c r="H14915" s="128" t="str">
        <f>VLOOKUP(source[[#This Row],[lending_product_transform]],[3]Mapping!$B$3:$D$37,3,0)</f>
        <v>cashloan</v>
      </c>
      <c r="I14915" s="549">
        <v>69000000</v>
      </c>
    </row>
    <row r="14916" spans="1:9" x14ac:dyDescent="0.2">
      <c r="A14916" s="134">
        <v>46136</v>
      </c>
      <c r="B14916" s="549">
        <f>YEAR(source[[#This Row],[report_date]])</f>
        <v>2026</v>
      </c>
      <c r="C14916" s="128">
        <f t="shared" si="703"/>
        <v>4</v>
      </c>
      <c r="D14916" s="136">
        <f t="shared" si="704"/>
        <v>17</v>
      </c>
      <c r="E14916" s="136">
        <f t="shared" si="705"/>
        <v>24</v>
      </c>
      <c r="F14916" s="128" t="s">
        <v>24</v>
      </c>
      <c r="G14916" s="128" t="str">
        <f>VLOOKUP(source[[#This Row],[lending_product_transform]],[3]Mapping!$B$4:$C$37,2,0)</f>
        <v>[Cake] - Cashloan</v>
      </c>
      <c r="H14916" s="128" t="str">
        <f>VLOOKUP(source[[#This Row],[lending_product_transform]],[3]Mapping!$B$3:$D$37,3,0)</f>
        <v>cashloan</v>
      </c>
      <c r="I14916" s="549">
        <v>560070000</v>
      </c>
    </row>
    <row r="14917" spans="1:9" x14ac:dyDescent="0.2">
      <c r="A14917" s="134">
        <v>46136</v>
      </c>
      <c r="B14917" s="549">
        <f>YEAR(source[[#This Row],[report_date]])</f>
        <v>2026</v>
      </c>
      <c r="C14917" s="128">
        <f t="shared" si="703"/>
        <v>4</v>
      </c>
      <c r="D14917" s="136">
        <f t="shared" si="704"/>
        <v>17</v>
      </c>
      <c r="E14917" s="136">
        <f t="shared" si="705"/>
        <v>24</v>
      </c>
      <c r="F14917" s="128" t="s">
        <v>24</v>
      </c>
      <c r="G14917" s="128" t="str">
        <f>VLOOKUP(source[[#This Row],[lending_product_transform]],[3]Mapping!$B$4:$C$37,2,0)</f>
        <v>[Cake] - Cashloan</v>
      </c>
      <c r="H14917" s="128" t="str">
        <f>VLOOKUP(source[[#This Row],[lending_product_transform]],[3]Mapping!$B$3:$D$37,3,0)</f>
        <v>cashloan</v>
      </c>
      <c r="I14917" s="549">
        <v>325620000</v>
      </c>
    </row>
    <row r="14918" spans="1:9" x14ac:dyDescent="0.2">
      <c r="A14918" s="134">
        <v>46136</v>
      </c>
      <c r="B14918" s="549">
        <f>YEAR(source[[#This Row],[report_date]])</f>
        <v>2026</v>
      </c>
      <c r="C14918" s="128">
        <f t="shared" si="703"/>
        <v>4</v>
      </c>
      <c r="D14918" s="136">
        <f t="shared" si="704"/>
        <v>17</v>
      </c>
      <c r="E14918" s="136">
        <f t="shared" si="705"/>
        <v>24</v>
      </c>
      <c r="F14918" s="128" t="s">
        <v>24</v>
      </c>
      <c r="G14918" s="128" t="str">
        <f>VLOOKUP(source[[#This Row],[lending_product_transform]],[3]Mapping!$B$4:$C$37,2,0)</f>
        <v>[Cake] - Cashloan</v>
      </c>
      <c r="H14918" s="128" t="str">
        <f>VLOOKUP(source[[#This Row],[lending_product_transform]],[3]Mapping!$B$3:$D$37,3,0)</f>
        <v>cashloan</v>
      </c>
      <c r="I14918" s="549">
        <v>304187198</v>
      </c>
    </row>
    <row r="14919" spans="1:9" x14ac:dyDescent="0.2">
      <c r="A14919" s="134">
        <v>46136</v>
      </c>
      <c r="B14919" s="549">
        <f>YEAR(source[[#This Row],[report_date]])</f>
        <v>2026</v>
      </c>
      <c r="C14919" s="128">
        <f t="shared" si="703"/>
        <v>4</v>
      </c>
      <c r="D14919" s="136">
        <f t="shared" si="704"/>
        <v>17</v>
      </c>
      <c r="E14919" s="136">
        <f t="shared" si="705"/>
        <v>24</v>
      </c>
      <c r="F14919" s="128" t="s">
        <v>24</v>
      </c>
      <c r="G14919" s="128" t="str">
        <f>VLOOKUP(source[[#This Row],[lending_product_transform]],[3]Mapping!$B$4:$C$37,2,0)</f>
        <v>[Cake] - Cashloan</v>
      </c>
      <c r="H14919" s="128" t="str">
        <f>VLOOKUP(source[[#This Row],[lending_product_transform]],[3]Mapping!$B$3:$D$37,3,0)</f>
        <v>cashloan</v>
      </c>
      <c r="I14919" s="549">
        <v>5596010000</v>
      </c>
    </row>
    <row r="14920" spans="1:9" x14ac:dyDescent="0.2">
      <c r="A14920" s="134">
        <v>46136</v>
      </c>
      <c r="B14920" s="549">
        <f>YEAR(source[[#This Row],[report_date]])</f>
        <v>2026</v>
      </c>
      <c r="C14920" s="128">
        <f t="shared" si="703"/>
        <v>4</v>
      </c>
      <c r="D14920" s="136">
        <f t="shared" si="704"/>
        <v>17</v>
      </c>
      <c r="E14920" s="136">
        <f t="shared" si="705"/>
        <v>24</v>
      </c>
      <c r="F14920" s="128" t="s">
        <v>24</v>
      </c>
      <c r="G14920" s="128" t="str">
        <f>VLOOKUP(source[[#This Row],[lending_product_transform]],[3]Mapping!$B$4:$C$37,2,0)</f>
        <v>[Cake] - Cashloan</v>
      </c>
      <c r="H14920" s="128" t="str">
        <f>VLOOKUP(source[[#This Row],[lending_product_transform]],[3]Mapping!$B$3:$D$37,3,0)</f>
        <v>cashloan</v>
      </c>
      <c r="I14920" s="549">
        <v>0</v>
      </c>
    </row>
    <row r="14921" spans="1:9" x14ac:dyDescent="0.2">
      <c r="A14921" s="134">
        <v>46137</v>
      </c>
      <c r="B14921" s="549">
        <f>YEAR(source[[#This Row],[report_date]])</f>
        <v>2026</v>
      </c>
      <c r="C14921" s="128">
        <f t="shared" si="703"/>
        <v>4</v>
      </c>
      <c r="D14921" s="136">
        <f t="shared" si="704"/>
        <v>17</v>
      </c>
      <c r="E14921" s="136">
        <f t="shared" si="705"/>
        <v>25</v>
      </c>
      <c r="F14921" s="128" t="s">
        <v>24</v>
      </c>
      <c r="G14921" s="128" t="str">
        <f>VLOOKUP(source[[#This Row],[lending_product_transform]],[3]Mapping!$B$4:$C$37,2,0)</f>
        <v>[Cake] - Cashloan</v>
      </c>
      <c r="H14921" s="128" t="str">
        <f>VLOOKUP(source[[#This Row],[lending_product_transform]],[3]Mapping!$B$3:$D$37,3,0)</f>
        <v>cashloan</v>
      </c>
      <c r="I14921" s="549">
        <v>773830000</v>
      </c>
    </row>
    <row r="14922" spans="1:9" x14ac:dyDescent="0.2">
      <c r="A14922" s="134">
        <v>46137</v>
      </c>
      <c r="B14922" s="549">
        <f>YEAR(source[[#This Row],[report_date]])</f>
        <v>2026</v>
      </c>
      <c r="C14922" s="128">
        <f t="shared" si="703"/>
        <v>4</v>
      </c>
      <c r="D14922" s="136">
        <f t="shared" si="704"/>
        <v>17</v>
      </c>
      <c r="E14922" s="136">
        <f t="shared" si="705"/>
        <v>25</v>
      </c>
      <c r="F14922" s="128" t="s">
        <v>24</v>
      </c>
      <c r="G14922" s="128" t="str">
        <f>VLOOKUP(source[[#This Row],[lending_product_transform]],[3]Mapping!$B$4:$C$37,2,0)</f>
        <v>[Cake] - Cashloan</v>
      </c>
      <c r="H14922" s="128" t="str">
        <f>VLOOKUP(source[[#This Row],[lending_product_transform]],[3]Mapping!$B$3:$D$37,3,0)</f>
        <v>cashloan</v>
      </c>
      <c r="I14922" s="549">
        <v>330827954</v>
      </c>
    </row>
    <row r="14923" spans="1:9" x14ac:dyDescent="0.2">
      <c r="A14923" s="134">
        <v>46137</v>
      </c>
      <c r="B14923" s="549">
        <f>YEAR(source[[#This Row],[report_date]])</f>
        <v>2026</v>
      </c>
      <c r="C14923" s="128">
        <f t="shared" si="703"/>
        <v>4</v>
      </c>
      <c r="D14923" s="136">
        <f t="shared" si="704"/>
        <v>17</v>
      </c>
      <c r="E14923" s="136">
        <f t="shared" si="705"/>
        <v>25</v>
      </c>
      <c r="F14923" s="128" t="s">
        <v>24</v>
      </c>
      <c r="G14923" s="128" t="str">
        <f>VLOOKUP(source[[#This Row],[lending_product_transform]],[3]Mapping!$B$4:$C$37,2,0)</f>
        <v>[Cake] - Cashloan</v>
      </c>
      <c r="H14923" s="128" t="str">
        <f>VLOOKUP(source[[#This Row],[lending_product_transform]],[3]Mapping!$B$3:$D$37,3,0)</f>
        <v>cashloan</v>
      </c>
      <c r="I14923" s="549">
        <v>11232430000</v>
      </c>
    </row>
    <row r="14924" spans="1:9" x14ac:dyDescent="0.2">
      <c r="A14924" s="134">
        <v>46137</v>
      </c>
      <c r="B14924" s="549">
        <f>YEAR(source[[#This Row],[report_date]])</f>
        <v>2026</v>
      </c>
      <c r="C14924" s="128">
        <f t="shared" si="703"/>
        <v>4</v>
      </c>
      <c r="D14924" s="136">
        <f t="shared" si="704"/>
        <v>17</v>
      </c>
      <c r="E14924" s="136">
        <f t="shared" si="705"/>
        <v>25</v>
      </c>
      <c r="F14924" s="128" t="s">
        <v>24</v>
      </c>
      <c r="G14924" s="128" t="str">
        <f>VLOOKUP(source[[#This Row],[lending_product_transform]],[3]Mapping!$B$4:$C$37,2,0)</f>
        <v>[Cake] - Cashloan</v>
      </c>
      <c r="H14924" s="128" t="str">
        <f>VLOOKUP(source[[#This Row],[lending_product_transform]],[3]Mapping!$B$3:$D$37,3,0)</f>
        <v>cashloan</v>
      </c>
      <c r="I14924" s="549">
        <v>1397531250</v>
      </c>
    </row>
    <row r="14925" spans="1:9" x14ac:dyDescent="0.2">
      <c r="A14925" s="134">
        <v>46137</v>
      </c>
      <c r="B14925" s="549">
        <f>YEAR(source[[#This Row],[report_date]])</f>
        <v>2026</v>
      </c>
      <c r="C14925" s="128">
        <f t="shared" si="703"/>
        <v>4</v>
      </c>
      <c r="D14925" s="136">
        <f t="shared" si="704"/>
        <v>17</v>
      </c>
      <c r="E14925" s="136">
        <f t="shared" si="705"/>
        <v>25</v>
      </c>
      <c r="F14925" s="128" t="s">
        <v>24</v>
      </c>
      <c r="G14925" s="128" t="str">
        <f>VLOOKUP(source[[#This Row],[lending_product_transform]],[3]Mapping!$B$4:$C$37,2,0)</f>
        <v>[Cake] - Cashloan</v>
      </c>
      <c r="H14925" s="128" t="str">
        <f>VLOOKUP(source[[#This Row],[lending_product_transform]],[3]Mapping!$B$3:$D$37,3,0)</f>
        <v>cashloan</v>
      </c>
      <c r="I14925" s="549">
        <v>14073264000</v>
      </c>
    </row>
    <row r="14926" spans="1:9" x14ac:dyDescent="0.2">
      <c r="A14926" s="134">
        <v>46137</v>
      </c>
      <c r="B14926" s="549">
        <f>YEAR(source[[#This Row],[report_date]])</f>
        <v>2026</v>
      </c>
      <c r="C14926" s="128">
        <f t="shared" si="703"/>
        <v>4</v>
      </c>
      <c r="D14926" s="136">
        <f t="shared" si="704"/>
        <v>17</v>
      </c>
      <c r="E14926" s="136">
        <f t="shared" si="705"/>
        <v>25</v>
      </c>
      <c r="F14926" s="128" t="s">
        <v>24</v>
      </c>
      <c r="G14926" s="128" t="str">
        <f>VLOOKUP(source[[#This Row],[lending_product_transform]],[3]Mapping!$B$4:$C$37,2,0)</f>
        <v>[Cake] - Cashloan</v>
      </c>
      <c r="H14926" s="128" t="str">
        <f>VLOOKUP(source[[#This Row],[lending_product_transform]],[3]Mapping!$B$3:$D$37,3,0)</f>
        <v>cashloan</v>
      </c>
      <c r="I14926" s="549">
        <v>0</v>
      </c>
    </row>
    <row r="14927" spans="1:9" x14ac:dyDescent="0.2">
      <c r="A14927" s="134">
        <v>46137</v>
      </c>
      <c r="B14927" s="549">
        <f>YEAR(source[[#This Row],[report_date]])</f>
        <v>2026</v>
      </c>
      <c r="C14927" s="128">
        <f t="shared" si="703"/>
        <v>4</v>
      </c>
      <c r="D14927" s="136">
        <f t="shared" si="704"/>
        <v>17</v>
      </c>
      <c r="E14927" s="136">
        <f t="shared" si="705"/>
        <v>25</v>
      </c>
      <c r="F14927" s="128" t="s">
        <v>24</v>
      </c>
      <c r="G14927" s="128" t="str">
        <f>VLOOKUP(source[[#This Row],[lending_product_transform]],[3]Mapping!$B$4:$C$37,2,0)</f>
        <v>[Cake] - Cashloan</v>
      </c>
      <c r="H14927" s="128" t="str">
        <f>VLOOKUP(source[[#This Row],[lending_product_transform]],[3]Mapping!$B$3:$D$37,3,0)</f>
        <v>cashloan</v>
      </c>
      <c r="I14927" s="549">
        <v>0</v>
      </c>
    </row>
    <row r="14928" spans="1:9" x14ac:dyDescent="0.2">
      <c r="A14928" s="134">
        <v>46137</v>
      </c>
      <c r="B14928" s="549">
        <f>YEAR(source[[#This Row],[report_date]])</f>
        <v>2026</v>
      </c>
      <c r="C14928" s="128">
        <f t="shared" si="703"/>
        <v>4</v>
      </c>
      <c r="D14928" s="136">
        <f t="shared" si="704"/>
        <v>17</v>
      </c>
      <c r="E14928" s="136">
        <f t="shared" si="705"/>
        <v>25</v>
      </c>
      <c r="F14928" s="128" t="s">
        <v>24</v>
      </c>
      <c r="G14928" s="128" t="str">
        <f>VLOOKUP(source[[#This Row],[lending_product_transform]],[3]Mapping!$B$4:$C$37,2,0)</f>
        <v>[Cake] - Cashloan</v>
      </c>
      <c r="H14928" s="128" t="str">
        <f>VLOOKUP(source[[#This Row],[lending_product_transform]],[3]Mapping!$B$3:$D$37,3,0)</f>
        <v>cashloan</v>
      </c>
      <c r="I14928" s="549">
        <v>2308850000</v>
      </c>
    </row>
    <row r="14929" spans="1:9" x14ac:dyDescent="0.2">
      <c r="A14929" s="134">
        <v>46137</v>
      </c>
      <c r="B14929" s="549">
        <f>YEAR(source[[#This Row],[report_date]])</f>
        <v>2026</v>
      </c>
      <c r="C14929" s="128">
        <f t="shared" ref="C14929:C14992" si="706">MONTH(A14929)</f>
        <v>4</v>
      </c>
      <c r="D14929" s="136">
        <f t="shared" ref="D14929:D14992" si="707">WEEKNUM(A14929,2)</f>
        <v>17</v>
      </c>
      <c r="E14929" s="136">
        <f t="shared" ref="E14929:E14992" si="708">DAY(A14929)</f>
        <v>25</v>
      </c>
      <c r="F14929" s="128" t="s">
        <v>24</v>
      </c>
      <c r="G14929" s="128" t="str">
        <f>VLOOKUP(source[[#This Row],[lending_product_transform]],[3]Mapping!$B$4:$C$37,2,0)</f>
        <v>[Cake] - Cashloan</v>
      </c>
      <c r="H14929" s="128" t="str">
        <f>VLOOKUP(source[[#This Row],[lending_product_transform]],[3]Mapping!$B$3:$D$37,3,0)</f>
        <v>cashloan</v>
      </c>
      <c r="I14929" s="549">
        <v>662140000</v>
      </c>
    </row>
    <row r="14930" spans="1:9" x14ac:dyDescent="0.2">
      <c r="A14930" s="134">
        <v>46137</v>
      </c>
      <c r="B14930" s="549">
        <f>YEAR(source[[#This Row],[report_date]])</f>
        <v>2026</v>
      </c>
      <c r="C14930" s="128">
        <f t="shared" si="706"/>
        <v>4</v>
      </c>
      <c r="D14930" s="136">
        <f t="shared" si="707"/>
        <v>17</v>
      </c>
      <c r="E14930" s="136">
        <f t="shared" si="708"/>
        <v>25</v>
      </c>
      <c r="F14930" s="128" t="s">
        <v>24</v>
      </c>
      <c r="G14930" s="128" t="str">
        <f>VLOOKUP(source[[#This Row],[lending_product_transform]],[3]Mapping!$B$4:$C$37,2,0)</f>
        <v>[Cake] - Cashloan</v>
      </c>
      <c r="H14930" s="128" t="str">
        <f>VLOOKUP(source[[#This Row],[lending_product_transform]],[3]Mapping!$B$3:$D$37,3,0)</f>
        <v>cashloan</v>
      </c>
      <c r="I14930" s="549">
        <v>3684746</v>
      </c>
    </row>
    <row r="14931" spans="1:9" x14ac:dyDescent="0.2">
      <c r="A14931" s="134">
        <v>46137</v>
      </c>
      <c r="B14931" s="549">
        <f>YEAR(source[[#This Row],[report_date]])</f>
        <v>2026</v>
      </c>
      <c r="C14931" s="128">
        <f t="shared" si="706"/>
        <v>4</v>
      </c>
      <c r="D14931" s="136">
        <f t="shared" si="707"/>
        <v>17</v>
      </c>
      <c r="E14931" s="136">
        <f t="shared" si="708"/>
        <v>25</v>
      </c>
      <c r="F14931" s="128" t="s">
        <v>24</v>
      </c>
      <c r="G14931" s="128" t="str">
        <f>VLOOKUP(source[[#This Row],[lending_product_transform]],[3]Mapping!$B$4:$C$37,2,0)</f>
        <v>[Cake] - Cashloan</v>
      </c>
      <c r="H14931" s="128" t="str">
        <f>VLOOKUP(source[[#This Row],[lending_product_transform]],[3]Mapping!$B$3:$D$37,3,0)</f>
        <v>cashloan</v>
      </c>
      <c r="I14931" s="549">
        <v>1074214674</v>
      </c>
    </row>
    <row r="14932" spans="1:9" x14ac:dyDescent="0.2">
      <c r="A14932" s="134">
        <v>46137</v>
      </c>
      <c r="B14932" s="549">
        <f>YEAR(source[[#This Row],[report_date]])</f>
        <v>2026</v>
      </c>
      <c r="C14932" s="128">
        <f t="shared" si="706"/>
        <v>4</v>
      </c>
      <c r="D14932" s="136">
        <f t="shared" si="707"/>
        <v>17</v>
      </c>
      <c r="E14932" s="136">
        <f t="shared" si="708"/>
        <v>25</v>
      </c>
      <c r="F14932" s="128" t="s">
        <v>24</v>
      </c>
      <c r="G14932" s="128" t="str">
        <f>VLOOKUP(source[[#This Row],[lending_product_transform]],[3]Mapping!$B$4:$C$37,2,0)</f>
        <v>[Cake] - Cashloan</v>
      </c>
      <c r="H14932" s="128" t="str">
        <f>VLOOKUP(source[[#This Row],[lending_product_transform]],[3]Mapping!$B$3:$D$37,3,0)</f>
        <v>cashloan</v>
      </c>
      <c r="I14932" s="549">
        <v>0</v>
      </c>
    </row>
    <row r="14933" spans="1:9" x14ac:dyDescent="0.2">
      <c r="A14933" s="134">
        <v>46137</v>
      </c>
      <c r="B14933" s="549">
        <f>YEAR(source[[#This Row],[report_date]])</f>
        <v>2026</v>
      </c>
      <c r="C14933" s="128">
        <f t="shared" si="706"/>
        <v>4</v>
      </c>
      <c r="D14933" s="136">
        <f t="shared" si="707"/>
        <v>17</v>
      </c>
      <c r="E14933" s="136">
        <f t="shared" si="708"/>
        <v>25</v>
      </c>
      <c r="F14933" s="128" t="s">
        <v>24</v>
      </c>
      <c r="G14933" s="128" t="str">
        <f>VLOOKUP(source[[#This Row],[lending_product_transform]],[3]Mapping!$B$4:$C$37,2,0)</f>
        <v>[Cake] - Cashloan</v>
      </c>
      <c r="H14933" s="128" t="str">
        <f>VLOOKUP(source[[#This Row],[lending_product_transform]],[3]Mapping!$B$3:$D$37,3,0)</f>
        <v>cashloan</v>
      </c>
      <c r="I14933" s="549">
        <v>29400000</v>
      </c>
    </row>
    <row r="14934" spans="1:9" x14ac:dyDescent="0.2">
      <c r="A14934" s="134">
        <v>46137</v>
      </c>
      <c r="B14934" s="549">
        <f>YEAR(source[[#This Row],[report_date]])</f>
        <v>2026</v>
      </c>
      <c r="C14934" s="128">
        <f t="shared" si="706"/>
        <v>4</v>
      </c>
      <c r="D14934" s="136">
        <f t="shared" si="707"/>
        <v>17</v>
      </c>
      <c r="E14934" s="136">
        <f t="shared" si="708"/>
        <v>25</v>
      </c>
      <c r="F14934" s="128" t="s">
        <v>24</v>
      </c>
      <c r="G14934" s="128" t="str">
        <f>VLOOKUP(source[[#This Row],[lending_product_transform]],[3]Mapping!$B$4:$C$37,2,0)</f>
        <v>[Cake] - Cashloan</v>
      </c>
      <c r="H14934" s="128" t="str">
        <f>VLOOKUP(source[[#This Row],[lending_product_transform]],[3]Mapping!$B$3:$D$37,3,0)</f>
        <v>cashloan</v>
      </c>
      <c r="I14934" s="549">
        <v>0</v>
      </c>
    </row>
    <row r="14935" spans="1:9" x14ac:dyDescent="0.2">
      <c r="A14935" s="134">
        <v>46137</v>
      </c>
      <c r="B14935" s="549">
        <f>YEAR(source[[#This Row],[report_date]])</f>
        <v>2026</v>
      </c>
      <c r="C14935" s="128">
        <f t="shared" si="706"/>
        <v>4</v>
      </c>
      <c r="D14935" s="136">
        <f t="shared" si="707"/>
        <v>17</v>
      </c>
      <c r="E14935" s="136">
        <f t="shared" si="708"/>
        <v>25</v>
      </c>
      <c r="F14935" s="128" t="s">
        <v>24</v>
      </c>
      <c r="G14935" s="128" t="str">
        <f>VLOOKUP(source[[#This Row],[lending_product_transform]],[3]Mapping!$B$4:$C$37,2,0)</f>
        <v>[Cake] - Cashloan</v>
      </c>
      <c r="H14935" s="128" t="str">
        <f>VLOOKUP(source[[#This Row],[lending_product_transform]],[3]Mapping!$B$3:$D$37,3,0)</f>
        <v>cashloan</v>
      </c>
      <c r="I14935" s="549">
        <v>16521930000</v>
      </c>
    </row>
    <row r="14936" spans="1:9" x14ac:dyDescent="0.2">
      <c r="A14936" s="134">
        <v>46137</v>
      </c>
      <c r="B14936" s="549">
        <f>YEAR(source[[#This Row],[report_date]])</f>
        <v>2026</v>
      </c>
      <c r="C14936" s="128">
        <f t="shared" si="706"/>
        <v>4</v>
      </c>
      <c r="D14936" s="136">
        <f t="shared" si="707"/>
        <v>17</v>
      </c>
      <c r="E14936" s="136">
        <f t="shared" si="708"/>
        <v>25</v>
      </c>
      <c r="F14936" s="128" t="s">
        <v>24</v>
      </c>
      <c r="G14936" s="128" t="str">
        <f>VLOOKUP(source[[#This Row],[lending_product_transform]],[3]Mapping!$B$4:$C$37,2,0)</f>
        <v>[Cake] - Cashloan</v>
      </c>
      <c r="H14936" s="128" t="str">
        <f>VLOOKUP(source[[#This Row],[lending_product_transform]],[3]Mapping!$B$3:$D$37,3,0)</f>
        <v>cashloan</v>
      </c>
      <c r="I14936" s="549">
        <v>0</v>
      </c>
    </row>
    <row r="14937" spans="1:9" x14ac:dyDescent="0.2">
      <c r="A14937" s="134">
        <v>46137</v>
      </c>
      <c r="B14937" s="549">
        <f>YEAR(source[[#This Row],[report_date]])</f>
        <v>2026</v>
      </c>
      <c r="C14937" s="128">
        <f t="shared" si="706"/>
        <v>4</v>
      </c>
      <c r="D14937" s="136">
        <f t="shared" si="707"/>
        <v>17</v>
      </c>
      <c r="E14937" s="136">
        <f t="shared" si="708"/>
        <v>25</v>
      </c>
      <c r="F14937" s="128" t="s">
        <v>24</v>
      </c>
      <c r="G14937" s="128" t="str">
        <f>VLOOKUP(source[[#This Row],[lending_product_transform]],[3]Mapping!$B$4:$C$37,2,0)</f>
        <v>[Cake] - Cashloan</v>
      </c>
      <c r="H14937" s="128" t="str">
        <f>VLOOKUP(source[[#This Row],[lending_product_transform]],[3]Mapping!$B$3:$D$37,3,0)</f>
        <v>cashloan</v>
      </c>
      <c r="I14937" s="549">
        <v>0</v>
      </c>
    </row>
    <row r="14938" spans="1:9" x14ac:dyDescent="0.2">
      <c r="A14938" s="134">
        <v>46137</v>
      </c>
      <c r="B14938" s="549">
        <f>YEAR(source[[#This Row],[report_date]])</f>
        <v>2026</v>
      </c>
      <c r="C14938" s="128">
        <f t="shared" si="706"/>
        <v>4</v>
      </c>
      <c r="D14938" s="136">
        <f t="shared" si="707"/>
        <v>17</v>
      </c>
      <c r="E14938" s="136">
        <f t="shared" si="708"/>
        <v>25</v>
      </c>
      <c r="F14938" s="128" t="s">
        <v>24</v>
      </c>
      <c r="G14938" s="128" t="str">
        <f>VLOOKUP(source[[#This Row],[lending_product_transform]],[3]Mapping!$B$4:$C$37,2,0)</f>
        <v>[Cake] - Cashloan</v>
      </c>
      <c r="H14938" s="128" t="str">
        <f>VLOOKUP(source[[#This Row],[lending_product_transform]],[3]Mapping!$B$3:$D$37,3,0)</f>
        <v>cashloan</v>
      </c>
      <c r="I14938" s="549">
        <v>0</v>
      </c>
    </row>
    <row r="14939" spans="1:9" x14ac:dyDescent="0.2">
      <c r="A14939" s="134">
        <v>46137</v>
      </c>
      <c r="B14939" s="549">
        <f>YEAR(source[[#This Row],[report_date]])</f>
        <v>2026</v>
      </c>
      <c r="C14939" s="128">
        <f t="shared" si="706"/>
        <v>4</v>
      </c>
      <c r="D14939" s="136">
        <f t="shared" si="707"/>
        <v>17</v>
      </c>
      <c r="E14939" s="136">
        <f t="shared" si="708"/>
        <v>25</v>
      </c>
      <c r="F14939" s="128" t="s">
        <v>24</v>
      </c>
      <c r="G14939" s="128" t="str">
        <f>VLOOKUP(source[[#This Row],[lending_product_transform]],[3]Mapping!$B$4:$C$37,2,0)</f>
        <v>[Cake] - Cashloan</v>
      </c>
      <c r="H14939" s="128" t="str">
        <f>VLOOKUP(source[[#This Row],[lending_product_transform]],[3]Mapping!$B$3:$D$37,3,0)</f>
        <v>cashloan</v>
      </c>
      <c r="I14939" s="549">
        <v>0</v>
      </c>
    </row>
    <row r="14940" spans="1:9" x14ac:dyDescent="0.2">
      <c r="A14940" s="134">
        <v>46137</v>
      </c>
      <c r="B14940" s="549">
        <f>YEAR(source[[#This Row],[report_date]])</f>
        <v>2026</v>
      </c>
      <c r="C14940" s="128">
        <f t="shared" si="706"/>
        <v>4</v>
      </c>
      <c r="D14940" s="136">
        <f t="shared" si="707"/>
        <v>17</v>
      </c>
      <c r="E14940" s="136">
        <f t="shared" si="708"/>
        <v>25</v>
      </c>
      <c r="F14940" s="128" t="s">
        <v>24</v>
      </c>
      <c r="G14940" s="128" t="str">
        <f>VLOOKUP(source[[#This Row],[lending_product_transform]],[3]Mapping!$B$4:$C$37,2,0)</f>
        <v>[Cake] - Cashloan</v>
      </c>
      <c r="H14940" s="128" t="str">
        <f>VLOOKUP(source[[#This Row],[lending_product_transform]],[3]Mapping!$B$3:$D$37,3,0)</f>
        <v>cashloan</v>
      </c>
      <c r="I14940" s="549">
        <v>11211264000</v>
      </c>
    </row>
    <row r="14941" spans="1:9" x14ac:dyDescent="0.2">
      <c r="A14941" s="134">
        <v>46137</v>
      </c>
      <c r="B14941" s="549">
        <f>YEAR(source[[#This Row],[report_date]])</f>
        <v>2026</v>
      </c>
      <c r="C14941" s="128">
        <f t="shared" si="706"/>
        <v>4</v>
      </c>
      <c r="D14941" s="136">
        <f t="shared" si="707"/>
        <v>17</v>
      </c>
      <c r="E14941" s="136">
        <f t="shared" si="708"/>
        <v>25</v>
      </c>
      <c r="F14941" s="128" t="s">
        <v>24</v>
      </c>
      <c r="G14941" s="128" t="str">
        <f>VLOOKUP(source[[#This Row],[lending_product_transform]],[3]Mapping!$B$4:$C$37,2,0)</f>
        <v>[Cake] - Cashloan</v>
      </c>
      <c r="H14941" s="128" t="str">
        <f>VLOOKUP(source[[#This Row],[lending_product_transform]],[3]Mapping!$B$3:$D$37,3,0)</f>
        <v>cashloan</v>
      </c>
      <c r="I14941" s="549">
        <v>145933673</v>
      </c>
    </row>
    <row r="14942" spans="1:9" x14ac:dyDescent="0.2">
      <c r="A14942" s="134">
        <v>46137</v>
      </c>
      <c r="B14942" s="549">
        <f>YEAR(source[[#This Row],[report_date]])</f>
        <v>2026</v>
      </c>
      <c r="C14942" s="128">
        <f t="shared" si="706"/>
        <v>4</v>
      </c>
      <c r="D14942" s="136">
        <f t="shared" si="707"/>
        <v>17</v>
      </c>
      <c r="E14942" s="136">
        <f t="shared" si="708"/>
        <v>25</v>
      </c>
      <c r="F14942" s="128" t="s">
        <v>24</v>
      </c>
      <c r="G14942" s="128" t="str">
        <f>VLOOKUP(source[[#This Row],[lending_product_transform]],[3]Mapping!$B$4:$C$37,2,0)</f>
        <v>[Cake] - Cashloan</v>
      </c>
      <c r="H14942" s="128" t="str">
        <f>VLOOKUP(source[[#This Row],[lending_product_transform]],[3]Mapping!$B$3:$D$37,3,0)</f>
        <v>cashloan</v>
      </c>
      <c r="I14942" s="549">
        <v>38850000</v>
      </c>
    </row>
    <row r="14943" spans="1:9" x14ac:dyDescent="0.2">
      <c r="A14943" s="134">
        <v>46137</v>
      </c>
      <c r="B14943" s="549">
        <f>YEAR(source[[#This Row],[report_date]])</f>
        <v>2026</v>
      </c>
      <c r="C14943" s="128">
        <f t="shared" si="706"/>
        <v>4</v>
      </c>
      <c r="D14943" s="136">
        <f t="shared" si="707"/>
        <v>17</v>
      </c>
      <c r="E14943" s="136">
        <f t="shared" si="708"/>
        <v>25</v>
      </c>
      <c r="F14943" s="128" t="s">
        <v>24</v>
      </c>
      <c r="G14943" s="128" t="str">
        <f>VLOOKUP(source[[#This Row],[lending_product_transform]],[3]Mapping!$B$4:$C$37,2,0)</f>
        <v>[Cake] - Cashloan</v>
      </c>
      <c r="H14943" s="128" t="str">
        <f>VLOOKUP(source[[#This Row],[lending_product_transform]],[3]Mapping!$B$3:$D$37,3,0)</f>
        <v>cashloan</v>
      </c>
      <c r="I14943" s="549">
        <v>77000000</v>
      </c>
    </row>
    <row r="14944" spans="1:9" x14ac:dyDescent="0.2">
      <c r="A14944" s="134">
        <v>46137</v>
      </c>
      <c r="B14944" s="549">
        <f>YEAR(source[[#This Row],[report_date]])</f>
        <v>2026</v>
      </c>
      <c r="C14944" s="128">
        <f t="shared" si="706"/>
        <v>4</v>
      </c>
      <c r="D14944" s="136">
        <f t="shared" si="707"/>
        <v>17</v>
      </c>
      <c r="E14944" s="136">
        <f t="shared" si="708"/>
        <v>25</v>
      </c>
      <c r="F14944" s="128" t="s">
        <v>24</v>
      </c>
      <c r="G14944" s="128" t="str">
        <f>VLOOKUP(source[[#This Row],[lending_product_transform]],[3]Mapping!$B$4:$C$37,2,0)</f>
        <v>[Cake] - Cashloan</v>
      </c>
      <c r="H14944" s="128" t="str">
        <f>VLOOKUP(source[[#This Row],[lending_product_transform]],[3]Mapping!$B$3:$D$37,3,0)</f>
        <v>cashloan</v>
      </c>
      <c r="I14944" s="549">
        <v>726700000</v>
      </c>
    </row>
    <row r="14945" spans="1:9" x14ac:dyDescent="0.2">
      <c r="A14945" s="134">
        <v>46137</v>
      </c>
      <c r="B14945" s="549">
        <f>YEAR(source[[#This Row],[report_date]])</f>
        <v>2026</v>
      </c>
      <c r="C14945" s="128">
        <f t="shared" si="706"/>
        <v>4</v>
      </c>
      <c r="D14945" s="136">
        <f t="shared" si="707"/>
        <v>17</v>
      </c>
      <c r="E14945" s="136">
        <f t="shared" si="708"/>
        <v>25</v>
      </c>
      <c r="F14945" s="128" t="s">
        <v>24</v>
      </c>
      <c r="G14945" s="128" t="str">
        <f>VLOOKUP(source[[#This Row],[lending_product_transform]],[3]Mapping!$B$4:$C$37,2,0)</f>
        <v>[Cake] - Cashloan</v>
      </c>
      <c r="H14945" s="128" t="str">
        <f>VLOOKUP(source[[#This Row],[lending_product_transform]],[3]Mapping!$B$3:$D$37,3,0)</f>
        <v>cashloan</v>
      </c>
      <c r="I14945" s="549">
        <v>313200000</v>
      </c>
    </row>
    <row r="14946" spans="1:9" x14ac:dyDescent="0.2">
      <c r="A14946" s="134">
        <v>46137</v>
      </c>
      <c r="B14946" s="549">
        <f>YEAR(source[[#This Row],[report_date]])</f>
        <v>2026</v>
      </c>
      <c r="C14946" s="128">
        <f t="shared" si="706"/>
        <v>4</v>
      </c>
      <c r="D14946" s="136">
        <f t="shared" si="707"/>
        <v>17</v>
      </c>
      <c r="E14946" s="136">
        <f t="shared" si="708"/>
        <v>25</v>
      </c>
      <c r="F14946" s="128" t="s">
        <v>24</v>
      </c>
      <c r="G14946" s="128" t="str">
        <f>VLOOKUP(source[[#This Row],[lending_product_transform]],[3]Mapping!$B$4:$C$37,2,0)</f>
        <v>[Cake] - Cashloan</v>
      </c>
      <c r="H14946" s="128" t="str">
        <f>VLOOKUP(source[[#This Row],[lending_product_transform]],[3]Mapping!$B$3:$D$37,3,0)</f>
        <v>cashloan</v>
      </c>
      <c r="I14946" s="549">
        <v>321648718</v>
      </c>
    </row>
    <row r="14947" spans="1:9" x14ac:dyDescent="0.2">
      <c r="A14947" s="134">
        <v>46137</v>
      </c>
      <c r="B14947" s="549">
        <f>YEAR(source[[#This Row],[report_date]])</f>
        <v>2026</v>
      </c>
      <c r="C14947" s="128">
        <f t="shared" si="706"/>
        <v>4</v>
      </c>
      <c r="D14947" s="136">
        <f t="shared" si="707"/>
        <v>17</v>
      </c>
      <c r="E14947" s="136">
        <f t="shared" si="708"/>
        <v>25</v>
      </c>
      <c r="F14947" s="128" t="s">
        <v>24</v>
      </c>
      <c r="G14947" s="128" t="str">
        <f>VLOOKUP(source[[#This Row],[lending_product_transform]],[3]Mapping!$B$4:$C$37,2,0)</f>
        <v>[Cake] - Cashloan</v>
      </c>
      <c r="H14947" s="128" t="str">
        <f>VLOOKUP(source[[#This Row],[lending_product_transform]],[3]Mapping!$B$3:$D$37,3,0)</f>
        <v>cashloan</v>
      </c>
      <c r="I14947" s="549">
        <v>4928250000</v>
      </c>
    </row>
    <row r="14948" spans="1:9" x14ac:dyDescent="0.2">
      <c r="A14948" s="134">
        <v>46137</v>
      </c>
      <c r="B14948" s="549">
        <f>YEAR(source[[#This Row],[report_date]])</f>
        <v>2026</v>
      </c>
      <c r="C14948" s="128">
        <f t="shared" si="706"/>
        <v>4</v>
      </c>
      <c r="D14948" s="136">
        <f t="shared" si="707"/>
        <v>17</v>
      </c>
      <c r="E14948" s="136">
        <f t="shared" si="708"/>
        <v>25</v>
      </c>
      <c r="F14948" s="128" t="s">
        <v>24</v>
      </c>
      <c r="G14948" s="128" t="str">
        <f>VLOOKUP(source[[#This Row],[lending_product_transform]],[3]Mapping!$B$4:$C$37,2,0)</f>
        <v>[Cake] - Cashloan</v>
      </c>
      <c r="H14948" s="128" t="str">
        <f>VLOOKUP(source[[#This Row],[lending_product_transform]],[3]Mapping!$B$3:$D$37,3,0)</f>
        <v>cashloan</v>
      </c>
      <c r="I14948" s="549">
        <v>0</v>
      </c>
    </row>
    <row r="14949" spans="1:9" x14ac:dyDescent="0.2">
      <c r="A14949" s="134">
        <v>46138</v>
      </c>
      <c r="B14949" s="549">
        <f>YEAR(source[[#This Row],[report_date]])</f>
        <v>2026</v>
      </c>
      <c r="C14949" s="128">
        <f t="shared" si="706"/>
        <v>4</v>
      </c>
      <c r="D14949" s="136">
        <f t="shared" si="707"/>
        <v>17</v>
      </c>
      <c r="E14949" s="136">
        <f t="shared" si="708"/>
        <v>26</v>
      </c>
      <c r="F14949" s="128" t="s">
        <v>24</v>
      </c>
      <c r="G14949" s="128" t="str">
        <f>VLOOKUP(source[[#This Row],[lending_product_transform]],[3]Mapping!$B$4:$C$37,2,0)</f>
        <v>[Cake] - Cashloan</v>
      </c>
      <c r="H14949" s="128" t="str">
        <f>VLOOKUP(source[[#This Row],[lending_product_transform]],[3]Mapping!$B$3:$D$37,3,0)</f>
        <v>cashloan</v>
      </c>
      <c r="I14949" s="549">
        <v>584940000</v>
      </c>
    </row>
    <row r="14950" spans="1:9" x14ac:dyDescent="0.2">
      <c r="A14950" s="134">
        <v>46138</v>
      </c>
      <c r="B14950" s="549">
        <f>YEAR(source[[#This Row],[report_date]])</f>
        <v>2026</v>
      </c>
      <c r="C14950" s="128">
        <f t="shared" si="706"/>
        <v>4</v>
      </c>
      <c r="D14950" s="136">
        <f t="shared" si="707"/>
        <v>17</v>
      </c>
      <c r="E14950" s="136">
        <f t="shared" si="708"/>
        <v>26</v>
      </c>
      <c r="F14950" s="128" t="s">
        <v>24</v>
      </c>
      <c r="G14950" s="128" t="str">
        <f>VLOOKUP(source[[#This Row],[lending_product_transform]],[3]Mapping!$B$4:$C$37,2,0)</f>
        <v>[Cake] - Cashloan</v>
      </c>
      <c r="H14950" s="128" t="str">
        <f>VLOOKUP(source[[#This Row],[lending_product_transform]],[3]Mapping!$B$3:$D$37,3,0)</f>
        <v>cashloan</v>
      </c>
      <c r="I14950" s="549">
        <v>295871702</v>
      </c>
    </row>
    <row r="14951" spans="1:9" x14ac:dyDescent="0.2">
      <c r="A14951" s="134">
        <v>46138</v>
      </c>
      <c r="B14951" s="549">
        <f>YEAR(source[[#This Row],[report_date]])</f>
        <v>2026</v>
      </c>
      <c r="C14951" s="128">
        <f t="shared" si="706"/>
        <v>4</v>
      </c>
      <c r="D14951" s="136">
        <f t="shared" si="707"/>
        <v>17</v>
      </c>
      <c r="E14951" s="136">
        <f t="shared" si="708"/>
        <v>26</v>
      </c>
      <c r="F14951" s="128" t="s">
        <v>24</v>
      </c>
      <c r="G14951" s="128" t="str">
        <f>VLOOKUP(source[[#This Row],[lending_product_transform]],[3]Mapping!$B$4:$C$37,2,0)</f>
        <v>[Cake] - Cashloan</v>
      </c>
      <c r="H14951" s="128" t="str">
        <f>VLOOKUP(source[[#This Row],[lending_product_transform]],[3]Mapping!$B$3:$D$37,3,0)</f>
        <v>cashloan</v>
      </c>
      <c r="I14951" s="549">
        <v>9100610000</v>
      </c>
    </row>
    <row r="14952" spans="1:9" x14ac:dyDescent="0.2">
      <c r="A14952" s="134">
        <v>46138</v>
      </c>
      <c r="B14952" s="549">
        <f>YEAR(source[[#This Row],[report_date]])</f>
        <v>2026</v>
      </c>
      <c r="C14952" s="128">
        <f t="shared" si="706"/>
        <v>4</v>
      </c>
      <c r="D14952" s="136">
        <f t="shared" si="707"/>
        <v>17</v>
      </c>
      <c r="E14952" s="136">
        <f t="shared" si="708"/>
        <v>26</v>
      </c>
      <c r="F14952" s="128" t="s">
        <v>24</v>
      </c>
      <c r="G14952" s="128" t="str">
        <f>VLOOKUP(source[[#This Row],[lending_product_transform]],[3]Mapping!$B$4:$C$37,2,0)</f>
        <v>[Cake] - Cashloan</v>
      </c>
      <c r="H14952" s="128" t="str">
        <f>VLOOKUP(source[[#This Row],[lending_product_transform]],[3]Mapping!$B$3:$D$37,3,0)</f>
        <v>cashloan</v>
      </c>
      <c r="I14952" s="549">
        <v>921064049</v>
      </c>
    </row>
    <row r="14953" spans="1:9" x14ac:dyDescent="0.2">
      <c r="A14953" s="134">
        <v>46138</v>
      </c>
      <c r="B14953" s="549">
        <f>YEAR(source[[#This Row],[report_date]])</f>
        <v>2026</v>
      </c>
      <c r="C14953" s="128">
        <f t="shared" si="706"/>
        <v>4</v>
      </c>
      <c r="D14953" s="136">
        <f t="shared" si="707"/>
        <v>17</v>
      </c>
      <c r="E14953" s="136">
        <f t="shared" si="708"/>
        <v>26</v>
      </c>
      <c r="F14953" s="128" t="s">
        <v>24</v>
      </c>
      <c r="G14953" s="128" t="str">
        <f>VLOOKUP(source[[#This Row],[lending_product_transform]],[3]Mapping!$B$4:$C$37,2,0)</f>
        <v>[Cake] - Cashloan</v>
      </c>
      <c r="H14953" s="128" t="str">
        <f>VLOOKUP(source[[#This Row],[lending_product_transform]],[3]Mapping!$B$3:$D$37,3,0)</f>
        <v>cashloan</v>
      </c>
      <c r="I14953" s="549">
        <v>11943828000</v>
      </c>
    </row>
    <row r="14954" spans="1:9" x14ac:dyDescent="0.2">
      <c r="A14954" s="134">
        <v>46138</v>
      </c>
      <c r="B14954" s="549">
        <f>YEAR(source[[#This Row],[report_date]])</f>
        <v>2026</v>
      </c>
      <c r="C14954" s="128">
        <f t="shared" si="706"/>
        <v>4</v>
      </c>
      <c r="D14954" s="136">
        <f t="shared" si="707"/>
        <v>17</v>
      </c>
      <c r="E14954" s="136">
        <f t="shared" si="708"/>
        <v>26</v>
      </c>
      <c r="F14954" s="128" t="s">
        <v>24</v>
      </c>
      <c r="G14954" s="128" t="str">
        <f>VLOOKUP(source[[#This Row],[lending_product_transform]],[3]Mapping!$B$4:$C$37,2,0)</f>
        <v>[Cake] - Cashloan</v>
      </c>
      <c r="H14954" s="128" t="str">
        <f>VLOOKUP(source[[#This Row],[lending_product_transform]],[3]Mapping!$B$3:$D$37,3,0)</f>
        <v>cashloan</v>
      </c>
      <c r="I14954" s="549">
        <v>0</v>
      </c>
    </row>
    <row r="14955" spans="1:9" x14ac:dyDescent="0.2">
      <c r="A14955" s="134">
        <v>46138</v>
      </c>
      <c r="B14955" s="549">
        <f>YEAR(source[[#This Row],[report_date]])</f>
        <v>2026</v>
      </c>
      <c r="C14955" s="128">
        <f t="shared" si="706"/>
        <v>4</v>
      </c>
      <c r="D14955" s="136">
        <f t="shared" si="707"/>
        <v>17</v>
      </c>
      <c r="E14955" s="136">
        <f t="shared" si="708"/>
        <v>26</v>
      </c>
      <c r="F14955" s="128" t="s">
        <v>24</v>
      </c>
      <c r="G14955" s="128" t="str">
        <f>VLOOKUP(source[[#This Row],[lending_product_transform]],[3]Mapping!$B$4:$C$37,2,0)</f>
        <v>[Cake] - Cashloan</v>
      </c>
      <c r="H14955" s="128" t="str">
        <f>VLOOKUP(source[[#This Row],[lending_product_transform]],[3]Mapping!$B$3:$D$37,3,0)</f>
        <v>cashloan</v>
      </c>
      <c r="I14955" s="549">
        <v>0</v>
      </c>
    </row>
    <row r="14956" spans="1:9" x14ac:dyDescent="0.2">
      <c r="A14956" s="134">
        <v>46138</v>
      </c>
      <c r="B14956" s="549">
        <f>YEAR(source[[#This Row],[report_date]])</f>
        <v>2026</v>
      </c>
      <c r="C14956" s="128">
        <f t="shared" si="706"/>
        <v>4</v>
      </c>
      <c r="D14956" s="136">
        <f t="shared" si="707"/>
        <v>17</v>
      </c>
      <c r="E14956" s="136">
        <f t="shared" si="708"/>
        <v>26</v>
      </c>
      <c r="F14956" s="128" t="s">
        <v>24</v>
      </c>
      <c r="G14956" s="128" t="str">
        <f>VLOOKUP(source[[#This Row],[lending_product_transform]],[3]Mapping!$B$4:$C$37,2,0)</f>
        <v>[Cake] - Cashloan</v>
      </c>
      <c r="H14956" s="128" t="str">
        <f>VLOOKUP(source[[#This Row],[lending_product_transform]],[3]Mapping!$B$3:$D$37,3,0)</f>
        <v>cashloan</v>
      </c>
      <c r="I14956" s="549">
        <v>2989110000</v>
      </c>
    </row>
    <row r="14957" spans="1:9" x14ac:dyDescent="0.2">
      <c r="A14957" s="134">
        <v>46138</v>
      </c>
      <c r="B14957" s="549">
        <f>YEAR(source[[#This Row],[report_date]])</f>
        <v>2026</v>
      </c>
      <c r="C14957" s="128">
        <f t="shared" si="706"/>
        <v>4</v>
      </c>
      <c r="D14957" s="136">
        <f t="shared" si="707"/>
        <v>17</v>
      </c>
      <c r="E14957" s="136">
        <f t="shared" si="708"/>
        <v>26</v>
      </c>
      <c r="F14957" s="128" t="s">
        <v>24</v>
      </c>
      <c r="G14957" s="128" t="str">
        <f>VLOOKUP(source[[#This Row],[lending_product_transform]],[3]Mapping!$B$4:$C$37,2,0)</f>
        <v>[Cake] - Cashloan</v>
      </c>
      <c r="H14957" s="128" t="str">
        <f>VLOOKUP(source[[#This Row],[lending_product_transform]],[3]Mapping!$B$3:$D$37,3,0)</f>
        <v>cashloan</v>
      </c>
      <c r="I14957" s="549">
        <v>753520000</v>
      </c>
    </row>
    <row r="14958" spans="1:9" x14ac:dyDescent="0.2">
      <c r="A14958" s="134">
        <v>46138</v>
      </c>
      <c r="B14958" s="549">
        <f>YEAR(source[[#This Row],[report_date]])</f>
        <v>2026</v>
      </c>
      <c r="C14958" s="128">
        <f t="shared" si="706"/>
        <v>4</v>
      </c>
      <c r="D14958" s="136">
        <f t="shared" si="707"/>
        <v>17</v>
      </c>
      <c r="E14958" s="136">
        <f t="shared" si="708"/>
        <v>26</v>
      </c>
      <c r="F14958" s="128" t="s">
        <v>24</v>
      </c>
      <c r="G14958" s="128" t="str">
        <f>VLOOKUP(source[[#This Row],[lending_product_transform]],[3]Mapping!$B$4:$C$37,2,0)</f>
        <v>[Cake] - Cashloan</v>
      </c>
      <c r="H14958" s="128" t="str">
        <f>VLOOKUP(source[[#This Row],[lending_product_transform]],[3]Mapping!$B$3:$D$37,3,0)</f>
        <v>cashloan</v>
      </c>
      <c r="I14958" s="549">
        <v>10285000</v>
      </c>
    </row>
    <row r="14959" spans="1:9" x14ac:dyDescent="0.2">
      <c r="A14959" s="134">
        <v>46138</v>
      </c>
      <c r="B14959" s="549">
        <f>YEAR(source[[#This Row],[report_date]])</f>
        <v>2026</v>
      </c>
      <c r="C14959" s="128">
        <f t="shared" si="706"/>
        <v>4</v>
      </c>
      <c r="D14959" s="136">
        <f t="shared" si="707"/>
        <v>17</v>
      </c>
      <c r="E14959" s="136">
        <f t="shared" si="708"/>
        <v>26</v>
      </c>
      <c r="F14959" s="128" t="s">
        <v>24</v>
      </c>
      <c r="G14959" s="128" t="str">
        <f>VLOOKUP(source[[#This Row],[lending_product_transform]],[3]Mapping!$B$4:$C$37,2,0)</f>
        <v>[Cake] - Cashloan</v>
      </c>
      <c r="H14959" s="128" t="str">
        <f>VLOOKUP(source[[#This Row],[lending_product_transform]],[3]Mapping!$B$3:$D$37,3,0)</f>
        <v>cashloan</v>
      </c>
      <c r="I14959" s="549">
        <v>1126565631</v>
      </c>
    </row>
    <row r="14960" spans="1:9" x14ac:dyDescent="0.2">
      <c r="A14960" s="134">
        <v>46138</v>
      </c>
      <c r="B14960" s="549">
        <f>YEAR(source[[#This Row],[report_date]])</f>
        <v>2026</v>
      </c>
      <c r="C14960" s="128">
        <f t="shared" si="706"/>
        <v>4</v>
      </c>
      <c r="D14960" s="136">
        <f t="shared" si="707"/>
        <v>17</v>
      </c>
      <c r="E14960" s="136">
        <f t="shared" si="708"/>
        <v>26</v>
      </c>
      <c r="F14960" s="128" t="s">
        <v>24</v>
      </c>
      <c r="G14960" s="128" t="str">
        <f>VLOOKUP(source[[#This Row],[lending_product_transform]],[3]Mapping!$B$4:$C$37,2,0)</f>
        <v>[Cake] - Cashloan</v>
      </c>
      <c r="H14960" s="128" t="str">
        <f>VLOOKUP(source[[#This Row],[lending_product_transform]],[3]Mapping!$B$3:$D$37,3,0)</f>
        <v>cashloan</v>
      </c>
      <c r="I14960" s="549">
        <v>0</v>
      </c>
    </row>
    <row r="14961" spans="1:9" x14ac:dyDescent="0.2">
      <c r="A14961" s="134">
        <v>46138</v>
      </c>
      <c r="B14961" s="549">
        <f>YEAR(source[[#This Row],[report_date]])</f>
        <v>2026</v>
      </c>
      <c r="C14961" s="128">
        <f t="shared" si="706"/>
        <v>4</v>
      </c>
      <c r="D14961" s="136">
        <f t="shared" si="707"/>
        <v>17</v>
      </c>
      <c r="E14961" s="136">
        <f t="shared" si="708"/>
        <v>26</v>
      </c>
      <c r="F14961" s="128" t="s">
        <v>24</v>
      </c>
      <c r="G14961" s="128" t="str">
        <f>VLOOKUP(source[[#This Row],[lending_product_transform]],[3]Mapping!$B$4:$C$37,2,0)</f>
        <v>[Cake] - Cashloan</v>
      </c>
      <c r="H14961" s="128" t="str">
        <f>VLOOKUP(source[[#This Row],[lending_product_transform]],[3]Mapping!$B$3:$D$37,3,0)</f>
        <v>cashloan</v>
      </c>
      <c r="I14961" s="549">
        <v>57750000</v>
      </c>
    </row>
    <row r="14962" spans="1:9" x14ac:dyDescent="0.2">
      <c r="A14962" s="134">
        <v>46138</v>
      </c>
      <c r="B14962" s="549">
        <f>YEAR(source[[#This Row],[report_date]])</f>
        <v>2026</v>
      </c>
      <c r="C14962" s="128">
        <f t="shared" si="706"/>
        <v>4</v>
      </c>
      <c r="D14962" s="136">
        <f t="shared" si="707"/>
        <v>17</v>
      </c>
      <c r="E14962" s="136">
        <f t="shared" si="708"/>
        <v>26</v>
      </c>
      <c r="F14962" s="128" t="s">
        <v>24</v>
      </c>
      <c r="G14962" s="128" t="str">
        <f>VLOOKUP(source[[#This Row],[lending_product_transform]],[3]Mapping!$B$4:$C$37,2,0)</f>
        <v>[Cake] - Cashloan</v>
      </c>
      <c r="H14962" s="128" t="str">
        <f>VLOOKUP(source[[#This Row],[lending_product_transform]],[3]Mapping!$B$3:$D$37,3,0)</f>
        <v>cashloan</v>
      </c>
      <c r="I14962" s="549">
        <v>0</v>
      </c>
    </row>
    <row r="14963" spans="1:9" x14ac:dyDescent="0.2">
      <c r="A14963" s="134">
        <v>46138</v>
      </c>
      <c r="B14963" s="549">
        <f>YEAR(source[[#This Row],[report_date]])</f>
        <v>2026</v>
      </c>
      <c r="C14963" s="128">
        <f t="shared" si="706"/>
        <v>4</v>
      </c>
      <c r="D14963" s="136">
        <f t="shared" si="707"/>
        <v>17</v>
      </c>
      <c r="E14963" s="136">
        <f t="shared" si="708"/>
        <v>26</v>
      </c>
      <c r="F14963" s="128" t="s">
        <v>24</v>
      </c>
      <c r="G14963" s="128" t="str">
        <f>VLOOKUP(source[[#This Row],[lending_product_transform]],[3]Mapping!$B$4:$C$37,2,0)</f>
        <v>[Cake] - Cashloan</v>
      </c>
      <c r="H14963" s="128" t="str">
        <f>VLOOKUP(source[[#This Row],[lending_product_transform]],[3]Mapping!$B$3:$D$37,3,0)</f>
        <v>cashloan</v>
      </c>
      <c r="I14963" s="549">
        <v>13923340000</v>
      </c>
    </row>
    <row r="14964" spans="1:9" x14ac:dyDescent="0.2">
      <c r="A14964" s="134">
        <v>46138</v>
      </c>
      <c r="B14964" s="549">
        <f>YEAR(source[[#This Row],[report_date]])</f>
        <v>2026</v>
      </c>
      <c r="C14964" s="128">
        <f t="shared" si="706"/>
        <v>4</v>
      </c>
      <c r="D14964" s="136">
        <f t="shared" si="707"/>
        <v>17</v>
      </c>
      <c r="E14964" s="136">
        <f t="shared" si="708"/>
        <v>26</v>
      </c>
      <c r="F14964" s="128" t="s">
        <v>24</v>
      </c>
      <c r="G14964" s="128" t="str">
        <f>VLOOKUP(source[[#This Row],[lending_product_transform]],[3]Mapping!$B$4:$C$37,2,0)</f>
        <v>[Cake] - Cashloan</v>
      </c>
      <c r="H14964" s="128" t="str">
        <f>VLOOKUP(source[[#This Row],[lending_product_transform]],[3]Mapping!$B$3:$D$37,3,0)</f>
        <v>cashloan</v>
      </c>
      <c r="I14964" s="549">
        <v>0</v>
      </c>
    </row>
    <row r="14965" spans="1:9" x14ac:dyDescent="0.2">
      <c r="A14965" s="134">
        <v>46138</v>
      </c>
      <c r="B14965" s="549">
        <f>YEAR(source[[#This Row],[report_date]])</f>
        <v>2026</v>
      </c>
      <c r="C14965" s="128">
        <f t="shared" si="706"/>
        <v>4</v>
      </c>
      <c r="D14965" s="136">
        <f t="shared" si="707"/>
        <v>17</v>
      </c>
      <c r="E14965" s="136">
        <f t="shared" si="708"/>
        <v>26</v>
      </c>
      <c r="F14965" s="128" t="s">
        <v>24</v>
      </c>
      <c r="G14965" s="128" t="str">
        <f>VLOOKUP(source[[#This Row],[lending_product_transform]],[3]Mapping!$B$4:$C$37,2,0)</f>
        <v>[Cake] - Cashloan</v>
      </c>
      <c r="H14965" s="128" t="str">
        <f>VLOOKUP(source[[#This Row],[lending_product_transform]],[3]Mapping!$B$3:$D$37,3,0)</f>
        <v>cashloan</v>
      </c>
      <c r="I14965" s="549">
        <v>0</v>
      </c>
    </row>
    <row r="14966" spans="1:9" x14ac:dyDescent="0.2">
      <c r="A14966" s="134">
        <v>46138</v>
      </c>
      <c r="B14966" s="549">
        <f>YEAR(source[[#This Row],[report_date]])</f>
        <v>2026</v>
      </c>
      <c r="C14966" s="128">
        <f t="shared" si="706"/>
        <v>4</v>
      </c>
      <c r="D14966" s="136">
        <f t="shared" si="707"/>
        <v>17</v>
      </c>
      <c r="E14966" s="136">
        <f t="shared" si="708"/>
        <v>26</v>
      </c>
      <c r="F14966" s="128" t="s">
        <v>24</v>
      </c>
      <c r="G14966" s="128" t="str">
        <f>VLOOKUP(source[[#This Row],[lending_product_transform]],[3]Mapping!$B$4:$C$37,2,0)</f>
        <v>[Cake] - Cashloan</v>
      </c>
      <c r="H14966" s="128" t="str">
        <f>VLOOKUP(source[[#This Row],[lending_product_transform]],[3]Mapping!$B$3:$D$37,3,0)</f>
        <v>cashloan</v>
      </c>
      <c r="I14966" s="549">
        <v>0</v>
      </c>
    </row>
    <row r="14967" spans="1:9" x14ac:dyDescent="0.2">
      <c r="A14967" s="134">
        <v>46138</v>
      </c>
      <c r="B14967" s="549">
        <f>YEAR(source[[#This Row],[report_date]])</f>
        <v>2026</v>
      </c>
      <c r="C14967" s="128">
        <f t="shared" si="706"/>
        <v>4</v>
      </c>
      <c r="D14967" s="136">
        <f t="shared" si="707"/>
        <v>17</v>
      </c>
      <c r="E14967" s="136">
        <f t="shared" si="708"/>
        <v>26</v>
      </c>
      <c r="F14967" s="128" t="s">
        <v>24</v>
      </c>
      <c r="G14967" s="128" t="str">
        <f>VLOOKUP(source[[#This Row],[lending_product_transform]],[3]Mapping!$B$4:$C$37,2,0)</f>
        <v>[Cake] - Cashloan</v>
      </c>
      <c r="H14967" s="128" t="str">
        <f>VLOOKUP(source[[#This Row],[lending_product_transform]],[3]Mapping!$B$3:$D$37,3,0)</f>
        <v>cashloan</v>
      </c>
      <c r="I14967" s="549">
        <v>0</v>
      </c>
    </row>
    <row r="14968" spans="1:9" x14ac:dyDescent="0.2">
      <c r="A14968" s="134">
        <v>46138</v>
      </c>
      <c r="B14968" s="549">
        <f>YEAR(source[[#This Row],[report_date]])</f>
        <v>2026</v>
      </c>
      <c r="C14968" s="128">
        <f t="shared" si="706"/>
        <v>4</v>
      </c>
      <c r="D14968" s="136">
        <f t="shared" si="707"/>
        <v>17</v>
      </c>
      <c r="E14968" s="136">
        <f t="shared" si="708"/>
        <v>26</v>
      </c>
      <c r="F14968" s="128" t="s">
        <v>24</v>
      </c>
      <c r="G14968" s="128" t="str">
        <f>VLOOKUP(source[[#This Row],[lending_product_transform]],[3]Mapping!$B$4:$C$37,2,0)</f>
        <v>[Cake] - Cashloan</v>
      </c>
      <c r="H14968" s="128" t="str">
        <f>VLOOKUP(source[[#This Row],[lending_product_transform]],[3]Mapping!$B$3:$D$37,3,0)</f>
        <v>cashloan</v>
      </c>
      <c r="I14968" s="549">
        <v>9789444000</v>
      </c>
    </row>
    <row r="14969" spans="1:9" x14ac:dyDescent="0.2">
      <c r="A14969" s="134">
        <v>46138</v>
      </c>
      <c r="B14969" s="549">
        <f>YEAR(source[[#This Row],[report_date]])</f>
        <v>2026</v>
      </c>
      <c r="C14969" s="128">
        <f t="shared" si="706"/>
        <v>4</v>
      </c>
      <c r="D14969" s="136">
        <f t="shared" si="707"/>
        <v>17</v>
      </c>
      <c r="E14969" s="136">
        <f t="shared" si="708"/>
        <v>26</v>
      </c>
      <c r="F14969" s="128" t="s">
        <v>24</v>
      </c>
      <c r="G14969" s="128" t="str">
        <f>VLOOKUP(source[[#This Row],[lending_product_transform]],[3]Mapping!$B$4:$C$37,2,0)</f>
        <v>[Cake] - Cashloan</v>
      </c>
      <c r="H14969" s="128" t="str">
        <f>VLOOKUP(source[[#This Row],[lending_product_transform]],[3]Mapping!$B$3:$D$37,3,0)</f>
        <v>cashloan</v>
      </c>
      <c r="I14969" s="549">
        <v>144784889</v>
      </c>
    </row>
    <row r="14970" spans="1:9" x14ac:dyDescent="0.2">
      <c r="A14970" s="134">
        <v>46138</v>
      </c>
      <c r="B14970" s="549">
        <f>YEAR(source[[#This Row],[report_date]])</f>
        <v>2026</v>
      </c>
      <c r="C14970" s="128">
        <f t="shared" si="706"/>
        <v>4</v>
      </c>
      <c r="D14970" s="136">
        <f t="shared" si="707"/>
        <v>17</v>
      </c>
      <c r="E14970" s="136">
        <f t="shared" si="708"/>
        <v>26</v>
      </c>
      <c r="F14970" s="128" t="s">
        <v>24</v>
      </c>
      <c r="G14970" s="128" t="str">
        <f>VLOOKUP(source[[#This Row],[lending_product_transform]],[3]Mapping!$B$4:$C$37,2,0)</f>
        <v>[Cake] - Cashloan</v>
      </c>
      <c r="H14970" s="128" t="str">
        <f>VLOOKUP(source[[#This Row],[lending_product_transform]],[3]Mapping!$B$3:$D$37,3,0)</f>
        <v>cashloan</v>
      </c>
      <c r="I14970" s="549">
        <v>15750000</v>
      </c>
    </row>
    <row r="14971" spans="1:9" x14ac:dyDescent="0.2">
      <c r="A14971" s="134">
        <v>46138</v>
      </c>
      <c r="B14971" s="549">
        <f>YEAR(source[[#This Row],[report_date]])</f>
        <v>2026</v>
      </c>
      <c r="C14971" s="128">
        <f t="shared" si="706"/>
        <v>4</v>
      </c>
      <c r="D14971" s="136">
        <f t="shared" si="707"/>
        <v>17</v>
      </c>
      <c r="E14971" s="136">
        <f t="shared" si="708"/>
        <v>26</v>
      </c>
      <c r="F14971" s="128" t="s">
        <v>24</v>
      </c>
      <c r="G14971" s="128" t="str">
        <f>VLOOKUP(source[[#This Row],[lending_product_transform]],[3]Mapping!$B$4:$C$37,2,0)</f>
        <v>[Cake] - Cashloan</v>
      </c>
      <c r="H14971" s="128" t="str">
        <f>VLOOKUP(source[[#This Row],[lending_product_transform]],[3]Mapping!$B$3:$D$37,3,0)</f>
        <v>cashloan</v>
      </c>
      <c r="I14971" s="549">
        <v>45000000</v>
      </c>
    </row>
    <row r="14972" spans="1:9" x14ac:dyDescent="0.2">
      <c r="A14972" s="134">
        <v>46138</v>
      </c>
      <c r="B14972" s="549">
        <f>YEAR(source[[#This Row],[report_date]])</f>
        <v>2026</v>
      </c>
      <c r="C14972" s="128">
        <f t="shared" si="706"/>
        <v>4</v>
      </c>
      <c r="D14972" s="136">
        <f t="shared" si="707"/>
        <v>17</v>
      </c>
      <c r="E14972" s="136">
        <f t="shared" si="708"/>
        <v>26</v>
      </c>
      <c r="F14972" s="128" t="s">
        <v>24</v>
      </c>
      <c r="G14972" s="128" t="str">
        <f>VLOOKUP(source[[#This Row],[lending_product_transform]],[3]Mapping!$B$4:$C$37,2,0)</f>
        <v>[Cake] - Cashloan</v>
      </c>
      <c r="H14972" s="128" t="str">
        <f>VLOOKUP(source[[#This Row],[lending_product_transform]],[3]Mapping!$B$3:$D$37,3,0)</f>
        <v>cashloan</v>
      </c>
      <c r="I14972" s="549">
        <v>929450000</v>
      </c>
    </row>
    <row r="14973" spans="1:9" x14ac:dyDescent="0.2">
      <c r="A14973" s="134">
        <v>46138</v>
      </c>
      <c r="B14973" s="549">
        <f>YEAR(source[[#This Row],[report_date]])</f>
        <v>2026</v>
      </c>
      <c r="C14973" s="128">
        <f t="shared" si="706"/>
        <v>4</v>
      </c>
      <c r="D14973" s="136">
        <f t="shared" si="707"/>
        <v>17</v>
      </c>
      <c r="E14973" s="136">
        <f t="shared" si="708"/>
        <v>26</v>
      </c>
      <c r="F14973" s="128" t="s">
        <v>24</v>
      </c>
      <c r="G14973" s="128" t="str">
        <f>VLOOKUP(source[[#This Row],[lending_product_transform]],[3]Mapping!$B$4:$C$37,2,0)</f>
        <v>[Cake] - Cashloan</v>
      </c>
      <c r="H14973" s="128" t="str">
        <f>VLOOKUP(source[[#This Row],[lending_product_transform]],[3]Mapping!$B$3:$D$37,3,0)</f>
        <v>cashloan</v>
      </c>
      <c r="I14973" s="549">
        <v>252612000</v>
      </c>
    </row>
    <row r="14974" spans="1:9" x14ac:dyDescent="0.2">
      <c r="A14974" s="134">
        <v>46138</v>
      </c>
      <c r="B14974" s="549">
        <f>YEAR(source[[#This Row],[report_date]])</f>
        <v>2026</v>
      </c>
      <c r="C14974" s="128">
        <f t="shared" si="706"/>
        <v>4</v>
      </c>
      <c r="D14974" s="136">
        <f t="shared" si="707"/>
        <v>17</v>
      </c>
      <c r="E14974" s="136">
        <f t="shared" si="708"/>
        <v>26</v>
      </c>
      <c r="F14974" s="128" t="s">
        <v>24</v>
      </c>
      <c r="G14974" s="128" t="str">
        <f>VLOOKUP(source[[#This Row],[lending_product_transform]],[3]Mapping!$B$4:$C$37,2,0)</f>
        <v>[Cake] - Cashloan</v>
      </c>
      <c r="H14974" s="128" t="str">
        <f>VLOOKUP(source[[#This Row],[lending_product_transform]],[3]Mapping!$B$3:$D$37,3,0)</f>
        <v>cashloan</v>
      </c>
      <c r="I14974" s="549">
        <v>213719719</v>
      </c>
    </row>
    <row r="14975" spans="1:9" x14ac:dyDescent="0.2">
      <c r="A14975" s="134">
        <v>46138</v>
      </c>
      <c r="B14975" s="549">
        <f>YEAR(source[[#This Row],[report_date]])</f>
        <v>2026</v>
      </c>
      <c r="C14975" s="128">
        <f t="shared" si="706"/>
        <v>4</v>
      </c>
      <c r="D14975" s="136">
        <f t="shared" si="707"/>
        <v>17</v>
      </c>
      <c r="E14975" s="136">
        <f t="shared" si="708"/>
        <v>26</v>
      </c>
      <c r="F14975" s="128" t="s">
        <v>24</v>
      </c>
      <c r="G14975" s="128" t="str">
        <f>VLOOKUP(source[[#This Row],[lending_product_transform]],[3]Mapping!$B$4:$C$37,2,0)</f>
        <v>[Cake] - Cashloan</v>
      </c>
      <c r="H14975" s="128" t="str">
        <f>VLOOKUP(source[[#This Row],[lending_product_transform]],[3]Mapping!$B$3:$D$37,3,0)</f>
        <v>cashloan</v>
      </c>
      <c r="I14975" s="549">
        <v>4862720000</v>
      </c>
    </row>
    <row r="14976" spans="1:9" x14ac:dyDescent="0.2">
      <c r="A14976" s="134">
        <v>46138</v>
      </c>
      <c r="B14976" s="549">
        <f>YEAR(source[[#This Row],[report_date]])</f>
        <v>2026</v>
      </c>
      <c r="C14976" s="128">
        <f t="shared" si="706"/>
        <v>4</v>
      </c>
      <c r="D14976" s="136">
        <f t="shared" si="707"/>
        <v>17</v>
      </c>
      <c r="E14976" s="136">
        <f t="shared" si="708"/>
        <v>26</v>
      </c>
      <c r="F14976" s="128" t="s">
        <v>24</v>
      </c>
      <c r="G14976" s="128" t="str">
        <f>VLOOKUP(source[[#This Row],[lending_product_transform]],[3]Mapping!$B$4:$C$37,2,0)</f>
        <v>[Cake] - Cashloan</v>
      </c>
      <c r="H14976" s="128" t="str">
        <f>VLOOKUP(source[[#This Row],[lending_product_transform]],[3]Mapping!$B$3:$D$37,3,0)</f>
        <v>cashloan</v>
      </c>
      <c r="I14976" s="549">
        <v>0</v>
      </c>
    </row>
    <row r="14977" spans="1:9" x14ac:dyDescent="0.2">
      <c r="A14977" s="134">
        <v>46139</v>
      </c>
      <c r="B14977" s="549">
        <f>YEAR(source[[#This Row],[report_date]])</f>
        <v>2026</v>
      </c>
      <c r="C14977" s="128">
        <f t="shared" si="706"/>
        <v>4</v>
      </c>
      <c r="D14977" s="136">
        <f t="shared" si="707"/>
        <v>18</v>
      </c>
      <c r="E14977" s="136">
        <f t="shared" si="708"/>
        <v>27</v>
      </c>
      <c r="F14977" s="128" t="s">
        <v>24</v>
      </c>
      <c r="G14977" s="128" t="str">
        <f>VLOOKUP(source[[#This Row],[lending_product_transform]],[3]Mapping!$B$4:$C$37,2,0)</f>
        <v>[Cake] - Cashloan</v>
      </c>
      <c r="H14977" s="128" t="str">
        <f>VLOOKUP(source[[#This Row],[lending_product_transform]],[3]Mapping!$B$3:$D$37,3,0)</f>
        <v>cashloan</v>
      </c>
      <c r="I14977" s="549">
        <v>556450000</v>
      </c>
    </row>
    <row r="14978" spans="1:9" x14ac:dyDescent="0.2">
      <c r="A14978" s="134">
        <v>46139</v>
      </c>
      <c r="B14978" s="549">
        <f>YEAR(source[[#This Row],[report_date]])</f>
        <v>2026</v>
      </c>
      <c r="C14978" s="128">
        <f t="shared" si="706"/>
        <v>4</v>
      </c>
      <c r="D14978" s="136">
        <f t="shared" si="707"/>
        <v>18</v>
      </c>
      <c r="E14978" s="136">
        <f t="shared" si="708"/>
        <v>27</v>
      </c>
      <c r="F14978" s="128" t="s">
        <v>24</v>
      </c>
      <c r="G14978" s="128" t="str">
        <f>VLOOKUP(source[[#This Row],[lending_product_transform]],[3]Mapping!$B$4:$C$37,2,0)</f>
        <v>[Cake] - Cashloan</v>
      </c>
      <c r="H14978" s="128" t="str">
        <f>VLOOKUP(source[[#This Row],[lending_product_transform]],[3]Mapping!$B$3:$D$37,3,0)</f>
        <v>cashloan</v>
      </c>
      <c r="I14978" s="549">
        <v>325656867</v>
      </c>
    </row>
    <row r="14979" spans="1:9" x14ac:dyDescent="0.2">
      <c r="A14979" s="134">
        <v>46139</v>
      </c>
      <c r="B14979" s="549">
        <f>YEAR(source[[#This Row],[report_date]])</f>
        <v>2026</v>
      </c>
      <c r="C14979" s="128">
        <f t="shared" si="706"/>
        <v>4</v>
      </c>
      <c r="D14979" s="136">
        <f t="shared" si="707"/>
        <v>18</v>
      </c>
      <c r="E14979" s="136">
        <f t="shared" si="708"/>
        <v>27</v>
      </c>
      <c r="F14979" s="128" t="s">
        <v>24</v>
      </c>
      <c r="G14979" s="128" t="str">
        <f>VLOOKUP(source[[#This Row],[lending_product_transform]],[3]Mapping!$B$4:$C$37,2,0)</f>
        <v>[Cake] - Cashloan</v>
      </c>
      <c r="H14979" s="128" t="str">
        <f>VLOOKUP(source[[#This Row],[lending_product_transform]],[3]Mapping!$B$3:$D$37,3,0)</f>
        <v>cashloan</v>
      </c>
      <c r="I14979" s="549">
        <v>10570340000</v>
      </c>
    </row>
    <row r="14980" spans="1:9" x14ac:dyDescent="0.2">
      <c r="A14980" s="134">
        <v>46139</v>
      </c>
      <c r="B14980" s="549">
        <f>YEAR(source[[#This Row],[report_date]])</f>
        <v>2026</v>
      </c>
      <c r="C14980" s="128">
        <f t="shared" si="706"/>
        <v>4</v>
      </c>
      <c r="D14980" s="136">
        <f t="shared" si="707"/>
        <v>18</v>
      </c>
      <c r="E14980" s="136">
        <f t="shared" si="708"/>
        <v>27</v>
      </c>
      <c r="F14980" s="128" t="s">
        <v>24</v>
      </c>
      <c r="G14980" s="128" t="str">
        <f>VLOOKUP(source[[#This Row],[lending_product_transform]],[3]Mapping!$B$4:$C$37,2,0)</f>
        <v>[Cake] - Cashloan</v>
      </c>
      <c r="H14980" s="128" t="str">
        <f>VLOOKUP(source[[#This Row],[lending_product_transform]],[3]Mapping!$B$3:$D$37,3,0)</f>
        <v>cashloan</v>
      </c>
      <c r="I14980" s="549">
        <v>1307737180</v>
      </c>
    </row>
    <row r="14981" spans="1:9" x14ac:dyDescent="0.2">
      <c r="A14981" s="134">
        <v>46139</v>
      </c>
      <c r="B14981" s="549">
        <f>YEAR(source[[#This Row],[report_date]])</f>
        <v>2026</v>
      </c>
      <c r="C14981" s="128">
        <f t="shared" si="706"/>
        <v>4</v>
      </c>
      <c r="D14981" s="136">
        <f t="shared" si="707"/>
        <v>18</v>
      </c>
      <c r="E14981" s="136">
        <f t="shared" si="708"/>
        <v>27</v>
      </c>
      <c r="F14981" s="128" t="s">
        <v>24</v>
      </c>
      <c r="G14981" s="128" t="str">
        <f>VLOOKUP(source[[#This Row],[lending_product_transform]],[3]Mapping!$B$4:$C$37,2,0)</f>
        <v>[Cake] - Cashloan</v>
      </c>
      <c r="H14981" s="128" t="str">
        <f>VLOOKUP(source[[#This Row],[lending_product_transform]],[3]Mapping!$B$3:$D$37,3,0)</f>
        <v>cashloan</v>
      </c>
      <c r="I14981" s="549">
        <v>12461796000</v>
      </c>
    </row>
    <row r="14982" spans="1:9" x14ac:dyDescent="0.2">
      <c r="A14982" s="134">
        <v>46139</v>
      </c>
      <c r="B14982" s="549">
        <f>YEAR(source[[#This Row],[report_date]])</f>
        <v>2026</v>
      </c>
      <c r="C14982" s="128">
        <f t="shared" si="706"/>
        <v>4</v>
      </c>
      <c r="D14982" s="136">
        <f t="shared" si="707"/>
        <v>18</v>
      </c>
      <c r="E14982" s="136">
        <f t="shared" si="708"/>
        <v>27</v>
      </c>
      <c r="F14982" s="128" t="s">
        <v>24</v>
      </c>
      <c r="G14982" s="128" t="str">
        <f>VLOOKUP(source[[#This Row],[lending_product_transform]],[3]Mapping!$B$4:$C$37,2,0)</f>
        <v>[Cake] - Cashloan</v>
      </c>
      <c r="H14982" s="128" t="str">
        <f>VLOOKUP(source[[#This Row],[lending_product_transform]],[3]Mapping!$B$3:$D$37,3,0)</f>
        <v>cashloan</v>
      </c>
      <c r="I14982" s="549">
        <v>0</v>
      </c>
    </row>
    <row r="14983" spans="1:9" x14ac:dyDescent="0.2">
      <c r="A14983" s="134">
        <v>46139</v>
      </c>
      <c r="B14983" s="549">
        <f>YEAR(source[[#This Row],[report_date]])</f>
        <v>2026</v>
      </c>
      <c r="C14983" s="128">
        <f t="shared" si="706"/>
        <v>4</v>
      </c>
      <c r="D14983" s="136">
        <f t="shared" si="707"/>
        <v>18</v>
      </c>
      <c r="E14983" s="136">
        <f t="shared" si="708"/>
        <v>27</v>
      </c>
      <c r="F14983" s="128" t="s">
        <v>24</v>
      </c>
      <c r="G14983" s="128" t="str">
        <f>VLOOKUP(source[[#This Row],[lending_product_transform]],[3]Mapping!$B$4:$C$37,2,0)</f>
        <v>[Cake] - Cashloan</v>
      </c>
      <c r="H14983" s="128" t="str">
        <f>VLOOKUP(source[[#This Row],[lending_product_transform]],[3]Mapping!$B$3:$D$37,3,0)</f>
        <v>cashloan</v>
      </c>
      <c r="I14983" s="549">
        <v>0</v>
      </c>
    </row>
    <row r="14984" spans="1:9" x14ac:dyDescent="0.2">
      <c r="A14984" s="134">
        <v>46139</v>
      </c>
      <c r="B14984" s="549">
        <f>YEAR(source[[#This Row],[report_date]])</f>
        <v>2026</v>
      </c>
      <c r="C14984" s="128">
        <f t="shared" si="706"/>
        <v>4</v>
      </c>
      <c r="D14984" s="136">
        <f t="shared" si="707"/>
        <v>18</v>
      </c>
      <c r="E14984" s="136">
        <f t="shared" si="708"/>
        <v>27</v>
      </c>
      <c r="F14984" s="128" t="s">
        <v>24</v>
      </c>
      <c r="G14984" s="128" t="str">
        <f>VLOOKUP(source[[#This Row],[lending_product_transform]],[3]Mapping!$B$4:$C$37,2,0)</f>
        <v>[Cake] - Cashloan</v>
      </c>
      <c r="H14984" s="128" t="str">
        <f>VLOOKUP(source[[#This Row],[lending_product_transform]],[3]Mapping!$B$3:$D$37,3,0)</f>
        <v>cashloan</v>
      </c>
      <c r="I14984" s="549">
        <v>2617380000</v>
      </c>
    </row>
    <row r="14985" spans="1:9" x14ac:dyDescent="0.2">
      <c r="A14985" s="134">
        <v>46139</v>
      </c>
      <c r="B14985" s="549">
        <f>YEAR(source[[#This Row],[report_date]])</f>
        <v>2026</v>
      </c>
      <c r="C14985" s="128">
        <f t="shared" si="706"/>
        <v>4</v>
      </c>
      <c r="D14985" s="136">
        <f t="shared" si="707"/>
        <v>18</v>
      </c>
      <c r="E14985" s="136">
        <f t="shared" si="708"/>
        <v>27</v>
      </c>
      <c r="F14985" s="128" t="s">
        <v>24</v>
      </c>
      <c r="G14985" s="128" t="str">
        <f>VLOOKUP(source[[#This Row],[lending_product_transform]],[3]Mapping!$B$4:$C$37,2,0)</f>
        <v>[Cake] - Cashloan</v>
      </c>
      <c r="H14985" s="128" t="str">
        <f>VLOOKUP(source[[#This Row],[lending_product_transform]],[3]Mapping!$B$3:$D$37,3,0)</f>
        <v>cashloan</v>
      </c>
      <c r="I14985" s="549">
        <v>897440000</v>
      </c>
    </row>
    <row r="14986" spans="1:9" x14ac:dyDescent="0.2">
      <c r="A14986" s="134">
        <v>46139</v>
      </c>
      <c r="B14986" s="549">
        <f>YEAR(source[[#This Row],[report_date]])</f>
        <v>2026</v>
      </c>
      <c r="C14986" s="128">
        <f t="shared" si="706"/>
        <v>4</v>
      </c>
      <c r="D14986" s="136">
        <f t="shared" si="707"/>
        <v>18</v>
      </c>
      <c r="E14986" s="136">
        <f t="shared" si="708"/>
        <v>27</v>
      </c>
      <c r="F14986" s="128" t="s">
        <v>24</v>
      </c>
      <c r="G14986" s="128" t="str">
        <f>VLOOKUP(source[[#This Row],[lending_product_transform]],[3]Mapping!$B$4:$C$37,2,0)</f>
        <v>[Cake] - Cashloan</v>
      </c>
      <c r="H14986" s="128" t="str">
        <f>VLOOKUP(source[[#This Row],[lending_product_transform]],[3]Mapping!$B$3:$D$37,3,0)</f>
        <v>cashloan</v>
      </c>
      <c r="I14986" s="549">
        <v>13666610</v>
      </c>
    </row>
    <row r="14987" spans="1:9" x14ac:dyDescent="0.2">
      <c r="A14987" s="134">
        <v>46139</v>
      </c>
      <c r="B14987" s="549">
        <f>YEAR(source[[#This Row],[report_date]])</f>
        <v>2026</v>
      </c>
      <c r="C14987" s="128">
        <f t="shared" si="706"/>
        <v>4</v>
      </c>
      <c r="D14987" s="136">
        <f t="shared" si="707"/>
        <v>18</v>
      </c>
      <c r="E14987" s="136">
        <f t="shared" si="708"/>
        <v>27</v>
      </c>
      <c r="F14987" s="128" t="s">
        <v>24</v>
      </c>
      <c r="G14987" s="128" t="str">
        <f>VLOOKUP(source[[#This Row],[lending_product_transform]],[3]Mapping!$B$4:$C$37,2,0)</f>
        <v>[Cake] - Cashloan</v>
      </c>
      <c r="H14987" s="128" t="str">
        <f>VLOOKUP(source[[#This Row],[lending_product_transform]],[3]Mapping!$B$3:$D$37,3,0)</f>
        <v>cashloan</v>
      </c>
      <c r="I14987" s="549">
        <v>969675024</v>
      </c>
    </row>
    <row r="14988" spans="1:9" x14ac:dyDescent="0.2">
      <c r="A14988" s="134">
        <v>46139</v>
      </c>
      <c r="B14988" s="549">
        <f>YEAR(source[[#This Row],[report_date]])</f>
        <v>2026</v>
      </c>
      <c r="C14988" s="128">
        <f t="shared" si="706"/>
        <v>4</v>
      </c>
      <c r="D14988" s="136">
        <f t="shared" si="707"/>
        <v>18</v>
      </c>
      <c r="E14988" s="136">
        <f t="shared" si="708"/>
        <v>27</v>
      </c>
      <c r="F14988" s="128" t="s">
        <v>24</v>
      </c>
      <c r="G14988" s="128" t="str">
        <f>VLOOKUP(source[[#This Row],[lending_product_transform]],[3]Mapping!$B$4:$C$37,2,0)</f>
        <v>[Cake] - Cashloan</v>
      </c>
      <c r="H14988" s="128" t="str">
        <f>VLOOKUP(source[[#This Row],[lending_product_transform]],[3]Mapping!$B$3:$D$37,3,0)</f>
        <v>cashloan</v>
      </c>
      <c r="I14988" s="549">
        <v>0</v>
      </c>
    </row>
    <row r="14989" spans="1:9" x14ac:dyDescent="0.2">
      <c r="A14989" s="134">
        <v>46139</v>
      </c>
      <c r="B14989" s="549">
        <f>YEAR(source[[#This Row],[report_date]])</f>
        <v>2026</v>
      </c>
      <c r="C14989" s="128">
        <f t="shared" si="706"/>
        <v>4</v>
      </c>
      <c r="D14989" s="136">
        <f t="shared" si="707"/>
        <v>18</v>
      </c>
      <c r="E14989" s="136">
        <f t="shared" si="708"/>
        <v>27</v>
      </c>
      <c r="F14989" s="128" t="s">
        <v>24</v>
      </c>
      <c r="G14989" s="128" t="str">
        <f>VLOOKUP(source[[#This Row],[lending_product_transform]],[3]Mapping!$B$4:$C$37,2,0)</f>
        <v>[Cake] - Cashloan</v>
      </c>
      <c r="H14989" s="128" t="str">
        <f>VLOOKUP(source[[#This Row],[lending_product_transform]],[3]Mapping!$B$3:$D$37,3,0)</f>
        <v>cashloan</v>
      </c>
      <c r="I14989" s="549">
        <v>15750000</v>
      </c>
    </row>
    <row r="14990" spans="1:9" x14ac:dyDescent="0.2">
      <c r="A14990" s="134">
        <v>46139</v>
      </c>
      <c r="B14990" s="549">
        <f>YEAR(source[[#This Row],[report_date]])</f>
        <v>2026</v>
      </c>
      <c r="C14990" s="128">
        <f t="shared" si="706"/>
        <v>4</v>
      </c>
      <c r="D14990" s="136">
        <f t="shared" si="707"/>
        <v>18</v>
      </c>
      <c r="E14990" s="136">
        <f t="shared" si="708"/>
        <v>27</v>
      </c>
      <c r="F14990" s="128" t="s">
        <v>24</v>
      </c>
      <c r="G14990" s="128" t="str">
        <f>VLOOKUP(source[[#This Row],[lending_product_transform]],[3]Mapping!$B$4:$C$37,2,0)</f>
        <v>[Cake] - Cashloan</v>
      </c>
      <c r="H14990" s="128" t="str">
        <f>VLOOKUP(source[[#This Row],[lending_product_transform]],[3]Mapping!$B$3:$D$37,3,0)</f>
        <v>cashloan</v>
      </c>
      <c r="I14990" s="549">
        <v>0</v>
      </c>
    </row>
    <row r="14991" spans="1:9" x14ac:dyDescent="0.2">
      <c r="A14991" s="134">
        <v>46139</v>
      </c>
      <c r="B14991" s="549">
        <f>YEAR(source[[#This Row],[report_date]])</f>
        <v>2026</v>
      </c>
      <c r="C14991" s="128">
        <f t="shared" si="706"/>
        <v>4</v>
      </c>
      <c r="D14991" s="136">
        <f t="shared" si="707"/>
        <v>18</v>
      </c>
      <c r="E14991" s="136">
        <f t="shared" si="708"/>
        <v>27</v>
      </c>
      <c r="F14991" s="128" t="s">
        <v>24</v>
      </c>
      <c r="G14991" s="128" t="str">
        <f>VLOOKUP(source[[#This Row],[lending_product_transform]],[3]Mapping!$B$4:$C$37,2,0)</f>
        <v>[Cake] - Cashloan</v>
      </c>
      <c r="H14991" s="128" t="str">
        <f>VLOOKUP(source[[#This Row],[lending_product_transform]],[3]Mapping!$B$3:$D$37,3,0)</f>
        <v>cashloan</v>
      </c>
      <c r="I14991" s="549">
        <v>14907670000</v>
      </c>
    </row>
    <row r="14992" spans="1:9" x14ac:dyDescent="0.2">
      <c r="A14992" s="134">
        <v>46139</v>
      </c>
      <c r="B14992" s="549">
        <f>YEAR(source[[#This Row],[report_date]])</f>
        <v>2026</v>
      </c>
      <c r="C14992" s="128">
        <f t="shared" si="706"/>
        <v>4</v>
      </c>
      <c r="D14992" s="136">
        <f t="shared" si="707"/>
        <v>18</v>
      </c>
      <c r="E14992" s="136">
        <f t="shared" si="708"/>
        <v>27</v>
      </c>
      <c r="F14992" s="128" t="s">
        <v>24</v>
      </c>
      <c r="G14992" s="128" t="str">
        <f>VLOOKUP(source[[#This Row],[lending_product_transform]],[3]Mapping!$B$4:$C$37,2,0)</f>
        <v>[Cake] - Cashloan</v>
      </c>
      <c r="H14992" s="128" t="str">
        <f>VLOOKUP(source[[#This Row],[lending_product_transform]],[3]Mapping!$B$3:$D$37,3,0)</f>
        <v>cashloan</v>
      </c>
      <c r="I14992" s="549">
        <v>0</v>
      </c>
    </row>
    <row r="14993" spans="1:9" x14ac:dyDescent="0.2">
      <c r="A14993" s="134">
        <v>46139</v>
      </c>
      <c r="B14993" s="549">
        <f>YEAR(source[[#This Row],[report_date]])</f>
        <v>2026</v>
      </c>
      <c r="C14993" s="128">
        <f t="shared" ref="C14993:C15056" si="709">MONTH(A14993)</f>
        <v>4</v>
      </c>
      <c r="D14993" s="136">
        <f t="shared" ref="D14993:D15056" si="710">WEEKNUM(A14993,2)</f>
        <v>18</v>
      </c>
      <c r="E14993" s="136">
        <f t="shared" ref="E14993:E15056" si="711">DAY(A14993)</f>
        <v>27</v>
      </c>
      <c r="F14993" s="128" t="s">
        <v>24</v>
      </c>
      <c r="G14993" s="128" t="str">
        <f>VLOOKUP(source[[#This Row],[lending_product_transform]],[3]Mapping!$B$4:$C$37,2,0)</f>
        <v>[Cake] - Cashloan</v>
      </c>
      <c r="H14993" s="128" t="str">
        <f>VLOOKUP(source[[#This Row],[lending_product_transform]],[3]Mapping!$B$3:$D$37,3,0)</f>
        <v>cashloan</v>
      </c>
      <c r="I14993" s="549">
        <v>0</v>
      </c>
    </row>
    <row r="14994" spans="1:9" x14ac:dyDescent="0.2">
      <c r="A14994" s="134">
        <v>46139</v>
      </c>
      <c r="B14994" s="549">
        <f>YEAR(source[[#This Row],[report_date]])</f>
        <v>2026</v>
      </c>
      <c r="C14994" s="128">
        <f t="shared" si="709"/>
        <v>4</v>
      </c>
      <c r="D14994" s="136">
        <f t="shared" si="710"/>
        <v>18</v>
      </c>
      <c r="E14994" s="136">
        <f t="shared" si="711"/>
        <v>27</v>
      </c>
      <c r="F14994" s="128" t="s">
        <v>24</v>
      </c>
      <c r="G14994" s="128" t="str">
        <f>VLOOKUP(source[[#This Row],[lending_product_transform]],[3]Mapping!$B$4:$C$37,2,0)</f>
        <v>[Cake] - Cashloan</v>
      </c>
      <c r="H14994" s="128" t="str">
        <f>VLOOKUP(source[[#This Row],[lending_product_transform]],[3]Mapping!$B$3:$D$37,3,0)</f>
        <v>cashloan</v>
      </c>
      <c r="I14994" s="549">
        <v>0</v>
      </c>
    </row>
    <row r="14995" spans="1:9" x14ac:dyDescent="0.2">
      <c r="A14995" s="134">
        <v>46139</v>
      </c>
      <c r="B14995" s="549">
        <f>YEAR(source[[#This Row],[report_date]])</f>
        <v>2026</v>
      </c>
      <c r="C14995" s="128">
        <f t="shared" si="709"/>
        <v>4</v>
      </c>
      <c r="D14995" s="136">
        <f t="shared" si="710"/>
        <v>18</v>
      </c>
      <c r="E14995" s="136">
        <f t="shared" si="711"/>
        <v>27</v>
      </c>
      <c r="F14995" s="128" t="s">
        <v>24</v>
      </c>
      <c r="G14995" s="128" t="str">
        <f>VLOOKUP(source[[#This Row],[lending_product_transform]],[3]Mapping!$B$4:$C$37,2,0)</f>
        <v>[Cake] - Cashloan</v>
      </c>
      <c r="H14995" s="128" t="str">
        <f>VLOOKUP(source[[#This Row],[lending_product_transform]],[3]Mapping!$B$3:$D$37,3,0)</f>
        <v>cashloan</v>
      </c>
      <c r="I14995" s="549">
        <v>0</v>
      </c>
    </row>
    <row r="14996" spans="1:9" x14ac:dyDescent="0.2">
      <c r="A14996" s="134">
        <v>46139</v>
      </c>
      <c r="B14996" s="549">
        <f>YEAR(source[[#This Row],[report_date]])</f>
        <v>2026</v>
      </c>
      <c r="C14996" s="128">
        <f t="shared" si="709"/>
        <v>4</v>
      </c>
      <c r="D14996" s="136">
        <f t="shared" si="710"/>
        <v>18</v>
      </c>
      <c r="E14996" s="136">
        <f t="shared" si="711"/>
        <v>27</v>
      </c>
      <c r="F14996" s="128" t="s">
        <v>24</v>
      </c>
      <c r="G14996" s="128" t="str">
        <f>VLOOKUP(source[[#This Row],[lending_product_transform]],[3]Mapping!$B$4:$C$37,2,0)</f>
        <v>[Cake] - Cashloan</v>
      </c>
      <c r="H14996" s="128" t="str">
        <f>VLOOKUP(source[[#This Row],[lending_product_transform]],[3]Mapping!$B$3:$D$37,3,0)</f>
        <v>cashloan</v>
      </c>
      <c r="I14996" s="549">
        <v>9999072000</v>
      </c>
    </row>
    <row r="14997" spans="1:9" x14ac:dyDescent="0.2">
      <c r="A14997" s="134">
        <v>46139</v>
      </c>
      <c r="B14997" s="549">
        <f>YEAR(source[[#This Row],[report_date]])</f>
        <v>2026</v>
      </c>
      <c r="C14997" s="128">
        <f t="shared" si="709"/>
        <v>4</v>
      </c>
      <c r="D14997" s="136">
        <f t="shared" si="710"/>
        <v>18</v>
      </c>
      <c r="E14997" s="136">
        <f t="shared" si="711"/>
        <v>27</v>
      </c>
      <c r="F14997" s="128" t="s">
        <v>24</v>
      </c>
      <c r="G14997" s="128" t="str">
        <f>VLOOKUP(source[[#This Row],[lending_product_transform]],[3]Mapping!$B$4:$C$37,2,0)</f>
        <v>[Cake] - Cashloan</v>
      </c>
      <c r="H14997" s="128" t="str">
        <f>VLOOKUP(source[[#This Row],[lending_product_transform]],[3]Mapping!$B$3:$D$37,3,0)</f>
        <v>cashloan</v>
      </c>
      <c r="I14997" s="549">
        <v>137238973</v>
      </c>
    </row>
    <row r="14998" spans="1:9" x14ac:dyDescent="0.2">
      <c r="A14998" s="134">
        <v>46139</v>
      </c>
      <c r="B14998" s="549">
        <f>YEAR(source[[#This Row],[report_date]])</f>
        <v>2026</v>
      </c>
      <c r="C14998" s="128">
        <f t="shared" si="709"/>
        <v>4</v>
      </c>
      <c r="D14998" s="136">
        <f t="shared" si="710"/>
        <v>18</v>
      </c>
      <c r="E14998" s="136">
        <f t="shared" si="711"/>
        <v>27</v>
      </c>
      <c r="F14998" s="128" t="s">
        <v>24</v>
      </c>
      <c r="G14998" s="128" t="str">
        <f>VLOOKUP(source[[#This Row],[lending_product_transform]],[3]Mapping!$B$4:$C$37,2,0)</f>
        <v>[Cake] - Cashloan</v>
      </c>
      <c r="H14998" s="128" t="str">
        <f>VLOOKUP(source[[#This Row],[lending_product_transform]],[3]Mapping!$B$3:$D$37,3,0)</f>
        <v>cashloan</v>
      </c>
      <c r="I14998" s="549">
        <v>21000000</v>
      </c>
    </row>
    <row r="14999" spans="1:9" x14ac:dyDescent="0.2">
      <c r="A14999" s="134">
        <v>46139</v>
      </c>
      <c r="B14999" s="549">
        <f>YEAR(source[[#This Row],[report_date]])</f>
        <v>2026</v>
      </c>
      <c r="C14999" s="128">
        <f t="shared" si="709"/>
        <v>4</v>
      </c>
      <c r="D14999" s="136">
        <f t="shared" si="710"/>
        <v>18</v>
      </c>
      <c r="E14999" s="136">
        <f t="shared" si="711"/>
        <v>27</v>
      </c>
      <c r="F14999" s="128" t="s">
        <v>24</v>
      </c>
      <c r="G14999" s="128" t="str">
        <f>VLOOKUP(source[[#This Row],[lending_product_transform]],[3]Mapping!$B$4:$C$37,2,0)</f>
        <v>[Cake] - Cashloan</v>
      </c>
      <c r="H14999" s="128" t="str">
        <f>VLOOKUP(source[[#This Row],[lending_product_transform]],[3]Mapping!$B$3:$D$37,3,0)</f>
        <v>cashloan</v>
      </c>
      <c r="I14999" s="549">
        <v>72000000</v>
      </c>
    </row>
    <row r="15000" spans="1:9" x14ac:dyDescent="0.2">
      <c r="A15000" s="134">
        <v>46139</v>
      </c>
      <c r="B15000" s="549">
        <f>YEAR(source[[#This Row],[report_date]])</f>
        <v>2026</v>
      </c>
      <c r="C15000" s="128">
        <f t="shared" si="709"/>
        <v>4</v>
      </c>
      <c r="D15000" s="136">
        <f t="shared" si="710"/>
        <v>18</v>
      </c>
      <c r="E15000" s="136">
        <f t="shared" si="711"/>
        <v>27</v>
      </c>
      <c r="F15000" s="128" t="s">
        <v>24</v>
      </c>
      <c r="G15000" s="128" t="str">
        <f>VLOOKUP(source[[#This Row],[lending_product_transform]],[3]Mapping!$B$4:$C$37,2,0)</f>
        <v>[Cake] - Cashloan</v>
      </c>
      <c r="H15000" s="128" t="str">
        <f>VLOOKUP(source[[#This Row],[lending_product_transform]],[3]Mapping!$B$3:$D$37,3,0)</f>
        <v>cashloan</v>
      </c>
      <c r="I15000" s="549">
        <v>542590000</v>
      </c>
    </row>
    <row r="15001" spans="1:9" x14ac:dyDescent="0.2">
      <c r="A15001" s="134">
        <v>46139</v>
      </c>
      <c r="B15001" s="549">
        <f>YEAR(source[[#This Row],[report_date]])</f>
        <v>2026</v>
      </c>
      <c r="C15001" s="128">
        <f t="shared" si="709"/>
        <v>4</v>
      </c>
      <c r="D15001" s="136">
        <f t="shared" si="710"/>
        <v>18</v>
      </c>
      <c r="E15001" s="136">
        <f t="shared" si="711"/>
        <v>27</v>
      </c>
      <c r="F15001" s="128" t="s">
        <v>24</v>
      </c>
      <c r="G15001" s="128" t="str">
        <f>VLOOKUP(source[[#This Row],[lending_product_transform]],[3]Mapping!$B$4:$C$37,2,0)</f>
        <v>[Cake] - Cashloan</v>
      </c>
      <c r="H15001" s="128" t="str">
        <f>VLOOKUP(source[[#This Row],[lending_product_transform]],[3]Mapping!$B$3:$D$37,3,0)</f>
        <v>cashloan</v>
      </c>
      <c r="I15001" s="549">
        <v>285984000</v>
      </c>
    </row>
    <row r="15002" spans="1:9" x14ac:dyDescent="0.2">
      <c r="A15002" s="134">
        <v>46139</v>
      </c>
      <c r="B15002" s="549">
        <f>YEAR(source[[#This Row],[report_date]])</f>
        <v>2026</v>
      </c>
      <c r="C15002" s="128">
        <f t="shared" si="709"/>
        <v>4</v>
      </c>
      <c r="D15002" s="136">
        <f t="shared" si="710"/>
        <v>18</v>
      </c>
      <c r="E15002" s="136">
        <f t="shared" si="711"/>
        <v>27</v>
      </c>
      <c r="F15002" s="128" t="s">
        <v>24</v>
      </c>
      <c r="G15002" s="128" t="str">
        <f>VLOOKUP(source[[#This Row],[lending_product_transform]],[3]Mapping!$B$4:$C$37,2,0)</f>
        <v>[Cake] - Cashloan</v>
      </c>
      <c r="H15002" s="128" t="str">
        <f>VLOOKUP(source[[#This Row],[lending_product_transform]],[3]Mapping!$B$3:$D$37,3,0)</f>
        <v>cashloan</v>
      </c>
      <c r="I15002" s="549">
        <v>305971303</v>
      </c>
    </row>
    <row r="15003" spans="1:9" x14ac:dyDescent="0.2">
      <c r="A15003" s="134">
        <v>46139</v>
      </c>
      <c r="B15003" s="549">
        <f>YEAR(source[[#This Row],[report_date]])</f>
        <v>2026</v>
      </c>
      <c r="C15003" s="128">
        <f t="shared" si="709"/>
        <v>4</v>
      </c>
      <c r="D15003" s="136">
        <f t="shared" si="710"/>
        <v>18</v>
      </c>
      <c r="E15003" s="136">
        <f t="shared" si="711"/>
        <v>27</v>
      </c>
      <c r="F15003" s="128" t="s">
        <v>24</v>
      </c>
      <c r="G15003" s="128" t="str">
        <f>VLOOKUP(source[[#This Row],[lending_product_transform]],[3]Mapping!$B$4:$C$37,2,0)</f>
        <v>[Cake] - Cashloan</v>
      </c>
      <c r="H15003" s="128" t="str">
        <f>VLOOKUP(source[[#This Row],[lending_product_transform]],[3]Mapping!$B$3:$D$37,3,0)</f>
        <v>cashloan</v>
      </c>
      <c r="I15003" s="549">
        <v>4888940000</v>
      </c>
    </row>
    <row r="15004" spans="1:9" x14ac:dyDescent="0.2">
      <c r="A15004" s="134">
        <v>46139</v>
      </c>
      <c r="B15004" s="549">
        <f>YEAR(source[[#This Row],[report_date]])</f>
        <v>2026</v>
      </c>
      <c r="C15004" s="128">
        <f t="shared" si="709"/>
        <v>4</v>
      </c>
      <c r="D15004" s="136">
        <f t="shared" si="710"/>
        <v>18</v>
      </c>
      <c r="E15004" s="136">
        <f t="shared" si="711"/>
        <v>27</v>
      </c>
      <c r="F15004" s="128" t="s">
        <v>24</v>
      </c>
      <c r="G15004" s="128" t="str">
        <f>VLOOKUP(source[[#This Row],[lending_product_transform]],[3]Mapping!$B$4:$C$37,2,0)</f>
        <v>[Cake] - Cashloan</v>
      </c>
      <c r="H15004" s="128" t="str">
        <f>VLOOKUP(source[[#This Row],[lending_product_transform]],[3]Mapping!$B$3:$D$37,3,0)</f>
        <v>cashloan</v>
      </c>
      <c r="I15004" s="549">
        <v>0</v>
      </c>
    </row>
    <row r="15005" spans="1:9" x14ac:dyDescent="0.2">
      <c r="A15005" s="134">
        <v>46140</v>
      </c>
      <c r="B15005" s="549">
        <f>YEAR(source[[#This Row],[report_date]])</f>
        <v>2026</v>
      </c>
      <c r="C15005" s="128">
        <f t="shared" si="709"/>
        <v>4</v>
      </c>
      <c r="D15005" s="136">
        <f t="shared" si="710"/>
        <v>18</v>
      </c>
      <c r="E15005" s="136">
        <f t="shared" si="711"/>
        <v>28</v>
      </c>
      <c r="F15005" s="128" t="s">
        <v>24</v>
      </c>
      <c r="G15005" s="128" t="str">
        <f>VLOOKUP(source[[#This Row],[lending_product_transform]],[3]Mapping!$B$4:$C$37,2,0)</f>
        <v>[Cake] - Cashloan</v>
      </c>
      <c r="H15005" s="128" t="str">
        <f>VLOOKUP(source[[#This Row],[lending_product_transform]],[3]Mapping!$B$3:$D$37,3,0)</f>
        <v>cashloan</v>
      </c>
      <c r="I15005" s="549">
        <v>526000000</v>
      </c>
    </row>
    <row r="15006" spans="1:9" x14ac:dyDescent="0.2">
      <c r="A15006" s="134">
        <v>46140</v>
      </c>
      <c r="B15006" s="549">
        <f>YEAR(source[[#This Row],[report_date]])</f>
        <v>2026</v>
      </c>
      <c r="C15006" s="128">
        <f t="shared" si="709"/>
        <v>4</v>
      </c>
      <c r="D15006" s="136">
        <f t="shared" si="710"/>
        <v>18</v>
      </c>
      <c r="E15006" s="136">
        <f t="shared" si="711"/>
        <v>28</v>
      </c>
      <c r="F15006" s="128" t="s">
        <v>24</v>
      </c>
      <c r="G15006" s="128" t="str">
        <f>VLOOKUP(source[[#This Row],[lending_product_transform]],[3]Mapping!$B$4:$C$37,2,0)</f>
        <v>[Cake] - Cashloan</v>
      </c>
      <c r="H15006" s="128" t="str">
        <f>VLOOKUP(source[[#This Row],[lending_product_transform]],[3]Mapping!$B$3:$D$37,3,0)</f>
        <v>cashloan</v>
      </c>
      <c r="I15006" s="549">
        <v>311187199</v>
      </c>
    </row>
    <row r="15007" spans="1:9" x14ac:dyDescent="0.2">
      <c r="A15007" s="134">
        <v>46140</v>
      </c>
      <c r="B15007" s="549">
        <f>YEAR(source[[#This Row],[report_date]])</f>
        <v>2026</v>
      </c>
      <c r="C15007" s="128">
        <f t="shared" si="709"/>
        <v>4</v>
      </c>
      <c r="D15007" s="136">
        <f t="shared" si="710"/>
        <v>18</v>
      </c>
      <c r="E15007" s="136">
        <f t="shared" si="711"/>
        <v>28</v>
      </c>
      <c r="F15007" s="128" t="s">
        <v>24</v>
      </c>
      <c r="G15007" s="128" t="str">
        <f>VLOOKUP(source[[#This Row],[lending_product_transform]],[3]Mapping!$B$4:$C$37,2,0)</f>
        <v>[Cake] - Cashloan</v>
      </c>
      <c r="H15007" s="128" t="str">
        <f>VLOOKUP(source[[#This Row],[lending_product_transform]],[3]Mapping!$B$3:$D$37,3,0)</f>
        <v>cashloan</v>
      </c>
      <c r="I15007" s="549">
        <v>12885850000</v>
      </c>
    </row>
    <row r="15008" spans="1:9" x14ac:dyDescent="0.2">
      <c r="A15008" s="134">
        <v>46140</v>
      </c>
      <c r="B15008" s="549">
        <f>YEAR(source[[#This Row],[report_date]])</f>
        <v>2026</v>
      </c>
      <c r="C15008" s="128">
        <f t="shared" si="709"/>
        <v>4</v>
      </c>
      <c r="D15008" s="136">
        <f t="shared" si="710"/>
        <v>18</v>
      </c>
      <c r="E15008" s="136">
        <f t="shared" si="711"/>
        <v>28</v>
      </c>
      <c r="F15008" s="128" t="s">
        <v>24</v>
      </c>
      <c r="G15008" s="128" t="str">
        <f>VLOOKUP(source[[#This Row],[lending_product_transform]],[3]Mapping!$B$4:$C$37,2,0)</f>
        <v>[Cake] - Cashloan</v>
      </c>
      <c r="H15008" s="128" t="str">
        <f>VLOOKUP(source[[#This Row],[lending_product_transform]],[3]Mapping!$B$3:$D$37,3,0)</f>
        <v>cashloan</v>
      </c>
      <c r="I15008" s="549">
        <v>1730597535</v>
      </c>
    </row>
    <row r="15009" spans="1:9" x14ac:dyDescent="0.2">
      <c r="A15009" s="134">
        <v>46140</v>
      </c>
      <c r="B15009" s="549">
        <f>YEAR(source[[#This Row],[report_date]])</f>
        <v>2026</v>
      </c>
      <c r="C15009" s="128">
        <f t="shared" si="709"/>
        <v>4</v>
      </c>
      <c r="D15009" s="136">
        <f t="shared" si="710"/>
        <v>18</v>
      </c>
      <c r="E15009" s="136">
        <f t="shared" si="711"/>
        <v>28</v>
      </c>
      <c r="F15009" s="128" t="s">
        <v>24</v>
      </c>
      <c r="G15009" s="128" t="str">
        <f>VLOOKUP(source[[#This Row],[lending_product_transform]],[3]Mapping!$B$4:$C$37,2,0)</f>
        <v>[Cake] - Cashloan</v>
      </c>
      <c r="H15009" s="128" t="str">
        <f>VLOOKUP(source[[#This Row],[lending_product_transform]],[3]Mapping!$B$3:$D$37,3,0)</f>
        <v>cashloan</v>
      </c>
      <c r="I15009" s="549">
        <v>14327280000</v>
      </c>
    </row>
    <row r="15010" spans="1:9" x14ac:dyDescent="0.2">
      <c r="A15010" s="134">
        <v>46140</v>
      </c>
      <c r="B15010" s="549">
        <f>YEAR(source[[#This Row],[report_date]])</f>
        <v>2026</v>
      </c>
      <c r="C15010" s="128">
        <f t="shared" si="709"/>
        <v>4</v>
      </c>
      <c r="D15010" s="136">
        <f t="shared" si="710"/>
        <v>18</v>
      </c>
      <c r="E15010" s="136">
        <f t="shared" si="711"/>
        <v>28</v>
      </c>
      <c r="F15010" s="128" t="s">
        <v>24</v>
      </c>
      <c r="G15010" s="128" t="str">
        <f>VLOOKUP(source[[#This Row],[lending_product_transform]],[3]Mapping!$B$4:$C$37,2,0)</f>
        <v>[Cake] - Cashloan</v>
      </c>
      <c r="H15010" s="128" t="str">
        <f>VLOOKUP(source[[#This Row],[lending_product_transform]],[3]Mapping!$B$3:$D$37,3,0)</f>
        <v>cashloan</v>
      </c>
      <c r="I15010" s="549">
        <v>0</v>
      </c>
    </row>
    <row r="15011" spans="1:9" x14ac:dyDescent="0.2">
      <c r="A15011" s="134">
        <v>46140</v>
      </c>
      <c r="B15011" s="549">
        <f>YEAR(source[[#This Row],[report_date]])</f>
        <v>2026</v>
      </c>
      <c r="C15011" s="128">
        <f t="shared" si="709"/>
        <v>4</v>
      </c>
      <c r="D15011" s="136">
        <f t="shared" si="710"/>
        <v>18</v>
      </c>
      <c r="E15011" s="136">
        <f t="shared" si="711"/>
        <v>28</v>
      </c>
      <c r="F15011" s="128" t="s">
        <v>24</v>
      </c>
      <c r="G15011" s="128" t="str">
        <f>VLOOKUP(source[[#This Row],[lending_product_transform]],[3]Mapping!$B$4:$C$37,2,0)</f>
        <v>[Cake] - Cashloan</v>
      </c>
      <c r="H15011" s="128" t="str">
        <f>VLOOKUP(source[[#This Row],[lending_product_transform]],[3]Mapping!$B$3:$D$37,3,0)</f>
        <v>cashloan</v>
      </c>
      <c r="I15011" s="549">
        <v>0</v>
      </c>
    </row>
    <row r="15012" spans="1:9" x14ac:dyDescent="0.2">
      <c r="A15012" s="134">
        <v>46140</v>
      </c>
      <c r="B15012" s="549">
        <f>YEAR(source[[#This Row],[report_date]])</f>
        <v>2026</v>
      </c>
      <c r="C15012" s="128">
        <f t="shared" si="709"/>
        <v>4</v>
      </c>
      <c r="D15012" s="136">
        <f t="shared" si="710"/>
        <v>18</v>
      </c>
      <c r="E15012" s="136">
        <f t="shared" si="711"/>
        <v>28</v>
      </c>
      <c r="F15012" s="128" t="s">
        <v>24</v>
      </c>
      <c r="G15012" s="128" t="str">
        <f>VLOOKUP(source[[#This Row],[lending_product_transform]],[3]Mapping!$B$4:$C$37,2,0)</f>
        <v>[Cake] - Cashloan</v>
      </c>
      <c r="H15012" s="128" t="str">
        <f>VLOOKUP(source[[#This Row],[lending_product_transform]],[3]Mapping!$B$3:$D$37,3,0)</f>
        <v>cashloan</v>
      </c>
      <c r="I15012" s="549">
        <v>2523180000</v>
      </c>
    </row>
    <row r="15013" spans="1:9" x14ac:dyDescent="0.2">
      <c r="A15013" s="134">
        <v>46140</v>
      </c>
      <c r="B15013" s="549">
        <f>YEAR(source[[#This Row],[report_date]])</f>
        <v>2026</v>
      </c>
      <c r="C15013" s="128">
        <f t="shared" si="709"/>
        <v>4</v>
      </c>
      <c r="D15013" s="136">
        <f t="shared" si="710"/>
        <v>18</v>
      </c>
      <c r="E15013" s="136">
        <f t="shared" si="711"/>
        <v>28</v>
      </c>
      <c r="F15013" s="128" t="s">
        <v>24</v>
      </c>
      <c r="G15013" s="128" t="str">
        <f>VLOOKUP(source[[#This Row],[lending_product_transform]],[3]Mapping!$B$4:$C$37,2,0)</f>
        <v>[Cake] - Cashloan</v>
      </c>
      <c r="H15013" s="128" t="str">
        <f>VLOOKUP(source[[#This Row],[lending_product_transform]],[3]Mapping!$B$3:$D$37,3,0)</f>
        <v>cashloan</v>
      </c>
      <c r="I15013" s="549">
        <v>1172500000</v>
      </c>
    </row>
    <row r="15014" spans="1:9" x14ac:dyDescent="0.2">
      <c r="A15014" s="134">
        <v>46140</v>
      </c>
      <c r="B15014" s="549">
        <f>YEAR(source[[#This Row],[report_date]])</f>
        <v>2026</v>
      </c>
      <c r="C15014" s="128">
        <f t="shared" si="709"/>
        <v>4</v>
      </c>
      <c r="D15014" s="136">
        <f t="shared" si="710"/>
        <v>18</v>
      </c>
      <c r="E15014" s="136">
        <f t="shared" si="711"/>
        <v>28</v>
      </c>
      <c r="F15014" s="128" t="s">
        <v>24</v>
      </c>
      <c r="G15014" s="128" t="str">
        <f>VLOOKUP(source[[#This Row],[lending_product_transform]],[3]Mapping!$B$4:$C$37,2,0)</f>
        <v>[Cake] - Cashloan</v>
      </c>
      <c r="H15014" s="128" t="str">
        <f>VLOOKUP(source[[#This Row],[lending_product_transform]],[3]Mapping!$B$3:$D$37,3,0)</f>
        <v>cashloan</v>
      </c>
      <c r="I15014" s="549">
        <v>10989000</v>
      </c>
    </row>
    <row r="15015" spans="1:9" x14ac:dyDescent="0.2">
      <c r="A15015" s="134">
        <v>46140</v>
      </c>
      <c r="B15015" s="549">
        <f>YEAR(source[[#This Row],[report_date]])</f>
        <v>2026</v>
      </c>
      <c r="C15015" s="128">
        <f t="shared" si="709"/>
        <v>4</v>
      </c>
      <c r="D15015" s="136">
        <f t="shared" si="710"/>
        <v>18</v>
      </c>
      <c r="E15015" s="136">
        <f t="shared" si="711"/>
        <v>28</v>
      </c>
      <c r="F15015" s="128" t="s">
        <v>24</v>
      </c>
      <c r="G15015" s="128" t="str">
        <f>VLOOKUP(source[[#This Row],[lending_product_transform]],[3]Mapping!$B$4:$C$37,2,0)</f>
        <v>[Cake] - Cashloan</v>
      </c>
      <c r="H15015" s="128" t="str">
        <f>VLOOKUP(source[[#This Row],[lending_product_transform]],[3]Mapping!$B$3:$D$37,3,0)</f>
        <v>cashloan</v>
      </c>
      <c r="I15015" s="549">
        <v>1068221147</v>
      </c>
    </row>
    <row r="15016" spans="1:9" x14ac:dyDescent="0.2">
      <c r="A15016" s="134">
        <v>46140</v>
      </c>
      <c r="B15016" s="549">
        <f>YEAR(source[[#This Row],[report_date]])</f>
        <v>2026</v>
      </c>
      <c r="C15016" s="128">
        <f t="shared" si="709"/>
        <v>4</v>
      </c>
      <c r="D15016" s="136">
        <f t="shared" si="710"/>
        <v>18</v>
      </c>
      <c r="E15016" s="136">
        <f t="shared" si="711"/>
        <v>28</v>
      </c>
      <c r="F15016" s="128" t="s">
        <v>24</v>
      </c>
      <c r="G15016" s="128" t="str">
        <f>VLOOKUP(source[[#This Row],[lending_product_transform]],[3]Mapping!$B$4:$C$37,2,0)</f>
        <v>[Cake] - Cashloan</v>
      </c>
      <c r="H15016" s="128" t="str">
        <f>VLOOKUP(source[[#This Row],[lending_product_transform]],[3]Mapping!$B$3:$D$37,3,0)</f>
        <v>cashloan</v>
      </c>
      <c r="I15016" s="549">
        <v>0</v>
      </c>
    </row>
    <row r="15017" spans="1:9" x14ac:dyDescent="0.2">
      <c r="A15017" s="134">
        <v>46140</v>
      </c>
      <c r="B15017" s="549">
        <f>YEAR(source[[#This Row],[report_date]])</f>
        <v>2026</v>
      </c>
      <c r="C15017" s="128">
        <f t="shared" si="709"/>
        <v>4</v>
      </c>
      <c r="D15017" s="136">
        <f t="shared" si="710"/>
        <v>18</v>
      </c>
      <c r="E15017" s="136">
        <f t="shared" si="711"/>
        <v>28</v>
      </c>
      <c r="F15017" s="128" t="s">
        <v>24</v>
      </c>
      <c r="G15017" s="128" t="str">
        <f>VLOOKUP(source[[#This Row],[lending_product_transform]],[3]Mapping!$B$4:$C$37,2,0)</f>
        <v>[Cake] - Cashloan</v>
      </c>
      <c r="H15017" s="128" t="str">
        <f>VLOOKUP(source[[#This Row],[lending_product_transform]],[3]Mapping!$B$3:$D$37,3,0)</f>
        <v>cashloan</v>
      </c>
      <c r="I15017" s="549">
        <v>96750000</v>
      </c>
    </row>
    <row r="15018" spans="1:9" x14ac:dyDescent="0.2">
      <c r="A15018" s="134">
        <v>46140</v>
      </c>
      <c r="B15018" s="549">
        <f>YEAR(source[[#This Row],[report_date]])</f>
        <v>2026</v>
      </c>
      <c r="C15018" s="128">
        <f t="shared" si="709"/>
        <v>4</v>
      </c>
      <c r="D15018" s="136">
        <f t="shared" si="710"/>
        <v>18</v>
      </c>
      <c r="E15018" s="136">
        <f t="shared" si="711"/>
        <v>28</v>
      </c>
      <c r="F15018" s="128" t="s">
        <v>24</v>
      </c>
      <c r="G15018" s="128" t="str">
        <f>VLOOKUP(source[[#This Row],[lending_product_transform]],[3]Mapping!$B$4:$C$37,2,0)</f>
        <v>[Cake] - Cashloan</v>
      </c>
      <c r="H15018" s="128" t="str">
        <f>VLOOKUP(source[[#This Row],[lending_product_transform]],[3]Mapping!$B$3:$D$37,3,0)</f>
        <v>cashloan</v>
      </c>
      <c r="I15018" s="549">
        <v>0</v>
      </c>
    </row>
    <row r="15019" spans="1:9" x14ac:dyDescent="0.2">
      <c r="A15019" s="134">
        <v>46140</v>
      </c>
      <c r="B15019" s="549">
        <f>YEAR(source[[#This Row],[report_date]])</f>
        <v>2026</v>
      </c>
      <c r="C15019" s="128">
        <f t="shared" si="709"/>
        <v>4</v>
      </c>
      <c r="D15019" s="136">
        <f t="shared" si="710"/>
        <v>18</v>
      </c>
      <c r="E15019" s="136">
        <f t="shared" si="711"/>
        <v>28</v>
      </c>
      <c r="F15019" s="128" t="s">
        <v>24</v>
      </c>
      <c r="G15019" s="128" t="str">
        <f>VLOOKUP(source[[#This Row],[lending_product_transform]],[3]Mapping!$B$4:$C$37,2,0)</f>
        <v>[Cake] - Cashloan</v>
      </c>
      <c r="H15019" s="128" t="str">
        <f>VLOOKUP(source[[#This Row],[lending_product_transform]],[3]Mapping!$B$3:$D$37,3,0)</f>
        <v>cashloan</v>
      </c>
      <c r="I15019" s="549">
        <v>15526020000</v>
      </c>
    </row>
    <row r="15020" spans="1:9" x14ac:dyDescent="0.2">
      <c r="A15020" s="134">
        <v>46140</v>
      </c>
      <c r="B15020" s="549">
        <f>YEAR(source[[#This Row],[report_date]])</f>
        <v>2026</v>
      </c>
      <c r="C15020" s="128">
        <f t="shared" si="709"/>
        <v>4</v>
      </c>
      <c r="D15020" s="136">
        <f t="shared" si="710"/>
        <v>18</v>
      </c>
      <c r="E15020" s="136">
        <f t="shared" si="711"/>
        <v>28</v>
      </c>
      <c r="F15020" s="128" t="s">
        <v>24</v>
      </c>
      <c r="G15020" s="128" t="str">
        <f>VLOOKUP(source[[#This Row],[lending_product_transform]],[3]Mapping!$B$4:$C$37,2,0)</f>
        <v>[Cake] - Cashloan</v>
      </c>
      <c r="H15020" s="128" t="str">
        <f>VLOOKUP(source[[#This Row],[lending_product_transform]],[3]Mapping!$B$3:$D$37,3,0)</f>
        <v>cashloan</v>
      </c>
      <c r="I15020" s="549">
        <v>0</v>
      </c>
    </row>
    <row r="15021" spans="1:9" x14ac:dyDescent="0.2">
      <c r="A15021" s="134">
        <v>46140</v>
      </c>
      <c r="B15021" s="549">
        <f>YEAR(source[[#This Row],[report_date]])</f>
        <v>2026</v>
      </c>
      <c r="C15021" s="128">
        <f t="shared" si="709"/>
        <v>4</v>
      </c>
      <c r="D15021" s="136">
        <f t="shared" si="710"/>
        <v>18</v>
      </c>
      <c r="E15021" s="136">
        <f t="shared" si="711"/>
        <v>28</v>
      </c>
      <c r="F15021" s="128" t="s">
        <v>24</v>
      </c>
      <c r="G15021" s="128" t="str">
        <f>VLOOKUP(source[[#This Row],[lending_product_transform]],[3]Mapping!$B$4:$C$37,2,0)</f>
        <v>[Cake] - Cashloan</v>
      </c>
      <c r="H15021" s="128" t="str">
        <f>VLOOKUP(source[[#This Row],[lending_product_transform]],[3]Mapping!$B$3:$D$37,3,0)</f>
        <v>cashloan</v>
      </c>
      <c r="I15021" s="549">
        <v>0</v>
      </c>
    </row>
    <row r="15022" spans="1:9" x14ac:dyDescent="0.2">
      <c r="A15022" s="134">
        <v>46140</v>
      </c>
      <c r="B15022" s="549">
        <f>YEAR(source[[#This Row],[report_date]])</f>
        <v>2026</v>
      </c>
      <c r="C15022" s="128">
        <f t="shared" si="709"/>
        <v>4</v>
      </c>
      <c r="D15022" s="136">
        <f t="shared" si="710"/>
        <v>18</v>
      </c>
      <c r="E15022" s="136">
        <f t="shared" si="711"/>
        <v>28</v>
      </c>
      <c r="F15022" s="128" t="s">
        <v>24</v>
      </c>
      <c r="G15022" s="128" t="str">
        <f>VLOOKUP(source[[#This Row],[lending_product_transform]],[3]Mapping!$B$4:$C$37,2,0)</f>
        <v>[Cake] - Cashloan</v>
      </c>
      <c r="H15022" s="128" t="str">
        <f>VLOOKUP(source[[#This Row],[lending_product_transform]],[3]Mapping!$B$3:$D$37,3,0)</f>
        <v>cashloan</v>
      </c>
      <c r="I15022" s="549">
        <v>0</v>
      </c>
    </row>
    <row r="15023" spans="1:9" x14ac:dyDescent="0.2">
      <c r="A15023" s="134">
        <v>46140</v>
      </c>
      <c r="B15023" s="549">
        <f>YEAR(source[[#This Row],[report_date]])</f>
        <v>2026</v>
      </c>
      <c r="C15023" s="128">
        <f t="shared" si="709"/>
        <v>4</v>
      </c>
      <c r="D15023" s="136">
        <f t="shared" si="710"/>
        <v>18</v>
      </c>
      <c r="E15023" s="136">
        <f t="shared" si="711"/>
        <v>28</v>
      </c>
      <c r="F15023" s="128" t="s">
        <v>24</v>
      </c>
      <c r="G15023" s="128" t="str">
        <f>VLOOKUP(source[[#This Row],[lending_product_transform]],[3]Mapping!$B$4:$C$37,2,0)</f>
        <v>[Cake] - Cashloan</v>
      </c>
      <c r="H15023" s="128" t="str">
        <f>VLOOKUP(source[[#This Row],[lending_product_transform]],[3]Mapping!$B$3:$D$37,3,0)</f>
        <v>cashloan</v>
      </c>
      <c r="I15023" s="549">
        <v>0</v>
      </c>
    </row>
    <row r="15024" spans="1:9" x14ac:dyDescent="0.2">
      <c r="A15024" s="134">
        <v>46140</v>
      </c>
      <c r="B15024" s="549">
        <f>YEAR(source[[#This Row],[report_date]])</f>
        <v>2026</v>
      </c>
      <c r="C15024" s="128">
        <f t="shared" si="709"/>
        <v>4</v>
      </c>
      <c r="D15024" s="136">
        <f t="shared" si="710"/>
        <v>18</v>
      </c>
      <c r="E15024" s="136">
        <f t="shared" si="711"/>
        <v>28</v>
      </c>
      <c r="F15024" s="128" t="s">
        <v>24</v>
      </c>
      <c r="G15024" s="128" t="str">
        <f>VLOOKUP(source[[#This Row],[lending_product_transform]],[3]Mapping!$B$4:$C$37,2,0)</f>
        <v>[Cake] - Cashloan</v>
      </c>
      <c r="H15024" s="128" t="str">
        <f>VLOOKUP(source[[#This Row],[lending_product_transform]],[3]Mapping!$B$3:$D$37,3,0)</f>
        <v>cashloan</v>
      </c>
      <c r="I15024" s="549">
        <v>11045268000</v>
      </c>
    </row>
    <row r="15025" spans="1:9" x14ac:dyDescent="0.2">
      <c r="A15025" s="134">
        <v>46140</v>
      </c>
      <c r="B15025" s="549">
        <f>YEAR(source[[#This Row],[report_date]])</f>
        <v>2026</v>
      </c>
      <c r="C15025" s="128">
        <f t="shared" si="709"/>
        <v>4</v>
      </c>
      <c r="D15025" s="136">
        <f t="shared" si="710"/>
        <v>18</v>
      </c>
      <c r="E15025" s="136">
        <f t="shared" si="711"/>
        <v>28</v>
      </c>
      <c r="F15025" s="128" t="s">
        <v>24</v>
      </c>
      <c r="G15025" s="128" t="str">
        <f>VLOOKUP(source[[#This Row],[lending_product_transform]],[3]Mapping!$B$4:$C$37,2,0)</f>
        <v>[Cake] - Cashloan</v>
      </c>
      <c r="H15025" s="128" t="str">
        <f>VLOOKUP(source[[#This Row],[lending_product_transform]],[3]Mapping!$B$3:$D$37,3,0)</f>
        <v>cashloan</v>
      </c>
      <c r="I15025" s="549">
        <v>129271786</v>
      </c>
    </row>
    <row r="15026" spans="1:9" x14ac:dyDescent="0.2">
      <c r="A15026" s="134">
        <v>46140</v>
      </c>
      <c r="B15026" s="549">
        <f>YEAR(source[[#This Row],[report_date]])</f>
        <v>2026</v>
      </c>
      <c r="C15026" s="128">
        <f t="shared" si="709"/>
        <v>4</v>
      </c>
      <c r="D15026" s="136">
        <f t="shared" si="710"/>
        <v>18</v>
      </c>
      <c r="E15026" s="136">
        <f t="shared" si="711"/>
        <v>28</v>
      </c>
      <c r="F15026" s="128" t="s">
        <v>24</v>
      </c>
      <c r="G15026" s="128" t="str">
        <f>VLOOKUP(source[[#This Row],[lending_product_transform]],[3]Mapping!$B$4:$C$37,2,0)</f>
        <v>[Cake] - Cashloan</v>
      </c>
      <c r="H15026" s="128" t="str">
        <f>VLOOKUP(source[[#This Row],[lending_product_transform]],[3]Mapping!$B$3:$D$37,3,0)</f>
        <v>cashloan</v>
      </c>
      <c r="I15026" s="549">
        <v>43600000</v>
      </c>
    </row>
    <row r="15027" spans="1:9" x14ac:dyDescent="0.2">
      <c r="A15027" s="134">
        <v>46140</v>
      </c>
      <c r="B15027" s="549">
        <f>YEAR(source[[#This Row],[report_date]])</f>
        <v>2026</v>
      </c>
      <c r="C15027" s="128">
        <f t="shared" si="709"/>
        <v>4</v>
      </c>
      <c r="D15027" s="136">
        <f t="shared" si="710"/>
        <v>18</v>
      </c>
      <c r="E15027" s="136">
        <f t="shared" si="711"/>
        <v>28</v>
      </c>
      <c r="F15027" s="128" t="s">
        <v>24</v>
      </c>
      <c r="G15027" s="128" t="str">
        <f>VLOOKUP(source[[#This Row],[lending_product_transform]],[3]Mapping!$B$4:$C$37,2,0)</f>
        <v>[Cake] - Cashloan</v>
      </c>
      <c r="H15027" s="128" t="str">
        <f>VLOOKUP(source[[#This Row],[lending_product_transform]],[3]Mapping!$B$3:$D$37,3,0)</f>
        <v>cashloan</v>
      </c>
      <c r="I15027" s="549">
        <v>76000000</v>
      </c>
    </row>
    <row r="15028" spans="1:9" x14ac:dyDescent="0.2">
      <c r="A15028" s="134">
        <v>46140</v>
      </c>
      <c r="B15028" s="549">
        <f>YEAR(source[[#This Row],[report_date]])</f>
        <v>2026</v>
      </c>
      <c r="C15028" s="128">
        <f t="shared" si="709"/>
        <v>4</v>
      </c>
      <c r="D15028" s="136">
        <f t="shared" si="710"/>
        <v>18</v>
      </c>
      <c r="E15028" s="136">
        <f t="shared" si="711"/>
        <v>28</v>
      </c>
      <c r="F15028" s="128" t="s">
        <v>24</v>
      </c>
      <c r="G15028" s="128" t="str">
        <f>VLOOKUP(source[[#This Row],[lending_product_transform]],[3]Mapping!$B$4:$C$37,2,0)</f>
        <v>[Cake] - Cashloan</v>
      </c>
      <c r="H15028" s="128" t="str">
        <f>VLOOKUP(source[[#This Row],[lending_product_transform]],[3]Mapping!$B$3:$D$37,3,0)</f>
        <v>cashloan</v>
      </c>
      <c r="I15028" s="549">
        <v>769540000</v>
      </c>
    </row>
    <row r="15029" spans="1:9" x14ac:dyDescent="0.2">
      <c r="A15029" s="134">
        <v>46140</v>
      </c>
      <c r="B15029" s="549">
        <f>YEAR(source[[#This Row],[report_date]])</f>
        <v>2026</v>
      </c>
      <c r="C15029" s="128">
        <f t="shared" si="709"/>
        <v>4</v>
      </c>
      <c r="D15029" s="136">
        <f t="shared" si="710"/>
        <v>18</v>
      </c>
      <c r="E15029" s="136">
        <f t="shared" si="711"/>
        <v>28</v>
      </c>
      <c r="F15029" s="128" t="s">
        <v>24</v>
      </c>
      <c r="G15029" s="128" t="str">
        <f>VLOOKUP(source[[#This Row],[lending_product_transform]],[3]Mapping!$B$4:$C$37,2,0)</f>
        <v>[Cake] - Cashloan</v>
      </c>
      <c r="H15029" s="128" t="str">
        <f>VLOOKUP(source[[#This Row],[lending_product_transform]],[3]Mapping!$B$3:$D$37,3,0)</f>
        <v>cashloan</v>
      </c>
      <c r="I15029" s="549">
        <v>321840000</v>
      </c>
    </row>
    <row r="15030" spans="1:9" x14ac:dyDescent="0.2">
      <c r="A15030" s="134">
        <v>46140</v>
      </c>
      <c r="B15030" s="549">
        <f>YEAR(source[[#This Row],[report_date]])</f>
        <v>2026</v>
      </c>
      <c r="C15030" s="128">
        <f t="shared" si="709"/>
        <v>4</v>
      </c>
      <c r="D15030" s="136">
        <f t="shared" si="710"/>
        <v>18</v>
      </c>
      <c r="E15030" s="136">
        <f t="shared" si="711"/>
        <v>28</v>
      </c>
      <c r="F15030" s="128" t="s">
        <v>24</v>
      </c>
      <c r="G15030" s="128" t="str">
        <f>VLOOKUP(source[[#This Row],[lending_product_transform]],[3]Mapping!$B$4:$C$37,2,0)</f>
        <v>[Cake] - Cashloan</v>
      </c>
      <c r="H15030" s="128" t="str">
        <f>VLOOKUP(source[[#This Row],[lending_product_transform]],[3]Mapping!$B$3:$D$37,3,0)</f>
        <v>cashloan</v>
      </c>
      <c r="I15030" s="549">
        <v>361246014</v>
      </c>
    </row>
    <row r="15031" spans="1:9" x14ac:dyDescent="0.2">
      <c r="A15031" s="134">
        <v>46140</v>
      </c>
      <c r="B15031" s="549">
        <f>YEAR(source[[#This Row],[report_date]])</f>
        <v>2026</v>
      </c>
      <c r="C15031" s="128">
        <f t="shared" si="709"/>
        <v>4</v>
      </c>
      <c r="D15031" s="136">
        <f t="shared" si="710"/>
        <v>18</v>
      </c>
      <c r="E15031" s="136">
        <f t="shared" si="711"/>
        <v>28</v>
      </c>
      <c r="F15031" s="128" t="s">
        <v>24</v>
      </c>
      <c r="G15031" s="128" t="str">
        <f>VLOOKUP(source[[#This Row],[lending_product_transform]],[3]Mapping!$B$4:$C$37,2,0)</f>
        <v>[Cake] - Cashloan</v>
      </c>
      <c r="H15031" s="128" t="str">
        <f>VLOOKUP(source[[#This Row],[lending_product_transform]],[3]Mapping!$B$3:$D$37,3,0)</f>
        <v>cashloan</v>
      </c>
      <c r="I15031" s="549">
        <v>6032760000</v>
      </c>
    </row>
    <row r="15032" spans="1:9" x14ac:dyDescent="0.2">
      <c r="A15032" s="134">
        <v>46140</v>
      </c>
      <c r="B15032" s="549">
        <f>YEAR(source[[#This Row],[report_date]])</f>
        <v>2026</v>
      </c>
      <c r="C15032" s="128">
        <f t="shared" si="709"/>
        <v>4</v>
      </c>
      <c r="D15032" s="136">
        <f t="shared" si="710"/>
        <v>18</v>
      </c>
      <c r="E15032" s="136">
        <f t="shared" si="711"/>
        <v>28</v>
      </c>
      <c r="F15032" s="128" t="s">
        <v>24</v>
      </c>
      <c r="G15032" s="128" t="str">
        <f>VLOOKUP(source[[#This Row],[lending_product_transform]],[3]Mapping!$B$4:$C$37,2,0)</f>
        <v>[Cake] - Cashloan</v>
      </c>
      <c r="H15032" s="128" t="str">
        <f>VLOOKUP(source[[#This Row],[lending_product_transform]],[3]Mapping!$B$3:$D$37,3,0)</f>
        <v>cashloan</v>
      </c>
      <c r="I15032" s="549">
        <v>0</v>
      </c>
    </row>
    <row r="15033" spans="1:9" x14ac:dyDescent="0.2">
      <c r="A15033" s="134">
        <v>46141</v>
      </c>
      <c r="B15033" s="549">
        <f>YEAR(source[[#This Row],[report_date]])</f>
        <v>2026</v>
      </c>
      <c r="C15033" s="128">
        <f t="shared" si="709"/>
        <v>4</v>
      </c>
      <c r="D15033" s="136">
        <f t="shared" si="710"/>
        <v>18</v>
      </c>
      <c r="E15033" s="136">
        <f t="shared" si="711"/>
        <v>29</v>
      </c>
      <c r="F15033" s="128" t="s">
        <v>24</v>
      </c>
      <c r="G15033" s="128" t="str">
        <f>VLOOKUP(source[[#This Row],[lending_product_transform]],[3]Mapping!$B$4:$C$37,2,0)</f>
        <v>[Cake] - Cashloan</v>
      </c>
      <c r="H15033" s="128" t="str">
        <f>VLOOKUP(source[[#This Row],[lending_product_transform]],[3]Mapping!$B$3:$D$37,3,0)</f>
        <v>cashloan</v>
      </c>
      <c r="I15033" s="549">
        <v>687460000</v>
      </c>
    </row>
    <row r="15034" spans="1:9" x14ac:dyDescent="0.2">
      <c r="A15034" s="134">
        <v>46141</v>
      </c>
      <c r="B15034" s="549">
        <f>YEAR(source[[#This Row],[report_date]])</f>
        <v>2026</v>
      </c>
      <c r="C15034" s="128">
        <f t="shared" si="709"/>
        <v>4</v>
      </c>
      <c r="D15034" s="136">
        <f t="shared" si="710"/>
        <v>18</v>
      </c>
      <c r="E15034" s="136">
        <f t="shared" si="711"/>
        <v>29</v>
      </c>
      <c r="F15034" s="128" t="s">
        <v>24</v>
      </c>
      <c r="G15034" s="128" t="str">
        <f>VLOOKUP(source[[#This Row],[lending_product_transform]],[3]Mapping!$B$4:$C$37,2,0)</f>
        <v>[Cake] - Cashloan</v>
      </c>
      <c r="H15034" s="128" t="str">
        <f>VLOOKUP(source[[#This Row],[lending_product_transform]],[3]Mapping!$B$3:$D$37,3,0)</f>
        <v>cashloan</v>
      </c>
      <c r="I15034" s="549">
        <v>315783903</v>
      </c>
    </row>
    <row r="15035" spans="1:9" x14ac:dyDescent="0.2">
      <c r="A15035" s="134">
        <v>46141</v>
      </c>
      <c r="B15035" s="549">
        <f>YEAR(source[[#This Row],[report_date]])</f>
        <v>2026</v>
      </c>
      <c r="C15035" s="128">
        <f t="shared" si="709"/>
        <v>4</v>
      </c>
      <c r="D15035" s="136">
        <f t="shared" si="710"/>
        <v>18</v>
      </c>
      <c r="E15035" s="136">
        <f t="shared" si="711"/>
        <v>29</v>
      </c>
      <c r="F15035" s="128" t="s">
        <v>24</v>
      </c>
      <c r="G15035" s="128" t="str">
        <f>VLOOKUP(source[[#This Row],[lending_product_transform]],[3]Mapping!$B$4:$C$37,2,0)</f>
        <v>[Cake] - Cashloan</v>
      </c>
      <c r="H15035" s="128" t="str">
        <f>VLOOKUP(source[[#This Row],[lending_product_transform]],[3]Mapping!$B$3:$D$37,3,0)</f>
        <v>cashloan</v>
      </c>
      <c r="I15035" s="549">
        <v>12860960000</v>
      </c>
    </row>
    <row r="15036" spans="1:9" x14ac:dyDescent="0.2">
      <c r="A15036" s="134">
        <v>46141</v>
      </c>
      <c r="B15036" s="549">
        <f>YEAR(source[[#This Row],[report_date]])</f>
        <v>2026</v>
      </c>
      <c r="C15036" s="128">
        <f t="shared" si="709"/>
        <v>4</v>
      </c>
      <c r="D15036" s="136">
        <f t="shared" si="710"/>
        <v>18</v>
      </c>
      <c r="E15036" s="136">
        <f t="shared" si="711"/>
        <v>29</v>
      </c>
      <c r="F15036" s="128" t="s">
        <v>24</v>
      </c>
      <c r="G15036" s="128" t="str">
        <f>VLOOKUP(source[[#This Row],[lending_product_transform]],[3]Mapping!$B$4:$C$37,2,0)</f>
        <v>[Cake] - Cashloan</v>
      </c>
      <c r="H15036" s="128" t="str">
        <f>VLOOKUP(source[[#This Row],[lending_product_transform]],[3]Mapping!$B$3:$D$37,3,0)</f>
        <v>cashloan</v>
      </c>
      <c r="I15036" s="549">
        <v>1698883297</v>
      </c>
    </row>
    <row r="15037" spans="1:9" x14ac:dyDescent="0.2">
      <c r="A15037" s="134">
        <v>46141</v>
      </c>
      <c r="B15037" s="549">
        <f>YEAR(source[[#This Row],[report_date]])</f>
        <v>2026</v>
      </c>
      <c r="C15037" s="128">
        <f t="shared" si="709"/>
        <v>4</v>
      </c>
      <c r="D15037" s="136">
        <f t="shared" si="710"/>
        <v>18</v>
      </c>
      <c r="E15037" s="136">
        <f t="shared" si="711"/>
        <v>29</v>
      </c>
      <c r="F15037" s="128" t="s">
        <v>24</v>
      </c>
      <c r="G15037" s="128" t="str">
        <f>VLOOKUP(source[[#This Row],[lending_product_transform]],[3]Mapping!$B$4:$C$37,2,0)</f>
        <v>[Cake] - Cashloan</v>
      </c>
      <c r="H15037" s="128" t="str">
        <f>VLOOKUP(source[[#This Row],[lending_product_transform]],[3]Mapping!$B$3:$D$37,3,0)</f>
        <v>cashloan</v>
      </c>
      <c r="I15037" s="549">
        <v>15115788000</v>
      </c>
    </row>
    <row r="15038" spans="1:9" x14ac:dyDescent="0.2">
      <c r="A15038" s="134">
        <v>46141</v>
      </c>
      <c r="B15038" s="549">
        <f>YEAR(source[[#This Row],[report_date]])</f>
        <v>2026</v>
      </c>
      <c r="C15038" s="128">
        <f t="shared" si="709"/>
        <v>4</v>
      </c>
      <c r="D15038" s="136">
        <f t="shared" si="710"/>
        <v>18</v>
      </c>
      <c r="E15038" s="136">
        <f t="shared" si="711"/>
        <v>29</v>
      </c>
      <c r="F15038" s="128" t="s">
        <v>24</v>
      </c>
      <c r="G15038" s="128" t="str">
        <f>VLOOKUP(source[[#This Row],[lending_product_transform]],[3]Mapping!$B$4:$C$37,2,0)</f>
        <v>[Cake] - Cashloan</v>
      </c>
      <c r="H15038" s="128" t="str">
        <f>VLOOKUP(source[[#This Row],[lending_product_transform]],[3]Mapping!$B$3:$D$37,3,0)</f>
        <v>cashloan</v>
      </c>
      <c r="I15038" s="549">
        <v>0</v>
      </c>
    </row>
    <row r="15039" spans="1:9" x14ac:dyDescent="0.2">
      <c r="A15039" s="134">
        <v>46141</v>
      </c>
      <c r="B15039" s="549">
        <f>YEAR(source[[#This Row],[report_date]])</f>
        <v>2026</v>
      </c>
      <c r="C15039" s="128">
        <f t="shared" si="709"/>
        <v>4</v>
      </c>
      <c r="D15039" s="136">
        <f t="shared" si="710"/>
        <v>18</v>
      </c>
      <c r="E15039" s="136">
        <f t="shared" si="711"/>
        <v>29</v>
      </c>
      <c r="F15039" s="128" t="s">
        <v>24</v>
      </c>
      <c r="G15039" s="128" t="str">
        <f>VLOOKUP(source[[#This Row],[lending_product_transform]],[3]Mapping!$B$4:$C$37,2,0)</f>
        <v>[Cake] - Cashloan</v>
      </c>
      <c r="H15039" s="128" t="str">
        <f>VLOOKUP(source[[#This Row],[lending_product_transform]],[3]Mapping!$B$3:$D$37,3,0)</f>
        <v>cashloan</v>
      </c>
      <c r="I15039" s="549">
        <v>90000000</v>
      </c>
    </row>
    <row r="15040" spans="1:9" x14ac:dyDescent="0.2">
      <c r="A15040" s="134">
        <v>46141</v>
      </c>
      <c r="B15040" s="549">
        <f>YEAR(source[[#This Row],[report_date]])</f>
        <v>2026</v>
      </c>
      <c r="C15040" s="128">
        <f t="shared" si="709"/>
        <v>4</v>
      </c>
      <c r="D15040" s="136">
        <f t="shared" si="710"/>
        <v>18</v>
      </c>
      <c r="E15040" s="136">
        <f t="shared" si="711"/>
        <v>29</v>
      </c>
      <c r="F15040" s="128" t="s">
        <v>24</v>
      </c>
      <c r="G15040" s="128" t="str">
        <f>VLOOKUP(source[[#This Row],[lending_product_transform]],[3]Mapping!$B$4:$C$37,2,0)</f>
        <v>[Cake] - Cashloan</v>
      </c>
      <c r="H15040" s="128" t="str">
        <f>VLOOKUP(source[[#This Row],[lending_product_transform]],[3]Mapping!$B$3:$D$37,3,0)</f>
        <v>cashloan</v>
      </c>
      <c r="I15040" s="549">
        <v>2529180000</v>
      </c>
    </row>
    <row r="15041" spans="1:9" x14ac:dyDescent="0.2">
      <c r="A15041" s="134">
        <v>46141</v>
      </c>
      <c r="B15041" s="549">
        <f>YEAR(source[[#This Row],[report_date]])</f>
        <v>2026</v>
      </c>
      <c r="C15041" s="128">
        <f t="shared" si="709"/>
        <v>4</v>
      </c>
      <c r="D15041" s="136">
        <f t="shared" si="710"/>
        <v>18</v>
      </c>
      <c r="E15041" s="136">
        <f t="shared" si="711"/>
        <v>29</v>
      </c>
      <c r="F15041" s="128" t="s">
        <v>24</v>
      </c>
      <c r="G15041" s="128" t="str">
        <f>VLOOKUP(source[[#This Row],[lending_product_transform]],[3]Mapping!$B$4:$C$37,2,0)</f>
        <v>[Cake] - Cashloan</v>
      </c>
      <c r="H15041" s="128" t="str">
        <f>VLOOKUP(source[[#This Row],[lending_product_transform]],[3]Mapping!$B$3:$D$37,3,0)</f>
        <v>cashloan</v>
      </c>
      <c r="I15041" s="549">
        <v>863690000</v>
      </c>
    </row>
    <row r="15042" spans="1:9" x14ac:dyDescent="0.2">
      <c r="A15042" s="134">
        <v>46141</v>
      </c>
      <c r="B15042" s="549">
        <f>YEAR(source[[#This Row],[report_date]])</f>
        <v>2026</v>
      </c>
      <c r="C15042" s="128">
        <f t="shared" si="709"/>
        <v>4</v>
      </c>
      <c r="D15042" s="136">
        <f t="shared" si="710"/>
        <v>18</v>
      </c>
      <c r="E15042" s="136">
        <f t="shared" si="711"/>
        <v>29</v>
      </c>
      <c r="F15042" s="128" t="s">
        <v>24</v>
      </c>
      <c r="G15042" s="128" t="str">
        <f>VLOOKUP(source[[#This Row],[lending_product_transform]],[3]Mapping!$B$4:$C$37,2,0)</f>
        <v>[Cake] - Cashloan</v>
      </c>
      <c r="H15042" s="128" t="str">
        <f>VLOOKUP(source[[#This Row],[lending_product_transform]],[3]Mapping!$B$3:$D$37,3,0)</f>
        <v>cashloan</v>
      </c>
      <c r="I15042" s="549">
        <v>16494134</v>
      </c>
    </row>
    <row r="15043" spans="1:9" x14ac:dyDescent="0.2">
      <c r="A15043" s="134">
        <v>46141</v>
      </c>
      <c r="B15043" s="549">
        <f>YEAR(source[[#This Row],[report_date]])</f>
        <v>2026</v>
      </c>
      <c r="C15043" s="128">
        <f t="shared" si="709"/>
        <v>4</v>
      </c>
      <c r="D15043" s="136">
        <f t="shared" si="710"/>
        <v>18</v>
      </c>
      <c r="E15043" s="136">
        <f t="shared" si="711"/>
        <v>29</v>
      </c>
      <c r="F15043" s="128" t="s">
        <v>24</v>
      </c>
      <c r="G15043" s="128" t="str">
        <f>VLOOKUP(source[[#This Row],[lending_product_transform]],[3]Mapping!$B$4:$C$37,2,0)</f>
        <v>[Cake] - Cashloan</v>
      </c>
      <c r="H15043" s="128" t="str">
        <f>VLOOKUP(source[[#This Row],[lending_product_transform]],[3]Mapping!$B$3:$D$37,3,0)</f>
        <v>cashloan</v>
      </c>
      <c r="I15043" s="549">
        <v>934501465</v>
      </c>
    </row>
    <row r="15044" spans="1:9" x14ac:dyDescent="0.2">
      <c r="A15044" s="134">
        <v>46141</v>
      </c>
      <c r="B15044" s="549">
        <f>YEAR(source[[#This Row],[report_date]])</f>
        <v>2026</v>
      </c>
      <c r="C15044" s="128">
        <f t="shared" si="709"/>
        <v>4</v>
      </c>
      <c r="D15044" s="136">
        <f t="shared" si="710"/>
        <v>18</v>
      </c>
      <c r="E15044" s="136">
        <f t="shared" si="711"/>
        <v>29</v>
      </c>
      <c r="F15044" s="128" t="s">
        <v>24</v>
      </c>
      <c r="G15044" s="128" t="str">
        <f>VLOOKUP(source[[#This Row],[lending_product_transform]],[3]Mapping!$B$4:$C$37,2,0)</f>
        <v>[Cake] - Cashloan</v>
      </c>
      <c r="H15044" s="128" t="str">
        <f>VLOOKUP(source[[#This Row],[lending_product_transform]],[3]Mapping!$B$3:$D$37,3,0)</f>
        <v>cashloan</v>
      </c>
      <c r="I15044" s="549">
        <v>0</v>
      </c>
    </row>
    <row r="15045" spans="1:9" x14ac:dyDescent="0.2">
      <c r="A15045" s="134">
        <v>46141</v>
      </c>
      <c r="B15045" s="549">
        <f>YEAR(source[[#This Row],[report_date]])</f>
        <v>2026</v>
      </c>
      <c r="C15045" s="128">
        <f t="shared" si="709"/>
        <v>4</v>
      </c>
      <c r="D15045" s="136">
        <f t="shared" si="710"/>
        <v>18</v>
      </c>
      <c r="E15045" s="136">
        <f t="shared" si="711"/>
        <v>29</v>
      </c>
      <c r="F15045" s="128" t="s">
        <v>24</v>
      </c>
      <c r="G15045" s="128" t="str">
        <f>VLOOKUP(source[[#This Row],[lending_product_transform]],[3]Mapping!$B$4:$C$37,2,0)</f>
        <v>[Cake] - Cashloan</v>
      </c>
      <c r="H15045" s="128" t="str">
        <f>VLOOKUP(source[[#This Row],[lending_product_transform]],[3]Mapping!$B$3:$D$37,3,0)</f>
        <v>cashloan</v>
      </c>
      <c r="I15045" s="549">
        <v>15750000</v>
      </c>
    </row>
    <row r="15046" spans="1:9" x14ac:dyDescent="0.2">
      <c r="A15046" s="134">
        <v>46141</v>
      </c>
      <c r="B15046" s="549">
        <f>YEAR(source[[#This Row],[report_date]])</f>
        <v>2026</v>
      </c>
      <c r="C15046" s="128">
        <f t="shared" si="709"/>
        <v>4</v>
      </c>
      <c r="D15046" s="136">
        <f t="shared" si="710"/>
        <v>18</v>
      </c>
      <c r="E15046" s="136">
        <f t="shared" si="711"/>
        <v>29</v>
      </c>
      <c r="F15046" s="128" t="s">
        <v>24</v>
      </c>
      <c r="G15046" s="128" t="str">
        <f>VLOOKUP(source[[#This Row],[lending_product_transform]],[3]Mapping!$B$4:$C$37,2,0)</f>
        <v>[Cake] - Cashloan</v>
      </c>
      <c r="H15046" s="128" t="str">
        <f>VLOOKUP(source[[#This Row],[lending_product_transform]],[3]Mapping!$B$3:$D$37,3,0)</f>
        <v>cashloan</v>
      </c>
      <c r="I15046" s="549">
        <v>83430000</v>
      </c>
    </row>
    <row r="15047" spans="1:9" x14ac:dyDescent="0.2">
      <c r="A15047" s="134">
        <v>46141</v>
      </c>
      <c r="B15047" s="549">
        <f>YEAR(source[[#This Row],[report_date]])</f>
        <v>2026</v>
      </c>
      <c r="C15047" s="128">
        <f t="shared" si="709"/>
        <v>4</v>
      </c>
      <c r="D15047" s="136">
        <f t="shared" si="710"/>
        <v>18</v>
      </c>
      <c r="E15047" s="136">
        <f t="shared" si="711"/>
        <v>29</v>
      </c>
      <c r="F15047" s="128" t="s">
        <v>24</v>
      </c>
      <c r="G15047" s="128" t="str">
        <f>VLOOKUP(source[[#This Row],[lending_product_transform]],[3]Mapping!$B$4:$C$37,2,0)</f>
        <v>[Cake] - Cashloan</v>
      </c>
      <c r="H15047" s="128" t="str">
        <f>VLOOKUP(source[[#This Row],[lending_product_transform]],[3]Mapping!$B$3:$D$37,3,0)</f>
        <v>cashloan</v>
      </c>
      <c r="I15047" s="549">
        <v>16124590000</v>
      </c>
    </row>
    <row r="15048" spans="1:9" x14ac:dyDescent="0.2">
      <c r="A15048" s="134">
        <v>46141</v>
      </c>
      <c r="B15048" s="549">
        <f>YEAR(source[[#This Row],[report_date]])</f>
        <v>2026</v>
      </c>
      <c r="C15048" s="128">
        <f t="shared" si="709"/>
        <v>4</v>
      </c>
      <c r="D15048" s="136">
        <f t="shared" si="710"/>
        <v>18</v>
      </c>
      <c r="E15048" s="136">
        <f t="shared" si="711"/>
        <v>29</v>
      </c>
      <c r="F15048" s="128" t="s">
        <v>24</v>
      </c>
      <c r="G15048" s="128" t="str">
        <f>VLOOKUP(source[[#This Row],[lending_product_transform]],[3]Mapping!$B$4:$C$37,2,0)</f>
        <v>[Cake] - Cashloan</v>
      </c>
      <c r="H15048" s="128" t="str">
        <f>VLOOKUP(source[[#This Row],[lending_product_transform]],[3]Mapping!$B$3:$D$37,3,0)</f>
        <v>cashloan</v>
      </c>
      <c r="I15048" s="549">
        <v>0</v>
      </c>
    </row>
    <row r="15049" spans="1:9" x14ac:dyDescent="0.2">
      <c r="A15049" s="134">
        <v>46141</v>
      </c>
      <c r="B15049" s="549">
        <f>YEAR(source[[#This Row],[report_date]])</f>
        <v>2026</v>
      </c>
      <c r="C15049" s="128">
        <f t="shared" si="709"/>
        <v>4</v>
      </c>
      <c r="D15049" s="136">
        <f t="shared" si="710"/>
        <v>18</v>
      </c>
      <c r="E15049" s="136">
        <f t="shared" si="711"/>
        <v>29</v>
      </c>
      <c r="F15049" s="128" t="s">
        <v>24</v>
      </c>
      <c r="G15049" s="128" t="str">
        <f>VLOOKUP(source[[#This Row],[lending_product_transform]],[3]Mapping!$B$4:$C$37,2,0)</f>
        <v>[Cake] - Cashloan</v>
      </c>
      <c r="H15049" s="128" t="str">
        <f>VLOOKUP(source[[#This Row],[lending_product_transform]],[3]Mapping!$B$3:$D$37,3,0)</f>
        <v>cashloan</v>
      </c>
      <c r="I15049" s="549">
        <v>0</v>
      </c>
    </row>
    <row r="15050" spans="1:9" x14ac:dyDescent="0.2">
      <c r="A15050" s="134">
        <v>46141</v>
      </c>
      <c r="B15050" s="549">
        <f>YEAR(source[[#This Row],[report_date]])</f>
        <v>2026</v>
      </c>
      <c r="C15050" s="128">
        <f t="shared" si="709"/>
        <v>4</v>
      </c>
      <c r="D15050" s="136">
        <f t="shared" si="710"/>
        <v>18</v>
      </c>
      <c r="E15050" s="136">
        <f t="shared" si="711"/>
        <v>29</v>
      </c>
      <c r="F15050" s="128" t="s">
        <v>24</v>
      </c>
      <c r="G15050" s="128" t="str">
        <f>VLOOKUP(source[[#This Row],[lending_product_transform]],[3]Mapping!$B$4:$C$37,2,0)</f>
        <v>[Cake] - Cashloan</v>
      </c>
      <c r="H15050" s="128" t="str">
        <f>VLOOKUP(source[[#This Row],[lending_product_transform]],[3]Mapping!$B$3:$D$37,3,0)</f>
        <v>cashloan</v>
      </c>
      <c r="I15050" s="549">
        <v>0</v>
      </c>
    </row>
    <row r="15051" spans="1:9" x14ac:dyDescent="0.2">
      <c r="A15051" s="134">
        <v>46141</v>
      </c>
      <c r="B15051" s="549">
        <f>YEAR(source[[#This Row],[report_date]])</f>
        <v>2026</v>
      </c>
      <c r="C15051" s="128">
        <f t="shared" si="709"/>
        <v>4</v>
      </c>
      <c r="D15051" s="136">
        <f t="shared" si="710"/>
        <v>18</v>
      </c>
      <c r="E15051" s="136">
        <f t="shared" si="711"/>
        <v>29</v>
      </c>
      <c r="F15051" s="128" t="s">
        <v>24</v>
      </c>
      <c r="G15051" s="128" t="str">
        <f>VLOOKUP(source[[#This Row],[lending_product_transform]],[3]Mapping!$B$4:$C$37,2,0)</f>
        <v>[Cake] - Cashloan</v>
      </c>
      <c r="H15051" s="128" t="str">
        <f>VLOOKUP(source[[#This Row],[lending_product_transform]],[3]Mapping!$B$3:$D$37,3,0)</f>
        <v>cashloan</v>
      </c>
      <c r="I15051" s="549">
        <v>0</v>
      </c>
    </row>
    <row r="15052" spans="1:9" x14ac:dyDescent="0.2">
      <c r="A15052" s="134">
        <v>46141</v>
      </c>
      <c r="B15052" s="549">
        <f>YEAR(source[[#This Row],[report_date]])</f>
        <v>2026</v>
      </c>
      <c r="C15052" s="128">
        <f t="shared" si="709"/>
        <v>4</v>
      </c>
      <c r="D15052" s="136">
        <f t="shared" si="710"/>
        <v>18</v>
      </c>
      <c r="E15052" s="136">
        <f t="shared" si="711"/>
        <v>29</v>
      </c>
      <c r="F15052" s="128" t="s">
        <v>24</v>
      </c>
      <c r="G15052" s="128" t="str">
        <f>VLOOKUP(source[[#This Row],[lending_product_transform]],[3]Mapping!$B$4:$C$37,2,0)</f>
        <v>[Cake] - Cashloan</v>
      </c>
      <c r="H15052" s="128" t="str">
        <f>VLOOKUP(source[[#This Row],[lending_product_transform]],[3]Mapping!$B$3:$D$37,3,0)</f>
        <v>cashloan</v>
      </c>
      <c r="I15052" s="549">
        <v>11571012000</v>
      </c>
    </row>
    <row r="15053" spans="1:9" x14ac:dyDescent="0.2">
      <c r="A15053" s="134">
        <v>46141</v>
      </c>
      <c r="B15053" s="549">
        <f>YEAR(source[[#This Row],[report_date]])</f>
        <v>2026</v>
      </c>
      <c r="C15053" s="128">
        <f t="shared" si="709"/>
        <v>4</v>
      </c>
      <c r="D15053" s="136">
        <f t="shared" si="710"/>
        <v>18</v>
      </c>
      <c r="E15053" s="136">
        <f t="shared" si="711"/>
        <v>29</v>
      </c>
      <c r="F15053" s="128" t="s">
        <v>24</v>
      </c>
      <c r="G15053" s="128" t="str">
        <f>VLOOKUP(source[[#This Row],[lending_product_transform]],[3]Mapping!$B$4:$C$37,2,0)</f>
        <v>[Cake] - Cashloan</v>
      </c>
      <c r="H15053" s="128" t="str">
        <f>VLOOKUP(source[[#This Row],[lending_product_transform]],[3]Mapping!$B$3:$D$37,3,0)</f>
        <v>cashloan</v>
      </c>
      <c r="I15053" s="549">
        <v>135326808</v>
      </c>
    </row>
    <row r="15054" spans="1:9" x14ac:dyDescent="0.2">
      <c r="A15054" s="134">
        <v>46141</v>
      </c>
      <c r="B15054" s="549">
        <f>YEAR(source[[#This Row],[report_date]])</f>
        <v>2026</v>
      </c>
      <c r="C15054" s="128">
        <f t="shared" si="709"/>
        <v>4</v>
      </c>
      <c r="D15054" s="136">
        <f t="shared" si="710"/>
        <v>18</v>
      </c>
      <c r="E15054" s="136">
        <f t="shared" si="711"/>
        <v>29</v>
      </c>
      <c r="F15054" s="128" t="s">
        <v>24</v>
      </c>
      <c r="G15054" s="128" t="str">
        <f>VLOOKUP(source[[#This Row],[lending_product_transform]],[3]Mapping!$B$4:$C$37,2,0)</f>
        <v>[Cake] - Cashloan</v>
      </c>
      <c r="H15054" s="128" t="str">
        <f>VLOOKUP(source[[#This Row],[lending_product_transform]],[3]Mapping!$B$3:$D$37,3,0)</f>
        <v>cashloan</v>
      </c>
      <c r="I15054" s="549">
        <v>99750000</v>
      </c>
    </row>
    <row r="15055" spans="1:9" x14ac:dyDescent="0.2">
      <c r="A15055" s="134">
        <v>46141</v>
      </c>
      <c r="B15055" s="549">
        <f>YEAR(source[[#This Row],[report_date]])</f>
        <v>2026</v>
      </c>
      <c r="C15055" s="128">
        <f t="shared" si="709"/>
        <v>4</v>
      </c>
      <c r="D15055" s="136">
        <f t="shared" si="710"/>
        <v>18</v>
      </c>
      <c r="E15055" s="136">
        <f t="shared" si="711"/>
        <v>29</v>
      </c>
      <c r="F15055" s="128" t="s">
        <v>24</v>
      </c>
      <c r="G15055" s="128" t="str">
        <f>VLOOKUP(source[[#This Row],[lending_product_transform]],[3]Mapping!$B$4:$C$37,2,0)</f>
        <v>[Cake] - Cashloan</v>
      </c>
      <c r="H15055" s="128" t="str">
        <f>VLOOKUP(source[[#This Row],[lending_product_transform]],[3]Mapping!$B$3:$D$37,3,0)</f>
        <v>cashloan</v>
      </c>
      <c r="I15055" s="549">
        <v>42000000</v>
      </c>
    </row>
    <row r="15056" spans="1:9" x14ac:dyDescent="0.2">
      <c r="A15056" s="134">
        <v>46141</v>
      </c>
      <c r="B15056" s="549">
        <f>YEAR(source[[#This Row],[report_date]])</f>
        <v>2026</v>
      </c>
      <c r="C15056" s="128">
        <f t="shared" si="709"/>
        <v>4</v>
      </c>
      <c r="D15056" s="136">
        <f t="shared" si="710"/>
        <v>18</v>
      </c>
      <c r="E15056" s="136">
        <f t="shared" si="711"/>
        <v>29</v>
      </c>
      <c r="F15056" s="128" t="s">
        <v>24</v>
      </c>
      <c r="G15056" s="128" t="str">
        <f>VLOOKUP(source[[#This Row],[lending_product_transform]],[3]Mapping!$B$4:$C$37,2,0)</f>
        <v>[Cake] - Cashloan</v>
      </c>
      <c r="H15056" s="128" t="str">
        <f>VLOOKUP(source[[#This Row],[lending_product_transform]],[3]Mapping!$B$3:$D$37,3,0)</f>
        <v>cashloan</v>
      </c>
      <c r="I15056" s="549">
        <v>872880000</v>
      </c>
    </row>
    <row r="15057" spans="1:9" x14ac:dyDescent="0.2">
      <c r="A15057" s="134">
        <v>46141</v>
      </c>
      <c r="B15057" s="549">
        <f>YEAR(source[[#This Row],[report_date]])</f>
        <v>2026</v>
      </c>
      <c r="C15057" s="128">
        <f t="shared" ref="C15057:C15088" si="712">MONTH(A15057)</f>
        <v>4</v>
      </c>
      <c r="D15057" s="136">
        <f t="shared" ref="D15057:D15088" si="713">WEEKNUM(A15057,2)</f>
        <v>18</v>
      </c>
      <c r="E15057" s="136">
        <f t="shared" ref="E15057:E15088" si="714">DAY(A15057)</f>
        <v>29</v>
      </c>
      <c r="F15057" s="128" t="s">
        <v>24</v>
      </c>
      <c r="G15057" s="128" t="str">
        <f>VLOOKUP(source[[#This Row],[lending_product_transform]],[3]Mapping!$B$4:$C$37,2,0)</f>
        <v>[Cake] - Cashloan</v>
      </c>
      <c r="H15057" s="128" t="str">
        <f>VLOOKUP(source[[#This Row],[lending_product_transform]],[3]Mapping!$B$3:$D$37,3,0)</f>
        <v>cashloan</v>
      </c>
      <c r="I15057" s="549">
        <v>305964000</v>
      </c>
    </row>
    <row r="15058" spans="1:9" x14ac:dyDescent="0.2">
      <c r="A15058" s="134">
        <v>46141</v>
      </c>
      <c r="B15058" s="549">
        <f>YEAR(source[[#This Row],[report_date]])</f>
        <v>2026</v>
      </c>
      <c r="C15058" s="128">
        <f t="shared" si="712"/>
        <v>4</v>
      </c>
      <c r="D15058" s="136">
        <f t="shared" si="713"/>
        <v>18</v>
      </c>
      <c r="E15058" s="136">
        <f t="shared" si="714"/>
        <v>29</v>
      </c>
      <c r="F15058" s="128" t="s">
        <v>24</v>
      </c>
      <c r="G15058" s="128" t="str">
        <f>VLOOKUP(source[[#This Row],[lending_product_transform]],[3]Mapping!$B$4:$C$37,2,0)</f>
        <v>[Cake] - Cashloan</v>
      </c>
      <c r="H15058" s="128" t="str">
        <f>VLOOKUP(source[[#This Row],[lending_product_transform]],[3]Mapping!$B$3:$D$37,3,0)</f>
        <v>cashloan</v>
      </c>
      <c r="I15058" s="549">
        <v>288721906</v>
      </c>
    </row>
    <row r="15059" spans="1:9" x14ac:dyDescent="0.2">
      <c r="A15059" s="134">
        <v>46141</v>
      </c>
      <c r="B15059" s="549">
        <f>YEAR(source[[#This Row],[report_date]])</f>
        <v>2026</v>
      </c>
      <c r="C15059" s="128">
        <f t="shared" si="712"/>
        <v>4</v>
      </c>
      <c r="D15059" s="136">
        <f t="shared" si="713"/>
        <v>18</v>
      </c>
      <c r="E15059" s="136">
        <f t="shared" si="714"/>
        <v>29</v>
      </c>
      <c r="F15059" s="128" t="s">
        <v>24</v>
      </c>
      <c r="G15059" s="128" t="str">
        <f>VLOOKUP(source[[#This Row],[lending_product_transform]],[3]Mapping!$B$4:$C$37,2,0)</f>
        <v>[Cake] - Cashloan</v>
      </c>
      <c r="H15059" s="128" t="str">
        <f>VLOOKUP(source[[#This Row],[lending_product_transform]],[3]Mapping!$B$3:$D$37,3,0)</f>
        <v>cashloan</v>
      </c>
      <c r="I15059" s="549">
        <v>5969040000</v>
      </c>
    </row>
    <row r="15060" spans="1:9" x14ac:dyDescent="0.2">
      <c r="A15060" s="134">
        <v>46141</v>
      </c>
      <c r="B15060" s="549">
        <f>YEAR(source[[#This Row],[report_date]])</f>
        <v>2026</v>
      </c>
      <c r="C15060" s="128">
        <f t="shared" si="712"/>
        <v>4</v>
      </c>
      <c r="D15060" s="136">
        <f t="shared" si="713"/>
        <v>18</v>
      </c>
      <c r="E15060" s="136">
        <f t="shared" si="714"/>
        <v>29</v>
      </c>
      <c r="F15060" s="128" t="s">
        <v>24</v>
      </c>
      <c r="G15060" s="128" t="str">
        <f>VLOOKUP(source[[#This Row],[lending_product_transform]],[3]Mapping!$B$4:$C$37,2,0)</f>
        <v>[Cake] - Cashloan</v>
      </c>
      <c r="H15060" s="128" t="str">
        <f>VLOOKUP(source[[#This Row],[lending_product_transform]],[3]Mapping!$B$3:$D$37,3,0)</f>
        <v>cashloan</v>
      </c>
      <c r="I15060" s="549">
        <v>0</v>
      </c>
    </row>
    <row r="15061" spans="1:9" x14ac:dyDescent="0.2">
      <c r="A15061" s="134">
        <v>46142</v>
      </c>
      <c r="B15061" s="549">
        <f>YEAR(source[[#This Row],[report_date]])</f>
        <v>2026</v>
      </c>
      <c r="C15061" s="128">
        <f t="shared" si="712"/>
        <v>4</v>
      </c>
      <c r="D15061" s="136">
        <f t="shared" si="713"/>
        <v>18</v>
      </c>
      <c r="E15061" s="136">
        <f t="shared" si="714"/>
        <v>30</v>
      </c>
      <c r="F15061" s="128" t="s">
        <v>24</v>
      </c>
      <c r="G15061" s="128" t="str">
        <f>VLOOKUP(source[[#This Row],[lending_product_transform]],[3]Mapping!$B$4:$C$37,2,0)</f>
        <v>[Cake] - Cashloan</v>
      </c>
      <c r="H15061" s="128" t="str">
        <f>VLOOKUP(source[[#This Row],[lending_product_transform]],[3]Mapping!$B$3:$D$37,3,0)</f>
        <v>cashloan</v>
      </c>
      <c r="I15061" s="549">
        <v>518170000</v>
      </c>
    </row>
    <row r="15062" spans="1:9" x14ac:dyDescent="0.2">
      <c r="A15062" s="134">
        <v>46142</v>
      </c>
      <c r="B15062" s="549">
        <f>YEAR(source[[#This Row],[report_date]])</f>
        <v>2026</v>
      </c>
      <c r="C15062" s="128">
        <f t="shared" si="712"/>
        <v>4</v>
      </c>
      <c r="D15062" s="136">
        <f t="shared" si="713"/>
        <v>18</v>
      </c>
      <c r="E15062" s="136">
        <f t="shared" si="714"/>
        <v>30</v>
      </c>
      <c r="F15062" s="128" t="s">
        <v>24</v>
      </c>
      <c r="G15062" s="128" t="str">
        <f>VLOOKUP(source[[#This Row],[lending_product_transform]],[3]Mapping!$B$4:$C$37,2,0)</f>
        <v>[Cake] - Cashloan</v>
      </c>
      <c r="H15062" s="128" t="str">
        <f>VLOOKUP(source[[#This Row],[lending_product_transform]],[3]Mapping!$B$3:$D$37,3,0)</f>
        <v>cashloan</v>
      </c>
      <c r="I15062" s="549">
        <v>267128277</v>
      </c>
    </row>
    <row r="15063" spans="1:9" x14ac:dyDescent="0.2">
      <c r="A15063" s="134">
        <v>46142</v>
      </c>
      <c r="B15063" s="549">
        <f>YEAR(source[[#This Row],[report_date]])</f>
        <v>2026</v>
      </c>
      <c r="C15063" s="128">
        <f t="shared" si="712"/>
        <v>4</v>
      </c>
      <c r="D15063" s="136">
        <f t="shared" si="713"/>
        <v>18</v>
      </c>
      <c r="E15063" s="136">
        <f t="shared" si="714"/>
        <v>30</v>
      </c>
      <c r="F15063" s="128" t="s">
        <v>24</v>
      </c>
      <c r="G15063" s="128" t="str">
        <f>VLOOKUP(source[[#This Row],[lending_product_transform]],[3]Mapping!$B$4:$C$37,2,0)</f>
        <v>[Cake] - Cashloan</v>
      </c>
      <c r="H15063" s="128" t="str">
        <f>VLOOKUP(source[[#This Row],[lending_product_transform]],[3]Mapping!$B$3:$D$37,3,0)</f>
        <v>cashloan</v>
      </c>
      <c r="I15063" s="549">
        <v>10386840000</v>
      </c>
    </row>
    <row r="15064" spans="1:9" x14ac:dyDescent="0.2">
      <c r="A15064" s="134">
        <v>46142</v>
      </c>
      <c r="B15064" s="549">
        <f>YEAR(source[[#This Row],[report_date]])</f>
        <v>2026</v>
      </c>
      <c r="C15064" s="128">
        <f t="shared" si="712"/>
        <v>4</v>
      </c>
      <c r="D15064" s="136">
        <f t="shared" si="713"/>
        <v>18</v>
      </c>
      <c r="E15064" s="136">
        <f t="shared" si="714"/>
        <v>30</v>
      </c>
      <c r="F15064" s="128" t="s">
        <v>24</v>
      </c>
      <c r="G15064" s="128" t="str">
        <f>VLOOKUP(source[[#This Row],[lending_product_transform]],[3]Mapping!$B$4:$C$37,2,0)</f>
        <v>[Cake] - Cashloan</v>
      </c>
      <c r="H15064" s="128" t="str">
        <f>VLOOKUP(source[[#This Row],[lending_product_transform]],[3]Mapping!$B$3:$D$37,3,0)</f>
        <v>cashloan</v>
      </c>
      <c r="I15064" s="549">
        <v>1603726826</v>
      </c>
    </row>
    <row r="15065" spans="1:9" x14ac:dyDescent="0.2">
      <c r="A15065" s="134">
        <v>46142</v>
      </c>
      <c r="B15065" s="549">
        <f>YEAR(source[[#This Row],[report_date]])</f>
        <v>2026</v>
      </c>
      <c r="C15065" s="128">
        <f t="shared" si="712"/>
        <v>4</v>
      </c>
      <c r="D15065" s="136">
        <f t="shared" si="713"/>
        <v>18</v>
      </c>
      <c r="E15065" s="136">
        <f t="shared" si="714"/>
        <v>30</v>
      </c>
      <c r="F15065" s="128" t="s">
        <v>24</v>
      </c>
      <c r="G15065" s="128" t="str">
        <f>VLOOKUP(source[[#This Row],[lending_product_transform]],[3]Mapping!$B$4:$C$37,2,0)</f>
        <v>[Cake] - Cashloan</v>
      </c>
      <c r="H15065" s="128" t="str">
        <f>VLOOKUP(source[[#This Row],[lending_product_transform]],[3]Mapping!$B$3:$D$37,3,0)</f>
        <v>cashloan</v>
      </c>
      <c r="I15065" s="549">
        <v>12702960000</v>
      </c>
    </row>
    <row r="15066" spans="1:9" x14ac:dyDescent="0.2">
      <c r="A15066" s="134">
        <v>46142</v>
      </c>
      <c r="B15066" s="549">
        <f>YEAR(source[[#This Row],[report_date]])</f>
        <v>2026</v>
      </c>
      <c r="C15066" s="128">
        <f t="shared" si="712"/>
        <v>4</v>
      </c>
      <c r="D15066" s="136">
        <f t="shared" si="713"/>
        <v>18</v>
      </c>
      <c r="E15066" s="136">
        <f t="shared" si="714"/>
        <v>30</v>
      </c>
      <c r="F15066" s="128" t="s">
        <v>24</v>
      </c>
      <c r="G15066" s="128" t="str">
        <f>VLOOKUP(source[[#This Row],[lending_product_transform]],[3]Mapping!$B$4:$C$37,2,0)</f>
        <v>[Cake] - Cashloan</v>
      </c>
      <c r="H15066" s="128" t="str">
        <f>VLOOKUP(source[[#This Row],[lending_product_transform]],[3]Mapping!$B$3:$D$37,3,0)</f>
        <v>cashloan</v>
      </c>
      <c r="I15066" s="549">
        <v>0</v>
      </c>
    </row>
    <row r="15067" spans="1:9" x14ac:dyDescent="0.2">
      <c r="A15067" s="134">
        <v>46142</v>
      </c>
      <c r="B15067" s="549">
        <f>YEAR(source[[#This Row],[report_date]])</f>
        <v>2026</v>
      </c>
      <c r="C15067" s="128">
        <f t="shared" si="712"/>
        <v>4</v>
      </c>
      <c r="D15067" s="136">
        <f t="shared" si="713"/>
        <v>18</v>
      </c>
      <c r="E15067" s="136">
        <f t="shared" si="714"/>
        <v>30</v>
      </c>
      <c r="F15067" s="128" t="s">
        <v>24</v>
      </c>
      <c r="G15067" s="128" t="str">
        <f>VLOOKUP(source[[#This Row],[lending_product_transform]],[3]Mapping!$B$4:$C$37,2,0)</f>
        <v>[Cake] - Cashloan</v>
      </c>
      <c r="H15067" s="128" t="str">
        <f>VLOOKUP(source[[#This Row],[lending_product_transform]],[3]Mapping!$B$3:$D$37,3,0)</f>
        <v>cashloan</v>
      </c>
      <c r="I15067" s="549">
        <v>0</v>
      </c>
    </row>
    <row r="15068" spans="1:9" x14ac:dyDescent="0.2">
      <c r="A15068" s="134">
        <v>46142</v>
      </c>
      <c r="B15068" s="549">
        <f>YEAR(source[[#This Row],[report_date]])</f>
        <v>2026</v>
      </c>
      <c r="C15068" s="128">
        <f t="shared" si="712"/>
        <v>4</v>
      </c>
      <c r="D15068" s="136">
        <f t="shared" si="713"/>
        <v>18</v>
      </c>
      <c r="E15068" s="136">
        <f t="shared" si="714"/>
        <v>30</v>
      </c>
      <c r="F15068" s="128" t="s">
        <v>24</v>
      </c>
      <c r="G15068" s="128" t="str">
        <f>VLOOKUP(source[[#This Row],[lending_product_transform]],[3]Mapping!$B$4:$C$37,2,0)</f>
        <v>[Cake] - Cashloan</v>
      </c>
      <c r="H15068" s="128" t="str">
        <f>VLOOKUP(source[[#This Row],[lending_product_transform]],[3]Mapping!$B$3:$D$37,3,0)</f>
        <v>cashloan</v>
      </c>
      <c r="I15068" s="549">
        <v>1377790000</v>
      </c>
    </row>
    <row r="15069" spans="1:9" x14ac:dyDescent="0.2">
      <c r="A15069" s="134">
        <v>46142</v>
      </c>
      <c r="B15069" s="549">
        <f>YEAR(source[[#This Row],[report_date]])</f>
        <v>2026</v>
      </c>
      <c r="C15069" s="128">
        <f t="shared" si="712"/>
        <v>4</v>
      </c>
      <c r="D15069" s="136">
        <f t="shared" si="713"/>
        <v>18</v>
      </c>
      <c r="E15069" s="136">
        <f t="shared" si="714"/>
        <v>30</v>
      </c>
      <c r="F15069" s="128" t="s">
        <v>24</v>
      </c>
      <c r="G15069" s="128" t="str">
        <f>VLOOKUP(source[[#This Row],[lending_product_transform]],[3]Mapping!$B$4:$C$37,2,0)</f>
        <v>[Cake] - Cashloan</v>
      </c>
      <c r="H15069" s="128" t="str">
        <f>VLOOKUP(source[[#This Row],[lending_product_transform]],[3]Mapping!$B$3:$D$37,3,0)</f>
        <v>cashloan</v>
      </c>
      <c r="I15069" s="549">
        <v>557180000</v>
      </c>
    </row>
    <row r="15070" spans="1:9" x14ac:dyDescent="0.2">
      <c r="A15070" s="134">
        <v>46142</v>
      </c>
      <c r="B15070" s="549">
        <f>YEAR(source[[#This Row],[report_date]])</f>
        <v>2026</v>
      </c>
      <c r="C15070" s="128">
        <f t="shared" si="712"/>
        <v>4</v>
      </c>
      <c r="D15070" s="136">
        <f t="shared" si="713"/>
        <v>18</v>
      </c>
      <c r="E15070" s="136">
        <f t="shared" si="714"/>
        <v>30</v>
      </c>
      <c r="F15070" s="128" t="s">
        <v>24</v>
      </c>
      <c r="G15070" s="128" t="str">
        <f>VLOOKUP(source[[#This Row],[lending_product_transform]],[3]Mapping!$B$4:$C$37,2,0)</f>
        <v>[Cake] - Cashloan</v>
      </c>
      <c r="H15070" s="128" t="str">
        <f>VLOOKUP(source[[#This Row],[lending_product_transform]],[3]Mapping!$B$3:$D$37,3,0)</f>
        <v>cashloan</v>
      </c>
      <c r="I15070" s="549">
        <v>15600832</v>
      </c>
    </row>
    <row r="15071" spans="1:9" x14ac:dyDescent="0.2">
      <c r="A15071" s="134">
        <v>46142</v>
      </c>
      <c r="B15071" s="549">
        <f>YEAR(source[[#This Row],[report_date]])</f>
        <v>2026</v>
      </c>
      <c r="C15071" s="128">
        <f t="shared" si="712"/>
        <v>4</v>
      </c>
      <c r="D15071" s="136">
        <f t="shared" si="713"/>
        <v>18</v>
      </c>
      <c r="E15071" s="136">
        <f t="shared" si="714"/>
        <v>30</v>
      </c>
      <c r="F15071" s="128" t="s">
        <v>24</v>
      </c>
      <c r="G15071" s="128" t="str">
        <f>VLOOKUP(source[[#This Row],[lending_product_transform]],[3]Mapping!$B$4:$C$37,2,0)</f>
        <v>[Cake] - Cashloan</v>
      </c>
      <c r="H15071" s="128" t="str">
        <f>VLOOKUP(source[[#This Row],[lending_product_transform]],[3]Mapping!$B$3:$D$37,3,0)</f>
        <v>cashloan</v>
      </c>
      <c r="I15071" s="549">
        <v>1130919971</v>
      </c>
    </row>
    <row r="15072" spans="1:9" x14ac:dyDescent="0.2">
      <c r="A15072" s="134">
        <v>46142</v>
      </c>
      <c r="B15072" s="549">
        <f>YEAR(source[[#This Row],[report_date]])</f>
        <v>2026</v>
      </c>
      <c r="C15072" s="128">
        <f t="shared" si="712"/>
        <v>4</v>
      </c>
      <c r="D15072" s="136">
        <f t="shared" si="713"/>
        <v>18</v>
      </c>
      <c r="E15072" s="136">
        <f t="shared" si="714"/>
        <v>30</v>
      </c>
      <c r="F15072" s="128" t="s">
        <v>24</v>
      </c>
      <c r="G15072" s="128" t="str">
        <f>VLOOKUP(source[[#This Row],[lending_product_transform]],[3]Mapping!$B$4:$C$37,2,0)</f>
        <v>[Cake] - Cashloan</v>
      </c>
      <c r="H15072" s="128" t="str">
        <f>VLOOKUP(source[[#This Row],[lending_product_transform]],[3]Mapping!$B$3:$D$37,3,0)</f>
        <v>cashloan</v>
      </c>
      <c r="I15072" s="549">
        <v>0</v>
      </c>
    </row>
    <row r="15073" spans="1:9" x14ac:dyDescent="0.2">
      <c r="A15073" s="134">
        <v>46142</v>
      </c>
      <c r="B15073" s="549">
        <f>YEAR(source[[#This Row],[report_date]])</f>
        <v>2026</v>
      </c>
      <c r="C15073" s="128">
        <f t="shared" si="712"/>
        <v>4</v>
      </c>
      <c r="D15073" s="136">
        <f t="shared" si="713"/>
        <v>18</v>
      </c>
      <c r="E15073" s="136">
        <f t="shared" si="714"/>
        <v>30</v>
      </c>
      <c r="F15073" s="128" t="s">
        <v>24</v>
      </c>
      <c r="G15073" s="128" t="str">
        <f>VLOOKUP(source[[#This Row],[lending_product_transform]],[3]Mapping!$B$4:$C$37,2,0)</f>
        <v>[Cake] - Cashloan</v>
      </c>
      <c r="H15073" s="128" t="str">
        <f>VLOOKUP(source[[#This Row],[lending_product_transform]],[3]Mapping!$B$3:$D$37,3,0)</f>
        <v>cashloan</v>
      </c>
      <c r="I15073" s="549">
        <v>15000000</v>
      </c>
    </row>
    <row r="15074" spans="1:9" x14ac:dyDescent="0.2">
      <c r="A15074" s="134">
        <v>46142</v>
      </c>
      <c r="B15074" s="549">
        <f>YEAR(source[[#This Row],[report_date]])</f>
        <v>2026</v>
      </c>
      <c r="C15074" s="128">
        <f t="shared" si="712"/>
        <v>4</v>
      </c>
      <c r="D15074" s="136">
        <f t="shared" si="713"/>
        <v>18</v>
      </c>
      <c r="E15074" s="136">
        <f t="shared" si="714"/>
        <v>30</v>
      </c>
      <c r="F15074" s="128" t="s">
        <v>24</v>
      </c>
      <c r="G15074" s="128" t="str">
        <f>VLOOKUP(source[[#This Row],[lending_product_transform]],[3]Mapping!$B$4:$C$37,2,0)</f>
        <v>[Cake] - Cashloan</v>
      </c>
      <c r="H15074" s="128" t="str">
        <f>VLOOKUP(source[[#This Row],[lending_product_transform]],[3]Mapping!$B$3:$D$37,3,0)</f>
        <v>cashloan</v>
      </c>
      <c r="I15074" s="549">
        <v>0</v>
      </c>
    </row>
    <row r="15075" spans="1:9" x14ac:dyDescent="0.2">
      <c r="A15075" s="134">
        <v>46142</v>
      </c>
      <c r="B15075" s="549">
        <f>YEAR(source[[#This Row],[report_date]])</f>
        <v>2026</v>
      </c>
      <c r="C15075" s="128">
        <f t="shared" si="712"/>
        <v>4</v>
      </c>
      <c r="D15075" s="136">
        <f t="shared" si="713"/>
        <v>18</v>
      </c>
      <c r="E15075" s="136">
        <f t="shared" si="714"/>
        <v>30</v>
      </c>
      <c r="F15075" s="128" t="s">
        <v>24</v>
      </c>
      <c r="G15075" s="128" t="str">
        <f>VLOOKUP(source[[#This Row],[lending_product_transform]],[3]Mapping!$B$4:$C$37,2,0)</f>
        <v>[Cake] - Cashloan</v>
      </c>
      <c r="H15075" s="128" t="str">
        <f>VLOOKUP(source[[#This Row],[lending_product_transform]],[3]Mapping!$B$3:$D$37,3,0)</f>
        <v>cashloan</v>
      </c>
      <c r="I15075" s="549">
        <v>13482030000</v>
      </c>
    </row>
    <row r="15076" spans="1:9" x14ac:dyDescent="0.2">
      <c r="A15076" s="134">
        <v>46142</v>
      </c>
      <c r="B15076" s="549">
        <f>YEAR(source[[#This Row],[report_date]])</f>
        <v>2026</v>
      </c>
      <c r="C15076" s="128">
        <f t="shared" si="712"/>
        <v>4</v>
      </c>
      <c r="D15076" s="136">
        <f t="shared" si="713"/>
        <v>18</v>
      </c>
      <c r="E15076" s="136">
        <f t="shared" si="714"/>
        <v>30</v>
      </c>
      <c r="F15076" s="128" t="s">
        <v>24</v>
      </c>
      <c r="G15076" s="128" t="str">
        <f>VLOOKUP(source[[#This Row],[lending_product_transform]],[3]Mapping!$B$4:$C$37,2,0)</f>
        <v>[Cake] - Cashloan</v>
      </c>
      <c r="H15076" s="128" t="str">
        <f>VLOOKUP(source[[#This Row],[lending_product_transform]],[3]Mapping!$B$3:$D$37,3,0)</f>
        <v>cashloan</v>
      </c>
      <c r="I15076" s="549">
        <v>0</v>
      </c>
    </row>
    <row r="15077" spans="1:9" x14ac:dyDescent="0.2">
      <c r="A15077" s="134">
        <v>46142</v>
      </c>
      <c r="B15077" s="549">
        <f>YEAR(source[[#This Row],[report_date]])</f>
        <v>2026</v>
      </c>
      <c r="C15077" s="128">
        <f t="shared" si="712"/>
        <v>4</v>
      </c>
      <c r="D15077" s="136">
        <f t="shared" si="713"/>
        <v>18</v>
      </c>
      <c r="E15077" s="136">
        <f t="shared" si="714"/>
        <v>30</v>
      </c>
      <c r="F15077" s="128" t="s">
        <v>24</v>
      </c>
      <c r="G15077" s="128" t="str">
        <f>VLOOKUP(source[[#This Row],[lending_product_transform]],[3]Mapping!$B$4:$C$37,2,0)</f>
        <v>[Cake] - Cashloan</v>
      </c>
      <c r="H15077" s="128" t="str">
        <f>VLOOKUP(source[[#This Row],[lending_product_transform]],[3]Mapping!$B$3:$D$37,3,0)</f>
        <v>cashloan</v>
      </c>
      <c r="I15077" s="549">
        <v>0</v>
      </c>
    </row>
    <row r="15078" spans="1:9" x14ac:dyDescent="0.2">
      <c r="A15078" s="134">
        <v>46142</v>
      </c>
      <c r="B15078" s="549">
        <f>YEAR(source[[#This Row],[report_date]])</f>
        <v>2026</v>
      </c>
      <c r="C15078" s="128">
        <f t="shared" si="712"/>
        <v>4</v>
      </c>
      <c r="D15078" s="136">
        <f t="shared" si="713"/>
        <v>18</v>
      </c>
      <c r="E15078" s="136">
        <f t="shared" si="714"/>
        <v>30</v>
      </c>
      <c r="F15078" s="128" t="s">
        <v>24</v>
      </c>
      <c r="G15078" s="128" t="str">
        <f>VLOOKUP(source[[#This Row],[lending_product_transform]],[3]Mapping!$B$4:$C$37,2,0)</f>
        <v>[Cake] - Cashloan</v>
      </c>
      <c r="H15078" s="128" t="str">
        <f>VLOOKUP(source[[#This Row],[lending_product_transform]],[3]Mapping!$B$3:$D$37,3,0)</f>
        <v>cashloan</v>
      </c>
      <c r="I15078" s="549">
        <v>0</v>
      </c>
    </row>
    <row r="15079" spans="1:9" x14ac:dyDescent="0.2">
      <c r="A15079" s="134">
        <v>46142</v>
      </c>
      <c r="B15079" s="549">
        <f>YEAR(source[[#This Row],[report_date]])</f>
        <v>2026</v>
      </c>
      <c r="C15079" s="128">
        <f t="shared" si="712"/>
        <v>4</v>
      </c>
      <c r="D15079" s="136">
        <f t="shared" si="713"/>
        <v>18</v>
      </c>
      <c r="E15079" s="136">
        <f t="shared" si="714"/>
        <v>30</v>
      </c>
      <c r="F15079" s="128" t="s">
        <v>24</v>
      </c>
      <c r="G15079" s="128" t="str">
        <f>VLOOKUP(source[[#This Row],[lending_product_transform]],[3]Mapping!$B$4:$C$37,2,0)</f>
        <v>[Cake] - Cashloan</v>
      </c>
      <c r="H15079" s="128" t="str">
        <f>VLOOKUP(source[[#This Row],[lending_product_transform]],[3]Mapping!$B$3:$D$37,3,0)</f>
        <v>cashloan</v>
      </c>
      <c r="I15079" s="549">
        <v>0</v>
      </c>
    </row>
    <row r="15080" spans="1:9" x14ac:dyDescent="0.2">
      <c r="A15080" s="134">
        <v>46142</v>
      </c>
      <c r="B15080" s="549">
        <f>YEAR(source[[#This Row],[report_date]])</f>
        <v>2026</v>
      </c>
      <c r="C15080" s="128">
        <f t="shared" si="712"/>
        <v>4</v>
      </c>
      <c r="D15080" s="136">
        <f t="shared" si="713"/>
        <v>18</v>
      </c>
      <c r="E15080" s="136">
        <f t="shared" si="714"/>
        <v>30</v>
      </c>
      <c r="F15080" s="128" t="s">
        <v>24</v>
      </c>
      <c r="G15080" s="128" t="str">
        <f>VLOOKUP(source[[#This Row],[lending_product_transform]],[3]Mapping!$B$4:$C$37,2,0)</f>
        <v>[Cake] - Cashloan</v>
      </c>
      <c r="H15080" s="128" t="str">
        <f>VLOOKUP(source[[#This Row],[lending_product_transform]],[3]Mapping!$B$3:$D$37,3,0)</f>
        <v>cashloan</v>
      </c>
      <c r="I15080" s="549">
        <v>10214856000</v>
      </c>
    </row>
    <row r="15081" spans="1:9" x14ac:dyDescent="0.2">
      <c r="A15081" s="134">
        <v>46142</v>
      </c>
      <c r="B15081" s="549">
        <f>YEAR(source[[#This Row],[report_date]])</f>
        <v>2026</v>
      </c>
      <c r="C15081" s="128">
        <f t="shared" si="712"/>
        <v>4</v>
      </c>
      <c r="D15081" s="136">
        <f t="shared" si="713"/>
        <v>18</v>
      </c>
      <c r="E15081" s="136">
        <f t="shared" si="714"/>
        <v>30</v>
      </c>
      <c r="F15081" s="128" t="s">
        <v>24</v>
      </c>
      <c r="G15081" s="128" t="str">
        <f>VLOOKUP(source[[#This Row],[lending_product_transform]],[3]Mapping!$B$4:$C$37,2,0)</f>
        <v>[Cake] - Cashloan</v>
      </c>
      <c r="H15081" s="128" t="str">
        <f>VLOOKUP(source[[#This Row],[lending_product_transform]],[3]Mapping!$B$3:$D$37,3,0)</f>
        <v>cashloan</v>
      </c>
      <c r="I15081" s="549">
        <v>138944687</v>
      </c>
    </row>
    <row r="15082" spans="1:9" x14ac:dyDescent="0.2">
      <c r="A15082" s="134">
        <v>46142</v>
      </c>
      <c r="B15082" s="549">
        <f>YEAR(source[[#This Row],[report_date]])</f>
        <v>2026</v>
      </c>
      <c r="C15082" s="128">
        <f t="shared" si="712"/>
        <v>4</v>
      </c>
      <c r="D15082" s="136">
        <f t="shared" si="713"/>
        <v>18</v>
      </c>
      <c r="E15082" s="136">
        <f t="shared" si="714"/>
        <v>30</v>
      </c>
      <c r="F15082" s="128" t="s">
        <v>24</v>
      </c>
      <c r="G15082" s="128" t="str">
        <f>VLOOKUP(source[[#This Row],[lending_product_transform]],[3]Mapping!$B$4:$C$37,2,0)</f>
        <v>[Cake] - Cashloan</v>
      </c>
      <c r="H15082" s="128" t="str">
        <f>VLOOKUP(source[[#This Row],[lending_product_transform]],[3]Mapping!$B$3:$D$37,3,0)</f>
        <v>cashloan</v>
      </c>
      <c r="I15082" s="549">
        <v>42000000</v>
      </c>
    </row>
    <row r="15083" spans="1:9" x14ac:dyDescent="0.2">
      <c r="A15083" s="134">
        <v>46142</v>
      </c>
      <c r="B15083" s="549">
        <f>YEAR(source[[#This Row],[report_date]])</f>
        <v>2026</v>
      </c>
      <c r="C15083" s="128">
        <f t="shared" si="712"/>
        <v>4</v>
      </c>
      <c r="D15083" s="136">
        <f t="shared" si="713"/>
        <v>18</v>
      </c>
      <c r="E15083" s="136">
        <f t="shared" si="714"/>
        <v>30</v>
      </c>
      <c r="F15083" s="128" t="s">
        <v>24</v>
      </c>
      <c r="G15083" s="128" t="str">
        <f>VLOOKUP(source[[#This Row],[lending_product_transform]],[3]Mapping!$B$4:$C$37,2,0)</f>
        <v>[Cake] - Cashloan</v>
      </c>
      <c r="H15083" s="128" t="str">
        <f>VLOOKUP(source[[#This Row],[lending_product_transform]],[3]Mapping!$B$3:$D$37,3,0)</f>
        <v>cashloan</v>
      </c>
      <c r="I15083" s="549">
        <v>59000000</v>
      </c>
    </row>
    <row r="15084" spans="1:9" x14ac:dyDescent="0.2">
      <c r="A15084" s="134">
        <v>46142</v>
      </c>
      <c r="B15084" s="549">
        <f>YEAR(source[[#This Row],[report_date]])</f>
        <v>2026</v>
      </c>
      <c r="C15084" s="128">
        <f t="shared" si="712"/>
        <v>4</v>
      </c>
      <c r="D15084" s="136">
        <f t="shared" si="713"/>
        <v>18</v>
      </c>
      <c r="E15084" s="136">
        <f t="shared" si="714"/>
        <v>30</v>
      </c>
      <c r="F15084" s="128" t="s">
        <v>24</v>
      </c>
      <c r="G15084" s="128" t="str">
        <f>VLOOKUP(source[[#This Row],[lending_product_transform]],[3]Mapping!$B$4:$C$37,2,0)</f>
        <v>[Cake] - Cashloan</v>
      </c>
      <c r="H15084" s="128" t="str">
        <f>VLOOKUP(source[[#This Row],[lending_product_transform]],[3]Mapping!$B$3:$D$37,3,0)</f>
        <v>cashloan</v>
      </c>
      <c r="I15084" s="549">
        <v>728720000</v>
      </c>
    </row>
    <row r="15085" spans="1:9" x14ac:dyDescent="0.2">
      <c r="A15085" s="134">
        <v>46142</v>
      </c>
      <c r="B15085" s="549">
        <f>YEAR(source[[#This Row],[report_date]])</f>
        <v>2026</v>
      </c>
      <c r="C15085" s="128">
        <f t="shared" si="712"/>
        <v>4</v>
      </c>
      <c r="D15085" s="136">
        <f t="shared" si="713"/>
        <v>18</v>
      </c>
      <c r="E15085" s="136">
        <f t="shared" si="714"/>
        <v>30</v>
      </c>
      <c r="F15085" s="128" t="s">
        <v>24</v>
      </c>
      <c r="G15085" s="128" t="str">
        <f>VLOOKUP(source[[#This Row],[lending_product_transform]],[3]Mapping!$B$4:$C$37,2,0)</f>
        <v>[Cake] - Cashloan</v>
      </c>
      <c r="H15085" s="128" t="str">
        <f>VLOOKUP(source[[#This Row],[lending_product_transform]],[3]Mapping!$B$3:$D$37,3,0)</f>
        <v>cashloan</v>
      </c>
      <c r="I15085" s="549">
        <v>268272000</v>
      </c>
    </row>
    <row r="15086" spans="1:9" x14ac:dyDescent="0.2">
      <c r="A15086" s="134">
        <v>46142</v>
      </c>
      <c r="B15086" s="549">
        <f>YEAR(source[[#This Row],[report_date]])</f>
        <v>2026</v>
      </c>
      <c r="C15086" s="128">
        <f t="shared" si="712"/>
        <v>4</v>
      </c>
      <c r="D15086" s="136">
        <f t="shared" si="713"/>
        <v>18</v>
      </c>
      <c r="E15086" s="136">
        <f t="shared" si="714"/>
        <v>30</v>
      </c>
      <c r="F15086" s="128" t="s">
        <v>24</v>
      </c>
      <c r="G15086" s="128" t="str">
        <f>VLOOKUP(source[[#This Row],[lending_product_transform]],[3]Mapping!$B$4:$C$37,2,0)</f>
        <v>[Cake] - Cashloan</v>
      </c>
      <c r="H15086" s="128" t="str">
        <f>VLOOKUP(source[[#This Row],[lending_product_transform]],[3]Mapping!$B$3:$D$37,3,0)</f>
        <v>cashloan</v>
      </c>
      <c r="I15086" s="549">
        <v>237276638</v>
      </c>
    </row>
    <row r="15087" spans="1:9" x14ac:dyDescent="0.2">
      <c r="A15087" s="134">
        <v>46142</v>
      </c>
      <c r="B15087" s="549">
        <f>YEAR(source[[#This Row],[report_date]])</f>
        <v>2026</v>
      </c>
      <c r="C15087" s="128">
        <f t="shared" si="712"/>
        <v>4</v>
      </c>
      <c r="D15087" s="136">
        <f t="shared" si="713"/>
        <v>18</v>
      </c>
      <c r="E15087" s="136">
        <f t="shared" si="714"/>
        <v>30</v>
      </c>
      <c r="F15087" s="128" t="s">
        <v>24</v>
      </c>
      <c r="G15087" s="128" t="str">
        <f>VLOOKUP(source[[#This Row],[lending_product_transform]],[3]Mapping!$B$4:$C$37,2,0)</f>
        <v>[Cake] - Cashloan</v>
      </c>
      <c r="H15087" s="128" t="str">
        <f>VLOOKUP(source[[#This Row],[lending_product_transform]],[3]Mapping!$B$3:$D$37,3,0)</f>
        <v>cashloan</v>
      </c>
      <c r="I15087" s="549">
        <v>3823010000</v>
      </c>
    </row>
    <row r="15088" spans="1:9" x14ac:dyDescent="0.2">
      <c r="A15088" s="134">
        <v>46142</v>
      </c>
      <c r="B15088" s="549">
        <f>YEAR(source[[#This Row],[report_date]])</f>
        <v>2026</v>
      </c>
      <c r="C15088" s="128">
        <f t="shared" si="712"/>
        <v>4</v>
      </c>
      <c r="D15088" s="136">
        <f t="shared" si="713"/>
        <v>18</v>
      </c>
      <c r="E15088" s="136">
        <f t="shared" si="714"/>
        <v>30</v>
      </c>
      <c r="F15088" s="128" t="s">
        <v>24</v>
      </c>
      <c r="G15088" s="128" t="str">
        <f>VLOOKUP(source[[#This Row],[lending_product_transform]],[3]Mapping!$B$4:$C$37,2,0)</f>
        <v>[Cake] - Cashloan</v>
      </c>
      <c r="H15088" s="128" t="str">
        <f>VLOOKUP(source[[#This Row],[lending_product_transform]],[3]Mapping!$B$3:$D$37,3,0)</f>
        <v>cashloan</v>
      </c>
      <c r="I15088" s="549">
        <v>0</v>
      </c>
    </row>
    <row r="15089" spans="1:9" x14ac:dyDescent="0.2">
      <c r="A15089" s="134">
        <v>46143</v>
      </c>
      <c r="B15089" s="549">
        <f>YEAR(source[[#This Row],[report_date]])</f>
        <v>2026</v>
      </c>
      <c r="C15089" s="128">
        <f t="shared" ref="C15089:C15152" si="715">MONTH(A15089)</f>
        <v>5</v>
      </c>
      <c r="D15089" s="136">
        <f t="shared" ref="D15089:D15152" si="716">WEEKNUM(A15089,2)</f>
        <v>18</v>
      </c>
      <c r="E15089" s="136">
        <f t="shared" ref="E15089:E15152" si="717">DAY(A15089)</f>
        <v>1</v>
      </c>
      <c r="F15089" s="128" t="s">
        <v>24</v>
      </c>
      <c r="G15089" s="128" t="s">
        <v>65</v>
      </c>
      <c r="H15089" s="128" t="str">
        <f>VLOOKUP(source[[#This Row],[lending_product_transform]],[3]Mapping!$B$3:$D$37,3,0)</f>
        <v>cashloan</v>
      </c>
      <c r="I15089" s="549">
        <v>587800000</v>
      </c>
    </row>
    <row r="15090" spans="1:9" x14ac:dyDescent="0.2">
      <c r="A15090" s="134">
        <v>46143</v>
      </c>
      <c r="B15090" s="549">
        <f>YEAR(source[[#This Row],[report_date]])</f>
        <v>2026</v>
      </c>
      <c r="C15090" s="128">
        <f t="shared" si="715"/>
        <v>5</v>
      </c>
      <c r="D15090" s="136">
        <f t="shared" si="716"/>
        <v>18</v>
      </c>
      <c r="E15090" s="136">
        <f t="shared" si="717"/>
        <v>1</v>
      </c>
      <c r="F15090" s="128" t="s">
        <v>24</v>
      </c>
      <c r="G15090" s="128" t="s">
        <v>66</v>
      </c>
      <c r="H15090" s="128" t="str">
        <f>VLOOKUP(source[[#This Row],[lending_product_transform]],[3]Mapping!$B$3:$D$37,3,0)</f>
        <v>cashloan</v>
      </c>
      <c r="I15090" s="549">
        <v>283417997</v>
      </c>
    </row>
    <row r="15091" spans="1:9" x14ac:dyDescent="0.2">
      <c r="A15091" s="134">
        <v>46143</v>
      </c>
      <c r="B15091" s="549">
        <f>YEAR(source[[#This Row],[report_date]])</f>
        <v>2026</v>
      </c>
      <c r="C15091" s="128">
        <f t="shared" si="715"/>
        <v>5</v>
      </c>
      <c r="D15091" s="136">
        <f t="shared" si="716"/>
        <v>18</v>
      </c>
      <c r="E15091" s="136">
        <f t="shared" si="717"/>
        <v>1</v>
      </c>
      <c r="F15091" s="128" t="s">
        <v>24</v>
      </c>
      <c r="G15091" s="128" t="s">
        <v>24</v>
      </c>
      <c r="H15091" s="128" t="str">
        <f>VLOOKUP(source[[#This Row],[lending_product_transform]],[3]Mapping!$B$3:$D$37,3,0)</f>
        <v>cashloan</v>
      </c>
      <c r="I15091" s="549">
        <v>12149760000</v>
      </c>
    </row>
    <row r="15092" spans="1:9" x14ac:dyDescent="0.2">
      <c r="A15092" s="134">
        <v>46143</v>
      </c>
      <c r="B15092" s="549">
        <f>YEAR(source[[#This Row],[report_date]])</f>
        <v>2026</v>
      </c>
      <c r="C15092" s="128">
        <f t="shared" si="715"/>
        <v>5</v>
      </c>
      <c r="D15092" s="136">
        <f t="shared" si="716"/>
        <v>18</v>
      </c>
      <c r="E15092" s="136">
        <f t="shared" si="717"/>
        <v>1</v>
      </c>
      <c r="F15092" s="128" t="s">
        <v>24</v>
      </c>
      <c r="G15092" s="128" t="s">
        <v>67</v>
      </c>
      <c r="H15092" s="128" t="str">
        <f>VLOOKUP(source[[#This Row],[lending_product_transform]],[3]Mapping!$B$3:$D$37,3,0)</f>
        <v>cashloan</v>
      </c>
      <c r="I15092" s="549">
        <v>2254419075</v>
      </c>
    </row>
    <row r="15093" spans="1:9" x14ac:dyDescent="0.2">
      <c r="A15093" s="134">
        <v>46143</v>
      </c>
      <c r="B15093" s="549">
        <f>YEAR(source[[#This Row],[report_date]])</f>
        <v>2026</v>
      </c>
      <c r="C15093" s="128">
        <f t="shared" si="715"/>
        <v>5</v>
      </c>
      <c r="D15093" s="136">
        <f t="shared" si="716"/>
        <v>18</v>
      </c>
      <c r="E15093" s="136">
        <f t="shared" si="717"/>
        <v>1</v>
      </c>
      <c r="F15093" s="128" t="s">
        <v>24</v>
      </c>
      <c r="G15093" s="128" t="s">
        <v>28</v>
      </c>
      <c r="H15093" s="128" t="str">
        <f>VLOOKUP(source[[#This Row],[lending_product_transform]],[3]Mapping!$B$3:$D$37,3,0)</f>
        <v>cashloan</v>
      </c>
      <c r="I15093" s="549">
        <v>13544280000</v>
      </c>
    </row>
    <row r="15094" spans="1:9" x14ac:dyDescent="0.2">
      <c r="A15094" s="134">
        <v>46143</v>
      </c>
      <c r="B15094" s="549">
        <f>YEAR(source[[#This Row],[report_date]])</f>
        <v>2026</v>
      </c>
      <c r="C15094" s="128">
        <f t="shared" si="715"/>
        <v>5</v>
      </c>
      <c r="D15094" s="136">
        <f t="shared" si="716"/>
        <v>18</v>
      </c>
      <c r="E15094" s="136">
        <f t="shared" si="717"/>
        <v>1</v>
      </c>
      <c r="F15094" s="128" t="s">
        <v>24</v>
      </c>
      <c r="G15094" s="128" t="s">
        <v>208</v>
      </c>
      <c r="H15094" s="128" t="str">
        <f>VLOOKUP(source[[#This Row],[lending_product_transform]],[3]Mapping!$B$3:$D$37,3,0)</f>
        <v>cashloan</v>
      </c>
      <c r="I15094" s="549">
        <v>0</v>
      </c>
    </row>
    <row r="15095" spans="1:9" x14ac:dyDescent="0.2">
      <c r="A15095" s="134">
        <v>46143</v>
      </c>
      <c r="B15095" s="549">
        <f>YEAR(source[[#This Row],[report_date]])</f>
        <v>2026</v>
      </c>
      <c r="C15095" s="128">
        <f t="shared" si="715"/>
        <v>5</v>
      </c>
      <c r="D15095" s="136">
        <f t="shared" si="716"/>
        <v>18</v>
      </c>
      <c r="E15095" s="136">
        <f t="shared" si="717"/>
        <v>1</v>
      </c>
      <c r="F15095" s="128" t="s">
        <v>24</v>
      </c>
      <c r="G15095" s="128" t="s">
        <v>60</v>
      </c>
      <c r="H15095" s="128" t="str">
        <f>VLOOKUP(source[[#This Row],[lending_product_transform]],[3]Mapping!$B$3:$D$37,3,0)</f>
        <v>cashloan</v>
      </c>
      <c r="I15095" s="549">
        <v>0</v>
      </c>
    </row>
    <row r="15096" spans="1:9" x14ac:dyDescent="0.2">
      <c r="A15096" s="134">
        <v>46143</v>
      </c>
      <c r="B15096" s="549">
        <f>YEAR(source[[#This Row],[report_date]])</f>
        <v>2026</v>
      </c>
      <c r="C15096" s="128">
        <f t="shared" si="715"/>
        <v>5</v>
      </c>
      <c r="D15096" s="136">
        <f t="shared" si="716"/>
        <v>18</v>
      </c>
      <c r="E15096" s="136">
        <f t="shared" si="717"/>
        <v>1</v>
      </c>
      <c r="F15096" s="128" t="s">
        <v>24</v>
      </c>
      <c r="G15096" s="128" t="s">
        <v>36</v>
      </c>
      <c r="H15096" s="128" t="str">
        <f>VLOOKUP(source[[#This Row],[lending_product_transform]],[3]Mapping!$B$3:$D$37,3,0)</f>
        <v>cashloan</v>
      </c>
      <c r="I15096" s="549">
        <v>2167950000</v>
      </c>
    </row>
    <row r="15097" spans="1:9" x14ac:dyDescent="0.2">
      <c r="A15097" s="134">
        <v>46143</v>
      </c>
      <c r="B15097" s="549">
        <f>YEAR(source[[#This Row],[report_date]])</f>
        <v>2026</v>
      </c>
      <c r="C15097" s="128">
        <f t="shared" si="715"/>
        <v>5</v>
      </c>
      <c r="D15097" s="136">
        <f t="shared" si="716"/>
        <v>18</v>
      </c>
      <c r="E15097" s="136">
        <f t="shared" si="717"/>
        <v>1</v>
      </c>
      <c r="F15097" s="128" t="s">
        <v>24</v>
      </c>
      <c r="G15097" s="128" t="s">
        <v>36</v>
      </c>
      <c r="H15097" s="128" t="str">
        <f>VLOOKUP(source[[#This Row],[lending_product_transform]],[3]Mapping!$B$3:$D$37,3,0)</f>
        <v>cashloan</v>
      </c>
      <c r="I15097" s="549">
        <v>674210000</v>
      </c>
    </row>
    <row r="15098" spans="1:9" x14ac:dyDescent="0.2">
      <c r="A15098" s="134">
        <v>46143</v>
      </c>
      <c r="B15098" s="549">
        <f>YEAR(source[[#This Row],[report_date]])</f>
        <v>2026</v>
      </c>
      <c r="C15098" s="128">
        <f t="shared" si="715"/>
        <v>5</v>
      </c>
      <c r="D15098" s="136">
        <f t="shared" si="716"/>
        <v>18</v>
      </c>
      <c r="E15098" s="136">
        <f t="shared" si="717"/>
        <v>1</v>
      </c>
      <c r="F15098" s="128" t="s">
        <v>24</v>
      </c>
      <c r="G15098" s="128" t="s">
        <v>176</v>
      </c>
      <c r="H15098" s="128" t="str">
        <f>VLOOKUP(source[[#This Row],[lending_product_transform]],[3]Mapping!$B$3:$D$37,3,0)</f>
        <v>cashloan</v>
      </c>
      <c r="I15098" s="549">
        <v>6105133</v>
      </c>
    </row>
    <row r="15099" spans="1:9" x14ac:dyDescent="0.2">
      <c r="A15099" s="134">
        <v>46143</v>
      </c>
      <c r="B15099" s="549">
        <f>YEAR(source[[#This Row],[report_date]])</f>
        <v>2026</v>
      </c>
      <c r="C15099" s="128">
        <f t="shared" si="715"/>
        <v>5</v>
      </c>
      <c r="D15099" s="136">
        <f t="shared" si="716"/>
        <v>18</v>
      </c>
      <c r="E15099" s="136">
        <f t="shared" si="717"/>
        <v>1</v>
      </c>
      <c r="F15099" s="128" t="s">
        <v>24</v>
      </c>
      <c r="G15099" s="128" t="s">
        <v>176</v>
      </c>
      <c r="H15099" s="128" t="str">
        <f>VLOOKUP(source[[#This Row],[lending_product_transform]],[3]Mapping!$B$3:$D$37,3,0)</f>
        <v>cashloan</v>
      </c>
      <c r="I15099" s="549">
        <v>1606557199</v>
      </c>
    </row>
    <row r="15100" spans="1:9" x14ac:dyDescent="0.2">
      <c r="A15100" s="134">
        <v>46143</v>
      </c>
      <c r="B15100" s="549">
        <f>YEAR(source[[#This Row],[report_date]])</f>
        <v>2026</v>
      </c>
      <c r="C15100" s="128">
        <f t="shared" si="715"/>
        <v>5</v>
      </c>
      <c r="D15100" s="136">
        <f t="shared" si="716"/>
        <v>18</v>
      </c>
      <c r="E15100" s="136">
        <f t="shared" si="717"/>
        <v>1</v>
      </c>
      <c r="F15100" s="128" t="s">
        <v>24</v>
      </c>
      <c r="G15100" s="128" t="s">
        <v>206</v>
      </c>
      <c r="H15100" s="128" t="str">
        <f>VLOOKUP(source[[#This Row],[lending_product_transform]],[3]Mapping!$B$3:$D$37,3,0)</f>
        <v>cashloan</v>
      </c>
      <c r="I15100" s="549">
        <v>0</v>
      </c>
    </row>
    <row r="15101" spans="1:9" x14ac:dyDescent="0.2">
      <c r="A15101" s="134">
        <v>46143</v>
      </c>
      <c r="B15101" s="549">
        <f>YEAR(source[[#This Row],[report_date]])</f>
        <v>2026</v>
      </c>
      <c r="C15101" s="128">
        <f t="shared" si="715"/>
        <v>5</v>
      </c>
      <c r="D15101" s="136">
        <f t="shared" si="716"/>
        <v>18</v>
      </c>
      <c r="E15101" s="136">
        <f t="shared" si="717"/>
        <v>1</v>
      </c>
      <c r="F15101" s="128" t="s">
        <v>24</v>
      </c>
      <c r="G15101" s="128" t="s">
        <v>209</v>
      </c>
      <c r="H15101" s="128" t="str">
        <f>VLOOKUP(source[[#This Row],[lending_product_transform]],[3]Mapping!$B$3:$D$37,3,0)</f>
        <v>cashloan</v>
      </c>
      <c r="I15101" s="549">
        <v>0</v>
      </c>
    </row>
    <row r="15102" spans="1:9" x14ac:dyDescent="0.2">
      <c r="A15102" s="134">
        <v>46143</v>
      </c>
      <c r="B15102" s="549">
        <f>YEAR(source[[#This Row],[report_date]])</f>
        <v>2026</v>
      </c>
      <c r="C15102" s="128">
        <f t="shared" si="715"/>
        <v>5</v>
      </c>
      <c r="D15102" s="136">
        <f t="shared" si="716"/>
        <v>18</v>
      </c>
      <c r="E15102" s="136">
        <f t="shared" si="717"/>
        <v>1</v>
      </c>
      <c r="F15102" s="128" t="s">
        <v>24</v>
      </c>
      <c r="G15102" s="128" t="s">
        <v>209</v>
      </c>
      <c r="H15102" s="128" t="str">
        <f>VLOOKUP(source[[#This Row],[lending_product_transform]],[3]Mapping!$B$3:$D$37,3,0)</f>
        <v>cashloan</v>
      </c>
      <c r="I15102" s="549">
        <v>0</v>
      </c>
    </row>
    <row r="15103" spans="1:9" x14ac:dyDescent="0.2">
      <c r="A15103" s="134">
        <v>46143</v>
      </c>
      <c r="B15103" s="549">
        <f>YEAR(source[[#This Row],[report_date]])</f>
        <v>2026</v>
      </c>
      <c r="C15103" s="128">
        <f t="shared" si="715"/>
        <v>5</v>
      </c>
      <c r="D15103" s="136">
        <f t="shared" si="716"/>
        <v>18</v>
      </c>
      <c r="E15103" s="136">
        <f t="shared" si="717"/>
        <v>1</v>
      </c>
      <c r="F15103" s="128" t="s">
        <v>24</v>
      </c>
      <c r="G15103" s="128" t="s">
        <v>11</v>
      </c>
      <c r="H15103" s="128" t="str">
        <f>VLOOKUP(source[[#This Row],[lending_product_transform]],[3]Mapping!$B$3:$D$37,3,0)</f>
        <v>cashloan</v>
      </c>
      <c r="I15103" s="549">
        <v>13618440000</v>
      </c>
    </row>
    <row r="15104" spans="1:9" x14ac:dyDescent="0.2">
      <c r="A15104" s="134">
        <v>46143</v>
      </c>
      <c r="B15104" s="549">
        <f>YEAR(source[[#This Row],[report_date]])</f>
        <v>2026</v>
      </c>
      <c r="C15104" s="128">
        <f t="shared" si="715"/>
        <v>5</v>
      </c>
      <c r="D15104" s="136">
        <f t="shared" si="716"/>
        <v>18</v>
      </c>
      <c r="E15104" s="136">
        <f t="shared" si="717"/>
        <v>1</v>
      </c>
      <c r="F15104" s="128" t="s">
        <v>24</v>
      </c>
      <c r="G15104" s="128" t="s">
        <v>207</v>
      </c>
      <c r="H15104" s="128" t="str">
        <f>VLOOKUP(source[[#This Row],[lending_product_transform]],[3]Mapping!$B$3:$D$37,3,0)</f>
        <v>cashloan</v>
      </c>
      <c r="I15104" s="549">
        <v>0</v>
      </c>
    </row>
    <row r="15105" spans="1:9" x14ac:dyDescent="0.2">
      <c r="A15105" s="134">
        <v>46143</v>
      </c>
      <c r="B15105" s="549">
        <f>YEAR(source[[#This Row],[report_date]])</f>
        <v>2026</v>
      </c>
      <c r="C15105" s="128">
        <f t="shared" si="715"/>
        <v>5</v>
      </c>
      <c r="D15105" s="136">
        <f t="shared" si="716"/>
        <v>18</v>
      </c>
      <c r="E15105" s="136">
        <f t="shared" si="717"/>
        <v>1</v>
      </c>
      <c r="F15105" s="128" t="s">
        <v>24</v>
      </c>
      <c r="G15105" s="128" t="s">
        <v>207</v>
      </c>
      <c r="H15105" s="128" t="str">
        <f>VLOOKUP(source[[#This Row],[lending_product_transform]],[3]Mapping!$B$3:$D$37,3,0)</f>
        <v>cashloan</v>
      </c>
      <c r="I15105" s="549">
        <v>0</v>
      </c>
    </row>
    <row r="15106" spans="1:9" x14ac:dyDescent="0.2">
      <c r="A15106" s="134">
        <v>46143</v>
      </c>
      <c r="B15106" s="549">
        <f>YEAR(source[[#This Row],[report_date]])</f>
        <v>2026</v>
      </c>
      <c r="C15106" s="128">
        <f t="shared" si="715"/>
        <v>5</v>
      </c>
      <c r="D15106" s="136">
        <f t="shared" si="716"/>
        <v>18</v>
      </c>
      <c r="E15106" s="136">
        <f t="shared" si="717"/>
        <v>1</v>
      </c>
      <c r="F15106" s="128" t="s">
        <v>24</v>
      </c>
      <c r="G15106" s="128" t="s">
        <v>207</v>
      </c>
      <c r="H15106" s="128" t="str">
        <f>VLOOKUP(source[[#This Row],[lending_product_transform]],[3]Mapping!$B$3:$D$37,3,0)</f>
        <v>cashloan</v>
      </c>
      <c r="I15106" s="549">
        <v>0</v>
      </c>
    </row>
    <row r="15107" spans="1:9" x14ac:dyDescent="0.2">
      <c r="A15107" s="134">
        <v>46143</v>
      </c>
      <c r="B15107" s="549">
        <f>YEAR(source[[#This Row],[report_date]])</f>
        <v>2026</v>
      </c>
      <c r="C15107" s="128">
        <f t="shared" si="715"/>
        <v>5</v>
      </c>
      <c r="D15107" s="136">
        <f t="shared" si="716"/>
        <v>18</v>
      </c>
      <c r="E15107" s="136">
        <f t="shared" si="717"/>
        <v>1</v>
      </c>
      <c r="F15107" s="128" t="s">
        <v>24</v>
      </c>
      <c r="G15107" s="128" t="s">
        <v>11</v>
      </c>
      <c r="H15107" s="128" t="str">
        <f>VLOOKUP(source[[#This Row],[lending_product_transform]],[3]Mapping!$B$3:$D$37,3,0)</f>
        <v>cashloan</v>
      </c>
      <c r="I15107" s="549">
        <v>0</v>
      </c>
    </row>
    <row r="15108" spans="1:9" x14ac:dyDescent="0.2">
      <c r="A15108" s="134">
        <v>46143</v>
      </c>
      <c r="B15108" s="549">
        <f>YEAR(source[[#This Row],[report_date]])</f>
        <v>2026</v>
      </c>
      <c r="C15108" s="128">
        <f t="shared" si="715"/>
        <v>5</v>
      </c>
      <c r="D15108" s="136">
        <f t="shared" si="716"/>
        <v>18</v>
      </c>
      <c r="E15108" s="136">
        <f t="shared" si="717"/>
        <v>1</v>
      </c>
      <c r="F15108" s="128" t="s">
        <v>24</v>
      </c>
      <c r="G15108" s="128" t="s">
        <v>19</v>
      </c>
      <c r="H15108" s="128" t="str">
        <f>VLOOKUP(source[[#This Row],[lending_product_transform]],[3]Mapping!$B$3:$D$37,3,0)</f>
        <v>cashloan</v>
      </c>
      <c r="I15108" s="549">
        <v>10536372000</v>
      </c>
    </row>
    <row r="15109" spans="1:9" x14ac:dyDescent="0.2">
      <c r="A15109" s="134">
        <v>46143</v>
      </c>
      <c r="B15109" s="549">
        <f>YEAR(source[[#This Row],[report_date]])</f>
        <v>2026</v>
      </c>
      <c r="C15109" s="128">
        <f t="shared" si="715"/>
        <v>5</v>
      </c>
      <c r="D15109" s="136">
        <f t="shared" si="716"/>
        <v>18</v>
      </c>
      <c r="E15109" s="136">
        <f t="shared" si="717"/>
        <v>1</v>
      </c>
      <c r="F15109" s="128" t="s">
        <v>24</v>
      </c>
      <c r="G15109" s="128" t="s">
        <v>62</v>
      </c>
      <c r="H15109" s="128" t="str">
        <f>VLOOKUP(source[[#This Row],[lending_product_transform]],[3]Mapping!$B$3:$D$37,3,0)</f>
        <v>cashloan</v>
      </c>
      <c r="I15109" s="549">
        <v>390515453</v>
      </c>
    </row>
    <row r="15110" spans="1:9" x14ac:dyDescent="0.2">
      <c r="A15110" s="134">
        <v>46143</v>
      </c>
      <c r="B15110" s="549">
        <f>YEAR(source[[#This Row],[report_date]])</f>
        <v>2026</v>
      </c>
      <c r="C15110" s="128">
        <f t="shared" si="715"/>
        <v>5</v>
      </c>
      <c r="D15110" s="136">
        <f t="shared" si="716"/>
        <v>18</v>
      </c>
      <c r="E15110" s="136">
        <f t="shared" si="717"/>
        <v>1</v>
      </c>
      <c r="F15110" s="128" t="s">
        <v>24</v>
      </c>
      <c r="G15110" s="128" t="s">
        <v>58</v>
      </c>
      <c r="H15110" s="128" t="str">
        <f>VLOOKUP(source[[#This Row],[lending_product_transform]],[3]Mapping!$B$3:$D$37,3,0)</f>
        <v>cashloan</v>
      </c>
      <c r="I15110" s="549">
        <v>42000000</v>
      </c>
    </row>
    <row r="15111" spans="1:9" x14ac:dyDescent="0.2">
      <c r="A15111" s="134">
        <v>46143</v>
      </c>
      <c r="B15111" s="549">
        <f>YEAR(source[[#This Row],[report_date]])</f>
        <v>2026</v>
      </c>
      <c r="C15111" s="128">
        <f t="shared" si="715"/>
        <v>5</v>
      </c>
      <c r="D15111" s="136">
        <f t="shared" si="716"/>
        <v>18</v>
      </c>
      <c r="E15111" s="136">
        <f t="shared" si="717"/>
        <v>1</v>
      </c>
      <c r="F15111" s="128" t="s">
        <v>24</v>
      </c>
      <c r="G15111" s="128" t="s">
        <v>61</v>
      </c>
      <c r="H15111" s="128" t="str">
        <f>VLOOKUP(source[[#This Row],[lending_product_transform]],[3]Mapping!$B$3:$D$37,3,0)</f>
        <v>cashloan</v>
      </c>
      <c r="I15111" s="549">
        <v>40000000</v>
      </c>
    </row>
    <row r="15112" spans="1:9" x14ac:dyDescent="0.2">
      <c r="A15112" s="134">
        <v>46143</v>
      </c>
      <c r="B15112" s="549">
        <f>YEAR(source[[#This Row],[report_date]])</f>
        <v>2026</v>
      </c>
      <c r="C15112" s="128">
        <f t="shared" si="715"/>
        <v>5</v>
      </c>
      <c r="D15112" s="136">
        <f t="shared" si="716"/>
        <v>18</v>
      </c>
      <c r="E15112" s="136">
        <f t="shared" si="717"/>
        <v>1</v>
      </c>
      <c r="F15112" s="128" t="s">
        <v>24</v>
      </c>
      <c r="G15112" s="128" t="s">
        <v>57</v>
      </c>
      <c r="H15112" s="128" t="str">
        <f>VLOOKUP(source[[#This Row],[lending_product_transform]],[3]Mapping!$B$3:$D$37,3,0)</f>
        <v>cashloan</v>
      </c>
      <c r="I15112" s="549">
        <v>708530000</v>
      </c>
    </row>
    <row r="15113" spans="1:9" x14ac:dyDescent="0.2">
      <c r="A15113" s="134">
        <v>46143</v>
      </c>
      <c r="B15113" s="549">
        <f>YEAR(source[[#This Row],[report_date]])</f>
        <v>2026</v>
      </c>
      <c r="C15113" s="128">
        <f t="shared" si="715"/>
        <v>5</v>
      </c>
      <c r="D15113" s="136">
        <f t="shared" si="716"/>
        <v>18</v>
      </c>
      <c r="E15113" s="136">
        <f t="shared" si="717"/>
        <v>1</v>
      </c>
      <c r="F15113" s="128" t="s">
        <v>24</v>
      </c>
      <c r="G15113" s="128" t="s">
        <v>63</v>
      </c>
      <c r="H15113" s="128" t="str">
        <f>VLOOKUP(source[[#This Row],[lending_product_transform]],[3]Mapping!$B$3:$D$37,3,0)</f>
        <v>cashloan</v>
      </c>
      <c r="I15113" s="549">
        <v>256500000</v>
      </c>
    </row>
    <row r="15114" spans="1:9" x14ac:dyDescent="0.2">
      <c r="A15114" s="134">
        <v>46143</v>
      </c>
      <c r="B15114" s="549">
        <f>YEAR(source[[#This Row],[report_date]])</f>
        <v>2026</v>
      </c>
      <c r="C15114" s="128">
        <f t="shared" si="715"/>
        <v>5</v>
      </c>
      <c r="D15114" s="136">
        <f t="shared" si="716"/>
        <v>18</v>
      </c>
      <c r="E15114" s="136">
        <f t="shared" si="717"/>
        <v>1</v>
      </c>
      <c r="F15114" s="128" t="s">
        <v>24</v>
      </c>
      <c r="G15114" s="128" t="s">
        <v>59</v>
      </c>
      <c r="H15114" s="128" t="str">
        <f>VLOOKUP(source[[#This Row],[lending_product_transform]],[3]Mapping!$B$3:$D$37,3,0)</f>
        <v>cashloan</v>
      </c>
      <c r="I15114" s="549">
        <v>501716510</v>
      </c>
    </row>
    <row r="15115" spans="1:9" x14ac:dyDescent="0.2">
      <c r="A15115" s="134">
        <v>46143</v>
      </c>
      <c r="B15115" s="549">
        <f>YEAR(source[[#This Row],[report_date]])</f>
        <v>2026</v>
      </c>
      <c r="C15115" s="128">
        <f t="shared" si="715"/>
        <v>5</v>
      </c>
      <c r="D15115" s="136">
        <f t="shared" si="716"/>
        <v>18</v>
      </c>
      <c r="E15115" s="136">
        <f t="shared" si="717"/>
        <v>1</v>
      </c>
      <c r="F15115" s="128" t="s">
        <v>24</v>
      </c>
      <c r="G15115" s="128" t="s">
        <v>175</v>
      </c>
      <c r="H15115" s="128" t="str">
        <f>VLOOKUP(source[[#This Row],[lending_product_transform]],[3]Mapping!$B$3:$D$37,3,0)</f>
        <v>cashloan</v>
      </c>
      <c r="I15115" s="549">
        <v>5488300000</v>
      </c>
    </row>
    <row r="15116" spans="1:9" x14ac:dyDescent="0.2">
      <c r="A15116" s="134">
        <v>46143</v>
      </c>
      <c r="B15116" s="549">
        <f>YEAR(source[[#This Row],[report_date]])</f>
        <v>2026</v>
      </c>
      <c r="C15116" s="128">
        <f t="shared" si="715"/>
        <v>5</v>
      </c>
      <c r="D15116" s="136">
        <f t="shared" si="716"/>
        <v>18</v>
      </c>
      <c r="E15116" s="136">
        <f t="shared" si="717"/>
        <v>1</v>
      </c>
      <c r="F15116" s="128" t="s">
        <v>24</v>
      </c>
      <c r="G15116" s="128" t="s">
        <v>210</v>
      </c>
      <c r="H15116" s="128" t="str">
        <f>VLOOKUP(source[[#This Row],[lending_product_transform]],[3]Mapping!$B$3:$D$37,3,0)</f>
        <v>cashloan</v>
      </c>
      <c r="I15116" s="549">
        <v>0</v>
      </c>
    </row>
    <row r="15117" spans="1:9" x14ac:dyDescent="0.2">
      <c r="A15117" s="134">
        <v>46144</v>
      </c>
      <c r="B15117" s="549">
        <f>YEAR(source[[#This Row],[report_date]])</f>
        <v>2026</v>
      </c>
      <c r="C15117" s="128">
        <f t="shared" si="715"/>
        <v>5</v>
      </c>
      <c r="D15117" s="136">
        <f t="shared" si="716"/>
        <v>18</v>
      </c>
      <c r="E15117" s="136">
        <f t="shared" si="717"/>
        <v>2</v>
      </c>
      <c r="F15117" s="128" t="s">
        <v>24</v>
      </c>
      <c r="G15117" s="128" t="s">
        <v>65</v>
      </c>
      <c r="H15117" s="128" t="str">
        <f>VLOOKUP(source[[#This Row],[lending_product_transform]],[3]Mapping!$B$3:$D$37,3,0)</f>
        <v>cashloan</v>
      </c>
      <c r="I15117" s="549">
        <v>905180000</v>
      </c>
    </row>
    <row r="15118" spans="1:9" x14ac:dyDescent="0.2">
      <c r="A15118" s="134">
        <v>46144</v>
      </c>
      <c r="B15118" s="549">
        <f>YEAR(source[[#This Row],[report_date]])</f>
        <v>2026</v>
      </c>
      <c r="C15118" s="128">
        <f t="shared" si="715"/>
        <v>5</v>
      </c>
      <c r="D15118" s="136">
        <f t="shared" si="716"/>
        <v>18</v>
      </c>
      <c r="E15118" s="136">
        <f t="shared" si="717"/>
        <v>2</v>
      </c>
      <c r="F15118" s="128" t="s">
        <v>24</v>
      </c>
      <c r="G15118" s="128" t="s">
        <v>66</v>
      </c>
      <c r="H15118" s="128" t="str">
        <f>VLOOKUP(source[[#This Row],[lending_product_transform]],[3]Mapping!$B$3:$D$37,3,0)</f>
        <v>cashloan</v>
      </c>
      <c r="I15118" s="549">
        <v>335770349</v>
      </c>
    </row>
    <row r="15119" spans="1:9" x14ac:dyDescent="0.2">
      <c r="A15119" s="134">
        <v>46144</v>
      </c>
      <c r="B15119" s="549">
        <f>YEAR(source[[#This Row],[report_date]])</f>
        <v>2026</v>
      </c>
      <c r="C15119" s="128">
        <f t="shared" si="715"/>
        <v>5</v>
      </c>
      <c r="D15119" s="136">
        <f t="shared" si="716"/>
        <v>18</v>
      </c>
      <c r="E15119" s="136">
        <f t="shared" si="717"/>
        <v>2</v>
      </c>
      <c r="F15119" s="128" t="s">
        <v>24</v>
      </c>
      <c r="G15119" s="128" t="s">
        <v>24</v>
      </c>
      <c r="H15119" s="128" t="str">
        <f>VLOOKUP(source[[#This Row],[lending_product_transform]],[3]Mapping!$B$3:$D$37,3,0)</f>
        <v>cashloan</v>
      </c>
      <c r="I15119" s="549">
        <v>12813960000</v>
      </c>
    </row>
    <row r="15120" spans="1:9" x14ac:dyDescent="0.2">
      <c r="A15120" s="134">
        <v>46144</v>
      </c>
      <c r="B15120" s="549">
        <f>YEAR(source[[#This Row],[report_date]])</f>
        <v>2026</v>
      </c>
      <c r="C15120" s="128">
        <f t="shared" si="715"/>
        <v>5</v>
      </c>
      <c r="D15120" s="136">
        <f t="shared" si="716"/>
        <v>18</v>
      </c>
      <c r="E15120" s="136">
        <f t="shared" si="717"/>
        <v>2</v>
      </c>
      <c r="F15120" s="128" t="s">
        <v>24</v>
      </c>
      <c r="G15120" s="128" t="s">
        <v>67</v>
      </c>
      <c r="H15120" s="128" t="str">
        <f>VLOOKUP(source[[#This Row],[lending_product_transform]],[3]Mapping!$B$3:$D$37,3,0)</f>
        <v>cashloan</v>
      </c>
      <c r="I15120" s="549">
        <v>2061329631</v>
      </c>
    </row>
    <row r="15121" spans="1:9" x14ac:dyDescent="0.2">
      <c r="A15121" s="134">
        <v>46144</v>
      </c>
      <c r="B15121" s="549">
        <f>YEAR(source[[#This Row],[report_date]])</f>
        <v>2026</v>
      </c>
      <c r="C15121" s="128">
        <f t="shared" si="715"/>
        <v>5</v>
      </c>
      <c r="D15121" s="136">
        <f t="shared" si="716"/>
        <v>18</v>
      </c>
      <c r="E15121" s="136">
        <f t="shared" si="717"/>
        <v>2</v>
      </c>
      <c r="F15121" s="128" t="s">
        <v>24</v>
      </c>
      <c r="G15121" s="128" t="s">
        <v>28</v>
      </c>
      <c r="H15121" s="128" t="str">
        <f>VLOOKUP(source[[#This Row],[lending_product_transform]],[3]Mapping!$B$3:$D$37,3,0)</f>
        <v>cashloan</v>
      </c>
      <c r="I15121" s="549">
        <v>15123888000</v>
      </c>
    </row>
    <row r="15122" spans="1:9" x14ac:dyDescent="0.2">
      <c r="A15122" s="134">
        <v>46144</v>
      </c>
      <c r="B15122" s="549">
        <f>YEAR(source[[#This Row],[report_date]])</f>
        <v>2026</v>
      </c>
      <c r="C15122" s="128">
        <f t="shared" si="715"/>
        <v>5</v>
      </c>
      <c r="D15122" s="136">
        <f t="shared" si="716"/>
        <v>18</v>
      </c>
      <c r="E15122" s="136">
        <f t="shared" si="717"/>
        <v>2</v>
      </c>
      <c r="F15122" s="128" t="s">
        <v>24</v>
      </c>
      <c r="G15122" s="128" t="s">
        <v>208</v>
      </c>
      <c r="H15122" s="128" t="str">
        <f>VLOOKUP(source[[#This Row],[lending_product_transform]],[3]Mapping!$B$3:$D$37,3,0)</f>
        <v>cashloan</v>
      </c>
      <c r="I15122" s="549">
        <v>0</v>
      </c>
    </row>
    <row r="15123" spans="1:9" x14ac:dyDescent="0.2">
      <c r="A15123" s="134">
        <v>46144</v>
      </c>
      <c r="B15123" s="549">
        <f>YEAR(source[[#This Row],[report_date]])</f>
        <v>2026</v>
      </c>
      <c r="C15123" s="128">
        <f t="shared" si="715"/>
        <v>5</v>
      </c>
      <c r="D15123" s="136">
        <f t="shared" si="716"/>
        <v>18</v>
      </c>
      <c r="E15123" s="136">
        <f t="shared" si="717"/>
        <v>2</v>
      </c>
      <c r="F15123" s="128" t="s">
        <v>24</v>
      </c>
      <c r="G15123" s="128" t="s">
        <v>60</v>
      </c>
      <c r="H15123" s="128" t="str">
        <f>VLOOKUP(source[[#This Row],[lending_product_transform]],[3]Mapping!$B$3:$D$37,3,0)</f>
        <v>cashloan</v>
      </c>
      <c r="I15123" s="549">
        <v>0</v>
      </c>
    </row>
    <row r="15124" spans="1:9" x14ac:dyDescent="0.2">
      <c r="A15124" s="134">
        <v>46144</v>
      </c>
      <c r="B15124" s="549">
        <f>YEAR(source[[#This Row],[report_date]])</f>
        <v>2026</v>
      </c>
      <c r="C15124" s="128">
        <f t="shared" si="715"/>
        <v>5</v>
      </c>
      <c r="D15124" s="136">
        <f t="shared" si="716"/>
        <v>18</v>
      </c>
      <c r="E15124" s="136">
        <f t="shared" si="717"/>
        <v>2</v>
      </c>
      <c r="F15124" s="128" t="s">
        <v>24</v>
      </c>
      <c r="G15124" s="128" t="s">
        <v>36</v>
      </c>
      <c r="H15124" s="128" t="str">
        <f>VLOOKUP(source[[#This Row],[lending_product_transform]],[3]Mapping!$B$3:$D$37,3,0)</f>
        <v>cashloan</v>
      </c>
      <c r="I15124" s="549">
        <v>2596130000</v>
      </c>
    </row>
    <row r="15125" spans="1:9" x14ac:dyDescent="0.2">
      <c r="A15125" s="134">
        <v>46144</v>
      </c>
      <c r="B15125" s="549">
        <f>YEAR(source[[#This Row],[report_date]])</f>
        <v>2026</v>
      </c>
      <c r="C15125" s="128">
        <f t="shared" si="715"/>
        <v>5</v>
      </c>
      <c r="D15125" s="136">
        <f t="shared" si="716"/>
        <v>18</v>
      </c>
      <c r="E15125" s="136">
        <f t="shared" si="717"/>
        <v>2</v>
      </c>
      <c r="F15125" s="128" t="s">
        <v>24</v>
      </c>
      <c r="G15125" s="128" t="s">
        <v>36</v>
      </c>
      <c r="H15125" s="128" t="str">
        <f>VLOOKUP(source[[#This Row],[lending_product_transform]],[3]Mapping!$B$3:$D$37,3,0)</f>
        <v>cashloan</v>
      </c>
      <c r="I15125" s="549">
        <v>696480000</v>
      </c>
    </row>
    <row r="15126" spans="1:9" x14ac:dyDescent="0.2">
      <c r="A15126" s="134">
        <v>46144</v>
      </c>
      <c r="B15126" s="549">
        <f>YEAR(source[[#This Row],[report_date]])</f>
        <v>2026</v>
      </c>
      <c r="C15126" s="128">
        <f t="shared" si="715"/>
        <v>5</v>
      </c>
      <c r="D15126" s="136">
        <f t="shared" si="716"/>
        <v>18</v>
      </c>
      <c r="E15126" s="136">
        <f t="shared" si="717"/>
        <v>2</v>
      </c>
      <c r="F15126" s="128" t="s">
        <v>24</v>
      </c>
      <c r="G15126" s="128" t="s">
        <v>176</v>
      </c>
      <c r="H15126" s="128" t="str">
        <f>VLOOKUP(source[[#This Row],[lending_product_transform]],[3]Mapping!$B$3:$D$37,3,0)</f>
        <v>cashloan</v>
      </c>
      <c r="I15126" s="549">
        <v>12425811</v>
      </c>
    </row>
    <row r="15127" spans="1:9" x14ac:dyDescent="0.2">
      <c r="A15127" s="134">
        <v>46144</v>
      </c>
      <c r="B15127" s="549">
        <f>YEAR(source[[#This Row],[report_date]])</f>
        <v>2026</v>
      </c>
      <c r="C15127" s="128">
        <f t="shared" si="715"/>
        <v>5</v>
      </c>
      <c r="D15127" s="136">
        <f t="shared" si="716"/>
        <v>18</v>
      </c>
      <c r="E15127" s="136">
        <f t="shared" si="717"/>
        <v>2</v>
      </c>
      <c r="F15127" s="128" t="s">
        <v>24</v>
      </c>
      <c r="G15127" s="128" t="s">
        <v>176</v>
      </c>
      <c r="H15127" s="128" t="str">
        <f>VLOOKUP(source[[#This Row],[lending_product_transform]],[3]Mapping!$B$3:$D$37,3,0)</f>
        <v>cashloan</v>
      </c>
      <c r="I15127" s="549">
        <v>1338237382</v>
      </c>
    </row>
    <row r="15128" spans="1:9" x14ac:dyDescent="0.2">
      <c r="A15128" s="134">
        <v>46144</v>
      </c>
      <c r="B15128" s="549">
        <f>YEAR(source[[#This Row],[report_date]])</f>
        <v>2026</v>
      </c>
      <c r="C15128" s="128">
        <f t="shared" si="715"/>
        <v>5</v>
      </c>
      <c r="D15128" s="136">
        <f t="shared" si="716"/>
        <v>18</v>
      </c>
      <c r="E15128" s="136">
        <f t="shared" si="717"/>
        <v>2</v>
      </c>
      <c r="F15128" s="128" t="s">
        <v>24</v>
      </c>
      <c r="G15128" s="128" t="s">
        <v>206</v>
      </c>
      <c r="H15128" s="128" t="str">
        <f>VLOOKUP(source[[#This Row],[lending_product_transform]],[3]Mapping!$B$3:$D$37,3,0)</f>
        <v>cashloan</v>
      </c>
      <c r="I15128" s="549">
        <v>0</v>
      </c>
    </row>
    <row r="15129" spans="1:9" x14ac:dyDescent="0.2">
      <c r="A15129" s="134">
        <v>46144</v>
      </c>
      <c r="B15129" s="549">
        <f>YEAR(source[[#This Row],[report_date]])</f>
        <v>2026</v>
      </c>
      <c r="C15129" s="128">
        <f t="shared" si="715"/>
        <v>5</v>
      </c>
      <c r="D15129" s="136">
        <f t="shared" si="716"/>
        <v>18</v>
      </c>
      <c r="E15129" s="136">
        <f t="shared" si="717"/>
        <v>2</v>
      </c>
      <c r="F15129" s="128" t="s">
        <v>24</v>
      </c>
      <c r="G15129" s="128" t="s">
        <v>209</v>
      </c>
      <c r="H15129" s="128" t="str">
        <f>VLOOKUP(source[[#This Row],[lending_product_transform]],[3]Mapping!$B$3:$D$37,3,0)</f>
        <v>cashloan</v>
      </c>
      <c r="I15129" s="549">
        <v>15750000</v>
      </c>
    </row>
    <row r="15130" spans="1:9" x14ac:dyDescent="0.2">
      <c r="A15130" s="134">
        <v>46144</v>
      </c>
      <c r="B15130" s="549">
        <f>YEAR(source[[#This Row],[report_date]])</f>
        <v>2026</v>
      </c>
      <c r="C15130" s="128">
        <f t="shared" si="715"/>
        <v>5</v>
      </c>
      <c r="D15130" s="136">
        <f t="shared" si="716"/>
        <v>18</v>
      </c>
      <c r="E15130" s="136">
        <f t="shared" si="717"/>
        <v>2</v>
      </c>
      <c r="F15130" s="128" t="s">
        <v>24</v>
      </c>
      <c r="G15130" s="128" t="s">
        <v>209</v>
      </c>
      <c r="H15130" s="128" t="str">
        <f>VLOOKUP(source[[#This Row],[lending_product_transform]],[3]Mapping!$B$3:$D$37,3,0)</f>
        <v>cashloan</v>
      </c>
      <c r="I15130" s="549">
        <v>0</v>
      </c>
    </row>
    <row r="15131" spans="1:9" x14ac:dyDescent="0.2">
      <c r="A15131" s="134">
        <v>46144</v>
      </c>
      <c r="B15131" s="549">
        <f>YEAR(source[[#This Row],[report_date]])</f>
        <v>2026</v>
      </c>
      <c r="C15131" s="128">
        <f t="shared" si="715"/>
        <v>5</v>
      </c>
      <c r="D15131" s="136">
        <f t="shared" si="716"/>
        <v>18</v>
      </c>
      <c r="E15131" s="136">
        <f t="shared" si="717"/>
        <v>2</v>
      </c>
      <c r="F15131" s="128" t="s">
        <v>24</v>
      </c>
      <c r="G15131" s="128" t="s">
        <v>11</v>
      </c>
      <c r="H15131" s="128" t="str">
        <f>VLOOKUP(source[[#This Row],[lending_product_transform]],[3]Mapping!$B$3:$D$37,3,0)</f>
        <v>cashloan</v>
      </c>
      <c r="I15131" s="549">
        <v>15666950000</v>
      </c>
    </row>
    <row r="15132" spans="1:9" x14ac:dyDescent="0.2">
      <c r="A15132" s="134">
        <v>46144</v>
      </c>
      <c r="B15132" s="549">
        <f>YEAR(source[[#This Row],[report_date]])</f>
        <v>2026</v>
      </c>
      <c r="C15132" s="128">
        <f t="shared" si="715"/>
        <v>5</v>
      </c>
      <c r="D15132" s="136">
        <f t="shared" si="716"/>
        <v>18</v>
      </c>
      <c r="E15132" s="136">
        <f t="shared" si="717"/>
        <v>2</v>
      </c>
      <c r="F15132" s="128" t="s">
        <v>24</v>
      </c>
      <c r="G15132" s="128" t="s">
        <v>207</v>
      </c>
      <c r="H15132" s="128" t="str">
        <f>VLOOKUP(source[[#This Row],[lending_product_transform]],[3]Mapping!$B$3:$D$37,3,0)</f>
        <v>cashloan</v>
      </c>
      <c r="I15132" s="549">
        <v>0</v>
      </c>
    </row>
    <row r="15133" spans="1:9" x14ac:dyDescent="0.2">
      <c r="A15133" s="134">
        <v>46144</v>
      </c>
      <c r="B15133" s="549">
        <f>YEAR(source[[#This Row],[report_date]])</f>
        <v>2026</v>
      </c>
      <c r="C15133" s="128">
        <f t="shared" si="715"/>
        <v>5</v>
      </c>
      <c r="D15133" s="136">
        <f t="shared" si="716"/>
        <v>18</v>
      </c>
      <c r="E15133" s="136">
        <f t="shared" si="717"/>
        <v>2</v>
      </c>
      <c r="F15133" s="128" t="s">
        <v>24</v>
      </c>
      <c r="G15133" s="128" t="s">
        <v>207</v>
      </c>
      <c r="H15133" s="128" t="str">
        <f>VLOOKUP(source[[#This Row],[lending_product_transform]],[3]Mapping!$B$3:$D$37,3,0)</f>
        <v>cashloan</v>
      </c>
      <c r="I15133" s="549">
        <v>0</v>
      </c>
    </row>
    <row r="15134" spans="1:9" x14ac:dyDescent="0.2">
      <c r="A15134" s="134">
        <v>46144</v>
      </c>
      <c r="B15134" s="549">
        <f>YEAR(source[[#This Row],[report_date]])</f>
        <v>2026</v>
      </c>
      <c r="C15134" s="128">
        <f t="shared" si="715"/>
        <v>5</v>
      </c>
      <c r="D15134" s="136">
        <f t="shared" si="716"/>
        <v>18</v>
      </c>
      <c r="E15134" s="136">
        <f t="shared" si="717"/>
        <v>2</v>
      </c>
      <c r="F15134" s="128" t="s">
        <v>24</v>
      </c>
      <c r="G15134" s="128" t="s">
        <v>207</v>
      </c>
      <c r="H15134" s="128" t="str">
        <f>VLOOKUP(source[[#This Row],[lending_product_transform]],[3]Mapping!$B$3:$D$37,3,0)</f>
        <v>cashloan</v>
      </c>
      <c r="I15134" s="549">
        <v>0</v>
      </c>
    </row>
    <row r="15135" spans="1:9" x14ac:dyDescent="0.2">
      <c r="A15135" s="134">
        <v>46144</v>
      </c>
      <c r="B15135" s="549">
        <f>YEAR(source[[#This Row],[report_date]])</f>
        <v>2026</v>
      </c>
      <c r="C15135" s="128">
        <f t="shared" si="715"/>
        <v>5</v>
      </c>
      <c r="D15135" s="136">
        <f t="shared" si="716"/>
        <v>18</v>
      </c>
      <c r="E15135" s="136">
        <f t="shared" si="717"/>
        <v>2</v>
      </c>
      <c r="F15135" s="128" t="s">
        <v>24</v>
      </c>
      <c r="G15135" s="128" t="s">
        <v>11</v>
      </c>
      <c r="H15135" s="128" t="str">
        <f>VLOOKUP(source[[#This Row],[lending_product_transform]],[3]Mapping!$B$3:$D$37,3,0)</f>
        <v>cashloan</v>
      </c>
      <c r="I15135" s="549">
        <v>0</v>
      </c>
    </row>
    <row r="15136" spans="1:9" x14ac:dyDescent="0.2">
      <c r="A15136" s="134">
        <v>46144</v>
      </c>
      <c r="B15136" s="549">
        <f>YEAR(source[[#This Row],[report_date]])</f>
        <v>2026</v>
      </c>
      <c r="C15136" s="128">
        <f t="shared" si="715"/>
        <v>5</v>
      </c>
      <c r="D15136" s="136">
        <f t="shared" si="716"/>
        <v>18</v>
      </c>
      <c r="E15136" s="136">
        <f t="shared" si="717"/>
        <v>2</v>
      </c>
      <c r="F15136" s="128" t="s">
        <v>24</v>
      </c>
      <c r="G15136" s="128" t="s">
        <v>19</v>
      </c>
      <c r="H15136" s="128" t="str">
        <f>VLOOKUP(source[[#This Row],[lending_product_transform]],[3]Mapping!$B$3:$D$37,3,0)</f>
        <v>cashloan</v>
      </c>
      <c r="I15136" s="549">
        <v>11171628000</v>
      </c>
    </row>
    <row r="15137" spans="1:9" x14ac:dyDescent="0.2">
      <c r="A15137" s="134">
        <v>46144</v>
      </c>
      <c r="B15137" s="549">
        <f>YEAR(source[[#This Row],[report_date]])</f>
        <v>2026</v>
      </c>
      <c r="C15137" s="128">
        <f t="shared" si="715"/>
        <v>5</v>
      </c>
      <c r="D15137" s="136">
        <f t="shared" si="716"/>
        <v>18</v>
      </c>
      <c r="E15137" s="136">
        <f t="shared" si="717"/>
        <v>2</v>
      </c>
      <c r="F15137" s="128" t="s">
        <v>24</v>
      </c>
      <c r="G15137" s="128" t="s">
        <v>62</v>
      </c>
      <c r="H15137" s="128" t="str">
        <f>VLOOKUP(source[[#This Row],[lending_product_transform]],[3]Mapping!$B$3:$D$37,3,0)</f>
        <v>cashloan</v>
      </c>
      <c r="I15137" s="549">
        <v>372570154</v>
      </c>
    </row>
    <row r="15138" spans="1:9" x14ac:dyDescent="0.2">
      <c r="A15138" s="134">
        <v>46144</v>
      </c>
      <c r="B15138" s="549">
        <f>YEAR(source[[#This Row],[report_date]])</f>
        <v>2026</v>
      </c>
      <c r="C15138" s="128">
        <f t="shared" si="715"/>
        <v>5</v>
      </c>
      <c r="D15138" s="136">
        <f t="shared" si="716"/>
        <v>18</v>
      </c>
      <c r="E15138" s="136">
        <f t="shared" si="717"/>
        <v>2</v>
      </c>
      <c r="F15138" s="128" t="s">
        <v>24</v>
      </c>
      <c r="G15138" s="128" t="s">
        <v>58</v>
      </c>
      <c r="H15138" s="128" t="str">
        <f>VLOOKUP(source[[#This Row],[lending_product_transform]],[3]Mapping!$B$3:$D$37,3,0)</f>
        <v>cashloan</v>
      </c>
      <c r="I15138" s="549">
        <v>67750000</v>
      </c>
    </row>
    <row r="15139" spans="1:9" x14ac:dyDescent="0.2">
      <c r="A15139" s="134">
        <v>46144</v>
      </c>
      <c r="B15139" s="549">
        <f>YEAR(source[[#This Row],[report_date]])</f>
        <v>2026</v>
      </c>
      <c r="C15139" s="128">
        <f t="shared" si="715"/>
        <v>5</v>
      </c>
      <c r="D15139" s="136">
        <f t="shared" si="716"/>
        <v>18</v>
      </c>
      <c r="E15139" s="136">
        <f t="shared" si="717"/>
        <v>2</v>
      </c>
      <c r="F15139" s="128" t="s">
        <v>24</v>
      </c>
      <c r="G15139" s="128" t="s">
        <v>61</v>
      </c>
      <c r="H15139" s="128" t="str">
        <f>VLOOKUP(source[[#This Row],[lending_product_transform]],[3]Mapping!$B$3:$D$37,3,0)</f>
        <v>cashloan</v>
      </c>
      <c r="I15139" s="549">
        <v>85000000</v>
      </c>
    </row>
    <row r="15140" spans="1:9" x14ac:dyDescent="0.2">
      <c r="A15140" s="134">
        <v>46144</v>
      </c>
      <c r="B15140" s="549">
        <f>YEAR(source[[#This Row],[report_date]])</f>
        <v>2026</v>
      </c>
      <c r="C15140" s="128">
        <f t="shared" si="715"/>
        <v>5</v>
      </c>
      <c r="D15140" s="136">
        <f t="shared" si="716"/>
        <v>18</v>
      </c>
      <c r="E15140" s="136">
        <f t="shared" si="717"/>
        <v>2</v>
      </c>
      <c r="F15140" s="128" t="s">
        <v>24</v>
      </c>
      <c r="G15140" s="128" t="s">
        <v>57</v>
      </c>
      <c r="H15140" s="128" t="str">
        <f>VLOOKUP(source[[#This Row],[lending_product_transform]],[3]Mapping!$B$3:$D$37,3,0)</f>
        <v>cashloan</v>
      </c>
      <c r="I15140" s="549">
        <v>802440000</v>
      </c>
    </row>
    <row r="15141" spans="1:9" x14ac:dyDescent="0.2">
      <c r="A15141" s="134">
        <v>46144</v>
      </c>
      <c r="B15141" s="549">
        <f>YEAR(source[[#This Row],[report_date]])</f>
        <v>2026</v>
      </c>
      <c r="C15141" s="128">
        <f t="shared" si="715"/>
        <v>5</v>
      </c>
      <c r="D15141" s="136">
        <f t="shared" si="716"/>
        <v>18</v>
      </c>
      <c r="E15141" s="136">
        <f t="shared" si="717"/>
        <v>2</v>
      </c>
      <c r="F15141" s="128" t="s">
        <v>24</v>
      </c>
      <c r="G15141" s="128" t="s">
        <v>63</v>
      </c>
      <c r="H15141" s="128" t="str">
        <f>VLOOKUP(source[[#This Row],[lending_product_transform]],[3]Mapping!$B$3:$D$37,3,0)</f>
        <v>cashloan</v>
      </c>
      <c r="I15141" s="549">
        <v>270108000</v>
      </c>
    </row>
    <row r="15142" spans="1:9" x14ac:dyDescent="0.2">
      <c r="A15142" s="134">
        <v>46144</v>
      </c>
      <c r="B15142" s="549">
        <f>YEAR(source[[#This Row],[report_date]])</f>
        <v>2026</v>
      </c>
      <c r="C15142" s="128">
        <f t="shared" si="715"/>
        <v>5</v>
      </c>
      <c r="D15142" s="136">
        <f t="shared" si="716"/>
        <v>18</v>
      </c>
      <c r="E15142" s="136">
        <f t="shared" si="717"/>
        <v>2</v>
      </c>
      <c r="F15142" s="128" t="s">
        <v>24</v>
      </c>
      <c r="G15142" s="128" t="s">
        <v>59</v>
      </c>
      <c r="H15142" s="128" t="str">
        <f>VLOOKUP(source[[#This Row],[lending_product_transform]],[3]Mapping!$B$3:$D$37,3,0)</f>
        <v>cashloan</v>
      </c>
      <c r="I15142" s="549">
        <v>563239295</v>
      </c>
    </row>
    <row r="15143" spans="1:9" x14ac:dyDescent="0.2">
      <c r="A15143" s="134">
        <v>46144</v>
      </c>
      <c r="B15143" s="549">
        <f>YEAR(source[[#This Row],[report_date]])</f>
        <v>2026</v>
      </c>
      <c r="C15143" s="128">
        <f t="shared" si="715"/>
        <v>5</v>
      </c>
      <c r="D15143" s="136">
        <f t="shared" si="716"/>
        <v>18</v>
      </c>
      <c r="E15143" s="136">
        <f t="shared" si="717"/>
        <v>2</v>
      </c>
      <c r="F15143" s="128" t="s">
        <v>24</v>
      </c>
      <c r="G15143" s="128" t="s">
        <v>175</v>
      </c>
      <c r="H15143" s="128" t="str">
        <f>VLOOKUP(source[[#This Row],[lending_product_transform]],[3]Mapping!$B$3:$D$37,3,0)</f>
        <v>cashloan</v>
      </c>
      <c r="I15143" s="549">
        <v>5671780000</v>
      </c>
    </row>
    <row r="15144" spans="1:9" x14ac:dyDescent="0.2">
      <c r="A15144" s="134">
        <v>46144</v>
      </c>
      <c r="B15144" s="549">
        <f>YEAR(source[[#This Row],[report_date]])</f>
        <v>2026</v>
      </c>
      <c r="C15144" s="128">
        <f t="shared" si="715"/>
        <v>5</v>
      </c>
      <c r="D15144" s="136">
        <f t="shared" si="716"/>
        <v>18</v>
      </c>
      <c r="E15144" s="136">
        <f t="shared" si="717"/>
        <v>2</v>
      </c>
      <c r="F15144" s="128" t="s">
        <v>24</v>
      </c>
      <c r="G15144" s="128" t="s">
        <v>210</v>
      </c>
      <c r="H15144" s="128" t="str">
        <f>VLOOKUP(source[[#This Row],[lending_product_transform]],[3]Mapping!$B$3:$D$37,3,0)</f>
        <v>cashloan</v>
      </c>
      <c r="I15144" s="549">
        <v>0</v>
      </c>
    </row>
    <row r="15145" spans="1:9" x14ac:dyDescent="0.2">
      <c r="A15145" s="134">
        <v>46145</v>
      </c>
      <c r="B15145" s="549">
        <f>YEAR(source[[#This Row],[report_date]])</f>
        <v>2026</v>
      </c>
      <c r="C15145" s="128">
        <f t="shared" si="715"/>
        <v>5</v>
      </c>
      <c r="D15145" s="136">
        <f t="shared" si="716"/>
        <v>18</v>
      </c>
      <c r="E15145" s="136">
        <f t="shared" si="717"/>
        <v>3</v>
      </c>
      <c r="F15145" s="128" t="s">
        <v>24</v>
      </c>
      <c r="G15145" s="128" t="s">
        <v>65</v>
      </c>
      <c r="H15145" s="128" t="str">
        <f>VLOOKUP(source[[#This Row],[lending_product_transform]],[3]Mapping!$B$3:$D$37,3,0)</f>
        <v>cashloan</v>
      </c>
      <c r="I15145" s="549">
        <v>631420000</v>
      </c>
    </row>
    <row r="15146" spans="1:9" x14ac:dyDescent="0.2">
      <c r="A15146" s="134">
        <v>46145</v>
      </c>
      <c r="B15146" s="549">
        <f>YEAR(source[[#This Row],[report_date]])</f>
        <v>2026</v>
      </c>
      <c r="C15146" s="128">
        <f t="shared" si="715"/>
        <v>5</v>
      </c>
      <c r="D15146" s="136">
        <f t="shared" si="716"/>
        <v>18</v>
      </c>
      <c r="E15146" s="136">
        <f t="shared" si="717"/>
        <v>3</v>
      </c>
      <c r="F15146" s="128" t="s">
        <v>24</v>
      </c>
      <c r="G15146" s="128" t="s">
        <v>66</v>
      </c>
      <c r="H15146" s="128" t="str">
        <f>VLOOKUP(source[[#This Row],[lending_product_transform]],[3]Mapping!$B$3:$D$37,3,0)</f>
        <v>cashloan</v>
      </c>
      <c r="I15146" s="549">
        <v>406585218</v>
      </c>
    </row>
    <row r="15147" spans="1:9" x14ac:dyDescent="0.2">
      <c r="A15147" s="134">
        <v>46145</v>
      </c>
      <c r="B15147" s="549">
        <f>YEAR(source[[#This Row],[report_date]])</f>
        <v>2026</v>
      </c>
      <c r="C15147" s="128">
        <f t="shared" si="715"/>
        <v>5</v>
      </c>
      <c r="D15147" s="136">
        <f t="shared" si="716"/>
        <v>18</v>
      </c>
      <c r="E15147" s="136">
        <f t="shared" si="717"/>
        <v>3</v>
      </c>
      <c r="F15147" s="128" t="s">
        <v>24</v>
      </c>
      <c r="G15147" s="128" t="s">
        <v>24</v>
      </c>
      <c r="H15147" s="128" t="str">
        <f>VLOOKUP(source[[#This Row],[lending_product_transform]],[3]Mapping!$B$3:$D$37,3,0)</f>
        <v>cashloan</v>
      </c>
      <c r="I15147" s="549">
        <v>12572790000</v>
      </c>
    </row>
    <row r="15148" spans="1:9" x14ac:dyDescent="0.2">
      <c r="A15148" s="134">
        <v>46145</v>
      </c>
      <c r="B15148" s="549">
        <f>YEAR(source[[#This Row],[report_date]])</f>
        <v>2026</v>
      </c>
      <c r="C15148" s="128">
        <f t="shared" si="715"/>
        <v>5</v>
      </c>
      <c r="D15148" s="136">
        <f t="shared" si="716"/>
        <v>18</v>
      </c>
      <c r="E15148" s="136">
        <f t="shared" si="717"/>
        <v>3</v>
      </c>
      <c r="F15148" s="128" t="s">
        <v>24</v>
      </c>
      <c r="G15148" s="128" t="s">
        <v>67</v>
      </c>
      <c r="H15148" s="128" t="str">
        <f>VLOOKUP(source[[#This Row],[lending_product_transform]],[3]Mapping!$B$3:$D$37,3,0)</f>
        <v>cashloan</v>
      </c>
      <c r="I15148" s="549">
        <v>1765358512</v>
      </c>
    </row>
    <row r="15149" spans="1:9" x14ac:dyDescent="0.2">
      <c r="A15149" s="134">
        <v>46145</v>
      </c>
      <c r="B15149" s="549">
        <f>YEAR(source[[#This Row],[report_date]])</f>
        <v>2026</v>
      </c>
      <c r="C15149" s="128">
        <f t="shared" si="715"/>
        <v>5</v>
      </c>
      <c r="D15149" s="136">
        <f t="shared" si="716"/>
        <v>18</v>
      </c>
      <c r="E15149" s="136">
        <f t="shared" si="717"/>
        <v>3</v>
      </c>
      <c r="F15149" s="128" t="s">
        <v>24</v>
      </c>
      <c r="G15149" s="128" t="s">
        <v>28</v>
      </c>
      <c r="H15149" s="128" t="str">
        <f>VLOOKUP(source[[#This Row],[lending_product_transform]],[3]Mapping!$B$3:$D$37,3,0)</f>
        <v>cashloan</v>
      </c>
      <c r="I15149" s="549">
        <v>14574600000</v>
      </c>
    </row>
    <row r="15150" spans="1:9" x14ac:dyDescent="0.2">
      <c r="A15150" s="134">
        <v>46145</v>
      </c>
      <c r="B15150" s="549">
        <f>YEAR(source[[#This Row],[report_date]])</f>
        <v>2026</v>
      </c>
      <c r="C15150" s="128">
        <f t="shared" si="715"/>
        <v>5</v>
      </c>
      <c r="D15150" s="136">
        <f t="shared" si="716"/>
        <v>18</v>
      </c>
      <c r="E15150" s="136">
        <f t="shared" si="717"/>
        <v>3</v>
      </c>
      <c r="F15150" s="128" t="s">
        <v>24</v>
      </c>
      <c r="G15150" s="128" t="s">
        <v>208</v>
      </c>
      <c r="H15150" s="128" t="str">
        <f>VLOOKUP(source[[#This Row],[lending_product_transform]],[3]Mapping!$B$3:$D$37,3,0)</f>
        <v>cashloan</v>
      </c>
      <c r="I15150" s="549">
        <v>0</v>
      </c>
    </row>
    <row r="15151" spans="1:9" x14ac:dyDescent="0.2">
      <c r="A15151" s="134">
        <v>46145</v>
      </c>
      <c r="B15151" s="549">
        <f>YEAR(source[[#This Row],[report_date]])</f>
        <v>2026</v>
      </c>
      <c r="C15151" s="128">
        <f t="shared" si="715"/>
        <v>5</v>
      </c>
      <c r="D15151" s="136">
        <f t="shared" si="716"/>
        <v>18</v>
      </c>
      <c r="E15151" s="136">
        <f t="shared" si="717"/>
        <v>3</v>
      </c>
      <c r="F15151" s="128" t="s">
        <v>24</v>
      </c>
      <c r="G15151" s="128" t="s">
        <v>60</v>
      </c>
      <c r="H15151" s="128" t="str">
        <f>VLOOKUP(source[[#This Row],[lending_product_transform]],[3]Mapping!$B$3:$D$37,3,0)</f>
        <v>cashloan</v>
      </c>
      <c r="I15151" s="549">
        <v>0</v>
      </c>
    </row>
    <row r="15152" spans="1:9" x14ac:dyDescent="0.2">
      <c r="A15152" s="134">
        <v>46145</v>
      </c>
      <c r="B15152" s="549">
        <f>YEAR(source[[#This Row],[report_date]])</f>
        <v>2026</v>
      </c>
      <c r="C15152" s="128">
        <f t="shared" si="715"/>
        <v>5</v>
      </c>
      <c r="D15152" s="136">
        <f t="shared" si="716"/>
        <v>18</v>
      </c>
      <c r="E15152" s="136">
        <f t="shared" si="717"/>
        <v>3</v>
      </c>
      <c r="F15152" s="128" t="s">
        <v>24</v>
      </c>
      <c r="G15152" s="128" t="s">
        <v>36</v>
      </c>
      <c r="H15152" s="128" t="str">
        <f>VLOOKUP(source[[#This Row],[lending_product_transform]],[3]Mapping!$B$3:$D$37,3,0)</f>
        <v>cashloan</v>
      </c>
      <c r="I15152" s="549">
        <v>2351960000</v>
      </c>
    </row>
    <row r="15153" spans="1:9" x14ac:dyDescent="0.2">
      <c r="A15153" s="134">
        <v>46145</v>
      </c>
      <c r="B15153" s="549">
        <f>YEAR(source[[#This Row],[report_date]])</f>
        <v>2026</v>
      </c>
      <c r="C15153" s="128">
        <f t="shared" ref="C15153:C15216" si="718">MONTH(A15153)</f>
        <v>5</v>
      </c>
      <c r="D15153" s="136">
        <f t="shared" ref="D15153:D15216" si="719">WEEKNUM(A15153,2)</f>
        <v>18</v>
      </c>
      <c r="E15153" s="136">
        <f t="shared" ref="E15153:E15216" si="720">DAY(A15153)</f>
        <v>3</v>
      </c>
      <c r="F15153" s="128" t="s">
        <v>24</v>
      </c>
      <c r="G15153" s="128" t="s">
        <v>36</v>
      </c>
      <c r="H15153" s="128" t="str">
        <f>VLOOKUP(source[[#This Row],[lending_product_transform]],[3]Mapping!$B$3:$D$37,3,0)</f>
        <v>cashloan</v>
      </c>
      <c r="I15153" s="549">
        <v>845730000</v>
      </c>
    </row>
    <row r="15154" spans="1:9" x14ac:dyDescent="0.2">
      <c r="A15154" s="134">
        <v>46145</v>
      </c>
      <c r="B15154" s="549">
        <f>YEAR(source[[#This Row],[report_date]])</f>
        <v>2026</v>
      </c>
      <c r="C15154" s="128">
        <f t="shared" si="718"/>
        <v>5</v>
      </c>
      <c r="D15154" s="136">
        <f t="shared" si="719"/>
        <v>18</v>
      </c>
      <c r="E15154" s="136">
        <f t="shared" si="720"/>
        <v>3</v>
      </c>
      <c r="F15154" s="128" t="s">
        <v>24</v>
      </c>
      <c r="G15154" s="128" t="s">
        <v>176</v>
      </c>
      <c r="H15154" s="128" t="str">
        <f>VLOOKUP(source[[#This Row],[lending_product_transform]],[3]Mapping!$B$3:$D$37,3,0)</f>
        <v>cashloan</v>
      </c>
      <c r="I15154" s="549">
        <v>23214537</v>
      </c>
    </row>
    <row r="15155" spans="1:9" x14ac:dyDescent="0.2">
      <c r="A15155" s="134">
        <v>46145</v>
      </c>
      <c r="B15155" s="549">
        <f>YEAR(source[[#This Row],[report_date]])</f>
        <v>2026</v>
      </c>
      <c r="C15155" s="128">
        <f t="shared" si="718"/>
        <v>5</v>
      </c>
      <c r="D15155" s="136">
        <f t="shared" si="719"/>
        <v>18</v>
      </c>
      <c r="E15155" s="136">
        <f t="shared" si="720"/>
        <v>3</v>
      </c>
      <c r="F15155" s="128" t="s">
        <v>24</v>
      </c>
      <c r="G15155" s="128" t="s">
        <v>176</v>
      </c>
      <c r="H15155" s="128" t="str">
        <f>VLOOKUP(source[[#This Row],[lending_product_transform]],[3]Mapping!$B$3:$D$37,3,0)</f>
        <v>cashloan</v>
      </c>
      <c r="I15155" s="549">
        <v>1521950737</v>
      </c>
    </row>
    <row r="15156" spans="1:9" x14ac:dyDescent="0.2">
      <c r="A15156" s="134">
        <v>46145</v>
      </c>
      <c r="B15156" s="549">
        <f>YEAR(source[[#This Row],[report_date]])</f>
        <v>2026</v>
      </c>
      <c r="C15156" s="128">
        <f t="shared" si="718"/>
        <v>5</v>
      </c>
      <c r="D15156" s="136">
        <f t="shared" si="719"/>
        <v>18</v>
      </c>
      <c r="E15156" s="136">
        <f t="shared" si="720"/>
        <v>3</v>
      </c>
      <c r="F15156" s="128" t="s">
        <v>24</v>
      </c>
      <c r="G15156" s="128" t="s">
        <v>206</v>
      </c>
      <c r="H15156" s="128" t="str">
        <f>VLOOKUP(source[[#This Row],[lending_product_transform]],[3]Mapping!$B$3:$D$37,3,0)</f>
        <v>cashloan</v>
      </c>
      <c r="I15156" s="549">
        <v>0</v>
      </c>
    </row>
    <row r="15157" spans="1:9" x14ac:dyDescent="0.2">
      <c r="A15157" s="134">
        <v>46145</v>
      </c>
      <c r="B15157" s="549">
        <f>YEAR(source[[#This Row],[report_date]])</f>
        <v>2026</v>
      </c>
      <c r="C15157" s="128">
        <f t="shared" si="718"/>
        <v>5</v>
      </c>
      <c r="D15157" s="136">
        <f t="shared" si="719"/>
        <v>18</v>
      </c>
      <c r="E15157" s="136">
        <f t="shared" si="720"/>
        <v>3</v>
      </c>
      <c r="F15157" s="128" t="s">
        <v>24</v>
      </c>
      <c r="G15157" s="128" t="s">
        <v>209</v>
      </c>
      <c r="H15157" s="128" t="str">
        <f>VLOOKUP(source[[#This Row],[lending_product_transform]],[3]Mapping!$B$3:$D$37,3,0)</f>
        <v>cashloan</v>
      </c>
      <c r="I15157" s="549">
        <v>20000000</v>
      </c>
    </row>
    <row r="15158" spans="1:9" x14ac:dyDescent="0.2">
      <c r="A15158" s="134">
        <v>46145</v>
      </c>
      <c r="B15158" s="549">
        <f>YEAR(source[[#This Row],[report_date]])</f>
        <v>2026</v>
      </c>
      <c r="C15158" s="128">
        <f t="shared" si="718"/>
        <v>5</v>
      </c>
      <c r="D15158" s="136">
        <f t="shared" si="719"/>
        <v>18</v>
      </c>
      <c r="E15158" s="136">
        <f t="shared" si="720"/>
        <v>3</v>
      </c>
      <c r="F15158" s="128" t="s">
        <v>24</v>
      </c>
      <c r="G15158" s="128" t="s">
        <v>209</v>
      </c>
      <c r="H15158" s="128" t="str">
        <f>VLOOKUP(source[[#This Row],[lending_product_transform]],[3]Mapping!$B$3:$D$37,3,0)</f>
        <v>cashloan</v>
      </c>
      <c r="I15158" s="549">
        <v>0</v>
      </c>
    </row>
    <row r="15159" spans="1:9" x14ac:dyDescent="0.2">
      <c r="A15159" s="134">
        <v>46145</v>
      </c>
      <c r="B15159" s="549">
        <f>YEAR(source[[#This Row],[report_date]])</f>
        <v>2026</v>
      </c>
      <c r="C15159" s="128">
        <f t="shared" si="718"/>
        <v>5</v>
      </c>
      <c r="D15159" s="136">
        <f t="shared" si="719"/>
        <v>18</v>
      </c>
      <c r="E15159" s="136">
        <f t="shared" si="720"/>
        <v>3</v>
      </c>
      <c r="F15159" s="128" t="s">
        <v>24</v>
      </c>
      <c r="G15159" s="128" t="s">
        <v>11</v>
      </c>
      <c r="H15159" s="128" t="str">
        <f>VLOOKUP(source[[#This Row],[lending_product_transform]],[3]Mapping!$B$3:$D$37,3,0)</f>
        <v>cashloan</v>
      </c>
      <c r="I15159" s="549">
        <v>13515580000</v>
      </c>
    </row>
    <row r="15160" spans="1:9" x14ac:dyDescent="0.2">
      <c r="A15160" s="134">
        <v>46145</v>
      </c>
      <c r="B15160" s="549">
        <f>YEAR(source[[#This Row],[report_date]])</f>
        <v>2026</v>
      </c>
      <c r="C15160" s="128">
        <f t="shared" si="718"/>
        <v>5</v>
      </c>
      <c r="D15160" s="136">
        <f t="shared" si="719"/>
        <v>18</v>
      </c>
      <c r="E15160" s="136">
        <f t="shared" si="720"/>
        <v>3</v>
      </c>
      <c r="F15160" s="128" t="s">
        <v>24</v>
      </c>
      <c r="G15160" s="128" t="s">
        <v>207</v>
      </c>
      <c r="H15160" s="128" t="str">
        <f>VLOOKUP(source[[#This Row],[lending_product_transform]],[3]Mapping!$B$3:$D$37,3,0)</f>
        <v>cashloan</v>
      </c>
      <c r="I15160" s="549">
        <v>0</v>
      </c>
    </row>
    <row r="15161" spans="1:9" x14ac:dyDescent="0.2">
      <c r="A15161" s="134">
        <v>46145</v>
      </c>
      <c r="B15161" s="549">
        <f>YEAR(source[[#This Row],[report_date]])</f>
        <v>2026</v>
      </c>
      <c r="C15161" s="128">
        <f t="shared" si="718"/>
        <v>5</v>
      </c>
      <c r="D15161" s="136">
        <f t="shared" si="719"/>
        <v>18</v>
      </c>
      <c r="E15161" s="136">
        <f t="shared" si="720"/>
        <v>3</v>
      </c>
      <c r="F15161" s="128" t="s">
        <v>24</v>
      </c>
      <c r="G15161" s="128" t="s">
        <v>207</v>
      </c>
      <c r="H15161" s="128" t="str">
        <f>VLOOKUP(source[[#This Row],[lending_product_transform]],[3]Mapping!$B$3:$D$37,3,0)</f>
        <v>cashloan</v>
      </c>
      <c r="I15161" s="549">
        <v>0</v>
      </c>
    </row>
    <row r="15162" spans="1:9" x14ac:dyDescent="0.2">
      <c r="A15162" s="134">
        <v>46145</v>
      </c>
      <c r="B15162" s="549">
        <f>YEAR(source[[#This Row],[report_date]])</f>
        <v>2026</v>
      </c>
      <c r="C15162" s="128">
        <f t="shared" si="718"/>
        <v>5</v>
      </c>
      <c r="D15162" s="136">
        <f t="shared" si="719"/>
        <v>18</v>
      </c>
      <c r="E15162" s="136">
        <f t="shared" si="720"/>
        <v>3</v>
      </c>
      <c r="F15162" s="128" t="s">
        <v>24</v>
      </c>
      <c r="G15162" s="128" t="s">
        <v>207</v>
      </c>
      <c r="H15162" s="128" t="str">
        <f>VLOOKUP(source[[#This Row],[lending_product_transform]],[3]Mapping!$B$3:$D$37,3,0)</f>
        <v>cashloan</v>
      </c>
      <c r="I15162" s="549">
        <v>0</v>
      </c>
    </row>
    <row r="15163" spans="1:9" x14ac:dyDescent="0.2">
      <c r="A15163" s="134">
        <v>46145</v>
      </c>
      <c r="B15163" s="549">
        <f>YEAR(source[[#This Row],[report_date]])</f>
        <v>2026</v>
      </c>
      <c r="C15163" s="128">
        <f t="shared" si="718"/>
        <v>5</v>
      </c>
      <c r="D15163" s="136">
        <f t="shared" si="719"/>
        <v>18</v>
      </c>
      <c r="E15163" s="136">
        <f t="shared" si="720"/>
        <v>3</v>
      </c>
      <c r="F15163" s="128" t="s">
        <v>24</v>
      </c>
      <c r="G15163" s="128" t="s">
        <v>11</v>
      </c>
      <c r="H15163" s="128" t="str">
        <f>VLOOKUP(source[[#This Row],[lending_product_transform]],[3]Mapping!$B$3:$D$37,3,0)</f>
        <v>cashloan</v>
      </c>
      <c r="I15163" s="549">
        <v>0</v>
      </c>
    </row>
    <row r="15164" spans="1:9" x14ac:dyDescent="0.2">
      <c r="A15164" s="134">
        <v>46145</v>
      </c>
      <c r="B15164" s="549">
        <f>YEAR(source[[#This Row],[report_date]])</f>
        <v>2026</v>
      </c>
      <c r="C15164" s="128">
        <f t="shared" si="718"/>
        <v>5</v>
      </c>
      <c r="D15164" s="136">
        <f t="shared" si="719"/>
        <v>18</v>
      </c>
      <c r="E15164" s="136">
        <f t="shared" si="720"/>
        <v>3</v>
      </c>
      <c r="F15164" s="128" t="s">
        <v>24</v>
      </c>
      <c r="G15164" s="128" t="s">
        <v>19</v>
      </c>
      <c r="H15164" s="128" t="str">
        <f>VLOOKUP(source[[#This Row],[lending_product_transform]],[3]Mapping!$B$3:$D$37,3,0)</f>
        <v>cashloan</v>
      </c>
      <c r="I15164" s="549">
        <v>11118276000</v>
      </c>
    </row>
    <row r="15165" spans="1:9" x14ac:dyDescent="0.2">
      <c r="A15165" s="134">
        <v>46145</v>
      </c>
      <c r="B15165" s="549">
        <f>YEAR(source[[#This Row],[report_date]])</f>
        <v>2026</v>
      </c>
      <c r="C15165" s="128">
        <f t="shared" si="718"/>
        <v>5</v>
      </c>
      <c r="D15165" s="136">
        <f t="shared" si="719"/>
        <v>18</v>
      </c>
      <c r="E15165" s="136">
        <f t="shared" si="720"/>
        <v>3</v>
      </c>
      <c r="F15165" s="128" t="s">
        <v>24</v>
      </c>
      <c r="G15165" s="128" t="s">
        <v>62</v>
      </c>
      <c r="H15165" s="128" t="str">
        <f>VLOOKUP(source[[#This Row],[lending_product_transform]],[3]Mapping!$B$3:$D$37,3,0)</f>
        <v>cashloan</v>
      </c>
      <c r="I15165" s="549">
        <v>417087324</v>
      </c>
    </row>
    <row r="15166" spans="1:9" x14ac:dyDescent="0.2">
      <c r="A15166" s="134">
        <v>46145</v>
      </c>
      <c r="B15166" s="549">
        <f>YEAR(source[[#This Row],[report_date]])</f>
        <v>2026</v>
      </c>
      <c r="C15166" s="128">
        <f t="shared" si="718"/>
        <v>5</v>
      </c>
      <c r="D15166" s="136">
        <f t="shared" si="719"/>
        <v>18</v>
      </c>
      <c r="E15166" s="136">
        <f t="shared" si="720"/>
        <v>3</v>
      </c>
      <c r="F15166" s="128" t="s">
        <v>24</v>
      </c>
      <c r="G15166" s="128" t="s">
        <v>58</v>
      </c>
      <c r="H15166" s="128" t="str">
        <f>VLOOKUP(source[[#This Row],[lending_product_transform]],[3]Mapping!$B$3:$D$37,3,0)</f>
        <v>cashloan</v>
      </c>
      <c r="I15166" s="549">
        <v>10500000</v>
      </c>
    </row>
    <row r="15167" spans="1:9" x14ac:dyDescent="0.2">
      <c r="A15167" s="134">
        <v>46145</v>
      </c>
      <c r="B15167" s="549">
        <f>YEAR(source[[#This Row],[report_date]])</f>
        <v>2026</v>
      </c>
      <c r="C15167" s="128">
        <f t="shared" si="718"/>
        <v>5</v>
      </c>
      <c r="D15167" s="136">
        <f t="shared" si="719"/>
        <v>18</v>
      </c>
      <c r="E15167" s="136">
        <f t="shared" si="720"/>
        <v>3</v>
      </c>
      <c r="F15167" s="128" t="s">
        <v>24</v>
      </c>
      <c r="G15167" s="128" t="s">
        <v>61</v>
      </c>
      <c r="H15167" s="128" t="str">
        <f>VLOOKUP(source[[#This Row],[lending_product_transform]],[3]Mapping!$B$3:$D$37,3,0)</f>
        <v>cashloan</v>
      </c>
      <c r="I15167" s="549">
        <v>43000000</v>
      </c>
    </row>
    <row r="15168" spans="1:9" x14ac:dyDescent="0.2">
      <c r="A15168" s="134">
        <v>46145</v>
      </c>
      <c r="B15168" s="549">
        <f>YEAR(source[[#This Row],[report_date]])</f>
        <v>2026</v>
      </c>
      <c r="C15168" s="128">
        <f t="shared" si="718"/>
        <v>5</v>
      </c>
      <c r="D15168" s="136">
        <f t="shared" si="719"/>
        <v>18</v>
      </c>
      <c r="E15168" s="136">
        <f t="shared" si="720"/>
        <v>3</v>
      </c>
      <c r="F15168" s="128" t="s">
        <v>24</v>
      </c>
      <c r="G15168" s="128" t="s">
        <v>57</v>
      </c>
      <c r="H15168" s="128" t="str">
        <f>VLOOKUP(source[[#This Row],[lending_product_transform]],[3]Mapping!$B$3:$D$37,3,0)</f>
        <v>cashloan</v>
      </c>
      <c r="I15168" s="549">
        <v>817730000</v>
      </c>
    </row>
    <row r="15169" spans="1:9" x14ac:dyDescent="0.2">
      <c r="A15169" s="134">
        <v>46145</v>
      </c>
      <c r="B15169" s="549">
        <f>YEAR(source[[#This Row],[report_date]])</f>
        <v>2026</v>
      </c>
      <c r="C15169" s="128">
        <f t="shared" si="718"/>
        <v>5</v>
      </c>
      <c r="D15169" s="136">
        <f t="shared" si="719"/>
        <v>18</v>
      </c>
      <c r="E15169" s="136">
        <f t="shared" si="720"/>
        <v>3</v>
      </c>
      <c r="F15169" s="128" t="s">
        <v>24</v>
      </c>
      <c r="G15169" s="128" t="s">
        <v>63</v>
      </c>
      <c r="H15169" s="128" t="str">
        <f>VLOOKUP(source[[#This Row],[lending_product_transform]],[3]Mapping!$B$3:$D$37,3,0)</f>
        <v>cashloan</v>
      </c>
      <c r="I15169" s="549">
        <v>298620000</v>
      </c>
    </row>
    <row r="15170" spans="1:9" x14ac:dyDescent="0.2">
      <c r="A15170" s="134">
        <v>46145</v>
      </c>
      <c r="B15170" s="549">
        <f>YEAR(source[[#This Row],[report_date]])</f>
        <v>2026</v>
      </c>
      <c r="C15170" s="128">
        <f t="shared" si="718"/>
        <v>5</v>
      </c>
      <c r="D15170" s="136">
        <f t="shared" si="719"/>
        <v>18</v>
      </c>
      <c r="E15170" s="136">
        <f t="shared" si="720"/>
        <v>3</v>
      </c>
      <c r="F15170" s="128" t="s">
        <v>24</v>
      </c>
      <c r="G15170" s="128" t="s">
        <v>59</v>
      </c>
      <c r="H15170" s="128" t="str">
        <f>VLOOKUP(source[[#This Row],[lending_product_transform]],[3]Mapping!$B$3:$D$37,3,0)</f>
        <v>cashloan</v>
      </c>
      <c r="I15170" s="549">
        <v>852749804</v>
      </c>
    </row>
    <row r="15171" spans="1:9" x14ac:dyDescent="0.2">
      <c r="A15171" s="134">
        <v>46145</v>
      </c>
      <c r="B15171" s="549">
        <f>YEAR(source[[#This Row],[report_date]])</f>
        <v>2026</v>
      </c>
      <c r="C15171" s="128">
        <f t="shared" si="718"/>
        <v>5</v>
      </c>
      <c r="D15171" s="136">
        <f t="shared" si="719"/>
        <v>18</v>
      </c>
      <c r="E15171" s="136">
        <f t="shared" si="720"/>
        <v>3</v>
      </c>
      <c r="F15171" s="128" t="s">
        <v>24</v>
      </c>
      <c r="G15171" s="128" t="s">
        <v>175</v>
      </c>
      <c r="H15171" s="128" t="str">
        <f>VLOOKUP(source[[#This Row],[lending_product_transform]],[3]Mapping!$B$3:$D$37,3,0)</f>
        <v>cashloan</v>
      </c>
      <c r="I15171" s="549">
        <v>6642240000</v>
      </c>
    </row>
    <row r="15172" spans="1:9" x14ac:dyDescent="0.2">
      <c r="A15172" s="134">
        <v>46145</v>
      </c>
      <c r="B15172" s="549">
        <f>YEAR(source[[#This Row],[report_date]])</f>
        <v>2026</v>
      </c>
      <c r="C15172" s="128">
        <f t="shared" si="718"/>
        <v>5</v>
      </c>
      <c r="D15172" s="136">
        <f t="shared" si="719"/>
        <v>18</v>
      </c>
      <c r="E15172" s="136">
        <f t="shared" si="720"/>
        <v>3</v>
      </c>
      <c r="F15172" s="128" t="s">
        <v>24</v>
      </c>
      <c r="G15172" s="128" t="s">
        <v>210</v>
      </c>
      <c r="H15172" s="128" t="str">
        <f>VLOOKUP(source[[#This Row],[lending_product_transform]],[3]Mapping!$B$3:$D$37,3,0)</f>
        <v>cashloan</v>
      </c>
      <c r="I15172" s="549">
        <v>0</v>
      </c>
    </row>
    <row r="15173" spans="1:9" x14ac:dyDescent="0.2">
      <c r="A15173" s="134">
        <v>46146</v>
      </c>
      <c r="B15173" s="549">
        <f>YEAR(source[[#This Row],[report_date]])</f>
        <v>2026</v>
      </c>
      <c r="C15173" s="128">
        <f t="shared" si="718"/>
        <v>5</v>
      </c>
      <c r="D15173" s="136">
        <f t="shared" si="719"/>
        <v>19</v>
      </c>
      <c r="E15173" s="136">
        <f t="shared" si="720"/>
        <v>4</v>
      </c>
      <c r="F15173" s="128" t="s">
        <v>24</v>
      </c>
      <c r="G15173" s="128" t="s">
        <v>65</v>
      </c>
      <c r="H15173" s="128" t="str">
        <f>VLOOKUP(source[[#This Row],[lending_product_transform]],[3]Mapping!$B$3:$D$37,3,0)</f>
        <v>cashloan</v>
      </c>
      <c r="I15173" s="549">
        <v>873460000</v>
      </c>
    </row>
    <row r="15174" spans="1:9" x14ac:dyDescent="0.2">
      <c r="A15174" s="134">
        <v>46146</v>
      </c>
      <c r="B15174" s="549">
        <f>YEAR(source[[#This Row],[report_date]])</f>
        <v>2026</v>
      </c>
      <c r="C15174" s="128">
        <f t="shared" si="718"/>
        <v>5</v>
      </c>
      <c r="D15174" s="136">
        <f t="shared" si="719"/>
        <v>19</v>
      </c>
      <c r="E15174" s="136">
        <f t="shared" si="720"/>
        <v>4</v>
      </c>
      <c r="F15174" s="128" t="s">
        <v>24</v>
      </c>
      <c r="G15174" s="128" t="s">
        <v>66</v>
      </c>
      <c r="H15174" s="128" t="str">
        <f>VLOOKUP(source[[#This Row],[lending_product_transform]],[3]Mapping!$B$3:$D$37,3,0)</f>
        <v>cashloan</v>
      </c>
      <c r="I15174" s="549">
        <v>405269917</v>
      </c>
    </row>
    <row r="15175" spans="1:9" x14ac:dyDescent="0.2">
      <c r="A15175" s="134">
        <v>46146</v>
      </c>
      <c r="B15175" s="549">
        <f>YEAR(source[[#This Row],[report_date]])</f>
        <v>2026</v>
      </c>
      <c r="C15175" s="128">
        <f t="shared" si="718"/>
        <v>5</v>
      </c>
      <c r="D15175" s="136">
        <f t="shared" si="719"/>
        <v>19</v>
      </c>
      <c r="E15175" s="136">
        <f t="shared" si="720"/>
        <v>4</v>
      </c>
      <c r="F15175" s="128" t="s">
        <v>24</v>
      </c>
      <c r="G15175" s="128" t="s">
        <v>24</v>
      </c>
      <c r="H15175" s="128" t="str">
        <f>VLOOKUP(source[[#This Row],[lending_product_transform]],[3]Mapping!$B$3:$D$37,3,0)</f>
        <v>cashloan</v>
      </c>
      <c r="I15175" s="549">
        <v>18897230000</v>
      </c>
    </row>
    <row r="15176" spans="1:9" x14ac:dyDescent="0.2">
      <c r="A15176" s="134">
        <v>46146</v>
      </c>
      <c r="B15176" s="549">
        <f>YEAR(source[[#This Row],[report_date]])</f>
        <v>2026</v>
      </c>
      <c r="C15176" s="128">
        <f t="shared" si="718"/>
        <v>5</v>
      </c>
      <c r="D15176" s="136">
        <f t="shared" si="719"/>
        <v>19</v>
      </c>
      <c r="E15176" s="136">
        <f t="shared" si="720"/>
        <v>4</v>
      </c>
      <c r="F15176" s="128" t="s">
        <v>24</v>
      </c>
      <c r="G15176" s="128" t="s">
        <v>67</v>
      </c>
      <c r="H15176" s="128" t="str">
        <f>VLOOKUP(source[[#This Row],[lending_product_transform]],[3]Mapping!$B$3:$D$37,3,0)</f>
        <v>cashloan</v>
      </c>
      <c r="I15176" s="549">
        <v>2980771990</v>
      </c>
    </row>
    <row r="15177" spans="1:9" x14ac:dyDescent="0.2">
      <c r="A15177" s="134">
        <v>46146</v>
      </c>
      <c r="B15177" s="549">
        <f>YEAR(source[[#This Row],[report_date]])</f>
        <v>2026</v>
      </c>
      <c r="C15177" s="128">
        <f t="shared" si="718"/>
        <v>5</v>
      </c>
      <c r="D15177" s="136">
        <f t="shared" si="719"/>
        <v>19</v>
      </c>
      <c r="E15177" s="136">
        <f t="shared" si="720"/>
        <v>4</v>
      </c>
      <c r="F15177" s="128" t="s">
        <v>24</v>
      </c>
      <c r="G15177" s="128" t="s">
        <v>28</v>
      </c>
      <c r="H15177" s="128" t="str">
        <f>VLOOKUP(source[[#This Row],[lending_product_transform]],[3]Mapping!$B$3:$D$37,3,0)</f>
        <v>cashloan</v>
      </c>
      <c r="I15177" s="549">
        <v>16421400000</v>
      </c>
    </row>
    <row r="15178" spans="1:9" x14ac:dyDescent="0.2">
      <c r="A15178" s="134">
        <v>46146</v>
      </c>
      <c r="B15178" s="549">
        <f>YEAR(source[[#This Row],[report_date]])</f>
        <v>2026</v>
      </c>
      <c r="C15178" s="128">
        <f t="shared" si="718"/>
        <v>5</v>
      </c>
      <c r="D15178" s="136">
        <f t="shared" si="719"/>
        <v>19</v>
      </c>
      <c r="E15178" s="136">
        <f t="shared" si="720"/>
        <v>4</v>
      </c>
      <c r="F15178" s="128" t="s">
        <v>24</v>
      </c>
      <c r="G15178" s="128" t="s">
        <v>208</v>
      </c>
      <c r="H15178" s="128" t="str">
        <f>VLOOKUP(source[[#This Row],[lending_product_transform]],[3]Mapping!$B$3:$D$37,3,0)</f>
        <v>cashloan</v>
      </c>
      <c r="I15178" s="549">
        <v>0</v>
      </c>
    </row>
    <row r="15179" spans="1:9" x14ac:dyDescent="0.2">
      <c r="A15179" s="134">
        <v>46146</v>
      </c>
      <c r="B15179" s="549">
        <f>YEAR(source[[#This Row],[report_date]])</f>
        <v>2026</v>
      </c>
      <c r="C15179" s="128">
        <f t="shared" si="718"/>
        <v>5</v>
      </c>
      <c r="D15179" s="136">
        <f t="shared" si="719"/>
        <v>19</v>
      </c>
      <c r="E15179" s="136">
        <f t="shared" si="720"/>
        <v>4</v>
      </c>
      <c r="F15179" s="128" t="s">
        <v>24</v>
      </c>
      <c r="G15179" s="128" t="s">
        <v>60</v>
      </c>
      <c r="H15179" s="128" t="str">
        <f>VLOOKUP(source[[#This Row],[lending_product_transform]],[3]Mapping!$B$3:$D$37,3,0)</f>
        <v>cashloan</v>
      </c>
      <c r="I15179" s="549">
        <v>0</v>
      </c>
    </row>
    <row r="15180" spans="1:9" x14ac:dyDescent="0.2">
      <c r="A15180" s="134">
        <v>46146</v>
      </c>
      <c r="B15180" s="549">
        <f>YEAR(source[[#This Row],[report_date]])</f>
        <v>2026</v>
      </c>
      <c r="C15180" s="128">
        <f t="shared" si="718"/>
        <v>5</v>
      </c>
      <c r="D15180" s="136">
        <f t="shared" si="719"/>
        <v>19</v>
      </c>
      <c r="E15180" s="136">
        <f t="shared" si="720"/>
        <v>4</v>
      </c>
      <c r="F15180" s="128" t="s">
        <v>24</v>
      </c>
      <c r="G15180" s="128" t="s">
        <v>36</v>
      </c>
      <c r="H15180" s="128" t="str">
        <f>VLOOKUP(source[[#This Row],[lending_product_transform]],[3]Mapping!$B$3:$D$37,3,0)</f>
        <v>cashloan</v>
      </c>
      <c r="I15180" s="549">
        <v>3375590000</v>
      </c>
    </row>
    <row r="15181" spans="1:9" x14ac:dyDescent="0.2">
      <c r="A15181" s="134">
        <v>46146</v>
      </c>
      <c r="B15181" s="549">
        <f>YEAR(source[[#This Row],[report_date]])</f>
        <v>2026</v>
      </c>
      <c r="C15181" s="128">
        <f t="shared" si="718"/>
        <v>5</v>
      </c>
      <c r="D15181" s="136">
        <f t="shared" si="719"/>
        <v>19</v>
      </c>
      <c r="E15181" s="136">
        <f t="shared" si="720"/>
        <v>4</v>
      </c>
      <c r="F15181" s="128" t="s">
        <v>24</v>
      </c>
      <c r="G15181" s="128" t="s">
        <v>36</v>
      </c>
      <c r="H15181" s="128" t="str">
        <f>VLOOKUP(source[[#This Row],[lending_product_transform]],[3]Mapping!$B$3:$D$37,3,0)</f>
        <v>cashloan</v>
      </c>
      <c r="I15181" s="549">
        <v>934740000</v>
      </c>
    </row>
    <row r="15182" spans="1:9" x14ac:dyDescent="0.2">
      <c r="A15182" s="134">
        <v>46146</v>
      </c>
      <c r="B15182" s="549">
        <f>YEAR(source[[#This Row],[report_date]])</f>
        <v>2026</v>
      </c>
      <c r="C15182" s="128">
        <f t="shared" si="718"/>
        <v>5</v>
      </c>
      <c r="D15182" s="136">
        <f t="shared" si="719"/>
        <v>19</v>
      </c>
      <c r="E15182" s="136">
        <f t="shared" si="720"/>
        <v>4</v>
      </c>
      <c r="F15182" s="128" t="s">
        <v>24</v>
      </c>
      <c r="G15182" s="128" t="s">
        <v>176</v>
      </c>
      <c r="H15182" s="128" t="str">
        <f>VLOOKUP(source[[#This Row],[lending_product_transform]],[3]Mapping!$B$3:$D$37,3,0)</f>
        <v>cashloan</v>
      </c>
      <c r="I15182" s="549">
        <v>10761482</v>
      </c>
    </row>
    <row r="15183" spans="1:9" x14ac:dyDescent="0.2">
      <c r="A15183" s="134">
        <v>46146</v>
      </c>
      <c r="B15183" s="549">
        <f>YEAR(source[[#This Row],[report_date]])</f>
        <v>2026</v>
      </c>
      <c r="C15183" s="128">
        <f t="shared" si="718"/>
        <v>5</v>
      </c>
      <c r="D15183" s="136">
        <f t="shared" si="719"/>
        <v>19</v>
      </c>
      <c r="E15183" s="136">
        <f t="shared" si="720"/>
        <v>4</v>
      </c>
      <c r="F15183" s="128" t="s">
        <v>24</v>
      </c>
      <c r="G15183" s="128" t="s">
        <v>176</v>
      </c>
      <c r="H15183" s="128" t="str">
        <f>VLOOKUP(source[[#This Row],[lending_product_transform]],[3]Mapping!$B$3:$D$37,3,0)</f>
        <v>cashloan</v>
      </c>
      <c r="I15183" s="549">
        <v>1104046954</v>
      </c>
    </row>
    <row r="15184" spans="1:9" x14ac:dyDescent="0.2">
      <c r="A15184" s="134">
        <v>46146</v>
      </c>
      <c r="B15184" s="549">
        <f>YEAR(source[[#This Row],[report_date]])</f>
        <v>2026</v>
      </c>
      <c r="C15184" s="128">
        <f t="shared" si="718"/>
        <v>5</v>
      </c>
      <c r="D15184" s="136">
        <f t="shared" si="719"/>
        <v>19</v>
      </c>
      <c r="E15184" s="136">
        <f t="shared" si="720"/>
        <v>4</v>
      </c>
      <c r="F15184" s="128" t="s">
        <v>24</v>
      </c>
      <c r="G15184" s="128" t="s">
        <v>206</v>
      </c>
      <c r="H15184" s="128" t="str">
        <f>VLOOKUP(source[[#This Row],[lending_product_transform]],[3]Mapping!$B$3:$D$37,3,0)</f>
        <v>cashloan</v>
      </c>
      <c r="I15184" s="549">
        <v>0</v>
      </c>
    </row>
    <row r="15185" spans="1:9" x14ac:dyDescent="0.2">
      <c r="A15185" s="134">
        <v>46146</v>
      </c>
      <c r="B15185" s="549">
        <f>YEAR(source[[#This Row],[report_date]])</f>
        <v>2026</v>
      </c>
      <c r="C15185" s="128">
        <f t="shared" si="718"/>
        <v>5</v>
      </c>
      <c r="D15185" s="136">
        <f t="shared" si="719"/>
        <v>19</v>
      </c>
      <c r="E15185" s="136">
        <f t="shared" si="720"/>
        <v>4</v>
      </c>
      <c r="F15185" s="128" t="s">
        <v>24</v>
      </c>
      <c r="G15185" s="128" t="s">
        <v>209</v>
      </c>
      <c r="H15185" s="128" t="str">
        <f>VLOOKUP(source[[#This Row],[lending_product_transform]],[3]Mapping!$B$3:$D$37,3,0)</f>
        <v>cashloan</v>
      </c>
      <c r="I15185" s="549">
        <v>182250000</v>
      </c>
    </row>
    <row r="15186" spans="1:9" x14ac:dyDescent="0.2">
      <c r="A15186" s="134">
        <v>46146</v>
      </c>
      <c r="B15186" s="549">
        <f>YEAR(source[[#This Row],[report_date]])</f>
        <v>2026</v>
      </c>
      <c r="C15186" s="128">
        <f t="shared" si="718"/>
        <v>5</v>
      </c>
      <c r="D15186" s="136">
        <f t="shared" si="719"/>
        <v>19</v>
      </c>
      <c r="E15186" s="136">
        <f t="shared" si="720"/>
        <v>4</v>
      </c>
      <c r="F15186" s="128" t="s">
        <v>24</v>
      </c>
      <c r="G15186" s="128" t="s">
        <v>209</v>
      </c>
      <c r="H15186" s="128" t="str">
        <f>VLOOKUP(source[[#This Row],[lending_product_transform]],[3]Mapping!$B$3:$D$37,3,0)</f>
        <v>cashloan</v>
      </c>
      <c r="I15186" s="549">
        <v>83430000</v>
      </c>
    </row>
    <row r="15187" spans="1:9" x14ac:dyDescent="0.2">
      <c r="A15187" s="134">
        <v>46146</v>
      </c>
      <c r="B15187" s="549">
        <f>YEAR(source[[#This Row],[report_date]])</f>
        <v>2026</v>
      </c>
      <c r="C15187" s="128">
        <f t="shared" si="718"/>
        <v>5</v>
      </c>
      <c r="D15187" s="136">
        <f t="shared" si="719"/>
        <v>19</v>
      </c>
      <c r="E15187" s="136">
        <f t="shared" si="720"/>
        <v>4</v>
      </c>
      <c r="F15187" s="128" t="s">
        <v>24</v>
      </c>
      <c r="G15187" s="128" t="s">
        <v>11</v>
      </c>
      <c r="H15187" s="128" t="str">
        <f>VLOOKUP(source[[#This Row],[lending_product_transform]],[3]Mapping!$B$3:$D$37,3,0)</f>
        <v>cashloan</v>
      </c>
      <c r="I15187" s="549">
        <v>17324950000</v>
      </c>
    </row>
    <row r="15188" spans="1:9" x14ac:dyDescent="0.2">
      <c r="A15188" s="134">
        <v>46146</v>
      </c>
      <c r="B15188" s="549">
        <f>YEAR(source[[#This Row],[report_date]])</f>
        <v>2026</v>
      </c>
      <c r="C15188" s="128">
        <f t="shared" si="718"/>
        <v>5</v>
      </c>
      <c r="D15188" s="136">
        <f t="shared" si="719"/>
        <v>19</v>
      </c>
      <c r="E15188" s="136">
        <f t="shared" si="720"/>
        <v>4</v>
      </c>
      <c r="F15188" s="128" t="s">
        <v>24</v>
      </c>
      <c r="G15188" s="128" t="s">
        <v>207</v>
      </c>
      <c r="H15188" s="128" t="str">
        <f>VLOOKUP(source[[#This Row],[lending_product_transform]],[3]Mapping!$B$3:$D$37,3,0)</f>
        <v>cashloan</v>
      </c>
      <c r="I15188" s="549">
        <v>0</v>
      </c>
    </row>
    <row r="15189" spans="1:9" x14ac:dyDescent="0.2">
      <c r="A15189" s="134">
        <v>46146</v>
      </c>
      <c r="B15189" s="549">
        <f>YEAR(source[[#This Row],[report_date]])</f>
        <v>2026</v>
      </c>
      <c r="C15189" s="128">
        <f t="shared" si="718"/>
        <v>5</v>
      </c>
      <c r="D15189" s="136">
        <f t="shared" si="719"/>
        <v>19</v>
      </c>
      <c r="E15189" s="136">
        <f t="shared" si="720"/>
        <v>4</v>
      </c>
      <c r="F15189" s="128" t="s">
        <v>24</v>
      </c>
      <c r="G15189" s="128" t="s">
        <v>207</v>
      </c>
      <c r="H15189" s="128" t="str">
        <f>VLOOKUP(source[[#This Row],[lending_product_transform]],[3]Mapping!$B$3:$D$37,3,0)</f>
        <v>cashloan</v>
      </c>
      <c r="I15189" s="549">
        <v>0</v>
      </c>
    </row>
    <row r="15190" spans="1:9" x14ac:dyDescent="0.2">
      <c r="A15190" s="134">
        <v>46146</v>
      </c>
      <c r="B15190" s="549">
        <f>YEAR(source[[#This Row],[report_date]])</f>
        <v>2026</v>
      </c>
      <c r="C15190" s="128">
        <f t="shared" si="718"/>
        <v>5</v>
      </c>
      <c r="D15190" s="136">
        <f t="shared" si="719"/>
        <v>19</v>
      </c>
      <c r="E15190" s="136">
        <f t="shared" si="720"/>
        <v>4</v>
      </c>
      <c r="F15190" s="128" t="s">
        <v>24</v>
      </c>
      <c r="G15190" s="128" t="s">
        <v>207</v>
      </c>
      <c r="H15190" s="128" t="str">
        <f>VLOOKUP(source[[#This Row],[lending_product_transform]],[3]Mapping!$B$3:$D$37,3,0)</f>
        <v>cashloan</v>
      </c>
      <c r="I15190" s="549">
        <v>0</v>
      </c>
    </row>
    <row r="15191" spans="1:9" x14ac:dyDescent="0.2">
      <c r="A15191" s="134">
        <v>46146</v>
      </c>
      <c r="B15191" s="549">
        <f>YEAR(source[[#This Row],[report_date]])</f>
        <v>2026</v>
      </c>
      <c r="C15191" s="128">
        <f t="shared" si="718"/>
        <v>5</v>
      </c>
      <c r="D15191" s="136">
        <f t="shared" si="719"/>
        <v>19</v>
      </c>
      <c r="E15191" s="136">
        <f t="shared" si="720"/>
        <v>4</v>
      </c>
      <c r="F15191" s="128" t="s">
        <v>24</v>
      </c>
      <c r="G15191" s="128" t="s">
        <v>11</v>
      </c>
      <c r="H15191" s="128" t="str">
        <f>VLOOKUP(source[[#This Row],[lending_product_transform]],[3]Mapping!$B$3:$D$37,3,0)</f>
        <v>cashloan</v>
      </c>
      <c r="I15191" s="549">
        <v>0</v>
      </c>
    </row>
    <row r="15192" spans="1:9" x14ac:dyDescent="0.2">
      <c r="A15192" s="134">
        <v>46146</v>
      </c>
      <c r="B15192" s="549">
        <f>YEAR(source[[#This Row],[report_date]])</f>
        <v>2026</v>
      </c>
      <c r="C15192" s="128">
        <f t="shared" si="718"/>
        <v>5</v>
      </c>
      <c r="D15192" s="136">
        <f t="shared" si="719"/>
        <v>19</v>
      </c>
      <c r="E15192" s="136">
        <f t="shared" si="720"/>
        <v>4</v>
      </c>
      <c r="F15192" s="128" t="s">
        <v>24</v>
      </c>
      <c r="G15192" s="128" t="s">
        <v>19</v>
      </c>
      <c r="H15192" s="128" t="str">
        <f>VLOOKUP(source[[#This Row],[lending_product_transform]],[3]Mapping!$B$3:$D$37,3,0)</f>
        <v>cashloan</v>
      </c>
      <c r="I15192" s="549">
        <v>12049776000</v>
      </c>
    </row>
    <row r="15193" spans="1:9" x14ac:dyDescent="0.2">
      <c r="A15193" s="134">
        <v>46146</v>
      </c>
      <c r="B15193" s="549">
        <f>YEAR(source[[#This Row],[report_date]])</f>
        <v>2026</v>
      </c>
      <c r="C15193" s="128">
        <f t="shared" si="718"/>
        <v>5</v>
      </c>
      <c r="D15193" s="136">
        <f t="shared" si="719"/>
        <v>19</v>
      </c>
      <c r="E15193" s="136">
        <f t="shared" si="720"/>
        <v>4</v>
      </c>
      <c r="F15193" s="128" t="s">
        <v>24</v>
      </c>
      <c r="G15193" s="128" t="s">
        <v>62</v>
      </c>
      <c r="H15193" s="128" t="str">
        <f>VLOOKUP(source[[#This Row],[lending_product_transform]],[3]Mapping!$B$3:$D$37,3,0)</f>
        <v>cashloan</v>
      </c>
      <c r="I15193" s="549">
        <v>504483379</v>
      </c>
    </row>
    <row r="15194" spans="1:9" x14ac:dyDescent="0.2">
      <c r="A15194" s="134">
        <v>46146</v>
      </c>
      <c r="B15194" s="549">
        <f>YEAR(source[[#This Row],[report_date]])</f>
        <v>2026</v>
      </c>
      <c r="C15194" s="128">
        <f t="shared" si="718"/>
        <v>5</v>
      </c>
      <c r="D15194" s="136">
        <f t="shared" si="719"/>
        <v>19</v>
      </c>
      <c r="E15194" s="136">
        <f t="shared" si="720"/>
        <v>4</v>
      </c>
      <c r="F15194" s="128" t="s">
        <v>24</v>
      </c>
      <c r="G15194" s="128" t="s">
        <v>58</v>
      </c>
      <c r="H15194" s="128" t="str">
        <f>VLOOKUP(source[[#This Row],[lending_product_transform]],[3]Mapping!$B$3:$D$37,3,0)</f>
        <v>cashloan</v>
      </c>
      <c r="I15194" s="549">
        <v>75900000</v>
      </c>
    </row>
    <row r="15195" spans="1:9" x14ac:dyDescent="0.2">
      <c r="A15195" s="134">
        <v>46146</v>
      </c>
      <c r="B15195" s="549">
        <f>YEAR(source[[#This Row],[report_date]])</f>
        <v>2026</v>
      </c>
      <c r="C15195" s="128">
        <f t="shared" si="718"/>
        <v>5</v>
      </c>
      <c r="D15195" s="136">
        <f t="shared" si="719"/>
        <v>19</v>
      </c>
      <c r="E15195" s="136">
        <f t="shared" si="720"/>
        <v>4</v>
      </c>
      <c r="F15195" s="128" t="s">
        <v>24</v>
      </c>
      <c r="G15195" s="128" t="s">
        <v>61</v>
      </c>
      <c r="H15195" s="128" t="str">
        <f>VLOOKUP(source[[#This Row],[lending_product_transform]],[3]Mapping!$B$3:$D$37,3,0)</f>
        <v>cashloan</v>
      </c>
      <c r="I15195" s="549">
        <v>54000000</v>
      </c>
    </row>
    <row r="15196" spans="1:9" x14ac:dyDescent="0.2">
      <c r="A15196" s="134">
        <v>46146</v>
      </c>
      <c r="B15196" s="549">
        <f>YEAR(source[[#This Row],[report_date]])</f>
        <v>2026</v>
      </c>
      <c r="C15196" s="128">
        <f t="shared" si="718"/>
        <v>5</v>
      </c>
      <c r="D15196" s="136">
        <f t="shared" si="719"/>
        <v>19</v>
      </c>
      <c r="E15196" s="136">
        <f t="shared" si="720"/>
        <v>4</v>
      </c>
      <c r="F15196" s="128" t="s">
        <v>24</v>
      </c>
      <c r="G15196" s="128" t="s">
        <v>57</v>
      </c>
      <c r="H15196" s="128" t="str">
        <f>VLOOKUP(source[[#This Row],[lending_product_transform]],[3]Mapping!$B$3:$D$37,3,0)</f>
        <v>cashloan</v>
      </c>
      <c r="I15196" s="549">
        <v>1160140000</v>
      </c>
    </row>
    <row r="15197" spans="1:9" x14ac:dyDescent="0.2">
      <c r="A15197" s="134">
        <v>46146</v>
      </c>
      <c r="B15197" s="549">
        <f>YEAR(source[[#This Row],[report_date]])</f>
        <v>2026</v>
      </c>
      <c r="C15197" s="128">
        <f t="shared" si="718"/>
        <v>5</v>
      </c>
      <c r="D15197" s="136">
        <f t="shared" si="719"/>
        <v>19</v>
      </c>
      <c r="E15197" s="136">
        <f t="shared" si="720"/>
        <v>4</v>
      </c>
      <c r="F15197" s="128" t="s">
        <v>24</v>
      </c>
      <c r="G15197" s="128" t="s">
        <v>63</v>
      </c>
      <c r="H15197" s="128" t="str">
        <f>VLOOKUP(source[[#This Row],[lending_product_transform]],[3]Mapping!$B$3:$D$37,3,0)</f>
        <v>cashloan</v>
      </c>
      <c r="I15197" s="549">
        <v>367416000</v>
      </c>
    </row>
    <row r="15198" spans="1:9" x14ac:dyDescent="0.2">
      <c r="A15198" s="134">
        <v>46146</v>
      </c>
      <c r="B15198" s="549">
        <f>YEAR(source[[#This Row],[report_date]])</f>
        <v>2026</v>
      </c>
      <c r="C15198" s="128">
        <f t="shared" si="718"/>
        <v>5</v>
      </c>
      <c r="D15198" s="136">
        <f t="shared" si="719"/>
        <v>19</v>
      </c>
      <c r="E15198" s="136">
        <f t="shared" si="720"/>
        <v>4</v>
      </c>
      <c r="F15198" s="128" t="s">
        <v>24</v>
      </c>
      <c r="G15198" s="128" t="s">
        <v>59</v>
      </c>
      <c r="H15198" s="128" t="str">
        <f>VLOOKUP(source[[#This Row],[lending_product_transform]],[3]Mapping!$B$3:$D$37,3,0)</f>
        <v>cashloan</v>
      </c>
      <c r="I15198" s="549">
        <v>1576976769</v>
      </c>
    </row>
    <row r="15199" spans="1:9" x14ac:dyDescent="0.2">
      <c r="A15199" s="134">
        <v>46146</v>
      </c>
      <c r="B15199" s="549">
        <f>YEAR(source[[#This Row],[report_date]])</f>
        <v>2026</v>
      </c>
      <c r="C15199" s="128">
        <f t="shared" si="718"/>
        <v>5</v>
      </c>
      <c r="D15199" s="136">
        <f t="shared" si="719"/>
        <v>19</v>
      </c>
      <c r="E15199" s="136">
        <f t="shared" si="720"/>
        <v>4</v>
      </c>
      <c r="F15199" s="128" t="s">
        <v>24</v>
      </c>
      <c r="G15199" s="128" t="s">
        <v>175</v>
      </c>
      <c r="H15199" s="128" t="str">
        <f>VLOOKUP(source[[#This Row],[lending_product_transform]],[3]Mapping!$B$3:$D$37,3,0)</f>
        <v>cashloan</v>
      </c>
      <c r="I15199" s="549">
        <v>6598760000</v>
      </c>
    </row>
    <row r="15200" spans="1:9" x14ac:dyDescent="0.2">
      <c r="A15200" s="134">
        <v>46146</v>
      </c>
      <c r="B15200" s="549">
        <f>YEAR(source[[#This Row],[report_date]])</f>
        <v>2026</v>
      </c>
      <c r="C15200" s="128">
        <f t="shared" si="718"/>
        <v>5</v>
      </c>
      <c r="D15200" s="136">
        <f t="shared" si="719"/>
        <v>19</v>
      </c>
      <c r="E15200" s="136">
        <f t="shared" si="720"/>
        <v>4</v>
      </c>
      <c r="F15200" s="128" t="s">
        <v>24</v>
      </c>
      <c r="G15200" s="128" t="s">
        <v>210</v>
      </c>
      <c r="H15200" s="128" t="str">
        <f>VLOOKUP(source[[#This Row],[lending_product_transform]],[3]Mapping!$B$3:$D$37,3,0)</f>
        <v>cashloan</v>
      </c>
      <c r="I15200" s="549">
        <v>0</v>
      </c>
    </row>
    <row r="15201" spans="1:9" x14ac:dyDescent="0.2">
      <c r="A15201" s="134">
        <v>46147</v>
      </c>
      <c r="B15201" s="549">
        <f>YEAR(source[[#This Row],[report_date]])</f>
        <v>2026</v>
      </c>
      <c r="C15201" s="128">
        <f t="shared" si="718"/>
        <v>5</v>
      </c>
      <c r="D15201" s="136">
        <f t="shared" si="719"/>
        <v>19</v>
      </c>
      <c r="E15201" s="136">
        <f t="shared" si="720"/>
        <v>5</v>
      </c>
      <c r="F15201" s="128" t="s">
        <v>24</v>
      </c>
      <c r="G15201" s="128" t="s">
        <v>65</v>
      </c>
      <c r="H15201" s="128" t="str">
        <f>VLOOKUP(source[[#This Row],[lending_product_transform]],[3]Mapping!$B$3:$D$37,3,0)</f>
        <v>cashloan</v>
      </c>
      <c r="I15201" s="549">
        <v>902800000</v>
      </c>
    </row>
    <row r="15202" spans="1:9" x14ac:dyDescent="0.2">
      <c r="A15202" s="134">
        <v>46147</v>
      </c>
      <c r="B15202" s="549">
        <f>YEAR(source[[#This Row],[report_date]])</f>
        <v>2026</v>
      </c>
      <c r="C15202" s="128">
        <f t="shared" si="718"/>
        <v>5</v>
      </c>
      <c r="D15202" s="136">
        <f t="shared" si="719"/>
        <v>19</v>
      </c>
      <c r="E15202" s="136">
        <f t="shared" si="720"/>
        <v>5</v>
      </c>
      <c r="F15202" s="128" t="s">
        <v>24</v>
      </c>
      <c r="G15202" s="128" t="s">
        <v>66</v>
      </c>
      <c r="H15202" s="128" t="str">
        <f>VLOOKUP(source[[#This Row],[lending_product_transform]],[3]Mapping!$B$3:$D$37,3,0)</f>
        <v>cashloan</v>
      </c>
      <c r="I15202" s="549">
        <v>592917994</v>
      </c>
    </row>
    <row r="15203" spans="1:9" x14ac:dyDescent="0.2">
      <c r="A15203" s="134">
        <v>46147</v>
      </c>
      <c r="B15203" s="549">
        <f>YEAR(source[[#This Row],[report_date]])</f>
        <v>2026</v>
      </c>
      <c r="C15203" s="128">
        <f t="shared" si="718"/>
        <v>5</v>
      </c>
      <c r="D15203" s="136">
        <f t="shared" si="719"/>
        <v>19</v>
      </c>
      <c r="E15203" s="136">
        <f t="shared" si="720"/>
        <v>5</v>
      </c>
      <c r="F15203" s="128" t="s">
        <v>24</v>
      </c>
      <c r="G15203" s="128" t="s">
        <v>24</v>
      </c>
      <c r="H15203" s="128" t="str">
        <f>VLOOKUP(source[[#This Row],[lending_product_transform]],[3]Mapping!$B$3:$D$37,3,0)</f>
        <v>cashloan</v>
      </c>
      <c r="I15203" s="549">
        <v>15874820000</v>
      </c>
    </row>
    <row r="15204" spans="1:9" x14ac:dyDescent="0.2">
      <c r="A15204" s="134">
        <v>46147</v>
      </c>
      <c r="B15204" s="549">
        <f>YEAR(source[[#This Row],[report_date]])</f>
        <v>2026</v>
      </c>
      <c r="C15204" s="128">
        <f t="shared" si="718"/>
        <v>5</v>
      </c>
      <c r="D15204" s="136">
        <f t="shared" si="719"/>
        <v>19</v>
      </c>
      <c r="E15204" s="136">
        <f t="shared" si="720"/>
        <v>5</v>
      </c>
      <c r="F15204" s="128" t="s">
        <v>24</v>
      </c>
      <c r="G15204" s="128" t="s">
        <v>24</v>
      </c>
      <c r="H15204" s="128" t="str">
        <f>VLOOKUP(source[[#This Row],[lending_product_transform]],[3]Mapping!$B$3:$D$37,3,0)</f>
        <v>cashloan</v>
      </c>
      <c r="I15204" s="549">
        <v>5000000</v>
      </c>
    </row>
    <row r="15205" spans="1:9" x14ac:dyDescent="0.2">
      <c r="A15205" s="134">
        <v>46147</v>
      </c>
      <c r="B15205" s="549">
        <f>YEAR(source[[#This Row],[report_date]])</f>
        <v>2026</v>
      </c>
      <c r="C15205" s="128">
        <f t="shared" si="718"/>
        <v>5</v>
      </c>
      <c r="D15205" s="136">
        <f t="shared" si="719"/>
        <v>19</v>
      </c>
      <c r="E15205" s="136">
        <f t="shared" si="720"/>
        <v>5</v>
      </c>
      <c r="F15205" s="128" t="s">
        <v>24</v>
      </c>
      <c r="G15205" s="128" t="s">
        <v>67</v>
      </c>
      <c r="H15205" s="128" t="str">
        <f>VLOOKUP(source[[#This Row],[lending_product_transform]],[3]Mapping!$B$3:$D$37,3,0)</f>
        <v>cashloan</v>
      </c>
      <c r="I15205" s="549">
        <v>2474404317</v>
      </c>
    </row>
    <row r="15206" spans="1:9" x14ac:dyDescent="0.2">
      <c r="A15206" s="134">
        <v>46147</v>
      </c>
      <c r="B15206" s="549">
        <f>YEAR(source[[#This Row],[report_date]])</f>
        <v>2026</v>
      </c>
      <c r="C15206" s="128">
        <f t="shared" si="718"/>
        <v>5</v>
      </c>
      <c r="D15206" s="136">
        <f t="shared" si="719"/>
        <v>19</v>
      </c>
      <c r="E15206" s="136">
        <f t="shared" si="720"/>
        <v>5</v>
      </c>
      <c r="F15206" s="128" t="s">
        <v>24</v>
      </c>
      <c r="G15206" s="128" t="s">
        <v>28</v>
      </c>
      <c r="H15206" s="128" t="str">
        <f>VLOOKUP(source[[#This Row],[lending_product_transform]],[3]Mapping!$B$3:$D$37,3,0)</f>
        <v>cashloan</v>
      </c>
      <c r="I15206" s="549">
        <v>17451720000</v>
      </c>
    </row>
    <row r="15207" spans="1:9" x14ac:dyDescent="0.2">
      <c r="A15207" s="134">
        <v>46147</v>
      </c>
      <c r="B15207" s="549">
        <f>YEAR(source[[#This Row],[report_date]])</f>
        <v>2026</v>
      </c>
      <c r="C15207" s="128">
        <f t="shared" si="718"/>
        <v>5</v>
      </c>
      <c r="D15207" s="136">
        <f t="shared" si="719"/>
        <v>19</v>
      </c>
      <c r="E15207" s="136">
        <f t="shared" si="720"/>
        <v>5</v>
      </c>
      <c r="F15207" s="128" t="s">
        <v>24</v>
      </c>
      <c r="G15207" s="128" t="s">
        <v>208</v>
      </c>
      <c r="H15207" s="128" t="str">
        <f>VLOOKUP(source[[#This Row],[lending_product_transform]],[3]Mapping!$B$3:$D$37,3,0)</f>
        <v>cashloan</v>
      </c>
      <c r="I15207" s="549">
        <v>0</v>
      </c>
    </row>
    <row r="15208" spans="1:9" x14ac:dyDescent="0.2">
      <c r="A15208" s="134">
        <v>46147</v>
      </c>
      <c r="B15208" s="549">
        <f>YEAR(source[[#This Row],[report_date]])</f>
        <v>2026</v>
      </c>
      <c r="C15208" s="128">
        <f t="shared" si="718"/>
        <v>5</v>
      </c>
      <c r="D15208" s="136">
        <f t="shared" si="719"/>
        <v>19</v>
      </c>
      <c r="E15208" s="136">
        <f t="shared" si="720"/>
        <v>5</v>
      </c>
      <c r="F15208" s="128" t="s">
        <v>24</v>
      </c>
      <c r="G15208" s="128" t="s">
        <v>60</v>
      </c>
      <c r="H15208" s="128" t="str">
        <f>VLOOKUP(source[[#This Row],[lending_product_transform]],[3]Mapping!$B$3:$D$37,3,0)</f>
        <v>cashloan</v>
      </c>
      <c r="I15208" s="549">
        <v>0</v>
      </c>
    </row>
    <row r="15209" spans="1:9" x14ac:dyDescent="0.2">
      <c r="A15209" s="134">
        <v>46147</v>
      </c>
      <c r="B15209" s="549">
        <f>YEAR(source[[#This Row],[report_date]])</f>
        <v>2026</v>
      </c>
      <c r="C15209" s="128">
        <f t="shared" si="718"/>
        <v>5</v>
      </c>
      <c r="D15209" s="136">
        <f t="shared" si="719"/>
        <v>19</v>
      </c>
      <c r="E15209" s="136">
        <f t="shared" si="720"/>
        <v>5</v>
      </c>
      <c r="F15209" s="128" t="s">
        <v>24</v>
      </c>
      <c r="G15209" s="128" t="s">
        <v>36</v>
      </c>
      <c r="H15209" s="128" t="str">
        <f>VLOOKUP(source[[#This Row],[lending_product_transform]],[3]Mapping!$B$3:$D$37,3,0)</f>
        <v>cashloan</v>
      </c>
      <c r="I15209" s="549">
        <v>3168430000</v>
      </c>
    </row>
    <row r="15210" spans="1:9" x14ac:dyDescent="0.2">
      <c r="A15210" s="134">
        <v>46147</v>
      </c>
      <c r="B15210" s="549">
        <f>YEAR(source[[#This Row],[report_date]])</f>
        <v>2026</v>
      </c>
      <c r="C15210" s="128">
        <f t="shared" si="718"/>
        <v>5</v>
      </c>
      <c r="D15210" s="136">
        <f t="shared" si="719"/>
        <v>19</v>
      </c>
      <c r="E15210" s="136">
        <f t="shared" si="720"/>
        <v>5</v>
      </c>
      <c r="F15210" s="128" t="s">
        <v>24</v>
      </c>
      <c r="G15210" s="128" t="s">
        <v>36</v>
      </c>
      <c r="H15210" s="128" t="str">
        <f>VLOOKUP(source[[#This Row],[lending_product_transform]],[3]Mapping!$B$3:$D$37,3,0)</f>
        <v>cashloan</v>
      </c>
      <c r="I15210" s="549">
        <v>1416600000</v>
      </c>
    </row>
    <row r="15211" spans="1:9" x14ac:dyDescent="0.2">
      <c r="A15211" s="134">
        <v>46147</v>
      </c>
      <c r="B15211" s="549">
        <f>YEAR(source[[#This Row],[report_date]])</f>
        <v>2026</v>
      </c>
      <c r="C15211" s="128">
        <f t="shared" si="718"/>
        <v>5</v>
      </c>
      <c r="D15211" s="136">
        <f t="shared" si="719"/>
        <v>19</v>
      </c>
      <c r="E15211" s="136">
        <f t="shared" si="720"/>
        <v>5</v>
      </c>
      <c r="F15211" s="128" t="s">
        <v>24</v>
      </c>
      <c r="G15211" s="128" t="s">
        <v>176</v>
      </c>
      <c r="H15211" s="128" t="str">
        <f>VLOOKUP(source[[#This Row],[lending_product_transform]],[3]Mapping!$B$3:$D$37,3,0)</f>
        <v>cashloan</v>
      </c>
      <c r="I15211" s="549">
        <v>37019821</v>
      </c>
    </row>
    <row r="15212" spans="1:9" x14ac:dyDescent="0.2">
      <c r="A15212" s="134">
        <v>46147</v>
      </c>
      <c r="B15212" s="549">
        <f>YEAR(source[[#This Row],[report_date]])</f>
        <v>2026</v>
      </c>
      <c r="C15212" s="128">
        <f t="shared" si="718"/>
        <v>5</v>
      </c>
      <c r="D15212" s="136">
        <f t="shared" si="719"/>
        <v>19</v>
      </c>
      <c r="E15212" s="136">
        <f t="shared" si="720"/>
        <v>5</v>
      </c>
      <c r="F15212" s="128" t="s">
        <v>24</v>
      </c>
      <c r="G15212" s="128" t="s">
        <v>176</v>
      </c>
      <c r="H15212" s="128" t="str">
        <f>VLOOKUP(source[[#This Row],[lending_product_transform]],[3]Mapping!$B$3:$D$37,3,0)</f>
        <v>cashloan</v>
      </c>
      <c r="I15212" s="549">
        <v>1366531317</v>
      </c>
    </row>
    <row r="15213" spans="1:9" x14ac:dyDescent="0.2">
      <c r="A15213" s="134">
        <v>46147</v>
      </c>
      <c r="B15213" s="549">
        <f>YEAR(source[[#This Row],[report_date]])</f>
        <v>2026</v>
      </c>
      <c r="C15213" s="128">
        <f t="shared" si="718"/>
        <v>5</v>
      </c>
      <c r="D15213" s="136">
        <f t="shared" si="719"/>
        <v>19</v>
      </c>
      <c r="E15213" s="136">
        <f t="shared" si="720"/>
        <v>5</v>
      </c>
      <c r="F15213" s="128" t="s">
        <v>24</v>
      </c>
      <c r="G15213" s="128" t="s">
        <v>206</v>
      </c>
      <c r="H15213" s="128" t="str">
        <f>VLOOKUP(source[[#This Row],[lending_product_transform]],[3]Mapping!$B$3:$D$37,3,0)</f>
        <v>cashloan</v>
      </c>
      <c r="I15213" s="549">
        <v>0</v>
      </c>
    </row>
    <row r="15214" spans="1:9" x14ac:dyDescent="0.2">
      <c r="A15214" s="134">
        <v>46147</v>
      </c>
      <c r="B15214" s="549">
        <f>YEAR(source[[#This Row],[report_date]])</f>
        <v>2026</v>
      </c>
      <c r="C15214" s="128">
        <f t="shared" si="718"/>
        <v>5</v>
      </c>
      <c r="D15214" s="136">
        <f t="shared" si="719"/>
        <v>19</v>
      </c>
      <c r="E15214" s="136">
        <f t="shared" si="720"/>
        <v>5</v>
      </c>
      <c r="F15214" s="128" t="s">
        <v>24</v>
      </c>
      <c r="G15214" s="128" t="s">
        <v>209</v>
      </c>
      <c r="H15214" s="128" t="str">
        <f>VLOOKUP(source[[#This Row],[lending_product_transform]],[3]Mapping!$B$3:$D$37,3,0)</f>
        <v>cashloan</v>
      </c>
      <c r="I15214" s="549">
        <v>36250000</v>
      </c>
    </row>
    <row r="15215" spans="1:9" x14ac:dyDescent="0.2">
      <c r="A15215" s="134">
        <v>46147</v>
      </c>
      <c r="B15215" s="549">
        <f>YEAR(source[[#This Row],[report_date]])</f>
        <v>2026</v>
      </c>
      <c r="C15215" s="128">
        <f t="shared" si="718"/>
        <v>5</v>
      </c>
      <c r="D15215" s="136">
        <f t="shared" si="719"/>
        <v>19</v>
      </c>
      <c r="E15215" s="136">
        <f t="shared" si="720"/>
        <v>5</v>
      </c>
      <c r="F15215" s="128" t="s">
        <v>24</v>
      </c>
      <c r="G15215" s="128" t="s">
        <v>209</v>
      </c>
      <c r="H15215" s="128" t="str">
        <f>VLOOKUP(source[[#This Row],[lending_product_transform]],[3]Mapping!$B$3:$D$37,3,0)</f>
        <v>cashloan</v>
      </c>
      <c r="I15215" s="549">
        <v>0</v>
      </c>
    </row>
    <row r="15216" spans="1:9" x14ac:dyDescent="0.2">
      <c r="A15216" s="134">
        <v>46147</v>
      </c>
      <c r="B15216" s="549">
        <f>YEAR(source[[#This Row],[report_date]])</f>
        <v>2026</v>
      </c>
      <c r="C15216" s="128">
        <f t="shared" si="718"/>
        <v>5</v>
      </c>
      <c r="D15216" s="136">
        <f t="shared" si="719"/>
        <v>19</v>
      </c>
      <c r="E15216" s="136">
        <f t="shared" si="720"/>
        <v>5</v>
      </c>
      <c r="F15216" s="128" t="s">
        <v>24</v>
      </c>
      <c r="G15216" s="128" t="s">
        <v>11</v>
      </c>
      <c r="H15216" s="128" t="str">
        <f>VLOOKUP(source[[#This Row],[lending_product_transform]],[3]Mapping!$B$3:$D$37,3,0)</f>
        <v>cashloan</v>
      </c>
      <c r="I15216" s="549">
        <v>18829010000</v>
      </c>
    </row>
    <row r="15217" spans="1:9" x14ac:dyDescent="0.2">
      <c r="A15217" s="134">
        <v>46147</v>
      </c>
      <c r="B15217" s="549">
        <f>YEAR(source[[#This Row],[report_date]])</f>
        <v>2026</v>
      </c>
      <c r="C15217" s="128">
        <f t="shared" ref="C15217:C15280" si="721">MONTH(A15217)</f>
        <v>5</v>
      </c>
      <c r="D15217" s="136">
        <f t="shared" ref="D15217:D15280" si="722">WEEKNUM(A15217,2)</f>
        <v>19</v>
      </c>
      <c r="E15217" s="136">
        <f t="shared" ref="E15217:E15280" si="723">DAY(A15217)</f>
        <v>5</v>
      </c>
      <c r="F15217" s="128" t="s">
        <v>24</v>
      </c>
      <c r="G15217" s="128" t="s">
        <v>207</v>
      </c>
      <c r="H15217" s="128" t="str">
        <f>VLOOKUP(source[[#This Row],[lending_product_transform]],[3]Mapping!$B$3:$D$37,3,0)</f>
        <v>cashloan</v>
      </c>
      <c r="I15217" s="549">
        <v>0</v>
      </c>
    </row>
    <row r="15218" spans="1:9" x14ac:dyDescent="0.2">
      <c r="A15218" s="134">
        <v>46147</v>
      </c>
      <c r="B15218" s="549">
        <f>YEAR(source[[#This Row],[report_date]])</f>
        <v>2026</v>
      </c>
      <c r="C15218" s="128">
        <f t="shared" si="721"/>
        <v>5</v>
      </c>
      <c r="D15218" s="136">
        <f t="shared" si="722"/>
        <v>19</v>
      </c>
      <c r="E15218" s="136">
        <f t="shared" si="723"/>
        <v>5</v>
      </c>
      <c r="F15218" s="128" t="s">
        <v>24</v>
      </c>
      <c r="G15218" s="128" t="s">
        <v>207</v>
      </c>
      <c r="H15218" s="128" t="str">
        <f>VLOOKUP(source[[#This Row],[lending_product_transform]],[3]Mapping!$B$3:$D$37,3,0)</f>
        <v>cashloan</v>
      </c>
      <c r="I15218" s="549">
        <v>0</v>
      </c>
    </row>
    <row r="15219" spans="1:9" x14ac:dyDescent="0.2">
      <c r="A15219" s="134">
        <v>46147</v>
      </c>
      <c r="B15219" s="549">
        <f>YEAR(source[[#This Row],[report_date]])</f>
        <v>2026</v>
      </c>
      <c r="C15219" s="128">
        <f t="shared" si="721"/>
        <v>5</v>
      </c>
      <c r="D15219" s="136">
        <f t="shared" si="722"/>
        <v>19</v>
      </c>
      <c r="E15219" s="136">
        <f t="shared" si="723"/>
        <v>5</v>
      </c>
      <c r="F15219" s="128" t="s">
        <v>24</v>
      </c>
      <c r="G15219" s="128" t="s">
        <v>207</v>
      </c>
      <c r="H15219" s="128" t="str">
        <f>VLOOKUP(source[[#This Row],[lending_product_transform]],[3]Mapping!$B$3:$D$37,3,0)</f>
        <v>cashloan</v>
      </c>
      <c r="I15219" s="549">
        <v>0</v>
      </c>
    </row>
    <row r="15220" spans="1:9" x14ac:dyDescent="0.2">
      <c r="A15220" s="134">
        <v>46147</v>
      </c>
      <c r="B15220" s="549">
        <f>YEAR(source[[#This Row],[report_date]])</f>
        <v>2026</v>
      </c>
      <c r="C15220" s="128">
        <f t="shared" si="721"/>
        <v>5</v>
      </c>
      <c r="D15220" s="136">
        <f t="shared" si="722"/>
        <v>19</v>
      </c>
      <c r="E15220" s="136">
        <f t="shared" si="723"/>
        <v>5</v>
      </c>
      <c r="F15220" s="128" t="s">
        <v>24</v>
      </c>
      <c r="G15220" s="128" t="s">
        <v>11</v>
      </c>
      <c r="H15220" s="128" t="str">
        <f>VLOOKUP(source[[#This Row],[lending_product_transform]],[3]Mapping!$B$3:$D$37,3,0)</f>
        <v>cashloan</v>
      </c>
      <c r="I15220" s="549">
        <v>0</v>
      </c>
    </row>
    <row r="15221" spans="1:9" x14ac:dyDescent="0.2">
      <c r="A15221" s="134">
        <v>46147</v>
      </c>
      <c r="B15221" s="549">
        <f>YEAR(source[[#This Row],[report_date]])</f>
        <v>2026</v>
      </c>
      <c r="C15221" s="128">
        <f t="shared" si="721"/>
        <v>5</v>
      </c>
      <c r="D15221" s="136">
        <f t="shared" si="722"/>
        <v>19</v>
      </c>
      <c r="E15221" s="136">
        <f t="shared" si="723"/>
        <v>5</v>
      </c>
      <c r="F15221" s="128" t="s">
        <v>24</v>
      </c>
      <c r="G15221" s="128" t="s">
        <v>19</v>
      </c>
      <c r="H15221" s="128" t="str">
        <f>VLOOKUP(source[[#This Row],[lending_product_transform]],[3]Mapping!$B$3:$D$37,3,0)</f>
        <v>cashloan</v>
      </c>
      <c r="I15221" s="549">
        <v>13086036000</v>
      </c>
    </row>
    <row r="15222" spans="1:9" x14ac:dyDescent="0.2">
      <c r="A15222" s="134">
        <v>46147</v>
      </c>
      <c r="B15222" s="549">
        <f>YEAR(source[[#This Row],[report_date]])</f>
        <v>2026</v>
      </c>
      <c r="C15222" s="128">
        <f t="shared" si="721"/>
        <v>5</v>
      </c>
      <c r="D15222" s="136">
        <f t="shared" si="722"/>
        <v>19</v>
      </c>
      <c r="E15222" s="136">
        <f t="shared" si="723"/>
        <v>5</v>
      </c>
      <c r="F15222" s="128" t="s">
        <v>24</v>
      </c>
      <c r="G15222" s="128" t="s">
        <v>62</v>
      </c>
      <c r="H15222" s="128" t="str">
        <f>VLOOKUP(source[[#This Row],[lending_product_transform]],[3]Mapping!$B$3:$D$37,3,0)</f>
        <v>cashloan</v>
      </c>
      <c r="I15222" s="549">
        <v>691623470</v>
      </c>
    </row>
    <row r="15223" spans="1:9" x14ac:dyDescent="0.2">
      <c r="A15223" s="134">
        <v>46147</v>
      </c>
      <c r="B15223" s="549">
        <f>YEAR(source[[#This Row],[report_date]])</f>
        <v>2026</v>
      </c>
      <c r="C15223" s="128">
        <f t="shared" si="721"/>
        <v>5</v>
      </c>
      <c r="D15223" s="136">
        <f t="shared" si="722"/>
        <v>19</v>
      </c>
      <c r="E15223" s="136">
        <f t="shared" si="723"/>
        <v>5</v>
      </c>
      <c r="F15223" s="128" t="s">
        <v>24</v>
      </c>
      <c r="G15223" s="128" t="s">
        <v>58</v>
      </c>
      <c r="H15223" s="128" t="str">
        <f>VLOOKUP(source[[#This Row],[lending_product_transform]],[3]Mapping!$B$3:$D$37,3,0)</f>
        <v>cashloan</v>
      </c>
      <c r="I15223" s="549">
        <v>72500000</v>
      </c>
    </row>
    <row r="15224" spans="1:9" x14ac:dyDescent="0.2">
      <c r="A15224" s="134">
        <v>46147</v>
      </c>
      <c r="B15224" s="549">
        <f>YEAR(source[[#This Row],[report_date]])</f>
        <v>2026</v>
      </c>
      <c r="C15224" s="128">
        <f t="shared" si="721"/>
        <v>5</v>
      </c>
      <c r="D15224" s="136">
        <f t="shared" si="722"/>
        <v>19</v>
      </c>
      <c r="E15224" s="136">
        <f t="shared" si="723"/>
        <v>5</v>
      </c>
      <c r="F15224" s="128" t="s">
        <v>24</v>
      </c>
      <c r="G15224" s="128" t="s">
        <v>61</v>
      </c>
      <c r="H15224" s="128" t="str">
        <f>VLOOKUP(source[[#This Row],[lending_product_transform]],[3]Mapping!$B$3:$D$37,3,0)</f>
        <v>cashloan</v>
      </c>
      <c r="I15224" s="549">
        <v>35000000</v>
      </c>
    </row>
    <row r="15225" spans="1:9" x14ac:dyDescent="0.2">
      <c r="A15225" s="134">
        <v>46147</v>
      </c>
      <c r="B15225" s="549">
        <f>YEAR(source[[#This Row],[report_date]])</f>
        <v>2026</v>
      </c>
      <c r="C15225" s="128">
        <f t="shared" si="721"/>
        <v>5</v>
      </c>
      <c r="D15225" s="136">
        <f t="shared" si="722"/>
        <v>19</v>
      </c>
      <c r="E15225" s="136">
        <f t="shared" si="723"/>
        <v>5</v>
      </c>
      <c r="F15225" s="128" t="s">
        <v>24</v>
      </c>
      <c r="G15225" s="128" t="s">
        <v>57</v>
      </c>
      <c r="H15225" s="128" t="str">
        <f>VLOOKUP(source[[#This Row],[lending_product_transform]],[3]Mapping!$B$3:$D$37,3,0)</f>
        <v>cashloan</v>
      </c>
      <c r="I15225" s="549">
        <v>924230000</v>
      </c>
    </row>
    <row r="15226" spans="1:9" x14ac:dyDescent="0.2">
      <c r="A15226" s="134">
        <v>46147</v>
      </c>
      <c r="B15226" s="549">
        <f>YEAR(source[[#This Row],[report_date]])</f>
        <v>2026</v>
      </c>
      <c r="C15226" s="128">
        <f t="shared" si="721"/>
        <v>5</v>
      </c>
      <c r="D15226" s="136">
        <f t="shared" si="722"/>
        <v>19</v>
      </c>
      <c r="E15226" s="136">
        <f t="shared" si="723"/>
        <v>5</v>
      </c>
      <c r="F15226" s="128" t="s">
        <v>24</v>
      </c>
      <c r="G15226" s="128" t="s">
        <v>63</v>
      </c>
      <c r="H15226" s="128" t="str">
        <f>VLOOKUP(source[[#This Row],[lending_product_transform]],[3]Mapping!$B$3:$D$37,3,0)</f>
        <v>cashloan</v>
      </c>
      <c r="I15226" s="549">
        <v>331668000</v>
      </c>
    </row>
    <row r="15227" spans="1:9" x14ac:dyDescent="0.2">
      <c r="A15227" s="134">
        <v>46147</v>
      </c>
      <c r="B15227" s="549">
        <f>YEAR(source[[#This Row],[report_date]])</f>
        <v>2026</v>
      </c>
      <c r="C15227" s="128">
        <f t="shared" si="721"/>
        <v>5</v>
      </c>
      <c r="D15227" s="136">
        <f t="shared" si="722"/>
        <v>19</v>
      </c>
      <c r="E15227" s="136">
        <f t="shared" si="723"/>
        <v>5</v>
      </c>
      <c r="F15227" s="128" t="s">
        <v>24</v>
      </c>
      <c r="G15227" s="128" t="s">
        <v>59</v>
      </c>
      <c r="H15227" s="128" t="str">
        <f>VLOOKUP(source[[#This Row],[lending_product_transform]],[3]Mapping!$B$3:$D$37,3,0)</f>
        <v>cashloan</v>
      </c>
      <c r="I15227" s="549">
        <v>1622337429</v>
      </c>
    </row>
    <row r="15228" spans="1:9" x14ac:dyDescent="0.2">
      <c r="A15228" s="134">
        <v>46147</v>
      </c>
      <c r="B15228" s="549">
        <f>YEAR(source[[#This Row],[report_date]])</f>
        <v>2026</v>
      </c>
      <c r="C15228" s="128">
        <f t="shared" si="721"/>
        <v>5</v>
      </c>
      <c r="D15228" s="136">
        <f t="shared" si="722"/>
        <v>19</v>
      </c>
      <c r="E15228" s="136">
        <f t="shared" si="723"/>
        <v>5</v>
      </c>
      <c r="F15228" s="128" t="s">
        <v>24</v>
      </c>
      <c r="G15228" s="128" t="s">
        <v>175</v>
      </c>
      <c r="H15228" s="128" t="str">
        <f>VLOOKUP(source[[#This Row],[lending_product_transform]],[3]Mapping!$B$3:$D$37,3,0)</f>
        <v>cashloan</v>
      </c>
      <c r="I15228" s="549">
        <v>7273430000</v>
      </c>
    </row>
    <row r="15229" spans="1:9" x14ac:dyDescent="0.2">
      <c r="A15229" s="134">
        <v>46147</v>
      </c>
      <c r="B15229" s="549">
        <f>YEAR(source[[#This Row],[report_date]])</f>
        <v>2026</v>
      </c>
      <c r="C15229" s="128">
        <f t="shared" si="721"/>
        <v>5</v>
      </c>
      <c r="D15229" s="136">
        <f t="shared" si="722"/>
        <v>19</v>
      </c>
      <c r="E15229" s="136">
        <f t="shared" si="723"/>
        <v>5</v>
      </c>
      <c r="F15229" s="128" t="s">
        <v>24</v>
      </c>
      <c r="G15229" s="128" t="s">
        <v>210</v>
      </c>
      <c r="H15229" s="128" t="str">
        <f>VLOOKUP(source[[#This Row],[lending_product_transform]],[3]Mapping!$B$3:$D$37,3,0)</f>
        <v>cashloan</v>
      </c>
      <c r="I15229" s="549">
        <v>0</v>
      </c>
    </row>
    <row r="15230" spans="1:9" x14ac:dyDescent="0.2">
      <c r="A15230" s="134">
        <v>46148</v>
      </c>
      <c r="B15230" s="549">
        <f>YEAR(source[[#This Row],[report_date]])</f>
        <v>2026</v>
      </c>
      <c r="C15230" s="128">
        <f t="shared" si="721"/>
        <v>5</v>
      </c>
      <c r="D15230" s="136">
        <f t="shared" si="722"/>
        <v>19</v>
      </c>
      <c r="E15230" s="136">
        <f t="shared" si="723"/>
        <v>6</v>
      </c>
      <c r="F15230" s="128" t="s">
        <v>24</v>
      </c>
      <c r="G15230" s="128" t="s">
        <v>65</v>
      </c>
      <c r="H15230" s="128" t="str">
        <f>VLOOKUP(source[[#This Row],[lending_product_transform]],[3]Mapping!$B$3:$D$37,3,0)</f>
        <v>cashloan</v>
      </c>
      <c r="I15230" s="549">
        <v>1256400000</v>
      </c>
    </row>
    <row r="15231" spans="1:9" x14ac:dyDescent="0.2">
      <c r="A15231" s="134">
        <v>46148</v>
      </c>
      <c r="B15231" s="549">
        <f>YEAR(source[[#This Row],[report_date]])</f>
        <v>2026</v>
      </c>
      <c r="C15231" s="128">
        <f t="shared" si="721"/>
        <v>5</v>
      </c>
      <c r="D15231" s="136">
        <f t="shared" si="722"/>
        <v>19</v>
      </c>
      <c r="E15231" s="136">
        <f t="shared" si="723"/>
        <v>6</v>
      </c>
      <c r="F15231" s="128" t="s">
        <v>24</v>
      </c>
      <c r="G15231" s="128" t="s">
        <v>66</v>
      </c>
      <c r="H15231" s="128" t="str">
        <f>VLOOKUP(source[[#This Row],[lending_product_transform]],[3]Mapping!$B$3:$D$37,3,0)</f>
        <v>cashloan</v>
      </c>
      <c r="I15231" s="549">
        <v>418307121</v>
      </c>
    </row>
    <row r="15232" spans="1:9" x14ac:dyDescent="0.2">
      <c r="A15232" s="134">
        <v>46148</v>
      </c>
      <c r="B15232" s="549">
        <f>YEAR(source[[#This Row],[report_date]])</f>
        <v>2026</v>
      </c>
      <c r="C15232" s="128">
        <f t="shared" si="721"/>
        <v>5</v>
      </c>
      <c r="D15232" s="136">
        <f t="shared" si="722"/>
        <v>19</v>
      </c>
      <c r="E15232" s="136">
        <f t="shared" si="723"/>
        <v>6</v>
      </c>
      <c r="F15232" s="128" t="s">
        <v>24</v>
      </c>
      <c r="G15232" s="128" t="s">
        <v>24</v>
      </c>
      <c r="H15232" s="128" t="str">
        <f>VLOOKUP(source[[#This Row],[lending_product_transform]],[3]Mapping!$B$3:$D$37,3,0)</f>
        <v>cashloan</v>
      </c>
      <c r="I15232" s="549">
        <v>17954940000</v>
      </c>
    </row>
    <row r="15233" spans="1:9" x14ac:dyDescent="0.2">
      <c r="A15233" s="134">
        <v>46148</v>
      </c>
      <c r="B15233" s="549">
        <f>YEAR(source[[#This Row],[report_date]])</f>
        <v>2026</v>
      </c>
      <c r="C15233" s="128">
        <f t="shared" si="721"/>
        <v>5</v>
      </c>
      <c r="D15233" s="136">
        <f t="shared" si="722"/>
        <v>19</v>
      </c>
      <c r="E15233" s="136">
        <f t="shared" si="723"/>
        <v>6</v>
      </c>
      <c r="F15233" s="128" t="s">
        <v>24</v>
      </c>
      <c r="G15233" s="128" t="s">
        <v>24</v>
      </c>
      <c r="H15233" s="128" t="str">
        <f>VLOOKUP(source[[#This Row],[lending_product_transform]],[3]Mapping!$B$3:$D$37,3,0)</f>
        <v>cashloan</v>
      </c>
      <c r="I15233" s="549">
        <v>10700000</v>
      </c>
    </row>
    <row r="15234" spans="1:9" x14ac:dyDescent="0.2">
      <c r="A15234" s="134">
        <v>46148</v>
      </c>
      <c r="B15234" s="549">
        <f>YEAR(source[[#This Row],[report_date]])</f>
        <v>2026</v>
      </c>
      <c r="C15234" s="128">
        <f t="shared" si="721"/>
        <v>5</v>
      </c>
      <c r="D15234" s="136">
        <f t="shared" si="722"/>
        <v>19</v>
      </c>
      <c r="E15234" s="136">
        <f t="shared" si="723"/>
        <v>6</v>
      </c>
      <c r="F15234" s="128" t="s">
        <v>24</v>
      </c>
      <c r="G15234" s="128" t="s">
        <v>67</v>
      </c>
      <c r="H15234" s="128" t="str">
        <f>VLOOKUP(source[[#This Row],[lending_product_transform]],[3]Mapping!$B$3:$D$37,3,0)</f>
        <v>cashloan</v>
      </c>
      <c r="I15234" s="549">
        <v>2155984721</v>
      </c>
    </row>
    <row r="15235" spans="1:9" x14ac:dyDescent="0.2">
      <c r="A15235" s="134">
        <v>46148</v>
      </c>
      <c r="B15235" s="549">
        <f>YEAR(source[[#This Row],[report_date]])</f>
        <v>2026</v>
      </c>
      <c r="C15235" s="128">
        <f t="shared" si="721"/>
        <v>5</v>
      </c>
      <c r="D15235" s="136">
        <f t="shared" si="722"/>
        <v>19</v>
      </c>
      <c r="E15235" s="136">
        <f t="shared" si="723"/>
        <v>6</v>
      </c>
      <c r="F15235" s="128" t="s">
        <v>24</v>
      </c>
      <c r="G15235" s="128" t="s">
        <v>28</v>
      </c>
      <c r="H15235" s="128" t="str">
        <f>VLOOKUP(source[[#This Row],[lending_product_transform]],[3]Mapping!$B$3:$D$37,3,0)</f>
        <v>cashloan</v>
      </c>
      <c r="I15235" s="549">
        <v>15454800000</v>
      </c>
    </row>
    <row r="15236" spans="1:9" x14ac:dyDescent="0.2">
      <c r="A15236" s="134">
        <v>46148</v>
      </c>
      <c r="B15236" s="549">
        <f>YEAR(source[[#This Row],[report_date]])</f>
        <v>2026</v>
      </c>
      <c r="C15236" s="128">
        <f t="shared" si="721"/>
        <v>5</v>
      </c>
      <c r="D15236" s="136">
        <f t="shared" si="722"/>
        <v>19</v>
      </c>
      <c r="E15236" s="136">
        <f t="shared" si="723"/>
        <v>6</v>
      </c>
      <c r="F15236" s="128" t="s">
        <v>24</v>
      </c>
      <c r="G15236" s="128" t="s">
        <v>208</v>
      </c>
      <c r="H15236" s="128" t="str">
        <f>VLOOKUP(source[[#This Row],[lending_product_transform]],[3]Mapping!$B$3:$D$37,3,0)</f>
        <v>cashloan</v>
      </c>
      <c r="I15236" s="549">
        <v>0</v>
      </c>
    </row>
    <row r="15237" spans="1:9" x14ac:dyDescent="0.2">
      <c r="A15237" s="134">
        <v>46148</v>
      </c>
      <c r="B15237" s="549">
        <f>YEAR(source[[#This Row],[report_date]])</f>
        <v>2026</v>
      </c>
      <c r="C15237" s="128">
        <f t="shared" si="721"/>
        <v>5</v>
      </c>
      <c r="D15237" s="136">
        <f t="shared" si="722"/>
        <v>19</v>
      </c>
      <c r="E15237" s="136">
        <f t="shared" si="723"/>
        <v>6</v>
      </c>
      <c r="F15237" s="128" t="s">
        <v>24</v>
      </c>
      <c r="G15237" s="128" t="s">
        <v>60</v>
      </c>
      <c r="H15237" s="128" t="str">
        <f>VLOOKUP(source[[#This Row],[lending_product_transform]],[3]Mapping!$B$3:$D$37,3,0)</f>
        <v>cashloan</v>
      </c>
      <c r="I15237" s="549">
        <v>0</v>
      </c>
    </row>
    <row r="15238" spans="1:9" x14ac:dyDescent="0.2">
      <c r="A15238" s="134">
        <v>46148</v>
      </c>
      <c r="B15238" s="549">
        <f>YEAR(source[[#This Row],[report_date]])</f>
        <v>2026</v>
      </c>
      <c r="C15238" s="128">
        <f t="shared" si="721"/>
        <v>5</v>
      </c>
      <c r="D15238" s="136">
        <f t="shared" si="722"/>
        <v>19</v>
      </c>
      <c r="E15238" s="136">
        <f t="shared" si="723"/>
        <v>6</v>
      </c>
      <c r="F15238" s="128" t="s">
        <v>24</v>
      </c>
      <c r="G15238" s="128" t="s">
        <v>36</v>
      </c>
      <c r="H15238" s="128" t="str">
        <f>VLOOKUP(source[[#This Row],[lending_product_transform]],[3]Mapping!$B$3:$D$37,3,0)</f>
        <v>cashloan</v>
      </c>
      <c r="I15238" s="549">
        <v>2894400000</v>
      </c>
    </row>
    <row r="15239" spans="1:9" x14ac:dyDescent="0.2">
      <c r="A15239" s="134">
        <v>46148</v>
      </c>
      <c r="B15239" s="549">
        <f>YEAR(source[[#This Row],[report_date]])</f>
        <v>2026</v>
      </c>
      <c r="C15239" s="128">
        <f t="shared" si="721"/>
        <v>5</v>
      </c>
      <c r="D15239" s="136">
        <f t="shared" si="722"/>
        <v>19</v>
      </c>
      <c r="E15239" s="136">
        <f t="shared" si="723"/>
        <v>6</v>
      </c>
      <c r="F15239" s="128" t="s">
        <v>24</v>
      </c>
      <c r="G15239" s="128" t="s">
        <v>36</v>
      </c>
      <c r="H15239" s="128" t="str">
        <f>VLOOKUP(source[[#This Row],[lending_product_transform]],[3]Mapping!$B$3:$D$37,3,0)</f>
        <v>cashloan</v>
      </c>
      <c r="I15239" s="549">
        <v>874300000</v>
      </c>
    </row>
    <row r="15240" spans="1:9" x14ac:dyDescent="0.2">
      <c r="A15240" s="134">
        <v>46148</v>
      </c>
      <c r="B15240" s="549">
        <f>YEAR(source[[#This Row],[report_date]])</f>
        <v>2026</v>
      </c>
      <c r="C15240" s="128">
        <f t="shared" si="721"/>
        <v>5</v>
      </c>
      <c r="D15240" s="136">
        <f t="shared" si="722"/>
        <v>19</v>
      </c>
      <c r="E15240" s="136">
        <f t="shared" si="723"/>
        <v>6</v>
      </c>
      <c r="F15240" s="128" t="s">
        <v>24</v>
      </c>
      <c r="G15240" s="128" t="s">
        <v>176</v>
      </c>
      <c r="H15240" s="128" t="str">
        <f>VLOOKUP(source[[#This Row],[lending_product_transform]],[3]Mapping!$B$3:$D$37,3,0)</f>
        <v>cashloan</v>
      </c>
      <c r="I15240" s="549">
        <v>14823240</v>
      </c>
    </row>
    <row r="15241" spans="1:9" x14ac:dyDescent="0.2">
      <c r="A15241" s="134">
        <v>46148</v>
      </c>
      <c r="B15241" s="549">
        <f>YEAR(source[[#This Row],[report_date]])</f>
        <v>2026</v>
      </c>
      <c r="C15241" s="128">
        <f t="shared" si="721"/>
        <v>5</v>
      </c>
      <c r="D15241" s="136">
        <f t="shared" si="722"/>
        <v>19</v>
      </c>
      <c r="E15241" s="136">
        <f t="shared" si="723"/>
        <v>6</v>
      </c>
      <c r="F15241" s="128" t="s">
        <v>24</v>
      </c>
      <c r="G15241" s="128" t="s">
        <v>176</v>
      </c>
      <c r="H15241" s="128" t="str">
        <f>VLOOKUP(source[[#This Row],[lending_product_transform]],[3]Mapping!$B$3:$D$37,3,0)</f>
        <v>cashloan</v>
      </c>
      <c r="I15241" s="549">
        <v>1126034652</v>
      </c>
    </row>
    <row r="15242" spans="1:9" x14ac:dyDescent="0.2">
      <c r="A15242" s="134">
        <v>46148</v>
      </c>
      <c r="B15242" s="549">
        <f>YEAR(source[[#This Row],[report_date]])</f>
        <v>2026</v>
      </c>
      <c r="C15242" s="128">
        <f t="shared" si="721"/>
        <v>5</v>
      </c>
      <c r="D15242" s="136">
        <f t="shared" si="722"/>
        <v>19</v>
      </c>
      <c r="E15242" s="136">
        <f t="shared" si="723"/>
        <v>6</v>
      </c>
      <c r="F15242" s="128" t="s">
        <v>24</v>
      </c>
      <c r="G15242" s="128" t="s">
        <v>206</v>
      </c>
      <c r="H15242" s="128" t="str">
        <f>VLOOKUP(source[[#This Row],[lending_product_transform]],[3]Mapping!$B$3:$D$37,3,0)</f>
        <v>cashloan</v>
      </c>
      <c r="I15242" s="549">
        <v>0</v>
      </c>
    </row>
    <row r="15243" spans="1:9" x14ac:dyDescent="0.2">
      <c r="A15243" s="134">
        <v>46148</v>
      </c>
      <c r="B15243" s="549">
        <f>YEAR(source[[#This Row],[report_date]])</f>
        <v>2026</v>
      </c>
      <c r="C15243" s="128">
        <f t="shared" si="721"/>
        <v>5</v>
      </c>
      <c r="D15243" s="136">
        <f t="shared" si="722"/>
        <v>19</v>
      </c>
      <c r="E15243" s="136">
        <f t="shared" si="723"/>
        <v>6</v>
      </c>
      <c r="F15243" s="128" t="s">
        <v>24</v>
      </c>
      <c r="G15243" s="128" t="s">
        <v>209</v>
      </c>
      <c r="H15243" s="128" t="str">
        <f>VLOOKUP(source[[#This Row],[lending_product_transform]],[3]Mapping!$B$3:$D$37,3,0)</f>
        <v>cashloan</v>
      </c>
      <c r="I15243" s="549">
        <v>77800000</v>
      </c>
    </row>
    <row r="15244" spans="1:9" x14ac:dyDescent="0.2">
      <c r="A15244" s="134">
        <v>46148</v>
      </c>
      <c r="B15244" s="549">
        <f>YEAR(source[[#This Row],[report_date]])</f>
        <v>2026</v>
      </c>
      <c r="C15244" s="128">
        <f t="shared" si="721"/>
        <v>5</v>
      </c>
      <c r="D15244" s="136">
        <f t="shared" si="722"/>
        <v>19</v>
      </c>
      <c r="E15244" s="136">
        <f t="shared" si="723"/>
        <v>6</v>
      </c>
      <c r="F15244" s="128" t="s">
        <v>24</v>
      </c>
      <c r="G15244" s="128" t="s">
        <v>209</v>
      </c>
      <c r="H15244" s="128" t="str">
        <f>VLOOKUP(source[[#This Row],[lending_product_transform]],[3]Mapping!$B$3:$D$37,3,0)</f>
        <v>cashloan</v>
      </c>
      <c r="I15244" s="549">
        <v>0</v>
      </c>
    </row>
    <row r="15245" spans="1:9" x14ac:dyDescent="0.2">
      <c r="A15245" s="134">
        <v>46148</v>
      </c>
      <c r="B15245" s="549">
        <f>YEAR(source[[#This Row],[report_date]])</f>
        <v>2026</v>
      </c>
      <c r="C15245" s="128">
        <f t="shared" si="721"/>
        <v>5</v>
      </c>
      <c r="D15245" s="136">
        <f t="shared" si="722"/>
        <v>19</v>
      </c>
      <c r="E15245" s="136">
        <f t="shared" si="723"/>
        <v>6</v>
      </c>
      <c r="F15245" s="128" t="s">
        <v>24</v>
      </c>
      <c r="G15245" s="128" t="s">
        <v>11</v>
      </c>
      <c r="H15245" s="128" t="str">
        <f>VLOOKUP(source[[#This Row],[lending_product_transform]],[3]Mapping!$B$3:$D$37,3,0)</f>
        <v>cashloan</v>
      </c>
      <c r="I15245" s="549">
        <v>17389700000</v>
      </c>
    </row>
    <row r="15246" spans="1:9" x14ac:dyDescent="0.2">
      <c r="A15246" s="134">
        <v>46148</v>
      </c>
      <c r="B15246" s="549">
        <f>YEAR(source[[#This Row],[report_date]])</f>
        <v>2026</v>
      </c>
      <c r="C15246" s="128">
        <f t="shared" si="721"/>
        <v>5</v>
      </c>
      <c r="D15246" s="136">
        <f t="shared" si="722"/>
        <v>19</v>
      </c>
      <c r="E15246" s="136">
        <f t="shared" si="723"/>
        <v>6</v>
      </c>
      <c r="F15246" s="128" t="s">
        <v>24</v>
      </c>
      <c r="G15246" s="128" t="s">
        <v>207</v>
      </c>
      <c r="H15246" s="128" t="str">
        <f>VLOOKUP(source[[#This Row],[lending_product_transform]],[3]Mapping!$B$3:$D$37,3,0)</f>
        <v>cashloan</v>
      </c>
      <c r="I15246" s="549">
        <v>0</v>
      </c>
    </row>
    <row r="15247" spans="1:9" x14ac:dyDescent="0.2">
      <c r="A15247" s="134">
        <v>46148</v>
      </c>
      <c r="B15247" s="549">
        <f>YEAR(source[[#This Row],[report_date]])</f>
        <v>2026</v>
      </c>
      <c r="C15247" s="128">
        <f t="shared" si="721"/>
        <v>5</v>
      </c>
      <c r="D15247" s="136">
        <f t="shared" si="722"/>
        <v>19</v>
      </c>
      <c r="E15247" s="136">
        <f t="shared" si="723"/>
        <v>6</v>
      </c>
      <c r="F15247" s="128" t="s">
        <v>24</v>
      </c>
      <c r="G15247" s="128" t="s">
        <v>207</v>
      </c>
      <c r="H15247" s="128" t="str">
        <f>VLOOKUP(source[[#This Row],[lending_product_transform]],[3]Mapping!$B$3:$D$37,3,0)</f>
        <v>cashloan</v>
      </c>
      <c r="I15247" s="549">
        <v>0</v>
      </c>
    </row>
    <row r="15248" spans="1:9" x14ac:dyDescent="0.2">
      <c r="A15248" s="134">
        <v>46148</v>
      </c>
      <c r="B15248" s="549">
        <f>YEAR(source[[#This Row],[report_date]])</f>
        <v>2026</v>
      </c>
      <c r="C15248" s="128">
        <f t="shared" si="721"/>
        <v>5</v>
      </c>
      <c r="D15248" s="136">
        <f t="shared" si="722"/>
        <v>19</v>
      </c>
      <c r="E15248" s="136">
        <f t="shared" si="723"/>
        <v>6</v>
      </c>
      <c r="F15248" s="128" t="s">
        <v>24</v>
      </c>
      <c r="G15248" s="128" t="s">
        <v>207</v>
      </c>
      <c r="H15248" s="128" t="str">
        <f>VLOOKUP(source[[#This Row],[lending_product_transform]],[3]Mapping!$B$3:$D$37,3,0)</f>
        <v>cashloan</v>
      </c>
      <c r="I15248" s="549">
        <v>0</v>
      </c>
    </row>
    <row r="15249" spans="1:9" x14ac:dyDescent="0.2">
      <c r="A15249" s="134">
        <v>46148</v>
      </c>
      <c r="B15249" s="549">
        <f>YEAR(source[[#This Row],[report_date]])</f>
        <v>2026</v>
      </c>
      <c r="C15249" s="128">
        <f t="shared" si="721"/>
        <v>5</v>
      </c>
      <c r="D15249" s="136">
        <f t="shared" si="722"/>
        <v>19</v>
      </c>
      <c r="E15249" s="136">
        <f t="shared" si="723"/>
        <v>6</v>
      </c>
      <c r="F15249" s="128" t="s">
        <v>24</v>
      </c>
      <c r="G15249" s="128" t="s">
        <v>11</v>
      </c>
      <c r="H15249" s="128" t="str">
        <f>VLOOKUP(source[[#This Row],[lending_product_transform]],[3]Mapping!$B$3:$D$37,3,0)</f>
        <v>cashloan</v>
      </c>
      <c r="I15249" s="549">
        <v>0</v>
      </c>
    </row>
    <row r="15250" spans="1:9" x14ac:dyDescent="0.2">
      <c r="A15250" s="134">
        <v>46148</v>
      </c>
      <c r="B15250" s="549">
        <f>YEAR(source[[#This Row],[report_date]])</f>
        <v>2026</v>
      </c>
      <c r="C15250" s="128">
        <f t="shared" si="721"/>
        <v>5</v>
      </c>
      <c r="D15250" s="136">
        <f t="shared" si="722"/>
        <v>19</v>
      </c>
      <c r="E15250" s="136">
        <f t="shared" si="723"/>
        <v>6</v>
      </c>
      <c r="F15250" s="128" t="s">
        <v>24</v>
      </c>
      <c r="G15250" s="128" t="s">
        <v>19</v>
      </c>
      <c r="H15250" s="128" t="str">
        <f>VLOOKUP(source[[#This Row],[lending_product_transform]],[3]Mapping!$B$3:$D$37,3,0)</f>
        <v>cashloan</v>
      </c>
      <c r="I15250" s="549">
        <v>11790576000</v>
      </c>
    </row>
    <row r="15251" spans="1:9" x14ac:dyDescent="0.2">
      <c r="A15251" s="134">
        <v>46148</v>
      </c>
      <c r="B15251" s="549">
        <f>YEAR(source[[#This Row],[report_date]])</f>
        <v>2026</v>
      </c>
      <c r="C15251" s="128">
        <f t="shared" si="721"/>
        <v>5</v>
      </c>
      <c r="D15251" s="136">
        <f t="shared" si="722"/>
        <v>19</v>
      </c>
      <c r="E15251" s="136">
        <f t="shared" si="723"/>
        <v>6</v>
      </c>
      <c r="F15251" s="128" t="s">
        <v>24</v>
      </c>
      <c r="G15251" s="128" t="s">
        <v>62</v>
      </c>
      <c r="H15251" s="128" t="str">
        <f>VLOOKUP(source[[#This Row],[lending_product_transform]],[3]Mapping!$B$3:$D$37,3,0)</f>
        <v>cashloan</v>
      </c>
      <c r="I15251" s="549">
        <v>443764392</v>
      </c>
    </row>
    <row r="15252" spans="1:9" x14ac:dyDescent="0.2">
      <c r="A15252" s="134">
        <v>46148</v>
      </c>
      <c r="B15252" s="549">
        <f>YEAR(source[[#This Row],[report_date]])</f>
        <v>2026</v>
      </c>
      <c r="C15252" s="128">
        <f t="shared" si="721"/>
        <v>5</v>
      </c>
      <c r="D15252" s="136">
        <f t="shared" si="722"/>
        <v>19</v>
      </c>
      <c r="E15252" s="136">
        <f t="shared" si="723"/>
        <v>6</v>
      </c>
      <c r="F15252" s="128" t="s">
        <v>24</v>
      </c>
      <c r="G15252" s="128" t="s">
        <v>58</v>
      </c>
      <c r="H15252" s="128" t="str">
        <f>VLOOKUP(source[[#This Row],[lending_product_transform]],[3]Mapping!$B$3:$D$37,3,0)</f>
        <v>cashloan</v>
      </c>
      <c r="I15252" s="549">
        <v>10500000</v>
      </c>
    </row>
    <row r="15253" spans="1:9" x14ac:dyDescent="0.2">
      <c r="A15253" s="134">
        <v>46148</v>
      </c>
      <c r="B15253" s="549">
        <f>YEAR(source[[#This Row],[report_date]])</f>
        <v>2026</v>
      </c>
      <c r="C15253" s="128">
        <f t="shared" si="721"/>
        <v>5</v>
      </c>
      <c r="D15253" s="136">
        <f t="shared" si="722"/>
        <v>19</v>
      </c>
      <c r="E15253" s="136">
        <f t="shared" si="723"/>
        <v>6</v>
      </c>
      <c r="F15253" s="128" t="s">
        <v>24</v>
      </c>
      <c r="G15253" s="128" t="s">
        <v>61</v>
      </c>
      <c r="H15253" s="128" t="str">
        <f>VLOOKUP(source[[#This Row],[lending_product_transform]],[3]Mapping!$B$3:$D$37,3,0)</f>
        <v>cashloan</v>
      </c>
      <c r="I15253" s="549">
        <v>47000000</v>
      </c>
    </row>
    <row r="15254" spans="1:9" x14ac:dyDescent="0.2">
      <c r="A15254" s="134">
        <v>46148</v>
      </c>
      <c r="B15254" s="549">
        <f>YEAR(source[[#This Row],[report_date]])</f>
        <v>2026</v>
      </c>
      <c r="C15254" s="128">
        <f t="shared" si="721"/>
        <v>5</v>
      </c>
      <c r="D15254" s="136">
        <f t="shared" si="722"/>
        <v>19</v>
      </c>
      <c r="E15254" s="136">
        <f t="shared" si="723"/>
        <v>6</v>
      </c>
      <c r="F15254" s="128" t="s">
        <v>24</v>
      </c>
      <c r="G15254" s="128" t="s">
        <v>57</v>
      </c>
      <c r="H15254" s="128" t="str">
        <f>VLOOKUP(source[[#This Row],[lending_product_transform]],[3]Mapping!$B$3:$D$37,3,0)</f>
        <v>cashloan</v>
      </c>
      <c r="I15254" s="549">
        <v>620860000</v>
      </c>
    </row>
    <row r="15255" spans="1:9" x14ac:dyDescent="0.2">
      <c r="A15255" s="134">
        <v>46148</v>
      </c>
      <c r="B15255" s="549">
        <f>YEAR(source[[#This Row],[report_date]])</f>
        <v>2026</v>
      </c>
      <c r="C15255" s="128">
        <f t="shared" si="721"/>
        <v>5</v>
      </c>
      <c r="D15255" s="136">
        <f t="shared" si="722"/>
        <v>19</v>
      </c>
      <c r="E15255" s="136">
        <f t="shared" si="723"/>
        <v>6</v>
      </c>
      <c r="F15255" s="128" t="s">
        <v>24</v>
      </c>
      <c r="G15255" s="128" t="s">
        <v>63</v>
      </c>
      <c r="H15255" s="128" t="str">
        <f>VLOOKUP(source[[#This Row],[lending_product_transform]],[3]Mapping!$B$3:$D$37,3,0)</f>
        <v>cashloan</v>
      </c>
      <c r="I15255" s="549">
        <v>279288000</v>
      </c>
    </row>
    <row r="15256" spans="1:9" x14ac:dyDescent="0.2">
      <c r="A15256" s="134">
        <v>46148</v>
      </c>
      <c r="B15256" s="549">
        <f>YEAR(source[[#This Row],[report_date]])</f>
        <v>2026</v>
      </c>
      <c r="C15256" s="128">
        <f t="shared" si="721"/>
        <v>5</v>
      </c>
      <c r="D15256" s="136">
        <f t="shared" si="722"/>
        <v>19</v>
      </c>
      <c r="E15256" s="136">
        <f t="shared" si="723"/>
        <v>6</v>
      </c>
      <c r="F15256" s="128" t="s">
        <v>24</v>
      </c>
      <c r="G15256" s="128" t="s">
        <v>59</v>
      </c>
      <c r="H15256" s="128" t="str">
        <f>VLOOKUP(source[[#This Row],[lending_product_transform]],[3]Mapping!$B$3:$D$37,3,0)</f>
        <v>cashloan</v>
      </c>
      <c r="I15256" s="549">
        <v>811342650</v>
      </c>
    </row>
    <row r="15257" spans="1:9" x14ac:dyDescent="0.2">
      <c r="A15257" s="134">
        <v>46148</v>
      </c>
      <c r="B15257" s="549">
        <f>YEAR(source[[#This Row],[report_date]])</f>
        <v>2026</v>
      </c>
      <c r="C15257" s="128">
        <f t="shared" si="721"/>
        <v>5</v>
      </c>
      <c r="D15257" s="136">
        <f t="shared" si="722"/>
        <v>19</v>
      </c>
      <c r="E15257" s="136">
        <f t="shared" si="723"/>
        <v>6</v>
      </c>
      <c r="F15257" s="128" t="s">
        <v>24</v>
      </c>
      <c r="G15257" s="128" t="s">
        <v>175</v>
      </c>
      <c r="H15257" s="128" t="str">
        <f>VLOOKUP(source[[#This Row],[lending_product_transform]],[3]Mapping!$B$3:$D$37,3,0)</f>
        <v>cashloan</v>
      </c>
      <c r="I15257" s="549">
        <v>6644350000</v>
      </c>
    </row>
    <row r="15258" spans="1:9" x14ac:dyDescent="0.2">
      <c r="A15258" s="134">
        <v>46148</v>
      </c>
      <c r="B15258" s="549">
        <f>YEAR(source[[#This Row],[report_date]])</f>
        <v>2026</v>
      </c>
      <c r="C15258" s="128">
        <f t="shared" si="721"/>
        <v>5</v>
      </c>
      <c r="D15258" s="136">
        <f t="shared" si="722"/>
        <v>19</v>
      </c>
      <c r="E15258" s="136">
        <f t="shared" si="723"/>
        <v>6</v>
      </c>
      <c r="F15258" s="128" t="s">
        <v>24</v>
      </c>
      <c r="G15258" s="128" t="s">
        <v>210</v>
      </c>
      <c r="H15258" s="128" t="str">
        <f>VLOOKUP(source[[#This Row],[lending_product_transform]],[3]Mapping!$B$3:$D$37,3,0)</f>
        <v>cashloan</v>
      </c>
      <c r="I15258" s="549">
        <v>0</v>
      </c>
    </row>
    <row r="15259" spans="1:9" x14ac:dyDescent="0.2">
      <c r="A15259" s="134">
        <v>46149</v>
      </c>
      <c r="B15259" s="549">
        <f>YEAR(source[[#This Row],[report_date]])</f>
        <v>2026</v>
      </c>
      <c r="C15259" s="128">
        <f t="shared" si="721"/>
        <v>5</v>
      </c>
      <c r="D15259" s="136">
        <f t="shared" si="722"/>
        <v>19</v>
      </c>
      <c r="E15259" s="136">
        <f t="shared" si="723"/>
        <v>7</v>
      </c>
      <c r="F15259" s="128" t="s">
        <v>24</v>
      </c>
      <c r="G15259" s="128" t="s">
        <v>65</v>
      </c>
      <c r="H15259" s="128" t="str">
        <f>VLOOKUP(source[[#This Row],[lending_product_transform]],[3]Mapping!$B$3:$D$37,3,0)</f>
        <v>cashloan</v>
      </c>
      <c r="I15259" s="549">
        <v>901880000</v>
      </c>
    </row>
    <row r="15260" spans="1:9" x14ac:dyDescent="0.2">
      <c r="A15260" s="134">
        <v>46149</v>
      </c>
      <c r="B15260" s="549">
        <f>YEAR(source[[#This Row],[report_date]])</f>
        <v>2026</v>
      </c>
      <c r="C15260" s="128">
        <f t="shared" si="721"/>
        <v>5</v>
      </c>
      <c r="D15260" s="136">
        <f t="shared" si="722"/>
        <v>19</v>
      </c>
      <c r="E15260" s="136">
        <f t="shared" si="723"/>
        <v>7</v>
      </c>
      <c r="F15260" s="128" t="s">
        <v>24</v>
      </c>
      <c r="G15260" s="128" t="s">
        <v>66</v>
      </c>
      <c r="H15260" s="128" t="str">
        <f>VLOOKUP(source[[#This Row],[lending_product_transform]],[3]Mapping!$B$3:$D$37,3,0)</f>
        <v>cashloan</v>
      </c>
      <c r="I15260" s="549">
        <v>394213659</v>
      </c>
    </row>
    <row r="15261" spans="1:9" x14ac:dyDescent="0.2">
      <c r="A15261" s="134">
        <v>46149</v>
      </c>
      <c r="B15261" s="549">
        <f>YEAR(source[[#This Row],[report_date]])</f>
        <v>2026</v>
      </c>
      <c r="C15261" s="128">
        <f t="shared" si="721"/>
        <v>5</v>
      </c>
      <c r="D15261" s="136">
        <f t="shared" si="722"/>
        <v>19</v>
      </c>
      <c r="E15261" s="136">
        <f t="shared" si="723"/>
        <v>7</v>
      </c>
      <c r="F15261" s="128" t="s">
        <v>24</v>
      </c>
      <c r="G15261" s="128" t="s">
        <v>24</v>
      </c>
      <c r="H15261" s="128" t="str">
        <f>VLOOKUP(source[[#This Row],[lending_product_transform]],[3]Mapping!$B$3:$D$37,3,0)</f>
        <v>cashloan</v>
      </c>
      <c r="I15261" s="549">
        <v>14502750000</v>
      </c>
    </row>
    <row r="15262" spans="1:9" x14ac:dyDescent="0.2">
      <c r="A15262" s="134">
        <v>46149</v>
      </c>
      <c r="B15262" s="549">
        <f>YEAR(source[[#This Row],[report_date]])</f>
        <v>2026</v>
      </c>
      <c r="C15262" s="128">
        <f t="shared" si="721"/>
        <v>5</v>
      </c>
      <c r="D15262" s="136">
        <f t="shared" si="722"/>
        <v>19</v>
      </c>
      <c r="E15262" s="136">
        <f t="shared" si="723"/>
        <v>7</v>
      </c>
      <c r="F15262" s="128" t="s">
        <v>24</v>
      </c>
      <c r="G15262" s="128" t="s">
        <v>24</v>
      </c>
      <c r="H15262" s="128" t="str">
        <f>VLOOKUP(source[[#This Row],[lending_product_transform]],[3]Mapping!$B$3:$D$37,3,0)</f>
        <v>cashloan</v>
      </c>
      <c r="I15262" s="549">
        <v>34260000</v>
      </c>
    </row>
    <row r="15263" spans="1:9" x14ac:dyDescent="0.2">
      <c r="A15263" s="134">
        <v>46149</v>
      </c>
      <c r="B15263" s="549">
        <f>YEAR(source[[#This Row],[report_date]])</f>
        <v>2026</v>
      </c>
      <c r="C15263" s="128">
        <f t="shared" si="721"/>
        <v>5</v>
      </c>
      <c r="D15263" s="136">
        <f t="shared" si="722"/>
        <v>19</v>
      </c>
      <c r="E15263" s="136">
        <f t="shared" si="723"/>
        <v>7</v>
      </c>
      <c r="F15263" s="128" t="s">
        <v>24</v>
      </c>
      <c r="G15263" s="128" t="s">
        <v>67</v>
      </c>
      <c r="H15263" s="128" t="str">
        <f>VLOOKUP(source[[#This Row],[lending_product_transform]],[3]Mapping!$B$3:$D$37,3,0)</f>
        <v>cashloan</v>
      </c>
      <c r="I15263" s="549">
        <v>1766610728</v>
      </c>
    </row>
    <row r="15264" spans="1:9" x14ac:dyDescent="0.2">
      <c r="A15264" s="134">
        <v>46149</v>
      </c>
      <c r="B15264" s="549">
        <f>YEAR(source[[#This Row],[report_date]])</f>
        <v>2026</v>
      </c>
      <c r="C15264" s="128">
        <f t="shared" si="721"/>
        <v>5</v>
      </c>
      <c r="D15264" s="136">
        <f t="shared" si="722"/>
        <v>19</v>
      </c>
      <c r="E15264" s="136">
        <f t="shared" si="723"/>
        <v>7</v>
      </c>
      <c r="F15264" s="128" t="s">
        <v>24</v>
      </c>
      <c r="G15264" s="128" t="s">
        <v>28</v>
      </c>
      <c r="H15264" s="128" t="str">
        <f>VLOOKUP(source[[#This Row],[lending_product_transform]],[3]Mapping!$B$3:$D$37,3,0)</f>
        <v>cashloan</v>
      </c>
      <c r="I15264" s="549">
        <v>14492520000</v>
      </c>
    </row>
    <row r="15265" spans="1:9" x14ac:dyDescent="0.2">
      <c r="A15265" s="134">
        <v>46149</v>
      </c>
      <c r="B15265" s="549">
        <f>YEAR(source[[#This Row],[report_date]])</f>
        <v>2026</v>
      </c>
      <c r="C15265" s="128">
        <f t="shared" si="721"/>
        <v>5</v>
      </c>
      <c r="D15265" s="136">
        <f t="shared" si="722"/>
        <v>19</v>
      </c>
      <c r="E15265" s="136">
        <f t="shared" si="723"/>
        <v>7</v>
      </c>
      <c r="F15265" s="128" t="s">
        <v>24</v>
      </c>
      <c r="G15265" s="128" t="s">
        <v>208</v>
      </c>
      <c r="H15265" s="128" t="str">
        <f>VLOOKUP(source[[#This Row],[lending_product_transform]],[3]Mapping!$B$3:$D$37,3,0)</f>
        <v>cashloan</v>
      </c>
      <c r="I15265" s="549">
        <v>0</v>
      </c>
    </row>
    <row r="15266" spans="1:9" x14ac:dyDescent="0.2">
      <c r="A15266" s="134">
        <v>46149</v>
      </c>
      <c r="B15266" s="549">
        <f>YEAR(source[[#This Row],[report_date]])</f>
        <v>2026</v>
      </c>
      <c r="C15266" s="128">
        <f t="shared" si="721"/>
        <v>5</v>
      </c>
      <c r="D15266" s="136">
        <f t="shared" si="722"/>
        <v>19</v>
      </c>
      <c r="E15266" s="136">
        <f t="shared" si="723"/>
        <v>7</v>
      </c>
      <c r="F15266" s="128" t="s">
        <v>24</v>
      </c>
      <c r="G15266" s="128" t="s">
        <v>60</v>
      </c>
      <c r="H15266" s="128" t="str">
        <f>VLOOKUP(source[[#This Row],[lending_product_transform]],[3]Mapping!$B$3:$D$37,3,0)</f>
        <v>cashloan</v>
      </c>
      <c r="I15266" s="549">
        <v>0</v>
      </c>
    </row>
    <row r="15267" spans="1:9" x14ac:dyDescent="0.2">
      <c r="A15267" s="134">
        <v>46149</v>
      </c>
      <c r="B15267" s="549">
        <f>YEAR(source[[#This Row],[report_date]])</f>
        <v>2026</v>
      </c>
      <c r="C15267" s="128">
        <f t="shared" si="721"/>
        <v>5</v>
      </c>
      <c r="D15267" s="136">
        <f t="shared" si="722"/>
        <v>19</v>
      </c>
      <c r="E15267" s="136">
        <f t="shared" si="723"/>
        <v>7</v>
      </c>
      <c r="F15267" s="128" t="s">
        <v>24</v>
      </c>
      <c r="G15267" s="128" t="s">
        <v>36</v>
      </c>
      <c r="H15267" s="128" t="str">
        <f>VLOOKUP(source[[#This Row],[lending_product_transform]],[3]Mapping!$B$3:$D$37,3,0)</f>
        <v>cashloan</v>
      </c>
      <c r="I15267" s="549">
        <v>2527200000</v>
      </c>
    </row>
    <row r="15268" spans="1:9" x14ac:dyDescent="0.2">
      <c r="A15268" s="134">
        <v>46149</v>
      </c>
      <c r="B15268" s="549">
        <f>YEAR(source[[#This Row],[report_date]])</f>
        <v>2026</v>
      </c>
      <c r="C15268" s="128">
        <f t="shared" si="721"/>
        <v>5</v>
      </c>
      <c r="D15268" s="136">
        <f t="shared" si="722"/>
        <v>19</v>
      </c>
      <c r="E15268" s="136">
        <f t="shared" si="723"/>
        <v>7</v>
      </c>
      <c r="F15268" s="128" t="s">
        <v>24</v>
      </c>
      <c r="G15268" s="128" t="s">
        <v>36</v>
      </c>
      <c r="H15268" s="128" t="str">
        <f>VLOOKUP(source[[#This Row],[lending_product_transform]],[3]Mapping!$B$3:$D$37,3,0)</f>
        <v>cashloan</v>
      </c>
      <c r="I15268" s="549">
        <v>1282440000</v>
      </c>
    </row>
    <row r="15269" spans="1:9" x14ac:dyDescent="0.2">
      <c r="A15269" s="134">
        <v>46149</v>
      </c>
      <c r="B15269" s="549">
        <f>YEAR(source[[#This Row],[report_date]])</f>
        <v>2026</v>
      </c>
      <c r="C15269" s="128">
        <f t="shared" si="721"/>
        <v>5</v>
      </c>
      <c r="D15269" s="136">
        <f t="shared" si="722"/>
        <v>19</v>
      </c>
      <c r="E15269" s="136">
        <f t="shared" si="723"/>
        <v>7</v>
      </c>
      <c r="F15269" s="128" t="s">
        <v>24</v>
      </c>
      <c r="G15269" s="128" t="s">
        <v>176</v>
      </c>
      <c r="H15269" s="128" t="str">
        <f>VLOOKUP(source[[#This Row],[lending_product_transform]],[3]Mapping!$B$3:$D$37,3,0)</f>
        <v>cashloan</v>
      </c>
      <c r="I15269" s="549">
        <v>9178767</v>
      </c>
    </row>
    <row r="15270" spans="1:9" x14ac:dyDescent="0.2">
      <c r="A15270" s="134">
        <v>46149</v>
      </c>
      <c r="B15270" s="549">
        <f>YEAR(source[[#This Row],[report_date]])</f>
        <v>2026</v>
      </c>
      <c r="C15270" s="128">
        <f t="shared" si="721"/>
        <v>5</v>
      </c>
      <c r="D15270" s="136">
        <f t="shared" si="722"/>
        <v>19</v>
      </c>
      <c r="E15270" s="136">
        <f t="shared" si="723"/>
        <v>7</v>
      </c>
      <c r="F15270" s="128" t="s">
        <v>24</v>
      </c>
      <c r="G15270" s="128" t="s">
        <v>176</v>
      </c>
      <c r="H15270" s="128" t="str">
        <f>VLOOKUP(source[[#This Row],[lending_product_transform]],[3]Mapping!$B$3:$D$37,3,0)</f>
        <v>cashloan</v>
      </c>
      <c r="I15270" s="549">
        <v>1047467812</v>
      </c>
    </row>
    <row r="15271" spans="1:9" x14ac:dyDescent="0.2">
      <c r="A15271" s="134">
        <v>46149</v>
      </c>
      <c r="B15271" s="549">
        <f>YEAR(source[[#This Row],[report_date]])</f>
        <v>2026</v>
      </c>
      <c r="C15271" s="128">
        <f t="shared" si="721"/>
        <v>5</v>
      </c>
      <c r="D15271" s="136">
        <f t="shared" si="722"/>
        <v>19</v>
      </c>
      <c r="E15271" s="136">
        <f t="shared" si="723"/>
        <v>7</v>
      </c>
      <c r="F15271" s="128" t="s">
        <v>24</v>
      </c>
      <c r="G15271" s="128" t="s">
        <v>206</v>
      </c>
      <c r="H15271" s="128" t="str">
        <f>VLOOKUP(source[[#This Row],[lending_product_transform]],[3]Mapping!$B$3:$D$37,3,0)</f>
        <v>cashloan</v>
      </c>
      <c r="I15271" s="549">
        <v>0</v>
      </c>
    </row>
    <row r="15272" spans="1:9" x14ac:dyDescent="0.2">
      <c r="A15272" s="134">
        <v>46149</v>
      </c>
      <c r="B15272" s="549">
        <f>YEAR(source[[#This Row],[report_date]])</f>
        <v>2026</v>
      </c>
      <c r="C15272" s="128">
        <f t="shared" si="721"/>
        <v>5</v>
      </c>
      <c r="D15272" s="136">
        <f t="shared" si="722"/>
        <v>19</v>
      </c>
      <c r="E15272" s="136">
        <f t="shared" si="723"/>
        <v>7</v>
      </c>
      <c r="F15272" s="128" t="s">
        <v>24</v>
      </c>
      <c r="G15272" s="128" t="s">
        <v>209</v>
      </c>
      <c r="H15272" s="128" t="str">
        <f>VLOOKUP(source[[#This Row],[lending_product_transform]],[3]Mapping!$B$3:$D$37,3,0)</f>
        <v>cashloan</v>
      </c>
      <c r="I15272" s="549">
        <v>98000000</v>
      </c>
    </row>
    <row r="15273" spans="1:9" x14ac:dyDescent="0.2">
      <c r="A15273" s="134">
        <v>46149</v>
      </c>
      <c r="B15273" s="549">
        <f>YEAR(source[[#This Row],[report_date]])</f>
        <v>2026</v>
      </c>
      <c r="C15273" s="128">
        <f t="shared" si="721"/>
        <v>5</v>
      </c>
      <c r="D15273" s="136">
        <f t="shared" si="722"/>
        <v>19</v>
      </c>
      <c r="E15273" s="136">
        <f t="shared" si="723"/>
        <v>7</v>
      </c>
      <c r="F15273" s="128" t="s">
        <v>24</v>
      </c>
      <c r="G15273" s="128" t="s">
        <v>209</v>
      </c>
      <c r="H15273" s="128" t="str">
        <f>VLOOKUP(source[[#This Row],[lending_product_transform]],[3]Mapping!$B$3:$D$37,3,0)</f>
        <v>cashloan</v>
      </c>
      <c r="I15273" s="549">
        <v>30900000</v>
      </c>
    </row>
    <row r="15274" spans="1:9" x14ac:dyDescent="0.2">
      <c r="A15274" s="134">
        <v>46149</v>
      </c>
      <c r="B15274" s="549">
        <f>YEAR(source[[#This Row],[report_date]])</f>
        <v>2026</v>
      </c>
      <c r="C15274" s="128">
        <f t="shared" si="721"/>
        <v>5</v>
      </c>
      <c r="D15274" s="136">
        <f t="shared" si="722"/>
        <v>19</v>
      </c>
      <c r="E15274" s="136">
        <f t="shared" si="723"/>
        <v>7</v>
      </c>
      <c r="F15274" s="128" t="s">
        <v>24</v>
      </c>
      <c r="G15274" s="128" t="s">
        <v>11</v>
      </c>
      <c r="H15274" s="128" t="str">
        <f>VLOOKUP(source[[#This Row],[lending_product_transform]],[3]Mapping!$B$3:$D$37,3,0)</f>
        <v>cashloan</v>
      </c>
      <c r="I15274" s="549">
        <v>16998850000</v>
      </c>
    </row>
    <row r="15275" spans="1:9" x14ac:dyDescent="0.2">
      <c r="A15275" s="134">
        <v>46149</v>
      </c>
      <c r="B15275" s="549">
        <f>YEAR(source[[#This Row],[report_date]])</f>
        <v>2026</v>
      </c>
      <c r="C15275" s="128">
        <f t="shared" si="721"/>
        <v>5</v>
      </c>
      <c r="D15275" s="136">
        <f t="shared" si="722"/>
        <v>19</v>
      </c>
      <c r="E15275" s="136">
        <f t="shared" si="723"/>
        <v>7</v>
      </c>
      <c r="F15275" s="128" t="s">
        <v>24</v>
      </c>
      <c r="G15275" s="128" t="s">
        <v>207</v>
      </c>
      <c r="H15275" s="128" t="str">
        <f>VLOOKUP(source[[#This Row],[lending_product_transform]],[3]Mapping!$B$3:$D$37,3,0)</f>
        <v>cashloan</v>
      </c>
      <c r="I15275" s="549">
        <v>0</v>
      </c>
    </row>
    <row r="15276" spans="1:9" x14ac:dyDescent="0.2">
      <c r="A15276" s="134">
        <v>46149</v>
      </c>
      <c r="B15276" s="549">
        <f>YEAR(source[[#This Row],[report_date]])</f>
        <v>2026</v>
      </c>
      <c r="C15276" s="128">
        <f t="shared" si="721"/>
        <v>5</v>
      </c>
      <c r="D15276" s="136">
        <f t="shared" si="722"/>
        <v>19</v>
      </c>
      <c r="E15276" s="136">
        <f t="shared" si="723"/>
        <v>7</v>
      </c>
      <c r="F15276" s="128" t="s">
        <v>24</v>
      </c>
      <c r="G15276" s="128" t="s">
        <v>207</v>
      </c>
      <c r="H15276" s="128" t="str">
        <f>VLOOKUP(source[[#This Row],[lending_product_transform]],[3]Mapping!$B$3:$D$37,3,0)</f>
        <v>cashloan</v>
      </c>
      <c r="I15276" s="549">
        <v>0</v>
      </c>
    </row>
    <row r="15277" spans="1:9" x14ac:dyDescent="0.2">
      <c r="A15277" s="134">
        <v>46149</v>
      </c>
      <c r="B15277" s="549">
        <f>YEAR(source[[#This Row],[report_date]])</f>
        <v>2026</v>
      </c>
      <c r="C15277" s="128">
        <f t="shared" si="721"/>
        <v>5</v>
      </c>
      <c r="D15277" s="136">
        <f t="shared" si="722"/>
        <v>19</v>
      </c>
      <c r="E15277" s="136">
        <f t="shared" si="723"/>
        <v>7</v>
      </c>
      <c r="F15277" s="128" t="s">
        <v>24</v>
      </c>
      <c r="G15277" s="128" t="s">
        <v>207</v>
      </c>
      <c r="H15277" s="128" t="str">
        <f>VLOOKUP(source[[#This Row],[lending_product_transform]],[3]Mapping!$B$3:$D$37,3,0)</f>
        <v>cashloan</v>
      </c>
      <c r="I15277" s="549">
        <v>0</v>
      </c>
    </row>
    <row r="15278" spans="1:9" x14ac:dyDescent="0.2">
      <c r="A15278" s="134">
        <v>46149</v>
      </c>
      <c r="B15278" s="549">
        <f>YEAR(source[[#This Row],[report_date]])</f>
        <v>2026</v>
      </c>
      <c r="C15278" s="128">
        <f t="shared" si="721"/>
        <v>5</v>
      </c>
      <c r="D15278" s="136">
        <f t="shared" si="722"/>
        <v>19</v>
      </c>
      <c r="E15278" s="136">
        <f t="shared" si="723"/>
        <v>7</v>
      </c>
      <c r="F15278" s="128" t="s">
        <v>24</v>
      </c>
      <c r="G15278" s="128" t="s">
        <v>11</v>
      </c>
      <c r="H15278" s="128" t="str">
        <f>VLOOKUP(source[[#This Row],[lending_product_transform]],[3]Mapping!$B$3:$D$37,3,0)</f>
        <v>cashloan</v>
      </c>
      <c r="I15278" s="549">
        <v>0</v>
      </c>
    </row>
    <row r="15279" spans="1:9" x14ac:dyDescent="0.2">
      <c r="A15279" s="134">
        <v>46149</v>
      </c>
      <c r="B15279" s="549">
        <f>YEAR(source[[#This Row],[report_date]])</f>
        <v>2026</v>
      </c>
      <c r="C15279" s="128">
        <f t="shared" si="721"/>
        <v>5</v>
      </c>
      <c r="D15279" s="136">
        <f t="shared" si="722"/>
        <v>19</v>
      </c>
      <c r="E15279" s="136">
        <f t="shared" si="723"/>
        <v>7</v>
      </c>
      <c r="F15279" s="128" t="s">
        <v>24</v>
      </c>
      <c r="G15279" s="128" t="s">
        <v>19</v>
      </c>
      <c r="H15279" s="128" t="str">
        <f>VLOOKUP(source[[#This Row],[lending_product_transform]],[3]Mapping!$B$3:$D$37,3,0)</f>
        <v>cashloan</v>
      </c>
      <c r="I15279" s="549">
        <v>11190852000</v>
      </c>
    </row>
    <row r="15280" spans="1:9" x14ac:dyDescent="0.2">
      <c r="A15280" s="134">
        <v>46149</v>
      </c>
      <c r="B15280" s="549">
        <f>YEAR(source[[#This Row],[report_date]])</f>
        <v>2026</v>
      </c>
      <c r="C15280" s="128">
        <f t="shared" si="721"/>
        <v>5</v>
      </c>
      <c r="D15280" s="136">
        <f t="shared" si="722"/>
        <v>19</v>
      </c>
      <c r="E15280" s="136">
        <f t="shared" si="723"/>
        <v>7</v>
      </c>
      <c r="F15280" s="128" t="s">
        <v>24</v>
      </c>
      <c r="G15280" s="128" t="s">
        <v>62</v>
      </c>
      <c r="H15280" s="128" t="str">
        <f>VLOOKUP(source[[#This Row],[lending_product_transform]],[3]Mapping!$B$3:$D$37,3,0)</f>
        <v>cashloan</v>
      </c>
      <c r="I15280" s="549">
        <v>350618380</v>
      </c>
    </row>
    <row r="15281" spans="1:9" x14ac:dyDescent="0.2">
      <c r="A15281" s="134">
        <v>46149</v>
      </c>
      <c r="B15281" s="549">
        <f>YEAR(source[[#This Row],[report_date]])</f>
        <v>2026</v>
      </c>
      <c r="C15281" s="128">
        <f t="shared" ref="C15281:C15344" si="724">MONTH(A15281)</f>
        <v>5</v>
      </c>
      <c r="D15281" s="136">
        <f t="shared" ref="D15281:D15344" si="725">WEEKNUM(A15281,2)</f>
        <v>19</v>
      </c>
      <c r="E15281" s="136">
        <f t="shared" ref="E15281:E15344" si="726">DAY(A15281)</f>
        <v>7</v>
      </c>
      <c r="F15281" s="128" t="s">
        <v>24</v>
      </c>
      <c r="G15281" s="128" t="s">
        <v>58</v>
      </c>
      <c r="H15281" s="128" t="str">
        <f>VLOOKUP(source[[#This Row],[lending_product_transform]],[3]Mapping!$B$3:$D$37,3,0)</f>
        <v>cashloan</v>
      </c>
      <c r="I15281" s="549">
        <v>41000000</v>
      </c>
    </row>
    <row r="15282" spans="1:9" x14ac:dyDescent="0.2">
      <c r="A15282" s="134">
        <v>46149</v>
      </c>
      <c r="B15282" s="549">
        <f>YEAR(source[[#This Row],[report_date]])</f>
        <v>2026</v>
      </c>
      <c r="C15282" s="128">
        <f t="shared" si="724"/>
        <v>5</v>
      </c>
      <c r="D15282" s="136">
        <f t="shared" si="725"/>
        <v>19</v>
      </c>
      <c r="E15282" s="136">
        <f t="shared" si="726"/>
        <v>7</v>
      </c>
      <c r="F15282" s="128" t="s">
        <v>24</v>
      </c>
      <c r="G15282" s="128" t="s">
        <v>61</v>
      </c>
      <c r="H15282" s="128" t="str">
        <f>VLOOKUP(source[[#This Row],[lending_product_transform]],[3]Mapping!$B$3:$D$37,3,0)</f>
        <v>cashloan</v>
      </c>
      <c r="I15282" s="549">
        <v>16000000</v>
      </c>
    </row>
    <row r="15283" spans="1:9" x14ac:dyDescent="0.2">
      <c r="A15283" s="134">
        <v>46149</v>
      </c>
      <c r="B15283" s="549">
        <f>YEAR(source[[#This Row],[report_date]])</f>
        <v>2026</v>
      </c>
      <c r="C15283" s="128">
        <f t="shared" si="724"/>
        <v>5</v>
      </c>
      <c r="D15283" s="136">
        <f t="shared" si="725"/>
        <v>19</v>
      </c>
      <c r="E15283" s="136">
        <f t="shared" si="726"/>
        <v>7</v>
      </c>
      <c r="F15283" s="128" t="s">
        <v>24</v>
      </c>
      <c r="G15283" s="128" t="s">
        <v>57</v>
      </c>
      <c r="H15283" s="128" t="str">
        <f>VLOOKUP(source[[#This Row],[lending_product_transform]],[3]Mapping!$B$3:$D$37,3,0)</f>
        <v>cashloan</v>
      </c>
      <c r="I15283" s="549">
        <v>630170000</v>
      </c>
    </row>
    <row r="15284" spans="1:9" x14ac:dyDescent="0.2">
      <c r="A15284" s="134">
        <v>46149</v>
      </c>
      <c r="B15284" s="549">
        <f>YEAR(source[[#This Row],[report_date]])</f>
        <v>2026</v>
      </c>
      <c r="C15284" s="128">
        <f t="shared" si="724"/>
        <v>5</v>
      </c>
      <c r="D15284" s="136">
        <f t="shared" si="725"/>
        <v>19</v>
      </c>
      <c r="E15284" s="136">
        <f t="shared" si="726"/>
        <v>7</v>
      </c>
      <c r="F15284" s="128" t="s">
        <v>24</v>
      </c>
      <c r="G15284" s="128" t="s">
        <v>63</v>
      </c>
      <c r="H15284" s="128" t="str">
        <f>VLOOKUP(source[[#This Row],[lending_product_transform]],[3]Mapping!$B$3:$D$37,3,0)</f>
        <v>cashloan</v>
      </c>
      <c r="I15284" s="549">
        <v>180468000</v>
      </c>
    </row>
    <row r="15285" spans="1:9" x14ac:dyDescent="0.2">
      <c r="A15285" s="134">
        <v>46149</v>
      </c>
      <c r="B15285" s="549">
        <f>YEAR(source[[#This Row],[report_date]])</f>
        <v>2026</v>
      </c>
      <c r="C15285" s="128">
        <f t="shared" si="724"/>
        <v>5</v>
      </c>
      <c r="D15285" s="136">
        <f t="shared" si="725"/>
        <v>19</v>
      </c>
      <c r="E15285" s="136">
        <f t="shared" si="726"/>
        <v>7</v>
      </c>
      <c r="F15285" s="128" t="s">
        <v>24</v>
      </c>
      <c r="G15285" s="128" t="s">
        <v>59</v>
      </c>
      <c r="H15285" s="128" t="str">
        <f>VLOOKUP(source[[#This Row],[lending_product_transform]],[3]Mapping!$B$3:$D$37,3,0)</f>
        <v>cashloan</v>
      </c>
      <c r="I15285" s="549">
        <v>512764298</v>
      </c>
    </row>
    <row r="15286" spans="1:9" x14ac:dyDescent="0.2">
      <c r="A15286" s="134">
        <v>46149</v>
      </c>
      <c r="B15286" s="549">
        <f>YEAR(source[[#This Row],[report_date]])</f>
        <v>2026</v>
      </c>
      <c r="C15286" s="128">
        <f t="shared" si="724"/>
        <v>5</v>
      </c>
      <c r="D15286" s="136">
        <f t="shared" si="725"/>
        <v>19</v>
      </c>
      <c r="E15286" s="136">
        <f t="shared" si="726"/>
        <v>7</v>
      </c>
      <c r="F15286" s="128" t="s">
        <v>24</v>
      </c>
      <c r="G15286" s="128" t="s">
        <v>175</v>
      </c>
      <c r="H15286" s="128" t="str">
        <f>VLOOKUP(source[[#This Row],[lending_product_transform]],[3]Mapping!$B$3:$D$37,3,0)</f>
        <v>cashloan</v>
      </c>
      <c r="I15286" s="549">
        <v>5263400000</v>
      </c>
    </row>
    <row r="15287" spans="1:9" x14ac:dyDescent="0.2">
      <c r="A15287" s="134">
        <v>46149</v>
      </c>
      <c r="B15287" s="549">
        <f>YEAR(source[[#This Row],[report_date]])</f>
        <v>2026</v>
      </c>
      <c r="C15287" s="128">
        <f t="shared" si="724"/>
        <v>5</v>
      </c>
      <c r="D15287" s="136">
        <f t="shared" si="725"/>
        <v>19</v>
      </c>
      <c r="E15287" s="136">
        <f t="shared" si="726"/>
        <v>7</v>
      </c>
      <c r="F15287" s="128" t="s">
        <v>24</v>
      </c>
      <c r="G15287" s="128" t="s">
        <v>210</v>
      </c>
      <c r="H15287" s="128" t="str">
        <f>VLOOKUP(source[[#This Row],[lending_product_transform]],[3]Mapping!$B$3:$D$37,3,0)</f>
        <v>cashloan</v>
      </c>
      <c r="I15287" s="549">
        <v>0</v>
      </c>
    </row>
    <row r="15288" spans="1:9" x14ac:dyDescent="0.2">
      <c r="A15288" s="134">
        <v>46150</v>
      </c>
      <c r="B15288" s="549">
        <f>YEAR(source[[#This Row],[report_date]])</f>
        <v>2026</v>
      </c>
      <c r="C15288" s="128">
        <f t="shared" si="724"/>
        <v>5</v>
      </c>
      <c r="D15288" s="136">
        <f t="shared" si="725"/>
        <v>19</v>
      </c>
      <c r="E15288" s="136">
        <f t="shared" si="726"/>
        <v>8</v>
      </c>
      <c r="F15288" s="128" t="s">
        <v>24</v>
      </c>
      <c r="G15288" s="128" t="s">
        <v>65</v>
      </c>
      <c r="H15288" s="128" t="str">
        <f>VLOOKUP(source[[#This Row],[lending_product_transform]],[3]Mapping!$B$3:$D$37,3,0)</f>
        <v>cashloan</v>
      </c>
      <c r="I15288" s="549">
        <v>560800000</v>
      </c>
    </row>
    <row r="15289" spans="1:9" x14ac:dyDescent="0.2">
      <c r="A15289" s="134">
        <v>46150</v>
      </c>
      <c r="B15289" s="549">
        <f>YEAR(source[[#This Row],[report_date]])</f>
        <v>2026</v>
      </c>
      <c r="C15289" s="128">
        <f t="shared" si="724"/>
        <v>5</v>
      </c>
      <c r="D15289" s="136">
        <f t="shared" si="725"/>
        <v>19</v>
      </c>
      <c r="E15289" s="136">
        <f t="shared" si="726"/>
        <v>8</v>
      </c>
      <c r="F15289" s="128" t="s">
        <v>24</v>
      </c>
      <c r="G15289" s="128" t="s">
        <v>66</v>
      </c>
      <c r="H15289" s="128" t="str">
        <f>VLOOKUP(source[[#This Row],[lending_product_transform]],[3]Mapping!$B$3:$D$37,3,0)</f>
        <v>cashloan</v>
      </c>
      <c r="I15289" s="549">
        <v>327512857</v>
      </c>
    </row>
    <row r="15290" spans="1:9" x14ac:dyDescent="0.2">
      <c r="A15290" s="134">
        <v>46150</v>
      </c>
      <c r="B15290" s="549">
        <f>YEAR(source[[#This Row],[report_date]])</f>
        <v>2026</v>
      </c>
      <c r="C15290" s="128">
        <f t="shared" si="724"/>
        <v>5</v>
      </c>
      <c r="D15290" s="136">
        <f t="shared" si="725"/>
        <v>19</v>
      </c>
      <c r="E15290" s="136">
        <f t="shared" si="726"/>
        <v>8</v>
      </c>
      <c r="F15290" s="128" t="s">
        <v>24</v>
      </c>
      <c r="G15290" s="128" t="s">
        <v>24</v>
      </c>
      <c r="H15290" s="128" t="str">
        <f>VLOOKUP(source[[#This Row],[lending_product_transform]],[3]Mapping!$B$3:$D$37,3,0)</f>
        <v>cashloan</v>
      </c>
      <c r="I15290" s="549">
        <v>15097560000</v>
      </c>
    </row>
    <row r="15291" spans="1:9" x14ac:dyDescent="0.2">
      <c r="A15291" s="134">
        <v>46150</v>
      </c>
      <c r="B15291" s="549">
        <f>YEAR(source[[#This Row],[report_date]])</f>
        <v>2026</v>
      </c>
      <c r="C15291" s="128">
        <f t="shared" si="724"/>
        <v>5</v>
      </c>
      <c r="D15291" s="136">
        <f t="shared" si="725"/>
        <v>19</v>
      </c>
      <c r="E15291" s="136">
        <f t="shared" si="726"/>
        <v>8</v>
      </c>
      <c r="F15291" s="128" t="s">
        <v>24</v>
      </c>
      <c r="G15291" s="128" t="s">
        <v>24</v>
      </c>
      <c r="H15291" s="128" t="str">
        <f>VLOOKUP(source[[#This Row],[lending_product_transform]],[3]Mapping!$B$3:$D$37,3,0)</f>
        <v>cashloan</v>
      </c>
      <c r="I15291" s="549">
        <v>55640000</v>
      </c>
    </row>
    <row r="15292" spans="1:9" x14ac:dyDescent="0.2">
      <c r="A15292" s="134">
        <v>46150</v>
      </c>
      <c r="B15292" s="549">
        <f>YEAR(source[[#This Row],[report_date]])</f>
        <v>2026</v>
      </c>
      <c r="C15292" s="128">
        <f t="shared" si="724"/>
        <v>5</v>
      </c>
      <c r="D15292" s="136">
        <f t="shared" si="725"/>
        <v>19</v>
      </c>
      <c r="E15292" s="136">
        <f t="shared" si="726"/>
        <v>8</v>
      </c>
      <c r="F15292" s="128" t="s">
        <v>24</v>
      </c>
      <c r="G15292" s="128" t="s">
        <v>67</v>
      </c>
      <c r="H15292" s="128" t="str">
        <f>VLOOKUP(source[[#This Row],[lending_product_transform]],[3]Mapping!$B$3:$D$37,3,0)</f>
        <v>cashloan</v>
      </c>
      <c r="I15292" s="549">
        <v>1985770077</v>
      </c>
    </row>
    <row r="15293" spans="1:9" x14ac:dyDescent="0.2">
      <c r="A15293" s="134">
        <v>46150</v>
      </c>
      <c r="B15293" s="549">
        <f>YEAR(source[[#This Row],[report_date]])</f>
        <v>2026</v>
      </c>
      <c r="C15293" s="128">
        <f t="shared" si="724"/>
        <v>5</v>
      </c>
      <c r="D15293" s="136">
        <f t="shared" si="725"/>
        <v>19</v>
      </c>
      <c r="E15293" s="136">
        <f t="shared" si="726"/>
        <v>8</v>
      </c>
      <c r="F15293" s="128" t="s">
        <v>24</v>
      </c>
      <c r="G15293" s="128" t="s">
        <v>28</v>
      </c>
      <c r="H15293" s="128" t="str">
        <f>VLOOKUP(source[[#This Row],[lending_product_transform]],[3]Mapping!$B$3:$D$37,3,0)</f>
        <v>cashloan</v>
      </c>
      <c r="I15293" s="549">
        <v>17177400000</v>
      </c>
    </row>
    <row r="15294" spans="1:9" x14ac:dyDescent="0.2">
      <c r="A15294" s="134">
        <v>46150</v>
      </c>
      <c r="B15294" s="549">
        <f>YEAR(source[[#This Row],[report_date]])</f>
        <v>2026</v>
      </c>
      <c r="C15294" s="128">
        <f t="shared" si="724"/>
        <v>5</v>
      </c>
      <c r="D15294" s="136">
        <f t="shared" si="725"/>
        <v>19</v>
      </c>
      <c r="E15294" s="136">
        <f t="shared" si="726"/>
        <v>8</v>
      </c>
      <c r="F15294" s="128" t="s">
        <v>24</v>
      </c>
      <c r="G15294" s="128" t="s">
        <v>208</v>
      </c>
      <c r="H15294" s="128" t="str">
        <f>VLOOKUP(source[[#This Row],[lending_product_transform]],[3]Mapping!$B$3:$D$37,3,0)</f>
        <v>cashloan</v>
      </c>
      <c r="I15294" s="549">
        <v>0</v>
      </c>
    </row>
    <row r="15295" spans="1:9" x14ac:dyDescent="0.2">
      <c r="A15295" s="134">
        <v>46150</v>
      </c>
      <c r="B15295" s="549">
        <f>YEAR(source[[#This Row],[report_date]])</f>
        <v>2026</v>
      </c>
      <c r="C15295" s="128">
        <f t="shared" si="724"/>
        <v>5</v>
      </c>
      <c r="D15295" s="136">
        <f t="shared" si="725"/>
        <v>19</v>
      </c>
      <c r="E15295" s="136">
        <f t="shared" si="726"/>
        <v>8</v>
      </c>
      <c r="F15295" s="128" t="s">
        <v>24</v>
      </c>
      <c r="G15295" s="128" t="s">
        <v>60</v>
      </c>
      <c r="H15295" s="128" t="str">
        <f>VLOOKUP(source[[#This Row],[lending_product_transform]],[3]Mapping!$B$3:$D$37,3,0)</f>
        <v>cashloan</v>
      </c>
      <c r="I15295" s="549">
        <v>80000000</v>
      </c>
    </row>
    <row r="15296" spans="1:9" x14ac:dyDescent="0.2">
      <c r="A15296" s="134">
        <v>46150</v>
      </c>
      <c r="B15296" s="549">
        <f>YEAR(source[[#This Row],[report_date]])</f>
        <v>2026</v>
      </c>
      <c r="C15296" s="128">
        <f t="shared" si="724"/>
        <v>5</v>
      </c>
      <c r="D15296" s="136">
        <f t="shared" si="725"/>
        <v>19</v>
      </c>
      <c r="E15296" s="136">
        <f t="shared" si="726"/>
        <v>8</v>
      </c>
      <c r="F15296" s="128" t="s">
        <v>24</v>
      </c>
      <c r="G15296" s="128" t="s">
        <v>36</v>
      </c>
      <c r="H15296" s="128" t="str">
        <f>VLOOKUP(source[[#This Row],[lending_product_transform]],[3]Mapping!$B$3:$D$37,3,0)</f>
        <v>cashloan</v>
      </c>
      <c r="I15296" s="549">
        <v>2833890000</v>
      </c>
    </row>
    <row r="15297" spans="1:9" x14ac:dyDescent="0.2">
      <c r="A15297" s="134">
        <v>46150</v>
      </c>
      <c r="B15297" s="549">
        <f>YEAR(source[[#This Row],[report_date]])</f>
        <v>2026</v>
      </c>
      <c r="C15297" s="128">
        <f t="shared" si="724"/>
        <v>5</v>
      </c>
      <c r="D15297" s="136">
        <f t="shared" si="725"/>
        <v>19</v>
      </c>
      <c r="E15297" s="136">
        <f t="shared" si="726"/>
        <v>8</v>
      </c>
      <c r="F15297" s="128" t="s">
        <v>24</v>
      </c>
      <c r="G15297" s="128" t="s">
        <v>36</v>
      </c>
      <c r="H15297" s="128" t="str">
        <f>VLOOKUP(source[[#This Row],[lending_product_transform]],[3]Mapping!$B$3:$D$37,3,0)</f>
        <v>cashloan</v>
      </c>
      <c r="I15297" s="549">
        <v>986740000</v>
      </c>
    </row>
    <row r="15298" spans="1:9" x14ac:dyDescent="0.2">
      <c r="A15298" s="134">
        <v>46150</v>
      </c>
      <c r="B15298" s="549">
        <f>YEAR(source[[#This Row],[report_date]])</f>
        <v>2026</v>
      </c>
      <c r="C15298" s="128">
        <f t="shared" si="724"/>
        <v>5</v>
      </c>
      <c r="D15298" s="136">
        <f t="shared" si="725"/>
        <v>19</v>
      </c>
      <c r="E15298" s="136">
        <f t="shared" si="726"/>
        <v>8</v>
      </c>
      <c r="F15298" s="128" t="s">
        <v>24</v>
      </c>
      <c r="G15298" s="128" t="s">
        <v>176</v>
      </c>
      <c r="H15298" s="128" t="str">
        <f>VLOOKUP(source[[#This Row],[lending_product_transform]],[3]Mapping!$B$3:$D$37,3,0)</f>
        <v>cashloan</v>
      </c>
      <c r="I15298" s="549">
        <v>4507254</v>
      </c>
    </row>
    <row r="15299" spans="1:9" x14ac:dyDescent="0.2">
      <c r="A15299" s="134">
        <v>46150</v>
      </c>
      <c r="B15299" s="549">
        <f>YEAR(source[[#This Row],[report_date]])</f>
        <v>2026</v>
      </c>
      <c r="C15299" s="128">
        <f t="shared" si="724"/>
        <v>5</v>
      </c>
      <c r="D15299" s="136">
        <f t="shared" si="725"/>
        <v>19</v>
      </c>
      <c r="E15299" s="136">
        <f t="shared" si="726"/>
        <v>8</v>
      </c>
      <c r="F15299" s="128" t="s">
        <v>24</v>
      </c>
      <c r="G15299" s="128" t="s">
        <v>176</v>
      </c>
      <c r="H15299" s="128" t="str">
        <f>VLOOKUP(source[[#This Row],[lending_product_transform]],[3]Mapping!$B$3:$D$37,3,0)</f>
        <v>cashloan</v>
      </c>
      <c r="I15299" s="549">
        <v>1114943227</v>
      </c>
    </row>
    <row r="15300" spans="1:9" x14ac:dyDescent="0.2">
      <c r="A15300" s="134">
        <v>46150</v>
      </c>
      <c r="B15300" s="549">
        <f>YEAR(source[[#This Row],[report_date]])</f>
        <v>2026</v>
      </c>
      <c r="C15300" s="128">
        <f t="shared" si="724"/>
        <v>5</v>
      </c>
      <c r="D15300" s="136">
        <f t="shared" si="725"/>
        <v>19</v>
      </c>
      <c r="E15300" s="136">
        <f t="shared" si="726"/>
        <v>8</v>
      </c>
      <c r="F15300" s="128" t="s">
        <v>24</v>
      </c>
      <c r="G15300" s="128" t="s">
        <v>206</v>
      </c>
      <c r="H15300" s="128" t="str">
        <f>VLOOKUP(source[[#This Row],[lending_product_transform]],[3]Mapping!$B$3:$D$37,3,0)</f>
        <v>cashloan</v>
      </c>
      <c r="I15300" s="549">
        <v>0</v>
      </c>
    </row>
    <row r="15301" spans="1:9" x14ac:dyDescent="0.2">
      <c r="A15301" s="134">
        <v>46150</v>
      </c>
      <c r="B15301" s="549">
        <f>YEAR(source[[#This Row],[report_date]])</f>
        <v>2026</v>
      </c>
      <c r="C15301" s="128">
        <f t="shared" si="724"/>
        <v>5</v>
      </c>
      <c r="D15301" s="136">
        <f t="shared" si="725"/>
        <v>19</v>
      </c>
      <c r="E15301" s="136">
        <f t="shared" si="726"/>
        <v>8</v>
      </c>
      <c r="F15301" s="128" t="s">
        <v>24</v>
      </c>
      <c r="G15301" s="128" t="s">
        <v>209</v>
      </c>
      <c r="H15301" s="128" t="str">
        <f>VLOOKUP(source[[#This Row],[lending_product_transform]],[3]Mapping!$B$3:$D$37,3,0)</f>
        <v>cashloan</v>
      </c>
      <c r="I15301" s="549">
        <v>114500000</v>
      </c>
    </row>
    <row r="15302" spans="1:9" x14ac:dyDescent="0.2">
      <c r="A15302" s="134">
        <v>46150</v>
      </c>
      <c r="B15302" s="549">
        <f>YEAR(source[[#This Row],[report_date]])</f>
        <v>2026</v>
      </c>
      <c r="C15302" s="128">
        <f t="shared" si="724"/>
        <v>5</v>
      </c>
      <c r="D15302" s="136">
        <f t="shared" si="725"/>
        <v>19</v>
      </c>
      <c r="E15302" s="136">
        <f t="shared" si="726"/>
        <v>8</v>
      </c>
      <c r="F15302" s="128" t="s">
        <v>24</v>
      </c>
      <c r="G15302" s="128" t="s">
        <v>209</v>
      </c>
      <c r="H15302" s="128" t="str">
        <f>VLOOKUP(source[[#This Row],[lending_product_transform]],[3]Mapping!$B$3:$D$37,3,0)</f>
        <v>cashloan</v>
      </c>
      <c r="I15302" s="549">
        <v>51500000</v>
      </c>
    </row>
    <row r="15303" spans="1:9" x14ac:dyDescent="0.2">
      <c r="A15303" s="134">
        <v>46150</v>
      </c>
      <c r="B15303" s="549">
        <f>YEAR(source[[#This Row],[report_date]])</f>
        <v>2026</v>
      </c>
      <c r="C15303" s="128">
        <f t="shared" si="724"/>
        <v>5</v>
      </c>
      <c r="D15303" s="136">
        <f t="shared" si="725"/>
        <v>19</v>
      </c>
      <c r="E15303" s="136">
        <f t="shared" si="726"/>
        <v>8</v>
      </c>
      <c r="F15303" s="128" t="s">
        <v>24</v>
      </c>
      <c r="G15303" s="128" t="s">
        <v>11</v>
      </c>
      <c r="H15303" s="128" t="str">
        <f>VLOOKUP(source[[#This Row],[lending_product_transform]],[3]Mapping!$B$3:$D$37,3,0)</f>
        <v>cashloan</v>
      </c>
      <c r="I15303" s="549">
        <v>17780860000</v>
      </c>
    </row>
    <row r="15304" spans="1:9" x14ac:dyDescent="0.2">
      <c r="A15304" s="134">
        <v>46150</v>
      </c>
      <c r="B15304" s="549">
        <f>YEAR(source[[#This Row],[report_date]])</f>
        <v>2026</v>
      </c>
      <c r="C15304" s="128">
        <f t="shared" si="724"/>
        <v>5</v>
      </c>
      <c r="D15304" s="136">
        <f t="shared" si="725"/>
        <v>19</v>
      </c>
      <c r="E15304" s="136">
        <f t="shared" si="726"/>
        <v>8</v>
      </c>
      <c r="F15304" s="128" t="s">
        <v>24</v>
      </c>
      <c r="G15304" s="128" t="s">
        <v>207</v>
      </c>
      <c r="H15304" s="128" t="str">
        <f>VLOOKUP(source[[#This Row],[lending_product_transform]],[3]Mapping!$B$3:$D$37,3,0)</f>
        <v>cashloan</v>
      </c>
      <c r="I15304" s="549">
        <v>0</v>
      </c>
    </row>
    <row r="15305" spans="1:9" x14ac:dyDescent="0.2">
      <c r="A15305" s="134">
        <v>46150</v>
      </c>
      <c r="B15305" s="549">
        <f>YEAR(source[[#This Row],[report_date]])</f>
        <v>2026</v>
      </c>
      <c r="C15305" s="128">
        <f t="shared" si="724"/>
        <v>5</v>
      </c>
      <c r="D15305" s="136">
        <f t="shared" si="725"/>
        <v>19</v>
      </c>
      <c r="E15305" s="136">
        <f t="shared" si="726"/>
        <v>8</v>
      </c>
      <c r="F15305" s="128" t="s">
        <v>24</v>
      </c>
      <c r="G15305" s="128" t="s">
        <v>207</v>
      </c>
      <c r="H15305" s="128" t="str">
        <f>VLOOKUP(source[[#This Row],[lending_product_transform]],[3]Mapping!$B$3:$D$37,3,0)</f>
        <v>cashloan</v>
      </c>
      <c r="I15305" s="549">
        <v>0</v>
      </c>
    </row>
    <row r="15306" spans="1:9" x14ac:dyDescent="0.2">
      <c r="A15306" s="134">
        <v>46150</v>
      </c>
      <c r="B15306" s="549">
        <f>YEAR(source[[#This Row],[report_date]])</f>
        <v>2026</v>
      </c>
      <c r="C15306" s="128">
        <f t="shared" si="724"/>
        <v>5</v>
      </c>
      <c r="D15306" s="136">
        <f t="shared" si="725"/>
        <v>19</v>
      </c>
      <c r="E15306" s="136">
        <f t="shared" si="726"/>
        <v>8</v>
      </c>
      <c r="F15306" s="128" t="s">
        <v>24</v>
      </c>
      <c r="G15306" s="128" t="s">
        <v>207</v>
      </c>
      <c r="H15306" s="128" t="str">
        <f>VLOOKUP(source[[#This Row],[lending_product_transform]],[3]Mapping!$B$3:$D$37,3,0)</f>
        <v>cashloan</v>
      </c>
      <c r="I15306" s="549">
        <v>0</v>
      </c>
    </row>
    <row r="15307" spans="1:9" x14ac:dyDescent="0.2">
      <c r="A15307" s="134">
        <v>46150</v>
      </c>
      <c r="B15307" s="549">
        <f>YEAR(source[[#This Row],[report_date]])</f>
        <v>2026</v>
      </c>
      <c r="C15307" s="128">
        <f t="shared" si="724"/>
        <v>5</v>
      </c>
      <c r="D15307" s="136">
        <f t="shared" si="725"/>
        <v>19</v>
      </c>
      <c r="E15307" s="136">
        <f t="shared" si="726"/>
        <v>8</v>
      </c>
      <c r="F15307" s="128" t="s">
        <v>24</v>
      </c>
      <c r="G15307" s="128" t="s">
        <v>11</v>
      </c>
      <c r="H15307" s="128" t="str">
        <f>VLOOKUP(source[[#This Row],[lending_product_transform]],[3]Mapping!$B$3:$D$37,3,0)</f>
        <v>cashloan</v>
      </c>
      <c r="I15307" s="549">
        <v>0</v>
      </c>
    </row>
    <row r="15308" spans="1:9" x14ac:dyDescent="0.2">
      <c r="A15308" s="134">
        <v>46150</v>
      </c>
      <c r="B15308" s="549">
        <f>YEAR(source[[#This Row],[report_date]])</f>
        <v>2026</v>
      </c>
      <c r="C15308" s="128">
        <f t="shared" si="724"/>
        <v>5</v>
      </c>
      <c r="D15308" s="136">
        <f t="shared" si="725"/>
        <v>19</v>
      </c>
      <c r="E15308" s="136">
        <f t="shared" si="726"/>
        <v>8</v>
      </c>
      <c r="F15308" s="128" t="s">
        <v>24</v>
      </c>
      <c r="G15308" s="128" t="s">
        <v>19</v>
      </c>
      <c r="H15308" s="128" t="str">
        <f>VLOOKUP(source[[#This Row],[lending_product_transform]],[3]Mapping!$B$3:$D$37,3,0)</f>
        <v>cashloan</v>
      </c>
      <c r="I15308" s="549">
        <v>13637376000</v>
      </c>
    </row>
    <row r="15309" spans="1:9" x14ac:dyDescent="0.2">
      <c r="A15309" s="134">
        <v>46150</v>
      </c>
      <c r="B15309" s="549">
        <f>YEAR(source[[#This Row],[report_date]])</f>
        <v>2026</v>
      </c>
      <c r="C15309" s="128">
        <f t="shared" si="724"/>
        <v>5</v>
      </c>
      <c r="D15309" s="136">
        <f t="shared" si="725"/>
        <v>19</v>
      </c>
      <c r="E15309" s="136">
        <f t="shared" si="726"/>
        <v>8</v>
      </c>
      <c r="F15309" s="128" t="s">
        <v>24</v>
      </c>
      <c r="G15309" s="128" t="s">
        <v>62</v>
      </c>
      <c r="H15309" s="128" t="str">
        <f>VLOOKUP(source[[#This Row],[lending_product_transform]],[3]Mapping!$B$3:$D$37,3,0)</f>
        <v>cashloan</v>
      </c>
      <c r="I15309" s="549">
        <v>272737888</v>
      </c>
    </row>
    <row r="15310" spans="1:9" x14ac:dyDescent="0.2">
      <c r="A15310" s="134">
        <v>46150</v>
      </c>
      <c r="B15310" s="549">
        <f>YEAR(source[[#This Row],[report_date]])</f>
        <v>2026</v>
      </c>
      <c r="C15310" s="128">
        <f t="shared" si="724"/>
        <v>5</v>
      </c>
      <c r="D15310" s="136">
        <f t="shared" si="725"/>
        <v>19</v>
      </c>
      <c r="E15310" s="136">
        <f t="shared" si="726"/>
        <v>8</v>
      </c>
      <c r="F15310" s="128" t="s">
        <v>24</v>
      </c>
      <c r="G15310" s="128" t="s">
        <v>58</v>
      </c>
      <c r="H15310" s="128" t="str">
        <f>VLOOKUP(source[[#This Row],[lending_product_transform]],[3]Mapping!$B$3:$D$37,3,0)</f>
        <v>cashloan</v>
      </c>
      <c r="I15310" s="549">
        <v>10500000</v>
      </c>
    </row>
    <row r="15311" spans="1:9" x14ac:dyDescent="0.2">
      <c r="A15311" s="134">
        <v>46150</v>
      </c>
      <c r="B15311" s="549">
        <f>YEAR(source[[#This Row],[report_date]])</f>
        <v>2026</v>
      </c>
      <c r="C15311" s="128">
        <f t="shared" si="724"/>
        <v>5</v>
      </c>
      <c r="D15311" s="136">
        <f t="shared" si="725"/>
        <v>19</v>
      </c>
      <c r="E15311" s="136">
        <f t="shared" si="726"/>
        <v>8</v>
      </c>
      <c r="F15311" s="128" t="s">
        <v>24</v>
      </c>
      <c r="G15311" s="128" t="s">
        <v>61</v>
      </c>
      <c r="H15311" s="128" t="str">
        <f>VLOOKUP(source[[#This Row],[lending_product_transform]],[3]Mapping!$B$3:$D$37,3,0)</f>
        <v>cashloan</v>
      </c>
      <c r="I15311" s="549">
        <v>36000000</v>
      </c>
    </row>
    <row r="15312" spans="1:9" x14ac:dyDescent="0.2">
      <c r="A15312" s="134">
        <v>46150</v>
      </c>
      <c r="B15312" s="549">
        <f>YEAR(source[[#This Row],[report_date]])</f>
        <v>2026</v>
      </c>
      <c r="C15312" s="128">
        <f t="shared" si="724"/>
        <v>5</v>
      </c>
      <c r="D15312" s="136">
        <f t="shared" si="725"/>
        <v>19</v>
      </c>
      <c r="E15312" s="136">
        <f t="shared" si="726"/>
        <v>8</v>
      </c>
      <c r="F15312" s="128" t="s">
        <v>24</v>
      </c>
      <c r="G15312" s="128" t="s">
        <v>57</v>
      </c>
      <c r="H15312" s="128" t="str">
        <f>VLOOKUP(source[[#This Row],[lending_product_transform]],[3]Mapping!$B$3:$D$37,3,0)</f>
        <v>cashloan</v>
      </c>
      <c r="I15312" s="549">
        <v>753660000</v>
      </c>
    </row>
    <row r="15313" spans="1:9" x14ac:dyDescent="0.2">
      <c r="A15313" s="134">
        <v>46150</v>
      </c>
      <c r="B15313" s="549">
        <f>YEAR(source[[#This Row],[report_date]])</f>
        <v>2026</v>
      </c>
      <c r="C15313" s="128">
        <f t="shared" si="724"/>
        <v>5</v>
      </c>
      <c r="D15313" s="136">
        <f t="shared" si="725"/>
        <v>19</v>
      </c>
      <c r="E15313" s="136">
        <f t="shared" si="726"/>
        <v>8</v>
      </c>
      <c r="F15313" s="128" t="s">
        <v>24</v>
      </c>
      <c r="G15313" s="128" t="s">
        <v>63</v>
      </c>
      <c r="H15313" s="128" t="str">
        <f>VLOOKUP(source[[#This Row],[lending_product_transform]],[3]Mapping!$B$3:$D$37,3,0)</f>
        <v>cashloan</v>
      </c>
      <c r="I15313" s="549">
        <v>291600000</v>
      </c>
    </row>
    <row r="15314" spans="1:9" x14ac:dyDescent="0.2">
      <c r="A15314" s="134">
        <v>46150</v>
      </c>
      <c r="B15314" s="549">
        <f>YEAR(source[[#This Row],[report_date]])</f>
        <v>2026</v>
      </c>
      <c r="C15314" s="128">
        <f t="shared" si="724"/>
        <v>5</v>
      </c>
      <c r="D15314" s="136">
        <f t="shared" si="725"/>
        <v>19</v>
      </c>
      <c r="E15314" s="136">
        <f t="shared" si="726"/>
        <v>8</v>
      </c>
      <c r="F15314" s="128" t="s">
        <v>24</v>
      </c>
      <c r="G15314" s="128" t="s">
        <v>59</v>
      </c>
      <c r="H15314" s="128" t="str">
        <f>VLOOKUP(source[[#This Row],[lending_product_transform]],[3]Mapping!$B$3:$D$37,3,0)</f>
        <v>cashloan</v>
      </c>
      <c r="I15314" s="549">
        <v>400792781</v>
      </c>
    </row>
    <row r="15315" spans="1:9" x14ac:dyDescent="0.2">
      <c r="A15315" s="134">
        <v>46150</v>
      </c>
      <c r="B15315" s="549">
        <f>YEAR(source[[#This Row],[report_date]])</f>
        <v>2026</v>
      </c>
      <c r="C15315" s="128">
        <f t="shared" si="724"/>
        <v>5</v>
      </c>
      <c r="D15315" s="136">
        <f t="shared" si="725"/>
        <v>19</v>
      </c>
      <c r="E15315" s="136">
        <f t="shared" si="726"/>
        <v>8</v>
      </c>
      <c r="F15315" s="128" t="s">
        <v>24</v>
      </c>
      <c r="G15315" s="128" t="s">
        <v>175</v>
      </c>
      <c r="H15315" s="128" t="str">
        <f>VLOOKUP(source[[#This Row],[lending_product_transform]],[3]Mapping!$B$3:$D$37,3,0)</f>
        <v>cashloan</v>
      </c>
      <c r="I15315" s="549">
        <v>5722310000</v>
      </c>
    </row>
    <row r="15316" spans="1:9" x14ac:dyDescent="0.2">
      <c r="A15316" s="134">
        <v>46150</v>
      </c>
      <c r="B15316" s="549">
        <f>YEAR(source[[#This Row],[report_date]])</f>
        <v>2026</v>
      </c>
      <c r="C15316" s="128">
        <f t="shared" si="724"/>
        <v>5</v>
      </c>
      <c r="D15316" s="136">
        <f t="shared" si="725"/>
        <v>19</v>
      </c>
      <c r="E15316" s="136">
        <f t="shared" si="726"/>
        <v>8</v>
      </c>
      <c r="F15316" s="128" t="s">
        <v>24</v>
      </c>
      <c r="G15316" s="128" t="s">
        <v>210</v>
      </c>
      <c r="H15316" s="128" t="str">
        <f>VLOOKUP(source[[#This Row],[lending_product_transform]],[3]Mapping!$B$3:$D$37,3,0)</f>
        <v>cashloan</v>
      </c>
      <c r="I15316" s="549">
        <v>0</v>
      </c>
    </row>
    <row r="15317" spans="1:9" x14ac:dyDescent="0.2">
      <c r="A15317" s="134">
        <v>46151</v>
      </c>
      <c r="B15317" s="549">
        <f>YEAR(source[[#This Row],[report_date]])</f>
        <v>2026</v>
      </c>
      <c r="C15317" s="128">
        <f t="shared" si="724"/>
        <v>5</v>
      </c>
      <c r="D15317" s="136">
        <f t="shared" si="725"/>
        <v>19</v>
      </c>
      <c r="E15317" s="136">
        <f t="shared" si="726"/>
        <v>9</v>
      </c>
      <c r="F15317" s="128" t="s">
        <v>24</v>
      </c>
      <c r="G15317" s="128" t="s">
        <v>65</v>
      </c>
      <c r="H15317" s="128" t="str">
        <f>VLOOKUP(source[[#This Row],[lending_product_transform]],[3]Mapping!$B$3:$D$37,3,0)</f>
        <v>cashloan</v>
      </c>
      <c r="I15317" s="549">
        <v>965240000</v>
      </c>
    </row>
    <row r="15318" spans="1:9" x14ac:dyDescent="0.2">
      <c r="A15318" s="134">
        <v>46151</v>
      </c>
      <c r="B15318" s="549">
        <f>YEAR(source[[#This Row],[report_date]])</f>
        <v>2026</v>
      </c>
      <c r="C15318" s="128">
        <f t="shared" si="724"/>
        <v>5</v>
      </c>
      <c r="D15318" s="136">
        <f t="shared" si="725"/>
        <v>19</v>
      </c>
      <c r="E15318" s="136">
        <f t="shared" si="726"/>
        <v>9</v>
      </c>
      <c r="F15318" s="128" t="s">
        <v>24</v>
      </c>
      <c r="G15318" s="128" t="s">
        <v>66</v>
      </c>
      <c r="H15318" s="128" t="str">
        <f>VLOOKUP(source[[#This Row],[lending_product_transform]],[3]Mapping!$B$3:$D$37,3,0)</f>
        <v>cashloan</v>
      </c>
      <c r="I15318" s="549">
        <v>349092703</v>
      </c>
    </row>
    <row r="15319" spans="1:9" x14ac:dyDescent="0.2">
      <c r="A15319" s="134">
        <v>46151</v>
      </c>
      <c r="B15319" s="549">
        <f>YEAR(source[[#This Row],[report_date]])</f>
        <v>2026</v>
      </c>
      <c r="C15319" s="128">
        <f t="shared" si="724"/>
        <v>5</v>
      </c>
      <c r="D15319" s="136">
        <f t="shared" si="725"/>
        <v>19</v>
      </c>
      <c r="E15319" s="136">
        <f t="shared" si="726"/>
        <v>9</v>
      </c>
      <c r="F15319" s="128" t="s">
        <v>24</v>
      </c>
      <c r="G15319" s="128" t="s">
        <v>24</v>
      </c>
      <c r="H15319" s="128" t="str">
        <f>VLOOKUP(source[[#This Row],[lending_product_transform]],[3]Mapping!$B$3:$D$37,3,0)</f>
        <v>cashloan</v>
      </c>
      <c r="I15319" s="549">
        <v>14375340000</v>
      </c>
    </row>
    <row r="15320" spans="1:9" x14ac:dyDescent="0.2">
      <c r="A15320" s="134">
        <v>46151</v>
      </c>
      <c r="B15320" s="549">
        <f>YEAR(source[[#This Row],[report_date]])</f>
        <v>2026</v>
      </c>
      <c r="C15320" s="128">
        <f t="shared" si="724"/>
        <v>5</v>
      </c>
      <c r="D15320" s="136">
        <f t="shared" si="725"/>
        <v>19</v>
      </c>
      <c r="E15320" s="136">
        <f t="shared" si="726"/>
        <v>9</v>
      </c>
      <c r="F15320" s="128" t="s">
        <v>24</v>
      </c>
      <c r="G15320" s="128" t="s">
        <v>24</v>
      </c>
      <c r="H15320" s="128" t="str">
        <f>VLOOKUP(source[[#This Row],[lending_product_transform]],[3]Mapping!$B$3:$D$37,3,0)</f>
        <v>cashloan</v>
      </c>
      <c r="I15320" s="549">
        <v>99510000</v>
      </c>
    </row>
    <row r="15321" spans="1:9" x14ac:dyDescent="0.2">
      <c r="A15321" s="134">
        <v>46151</v>
      </c>
      <c r="B15321" s="549">
        <f>YEAR(source[[#This Row],[report_date]])</f>
        <v>2026</v>
      </c>
      <c r="C15321" s="128">
        <f t="shared" si="724"/>
        <v>5</v>
      </c>
      <c r="D15321" s="136">
        <f t="shared" si="725"/>
        <v>19</v>
      </c>
      <c r="E15321" s="136">
        <f t="shared" si="726"/>
        <v>9</v>
      </c>
      <c r="F15321" s="128" t="s">
        <v>24</v>
      </c>
      <c r="G15321" s="128" t="s">
        <v>67</v>
      </c>
      <c r="H15321" s="128" t="str">
        <f>VLOOKUP(source[[#This Row],[lending_product_transform]],[3]Mapping!$B$3:$D$37,3,0)</f>
        <v>cashloan</v>
      </c>
      <c r="I15321" s="549">
        <v>1570711589</v>
      </c>
    </row>
    <row r="15322" spans="1:9" x14ac:dyDescent="0.2">
      <c r="A15322" s="134">
        <v>46151</v>
      </c>
      <c r="B15322" s="549">
        <f>YEAR(source[[#This Row],[report_date]])</f>
        <v>2026</v>
      </c>
      <c r="C15322" s="128">
        <f t="shared" si="724"/>
        <v>5</v>
      </c>
      <c r="D15322" s="136">
        <f t="shared" si="725"/>
        <v>19</v>
      </c>
      <c r="E15322" s="136">
        <f t="shared" si="726"/>
        <v>9</v>
      </c>
      <c r="F15322" s="128" t="s">
        <v>24</v>
      </c>
      <c r="G15322" s="128" t="s">
        <v>28</v>
      </c>
      <c r="H15322" s="128" t="str">
        <f>VLOOKUP(source[[#This Row],[lending_product_transform]],[3]Mapping!$B$3:$D$37,3,0)</f>
        <v>cashloan</v>
      </c>
      <c r="I15322" s="549">
        <v>16232400000</v>
      </c>
    </row>
    <row r="15323" spans="1:9" x14ac:dyDescent="0.2">
      <c r="A15323" s="134">
        <v>46151</v>
      </c>
      <c r="B15323" s="549">
        <f>YEAR(source[[#This Row],[report_date]])</f>
        <v>2026</v>
      </c>
      <c r="C15323" s="128">
        <f t="shared" si="724"/>
        <v>5</v>
      </c>
      <c r="D15323" s="136">
        <f t="shared" si="725"/>
        <v>19</v>
      </c>
      <c r="E15323" s="136">
        <f t="shared" si="726"/>
        <v>9</v>
      </c>
      <c r="F15323" s="128" t="s">
        <v>24</v>
      </c>
      <c r="G15323" s="128" t="s">
        <v>208</v>
      </c>
      <c r="H15323" s="128" t="str">
        <f>VLOOKUP(source[[#This Row],[lending_product_transform]],[3]Mapping!$B$3:$D$37,3,0)</f>
        <v>cashloan</v>
      </c>
      <c r="I15323" s="549">
        <v>0</v>
      </c>
    </row>
    <row r="15324" spans="1:9" x14ac:dyDescent="0.2">
      <c r="A15324" s="134">
        <v>46151</v>
      </c>
      <c r="B15324" s="549">
        <f>YEAR(source[[#This Row],[report_date]])</f>
        <v>2026</v>
      </c>
      <c r="C15324" s="128">
        <f t="shared" si="724"/>
        <v>5</v>
      </c>
      <c r="D15324" s="136">
        <f t="shared" si="725"/>
        <v>19</v>
      </c>
      <c r="E15324" s="136">
        <f t="shared" si="726"/>
        <v>9</v>
      </c>
      <c r="F15324" s="128" t="s">
        <v>24</v>
      </c>
      <c r="G15324" s="128" t="s">
        <v>60</v>
      </c>
      <c r="H15324" s="128" t="str">
        <f>VLOOKUP(source[[#This Row],[lending_product_transform]],[3]Mapping!$B$3:$D$37,3,0)</f>
        <v>cashloan</v>
      </c>
      <c r="I15324" s="549">
        <v>0</v>
      </c>
    </row>
    <row r="15325" spans="1:9" x14ac:dyDescent="0.2">
      <c r="A15325" s="134">
        <v>46151</v>
      </c>
      <c r="B15325" s="549">
        <f>YEAR(source[[#This Row],[report_date]])</f>
        <v>2026</v>
      </c>
      <c r="C15325" s="128">
        <f t="shared" si="724"/>
        <v>5</v>
      </c>
      <c r="D15325" s="136">
        <f t="shared" si="725"/>
        <v>19</v>
      </c>
      <c r="E15325" s="136">
        <f t="shared" si="726"/>
        <v>9</v>
      </c>
      <c r="F15325" s="128" t="s">
        <v>24</v>
      </c>
      <c r="G15325" s="128" t="s">
        <v>36</v>
      </c>
      <c r="H15325" s="128" t="str">
        <f>VLOOKUP(source[[#This Row],[lending_product_transform]],[3]Mapping!$B$3:$D$37,3,0)</f>
        <v>cashloan</v>
      </c>
      <c r="I15325" s="549">
        <v>2616250000</v>
      </c>
    </row>
    <row r="15326" spans="1:9" x14ac:dyDescent="0.2">
      <c r="A15326" s="134">
        <v>46151</v>
      </c>
      <c r="B15326" s="549">
        <f>YEAR(source[[#This Row],[report_date]])</f>
        <v>2026</v>
      </c>
      <c r="C15326" s="128">
        <f t="shared" si="724"/>
        <v>5</v>
      </c>
      <c r="D15326" s="136">
        <f t="shared" si="725"/>
        <v>19</v>
      </c>
      <c r="E15326" s="136">
        <f t="shared" si="726"/>
        <v>9</v>
      </c>
      <c r="F15326" s="128" t="s">
        <v>24</v>
      </c>
      <c r="G15326" s="128" t="s">
        <v>36</v>
      </c>
      <c r="H15326" s="128" t="str">
        <f>VLOOKUP(source[[#This Row],[lending_product_transform]],[3]Mapping!$B$3:$D$37,3,0)</f>
        <v>cashloan</v>
      </c>
      <c r="I15326" s="549">
        <v>974880000</v>
      </c>
    </row>
    <row r="15327" spans="1:9" x14ac:dyDescent="0.2">
      <c r="A15327" s="134">
        <v>46151</v>
      </c>
      <c r="B15327" s="549">
        <f>YEAR(source[[#This Row],[report_date]])</f>
        <v>2026</v>
      </c>
      <c r="C15327" s="128">
        <f t="shared" si="724"/>
        <v>5</v>
      </c>
      <c r="D15327" s="136">
        <f t="shared" si="725"/>
        <v>19</v>
      </c>
      <c r="E15327" s="136">
        <f t="shared" si="726"/>
        <v>9</v>
      </c>
      <c r="F15327" s="128" t="s">
        <v>24</v>
      </c>
      <c r="G15327" s="128" t="s">
        <v>176</v>
      </c>
      <c r="H15327" s="128" t="str">
        <f>VLOOKUP(source[[#This Row],[lending_product_transform]],[3]Mapping!$B$3:$D$37,3,0)</f>
        <v>cashloan</v>
      </c>
      <c r="I15327" s="549">
        <v>21331487</v>
      </c>
    </row>
    <row r="15328" spans="1:9" x14ac:dyDescent="0.2">
      <c r="A15328" s="134">
        <v>46151</v>
      </c>
      <c r="B15328" s="549">
        <f>YEAR(source[[#This Row],[report_date]])</f>
        <v>2026</v>
      </c>
      <c r="C15328" s="128">
        <f t="shared" si="724"/>
        <v>5</v>
      </c>
      <c r="D15328" s="136">
        <f t="shared" si="725"/>
        <v>19</v>
      </c>
      <c r="E15328" s="136">
        <f t="shared" si="726"/>
        <v>9</v>
      </c>
      <c r="F15328" s="128" t="s">
        <v>24</v>
      </c>
      <c r="G15328" s="128" t="s">
        <v>176</v>
      </c>
      <c r="H15328" s="128" t="str">
        <f>VLOOKUP(source[[#This Row],[lending_product_transform]],[3]Mapping!$B$3:$D$37,3,0)</f>
        <v>cashloan</v>
      </c>
      <c r="I15328" s="549">
        <v>1503059628</v>
      </c>
    </row>
    <row r="15329" spans="1:9" x14ac:dyDescent="0.2">
      <c r="A15329" s="134">
        <v>46151</v>
      </c>
      <c r="B15329" s="549">
        <f>YEAR(source[[#This Row],[report_date]])</f>
        <v>2026</v>
      </c>
      <c r="C15329" s="128">
        <f t="shared" si="724"/>
        <v>5</v>
      </c>
      <c r="D15329" s="136">
        <f t="shared" si="725"/>
        <v>19</v>
      </c>
      <c r="E15329" s="136">
        <f t="shared" si="726"/>
        <v>9</v>
      </c>
      <c r="F15329" s="128" t="s">
        <v>24</v>
      </c>
      <c r="G15329" s="128" t="s">
        <v>206</v>
      </c>
      <c r="H15329" s="128" t="str">
        <f>VLOOKUP(source[[#This Row],[lending_product_transform]],[3]Mapping!$B$3:$D$37,3,0)</f>
        <v>cashloan</v>
      </c>
      <c r="I15329" s="549">
        <v>0</v>
      </c>
    </row>
    <row r="15330" spans="1:9" x14ac:dyDescent="0.2">
      <c r="A15330" s="134">
        <v>46151</v>
      </c>
      <c r="B15330" s="549">
        <f>YEAR(source[[#This Row],[report_date]])</f>
        <v>2026</v>
      </c>
      <c r="C15330" s="128">
        <f t="shared" si="724"/>
        <v>5</v>
      </c>
      <c r="D15330" s="136">
        <f t="shared" si="725"/>
        <v>19</v>
      </c>
      <c r="E15330" s="136">
        <f t="shared" si="726"/>
        <v>9</v>
      </c>
      <c r="F15330" s="128" t="s">
        <v>24</v>
      </c>
      <c r="G15330" s="128" t="s">
        <v>209</v>
      </c>
      <c r="H15330" s="128" t="str">
        <f>VLOOKUP(source[[#This Row],[lending_product_transform]],[3]Mapping!$B$3:$D$37,3,0)</f>
        <v>cashloan</v>
      </c>
      <c r="I15330" s="549">
        <v>57750000</v>
      </c>
    </row>
    <row r="15331" spans="1:9" x14ac:dyDescent="0.2">
      <c r="A15331" s="134">
        <v>46151</v>
      </c>
      <c r="B15331" s="549">
        <f>YEAR(source[[#This Row],[report_date]])</f>
        <v>2026</v>
      </c>
      <c r="C15331" s="128">
        <f t="shared" si="724"/>
        <v>5</v>
      </c>
      <c r="D15331" s="136">
        <f t="shared" si="725"/>
        <v>19</v>
      </c>
      <c r="E15331" s="136">
        <f t="shared" si="726"/>
        <v>9</v>
      </c>
      <c r="F15331" s="128" t="s">
        <v>24</v>
      </c>
      <c r="G15331" s="128" t="s">
        <v>209</v>
      </c>
      <c r="H15331" s="128" t="str">
        <f>VLOOKUP(source[[#This Row],[lending_product_transform]],[3]Mapping!$B$3:$D$37,3,0)</f>
        <v>cashloan</v>
      </c>
      <c r="I15331" s="549">
        <v>20600000</v>
      </c>
    </row>
    <row r="15332" spans="1:9" x14ac:dyDescent="0.2">
      <c r="A15332" s="134">
        <v>46151</v>
      </c>
      <c r="B15332" s="549">
        <f>YEAR(source[[#This Row],[report_date]])</f>
        <v>2026</v>
      </c>
      <c r="C15332" s="128">
        <f t="shared" si="724"/>
        <v>5</v>
      </c>
      <c r="D15332" s="136">
        <f t="shared" si="725"/>
        <v>19</v>
      </c>
      <c r="E15332" s="136">
        <f t="shared" si="726"/>
        <v>9</v>
      </c>
      <c r="F15332" s="128" t="s">
        <v>24</v>
      </c>
      <c r="G15332" s="128" t="s">
        <v>11</v>
      </c>
      <c r="H15332" s="128" t="str">
        <f>VLOOKUP(source[[#This Row],[lending_product_transform]],[3]Mapping!$B$3:$D$37,3,0)</f>
        <v>cashloan</v>
      </c>
      <c r="I15332" s="549">
        <v>18784580000</v>
      </c>
    </row>
    <row r="15333" spans="1:9" x14ac:dyDescent="0.2">
      <c r="A15333" s="134">
        <v>46151</v>
      </c>
      <c r="B15333" s="549">
        <f>YEAR(source[[#This Row],[report_date]])</f>
        <v>2026</v>
      </c>
      <c r="C15333" s="128">
        <f t="shared" si="724"/>
        <v>5</v>
      </c>
      <c r="D15333" s="136">
        <f t="shared" si="725"/>
        <v>19</v>
      </c>
      <c r="E15333" s="136">
        <f t="shared" si="726"/>
        <v>9</v>
      </c>
      <c r="F15333" s="128" t="s">
        <v>24</v>
      </c>
      <c r="G15333" s="128" t="s">
        <v>207</v>
      </c>
      <c r="H15333" s="128" t="str">
        <f>VLOOKUP(source[[#This Row],[lending_product_transform]],[3]Mapping!$B$3:$D$37,3,0)</f>
        <v>cashloan</v>
      </c>
      <c r="I15333" s="549">
        <v>0</v>
      </c>
    </row>
    <row r="15334" spans="1:9" x14ac:dyDescent="0.2">
      <c r="A15334" s="134">
        <v>46151</v>
      </c>
      <c r="B15334" s="549">
        <f>YEAR(source[[#This Row],[report_date]])</f>
        <v>2026</v>
      </c>
      <c r="C15334" s="128">
        <f t="shared" si="724"/>
        <v>5</v>
      </c>
      <c r="D15334" s="136">
        <f t="shared" si="725"/>
        <v>19</v>
      </c>
      <c r="E15334" s="136">
        <f t="shared" si="726"/>
        <v>9</v>
      </c>
      <c r="F15334" s="128" t="s">
        <v>24</v>
      </c>
      <c r="G15334" s="128" t="s">
        <v>207</v>
      </c>
      <c r="H15334" s="128" t="str">
        <f>VLOOKUP(source[[#This Row],[lending_product_transform]],[3]Mapping!$B$3:$D$37,3,0)</f>
        <v>cashloan</v>
      </c>
      <c r="I15334" s="549">
        <v>0</v>
      </c>
    </row>
    <row r="15335" spans="1:9" x14ac:dyDescent="0.2">
      <c r="A15335" s="134">
        <v>46151</v>
      </c>
      <c r="B15335" s="549">
        <f>YEAR(source[[#This Row],[report_date]])</f>
        <v>2026</v>
      </c>
      <c r="C15335" s="128">
        <f t="shared" si="724"/>
        <v>5</v>
      </c>
      <c r="D15335" s="136">
        <f t="shared" si="725"/>
        <v>19</v>
      </c>
      <c r="E15335" s="136">
        <f t="shared" si="726"/>
        <v>9</v>
      </c>
      <c r="F15335" s="128" t="s">
        <v>24</v>
      </c>
      <c r="G15335" s="128" t="s">
        <v>207</v>
      </c>
      <c r="H15335" s="128" t="str">
        <f>VLOOKUP(source[[#This Row],[lending_product_transform]],[3]Mapping!$B$3:$D$37,3,0)</f>
        <v>cashloan</v>
      </c>
      <c r="I15335" s="549">
        <v>0</v>
      </c>
    </row>
    <row r="15336" spans="1:9" x14ac:dyDescent="0.2">
      <c r="A15336" s="134">
        <v>46151</v>
      </c>
      <c r="B15336" s="549">
        <f>YEAR(source[[#This Row],[report_date]])</f>
        <v>2026</v>
      </c>
      <c r="C15336" s="128">
        <f t="shared" si="724"/>
        <v>5</v>
      </c>
      <c r="D15336" s="136">
        <f t="shared" si="725"/>
        <v>19</v>
      </c>
      <c r="E15336" s="136">
        <f t="shared" si="726"/>
        <v>9</v>
      </c>
      <c r="F15336" s="128" t="s">
        <v>24</v>
      </c>
      <c r="G15336" s="128" t="s">
        <v>11</v>
      </c>
      <c r="H15336" s="128" t="str">
        <f>VLOOKUP(source[[#This Row],[lending_product_transform]],[3]Mapping!$B$3:$D$37,3,0)</f>
        <v>cashloan</v>
      </c>
      <c r="I15336" s="549">
        <v>0</v>
      </c>
    </row>
    <row r="15337" spans="1:9" x14ac:dyDescent="0.2">
      <c r="A15337" s="134">
        <v>46151</v>
      </c>
      <c r="B15337" s="549">
        <f>YEAR(source[[#This Row],[report_date]])</f>
        <v>2026</v>
      </c>
      <c r="C15337" s="128">
        <f t="shared" si="724"/>
        <v>5</v>
      </c>
      <c r="D15337" s="136">
        <f t="shared" si="725"/>
        <v>19</v>
      </c>
      <c r="E15337" s="136">
        <f t="shared" si="726"/>
        <v>9</v>
      </c>
      <c r="F15337" s="128" t="s">
        <v>24</v>
      </c>
      <c r="G15337" s="128" t="s">
        <v>19</v>
      </c>
      <c r="H15337" s="128" t="str">
        <f>VLOOKUP(source[[#This Row],[lending_product_transform]],[3]Mapping!$B$3:$D$37,3,0)</f>
        <v>cashloan</v>
      </c>
      <c r="I15337" s="549">
        <v>12728880000</v>
      </c>
    </row>
    <row r="15338" spans="1:9" x14ac:dyDescent="0.2">
      <c r="A15338" s="134">
        <v>46151</v>
      </c>
      <c r="B15338" s="549">
        <f>YEAR(source[[#This Row],[report_date]])</f>
        <v>2026</v>
      </c>
      <c r="C15338" s="128">
        <f t="shared" si="724"/>
        <v>5</v>
      </c>
      <c r="D15338" s="136">
        <f t="shared" si="725"/>
        <v>19</v>
      </c>
      <c r="E15338" s="136">
        <f t="shared" si="726"/>
        <v>9</v>
      </c>
      <c r="F15338" s="128" t="s">
        <v>24</v>
      </c>
      <c r="G15338" s="128" t="s">
        <v>62</v>
      </c>
      <c r="H15338" s="128" t="str">
        <f>VLOOKUP(source[[#This Row],[lending_product_transform]],[3]Mapping!$B$3:$D$37,3,0)</f>
        <v>cashloan</v>
      </c>
      <c r="I15338" s="549">
        <v>259711703</v>
      </c>
    </row>
    <row r="15339" spans="1:9" x14ac:dyDescent="0.2">
      <c r="A15339" s="134">
        <v>46151</v>
      </c>
      <c r="B15339" s="549">
        <f>YEAR(source[[#This Row],[report_date]])</f>
        <v>2026</v>
      </c>
      <c r="C15339" s="128">
        <f t="shared" si="724"/>
        <v>5</v>
      </c>
      <c r="D15339" s="136">
        <f t="shared" si="725"/>
        <v>19</v>
      </c>
      <c r="E15339" s="136">
        <f t="shared" si="726"/>
        <v>9</v>
      </c>
      <c r="F15339" s="128" t="s">
        <v>24</v>
      </c>
      <c r="G15339" s="128" t="s">
        <v>58</v>
      </c>
      <c r="H15339" s="128" t="str">
        <f>VLOOKUP(source[[#This Row],[lending_product_transform]],[3]Mapping!$B$3:$D$37,3,0)</f>
        <v>cashloan</v>
      </c>
      <c r="I15339" s="549">
        <v>21000000</v>
      </c>
    </row>
    <row r="15340" spans="1:9" x14ac:dyDescent="0.2">
      <c r="A15340" s="134">
        <v>46151</v>
      </c>
      <c r="B15340" s="549">
        <f>YEAR(source[[#This Row],[report_date]])</f>
        <v>2026</v>
      </c>
      <c r="C15340" s="128">
        <f t="shared" si="724"/>
        <v>5</v>
      </c>
      <c r="D15340" s="136">
        <f t="shared" si="725"/>
        <v>19</v>
      </c>
      <c r="E15340" s="136">
        <f t="shared" si="726"/>
        <v>9</v>
      </c>
      <c r="F15340" s="128" t="s">
        <v>24</v>
      </c>
      <c r="G15340" s="128" t="s">
        <v>61</v>
      </c>
      <c r="H15340" s="128" t="str">
        <f>VLOOKUP(source[[#This Row],[lending_product_transform]],[3]Mapping!$B$3:$D$37,3,0)</f>
        <v>cashloan</v>
      </c>
      <c r="I15340" s="549">
        <v>7000000</v>
      </c>
    </row>
    <row r="15341" spans="1:9" x14ac:dyDescent="0.2">
      <c r="A15341" s="134">
        <v>46151</v>
      </c>
      <c r="B15341" s="549">
        <f>YEAR(source[[#This Row],[report_date]])</f>
        <v>2026</v>
      </c>
      <c r="C15341" s="128">
        <f t="shared" si="724"/>
        <v>5</v>
      </c>
      <c r="D15341" s="136">
        <f t="shared" si="725"/>
        <v>19</v>
      </c>
      <c r="E15341" s="136">
        <f t="shared" si="726"/>
        <v>9</v>
      </c>
      <c r="F15341" s="128" t="s">
        <v>24</v>
      </c>
      <c r="G15341" s="128" t="s">
        <v>57</v>
      </c>
      <c r="H15341" s="128" t="str">
        <f>VLOOKUP(source[[#This Row],[lending_product_transform]],[3]Mapping!$B$3:$D$37,3,0)</f>
        <v>cashloan</v>
      </c>
      <c r="I15341" s="549">
        <v>576060000</v>
      </c>
    </row>
    <row r="15342" spans="1:9" x14ac:dyDescent="0.2">
      <c r="A15342" s="134">
        <v>46151</v>
      </c>
      <c r="B15342" s="549">
        <f>YEAR(source[[#This Row],[report_date]])</f>
        <v>2026</v>
      </c>
      <c r="C15342" s="128">
        <f t="shared" si="724"/>
        <v>5</v>
      </c>
      <c r="D15342" s="136">
        <f t="shared" si="725"/>
        <v>19</v>
      </c>
      <c r="E15342" s="136">
        <f t="shared" si="726"/>
        <v>9</v>
      </c>
      <c r="F15342" s="128" t="s">
        <v>24</v>
      </c>
      <c r="G15342" s="128" t="s">
        <v>63</v>
      </c>
      <c r="H15342" s="128" t="str">
        <f>VLOOKUP(source[[#This Row],[lending_product_transform]],[3]Mapping!$B$3:$D$37,3,0)</f>
        <v>cashloan</v>
      </c>
      <c r="I15342" s="549">
        <v>260172000</v>
      </c>
    </row>
    <row r="15343" spans="1:9" x14ac:dyDescent="0.2">
      <c r="A15343" s="134">
        <v>46151</v>
      </c>
      <c r="B15343" s="549">
        <f>YEAR(source[[#This Row],[report_date]])</f>
        <v>2026</v>
      </c>
      <c r="C15343" s="128">
        <f t="shared" si="724"/>
        <v>5</v>
      </c>
      <c r="D15343" s="136">
        <f t="shared" si="725"/>
        <v>19</v>
      </c>
      <c r="E15343" s="136">
        <f t="shared" si="726"/>
        <v>9</v>
      </c>
      <c r="F15343" s="128" t="s">
        <v>24</v>
      </c>
      <c r="G15343" s="128" t="s">
        <v>59</v>
      </c>
      <c r="H15343" s="128" t="str">
        <f>VLOOKUP(source[[#This Row],[lending_product_transform]],[3]Mapping!$B$3:$D$37,3,0)</f>
        <v>cashloan</v>
      </c>
      <c r="I15343" s="549">
        <v>352294573</v>
      </c>
    </row>
    <row r="15344" spans="1:9" x14ac:dyDescent="0.2">
      <c r="A15344" s="134">
        <v>46151</v>
      </c>
      <c r="B15344" s="549">
        <f>YEAR(source[[#This Row],[report_date]])</f>
        <v>2026</v>
      </c>
      <c r="C15344" s="128">
        <f t="shared" si="724"/>
        <v>5</v>
      </c>
      <c r="D15344" s="136">
        <f t="shared" si="725"/>
        <v>19</v>
      </c>
      <c r="E15344" s="136">
        <f t="shared" si="726"/>
        <v>9</v>
      </c>
      <c r="F15344" s="128" t="s">
        <v>24</v>
      </c>
      <c r="G15344" s="128" t="s">
        <v>175</v>
      </c>
      <c r="H15344" s="128" t="str">
        <f>VLOOKUP(source[[#This Row],[lending_product_transform]],[3]Mapping!$B$3:$D$37,3,0)</f>
        <v>cashloan</v>
      </c>
      <c r="I15344" s="549">
        <v>5272650000</v>
      </c>
    </row>
    <row r="15345" spans="1:9" x14ac:dyDescent="0.2">
      <c r="A15345" s="134">
        <v>46151</v>
      </c>
      <c r="B15345" s="549">
        <f>YEAR(source[[#This Row],[report_date]])</f>
        <v>2026</v>
      </c>
      <c r="C15345" s="128">
        <f t="shared" ref="C15345:C15374" si="727">MONTH(A15345)</f>
        <v>5</v>
      </c>
      <c r="D15345" s="136">
        <f t="shared" ref="D15345:D15374" si="728">WEEKNUM(A15345,2)</f>
        <v>19</v>
      </c>
      <c r="E15345" s="136">
        <f t="shared" ref="E15345:E15374" si="729">DAY(A15345)</f>
        <v>9</v>
      </c>
      <c r="F15345" s="128" t="s">
        <v>24</v>
      </c>
      <c r="G15345" s="128" t="s">
        <v>210</v>
      </c>
      <c r="H15345" s="128" t="str">
        <f>VLOOKUP(source[[#This Row],[lending_product_transform]],[3]Mapping!$B$3:$D$37,3,0)</f>
        <v>cashloan</v>
      </c>
      <c r="I15345" s="549">
        <v>0</v>
      </c>
    </row>
    <row r="15346" spans="1:9" x14ac:dyDescent="0.2">
      <c r="A15346" s="134">
        <v>46152</v>
      </c>
      <c r="B15346" s="549">
        <f>YEAR(source[[#This Row],[report_date]])</f>
        <v>2026</v>
      </c>
      <c r="C15346" s="128">
        <f t="shared" si="727"/>
        <v>5</v>
      </c>
      <c r="D15346" s="136">
        <f t="shared" si="728"/>
        <v>19</v>
      </c>
      <c r="E15346" s="136">
        <f t="shared" si="729"/>
        <v>10</v>
      </c>
      <c r="F15346" s="128" t="s">
        <v>24</v>
      </c>
      <c r="G15346" s="128" t="s">
        <v>65</v>
      </c>
      <c r="H15346" s="128" t="str">
        <f>VLOOKUP(source[[#This Row],[lending_product_transform]],[3]Mapping!$B$3:$D$37,3,0)</f>
        <v>cashloan</v>
      </c>
      <c r="I15346" s="549">
        <v>1021580000</v>
      </c>
    </row>
    <row r="15347" spans="1:9" x14ac:dyDescent="0.2">
      <c r="A15347" s="134">
        <v>46152</v>
      </c>
      <c r="B15347" s="549">
        <f>YEAR(source[[#This Row],[report_date]])</f>
        <v>2026</v>
      </c>
      <c r="C15347" s="128">
        <f t="shared" si="727"/>
        <v>5</v>
      </c>
      <c r="D15347" s="136">
        <f t="shared" si="728"/>
        <v>19</v>
      </c>
      <c r="E15347" s="136">
        <f t="shared" si="729"/>
        <v>10</v>
      </c>
      <c r="F15347" s="128" t="s">
        <v>24</v>
      </c>
      <c r="G15347" s="128" t="s">
        <v>66</v>
      </c>
      <c r="H15347" s="128" t="str">
        <f>VLOOKUP(source[[#This Row],[lending_product_transform]],[3]Mapping!$B$3:$D$37,3,0)</f>
        <v>cashloan</v>
      </c>
      <c r="I15347" s="549">
        <v>348948829</v>
      </c>
    </row>
    <row r="15348" spans="1:9" x14ac:dyDescent="0.2">
      <c r="A15348" s="134">
        <v>46152</v>
      </c>
      <c r="B15348" s="549">
        <f>YEAR(source[[#This Row],[report_date]])</f>
        <v>2026</v>
      </c>
      <c r="C15348" s="128">
        <f t="shared" si="727"/>
        <v>5</v>
      </c>
      <c r="D15348" s="136">
        <f t="shared" si="728"/>
        <v>19</v>
      </c>
      <c r="E15348" s="136">
        <f t="shared" si="729"/>
        <v>10</v>
      </c>
      <c r="F15348" s="128" t="s">
        <v>24</v>
      </c>
      <c r="G15348" s="128" t="s">
        <v>24</v>
      </c>
      <c r="H15348" s="128" t="str">
        <f>VLOOKUP(source[[#This Row],[lending_product_transform]],[3]Mapping!$B$3:$D$37,3,0)</f>
        <v>cashloan</v>
      </c>
      <c r="I15348" s="549">
        <v>13360990000</v>
      </c>
    </row>
    <row r="15349" spans="1:9" x14ac:dyDescent="0.2">
      <c r="A15349" s="134">
        <v>46152</v>
      </c>
      <c r="B15349" s="549">
        <f>YEAR(source[[#This Row],[report_date]])</f>
        <v>2026</v>
      </c>
      <c r="C15349" s="128">
        <f t="shared" si="727"/>
        <v>5</v>
      </c>
      <c r="D15349" s="136">
        <f t="shared" si="728"/>
        <v>19</v>
      </c>
      <c r="E15349" s="136">
        <f t="shared" si="729"/>
        <v>10</v>
      </c>
      <c r="F15349" s="128" t="s">
        <v>24</v>
      </c>
      <c r="G15349" s="128" t="s">
        <v>24</v>
      </c>
      <c r="H15349" s="128" t="str">
        <f>VLOOKUP(source[[#This Row],[lending_product_transform]],[3]Mapping!$B$3:$D$37,3,0)</f>
        <v>cashloan</v>
      </c>
      <c r="I15349" s="549">
        <v>0</v>
      </c>
    </row>
    <row r="15350" spans="1:9" x14ac:dyDescent="0.2">
      <c r="A15350" s="134">
        <v>46152</v>
      </c>
      <c r="B15350" s="549">
        <f>YEAR(source[[#This Row],[report_date]])</f>
        <v>2026</v>
      </c>
      <c r="C15350" s="128">
        <f t="shared" si="727"/>
        <v>5</v>
      </c>
      <c r="D15350" s="136">
        <f t="shared" si="728"/>
        <v>19</v>
      </c>
      <c r="E15350" s="136">
        <f t="shared" si="729"/>
        <v>10</v>
      </c>
      <c r="F15350" s="128" t="s">
        <v>67</v>
      </c>
      <c r="G15350" s="128" t="s">
        <v>67</v>
      </c>
      <c r="H15350" s="128" t="str">
        <f>VLOOKUP(source[[#This Row],[lending_product_transform]],[3]Mapping!$B$3:$D$37,3,0)</f>
        <v>overdraft</v>
      </c>
      <c r="I15350" s="549">
        <v>2083004399</v>
      </c>
    </row>
    <row r="15351" spans="1:9" x14ac:dyDescent="0.2">
      <c r="A15351" s="134">
        <v>46152</v>
      </c>
      <c r="B15351" s="549">
        <f>YEAR(source[[#This Row],[report_date]])</f>
        <v>2026</v>
      </c>
      <c r="C15351" s="128">
        <f t="shared" si="727"/>
        <v>5</v>
      </c>
      <c r="D15351" s="136">
        <f t="shared" si="728"/>
        <v>19</v>
      </c>
      <c r="E15351" s="136">
        <f t="shared" si="729"/>
        <v>10</v>
      </c>
      <c r="F15351" s="128" t="s">
        <v>28</v>
      </c>
      <c r="G15351" s="128" t="s">
        <v>28</v>
      </c>
      <c r="H15351" s="128" t="str">
        <f>VLOOKUP(source[[#This Row],[lending_product_transform]],[3]Mapping!$B$3:$D$37,3,0)</f>
        <v>payday</v>
      </c>
      <c r="I15351" s="549">
        <v>17148240000</v>
      </c>
    </row>
    <row r="15352" spans="1:9" x14ac:dyDescent="0.2">
      <c r="A15352" s="134">
        <v>46152</v>
      </c>
      <c r="B15352" s="549">
        <f>YEAR(source[[#This Row],[report_date]])</f>
        <v>2026</v>
      </c>
      <c r="C15352" s="128">
        <f t="shared" si="727"/>
        <v>5</v>
      </c>
      <c r="D15352" s="136">
        <f t="shared" si="728"/>
        <v>19</v>
      </c>
      <c r="E15352" s="136">
        <f t="shared" si="729"/>
        <v>10</v>
      </c>
      <c r="F15352" s="128" t="s">
        <v>208</v>
      </c>
      <c r="G15352" s="128" t="s">
        <v>208</v>
      </c>
      <c r="H15352" s="128" t="str">
        <f>VLOOKUP(source[[#This Row],[lending_product_transform]],[3]Mapping!$B$3:$D$37,3,0)</f>
        <v>paylater</v>
      </c>
      <c r="I15352" s="549">
        <v>0</v>
      </c>
    </row>
    <row r="15353" spans="1:9" x14ac:dyDescent="0.2">
      <c r="A15353" s="134">
        <v>46152</v>
      </c>
      <c r="B15353" s="549">
        <f>YEAR(source[[#This Row],[report_date]])</f>
        <v>2026</v>
      </c>
      <c r="C15353" s="128">
        <f t="shared" si="727"/>
        <v>5</v>
      </c>
      <c r="D15353" s="136">
        <f t="shared" si="728"/>
        <v>19</v>
      </c>
      <c r="E15353" s="136">
        <f t="shared" si="729"/>
        <v>10</v>
      </c>
      <c r="F15353" s="128" t="s">
        <v>60</v>
      </c>
      <c r="G15353" s="128" t="s">
        <v>60</v>
      </c>
      <c r="H15353" s="128" t="str">
        <f>VLOOKUP(source[[#This Row],[lending_product_transform]],[3]Mapping!$B$3:$D$37,3,0)</f>
        <v>cashloan</v>
      </c>
      <c r="I15353" s="549">
        <v>0</v>
      </c>
    </row>
    <row r="15354" spans="1:9" x14ac:dyDescent="0.2">
      <c r="A15354" s="134">
        <v>46152</v>
      </c>
      <c r="B15354" s="549">
        <f>YEAR(source[[#This Row],[report_date]])</f>
        <v>2026</v>
      </c>
      <c r="C15354" s="128">
        <f t="shared" si="727"/>
        <v>5</v>
      </c>
      <c r="D15354" s="136">
        <f t="shared" si="728"/>
        <v>19</v>
      </c>
      <c r="E15354" s="136">
        <f t="shared" si="729"/>
        <v>10</v>
      </c>
      <c r="F15354" s="128" t="s">
        <v>36</v>
      </c>
      <c r="G15354" s="128" t="s">
        <v>36</v>
      </c>
      <c r="H15354" s="128" t="str">
        <f>VLOOKUP(source[[#This Row],[lending_product_transform]],[3]Mapping!$B$3:$D$37,3,0)</f>
        <v>cashloan</v>
      </c>
      <c r="I15354" s="549">
        <v>3656640000</v>
      </c>
    </row>
    <row r="15355" spans="1:9" x14ac:dyDescent="0.2">
      <c r="A15355" s="134">
        <v>46152</v>
      </c>
      <c r="B15355" s="549">
        <f>YEAR(source[[#This Row],[report_date]])</f>
        <v>2026</v>
      </c>
      <c r="C15355" s="128">
        <f t="shared" si="727"/>
        <v>5</v>
      </c>
      <c r="D15355" s="136">
        <f t="shared" si="728"/>
        <v>19</v>
      </c>
      <c r="E15355" s="136">
        <f t="shared" si="729"/>
        <v>10</v>
      </c>
      <c r="F15355" s="128" t="s">
        <v>55</v>
      </c>
      <c r="G15355" s="128" t="s">
        <v>36</v>
      </c>
      <c r="H15355" s="128" t="str">
        <f>VLOOKUP(source[[#This Row],[lending_product_transform]],[3]Mapping!$B$3:$D$37,3,0)</f>
        <v>cashloan</v>
      </c>
      <c r="I15355" s="549">
        <v>1063500000</v>
      </c>
    </row>
    <row r="15356" spans="1:9" x14ac:dyDescent="0.2">
      <c r="A15356" s="134">
        <v>46152</v>
      </c>
      <c r="B15356" s="549">
        <f>YEAR(source[[#This Row],[report_date]])</f>
        <v>2026</v>
      </c>
      <c r="C15356" s="128">
        <f t="shared" si="727"/>
        <v>5</v>
      </c>
      <c r="D15356" s="136">
        <f t="shared" si="728"/>
        <v>19</v>
      </c>
      <c r="E15356" s="136">
        <f t="shared" si="729"/>
        <v>10</v>
      </c>
      <c r="F15356" s="128" t="s">
        <v>176</v>
      </c>
      <c r="G15356" s="128" t="s">
        <v>176</v>
      </c>
      <c r="H15356" s="128" t="str">
        <f>VLOOKUP(source[[#This Row],[lending_product_transform]],[3]Mapping!$B$3:$D$37,3,0)</f>
        <v>paylater</v>
      </c>
      <c r="I15356" s="549">
        <v>6953690</v>
      </c>
    </row>
    <row r="15357" spans="1:9" x14ac:dyDescent="0.2">
      <c r="A15357" s="134">
        <v>46152</v>
      </c>
      <c r="B15357" s="549">
        <f>YEAR(source[[#This Row],[report_date]])</f>
        <v>2026</v>
      </c>
      <c r="C15357" s="128">
        <f t="shared" si="727"/>
        <v>5</v>
      </c>
      <c r="D15357" s="136">
        <f t="shared" si="728"/>
        <v>19</v>
      </c>
      <c r="E15357" s="136">
        <f t="shared" si="729"/>
        <v>10</v>
      </c>
      <c r="F15357" s="128" t="s">
        <v>39</v>
      </c>
      <c r="G15357" s="128" t="s">
        <v>176</v>
      </c>
      <c r="H15357" s="128" t="str">
        <f>VLOOKUP(source[[#This Row],[lending_product_transform]],[3]Mapping!$B$3:$D$37,3,0)</f>
        <v>paylater</v>
      </c>
      <c r="I15357" s="549">
        <v>1488623137</v>
      </c>
    </row>
    <row r="15358" spans="1:9" x14ac:dyDescent="0.2">
      <c r="A15358" s="134">
        <v>46152</v>
      </c>
      <c r="B15358" s="549">
        <f>YEAR(source[[#This Row],[report_date]])</f>
        <v>2026</v>
      </c>
      <c r="C15358" s="128">
        <f t="shared" si="727"/>
        <v>5</v>
      </c>
      <c r="D15358" s="136">
        <f t="shared" si="728"/>
        <v>19</v>
      </c>
      <c r="E15358" s="136">
        <f t="shared" si="729"/>
        <v>10</v>
      </c>
      <c r="F15358" s="128" t="s">
        <v>206</v>
      </c>
      <c r="G15358" s="128" t="s">
        <v>206</v>
      </c>
      <c r="H15358" s="128" t="str">
        <f>VLOOKUP(source[[#This Row],[lending_product_transform]],[3]Mapping!$B$3:$D$37,3,0)</f>
        <v>cashloan</v>
      </c>
      <c r="I15358" s="549">
        <v>0</v>
      </c>
    </row>
    <row r="15359" spans="1:9" x14ac:dyDescent="0.2">
      <c r="A15359" s="134">
        <v>46152</v>
      </c>
      <c r="B15359" s="549">
        <f>YEAR(source[[#This Row],[report_date]])</f>
        <v>2026</v>
      </c>
      <c r="C15359" s="128">
        <f t="shared" si="727"/>
        <v>5</v>
      </c>
      <c r="D15359" s="136">
        <f t="shared" si="728"/>
        <v>19</v>
      </c>
      <c r="E15359" s="136">
        <f t="shared" si="729"/>
        <v>10</v>
      </c>
      <c r="F15359" s="128" t="s">
        <v>64</v>
      </c>
      <c r="G15359" s="128" t="s">
        <v>209</v>
      </c>
      <c r="H15359" s="128" t="str">
        <f>VLOOKUP(source[[#This Row],[lending_product_transform]],[3]Mapping!$B$3:$D$37,3,0)</f>
        <v>cashloan</v>
      </c>
      <c r="I15359" s="549">
        <v>0</v>
      </c>
    </row>
    <row r="15360" spans="1:9" x14ac:dyDescent="0.2">
      <c r="A15360" s="134">
        <v>46152</v>
      </c>
      <c r="B15360" s="549">
        <f>YEAR(source[[#This Row],[report_date]])</f>
        <v>2026</v>
      </c>
      <c r="C15360" s="128">
        <f t="shared" si="727"/>
        <v>5</v>
      </c>
      <c r="D15360" s="136">
        <f t="shared" si="728"/>
        <v>19</v>
      </c>
      <c r="E15360" s="136">
        <f t="shared" si="729"/>
        <v>10</v>
      </c>
      <c r="F15360" s="128" t="s">
        <v>237</v>
      </c>
      <c r="G15360" s="128" t="s">
        <v>209</v>
      </c>
      <c r="H15360" s="128" t="str">
        <f>VLOOKUP(source[[#This Row],[lending_product_transform]],[3]Mapping!$B$3:$D$37,3,0)</f>
        <v>cashloan</v>
      </c>
      <c r="I15360" s="549">
        <v>0</v>
      </c>
    </row>
    <row r="15361" spans="1:9" x14ac:dyDescent="0.2">
      <c r="A15361" s="134">
        <v>46152</v>
      </c>
      <c r="B15361" s="549">
        <f>YEAR(source[[#This Row],[report_date]])</f>
        <v>2026</v>
      </c>
      <c r="C15361" s="128">
        <f t="shared" si="727"/>
        <v>5</v>
      </c>
      <c r="D15361" s="136">
        <f t="shared" si="728"/>
        <v>19</v>
      </c>
      <c r="E15361" s="136">
        <f t="shared" si="729"/>
        <v>10</v>
      </c>
      <c r="F15361" s="128" t="s">
        <v>11</v>
      </c>
      <c r="G15361" s="128" t="s">
        <v>11</v>
      </c>
      <c r="H15361" s="128" t="str">
        <f>VLOOKUP(source[[#This Row],[lending_product_transform]],[3]Mapping!$B$3:$D$37,3,0)</f>
        <v>cashloan</v>
      </c>
      <c r="I15361" s="549">
        <v>18208860000</v>
      </c>
    </row>
    <row r="15362" spans="1:9" x14ac:dyDescent="0.2">
      <c r="A15362" s="134">
        <v>46152</v>
      </c>
      <c r="B15362" s="549">
        <f>YEAR(source[[#This Row],[report_date]])</f>
        <v>2026</v>
      </c>
      <c r="C15362" s="128">
        <f t="shared" si="727"/>
        <v>5</v>
      </c>
      <c r="D15362" s="136">
        <f t="shared" si="728"/>
        <v>19</v>
      </c>
      <c r="E15362" s="136">
        <f t="shared" si="729"/>
        <v>10</v>
      </c>
      <c r="F15362" s="128" t="s">
        <v>221</v>
      </c>
      <c r="G15362" s="128" t="s">
        <v>207</v>
      </c>
      <c r="H15362" s="128" t="str">
        <f>VLOOKUP(source[[#This Row],[lending_product_transform]],[3]Mapping!$B$3:$D$37,3,0)</f>
        <v>cashloan</v>
      </c>
      <c r="I15362" s="549">
        <v>0</v>
      </c>
    </row>
    <row r="15363" spans="1:9" x14ac:dyDescent="0.2">
      <c r="A15363" s="134">
        <v>46152</v>
      </c>
      <c r="B15363" s="549">
        <f>YEAR(source[[#This Row],[report_date]])</f>
        <v>2026</v>
      </c>
      <c r="C15363" s="128">
        <f t="shared" si="727"/>
        <v>5</v>
      </c>
      <c r="D15363" s="136">
        <f t="shared" si="728"/>
        <v>19</v>
      </c>
      <c r="E15363" s="136">
        <f t="shared" si="729"/>
        <v>10</v>
      </c>
      <c r="F15363" s="128" t="s">
        <v>222</v>
      </c>
      <c r="G15363" s="128" t="s">
        <v>207</v>
      </c>
      <c r="H15363" s="128" t="str">
        <f>VLOOKUP(source[[#This Row],[lending_product_transform]],[3]Mapping!$B$3:$D$37,3,0)</f>
        <v>cashloan</v>
      </c>
      <c r="I15363" s="549">
        <v>0</v>
      </c>
    </row>
    <row r="15364" spans="1:9" x14ac:dyDescent="0.2">
      <c r="A15364" s="134">
        <v>46152</v>
      </c>
      <c r="B15364" s="549">
        <f>YEAR(source[[#This Row],[report_date]])</f>
        <v>2026</v>
      </c>
      <c r="C15364" s="128">
        <f t="shared" si="727"/>
        <v>5</v>
      </c>
      <c r="D15364" s="136">
        <f t="shared" si="728"/>
        <v>19</v>
      </c>
      <c r="E15364" s="136">
        <f t="shared" si="729"/>
        <v>10</v>
      </c>
      <c r="F15364" s="128" t="s">
        <v>223</v>
      </c>
      <c r="G15364" s="128" t="s">
        <v>207</v>
      </c>
      <c r="H15364" s="128" t="str">
        <f>VLOOKUP(source[[#This Row],[lending_product_transform]],[3]Mapping!$B$3:$D$37,3,0)</f>
        <v>cashloan</v>
      </c>
      <c r="I15364" s="549">
        <v>0</v>
      </c>
    </row>
    <row r="15365" spans="1:9" x14ac:dyDescent="0.2">
      <c r="A15365" s="134">
        <v>46152</v>
      </c>
      <c r="B15365" s="549">
        <f>YEAR(source[[#This Row],[report_date]])</f>
        <v>2026</v>
      </c>
      <c r="C15365" s="128">
        <f t="shared" si="727"/>
        <v>5</v>
      </c>
      <c r="D15365" s="136">
        <f t="shared" si="728"/>
        <v>19</v>
      </c>
      <c r="E15365" s="136">
        <f t="shared" si="729"/>
        <v>10</v>
      </c>
      <c r="F15365" s="128" t="s">
        <v>219</v>
      </c>
      <c r="G15365" s="128" t="s">
        <v>11</v>
      </c>
      <c r="H15365" s="128" t="str">
        <f>VLOOKUP(source[[#This Row],[lending_product_transform]],[3]Mapping!$B$3:$D$37,3,0)</f>
        <v>cashloan</v>
      </c>
      <c r="I15365" s="549">
        <v>0</v>
      </c>
    </row>
    <row r="15366" spans="1:9" x14ac:dyDescent="0.2">
      <c r="A15366" s="134">
        <v>46152</v>
      </c>
      <c r="B15366" s="549">
        <f>YEAR(source[[#This Row],[report_date]])</f>
        <v>2026</v>
      </c>
      <c r="C15366" s="128">
        <f t="shared" si="727"/>
        <v>5</v>
      </c>
      <c r="D15366" s="136">
        <f t="shared" si="728"/>
        <v>19</v>
      </c>
      <c r="E15366" s="136">
        <f t="shared" si="729"/>
        <v>10</v>
      </c>
      <c r="F15366" s="128" t="s">
        <v>19</v>
      </c>
      <c r="G15366" s="128" t="s">
        <v>19</v>
      </c>
      <c r="H15366" s="128" t="str">
        <f>VLOOKUP(source[[#This Row],[lending_product_transform]],[3]Mapping!$B$3:$D$37,3,0)</f>
        <v>payday</v>
      </c>
      <c r="I15366" s="549">
        <v>12683520000</v>
      </c>
    </row>
    <row r="15367" spans="1:9" x14ac:dyDescent="0.2">
      <c r="A15367" s="134">
        <v>46152</v>
      </c>
      <c r="B15367" s="549">
        <f>YEAR(source[[#This Row],[report_date]])</f>
        <v>2026</v>
      </c>
      <c r="C15367" s="128">
        <f t="shared" si="727"/>
        <v>5</v>
      </c>
      <c r="D15367" s="136">
        <f t="shared" si="728"/>
        <v>19</v>
      </c>
      <c r="E15367" s="136">
        <f t="shared" si="729"/>
        <v>10</v>
      </c>
      <c r="F15367" s="128" t="s">
        <v>62</v>
      </c>
      <c r="G15367" s="128" t="s">
        <v>62</v>
      </c>
      <c r="H15367" s="128" t="str">
        <f>VLOOKUP(source[[#This Row],[lending_product_transform]],[3]Mapping!$B$3:$D$37,3,0)</f>
        <v>paylater</v>
      </c>
      <c r="I15367" s="549">
        <v>223887306</v>
      </c>
    </row>
    <row r="15368" spans="1:9" x14ac:dyDescent="0.2">
      <c r="A15368" s="134">
        <v>46152</v>
      </c>
      <c r="B15368" s="549">
        <f>YEAR(source[[#This Row],[report_date]])</f>
        <v>2026</v>
      </c>
      <c r="C15368" s="128">
        <f t="shared" si="727"/>
        <v>5</v>
      </c>
      <c r="D15368" s="136">
        <f t="shared" si="728"/>
        <v>19</v>
      </c>
      <c r="E15368" s="136">
        <f t="shared" si="729"/>
        <v>10</v>
      </c>
      <c r="F15368" s="128" t="s">
        <v>58</v>
      </c>
      <c r="G15368" s="128" t="s">
        <v>58</v>
      </c>
      <c r="H15368" s="128" t="str">
        <f>VLOOKUP(source[[#This Row],[lending_product_transform]],[3]Mapping!$B$3:$D$37,3,0)</f>
        <v>cashloan</v>
      </c>
      <c r="I15368" s="549">
        <v>94000000</v>
      </c>
    </row>
    <row r="15369" spans="1:9" x14ac:dyDescent="0.2">
      <c r="A15369" s="134">
        <v>46152</v>
      </c>
      <c r="B15369" s="549">
        <f>YEAR(source[[#This Row],[report_date]])</f>
        <v>2026</v>
      </c>
      <c r="C15369" s="128">
        <f t="shared" si="727"/>
        <v>5</v>
      </c>
      <c r="D15369" s="136">
        <f t="shared" si="728"/>
        <v>19</v>
      </c>
      <c r="E15369" s="136">
        <f t="shared" si="729"/>
        <v>10</v>
      </c>
      <c r="F15369" s="128" t="s">
        <v>61</v>
      </c>
      <c r="G15369" s="128" t="s">
        <v>61</v>
      </c>
      <c r="H15369" s="128" t="str">
        <f>VLOOKUP(source[[#This Row],[lending_product_transform]],[3]Mapping!$B$3:$D$37,3,0)</f>
        <v>payday</v>
      </c>
      <c r="I15369" s="549">
        <v>43000000</v>
      </c>
    </row>
    <row r="15370" spans="1:9" x14ac:dyDescent="0.2">
      <c r="A15370" s="134">
        <v>46152</v>
      </c>
      <c r="B15370" s="549">
        <f>YEAR(source[[#This Row],[report_date]])</f>
        <v>2026</v>
      </c>
      <c r="C15370" s="128">
        <f t="shared" si="727"/>
        <v>5</v>
      </c>
      <c r="D15370" s="136">
        <f t="shared" si="728"/>
        <v>19</v>
      </c>
      <c r="E15370" s="136">
        <f t="shared" si="729"/>
        <v>10</v>
      </c>
      <c r="F15370" s="128" t="s">
        <v>57</v>
      </c>
      <c r="G15370" s="128" t="s">
        <v>57</v>
      </c>
      <c r="H15370" s="128" t="str">
        <f>VLOOKUP(source[[#This Row],[lending_product_transform]],[3]Mapping!$B$3:$D$37,3,0)</f>
        <v>cashloan</v>
      </c>
      <c r="I15370" s="549">
        <v>615200000</v>
      </c>
    </row>
    <row r="15371" spans="1:9" x14ac:dyDescent="0.2">
      <c r="A15371" s="134">
        <v>46152</v>
      </c>
      <c r="B15371" s="549">
        <f>YEAR(source[[#This Row],[report_date]])</f>
        <v>2026</v>
      </c>
      <c r="C15371" s="128">
        <f t="shared" si="727"/>
        <v>5</v>
      </c>
      <c r="D15371" s="136">
        <f t="shared" si="728"/>
        <v>19</v>
      </c>
      <c r="E15371" s="136">
        <f t="shared" si="729"/>
        <v>10</v>
      </c>
      <c r="F15371" s="128" t="s">
        <v>63</v>
      </c>
      <c r="G15371" s="128" t="s">
        <v>63</v>
      </c>
      <c r="H15371" s="128" t="str">
        <f>VLOOKUP(source[[#This Row],[lending_product_transform]],[3]Mapping!$B$3:$D$37,3,0)</f>
        <v>payday</v>
      </c>
      <c r="I15371" s="549">
        <v>326700000</v>
      </c>
    </row>
    <row r="15372" spans="1:9" x14ac:dyDescent="0.2">
      <c r="A15372" s="134">
        <v>46152</v>
      </c>
      <c r="B15372" s="549">
        <f>YEAR(source[[#This Row],[report_date]])</f>
        <v>2026</v>
      </c>
      <c r="C15372" s="128">
        <f t="shared" si="727"/>
        <v>5</v>
      </c>
      <c r="D15372" s="136">
        <f t="shared" si="728"/>
        <v>19</v>
      </c>
      <c r="E15372" s="136">
        <f t="shared" si="729"/>
        <v>10</v>
      </c>
      <c r="F15372" s="128" t="s">
        <v>59</v>
      </c>
      <c r="G15372" s="128" t="s">
        <v>59</v>
      </c>
      <c r="H15372" s="128" t="str">
        <f>VLOOKUP(source[[#This Row],[lending_product_transform]],[3]Mapping!$B$3:$D$37,3,0)</f>
        <v>paylater</v>
      </c>
      <c r="I15372" s="549">
        <v>386014265</v>
      </c>
    </row>
    <row r="15373" spans="1:9" x14ac:dyDescent="0.2">
      <c r="A15373" s="134">
        <v>46152</v>
      </c>
      <c r="B15373" s="549">
        <f>YEAR(source[[#This Row],[report_date]])</f>
        <v>2026</v>
      </c>
      <c r="C15373" s="128">
        <f t="shared" si="727"/>
        <v>5</v>
      </c>
      <c r="D15373" s="136">
        <f t="shared" si="728"/>
        <v>19</v>
      </c>
      <c r="E15373" s="136">
        <f t="shared" si="729"/>
        <v>10</v>
      </c>
      <c r="F15373" s="128" t="s">
        <v>31</v>
      </c>
      <c r="G15373" s="128" t="s">
        <v>175</v>
      </c>
      <c r="H15373" s="128" t="str">
        <f>VLOOKUP(source[[#This Row],[lending_product_transform]],[3]Mapping!$B$3:$D$37,3,0)</f>
        <v>cashloan</v>
      </c>
      <c r="I15373" s="549">
        <v>5693260000</v>
      </c>
    </row>
    <row r="15374" spans="1:9" x14ac:dyDescent="0.2">
      <c r="A15374" s="134">
        <v>46152</v>
      </c>
      <c r="B15374" s="549">
        <f>YEAR(source[[#This Row],[report_date]])</f>
        <v>2026</v>
      </c>
      <c r="C15374" s="128">
        <f t="shared" si="727"/>
        <v>5</v>
      </c>
      <c r="D15374" s="136">
        <f t="shared" si="728"/>
        <v>19</v>
      </c>
      <c r="E15374" s="136">
        <f t="shared" si="729"/>
        <v>10</v>
      </c>
      <c r="F15374" s="128" t="s">
        <v>234</v>
      </c>
      <c r="G15374" s="128" t="s">
        <v>210</v>
      </c>
      <c r="H15374" s="128" t="str">
        <f>VLOOKUP(source[[#This Row],[lending_product_transform]],[3]Mapping!$B$3:$D$37,3,0)</f>
        <v>payday</v>
      </c>
      <c r="I15374" s="549">
        <v>0</v>
      </c>
    </row>
  </sheetData>
  <pageMargins left="0.7" right="0.7" top="0.75" bottom="0.75" header="0.3" footer="0.3"/>
  <pageSetup orientation="portrait" r:id="rId20"/>
  <headerFooter>
    <oddHeader>&amp;L&amp;"Calibri"&amp;10&amp;KFF0000 Cake Information Classification: Internal Only&amp;1#_x000D_&amp;C&amp;G</oddHeader>
    <oddFooter>&amp;C_x000D_&amp;1#&amp;"Calibri"&amp;10&amp;KFF0000 Cake Information Classification: Internal Only</oddFooter>
  </headerFooter>
  <legacyDrawingHF r:id="rId21"/>
  <tableParts count="1">
    <tablePart r:id="rId2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1DD5-5801-4E20-B9C6-1BE509C39D14}">
  <dimension ref="A1:P3137"/>
  <sheetViews>
    <sheetView zoomScale="50" zoomScaleNormal="40" workbookViewId="0">
      <selection activeCell="B2" sqref="B2"/>
    </sheetView>
  </sheetViews>
  <sheetFormatPr baseColWidth="10" defaultColWidth="8.83203125" defaultRowHeight="15" x14ac:dyDescent="0.2"/>
  <cols>
    <col min="1" max="1" width="12.83203125" bestFit="1" customWidth="1"/>
    <col min="2" max="2" width="7.83203125" bestFit="1" customWidth="1"/>
    <col min="3" max="3" width="7.6640625" bestFit="1" customWidth="1"/>
    <col min="4" max="4" width="11.33203125" bestFit="1" customWidth="1"/>
    <col min="5" max="5" width="4.83203125" bestFit="1" customWidth="1"/>
    <col min="6" max="6" width="30" bestFit="1" customWidth="1"/>
    <col min="7" max="7" width="25.6640625" bestFit="1" customWidth="1"/>
    <col min="8" max="8" width="16.6640625" bestFit="1" customWidth="1"/>
    <col min="9" max="9" width="14.5" bestFit="1" customWidth="1"/>
    <col min="11" max="11" width="31.5" bestFit="1" customWidth="1"/>
    <col min="12" max="12" width="28.33203125" bestFit="1" customWidth="1"/>
    <col min="13" max="13" width="26.83203125" bestFit="1" customWidth="1"/>
    <col min="14" max="14" width="28.33203125" bestFit="1" customWidth="1"/>
    <col min="15" max="16" width="27.83203125" bestFit="1" customWidth="1"/>
    <col min="17" max="122" width="16.83203125" bestFit="1" customWidth="1"/>
    <col min="123" max="123" width="10.6640625" bestFit="1" customWidth="1"/>
  </cols>
  <sheetData>
    <row r="1" spans="1:16" ht="16" x14ac:dyDescent="0.2">
      <c r="A1" s="558" t="s">
        <v>53</v>
      </c>
      <c r="B1" s="559" t="s">
        <v>194</v>
      </c>
      <c r="C1" s="559" t="s">
        <v>195</v>
      </c>
      <c r="D1" s="559" t="s">
        <v>196</v>
      </c>
      <c r="E1" s="559" t="s">
        <v>197</v>
      </c>
      <c r="F1" s="559" t="s">
        <v>54</v>
      </c>
      <c r="G1" s="559" t="s">
        <v>198</v>
      </c>
      <c r="H1" s="559" t="s">
        <v>199</v>
      </c>
      <c r="I1" s="560" t="s">
        <v>47</v>
      </c>
      <c r="K1" s="30" t="s">
        <v>194</v>
      </c>
      <c r="L1" s="576">
        <v>2026</v>
      </c>
    </row>
    <row r="2" spans="1:16" ht="16" x14ac:dyDescent="0.2">
      <c r="A2" s="561">
        <v>46023</v>
      </c>
      <c r="B2" s="562">
        <v>2026</v>
      </c>
      <c r="C2" s="563">
        <v>1</v>
      </c>
      <c r="D2" s="564">
        <v>1</v>
      </c>
      <c r="E2" s="564">
        <v>1</v>
      </c>
      <c r="F2" s="565" t="s">
        <v>65</v>
      </c>
      <c r="G2" s="563" t="s">
        <v>65</v>
      </c>
      <c r="H2" s="563" t="s">
        <v>212</v>
      </c>
      <c r="I2" s="566">
        <v>403000000</v>
      </c>
    </row>
    <row r="3" spans="1:16" ht="16" x14ac:dyDescent="0.2">
      <c r="A3" s="567">
        <v>46023</v>
      </c>
      <c r="B3" s="568">
        <v>2026</v>
      </c>
      <c r="C3" s="569">
        <v>1</v>
      </c>
      <c r="D3" s="570">
        <v>1</v>
      </c>
      <c r="E3" s="570">
        <v>1</v>
      </c>
      <c r="F3" s="571" t="s">
        <v>66</v>
      </c>
      <c r="G3" s="569" t="s">
        <v>66</v>
      </c>
      <c r="H3" s="569" t="s">
        <v>216</v>
      </c>
      <c r="I3" s="572">
        <v>356607499</v>
      </c>
      <c r="K3" s="30" t="s">
        <v>69</v>
      </c>
      <c r="L3" s="30" t="s">
        <v>202</v>
      </c>
    </row>
    <row r="4" spans="1:16" ht="16" x14ac:dyDescent="0.2">
      <c r="A4" s="561">
        <v>46023</v>
      </c>
      <c r="B4" s="562">
        <v>2026</v>
      </c>
      <c r="C4" s="563">
        <v>1</v>
      </c>
      <c r="D4" s="564">
        <v>1</v>
      </c>
      <c r="E4" s="564">
        <v>1</v>
      </c>
      <c r="F4" s="565" t="s">
        <v>24</v>
      </c>
      <c r="G4" s="563" t="s">
        <v>24</v>
      </c>
      <c r="H4" s="563" t="s">
        <v>212</v>
      </c>
      <c r="I4" s="566">
        <v>11652570000</v>
      </c>
      <c r="K4" s="30" t="s">
        <v>205</v>
      </c>
      <c r="L4">
        <v>1</v>
      </c>
      <c r="M4">
        <v>2</v>
      </c>
      <c r="N4">
        <v>3</v>
      </c>
      <c r="O4">
        <v>4</v>
      </c>
      <c r="P4" t="s">
        <v>68</v>
      </c>
    </row>
    <row r="5" spans="1:16" ht="16" x14ac:dyDescent="0.2">
      <c r="A5" s="567">
        <v>46023</v>
      </c>
      <c r="B5" s="568">
        <v>2026</v>
      </c>
      <c r="C5" s="569">
        <v>1</v>
      </c>
      <c r="D5" s="570">
        <v>1</v>
      </c>
      <c r="E5" s="570">
        <v>1</v>
      </c>
      <c r="F5" s="571" t="s">
        <v>67</v>
      </c>
      <c r="G5" s="569" t="s">
        <v>67</v>
      </c>
      <c r="H5" s="569" t="s">
        <v>213</v>
      </c>
      <c r="I5" s="572">
        <v>2766246451</v>
      </c>
      <c r="K5" s="550" t="s">
        <v>65</v>
      </c>
      <c r="L5" s="477">
        <v>21136600000</v>
      </c>
      <c r="M5" s="477">
        <v>15124750000</v>
      </c>
      <c r="N5" s="477">
        <v>23471820000</v>
      </c>
      <c r="O5" s="477">
        <v>12105010000</v>
      </c>
      <c r="P5" s="477">
        <v>71838180000</v>
      </c>
    </row>
    <row r="6" spans="1:16" ht="16" x14ac:dyDescent="0.2">
      <c r="A6" s="561">
        <v>46023</v>
      </c>
      <c r="B6" s="562">
        <v>2026</v>
      </c>
      <c r="C6" s="563">
        <v>1</v>
      </c>
      <c r="D6" s="564">
        <v>1</v>
      </c>
      <c r="E6" s="564">
        <v>1</v>
      </c>
      <c r="F6" s="565" t="s">
        <v>28</v>
      </c>
      <c r="G6" s="563" t="s">
        <v>28</v>
      </c>
      <c r="H6" s="563" t="s">
        <v>214</v>
      </c>
      <c r="I6" s="566">
        <v>11668428000</v>
      </c>
      <c r="K6" s="550" t="s">
        <v>66</v>
      </c>
      <c r="L6" s="477">
        <v>10867603221</v>
      </c>
      <c r="M6" s="477">
        <v>9233648329</v>
      </c>
      <c r="N6" s="477">
        <v>10631003862</v>
      </c>
      <c r="O6" s="477">
        <v>6897432268</v>
      </c>
      <c r="P6" s="477">
        <v>37629687680</v>
      </c>
    </row>
    <row r="7" spans="1:16" ht="16" x14ac:dyDescent="0.2">
      <c r="A7" s="567">
        <v>46023</v>
      </c>
      <c r="B7" s="568">
        <v>2026</v>
      </c>
      <c r="C7" s="569">
        <v>1</v>
      </c>
      <c r="D7" s="570">
        <v>1</v>
      </c>
      <c r="E7" s="570">
        <v>1</v>
      </c>
      <c r="F7" s="571" t="s">
        <v>208</v>
      </c>
      <c r="G7" s="569" t="s">
        <v>208</v>
      </c>
      <c r="H7" s="569" t="s">
        <v>216</v>
      </c>
      <c r="I7" s="572">
        <v>7045956</v>
      </c>
      <c r="K7" s="550" t="s">
        <v>24</v>
      </c>
      <c r="L7" s="477">
        <v>467929410000</v>
      </c>
      <c r="M7" s="477">
        <v>316516710000</v>
      </c>
      <c r="N7" s="477">
        <v>399979990000</v>
      </c>
      <c r="O7" s="477">
        <v>350587420000</v>
      </c>
      <c r="P7" s="477">
        <v>1535013530000</v>
      </c>
    </row>
    <row r="8" spans="1:16" ht="16" x14ac:dyDescent="0.2">
      <c r="A8" s="561">
        <v>46023</v>
      </c>
      <c r="B8" s="562">
        <v>2026</v>
      </c>
      <c r="C8" s="563">
        <v>1</v>
      </c>
      <c r="D8" s="564">
        <v>1</v>
      </c>
      <c r="E8" s="564">
        <v>1</v>
      </c>
      <c r="F8" s="565" t="s">
        <v>60</v>
      </c>
      <c r="G8" s="563" t="s">
        <v>60</v>
      </c>
      <c r="H8" s="563" t="s">
        <v>212</v>
      </c>
      <c r="I8" s="566">
        <v>0</v>
      </c>
      <c r="K8" s="550" t="s">
        <v>67</v>
      </c>
      <c r="L8" s="477">
        <v>63409743099</v>
      </c>
      <c r="M8" s="477">
        <v>53755295193</v>
      </c>
      <c r="N8" s="477">
        <v>55189788461</v>
      </c>
      <c r="O8" s="477">
        <v>38703592037</v>
      </c>
      <c r="P8" s="477">
        <v>211058418790</v>
      </c>
    </row>
    <row r="9" spans="1:16" ht="16" x14ac:dyDescent="0.2">
      <c r="A9" s="567">
        <v>46023</v>
      </c>
      <c r="B9" s="568">
        <v>2026</v>
      </c>
      <c r="C9" s="569">
        <v>1</v>
      </c>
      <c r="D9" s="570">
        <v>1</v>
      </c>
      <c r="E9" s="570">
        <v>1</v>
      </c>
      <c r="F9" s="571" t="s">
        <v>36</v>
      </c>
      <c r="G9" s="569" t="s">
        <v>36</v>
      </c>
      <c r="H9" s="569" t="s">
        <v>212</v>
      </c>
      <c r="I9" s="572">
        <v>3759660000</v>
      </c>
      <c r="K9" s="550" t="s">
        <v>28</v>
      </c>
      <c r="L9" s="477">
        <v>432076356000</v>
      </c>
      <c r="M9" s="477">
        <v>344144160000</v>
      </c>
      <c r="N9" s="477">
        <v>422658864000</v>
      </c>
      <c r="O9" s="477">
        <v>317538144000</v>
      </c>
      <c r="P9" s="477">
        <v>1516417524000</v>
      </c>
    </row>
    <row r="10" spans="1:16" ht="16" x14ac:dyDescent="0.2">
      <c r="A10" s="561">
        <v>46023</v>
      </c>
      <c r="B10" s="562">
        <v>2026</v>
      </c>
      <c r="C10" s="563">
        <v>1</v>
      </c>
      <c r="D10" s="564">
        <v>1</v>
      </c>
      <c r="E10" s="564">
        <v>1</v>
      </c>
      <c r="F10" s="565" t="s">
        <v>55</v>
      </c>
      <c r="G10" s="563" t="s">
        <v>36</v>
      </c>
      <c r="H10" s="563" t="s">
        <v>212</v>
      </c>
      <c r="I10" s="566">
        <v>142350000</v>
      </c>
      <c r="K10" s="550" t="s">
        <v>208</v>
      </c>
      <c r="L10" s="477">
        <v>526616782</v>
      </c>
      <c r="M10" s="477">
        <v>406756258</v>
      </c>
      <c r="N10" s="477">
        <v>373336279</v>
      </c>
      <c r="O10" s="477">
        <v>28900933</v>
      </c>
      <c r="P10" s="477">
        <v>1335610252</v>
      </c>
    </row>
    <row r="11" spans="1:16" ht="16" x14ac:dyDescent="0.2">
      <c r="A11" s="567">
        <v>46023</v>
      </c>
      <c r="B11" s="568">
        <v>2026</v>
      </c>
      <c r="C11" s="569">
        <v>1</v>
      </c>
      <c r="D11" s="570">
        <v>1</v>
      </c>
      <c r="E11" s="570">
        <v>1</v>
      </c>
      <c r="F11" s="571" t="s">
        <v>176</v>
      </c>
      <c r="G11" s="569" t="s">
        <v>176</v>
      </c>
      <c r="H11" s="569" t="s">
        <v>216</v>
      </c>
      <c r="I11" s="572">
        <v>16372922</v>
      </c>
      <c r="K11" s="550" t="s">
        <v>60</v>
      </c>
      <c r="L11" s="477">
        <v>936000000</v>
      </c>
      <c r="M11" s="477">
        <v>619000000</v>
      </c>
      <c r="N11" s="477">
        <v>1342000000</v>
      </c>
      <c r="O11" s="477">
        <v>780000000</v>
      </c>
      <c r="P11" s="477">
        <v>3677000000</v>
      </c>
    </row>
    <row r="12" spans="1:16" ht="16" x14ac:dyDescent="0.2">
      <c r="A12" s="561">
        <v>46023</v>
      </c>
      <c r="B12" s="562">
        <v>2026</v>
      </c>
      <c r="C12" s="563">
        <v>1</v>
      </c>
      <c r="D12" s="564">
        <v>1</v>
      </c>
      <c r="E12" s="564">
        <v>1</v>
      </c>
      <c r="F12" s="565" t="s">
        <v>39</v>
      </c>
      <c r="G12" s="563" t="s">
        <v>176</v>
      </c>
      <c r="H12" s="563" t="s">
        <v>216</v>
      </c>
      <c r="I12" s="566">
        <v>1588887066</v>
      </c>
      <c r="K12" s="550" t="s">
        <v>36</v>
      </c>
      <c r="L12" s="477">
        <v>146560220000</v>
      </c>
      <c r="M12" s="477">
        <v>92170750000</v>
      </c>
      <c r="N12" s="477">
        <v>75782050000</v>
      </c>
      <c r="O12" s="477">
        <v>59138370000</v>
      </c>
      <c r="P12" s="477">
        <v>373651390000</v>
      </c>
    </row>
    <row r="13" spans="1:16" ht="16" x14ac:dyDescent="0.2">
      <c r="A13" s="567">
        <v>46023</v>
      </c>
      <c r="B13" s="568">
        <v>2026</v>
      </c>
      <c r="C13" s="569">
        <v>1</v>
      </c>
      <c r="D13" s="570">
        <v>1</v>
      </c>
      <c r="E13" s="570">
        <v>1</v>
      </c>
      <c r="F13" s="571" t="s">
        <v>206</v>
      </c>
      <c r="G13" s="569" t="s">
        <v>206</v>
      </c>
      <c r="H13" s="569" t="s">
        <v>212</v>
      </c>
      <c r="I13" s="572">
        <v>0</v>
      </c>
      <c r="K13" s="550" t="s">
        <v>55</v>
      </c>
      <c r="L13" s="477">
        <v>28960540000</v>
      </c>
      <c r="M13" s="477">
        <v>27599750000</v>
      </c>
      <c r="N13" s="477">
        <v>28197400000</v>
      </c>
      <c r="O13" s="477">
        <v>19198290000</v>
      </c>
      <c r="P13" s="477">
        <v>103955980000</v>
      </c>
    </row>
    <row r="14" spans="1:16" ht="16" x14ac:dyDescent="0.2">
      <c r="A14" s="561">
        <v>46023</v>
      </c>
      <c r="B14" s="562">
        <v>2026</v>
      </c>
      <c r="C14" s="563">
        <v>1</v>
      </c>
      <c r="D14" s="564">
        <v>1</v>
      </c>
      <c r="E14" s="564">
        <v>1</v>
      </c>
      <c r="F14" s="565" t="s">
        <v>64</v>
      </c>
      <c r="G14" s="563" t="s">
        <v>209</v>
      </c>
      <c r="H14" s="563" t="s">
        <v>212</v>
      </c>
      <c r="I14" s="566">
        <v>319750000</v>
      </c>
      <c r="K14" s="550" t="s">
        <v>176</v>
      </c>
      <c r="L14" s="477">
        <v>553906388</v>
      </c>
      <c r="M14" s="477">
        <v>455577821</v>
      </c>
      <c r="N14" s="477">
        <v>377044224</v>
      </c>
      <c r="O14" s="477">
        <v>307234734</v>
      </c>
      <c r="P14" s="477">
        <v>1693763167</v>
      </c>
    </row>
    <row r="15" spans="1:16" ht="16" x14ac:dyDescent="0.2">
      <c r="A15" s="567">
        <v>46023</v>
      </c>
      <c r="B15" s="568">
        <v>2026</v>
      </c>
      <c r="C15" s="569">
        <v>1</v>
      </c>
      <c r="D15" s="570">
        <v>1</v>
      </c>
      <c r="E15" s="570">
        <v>1</v>
      </c>
      <c r="F15" s="571" t="s">
        <v>237</v>
      </c>
      <c r="G15" s="569" t="s">
        <v>209</v>
      </c>
      <c r="H15" s="569" t="s">
        <v>212</v>
      </c>
      <c r="I15" s="572">
        <v>0</v>
      </c>
      <c r="K15" s="550" t="s">
        <v>39</v>
      </c>
      <c r="L15" s="477">
        <v>44881001135</v>
      </c>
      <c r="M15" s="477">
        <v>42340651234</v>
      </c>
      <c r="N15" s="477">
        <v>35872321940</v>
      </c>
      <c r="O15" s="477">
        <v>26257337540</v>
      </c>
      <c r="P15" s="477">
        <v>149351311849</v>
      </c>
    </row>
    <row r="16" spans="1:16" ht="16" x14ac:dyDescent="0.2">
      <c r="A16" s="561">
        <v>46023</v>
      </c>
      <c r="B16" s="562">
        <v>2026</v>
      </c>
      <c r="C16" s="563">
        <v>1</v>
      </c>
      <c r="D16" s="564">
        <v>1</v>
      </c>
      <c r="E16" s="564">
        <v>1</v>
      </c>
      <c r="F16" s="565" t="s">
        <v>11</v>
      </c>
      <c r="G16" s="563" t="s">
        <v>11</v>
      </c>
      <c r="H16" s="563" t="s">
        <v>212</v>
      </c>
      <c r="I16" s="566">
        <v>13409520000</v>
      </c>
      <c r="K16" s="550" t="s">
        <v>206</v>
      </c>
      <c r="L16" s="477">
        <v>0</v>
      </c>
      <c r="M16" s="477">
        <v>0</v>
      </c>
      <c r="N16" s="477">
        <v>0</v>
      </c>
      <c r="O16" s="477">
        <v>0</v>
      </c>
      <c r="P16" s="477">
        <v>0</v>
      </c>
    </row>
    <row r="17" spans="1:16" ht="16" x14ac:dyDescent="0.2">
      <c r="A17" s="567">
        <v>46023</v>
      </c>
      <c r="B17" s="568">
        <v>2026</v>
      </c>
      <c r="C17" s="569">
        <v>1</v>
      </c>
      <c r="D17" s="570">
        <v>1</v>
      </c>
      <c r="E17" s="570">
        <v>1</v>
      </c>
      <c r="F17" s="571" t="s">
        <v>221</v>
      </c>
      <c r="G17" s="569" t="s">
        <v>207</v>
      </c>
      <c r="H17" s="569" t="s">
        <v>212</v>
      </c>
      <c r="I17" s="572">
        <v>0</v>
      </c>
      <c r="K17" s="550" t="s">
        <v>64</v>
      </c>
      <c r="L17" s="477">
        <v>6803900000</v>
      </c>
      <c r="M17" s="477">
        <v>2032400000</v>
      </c>
      <c r="N17" s="477">
        <v>1821250000</v>
      </c>
      <c r="O17" s="477">
        <v>1075650000</v>
      </c>
      <c r="P17" s="477">
        <v>11733200000</v>
      </c>
    </row>
    <row r="18" spans="1:16" ht="16" x14ac:dyDescent="0.2">
      <c r="A18" s="561">
        <v>46023</v>
      </c>
      <c r="B18" s="562">
        <v>2026</v>
      </c>
      <c r="C18" s="563">
        <v>1</v>
      </c>
      <c r="D18" s="564">
        <v>1</v>
      </c>
      <c r="E18" s="564">
        <v>1</v>
      </c>
      <c r="F18" s="565" t="s">
        <v>222</v>
      </c>
      <c r="G18" s="563" t="s">
        <v>207</v>
      </c>
      <c r="H18" s="563" t="s">
        <v>212</v>
      </c>
      <c r="I18" s="566">
        <v>0</v>
      </c>
      <c r="K18" s="550" t="s">
        <v>237</v>
      </c>
      <c r="L18" s="477">
        <v>820250000</v>
      </c>
      <c r="M18" s="477">
        <v>467620000</v>
      </c>
      <c r="N18" s="477">
        <v>663000000</v>
      </c>
      <c r="O18" s="477">
        <v>268400000</v>
      </c>
      <c r="P18" s="477">
        <v>2219270000</v>
      </c>
    </row>
    <row r="19" spans="1:16" ht="16" x14ac:dyDescent="0.2">
      <c r="A19" s="567">
        <v>46023</v>
      </c>
      <c r="B19" s="568">
        <v>2026</v>
      </c>
      <c r="C19" s="569">
        <v>1</v>
      </c>
      <c r="D19" s="570">
        <v>1</v>
      </c>
      <c r="E19" s="570">
        <v>1</v>
      </c>
      <c r="F19" s="571" t="s">
        <v>223</v>
      </c>
      <c r="G19" s="569" t="s">
        <v>207</v>
      </c>
      <c r="H19" s="569" t="s">
        <v>212</v>
      </c>
      <c r="I19" s="572">
        <v>0</v>
      </c>
      <c r="K19" s="550" t="s">
        <v>11</v>
      </c>
      <c r="L19" s="477">
        <v>521395250000</v>
      </c>
      <c r="M19" s="477">
        <v>382394060000</v>
      </c>
      <c r="N19" s="477">
        <v>495963240000</v>
      </c>
      <c r="O19" s="477">
        <v>368632750000</v>
      </c>
      <c r="P19" s="477">
        <v>1768385300000</v>
      </c>
    </row>
    <row r="20" spans="1:16" ht="16" x14ac:dyDescent="0.2">
      <c r="A20" s="561">
        <v>46023</v>
      </c>
      <c r="B20" s="562">
        <v>2026</v>
      </c>
      <c r="C20" s="563">
        <v>1</v>
      </c>
      <c r="D20" s="564">
        <v>1</v>
      </c>
      <c r="E20" s="564">
        <v>1</v>
      </c>
      <c r="F20" s="565" t="s">
        <v>219</v>
      </c>
      <c r="G20" s="563" t="s">
        <v>11</v>
      </c>
      <c r="H20" s="563" t="s">
        <v>212</v>
      </c>
      <c r="I20" s="566">
        <v>0</v>
      </c>
      <c r="K20" s="550" t="s">
        <v>221</v>
      </c>
      <c r="L20" s="477">
        <v>0</v>
      </c>
      <c r="M20" s="477">
        <v>0</v>
      </c>
      <c r="N20" s="477">
        <v>0</v>
      </c>
      <c r="O20" s="477">
        <v>0</v>
      </c>
      <c r="P20" s="477">
        <v>0</v>
      </c>
    </row>
    <row r="21" spans="1:16" ht="16" x14ac:dyDescent="0.2">
      <c r="A21" s="567">
        <v>46023</v>
      </c>
      <c r="B21" s="568">
        <v>2026</v>
      </c>
      <c r="C21" s="569">
        <v>1</v>
      </c>
      <c r="D21" s="570">
        <v>1</v>
      </c>
      <c r="E21" s="570">
        <v>1</v>
      </c>
      <c r="F21" s="571" t="s">
        <v>19</v>
      </c>
      <c r="G21" s="569" t="s">
        <v>19</v>
      </c>
      <c r="H21" s="569" t="s">
        <v>214</v>
      </c>
      <c r="I21" s="572">
        <v>9003096000</v>
      </c>
      <c r="K21" s="550" t="s">
        <v>222</v>
      </c>
      <c r="L21" s="477">
        <v>0</v>
      </c>
      <c r="M21" s="477">
        <v>0</v>
      </c>
      <c r="N21" s="477">
        <v>0</v>
      </c>
      <c r="O21" s="477">
        <v>0</v>
      </c>
      <c r="P21" s="477">
        <v>0</v>
      </c>
    </row>
    <row r="22" spans="1:16" ht="16" x14ac:dyDescent="0.2">
      <c r="A22" s="561">
        <v>46023</v>
      </c>
      <c r="B22" s="562">
        <v>2026</v>
      </c>
      <c r="C22" s="563">
        <v>1</v>
      </c>
      <c r="D22" s="564">
        <v>1</v>
      </c>
      <c r="E22" s="564">
        <v>1</v>
      </c>
      <c r="F22" s="565" t="s">
        <v>62</v>
      </c>
      <c r="G22" s="563" t="s">
        <v>62</v>
      </c>
      <c r="H22" s="563" t="s">
        <v>216</v>
      </c>
      <c r="I22" s="566">
        <v>398190418</v>
      </c>
      <c r="K22" s="550" t="s">
        <v>223</v>
      </c>
      <c r="L22" s="477">
        <v>0</v>
      </c>
      <c r="M22" s="477">
        <v>0</v>
      </c>
      <c r="N22" s="477">
        <v>0</v>
      </c>
      <c r="O22" s="477">
        <v>0</v>
      </c>
      <c r="P22" s="477">
        <v>0</v>
      </c>
    </row>
    <row r="23" spans="1:16" ht="16" x14ac:dyDescent="0.2">
      <c r="A23" s="567">
        <v>46023</v>
      </c>
      <c r="B23" s="568">
        <v>2026</v>
      </c>
      <c r="C23" s="569">
        <v>1</v>
      </c>
      <c r="D23" s="570">
        <v>1</v>
      </c>
      <c r="E23" s="570">
        <v>1</v>
      </c>
      <c r="F23" s="571" t="s">
        <v>58</v>
      </c>
      <c r="G23" s="569" t="s">
        <v>58</v>
      </c>
      <c r="H23" s="569" t="s">
        <v>212</v>
      </c>
      <c r="I23" s="572">
        <v>0</v>
      </c>
      <c r="K23" s="550" t="s">
        <v>219</v>
      </c>
      <c r="L23" s="477">
        <v>176700000</v>
      </c>
      <c r="M23" s="477">
        <v>151200000</v>
      </c>
      <c r="N23" s="477">
        <v>12000000</v>
      </c>
      <c r="O23" s="477">
        <v>26400000</v>
      </c>
      <c r="P23" s="477">
        <v>366300000</v>
      </c>
    </row>
    <row r="24" spans="1:16" ht="16" x14ac:dyDescent="0.2">
      <c r="A24" s="561">
        <v>46023</v>
      </c>
      <c r="B24" s="562">
        <v>2026</v>
      </c>
      <c r="C24" s="563">
        <v>1</v>
      </c>
      <c r="D24" s="564">
        <v>1</v>
      </c>
      <c r="E24" s="564">
        <v>1</v>
      </c>
      <c r="F24" s="565" t="s">
        <v>61</v>
      </c>
      <c r="G24" s="563" t="s">
        <v>61</v>
      </c>
      <c r="H24" s="563" t="s">
        <v>214</v>
      </c>
      <c r="I24" s="566">
        <v>26000000</v>
      </c>
      <c r="K24" s="550" t="s">
        <v>19</v>
      </c>
      <c r="L24" s="477">
        <v>336025800000</v>
      </c>
      <c r="M24" s="477">
        <v>290364048000</v>
      </c>
      <c r="N24" s="477">
        <v>358579116000</v>
      </c>
      <c r="O24" s="477">
        <v>246631392000</v>
      </c>
      <c r="P24" s="477">
        <v>1231600356000</v>
      </c>
    </row>
    <row r="25" spans="1:16" ht="16" x14ac:dyDescent="0.2">
      <c r="A25" s="567">
        <v>46023</v>
      </c>
      <c r="B25" s="568">
        <v>2026</v>
      </c>
      <c r="C25" s="569">
        <v>1</v>
      </c>
      <c r="D25" s="570">
        <v>1</v>
      </c>
      <c r="E25" s="570">
        <v>1</v>
      </c>
      <c r="F25" s="571" t="s">
        <v>57</v>
      </c>
      <c r="G25" s="569" t="s">
        <v>57</v>
      </c>
      <c r="H25" s="569" t="s">
        <v>212</v>
      </c>
      <c r="I25" s="572">
        <v>505810000</v>
      </c>
      <c r="K25" s="550" t="s">
        <v>62</v>
      </c>
      <c r="L25" s="477">
        <v>7773898216</v>
      </c>
      <c r="M25" s="477">
        <v>6381405779</v>
      </c>
      <c r="N25" s="477">
        <v>7171896994</v>
      </c>
      <c r="O25" s="477">
        <v>5918298627</v>
      </c>
      <c r="P25" s="477">
        <v>27245499616</v>
      </c>
    </row>
    <row r="26" spans="1:16" ht="16" x14ac:dyDescent="0.2">
      <c r="A26" s="561">
        <v>46023</v>
      </c>
      <c r="B26" s="562">
        <v>2026</v>
      </c>
      <c r="C26" s="563">
        <v>1</v>
      </c>
      <c r="D26" s="564">
        <v>1</v>
      </c>
      <c r="E26" s="564">
        <v>1</v>
      </c>
      <c r="F26" s="565" t="s">
        <v>63</v>
      </c>
      <c r="G26" s="563" t="s">
        <v>63</v>
      </c>
      <c r="H26" s="563" t="s">
        <v>214</v>
      </c>
      <c r="I26" s="566">
        <v>311688000</v>
      </c>
      <c r="K26" s="550" t="s">
        <v>58</v>
      </c>
      <c r="L26" s="477">
        <v>828250000</v>
      </c>
      <c r="M26" s="477">
        <v>1241950000</v>
      </c>
      <c r="N26" s="477">
        <v>1396650000</v>
      </c>
      <c r="O26" s="477">
        <v>835050000</v>
      </c>
      <c r="P26" s="477">
        <v>4301900000</v>
      </c>
    </row>
    <row r="27" spans="1:16" ht="16" x14ac:dyDescent="0.2">
      <c r="A27" s="567">
        <v>46023</v>
      </c>
      <c r="B27" s="568">
        <v>2026</v>
      </c>
      <c r="C27" s="569">
        <v>1</v>
      </c>
      <c r="D27" s="570">
        <v>1</v>
      </c>
      <c r="E27" s="570">
        <v>1</v>
      </c>
      <c r="F27" s="571" t="s">
        <v>59</v>
      </c>
      <c r="G27" s="569" t="s">
        <v>59</v>
      </c>
      <c r="H27" s="569" t="s">
        <v>216</v>
      </c>
      <c r="I27" s="572">
        <v>527539310</v>
      </c>
      <c r="K27" s="550" t="s">
        <v>61</v>
      </c>
      <c r="L27" s="477">
        <v>1439000000</v>
      </c>
      <c r="M27" s="477">
        <v>1267000000</v>
      </c>
      <c r="N27" s="477">
        <v>1666000000</v>
      </c>
      <c r="O27" s="477">
        <v>1094000000</v>
      </c>
      <c r="P27" s="477">
        <v>5466000000</v>
      </c>
    </row>
    <row r="28" spans="1:16" ht="16" x14ac:dyDescent="0.2">
      <c r="A28" s="561">
        <v>46023</v>
      </c>
      <c r="B28" s="562">
        <v>2026</v>
      </c>
      <c r="C28" s="563">
        <v>1</v>
      </c>
      <c r="D28" s="564">
        <v>1</v>
      </c>
      <c r="E28" s="564">
        <v>1</v>
      </c>
      <c r="F28" s="565" t="s">
        <v>31</v>
      </c>
      <c r="G28" s="563" t="s">
        <v>175</v>
      </c>
      <c r="H28" s="563" t="s">
        <v>212</v>
      </c>
      <c r="I28" s="566">
        <v>2544540000</v>
      </c>
      <c r="K28" s="550" t="s">
        <v>57</v>
      </c>
      <c r="L28" s="477">
        <v>27560260000</v>
      </c>
      <c r="M28" s="477">
        <v>21558320000</v>
      </c>
      <c r="N28" s="477">
        <v>24486590000</v>
      </c>
      <c r="O28" s="477">
        <v>16578140000</v>
      </c>
      <c r="P28" s="477">
        <v>90183310000</v>
      </c>
    </row>
    <row r="29" spans="1:16" ht="16" x14ac:dyDescent="0.2">
      <c r="A29" s="567">
        <v>46023</v>
      </c>
      <c r="B29" s="568">
        <v>2026</v>
      </c>
      <c r="C29" s="569">
        <v>1</v>
      </c>
      <c r="D29" s="570">
        <v>1</v>
      </c>
      <c r="E29" s="570">
        <v>1</v>
      </c>
      <c r="F29" s="571" t="s">
        <v>234</v>
      </c>
      <c r="G29" s="569" t="s">
        <v>210</v>
      </c>
      <c r="H29" s="569" t="s">
        <v>214</v>
      </c>
      <c r="I29" s="572">
        <v>0</v>
      </c>
      <c r="K29" s="550" t="s">
        <v>63</v>
      </c>
      <c r="L29" s="477">
        <v>10493388000</v>
      </c>
      <c r="M29" s="477">
        <v>8188128000</v>
      </c>
      <c r="N29" s="477">
        <v>9678096000</v>
      </c>
      <c r="O29" s="477">
        <v>7235784000</v>
      </c>
      <c r="P29" s="477">
        <v>35595396000</v>
      </c>
    </row>
    <row r="30" spans="1:16" ht="16" x14ac:dyDescent="0.2">
      <c r="A30" s="561">
        <v>46024</v>
      </c>
      <c r="B30" s="562">
        <v>2026</v>
      </c>
      <c r="C30" s="563">
        <v>1</v>
      </c>
      <c r="D30" s="564">
        <v>1</v>
      </c>
      <c r="E30" s="564">
        <v>2</v>
      </c>
      <c r="F30" s="565" t="s">
        <v>65</v>
      </c>
      <c r="G30" s="563" t="s">
        <v>65</v>
      </c>
      <c r="H30" s="563" t="s">
        <v>212</v>
      </c>
      <c r="I30" s="566">
        <v>550050000</v>
      </c>
      <c r="K30" s="550" t="s">
        <v>59</v>
      </c>
      <c r="L30" s="477">
        <v>16072045824</v>
      </c>
      <c r="M30" s="477">
        <v>13685015637</v>
      </c>
      <c r="N30" s="477">
        <v>15025104610</v>
      </c>
      <c r="O30" s="477">
        <v>10942965336</v>
      </c>
      <c r="P30" s="477">
        <v>55725131407</v>
      </c>
    </row>
    <row r="31" spans="1:16" ht="16" x14ac:dyDescent="0.2">
      <c r="A31" s="567">
        <v>46024</v>
      </c>
      <c r="B31" s="568">
        <v>2026</v>
      </c>
      <c r="C31" s="569">
        <v>1</v>
      </c>
      <c r="D31" s="570">
        <v>1</v>
      </c>
      <c r="E31" s="570">
        <v>2</v>
      </c>
      <c r="F31" s="571" t="s">
        <v>66</v>
      </c>
      <c r="G31" s="569" t="s">
        <v>66</v>
      </c>
      <c r="H31" s="569" t="s">
        <v>216</v>
      </c>
      <c r="I31" s="572">
        <v>337710506</v>
      </c>
      <c r="K31" s="550" t="s">
        <v>31</v>
      </c>
      <c r="L31" s="477">
        <v>109227730000</v>
      </c>
      <c r="M31" s="477">
        <v>79426750000</v>
      </c>
      <c r="N31" s="477">
        <v>93530310000</v>
      </c>
      <c r="O31" s="477">
        <v>135239210000</v>
      </c>
      <c r="P31" s="477">
        <v>417424000000</v>
      </c>
    </row>
    <row r="32" spans="1:16" ht="16" x14ac:dyDescent="0.2">
      <c r="A32" s="561">
        <v>46024</v>
      </c>
      <c r="B32" s="562">
        <v>2026</v>
      </c>
      <c r="C32" s="563">
        <v>1</v>
      </c>
      <c r="D32" s="564">
        <v>1</v>
      </c>
      <c r="E32" s="564">
        <v>2</v>
      </c>
      <c r="F32" s="565" t="s">
        <v>24</v>
      </c>
      <c r="G32" s="563" t="s">
        <v>24</v>
      </c>
      <c r="H32" s="563" t="s">
        <v>212</v>
      </c>
      <c r="I32" s="566">
        <v>14212680000</v>
      </c>
      <c r="K32" s="550" t="s">
        <v>234</v>
      </c>
      <c r="L32" s="477">
        <v>13141000000</v>
      </c>
      <c r="M32" s="477">
        <v>12785920000</v>
      </c>
      <c r="N32" s="477">
        <v>5717952000</v>
      </c>
      <c r="O32" s="477">
        <v>73008000</v>
      </c>
      <c r="P32" s="477">
        <v>31717880000</v>
      </c>
    </row>
    <row r="33" spans="1:16" ht="16" x14ac:dyDescent="0.2">
      <c r="A33" s="567">
        <v>46024</v>
      </c>
      <c r="B33" s="568">
        <v>2026</v>
      </c>
      <c r="C33" s="569">
        <v>1</v>
      </c>
      <c r="D33" s="570">
        <v>1</v>
      </c>
      <c r="E33" s="570">
        <v>2</v>
      </c>
      <c r="F33" s="571" t="s">
        <v>67</v>
      </c>
      <c r="G33" s="569" t="s">
        <v>67</v>
      </c>
      <c r="H33" s="569" t="s">
        <v>213</v>
      </c>
      <c r="I33" s="572">
        <v>2790710138</v>
      </c>
      <c r="K33" s="550" t="s">
        <v>68</v>
      </c>
      <c r="L33" s="477">
        <v>2269595468665</v>
      </c>
      <c r="M33" s="477">
        <v>1722310866251</v>
      </c>
      <c r="N33" s="477">
        <v>2069586824370</v>
      </c>
      <c r="O33" s="477">
        <v>1626092779475</v>
      </c>
      <c r="P33" s="477">
        <v>7687585938761</v>
      </c>
    </row>
    <row r="34" spans="1:16" ht="16" x14ac:dyDescent="0.2">
      <c r="A34" s="561">
        <v>46024</v>
      </c>
      <c r="B34" s="562">
        <v>2026</v>
      </c>
      <c r="C34" s="563">
        <v>1</v>
      </c>
      <c r="D34" s="564">
        <v>1</v>
      </c>
      <c r="E34" s="564">
        <v>2</v>
      </c>
      <c r="F34" s="565" t="s">
        <v>28</v>
      </c>
      <c r="G34" s="563" t="s">
        <v>28</v>
      </c>
      <c r="H34" s="563" t="s">
        <v>214</v>
      </c>
      <c r="I34" s="566">
        <v>13163796000</v>
      </c>
    </row>
    <row r="35" spans="1:16" ht="16" x14ac:dyDescent="0.2">
      <c r="A35" s="567">
        <v>46024</v>
      </c>
      <c r="B35" s="568">
        <v>2026</v>
      </c>
      <c r="C35" s="569">
        <v>1</v>
      </c>
      <c r="D35" s="570">
        <v>1</v>
      </c>
      <c r="E35" s="570">
        <v>2</v>
      </c>
      <c r="F35" s="571" t="s">
        <v>208</v>
      </c>
      <c r="G35" s="569" t="s">
        <v>208</v>
      </c>
      <c r="H35" s="569" t="s">
        <v>216</v>
      </c>
      <c r="I35" s="572">
        <v>24139175</v>
      </c>
    </row>
    <row r="36" spans="1:16" ht="16" x14ac:dyDescent="0.2">
      <c r="A36" s="561">
        <v>46024</v>
      </c>
      <c r="B36" s="562">
        <v>2026</v>
      </c>
      <c r="C36" s="563">
        <v>1</v>
      </c>
      <c r="D36" s="564">
        <v>1</v>
      </c>
      <c r="E36" s="564">
        <v>2</v>
      </c>
      <c r="F36" s="565" t="s">
        <v>60</v>
      </c>
      <c r="G36" s="563" t="s">
        <v>60</v>
      </c>
      <c r="H36" s="563" t="s">
        <v>212</v>
      </c>
      <c r="I36" s="566">
        <v>0</v>
      </c>
    </row>
    <row r="37" spans="1:16" ht="16" x14ac:dyDescent="0.2">
      <c r="A37" s="567">
        <v>46024</v>
      </c>
      <c r="B37" s="568">
        <v>2026</v>
      </c>
      <c r="C37" s="569">
        <v>1</v>
      </c>
      <c r="D37" s="570">
        <v>1</v>
      </c>
      <c r="E37" s="570">
        <v>2</v>
      </c>
      <c r="F37" s="571" t="s">
        <v>36</v>
      </c>
      <c r="G37" s="569" t="s">
        <v>36</v>
      </c>
      <c r="H37" s="569" t="s">
        <v>212</v>
      </c>
      <c r="I37" s="572">
        <v>3995340000</v>
      </c>
    </row>
    <row r="38" spans="1:16" ht="16" x14ac:dyDescent="0.2">
      <c r="A38" s="561">
        <v>46024</v>
      </c>
      <c r="B38" s="562">
        <v>2026</v>
      </c>
      <c r="C38" s="563">
        <v>1</v>
      </c>
      <c r="D38" s="564">
        <v>1</v>
      </c>
      <c r="E38" s="564">
        <v>2</v>
      </c>
      <c r="F38" s="565" t="s">
        <v>55</v>
      </c>
      <c r="G38" s="563" t="s">
        <v>36</v>
      </c>
      <c r="H38" s="563" t="s">
        <v>212</v>
      </c>
      <c r="I38" s="566">
        <v>311000000</v>
      </c>
    </row>
    <row r="39" spans="1:16" ht="16" x14ac:dyDescent="0.2">
      <c r="A39" s="567">
        <v>46024</v>
      </c>
      <c r="B39" s="568">
        <v>2026</v>
      </c>
      <c r="C39" s="569">
        <v>1</v>
      </c>
      <c r="D39" s="570">
        <v>1</v>
      </c>
      <c r="E39" s="570">
        <v>2</v>
      </c>
      <c r="F39" s="571" t="s">
        <v>176</v>
      </c>
      <c r="G39" s="569" t="s">
        <v>176</v>
      </c>
      <c r="H39" s="569" t="s">
        <v>216</v>
      </c>
      <c r="I39" s="572">
        <v>32294086</v>
      </c>
    </row>
    <row r="40" spans="1:16" ht="16" x14ac:dyDescent="0.2">
      <c r="A40" s="561">
        <v>46024</v>
      </c>
      <c r="B40" s="562">
        <v>2026</v>
      </c>
      <c r="C40" s="563">
        <v>1</v>
      </c>
      <c r="D40" s="564">
        <v>1</v>
      </c>
      <c r="E40" s="564">
        <v>2</v>
      </c>
      <c r="F40" s="565" t="s">
        <v>39</v>
      </c>
      <c r="G40" s="563" t="s">
        <v>176</v>
      </c>
      <c r="H40" s="563" t="s">
        <v>216</v>
      </c>
      <c r="I40" s="566">
        <v>1843429754</v>
      </c>
    </row>
    <row r="41" spans="1:16" ht="16" x14ac:dyDescent="0.2">
      <c r="A41" s="567">
        <v>46024</v>
      </c>
      <c r="B41" s="568">
        <v>2026</v>
      </c>
      <c r="C41" s="569">
        <v>1</v>
      </c>
      <c r="D41" s="570">
        <v>1</v>
      </c>
      <c r="E41" s="570">
        <v>2</v>
      </c>
      <c r="F41" s="571" t="s">
        <v>206</v>
      </c>
      <c r="G41" s="569" t="s">
        <v>206</v>
      </c>
      <c r="H41" s="569" t="s">
        <v>212</v>
      </c>
      <c r="I41" s="572">
        <v>0</v>
      </c>
    </row>
    <row r="42" spans="1:16" ht="16" x14ac:dyDescent="0.2">
      <c r="A42" s="561">
        <v>46024</v>
      </c>
      <c r="B42" s="562">
        <v>2026</v>
      </c>
      <c r="C42" s="563">
        <v>1</v>
      </c>
      <c r="D42" s="564">
        <v>1</v>
      </c>
      <c r="E42" s="564">
        <v>2</v>
      </c>
      <c r="F42" s="565" t="s">
        <v>64</v>
      </c>
      <c r="G42" s="563" t="s">
        <v>209</v>
      </c>
      <c r="H42" s="563" t="s">
        <v>212</v>
      </c>
      <c r="I42" s="566">
        <v>496450000</v>
      </c>
    </row>
    <row r="43" spans="1:16" ht="16" x14ac:dyDescent="0.2">
      <c r="A43" s="567">
        <v>46024</v>
      </c>
      <c r="B43" s="568">
        <v>2026</v>
      </c>
      <c r="C43" s="569">
        <v>1</v>
      </c>
      <c r="D43" s="570">
        <v>1</v>
      </c>
      <c r="E43" s="570">
        <v>2</v>
      </c>
      <c r="F43" s="571" t="s">
        <v>237</v>
      </c>
      <c r="G43" s="569" t="s">
        <v>209</v>
      </c>
      <c r="H43" s="569" t="s">
        <v>212</v>
      </c>
      <c r="I43" s="572">
        <v>0</v>
      </c>
    </row>
    <row r="44" spans="1:16" ht="16" x14ac:dyDescent="0.2">
      <c r="A44" s="561">
        <v>46024</v>
      </c>
      <c r="B44" s="562">
        <v>2026</v>
      </c>
      <c r="C44" s="563">
        <v>1</v>
      </c>
      <c r="D44" s="564">
        <v>1</v>
      </c>
      <c r="E44" s="564">
        <v>2</v>
      </c>
      <c r="F44" s="565" t="s">
        <v>11</v>
      </c>
      <c r="G44" s="563" t="s">
        <v>11</v>
      </c>
      <c r="H44" s="563" t="s">
        <v>212</v>
      </c>
      <c r="I44" s="566">
        <v>16626100000</v>
      </c>
    </row>
    <row r="45" spans="1:16" ht="16" x14ac:dyDescent="0.2">
      <c r="A45" s="567">
        <v>46024</v>
      </c>
      <c r="B45" s="568">
        <v>2026</v>
      </c>
      <c r="C45" s="569">
        <v>1</v>
      </c>
      <c r="D45" s="570">
        <v>1</v>
      </c>
      <c r="E45" s="570">
        <v>2</v>
      </c>
      <c r="F45" s="571" t="s">
        <v>221</v>
      </c>
      <c r="G45" s="569" t="s">
        <v>207</v>
      </c>
      <c r="H45" s="569" t="s">
        <v>212</v>
      </c>
      <c r="I45" s="572">
        <v>0</v>
      </c>
    </row>
    <row r="46" spans="1:16" ht="16" x14ac:dyDescent="0.2">
      <c r="A46" s="561">
        <v>46024</v>
      </c>
      <c r="B46" s="562">
        <v>2026</v>
      </c>
      <c r="C46" s="563">
        <v>1</v>
      </c>
      <c r="D46" s="564">
        <v>1</v>
      </c>
      <c r="E46" s="564">
        <v>2</v>
      </c>
      <c r="F46" s="565" t="s">
        <v>222</v>
      </c>
      <c r="G46" s="563" t="s">
        <v>207</v>
      </c>
      <c r="H46" s="563" t="s">
        <v>212</v>
      </c>
      <c r="I46" s="566">
        <v>0</v>
      </c>
    </row>
    <row r="47" spans="1:16" ht="16" x14ac:dyDescent="0.2">
      <c r="A47" s="567">
        <v>46024</v>
      </c>
      <c r="B47" s="568">
        <v>2026</v>
      </c>
      <c r="C47" s="569">
        <v>1</v>
      </c>
      <c r="D47" s="570">
        <v>1</v>
      </c>
      <c r="E47" s="570">
        <v>2</v>
      </c>
      <c r="F47" s="571" t="s">
        <v>223</v>
      </c>
      <c r="G47" s="569" t="s">
        <v>207</v>
      </c>
      <c r="H47" s="569" t="s">
        <v>212</v>
      </c>
      <c r="I47" s="572">
        <v>0</v>
      </c>
    </row>
    <row r="48" spans="1:16" ht="16" x14ac:dyDescent="0.2">
      <c r="A48" s="561">
        <v>46024</v>
      </c>
      <c r="B48" s="562">
        <v>2026</v>
      </c>
      <c r="C48" s="563">
        <v>1</v>
      </c>
      <c r="D48" s="564">
        <v>1</v>
      </c>
      <c r="E48" s="564">
        <v>2</v>
      </c>
      <c r="F48" s="565" t="s">
        <v>219</v>
      </c>
      <c r="G48" s="563" t="s">
        <v>11</v>
      </c>
      <c r="H48" s="563" t="s">
        <v>212</v>
      </c>
      <c r="I48" s="566">
        <v>0</v>
      </c>
    </row>
    <row r="49" spans="1:9" ht="16" x14ac:dyDescent="0.2">
      <c r="A49" s="567">
        <v>46024</v>
      </c>
      <c r="B49" s="568">
        <v>2026</v>
      </c>
      <c r="C49" s="569">
        <v>1</v>
      </c>
      <c r="D49" s="570">
        <v>1</v>
      </c>
      <c r="E49" s="570">
        <v>2</v>
      </c>
      <c r="F49" s="571" t="s">
        <v>19</v>
      </c>
      <c r="G49" s="569" t="s">
        <v>19</v>
      </c>
      <c r="H49" s="569" t="s">
        <v>214</v>
      </c>
      <c r="I49" s="572">
        <v>9966780000</v>
      </c>
    </row>
    <row r="50" spans="1:9" ht="16" x14ac:dyDescent="0.2">
      <c r="A50" s="561">
        <v>46024</v>
      </c>
      <c r="B50" s="562">
        <v>2026</v>
      </c>
      <c r="C50" s="563">
        <v>1</v>
      </c>
      <c r="D50" s="564">
        <v>1</v>
      </c>
      <c r="E50" s="564">
        <v>2</v>
      </c>
      <c r="F50" s="565" t="s">
        <v>62</v>
      </c>
      <c r="G50" s="563" t="s">
        <v>62</v>
      </c>
      <c r="H50" s="563" t="s">
        <v>216</v>
      </c>
      <c r="I50" s="566">
        <v>449771094</v>
      </c>
    </row>
    <row r="51" spans="1:9" ht="16" x14ac:dyDescent="0.2">
      <c r="A51" s="567">
        <v>46024</v>
      </c>
      <c r="B51" s="568">
        <v>2026</v>
      </c>
      <c r="C51" s="569">
        <v>1</v>
      </c>
      <c r="D51" s="570">
        <v>1</v>
      </c>
      <c r="E51" s="570">
        <v>2</v>
      </c>
      <c r="F51" s="571" t="s">
        <v>58</v>
      </c>
      <c r="G51" s="569" t="s">
        <v>58</v>
      </c>
      <c r="H51" s="569" t="s">
        <v>212</v>
      </c>
      <c r="I51" s="572">
        <v>21000000</v>
      </c>
    </row>
    <row r="52" spans="1:9" ht="16" x14ac:dyDescent="0.2">
      <c r="A52" s="561">
        <v>46024</v>
      </c>
      <c r="B52" s="562">
        <v>2026</v>
      </c>
      <c r="C52" s="563">
        <v>1</v>
      </c>
      <c r="D52" s="564">
        <v>1</v>
      </c>
      <c r="E52" s="564">
        <v>2</v>
      </c>
      <c r="F52" s="565" t="s">
        <v>61</v>
      </c>
      <c r="G52" s="563" t="s">
        <v>61</v>
      </c>
      <c r="H52" s="563" t="s">
        <v>214</v>
      </c>
      <c r="I52" s="566">
        <v>53000000</v>
      </c>
    </row>
    <row r="53" spans="1:9" ht="16" x14ac:dyDescent="0.2">
      <c r="A53" s="567">
        <v>46024</v>
      </c>
      <c r="B53" s="568">
        <v>2026</v>
      </c>
      <c r="C53" s="569">
        <v>1</v>
      </c>
      <c r="D53" s="570">
        <v>1</v>
      </c>
      <c r="E53" s="570">
        <v>2</v>
      </c>
      <c r="F53" s="571" t="s">
        <v>57</v>
      </c>
      <c r="G53" s="569" t="s">
        <v>57</v>
      </c>
      <c r="H53" s="569" t="s">
        <v>212</v>
      </c>
      <c r="I53" s="572">
        <v>783230000</v>
      </c>
    </row>
    <row r="54" spans="1:9" ht="16" x14ac:dyDescent="0.2">
      <c r="A54" s="561">
        <v>46024</v>
      </c>
      <c r="B54" s="562">
        <v>2026</v>
      </c>
      <c r="C54" s="563">
        <v>1</v>
      </c>
      <c r="D54" s="564">
        <v>1</v>
      </c>
      <c r="E54" s="564">
        <v>2</v>
      </c>
      <c r="F54" s="565" t="s">
        <v>63</v>
      </c>
      <c r="G54" s="563" t="s">
        <v>63</v>
      </c>
      <c r="H54" s="563" t="s">
        <v>214</v>
      </c>
      <c r="I54" s="566">
        <v>423468000</v>
      </c>
    </row>
    <row r="55" spans="1:9" ht="16" x14ac:dyDescent="0.2">
      <c r="A55" s="567">
        <v>46024</v>
      </c>
      <c r="B55" s="568">
        <v>2026</v>
      </c>
      <c r="C55" s="569">
        <v>1</v>
      </c>
      <c r="D55" s="570">
        <v>1</v>
      </c>
      <c r="E55" s="570">
        <v>2</v>
      </c>
      <c r="F55" s="571" t="s">
        <v>59</v>
      </c>
      <c r="G55" s="569" t="s">
        <v>59</v>
      </c>
      <c r="H55" s="569" t="s">
        <v>216</v>
      </c>
      <c r="I55" s="572">
        <v>916912945</v>
      </c>
    </row>
    <row r="56" spans="1:9" ht="16" x14ac:dyDescent="0.2">
      <c r="A56" s="561">
        <v>46024</v>
      </c>
      <c r="B56" s="562">
        <v>2026</v>
      </c>
      <c r="C56" s="563">
        <v>1</v>
      </c>
      <c r="D56" s="564">
        <v>1</v>
      </c>
      <c r="E56" s="564">
        <v>2</v>
      </c>
      <c r="F56" s="565" t="s">
        <v>31</v>
      </c>
      <c r="G56" s="563" t="s">
        <v>175</v>
      </c>
      <c r="H56" s="563" t="s">
        <v>212</v>
      </c>
      <c r="I56" s="566">
        <v>3083130000</v>
      </c>
    </row>
    <row r="57" spans="1:9" ht="16" x14ac:dyDescent="0.2">
      <c r="A57" s="567">
        <v>46024</v>
      </c>
      <c r="B57" s="568">
        <v>2026</v>
      </c>
      <c r="C57" s="569">
        <v>1</v>
      </c>
      <c r="D57" s="570">
        <v>1</v>
      </c>
      <c r="E57" s="570">
        <v>2</v>
      </c>
      <c r="F57" s="571" t="s">
        <v>234</v>
      </c>
      <c r="G57" s="569" t="s">
        <v>210</v>
      </c>
      <c r="H57" s="569" t="s">
        <v>214</v>
      </c>
      <c r="I57" s="572">
        <v>0</v>
      </c>
    </row>
    <row r="58" spans="1:9" ht="16" x14ac:dyDescent="0.2">
      <c r="A58" s="561">
        <v>46025</v>
      </c>
      <c r="B58" s="562">
        <v>2026</v>
      </c>
      <c r="C58" s="563">
        <v>1</v>
      </c>
      <c r="D58" s="564">
        <v>1</v>
      </c>
      <c r="E58" s="564">
        <v>3</v>
      </c>
      <c r="F58" s="565" t="s">
        <v>65</v>
      </c>
      <c r="G58" s="563" t="s">
        <v>65</v>
      </c>
      <c r="H58" s="563" t="s">
        <v>212</v>
      </c>
      <c r="I58" s="566">
        <v>583250000</v>
      </c>
    </row>
    <row r="59" spans="1:9" ht="16" x14ac:dyDescent="0.2">
      <c r="A59" s="567">
        <v>46025</v>
      </c>
      <c r="B59" s="568">
        <v>2026</v>
      </c>
      <c r="C59" s="569">
        <v>1</v>
      </c>
      <c r="D59" s="570">
        <v>1</v>
      </c>
      <c r="E59" s="570">
        <v>3</v>
      </c>
      <c r="F59" s="571" t="s">
        <v>66</v>
      </c>
      <c r="G59" s="569" t="s">
        <v>66</v>
      </c>
      <c r="H59" s="569" t="s">
        <v>216</v>
      </c>
      <c r="I59" s="572">
        <v>359899091</v>
      </c>
    </row>
    <row r="60" spans="1:9" ht="16" x14ac:dyDescent="0.2">
      <c r="A60" s="561">
        <v>46025</v>
      </c>
      <c r="B60" s="562">
        <v>2026</v>
      </c>
      <c r="C60" s="563">
        <v>1</v>
      </c>
      <c r="D60" s="564">
        <v>1</v>
      </c>
      <c r="E60" s="564">
        <v>3</v>
      </c>
      <c r="F60" s="565" t="s">
        <v>24</v>
      </c>
      <c r="G60" s="563" t="s">
        <v>24</v>
      </c>
      <c r="H60" s="563" t="s">
        <v>212</v>
      </c>
      <c r="I60" s="566">
        <v>14456160000</v>
      </c>
    </row>
    <row r="61" spans="1:9" ht="16" x14ac:dyDescent="0.2">
      <c r="A61" s="567">
        <v>46025</v>
      </c>
      <c r="B61" s="568">
        <v>2026</v>
      </c>
      <c r="C61" s="569">
        <v>1</v>
      </c>
      <c r="D61" s="570">
        <v>1</v>
      </c>
      <c r="E61" s="570">
        <v>3</v>
      </c>
      <c r="F61" s="571" t="s">
        <v>67</v>
      </c>
      <c r="G61" s="569" t="s">
        <v>67</v>
      </c>
      <c r="H61" s="569" t="s">
        <v>213</v>
      </c>
      <c r="I61" s="572">
        <v>2349436887</v>
      </c>
    </row>
    <row r="62" spans="1:9" ht="16" x14ac:dyDescent="0.2">
      <c r="A62" s="561">
        <v>46025</v>
      </c>
      <c r="B62" s="562">
        <v>2026</v>
      </c>
      <c r="C62" s="563">
        <v>1</v>
      </c>
      <c r="D62" s="564">
        <v>1</v>
      </c>
      <c r="E62" s="564">
        <v>3</v>
      </c>
      <c r="F62" s="565" t="s">
        <v>28</v>
      </c>
      <c r="G62" s="563" t="s">
        <v>28</v>
      </c>
      <c r="H62" s="563" t="s">
        <v>214</v>
      </c>
      <c r="I62" s="566">
        <v>12671856000</v>
      </c>
    </row>
    <row r="63" spans="1:9" ht="16" x14ac:dyDescent="0.2">
      <c r="A63" s="567">
        <v>46025</v>
      </c>
      <c r="B63" s="568">
        <v>2026</v>
      </c>
      <c r="C63" s="569">
        <v>1</v>
      </c>
      <c r="D63" s="570">
        <v>1</v>
      </c>
      <c r="E63" s="570">
        <v>3</v>
      </c>
      <c r="F63" s="571" t="s">
        <v>208</v>
      </c>
      <c r="G63" s="569" t="s">
        <v>208</v>
      </c>
      <c r="H63" s="569" t="s">
        <v>216</v>
      </c>
      <c r="I63" s="572">
        <v>76636650</v>
      </c>
    </row>
    <row r="64" spans="1:9" ht="16" x14ac:dyDescent="0.2">
      <c r="A64" s="561">
        <v>46025</v>
      </c>
      <c r="B64" s="562">
        <v>2026</v>
      </c>
      <c r="C64" s="563">
        <v>1</v>
      </c>
      <c r="D64" s="564">
        <v>1</v>
      </c>
      <c r="E64" s="564">
        <v>3</v>
      </c>
      <c r="F64" s="565" t="s">
        <v>60</v>
      </c>
      <c r="G64" s="563" t="s">
        <v>60</v>
      </c>
      <c r="H64" s="563" t="s">
        <v>212</v>
      </c>
      <c r="I64" s="566">
        <v>169000000</v>
      </c>
    </row>
    <row r="65" spans="1:9" ht="16" x14ac:dyDescent="0.2">
      <c r="A65" s="567">
        <v>46025</v>
      </c>
      <c r="B65" s="568">
        <v>2026</v>
      </c>
      <c r="C65" s="569">
        <v>1</v>
      </c>
      <c r="D65" s="570">
        <v>1</v>
      </c>
      <c r="E65" s="570">
        <v>3</v>
      </c>
      <c r="F65" s="571" t="s">
        <v>36</v>
      </c>
      <c r="G65" s="569" t="s">
        <v>36</v>
      </c>
      <c r="H65" s="569" t="s">
        <v>212</v>
      </c>
      <c r="I65" s="572">
        <v>3154650000</v>
      </c>
    </row>
    <row r="66" spans="1:9" ht="16" x14ac:dyDescent="0.2">
      <c r="A66" s="561">
        <v>46025</v>
      </c>
      <c r="B66" s="562">
        <v>2026</v>
      </c>
      <c r="C66" s="563">
        <v>1</v>
      </c>
      <c r="D66" s="564">
        <v>1</v>
      </c>
      <c r="E66" s="564">
        <v>3</v>
      </c>
      <c r="F66" s="565" t="s">
        <v>55</v>
      </c>
      <c r="G66" s="563" t="s">
        <v>36</v>
      </c>
      <c r="H66" s="563" t="s">
        <v>212</v>
      </c>
      <c r="I66" s="566">
        <v>297150000</v>
      </c>
    </row>
    <row r="67" spans="1:9" ht="16" x14ac:dyDescent="0.2">
      <c r="A67" s="567">
        <v>46025</v>
      </c>
      <c r="B67" s="568">
        <v>2026</v>
      </c>
      <c r="C67" s="569">
        <v>1</v>
      </c>
      <c r="D67" s="570">
        <v>1</v>
      </c>
      <c r="E67" s="570">
        <v>3</v>
      </c>
      <c r="F67" s="571" t="s">
        <v>176</v>
      </c>
      <c r="G67" s="569" t="s">
        <v>176</v>
      </c>
      <c r="H67" s="569" t="s">
        <v>216</v>
      </c>
      <c r="I67" s="572">
        <v>52658904</v>
      </c>
    </row>
    <row r="68" spans="1:9" ht="16" x14ac:dyDescent="0.2">
      <c r="A68" s="561">
        <v>46025</v>
      </c>
      <c r="B68" s="562">
        <v>2026</v>
      </c>
      <c r="C68" s="563">
        <v>1</v>
      </c>
      <c r="D68" s="564">
        <v>1</v>
      </c>
      <c r="E68" s="564">
        <v>3</v>
      </c>
      <c r="F68" s="565" t="s">
        <v>39</v>
      </c>
      <c r="G68" s="563" t="s">
        <v>176</v>
      </c>
      <c r="H68" s="563" t="s">
        <v>216</v>
      </c>
      <c r="I68" s="566">
        <v>2503625665</v>
      </c>
    </row>
    <row r="69" spans="1:9" ht="16" x14ac:dyDescent="0.2">
      <c r="A69" s="567">
        <v>46025</v>
      </c>
      <c r="B69" s="568">
        <v>2026</v>
      </c>
      <c r="C69" s="569">
        <v>1</v>
      </c>
      <c r="D69" s="570">
        <v>1</v>
      </c>
      <c r="E69" s="570">
        <v>3</v>
      </c>
      <c r="F69" s="571" t="s">
        <v>206</v>
      </c>
      <c r="G69" s="569" t="s">
        <v>206</v>
      </c>
      <c r="H69" s="569" t="s">
        <v>212</v>
      </c>
      <c r="I69" s="572">
        <v>0</v>
      </c>
    </row>
    <row r="70" spans="1:9" ht="16" x14ac:dyDescent="0.2">
      <c r="A70" s="561">
        <v>46025</v>
      </c>
      <c r="B70" s="562">
        <v>2026</v>
      </c>
      <c r="C70" s="563">
        <v>1</v>
      </c>
      <c r="D70" s="564">
        <v>1</v>
      </c>
      <c r="E70" s="564">
        <v>3</v>
      </c>
      <c r="F70" s="565" t="s">
        <v>64</v>
      </c>
      <c r="G70" s="563" t="s">
        <v>209</v>
      </c>
      <c r="H70" s="563" t="s">
        <v>212</v>
      </c>
      <c r="I70" s="566">
        <v>676500000</v>
      </c>
    </row>
    <row r="71" spans="1:9" ht="16" x14ac:dyDescent="0.2">
      <c r="A71" s="567">
        <v>46025</v>
      </c>
      <c r="B71" s="568">
        <v>2026</v>
      </c>
      <c r="C71" s="569">
        <v>1</v>
      </c>
      <c r="D71" s="570">
        <v>1</v>
      </c>
      <c r="E71" s="570">
        <v>3</v>
      </c>
      <c r="F71" s="571" t="s">
        <v>237</v>
      </c>
      <c r="G71" s="569" t="s">
        <v>209</v>
      </c>
      <c r="H71" s="569" t="s">
        <v>212</v>
      </c>
      <c r="I71" s="572">
        <v>0</v>
      </c>
    </row>
    <row r="72" spans="1:9" ht="16" x14ac:dyDescent="0.2">
      <c r="A72" s="561">
        <v>46025</v>
      </c>
      <c r="B72" s="562">
        <v>2026</v>
      </c>
      <c r="C72" s="563">
        <v>1</v>
      </c>
      <c r="D72" s="564">
        <v>1</v>
      </c>
      <c r="E72" s="564">
        <v>3</v>
      </c>
      <c r="F72" s="565" t="s">
        <v>11</v>
      </c>
      <c r="G72" s="563" t="s">
        <v>11</v>
      </c>
      <c r="H72" s="563" t="s">
        <v>212</v>
      </c>
      <c r="I72" s="566">
        <v>15849000000</v>
      </c>
    </row>
    <row r="73" spans="1:9" ht="16" x14ac:dyDescent="0.2">
      <c r="A73" s="567">
        <v>46025</v>
      </c>
      <c r="B73" s="568">
        <v>2026</v>
      </c>
      <c r="C73" s="569">
        <v>1</v>
      </c>
      <c r="D73" s="570">
        <v>1</v>
      </c>
      <c r="E73" s="570">
        <v>3</v>
      </c>
      <c r="F73" s="571" t="s">
        <v>221</v>
      </c>
      <c r="G73" s="569" t="s">
        <v>207</v>
      </c>
      <c r="H73" s="569" t="s">
        <v>212</v>
      </c>
      <c r="I73" s="572">
        <v>0</v>
      </c>
    </row>
    <row r="74" spans="1:9" ht="16" x14ac:dyDescent="0.2">
      <c r="A74" s="561">
        <v>46025</v>
      </c>
      <c r="B74" s="562">
        <v>2026</v>
      </c>
      <c r="C74" s="563">
        <v>1</v>
      </c>
      <c r="D74" s="564">
        <v>1</v>
      </c>
      <c r="E74" s="564">
        <v>3</v>
      </c>
      <c r="F74" s="565" t="s">
        <v>222</v>
      </c>
      <c r="G74" s="563" t="s">
        <v>207</v>
      </c>
      <c r="H74" s="563" t="s">
        <v>212</v>
      </c>
      <c r="I74" s="566">
        <v>0</v>
      </c>
    </row>
    <row r="75" spans="1:9" ht="16" x14ac:dyDescent="0.2">
      <c r="A75" s="567">
        <v>46025</v>
      </c>
      <c r="B75" s="568">
        <v>2026</v>
      </c>
      <c r="C75" s="569">
        <v>1</v>
      </c>
      <c r="D75" s="570">
        <v>1</v>
      </c>
      <c r="E75" s="570">
        <v>3</v>
      </c>
      <c r="F75" s="571" t="s">
        <v>223</v>
      </c>
      <c r="G75" s="569" t="s">
        <v>207</v>
      </c>
      <c r="H75" s="569" t="s">
        <v>212</v>
      </c>
      <c r="I75" s="572">
        <v>0</v>
      </c>
    </row>
    <row r="76" spans="1:9" ht="16" x14ac:dyDescent="0.2">
      <c r="A76" s="561">
        <v>46025</v>
      </c>
      <c r="B76" s="562">
        <v>2026</v>
      </c>
      <c r="C76" s="563">
        <v>1</v>
      </c>
      <c r="D76" s="564">
        <v>1</v>
      </c>
      <c r="E76" s="564">
        <v>3</v>
      </c>
      <c r="F76" s="565" t="s">
        <v>219</v>
      </c>
      <c r="G76" s="563" t="s">
        <v>11</v>
      </c>
      <c r="H76" s="563" t="s">
        <v>212</v>
      </c>
      <c r="I76" s="566">
        <v>0</v>
      </c>
    </row>
    <row r="77" spans="1:9" ht="16" x14ac:dyDescent="0.2">
      <c r="A77" s="567">
        <v>46025</v>
      </c>
      <c r="B77" s="568">
        <v>2026</v>
      </c>
      <c r="C77" s="569">
        <v>1</v>
      </c>
      <c r="D77" s="570">
        <v>1</v>
      </c>
      <c r="E77" s="570">
        <v>3</v>
      </c>
      <c r="F77" s="571" t="s">
        <v>19</v>
      </c>
      <c r="G77" s="569" t="s">
        <v>19</v>
      </c>
      <c r="H77" s="569" t="s">
        <v>214</v>
      </c>
      <c r="I77" s="572">
        <v>9353772000</v>
      </c>
    </row>
    <row r="78" spans="1:9" ht="16" x14ac:dyDescent="0.2">
      <c r="A78" s="561">
        <v>46025</v>
      </c>
      <c r="B78" s="562">
        <v>2026</v>
      </c>
      <c r="C78" s="563">
        <v>1</v>
      </c>
      <c r="D78" s="564">
        <v>1</v>
      </c>
      <c r="E78" s="564">
        <v>3</v>
      </c>
      <c r="F78" s="565" t="s">
        <v>62</v>
      </c>
      <c r="G78" s="563" t="s">
        <v>62</v>
      </c>
      <c r="H78" s="563" t="s">
        <v>216</v>
      </c>
      <c r="I78" s="566">
        <v>494063226</v>
      </c>
    </row>
    <row r="79" spans="1:9" ht="16" x14ac:dyDescent="0.2">
      <c r="A79" s="567">
        <v>46025</v>
      </c>
      <c r="B79" s="568">
        <v>2026</v>
      </c>
      <c r="C79" s="569">
        <v>1</v>
      </c>
      <c r="D79" s="570">
        <v>1</v>
      </c>
      <c r="E79" s="570">
        <v>3</v>
      </c>
      <c r="F79" s="571" t="s">
        <v>58</v>
      </c>
      <c r="G79" s="569" t="s">
        <v>58</v>
      </c>
      <c r="H79" s="569" t="s">
        <v>212</v>
      </c>
      <c r="I79" s="572">
        <v>0</v>
      </c>
    </row>
    <row r="80" spans="1:9" ht="16" x14ac:dyDescent="0.2">
      <c r="A80" s="561">
        <v>46025</v>
      </c>
      <c r="B80" s="562">
        <v>2026</v>
      </c>
      <c r="C80" s="563">
        <v>1</v>
      </c>
      <c r="D80" s="564">
        <v>1</v>
      </c>
      <c r="E80" s="564">
        <v>3</v>
      </c>
      <c r="F80" s="565" t="s">
        <v>61</v>
      </c>
      <c r="G80" s="563" t="s">
        <v>61</v>
      </c>
      <c r="H80" s="563" t="s">
        <v>214</v>
      </c>
      <c r="I80" s="566">
        <v>58000000</v>
      </c>
    </row>
    <row r="81" spans="1:9" ht="16" x14ac:dyDescent="0.2">
      <c r="A81" s="567">
        <v>46025</v>
      </c>
      <c r="B81" s="568">
        <v>2026</v>
      </c>
      <c r="C81" s="569">
        <v>1</v>
      </c>
      <c r="D81" s="570">
        <v>1</v>
      </c>
      <c r="E81" s="570">
        <v>3</v>
      </c>
      <c r="F81" s="571" t="s">
        <v>57</v>
      </c>
      <c r="G81" s="569" t="s">
        <v>57</v>
      </c>
      <c r="H81" s="569" t="s">
        <v>212</v>
      </c>
      <c r="I81" s="572">
        <v>963500000</v>
      </c>
    </row>
    <row r="82" spans="1:9" ht="16" x14ac:dyDescent="0.2">
      <c r="A82" s="561">
        <v>46025</v>
      </c>
      <c r="B82" s="562">
        <v>2026</v>
      </c>
      <c r="C82" s="563">
        <v>1</v>
      </c>
      <c r="D82" s="564">
        <v>1</v>
      </c>
      <c r="E82" s="564">
        <v>3</v>
      </c>
      <c r="F82" s="565" t="s">
        <v>63</v>
      </c>
      <c r="G82" s="563" t="s">
        <v>63</v>
      </c>
      <c r="H82" s="563" t="s">
        <v>214</v>
      </c>
      <c r="I82" s="566">
        <v>333504000</v>
      </c>
    </row>
    <row r="83" spans="1:9" ht="16" x14ac:dyDescent="0.2">
      <c r="A83" s="567">
        <v>46025</v>
      </c>
      <c r="B83" s="568">
        <v>2026</v>
      </c>
      <c r="C83" s="569">
        <v>1</v>
      </c>
      <c r="D83" s="570">
        <v>1</v>
      </c>
      <c r="E83" s="570">
        <v>3</v>
      </c>
      <c r="F83" s="571" t="s">
        <v>59</v>
      </c>
      <c r="G83" s="569" t="s">
        <v>59</v>
      </c>
      <c r="H83" s="569" t="s">
        <v>216</v>
      </c>
      <c r="I83" s="572">
        <v>1276435037</v>
      </c>
    </row>
    <row r="84" spans="1:9" ht="16" x14ac:dyDescent="0.2">
      <c r="A84" s="561">
        <v>46025</v>
      </c>
      <c r="B84" s="562">
        <v>2026</v>
      </c>
      <c r="C84" s="563">
        <v>1</v>
      </c>
      <c r="D84" s="564">
        <v>1</v>
      </c>
      <c r="E84" s="564">
        <v>3</v>
      </c>
      <c r="F84" s="565" t="s">
        <v>31</v>
      </c>
      <c r="G84" s="563" t="s">
        <v>175</v>
      </c>
      <c r="H84" s="563" t="s">
        <v>212</v>
      </c>
      <c r="I84" s="566">
        <v>3123240000</v>
      </c>
    </row>
    <row r="85" spans="1:9" ht="16" x14ac:dyDescent="0.2">
      <c r="A85" s="567">
        <v>46025</v>
      </c>
      <c r="B85" s="568">
        <v>2026</v>
      </c>
      <c r="C85" s="569">
        <v>1</v>
      </c>
      <c r="D85" s="570">
        <v>1</v>
      </c>
      <c r="E85" s="570">
        <v>3</v>
      </c>
      <c r="F85" s="571" t="s">
        <v>234</v>
      </c>
      <c r="G85" s="569" t="s">
        <v>210</v>
      </c>
      <c r="H85" s="569" t="s">
        <v>214</v>
      </c>
      <c r="I85" s="572">
        <v>0</v>
      </c>
    </row>
    <row r="86" spans="1:9" ht="16" x14ac:dyDescent="0.2">
      <c r="A86" s="561">
        <v>46026</v>
      </c>
      <c r="B86" s="562">
        <v>2026</v>
      </c>
      <c r="C86" s="563">
        <v>1</v>
      </c>
      <c r="D86" s="564">
        <v>1</v>
      </c>
      <c r="E86" s="564">
        <v>4</v>
      </c>
      <c r="F86" s="565" t="s">
        <v>65</v>
      </c>
      <c r="G86" s="563" t="s">
        <v>65</v>
      </c>
      <c r="H86" s="563" t="s">
        <v>212</v>
      </c>
      <c r="I86" s="566">
        <v>596850000</v>
      </c>
    </row>
    <row r="87" spans="1:9" ht="16" x14ac:dyDescent="0.2">
      <c r="A87" s="567">
        <v>46026</v>
      </c>
      <c r="B87" s="568">
        <v>2026</v>
      </c>
      <c r="C87" s="569">
        <v>1</v>
      </c>
      <c r="D87" s="570">
        <v>1</v>
      </c>
      <c r="E87" s="570">
        <v>4</v>
      </c>
      <c r="F87" s="571" t="s">
        <v>66</v>
      </c>
      <c r="G87" s="569" t="s">
        <v>66</v>
      </c>
      <c r="H87" s="569" t="s">
        <v>216</v>
      </c>
      <c r="I87" s="572">
        <v>441460119</v>
      </c>
    </row>
    <row r="88" spans="1:9" ht="16" x14ac:dyDescent="0.2">
      <c r="A88" s="561">
        <v>46026</v>
      </c>
      <c r="B88" s="562">
        <v>2026</v>
      </c>
      <c r="C88" s="563">
        <v>1</v>
      </c>
      <c r="D88" s="564">
        <v>1</v>
      </c>
      <c r="E88" s="564">
        <v>4</v>
      </c>
      <c r="F88" s="565" t="s">
        <v>24</v>
      </c>
      <c r="G88" s="563" t="s">
        <v>24</v>
      </c>
      <c r="H88" s="563" t="s">
        <v>212</v>
      </c>
      <c r="I88" s="566">
        <v>13472970000</v>
      </c>
    </row>
    <row r="89" spans="1:9" ht="16" x14ac:dyDescent="0.2">
      <c r="A89" s="567">
        <v>46026</v>
      </c>
      <c r="B89" s="568">
        <v>2026</v>
      </c>
      <c r="C89" s="569">
        <v>1</v>
      </c>
      <c r="D89" s="570">
        <v>1</v>
      </c>
      <c r="E89" s="570">
        <v>4</v>
      </c>
      <c r="F89" s="571" t="s">
        <v>67</v>
      </c>
      <c r="G89" s="569" t="s">
        <v>67</v>
      </c>
      <c r="H89" s="569" t="s">
        <v>213</v>
      </c>
      <c r="I89" s="572">
        <v>2438419059</v>
      </c>
    </row>
    <row r="90" spans="1:9" ht="16" x14ac:dyDescent="0.2">
      <c r="A90" s="561">
        <v>46026</v>
      </c>
      <c r="B90" s="562">
        <v>2026</v>
      </c>
      <c r="C90" s="563">
        <v>1</v>
      </c>
      <c r="D90" s="564">
        <v>1</v>
      </c>
      <c r="E90" s="564">
        <v>4</v>
      </c>
      <c r="F90" s="565" t="s">
        <v>28</v>
      </c>
      <c r="G90" s="563" t="s">
        <v>28</v>
      </c>
      <c r="H90" s="563" t="s">
        <v>214</v>
      </c>
      <c r="I90" s="566">
        <v>12509640000</v>
      </c>
    </row>
    <row r="91" spans="1:9" ht="16" x14ac:dyDescent="0.2">
      <c r="A91" s="567">
        <v>46026</v>
      </c>
      <c r="B91" s="568">
        <v>2026</v>
      </c>
      <c r="C91" s="569">
        <v>1</v>
      </c>
      <c r="D91" s="570">
        <v>1</v>
      </c>
      <c r="E91" s="570">
        <v>4</v>
      </c>
      <c r="F91" s="571" t="s">
        <v>208</v>
      </c>
      <c r="G91" s="569" t="s">
        <v>208</v>
      </c>
      <c r="H91" s="569" t="s">
        <v>216</v>
      </c>
      <c r="I91" s="572">
        <v>70640202</v>
      </c>
    </row>
    <row r="92" spans="1:9" ht="16" x14ac:dyDescent="0.2">
      <c r="A92" s="561">
        <v>46026</v>
      </c>
      <c r="B92" s="562">
        <v>2026</v>
      </c>
      <c r="C92" s="563">
        <v>1</v>
      </c>
      <c r="D92" s="564">
        <v>1</v>
      </c>
      <c r="E92" s="564">
        <v>4</v>
      </c>
      <c r="F92" s="565" t="s">
        <v>60</v>
      </c>
      <c r="G92" s="563" t="s">
        <v>60</v>
      </c>
      <c r="H92" s="563" t="s">
        <v>212</v>
      </c>
      <c r="I92" s="566">
        <v>0</v>
      </c>
    </row>
    <row r="93" spans="1:9" ht="16" x14ac:dyDescent="0.2">
      <c r="A93" s="567">
        <v>46026</v>
      </c>
      <c r="B93" s="568">
        <v>2026</v>
      </c>
      <c r="C93" s="569">
        <v>1</v>
      </c>
      <c r="D93" s="570">
        <v>1</v>
      </c>
      <c r="E93" s="570">
        <v>4</v>
      </c>
      <c r="F93" s="571" t="s">
        <v>36</v>
      </c>
      <c r="G93" s="569" t="s">
        <v>36</v>
      </c>
      <c r="H93" s="569" t="s">
        <v>212</v>
      </c>
      <c r="I93" s="572">
        <v>4516770000</v>
      </c>
    </row>
    <row r="94" spans="1:9" ht="16" x14ac:dyDescent="0.2">
      <c r="A94" s="561">
        <v>46026</v>
      </c>
      <c r="B94" s="562">
        <v>2026</v>
      </c>
      <c r="C94" s="563">
        <v>1</v>
      </c>
      <c r="D94" s="564">
        <v>1</v>
      </c>
      <c r="E94" s="564">
        <v>4</v>
      </c>
      <c r="F94" s="565" t="s">
        <v>55</v>
      </c>
      <c r="G94" s="563" t="s">
        <v>36</v>
      </c>
      <c r="H94" s="563" t="s">
        <v>212</v>
      </c>
      <c r="I94" s="566">
        <v>369950000</v>
      </c>
    </row>
    <row r="95" spans="1:9" ht="16" x14ac:dyDescent="0.2">
      <c r="A95" s="567">
        <v>46026</v>
      </c>
      <c r="B95" s="568">
        <v>2026</v>
      </c>
      <c r="C95" s="569">
        <v>1</v>
      </c>
      <c r="D95" s="570">
        <v>1</v>
      </c>
      <c r="E95" s="570">
        <v>4</v>
      </c>
      <c r="F95" s="571" t="s">
        <v>176</v>
      </c>
      <c r="G95" s="569" t="s">
        <v>176</v>
      </c>
      <c r="H95" s="569" t="s">
        <v>216</v>
      </c>
      <c r="I95" s="572">
        <v>70201029</v>
      </c>
    </row>
    <row r="96" spans="1:9" ht="16" x14ac:dyDescent="0.2">
      <c r="A96" s="561">
        <v>46026</v>
      </c>
      <c r="B96" s="562">
        <v>2026</v>
      </c>
      <c r="C96" s="563">
        <v>1</v>
      </c>
      <c r="D96" s="564">
        <v>1</v>
      </c>
      <c r="E96" s="564">
        <v>4</v>
      </c>
      <c r="F96" s="565" t="s">
        <v>39</v>
      </c>
      <c r="G96" s="563" t="s">
        <v>176</v>
      </c>
      <c r="H96" s="563" t="s">
        <v>216</v>
      </c>
      <c r="I96" s="566">
        <v>2874242217</v>
      </c>
    </row>
    <row r="97" spans="1:9" ht="16" x14ac:dyDescent="0.2">
      <c r="A97" s="567">
        <v>46026</v>
      </c>
      <c r="B97" s="568">
        <v>2026</v>
      </c>
      <c r="C97" s="569">
        <v>1</v>
      </c>
      <c r="D97" s="570">
        <v>1</v>
      </c>
      <c r="E97" s="570">
        <v>4</v>
      </c>
      <c r="F97" s="571" t="s">
        <v>206</v>
      </c>
      <c r="G97" s="569" t="s">
        <v>206</v>
      </c>
      <c r="H97" s="569" t="s">
        <v>212</v>
      </c>
      <c r="I97" s="572">
        <v>0</v>
      </c>
    </row>
    <row r="98" spans="1:9" ht="16" x14ac:dyDescent="0.2">
      <c r="A98" s="561">
        <v>46026</v>
      </c>
      <c r="B98" s="562">
        <v>2026</v>
      </c>
      <c r="C98" s="563">
        <v>1</v>
      </c>
      <c r="D98" s="564">
        <v>1</v>
      </c>
      <c r="E98" s="564">
        <v>4</v>
      </c>
      <c r="F98" s="565" t="s">
        <v>64</v>
      </c>
      <c r="G98" s="563" t="s">
        <v>209</v>
      </c>
      <c r="H98" s="563" t="s">
        <v>212</v>
      </c>
      <c r="I98" s="566">
        <v>366000000</v>
      </c>
    </row>
    <row r="99" spans="1:9" ht="16" x14ac:dyDescent="0.2">
      <c r="A99" s="567">
        <v>46026</v>
      </c>
      <c r="B99" s="568">
        <v>2026</v>
      </c>
      <c r="C99" s="569">
        <v>1</v>
      </c>
      <c r="D99" s="570">
        <v>1</v>
      </c>
      <c r="E99" s="570">
        <v>4</v>
      </c>
      <c r="F99" s="571" t="s">
        <v>237</v>
      </c>
      <c r="G99" s="569" t="s">
        <v>209</v>
      </c>
      <c r="H99" s="569" t="s">
        <v>212</v>
      </c>
      <c r="I99" s="572">
        <v>0</v>
      </c>
    </row>
    <row r="100" spans="1:9" ht="16" x14ac:dyDescent="0.2">
      <c r="A100" s="561">
        <v>46026</v>
      </c>
      <c r="B100" s="562">
        <v>2026</v>
      </c>
      <c r="C100" s="563">
        <v>1</v>
      </c>
      <c r="D100" s="564">
        <v>1</v>
      </c>
      <c r="E100" s="564">
        <v>4</v>
      </c>
      <c r="F100" s="565" t="s">
        <v>11</v>
      </c>
      <c r="G100" s="563" t="s">
        <v>11</v>
      </c>
      <c r="H100" s="563" t="s">
        <v>212</v>
      </c>
      <c r="I100" s="566">
        <v>14323530000</v>
      </c>
    </row>
    <row r="101" spans="1:9" ht="16" x14ac:dyDescent="0.2">
      <c r="A101" s="567">
        <v>46026</v>
      </c>
      <c r="B101" s="568">
        <v>2026</v>
      </c>
      <c r="C101" s="569">
        <v>1</v>
      </c>
      <c r="D101" s="570">
        <v>1</v>
      </c>
      <c r="E101" s="570">
        <v>4</v>
      </c>
      <c r="F101" s="571" t="s">
        <v>221</v>
      </c>
      <c r="G101" s="569" t="s">
        <v>207</v>
      </c>
      <c r="H101" s="569" t="s">
        <v>212</v>
      </c>
      <c r="I101" s="572">
        <v>0</v>
      </c>
    </row>
    <row r="102" spans="1:9" ht="16" x14ac:dyDescent="0.2">
      <c r="A102" s="561">
        <v>46026</v>
      </c>
      <c r="B102" s="562">
        <v>2026</v>
      </c>
      <c r="C102" s="563">
        <v>1</v>
      </c>
      <c r="D102" s="564">
        <v>1</v>
      </c>
      <c r="E102" s="564">
        <v>4</v>
      </c>
      <c r="F102" s="565" t="s">
        <v>222</v>
      </c>
      <c r="G102" s="563" t="s">
        <v>207</v>
      </c>
      <c r="H102" s="563" t="s">
        <v>212</v>
      </c>
      <c r="I102" s="566">
        <v>0</v>
      </c>
    </row>
    <row r="103" spans="1:9" ht="16" x14ac:dyDescent="0.2">
      <c r="A103" s="567">
        <v>46026</v>
      </c>
      <c r="B103" s="568">
        <v>2026</v>
      </c>
      <c r="C103" s="569">
        <v>1</v>
      </c>
      <c r="D103" s="570">
        <v>1</v>
      </c>
      <c r="E103" s="570">
        <v>4</v>
      </c>
      <c r="F103" s="571" t="s">
        <v>223</v>
      </c>
      <c r="G103" s="569" t="s">
        <v>207</v>
      </c>
      <c r="H103" s="569" t="s">
        <v>212</v>
      </c>
      <c r="I103" s="572">
        <v>0</v>
      </c>
    </row>
    <row r="104" spans="1:9" ht="16" x14ac:dyDescent="0.2">
      <c r="A104" s="561">
        <v>46026</v>
      </c>
      <c r="B104" s="562">
        <v>2026</v>
      </c>
      <c r="C104" s="563">
        <v>1</v>
      </c>
      <c r="D104" s="564">
        <v>1</v>
      </c>
      <c r="E104" s="564">
        <v>4</v>
      </c>
      <c r="F104" s="565" t="s">
        <v>219</v>
      </c>
      <c r="G104" s="563" t="s">
        <v>11</v>
      </c>
      <c r="H104" s="563" t="s">
        <v>212</v>
      </c>
      <c r="I104" s="566">
        <v>0</v>
      </c>
    </row>
    <row r="105" spans="1:9" ht="16" x14ac:dyDescent="0.2">
      <c r="A105" s="567">
        <v>46026</v>
      </c>
      <c r="B105" s="568">
        <v>2026</v>
      </c>
      <c r="C105" s="569">
        <v>1</v>
      </c>
      <c r="D105" s="570">
        <v>1</v>
      </c>
      <c r="E105" s="570">
        <v>4</v>
      </c>
      <c r="F105" s="571" t="s">
        <v>19</v>
      </c>
      <c r="G105" s="569" t="s">
        <v>19</v>
      </c>
      <c r="H105" s="569" t="s">
        <v>214</v>
      </c>
      <c r="I105" s="572">
        <v>9263484000</v>
      </c>
    </row>
    <row r="106" spans="1:9" ht="16" x14ac:dyDescent="0.2">
      <c r="A106" s="561">
        <v>46026</v>
      </c>
      <c r="B106" s="562">
        <v>2026</v>
      </c>
      <c r="C106" s="563">
        <v>1</v>
      </c>
      <c r="D106" s="564">
        <v>1</v>
      </c>
      <c r="E106" s="564">
        <v>4</v>
      </c>
      <c r="F106" s="565" t="s">
        <v>62</v>
      </c>
      <c r="G106" s="563" t="s">
        <v>62</v>
      </c>
      <c r="H106" s="563" t="s">
        <v>216</v>
      </c>
      <c r="I106" s="566">
        <v>637812477</v>
      </c>
    </row>
    <row r="107" spans="1:9" ht="16" x14ac:dyDescent="0.2">
      <c r="A107" s="567">
        <v>46026</v>
      </c>
      <c r="B107" s="568">
        <v>2026</v>
      </c>
      <c r="C107" s="569">
        <v>1</v>
      </c>
      <c r="D107" s="570">
        <v>1</v>
      </c>
      <c r="E107" s="570">
        <v>4</v>
      </c>
      <c r="F107" s="571" t="s">
        <v>58</v>
      </c>
      <c r="G107" s="569" t="s">
        <v>58</v>
      </c>
      <c r="H107" s="569" t="s">
        <v>212</v>
      </c>
      <c r="I107" s="572">
        <v>21000000</v>
      </c>
    </row>
    <row r="108" spans="1:9" ht="16" x14ac:dyDescent="0.2">
      <c r="A108" s="561">
        <v>46026</v>
      </c>
      <c r="B108" s="562">
        <v>2026</v>
      </c>
      <c r="C108" s="563">
        <v>1</v>
      </c>
      <c r="D108" s="564">
        <v>1</v>
      </c>
      <c r="E108" s="564">
        <v>4</v>
      </c>
      <c r="F108" s="565" t="s">
        <v>61</v>
      </c>
      <c r="G108" s="563" t="s">
        <v>61</v>
      </c>
      <c r="H108" s="563" t="s">
        <v>214</v>
      </c>
      <c r="I108" s="566">
        <v>32000000</v>
      </c>
    </row>
    <row r="109" spans="1:9" ht="16" x14ac:dyDescent="0.2">
      <c r="A109" s="567">
        <v>46026</v>
      </c>
      <c r="B109" s="568">
        <v>2026</v>
      </c>
      <c r="C109" s="569">
        <v>1</v>
      </c>
      <c r="D109" s="570">
        <v>1</v>
      </c>
      <c r="E109" s="570">
        <v>4</v>
      </c>
      <c r="F109" s="571" t="s">
        <v>57</v>
      </c>
      <c r="G109" s="569" t="s">
        <v>57</v>
      </c>
      <c r="H109" s="569" t="s">
        <v>212</v>
      </c>
      <c r="I109" s="572">
        <v>745310000</v>
      </c>
    </row>
    <row r="110" spans="1:9" ht="16" x14ac:dyDescent="0.2">
      <c r="A110" s="561">
        <v>46026</v>
      </c>
      <c r="B110" s="562">
        <v>2026</v>
      </c>
      <c r="C110" s="563">
        <v>1</v>
      </c>
      <c r="D110" s="564">
        <v>1</v>
      </c>
      <c r="E110" s="564">
        <v>4</v>
      </c>
      <c r="F110" s="565" t="s">
        <v>63</v>
      </c>
      <c r="G110" s="563" t="s">
        <v>63</v>
      </c>
      <c r="H110" s="563" t="s">
        <v>214</v>
      </c>
      <c r="I110" s="566">
        <v>302616000</v>
      </c>
    </row>
    <row r="111" spans="1:9" ht="16" x14ac:dyDescent="0.2">
      <c r="A111" s="567">
        <v>46026</v>
      </c>
      <c r="B111" s="568">
        <v>2026</v>
      </c>
      <c r="C111" s="569">
        <v>1</v>
      </c>
      <c r="D111" s="570">
        <v>1</v>
      </c>
      <c r="E111" s="570">
        <v>4</v>
      </c>
      <c r="F111" s="571" t="s">
        <v>59</v>
      </c>
      <c r="G111" s="569" t="s">
        <v>59</v>
      </c>
      <c r="H111" s="569" t="s">
        <v>216</v>
      </c>
      <c r="I111" s="572">
        <v>1757446176</v>
      </c>
    </row>
    <row r="112" spans="1:9" ht="16" x14ac:dyDescent="0.2">
      <c r="A112" s="561">
        <v>46026</v>
      </c>
      <c r="B112" s="562">
        <v>2026</v>
      </c>
      <c r="C112" s="563">
        <v>1</v>
      </c>
      <c r="D112" s="564">
        <v>1</v>
      </c>
      <c r="E112" s="564">
        <v>4</v>
      </c>
      <c r="F112" s="565" t="s">
        <v>31</v>
      </c>
      <c r="G112" s="563" t="s">
        <v>175</v>
      </c>
      <c r="H112" s="563" t="s">
        <v>212</v>
      </c>
      <c r="I112" s="566">
        <v>3292270000</v>
      </c>
    </row>
    <row r="113" spans="1:9" ht="16" x14ac:dyDescent="0.2">
      <c r="A113" s="567">
        <v>46026</v>
      </c>
      <c r="B113" s="568">
        <v>2026</v>
      </c>
      <c r="C113" s="569">
        <v>1</v>
      </c>
      <c r="D113" s="570">
        <v>1</v>
      </c>
      <c r="E113" s="570">
        <v>4</v>
      </c>
      <c r="F113" s="571" t="s">
        <v>234</v>
      </c>
      <c r="G113" s="569" t="s">
        <v>210</v>
      </c>
      <c r="H113" s="569" t="s">
        <v>214</v>
      </c>
      <c r="I113" s="572">
        <v>0</v>
      </c>
    </row>
    <row r="114" spans="1:9" ht="16" x14ac:dyDescent="0.2">
      <c r="A114" s="561">
        <v>46027</v>
      </c>
      <c r="B114" s="562">
        <v>2026</v>
      </c>
      <c r="C114" s="563">
        <v>1</v>
      </c>
      <c r="D114" s="564">
        <v>2</v>
      </c>
      <c r="E114" s="564">
        <v>5</v>
      </c>
      <c r="F114" s="565" t="s">
        <v>65</v>
      </c>
      <c r="G114" s="563" t="s">
        <v>65</v>
      </c>
      <c r="H114" s="563" t="s">
        <v>212</v>
      </c>
      <c r="I114" s="566">
        <v>687250000</v>
      </c>
    </row>
    <row r="115" spans="1:9" ht="16" x14ac:dyDescent="0.2">
      <c r="A115" s="567">
        <v>46027</v>
      </c>
      <c r="B115" s="568">
        <v>2026</v>
      </c>
      <c r="C115" s="569">
        <v>1</v>
      </c>
      <c r="D115" s="570">
        <v>2</v>
      </c>
      <c r="E115" s="570">
        <v>5</v>
      </c>
      <c r="F115" s="571" t="s">
        <v>66</v>
      </c>
      <c r="G115" s="569" t="s">
        <v>66</v>
      </c>
      <c r="H115" s="569" t="s">
        <v>216</v>
      </c>
      <c r="I115" s="572">
        <v>449006164</v>
      </c>
    </row>
    <row r="116" spans="1:9" ht="16" x14ac:dyDescent="0.2">
      <c r="A116" s="561">
        <v>46027</v>
      </c>
      <c r="B116" s="562">
        <v>2026</v>
      </c>
      <c r="C116" s="563">
        <v>1</v>
      </c>
      <c r="D116" s="564">
        <v>2</v>
      </c>
      <c r="E116" s="564">
        <v>5</v>
      </c>
      <c r="F116" s="565" t="s">
        <v>24</v>
      </c>
      <c r="G116" s="563" t="s">
        <v>24</v>
      </c>
      <c r="H116" s="563" t="s">
        <v>212</v>
      </c>
      <c r="I116" s="566">
        <v>18178310000</v>
      </c>
    </row>
    <row r="117" spans="1:9" ht="16" x14ac:dyDescent="0.2">
      <c r="A117" s="567">
        <v>46027</v>
      </c>
      <c r="B117" s="568">
        <v>2026</v>
      </c>
      <c r="C117" s="569">
        <v>1</v>
      </c>
      <c r="D117" s="570">
        <v>2</v>
      </c>
      <c r="E117" s="570">
        <v>5</v>
      </c>
      <c r="F117" s="571" t="s">
        <v>67</v>
      </c>
      <c r="G117" s="569" t="s">
        <v>67</v>
      </c>
      <c r="H117" s="569" t="s">
        <v>213</v>
      </c>
      <c r="I117" s="572">
        <v>3013009921</v>
      </c>
    </row>
    <row r="118" spans="1:9" ht="16" x14ac:dyDescent="0.2">
      <c r="A118" s="561">
        <v>46027</v>
      </c>
      <c r="B118" s="562">
        <v>2026</v>
      </c>
      <c r="C118" s="563">
        <v>1</v>
      </c>
      <c r="D118" s="564">
        <v>2</v>
      </c>
      <c r="E118" s="564">
        <v>5</v>
      </c>
      <c r="F118" s="565" t="s">
        <v>28</v>
      </c>
      <c r="G118" s="563" t="s">
        <v>28</v>
      </c>
      <c r="H118" s="563" t="s">
        <v>214</v>
      </c>
      <c r="I118" s="566">
        <v>16151940000</v>
      </c>
    </row>
    <row r="119" spans="1:9" ht="16" x14ac:dyDescent="0.2">
      <c r="A119" s="567">
        <v>46027</v>
      </c>
      <c r="B119" s="568">
        <v>2026</v>
      </c>
      <c r="C119" s="569">
        <v>1</v>
      </c>
      <c r="D119" s="570">
        <v>2</v>
      </c>
      <c r="E119" s="570">
        <v>5</v>
      </c>
      <c r="F119" s="571" t="s">
        <v>208</v>
      </c>
      <c r="G119" s="569" t="s">
        <v>208</v>
      </c>
      <c r="H119" s="569" t="s">
        <v>216</v>
      </c>
      <c r="I119" s="572">
        <v>65833326</v>
      </c>
    </row>
    <row r="120" spans="1:9" ht="16" x14ac:dyDescent="0.2">
      <c r="A120" s="561">
        <v>46027</v>
      </c>
      <c r="B120" s="562">
        <v>2026</v>
      </c>
      <c r="C120" s="563">
        <v>1</v>
      </c>
      <c r="D120" s="564">
        <v>2</v>
      </c>
      <c r="E120" s="564">
        <v>5</v>
      </c>
      <c r="F120" s="565" t="s">
        <v>60</v>
      </c>
      <c r="G120" s="563" t="s">
        <v>60</v>
      </c>
      <c r="H120" s="563" t="s">
        <v>212</v>
      </c>
      <c r="I120" s="566">
        <v>90000000</v>
      </c>
    </row>
    <row r="121" spans="1:9" ht="16" x14ac:dyDescent="0.2">
      <c r="A121" s="567">
        <v>46027</v>
      </c>
      <c r="B121" s="568">
        <v>2026</v>
      </c>
      <c r="C121" s="569">
        <v>1</v>
      </c>
      <c r="D121" s="570">
        <v>2</v>
      </c>
      <c r="E121" s="570">
        <v>5</v>
      </c>
      <c r="F121" s="571" t="s">
        <v>36</v>
      </c>
      <c r="G121" s="569" t="s">
        <v>36</v>
      </c>
      <c r="H121" s="569" t="s">
        <v>212</v>
      </c>
      <c r="I121" s="572">
        <v>4914460000</v>
      </c>
    </row>
    <row r="122" spans="1:9" ht="16" x14ac:dyDescent="0.2">
      <c r="A122" s="561">
        <v>46027</v>
      </c>
      <c r="B122" s="562">
        <v>2026</v>
      </c>
      <c r="C122" s="563">
        <v>1</v>
      </c>
      <c r="D122" s="564">
        <v>2</v>
      </c>
      <c r="E122" s="564">
        <v>5</v>
      </c>
      <c r="F122" s="565" t="s">
        <v>55</v>
      </c>
      <c r="G122" s="563" t="s">
        <v>36</v>
      </c>
      <c r="H122" s="563" t="s">
        <v>212</v>
      </c>
      <c r="I122" s="566">
        <v>288300000</v>
      </c>
    </row>
    <row r="123" spans="1:9" ht="16" x14ac:dyDescent="0.2">
      <c r="A123" s="567">
        <v>46027</v>
      </c>
      <c r="B123" s="568">
        <v>2026</v>
      </c>
      <c r="C123" s="569">
        <v>1</v>
      </c>
      <c r="D123" s="570">
        <v>2</v>
      </c>
      <c r="E123" s="570">
        <v>5</v>
      </c>
      <c r="F123" s="571" t="s">
        <v>176</v>
      </c>
      <c r="G123" s="569" t="s">
        <v>176</v>
      </c>
      <c r="H123" s="569" t="s">
        <v>216</v>
      </c>
      <c r="I123" s="572">
        <v>58697374</v>
      </c>
    </row>
    <row r="124" spans="1:9" ht="16" x14ac:dyDescent="0.2">
      <c r="A124" s="561">
        <v>46027</v>
      </c>
      <c r="B124" s="562">
        <v>2026</v>
      </c>
      <c r="C124" s="563">
        <v>1</v>
      </c>
      <c r="D124" s="564">
        <v>2</v>
      </c>
      <c r="E124" s="564">
        <v>5</v>
      </c>
      <c r="F124" s="565" t="s">
        <v>39</v>
      </c>
      <c r="G124" s="563" t="s">
        <v>176</v>
      </c>
      <c r="H124" s="563" t="s">
        <v>216</v>
      </c>
      <c r="I124" s="566">
        <v>2103866423</v>
      </c>
    </row>
    <row r="125" spans="1:9" ht="16" x14ac:dyDescent="0.2">
      <c r="A125" s="567">
        <v>46027</v>
      </c>
      <c r="B125" s="568">
        <v>2026</v>
      </c>
      <c r="C125" s="569">
        <v>1</v>
      </c>
      <c r="D125" s="570">
        <v>2</v>
      </c>
      <c r="E125" s="570">
        <v>5</v>
      </c>
      <c r="F125" s="571" t="s">
        <v>206</v>
      </c>
      <c r="G125" s="569" t="s">
        <v>206</v>
      </c>
      <c r="H125" s="569" t="s">
        <v>212</v>
      </c>
      <c r="I125" s="572">
        <v>0</v>
      </c>
    </row>
    <row r="126" spans="1:9" ht="16" x14ac:dyDescent="0.2">
      <c r="A126" s="561">
        <v>46027</v>
      </c>
      <c r="B126" s="562">
        <v>2026</v>
      </c>
      <c r="C126" s="563">
        <v>1</v>
      </c>
      <c r="D126" s="564">
        <v>2</v>
      </c>
      <c r="E126" s="564">
        <v>5</v>
      </c>
      <c r="F126" s="565" t="s">
        <v>64</v>
      </c>
      <c r="G126" s="563" t="s">
        <v>209</v>
      </c>
      <c r="H126" s="563" t="s">
        <v>212</v>
      </c>
      <c r="I126" s="566">
        <v>753750000</v>
      </c>
    </row>
    <row r="127" spans="1:9" ht="16" x14ac:dyDescent="0.2">
      <c r="A127" s="567">
        <v>46027</v>
      </c>
      <c r="B127" s="568">
        <v>2026</v>
      </c>
      <c r="C127" s="569">
        <v>1</v>
      </c>
      <c r="D127" s="570">
        <v>2</v>
      </c>
      <c r="E127" s="570">
        <v>5</v>
      </c>
      <c r="F127" s="571" t="s">
        <v>237</v>
      </c>
      <c r="G127" s="569" t="s">
        <v>209</v>
      </c>
      <c r="H127" s="569" t="s">
        <v>212</v>
      </c>
      <c r="I127" s="572">
        <v>0</v>
      </c>
    </row>
    <row r="128" spans="1:9" ht="16" x14ac:dyDescent="0.2">
      <c r="A128" s="561">
        <v>46027</v>
      </c>
      <c r="B128" s="562">
        <v>2026</v>
      </c>
      <c r="C128" s="563">
        <v>1</v>
      </c>
      <c r="D128" s="564">
        <v>2</v>
      </c>
      <c r="E128" s="564">
        <v>5</v>
      </c>
      <c r="F128" s="565" t="s">
        <v>11</v>
      </c>
      <c r="G128" s="563" t="s">
        <v>11</v>
      </c>
      <c r="H128" s="563" t="s">
        <v>212</v>
      </c>
      <c r="I128" s="566">
        <v>18812710000</v>
      </c>
    </row>
    <row r="129" spans="1:9" ht="16" x14ac:dyDescent="0.2">
      <c r="A129" s="567">
        <v>46027</v>
      </c>
      <c r="B129" s="568">
        <v>2026</v>
      </c>
      <c r="C129" s="569">
        <v>1</v>
      </c>
      <c r="D129" s="570">
        <v>2</v>
      </c>
      <c r="E129" s="570">
        <v>5</v>
      </c>
      <c r="F129" s="571" t="s">
        <v>221</v>
      </c>
      <c r="G129" s="569" t="s">
        <v>207</v>
      </c>
      <c r="H129" s="569" t="s">
        <v>212</v>
      </c>
      <c r="I129" s="572">
        <v>0</v>
      </c>
    </row>
    <row r="130" spans="1:9" ht="16" x14ac:dyDescent="0.2">
      <c r="A130" s="561">
        <v>46027</v>
      </c>
      <c r="B130" s="562">
        <v>2026</v>
      </c>
      <c r="C130" s="563">
        <v>1</v>
      </c>
      <c r="D130" s="564">
        <v>2</v>
      </c>
      <c r="E130" s="564">
        <v>5</v>
      </c>
      <c r="F130" s="565" t="s">
        <v>222</v>
      </c>
      <c r="G130" s="563" t="s">
        <v>207</v>
      </c>
      <c r="H130" s="563" t="s">
        <v>212</v>
      </c>
      <c r="I130" s="566">
        <v>0</v>
      </c>
    </row>
    <row r="131" spans="1:9" ht="16" x14ac:dyDescent="0.2">
      <c r="A131" s="567">
        <v>46027</v>
      </c>
      <c r="B131" s="568">
        <v>2026</v>
      </c>
      <c r="C131" s="569">
        <v>1</v>
      </c>
      <c r="D131" s="570">
        <v>2</v>
      </c>
      <c r="E131" s="570">
        <v>5</v>
      </c>
      <c r="F131" s="571" t="s">
        <v>223</v>
      </c>
      <c r="G131" s="569" t="s">
        <v>207</v>
      </c>
      <c r="H131" s="569" t="s">
        <v>212</v>
      </c>
      <c r="I131" s="572">
        <v>0</v>
      </c>
    </row>
    <row r="132" spans="1:9" ht="16" x14ac:dyDescent="0.2">
      <c r="A132" s="561">
        <v>46027</v>
      </c>
      <c r="B132" s="562">
        <v>2026</v>
      </c>
      <c r="C132" s="563">
        <v>1</v>
      </c>
      <c r="D132" s="564">
        <v>2</v>
      </c>
      <c r="E132" s="564">
        <v>5</v>
      </c>
      <c r="F132" s="565" t="s">
        <v>219</v>
      </c>
      <c r="G132" s="563" t="s">
        <v>11</v>
      </c>
      <c r="H132" s="563" t="s">
        <v>212</v>
      </c>
      <c r="I132" s="566">
        <v>0</v>
      </c>
    </row>
    <row r="133" spans="1:9" ht="16" x14ac:dyDescent="0.2">
      <c r="A133" s="567">
        <v>46027</v>
      </c>
      <c r="B133" s="568">
        <v>2026</v>
      </c>
      <c r="C133" s="569">
        <v>1</v>
      </c>
      <c r="D133" s="570">
        <v>2</v>
      </c>
      <c r="E133" s="570">
        <v>5</v>
      </c>
      <c r="F133" s="571" t="s">
        <v>19</v>
      </c>
      <c r="G133" s="569" t="s">
        <v>19</v>
      </c>
      <c r="H133" s="569" t="s">
        <v>214</v>
      </c>
      <c r="I133" s="572">
        <v>10797300000</v>
      </c>
    </row>
    <row r="134" spans="1:9" ht="16" x14ac:dyDescent="0.2">
      <c r="A134" s="561">
        <v>46027</v>
      </c>
      <c r="B134" s="562">
        <v>2026</v>
      </c>
      <c r="C134" s="563">
        <v>1</v>
      </c>
      <c r="D134" s="564">
        <v>2</v>
      </c>
      <c r="E134" s="564">
        <v>5</v>
      </c>
      <c r="F134" s="565" t="s">
        <v>62</v>
      </c>
      <c r="G134" s="563" t="s">
        <v>62</v>
      </c>
      <c r="H134" s="563" t="s">
        <v>216</v>
      </c>
      <c r="I134" s="566">
        <v>637389668</v>
      </c>
    </row>
    <row r="135" spans="1:9" ht="16" x14ac:dyDescent="0.2">
      <c r="A135" s="567">
        <v>46027</v>
      </c>
      <c r="B135" s="568">
        <v>2026</v>
      </c>
      <c r="C135" s="569">
        <v>1</v>
      </c>
      <c r="D135" s="570">
        <v>2</v>
      </c>
      <c r="E135" s="570">
        <v>5</v>
      </c>
      <c r="F135" s="571" t="s">
        <v>58</v>
      </c>
      <c r="G135" s="569" t="s">
        <v>58</v>
      </c>
      <c r="H135" s="569" t="s">
        <v>212</v>
      </c>
      <c r="I135" s="572">
        <v>21000000</v>
      </c>
    </row>
    <row r="136" spans="1:9" ht="16" x14ac:dyDescent="0.2">
      <c r="A136" s="561">
        <v>46027</v>
      </c>
      <c r="B136" s="562">
        <v>2026</v>
      </c>
      <c r="C136" s="563">
        <v>1</v>
      </c>
      <c r="D136" s="564">
        <v>2</v>
      </c>
      <c r="E136" s="564">
        <v>5</v>
      </c>
      <c r="F136" s="565" t="s">
        <v>61</v>
      </c>
      <c r="G136" s="563" t="s">
        <v>61</v>
      </c>
      <c r="H136" s="563" t="s">
        <v>214</v>
      </c>
      <c r="I136" s="566">
        <v>86000000</v>
      </c>
    </row>
    <row r="137" spans="1:9" ht="16" x14ac:dyDescent="0.2">
      <c r="A137" s="567">
        <v>46027</v>
      </c>
      <c r="B137" s="568">
        <v>2026</v>
      </c>
      <c r="C137" s="569">
        <v>1</v>
      </c>
      <c r="D137" s="570">
        <v>2</v>
      </c>
      <c r="E137" s="570">
        <v>5</v>
      </c>
      <c r="F137" s="571" t="s">
        <v>57</v>
      </c>
      <c r="G137" s="569" t="s">
        <v>57</v>
      </c>
      <c r="H137" s="569" t="s">
        <v>212</v>
      </c>
      <c r="I137" s="572">
        <v>1035290000</v>
      </c>
    </row>
    <row r="138" spans="1:9" ht="16" x14ac:dyDescent="0.2">
      <c r="A138" s="561">
        <v>46027</v>
      </c>
      <c r="B138" s="562">
        <v>2026</v>
      </c>
      <c r="C138" s="563">
        <v>1</v>
      </c>
      <c r="D138" s="564">
        <v>2</v>
      </c>
      <c r="E138" s="564">
        <v>5</v>
      </c>
      <c r="F138" s="565" t="s">
        <v>63</v>
      </c>
      <c r="G138" s="563" t="s">
        <v>63</v>
      </c>
      <c r="H138" s="563" t="s">
        <v>214</v>
      </c>
      <c r="I138" s="566">
        <v>454680000</v>
      </c>
    </row>
    <row r="139" spans="1:9" ht="16" x14ac:dyDescent="0.2">
      <c r="A139" s="567">
        <v>46027</v>
      </c>
      <c r="B139" s="568">
        <v>2026</v>
      </c>
      <c r="C139" s="569">
        <v>1</v>
      </c>
      <c r="D139" s="570">
        <v>2</v>
      </c>
      <c r="E139" s="570">
        <v>5</v>
      </c>
      <c r="F139" s="571" t="s">
        <v>59</v>
      </c>
      <c r="G139" s="569" t="s">
        <v>59</v>
      </c>
      <c r="H139" s="569" t="s">
        <v>216</v>
      </c>
      <c r="I139" s="572">
        <v>1426686840</v>
      </c>
    </row>
    <row r="140" spans="1:9" ht="16" x14ac:dyDescent="0.2">
      <c r="A140" s="561">
        <v>46027</v>
      </c>
      <c r="B140" s="562">
        <v>2026</v>
      </c>
      <c r="C140" s="563">
        <v>1</v>
      </c>
      <c r="D140" s="564">
        <v>2</v>
      </c>
      <c r="E140" s="564">
        <v>5</v>
      </c>
      <c r="F140" s="565" t="s">
        <v>31</v>
      </c>
      <c r="G140" s="563" t="s">
        <v>175</v>
      </c>
      <c r="H140" s="563" t="s">
        <v>212</v>
      </c>
      <c r="I140" s="566">
        <v>4379930000</v>
      </c>
    </row>
    <row r="141" spans="1:9" ht="16" x14ac:dyDescent="0.2">
      <c r="A141" s="567">
        <v>46027</v>
      </c>
      <c r="B141" s="568">
        <v>2026</v>
      </c>
      <c r="C141" s="569">
        <v>1</v>
      </c>
      <c r="D141" s="570">
        <v>2</v>
      </c>
      <c r="E141" s="570">
        <v>5</v>
      </c>
      <c r="F141" s="571" t="s">
        <v>234</v>
      </c>
      <c r="G141" s="569" t="s">
        <v>210</v>
      </c>
      <c r="H141" s="569" t="s">
        <v>214</v>
      </c>
      <c r="I141" s="572">
        <v>0</v>
      </c>
    </row>
    <row r="142" spans="1:9" ht="16" x14ac:dyDescent="0.2">
      <c r="A142" s="561">
        <v>46028</v>
      </c>
      <c r="B142" s="562">
        <v>2026</v>
      </c>
      <c r="C142" s="563">
        <v>1</v>
      </c>
      <c r="D142" s="564">
        <v>2</v>
      </c>
      <c r="E142" s="564">
        <v>6</v>
      </c>
      <c r="F142" s="565" t="s">
        <v>65</v>
      </c>
      <c r="G142" s="563" t="s">
        <v>65</v>
      </c>
      <c r="H142" s="563" t="s">
        <v>212</v>
      </c>
      <c r="I142" s="566">
        <v>826700000</v>
      </c>
    </row>
    <row r="143" spans="1:9" ht="16" x14ac:dyDescent="0.2">
      <c r="A143" s="567">
        <v>46028</v>
      </c>
      <c r="B143" s="568">
        <v>2026</v>
      </c>
      <c r="C143" s="569">
        <v>1</v>
      </c>
      <c r="D143" s="570">
        <v>2</v>
      </c>
      <c r="E143" s="570">
        <v>6</v>
      </c>
      <c r="F143" s="571" t="s">
        <v>66</v>
      </c>
      <c r="G143" s="569" t="s">
        <v>66</v>
      </c>
      <c r="H143" s="569" t="s">
        <v>216</v>
      </c>
      <c r="I143" s="572">
        <v>435192867</v>
      </c>
    </row>
    <row r="144" spans="1:9" ht="16" x14ac:dyDescent="0.2">
      <c r="A144" s="561">
        <v>46028</v>
      </c>
      <c r="B144" s="562">
        <v>2026</v>
      </c>
      <c r="C144" s="563">
        <v>1</v>
      </c>
      <c r="D144" s="564">
        <v>2</v>
      </c>
      <c r="E144" s="564">
        <v>6</v>
      </c>
      <c r="F144" s="565" t="s">
        <v>24</v>
      </c>
      <c r="G144" s="563" t="s">
        <v>24</v>
      </c>
      <c r="H144" s="563" t="s">
        <v>212</v>
      </c>
      <c r="I144" s="566">
        <v>15569330000</v>
      </c>
    </row>
    <row r="145" spans="1:9" ht="16" x14ac:dyDescent="0.2">
      <c r="A145" s="567">
        <v>46028</v>
      </c>
      <c r="B145" s="568">
        <v>2026</v>
      </c>
      <c r="C145" s="569">
        <v>1</v>
      </c>
      <c r="D145" s="570">
        <v>2</v>
      </c>
      <c r="E145" s="570">
        <v>6</v>
      </c>
      <c r="F145" s="571" t="s">
        <v>67</v>
      </c>
      <c r="G145" s="569" t="s">
        <v>67</v>
      </c>
      <c r="H145" s="569" t="s">
        <v>213</v>
      </c>
      <c r="I145" s="572">
        <v>2231074599</v>
      </c>
    </row>
    <row r="146" spans="1:9" ht="16" x14ac:dyDescent="0.2">
      <c r="A146" s="561">
        <v>46028</v>
      </c>
      <c r="B146" s="562">
        <v>2026</v>
      </c>
      <c r="C146" s="563">
        <v>1</v>
      </c>
      <c r="D146" s="564">
        <v>2</v>
      </c>
      <c r="E146" s="564">
        <v>6</v>
      </c>
      <c r="F146" s="565" t="s">
        <v>28</v>
      </c>
      <c r="G146" s="563" t="s">
        <v>28</v>
      </c>
      <c r="H146" s="563" t="s">
        <v>214</v>
      </c>
      <c r="I146" s="566">
        <v>13687920000</v>
      </c>
    </row>
    <row r="147" spans="1:9" ht="16" x14ac:dyDescent="0.2">
      <c r="A147" s="567">
        <v>46028</v>
      </c>
      <c r="B147" s="568">
        <v>2026</v>
      </c>
      <c r="C147" s="569">
        <v>1</v>
      </c>
      <c r="D147" s="570">
        <v>2</v>
      </c>
      <c r="E147" s="570">
        <v>6</v>
      </c>
      <c r="F147" s="571" t="s">
        <v>208</v>
      </c>
      <c r="G147" s="569" t="s">
        <v>208</v>
      </c>
      <c r="H147" s="569" t="s">
        <v>216</v>
      </c>
      <c r="I147" s="572">
        <v>27400994</v>
      </c>
    </row>
    <row r="148" spans="1:9" ht="16" x14ac:dyDescent="0.2">
      <c r="A148" s="561">
        <v>46028</v>
      </c>
      <c r="B148" s="562">
        <v>2026</v>
      </c>
      <c r="C148" s="563">
        <v>1</v>
      </c>
      <c r="D148" s="564">
        <v>2</v>
      </c>
      <c r="E148" s="564">
        <v>6</v>
      </c>
      <c r="F148" s="565" t="s">
        <v>60</v>
      </c>
      <c r="G148" s="563" t="s">
        <v>60</v>
      </c>
      <c r="H148" s="563" t="s">
        <v>212</v>
      </c>
      <c r="I148" s="566">
        <v>0</v>
      </c>
    </row>
    <row r="149" spans="1:9" ht="16" x14ac:dyDescent="0.2">
      <c r="A149" s="567">
        <v>46028</v>
      </c>
      <c r="B149" s="568">
        <v>2026</v>
      </c>
      <c r="C149" s="569">
        <v>1</v>
      </c>
      <c r="D149" s="570">
        <v>2</v>
      </c>
      <c r="E149" s="570">
        <v>6</v>
      </c>
      <c r="F149" s="571" t="s">
        <v>36</v>
      </c>
      <c r="G149" s="569" t="s">
        <v>36</v>
      </c>
      <c r="H149" s="569" t="s">
        <v>212</v>
      </c>
      <c r="I149" s="572">
        <v>4482220000</v>
      </c>
    </row>
    <row r="150" spans="1:9" ht="16" x14ac:dyDescent="0.2">
      <c r="A150" s="561">
        <v>46028</v>
      </c>
      <c r="B150" s="562">
        <v>2026</v>
      </c>
      <c r="C150" s="563">
        <v>1</v>
      </c>
      <c r="D150" s="564">
        <v>2</v>
      </c>
      <c r="E150" s="564">
        <v>6</v>
      </c>
      <c r="F150" s="565" t="s">
        <v>55</v>
      </c>
      <c r="G150" s="563" t="s">
        <v>36</v>
      </c>
      <c r="H150" s="563" t="s">
        <v>212</v>
      </c>
      <c r="I150" s="566">
        <v>318900000</v>
      </c>
    </row>
    <row r="151" spans="1:9" ht="16" x14ac:dyDescent="0.2">
      <c r="A151" s="567">
        <v>46028</v>
      </c>
      <c r="B151" s="568">
        <v>2026</v>
      </c>
      <c r="C151" s="569">
        <v>1</v>
      </c>
      <c r="D151" s="570">
        <v>2</v>
      </c>
      <c r="E151" s="570">
        <v>6</v>
      </c>
      <c r="F151" s="571" t="s">
        <v>176</v>
      </c>
      <c r="G151" s="569" t="s">
        <v>176</v>
      </c>
      <c r="H151" s="569" t="s">
        <v>216</v>
      </c>
      <c r="I151" s="572">
        <v>19957405</v>
      </c>
    </row>
    <row r="152" spans="1:9" ht="16" x14ac:dyDescent="0.2">
      <c r="A152" s="561">
        <v>46028</v>
      </c>
      <c r="B152" s="562">
        <v>2026</v>
      </c>
      <c r="C152" s="563">
        <v>1</v>
      </c>
      <c r="D152" s="564">
        <v>2</v>
      </c>
      <c r="E152" s="564">
        <v>6</v>
      </c>
      <c r="F152" s="565" t="s">
        <v>39</v>
      </c>
      <c r="G152" s="563" t="s">
        <v>176</v>
      </c>
      <c r="H152" s="563" t="s">
        <v>216</v>
      </c>
      <c r="I152" s="566">
        <v>1543296050</v>
      </c>
    </row>
    <row r="153" spans="1:9" ht="16" x14ac:dyDescent="0.2">
      <c r="A153" s="567">
        <v>46028</v>
      </c>
      <c r="B153" s="568">
        <v>2026</v>
      </c>
      <c r="C153" s="569">
        <v>1</v>
      </c>
      <c r="D153" s="570">
        <v>2</v>
      </c>
      <c r="E153" s="570">
        <v>6</v>
      </c>
      <c r="F153" s="571" t="s">
        <v>206</v>
      </c>
      <c r="G153" s="569" t="s">
        <v>206</v>
      </c>
      <c r="H153" s="569" t="s">
        <v>212</v>
      </c>
      <c r="I153" s="572">
        <v>0</v>
      </c>
    </row>
    <row r="154" spans="1:9" ht="16" x14ac:dyDescent="0.2">
      <c r="A154" s="561">
        <v>46028</v>
      </c>
      <c r="B154" s="562">
        <v>2026</v>
      </c>
      <c r="C154" s="563">
        <v>1</v>
      </c>
      <c r="D154" s="564">
        <v>2</v>
      </c>
      <c r="E154" s="564">
        <v>6</v>
      </c>
      <c r="F154" s="565" t="s">
        <v>64</v>
      </c>
      <c r="G154" s="563" t="s">
        <v>209</v>
      </c>
      <c r="H154" s="563" t="s">
        <v>212</v>
      </c>
      <c r="I154" s="566">
        <v>331500000</v>
      </c>
    </row>
    <row r="155" spans="1:9" ht="16" x14ac:dyDescent="0.2">
      <c r="A155" s="567">
        <v>46028</v>
      </c>
      <c r="B155" s="568">
        <v>2026</v>
      </c>
      <c r="C155" s="569">
        <v>1</v>
      </c>
      <c r="D155" s="570">
        <v>2</v>
      </c>
      <c r="E155" s="570">
        <v>6</v>
      </c>
      <c r="F155" s="571" t="s">
        <v>237</v>
      </c>
      <c r="G155" s="569" t="s">
        <v>209</v>
      </c>
      <c r="H155" s="569" t="s">
        <v>212</v>
      </c>
      <c r="I155" s="572">
        <v>0</v>
      </c>
    </row>
    <row r="156" spans="1:9" ht="16" x14ac:dyDescent="0.2">
      <c r="A156" s="561">
        <v>46028</v>
      </c>
      <c r="B156" s="562">
        <v>2026</v>
      </c>
      <c r="C156" s="563">
        <v>1</v>
      </c>
      <c r="D156" s="564">
        <v>2</v>
      </c>
      <c r="E156" s="564">
        <v>6</v>
      </c>
      <c r="F156" s="565" t="s">
        <v>11</v>
      </c>
      <c r="G156" s="563" t="s">
        <v>11</v>
      </c>
      <c r="H156" s="563" t="s">
        <v>212</v>
      </c>
      <c r="I156" s="566">
        <v>16112910000</v>
      </c>
    </row>
    <row r="157" spans="1:9" ht="16" x14ac:dyDescent="0.2">
      <c r="A157" s="567">
        <v>46028</v>
      </c>
      <c r="B157" s="568">
        <v>2026</v>
      </c>
      <c r="C157" s="569">
        <v>1</v>
      </c>
      <c r="D157" s="570">
        <v>2</v>
      </c>
      <c r="E157" s="570">
        <v>6</v>
      </c>
      <c r="F157" s="571" t="s">
        <v>221</v>
      </c>
      <c r="G157" s="569" t="s">
        <v>207</v>
      </c>
      <c r="H157" s="569" t="s">
        <v>212</v>
      </c>
      <c r="I157" s="572">
        <v>0</v>
      </c>
    </row>
    <row r="158" spans="1:9" ht="16" x14ac:dyDescent="0.2">
      <c r="A158" s="561">
        <v>46028</v>
      </c>
      <c r="B158" s="562">
        <v>2026</v>
      </c>
      <c r="C158" s="563">
        <v>1</v>
      </c>
      <c r="D158" s="564">
        <v>2</v>
      </c>
      <c r="E158" s="564">
        <v>6</v>
      </c>
      <c r="F158" s="565" t="s">
        <v>222</v>
      </c>
      <c r="G158" s="563" t="s">
        <v>207</v>
      </c>
      <c r="H158" s="563" t="s">
        <v>212</v>
      </c>
      <c r="I158" s="566">
        <v>0</v>
      </c>
    </row>
    <row r="159" spans="1:9" ht="16" x14ac:dyDescent="0.2">
      <c r="A159" s="567">
        <v>46028</v>
      </c>
      <c r="B159" s="568">
        <v>2026</v>
      </c>
      <c r="C159" s="569">
        <v>1</v>
      </c>
      <c r="D159" s="570">
        <v>2</v>
      </c>
      <c r="E159" s="570">
        <v>6</v>
      </c>
      <c r="F159" s="571" t="s">
        <v>223</v>
      </c>
      <c r="G159" s="569" t="s">
        <v>207</v>
      </c>
      <c r="H159" s="569" t="s">
        <v>212</v>
      </c>
      <c r="I159" s="572">
        <v>0</v>
      </c>
    </row>
    <row r="160" spans="1:9" ht="16" x14ac:dyDescent="0.2">
      <c r="A160" s="561">
        <v>46028</v>
      </c>
      <c r="B160" s="562">
        <v>2026</v>
      </c>
      <c r="C160" s="563">
        <v>1</v>
      </c>
      <c r="D160" s="564">
        <v>2</v>
      </c>
      <c r="E160" s="564">
        <v>6</v>
      </c>
      <c r="F160" s="565" t="s">
        <v>219</v>
      </c>
      <c r="G160" s="563" t="s">
        <v>11</v>
      </c>
      <c r="H160" s="563" t="s">
        <v>212</v>
      </c>
      <c r="I160" s="566">
        <v>0</v>
      </c>
    </row>
    <row r="161" spans="1:9" ht="16" x14ac:dyDescent="0.2">
      <c r="A161" s="567">
        <v>46028</v>
      </c>
      <c r="B161" s="568">
        <v>2026</v>
      </c>
      <c r="C161" s="569">
        <v>1</v>
      </c>
      <c r="D161" s="570">
        <v>2</v>
      </c>
      <c r="E161" s="570">
        <v>6</v>
      </c>
      <c r="F161" s="571" t="s">
        <v>19</v>
      </c>
      <c r="G161" s="569" t="s">
        <v>19</v>
      </c>
      <c r="H161" s="569" t="s">
        <v>214</v>
      </c>
      <c r="I161" s="572">
        <v>9791604000</v>
      </c>
    </row>
    <row r="162" spans="1:9" ht="16" x14ac:dyDescent="0.2">
      <c r="A162" s="561">
        <v>46028</v>
      </c>
      <c r="B162" s="562">
        <v>2026</v>
      </c>
      <c r="C162" s="563">
        <v>1</v>
      </c>
      <c r="D162" s="564">
        <v>2</v>
      </c>
      <c r="E162" s="564">
        <v>6</v>
      </c>
      <c r="F162" s="565" t="s">
        <v>62</v>
      </c>
      <c r="G162" s="563" t="s">
        <v>62</v>
      </c>
      <c r="H162" s="563" t="s">
        <v>216</v>
      </c>
      <c r="I162" s="566">
        <v>350790852</v>
      </c>
    </row>
    <row r="163" spans="1:9" ht="16" x14ac:dyDescent="0.2">
      <c r="A163" s="567">
        <v>46028</v>
      </c>
      <c r="B163" s="568">
        <v>2026</v>
      </c>
      <c r="C163" s="569">
        <v>1</v>
      </c>
      <c r="D163" s="570">
        <v>2</v>
      </c>
      <c r="E163" s="570">
        <v>6</v>
      </c>
      <c r="F163" s="571" t="s">
        <v>58</v>
      </c>
      <c r="G163" s="569" t="s">
        <v>58</v>
      </c>
      <c r="H163" s="569" t="s">
        <v>212</v>
      </c>
      <c r="I163" s="572">
        <v>21000000</v>
      </c>
    </row>
    <row r="164" spans="1:9" ht="16" x14ac:dyDescent="0.2">
      <c r="A164" s="561">
        <v>46028</v>
      </c>
      <c r="B164" s="562">
        <v>2026</v>
      </c>
      <c r="C164" s="563">
        <v>1</v>
      </c>
      <c r="D164" s="564">
        <v>2</v>
      </c>
      <c r="E164" s="564">
        <v>6</v>
      </c>
      <c r="F164" s="565" t="s">
        <v>61</v>
      </c>
      <c r="G164" s="563" t="s">
        <v>61</v>
      </c>
      <c r="H164" s="563" t="s">
        <v>214</v>
      </c>
      <c r="I164" s="566">
        <v>73000000</v>
      </c>
    </row>
    <row r="165" spans="1:9" ht="16" x14ac:dyDescent="0.2">
      <c r="A165" s="567">
        <v>46028</v>
      </c>
      <c r="B165" s="568">
        <v>2026</v>
      </c>
      <c r="C165" s="569">
        <v>1</v>
      </c>
      <c r="D165" s="570">
        <v>2</v>
      </c>
      <c r="E165" s="570">
        <v>6</v>
      </c>
      <c r="F165" s="571" t="s">
        <v>57</v>
      </c>
      <c r="G165" s="569" t="s">
        <v>57</v>
      </c>
      <c r="H165" s="569" t="s">
        <v>212</v>
      </c>
      <c r="I165" s="572">
        <v>524560000</v>
      </c>
    </row>
    <row r="166" spans="1:9" ht="16" x14ac:dyDescent="0.2">
      <c r="A166" s="561">
        <v>46028</v>
      </c>
      <c r="B166" s="562">
        <v>2026</v>
      </c>
      <c r="C166" s="563">
        <v>1</v>
      </c>
      <c r="D166" s="564">
        <v>2</v>
      </c>
      <c r="E166" s="564">
        <v>6</v>
      </c>
      <c r="F166" s="565" t="s">
        <v>63</v>
      </c>
      <c r="G166" s="563" t="s">
        <v>63</v>
      </c>
      <c r="H166" s="563" t="s">
        <v>214</v>
      </c>
      <c r="I166" s="566">
        <v>297756000</v>
      </c>
    </row>
    <row r="167" spans="1:9" ht="16" x14ac:dyDescent="0.2">
      <c r="A167" s="567">
        <v>46028</v>
      </c>
      <c r="B167" s="568">
        <v>2026</v>
      </c>
      <c r="C167" s="569">
        <v>1</v>
      </c>
      <c r="D167" s="570">
        <v>2</v>
      </c>
      <c r="E167" s="570">
        <v>6</v>
      </c>
      <c r="F167" s="571" t="s">
        <v>59</v>
      </c>
      <c r="G167" s="569" t="s">
        <v>59</v>
      </c>
      <c r="H167" s="569" t="s">
        <v>216</v>
      </c>
      <c r="I167" s="572">
        <v>843024671</v>
      </c>
    </row>
    <row r="168" spans="1:9" ht="16" x14ac:dyDescent="0.2">
      <c r="A168" s="561">
        <v>46028</v>
      </c>
      <c r="B168" s="562">
        <v>2026</v>
      </c>
      <c r="C168" s="563">
        <v>1</v>
      </c>
      <c r="D168" s="564">
        <v>2</v>
      </c>
      <c r="E168" s="564">
        <v>6</v>
      </c>
      <c r="F168" s="565" t="s">
        <v>31</v>
      </c>
      <c r="G168" s="563" t="s">
        <v>175</v>
      </c>
      <c r="H168" s="563" t="s">
        <v>212</v>
      </c>
      <c r="I168" s="566">
        <v>4133690000</v>
      </c>
    </row>
    <row r="169" spans="1:9" ht="16" x14ac:dyDescent="0.2">
      <c r="A169" s="567">
        <v>46028</v>
      </c>
      <c r="B169" s="568">
        <v>2026</v>
      </c>
      <c r="C169" s="569">
        <v>1</v>
      </c>
      <c r="D169" s="570">
        <v>2</v>
      </c>
      <c r="E169" s="570">
        <v>6</v>
      </c>
      <c r="F169" s="571" t="s">
        <v>234</v>
      </c>
      <c r="G169" s="569" t="s">
        <v>210</v>
      </c>
      <c r="H169" s="569" t="s">
        <v>214</v>
      </c>
      <c r="I169" s="572">
        <v>0</v>
      </c>
    </row>
    <row r="170" spans="1:9" ht="16" x14ac:dyDescent="0.2">
      <c r="A170" s="561">
        <v>46029</v>
      </c>
      <c r="B170" s="562">
        <v>2026</v>
      </c>
      <c r="C170" s="563">
        <v>1</v>
      </c>
      <c r="D170" s="564">
        <v>2</v>
      </c>
      <c r="E170" s="564">
        <v>7</v>
      </c>
      <c r="F170" s="565" t="s">
        <v>65</v>
      </c>
      <c r="G170" s="563" t="s">
        <v>65</v>
      </c>
      <c r="H170" s="563" t="s">
        <v>212</v>
      </c>
      <c r="I170" s="566">
        <v>907400000</v>
      </c>
    </row>
    <row r="171" spans="1:9" ht="16" x14ac:dyDescent="0.2">
      <c r="A171" s="567">
        <v>46029</v>
      </c>
      <c r="B171" s="568">
        <v>2026</v>
      </c>
      <c r="C171" s="569">
        <v>1</v>
      </c>
      <c r="D171" s="570">
        <v>2</v>
      </c>
      <c r="E171" s="570">
        <v>7</v>
      </c>
      <c r="F171" s="571" t="s">
        <v>66</v>
      </c>
      <c r="G171" s="569" t="s">
        <v>66</v>
      </c>
      <c r="H171" s="569" t="s">
        <v>216</v>
      </c>
      <c r="I171" s="572">
        <v>400817994</v>
      </c>
    </row>
    <row r="172" spans="1:9" ht="16" x14ac:dyDescent="0.2">
      <c r="A172" s="561">
        <v>46029</v>
      </c>
      <c r="B172" s="562">
        <v>2026</v>
      </c>
      <c r="C172" s="563">
        <v>1</v>
      </c>
      <c r="D172" s="564">
        <v>2</v>
      </c>
      <c r="E172" s="564">
        <v>7</v>
      </c>
      <c r="F172" s="565" t="s">
        <v>24</v>
      </c>
      <c r="G172" s="563" t="s">
        <v>24</v>
      </c>
      <c r="H172" s="563" t="s">
        <v>212</v>
      </c>
      <c r="I172" s="566">
        <v>15492080000</v>
      </c>
    </row>
    <row r="173" spans="1:9" ht="16" x14ac:dyDescent="0.2">
      <c r="A173" s="567">
        <v>46029</v>
      </c>
      <c r="B173" s="568">
        <v>2026</v>
      </c>
      <c r="C173" s="569">
        <v>1</v>
      </c>
      <c r="D173" s="570">
        <v>2</v>
      </c>
      <c r="E173" s="570">
        <v>7</v>
      </c>
      <c r="F173" s="571" t="s">
        <v>67</v>
      </c>
      <c r="G173" s="569" t="s">
        <v>67</v>
      </c>
      <c r="H173" s="569" t="s">
        <v>213</v>
      </c>
      <c r="I173" s="572">
        <v>1892761441</v>
      </c>
    </row>
    <row r="174" spans="1:9" ht="16" x14ac:dyDescent="0.2">
      <c r="A174" s="561">
        <v>46029</v>
      </c>
      <c r="B174" s="562">
        <v>2026</v>
      </c>
      <c r="C174" s="563">
        <v>1</v>
      </c>
      <c r="D174" s="564">
        <v>2</v>
      </c>
      <c r="E174" s="564">
        <v>7</v>
      </c>
      <c r="F174" s="565" t="s">
        <v>28</v>
      </c>
      <c r="G174" s="563" t="s">
        <v>28</v>
      </c>
      <c r="H174" s="563" t="s">
        <v>214</v>
      </c>
      <c r="I174" s="566">
        <v>13269096000</v>
      </c>
    </row>
    <row r="175" spans="1:9" ht="16" x14ac:dyDescent="0.2">
      <c r="A175" s="567">
        <v>46029</v>
      </c>
      <c r="B175" s="568">
        <v>2026</v>
      </c>
      <c r="C175" s="569">
        <v>1</v>
      </c>
      <c r="D175" s="570">
        <v>2</v>
      </c>
      <c r="E175" s="570">
        <v>7</v>
      </c>
      <c r="F175" s="571" t="s">
        <v>208</v>
      </c>
      <c r="G175" s="569" t="s">
        <v>208</v>
      </c>
      <c r="H175" s="569" t="s">
        <v>216</v>
      </c>
      <c r="I175" s="572">
        <v>24325145</v>
      </c>
    </row>
    <row r="176" spans="1:9" ht="16" x14ac:dyDescent="0.2">
      <c r="A176" s="561">
        <v>46029</v>
      </c>
      <c r="B176" s="562">
        <v>2026</v>
      </c>
      <c r="C176" s="563">
        <v>1</v>
      </c>
      <c r="D176" s="564">
        <v>2</v>
      </c>
      <c r="E176" s="564">
        <v>7</v>
      </c>
      <c r="F176" s="565" t="s">
        <v>60</v>
      </c>
      <c r="G176" s="563" t="s">
        <v>60</v>
      </c>
      <c r="H176" s="563" t="s">
        <v>212</v>
      </c>
      <c r="I176" s="566">
        <v>0</v>
      </c>
    </row>
    <row r="177" spans="1:9" ht="16" x14ac:dyDescent="0.2">
      <c r="A177" s="567">
        <v>46029</v>
      </c>
      <c r="B177" s="568">
        <v>2026</v>
      </c>
      <c r="C177" s="569">
        <v>1</v>
      </c>
      <c r="D177" s="570">
        <v>2</v>
      </c>
      <c r="E177" s="570">
        <v>7</v>
      </c>
      <c r="F177" s="571" t="s">
        <v>36</v>
      </c>
      <c r="G177" s="569" t="s">
        <v>36</v>
      </c>
      <c r="H177" s="569" t="s">
        <v>212</v>
      </c>
      <c r="I177" s="572">
        <v>4550680000</v>
      </c>
    </row>
    <row r="178" spans="1:9" ht="16" x14ac:dyDescent="0.2">
      <c r="A178" s="561">
        <v>46029</v>
      </c>
      <c r="B178" s="562">
        <v>2026</v>
      </c>
      <c r="C178" s="563">
        <v>1</v>
      </c>
      <c r="D178" s="564">
        <v>2</v>
      </c>
      <c r="E178" s="564">
        <v>7</v>
      </c>
      <c r="F178" s="565" t="s">
        <v>55</v>
      </c>
      <c r="G178" s="563" t="s">
        <v>36</v>
      </c>
      <c r="H178" s="563" t="s">
        <v>212</v>
      </c>
      <c r="I178" s="566">
        <v>452650000</v>
      </c>
    </row>
    <row r="179" spans="1:9" ht="16" x14ac:dyDescent="0.2">
      <c r="A179" s="567">
        <v>46029</v>
      </c>
      <c r="B179" s="568">
        <v>2026</v>
      </c>
      <c r="C179" s="569">
        <v>1</v>
      </c>
      <c r="D179" s="570">
        <v>2</v>
      </c>
      <c r="E179" s="570">
        <v>7</v>
      </c>
      <c r="F179" s="571" t="s">
        <v>176</v>
      </c>
      <c r="G179" s="569" t="s">
        <v>176</v>
      </c>
      <c r="H179" s="569" t="s">
        <v>216</v>
      </c>
      <c r="I179" s="572">
        <v>25534191</v>
      </c>
    </row>
    <row r="180" spans="1:9" ht="16" x14ac:dyDescent="0.2">
      <c r="A180" s="561">
        <v>46029</v>
      </c>
      <c r="B180" s="562">
        <v>2026</v>
      </c>
      <c r="C180" s="563">
        <v>1</v>
      </c>
      <c r="D180" s="564">
        <v>2</v>
      </c>
      <c r="E180" s="564">
        <v>7</v>
      </c>
      <c r="F180" s="565" t="s">
        <v>39</v>
      </c>
      <c r="G180" s="563" t="s">
        <v>176</v>
      </c>
      <c r="H180" s="563" t="s">
        <v>216</v>
      </c>
      <c r="I180" s="566">
        <v>1449111267</v>
      </c>
    </row>
    <row r="181" spans="1:9" ht="16" x14ac:dyDescent="0.2">
      <c r="A181" s="567">
        <v>46029</v>
      </c>
      <c r="B181" s="568">
        <v>2026</v>
      </c>
      <c r="C181" s="569">
        <v>1</v>
      </c>
      <c r="D181" s="570">
        <v>2</v>
      </c>
      <c r="E181" s="570">
        <v>7</v>
      </c>
      <c r="F181" s="571" t="s">
        <v>206</v>
      </c>
      <c r="G181" s="569" t="s">
        <v>206</v>
      </c>
      <c r="H181" s="569" t="s">
        <v>212</v>
      </c>
      <c r="I181" s="572">
        <v>0</v>
      </c>
    </row>
    <row r="182" spans="1:9" ht="16" x14ac:dyDescent="0.2">
      <c r="A182" s="561">
        <v>46029</v>
      </c>
      <c r="B182" s="562">
        <v>2026</v>
      </c>
      <c r="C182" s="563">
        <v>1</v>
      </c>
      <c r="D182" s="564">
        <v>2</v>
      </c>
      <c r="E182" s="564">
        <v>7</v>
      </c>
      <c r="F182" s="565" t="s">
        <v>64</v>
      </c>
      <c r="G182" s="563" t="s">
        <v>209</v>
      </c>
      <c r="H182" s="563" t="s">
        <v>212</v>
      </c>
      <c r="I182" s="566">
        <v>78750000</v>
      </c>
    </row>
    <row r="183" spans="1:9" ht="16" x14ac:dyDescent="0.2">
      <c r="A183" s="567">
        <v>46029</v>
      </c>
      <c r="B183" s="568">
        <v>2026</v>
      </c>
      <c r="C183" s="569">
        <v>1</v>
      </c>
      <c r="D183" s="570">
        <v>2</v>
      </c>
      <c r="E183" s="570">
        <v>7</v>
      </c>
      <c r="F183" s="571" t="s">
        <v>237</v>
      </c>
      <c r="G183" s="569" t="s">
        <v>209</v>
      </c>
      <c r="H183" s="569" t="s">
        <v>212</v>
      </c>
      <c r="I183" s="572">
        <v>0</v>
      </c>
    </row>
    <row r="184" spans="1:9" ht="16" x14ac:dyDescent="0.2">
      <c r="A184" s="561">
        <v>46029</v>
      </c>
      <c r="B184" s="562">
        <v>2026</v>
      </c>
      <c r="C184" s="563">
        <v>1</v>
      </c>
      <c r="D184" s="564">
        <v>2</v>
      </c>
      <c r="E184" s="564">
        <v>7</v>
      </c>
      <c r="F184" s="565" t="s">
        <v>11</v>
      </c>
      <c r="G184" s="563" t="s">
        <v>11</v>
      </c>
      <c r="H184" s="563" t="s">
        <v>212</v>
      </c>
      <c r="I184" s="566">
        <v>16542590000</v>
      </c>
    </row>
    <row r="185" spans="1:9" ht="16" x14ac:dyDescent="0.2">
      <c r="A185" s="567">
        <v>46029</v>
      </c>
      <c r="B185" s="568">
        <v>2026</v>
      </c>
      <c r="C185" s="569">
        <v>1</v>
      </c>
      <c r="D185" s="570">
        <v>2</v>
      </c>
      <c r="E185" s="570">
        <v>7</v>
      </c>
      <c r="F185" s="571" t="s">
        <v>221</v>
      </c>
      <c r="G185" s="569" t="s">
        <v>207</v>
      </c>
      <c r="H185" s="569" t="s">
        <v>212</v>
      </c>
      <c r="I185" s="572">
        <v>0</v>
      </c>
    </row>
    <row r="186" spans="1:9" ht="16" x14ac:dyDescent="0.2">
      <c r="A186" s="561">
        <v>46029</v>
      </c>
      <c r="B186" s="562">
        <v>2026</v>
      </c>
      <c r="C186" s="563">
        <v>1</v>
      </c>
      <c r="D186" s="564">
        <v>2</v>
      </c>
      <c r="E186" s="564">
        <v>7</v>
      </c>
      <c r="F186" s="565" t="s">
        <v>222</v>
      </c>
      <c r="G186" s="563" t="s">
        <v>207</v>
      </c>
      <c r="H186" s="563" t="s">
        <v>212</v>
      </c>
      <c r="I186" s="566">
        <v>0</v>
      </c>
    </row>
    <row r="187" spans="1:9" ht="16" x14ac:dyDescent="0.2">
      <c r="A187" s="567">
        <v>46029</v>
      </c>
      <c r="B187" s="568">
        <v>2026</v>
      </c>
      <c r="C187" s="569">
        <v>1</v>
      </c>
      <c r="D187" s="570">
        <v>2</v>
      </c>
      <c r="E187" s="570">
        <v>7</v>
      </c>
      <c r="F187" s="571" t="s">
        <v>223</v>
      </c>
      <c r="G187" s="569" t="s">
        <v>207</v>
      </c>
      <c r="H187" s="569" t="s">
        <v>212</v>
      </c>
      <c r="I187" s="572">
        <v>0</v>
      </c>
    </row>
    <row r="188" spans="1:9" ht="16" x14ac:dyDescent="0.2">
      <c r="A188" s="561">
        <v>46029</v>
      </c>
      <c r="B188" s="562">
        <v>2026</v>
      </c>
      <c r="C188" s="563">
        <v>1</v>
      </c>
      <c r="D188" s="564">
        <v>2</v>
      </c>
      <c r="E188" s="564">
        <v>7</v>
      </c>
      <c r="F188" s="565" t="s">
        <v>219</v>
      </c>
      <c r="G188" s="563" t="s">
        <v>11</v>
      </c>
      <c r="H188" s="563" t="s">
        <v>212</v>
      </c>
      <c r="I188" s="566">
        <v>0</v>
      </c>
    </row>
    <row r="189" spans="1:9" ht="16" x14ac:dyDescent="0.2">
      <c r="A189" s="567">
        <v>46029</v>
      </c>
      <c r="B189" s="568">
        <v>2026</v>
      </c>
      <c r="C189" s="569">
        <v>1</v>
      </c>
      <c r="D189" s="570">
        <v>2</v>
      </c>
      <c r="E189" s="570">
        <v>7</v>
      </c>
      <c r="F189" s="571" t="s">
        <v>19</v>
      </c>
      <c r="G189" s="569" t="s">
        <v>19</v>
      </c>
      <c r="H189" s="569" t="s">
        <v>214</v>
      </c>
      <c r="I189" s="572">
        <v>8963568000</v>
      </c>
    </row>
    <row r="190" spans="1:9" ht="16" x14ac:dyDescent="0.2">
      <c r="A190" s="561">
        <v>46029</v>
      </c>
      <c r="B190" s="562">
        <v>2026</v>
      </c>
      <c r="C190" s="563">
        <v>1</v>
      </c>
      <c r="D190" s="564">
        <v>2</v>
      </c>
      <c r="E190" s="564">
        <v>7</v>
      </c>
      <c r="F190" s="565" t="s">
        <v>62</v>
      </c>
      <c r="G190" s="563" t="s">
        <v>62</v>
      </c>
      <c r="H190" s="563" t="s">
        <v>216</v>
      </c>
      <c r="I190" s="566">
        <v>353176049</v>
      </c>
    </row>
    <row r="191" spans="1:9" ht="16" x14ac:dyDescent="0.2">
      <c r="A191" s="567">
        <v>46029</v>
      </c>
      <c r="B191" s="568">
        <v>2026</v>
      </c>
      <c r="C191" s="569">
        <v>1</v>
      </c>
      <c r="D191" s="570">
        <v>2</v>
      </c>
      <c r="E191" s="570">
        <v>7</v>
      </c>
      <c r="F191" s="571" t="s">
        <v>58</v>
      </c>
      <c r="G191" s="569" t="s">
        <v>58</v>
      </c>
      <c r="H191" s="569" t="s">
        <v>212</v>
      </c>
      <c r="I191" s="572">
        <v>21000000</v>
      </c>
    </row>
    <row r="192" spans="1:9" ht="16" x14ac:dyDescent="0.2">
      <c r="A192" s="561">
        <v>46029</v>
      </c>
      <c r="B192" s="562">
        <v>2026</v>
      </c>
      <c r="C192" s="563">
        <v>1</v>
      </c>
      <c r="D192" s="564">
        <v>2</v>
      </c>
      <c r="E192" s="564">
        <v>7</v>
      </c>
      <c r="F192" s="565" t="s">
        <v>61</v>
      </c>
      <c r="G192" s="563" t="s">
        <v>61</v>
      </c>
      <c r="H192" s="563" t="s">
        <v>214</v>
      </c>
      <c r="I192" s="566">
        <v>58000000</v>
      </c>
    </row>
    <row r="193" spans="1:9" ht="16" x14ac:dyDescent="0.2">
      <c r="A193" s="567">
        <v>46029</v>
      </c>
      <c r="B193" s="568">
        <v>2026</v>
      </c>
      <c r="C193" s="569">
        <v>1</v>
      </c>
      <c r="D193" s="570">
        <v>2</v>
      </c>
      <c r="E193" s="570">
        <v>7</v>
      </c>
      <c r="F193" s="571" t="s">
        <v>57</v>
      </c>
      <c r="G193" s="569" t="s">
        <v>57</v>
      </c>
      <c r="H193" s="569" t="s">
        <v>212</v>
      </c>
      <c r="I193" s="572">
        <v>834840000</v>
      </c>
    </row>
    <row r="194" spans="1:9" ht="16" x14ac:dyDescent="0.2">
      <c r="A194" s="561">
        <v>46029</v>
      </c>
      <c r="B194" s="562">
        <v>2026</v>
      </c>
      <c r="C194" s="563">
        <v>1</v>
      </c>
      <c r="D194" s="564">
        <v>2</v>
      </c>
      <c r="E194" s="564">
        <v>7</v>
      </c>
      <c r="F194" s="565" t="s">
        <v>63</v>
      </c>
      <c r="G194" s="563" t="s">
        <v>63</v>
      </c>
      <c r="H194" s="563" t="s">
        <v>214</v>
      </c>
      <c r="I194" s="566">
        <v>342360000</v>
      </c>
    </row>
    <row r="195" spans="1:9" ht="16" x14ac:dyDescent="0.2">
      <c r="A195" s="567">
        <v>46029</v>
      </c>
      <c r="B195" s="568">
        <v>2026</v>
      </c>
      <c r="C195" s="569">
        <v>1</v>
      </c>
      <c r="D195" s="570">
        <v>2</v>
      </c>
      <c r="E195" s="570">
        <v>7</v>
      </c>
      <c r="F195" s="571" t="s">
        <v>59</v>
      </c>
      <c r="G195" s="569" t="s">
        <v>59</v>
      </c>
      <c r="H195" s="569" t="s">
        <v>216</v>
      </c>
      <c r="I195" s="572">
        <v>549040339</v>
      </c>
    </row>
    <row r="196" spans="1:9" ht="16" x14ac:dyDescent="0.2">
      <c r="A196" s="561">
        <v>46029</v>
      </c>
      <c r="B196" s="562">
        <v>2026</v>
      </c>
      <c r="C196" s="563">
        <v>1</v>
      </c>
      <c r="D196" s="564">
        <v>2</v>
      </c>
      <c r="E196" s="564">
        <v>7</v>
      </c>
      <c r="F196" s="565" t="s">
        <v>31</v>
      </c>
      <c r="G196" s="563" t="s">
        <v>175</v>
      </c>
      <c r="H196" s="563" t="s">
        <v>212</v>
      </c>
      <c r="I196" s="566">
        <v>3067300000</v>
      </c>
    </row>
    <row r="197" spans="1:9" ht="16" x14ac:dyDescent="0.2">
      <c r="A197" s="567">
        <v>46029</v>
      </c>
      <c r="B197" s="568">
        <v>2026</v>
      </c>
      <c r="C197" s="569">
        <v>1</v>
      </c>
      <c r="D197" s="570">
        <v>2</v>
      </c>
      <c r="E197" s="570">
        <v>7</v>
      </c>
      <c r="F197" s="571" t="s">
        <v>234</v>
      </c>
      <c r="G197" s="569" t="s">
        <v>210</v>
      </c>
      <c r="H197" s="569" t="s">
        <v>214</v>
      </c>
      <c r="I197" s="572">
        <v>0</v>
      </c>
    </row>
    <row r="198" spans="1:9" ht="16" x14ac:dyDescent="0.2">
      <c r="A198" s="561">
        <v>46030</v>
      </c>
      <c r="B198" s="562">
        <v>2026</v>
      </c>
      <c r="C198" s="563">
        <v>1</v>
      </c>
      <c r="D198" s="564">
        <v>2</v>
      </c>
      <c r="E198" s="564">
        <v>8</v>
      </c>
      <c r="F198" s="565" t="s">
        <v>65</v>
      </c>
      <c r="G198" s="563" t="s">
        <v>65</v>
      </c>
      <c r="H198" s="563" t="s">
        <v>212</v>
      </c>
      <c r="I198" s="566">
        <v>629100000</v>
      </c>
    </row>
    <row r="199" spans="1:9" ht="16" x14ac:dyDescent="0.2">
      <c r="A199" s="567">
        <v>46030</v>
      </c>
      <c r="B199" s="568">
        <v>2026</v>
      </c>
      <c r="C199" s="569">
        <v>1</v>
      </c>
      <c r="D199" s="570">
        <v>2</v>
      </c>
      <c r="E199" s="570">
        <v>8</v>
      </c>
      <c r="F199" s="571" t="s">
        <v>66</v>
      </c>
      <c r="G199" s="569" t="s">
        <v>66</v>
      </c>
      <c r="H199" s="569" t="s">
        <v>216</v>
      </c>
      <c r="I199" s="572">
        <v>362697536</v>
      </c>
    </row>
    <row r="200" spans="1:9" ht="16" x14ac:dyDescent="0.2">
      <c r="A200" s="561">
        <v>46030</v>
      </c>
      <c r="B200" s="562">
        <v>2026</v>
      </c>
      <c r="C200" s="563">
        <v>1</v>
      </c>
      <c r="D200" s="564">
        <v>2</v>
      </c>
      <c r="E200" s="564">
        <v>8</v>
      </c>
      <c r="F200" s="565" t="s">
        <v>24</v>
      </c>
      <c r="G200" s="563" t="s">
        <v>24</v>
      </c>
      <c r="H200" s="563" t="s">
        <v>212</v>
      </c>
      <c r="I200" s="566">
        <v>16104980000</v>
      </c>
    </row>
    <row r="201" spans="1:9" ht="16" x14ac:dyDescent="0.2">
      <c r="A201" s="567">
        <v>46030</v>
      </c>
      <c r="B201" s="568">
        <v>2026</v>
      </c>
      <c r="C201" s="569">
        <v>1</v>
      </c>
      <c r="D201" s="570">
        <v>2</v>
      </c>
      <c r="E201" s="570">
        <v>8</v>
      </c>
      <c r="F201" s="571" t="s">
        <v>67</v>
      </c>
      <c r="G201" s="569" t="s">
        <v>67</v>
      </c>
      <c r="H201" s="569" t="s">
        <v>213</v>
      </c>
      <c r="I201" s="572">
        <v>1916907273</v>
      </c>
    </row>
    <row r="202" spans="1:9" ht="16" x14ac:dyDescent="0.2">
      <c r="A202" s="561">
        <v>46030</v>
      </c>
      <c r="B202" s="562">
        <v>2026</v>
      </c>
      <c r="C202" s="563">
        <v>1</v>
      </c>
      <c r="D202" s="564">
        <v>2</v>
      </c>
      <c r="E202" s="564">
        <v>8</v>
      </c>
      <c r="F202" s="565" t="s">
        <v>28</v>
      </c>
      <c r="G202" s="563" t="s">
        <v>28</v>
      </c>
      <c r="H202" s="563" t="s">
        <v>214</v>
      </c>
      <c r="I202" s="566">
        <v>12846708000</v>
      </c>
    </row>
    <row r="203" spans="1:9" ht="16" x14ac:dyDescent="0.2">
      <c r="A203" s="567">
        <v>46030</v>
      </c>
      <c r="B203" s="568">
        <v>2026</v>
      </c>
      <c r="C203" s="569">
        <v>1</v>
      </c>
      <c r="D203" s="570">
        <v>2</v>
      </c>
      <c r="E203" s="570">
        <v>8</v>
      </c>
      <c r="F203" s="571" t="s">
        <v>208</v>
      </c>
      <c r="G203" s="569" t="s">
        <v>208</v>
      </c>
      <c r="H203" s="569" t="s">
        <v>216</v>
      </c>
      <c r="I203" s="572">
        <v>9450519</v>
      </c>
    </row>
    <row r="204" spans="1:9" ht="16" x14ac:dyDescent="0.2">
      <c r="A204" s="561">
        <v>46030</v>
      </c>
      <c r="B204" s="562">
        <v>2026</v>
      </c>
      <c r="C204" s="563">
        <v>1</v>
      </c>
      <c r="D204" s="564">
        <v>2</v>
      </c>
      <c r="E204" s="564">
        <v>8</v>
      </c>
      <c r="F204" s="565" t="s">
        <v>60</v>
      </c>
      <c r="G204" s="563" t="s">
        <v>60</v>
      </c>
      <c r="H204" s="563" t="s">
        <v>212</v>
      </c>
      <c r="I204" s="566">
        <v>0</v>
      </c>
    </row>
    <row r="205" spans="1:9" ht="16" x14ac:dyDescent="0.2">
      <c r="A205" s="567">
        <v>46030</v>
      </c>
      <c r="B205" s="568">
        <v>2026</v>
      </c>
      <c r="C205" s="569">
        <v>1</v>
      </c>
      <c r="D205" s="570">
        <v>2</v>
      </c>
      <c r="E205" s="570">
        <v>8</v>
      </c>
      <c r="F205" s="571" t="s">
        <v>36</v>
      </c>
      <c r="G205" s="569" t="s">
        <v>36</v>
      </c>
      <c r="H205" s="569" t="s">
        <v>212</v>
      </c>
      <c r="I205" s="572">
        <v>4705700000</v>
      </c>
    </row>
    <row r="206" spans="1:9" ht="16" x14ac:dyDescent="0.2">
      <c r="A206" s="561">
        <v>46030</v>
      </c>
      <c r="B206" s="562">
        <v>2026</v>
      </c>
      <c r="C206" s="563">
        <v>1</v>
      </c>
      <c r="D206" s="564">
        <v>2</v>
      </c>
      <c r="E206" s="564">
        <v>8</v>
      </c>
      <c r="F206" s="565" t="s">
        <v>55</v>
      </c>
      <c r="G206" s="563" t="s">
        <v>36</v>
      </c>
      <c r="H206" s="563" t="s">
        <v>212</v>
      </c>
      <c r="I206" s="566">
        <v>273540000</v>
      </c>
    </row>
    <row r="207" spans="1:9" ht="16" x14ac:dyDescent="0.2">
      <c r="A207" s="567">
        <v>46030</v>
      </c>
      <c r="B207" s="568">
        <v>2026</v>
      </c>
      <c r="C207" s="569">
        <v>1</v>
      </c>
      <c r="D207" s="570">
        <v>2</v>
      </c>
      <c r="E207" s="570">
        <v>8</v>
      </c>
      <c r="F207" s="571" t="s">
        <v>176</v>
      </c>
      <c r="G207" s="569" t="s">
        <v>176</v>
      </c>
      <c r="H207" s="569" t="s">
        <v>216</v>
      </c>
      <c r="I207" s="572">
        <v>23569375</v>
      </c>
    </row>
    <row r="208" spans="1:9" ht="16" x14ac:dyDescent="0.2">
      <c r="A208" s="561">
        <v>46030</v>
      </c>
      <c r="B208" s="562">
        <v>2026</v>
      </c>
      <c r="C208" s="563">
        <v>1</v>
      </c>
      <c r="D208" s="564">
        <v>2</v>
      </c>
      <c r="E208" s="564">
        <v>8</v>
      </c>
      <c r="F208" s="565" t="s">
        <v>39</v>
      </c>
      <c r="G208" s="563" t="s">
        <v>176</v>
      </c>
      <c r="H208" s="563" t="s">
        <v>216</v>
      </c>
      <c r="I208" s="566">
        <v>1473516434</v>
      </c>
    </row>
    <row r="209" spans="1:9" ht="16" x14ac:dyDescent="0.2">
      <c r="A209" s="567">
        <v>46030</v>
      </c>
      <c r="B209" s="568">
        <v>2026</v>
      </c>
      <c r="C209" s="569">
        <v>1</v>
      </c>
      <c r="D209" s="570">
        <v>2</v>
      </c>
      <c r="E209" s="570">
        <v>8</v>
      </c>
      <c r="F209" s="571" t="s">
        <v>206</v>
      </c>
      <c r="G209" s="569" t="s">
        <v>206</v>
      </c>
      <c r="H209" s="569" t="s">
        <v>212</v>
      </c>
      <c r="I209" s="572">
        <v>0</v>
      </c>
    </row>
    <row r="210" spans="1:9" ht="16" x14ac:dyDescent="0.2">
      <c r="A210" s="561">
        <v>46030</v>
      </c>
      <c r="B210" s="562">
        <v>2026</v>
      </c>
      <c r="C210" s="563">
        <v>1</v>
      </c>
      <c r="D210" s="564">
        <v>2</v>
      </c>
      <c r="E210" s="564">
        <v>8</v>
      </c>
      <c r="F210" s="565" t="s">
        <v>64</v>
      </c>
      <c r="G210" s="563" t="s">
        <v>209</v>
      </c>
      <c r="H210" s="563" t="s">
        <v>212</v>
      </c>
      <c r="I210" s="566">
        <v>169250000</v>
      </c>
    </row>
    <row r="211" spans="1:9" ht="16" x14ac:dyDescent="0.2">
      <c r="A211" s="567">
        <v>46030</v>
      </c>
      <c r="B211" s="568">
        <v>2026</v>
      </c>
      <c r="C211" s="569">
        <v>1</v>
      </c>
      <c r="D211" s="570">
        <v>2</v>
      </c>
      <c r="E211" s="570">
        <v>8</v>
      </c>
      <c r="F211" s="571" t="s">
        <v>237</v>
      </c>
      <c r="G211" s="569" t="s">
        <v>209</v>
      </c>
      <c r="H211" s="569" t="s">
        <v>212</v>
      </c>
      <c r="I211" s="572">
        <v>0</v>
      </c>
    </row>
    <row r="212" spans="1:9" ht="16" x14ac:dyDescent="0.2">
      <c r="A212" s="561">
        <v>46030</v>
      </c>
      <c r="B212" s="562">
        <v>2026</v>
      </c>
      <c r="C212" s="563">
        <v>1</v>
      </c>
      <c r="D212" s="564">
        <v>2</v>
      </c>
      <c r="E212" s="564">
        <v>8</v>
      </c>
      <c r="F212" s="565" t="s">
        <v>11</v>
      </c>
      <c r="G212" s="563" t="s">
        <v>11</v>
      </c>
      <c r="H212" s="563" t="s">
        <v>212</v>
      </c>
      <c r="I212" s="566">
        <v>16591150000</v>
      </c>
    </row>
    <row r="213" spans="1:9" ht="16" x14ac:dyDescent="0.2">
      <c r="A213" s="567">
        <v>46030</v>
      </c>
      <c r="B213" s="568">
        <v>2026</v>
      </c>
      <c r="C213" s="569">
        <v>1</v>
      </c>
      <c r="D213" s="570">
        <v>2</v>
      </c>
      <c r="E213" s="570">
        <v>8</v>
      </c>
      <c r="F213" s="571" t="s">
        <v>221</v>
      </c>
      <c r="G213" s="569" t="s">
        <v>207</v>
      </c>
      <c r="H213" s="569" t="s">
        <v>212</v>
      </c>
      <c r="I213" s="572">
        <v>0</v>
      </c>
    </row>
    <row r="214" spans="1:9" ht="16" x14ac:dyDescent="0.2">
      <c r="A214" s="561">
        <v>46030</v>
      </c>
      <c r="B214" s="562">
        <v>2026</v>
      </c>
      <c r="C214" s="563">
        <v>1</v>
      </c>
      <c r="D214" s="564">
        <v>2</v>
      </c>
      <c r="E214" s="564">
        <v>8</v>
      </c>
      <c r="F214" s="565" t="s">
        <v>222</v>
      </c>
      <c r="G214" s="563" t="s">
        <v>207</v>
      </c>
      <c r="H214" s="563" t="s">
        <v>212</v>
      </c>
      <c r="I214" s="566">
        <v>0</v>
      </c>
    </row>
    <row r="215" spans="1:9" ht="16" x14ac:dyDescent="0.2">
      <c r="A215" s="567">
        <v>46030</v>
      </c>
      <c r="B215" s="568">
        <v>2026</v>
      </c>
      <c r="C215" s="569">
        <v>1</v>
      </c>
      <c r="D215" s="570">
        <v>2</v>
      </c>
      <c r="E215" s="570">
        <v>8</v>
      </c>
      <c r="F215" s="571" t="s">
        <v>223</v>
      </c>
      <c r="G215" s="569" t="s">
        <v>207</v>
      </c>
      <c r="H215" s="569" t="s">
        <v>212</v>
      </c>
      <c r="I215" s="572">
        <v>0</v>
      </c>
    </row>
    <row r="216" spans="1:9" ht="16" x14ac:dyDescent="0.2">
      <c r="A216" s="561">
        <v>46030</v>
      </c>
      <c r="B216" s="562">
        <v>2026</v>
      </c>
      <c r="C216" s="563">
        <v>1</v>
      </c>
      <c r="D216" s="564">
        <v>2</v>
      </c>
      <c r="E216" s="564">
        <v>8</v>
      </c>
      <c r="F216" s="565" t="s">
        <v>219</v>
      </c>
      <c r="G216" s="563" t="s">
        <v>11</v>
      </c>
      <c r="H216" s="563" t="s">
        <v>212</v>
      </c>
      <c r="I216" s="566">
        <v>30000000</v>
      </c>
    </row>
    <row r="217" spans="1:9" ht="16" x14ac:dyDescent="0.2">
      <c r="A217" s="567">
        <v>46030</v>
      </c>
      <c r="B217" s="568">
        <v>2026</v>
      </c>
      <c r="C217" s="569">
        <v>1</v>
      </c>
      <c r="D217" s="570">
        <v>2</v>
      </c>
      <c r="E217" s="570">
        <v>8</v>
      </c>
      <c r="F217" s="571" t="s">
        <v>19</v>
      </c>
      <c r="G217" s="569" t="s">
        <v>19</v>
      </c>
      <c r="H217" s="569" t="s">
        <v>214</v>
      </c>
      <c r="I217" s="572">
        <v>9084420000</v>
      </c>
    </row>
    <row r="218" spans="1:9" ht="16" x14ac:dyDescent="0.2">
      <c r="A218" s="561">
        <v>46030</v>
      </c>
      <c r="B218" s="562">
        <v>2026</v>
      </c>
      <c r="C218" s="563">
        <v>1</v>
      </c>
      <c r="D218" s="564">
        <v>2</v>
      </c>
      <c r="E218" s="564">
        <v>8</v>
      </c>
      <c r="F218" s="565" t="s">
        <v>62</v>
      </c>
      <c r="G218" s="563" t="s">
        <v>62</v>
      </c>
      <c r="H218" s="563" t="s">
        <v>216</v>
      </c>
      <c r="I218" s="566">
        <v>255609922</v>
      </c>
    </row>
    <row r="219" spans="1:9" ht="16" x14ac:dyDescent="0.2">
      <c r="A219" s="567">
        <v>46030</v>
      </c>
      <c r="B219" s="568">
        <v>2026</v>
      </c>
      <c r="C219" s="569">
        <v>1</v>
      </c>
      <c r="D219" s="570">
        <v>2</v>
      </c>
      <c r="E219" s="570">
        <v>8</v>
      </c>
      <c r="F219" s="571" t="s">
        <v>58</v>
      </c>
      <c r="G219" s="569" t="s">
        <v>58</v>
      </c>
      <c r="H219" s="569" t="s">
        <v>212</v>
      </c>
      <c r="I219" s="572">
        <v>13650000</v>
      </c>
    </row>
    <row r="220" spans="1:9" ht="16" x14ac:dyDescent="0.2">
      <c r="A220" s="561">
        <v>46030</v>
      </c>
      <c r="B220" s="562">
        <v>2026</v>
      </c>
      <c r="C220" s="563">
        <v>1</v>
      </c>
      <c r="D220" s="564">
        <v>2</v>
      </c>
      <c r="E220" s="564">
        <v>8</v>
      </c>
      <c r="F220" s="565" t="s">
        <v>61</v>
      </c>
      <c r="G220" s="563" t="s">
        <v>61</v>
      </c>
      <c r="H220" s="563" t="s">
        <v>214</v>
      </c>
      <c r="I220" s="566">
        <v>55000000</v>
      </c>
    </row>
    <row r="221" spans="1:9" ht="16" x14ac:dyDescent="0.2">
      <c r="A221" s="567">
        <v>46030</v>
      </c>
      <c r="B221" s="568">
        <v>2026</v>
      </c>
      <c r="C221" s="569">
        <v>1</v>
      </c>
      <c r="D221" s="570">
        <v>2</v>
      </c>
      <c r="E221" s="570">
        <v>8</v>
      </c>
      <c r="F221" s="571" t="s">
        <v>57</v>
      </c>
      <c r="G221" s="569" t="s">
        <v>57</v>
      </c>
      <c r="H221" s="569" t="s">
        <v>212</v>
      </c>
      <c r="I221" s="572">
        <v>1366680000</v>
      </c>
    </row>
    <row r="222" spans="1:9" ht="16" x14ac:dyDescent="0.2">
      <c r="A222" s="561">
        <v>46030</v>
      </c>
      <c r="B222" s="562">
        <v>2026</v>
      </c>
      <c r="C222" s="563">
        <v>1</v>
      </c>
      <c r="D222" s="564">
        <v>2</v>
      </c>
      <c r="E222" s="564">
        <v>8</v>
      </c>
      <c r="F222" s="565" t="s">
        <v>63</v>
      </c>
      <c r="G222" s="563" t="s">
        <v>63</v>
      </c>
      <c r="H222" s="563" t="s">
        <v>214</v>
      </c>
      <c r="I222" s="566">
        <v>256608000</v>
      </c>
    </row>
    <row r="223" spans="1:9" ht="16" x14ac:dyDescent="0.2">
      <c r="A223" s="567">
        <v>46030</v>
      </c>
      <c r="B223" s="568">
        <v>2026</v>
      </c>
      <c r="C223" s="569">
        <v>1</v>
      </c>
      <c r="D223" s="570">
        <v>2</v>
      </c>
      <c r="E223" s="570">
        <v>8</v>
      </c>
      <c r="F223" s="571" t="s">
        <v>59</v>
      </c>
      <c r="G223" s="569" t="s">
        <v>59</v>
      </c>
      <c r="H223" s="569" t="s">
        <v>216</v>
      </c>
      <c r="I223" s="572">
        <v>453725331</v>
      </c>
    </row>
    <row r="224" spans="1:9" ht="16" x14ac:dyDescent="0.2">
      <c r="A224" s="561">
        <v>46030</v>
      </c>
      <c r="B224" s="562">
        <v>2026</v>
      </c>
      <c r="C224" s="563">
        <v>1</v>
      </c>
      <c r="D224" s="564">
        <v>2</v>
      </c>
      <c r="E224" s="564">
        <v>8</v>
      </c>
      <c r="F224" s="565" t="s">
        <v>31</v>
      </c>
      <c r="G224" s="563" t="s">
        <v>175</v>
      </c>
      <c r="H224" s="563" t="s">
        <v>212</v>
      </c>
      <c r="I224" s="566">
        <v>3093570000</v>
      </c>
    </row>
    <row r="225" spans="1:9" ht="16" x14ac:dyDescent="0.2">
      <c r="A225" s="567">
        <v>46030</v>
      </c>
      <c r="B225" s="568">
        <v>2026</v>
      </c>
      <c r="C225" s="569">
        <v>1</v>
      </c>
      <c r="D225" s="570">
        <v>2</v>
      </c>
      <c r="E225" s="570">
        <v>8</v>
      </c>
      <c r="F225" s="571" t="s">
        <v>234</v>
      </c>
      <c r="G225" s="569" t="s">
        <v>210</v>
      </c>
      <c r="H225" s="569" t="s">
        <v>214</v>
      </c>
      <c r="I225" s="572">
        <v>0</v>
      </c>
    </row>
    <row r="226" spans="1:9" ht="16" x14ac:dyDescent="0.2">
      <c r="A226" s="561">
        <v>46031</v>
      </c>
      <c r="B226" s="562">
        <v>2026</v>
      </c>
      <c r="C226" s="563">
        <v>1</v>
      </c>
      <c r="D226" s="564">
        <v>2</v>
      </c>
      <c r="E226" s="564">
        <v>9</v>
      </c>
      <c r="F226" s="565" t="s">
        <v>65</v>
      </c>
      <c r="G226" s="563" t="s">
        <v>65</v>
      </c>
      <c r="H226" s="563" t="s">
        <v>212</v>
      </c>
      <c r="I226" s="566">
        <v>624200000</v>
      </c>
    </row>
    <row r="227" spans="1:9" ht="16" x14ac:dyDescent="0.2">
      <c r="A227" s="567">
        <v>46031</v>
      </c>
      <c r="B227" s="568">
        <v>2026</v>
      </c>
      <c r="C227" s="569">
        <v>1</v>
      </c>
      <c r="D227" s="570">
        <v>2</v>
      </c>
      <c r="E227" s="570">
        <v>9</v>
      </c>
      <c r="F227" s="571" t="s">
        <v>66</v>
      </c>
      <c r="G227" s="569" t="s">
        <v>66</v>
      </c>
      <c r="H227" s="569" t="s">
        <v>216</v>
      </c>
      <c r="I227" s="572">
        <v>411172583</v>
      </c>
    </row>
    <row r="228" spans="1:9" ht="16" x14ac:dyDescent="0.2">
      <c r="A228" s="561">
        <v>46031</v>
      </c>
      <c r="B228" s="562">
        <v>2026</v>
      </c>
      <c r="C228" s="563">
        <v>1</v>
      </c>
      <c r="D228" s="564">
        <v>2</v>
      </c>
      <c r="E228" s="564">
        <v>9</v>
      </c>
      <c r="F228" s="565" t="s">
        <v>24</v>
      </c>
      <c r="G228" s="563" t="s">
        <v>24</v>
      </c>
      <c r="H228" s="563" t="s">
        <v>212</v>
      </c>
      <c r="I228" s="566">
        <v>15186380000</v>
      </c>
    </row>
    <row r="229" spans="1:9" ht="16" x14ac:dyDescent="0.2">
      <c r="A229" s="567">
        <v>46031</v>
      </c>
      <c r="B229" s="568">
        <v>2026</v>
      </c>
      <c r="C229" s="569">
        <v>1</v>
      </c>
      <c r="D229" s="570">
        <v>2</v>
      </c>
      <c r="E229" s="570">
        <v>9</v>
      </c>
      <c r="F229" s="571" t="s">
        <v>67</v>
      </c>
      <c r="G229" s="569" t="s">
        <v>67</v>
      </c>
      <c r="H229" s="569" t="s">
        <v>213</v>
      </c>
      <c r="I229" s="572">
        <v>2266891336</v>
      </c>
    </row>
    <row r="230" spans="1:9" ht="16" x14ac:dyDescent="0.2">
      <c r="A230" s="561">
        <v>46031</v>
      </c>
      <c r="B230" s="562">
        <v>2026</v>
      </c>
      <c r="C230" s="563">
        <v>1</v>
      </c>
      <c r="D230" s="564">
        <v>2</v>
      </c>
      <c r="E230" s="564">
        <v>9</v>
      </c>
      <c r="F230" s="565" t="s">
        <v>28</v>
      </c>
      <c r="G230" s="563" t="s">
        <v>28</v>
      </c>
      <c r="H230" s="563" t="s">
        <v>214</v>
      </c>
      <c r="I230" s="566">
        <v>14657868000</v>
      </c>
    </row>
    <row r="231" spans="1:9" ht="16" x14ac:dyDescent="0.2">
      <c r="A231" s="567">
        <v>46031</v>
      </c>
      <c r="B231" s="568">
        <v>2026</v>
      </c>
      <c r="C231" s="569">
        <v>1</v>
      </c>
      <c r="D231" s="570">
        <v>2</v>
      </c>
      <c r="E231" s="570">
        <v>9</v>
      </c>
      <c r="F231" s="571" t="s">
        <v>208</v>
      </c>
      <c r="G231" s="569" t="s">
        <v>208</v>
      </c>
      <c r="H231" s="569" t="s">
        <v>216</v>
      </c>
      <c r="I231" s="572">
        <v>9349726</v>
      </c>
    </row>
    <row r="232" spans="1:9" ht="16" x14ac:dyDescent="0.2">
      <c r="A232" s="561">
        <v>46031</v>
      </c>
      <c r="B232" s="562">
        <v>2026</v>
      </c>
      <c r="C232" s="563">
        <v>1</v>
      </c>
      <c r="D232" s="564">
        <v>2</v>
      </c>
      <c r="E232" s="564">
        <v>9</v>
      </c>
      <c r="F232" s="565" t="s">
        <v>60</v>
      </c>
      <c r="G232" s="563" t="s">
        <v>60</v>
      </c>
      <c r="H232" s="563" t="s">
        <v>212</v>
      </c>
      <c r="I232" s="566">
        <v>90000000</v>
      </c>
    </row>
    <row r="233" spans="1:9" ht="16" x14ac:dyDescent="0.2">
      <c r="A233" s="567">
        <v>46031</v>
      </c>
      <c r="B233" s="568">
        <v>2026</v>
      </c>
      <c r="C233" s="569">
        <v>1</v>
      </c>
      <c r="D233" s="570">
        <v>2</v>
      </c>
      <c r="E233" s="570">
        <v>9</v>
      </c>
      <c r="F233" s="571" t="s">
        <v>36</v>
      </c>
      <c r="G233" s="569" t="s">
        <v>36</v>
      </c>
      <c r="H233" s="569" t="s">
        <v>212</v>
      </c>
      <c r="I233" s="572">
        <v>4831450000</v>
      </c>
    </row>
    <row r="234" spans="1:9" ht="16" x14ac:dyDescent="0.2">
      <c r="A234" s="561">
        <v>46031</v>
      </c>
      <c r="B234" s="562">
        <v>2026</v>
      </c>
      <c r="C234" s="563">
        <v>1</v>
      </c>
      <c r="D234" s="564">
        <v>2</v>
      </c>
      <c r="E234" s="564">
        <v>9</v>
      </c>
      <c r="F234" s="565" t="s">
        <v>55</v>
      </c>
      <c r="G234" s="563" t="s">
        <v>36</v>
      </c>
      <c r="H234" s="563" t="s">
        <v>212</v>
      </c>
      <c r="I234" s="566">
        <v>436840000</v>
      </c>
    </row>
    <row r="235" spans="1:9" ht="16" x14ac:dyDescent="0.2">
      <c r="A235" s="567">
        <v>46031</v>
      </c>
      <c r="B235" s="568">
        <v>2026</v>
      </c>
      <c r="C235" s="569">
        <v>1</v>
      </c>
      <c r="D235" s="570">
        <v>2</v>
      </c>
      <c r="E235" s="570">
        <v>9</v>
      </c>
      <c r="F235" s="571" t="s">
        <v>176</v>
      </c>
      <c r="G235" s="569" t="s">
        <v>176</v>
      </c>
      <c r="H235" s="569" t="s">
        <v>216</v>
      </c>
      <c r="I235" s="572">
        <v>23417180</v>
      </c>
    </row>
    <row r="236" spans="1:9" ht="16" x14ac:dyDescent="0.2">
      <c r="A236" s="561">
        <v>46031</v>
      </c>
      <c r="B236" s="562">
        <v>2026</v>
      </c>
      <c r="C236" s="563">
        <v>1</v>
      </c>
      <c r="D236" s="564">
        <v>2</v>
      </c>
      <c r="E236" s="564">
        <v>9</v>
      </c>
      <c r="F236" s="565" t="s">
        <v>39</v>
      </c>
      <c r="G236" s="563" t="s">
        <v>176</v>
      </c>
      <c r="H236" s="563" t="s">
        <v>216</v>
      </c>
      <c r="I236" s="566">
        <v>1828275122</v>
      </c>
    </row>
    <row r="237" spans="1:9" ht="16" x14ac:dyDescent="0.2">
      <c r="A237" s="567">
        <v>46031</v>
      </c>
      <c r="B237" s="568">
        <v>2026</v>
      </c>
      <c r="C237" s="569">
        <v>1</v>
      </c>
      <c r="D237" s="570">
        <v>2</v>
      </c>
      <c r="E237" s="570">
        <v>9</v>
      </c>
      <c r="F237" s="571" t="s">
        <v>206</v>
      </c>
      <c r="G237" s="569" t="s">
        <v>206</v>
      </c>
      <c r="H237" s="569" t="s">
        <v>212</v>
      </c>
      <c r="I237" s="572">
        <v>0</v>
      </c>
    </row>
    <row r="238" spans="1:9" ht="16" x14ac:dyDescent="0.2">
      <c r="A238" s="561">
        <v>46031</v>
      </c>
      <c r="B238" s="562">
        <v>2026</v>
      </c>
      <c r="C238" s="563">
        <v>1</v>
      </c>
      <c r="D238" s="564">
        <v>2</v>
      </c>
      <c r="E238" s="564">
        <v>9</v>
      </c>
      <c r="F238" s="565" t="s">
        <v>64</v>
      </c>
      <c r="G238" s="563" t="s">
        <v>209</v>
      </c>
      <c r="H238" s="563" t="s">
        <v>212</v>
      </c>
      <c r="I238" s="566">
        <v>123750000</v>
      </c>
    </row>
    <row r="239" spans="1:9" ht="16" x14ac:dyDescent="0.2">
      <c r="A239" s="567">
        <v>46031</v>
      </c>
      <c r="B239" s="568">
        <v>2026</v>
      </c>
      <c r="C239" s="569">
        <v>1</v>
      </c>
      <c r="D239" s="570">
        <v>2</v>
      </c>
      <c r="E239" s="570">
        <v>9</v>
      </c>
      <c r="F239" s="571" t="s">
        <v>237</v>
      </c>
      <c r="G239" s="569" t="s">
        <v>209</v>
      </c>
      <c r="H239" s="569" t="s">
        <v>212</v>
      </c>
      <c r="I239" s="572">
        <v>0</v>
      </c>
    </row>
    <row r="240" spans="1:9" ht="16" x14ac:dyDescent="0.2">
      <c r="A240" s="561">
        <v>46031</v>
      </c>
      <c r="B240" s="562">
        <v>2026</v>
      </c>
      <c r="C240" s="563">
        <v>1</v>
      </c>
      <c r="D240" s="564">
        <v>2</v>
      </c>
      <c r="E240" s="564">
        <v>9</v>
      </c>
      <c r="F240" s="565" t="s">
        <v>11</v>
      </c>
      <c r="G240" s="563" t="s">
        <v>11</v>
      </c>
      <c r="H240" s="563" t="s">
        <v>212</v>
      </c>
      <c r="I240" s="566">
        <v>17271450000</v>
      </c>
    </row>
    <row r="241" spans="1:9" ht="16" x14ac:dyDescent="0.2">
      <c r="A241" s="567">
        <v>46031</v>
      </c>
      <c r="B241" s="568">
        <v>2026</v>
      </c>
      <c r="C241" s="569">
        <v>1</v>
      </c>
      <c r="D241" s="570">
        <v>2</v>
      </c>
      <c r="E241" s="570">
        <v>9</v>
      </c>
      <c r="F241" s="571" t="s">
        <v>221</v>
      </c>
      <c r="G241" s="569" t="s">
        <v>207</v>
      </c>
      <c r="H241" s="569" t="s">
        <v>212</v>
      </c>
      <c r="I241" s="572">
        <v>0</v>
      </c>
    </row>
    <row r="242" spans="1:9" ht="16" x14ac:dyDescent="0.2">
      <c r="A242" s="561">
        <v>46031</v>
      </c>
      <c r="B242" s="562">
        <v>2026</v>
      </c>
      <c r="C242" s="563">
        <v>1</v>
      </c>
      <c r="D242" s="564">
        <v>2</v>
      </c>
      <c r="E242" s="564">
        <v>9</v>
      </c>
      <c r="F242" s="565" t="s">
        <v>222</v>
      </c>
      <c r="G242" s="563" t="s">
        <v>207</v>
      </c>
      <c r="H242" s="563" t="s">
        <v>212</v>
      </c>
      <c r="I242" s="566">
        <v>0</v>
      </c>
    </row>
    <row r="243" spans="1:9" ht="16" x14ac:dyDescent="0.2">
      <c r="A243" s="567">
        <v>46031</v>
      </c>
      <c r="B243" s="568">
        <v>2026</v>
      </c>
      <c r="C243" s="569">
        <v>1</v>
      </c>
      <c r="D243" s="570">
        <v>2</v>
      </c>
      <c r="E243" s="570">
        <v>9</v>
      </c>
      <c r="F243" s="571" t="s">
        <v>223</v>
      </c>
      <c r="G243" s="569" t="s">
        <v>207</v>
      </c>
      <c r="H243" s="569" t="s">
        <v>212</v>
      </c>
      <c r="I243" s="572">
        <v>0</v>
      </c>
    </row>
    <row r="244" spans="1:9" ht="16" x14ac:dyDescent="0.2">
      <c r="A244" s="561">
        <v>46031</v>
      </c>
      <c r="B244" s="562">
        <v>2026</v>
      </c>
      <c r="C244" s="563">
        <v>1</v>
      </c>
      <c r="D244" s="564">
        <v>2</v>
      </c>
      <c r="E244" s="564">
        <v>9</v>
      </c>
      <c r="F244" s="565" t="s">
        <v>219</v>
      </c>
      <c r="G244" s="563" t="s">
        <v>11</v>
      </c>
      <c r="H244" s="563" t="s">
        <v>212</v>
      </c>
      <c r="I244" s="566">
        <v>0</v>
      </c>
    </row>
    <row r="245" spans="1:9" ht="16" x14ac:dyDescent="0.2">
      <c r="A245" s="567">
        <v>46031</v>
      </c>
      <c r="B245" s="568">
        <v>2026</v>
      </c>
      <c r="C245" s="569">
        <v>1</v>
      </c>
      <c r="D245" s="570">
        <v>2</v>
      </c>
      <c r="E245" s="570">
        <v>9</v>
      </c>
      <c r="F245" s="571" t="s">
        <v>19</v>
      </c>
      <c r="G245" s="569" t="s">
        <v>19</v>
      </c>
      <c r="H245" s="569" t="s">
        <v>214</v>
      </c>
      <c r="I245" s="572">
        <v>11633004000</v>
      </c>
    </row>
    <row r="246" spans="1:9" ht="16" x14ac:dyDescent="0.2">
      <c r="A246" s="561">
        <v>46031</v>
      </c>
      <c r="B246" s="562">
        <v>2026</v>
      </c>
      <c r="C246" s="563">
        <v>1</v>
      </c>
      <c r="D246" s="564">
        <v>2</v>
      </c>
      <c r="E246" s="564">
        <v>9</v>
      </c>
      <c r="F246" s="565" t="s">
        <v>62</v>
      </c>
      <c r="G246" s="563" t="s">
        <v>62</v>
      </c>
      <c r="H246" s="563" t="s">
        <v>216</v>
      </c>
      <c r="I246" s="566">
        <v>242206144</v>
      </c>
    </row>
    <row r="247" spans="1:9" ht="16" x14ac:dyDescent="0.2">
      <c r="A247" s="567">
        <v>46031</v>
      </c>
      <c r="B247" s="568">
        <v>2026</v>
      </c>
      <c r="C247" s="569">
        <v>1</v>
      </c>
      <c r="D247" s="570">
        <v>2</v>
      </c>
      <c r="E247" s="570">
        <v>9</v>
      </c>
      <c r="F247" s="571" t="s">
        <v>58</v>
      </c>
      <c r="G247" s="569" t="s">
        <v>58</v>
      </c>
      <c r="H247" s="569" t="s">
        <v>212</v>
      </c>
      <c r="I247" s="572">
        <v>20000000</v>
      </c>
    </row>
    <row r="248" spans="1:9" ht="16" x14ac:dyDescent="0.2">
      <c r="A248" s="561">
        <v>46031</v>
      </c>
      <c r="B248" s="562">
        <v>2026</v>
      </c>
      <c r="C248" s="563">
        <v>1</v>
      </c>
      <c r="D248" s="564">
        <v>2</v>
      </c>
      <c r="E248" s="564">
        <v>9</v>
      </c>
      <c r="F248" s="565" t="s">
        <v>61</v>
      </c>
      <c r="G248" s="563" t="s">
        <v>61</v>
      </c>
      <c r="H248" s="563" t="s">
        <v>214</v>
      </c>
      <c r="I248" s="566">
        <v>62000000</v>
      </c>
    </row>
    <row r="249" spans="1:9" ht="16" x14ac:dyDescent="0.2">
      <c r="A249" s="567">
        <v>46031</v>
      </c>
      <c r="B249" s="568">
        <v>2026</v>
      </c>
      <c r="C249" s="569">
        <v>1</v>
      </c>
      <c r="D249" s="570">
        <v>2</v>
      </c>
      <c r="E249" s="570">
        <v>9</v>
      </c>
      <c r="F249" s="571" t="s">
        <v>57</v>
      </c>
      <c r="G249" s="569" t="s">
        <v>57</v>
      </c>
      <c r="H249" s="569" t="s">
        <v>212</v>
      </c>
      <c r="I249" s="572">
        <v>1187210000</v>
      </c>
    </row>
    <row r="250" spans="1:9" ht="16" x14ac:dyDescent="0.2">
      <c r="A250" s="561">
        <v>46031</v>
      </c>
      <c r="B250" s="562">
        <v>2026</v>
      </c>
      <c r="C250" s="563">
        <v>1</v>
      </c>
      <c r="D250" s="564">
        <v>2</v>
      </c>
      <c r="E250" s="564">
        <v>9</v>
      </c>
      <c r="F250" s="565" t="s">
        <v>63</v>
      </c>
      <c r="G250" s="563" t="s">
        <v>63</v>
      </c>
      <c r="H250" s="563" t="s">
        <v>214</v>
      </c>
      <c r="I250" s="566">
        <v>366012000</v>
      </c>
    </row>
    <row r="251" spans="1:9" ht="16" x14ac:dyDescent="0.2">
      <c r="A251" s="567">
        <v>46031</v>
      </c>
      <c r="B251" s="568">
        <v>2026</v>
      </c>
      <c r="C251" s="569">
        <v>1</v>
      </c>
      <c r="D251" s="570">
        <v>2</v>
      </c>
      <c r="E251" s="570">
        <v>9</v>
      </c>
      <c r="F251" s="571" t="s">
        <v>59</v>
      </c>
      <c r="G251" s="569" t="s">
        <v>59</v>
      </c>
      <c r="H251" s="569" t="s">
        <v>216</v>
      </c>
      <c r="I251" s="572">
        <v>495946678</v>
      </c>
    </row>
    <row r="252" spans="1:9" ht="16" x14ac:dyDescent="0.2">
      <c r="A252" s="561">
        <v>46031</v>
      </c>
      <c r="B252" s="562">
        <v>2026</v>
      </c>
      <c r="C252" s="563">
        <v>1</v>
      </c>
      <c r="D252" s="564">
        <v>2</v>
      </c>
      <c r="E252" s="564">
        <v>9</v>
      </c>
      <c r="F252" s="565" t="s">
        <v>31</v>
      </c>
      <c r="G252" s="563" t="s">
        <v>175</v>
      </c>
      <c r="H252" s="563" t="s">
        <v>212</v>
      </c>
      <c r="I252" s="566">
        <v>3845520000</v>
      </c>
    </row>
    <row r="253" spans="1:9" ht="16" x14ac:dyDescent="0.2">
      <c r="A253" s="567">
        <v>46031</v>
      </c>
      <c r="B253" s="568">
        <v>2026</v>
      </c>
      <c r="C253" s="569">
        <v>1</v>
      </c>
      <c r="D253" s="570">
        <v>2</v>
      </c>
      <c r="E253" s="570">
        <v>9</v>
      </c>
      <c r="F253" s="571" t="s">
        <v>234</v>
      </c>
      <c r="G253" s="569" t="s">
        <v>210</v>
      </c>
      <c r="H253" s="569" t="s">
        <v>214</v>
      </c>
      <c r="I253" s="572">
        <v>0</v>
      </c>
    </row>
    <row r="254" spans="1:9" ht="16" x14ac:dyDescent="0.2">
      <c r="A254" s="561">
        <v>46032</v>
      </c>
      <c r="B254" s="562">
        <v>2026</v>
      </c>
      <c r="C254" s="563">
        <v>1</v>
      </c>
      <c r="D254" s="564">
        <v>2</v>
      </c>
      <c r="E254" s="564">
        <v>10</v>
      </c>
      <c r="F254" s="565" t="s">
        <v>65</v>
      </c>
      <c r="G254" s="563" t="s">
        <v>65</v>
      </c>
      <c r="H254" s="563" t="s">
        <v>212</v>
      </c>
      <c r="I254" s="566">
        <v>874400000</v>
      </c>
    </row>
    <row r="255" spans="1:9" ht="16" x14ac:dyDescent="0.2">
      <c r="A255" s="567">
        <v>46032</v>
      </c>
      <c r="B255" s="568">
        <v>2026</v>
      </c>
      <c r="C255" s="569">
        <v>1</v>
      </c>
      <c r="D255" s="570">
        <v>2</v>
      </c>
      <c r="E255" s="570">
        <v>10</v>
      </c>
      <c r="F255" s="571" t="s">
        <v>66</v>
      </c>
      <c r="G255" s="569" t="s">
        <v>66</v>
      </c>
      <c r="H255" s="569" t="s">
        <v>216</v>
      </c>
      <c r="I255" s="572">
        <v>419055212</v>
      </c>
    </row>
    <row r="256" spans="1:9" ht="16" x14ac:dyDescent="0.2">
      <c r="A256" s="561">
        <v>46032</v>
      </c>
      <c r="B256" s="562">
        <v>2026</v>
      </c>
      <c r="C256" s="563">
        <v>1</v>
      </c>
      <c r="D256" s="564">
        <v>2</v>
      </c>
      <c r="E256" s="564">
        <v>10</v>
      </c>
      <c r="F256" s="565" t="s">
        <v>24</v>
      </c>
      <c r="G256" s="563" t="s">
        <v>24</v>
      </c>
      <c r="H256" s="563" t="s">
        <v>212</v>
      </c>
      <c r="I256" s="566">
        <v>17945200000</v>
      </c>
    </row>
    <row r="257" spans="1:9" ht="16" x14ac:dyDescent="0.2">
      <c r="A257" s="567">
        <v>46032</v>
      </c>
      <c r="B257" s="568">
        <v>2026</v>
      </c>
      <c r="C257" s="569">
        <v>1</v>
      </c>
      <c r="D257" s="570">
        <v>2</v>
      </c>
      <c r="E257" s="570">
        <v>10</v>
      </c>
      <c r="F257" s="571" t="s">
        <v>67</v>
      </c>
      <c r="G257" s="569" t="s">
        <v>67</v>
      </c>
      <c r="H257" s="569" t="s">
        <v>213</v>
      </c>
      <c r="I257" s="572">
        <v>2345771913</v>
      </c>
    </row>
    <row r="258" spans="1:9" ht="16" x14ac:dyDescent="0.2">
      <c r="A258" s="561">
        <v>46032</v>
      </c>
      <c r="B258" s="562">
        <v>2026</v>
      </c>
      <c r="C258" s="563">
        <v>1</v>
      </c>
      <c r="D258" s="564">
        <v>2</v>
      </c>
      <c r="E258" s="564">
        <v>10</v>
      </c>
      <c r="F258" s="565" t="s">
        <v>28</v>
      </c>
      <c r="G258" s="563" t="s">
        <v>28</v>
      </c>
      <c r="H258" s="563" t="s">
        <v>214</v>
      </c>
      <c r="I258" s="566">
        <v>15563340000</v>
      </c>
    </row>
    <row r="259" spans="1:9" ht="16" x14ac:dyDescent="0.2">
      <c r="A259" s="567">
        <v>46032</v>
      </c>
      <c r="B259" s="568">
        <v>2026</v>
      </c>
      <c r="C259" s="569">
        <v>1</v>
      </c>
      <c r="D259" s="570">
        <v>2</v>
      </c>
      <c r="E259" s="570">
        <v>10</v>
      </c>
      <c r="F259" s="571" t="s">
        <v>208</v>
      </c>
      <c r="G259" s="569" t="s">
        <v>208</v>
      </c>
      <c r="H259" s="569" t="s">
        <v>216</v>
      </c>
      <c r="I259" s="572">
        <v>13061172</v>
      </c>
    </row>
    <row r="260" spans="1:9" ht="16" x14ac:dyDescent="0.2">
      <c r="A260" s="561">
        <v>46032</v>
      </c>
      <c r="B260" s="562">
        <v>2026</v>
      </c>
      <c r="C260" s="563">
        <v>1</v>
      </c>
      <c r="D260" s="564">
        <v>2</v>
      </c>
      <c r="E260" s="564">
        <v>10</v>
      </c>
      <c r="F260" s="565" t="s">
        <v>60</v>
      </c>
      <c r="G260" s="563" t="s">
        <v>60</v>
      </c>
      <c r="H260" s="563" t="s">
        <v>212</v>
      </c>
      <c r="I260" s="566">
        <v>90000000</v>
      </c>
    </row>
    <row r="261" spans="1:9" ht="16" x14ac:dyDescent="0.2">
      <c r="A261" s="567">
        <v>46032</v>
      </c>
      <c r="B261" s="568">
        <v>2026</v>
      </c>
      <c r="C261" s="569">
        <v>1</v>
      </c>
      <c r="D261" s="570">
        <v>2</v>
      </c>
      <c r="E261" s="570">
        <v>10</v>
      </c>
      <c r="F261" s="571" t="s">
        <v>36</v>
      </c>
      <c r="G261" s="569" t="s">
        <v>36</v>
      </c>
      <c r="H261" s="569" t="s">
        <v>212</v>
      </c>
      <c r="I261" s="572">
        <v>5429640000</v>
      </c>
    </row>
    <row r="262" spans="1:9" ht="16" x14ac:dyDescent="0.2">
      <c r="A262" s="561">
        <v>46032</v>
      </c>
      <c r="B262" s="562">
        <v>2026</v>
      </c>
      <c r="C262" s="563">
        <v>1</v>
      </c>
      <c r="D262" s="564">
        <v>2</v>
      </c>
      <c r="E262" s="564">
        <v>10</v>
      </c>
      <c r="F262" s="565" t="s">
        <v>55</v>
      </c>
      <c r="G262" s="563" t="s">
        <v>36</v>
      </c>
      <c r="H262" s="563" t="s">
        <v>212</v>
      </c>
      <c r="I262" s="566">
        <v>1155630000</v>
      </c>
    </row>
    <row r="263" spans="1:9" ht="16" x14ac:dyDescent="0.2">
      <c r="A263" s="567">
        <v>46032</v>
      </c>
      <c r="B263" s="568">
        <v>2026</v>
      </c>
      <c r="C263" s="569">
        <v>1</v>
      </c>
      <c r="D263" s="570">
        <v>2</v>
      </c>
      <c r="E263" s="570">
        <v>10</v>
      </c>
      <c r="F263" s="571" t="s">
        <v>176</v>
      </c>
      <c r="G263" s="569" t="s">
        <v>176</v>
      </c>
      <c r="H263" s="569" t="s">
        <v>216</v>
      </c>
      <c r="I263" s="572">
        <v>16535474</v>
      </c>
    </row>
    <row r="264" spans="1:9" ht="16" x14ac:dyDescent="0.2">
      <c r="A264" s="561">
        <v>46032</v>
      </c>
      <c r="B264" s="562">
        <v>2026</v>
      </c>
      <c r="C264" s="563">
        <v>1</v>
      </c>
      <c r="D264" s="564">
        <v>2</v>
      </c>
      <c r="E264" s="564">
        <v>10</v>
      </c>
      <c r="F264" s="565" t="s">
        <v>39</v>
      </c>
      <c r="G264" s="563" t="s">
        <v>176</v>
      </c>
      <c r="H264" s="563" t="s">
        <v>216</v>
      </c>
      <c r="I264" s="566">
        <v>1830713937</v>
      </c>
    </row>
    <row r="265" spans="1:9" ht="16" x14ac:dyDescent="0.2">
      <c r="A265" s="567">
        <v>46032</v>
      </c>
      <c r="B265" s="568">
        <v>2026</v>
      </c>
      <c r="C265" s="569">
        <v>1</v>
      </c>
      <c r="D265" s="570">
        <v>2</v>
      </c>
      <c r="E265" s="570">
        <v>10</v>
      </c>
      <c r="F265" s="571" t="s">
        <v>206</v>
      </c>
      <c r="G265" s="569" t="s">
        <v>206</v>
      </c>
      <c r="H265" s="569" t="s">
        <v>212</v>
      </c>
      <c r="I265" s="572">
        <v>0</v>
      </c>
    </row>
    <row r="266" spans="1:9" ht="16" x14ac:dyDescent="0.2">
      <c r="A266" s="561">
        <v>46032</v>
      </c>
      <c r="B266" s="562">
        <v>2026</v>
      </c>
      <c r="C266" s="563">
        <v>1</v>
      </c>
      <c r="D266" s="564">
        <v>2</v>
      </c>
      <c r="E266" s="564">
        <v>10</v>
      </c>
      <c r="F266" s="565" t="s">
        <v>64</v>
      </c>
      <c r="G266" s="563" t="s">
        <v>209</v>
      </c>
      <c r="H266" s="563" t="s">
        <v>212</v>
      </c>
      <c r="I266" s="566">
        <v>167000000</v>
      </c>
    </row>
    <row r="267" spans="1:9" ht="16" x14ac:dyDescent="0.2">
      <c r="A267" s="567">
        <v>46032</v>
      </c>
      <c r="B267" s="568">
        <v>2026</v>
      </c>
      <c r="C267" s="569">
        <v>1</v>
      </c>
      <c r="D267" s="570">
        <v>2</v>
      </c>
      <c r="E267" s="570">
        <v>10</v>
      </c>
      <c r="F267" s="571" t="s">
        <v>237</v>
      </c>
      <c r="G267" s="569" t="s">
        <v>209</v>
      </c>
      <c r="H267" s="569" t="s">
        <v>212</v>
      </c>
      <c r="I267" s="572">
        <v>0</v>
      </c>
    </row>
    <row r="268" spans="1:9" ht="16" x14ac:dyDescent="0.2">
      <c r="A268" s="561">
        <v>46032</v>
      </c>
      <c r="B268" s="562">
        <v>2026</v>
      </c>
      <c r="C268" s="563">
        <v>1</v>
      </c>
      <c r="D268" s="564">
        <v>2</v>
      </c>
      <c r="E268" s="564">
        <v>10</v>
      </c>
      <c r="F268" s="565" t="s">
        <v>11</v>
      </c>
      <c r="G268" s="563" t="s">
        <v>11</v>
      </c>
      <c r="H268" s="563" t="s">
        <v>212</v>
      </c>
      <c r="I268" s="566">
        <v>17764830000</v>
      </c>
    </row>
    <row r="269" spans="1:9" ht="16" x14ac:dyDescent="0.2">
      <c r="A269" s="567">
        <v>46032</v>
      </c>
      <c r="B269" s="568">
        <v>2026</v>
      </c>
      <c r="C269" s="569">
        <v>1</v>
      </c>
      <c r="D269" s="570">
        <v>2</v>
      </c>
      <c r="E269" s="570">
        <v>10</v>
      </c>
      <c r="F269" s="571" t="s">
        <v>221</v>
      </c>
      <c r="G269" s="569" t="s">
        <v>207</v>
      </c>
      <c r="H269" s="569" t="s">
        <v>212</v>
      </c>
      <c r="I269" s="572">
        <v>0</v>
      </c>
    </row>
    <row r="270" spans="1:9" ht="16" x14ac:dyDescent="0.2">
      <c r="A270" s="561">
        <v>46032</v>
      </c>
      <c r="B270" s="562">
        <v>2026</v>
      </c>
      <c r="C270" s="563">
        <v>1</v>
      </c>
      <c r="D270" s="564">
        <v>2</v>
      </c>
      <c r="E270" s="564">
        <v>10</v>
      </c>
      <c r="F270" s="565" t="s">
        <v>222</v>
      </c>
      <c r="G270" s="563" t="s">
        <v>207</v>
      </c>
      <c r="H270" s="563" t="s">
        <v>212</v>
      </c>
      <c r="I270" s="566">
        <v>0</v>
      </c>
    </row>
    <row r="271" spans="1:9" ht="16" x14ac:dyDescent="0.2">
      <c r="A271" s="567">
        <v>46032</v>
      </c>
      <c r="B271" s="568">
        <v>2026</v>
      </c>
      <c r="C271" s="569">
        <v>1</v>
      </c>
      <c r="D271" s="570">
        <v>2</v>
      </c>
      <c r="E271" s="570">
        <v>10</v>
      </c>
      <c r="F271" s="571" t="s">
        <v>223</v>
      </c>
      <c r="G271" s="569" t="s">
        <v>207</v>
      </c>
      <c r="H271" s="569" t="s">
        <v>212</v>
      </c>
      <c r="I271" s="572">
        <v>0</v>
      </c>
    </row>
    <row r="272" spans="1:9" ht="16" x14ac:dyDescent="0.2">
      <c r="A272" s="561">
        <v>46032</v>
      </c>
      <c r="B272" s="562">
        <v>2026</v>
      </c>
      <c r="C272" s="563">
        <v>1</v>
      </c>
      <c r="D272" s="564">
        <v>2</v>
      </c>
      <c r="E272" s="564">
        <v>10</v>
      </c>
      <c r="F272" s="565" t="s">
        <v>219</v>
      </c>
      <c r="G272" s="563" t="s">
        <v>11</v>
      </c>
      <c r="H272" s="563" t="s">
        <v>212</v>
      </c>
      <c r="I272" s="566">
        <v>0</v>
      </c>
    </row>
    <row r="273" spans="1:9" ht="16" x14ac:dyDescent="0.2">
      <c r="A273" s="567">
        <v>46032</v>
      </c>
      <c r="B273" s="568">
        <v>2026</v>
      </c>
      <c r="C273" s="569">
        <v>1</v>
      </c>
      <c r="D273" s="570">
        <v>2</v>
      </c>
      <c r="E273" s="570">
        <v>10</v>
      </c>
      <c r="F273" s="571" t="s">
        <v>19</v>
      </c>
      <c r="G273" s="569" t="s">
        <v>19</v>
      </c>
      <c r="H273" s="569" t="s">
        <v>214</v>
      </c>
      <c r="I273" s="572">
        <v>12705660000</v>
      </c>
    </row>
    <row r="274" spans="1:9" ht="16" x14ac:dyDescent="0.2">
      <c r="A274" s="561">
        <v>46032</v>
      </c>
      <c r="B274" s="562">
        <v>2026</v>
      </c>
      <c r="C274" s="563">
        <v>1</v>
      </c>
      <c r="D274" s="564">
        <v>2</v>
      </c>
      <c r="E274" s="564">
        <v>10</v>
      </c>
      <c r="F274" s="565" t="s">
        <v>62</v>
      </c>
      <c r="G274" s="563" t="s">
        <v>62</v>
      </c>
      <c r="H274" s="563" t="s">
        <v>216</v>
      </c>
      <c r="I274" s="566">
        <v>283128611</v>
      </c>
    </row>
    <row r="275" spans="1:9" ht="16" x14ac:dyDescent="0.2">
      <c r="A275" s="567">
        <v>46032</v>
      </c>
      <c r="B275" s="568">
        <v>2026</v>
      </c>
      <c r="C275" s="569">
        <v>1</v>
      </c>
      <c r="D275" s="570">
        <v>2</v>
      </c>
      <c r="E275" s="570">
        <v>10</v>
      </c>
      <c r="F275" s="571" t="s">
        <v>58</v>
      </c>
      <c r="G275" s="569" t="s">
        <v>58</v>
      </c>
      <c r="H275" s="569" t="s">
        <v>212</v>
      </c>
      <c r="I275" s="572">
        <v>0</v>
      </c>
    </row>
    <row r="276" spans="1:9" ht="16" x14ac:dyDescent="0.2">
      <c r="A276" s="561">
        <v>46032</v>
      </c>
      <c r="B276" s="562">
        <v>2026</v>
      </c>
      <c r="C276" s="563">
        <v>1</v>
      </c>
      <c r="D276" s="564">
        <v>2</v>
      </c>
      <c r="E276" s="564">
        <v>10</v>
      </c>
      <c r="F276" s="565" t="s">
        <v>61</v>
      </c>
      <c r="G276" s="563" t="s">
        <v>61</v>
      </c>
      <c r="H276" s="563" t="s">
        <v>214</v>
      </c>
      <c r="I276" s="566">
        <v>33000000</v>
      </c>
    </row>
    <row r="277" spans="1:9" ht="16" x14ac:dyDescent="0.2">
      <c r="A277" s="567">
        <v>46032</v>
      </c>
      <c r="B277" s="568">
        <v>2026</v>
      </c>
      <c r="C277" s="569">
        <v>1</v>
      </c>
      <c r="D277" s="570">
        <v>2</v>
      </c>
      <c r="E277" s="570">
        <v>10</v>
      </c>
      <c r="F277" s="571" t="s">
        <v>57</v>
      </c>
      <c r="G277" s="569" t="s">
        <v>57</v>
      </c>
      <c r="H277" s="569" t="s">
        <v>212</v>
      </c>
      <c r="I277" s="572">
        <v>1187970000</v>
      </c>
    </row>
    <row r="278" spans="1:9" ht="16" x14ac:dyDescent="0.2">
      <c r="A278" s="561">
        <v>46032</v>
      </c>
      <c r="B278" s="562">
        <v>2026</v>
      </c>
      <c r="C278" s="563">
        <v>1</v>
      </c>
      <c r="D278" s="564">
        <v>2</v>
      </c>
      <c r="E278" s="564">
        <v>10</v>
      </c>
      <c r="F278" s="565" t="s">
        <v>63</v>
      </c>
      <c r="G278" s="563" t="s">
        <v>63</v>
      </c>
      <c r="H278" s="563" t="s">
        <v>214</v>
      </c>
      <c r="I278" s="566">
        <v>330588000</v>
      </c>
    </row>
    <row r="279" spans="1:9" ht="16" x14ac:dyDescent="0.2">
      <c r="A279" s="567">
        <v>46032</v>
      </c>
      <c r="B279" s="568">
        <v>2026</v>
      </c>
      <c r="C279" s="569">
        <v>1</v>
      </c>
      <c r="D279" s="570">
        <v>2</v>
      </c>
      <c r="E279" s="570">
        <v>10</v>
      </c>
      <c r="F279" s="571" t="s">
        <v>59</v>
      </c>
      <c r="G279" s="569" t="s">
        <v>59</v>
      </c>
      <c r="H279" s="569" t="s">
        <v>216</v>
      </c>
      <c r="I279" s="572">
        <v>450017217</v>
      </c>
    </row>
    <row r="280" spans="1:9" ht="16" x14ac:dyDescent="0.2">
      <c r="A280" s="561">
        <v>46032</v>
      </c>
      <c r="B280" s="562">
        <v>2026</v>
      </c>
      <c r="C280" s="563">
        <v>1</v>
      </c>
      <c r="D280" s="564">
        <v>2</v>
      </c>
      <c r="E280" s="564">
        <v>10</v>
      </c>
      <c r="F280" s="565" t="s">
        <v>31</v>
      </c>
      <c r="G280" s="563" t="s">
        <v>175</v>
      </c>
      <c r="H280" s="563" t="s">
        <v>212</v>
      </c>
      <c r="I280" s="566">
        <v>4185160000</v>
      </c>
    </row>
    <row r="281" spans="1:9" ht="16" x14ac:dyDescent="0.2">
      <c r="A281" s="567">
        <v>46032</v>
      </c>
      <c r="B281" s="568">
        <v>2026</v>
      </c>
      <c r="C281" s="569">
        <v>1</v>
      </c>
      <c r="D281" s="570">
        <v>2</v>
      </c>
      <c r="E281" s="570">
        <v>10</v>
      </c>
      <c r="F281" s="571" t="s">
        <v>234</v>
      </c>
      <c r="G281" s="569" t="s">
        <v>210</v>
      </c>
      <c r="H281" s="569" t="s">
        <v>214</v>
      </c>
      <c r="I281" s="572">
        <v>0</v>
      </c>
    </row>
    <row r="282" spans="1:9" ht="16" x14ac:dyDescent="0.2">
      <c r="A282" s="561">
        <v>46033</v>
      </c>
      <c r="B282" s="562">
        <v>2026</v>
      </c>
      <c r="C282" s="563">
        <v>1</v>
      </c>
      <c r="D282" s="564">
        <v>2</v>
      </c>
      <c r="E282" s="564">
        <v>11</v>
      </c>
      <c r="F282" s="565" t="s">
        <v>65</v>
      </c>
      <c r="G282" s="563" t="s">
        <v>65</v>
      </c>
      <c r="H282" s="563" t="s">
        <v>212</v>
      </c>
      <c r="I282" s="566">
        <v>766700000</v>
      </c>
    </row>
    <row r="283" spans="1:9" ht="16" x14ac:dyDescent="0.2">
      <c r="A283" s="567">
        <v>46033</v>
      </c>
      <c r="B283" s="568">
        <v>2026</v>
      </c>
      <c r="C283" s="569">
        <v>1</v>
      </c>
      <c r="D283" s="570">
        <v>2</v>
      </c>
      <c r="E283" s="570">
        <v>11</v>
      </c>
      <c r="F283" s="571" t="s">
        <v>66</v>
      </c>
      <c r="G283" s="569" t="s">
        <v>66</v>
      </c>
      <c r="H283" s="569" t="s">
        <v>216</v>
      </c>
      <c r="I283" s="572">
        <v>353164484</v>
      </c>
    </row>
    <row r="284" spans="1:9" ht="16" x14ac:dyDescent="0.2">
      <c r="A284" s="561">
        <v>46033</v>
      </c>
      <c r="B284" s="562">
        <v>2026</v>
      </c>
      <c r="C284" s="563">
        <v>1</v>
      </c>
      <c r="D284" s="564">
        <v>2</v>
      </c>
      <c r="E284" s="564">
        <v>11</v>
      </c>
      <c r="F284" s="565" t="s">
        <v>24</v>
      </c>
      <c r="G284" s="563" t="s">
        <v>24</v>
      </c>
      <c r="H284" s="563" t="s">
        <v>212</v>
      </c>
      <c r="I284" s="566">
        <v>13005000000</v>
      </c>
    </row>
    <row r="285" spans="1:9" ht="16" x14ac:dyDescent="0.2">
      <c r="A285" s="567">
        <v>46033</v>
      </c>
      <c r="B285" s="568">
        <v>2026</v>
      </c>
      <c r="C285" s="569">
        <v>1</v>
      </c>
      <c r="D285" s="570">
        <v>2</v>
      </c>
      <c r="E285" s="570">
        <v>11</v>
      </c>
      <c r="F285" s="571" t="s">
        <v>67</v>
      </c>
      <c r="G285" s="569" t="s">
        <v>67</v>
      </c>
      <c r="H285" s="569" t="s">
        <v>213</v>
      </c>
      <c r="I285" s="572">
        <v>1429945439</v>
      </c>
    </row>
    <row r="286" spans="1:9" ht="16" x14ac:dyDescent="0.2">
      <c r="A286" s="561">
        <v>46033</v>
      </c>
      <c r="B286" s="562">
        <v>2026</v>
      </c>
      <c r="C286" s="563">
        <v>1</v>
      </c>
      <c r="D286" s="564">
        <v>2</v>
      </c>
      <c r="E286" s="564">
        <v>11</v>
      </c>
      <c r="F286" s="565" t="s">
        <v>28</v>
      </c>
      <c r="G286" s="563" t="s">
        <v>28</v>
      </c>
      <c r="H286" s="563" t="s">
        <v>214</v>
      </c>
      <c r="I286" s="566">
        <v>12770892000</v>
      </c>
    </row>
    <row r="287" spans="1:9" ht="16" x14ac:dyDescent="0.2">
      <c r="A287" s="567">
        <v>46033</v>
      </c>
      <c r="B287" s="568">
        <v>2026</v>
      </c>
      <c r="C287" s="569">
        <v>1</v>
      </c>
      <c r="D287" s="570">
        <v>2</v>
      </c>
      <c r="E287" s="570">
        <v>11</v>
      </c>
      <c r="F287" s="571" t="s">
        <v>208</v>
      </c>
      <c r="G287" s="569" t="s">
        <v>208</v>
      </c>
      <c r="H287" s="569" t="s">
        <v>216</v>
      </c>
      <c r="I287" s="572">
        <v>2940172</v>
      </c>
    </row>
    <row r="288" spans="1:9" ht="16" x14ac:dyDescent="0.2">
      <c r="A288" s="561">
        <v>46033</v>
      </c>
      <c r="B288" s="562">
        <v>2026</v>
      </c>
      <c r="C288" s="563">
        <v>1</v>
      </c>
      <c r="D288" s="564">
        <v>2</v>
      </c>
      <c r="E288" s="564">
        <v>11</v>
      </c>
      <c r="F288" s="565" t="s">
        <v>60</v>
      </c>
      <c r="G288" s="563" t="s">
        <v>60</v>
      </c>
      <c r="H288" s="563" t="s">
        <v>212</v>
      </c>
      <c r="I288" s="566">
        <v>0</v>
      </c>
    </row>
    <row r="289" spans="1:9" ht="16" x14ac:dyDescent="0.2">
      <c r="A289" s="567">
        <v>46033</v>
      </c>
      <c r="B289" s="568">
        <v>2026</v>
      </c>
      <c r="C289" s="569">
        <v>1</v>
      </c>
      <c r="D289" s="570">
        <v>2</v>
      </c>
      <c r="E289" s="570">
        <v>11</v>
      </c>
      <c r="F289" s="571" t="s">
        <v>36</v>
      </c>
      <c r="G289" s="569" t="s">
        <v>36</v>
      </c>
      <c r="H289" s="569" t="s">
        <v>212</v>
      </c>
      <c r="I289" s="572">
        <v>6696780000</v>
      </c>
    </row>
    <row r="290" spans="1:9" ht="16" x14ac:dyDescent="0.2">
      <c r="A290" s="561">
        <v>46033</v>
      </c>
      <c r="B290" s="562">
        <v>2026</v>
      </c>
      <c r="C290" s="563">
        <v>1</v>
      </c>
      <c r="D290" s="564">
        <v>2</v>
      </c>
      <c r="E290" s="564">
        <v>11</v>
      </c>
      <c r="F290" s="565" t="s">
        <v>55</v>
      </c>
      <c r="G290" s="563" t="s">
        <v>36</v>
      </c>
      <c r="H290" s="563" t="s">
        <v>212</v>
      </c>
      <c r="I290" s="566">
        <v>903520000</v>
      </c>
    </row>
    <row r="291" spans="1:9" ht="16" x14ac:dyDescent="0.2">
      <c r="A291" s="567">
        <v>46033</v>
      </c>
      <c r="B291" s="568">
        <v>2026</v>
      </c>
      <c r="C291" s="569">
        <v>1</v>
      </c>
      <c r="D291" s="570">
        <v>2</v>
      </c>
      <c r="E291" s="570">
        <v>11</v>
      </c>
      <c r="F291" s="571" t="s">
        <v>176</v>
      </c>
      <c r="G291" s="569" t="s">
        <v>176</v>
      </c>
      <c r="H291" s="569" t="s">
        <v>216</v>
      </c>
      <c r="I291" s="572">
        <v>9990512</v>
      </c>
    </row>
    <row r="292" spans="1:9" ht="16" x14ac:dyDescent="0.2">
      <c r="A292" s="561">
        <v>46033</v>
      </c>
      <c r="B292" s="562">
        <v>2026</v>
      </c>
      <c r="C292" s="563">
        <v>1</v>
      </c>
      <c r="D292" s="564">
        <v>2</v>
      </c>
      <c r="E292" s="564">
        <v>11</v>
      </c>
      <c r="F292" s="565" t="s">
        <v>39</v>
      </c>
      <c r="G292" s="563" t="s">
        <v>176</v>
      </c>
      <c r="H292" s="563" t="s">
        <v>216</v>
      </c>
      <c r="I292" s="566">
        <v>1769960093</v>
      </c>
    </row>
    <row r="293" spans="1:9" ht="16" x14ac:dyDescent="0.2">
      <c r="A293" s="567">
        <v>46033</v>
      </c>
      <c r="B293" s="568">
        <v>2026</v>
      </c>
      <c r="C293" s="569">
        <v>1</v>
      </c>
      <c r="D293" s="570">
        <v>2</v>
      </c>
      <c r="E293" s="570">
        <v>11</v>
      </c>
      <c r="F293" s="571" t="s">
        <v>206</v>
      </c>
      <c r="G293" s="569" t="s">
        <v>206</v>
      </c>
      <c r="H293" s="569" t="s">
        <v>212</v>
      </c>
      <c r="I293" s="572">
        <v>0</v>
      </c>
    </row>
    <row r="294" spans="1:9" ht="16" x14ac:dyDescent="0.2">
      <c r="A294" s="561">
        <v>46033</v>
      </c>
      <c r="B294" s="562">
        <v>2026</v>
      </c>
      <c r="C294" s="563">
        <v>1</v>
      </c>
      <c r="D294" s="564">
        <v>2</v>
      </c>
      <c r="E294" s="564">
        <v>11</v>
      </c>
      <c r="F294" s="565" t="s">
        <v>64</v>
      </c>
      <c r="G294" s="563" t="s">
        <v>209</v>
      </c>
      <c r="H294" s="563" t="s">
        <v>212</v>
      </c>
      <c r="I294" s="566">
        <v>35500000</v>
      </c>
    </row>
    <row r="295" spans="1:9" ht="16" x14ac:dyDescent="0.2">
      <c r="A295" s="567">
        <v>46033</v>
      </c>
      <c r="B295" s="568">
        <v>2026</v>
      </c>
      <c r="C295" s="569">
        <v>1</v>
      </c>
      <c r="D295" s="570">
        <v>2</v>
      </c>
      <c r="E295" s="570">
        <v>11</v>
      </c>
      <c r="F295" s="571" t="s">
        <v>237</v>
      </c>
      <c r="G295" s="569" t="s">
        <v>209</v>
      </c>
      <c r="H295" s="569" t="s">
        <v>212</v>
      </c>
      <c r="I295" s="572">
        <v>0</v>
      </c>
    </row>
    <row r="296" spans="1:9" ht="16" x14ac:dyDescent="0.2">
      <c r="A296" s="561">
        <v>46033</v>
      </c>
      <c r="B296" s="562">
        <v>2026</v>
      </c>
      <c r="C296" s="563">
        <v>1</v>
      </c>
      <c r="D296" s="564">
        <v>2</v>
      </c>
      <c r="E296" s="564">
        <v>11</v>
      </c>
      <c r="F296" s="565" t="s">
        <v>11</v>
      </c>
      <c r="G296" s="563" t="s">
        <v>11</v>
      </c>
      <c r="H296" s="563" t="s">
        <v>212</v>
      </c>
      <c r="I296" s="566">
        <v>16862060000</v>
      </c>
    </row>
    <row r="297" spans="1:9" ht="16" x14ac:dyDescent="0.2">
      <c r="A297" s="567">
        <v>46033</v>
      </c>
      <c r="B297" s="568">
        <v>2026</v>
      </c>
      <c r="C297" s="569">
        <v>1</v>
      </c>
      <c r="D297" s="570">
        <v>2</v>
      </c>
      <c r="E297" s="570">
        <v>11</v>
      </c>
      <c r="F297" s="571" t="s">
        <v>221</v>
      </c>
      <c r="G297" s="569" t="s">
        <v>207</v>
      </c>
      <c r="H297" s="569" t="s">
        <v>212</v>
      </c>
      <c r="I297" s="572">
        <v>0</v>
      </c>
    </row>
    <row r="298" spans="1:9" ht="16" x14ac:dyDescent="0.2">
      <c r="A298" s="561">
        <v>46033</v>
      </c>
      <c r="B298" s="562">
        <v>2026</v>
      </c>
      <c r="C298" s="563">
        <v>1</v>
      </c>
      <c r="D298" s="564">
        <v>2</v>
      </c>
      <c r="E298" s="564">
        <v>11</v>
      </c>
      <c r="F298" s="565" t="s">
        <v>222</v>
      </c>
      <c r="G298" s="563" t="s">
        <v>207</v>
      </c>
      <c r="H298" s="563" t="s">
        <v>212</v>
      </c>
      <c r="I298" s="566">
        <v>0</v>
      </c>
    </row>
    <row r="299" spans="1:9" ht="16" x14ac:dyDescent="0.2">
      <c r="A299" s="567">
        <v>46033</v>
      </c>
      <c r="B299" s="568">
        <v>2026</v>
      </c>
      <c r="C299" s="569">
        <v>1</v>
      </c>
      <c r="D299" s="570">
        <v>2</v>
      </c>
      <c r="E299" s="570">
        <v>11</v>
      </c>
      <c r="F299" s="571" t="s">
        <v>223</v>
      </c>
      <c r="G299" s="569" t="s">
        <v>207</v>
      </c>
      <c r="H299" s="569" t="s">
        <v>212</v>
      </c>
      <c r="I299" s="572">
        <v>0</v>
      </c>
    </row>
    <row r="300" spans="1:9" ht="16" x14ac:dyDescent="0.2">
      <c r="A300" s="561">
        <v>46033</v>
      </c>
      <c r="B300" s="562">
        <v>2026</v>
      </c>
      <c r="C300" s="563">
        <v>1</v>
      </c>
      <c r="D300" s="564">
        <v>2</v>
      </c>
      <c r="E300" s="564">
        <v>11</v>
      </c>
      <c r="F300" s="565" t="s">
        <v>219</v>
      </c>
      <c r="G300" s="563" t="s">
        <v>11</v>
      </c>
      <c r="H300" s="563" t="s">
        <v>212</v>
      </c>
      <c r="I300" s="566">
        <v>52000000</v>
      </c>
    </row>
    <row r="301" spans="1:9" ht="16" x14ac:dyDescent="0.2">
      <c r="A301" s="567">
        <v>46033</v>
      </c>
      <c r="B301" s="568">
        <v>2026</v>
      </c>
      <c r="C301" s="569">
        <v>1</v>
      </c>
      <c r="D301" s="570">
        <v>2</v>
      </c>
      <c r="E301" s="570">
        <v>11</v>
      </c>
      <c r="F301" s="571" t="s">
        <v>19</v>
      </c>
      <c r="G301" s="569" t="s">
        <v>19</v>
      </c>
      <c r="H301" s="569" t="s">
        <v>214</v>
      </c>
      <c r="I301" s="572">
        <v>10430424000</v>
      </c>
    </row>
    <row r="302" spans="1:9" ht="16" x14ac:dyDescent="0.2">
      <c r="A302" s="561">
        <v>46033</v>
      </c>
      <c r="B302" s="562">
        <v>2026</v>
      </c>
      <c r="C302" s="563">
        <v>1</v>
      </c>
      <c r="D302" s="564">
        <v>2</v>
      </c>
      <c r="E302" s="564">
        <v>11</v>
      </c>
      <c r="F302" s="565" t="s">
        <v>62</v>
      </c>
      <c r="G302" s="563" t="s">
        <v>62</v>
      </c>
      <c r="H302" s="563" t="s">
        <v>216</v>
      </c>
      <c r="I302" s="566">
        <v>235834390</v>
      </c>
    </row>
    <row r="303" spans="1:9" ht="16" x14ac:dyDescent="0.2">
      <c r="A303" s="567">
        <v>46033</v>
      </c>
      <c r="B303" s="568">
        <v>2026</v>
      </c>
      <c r="C303" s="569">
        <v>1</v>
      </c>
      <c r="D303" s="570">
        <v>2</v>
      </c>
      <c r="E303" s="570">
        <v>11</v>
      </c>
      <c r="F303" s="571" t="s">
        <v>58</v>
      </c>
      <c r="G303" s="569" t="s">
        <v>58</v>
      </c>
      <c r="H303" s="569" t="s">
        <v>212</v>
      </c>
      <c r="I303" s="572">
        <v>0</v>
      </c>
    </row>
    <row r="304" spans="1:9" ht="16" x14ac:dyDescent="0.2">
      <c r="A304" s="561">
        <v>46033</v>
      </c>
      <c r="B304" s="562">
        <v>2026</v>
      </c>
      <c r="C304" s="563">
        <v>1</v>
      </c>
      <c r="D304" s="564">
        <v>2</v>
      </c>
      <c r="E304" s="564">
        <v>11</v>
      </c>
      <c r="F304" s="565" t="s">
        <v>61</v>
      </c>
      <c r="G304" s="563" t="s">
        <v>61</v>
      </c>
      <c r="H304" s="563" t="s">
        <v>214</v>
      </c>
      <c r="I304" s="566">
        <v>61000000</v>
      </c>
    </row>
    <row r="305" spans="1:9" ht="16" x14ac:dyDescent="0.2">
      <c r="A305" s="567">
        <v>46033</v>
      </c>
      <c r="B305" s="568">
        <v>2026</v>
      </c>
      <c r="C305" s="569">
        <v>1</v>
      </c>
      <c r="D305" s="570">
        <v>2</v>
      </c>
      <c r="E305" s="570">
        <v>11</v>
      </c>
      <c r="F305" s="571" t="s">
        <v>57</v>
      </c>
      <c r="G305" s="569" t="s">
        <v>57</v>
      </c>
      <c r="H305" s="569" t="s">
        <v>212</v>
      </c>
      <c r="I305" s="572">
        <v>866630000</v>
      </c>
    </row>
    <row r="306" spans="1:9" ht="16" x14ac:dyDescent="0.2">
      <c r="A306" s="561">
        <v>46033</v>
      </c>
      <c r="B306" s="562">
        <v>2026</v>
      </c>
      <c r="C306" s="563">
        <v>1</v>
      </c>
      <c r="D306" s="564">
        <v>2</v>
      </c>
      <c r="E306" s="564">
        <v>11</v>
      </c>
      <c r="F306" s="565" t="s">
        <v>63</v>
      </c>
      <c r="G306" s="563" t="s">
        <v>63</v>
      </c>
      <c r="H306" s="563" t="s">
        <v>214</v>
      </c>
      <c r="I306" s="566">
        <v>349272000</v>
      </c>
    </row>
    <row r="307" spans="1:9" ht="16" x14ac:dyDescent="0.2">
      <c r="A307" s="567">
        <v>46033</v>
      </c>
      <c r="B307" s="568">
        <v>2026</v>
      </c>
      <c r="C307" s="569">
        <v>1</v>
      </c>
      <c r="D307" s="570">
        <v>2</v>
      </c>
      <c r="E307" s="570">
        <v>11</v>
      </c>
      <c r="F307" s="571" t="s">
        <v>59</v>
      </c>
      <c r="G307" s="569" t="s">
        <v>59</v>
      </c>
      <c r="H307" s="569" t="s">
        <v>216</v>
      </c>
      <c r="I307" s="572">
        <v>327498267</v>
      </c>
    </row>
    <row r="308" spans="1:9" ht="16" x14ac:dyDescent="0.2">
      <c r="A308" s="561">
        <v>46033</v>
      </c>
      <c r="B308" s="562">
        <v>2026</v>
      </c>
      <c r="C308" s="563">
        <v>1</v>
      </c>
      <c r="D308" s="564">
        <v>2</v>
      </c>
      <c r="E308" s="564">
        <v>11</v>
      </c>
      <c r="F308" s="565" t="s">
        <v>31</v>
      </c>
      <c r="G308" s="563" t="s">
        <v>175</v>
      </c>
      <c r="H308" s="563" t="s">
        <v>212</v>
      </c>
      <c r="I308" s="566">
        <v>2842020000</v>
      </c>
    </row>
    <row r="309" spans="1:9" ht="16" x14ac:dyDescent="0.2">
      <c r="A309" s="567">
        <v>46033</v>
      </c>
      <c r="B309" s="568">
        <v>2026</v>
      </c>
      <c r="C309" s="569">
        <v>1</v>
      </c>
      <c r="D309" s="570">
        <v>2</v>
      </c>
      <c r="E309" s="570">
        <v>11</v>
      </c>
      <c r="F309" s="571" t="s">
        <v>234</v>
      </c>
      <c r="G309" s="569" t="s">
        <v>210</v>
      </c>
      <c r="H309" s="569" t="s">
        <v>214</v>
      </c>
      <c r="I309" s="572">
        <v>0</v>
      </c>
    </row>
    <row r="310" spans="1:9" ht="16" x14ac:dyDescent="0.2">
      <c r="A310" s="561">
        <v>46034</v>
      </c>
      <c r="B310" s="562">
        <v>2026</v>
      </c>
      <c r="C310" s="563">
        <v>1</v>
      </c>
      <c r="D310" s="564">
        <v>3</v>
      </c>
      <c r="E310" s="564">
        <v>12</v>
      </c>
      <c r="F310" s="565" t="s">
        <v>65</v>
      </c>
      <c r="G310" s="563" t="s">
        <v>65</v>
      </c>
      <c r="H310" s="563" t="s">
        <v>212</v>
      </c>
      <c r="I310" s="566">
        <v>637250000</v>
      </c>
    </row>
    <row r="311" spans="1:9" ht="16" x14ac:dyDescent="0.2">
      <c r="A311" s="567">
        <v>46034</v>
      </c>
      <c r="B311" s="568">
        <v>2026</v>
      </c>
      <c r="C311" s="569">
        <v>1</v>
      </c>
      <c r="D311" s="570">
        <v>3</v>
      </c>
      <c r="E311" s="570">
        <v>12</v>
      </c>
      <c r="F311" s="571" t="s">
        <v>66</v>
      </c>
      <c r="G311" s="569" t="s">
        <v>66</v>
      </c>
      <c r="H311" s="569" t="s">
        <v>216</v>
      </c>
      <c r="I311" s="572">
        <v>309805537</v>
      </c>
    </row>
    <row r="312" spans="1:9" ht="16" x14ac:dyDescent="0.2">
      <c r="A312" s="561">
        <v>46034</v>
      </c>
      <c r="B312" s="562">
        <v>2026</v>
      </c>
      <c r="C312" s="563">
        <v>1</v>
      </c>
      <c r="D312" s="564">
        <v>3</v>
      </c>
      <c r="E312" s="564">
        <v>12</v>
      </c>
      <c r="F312" s="565" t="s">
        <v>24</v>
      </c>
      <c r="G312" s="563" t="s">
        <v>24</v>
      </c>
      <c r="H312" s="563" t="s">
        <v>212</v>
      </c>
      <c r="I312" s="566">
        <v>16260670000</v>
      </c>
    </row>
    <row r="313" spans="1:9" ht="16" x14ac:dyDescent="0.2">
      <c r="A313" s="567">
        <v>46034</v>
      </c>
      <c r="B313" s="568">
        <v>2026</v>
      </c>
      <c r="C313" s="569">
        <v>1</v>
      </c>
      <c r="D313" s="570">
        <v>3</v>
      </c>
      <c r="E313" s="570">
        <v>12</v>
      </c>
      <c r="F313" s="571" t="s">
        <v>67</v>
      </c>
      <c r="G313" s="569" t="s">
        <v>67</v>
      </c>
      <c r="H313" s="569" t="s">
        <v>213</v>
      </c>
      <c r="I313" s="572">
        <v>1839205761</v>
      </c>
    </row>
    <row r="314" spans="1:9" ht="16" x14ac:dyDescent="0.2">
      <c r="A314" s="561">
        <v>46034</v>
      </c>
      <c r="B314" s="562">
        <v>2026</v>
      </c>
      <c r="C314" s="563">
        <v>1</v>
      </c>
      <c r="D314" s="564">
        <v>3</v>
      </c>
      <c r="E314" s="564">
        <v>12</v>
      </c>
      <c r="F314" s="565" t="s">
        <v>28</v>
      </c>
      <c r="G314" s="563" t="s">
        <v>28</v>
      </c>
      <c r="H314" s="563" t="s">
        <v>214</v>
      </c>
      <c r="I314" s="566">
        <v>14468652000</v>
      </c>
    </row>
    <row r="315" spans="1:9" ht="16" x14ac:dyDescent="0.2">
      <c r="A315" s="567">
        <v>46034</v>
      </c>
      <c r="B315" s="568">
        <v>2026</v>
      </c>
      <c r="C315" s="569">
        <v>1</v>
      </c>
      <c r="D315" s="570">
        <v>3</v>
      </c>
      <c r="E315" s="570">
        <v>12</v>
      </c>
      <c r="F315" s="571" t="s">
        <v>208</v>
      </c>
      <c r="G315" s="569" t="s">
        <v>208</v>
      </c>
      <c r="H315" s="569" t="s">
        <v>216</v>
      </c>
      <c r="I315" s="572">
        <v>13738226</v>
      </c>
    </row>
    <row r="316" spans="1:9" ht="16" x14ac:dyDescent="0.2">
      <c r="A316" s="561">
        <v>46034</v>
      </c>
      <c r="B316" s="562">
        <v>2026</v>
      </c>
      <c r="C316" s="563">
        <v>1</v>
      </c>
      <c r="D316" s="564">
        <v>3</v>
      </c>
      <c r="E316" s="564">
        <v>12</v>
      </c>
      <c r="F316" s="565" t="s">
        <v>60</v>
      </c>
      <c r="G316" s="563" t="s">
        <v>60</v>
      </c>
      <c r="H316" s="563" t="s">
        <v>212</v>
      </c>
      <c r="I316" s="566">
        <v>0</v>
      </c>
    </row>
    <row r="317" spans="1:9" ht="16" x14ac:dyDescent="0.2">
      <c r="A317" s="567">
        <v>46034</v>
      </c>
      <c r="B317" s="568">
        <v>2026</v>
      </c>
      <c r="C317" s="569">
        <v>1</v>
      </c>
      <c r="D317" s="570">
        <v>3</v>
      </c>
      <c r="E317" s="570">
        <v>12</v>
      </c>
      <c r="F317" s="571" t="s">
        <v>36</v>
      </c>
      <c r="G317" s="569" t="s">
        <v>36</v>
      </c>
      <c r="H317" s="569" t="s">
        <v>212</v>
      </c>
      <c r="I317" s="572">
        <v>5302640000</v>
      </c>
    </row>
    <row r="318" spans="1:9" ht="16" x14ac:dyDescent="0.2">
      <c r="A318" s="561">
        <v>46034</v>
      </c>
      <c r="B318" s="562">
        <v>2026</v>
      </c>
      <c r="C318" s="563">
        <v>1</v>
      </c>
      <c r="D318" s="564">
        <v>3</v>
      </c>
      <c r="E318" s="564">
        <v>12</v>
      </c>
      <c r="F318" s="565" t="s">
        <v>55</v>
      </c>
      <c r="G318" s="563" t="s">
        <v>36</v>
      </c>
      <c r="H318" s="563" t="s">
        <v>212</v>
      </c>
      <c r="I318" s="566">
        <v>1020810000</v>
      </c>
    </row>
    <row r="319" spans="1:9" ht="16" x14ac:dyDescent="0.2">
      <c r="A319" s="567">
        <v>46034</v>
      </c>
      <c r="B319" s="568">
        <v>2026</v>
      </c>
      <c r="C319" s="569">
        <v>1</v>
      </c>
      <c r="D319" s="570">
        <v>3</v>
      </c>
      <c r="E319" s="570">
        <v>12</v>
      </c>
      <c r="F319" s="571" t="s">
        <v>176</v>
      </c>
      <c r="G319" s="569" t="s">
        <v>176</v>
      </c>
      <c r="H319" s="569" t="s">
        <v>216</v>
      </c>
      <c r="I319" s="572">
        <v>7776033</v>
      </c>
    </row>
    <row r="320" spans="1:9" ht="16" x14ac:dyDescent="0.2">
      <c r="A320" s="561">
        <v>46034</v>
      </c>
      <c r="B320" s="562">
        <v>2026</v>
      </c>
      <c r="C320" s="563">
        <v>1</v>
      </c>
      <c r="D320" s="564">
        <v>3</v>
      </c>
      <c r="E320" s="564">
        <v>12</v>
      </c>
      <c r="F320" s="565" t="s">
        <v>39</v>
      </c>
      <c r="G320" s="563" t="s">
        <v>176</v>
      </c>
      <c r="H320" s="563" t="s">
        <v>216</v>
      </c>
      <c r="I320" s="566">
        <v>1234948962</v>
      </c>
    </row>
    <row r="321" spans="1:9" ht="16" x14ac:dyDescent="0.2">
      <c r="A321" s="567">
        <v>46034</v>
      </c>
      <c r="B321" s="568">
        <v>2026</v>
      </c>
      <c r="C321" s="569">
        <v>1</v>
      </c>
      <c r="D321" s="570">
        <v>3</v>
      </c>
      <c r="E321" s="570">
        <v>12</v>
      </c>
      <c r="F321" s="571" t="s">
        <v>206</v>
      </c>
      <c r="G321" s="569" t="s">
        <v>206</v>
      </c>
      <c r="H321" s="569" t="s">
        <v>212</v>
      </c>
      <c r="I321" s="572">
        <v>0</v>
      </c>
    </row>
    <row r="322" spans="1:9" ht="16" x14ac:dyDescent="0.2">
      <c r="A322" s="561">
        <v>46034</v>
      </c>
      <c r="B322" s="562">
        <v>2026</v>
      </c>
      <c r="C322" s="563">
        <v>1</v>
      </c>
      <c r="D322" s="564">
        <v>3</v>
      </c>
      <c r="E322" s="564">
        <v>12</v>
      </c>
      <c r="F322" s="565" t="s">
        <v>64</v>
      </c>
      <c r="G322" s="563" t="s">
        <v>209</v>
      </c>
      <c r="H322" s="563" t="s">
        <v>212</v>
      </c>
      <c r="I322" s="566">
        <v>206350000</v>
      </c>
    </row>
    <row r="323" spans="1:9" ht="16" x14ac:dyDescent="0.2">
      <c r="A323" s="567">
        <v>46034</v>
      </c>
      <c r="B323" s="568">
        <v>2026</v>
      </c>
      <c r="C323" s="569">
        <v>1</v>
      </c>
      <c r="D323" s="570">
        <v>3</v>
      </c>
      <c r="E323" s="570">
        <v>12</v>
      </c>
      <c r="F323" s="571" t="s">
        <v>237</v>
      </c>
      <c r="G323" s="569" t="s">
        <v>209</v>
      </c>
      <c r="H323" s="569" t="s">
        <v>212</v>
      </c>
      <c r="I323" s="572">
        <v>92700000</v>
      </c>
    </row>
    <row r="324" spans="1:9" ht="16" x14ac:dyDescent="0.2">
      <c r="A324" s="561">
        <v>46034</v>
      </c>
      <c r="B324" s="562">
        <v>2026</v>
      </c>
      <c r="C324" s="563">
        <v>1</v>
      </c>
      <c r="D324" s="564">
        <v>3</v>
      </c>
      <c r="E324" s="564">
        <v>12</v>
      </c>
      <c r="F324" s="565" t="s">
        <v>11</v>
      </c>
      <c r="G324" s="563" t="s">
        <v>11</v>
      </c>
      <c r="H324" s="563" t="s">
        <v>212</v>
      </c>
      <c r="I324" s="566">
        <v>17873570000</v>
      </c>
    </row>
    <row r="325" spans="1:9" ht="16" x14ac:dyDescent="0.2">
      <c r="A325" s="567">
        <v>46034</v>
      </c>
      <c r="B325" s="568">
        <v>2026</v>
      </c>
      <c r="C325" s="569">
        <v>1</v>
      </c>
      <c r="D325" s="570">
        <v>3</v>
      </c>
      <c r="E325" s="570">
        <v>12</v>
      </c>
      <c r="F325" s="571" t="s">
        <v>221</v>
      </c>
      <c r="G325" s="569" t="s">
        <v>207</v>
      </c>
      <c r="H325" s="569" t="s">
        <v>212</v>
      </c>
      <c r="I325" s="572">
        <v>0</v>
      </c>
    </row>
    <row r="326" spans="1:9" ht="16" x14ac:dyDescent="0.2">
      <c r="A326" s="561">
        <v>46034</v>
      </c>
      <c r="B326" s="562">
        <v>2026</v>
      </c>
      <c r="C326" s="563">
        <v>1</v>
      </c>
      <c r="D326" s="564">
        <v>3</v>
      </c>
      <c r="E326" s="564">
        <v>12</v>
      </c>
      <c r="F326" s="565" t="s">
        <v>222</v>
      </c>
      <c r="G326" s="563" t="s">
        <v>207</v>
      </c>
      <c r="H326" s="563" t="s">
        <v>212</v>
      </c>
      <c r="I326" s="566">
        <v>0</v>
      </c>
    </row>
    <row r="327" spans="1:9" ht="16" x14ac:dyDescent="0.2">
      <c r="A327" s="567">
        <v>46034</v>
      </c>
      <c r="B327" s="568">
        <v>2026</v>
      </c>
      <c r="C327" s="569">
        <v>1</v>
      </c>
      <c r="D327" s="570">
        <v>3</v>
      </c>
      <c r="E327" s="570">
        <v>12</v>
      </c>
      <c r="F327" s="571" t="s">
        <v>223</v>
      </c>
      <c r="G327" s="569" t="s">
        <v>207</v>
      </c>
      <c r="H327" s="569" t="s">
        <v>212</v>
      </c>
      <c r="I327" s="572">
        <v>0</v>
      </c>
    </row>
    <row r="328" spans="1:9" ht="16" x14ac:dyDescent="0.2">
      <c r="A328" s="561">
        <v>46034</v>
      </c>
      <c r="B328" s="562">
        <v>2026</v>
      </c>
      <c r="C328" s="563">
        <v>1</v>
      </c>
      <c r="D328" s="564">
        <v>3</v>
      </c>
      <c r="E328" s="564">
        <v>12</v>
      </c>
      <c r="F328" s="565" t="s">
        <v>219</v>
      </c>
      <c r="G328" s="563" t="s">
        <v>11</v>
      </c>
      <c r="H328" s="563" t="s">
        <v>212</v>
      </c>
      <c r="I328" s="566">
        <v>15000000</v>
      </c>
    </row>
    <row r="329" spans="1:9" ht="16" x14ac:dyDescent="0.2">
      <c r="A329" s="567">
        <v>46034</v>
      </c>
      <c r="B329" s="568">
        <v>2026</v>
      </c>
      <c r="C329" s="569">
        <v>1</v>
      </c>
      <c r="D329" s="570">
        <v>3</v>
      </c>
      <c r="E329" s="570">
        <v>12</v>
      </c>
      <c r="F329" s="571" t="s">
        <v>19</v>
      </c>
      <c r="G329" s="569" t="s">
        <v>19</v>
      </c>
      <c r="H329" s="569" t="s">
        <v>214</v>
      </c>
      <c r="I329" s="572">
        <v>12377988000</v>
      </c>
    </row>
    <row r="330" spans="1:9" ht="16" x14ac:dyDescent="0.2">
      <c r="A330" s="561">
        <v>46034</v>
      </c>
      <c r="B330" s="562">
        <v>2026</v>
      </c>
      <c r="C330" s="563">
        <v>1</v>
      </c>
      <c r="D330" s="564">
        <v>3</v>
      </c>
      <c r="E330" s="564">
        <v>12</v>
      </c>
      <c r="F330" s="565" t="s">
        <v>62</v>
      </c>
      <c r="G330" s="563" t="s">
        <v>62</v>
      </c>
      <c r="H330" s="563" t="s">
        <v>216</v>
      </c>
      <c r="I330" s="566">
        <v>176669832</v>
      </c>
    </row>
    <row r="331" spans="1:9" ht="16" x14ac:dyDescent="0.2">
      <c r="A331" s="567">
        <v>46034</v>
      </c>
      <c r="B331" s="568">
        <v>2026</v>
      </c>
      <c r="C331" s="569">
        <v>1</v>
      </c>
      <c r="D331" s="570">
        <v>3</v>
      </c>
      <c r="E331" s="570">
        <v>12</v>
      </c>
      <c r="F331" s="571" t="s">
        <v>58</v>
      </c>
      <c r="G331" s="569" t="s">
        <v>58</v>
      </c>
      <c r="H331" s="569" t="s">
        <v>212</v>
      </c>
      <c r="I331" s="572">
        <v>10500000</v>
      </c>
    </row>
    <row r="332" spans="1:9" ht="16" x14ac:dyDescent="0.2">
      <c r="A332" s="561">
        <v>46034</v>
      </c>
      <c r="B332" s="562">
        <v>2026</v>
      </c>
      <c r="C332" s="563">
        <v>1</v>
      </c>
      <c r="D332" s="564">
        <v>3</v>
      </c>
      <c r="E332" s="564">
        <v>12</v>
      </c>
      <c r="F332" s="565" t="s">
        <v>61</v>
      </c>
      <c r="G332" s="563" t="s">
        <v>61</v>
      </c>
      <c r="H332" s="563" t="s">
        <v>214</v>
      </c>
      <c r="I332" s="566">
        <v>61000000</v>
      </c>
    </row>
    <row r="333" spans="1:9" ht="16" x14ac:dyDescent="0.2">
      <c r="A333" s="567">
        <v>46034</v>
      </c>
      <c r="B333" s="568">
        <v>2026</v>
      </c>
      <c r="C333" s="569">
        <v>1</v>
      </c>
      <c r="D333" s="570">
        <v>3</v>
      </c>
      <c r="E333" s="570">
        <v>12</v>
      </c>
      <c r="F333" s="571" t="s">
        <v>57</v>
      </c>
      <c r="G333" s="569" t="s">
        <v>57</v>
      </c>
      <c r="H333" s="569" t="s">
        <v>212</v>
      </c>
      <c r="I333" s="572">
        <v>784820000</v>
      </c>
    </row>
    <row r="334" spans="1:9" ht="16" x14ac:dyDescent="0.2">
      <c r="A334" s="561">
        <v>46034</v>
      </c>
      <c r="B334" s="562">
        <v>2026</v>
      </c>
      <c r="C334" s="563">
        <v>1</v>
      </c>
      <c r="D334" s="564">
        <v>3</v>
      </c>
      <c r="E334" s="564">
        <v>12</v>
      </c>
      <c r="F334" s="565" t="s">
        <v>63</v>
      </c>
      <c r="G334" s="563" t="s">
        <v>63</v>
      </c>
      <c r="H334" s="563" t="s">
        <v>214</v>
      </c>
      <c r="I334" s="566">
        <v>260172000</v>
      </c>
    </row>
    <row r="335" spans="1:9" ht="16" x14ac:dyDescent="0.2">
      <c r="A335" s="567">
        <v>46034</v>
      </c>
      <c r="B335" s="568">
        <v>2026</v>
      </c>
      <c r="C335" s="569">
        <v>1</v>
      </c>
      <c r="D335" s="570">
        <v>3</v>
      </c>
      <c r="E335" s="570">
        <v>12</v>
      </c>
      <c r="F335" s="571" t="s">
        <v>59</v>
      </c>
      <c r="G335" s="569" t="s">
        <v>59</v>
      </c>
      <c r="H335" s="569" t="s">
        <v>216</v>
      </c>
      <c r="I335" s="572">
        <v>435769568</v>
      </c>
    </row>
    <row r="336" spans="1:9" ht="16" x14ac:dyDescent="0.2">
      <c r="A336" s="561">
        <v>46034</v>
      </c>
      <c r="B336" s="562">
        <v>2026</v>
      </c>
      <c r="C336" s="563">
        <v>1</v>
      </c>
      <c r="D336" s="564">
        <v>3</v>
      </c>
      <c r="E336" s="564">
        <v>12</v>
      </c>
      <c r="F336" s="565" t="s">
        <v>31</v>
      </c>
      <c r="G336" s="563" t="s">
        <v>175</v>
      </c>
      <c r="H336" s="563" t="s">
        <v>212</v>
      </c>
      <c r="I336" s="566">
        <v>3446350000</v>
      </c>
    </row>
    <row r="337" spans="1:9" ht="16" x14ac:dyDescent="0.2">
      <c r="A337" s="567">
        <v>46034</v>
      </c>
      <c r="B337" s="568">
        <v>2026</v>
      </c>
      <c r="C337" s="569">
        <v>1</v>
      </c>
      <c r="D337" s="570">
        <v>3</v>
      </c>
      <c r="E337" s="570">
        <v>12</v>
      </c>
      <c r="F337" s="571" t="s">
        <v>234</v>
      </c>
      <c r="G337" s="569" t="s">
        <v>210</v>
      </c>
      <c r="H337" s="569" t="s">
        <v>214</v>
      </c>
      <c r="I337" s="572">
        <v>0</v>
      </c>
    </row>
    <row r="338" spans="1:9" ht="16" x14ac:dyDescent="0.2">
      <c r="A338" s="561">
        <v>46035</v>
      </c>
      <c r="B338" s="562">
        <v>2026</v>
      </c>
      <c r="C338" s="563">
        <v>1</v>
      </c>
      <c r="D338" s="564">
        <v>3</v>
      </c>
      <c r="E338" s="564">
        <v>13</v>
      </c>
      <c r="F338" s="565" t="s">
        <v>65</v>
      </c>
      <c r="G338" s="563" t="s">
        <v>65</v>
      </c>
      <c r="H338" s="563" t="s">
        <v>212</v>
      </c>
      <c r="I338" s="566">
        <v>524700000</v>
      </c>
    </row>
    <row r="339" spans="1:9" ht="16" x14ac:dyDescent="0.2">
      <c r="A339" s="567">
        <v>46035</v>
      </c>
      <c r="B339" s="568">
        <v>2026</v>
      </c>
      <c r="C339" s="569">
        <v>1</v>
      </c>
      <c r="D339" s="570">
        <v>3</v>
      </c>
      <c r="E339" s="570">
        <v>13</v>
      </c>
      <c r="F339" s="571" t="s">
        <v>66</v>
      </c>
      <c r="G339" s="569" t="s">
        <v>66</v>
      </c>
      <c r="H339" s="569" t="s">
        <v>216</v>
      </c>
      <c r="I339" s="572">
        <v>336997174</v>
      </c>
    </row>
    <row r="340" spans="1:9" ht="16" x14ac:dyDescent="0.2">
      <c r="A340" s="561">
        <v>46035</v>
      </c>
      <c r="B340" s="562">
        <v>2026</v>
      </c>
      <c r="C340" s="563">
        <v>1</v>
      </c>
      <c r="D340" s="564">
        <v>3</v>
      </c>
      <c r="E340" s="564">
        <v>13</v>
      </c>
      <c r="F340" s="565" t="s">
        <v>24</v>
      </c>
      <c r="G340" s="563" t="s">
        <v>24</v>
      </c>
      <c r="H340" s="563" t="s">
        <v>212</v>
      </c>
      <c r="I340" s="566">
        <v>15261150000</v>
      </c>
    </row>
    <row r="341" spans="1:9" ht="16" x14ac:dyDescent="0.2">
      <c r="A341" s="567">
        <v>46035</v>
      </c>
      <c r="B341" s="568">
        <v>2026</v>
      </c>
      <c r="C341" s="569">
        <v>1</v>
      </c>
      <c r="D341" s="570">
        <v>3</v>
      </c>
      <c r="E341" s="570">
        <v>13</v>
      </c>
      <c r="F341" s="571" t="s">
        <v>67</v>
      </c>
      <c r="G341" s="569" t="s">
        <v>67</v>
      </c>
      <c r="H341" s="569" t="s">
        <v>213</v>
      </c>
      <c r="I341" s="572">
        <v>1824584635</v>
      </c>
    </row>
    <row r="342" spans="1:9" ht="16" x14ac:dyDescent="0.2">
      <c r="A342" s="561">
        <v>46035</v>
      </c>
      <c r="B342" s="562">
        <v>2026</v>
      </c>
      <c r="C342" s="563">
        <v>1</v>
      </c>
      <c r="D342" s="564">
        <v>3</v>
      </c>
      <c r="E342" s="564">
        <v>13</v>
      </c>
      <c r="F342" s="565" t="s">
        <v>28</v>
      </c>
      <c r="G342" s="563" t="s">
        <v>28</v>
      </c>
      <c r="H342" s="563" t="s">
        <v>214</v>
      </c>
      <c r="I342" s="566">
        <v>14995152000</v>
      </c>
    </row>
    <row r="343" spans="1:9" ht="16" x14ac:dyDescent="0.2">
      <c r="A343" s="567">
        <v>46035</v>
      </c>
      <c r="B343" s="568">
        <v>2026</v>
      </c>
      <c r="C343" s="569">
        <v>1</v>
      </c>
      <c r="D343" s="570">
        <v>3</v>
      </c>
      <c r="E343" s="570">
        <v>13</v>
      </c>
      <c r="F343" s="571" t="s">
        <v>208</v>
      </c>
      <c r="G343" s="569" t="s">
        <v>208</v>
      </c>
      <c r="H343" s="569" t="s">
        <v>216</v>
      </c>
      <c r="I343" s="572">
        <v>7889637</v>
      </c>
    </row>
    <row r="344" spans="1:9" ht="16" x14ac:dyDescent="0.2">
      <c r="A344" s="561">
        <v>46035</v>
      </c>
      <c r="B344" s="562">
        <v>2026</v>
      </c>
      <c r="C344" s="563">
        <v>1</v>
      </c>
      <c r="D344" s="564">
        <v>3</v>
      </c>
      <c r="E344" s="564">
        <v>13</v>
      </c>
      <c r="F344" s="565" t="s">
        <v>60</v>
      </c>
      <c r="G344" s="563" t="s">
        <v>60</v>
      </c>
      <c r="H344" s="563" t="s">
        <v>212</v>
      </c>
      <c r="I344" s="566">
        <v>90000000</v>
      </c>
    </row>
    <row r="345" spans="1:9" ht="16" x14ac:dyDescent="0.2">
      <c r="A345" s="567">
        <v>46035</v>
      </c>
      <c r="B345" s="568">
        <v>2026</v>
      </c>
      <c r="C345" s="569">
        <v>1</v>
      </c>
      <c r="D345" s="570">
        <v>3</v>
      </c>
      <c r="E345" s="570">
        <v>13</v>
      </c>
      <c r="F345" s="571" t="s">
        <v>36</v>
      </c>
      <c r="G345" s="569" t="s">
        <v>36</v>
      </c>
      <c r="H345" s="569" t="s">
        <v>212</v>
      </c>
      <c r="I345" s="572">
        <v>5207490000</v>
      </c>
    </row>
    <row r="346" spans="1:9" ht="16" x14ac:dyDescent="0.2">
      <c r="A346" s="561">
        <v>46035</v>
      </c>
      <c r="B346" s="562">
        <v>2026</v>
      </c>
      <c r="C346" s="563">
        <v>1</v>
      </c>
      <c r="D346" s="564">
        <v>3</v>
      </c>
      <c r="E346" s="564">
        <v>13</v>
      </c>
      <c r="F346" s="565" t="s">
        <v>55</v>
      </c>
      <c r="G346" s="563" t="s">
        <v>36</v>
      </c>
      <c r="H346" s="563" t="s">
        <v>212</v>
      </c>
      <c r="I346" s="566">
        <v>1151770000</v>
      </c>
    </row>
    <row r="347" spans="1:9" ht="16" x14ac:dyDescent="0.2">
      <c r="A347" s="567">
        <v>46035</v>
      </c>
      <c r="B347" s="568">
        <v>2026</v>
      </c>
      <c r="C347" s="569">
        <v>1</v>
      </c>
      <c r="D347" s="570">
        <v>3</v>
      </c>
      <c r="E347" s="570">
        <v>13</v>
      </c>
      <c r="F347" s="571" t="s">
        <v>176</v>
      </c>
      <c r="G347" s="569" t="s">
        <v>176</v>
      </c>
      <c r="H347" s="569" t="s">
        <v>216</v>
      </c>
      <c r="I347" s="572">
        <v>614469</v>
      </c>
    </row>
    <row r="348" spans="1:9" ht="16" x14ac:dyDescent="0.2">
      <c r="A348" s="561">
        <v>46035</v>
      </c>
      <c r="B348" s="562">
        <v>2026</v>
      </c>
      <c r="C348" s="563">
        <v>1</v>
      </c>
      <c r="D348" s="564">
        <v>3</v>
      </c>
      <c r="E348" s="564">
        <v>13</v>
      </c>
      <c r="F348" s="565" t="s">
        <v>39</v>
      </c>
      <c r="G348" s="563" t="s">
        <v>176</v>
      </c>
      <c r="H348" s="563" t="s">
        <v>216</v>
      </c>
      <c r="I348" s="566">
        <v>1192411999</v>
      </c>
    </row>
    <row r="349" spans="1:9" ht="16" x14ac:dyDescent="0.2">
      <c r="A349" s="567">
        <v>46035</v>
      </c>
      <c r="B349" s="568">
        <v>2026</v>
      </c>
      <c r="C349" s="569">
        <v>1</v>
      </c>
      <c r="D349" s="570">
        <v>3</v>
      </c>
      <c r="E349" s="570">
        <v>13</v>
      </c>
      <c r="F349" s="571" t="s">
        <v>206</v>
      </c>
      <c r="G349" s="569" t="s">
        <v>206</v>
      </c>
      <c r="H349" s="569" t="s">
        <v>212</v>
      </c>
      <c r="I349" s="572">
        <v>0</v>
      </c>
    </row>
    <row r="350" spans="1:9" ht="16" x14ac:dyDescent="0.2">
      <c r="A350" s="561">
        <v>46035</v>
      </c>
      <c r="B350" s="562">
        <v>2026</v>
      </c>
      <c r="C350" s="563">
        <v>1</v>
      </c>
      <c r="D350" s="564">
        <v>3</v>
      </c>
      <c r="E350" s="564">
        <v>13</v>
      </c>
      <c r="F350" s="565" t="s">
        <v>64</v>
      </c>
      <c r="G350" s="563" t="s">
        <v>209</v>
      </c>
      <c r="H350" s="563" t="s">
        <v>212</v>
      </c>
      <c r="I350" s="566">
        <v>118250000</v>
      </c>
    </row>
    <row r="351" spans="1:9" ht="16" x14ac:dyDescent="0.2">
      <c r="A351" s="567">
        <v>46035</v>
      </c>
      <c r="B351" s="568">
        <v>2026</v>
      </c>
      <c r="C351" s="569">
        <v>1</v>
      </c>
      <c r="D351" s="570">
        <v>3</v>
      </c>
      <c r="E351" s="570">
        <v>13</v>
      </c>
      <c r="F351" s="571" t="s">
        <v>237</v>
      </c>
      <c r="G351" s="569" t="s">
        <v>209</v>
      </c>
      <c r="H351" s="569" t="s">
        <v>212</v>
      </c>
      <c r="I351" s="572">
        <v>0</v>
      </c>
    </row>
    <row r="352" spans="1:9" ht="16" x14ac:dyDescent="0.2">
      <c r="A352" s="561">
        <v>46035</v>
      </c>
      <c r="B352" s="562">
        <v>2026</v>
      </c>
      <c r="C352" s="563">
        <v>1</v>
      </c>
      <c r="D352" s="564">
        <v>3</v>
      </c>
      <c r="E352" s="564">
        <v>13</v>
      </c>
      <c r="F352" s="565" t="s">
        <v>11</v>
      </c>
      <c r="G352" s="563" t="s">
        <v>11</v>
      </c>
      <c r="H352" s="563" t="s">
        <v>212</v>
      </c>
      <c r="I352" s="566">
        <v>17560120000</v>
      </c>
    </row>
    <row r="353" spans="1:9" ht="16" x14ac:dyDescent="0.2">
      <c r="A353" s="567">
        <v>46035</v>
      </c>
      <c r="B353" s="568">
        <v>2026</v>
      </c>
      <c r="C353" s="569">
        <v>1</v>
      </c>
      <c r="D353" s="570">
        <v>3</v>
      </c>
      <c r="E353" s="570">
        <v>13</v>
      </c>
      <c r="F353" s="571" t="s">
        <v>221</v>
      </c>
      <c r="G353" s="569" t="s">
        <v>207</v>
      </c>
      <c r="H353" s="569" t="s">
        <v>212</v>
      </c>
      <c r="I353" s="572">
        <v>0</v>
      </c>
    </row>
    <row r="354" spans="1:9" ht="16" x14ac:dyDescent="0.2">
      <c r="A354" s="561">
        <v>46035</v>
      </c>
      <c r="B354" s="562">
        <v>2026</v>
      </c>
      <c r="C354" s="563">
        <v>1</v>
      </c>
      <c r="D354" s="564">
        <v>3</v>
      </c>
      <c r="E354" s="564">
        <v>13</v>
      </c>
      <c r="F354" s="565" t="s">
        <v>222</v>
      </c>
      <c r="G354" s="563" t="s">
        <v>207</v>
      </c>
      <c r="H354" s="563" t="s">
        <v>212</v>
      </c>
      <c r="I354" s="566">
        <v>0</v>
      </c>
    </row>
    <row r="355" spans="1:9" ht="16" x14ac:dyDescent="0.2">
      <c r="A355" s="567">
        <v>46035</v>
      </c>
      <c r="B355" s="568">
        <v>2026</v>
      </c>
      <c r="C355" s="569">
        <v>1</v>
      </c>
      <c r="D355" s="570">
        <v>3</v>
      </c>
      <c r="E355" s="570">
        <v>13</v>
      </c>
      <c r="F355" s="571" t="s">
        <v>223</v>
      </c>
      <c r="G355" s="569" t="s">
        <v>207</v>
      </c>
      <c r="H355" s="569" t="s">
        <v>212</v>
      </c>
      <c r="I355" s="572">
        <v>0</v>
      </c>
    </row>
    <row r="356" spans="1:9" ht="16" x14ac:dyDescent="0.2">
      <c r="A356" s="561">
        <v>46035</v>
      </c>
      <c r="B356" s="562">
        <v>2026</v>
      </c>
      <c r="C356" s="563">
        <v>1</v>
      </c>
      <c r="D356" s="564">
        <v>3</v>
      </c>
      <c r="E356" s="564">
        <v>13</v>
      </c>
      <c r="F356" s="565" t="s">
        <v>219</v>
      </c>
      <c r="G356" s="563" t="s">
        <v>11</v>
      </c>
      <c r="H356" s="563" t="s">
        <v>212</v>
      </c>
      <c r="I356" s="566">
        <v>0</v>
      </c>
    </row>
    <row r="357" spans="1:9" ht="16" x14ac:dyDescent="0.2">
      <c r="A357" s="567">
        <v>46035</v>
      </c>
      <c r="B357" s="568">
        <v>2026</v>
      </c>
      <c r="C357" s="569">
        <v>1</v>
      </c>
      <c r="D357" s="570">
        <v>3</v>
      </c>
      <c r="E357" s="570">
        <v>13</v>
      </c>
      <c r="F357" s="571" t="s">
        <v>19</v>
      </c>
      <c r="G357" s="569" t="s">
        <v>19</v>
      </c>
      <c r="H357" s="569" t="s">
        <v>214</v>
      </c>
      <c r="I357" s="572">
        <v>12590424000</v>
      </c>
    </row>
    <row r="358" spans="1:9" ht="16" x14ac:dyDescent="0.2">
      <c r="A358" s="561">
        <v>46035</v>
      </c>
      <c r="B358" s="562">
        <v>2026</v>
      </c>
      <c r="C358" s="563">
        <v>1</v>
      </c>
      <c r="D358" s="564">
        <v>3</v>
      </c>
      <c r="E358" s="564">
        <v>13</v>
      </c>
      <c r="F358" s="565" t="s">
        <v>62</v>
      </c>
      <c r="G358" s="563" t="s">
        <v>62</v>
      </c>
      <c r="H358" s="563" t="s">
        <v>216</v>
      </c>
      <c r="I358" s="566">
        <v>205436148</v>
      </c>
    </row>
    <row r="359" spans="1:9" ht="16" x14ac:dyDescent="0.2">
      <c r="A359" s="567">
        <v>46035</v>
      </c>
      <c r="B359" s="568">
        <v>2026</v>
      </c>
      <c r="C359" s="569">
        <v>1</v>
      </c>
      <c r="D359" s="570">
        <v>3</v>
      </c>
      <c r="E359" s="570">
        <v>13</v>
      </c>
      <c r="F359" s="571" t="s">
        <v>58</v>
      </c>
      <c r="G359" s="569" t="s">
        <v>58</v>
      </c>
      <c r="H359" s="569" t="s">
        <v>212</v>
      </c>
      <c r="I359" s="572">
        <v>0</v>
      </c>
    </row>
    <row r="360" spans="1:9" ht="16" x14ac:dyDescent="0.2">
      <c r="A360" s="561">
        <v>46035</v>
      </c>
      <c r="B360" s="562">
        <v>2026</v>
      </c>
      <c r="C360" s="563">
        <v>1</v>
      </c>
      <c r="D360" s="564">
        <v>3</v>
      </c>
      <c r="E360" s="564">
        <v>13</v>
      </c>
      <c r="F360" s="565" t="s">
        <v>61</v>
      </c>
      <c r="G360" s="563" t="s">
        <v>61</v>
      </c>
      <c r="H360" s="563" t="s">
        <v>214</v>
      </c>
      <c r="I360" s="566">
        <v>46000000</v>
      </c>
    </row>
    <row r="361" spans="1:9" ht="16" x14ac:dyDescent="0.2">
      <c r="A361" s="567">
        <v>46035</v>
      </c>
      <c r="B361" s="568">
        <v>2026</v>
      </c>
      <c r="C361" s="569">
        <v>1</v>
      </c>
      <c r="D361" s="570">
        <v>3</v>
      </c>
      <c r="E361" s="570">
        <v>13</v>
      </c>
      <c r="F361" s="571" t="s">
        <v>57</v>
      </c>
      <c r="G361" s="569" t="s">
        <v>57</v>
      </c>
      <c r="H361" s="569" t="s">
        <v>212</v>
      </c>
      <c r="I361" s="572">
        <v>819030000</v>
      </c>
    </row>
    <row r="362" spans="1:9" ht="16" x14ac:dyDescent="0.2">
      <c r="A362" s="561">
        <v>46035</v>
      </c>
      <c r="B362" s="562">
        <v>2026</v>
      </c>
      <c r="C362" s="563">
        <v>1</v>
      </c>
      <c r="D362" s="564">
        <v>3</v>
      </c>
      <c r="E362" s="564">
        <v>13</v>
      </c>
      <c r="F362" s="565" t="s">
        <v>63</v>
      </c>
      <c r="G362" s="563" t="s">
        <v>63</v>
      </c>
      <c r="H362" s="563" t="s">
        <v>214</v>
      </c>
      <c r="I362" s="566">
        <v>350136000</v>
      </c>
    </row>
    <row r="363" spans="1:9" ht="16" x14ac:dyDescent="0.2">
      <c r="A363" s="567">
        <v>46035</v>
      </c>
      <c r="B363" s="568">
        <v>2026</v>
      </c>
      <c r="C363" s="569">
        <v>1</v>
      </c>
      <c r="D363" s="570">
        <v>3</v>
      </c>
      <c r="E363" s="570">
        <v>13</v>
      </c>
      <c r="F363" s="571" t="s">
        <v>59</v>
      </c>
      <c r="G363" s="569" t="s">
        <v>59</v>
      </c>
      <c r="H363" s="569" t="s">
        <v>216</v>
      </c>
      <c r="I363" s="572">
        <v>316939614</v>
      </c>
    </row>
    <row r="364" spans="1:9" ht="16" x14ac:dyDescent="0.2">
      <c r="A364" s="561">
        <v>46035</v>
      </c>
      <c r="B364" s="562">
        <v>2026</v>
      </c>
      <c r="C364" s="563">
        <v>1</v>
      </c>
      <c r="D364" s="564">
        <v>3</v>
      </c>
      <c r="E364" s="564">
        <v>13</v>
      </c>
      <c r="F364" s="565" t="s">
        <v>31</v>
      </c>
      <c r="G364" s="563" t="s">
        <v>175</v>
      </c>
      <c r="H364" s="563" t="s">
        <v>212</v>
      </c>
      <c r="I364" s="566">
        <v>3638570000</v>
      </c>
    </row>
    <row r="365" spans="1:9" ht="16" x14ac:dyDescent="0.2">
      <c r="A365" s="567">
        <v>46035</v>
      </c>
      <c r="B365" s="568">
        <v>2026</v>
      </c>
      <c r="C365" s="569">
        <v>1</v>
      </c>
      <c r="D365" s="570">
        <v>3</v>
      </c>
      <c r="E365" s="570">
        <v>13</v>
      </c>
      <c r="F365" s="571" t="s">
        <v>234</v>
      </c>
      <c r="G365" s="569" t="s">
        <v>210</v>
      </c>
      <c r="H365" s="569" t="s">
        <v>214</v>
      </c>
      <c r="I365" s="572">
        <v>0</v>
      </c>
    </row>
    <row r="366" spans="1:9" ht="16" x14ac:dyDescent="0.2">
      <c r="A366" s="561">
        <v>46036</v>
      </c>
      <c r="B366" s="562">
        <v>2026</v>
      </c>
      <c r="C366" s="563">
        <v>1</v>
      </c>
      <c r="D366" s="564">
        <v>3</v>
      </c>
      <c r="E366" s="564">
        <v>14</v>
      </c>
      <c r="F366" s="565" t="s">
        <v>65</v>
      </c>
      <c r="G366" s="563" t="s">
        <v>65</v>
      </c>
      <c r="H366" s="563" t="s">
        <v>212</v>
      </c>
      <c r="I366" s="566">
        <v>859150000</v>
      </c>
    </row>
    <row r="367" spans="1:9" ht="16" x14ac:dyDescent="0.2">
      <c r="A367" s="567">
        <v>46036</v>
      </c>
      <c r="B367" s="568">
        <v>2026</v>
      </c>
      <c r="C367" s="569">
        <v>1</v>
      </c>
      <c r="D367" s="570">
        <v>3</v>
      </c>
      <c r="E367" s="570">
        <v>14</v>
      </c>
      <c r="F367" s="571" t="s">
        <v>66</v>
      </c>
      <c r="G367" s="569" t="s">
        <v>66</v>
      </c>
      <c r="H367" s="569" t="s">
        <v>216</v>
      </c>
      <c r="I367" s="572">
        <v>297146838</v>
      </c>
    </row>
    <row r="368" spans="1:9" ht="16" x14ac:dyDescent="0.2">
      <c r="A368" s="561">
        <v>46036</v>
      </c>
      <c r="B368" s="562">
        <v>2026</v>
      </c>
      <c r="C368" s="563">
        <v>1</v>
      </c>
      <c r="D368" s="564">
        <v>3</v>
      </c>
      <c r="E368" s="564">
        <v>14</v>
      </c>
      <c r="F368" s="565" t="s">
        <v>24</v>
      </c>
      <c r="G368" s="563" t="s">
        <v>24</v>
      </c>
      <c r="H368" s="563" t="s">
        <v>212</v>
      </c>
      <c r="I368" s="566">
        <v>16768100000</v>
      </c>
    </row>
    <row r="369" spans="1:9" ht="16" x14ac:dyDescent="0.2">
      <c r="A369" s="567">
        <v>46036</v>
      </c>
      <c r="B369" s="568">
        <v>2026</v>
      </c>
      <c r="C369" s="569">
        <v>1</v>
      </c>
      <c r="D369" s="570">
        <v>3</v>
      </c>
      <c r="E369" s="570">
        <v>14</v>
      </c>
      <c r="F369" s="571" t="s">
        <v>67</v>
      </c>
      <c r="G369" s="569" t="s">
        <v>67</v>
      </c>
      <c r="H369" s="569" t="s">
        <v>213</v>
      </c>
      <c r="I369" s="572">
        <v>1884180636</v>
      </c>
    </row>
    <row r="370" spans="1:9" ht="16" x14ac:dyDescent="0.2">
      <c r="A370" s="561">
        <v>46036</v>
      </c>
      <c r="B370" s="562">
        <v>2026</v>
      </c>
      <c r="C370" s="563">
        <v>1</v>
      </c>
      <c r="D370" s="564">
        <v>3</v>
      </c>
      <c r="E370" s="564">
        <v>14</v>
      </c>
      <c r="F370" s="565" t="s">
        <v>28</v>
      </c>
      <c r="G370" s="563" t="s">
        <v>28</v>
      </c>
      <c r="H370" s="563" t="s">
        <v>214</v>
      </c>
      <c r="I370" s="566">
        <v>15209532000</v>
      </c>
    </row>
    <row r="371" spans="1:9" ht="16" x14ac:dyDescent="0.2">
      <c r="A371" s="567">
        <v>46036</v>
      </c>
      <c r="B371" s="568">
        <v>2026</v>
      </c>
      <c r="C371" s="569">
        <v>1</v>
      </c>
      <c r="D371" s="570">
        <v>3</v>
      </c>
      <c r="E371" s="570">
        <v>14</v>
      </c>
      <c r="F371" s="571" t="s">
        <v>208</v>
      </c>
      <c r="G371" s="569" t="s">
        <v>208</v>
      </c>
      <c r="H371" s="569" t="s">
        <v>216</v>
      </c>
      <c r="I371" s="572">
        <v>18555585</v>
      </c>
    </row>
    <row r="372" spans="1:9" ht="16" x14ac:dyDescent="0.2">
      <c r="A372" s="561">
        <v>46036</v>
      </c>
      <c r="B372" s="562">
        <v>2026</v>
      </c>
      <c r="C372" s="563">
        <v>1</v>
      </c>
      <c r="D372" s="564">
        <v>3</v>
      </c>
      <c r="E372" s="564">
        <v>14</v>
      </c>
      <c r="F372" s="565" t="s">
        <v>60</v>
      </c>
      <c r="G372" s="563" t="s">
        <v>60</v>
      </c>
      <c r="H372" s="563" t="s">
        <v>212</v>
      </c>
      <c r="I372" s="566">
        <v>90000000</v>
      </c>
    </row>
    <row r="373" spans="1:9" ht="16" x14ac:dyDescent="0.2">
      <c r="A373" s="567">
        <v>46036</v>
      </c>
      <c r="B373" s="568">
        <v>2026</v>
      </c>
      <c r="C373" s="569">
        <v>1</v>
      </c>
      <c r="D373" s="570">
        <v>3</v>
      </c>
      <c r="E373" s="570">
        <v>14</v>
      </c>
      <c r="F373" s="571" t="s">
        <v>36</v>
      </c>
      <c r="G373" s="569" t="s">
        <v>36</v>
      </c>
      <c r="H373" s="569" t="s">
        <v>212</v>
      </c>
      <c r="I373" s="572">
        <v>4926400000</v>
      </c>
    </row>
    <row r="374" spans="1:9" ht="16" x14ac:dyDescent="0.2">
      <c r="A374" s="561">
        <v>46036</v>
      </c>
      <c r="B374" s="562">
        <v>2026</v>
      </c>
      <c r="C374" s="563">
        <v>1</v>
      </c>
      <c r="D374" s="564">
        <v>3</v>
      </c>
      <c r="E374" s="564">
        <v>14</v>
      </c>
      <c r="F374" s="565" t="s">
        <v>55</v>
      </c>
      <c r="G374" s="563" t="s">
        <v>36</v>
      </c>
      <c r="H374" s="563" t="s">
        <v>212</v>
      </c>
      <c r="I374" s="566">
        <v>806950000</v>
      </c>
    </row>
    <row r="375" spans="1:9" ht="16" x14ac:dyDescent="0.2">
      <c r="A375" s="567">
        <v>46036</v>
      </c>
      <c r="B375" s="568">
        <v>2026</v>
      </c>
      <c r="C375" s="569">
        <v>1</v>
      </c>
      <c r="D375" s="570">
        <v>3</v>
      </c>
      <c r="E375" s="570">
        <v>14</v>
      </c>
      <c r="F375" s="571" t="s">
        <v>176</v>
      </c>
      <c r="G375" s="569" t="s">
        <v>176</v>
      </c>
      <c r="H375" s="569" t="s">
        <v>216</v>
      </c>
      <c r="I375" s="572">
        <v>6735480</v>
      </c>
    </row>
    <row r="376" spans="1:9" ht="16" x14ac:dyDescent="0.2">
      <c r="A376" s="561">
        <v>46036</v>
      </c>
      <c r="B376" s="562">
        <v>2026</v>
      </c>
      <c r="C376" s="563">
        <v>1</v>
      </c>
      <c r="D376" s="564">
        <v>3</v>
      </c>
      <c r="E376" s="564">
        <v>14</v>
      </c>
      <c r="F376" s="565" t="s">
        <v>39</v>
      </c>
      <c r="G376" s="563" t="s">
        <v>176</v>
      </c>
      <c r="H376" s="563" t="s">
        <v>216</v>
      </c>
      <c r="I376" s="566">
        <v>1263613834</v>
      </c>
    </row>
    <row r="377" spans="1:9" ht="16" x14ac:dyDescent="0.2">
      <c r="A377" s="567">
        <v>46036</v>
      </c>
      <c r="B377" s="568">
        <v>2026</v>
      </c>
      <c r="C377" s="569">
        <v>1</v>
      </c>
      <c r="D377" s="570">
        <v>3</v>
      </c>
      <c r="E377" s="570">
        <v>14</v>
      </c>
      <c r="F377" s="571" t="s">
        <v>206</v>
      </c>
      <c r="G377" s="569" t="s">
        <v>206</v>
      </c>
      <c r="H377" s="569" t="s">
        <v>212</v>
      </c>
      <c r="I377" s="572">
        <v>0</v>
      </c>
    </row>
    <row r="378" spans="1:9" ht="16" x14ac:dyDescent="0.2">
      <c r="A378" s="561">
        <v>46036</v>
      </c>
      <c r="B378" s="562">
        <v>2026</v>
      </c>
      <c r="C378" s="563">
        <v>1</v>
      </c>
      <c r="D378" s="564">
        <v>3</v>
      </c>
      <c r="E378" s="564">
        <v>14</v>
      </c>
      <c r="F378" s="565" t="s">
        <v>64</v>
      </c>
      <c r="G378" s="563" t="s">
        <v>209</v>
      </c>
      <c r="H378" s="563" t="s">
        <v>212</v>
      </c>
      <c r="I378" s="566">
        <v>52500000</v>
      </c>
    </row>
    <row r="379" spans="1:9" ht="16" x14ac:dyDescent="0.2">
      <c r="A379" s="567">
        <v>46036</v>
      </c>
      <c r="B379" s="568">
        <v>2026</v>
      </c>
      <c r="C379" s="569">
        <v>1</v>
      </c>
      <c r="D379" s="570">
        <v>3</v>
      </c>
      <c r="E379" s="570">
        <v>14</v>
      </c>
      <c r="F379" s="571" t="s">
        <v>237</v>
      </c>
      <c r="G379" s="569" t="s">
        <v>209</v>
      </c>
      <c r="H379" s="569" t="s">
        <v>212</v>
      </c>
      <c r="I379" s="572">
        <v>0</v>
      </c>
    </row>
    <row r="380" spans="1:9" ht="16" x14ac:dyDescent="0.2">
      <c r="A380" s="561">
        <v>46036</v>
      </c>
      <c r="B380" s="562">
        <v>2026</v>
      </c>
      <c r="C380" s="563">
        <v>1</v>
      </c>
      <c r="D380" s="564">
        <v>3</v>
      </c>
      <c r="E380" s="564">
        <v>14</v>
      </c>
      <c r="F380" s="565" t="s">
        <v>11</v>
      </c>
      <c r="G380" s="563" t="s">
        <v>11</v>
      </c>
      <c r="H380" s="563" t="s">
        <v>212</v>
      </c>
      <c r="I380" s="566">
        <v>18837120000</v>
      </c>
    </row>
    <row r="381" spans="1:9" ht="16" x14ac:dyDescent="0.2">
      <c r="A381" s="567">
        <v>46036</v>
      </c>
      <c r="B381" s="568">
        <v>2026</v>
      </c>
      <c r="C381" s="569">
        <v>1</v>
      </c>
      <c r="D381" s="570">
        <v>3</v>
      </c>
      <c r="E381" s="570">
        <v>14</v>
      </c>
      <c r="F381" s="571" t="s">
        <v>221</v>
      </c>
      <c r="G381" s="569" t="s">
        <v>207</v>
      </c>
      <c r="H381" s="569" t="s">
        <v>212</v>
      </c>
      <c r="I381" s="572">
        <v>0</v>
      </c>
    </row>
    <row r="382" spans="1:9" ht="16" x14ac:dyDescent="0.2">
      <c r="A382" s="561">
        <v>46036</v>
      </c>
      <c r="B382" s="562">
        <v>2026</v>
      </c>
      <c r="C382" s="563">
        <v>1</v>
      </c>
      <c r="D382" s="564">
        <v>3</v>
      </c>
      <c r="E382" s="564">
        <v>14</v>
      </c>
      <c r="F382" s="565" t="s">
        <v>222</v>
      </c>
      <c r="G382" s="563" t="s">
        <v>207</v>
      </c>
      <c r="H382" s="563" t="s">
        <v>212</v>
      </c>
      <c r="I382" s="566">
        <v>0</v>
      </c>
    </row>
    <row r="383" spans="1:9" ht="16" x14ac:dyDescent="0.2">
      <c r="A383" s="567">
        <v>46036</v>
      </c>
      <c r="B383" s="568">
        <v>2026</v>
      </c>
      <c r="C383" s="569">
        <v>1</v>
      </c>
      <c r="D383" s="570">
        <v>3</v>
      </c>
      <c r="E383" s="570">
        <v>14</v>
      </c>
      <c r="F383" s="571" t="s">
        <v>223</v>
      </c>
      <c r="G383" s="569" t="s">
        <v>207</v>
      </c>
      <c r="H383" s="569" t="s">
        <v>212</v>
      </c>
      <c r="I383" s="572">
        <v>0</v>
      </c>
    </row>
    <row r="384" spans="1:9" ht="16" x14ac:dyDescent="0.2">
      <c r="A384" s="561">
        <v>46036</v>
      </c>
      <c r="B384" s="562">
        <v>2026</v>
      </c>
      <c r="C384" s="563">
        <v>1</v>
      </c>
      <c r="D384" s="564">
        <v>3</v>
      </c>
      <c r="E384" s="564">
        <v>14</v>
      </c>
      <c r="F384" s="565" t="s">
        <v>219</v>
      </c>
      <c r="G384" s="563" t="s">
        <v>11</v>
      </c>
      <c r="H384" s="563" t="s">
        <v>212</v>
      </c>
      <c r="I384" s="566">
        <v>0</v>
      </c>
    </row>
    <row r="385" spans="1:9" ht="16" x14ac:dyDescent="0.2">
      <c r="A385" s="567">
        <v>46036</v>
      </c>
      <c r="B385" s="568">
        <v>2026</v>
      </c>
      <c r="C385" s="569">
        <v>1</v>
      </c>
      <c r="D385" s="570">
        <v>3</v>
      </c>
      <c r="E385" s="570">
        <v>14</v>
      </c>
      <c r="F385" s="571" t="s">
        <v>19</v>
      </c>
      <c r="G385" s="569" t="s">
        <v>19</v>
      </c>
      <c r="H385" s="569" t="s">
        <v>214</v>
      </c>
      <c r="I385" s="572">
        <v>12286512000</v>
      </c>
    </row>
    <row r="386" spans="1:9" ht="16" x14ac:dyDescent="0.2">
      <c r="A386" s="561">
        <v>46036</v>
      </c>
      <c r="B386" s="562">
        <v>2026</v>
      </c>
      <c r="C386" s="563">
        <v>1</v>
      </c>
      <c r="D386" s="564">
        <v>3</v>
      </c>
      <c r="E386" s="564">
        <v>14</v>
      </c>
      <c r="F386" s="565" t="s">
        <v>62</v>
      </c>
      <c r="G386" s="563" t="s">
        <v>62</v>
      </c>
      <c r="H386" s="563" t="s">
        <v>216</v>
      </c>
      <c r="I386" s="566">
        <v>200499332</v>
      </c>
    </row>
    <row r="387" spans="1:9" ht="16" x14ac:dyDescent="0.2">
      <c r="A387" s="567">
        <v>46036</v>
      </c>
      <c r="B387" s="568">
        <v>2026</v>
      </c>
      <c r="C387" s="569">
        <v>1</v>
      </c>
      <c r="D387" s="570">
        <v>3</v>
      </c>
      <c r="E387" s="570">
        <v>14</v>
      </c>
      <c r="F387" s="571" t="s">
        <v>58</v>
      </c>
      <c r="G387" s="569" t="s">
        <v>58</v>
      </c>
      <c r="H387" s="569" t="s">
        <v>212</v>
      </c>
      <c r="I387" s="572">
        <v>0</v>
      </c>
    </row>
    <row r="388" spans="1:9" ht="16" x14ac:dyDescent="0.2">
      <c r="A388" s="561">
        <v>46036</v>
      </c>
      <c r="B388" s="562">
        <v>2026</v>
      </c>
      <c r="C388" s="563">
        <v>1</v>
      </c>
      <c r="D388" s="564">
        <v>3</v>
      </c>
      <c r="E388" s="564">
        <v>14</v>
      </c>
      <c r="F388" s="565" t="s">
        <v>61</v>
      </c>
      <c r="G388" s="563" t="s">
        <v>61</v>
      </c>
      <c r="H388" s="563" t="s">
        <v>214</v>
      </c>
      <c r="I388" s="566">
        <v>42000000</v>
      </c>
    </row>
    <row r="389" spans="1:9" ht="16" x14ac:dyDescent="0.2">
      <c r="A389" s="567">
        <v>46036</v>
      </c>
      <c r="B389" s="568">
        <v>2026</v>
      </c>
      <c r="C389" s="569">
        <v>1</v>
      </c>
      <c r="D389" s="570">
        <v>3</v>
      </c>
      <c r="E389" s="570">
        <v>14</v>
      </c>
      <c r="F389" s="571" t="s">
        <v>57</v>
      </c>
      <c r="G389" s="569" t="s">
        <v>57</v>
      </c>
      <c r="H389" s="569" t="s">
        <v>212</v>
      </c>
      <c r="I389" s="572">
        <v>950810000</v>
      </c>
    </row>
    <row r="390" spans="1:9" ht="16" x14ac:dyDescent="0.2">
      <c r="A390" s="561">
        <v>46036</v>
      </c>
      <c r="B390" s="562">
        <v>2026</v>
      </c>
      <c r="C390" s="563">
        <v>1</v>
      </c>
      <c r="D390" s="564">
        <v>3</v>
      </c>
      <c r="E390" s="564">
        <v>14</v>
      </c>
      <c r="F390" s="565" t="s">
        <v>63</v>
      </c>
      <c r="G390" s="563" t="s">
        <v>63</v>
      </c>
      <c r="H390" s="563" t="s">
        <v>214</v>
      </c>
      <c r="I390" s="566">
        <v>318168000</v>
      </c>
    </row>
    <row r="391" spans="1:9" ht="16" x14ac:dyDescent="0.2">
      <c r="A391" s="567">
        <v>46036</v>
      </c>
      <c r="B391" s="568">
        <v>2026</v>
      </c>
      <c r="C391" s="569">
        <v>1</v>
      </c>
      <c r="D391" s="570">
        <v>3</v>
      </c>
      <c r="E391" s="570">
        <v>14</v>
      </c>
      <c r="F391" s="571" t="s">
        <v>59</v>
      </c>
      <c r="G391" s="569" t="s">
        <v>59</v>
      </c>
      <c r="H391" s="569" t="s">
        <v>216</v>
      </c>
      <c r="I391" s="572">
        <v>289060098</v>
      </c>
    </row>
    <row r="392" spans="1:9" ht="16" x14ac:dyDescent="0.2">
      <c r="A392" s="561">
        <v>46036</v>
      </c>
      <c r="B392" s="562">
        <v>2026</v>
      </c>
      <c r="C392" s="563">
        <v>1</v>
      </c>
      <c r="D392" s="564">
        <v>3</v>
      </c>
      <c r="E392" s="564">
        <v>14</v>
      </c>
      <c r="F392" s="565" t="s">
        <v>31</v>
      </c>
      <c r="G392" s="563" t="s">
        <v>175</v>
      </c>
      <c r="H392" s="563" t="s">
        <v>212</v>
      </c>
      <c r="I392" s="566">
        <v>4926380000</v>
      </c>
    </row>
    <row r="393" spans="1:9" ht="16" x14ac:dyDescent="0.2">
      <c r="A393" s="567">
        <v>46036</v>
      </c>
      <c r="B393" s="568">
        <v>2026</v>
      </c>
      <c r="C393" s="569">
        <v>1</v>
      </c>
      <c r="D393" s="570">
        <v>3</v>
      </c>
      <c r="E393" s="570">
        <v>14</v>
      </c>
      <c r="F393" s="571" t="s">
        <v>234</v>
      </c>
      <c r="G393" s="569" t="s">
        <v>210</v>
      </c>
      <c r="H393" s="569" t="s">
        <v>214</v>
      </c>
      <c r="I393" s="572">
        <v>30680000</v>
      </c>
    </row>
    <row r="394" spans="1:9" ht="16" x14ac:dyDescent="0.2">
      <c r="A394" s="561">
        <v>46037</v>
      </c>
      <c r="B394" s="562">
        <v>2026</v>
      </c>
      <c r="C394" s="563">
        <v>1</v>
      </c>
      <c r="D394" s="564">
        <v>3</v>
      </c>
      <c r="E394" s="564">
        <v>15</v>
      </c>
      <c r="F394" s="565" t="s">
        <v>65</v>
      </c>
      <c r="G394" s="563" t="s">
        <v>65</v>
      </c>
      <c r="H394" s="563" t="s">
        <v>212</v>
      </c>
      <c r="I394" s="566">
        <v>610700000</v>
      </c>
    </row>
    <row r="395" spans="1:9" ht="16" x14ac:dyDescent="0.2">
      <c r="A395" s="567">
        <v>46037</v>
      </c>
      <c r="B395" s="568">
        <v>2026</v>
      </c>
      <c r="C395" s="569">
        <v>1</v>
      </c>
      <c r="D395" s="570">
        <v>3</v>
      </c>
      <c r="E395" s="570">
        <v>15</v>
      </c>
      <c r="F395" s="571" t="s">
        <v>66</v>
      </c>
      <c r="G395" s="569" t="s">
        <v>66</v>
      </c>
      <c r="H395" s="569" t="s">
        <v>216</v>
      </c>
      <c r="I395" s="572">
        <v>327953693</v>
      </c>
    </row>
    <row r="396" spans="1:9" ht="16" x14ac:dyDescent="0.2">
      <c r="A396" s="561">
        <v>46037</v>
      </c>
      <c r="B396" s="562">
        <v>2026</v>
      </c>
      <c r="C396" s="563">
        <v>1</v>
      </c>
      <c r="D396" s="564">
        <v>3</v>
      </c>
      <c r="E396" s="564">
        <v>15</v>
      </c>
      <c r="F396" s="565" t="s">
        <v>24</v>
      </c>
      <c r="G396" s="563" t="s">
        <v>24</v>
      </c>
      <c r="H396" s="563" t="s">
        <v>212</v>
      </c>
      <c r="I396" s="566">
        <v>15094390000</v>
      </c>
    </row>
    <row r="397" spans="1:9" ht="16" x14ac:dyDescent="0.2">
      <c r="A397" s="567">
        <v>46037</v>
      </c>
      <c r="B397" s="568">
        <v>2026</v>
      </c>
      <c r="C397" s="569">
        <v>1</v>
      </c>
      <c r="D397" s="570">
        <v>3</v>
      </c>
      <c r="E397" s="570">
        <v>15</v>
      </c>
      <c r="F397" s="571" t="s">
        <v>67</v>
      </c>
      <c r="G397" s="569" t="s">
        <v>67</v>
      </c>
      <c r="H397" s="569" t="s">
        <v>213</v>
      </c>
      <c r="I397" s="572">
        <v>2143775393</v>
      </c>
    </row>
    <row r="398" spans="1:9" ht="16" x14ac:dyDescent="0.2">
      <c r="A398" s="561">
        <v>46037</v>
      </c>
      <c r="B398" s="562">
        <v>2026</v>
      </c>
      <c r="C398" s="563">
        <v>1</v>
      </c>
      <c r="D398" s="564">
        <v>3</v>
      </c>
      <c r="E398" s="564">
        <v>15</v>
      </c>
      <c r="F398" s="565" t="s">
        <v>28</v>
      </c>
      <c r="G398" s="563" t="s">
        <v>28</v>
      </c>
      <c r="H398" s="563" t="s">
        <v>214</v>
      </c>
      <c r="I398" s="566">
        <v>16901244000</v>
      </c>
    </row>
    <row r="399" spans="1:9" ht="16" x14ac:dyDescent="0.2">
      <c r="A399" s="567">
        <v>46037</v>
      </c>
      <c r="B399" s="568">
        <v>2026</v>
      </c>
      <c r="C399" s="569">
        <v>1</v>
      </c>
      <c r="D399" s="570">
        <v>3</v>
      </c>
      <c r="E399" s="570">
        <v>15</v>
      </c>
      <c r="F399" s="571" t="s">
        <v>208</v>
      </c>
      <c r="G399" s="569" t="s">
        <v>208</v>
      </c>
      <c r="H399" s="569" t="s">
        <v>216</v>
      </c>
      <c r="I399" s="572">
        <v>6420589</v>
      </c>
    </row>
    <row r="400" spans="1:9" ht="16" x14ac:dyDescent="0.2">
      <c r="A400" s="561">
        <v>46037</v>
      </c>
      <c r="B400" s="562">
        <v>2026</v>
      </c>
      <c r="C400" s="563">
        <v>1</v>
      </c>
      <c r="D400" s="564">
        <v>3</v>
      </c>
      <c r="E400" s="564">
        <v>15</v>
      </c>
      <c r="F400" s="565" t="s">
        <v>60</v>
      </c>
      <c r="G400" s="563" t="s">
        <v>60</v>
      </c>
      <c r="H400" s="563" t="s">
        <v>212</v>
      </c>
      <c r="I400" s="566">
        <v>90000000</v>
      </c>
    </row>
    <row r="401" spans="1:9" ht="16" x14ac:dyDescent="0.2">
      <c r="A401" s="567">
        <v>46037</v>
      </c>
      <c r="B401" s="568">
        <v>2026</v>
      </c>
      <c r="C401" s="569">
        <v>1</v>
      </c>
      <c r="D401" s="570">
        <v>3</v>
      </c>
      <c r="E401" s="570">
        <v>15</v>
      </c>
      <c r="F401" s="571" t="s">
        <v>36</v>
      </c>
      <c r="G401" s="569" t="s">
        <v>36</v>
      </c>
      <c r="H401" s="569" t="s">
        <v>212</v>
      </c>
      <c r="I401" s="572">
        <v>5129120000</v>
      </c>
    </row>
    <row r="402" spans="1:9" ht="16" x14ac:dyDescent="0.2">
      <c r="A402" s="561">
        <v>46037</v>
      </c>
      <c r="B402" s="562">
        <v>2026</v>
      </c>
      <c r="C402" s="563">
        <v>1</v>
      </c>
      <c r="D402" s="564">
        <v>3</v>
      </c>
      <c r="E402" s="564">
        <v>15</v>
      </c>
      <c r="F402" s="565" t="s">
        <v>55</v>
      </c>
      <c r="G402" s="563" t="s">
        <v>36</v>
      </c>
      <c r="H402" s="563" t="s">
        <v>212</v>
      </c>
      <c r="I402" s="566">
        <v>1194930000</v>
      </c>
    </row>
    <row r="403" spans="1:9" ht="16" x14ac:dyDescent="0.2">
      <c r="A403" s="567">
        <v>46037</v>
      </c>
      <c r="B403" s="568">
        <v>2026</v>
      </c>
      <c r="C403" s="569">
        <v>1</v>
      </c>
      <c r="D403" s="570">
        <v>3</v>
      </c>
      <c r="E403" s="570">
        <v>15</v>
      </c>
      <c r="F403" s="571" t="s">
        <v>176</v>
      </c>
      <c r="G403" s="569" t="s">
        <v>176</v>
      </c>
      <c r="H403" s="569" t="s">
        <v>216</v>
      </c>
      <c r="I403" s="572">
        <v>0</v>
      </c>
    </row>
    <row r="404" spans="1:9" ht="16" x14ac:dyDescent="0.2">
      <c r="A404" s="561">
        <v>46037</v>
      </c>
      <c r="B404" s="562">
        <v>2026</v>
      </c>
      <c r="C404" s="563">
        <v>1</v>
      </c>
      <c r="D404" s="564">
        <v>3</v>
      </c>
      <c r="E404" s="564">
        <v>15</v>
      </c>
      <c r="F404" s="565" t="s">
        <v>39</v>
      </c>
      <c r="G404" s="563" t="s">
        <v>176</v>
      </c>
      <c r="H404" s="563" t="s">
        <v>216</v>
      </c>
      <c r="I404" s="566">
        <v>1131964176</v>
      </c>
    </row>
    <row r="405" spans="1:9" ht="16" x14ac:dyDescent="0.2">
      <c r="A405" s="567">
        <v>46037</v>
      </c>
      <c r="B405" s="568">
        <v>2026</v>
      </c>
      <c r="C405" s="569">
        <v>1</v>
      </c>
      <c r="D405" s="570">
        <v>3</v>
      </c>
      <c r="E405" s="570">
        <v>15</v>
      </c>
      <c r="F405" s="571" t="s">
        <v>206</v>
      </c>
      <c r="G405" s="569" t="s">
        <v>206</v>
      </c>
      <c r="H405" s="569" t="s">
        <v>212</v>
      </c>
      <c r="I405" s="572">
        <v>0</v>
      </c>
    </row>
    <row r="406" spans="1:9" ht="16" x14ac:dyDescent="0.2">
      <c r="A406" s="561">
        <v>46037</v>
      </c>
      <c r="B406" s="562">
        <v>2026</v>
      </c>
      <c r="C406" s="563">
        <v>1</v>
      </c>
      <c r="D406" s="564">
        <v>3</v>
      </c>
      <c r="E406" s="564">
        <v>15</v>
      </c>
      <c r="F406" s="565" t="s">
        <v>64</v>
      </c>
      <c r="G406" s="563" t="s">
        <v>209</v>
      </c>
      <c r="H406" s="563" t="s">
        <v>212</v>
      </c>
      <c r="I406" s="566">
        <v>119250000</v>
      </c>
    </row>
    <row r="407" spans="1:9" ht="16" x14ac:dyDescent="0.2">
      <c r="A407" s="567">
        <v>46037</v>
      </c>
      <c r="B407" s="568">
        <v>2026</v>
      </c>
      <c r="C407" s="569">
        <v>1</v>
      </c>
      <c r="D407" s="570">
        <v>3</v>
      </c>
      <c r="E407" s="570">
        <v>15</v>
      </c>
      <c r="F407" s="571" t="s">
        <v>237</v>
      </c>
      <c r="G407" s="569" t="s">
        <v>209</v>
      </c>
      <c r="H407" s="569" t="s">
        <v>212</v>
      </c>
      <c r="I407" s="572">
        <v>0</v>
      </c>
    </row>
    <row r="408" spans="1:9" ht="16" x14ac:dyDescent="0.2">
      <c r="A408" s="561">
        <v>46037</v>
      </c>
      <c r="B408" s="562">
        <v>2026</v>
      </c>
      <c r="C408" s="563">
        <v>1</v>
      </c>
      <c r="D408" s="564">
        <v>3</v>
      </c>
      <c r="E408" s="564">
        <v>15</v>
      </c>
      <c r="F408" s="565" t="s">
        <v>11</v>
      </c>
      <c r="G408" s="563" t="s">
        <v>11</v>
      </c>
      <c r="H408" s="563" t="s">
        <v>212</v>
      </c>
      <c r="I408" s="566">
        <v>21379720000</v>
      </c>
    </row>
    <row r="409" spans="1:9" ht="16" x14ac:dyDescent="0.2">
      <c r="A409" s="567">
        <v>46037</v>
      </c>
      <c r="B409" s="568">
        <v>2026</v>
      </c>
      <c r="C409" s="569">
        <v>1</v>
      </c>
      <c r="D409" s="570">
        <v>3</v>
      </c>
      <c r="E409" s="570">
        <v>15</v>
      </c>
      <c r="F409" s="571" t="s">
        <v>221</v>
      </c>
      <c r="G409" s="569" t="s">
        <v>207</v>
      </c>
      <c r="H409" s="569" t="s">
        <v>212</v>
      </c>
      <c r="I409" s="572">
        <v>0</v>
      </c>
    </row>
    <row r="410" spans="1:9" ht="16" x14ac:dyDescent="0.2">
      <c r="A410" s="561">
        <v>46037</v>
      </c>
      <c r="B410" s="562">
        <v>2026</v>
      </c>
      <c r="C410" s="563">
        <v>1</v>
      </c>
      <c r="D410" s="564">
        <v>3</v>
      </c>
      <c r="E410" s="564">
        <v>15</v>
      </c>
      <c r="F410" s="565" t="s">
        <v>222</v>
      </c>
      <c r="G410" s="563" t="s">
        <v>207</v>
      </c>
      <c r="H410" s="563" t="s">
        <v>212</v>
      </c>
      <c r="I410" s="566">
        <v>0</v>
      </c>
    </row>
    <row r="411" spans="1:9" ht="16" x14ac:dyDescent="0.2">
      <c r="A411" s="567">
        <v>46037</v>
      </c>
      <c r="B411" s="568">
        <v>2026</v>
      </c>
      <c r="C411" s="569">
        <v>1</v>
      </c>
      <c r="D411" s="570">
        <v>3</v>
      </c>
      <c r="E411" s="570">
        <v>15</v>
      </c>
      <c r="F411" s="571" t="s">
        <v>223</v>
      </c>
      <c r="G411" s="569" t="s">
        <v>207</v>
      </c>
      <c r="H411" s="569" t="s">
        <v>212</v>
      </c>
      <c r="I411" s="572">
        <v>0</v>
      </c>
    </row>
    <row r="412" spans="1:9" ht="16" x14ac:dyDescent="0.2">
      <c r="A412" s="561">
        <v>46037</v>
      </c>
      <c r="B412" s="562">
        <v>2026</v>
      </c>
      <c r="C412" s="563">
        <v>1</v>
      </c>
      <c r="D412" s="564">
        <v>3</v>
      </c>
      <c r="E412" s="564">
        <v>15</v>
      </c>
      <c r="F412" s="565" t="s">
        <v>219</v>
      </c>
      <c r="G412" s="563" t="s">
        <v>11</v>
      </c>
      <c r="H412" s="563" t="s">
        <v>212</v>
      </c>
      <c r="I412" s="566">
        <v>5000000</v>
      </c>
    </row>
    <row r="413" spans="1:9" ht="16" x14ac:dyDescent="0.2">
      <c r="A413" s="567">
        <v>46037</v>
      </c>
      <c r="B413" s="568">
        <v>2026</v>
      </c>
      <c r="C413" s="569">
        <v>1</v>
      </c>
      <c r="D413" s="570">
        <v>3</v>
      </c>
      <c r="E413" s="570">
        <v>15</v>
      </c>
      <c r="F413" s="571" t="s">
        <v>19</v>
      </c>
      <c r="G413" s="569" t="s">
        <v>19</v>
      </c>
      <c r="H413" s="569" t="s">
        <v>214</v>
      </c>
      <c r="I413" s="572">
        <v>14965236000</v>
      </c>
    </row>
    <row r="414" spans="1:9" ht="16" x14ac:dyDescent="0.2">
      <c r="A414" s="561">
        <v>46037</v>
      </c>
      <c r="B414" s="562">
        <v>2026</v>
      </c>
      <c r="C414" s="563">
        <v>1</v>
      </c>
      <c r="D414" s="564">
        <v>3</v>
      </c>
      <c r="E414" s="564">
        <v>15</v>
      </c>
      <c r="F414" s="565" t="s">
        <v>62</v>
      </c>
      <c r="G414" s="563" t="s">
        <v>62</v>
      </c>
      <c r="H414" s="563" t="s">
        <v>216</v>
      </c>
      <c r="I414" s="566">
        <v>179063593</v>
      </c>
    </row>
    <row r="415" spans="1:9" ht="16" x14ac:dyDescent="0.2">
      <c r="A415" s="567">
        <v>46037</v>
      </c>
      <c r="B415" s="568">
        <v>2026</v>
      </c>
      <c r="C415" s="569">
        <v>1</v>
      </c>
      <c r="D415" s="570">
        <v>3</v>
      </c>
      <c r="E415" s="570">
        <v>15</v>
      </c>
      <c r="F415" s="571" t="s">
        <v>58</v>
      </c>
      <c r="G415" s="569" t="s">
        <v>58</v>
      </c>
      <c r="H415" s="569" t="s">
        <v>212</v>
      </c>
      <c r="I415" s="572">
        <v>0</v>
      </c>
    </row>
    <row r="416" spans="1:9" ht="16" x14ac:dyDescent="0.2">
      <c r="A416" s="561">
        <v>46037</v>
      </c>
      <c r="B416" s="562">
        <v>2026</v>
      </c>
      <c r="C416" s="563">
        <v>1</v>
      </c>
      <c r="D416" s="564">
        <v>3</v>
      </c>
      <c r="E416" s="564">
        <v>15</v>
      </c>
      <c r="F416" s="565" t="s">
        <v>61</v>
      </c>
      <c r="G416" s="563" t="s">
        <v>61</v>
      </c>
      <c r="H416" s="563" t="s">
        <v>214</v>
      </c>
      <c r="I416" s="566">
        <v>47000000</v>
      </c>
    </row>
    <row r="417" spans="1:9" ht="16" x14ac:dyDescent="0.2">
      <c r="A417" s="567">
        <v>46037</v>
      </c>
      <c r="B417" s="568">
        <v>2026</v>
      </c>
      <c r="C417" s="569">
        <v>1</v>
      </c>
      <c r="D417" s="570">
        <v>3</v>
      </c>
      <c r="E417" s="570">
        <v>15</v>
      </c>
      <c r="F417" s="571" t="s">
        <v>57</v>
      </c>
      <c r="G417" s="569" t="s">
        <v>57</v>
      </c>
      <c r="H417" s="569" t="s">
        <v>212</v>
      </c>
      <c r="I417" s="572">
        <v>779120000</v>
      </c>
    </row>
    <row r="418" spans="1:9" ht="16" x14ac:dyDescent="0.2">
      <c r="A418" s="561">
        <v>46037</v>
      </c>
      <c r="B418" s="562">
        <v>2026</v>
      </c>
      <c r="C418" s="563">
        <v>1</v>
      </c>
      <c r="D418" s="564">
        <v>3</v>
      </c>
      <c r="E418" s="564">
        <v>15</v>
      </c>
      <c r="F418" s="565" t="s">
        <v>63</v>
      </c>
      <c r="G418" s="563" t="s">
        <v>63</v>
      </c>
      <c r="H418" s="563" t="s">
        <v>214</v>
      </c>
      <c r="I418" s="566">
        <v>371628000</v>
      </c>
    </row>
    <row r="419" spans="1:9" ht="16" x14ac:dyDescent="0.2">
      <c r="A419" s="567">
        <v>46037</v>
      </c>
      <c r="B419" s="568">
        <v>2026</v>
      </c>
      <c r="C419" s="569">
        <v>1</v>
      </c>
      <c r="D419" s="570">
        <v>3</v>
      </c>
      <c r="E419" s="570">
        <v>15</v>
      </c>
      <c r="F419" s="571" t="s">
        <v>59</v>
      </c>
      <c r="G419" s="569" t="s">
        <v>59</v>
      </c>
      <c r="H419" s="569" t="s">
        <v>216</v>
      </c>
      <c r="I419" s="572">
        <v>331278991</v>
      </c>
    </row>
    <row r="420" spans="1:9" ht="16" x14ac:dyDescent="0.2">
      <c r="A420" s="561">
        <v>46037</v>
      </c>
      <c r="B420" s="562">
        <v>2026</v>
      </c>
      <c r="C420" s="563">
        <v>1</v>
      </c>
      <c r="D420" s="564">
        <v>3</v>
      </c>
      <c r="E420" s="564">
        <v>15</v>
      </c>
      <c r="F420" s="565" t="s">
        <v>31</v>
      </c>
      <c r="G420" s="563" t="s">
        <v>175</v>
      </c>
      <c r="H420" s="563" t="s">
        <v>212</v>
      </c>
      <c r="I420" s="566">
        <v>4472290000</v>
      </c>
    </row>
    <row r="421" spans="1:9" ht="16" x14ac:dyDescent="0.2">
      <c r="A421" s="567">
        <v>46037</v>
      </c>
      <c r="B421" s="568">
        <v>2026</v>
      </c>
      <c r="C421" s="569">
        <v>1</v>
      </c>
      <c r="D421" s="570">
        <v>3</v>
      </c>
      <c r="E421" s="570">
        <v>15</v>
      </c>
      <c r="F421" s="571" t="s">
        <v>234</v>
      </c>
      <c r="G421" s="569" t="s">
        <v>210</v>
      </c>
      <c r="H421" s="569" t="s">
        <v>214</v>
      </c>
      <c r="I421" s="572">
        <v>65400000</v>
      </c>
    </row>
    <row r="422" spans="1:9" ht="16" x14ac:dyDescent="0.2">
      <c r="A422" s="561">
        <v>46038</v>
      </c>
      <c r="B422" s="562">
        <v>2026</v>
      </c>
      <c r="C422" s="563">
        <v>1</v>
      </c>
      <c r="D422" s="564">
        <v>3</v>
      </c>
      <c r="E422" s="564">
        <v>16</v>
      </c>
      <c r="F422" s="565" t="s">
        <v>65</v>
      </c>
      <c r="G422" s="563" t="s">
        <v>65</v>
      </c>
      <c r="H422" s="563" t="s">
        <v>212</v>
      </c>
      <c r="I422" s="566">
        <v>556550000</v>
      </c>
    </row>
    <row r="423" spans="1:9" ht="16" x14ac:dyDescent="0.2">
      <c r="A423" s="567">
        <v>46038</v>
      </c>
      <c r="B423" s="568">
        <v>2026</v>
      </c>
      <c r="C423" s="569">
        <v>1</v>
      </c>
      <c r="D423" s="570">
        <v>3</v>
      </c>
      <c r="E423" s="570">
        <v>16</v>
      </c>
      <c r="F423" s="571" t="s">
        <v>66</v>
      </c>
      <c r="G423" s="569" t="s">
        <v>66</v>
      </c>
      <c r="H423" s="569" t="s">
        <v>216</v>
      </c>
      <c r="I423" s="572">
        <v>314366274</v>
      </c>
    </row>
    <row r="424" spans="1:9" ht="16" x14ac:dyDescent="0.2">
      <c r="A424" s="561">
        <v>46038</v>
      </c>
      <c r="B424" s="562">
        <v>2026</v>
      </c>
      <c r="C424" s="563">
        <v>1</v>
      </c>
      <c r="D424" s="564">
        <v>3</v>
      </c>
      <c r="E424" s="564">
        <v>16</v>
      </c>
      <c r="F424" s="565" t="s">
        <v>24</v>
      </c>
      <c r="G424" s="563" t="s">
        <v>24</v>
      </c>
      <c r="H424" s="563" t="s">
        <v>212</v>
      </c>
      <c r="I424" s="566">
        <v>14388060000</v>
      </c>
    </row>
    <row r="425" spans="1:9" ht="16" x14ac:dyDescent="0.2">
      <c r="A425" s="567">
        <v>46038</v>
      </c>
      <c r="B425" s="568">
        <v>2026</v>
      </c>
      <c r="C425" s="569">
        <v>1</v>
      </c>
      <c r="D425" s="570">
        <v>3</v>
      </c>
      <c r="E425" s="570">
        <v>16</v>
      </c>
      <c r="F425" s="571" t="s">
        <v>67</v>
      </c>
      <c r="G425" s="569" t="s">
        <v>67</v>
      </c>
      <c r="H425" s="569" t="s">
        <v>213</v>
      </c>
      <c r="I425" s="572">
        <v>1920746675</v>
      </c>
    </row>
    <row r="426" spans="1:9" ht="16" x14ac:dyDescent="0.2">
      <c r="A426" s="561">
        <v>46038</v>
      </c>
      <c r="B426" s="562">
        <v>2026</v>
      </c>
      <c r="C426" s="563">
        <v>1</v>
      </c>
      <c r="D426" s="564">
        <v>3</v>
      </c>
      <c r="E426" s="564">
        <v>16</v>
      </c>
      <c r="F426" s="565" t="s">
        <v>28</v>
      </c>
      <c r="G426" s="563" t="s">
        <v>28</v>
      </c>
      <c r="H426" s="563" t="s">
        <v>214</v>
      </c>
      <c r="I426" s="566">
        <v>15992100000</v>
      </c>
    </row>
    <row r="427" spans="1:9" ht="16" x14ac:dyDescent="0.2">
      <c r="A427" s="567">
        <v>46038</v>
      </c>
      <c r="B427" s="568">
        <v>2026</v>
      </c>
      <c r="C427" s="569">
        <v>1</v>
      </c>
      <c r="D427" s="570">
        <v>3</v>
      </c>
      <c r="E427" s="570">
        <v>16</v>
      </c>
      <c r="F427" s="571" t="s">
        <v>208</v>
      </c>
      <c r="G427" s="569" t="s">
        <v>208</v>
      </c>
      <c r="H427" s="569" t="s">
        <v>216</v>
      </c>
      <c r="I427" s="572">
        <v>3099595</v>
      </c>
    </row>
    <row r="428" spans="1:9" ht="16" x14ac:dyDescent="0.2">
      <c r="A428" s="561">
        <v>46038</v>
      </c>
      <c r="B428" s="562">
        <v>2026</v>
      </c>
      <c r="C428" s="563">
        <v>1</v>
      </c>
      <c r="D428" s="564">
        <v>3</v>
      </c>
      <c r="E428" s="564">
        <v>16</v>
      </c>
      <c r="F428" s="565" t="s">
        <v>60</v>
      </c>
      <c r="G428" s="563" t="s">
        <v>60</v>
      </c>
      <c r="H428" s="563" t="s">
        <v>212</v>
      </c>
      <c r="I428" s="566">
        <v>0</v>
      </c>
    </row>
    <row r="429" spans="1:9" ht="16" x14ac:dyDescent="0.2">
      <c r="A429" s="567">
        <v>46038</v>
      </c>
      <c r="B429" s="568">
        <v>2026</v>
      </c>
      <c r="C429" s="569">
        <v>1</v>
      </c>
      <c r="D429" s="570">
        <v>3</v>
      </c>
      <c r="E429" s="570">
        <v>16</v>
      </c>
      <c r="F429" s="571" t="s">
        <v>36</v>
      </c>
      <c r="G429" s="569" t="s">
        <v>36</v>
      </c>
      <c r="H429" s="569" t="s">
        <v>212</v>
      </c>
      <c r="I429" s="572">
        <v>5001780000</v>
      </c>
    </row>
    <row r="430" spans="1:9" ht="16" x14ac:dyDescent="0.2">
      <c r="A430" s="561">
        <v>46038</v>
      </c>
      <c r="B430" s="562">
        <v>2026</v>
      </c>
      <c r="C430" s="563">
        <v>1</v>
      </c>
      <c r="D430" s="564">
        <v>3</v>
      </c>
      <c r="E430" s="564">
        <v>16</v>
      </c>
      <c r="F430" s="565" t="s">
        <v>55</v>
      </c>
      <c r="G430" s="563" t="s">
        <v>36</v>
      </c>
      <c r="H430" s="563" t="s">
        <v>212</v>
      </c>
      <c r="I430" s="566">
        <v>1050880000</v>
      </c>
    </row>
    <row r="431" spans="1:9" ht="16" x14ac:dyDescent="0.2">
      <c r="A431" s="567">
        <v>46038</v>
      </c>
      <c r="B431" s="568">
        <v>2026</v>
      </c>
      <c r="C431" s="569">
        <v>1</v>
      </c>
      <c r="D431" s="570">
        <v>3</v>
      </c>
      <c r="E431" s="570">
        <v>16</v>
      </c>
      <c r="F431" s="571" t="s">
        <v>176</v>
      </c>
      <c r="G431" s="569" t="s">
        <v>176</v>
      </c>
      <c r="H431" s="569" t="s">
        <v>216</v>
      </c>
      <c r="I431" s="572">
        <v>27792265</v>
      </c>
    </row>
    <row r="432" spans="1:9" ht="16" x14ac:dyDescent="0.2">
      <c r="A432" s="561">
        <v>46038</v>
      </c>
      <c r="B432" s="562">
        <v>2026</v>
      </c>
      <c r="C432" s="563">
        <v>1</v>
      </c>
      <c r="D432" s="564">
        <v>3</v>
      </c>
      <c r="E432" s="564">
        <v>16</v>
      </c>
      <c r="F432" s="565" t="s">
        <v>39</v>
      </c>
      <c r="G432" s="563" t="s">
        <v>176</v>
      </c>
      <c r="H432" s="563" t="s">
        <v>216</v>
      </c>
      <c r="I432" s="566">
        <v>1266531980</v>
      </c>
    </row>
    <row r="433" spans="1:9" ht="16" x14ac:dyDescent="0.2">
      <c r="A433" s="567">
        <v>46038</v>
      </c>
      <c r="B433" s="568">
        <v>2026</v>
      </c>
      <c r="C433" s="569">
        <v>1</v>
      </c>
      <c r="D433" s="570">
        <v>3</v>
      </c>
      <c r="E433" s="570">
        <v>16</v>
      </c>
      <c r="F433" s="571" t="s">
        <v>206</v>
      </c>
      <c r="G433" s="569" t="s">
        <v>206</v>
      </c>
      <c r="H433" s="569" t="s">
        <v>212</v>
      </c>
      <c r="I433" s="572">
        <v>0</v>
      </c>
    </row>
    <row r="434" spans="1:9" ht="16" x14ac:dyDescent="0.2">
      <c r="A434" s="561">
        <v>46038</v>
      </c>
      <c r="B434" s="562">
        <v>2026</v>
      </c>
      <c r="C434" s="563">
        <v>1</v>
      </c>
      <c r="D434" s="564">
        <v>3</v>
      </c>
      <c r="E434" s="564">
        <v>16</v>
      </c>
      <c r="F434" s="565" t="s">
        <v>64</v>
      </c>
      <c r="G434" s="563" t="s">
        <v>209</v>
      </c>
      <c r="H434" s="563" t="s">
        <v>212</v>
      </c>
      <c r="I434" s="566">
        <v>171000000</v>
      </c>
    </row>
    <row r="435" spans="1:9" ht="16" x14ac:dyDescent="0.2">
      <c r="A435" s="567">
        <v>46038</v>
      </c>
      <c r="B435" s="568">
        <v>2026</v>
      </c>
      <c r="C435" s="569">
        <v>1</v>
      </c>
      <c r="D435" s="570">
        <v>3</v>
      </c>
      <c r="E435" s="570">
        <v>16</v>
      </c>
      <c r="F435" s="571" t="s">
        <v>237</v>
      </c>
      <c r="G435" s="569" t="s">
        <v>209</v>
      </c>
      <c r="H435" s="569" t="s">
        <v>212</v>
      </c>
      <c r="I435" s="572">
        <v>92700000</v>
      </c>
    </row>
    <row r="436" spans="1:9" ht="16" x14ac:dyDescent="0.2">
      <c r="A436" s="561">
        <v>46038</v>
      </c>
      <c r="B436" s="562">
        <v>2026</v>
      </c>
      <c r="C436" s="563">
        <v>1</v>
      </c>
      <c r="D436" s="564">
        <v>3</v>
      </c>
      <c r="E436" s="564">
        <v>16</v>
      </c>
      <c r="F436" s="565" t="s">
        <v>11</v>
      </c>
      <c r="G436" s="563" t="s">
        <v>11</v>
      </c>
      <c r="H436" s="563" t="s">
        <v>212</v>
      </c>
      <c r="I436" s="566">
        <v>17466520000</v>
      </c>
    </row>
    <row r="437" spans="1:9" ht="16" x14ac:dyDescent="0.2">
      <c r="A437" s="567">
        <v>46038</v>
      </c>
      <c r="B437" s="568">
        <v>2026</v>
      </c>
      <c r="C437" s="569">
        <v>1</v>
      </c>
      <c r="D437" s="570">
        <v>3</v>
      </c>
      <c r="E437" s="570">
        <v>16</v>
      </c>
      <c r="F437" s="571" t="s">
        <v>221</v>
      </c>
      <c r="G437" s="569" t="s">
        <v>207</v>
      </c>
      <c r="H437" s="569" t="s">
        <v>212</v>
      </c>
      <c r="I437" s="572">
        <v>0</v>
      </c>
    </row>
    <row r="438" spans="1:9" ht="16" x14ac:dyDescent="0.2">
      <c r="A438" s="561">
        <v>46038</v>
      </c>
      <c r="B438" s="562">
        <v>2026</v>
      </c>
      <c r="C438" s="563">
        <v>1</v>
      </c>
      <c r="D438" s="564">
        <v>3</v>
      </c>
      <c r="E438" s="564">
        <v>16</v>
      </c>
      <c r="F438" s="565" t="s">
        <v>222</v>
      </c>
      <c r="G438" s="563" t="s">
        <v>207</v>
      </c>
      <c r="H438" s="563" t="s">
        <v>212</v>
      </c>
      <c r="I438" s="566">
        <v>0</v>
      </c>
    </row>
    <row r="439" spans="1:9" ht="16" x14ac:dyDescent="0.2">
      <c r="A439" s="567">
        <v>46038</v>
      </c>
      <c r="B439" s="568">
        <v>2026</v>
      </c>
      <c r="C439" s="569">
        <v>1</v>
      </c>
      <c r="D439" s="570">
        <v>3</v>
      </c>
      <c r="E439" s="570">
        <v>16</v>
      </c>
      <c r="F439" s="571" t="s">
        <v>223</v>
      </c>
      <c r="G439" s="569" t="s">
        <v>207</v>
      </c>
      <c r="H439" s="569" t="s">
        <v>212</v>
      </c>
      <c r="I439" s="572">
        <v>0</v>
      </c>
    </row>
    <row r="440" spans="1:9" ht="16" x14ac:dyDescent="0.2">
      <c r="A440" s="561">
        <v>46038</v>
      </c>
      <c r="B440" s="562">
        <v>2026</v>
      </c>
      <c r="C440" s="563">
        <v>1</v>
      </c>
      <c r="D440" s="564">
        <v>3</v>
      </c>
      <c r="E440" s="564">
        <v>16</v>
      </c>
      <c r="F440" s="565" t="s">
        <v>219</v>
      </c>
      <c r="G440" s="563" t="s">
        <v>11</v>
      </c>
      <c r="H440" s="563" t="s">
        <v>212</v>
      </c>
      <c r="I440" s="566">
        <v>0</v>
      </c>
    </row>
    <row r="441" spans="1:9" ht="16" x14ac:dyDescent="0.2">
      <c r="A441" s="567">
        <v>46038</v>
      </c>
      <c r="B441" s="568">
        <v>2026</v>
      </c>
      <c r="C441" s="569">
        <v>1</v>
      </c>
      <c r="D441" s="570">
        <v>3</v>
      </c>
      <c r="E441" s="570">
        <v>16</v>
      </c>
      <c r="F441" s="571" t="s">
        <v>19</v>
      </c>
      <c r="G441" s="569" t="s">
        <v>19</v>
      </c>
      <c r="H441" s="569" t="s">
        <v>214</v>
      </c>
      <c r="I441" s="572">
        <v>13843440000</v>
      </c>
    </row>
    <row r="442" spans="1:9" ht="16" x14ac:dyDescent="0.2">
      <c r="A442" s="561">
        <v>46038</v>
      </c>
      <c r="B442" s="562">
        <v>2026</v>
      </c>
      <c r="C442" s="563">
        <v>1</v>
      </c>
      <c r="D442" s="564">
        <v>3</v>
      </c>
      <c r="E442" s="564">
        <v>16</v>
      </c>
      <c r="F442" s="565" t="s">
        <v>62</v>
      </c>
      <c r="G442" s="563" t="s">
        <v>62</v>
      </c>
      <c r="H442" s="563" t="s">
        <v>216</v>
      </c>
      <c r="I442" s="566">
        <v>181486423</v>
      </c>
    </row>
    <row r="443" spans="1:9" ht="16" x14ac:dyDescent="0.2">
      <c r="A443" s="567">
        <v>46038</v>
      </c>
      <c r="B443" s="568">
        <v>2026</v>
      </c>
      <c r="C443" s="569">
        <v>1</v>
      </c>
      <c r="D443" s="570">
        <v>3</v>
      </c>
      <c r="E443" s="570">
        <v>16</v>
      </c>
      <c r="F443" s="571" t="s">
        <v>58</v>
      </c>
      <c r="G443" s="569" t="s">
        <v>58</v>
      </c>
      <c r="H443" s="569" t="s">
        <v>212</v>
      </c>
      <c r="I443" s="572">
        <v>0</v>
      </c>
    </row>
    <row r="444" spans="1:9" ht="16" x14ac:dyDescent="0.2">
      <c r="A444" s="561">
        <v>46038</v>
      </c>
      <c r="B444" s="562">
        <v>2026</v>
      </c>
      <c r="C444" s="563">
        <v>1</v>
      </c>
      <c r="D444" s="564">
        <v>3</v>
      </c>
      <c r="E444" s="564">
        <v>16</v>
      </c>
      <c r="F444" s="565" t="s">
        <v>61</v>
      </c>
      <c r="G444" s="563" t="s">
        <v>61</v>
      </c>
      <c r="H444" s="563" t="s">
        <v>214</v>
      </c>
      <c r="I444" s="566">
        <v>34000000</v>
      </c>
    </row>
    <row r="445" spans="1:9" ht="16" x14ac:dyDescent="0.2">
      <c r="A445" s="567">
        <v>46038</v>
      </c>
      <c r="B445" s="568">
        <v>2026</v>
      </c>
      <c r="C445" s="569">
        <v>1</v>
      </c>
      <c r="D445" s="570">
        <v>3</v>
      </c>
      <c r="E445" s="570">
        <v>16</v>
      </c>
      <c r="F445" s="571" t="s">
        <v>57</v>
      </c>
      <c r="G445" s="569" t="s">
        <v>57</v>
      </c>
      <c r="H445" s="569" t="s">
        <v>212</v>
      </c>
      <c r="I445" s="572">
        <v>839430000</v>
      </c>
    </row>
    <row r="446" spans="1:9" ht="16" x14ac:dyDescent="0.2">
      <c r="A446" s="561">
        <v>46038</v>
      </c>
      <c r="B446" s="562">
        <v>2026</v>
      </c>
      <c r="C446" s="563">
        <v>1</v>
      </c>
      <c r="D446" s="564">
        <v>3</v>
      </c>
      <c r="E446" s="564">
        <v>16</v>
      </c>
      <c r="F446" s="565" t="s">
        <v>63</v>
      </c>
      <c r="G446" s="563" t="s">
        <v>63</v>
      </c>
      <c r="H446" s="563" t="s">
        <v>214</v>
      </c>
      <c r="I446" s="566">
        <v>458244000</v>
      </c>
    </row>
    <row r="447" spans="1:9" ht="16" x14ac:dyDescent="0.2">
      <c r="A447" s="567">
        <v>46038</v>
      </c>
      <c r="B447" s="568">
        <v>2026</v>
      </c>
      <c r="C447" s="569">
        <v>1</v>
      </c>
      <c r="D447" s="570">
        <v>3</v>
      </c>
      <c r="E447" s="570">
        <v>16</v>
      </c>
      <c r="F447" s="571" t="s">
        <v>59</v>
      </c>
      <c r="G447" s="569" t="s">
        <v>59</v>
      </c>
      <c r="H447" s="569" t="s">
        <v>216</v>
      </c>
      <c r="I447" s="572">
        <v>225373610</v>
      </c>
    </row>
    <row r="448" spans="1:9" ht="16" x14ac:dyDescent="0.2">
      <c r="A448" s="561">
        <v>46038</v>
      </c>
      <c r="B448" s="562">
        <v>2026</v>
      </c>
      <c r="C448" s="563">
        <v>1</v>
      </c>
      <c r="D448" s="564">
        <v>3</v>
      </c>
      <c r="E448" s="564">
        <v>16</v>
      </c>
      <c r="F448" s="565" t="s">
        <v>31</v>
      </c>
      <c r="G448" s="563" t="s">
        <v>175</v>
      </c>
      <c r="H448" s="563" t="s">
        <v>212</v>
      </c>
      <c r="I448" s="566">
        <v>3781010000</v>
      </c>
    </row>
    <row r="449" spans="1:9" ht="16" x14ac:dyDescent="0.2">
      <c r="A449" s="567">
        <v>46038</v>
      </c>
      <c r="B449" s="568">
        <v>2026</v>
      </c>
      <c r="C449" s="569">
        <v>1</v>
      </c>
      <c r="D449" s="570">
        <v>3</v>
      </c>
      <c r="E449" s="570">
        <v>16</v>
      </c>
      <c r="F449" s="571" t="s">
        <v>234</v>
      </c>
      <c r="G449" s="569" t="s">
        <v>210</v>
      </c>
      <c r="H449" s="569" t="s">
        <v>214</v>
      </c>
      <c r="I449" s="572">
        <v>143680000</v>
      </c>
    </row>
    <row r="450" spans="1:9" ht="16" x14ac:dyDescent="0.2">
      <c r="A450" s="561">
        <v>46039</v>
      </c>
      <c r="B450" s="562">
        <v>2026</v>
      </c>
      <c r="C450" s="563">
        <v>1</v>
      </c>
      <c r="D450" s="564">
        <v>3</v>
      </c>
      <c r="E450" s="564">
        <v>17</v>
      </c>
      <c r="F450" s="565" t="s">
        <v>65</v>
      </c>
      <c r="G450" s="563" t="s">
        <v>65</v>
      </c>
      <c r="H450" s="563" t="s">
        <v>212</v>
      </c>
      <c r="I450" s="566">
        <v>763750000</v>
      </c>
    </row>
    <row r="451" spans="1:9" ht="16" x14ac:dyDescent="0.2">
      <c r="A451" s="567">
        <v>46039</v>
      </c>
      <c r="B451" s="568">
        <v>2026</v>
      </c>
      <c r="C451" s="569">
        <v>1</v>
      </c>
      <c r="D451" s="570">
        <v>3</v>
      </c>
      <c r="E451" s="570">
        <v>17</v>
      </c>
      <c r="F451" s="571" t="s">
        <v>66</v>
      </c>
      <c r="G451" s="569" t="s">
        <v>66</v>
      </c>
      <c r="H451" s="569" t="s">
        <v>216</v>
      </c>
      <c r="I451" s="572">
        <v>315997649</v>
      </c>
    </row>
    <row r="452" spans="1:9" ht="16" x14ac:dyDescent="0.2">
      <c r="A452" s="561">
        <v>46039</v>
      </c>
      <c r="B452" s="562">
        <v>2026</v>
      </c>
      <c r="C452" s="563">
        <v>1</v>
      </c>
      <c r="D452" s="564">
        <v>3</v>
      </c>
      <c r="E452" s="564">
        <v>17</v>
      </c>
      <c r="F452" s="565" t="s">
        <v>24</v>
      </c>
      <c r="G452" s="563" t="s">
        <v>24</v>
      </c>
      <c r="H452" s="563" t="s">
        <v>212</v>
      </c>
      <c r="I452" s="566">
        <v>12375720000</v>
      </c>
    </row>
    <row r="453" spans="1:9" ht="16" x14ac:dyDescent="0.2">
      <c r="A453" s="567">
        <v>46039</v>
      </c>
      <c r="B453" s="568">
        <v>2026</v>
      </c>
      <c r="C453" s="569">
        <v>1</v>
      </c>
      <c r="D453" s="570">
        <v>3</v>
      </c>
      <c r="E453" s="570">
        <v>17</v>
      </c>
      <c r="F453" s="571" t="s">
        <v>67</v>
      </c>
      <c r="G453" s="569" t="s">
        <v>67</v>
      </c>
      <c r="H453" s="569" t="s">
        <v>213</v>
      </c>
      <c r="I453" s="572">
        <v>1705600752</v>
      </c>
    </row>
    <row r="454" spans="1:9" ht="16" x14ac:dyDescent="0.2">
      <c r="A454" s="561">
        <v>46039</v>
      </c>
      <c r="B454" s="562">
        <v>2026</v>
      </c>
      <c r="C454" s="563">
        <v>1</v>
      </c>
      <c r="D454" s="564">
        <v>3</v>
      </c>
      <c r="E454" s="564">
        <v>17</v>
      </c>
      <c r="F454" s="565" t="s">
        <v>28</v>
      </c>
      <c r="G454" s="563" t="s">
        <v>28</v>
      </c>
      <c r="H454" s="563" t="s">
        <v>214</v>
      </c>
      <c r="I454" s="566">
        <v>14618448000</v>
      </c>
    </row>
    <row r="455" spans="1:9" ht="16" x14ac:dyDescent="0.2">
      <c r="A455" s="567">
        <v>46039</v>
      </c>
      <c r="B455" s="568">
        <v>2026</v>
      </c>
      <c r="C455" s="569">
        <v>1</v>
      </c>
      <c r="D455" s="570">
        <v>3</v>
      </c>
      <c r="E455" s="570">
        <v>17</v>
      </c>
      <c r="F455" s="571" t="s">
        <v>208</v>
      </c>
      <c r="G455" s="569" t="s">
        <v>208</v>
      </c>
      <c r="H455" s="569" t="s">
        <v>216</v>
      </c>
      <c r="I455" s="572">
        <v>5236551</v>
      </c>
    </row>
    <row r="456" spans="1:9" ht="16" x14ac:dyDescent="0.2">
      <c r="A456" s="561">
        <v>46039</v>
      </c>
      <c r="B456" s="562">
        <v>2026</v>
      </c>
      <c r="C456" s="563">
        <v>1</v>
      </c>
      <c r="D456" s="564">
        <v>3</v>
      </c>
      <c r="E456" s="564">
        <v>17</v>
      </c>
      <c r="F456" s="565" t="s">
        <v>60</v>
      </c>
      <c r="G456" s="563" t="s">
        <v>60</v>
      </c>
      <c r="H456" s="563" t="s">
        <v>212</v>
      </c>
      <c r="I456" s="566">
        <v>0</v>
      </c>
    </row>
    <row r="457" spans="1:9" ht="16" x14ac:dyDescent="0.2">
      <c r="A457" s="567">
        <v>46039</v>
      </c>
      <c r="B457" s="568">
        <v>2026</v>
      </c>
      <c r="C457" s="569">
        <v>1</v>
      </c>
      <c r="D457" s="570">
        <v>3</v>
      </c>
      <c r="E457" s="570">
        <v>17</v>
      </c>
      <c r="F457" s="571" t="s">
        <v>36</v>
      </c>
      <c r="G457" s="569" t="s">
        <v>36</v>
      </c>
      <c r="H457" s="569" t="s">
        <v>212</v>
      </c>
      <c r="I457" s="572">
        <v>3993880000</v>
      </c>
    </row>
    <row r="458" spans="1:9" ht="16" x14ac:dyDescent="0.2">
      <c r="A458" s="561">
        <v>46039</v>
      </c>
      <c r="B458" s="562">
        <v>2026</v>
      </c>
      <c r="C458" s="563">
        <v>1</v>
      </c>
      <c r="D458" s="564">
        <v>3</v>
      </c>
      <c r="E458" s="564">
        <v>17</v>
      </c>
      <c r="F458" s="565" t="s">
        <v>55</v>
      </c>
      <c r="G458" s="563" t="s">
        <v>36</v>
      </c>
      <c r="H458" s="563" t="s">
        <v>212</v>
      </c>
      <c r="I458" s="566">
        <v>954800000</v>
      </c>
    </row>
    <row r="459" spans="1:9" ht="16" x14ac:dyDescent="0.2">
      <c r="A459" s="567">
        <v>46039</v>
      </c>
      <c r="B459" s="568">
        <v>2026</v>
      </c>
      <c r="C459" s="569">
        <v>1</v>
      </c>
      <c r="D459" s="570">
        <v>3</v>
      </c>
      <c r="E459" s="570">
        <v>17</v>
      </c>
      <c r="F459" s="571" t="s">
        <v>176</v>
      </c>
      <c r="G459" s="569" t="s">
        <v>176</v>
      </c>
      <c r="H459" s="569" t="s">
        <v>216</v>
      </c>
      <c r="I459" s="572">
        <v>1673387</v>
      </c>
    </row>
    <row r="460" spans="1:9" ht="16" x14ac:dyDescent="0.2">
      <c r="A460" s="561">
        <v>46039</v>
      </c>
      <c r="B460" s="562">
        <v>2026</v>
      </c>
      <c r="C460" s="563">
        <v>1</v>
      </c>
      <c r="D460" s="564">
        <v>3</v>
      </c>
      <c r="E460" s="564">
        <v>17</v>
      </c>
      <c r="F460" s="565" t="s">
        <v>39</v>
      </c>
      <c r="G460" s="563" t="s">
        <v>176</v>
      </c>
      <c r="H460" s="563" t="s">
        <v>216</v>
      </c>
      <c r="I460" s="566">
        <v>1558276088</v>
      </c>
    </row>
    <row r="461" spans="1:9" ht="16" x14ac:dyDescent="0.2">
      <c r="A461" s="567">
        <v>46039</v>
      </c>
      <c r="B461" s="568">
        <v>2026</v>
      </c>
      <c r="C461" s="569">
        <v>1</v>
      </c>
      <c r="D461" s="570">
        <v>3</v>
      </c>
      <c r="E461" s="570">
        <v>17</v>
      </c>
      <c r="F461" s="571" t="s">
        <v>206</v>
      </c>
      <c r="G461" s="569" t="s">
        <v>206</v>
      </c>
      <c r="H461" s="569" t="s">
        <v>212</v>
      </c>
      <c r="I461" s="572">
        <v>0</v>
      </c>
    </row>
    <row r="462" spans="1:9" ht="16" x14ac:dyDescent="0.2">
      <c r="A462" s="561">
        <v>46039</v>
      </c>
      <c r="B462" s="562">
        <v>2026</v>
      </c>
      <c r="C462" s="563">
        <v>1</v>
      </c>
      <c r="D462" s="564">
        <v>3</v>
      </c>
      <c r="E462" s="564">
        <v>17</v>
      </c>
      <c r="F462" s="565" t="s">
        <v>64</v>
      </c>
      <c r="G462" s="563" t="s">
        <v>209</v>
      </c>
      <c r="H462" s="563" t="s">
        <v>212</v>
      </c>
      <c r="I462" s="566">
        <v>99450000</v>
      </c>
    </row>
    <row r="463" spans="1:9" ht="16" x14ac:dyDescent="0.2">
      <c r="A463" s="567">
        <v>46039</v>
      </c>
      <c r="B463" s="568">
        <v>2026</v>
      </c>
      <c r="C463" s="569">
        <v>1</v>
      </c>
      <c r="D463" s="570">
        <v>3</v>
      </c>
      <c r="E463" s="570">
        <v>17</v>
      </c>
      <c r="F463" s="571" t="s">
        <v>237</v>
      </c>
      <c r="G463" s="569" t="s">
        <v>209</v>
      </c>
      <c r="H463" s="569" t="s">
        <v>212</v>
      </c>
      <c r="I463" s="572">
        <v>0</v>
      </c>
    </row>
    <row r="464" spans="1:9" ht="16" x14ac:dyDescent="0.2">
      <c r="A464" s="561">
        <v>46039</v>
      </c>
      <c r="B464" s="562">
        <v>2026</v>
      </c>
      <c r="C464" s="563">
        <v>1</v>
      </c>
      <c r="D464" s="564">
        <v>3</v>
      </c>
      <c r="E464" s="564">
        <v>17</v>
      </c>
      <c r="F464" s="565" t="s">
        <v>11</v>
      </c>
      <c r="G464" s="563" t="s">
        <v>11</v>
      </c>
      <c r="H464" s="563" t="s">
        <v>212</v>
      </c>
      <c r="I464" s="566">
        <v>15122490000</v>
      </c>
    </row>
    <row r="465" spans="1:9" ht="16" x14ac:dyDescent="0.2">
      <c r="A465" s="567">
        <v>46039</v>
      </c>
      <c r="B465" s="568">
        <v>2026</v>
      </c>
      <c r="C465" s="569">
        <v>1</v>
      </c>
      <c r="D465" s="570">
        <v>3</v>
      </c>
      <c r="E465" s="570">
        <v>17</v>
      </c>
      <c r="F465" s="571" t="s">
        <v>221</v>
      </c>
      <c r="G465" s="569" t="s">
        <v>207</v>
      </c>
      <c r="H465" s="569" t="s">
        <v>212</v>
      </c>
      <c r="I465" s="572">
        <v>0</v>
      </c>
    </row>
    <row r="466" spans="1:9" ht="16" x14ac:dyDescent="0.2">
      <c r="A466" s="561">
        <v>46039</v>
      </c>
      <c r="B466" s="562">
        <v>2026</v>
      </c>
      <c r="C466" s="563">
        <v>1</v>
      </c>
      <c r="D466" s="564">
        <v>3</v>
      </c>
      <c r="E466" s="564">
        <v>17</v>
      </c>
      <c r="F466" s="565" t="s">
        <v>222</v>
      </c>
      <c r="G466" s="563" t="s">
        <v>207</v>
      </c>
      <c r="H466" s="563" t="s">
        <v>212</v>
      </c>
      <c r="I466" s="566">
        <v>0</v>
      </c>
    </row>
    <row r="467" spans="1:9" ht="16" x14ac:dyDescent="0.2">
      <c r="A467" s="567">
        <v>46039</v>
      </c>
      <c r="B467" s="568">
        <v>2026</v>
      </c>
      <c r="C467" s="569">
        <v>1</v>
      </c>
      <c r="D467" s="570">
        <v>3</v>
      </c>
      <c r="E467" s="570">
        <v>17</v>
      </c>
      <c r="F467" s="571" t="s">
        <v>223</v>
      </c>
      <c r="G467" s="569" t="s">
        <v>207</v>
      </c>
      <c r="H467" s="569" t="s">
        <v>212</v>
      </c>
      <c r="I467" s="572">
        <v>0</v>
      </c>
    </row>
    <row r="468" spans="1:9" ht="16" x14ac:dyDescent="0.2">
      <c r="A468" s="561">
        <v>46039</v>
      </c>
      <c r="B468" s="562">
        <v>2026</v>
      </c>
      <c r="C468" s="563">
        <v>1</v>
      </c>
      <c r="D468" s="564">
        <v>3</v>
      </c>
      <c r="E468" s="564">
        <v>17</v>
      </c>
      <c r="F468" s="565" t="s">
        <v>219</v>
      </c>
      <c r="G468" s="563" t="s">
        <v>11</v>
      </c>
      <c r="H468" s="563" t="s">
        <v>212</v>
      </c>
      <c r="I468" s="566">
        <v>0</v>
      </c>
    </row>
    <row r="469" spans="1:9" ht="16" x14ac:dyDescent="0.2">
      <c r="A469" s="567">
        <v>46039</v>
      </c>
      <c r="B469" s="568">
        <v>2026</v>
      </c>
      <c r="C469" s="569">
        <v>1</v>
      </c>
      <c r="D469" s="570">
        <v>3</v>
      </c>
      <c r="E469" s="570">
        <v>17</v>
      </c>
      <c r="F469" s="571" t="s">
        <v>19</v>
      </c>
      <c r="G469" s="569" t="s">
        <v>19</v>
      </c>
      <c r="H469" s="569" t="s">
        <v>214</v>
      </c>
      <c r="I469" s="572">
        <v>11909484000</v>
      </c>
    </row>
    <row r="470" spans="1:9" ht="16" x14ac:dyDescent="0.2">
      <c r="A470" s="561">
        <v>46039</v>
      </c>
      <c r="B470" s="562">
        <v>2026</v>
      </c>
      <c r="C470" s="563">
        <v>1</v>
      </c>
      <c r="D470" s="564">
        <v>3</v>
      </c>
      <c r="E470" s="564">
        <v>17</v>
      </c>
      <c r="F470" s="565" t="s">
        <v>62</v>
      </c>
      <c r="G470" s="563" t="s">
        <v>62</v>
      </c>
      <c r="H470" s="563" t="s">
        <v>216</v>
      </c>
      <c r="I470" s="566">
        <v>183131625</v>
      </c>
    </row>
    <row r="471" spans="1:9" ht="16" x14ac:dyDescent="0.2">
      <c r="A471" s="567">
        <v>46039</v>
      </c>
      <c r="B471" s="568">
        <v>2026</v>
      </c>
      <c r="C471" s="569">
        <v>1</v>
      </c>
      <c r="D471" s="570">
        <v>3</v>
      </c>
      <c r="E471" s="570">
        <v>17</v>
      </c>
      <c r="F471" s="571" t="s">
        <v>58</v>
      </c>
      <c r="G471" s="569" t="s">
        <v>58</v>
      </c>
      <c r="H471" s="569" t="s">
        <v>212</v>
      </c>
      <c r="I471" s="572">
        <v>0</v>
      </c>
    </row>
    <row r="472" spans="1:9" ht="16" x14ac:dyDescent="0.2">
      <c r="A472" s="561">
        <v>46039</v>
      </c>
      <c r="B472" s="562">
        <v>2026</v>
      </c>
      <c r="C472" s="563">
        <v>1</v>
      </c>
      <c r="D472" s="564">
        <v>3</v>
      </c>
      <c r="E472" s="564">
        <v>17</v>
      </c>
      <c r="F472" s="565" t="s">
        <v>61</v>
      </c>
      <c r="G472" s="563" t="s">
        <v>61</v>
      </c>
      <c r="H472" s="563" t="s">
        <v>214</v>
      </c>
      <c r="I472" s="566">
        <v>30000000</v>
      </c>
    </row>
    <row r="473" spans="1:9" ht="16" x14ac:dyDescent="0.2">
      <c r="A473" s="567">
        <v>46039</v>
      </c>
      <c r="B473" s="568">
        <v>2026</v>
      </c>
      <c r="C473" s="569">
        <v>1</v>
      </c>
      <c r="D473" s="570">
        <v>3</v>
      </c>
      <c r="E473" s="570">
        <v>17</v>
      </c>
      <c r="F473" s="571" t="s">
        <v>57</v>
      </c>
      <c r="G473" s="569" t="s">
        <v>57</v>
      </c>
      <c r="H473" s="569" t="s">
        <v>212</v>
      </c>
      <c r="I473" s="572">
        <v>847010000</v>
      </c>
    </row>
    <row r="474" spans="1:9" ht="16" x14ac:dyDescent="0.2">
      <c r="A474" s="561">
        <v>46039</v>
      </c>
      <c r="B474" s="562">
        <v>2026</v>
      </c>
      <c r="C474" s="563">
        <v>1</v>
      </c>
      <c r="D474" s="564">
        <v>3</v>
      </c>
      <c r="E474" s="564">
        <v>17</v>
      </c>
      <c r="F474" s="565" t="s">
        <v>63</v>
      </c>
      <c r="G474" s="563" t="s">
        <v>63</v>
      </c>
      <c r="H474" s="563" t="s">
        <v>214</v>
      </c>
      <c r="I474" s="566">
        <v>453708000</v>
      </c>
    </row>
    <row r="475" spans="1:9" ht="16" x14ac:dyDescent="0.2">
      <c r="A475" s="567">
        <v>46039</v>
      </c>
      <c r="B475" s="568">
        <v>2026</v>
      </c>
      <c r="C475" s="569">
        <v>1</v>
      </c>
      <c r="D475" s="570">
        <v>3</v>
      </c>
      <c r="E475" s="570">
        <v>17</v>
      </c>
      <c r="F475" s="571" t="s">
        <v>59</v>
      </c>
      <c r="G475" s="569" t="s">
        <v>59</v>
      </c>
      <c r="H475" s="569" t="s">
        <v>216</v>
      </c>
      <c r="I475" s="572">
        <v>275714787</v>
      </c>
    </row>
    <row r="476" spans="1:9" ht="16" x14ac:dyDescent="0.2">
      <c r="A476" s="561">
        <v>46039</v>
      </c>
      <c r="B476" s="562">
        <v>2026</v>
      </c>
      <c r="C476" s="563">
        <v>1</v>
      </c>
      <c r="D476" s="564">
        <v>3</v>
      </c>
      <c r="E476" s="564">
        <v>17</v>
      </c>
      <c r="F476" s="565" t="s">
        <v>31</v>
      </c>
      <c r="G476" s="563" t="s">
        <v>175</v>
      </c>
      <c r="H476" s="563" t="s">
        <v>212</v>
      </c>
      <c r="I476" s="566">
        <v>3251140000</v>
      </c>
    </row>
    <row r="477" spans="1:9" ht="16" x14ac:dyDescent="0.2">
      <c r="A477" s="567">
        <v>46039</v>
      </c>
      <c r="B477" s="568">
        <v>2026</v>
      </c>
      <c r="C477" s="569">
        <v>1</v>
      </c>
      <c r="D477" s="570">
        <v>3</v>
      </c>
      <c r="E477" s="570">
        <v>17</v>
      </c>
      <c r="F477" s="571" t="s">
        <v>234</v>
      </c>
      <c r="G477" s="569" t="s">
        <v>210</v>
      </c>
      <c r="H477" s="569" t="s">
        <v>214</v>
      </c>
      <c r="I477" s="572">
        <v>300520000</v>
      </c>
    </row>
    <row r="478" spans="1:9" ht="16" x14ac:dyDescent="0.2">
      <c r="A478" s="561">
        <v>46040</v>
      </c>
      <c r="B478" s="562">
        <v>2026</v>
      </c>
      <c r="C478" s="563">
        <v>1</v>
      </c>
      <c r="D478" s="564">
        <v>3</v>
      </c>
      <c r="E478" s="564">
        <v>18</v>
      </c>
      <c r="F478" s="565" t="s">
        <v>65</v>
      </c>
      <c r="G478" s="563" t="s">
        <v>65</v>
      </c>
      <c r="H478" s="563" t="s">
        <v>212</v>
      </c>
      <c r="I478" s="566">
        <v>819800000</v>
      </c>
    </row>
    <row r="479" spans="1:9" ht="16" x14ac:dyDescent="0.2">
      <c r="A479" s="567">
        <v>46040</v>
      </c>
      <c r="B479" s="568">
        <v>2026</v>
      </c>
      <c r="C479" s="569">
        <v>1</v>
      </c>
      <c r="D479" s="570">
        <v>3</v>
      </c>
      <c r="E479" s="570">
        <v>18</v>
      </c>
      <c r="F479" s="571" t="s">
        <v>66</v>
      </c>
      <c r="G479" s="569" t="s">
        <v>66</v>
      </c>
      <c r="H479" s="569" t="s">
        <v>216</v>
      </c>
      <c r="I479" s="572">
        <v>300144473</v>
      </c>
    </row>
    <row r="480" spans="1:9" ht="16" x14ac:dyDescent="0.2">
      <c r="A480" s="561">
        <v>46040</v>
      </c>
      <c r="B480" s="562">
        <v>2026</v>
      </c>
      <c r="C480" s="563">
        <v>1</v>
      </c>
      <c r="D480" s="564">
        <v>3</v>
      </c>
      <c r="E480" s="564">
        <v>18</v>
      </c>
      <c r="F480" s="565" t="s">
        <v>24</v>
      </c>
      <c r="G480" s="563" t="s">
        <v>24</v>
      </c>
      <c r="H480" s="563" t="s">
        <v>212</v>
      </c>
      <c r="I480" s="566">
        <v>12551320000</v>
      </c>
    </row>
    <row r="481" spans="1:9" ht="16" x14ac:dyDescent="0.2">
      <c r="A481" s="567">
        <v>46040</v>
      </c>
      <c r="B481" s="568">
        <v>2026</v>
      </c>
      <c r="C481" s="569">
        <v>1</v>
      </c>
      <c r="D481" s="570">
        <v>3</v>
      </c>
      <c r="E481" s="570">
        <v>18</v>
      </c>
      <c r="F481" s="571" t="s">
        <v>67</v>
      </c>
      <c r="G481" s="569" t="s">
        <v>67</v>
      </c>
      <c r="H481" s="569" t="s">
        <v>213</v>
      </c>
      <c r="I481" s="572">
        <v>1468190659</v>
      </c>
    </row>
    <row r="482" spans="1:9" ht="16" x14ac:dyDescent="0.2">
      <c r="A482" s="561">
        <v>46040</v>
      </c>
      <c r="B482" s="562">
        <v>2026</v>
      </c>
      <c r="C482" s="563">
        <v>1</v>
      </c>
      <c r="D482" s="564">
        <v>3</v>
      </c>
      <c r="E482" s="564">
        <v>18</v>
      </c>
      <c r="F482" s="565" t="s">
        <v>28</v>
      </c>
      <c r="G482" s="563" t="s">
        <v>28</v>
      </c>
      <c r="H482" s="563" t="s">
        <v>214</v>
      </c>
      <c r="I482" s="566">
        <v>14384520000</v>
      </c>
    </row>
    <row r="483" spans="1:9" ht="16" x14ac:dyDescent="0.2">
      <c r="A483" s="567">
        <v>46040</v>
      </c>
      <c r="B483" s="568">
        <v>2026</v>
      </c>
      <c r="C483" s="569">
        <v>1</v>
      </c>
      <c r="D483" s="570">
        <v>3</v>
      </c>
      <c r="E483" s="570">
        <v>18</v>
      </c>
      <c r="F483" s="571" t="s">
        <v>208</v>
      </c>
      <c r="G483" s="569" t="s">
        <v>208</v>
      </c>
      <c r="H483" s="569" t="s">
        <v>216</v>
      </c>
      <c r="I483" s="572">
        <v>6697906</v>
      </c>
    </row>
    <row r="484" spans="1:9" ht="16" x14ac:dyDescent="0.2">
      <c r="A484" s="561">
        <v>46040</v>
      </c>
      <c r="B484" s="562">
        <v>2026</v>
      </c>
      <c r="C484" s="563">
        <v>1</v>
      </c>
      <c r="D484" s="564">
        <v>3</v>
      </c>
      <c r="E484" s="564">
        <v>18</v>
      </c>
      <c r="F484" s="565" t="s">
        <v>60</v>
      </c>
      <c r="G484" s="563" t="s">
        <v>60</v>
      </c>
      <c r="H484" s="563" t="s">
        <v>212</v>
      </c>
      <c r="I484" s="566">
        <v>0</v>
      </c>
    </row>
    <row r="485" spans="1:9" ht="16" x14ac:dyDescent="0.2">
      <c r="A485" s="567">
        <v>46040</v>
      </c>
      <c r="B485" s="568">
        <v>2026</v>
      </c>
      <c r="C485" s="569">
        <v>1</v>
      </c>
      <c r="D485" s="570">
        <v>3</v>
      </c>
      <c r="E485" s="570">
        <v>18</v>
      </c>
      <c r="F485" s="571" t="s">
        <v>36</v>
      </c>
      <c r="G485" s="569" t="s">
        <v>36</v>
      </c>
      <c r="H485" s="569" t="s">
        <v>212</v>
      </c>
      <c r="I485" s="572">
        <v>5934900000</v>
      </c>
    </row>
    <row r="486" spans="1:9" ht="16" x14ac:dyDescent="0.2">
      <c r="A486" s="561">
        <v>46040</v>
      </c>
      <c r="B486" s="562">
        <v>2026</v>
      </c>
      <c r="C486" s="563">
        <v>1</v>
      </c>
      <c r="D486" s="564">
        <v>3</v>
      </c>
      <c r="E486" s="564">
        <v>18</v>
      </c>
      <c r="F486" s="565" t="s">
        <v>55</v>
      </c>
      <c r="G486" s="563" t="s">
        <v>36</v>
      </c>
      <c r="H486" s="563" t="s">
        <v>212</v>
      </c>
      <c r="I486" s="566">
        <v>1204830000</v>
      </c>
    </row>
    <row r="487" spans="1:9" ht="16" x14ac:dyDescent="0.2">
      <c r="A487" s="567">
        <v>46040</v>
      </c>
      <c r="B487" s="568">
        <v>2026</v>
      </c>
      <c r="C487" s="569">
        <v>1</v>
      </c>
      <c r="D487" s="570">
        <v>3</v>
      </c>
      <c r="E487" s="570">
        <v>18</v>
      </c>
      <c r="F487" s="571" t="s">
        <v>176</v>
      </c>
      <c r="G487" s="569" t="s">
        <v>176</v>
      </c>
      <c r="H487" s="569" t="s">
        <v>216</v>
      </c>
      <c r="I487" s="572">
        <v>7300100</v>
      </c>
    </row>
    <row r="488" spans="1:9" ht="16" x14ac:dyDescent="0.2">
      <c r="A488" s="561">
        <v>46040</v>
      </c>
      <c r="B488" s="562">
        <v>2026</v>
      </c>
      <c r="C488" s="563">
        <v>1</v>
      </c>
      <c r="D488" s="564">
        <v>3</v>
      </c>
      <c r="E488" s="564">
        <v>18</v>
      </c>
      <c r="F488" s="565" t="s">
        <v>39</v>
      </c>
      <c r="G488" s="563" t="s">
        <v>176</v>
      </c>
      <c r="H488" s="563" t="s">
        <v>216</v>
      </c>
      <c r="I488" s="566">
        <v>1740651335</v>
      </c>
    </row>
    <row r="489" spans="1:9" ht="16" x14ac:dyDescent="0.2">
      <c r="A489" s="567">
        <v>46040</v>
      </c>
      <c r="B489" s="568">
        <v>2026</v>
      </c>
      <c r="C489" s="569">
        <v>1</v>
      </c>
      <c r="D489" s="570">
        <v>3</v>
      </c>
      <c r="E489" s="570">
        <v>18</v>
      </c>
      <c r="F489" s="571" t="s">
        <v>206</v>
      </c>
      <c r="G489" s="569" t="s">
        <v>206</v>
      </c>
      <c r="H489" s="569" t="s">
        <v>212</v>
      </c>
      <c r="I489" s="572">
        <v>0</v>
      </c>
    </row>
    <row r="490" spans="1:9" ht="16" x14ac:dyDescent="0.2">
      <c r="A490" s="561">
        <v>46040</v>
      </c>
      <c r="B490" s="562">
        <v>2026</v>
      </c>
      <c r="C490" s="563">
        <v>1</v>
      </c>
      <c r="D490" s="564">
        <v>3</v>
      </c>
      <c r="E490" s="564">
        <v>18</v>
      </c>
      <c r="F490" s="565" t="s">
        <v>64</v>
      </c>
      <c r="G490" s="563" t="s">
        <v>209</v>
      </c>
      <c r="H490" s="563" t="s">
        <v>212</v>
      </c>
      <c r="I490" s="566">
        <v>195550000</v>
      </c>
    </row>
    <row r="491" spans="1:9" ht="16" x14ac:dyDescent="0.2">
      <c r="A491" s="567">
        <v>46040</v>
      </c>
      <c r="B491" s="568">
        <v>2026</v>
      </c>
      <c r="C491" s="569">
        <v>1</v>
      </c>
      <c r="D491" s="570">
        <v>3</v>
      </c>
      <c r="E491" s="570">
        <v>18</v>
      </c>
      <c r="F491" s="571" t="s">
        <v>237</v>
      </c>
      <c r="G491" s="569" t="s">
        <v>209</v>
      </c>
      <c r="H491" s="569" t="s">
        <v>212</v>
      </c>
      <c r="I491" s="572">
        <v>0</v>
      </c>
    </row>
    <row r="492" spans="1:9" ht="16" x14ac:dyDescent="0.2">
      <c r="A492" s="561">
        <v>46040</v>
      </c>
      <c r="B492" s="562">
        <v>2026</v>
      </c>
      <c r="C492" s="563">
        <v>1</v>
      </c>
      <c r="D492" s="564">
        <v>3</v>
      </c>
      <c r="E492" s="564">
        <v>18</v>
      </c>
      <c r="F492" s="565" t="s">
        <v>11</v>
      </c>
      <c r="G492" s="563" t="s">
        <v>11</v>
      </c>
      <c r="H492" s="563" t="s">
        <v>212</v>
      </c>
      <c r="I492" s="566">
        <v>16180000000</v>
      </c>
    </row>
    <row r="493" spans="1:9" ht="16" x14ac:dyDescent="0.2">
      <c r="A493" s="567">
        <v>46040</v>
      </c>
      <c r="B493" s="568">
        <v>2026</v>
      </c>
      <c r="C493" s="569">
        <v>1</v>
      </c>
      <c r="D493" s="570">
        <v>3</v>
      </c>
      <c r="E493" s="570">
        <v>18</v>
      </c>
      <c r="F493" s="571" t="s">
        <v>221</v>
      </c>
      <c r="G493" s="569" t="s">
        <v>207</v>
      </c>
      <c r="H493" s="569" t="s">
        <v>212</v>
      </c>
      <c r="I493" s="572">
        <v>0</v>
      </c>
    </row>
    <row r="494" spans="1:9" ht="16" x14ac:dyDescent="0.2">
      <c r="A494" s="561">
        <v>46040</v>
      </c>
      <c r="B494" s="562">
        <v>2026</v>
      </c>
      <c r="C494" s="563">
        <v>1</v>
      </c>
      <c r="D494" s="564">
        <v>3</v>
      </c>
      <c r="E494" s="564">
        <v>18</v>
      </c>
      <c r="F494" s="565" t="s">
        <v>222</v>
      </c>
      <c r="G494" s="563" t="s">
        <v>207</v>
      </c>
      <c r="H494" s="563" t="s">
        <v>212</v>
      </c>
      <c r="I494" s="566">
        <v>0</v>
      </c>
    </row>
    <row r="495" spans="1:9" ht="16" x14ac:dyDescent="0.2">
      <c r="A495" s="567">
        <v>46040</v>
      </c>
      <c r="B495" s="568">
        <v>2026</v>
      </c>
      <c r="C495" s="569">
        <v>1</v>
      </c>
      <c r="D495" s="570">
        <v>3</v>
      </c>
      <c r="E495" s="570">
        <v>18</v>
      </c>
      <c r="F495" s="571" t="s">
        <v>223</v>
      </c>
      <c r="G495" s="569" t="s">
        <v>207</v>
      </c>
      <c r="H495" s="569" t="s">
        <v>212</v>
      </c>
      <c r="I495" s="572">
        <v>0</v>
      </c>
    </row>
    <row r="496" spans="1:9" ht="16" x14ac:dyDescent="0.2">
      <c r="A496" s="561">
        <v>46040</v>
      </c>
      <c r="B496" s="562">
        <v>2026</v>
      </c>
      <c r="C496" s="563">
        <v>1</v>
      </c>
      <c r="D496" s="564">
        <v>3</v>
      </c>
      <c r="E496" s="564">
        <v>18</v>
      </c>
      <c r="F496" s="565" t="s">
        <v>219</v>
      </c>
      <c r="G496" s="563" t="s">
        <v>11</v>
      </c>
      <c r="H496" s="563" t="s">
        <v>212</v>
      </c>
      <c r="I496" s="566">
        <v>0</v>
      </c>
    </row>
    <row r="497" spans="1:9" ht="16" x14ac:dyDescent="0.2">
      <c r="A497" s="567">
        <v>46040</v>
      </c>
      <c r="B497" s="568">
        <v>2026</v>
      </c>
      <c r="C497" s="569">
        <v>1</v>
      </c>
      <c r="D497" s="570">
        <v>3</v>
      </c>
      <c r="E497" s="570">
        <v>18</v>
      </c>
      <c r="F497" s="571" t="s">
        <v>19</v>
      </c>
      <c r="G497" s="569" t="s">
        <v>19</v>
      </c>
      <c r="H497" s="569" t="s">
        <v>214</v>
      </c>
      <c r="I497" s="572">
        <v>11843928000</v>
      </c>
    </row>
    <row r="498" spans="1:9" ht="16" x14ac:dyDescent="0.2">
      <c r="A498" s="561">
        <v>46040</v>
      </c>
      <c r="B498" s="562">
        <v>2026</v>
      </c>
      <c r="C498" s="563">
        <v>1</v>
      </c>
      <c r="D498" s="564">
        <v>3</v>
      </c>
      <c r="E498" s="564">
        <v>18</v>
      </c>
      <c r="F498" s="565" t="s">
        <v>62</v>
      </c>
      <c r="G498" s="563" t="s">
        <v>62</v>
      </c>
      <c r="H498" s="563" t="s">
        <v>216</v>
      </c>
      <c r="I498" s="566">
        <v>161783251</v>
      </c>
    </row>
    <row r="499" spans="1:9" ht="16" x14ac:dyDescent="0.2">
      <c r="A499" s="567">
        <v>46040</v>
      </c>
      <c r="B499" s="568">
        <v>2026</v>
      </c>
      <c r="C499" s="569">
        <v>1</v>
      </c>
      <c r="D499" s="570">
        <v>3</v>
      </c>
      <c r="E499" s="570">
        <v>18</v>
      </c>
      <c r="F499" s="571" t="s">
        <v>58</v>
      </c>
      <c r="G499" s="569" t="s">
        <v>58</v>
      </c>
      <c r="H499" s="569" t="s">
        <v>212</v>
      </c>
      <c r="I499" s="572">
        <v>10500000</v>
      </c>
    </row>
    <row r="500" spans="1:9" ht="16" x14ac:dyDescent="0.2">
      <c r="A500" s="561">
        <v>46040</v>
      </c>
      <c r="B500" s="562">
        <v>2026</v>
      </c>
      <c r="C500" s="563">
        <v>1</v>
      </c>
      <c r="D500" s="564">
        <v>3</v>
      </c>
      <c r="E500" s="564">
        <v>18</v>
      </c>
      <c r="F500" s="565" t="s">
        <v>61</v>
      </c>
      <c r="G500" s="563" t="s">
        <v>61</v>
      </c>
      <c r="H500" s="563" t="s">
        <v>214</v>
      </c>
      <c r="I500" s="566">
        <v>34000000</v>
      </c>
    </row>
    <row r="501" spans="1:9" ht="16" x14ac:dyDescent="0.2">
      <c r="A501" s="567">
        <v>46040</v>
      </c>
      <c r="B501" s="568">
        <v>2026</v>
      </c>
      <c r="C501" s="569">
        <v>1</v>
      </c>
      <c r="D501" s="570">
        <v>3</v>
      </c>
      <c r="E501" s="570">
        <v>18</v>
      </c>
      <c r="F501" s="571" t="s">
        <v>57</v>
      </c>
      <c r="G501" s="569" t="s">
        <v>57</v>
      </c>
      <c r="H501" s="569" t="s">
        <v>212</v>
      </c>
      <c r="I501" s="572">
        <v>909750000</v>
      </c>
    </row>
    <row r="502" spans="1:9" ht="16" x14ac:dyDescent="0.2">
      <c r="A502" s="561">
        <v>46040</v>
      </c>
      <c r="B502" s="562">
        <v>2026</v>
      </c>
      <c r="C502" s="563">
        <v>1</v>
      </c>
      <c r="D502" s="564">
        <v>3</v>
      </c>
      <c r="E502" s="564">
        <v>18</v>
      </c>
      <c r="F502" s="565" t="s">
        <v>63</v>
      </c>
      <c r="G502" s="563" t="s">
        <v>63</v>
      </c>
      <c r="H502" s="563" t="s">
        <v>214</v>
      </c>
      <c r="I502" s="566">
        <v>380916000</v>
      </c>
    </row>
    <row r="503" spans="1:9" ht="16" x14ac:dyDescent="0.2">
      <c r="A503" s="567">
        <v>46040</v>
      </c>
      <c r="B503" s="568">
        <v>2026</v>
      </c>
      <c r="C503" s="569">
        <v>1</v>
      </c>
      <c r="D503" s="570">
        <v>3</v>
      </c>
      <c r="E503" s="570">
        <v>18</v>
      </c>
      <c r="F503" s="571" t="s">
        <v>59</v>
      </c>
      <c r="G503" s="569" t="s">
        <v>59</v>
      </c>
      <c r="H503" s="569" t="s">
        <v>216</v>
      </c>
      <c r="I503" s="572">
        <v>206865269</v>
      </c>
    </row>
    <row r="504" spans="1:9" ht="16" x14ac:dyDescent="0.2">
      <c r="A504" s="561">
        <v>46040</v>
      </c>
      <c r="B504" s="562">
        <v>2026</v>
      </c>
      <c r="C504" s="563">
        <v>1</v>
      </c>
      <c r="D504" s="564">
        <v>3</v>
      </c>
      <c r="E504" s="564">
        <v>18</v>
      </c>
      <c r="F504" s="565" t="s">
        <v>31</v>
      </c>
      <c r="G504" s="563" t="s">
        <v>175</v>
      </c>
      <c r="H504" s="563" t="s">
        <v>212</v>
      </c>
      <c r="I504" s="566">
        <v>3016280000</v>
      </c>
    </row>
    <row r="505" spans="1:9" ht="16" x14ac:dyDescent="0.2">
      <c r="A505" s="567">
        <v>46040</v>
      </c>
      <c r="B505" s="568">
        <v>2026</v>
      </c>
      <c r="C505" s="569">
        <v>1</v>
      </c>
      <c r="D505" s="570">
        <v>3</v>
      </c>
      <c r="E505" s="570">
        <v>18</v>
      </c>
      <c r="F505" s="571" t="s">
        <v>234</v>
      </c>
      <c r="G505" s="569" t="s">
        <v>210</v>
      </c>
      <c r="H505" s="569" t="s">
        <v>214</v>
      </c>
      <c r="I505" s="572">
        <v>349800000</v>
      </c>
    </row>
    <row r="506" spans="1:9" ht="16" x14ac:dyDescent="0.2">
      <c r="A506" s="561">
        <v>46041</v>
      </c>
      <c r="B506" s="562">
        <v>2026</v>
      </c>
      <c r="C506" s="563">
        <v>1</v>
      </c>
      <c r="D506" s="564">
        <v>4</v>
      </c>
      <c r="E506" s="564">
        <v>19</v>
      </c>
      <c r="F506" s="565" t="s">
        <v>65</v>
      </c>
      <c r="G506" s="563" t="s">
        <v>65</v>
      </c>
      <c r="H506" s="563" t="s">
        <v>212</v>
      </c>
      <c r="I506" s="566">
        <v>560600000</v>
      </c>
    </row>
    <row r="507" spans="1:9" ht="16" x14ac:dyDescent="0.2">
      <c r="A507" s="567">
        <v>46041</v>
      </c>
      <c r="B507" s="568">
        <v>2026</v>
      </c>
      <c r="C507" s="569">
        <v>1</v>
      </c>
      <c r="D507" s="570">
        <v>4</v>
      </c>
      <c r="E507" s="570">
        <v>19</v>
      </c>
      <c r="F507" s="571" t="s">
        <v>66</v>
      </c>
      <c r="G507" s="569" t="s">
        <v>66</v>
      </c>
      <c r="H507" s="569" t="s">
        <v>216</v>
      </c>
      <c r="I507" s="572">
        <v>274471160</v>
      </c>
    </row>
    <row r="508" spans="1:9" ht="16" x14ac:dyDescent="0.2">
      <c r="A508" s="561">
        <v>46041</v>
      </c>
      <c r="B508" s="562">
        <v>2026</v>
      </c>
      <c r="C508" s="563">
        <v>1</v>
      </c>
      <c r="D508" s="564">
        <v>4</v>
      </c>
      <c r="E508" s="564">
        <v>19</v>
      </c>
      <c r="F508" s="565" t="s">
        <v>24</v>
      </c>
      <c r="G508" s="563" t="s">
        <v>24</v>
      </c>
      <c r="H508" s="563" t="s">
        <v>212</v>
      </c>
      <c r="I508" s="566">
        <v>14654300000</v>
      </c>
    </row>
    <row r="509" spans="1:9" ht="16" x14ac:dyDescent="0.2">
      <c r="A509" s="567">
        <v>46041</v>
      </c>
      <c r="B509" s="568">
        <v>2026</v>
      </c>
      <c r="C509" s="569">
        <v>1</v>
      </c>
      <c r="D509" s="570">
        <v>4</v>
      </c>
      <c r="E509" s="570">
        <v>19</v>
      </c>
      <c r="F509" s="571" t="s">
        <v>67</v>
      </c>
      <c r="G509" s="569" t="s">
        <v>67</v>
      </c>
      <c r="H509" s="569" t="s">
        <v>213</v>
      </c>
      <c r="I509" s="572">
        <v>1683779190</v>
      </c>
    </row>
    <row r="510" spans="1:9" ht="16" x14ac:dyDescent="0.2">
      <c r="A510" s="561">
        <v>46041</v>
      </c>
      <c r="B510" s="562">
        <v>2026</v>
      </c>
      <c r="C510" s="563">
        <v>1</v>
      </c>
      <c r="D510" s="564">
        <v>4</v>
      </c>
      <c r="E510" s="564">
        <v>19</v>
      </c>
      <c r="F510" s="565" t="s">
        <v>28</v>
      </c>
      <c r="G510" s="563" t="s">
        <v>28</v>
      </c>
      <c r="H510" s="563" t="s">
        <v>214</v>
      </c>
      <c r="I510" s="566">
        <v>14651064000</v>
      </c>
    </row>
    <row r="511" spans="1:9" ht="16" x14ac:dyDescent="0.2">
      <c r="A511" s="567">
        <v>46041</v>
      </c>
      <c r="B511" s="568">
        <v>2026</v>
      </c>
      <c r="C511" s="569">
        <v>1</v>
      </c>
      <c r="D511" s="570">
        <v>4</v>
      </c>
      <c r="E511" s="570">
        <v>19</v>
      </c>
      <c r="F511" s="571" t="s">
        <v>208</v>
      </c>
      <c r="G511" s="569" t="s">
        <v>208</v>
      </c>
      <c r="H511" s="569" t="s">
        <v>216</v>
      </c>
      <c r="I511" s="572">
        <v>7712628</v>
      </c>
    </row>
    <row r="512" spans="1:9" ht="16" x14ac:dyDescent="0.2">
      <c r="A512" s="561">
        <v>46041</v>
      </c>
      <c r="B512" s="562">
        <v>2026</v>
      </c>
      <c r="C512" s="563">
        <v>1</v>
      </c>
      <c r="D512" s="564">
        <v>4</v>
      </c>
      <c r="E512" s="564">
        <v>19</v>
      </c>
      <c r="F512" s="565" t="s">
        <v>60</v>
      </c>
      <c r="G512" s="563" t="s">
        <v>60</v>
      </c>
      <c r="H512" s="563" t="s">
        <v>212</v>
      </c>
      <c r="I512" s="566">
        <v>47000000</v>
      </c>
    </row>
    <row r="513" spans="1:9" ht="16" x14ac:dyDescent="0.2">
      <c r="A513" s="567">
        <v>46041</v>
      </c>
      <c r="B513" s="568">
        <v>2026</v>
      </c>
      <c r="C513" s="569">
        <v>1</v>
      </c>
      <c r="D513" s="570">
        <v>4</v>
      </c>
      <c r="E513" s="570">
        <v>19</v>
      </c>
      <c r="F513" s="571" t="s">
        <v>36</v>
      </c>
      <c r="G513" s="569" t="s">
        <v>36</v>
      </c>
      <c r="H513" s="569" t="s">
        <v>212</v>
      </c>
      <c r="I513" s="572">
        <v>5486190000</v>
      </c>
    </row>
    <row r="514" spans="1:9" ht="16" x14ac:dyDescent="0.2">
      <c r="A514" s="561">
        <v>46041</v>
      </c>
      <c r="B514" s="562">
        <v>2026</v>
      </c>
      <c r="C514" s="563">
        <v>1</v>
      </c>
      <c r="D514" s="564">
        <v>4</v>
      </c>
      <c r="E514" s="564">
        <v>19</v>
      </c>
      <c r="F514" s="565" t="s">
        <v>55</v>
      </c>
      <c r="G514" s="563" t="s">
        <v>36</v>
      </c>
      <c r="H514" s="563" t="s">
        <v>212</v>
      </c>
      <c r="I514" s="566">
        <v>1140980000</v>
      </c>
    </row>
    <row r="515" spans="1:9" ht="16" x14ac:dyDescent="0.2">
      <c r="A515" s="567">
        <v>46041</v>
      </c>
      <c r="B515" s="568">
        <v>2026</v>
      </c>
      <c r="C515" s="569">
        <v>1</v>
      </c>
      <c r="D515" s="570">
        <v>4</v>
      </c>
      <c r="E515" s="570">
        <v>19</v>
      </c>
      <c r="F515" s="571" t="s">
        <v>176</v>
      </c>
      <c r="G515" s="569" t="s">
        <v>176</v>
      </c>
      <c r="H515" s="569" t="s">
        <v>216</v>
      </c>
      <c r="I515" s="572">
        <v>8855382</v>
      </c>
    </row>
    <row r="516" spans="1:9" ht="16" x14ac:dyDescent="0.2">
      <c r="A516" s="561">
        <v>46041</v>
      </c>
      <c r="B516" s="562">
        <v>2026</v>
      </c>
      <c r="C516" s="563">
        <v>1</v>
      </c>
      <c r="D516" s="564">
        <v>4</v>
      </c>
      <c r="E516" s="564">
        <v>19</v>
      </c>
      <c r="F516" s="565" t="s">
        <v>39</v>
      </c>
      <c r="G516" s="563" t="s">
        <v>176</v>
      </c>
      <c r="H516" s="563" t="s">
        <v>216</v>
      </c>
      <c r="I516" s="566">
        <v>833682606</v>
      </c>
    </row>
    <row r="517" spans="1:9" ht="16" x14ac:dyDescent="0.2">
      <c r="A517" s="567">
        <v>46041</v>
      </c>
      <c r="B517" s="568">
        <v>2026</v>
      </c>
      <c r="C517" s="569">
        <v>1</v>
      </c>
      <c r="D517" s="570">
        <v>4</v>
      </c>
      <c r="E517" s="570">
        <v>19</v>
      </c>
      <c r="F517" s="571" t="s">
        <v>206</v>
      </c>
      <c r="G517" s="569" t="s">
        <v>206</v>
      </c>
      <c r="H517" s="569" t="s">
        <v>212</v>
      </c>
      <c r="I517" s="572">
        <v>0</v>
      </c>
    </row>
    <row r="518" spans="1:9" ht="16" x14ac:dyDescent="0.2">
      <c r="A518" s="561">
        <v>46041</v>
      </c>
      <c r="B518" s="562">
        <v>2026</v>
      </c>
      <c r="C518" s="563">
        <v>1</v>
      </c>
      <c r="D518" s="564">
        <v>4</v>
      </c>
      <c r="E518" s="564">
        <v>19</v>
      </c>
      <c r="F518" s="565" t="s">
        <v>64</v>
      </c>
      <c r="G518" s="563" t="s">
        <v>209</v>
      </c>
      <c r="H518" s="563" t="s">
        <v>212</v>
      </c>
      <c r="I518" s="566">
        <v>213100000</v>
      </c>
    </row>
    <row r="519" spans="1:9" ht="16" x14ac:dyDescent="0.2">
      <c r="A519" s="567">
        <v>46041</v>
      </c>
      <c r="B519" s="568">
        <v>2026</v>
      </c>
      <c r="C519" s="569">
        <v>1</v>
      </c>
      <c r="D519" s="570">
        <v>4</v>
      </c>
      <c r="E519" s="570">
        <v>19</v>
      </c>
      <c r="F519" s="571" t="s">
        <v>237</v>
      </c>
      <c r="G519" s="569" t="s">
        <v>209</v>
      </c>
      <c r="H519" s="569" t="s">
        <v>212</v>
      </c>
      <c r="I519" s="572">
        <v>185400000</v>
      </c>
    </row>
    <row r="520" spans="1:9" ht="16" x14ac:dyDescent="0.2">
      <c r="A520" s="561">
        <v>46041</v>
      </c>
      <c r="B520" s="562">
        <v>2026</v>
      </c>
      <c r="C520" s="563">
        <v>1</v>
      </c>
      <c r="D520" s="564">
        <v>4</v>
      </c>
      <c r="E520" s="564">
        <v>19</v>
      </c>
      <c r="F520" s="565" t="s">
        <v>11</v>
      </c>
      <c r="G520" s="563" t="s">
        <v>11</v>
      </c>
      <c r="H520" s="563" t="s">
        <v>212</v>
      </c>
      <c r="I520" s="566">
        <v>16502710000</v>
      </c>
    </row>
    <row r="521" spans="1:9" ht="16" x14ac:dyDescent="0.2">
      <c r="A521" s="567">
        <v>46041</v>
      </c>
      <c r="B521" s="568">
        <v>2026</v>
      </c>
      <c r="C521" s="569">
        <v>1</v>
      </c>
      <c r="D521" s="570">
        <v>4</v>
      </c>
      <c r="E521" s="570">
        <v>19</v>
      </c>
      <c r="F521" s="571" t="s">
        <v>221</v>
      </c>
      <c r="G521" s="569" t="s">
        <v>207</v>
      </c>
      <c r="H521" s="569" t="s">
        <v>212</v>
      </c>
      <c r="I521" s="572">
        <v>0</v>
      </c>
    </row>
    <row r="522" spans="1:9" ht="16" x14ac:dyDescent="0.2">
      <c r="A522" s="561">
        <v>46041</v>
      </c>
      <c r="B522" s="562">
        <v>2026</v>
      </c>
      <c r="C522" s="563">
        <v>1</v>
      </c>
      <c r="D522" s="564">
        <v>4</v>
      </c>
      <c r="E522" s="564">
        <v>19</v>
      </c>
      <c r="F522" s="565" t="s">
        <v>222</v>
      </c>
      <c r="G522" s="563" t="s">
        <v>207</v>
      </c>
      <c r="H522" s="563" t="s">
        <v>212</v>
      </c>
      <c r="I522" s="566">
        <v>0</v>
      </c>
    </row>
    <row r="523" spans="1:9" ht="16" x14ac:dyDescent="0.2">
      <c r="A523" s="567">
        <v>46041</v>
      </c>
      <c r="B523" s="568">
        <v>2026</v>
      </c>
      <c r="C523" s="569">
        <v>1</v>
      </c>
      <c r="D523" s="570">
        <v>4</v>
      </c>
      <c r="E523" s="570">
        <v>19</v>
      </c>
      <c r="F523" s="571" t="s">
        <v>223</v>
      </c>
      <c r="G523" s="569" t="s">
        <v>207</v>
      </c>
      <c r="H523" s="569" t="s">
        <v>212</v>
      </c>
      <c r="I523" s="572">
        <v>0</v>
      </c>
    </row>
    <row r="524" spans="1:9" ht="16" x14ac:dyDescent="0.2">
      <c r="A524" s="561">
        <v>46041</v>
      </c>
      <c r="B524" s="562">
        <v>2026</v>
      </c>
      <c r="C524" s="563">
        <v>1</v>
      </c>
      <c r="D524" s="564">
        <v>4</v>
      </c>
      <c r="E524" s="564">
        <v>19</v>
      </c>
      <c r="F524" s="565" t="s">
        <v>219</v>
      </c>
      <c r="G524" s="563" t="s">
        <v>11</v>
      </c>
      <c r="H524" s="563" t="s">
        <v>212</v>
      </c>
      <c r="I524" s="566">
        <v>8000000</v>
      </c>
    </row>
    <row r="525" spans="1:9" ht="16" x14ac:dyDescent="0.2">
      <c r="A525" s="567">
        <v>46041</v>
      </c>
      <c r="B525" s="568">
        <v>2026</v>
      </c>
      <c r="C525" s="569">
        <v>1</v>
      </c>
      <c r="D525" s="570">
        <v>4</v>
      </c>
      <c r="E525" s="570">
        <v>19</v>
      </c>
      <c r="F525" s="571" t="s">
        <v>19</v>
      </c>
      <c r="G525" s="569" t="s">
        <v>19</v>
      </c>
      <c r="H525" s="569" t="s">
        <v>214</v>
      </c>
      <c r="I525" s="572">
        <v>11507400000</v>
      </c>
    </row>
    <row r="526" spans="1:9" ht="16" x14ac:dyDescent="0.2">
      <c r="A526" s="561">
        <v>46041</v>
      </c>
      <c r="B526" s="562">
        <v>2026</v>
      </c>
      <c r="C526" s="563">
        <v>1</v>
      </c>
      <c r="D526" s="564">
        <v>4</v>
      </c>
      <c r="E526" s="564">
        <v>19</v>
      </c>
      <c r="F526" s="565" t="s">
        <v>62</v>
      </c>
      <c r="G526" s="563" t="s">
        <v>62</v>
      </c>
      <c r="H526" s="563" t="s">
        <v>216</v>
      </c>
      <c r="I526" s="566">
        <v>162043873</v>
      </c>
    </row>
    <row r="527" spans="1:9" ht="16" x14ac:dyDescent="0.2">
      <c r="A527" s="567">
        <v>46041</v>
      </c>
      <c r="B527" s="568">
        <v>2026</v>
      </c>
      <c r="C527" s="569">
        <v>1</v>
      </c>
      <c r="D527" s="570">
        <v>4</v>
      </c>
      <c r="E527" s="570">
        <v>19</v>
      </c>
      <c r="F527" s="571" t="s">
        <v>58</v>
      </c>
      <c r="G527" s="569" t="s">
        <v>58</v>
      </c>
      <c r="H527" s="569" t="s">
        <v>212</v>
      </c>
      <c r="I527" s="572">
        <v>52500000</v>
      </c>
    </row>
    <row r="528" spans="1:9" ht="16" x14ac:dyDescent="0.2">
      <c r="A528" s="561">
        <v>46041</v>
      </c>
      <c r="B528" s="562">
        <v>2026</v>
      </c>
      <c r="C528" s="563">
        <v>1</v>
      </c>
      <c r="D528" s="564">
        <v>4</v>
      </c>
      <c r="E528" s="564">
        <v>19</v>
      </c>
      <c r="F528" s="565" t="s">
        <v>61</v>
      </c>
      <c r="G528" s="563" t="s">
        <v>61</v>
      </c>
      <c r="H528" s="563" t="s">
        <v>214</v>
      </c>
      <c r="I528" s="566">
        <v>41000000</v>
      </c>
    </row>
    <row r="529" spans="1:9" ht="16" x14ac:dyDescent="0.2">
      <c r="A529" s="567">
        <v>46041</v>
      </c>
      <c r="B529" s="568">
        <v>2026</v>
      </c>
      <c r="C529" s="569">
        <v>1</v>
      </c>
      <c r="D529" s="570">
        <v>4</v>
      </c>
      <c r="E529" s="570">
        <v>19</v>
      </c>
      <c r="F529" s="571" t="s">
        <v>57</v>
      </c>
      <c r="G529" s="569" t="s">
        <v>57</v>
      </c>
      <c r="H529" s="569" t="s">
        <v>212</v>
      </c>
      <c r="I529" s="572">
        <v>772590000</v>
      </c>
    </row>
    <row r="530" spans="1:9" ht="16" x14ac:dyDescent="0.2">
      <c r="A530" s="561">
        <v>46041</v>
      </c>
      <c r="B530" s="562">
        <v>2026</v>
      </c>
      <c r="C530" s="563">
        <v>1</v>
      </c>
      <c r="D530" s="564">
        <v>4</v>
      </c>
      <c r="E530" s="564">
        <v>19</v>
      </c>
      <c r="F530" s="565" t="s">
        <v>63</v>
      </c>
      <c r="G530" s="563" t="s">
        <v>63</v>
      </c>
      <c r="H530" s="563" t="s">
        <v>214</v>
      </c>
      <c r="I530" s="566">
        <v>327780000</v>
      </c>
    </row>
    <row r="531" spans="1:9" ht="16" x14ac:dyDescent="0.2">
      <c r="A531" s="567">
        <v>46041</v>
      </c>
      <c r="B531" s="568">
        <v>2026</v>
      </c>
      <c r="C531" s="569">
        <v>1</v>
      </c>
      <c r="D531" s="570">
        <v>4</v>
      </c>
      <c r="E531" s="570">
        <v>19</v>
      </c>
      <c r="F531" s="571" t="s">
        <v>59</v>
      </c>
      <c r="G531" s="569" t="s">
        <v>59</v>
      </c>
      <c r="H531" s="569" t="s">
        <v>216</v>
      </c>
      <c r="I531" s="572">
        <v>254458678</v>
      </c>
    </row>
    <row r="532" spans="1:9" ht="16" x14ac:dyDescent="0.2">
      <c r="A532" s="561">
        <v>46041</v>
      </c>
      <c r="B532" s="562">
        <v>2026</v>
      </c>
      <c r="C532" s="563">
        <v>1</v>
      </c>
      <c r="D532" s="564">
        <v>4</v>
      </c>
      <c r="E532" s="564">
        <v>19</v>
      </c>
      <c r="F532" s="565" t="s">
        <v>31</v>
      </c>
      <c r="G532" s="563" t="s">
        <v>175</v>
      </c>
      <c r="H532" s="563" t="s">
        <v>212</v>
      </c>
      <c r="I532" s="566">
        <v>3811440000</v>
      </c>
    </row>
    <row r="533" spans="1:9" ht="16" x14ac:dyDescent="0.2">
      <c r="A533" s="567">
        <v>46041</v>
      </c>
      <c r="B533" s="568">
        <v>2026</v>
      </c>
      <c r="C533" s="569">
        <v>1</v>
      </c>
      <c r="D533" s="570">
        <v>4</v>
      </c>
      <c r="E533" s="570">
        <v>19</v>
      </c>
      <c r="F533" s="571" t="s">
        <v>234</v>
      </c>
      <c r="G533" s="569" t="s">
        <v>210</v>
      </c>
      <c r="H533" s="569" t="s">
        <v>214</v>
      </c>
      <c r="I533" s="572">
        <v>271000000</v>
      </c>
    </row>
    <row r="534" spans="1:9" ht="16" x14ac:dyDescent="0.2">
      <c r="A534" s="561">
        <v>46042</v>
      </c>
      <c r="B534" s="562">
        <v>2026</v>
      </c>
      <c r="C534" s="563">
        <v>1</v>
      </c>
      <c r="D534" s="564">
        <v>4</v>
      </c>
      <c r="E534" s="564">
        <v>20</v>
      </c>
      <c r="F534" s="565" t="s">
        <v>65</v>
      </c>
      <c r="G534" s="563" t="s">
        <v>65</v>
      </c>
      <c r="H534" s="563" t="s">
        <v>212</v>
      </c>
      <c r="I534" s="566">
        <v>560550000</v>
      </c>
    </row>
    <row r="535" spans="1:9" ht="16" x14ac:dyDescent="0.2">
      <c r="A535" s="567">
        <v>46042</v>
      </c>
      <c r="B535" s="568">
        <v>2026</v>
      </c>
      <c r="C535" s="569">
        <v>1</v>
      </c>
      <c r="D535" s="570">
        <v>4</v>
      </c>
      <c r="E535" s="570">
        <v>20</v>
      </c>
      <c r="F535" s="571" t="s">
        <v>66</v>
      </c>
      <c r="G535" s="569" t="s">
        <v>66</v>
      </c>
      <c r="H535" s="569" t="s">
        <v>216</v>
      </c>
      <c r="I535" s="572">
        <v>304858329</v>
      </c>
    </row>
    <row r="536" spans="1:9" ht="16" x14ac:dyDescent="0.2">
      <c r="A536" s="561">
        <v>46042</v>
      </c>
      <c r="B536" s="562">
        <v>2026</v>
      </c>
      <c r="C536" s="563">
        <v>1</v>
      </c>
      <c r="D536" s="564">
        <v>4</v>
      </c>
      <c r="E536" s="564">
        <v>20</v>
      </c>
      <c r="F536" s="565" t="s">
        <v>24</v>
      </c>
      <c r="G536" s="563" t="s">
        <v>24</v>
      </c>
      <c r="H536" s="563" t="s">
        <v>212</v>
      </c>
      <c r="I536" s="566">
        <v>15070520000</v>
      </c>
    </row>
    <row r="537" spans="1:9" ht="16" x14ac:dyDescent="0.2">
      <c r="A537" s="567">
        <v>46042</v>
      </c>
      <c r="B537" s="568">
        <v>2026</v>
      </c>
      <c r="C537" s="569">
        <v>1</v>
      </c>
      <c r="D537" s="570">
        <v>4</v>
      </c>
      <c r="E537" s="570">
        <v>20</v>
      </c>
      <c r="F537" s="571" t="s">
        <v>67</v>
      </c>
      <c r="G537" s="569" t="s">
        <v>67</v>
      </c>
      <c r="H537" s="569" t="s">
        <v>213</v>
      </c>
      <c r="I537" s="572">
        <v>2226554897</v>
      </c>
    </row>
    <row r="538" spans="1:9" ht="16" x14ac:dyDescent="0.2">
      <c r="A538" s="561">
        <v>46042</v>
      </c>
      <c r="B538" s="562">
        <v>2026</v>
      </c>
      <c r="C538" s="563">
        <v>1</v>
      </c>
      <c r="D538" s="564">
        <v>4</v>
      </c>
      <c r="E538" s="564">
        <v>20</v>
      </c>
      <c r="F538" s="565" t="s">
        <v>28</v>
      </c>
      <c r="G538" s="563" t="s">
        <v>28</v>
      </c>
      <c r="H538" s="563" t="s">
        <v>214</v>
      </c>
      <c r="I538" s="566">
        <v>15809148000</v>
      </c>
    </row>
    <row r="539" spans="1:9" ht="16" x14ac:dyDescent="0.2">
      <c r="A539" s="567">
        <v>46042</v>
      </c>
      <c r="B539" s="568">
        <v>2026</v>
      </c>
      <c r="C539" s="569">
        <v>1</v>
      </c>
      <c r="D539" s="570">
        <v>4</v>
      </c>
      <c r="E539" s="570">
        <v>20</v>
      </c>
      <c r="F539" s="571" t="s">
        <v>208</v>
      </c>
      <c r="G539" s="569" t="s">
        <v>208</v>
      </c>
      <c r="H539" s="569" t="s">
        <v>216</v>
      </c>
      <c r="I539" s="572">
        <v>6626025</v>
      </c>
    </row>
    <row r="540" spans="1:9" ht="16" x14ac:dyDescent="0.2">
      <c r="A540" s="561">
        <v>46042</v>
      </c>
      <c r="B540" s="562">
        <v>2026</v>
      </c>
      <c r="C540" s="563">
        <v>1</v>
      </c>
      <c r="D540" s="564">
        <v>4</v>
      </c>
      <c r="E540" s="564">
        <v>20</v>
      </c>
      <c r="F540" s="565" t="s">
        <v>60</v>
      </c>
      <c r="G540" s="563" t="s">
        <v>60</v>
      </c>
      <c r="H540" s="563" t="s">
        <v>212</v>
      </c>
      <c r="I540" s="566">
        <v>0</v>
      </c>
    </row>
    <row r="541" spans="1:9" ht="16" x14ac:dyDescent="0.2">
      <c r="A541" s="567">
        <v>46042</v>
      </c>
      <c r="B541" s="568">
        <v>2026</v>
      </c>
      <c r="C541" s="569">
        <v>1</v>
      </c>
      <c r="D541" s="570">
        <v>4</v>
      </c>
      <c r="E541" s="570">
        <v>20</v>
      </c>
      <c r="F541" s="571" t="s">
        <v>36</v>
      </c>
      <c r="G541" s="569" t="s">
        <v>36</v>
      </c>
      <c r="H541" s="569" t="s">
        <v>212</v>
      </c>
      <c r="I541" s="572">
        <v>4105020000</v>
      </c>
    </row>
    <row r="542" spans="1:9" ht="16" x14ac:dyDescent="0.2">
      <c r="A542" s="561">
        <v>46042</v>
      </c>
      <c r="B542" s="562">
        <v>2026</v>
      </c>
      <c r="C542" s="563">
        <v>1</v>
      </c>
      <c r="D542" s="564">
        <v>4</v>
      </c>
      <c r="E542" s="564">
        <v>20</v>
      </c>
      <c r="F542" s="565" t="s">
        <v>55</v>
      </c>
      <c r="G542" s="563" t="s">
        <v>36</v>
      </c>
      <c r="H542" s="563" t="s">
        <v>212</v>
      </c>
      <c r="I542" s="566">
        <v>1359600000</v>
      </c>
    </row>
    <row r="543" spans="1:9" ht="16" x14ac:dyDescent="0.2">
      <c r="A543" s="567">
        <v>46042</v>
      </c>
      <c r="B543" s="568">
        <v>2026</v>
      </c>
      <c r="C543" s="569">
        <v>1</v>
      </c>
      <c r="D543" s="570">
        <v>4</v>
      </c>
      <c r="E543" s="570">
        <v>20</v>
      </c>
      <c r="F543" s="571" t="s">
        <v>176</v>
      </c>
      <c r="G543" s="569" t="s">
        <v>176</v>
      </c>
      <c r="H543" s="569" t="s">
        <v>216</v>
      </c>
      <c r="I543" s="572">
        <v>7293164</v>
      </c>
    </row>
    <row r="544" spans="1:9" ht="16" x14ac:dyDescent="0.2">
      <c r="A544" s="561">
        <v>46042</v>
      </c>
      <c r="B544" s="562">
        <v>2026</v>
      </c>
      <c r="C544" s="563">
        <v>1</v>
      </c>
      <c r="D544" s="564">
        <v>4</v>
      </c>
      <c r="E544" s="564">
        <v>20</v>
      </c>
      <c r="F544" s="565" t="s">
        <v>39</v>
      </c>
      <c r="G544" s="563" t="s">
        <v>176</v>
      </c>
      <c r="H544" s="563" t="s">
        <v>216</v>
      </c>
      <c r="I544" s="566">
        <v>874981610</v>
      </c>
    </row>
    <row r="545" spans="1:9" ht="16" x14ac:dyDescent="0.2">
      <c r="A545" s="567">
        <v>46042</v>
      </c>
      <c r="B545" s="568">
        <v>2026</v>
      </c>
      <c r="C545" s="569">
        <v>1</v>
      </c>
      <c r="D545" s="570">
        <v>4</v>
      </c>
      <c r="E545" s="570">
        <v>20</v>
      </c>
      <c r="F545" s="571" t="s">
        <v>206</v>
      </c>
      <c r="G545" s="569" t="s">
        <v>206</v>
      </c>
      <c r="H545" s="569" t="s">
        <v>212</v>
      </c>
      <c r="I545" s="572">
        <v>0</v>
      </c>
    </row>
    <row r="546" spans="1:9" ht="16" x14ac:dyDescent="0.2">
      <c r="A546" s="561">
        <v>46042</v>
      </c>
      <c r="B546" s="562">
        <v>2026</v>
      </c>
      <c r="C546" s="563">
        <v>1</v>
      </c>
      <c r="D546" s="564">
        <v>4</v>
      </c>
      <c r="E546" s="564">
        <v>20</v>
      </c>
      <c r="F546" s="565" t="s">
        <v>64</v>
      </c>
      <c r="G546" s="563" t="s">
        <v>209</v>
      </c>
      <c r="H546" s="563" t="s">
        <v>212</v>
      </c>
      <c r="I546" s="566">
        <v>226500000</v>
      </c>
    </row>
    <row r="547" spans="1:9" ht="16" x14ac:dyDescent="0.2">
      <c r="A547" s="567">
        <v>46042</v>
      </c>
      <c r="B547" s="568">
        <v>2026</v>
      </c>
      <c r="C547" s="569">
        <v>1</v>
      </c>
      <c r="D547" s="570">
        <v>4</v>
      </c>
      <c r="E547" s="570">
        <v>20</v>
      </c>
      <c r="F547" s="571" t="s">
        <v>237</v>
      </c>
      <c r="G547" s="569" t="s">
        <v>209</v>
      </c>
      <c r="H547" s="569" t="s">
        <v>212</v>
      </c>
      <c r="I547" s="572">
        <v>185400000</v>
      </c>
    </row>
    <row r="548" spans="1:9" ht="16" x14ac:dyDescent="0.2">
      <c r="A548" s="561">
        <v>46042</v>
      </c>
      <c r="B548" s="562">
        <v>2026</v>
      </c>
      <c r="C548" s="563">
        <v>1</v>
      </c>
      <c r="D548" s="564">
        <v>4</v>
      </c>
      <c r="E548" s="564">
        <v>20</v>
      </c>
      <c r="F548" s="565" t="s">
        <v>11</v>
      </c>
      <c r="G548" s="563" t="s">
        <v>11</v>
      </c>
      <c r="H548" s="563" t="s">
        <v>212</v>
      </c>
      <c r="I548" s="566">
        <v>18066080000</v>
      </c>
    </row>
    <row r="549" spans="1:9" ht="16" x14ac:dyDescent="0.2">
      <c r="A549" s="567">
        <v>46042</v>
      </c>
      <c r="B549" s="568">
        <v>2026</v>
      </c>
      <c r="C549" s="569">
        <v>1</v>
      </c>
      <c r="D549" s="570">
        <v>4</v>
      </c>
      <c r="E549" s="570">
        <v>20</v>
      </c>
      <c r="F549" s="571" t="s">
        <v>221</v>
      </c>
      <c r="G549" s="569" t="s">
        <v>207</v>
      </c>
      <c r="H549" s="569" t="s">
        <v>212</v>
      </c>
      <c r="I549" s="572">
        <v>0</v>
      </c>
    </row>
    <row r="550" spans="1:9" ht="16" x14ac:dyDescent="0.2">
      <c r="A550" s="561">
        <v>46042</v>
      </c>
      <c r="B550" s="562">
        <v>2026</v>
      </c>
      <c r="C550" s="563">
        <v>1</v>
      </c>
      <c r="D550" s="564">
        <v>4</v>
      </c>
      <c r="E550" s="564">
        <v>20</v>
      </c>
      <c r="F550" s="565" t="s">
        <v>222</v>
      </c>
      <c r="G550" s="563" t="s">
        <v>207</v>
      </c>
      <c r="H550" s="563" t="s">
        <v>212</v>
      </c>
      <c r="I550" s="566">
        <v>0</v>
      </c>
    </row>
    <row r="551" spans="1:9" ht="16" x14ac:dyDescent="0.2">
      <c r="A551" s="567">
        <v>46042</v>
      </c>
      <c r="B551" s="568">
        <v>2026</v>
      </c>
      <c r="C551" s="569">
        <v>1</v>
      </c>
      <c r="D551" s="570">
        <v>4</v>
      </c>
      <c r="E551" s="570">
        <v>20</v>
      </c>
      <c r="F551" s="571" t="s">
        <v>223</v>
      </c>
      <c r="G551" s="569" t="s">
        <v>207</v>
      </c>
      <c r="H551" s="569" t="s">
        <v>212</v>
      </c>
      <c r="I551" s="572">
        <v>0</v>
      </c>
    </row>
    <row r="552" spans="1:9" ht="16" x14ac:dyDescent="0.2">
      <c r="A552" s="561">
        <v>46042</v>
      </c>
      <c r="B552" s="562">
        <v>2026</v>
      </c>
      <c r="C552" s="563">
        <v>1</v>
      </c>
      <c r="D552" s="564">
        <v>4</v>
      </c>
      <c r="E552" s="564">
        <v>20</v>
      </c>
      <c r="F552" s="565" t="s">
        <v>219</v>
      </c>
      <c r="G552" s="563" t="s">
        <v>11</v>
      </c>
      <c r="H552" s="563" t="s">
        <v>212</v>
      </c>
      <c r="I552" s="566">
        <v>11000000</v>
      </c>
    </row>
    <row r="553" spans="1:9" ht="16" x14ac:dyDescent="0.2">
      <c r="A553" s="567">
        <v>46042</v>
      </c>
      <c r="B553" s="568">
        <v>2026</v>
      </c>
      <c r="C553" s="569">
        <v>1</v>
      </c>
      <c r="D553" s="570">
        <v>4</v>
      </c>
      <c r="E553" s="570">
        <v>20</v>
      </c>
      <c r="F553" s="571" t="s">
        <v>19</v>
      </c>
      <c r="G553" s="569" t="s">
        <v>19</v>
      </c>
      <c r="H553" s="569" t="s">
        <v>214</v>
      </c>
      <c r="I553" s="572">
        <v>12079800000</v>
      </c>
    </row>
    <row r="554" spans="1:9" ht="16" x14ac:dyDescent="0.2">
      <c r="A554" s="561">
        <v>46042</v>
      </c>
      <c r="B554" s="562">
        <v>2026</v>
      </c>
      <c r="C554" s="563">
        <v>1</v>
      </c>
      <c r="D554" s="564">
        <v>4</v>
      </c>
      <c r="E554" s="564">
        <v>20</v>
      </c>
      <c r="F554" s="565" t="s">
        <v>62</v>
      </c>
      <c r="G554" s="563" t="s">
        <v>62</v>
      </c>
      <c r="H554" s="563" t="s">
        <v>216</v>
      </c>
      <c r="I554" s="566">
        <v>170439192</v>
      </c>
    </row>
    <row r="555" spans="1:9" ht="16" x14ac:dyDescent="0.2">
      <c r="A555" s="567">
        <v>46042</v>
      </c>
      <c r="B555" s="568">
        <v>2026</v>
      </c>
      <c r="C555" s="569">
        <v>1</v>
      </c>
      <c r="D555" s="570">
        <v>4</v>
      </c>
      <c r="E555" s="570">
        <v>20</v>
      </c>
      <c r="F555" s="571" t="s">
        <v>58</v>
      </c>
      <c r="G555" s="569" t="s">
        <v>58</v>
      </c>
      <c r="H555" s="569" t="s">
        <v>212</v>
      </c>
      <c r="I555" s="572">
        <v>0</v>
      </c>
    </row>
    <row r="556" spans="1:9" ht="16" x14ac:dyDescent="0.2">
      <c r="A556" s="561">
        <v>46042</v>
      </c>
      <c r="B556" s="562">
        <v>2026</v>
      </c>
      <c r="C556" s="563">
        <v>1</v>
      </c>
      <c r="D556" s="564">
        <v>4</v>
      </c>
      <c r="E556" s="564">
        <v>20</v>
      </c>
      <c r="F556" s="565" t="s">
        <v>61</v>
      </c>
      <c r="G556" s="563" t="s">
        <v>61</v>
      </c>
      <c r="H556" s="563" t="s">
        <v>214</v>
      </c>
      <c r="I556" s="566">
        <v>64000000</v>
      </c>
    </row>
    <row r="557" spans="1:9" ht="16" x14ac:dyDescent="0.2">
      <c r="A557" s="567">
        <v>46042</v>
      </c>
      <c r="B557" s="568">
        <v>2026</v>
      </c>
      <c r="C557" s="569">
        <v>1</v>
      </c>
      <c r="D557" s="570">
        <v>4</v>
      </c>
      <c r="E557" s="570">
        <v>20</v>
      </c>
      <c r="F557" s="571" t="s">
        <v>57</v>
      </c>
      <c r="G557" s="569" t="s">
        <v>57</v>
      </c>
      <c r="H557" s="569" t="s">
        <v>212</v>
      </c>
      <c r="I557" s="572">
        <v>1294110000</v>
      </c>
    </row>
    <row r="558" spans="1:9" ht="16" x14ac:dyDescent="0.2">
      <c r="A558" s="561">
        <v>46042</v>
      </c>
      <c r="B558" s="562">
        <v>2026</v>
      </c>
      <c r="C558" s="563">
        <v>1</v>
      </c>
      <c r="D558" s="564">
        <v>4</v>
      </c>
      <c r="E558" s="564">
        <v>20</v>
      </c>
      <c r="F558" s="565" t="s">
        <v>63</v>
      </c>
      <c r="G558" s="563" t="s">
        <v>63</v>
      </c>
      <c r="H558" s="563" t="s">
        <v>214</v>
      </c>
      <c r="I558" s="566">
        <v>386640000</v>
      </c>
    </row>
    <row r="559" spans="1:9" ht="16" x14ac:dyDescent="0.2">
      <c r="A559" s="567">
        <v>46042</v>
      </c>
      <c r="B559" s="568">
        <v>2026</v>
      </c>
      <c r="C559" s="569">
        <v>1</v>
      </c>
      <c r="D559" s="570">
        <v>4</v>
      </c>
      <c r="E559" s="570">
        <v>20</v>
      </c>
      <c r="F559" s="571" t="s">
        <v>59</v>
      </c>
      <c r="G559" s="569" t="s">
        <v>59</v>
      </c>
      <c r="H559" s="569" t="s">
        <v>216</v>
      </c>
      <c r="I559" s="572">
        <v>256250511</v>
      </c>
    </row>
    <row r="560" spans="1:9" ht="16" x14ac:dyDescent="0.2">
      <c r="A560" s="561">
        <v>46042</v>
      </c>
      <c r="B560" s="562">
        <v>2026</v>
      </c>
      <c r="C560" s="563">
        <v>1</v>
      </c>
      <c r="D560" s="564">
        <v>4</v>
      </c>
      <c r="E560" s="564">
        <v>20</v>
      </c>
      <c r="F560" s="565" t="s">
        <v>31</v>
      </c>
      <c r="G560" s="563" t="s">
        <v>175</v>
      </c>
      <c r="H560" s="563" t="s">
        <v>212</v>
      </c>
      <c r="I560" s="566">
        <v>3868860000</v>
      </c>
    </row>
    <row r="561" spans="1:9" ht="16" x14ac:dyDescent="0.2">
      <c r="A561" s="567">
        <v>46042</v>
      </c>
      <c r="B561" s="568">
        <v>2026</v>
      </c>
      <c r="C561" s="569">
        <v>1</v>
      </c>
      <c r="D561" s="570">
        <v>4</v>
      </c>
      <c r="E561" s="570">
        <v>20</v>
      </c>
      <c r="F561" s="571" t="s">
        <v>234</v>
      </c>
      <c r="G561" s="569" t="s">
        <v>210</v>
      </c>
      <c r="H561" s="569" t="s">
        <v>214</v>
      </c>
      <c r="I561" s="572">
        <v>563400000</v>
      </c>
    </row>
    <row r="562" spans="1:9" ht="16" x14ac:dyDescent="0.2">
      <c r="A562" s="561">
        <v>46043</v>
      </c>
      <c r="B562" s="562">
        <v>2026</v>
      </c>
      <c r="C562" s="563">
        <v>1</v>
      </c>
      <c r="D562" s="564">
        <v>4</v>
      </c>
      <c r="E562" s="564">
        <v>21</v>
      </c>
      <c r="F562" s="565" t="s">
        <v>65</v>
      </c>
      <c r="G562" s="563" t="s">
        <v>65</v>
      </c>
      <c r="H562" s="563" t="s">
        <v>212</v>
      </c>
      <c r="I562" s="566">
        <v>765250000</v>
      </c>
    </row>
    <row r="563" spans="1:9" ht="16" x14ac:dyDescent="0.2">
      <c r="A563" s="567">
        <v>46043</v>
      </c>
      <c r="B563" s="568">
        <v>2026</v>
      </c>
      <c r="C563" s="569">
        <v>1</v>
      </c>
      <c r="D563" s="570">
        <v>4</v>
      </c>
      <c r="E563" s="570">
        <v>21</v>
      </c>
      <c r="F563" s="571" t="s">
        <v>66</v>
      </c>
      <c r="G563" s="569" t="s">
        <v>66</v>
      </c>
      <c r="H563" s="569" t="s">
        <v>216</v>
      </c>
      <c r="I563" s="572">
        <v>335695331</v>
      </c>
    </row>
    <row r="564" spans="1:9" ht="16" x14ac:dyDescent="0.2">
      <c r="A564" s="561">
        <v>46043</v>
      </c>
      <c r="B564" s="562">
        <v>2026</v>
      </c>
      <c r="C564" s="563">
        <v>1</v>
      </c>
      <c r="D564" s="564">
        <v>4</v>
      </c>
      <c r="E564" s="564">
        <v>21</v>
      </c>
      <c r="F564" s="565" t="s">
        <v>24</v>
      </c>
      <c r="G564" s="563" t="s">
        <v>24</v>
      </c>
      <c r="H564" s="563" t="s">
        <v>212</v>
      </c>
      <c r="I564" s="566">
        <v>15247760000</v>
      </c>
    </row>
    <row r="565" spans="1:9" ht="16" x14ac:dyDescent="0.2">
      <c r="A565" s="567">
        <v>46043</v>
      </c>
      <c r="B565" s="568">
        <v>2026</v>
      </c>
      <c r="C565" s="569">
        <v>1</v>
      </c>
      <c r="D565" s="570">
        <v>4</v>
      </c>
      <c r="E565" s="570">
        <v>21</v>
      </c>
      <c r="F565" s="571" t="s">
        <v>67</v>
      </c>
      <c r="G565" s="569" t="s">
        <v>67</v>
      </c>
      <c r="H565" s="569" t="s">
        <v>213</v>
      </c>
      <c r="I565" s="572">
        <v>1904199995</v>
      </c>
    </row>
    <row r="566" spans="1:9" ht="16" x14ac:dyDescent="0.2">
      <c r="A566" s="561">
        <v>46043</v>
      </c>
      <c r="B566" s="562">
        <v>2026</v>
      </c>
      <c r="C566" s="563">
        <v>1</v>
      </c>
      <c r="D566" s="564">
        <v>4</v>
      </c>
      <c r="E566" s="564">
        <v>21</v>
      </c>
      <c r="F566" s="565" t="s">
        <v>28</v>
      </c>
      <c r="G566" s="563" t="s">
        <v>28</v>
      </c>
      <c r="H566" s="563" t="s">
        <v>214</v>
      </c>
      <c r="I566" s="566">
        <v>14580864000</v>
      </c>
    </row>
    <row r="567" spans="1:9" ht="16" x14ac:dyDescent="0.2">
      <c r="A567" s="567">
        <v>46043</v>
      </c>
      <c r="B567" s="568">
        <v>2026</v>
      </c>
      <c r="C567" s="569">
        <v>1</v>
      </c>
      <c r="D567" s="570">
        <v>4</v>
      </c>
      <c r="E567" s="570">
        <v>21</v>
      </c>
      <c r="F567" s="571" t="s">
        <v>208</v>
      </c>
      <c r="G567" s="569" t="s">
        <v>208</v>
      </c>
      <c r="H567" s="569" t="s">
        <v>216</v>
      </c>
      <c r="I567" s="572">
        <v>13028836</v>
      </c>
    </row>
    <row r="568" spans="1:9" ht="16" x14ac:dyDescent="0.2">
      <c r="A568" s="561">
        <v>46043</v>
      </c>
      <c r="B568" s="562">
        <v>2026</v>
      </c>
      <c r="C568" s="563">
        <v>1</v>
      </c>
      <c r="D568" s="564">
        <v>4</v>
      </c>
      <c r="E568" s="564">
        <v>21</v>
      </c>
      <c r="F568" s="565" t="s">
        <v>60</v>
      </c>
      <c r="G568" s="563" t="s">
        <v>60</v>
      </c>
      <c r="H568" s="563" t="s">
        <v>212</v>
      </c>
      <c r="I568" s="566">
        <v>0</v>
      </c>
    </row>
    <row r="569" spans="1:9" ht="16" x14ac:dyDescent="0.2">
      <c r="A569" s="567">
        <v>46043</v>
      </c>
      <c r="B569" s="568">
        <v>2026</v>
      </c>
      <c r="C569" s="569">
        <v>1</v>
      </c>
      <c r="D569" s="570">
        <v>4</v>
      </c>
      <c r="E569" s="570">
        <v>21</v>
      </c>
      <c r="F569" s="571" t="s">
        <v>36</v>
      </c>
      <c r="G569" s="569" t="s">
        <v>36</v>
      </c>
      <c r="H569" s="569" t="s">
        <v>212</v>
      </c>
      <c r="I569" s="572">
        <v>4137250000</v>
      </c>
    </row>
    <row r="570" spans="1:9" ht="16" x14ac:dyDescent="0.2">
      <c r="A570" s="561">
        <v>46043</v>
      </c>
      <c r="B570" s="562">
        <v>2026</v>
      </c>
      <c r="C570" s="563">
        <v>1</v>
      </c>
      <c r="D570" s="564">
        <v>4</v>
      </c>
      <c r="E570" s="564">
        <v>21</v>
      </c>
      <c r="F570" s="565" t="s">
        <v>55</v>
      </c>
      <c r="G570" s="563" t="s">
        <v>36</v>
      </c>
      <c r="H570" s="563" t="s">
        <v>212</v>
      </c>
      <c r="I570" s="566">
        <v>1170710000</v>
      </c>
    </row>
    <row r="571" spans="1:9" ht="16" x14ac:dyDescent="0.2">
      <c r="A571" s="567">
        <v>46043</v>
      </c>
      <c r="B571" s="568">
        <v>2026</v>
      </c>
      <c r="C571" s="569">
        <v>1</v>
      </c>
      <c r="D571" s="570">
        <v>4</v>
      </c>
      <c r="E571" s="570">
        <v>21</v>
      </c>
      <c r="F571" s="571" t="s">
        <v>176</v>
      </c>
      <c r="G571" s="569" t="s">
        <v>176</v>
      </c>
      <c r="H571" s="569" t="s">
        <v>216</v>
      </c>
      <c r="I571" s="572">
        <v>18270497</v>
      </c>
    </row>
    <row r="572" spans="1:9" ht="16" x14ac:dyDescent="0.2">
      <c r="A572" s="561">
        <v>46043</v>
      </c>
      <c r="B572" s="562">
        <v>2026</v>
      </c>
      <c r="C572" s="563">
        <v>1</v>
      </c>
      <c r="D572" s="564">
        <v>4</v>
      </c>
      <c r="E572" s="564">
        <v>21</v>
      </c>
      <c r="F572" s="565" t="s">
        <v>39</v>
      </c>
      <c r="G572" s="563" t="s">
        <v>176</v>
      </c>
      <c r="H572" s="563" t="s">
        <v>216</v>
      </c>
      <c r="I572" s="566">
        <v>1117910298</v>
      </c>
    </row>
    <row r="573" spans="1:9" ht="16" x14ac:dyDescent="0.2">
      <c r="A573" s="567">
        <v>46043</v>
      </c>
      <c r="B573" s="568">
        <v>2026</v>
      </c>
      <c r="C573" s="569">
        <v>1</v>
      </c>
      <c r="D573" s="570">
        <v>4</v>
      </c>
      <c r="E573" s="570">
        <v>21</v>
      </c>
      <c r="F573" s="571" t="s">
        <v>206</v>
      </c>
      <c r="G573" s="569" t="s">
        <v>206</v>
      </c>
      <c r="H573" s="569" t="s">
        <v>212</v>
      </c>
      <c r="I573" s="572">
        <v>0</v>
      </c>
    </row>
    <row r="574" spans="1:9" ht="16" x14ac:dyDescent="0.2">
      <c r="A574" s="561">
        <v>46043</v>
      </c>
      <c r="B574" s="562">
        <v>2026</v>
      </c>
      <c r="C574" s="563">
        <v>1</v>
      </c>
      <c r="D574" s="564">
        <v>4</v>
      </c>
      <c r="E574" s="564">
        <v>21</v>
      </c>
      <c r="F574" s="565" t="s">
        <v>64</v>
      </c>
      <c r="G574" s="563" t="s">
        <v>209</v>
      </c>
      <c r="H574" s="563" t="s">
        <v>212</v>
      </c>
      <c r="I574" s="566">
        <v>94000000</v>
      </c>
    </row>
    <row r="575" spans="1:9" ht="16" x14ac:dyDescent="0.2">
      <c r="A575" s="567">
        <v>46043</v>
      </c>
      <c r="B575" s="568">
        <v>2026</v>
      </c>
      <c r="C575" s="569">
        <v>1</v>
      </c>
      <c r="D575" s="570">
        <v>4</v>
      </c>
      <c r="E575" s="570">
        <v>21</v>
      </c>
      <c r="F575" s="571" t="s">
        <v>237</v>
      </c>
      <c r="G575" s="569" t="s">
        <v>209</v>
      </c>
      <c r="H575" s="569" t="s">
        <v>212</v>
      </c>
      <c r="I575" s="572">
        <v>0</v>
      </c>
    </row>
    <row r="576" spans="1:9" ht="16" x14ac:dyDescent="0.2">
      <c r="A576" s="561">
        <v>46043</v>
      </c>
      <c r="B576" s="562">
        <v>2026</v>
      </c>
      <c r="C576" s="563">
        <v>1</v>
      </c>
      <c r="D576" s="564">
        <v>4</v>
      </c>
      <c r="E576" s="564">
        <v>21</v>
      </c>
      <c r="F576" s="565" t="s">
        <v>11</v>
      </c>
      <c r="G576" s="563" t="s">
        <v>11</v>
      </c>
      <c r="H576" s="563" t="s">
        <v>212</v>
      </c>
      <c r="I576" s="566">
        <v>18318490000</v>
      </c>
    </row>
    <row r="577" spans="1:9" ht="16" x14ac:dyDescent="0.2">
      <c r="A577" s="567">
        <v>46043</v>
      </c>
      <c r="B577" s="568">
        <v>2026</v>
      </c>
      <c r="C577" s="569">
        <v>1</v>
      </c>
      <c r="D577" s="570">
        <v>4</v>
      </c>
      <c r="E577" s="570">
        <v>21</v>
      </c>
      <c r="F577" s="571" t="s">
        <v>221</v>
      </c>
      <c r="G577" s="569" t="s">
        <v>207</v>
      </c>
      <c r="H577" s="569" t="s">
        <v>212</v>
      </c>
      <c r="I577" s="572">
        <v>0</v>
      </c>
    </row>
    <row r="578" spans="1:9" ht="16" x14ac:dyDescent="0.2">
      <c r="A578" s="561">
        <v>46043</v>
      </c>
      <c r="B578" s="562">
        <v>2026</v>
      </c>
      <c r="C578" s="563">
        <v>1</v>
      </c>
      <c r="D578" s="564">
        <v>4</v>
      </c>
      <c r="E578" s="564">
        <v>21</v>
      </c>
      <c r="F578" s="565" t="s">
        <v>222</v>
      </c>
      <c r="G578" s="563" t="s">
        <v>207</v>
      </c>
      <c r="H578" s="563" t="s">
        <v>212</v>
      </c>
      <c r="I578" s="566">
        <v>0</v>
      </c>
    </row>
    <row r="579" spans="1:9" ht="16" x14ac:dyDescent="0.2">
      <c r="A579" s="567">
        <v>46043</v>
      </c>
      <c r="B579" s="568">
        <v>2026</v>
      </c>
      <c r="C579" s="569">
        <v>1</v>
      </c>
      <c r="D579" s="570">
        <v>4</v>
      </c>
      <c r="E579" s="570">
        <v>21</v>
      </c>
      <c r="F579" s="571" t="s">
        <v>223</v>
      </c>
      <c r="G579" s="569" t="s">
        <v>207</v>
      </c>
      <c r="H579" s="569" t="s">
        <v>212</v>
      </c>
      <c r="I579" s="572">
        <v>0</v>
      </c>
    </row>
    <row r="580" spans="1:9" ht="16" x14ac:dyDescent="0.2">
      <c r="A580" s="561">
        <v>46043</v>
      </c>
      <c r="B580" s="562">
        <v>2026</v>
      </c>
      <c r="C580" s="563">
        <v>1</v>
      </c>
      <c r="D580" s="564">
        <v>4</v>
      </c>
      <c r="E580" s="564">
        <v>21</v>
      </c>
      <c r="F580" s="565" t="s">
        <v>219</v>
      </c>
      <c r="G580" s="563" t="s">
        <v>11</v>
      </c>
      <c r="H580" s="563" t="s">
        <v>212</v>
      </c>
      <c r="I580" s="566">
        <v>15000000</v>
      </c>
    </row>
    <row r="581" spans="1:9" ht="16" x14ac:dyDescent="0.2">
      <c r="A581" s="567">
        <v>46043</v>
      </c>
      <c r="B581" s="568">
        <v>2026</v>
      </c>
      <c r="C581" s="569">
        <v>1</v>
      </c>
      <c r="D581" s="570">
        <v>4</v>
      </c>
      <c r="E581" s="570">
        <v>21</v>
      </c>
      <c r="F581" s="571" t="s">
        <v>19</v>
      </c>
      <c r="G581" s="569" t="s">
        <v>19</v>
      </c>
      <c r="H581" s="569" t="s">
        <v>214</v>
      </c>
      <c r="I581" s="572">
        <v>11299500000</v>
      </c>
    </row>
    <row r="582" spans="1:9" ht="16" x14ac:dyDescent="0.2">
      <c r="A582" s="561">
        <v>46043</v>
      </c>
      <c r="B582" s="562">
        <v>2026</v>
      </c>
      <c r="C582" s="563">
        <v>1</v>
      </c>
      <c r="D582" s="564">
        <v>4</v>
      </c>
      <c r="E582" s="564">
        <v>21</v>
      </c>
      <c r="F582" s="565" t="s">
        <v>62</v>
      </c>
      <c r="G582" s="563" t="s">
        <v>62</v>
      </c>
      <c r="H582" s="563" t="s">
        <v>216</v>
      </c>
      <c r="I582" s="566">
        <v>200834005</v>
      </c>
    </row>
    <row r="583" spans="1:9" ht="16" x14ac:dyDescent="0.2">
      <c r="A583" s="567">
        <v>46043</v>
      </c>
      <c r="B583" s="568">
        <v>2026</v>
      </c>
      <c r="C583" s="569">
        <v>1</v>
      </c>
      <c r="D583" s="570">
        <v>4</v>
      </c>
      <c r="E583" s="570">
        <v>21</v>
      </c>
      <c r="F583" s="571" t="s">
        <v>58</v>
      </c>
      <c r="G583" s="569" t="s">
        <v>58</v>
      </c>
      <c r="H583" s="569" t="s">
        <v>212</v>
      </c>
      <c r="I583" s="572">
        <v>42000000</v>
      </c>
    </row>
    <row r="584" spans="1:9" ht="16" x14ac:dyDescent="0.2">
      <c r="A584" s="561">
        <v>46043</v>
      </c>
      <c r="B584" s="562">
        <v>2026</v>
      </c>
      <c r="C584" s="563">
        <v>1</v>
      </c>
      <c r="D584" s="564">
        <v>4</v>
      </c>
      <c r="E584" s="564">
        <v>21</v>
      </c>
      <c r="F584" s="565" t="s">
        <v>61</v>
      </c>
      <c r="G584" s="563" t="s">
        <v>61</v>
      </c>
      <c r="H584" s="563" t="s">
        <v>214</v>
      </c>
      <c r="I584" s="566">
        <v>44000000</v>
      </c>
    </row>
    <row r="585" spans="1:9" ht="16" x14ac:dyDescent="0.2">
      <c r="A585" s="567">
        <v>46043</v>
      </c>
      <c r="B585" s="568">
        <v>2026</v>
      </c>
      <c r="C585" s="569">
        <v>1</v>
      </c>
      <c r="D585" s="570">
        <v>4</v>
      </c>
      <c r="E585" s="570">
        <v>21</v>
      </c>
      <c r="F585" s="571" t="s">
        <v>57</v>
      </c>
      <c r="G585" s="569" t="s">
        <v>57</v>
      </c>
      <c r="H585" s="569" t="s">
        <v>212</v>
      </c>
      <c r="I585" s="572">
        <v>770810000</v>
      </c>
    </row>
    <row r="586" spans="1:9" ht="16" x14ac:dyDescent="0.2">
      <c r="A586" s="561">
        <v>46043</v>
      </c>
      <c r="B586" s="562">
        <v>2026</v>
      </c>
      <c r="C586" s="563">
        <v>1</v>
      </c>
      <c r="D586" s="564">
        <v>4</v>
      </c>
      <c r="E586" s="564">
        <v>21</v>
      </c>
      <c r="F586" s="565" t="s">
        <v>63</v>
      </c>
      <c r="G586" s="563" t="s">
        <v>63</v>
      </c>
      <c r="H586" s="563" t="s">
        <v>214</v>
      </c>
      <c r="I586" s="566">
        <v>307476000</v>
      </c>
    </row>
    <row r="587" spans="1:9" ht="16" x14ac:dyDescent="0.2">
      <c r="A587" s="567">
        <v>46043</v>
      </c>
      <c r="B587" s="568">
        <v>2026</v>
      </c>
      <c r="C587" s="569">
        <v>1</v>
      </c>
      <c r="D587" s="570">
        <v>4</v>
      </c>
      <c r="E587" s="570">
        <v>21</v>
      </c>
      <c r="F587" s="571" t="s">
        <v>59</v>
      </c>
      <c r="G587" s="569" t="s">
        <v>59</v>
      </c>
      <c r="H587" s="569" t="s">
        <v>216</v>
      </c>
      <c r="I587" s="572">
        <v>445798590</v>
      </c>
    </row>
    <row r="588" spans="1:9" ht="16" x14ac:dyDescent="0.2">
      <c r="A588" s="561">
        <v>46043</v>
      </c>
      <c r="B588" s="562">
        <v>2026</v>
      </c>
      <c r="C588" s="563">
        <v>1</v>
      </c>
      <c r="D588" s="564">
        <v>4</v>
      </c>
      <c r="E588" s="564">
        <v>21</v>
      </c>
      <c r="F588" s="565" t="s">
        <v>31</v>
      </c>
      <c r="G588" s="563" t="s">
        <v>175</v>
      </c>
      <c r="H588" s="563" t="s">
        <v>212</v>
      </c>
      <c r="I588" s="566">
        <v>3300290000</v>
      </c>
    </row>
    <row r="589" spans="1:9" ht="16" x14ac:dyDescent="0.2">
      <c r="A589" s="567">
        <v>46043</v>
      </c>
      <c r="B589" s="568">
        <v>2026</v>
      </c>
      <c r="C589" s="569">
        <v>1</v>
      </c>
      <c r="D589" s="570">
        <v>4</v>
      </c>
      <c r="E589" s="570">
        <v>21</v>
      </c>
      <c r="F589" s="571" t="s">
        <v>234</v>
      </c>
      <c r="G589" s="569" t="s">
        <v>210</v>
      </c>
      <c r="H589" s="569" t="s">
        <v>214</v>
      </c>
      <c r="I589" s="572">
        <v>1009960000</v>
      </c>
    </row>
    <row r="590" spans="1:9" ht="16" x14ac:dyDescent="0.2">
      <c r="A590" s="561">
        <v>46044</v>
      </c>
      <c r="B590" s="562">
        <v>2026</v>
      </c>
      <c r="C590" s="563">
        <v>1</v>
      </c>
      <c r="D590" s="564">
        <v>4</v>
      </c>
      <c r="E590" s="564">
        <v>22</v>
      </c>
      <c r="F590" s="565" t="s">
        <v>65</v>
      </c>
      <c r="G590" s="563" t="s">
        <v>65</v>
      </c>
      <c r="H590" s="563" t="s">
        <v>212</v>
      </c>
      <c r="I590" s="566">
        <v>617250000</v>
      </c>
    </row>
    <row r="591" spans="1:9" ht="16" x14ac:dyDescent="0.2">
      <c r="A591" s="567">
        <v>46044</v>
      </c>
      <c r="B591" s="568">
        <v>2026</v>
      </c>
      <c r="C591" s="569">
        <v>1</v>
      </c>
      <c r="D591" s="570">
        <v>4</v>
      </c>
      <c r="E591" s="570">
        <v>22</v>
      </c>
      <c r="F591" s="571" t="s">
        <v>66</v>
      </c>
      <c r="G591" s="569" t="s">
        <v>66</v>
      </c>
      <c r="H591" s="569" t="s">
        <v>216</v>
      </c>
      <c r="I591" s="572">
        <v>335056696</v>
      </c>
    </row>
    <row r="592" spans="1:9" ht="16" x14ac:dyDescent="0.2">
      <c r="A592" s="561">
        <v>46044</v>
      </c>
      <c r="B592" s="562">
        <v>2026</v>
      </c>
      <c r="C592" s="563">
        <v>1</v>
      </c>
      <c r="D592" s="564">
        <v>4</v>
      </c>
      <c r="E592" s="564">
        <v>22</v>
      </c>
      <c r="F592" s="565" t="s">
        <v>24</v>
      </c>
      <c r="G592" s="563" t="s">
        <v>24</v>
      </c>
      <c r="H592" s="563" t="s">
        <v>212</v>
      </c>
      <c r="I592" s="566">
        <v>14602150000</v>
      </c>
    </row>
    <row r="593" spans="1:9" ht="16" x14ac:dyDescent="0.2">
      <c r="A593" s="567">
        <v>46044</v>
      </c>
      <c r="B593" s="568">
        <v>2026</v>
      </c>
      <c r="C593" s="569">
        <v>1</v>
      </c>
      <c r="D593" s="570">
        <v>4</v>
      </c>
      <c r="E593" s="570">
        <v>22</v>
      </c>
      <c r="F593" s="571" t="s">
        <v>67</v>
      </c>
      <c r="G593" s="569" t="s">
        <v>67</v>
      </c>
      <c r="H593" s="569" t="s">
        <v>213</v>
      </c>
      <c r="I593" s="572">
        <v>1857940564</v>
      </c>
    </row>
    <row r="594" spans="1:9" ht="16" x14ac:dyDescent="0.2">
      <c r="A594" s="561">
        <v>46044</v>
      </c>
      <c r="B594" s="562">
        <v>2026</v>
      </c>
      <c r="C594" s="563">
        <v>1</v>
      </c>
      <c r="D594" s="564">
        <v>4</v>
      </c>
      <c r="E594" s="564">
        <v>22</v>
      </c>
      <c r="F594" s="565" t="s">
        <v>28</v>
      </c>
      <c r="G594" s="563" t="s">
        <v>28</v>
      </c>
      <c r="H594" s="563" t="s">
        <v>214</v>
      </c>
      <c r="I594" s="566">
        <v>13052556000</v>
      </c>
    </row>
    <row r="595" spans="1:9" ht="16" x14ac:dyDescent="0.2">
      <c r="A595" s="567">
        <v>46044</v>
      </c>
      <c r="B595" s="568">
        <v>2026</v>
      </c>
      <c r="C595" s="569">
        <v>1</v>
      </c>
      <c r="D595" s="570">
        <v>4</v>
      </c>
      <c r="E595" s="570">
        <v>22</v>
      </c>
      <c r="F595" s="571" t="s">
        <v>208</v>
      </c>
      <c r="G595" s="569" t="s">
        <v>208</v>
      </c>
      <c r="H595" s="569" t="s">
        <v>216</v>
      </c>
      <c r="I595" s="572">
        <v>8542252</v>
      </c>
    </row>
    <row r="596" spans="1:9" ht="16" x14ac:dyDescent="0.2">
      <c r="A596" s="561">
        <v>46044</v>
      </c>
      <c r="B596" s="562">
        <v>2026</v>
      </c>
      <c r="C596" s="563">
        <v>1</v>
      </c>
      <c r="D596" s="564">
        <v>4</v>
      </c>
      <c r="E596" s="564">
        <v>22</v>
      </c>
      <c r="F596" s="565" t="s">
        <v>60</v>
      </c>
      <c r="G596" s="563" t="s">
        <v>60</v>
      </c>
      <c r="H596" s="563" t="s">
        <v>212</v>
      </c>
      <c r="I596" s="566">
        <v>0</v>
      </c>
    </row>
    <row r="597" spans="1:9" ht="16" x14ac:dyDescent="0.2">
      <c r="A597" s="567">
        <v>46044</v>
      </c>
      <c r="B597" s="568">
        <v>2026</v>
      </c>
      <c r="C597" s="569">
        <v>1</v>
      </c>
      <c r="D597" s="570">
        <v>4</v>
      </c>
      <c r="E597" s="570">
        <v>22</v>
      </c>
      <c r="F597" s="571" t="s">
        <v>36</v>
      </c>
      <c r="G597" s="569" t="s">
        <v>36</v>
      </c>
      <c r="H597" s="569" t="s">
        <v>212</v>
      </c>
      <c r="I597" s="572">
        <v>4446940000</v>
      </c>
    </row>
    <row r="598" spans="1:9" ht="16" x14ac:dyDescent="0.2">
      <c r="A598" s="561">
        <v>46044</v>
      </c>
      <c r="B598" s="562">
        <v>2026</v>
      </c>
      <c r="C598" s="563">
        <v>1</v>
      </c>
      <c r="D598" s="564">
        <v>4</v>
      </c>
      <c r="E598" s="564">
        <v>22</v>
      </c>
      <c r="F598" s="565" t="s">
        <v>55</v>
      </c>
      <c r="G598" s="563" t="s">
        <v>36</v>
      </c>
      <c r="H598" s="563" t="s">
        <v>212</v>
      </c>
      <c r="I598" s="566">
        <v>1488850000</v>
      </c>
    </row>
    <row r="599" spans="1:9" ht="16" x14ac:dyDescent="0.2">
      <c r="A599" s="567">
        <v>46044</v>
      </c>
      <c r="B599" s="568">
        <v>2026</v>
      </c>
      <c r="C599" s="569">
        <v>1</v>
      </c>
      <c r="D599" s="570">
        <v>4</v>
      </c>
      <c r="E599" s="570">
        <v>22</v>
      </c>
      <c r="F599" s="571" t="s">
        <v>176</v>
      </c>
      <c r="G599" s="569" t="s">
        <v>176</v>
      </c>
      <c r="H599" s="569" t="s">
        <v>216</v>
      </c>
      <c r="I599" s="572">
        <v>3952618</v>
      </c>
    </row>
    <row r="600" spans="1:9" ht="16" x14ac:dyDescent="0.2">
      <c r="A600" s="561">
        <v>46044</v>
      </c>
      <c r="B600" s="562">
        <v>2026</v>
      </c>
      <c r="C600" s="563">
        <v>1</v>
      </c>
      <c r="D600" s="564">
        <v>4</v>
      </c>
      <c r="E600" s="564">
        <v>22</v>
      </c>
      <c r="F600" s="565" t="s">
        <v>39</v>
      </c>
      <c r="G600" s="563" t="s">
        <v>176</v>
      </c>
      <c r="H600" s="563" t="s">
        <v>216</v>
      </c>
      <c r="I600" s="566">
        <v>1055462327</v>
      </c>
    </row>
    <row r="601" spans="1:9" ht="16" x14ac:dyDescent="0.2">
      <c r="A601" s="567">
        <v>46044</v>
      </c>
      <c r="B601" s="568">
        <v>2026</v>
      </c>
      <c r="C601" s="569">
        <v>1</v>
      </c>
      <c r="D601" s="570">
        <v>4</v>
      </c>
      <c r="E601" s="570">
        <v>22</v>
      </c>
      <c r="F601" s="571" t="s">
        <v>206</v>
      </c>
      <c r="G601" s="569" t="s">
        <v>206</v>
      </c>
      <c r="H601" s="569" t="s">
        <v>212</v>
      </c>
      <c r="I601" s="572">
        <v>0</v>
      </c>
    </row>
    <row r="602" spans="1:9" ht="16" x14ac:dyDescent="0.2">
      <c r="A602" s="561">
        <v>46044</v>
      </c>
      <c r="B602" s="562">
        <v>2026</v>
      </c>
      <c r="C602" s="563">
        <v>1</v>
      </c>
      <c r="D602" s="564">
        <v>4</v>
      </c>
      <c r="E602" s="564">
        <v>22</v>
      </c>
      <c r="F602" s="565" t="s">
        <v>64</v>
      </c>
      <c r="G602" s="563" t="s">
        <v>209</v>
      </c>
      <c r="H602" s="563" t="s">
        <v>212</v>
      </c>
      <c r="I602" s="566">
        <v>117650000</v>
      </c>
    </row>
    <row r="603" spans="1:9" ht="16" x14ac:dyDescent="0.2">
      <c r="A603" s="567">
        <v>46044</v>
      </c>
      <c r="B603" s="568">
        <v>2026</v>
      </c>
      <c r="C603" s="569">
        <v>1</v>
      </c>
      <c r="D603" s="570">
        <v>4</v>
      </c>
      <c r="E603" s="570">
        <v>22</v>
      </c>
      <c r="F603" s="571" t="s">
        <v>237</v>
      </c>
      <c r="G603" s="569" t="s">
        <v>209</v>
      </c>
      <c r="H603" s="569" t="s">
        <v>212</v>
      </c>
      <c r="I603" s="572">
        <v>55620000</v>
      </c>
    </row>
    <row r="604" spans="1:9" ht="16" x14ac:dyDescent="0.2">
      <c r="A604" s="561">
        <v>46044</v>
      </c>
      <c r="B604" s="562">
        <v>2026</v>
      </c>
      <c r="C604" s="563">
        <v>1</v>
      </c>
      <c r="D604" s="564">
        <v>4</v>
      </c>
      <c r="E604" s="564">
        <v>22</v>
      </c>
      <c r="F604" s="565" t="s">
        <v>11</v>
      </c>
      <c r="G604" s="563" t="s">
        <v>11</v>
      </c>
      <c r="H604" s="563" t="s">
        <v>212</v>
      </c>
      <c r="I604" s="566">
        <v>15830660000</v>
      </c>
    </row>
    <row r="605" spans="1:9" ht="16" x14ac:dyDescent="0.2">
      <c r="A605" s="567">
        <v>46044</v>
      </c>
      <c r="B605" s="568">
        <v>2026</v>
      </c>
      <c r="C605" s="569">
        <v>1</v>
      </c>
      <c r="D605" s="570">
        <v>4</v>
      </c>
      <c r="E605" s="570">
        <v>22</v>
      </c>
      <c r="F605" s="571" t="s">
        <v>221</v>
      </c>
      <c r="G605" s="569" t="s">
        <v>207</v>
      </c>
      <c r="H605" s="569" t="s">
        <v>212</v>
      </c>
      <c r="I605" s="572">
        <v>0</v>
      </c>
    </row>
    <row r="606" spans="1:9" ht="16" x14ac:dyDescent="0.2">
      <c r="A606" s="561">
        <v>46044</v>
      </c>
      <c r="B606" s="562">
        <v>2026</v>
      </c>
      <c r="C606" s="563">
        <v>1</v>
      </c>
      <c r="D606" s="564">
        <v>4</v>
      </c>
      <c r="E606" s="564">
        <v>22</v>
      </c>
      <c r="F606" s="565" t="s">
        <v>222</v>
      </c>
      <c r="G606" s="563" t="s">
        <v>207</v>
      </c>
      <c r="H606" s="563" t="s">
        <v>212</v>
      </c>
      <c r="I606" s="566">
        <v>0</v>
      </c>
    </row>
    <row r="607" spans="1:9" ht="16" x14ac:dyDescent="0.2">
      <c r="A607" s="567">
        <v>46044</v>
      </c>
      <c r="B607" s="568">
        <v>2026</v>
      </c>
      <c r="C607" s="569">
        <v>1</v>
      </c>
      <c r="D607" s="570">
        <v>4</v>
      </c>
      <c r="E607" s="570">
        <v>22</v>
      </c>
      <c r="F607" s="571" t="s">
        <v>223</v>
      </c>
      <c r="G607" s="569" t="s">
        <v>207</v>
      </c>
      <c r="H607" s="569" t="s">
        <v>212</v>
      </c>
      <c r="I607" s="572">
        <v>0</v>
      </c>
    </row>
    <row r="608" spans="1:9" ht="16" x14ac:dyDescent="0.2">
      <c r="A608" s="561">
        <v>46044</v>
      </c>
      <c r="B608" s="562">
        <v>2026</v>
      </c>
      <c r="C608" s="563">
        <v>1</v>
      </c>
      <c r="D608" s="564">
        <v>4</v>
      </c>
      <c r="E608" s="564">
        <v>22</v>
      </c>
      <c r="F608" s="565" t="s">
        <v>219</v>
      </c>
      <c r="G608" s="563" t="s">
        <v>11</v>
      </c>
      <c r="H608" s="563" t="s">
        <v>212</v>
      </c>
      <c r="I608" s="566">
        <v>0</v>
      </c>
    </row>
    <row r="609" spans="1:9" ht="16" x14ac:dyDescent="0.2">
      <c r="A609" s="567">
        <v>46044</v>
      </c>
      <c r="B609" s="568">
        <v>2026</v>
      </c>
      <c r="C609" s="569">
        <v>1</v>
      </c>
      <c r="D609" s="570">
        <v>4</v>
      </c>
      <c r="E609" s="570">
        <v>22</v>
      </c>
      <c r="F609" s="571" t="s">
        <v>19</v>
      </c>
      <c r="G609" s="569" t="s">
        <v>19</v>
      </c>
      <c r="H609" s="569" t="s">
        <v>214</v>
      </c>
      <c r="I609" s="572">
        <v>8856540000</v>
      </c>
    </row>
    <row r="610" spans="1:9" ht="16" x14ac:dyDescent="0.2">
      <c r="A610" s="561">
        <v>46044</v>
      </c>
      <c r="B610" s="562">
        <v>2026</v>
      </c>
      <c r="C610" s="563">
        <v>1</v>
      </c>
      <c r="D610" s="564">
        <v>4</v>
      </c>
      <c r="E610" s="564">
        <v>22</v>
      </c>
      <c r="F610" s="565" t="s">
        <v>62</v>
      </c>
      <c r="G610" s="563" t="s">
        <v>62</v>
      </c>
      <c r="H610" s="563" t="s">
        <v>216</v>
      </c>
      <c r="I610" s="566">
        <v>181212665</v>
      </c>
    </row>
    <row r="611" spans="1:9" ht="16" x14ac:dyDescent="0.2">
      <c r="A611" s="567">
        <v>46044</v>
      </c>
      <c r="B611" s="568">
        <v>2026</v>
      </c>
      <c r="C611" s="569">
        <v>1</v>
      </c>
      <c r="D611" s="570">
        <v>4</v>
      </c>
      <c r="E611" s="570">
        <v>22</v>
      </c>
      <c r="F611" s="571" t="s">
        <v>58</v>
      </c>
      <c r="G611" s="569" t="s">
        <v>58</v>
      </c>
      <c r="H611" s="569" t="s">
        <v>212</v>
      </c>
      <c r="I611" s="572">
        <v>18900000</v>
      </c>
    </row>
    <row r="612" spans="1:9" ht="16" x14ac:dyDescent="0.2">
      <c r="A612" s="561">
        <v>46044</v>
      </c>
      <c r="B612" s="562">
        <v>2026</v>
      </c>
      <c r="C612" s="563">
        <v>1</v>
      </c>
      <c r="D612" s="564">
        <v>4</v>
      </c>
      <c r="E612" s="564">
        <v>22</v>
      </c>
      <c r="F612" s="565" t="s">
        <v>61</v>
      </c>
      <c r="G612" s="563" t="s">
        <v>61</v>
      </c>
      <c r="H612" s="563" t="s">
        <v>214</v>
      </c>
      <c r="I612" s="566">
        <v>42000000</v>
      </c>
    </row>
    <row r="613" spans="1:9" ht="16" x14ac:dyDescent="0.2">
      <c r="A613" s="567">
        <v>46044</v>
      </c>
      <c r="B613" s="568">
        <v>2026</v>
      </c>
      <c r="C613" s="569">
        <v>1</v>
      </c>
      <c r="D613" s="570">
        <v>4</v>
      </c>
      <c r="E613" s="570">
        <v>22</v>
      </c>
      <c r="F613" s="571" t="s">
        <v>57</v>
      </c>
      <c r="G613" s="569" t="s">
        <v>57</v>
      </c>
      <c r="H613" s="569" t="s">
        <v>212</v>
      </c>
      <c r="I613" s="572">
        <v>938160000</v>
      </c>
    </row>
    <row r="614" spans="1:9" ht="16" x14ac:dyDescent="0.2">
      <c r="A614" s="561">
        <v>46044</v>
      </c>
      <c r="B614" s="562">
        <v>2026</v>
      </c>
      <c r="C614" s="563">
        <v>1</v>
      </c>
      <c r="D614" s="564">
        <v>4</v>
      </c>
      <c r="E614" s="564">
        <v>22</v>
      </c>
      <c r="F614" s="565" t="s">
        <v>63</v>
      </c>
      <c r="G614" s="563" t="s">
        <v>63</v>
      </c>
      <c r="H614" s="563" t="s">
        <v>214</v>
      </c>
      <c r="I614" s="566">
        <v>291168000</v>
      </c>
    </row>
    <row r="615" spans="1:9" ht="16" x14ac:dyDescent="0.2">
      <c r="A615" s="567">
        <v>46044</v>
      </c>
      <c r="B615" s="568">
        <v>2026</v>
      </c>
      <c r="C615" s="569">
        <v>1</v>
      </c>
      <c r="D615" s="570">
        <v>4</v>
      </c>
      <c r="E615" s="570">
        <v>22</v>
      </c>
      <c r="F615" s="571" t="s">
        <v>59</v>
      </c>
      <c r="G615" s="569" t="s">
        <v>59</v>
      </c>
      <c r="H615" s="569" t="s">
        <v>216</v>
      </c>
      <c r="I615" s="572">
        <v>346377364</v>
      </c>
    </row>
    <row r="616" spans="1:9" ht="16" x14ac:dyDescent="0.2">
      <c r="A616" s="561">
        <v>46044</v>
      </c>
      <c r="B616" s="562">
        <v>2026</v>
      </c>
      <c r="C616" s="563">
        <v>1</v>
      </c>
      <c r="D616" s="564">
        <v>4</v>
      </c>
      <c r="E616" s="564">
        <v>22</v>
      </c>
      <c r="F616" s="565" t="s">
        <v>31</v>
      </c>
      <c r="G616" s="563" t="s">
        <v>175</v>
      </c>
      <c r="H616" s="563" t="s">
        <v>212</v>
      </c>
      <c r="I616" s="566">
        <v>3879930000</v>
      </c>
    </row>
    <row r="617" spans="1:9" ht="16" x14ac:dyDescent="0.2">
      <c r="A617" s="567">
        <v>46044</v>
      </c>
      <c r="B617" s="568">
        <v>2026</v>
      </c>
      <c r="C617" s="569">
        <v>1</v>
      </c>
      <c r="D617" s="570">
        <v>4</v>
      </c>
      <c r="E617" s="570">
        <v>22</v>
      </c>
      <c r="F617" s="571" t="s">
        <v>234</v>
      </c>
      <c r="G617" s="569" t="s">
        <v>210</v>
      </c>
      <c r="H617" s="569" t="s">
        <v>214</v>
      </c>
      <c r="I617" s="572">
        <v>1201360000</v>
      </c>
    </row>
    <row r="618" spans="1:9" ht="16" x14ac:dyDescent="0.2">
      <c r="A618" s="561">
        <v>46045</v>
      </c>
      <c r="B618" s="562">
        <v>2026</v>
      </c>
      <c r="C618" s="563">
        <v>1</v>
      </c>
      <c r="D618" s="564">
        <v>4</v>
      </c>
      <c r="E618" s="564">
        <v>23</v>
      </c>
      <c r="F618" s="565" t="s">
        <v>65</v>
      </c>
      <c r="G618" s="563" t="s">
        <v>65</v>
      </c>
      <c r="H618" s="563" t="s">
        <v>212</v>
      </c>
      <c r="I618" s="566">
        <v>651200000</v>
      </c>
    </row>
    <row r="619" spans="1:9" ht="16" x14ac:dyDescent="0.2">
      <c r="A619" s="567">
        <v>46045</v>
      </c>
      <c r="B619" s="568">
        <v>2026</v>
      </c>
      <c r="C619" s="569">
        <v>1</v>
      </c>
      <c r="D619" s="570">
        <v>4</v>
      </c>
      <c r="E619" s="570">
        <v>23</v>
      </c>
      <c r="F619" s="571" t="s">
        <v>66</v>
      </c>
      <c r="G619" s="569" t="s">
        <v>66</v>
      </c>
      <c r="H619" s="569" t="s">
        <v>216</v>
      </c>
      <c r="I619" s="572">
        <v>372295446</v>
      </c>
    </row>
    <row r="620" spans="1:9" ht="16" x14ac:dyDescent="0.2">
      <c r="A620" s="561">
        <v>46045</v>
      </c>
      <c r="B620" s="562">
        <v>2026</v>
      </c>
      <c r="C620" s="563">
        <v>1</v>
      </c>
      <c r="D620" s="564">
        <v>4</v>
      </c>
      <c r="E620" s="564">
        <v>23</v>
      </c>
      <c r="F620" s="565" t="s">
        <v>24</v>
      </c>
      <c r="G620" s="563" t="s">
        <v>24</v>
      </c>
      <c r="H620" s="563" t="s">
        <v>212</v>
      </c>
      <c r="I620" s="566">
        <v>15131180000</v>
      </c>
    </row>
    <row r="621" spans="1:9" ht="16" x14ac:dyDescent="0.2">
      <c r="A621" s="567">
        <v>46045</v>
      </c>
      <c r="B621" s="568">
        <v>2026</v>
      </c>
      <c r="C621" s="569">
        <v>1</v>
      </c>
      <c r="D621" s="570">
        <v>4</v>
      </c>
      <c r="E621" s="570">
        <v>23</v>
      </c>
      <c r="F621" s="571" t="s">
        <v>67</v>
      </c>
      <c r="G621" s="569" t="s">
        <v>67</v>
      </c>
      <c r="H621" s="569" t="s">
        <v>213</v>
      </c>
      <c r="I621" s="572">
        <v>1739089635</v>
      </c>
    </row>
    <row r="622" spans="1:9" ht="16" x14ac:dyDescent="0.2">
      <c r="A622" s="561">
        <v>46045</v>
      </c>
      <c r="B622" s="562">
        <v>2026</v>
      </c>
      <c r="C622" s="563">
        <v>1</v>
      </c>
      <c r="D622" s="564">
        <v>4</v>
      </c>
      <c r="E622" s="564">
        <v>23</v>
      </c>
      <c r="F622" s="565" t="s">
        <v>28</v>
      </c>
      <c r="G622" s="563" t="s">
        <v>28</v>
      </c>
      <c r="H622" s="563" t="s">
        <v>214</v>
      </c>
      <c r="I622" s="566">
        <v>13554540000</v>
      </c>
    </row>
    <row r="623" spans="1:9" ht="16" x14ac:dyDescent="0.2">
      <c r="A623" s="567">
        <v>46045</v>
      </c>
      <c r="B623" s="568">
        <v>2026</v>
      </c>
      <c r="C623" s="569">
        <v>1</v>
      </c>
      <c r="D623" s="570">
        <v>4</v>
      </c>
      <c r="E623" s="570">
        <v>23</v>
      </c>
      <c r="F623" s="571" t="s">
        <v>208</v>
      </c>
      <c r="G623" s="569" t="s">
        <v>208</v>
      </c>
      <c r="H623" s="569" t="s">
        <v>216</v>
      </c>
      <c r="I623" s="572">
        <v>5106534</v>
      </c>
    </row>
    <row r="624" spans="1:9" ht="16" x14ac:dyDescent="0.2">
      <c r="A624" s="561">
        <v>46045</v>
      </c>
      <c r="B624" s="562">
        <v>2026</v>
      </c>
      <c r="C624" s="563">
        <v>1</v>
      </c>
      <c r="D624" s="564">
        <v>4</v>
      </c>
      <c r="E624" s="564">
        <v>23</v>
      </c>
      <c r="F624" s="565" t="s">
        <v>60</v>
      </c>
      <c r="G624" s="563" t="s">
        <v>60</v>
      </c>
      <c r="H624" s="563" t="s">
        <v>212</v>
      </c>
      <c r="I624" s="566">
        <v>0</v>
      </c>
    </row>
    <row r="625" spans="1:9" ht="16" x14ac:dyDescent="0.2">
      <c r="A625" s="567">
        <v>46045</v>
      </c>
      <c r="B625" s="568">
        <v>2026</v>
      </c>
      <c r="C625" s="569">
        <v>1</v>
      </c>
      <c r="D625" s="570">
        <v>4</v>
      </c>
      <c r="E625" s="570">
        <v>23</v>
      </c>
      <c r="F625" s="571" t="s">
        <v>36</v>
      </c>
      <c r="G625" s="569" t="s">
        <v>36</v>
      </c>
      <c r="H625" s="569" t="s">
        <v>212</v>
      </c>
      <c r="I625" s="572">
        <v>4255310000</v>
      </c>
    </row>
    <row r="626" spans="1:9" ht="16" x14ac:dyDescent="0.2">
      <c r="A626" s="561">
        <v>46045</v>
      </c>
      <c r="B626" s="562">
        <v>2026</v>
      </c>
      <c r="C626" s="563">
        <v>1</v>
      </c>
      <c r="D626" s="564">
        <v>4</v>
      </c>
      <c r="E626" s="564">
        <v>23</v>
      </c>
      <c r="F626" s="565" t="s">
        <v>55</v>
      </c>
      <c r="G626" s="563" t="s">
        <v>36</v>
      </c>
      <c r="H626" s="563" t="s">
        <v>212</v>
      </c>
      <c r="I626" s="566">
        <v>1336320000</v>
      </c>
    </row>
    <row r="627" spans="1:9" ht="16" x14ac:dyDescent="0.2">
      <c r="A627" s="567">
        <v>46045</v>
      </c>
      <c r="B627" s="568">
        <v>2026</v>
      </c>
      <c r="C627" s="569">
        <v>1</v>
      </c>
      <c r="D627" s="570">
        <v>4</v>
      </c>
      <c r="E627" s="570">
        <v>23</v>
      </c>
      <c r="F627" s="571" t="s">
        <v>176</v>
      </c>
      <c r="G627" s="569" t="s">
        <v>176</v>
      </c>
      <c r="H627" s="569" t="s">
        <v>216</v>
      </c>
      <c r="I627" s="572">
        <v>14051882</v>
      </c>
    </row>
    <row r="628" spans="1:9" ht="16" x14ac:dyDescent="0.2">
      <c r="A628" s="561">
        <v>46045</v>
      </c>
      <c r="B628" s="562">
        <v>2026</v>
      </c>
      <c r="C628" s="563">
        <v>1</v>
      </c>
      <c r="D628" s="564">
        <v>4</v>
      </c>
      <c r="E628" s="564">
        <v>23</v>
      </c>
      <c r="F628" s="565" t="s">
        <v>39</v>
      </c>
      <c r="G628" s="563" t="s">
        <v>176</v>
      </c>
      <c r="H628" s="563" t="s">
        <v>216</v>
      </c>
      <c r="I628" s="566">
        <v>1428542224</v>
      </c>
    </row>
    <row r="629" spans="1:9" ht="16" x14ac:dyDescent="0.2">
      <c r="A629" s="567">
        <v>46045</v>
      </c>
      <c r="B629" s="568">
        <v>2026</v>
      </c>
      <c r="C629" s="569">
        <v>1</v>
      </c>
      <c r="D629" s="570">
        <v>4</v>
      </c>
      <c r="E629" s="570">
        <v>23</v>
      </c>
      <c r="F629" s="571" t="s">
        <v>206</v>
      </c>
      <c r="G629" s="569" t="s">
        <v>206</v>
      </c>
      <c r="H629" s="569" t="s">
        <v>212</v>
      </c>
      <c r="I629" s="572">
        <v>0</v>
      </c>
    </row>
    <row r="630" spans="1:9" ht="16" x14ac:dyDescent="0.2">
      <c r="A630" s="561">
        <v>46045</v>
      </c>
      <c r="B630" s="562">
        <v>2026</v>
      </c>
      <c r="C630" s="563">
        <v>1</v>
      </c>
      <c r="D630" s="564">
        <v>4</v>
      </c>
      <c r="E630" s="564">
        <v>23</v>
      </c>
      <c r="F630" s="565" t="s">
        <v>64</v>
      </c>
      <c r="G630" s="563" t="s">
        <v>209</v>
      </c>
      <c r="H630" s="563" t="s">
        <v>212</v>
      </c>
      <c r="I630" s="566">
        <v>190400000</v>
      </c>
    </row>
    <row r="631" spans="1:9" ht="16" x14ac:dyDescent="0.2">
      <c r="A631" s="567">
        <v>46045</v>
      </c>
      <c r="B631" s="568">
        <v>2026</v>
      </c>
      <c r="C631" s="569">
        <v>1</v>
      </c>
      <c r="D631" s="570">
        <v>4</v>
      </c>
      <c r="E631" s="570">
        <v>23</v>
      </c>
      <c r="F631" s="571" t="s">
        <v>237</v>
      </c>
      <c r="G631" s="569" t="s">
        <v>209</v>
      </c>
      <c r="H631" s="569" t="s">
        <v>212</v>
      </c>
      <c r="I631" s="572">
        <v>83430000</v>
      </c>
    </row>
    <row r="632" spans="1:9" ht="16" x14ac:dyDescent="0.2">
      <c r="A632" s="561">
        <v>46045</v>
      </c>
      <c r="B632" s="562">
        <v>2026</v>
      </c>
      <c r="C632" s="563">
        <v>1</v>
      </c>
      <c r="D632" s="564">
        <v>4</v>
      </c>
      <c r="E632" s="564">
        <v>23</v>
      </c>
      <c r="F632" s="565" t="s">
        <v>11</v>
      </c>
      <c r="G632" s="563" t="s">
        <v>11</v>
      </c>
      <c r="H632" s="563" t="s">
        <v>212</v>
      </c>
      <c r="I632" s="566">
        <v>16048040000</v>
      </c>
    </row>
    <row r="633" spans="1:9" ht="16" x14ac:dyDescent="0.2">
      <c r="A633" s="567">
        <v>46045</v>
      </c>
      <c r="B633" s="568">
        <v>2026</v>
      </c>
      <c r="C633" s="569">
        <v>1</v>
      </c>
      <c r="D633" s="570">
        <v>4</v>
      </c>
      <c r="E633" s="570">
        <v>23</v>
      </c>
      <c r="F633" s="571" t="s">
        <v>221</v>
      </c>
      <c r="G633" s="569" t="s">
        <v>207</v>
      </c>
      <c r="H633" s="569" t="s">
        <v>212</v>
      </c>
      <c r="I633" s="572">
        <v>0</v>
      </c>
    </row>
    <row r="634" spans="1:9" ht="16" x14ac:dyDescent="0.2">
      <c r="A634" s="561">
        <v>46045</v>
      </c>
      <c r="B634" s="562">
        <v>2026</v>
      </c>
      <c r="C634" s="563">
        <v>1</v>
      </c>
      <c r="D634" s="564">
        <v>4</v>
      </c>
      <c r="E634" s="564">
        <v>23</v>
      </c>
      <c r="F634" s="565" t="s">
        <v>222</v>
      </c>
      <c r="G634" s="563" t="s">
        <v>207</v>
      </c>
      <c r="H634" s="563" t="s">
        <v>212</v>
      </c>
      <c r="I634" s="566">
        <v>0</v>
      </c>
    </row>
    <row r="635" spans="1:9" ht="16" x14ac:dyDescent="0.2">
      <c r="A635" s="567">
        <v>46045</v>
      </c>
      <c r="B635" s="568">
        <v>2026</v>
      </c>
      <c r="C635" s="569">
        <v>1</v>
      </c>
      <c r="D635" s="570">
        <v>4</v>
      </c>
      <c r="E635" s="570">
        <v>23</v>
      </c>
      <c r="F635" s="571" t="s">
        <v>223</v>
      </c>
      <c r="G635" s="569" t="s">
        <v>207</v>
      </c>
      <c r="H635" s="569" t="s">
        <v>212</v>
      </c>
      <c r="I635" s="572">
        <v>0</v>
      </c>
    </row>
    <row r="636" spans="1:9" ht="16" x14ac:dyDescent="0.2">
      <c r="A636" s="561">
        <v>46045</v>
      </c>
      <c r="B636" s="562">
        <v>2026</v>
      </c>
      <c r="C636" s="563">
        <v>1</v>
      </c>
      <c r="D636" s="564">
        <v>4</v>
      </c>
      <c r="E636" s="564">
        <v>23</v>
      </c>
      <c r="F636" s="565" t="s">
        <v>219</v>
      </c>
      <c r="G636" s="563" t="s">
        <v>11</v>
      </c>
      <c r="H636" s="563" t="s">
        <v>212</v>
      </c>
      <c r="I636" s="566">
        <v>0</v>
      </c>
    </row>
    <row r="637" spans="1:9" ht="16" x14ac:dyDescent="0.2">
      <c r="A637" s="567">
        <v>46045</v>
      </c>
      <c r="B637" s="568">
        <v>2026</v>
      </c>
      <c r="C637" s="569">
        <v>1</v>
      </c>
      <c r="D637" s="570">
        <v>4</v>
      </c>
      <c r="E637" s="570">
        <v>23</v>
      </c>
      <c r="F637" s="571" t="s">
        <v>19</v>
      </c>
      <c r="G637" s="569" t="s">
        <v>19</v>
      </c>
      <c r="H637" s="569" t="s">
        <v>214</v>
      </c>
      <c r="I637" s="572">
        <v>10630332000</v>
      </c>
    </row>
    <row r="638" spans="1:9" ht="16" x14ac:dyDescent="0.2">
      <c r="A638" s="561">
        <v>46045</v>
      </c>
      <c r="B638" s="562">
        <v>2026</v>
      </c>
      <c r="C638" s="563">
        <v>1</v>
      </c>
      <c r="D638" s="564">
        <v>4</v>
      </c>
      <c r="E638" s="564">
        <v>23</v>
      </c>
      <c r="F638" s="565" t="s">
        <v>62</v>
      </c>
      <c r="G638" s="563" t="s">
        <v>62</v>
      </c>
      <c r="H638" s="563" t="s">
        <v>216</v>
      </c>
      <c r="I638" s="566">
        <v>152190172</v>
      </c>
    </row>
    <row r="639" spans="1:9" ht="16" x14ac:dyDescent="0.2">
      <c r="A639" s="567">
        <v>46045</v>
      </c>
      <c r="B639" s="568">
        <v>2026</v>
      </c>
      <c r="C639" s="569">
        <v>1</v>
      </c>
      <c r="D639" s="570">
        <v>4</v>
      </c>
      <c r="E639" s="570">
        <v>23</v>
      </c>
      <c r="F639" s="571" t="s">
        <v>58</v>
      </c>
      <c r="G639" s="569" t="s">
        <v>58</v>
      </c>
      <c r="H639" s="569" t="s">
        <v>212</v>
      </c>
      <c r="I639" s="572">
        <v>105000000</v>
      </c>
    </row>
    <row r="640" spans="1:9" ht="16" x14ac:dyDescent="0.2">
      <c r="A640" s="561">
        <v>46045</v>
      </c>
      <c r="B640" s="562">
        <v>2026</v>
      </c>
      <c r="C640" s="563">
        <v>1</v>
      </c>
      <c r="D640" s="564">
        <v>4</v>
      </c>
      <c r="E640" s="564">
        <v>23</v>
      </c>
      <c r="F640" s="565" t="s">
        <v>61</v>
      </c>
      <c r="G640" s="563" t="s">
        <v>61</v>
      </c>
      <c r="H640" s="563" t="s">
        <v>214</v>
      </c>
      <c r="I640" s="566">
        <v>30000000</v>
      </c>
    </row>
    <row r="641" spans="1:9" ht="16" x14ac:dyDescent="0.2">
      <c r="A641" s="567">
        <v>46045</v>
      </c>
      <c r="B641" s="568">
        <v>2026</v>
      </c>
      <c r="C641" s="569">
        <v>1</v>
      </c>
      <c r="D641" s="570">
        <v>4</v>
      </c>
      <c r="E641" s="570">
        <v>23</v>
      </c>
      <c r="F641" s="571" t="s">
        <v>57</v>
      </c>
      <c r="G641" s="569" t="s">
        <v>57</v>
      </c>
      <c r="H641" s="569" t="s">
        <v>212</v>
      </c>
      <c r="I641" s="572">
        <v>978700000</v>
      </c>
    </row>
    <row r="642" spans="1:9" ht="16" x14ac:dyDescent="0.2">
      <c r="A642" s="561">
        <v>46045</v>
      </c>
      <c r="B642" s="562">
        <v>2026</v>
      </c>
      <c r="C642" s="563">
        <v>1</v>
      </c>
      <c r="D642" s="564">
        <v>4</v>
      </c>
      <c r="E642" s="564">
        <v>23</v>
      </c>
      <c r="F642" s="565" t="s">
        <v>63</v>
      </c>
      <c r="G642" s="563" t="s">
        <v>63</v>
      </c>
      <c r="H642" s="563" t="s">
        <v>214</v>
      </c>
      <c r="I642" s="566">
        <v>345924000</v>
      </c>
    </row>
    <row r="643" spans="1:9" ht="16" x14ac:dyDescent="0.2">
      <c r="A643" s="567">
        <v>46045</v>
      </c>
      <c r="B643" s="568">
        <v>2026</v>
      </c>
      <c r="C643" s="569">
        <v>1</v>
      </c>
      <c r="D643" s="570">
        <v>4</v>
      </c>
      <c r="E643" s="570">
        <v>23</v>
      </c>
      <c r="F643" s="571" t="s">
        <v>59</v>
      </c>
      <c r="G643" s="569" t="s">
        <v>59</v>
      </c>
      <c r="H643" s="569" t="s">
        <v>216</v>
      </c>
      <c r="I643" s="572">
        <v>320003512</v>
      </c>
    </row>
    <row r="644" spans="1:9" ht="16" x14ac:dyDescent="0.2">
      <c r="A644" s="561">
        <v>46045</v>
      </c>
      <c r="B644" s="562">
        <v>2026</v>
      </c>
      <c r="C644" s="563">
        <v>1</v>
      </c>
      <c r="D644" s="564">
        <v>4</v>
      </c>
      <c r="E644" s="564">
        <v>23</v>
      </c>
      <c r="F644" s="565" t="s">
        <v>31</v>
      </c>
      <c r="G644" s="563" t="s">
        <v>175</v>
      </c>
      <c r="H644" s="563" t="s">
        <v>212</v>
      </c>
      <c r="I644" s="566">
        <v>4293830000</v>
      </c>
    </row>
    <row r="645" spans="1:9" ht="16" x14ac:dyDescent="0.2">
      <c r="A645" s="567">
        <v>46045</v>
      </c>
      <c r="B645" s="568">
        <v>2026</v>
      </c>
      <c r="C645" s="569">
        <v>1</v>
      </c>
      <c r="D645" s="570">
        <v>4</v>
      </c>
      <c r="E645" s="570">
        <v>23</v>
      </c>
      <c r="F645" s="571" t="s">
        <v>234</v>
      </c>
      <c r="G645" s="569" t="s">
        <v>210</v>
      </c>
      <c r="H645" s="569" t="s">
        <v>214</v>
      </c>
      <c r="I645" s="572">
        <v>1116960000</v>
      </c>
    </row>
    <row r="646" spans="1:9" ht="16" x14ac:dyDescent="0.2">
      <c r="A646" s="561">
        <v>46046</v>
      </c>
      <c r="B646" s="562">
        <v>2026</v>
      </c>
      <c r="C646" s="563">
        <v>1</v>
      </c>
      <c r="D646" s="564">
        <v>4</v>
      </c>
      <c r="E646" s="564">
        <v>24</v>
      </c>
      <c r="F646" s="565" t="s">
        <v>65</v>
      </c>
      <c r="G646" s="563" t="s">
        <v>65</v>
      </c>
      <c r="H646" s="563" t="s">
        <v>212</v>
      </c>
      <c r="I646" s="566">
        <v>715050000</v>
      </c>
    </row>
    <row r="647" spans="1:9" ht="16" x14ac:dyDescent="0.2">
      <c r="A647" s="567">
        <v>46046</v>
      </c>
      <c r="B647" s="568">
        <v>2026</v>
      </c>
      <c r="C647" s="569">
        <v>1</v>
      </c>
      <c r="D647" s="570">
        <v>4</v>
      </c>
      <c r="E647" s="570">
        <v>24</v>
      </c>
      <c r="F647" s="571" t="s">
        <v>66</v>
      </c>
      <c r="G647" s="569" t="s">
        <v>66</v>
      </c>
      <c r="H647" s="569" t="s">
        <v>216</v>
      </c>
      <c r="I647" s="572">
        <v>366037698</v>
      </c>
    </row>
    <row r="648" spans="1:9" ht="16" x14ac:dyDescent="0.2">
      <c r="A648" s="561">
        <v>46046</v>
      </c>
      <c r="B648" s="562">
        <v>2026</v>
      </c>
      <c r="C648" s="563">
        <v>1</v>
      </c>
      <c r="D648" s="564">
        <v>4</v>
      </c>
      <c r="E648" s="564">
        <v>24</v>
      </c>
      <c r="F648" s="565" t="s">
        <v>24</v>
      </c>
      <c r="G648" s="563" t="s">
        <v>24</v>
      </c>
      <c r="H648" s="563" t="s">
        <v>212</v>
      </c>
      <c r="I648" s="566">
        <v>12679140000</v>
      </c>
    </row>
    <row r="649" spans="1:9" ht="16" x14ac:dyDescent="0.2">
      <c r="A649" s="567">
        <v>46046</v>
      </c>
      <c r="B649" s="568">
        <v>2026</v>
      </c>
      <c r="C649" s="569">
        <v>1</v>
      </c>
      <c r="D649" s="570">
        <v>4</v>
      </c>
      <c r="E649" s="570">
        <v>24</v>
      </c>
      <c r="F649" s="571" t="s">
        <v>67</v>
      </c>
      <c r="G649" s="569" t="s">
        <v>67</v>
      </c>
      <c r="H649" s="569" t="s">
        <v>213</v>
      </c>
      <c r="I649" s="572">
        <v>1803418143</v>
      </c>
    </row>
    <row r="650" spans="1:9" ht="16" x14ac:dyDescent="0.2">
      <c r="A650" s="561">
        <v>46046</v>
      </c>
      <c r="B650" s="562">
        <v>2026</v>
      </c>
      <c r="C650" s="563">
        <v>1</v>
      </c>
      <c r="D650" s="564">
        <v>4</v>
      </c>
      <c r="E650" s="564">
        <v>24</v>
      </c>
      <c r="F650" s="565" t="s">
        <v>28</v>
      </c>
      <c r="G650" s="563" t="s">
        <v>28</v>
      </c>
      <c r="H650" s="563" t="s">
        <v>214</v>
      </c>
      <c r="I650" s="566">
        <v>13823028000</v>
      </c>
    </row>
    <row r="651" spans="1:9" ht="16" x14ac:dyDescent="0.2">
      <c r="A651" s="567">
        <v>46046</v>
      </c>
      <c r="B651" s="568">
        <v>2026</v>
      </c>
      <c r="C651" s="569">
        <v>1</v>
      </c>
      <c r="D651" s="570">
        <v>4</v>
      </c>
      <c r="E651" s="570">
        <v>24</v>
      </c>
      <c r="F651" s="571" t="s">
        <v>208</v>
      </c>
      <c r="G651" s="569" t="s">
        <v>208</v>
      </c>
      <c r="H651" s="569" t="s">
        <v>216</v>
      </c>
      <c r="I651" s="572">
        <v>1114882</v>
      </c>
    </row>
    <row r="652" spans="1:9" ht="16" x14ac:dyDescent="0.2">
      <c r="A652" s="561">
        <v>46046</v>
      </c>
      <c r="B652" s="562">
        <v>2026</v>
      </c>
      <c r="C652" s="563">
        <v>1</v>
      </c>
      <c r="D652" s="564">
        <v>4</v>
      </c>
      <c r="E652" s="564">
        <v>24</v>
      </c>
      <c r="F652" s="565" t="s">
        <v>60</v>
      </c>
      <c r="G652" s="563" t="s">
        <v>60</v>
      </c>
      <c r="H652" s="563" t="s">
        <v>212</v>
      </c>
      <c r="I652" s="566">
        <v>0</v>
      </c>
    </row>
    <row r="653" spans="1:9" ht="16" x14ac:dyDescent="0.2">
      <c r="A653" s="567">
        <v>46046</v>
      </c>
      <c r="B653" s="568">
        <v>2026</v>
      </c>
      <c r="C653" s="569">
        <v>1</v>
      </c>
      <c r="D653" s="570">
        <v>4</v>
      </c>
      <c r="E653" s="570">
        <v>24</v>
      </c>
      <c r="F653" s="571" t="s">
        <v>36</v>
      </c>
      <c r="G653" s="569" t="s">
        <v>36</v>
      </c>
      <c r="H653" s="569" t="s">
        <v>212</v>
      </c>
      <c r="I653" s="572">
        <v>4192230000</v>
      </c>
    </row>
    <row r="654" spans="1:9" ht="16" x14ac:dyDescent="0.2">
      <c r="A654" s="561">
        <v>46046</v>
      </c>
      <c r="B654" s="562">
        <v>2026</v>
      </c>
      <c r="C654" s="563">
        <v>1</v>
      </c>
      <c r="D654" s="564">
        <v>4</v>
      </c>
      <c r="E654" s="564">
        <v>24</v>
      </c>
      <c r="F654" s="565" t="s">
        <v>55</v>
      </c>
      <c r="G654" s="563" t="s">
        <v>36</v>
      </c>
      <c r="H654" s="563" t="s">
        <v>212</v>
      </c>
      <c r="I654" s="566">
        <v>1276800000</v>
      </c>
    </row>
    <row r="655" spans="1:9" ht="16" x14ac:dyDescent="0.2">
      <c r="A655" s="567">
        <v>46046</v>
      </c>
      <c r="B655" s="568">
        <v>2026</v>
      </c>
      <c r="C655" s="569">
        <v>1</v>
      </c>
      <c r="D655" s="570">
        <v>4</v>
      </c>
      <c r="E655" s="570">
        <v>24</v>
      </c>
      <c r="F655" s="571" t="s">
        <v>176</v>
      </c>
      <c r="G655" s="569" t="s">
        <v>176</v>
      </c>
      <c r="H655" s="569" t="s">
        <v>216</v>
      </c>
      <c r="I655" s="572">
        <v>770000</v>
      </c>
    </row>
    <row r="656" spans="1:9" ht="16" x14ac:dyDescent="0.2">
      <c r="A656" s="561">
        <v>46046</v>
      </c>
      <c r="B656" s="562">
        <v>2026</v>
      </c>
      <c r="C656" s="563">
        <v>1</v>
      </c>
      <c r="D656" s="564">
        <v>4</v>
      </c>
      <c r="E656" s="564">
        <v>24</v>
      </c>
      <c r="F656" s="565" t="s">
        <v>39</v>
      </c>
      <c r="G656" s="563" t="s">
        <v>176</v>
      </c>
      <c r="H656" s="563" t="s">
        <v>216</v>
      </c>
      <c r="I656" s="566">
        <v>1472880198</v>
      </c>
    </row>
    <row r="657" spans="1:9" ht="16" x14ac:dyDescent="0.2">
      <c r="A657" s="567">
        <v>46046</v>
      </c>
      <c r="B657" s="568">
        <v>2026</v>
      </c>
      <c r="C657" s="569">
        <v>1</v>
      </c>
      <c r="D657" s="570">
        <v>4</v>
      </c>
      <c r="E657" s="570">
        <v>24</v>
      </c>
      <c r="F657" s="571" t="s">
        <v>206</v>
      </c>
      <c r="G657" s="569" t="s">
        <v>206</v>
      </c>
      <c r="H657" s="569" t="s">
        <v>212</v>
      </c>
      <c r="I657" s="572">
        <v>0</v>
      </c>
    </row>
    <row r="658" spans="1:9" ht="16" x14ac:dyDescent="0.2">
      <c r="A658" s="561">
        <v>46046</v>
      </c>
      <c r="B658" s="562">
        <v>2026</v>
      </c>
      <c r="C658" s="563">
        <v>1</v>
      </c>
      <c r="D658" s="564">
        <v>4</v>
      </c>
      <c r="E658" s="564">
        <v>24</v>
      </c>
      <c r="F658" s="565" t="s">
        <v>64</v>
      </c>
      <c r="G658" s="563" t="s">
        <v>209</v>
      </c>
      <c r="H658" s="563" t="s">
        <v>212</v>
      </c>
      <c r="I658" s="566">
        <v>164750000</v>
      </c>
    </row>
    <row r="659" spans="1:9" ht="16" x14ac:dyDescent="0.2">
      <c r="A659" s="567">
        <v>46046</v>
      </c>
      <c r="B659" s="568">
        <v>2026</v>
      </c>
      <c r="C659" s="569">
        <v>1</v>
      </c>
      <c r="D659" s="570">
        <v>4</v>
      </c>
      <c r="E659" s="570">
        <v>24</v>
      </c>
      <c r="F659" s="571" t="s">
        <v>237</v>
      </c>
      <c r="G659" s="569" t="s">
        <v>209</v>
      </c>
      <c r="H659" s="569" t="s">
        <v>212</v>
      </c>
      <c r="I659" s="572">
        <v>0</v>
      </c>
    </row>
    <row r="660" spans="1:9" ht="16" x14ac:dyDescent="0.2">
      <c r="A660" s="561">
        <v>46046</v>
      </c>
      <c r="B660" s="562">
        <v>2026</v>
      </c>
      <c r="C660" s="563">
        <v>1</v>
      </c>
      <c r="D660" s="564">
        <v>4</v>
      </c>
      <c r="E660" s="564">
        <v>24</v>
      </c>
      <c r="F660" s="565" t="s">
        <v>11</v>
      </c>
      <c r="G660" s="563" t="s">
        <v>11</v>
      </c>
      <c r="H660" s="563" t="s">
        <v>212</v>
      </c>
      <c r="I660" s="566">
        <v>13038550000</v>
      </c>
    </row>
    <row r="661" spans="1:9" ht="16" x14ac:dyDescent="0.2">
      <c r="A661" s="567">
        <v>46046</v>
      </c>
      <c r="B661" s="568">
        <v>2026</v>
      </c>
      <c r="C661" s="569">
        <v>1</v>
      </c>
      <c r="D661" s="570">
        <v>4</v>
      </c>
      <c r="E661" s="570">
        <v>24</v>
      </c>
      <c r="F661" s="571" t="s">
        <v>221</v>
      </c>
      <c r="G661" s="569" t="s">
        <v>207</v>
      </c>
      <c r="H661" s="569" t="s">
        <v>212</v>
      </c>
      <c r="I661" s="572">
        <v>0</v>
      </c>
    </row>
    <row r="662" spans="1:9" ht="16" x14ac:dyDescent="0.2">
      <c r="A662" s="561">
        <v>46046</v>
      </c>
      <c r="B662" s="562">
        <v>2026</v>
      </c>
      <c r="C662" s="563">
        <v>1</v>
      </c>
      <c r="D662" s="564">
        <v>4</v>
      </c>
      <c r="E662" s="564">
        <v>24</v>
      </c>
      <c r="F662" s="565" t="s">
        <v>222</v>
      </c>
      <c r="G662" s="563" t="s">
        <v>207</v>
      </c>
      <c r="H662" s="563" t="s">
        <v>212</v>
      </c>
      <c r="I662" s="566">
        <v>0</v>
      </c>
    </row>
    <row r="663" spans="1:9" ht="16" x14ac:dyDescent="0.2">
      <c r="A663" s="567">
        <v>46046</v>
      </c>
      <c r="B663" s="568">
        <v>2026</v>
      </c>
      <c r="C663" s="569">
        <v>1</v>
      </c>
      <c r="D663" s="570">
        <v>4</v>
      </c>
      <c r="E663" s="570">
        <v>24</v>
      </c>
      <c r="F663" s="571" t="s">
        <v>223</v>
      </c>
      <c r="G663" s="569" t="s">
        <v>207</v>
      </c>
      <c r="H663" s="569" t="s">
        <v>212</v>
      </c>
      <c r="I663" s="572">
        <v>0</v>
      </c>
    </row>
    <row r="664" spans="1:9" ht="16" x14ac:dyDescent="0.2">
      <c r="A664" s="561">
        <v>46046</v>
      </c>
      <c r="B664" s="562">
        <v>2026</v>
      </c>
      <c r="C664" s="563">
        <v>1</v>
      </c>
      <c r="D664" s="564">
        <v>4</v>
      </c>
      <c r="E664" s="564">
        <v>24</v>
      </c>
      <c r="F664" s="565" t="s">
        <v>219</v>
      </c>
      <c r="G664" s="563" t="s">
        <v>11</v>
      </c>
      <c r="H664" s="563" t="s">
        <v>212</v>
      </c>
      <c r="I664" s="566">
        <v>0</v>
      </c>
    </row>
    <row r="665" spans="1:9" ht="16" x14ac:dyDescent="0.2">
      <c r="A665" s="567">
        <v>46046</v>
      </c>
      <c r="B665" s="568">
        <v>2026</v>
      </c>
      <c r="C665" s="569">
        <v>1</v>
      </c>
      <c r="D665" s="570">
        <v>4</v>
      </c>
      <c r="E665" s="570">
        <v>24</v>
      </c>
      <c r="F665" s="571" t="s">
        <v>19</v>
      </c>
      <c r="G665" s="569" t="s">
        <v>19</v>
      </c>
      <c r="H665" s="569" t="s">
        <v>214</v>
      </c>
      <c r="I665" s="572">
        <v>9946044000</v>
      </c>
    </row>
    <row r="666" spans="1:9" ht="16" x14ac:dyDescent="0.2">
      <c r="A666" s="561">
        <v>46046</v>
      </c>
      <c r="B666" s="562">
        <v>2026</v>
      </c>
      <c r="C666" s="563">
        <v>1</v>
      </c>
      <c r="D666" s="564">
        <v>4</v>
      </c>
      <c r="E666" s="564">
        <v>24</v>
      </c>
      <c r="F666" s="565" t="s">
        <v>62</v>
      </c>
      <c r="G666" s="563" t="s">
        <v>62</v>
      </c>
      <c r="H666" s="563" t="s">
        <v>216</v>
      </c>
      <c r="I666" s="566">
        <v>155691942</v>
      </c>
    </row>
    <row r="667" spans="1:9" ht="16" x14ac:dyDescent="0.2">
      <c r="A667" s="567">
        <v>46046</v>
      </c>
      <c r="B667" s="568">
        <v>2026</v>
      </c>
      <c r="C667" s="569">
        <v>1</v>
      </c>
      <c r="D667" s="570">
        <v>4</v>
      </c>
      <c r="E667" s="570">
        <v>24</v>
      </c>
      <c r="F667" s="571" t="s">
        <v>58</v>
      </c>
      <c r="G667" s="569" t="s">
        <v>58</v>
      </c>
      <c r="H667" s="569" t="s">
        <v>212</v>
      </c>
      <c r="I667" s="572">
        <v>10500000</v>
      </c>
    </row>
    <row r="668" spans="1:9" ht="16" x14ac:dyDescent="0.2">
      <c r="A668" s="561">
        <v>46046</v>
      </c>
      <c r="B668" s="562">
        <v>2026</v>
      </c>
      <c r="C668" s="563">
        <v>1</v>
      </c>
      <c r="D668" s="564">
        <v>4</v>
      </c>
      <c r="E668" s="564">
        <v>24</v>
      </c>
      <c r="F668" s="565" t="s">
        <v>61</v>
      </c>
      <c r="G668" s="563" t="s">
        <v>61</v>
      </c>
      <c r="H668" s="563" t="s">
        <v>214</v>
      </c>
      <c r="I668" s="566">
        <v>32000000</v>
      </c>
    </row>
    <row r="669" spans="1:9" ht="16" x14ac:dyDescent="0.2">
      <c r="A669" s="567">
        <v>46046</v>
      </c>
      <c r="B669" s="568">
        <v>2026</v>
      </c>
      <c r="C669" s="569">
        <v>1</v>
      </c>
      <c r="D669" s="570">
        <v>4</v>
      </c>
      <c r="E669" s="570">
        <v>24</v>
      </c>
      <c r="F669" s="571" t="s">
        <v>57</v>
      </c>
      <c r="G669" s="569" t="s">
        <v>57</v>
      </c>
      <c r="H669" s="569" t="s">
        <v>212</v>
      </c>
      <c r="I669" s="572">
        <v>763170000</v>
      </c>
    </row>
    <row r="670" spans="1:9" ht="16" x14ac:dyDescent="0.2">
      <c r="A670" s="561">
        <v>46046</v>
      </c>
      <c r="B670" s="562">
        <v>2026</v>
      </c>
      <c r="C670" s="563">
        <v>1</v>
      </c>
      <c r="D670" s="564">
        <v>4</v>
      </c>
      <c r="E670" s="564">
        <v>24</v>
      </c>
      <c r="F670" s="565" t="s">
        <v>63</v>
      </c>
      <c r="G670" s="563" t="s">
        <v>63</v>
      </c>
      <c r="H670" s="563" t="s">
        <v>214</v>
      </c>
      <c r="I670" s="566">
        <v>337716000</v>
      </c>
    </row>
    <row r="671" spans="1:9" ht="16" x14ac:dyDescent="0.2">
      <c r="A671" s="567">
        <v>46046</v>
      </c>
      <c r="B671" s="568">
        <v>2026</v>
      </c>
      <c r="C671" s="569">
        <v>1</v>
      </c>
      <c r="D671" s="570">
        <v>4</v>
      </c>
      <c r="E671" s="570">
        <v>24</v>
      </c>
      <c r="F671" s="571" t="s">
        <v>59</v>
      </c>
      <c r="G671" s="569" t="s">
        <v>59</v>
      </c>
      <c r="H671" s="569" t="s">
        <v>216</v>
      </c>
      <c r="I671" s="572">
        <v>355477921</v>
      </c>
    </row>
    <row r="672" spans="1:9" ht="16" x14ac:dyDescent="0.2">
      <c r="A672" s="561">
        <v>46046</v>
      </c>
      <c r="B672" s="562">
        <v>2026</v>
      </c>
      <c r="C672" s="563">
        <v>1</v>
      </c>
      <c r="D672" s="564">
        <v>4</v>
      </c>
      <c r="E672" s="564">
        <v>24</v>
      </c>
      <c r="F672" s="565" t="s">
        <v>31</v>
      </c>
      <c r="G672" s="563" t="s">
        <v>175</v>
      </c>
      <c r="H672" s="563" t="s">
        <v>212</v>
      </c>
      <c r="I672" s="566">
        <v>2971960000</v>
      </c>
    </row>
    <row r="673" spans="1:9" ht="16" x14ac:dyDescent="0.2">
      <c r="A673" s="567">
        <v>46046</v>
      </c>
      <c r="B673" s="568">
        <v>2026</v>
      </c>
      <c r="C673" s="569">
        <v>1</v>
      </c>
      <c r="D673" s="570">
        <v>4</v>
      </c>
      <c r="E673" s="570">
        <v>24</v>
      </c>
      <c r="F673" s="571" t="s">
        <v>234</v>
      </c>
      <c r="G673" s="569" t="s">
        <v>210</v>
      </c>
      <c r="H673" s="569" t="s">
        <v>214</v>
      </c>
      <c r="I673" s="572">
        <v>1006760000</v>
      </c>
    </row>
    <row r="674" spans="1:9" ht="16" x14ac:dyDescent="0.2">
      <c r="A674" s="561">
        <v>46047</v>
      </c>
      <c r="B674" s="562">
        <v>2026</v>
      </c>
      <c r="C674" s="563">
        <v>1</v>
      </c>
      <c r="D674" s="564">
        <v>4</v>
      </c>
      <c r="E674" s="564">
        <v>25</v>
      </c>
      <c r="F674" s="565" t="s">
        <v>65</v>
      </c>
      <c r="G674" s="563" t="s">
        <v>65</v>
      </c>
      <c r="H674" s="563" t="s">
        <v>212</v>
      </c>
      <c r="I674" s="566">
        <v>658150000</v>
      </c>
    </row>
    <row r="675" spans="1:9" ht="16" x14ac:dyDescent="0.2">
      <c r="A675" s="567">
        <v>46047</v>
      </c>
      <c r="B675" s="568">
        <v>2026</v>
      </c>
      <c r="C675" s="569">
        <v>1</v>
      </c>
      <c r="D675" s="570">
        <v>4</v>
      </c>
      <c r="E675" s="570">
        <v>25</v>
      </c>
      <c r="F675" s="571" t="s">
        <v>66</v>
      </c>
      <c r="G675" s="569" t="s">
        <v>66</v>
      </c>
      <c r="H675" s="569" t="s">
        <v>216</v>
      </c>
      <c r="I675" s="572">
        <v>356598797</v>
      </c>
    </row>
    <row r="676" spans="1:9" ht="16" x14ac:dyDescent="0.2">
      <c r="A676" s="561">
        <v>46047</v>
      </c>
      <c r="B676" s="562">
        <v>2026</v>
      </c>
      <c r="C676" s="563">
        <v>1</v>
      </c>
      <c r="D676" s="564">
        <v>4</v>
      </c>
      <c r="E676" s="564">
        <v>25</v>
      </c>
      <c r="F676" s="565" t="s">
        <v>24</v>
      </c>
      <c r="G676" s="563" t="s">
        <v>24</v>
      </c>
      <c r="H676" s="563" t="s">
        <v>212</v>
      </c>
      <c r="I676" s="566">
        <v>12805630000</v>
      </c>
    </row>
    <row r="677" spans="1:9" ht="16" x14ac:dyDescent="0.2">
      <c r="A677" s="567">
        <v>46047</v>
      </c>
      <c r="B677" s="568">
        <v>2026</v>
      </c>
      <c r="C677" s="569">
        <v>1</v>
      </c>
      <c r="D677" s="570">
        <v>4</v>
      </c>
      <c r="E677" s="570">
        <v>25</v>
      </c>
      <c r="F677" s="571" t="s">
        <v>67</v>
      </c>
      <c r="G677" s="569" t="s">
        <v>67</v>
      </c>
      <c r="H677" s="569" t="s">
        <v>213</v>
      </c>
      <c r="I677" s="572">
        <v>1641302147</v>
      </c>
    </row>
    <row r="678" spans="1:9" ht="16" x14ac:dyDescent="0.2">
      <c r="A678" s="561">
        <v>46047</v>
      </c>
      <c r="B678" s="562">
        <v>2026</v>
      </c>
      <c r="C678" s="563">
        <v>1</v>
      </c>
      <c r="D678" s="564">
        <v>4</v>
      </c>
      <c r="E678" s="564">
        <v>25</v>
      </c>
      <c r="F678" s="565" t="s">
        <v>28</v>
      </c>
      <c r="G678" s="563" t="s">
        <v>28</v>
      </c>
      <c r="H678" s="563" t="s">
        <v>214</v>
      </c>
      <c r="I678" s="566">
        <v>13490928000</v>
      </c>
    </row>
    <row r="679" spans="1:9" ht="16" x14ac:dyDescent="0.2">
      <c r="A679" s="567">
        <v>46047</v>
      </c>
      <c r="B679" s="568">
        <v>2026</v>
      </c>
      <c r="C679" s="569">
        <v>1</v>
      </c>
      <c r="D679" s="570">
        <v>4</v>
      </c>
      <c r="E679" s="570">
        <v>25</v>
      </c>
      <c r="F679" s="571" t="s">
        <v>208</v>
      </c>
      <c r="G679" s="569" t="s">
        <v>208</v>
      </c>
      <c r="H679" s="569" t="s">
        <v>216</v>
      </c>
      <c r="I679" s="572">
        <v>15991345</v>
      </c>
    </row>
    <row r="680" spans="1:9" ht="16" x14ac:dyDescent="0.2">
      <c r="A680" s="561">
        <v>46047</v>
      </c>
      <c r="B680" s="562">
        <v>2026</v>
      </c>
      <c r="C680" s="563">
        <v>1</v>
      </c>
      <c r="D680" s="564">
        <v>4</v>
      </c>
      <c r="E680" s="564">
        <v>25</v>
      </c>
      <c r="F680" s="565" t="s">
        <v>60</v>
      </c>
      <c r="G680" s="563" t="s">
        <v>60</v>
      </c>
      <c r="H680" s="563" t="s">
        <v>212</v>
      </c>
      <c r="I680" s="566">
        <v>0</v>
      </c>
    </row>
    <row r="681" spans="1:9" ht="16" x14ac:dyDescent="0.2">
      <c r="A681" s="567">
        <v>46047</v>
      </c>
      <c r="B681" s="568">
        <v>2026</v>
      </c>
      <c r="C681" s="569">
        <v>1</v>
      </c>
      <c r="D681" s="570">
        <v>4</v>
      </c>
      <c r="E681" s="570">
        <v>25</v>
      </c>
      <c r="F681" s="571" t="s">
        <v>36</v>
      </c>
      <c r="G681" s="569" t="s">
        <v>36</v>
      </c>
      <c r="H681" s="569" t="s">
        <v>212</v>
      </c>
      <c r="I681" s="572">
        <v>5800610000</v>
      </c>
    </row>
    <row r="682" spans="1:9" ht="16" x14ac:dyDescent="0.2">
      <c r="A682" s="561">
        <v>46047</v>
      </c>
      <c r="B682" s="562">
        <v>2026</v>
      </c>
      <c r="C682" s="563">
        <v>1</v>
      </c>
      <c r="D682" s="564">
        <v>4</v>
      </c>
      <c r="E682" s="564">
        <v>25</v>
      </c>
      <c r="F682" s="565" t="s">
        <v>55</v>
      </c>
      <c r="G682" s="563" t="s">
        <v>36</v>
      </c>
      <c r="H682" s="563" t="s">
        <v>212</v>
      </c>
      <c r="I682" s="566">
        <v>1009450000</v>
      </c>
    </row>
    <row r="683" spans="1:9" ht="16" x14ac:dyDescent="0.2">
      <c r="A683" s="567">
        <v>46047</v>
      </c>
      <c r="B683" s="568">
        <v>2026</v>
      </c>
      <c r="C683" s="569">
        <v>1</v>
      </c>
      <c r="D683" s="570">
        <v>4</v>
      </c>
      <c r="E683" s="570">
        <v>25</v>
      </c>
      <c r="F683" s="571" t="s">
        <v>176</v>
      </c>
      <c r="G683" s="569" t="s">
        <v>176</v>
      </c>
      <c r="H683" s="569" t="s">
        <v>216</v>
      </c>
      <c r="I683" s="572">
        <v>7189640</v>
      </c>
    </row>
    <row r="684" spans="1:9" ht="16" x14ac:dyDescent="0.2">
      <c r="A684" s="561">
        <v>46047</v>
      </c>
      <c r="B684" s="562">
        <v>2026</v>
      </c>
      <c r="C684" s="563">
        <v>1</v>
      </c>
      <c r="D684" s="564">
        <v>4</v>
      </c>
      <c r="E684" s="564">
        <v>25</v>
      </c>
      <c r="F684" s="565" t="s">
        <v>39</v>
      </c>
      <c r="G684" s="563" t="s">
        <v>176</v>
      </c>
      <c r="H684" s="563" t="s">
        <v>216</v>
      </c>
      <c r="I684" s="566">
        <v>1575733898</v>
      </c>
    </row>
    <row r="685" spans="1:9" ht="16" x14ac:dyDescent="0.2">
      <c r="A685" s="567">
        <v>46047</v>
      </c>
      <c r="B685" s="568">
        <v>2026</v>
      </c>
      <c r="C685" s="569">
        <v>1</v>
      </c>
      <c r="D685" s="570">
        <v>4</v>
      </c>
      <c r="E685" s="570">
        <v>25</v>
      </c>
      <c r="F685" s="571" t="s">
        <v>206</v>
      </c>
      <c r="G685" s="569" t="s">
        <v>206</v>
      </c>
      <c r="H685" s="569" t="s">
        <v>212</v>
      </c>
      <c r="I685" s="572">
        <v>0</v>
      </c>
    </row>
    <row r="686" spans="1:9" ht="16" x14ac:dyDescent="0.2">
      <c r="A686" s="561">
        <v>46047</v>
      </c>
      <c r="B686" s="562">
        <v>2026</v>
      </c>
      <c r="C686" s="563">
        <v>1</v>
      </c>
      <c r="D686" s="564">
        <v>4</v>
      </c>
      <c r="E686" s="564">
        <v>25</v>
      </c>
      <c r="F686" s="565" t="s">
        <v>64</v>
      </c>
      <c r="G686" s="563" t="s">
        <v>209</v>
      </c>
      <c r="H686" s="563" t="s">
        <v>212</v>
      </c>
      <c r="I686" s="566">
        <v>196250000</v>
      </c>
    </row>
    <row r="687" spans="1:9" ht="16" x14ac:dyDescent="0.2">
      <c r="A687" s="567">
        <v>46047</v>
      </c>
      <c r="B687" s="568">
        <v>2026</v>
      </c>
      <c r="C687" s="569">
        <v>1</v>
      </c>
      <c r="D687" s="570">
        <v>4</v>
      </c>
      <c r="E687" s="570">
        <v>25</v>
      </c>
      <c r="F687" s="571" t="s">
        <v>237</v>
      </c>
      <c r="G687" s="569" t="s">
        <v>209</v>
      </c>
      <c r="H687" s="569" t="s">
        <v>212</v>
      </c>
      <c r="I687" s="572">
        <v>0</v>
      </c>
    </row>
    <row r="688" spans="1:9" ht="16" x14ac:dyDescent="0.2">
      <c r="A688" s="561">
        <v>46047</v>
      </c>
      <c r="B688" s="562">
        <v>2026</v>
      </c>
      <c r="C688" s="563">
        <v>1</v>
      </c>
      <c r="D688" s="564">
        <v>4</v>
      </c>
      <c r="E688" s="564">
        <v>25</v>
      </c>
      <c r="F688" s="565" t="s">
        <v>11</v>
      </c>
      <c r="G688" s="563" t="s">
        <v>11</v>
      </c>
      <c r="H688" s="563" t="s">
        <v>212</v>
      </c>
      <c r="I688" s="566">
        <v>15535180000</v>
      </c>
    </row>
    <row r="689" spans="1:9" ht="16" x14ac:dyDescent="0.2">
      <c r="A689" s="567">
        <v>46047</v>
      </c>
      <c r="B689" s="568">
        <v>2026</v>
      </c>
      <c r="C689" s="569">
        <v>1</v>
      </c>
      <c r="D689" s="570">
        <v>4</v>
      </c>
      <c r="E689" s="570">
        <v>25</v>
      </c>
      <c r="F689" s="571" t="s">
        <v>221</v>
      </c>
      <c r="G689" s="569" t="s">
        <v>207</v>
      </c>
      <c r="H689" s="569" t="s">
        <v>212</v>
      </c>
      <c r="I689" s="572">
        <v>0</v>
      </c>
    </row>
    <row r="690" spans="1:9" ht="16" x14ac:dyDescent="0.2">
      <c r="A690" s="561">
        <v>46047</v>
      </c>
      <c r="B690" s="562">
        <v>2026</v>
      </c>
      <c r="C690" s="563">
        <v>1</v>
      </c>
      <c r="D690" s="564">
        <v>4</v>
      </c>
      <c r="E690" s="564">
        <v>25</v>
      </c>
      <c r="F690" s="565" t="s">
        <v>222</v>
      </c>
      <c r="G690" s="563" t="s">
        <v>207</v>
      </c>
      <c r="H690" s="563" t="s">
        <v>212</v>
      </c>
      <c r="I690" s="566">
        <v>0</v>
      </c>
    </row>
    <row r="691" spans="1:9" ht="16" x14ac:dyDescent="0.2">
      <c r="A691" s="567">
        <v>46047</v>
      </c>
      <c r="B691" s="568">
        <v>2026</v>
      </c>
      <c r="C691" s="569">
        <v>1</v>
      </c>
      <c r="D691" s="570">
        <v>4</v>
      </c>
      <c r="E691" s="570">
        <v>25</v>
      </c>
      <c r="F691" s="571" t="s">
        <v>223</v>
      </c>
      <c r="G691" s="569" t="s">
        <v>207</v>
      </c>
      <c r="H691" s="569" t="s">
        <v>212</v>
      </c>
      <c r="I691" s="572">
        <v>0</v>
      </c>
    </row>
    <row r="692" spans="1:9" ht="16" x14ac:dyDescent="0.2">
      <c r="A692" s="561">
        <v>46047</v>
      </c>
      <c r="B692" s="562">
        <v>2026</v>
      </c>
      <c r="C692" s="563">
        <v>1</v>
      </c>
      <c r="D692" s="564">
        <v>4</v>
      </c>
      <c r="E692" s="564">
        <v>25</v>
      </c>
      <c r="F692" s="565" t="s">
        <v>219</v>
      </c>
      <c r="G692" s="563" t="s">
        <v>11</v>
      </c>
      <c r="H692" s="563" t="s">
        <v>212</v>
      </c>
      <c r="I692" s="566">
        <v>0</v>
      </c>
    </row>
    <row r="693" spans="1:9" ht="16" x14ac:dyDescent="0.2">
      <c r="A693" s="567">
        <v>46047</v>
      </c>
      <c r="B693" s="568">
        <v>2026</v>
      </c>
      <c r="C693" s="569">
        <v>1</v>
      </c>
      <c r="D693" s="570">
        <v>4</v>
      </c>
      <c r="E693" s="570">
        <v>25</v>
      </c>
      <c r="F693" s="571" t="s">
        <v>19</v>
      </c>
      <c r="G693" s="569" t="s">
        <v>19</v>
      </c>
      <c r="H693" s="569" t="s">
        <v>214</v>
      </c>
      <c r="I693" s="572">
        <v>10800864000</v>
      </c>
    </row>
    <row r="694" spans="1:9" ht="16" x14ac:dyDescent="0.2">
      <c r="A694" s="561">
        <v>46047</v>
      </c>
      <c r="B694" s="562">
        <v>2026</v>
      </c>
      <c r="C694" s="563">
        <v>1</v>
      </c>
      <c r="D694" s="564">
        <v>4</v>
      </c>
      <c r="E694" s="564">
        <v>25</v>
      </c>
      <c r="F694" s="565" t="s">
        <v>62</v>
      </c>
      <c r="G694" s="563" t="s">
        <v>62</v>
      </c>
      <c r="H694" s="563" t="s">
        <v>216</v>
      </c>
      <c r="I694" s="566">
        <v>148339596</v>
      </c>
    </row>
    <row r="695" spans="1:9" ht="16" x14ac:dyDescent="0.2">
      <c r="A695" s="567">
        <v>46047</v>
      </c>
      <c r="B695" s="568">
        <v>2026</v>
      </c>
      <c r="C695" s="569">
        <v>1</v>
      </c>
      <c r="D695" s="570">
        <v>4</v>
      </c>
      <c r="E695" s="570">
        <v>25</v>
      </c>
      <c r="F695" s="571" t="s">
        <v>58</v>
      </c>
      <c r="G695" s="569" t="s">
        <v>58</v>
      </c>
      <c r="H695" s="569" t="s">
        <v>212</v>
      </c>
      <c r="I695" s="572">
        <v>88750000</v>
      </c>
    </row>
    <row r="696" spans="1:9" ht="16" x14ac:dyDescent="0.2">
      <c r="A696" s="561">
        <v>46047</v>
      </c>
      <c r="B696" s="562">
        <v>2026</v>
      </c>
      <c r="C696" s="563">
        <v>1</v>
      </c>
      <c r="D696" s="564">
        <v>4</v>
      </c>
      <c r="E696" s="564">
        <v>25</v>
      </c>
      <c r="F696" s="565" t="s">
        <v>61</v>
      </c>
      <c r="G696" s="563" t="s">
        <v>61</v>
      </c>
      <c r="H696" s="563" t="s">
        <v>214</v>
      </c>
      <c r="I696" s="566">
        <v>57000000</v>
      </c>
    </row>
    <row r="697" spans="1:9" ht="16" x14ac:dyDescent="0.2">
      <c r="A697" s="567">
        <v>46047</v>
      </c>
      <c r="B697" s="568">
        <v>2026</v>
      </c>
      <c r="C697" s="569">
        <v>1</v>
      </c>
      <c r="D697" s="570">
        <v>4</v>
      </c>
      <c r="E697" s="570">
        <v>25</v>
      </c>
      <c r="F697" s="571" t="s">
        <v>57</v>
      </c>
      <c r="G697" s="569" t="s">
        <v>57</v>
      </c>
      <c r="H697" s="569" t="s">
        <v>212</v>
      </c>
      <c r="I697" s="572">
        <v>996540000</v>
      </c>
    </row>
    <row r="698" spans="1:9" ht="16" x14ac:dyDescent="0.2">
      <c r="A698" s="561">
        <v>46047</v>
      </c>
      <c r="B698" s="562">
        <v>2026</v>
      </c>
      <c r="C698" s="563">
        <v>1</v>
      </c>
      <c r="D698" s="564">
        <v>4</v>
      </c>
      <c r="E698" s="564">
        <v>25</v>
      </c>
      <c r="F698" s="565" t="s">
        <v>63</v>
      </c>
      <c r="G698" s="563" t="s">
        <v>63</v>
      </c>
      <c r="H698" s="563" t="s">
        <v>214</v>
      </c>
      <c r="I698" s="566">
        <v>296136000</v>
      </c>
    </row>
    <row r="699" spans="1:9" ht="16" x14ac:dyDescent="0.2">
      <c r="A699" s="567">
        <v>46047</v>
      </c>
      <c r="B699" s="568">
        <v>2026</v>
      </c>
      <c r="C699" s="569">
        <v>1</v>
      </c>
      <c r="D699" s="570">
        <v>4</v>
      </c>
      <c r="E699" s="570">
        <v>25</v>
      </c>
      <c r="F699" s="571" t="s">
        <v>59</v>
      </c>
      <c r="G699" s="569" t="s">
        <v>59</v>
      </c>
      <c r="H699" s="569" t="s">
        <v>216</v>
      </c>
      <c r="I699" s="572">
        <v>326258892</v>
      </c>
    </row>
    <row r="700" spans="1:9" ht="16" x14ac:dyDescent="0.2">
      <c r="A700" s="561">
        <v>46047</v>
      </c>
      <c r="B700" s="562">
        <v>2026</v>
      </c>
      <c r="C700" s="563">
        <v>1</v>
      </c>
      <c r="D700" s="564">
        <v>4</v>
      </c>
      <c r="E700" s="564">
        <v>25</v>
      </c>
      <c r="F700" s="565" t="s">
        <v>31</v>
      </c>
      <c r="G700" s="563" t="s">
        <v>175</v>
      </c>
      <c r="H700" s="563" t="s">
        <v>212</v>
      </c>
      <c r="I700" s="566">
        <v>3117690000</v>
      </c>
    </row>
    <row r="701" spans="1:9" ht="16" x14ac:dyDescent="0.2">
      <c r="A701" s="567">
        <v>46047</v>
      </c>
      <c r="B701" s="568">
        <v>2026</v>
      </c>
      <c r="C701" s="569">
        <v>1</v>
      </c>
      <c r="D701" s="570">
        <v>4</v>
      </c>
      <c r="E701" s="570">
        <v>25</v>
      </c>
      <c r="F701" s="571" t="s">
        <v>234</v>
      </c>
      <c r="G701" s="569" t="s">
        <v>210</v>
      </c>
      <c r="H701" s="569" t="s">
        <v>214</v>
      </c>
      <c r="I701" s="572">
        <v>1059840000</v>
      </c>
    </row>
    <row r="702" spans="1:9" ht="16" x14ac:dyDescent="0.2">
      <c r="A702" s="561">
        <v>46048</v>
      </c>
      <c r="B702" s="562">
        <v>2026</v>
      </c>
      <c r="C702" s="563">
        <v>1</v>
      </c>
      <c r="D702" s="564">
        <v>5</v>
      </c>
      <c r="E702" s="564">
        <v>26</v>
      </c>
      <c r="F702" s="565" t="s">
        <v>65</v>
      </c>
      <c r="G702" s="563" t="s">
        <v>65</v>
      </c>
      <c r="H702" s="563" t="s">
        <v>212</v>
      </c>
      <c r="I702" s="566">
        <v>666750000</v>
      </c>
    </row>
    <row r="703" spans="1:9" ht="16" x14ac:dyDescent="0.2">
      <c r="A703" s="567">
        <v>46048</v>
      </c>
      <c r="B703" s="568">
        <v>2026</v>
      </c>
      <c r="C703" s="569">
        <v>1</v>
      </c>
      <c r="D703" s="570">
        <v>5</v>
      </c>
      <c r="E703" s="570">
        <v>26</v>
      </c>
      <c r="F703" s="571" t="s">
        <v>66</v>
      </c>
      <c r="G703" s="569" t="s">
        <v>66</v>
      </c>
      <c r="H703" s="569" t="s">
        <v>216</v>
      </c>
      <c r="I703" s="572">
        <v>324787575</v>
      </c>
    </row>
    <row r="704" spans="1:9" ht="16" x14ac:dyDescent="0.2">
      <c r="A704" s="561">
        <v>46048</v>
      </c>
      <c r="B704" s="562">
        <v>2026</v>
      </c>
      <c r="C704" s="563">
        <v>1</v>
      </c>
      <c r="D704" s="564">
        <v>5</v>
      </c>
      <c r="E704" s="564">
        <v>26</v>
      </c>
      <c r="F704" s="565" t="s">
        <v>24</v>
      </c>
      <c r="G704" s="563" t="s">
        <v>24</v>
      </c>
      <c r="H704" s="563" t="s">
        <v>212</v>
      </c>
      <c r="I704" s="566">
        <v>17445010000</v>
      </c>
    </row>
    <row r="705" spans="1:9" ht="16" x14ac:dyDescent="0.2">
      <c r="A705" s="567">
        <v>46048</v>
      </c>
      <c r="B705" s="568">
        <v>2026</v>
      </c>
      <c r="C705" s="569">
        <v>1</v>
      </c>
      <c r="D705" s="570">
        <v>5</v>
      </c>
      <c r="E705" s="570">
        <v>26</v>
      </c>
      <c r="F705" s="571" t="s">
        <v>67</v>
      </c>
      <c r="G705" s="569" t="s">
        <v>67</v>
      </c>
      <c r="H705" s="569" t="s">
        <v>213</v>
      </c>
      <c r="I705" s="572">
        <v>2175792087</v>
      </c>
    </row>
    <row r="706" spans="1:9" ht="16" x14ac:dyDescent="0.2">
      <c r="A706" s="561">
        <v>46048</v>
      </c>
      <c r="B706" s="562">
        <v>2026</v>
      </c>
      <c r="C706" s="563">
        <v>1</v>
      </c>
      <c r="D706" s="564">
        <v>5</v>
      </c>
      <c r="E706" s="564">
        <v>26</v>
      </c>
      <c r="F706" s="565" t="s">
        <v>28</v>
      </c>
      <c r="G706" s="563" t="s">
        <v>28</v>
      </c>
      <c r="H706" s="563" t="s">
        <v>214</v>
      </c>
      <c r="I706" s="566">
        <v>14287320000</v>
      </c>
    </row>
    <row r="707" spans="1:9" ht="16" x14ac:dyDescent="0.2">
      <c r="A707" s="567">
        <v>46048</v>
      </c>
      <c r="B707" s="568">
        <v>2026</v>
      </c>
      <c r="C707" s="569">
        <v>1</v>
      </c>
      <c r="D707" s="570">
        <v>5</v>
      </c>
      <c r="E707" s="570">
        <v>26</v>
      </c>
      <c r="F707" s="571" t="s">
        <v>208</v>
      </c>
      <c r="G707" s="569" t="s">
        <v>208</v>
      </c>
      <c r="H707" s="569" t="s">
        <v>216</v>
      </c>
      <c r="I707" s="572">
        <v>9531104</v>
      </c>
    </row>
    <row r="708" spans="1:9" ht="16" x14ac:dyDescent="0.2">
      <c r="A708" s="561">
        <v>46048</v>
      </c>
      <c r="B708" s="562">
        <v>2026</v>
      </c>
      <c r="C708" s="563">
        <v>1</v>
      </c>
      <c r="D708" s="564">
        <v>5</v>
      </c>
      <c r="E708" s="564">
        <v>26</v>
      </c>
      <c r="F708" s="565" t="s">
        <v>60</v>
      </c>
      <c r="G708" s="563" t="s">
        <v>60</v>
      </c>
      <c r="H708" s="563" t="s">
        <v>212</v>
      </c>
      <c r="I708" s="566">
        <v>0</v>
      </c>
    </row>
    <row r="709" spans="1:9" ht="16" x14ac:dyDescent="0.2">
      <c r="A709" s="567">
        <v>46048</v>
      </c>
      <c r="B709" s="568">
        <v>2026</v>
      </c>
      <c r="C709" s="569">
        <v>1</v>
      </c>
      <c r="D709" s="570">
        <v>5</v>
      </c>
      <c r="E709" s="570">
        <v>26</v>
      </c>
      <c r="F709" s="571" t="s">
        <v>36</v>
      </c>
      <c r="G709" s="569" t="s">
        <v>36</v>
      </c>
      <c r="H709" s="569" t="s">
        <v>212</v>
      </c>
      <c r="I709" s="572">
        <v>5627660000</v>
      </c>
    </row>
    <row r="710" spans="1:9" ht="16" x14ac:dyDescent="0.2">
      <c r="A710" s="561">
        <v>46048</v>
      </c>
      <c r="B710" s="562">
        <v>2026</v>
      </c>
      <c r="C710" s="563">
        <v>1</v>
      </c>
      <c r="D710" s="564">
        <v>5</v>
      </c>
      <c r="E710" s="564">
        <v>26</v>
      </c>
      <c r="F710" s="565" t="s">
        <v>55</v>
      </c>
      <c r="G710" s="563" t="s">
        <v>36</v>
      </c>
      <c r="H710" s="563" t="s">
        <v>212</v>
      </c>
      <c r="I710" s="566">
        <v>1307270000</v>
      </c>
    </row>
    <row r="711" spans="1:9" ht="16" x14ac:dyDescent="0.2">
      <c r="A711" s="567">
        <v>46048</v>
      </c>
      <c r="B711" s="568">
        <v>2026</v>
      </c>
      <c r="C711" s="569">
        <v>1</v>
      </c>
      <c r="D711" s="570">
        <v>5</v>
      </c>
      <c r="E711" s="570">
        <v>26</v>
      </c>
      <c r="F711" s="571" t="s">
        <v>176</v>
      </c>
      <c r="G711" s="569" t="s">
        <v>176</v>
      </c>
      <c r="H711" s="569" t="s">
        <v>216</v>
      </c>
      <c r="I711" s="572">
        <v>6409383</v>
      </c>
    </row>
    <row r="712" spans="1:9" ht="16" x14ac:dyDescent="0.2">
      <c r="A712" s="561">
        <v>46048</v>
      </c>
      <c r="B712" s="562">
        <v>2026</v>
      </c>
      <c r="C712" s="563">
        <v>1</v>
      </c>
      <c r="D712" s="564">
        <v>5</v>
      </c>
      <c r="E712" s="564">
        <v>26</v>
      </c>
      <c r="F712" s="565" t="s">
        <v>39</v>
      </c>
      <c r="G712" s="563" t="s">
        <v>176</v>
      </c>
      <c r="H712" s="563" t="s">
        <v>216</v>
      </c>
      <c r="I712" s="566">
        <v>1073074928</v>
      </c>
    </row>
    <row r="713" spans="1:9" ht="16" x14ac:dyDescent="0.2">
      <c r="A713" s="567">
        <v>46048</v>
      </c>
      <c r="B713" s="568">
        <v>2026</v>
      </c>
      <c r="C713" s="569">
        <v>1</v>
      </c>
      <c r="D713" s="570">
        <v>5</v>
      </c>
      <c r="E713" s="570">
        <v>26</v>
      </c>
      <c r="F713" s="571" t="s">
        <v>206</v>
      </c>
      <c r="G713" s="569" t="s">
        <v>206</v>
      </c>
      <c r="H713" s="569" t="s">
        <v>212</v>
      </c>
      <c r="I713" s="572">
        <v>0</v>
      </c>
    </row>
    <row r="714" spans="1:9" ht="16" x14ac:dyDescent="0.2">
      <c r="A714" s="561">
        <v>46048</v>
      </c>
      <c r="B714" s="562">
        <v>2026</v>
      </c>
      <c r="C714" s="563">
        <v>1</v>
      </c>
      <c r="D714" s="564">
        <v>5</v>
      </c>
      <c r="E714" s="564">
        <v>26</v>
      </c>
      <c r="F714" s="565" t="s">
        <v>64</v>
      </c>
      <c r="G714" s="563" t="s">
        <v>209</v>
      </c>
      <c r="H714" s="563" t="s">
        <v>212</v>
      </c>
      <c r="I714" s="566">
        <v>355850000</v>
      </c>
    </row>
    <row r="715" spans="1:9" ht="16" x14ac:dyDescent="0.2">
      <c r="A715" s="567">
        <v>46048</v>
      </c>
      <c r="B715" s="568">
        <v>2026</v>
      </c>
      <c r="C715" s="569">
        <v>1</v>
      </c>
      <c r="D715" s="570">
        <v>5</v>
      </c>
      <c r="E715" s="570">
        <v>26</v>
      </c>
      <c r="F715" s="571" t="s">
        <v>237</v>
      </c>
      <c r="G715" s="569" t="s">
        <v>209</v>
      </c>
      <c r="H715" s="569" t="s">
        <v>212</v>
      </c>
      <c r="I715" s="572">
        <v>75000000</v>
      </c>
    </row>
    <row r="716" spans="1:9" ht="16" x14ac:dyDescent="0.2">
      <c r="A716" s="561">
        <v>46048</v>
      </c>
      <c r="B716" s="562">
        <v>2026</v>
      </c>
      <c r="C716" s="563">
        <v>1</v>
      </c>
      <c r="D716" s="564">
        <v>5</v>
      </c>
      <c r="E716" s="564">
        <v>26</v>
      </c>
      <c r="F716" s="565" t="s">
        <v>11</v>
      </c>
      <c r="G716" s="563" t="s">
        <v>11</v>
      </c>
      <c r="H716" s="563" t="s">
        <v>212</v>
      </c>
      <c r="I716" s="566">
        <v>16128990000</v>
      </c>
    </row>
    <row r="717" spans="1:9" ht="16" x14ac:dyDescent="0.2">
      <c r="A717" s="567">
        <v>46048</v>
      </c>
      <c r="B717" s="568">
        <v>2026</v>
      </c>
      <c r="C717" s="569">
        <v>1</v>
      </c>
      <c r="D717" s="570">
        <v>5</v>
      </c>
      <c r="E717" s="570">
        <v>26</v>
      </c>
      <c r="F717" s="571" t="s">
        <v>221</v>
      </c>
      <c r="G717" s="569" t="s">
        <v>207</v>
      </c>
      <c r="H717" s="569" t="s">
        <v>212</v>
      </c>
      <c r="I717" s="572">
        <v>0</v>
      </c>
    </row>
    <row r="718" spans="1:9" ht="16" x14ac:dyDescent="0.2">
      <c r="A718" s="561">
        <v>46048</v>
      </c>
      <c r="B718" s="562">
        <v>2026</v>
      </c>
      <c r="C718" s="563">
        <v>1</v>
      </c>
      <c r="D718" s="564">
        <v>5</v>
      </c>
      <c r="E718" s="564">
        <v>26</v>
      </c>
      <c r="F718" s="565" t="s">
        <v>222</v>
      </c>
      <c r="G718" s="563" t="s">
        <v>207</v>
      </c>
      <c r="H718" s="563" t="s">
        <v>212</v>
      </c>
      <c r="I718" s="566">
        <v>0</v>
      </c>
    </row>
    <row r="719" spans="1:9" ht="16" x14ac:dyDescent="0.2">
      <c r="A719" s="567">
        <v>46048</v>
      </c>
      <c r="B719" s="568">
        <v>2026</v>
      </c>
      <c r="C719" s="569">
        <v>1</v>
      </c>
      <c r="D719" s="570">
        <v>5</v>
      </c>
      <c r="E719" s="570">
        <v>26</v>
      </c>
      <c r="F719" s="571" t="s">
        <v>223</v>
      </c>
      <c r="G719" s="569" t="s">
        <v>207</v>
      </c>
      <c r="H719" s="569" t="s">
        <v>212</v>
      </c>
      <c r="I719" s="572">
        <v>0</v>
      </c>
    </row>
    <row r="720" spans="1:9" ht="16" x14ac:dyDescent="0.2">
      <c r="A720" s="561">
        <v>46048</v>
      </c>
      <c r="B720" s="562">
        <v>2026</v>
      </c>
      <c r="C720" s="563">
        <v>1</v>
      </c>
      <c r="D720" s="564">
        <v>5</v>
      </c>
      <c r="E720" s="564">
        <v>26</v>
      </c>
      <c r="F720" s="565" t="s">
        <v>219</v>
      </c>
      <c r="G720" s="563" t="s">
        <v>11</v>
      </c>
      <c r="H720" s="563" t="s">
        <v>212</v>
      </c>
      <c r="I720" s="566">
        <v>0</v>
      </c>
    </row>
    <row r="721" spans="1:9" ht="16" x14ac:dyDescent="0.2">
      <c r="A721" s="567">
        <v>46048</v>
      </c>
      <c r="B721" s="568">
        <v>2026</v>
      </c>
      <c r="C721" s="569">
        <v>1</v>
      </c>
      <c r="D721" s="570">
        <v>5</v>
      </c>
      <c r="E721" s="570">
        <v>26</v>
      </c>
      <c r="F721" s="571" t="s">
        <v>19</v>
      </c>
      <c r="G721" s="569" t="s">
        <v>19</v>
      </c>
      <c r="H721" s="569" t="s">
        <v>214</v>
      </c>
      <c r="I721" s="572">
        <v>10711872000</v>
      </c>
    </row>
    <row r="722" spans="1:9" ht="16" x14ac:dyDescent="0.2">
      <c r="A722" s="561">
        <v>46048</v>
      </c>
      <c r="B722" s="562">
        <v>2026</v>
      </c>
      <c r="C722" s="563">
        <v>1</v>
      </c>
      <c r="D722" s="564">
        <v>5</v>
      </c>
      <c r="E722" s="564">
        <v>26</v>
      </c>
      <c r="F722" s="565" t="s">
        <v>62</v>
      </c>
      <c r="G722" s="563" t="s">
        <v>62</v>
      </c>
      <c r="H722" s="563" t="s">
        <v>216</v>
      </c>
      <c r="I722" s="566">
        <v>204077149</v>
      </c>
    </row>
    <row r="723" spans="1:9" ht="16" x14ac:dyDescent="0.2">
      <c r="A723" s="567">
        <v>46048</v>
      </c>
      <c r="B723" s="568">
        <v>2026</v>
      </c>
      <c r="C723" s="569">
        <v>1</v>
      </c>
      <c r="D723" s="570">
        <v>5</v>
      </c>
      <c r="E723" s="570">
        <v>26</v>
      </c>
      <c r="F723" s="571" t="s">
        <v>58</v>
      </c>
      <c r="G723" s="569" t="s">
        <v>58</v>
      </c>
      <c r="H723" s="569" t="s">
        <v>212</v>
      </c>
      <c r="I723" s="572">
        <v>16000000</v>
      </c>
    </row>
    <row r="724" spans="1:9" ht="16" x14ac:dyDescent="0.2">
      <c r="A724" s="561">
        <v>46048</v>
      </c>
      <c r="B724" s="562">
        <v>2026</v>
      </c>
      <c r="C724" s="563">
        <v>1</v>
      </c>
      <c r="D724" s="564">
        <v>5</v>
      </c>
      <c r="E724" s="564">
        <v>26</v>
      </c>
      <c r="F724" s="565" t="s">
        <v>61</v>
      </c>
      <c r="G724" s="563" t="s">
        <v>61</v>
      </c>
      <c r="H724" s="563" t="s">
        <v>214</v>
      </c>
      <c r="I724" s="566">
        <v>65000000</v>
      </c>
    </row>
    <row r="725" spans="1:9" ht="16" x14ac:dyDescent="0.2">
      <c r="A725" s="567">
        <v>46048</v>
      </c>
      <c r="B725" s="568">
        <v>2026</v>
      </c>
      <c r="C725" s="569">
        <v>1</v>
      </c>
      <c r="D725" s="570">
        <v>5</v>
      </c>
      <c r="E725" s="570">
        <v>26</v>
      </c>
      <c r="F725" s="571" t="s">
        <v>57</v>
      </c>
      <c r="G725" s="569" t="s">
        <v>57</v>
      </c>
      <c r="H725" s="569" t="s">
        <v>212</v>
      </c>
      <c r="I725" s="572">
        <v>794300000</v>
      </c>
    </row>
    <row r="726" spans="1:9" ht="16" x14ac:dyDescent="0.2">
      <c r="A726" s="561">
        <v>46048</v>
      </c>
      <c r="B726" s="562">
        <v>2026</v>
      </c>
      <c r="C726" s="563">
        <v>1</v>
      </c>
      <c r="D726" s="564">
        <v>5</v>
      </c>
      <c r="E726" s="564">
        <v>26</v>
      </c>
      <c r="F726" s="565" t="s">
        <v>63</v>
      </c>
      <c r="G726" s="563" t="s">
        <v>63</v>
      </c>
      <c r="H726" s="563" t="s">
        <v>214</v>
      </c>
      <c r="I726" s="566">
        <v>357480000</v>
      </c>
    </row>
    <row r="727" spans="1:9" ht="16" x14ac:dyDescent="0.2">
      <c r="A727" s="567">
        <v>46048</v>
      </c>
      <c r="B727" s="568">
        <v>2026</v>
      </c>
      <c r="C727" s="569">
        <v>1</v>
      </c>
      <c r="D727" s="570">
        <v>5</v>
      </c>
      <c r="E727" s="570">
        <v>26</v>
      </c>
      <c r="F727" s="571" t="s">
        <v>59</v>
      </c>
      <c r="G727" s="569" t="s">
        <v>59</v>
      </c>
      <c r="H727" s="569" t="s">
        <v>216</v>
      </c>
      <c r="I727" s="572">
        <v>393358233</v>
      </c>
    </row>
    <row r="728" spans="1:9" ht="16" x14ac:dyDescent="0.2">
      <c r="A728" s="561">
        <v>46048</v>
      </c>
      <c r="B728" s="562">
        <v>2026</v>
      </c>
      <c r="C728" s="563">
        <v>1</v>
      </c>
      <c r="D728" s="564">
        <v>5</v>
      </c>
      <c r="E728" s="564">
        <v>26</v>
      </c>
      <c r="F728" s="565" t="s">
        <v>31</v>
      </c>
      <c r="G728" s="563" t="s">
        <v>175</v>
      </c>
      <c r="H728" s="563" t="s">
        <v>212</v>
      </c>
      <c r="I728" s="566">
        <v>3576450000</v>
      </c>
    </row>
    <row r="729" spans="1:9" ht="16" x14ac:dyDescent="0.2">
      <c r="A729" s="567">
        <v>46048</v>
      </c>
      <c r="B729" s="568">
        <v>2026</v>
      </c>
      <c r="C729" s="569">
        <v>1</v>
      </c>
      <c r="D729" s="570">
        <v>5</v>
      </c>
      <c r="E729" s="570">
        <v>26</v>
      </c>
      <c r="F729" s="571" t="s">
        <v>234</v>
      </c>
      <c r="G729" s="569" t="s">
        <v>210</v>
      </c>
      <c r="H729" s="569" t="s">
        <v>214</v>
      </c>
      <c r="I729" s="572">
        <v>1035520000</v>
      </c>
    </row>
    <row r="730" spans="1:9" ht="16" x14ac:dyDescent="0.2">
      <c r="A730" s="561">
        <v>46049</v>
      </c>
      <c r="B730" s="562">
        <v>2026</v>
      </c>
      <c r="C730" s="563">
        <v>1</v>
      </c>
      <c r="D730" s="564">
        <v>5</v>
      </c>
      <c r="E730" s="564">
        <v>27</v>
      </c>
      <c r="F730" s="565" t="s">
        <v>65</v>
      </c>
      <c r="G730" s="563" t="s">
        <v>65</v>
      </c>
      <c r="H730" s="563" t="s">
        <v>212</v>
      </c>
      <c r="I730" s="566">
        <v>860950000</v>
      </c>
    </row>
    <row r="731" spans="1:9" ht="16" x14ac:dyDescent="0.2">
      <c r="A731" s="567">
        <v>46049</v>
      </c>
      <c r="B731" s="568">
        <v>2026</v>
      </c>
      <c r="C731" s="569">
        <v>1</v>
      </c>
      <c r="D731" s="570">
        <v>5</v>
      </c>
      <c r="E731" s="570">
        <v>27</v>
      </c>
      <c r="F731" s="571" t="s">
        <v>66</v>
      </c>
      <c r="G731" s="569" t="s">
        <v>66</v>
      </c>
      <c r="H731" s="569" t="s">
        <v>216</v>
      </c>
      <c r="I731" s="572">
        <v>307292331</v>
      </c>
    </row>
    <row r="732" spans="1:9" ht="16" x14ac:dyDescent="0.2">
      <c r="A732" s="561">
        <v>46049</v>
      </c>
      <c r="B732" s="562">
        <v>2026</v>
      </c>
      <c r="C732" s="563">
        <v>1</v>
      </c>
      <c r="D732" s="564">
        <v>5</v>
      </c>
      <c r="E732" s="564">
        <v>27</v>
      </c>
      <c r="F732" s="565" t="s">
        <v>24</v>
      </c>
      <c r="G732" s="563" t="s">
        <v>24</v>
      </c>
      <c r="H732" s="563" t="s">
        <v>212</v>
      </c>
      <c r="I732" s="566">
        <v>15198910000</v>
      </c>
    </row>
    <row r="733" spans="1:9" ht="16" x14ac:dyDescent="0.2">
      <c r="A733" s="567">
        <v>46049</v>
      </c>
      <c r="B733" s="568">
        <v>2026</v>
      </c>
      <c r="C733" s="569">
        <v>1</v>
      </c>
      <c r="D733" s="570">
        <v>5</v>
      </c>
      <c r="E733" s="570">
        <v>27</v>
      </c>
      <c r="F733" s="571" t="s">
        <v>67</v>
      </c>
      <c r="G733" s="569" t="s">
        <v>67</v>
      </c>
      <c r="H733" s="569" t="s">
        <v>213</v>
      </c>
      <c r="I733" s="572">
        <v>1750348854</v>
      </c>
    </row>
    <row r="734" spans="1:9" ht="16" x14ac:dyDescent="0.2">
      <c r="A734" s="561">
        <v>46049</v>
      </c>
      <c r="B734" s="562">
        <v>2026</v>
      </c>
      <c r="C734" s="563">
        <v>1</v>
      </c>
      <c r="D734" s="564">
        <v>5</v>
      </c>
      <c r="E734" s="564">
        <v>27</v>
      </c>
      <c r="F734" s="565" t="s">
        <v>28</v>
      </c>
      <c r="G734" s="563" t="s">
        <v>28</v>
      </c>
      <c r="H734" s="563" t="s">
        <v>214</v>
      </c>
      <c r="I734" s="566">
        <v>13099644000</v>
      </c>
    </row>
    <row r="735" spans="1:9" ht="16" x14ac:dyDescent="0.2">
      <c r="A735" s="567">
        <v>46049</v>
      </c>
      <c r="B735" s="568">
        <v>2026</v>
      </c>
      <c r="C735" s="569">
        <v>1</v>
      </c>
      <c r="D735" s="570">
        <v>5</v>
      </c>
      <c r="E735" s="570">
        <v>27</v>
      </c>
      <c r="F735" s="571" t="s">
        <v>208</v>
      </c>
      <c r="G735" s="569" t="s">
        <v>208</v>
      </c>
      <c r="H735" s="569" t="s">
        <v>216</v>
      </c>
      <c r="I735" s="572">
        <v>12824565</v>
      </c>
    </row>
    <row r="736" spans="1:9" ht="16" x14ac:dyDescent="0.2">
      <c r="A736" s="561">
        <v>46049</v>
      </c>
      <c r="B736" s="562">
        <v>2026</v>
      </c>
      <c r="C736" s="563">
        <v>1</v>
      </c>
      <c r="D736" s="564">
        <v>5</v>
      </c>
      <c r="E736" s="564">
        <v>27</v>
      </c>
      <c r="F736" s="565" t="s">
        <v>60</v>
      </c>
      <c r="G736" s="563" t="s">
        <v>60</v>
      </c>
      <c r="H736" s="563" t="s">
        <v>212</v>
      </c>
      <c r="I736" s="566">
        <v>90000000</v>
      </c>
    </row>
    <row r="737" spans="1:9" ht="16" x14ac:dyDescent="0.2">
      <c r="A737" s="567">
        <v>46049</v>
      </c>
      <c r="B737" s="568">
        <v>2026</v>
      </c>
      <c r="C737" s="569">
        <v>1</v>
      </c>
      <c r="D737" s="570">
        <v>5</v>
      </c>
      <c r="E737" s="570">
        <v>27</v>
      </c>
      <c r="F737" s="571" t="s">
        <v>36</v>
      </c>
      <c r="G737" s="569" t="s">
        <v>36</v>
      </c>
      <c r="H737" s="569" t="s">
        <v>212</v>
      </c>
      <c r="I737" s="572">
        <v>4565830000</v>
      </c>
    </row>
    <row r="738" spans="1:9" ht="16" x14ac:dyDescent="0.2">
      <c r="A738" s="561">
        <v>46049</v>
      </c>
      <c r="B738" s="562">
        <v>2026</v>
      </c>
      <c r="C738" s="563">
        <v>1</v>
      </c>
      <c r="D738" s="564">
        <v>5</v>
      </c>
      <c r="E738" s="564">
        <v>27</v>
      </c>
      <c r="F738" s="565" t="s">
        <v>55</v>
      </c>
      <c r="G738" s="563" t="s">
        <v>36</v>
      </c>
      <c r="H738" s="563" t="s">
        <v>212</v>
      </c>
      <c r="I738" s="566">
        <v>1184310000</v>
      </c>
    </row>
    <row r="739" spans="1:9" ht="16" x14ac:dyDescent="0.2">
      <c r="A739" s="567">
        <v>46049</v>
      </c>
      <c r="B739" s="568">
        <v>2026</v>
      </c>
      <c r="C739" s="569">
        <v>1</v>
      </c>
      <c r="D739" s="570">
        <v>5</v>
      </c>
      <c r="E739" s="570">
        <v>27</v>
      </c>
      <c r="F739" s="571" t="s">
        <v>176</v>
      </c>
      <c r="G739" s="569" t="s">
        <v>176</v>
      </c>
      <c r="H739" s="569" t="s">
        <v>216</v>
      </c>
      <c r="I739" s="572">
        <v>6093112</v>
      </c>
    </row>
    <row r="740" spans="1:9" ht="16" x14ac:dyDescent="0.2">
      <c r="A740" s="561">
        <v>46049</v>
      </c>
      <c r="B740" s="562">
        <v>2026</v>
      </c>
      <c r="C740" s="563">
        <v>1</v>
      </c>
      <c r="D740" s="564">
        <v>5</v>
      </c>
      <c r="E740" s="564">
        <v>27</v>
      </c>
      <c r="F740" s="565" t="s">
        <v>39</v>
      </c>
      <c r="G740" s="563" t="s">
        <v>176</v>
      </c>
      <c r="H740" s="563" t="s">
        <v>216</v>
      </c>
      <c r="I740" s="566">
        <v>1097345636</v>
      </c>
    </row>
    <row r="741" spans="1:9" ht="16" x14ac:dyDescent="0.2">
      <c r="A741" s="567">
        <v>46049</v>
      </c>
      <c r="B741" s="568">
        <v>2026</v>
      </c>
      <c r="C741" s="569">
        <v>1</v>
      </c>
      <c r="D741" s="570">
        <v>5</v>
      </c>
      <c r="E741" s="570">
        <v>27</v>
      </c>
      <c r="F741" s="571" t="s">
        <v>206</v>
      </c>
      <c r="G741" s="569" t="s">
        <v>206</v>
      </c>
      <c r="H741" s="569" t="s">
        <v>212</v>
      </c>
      <c r="I741" s="572">
        <v>0</v>
      </c>
    </row>
    <row r="742" spans="1:9" ht="16" x14ac:dyDescent="0.2">
      <c r="A742" s="561">
        <v>46049</v>
      </c>
      <c r="B742" s="562">
        <v>2026</v>
      </c>
      <c r="C742" s="563">
        <v>1</v>
      </c>
      <c r="D742" s="564">
        <v>5</v>
      </c>
      <c r="E742" s="564">
        <v>27</v>
      </c>
      <c r="F742" s="565" t="s">
        <v>64</v>
      </c>
      <c r="G742" s="563" t="s">
        <v>209</v>
      </c>
      <c r="H742" s="563" t="s">
        <v>212</v>
      </c>
      <c r="I742" s="566">
        <v>269100000</v>
      </c>
    </row>
    <row r="743" spans="1:9" ht="16" x14ac:dyDescent="0.2">
      <c r="A743" s="567">
        <v>46049</v>
      </c>
      <c r="B743" s="568">
        <v>2026</v>
      </c>
      <c r="C743" s="569">
        <v>1</v>
      </c>
      <c r="D743" s="570">
        <v>5</v>
      </c>
      <c r="E743" s="570">
        <v>27</v>
      </c>
      <c r="F743" s="571" t="s">
        <v>237</v>
      </c>
      <c r="G743" s="569" t="s">
        <v>209</v>
      </c>
      <c r="H743" s="569" t="s">
        <v>212</v>
      </c>
      <c r="I743" s="572">
        <v>50000000</v>
      </c>
    </row>
    <row r="744" spans="1:9" ht="16" x14ac:dyDescent="0.2">
      <c r="A744" s="561">
        <v>46049</v>
      </c>
      <c r="B744" s="562">
        <v>2026</v>
      </c>
      <c r="C744" s="563">
        <v>1</v>
      </c>
      <c r="D744" s="564">
        <v>5</v>
      </c>
      <c r="E744" s="564">
        <v>27</v>
      </c>
      <c r="F744" s="565" t="s">
        <v>11</v>
      </c>
      <c r="G744" s="563" t="s">
        <v>11</v>
      </c>
      <c r="H744" s="563" t="s">
        <v>212</v>
      </c>
      <c r="I744" s="566">
        <v>16055550000</v>
      </c>
    </row>
    <row r="745" spans="1:9" ht="16" x14ac:dyDescent="0.2">
      <c r="A745" s="567">
        <v>46049</v>
      </c>
      <c r="B745" s="568">
        <v>2026</v>
      </c>
      <c r="C745" s="569">
        <v>1</v>
      </c>
      <c r="D745" s="570">
        <v>5</v>
      </c>
      <c r="E745" s="570">
        <v>27</v>
      </c>
      <c r="F745" s="571" t="s">
        <v>221</v>
      </c>
      <c r="G745" s="569" t="s">
        <v>207</v>
      </c>
      <c r="H745" s="569" t="s">
        <v>212</v>
      </c>
      <c r="I745" s="572">
        <v>0</v>
      </c>
    </row>
    <row r="746" spans="1:9" ht="16" x14ac:dyDescent="0.2">
      <c r="A746" s="561">
        <v>46049</v>
      </c>
      <c r="B746" s="562">
        <v>2026</v>
      </c>
      <c r="C746" s="563">
        <v>1</v>
      </c>
      <c r="D746" s="564">
        <v>5</v>
      </c>
      <c r="E746" s="564">
        <v>27</v>
      </c>
      <c r="F746" s="565" t="s">
        <v>222</v>
      </c>
      <c r="G746" s="563" t="s">
        <v>207</v>
      </c>
      <c r="H746" s="563" t="s">
        <v>212</v>
      </c>
      <c r="I746" s="566">
        <v>0</v>
      </c>
    </row>
    <row r="747" spans="1:9" ht="16" x14ac:dyDescent="0.2">
      <c r="A747" s="567">
        <v>46049</v>
      </c>
      <c r="B747" s="568">
        <v>2026</v>
      </c>
      <c r="C747" s="569">
        <v>1</v>
      </c>
      <c r="D747" s="570">
        <v>5</v>
      </c>
      <c r="E747" s="570">
        <v>27</v>
      </c>
      <c r="F747" s="571" t="s">
        <v>223</v>
      </c>
      <c r="G747" s="569" t="s">
        <v>207</v>
      </c>
      <c r="H747" s="569" t="s">
        <v>212</v>
      </c>
      <c r="I747" s="572">
        <v>0</v>
      </c>
    </row>
    <row r="748" spans="1:9" ht="16" x14ac:dyDescent="0.2">
      <c r="A748" s="561">
        <v>46049</v>
      </c>
      <c r="B748" s="562">
        <v>2026</v>
      </c>
      <c r="C748" s="563">
        <v>1</v>
      </c>
      <c r="D748" s="564">
        <v>5</v>
      </c>
      <c r="E748" s="564">
        <v>27</v>
      </c>
      <c r="F748" s="565" t="s">
        <v>219</v>
      </c>
      <c r="G748" s="563" t="s">
        <v>11</v>
      </c>
      <c r="H748" s="563" t="s">
        <v>212</v>
      </c>
      <c r="I748" s="566">
        <v>0</v>
      </c>
    </row>
    <row r="749" spans="1:9" ht="16" x14ac:dyDescent="0.2">
      <c r="A749" s="567">
        <v>46049</v>
      </c>
      <c r="B749" s="568">
        <v>2026</v>
      </c>
      <c r="C749" s="569">
        <v>1</v>
      </c>
      <c r="D749" s="570">
        <v>5</v>
      </c>
      <c r="E749" s="570">
        <v>27</v>
      </c>
      <c r="F749" s="571" t="s">
        <v>19</v>
      </c>
      <c r="G749" s="569" t="s">
        <v>19</v>
      </c>
      <c r="H749" s="569" t="s">
        <v>214</v>
      </c>
      <c r="I749" s="572">
        <v>10637892000</v>
      </c>
    </row>
    <row r="750" spans="1:9" ht="16" x14ac:dyDescent="0.2">
      <c r="A750" s="561">
        <v>46049</v>
      </c>
      <c r="B750" s="562">
        <v>2026</v>
      </c>
      <c r="C750" s="563">
        <v>1</v>
      </c>
      <c r="D750" s="564">
        <v>5</v>
      </c>
      <c r="E750" s="564">
        <v>27</v>
      </c>
      <c r="F750" s="565" t="s">
        <v>62</v>
      </c>
      <c r="G750" s="563" t="s">
        <v>62</v>
      </c>
      <c r="H750" s="563" t="s">
        <v>216</v>
      </c>
      <c r="I750" s="566">
        <v>143015462</v>
      </c>
    </row>
    <row r="751" spans="1:9" ht="16" x14ac:dyDescent="0.2">
      <c r="A751" s="567">
        <v>46049</v>
      </c>
      <c r="B751" s="568">
        <v>2026</v>
      </c>
      <c r="C751" s="569">
        <v>1</v>
      </c>
      <c r="D751" s="570">
        <v>5</v>
      </c>
      <c r="E751" s="570">
        <v>27</v>
      </c>
      <c r="F751" s="571" t="s">
        <v>58</v>
      </c>
      <c r="G751" s="569" t="s">
        <v>58</v>
      </c>
      <c r="H751" s="569" t="s">
        <v>212</v>
      </c>
      <c r="I751" s="572">
        <v>42000000</v>
      </c>
    </row>
    <row r="752" spans="1:9" ht="16" x14ac:dyDescent="0.2">
      <c r="A752" s="561">
        <v>46049</v>
      </c>
      <c r="B752" s="562">
        <v>2026</v>
      </c>
      <c r="C752" s="563">
        <v>1</v>
      </c>
      <c r="D752" s="564">
        <v>5</v>
      </c>
      <c r="E752" s="564">
        <v>27</v>
      </c>
      <c r="F752" s="565" t="s">
        <v>61</v>
      </c>
      <c r="G752" s="563" t="s">
        <v>61</v>
      </c>
      <c r="H752" s="563" t="s">
        <v>214</v>
      </c>
      <c r="I752" s="566">
        <v>29000000</v>
      </c>
    </row>
    <row r="753" spans="1:9" ht="16" x14ac:dyDescent="0.2">
      <c r="A753" s="567">
        <v>46049</v>
      </c>
      <c r="B753" s="568">
        <v>2026</v>
      </c>
      <c r="C753" s="569">
        <v>1</v>
      </c>
      <c r="D753" s="570">
        <v>5</v>
      </c>
      <c r="E753" s="570">
        <v>27</v>
      </c>
      <c r="F753" s="571" t="s">
        <v>57</v>
      </c>
      <c r="G753" s="569" t="s">
        <v>57</v>
      </c>
      <c r="H753" s="569" t="s">
        <v>212</v>
      </c>
      <c r="I753" s="572">
        <v>802390000</v>
      </c>
    </row>
    <row r="754" spans="1:9" ht="16" x14ac:dyDescent="0.2">
      <c r="A754" s="561">
        <v>46049</v>
      </c>
      <c r="B754" s="562">
        <v>2026</v>
      </c>
      <c r="C754" s="563">
        <v>1</v>
      </c>
      <c r="D754" s="564">
        <v>5</v>
      </c>
      <c r="E754" s="564">
        <v>27</v>
      </c>
      <c r="F754" s="565" t="s">
        <v>63</v>
      </c>
      <c r="G754" s="563" t="s">
        <v>63</v>
      </c>
      <c r="H754" s="563" t="s">
        <v>214</v>
      </c>
      <c r="I754" s="566">
        <v>308448000</v>
      </c>
    </row>
    <row r="755" spans="1:9" ht="16" x14ac:dyDescent="0.2">
      <c r="A755" s="567">
        <v>46049</v>
      </c>
      <c r="B755" s="568">
        <v>2026</v>
      </c>
      <c r="C755" s="569">
        <v>1</v>
      </c>
      <c r="D755" s="570">
        <v>5</v>
      </c>
      <c r="E755" s="570">
        <v>27</v>
      </c>
      <c r="F755" s="571" t="s">
        <v>59</v>
      </c>
      <c r="G755" s="569" t="s">
        <v>59</v>
      </c>
      <c r="H755" s="569" t="s">
        <v>216</v>
      </c>
      <c r="I755" s="572">
        <v>407241449</v>
      </c>
    </row>
    <row r="756" spans="1:9" ht="16" x14ac:dyDescent="0.2">
      <c r="A756" s="561">
        <v>46049</v>
      </c>
      <c r="B756" s="562">
        <v>2026</v>
      </c>
      <c r="C756" s="563">
        <v>1</v>
      </c>
      <c r="D756" s="564">
        <v>5</v>
      </c>
      <c r="E756" s="564">
        <v>27</v>
      </c>
      <c r="F756" s="565" t="s">
        <v>31</v>
      </c>
      <c r="G756" s="563" t="s">
        <v>175</v>
      </c>
      <c r="H756" s="563" t="s">
        <v>212</v>
      </c>
      <c r="I756" s="566">
        <v>3536010000</v>
      </c>
    </row>
    <row r="757" spans="1:9" ht="16" x14ac:dyDescent="0.2">
      <c r="A757" s="567">
        <v>46049</v>
      </c>
      <c r="B757" s="568">
        <v>2026</v>
      </c>
      <c r="C757" s="569">
        <v>1</v>
      </c>
      <c r="D757" s="570">
        <v>5</v>
      </c>
      <c r="E757" s="570">
        <v>27</v>
      </c>
      <c r="F757" s="571" t="s">
        <v>234</v>
      </c>
      <c r="G757" s="569" t="s">
        <v>210</v>
      </c>
      <c r="H757" s="569" t="s">
        <v>214</v>
      </c>
      <c r="I757" s="572">
        <v>1021120000</v>
      </c>
    </row>
    <row r="758" spans="1:9" ht="16" x14ac:dyDescent="0.2">
      <c r="A758" s="561">
        <v>46050</v>
      </c>
      <c r="B758" s="562">
        <v>2026</v>
      </c>
      <c r="C758" s="563">
        <v>1</v>
      </c>
      <c r="D758" s="564">
        <v>5</v>
      </c>
      <c r="E758" s="564">
        <v>28</v>
      </c>
      <c r="F758" s="565" t="s">
        <v>65</v>
      </c>
      <c r="G758" s="563" t="s">
        <v>65</v>
      </c>
      <c r="H758" s="563" t="s">
        <v>212</v>
      </c>
      <c r="I758" s="566">
        <v>899600000</v>
      </c>
    </row>
    <row r="759" spans="1:9" ht="16" x14ac:dyDescent="0.2">
      <c r="A759" s="567">
        <v>46050</v>
      </c>
      <c r="B759" s="568">
        <v>2026</v>
      </c>
      <c r="C759" s="569">
        <v>1</v>
      </c>
      <c r="D759" s="570">
        <v>5</v>
      </c>
      <c r="E759" s="570">
        <v>28</v>
      </c>
      <c r="F759" s="571" t="s">
        <v>66</v>
      </c>
      <c r="G759" s="569" t="s">
        <v>66</v>
      </c>
      <c r="H759" s="569" t="s">
        <v>216</v>
      </c>
      <c r="I759" s="572">
        <v>313527514</v>
      </c>
    </row>
    <row r="760" spans="1:9" ht="16" x14ac:dyDescent="0.2">
      <c r="A760" s="561">
        <v>46050</v>
      </c>
      <c r="B760" s="562">
        <v>2026</v>
      </c>
      <c r="C760" s="563">
        <v>1</v>
      </c>
      <c r="D760" s="564">
        <v>5</v>
      </c>
      <c r="E760" s="564">
        <v>28</v>
      </c>
      <c r="F760" s="565" t="s">
        <v>24</v>
      </c>
      <c r="G760" s="563" t="s">
        <v>24</v>
      </c>
      <c r="H760" s="563" t="s">
        <v>212</v>
      </c>
      <c r="I760" s="566">
        <v>16788790000</v>
      </c>
    </row>
    <row r="761" spans="1:9" ht="16" x14ac:dyDescent="0.2">
      <c r="A761" s="567">
        <v>46050</v>
      </c>
      <c r="B761" s="568">
        <v>2026</v>
      </c>
      <c r="C761" s="569">
        <v>1</v>
      </c>
      <c r="D761" s="570">
        <v>5</v>
      </c>
      <c r="E761" s="570">
        <v>28</v>
      </c>
      <c r="F761" s="571" t="s">
        <v>67</v>
      </c>
      <c r="G761" s="569" t="s">
        <v>67</v>
      </c>
      <c r="H761" s="569" t="s">
        <v>213</v>
      </c>
      <c r="I761" s="572">
        <v>2143002804</v>
      </c>
    </row>
    <row r="762" spans="1:9" ht="16" x14ac:dyDescent="0.2">
      <c r="A762" s="561">
        <v>46050</v>
      </c>
      <c r="B762" s="562">
        <v>2026</v>
      </c>
      <c r="C762" s="563">
        <v>1</v>
      </c>
      <c r="D762" s="564">
        <v>5</v>
      </c>
      <c r="E762" s="564">
        <v>28</v>
      </c>
      <c r="F762" s="565" t="s">
        <v>28</v>
      </c>
      <c r="G762" s="563" t="s">
        <v>28</v>
      </c>
      <c r="H762" s="563" t="s">
        <v>214</v>
      </c>
      <c r="I762" s="566">
        <v>12049560000</v>
      </c>
    </row>
    <row r="763" spans="1:9" ht="16" x14ac:dyDescent="0.2">
      <c r="A763" s="567">
        <v>46050</v>
      </c>
      <c r="B763" s="568">
        <v>2026</v>
      </c>
      <c r="C763" s="569">
        <v>1</v>
      </c>
      <c r="D763" s="570">
        <v>5</v>
      </c>
      <c r="E763" s="570">
        <v>28</v>
      </c>
      <c r="F763" s="571" t="s">
        <v>208</v>
      </c>
      <c r="G763" s="569" t="s">
        <v>208</v>
      </c>
      <c r="H763" s="569" t="s">
        <v>216</v>
      </c>
      <c r="I763" s="572">
        <v>6050161</v>
      </c>
    </row>
    <row r="764" spans="1:9" ht="16" x14ac:dyDescent="0.2">
      <c r="A764" s="561">
        <v>46050</v>
      </c>
      <c r="B764" s="562">
        <v>2026</v>
      </c>
      <c r="C764" s="563">
        <v>1</v>
      </c>
      <c r="D764" s="564">
        <v>5</v>
      </c>
      <c r="E764" s="564">
        <v>28</v>
      </c>
      <c r="F764" s="565" t="s">
        <v>60</v>
      </c>
      <c r="G764" s="563" t="s">
        <v>60</v>
      </c>
      <c r="H764" s="563" t="s">
        <v>212</v>
      </c>
      <c r="I764" s="566">
        <v>0</v>
      </c>
    </row>
    <row r="765" spans="1:9" ht="16" x14ac:dyDescent="0.2">
      <c r="A765" s="567">
        <v>46050</v>
      </c>
      <c r="B765" s="568">
        <v>2026</v>
      </c>
      <c r="C765" s="569">
        <v>1</v>
      </c>
      <c r="D765" s="570">
        <v>5</v>
      </c>
      <c r="E765" s="570">
        <v>28</v>
      </c>
      <c r="F765" s="571" t="s">
        <v>36</v>
      </c>
      <c r="G765" s="569" t="s">
        <v>36</v>
      </c>
      <c r="H765" s="569" t="s">
        <v>212</v>
      </c>
      <c r="I765" s="572">
        <v>4504150000</v>
      </c>
    </row>
    <row r="766" spans="1:9" ht="16" x14ac:dyDescent="0.2">
      <c r="A766" s="561">
        <v>46050</v>
      </c>
      <c r="B766" s="562">
        <v>2026</v>
      </c>
      <c r="C766" s="563">
        <v>1</v>
      </c>
      <c r="D766" s="564">
        <v>5</v>
      </c>
      <c r="E766" s="564">
        <v>28</v>
      </c>
      <c r="F766" s="565" t="s">
        <v>55</v>
      </c>
      <c r="G766" s="563" t="s">
        <v>36</v>
      </c>
      <c r="H766" s="563" t="s">
        <v>212</v>
      </c>
      <c r="I766" s="566">
        <v>1271400000</v>
      </c>
    </row>
    <row r="767" spans="1:9" ht="16" x14ac:dyDescent="0.2">
      <c r="A767" s="567">
        <v>46050</v>
      </c>
      <c r="B767" s="568">
        <v>2026</v>
      </c>
      <c r="C767" s="569">
        <v>1</v>
      </c>
      <c r="D767" s="570">
        <v>5</v>
      </c>
      <c r="E767" s="570">
        <v>28</v>
      </c>
      <c r="F767" s="571" t="s">
        <v>176</v>
      </c>
      <c r="G767" s="569" t="s">
        <v>176</v>
      </c>
      <c r="H767" s="569" t="s">
        <v>216</v>
      </c>
      <c r="I767" s="572">
        <v>9141345</v>
      </c>
    </row>
    <row r="768" spans="1:9" ht="16" x14ac:dyDescent="0.2">
      <c r="A768" s="561">
        <v>46050</v>
      </c>
      <c r="B768" s="562">
        <v>2026</v>
      </c>
      <c r="C768" s="563">
        <v>1</v>
      </c>
      <c r="D768" s="564">
        <v>5</v>
      </c>
      <c r="E768" s="564">
        <v>28</v>
      </c>
      <c r="F768" s="565" t="s">
        <v>39</v>
      </c>
      <c r="G768" s="563" t="s">
        <v>176</v>
      </c>
      <c r="H768" s="563" t="s">
        <v>216</v>
      </c>
      <c r="I768" s="566">
        <v>783786124</v>
      </c>
    </row>
    <row r="769" spans="1:9" ht="16" x14ac:dyDescent="0.2">
      <c r="A769" s="567">
        <v>46050</v>
      </c>
      <c r="B769" s="568">
        <v>2026</v>
      </c>
      <c r="C769" s="569">
        <v>1</v>
      </c>
      <c r="D769" s="570">
        <v>5</v>
      </c>
      <c r="E769" s="570">
        <v>28</v>
      </c>
      <c r="F769" s="571" t="s">
        <v>206</v>
      </c>
      <c r="G769" s="569" t="s">
        <v>206</v>
      </c>
      <c r="H769" s="569" t="s">
        <v>212</v>
      </c>
      <c r="I769" s="572">
        <v>0</v>
      </c>
    </row>
    <row r="770" spans="1:9" ht="16" x14ac:dyDescent="0.2">
      <c r="A770" s="561">
        <v>46050</v>
      </c>
      <c r="B770" s="562">
        <v>2026</v>
      </c>
      <c r="C770" s="563">
        <v>1</v>
      </c>
      <c r="D770" s="564">
        <v>5</v>
      </c>
      <c r="E770" s="564">
        <v>28</v>
      </c>
      <c r="F770" s="565" t="s">
        <v>64</v>
      </c>
      <c r="G770" s="563" t="s">
        <v>209</v>
      </c>
      <c r="H770" s="563" t="s">
        <v>212</v>
      </c>
      <c r="I770" s="566">
        <v>10500000</v>
      </c>
    </row>
    <row r="771" spans="1:9" ht="16" x14ac:dyDescent="0.2">
      <c r="A771" s="567">
        <v>46050</v>
      </c>
      <c r="B771" s="568">
        <v>2026</v>
      </c>
      <c r="C771" s="569">
        <v>1</v>
      </c>
      <c r="D771" s="570">
        <v>5</v>
      </c>
      <c r="E771" s="570">
        <v>28</v>
      </c>
      <c r="F771" s="571" t="s">
        <v>237</v>
      </c>
      <c r="G771" s="569" t="s">
        <v>209</v>
      </c>
      <c r="H771" s="569" t="s">
        <v>212</v>
      </c>
      <c r="I771" s="572">
        <v>0</v>
      </c>
    </row>
    <row r="772" spans="1:9" ht="16" x14ac:dyDescent="0.2">
      <c r="A772" s="561">
        <v>46050</v>
      </c>
      <c r="B772" s="562">
        <v>2026</v>
      </c>
      <c r="C772" s="563">
        <v>1</v>
      </c>
      <c r="D772" s="564">
        <v>5</v>
      </c>
      <c r="E772" s="564">
        <v>28</v>
      </c>
      <c r="F772" s="565" t="s">
        <v>11</v>
      </c>
      <c r="G772" s="563" t="s">
        <v>11</v>
      </c>
      <c r="H772" s="563" t="s">
        <v>212</v>
      </c>
      <c r="I772" s="566">
        <v>17562710000</v>
      </c>
    </row>
    <row r="773" spans="1:9" ht="16" x14ac:dyDescent="0.2">
      <c r="A773" s="567">
        <v>46050</v>
      </c>
      <c r="B773" s="568">
        <v>2026</v>
      </c>
      <c r="C773" s="569">
        <v>1</v>
      </c>
      <c r="D773" s="570">
        <v>5</v>
      </c>
      <c r="E773" s="570">
        <v>28</v>
      </c>
      <c r="F773" s="571" t="s">
        <v>221</v>
      </c>
      <c r="G773" s="569" t="s">
        <v>207</v>
      </c>
      <c r="H773" s="569" t="s">
        <v>212</v>
      </c>
      <c r="I773" s="572">
        <v>0</v>
      </c>
    </row>
    <row r="774" spans="1:9" ht="16" x14ac:dyDescent="0.2">
      <c r="A774" s="561">
        <v>46050</v>
      </c>
      <c r="B774" s="562">
        <v>2026</v>
      </c>
      <c r="C774" s="563">
        <v>1</v>
      </c>
      <c r="D774" s="564">
        <v>5</v>
      </c>
      <c r="E774" s="564">
        <v>28</v>
      </c>
      <c r="F774" s="565" t="s">
        <v>222</v>
      </c>
      <c r="G774" s="563" t="s">
        <v>207</v>
      </c>
      <c r="H774" s="563" t="s">
        <v>212</v>
      </c>
      <c r="I774" s="566">
        <v>0</v>
      </c>
    </row>
    <row r="775" spans="1:9" ht="16" x14ac:dyDescent="0.2">
      <c r="A775" s="567">
        <v>46050</v>
      </c>
      <c r="B775" s="568">
        <v>2026</v>
      </c>
      <c r="C775" s="569">
        <v>1</v>
      </c>
      <c r="D775" s="570">
        <v>5</v>
      </c>
      <c r="E775" s="570">
        <v>28</v>
      </c>
      <c r="F775" s="571" t="s">
        <v>223</v>
      </c>
      <c r="G775" s="569" t="s">
        <v>207</v>
      </c>
      <c r="H775" s="569" t="s">
        <v>212</v>
      </c>
      <c r="I775" s="572">
        <v>0</v>
      </c>
    </row>
    <row r="776" spans="1:9" ht="16" x14ac:dyDescent="0.2">
      <c r="A776" s="561">
        <v>46050</v>
      </c>
      <c r="B776" s="562">
        <v>2026</v>
      </c>
      <c r="C776" s="563">
        <v>1</v>
      </c>
      <c r="D776" s="564">
        <v>5</v>
      </c>
      <c r="E776" s="564">
        <v>28</v>
      </c>
      <c r="F776" s="565" t="s">
        <v>219</v>
      </c>
      <c r="G776" s="563" t="s">
        <v>11</v>
      </c>
      <c r="H776" s="563" t="s">
        <v>212</v>
      </c>
      <c r="I776" s="566">
        <v>0</v>
      </c>
    </row>
    <row r="777" spans="1:9" ht="16" x14ac:dyDescent="0.2">
      <c r="A777" s="567">
        <v>46050</v>
      </c>
      <c r="B777" s="568">
        <v>2026</v>
      </c>
      <c r="C777" s="569">
        <v>1</v>
      </c>
      <c r="D777" s="570">
        <v>5</v>
      </c>
      <c r="E777" s="570">
        <v>28</v>
      </c>
      <c r="F777" s="571" t="s">
        <v>19</v>
      </c>
      <c r="G777" s="569" t="s">
        <v>19</v>
      </c>
      <c r="H777" s="569" t="s">
        <v>214</v>
      </c>
      <c r="I777" s="572">
        <v>9428184000</v>
      </c>
    </row>
    <row r="778" spans="1:9" ht="16" x14ac:dyDescent="0.2">
      <c r="A778" s="561">
        <v>46050</v>
      </c>
      <c r="B778" s="562">
        <v>2026</v>
      </c>
      <c r="C778" s="563">
        <v>1</v>
      </c>
      <c r="D778" s="564">
        <v>5</v>
      </c>
      <c r="E778" s="564">
        <v>28</v>
      </c>
      <c r="F778" s="565" t="s">
        <v>62</v>
      </c>
      <c r="G778" s="563" t="s">
        <v>62</v>
      </c>
      <c r="H778" s="563" t="s">
        <v>216</v>
      </c>
      <c r="I778" s="566">
        <v>137552159</v>
      </c>
    </row>
    <row r="779" spans="1:9" ht="16" x14ac:dyDescent="0.2">
      <c r="A779" s="567">
        <v>46050</v>
      </c>
      <c r="B779" s="568">
        <v>2026</v>
      </c>
      <c r="C779" s="569">
        <v>1</v>
      </c>
      <c r="D779" s="570">
        <v>5</v>
      </c>
      <c r="E779" s="570">
        <v>28</v>
      </c>
      <c r="F779" s="571" t="s">
        <v>58</v>
      </c>
      <c r="G779" s="569" t="s">
        <v>58</v>
      </c>
      <c r="H779" s="569" t="s">
        <v>212</v>
      </c>
      <c r="I779" s="572">
        <v>52500000</v>
      </c>
    </row>
    <row r="780" spans="1:9" ht="16" x14ac:dyDescent="0.2">
      <c r="A780" s="561">
        <v>46050</v>
      </c>
      <c r="B780" s="562">
        <v>2026</v>
      </c>
      <c r="C780" s="563">
        <v>1</v>
      </c>
      <c r="D780" s="564">
        <v>5</v>
      </c>
      <c r="E780" s="564">
        <v>28</v>
      </c>
      <c r="F780" s="565" t="s">
        <v>61</v>
      </c>
      <c r="G780" s="563" t="s">
        <v>61</v>
      </c>
      <c r="H780" s="563" t="s">
        <v>214</v>
      </c>
      <c r="I780" s="566">
        <v>44000000</v>
      </c>
    </row>
    <row r="781" spans="1:9" ht="16" x14ac:dyDescent="0.2">
      <c r="A781" s="567">
        <v>46050</v>
      </c>
      <c r="B781" s="568">
        <v>2026</v>
      </c>
      <c r="C781" s="569">
        <v>1</v>
      </c>
      <c r="D781" s="570">
        <v>5</v>
      </c>
      <c r="E781" s="570">
        <v>28</v>
      </c>
      <c r="F781" s="571" t="s">
        <v>57</v>
      </c>
      <c r="G781" s="569" t="s">
        <v>57</v>
      </c>
      <c r="H781" s="569" t="s">
        <v>212</v>
      </c>
      <c r="I781" s="572">
        <v>1038630000</v>
      </c>
    </row>
    <row r="782" spans="1:9" ht="16" x14ac:dyDescent="0.2">
      <c r="A782" s="561">
        <v>46050</v>
      </c>
      <c r="B782" s="562">
        <v>2026</v>
      </c>
      <c r="C782" s="563">
        <v>1</v>
      </c>
      <c r="D782" s="564">
        <v>5</v>
      </c>
      <c r="E782" s="564">
        <v>28</v>
      </c>
      <c r="F782" s="565" t="s">
        <v>63</v>
      </c>
      <c r="G782" s="563" t="s">
        <v>63</v>
      </c>
      <c r="H782" s="563" t="s">
        <v>214</v>
      </c>
      <c r="I782" s="566">
        <v>227772000</v>
      </c>
    </row>
    <row r="783" spans="1:9" ht="16" x14ac:dyDescent="0.2">
      <c r="A783" s="567">
        <v>46050</v>
      </c>
      <c r="B783" s="568">
        <v>2026</v>
      </c>
      <c r="C783" s="569">
        <v>1</v>
      </c>
      <c r="D783" s="570">
        <v>5</v>
      </c>
      <c r="E783" s="570">
        <v>28</v>
      </c>
      <c r="F783" s="571" t="s">
        <v>59</v>
      </c>
      <c r="G783" s="569" t="s">
        <v>59</v>
      </c>
      <c r="H783" s="569" t="s">
        <v>216</v>
      </c>
      <c r="I783" s="572">
        <v>437135256</v>
      </c>
    </row>
    <row r="784" spans="1:9" ht="16" x14ac:dyDescent="0.2">
      <c r="A784" s="561">
        <v>46050</v>
      </c>
      <c r="B784" s="562">
        <v>2026</v>
      </c>
      <c r="C784" s="563">
        <v>1</v>
      </c>
      <c r="D784" s="564">
        <v>5</v>
      </c>
      <c r="E784" s="564">
        <v>28</v>
      </c>
      <c r="F784" s="565" t="s">
        <v>31</v>
      </c>
      <c r="G784" s="563" t="s">
        <v>175</v>
      </c>
      <c r="H784" s="563" t="s">
        <v>212</v>
      </c>
      <c r="I784" s="566">
        <v>3824400000</v>
      </c>
    </row>
    <row r="785" spans="1:9" ht="16" x14ac:dyDescent="0.2">
      <c r="A785" s="567">
        <v>46050</v>
      </c>
      <c r="B785" s="568">
        <v>2026</v>
      </c>
      <c r="C785" s="569">
        <v>1</v>
      </c>
      <c r="D785" s="570">
        <v>5</v>
      </c>
      <c r="E785" s="570">
        <v>28</v>
      </c>
      <c r="F785" s="571" t="s">
        <v>234</v>
      </c>
      <c r="G785" s="569" t="s">
        <v>210</v>
      </c>
      <c r="H785" s="569" t="s">
        <v>214</v>
      </c>
      <c r="I785" s="572">
        <v>1150200000</v>
      </c>
    </row>
    <row r="786" spans="1:9" ht="16" x14ac:dyDescent="0.2">
      <c r="A786" s="561">
        <v>46051</v>
      </c>
      <c r="B786" s="562">
        <v>2026</v>
      </c>
      <c r="C786" s="563">
        <v>1</v>
      </c>
      <c r="D786" s="564">
        <v>5</v>
      </c>
      <c r="E786" s="564">
        <v>29</v>
      </c>
      <c r="F786" s="565" t="s">
        <v>65</v>
      </c>
      <c r="G786" s="563" t="s">
        <v>65</v>
      </c>
      <c r="H786" s="563" t="s">
        <v>212</v>
      </c>
      <c r="I786" s="566">
        <v>686550000</v>
      </c>
    </row>
    <row r="787" spans="1:9" ht="16" x14ac:dyDescent="0.2">
      <c r="A787" s="567">
        <v>46051</v>
      </c>
      <c r="B787" s="568">
        <v>2026</v>
      </c>
      <c r="C787" s="569">
        <v>1</v>
      </c>
      <c r="D787" s="570">
        <v>5</v>
      </c>
      <c r="E787" s="570">
        <v>29</v>
      </c>
      <c r="F787" s="571" t="s">
        <v>66</v>
      </c>
      <c r="G787" s="569" t="s">
        <v>66</v>
      </c>
      <c r="H787" s="569" t="s">
        <v>216</v>
      </c>
      <c r="I787" s="572">
        <v>312566304</v>
      </c>
    </row>
    <row r="788" spans="1:9" ht="16" x14ac:dyDescent="0.2">
      <c r="A788" s="561">
        <v>46051</v>
      </c>
      <c r="B788" s="562">
        <v>2026</v>
      </c>
      <c r="C788" s="563">
        <v>1</v>
      </c>
      <c r="D788" s="564">
        <v>5</v>
      </c>
      <c r="E788" s="564">
        <v>29</v>
      </c>
      <c r="F788" s="565" t="s">
        <v>24</v>
      </c>
      <c r="G788" s="563" t="s">
        <v>24</v>
      </c>
      <c r="H788" s="563" t="s">
        <v>212</v>
      </c>
      <c r="I788" s="566">
        <v>17662440000</v>
      </c>
    </row>
    <row r="789" spans="1:9" ht="16" x14ac:dyDescent="0.2">
      <c r="A789" s="567">
        <v>46051</v>
      </c>
      <c r="B789" s="568">
        <v>2026</v>
      </c>
      <c r="C789" s="569">
        <v>1</v>
      </c>
      <c r="D789" s="570">
        <v>5</v>
      </c>
      <c r="E789" s="570">
        <v>29</v>
      </c>
      <c r="F789" s="571" t="s">
        <v>67</v>
      </c>
      <c r="G789" s="569" t="s">
        <v>67</v>
      </c>
      <c r="H789" s="569" t="s">
        <v>213</v>
      </c>
      <c r="I789" s="572">
        <v>1930713305</v>
      </c>
    </row>
    <row r="790" spans="1:9" ht="16" x14ac:dyDescent="0.2">
      <c r="A790" s="561">
        <v>46051</v>
      </c>
      <c r="B790" s="562">
        <v>2026</v>
      </c>
      <c r="C790" s="563">
        <v>1</v>
      </c>
      <c r="D790" s="564">
        <v>5</v>
      </c>
      <c r="E790" s="564">
        <v>29</v>
      </c>
      <c r="F790" s="565" t="s">
        <v>28</v>
      </c>
      <c r="G790" s="563" t="s">
        <v>28</v>
      </c>
      <c r="H790" s="563" t="s">
        <v>214</v>
      </c>
      <c r="I790" s="566">
        <v>12649068000</v>
      </c>
    </row>
    <row r="791" spans="1:9" ht="16" x14ac:dyDescent="0.2">
      <c r="A791" s="567">
        <v>46051</v>
      </c>
      <c r="B791" s="568">
        <v>2026</v>
      </c>
      <c r="C791" s="569">
        <v>1</v>
      </c>
      <c r="D791" s="570">
        <v>5</v>
      </c>
      <c r="E791" s="570">
        <v>29</v>
      </c>
      <c r="F791" s="571" t="s">
        <v>208</v>
      </c>
      <c r="G791" s="569" t="s">
        <v>208</v>
      </c>
      <c r="H791" s="569" t="s">
        <v>216</v>
      </c>
      <c r="I791" s="572">
        <v>18451945</v>
      </c>
    </row>
    <row r="792" spans="1:9" ht="16" x14ac:dyDescent="0.2">
      <c r="A792" s="561">
        <v>46051</v>
      </c>
      <c r="B792" s="562">
        <v>2026</v>
      </c>
      <c r="C792" s="563">
        <v>1</v>
      </c>
      <c r="D792" s="564">
        <v>5</v>
      </c>
      <c r="E792" s="564">
        <v>29</v>
      </c>
      <c r="F792" s="565" t="s">
        <v>60</v>
      </c>
      <c r="G792" s="563" t="s">
        <v>60</v>
      </c>
      <c r="H792" s="563" t="s">
        <v>212</v>
      </c>
      <c r="I792" s="566">
        <v>0</v>
      </c>
    </row>
    <row r="793" spans="1:9" ht="16" x14ac:dyDescent="0.2">
      <c r="A793" s="567">
        <v>46051</v>
      </c>
      <c r="B793" s="568">
        <v>2026</v>
      </c>
      <c r="C793" s="569">
        <v>1</v>
      </c>
      <c r="D793" s="570">
        <v>5</v>
      </c>
      <c r="E793" s="570">
        <v>29</v>
      </c>
      <c r="F793" s="571" t="s">
        <v>36</v>
      </c>
      <c r="G793" s="569" t="s">
        <v>36</v>
      </c>
      <c r="H793" s="569" t="s">
        <v>212</v>
      </c>
      <c r="I793" s="572">
        <v>4552060000</v>
      </c>
    </row>
    <row r="794" spans="1:9" ht="16" x14ac:dyDescent="0.2">
      <c r="A794" s="561">
        <v>46051</v>
      </c>
      <c r="B794" s="562">
        <v>2026</v>
      </c>
      <c r="C794" s="563">
        <v>1</v>
      </c>
      <c r="D794" s="564">
        <v>5</v>
      </c>
      <c r="E794" s="564">
        <v>29</v>
      </c>
      <c r="F794" s="565" t="s">
        <v>55</v>
      </c>
      <c r="G794" s="563" t="s">
        <v>36</v>
      </c>
      <c r="H794" s="563" t="s">
        <v>212</v>
      </c>
      <c r="I794" s="566">
        <v>1235550000</v>
      </c>
    </row>
    <row r="795" spans="1:9" ht="16" x14ac:dyDescent="0.2">
      <c r="A795" s="567">
        <v>46051</v>
      </c>
      <c r="B795" s="568">
        <v>2026</v>
      </c>
      <c r="C795" s="569">
        <v>1</v>
      </c>
      <c r="D795" s="570">
        <v>5</v>
      </c>
      <c r="E795" s="570">
        <v>29</v>
      </c>
      <c r="F795" s="571" t="s">
        <v>176</v>
      </c>
      <c r="G795" s="569" t="s">
        <v>176</v>
      </c>
      <c r="H795" s="569" t="s">
        <v>216</v>
      </c>
      <c r="I795" s="572">
        <v>31476240</v>
      </c>
    </row>
    <row r="796" spans="1:9" ht="16" x14ac:dyDescent="0.2">
      <c r="A796" s="561">
        <v>46051</v>
      </c>
      <c r="B796" s="562">
        <v>2026</v>
      </c>
      <c r="C796" s="563">
        <v>1</v>
      </c>
      <c r="D796" s="564">
        <v>5</v>
      </c>
      <c r="E796" s="564">
        <v>29</v>
      </c>
      <c r="F796" s="565" t="s">
        <v>39</v>
      </c>
      <c r="G796" s="563" t="s">
        <v>176</v>
      </c>
      <c r="H796" s="563" t="s">
        <v>216</v>
      </c>
      <c r="I796" s="566">
        <v>1004030468</v>
      </c>
    </row>
    <row r="797" spans="1:9" ht="16" x14ac:dyDescent="0.2">
      <c r="A797" s="567">
        <v>46051</v>
      </c>
      <c r="B797" s="568">
        <v>2026</v>
      </c>
      <c r="C797" s="569">
        <v>1</v>
      </c>
      <c r="D797" s="570">
        <v>5</v>
      </c>
      <c r="E797" s="570">
        <v>29</v>
      </c>
      <c r="F797" s="571" t="s">
        <v>206</v>
      </c>
      <c r="G797" s="569" t="s">
        <v>206</v>
      </c>
      <c r="H797" s="569" t="s">
        <v>212</v>
      </c>
      <c r="I797" s="572">
        <v>0</v>
      </c>
    </row>
    <row r="798" spans="1:9" ht="16" x14ac:dyDescent="0.2">
      <c r="A798" s="561">
        <v>46051</v>
      </c>
      <c r="B798" s="562">
        <v>2026</v>
      </c>
      <c r="C798" s="563">
        <v>1</v>
      </c>
      <c r="D798" s="564">
        <v>5</v>
      </c>
      <c r="E798" s="564">
        <v>29</v>
      </c>
      <c r="F798" s="565" t="s">
        <v>64</v>
      </c>
      <c r="G798" s="563" t="s">
        <v>209</v>
      </c>
      <c r="H798" s="563" t="s">
        <v>212</v>
      </c>
      <c r="I798" s="566">
        <v>82000000</v>
      </c>
    </row>
    <row r="799" spans="1:9" ht="16" x14ac:dyDescent="0.2">
      <c r="A799" s="567">
        <v>46051</v>
      </c>
      <c r="B799" s="568">
        <v>2026</v>
      </c>
      <c r="C799" s="569">
        <v>1</v>
      </c>
      <c r="D799" s="570">
        <v>5</v>
      </c>
      <c r="E799" s="570">
        <v>29</v>
      </c>
      <c r="F799" s="571" t="s">
        <v>237</v>
      </c>
      <c r="G799" s="569" t="s">
        <v>209</v>
      </c>
      <c r="H799" s="569" t="s">
        <v>212</v>
      </c>
      <c r="I799" s="572">
        <v>0</v>
      </c>
    </row>
    <row r="800" spans="1:9" ht="16" x14ac:dyDescent="0.2">
      <c r="A800" s="561">
        <v>46051</v>
      </c>
      <c r="B800" s="562">
        <v>2026</v>
      </c>
      <c r="C800" s="563">
        <v>1</v>
      </c>
      <c r="D800" s="564">
        <v>5</v>
      </c>
      <c r="E800" s="564">
        <v>29</v>
      </c>
      <c r="F800" s="565" t="s">
        <v>11</v>
      </c>
      <c r="G800" s="563" t="s">
        <v>11</v>
      </c>
      <c r="H800" s="563" t="s">
        <v>212</v>
      </c>
      <c r="I800" s="566">
        <v>15671860000</v>
      </c>
    </row>
    <row r="801" spans="1:9" ht="16" x14ac:dyDescent="0.2">
      <c r="A801" s="567">
        <v>46051</v>
      </c>
      <c r="B801" s="568">
        <v>2026</v>
      </c>
      <c r="C801" s="569">
        <v>1</v>
      </c>
      <c r="D801" s="570">
        <v>5</v>
      </c>
      <c r="E801" s="570">
        <v>29</v>
      </c>
      <c r="F801" s="571" t="s">
        <v>221</v>
      </c>
      <c r="G801" s="569" t="s">
        <v>207</v>
      </c>
      <c r="H801" s="569" t="s">
        <v>212</v>
      </c>
      <c r="I801" s="572">
        <v>0</v>
      </c>
    </row>
    <row r="802" spans="1:9" ht="16" x14ac:dyDescent="0.2">
      <c r="A802" s="561">
        <v>46051</v>
      </c>
      <c r="B802" s="562">
        <v>2026</v>
      </c>
      <c r="C802" s="563">
        <v>1</v>
      </c>
      <c r="D802" s="564">
        <v>5</v>
      </c>
      <c r="E802" s="564">
        <v>29</v>
      </c>
      <c r="F802" s="565" t="s">
        <v>222</v>
      </c>
      <c r="G802" s="563" t="s">
        <v>207</v>
      </c>
      <c r="H802" s="563" t="s">
        <v>212</v>
      </c>
      <c r="I802" s="566">
        <v>0</v>
      </c>
    </row>
    <row r="803" spans="1:9" ht="16" x14ac:dyDescent="0.2">
      <c r="A803" s="567">
        <v>46051</v>
      </c>
      <c r="B803" s="568">
        <v>2026</v>
      </c>
      <c r="C803" s="569">
        <v>1</v>
      </c>
      <c r="D803" s="570">
        <v>5</v>
      </c>
      <c r="E803" s="570">
        <v>29</v>
      </c>
      <c r="F803" s="571" t="s">
        <v>223</v>
      </c>
      <c r="G803" s="569" t="s">
        <v>207</v>
      </c>
      <c r="H803" s="569" t="s">
        <v>212</v>
      </c>
      <c r="I803" s="572">
        <v>0</v>
      </c>
    </row>
    <row r="804" spans="1:9" ht="16" x14ac:dyDescent="0.2">
      <c r="A804" s="561">
        <v>46051</v>
      </c>
      <c r="B804" s="562">
        <v>2026</v>
      </c>
      <c r="C804" s="563">
        <v>1</v>
      </c>
      <c r="D804" s="564">
        <v>5</v>
      </c>
      <c r="E804" s="564">
        <v>29</v>
      </c>
      <c r="F804" s="565" t="s">
        <v>219</v>
      </c>
      <c r="G804" s="563" t="s">
        <v>11</v>
      </c>
      <c r="H804" s="563" t="s">
        <v>212</v>
      </c>
      <c r="I804" s="566">
        <v>0</v>
      </c>
    </row>
    <row r="805" spans="1:9" ht="16" x14ac:dyDescent="0.2">
      <c r="A805" s="567">
        <v>46051</v>
      </c>
      <c r="B805" s="568">
        <v>2026</v>
      </c>
      <c r="C805" s="569">
        <v>1</v>
      </c>
      <c r="D805" s="570">
        <v>5</v>
      </c>
      <c r="E805" s="570">
        <v>29</v>
      </c>
      <c r="F805" s="571" t="s">
        <v>19</v>
      </c>
      <c r="G805" s="569" t="s">
        <v>19</v>
      </c>
      <c r="H805" s="569" t="s">
        <v>214</v>
      </c>
      <c r="I805" s="572">
        <v>9746352000</v>
      </c>
    </row>
    <row r="806" spans="1:9" ht="16" x14ac:dyDescent="0.2">
      <c r="A806" s="561">
        <v>46051</v>
      </c>
      <c r="B806" s="562">
        <v>2026</v>
      </c>
      <c r="C806" s="563">
        <v>1</v>
      </c>
      <c r="D806" s="564">
        <v>5</v>
      </c>
      <c r="E806" s="564">
        <v>29</v>
      </c>
      <c r="F806" s="565" t="s">
        <v>62</v>
      </c>
      <c r="G806" s="563" t="s">
        <v>62</v>
      </c>
      <c r="H806" s="563" t="s">
        <v>216</v>
      </c>
      <c r="I806" s="566">
        <v>154146315</v>
      </c>
    </row>
    <row r="807" spans="1:9" ht="16" x14ac:dyDescent="0.2">
      <c r="A807" s="567">
        <v>46051</v>
      </c>
      <c r="B807" s="568">
        <v>2026</v>
      </c>
      <c r="C807" s="569">
        <v>1</v>
      </c>
      <c r="D807" s="570">
        <v>5</v>
      </c>
      <c r="E807" s="570">
        <v>29</v>
      </c>
      <c r="F807" s="571" t="s">
        <v>58</v>
      </c>
      <c r="G807" s="569" t="s">
        <v>58</v>
      </c>
      <c r="H807" s="569" t="s">
        <v>212</v>
      </c>
      <c r="I807" s="572">
        <v>56700000</v>
      </c>
    </row>
    <row r="808" spans="1:9" ht="16" x14ac:dyDescent="0.2">
      <c r="A808" s="561">
        <v>46051</v>
      </c>
      <c r="B808" s="562">
        <v>2026</v>
      </c>
      <c r="C808" s="563">
        <v>1</v>
      </c>
      <c r="D808" s="564">
        <v>5</v>
      </c>
      <c r="E808" s="564">
        <v>29</v>
      </c>
      <c r="F808" s="565" t="s">
        <v>61</v>
      </c>
      <c r="G808" s="563" t="s">
        <v>61</v>
      </c>
      <c r="H808" s="563" t="s">
        <v>214</v>
      </c>
      <c r="I808" s="566">
        <v>18000000</v>
      </c>
    </row>
    <row r="809" spans="1:9" ht="16" x14ac:dyDescent="0.2">
      <c r="A809" s="567">
        <v>46051</v>
      </c>
      <c r="B809" s="568">
        <v>2026</v>
      </c>
      <c r="C809" s="569">
        <v>1</v>
      </c>
      <c r="D809" s="570">
        <v>5</v>
      </c>
      <c r="E809" s="570">
        <v>29</v>
      </c>
      <c r="F809" s="571" t="s">
        <v>57</v>
      </c>
      <c r="G809" s="569" t="s">
        <v>57</v>
      </c>
      <c r="H809" s="569" t="s">
        <v>212</v>
      </c>
      <c r="I809" s="572">
        <v>925150000</v>
      </c>
    </row>
    <row r="810" spans="1:9" ht="16" x14ac:dyDescent="0.2">
      <c r="A810" s="561">
        <v>46051</v>
      </c>
      <c r="B810" s="562">
        <v>2026</v>
      </c>
      <c r="C810" s="563">
        <v>1</v>
      </c>
      <c r="D810" s="564">
        <v>5</v>
      </c>
      <c r="E810" s="564">
        <v>29</v>
      </c>
      <c r="F810" s="565" t="s">
        <v>63</v>
      </c>
      <c r="G810" s="563" t="s">
        <v>63</v>
      </c>
      <c r="H810" s="563" t="s">
        <v>214</v>
      </c>
      <c r="I810" s="566">
        <v>329400000</v>
      </c>
    </row>
    <row r="811" spans="1:9" ht="16" x14ac:dyDescent="0.2">
      <c r="A811" s="567">
        <v>46051</v>
      </c>
      <c r="B811" s="568">
        <v>2026</v>
      </c>
      <c r="C811" s="569">
        <v>1</v>
      </c>
      <c r="D811" s="570">
        <v>5</v>
      </c>
      <c r="E811" s="570">
        <v>29</v>
      </c>
      <c r="F811" s="571" t="s">
        <v>59</v>
      </c>
      <c r="G811" s="569" t="s">
        <v>59</v>
      </c>
      <c r="H811" s="569" t="s">
        <v>216</v>
      </c>
      <c r="I811" s="572">
        <v>484685422</v>
      </c>
    </row>
    <row r="812" spans="1:9" ht="16" x14ac:dyDescent="0.2">
      <c r="A812" s="561">
        <v>46051</v>
      </c>
      <c r="B812" s="562">
        <v>2026</v>
      </c>
      <c r="C812" s="563">
        <v>1</v>
      </c>
      <c r="D812" s="564">
        <v>5</v>
      </c>
      <c r="E812" s="564">
        <v>29</v>
      </c>
      <c r="F812" s="565" t="s">
        <v>31</v>
      </c>
      <c r="G812" s="563" t="s">
        <v>175</v>
      </c>
      <c r="H812" s="563" t="s">
        <v>212</v>
      </c>
      <c r="I812" s="566">
        <v>2946050000</v>
      </c>
    </row>
    <row r="813" spans="1:9" ht="16" x14ac:dyDescent="0.2">
      <c r="A813" s="567">
        <v>46051</v>
      </c>
      <c r="B813" s="568">
        <v>2026</v>
      </c>
      <c r="C813" s="569">
        <v>1</v>
      </c>
      <c r="D813" s="570">
        <v>5</v>
      </c>
      <c r="E813" s="570">
        <v>29</v>
      </c>
      <c r="F813" s="571" t="s">
        <v>234</v>
      </c>
      <c r="G813" s="569" t="s">
        <v>210</v>
      </c>
      <c r="H813" s="569" t="s">
        <v>214</v>
      </c>
      <c r="I813" s="572">
        <v>1033280000</v>
      </c>
    </row>
    <row r="814" spans="1:9" ht="16" x14ac:dyDescent="0.2">
      <c r="A814" s="561">
        <v>46052</v>
      </c>
      <c r="B814" s="562">
        <v>2026</v>
      </c>
      <c r="C814" s="563">
        <v>1</v>
      </c>
      <c r="D814" s="564">
        <v>5</v>
      </c>
      <c r="E814" s="564">
        <v>30</v>
      </c>
      <c r="F814" s="565" t="s">
        <v>65</v>
      </c>
      <c r="G814" s="563" t="s">
        <v>65</v>
      </c>
      <c r="H814" s="563" t="s">
        <v>212</v>
      </c>
      <c r="I814" s="566">
        <v>596850000</v>
      </c>
    </row>
    <row r="815" spans="1:9" ht="16" x14ac:dyDescent="0.2">
      <c r="A815" s="567">
        <v>46052</v>
      </c>
      <c r="B815" s="568">
        <v>2026</v>
      </c>
      <c r="C815" s="569">
        <v>1</v>
      </c>
      <c r="D815" s="570">
        <v>5</v>
      </c>
      <c r="E815" s="570">
        <v>30</v>
      </c>
      <c r="F815" s="571" t="s">
        <v>66</v>
      </c>
      <c r="G815" s="569" t="s">
        <v>66</v>
      </c>
      <c r="H815" s="569" t="s">
        <v>216</v>
      </c>
      <c r="I815" s="572">
        <v>361337313</v>
      </c>
    </row>
    <row r="816" spans="1:9" ht="16" x14ac:dyDescent="0.2">
      <c r="A816" s="561">
        <v>46052</v>
      </c>
      <c r="B816" s="562">
        <v>2026</v>
      </c>
      <c r="C816" s="563">
        <v>1</v>
      </c>
      <c r="D816" s="564">
        <v>5</v>
      </c>
      <c r="E816" s="564">
        <v>30</v>
      </c>
      <c r="F816" s="565" t="s">
        <v>24</v>
      </c>
      <c r="G816" s="563" t="s">
        <v>24</v>
      </c>
      <c r="H816" s="563" t="s">
        <v>212</v>
      </c>
      <c r="I816" s="566">
        <v>17772880000</v>
      </c>
    </row>
    <row r="817" spans="1:9" ht="16" x14ac:dyDescent="0.2">
      <c r="A817" s="567">
        <v>46052</v>
      </c>
      <c r="B817" s="568">
        <v>2026</v>
      </c>
      <c r="C817" s="569">
        <v>1</v>
      </c>
      <c r="D817" s="570">
        <v>5</v>
      </c>
      <c r="E817" s="570">
        <v>30</v>
      </c>
      <c r="F817" s="571" t="s">
        <v>67</v>
      </c>
      <c r="G817" s="569" t="s">
        <v>67</v>
      </c>
      <c r="H817" s="569" t="s">
        <v>213</v>
      </c>
      <c r="I817" s="572">
        <v>2277389791</v>
      </c>
    </row>
    <row r="818" spans="1:9" ht="16" x14ac:dyDescent="0.2">
      <c r="A818" s="561">
        <v>46052</v>
      </c>
      <c r="B818" s="562">
        <v>2026</v>
      </c>
      <c r="C818" s="563">
        <v>1</v>
      </c>
      <c r="D818" s="564">
        <v>5</v>
      </c>
      <c r="E818" s="564">
        <v>30</v>
      </c>
      <c r="F818" s="565" t="s">
        <v>28</v>
      </c>
      <c r="G818" s="563" t="s">
        <v>28</v>
      </c>
      <c r="H818" s="563" t="s">
        <v>214</v>
      </c>
      <c r="I818" s="566">
        <v>13122432000</v>
      </c>
    </row>
    <row r="819" spans="1:9" ht="16" x14ac:dyDescent="0.2">
      <c r="A819" s="567">
        <v>46052</v>
      </c>
      <c r="B819" s="568">
        <v>2026</v>
      </c>
      <c r="C819" s="569">
        <v>1</v>
      </c>
      <c r="D819" s="570">
        <v>5</v>
      </c>
      <c r="E819" s="570">
        <v>30</v>
      </c>
      <c r="F819" s="571" t="s">
        <v>208</v>
      </c>
      <c r="G819" s="569" t="s">
        <v>208</v>
      </c>
      <c r="H819" s="569" t="s">
        <v>216</v>
      </c>
      <c r="I819" s="572">
        <v>17800435</v>
      </c>
    </row>
    <row r="820" spans="1:9" ht="16" x14ac:dyDescent="0.2">
      <c r="A820" s="561">
        <v>46052</v>
      </c>
      <c r="B820" s="562">
        <v>2026</v>
      </c>
      <c r="C820" s="563">
        <v>1</v>
      </c>
      <c r="D820" s="564">
        <v>5</v>
      </c>
      <c r="E820" s="564">
        <v>30</v>
      </c>
      <c r="F820" s="565" t="s">
        <v>60</v>
      </c>
      <c r="G820" s="563" t="s">
        <v>60</v>
      </c>
      <c r="H820" s="563" t="s">
        <v>212</v>
      </c>
      <c r="I820" s="566">
        <v>90000000</v>
      </c>
    </row>
    <row r="821" spans="1:9" ht="16" x14ac:dyDescent="0.2">
      <c r="A821" s="567">
        <v>46052</v>
      </c>
      <c r="B821" s="568">
        <v>2026</v>
      </c>
      <c r="C821" s="569">
        <v>1</v>
      </c>
      <c r="D821" s="570">
        <v>5</v>
      </c>
      <c r="E821" s="570">
        <v>30</v>
      </c>
      <c r="F821" s="571" t="s">
        <v>36</v>
      </c>
      <c r="G821" s="569" t="s">
        <v>36</v>
      </c>
      <c r="H821" s="569" t="s">
        <v>212</v>
      </c>
      <c r="I821" s="572">
        <v>4045960000</v>
      </c>
    </row>
    <row r="822" spans="1:9" ht="16" x14ac:dyDescent="0.2">
      <c r="A822" s="561">
        <v>46052</v>
      </c>
      <c r="B822" s="562">
        <v>2026</v>
      </c>
      <c r="C822" s="563">
        <v>1</v>
      </c>
      <c r="D822" s="564">
        <v>5</v>
      </c>
      <c r="E822" s="564">
        <v>30</v>
      </c>
      <c r="F822" s="565" t="s">
        <v>55</v>
      </c>
      <c r="G822" s="563" t="s">
        <v>36</v>
      </c>
      <c r="H822" s="563" t="s">
        <v>212</v>
      </c>
      <c r="I822" s="566">
        <v>1251400000</v>
      </c>
    </row>
    <row r="823" spans="1:9" ht="16" x14ac:dyDescent="0.2">
      <c r="A823" s="567">
        <v>46052</v>
      </c>
      <c r="B823" s="568">
        <v>2026</v>
      </c>
      <c r="C823" s="569">
        <v>1</v>
      </c>
      <c r="D823" s="570">
        <v>5</v>
      </c>
      <c r="E823" s="570">
        <v>30</v>
      </c>
      <c r="F823" s="571" t="s">
        <v>176</v>
      </c>
      <c r="G823" s="569" t="s">
        <v>176</v>
      </c>
      <c r="H823" s="569" t="s">
        <v>216</v>
      </c>
      <c r="I823" s="572">
        <v>33450483</v>
      </c>
    </row>
    <row r="824" spans="1:9" ht="16" x14ac:dyDescent="0.2">
      <c r="A824" s="561">
        <v>46052</v>
      </c>
      <c r="B824" s="562">
        <v>2026</v>
      </c>
      <c r="C824" s="563">
        <v>1</v>
      </c>
      <c r="D824" s="564">
        <v>5</v>
      </c>
      <c r="E824" s="564">
        <v>30</v>
      </c>
      <c r="F824" s="565" t="s">
        <v>39</v>
      </c>
      <c r="G824" s="563" t="s">
        <v>176</v>
      </c>
      <c r="H824" s="563" t="s">
        <v>216</v>
      </c>
      <c r="I824" s="566">
        <v>1191721323</v>
      </c>
    </row>
    <row r="825" spans="1:9" ht="16" x14ac:dyDescent="0.2">
      <c r="A825" s="567">
        <v>46052</v>
      </c>
      <c r="B825" s="568">
        <v>2026</v>
      </c>
      <c r="C825" s="569">
        <v>1</v>
      </c>
      <c r="D825" s="570">
        <v>5</v>
      </c>
      <c r="E825" s="570">
        <v>30</v>
      </c>
      <c r="F825" s="571" t="s">
        <v>206</v>
      </c>
      <c r="G825" s="569" t="s">
        <v>206</v>
      </c>
      <c r="H825" s="569" t="s">
        <v>212</v>
      </c>
      <c r="I825" s="572">
        <v>0</v>
      </c>
    </row>
    <row r="826" spans="1:9" ht="16" x14ac:dyDescent="0.2">
      <c r="A826" s="561">
        <v>46052</v>
      </c>
      <c r="B826" s="562">
        <v>2026</v>
      </c>
      <c r="C826" s="563">
        <v>1</v>
      </c>
      <c r="D826" s="564">
        <v>5</v>
      </c>
      <c r="E826" s="564">
        <v>30</v>
      </c>
      <c r="F826" s="565" t="s">
        <v>64</v>
      </c>
      <c r="G826" s="563" t="s">
        <v>209</v>
      </c>
      <c r="H826" s="563" t="s">
        <v>212</v>
      </c>
      <c r="I826" s="566">
        <v>196500000</v>
      </c>
    </row>
    <row r="827" spans="1:9" ht="16" x14ac:dyDescent="0.2">
      <c r="A827" s="567">
        <v>46052</v>
      </c>
      <c r="B827" s="568">
        <v>2026</v>
      </c>
      <c r="C827" s="569">
        <v>1</v>
      </c>
      <c r="D827" s="570">
        <v>5</v>
      </c>
      <c r="E827" s="570">
        <v>30</v>
      </c>
      <c r="F827" s="571" t="s">
        <v>237</v>
      </c>
      <c r="G827" s="569" t="s">
        <v>209</v>
      </c>
      <c r="H827" s="569" t="s">
        <v>212</v>
      </c>
      <c r="I827" s="572">
        <v>0</v>
      </c>
    </row>
    <row r="828" spans="1:9" ht="16" x14ac:dyDescent="0.2">
      <c r="A828" s="561">
        <v>46052</v>
      </c>
      <c r="B828" s="562">
        <v>2026</v>
      </c>
      <c r="C828" s="563">
        <v>1</v>
      </c>
      <c r="D828" s="564">
        <v>5</v>
      </c>
      <c r="E828" s="564">
        <v>30</v>
      </c>
      <c r="F828" s="565" t="s">
        <v>11</v>
      </c>
      <c r="G828" s="563" t="s">
        <v>11</v>
      </c>
      <c r="H828" s="563" t="s">
        <v>212</v>
      </c>
      <c r="I828" s="566">
        <v>19896470000</v>
      </c>
    </row>
    <row r="829" spans="1:9" ht="16" x14ac:dyDescent="0.2">
      <c r="A829" s="567">
        <v>46052</v>
      </c>
      <c r="B829" s="568">
        <v>2026</v>
      </c>
      <c r="C829" s="569">
        <v>1</v>
      </c>
      <c r="D829" s="570">
        <v>5</v>
      </c>
      <c r="E829" s="570">
        <v>30</v>
      </c>
      <c r="F829" s="571" t="s">
        <v>221</v>
      </c>
      <c r="G829" s="569" t="s">
        <v>207</v>
      </c>
      <c r="H829" s="569" t="s">
        <v>212</v>
      </c>
      <c r="I829" s="572">
        <v>0</v>
      </c>
    </row>
    <row r="830" spans="1:9" ht="16" x14ac:dyDescent="0.2">
      <c r="A830" s="561">
        <v>46052</v>
      </c>
      <c r="B830" s="562">
        <v>2026</v>
      </c>
      <c r="C830" s="563">
        <v>1</v>
      </c>
      <c r="D830" s="564">
        <v>5</v>
      </c>
      <c r="E830" s="564">
        <v>30</v>
      </c>
      <c r="F830" s="565" t="s">
        <v>222</v>
      </c>
      <c r="G830" s="563" t="s">
        <v>207</v>
      </c>
      <c r="H830" s="563" t="s">
        <v>212</v>
      </c>
      <c r="I830" s="566">
        <v>0</v>
      </c>
    </row>
    <row r="831" spans="1:9" ht="16" x14ac:dyDescent="0.2">
      <c r="A831" s="567">
        <v>46052</v>
      </c>
      <c r="B831" s="568">
        <v>2026</v>
      </c>
      <c r="C831" s="569">
        <v>1</v>
      </c>
      <c r="D831" s="570">
        <v>5</v>
      </c>
      <c r="E831" s="570">
        <v>30</v>
      </c>
      <c r="F831" s="571" t="s">
        <v>223</v>
      </c>
      <c r="G831" s="569" t="s">
        <v>207</v>
      </c>
      <c r="H831" s="569" t="s">
        <v>212</v>
      </c>
      <c r="I831" s="572">
        <v>0</v>
      </c>
    </row>
    <row r="832" spans="1:9" ht="16" x14ac:dyDescent="0.2">
      <c r="A832" s="561">
        <v>46052</v>
      </c>
      <c r="B832" s="562">
        <v>2026</v>
      </c>
      <c r="C832" s="563">
        <v>1</v>
      </c>
      <c r="D832" s="564">
        <v>5</v>
      </c>
      <c r="E832" s="564">
        <v>30</v>
      </c>
      <c r="F832" s="565" t="s">
        <v>219</v>
      </c>
      <c r="G832" s="563" t="s">
        <v>11</v>
      </c>
      <c r="H832" s="563" t="s">
        <v>212</v>
      </c>
      <c r="I832" s="566">
        <v>20000000</v>
      </c>
    </row>
    <row r="833" spans="1:9" ht="16" x14ac:dyDescent="0.2">
      <c r="A833" s="567">
        <v>46052</v>
      </c>
      <c r="B833" s="568">
        <v>2026</v>
      </c>
      <c r="C833" s="569">
        <v>1</v>
      </c>
      <c r="D833" s="570">
        <v>5</v>
      </c>
      <c r="E833" s="570">
        <v>30</v>
      </c>
      <c r="F833" s="571" t="s">
        <v>19</v>
      </c>
      <c r="G833" s="569" t="s">
        <v>19</v>
      </c>
      <c r="H833" s="569" t="s">
        <v>214</v>
      </c>
      <c r="I833" s="572">
        <v>10135908000</v>
      </c>
    </row>
    <row r="834" spans="1:9" ht="16" x14ac:dyDescent="0.2">
      <c r="A834" s="561">
        <v>46052</v>
      </c>
      <c r="B834" s="562">
        <v>2026</v>
      </c>
      <c r="C834" s="563">
        <v>1</v>
      </c>
      <c r="D834" s="564">
        <v>5</v>
      </c>
      <c r="E834" s="564">
        <v>30</v>
      </c>
      <c r="F834" s="565" t="s">
        <v>62</v>
      </c>
      <c r="G834" s="563" t="s">
        <v>62</v>
      </c>
      <c r="H834" s="563" t="s">
        <v>216</v>
      </c>
      <c r="I834" s="566">
        <v>163204446</v>
      </c>
    </row>
    <row r="835" spans="1:9" ht="16" x14ac:dyDescent="0.2">
      <c r="A835" s="567">
        <v>46052</v>
      </c>
      <c r="B835" s="568">
        <v>2026</v>
      </c>
      <c r="C835" s="569">
        <v>1</v>
      </c>
      <c r="D835" s="570">
        <v>5</v>
      </c>
      <c r="E835" s="570">
        <v>30</v>
      </c>
      <c r="F835" s="571" t="s">
        <v>58</v>
      </c>
      <c r="G835" s="569" t="s">
        <v>58</v>
      </c>
      <c r="H835" s="569" t="s">
        <v>212</v>
      </c>
      <c r="I835" s="572">
        <v>157500000</v>
      </c>
    </row>
    <row r="836" spans="1:9" ht="16" x14ac:dyDescent="0.2">
      <c r="A836" s="561">
        <v>46052</v>
      </c>
      <c r="B836" s="562">
        <v>2026</v>
      </c>
      <c r="C836" s="563">
        <v>1</v>
      </c>
      <c r="D836" s="564">
        <v>5</v>
      </c>
      <c r="E836" s="564">
        <v>30</v>
      </c>
      <c r="F836" s="565" t="s">
        <v>61</v>
      </c>
      <c r="G836" s="563" t="s">
        <v>61</v>
      </c>
      <c r="H836" s="563" t="s">
        <v>214</v>
      </c>
      <c r="I836" s="566">
        <v>28000000</v>
      </c>
    </row>
    <row r="837" spans="1:9" ht="16" x14ac:dyDescent="0.2">
      <c r="A837" s="567">
        <v>46052</v>
      </c>
      <c r="B837" s="568">
        <v>2026</v>
      </c>
      <c r="C837" s="569">
        <v>1</v>
      </c>
      <c r="D837" s="570">
        <v>5</v>
      </c>
      <c r="E837" s="570">
        <v>30</v>
      </c>
      <c r="F837" s="571" t="s">
        <v>57</v>
      </c>
      <c r="G837" s="569" t="s">
        <v>57</v>
      </c>
      <c r="H837" s="569" t="s">
        <v>212</v>
      </c>
      <c r="I837" s="572">
        <v>719640000</v>
      </c>
    </row>
    <row r="838" spans="1:9" ht="16" x14ac:dyDescent="0.2">
      <c r="A838" s="561">
        <v>46052</v>
      </c>
      <c r="B838" s="562">
        <v>2026</v>
      </c>
      <c r="C838" s="563">
        <v>1</v>
      </c>
      <c r="D838" s="564">
        <v>5</v>
      </c>
      <c r="E838" s="564">
        <v>30</v>
      </c>
      <c r="F838" s="565" t="s">
        <v>63</v>
      </c>
      <c r="G838" s="563" t="s">
        <v>63</v>
      </c>
      <c r="H838" s="563" t="s">
        <v>214</v>
      </c>
      <c r="I838" s="566">
        <v>365148000</v>
      </c>
    </row>
    <row r="839" spans="1:9" ht="16" x14ac:dyDescent="0.2">
      <c r="A839" s="567">
        <v>46052</v>
      </c>
      <c r="B839" s="568">
        <v>2026</v>
      </c>
      <c r="C839" s="569">
        <v>1</v>
      </c>
      <c r="D839" s="570">
        <v>5</v>
      </c>
      <c r="E839" s="570">
        <v>30</v>
      </c>
      <c r="F839" s="571" t="s">
        <v>59</v>
      </c>
      <c r="G839" s="569" t="s">
        <v>59</v>
      </c>
      <c r="H839" s="569" t="s">
        <v>216</v>
      </c>
      <c r="I839" s="572">
        <v>525417465</v>
      </c>
    </row>
    <row r="840" spans="1:9" ht="16" x14ac:dyDescent="0.2">
      <c r="A840" s="561">
        <v>46052</v>
      </c>
      <c r="B840" s="562">
        <v>2026</v>
      </c>
      <c r="C840" s="563">
        <v>1</v>
      </c>
      <c r="D840" s="564">
        <v>5</v>
      </c>
      <c r="E840" s="564">
        <v>30</v>
      </c>
      <c r="F840" s="565" t="s">
        <v>31</v>
      </c>
      <c r="G840" s="563" t="s">
        <v>175</v>
      </c>
      <c r="H840" s="563" t="s">
        <v>212</v>
      </c>
      <c r="I840" s="566">
        <v>3193540000</v>
      </c>
    </row>
    <row r="841" spans="1:9" ht="16" x14ac:dyDescent="0.2">
      <c r="A841" s="567">
        <v>46052</v>
      </c>
      <c r="B841" s="568">
        <v>2026</v>
      </c>
      <c r="C841" s="569">
        <v>1</v>
      </c>
      <c r="D841" s="570">
        <v>5</v>
      </c>
      <c r="E841" s="570">
        <v>30</v>
      </c>
      <c r="F841" s="571" t="s">
        <v>234</v>
      </c>
      <c r="G841" s="569" t="s">
        <v>210</v>
      </c>
      <c r="H841" s="569" t="s">
        <v>214</v>
      </c>
      <c r="I841" s="572">
        <v>959960000</v>
      </c>
    </row>
    <row r="842" spans="1:9" ht="16" x14ac:dyDescent="0.2">
      <c r="A842" s="561">
        <v>46053</v>
      </c>
      <c r="B842" s="562">
        <v>2026</v>
      </c>
      <c r="C842" s="563">
        <v>1</v>
      </c>
      <c r="D842" s="564">
        <v>5</v>
      </c>
      <c r="E842" s="564">
        <v>31</v>
      </c>
      <c r="F842" s="565" t="s">
        <v>65</v>
      </c>
      <c r="G842" s="563" t="s">
        <v>65</v>
      </c>
      <c r="H842" s="563" t="s">
        <v>212</v>
      </c>
      <c r="I842" s="566">
        <v>677050000</v>
      </c>
    </row>
    <row r="843" spans="1:9" ht="16" x14ac:dyDescent="0.2">
      <c r="A843" s="567">
        <v>46053</v>
      </c>
      <c r="B843" s="568">
        <v>2026</v>
      </c>
      <c r="C843" s="569">
        <v>1</v>
      </c>
      <c r="D843" s="570">
        <v>5</v>
      </c>
      <c r="E843" s="570">
        <v>31</v>
      </c>
      <c r="F843" s="571" t="s">
        <v>66</v>
      </c>
      <c r="G843" s="569" t="s">
        <v>66</v>
      </c>
      <c r="H843" s="569" t="s">
        <v>216</v>
      </c>
      <c r="I843" s="572">
        <v>373883034</v>
      </c>
    </row>
    <row r="844" spans="1:9" ht="16" x14ac:dyDescent="0.2">
      <c r="A844" s="561">
        <v>46053</v>
      </c>
      <c r="B844" s="562">
        <v>2026</v>
      </c>
      <c r="C844" s="563">
        <v>1</v>
      </c>
      <c r="D844" s="564">
        <v>5</v>
      </c>
      <c r="E844" s="564">
        <v>31</v>
      </c>
      <c r="F844" s="565" t="s">
        <v>24</v>
      </c>
      <c r="G844" s="563" t="s">
        <v>24</v>
      </c>
      <c r="H844" s="563" t="s">
        <v>212</v>
      </c>
      <c r="I844" s="566">
        <v>14895630000</v>
      </c>
    </row>
    <row r="845" spans="1:9" ht="16" x14ac:dyDescent="0.2">
      <c r="A845" s="567">
        <v>46053</v>
      </c>
      <c r="B845" s="568">
        <v>2026</v>
      </c>
      <c r="C845" s="569">
        <v>1</v>
      </c>
      <c r="D845" s="570">
        <v>5</v>
      </c>
      <c r="E845" s="570">
        <v>31</v>
      </c>
      <c r="F845" s="571" t="s">
        <v>67</v>
      </c>
      <c r="G845" s="569" t="s">
        <v>67</v>
      </c>
      <c r="H845" s="569" t="s">
        <v>213</v>
      </c>
      <c r="I845" s="572">
        <v>2048752719</v>
      </c>
    </row>
    <row r="846" spans="1:9" ht="16" x14ac:dyDescent="0.2">
      <c r="A846" s="561">
        <v>46053</v>
      </c>
      <c r="B846" s="562">
        <v>2026</v>
      </c>
      <c r="C846" s="563">
        <v>1</v>
      </c>
      <c r="D846" s="564">
        <v>5</v>
      </c>
      <c r="E846" s="564">
        <v>31</v>
      </c>
      <c r="F846" s="565" t="s">
        <v>28</v>
      </c>
      <c r="G846" s="563" t="s">
        <v>28</v>
      </c>
      <c r="H846" s="563" t="s">
        <v>214</v>
      </c>
      <c r="I846" s="566">
        <v>12375072000</v>
      </c>
    </row>
    <row r="847" spans="1:9" ht="16" x14ac:dyDescent="0.2">
      <c r="A847" s="567">
        <v>46053</v>
      </c>
      <c r="B847" s="568">
        <v>2026</v>
      </c>
      <c r="C847" s="569">
        <v>1</v>
      </c>
      <c r="D847" s="570">
        <v>5</v>
      </c>
      <c r="E847" s="570">
        <v>31</v>
      </c>
      <c r="F847" s="571" t="s">
        <v>208</v>
      </c>
      <c r="G847" s="569" t="s">
        <v>208</v>
      </c>
      <c r="H847" s="569" t="s">
        <v>216</v>
      </c>
      <c r="I847" s="572">
        <v>11374944</v>
      </c>
    </row>
    <row r="848" spans="1:9" ht="16" x14ac:dyDescent="0.2">
      <c r="A848" s="561">
        <v>46053</v>
      </c>
      <c r="B848" s="562">
        <v>2026</v>
      </c>
      <c r="C848" s="563">
        <v>1</v>
      </c>
      <c r="D848" s="564">
        <v>5</v>
      </c>
      <c r="E848" s="564">
        <v>31</v>
      </c>
      <c r="F848" s="565" t="s">
        <v>60</v>
      </c>
      <c r="G848" s="563" t="s">
        <v>60</v>
      </c>
      <c r="H848" s="563" t="s">
        <v>212</v>
      </c>
      <c r="I848" s="566">
        <v>0</v>
      </c>
    </row>
    <row r="849" spans="1:9" ht="16" x14ac:dyDescent="0.2">
      <c r="A849" s="567">
        <v>46053</v>
      </c>
      <c r="B849" s="568">
        <v>2026</v>
      </c>
      <c r="C849" s="569">
        <v>1</v>
      </c>
      <c r="D849" s="570">
        <v>5</v>
      </c>
      <c r="E849" s="570">
        <v>31</v>
      </c>
      <c r="F849" s="571" t="s">
        <v>36</v>
      </c>
      <c r="G849" s="569" t="s">
        <v>36</v>
      </c>
      <c r="H849" s="569" t="s">
        <v>212</v>
      </c>
      <c r="I849" s="572">
        <v>4307450000</v>
      </c>
    </row>
    <row r="850" spans="1:9" ht="16" x14ac:dyDescent="0.2">
      <c r="A850" s="561">
        <v>46053</v>
      </c>
      <c r="B850" s="562">
        <v>2026</v>
      </c>
      <c r="C850" s="563">
        <v>1</v>
      </c>
      <c r="D850" s="564">
        <v>5</v>
      </c>
      <c r="E850" s="564">
        <v>31</v>
      </c>
      <c r="F850" s="565" t="s">
        <v>55</v>
      </c>
      <c r="G850" s="563" t="s">
        <v>36</v>
      </c>
      <c r="H850" s="563" t="s">
        <v>212</v>
      </c>
      <c r="I850" s="566">
        <v>1593100000</v>
      </c>
    </row>
    <row r="851" spans="1:9" ht="16" x14ac:dyDescent="0.2">
      <c r="A851" s="567">
        <v>46053</v>
      </c>
      <c r="B851" s="568">
        <v>2026</v>
      </c>
      <c r="C851" s="569">
        <v>1</v>
      </c>
      <c r="D851" s="570">
        <v>5</v>
      </c>
      <c r="E851" s="570">
        <v>31</v>
      </c>
      <c r="F851" s="571" t="s">
        <v>176</v>
      </c>
      <c r="G851" s="569" t="s">
        <v>176</v>
      </c>
      <c r="H851" s="569" t="s">
        <v>216</v>
      </c>
      <c r="I851" s="572">
        <v>5832456</v>
      </c>
    </row>
    <row r="852" spans="1:9" ht="16" x14ac:dyDescent="0.2">
      <c r="A852" s="561">
        <v>46053</v>
      </c>
      <c r="B852" s="562">
        <v>2026</v>
      </c>
      <c r="C852" s="563">
        <v>1</v>
      </c>
      <c r="D852" s="564">
        <v>5</v>
      </c>
      <c r="E852" s="564">
        <v>31</v>
      </c>
      <c r="F852" s="565" t="s">
        <v>39</v>
      </c>
      <c r="G852" s="563" t="s">
        <v>176</v>
      </c>
      <c r="H852" s="563" t="s">
        <v>216</v>
      </c>
      <c r="I852" s="566">
        <v>1174527093</v>
      </c>
    </row>
    <row r="853" spans="1:9" ht="16" x14ac:dyDescent="0.2">
      <c r="A853" s="567">
        <v>46053</v>
      </c>
      <c r="B853" s="568">
        <v>2026</v>
      </c>
      <c r="C853" s="569">
        <v>1</v>
      </c>
      <c r="D853" s="570">
        <v>5</v>
      </c>
      <c r="E853" s="570">
        <v>31</v>
      </c>
      <c r="F853" s="571" t="s">
        <v>206</v>
      </c>
      <c r="G853" s="569" t="s">
        <v>206</v>
      </c>
      <c r="H853" s="569" t="s">
        <v>212</v>
      </c>
      <c r="I853" s="572">
        <v>0</v>
      </c>
    </row>
    <row r="854" spans="1:9" ht="16" x14ac:dyDescent="0.2">
      <c r="A854" s="561">
        <v>46053</v>
      </c>
      <c r="B854" s="562">
        <v>2026</v>
      </c>
      <c r="C854" s="563">
        <v>1</v>
      </c>
      <c r="D854" s="564">
        <v>5</v>
      </c>
      <c r="E854" s="564">
        <v>31</v>
      </c>
      <c r="F854" s="565" t="s">
        <v>64</v>
      </c>
      <c r="G854" s="563" t="s">
        <v>209</v>
      </c>
      <c r="H854" s="563" t="s">
        <v>212</v>
      </c>
      <c r="I854" s="566">
        <v>206750000</v>
      </c>
    </row>
    <row r="855" spans="1:9" ht="16" x14ac:dyDescent="0.2">
      <c r="A855" s="567">
        <v>46053</v>
      </c>
      <c r="B855" s="568">
        <v>2026</v>
      </c>
      <c r="C855" s="569">
        <v>1</v>
      </c>
      <c r="D855" s="570">
        <v>5</v>
      </c>
      <c r="E855" s="570">
        <v>31</v>
      </c>
      <c r="F855" s="571" t="s">
        <v>237</v>
      </c>
      <c r="G855" s="569" t="s">
        <v>209</v>
      </c>
      <c r="H855" s="569" t="s">
        <v>212</v>
      </c>
      <c r="I855" s="572">
        <v>0</v>
      </c>
    </row>
    <row r="856" spans="1:9" ht="16" x14ac:dyDescent="0.2">
      <c r="A856" s="561">
        <v>46053</v>
      </c>
      <c r="B856" s="562">
        <v>2026</v>
      </c>
      <c r="C856" s="563">
        <v>1</v>
      </c>
      <c r="D856" s="564">
        <v>5</v>
      </c>
      <c r="E856" s="564">
        <v>31</v>
      </c>
      <c r="F856" s="565" t="s">
        <v>11</v>
      </c>
      <c r="G856" s="563" t="s">
        <v>11</v>
      </c>
      <c r="H856" s="563" t="s">
        <v>212</v>
      </c>
      <c r="I856" s="566">
        <v>18154570000</v>
      </c>
    </row>
    <row r="857" spans="1:9" ht="16" x14ac:dyDescent="0.2">
      <c r="A857" s="567">
        <v>46053</v>
      </c>
      <c r="B857" s="568">
        <v>2026</v>
      </c>
      <c r="C857" s="569">
        <v>1</v>
      </c>
      <c r="D857" s="570">
        <v>5</v>
      </c>
      <c r="E857" s="570">
        <v>31</v>
      </c>
      <c r="F857" s="571" t="s">
        <v>221</v>
      </c>
      <c r="G857" s="569" t="s">
        <v>207</v>
      </c>
      <c r="H857" s="569" t="s">
        <v>212</v>
      </c>
      <c r="I857" s="572">
        <v>0</v>
      </c>
    </row>
    <row r="858" spans="1:9" ht="16" x14ac:dyDescent="0.2">
      <c r="A858" s="561">
        <v>46053</v>
      </c>
      <c r="B858" s="562">
        <v>2026</v>
      </c>
      <c r="C858" s="563">
        <v>1</v>
      </c>
      <c r="D858" s="564">
        <v>5</v>
      </c>
      <c r="E858" s="564">
        <v>31</v>
      </c>
      <c r="F858" s="565" t="s">
        <v>222</v>
      </c>
      <c r="G858" s="563" t="s">
        <v>207</v>
      </c>
      <c r="H858" s="563" t="s">
        <v>212</v>
      </c>
      <c r="I858" s="566">
        <v>0</v>
      </c>
    </row>
    <row r="859" spans="1:9" ht="16" x14ac:dyDescent="0.2">
      <c r="A859" s="567">
        <v>46053</v>
      </c>
      <c r="B859" s="568">
        <v>2026</v>
      </c>
      <c r="C859" s="569">
        <v>1</v>
      </c>
      <c r="D859" s="570">
        <v>5</v>
      </c>
      <c r="E859" s="570">
        <v>31</v>
      </c>
      <c r="F859" s="571" t="s">
        <v>223</v>
      </c>
      <c r="G859" s="569" t="s">
        <v>207</v>
      </c>
      <c r="H859" s="569" t="s">
        <v>212</v>
      </c>
      <c r="I859" s="572">
        <v>0</v>
      </c>
    </row>
    <row r="860" spans="1:9" ht="16" x14ac:dyDescent="0.2">
      <c r="A860" s="561">
        <v>46053</v>
      </c>
      <c r="B860" s="562">
        <v>2026</v>
      </c>
      <c r="C860" s="563">
        <v>1</v>
      </c>
      <c r="D860" s="564">
        <v>5</v>
      </c>
      <c r="E860" s="564">
        <v>31</v>
      </c>
      <c r="F860" s="565" t="s">
        <v>219</v>
      </c>
      <c r="G860" s="563" t="s">
        <v>11</v>
      </c>
      <c r="H860" s="563" t="s">
        <v>212</v>
      </c>
      <c r="I860" s="566">
        <v>20700000</v>
      </c>
    </row>
    <row r="861" spans="1:9" ht="16" x14ac:dyDescent="0.2">
      <c r="A861" s="567">
        <v>46053</v>
      </c>
      <c r="B861" s="568">
        <v>2026</v>
      </c>
      <c r="C861" s="569">
        <v>1</v>
      </c>
      <c r="D861" s="570">
        <v>5</v>
      </c>
      <c r="E861" s="570">
        <v>31</v>
      </c>
      <c r="F861" s="571" t="s">
        <v>19</v>
      </c>
      <c r="G861" s="569" t="s">
        <v>19</v>
      </c>
      <c r="H861" s="569" t="s">
        <v>214</v>
      </c>
      <c r="I861" s="572">
        <v>9434988000</v>
      </c>
    </row>
    <row r="862" spans="1:9" ht="16" x14ac:dyDescent="0.2">
      <c r="A862" s="561">
        <v>46053</v>
      </c>
      <c r="B862" s="562">
        <v>2026</v>
      </c>
      <c r="C862" s="563">
        <v>1</v>
      </c>
      <c r="D862" s="564">
        <v>5</v>
      </c>
      <c r="E862" s="564">
        <v>31</v>
      </c>
      <c r="F862" s="565" t="s">
        <v>62</v>
      </c>
      <c r="G862" s="563" t="s">
        <v>62</v>
      </c>
      <c r="H862" s="563" t="s">
        <v>216</v>
      </c>
      <c r="I862" s="566">
        <v>175108185</v>
      </c>
    </row>
    <row r="863" spans="1:9" ht="16" x14ac:dyDescent="0.2">
      <c r="A863" s="567">
        <v>46053</v>
      </c>
      <c r="B863" s="568">
        <v>2026</v>
      </c>
      <c r="C863" s="569">
        <v>1</v>
      </c>
      <c r="D863" s="570">
        <v>5</v>
      </c>
      <c r="E863" s="570">
        <v>31</v>
      </c>
      <c r="F863" s="571" t="s">
        <v>58</v>
      </c>
      <c r="G863" s="569" t="s">
        <v>58</v>
      </c>
      <c r="H863" s="569" t="s">
        <v>212</v>
      </c>
      <c r="I863" s="572">
        <v>26250000</v>
      </c>
    </row>
    <row r="864" spans="1:9" ht="16" x14ac:dyDescent="0.2">
      <c r="A864" s="561">
        <v>46053</v>
      </c>
      <c r="B864" s="562">
        <v>2026</v>
      </c>
      <c r="C864" s="563">
        <v>1</v>
      </c>
      <c r="D864" s="564">
        <v>5</v>
      </c>
      <c r="E864" s="564">
        <v>31</v>
      </c>
      <c r="F864" s="565" t="s">
        <v>61</v>
      </c>
      <c r="G864" s="563" t="s">
        <v>61</v>
      </c>
      <c r="H864" s="563" t="s">
        <v>214</v>
      </c>
      <c r="I864" s="566">
        <v>54000000</v>
      </c>
    </row>
    <row r="865" spans="1:9" ht="16" x14ac:dyDescent="0.2">
      <c r="A865" s="567">
        <v>46053</v>
      </c>
      <c r="B865" s="568">
        <v>2026</v>
      </c>
      <c r="C865" s="569">
        <v>1</v>
      </c>
      <c r="D865" s="570">
        <v>5</v>
      </c>
      <c r="E865" s="570">
        <v>31</v>
      </c>
      <c r="F865" s="571" t="s">
        <v>57</v>
      </c>
      <c r="G865" s="569" t="s">
        <v>57</v>
      </c>
      <c r="H865" s="569" t="s">
        <v>212</v>
      </c>
      <c r="I865" s="572">
        <v>835070000</v>
      </c>
    </row>
    <row r="866" spans="1:9" ht="16" x14ac:dyDescent="0.2">
      <c r="A866" s="561">
        <v>46053</v>
      </c>
      <c r="B866" s="562">
        <v>2026</v>
      </c>
      <c r="C866" s="563">
        <v>1</v>
      </c>
      <c r="D866" s="564">
        <v>5</v>
      </c>
      <c r="E866" s="564">
        <v>31</v>
      </c>
      <c r="F866" s="565" t="s">
        <v>63</v>
      </c>
      <c r="G866" s="563" t="s">
        <v>63</v>
      </c>
      <c r="H866" s="563" t="s">
        <v>214</v>
      </c>
      <c r="I866" s="566">
        <v>250776000</v>
      </c>
    </row>
    <row r="867" spans="1:9" ht="16" x14ac:dyDescent="0.2">
      <c r="A867" s="567">
        <v>46053</v>
      </c>
      <c r="B867" s="568">
        <v>2026</v>
      </c>
      <c r="C867" s="569">
        <v>1</v>
      </c>
      <c r="D867" s="570">
        <v>5</v>
      </c>
      <c r="E867" s="570">
        <v>31</v>
      </c>
      <c r="F867" s="571" t="s">
        <v>59</v>
      </c>
      <c r="G867" s="569" t="s">
        <v>59</v>
      </c>
      <c r="H867" s="569" t="s">
        <v>216</v>
      </c>
      <c r="I867" s="572">
        <v>414307783</v>
      </c>
    </row>
    <row r="868" spans="1:9" ht="16" x14ac:dyDescent="0.2">
      <c r="A868" s="561">
        <v>46053</v>
      </c>
      <c r="B868" s="562">
        <v>2026</v>
      </c>
      <c r="C868" s="563">
        <v>1</v>
      </c>
      <c r="D868" s="564">
        <v>5</v>
      </c>
      <c r="E868" s="564">
        <v>31</v>
      </c>
      <c r="F868" s="565" t="s">
        <v>31</v>
      </c>
      <c r="G868" s="563" t="s">
        <v>175</v>
      </c>
      <c r="H868" s="563" t="s">
        <v>212</v>
      </c>
      <c r="I868" s="566">
        <v>2784890000</v>
      </c>
    </row>
    <row r="869" spans="1:9" ht="16" x14ac:dyDescent="0.2">
      <c r="A869" s="567">
        <v>46053</v>
      </c>
      <c r="B869" s="568">
        <v>2026</v>
      </c>
      <c r="C869" s="569">
        <v>1</v>
      </c>
      <c r="D869" s="570">
        <v>5</v>
      </c>
      <c r="E869" s="570">
        <v>31</v>
      </c>
      <c r="F869" s="571" t="s">
        <v>234</v>
      </c>
      <c r="G869" s="569" t="s">
        <v>210</v>
      </c>
      <c r="H869" s="569" t="s">
        <v>214</v>
      </c>
      <c r="I869" s="572">
        <v>821560000</v>
      </c>
    </row>
    <row r="870" spans="1:9" ht="16" x14ac:dyDescent="0.2">
      <c r="A870" s="561">
        <v>46054</v>
      </c>
      <c r="B870" s="562">
        <v>2026</v>
      </c>
      <c r="C870" s="563">
        <v>2</v>
      </c>
      <c r="D870" s="564">
        <v>5</v>
      </c>
      <c r="E870" s="564">
        <v>1</v>
      </c>
      <c r="F870" s="565" t="s">
        <v>65</v>
      </c>
      <c r="G870" s="563" t="s">
        <v>65</v>
      </c>
      <c r="H870" s="563" t="s">
        <v>212</v>
      </c>
      <c r="I870" s="566">
        <v>831100000</v>
      </c>
    </row>
    <row r="871" spans="1:9" ht="16" x14ac:dyDescent="0.2">
      <c r="A871" s="567">
        <v>46054</v>
      </c>
      <c r="B871" s="568">
        <v>2026</v>
      </c>
      <c r="C871" s="569">
        <v>2</v>
      </c>
      <c r="D871" s="570">
        <v>5</v>
      </c>
      <c r="E871" s="570">
        <v>1</v>
      </c>
      <c r="F871" s="571" t="s">
        <v>66</v>
      </c>
      <c r="G871" s="569" t="s">
        <v>66</v>
      </c>
      <c r="H871" s="569" t="s">
        <v>216</v>
      </c>
      <c r="I871" s="572">
        <v>417907862</v>
      </c>
    </row>
    <row r="872" spans="1:9" ht="16" x14ac:dyDescent="0.2">
      <c r="A872" s="561">
        <v>46054</v>
      </c>
      <c r="B872" s="562">
        <v>2026</v>
      </c>
      <c r="C872" s="563">
        <v>2</v>
      </c>
      <c r="D872" s="564">
        <v>5</v>
      </c>
      <c r="E872" s="564">
        <v>1</v>
      </c>
      <c r="F872" s="565" t="s">
        <v>24</v>
      </c>
      <c r="G872" s="563" t="s">
        <v>24</v>
      </c>
      <c r="H872" s="563" t="s">
        <v>212</v>
      </c>
      <c r="I872" s="566">
        <v>15700030000</v>
      </c>
    </row>
    <row r="873" spans="1:9" ht="16" x14ac:dyDescent="0.2">
      <c r="A873" s="567">
        <v>46054</v>
      </c>
      <c r="B873" s="568">
        <v>2026</v>
      </c>
      <c r="C873" s="569">
        <v>2</v>
      </c>
      <c r="D873" s="570">
        <v>5</v>
      </c>
      <c r="E873" s="570">
        <v>1</v>
      </c>
      <c r="F873" s="571" t="s">
        <v>67</v>
      </c>
      <c r="G873" s="569" t="s">
        <v>67</v>
      </c>
      <c r="H873" s="569" t="s">
        <v>213</v>
      </c>
      <c r="I873" s="572">
        <v>3282208120</v>
      </c>
    </row>
    <row r="874" spans="1:9" ht="16" x14ac:dyDescent="0.2">
      <c r="A874" s="561">
        <v>46054</v>
      </c>
      <c r="B874" s="562">
        <v>2026</v>
      </c>
      <c r="C874" s="563">
        <v>2</v>
      </c>
      <c r="D874" s="564">
        <v>5</v>
      </c>
      <c r="E874" s="564">
        <v>1</v>
      </c>
      <c r="F874" s="565" t="s">
        <v>28</v>
      </c>
      <c r="G874" s="563" t="s">
        <v>28</v>
      </c>
      <c r="H874" s="563" t="s">
        <v>214</v>
      </c>
      <c r="I874" s="566">
        <v>13618476000</v>
      </c>
    </row>
    <row r="875" spans="1:9" ht="16" x14ac:dyDescent="0.2">
      <c r="A875" s="567">
        <v>46054</v>
      </c>
      <c r="B875" s="568">
        <v>2026</v>
      </c>
      <c r="C875" s="569">
        <v>2</v>
      </c>
      <c r="D875" s="570">
        <v>5</v>
      </c>
      <c r="E875" s="570">
        <v>1</v>
      </c>
      <c r="F875" s="571" t="s">
        <v>208</v>
      </c>
      <c r="G875" s="569" t="s">
        <v>208</v>
      </c>
      <c r="H875" s="569" t="s">
        <v>216</v>
      </c>
      <c r="I875" s="572">
        <v>26208373</v>
      </c>
    </row>
    <row r="876" spans="1:9" ht="16" x14ac:dyDescent="0.2">
      <c r="A876" s="561">
        <v>46054</v>
      </c>
      <c r="B876" s="562">
        <v>2026</v>
      </c>
      <c r="C876" s="563">
        <v>2</v>
      </c>
      <c r="D876" s="564">
        <v>5</v>
      </c>
      <c r="E876" s="564">
        <v>1</v>
      </c>
      <c r="F876" s="565" t="s">
        <v>60</v>
      </c>
      <c r="G876" s="563" t="s">
        <v>60</v>
      </c>
      <c r="H876" s="563" t="s">
        <v>212</v>
      </c>
      <c r="I876" s="566">
        <v>0</v>
      </c>
    </row>
    <row r="877" spans="1:9" ht="16" x14ac:dyDescent="0.2">
      <c r="A877" s="567">
        <v>46054</v>
      </c>
      <c r="B877" s="568">
        <v>2026</v>
      </c>
      <c r="C877" s="569">
        <v>2</v>
      </c>
      <c r="D877" s="570">
        <v>5</v>
      </c>
      <c r="E877" s="570">
        <v>1</v>
      </c>
      <c r="F877" s="571" t="s">
        <v>36</v>
      </c>
      <c r="G877" s="569" t="s">
        <v>36</v>
      </c>
      <c r="H877" s="569" t="s">
        <v>212</v>
      </c>
      <c r="I877" s="572">
        <v>5951750000</v>
      </c>
    </row>
    <row r="878" spans="1:9" ht="16" x14ac:dyDescent="0.2">
      <c r="A878" s="561">
        <v>46054</v>
      </c>
      <c r="B878" s="562">
        <v>2026</v>
      </c>
      <c r="C878" s="563">
        <v>2</v>
      </c>
      <c r="D878" s="564">
        <v>5</v>
      </c>
      <c r="E878" s="564">
        <v>1</v>
      </c>
      <c r="F878" s="565" t="s">
        <v>55</v>
      </c>
      <c r="G878" s="563" t="s">
        <v>36</v>
      </c>
      <c r="H878" s="563" t="s">
        <v>212</v>
      </c>
      <c r="I878" s="566">
        <v>1592470000</v>
      </c>
    </row>
    <row r="879" spans="1:9" ht="16" x14ac:dyDescent="0.2">
      <c r="A879" s="567">
        <v>46054</v>
      </c>
      <c r="B879" s="568">
        <v>2026</v>
      </c>
      <c r="C879" s="569">
        <v>2</v>
      </c>
      <c r="D879" s="570">
        <v>5</v>
      </c>
      <c r="E879" s="570">
        <v>1</v>
      </c>
      <c r="F879" s="571" t="s">
        <v>176</v>
      </c>
      <c r="G879" s="569" t="s">
        <v>176</v>
      </c>
      <c r="H879" s="569" t="s">
        <v>216</v>
      </c>
      <c r="I879" s="572">
        <v>5495403</v>
      </c>
    </row>
    <row r="880" spans="1:9" ht="16" x14ac:dyDescent="0.2">
      <c r="A880" s="561">
        <v>46054</v>
      </c>
      <c r="B880" s="562">
        <v>2026</v>
      </c>
      <c r="C880" s="563">
        <v>2</v>
      </c>
      <c r="D880" s="564">
        <v>5</v>
      </c>
      <c r="E880" s="564">
        <v>1</v>
      </c>
      <c r="F880" s="565" t="s">
        <v>39</v>
      </c>
      <c r="G880" s="563" t="s">
        <v>176</v>
      </c>
      <c r="H880" s="563" t="s">
        <v>216</v>
      </c>
      <c r="I880" s="566">
        <v>2279428587</v>
      </c>
    </row>
    <row r="881" spans="1:9" ht="16" x14ac:dyDescent="0.2">
      <c r="A881" s="567">
        <v>46054</v>
      </c>
      <c r="B881" s="568">
        <v>2026</v>
      </c>
      <c r="C881" s="569">
        <v>2</v>
      </c>
      <c r="D881" s="570">
        <v>5</v>
      </c>
      <c r="E881" s="570">
        <v>1</v>
      </c>
      <c r="F881" s="571" t="s">
        <v>206</v>
      </c>
      <c r="G881" s="569" t="s">
        <v>206</v>
      </c>
      <c r="H881" s="569" t="s">
        <v>212</v>
      </c>
      <c r="I881" s="572">
        <v>0</v>
      </c>
    </row>
    <row r="882" spans="1:9" ht="16" x14ac:dyDescent="0.2">
      <c r="A882" s="561">
        <v>46054</v>
      </c>
      <c r="B882" s="562">
        <v>2026</v>
      </c>
      <c r="C882" s="563">
        <v>2</v>
      </c>
      <c r="D882" s="564">
        <v>5</v>
      </c>
      <c r="E882" s="564">
        <v>1</v>
      </c>
      <c r="F882" s="565" t="s">
        <v>64</v>
      </c>
      <c r="G882" s="563" t="s">
        <v>209</v>
      </c>
      <c r="H882" s="563" t="s">
        <v>212</v>
      </c>
      <c r="I882" s="566">
        <v>147500000</v>
      </c>
    </row>
    <row r="883" spans="1:9" ht="16" x14ac:dyDescent="0.2">
      <c r="A883" s="567">
        <v>46054</v>
      </c>
      <c r="B883" s="568">
        <v>2026</v>
      </c>
      <c r="C883" s="569">
        <v>2</v>
      </c>
      <c r="D883" s="570">
        <v>5</v>
      </c>
      <c r="E883" s="570">
        <v>1</v>
      </c>
      <c r="F883" s="571" t="s">
        <v>237</v>
      </c>
      <c r="G883" s="569" t="s">
        <v>209</v>
      </c>
      <c r="H883" s="569" t="s">
        <v>212</v>
      </c>
      <c r="I883" s="572">
        <v>0</v>
      </c>
    </row>
    <row r="884" spans="1:9" ht="16" x14ac:dyDescent="0.2">
      <c r="A884" s="561">
        <v>46054</v>
      </c>
      <c r="B884" s="562">
        <v>2026</v>
      </c>
      <c r="C884" s="563">
        <v>2</v>
      </c>
      <c r="D884" s="564">
        <v>5</v>
      </c>
      <c r="E884" s="564">
        <v>1</v>
      </c>
      <c r="F884" s="565" t="s">
        <v>11</v>
      </c>
      <c r="G884" s="563" t="s">
        <v>11</v>
      </c>
      <c r="H884" s="563" t="s">
        <v>212</v>
      </c>
      <c r="I884" s="566">
        <v>20007180000</v>
      </c>
    </row>
    <row r="885" spans="1:9" ht="16" x14ac:dyDescent="0.2">
      <c r="A885" s="567">
        <v>46054</v>
      </c>
      <c r="B885" s="568">
        <v>2026</v>
      </c>
      <c r="C885" s="569">
        <v>2</v>
      </c>
      <c r="D885" s="570">
        <v>5</v>
      </c>
      <c r="E885" s="570">
        <v>1</v>
      </c>
      <c r="F885" s="571" t="s">
        <v>221</v>
      </c>
      <c r="G885" s="569" t="s">
        <v>207</v>
      </c>
      <c r="H885" s="569" t="s">
        <v>212</v>
      </c>
      <c r="I885" s="572">
        <v>0</v>
      </c>
    </row>
    <row r="886" spans="1:9" ht="16" x14ac:dyDescent="0.2">
      <c r="A886" s="561">
        <v>46054</v>
      </c>
      <c r="B886" s="562">
        <v>2026</v>
      </c>
      <c r="C886" s="563">
        <v>2</v>
      </c>
      <c r="D886" s="564">
        <v>5</v>
      </c>
      <c r="E886" s="564">
        <v>1</v>
      </c>
      <c r="F886" s="565" t="s">
        <v>222</v>
      </c>
      <c r="G886" s="563" t="s">
        <v>207</v>
      </c>
      <c r="H886" s="563" t="s">
        <v>212</v>
      </c>
      <c r="I886" s="566">
        <v>0</v>
      </c>
    </row>
    <row r="887" spans="1:9" ht="16" x14ac:dyDescent="0.2">
      <c r="A887" s="567">
        <v>46054</v>
      </c>
      <c r="B887" s="568">
        <v>2026</v>
      </c>
      <c r="C887" s="569">
        <v>2</v>
      </c>
      <c r="D887" s="570">
        <v>5</v>
      </c>
      <c r="E887" s="570">
        <v>1</v>
      </c>
      <c r="F887" s="571" t="s">
        <v>223</v>
      </c>
      <c r="G887" s="569" t="s">
        <v>207</v>
      </c>
      <c r="H887" s="569" t="s">
        <v>212</v>
      </c>
      <c r="I887" s="572">
        <v>0</v>
      </c>
    </row>
    <row r="888" spans="1:9" ht="16" x14ac:dyDescent="0.2">
      <c r="A888" s="561">
        <v>46054</v>
      </c>
      <c r="B888" s="562">
        <v>2026</v>
      </c>
      <c r="C888" s="563">
        <v>2</v>
      </c>
      <c r="D888" s="564">
        <v>5</v>
      </c>
      <c r="E888" s="564">
        <v>1</v>
      </c>
      <c r="F888" s="565" t="s">
        <v>219</v>
      </c>
      <c r="G888" s="563" t="s">
        <v>11</v>
      </c>
      <c r="H888" s="563" t="s">
        <v>212</v>
      </c>
      <c r="I888" s="566">
        <v>5000000</v>
      </c>
    </row>
    <row r="889" spans="1:9" ht="16" x14ac:dyDescent="0.2">
      <c r="A889" s="567">
        <v>46054</v>
      </c>
      <c r="B889" s="568">
        <v>2026</v>
      </c>
      <c r="C889" s="569">
        <v>2</v>
      </c>
      <c r="D889" s="570">
        <v>5</v>
      </c>
      <c r="E889" s="570">
        <v>1</v>
      </c>
      <c r="F889" s="571" t="s">
        <v>19</v>
      </c>
      <c r="G889" s="569" t="s">
        <v>19</v>
      </c>
      <c r="H889" s="569" t="s">
        <v>214</v>
      </c>
      <c r="I889" s="572">
        <v>11076048000</v>
      </c>
    </row>
    <row r="890" spans="1:9" ht="16" x14ac:dyDescent="0.2">
      <c r="A890" s="561">
        <v>46054</v>
      </c>
      <c r="B890" s="562">
        <v>2026</v>
      </c>
      <c r="C890" s="563">
        <v>2</v>
      </c>
      <c r="D890" s="564">
        <v>5</v>
      </c>
      <c r="E890" s="564">
        <v>1</v>
      </c>
      <c r="F890" s="565" t="s">
        <v>62</v>
      </c>
      <c r="G890" s="563" t="s">
        <v>62</v>
      </c>
      <c r="H890" s="563" t="s">
        <v>216</v>
      </c>
      <c r="I890" s="566">
        <v>411746350</v>
      </c>
    </row>
    <row r="891" spans="1:9" ht="16" x14ac:dyDescent="0.2">
      <c r="A891" s="567">
        <v>46054</v>
      </c>
      <c r="B891" s="568">
        <v>2026</v>
      </c>
      <c r="C891" s="569">
        <v>2</v>
      </c>
      <c r="D891" s="570">
        <v>5</v>
      </c>
      <c r="E891" s="570">
        <v>1</v>
      </c>
      <c r="F891" s="571" t="s">
        <v>58</v>
      </c>
      <c r="G891" s="569" t="s">
        <v>58</v>
      </c>
      <c r="H891" s="569" t="s">
        <v>212</v>
      </c>
      <c r="I891" s="572">
        <v>52500000</v>
      </c>
    </row>
    <row r="892" spans="1:9" ht="16" x14ac:dyDescent="0.2">
      <c r="A892" s="561">
        <v>46054</v>
      </c>
      <c r="B892" s="562">
        <v>2026</v>
      </c>
      <c r="C892" s="563">
        <v>2</v>
      </c>
      <c r="D892" s="564">
        <v>5</v>
      </c>
      <c r="E892" s="564">
        <v>1</v>
      </c>
      <c r="F892" s="565" t="s">
        <v>61</v>
      </c>
      <c r="G892" s="563" t="s">
        <v>61</v>
      </c>
      <c r="H892" s="563" t="s">
        <v>214</v>
      </c>
      <c r="I892" s="566">
        <v>63000000</v>
      </c>
    </row>
    <row r="893" spans="1:9" ht="16" x14ac:dyDescent="0.2">
      <c r="A893" s="567">
        <v>46054</v>
      </c>
      <c r="B893" s="568">
        <v>2026</v>
      </c>
      <c r="C893" s="569">
        <v>2</v>
      </c>
      <c r="D893" s="570">
        <v>5</v>
      </c>
      <c r="E893" s="570">
        <v>1</v>
      </c>
      <c r="F893" s="571" t="s">
        <v>57</v>
      </c>
      <c r="G893" s="569" t="s">
        <v>57</v>
      </c>
      <c r="H893" s="569" t="s">
        <v>212</v>
      </c>
      <c r="I893" s="572">
        <v>634180000</v>
      </c>
    </row>
    <row r="894" spans="1:9" ht="16" x14ac:dyDescent="0.2">
      <c r="A894" s="561">
        <v>46054</v>
      </c>
      <c r="B894" s="562">
        <v>2026</v>
      </c>
      <c r="C894" s="563">
        <v>2</v>
      </c>
      <c r="D894" s="564">
        <v>5</v>
      </c>
      <c r="E894" s="564">
        <v>1</v>
      </c>
      <c r="F894" s="565" t="s">
        <v>63</v>
      </c>
      <c r="G894" s="563" t="s">
        <v>63</v>
      </c>
      <c r="H894" s="563" t="s">
        <v>214</v>
      </c>
      <c r="I894" s="566">
        <v>316332000</v>
      </c>
    </row>
    <row r="895" spans="1:9" ht="16" x14ac:dyDescent="0.2">
      <c r="A895" s="567">
        <v>46054</v>
      </c>
      <c r="B895" s="568">
        <v>2026</v>
      </c>
      <c r="C895" s="569">
        <v>2</v>
      </c>
      <c r="D895" s="570">
        <v>5</v>
      </c>
      <c r="E895" s="570">
        <v>1</v>
      </c>
      <c r="F895" s="571" t="s">
        <v>59</v>
      </c>
      <c r="G895" s="569" t="s">
        <v>59</v>
      </c>
      <c r="H895" s="569" t="s">
        <v>216</v>
      </c>
      <c r="I895" s="572">
        <v>702035450</v>
      </c>
    </row>
    <row r="896" spans="1:9" ht="16" x14ac:dyDescent="0.2">
      <c r="A896" s="561">
        <v>46054</v>
      </c>
      <c r="B896" s="562">
        <v>2026</v>
      </c>
      <c r="C896" s="563">
        <v>2</v>
      </c>
      <c r="D896" s="564">
        <v>5</v>
      </c>
      <c r="E896" s="564">
        <v>1</v>
      </c>
      <c r="F896" s="565" t="s">
        <v>31</v>
      </c>
      <c r="G896" s="563" t="s">
        <v>175</v>
      </c>
      <c r="H896" s="563" t="s">
        <v>212</v>
      </c>
      <c r="I896" s="566">
        <v>3272080000</v>
      </c>
    </row>
    <row r="897" spans="1:9" ht="16" x14ac:dyDescent="0.2">
      <c r="A897" s="567">
        <v>46054</v>
      </c>
      <c r="B897" s="568">
        <v>2026</v>
      </c>
      <c r="C897" s="569">
        <v>2</v>
      </c>
      <c r="D897" s="570">
        <v>5</v>
      </c>
      <c r="E897" s="570">
        <v>1</v>
      </c>
      <c r="F897" s="571" t="s">
        <v>234</v>
      </c>
      <c r="G897" s="569" t="s">
        <v>210</v>
      </c>
      <c r="H897" s="569" t="s">
        <v>214</v>
      </c>
      <c r="I897" s="572">
        <v>902000000</v>
      </c>
    </row>
    <row r="898" spans="1:9" ht="16" x14ac:dyDescent="0.2">
      <c r="A898" s="561">
        <v>46055</v>
      </c>
      <c r="B898" s="562">
        <v>2026</v>
      </c>
      <c r="C898" s="563">
        <v>2</v>
      </c>
      <c r="D898" s="564">
        <v>6</v>
      </c>
      <c r="E898" s="564">
        <v>2</v>
      </c>
      <c r="F898" s="565" t="s">
        <v>65</v>
      </c>
      <c r="G898" s="563" t="s">
        <v>65</v>
      </c>
      <c r="H898" s="563" t="s">
        <v>212</v>
      </c>
      <c r="I898" s="573">
        <v>1003950000</v>
      </c>
    </row>
    <row r="899" spans="1:9" ht="16" x14ac:dyDescent="0.2">
      <c r="A899" s="567">
        <v>46055</v>
      </c>
      <c r="B899" s="568">
        <v>2026</v>
      </c>
      <c r="C899" s="569">
        <v>2</v>
      </c>
      <c r="D899" s="570">
        <v>6</v>
      </c>
      <c r="E899" s="570">
        <v>2</v>
      </c>
      <c r="F899" s="571" t="s">
        <v>66</v>
      </c>
      <c r="G899" s="569" t="s">
        <v>66</v>
      </c>
      <c r="H899" s="569" t="s">
        <v>216</v>
      </c>
      <c r="I899" s="574">
        <v>415051108</v>
      </c>
    </row>
    <row r="900" spans="1:9" ht="16" x14ac:dyDescent="0.2">
      <c r="A900" s="561">
        <v>46055</v>
      </c>
      <c r="B900" s="562">
        <v>2026</v>
      </c>
      <c r="C900" s="563">
        <v>2</v>
      </c>
      <c r="D900" s="564">
        <v>6</v>
      </c>
      <c r="E900" s="564">
        <v>2</v>
      </c>
      <c r="F900" s="565" t="s">
        <v>24</v>
      </c>
      <c r="G900" s="563" t="s">
        <v>24</v>
      </c>
      <c r="H900" s="563" t="s">
        <v>212</v>
      </c>
      <c r="I900" s="573">
        <v>19412460000</v>
      </c>
    </row>
    <row r="901" spans="1:9" ht="16" x14ac:dyDescent="0.2">
      <c r="A901" s="567">
        <v>46055</v>
      </c>
      <c r="B901" s="568">
        <v>2026</v>
      </c>
      <c r="C901" s="569">
        <v>2</v>
      </c>
      <c r="D901" s="570">
        <v>6</v>
      </c>
      <c r="E901" s="570">
        <v>2</v>
      </c>
      <c r="F901" s="571" t="s">
        <v>67</v>
      </c>
      <c r="G901" s="569" t="s">
        <v>67</v>
      </c>
      <c r="H901" s="569" t="s">
        <v>213</v>
      </c>
      <c r="I901" s="574">
        <v>3878796475</v>
      </c>
    </row>
    <row r="902" spans="1:9" ht="16" x14ac:dyDescent="0.2">
      <c r="A902" s="561">
        <v>46055</v>
      </c>
      <c r="B902" s="562">
        <v>2026</v>
      </c>
      <c r="C902" s="563">
        <v>2</v>
      </c>
      <c r="D902" s="564">
        <v>6</v>
      </c>
      <c r="E902" s="564">
        <v>2</v>
      </c>
      <c r="F902" s="565" t="s">
        <v>28</v>
      </c>
      <c r="G902" s="563" t="s">
        <v>28</v>
      </c>
      <c r="H902" s="563" t="s">
        <v>214</v>
      </c>
      <c r="I902" s="573">
        <v>15100992000</v>
      </c>
    </row>
    <row r="903" spans="1:9" ht="16" x14ac:dyDescent="0.2">
      <c r="A903" s="567">
        <v>46055</v>
      </c>
      <c r="B903" s="568">
        <v>2026</v>
      </c>
      <c r="C903" s="569">
        <v>2</v>
      </c>
      <c r="D903" s="570">
        <v>6</v>
      </c>
      <c r="E903" s="570">
        <v>2</v>
      </c>
      <c r="F903" s="571" t="s">
        <v>208</v>
      </c>
      <c r="G903" s="569" t="s">
        <v>208</v>
      </c>
      <c r="H903" s="569" t="s">
        <v>216</v>
      </c>
      <c r="I903" s="574">
        <v>44901749</v>
      </c>
    </row>
    <row r="904" spans="1:9" ht="16" x14ac:dyDescent="0.2">
      <c r="A904" s="561">
        <v>46055</v>
      </c>
      <c r="B904" s="562">
        <v>2026</v>
      </c>
      <c r="C904" s="563">
        <v>2</v>
      </c>
      <c r="D904" s="564">
        <v>6</v>
      </c>
      <c r="E904" s="564">
        <v>2</v>
      </c>
      <c r="F904" s="565" t="s">
        <v>60</v>
      </c>
      <c r="G904" s="563" t="s">
        <v>60</v>
      </c>
      <c r="H904" s="563" t="s">
        <v>212</v>
      </c>
      <c r="I904" s="573">
        <v>0</v>
      </c>
    </row>
    <row r="905" spans="1:9" ht="16" x14ac:dyDescent="0.2">
      <c r="A905" s="567">
        <v>46055</v>
      </c>
      <c r="B905" s="568">
        <v>2026</v>
      </c>
      <c r="C905" s="569">
        <v>2</v>
      </c>
      <c r="D905" s="570">
        <v>6</v>
      </c>
      <c r="E905" s="570">
        <v>2</v>
      </c>
      <c r="F905" s="571" t="s">
        <v>36</v>
      </c>
      <c r="G905" s="569" t="s">
        <v>36</v>
      </c>
      <c r="H905" s="569" t="s">
        <v>212</v>
      </c>
      <c r="I905" s="574">
        <v>5490500000</v>
      </c>
    </row>
    <row r="906" spans="1:9" ht="16" x14ac:dyDescent="0.2">
      <c r="A906" s="561">
        <v>46055</v>
      </c>
      <c r="B906" s="562">
        <v>2026</v>
      </c>
      <c r="C906" s="563">
        <v>2</v>
      </c>
      <c r="D906" s="564">
        <v>6</v>
      </c>
      <c r="E906" s="564">
        <v>2</v>
      </c>
      <c r="F906" s="565" t="s">
        <v>55</v>
      </c>
      <c r="G906" s="563" t="s">
        <v>36</v>
      </c>
      <c r="H906" s="563" t="s">
        <v>212</v>
      </c>
      <c r="I906" s="573">
        <v>1823140000</v>
      </c>
    </row>
    <row r="907" spans="1:9" ht="16" x14ac:dyDescent="0.2">
      <c r="A907" s="567">
        <v>46055</v>
      </c>
      <c r="B907" s="568">
        <v>2026</v>
      </c>
      <c r="C907" s="569">
        <v>2</v>
      </c>
      <c r="D907" s="570">
        <v>6</v>
      </c>
      <c r="E907" s="570">
        <v>2</v>
      </c>
      <c r="F907" s="571" t="s">
        <v>176</v>
      </c>
      <c r="G907" s="569" t="s">
        <v>176</v>
      </c>
      <c r="H907" s="569" t="s">
        <v>216</v>
      </c>
      <c r="I907" s="574">
        <v>34523861</v>
      </c>
    </row>
    <row r="908" spans="1:9" ht="16" x14ac:dyDescent="0.2">
      <c r="A908" s="561">
        <v>46055</v>
      </c>
      <c r="B908" s="562">
        <v>2026</v>
      </c>
      <c r="C908" s="563">
        <v>2</v>
      </c>
      <c r="D908" s="564">
        <v>6</v>
      </c>
      <c r="E908" s="564">
        <v>2</v>
      </c>
      <c r="F908" s="565" t="s">
        <v>39</v>
      </c>
      <c r="G908" s="563" t="s">
        <v>176</v>
      </c>
      <c r="H908" s="563" t="s">
        <v>216</v>
      </c>
      <c r="I908" s="573">
        <v>2130199811</v>
      </c>
    </row>
    <row r="909" spans="1:9" ht="16" x14ac:dyDescent="0.2">
      <c r="A909" s="567">
        <v>46055</v>
      </c>
      <c r="B909" s="568">
        <v>2026</v>
      </c>
      <c r="C909" s="569">
        <v>2</v>
      </c>
      <c r="D909" s="570">
        <v>6</v>
      </c>
      <c r="E909" s="570">
        <v>2</v>
      </c>
      <c r="F909" s="571" t="s">
        <v>206</v>
      </c>
      <c r="G909" s="569" t="s">
        <v>206</v>
      </c>
      <c r="H909" s="569" t="s">
        <v>212</v>
      </c>
      <c r="I909" s="574">
        <v>0</v>
      </c>
    </row>
    <row r="910" spans="1:9" ht="16" x14ac:dyDescent="0.2">
      <c r="A910" s="561">
        <v>46055</v>
      </c>
      <c r="B910" s="562">
        <v>2026</v>
      </c>
      <c r="C910" s="563">
        <v>2</v>
      </c>
      <c r="D910" s="564">
        <v>6</v>
      </c>
      <c r="E910" s="564">
        <v>2</v>
      </c>
      <c r="F910" s="565" t="s">
        <v>64</v>
      </c>
      <c r="G910" s="563" t="s">
        <v>209</v>
      </c>
      <c r="H910" s="563" t="s">
        <v>212</v>
      </c>
      <c r="I910" s="573">
        <v>169000000</v>
      </c>
    </row>
    <row r="911" spans="1:9" ht="16" x14ac:dyDescent="0.2">
      <c r="A911" s="567">
        <v>46055</v>
      </c>
      <c r="B911" s="568">
        <v>2026</v>
      </c>
      <c r="C911" s="569">
        <v>2</v>
      </c>
      <c r="D911" s="570">
        <v>6</v>
      </c>
      <c r="E911" s="570">
        <v>2</v>
      </c>
      <c r="F911" s="571" t="s">
        <v>237</v>
      </c>
      <c r="G911" s="569" t="s">
        <v>209</v>
      </c>
      <c r="H911" s="569" t="s">
        <v>212</v>
      </c>
      <c r="I911" s="574">
        <v>0</v>
      </c>
    </row>
    <row r="912" spans="1:9" ht="16" x14ac:dyDescent="0.2">
      <c r="A912" s="561">
        <v>46055</v>
      </c>
      <c r="B912" s="562">
        <v>2026</v>
      </c>
      <c r="C912" s="563">
        <v>2</v>
      </c>
      <c r="D912" s="564">
        <v>6</v>
      </c>
      <c r="E912" s="564">
        <v>2</v>
      </c>
      <c r="F912" s="565" t="s">
        <v>11</v>
      </c>
      <c r="G912" s="563" t="s">
        <v>11</v>
      </c>
      <c r="H912" s="563" t="s">
        <v>212</v>
      </c>
      <c r="I912" s="573">
        <v>21816350000</v>
      </c>
    </row>
    <row r="913" spans="1:9" ht="16" x14ac:dyDescent="0.2">
      <c r="A913" s="567">
        <v>46055</v>
      </c>
      <c r="B913" s="568">
        <v>2026</v>
      </c>
      <c r="C913" s="569">
        <v>2</v>
      </c>
      <c r="D913" s="570">
        <v>6</v>
      </c>
      <c r="E913" s="570">
        <v>2</v>
      </c>
      <c r="F913" s="571" t="s">
        <v>221</v>
      </c>
      <c r="G913" s="569" t="s">
        <v>207</v>
      </c>
      <c r="H913" s="569" t="s">
        <v>212</v>
      </c>
      <c r="I913" s="574">
        <v>0</v>
      </c>
    </row>
    <row r="914" spans="1:9" ht="16" x14ac:dyDescent="0.2">
      <c r="A914" s="561">
        <v>46055</v>
      </c>
      <c r="B914" s="562">
        <v>2026</v>
      </c>
      <c r="C914" s="563">
        <v>2</v>
      </c>
      <c r="D914" s="564">
        <v>6</v>
      </c>
      <c r="E914" s="564">
        <v>2</v>
      </c>
      <c r="F914" s="565" t="s">
        <v>222</v>
      </c>
      <c r="G914" s="563" t="s">
        <v>207</v>
      </c>
      <c r="H914" s="563" t="s">
        <v>212</v>
      </c>
      <c r="I914" s="573">
        <v>0</v>
      </c>
    </row>
    <row r="915" spans="1:9" ht="16" x14ac:dyDescent="0.2">
      <c r="A915" s="567">
        <v>46055</v>
      </c>
      <c r="B915" s="568">
        <v>2026</v>
      </c>
      <c r="C915" s="569">
        <v>2</v>
      </c>
      <c r="D915" s="570">
        <v>6</v>
      </c>
      <c r="E915" s="570">
        <v>2</v>
      </c>
      <c r="F915" s="571" t="s">
        <v>223</v>
      </c>
      <c r="G915" s="569" t="s">
        <v>207</v>
      </c>
      <c r="H915" s="569" t="s">
        <v>212</v>
      </c>
      <c r="I915" s="574">
        <v>0</v>
      </c>
    </row>
    <row r="916" spans="1:9" ht="16" x14ac:dyDescent="0.2">
      <c r="A916" s="561">
        <v>46055</v>
      </c>
      <c r="B916" s="562">
        <v>2026</v>
      </c>
      <c r="C916" s="563">
        <v>2</v>
      </c>
      <c r="D916" s="564">
        <v>6</v>
      </c>
      <c r="E916" s="564">
        <v>2</v>
      </c>
      <c r="F916" s="565" t="s">
        <v>219</v>
      </c>
      <c r="G916" s="563" t="s">
        <v>11</v>
      </c>
      <c r="H916" s="563" t="s">
        <v>212</v>
      </c>
      <c r="I916" s="573">
        <v>37100000</v>
      </c>
    </row>
    <row r="917" spans="1:9" ht="16" x14ac:dyDescent="0.2">
      <c r="A917" s="567">
        <v>46055</v>
      </c>
      <c r="B917" s="568">
        <v>2026</v>
      </c>
      <c r="C917" s="569">
        <v>2</v>
      </c>
      <c r="D917" s="570">
        <v>6</v>
      </c>
      <c r="E917" s="570">
        <v>2</v>
      </c>
      <c r="F917" s="571" t="s">
        <v>19</v>
      </c>
      <c r="G917" s="569" t="s">
        <v>19</v>
      </c>
      <c r="H917" s="569" t="s">
        <v>214</v>
      </c>
      <c r="I917" s="574">
        <v>11912292000</v>
      </c>
    </row>
    <row r="918" spans="1:9" ht="16" x14ac:dyDescent="0.2">
      <c r="A918" s="561">
        <v>46055</v>
      </c>
      <c r="B918" s="562">
        <v>2026</v>
      </c>
      <c r="C918" s="563">
        <v>2</v>
      </c>
      <c r="D918" s="564">
        <v>6</v>
      </c>
      <c r="E918" s="564">
        <v>2</v>
      </c>
      <c r="F918" s="565" t="s">
        <v>62</v>
      </c>
      <c r="G918" s="563" t="s">
        <v>62</v>
      </c>
      <c r="H918" s="563" t="s">
        <v>216</v>
      </c>
      <c r="I918" s="573">
        <v>447859640</v>
      </c>
    </row>
    <row r="919" spans="1:9" ht="16" x14ac:dyDescent="0.2">
      <c r="A919" s="567">
        <v>46055</v>
      </c>
      <c r="B919" s="568">
        <v>2026</v>
      </c>
      <c r="C919" s="569">
        <v>2</v>
      </c>
      <c r="D919" s="570">
        <v>6</v>
      </c>
      <c r="E919" s="570">
        <v>2</v>
      </c>
      <c r="F919" s="571" t="s">
        <v>58</v>
      </c>
      <c r="G919" s="569" t="s">
        <v>58</v>
      </c>
      <c r="H919" s="569" t="s">
        <v>212</v>
      </c>
      <c r="I919" s="574">
        <v>52000000</v>
      </c>
    </row>
    <row r="920" spans="1:9" ht="16" x14ac:dyDescent="0.2">
      <c r="A920" s="561">
        <v>46055</v>
      </c>
      <c r="B920" s="562">
        <v>2026</v>
      </c>
      <c r="C920" s="563">
        <v>2</v>
      </c>
      <c r="D920" s="564">
        <v>6</v>
      </c>
      <c r="E920" s="564">
        <v>2</v>
      </c>
      <c r="F920" s="565" t="s">
        <v>61</v>
      </c>
      <c r="G920" s="563" t="s">
        <v>61</v>
      </c>
      <c r="H920" s="563" t="s">
        <v>214</v>
      </c>
      <c r="I920" s="573">
        <v>49000000</v>
      </c>
    </row>
    <row r="921" spans="1:9" ht="16" x14ac:dyDescent="0.2">
      <c r="A921" s="567">
        <v>46055</v>
      </c>
      <c r="B921" s="568">
        <v>2026</v>
      </c>
      <c r="C921" s="569">
        <v>2</v>
      </c>
      <c r="D921" s="570">
        <v>6</v>
      </c>
      <c r="E921" s="570">
        <v>2</v>
      </c>
      <c r="F921" s="571" t="s">
        <v>57</v>
      </c>
      <c r="G921" s="569" t="s">
        <v>57</v>
      </c>
      <c r="H921" s="569" t="s">
        <v>212</v>
      </c>
      <c r="I921" s="574">
        <v>1013200000</v>
      </c>
    </row>
    <row r="922" spans="1:9" ht="16" x14ac:dyDescent="0.2">
      <c r="A922" s="561">
        <v>46055</v>
      </c>
      <c r="B922" s="562">
        <v>2026</v>
      </c>
      <c r="C922" s="563">
        <v>2</v>
      </c>
      <c r="D922" s="564">
        <v>6</v>
      </c>
      <c r="E922" s="564">
        <v>2</v>
      </c>
      <c r="F922" s="565" t="s">
        <v>63</v>
      </c>
      <c r="G922" s="563" t="s">
        <v>63</v>
      </c>
      <c r="H922" s="563" t="s">
        <v>214</v>
      </c>
      <c r="I922" s="573">
        <v>458028000</v>
      </c>
    </row>
    <row r="923" spans="1:9" ht="16" x14ac:dyDescent="0.2">
      <c r="A923" s="567">
        <v>46055</v>
      </c>
      <c r="B923" s="568">
        <v>2026</v>
      </c>
      <c r="C923" s="569">
        <v>2</v>
      </c>
      <c r="D923" s="570">
        <v>6</v>
      </c>
      <c r="E923" s="570">
        <v>2</v>
      </c>
      <c r="F923" s="571" t="s">
        <v>59</v>
      </c>
      <c r="G923" s="569" t="s">
        <v>59</v>
      </c>
      <c r="H923" s="569" t="s">
        <v>216</v>
      </c>
      <c r="I923" s="574">
        <v>992318820</v>
      </c>
    </row>
    <row r="924" spans="1:9" ht="16" x14ac:dyDescent="0.2">
      <c r="A924" s="561">
        <v>46055</v>
      </c>
      <c r="B924" s="562">
        <v>2026</v>
      </c>
      <c r="C924" s="563">
        <v>2</v>
      </c>
      <c r="D924" s="564">
        <v>6</v>
      </c>
      <c r="E924" s="564">
        <v>2</v>
      </c>
      <c r="F924" s="565" t="s">
        <v>31</v>
      </c>
      <c r="G924" s="563" t="s">
        <v>175</v>
      </c>
      <c r="H924" s="563" t="s">
        <v>212</v>
      </c>
      <c r="I924" s="573">
        <v>4600240000</v>
      </c>
    </row>
    <row r="925" spans="1:9" ht="16" x14ac:dyDescent="0.2">
      <c r="A925" s="567">
        <v>46055</v>
      </c>
      <c r="B925" s="568">
        <v>2026</v>
      </c>
      <c r="C925" s="569">
        <v>2</v>
      </c>
      <c r="D925" s="570">
        <v>6</v>
      </c>
      <c r="E925" s="570">
        <v>2</v>
      </c>
      <c r="F925" s="571" t="s">
        <v>234</v>
      </c>
      <c r="G925" s="569" t="s">
        <v>210</v>
      </c>
      <c r="H925" s="569" t="s">
        <v>214</v>
      </c>
      <c r="I925" s="574">
        <v>915800000</v>
      </c>
    </row>
    <row r="926" spans="1:9" ht="16" x14ac:dyDescent="0.2">
      <c r="A926" s="561">
        <v>46056</v>
      </c>
      <c r="B926" s="562">
        <v>2026</v>
      </c>
      <c r="C926" s="563">
        <v>2</v>
      </c>
      <c r="D926" s="564">
        <v>6</v>
      </c>
      <c r="E926" s="564">
        <v>3</v>
      </c>
      <c r="F926" s="565" t="s">
        <v>65</v>
      </c>
      <c r="G926" s="563" t="s">
        <v>65</v>
      </c>
      <c r="H926" s="563" t="s">
        <v>212</v>
      </c>
      <c r="I926" s="573">
        <v>757350000</v>
      </c>
    </row>
    <row r="927" spans="1:9" ht="16" x14ac:dyDescent="0.2">
      <c r="A927" s="567">
        <v>46056</v>
      </c>
      <c r="B927" s="568">
        <v>2026</v>
      </c>
      <c r="C927" s="569">
        <v>2</v>
      </c>
      <c r="D927" s="570">
        <v>6</v>
      </c>
      <c r="E927" s="570">
        <v>3</v>
      </c>
      <c r="F927" s="571" t="s">
        <v>66</v>
      </c>
      <c r="G927" s="569" t="s">
        <v>66</v>
      </c>
      <c r="H927" s="569" t="s">
        <v>216</v>
      </c>
      <c r="I927" s="574">
        <v>450793395</v>
      </c>
    </row>
    <row r="928" spans="1:9" ht="16" x14ac:dyDescent="0.2">
      <c r="A928" s="561">
        <v>46056</v>
      </c>
      <c r="B928" s="562">
        <v>2026</v>
      </c>
      <c r="C928" s="563">
        <v>2</v>
      </c>
      <c r="D928" s="564">
        <v>6</v>
      </c>
      <c r="E928" s="564">
        <v>3</v>
      </c>
      <c r="F928" s="565" t="s">
        <v>24</v>
      </c>
      <c r="G928" s="563" t="s">
        <v>24</v>
      </c>
      <c r="H928" s="563" t="s">
        <v>212</v>
      </c>
      <c r="I928" s="573">
        <v>19764290000</v>
      </c>
    </row>
    <row r="929" spans="1:9" ht="16" x14ac:dyDescent="0.2">
      <c r="A929" s="567">
        <v>46056</v>
      </c>
      <c r="B929" s="568">
        <v>2026</v>
      </c>
      <c r="C929" s="569">
        <v>2</v>
      </c>
      <c r="D929" s="570">
        <v>6</v>
      </c>
      <c r="E929" s="570">
        <v>3</v>
      </c>
      <c r="F929" s="571" t="s">
        <v>67</v>
      </c>
      <c r="G929" s="569" t="s">
        <v>67</v>
      </c>
      <c r="H929" s="569" t="s">
        <v>213</v>
      </c>
      <c r="I929" s="574">
        <v>2759130350</v>
      </c>
    </row>
    <row r="930" spans="1:9" ht="16" x14ac:dyDescent="0.2">
      <c r="A930" s="561">
        <v>46056</v>
      </c>
      <c r="B930" s="562">
        <v>2026</v>
      </c>
      <c r="C930" s="563">
        <v>2</v>
      </c>
      <c r="D930" s="564">
        <v>6</v>
      </c>
      <c r="E930" s="564">
        <v>3</v>
      </c>
      <c r="F930" s="565" t="s">
        <v>28</v>
      </c>
      <c r="G930" s="563" t="s">
        <v>28</v>
      </c>
      <c r="H930" s="563" t="s">
        <v>214</v>
      </c>
      <c r="I930" s="573">
        <v>14963508000</v>
      </c>
    </row>
    <row r="931" spans="1:9" ht="16" x14ac:dyDescent="0.2">
      <c r="A931" s="567">
        <v>46056</v>
      </c>
      <c r="B931" s="568">
        <v>2026</v>
      </c>
      <c r="C931" s="569">
        <v>2</v>
      </c>
      <c r="D931" s="570">
        <v>6</v>
      </c>
      <c r="E931" s="570">
        <v>3</v>
      </c>
      <c r="F931" s="571" t="s">
        <v>208</v>
      </c>
      <c r="G931" s="569" t="s">
        <v>208</v>
      </c>
      <c r="H931" s="569" t="s">
        <v>216</v>
      </c>
      <c r="I931" s="574">
        <v>63202779</v>
      </c>
    </row>
    <row r="932" spans="1:9" ht="16" x14ac:dyDescent="0.2">
      <c r="A932" s="561">
        <v>46056</v>
      </c>
      <c r="B932" s="562">
        <v>2026</v>
      </c>
      <c r="C932" s="563">
        <v>2</v>
      </c>
      <c r="D932" s="564">
        <v>6</v>
      </c>
      <c r="E932" s="564">
        <v>3</v>
      </c>
      <c r="F932" s="565" t="s">
        <v>60</v>
      </c>
      <c r="G932" s="563" t="s">
        <v>60</v>
      </c>
      <c r="H932" s="563" t="s">
        <v>212</v>
      </c>
      <c r="I932" s="573">
        <v>170000000</v>
      </c>
    </row>
    <row r="933" spans="1:9" ht="16" x14ac:dyDescent="0.2">
      <c r="A933" s="567">
        <v>46056</v>
      </c>
      <c r="B933" s="568">
        <v>2026</v>
      </c>
      <c r="C933" s="569">
        <v>2</v>
      </c>
      <c r="D933" s="570">
        <v>6</v>
      </c>
      <c r="E933" s="570">
        <v>3</v>
      </c>
      <c r="F933" s="571" t="s">
        <v>36</v>
      </c>
      <c r="G933" s="569" t="s">
        <v>36</v>
      </c>
      <c r="H933" s="569" t="s">
        <v>212</v>
      </c>
      <c r="I933" s="574">
        <v>4933810000</v>
      </c>
    </row>
    <row r="934" spans="1:9" ht="16" x14ac:dyDescent="0.2">
      <c r="A934" s="561">
        <v>46056</v>
      </c>
      <c r="B934" s="562">
        <v>2026</v>
      </c>
      <c r="C934" s="563">
        <v>2</v>
      </c>
      <c r="D934" s="564">
        <v>6</v>
      </c>
      <c r="E934" s="564">
        <v>3</v>
      </c>
      <c r="F934" s="565" t="s">
        <v>55</v>
      </c>
      <c r="G934" s="563" t="s">
        <v>36</v>
      </c>
      <c r="H934" s="563" t="s">
        <v>212</v>
      </c>
      <c r="I934" s="573">
        <v>1587740000</v>
      </c>
    </row>
    <row r="935" spans="1:9" ht="16" x14ac:dyDescent="0.2">
      <c r="A935" s="567">
        <v>46056</v>
      </c>
      <c r="B935" s="568">
        <v>2026</v>
      </c>
      <c r="C935" s="569">
        <v>2</v>
      </c>
      <c r="D935" s="570">
        <v>6</v>
      </c>
      <c r="E935" s="570">
        <v>3</v>
      </c>
      <c r="F935" s="571" t="s">
        <v>176</v>
      </c>
      <c r="G935" s="569" t="s">
        <v>176</v>
      </c>
      <c r="H935" s="569" t="s">
        <v>216</v>
      </c>
      <c r="I935" s="574">
        <v>56334108</v>
      </c>
    </row>
    <row r="936" spans="1:9" ht="16" x14ac:dyDescent="0.2">
      <c r="A936" s="561">
        <v>46056</v>
      </c>
      <c r="B936" s="562">
        <v>2026</v>
      </c>
      <c r="C936" s="563">
        <v>2</v>
      </c>
      <c r="D936" s="564">
        <v>6</v>
      </c>
      <c r="E936" s="564">
        <v>3</v>
      </c>
      <c r="F936" s="565" t="s">
        <v>39</v>
      </c>
      <c r="G936" s="563" t="s">
        <v>176</v>
      </c>
      <c r="H936" s="563" t="s">
        <v>216</v>
      </c>
      <c r="I936" s="573">
        <v>2337638612</v>
      </c>
    </row>
    <row r="937" spans="1:9" ht="16" x14ac:dyDescent="0.2">
      <c r="A937" s="567">
        <v>46056</v>
      </c>
      <c r="B937" s="568">
        <v>2026</v>
      </c>
      <c r="C937" s="569">
        <v>2</v>
      </c>
      <c r="D937" s="570">
        <v>6</v>
      </c>
      <c r="E937" s="570">
        <v>3</v>
      </c>
      <c r="F937" s="571" t="s">
        <v>206</v>
      </c>
      <c r="G937" s="569" t="s">
        <v>206</v>
      </c>
      <c r="H937" s="569" t="s">
        <v>212</v>
      </c>
      <c r="I937" s="574">
        <v>0</v>
      </c>
    </row>
    <row r="938" spans="1:9" ht="16" x14ac:dyDescent="0.2">
      <c r="A938" s="561">
        <v>46056</v>
      </c>
      <c r="B938" s="562">
        <v>2026</v>
      </c>
      <c r="C938" s="563">
        <v>2</v>
      </c>
      <c r="D938" s="564">
        <v>6</v>
      </c>
      <c r="E938" s="564">
        <v>3</v>
      </c>
      <c r="F938" s="565" t="s">
        <v>64</v>
      </c>
      <c r="G938" s="563" t="s">
        <v>209</v>
      </c>
      <c r="H938" s="563" t="s">
        <v>212</v>
      </c>
      <c r="I938" s="573">
        <v>136500000</v>
      </c>
    </row>
    <row r="939" spans="1:9" ht="16" x14ac:dyDescent="0.2">
      <c r="A939" s="567">
        <v>46056</v>
      </c>
      <c r="B939" s="568">
        <v>2026</v>
      </c>
      <c r="C939" s="569">
        <v>2</v>
      </c>
      <c r="D939" s="570">
        <v>6</v>
      </c>
      <c r="E939" s="570">
        <v>3</v>
      </c>
      <c r="F939" s="571" t="s">
        <v>237</v>
      </c>
      <c r="G939" s="569" t="s">
        <v>209</v>
      </c>
      <c r="H939" s="569" t="s">
        <v>212</v>
      </c>
      <c r="I939" s="574">
        <v>134930000</v>
      </c>
    </row>
    <row r="940" spans="1:9" ht="16" x14ac:dyDescent="0.2">
      <c r="A940" s="561">
        <v>46056</v>
      </c>
      <c r="B940" s="562">
        <v>2026</v>
      </c>
      <c r="C940" s="563">
        <v>2</v>
      </c>
      <c r="D940" s="564">
        <v>6</v>
      </c>
      <c r="E940" s="564">
        <v>3</v>
      </c>
      <c r="F940" s="565" t="s">
        <v>11</v>
      </c>
      <c r="G940" s="563" t="s">
        <v>11</v>
      </c>
      <c r="H940" s="563" t="s">
        <v>212</v>
      </c>
      <c r="I940" s="573">
        <v>19479820000</v>
      </c>
    </row>
    <row r="941" spans="1:9" ht="16" x14ac:dyDescent="0.2">
      <c r="A941" s="567">
        <v>46056</v>
      </c>
      <c r="B941" s="568">
        <v>2026</v>
      </c>
      <c r="C941" s="569">
        <v>2</v>
      </c>
      <c r="D941" s="570">
        <v>6</v>
      </c>
      <c r="E941" s="570">
        <v>3</v>
      </c>
      <c r="F941" s="571" t="s">
        <v>221</v>
      </c>
      <c r="G941" s="569" t="s">
        <v>207</v>
      </c>
      <c r="H941" s="569" t="s">
        <v>212</v>
      </c>
      <c r="I941" s="574">
        <v>0</v>
      </c>
    </row>
    <row r="942" spans="1:9" ht="16" x14ac:dyDescent="0.2">
      <c r="A942" s="561">
        <v>46056</v>
      </c>
      <c r="B942" s="562">
        <v>2026</v>
      </c>
      <c r="C942" s="563">
        <v>2</v>
      </c>
      <c r="D942" s="564">
        <v>6</v>
      </c>
      <c r="E942" s="564">
        <v>3</v>
      </c>
      <c r="F942" s="565" t="s">
        <v>222</v>
      </c>
      <c r="G942" s="563" t="s">
        <v>207</v>
      </c>
      <c r="H942" s="563" t="s">
        <v>212</v>
      </c>
      <c r="I942" s="573">
        <v>0</v>
      </c>
    </row>
    <row r="943" spans="1:9" ht="16" x14ac:dyDescent="0.2">
      <c r="A943" s="567">
        <v>46056</v>
      </c>
      <c r="B943" s="568">
        <v>2026</v>
      </c>
      <c r="C943" s="569">
        <v>2</v>
      </c>
      <c r="D943" s="570">
        <v>6</v>
      </c>
      <c r="E943" s="570">
        <v>3</v>
      </c>
      <c r="F943" s="571" t="s">
        <v>223</v>
      </c>
      <c r="G943" s="569" t="s">
        <v>207</v>
      </c>
      <c r="H943" s="569" t="s">
        <v>212</v>
      </c>
      <c r="I943" s="574">
        <v>0</v>
      </c>
    </row>
    <row r="944" spans="1:9" ht="16" x14ac:dyDescent="0.2">
      <c r="A944" s="561">
        <v>46056</v>
      </c>
      <c r="B944" s="562">
        <v>2026</v>
      </c>
      <c r="C944" s="563">
        <v>2</v>
      </c>
      <c r="D944" s="564">
        <v>6</v>
      </c>
      <c r="E944" s="564">
        <v>3</v>
      </c>
      <c r="F944" s="565" t="s">
        <v>219</v>
      </c>
      <c r="G944" s="563" t="s">
        <v>11</v>
      </c>
      <c r="H944" s="563" t="s">
        <v>212</v>
      </c>
      <c r="I944" s="573">
        <v>0</v>
      </c>
    </row>
    <row r="945" spans="1:9" ht="16" x14ac:dyDescent="0.2">
      <c r="A945" s="567">
        <v>46056</v>
      </c>
      <c r="B945" s="568">
        <v>2026</v>
      </c>
      <c r="C945" s="569">
        <v>2</v>
      </c>
      <c r="D945" s="570">
        <v>6</v>
      </c>
      <c r="E945" s="570">
        <v>3</v>
      </c>
      <c r="F945" s="571" t="s">
        <v>19</v>
      </c>
      <c r="G945" s="569" t="s">
        <v>19</v>
      </c>
      <c r="H945" s="569" t="s">
        <v>214</v>
      </c>
      <c r="I945" s="574">
        <v>11214612000</v>
      </c>
    </row>
    <row r="946" spans="1:9" ht="16" x14ac:dyDescent="0.2">
      <c r="A946" s="561">
        <v>46056</v>
      </c>
      <c r="B946" s="562">
        <v>2026</v>
      </c>
      <c r="C946" s="563">
        <v>2</v>
      </c>
      <c r="D946" s="564">
        <v>6</v>
      </c>
      <c r="E946" s="564">
        <v>3</v>
      </c>
      <c r="F946" s="565" t="s">
        <v>62</v>
      </c>
      <c r="G946" s="563" t="s">
        <v>62</v>
      </c>
      <c r="H946" s="563" t="s">
        <v>216</v>
      </c>
      <c r="I946" s="573">
        <v>490566204</v>
      </c>
    </row>
    <row r="947" spans="1:9" ht="16" x14ac:dyDescent="0.2">
      <c r="A947" s="567">
        <v>46056</v>
      </c>
      <c r="B947" s="568">
        <v>2026</v>
      </c>
      <c r="C947" s="569">
        <v>2</v>
      </c>
      <c r="D947" s="570">
        <v>6</v>
      </c>
      <c r="E947" s="570">
        <v>3</v>
      </c>
      <c r="F947" s="571" t="s">
        <v>58</v>
      </c>
      <c r="G947" s="569" t="s">
        <v>58</v>
      </c>
      <c r="H947" s="569" t="s">
        <v>212</v>
      </c>
      <c r="I947" s="574">
        <v>42000000</v>
      </c>
    </row>
    <row r="948" spans="1:9" ht="16" x14ac:dyDescent="0.2">
      <c r="A948" s="561">
        <v>46056</v>
      </c>
      <c r="B948" s="562">
        <v>2026</v>
      </c>
      <c r="C948" s="563">
        <v>2</v>
      </c>
      <c r="D948" s="564">
        <v>6</v>
      </c>
      <c r="E948" s="564">
        <v>3</v>
      </c>
      <c r="F948" s="565" t="s">
        <v>61</v>
      </c>
      <c r="G948" s="563" t="s">
        <v>61</v>
      </c>
      <c r="H948" s="563" t="s">
        <v>214</v>
      </c>
      <c r="I948" s="573">
        <v>39000000</v>
      </c>
    </row>
    <row r="949" spans="1:9" ht="16" x14ac:dyDescent="0.2">
      <c r="A949" s="567">
        <v>46056</v>
      </c>
      <c r="B949" s="568">
        <v>2026</v>
      </c>
      <c r="C949" s="569">
        <v>2</v>
      </c>
      <c r="D949" s="570">
        <v>6</v>
      </c>
      <c r="E949" s="570">
        <v>3</v>
      </c>
      <c r="F949" s="571" t="s">
        <v>57</v>
      </c>
      <c r="G949" s="569" t="s">
        <v>57</v>
      </c>
      <c r="H949" s="569" t="s">
        <v>212</v>
      </c>
      <c r="I949" s="574">
        <v>1153780000</v>
      </c>
    </row>
    <row r="950" spans="1:9" ht="16" x14ac:dyDescent="0.2">
      <c r="A950" s="561">
        <v>46056</v>
      </c>
      <c r="B950" s="562">
        <v>2026</v>
      </c>
      <c r="C950" s="563">
        <v>2</v>
      </c>
      <c r="D950" s="564">
        <v>6</v>
      </c>
      <c r="E950" s="564">
        <v>3</v>
      </c>
      <c r="F950" s="565" t="s">
        <v>63</v>
      </c>
      <c r="G950" s="563" t="s">
        <v>63</v>
      </c>
      <c r="H950" s="563" t="s">
        <v>214</v>
      </c>
      <c r="I950" s="573">
        <v>377028000</v>
      </c>
    </row>
    <row r="951" spans="1:9" ht="16" x14ac:dyDescent="0.2">
      <c r="A951" s="567">
        <v>46056</v>
      </c>
      <c r="B951" s="568">
        <v>2026</v>
      </c>
      <c r="C951" s="569">
        <v>2</v>
      </c>
      <c r="D951" s="570">
        <v>6</v>
      </c>
      <c r="E951" s="570">
        <v>3</v>
      </c>
      <c r="F951" s="571" t="s">
        <v>59</v>
      </c>
      <c r="G951" s="569" t="s">
        <v>59</v>
      </c>
      <c r="H951" s="569" t="s">
        <v>216</v>
      </c>
      <c r="I951" s="574">
        <v>1394629328</v>
      </c>
    </row>
    <row r="952" spans="1:9" ht="16" x14ac:dyDescent="0.2">
      <c r="A952" s="561">
        <v>46056</v>
      </c>
      <c r="B952" s="562">
        <v>2026</v>
      </c>
      <c r="C952" s="563">
        <v>2</v>
      </c>
      <c r="D952" s="564">
        <v>6</v>
      </c>
      <c r="E952" s="564">
        <v>3</v>
      </c>
      <c r="F952" s="565" t="s">
        <v>31</v>
      </c>
      <c r="G952" s="563" t="s">
        <v>175</v>
      </c>
      <c r="H952" s="563" t="s">
        <v>212</v>
      </c>
      <c r="I952" s="573">
        <v>5633660000</v>
      </c>
    </row>
    <row r="953" spans="1:9" ht="16" x14ac:dyDescent="0.2">
      <c r="A953" s="567">
        <v>46056</v>
      </c>
      <c r="B953" s="568">
        <v>2026</v>
      </c>
      <c r="C953" s="569">
        <v>2</v>
      </c>
      <c r="D953" s="570">
        <v>6</v>
      </c>
      <c r="E953" s="570">
        <v>3</v>
      </c>
      <c r="F953" s="571" t="s">
        <v>234</v>
      </c>
      <c r="G953" s="569" t="s">
        <v>210</v>
      </c>
      <c r="H953" s="569" t="s">
        <v>214</v>
      </c>
      <c r="I953" s="574">
        <v>861880000</v>
      </c>
    </row>
    <row r="954" spans="1:9" ht="16" x14ac:dyDescent="0.2">
      <c r="A954" s="561">
        <v>46057</v>
      </c>
      <c r="B954" s="562">
        <v>2026</v>
      </c>
      <c r="C954" s="563">
        <v>2</v>
      </c>
      <c r="D954" s="564">
        <v>6</v>
      </c>
      <c r="E954" s="564">
        <v>4</v>
      </c>
      <c r="F954" s="565" t="s">
        <v>65</v>
      </c>
      <c r="G954" s="563" t="s">
        <v>65</v>
      </c>
      <c r="H954" s="563" t="s">
        <v>212</v>
      </c>
      <c r="I954" s="573">
        <v>856450000</v>
      </c>
    </row>
    <row r="955" spans="1:9" ht="16" x14ac:dyDescent="0.2">
      <c r="A955" s="567">
        <v>46057</v>
      </c>
      <c r="B955" s="568">
        <v>2026</v>
      </c>
      <c r="C955" s="569">
        <v>2</v>
      </c>
      <c r="D955" s="570">
        <v>6</v>
      </c>
      <c r="E955" s="570">
        <v>4</v>
      </c>
      <c r="F955" s="571" t="s">
        <v>66</v>
      </c>
      <c r="G955" s="569" t="s">
        <v>66</v>
      </c>
      <c r="H955" s="569" t="s">
        <v>216</v>
      </c>
      <c r="I955" s="574">
        <v>538683337</v>
      </c>
    </row>
    <row r="956" spans="1:9" ht="16" x14ac:dyDescent="0.2">
      <c r="A956" s="561">
        <v>46057</v>
      </c>
      <c r="B956" s="562">
        <v>2026</v>
      </c>
      <c r="C956" s="563">
        <v>2</v>
      </c>
      <c r="D956" s="564">
        <v>6</v>
      </c>
      <c r="E956" s="564">
        <v>4</v>
      </c>
      <c r="F956" s="565" t="s">
        <v>24</v>
      </c>
      <c r="G956" s="563" t="s">
        <v>24</v>
      </c>
      <c r="H956" s="563" t="s">
        <v>212</v>
      </c>
      <c r="I956" s="573">
        <v>18848620000</v>
      </c>
    </row>
    <row r="957" spans="1:9" ht="16" x14ac:dyDescent="0.2">
      <c r="A957" s="567">
        <v>46057</v>
      </c>
      <c r="B957" s="568">
        <v>2026</v>
      </c>
      <c r="C957" s="569">
        <v>2</v>
      </c>
      <c r="D957" s="570">
        <v>6</v>
      </c>
      <c r="E957" s="570">
        <v>4</v>
      </c>
      <c r="F957" s="571" t="s">
        <v>67</v>
      </c>
      <c r="G957" s="569" t="s">
        <v>67</v>
      </c>
      <c r="H957" s="569" t="s">
        <v>213</v>
      </c>
      <c r="I957" s="574">
        <v>2607900868</v>
      </c>
    </row>
    <row r="958" spans="1:9" ht="16" x14ac:dyDescent="0.2">
      <c r="A958" s="561">
        <v>46057</v>
      </c>
      <c r="B958" s="562">
        <v>2026</v>
      </c>
      <c r="C958" s="563">
        <v>2</v>
      </c>
      <c r="D958" s="564">
        <v>6</v>
      </c>
      <c r="E958" s="564">
        <v>4</v>
      </c>
      <c r="F958" s="565" t="s">
        <v>28</v>
      </c>
      <c r="G958" s="563" t="s">
        <v>28</v>
      </c>
      <c r="H958" s="563" t="s">
        <v>214</v>
      </c>
      <c r="I958" s="573">
        <v>14700636000</v>
      </c>
    </row>
    <row r="959" spans="1:9" ht="16" x14ac:dyDescent="0.2">
      <c r="A959" s="567">
        <v>46057</v>
      </c>
      <c r="B959" s="568">
        <v>2026</v>
      </c>
      <c r="C959" s="569">
        <v>2</v>
      </c>
      <c r="D959" s="570">
        <v>6</v>
      </c>
      <c r="E959" s="570">
        <v>4</v>
      </c>
      <c r="F959" s="571" t="s">
        <v>208</v>
      </c>
      <c r="G959" s="569" t="s">
        <v>208</v>
      </c>
      <c r="H959" s="569" t="s">
        <v>216</v>
      </c>
      <c r="I959" s="574">
        <v>53910975</v>
      </c>
    </row>
    <row r="960" spans="1:9" ht="16" x14ac:dyDescent="0.2">
      <c r="A960" s="561">
        <v>46057</v>
      </c>
      <c r="B960" s="562">
        <v>2026</v>
      </c>
      <c r="C960" s="563">
        <v>2</v>
      </c>
      <c r="D960" s="564">
        <v>6</v>
      </c>
      <c r="E960" s="564">
        <v>4</v>
      </c>
      <c r="F960" s="565" t="s">
        <v>60</v>
      </c>
      <c r="G960" s="563" t="s">
        <v>60</v>
      </c>
      <c r="H960" s="563" t="s">
        <v>212</v>
      </c>
      <c r="I960" s="573">
        <v>0</v>
      </c>
    </row>
    <row r="961" spans="1:9" ht="16" x14ac:dyDescent="0.2">
      <c r="A961" s="567">
        <v>46057</v>
      </c>
      <c r="B961" s="568">
        <v>2026</v>
      </c>
      <c r="C961" s="569">
        <v>2</v>
      </c>
      <c r="D961" s="570">
        <v>6</v>
      </c>
      <c r="E961" s="570">
        <v>4</v>
      </c>
      <c r="F961" s="571" t="s">
        <v>36</v>
      </c>
      <c r="G961" s="569" t="s">
        <v>36</v>
      </c>
      <c r="H961" s="569" t="s">
        <v>212</v>
      </c>
      <c r="I961" s="574">
        <v>5183620000</v>
      </c>
    </row>
    <row r="962" spans="1:9" ht="16" x14ac:dyDescent="0.2">
      <c r="A962" s="561">
        <v>46057</v>
      </c>
      <c r="B962" s="562">
        <v>2026</v>
      </c>
      <c r="C962" s="563">
        <v>2</v>
      </c>
      <c r="D962" s="564">
        <v>6</v>
      </c>
      <c r="E962" s="564">
        <v>4</v>
      </c>
      <c r="F962" s="565" t="s">
        <v>55</v>
      </c>
      <c r="G962" s="563" t="s">
        <v>36</v>
      </c>
      <c r="H962" s="563" t="s">
        <v>212</v>
      </c>
      <c r="I962" s="573">
        <v>1219780000</v>
      </c>
    </row>
    <row r="963" spans="1:9" ht="16" x14ac:dyDescent="0.2">
      <c r="A963" s="567">
        <v>46057</v>
      </c>
      <c r="B963" s="568">
        <v>2026</v>
      </c>
      <c r="C963" s="569">
        <v>2</v>
      </c>
      <c r="D963" s="570">
        <v>6</v>
      </c>
      <c r="E963" s="570">
        <v>4</v>
      </c>
      <c r="F963" s="571" t="s">
        <v>176</v>
      </c>
      <c r="G963" s="569" t="s">
        <v>176</v>
      </c>
      <c r="H963" s="569" t="s">
        <v>216</v>
      </c>
      <c r="I963" s="574">
        <v>53548572</v>
      </c>
    </row>
    <row r="964" spans="1:9" ht="16" x14ac:dyDescent="0.2">
      <c r="A964" s="561">
        <v>46057</v>
      </c>
      <c r="B964" s="562">
        <v>2026</v>
      </c>
      <c r="C964" s="563">
        <v>2</v>
      </c>
      <c r="D964" s="564">
        <v>6</v>
      </c>
      <c r="E964" s="564">
        <v>4</v>
      </c>
      <c r="F964" s="565" t="s">
        <v>39</v>
      </c>
      <c r="G964" s="563" t="s">
        <v>176</v>
      </c>
      <c r="H964" s="563" t="s">
        <v>216</v>
      </c>
      <c r="I964" s="573">
        <v>2116817182</v>
      </c>
    </row>
    <row r="965" spans="1:9" ht="16" x14ac:dyDescent="0.2">
      <c r="A965" s="567">
        <v>46057</v>
      </c>
      <c r="B965" s="568">
        <v>2026</v>
      </c>
      <c r="C965" s="569">
        <v>2</v>
      </c>
      <c r="D965" s="570">
        <v>6</v>
      </c>
      <c r="E965" s="570">
        <v>4</v>
      </c>
      <c r="F965" s="571" t="s">
        <v>206</v>
      </c>
      <c r="G965" s="569" t="s">
        <v>206</v>
      </c>
      <c r="H965" s="569" t="s">
        <v>212</v>
      </c>
      <c r="I965" s="574">
        <v>0</v>
      </c>
    </row>
    <row r="966" spans="1:9" ht="16" x14ac:dyDescent="0.2">
      <c r="A966" s="561">
        <v>46057</v>
      </c>
      <c r="B966" s="562">
        <v>2026</v>
      </c>
      <c r="C966" s="563">
        <v>2</v>
      </c>
      <c r="D966" s="564">
        <v>6</v>
      </c>
      <c r="E966" s="564">
        <v>4</v>
      </c>
      <c r="F966" s="565" t="s">
        <v>64</v>
      </c>
      <c r="G966" s="563" t="s">
        <v>209</v>
      </c>
      <c r="H966" s="563" t="s">
        <v>212</v>
      </c>
      <c r="I966" s="573">
        <v>99750000</v>
      </c>
    </row>
    <row r="967" spans="1:9" ht="16" x14ac:dyDescent="0.2">
      <c r="A967" s="567">
        <v>46057</v>
      </c>
      <c r="B967" s="568">
        <v>2026</v>
      </c>
      <c r="C967" s="569">
        <v>2</v>
      </c>
      <c r="D967" s="570">
        <v>6</v>
      </c>
      <c r="E967" s="570">
        <v>4</v>
      </c>
      <c r="F967" s="571" t="s">
        <v>237</v>
      </c>
      <c r="G967" s="569" t="s">
        <v>209</v>
      </c>
      <c r="H967" s="569" t="s">
        <v>212</v>
      </c>
      <c r="I967" s="574">
        <v>0</v>
      </c>
    </row>
    <row r="968" spans="1:9" ht="16" x14ac:dyDescent="0.2">
      <c r="A968" s="561">
        <v>46057</v>
      </c>
      <c r="B968" s="562">
        <v>2026</v>
      </c>
      <c r="C968" s="563">
        <v>2</v>
      </c>
      <c r="D968" s="564">
        <v>6</v>
      </c>
      <c r="E968" s="564">
        <v>4</v>
      </c>
      <c r="F968" s="565" t="s">
        <v>11</v>
      </c>
      <c r="G968" s="563" t="s">
        <v>11</v>
      </c>
      <c r="H968" s="563" t="s">
        <v>212</v>
      </c>
      <c r="I968" s="573">
        <v>20838660000</v>
      </c>
    </row>
    <row r="969" spans="1:9" ht="16" x14ac:dyDescent="0.2">
      <c r="A969" s="567">
        <v>46057</v>
      </c>
      <c r="B969" s="568">
        <v>2026</v>
      </c>
      <c r="C969" s="569">
        <v>2</v>
      </c>
      <c r="D969" s="570">
        <v>6</v>
      </c>
      <c r="E969" s="570">
        <v>4</v>
      </c>
      <c r="F969" s="571" t="s">
        <v>221</v>
      </c>
      <c r="G969" s="569" t="s">
        <v>207</v>
      </c>
      <c r="H969" s="569" t="s">
        <v>212</v>
      </c>
      <c r="I969" s="574">
        <v>0</v>
      </c>
    </row>
    <row r="970" spans="1:9" ht="16" x14ac:dyDescent="0.2">
      <c r="A970" s="561">
        <v>46057</v>
      </c>
      <c r="B970" s="562">
        <v>2026</v>
      </c>
      <c r="C970" s="563">
        <v>2</v>
      </c>
      <c r="D970" s="564">
        <v>6</v>
      </c>
      <c r="E970" s="564">
        <v>4</v>
      </c>
      <c r="F970" s="565" t="s">
        <v>222</v>
      </c>
      <c r="G970" s="563" t="s">
        <v>207</v>
      </c>
      <c r="H970" s="563" t="s">
        <v>212</v>
      </c>
      <c r="I970" s="573">
        <v>0</v>
      </c>
    </row>
    <row r="971" spans="1:9" ht="16" x14ac:dyDescent="0.2">
      <c r="A971" s="567">
        <v>46057</v>
      </c>
      <c r="B971" s="568">
        <v>2026</v>
      </c>
      <c r="C971" s="569">
        <v>2</v>
      </c>
      <c r="D971" s="570">
        <v>6</v>
      </c>
      <c r="E971" s="570">
        <v>4</v>
      </c>
      <c r="F971" s="571" t="s">
        <v>223</v>
      </c>
      <c r="G971" s="569" t="s">
        <v>207</v>
      </c>
      <c r="H971" s="569" t="s">
        <v>212</v>
      </c>
      <c r="I971" s="574">
        <v>0</v>
      </c>
    </row>
    <row r="972" spans="1:9" ht="16" x14ac:dyDescent="0.2">
      <c r="A972" s="561">
        <v>46057</v>
      </c>
      <c r="B972" s="562">
        <v>2026</v>
      </c>
      <c r="C972" s="563">
        <v>2</v>
      </c>
      <c r="D972" s="564">
        <v>6</v>
      </c>
      <c r="E972" s="564">
        <v>4</v>
      </c>
      <c r="F972" s="565" t="s">
        <v>219</v>
      </c>
      <c r="G972" s="563" t="s">
        <v>11</v>
      </c>
      <c r="H972" s="563" t="s">
        <v>212</v>
      </c>
      <c r="I972" s="573">
        <v>5000000</v>
      </c>
    </row>
    <row r="973" spans="1:9" ht="16" x14ac:dyDescent="0.2">
      <c r="A973" s="567">
        <v>46057</v>
      </c>
      <c r="B973" s="568">
        <v>2026</v>
      </c>
      <c r="C973" s="569">
        <v>2</v>
      </c>
      <c r="D973" s="570">
        <v>6</v>
      </c>
      <c r="E973" s="570">
        <v>4</v>
      </c>
      <c r="F973" s="571" t="s">
        <v>19</v>
      </c>
      <c r="G973" s="569" t="s">
        <v>19</v>
      </c>
      <c r="H973" s="569" t="s">
        <v>214</v>
      </c>
      <c r="I973" s="574">
        <v>11835288000</v>
      </c>
    </row>
    <row r="974" spans="1:9" ht="16" x14ac:dyDescent="0.2">
      <c r="A974" s="561">
        <v>46057</v>
      </c>
      <c r="B974" s="562">
        <v>2026</v>
      </c>
      <c r="C974" s="563">
        <v>2</v>
      </c>
      <c r="D974" s="564">
        <v>6</v>
      </c>
      <c r="E974" s="564">
        <v>4</v>
      </c>
      <c r="F974" s="565" t="s">
        <v>62</v>
      </c>
      <c r="G974" s="563" t="s">
        <v>62</v>
      </c>
      <c r="H974" s="563" t="s">
        <v>216</v>
      </c>
      <c r="I974" s="573">
        <v>629395712</v>
      </c>
    </row>
    <row r="975" spans="1:9" ht="16" x14ac:dyDescent="0.2">
      <c r="A975" s="567">
        <v>46057</v>
      </c>
      <c r="B975" s="568">
        <v>2026</v>
      </c>
      <c r="C975" s="569">
        <v>2</v>
      </c>
      <c r="D975" s="570">
        <v>6</v>
      </c>
      <c r="E975" s="570">
        <v>4</v>
      </c>
      <c r="F975" s="571" t="s">
        <v>58</v>
      </c>
      <c r="G975" s="569" t="s">
        <v>58</v>
      </c>
      <c r="H975" s="569" t="s">
        <v>212</v>
      </c>
      <c r="I975" s="574">
        <v>61000000</v>
      </c>
    </row>
    <row r="976" spans="1:9" ht="16" x14ac:dyDescent="0.2">
      <c r="A976" s="561">
        <v>46057</v>
      </c>
      <c r="B976" s="562">
        <v>2026</v>
      </c>
      <c r="C976" s="563">
        <v>2</v>
      </c>
      <c r="D976" s="564">
        <v>6</v>
      </c>
      <c r="E976" s="564">
        <v>4</v>
      </c>
      <c r="F976" s="565" t="s">
        <v>61</v>
      </c>
      <c r="G976" s="563" t="s">
        <v>61</v>
      </c>
      <c r="H976" s="563" t="s">
        <v>214</v>
      </c>
      <c r="I976" s="573">
        <v>59000000</v>
      </c>
    </row>
    <row r="977" spans="1:9" ht="16" x14ac:dyDescent="0.2">
      <c r="A977" s="567">
        <v>46057</v>
      </c>
      <c r="B977" s="568">
        <v>2026</v>
      </c>
      <c r="C977" s="569">
        <v>2</v>
      </c>
      <c r="D977" s="570">
        <v>6</v>
      </c>
      <c r="E977" s="570">
        <v>4</v>
      </c>
      <c r="F977" s="571" t="s">
        <v>57</v>
      </c>
      <c r="G977" s="569" t="s">
        <v>57</v>
      </c>
      <c r="H977" s="569" t="s">
        <v>212</v>
      </c>
      <c r="I977" s="574">
        <v>971280000</v>
      </c>
    </row>
    <row r="978" spans="1:9" ht="16" x14ac:dyDescent="0.2">
      <c r="A978" s="561">
        <v>46057</v>
      </c>
      <c r="B978" s="562">
        <v>2026</v>
      </c>
      <c r="C978" s="563">
        <v>2</v>
      </c>
      <c r="D978" s="564">
        <v>6</v>
      </c>
      <c r="E978" s="564">
        <v>4</v>
      </c>
      <c r="F978" s="565" t="s">
        <v>63</v>
      </c>
      <c r="G978" s="563" t="s">
        <v>63</v>
      </c>
      <c r="H978" s="563" t="s">
        <v>214</v>
      </c>
      <c r="I978" s="573">
        <v>340200000</v>
      </c>
    </row>
    <row r="979" spans="1:9" ht="16" x14ac:dyDescent="0.2">
      <c r="A979" s="567">
        <v>46057</v>
      </c>
      <c r="B979" s="568">
        <v>2026</v>
      </c>
      <c r="C979" s="569">
        <v>2</v>
      </c>
      <c r="D979" s="570">
        <v>6</v>
      </c>
      <c r="E979" s="570">
        <v>4</v>
      </c>
      <c r="F979" s="571" t="s">
        <v>59</v>
      </c>
      <c r="G979" s="569" t="s">
        <v>59</v>
      </c>
      <c r="H979" s="569" t="s">
        <v>216</v>
      </c>
      <c r="I979" s="574">
        <v>1806252793</v>
      </c>
    </row>
    <row r="980" spans="1:9" ht="16" x14ac:dyDescent="0.2">
      <c r="A980" s="561">
        <v>46057</v>
      </c>
      <c r="B980" s="562">
        <v>2026</v>
      </c>
      <c r="C980" s="563">
        <v>2</v>
      </c>
      <c r="D980" s="564">
        <v>6</v>
      </c>
      <c r="E980" s="564">
        <v>4</v>
      </c>
      <c r="F980" s="565" t="s">
        <v>31</v>
      </c>
      <c r="G980" s="563" t="s">
        <v>175</v>
      </c>
      <c r="H980" s="563" t="s">
        <v>212</v>
      </c>
      <c r="I980" s="573">
        <v>5149330000</v>
      </c>
    </row>
    <row r="981" spans="1:9" ht="16" x14ac:dyDescent="0.2">
      <c r="A981" s="567">
        <v>46057</v>
      </c>
      <c r="B981" s="568">
        <v>2026</v>
      </c>
      <c r="C981" s="569">
        <v>2</v>
      </c>
      <c r="D981" s="570">
        <v>6</v>
      </c>
      <c r="E981" s="570">
        <v>4</v>
      </c>
      <c r="F981" s="571" t="s">
        <v>234</v>
      </c>
      <c r="G981" s="569" t="s">
        <v>210</v>
      </c>
      <c r="H981" s="569" t="s">
        <v>214</v>
      </c>
      <c r="I981" s="574">
        <v>892640000</v>
      </c>
    </row>
    <row r="982" spans="1:9" ht="16" x14ac:dyDescent="0.2">
      <c r="A982" s="561">
        <v>46058</v>
      </c>
      <c r="B982" s="562">
        <v>2026</v>
      </c>
      <c r="C982" s="563">
        <v>2</v>
      </c>
      <c r="D982" s="564">
        <v>6</v>
      </c>
      <c r="E982" s="564">
        <v>5</v>
      </c>
      <c r="F982" s="565" t="s">
        <v>65</v>
      </c>
      <c r="G982" s="563" t="s">
        <v>65</v>
      </c>
      <c r="H982" s="563" t="s">
        <v>212</v>
      </c>
      <c r="I982" s="573">
        <v>704350000</v>
      </c>
    </row>
    <row r="983" spans="1:9" ht="16" x14ac:dyDescent="0.2">
      <c r="A983" s="567">
        <v>46058</v>
      </c>
      <c r="B983" s="568">
        <v>2026</v>
      </c>
      <c r="C983" s="569">
        <v>2</v>
      </c>
      <c r="D983" s="570">
        <v>6</v>
      </c>
      <c r="E983" s="570">
        <v>5</v>
      </c>
      <c r="F983" s="571" t="s">
        <v>66</v>
      </c>
      <c r="G983" s="569" t="s">
        <v>66</v>
      </c>
      <c r="H983" s="569" t="s">
        <v>216</v>
      </c>
      <c r="I983" s="574">
        <v>540107490</v>
      </c>
    </row>
    <row r="984" spans="1:9" ht="16" x14ac:dyDescent="0.2">
      <c r="A984" s="561">
        <v>46058</v>
      </c>
      <c r="B984" s="562">
        <v>2026</v>
      </c>
      <c r="C984" s="563">
        <v>2</v>
      </c>
      <c r="D984" s="564">
        <v>6</v>
      </c>
      <c r="E984" s="564">
        <v>5</v>
      </c>
      <c r="F984" s="565" t="s">
        <v>24</v>
      </c>
      <c r="G984" s="563" t="s">
        <v>24</v>
      </c>
      <c r="H984" s="563" t="s">
        <v>212</v>
      </c>
      <c r="I984" s="573">
        <v>17486150000</v>
      </c>
    </row>
    <row r="985" spans="1:9" ht="16" x14ac:dyDescent="0.2">
      <c r="A985" s="567">
        <v>46058</v>
      </c>
      <c r="B985" s="568">
        <v>2026</v>
      </c>
      <c r="C985" s="569">
        <v>2</v>
      </c>
      <c r="D985" s="570">
        <v>6</v>
      </c>
      <c r="E985" s="570">
        <v>5</v>
      </c>
      <c r="F985" s="571" t="s">
        <v>67</v>
      </c>
      <c r="G985" s="569" t="s">
        <v>67</v>
      </c>
      <c r="H985" s="569" t="s">
        <v>213</v>
      </c>
      <c r="I985" s="574">
        <v>2698539865</v>
      </c>
    </row>
    <row r="986" spans="1:9" ht="16" x14ac:dyDescent="0.2">
      <c r="A986" s="561">
        <v>46058</v>
      </c>
      <c r="B986" s="562">
        <v>2026</v>
      </c>
      <c r="C986" s="563">
        <v>2</v>
      </c>
      <c r="D986" s="564">
        <v>6</v>
      </c>
      <c r="E986" s="564">
        <v>5</v>
      </c>
      <c r="F986" s="565" t="s">
        <v>28</v>
      </c>
      <c r="G986" s="563" t="s">
        <v>28</v>
      </c>
      <c r="H986" s="563" t="s">
        <v>214</v>
      </c>
      <c r="I986" s="573">
        <v>15818976000</v>
      </c>
    </row>
    <row r="987" spans="1:9" ht="16" x14ac:dyDescent="0.2">
      <c r="A987" s="567">
        <v>46058</v>
      </c>
      <c r="B987" s="568">
        <v>2026</v>
      </c>
      <c r="C987" s="569">
        <v>2</v>
      </c>
      <c r="D987" s="570">
        <v>6</v>
      </c>
      <c r="E987" s="570">
        <v>5</v>
      </c>
      <c r="F987" s="571" t="s">
        <v>208</v>
      </c>
      <c r="G987" s="569" t="s">
        <v>208</v>
      </c>
      <c r="H987" s="569" t="s">
        <v>216</v>
      </c>
      <c r="I987" s="574">
        <v>32709955</v>
      </c>
    </row>
    <row r="988" spans="1:9" ht="16" x14ac:dyDescent="0.2">
      <c r="A988" s="561">
        <v>46058</v>
      </c>
      <c r="B988" s="562">
        <v>2026</v>
      </c>
      <c r="C988" s="563">
        <v>2</v>
      </c>
      <c r="D988" s="564">
        <v>6</v>
      </c>
      <c r="E988" s="564">
        <v>5</v>
      </c>
      <c r="F988" s="565" t="s">
        <v>60</v>
      </c>
      <c r="G988" s="563" t="s">
        <v>60</v>
      </c>
      <c r="H988" s="563" t="s">
        <v>212</v>
      </c>
      <c r="I988" s="573">
        <v>0</v>
      </c>
    </row>
    <row r="989" spans="1:9" ht="16" x14ac:dyDescent="0.2">
      <c r="A989" s="567">
        <v>46058</v>
      </c>
      <c r="B989" s="568">
        <v>2026</v>
      </c>
      <c r="C989" s="569">
        <v>2</v>
      </c>
      <c r="D989" s="570">
        <v>6</v>
      </c>
      <c r="E989" s="570">
        <v>5</v>
      </c>
      <c r="F989" s="571" t="s">
        <v>36</v>
      </c>
      <c r="G989" s="569" t="s">
        <v>36</v>
      </c>
      <c r="H989" s="569" t="s">
        <v>212</v>
      </c>
      <c r="I989" s="574">
        <v>5183150000</v>
      </c>
    </row>
    <row r="990" spans="1:9" ht="16" x14ac:dyDescent="0.2">
      <c r="A990" s="561">
        <v>46058</v>
      </c>
      <c r="B990" s="562">
        <v>2026</v>
      </c>
      <c r="C990" s="563">
        <v>2</v>
      </c>
      <c r="D990" s="564">
        <v>6</v>
      </c>
      <c r="E990" s="564">
        <v>5</v>
      </c>
      <c r="F990" s="565" t="s">
        <v>55</v>
      </c>
      <c r="G990" s="563" t="s">
        <v>36</v>
      </c>
      <c r="H990" s="563" t="s">
        <v>212</v>
      </c>
      <c r="I990" s="573">
        <v>1484100000</v>
      </c>
    </row>
    <row r="991" spans="1:9" ht="16" x14ac:dyDescent="0.2">
      <c r="A991" s="567">
        <v>46058</v>
      </c>
      <c r="B991" s="568">
        <v>2026</v>
      </c>
      <c r="C991" s="569">
        <v>2</v>
      </c>
      <c r="D991" s="570">
        <v>6</v>
      </c>
      <c r="E991" s="570">
        <v>5</v>
      </c>
      <c r="F991" s="571" t="s">
        <v>176</v>
      </c>
      <c r="G991" s="569" t="s">
        <v>176</v>
      </c>
      <c r="H991" s="569" t="s">
        <v>216</v>
      </c>
      <c r="I991" s="574">
        <v>36740495</v>
      </c>
    </row>
    <row r="992" spans="1:9" ht="16" x14ac:dyDescent="0.2">
      <c r="A992" s="561">
        <v>46058</v>
      </c>
      <c r="B992" s="562">
        <v>2026</v>
      </c>
      <c r="C992" s="563">
        <v>2</v>
      </c>
      <c r="D992" s="564">
        <v>6</v>
      </c>
      <c r="E992" s="564">
        <v>5</v>
      </c>
      <c r="F992" s="565" t="s">
        <v>39</v>
      </c>
      <c r="G992" s="563" t="s">
        <v>176</v>
      </c>
      <c r="H992" s="563" t="s">
        <v>216</v>
      </c>
      <c r="I992" s="573">
        <v>3063895909</v>
      </c>
    </row>
    <row r="993" spans="1:9" ht="16" x14ac:dyDescent="0.2">
      <c r="A993" s="567">
        <v>46058</v>
      </c>
      <c r="B993" s="568">
        <v>2026</v>
      </c>
      <c r="C993" s="569">
        <v>2</v>
      </c>
      <c r="D993" s="570">
        <v>6</v>
      </c>
      <c r="E993" s="570">
        <v>5</v>
      </c>
      <c r="F993" s="571" t="s">
        <v>206</v>
      </c>
      <c r="G993" s="569" t="s">
        <v>206</v>
      </c>
      <c r="H993" s="569" t="s">
        <v>212</v>
      </c>
      <c r="I993" s="574">
        <v>0</v>
      </c>
    </row>
    <row r="994" spans="1:9" ht="16" x14ac:dyDescent="0.2">
      <c r="A994" s="561">
        <v>46058</v>
      </c>
      <c r="B994" s="562">
        <v>2026</v>
      </c>
      <c r="C994" s="563">
        <v>2</v>
      </c>
      <c r="D994" s="564">
        <v>6</v>
      </c>
      <c r="E994" s="564">
        <v>5</v>
      </c>
      <c r="F994" s="565" t="s">
        <v>64</v>
      </c>
      <c r="G994" s="563" t="s">
        <v>209</v>
      </c>
      <c r="H994" s="563" t="s">
        <v>212</v>
      </c>
      <c r="I994" s="573">
        <v>224600000</v>
      </c>
    </row>
    <row r="995" spans="1:9" ht="16" x14ac:dyDescent="0.2">
      <c r="A995" s="567">
        <v>46058</v>
      </c>
      <c r="B995" s="568">
        <v>2026</v>
      </c>
      <c r="C995" s="569">
        <v>2</v>
      </c>
      <c r="D995" s="570">
        <v>6</v>
      </c>
      <c r="E995" s="570">
        <v>5</v>
      </c>
      <c r="F995" s="571" t="s">
        <v>237</v>
      </c>
      <c r="G995" s="569" t="s">
        <v>209</v>
      </c>
      <c r="H995" s="569" t="s">
        <v>212</v>
      </c>
      <c r="I995" s="574">
        <v>83430000</v>
      </c>
    </row>
    <row r="996" spans="1:9" ht="16" x14ac:dyDescent="0.2">
      <c r="A996" s="561">
        <v>46058</v>
      </c>
      <c r="B996" s="562">
        <v>2026</v>
      </c>
      <c r="C996" s="563">
        <v>2</v>
      </c>
      <c r="D996" s="564">
        <v>6</v>
      </c>
      <c r="E996" s="564">
        <v>5</v>
      </c>
      <c r="F996" s="565" t="s">
        <v>11</v>
      </c>
      <c r="G996" s="563" t="s">
        <v>11</v>
      </c>
      <c r="H996" s="563" t="s">
        <v>212</v>
      </c>
      <c r="I996" s="573">
        <v>21361330000</v>
      </c>
    </row>
    <row r="997" spans="1:9" ht="16" x14ac:dyDescent="0.2">
      <c r="A997" s="567">
        <v>46058</v>
      </c>
      <c r="B997" s="568">
        <v>2026</v>
      </c>
      <c r="C997" s="569">
        <v>2</v>
      </c>
      <c r="D997" s="570">
        <v>6</v>
      </c>
      <c r="E997" s="570">
        <v>5</v>
      </c>
      <c r="F997" s="571" t="s">
        <v>221</v>
      </c>
      <c r="G997" s="569" t="s">
        <v>207</v>
      </c>
      <c r="H997" s="569" t="s">
        <v>212</v>
      </c>
      <c r="I997" s="574">
        <v>0</v>
      </c>
    </row>
    <row r="998" spans="1:9" ht="16" x14ac:dyDescent="0.2">
      <c r="A998" s="561">
        <v>46058</v>
      </c>
      <c r="B998" s="562">
        <v>2026</v>
      </c>
      <c r="C998" s="563">
        <v>2</v>
      </c>
      <c r="D998" s="564">
        <v>6</v>
      </c>
      <c r="E998" s="564">
        <v>5</v>
      </c>
      <c r="F998" s="565" t="s">
        <v>222</v>
      </c>
      <c r="G998" s="563" t="s">
        <v>207</v>
      </c>
      <c r="H998" s="563" t="s">
        <v>212</v>
      </c>
      <c r="I998" s="573">
        <v>0</v>
      </c>
    </row>
    <row r="999" spans="1:9" ht="16" x14ac:dyDescent="0.2">
      <c r="A999" s="567">
        <v>46058</v>
      </c>
      <c r="B999" s="568">
        <v>2026</v>
      </c>
      <c r="C999" s="569">
        <v>2</v>
      </c>
      <c r="D999" s="570">
        <v>6</v>
      </c>
      <c r="E999" s="570">
        <v>5</v>
      </c>
      <c r="F999" s="571" t="s">
        <v>223</v>
      </c>
      <c r="G999" s="569" t="s">
        <v>207</v>
      </c>
      <c r="H999" s="569" t="s">
        <v>212</v>
      </c>
      <c r="I999" s="574">
        <v>0</v>
      </c>
    </row>
    <row r="1000" spans="1:9" ht="16" x14ac:dyDescent="0.2">
      <c r="A1000" s="561">
        <v>46058</v>
      </c>
      <c r="B1000" s="562">
        <v>2026</v>
      </c>
      <c r="C1000" s="563">
        <v>2</v>
      </c>
      <c r="D1000" s="564">
        <v>6</v>
      </c>
      <c r="E1000" s="564">
        <v>5</v>
      </c>
      <c r="F1000" s="565" t="s">
        <v>219</v>
      </c>
      <c r="G1000" s="563" t="s">
        <v>11</v>
      </c>
      <c r="H1000" s="563" t="s">
        <v>212</v>
      </c>
      <c r="I1000" s="573">
        <v>12000000</v>
      </c>
    </row>
    <row r="1001" spans="1:9" ht="16" x14ac:dyDescent="0.2">
      <c r="A1001" s="567">
        <v>46058</v>
      </c>
      <c r="B1001" s="568">
        <v>2026</v>
      </c>
      <c r="C1001" s="569">
        <v>2</v>
      </c>
      <c r="D1001" s="570">
        <v>6</v>
      </c>
      <c r="E1001" s="570">
        <v>5</v>
      </c>
      <c r="F1001" s="571" t="s">
        <v>19</v>
      </c>
      <c r="G1001" s="569" t="s">
        <v>19</v>
      </c>
      <c r="H1001" s="569" t="s">
        <v>214</v>
      </c>
      <c r="I1001" s="574">
        <v>11701584000</v>
      </c>
    </row>
    <row r="1002" spans="1:9" ht="16" x14ac:dyDescent="0.2">
      <c r="A1002" s="561">
        <v>46058</v>
      </c>
      <c r="B1002" s="562">
        <v>2026</v>
      </c>
      <c r="C1002" s="563">
        <v>2</v>
      </c>
      <c r="D1002" s="564">
        <v>6</v>
      </c>
      <c r="E1002" s="564">
        <v>5</v>
      </c>
      <c r="F1002" s="565" t="s">
        <v>62</v>
      </c>
      <c r="G1002" s="563" t="s">
        <v>62</v>
      </c>
      <c r="H1002" s="563" t="s">
        <v>216</v>
      </c>
      <c r="I1002" s="573">
        <v>493844603</v>
      </c>
    </row>
    <row r="1003" spans="1:9" ht="16" x14ac:dyDescent="0.2">
      <c r="A1003" s="567">
        <v>46058</v>
      </c>
      <c r="B1003" s="568">
        <v>2026</v>
      </c>
      <c r="C1003" s="569">
        <v>2</v>
      </c>
      <c r="D1003" s="570">
        <v>6</v>
      </c>
      <c r="E1003" s="570">
        <v>5</v>
      </c>
      <c r="F1003" s="571" t="s">
        <v>58</v>
      </c>
      <c r="G1003" s="569" t="s">
        <v>58</v>
      </c>
      <c r="H1003" s="569" t="s">
        <v>212</v>
      </c>
      <c r="I1003" s="574">
        <v>89250000</v>
      </c>
    </row>
    <row r="1004" spans="1:9" ht="16" x14ac:dyDescent="0.2">
      <c r="A1004" s="561">
        <v>46058</v>
      </c>
      <c r="B1004" s="562">
        <v>2026</v>
      </c>
      <c r="C1004" s="563">
        <v>2</v>
      </c>
      <c r="D1004" s="564">
        <v>6</v>
      </c>
      <c r="E1004" s="564">
        <v>5</v>
      </c>
      <c r="F1004" s="565" t="s">
        <v>61</v>
      </c>
      <c r="G1004" s="563" t="s">
        <v>61</v>
      </c>
      <c r="H1004" s="563" t="s">
        <v>214</v>
      </c>
      <c r="I1004" s="573">
        <v>36000000</v>
      </c>
    </row>
    <row r="1005" spans="1:9" ht="16" x14ac:dyDescent="0.2">
      <c r="A1005" s="567">
        <v>46058</v>
      </c>
      <c r="B1005" s="568">
        <v>2026</v>
      </c>
      <c r="C1005" s="569">
        <v>2</v>
      </c>
      <c r="D1005" s="570">
        <v>6</v>
      </c>
      <c r="E1005" s="570">
        <v>5</v>
      </c>
      <c r="F1005" s="571" t="s">
        <v>57</v>
      </c>
      <c r="G1005" s="569" t="s">
        <v>57</v>
      </c>
      <c r="H1005" s="569" t="s">
        <v>212</v>
      </c>
      <c r="I1005" s="574">
        <v>1285590000</v>
      </c>
    </row>
    <row r="1006" spans="1:9" ht="16" x14ac:dyDescent="0.2">
      <c r="A1006" s="561">
        <v>46058</v>
      </c>
      <c r="B1006" s="562">
        <v>2026</v>
      </c>
      <c r="C1006" s="563">
        <v>2</v>
      </c>
      <c r="D1006" s="564">
        <v>6</v>
      </c>
      <c r="E1006" s="564">
        <v>5</v>
      </c>
      <c r="F1006" s="565" t="s">
        <v>63</v>
      </c>
      <c r="G1006" s="563" t="s">
        <v>63</v>
      </c>
      <c r="H1006" s="563" t="s">
        <v>214</v>
      </c>
      <c r="I1006" s="573">
        <v>389124000</v>
      </c>
    </row>
    <row r="1007" spans="1:9" ht="16" x14ac:dyDescent="0.2">
      <c r="A1007" s="567">
        <v>46058</v>
      </c>
      <c r="B1007" s="568">
        <v>2026</v>
      </c>
      <c r="C1007" s="569">
        <v>2</v>
      </c>
      <c r="D1007" s="570">
        <v>6</v>
      </c>
      <c r="E1007" s="570">
        <v>5</v>
      </c>
      <c r="F1007" s="571" t="s">
        <v>59</v>
      </c>
      <c r="G1007" s="569" t="s">
        <v>59</v>
      </c>
      <c r="H1007" s="569" t="s">
        <v>216</v>
      </c>
      <c r="I1007" s="574">
        <v>1245454476</v>
      </c>
    </row>
    <row r="1008" spans="1:9" ht="16" x14ac:dyDescent="0.2">
      <c r="A1008" s="561">
        <v>46058</v>
      </c>
      <c r="B1008" s="562">
        <v>2026</v>
      </c>
      <c r="C1008" s="563">
        <v>2</v>
      </c>
      <c r="D1008" s="564">
        <v>6</v>
      </c>
      <c r="E1008" s="564">
        <v>5</v>
      </c>
      <c r="F1008" s="565" t="s">
        <v>31</v>
      </c>
      <c r="G1008" s="563" t="s">
        <v>175</v>
      </c>
      <c r="H1008" s="563" t="s">
        <v>212</v>
      </c>
      <c r="I1008" s="573">
        <v>4212850000</v>
      </c>
    </row>
    <row r="1009" spans="1:9" ht="16" x14ac:dyDescent="0.2">
      <c r="A1009" s="567">
        <v>46058</v>
      </c>
      <c r="B1009" s="568">
        <v>2026</v>
      </c>
      <c r="C1009" s="569">
        <v>2</v>
      </c>
      <c r="D1009" s="570">
        <v>6</v>
      </c>
      <c r="E1009" s="570">
        <v>5</v>
      </c>
      <c r="F1009" s="571" t="s">
        <v>234</v>
      </c>
      <c r="G1009" s="569" t="s">
        <v>210</v>
      </c>
      <c r="H1009" s="569" t="s">
        <v>214</v>
      </c>
      <c r="I1009" s="574">
        <v>664920000</v>
      </c>
    </row>
    <row r="1010" spans="1:9" ht="16" x14ac:dyDescent="0.2">
      <c r="A1010" s="561">
        <v>46059</v>
      </c>
      <c r="B1010" s="562">
        <v>2026</v>
      </c>
      <c r="C1010" s="563">
        <v>2</v>
      </c>
      <c r="D1010" s="564">
        <v>6</v>
      </c>
      <c r="E1010" s="564">
        <v>6</v>
      </c>
      <c r="F1010" s="565" t="s">
        <v>65</v>
      </c>
      <c r="G1010" s="563" t="s">
        <v>65</v>
      </c>
      <c r="H1010" s="563" t="s">
        <v>212</v>
      </c>
      <c r="I1010" s="573">
        <v>727650000</v>
      </c>
    </row>
    <row r="1011" spans="1:9" ht="16" x14ac:dyDescent="0.2">
      <c r="A1011" s="567">
        <v>46059</v>
      </c>
      <c r="B1011" s="568">
        <v>2026</v>
      </c>
      <c r="C1011" s="569">
        <v>2</v>
      </c>
      <c r="D1011" s="570">
        <v>6</v>
      </c>
      <c r="E1011" s="570">
        <v>6</v>
      </c>
      <c r="F1011" s="571" t="s">
        <v>66</v>
      </c>
      <c r="G1011" s="569" t="s">
        <v>66</v>
      </c>
      <c r="H1011" s="569" t="s">
        <v>216</v>
      </c>
      <c r="I1011" s="574">
        <v>492312958</v>
      </c>
    </row>
    <row r="1012" spans="1:9" ht="16" x14ac:dyDescent="0.2">
      <c r="A1012" s="561">
        <v>46059</v>
      </c>
      <c r="B1012" s="562">
        <v>2026</v>
      </c>
      <c r="C1012" s="563">
        <v>2</v>
      </c>
      <c r="D1012" s="564">
        <v>6</v>
      </c>
      <c r="E1012" s="564">
        <v>6</v>
      </c>
      <c r="F1012" s="565" t="s">
        <v>24</v>
      </c>
      <c r="G1012" s="563" t="s">
        <v>24</v>
      </c>
      <c r="H1012" s="563" t="s">
        <v>212</v>
      </c>
      <c r="I1012" s="573">
        <v>15259600000</v>
      </c>
    </row>
    <row r="1013" spans="1:9" ht="16" x14ac:dyDescent="0.2">
      <c r="A1013" s="567">
        <v>46059</v>
      </c>
      <c r="B1013" s="568">
        <v>2026</v>
      </c>
      <c r="C1013" s="569">
        <v>2</v>
      </c>
      <c r="D1013" s="570">
        <v>6</v>
      </c>
      <c r="E1013" s="570">
        <v>6</v>
      </c>
      <c r="F1013" s="571" t="s">
        <v>67</v>
      </c>
      <c r="G1013" s="569" t="s">
        <v>67</v>
      </c>
      <c r="H1013" s="569" t="s">
        <v>213</v>
      </c>
      <c r="I1013" s="574">
        <v>2270716822</v>
      </c>
    </row>
    <row r="1014" spans="1:9" ht="16" x14ac:dyDescent="0.2">
      <c r="A1014" s="561">
        <v>46059</v>
      </c>
      <c r="B1014" s="562">
        <v>2026</v>
      </c>
      <c r="C1014" s="563">
        <v>2</v>
      </c>
      <c r="D1014" s="564">
        <v>6</v>
      </c>
      <c r="E1014" s="564">
        <v>6</v>
      </c>
      <c r="F1014" s="565" t="s">
        <v>28</v>
      </c>
      <c r="G1014" s="563" t="s">
        <v>28</v>
      </c>
      <c r="H1014" s="563" t="s">
        <v>214</v>
      </c>
      <c r="I1014" s="573">
        <v>12956112000</v>
      </c>
    </row>
    <row r="1015" spans="1:9" ht="16" x14ac:dyDescent="0.2">
      <c r="A1015" s="567">
        <v>46059</v>
      </c>
      <c r="B1015" s="568">
        <v>2026</v>
      </c>
      <c r="C1015" s="569">
        <v>2</v>
      </c>
      <c r="D1015" s="570">
        <v>6</v>
      </c>
      <c r="E1015" s="570">
        <v>6</v>
      </c>
      <c r="F1015" s="571" t="s">
        <v>208</v>
      </c>
      <c r="G1015" s="569" t="s">
        <v>208</v>
      </c>
      <c r="H1015" s="569" t="s">
        <v>216</v>
      </c>
      <c r="I1015" s="574">
        <v>18243965</v>
      </c>
    </row>
    <row r="1016" spans="1:9" ht="16" x14ac:dyDescent="0.2">
      <c r="A1016" s="561">
        <v>46059</v>
      </c>
      <c r="B1016" s="562">
        <v>2026</v>
      </c>
      <c r="C1016" s="563">
        <v>2</v>
      </c>
      <c r="D1016" s="564">
        <v>6</v>
      </c>
      <c r="E1016" s="564">
        <v>6</v>
      </c>
      <c r="F1016" s="565" t="s">
        <v>60</v>
      </c>
      <c r="G1016" s="563" t="s">
        <v>60</v>
      </c>
      <c r="H1016" s="563" t="s">
        <v>212</v>
      </c>
      <c r="I1016" s="573">
        <v>180000000</v>
      </c>
    </row>
    <row r="1017" spans="1:9" ht="16" x14ac:dyDescent="0.2">
      <c r="A1017" s="567">
        <v>46059</v>
      </c>
      <c r="B1017" s="568">
        <v>2026</v>
      </c>
      <c r="C1017" s="569">
        <v>2</v>
      </c>
      <c r="D1017" s="570">
        <v>6</v>
      </c>
      <c r="E1017" s="570">
        <v>6</v>
      </c>
      <c r="F1017" s="571" t="s">
        <v>36</v>
      </c>
      <c r="G1017" s="569" t="s">
        <v>36</v>
      </c>
      <c r="H1017" s="569" t="s">
        <v>212</v>
      </c>
      <c r="I1017" s="574">
        <v>5397880000</v>
      </c>
    </row>
    <row r="1018" spans="1:9" ht="16" x14ac:dyDescent="0.2">
      <c r="A1018" s="561">
        <v>46059</v>
      </c>
      <c r="B1018" s="562">
        <v>2026</v>
      </c>
      <c r="C1018" s="563">
        <v>2</v>
      </c>
      <c r="D1018" s="564">
        <v>6</v>
      </c>
      <c r="E1018" s="564">
        <v>6</v>
      </c>
      <c r="F1018" s="565" t="s">
        <v>55</v>
      </c>
      <c r="G1018" s="563" t="s">
        <v>36</v>
      </c>
      <c r="H1018" s="563" t="s">
        <v>212</v>
      </c>
      <c r="I1018" s="573">
        <v>1229070000</v>
      </c>
    </row>
    <row r="1019" spans="1:9" ht="16" x14ac:dyDescent="0.2">
      <c r="A1019" s="567">
        <v>46059</v>
      </c>
      <c r="B1019" s="568">
        <v>2026</v>
      </c>
      <c r="C1019" s="569">
        <v>2</v>
      </c>
      <c r="D1019" s="570">
        <v>6</v>
      </c>
      <c r="E1019" s="570">
        <v>6</v>
      </c>
      <c r="F1019" s="571" t="s">
        <v>176</v>
      </c>
      <c r="G1019" s="569" t="s">
        <v>176</v>
      </c>
      <c r="H1019" s="569" t="s">
        <v>216</v>
      </c>
      <c r="I1019" s="574">
        <v>15583492</v>
      </c>
    </row>
    <row r="1020" spans="1:9" ht="16" x14ac:dyDescent="0.2">
      <c r="A1020" s="561">
        <v>46059</v>
      </c>
      <c r="B1020" s="562">
        <v>2026</v>
      </c>
      <c r="C1020" s="563">
        <v>2</v>
      </c>
      <c r="D1020" s="564">
        <v>6</v>
      </c>
      <c r="E1020" s="564">
        <v>6</v>
      </c>
      <c r="F1020" s="565" t="s">
        <v>39</v>
      </c>
      <c r="G1020" s="563" t="s">
        <v>176</v>
      </c>
      <c r="H1020" s="563" t="s">
        <v>216</v>
      </c>
      <c r="I1020" s="573">
        <v>2896477859</v>
      </c>
    </row>
    <row r="1021" spans="1:9" ht="16" x14ac:dyDescent="0.2">
      <c r="A1021" s="567">
        <v>46059</v>
      </c>
      <c r="B1021" s="568">
        <v>2026</v>
      </c>
      <c r="C1021" s="569">
        <v>2</v>
      </c>
      <c r="D1021" s="570">
        <v>6</v>
      </c>
      <c r="E1021" s="570">
        <v>6</v>
      </c>
      <c r="F1021" s="571" t="s">
        <v>206</v>
      </c>
      <c r="G1021" s="569" t="s">
        <v>206</v>
      </c>
      <c r="H1021" s="569" t="s">
        <v>212</v>
      </c>
      <c r="I1021" s="574">
        <v>0</v>
      </c>
    </row>
    <row r="1022" spans="1:9" ht="16" x14ac:dyDescent="0.2">
      <c r="A1022" s="561">
        <v>46059</v>
      </c>
      <c r="B1022" s="562">
        <v>2026</v>
      </c>
      <c r="C1022" s="563">
        <v>2</v>
      </c>
      <c r="D1022" s="564">
        <v>6</v>
      </c>
      <c r="E1022" s="564">
        <v>6</v>
      </c>
      <c r="F1022" s="565" t="s">
        <v>64</v>
      </c>
      <c r="G1022" s="563" t="s">
        <v>209</v>
      </c>
      <c r="H1022" s="563" t="s">
        <v>212</v>
      </c>
      <c r="I1022" s="573">
        <v>77250000</v>
      </c>
    </row>
    <row r="1023" spans="1:9" ht="16" x14ac:dyDescent="0.2">
      <c r="A1023" s="567">
        <v>46059</v>
      </c>
      <c r="B1023" s="568">
        <v>2026</v>
      </c>
      <c r="C1023" s="569">
        <v>2</v>
      </c>
      <c r="D1023" s="570">
        <v>6</v>
      </c>
      <c r="E1023" s="570">
        <v>6</v>
      </c>
      <c r="F1023" s="571" t="s">
        <v>237</v>
      </c>
      <c r="G1023" s="569" t="s">
        <v>209</v>
      </c>
      <c r="H1023" s="569" t="s">
        <v>212</v>
      </c>
      <c r="I1023" s="574">
        <v>30900000</v>
      </c>
    </row>
    <row r="1024" spans="1:9" ht="16" x14ac:dyDescent="0.2">
      <c r="A1024" s="561">
        <v>46059</v>
      </c>
      <c r="B1024" s="562">
        <v>2026</v>
      </c>
      <c r="C1024" s="563">
        <v>2</v>
      </c>
      <c r="D1024" s="564">
        <v>6</v>
      </c>
      <c r="E1024" s="564">
        <v>6</v>
      </c>
      <c r="F1024" s="565" t="s">
        <v>11</v>
      </c>
      <c r="G1024" s="563" t="s">
        <v>11</v>
      </c>
      <c r="H1024" s="563" t="s">
        <v>212</v>
      </c>
      <c r="I1024" s="573">
        <v>17838890000</v>
      </c>
    </row>
    <row r="1025" spans="1:9" ht="16" x14ac:dyDescent="0.2">
      <c r="A1025" s="567">
        <v>46059</v>
      </c>
      <c r="B1025" s="568">
        <v>2026</v>
      </c>
      <c r="C1025" s="569">
        <v>2</v>
      </c>
      <c r="D1025" s="570">
        <v>6</v>
      </c>
      <c r="E1025" s="570">
        <v>6</v>
      </c>
      <c r="F1025" s="571" t="s">
        <v>221</v>
      </c>
      <c r="G1025" s="569" t="s">
        <v>207</v>
      </c>
      <c r="H1025" s="569" t="s">
        <v>212</v>
      </c>
      <c r="I1025" s="574">
        <v>0</v>
      </c>
    </row>
    <row r="1026" spans="1:9" ht="16" x14ac:dyDescent="0.2">
      <c r="A1026" s="561">
        <v>46059</v>
      </c>
      <c r="B1026" s="562">
        <v>2026</v>
      </c>
      <c r="C1026" s="563">
        <v>2</v>
      </c>
      <c r="D1026" s="564">
        <v>6</v>
      </c>
      <c r="E1026" s="564">
        <v>6</v>
      </c>
      <c r="F1026" s="565" t="s">
        <v>222</v>
      </c>
      <c r="G1026" s="563" t="s">
        <v>207</v>
      </c>
      <c r="H1026" s="563" t="s">
        <v>212</v>
      </c>
      <c r="I1026" s="573">
        <v>0</v>
      </c>
    </row>
    <row r="1027" spans="1:9" ht="16" x14ac:dyDescent="0.2">
      <c r="A1027" s="567">
        <v>46059</v>
      </c>
      <c r="B1027" s="568">
        <v>2026</v>
      </c>
      <c r="C1027" s="569">
        <v>2</v>
      </c>
      <c r="D1027" s="570">
        <v>6</v>
      </c>
      <c r="E1027" s="570">
        <v>6</v>
      </c>
      <c r="F1027" s="571" t="s">
        <v>223</v>
      </c>
      <c r="G1027" s="569" t="s">
        <v>207</v>
      </c>
      <c r="H1027" s="569" t="s">
        <v>212</v>
      </c>
      <c r="I1027" s="574">
        <v>0</v>
      </c>
    </row>
    <row r="1028" spans="1:9" ht="16" x14ac:dyDescent="0.2">
      <c r="A1028" s="561">
        <v>46059</v>
      </c>
      <c r="B1028" s="562">
        <v>2026</v>
      </c>
      <c r="C1028" s="563">
        <v>2</v>
      </c>
      <c r="D1028" s="564">
        <v>6</v>
      </c>
      <c r="E1028" s="564">
        <v>6</v>
      </c>
      <c r="F1028" s="565" t="s">
        <v>219</v>
      </c>
      <c r="G1028" s="563" t="s">
        <v>11</v>
      </c>
      <c r="H1028" s="563" t="s">
        <v>212</v>
      </c>
      <c r="I1028" s="573">
        <v>0</v>
      </c>
    </row>
    <row r="1029" spans="1:9" ht="16" x14ac:dyDescent="0.2">
      <c r="A1029" s="567">
        <v>46059</v>
      </c>
      <c r="B1029" s="568">
        <v>2026</v>
      </c>
      <c r="C1029" s="569">
        <v>2</v>
      </c>
      <c r="D1029" s="570">
        <v>6</v>
      </c>
      <c r="E1029" s="570">
        <v>6</v>
      </c>
      <c r="F1029" s="571" t="s">
        <v>19</v>
      </c>
      <c r="G1029" s="569" t="s">
        <v>19</v>
      </c>
      <c r="H1029" s="569" t="s">
        <v>214</v>
      </c>
      <c r="I1029" s="574">
        <v>11124540000</v>
      </c>
    </row>
    <row r="1030" spans="1:9" ht="16" x14ac:dyDescent="0.2">
      <c r="A1030" s="561">
        <v>46059</v>
      </c>
      <c r="B1030" s="562">
        <v>2026</v>
      </c>
      <c r="C1030" s="563">
        <v>2</v>
      </c>
      <c r="D1030" s="564">
        <v>6</v>
      </c>
      <c r="E1030" s="564">
        <v>6</v>
      </c>
      <c r="F1030" s="565" t="s">
        <v>62</v>
      </c>
      <c r="G1030" s="563" t="s">
        <v>62</v>
      </c>
      <c r="H1030" s="563" t="s">
        <v>216</v>
      </c>
      <c r="I1030" s="573">
        <v>345731246</v>
      </c>
    </row>
    <row r="1031" spans="1:9" ht="16" x14ac:dyDescent="0.2">
      <c r="A1031" s="567">
        <v>46059</v>
      </c>
      <c r="B1031" s="568">
        <v>2026</v>
      </c>
      <c r="C1031" s="569">
        <v>2</v>
      </c>
      <c r="D1031" s="570">
        <v>6</v>
      </c>
      <c r="E1031" s="570">
        <v>6</v>
      </c>
      <c r="F1031" s="571" t="s">
        <v>58</v>
      </c>
      <c r="G1031" s="569" t="s">
        <v>58</v>
      </c>
      <c r="H1031" s="569" t="s">
        <v>212</v>
      </c>
      <c r="I1031" s="574">
        <v>42000000</v>
      </c>
    </row>
    <row r="1032" spans="1:9" ht="16" x14ac:dyDescent="0.2">
      <c r="A1032" s="561">
        <v>46059</v>
      </c>
      <c r="B1032" s="562">
        <v>2026</v>
      </c>
      <c r="C1032" s="563">
        <v>2</v>
      </c>
      <c r="D1032" s="564">
        <v>6</v>
      </c>
      <c r="E1032" s="564">
        <v>6</v>
      </c>
      <c r="F1032" s="565" t="s">
        <v>61</v>
      </c>
      <c r="G1032" s="563" t="s">
        <v>61</v>
      </c>
      <c r="H1032" s="563" t="s">
        <v>214</v>
      </c>
      <c r="I1032" s="573">
        <v>34000000</v>
      </c>
    </row>
    <row r="1033" spans="1:9" ht="16" x14ac:dyDescent="0.2">
      <c r="A1033" s="567">
        <v>46059</v>
      </c>
      <c r="B1033" s="568">
        <v>2026</v>
      </c>
      <c r="C1033" s="569">
        <v>2</v>
      </c>
      <c r="D1033" s="570">
        <v>6</v>
      </c>
      <c r="E1033" s="570">
        <v>6</v>
      </c>
      <c r="F1033" s="571" t="s">
        <v>57</v>
      </c>
      <c r="G1033" s="569" t="s">
        <v>57</v>
      </c>
      <c r="H1033" s="569" t="s">
        <v>212</v>
      </c>
      <c r="I1033" s="574">
        <v>909210000</v>
      </c>
    </row>
    <row r="1034" spans="1:9" ht="16" x14ac:dyDescent="0.2">
      <c r="A1034" s="561">
        <v>46059</v>
      </c>
      <c r="B1034" s="562">
        <v>2026</v>
      </c>
      <c r="C1034" s="563">
        <v>2</v>
      </c>
      <c r="D1034" s="564">
        <v>6</v>
      </c>
      <c r="E1034" s="564">
        <v>6</v>
      </c>
      <c r="F1034" s="565" t="s">
        <v>63</v>
      </c>
      <c r="G1034" s="563" t="s">
        <v>63</v>
      </c>
      <c r="H1034" s="563" t="s">
        <v>214</v>
      </c>
      <c r="I1034" s="573">
        <v>338796000</v>
      </c>
    </row>
    <row r="1035" spans="1:9" ht="16" x14ac:dyDescent="0.2">
      <c r="A1035" s="567">
        <v>46059</v>
      </c>
      <c r="B1035" s="568">
        <v>2026</v>
      </c>
      <c r="C1035" s="569">
        <v>2</v>
      </c>
      <c r="D1035" s="570">
        <v>6</v>
      </c>
      <c r="E1035" s="570">
        <v>6</v>
      </c>
      <c r="F1035" s="571" t="s">
        <v>59</v>
      </c>
      <c r="G1035" s="569" t="s">
        <v>59</v>
      </c>
      <c r="H1035" s="569" t="s">
        <v>216</v>
      </c>
      <c r="I1035" s="574">
        <v>675299337</v>
      </c>
    </row>
    <row r="1036" spans="1:9" ht="16" x14ac:dyDescent="0.2">
      <c r="A1036" s="561">
        <v>46059</v>
      </c>
      <c r="B1036" s="562">
        <v>2026</v>
      </c>
      <c r="C1036" s="563">
        <v>2</v>
      </c>
      <c r="D1036" s="564">
        <v>6</v>
      </c>
      <c r="E1036" s="564">
        <v>6</v>
      </c>
      <c r="F1036" s="565" t="s">
        <v>31</v>
      </c>
      <c r="G1036" s="563" t="s">
        <v>175</v>
      </c>
      <c r="H1036" s="563" t="s">
        <v>212</v>
      </c>
      <c r="I1036" s="573">
        <v>4966990000</v>
      </c>
    </row>
    <row r="1037" spans="1:9" ht="16" x14ac:dyDescent="0.2">
      <c r="A1037" s="567">
        <v>46059</v>
      </c>
      <c r="B1037" s="568">
        <v>2026</v>
      </c>
      <c r="C1037" s="569">
        <v>2</v>
      </c>
      <c r="D1037" s="570">
        <v>6</v>
      </c>
      <c r="E1037" s="570">
        <v>6</v>
      </c>
      <c r="F1037" s="571" t="s">
        <v>234</v>
      </c>
      <c r="G1037" s="569" t="s">
        <v>210</v>
      </c>
      <c r="H1037" s="569" t="s">
        <v>214</v>
      </c>
      <c r="I1037" s="574">
        <v>396560000</v>
      </c>
    </row>
    <row r="1038" spans="1:9" ht="16" x14ac:dyDescent="0.2">
      <c r="A1038" s="561">
        <v>46060</v>
      </c>
      <c r="B1038" s="562">
        <v>2026</v>
      </c>
      <c r="C1038" s="563">
        <v>2</v>
      </c>
      <c r="D1038" s="564">
        <v>6</v>
      </c>
      <c r="E1038" s="564">
        <v>7</v>
      </c>
      <c r="F1038" s="565" t="s">
        <v>65</v>
      </c>
      <c r="G1038" s="563" t="s">
        <v>65</v>
      </c>
      <c r="H1038" s="563" t="s">
        <v>212</v>
      </c>
      <c r="I1038" s="573">
        <v>668900000</v>
      </c>
    </row>
    <row r="1039" spans="1:9" ht="16" x14ac:dyDescent="0.2">
      <c r="A1039" s="567">
        <v>46060</v>
      </c>
      <c r="B1039" s="568">
        <v>2026</v>
      </c>
      <c r="C1039" s="569">
        <v>2</v>
      </c>
      <c r="D1039" s="570">
        <v>6</v>
      </c>
      <c r="E1039" s="570">
        <v>7</v>
      </c>
      <c r="F1039" s="571" t="s">
        <v>66</v>
      </c>
      <c r="G1039" s="569" t="s">
        <v>66</v>
      </c>
      <c r="H1039" s="569" t="s">
        <v>216</v>
      </c>
      <c r="I1039" s="574">
        <v>459868095</v>
      </c>
    </row>
    <row r="1040" spans="1:9" ht="16" x14ac:dyDescent="0.2">
      <c r="A1040" s="561">
        <v>46060</v>
      </c>
      <c r="B1040" s="562">
        <v>2026</v>
      </c>
      <c r="C1040" s="563">
        <v>2</v>
      </c>
      <c r="D1040" s="564">
        <v>6</v>
      </c>
      <c r="E1040" s="564">
        <v>7</v>
      </c>
      <c r="F1040" s="565" t="s">
        <v>24</v>
      </c>
      <c r="G1040" s="563" t="s">
        <v>24</v>
      </c>
      <c r="H1040" s="563" t="s">
        <v>212</v>
      </c>
      <c r="I1040" s="573">
        <v>12618190000</v>
      </c>
    </row>
    <row r="1041" spans="1:9" ht="16" x14ac:dyDescent="0.2">
      <c r="A1041" s="567">
        <v>46060</v>
      </c>
      <c r="B1041" s="568">
        <v>2026</v>
      </c>
      <c r="C1041" s="569">
        <v>2</v>
      </c>
      <c r="D1041" s="570">
        <v>6</v>
      </c>
      <c r="E1041" s="570">
        <v>7</v>
      </c>
      <c r="F1041" s="571" t="s">
        <v>67</v>
      </c>
      <c r="G1041" s="569" t="s">
        <v>67</v>
      </c>
      <c r="H1041" s="569" t="s">
        <v>213</v>
      </c>
      <c r="I1041" s="574">
        <v>1749838140</v>
      </c>
    </row>
    <row r="1042" spans="1:9" ht="16" x14ac:dyDescent="0.2">
      <c r="A1042" s="561">
        <v>46060</v>
      </c>
      <c r="B1042" s="562">
        <v>2026</v>
      </c>
      <c r="C1042" s="563">
        <v>2</v>
      </c>
      <c r="D1042" s="564">
        <v>6</v>
      </c>
      <c r="E1042" s="564">
        <v>7</v>
      </c>
      <c r="F1042" s="565" t="s">
        <v>28</v>
      </c>
      <c r="G1042" s="563" t="s">
        <v>28</v>
      </c>
      <c r="H1042" s="563" t="s">
        <v>214</v>
      </c>
      <c r="I1042" s="573">
        <v>12065004000</v>
      </c>
    </row>
    <row r="1043" spans="1:9" ht="16" x14ac:dyDescent="0.2">
      <c r="A1043" s="567">
        <v>46060</v>
      </c>
      <c r="B1043" s="568">
        <v>2026</v>
      </c>
      <c r="C1043" s="569">
        <v>2</v>
      </c>
      <c r="D1043" s="570">
        <v>6</v>
      </c>
      <c r="E1043" s="570">
        <v>7</v>
      </c>
      <c r="F1043" s="571" t="s">
        <v>208</v>
      </c>
      <c r="G1043" s="569" t="s">
        <v>208</v>
      </c>
      <c r="H1043" s="569" t="s">
        <v>216</v>
      </c>
      <c r="I1043" s="574">
        <v>29974937</v>
      </c>
    </row>
    <row r="1044" spans="1:9" ht="16" x14ac:dyDescent="0.2">
      <c r="A1044" s="561">
        <v>46060</v>
      </c>
      <c r="B1044" s="562">
        <v>2026</v>
      </c>
      <c r="C1044" s="563">
        <v>2</v>
      </c>
      <c r="D1044" s="564">
        <v>6</v>
      </c>
      <c r="E1044" s="564">
        <v>7</v>
      </c>
      <c r="F1044" s="565" t="s">
        <v>60</v>
      </c>
      <c r="G1044" s="563" t="s">
        <v>60</v>
      </c>
      <c r="H1044" s="563" t="s">
        <v>212</v>
      </c>
      <c r="I1044" s="573">
        <v>0</v>
      </c>
    </row>
    <row r="1045" spans="1:9" ht="16" x14ac:dyDescent="0.2">
      <c r="A1045" s="567">
        <v>46060</v>
      </c>
      <c r="B1045" s="568">
        <v>2026</v>
      </c>
      <c r="C1045" s="569">
        <v>2</v>
      </c>
      <c r="D1045" s="570">
        <v>6</v>
      </c>
      <c r="E1045" s="570">
        <v>7</v>
      </c>
      <c r="F1045" s="571" t="s">
        <v>36</v>
      </c>
      <c r="G1045" s="569" t="s">
        <v>36</v>
      </c>
      <c r="H1045" s="569" t="s">
        <v>212</v>
      </c>
      <c r="I1045" s="574">
        <v>4912210000</v>
      </c>
    </row>
    <row r="1046" spans="1:9" ht="16" x14ac:dyDescent="0.2">
      <c r="A1046" s="561">
        <v>46060</v>
      </c>
      <c r="B1046" s="562">
        <v>2026</v>
      </c>
      <c r="C1046" s="563">
        <v>2</v>
      </c>
      <c r="D1046" s="564">
        <v>6</v>
      </c>
      <c r="E1046" s="564">
        <v>7</v>
      </c>
      <c r="F1046" s="565" t="s">
        <v>55</v>
      </c>
      <c r="G1046" s="563" t="s">
        <v>36</v>
      </c>
      <c r="H1046" s="563" t="s">
        <v>212</v>
      </c>
      <c r="I1046" s="573">
        <v>1137190000</v>
      </c>
    </row>
    <row r="1047" spans="1:9" ht="16" x14ac:dyDescent="0.2">
      <c r="A1047" s="567">
        <v>46060</v>
      </c>
      <c r="B1047" s="568">
        <v>2026</v>
      </c>
      <c r="C1047" s="569">
        <v>2</v>
      </c>
      <c r="D1047" s="570">
        <v>6</v>
      </c>
      <c r="E1047" s="570">
        <v>7</v>
      </c>
      <c r="F1047" s="571" t="s">
        <v>176</v>
      </c>
      <c r="G1047" s="569" t="s">
        <v>176</v>
      </c>
      <c r="H1047" s="569" t="s">
        <v>216</v>
      </c>
      <c r="I1047" s="574">
        <v>18099098</v>
      </c>
    </row>
    <row r="1048" spans="1:9" ht="16" x14ac:dyDescent="0.2">
      <c r="A1048" s="561">
        <v>46060</v>
      </c>
      <c r="B1048" s="562">
        <v>2026</v>
      </c>
      <c r="C1048" s="563">
        <v>2</v>
      </c>
      <c r="D1048" s="564">
        <v>6</v>
      </c>
      <c r="E1048" s="564">
        <v>7</v>
      </c>
      <c r="F1048" s="565" t="s">
        <v>39</v>
      </c>
      <c r="G1048" s="563" t="s">
        <v>176</v>
      </c>
      <c r="H1048" s="563" t="s">
        <v>216</v>
      </c>
      <c r="I1048" s="573">
        <v>2986593757</v>
      </c>
    </row>
    <row r="1049" spans="1:9" ht="16" x14ac:dyDescent="0.2">
      <c r="A1049" s="567">
        <v>46060</v>
      </c>
      <c r="B1049" s="568">
        <v>2026</v>
      </c>
      <c r="C1049" s="569">
        <v>2</v>
      </c>
      <c r="D1049" s="570">
        <v>6</v>
      </c>
      <c r="E1049" s="570">
        <v>7</v>
      </c>
      <c r="F1049" s="571" t="s">
        <v>206</v>
      </c>
      <c r="G1049" s="569" t="s">
        <v>206</v>
      </c>
      <c r="H1049" s="569" t="s">
        <v>212</v>
      </c>
      <c r="I1049" s="574">
        <v>0</v>
      </c>
    </row>
    <row r="1050" spans="1:9" ht="16" x14ac:dyDescent="0.2">
      <c r="A1050" s="561">
        <v>46060</v>
      </c>
      <c r="B1050" s="562">
        <v>2026</v>
      </c>
      <c r="C1050" s="563">
        <v>2</v>
      </c>
      <c r="D1050" s="564">
        <v>6</v>
      </c>
      <c r="E1050" s="564">
        <v>7</v>
      </c>
      <c r="F1050" s="565" t="s">
        <v>64</v>
      </c>
      <c r="G1050" s="563" t="s">
        <v>209</v>
      </c>
      <c r="H1050" s="563" t="s">
        <v>212</v>
      </c>
      <c r="I1050" s="573">
        <v>31500000</v>
      </c>
    </row>
    <row r="1051" spans="1:9" ht="16" x14ac:dyDescent="0.2">
      <c r="A1051" s="567">
        <v>46060</v>
      </c>
      <c r="B1051" s="568">
        <v>2026</v>
      </c>
      <c r="C1051" s="569">
        <v>2</v>
      </c>
      <c r="D1051" s="570">
        <v>6</v>
      </c>
      <c r="E1051" s="570">
        <v>7</v>
      </c>
      <c r="F1051" s="571" t="s">
        <v>237</v>
      </c>
      <c r="G1051" s="569" t="s">
        <v>209</v>
      </c>
      <c r="H1051" s="569" t="s">
        <v>212</v>
      </c>
      <c r="I1051" s="574">
        <v>83430000</v>
      </c>
    </row>
    <row r="1052" spans="1:9" ht="16" x14ac:dyDescent="0.2">
      <c r="A1052" s="561">
        <v>46060</v>
      </c>
      <c r="B1052" s="562">
        <v>2026</v>
      </c>
      <c r="C1052" s="563">
        <v>2</v>
      </c>
      <c r="D1052" s="564">
        <v>6</v>
      </c>
      <c r="E1052" s="564">
        <v>7</v>
      </c>
      <c r="F1052" s="565" t="s">
        <v>11</v>
      </c>
      <c r="G1052" s="563" t="s">
        <v>11</v>
      </c>
      <c r="H1052" s="563" t="s">
        <v>212</v>
      </c>
      <c r="I1052" s="573">
        <v>16453260000</v>
      </c>
    </row>
    <row r="1053" spans="1:9" ht="16" x14ac:dyDescent="0.2">
      <c r="A1053" s="567">
        <v>46060</v>
      </c>
      <c r="B1053" s="568">
        <v>2026</v>
      </c>
      <c r="C1053" s="569">
        <v>2</v>
      </c>
      <c r="D1053" s="570">
        <v>6</v>
      </c>
      <c r="E1053" s="570">
        <v>7</v>
      </c>
      <c r="F1053" s="571" t="s">
        <v>221</v>
      </c>
      <c r="G1053" s="569" t="s">
        <v>207</v>
      </c>
      <c r="H1053" s="569" t="s">
        <v>212</v>
      </c>
      <c r="I1053" s="574">
        <v>0</v>
      </c>
    </row>
    <row r="1054" spans="1:9" ht="16" x14ac:dyDescent="0.2">
      <c r="A1054" s="561">
        <v>46060</v>
      </c>
      <c r="B1054" s="562">
        <v>2026</v>
      </c>
      <c r="C1054" s="563">
        <v>2</v>
      </c>
      <c r="D1054" s="564">
        <v>6</v>
      </c>
      <c r="E1054" s="564">
        <v>7</v>
      </c>
      <c r="F1054" s="565" t="s">
        <v>222</v>
      </c>
      <c r="G1054" s="563" t="s">
        <v>207</v>
      </c>
      <c r="H1054" s="563" t="s">
        <v>212</v>
      </c>
      <c r="I1054" s="573">
        <v>0</v>
      </c>
    </row>
    <row r="1055" spans="1:9" ht="16" x14ac:dyDescent="0.2">
      <c r="A1055" s="567">
        <v>46060</v>
      </c>
      <c r="B1055" s="568">
        <v>2026</v>
      </c>
      <c r="C1055" s="569">
        <v>2</v>
      </c>
      <c r="D1055" s="570">
        <v>6</v>
      </c>
      <c r="E1055" s="570">
        <v>7</v>
      </c>
      <c r="F1055" s="571" t="s">
        <v>223</v>
      </c>
      <c r="G1055" s="569" t="s">
        <v>207</v>
      </c>
      <c r="H1055" s="569" t="s">
        <v>212</v>
      </c>
      <c r="I1055" s="574">
        <v>0</v>
      </c>
    </row>
    <row r="1056" spans="1:9" ht="16" x14ac:dyDescent="0.2">
      <c r="A1056" s="561">
        <v>46060</v>
      </c>
      <c r="B1056" s="562">
        <v>2026</v>
      </c>
      <c r="C1056" s="563">
        <v>2</v>
      </c>
      <c r="D1056" s="564">
        <v>6</v>
      </c>
      <c r="E1056" s="564">
        <v>7</v>
      </c>
      <c r="F1056" s="565" t="s">
        <v>219</v>
      </c>
      <c r="G1056" s="563" t="s">
        <v>11</v>
      </c>
      <c r="H1056" s="563" t="s">
        <v>212</v>
      </c>
      <c r="I1056" s="573">
        <v>0</v>
      </c>
    </row>
    <row r="1057" spans="1:9" ht="16" x14ac:dyDescent="0.2">
      <c r="A1057" s="567">
        <v>46060</v>
      </c>
      <c r="B1057" s="568">
        <v>2026</v>
      </c>
      <c r="C1057" s="569">
        <v>2</v>
      </c>
      <c r="D1057" s="570">
        <v>6</v>
      </c>
      <c r="E1057" s="570">
        <v>7</v>
      </c>
      <c r="F1057" s="571" t="s">
        <v>19</v>
      </c>
      <c r="G1057" s="569" t="s">
        <v>19</v>
      </c>
      <c r="H1057" s="569" t="s">
        <v>214</v>
      </c>
      <c r="I1057" s="574">
        <v>10034172000</v>
      </c>
    </row>
    <row r="1058" spans="1:9" ht="16" x14ac:dyDescent="0.2">
      <c r="A1058" s="561">
        <v>46060</v>
      </c>
      <c r="B1058" s="562">
        <v>2026</v>
      </c>
      <c r="C1058" s="563">
        <v>2</v>
      </c>
      <c r="D1058" s="564">
        <v>6</v>
      </c>
      <c r="E1058" s="564">
        <v>7</v>
      </c>
      <c r="F1058" s="565" t="s">
        <v>62</v>
      </c>
      <c r="G1058" s="563" t="s">
        <v>62</v>
      </c>
      <c r="H1058" s="563" t="s">
        <v>216</v>
      </c>
      <c r="I1058" s="573">
        <v>249314006</v>
      </c>
    </row>
    <row r="1059" spans="1:9" ht="16" x14ac:dyDescent="0.2">
      <c r="A1059" s="567">
        <v>46060</v>
      </c>
      <c r="B1059" s="568">
        <v>2026</v>
      </c>
      <c r="C1059" s="569">
        <v>2</v>
      </c>
      <c r="D1059" s="570">
        <v>6</v>
      </c>
      <c r="E1059" s="570">
        <v>7</v>
      </c>
      <c r="F1059" s="571" t="s">
        <v>58</v>
      </c>
      <c r="G1059" s="569" t="s">
        <v>58</v>
      </c>
      <c r="H1059" s="569" t="s">
        <v>212</v>
      </c>
      <c r="I1059" s="574">
        <v>63000000</v>
      </c>
    </row>
    <row r="1060" spans="1:9" ht="16" x14ac:dyDescent="0.2">
      <c r="A1060" s="561">
        <v>46060</v>
      </c>
      <c r="B1060" s="562">
        <v>2026</v>
      </c>
      <c r="C1060" s="563">
        <v>2</v>
      </c>
      <c r="D1060" s="564">
        <v>6</v>
      </c>
      <c r="E1060" s="564">
        <v>7</v>
      </c>
      <c r="F1060" s="565" t="s">
        <v>61</v>
      </c>
      <c r="G1060" s="563" t="s">
        <v>61</v>
      </c>
      <c r="H1060" s="563" t="s">
        <v>214</v>
      </c>
      <c r="I1060" s="573">
        <v>56000000</v>
      </c>
    </row>
    <row r="1061" spans="1:9" ht="16" x14ac:dyDescent="0.2">
      <c r="A1061" s="567">
        <v>46060</v>
      </c>
      <c r="B1061" s="568">
        <v>2026</v>
      </c>
      <c r="C1061" s="569">
        <v>2</v>
      </c>
      <c r="D1061" s="570">
        <v>6</v>
      </c>
      <c r="E1061" s="570">
        <v>7</v>
      </c>
      <c r="F1061" s="571" t="s">
        <v>57</v>
      </c>
      <c r="G1061" s="569" t="s">
        <v>57</v>
      </c>
      <c r="H1061" s="569" t="s">
        <v>212</v>
      </c>
      <c r="I1061" s="574">
        <v>1392850000</v>
      </c>
    </row>
    <row r="1062" spans="1:9" ht="16" x14ac:dyDescent="0.2">
      <c r="A1062" s="561">
        <v>46060</v>
      </c>
      <c r="B1062" s="562">
        <v>2026</v>
      </c>
      <c r="C1062" s="563">
        <v>2</v>
      </c>
      <c r="D1062" s="564">
        <v>6</v>
      </c>
      <c r="E1062" s="564">
        <v>7</v>
      </c>
      <c r="F1062" s="565" t="s">
        <v>63</v>
      </c>
      <c r="G1062" s="563" t="s">
        <v>63</v>
      </c>
      <c r="H1062" s="563" t="s">
        <v>214</v>
      </c>
      <c r="I1062" s="573">
        <v>294732000</v>
      </c>
    </row>
    <row r="1063" spans="1:9" ht="16" x14ac:dyDescent="0.2">
      <c r="A1063" s="567">
        <v>46060</v>
      </c>
      <c r="B1063" s="568">
        <v>2026</v>
      </c>
      <c r="C1063" s="569">
        <v>2</v>
      </c>
      <c r="D1063" s="570">
        <v>6</v>
      </c>
      <c r="E1063" s="570">
        <v>7</v>
      </c>
      <c r="F1063" s="571" t="s">
        <v>59</v>
      </c>
      <c r="G1063" s="569" t="s">
        <v>59</v>
      </c>
      <c r="H1063" s="569" t="s">
        <v>216</v>
      </c>
      <c r="I1063" s="574">
        <v>506709554</v>
      </c>
    </row>
    <row r="1064" spans="1:9" ht="16" x14ac:dyDescent="0.2">
      <c r="A1064" s="561">
        <v>46060</v>
      </c>
      <c r="B1064" s="562">
        <v>2026</v>
      </c>
      <c r="C1064" s="563">
        <v>2</v>
      </c>
      <c r="D1064" s="564">
        <v>6</v>
      </c>
      <c r="E1064" s="564">
        <v>7</v>
      </c>
      <c r="F1064" s="565" t="s">
        <v>31</v>
      </c>
      <c r="G1064" s="563" t="s">
        <v>175</v>
      </c>
      <c r="H1064" s="563" t="s">
        <v>212</v>
      </c>
      <c r="I1064" s="573">
        <v>3146690000</v>
      </c>
    </row>
    <row r="1065" spans="1:9" ht="16" x14ac:dyDescent="0.2">
      <c r="A1065" s="567">
        <v>46060</v>
      </c>
      <c r="B1065" s="568">
        <v>2026</v>
      </c>
      <c r="C1065" s="569">
        <v>2</v>
      </c>
      <c r="D1065" s="570">
        <v>6</v>
      </c>
      <c r="E1065" s="570">
        <v>7</v>
      </c>
      <c r="F1065" s="571" t="s">
        <v>234</v>
      </c>
      <c r="G1065" s="569" t="s">
        <v>210</v>
      </c>
      <c r="H1065" s="569" t="s">
        <v>214</v>
      </c>
      <c r="I1065" s="574">
        <v>385080000</v>
      </c>
    </row>
    <row r="1066" spans="1:9" ht="16" x14ac:dyDescent="0.2">
      <c r="A1066" s="561">
        <v>46061</v>
      </c>
      <c r="B1066" s="562">
        <v>2026</v>
      </c>
      <c r="C1066" s="563">
        <v>2</v>
      </c>
      <c r="D1066" s="564">
        <v>6</v>
      </c>
      <c r="E1066" s="564">
        <v>8</v>
      </c>
      <c r="F1066" s="565" t="s">
        <v>65</v>
      </c>
      <c r="G1066" s="563" t="s">
        <v>65</v>
      </c>
      <c r="H1066" s="563" t="s">
        <v>212</v>
      </c>
      <c r="I1066" s="573">
        <v>524250000</v>
      </c>
    </row>
    <row r="1067" spans="1:9" ht="16" x14ac:dyDescent="0.2">
      <c r="A1067" s="567">
        <v>46061</v>
      </c>
      <c r="B1067" s="568">
        <v>2026</v>
      </c>
      <c r="C1067" s="569">
        <v>2</v>
      </c>
      <c r="D1067" s="570">
        <v>6</v>
      </c>
      <c r="E1067" s="570">
        <v>8</v>
      </c>
      <c r="F1067" s="571" t="s">
        <v>66</v>
      </c>
      <c r="G1067" s="569" t="s">
        <v>66</v>
      </c>
      <c r="H1067" s="569" t="s">
        <v>216</v>
      </c>
      <c r="I1067" s="574">
        <v>476770827</v>
      </c>
    </row>
    <row r="1068" spans="1:9" ht="16" x14ac:dyDescent="0.2">
      <c r="A1068" s="561">
        <v>46061</v>
      </c>
      <c r="B1068" s="562">
        <v>2026</v>
      </c>
      <c r="C1068" s="563">
        <v>2</v>
      </c>
      <c r="D1068" s="564">
        <v>6</v>
      </c>
      <c r="E1068" s="564">
        <v>8</v>
      </c>
      <c r="F1068" s="565" t="s">
        <v>24</v>
      </c>
      <c r="G1068" s="563" t="s">
        <v>24</v>
      </c>
      <c r="H1068" s="563" t="s">
        <v>212</v>
      </c>
      <c r="I1068" s="573">
        <v>12137090000</v>
      </c>
    </row>
    <row r="1069" spans="1:9" ht="16" x14ac:dyDescent="0.2">
      <c r="A1069" s="567">
        <v>46061</v>
      </c>
      <c r="B1069" s="568">
        <v>2026</v>
      </c>
      <c r="C1069" s="569">
        <v>2</v>
      </c>
      <c r="D1069" s="570">
        <v>6</v>
      </c>
      <c r="E1069" s="570">
        <v>8</v>
      </c>
      <c r="F1069" s="571" t="s">
        <v>67</v>
      </c>
      <c r="G1069" s="569" t="s">
        <v>67</v>
      </c>
      <c r="H1069" s="569" t="s">
        <v>213</v>
      </c>
      <c r="I1069" s="574">
        <v>1670104358</v>
      </c>
    </row>
    <row r="1070" spans="1:9" ht="16" x14ac:dyDescent="0.2">
      <c r="A1070" s="561">
        <v>46061</v>
      </c>
      <c r="B1070" s="562">
        <v>2026</v>
      </c>
      <c r="C1070" s="563">
        <v>2</v>
      </c>
      <c r="D1070" s="564">
        <v>6</v>
      </c>
      <c r="E1070" s="564">
        <v>8</v>
      </c>
      <c r="F1070" s="565" t="s">
        <v>28</v>
      </c>
      <c r="G1070" s="563" t="s">
        <v>28</v>
      </c>
      <c r="H1070" s="563" t="s">
        <v>214</v>
      </c>
      <c r="I1070" s="573">
        <v>10942128000</v>
      </c>
    </row>
    <row r="1071" spans="1:9" ht="16" x14ac:dyDescent="0.2">
      <c r="A1071" s="567">
        <v>46061</v>
      </c>
      <c r="B1071" s="568">
        <v>2026</v>
      </c>
      <c r="C1071" s="569">
        <v>2</v>
      </c>
      <c r="D1071" s="570">
        <v>6</v>
      </c>
      <c r="E1071" s="570">
        <v>8</v>
      </c>
      <c r="F1071" s="571" t="s">
        <v>208</v>
      </c>
      <c r="G1071" s="569" t="s">
        <v>208</v>
      </c>
      <c r="H1071" s="569" t="s">
        <v>216</v>
      </c>
      <c r="I1071" s="574">
        <v>26052499</v>
      </c>
    </row>
    <row r="1072" spans="1:9" ht="16" x14ac:dyDescent="0.2">
      <c r="A1072" s="561">
        <v>46061</v>
      </c>
      <c r="B1072" s="562">
        <v>2026</v>
      </c>
      <c r="C1072" s="563">
        <v>2</v>
      </c>
      <c r="D1072" s="564">
        <v>6</v>
      </c>
      <c r="E1072" s="564">
        <v>8</v>
      </c>
      <c r="F1072" s="565" t="s">
        <v>60</v>
      </c>
      <c r="G1072" s="563" t="s">
        <v>60</v>
      </c>
      <c r="H1072" s="563" t="s">
        <v>212</v>
      </c>
      <c r="I1072" s="573">
        <v>0</v>
      </c>
    </row>
    <row r="1073" spans="1:9" ht="16" x14ac:dyDescent="0.2">
      <c r="A1073" s="567">
        <v>46061</v>
      </c>
      <c r="B1073" s="568">
        <v>2026</v>
      </c>
      <c r="C1073" s="569">
        <v>2</v>
      </c>
      <c r="D1073" s="570">
        <v>6</v>
      </c>
      <c r="E1073" s="570">
        <v>8</v>
      </c>
      <c r="F1073" s="571" t="s">
        <v>36</v>
      </c>
      <c r="G1073" s="569" t="s">
        <v>36</v>
      </c>
      <c r="H1073" s="569" t="s">
        <v>212</v>
      </c>
      <c r="I1073" s="574">
        <v>5382910000</v>
      </c>
    </row>
    <row r="1074" spans="1:9" ht="16" x14ac:dyDescent="0.2">
      <c r="A1074" s="561">
        <v>46061</v>
      </c>
      <c r="B1074" s="562">
        <v>2026</v>
      </c>
      <c r="C1074" s="563">
        <v>2</v>
      </c>
      <c r="D1074" s="564">
        <v>6</v>
      </c>
      <c r="E1074" s="564">
        <v>8</v>
      </c>
      <c r="F1074" s="565" t="s">
        <v>55</v>
      </c>
      <c r="G1074" s="563" t="s">
        <v>36</v>
      </c>
      <c r="H1074" s="563" t="s">
        <v>212</v>
      </c>
      <c r="I1074" s="573">
        <v>1057020000</v>
      </c>
    </row>
    <row r="1075" spans="1:9" ht="16" x14ac:dyDescent="0.2">
      <c r="A1075" s="567">
        <v>46061</v>
      </c>
      <c r="B1075" s="568">
        <v>2026</v>
      </c>
      <c r="C1075" s="569">
        <v>2</v>
      </c>
      <c r="D1075" s="570">
        <v>6</v>
      </c>
      <c r="E1075" s="570">
        <v>8</v>
      </c>
      <c r="F1075" s="571" t="s">
        <v>176</v>
      </c>
      <c r="G1075" s="569" t="s">
        <v>176</v>
      </c>
      <c r="H1075" s="569" t="s">
        <v>216</v>
      </c>
      <c r="I1075" s="574">
        <v>6988588</v>
      </c>
    </row>
    <row r="1076" spans="1:9" ht="16" x14ac:dyDescent="0.2">
      <c r="A1076" s="561">
        <v>46061</v>
      </c>
      <c r="B1076" s="562">
        <v>2026</v>
      </c>
      <c r="C1076" s="563">
        <v>2</v>
      </c>
      <c r="D1076" s="564">
        <v>6</v>
      </c>
      <c r="E1076" s="564">
        <v>8</v>
      </c>
      <c r="F1076" s="565" t="s">
        <v>39</v>
      </c>
      <c r="G1076" s="563" t="s">
        <v>176</v>
      </c>
      <c r="H1076" s="563" t="s">
        <v>216</v>
      </c>
      <c r="I1076" s="573">
        <v>2817674097</v>
      </c>
    </row>
    <row r="1077" spans="1:9" ht="16" x14ac:dyDescent="0.2">
      <c r="A1077" s="567">
        <v>46061</v>
      </c>
      <c r="B1077" s="568">
        <v>2026</v>
      </c>
      <c r="C1077" s="569">
        <v>2</v>
      </c>
      <c r="D1077" s="570">
        <v>6</v>
      </c>
      <c r="E1077" s="570">
        <v>8</v>
      </c>
      <c r="F1077" s="571" t="s">
        <v>206</v>
      </c>
      <c r="G1077" s="569" t="s">
        <v>206</v>
      </c>
      <c r="H1077" s="569" t="s">
        <v>212</v>
      </c>
      <c r="I1077" s="574">
        <v>0</v>
      </c>
    </row>
    <row r="1078" spans="1:9" ht="16" x14ac:dyDescent="0.2">
      <c r="A1078" s="561">
        <v>46061</v>
      </c>
      <c r="B1078" s="562">
        <v>2026</v>
      </c>
      <c r="C1078" s="563">
        <v>2</v>
      </c>
      <c r="D1078" s="564">
        <v>6</v>
      </c>
      <c r="E1078" s="564">
        <v>8</v>
      </c>
      <c r="F1078" s="565" t="s">
        <v>64</v>
      </c>
      <c r="G1078" s="563" t="s">
        <v>209</v>
      </c>
      <c r="H1078" s="563" t="s">
        <v>212</v>
      </c>
      <c r="I1078" s="573">
        <v>46500000</v>
      </c>
    </row>
    <row r="1079" spans="1:9" ht="16" x14ac:dyDescent="0.2">
      <c r="A1079" s="567">
        <v>46061</v>
      </c>
      <c r="B1079" s="568">
        <v>2026</v>
      </c>
      <c r="C1079" s="569">
        <v>2</v>
      </c>
      <c r="D1079" s="570">
        <v>6</v>
      </c>
      <c r="E1079" s="570">
        <v>8</v>
      </c>
      <c r="F1079" s="571" t="s">
        <v>237</v>
      </c>
      <c r="G1079" s="569" t="s">
        <v>209</v>
      </c>
      <c r="H1079" s="569" t="s">
        <v>212</v>
      </c>
      <c r="I1079" s="574">
        <v>0</v>
      </c>
    </row>
    <row r="1080" spans="1:9" ht="16" x14ac:dyDescent="0.2">
      <c r="A1080" s="561">
        <v>46061</v>
      </c>
      <c r="B1080" s="562">
        <v>2026</v>
      </c>
      <c r="C1080" s="563">
        <v>2</v>
      </c>
      <c r="D1080" s="564">
        <v>6</v>
      </c>
      <c r="E1080" s="564">
        <v>8</v>
      </c>
      <c r="F1080" s="565" t="s">
        <v>11</v>
      </c>
      <c r="G1080" s="563" t="s">
        <v>11</v>
      </c>
      <c r="H1080" s="563" t="s">
        <v>212</v>
      </c>
      <c r="I1080" s="573">
        <v>15212350000</v>
      </c>
    </row>
    <row r="1081" spans="1:9" ht="16" x14ac:dyDescent="0.2">
      <c r="A1081" s="567">
        <v>46061</v>
      </c>
      <c r="B1081" s="568">
        <v>2026</v>
      </c>
      <c r="C1081" s="569">
        <v>2</v>
      </c>
      <c r="D1081" s="570">
        <v>6</v>
      </c>
      <c r="E1081" s="570">
        <v>8</v>
      </c>
      <c r="F1081" s="571" t="s">
        <v>221</v>
      </c>
      <c r="G1081" s="569" t="s">
        <v>207</v>
      </c>
      <c r="H1081" s="569" t="s">
        <v>212</v>
      </c>
      <c r="I1081" s="574">
        <v>0</v>
      </c>
    </row>
    <row r="1082" spans="1:9" ht="16" x14ac:dyDescent="0.2">
      <c r="A1082" s="561">
        <v>46061</v>
      </c>
      <c r="B1082" s="562">
        <v>2026</v>
      </c>
      <c r="C1082" s="563">
        <v>2</v>
      </c>
      <c r="D1082" s="564">
        <v>6</v>
      </c>
      <c r="E1082" s="564">
        <v>8</v>
      </c>
      <c r="F1082" s="565" t="s">
        <v>222</v>
      </c>
      <c r="G1082" s="563" t="s">
        <v>207</v>
      </c>
      <c r="H1082" s="563" t="s">
        <v>212</v>
      </c>
      <c r="I1082" s="573">
        <v>0</v>
      </c>
    </row>
    <row r="1083" spans="1:9" ht="16" x14ac:dyDescent="0.2">
      <c r="A1083" s="567">
        <v>46061</v>
      </c>
      <c r="B1083" s="568">
        <v>2026</v>
      </c>
      <c r="C1083" s="569">
        <v>2</v>
      </c>
      <c r="D1083" s="570">
        <v>6</v>
      </c>
      <c r="E1083" s="570">
        <v>8</v>
      </c>
      <c r="F1083" s="571" t="s">
        <v>223</v>
      </c>
      <c r="G1083" s="569" t="s">
        <v>207</v>
      </c>
      <c r="H1083" s="569" t="s">
        <v>212</v>
      </c>
      <c r="I1083" s="574">
        <v>0</v>
      </c>
    </row>
    <row r="1084" spans="1:9" ht="16" x14ac:dyDescent="0.2">
      <c r="A1084" s="561">
        <v>46061</v>
      </c>
      <c r="B1084" s="562">
        <v>2026</v>
      </c>
      <c r="C1084" s="563">
        <v>2</v>
      </c>
      <c r="D1084" s="564">
        <v>6</v>
      </c>
      <c r="E1084" s="564">
        <v>8</v>
      </c>
      <c r="F1084" s="565" t="s">
        <v>219</v>
      </c>
      <c r="G1084" s="563" t="s">
        <v>11</v>
      </c>
      <c r="H1084" s="563" t="s">
        <v>212</v>
      </c>
      <c r="I1084" s="573">
        <v>32100000</v>
      </c>
    </row>
    <row r="1085" spans="1:9" ht="16" x14ac:dyDescent="0.2">
      <c r="A1085" s="567">
        <v>46061</v>
      </c>
      <c r="B1085" s="568">
        <v>2026</v>
      </c>
      <c r="C1085" s="569">
        <v>2</v>
      </c>
      <c r="D1085" s="570">
        <v>6</v>
      </c>
      <c r="E1085" s="570">
        <v>8</v>
      </c>
      <c r="F1085" s="571" t="s">
        <v>19</v>
      </c>
      <c r="G1085" s="569" t="s">
        <v>19</v>
      </c>
      <c r="H1085" s="569" t="s">
        <v>214</v>
      </c>
      <c r="I1085" s="574">
        <v>9469764000</v>
      </c>
    </row>
    <row r="1086" spans="1:9" ht="16" x14ac:dyDescent="0.2">
      <c r="A1086" s="561">
        <v>46061</v>
      </c>
      <c r="B1086" s="562">
        <v>2026</v>
      </c>
      <c r="C1086" s="563">
        <v>2</v>
      </c>
      <c r="D1086" s="564">
        <v>6</v>
      </c>
      <c r="E1086" s="564">
        <v>8</v>
      </c>
      <c r="F1086" s="565" t="s">
        <v>62</v>
      </c>
      <c r="G1086" s="563" t="s">
        <v>62</v>
      </c>
      <c r="H1086" s="563" t="s">
        <v>216</v>
      </c>
      <c r="I1086" s="573">
        <v>245910684</v>
      </c>
    </row>
    <row r="1087" spans="1:9" ht="16" x14ac:dyDescent="0.2">
      <c r="A1087" s="567">
        <v>46061</v>
      </c>
      <c r="B1087" s="568">
        <v>2026</v>
      </c>
      <c r="C1087" s="569">
        <v>2</v>
      </c>
      <c r="D1087" s="570">
        <v>6</v>
      </c>
      <c r="E1087" s="570">
        <v>8</v>
      </c>
      <c r="F1087" s="571" t="s">
        <v>58</v>
      </c>
      <c r="G1087" s="569" t="s">
        <v>58</v>
      </c>
      <c r="H1087" s="569" t="s">
        <v>212</v>
      </c>
      <c r="I1087" s="574">
        <v>21000000</v>
      </c>
    </row>
    <row r="1088" spans="1:9" ht="16" x14ac:dyDescent="0.2">
      <c r="A1088" s="561">
        <v>46061</v>
      </c>
      <c r="B1088" s="562">
        <v>2026</v>
      </c>
      <c r="C1088" s="563">
        <v>2</v>
      </c>
      <c r="D1088" s="564">
        <v>6</v>
      </c>
      <c r="E1088" s="564">
        <v>8</v>
      </c>
      <c r="F1088" s="565" t="s">
        <v>61</v>
      </c>
      <c r="G1088" s="563" t="s">
        <v>61</v>
      </c>
      <c r="H1088" s="563" t="s">
        <v>214</v>
      </c>
      <c r="I1088" s="573">
        <v>35000000</v>
      </c>
    </row>
    <row r="1089" spans="1:9" ht="16" x14ac:dyDescent="0.2">
      <c r="A1089" s="567">
        <v>46061</v>
      </c>
      <c r="B1089" s="568">
        <v>2026</v>
      </c>
      <c r="C1089" s="569">
        <v>2</v>
      </c>
      <c r="D1089" s="570">
        <v>6</v>
      </c>
      <c r="E1089" s="570">
        <v>8</v>
      </c>
      <c r="F1089" s="571" t="s">
        <v>57</v>
      </c>
      <c r="G1089" s="569" t="s">
        <v>57</v>
      </c>
      <c r="H1089" s="569" t="s">
        <v>212</v>
      </c>
      <c r="I1089" s="574">
        <v>744770000</v>
      </c>
    </row>
    <row r="1090" spans="1:9" ht="16" x14ac:dyDescent="0.2">
      <c r="A1090" s="561">
        <v>46061</v>
      </c>
      <c r="B1090" s="562">
        <v>2026</v>
      </c>
      <c r="C1090" s="563">
        <v>2</v>
      </c>
      <c r="D1090" s="564">
        <v>6</v>
      </c>
      <c r="E1090" s="564">
        <v>8</v>
      </c>
      <c r="F1090" s="565" t="s">
        <v>63</v>
      </c>
      <c r="G1090" s="563" t="s">
        <v>63</v>
      </c>
      <c r="H1090" s="563" t="s">
        <v>214</v>
      </c>
      <c r="I1090" s="573">
        <v>252396000</v>
      </c>
    </row>
    <row r="1091" spans="1:9" ht="16" x14ac:dyDescent="0.2">
      <c r="A1091" s="567">
        <v>46061</v>
      </c>
      <c r="B1091" s="568">
        <v>2026</v>
      </c>
      <c r="C1091" s="569">
        <v>2</v>
      </c>
      <c r="D1091" s="570">
        <v>6</v>
      </c>
      <c r="E1091" s="570">
        <v>8</v>
      </c>
      <c r="F1091" s="571" t="s">
        <v>59</v>
      </c>
      <c r="G1091" s="569" t="s">
        <v>59</v>
      </c>
      <c r="H1091" s="569" t="s">
        <v>216</v>
      </c>
      <c r="I1091" s="574">
        <v>432783363</v>
      </c>
    </row>
    <row r="1092" spans="1:9" ht="16" x14ac:dyDescent="0.2">
      <c r="A1092" s="561">
        <v>46061</v>
      </c>
      <c r="B1092" s="562">
        <v>2026</v>
      </c>
      <c r="C1092" s="563">
        <v>2</v>
      </c>
      <c r="D1092" s="564">
        <v>6</v>
      </c>
      <c r="E1092" s="564">
        <v>8</v>
      </c>
      <c r="F1092" s="565" t="s">
        <v>31</v>
      </c>
      <c r="G1092" s="563" t="s">
        <v>175</v>
      </c>
      <c r="H1092" s="563" t="s">
        <v>212</v>
      </c>
      <c r="I1092" s="573">
        <v>3280360000</v>
      </c>
    </row>
    <row r="1093" spans="1:9" ht="16" x14ac:dyDescent="0.2">
      <c r="A1093" s="567">
        <v>46061</v>
      </c>
      <c r="B1093" s="568">
        <v>2026</v>
      </c>
      <c r="C1093" s="569">
        <v>2</v>
      </c>
      <c r="D1093" s="570">
        <v>6</v>
      </c>
      <c r="E1093" s="570">
        <v>8</v>
      </c>
      <c r="F1093" s="571" t="s">
        <v>234</v>
      </c>
      <c r="G1093" s="569" t="s">
        <v>210</v>
      </c>
      <c r="H1093" s="569" t="s">
        <v>214</v>
      </c>
      <c r="I1093" s="574">
        <v>370440000</v>
      </c>
    </row>
    <row r="1094" spans="1:9" ht="16" x14ac:dyDescent="0.2">
      <c r="A1094" s="561">
        <v>46062</v>
      </c>
      <c r="B1094" s="562">
        <v>2026</v>
      </c>
      <c r="C1094" s="563">
        <v>2</v>
      </c>
      <c r="D1094" s="564">
        <v>7</v>
      </c>
      <c r="E1094" s="564">
        <v>9</v>
      </c>
      <c r="F1094" s="565" t="s">
        <v>65</v>
      </c>
      <c r="G1094" s="563" t="s">
        <v>65</v>
      </c>
      <c r="H1094" s="563" t="s">
        <v>212</v>
      </c>
      <c r="I1094" s="573">
        <v>777350000</v>
      </c>
    </row>
    <row r="1095" spans="1:9" ht="16" x14ac:dyDescent="0.2">
      <c r="A1095" s="567">
        <v>46062</v>
      </c>
      <c r="B1095" s="568">
        <v>2026</v>
      </c>
      <c r="C1095" s="569">
        <v>2</v>
      </c>
      <c r="D1095" s="570">
        <v>7</v>
      </c>
      <c r="E1095" s="570">
        <v>9</v>
      </c>
      <c r="F1095" s="571" t="s">
        <v>66</v>
      </c>
      <c r="G1095" s="569" t="s">
        <v>66</v>
      </c>
      <c r="H1095" s="569" t="s">
        <v>216</v>
      </c>
      <c r="I1095" s="574">
        <v>430705140</v>
      </c>
    </row>
    <row r="1096" spans="1:9" ht="16" x14ac:dyDescent="0.2">
      <c r="A1096" s="561">
        <v>46062</v>
      </c>
      <c r="B1096" s="562">
        <v>2026</v>
      </c>
      <c r="C1096" s="563">
        <v>2</v>
      </c>
      <c r="D1096" s="564">
        <v>7</v>
      </c>
      <c r="E1096" s="564">
        <v>9</v>
      </c>
      <c r="F1096" s="565" t="s">
        <v>24</v>
      </c>
      <c r="G1096" s="563" t="s">
        <v>24</v>
      </c>
      <c r="H1096" s="563" t="s">
        <v>212</v>
      </c>
      <c r="I1096" s="573">
        <v>16102800000</v>
      </c>
    </row>
    <row r="1097" spans="1:9" ht="16" x14ac:dyDescent="0.2">
      <c r="A1097" s="567">
        <v>46062</v>
      </c>
      <c r="B1097" s="568">
        <v>2026</v>
      </c>
      <c r="C1097" s="569">
        <v>2</v>
      </c>
      <c r="D1097" s="570">
        <v>7</v>
      </c>
      <c r="E1097" s="570">
        <v>9</v>
      </c>
      <c r="F1097" s="571" t="s">
        <v>67</v>
      </c>
      <c r="G1097" s="569" t="s">
        <v>67</v>
      </c>
      <c r="H1097" s="569" t="s">
        <v>213</v>
      </c>
      <c r="I1097" s="574">
        <v>2307332000</v>
      </c>
    </row>
    <row r="1098" spans="1:9" ht="16" x14ac:dyDescent="0.2">
      <c r="A1098" s="561">
        <v>46062</v>
      </c>
      <c r="B1098" s="562">
        <v>2026</v>
      </c>
      <c r="C1098" s="563">
        <v>2</v>
      </c>
      <c r="D1098" s="564">
        <v>7</v>
      </c>
      <c r="E1098" s="564">
        <v>9</v>
      </c>
      <c r="F1098" s="565" t="s">
        <v>28</v>
      </c>
      <c r="G1098" s="563" t="s">
        <v>28</v>
      </c>
      <c r="H1098" s="563" t="s">
        <v>214</v>
      </c>
      <c r="I1098" s="573">
        <v>13561560000</v>
      </c>
    </row>
    <row r="1099" spans="1:9" ht="16" x14ac:dyDescent="0.2">
      <c r="A1099" s="567">
        <v>46062</v>
      </c>
      <c r="B1099" s="568">
        <v>2026</v>
      </c>
      <c r="C1099" s="569">
        <v>2</v>
      </c>
      <c r="D1099" s="570">
        <v>7</v>
      </c>
      <c r="E1099" s="570">
        <v>9</v>
      </c>
      <c r="F1099" s="571" t="s">
        <v>208</v>
      </c>
      <c r="G1099" s="569" t="s">
        <v>208</v>
      </c>
      <c r="H1099" s="569" t="s">
        <v>216</v>
      </c>
      <c r="I1099" s="574">
        <v>13958264</v>
      </c>
    </row>
    <row r="1100" spans="1:9" ht="16" x14ac:dyDescent="0.2">
      <c r="A1100" s="561">
        <v>46062</v>
      </c>
      <c r="B1100" s="562">
        <v>2026</v>
      </c>
      <c r="C1100" s="563">
        <v>2</v>
      </c>
      <c r="D1100" s="564">
        <v>7</v>
      </c>
      <c r="E1100" s="564">
        <v>9</v>
      </c>
      <c r="F1100" s="565" t="s">
        <v>60</v>
      </c>
      <c r="G1100" s="563" t="s">
        <v>60</v>
      </c>
      <c r="H1100" s="563" t="s">
        <v>212</v>
      </c>
      <c r="I1100" s="573">
        <v>0</v>
      </c>
    </row>
    <row r="1101" spans="1:9" ht="16" x14ac:dyDescent="0.2">
      <c r="A1101" s="567">
        <v>46062</v>
      </c>
      <c r="B1101" s="568">
        <v>2026</v>
      </c>
      <c r="C1101" s="569">
        <v>2</v>
      </c>
      <c r="D1101" s="570">
        <v>7</v>
      </c>
      <c r="E1101" s="570">
        <v>9</v>
      </c>
      <c r="F1101" s="571" t="s">
        <v>36</v>
      </c>
      <c r="G1101" s="569" t="s">
        <v>36</v>
      </c>
      <c r="H1101" s="569" t="s">
        <v>212</v>
      </c>
      <c r="I1101" s="574">
        <v>5687630000</v>
      </c>
    </row>
    <row r="1102" spans="1:9" ht="16" x14ac:dyDescent="0.2">
      <c r="A1102" s="561">
        <v>46062</v>
      </c>
      <c r="B1102" s="562">
        <v>2026</v>
      </c>
      <c r="C1102" s="563">
        <v>2</v>
      </c>
      <c r="D1102" s="564">
        <v>7</v>
      </c>
      <c r="E1102" s="564">
        <v>9</v>
      </c>
      <c r="F1102" s="565" t="s">
        <v>55</v>
      </c>
      <c r="G1102" s="563" t="s">
        <v>36</v>
      </c>
      <c r="H1102" s="563" t="s">
        <v>212</v>
      </c>
      <c r="I1102" s="573">
        <v>1323600000</v>
      </c>
    </row>
    <row r="1103" spans="1:9" ht="16" x14ac:dyDescent="0.2">
      <c r="A1103" s="567">
        <v>46062</v>
      </c>
      <c r="B1103" s="568">
        <v>2026</v>
      </c>
      <c r="C1103" s="569">
        <v>2</v>
      </c>
      <c r="D1103" s="570">
        <v>7</v>
      </c>
      <c r="E1103" s="570">
        <v>9</v>
      </c>
      <c r="F1103" s="571" t="s">
        <v>176</v>
      </c>
      <c r="G1103" s="569" t="s">
        <v>176</v>
      </c>
      <c r="H1103" s="569" t="s">
        <v>216</v>
      </c>
      <c r="I1103" s="574">
        <v>23825640</v>
      </c>
    </row>
    <row r="1104" spans="1:9" ht="16" x14ac:dyDescent="0.2">
      <c r="A1104" s="561">
        <v>46062</v>
      </c>
      <c r="B1104" s="562">
        <v>2026</v>
      </c>
      <c r="C1104" s="563">
        <v>2</v>
      </c>
      <c r="D1104" s="564">
        <v>7</v>
      </c>
      <c r="E1104" s="564">
        <v>9</v>
      </c>
      <c r="F1104" s="565" t="s">
        <v>39</v>
      </c>
      <c r="G1104" s="563" t="s">
        <v>176</v>
      </c>
      <c r="H1104" s="563" t="s">
        <v>216</v>
      </c>
      <c r="I1104" s="573">
        <v>2219111867</v>
      </c>
    </row>
    <row r="1105" spans="1:9" ht="16" x14ac:dyDescent="0.2">
      <c r="A1105" s="567">
        <v>46062</v>
      </c>
      <c r="B1105" s="568">
        <v>2026</v>
      </c>
      <c r="C1105" s="569">
        <v>2</v>
      </c>
      <c r="D1105" s="570">
        <v>7</v>
      </c>
      <c r="E1105" s="570">
        <v>9</v>
      </c>
      <c r="F1105" s="571" t="s">
        <v>206</v>
      </c>
      <c r="G1105" s="569" t="s">
        <v>206</v>
      </c>
      <c r="H1105" s="569" t="s">
        <v>212</v>
      </c>
      <c r="I1105" s="574">
        <v>0</v>
      </c>
    </row>
    <row r="1106" spans="1:9" ht="16" x14ac:dyDescent="0.2">
      <c r="A1106" s="561">
        <v>46062</v>
      </c>
      <c r="B1106" s="562">
        <v>2026</v>
      </c>
      <c r="C1106" s="563">
        <v>2</v>
      </c>
      <c r="D1106" s="564">
        <v>7</v>
      </c>
      <c r="E1106" s="564">
        <v>9</v>
      </c>
      <c r="F1106" s="565" t="s">
        <v>64</v>
      </c>
      <c r="G1106" s="563" t="s">
        <v>209</v>
      </c>
      <c r="H1106" s="563" t="s">
        <v>212</v>
      </c>
      <c r="I1106" s="573">
        <v>150500000</v>
      </c>
    </row>
    <row r="1107" spans="1:9" ht="16" x14ac:dyDescent="0.2">
      <c r="A1107" s="567">
        <v>46062</v>
      </c>
      <c r="B1107" s="568">
        <v>2026</v>
      </c>
      <c r="C1107" s="569">
        <v>2</v>
      </c>
      <c r="D1107" s="570">
        <v>7</v>
      </c>
      <c r="E1107" s="570">
        <v>9</v>
      </c>
      <c r="F1107" s="571" t="s">
        <v>237</v>
      </c>
      <c r="G1107" s="569" t="s">
        <v>209</v>
      </c>
      <c r="H1107" s="569" t="s">
        <v>212</v>
      </c>
      <c r="I1107" s="574">
        <v>0</v>
      </c>
    </row>
    <row r="1108" spans="1:9" ht="16" x14ac:dyDescent="0.2">
      <c r="A1108" s="561">
        <v>46062</v>
      </c>
      <c r="B1108" s="562">
        <v>2026</v>
      </c>
      <c r="C1108" s="563">
        <v>2</v>
      </c>
      <c r="D1108" s="564">
        <v>7</v>
      </c>
      <c r="E1108" s="564">
        <v>9</v>
      </c>
      <c r="F1108" s="565" t="s">
        <v>11</v>
      </c>
      <c r="G1108" s="563" t="s">
        <v>11</v>
      </c>
      <c r="H1108" s="563" t="s">
        <v>212</v>
      </c>
      <c r="I1108" s="573">
        <v>20585370000</v>
      </c>
    </row>
    <row r="1109" spans="1:9" ht="16" x14ac:dyDescent="0.2">
      <c r="A1109" s="567">
        <v>46062</v>
      </c>
      <c r="B1109" s="568">
        <v>2026</v>
      </c>
      <c r="C1109" s="569">
        <v>2</v>
      </c>
      <c r="D1109" s="570">
        <v>7</v>
      </c>
      <c r="E1109" s="570">
        <v>9</v>
      </c>
      <c r="F1109" s="571" t="s">
        <v>221</v>
      </c>
      <c r="G1109" s="569" t="s">
        <v>207</v>
      </c>
      <c r="H1109" s="569" t="s">
        <v>212</v>
      </c>
      <c r="I1109" s="574">
        <v>0</v>
      </c>
    </row>
    <row r="1110" spans="1:9" ht="16" x14ac:dyDescent="0.2">
      <c r="A1110" s="561">
        <v>46062</v>
      </c>
      <c r="B1110" s="562">
        <v>2026</v>
      </c>
      <c r="C1110" s="563">
        <v>2</v>
      </c>
      <c r="D1110" s="564">
        <v>7</v>
      </c>
      <c r="E1110" s="564">
        <v>9</v>
      </c>
      <c r="F1110" s="565" t="s">
        <v>222</v>
      </c>
      <c r="G1110" s="563" t="s">
        <v>207</v>
      </c>
      <c r="H1110" s="563" t="s">
        <v>212</v>
      </c>
      <c r="I1110" s="573">
        <v>0</v>
      </c>
    </row>
    <row r="1111" spans="1:9" ht="16" x14ac:dyDescent="0.2">
      <c r="A1111" s="567">
        <v>46062</v>
      </c>
      <c r="B1111" s="568">
        <v>2026</v>
      </c>
      <c r="C1111" s="569">
        <v>2</v>
      </c>
      <c r="D1111" s="570">
        <v>7</v>
      </c>
      <c r="E1111" s="570">
        <v>9</v>
      </c>
      <c r="F1111" s="571" t="s">
        <v>223</v>
      </c>
      <c r="G1111" s="569" t="s">
        <v>207</v>
      </c>
      <c r="H1111" s="569" t="s">
        <v>212</v>
      </c>
      <c r="I1111" s="574">
        <v>0</v>
      </c>
    </row>
    <row r="1112" spans="1:9" ht="16" x14ac:dyDescent="0.2">
      <c r="A1112" s="561">
        <v>46062</v>
      </c>
      <c r="B1112" s="562">
        <v>2026</v>
      </c>
      <c r="C1112" s="563">
        <v>2</v>
      </c>
      <c r="D1112" s="564">
        <v>7</v>
      </c>
      <c r="E1112" s="564">
        <v>9</v>
      </c>
      <c r="F1112" s="565" t="s">
        <v>219</v>
      </c>
      <c r="G1112" s="563" t="s">
        <v>11</v>
      </c>
      <c r="H1112" s="563" t="s">
        <v>212</v>
      </c>
      <c r="I1112" s="573">
        <v>10000000</v>
      </c>
    </row>
    <row r="1113" spans="1:9" ht="16" x14ac:dyDescent="0.2">
      <c r="A1113" s="567">
        <v>46062</v>
      </c>
      <c r="B1113" s="568">
        <v>2026</v>
      </c>
      <c r="C1113" s="569">
        <v>2</v>
      </c>
      <c r="D1113" s="570">
        <v>7</v>
      </c>
      <c r="E1113" s="570">
        <v>9</v>
      </c>
      <c r="F1113" s="571" t="s">
        <v>19</v>
      </c>
      <c r="G1113" s="569" t="s">
        <v>19</v>
      </c>
      <c r="H1113" s="569" t="s">
        <v>214</v>
      </c>
      <c r="I1113" s="574">
        <v>11518200000</v>
      </c>
    </row>
    <row r="1114" spans="1:9" ht="16" x14ac:dyDescent="0.2">
      <c r="A1114" s="561">
        <v>46062</v>
      </c>
      <c r="B1114" s="562">
        <v>2026</v>
      </c>
      <c r="C1114" s="563">
        <v>2</v>
      </c>
      <c r="D1114" s="564">
        <v>7</v>
      </c>
      <c r="E1114" s="564">
        <v>9</v>
      </c>
      <c r="F1114" s="565" t="s">
        <v>62</v>
      </c>
      <c r="G1114" s="563" t="s">
        <v>62</v>
      </c>
      <c r="H1114" s="563" t="s">
        <v>216</v>
      </c>
      <c r="I1114" s="573">
        <v>252108513</v>
      </c>
    </row>
    <row r="1115" spans="1:9" ht="16" x14ac:dyDescent="0.2">
      <c r="A1115" s="567">
        <v>46062</v>
      </c>
      <c r="B1115" s="568">
        <v>2026</v>
      </c>
      <c r="C1115" s="569">
        <v>2</v>
      </c>
      <c r="D1115" s="570">
        <v>7</v>
      </c>
      <c r="E1115" s="570">
        <v>9</v>
      </c>
      <c r="F1115" s="571" t="s">
        <v>58</v>
      </c>
      <c r="G1115" s="569" t="s">
        <v>58</v>
      </c>
      <c r="H1115" s="569" t="s">
        <v>212</v>
      </c>
      <c r="I1115" s="574">
        <v>94000000</v>
      </c>
    </row>
    <row r="1116" spans="1:9" ht="16" x14ac:dyDescent="0.2">
      <c r="A1116" s="561">
        <v>46062</v>
      </c>
      <c r="B1116" s="562">
        <v>2026</v>
      </c>
      <c r="C1116" s="563">
        <v>2</v>
      </c>
      <c r="D1116" s="564">
        <v>7</v>
      </c>
      <c r="E1116" s="564">
        <v>9</v>
      </c>
      <c r="F1116" s="565" t="s">
        <v>61</v>
      </c>
      <c r="G1116" s="563" t="s">
        <v>61</v>
      </c>
      <c r="H1116" s="563" t="s">
        <v>214</v>
      </c>
      <c r="I1116" s="573">
        <v>44000000</v>
      </c>
    </row>
    <row r="1117" spans="1:9" ht="16" x14ac:dyDescent="0.2">
      <c r="A1117" s="567">
        <v>46062</v>
      </c>
      <c r="B1117" s="568">
        <v>2026</v>
      </c>
      <c r="C1117" s="569">
        <v>2</v>
      </c>
      <c r="D1117" s="570">
        <v>7</v>
      </c>
      <c r="E1117" s="570">
        <v>9</v>
      </c>
      <c r="F1117" s="571" t="s">
        <v>57</v>
      </c>
      <c r="G1117" s="569" t="s">
        <v>57</v>
      </c>
      <c r="H1117" s="569" t="s">
        <v>212</v>
      </c>
      <c r="I1117" s="574">
        <v>1218560000</v>
      </c>
    </row>
    <row r="1118" spans="1:9" ht="16" x14ac:dyDescent="0.2">
      <c r="A1118" s="561">
        <v>46062</v>
      </c>
      <c r="B1118" s="562">
        <v>2026</v>
      </c>
      <c r="C1118" s="563">
        <v>2</v>
      </c>
      <c r="D1118" s="564">
        <v>7</v>
      </c>
      <c r="E1118" s="564">
        <v>9</v>
      </c>
      <c r="F1118" s="565" t="s">
        <v>63</v>
      </c>
      <c r="G1118" s="563" t="s">
        <v>63</v>
      </c>
      <c r="H1118" s="563" t="s">
        <v>214</v>
      </c>
      <c r="I1118" s="573">
        <v>376488000</v>
      </c>
    </row>
    <row r="1119" spans="1:9" ht="16" x14ac:dyDescent="0.2">
      <c r="A1119" s="567">
        <v>46062</v>
      </c>
      <c r="B1119" s="568">
        <v>2026</v>
      </c>
      <c r="C1119" s="569">
        <v>2</v>
      </c>
      <c r="D1119" s="570">
        <v>7</v>
      </c>
      <c r="E1119" s="570">
        <v>9</v>
      </c>
      <c r="F1119" s="571" t="s">
        <v>59</v>
      </c>
      <c r="G1119" s="569" t="s">
        <v>59</v>
      </c>
      <c r="H1119" s="569" t="s">
        <v>216</v>
      </c>
      <c r="I1119" s="574">
        <v>461406552</v>
      </c>
    </row>
    <row r="1120" spans="1:9" ht="16" x14ac:dyDescent="0.2">
      <c r="A1120" s="561">
        <v>46062</v>
      </c>
      <c r="B1120" s="562">
        <v>2026</v>
      </c>
      <c r="C1120" s="563">
        <v>2</v>
      </c>
      <c r="D1120" s="564">
        <v>7</v>
      </c>
      <c r="E1120" s="564">
        <v>9</v>
      </c>
      <c r="F1120" s="565" t="s">
        <v>31</v>
      </c>
      <c r="G1120" s="563" t="s">
        <v>175</v>
      </c>
      <c r="H1120" s="563" t="s">
        <v>212</v>
      </c>
      <c r="I1120" s="573">
        <v>4252950000</v>
      </c>
    </row>
    <row r="1121" spans="1:9" ht="16" x14ac:dyDescent="0.2">
      <c r="A1121" s="567">
        <v>46062</v>
      </c>
      <c r="B1121" s="568">
        <v>2026</v>
      </c>
      <c r="C1121" s="569">
        <v>2</v>
      </c>
      <c r="D1121" s="570">
        <v>7</v>
      </c>
      <c r="E1121" s="570">
        <v>9</v>
      </c>
      <c r="F1121" s="571" t="s">
        <v>234</v>
      </c>
      <c r="G1121" s="569" t="s">
        <v>210</v>
      </c>
      <c r="H1121" s="569" t="s">
        <v>214</v>
      </c>
      <c r="I1121" s="574">
        <v>421640000</v>
      </c>
    </row>
    <row r="1122" spans="1:9" ht="16" x14ac:dyDescent="0.2">
      <c r="A1122" s="561">
        <v>46063</v>
      </c>
      <c r="B1122" s="562">
        <v>2026</v>
      </c>
      <c r="C1122" s="563">
        <v>2</v>
      </c>
      <c r="D1122" s="564">
        <v>7</v>
      </c>
      <c r="E1122" s="564">
        <v>10</v>
      </c>
      <c r="F1122" s="565" t="s">
        <v>65</v>
      </c>
      <c r="G1122" s="563" t="s">
        <v>65</v>
      </c>
      <c r="H1122" s="563" t="s">
        <v>212</v>
      </c>
      <c r="I1122" s="573">
        <v>944550000</v>
      </c>
    </row>
    <row r="1123" spans="1:9" ht="16" x14ac:dyDescent="0.2">
      <c r="A1123" s="567">
        <v>46063</v>
      </c>
      <c r="B1123" s="568">
        <v>2026</v>
      </c>
      <c r="C1123" s="569">
        <v>2</v>
      </c>
      <c r="D1123" s="570">
        <v>7</v>
      </c>
      <c r="E1123" s="570">
        <v>10</v>
      </c>
      <c r="F1123" s="571" t="s">
        <v>66</v>
      </c>
      <c r="G1123" s="569" t="s">
        <v>66</v>
      </c>
      <c r="H1123" s="569" t="s">
        <v>216</v>
      </c>
      <c r="I1123" s="574">
        <v>437028144</v>
      </c>
    </row>
    <row r="1124" spans="1:9" ht="16" x14ac:dyDescent="0.2">
      <c r="A1124" s="561">
        <v>46063</v>
      </c>
      <c r="B1124" s="562">
        <v>2026</v>
      </c>
      <c r="C1124" s="563">
        <v>2</v>
      </c>
      <c r="D1124" s="564">
        <v>7</v>
      </c>
      <c r="E1124" s="564">
        <v>10</v>
      </c>
      <c r="F1124" s="565" t="s">
        <v>24</v>
      </c>
      <c r="G1124" s="563" t="s">
        <v>24</v>
      </c>
      <c r="H1124" s="563" t="s">
        <v>212</v>
      </c>
      <c r="I1124" s="573">
        <v>16196530000</v>
      </c>
    </row>
    <row r="1125" spans="1:9" ht="16" x14ac:dyDescent="0.2">
      <c r="A1125" s="567">
        <v>46063</v>
      </c>
      <c r="B1125" s="568">
        <v>2026</v>
      </c>
      <c r="C1125" s="569">
        <v>2</v>
      </c>
      <c r="D1125" s="570">
        <v>7</v>
      </c>
      <c r="E1125" s="570">
        <v>10</v>
      </c>
      <c r="F1125" s="571" t="s">
        <v>67</v>
      </c>
      <c r="G1125" s="569" t="s">
        <v>67</v>
      </c>
      <c r="H1125" s="569" t="s">
        <v>213</v>
      </c>
      <c r="I1125" s="574">
        <v>2427407614</v>
      </c>
    </row>
    <row r="1126" spans="1:9" ht="16" x14ac:dyDescent="0.2">
      <c r="A1126" s="561">
        <v>46063</v>
      </c>
      <c r="B1126" s="562">
        <v>2026</v>
      </c>
      <c r="C1126" s="563">
        <v>2</v>
      </c>
      <c r="D1126" s="564">
        <v>7</v>
      </c>
      <c r="E1126" s="564">
        <v>10</v>
      </c>
      <c r="F1126" s="565" t="s">
        <v>28</v>
      </c>
      <c r="G1126" s="563" t="s">
        <v>28</v>
      </c>
      <c r="H1126" s="563" t="s">
        <v>214</v>
      </c>
      <c r="I1126" s="573">
        <v>17914284000</v>
      </c>
    </row>
    <row r="1127" spans="1:9" ht="16" x14ac:dyDescent="0.2">
      <c r="A1127" s="567">
        <v>46063</v>
      </c>
      <c r="B1127" s="568">
        <v>2026</v>
      </c>
      <c r="C1127" s="569">
        <v>2</v>
      </c>
      <c r="D1127" s="570">
        <v>7</v>
      </c>
      <c r="E1127" s="570">
        <v>10</v>
      </c>
      <c r="F1127" s="571" t="s">
        <v>208</v>
      </c>
      <c r="G1127" s="569" t="s">
        <v>208</v>
      </c>
      <c r="H1127" s="569" t="s">
        <v>216</v>
      </c>
      <c r="I1127" s="574">
        <v>4878535</v>
      </c>
    </row>
    <row r="1128" spans="1:9" ht="16" x14ac:dyDescent="0.2">
      <c r="A1128" s="561">
        <v>46063</v>
      </c>
      <c r="B1128" s="562">
        <v>2026</v>
      </c>
      <c r="C1128" s="563">
        <v>2</v>
      </c>
      <c r="D1128" s="564">
        <v>7</v>
      </c>
      <c r="E1128" s="564">
        <v>10</v>
      </c>
      <c r="F1128" s="565" t="s">
        <v>60</v>
      </c>
      <c r="G1128" s="563" t="s">
        <v>60</v>
      </c>
      <c r="H1128" s="563" t="s">
        <v>212</v>
      </c>
      <c r="I1128" s="573">
        <v>90000000</v>
      </c>
    </row>
    <row r="1129" spans="1:9" ht="16" x14ac:dyDescent="0.2">
      <c r="A1129" s="567">
        <v>46063</v>
      </c>
      <c r="B1129" s="568">
        <v>2026</v>
      </c>
      <c r="C1129" s="569">
        <v>2</v>
      </c>
      <c r="D1129" s="570">
        <v>7</v>
      </c>
      <c r="E1129" s="570">
        <v>10</v>
      </c>
      <c r="F1129" s="571" t="s">
        <v>36</v>
      </c>
      <c r="G1129" s="569" t="s">
        <v>36</v>
      </c>
      <c r="H1129" s="569" t="s">
        <v>212</v>
      </c>
      <c r="I1129" s="574">
        <v>5553250000</v>
      </c>
    </row>
    <row r="1130" spans="1:9" ht="16" x14ac:dyDescent="0.2">
      <c r="A1130" s="561">
        <v>46063</v>
      </c>
      <c r="B1130" s="562">
        <v>2026</v>
      </c>
      <c r="C1130" s="563">
        <v>2</v>
      </c>
      <c r="D1130" s="564">
        <v>7</v>
      </c>
      <c r="E1130" s="564">
        <v>10</v>
      </c>
      <c r="F1130" s="565" t="s">
        <v>55</v>
      </c>
      <c r="G1130" s="563" t="s">
        <v>36</v>
      </c>
      <c r="H1130" s="563" t="s">
        <v>212</v>
      </c>
      <c r="I1130" s="573">
        <v>1816740000</v>
      </c>
    </row>
    <row r="1131" spans="1:9" ht="16" x14ac:dyDescent="0.2">
      <c r="A1131" s="567">
        <v>46063</v>
      </c>
      <c r="B1131" s="568">
        <v>2026</v>
      </c>
      <c r="C1131" s="569">
        <v>2</v>
      </c>
      <c r="D1131" s="570">
        <v>7</v>
      </c>
      <c r="E1131" s="570">
        <v>10</v>
      </c>
      <c r="F1131" s="571" t="s">
        <v>176</v>
      </c>
      <c r="G1131" s="569" t="s">
        <v>176</v>
      </c>
      <c r="H1131" s="569" t="s">
        <v>216</v>
      </c>
      <c r="I1131" s="574">
        <v>16585545</v>
      </c>
    </row>
    <row r="1132" spans="1:9" ht="16" x14ac:dyDescent="0.2">
      <c r="A1132" s="561">
        <v>46063</v>
      </c>
      <c r="B1132" s="562">
        <v>2026</v>
      </c>
      <c r="C1132" s="563">
        <v>2</v>
      </c>
      <c r="D1132" s="564">
        <v>7</v>
      </c>
      <c r="E1132" s="564">
        <v>10</v>
      </c>
      <c r="F1132" s="565" t="s">
        <v>39</v>
      </c>
      <c r="G1132" s="563" t="s">
        <v>176</v>
      </c>
      <c r="H1132" s="563" t="s">
        <v>216</v>
      </c>
      <c r="I1132" s="573">
        <v>2363385233</v>
      </c>
    </row>
    <row r="1133" spans="1:9" ht="16" x14ac:dyDescent="0.2">
      <c r="A1133" s="567">
        <v>46063</v>
      </c>
      <c r="B1133" s="568">
        <v>2026</v>
      </c>
      <c r="C1133" s="569">
        <v>2</v>
      </c>
      <c r="D1133" s="570">
        <v>7</v>
      </c>
      <c r="E1133" s="570">
        <v>10</v>
      </c>
      <c r="F1133" s="571" t="s">
        <v>206</v>
      </c>
      <c r="G1133" s="569" t="s">
        <v>206</v>
      </c>
      <c r="H1133" s="569" t="s">
        <v>212</v>
      </c>
      <c r="I1133" s="574">
        <v>0</v>
      </c>
    </row>
    <row r="1134" spans="1:9" ht="16" x14ac:dyDescent="0.2">
      <c r="A1134" s="561">
        <v>46063</v>
      </c>
      <c r="B1134" s="562">
        <v>2026</v>
      </c>
      <c r="C1134" s="563">
        <v>2</v>
      </c>
      <c r="D1134" s="564">
        <v>7</v>
      </c>
      <c r="E1134" s="564">
        <v>10</v>
      </c>
      <c r="F1134" s="565" t="s">
        <v>64</v>
      </c>
      <c r="G1134" s="563" t="s">
        <v>209</v>
      </c>
      <c r="H1134" s="563" t="s">
        <v>212</v>
      </c>
      <c r="I1134" s="573">
        <v>128250000</v>
      </c>
    </row>
    <row r="1135" spans="1:9" ht="16" x14ac:dyDescent="0.2">
      <c r="A1135" s="567">
        <v>46063</v>
      </c>
      <c r="B1135" s="568">
        <v>2026</v>
      </c>
      <c r="C1135" s="569">
        <v>2</v>
      </c>
      <c r="D1135" s="570">
        <v>7</v>
      </c>
      <c r="E1135" s="570">
        <v>10</v>
      </c>
      <c r="F1135" s="571" t="s">
        <v>237</v>
      </c>
      <c r="G1135" s="569" t="s">
        <v>209</v>
      </c>
      <c r="H1135" s="569" t="s">
        <v>212</v>
      </c>
      <c r="I1135" s="574">
        <v>0</v>
      </c>
    </row>
    <row r="1136" spans="1:9" ht="16" x14ac:dyDescent="0.2">
      <c r="A1136" s="561">
        <v>46063</v>
      </c>
      <c r="B1136" s="562">
        <v>2026</v>
      </c>
      <c r="C1136" s="563">
        <v>2</v>
      </c>
      <c r="D1136" s="564">
        <v>7</v>
      </c>
      <c r="E1136" s="564">
        <v>10</v>
      </c>
      <c r="F1136" s="565" t="s">
        <v>11</v>
      </c>
      <c r="G1136" s="563" t="s">
        <v>11</v>
      </c>
      <c r="H1136" s="563" t="s">
        <v>212</v>
      </c>
      <c r="I1136" s="573">
        <v>22447140000</v>
      </c>
    </row>
    <row r="1137" spans="1:9" ht="16" x14ac:dyDescent="0.2">
      <c r="A1137" s="567">
        <v>46063</v>
      </c>
      <c r="B1137" s="568">
        <v>2026</v>
      </c>
      <c r="C1137" s="569">
        <v>2</v>
      </c>
      <c r="D1137" s="570">
        <v>7</v>
      </c>
      <c r="E1137" s="570">
        <v>10</v>
      </c>
      <c r="F1137" s="571" t="s">
        <v>221</v>
      </c>
      <c r="G1137" s="569" t="s">
        <v>207</v>
      </c>
      <c r="H1137" s="569" t="s">
        <v>212</v>
      </c>
      <c r="I1137" s="574">
        <v>0</v>
      </c>
    </row>
    <row r="1138" spans="1:9" ht="16" x14ac:dyDescent="0.2">
      <c r="A1138" s="561">
        <v>46063</v>
      </c>
      <c r="B1138" s="562">
        <v>2026</v>
      </c>
      <c r="C1138" s="563">
        <v>2</v>
      </c>
      <c r="D1138" s="564">
        <v>7</v>
      </c>
      <c r="E1138" s="564">
        <v>10</v>
      </c>
      <c r="F1138" s="565" t="s">
        <v>222</v>
      </c>
      <c r="G1138" s="563" t="s">
        <v>207</v>
      </c>
      <c r="H1138" s="563" t="s">
        <v>212</v>
      </c>
      <c r="I1138" s="573">
        <v>0</v>
      </c>
    </row>
    <row r="1139" spans="1:9" ht="16" x14ac:dyDescent="0.2">
      <c r="A1139" s="567">
        <v>46063</v>
      </c>
      <c r="B1139" s="568">
        <v>2026</v>
      </c>
      <c r="C1139" s="569">
        <v>2</v>
      </c>
      <c r="D1139" s="570">
        <v>7</v>
      </c>
      <c r="E1139" s="570">
        <v>10</v>
      </c>
      <c r="F1139" s="571" t="s">
        <v>223</v>
      </c>
      <c r="G1139" s="569" t="s">
        <v>207</v>
      </c>
      <c r="H1139" s="569" t="s">
        <v>212</v>
      </c>
      <c r="I1139" s="574">
        <v>0</v>
      </c>
    </row>
    <row r="1140" spans="1:9" ht="16" x14ac:dyDescent="0.2">
      <c r="A1140" s="561">
        <v>46063</v>
      </c>
      <c r="B1140" s="562">
        <v>2026</v>
      </c>
      <c r="C1140" s="563">
        <v>2</v>
      </c>
      <c r="D1140" s="564">
        <v>7</v>
      </c>
      <c r="E1140" s="564">
        <v>10</v>
      </c>
      <c r="F1140" s="565" t="s">
        <v>219</v>
      </c>
      <c r="G1140" s="563" t="s">
        <v>11</v>
      </c>
      <c r="H1140" s="563" t="s">
        <v>212</v>
      </c>
      <c r="I1140" s="573">
        <v>5000000</v>
      </c>
    </row>
    <row r="1141" spans="1:9" ht="16" x14ac:dyDescent="0.2">
      <c r="A1141" s="567">
        <v>46063</v>
      </c>
      <c r="B1141" s="568">
        <v>2026</v>
      </c>
      <c r="C1141" s="569">
        <v>2</v>
      </c>
      <c r="D1141" s="570">
        <v>7</v>
      </c>
      <c r="E1141" s="570">
        <v>10</v>
      </c>
      <c r="F1141" s="571" t="s">
        <v>19</v>
      </c>
      <c r="G1141" s="569" t="s">
        <v>19</v>
      </c>
      <c r="H1141" s="569" t="s">
        <v>214</v>
      </c>
      <c r="I1141" s="574">
        <v>16601760000</v>
      </c>
    </row>
    <row r="1142" spans="1:9" ht="16" x14ac:dyDescent="0.2">
      <c r="A1142" s="561">
        <v>46063</v>
      </c>
      <c r="B1142" s="562">
        <v>2026</v>
      </c>
      <c r="C1142" s="563">
        <v>2</v>
      </c>
      <c r="D1142" s="564">
        <v>7</v>
      </c>
      <c r="E1142" s="564">
        <v>10</v>
      </c>
      <c r="F1142" s="565" t="s">
        <v>62</v>
      </c>
      <c r="G1142" s="563" t="s">
        <v>62</v>
      </c>
      <c r="H1142" s="563" t="s">
        <v>216</v>
      </c>
      <c r="I1142" s="573">
        <v>263184392</v>
      </c>
    </row>
    <row r="1143" spans="1:9" ht="16" x14ac:dyDescent="0.2">
      <c r="A1143" s="567">
        <v>46063</v>
      </c>
      <c r="B1143" s="568">
        <v>2026</v>
      </c>
      <c r="C1143" s="569">
        <v>2</v>
      </c>
      <c r="D1143" s="570">
        <v>7</v>
      </c>
      <c r="E1143" s="570">
        <v>10</v>
      </c>
      <c r="F1143" s="571" t="s">
        <v>58</v>
      </c>
      <c r="G1143" s="569" t="s">
        <v>58</v>
      </c>
      <c r="H1143" s="569" t="s">
        <v>212</v>
      </c>
      <c r="I1143" s="574">
        <v>52500000</v>
      </c>
    </row>
    <row r="1144" spans="1:9" ht="16" x14ac:dyDescent="0.2">
      <c r="A1144" s="561">
        <v>46063</v>
      </c>
      <c r="B1144" s="562">
        <v>2026</v>
      </c>
      <c r="C1144" s="563">
        <v>2</v>
      </c>
      <c r="D1144" s="564">
        <v>7</v>
      </c>
      <c r="E1144" s="564">
        <v>10</v>
      </c>
      <c r="F1144" s="565" t="s">
        <v>61</v>
      </c>
      <c r="G1144" s="563" t="s">
        <v>61</v>
      </c>
      <c r="H1144" s="563" t="s">
        <v>214</v>
      </c>
      <c r="I1144" s="573">
        <v>77000000</v>
      </c>
    </row>
    <row r="1145" spans="1:9" ht="16" x14ac:dyDescent="0.2">
      <c r="A1145" s="567">
        <v>46063</v>
      </c>
      <c r="B1145" s="568">
        <v>2026</v>
      </c>
      <c r="C1145" s="569">
        <v>2</v>
      </c>
      <c r="D1145" s="570">
        <v>7</v>
      </c>
      <c r="E1145" s="570">
        <v>10</v>
      </c>
      <c r="F1145" s="571" t="s">
        <v>57</v>
      </c>
      <c r="G1145" s="569" t="s">
        <v>57</v>
      </c>
      <c r="H1145" s="569" t="s">
        <v>212</v>
      </c>
      <c r="I1145" s="574">
        <v>1239540000</v>
      </c>
    </row>
    <row r="1146" spans="1:9" ht="16" x14ac:dyDescent="0.2">
      <c r="A1146" s="561">
        <v>46063</v>
      </c>
      <c r="B1146" s="562">
        <v>2026</v>
      </c>
      <c r="C1146" s="563">
        <v>2</v>
      </c>
      <c r="D1146" s="564">
        <v>7</v>
      </c>
      <c r="E1146" s="564">
        <v>10</v>
      </c>
      <c r="F1146" s="565" t="s">
        <v>63</v>
      </c>
      <c r="G1146" s="563" t="s">
        <v>63</v>
      </c>
      <c r="H1146" s="563" t="s">
        <v>214</v>
      </c>
      <c r="I1146" s="573">
        <v>437400000</v>
      </c>
    </row>
    <row r="1147" spans="1:9" ht="16" x14ac:dyDescent="0.2">
      <c r="A1147" s="567">
        <v>46063</v>
      </c>
      <c r="B1147" s="568">
        <v>2026</v>
      </c>
      <c r="C1147" s="569">
        <v>2</v>
      </c>
      <c r="D1147" s="570">
        <v>7</v>
      </c>
      <c r="E1147" s="570">
        <v>10</v>
      </c>
      <c r="F1147" s="571" t="s">
        <v>59</v>
      </c>
      <c r="G1147" s="569" t="s">
        <v>59</v>
      </c>
      <c r="H1147" s="569" t="s">
        <v>216</v>
      </c>
      <c r="I1147" s="574">
        <v>531809759</v>
      </c>
    </row>
    <row r="1148" spans="1:9" ht="16" x14ac:dyDescent="0.2">
      <c r="A1148" s="561">
        <v>46063</v>
      </c>
      <c r="B1148" s="562">
        <v>2026</v>
      </c>
      <c r="C1148" s="563">
        <v>2</v>
      </c>
      <c r="D1148" s="564">
        <v>7</v>
      </c>
      <c r="E1148" s="564">
        <v>10</v>
      </c>
      <c r="F1148" s="565" t="s">
        <v>31</v>
      </c>
      <c r="G1148" s="563" t="s">
        <v>175</v>
      </c>
      <c r="H1148" s="563" t="s">
        <v>212</v>
      </c>
      <c r="I1148" s="573">
        <v>4441820000</v>
      </c>
    </row>
    <row r="1149" spans="1:9" ht="16" x14ac:dyDescent="0.2">
      <c r="A1149" s="567">
        <v>46063</v>
      </c>
      <c r="B1149" s="568">
        <v>2026</v>
      </c>
      <c r="C1149" s="569">
        <v>2</v>
      </c>
      <c r="D1149" s="570">
        <v>7</v>
      </c>
      <c r="E1149" s="570">
        <v>10</v>
      </c>
      <c r="F1149" s="571" t="s">
        <v>234</v>
      </c>
      <c r="G1149" s="569" t="s">
        <v>210</v>
      </c>
      <c r="H1149" s="569" t="s">
        <v>214</v>
      </c>
      <c r="I1149" s="574">
        <v>450640000</v>
      </c>
    </row>
    <row r="1150" spans="1:9" ht="16" x14ac:dyDescent="0.2">
      <c r="A1150" s="561">
        <v>46064</v>
      </c>
      <c r="B1150" s="562">
        <v>2026</v>
      </c>
      <c r="C1150" s="563">
        <v>2</v>
      </c>
      <c r="D1150" s="564">
        <v>7</v>
      </c>
      <c r="E1150" s="564">
        <v>11</v>
      </c>
      <c r="F1150" s="565" t="s">
        <v>65</v>
      </c>
      <c r="G1150" s="563" t="s">
        <v>65</v>
      </c>
      <c r="H1150" s="563" t="s">
        <v>212</v>
      </c>
      <c r="I1150" s="573">
        <v>884450000</v>
      </c>
    </row>
    <row r="1151" spans="1:9" ht="16" x14ac:dyDescent="0.2">
      <c r="A1151" s="567">
        <v>46064</v>
      </c>
      <c r="B1151" s="568">
        <v>2026</v>
      </c>
      <c r="C1151" s="569">
        <v>2</v>
      </c>
      <c r="D1151" s="570">
        <v>7</v>
      </c>
      <c r="E1151" s="570">
        <v>11</v>
      </c>
      <c r="F1151" s="571" t="s">
        <v>66</v>
      </c>
      <c r="G1151" s="569" t="s">
        <v>66</v>
      </c>
      <c r="H1151" s="569" t="s">
        <v>216</v>
      </c>
      <c r="I1151" s="574">
        <v>410495563</v>
      </c>
    </row>
    <row r="1152" spans="1:9" ht="16" x14ac:dyDescent="0.2">
      <c r="A1152" s="561">
        <v>46064</v>
      </c>
      <c r="B1152" s="562">
        <v>2026</v>
      </c>
      <c r="C1152" s="563">
        <v>2</v>
      </c>
      <c r="D1152" s="564">
        <v>7</v>
      </c>
      <c r="E1152" s="564">
        <v>11</v>
      </c>
      <c r="F1152" s="565" t="s">
        <v>24</v>
      </c>
      <c r="G1152" s="563" t="s">
        <v>24</v>
      </c>
      <c r="H1152" s="563" t="s">
        <v>212</v>
      </c>
      <c r="I1152" s="573">
        <v>15446610000</v>
      </c>
    </row>
    <row r="1153" spans="1:9" ht="16" x14ac:dyDescent="0.2">
      <c r="A1153" s="567">
        <v>46064</v>
      </c>
      <c r="B1153" s="568">
        <v>2026</v>
      </c>
      <c r="C1153" s="569">
        <v>2</v>
      </c>
      <c r="D1153" s="570">
        <v>7</v>
      </c>
      <c r="E1153" s="570">
        <v>11</v>
      </c>
      <c r="F1153" s="571" t="s">
        <v>67</v>
      </c>
      <c r="G1153" s="569" t="s">
        <v>67</v>
      </c>
      <c r="H1153" s="569" t="s">
        <v>213</v>
      </c>
      <c r="I1153" s="574">
        <v>2518304147</v>
      </c>
    </row>
    <row r="1154" spans="1:9" ht="16" x14ac:dyDescent="0.2">
      <c r="A1154" s="561">
        <v>46064</v>
      </c>
      <c r="B1154" s="562">
        <v>2026</v>
      </c>
      <c r="C1154" s="563">
        <v>2</v>
      </c>
      <c r="D1154" s="564">
        <v>7</v>
      </c>
      <c r="E1154" s="564">
        <v>11</v>
      </c>
      <c r="F1154" s="565" t="s">
        <v>28</v>
      </c>
      <c r="G1154" s="563" t="s">
        <v>28</v>
      </c>
      <c r="H1154" s="563" t="s">
        <v>214</v>
      </c>
      <c r="I1154" s="573">
        <v>14549760000</v>
      </c>
    </row>
    <row r="1155" spans="1:9" ht="16" x14ac:dyDescent="0.2">
      <c r="A1155" s="567">
        <v>46064</v>
      </c>
      <c r="B1155" s="568">
        <v>2026</v>
      </c>
      <c r="C1155" s="569">
        <v>2</v>
      </c>
      <c r="D1155" s="570">
        <v>7</v>
      </c>
      <c r="E1155" s="570">
        <v>11</v>
      </c>
      <c r="F1155" s="571" t="s">
        <v>208</v>
      </c>
      <c r="G1155" s="569" t="s">
        <v>208</v>
      </c>
      <c r="H1155" s="569" t="s">
        <v>216</v>
      </c>
      <c r="I1155" s="574">
        <v>8878861</v>
      </c>
    </row>
    <row r="1156" spans="1:9" ht="16" x14ac:dyDescent="0.2">
      <c r="A1156" s="561">
        <v>46064</v>
      </c>
      <c r="B1156" s="562">
        <v>2026</v>
      </c>
      <c r="C1156" s="563">
        <v>2</v>
      </c>
      <c r="D1156" s="564">
        <v>7</v>
      </c>
      <c r="E1156" s="564">
        <v>11</v>
      </c>
      <c r="F1156" s="565" t="s">
        <v>60</v>
      </c>
      <c r="G1156" s="563" t="s">
        <v>60</v>
      </c>
      <c r="H1156" s="563" t="s">
        <v>212</v>
      </c>
      <c r="I1156" s="573">
        <v>0</v>
      </c>
    </row>
    <row r="1157" spans="1:9" ht="16" x14ac:dyDescent="0.2">
      <c r="A1157" s="567">
        <v>46064</v>
      </c>
      <c r="B1157" s="568">
        <v>2026</v>
      </c>
      <c r="C1157" s="569">
        <v>2</v>
      </c>
      <c r="D1157" s="570">
        <v>7</v>
      </c>
      <c r="E1157" s="570">
        <v>11</v>
      </c>
      <c r="F1157" s="571" t="s">
        <v>36</v>
      </c>
      <c r="G1157" s="569" t="s">
        <v>36</v>
      </c>
      <c r="H1157" s="569" t="s">
        <v>212</v>
      </c>
      <c r="I1157" s="574">
        <v>5167060000</v>
      </c>
    </row>
    <row r="1158" spans="1:9" ht="16" x14ac:dyDescent="0.2">
      <c r="A1158" s="561">
        <v>46064</v>
      </c>
      <c r="B1158" s="562">
        <v>2026</v>
      </c>
      <c r="C1158" s="563">
        <v>2</v>
      </c>
      <c r="D1158" s="564">
        <v>7</v>
      </c>
      <c r="E1158" s="564">
        <v>11</v>
      </c>
      <c r="F1158" s="565" t="s">
        <v>55</v>
      </c>
      <c r="G1158" s="563" t="s">
        <v>36</v>
      </c>
      <c r="H1158" s="563" t="s">
        <v>212</v>
      </c>
      <c r="I1158" s="573">
        <v>1733810000</v>
      </c>
    </row>
    <row r="1159" spans="1:9" ht="16" x14ac:dyDescent="0.2">
      <c r="A1159" s="567">
        <v>46064</v>
      </c>
      <c r="B1159" s="568">
        <v>2026</v>
      </c>
      <c r="C1159" s="569">
        <v>2</v>
      </c>
      <c r="D1159" s="570">
        <v>7</v>
      </c>
      <c r="E1159" s="570">
        <v>11</v>
      </c>
      <c r="F1159" s="571" t="s">
        <v>176</v>
      </c>
      <c r="G1159" s="569" t="s">
        <v>176</v>
      </c>
      <c r="H1159" s="569" t="s">
        <v>216</v>
      </c>
      <c r="I1159" s="574">
        <v>11337900</v>
      </c>
    </row>
    <row r="1160" spans="1:9" ht="16" x14ac:dyDescent="0.2">
      <c r="A1160" s="561">
        <v>46064</v>
      </c>
      <c r="B1160" s="562">
        <v>2026</v>
      </c>
      <c r="C1160" s="563">
        <v>2</v>
      </c>
      <c r="D1160" s="564">
        <v>7</v>
      </c>
      <c r="E1160" s="564">
        <v>11</v>
      </c>
      <c r="F1160" s="565" t="s">
        <v>39</v>
      </c>
      <c r="G1160" s="563" t="s">
        <v>176</v>
      </c>
      <c r="H1160" s="563" t="s">
        <v>216</v>
      </c>
      <c r="I1160" s="573">
        <v>2163121408</v>
      </c>
    </row>
    <row r="1161" spans="1:9" ht="16" x14ac:dyDescent="0.2">
      <c r="A1161" s="567">
        <v>46064</v>
      </c>
      <c r="B1161" s="568">
        <v>2026</v>
      </c>
      <c r="C1161" s="569">
        <v>2</v>
      </c>
      <c r="D1161" s="570">
        <v>7</v>
      </c>
      <c r="E1161" s="570">
        <v>11</v>
      </c>
      <c r="F1161" s="571" t="s">
        <v>206</v>
      </c>
      <c r="G1161" s="569" t="s">
        <v>206</v>
      </c>
      <c r="H1161" s="569" t="s">
        <v>212</v>
      </c>
      <c r="I1161" s="574">
        <v>0</v>
      </c>
    </row>
    <row r="1162" spans="1:9" ht="16" x14ac:dyDescent="0.2">
      <c r="A1162" s="561">
        <v>46064</v>
      </c>
      <c r="B1162" s="562">
        <v>2026</v>
      </c>
      <c r="C1162" s="563">
        <v>2</v>
      </c>
      <c r="D1162" s="564">
        <v>7</v>
      </c>
      <c r="E1162" s="564">
        <v>11</v>
      </c>
      <c r="F1162" s="565" t="s">
        <v>64</v>
      </c>
      <c r="G1162" s="563" t="s">
        <v>209</v>
      </c>
      <c r="H1162" s="563" t="s">
        <v>212</v>
      </c>
      <c r="I1162" s="573">
        <v>117000000</v>
      </c>
    </row>
    <row r="1163" spans="1:9" ht="16" x14ac:dyDescent="0.2">
      <c r="A1163" s="567">
        <v>46064</v>
      </c>
      <c r="B1163" s="568">
        <v>2026</v>
      </c>
      <c r="C1163" s="569">
        <v>2</v>
      </c>
      <c r="D1163" s="570">
        <v>7</v>
      </c>
      <c r="E1163" s="570">
        <v>11</v>
      </c>
      <c r="F1163" s="571" t="s">
        <v>237</v>
      </c>
      <c r="G1163" s="569" t="s">
        <v>209</v>
      </c>
      <c r="H1163" s="569" t="s">
        <v>212</v>
      </c>
      <c r="I1163" s="574">
        <v>0</v>
      </c>
    </row>
    <row r="1164" spans="1:9" ht="16" x14ac:dyDescent="0.2">
      <c r="A1164" s="561">
        <v>46064</v>
      </c>
      <c r="B1164" s="562">
        <v>2026</v>
      </c>
      <c r="C1164" s="563">
        <v>2</v>
      </c>
      <c r="D1164" s="564">
        <v>7</v>
      </c>
      <c r="E1164" s="564">
        <v>11</v>
      </c>
      <c r="F1164" s="565" t="s">
        <v>11</v>
      </c>
      <c r="G1164" s="563" t="s">
        <v>11</v>
      </c>
      <c r="H1164" s="563" t="s">
        <v>212</v>
      </c>
      <c r="I1164" s="573">
        <v>20131040000</v>
      </c>
    </row>
    <row r="1165" spans="1:9" ht="16" x14ac:dyDescent="0.2">
      <c r="A1165" s="567">
        <v>46064</v>
      </c>
      <c r="B1165" s="568">
        <v>2026</v>
      </c>
      <c r="C1165" s="569">
        <v>2</v>
      </c>
      <c r="D1165" s="570">
        <v>7</v>
      </c>
      <c r="E1165" s="570">
        <v>11</v>
      </c>
      <c r="F1165" s="571" t="s">
        <v>221</v>
      </c>
      <c r="G1165" s="569" t="s">
        <v>207</v>
      </c>
      <c r="H1165" s="569" t="s">
        <v>212</v>
      </c>
      <c r="I1165" s="574">
        <v>0</v>
      </c>
    </row>
    <row r="1166" spans="1:9" ht="16" x14ac:dyDescent="0.2">
      <c r="A1166" s="561">
        <v>46064</v>
      </c>
      <c r="B1166" s="562">
        <v>2026</v>
      </c>
      <c r="C1166" s="563">
        <v>2</v>
      </c>
      <c r="D1166" s="564">
        <v>7</v>
      </c>
      <c r="E1166" s="564">
        <v>11</v>
      </c>
      <c r="F1166" s="565" t="s">
        <v>222</v>
      </c>
      <c r="G1166" s="563" t="s">
        <v>207</v>
      </c>
      <c r="H1166" s="563" t="s">
        <v>212</v>
      </c>
      <c r="I1166" s="573">
        <v>0</v>
      </c>
    </row>
    <row r="1167" spans="1:9" ht="16" x14ac:dyDescent="0.2">
      <c r="A1167" s="567">
        <v>46064</v>
      </c>
      <c r="B1167" s="568">
        <v>2026</v>
      </c>
      <c r="C1167" s="569">
        <v>2</v>
      </c>
      <c r="D1167" s="570">
        <v>7</v>
      </c>
      <c r="E1167" s="570">
        <v>11</v>
      </c>
      <c r="F1167" s="571" t="s">
        <v>223</v>
      </c>
      <c r="G1167" s="569" t="s">
        <v>207</v>
      </c>
      <c r="H1167" s="569" t="s">
        <v>212</v>
      </c>
      <c r="I1167" s="574">
        <v>0</v>
      </c>
    </row>
    <row r="1168" spans="1:9" ht="16" x14ac:dyDescent="0.2">
      <c r="A1168" s="561">
        <v>46064</v>
      </c>
      <c r="B1168" s="562">
        <v>2026</v>
      </c>
      <c r="C1168" s="563">
        <v>2</v>
      </c>
      <c r="D1168" s="564">
        <v>7</v>
      </c>
      <c r="E1168" s="564">
        <v>11</v>
      </c>
      <c r="F1168" s="565" t="s">
        <v>219</v>
      </c>
      <c r="G1168" s="563" t="s">
        <v>11</v>
      </c>
      <c r="H1168" s="563" t="s">
        <v>212</v>
      </c>
      <c r="I1168" s="573">
        <v>30000000</v>
      </c>
    </row>
    <row r="1169" spans="1:9" ht="16" x14ac:dyDescent="0.2">
      <c r="A1169" s="567">
        <v>46064</v>
      </c>
      <c r="B1169" s="568">
        <v>2026</v>
      </c>
      <c r="C1169" s="569">
        <v>2</v>
      </c>
      <c r="D1169" s="570">
        <v>7</v>
      </c>
      <c r="E1169" s="570">
        <v>11</v>
      </c>
      <c r="F1169" s="571" t="s">
        <v>19</v>
      </c>
      <c r="G1169" s="569" t="s">
        <v>19</v>
      </c>
      <c r="H1169" s="569" t="s">
        <v>214</v>
      </c>
      <c r="I1169" s="574">
        <v>14314212000</v>
      </c>
    </row>
    <row r="1170" spans="1:9" ht="16" x14ac:dyDescent="0.2">
      <c r="A1170" s="561">
        <v>46064</v>
      </c>
      <c r="B1170" s="562">
        <v>2026</v>
      </c>
      <c r="C1170" s="563">
        <v>2</v>
      </c>
      <c r="D1170" s="564">
        <v>7</v>
      </c>
      <c r="E1170" s="564">
        <v>11</v>
      </c>
      <c r="F1170" s="565" t="s">
        <v>62</v>
      </c>
      <c r="G1170" s="563" t="s">
        <v>62</v>
      </c>
      <c r="H1170" s="563" t="s">
        <v>216</v>
      </c>
      <c r="I1170" s="573">
        <v>217746686</v>
      </c>
    </row>
    <row r="1171" spans="1:9" ht="16" x14ac:dyDescent="0.2">
      <c r="A1171" s="567">
        <v>46064</v>
      </c>
      <c r="B1171" s="568">
        <v>2026</v>
      </c>
      <c r="C1171" s="569">
        <v>2</v>
      </c>
      <c r="D1171" s="570">
        <v>7</v>
      </c>
      <c r="E1171" s="570">
        <v>11</v>
      </c>
      <c r="F1171" s="571" t="s">
        <v>58</v>
      </c>
      <c r="G1171" s="569" t="s">
        <v>58</v>
      </c>
      <c r="H1171" s="569" t="s">
        <v>212</v>
      </c>
      <c r="I1171" s="574">
        <v>26250000</v>
      </c>
    </row>
    <row r="1172" spans="1:9" ht="16" x14ac:dyDescent="0.2">
      <c r="A1172" s="561">
        <v>46064</v>
      </c>
      <c r="B1172" s="562">
        <v>2026</v>
      </c>
      <c r="C1172" s="563">
        <v>2</v>
      </c>
      <c r="D1172" s="564">
        <v>7</v>
      </c>
      <c r="E1172" s="564">
        <v>11</v>
      </c>
      <c r="F1172" s="565" t="s">
        <v>61</v>
      </c>
      <c r="G1172" s="563" t="s">
        <v>61</v>
      </c>
      <c r="H1172" s="563" t="s">
        <v>214</v>
      </c>
      <c r="I1172" s="573">
        <v>41000000</v>
      </c>
    </row>
    <row r="1173" spans="1:9" ht="16" x14ac:dyDescent="0.2">
      <c r="A1173" s="567">
        <v>46064</v>
      </c>
      <c r="B1173" s="568">
        <v>2026</v>
      </c>
      <c r="C1173" s="569">
        <v>2</v>
      </c>
      <c r="D1173" s="570">
        <v>7</v>
      </c>
      <c r="E1173" s="570">
        <v>11</v>
      </c>
      <c r="F1173" s="571" t="s">
        <v>57</v>
      </c>
      <c r="G1173" s="569" t="s">
        <v>57</v>
      </c>
      <c r="H1173" s="569" t="s">
        <v>212</v>
      </c>
      <c r="I1173" s="574">
        <v>1090080000</v>
      </c>
    </row>
    <row r="1174" spans="1:9" ht="16" x14ac:dyDescent="0.2">
      <c r="A1174" s="561">
        <v>46064</v>
      </c>
      <c r="B1174" s="562">
        <v>2026</v>
      </c>
      <c r="C1174" s="563">
        <v>2</v>
      </c>
      <c r="D1174" s="564">
        <v>7</v>
      </c>
      <c r="E1174" s="564">
        <v>11</v>
      </c>
      <c r="F1174" s="565" t="s">
        <v>63</v>
      </c>
      <c r="G1174" s="563" t="s">
        <v>63</v>
      </c>
      <c r="H1174" s="563" t="s">
        <v>214</v>
      </c>
      <c r="I1174" s="573">
        <v>388692000</v>
      </c>
    </row>
    <row r="1175" spans="1:9" ht="16" x14ac:dyDescent="0.2">
      <c r="A1175" s="567">
        <v>46064</v>
      </c>
      <c r="B1175" s="568">
        <v>2026</v>
      </c>
      <c r="C1175" s="569">
        <v>2</v>
      </c>
      <c r="D1175" s="570">
        <v>7</v>
      </c>
      <c r="E1175" s="570">
        <v>11</v>
      </c>
      <c r="F1175" s="571" t="s">
        <v>59</v>
      </c>
      <c r="G1175" s="569" t="s">
        <v>59</v>
      </c>
      <c r="H1175" s="569" t="s">
        <v>216</v>
      </c>
      <c r="I1175" s="574">
        <v>380520888</v>
      </c>
    </row>
    <row r="1176" spans="1:9" ht="16" x14ac:dyDescent="0.2">
      <c r="A1176" s="561">
        <v>46064</v>
      </c>
      <c r="B1176" s="562">
        <v>2026</v>
      </c>
      <c r="C1176" s="563">
        <v>2</v>
      </c>
      <c r="D1176" s="564">
        <v>7</v>
      </c>
      <c r="E1176" s="564">
        <v>11</v>
      </c>
      <c r="F1176" s="565" t="s">
        <v>31</v>
      </c>
      <c r="G1176" s="563" t="s">
        <v>175</v>
      </c>
      <c r="H1176" s="563" t="s">
        <v>212</v>
      </c>
      <c r="I1176" s="573">
        <v>4042080000</v>
      </c>
    </row>
    <row r="1177" spans="1:9" ht="16" x14ac:dyDescent="0.2">
      <c r="A1177" s="567">
        <v>46064</v>
      </c>
      <c r="B1177" s="568">
        <v>2026</v>
      </c>
      <c r="C1177" s="569">
        <v>2</v>
      </c>
      <c r="D1177" s="570">
        <v>7</v>
      </c>
      <c r="E1177" s="570">
        <v>11</v>
      </c>
      <c r="F1177" s="571" t="s">
        <v>234</v>
      </c>
      <c r="G1177" s="569" t="s">
        <v>210</v>
      </c>
      <c r="H1177" s="569" t="s">
        <v>214</v>
      </c>
      <c r="I1177" s="574">
        <v>414560000</v>
      </c>
    </row>
    <row r="1178" spans="1:9" ht="16" x14ac:dyDescent="0.2">
      <c r="A1178" s="561">
        <v>46065</v>
      </c>
      <c r="B1178" s="562">
        <v>2026</v>
      </c>
      <c r="C1178" s="563">
        <v>2</v>
      </c>
      <c r="D1178" s="564">
        <v>7</v>
      </c>
      <c r="E1178" s="564">
        <v>12</v>
      </c>
      <c r="F1178" s="565" t="s">
        <v>65</v>
      </c>
      <c r="G1178" s="563" t="s">
        <v>65</v>
      </c>
      <c r="H1178" s="563" t="s">
        <v>212</v>
      </c>
      <c r="I1178" s="573">
        <v>679300000</v>
      </c>
    </row>
    <row r="1179" spans="1:9" ht="16" x14ac:dyDescent="0.2">
      <c r="A1179" s="567">
        <v>46065</v>
      </c>
      <c r="B1179" s="568">
        <v>2026</v>
      </c>
      <c r="C1179" s="569">
        <v>2</v>
      </c>
      <c r="D1179" s="570">
        <v>7</v>
      </c>
      <c r="E1179" s="570">
        <v>12</v>
      </c>
      <c r="F1179" s="571" t="s">
        <v>66</v>
      </c>
      <c r="G1179" s="569" t="s">
        <v>66</v>
      </c>
      <c r="H1179" s="569" t="s">
        <v>216</v>
      </c>
      <c r="I1179" s="574">
        <v>339242997</v>
      </c>
    </row>
    <row r="1180" spans="1:9" ht="16" x14ac:dyDescent="0.2">
      <c r="A1180" s="561">
        <v>46065</v>
      </c>
      <c r="B1180" s="562">
        <v>2026</v>
      </c>
      <c r="C1180" s="563">
        <v>2</v>
      </c>
      <c r="D1180" s="564">
        <v>7</v>
      </c>
      <c r="E1180" s="564">
        <v>12</v>
      </c>
      <c r="F1180" s="565" t="s">
        <v>24</v>
      </c>
      <c r="G1180" s="563" t="s">
        <v>24</v>
      </c>
      <c r="H1180" s="563" t="s">
        <v>212</v>
      </c>
      <c r="I1180" s="573">
        <v>15537640000</v>
      </c>
    </row>
    <row r="1181" spans="1:9" ht="16" x14ac:dyDescent="0.2">
      <c r="A1181" s="567">
        <v>46065</v>
      </c>
      <c r="B1181" s="568">
        <v>2026</v>
      </c>
      <c r="C1181" s="569">
        <v>2</v>
      </c>
      <c r="D1181" s="570">
        <v>7</v>
      </c>
      <c r="E1181" s="570">
        <v>12</v>
      </c>
      <c r="F1181" s="571" t="s">
        <v>67</v>
      </c>
      <c r="G1181" s="569" t="s">
        <v>67</v>
      </c>
      <c r="H1181" s="569" t="s">
        <v>213</v>
      </c>
      <c r="I1181" s="574">
        <v>2012131802</v>
      </c>
    </row>
    <row r="1182" spans="1:9" ht="16" x14ac:dyDescent="0.2">
      <c r="A1182" s="561">
        <v>46065</v>
      </c>
      <c r="B1182" s="562">
        <v>2026</v>
      </c>
      <c r="C1182" s="563">
        <v>2</v>
      </c>
      <c r="D1182" s="564">
        <v>7</v>
      </c>
      <c r="E1182" s="564">
        <v>12</v>
      </c>
      <c r="F1182" s="565" t="s">
        <v>28</v>
      </c>
      <c r="G1182" s="563" t="s">
        <v>28</v>
      </c>
      <c r="H1182" s="563" t="s">
        <v>214</v>
      </c>
      <c r="I1182" s="573">
        <v>14688324000</v>
      </c>
    </row>
    <row r="1183" spans="1:9" ht="16" x14ac:dyDescent="0.2">
      <c r="A1183" s="567">
        <v>46065</v>
      </c>
      <c r="B1183" s="568">
        <v>2026</v>
      </c>
      <c r="C1183" s="569">
        <v>2</v>
      </c>
      <c r="D1183" s="570">
        <v>7</v>
      </c>
      <c r="E1183" s="570">
        <v>12</v>
      </c>
      <c r="F1183" s="571" t="s">
        <v>208</v>
      </c>
      <c r="G1183" s="569" t="s">
        <v>208</v>
      </c>
      <c r="H1183" s="569" t="s">
        <v>216</v>
      </c>
      <c r="I1183" s="574">
        <v>10206317</v>
      </c>
    </row>
    <row r="1184" spans="1:9" ht="16" x14ac:dyDescent="0.2">
      <c r="A1184" s="561">
        <v>46065</v>
      </c>
      <c r="B1184" s="562">
        <v>2026</v>
      </c>
      <c r="C1184" s="563">
        <v>2</v>
      </c>
      <c r="D1184" s="564">
        <v>7</v>
      </c>
      <c r="E1184" s="564">
        <v>12</v>
      </c>
      <c r="F1184" s="565" t="s">
        <v>60</v>
      </c>
      <c r="G1184" s="563" t="s">
        <v>60</v>
      </c>
      <c r="H1184" s="563" t="s">
        <v>212</v>
      </c>
      <c r="I1184" s="573">
        <v>60000000</v>
      </c>
    </row>
    <row r="1185" spans="1:9" ht="16" x14ac:dyDescent="0.2">
      <c r="A1185" s="567">
        <v>46065</v>
      </c>
      <c r="B1185" s="568">
        <v>2026</v>
      </c>
      <c r="C1185" s="569">
        <v>2</v>
      </c>
      <c r="D1185" s="570">
        <v>7</v>
      </c>
      <c r="E1185" s="570">
        <v>12</v>
      </c>
      <c r="F1185" s="571" t="s">
        <v>36</v>
      </c>
      <c r="G1185" s="569" t="s">
        <v>36</v>
      </c>
      <c r="H1185" s="569" t="s">
        <v>212</v>
      </c>
      <c r="I1185" s="574">
        <v>5803230000</v>
      </c>
    </row>
    <row r="1186" spans="1:9" ht="16" x14ac:dyDescent="0.2">
      <c r="A1186" s="561">
        <v>46065</v>
      </c>
      <c r="B1186" s="562">
        <v>2026</v>
      </c>
      <c r="C1186" s="563">
        <v>2</v>
      </c>
      <c r="D1186" s="564">
        <v>7</v>
      </c>
      <c r="E1186" s="564">
        <v>12</v>
      </c>
      <c r="F1186" s="565" t="s">
        <v>55</v>
      </c>
      <c r="G1186" s="563" t="s">
        <v>36</v>
      </c>
      <c r="H1186" s="563" t="s">
        <v>212</v>
      </c>
      <c r="I1186" s="573">
        <v>1310970000</v>
      </c>
    </row>
    <row r="1187" spans="1:9" ht="16" x14ac:dyDescent="0.2">
      <c r="A1187" s="567">
        <v>46065</v>
      </c>
      <c r="B1187" s="568">
        <v>2026</v>
      </c>
      <c r="C1187" s="569">
        <v>2</v>
      </c>
      <c r="D1187" s="570">
        <v>7</v>
      </c>
      <c r="E1187" s="570">
        <v>12</v>
      </c>
      <c r="F1187" s="571" t="s">
        <v>176</v>
      </c>
      <c r="G1187" s="569" t="s">
        <v>176</v>
      </c>
      <c r="H1187" s="569" t="s">
        <v>216</v>
      </c>
      <c r="I1187" s="574">
        <v>11743716</v>
      </c>
    </row>
    <row r="1188" spans="1:9" ht="16" x14ac:dyDescent="0.2">
      <c r="A1188" s="561">
        <v>46065</v>
      </c>
      <c r="B1188" s="562">
        <v>2026</v>
      </c>
      <c r="C1188" s="563">
        <v>2</v>
      </c>
      <c r="D1188" s="564">
        <v>7</v>
      </c>
      <c r="E1188" s="564">
        <v>12</v>
      </c>
      <c r="F1188" s="565" t="s">
        <v>39</v>
      </c>
      <c r="G1188" s="563" t="s">
        <v>176</v>
      </c>
      <c r="H1188" s="563" t="s">
        <v>216</v>
      </c>
      <c r="I1188" s="573">
        <v>1861858527</v>
      </c>
    </row>
    <row r="1189" spans="1:9" ht="16" x14ac:dyDescent="0.2">
      <c r="A1189" s="567">
        <v>46065</v>
      </c>
      <c r="B1189" s="568">
        <v>2026</v>
      </c>
      <c r="C1189" s="569">
        <v>2</v>
      </c>
      <c r="D1189" s="570">
        <v>7</v>
      </c>
      <c r="E1189" s="570">
        <v>12</v>
      </c>
      <c r="F1189" s="571" t="s">
        <v>206</v>
      </c>
      <c r="G1189" s="569" t="s">
        <v>206</v>
      </c>
      <c r="H1189" s="569" t="s">
        <v>212</v>
      </c>
      <c r="I1189" s="574">
        <v>0</v>
      </c>
    </row>
    <row r="1190" spans="1:9" ht="16" x14ac:dyDescent="0.2">
      <c r="A1190" s="561">
        <v>46065</v>
      </c>
      <c r="B1190" s="562">
        <v>2026</v>
      </c>
      <c r="C1190" s="563">
        <v>2</v>
      </c>
      <c r="D1190" s="564">
        <v>7</v>
      </c>
      <c r="E1190" s="564">
        <v>12</v>
      </c>
      <c r="F1190" s="565" t="s">
        <v>64</v>
      </c>
      <c r="G1190" s="563" t="s">
        <v>209</v>
      </c>
      <c r="H1190" s="563" t="s">
        <v>212</v>
      </c>
      <c r="I1190" s="573">
        <v>95050000</v>
      </c>
    </row>
    <row r="1191" spans="1:9" ht="16" x14ac:dyDescent="0.2">
      <c r="A1191" s="567">
        <v>46065</v>
      </c>
      <c r="B1191" s="568">
        <v>2026</v>
      </c>
      <c r="C1191" s="569">
        <v>2</v>
      </c>
      <c r="D1191" s="570">
        <v>7</v>
      </c>
      <c r="E1191" s="570">
        <v>12</v>
      </c>
      <c r="F1191" s="571" t="s">
        <v>237</v>
      </c>
      <c r="G1191" s="569" t="s">
        <v>209</v>
      </c>
      <c r="H1191" s="569" t="s">
        <v>212</v>
      </c>
      <c r="I1191" s="574">
        <v>51500000</v>
      </c>
    </row>
    <row r="1192" spans="1:9" ht="16" x14ac:dyDescent="0.2">
      <c r="A1192" s="561">
        <v>46065</v>
      </c>
      <c r="B1192" s="562">
        <v>2026</v>
      </c>
      <c r="C1192" s="563">
        <v>2</v>
      </c>
      <c r="D1192" s="564">
        <v>7</v>
      </c>
      <c r="E1192" s="564">
        <v>12</v>
      </c>
      <c r="F1192" s="565" t="s">
        <v>11</v>
      </c>
      <c r="G1192" s="563" t="s">
        <v>11</v>
      </c>
      <c r="H1192" s="563" t="s">
        <v>212</v>
      </c>
      <c r="I1192" s="573">
        <v>17810790000</v>
      </c>
    </row>
    <row r="1193" spans="1:9" ht="16" x14ac:dyDescent="0.2">
      <c r="A1193" s="567">
        <v>46065</v>
      </c>
      <c r="B1193" s="568">
        <v>2026</v>
      </c>
      <c r="C1193" s="569">
        <v>2</v>
      </c>
      <c r="D1193" s="570">
        <v>7</v>
      </c>
      <c r="E1193" s="570">
        <v>12</v>
      </c>
      <c r="F1193" s="571" t="s">
        <v>221</v>
      </c>
      <c r="G1193" s="569" t="s">
        <v>207</v>
      </c>
      <c r="H1193" s="569" t="s">
        <v>212</v>
      </c>
      <c r="I1193" s="574">
        <v>0</v>
      </c>
    </row>
    <row r="1194" spans="1:9" ht="16" x14ac:dyDescent="0.2">
      <c r="A1194" s="561">
        <v>46065</v>
      </c>
      <c r="B1194" s="562">
        <v>2026</v>
      </c>
      <c r="C1194" s="563">
        <v>2</v>
      </c>
      <c r="D1194" s="564">
        <v>7</v>
      </c>
      <c r="E1194" s="564">
        <v>12</v>
      </c>
      <c r="F1194" s="565" t="s">
        <v>222</v>
      </c>
      <c r="G1194" s="563" t="s">
        <v>207</v>
      </c>
      <c r="H1194" s="563" t="s">
        <v>212</v>
      </c>
      <c r="I1194" s="573">
        <v>0</v>
      </c>
    </row>
    <row r="1195" spans="1:9" ht="16" x14ac:dyDescent="0.2">
      <c r="A1195" s="567">
        <v>46065</v>
      </c>
      <c r="B1195" s="568">
        <v>2026</v>
      </c>
      <c r="C1195" s="569">
        <v>2</v>
      </c>
      <c r="D1195" s="570">
        <v>7</v>
      </c>
      <c r="E1195" s="570">
        <v>12</v>
      </c>
      <c r="F1195" s="571" t="s">
        <v>223</v>
      </c>
      <c r="G1195" s="569" t="s">
        <v>207</v>
      </c>
      <c r="H1195" s="569" t="s">
        <v>212</v>
      </c>
      <c r="I1195" s="574">
        <v>0</v>
      </c>
    </row>
    <row r="1196" spans="1:9" ht="16" x14ac:dyDescent="0.2">
      <c r="A1196" s="561">
        <v>46065</v>
      </c>
      <c r="B1196" s="562">
        <v>2026</v>
      </c>
      <c r="C1196" s="563">
        <v>2</v>
      </c>
      <c r="D1196" s="564">
        <v>7</v>
      </c>
      <c r="E1196" s="564">
        <v>12</v>
      </c>
      <c r="F1196" s="565" t="s">
        <v>219</v>
      </c>
      <c r="G1196" s="563" t="s">
        <v>11</v>
      </c>
      <c r="H1196" s="563" t="s">
        <v>212</v>
      </c>
      <c r="I1196" s="573">
        <v>0</v>
      </c>
    </row>
    <row r="1197" spans="1:9" ht="16" x14ac:dyDescent="0.2">
      <c r="A1197" s="567">
        <v>46065</v>
      </c>
      <c r="B1197" s="568">
        <v>2026</v>
      </c>
      <c r="C1197" s="569">
        <v>2</v>
      </c>
      <c r="D1197" s="570">
        <v>7</v>
      </c>
      <c r="E1197" s="570">
        <v>12</v>
      </c>
      <c r="F1197" s="571" t="s">
        <v>19</v>
      </c>
      <c r="G1197" s="569" t="s">
        <v>19</v>
      </c>
      <c r="H1197" s="569" t="s">
        <v>214</v>
      </c>
      <c r="I1197" s="574">
        <v>14012568000</v>
      </c>
    </row>
    <row r="1198" spans="1:9" ht="16" x14ac:dyDescent="0.2">
      <c r="A1198" s="561">
        <v>46065</v>
      </c>
      <c r="B1198" s="562">
        <v>2026</v>
      </c>
      <c r="C1198" s="563">
        <v>2</v>
      </c>
      <c r="D1198" s="564">
        <v>7</v>
      </c>
      <c r="E1198" s="564">
        <v>12</v>
      </c>
      <c r="F1198" s="565" t="s">
        <v>62</v>
      </c>
      <c r="G1198" s="563" t="s">
        <v>62</v>
      </c>
      <c r="H1198" s="563" t="s">
        <v>216</v>
      </c>
      <c r="I1198" s="573">
        <v>187290414</v>
      </c>
    </row>
    <row r="1199" spans="1:9" ht="16" x14ac:dyDescent="0.2">
      <c r="A1199" s="567">
        <v>46065</v>
      </c>
      <c r="B1199" s="568">
        <v>2026</v>
      </c>
      <c r="C1199" s="569">
        <v>2</v>
      </c>
      <c r="D1199" s="570">
        <v>7</v>
      </c>
      <c r="E1199" s="570">
        <v>12</v>
      </c>
      <c r="F1199" s="571" t="s">
        <v>58</v>
      </c>
      <c r="G1199" s="569" t="s">
        <v>58</v>
      </c>
      <c r="H1199" s="569" t="s">
        <v>212</v>
      </c>
      <c r="I1199" s="574">
        <v>31500000</v>
      </c>
    </row>
    <row r="1200" spans="1:9" ht="16" x14ac:dyDescent="0.2">
      <c r="A1200" s="561">
        <v>46065</v>
      </c>
      <c r="B1200" s="562">
        <v>2026</v>
      </c>
      <c r="C1200" s="563">
        <v>2</v>
      </c>
      <c r="D1200" s="564">
        <v>7</v>
      </c>
      <c r="E1200" s="564">
        <v>12</v>
      </c>
      <c r="F1200" s="565" t="s">
        <v>61</v>
      </c>
      <c r="G1200" s="563" t="s">
        <v>61</v>
      </c>
      <c r="H1200" s="563" t="s">
        <v>214</v>
      </c>
      <c r="I1200" s="573">
        <v>59000000</v>
      </c>
    </row>
    <row r="1201" spans="1:9" ht="16" x14ac:dyDescent="0.2">
      <c r="A1201" s="567">
        <v>46065</v>
      </c>
      <c r="B1201" s="568">
        <v>2026</v>
      </c>
      <c r="C1201" s="569">
        <v>2</v>
      </c>
      <c r="D1201" s="570">
        <v>7</v>
      </c>
      <c r="E1201" s="570">
        <v>12</v>
      </c>
      <c r="F1201" s="571" t="s">
        <v>57</v>
      </c>
      <c r="G1201" s="569" t="s">
        <v>57</v>
      </c>
      <c r="H1201" s="569" t="s">
        <v>212</v>
      </c>
      <c r="I1201" s="574">
        <v>825110000</v>
      </c>
    </row>
    <row r="1202" spans="1:9" ht="16" x14ac:dyDescent="0.2">
      <c r="A1202" s="561">
        <v>46065</v>
      </c>
      <c r="B1202" s="562">
        <v>2026</v>
      </c>
      <c r="C1202" s="563">
        <v>2</v>
      </c>
      <c r="D1202" s="564">
        <v>7</v>
      </c>
      <c r="E1202" s="564">
        <v>12</v>
      </c>
      <c r="F1202" s="565" t="s">
        <v>63</v>
      </c>
      <c r="G1202" s="563" t="s">
        <v>63</v>
      </c>
      <c r="H1202" s="563" t="s">
        <v>214</v>
      </c>
      <c r="I1202" s="573">
        <v>367092000</v>
      </c>
    </row>
    <row r="1203" spans="1:9" ht="16" x14ac:dyDescent="0.2">
      <c r="A1203" s="567">
        <v>46065</v>
      </c>
      <c r="B1203" s="568">
        <v>2026</v>
      </c>
      <c r="C1203" s="569">
        <v>2</v>
      </c>
      <c r="D1203" s="570">
        <v>7</v>
      </c>
      <c r="E1203" s="570">
        <v>12</v>
      </c>
      <c r="F1203" s="571" t="s">
        <v>59</v>
      </c>
      <c r="G1203" s="569" t="s">
        <v>59</v>
      </c>
      <c r="H1203" s="569" t="s">
        <v>216</v>
      </c>
      <c r="I1203" s="574">
        <v>299647278</v>
      </c>
    </row>
    <row r="1204" spans="1:9" ht="16" x14ac:dyDescent="0.2">
      <c r="A1204" s="561">
        <v>46065</v>
      </c>
      <c r="B1204" s="562">
        <v>2026</v>
      </c>
      <c r="C1204" s="563">
        <v>2</v>
      </c>
      <c r="D1204" s="564">
        <v>7</v>
      </c>
      <c r="E1204" s="564">
        <v>12</v>
      </c>
      <c r="F1204" s="565" t="s">
        <v>31</v>
      </c>
      <c r="G1204" s="563" t="s">
        <v>175</v>
      </c>
      <c r="H1204" s="563" t="s">
        <v>212</v>
      </c>
      <c r="I1204" s="573">
        <v>3647310000</v>
      </c>
    </row>
    <row r="1205" spans="1:9" ht="16" x14ac:dyDescent="0.2">
      <c r="A1205" s="567">
        <v>46065</v>
      </c>
      <c r="B1205" s="568">
        <v>2026</v>
      </c>
      <c r="C1205" s="569">
        <v>2</v>
      </c>
      <c r="D1205" s="570">
        <v>7</v>
      </c>
      <c r="E1205" s="570">
        <v>12</v>
      </c>
      <c r="F1205" s="571" t="s">
        <v>234</v>
      </c>
      <c r="G1205" s="569" t="s">
        <v>210</v>
      </c>
      <c r="H1205" s="569" t="s">
        <v>214</v>
      </c>
      <c r="I1205" s="574">
        <v>510520000</v>
      </c>
    </row>
    <row r="1206" spans="1:9" ht="16" x14ac:dyDescent="0.2">
      <c r="A1206" s="561">
        <v>46066</v>
      </c>
      <c r="B1206" s="562">
        <v>2026</v>
      </c>
      <c r="C1206" s="563">
        <v>2</v>
      </c>
      <c r="D1206" s="564">
        <v>7</v>
      </c>
      <c r="E1206" s="564">
        <v>13</v>
      </c>
      <c r="F1206" s="565" t="s">
        <v>65</v>
      </c>
      <c r="G1206" s="563" t="s">
        <v>65</v>
      </c>
      <c r="H1206" s="563" t="s">
        <v>212</v>
      </c>
      <c r="I1206" s="573">
        <v>780600000</v>
      </c>
    </row>
    <row r="1207" spans="1:9" ht="16" x14ac:dyDescent="0.2">
      <c r="A1207" s="567">
        <v>46066</v>
      </c>
      <c r="B1207" s="568">
        <v>2026</v>
      </c>
      <c r="C1207" s="569">
        <v>2</v>
      </c>
      <c r="D1207" s="570">
        <v>7</v>
      </c>
      <c r="E1207" s="570">
        <v>13</v>
      </c>
      <c r="F1207" s="571" t="s">
        <v>66</v>
      </c>
      <c r="G1207" s="569" t="s">
        <v>66</v>
      </c>
      <c r="H1207" s="569" t="s">
        <v>216</v>
      </c>
      <c r="I1207" s="574">
        <v>313771001</v>
      </c>
    </row>
    <row r="1208" spans="1:9" ht="16" x14ac:dyDescent="0.2">
      <c r="A1208" s="561">
        <v>46066</v>
      </c>
      <c r="B1208" s="562">
        <v>2026</v>
      </c>
      <c r="C1208" s="563">
        <v>2</v>
      </c>
      <c r="D1208" s="564">
        <v>7</v>
      </c>
      <c r="E1208" s="564">
        <v>13</v>
      </c>
      <c r="F1208" s="565" t="s">
        <v>24</v>
      </c>
      <c r="G1208" s="563" t="s">
        <v>24</v>
      </c>
      <c r="H1208" s="563" t="s">
        <v>212</v>
      </c>
      <c r="I1208" s="573">
        <v>14101730000</v>
      </c>
    </row>
    <row r="1209" spans="1:9" ht="16" x14ac:dyDescent="0.2">
      <c r="A1209" s="567">
        <v>46066</v>
      </c>
      <c r="B1209" s="568">
        <v>2026</v>
      </c>
      <c r="C1209" s="569">
        <v>2</v>
      </c>
      <c r="D1209" s="570">
        <v>7</v>
      </c>
      <c r="E1209" s="570">
        <v>13</v>
      </c>
      <c r="F1209" s="571" t="s">
        <v>67</v>
      </c>
      <c r="G1209" s="569" t="s">
        <v>67</v>
      </c>
      <c r="H1209" s="569" t="s">
        <v>213</v>
      </c>
      <c r="I1209" s="574">
        <v>2129790209</v>
      </c>
    </row>
    <row r="1210" spans="1:9" ht="16" x14ac:dyDescent="0.2">
      <c r="A1210" s="561">
        <v>46066</v>
      </c>
      <c r="B1210" s="562">
        <v>2026</v>
      </c>
      <c r="C1210" s="563">
        <v>2</v>
      </c>
      <c r="D1210" s="564">
        <v>7</v>
      </c>
      <c r="E1210" s="564">
        <v>13</v>
      </c>
      <c r="F1210" s="565" t="s">
        <v>28</v>
      </c>
      <c r="G1210" s="563" t="s">
        <v>28</v>
      </c>
      <c r="H1210" s="563" t="s">
        <v>214</v>
      </c>
      <c r="I1210" s="573">
        <v>14502564000</v>
      </c>
    </row>
    <row r="1211" spans="1:9" ht="16" x14ac:dyDescent="0.2">
      <c r="A1211" s="567">
        <v>46066</v>
      </c>
      <c r="B1211" s="568">
        <v>2026</v>
      </c>
      <c r="C1211" s="569">
        <v>2</v>
      </c>
      <c r="D1211" s="570">
        <v>7</v>
      </c>
      <c r="E1211" s="570">
        <v>13</v>
      </c>
      <c r="F1211" s="571" t="s">
        <v>208</v>
      </c>
      <c r="G1211" s="569" t="s">
        <v>208</v>
      </c>
      <c r="H1211" s="569" t="s">
        <v>216</v>
      </c>
      <c r="I1211" s="574">
        <v>2973908</v>
      </c>
    </row>
    <row r="1212" spans="1:9" ht="16" x14ac:dyDescent="0.2">
      <c r="A1212" s="561">
        <v>46066</v>
      </c>
      <c r="B1212" s="562">
        <v>2026</v>
      </c>
      <c r="C1212" s="563">
        <v>2</v>
      </c>
      <c r="D1212" s="564">
        <v>7</v>
      </c>
      <c r="E1212" s="564">
        <v>13</v>
      </c>
      <c r="F1212" s="565" t="s">
        <v>60</v>
      </c>
      <c r="G1212" s="563" t="s">
        <v>60</v>
      </c>
      <c r="H1212" s="563" t="s">
        <v>212</v>
      </c>
      <c r="I1212" s="573">
        <v>0</v>
      </c>
    </row>
    <row r="1213" spans="1:9" ht="16" x14ac:dyDescent="0.2">
      <c r="A1213" s="567">
        <v>46066</v>
      </c>
      <c r="B1213" s="568">
        <v>2026</v>
      </c>
      <c r="C1213" s="569">
        <v>2</v>
      </c>
      <c r="D1213" s="570">
        <v>7</v>
      </c>
      <c r="E1213" s="570">
        <v>13</v>
      </c>
      <c r="F1213" s="571" t="s">
        <v>36</v>
      </c>
      <c r="G1213" s="569" t="s">
        <v>36</v>
      </c>
      <c r="H1213" s="569" t="s">
        <v>212</v>
      </c>
      <c r="I1213" s="574">
        <v>5407130000</v>
      </c>
    </row>
    <row r="1214" spans="1:9" ht="16" x14ac:dyDescent="0.2">
      <c r="A1214" s="561">
        <v>46066</v>
      </c>
      <c r="B1214" s="562">
        <v>2026</v>
      </c>
      <c r="C1214" s="563">
        <v>2</v>
      </c>
      <c r="D1214" s="564">
        <v>7</v>
      </c>
      <c r="E1214" s="564">
        <v>13</v>
      </c>
      <c r="F1214" s="565" t="s">
        <v>55</v>
      </c>
      <c r="G1214" s="563" t="s">
        <v>36</v>
      </c>
      <c r="H1214" s="563" t="s">
        <v>212</v>
      </c>
      <c r="I1214" s="573">
        <v>1812790000</v>
      </c>
    </row>
    <row r="1215" spans="1:9" ht="16" x14ac:dyDescent="0.2">
      <c r="A1215" s="567">
        <v>46066</v>
      </c>
      <c r="B1215" s="568">
        <v>2026</v>
      </c>
      <c r="C1215" s="569">
        <v>2</v>
      </c>
      <c r="D1215" s="570">
        <v>7</v>
      </c>
      <c r="E1215" s="570">
        <v>13</v>
      </c>
      <c r="F1215" s="571" t="s">
        <v>176</v>
      </c>
      <c r="G1215" s="569" t="s">
        <v>176</v>
      </c>
      <c r="H1215" s="569" t="s">
        <v>216</v>
      </c>
      <c r="I1215" s="574">
        <v>23918164</v>
      </c>
    </row>
    <row r="1216" spans="1:9" ht="16" x14ac:dyDescent="0.2">
      <c r="A1216" s="561">
        <v>46066</v>
      </c>
      <c r="B1216" s="562">
        <v>2026</v>
      </c>
      <c r="C1216" s="563">
        <v>2</v>
      </c>
      <c r="D1216" s="564">
        <v>7</v>
      </c>
      <c r="E1216" s="564">
        <v>13</v>
      </c>
      <c r="F1216" s="565" t="s">
        <v>39</v>
      </c>
      <c r="G1216" s="563" t="s">
        <v>176</v>
      </c>
      <c r="H1216" s="563" t="s">
        <v>216</v>
      </c>
      <c r="I1216" s="573">
        <v>1673245815</v>
      </c>
    </row>
    <row r="1217" spans="1:9" ht="16" x14ac:dyDescent="0.2">
      <c r="A1217" s="567">
        <v>46066</v>
      </c>
      <c r="B1217" s="568">
        <v>2026</v>
      </c>
      <c r="C1217" s="569">
        <v>2</v>
      </c>
      <c r="D1217" s="570">
        <v>7</v>
      </c>
      <c r="E1217" s="570">
        <v>13</v>
      </c>
      <c r="F1217" s="571" t="s">
        <v>206</v>
      </c>
      <c r="G1217" s="569" t="s">
        <v>206</v>
      </c>
      <c r="H1217" s="569" t="s">
        <v>212</v>
      </c>
      <c r="I1217" s="574">
        <v>0</v>
      </c>
    </row>
    <row r="1218" spans="1:9" ht="16" x14ac:dyDescent="0.2">
      <c r="A1218" s="561">
        <v>46066</v>
      </c>
      <c r="B1218" s="562">
        <v>2026</v>
      </c>
      <c r="C1218" s="563">
        <v>2</v>
      </c>
      <c r="D1218" s="564">
        <v>7</v>
      </c>
      <c r="E1218" s="564">
        <v>13</v>
      </c>
      <c r="F1218" s="565" t="s">
        <v>64</v>
      </c>
      <c r="G1218" s="563" t="s">
        <v>209</v>
      </c>
      <c r="H1218" s="563" t="s">
        <v>212</v>
      </c>
      <c r="I1218" s="573">
        <v>171750000</v>
      </c>
    </row>
    <row r="1219" spans="1:9" ht="16" x14ac:dyDescent="0.2">
      <c r="A1219" s="567">
        <v>46066</v>
      </c>
      <c r="B1219" s="568">
        <v>2026</v>
      </c>
      <c r="C1219" s="569">
        <v>2</v>
      </c>
      <c r="D1219" s="570">
        <v>7</v>
      </c>
      <c r="E1219" s="570">
        <v>13</v>
      </c>
      <c r="F1219" s="571" t="s">
        <v>237</v>
      </c>
      <c r="G1219" s="569" t="s">
        <v>209</v>
      </c>
      <c r="H1219" s="569" t="s">
        <v>212</v>
      </c>
      <c r="I1219" s="574">
        <v>0</v>
      </c>
    </row>
    <row r="1220" spans="1:9" ht="16" x14ac:dyDescent="0.2">
      <c r="A1220" s="561">
        <v>46066</v>
      </c>
      <c r="B1220" s="562">
        <v>2026</v>
      </c>
      <c r="C1220" s="563">
        <v>2</v>
      </c>
      <c r="D1220" s="564">
        <v>7</v>
      </c>
      <c r="E1220" s="564">
        <v>13</v>
      </c>
      <c r="F1220" s="565" t="s">
        <v>11</v>
      </c>
      <c r="G1220" s="563" t="s">
        <v>11</v>
      </c>
      <c r="H1220" s="563" t="s">
        <v>212</v>
      </c>
      <c r="I1220" s="573">
        <v>18195930000</v>
      </c>
    </row>
    <row r="1221" spans="1:9" ht="16" x14ac:dyDescent="0.2">
      <c r="A1221" s="567">
        <v>46066</v>
      </c>
      <c r="B1221" s="568">
        <v>2026</v>
      </c>
      <c r="C1221" s="569">
        <v>2</v>
      </c>
      <c r="D1221" s="570">
        <v>7</v>
      </c>
      <c r="E1221" s="570">
        <v>13</v>
      </c>
      <c r="F1221" s="571" t="s">
        <v>221</v>
      </c>
      <c r="G1221" s="569" t="s">
        <v>207</v>
      </c>
      <c r="H1221" s="569" t="s">
        <v>212</v>
      </c>
      <c r="I1221" s="574">
        <v>0</v>
      </c>
    </row>
    <row r="1222" spans="1:9" ht="16" x14ac:dyDescent="0.2">
      <c r="A1222" s="561">
        <v>46066</v>
      </c>
      <c r="B1222" s="562">
        <v>2026</v>
      </c>
      <c r="C1222" s="563">
        <v>2</v>
      </c>
      <c r="D1222" s="564">
        <v>7</v>
      </c>
      <c r="E1222" s="564">
        <v>13</v>
      </c>
      <c r="F1222" s="565" t="s">
        <v>222</v>
      </c>
      <c r="G1222" s="563" t="s">
        <v>207</v>
      </c>
      <c r="H1222" s="563" t="s">
        <v>212</v>
      </c>
      <c r="I1222" s="573">
        <v>0</v>
      </c>
    </row>
    <row r="1223" spans="1:9" ht="16" x14ac:dyDescent="0.2">
      <c r="A1223" s="567">
        <v>46066</v>
      </c>
      <c r="B1223" s="568">
        <v>2026</v>
      </c>
      <c r="C1223" s="569">
        <v>2</v>
      </c>
      <c r="D1223" s="570">
        <v>7</v>
      </c>
      <c r="E1223" s="570">
        <v>13</v>
      </c>
      <c r="F1223" s="571" t="s">
        <v>223</v>
      </c>
      <c r="G1223" s="569" t="s">
        <v>207</v>
      </c>
      <c r="H1223" s="569" t="s">
        <v>212</v>
      </c>
      <c r="I1223" s="574">
        <v>0</v>
      </c>
    </row>
    <row r="1224" spans="1:9" ht="16" x14ac:dyDescent="0.2">
      <c r="A1224" s="561">
        <v>46066</v>
      </c>
      <c r="B1224" s="562">
        <v>2026</v>
      </c>
      <c r="C1224" s="563">
        <v>2</v>
      </c>
      <c r="D1224" s="564">
        <v>7</v>
      </c>
      <c r="E1224" s="564">
        <v>13</v>
      </c>
      <c r="F1224" s="565" t="s">
        <v>219</v>
      </c>
      <c r="G1224" s="563" t="s">
        <v>11</v>
      </c>
      <c r="H1224" s="563" t="s">
        <v>212</v>
      </c>
      <c r="I1224" s="573">
        <v>0</v>
      </c>
    </row>
    <row r="1225" spans="1:9" ht="16" x14ac:dyDescent="0.2">
      <c r="A1225" s="567">
        <v>46066</v>
      </c>
      <c r="B1225" s="568">
        <v>2026</v>
      </c>
      <c r="C1225" s="569">
        <v>2</v>
      </c>
      <c r="D1225" s="570">
        <v>7</v>
      </c>
      <c r="E1225" s="570">
        <v>13</v>
      </c>
      <c r="F1225" s="571" t="s">
        <v>19</v>
      </c>
      <c r="G1225" s="569" t="s">
        <v>19</v>
      </c>
      <c r="H1225" s="569" t="s">
        <v>214</v>
      </c>
      <c r="I1225" s="574">
        <v>14592420000</v>
      </c>
    </row>
    <row r="1226" spans="1:9" ht="16" x14ac:dyDescent="0.2">
      <c r="A1226" s="561">
        <v>46066</v>
      </c>
      <c r="B1226" s="562">
        <v>2026</v>
      </c>
      <c r="C1226" s="563">
        <v>2</v>
      </c>
      <c r="D1226" s="564">
        <v>7</v>
      </c>
      <c r="E1226" s="564">
        <v>13</v>
      </c>
      <c r="F1226" s="565" t="s">
        <v>62</v>
      </c>
      <c r="G1226" s="563" t="s">
        <v>62</v>
      </c>
      <c r="H1226" s="563" t="s">
        <v>216</v>
      </c>
      <c r="I1226" s="573">
        <v>218166026</v>
      </c>
    </row>
    <row r="1227" spans="1:9" ht="16" x14ac:dyDescent="0.2">
      <c r="A1227" s="567">
        <v>46066</v>
      </c>
      <c r="B1227" s="568">
        <v>2026</v>
      </c>
      <c r="C1227" s="569">
        <v>2</v>
      </c>
      <c r="D1227" s="570">
        <v>7</v>
      </c>
      <c r="E1227" s="570">
        <v>13</v>
      </c>
      <c r="F1227" s="571" t="s">
        <v>58</v>
      </c>
      <c r="G1227" s="569" t="s">
        <v>58</v>
      </c>
      <c r="H1227" s="569" t="s">
        <v>212</v>
      </c>
      <c r="I1227" s="574">
        <v>93500000</v>
      </c>
    </row>
    <row r="1228" spans="1:9" ht="16" x14ac:dyDescent="0.2">
      <c r="A1228" s="561">
        <v>46066</v>
      </c>
      <c r="B1228" s="562">
        <v>2026</v>
      </c>
      <c r="C1228" s="563">
        <v>2</v>
      </c>
      <c r="D1228" s="564">
        <v>7</v>
      </c>
      <c r="E1228" s="564">
        <v>13</v>
      </c>
      <c r="F1228" s="565" t="s">
        <v>61</v>
      </c>
      <c r="G1228" s="563" t="s">
        <v>61</v>
      </c>
      <c r="H1228" s="563" t="s">
        <v>214</v>
      </c>
      <c r="I1228" s="573">
        <v>84000000</v>
      </c>
    </row>
    <row r="1229" spans="1:9" ht="16" x14ac:dyDescent="0.2">
      <c r="A1229" s="567">
        <v>46066</v>
      </c>
      <c r="B1229" s="568">
        <v>2026</v>
      </c>
      <c r="C1229" s="569">
        <v>2</v>
      </c>
      <c r="D1229" s="570">
        <v>7</v>
      </c>
      <c r="E1229" s="570">
        <v>13</v>
      </c>
      <c r="F1229" s="571" t="s">
        <v>57</v>
      </c>
      <c r="G1229" s="569" t="s">
        <v>57</v>
      </c>
      <c r="H1229" s="569" t="s">
        <v>212</v>
      </c>
      <c r="I1229" s="574">
        <v>1116740000</v>
      </c>
    </row>
    <row r="1230" spans="1:9" ht="16" x14ac:dyDescent="0.2">
      <c r="A1230" s="561">
        <v>46066</v>
      </c>
      <c r="B1230" s="562">
        <v>2026</v>
      </c>
      <c r="C1230" s="563">
        <v>2</v>
      </c>
      <c r="D1230" s="564">
        <v>7</v>
      </c>
      <c r="E1230" s="564">
        <v>13</v>
      </c>
      <c r="F1230" s="565" t="s">
        <v>63</v>
      </c>
      <c r="G1230" s="563" t="s">
        <v>63</v>
      </c>
      <c r="H1230" s="563" t="s">
        <v>214</v>
      </c>
      <c r="I1230" s="573">
        <v>430812000</v>
      </c>
    </row>
    <row r="1231" spans="1:9" ht="16" x14ac:dyDescent="0.2">
      <c r="A1231" s="567">
        <v>46066</v>
      </c>
      <c r="B1231" s="568">
        <v>2026</v>
      </c>
      <c r="C1231" s="569">
        <v>2</v>
      </c>
      <c r="D1231" s="570">
        <v>7</v>
      </c>
      <c r="E1231" s="570">
        <v>13</v>
      </c>
      <c r="F1231" s="571" t="s">
        <v>59</v>
      </c>
      <c r="G1231" s="569" t="s">
        <v>59</v>
      </c>
      <c r="H1231" s="569" t="s">
        <v>216</v>
      </c>
      <c r="I1231" s="574">
        <v>332005724</v>
      </c>
    </row>
    <row r="1232" spans="1:9" ht="16" x14ac:dyDescent="0.2">
      <c r="A1232" s="561">
        <v>46066</v>
      </c>
      <c r="B1232" s="562">
        <v>2026</v>
      </c>
      <c r="C1232" s="563">
        <v>2</v>
      </c>
      <c r="D1232" s="564">
        <v>7</v>
      </c>
      <c r="E1232" s="564">
        <v>13</v>
      </c>
      <c r="F1232" s="565" t="s">
        <v>31</v>
      </c>
      <c r="G1232" s="563" t="s">
        <v>175</v>
      </c>
      <c r="H1232" s="563" t="s">
        <v>212</v>
      </c>
      <c r="I1232" s="573">
        <v>3427090000</v>
      </c>
    </row>
    <row r="1233" spans="1:9" ht="16" x14ac:dyDescent="0.2">
      <c r="A1233" s="567">
        <v>46066</v>
      </c>
      <c r="B1233" s="568">
        <v>2026</v>
      </c>
      <c r="C1233" s="569">
        <v>2</v>
      </c>
      <c r="D1233" s="570">
        <v>7</v>
      </c>
      <c r="E1233" s="570">
        <v>13</v>
      </c>
      <c r="F1233" s="571" t="s">
        <v>234</v>
      </c>
      <c r="G1233" s="569" t="s">
        <v>210</v>
      </c>
      <c r="H1233" s="569" t="s">
        <v>214</v>
      </c>
      <c r="I1233" s="574">
        <v>414560000</v>
      </c>
    </row>
    <row r="1234" spans="1:9" ht="16" x14ac:dyDescent="0.2">
      <c r="A1234" s="561">
        <v>46067</v>
      </c>
      <c r="B1234" s="562">
        <v>2026</v>
      </c>
      <c r="C1234" s="563">
        <v>2</v>
      </c>
      <c r="D1234" s="564">
        <v>7</v>
      </c>
      <c r="E1234" s="564">
        <v>14</v>
      </c>
      <c r="F1234" s="565" t="s">
        <v>65</v>
      </c>
      <c r="G1234" s="563" t="s">
        <v>65</v>
      </c>
      <c r="H1234" s="563" t="s">
        <v>212</v>
      </c>
      <c r="I1234" s="573">
        <v>355550000</v>
      </c>
    </row>
    <row r="1235" spans="1:9" ht="16" x14ac:dyDescent="0.2">
      <c r="A1235" s="567">
        <v>46067</v>
      </c>
      <c r="B1235" s="568">
        <v>2026</v>
      </c>
      <c r="C1235" s="569">
        <v>2</v>
      </c>
      <c r="D1235" s="570">
        <v>7</v>
      </c>
      <c r="E1235" s="570">
        <v>14</v>
      </c>
      <c r="F1235" s="571" t="s">
        <v>66</v>
      </c>
      <c r="G1235" s="569" t="s">
        <v>66</v>
      </c>
      <c r="H1235" s="569" t="s">
        <v>216</v>
      </c>
      <c r="I1235" s="574">
        <v>258786164</v>
      </c>
    </row>
    <row r="1236" spans="1:9" ht="16" x14ac:dyDescent="0.2">
      <c r="A1236" s="561">
        <v>46067</v>
      </c>
      <c r="B1236" s="562">
        <v>2026</v>
      </c>
      <c r="C1236" s="563">
        <v>2</v>
      </c>
      <c r="D1236" s="564">
        <v>7</v>
      </c>
      <c r="E1236" s="564">
        <v>14</v>
      </c>
      <c r="F1236" s="565" t="s">
        <v>24</v>
      </c>
      <c r="G1236" s="563" t="s">
        <v>24</v>
      </c>
      <c r="H1236" s="563" t="s">
        <v>212</v>
      </c>
      <c r="I1236" s="573">
        <v>9592520000</v>
      </c>
    </row>
    <row r="1237" spans="1:9" ht="16" x14ac:dyDescent="0.2">
      <c r="A1237" s="567">
        <v>46067</v>
      </c>
      <c r="B1237" s="568">
        <v>2026</v>
      </c>
      <c r="C1237" s="569">
        <v>2</v>
      </c>
      <c r="D1237" s="570">
        <v>7</v>
      </c>
      <c r="E1237" s="570">
        <v>14</v>
      </c>
      <c r="F1237" s="571" t="s">
        <v>67</v>
      </c>
      <c r="G1237" s="569" t="s">
        <v>67</v>
      </c>
      <c r="H1237" s="569" t="s">
        <v>213</v>
      </c>
      <c r="I1237" s="574">
        <v>1672196713</v>
      </c>
    </row>
    <row r="1238" spans="1:9" ht="16" x14ac:dyDescent="0.2">
      <c r="A1238" s="561">
        <v>46067</v>
      </c>
      <c r="B1238" s="562">
        <v>2026</v>
      </c>
      <c r="C1238" s="563">
        <v>2</v>
      </c>
      <c r="D1238" s="564">
        <v>7</v>
      </c>
      <c r="E1238" s="564">
        <v>14</v>
      </c>
      <c r="F1238" s="565" t="s">
        <v>28</v>
      </c>
      <c r="G1238" s="563" t="s">
        <v>28</v>
      </c>
      <c r="H1238" s="563" t="s">
        <v>214</v>
      </c>
      <c r="I1238" s="573">
        <v>11142144000</v>
      </c>
    </row>
    <row r="1239" spans="1:9" ht="16" x14ac:dyDescent="0.2">
      <c r="A1239" s="567">
        <v>46067</v>
      </c>
      <c r="B1239" s="568">
        <v>2026</v>
      </c>
      <c r="C1239" s="569">
        <v>2</v>
      </c>
      <c r="D1239" s="570">
        <v>7</v>
      </c>
      <c r="E1239" s="570">
        <v>14</v>
      </c>
      <c r="F1239" s="571" t="s">
        <v>208</v>
      </c>
      <c r="G1239" s="569" t="s">
        <v>208</v>
      </c>
      <c r="H1239" s="569" t="s">
        <v>216</v>
      </c>
      <c r="I1239" s="574">
        <v>1402475</v>
      </c>
    </row>
    <row r="1240" spans="1:9" ht="16" x14ac:dyDescent="0.2">
      <c r="A1240" s="561">
        <v>46067</v>
      </c>
      <c r="B1240" s="562">
        <v>2026</v>
      </c>
      <c r="C1240" s="563">
        <v>2</v>
      </c>
      <c r="D1240" s="564">
        <v>7</v>
      </c>
      <c r="E1240" s="564">
        <v>14</v>
      </c>
      <c r="F1240" s="565" t="s">
        <v>60</v>
      </c>
      <c r="G1240" s="563" t="s">
        <v>60</v>
      </c>
      <c r="H1240" s="563" t="s">
        <v>212</v>
      </c>
      <c r="I1240" s="573">
        <v>0</v>
      </c>
    </row>
    <row r="1241" spans="1:9" ht="16" x14ac:dyDescent="0.2">
      <c r="A1241" s="567">
        <v>46067</v>
      </c>
      <c r="B1241" s="568">
        <v>2026</v>
      </c>
      <c r="C1241" s="569">
        <v>2</v>
      </c>
      <c r="D1241" s="570">
        <v>7</v>
      </c>
      <c r="E1241" s="570">
        <v>14</v>
      </c>
      <c r="F1241" s="571" t="s">
        <v>36</v>
      </c>
      <c r="G1241" s="569" t="s">
        <v>36</v>
      </c>
      <c r="H1241" s="569" t="s">
        <v>212</v>
      </c>
      <c r="I1241" s="574">
        <v>3394570000</v>
      </c>
    </row>
    <row r="1242" spans="1:9" ht="16" x14ac:dyDescent="0.2">
      <c r="A1242" s="561">
        <v>46067</v>
      </c>
      <c r="B1242" s="562">
        <v>2026</v>
      </c>
      <c r="C1242" s="563">
        <v>2</v>
      </c>
      <c r="D1242" s="564">
        <v>7</v>
      </c>
      <c r="E1242" s="564">
        <v>14</v>
      </c>
      <c r="F1242" s="565" t="s">
        <v>55</v>
      </c>
      <c r="G1242" s="563" t="s">
        <v>36</v>
      </c>
      <c r="H1242" s="563" t="s">
        <v>212</v>
      </c>
      <c r="I1242" s="573">
        <v>861650000</v>
      </c>
    </row>
    <row r="1243" spans="1:9" ht="16" x14ac:dyDescent="0.2">
      <c r="A1243" s="567">
        <v>46067</v>
      </c>
      <c r="B1243" s="568">
        <v>2026</v>
      </c>
      <c r="C1243" s="569">
        <v>2</v>
      </c>
      <c r="D1243" s="570">
        <v>7</v>
      </c>
      <c r="E1243" s="570">
        <v>14</v>
      </c>
      <c r="F1243" s="571" t="s">
        <v>176</v>
      </c>
      <c r="G1243" s="569" t="s">
        <v>176</v>
      </c>
      <c r="H1243" s="569" t="s">
        <v>216</v>
      </c>
      <c r="I1243" s="574">
        <v>22600147</v>
      </c>
    </row>
    <row r="1244" spans="1:9" ht="16" x14ac:dyDescent="0.2">
      <c r="A1244" s="561">
        <v>46067</v>
      </c>
      <c r="B1244" s="562">
        <v>2026</v>
      </c>
      <c r="C1244" s="563">
        <v>2</v>
      </c>
      <c r="D1244" s="564">
        <v>7</v>
      </c>
      <c r="E1244" s="564">
        <v>14</v>
      </c>
      <c r="F1244" s="565" t="s">
        <v>39</v>
      </c>
      <c r="G1244" s="563" t="s">
        <v>176</v>
      </c>
      <c r="H1244" s="563" t="s">
        <v>216</v>
      </c>
      <c r="I1244" s="573">
        <v>1558512862</v>
      </c>
    </row>
    <row r="1245" spans="1:9" ht="16" x14ac:dyDescent="0.2">
      <c r="A1245" s="567">
        <v>46067</v>
      </c>
      <c r="B1245" s="568">
        <v>2026</v>
      </c>
      <c r="C1245" s="569">
        <v>2</v>
      </c>
      <c r="D1245" s="570">
        <v>7</v>
      </c>
      <c r="E1245" s="570">
        <v>14</v>
      </c>
      <c r="F1245" s="571" t="s">
        <v>206</v>
      </c>
      <c r="G1245" s="569" t="s">
        <v>206</v>
      </c>
      <c r="H1245" s="569" t="s">
        <v>212</v>
      </c>
      <c r="I1245" s="574">
        <v>0</v>
      </c>
    </row>
    <row r="1246" spans="1:9" ht="16" x14ac:dyDescent="0.2">
      <c r="A1246" s="561">
        <v>46067</v>
      </c>
      <c r="B1246" s="562">
        <v>2026</v>
      </c>
      <c r="C1246" s="563">
        <v>2</v>
      </c>
      <c r="D1246" s="564">
        <v>7</v>
      </c>
      <c r="E1246" s="564">
        <v>14</v>
      </c>
      <c r="F1246" s="565" t="s">
        <v>64</v>
      </c>
      <c r="G1246" s="563" t="s">
        <v>209</v>
      </c>
      <c r="H1246" s="563" t="s">
        <v>212</v>
      </c>
      <c r="I1246" s="573">
        <v>63000000</v>
      </c>
    </row>
    <row r="1247" spans="1:9" ht="16" x14ac:dyDescent="0.2">
      <c r="A1247" s="567">
        <v>46067</v>
      </c>
      <c r="B1247" s="568">
        <v>2026</v>
      </c>
      <c r="C1247" s="569">
        <v>2</v>
      </c>
      <c r="D1247" s="570">
        <v>7</v>
      </c>
      <c r="E1247" s="570">
        <v>14</v>
      </c>
      <c r="F1247" s="571" t="s">
        <v>237</v>
      </c>
      <c r="G1247" s="569" t="s">
        <v>209</v>
      </c>
      <c r="H1247" s="569" t="s">
        <v>212</v>
      </c>
      <c r="I1247" s="574">
        <v>83430000</v>
      </c>
    </row>
    <row r="1248" spans="1:9" ht="16" x14ac:dyDescent="0.2">
      <c r="A1248" s="561">
        <v>46067</v>
      </c>
      <c r="B1248" s="562">
        <v>2026</v>
      </c>
      <c r="C1248" s="563">
        <v>2</v>
      </c>
      <c r="D1248" s="564">
        <v>7</v>
      </c>
      <c r="E1248" s="564">
        <v>14</v>
      </c>
      <c r="F1248" s="565" t="s">
        <v>11</v>
      </c>
      <c r="G1248" s="563" t="s">
        <v>11</v>
      </c>
      <c r="H1248" s="563" t="s">
        <v>212</v>
      </c>
      <c r="I1248" s="573">
        <v>12781040000</v>
      </c>
    </row>
    <row r="1249" spans="1:9" ht="16" x14ac:dyDescent="0.2">
      <c r="A1249" s="567">
        <v>46067</v>
      </c>
      <c r="B1249" s="568">
        <v>2026</v>
      </c>
      <c r="C1249" s="569">
        <v>2</v>
      </c>
      <c r="D1249" s="570">
        <v>7</v>
      </c>
      <c r="E1249" s="570">
        <v>14</v>
      </c>
      <c r="F1249" s="571" t="s">
        <v>221</v>
      </c>
      <c r="G1249" s="569" t="s">
        <v>207</v>
      </c>
      <c r="H1249" s="569" t="s">
        <v>212</v>
      </c>
      <c r="I1249" s="574">
        <v>0</v>
      </c>
    </row>
    <row r="1250" spans="1:9" ht="16" x14ac:dyDescent="0.2">
      <c r="A1250" s="561">
        <v>46067</v>
      </c>
      <c r="B1250" s="562">
        <v>2026</v>
      </c>
      <c r="C1250" s="563">
        <v>2</v>
      </c>
      <c r="D1250" s="564">
        <v>7</v>
      </c>
      <c r="E1250" s="564">
        <v>14</v>
      </c>
      <c r="F1250" s="565" t="s">
        <v>222</v>
      </c>
      <c r="G1250" s="563" t="s">
        <v>207</v>
      </c>
      <c r="H1250" s="563" t="s">
        <v>212</v>
      </c>
      <c r="I1250" s="573">
        <v>0</v>
      </c>
    </row>
    <row r="1251" spans="1:9" ht="16" x14ac:dyDescent="0.2">
      <c r="A1251" s="567">
        <v>46067</v>
      </c>
      <c r="B1251" s="568">
        <v>2026</v>
      </c>
      <c r="C1251" s="569">
        <v>2</v>
      </c>
      <c r="D1251" s="570">
        <v>7</v>
      </c>
      <c r="E1251" s="570">
        <v>14</v>
      </c>
      <c r="F1251" s="571" t="s">
        <v>223</v>
      </c>
      <c r="G1251" s="569" t="s">
        <v>207</v>
      </c>
      <c r="H1251" s="569" t="s">
        <v>212</v>
      </c>
      <c r="I1251" s="574">
        <v>0</v>
      </c>
    </row>
    <row r="1252" spans="1:9" ht="16" x14ac:dyDescent="0.2">
      <c r="A1252" s="561">
        <v>46067</v>
      </c>
      <c r="B1252" s="562">
        <v>2026</v>
      </c>
      <c r="C1252" s="563">
        <v>2</v>
      </c>
      <c r="D1252" s="564">
        <v>7</v>
      </c>
      <c r="E1252" s="564">
        <v>14</v>
      </c>
      <c r="F1252" s="565" t="s">
        <v>219</v>
      </c>
      <c r="G1252" s="563" t="s">
        <v>11</v>
      </c>
      <c r="H1252" s="563" t="s">
        <v>212</v>
      </c>
      <c r="I1252" s="573">
        <v>0</v>
      </c>
    </row>
    <row r="1253" spans="1:9" ht="16" x14ac:dyDescent="0.2">
      <c r="A1253" s="567">
        <v>46067</v>
      </c>
      <c r="B1253" s="568">
        <v>2026</v>
      </c>
      <c r="C1253" s="569">
        <v>2</v>
      </c>
      <c r="D1253" s="570">
        <v>7</v>
      </c>
      <c r="E1253" s="570">
        <v>14</v>
      </c>
      <c r="F1253" s="571" t="s">
        <v>19</v>
      </c>
      <c r="G1253" s="569" t="s">
        <v>19</v>
      </c>
      <c r="H1253" s="569" t="s">
        <v>214</v>
      </c>
      <c r="I1253" s="574">
        <v>12411684000</v>
      </c>
    </row>
    <row r="1254" spans="1:9" ht="16" x14ac:dyDescent="0.2">
      <c r="A1254" s="561">
        <v>46067</v>
      </c>
      <c r="B1254" s="562">
        <v>2026</v>
      </c>
      <c r="C1254" s="563">
        <v>2</v>
      </c>
      <c r="D1254" s="564">
        <v>7</v>
      </c>
      <c r="E1254" s="564">
        <v>14</v>
      </c>
      <c r="F1254" s="565" t="s">
        <v>62</v>
      </c>
      <c r="G1254" s="563" t="s">
        <v>62</v>
      </c>
      <c r="H1254" s="563" t="s">
        <v>216</v>
      </c>
      <c r="I1254" s="573">
        <v>148151559</v>
      </c>
    </row>
    <row r="1255" spans="1:9" ht="16" x14ac:dyDescent="0.2">
      <c r="A1255" s="567">
        <v>46067</v>
      </c>
      <c r="B1255" s="568">
        <v>2026</v>
      </c>
      <c r="C1255" s="569">
        <v>2</v>
      </c>
      <c r="D1255" s="570">
        <v>7</v>
      </c>
      <c r="E1255" s="570">
        <v>14</v>
      </c>
      <c r="F1255" s="571" t="s">
        <v>58</v>
      </c>
      <c r="G1255" s="569" t="s">
        <v>58</v>
      </c>
      <c r="H1255" s="569" t="s">
        <v>212</v>
      </c>
      <c r="I1255" s="574">
        <v>41000000</v>
      </c>
    </row>
    <row r="1256" spans="1:9" ht="16" x14ac:dyDescent="0.2">
      <c r="A1256" s="561">
        <v>46067</v>
      </c>
      <c r="B1256" s="562">
        <v>2026</v>
      </c>
      <c r="C1256" s="563">
        <v>2</v>
      </c>
      <c r="D1256" s="564">
        <v>7</v>
      </c>
      <c r="E1256" s="564">
        <v>14</v>
      </c>
      <c r="F1256" s="565" t="s">
        <v>61</v>
      </c>
      <c r="G1256" s="563" t="s">
        <v>61</v>
      </c>
      <c r="H1256" s="563" t="s">
        <v>214</v>
      </c>
      <c r="I1256" s="573">
        <v>41000000</v>
      </c>
    </row>
    <row r="1257" spans="1:9" ht="16" x14ac:dyDescent="0.2">
      <c r="A1257" s="567">
        <v>46067</v>
      </c>
      <c r="B1257" s="568">
        <v>2026</v>
      </c>
      <c r="C1257" s="569">
        <v>2</v>
      </c>
      <c r="D1257" s="570">
        <v>7</v>
      </c>
      <c r="E1257" s="570">
        <v>14</v>
      </c>
      <c r="F1257" s="571" t="s">
        <v>57</v>
      </c>
      <c r="G1257" s="569" t="s">
        <v>57</v>
      </c>
      <c r="H1257" s="569" t="s">
        <v>212</v>
      </c>
      <c r="I1257" s="574">
        <v>768680000</v>
      </c>
    </row>
    <row r="1258" spans="1:9" ht="16" x14ac:dyDescent="0.2">
      <c r="A1258" s="561">
        <v>46067</v>
      </c>
      <c r="B1258" s="562">
        <v>2026</v>
      </c>
      <c r="C1258" s="563">
        <v>2</v>
      </c>
      <c r="D1258" s="564">
        <v>7</v>
      </c>
      <c r="E1258" s="564">
        <v>14</v>
      </c>
      <c r="F1258" s="565" t="s">
        <v>63</v>
      </c>
      <c r="G1258" s="563" t="s">
        <v>63</v>
      </c>
      <c r="H1258" s="563" t="s">
        <v>214</v>
      </c>
      <c r="I1258" s="573">
        <v>248076000</v>
      </c>
    </row>
    <row r="1259" spans="1:9" ht="16" x14ac:dyDescent="0.2">
      <c r="A1259" s="567">
        <v>46067</v>
      </c>
      <c r="B1259" s="568">
        <v>2026</v>
      </c>
      <c r="C1259" s="569">
        <v>2</v>
      </c>
      <c r="D1259" s="570">
        <v>7</v>
      </c>
      <c r="E1259" s="570">
        <v>14</v>
      </c>
      <c r="F1259" s="571" t="s">
        <v>59</v>
      </c>
      <c r="G1259" s="569" t="s">
        <v>59</v>
      </c>
      <c r="H1259" s="569" t="s">
        <v>216</v>
      </c>
      <c r="I1259" s="574">
        <v>293908630</v>
      </c>
    </row>
    <row r="1260" spans="1:9" ht="16" x14ac:dyDescent="0.2">
      <c r="A1260" s="561">
        <v>46067</v>
      </c>
      <c r="B1260" s="562">
        <v>2026</v>
      </c>
      <c r="C1260" s="563">
        <v>2</v>
      </c>
      <c r="D1260" s="564">
        <v>7</v>
      </c>
      <c r="E1260" s="564">
        <v>14</v>
      </c>
      <c r="F1260" s="565" t="s">
        <v>31</v>
      </c>
      <c r="G1260" s="563" t="s">
        <v>175</v>
      </c>
      <c r="H1260" s="563" t="s">
        <v>212</v>
      </c>
      <c r="I1260" s="573">
        <v>2288510000</v>
      </c>
    </row>
    <row r="1261" spans="1:9" ht="16" x14ac:dyDescent="0.2">
      <c r="A1261" s="567">
        <v>46067</v>
      </c>
      <c r="B1261" s="568">
        <v>2026</v>
      </c>
      <c r="C1261" s="569">
        <v>2</v>
      </c>
      <c r="D1261" s="570">
        <v>7</v>
      </c>
      <c r="E1261" s="570">
        <v>14</v>
      </c>
      <c r="F1261" s="571" t="s">
        <v>234</v>
      </c>
      <c r="G1261" s="569" t="s">
        <v>210</v>
      </c>
      <c r="H1261" s="569" t="s">
        <v>214</v>
      </c>
      <c r="I1261" s="574">
        <v>517320000</v>
      </c>
    </row>
    <row r="1262" spans="1:9" ht="16" x14ac:dyDescent="0.2">
      <c r="A1262" s="561">
        <v>46068</v>
      </c>
      <c r="B1262" s="562">
        <v>2026</v>
      </c>
      <c r="C1262" s="563">
        <v>2</v>
      </c>
      <c r="D1262" s="564">
        <v>7</v>
      </c>
      <c r="E1262" s="564">
        <v>15</v>
      </c>
      <c r="F1262" s="565" t="s">
        <v>65</v>
      </c>
      <c r="G1262" s="563" t="s">
        <v>65</v>
      </c>
      <c r="H1262" s="563" t="s">
        <v>212</v>
      </c>
      <c r="I1262" s="573">
        <v>377750000</v>
      </c>
    </row>
    <row r="1263" spans="1:9" ht="16" x14ac:dyDescent="0.2">
      <c r="A1263" s="567">
        <v>46068</v>
      </c>
      <c r="B1263" s="568">
        <v>2026</v>
      </c>
      <c r="C1263" s="569">
        <v>2</v>
      </c>
      <c r="D1263" s="570">
        <v>7</v>
      </c>
      <c r="E1263" s="570">
        <v>15</v>
      </c>
      <c r="F1263" s="571" t="s">
        <v>66</v>
      </c>
      <c r="G1263" s="569" t="s">
        <v>66</v>
      </c>
      <c r="H1263" s="569" t="s">
        <v>216</v>
      </c>
      <c r="I1263" s="574">
        <v>200480969</v>
      </c>
    </row>
    <row r="1264" spans="1:9" ht="16" x14ac:dyDescent="0.2">
      <c r="A1264" s="561">
        <v>46068</v>
      </c>
      <c r="B1264" s="562">
        <v>2026</v>
      </c>
      <c r="C1264" s="563">
        <v>2</v>
      </c>
      <c r="D1264" s="564">
        <v>7</v>
      </c>
      <c r="E1264" s="564">
        <v>15</v>
      </c>
      <c r="F1264" s="565" t="s">
        <v>24</v>
      </c>
      <c r="G1264" s="563" t="s">
        <v>24</v>
      </c>
      <c r="H1264" s="563" t="s">
        <v>212</v>
      </c>
      <c r="I1264" s="573">
        <v>7767740000</v>
      </c>
    </row>
    <row r="1265" spans="1:9" ht="16" x14ac:dyDescent="0.2">
      <c r="A1265" s="567">
        <v>46068</v>
      </c>
      <c r="B1265" s="568">
        <v>2026</v>
      </c>
      <c r="C1265" s="569">
        <v>2</v>
      </c>
      <c r="D1265" s="570">
        <v>7</v>
      </c>
      <c r="E1265" s="570">
        <v>15</v>
      </c>
      <c r="F1265" s="571" t="s">
        <v>67</v>
      </c>
      <c r="G1265" s="569" t="s">
        <v>67</v>
      </c>
      <c r="H1265" s="569" t="s">
        <v>213</v>
      </c>
      <c r="I1265" s="574">
        <v>1507132265</v>
      </c>
    </row>
    <row r="1266" spans="1:9" ht="16" x14ac:dyDescent="0.2">
      <c r="A1266" s="561">
        <v>46068</v>
      </c>
      <c r="B1266" s="562">
        <v>2026</v>
      </c>
      <c r="C1266" s="563">
        <v>2</v>
      </c>
      <c r="D1266" s="564">
        <v>7</v>
      </c>
      <c r="E1266" s="564">
        <v>15</v>
      </c>
      <c r="F1266" s="565" t="s">
        <v>28</v>
      </c>
      <c r="G1266" s="563" t="s">
        <v>28</v>
      </c>
      <c r="H1266" s="563" t="s">
        <v>214</v>
      </c>
      <c r="I1266" s="573">
        <v>10136556000</v>
      </c>
    </row>
    <row r="1267" spans="1:9" ht="16" x14ac:dyDescent="0.2">
      <c r="A1267" s="567">
        <v>46068</v>
      </c>
      <c r="B1267" s="568">
        <v>2026</v>
      </c>
      <c r="C1267" s="569">
        <v>2</v>
      </c>
      <c r="D1267" s="570">
        <v>7</v>
      </c>
      <c r="E1267" s="570">
        <v>15</v>
      </c>
      <c r="F1267" s="571" t="s">
        <v>208</v>
      </c>
      <c r="G1267" s="569" t="s">
        <v>208</v>
      </c>
      <c r="H1267" s="569" t="s">
        <v>216</v>
      </c>
      <c r="I1267" s="574">
        <v>714476</v>
      </c>
    </row>
    <row r="1268" spans="1:9" ht="16" x14ac:dyDescent="0.2">
      <c r="A1268" s="561">
        <v>46068</v>
      </c>
      <c r="B1268" s="562">
        <v>2026</v>
      </c>
      <c r="C1268" s="563">
        <v>2</v>
      </c>
      <c r="D1268" s="564">
        <v>7</v>
      </c>
      <c r="E1268" s="564">
        <v>15</v>
      </c>
      <c r="F1268" s="565" t="s">
        <v>60</v>
      </c>
      <c r="G1268" s="563" t="s">
        <v>60</v>
      </c>
      <c r="H1268" s="563" t="s">
        <v>212</v>
      </c>
      <c r="I1268" s="573">
        <v>0</v>
      </c>
    </row>
    <row r="1269" spans="1:9" ht="16" x14ac:dyDescent="0.2">
      <c r="A1269" s="567">
        <v>46068</v>
      </c>
      <c r="B1269" s="568">
        <v>2026</v>
      </c>
      <c r="C1269" s="569">
        <v>2</v>
      </c>
      <c r="D1269" s="570">
        <v>7</v>
      </c>
      <c r="E1269" s="570">
        <v>15</v>
      </c>
      <c r="F1269" s="571" t="s">
        <v>36</v>
      </c>
      <c r="G1269" s="569" t="s">
        <v>36</v>
      </c>
      <c r="H1269" s="569" t="s">
        <v>212</v>
      </c>
      <c r="I1269" s="574">
        <v>2025270000</v>
      </c>
    </row>
    <row r="1270" spans="1:9" ht="16" x14ac:dyDescent="0.2">
      <c r="A1270" s="561">
        <v>46068</v>
      </c>
      <c r="B1270" s="562">
        <v>2026</v>
      </c>
      <c r="C1270" s="563">
        <v>2</v>
      </c>
      <c r="D1270" s="564">
        <v>7</v>
      </c>
      <c r="E1270" s="564">
        <v>15</v>
      </c>
      <c r="F1270" s="565" t="s">
        <v>55</v>
      </c>
      <c r="G1270" s="563" t="s">
        <v>36</v>
      </c>
      <c r="H1270" s="563" t="s">
        <v>212</v>
      </c>
      <c r="I1270" s="573">
        <v>448410000</v>
      </c>
    </row>
    <row r="1271" spans="1:9" ht="16" x14ac:dyDescent="0.2">
      <c r="A1271" s="567">
        <v>46068</v>
      </c>
      <c r="B1271" s="568">
        <v>2026</v>
      </c>
      <c r="C1271" s="569">
        <v>2</v>
      </c>
      <c r="D1271" s="570">
        <v>7</v>
      </c>
      <c r="E1271" s="570">
        <v>15</v>
      </c>
      <c r="F1271" s="571" t="s">
        <v>176</v>
      </c>
      <c r="G1271" s="569" t="s">
        <v>176</v>
      </c>
      <c r="H1271" s="569" t="s">
        <v>216</v>
      </c>
      <c r="I1271" s="574">
        <v>9994370</v>
      </c>
    </row>
    <row r="1272" spans="1:9" ht="16" x14ac:dyDescent="0.2">
      <c r="A1272" s="561">
        <v>46068</v>
      </c>
      <c r="B1272" s="562">
        <v>2026</v>
      </c>
      <c r="C1272" s="563">
        <v>2</v>
      </c>
      <c r="D1272" s="564">
        <v>7</v>
      </c>
      <c r="E1272" s="564">
        <v>15</v>
      </c>
      <c r="F1272" s="565" t="s">
        <v>39</v>
      </c>
      <c r="G1272" s="563" t="s">
        <v>176</v>
      </c>
      <c r="H1272" s="563" t="s">
        <v>216</v>
      </c>
      <c r="I1272" s="573">
        <v>1094880452</v>
      </c>
    </row>
    <row r="1273" spans="1:9" ht="16" x14ac:dyDescent="0.2">
      <c r="A1273" s="567">
        <v>46068</v>
      </c>
      <c r="B1273" s="568">
        <v>2026</v>
      </c>
      <c r="C1273" s="569">
        <v>2</v>
      </c>
      <c r="D1273" s="570">
        <v>7</v>
      </c>
      <c r="E1273" s="570">
        <v>15</v>
      </c>
      <c r="F1273" s="571" t="s">
        <v>206</v>
      </c>
      <c r="G1273" s="569" t="s">
        <v>206</v>
      </c>
      <c r="H1273" s="569" t="s">
        <v>212</v>
      </c>
      <c r="I1273" s="574">
        <v>0</v>
      </c>
    </row>
    <row r="1274" spans="1:9" ht="16" x14ac:dyDescent="0.2">
      <c r="A1274" s="561">
        <v>46068</v>
      </c>
      <c r="B1274" s="562">
        <v>2026</v>
      </c>
      <c r="C1274" s="563">
        <v>2</v>
      </c>
      <c r="D1274" s="564">
        <v>7</v>
      </c>
      <c r="E1274" s="564">
        <v>15</v>
      </c>
      <c r="F1274" s="565" t="s">
        <v>64</v>
      </c>
      <c r="G1274" s="563" t="s">
        <v>209</v>
      </c>
      <c r="H1274" s="563" t="s">
        <v>212</v>
      </c>
      <c r="I1274" s="573">
        <v>110250000</v>
      </c>
    </row>
    <row r="1275" spans="1:9" ht="16" x14ac:dyDescent="0.2">
      <c r="A1275" s="567">
        <v>46068</v>
      </c>
      <c r="B1275" s="568">
        <v>2026</v>
      </c>
      <c r="C1275" s="569">
        <v>2</v>
      </c>
      <c r="D1275" s="570">
        <v>7</v>
      </c>
      <c r="E1275" s="570">
        <v>15</v>
      </c>
      <c r="F1275" s="571" t="s">
        <v>237</v>
      </c>
      <c r="G1275" s="569" t="s">
        <v>209</v>
      </c>
      <c r="H1275" s="569" t="s">
        <v>212</v>
      </c>
      <c r="I1275" s="574">
        <v>0</v>
      </c>
    </row>
    <row r="1276" spans="1:9" ht="16" x14ac:dyDescent="0.2">
      <c r="A1276" s="561">
        <v>46068</v>
      </c>
      <c r="B1276" s="562">
        <v>2026</v>
      </c>
      <c r="C1276" s="563">
        <v>2</v>
      </c>
      <c r="D1276" s="564">
        <v>7</v>
      </c>
      <c r="E1276" s="564">
        <v>15</v>
      </c>
      <c r="F1276" s="565" t="s">
        <v>11</v>
      </c>
      <c r="G1276" s="563" t="s">
        <v>11</v>
      </c>
      <c r="H1276" s="563" t="s">
        <v>212</v>
      </c>
      <c r="I1276" s="573">
        <v>10542680000</v>
      </c>
    </row>
    <row r="1277" spans="1:9" ht="16" x14ac:dyDescent="0.2">
      <c r="A1277" s="567">
        <v>46068</v>
      </c>
      <c r="B1277" s="568">
        <v>2026</v>
      </c>
      <c r="C1277" s="569">
        <v>2</v>
      </c>
      <c r="D1277" s="570">
        <v>7</v>
      </c>
      <c r="E1277" s="570">
        <v>15</v>
      </c>
      <c r="F1277" s="571" t="s">
        <v>221</v>
      </c>
      <c r="G1277" s="569" t="s">
        <v>207</v>
      </c>
      <c r="H1277" s="569" t="s">
        <v>212</v>
      </c>
      <c r="I1277" s="574">
        <v>0</v>
      </c>
    </row>
    <row r="1278" spans="1:9" ht="16" x14ac:dyDescent="0.2">
      <c r="A1278" s="561">
        <v>46068</v>
      </c>
      <c r="B1278" s="562">
        <v>2026</v>
      </c>
      <c r="C1278" s="563">
        <v>2</v>
      </c>
      <c r="D1278" s="564">
        <v>7</v>
      </c>
      <c r="E1278" s="564">
        <v>15</v>
      </c>
      <c r="F1278" s="565" t="s">
        <v>222</v>
      </c>
      <c r="G1278" s="563" t="s">
        <v>207</v>
      </c>
      <c r="H1278" s="563" t="s">
        <v>212</v>
      </c>
      <c r="I1278" s="573">
        <v>0</v>
      </c>
    </row>
    <row r="1279" spans="1:9" ht="16" x14ac:dyDescent="0.2">
      <c r="A1279" s="567">
        <v>46068</v>
      </c>
      <c r="B1279" s="568">
        <v>2026</v>
      </c>
      <c r="C1279" s="569">
        <v>2</v>
      </c>
      <c r="D1279" s="570">
        <v>7</v>
      </c>
      <c r="E1279" s="570">
        <v>15</v>
      </c>
      <c r="F1279" s="571" t="s">
        <v>223</v>
      </c>
      <c r="G1279" s="569" t="s">
        <v>207</v>
      </c>
      <c r="H1279" s="569" t="s">
        <v>212</v>
      </c>
      <c r="I1279" s="574">
        <v>0</v>
      </c>
    </row>
    <row r="1280" spans="1:9" ht="16" x14ac:dyDescent="0.2">
      <c r="A1280" s="561">
        <v>46068</v>
      </c>
      <c r="B1280" s="562">
        <v>2026</v>
      </c>
      <c r="C1280" s="563">
        <v>2</v>
      </c>
      <c r="D1280" s="564">
        <v>7</v>
      </c>
      <c r="E1280" s="564">
        <v>15</v>
      </c>
      <c r="F1280" s="565" t="s">
        <v>219</v>
      </c>
      <c r="G1280" s="563" t="s">
        <v>11</v>
      </c>
      <c r="H1280" s="563" t="s">
        <v>212</v>
      </c>
      <c r="I1280" s="573">
        <v>15000000</v>
      </c>
    </row>
    <row r="1281" spans="1:9" ht="16" x14ac:dyDescent="0.2">
      <c r="A1281" s="567">
        <v>46068</v>
      </c>
      <c r="B1281" s="568">
        <v>2026</v>
      </c>
      <c r="C1281" s="569">
        <v>2</v>
      </c>
      <c r="D1281" s="570">
        <v>7</v>
      </c>
      <c r="E1281" s="570">
        <v>15</v>
      </c>
      <c r="F1281" s="571" t="s">
        <v>19</v>
      </c>
      <c r="G1281" s="569" t="s">
        <v>19</v>
      </c>
      <c r="H1281" s="569" t="s">
        <v>214</v>
      </c>
      <c r="I1281" s="574">
        <v>10047780000</v>
      </c>
    </row>
    <row r="1282" spans="1:9" ht="16" x14ac:dyDescent="0.2">
      <c r="A1282" s="561">
        <v>46068</v>
      </c>
      <c r="B1282" s="562">
        <v>2026</v>
      </c>
      <c r="C1282" s="563">
        <v>2</v>
      </c>
      <c r="D1282" s="564">
        <v>7</v>
      </c>
      <c r="E1282" s="564">
        <v>15</v>
      </c>
      <c r="F1282" s="565" t="s">
        <v>62</v>
      </c>
      <c r="G1282" s="563" t="s">
        <v>62</v>
      </c>
      <c r="H1282" s="563" t="s">
        <v>216</v>
      </c>
      <c r="I1282" s="573">
        <v>141149891</v>
      </c>
    </row>
    <row r="1283" spans="1:9" ht="16" x14ac:dyDescent="0.2">
      <c r="A1283" s="567">
        <v>46068</v>
      </c>
      <c r="B1283" s="568">
        <v>2026</v>
      </c>
      <c r="C1283" s="569">
        <v>2</v>
      </c>
      <c r="D1283" s="570">
        <v>7</v>
      </c>
      <c r="E1283" s="570">
        <v>15</v>
      </c>
      <c r="F1283" s="571" t="s">
        <v>58</v>
      </c>
      <c r="G1283" s="569" t="s">
        <v>58</v>
      </c>
      <c r="H1283" s="569" t="s">
        <v>212</v>
      </c>
      <c r="I1283" s="574">
        <v>63000000</v>
      </c>
    </row>
    <row r="1284" spans="1:9" ht="16" x14ac:dyDescent="0.2">
      <c r="A1284" s="561">
        <v>46068</v>
      </c>
      <c r="B1284" s="562">
        <v>2026</v>
      </c>
      <c r="C1284" s="563">
        <v>2</v>
      </c>
      <c r="D1284" s="564">
        <v>7</v>
      </c>
      <c r="E1284" s="564">
        <v>15</v>
      </c>
      <c r="F1284" s="565" t="s">
        <v>61</v>
      </c>
      <c r="G1284" s="563" t="s">
        <v>61</v>
      </c>
      <c r="H1284" s="563" t="s">
        <v>214</v>
      </c>
      <c r="I1284" s="573">
        <v>38000000</v>
      </c>
    </row>
    <row r="1285" spans="1:9" ht="16" x14ac:dyDescent="0.2">
      <c r="A1285" s="567">
        <v>46068</v>
      </c>
      <c r="B1285" s="568">
        <v>2026</v>
      </c>
      <c r="C1285" s="569">
        <v>2</v>
      </c>
      <c r="D1285" s="570">
        <v>7</v>
      </c>
      <c r="E1285" s="570">
        <v>15</v>
      </c>
      <c r="F1285" s="571" t="s">
        <v>57</v>
      </c>
      <c r="G1285" s="569" t="s">
        <v>57</v>
      </c>
      <c r="H1285" s="569" t="s">
        <v>212</v>
      </c>
      <c r="I1285" s="574">
        <v>647650000</v>
      </c>
    </row>
    <row r="1286" spans="1:9" ht="16" x14ac:dyDescent="0.2">
      <c r="A1286" s="561">
        <v>46068</v>
      </c>
      <c r="B1286" s="562">
        <v>2026</v>
      </c>
      <c r="C1286" s="563">
        <v>2</v>
      </c>
      <c r="D1286" s="564">
        <v>7</v>
      </c>
      <c r="E1286" s="564">
        <v>15</v>
      </c>
      <c r="F1286" s="565" t="s">
        <v>63</v>
      </c>
      <c r="G1286" s="563" t="s">
        <v>63</v>
      </c>
      <c r="H1286" s="563" t="s">
        <v>214</v>
      </c>
      <c r="I1286" s="573">
        <v>288360000</v>
      </c>
    </row>
    <row r="1287" spans="1:9" ht="16" x14ac:dyDescent="0.2">
      <c r="A1287" s="567">
        <v>46068</v>
      </c>
      <c r="B1287" s="568">
        <v>2026</v>
      </c>
      <c r="C1287" s="569">
        <v>2</v>
      </c>
      <c r="D1287" s="570">
        <v>7</v>
      </c>
      <c r="E1287" s="570">
        <v>15</v>
      </c>
      <c r="F1287" s="571" t="s">
        <v>59</v>
      </c>
      <c r="G1287" s="569" t="s">
        <v>59</v>
      </c>
      <c r="H1287" s="569" t="s">
        <v>216</v>
      </c>
      <c r="I1287" s="574">
        <v>262063435</v>
      </c>
    </row>
    <row r="1288" spans="1:9" ht="16" x14ac:dyDescent="0.2">
      <c r="A1288" s="561">
        <v>46068</v>
      </c>
      <c r="B1288" s="562">
        <v>2026</v>
      </c>
      <c r="C1288" s="563">
        <v>2</v>
      </c>
      <c r="D1288" s="564">
        <v>7</v>
      </c>
      <c r="E1288" s="564">
        <v>15</v>
      </c>
      <c r="F1288" s="565" t="s">
        <v>31</v>
      </c>
      <c r="G1288" s="563" t="s">
        <v>175</v>
      </c>
      <c r="H1288" s="563" t="s">
        <v>212</v>
      </c>
      <c r="I1288" s="573">
        <v>2219280000</v>
      </c>
    </row>
    <row r="1289" spans="1:9" ht="16" x14ac:dyDescent="0.2">
      <c r="A1289" s="567">
        <v>46068</v>
      </c>
      <c r="B1289" s="568">
        <v>2026</v>
      </c>
      <c r="C1289" s="569">
        <v>2</v>
      </c>
      <c r="D1289" s="570">
        <v>7</v>
      </c>
      <c r="E1289" s="570">
        <v>15</v>
      </c>
      <c r="F1289" s="571" t="s">
        <v>234</v>
      </c>
      <c r="G1289" s="569" t="s">
        <v>210</v>
      </c>
      <c r="H1289" s="569" t="s">
        <v>214</v>
      </c>
      <c r="I1289" s="574">
        <v>379080000</v>
      </c>
    </row>
    <row r="1290" spans="1:9" ht="16" x14ac:dyDescent="0.2">
      <c r="A1290" s="561">
        <v>46069</v>
      </c>
      <c r="B1290" s="562">
        <v>2026</v>
      </c>
      <c r="C1290" s="563">
        <v>2</v>
      </c>
      <c r="D1290" s="564">
        <v>8</v>
      </c>
      <c r="E1290" s="564">
        <v>16</v>
      </c>
      <c r="F1290" s="565" t="s">
        <v>65</v>
      </c>
      <c r="G1290" s="563" t="s">
        <v>65</v>
      </c>
      <c r="H1290" s="563" t="s">
        <v>212</v>
      </c>
      <c r="I1290" s="573">
        <v>199100000</v>
      </c>
    </row>
    <row r="1291" spans="1:9" ht="16" x14ac:dyDescent="0.2">
      <c r="A1291" s="567">
        <v>46069</v>
      </c>
      <c r="B1291" s="568">
        <v>2026</v>
      </c>
      <c r="C1291" s="569">
        <v>2</v>
      </c>
      <c r="D1291" s="570">
        <v>8</v>
      </c>
      <c r="E1291" s="570">
        <v>16</v>
      </c>
      <c r="F1291" s="571" t="s">
        <v>66</v>
      </c>
      <c r="G1291" s="569" t="s">
        <v>66</v>
      </c>
      <c r="H1291" s="569" t="s">
        <v>216</v>
      </c>
      <c r="I1291" s="574">
        <v>171218066</v>
      </c>
    </row>
    <row r="1292" spans="1:9" ht="16" x14ac:dyDescent="0.2">
      <c r="A1292" s="561">
        <v>46069</v>
      </c>
      <c r="B1292" s="562">
        <v>2026</v>
      </c>
      <c r="C1292" s="563">
        <v>2</v>
      </c>
      <c r="D1292" s="564">
        <v>8</v>
      </c>
      <c r="E1292" s="564">
        <v>16</v>
      </c>
      <c r="F1292" s="565" t="s">
        <v>24</v>
      </c>
      <c r="G1292" s="563" t="s">
        <v>24</v>
      </c>
      <c r="H1292" s="563" t="s">
        <v>212</v>
      </c>
      <c r="I1292" s="573">
        <v>7015060000</v>
      </c>
    </row>
    <row r="1293" spans="1:9" ht="16" x14ac:dyDescent="0.2">
      <c r="A1293" s="567">
        <v>46069</v>
      </c>
      <c r="B1293" s="568">
        <v>2026</v>
      </c>
      <c r="C1293" s="569">
        <v>2</v>
      </c>
      <c r="D1293" s="570">
        <v>8</v>
      </c>
      <c r="E1293" s="570">
        <v>16</v>
      </c>
      <c r="F1293" s="571" t="s">
        <v>67</v>
      </c>
      <c r="G1293" s="569" t="s">
        <v>67</v>
      </c>
      <c r="H1293" s="569" t="s">
        <v>213</v>
      </c>
      <c r="I1293" s="574">
        <v>1577459125</v>
      </c>
    </row>
    <row r="1294" spans="1:9" ht="16" x14ac:dyDescent="0.2">
      <c r="A1294" s="561">
        <v>46069</v>
      </c>
      <c r="B1294" s="562">
        <v>2026</v>
      </c>
      <c r="C1294" s="563">
        <v>2</v>
      </c>
      <c r="D1294" s="564">
        <v>8</v>
      </c>
      <c r="E1294" s="564">
        <v>16</v>
      </c>
      <c r="F1294" s="565" t="s">
        <v>28</v>
      </c>
      <c r="G1294" s="563" t="s">
        <v>28</v>
      </c>
      <c r="H1294" s="563" t="s">
        <v>214</v>
      </c>
      <c r="I1294" s="573">
        <v>9127728000</v>
      </c>
    </row>
    <row r="1295" spans="1:9" ht="16" x14ac:dyDescent="0.2">
      <c r="A1295" s="567">
        <v>46069</v>
      </c>
      <c r="B1295" s="568">
        <v>2026</v>
      </c>
      <c r="C1295" s="569">
        <v>2</v>
      </c>
      <c r="D1295" s="570">
        <v>8</v>
      </c>
      <c r="E1295" s="570">
        <v>16</v>
      </c>
      <c r="F1295" s="571" t="s">
        <v>208</v>
      </c>
      <c r="G1295" s="569" t="s">
        <v>208</v>
      </c>
      <c r="H1295" s="569" t="s">
        <v>216</v>
      </c>
      <c r="I1295" s="574">
        <v>376000</v>
      </c>
    </row>
    <row r="1296" spans="1:9" ht="16" x14ac:dyDescent="0.2">
      <c r="A1296" s="561">
        <v>46069</v>
      </c>
      <c r="B1296" s="562">
        <v>2026</v>
      </c>
      <c r="C1296" s="563">
        <v>2</v>
      </c>
      <c r="D1296" s="564">
        <v>8</v>
      </c>
      <c r="E1296" s="564">
        <v>16</v>
      </c>
      <c r="F1296" s="565" t="s">
        <v>60</v>
      </c>
      <c r="G1296" s="563" t="s">
        <v>60</v>
      </c>
      <c r="H1296" s="563" t="s">
        <v>212</v>
      </c>
      <c r="I1296" s="573">
        <v>0</v>
      </c>
    </row>
    <row r="1297" spans="1:9" ht="16" x14ac:dyDescent="0.2">
      <c r="A1297" s="567">
        <v>46069</v>
      </c>
      <c r="B1297" s="568">
        <v>2026</v>
      </c>
      <c r="C1297" s="569">
        <v>2</v>
      </c>
      <c r="D1297" s="570">
        <v>8</v>
      </c>
      <c r="E1297" s="570">
        <v>16</v>
      </c>
      <c r="F1297" s="571" t="s">
        <v>36</v>
      </c>
      <c r="G1297" s="569" t="s">
        <v>36</v>
      </c>
      <c r="H1297" s="569" t="s">
        <v>212</v>
      </c>
      <c r="I1297" s="574">
        <v>40000000</v>
      </c>
    </row>
    <row r="1298" spans="1:9" ht="16" x14ac:dyDescent="0.2">
      <c r="A1298" s="561">
        <v>46069</v>
      </c>
      <c r="B1298" s="562">
        <v>2026</v>
      </c>
      <c r="C1298" s="563">
        <v>2</v>
      </c>
      <c r="D1298" s="564">
        <v>8</v>
      </c>
      <c r="E1298" s="564">
        <v>16</v>
      </c>
      <c r="F1298" s="565" t="s">
        <v>55</v>
      </c>
      <c r="G1298" s="563" t="s">
        <v>36</v>
      </c>
      <c r="H1298" s="563" t="s">
        <v>212</v>
      </c>
      <c r="I1298" s="573">
        <v>295690000</v>
      </c>
    </row>
    <row r="1299" spans="1:9" ht="16" x14ac:dyDescent="0.2">
      <c r="A1299" s="567">
        <v>46069</v>
      </c>
      <c r="B1299" s="568">
        <v>2026</v>
      </c>
      <c r="C1299" s="569">
        <v>2</v>
      </c>
      <c r="D1299" s="570">
        <v>8</v>
      </c>
      <c r="E1299" s="570">
        <v>16</v>
      </c>
      <c r="F1299" s="571" t="s">
        <v>176</v>
      </c>
      <c r="G1299" s="569" t="s">
        <v>176</v>
      </c>
      <c r="H1299" s="569" t="s">
        <v>216</v>
      </c>
      <c r="I1299" s="574">
        <v>35836</v>
      </c>
    </row>
    <row r="1300" spans="1:9" ht="16" x14ac:dyDescent="0.2">
      <c r="A1300" s="561">
        <v>46069</v>
      </c>
      <c r="B1300" s="562">
        <v>2026</v>
      </c>
      <c r="C1300" s="563">
        <v>2</v>
      </c>
      <c r="D1300" s="564">
        <v>8</v>
      </c>
      <c r="E1300" s="564">
        <v>16</v>
      </c>
      <c r="F1300" s="565" t="s">
        <v>39</v>
      </c>
      <c r="G1300" s="563" t="s">
        <v>176</v>
      </c>
      <c r="H1300" s="563" t="s">
        <v>216</v>
      </c>
      <c r="I1300" s="573">
        <v>108417293</v>
      </c>
    </row>
    <row r="1301" spans="1:9" ht="16" x14ac:dyDescent="0.2">
      <c r="A1301" s="567">
        <v>46069</v>
      </c>
      <c r="B1301" s="568">
        <v>2026</v>
      </c>
      <c r="C1301" s="569">
        <v>2</v>
      </c>
      <c r="D1301" s="570">
        <v>8</v>
      </c>
      <c r="E1301" s="570">
        <v>16</v>
      </c>
      <c r="F1301" s="571" t="s">
        <v>206</v>
      </c>
      <c r="G1301" s="569" t="s">
        <v>206</v>
      </c>
      <c r="H1301" s="569" t="s">
        <v>212</v>
      </c>
      <c r="I1301" s="574">
        <v>0</v>
      </c>
    </row>
    <row r="1302" spans="1:9" ht="16" x14ac:dyDescent="0.2">
      <c r="A1302" s="561">
        <v>46069</v>
      </c>
      <c r="B1302" s="562">
        <v>2026</v>
      </c>
      <c r="C1302" s="563">
        <v>2</v>
      </c>
      <c r="D1302" s="564">
        <v>8</v>
      </c>
      <c r="E1302" s="564">
        <v>16</v>
      </c>
      <c r="F1302" s="565" t="s">
        <v>64</v>
      </c>
      <c r="G1302" s="563" t="s">
        <v>209</v>
      </c>
      <c r="H1302" s="563" t="s">
        <v>212</v>
      </c>
      <c r="I1302" s="573">
        <v>0</v>
      </c>
    </row>
    <row r="1303" spans="1:9" ht="16" x14ac:dyDescent="0.2">
      <c r="A1303" s="567">
        <v>46069</v>
      </c>
      <c r="B1303" s="568">
        <v>2026</v>
      </c>
      <c r="C1303" s="569">
        <v>2</v>
      </c>
      <c r="D1303" s="570">
        <v>8</v>
      </c>
      <c r="E1303" s="570">
        <v>16</v>
      </c>
      <c r="F1303" s="571" t="s">
        <v>237</v>
      </c>
      <c r="G1303" s="569" t="s">
        <v>209</v>
      </c>
      <c r="H1303" s="569" t="s">
        <v>212</v>
      </c>
      <c r="I1303" s="574">
        <v>0</v>
      </c>
    </row>
    <row r="1304" spans="1:9" ht="16" x14ac:dyDescent="0.2">
      <c r="A1304" s="561">
        <v>46069</v>
      </c>
      <c r="B1304" s="562">
        <v>2026</v>
      </c>
      <c r="C1304" s="563">
        <v>2</v>
      </c>
      <c r="D1304" s="564">
        <v>8</v>
      </c>
      <c r="E1304" s="564">
        <v>16</v>
      </c>
      <c r="F1304" s="565" t="s">
        <v>11</v>
      </c>
      <c r="G1304" s="563" t="s">
        <v>11</v>
      </c>
      <c r="H1304" s="563" t="s">
        <v>212</v>
      </c>
      <c r="I1304" s="573">
        <v>8938420000</v>
      </c>
    </row>
    <row r="1305" spans="1:9" ht="16" x14ac:dyDescent="0.2">
      <c r="A1305" s="567">
        <v>46069</v>
      </c>
      <c r="B1305" s="568">
        <v>2026</v>
      </c>
      <c r="C1305" s="569">
        <v>2</v>
      </c>
      <c r="D1305" s="570">
        <v>8</v>
      </c>
      <c r="E1305" s="570">
        <v>16</v>
      </c>
      <c r="F1305" s="571" t="s">
        <v>221</v>
      </c>
      <c r="G1305" s="569" t="s">
        <v>207</v>
      </c>
      <c r="H1305" s="569" t="s">
        <v>212</v>
      </c>
      <c r="I1305" s="574">
        <v>0</v>
      </c>
    </row>
    <row r="1306" spans="1:9" ht="16" x14ac:dyDescent="0.2">
      <c r="A1306" s="561">
        <v>46069</v>
      </c>
      <c r="B1306" s="562">
        <v>2026</v>
      </c>
      <c r="C1306" s="563">
        <v>2</v>
      </c>
      <c r="D1306" s="564">
        <v>8</v>
      </c>
      <c r="E1306" s="564">
        <v>16</v>
      </c>
      <c r="F1306" s="565" t="s">
        <v>222</v>
      </c>
      <c r="G1306" s="563" t="s">
        <v>207</v>
      </c>
      <c r="H1306" s="563" t="s">
        <v>212</v>
      </c>
      <c r="I1306" s="573">
        <v>0</v>
      </c>
    </row>
    <row r="1307" spans="1:9" ht="16" x14ac:dyDescent="0.2">
      <c r="A1307" s="567">
        <v>46069</v>
      </c>
      <c r="B1307" s="568">
        <v>2026</v>
      </c>
      <c r="C1307" s="569">
        <v>2</v>
      </c>
      <c r="D1307" s="570">
        <v>8</v>
      </c>
      <c r="E1307" s="570">
        <v>16</v>
      </c>
      <c r="F1307" s="571" t="s">
        <v>223</v>
      </c>
      <c r="G1307" s="569" t="s">
        <v>207</v>
      </c>
      <c r="H1307" s="569" t="s">
        <v>212</v>
      </c>
      <c r="I1307" s="574">
        <v>0</v>
      </c>
    </row>
    <row r="1308" spans="1:9" ht="16" x14ac:dyDescent="0.2">
      <c r="A1308" s="561">
        <v>46069</v>
      </c>
      <c r="B1308" s="562">
        <v>2026</v>
      </c>
      <c r="C1308" s="563">
        <v>2</v>
      </c>
      <c r="D1308" s="564">
        <v>8</v>
      </c>
      <c r="E1308" s="564">
        <v>16</v>
      </c>
      <c r="F1308" s="565" t="s">
        <v>219</v>
      </c>
      <c r="G1308" s="563" t="s">
        <v>11</v>
      </c>
      <c r="H1308" s="563" t="s">
        <v>212</v>
      </c>
      <c r="I1308" s="573">
        <v>0</v>
      </c>
    </row>
    <row r="1309" spans="1:9" ht="16" x14ac:dyDescent="0.2">
      <c r="A1309" s="567">
        <v>46069</v>
      </c>
      <c r="B1309" s="568">
        <v>2026</v>
      </c>
      <c r="C1309" s="569">
        <v>2</v>
      </c>
      <c r="D1309" s="570">
        <v>8</v>
      </c>
      <c r="E1309" s="570">
        <v>16</v>
      </c>
      <c r="F1309" s="571" t="s">
        <v>19</v>
      </c>
      <c r="G1309" s="569" t="s">
        <v>19</v>
      </c>
      <c r="H1309" s="569" t="s">
        <v>214</v>
      </c>
      <c r="I1309" s="574">
        <v>9461016000</v>
      </c>
    </row>
    <row r="1310" spans="1:9" ht="16" x14ac:dyDescent="0.2">
      <c r="A1310" s="561">
        <v>46069</v>
      </c>
      <c r="B1310" s="562">
        <v>2026</v>
      </c>
      <c r="C1310" s="563">
        <v>2</v>
      </c>
      <c r="D1310" s="564">
        <v>8</v>
      </c>
      <c r="E1310" s="564">
        <v>16</v>
      </c>
      <c r="F1310" s="565" t="s">
        <v>62</v>
      </c>
      <c r="G1310" s="563" t="s">
        <v>62</v>
      </c>
      <c r="H1310" s="563" t="s">
        <v>216</v>
      </c>
      <c r="I1310" s="573">
        <v>104087944</v>
      </c>
    </row>
    <row r="1311" spans="1:9" ht="16" x14ac:dyDescent="0.2">
      <c r="A1311" s="567">
        <v>46069</v>
      </c>
      <c r="B1311" s="568">
        <v>2026</v>
      </c>
      <c r="C1311" s="569">
        <v>2</v>
      </c>
      <c r="D1311" s="570">
        <v>8</v>
      </c>
      <c r="E1311" s="570">
        <v>16</v>
      </c>
      <c r="F1311" s="571" t="s">
        <v>58</v>
      </c>
      <c r="G1311" s="569" t="s">
        <v>58</v>
      </c>
      <c r="H1311" s="569" t="s">
        <v>212</v>
      </c>
      <c r="I1311" s="574">
        <v>35700000</v>
      </c>
    </row>
    <row r="1312" spans="1:9" ht="16" x14ac:dyDescent="0.2">
      <c r="A1312" s="561">
        <v>46069</v>
      </c>
      <c r="B1312" s="562">
        <v>2026</v>
      </c>
      <c r="C1312" s="563">
        <v>2</v>
      </c>
      <c r="D1312" s="564">
        <v>8</v>
      </c>
      <c r="E1312" s="564">
        <v>16</v>
      </c>
      <c r="F1312" s="565" t="s">
        <v>61</v>
      </c>
      <c r="G1312" s="563" t="s">
        <v>61</v>
      </c>
      <c r="H1312" s="563" t="s">
        <v>214</v>
      </c>
      <c r="I1312" s="573">
        <v>57000000</v>
      </c>
    </row>
    <row r="1313" spans="1:9" ht="16" x14ac:dyDescent="0.2">
      <c r="A1313" s="567">
        <v>46069</v>
      </c>
      <c r="B1313" s="568">
        <v>2026</v>
      </c>
      <c r="C1313" s="569">
        <v>2</v>
      </c>
      <c r="D1313" s="570">
        <v>8</v>
      </c>
      <c r="E1313" s="570">
        <v>16</v>
      </c>
      <c r="F1313" s="571" t="s">
        <v>57</v>
      </c>
      <c r="G1313" s="569" t="s">
        <v>57</v>
      </c>
      <c r="H1313" s="569" t="s">
        <v>212</v>
      </c>
      <c r="I1313" s="574">
        <v>324530000</v>
      </c>
    </row>
    <row r="1314" spans="1:9" ht="16" x14ac:dyDescent="0.2">
      <c r="A1314" s="561">
        <v>46069</v>
      </c>
      <c r="B1314" s="562">
        <v>2026</v>
      </c>
      <c r="C1314" s="563">
        <v>2</v>
      </c>
      <c r="D1314" s="564">
        <v>8</v>
      </c>
      <c r="E1314" s="564">
        <v>16</v>
      </c>
      <c r="F1314" s="565" t="s">
        <v>63</v>
      </c>
      <c r="G1314" s="563" t="s">
        <v>63</v>
      </c>
      <c r="H1314" s="563" t="s">
        <v>214</v>
      </c>
      <c r="I1314" s="573">
        <v>150660000</v>
      </c>
    </row>
    <row r="1315" spans="1:9" ht="16" x14ac:dyDescent="0.2">
      <c r="A1315" s="567">
        <v>46069</v>
      </c>
      <c r="B1315" s="568">
        <v>2026</v>
      </c>
      <c r="C1315" s="569">
        <v>2</v>
      </c>
      <c r="D1315" s="570">
        <v>8</v>
      </c>
      <c r="E1315" s="570">
        <v>16</v>
      </c>
      <c r="F1315" s="571" t="s">
        <v>59</v>
      </c>
      <c r="G1315" s="569" t="s">
        <v>59</v>
      </c>
      <c r="H1315" s="569" t="s">
        <v>216</v>
      </c>
      <c r="I1315" s="574">
        <v>156031324</v>
      </c>
    </row>
    <row r="1316" spans="1:9" ht="16" x14ac:dyDescent="0.2">
      <c r="A1316" s="561">
        <v>46069</v>
      </c>
      <c r="B1316" s="562">
        <v>2026</v>
      </c>
      <c r="C1316" s="563">
        <v>2</v>
      </c>
      <c r="D1316" s="564">
        <v>8</v>
      </c>
      <c r="E1316" s="564">
        <v>16</v>
      </c>
      <c r="F1316" s="565" t="s">
        <v>31</v>
      </c>
      <c r="G1316" s="563" t="s">
        <v>175</v>
      </c>
      <c r="H1316" s="563" t="s">
        <v>212</v>
      </c>
      <c r="I1316" s="573">
        <v>1508030000</v>
      </c>
    </row>
    <row r="1317" spans="1:9" ht="16" x14ac:dyDescent="0.2">
      <c r="A1317" s="567">
        <v>46069</v>
      </c>
      <c r="B1317" s="568">
        <v>2026</v>
      </c>
      <c r="C1317" s="569">
        <v>2</v>
      </c>
      <c r="D1317" s="570">
        <v>8</v>
      </c>
      <c r="E1317" s="570">
        <v>16</v>
      </c>
      <c r="F1317" s="571" t="s">
        <v>234</v>
      </c>
      <c r="G1317" s="569" t="s">
        <v>210</v>
      </c>
      <c r="H1317" s="569" t="s">
        <v>214</v>
      </c>
      <c r="I1317" s="574">
        <v>332640000</v>
      </c>
    </row>
    <row r="1318" spans="1:9" ht="16" x14ac:dyDescent="0.2">
      <c r="A1318" s="561">
        <v>46070</v>
      </c>
      <c r="B1318" s="562">
        <v>2026</v>
      </c>
      <c r="C1318" s="563">
        <v>2</v>
      </c>
      <c r="D1318" s="564">
        <v>8</v>
      </c>
      <c r="E1318" s="564">
        <v>17</v>
      </c>
      <c r="F1318" s="565" t="s">
        <v>65</v>
      </c>
      <c r="G1318" s="563" t="s">
        <v>65</v>
      </c>
      <c r="H1318" s="563" t="s">
        <v>212</v>
      </c>
      <c r="I1318" s="573">
        <v>105000000</v>
      </c>
    </row>
    <row r="1319" spans="1:9" ht="16" x14ac:dyDescent="0.2">
      <c r="A1319" s="567">
        <v>46070</v>
      </c>
      <c r="B1319" s="568">
        <v>2026</v>
      </c>
      <c r="C1319" s="569">
        <v>2</v>
      </c>
      <c r="D1319" s="570">
        <v>8</v>
      </c>
      <c r="E1319" s="570">
        <v>17</v>
      </c>
      <c r="F1319" s="571" t="s">
        <v>66</v>
      </c>
      <c r="G1319" s="569" t="s">
        <v>66</v>
      </c>
      <c r="H1319" s="569" t="s">
        <v>216</v>
      </c>
      <c r="I1319" s="574">
        <v>133844469</v>
      </c>
    </row>
    <row r="1320" spans="1:9" ht="16" x14ac:dyDescent="0.2">
      <c r="A1320" s="561">
        <v>46070</v>
      </c>
      <c r="B1320" s="562">
        <v>2026</v>
      </c>
      <c r="C1320" s="563">
        <v>2</v>
      </c>
      <c r="D1320" s="564">
        <v>8</v>
      </c>
      <c r="E1320" s="564">
        <v>17</v>
      </c>
      <c r="F1320" s="565" t="s">
        <v>24</v>
      </c>
      <c r="G1320" s="563" t="s">
        <v>24</v>
      </c>
      <c r="H1320" s="563" t="s">
        <v>212</v>
      </c>
      <c r="I1320" s="573">
        <v>2916520000</v>
      </c>
    </row>
    <row r="1321" spans="1:9" ht="16" x14ac:dyDescent="0.2">
      <c r="A1321" s="567">
        <v>46070</v>
      </c>
      <c r="B1321" s="568">
        <v>2026</v>
      </c>
      <c r="C1321" s="569">
        <v>2</v>
      </c>
      <c r="D1321" s="570">
        <v>8</v>
      </c>
      <c r="E1321" s="570">
        <v>17</v>
      </c>
      <c r="F1321" s="571" t="s">
        <v>67</v>
      </c>
      <c r="G1321" s="569" t="s">
        <v>67</v>
      </c>
      <c r="H1321" s="569" t="s">
        <v>213</v>
      </c>
      <c r="I1321" s="574">
        <v>596244194</v>
      </c>
    </row>
    <row r="1322" spans="1:9" ht="16" x14ac:dyDescent="0.2">
      <c r="A1322" s="561">
        <v>46070</v>
      </c>
      <c r="B1322" s="562">
        <v>2026</v>
      </c>
      <c r="C1322" s="563">
        <v>2</v>
      </c>
      <c r="D1322" s="564">
        <v>8</v>
      </c>
      <c r="E1322" s="564">
        <v>17</v>
      </c>
      <c r="F1322" s="565" t="s">
        <v>28</v>
      </c>
      <c r="G1322" s="563" t="s">
        <v>28</v>
      </c>
      <c r="H1322" s="563" t="s">
        <v>214</v>
      </c>
      <c r="I1322" s="573">
        <v>4526820000</v>
      </c>
    </row>
    <row r="1323" spans="1:9" ht="16" x14ac:dyDescent="0.2">
      <c r="A1323" s="567">
        <v>46070</v>
      </c>
      <c r="B1323" s="568">
        <v>2026</v>
      </c>
      <c r="C1323" s="569">
        <v>2</v>
      </c>
      <c r="D1323" s="570">
        <v>8</v>
      </c>
      <c r="E1323" s="570">
        <v>17</v>
      </c>
      <c r="F1323" s="571" t="s">
        <v>208</v>
      </c>
      <c r="G1323" s="569" t="s">
        <v>208</v>
      </c>
      <c r="H1323" s="569" t="s">
        <v>216</v>
      </c>
      <c r="I1323" s="574">
        <v>0</v>
      </c>
    </row>
    <row r="1324" spans="1:9" ht="16" x14ac:dyDescent="0.2">
      <c r="A1324" s="561">
        <v>46070</v>
      </c>
      <c r="B1324" s="562">
        <v>2026</v>
      </c>
      <c r="C1324" s="563">
        <v>2</v>
      </c>
      <c r="D1324" s="564">
        <v>8</v>
      </c>
      <c r="E1324" s="564">
        <v>17</v>
      </c>
      <c r="F1324" s="565" t="s">
        <v>60</v>
      </c>
      <c r="G1324" s="563" t="s">
        <v>60</v>
      </c>
      <c r="H1324" s="563" t="s">
        <v>212</v>
      </c>
      <c r="I1324" s="573">
        <v>0</v>
      </c>
    </row>
    <row r="1325" spans="1:9" ht="16" x14ac:dyDescent="0.2">
      <c r="A1325" s="567">
        <v>46070</v>
      </c>
      <c r="B1325" s="568">
        <v>2026</v>
      </c>
      <c r="C1325" s="569">
        <v>2</v>
      </c>
      <c r="D1325" s="570">
        <v>8</v>
      </c>
      <c r="E1325" s="570">
        <v>17</v>
      </c>
      <c r="F1325" s="571" t="s">
        <v>36</v>
      </c>
      <c r="G1325" s="569" t="s">
        <v>36</v>
      </c>
      <c r="H1325" s="569" t="s">
        <v>212</v>
      </c>
      <c r="I1325" s="574">
        <v>0</v>
      </c>
    </row>
    <row r="1326" spans="1:9" ht="16" x14ac:dyDescent="0.2">
      <c r="A1326" s="561">
        <v>46070</v>
      </c>
      <c r="B1326" s="562">
        <v>2026</v>
      </c>
      <c r="C1326" s="563">
        <v>2</v>
      </c>
      <c r="D1326" s="564">
        <v>8</v>
      </c>
      <c r="E1326" s="564">
        <v>17</v>
      </c>
      <c r="F1326" s="565" t="s">
        <v>55</v>
      </c>
      <c r="G1326" s="563" t="s">
        <v>36</v>
      </c>
      <c r="H1326" s="563" t="s">
        <v>212</v>
      </c>
      <c r="I1326" s="573">
        <v>94200000</v>
      </c>
    </row>
    <row r="1327" spans="1:9" ht="16" x14ac:dyDescent="0.2">
      <c r="A1327" s="567">
        <v>46070</v>
      </c>
      <c r="B1327" s="568">
        <v>2026</v>
      </c>
      <c r="C1327" s="569">
        <v>2</v>
      </c>
      <c r="D1327" s="570">
        <v>8</v>
      </c>
      <c r="E1327" s="570">
        <v>17</v>
      </c>
      <c r="F1327" s="571" t="s">
        <v>176</v>
      </c>
      <c r="G1327" s="569" t="s">
        <v>176</v>
      </c>
      <c r="H1327" s="569" t="s">
        <v>216</v>
      </c>
      <c r="I1327" s="574">
        <v>0</v>
      </c>
    </row>
    <row r="1328" spans="1:9" ht="16" x14ac:dyDescent="0.2">
      <c r="A1328" s="561">
        <v>46070</v>
      </c>
      <c r="B1328" s="562">
        <v>2026</v>
      </c>
      <c r="C1328" s="563">
        <v>2</v>
      </c>
      <c r="D1328" s="564">
        <v>8</v>
      </c>
      <c r="E1328" s="564">
        <v>17</v>
      </c>
      <c r="F1328" s="565" t="s">
        <v>39</v>
      </c>
      <c r="G1328" s="563" t="s">
        <v>176</v>
      </c>
      <c r="H1328" s="563" t="s">
        <v>216</v>
      </c>
      <c r="I1328" s="573">
        <v>26145274</v>
      </c>
    </row>
    <row r="1329" spans="1:9" ht="16" x14ac:dyDescent="0.2">
      <c r="A1329" s="567">
        <v>46070</v>
      </c>
      <c r="B1329" s="568">
        <v>2026</v>
      </c>
      <c r="C1329" s="569">
        <v>2</v>
      </c>
      <c r="D1329" s="570">
        <v>8</v>
      </c>
      <c r="E1329" s="570">
        <v>17</v>
      </c>
      <c r="F1329" s="571" t="s">
        <v>206</v>
      </c>
      <c r="G1329" s="569" t="s">
        <v>206</v>
      </c>
      <c r="H1329" s="569" t="s">
        <v>212</v>
      </c>
      <c r="I1329" s="574">
        <v>0</v>
      </c>
    </row>
    <row r="1330" spans="1:9" ht="16" x14ac:dyDescent="0.2">
      <c r="A1330" s="561">
        <v>46070</v>
      </c>
      <c r="B1330" s="562">
        <v>2026</v>
      </c>
      <c r="C1330" s="563">
        <v>2</v>
      </c>
      <c r="D1330" s="564">
        <v>8</v>
      </c>
      <c r="E1330" s="564">
        <v>17</v>
      </c>
      <c r="F1330" s="565" t="s">
        <v>64</v>
      </c>
      <c r="G1330" s="563" t="s">
        <v>209</v>
      </c>
      <c r="H1330" s="563" t="s">
        <v>212</v>
      </c>
      <c r="I1330" s="573">
        <v>0</v>
      </c>
    </row>
    <row r="1331" spans="1:9" ht="16" x14ac:dyDescent="0.2">
      <c r="A1331" s="567">
        <v>46070</v>
      </c>
      <c r="B1331" s="568">
        <v>2026</v>
      </c>
      <c r="C1331" s="569">
        <v>2</v>
      </c>
      <c r="D1331" s="570">
        <v>8</v>
      </c>
      <c r="E1331" s="570">
        <v>17</v>
      </c>
      <c r="F1331" s="571" t="s">
        <v>237</v>
      </c>
      <c r="G1331" s="569" t="s">
        <v>209</v>
      </c>
      <c r="H1331" s="569" t="s">
        <v>212</v>
      </c>
      <c r="I1331" s="574">
        <v>0</v>
      </c>
    </row>
    <row r="1332" spans="1:9" ht="16" x14ac:dyDescent="0.2">
      <c r="A1332" s="561">
        <v>46070</v>
      </c>
      <c r="B1332" s="562">
        <v>2026</v>
      </c>
      <c r="C1332" s="563">
        <v>2</v>
      </c>
      <c r="D1332" s="564">
        <v>8</v>
      </c>
      <c r="E1332" s="564">
        <v>17</v>
      </c>
      <c r="F1332" s="565" t="s">
        <v>11</v>
      </c>
      <c r="G1332" s="563" t="s">
        <v>11</v>
      </c>
      <c r="H1332" s="563" t="s">
        <v>212</v>
      </c>
      <c r="I1332" s="573">
        <v>4239480000</v>
      </c>
    </row>
    <row r="1333" spans="1:9" ht="16" x14ac:dyDescent="0.2">
      <c r="A1333" s="567">
        <v>46070</v>
      </c>
      <c r="B1333" s="568">
        <v>2026</v>
      </c>
      <c r="C1333" s="569">
        <v>2</v>
      </c>
      <c r="D1333" s="570">
        <v>8</v>
      </c>
      <c r="E1333" s="570">
        <v>17</v>
      </c>
      <c r="F1333" s="571" t="s">
        <v>221</v>
      </c>
      <c r="G1333" s="569" t="s">
        <v>207</v>
      </c>
      <c r="H1333" s="569" t="s">
        <v>212</v>
      </c>
      <c r="I1333" s="574">
        <v>0</v>
      </c>
    </row>
    <row r="1334" spans="1:9" ht="16" x14ac:dyDescent="0.2">
      <c r="A1334" s="561">
        <v>46070</v>
      </c>
      <c r="B1334" s="562">
        <v>2026</v>
      </c>
      <c r="C1334" s="563">
        <v>2</v>
      </c>
      <c r="D1334" s="564">
        <v>8</v>
      </c>
      <c r="E1334" s="564">
        <v>17</v>
      </c>
      <c r="F1334" s="565" t="s">
        <v>222</v>
      </c>
      <c r="G1334" s="563" t="s">
        <v>207</v>
      </c>
      <c r="H1334" s="563" t="s">
        <v>212</v>
      </c>
      <c r="I1334" s="573">
        <v>0</v>
      </c>
    </row>
    <row r="1335" spans="1:9" ht="16" x14ac:dyDescent="0.2">
      <c r="A1335" s="567">
        <v>46070</v>
      </c>
      <c r="B1335" s="568">
        <v>2026</v>
      </c>
      <c r="C1335" s="569">
        <v>2</v>
      </c>
      <c r="D1335" s="570">
        <v>8</v>
      </c>
      <c r="E1335" s="570">
        <v>17</v>
      </c>
      <c r="F1335" s="571" t="s">
        <v>223</v>
      </c>
      <c r="G1335" s="569" t="s">
        <v>207</v>
      </c>
      <c r="H1335" s="569" t="s">
        <v>212</v>
      </c>
      <c r="I1335" s="574">
        <v>0</v>
      </c>
    </row>
    <row r="1336" spans="1:9" ht="16" x14ac:dyDescent="0.2">
      <c r="A1336" s="561">
        <v>46070</v>
      </c>
      <c r="B1336" s="562">
        <v>2026</v>
      </c>
      <c r="C1336" s="563">
        <v>2</v>
      </c>
      <c r="D1336" s="564">
        <v>8</v>
      </c>
      <c r="E1336" s="564">
        <v>17</v>
      </c>
      <c r="F1336" s="565" t="s">
        <v>219</v>
      </c>
      <c r="G1336" s="563" t="s">
        <v>11</v>
      </c>
      <c r="H1336" s="563" t="s">
        <v>212</v>
      </c>
      <c r="I1336" s="573">
        <v>0</v>
      </c>
    </row>
    <row r="1337" spans="1:9" ht="16" x14ac:dyDescent="0.2">
      <c r="A1337" s="567">
        <v>46070</v>
      </c>
      <c r="B1337" s="568">
        <v>2026</v>
      </c>
      <c r="C1337" s="569">
        <v>2</v>
      </c>
      <c r="D1337" s="570">
        <v>8</v>
      </c>
      <c r="E1337" s="570">
        <v>17</v>
      </c>
      <c r="F1337" s="571" t="s">
        <v>19</v>
      </c>
      <c r="G1337" s="569" t="s">
        <v>19</v>
      </c>
      <c r="H1337" s="569" t="s">
        <v>214</v>
      </c>
      <c r="I1337" s="574">
        <v>4456296000</v>
      </c>
    </row>
    <row r="1338" spans="1:9" ht="16" x14ac:dyDescent="0.2">
      <c r="A1338" s="561">
        <v>46070</v>
      </c>
      <c r="B1338" s="562">
        <v>2026</v>
      </c>
      <c r="C1338" s="563">
        <v>2</v>
      </c>
      <c r="D1338" s="564">
        <v>8</v>
      </c>
      <c r="E1338" s="564">
        <v>17</v>
      </c>
      <c r="F1338" s="565" t="s">
        <v>62</v>
      </c>
      <c r="G1338" s="563" t="s">
        <v>62</v>
      </c>
      <c r="H1338" s="563" t="s">
        <v>216</v>
      </c>
      <c r="I1338" s="573">
        <v>93103833</v>
      </c>
    </row>
    <row r="1339" spans="1:9" ht="16" x14ac:dyDescent="0.2">
      <c r="A1339" s="567">
        <v>46070</v>
      </c>
      <c r="B1339" s="568">
        <v>2026</v>
      </c>
      <c r="C1339" s="569">
        <v>2</v>
      </c>
      <c r="D1339" s="570">
        <v>8</v>
      </c>
      <c r="E1339" s="570">
        <v>17</v>
      </c>
      <c r="F1339" s="571" t="s">
        <v>58</v>
      </c>
      <c r="G1339" s="569" t="s">
        <v>58</v>
      </c>
      <c r="H1339" s="569" t="s">
        <v>212</v>
      </c>
      <c r="I1339" s="574">
        <v>0</v>
      </c>
    </row>
    <row r="1340" spans="1:9" ht="16" x14ac:dyDescent="0.2">
      <c r="A1340" s="561">
        <v>46070</v>
      </c>
      <c r="B1340" s="562">
        <v>2026</v>
      </c>
      <c r="C1340" s="563">
        <v>2</v>
      </c>
      <c r="D1340" s="564">
        <v>8</v>
      </c>
      <c r="E1340" s="564">
        <v>17</v>
      </c>
      <c r="F1340" s="565" t="s">
        <v>61</v>
      </c>
      <c r="G1340" s="563" t="s">
        <v>61</v>
      </c>
      <c r="H1340" s="563" t="s">
        <v>214</v>
      </c>
      <c r="I1340" s="573">
        <v>49000000</v>
      </c>
    </row>
    <row r="1341" spans="1:9" ht="16" x14ac:dyDescent="0.2">
      <c r="A1341" s="567">
        <v>46070</v>
      </c>
      <c r="B1341" s="568">
        <v>2026</v>
      </c>
      <c r="C1341" s="569">
        <v>2</v>
      </c>
      <c r="D1341" s="570">
        <v>8</v>
      </c>
      <c r="E1341" s="570">
        <v>17</v>
      </c>
      <c r="F1341" s="571" t="s">
        <v>57</v>
      </c>
      <c r="G1341" s="569" t="s">
        <v>57</v>
      </c>
      <c r="H1341" s="569" t="s">
        <v>212</v>
      </c>
      <c r="I1341" s="574">
        <v>220270000</v>
      </c>
    </row>
    <row r="1342" spans="1:9" ht="16" x14ac:dyDescent="0.2">
      <c r="A1342" s="561">
        <v>46070</v>
      </c>
      <c r="B1342" s="562">
        <v>2026</v>
      </c>
      <c r="C1342" s="563">
        <v>2</v>
      </c>
      <c r="D1342" s="564">
        <v>8</v>
      </c>
      <c r="E1342" s="564">
        <v>17</v>
      </c>
      <c r="F1342" s="565" t="s">
        <v>63</v>
      </c>
      <c r="G1342" s="563" t="s">
        <v>63</v>
      </c>
      <c r="H1342" s="563" t="s">
        <v>214</v>
      </c>
      <c r="I1342" s="573">
        <v>81648000</v>
      </c>
    </row>
    <row r="1343" spans="1:9" ht="16" x14ac:dyDescent="0.2">
      <c r="A1343" s="567">
        <v>46070</v>
      </c>
      <c r="B1343" s="568">
        <v>2026</v>
      </c>
      <c r="C1343" s="569">
        <v>2</v>
      </c>
      <c r="D1343" s="570">
        <v>8</v>
      </c>
      <c r="E1343" s="570">
        <v>17</v>
      </c>
      <c r="F1343" s="571" t="s">
        <v>59</v>
      </c>
      <c r="G1343" s="569" t="s">
        <v>59</v>
      </c>
      <c r="H1343" s="569" t="s">
        <v>216</v>
      </c>
      <c r="I1343" s="574">
        <v>107356656</v>
      </c>
    </row>
    <row r="1344" spans="1:9" ht="16" x14ac:dyDescent="0.2">
      <c r="A1344" s="561">
        <v>46070</v>
      </c>
      <c r="B1344" s="562">
        <v>2026</v>
      </c>
      <c r="C1344" s="563">
        <v>2</v>
      </c>
      <c r="D1344" s="564">
        <v>8</v>
      </c>
      <c r="E1344" s="564">
        <v>17</v>
      </c>
      <c r="F1344" s="565" t="s">
        <v>31</v>
      </c>
      <c r="G1344" s="563" t="s">
        <v>175</v>
      </c>
      <c r="H1344" s="563" t="s">
        <v>212</v>
      </c>
      <c r="I1344" s="573">
        <v>595680000</v>
      </c>
    </row>
    <row r="1345" spans="1:9" ht="16" x14ac:dyDescent="0.2">
      <c r="A1345" s="567">
        <v>46070</v>
      </c>
      <c r="B1345" s="568">
        <v>2026</v>
      </c>
      <c r="C1345" s="569">
        <v>2</v>
      </c>
      <c r="D1345" s="570">
        <v>8</v>
      </c>
      <c r="E1345" s="570">
        <v>17</v>
      </c>
      <c r="F1345" s="571" t="s">
        <v>234</v>
      </c>
      <c r="G1345" s="569" t="s">
        <v>210</v>
      </c>
      <c r="H1345" s="569" t="s">
        <v>214</v>
      </c>
      <c r="I1345" s="574">
        <v>156600000</v>
      </c>
    </row>
    <row r="1346" spans="1:9" ht="16" x14ac:dyDescent="0.2">
      <c r="A1346" s="561">
        <v>46071</v>
      </c>
      <c r="B1346" s="562">
        <v>2026</v>
      </c>
      <c r="C1346" s="563">
        <v>2</v>
      </c>
      <c r="D1346" s="564">
        <v>8</v>
      </c>
      <c r="E1346" s="564">
        <v>18</v>
      </c>
      <c r="F1346" s="565" t="s">
        <v>65</v>
      </c>
      <c r="G1346" s="563" t="s">
        <v>65</v>
      </c>
      <c r="H1346" s="563" t="s">
        <v>212</v>
      </c>
      <c r="I1346" s="573">
        <v>124400000</v>
      </c>
    </row>
    <row r="1347" spans="1:9" ht="16" x14ac:dyDescent="0.2">
      <c r="A1347" s="567">
        <v>46071</v>
      </c>
      <c r="B1347" s="568">
        <v>2026</v>
      </c>
      <c r="C1347" s="569">
        <v>2</v>
      </c>
      <c r="D1347" s="570">
        <v>8</v>
      </c>
      <c r="E1347" s="570">
        <v>18</v>
      </c>
      <c r="F1347" s="571" t="s">
        <v>66</v>
      </c>
      <c r="G1347" s="569" t="s">
        <v>66</v>
      </c>
      <c r="H1347" s="569" t="s">
        <v>216</v>
      </c>
      <c r="I1347" s="574">
        <v>164703306</v>
      </c>
    </row>
    <row r="1348" spans="1:9" ht="16" x14ac:dyDescent="0.2">
      <c r="A1348" s="561">
        <v>46071</v>
      </c>
      <c r="B1348" s="562">
        <v>2026</v>
      </c>
      <c r="C1348" s="563">
        <v>2</v>
      </c>
      <c r="D1348" s="564">
        <v>8</v>
      </c>
      <c r="E1348" s="564">
        <v>18</v>
      </c>
      <c r="F1348" s="565" t="s">
        <v>24</v>
      </c>
      <c r="G1348" s="563" t="s">
        <v>24</v>
      </c>
      <c r="H1348" s="563" t="s">
        <v>212</v>
      </c>
      <c r="I1348" s="573">
        <v>3893200000</v>
      </c>
    </row>
    <row r="1349" spans="1:9" ht="16" x14ac:dyDescent="0.2">
      <c r="A1349" s="567">
        <v>46071</v>
      </c>
      <c r="B1349" s="568">
        <v>2026</v>
      </c>
      <c r="C1349" s="569">
        <v>2</v>
      </c>
      <c r="D1349" s="570">
        <v>8</v>
      </c>
      <c r="E1349" s="570">
        <v>18</v>
      </c>
      <c r="F1349" s="571" t="s">
        <v>67</v>
      </c>
      <c r="G1349" s="569" t="s">
        <v>67</v>
      </c>
      <c r="H1349" s="569" t="s">
        <v>213</v>
      </c>
      <c r="I1349" s="574">
        <v>554331648</v>
      </c>
    </row>
    <row r="1350" spans="1:9" ht="16" x14ac:dyDescent="0.2">
      <c r="A1350" s="561">
        <v>46071</v>
      </c>
      <c r="B1350" s="562">
        <v>2026</v>
      </c>
      <c r="C1350" s="563">
        <v>2</v>
      </c>
      <c r="D1350" s="564">
        <v>8</v>
      </c>
      <c r="E1350" s="564">
        <v>18</v>
      </c>
      <c r="F1350" s="565" t="s">
        <v>28</v>
      </c>
      <c r="G1350" s="563" t="s">
        <v>28</v>
      </c>
      <c r="H1350" s="563" t="s">
        <v>214</v>
      </c>
      <c r="I1350" s="573">
        <v>4757616000</v>
      </c>
    </row>
    <row r="1351" spans="1:9" ht="16" x14ac:dyDescent="0.2">
      <c r="A1351" s="567">
        <v>46071</v>
      </c>
      <c r="B1351" s="568">
        <v>2026</v>
      </c>
      <c r="C1351" s="569">
        <v>2</v>
      </c>
      <c r="D1351" s="570">
        <v>8</v>
      </c>
      <c r="E1351" s="570">
        <v>18</v>
      </c>
      <c r="F1351" s="571" t="s">
        <v>208</v>
      </c>
      <c r="G1351" s="569" t="s">
        <v>208</v>
      </c>
      <c r="H1351" s="569" t="s">
        <v>216</v>
      </c>
      <c r="I1351" s="574">
        <v>0</v>
      </c>
    </row>
    <row r="1352" spans="1:9" ht="16" x14ac:dyDescent="0.2">
      <c r="A1352" s="561">
        <v>46071</v>
      </c>
      <c r="B1352" s="562">
        <v>2026</v>
      </c>
      <c r="C1352" s="563">
        <v>2</v>
      </c>
      <c r="D1352" s="564">
        <v>8</v>
      </c>
      <c r="E1352" s="564">
        <v>18</v>
      </c>
      <c r="F1352" s="565" t="s">
        <v>60</v>
      </c>
      <c r="G1352" s="563" t="s">
        <v>60</v>
      </c>
      <c r="H1352" s="563" t="s">
        <v>212</v>
      </c>
      <c r="I1352" s="573">
        <v>0</v>
      </c>
    </row>
    <row r="1353" spans="1:9" ht="16" x14ac:dyDescent="0.2">
      <c r="A1353" s="567">
        <v>46071</v>
      </c>
      <c r="B1353" s="568">
        <v>2026</v>
      </c>
      <c r="C1353" s="569">
        <v>2</v>
      </c>
      <c r="D1353" s="570">
        <v>8</v>
      </c>
      <c r="E1353" s="570">
        <v>18</v>
      </c>
      <c r="F1353" s="571" t="s">
        <v>36</v>
      </c>
      <c r="G1353" s="569" t="s">
        <v>36</v>
      </c>
      <c r="H1353" s="569" t="s">
        <v>212</v>
      </c>
      <c r="I1353" s="574">
        <v>0</v>
      </c>
    </row>
    <row r="1354" spans="1:9" ht="16" x14ac:dyDescent="0.2">
      <c r="A1354" s="561">
        <v>46071</v>
      </c>
      <c r="B1354" s="562">
        <v>2026</v>
      </c>
      <c r="C1354" s="563">
        <v>2</v>
      </c>
      <c r="D1354" s="564">
        <v>8</v>
      </c>
      <c r="E1354" s="564">
        <v>18</v>
      </c>
      <c r="F1354" s="565" t="s">
        <v>55</v>
      </c>
      <c r="G1354" s="563" t="s">
        <v>36</v>
      </c>
      <c r="H1354" s="563" t="s">
        <v>212</v>
      </c>
      <c r="I1354" s="573">
        <v>64200000</v>
      </c>
    </row>
    <row r="1355" spans="1:9" ht="16" x14ac:dyDescent="0.2">
      <c r="A1355" s="567">
        <v>46071</v>
      </c>
      <c r="B1355" s="568">
        <v>2026</v>
      </c>
      <c r="C1355" s="569">
        <v>2</v>
      </c>
      <c r="D1355" s="570">
        <v>8</v>
      </c>
      <c r="E1355" s="570">
        <v>18</v>
      </c>
      <c r="F1355" s="571" t="s">
        <v>176</v>
      </c>
      <c r="G1355" s="569" t="s">
        <v>176</v>
      </c>
      <c r="H1355" s="569" t="s">
        <v>216</v>
      </c>
      <c r="I1355" s="574">
        <v>0</v>
      </c>
    </row>
    <row r="1356" spans="1:9" ht="16" x14ac:dyDescent="0.2">
      <c r="A1356" s="561">
        <v>46071</v>
      </c>
      <c r="B1356" s="562">
        <v>2026</v>
      </c>
      <c r="C1356" s="563">
        <v>2</v>
      </c>
      <c r="D1356" s="564">
        <v>8</v>
      </c>
      <c r="E1356" s="564">
        <v>18</v>
      </c>
      <c r="F1356" s="565" t="s">
        <v>39</v>
      </c>
      <c r="G1356" s="563" t="s">
        <v>176</v>
      </c>
      <c r="H1356" s="563" t="s">
        <v>216</v>
      </c>
      <c r="I1356" s="573">
        <v>85033036</v>
      </c>
    </row>
    <row r="1357" spans="1:9" ht="16" x14ac:dyDescent="0.2">
      <c r="A1357" s="567">
        <v>46071</v>
      </c>
      <c r="B1357" s="568">
        <v>2026</v>
      </c>
      <c r="C1357" s="569">
        <v>2</v>
      </c>
      <c r="D1357" s="570">
        <v>8</v>
      </c>
      <c r="E1357" s="570">
        <v>18</v>
      </c>
      <c r="F1357" s="571" t="s">
        <v>206</v>
      </c>
      <c r="G1357" s="569" t="s">
        <v>206</v>
      </c>
      <c r="H1357" s="569" t="s">
        <v>212</v>
      </c>
      <c r="I1357" s="574">
        <v>0</v>
      </c>
    </row>
    <row r="1358" spans="1:9" ht="16" x14ac:dyDescent="0.2">
      <c r="A1358" s="561">
        <v>46071</v>
      </c>
      <c r="B1358" s="562">
        <v>2026</v>
      </c>
      <c r="C1358" s="563">
        <v>2</v>
      </c>
      <c r="D1358" s="564">
        <v>8</v>
      </c>
      <c r="E1358" s="564">
        <v>18</v>
      </c>
      <c r="F1358" s="565" t="s">
        <v>64</v>
      </c>
      <c r="G1358" s="563" t="s">
        <v>209</v>
      </c>
      <c r="H1358" s="563" t="s">
        <v>212</v>
      </c>
      <c r="I1358" s="573">
        <v>0</v>
      </c>
    </row>
    <row r="1359" spans="1:9" ht="16" x14ac:dyDescent="0.2">
      <c r="A1359" s="567">
        <v>46071</v>
      </c>
      <c r="B1359" s="568">
        <v>2026</v>
      </c>
      <c r="C1359" s="569">
        <v>2</v>
      </c>
      <c r="D1359" s="570">
        <v>8</v>
      </c>
      <c r="E1359" s="570">
        <v>18</v>
      </c>
      <c r="F1359" s="571" t="s">
        <v>237</v>
      </c>
      <c r="G1359" s="569" t="s">
        <v>209</v>
      </c>
      <c r="H1359" s="569" t="s">
        <v>212</v>
      </c>
      <c r="I1359" s="574">
        <v>0</v>
      </c>
    </row>
    <row r="1360" spans="1:9" ht="16" x14ac:dyDescent="0.2">
      <c r="A1360" s="561">
        <v>46071</v>
      </c>
      <c r="B1360" s="562">
        <v>2026</v>
      </c>
      <c r="C1360" s="563">
        <v>2</v>
      </c>
      <c r="D1360" s="564">
        <v>8</v>
      </c>
      <c r="E1360" s="564">
        <v>18</v>
      </c>
      <c r="F1360" s="565" t="s">
        <v>11</v>
      </c>
      <c r="G1360" s="563" t="s">
        <v>11</v>
      </c>
      <c r="H1360" s="563" t="s">
        <v>212</v>
      </c>
      <c r="I1360" s="573">
        <v>4522890000</v>
      </c>
    </row>
    <row r="1361" spans="1:9" ht="16" x14ac:dyDescent="0.2">
      <c r="A1361" s="567">
        <v>46071</v>
      </c>
      <c r="B1361" s="568">
        <v>2026</v>
      </c>
      <c r="C1361" s="569">
        <v>2</v>
      </c>
      <c r="D1361" s="570">
        <v>8</v>
      </c>
      <c r="E1361" s="570">
        <v>18</v>
      </c>
      <c r="F1361" s="571" t="s">
        <v>221</v>
      </c>
      <c r="G1361" s="569" t="s">
        <v>207</v>
      </c>
      <c r="H1361" s="569" t="s">
        <v>212</v>
      </c>
      <c r="I1361" s="574">
        <v>0</v>
      </c>
    </row>
    <row r="1362" spans="1:9" ht="16" x14ac:dyDescent="0.2">
      <c r="A1362" s="561">
        <v>46071</v>
      </c>
      <c r="B1362" s="562">
        <v>2026</v>
      </c>
      <c r="C1362" s="563">
        <v>2</v>
      </c>
      <c r="D1362" s="564">
        <v>8</v>
      </c>
      <c r="E1362" s="564">
        <v>18</v>
      </c>
      <c r="F1362" s="565" t="s">
        <v>222</v>
      </c>
      <c r="G1362" s="563" t="s">
        <v>207</v>
      </c>
      <c r="H1362" s="563" t="s">
        <v>212</v>
      </c>
      <c r="I1362" s="573">
        <v>0</v>
      </c>
    </row>
    <row r="1363" spans="1:9" ht="16" x14ac:dyDescent="0.2">
      <c r="A1363" s="567">
        <v>46071</v>
      </c>
      <c r="B1363" s="568">
        <v>2026</v>
      </c>
      <c r="C1363" s="569">
        <v>2</v>
      </c>
      <c r="D1363" s="570">
        <v>8</v>
      </c>
      <c r="E1363" s="570">
        <v>18</v>
      </c>
      <c r="F1363" s="571" t="s">
        <v>223</v>
      </c>
      <c r="G1363" s="569" t="s">
        <v>207</v>
      </c>
      <c r="H1363" s="569" t="s">
        <v>212</v>
      </c>
      <c r="I1363" s="574">
        <v>0</v>
      </c>
    </row>
    <row r="1364" spans="1:9" ht="16" x14ac:dyDescent="0.2">
      <c r="A1364" s="561">
        <v>46071</v>
      </c>
      <c r="B1364" s="562">
        <v>2026</v>
      </c>
      <c r="C1364" s="563">
        <v>2</v>
      </c>
      <c r="D1364" s="564">
        <v>8</v>
      </c>
      <c r="E1364" s="564">
        <v>18</v>
      </c>
      <c r="F1364" s="565" t="s">
        <v>219</v>
      </c>
      <c r="G1364" s="563" t="s">
        <v>11</v>
      </c>
      <c r="H1364" s="563" t="s">
        <v>212</v>
      </c>
      <c r="I1364" s="573">
        <v>0</v>
      </c>
    </row>
    <row r="1365" spans="1:9" ht="16" x14ac:dyDescent="0.2">
      <c r="A1365" s="567">
        <v>46071</v>
      </c>
      <c r="B1365" s="568">
        <v>2026</v>
      </c>
      <c r="C1365" s="569">
        <v>2</v>
      </c>
      <c r="D1365" s="570">
        <v>8</v>
      </c>
      <c r="E1365" s="570">
        <v>18</v>
      </c>
      <c r="F1365" s="571" t="s">
        <v>19</v>
      </c>
      <c r="G1365" s="569" t="s">
        <v>19</v>
      </c>
      <c r="H1365" s="569" t="s">
        <v>214</v>
      </c>
      <c r="I1365" s="574">
        <v>4945860000</v>
      </c>
    </row>
    <row r="1366" spans="1:9" ht="16" x14ac:dyDescent="0.2">
      <c r="A1366" s="561">
        <v>46071</v>
      </c>
      <c r="B1366" s="562">
        <v>2026</v>
      </c>
      <c r="C1366" s="563">
        <v>2</v>
      </c>
      <c r="D1366" s="564">
        <v>8</v>
      </c>
      <c r="E1366" s="564">
        <v>18</v>
      </c>
      <c r="F1366" s="565" t="s">
        <v>62</v>
      </c>
      <c r="G1366" s="563" t="s">
        <v>62</v>
      </c>
      <c r="H1366" s="563" t="s">
        <v>216</v>
      </c>
      <c r="I1366" s="573">
        <v>91904715</v>
      </c>
    </row>
    <row r="1367" spans="1:9" ht="16" x14ac:dyDescent="0.2">
      <c r="A1367" s="567">
        <v>46071</v>
      </c>
      <c r="B1367" s="568">
        <v>2026</v>
      </c>
      <c r="C1367" s="569">
        <v>2</v>
      </c>
      <c r="D1367" s="570">
        <v>8</v>
      </c>
      <c r="E1367" s="570">
        <v>18</v>
      </c>
      <c r="F1367" s="571" t="s">
        <v>58</v>
      </c>
      <c r="G1367" s="569" t="s">
        <v>58</v>
      </c>
      <c r="H1367" s="569" t="s">
        <v>212</v>
      </c>
      <c r="I1367" s="574">
        <v>0</v>
      </c>
    </row>
    <row r="1368" spans="1:9" ht="16" x14ac:dyDescent="0.2">
      <c r="A1368" s="561">
        <v>46071</v>
      </c>
      <c r="B1368" s="562">
        <v>2026</v>
      </c>
      <c r="C1368" s="563">
        <v>2</v>
      </c>
      <c r="D1368" s="564">
        <v>8</v>
      </c>
      <c r="E1368" s="564">
        <v>18</v>
      </c>
      <c r="F1368" s="565" t="s">
        <v>61</v>
      </c>
      <c r="G1368" s="563" t="s">
        <v>61</v>
      </c>
      <c r="H1368" s="563" t="s">
        <v>214</v>
      </c>
      <c r="I1368" s="573">
        <v>19000000</v>
      </c>
    </row>
    <row r="1369" spans="1:9" ht="16" x14ac:dyDescent="0.2">
      <c r="A1369" s="567">
        <v>46071</v>
      </c>
      <c r="B1369" s="568">
        <v>2026</v>
      </c>
      <c r="C1369" s="569">
        <v>2</v>
      </c>
      <c r="D1369" s="570">
        <v>8</v>
      </c>
      <c r="E1369" s="570">
        <v>18</v>
      </c>
      <c r="F1369" s="571" t="s">
        <v>57</v>
      </c>
      <c r="G1369" s="569" t="s">
        <v>57</v>
      </c>
      <c r="H1369" s="569" t="s">
        <v>212</v>
      </c>
      <c r="I1369" s="574">
        <v>232350000</v>
      </c>
    </row>
    <row r="1370" spans="1:9" ht="16" x14ac:dyDescent="0.2">
      <c r="A1370" s="561">
        <v>46071</v>
      </c>
      <c r="B1370" s="562">
        <v>2026</v>
      </c>
      <c r="C1370" s="563">
        <v>2</v>
      </c>
      <c r="D1370" s="564">
        <v>8</v>
      </c>
      <c r="E1370" s="564">
        <v>18</v>
      </c>
      <c r="F1370" s="565" t="s">
        <v>63</v>
      </c>
      <c r="G1370" s="563" t="s">
        <v>63</v>
      </c>
      <c r="H1370" s="563" t="s">
        <v>214</v>
      </c>
      <c r="I1370" s="573">
        <v>131868000</v>
      </c>
    </row>
    <row r="1371" spans="1:9" ht="16" x14ac:dyDescent="0.2">
      <c r="A1371" s="567">
        <v>46071</v>
      </c>
      <c r="B1371" s="568">
        <v>2026</v>
      </c>
      <c r="C1371" s="569">
        <v>2</v>
      </c>
      <c r="D1371" s="570">
        <v>8</v>
      </c>
      <c r="E1371" s="570">
        <v>18</v>
      </c>
      <c r="F1371" s="571" t="s">
        <v>59</v>
      </c>
      <c r="G1371" s="569" t="s">
        <v>59</v>
      </c>
      <c r="H1371" s="569" t="s">
        <v>216</v>
      </c>
      <c r="I1371" s="574">
        <v>103238725</v>
      </c>
    </row>
    <row r="1372" spans="1:9" ht="16" x14ac:dyDescent="0.2">
      <c r="A1372" s="561">
        <v>46071</v>
      </c>
      <c r="B1372" s="562">
        <v>2026</v>
      </c>
      <c r="C1372" s="563">
        <v>2</v>
      </c>
      <c r="D1372" s="564">
        <v>8</v>
      </c>
      <c r="E1372" s="564">
        <v>18</v>
      </c>
      <c r="F1372" s="565" t="s">
        <v>31</v>
      </c>
      <c r="G1372" s="563" t="s">
        <v>175</v>
      </c>
      <c r="H1372" s="563" t="s">
        <v>212</v>
      </c>
      <c r="I1372" s="573">
        <v>973840000</v>
      </c>
    </row>
    <row r="1373" spans="1:9" ht="16" x14ac:dyDescent="0.2">
      <c r="A1373" s="567">
        <v>46071</v>
      </c>
      <c r="B1373" s="568">
        <v>2026</v>
      </c>
      <c r="C1373" s="569">
        <v>2</v>
      </c>
      <c r="D1373" s="570">
        <v>8</v>
      </c>
      <c r="E1373" s="570">
        <v>18</v>
      </c>
      <c r="F1373" s="571" t="s">
        <v>234</v>
      </c>
      <c r="G1373" s="569" t="s">
        <v>210</v>
      </c>
      <c r="H1373" s="569" t="s">
        <v>214</v>
      </c>
      <c r="I1373" s="574">
        <v>220320000</v>
      </c>
    </row>
    <row r="1374" spans="1:9" ht="16" x14ac:dyDescent="0.2">
      <c r="A1374" s="561">
        <v>46072</v>
      </c>
      <c r="B1374" s="562">
        <v>2026</v>
      </c>
      <c r="C1374" s="563">
        <v>2</v>
      </c>
      <c r="D1374" s="564">
        <v>8</v>
      </c>
      <c r="E1374" s="564">
        <v>19</v>
      </c>
      <c r="F1374" s="565" t="s">
        <v>65</v>
      </c>
      <c r="G1374" s="563" t="s">
        <v>65</v>
      </c>
      <c r="H1374" s="563" t="s">
        <v>212</v>
      </c>
      <c r="I1374" s="573">
        <v>200900000</v>
      </c>
    </row>
    <row r="1375" spans="1:9" ht="16" x14ac:dyDescent="0.2">
      <c r="A1375" s="567">
        <v>46072</v>
      </c>
      <c r="B1375" s="568">
        <v>2026</v>
      </c>
      <c r="C1375" s="569">
        <v>2</v>
      </c>
      <c r="D1375" s="570">
        <v>8</v>
      </c>
      <c r="E1375" s="570">
        <v>19</v>
      </c>
      <c r="F1375" s="571" t="s">
        <v>66</v>
      </c>
      <c r="G1375" s="569" t="s">
        <v>66</v>
      </c>
      <c r="H1375" s="569" t="s">
        <v>216</v>
      </c>
      <c r="I1375" s="574">
        <v>145976336</v>
      </c>
    </row>
    <row r="1376" spans="1:9" ht="16" x14ac:dyDescent="0.2">
      <c r="A1376" s="561">
        <v>46072</v>
      </c>
      <c r="B1376" s="562">
        <v>2026</v>
      </c>
      <c r="C1376" s="563">
        <v>2</v>
      </c>
      <c r="D1376" s="564">
        <v>8</v>
      </c>
      <c r="E1376" s="564">
        <v>19</v>
      </c>
      <c r="F1376" s="565" t="s">
        <v>24</v>
      </c>
      <c r="G1376" s="563" t="s">
        <v>24</v>
      </c>
      <c r="H1376" s="563" t="s">
        <v>212</v>
      </c>
      <c r="I1376" s="573">
        <v>3873140000</v>
      </c>
    </row>
    <row r="1377" spans="1:9" ht="16" x14ac:dyDescent="0.2">
      <c r="A1377" s="567">
        <v>46072</v>
      </c>
      <c r="B1377" s="568">
        <v>2026</v>
      </c>
      <c r="C1377" s="569">
        <v>2</v>
      </c>
      <c r="D1377" s="570">
        <v>8</v>
      </c>
      <c r="E1377" s="570">
        <v>19</v>
      </c>
      <c r="F1377" s="571" t="s">
        <v>67</v>
      </c>
      <c r="G1377" s="569" t="s">
        <v>67</v>
      </c>
      <c r="H1377" s="569" t="s">
        <v>213</v>
      </c>
      <c r="I1377" s="574">
        <v>633877795</v>
      </c>
    </row>
    <row r="1378" spans="1:9" ht="16" x14ac:dyDescent="0.2">
      <c r="A1378" s="561">
        <v>46072</v>
      </c>
      <c r="B1378" s="562">
        <v>2026</v>
      </c>
      <c r="C1378" s="563">
        <v>2</v>
      </c>
      <c r="D1378" s="564">
        <v>8</v>
      </c>
      <c r="E1378" s="564">
        <v>19</v>
      </c>
      <c r="F1378" s="565" t="s">
        <v>28</v>
      </c>
      <c r="G1378" s="563" t="s">
        <v>28</v>
      </c>
      <c r="H1378" s="563" t="s">
        <v>214</v>
      </c>
      <c r="I1378" s="573">
        <v>5544396000</v>
      </c>
    </row>
    <row r="1379" spans="1:9" ht="16" x14ac:dyDescent="0.2">
      <c r="A1379" s="567">
        <v>46072</v>
      </c>
      <c r="B1379" s="568">
        <v>2026</v>
      </c>
      <c r="C1379" s="569">
        <v>2</v>
      </c>
      <c r="D1379" s="570">
        <v>8</v>
      </c>
      <c r="E1379" s="570">
        <v>19</v>
      </c>
      <c r="F1379" s="571" t="s">
        <v>208</v>
      </c>
      <c r="G1379" s="569" t="s">
        <v>208</v>
      </c>
      <c r="H1379" s="569" t="s">
        <v>216</v>
      </c>
      <c r="I1379" s="574">
        <v>0</v>
      </c>
    </row>
    <row r="1380" spans="1:9" ht="16" x14ac:dyDescent="0.2">
      <c r="A1380" s="561">
        <v>46072</v>
      </c>
      <c r="B1380" s="562">
        <v>2026</v>
      </c>
      <c r="C1380" s="563">
        <v>2</v>
      </c>
      <c r="D1380" s="564">
        <v>8</v>
      </c>
      <c r="E1380" s="564">
        <v>19</v>
      </c>
      <c r="F1380" s="565" t="s">
        <v>60</v>
      </c>
      <c r="G1380" s="563" t="s">
        <v>60</v>
      </c>
      <c r="H1380" s="563" t="s">
        <v>212</v>
      </c>
      <c r="I1380" s="573">
        <v>0</v>
      </c>
    </row>
    <row r="1381" spans="1:9" ht="16" x14ac:dyDescent="0.2">
      <c r="A1381" s="567">
        <v>46072</v>
      </c>
      <c r="B1381" s="568">
        <v>2026</v>
      </c>
      <c r="C1381" s="569">
        <v>2</v>
      </c>
      <c r="D1381" s="570">
        <v>8</v>
      </c>
      <c r="E1381" s="570">
        <v>19</v>
      </c>
      <c r="F1381" s="571" t="s">
        <v>36</v>
      </c>
      <c r="G1381" s="569" t="s">
        <v>36</v>
      </c>
      <c r="H1381" s="569" t="s">
        <v>212</v>
      </c>
      <c r="I1381" s="574">
        <v>0</v>
      </c>
    </row>
    <row r="1382" spans="1:9" ht="16" x14ac:dyDescent="0.2">
      <c r="A1382" s="561">
        <v>46072</v>
      </c>
      <c r="B1382" s="562">
        <v>2026</v>
      </c>
      <c r="C1382" s="563">
        <v>2</v>
      </c>
      <c r="D1382" s="564">
        <v>8</v>
      </c>
      <c r="E1382" s="564">
        <v>19</v>
      </c>
      <c r="F1382" s="565" t="s">
        <v>55</v>
      </c>
      <c r="G1382" s="563" t="s">
        <v>36</v>
      </c>
      <c r="H1382" s="563" t="s">
        <v>212</v>
      </c>
      <c r="I1382" s="573">
        <v>194450000</v>
      </c>
    </row>
    <row r="1383" spans="1:9" ht="16" x14ac:dyDescent="0.2">
      <c r="A1383" s="567">
        <v>46072</v>
      </c>
      <c r="B1383" s="568">
        <v>2026</v>
      </c>
      <c r="C1383" s="569">
        <v>2</v>
      </c>
      <c r="D1383" s="570">
        <v>8</v>
      </c>
      <c r="E1383" s="570">
        <v>19</v>
      </c>
      <c r="F1383" s="571" t="s">
        <v>176</v>
      </c>
      <c r="G1383" s="569" t="s">
        <v>176</v>
      </c>
      <c r="H1383" s="569" t="s">
        <v>216</v>
      </c>
      <c r="I1383" s="574">
        <v>0</v>
      </c>
    </row>
    <row r="1384" spans="1:9" ht="16" x14ac:dyDescent="0.2">
      <c r="A1384" s="561">
        <v>46072</v>
      </c>
      <c r="B1384" s="562">
        <v>2026</v>
      </c>
      <c r="C1384" s="563">
        <v>2</v>
      </c>
      <c r="D1384" s="564">
        <v>8</v>
      </c>
      <c r="E1384" s="564">
        <v>19</v>
      </c>
      <c r="F1384" s="565" t="s">
        <v>39</v>
      </c>
      <c r="G1384" s="563" t="s">
        <v>176</v>
      </c>
      <c r="H1384" s="563" t="s">
        <v>216</v>
      </c>
      <c r="I1384" s="573">
        <v>89601074</v>
      </c>
    </row>
    <row r="1385" spans="1:9" ht="16" x14ac:dyDescent="0.2">
      <c r="A1385" s="567">
        <v>46072</v>
      </c>
      <c r="B1385" s="568">
        <v>2026</v>
      </c>
      <c r="C1385" s="569">
        <v>2</v>
      </c>
      <c r="D1385" s="570">
        <v>8</v>
      </c>
      <c r="E1385" s="570">
        <v>19</v>
      </c>
      <c r="F1385" s="571" t="s">
        <v>206</v>
      </c>
      <c r="G1385" s="569" t="s">
        <v>206</v>
      </c>
      <c r="H1385" s="569" t="s">
        <v>212</v>
      </c>
      <c r="I1385" s="574">
        <v>0</v>
      </c>
    </row>
    <row r="1386" spans="1:9" ht="16" x14ac:dyDescent="0.2">
      <c r="A1386" s="561">
        <v>46072</v>
      </c>
      <c r="B1386" s="562">
        <v>2026</v>
      </c>
      <c r="C1386" s="563">
        <v>2</v>
      </c>
      <c r="D1386" s="564">
        <v>8</v>
      </c>
      <c r="E1386" s="564">
        <v>19</v>
      </c>
      <c r="F1386" s="565" t="s">
        <v>64</v>
      </c>
      <c r="G1386" s="563" t="s">
        <v>209</v>
      </c>
      <c r="H1386" s="563" t="s">
        <v>212</v>
      </c>
      <c r="I1386" s="573">
        <v>0</v>
      </c>
    </row>
    <row r="1387" spans="1:9" ht="16" x14ac:dyDescent="0.2">
      <c r="A1387" s="567">
        <v>46072</v>
      </c>
      <c r="B1387" s="568">
        <v>2026</v>
      </c>
      <c r="C1387" s="569">
        <v>2</v>
      </c>
      <c r="D1387" s="570">
        <v>8</v>
      </c>
      <c r="E1387" s="570">
        <v>19</v>
      </c>
      <c r="F1387" s="571" t="s">
        <v>237</v>
      </c>
      <c r="G1387" s="569" t="s">
        <v>209</v>
      </c>
      <c r="H1387" s="569" t="s">
        <v>212</v>
      </c>
      <c r="I1387" s="574">
        <v>0</v>
      </c>
    </row>
    <row r="1388" spans="1:9" ht="16" x14ac:dyDescent="0.2">
      <c r="A1388" s="561">
        <v>46072</v>
      </c>
      <c r="B1388" s="562">
        <v>2026</v>
      </c>
      <c r="C1388" s="563">
        <v>2</v>
      </c>
      <c r="D1388" s="564">
        <v>8</v>
      </c>
      <c r="E1388" s="564">
        <v>19</v>
      </c>
      <c r="F1388" s="565" t="s">
        <v>11</v>
      </c>
      <c r="G1388" s="563" t="s">
        <v>11</v>
      </c>
      <c r="H1388" s="563" t="s">
        <v>212</v>
      </c>
      <c r="I1388" s="573">
        <v>4887520000</v>
      </c>
    </row>
    <row r="1389" spans="1:9" ht="16" x14ac:dyDescent="0.2">
      <c r="A1389" s="567">
        <v>46072</v>
      </c>
      <c r="B1389" s="568">
        <v>2026</v>
      </c>
      <c r="C1389" s="569">
        <v>2</v>
      </c>
      <c r="D1389" s="570">
        <v>8</v>
      </c>
      <c r="E1389" s="570">
        <v>19</v>
      </c>
      <c r="F1389" s="571" t="s">
        <v>221</v>
      </c>
      <c r="G1389" s="569" t="s">
        <v>207</v>
      </c>
      <c r="H1389" s="569" t="s">
        <v>212</v>
      </c>
      <c r="I1389" s="574">
        <v>0</v>
      </c>
    </row>
    <row r="1390" spans="1:9" ht="16" x14ac:dyDescent="0.2">
      <c r="A1390" s="561">
        <v>46072</v>
      </c>
      <c r="B1390" s="562">
        <v>2026</v>
      </c>
      <c r="C1390" s="563">
        <v>2</v>
      </c>
      <c r="D1390" s="564">
        <v>8</v>
      </c>
      <c r="E1390" s="564">
        <v>19</v>
      </c>
      <c r="F1390" s="565" t="s">
        <v>222</v>
      </c>
      <c r="G1390" s="563" t="s">
        <v>207</v>
      </c>
      <c r="H1390" s="563" t="s">
        <v>212</v>
      </c>
      <c r="I1390" s="573">
        <v>0</v>
      </c>
    </row>
    <row r="1391" spans="1:9" ht="16" x14ac:dyDescent="0.2">
      <c r="A1391" s="567">
        <v>46072</v>
      </c>
      <c r="B1391" s="568">
        <v>2026</v>
      </c>
      <c r="C1391" s="569">
        <v>2</v>
      </c>
      <c r="D1391" s="570">
        <v>8</v>
      </c>
      <c r="E1391" s="570">
        <v>19</v>
      </c>
      <c r="F1391" s="571" t="s">
        <v>223</v>
      </c>
      <c r="G1391" s="569" t="s">
        <v>207</v>
      </c>
      <c r="H1391" s="569" t="s">
        <v>212</v>
      </c>
      <c r="I1391" s="574">
        <v>0</v>
      </c>
    </row>
    <row r="1392" spans="1:9" ht="16" x14ac:dyDescent="0.2">
      <c r="A1392" s="561">
        <v>46072</v>
      </c>
      <c r="B1392" s="562">
        <v>2026</v>
      </c>
      <c r="C1392" s="563">
        <v>2</v>
      </c>
      <c r="D1392" s="564">
        <v>8</v>
      </c>
      <c r="E1392" s="564">
        <v>19</v>
      </c>
      <c r="F1392" s="565" t="s">
        <v>219</v>
      </c>
      <c r="G1392" s="563" t="s">
        <v>11</v>
      </c>
      <c r="H1392" s="563" t="s">
        <v>212</v>
      </c>
      <c r="I1392" s="573">
        <v>0</v>
      </c>
    </row>
    <row r="1393" spans="1:9" ht="16" x14ac:dyDescent="0.2">
      <c r="A1393" s="567">
        <v>46072</v>
      </c>
      <c r="B1393" s="568">
        <v>2026</v>
      </c>
      <c r="C1393" s="569">
        <v>2</v>
      </c>
      <c r="D1393" s="570">
        <v>8</v>
      </c>
      <c r="E1393" s="570">
        <v>19</v>
      </c>
      <c r="F1393" s="571" t="s">
        <v>19</v>
      </c>
      <c r="G1393" s="569" t="s">
        <v>19</v>
      </c>
      <c r="H1393" s="569" t="s">
        <v>214</v>
      </c>
      <c r="I1393" s="574">
        <v>5241240000</v>
      </c>
    </row>
    <row r="1394" spans="1:9" ht="16" x14ac:dyDescent="0.2">
      <c r="A1394" s="561">
        <v>46072</v>
      </c>
      <c r="B1394" s="562">
        <v>2026</v>
      </c>
      <c r="C1394" s="563">
        <v>2</v>
      </c>
      <c r="D1394" s="564">
        <v>8</v>
      </c>
      <c r="E1394" s="564">
        <v>19</v>
      </c>
      <c r="F1394" s="565" t="s">
        <v>62</v>
      </c>
      <c r="G1394" s="563" t="s">
        <v>62</v>
      </c>
      <c r="H1394" s="563" t="s">
        <v>216</v>
      </c>
      <c r="I1394" s="573">
        <v>79258073</v>
      </c>
    </row>
    <row r="1395" spans="1:9" ht="16" x14ac:dyDescent="0.2">
      <c r="A1395" s="567">
        <v>46072</v>
      </c>
      <c r="B1395" s="568">
        <v>2026</v>
      </c>
      <c r="C1395" s="569">
        <v>2</v>
      </c>
      <c r="D1395" s="570">
        <v>8</v>
      </c>
      <c r="E1395" s="570">
        <v>19</v>
      </c>
      <c r="F1395" s="571" t="s">
        <v>58</v>
      </c>
      <c r="G1395" s="569" t="s">
        <v>58</v>
      </c>
      <c r="H1395" s="569" t="s">
        <v>212</v>
      </c>
      <c r="I1395" s="574">
        <v>21000000</v>
      </c>
    </row>
    <row r="1396" spans="1:9" ht="16" x14ac:dyDescent="0.2">
      <c r="A1396" s="561">
        <v>46072</v>
      </c>
      <c r="B1396" s="562">
        <v>2026</v>
      </c>
      <c r="C1396" s="563">
        <v>2</v>
      </c>
      <c r="D1396" s="564">
        <v>8</v>
      </c>
      <c r="E1396" s="564">
        <v>19</v>
      </c>
      <c r="F1396" s="565" t="s">
        <v>61</v>
      </c>
      <c r="G1396" s="563" t="s">
        <v>61</v>
      </c>
      <c r="H1396" s="563" t="s">
        <v>214</v>
      </c>
      <c r="I1396" s="573">
        <v>19000000</v>
      </c>
    </row>
    <row r="1397" spans="1:9" ht="16" x14ac:dyDescent="0.2">
      <c r="A1397" s="567">
        <v>46072</v>
      </c>
      <c r="B1397" s="568">
        <v>2026</v>
      </c>
      <c r="C1397" s="569">
        <v>2</v>
      </c>
      <c r="D1397" s="570">
        <v>8</v>
      </c>
      <c r="E1397" s="570">
        <v>19</v>
      </c>
      <c r="F1397" s="571" t="s">
        <v>57</v>
      </c>
      <c r="G1397" s="569" t="s">
        <v>57</v>
      </c>
      <c r="H1397" s="569" t="s">
        <v>212</v>
      </c>
      <c r="I1397" s="574">
        <v>179800000</v>
      </c>
    </row>
    <row r="1398" spans="1:9" ht="16" x14ac:dyDescent="0.2">
      <c r="A1398" s="561">
        <v>46072</v>
      </c>
      <c r="B1398" s="562">
        <v>2026</v>
      </c>
      <c r="C1398" s="563">
        <v>2</v>
      </c>
      <c r="D1398" s="564">
        <v>8</v>
      </c>
      <c r="E1398" s="564">
        <v>19</v>
      </c>
      <c r="F1398" s="565" t="s">
        <v>63</v>
      </c>
      <c r="G1398" s="563" t="s">
        <v>63</v>
      </c>
      <c r="H1398" s="563" t="s">
        <v>214</v>
      </c>
      <c r="I1398" s="573">
        <v>112644000</v>
      </c>
    </row>
    <row r="1399" spans="1:9" ht="16" x14ac:dyDescent="0.2">
      <c r="A1399" s="567">
        <v>46072</v>
      </c>
      <c r="B1399" s="568">
        <v>2026</v>
      </c>
      <c r="C1399" s="569">
        <v>2</v>
      </c>
      <c r="D1399" s="570">
        <v>8</v>
      </c>
      <c r="E1399" s="570">
        <v>19</v>
      </c>
      <c r="F1399" s="571" t="s">
        <v>59</v>
      </c>
      <c r="G1399" s="569" t="s">
        <v>59</v>
      </c>
      <c r="H1399" s="569" t="s">
        <v>216</v>
      </c>
      <c r="I1399" s="574">
        <v>96671855</v>
      </c>
    </row>
    <row r="1400" spans="1:9" ht="16" x14ac:dyDescent="0.2">
      <c r="A1400" s="561">
        <v>46072</v>
      </c>
      <c r="B1400" s="562">
        <v>2026</v>
      </c>
      <c r="C1400" s="563">
        <v>2</v>
      </c>
      <c r="D1400" s="564">
        <v>8</v>
      </c>
      <c r="E1400" s="564">
        <v>19</v>
      </c>
      <c r="F1400" s="565" t="s">
        <v>31</v>
      </c>
      <c r="G1400" s="563" t="s">
        <v>175</v>
      </c>
      <c r="H1400" s="563" t="s">
        <v>212</v>
      </c>
      <c r="I1400" s="573">
        <v>1016350000</v>
      </c>
    </row>
    <row r="1401" spans="1:9" ht="16" x14ac:dyDescent="0.2">
      <c r="A1401" s="567">
        <v>46072</v>
      </c>
      <c r="B1401" s="568">
        <v>2026</v>
      </c>
      <c r="C1401" s="569">
        <v>2</v>
      </c>
      <c r="D1401" s="570">
        <v>8</v>
      </c>
      <c r="E1401" s="570">
        <v>19</v>
      </c>
      <c r="F1401" s="571" t="s">
        <v>234</v>
      </c>
      <c r="G1401" s="569" t="s">
        <v>210</v>
      </c>
      <c r="H1401" s="569" t="s">
        <v>214</v>
      </c>
      <c r="I1401" s="574">
        <v>247320000</v>
      </c>
    </row>
    <row r="1402" spans="1:9" ht="16" x14ac:dyDescent="0.2">
      <c r="A1402" s="561">
        <v>46073</v>
      </c>
      <c r="B1402" s="562">
        <v>2026</v>
      </c>
      <c r="C1402" s="563">
        <v>2</v>
      </c>
      <c r="D1402" s="564">
        <v>8</v>
      </c>
      <c r="E1402" s="564">
        <v>20</v>
      </c>
      <c r="F1402" s="565" t="s">
        <v>65</v>
      </c>
      <c r="G1402" s="563" t="s">
        <v>65</v>
      </c>
      <c r="H1402" s="563" t="s">
        <v>212</v>
      </c>
      <c r="I1402" s="573">
        <v>264000000</v>
      </c>
    </row>
    <row r="1403" spans="1:9" ht="16" x14ac:dyDescent="0.2">
      <c r="A1403" s="567">
        <v>46073</v>
      </c>
      <c r="B1403" s="568">
        <v>2026</v>
      </c>
      <c r="C1403" s="569">
        <v>2</v>
      </c>
      <c r="D1403" s="570">
        <v>8</v>
      </c>
      <c r="E1403" s="570">
        <v>20</v>
      </c>
      <c r="F1403" s="571" t="s">
        <v>66</v>
      </c>
      <c r="G1403" s="569" t="s">
        <v>66</v>
      </c>
      <c r="H1403" s="569" t="s">
        <v>216</v>
      </c>
      <c r="I1403" s="574">
        <v>194476613</v>
      </c>
    </row>
    <row r="1404" spans="1:9" ht="16" x14ac:dyDescent="0.2">
      <c r="A1404" s="561">
        <v>46073</v>
      </c>
      <c r="B1404" s="562">
        <v>2026</v>
      </c>
      <c r="C1404" s="563">
        <v>2</v>
      </c>
      <c r="D1404" s="564">
        <v>8</v>
      </c>
      <c r="E1404" s="564">
        <v>20</v>
      </c>
      <c r="F1404" s="565" t="s">
        <v>24</v>
      </c>
      <c r="G1404" s="563" t="s">
        <v>24</v>
      </c>
      <c r="H1404" s="563" t="s">
        <v>212</v>
      </c>
      <c r="I1404" s="573">
        <v>4534250000</v>
      </c>
    </row>
    <row r="1405" spans="1:9" ht="16" x14ac:dyDescent="0.2">
      <c r="A1405" s="567">
        <v>46073</v>
      </c>
      <c r="B1405" s="568">
        <v>2026</v>
      </c>
      <c r="C1405" s="569">
        <v>2</v>
      </c>
      <c r="D1405" s="570">
        <v>8</v>
      </c>
      <c r="E1405" s="570">
        <v>20</v>
      </c>
      <c r="F1405" s="571" t="s">
        <v>67</v>
      </c>
      <c r="G1405" s="569" t="s">
        <v>67</v>
      </c>
      <c r="H1405" s="569" t="s">
        <v>213</v>
      </c>
      <c r="I1405" s="574">
        <v>878059568</v>
      </c>
    </row>
    <row r="1406" spans="1:9" ht="16" x14ac:dyDescent="0.2">
      <c r="A1406" s="561">
        <v>46073</v>
      </c>
      <c r="B1406" s="562">
        <v>2026</v>
      </c>
      <c r="C1406" s="563">
        <v>2</v>
      </c>
      <c r="D1406" s="564">
        <v>8</v>
      </c>
      <c r="E1406" s="564">
        <v>20</v>
      </c>
      <c r="F1406" s="565" t="s">
        <v>28</v>
      </c>
      <c r="G1406" s="563" t="s">
        <v>28</v>
      </c>
      <c r="H1406" s="563" t="s">
        <v>214</v>
      </c>
      <c r="I1406" s="573">
        <v>7240752000</v>
      </c>
    </row>
    <row r="1407" spans="1:9" ht="16" x14ac:dyDescent="0.2">
      <c r="A1407" s="567">
        <v>46073</v>
      </c>
      <c r="B1407" s="568">
        <v>2026</v>
      </c>
      <c r="C1407" s="569">
        <v>2</v>
      </c>
      <c r="D1407" s="570">
        <v>8</v>
      </c>
      <c r="E1407" s="570">
        <v>20</v>
      </c>
      <c r="F1407" s="571" t="s">
        <v>208</v>
      </c>
      <c r="G1407" s="569" t="s">
        <v>208</v>
      </c>
      <c r="H1407" s="569" t="s">
        <v>216</v>
      </c>
      <c r="I1407" s="574">
        <v>248600</v>
      </c>
    </row>
    <row r="1408" spans="1:9" ht="16" x14ac:dyDescent="0.2">
      <c r="A1408" s="561">
        <v>46073</v>
      </c>
      <c r="B1408" s="562">
        <v>2026</v>
      </c>
      <c r="C1408" s="563">
        <v>2</v>
      </c>
      <c r="D1408" s="564">
        <v>8</v>
      </c>
      <c r="E1408" s="564">
        <v>20</v>
      </c>
      <c r="F1408" s="565" t="s">
        <v>60</v>
      </c>
      <c r="G1408" s="563" t="s">
        <v>60</v>
      </c>
      <c r="H1408" s="563" t="s">
        <v>212</v>
      </c>
      <c r="I1408" s="573">
        <v>0</v>
      </c>
    </row>
    <row r="1409" spans="1:9" ht="16" x14ac:dyDescent="0.2">
      <c r="A1409" s="567">
        <v>46073</v>
      </c>
      <c r="B1409" s="568">
        <v>2026</v>
      </c>
      <c r="C1409" s="569">
        <v>2</v>
      </c>
      <c r="D1409" s="570">
        <v>8</v>
      </c>
      <c r="E1409" s="570">
        <v>20</v>
      </c>
      <c r="F1409" s="571" t="s">
        <v>36</v>
      </c>
      <c r="G1409" s="569" t="s">
        <v>36</v>
      </c>
      <c r="H1409" s="569" t="s">
        <v>212</v>
      </c>
      <c r="I1409" s="574">
        <v>510300000</v>
      </c>
    </row>
    <row r="1410" spans="1:9" ht="16" x14ac:dyDescent="0.2">
      <c r="A1410" s="561">
        <v>46073</v>
      </c>
      <c r="B1410" s="562">
        <v>2026</v>
      </c>
      <c r="C1410" s="563">
        <v>2</v>
      </c>
      <c r="D1410" s="564">
        <v>8</v>
      </c>
      <c r="E1410" s="564">
        <v>20</v>
      </c>
      <c r="F1410" s="565" t="s">
        <v>55</v>
      </c>
      <c r="G1410" s="563" t="s">
        <v>36</v>
      </c>
      <c r="H1410" s="563" t="s">
        <v>212</v>
      </c>
      <c r="I1410" s="573">
        <v>154800000</v>
      </c>
    </row>
    <row r="1411" spans="1:9" ht="16" x14ac:dyDescent="0.2">
      <c r="A1411" s="567">
        <v>46073</v>
      </c>
      <c r="B1411" s="568">
        <v>2026</v>
      </c>
      <c r="C1411" s="569">
        <v>2</v>
      </c>
      <c r="D1411" s="570">
        <v>8</v>
      </c>
      <c r="E1411" s="570">
        <v>20</v>
      </c>
      <c r="F1411" s="571" t="s">
        <v>176</v>
      </c>
      <c r="G1411" s="569" t="s">
        <v>176</v>
      </c>
      <c r="H1411" s="569" t="s">
        <v>216</v>
      </c>
      <c r="I1411" s="574">
        <v>3961000</v>
      </c>
    </row>
    <row r="1412" spans="1:9" ht="16" x14ac:dyDescent="0.2">
      <c r="A1412" s="561">
        <v>46073</v>
      </c>
      <c r="B1412" s="562">
        <v>2026</v>
      </c>
      <c r="C1412" s="563">
        <v>2</v>
      </c>
      <c r="D1412" s="564">
        <v>8</v>
      </c>
      <c r="E1412" s="564">
        <v>20</v>
      </c>
      <c r="F1412" s="565" t="s">
        <v>39</v>
      </c>
      <c r="G1412" s="563" t="s">
        <v>176</v>
      </c>
      <c r="H1412" s="563" t="s">
        <v>216</v>
      </c>
      <c r="I1412" s="573">
        <v>770659205</v>
      </c>
    </row>
    <row r="1413" spans="1:9" ht="16" x14ac:dyDescent="0.2">
      <c r="A1413" s="567">
        <v>46073</v>
      </c>
      <c r="B1413" s="568">
        <v>2026</v>
      </c>
      <c r="C1413" s="569">
        <v>2</v>
      </c>
      <c r="D1413" s="570">
        <v>8</v>
      </c>
      <c r="E1413" s="570">
        <v>20</v>
      </c>
      <c r="F1413" s="571" t="s">
        <v>206</v>
      </c>
      <c r="G1413" s="569" t="s">
        <v>206</v>
      </c>
      <c r="H1413" s="569" t="s">
        <v>212</v>
      </c>
      <c r="I1413" s="574">
        <v>0</v>
      </c>
    </row>
    <row r="1414" spans="1:9" ht="16" x14ac:dyDescent="0.2">
      <c r="A1414" s="561">
        <v>46073</v>
      </c>
      <c r="B1414" s="562">
        <v>2026</v>
      </c>
      <c r="C1414" s="563">
        <v>2</v>
      </c>
      <c r="D1414" s="564">
        <v>8</v>
      </c>
      <c r="E1414" s="564">
        <v>20</v>
      </c>
      <c r="F1414" s="565" t="s">
        <v>64</v>
      </c>
      <c r="G1414" s="563" t="s">
        <v>209</v>
      </c>
      <c r="H1414" s="563" t="s">
        <v>212</v>
      </c>
      <c r="I1414" s="573">
        <v>0</v>
      </c>
    </row>
    <row r="1415" spans="1:9" ht="16" x14ac:dyDescent="0.2">
      <c r="A1415" s="567">
        <v>46073</v>
      </c>
      <c r="B1415" s="568">
        <v>2026</v>
      </c>
      <c r="C1415" s="569">
        <v>2</v>
      </c>
      <c r="D1415" s="570">
        <v>8</v>
      </c>
      <c r="E1415" s="570">
        <v>20</v>
      </c>
      <c r="F1415" s="571" t="s">
        <v>237</v>
      </c>
      <c r="G1415" s="569" t="s">
        <v>209</v>
      </c>
      <c r="H1415" s="569" t="s">
        <v>212</v>
      </c>
      <c r="I1415" s="574">
        <v>0</v>
      </c>
    </row>
    <row r="1416" spans="1:9" ht="16" x14ac:dyDescent="0.2">
      <c r="A1416" s="561">
        <v>46073</v>
      </c>
      <c r="B1416" s="562">
        <v>2026</v>
      </c>
      <c r="C1416" s="563">
        <v>2</v>
      </c>
      <c r="D1416" s="564">
        <v>8</v>
      </c>
      <c r="E1416" s="564">
        <v>20</v>
      </c>
      <c r="F1416" s="565" t="s">
        <v>11</v>
      </c>
      <c r="G1416" s="563" t="s">
        <v>11</v>
      </c>
      <c r="H1416" s="563" t="s">
        <v>212</v>
      </c>
      <c r="I1416" s="573">
        <v>5836680000</v>
      </c>
    </row>
    <row r="1417" spans="1:9" ht="16" x14ac:dyDescent="0.2">
      <c r="A1417" s="567">
        <v>46073</v>
      </c>
      <c r="B1417" s="568">
        <v>2026</v>
      </c>
      <c r="C1417" s="569">
        <v>2</v>
      </c>
      <c r="D1417" s="570">
        <v>8</v>
      </c>
      <c r="E1417" s="570">
        <v>20</v>
      </c>
      <c r="F1417" s="571" t="s">
        <v>221</v>
      </c>
      <c r="G1417" s="569" t="s">
        <v>207</v>
      </c>
      <c r="H1417" s="569" t="s">
        <v>212</v>
      </c>
      <c r="I1417" s="574">
        <v>0</v>
      </c>
    </row>
    <row r="1418" spans="1:9" ht="16" x14ac:dyDescent="0.2">
      <c r="A1418" s="561">
        <v>46073</v>
      </c>
      <c r="B1418" s="562">
        <v>2026</v>
      </c>
      <c r="C1418" s="563">
        <v>2</v>
      </c>
      <c r="D1418" s="564">
        <v>8</v>
      </c>
      <c r="E1418" s="564">
        <v>20</v>
      </c>
      <c r="F1418" s="565" t="s">
        <v>222</v>
      </c>
      <c r="G1418" s="563" t="s">
        <v>207</v>
      </c>
      <c r="H1418" s="563" t="s">
        <v>212</v>
      </c>
      <c r="I1418" s="573">
        <v>0</v>
      </c>
    </row>
    <row r="1419" spans="1:9" ht="16" x14ac:dyDescent="0.2">
      <c r="A1419" s="567">
        <v>46073</v>
      </c>
      <c r="B1419" s="568">
        <v>2026</v>
      </c>
      <c r="C1419" s="569">
        <v>2</v>
      </c>
      <c r="D1419" s="570">
        <v>8</v>
      </c>
      <c r="E1419" s="570">
        <v>20</v>
      </c>
      <c r="F1419" s="571" t="s">
        <v>223</v>
      </c>
      <c r="G1419" s="569" t="s">
        <v>207</v>
      </c>
      <c r="H1419" s="569" t="s">
        <v>212</v>
      </c>
      <c r="I1419" s="574">
        <v>0</v>
      </c>
    </row>
    <row r="1420" spans="1:9" ht="16" x14ac:dyDescent="0.2">
      <c r="A1420" s="561">
        <v>46073</v>
      </c>
      <c r="B1420" s="562">
        <v>2026</v>
      </c>
      <c r="C1420" s="563">
        <v>2</v>
      </c>
      <c r="D1420" s="564">
        <v>8</v>
      </c>
      <c r="E1420" s="564">
        <v>20</v>
      </c>
      <c r="F1420" s="565" t="s">
        <v>219</v>
      </c>
      <c r="G1420" s="563" t="s">
        <v>11</v>
      </c>
      <c r="H1420" s="563" t="s">
        <v>212</v>
      </c>
      <c r="I1420" s="573">
        <v>0</v>
      </c>
    </row>
    <row r="1421" spans="1:9" ht="16" x14ac:dyDescent="0.2">
      <c r="A1421" s="567">
        <v>46073</v>
      </c>
      <c r="B1421" s="568">
        <v>2026</v>
      </c>
      <c r="C1421" s="569">
        <v>2</v>
      </c>
      <c r="D1421" s="570">
        <v>8</v>
      </c>
      <c r="E1421" s="570">
        <v>20</v>
      </c>
      <c r="F1421" s="571" t="s">
        <v>19</v>
      </c>
      <c r="G1421" s="569" t="s">
        <v>19</v>
      </c>
      <c r="H1421" s="569" t="s">
        <v>214</v>
      </c>
      <c r="I1421" s="574">
        <v>6076404000</v>
      </c>
    </row>
    <row r="1422" spans="1:9" ht="16" x14ac:dyDescent="0.2">
      <c r="A1422" s="561">
        <v>46073</v>
      </c>
      <c r="B1422" s="562">
        <v>2026</v>
      </c>
      <c r="C1422" s="563">
        <v>2</v>
      </c>
      <c r="D1422" s="564">
        <v>8</v>
      </c>
      <c r="E1422" s="564">
        <v>20</v>
      </c>
      <c r="F1422" s="565" t="s">
        <v>62</v>
      </c>
      <c r="G1422" s="563" t="s">
        <v>62</v>
      </c>
      <c r="H1422" s="563" t="s">
        <v>216</v>
      </c>
      <c r="I1422" s="573">
        <v>106842556</v>
      </c>
    </row>
    <row r="1423" spans="1:9" ht="16" x14ac:dyDescent="0.2">
      <c r="A1423" s="567">
        <v>46073</v>
      </c>
      <c r="B1423" s="568">
        <v>2026</v>
      </c>
      <c r="C1423" s="569">
        <v>2</v>
      </c>
      <c r="D1423" s="570">
        <v>8</v>
      </c>
      <c r="E1423" s="570">
        <v>20</v>
      </c>
      <c r="F1423" s="571" t="s">
        <v>58</v>
      </c>
      <c r="G1423" s="569" t="s">
        <v>58</v>
      </c>
      <c r="H1423" s="569" t="s">
        <v>212</v>
      </c>
      <c r="I1423" s="574">
        <v>31500000</v>
      </c>
    </row>
    <row r="1424" spans="1:9" ht="16" x14ac:dyDescent="0.2">
      <c r="A1424" s="561">
        <v>46073</v>
      </c>
      <c r="B1424" s="562">
        <v>2026</v>
      </c>
      <c r="C1424" s="563">
        <v>2</v>
      </c>
      <c r="D1424" s="564">
        <v>8</v>
      </c>
      <c r="E1424" s="564">
        <v>20</v>
      </c>
      <c r="F1424" s="565" t="s">
        <v>61</v>
      </c>
      <c r="G1424" s="563" t="s">
        <v>61</v>
      </c>
      <c r="H1424" s="563" t="s">
        <v>214</v>
      </c>
      <c r="I1424" s="573">
        <v>22000000</v>
      </c>
    </row>
    <row r="1425" spans="1:9" ht="16" x14ac:dyDescent="0.2">
      <c r="A1425" s="567">
        <v>46073</v>
      </c>
      <c r="B1425" s="568">
        <v>2026</v>
      </c>
      <c r="C1425" s="569">
        <v>2</v>
      </c>
      <c r="D1425" s="570">
        <v>8</v>
      </c>
      <c r="E1425" s="570">
        <v>20</v>
      </c>
      <c r="F1425" s="571" t="s">
        <v>57</v>
      </c>
      <c r="G1425" s="569" t="s">
        <v>57</v>
      </c>
      <c r="H1425" s="569" t="s">
        <v>212</v>
      </c>
      <c r="I1425" s="574">
        <v>409870000</v>
      </c>
    </row>
    <row r="1426" spans="1:9" ht="16" x14ac:dyDescent="0.2">
      <c r="A1426" s="561">
        <v>46073</v>
      </c>
      <c r="B1426" s="562">
        <v>2026</v>
      </c>
      <c r="C1426" s="563">
        <v>2</v>
      </c>
      <c r="D1426" s="564">
        <v>8</v>
      </c>
      <c r="E1426" s="564">
        <v>20</v>
      </c>
      <c r="F1426" s="565" t="s">
        <v>63</v>
      </c>
      <c r="G1426" s="563" t="s">
        <v>63</v>
      </c>
      <c r="H1426" s="563" t="s">
        <v>214</v>
      </c>
      <c r="I1426" s="573">
        <v>173664000</v>
      </c>
    </row>
    <row r="1427" spans="1:9" ht="16" x14ac:dyDescent="0.2">
      <c r="A1427" s="567">
        <v>46073</v>
      </c>
      <c r="B1427" s="568">
        <v>2026</v>
      </c>
      <c r="C1427" s="569">
        <v>2</v>
      </c>
      <c r="D1427" s="570">
        <v>8</v>
      </c>
      <c r="E1427" s="570">
        <v>20</v>
      </c>
      <c r="F1427" s="571" t="s">
        <v>59</v>
      </c>
      <c r="G1427" s="569" t="s">
        <v>59</v>
      </c>
      <c r="H1427" s="569" t="s">
        <v>216</v>
      </c>
      <c r="I1427" s="574">
        <v>139793113</v>
      </c>
    </row>
    <row r="1428" spans="1:9" ht="16" x14ac:dyDescent="0.2">
      <c r="A1428" s="561">
        <v>46073</v>
      </c>
      <c r="B1428" s="562">
        <v>2026</v>
      </c>
      <c r="C1428" s="563">
        <v>2</v>
      </c>
      <c r="D1428" s="564">
        <v>8</v>
      </c>
      <c r="E1428" s="564">
        <v>20</v>
      </c>
      <c r="F1428" s="565" t="s">
        <v>31</v>
      </c>
      <c r="G1428" s="563" t="s">
        <v>175</v>
      </c>
      <c r="H1428" s="563" t="s">
        <v>212</v>
      </c>
      <c r="I1428" s="573">
        <v>885530000</v>
      </c>
    </row>
    <row r="1429" spans="1:9" ht="16" x14ac:dyDescent="0.2">
      <c r="A1429" s="567">
        <v>46073</v>
      </c>
      <c r="B1429" s="568">
        <v>2026</v>
      </c>
      <c r="C1429" s="569">
        <v>2</v>
      </c>
      <c r="D1429" s="570">
        <v>8</v>
      </c>
      <c r="E1429" s="570">
        <v>20</v>
      </c>
      <c r="F1429" s="571" t="s">
        <v>234</v>
      </c>
      <c r="G1429" s="569" t="s">
        <v>210</v>
      </c>
      <c r="H1429" s="569" t="s">
        <v>214</v>
      </c>
      <c r="I1429" s="574">
        <v>284880000</v>
      </c>
    </row>
    <row r="1430" spans="1:9" ht="16" x14ac:dyDescent="0.2">
      <c r="A1430" s="561">
        <v>46074</v>
      </c>
      <c r="B1430" s="562">
        <v>2026</v>
      </c>
      <c r="C1430" s="563">
        <v>2</v>
      </c>
      <c r="D1430" s="564">
        <v>8</v>
      </c>
      <c r="E1430" s="564">
        <v>21</v>
      </c>
      <c r="F1430" s="565" t="s">
        <v>65</v>
      </c>
      <c r="G1430" s="563" t="s">
        <v>65</v>
      </c>
      <c r="H1430" s="563" t="s">
        <v>212</v>
      </c>
      <c r="I1430" s="573">
        <v>300800000</v>
      </c>
    </row>
    <row r="1431" spans="1:9" ht="16" x14ac:dyDescent="0.2">
      <c r="A1431" s="567">
        <v>46074</v>
      </c>
      <c r="B1431" s="568">
        <v>2026</v>
      </c>
      <c r="C1431" s="569">
        <v>2</v>
      </c>
      <c r="D1431" s="570">
        <v>8</v>
      </c>
      <c r="E1431" s="570">
        <v>21</v>
      </c>
      <c r="F1431" s="571" t="s">
        <v>66</v>
      </c>
      <c r="G1431" s="569" t="s">
        <v>66</v>
      </c>
      <c r="H1431" s="569" t="s">
        <v>216</v>
      </c>
      <c r="I1431" s="574">
        <v>214986926</v>
      </c>
    </row>
    <row r="1432" spans="1:9" ht="16" x14ac:dyDescent="0.2">
      <c r="A1432" s="561">
        <v>46074</v>
      </c>
      <c r="B1432" s="562">
        <v>2026</v>
      </c>
      <c r="C1432" s="563">
        <v>2</v>
      </c>
      <c r="D1432" s="564">
        <v>8</v>
      </c>
      <c r="E1432" s="564">
        <v>21</v>
      </c>
      <c r="F1432" s="565" t="s">
        <v>24</v>
      </c>
      <c r="G1432" s="563" t="s">
        <v>24</v>
      </c>
      <c r="H1432" s="563" t="s">
        <v>212</v>
      </c>
      <c r="I1432" s="573">
        <v>5288040000</v>
      </c>
    </row>
    <row r="1433" spans="1:9" ht="16" x14ac:dyDescent="0.2">
      <c r="A1433" s="567">
        <v>46074</v>
      </c>
      <c r="B1433" s="568">
        <v>2026</v>
      </c>
      <c r="C1433" s="569">
        <v>2</v>
      </c>
      <c r="D1433" s="570">
        <v>8</v>
      </c>
      <c r="E1433" s="570">
        <v>21</v>
      </c>
      <c r="F1433" s="571" t="s">
        <v>67</v>
      </c>
      <c r="G1433" s="569" t="s">
        <v>67</v>
      </c>
      <c r="H1433" s="569" t="s">
        <v>213</v>
      </c>
      <c r="I1433" s="574">
        <v>899004779</v>
      </c>
    </row>
    <row r="1434" spans="1:9" ht="16" x14ac:dyDescent="0.2">
      <c r="A1434" s="561">
        <v>46074</v>
      </c>
      <c r="B1434" s="562">
        <v>2026</v>
      </c>
      <c r="C1434" s="563">
        <v>2</v>
      </c>
      <c r="D1434" s="564">
        <v>8</v>
      </c>
      <c r="E1434" s="564">
        <v>21</v>
      </c>
      <c r="F1434" s="565" t="s">
        <v>28</v>
      </c>
      <c r="G1434" s="563" t="s">
        <v>28</v>
      </c>
      <c r="H1434" s="563" t="s">
        <v>214</v>
      </c>
      <c r="I1434" s="573">
        <v>8806104000</v>
      </c>
    </row>
    <row r="1435" spans="1:9" ht="16" x14ac:dyDescent="0.2">
      <c r="A1435" s="567">
        <v>46074</v>
      </c>
      <c r="B1435" s="568">
        <v>2026</v>
      </c>
      <c r="C1435" s="569">
        <v>2</v>
      </c>
      <c r="D1435" s="570">
        <v>8</v>
      </c>
      <c r="E1435" s="570">
        <v>21</v>
      </c>
      <c r="F1435" s="571" t="s">
        <v>208</v>
      </c>
      <c r="G1435" s="569" t="s">
        <v>208</v>
      </c>
      <c r="H1435" s="569" t="s">
        <v>216</v>
      </c>
      <c r="I1435" s="574">
        <v>4615697</v>
      </c>
    </row>
    <row r="1436" spans="1:9" ht="16" x14ac:dyDescent="0.2">
      <c r="A1436" s="561">
        <v>46074</v>
      </c>
      <c r="B1436" s="562">
        <v>2026</v>
      </c>
      <c r="C1436" s="563">
        <v>2</v>
      </c>
      <c r="D1436" s="564">
        <v>8</v>
      </c>
      <c r="E1436" s="564">
        <v>21</v>
      </c>
      <c r="F1436" s="565" t="s">
        <v>60</v>
      </c>
      <c r="G1436" s="563" t="s">
        <v>60</v>
      </c>
      <c r="H1436" s="563" t="s">
        <v>212</v>
      </c>
      <c r="I1436" s="573">
        <v>0</v>
      </c>
    </row>
    <row r="1437" spans="1:9" ht="16" x14ac:dyDescent="0.2">
      <c r="A1437" s="567">
        <v>46074</v>
      </c>
      <c r="B1437" s="568">
        <v>2026</v>
      </c>
      <c r="C1437" s="569">
        <v>2</v>
      </c>
      <c r="D1437" s="570">
        <v>8</v>
      </c>
      <c r="E1437" s="570">
        <v>21</v>
      </c>
      <c r="F1437" s="571" t="s">
        <v>36</v>
      </c>
      <c r="G1437" s="569" t="s">
        <v>36</v>
      </c>
      <c r="H1437" s="569" t="s">
        <v>212</v>
      </c>
      <c r="I1437" s="574">
        <v>875250000</v>
      </c>
    </row>
    <row r="1438" spans="1:9" ht="16" x14ac:dyDescent="0.2">
      <c r="A1438" s="561">
        <v>46074</v>
      </c>
      <c r="B1438" s="562">
        <v>2026</v>
      </c>
      <c r="C1438" s="563">
        <v>2</v>
      </c>
      <c r="D1438" s="564">
        <v>8</v>
      </c>
      <c r="E1438" s="564">
        <v>21</v>
      </c>
      <c r="F1438" s="565" t="s">
        <v>55</v>
      </c>
      <c r="G1438" s="563" t="s">
        <v>36</v>
      </c>
      <c r="H1438" s="563" t="s">
        <v>212</v>
      </c>
      <c r="I1438" s="573">
        <v>413700000</v>
      </c>
    </row>
    <row r="1439" spans="1:9" ht="16" x14ac:dyDescent="0.2">
      <c r="A1439" s="567">
        <v>46074</v>
      </c>
      <c r="B1439" s="568">
        <v>2026</v>
      </c>
      <c r="C1439" s="569">
        <v>2</v>
      </c>
      <c r="D1439" s="570">
        <v>8</v>
      </c>
      <c r="E1439" s="570">
        <v>21</v>
      </c>
      <c r="F1439" s="571" t="s">
        <v>176</v>
      </c>
      <c r="G1439" s="569" t="s">
        <v>176</v>
      </c>
      <c r="H1439" s="569" t="s">
        <v>216</v>
      </c>
      <c r="I1439" s="574">
        <v>8939426</v>
      </c>
    </row>
    <row r="1440" spans="1:9" ht="16" x14ac:dyDescent="0.2">
      <c r="A1440" s="561">
        <v>46074</v>
      </c>
      <c r="B1440" s="562">
        <v>2026</v>
      </c>
      <c r="C1440" s="563">
        <v>2</v>
      </c>
      <c r="D1440" s="564">
        <v>8</v>
      </c>
      <c r="E1440" s="564">
        <v>21</v>
      </c>
      <c r="F1440" s="565" t="s">
        <v>39</v>
      </c>
      <c r="G1440" s="563" t="s">
        <v>176</v>
      </c>
      <c r="H1440" s="563" t="s">
        <v>216</v>
      </c>
      <c r="I1440" s="573">
        <v>959095652</v>
      </c>
    </row>
    <row r="1441" spans="1:9" ht="16" x14ac:dyDescent="0.2">
      <c r="A1441" s="567">
        <v>46074</v>
      </c>
      <c r="B1441" s="568">
        <v>2026</v>
      </c>
      <c r="C1441" s="569">
        <v>2</v>
      </c>
      <c r="D1441" s="570">
        <v>8</v>
      </c>
      <c r="E1441" s="570">
        <v>21</v>
      </c>
      <c r="F1441" s="571" t="s">
        <v>206</v>
      </c>
      <c r="G1441" s="569" t="s">
        <v>206</v>
      </c>
      <c r="H1441" s="569" t="s">
        <v>212</v>
      </c>
      <c r="I1441" s="574">
        <v>0</v>
      </c>
    </row>
    <row r="1442" spans="1:9" ht="16" x14ac:dyDescent="0.2">
      <c r="A1442" s="561">
        <v>46074</v>
      </c>
      <c r="B1442" s="562">
        <v>2026</v>
      </c>
      <c r="C1442" s="563">
        <v>2</v>
      </c>
      <c r="D1442" s="564">
        <v>8</v>
      </c>
      <c r="E1442" s="564">
        <v>21</v>
      </c>
      <c r="F1442" s="565" t="s">
        <v>64</v>
      </c>
      <c r="G1442" s="563" t="s">
        <v>209</v>
      </c>
      <c r="H1442" s="563" t="s">
        <v>212</v>
      </c>
      <c r="I1442" s="573">
        <v>0</v>
      </c>
    </row>
    <row r="1443" spans="1:9" ht="16" x14ac:dyDescent="0.2">
      <c r="A1443" s="567">
        <v>46074</v>
      </c>
      <c r="B1443" s="568">
        <v>2026</v>
      </c>
      <c r="C1443" s="569">
        <v>2</v>
      </c>
      <c r="D1443" s="570">
        <v>8</v>
      </c>
      <c r="E1443" s="570">
        <v>21</v>
      </c>
      <c r="F1443" s="571" t="s">
        <v>237</v>
      </c>
      <c r="G1443" s="569" t="s">
        <v>209</v>
      </c>
      <c r="H1443" s="569" t="s">
        <v>212</v>
      </c>
      <c r="I1443" s="574">
        <v>0</v>
      </c>
    </row>
    <row r="1444" spans="1:9" ht="16" x14ac:dyDescent="0.2">
      <c r="A1444" s="561">
        <v>46074</v>
      </c>
      <c r="B1444" s="562">
        <v>2026</v>
      </c>
      <c r="C1444" s="563">
        <v>2</v>
      </c>
      <c r="D1444" s="564">
        <v>8</v>
      </c>
      <c r="E1444" s="564">
        <v>21</v>
      </c>
      <c r="F1444" s="565" t="s">
        <v>11</v>
      </c>
      <c r="G1444" s="563" t="s">
        <v>11</v>
      </c>
      <c r="H1444" s="563" t="s">
        <v>212</v>
      </c>
      <c r="I1444" s="573">
        <v>6245630000</v>
      </c>
    </row>
    <row r="1445" spans="1:9" ht="16" x14ac:dyDescent="0.2">
      <c r="A1445" s="567">
        <v>46074</v>
      </c>
      <c r="B1445" s="568">
        <v>2026</v>
      </c>
      <c r="C1445" s="569">
        <v>2</v>
      </c>
      <c r="D1445" s="570">
        <v>8</v>
      </c>
      <c r="E1445" s="570">
        <v>21</v>
      </c>
      <c r="F1445" s="571" t="s">
        <v>221</v>
      </c>
      <c r="G1445" s="569" t="s">
        <v>207</v>
      </c>
      <c r="H1445" s="569" t="s">
        <v>212</v>
      </c>
      <c r="I1445" s="574">
        <v>0</v>
      </c>
    </row>
    <row r="1446" spans="1:9" ht="16" x14ac:dyDescent="0.2">
      <c r="A1446" s="561">
        <v>46074</v>
      </c>
      <c r="B1446" s="562">
        <v>2026</v>
      </c>
      <c r="C1446" s="563">
        <v>2</v>
      </c>
      <c r="D1446" s="564">
        <v>8</v>
      </c>
      <c r="E1446" s="564">
        <v>21</v>
      </c>
      <c r="F1446" s="565" t="s">
        <v>222</v>
      </c>
      <c r="G1446" s="563" t="s">
        <v>207</v>
      </c>
      <c r="H1446" s="563" t="s">
        <v>212</v>
      </c>
      <c r="I1446" s="573">
        <v>0</v>
      </c>
    </row>
    <row r="1447" spans="1:9" ht="16" x14ac:dyDescent="0.2">
      <c r="A1447" s="567">
        <v>46074</v>
      </c>
      <c r="B1447" s="568">
        <v>2026</v>
      </c>
      <c r="C1447" s="569">
        <v>2</v>
      </c>
      <c r="D1447" s="570">
        <v>8</v>
      </c>
      <c r="E1447" s="570">
        <v>21</v>
      </c>
      <c r="F1447" s="571" t="s">
        <v>223</v>
      </c>
      <c r="G1447" s="569" t="s">
        <v>207</v>
      </c>
      <c r="H1447" s="569" t="s">
        <v>212</v>
      </c>
      <c r="I1447" s="574">
        <v>0</v>
      </c>
    </row>
    <row r="1448" spans="1:9" ht="16" x14ac:dyDescent="0.2">
      <c r="A1448" s="561">
        <v>46074</v>
      </c>
      <c r="B1448" s="562">
        <v>2026</v>
      </c>
      <c r="C1448" s="563">
        <v>2</v>
      </c>
      <c r="D1448" s="564">
        <v>8</v>
      </c>
      <c r="E1448" s="564">
        <v>21</v>
      </c>
      <c r="F1448" s="565" t="s">
        <v>219</v>
      </c>
      <c r="G1448" s="563" t="s">
        <v>11</v>
      </c>
      <c r="H1448" s="563" t="s">
        <v>212</v>
      </c>
      <c r="I1448" s="573">
        <v>0</v>
      </c>
    </row>
    <row r="1449" spans="1:9" ht="16" x14ac:dyDescent="0.2">
      <c r="A1449" s="567">
        <v>46074</v>
      </c>
      <c r="B1449" s="568">
        <v>2026</v>
      </c>
      <c r="C1449" s="569">
        <v>2</v>
      </c>
      <c r="D1449" s="570">
        <v>8</v>
      </c>
      <c r="E1449" s="570">
        <v>21</v>
      </c>
      <c r="F1449" s="571" t="s">
        <v>19</v>
      </c>
      <c r="G1449" s="569" t="s">
        <v>19</v>
      </c>
      <c r="H1449" s="569" t="s">
        <v>214</v>
      </c>
      <c r="I1449" s="574">
        <v>7378020000</v>
      </c>
    </row>
    <row r="1450" spans="1:9" ht="16" x14ac:dyDescent="0.2">
      <c r="A1450" s="561">
        <v>46074</v>
      </c>
      <c r="B1450" s="562">
        <v>2026</v>
      </c>
      <c r="C1450" s="563">
        <v>2</v>
      </c>
      <c r="D1450" s="564">
        <v>8</v>
      </c>
      <c r="E1450" s="564">
        <v>21</v>
      </c>
      <c r="F1450" s="565" t="s">
        <v>62</v>
      </c>
      <c r="G1450" s="563" t="s">
        <v>62</v>
      </c>
      <c r="H1450" s="563" t="s">
        <v>216</v>
      </c>
      <c r="I1450" s="573">
        <v>104014462</v>
      </c>
    </row>
    <row r="1451" spans="1:9" ht="16" x14ac:dyDescent="0.2">
      <c r="A1451" s="567">
        <v>46074</v>
      </c>
      <c r="B1451" s="568">
        <v>2026</v>
      </c>
      <c r="C1451" s="569">
        <v>2</v>
      </c>
      <c r="D1451" s="570">
        <v>8</v>
      </c>
      <c r="E1451" s="570">
        <v>21</v>
      </c>
      <c r="F1451" s="571" t="s">
        <v>58</v>
      </c>
      <c r="G1451" s="569" t="s">
        <v>58</v>
      </c>
      <c r="H1451" s="569" t="s">
        <v>212</v>
      </c>
      <c r="I1451" s="574">
        <v>10500000</v>
      </c>
    </row>
    <row r="1452" spans="1:9" ht="16" x14ac:dyDescent="0.2">
      <c r="A1452" s="561">
        <v>46074</v>
      </c>
      <c r="B1452" s="562">
        <v>2026</v>
      </c>
      <c r="C1452" s="563">
        <v>2</v>
      </c>
      <c r="D1452" s="564">
        <v>8</v>
      </c>
      <c r="E1452" s="564">
        <v>21</v>
      </c>
      <c r="F1452" s="565" t="s">
        <v>61</v>
      </c>
      <c r="G1452" s="563" t="s">
        <v>61</v>
      </c>
      <c r="H1452" s="563" t="s">
        <v>214</v>
      </c>
      <c r="I1452" s="573">
        <v>40000000</v>
      </c>
    </row>
    <row r="1453" spans="1:9" ht="16" x14ac:dyDescent="0.2">
      <c r="A1453" s="567">
        <v>46074</v>
      </c>
      <c r="B1453" s="568">
        <v>2026</v>
      </c>
      <c r="C1453" s="569">
        <v>2</v>
      </c>
      <c r="D1453" s="570">
        <v>8</v>
      </c>
      <c r="E1453" s="570">
        <v>21</v>
      </c>
      <c r="F1453" s="571" t="s">
        <v>57</v>
      </c>
      <c r="G1453" s="569" t="s">
        <v>57</v>
      </c>
      <c r="H1453" s="569" t="s">
        <v>212</v>
      </c>
      <c r="I1453" s="574">
        <v>343140000</v>
      </c>
    </row>
    <row r="1454" spans="1:9" ht="16" x14ac:dyDescent="0.2">
      <c r="A1454" s="561">
        <v>46074</v>
      </c>
      <c r="B1454" s="562">
        <v>2026</v>
      </c>
      <c r="C1454" s="563">
        <v>2</v>
      </c>
      <c r="D1454" s="564">
        <v>8</v>
      </c>
      <c r="E1454" s="564">
        <v>21</v>
      </c>
      <c r="F1454" s="565" t="s">
        <v>63</v>
      </c>
      <c r="G1454" s="563" t="s">
        <v>63</v>
      </c>
      <c r="H1454" s="563" t="s">
        <v>214</v>
      </c>
      <c r="I1454" s="573">
        <v>156276000</v>
      </c>
    </row>
    <row r="1455" spans="1:9" ht="16" x14ac:dyDescent="0.2">
      <c r="A1455" s="567">
        <v>46074</v>
      </c>
      <c r="B1455" s="568">
        <v>2026</v>
      </c>
      <c r="C1455" s="569">
        <v>2</v>
      </c>
      <c r="D1455" s="570">
        <v>8</v>
      </c>
      <c r="E1455" s="570">
        <v>21</v>
      </c>
      <c r="F1455" s="571" t="s">
        <v>59</v>
      </c>
      <c r="G1455" s="569" t="s">
        <v>59</v>
      </c>
      <c r="H1455" s="569" t="s">
        <v>216</v>
      </c>
      <c r="I1455" s="574">
        <v>198687649</v>
      </c>
    </row>
    <row r="1456" spans="1:9" ht="16" x14ac:dyDescent="0.2">
      <c r="A1456" s="561">
        <v>46074</v>
      </c>
      <c r="B1456" s="562">
        <v>2026</v>
      </c>
      <c r="C1456" s="563">
        <v>2</v>
      </c>
      <c r="D1456" s="564">
        <v>8</v>
      </c>
      <c r="E1456" s="564">
        <v>21</v>
      </c>
      <c r="F1456" s="565" t="s">
        <v>31</v>
      </c>
      <c r="G1456" s="563" t="s">
        <v>175</v>
      </c>
      <c r="H1456" s="563" t="s">
        <v>212</v>
      </c>
      <c r="I1456" s="573">
        <v>1252750000</v>
      </c>
    </row>
    <row r="1457" spans="1:9" ht="16" x14ac:dyDescent="0.2">
      <c r="A1457" s="567">
        <v>46074</v>
      </c>
      <c r="B1457" s="568">
        <v>2026</v>
      </c>
      <c r="C1457" s="569">
        <v>2</v>
      </c>
      <c r="D1457" s="570">
        <v>8</v>
      </c>
      <c r="E1457" s="570">
        <v>21</v>
      </c>
      <c r="F1457" s="571" t="s">
        <v>234</v>
      </c>
      <c r="G1457" s="569" t="s">
        <v>210</v>
      </c>
      <c r="H1457" s="569" t="s">
        <v>214</v>
      </c>
      <c r="I1457" s="574">
        <v>304400000</v>
      </c>
    </row>
    <row r="1458" spans="1:9" ht="16" x14ac:dyDescent="0.2">
      <c r="A1458" s="561">
        <v>46075</v>
      </c>
      <c r="B1458" s="562">
        <v>2026</v>
      </c>
      <c r="C1458" s="563">
        <v>2</v>
      </c>
      <c r="D1458" s="564">
        <v>8</v>
      </c>
      <c r="E1458" s="564">
        <v>22</v>
      </c>
      <c r="F1458" s="565" t="s">
        <v>65</v>
      </c>
      <c r="G1458" s="563" t="s">
        <v>65</v>
      </c>
      <c r="H1458" s="563" t="s">
        <v>212</v>
      </c>
      <c r="I1458" s="573">
        <v>580200000</v>
      </c>
    </row>
    <row r="1459" spans="1:9" ht="16" x14ac:dyDescent="0.2">
      <c r="A1459" s="567">
        <v>46075</v>
      </c>
      <c r="B1459" s="568">
        <v>2026</v>
      </c>
      <c r="C1459" s="569">
        <v>2</v>
      </c>
      <c r="D1459" s="570">
        <v>8</v>
      </c>
      <c r="E1459" s="570">
        <v>22</v>
      </c>
      <c r="F1459" s="571" t="s">
        <v>66</v>
      </c>
      <c r="G1459" s="569" t="s">
        <v>66</v>
      </c>
      <c r="H1459" s="569" t="s">
        <v>216</v>
      </c>
      <c r="I1459" s="574">
        <v>284287591</v>
      </c>
    </row>
    <row r="1460" spans="1:9" ht="16" x14ac:dyDescent="0.2">
      <c r="A1460" s="561">
        <v>46075</v>
      </c>
      <c r="B1460" s="562">
        <v>2026</v>
      </c>
      <c r="C1460" s="563">
        <v>2</v>
      </c>
      <c r="D1460" s="564">
        <v>8</v>
      </c>
      <c r="E1460" s="564">
        <v>22</v>
      </c>
      <c r="F1460" s="565" t="s">
        <v>24</v>
      </c>
      <c r="G1460" s="563" t="s">
        <v>24</v>
      </c>
      <c r="H1460" s="563" t="s">
        <v>212</v>
      </c>
      <c r="I1460" s="573">
        <v>5969330000</v>
      </c>
    </row>
    <row r="1461" spans="1:9" ht="16" x14ac:dyDescent="0.2">
      <c r="A1461" s="567">
        <v>46075</v>
      </c>
      <c r="B1461" s="568">
        <v>2026</v>
      </c>
      <c r="C1461" s="569">
        <v>2</v>
      </c>
      <c r="D1461" s="570">
        <v>8</v>
      </c>
      <c r="E1461" s="570">
        <v>22</v>
      </c>
      <c r="F1461" s="571" t="s">
        <v>67</v>
      </c>
      <c r="G1461" s="569" t="s">
        <v>67</v>
      </c>
      <c r="H1461" s="569" t="s">
        <v>213</v>
      </c>
      <c r="I1461" s="574">
        <v>1145161870</v>
      </c>
    </row>
    <row r="1462" spans="1:9" ht="16" x14ac:dyDescent="0.2">
      <c r="A1462" s="561">
        <v>46075</v>
      </c>
      <c r="B1462" s="562">
        <v>2026</v>
      </c>
      <c r="C1462" s="563">
        <v>2</v>
      </c>
      <c r="D1462" s="564">
        <v>8</v>
      </c>
      <c r="E1462" s="564">
        <v>22</v>
      </c>
      <c r="F1462" s="565" t="s">
        <v>28</v>
      </c>
      <c r="G1462" s="563" t="s">
        <v>28</v>
      </c>
      <c r="H1462" s="563" t="s">
        <v>214</v>
      </c>
      <c r="I1462" s="573">
        <v>12687840000</v>
      </c>
    </row>
    <row r="1463" spans="1:9" ht="16" x14ac:dyDescent="0.2">
      <c r="A1463" s="567">
        <v>46075</v>
      </c>
      <c r="B1463" s="568">
        <v>2026</v>
      </c>
      <c r="C1463" s="569">
        <v>2</v>
      </c>
      <c r="D1463" s="570">
        <v>8</v>
      </c>
      <c r="E1463" s="570">
        <v>22</v>
      </c>
      <c r="F1463" s="571" t="s">
        <v>208</v>
      </c>
      <c r="G1463" s="569" t="s">
        <v>208</v>
      </c>
      <c r="H1463" s="569" t="s">
        <v>216</v>
      </c>
      <c r="I1463" s="574">
        <v>4576096</v>
      </c>
    </row>
    <row r="1464" spans="1:9" ht="16" x14ac:dyDescent="0.2">
      <c r="A1464" s="561">
        <v>46075</v>
      </c>
      <c r="B1464" s="562">
        <v>2026</v>
      </c>
      <c r="C1464" s="563">
        <v>2</v>
      </c>
      <c r="D1464" s="564">
        <v>8</v>
      </c>
      <c r="E1464" s="564">
        <v>22</v>
      </c>
      <c r="F1464" s="565" t="s">
        <v>60</v>
      </c>
      <c r="G1464" s="563" t="s">
        <v>60</v>
      </c>
      <c r="H1464" s="563" t="s">
        <v>212</v>
      </c>
      <c r="I1464" s="573">
        <v>0</v>
      </c>
    </row>
    <row r="1465" spans="1:9" ht="16" x14ac:dyDescent="0.2">
      <c r="A1465" s="567">
        <v>46075</v>
      </c>
      <c r="B1465" s="568">
        <v>2026</v>
      </c>
      <c r="C1465" s="569">
        <v>2</v>
      </c>
      <c r="D1465" s="570">
        <v>8</v>
      </c>
      <c r="E1465" s="570">
        <v>22</v>
      </c>
      <c r="F1465" s="571" t="s">
        <v>36</v>
      </c>
      <c r="G1465" s="569" t="s">
        <v>36</v>
      </c>
      <c r="H1465" s="569" t="s">
        <v>212</v>
      </c>
      <c r="I1465" s="574">
        <v>1526840000</v>
      </c>
    </row>
    <row r="1466" spans="1:9" ht="16" x14ac:dyDescent="0.2">
      <c r="A1466" s="561">
        <v>46075</v>
      </c>
      <c r="B1466" s="562">
        <v>2026</v>
      </c>
      <c r="C1466" s="563">
        <v>2</v>
      </c>
      <c r="D1466" s="564">
        <v>8</v>
      </c>
      <c r="E1466" s="564">
        <v>22</v>
      </c>
      <c r="F1466" s="565" t="s">
        <v>55</v>
      </c>
      <c r="G1466" s="563" t="s">
        <v>36</v>
      </c>
      <c r="H1466" s="563" t="s">
        <v>212</v>
      </c>
      <c r="I1466" s="573">
        <v>450400000</v>
      </c>
    </row>
    <row r="1467" spans="1:9" ht="16" x14ac:dyDescent="0.2">
      <c r="A1467" s="567">
        <v>46075</v>
      </c>
      <c r="B1467" s="568">
        <v>2026</v>
      </c>
      <c r="C1467" s="569">
        <v>2</v>
      </c>
      <c r="D1467" s="570">
        <v>8</v>
      </c>
      <c r="E1467" s="570">
        <v>22</v>
      </c>
      <c r="F1467" s="571" t="s">
        <v>176</v>
      </c>
      <c r="G1467" s="569" t="s">
        <v>176</v>
      </c>
      <c r="H1467" s="569" t="s">
        <v>216</v>
      </c>
      <c r="I1467" s="574">
        <v>7949324</v>
      </c>
    </row>
    <row r="1468" spans="1:9" ht="16" x14ac:dyDescent="0.2">
      <c r="A1468" s="561">
        <v>46075</v>
      </c>
      <c r="B1468" s="562">
        <v>2026</v>
      </c>
      <c r="C1468" s="563">
        <v>2</v>
      </c>
      <c r="D1468" s="564">
        <v>8</v>
      </c>
      <c r="E1468" s="564">
        <v>22</v>
      </c>
      <c r="F1468" s="565" t="s">
        <v>39</v>
      </c>
      <c r="G1468" s="563" t="s">
        <v>176</v>
      </c>
      <c r="H1468" s="563" t="s">
        <v>216</v>
      </c>
      <c r="I1468" s="573">
        <v>1054032746</v>
      </c>
    </row>
    <row r="1469" spans="1:9" ht="16" x14ac:dyDescent="0.2">
      <c r="A1469" s="567">
        <v>46075</v>
      </c>
      <c r="B1469" s="568">
        <v>2026</v>
      </c>
      <c r="C1469" s="569">
        <v>2</v>
      </c>
      <c r="D1469" s="570">
        <v>8</v>
      </c>
      <c r="E1469" s="570">
        <v>22</v>
      </c>
      <c r="F1469" s="571" t="s">
        <v>206</v>
      </c>
      <c r="G1469" s="569" t="s">
        <v>206</v>
      </c>
      <c r="H1469" s="569" t="s">
        <v>212</v>
      </c>
      <c r="I1469" s="574">
        <v>0</v>
      </c>
    </row>
    <row r="1470" spans="1:9" ht="16" x14ac:dyDescent="0.2">
      <c r="A1470" s="561">
        <v>46075</v>
      </c>
      <c r="B1470" s="562">
        <v>2026</v>
      </c>
      <c r="C1470" s="563">
        <v>2</v>
      </c>
      <c r="D1470" s="564">
        <v>8</v>
      </c>
      <c r="E1470" s="564">
        <v>22</v>
      </c>
      <c r="F1470" s="565" t="s">
        <v>64</v>
      </c>
      <c r="G1470" s="563" t="s">
        <v>209</v>
      </c>
      <c r="H1470" s="563" t="s">
        <v>212</v>
      </c>
      <c r="I1470" s="573">
        <v>15750000</v>
      </c>
    </row>
    <row r="1471" spans="1:9" ht="16" x14ac:dyDescent="0.2">
      <c r="A1471" s="567">
        <v>46075</v>
      </c>
      <c r="B1471" s="568">
        <v>2026</v>
      </c>
      <c r="C1471" s="569">
        <v>2</v>
      </c>
      <c r="D1471" s="570">
        <v>8</v>
      </c>
      <c r="E1471" s="570">
        <v>22</v>
      </c>
      <c r="F1471" s="571" t="s">
        <v>237</v>
      </c>
      <c r="G1471" s="569" t="s">
        <v>209</v>
      </c>
      <c r="H1471" s="569" t="s">
        <v>212</v>
      </c>
      <c r="I1471" s="574">
        <v>0</v>
      </c>
    </row>
    <row r="1472" spans="1:9" ht="16" x14ac:dyDescent="0.2">
      <c r="A1472" s="561">
        <v>46075</v>
      </c>
      <c r="B1472" s="562">
        <v>2026</v>
      </c>
      <c r="C1472" s="563">
        <v>2</v>
      </c>
      <c r="D1472" s="564">
        <v>8</v>
      </c>
      <c r="E1472" s="564">
        <v>22</v>
      </c>
      <c r="F1472" s="565" t="s">
        <v>11</v>
      </c>
      <c r="G1472" s="563" t="s">
        <v>11</v>
      </c>
      <c r="H1472" s="563" t="s">
        <v>212</v>
      </c>
      <c r="I1472" s="573">
        <v>7908400000</v>
      </c>
    </row>
    <row r="1473" spans="1:9" ht="16" x14ac:dyDescent="0.2">
      <c r="A1473" s="567">
        <v>46075</v>
      </c>
      <c r="B1473" s="568">
        <v>2026</v>
      </c>
      <c r="C1473" s="569">
        <v>2</v>
      </c>
      <c r="D1473" s="570">
        <v>8</v>
      </c>
      <c r="E1473" s="570">
        <v>22</v>
      </c>
      <c r="F1473" s="571" t="s">
        <v>221</v>
      </c>
      <c r="G1473" s="569" t="s">
        <v>207</v>
      </c>
      <c r="H1473" s="569" t="s">
        <v>212</v>
      </c>
      <c r="I1473" s="574">
        <v>0</v>
      </c>
    </row>
    <row r="1474" spans="1:9" ht="16" x14ac:dyDescent="0.2">
      <c r="A1474" s="561">
        <v>46075</v>
      </c>
      <c r="B1474" s="562">
        <v>2026</v>
      </c>
      <c r="C1474" s="563">
        <v>2</v>
      </c>
      <c r="D1474" s="564">
        <v>8</v>
      </c>
      <c r="E1474" s="564">
        <v>22</v>
      </c>
      <c r="F1474" s="565" t="s">
        <v>222</v>
      </c>
      <c r="G1474" s="563" t="s">
        <v>207</v>
      </c>
      <c r="H1474" s="563" t="s">
        <v>212</v>
      </c>
      <c r="I1474" s="573">
        <v>0</v>
      </c>
    </row>
    <row r="1475" spans="1:9" ht="16" x14ac:dyDescent="0.2">
      <c r="A1475" s="567">
        <v>46075</v>
      </c>
      <c r="B1475" s="568">
        <v>2026</v>
      </c>
      <c r="C1475" s="569">
        <v>2</v>
      </c>
      <c r="D1475" s="570">
        <v>8</v>
      </c>
      <c r="E1475" s="570">
        <v>22</v>
      </c>
      <c r="F1475" s="571" t="s">
        <v>223</v>
      </c>
      <c r="G1475" s="569" t="s">
        <v>207</v>
      </c>
      <c r="H1475" s="569" t="s">
        <v>212</v>
      </c>
      <c r="I1475" s="574">
        <v>0</v>
      </c>
    </row>
    <row r="1476" spans="1:9" ht="16" x14ac:dyDescent="0.2">
      <c r="A1476" s="561">
        <v>46075</v>
      </c>
      <c r="B1476" s="562">
        <v>2026</v>
      </c>
      <c r="C1476" s="563">
        <v>2</v>
      </c>
      <c r="D1476" s="564">
        <v>8</v>
      </c>
      <c r="E1476" s="564">
        <v>22</v>
      </c>
      <c r="F1476" s="565" t="s">
        <v>219</v>
      </c>
      <c r="G1476" s="563" t="s">
        <v>11</v>
      </c>
      <c r="H1476" s="563" t="s">
        <v>212</v>
      </c>
      <c r="I1476" s="573">
        <v>0</v>
      </c>
    </row>
    <row r="1477" spans="1:9" ht="16" x14ac:dyDescent="0.2">
      <c r="A1477" s="567">
        <v>46075</v>
      </c>
      <c r="B1477" s="568">
        <v>2026</v>
      </c>
      <c r="C1477" s="569">
        <v>2</v>
      </c>
      <c r="D1477" s="570">
        <v>8</v>
      </c>
      <c r="E1477" s="570">
        <v>22</v>
      </c>
      <c r="F1477" s="571" t="s">
        <v>19</v>
      </c>
      <c r="G1477" s="569" t="s">
        <v>19</v>
      </c>
      <c r="H1477" s="569" t="s">
        <v>214</v>
      </c>
      <c r="I1477" s="574">
        <v>8930412000</v>
      </c>
    </row>
    <row r="1478" spans="1:9" ht="16" x14ac:dyDescent="0.2">
      <c r="A1478" s="561">
        <v>46075</v>
      </c>
      <c r="B1478" s="562">
        <v>2026</v>
      </c>
      <c r="C1478" s="563">
        <v>2</v>
      </c>
      <c r="D1478" s="564">
        <v>8</v>
      </c>
      <c r="E1478" s="564">
        <v>22</v>
      </c>
      <c r="F1478" s="565" t="s">
        <v>62</v>
      </c>
      <c r="G1478" s="563" t="s">
        <v>62</v>
      </c>
      <c r="H1478" s="563" t="s">
        <v>216</v>
      </c>
      <c r="I1478" s="573">
        <v>129829872</v>
      </c>
    </row>
    <row r="1479" spans="1:9" ht="16" x14ac:dyDescent="0.2">
      <c r="A1479" s="567">
        <v>46075</v>
      </c>
      <c r="B1479" s="568">
        <v>2026</v>
      </c>
      <c r="C1479" s="569">
        <v>2</v>
      </c>
      <c r="D1479" s="570">
        <v>8</v>
      </c>
      <c r="E1479" s="570">
        <v>22</v>
      </c>
      <c r="F1479" s="571" t="s">
        <v>58</v>
      </c>
      <c r="G1479" s="569" t="s">
        <v>58</v>
      </c>
      <c r="H1479" s="569" t="s">
        <v>212</v>
      </c>
      <c r="I1479" s="574">
        <v>109250000</v>
      </c>
    </row>
    <row r="1480" spans="1:9" ht="16" x14ac:dyDescent="0.2">
      <c r="A1480" s="561">
        <v>46075</v>
      </c>
      <c r="B1480" s="562">
        <v>2026</v>
      </c>
      <c r="C1480" s="563">
        <v>2</v>
      </c>
      <c r="D1480" s="564">
        <v>8</v>
      </c>
      <c r="E1480" s="564">
        <v>22</v>
      </c>
      <c r="F1480" s="565" t="s">
        <v>61</v>
      </c>
      <c r="G1480" s="563" t="s">
        <v>61</v>
      </c>
      <c r="H1480" s="563" t="s">
        <v>214</v>
      </c>
      <c r="I1480" s="573">
        <v>52000000</v>
      </c>
    </row>
    <row r="1481" spans="1:9" ht="16" x14ac:dyDescent="0.2">
      <c r="A1481" s="567">
        <v>46075</v>
      </c>
      <c r="B1481" s="568">
        <v>2026</v>
      </c>
      <c r="C1481" s="569">
        <v>2</v>
      </c>
      <c r="D1481" s="570">
        <v>8</v>
      </c>
      <c r="E1481" s="570">
        <v>22</v>
      </c>
      <c r="F1481" s="571" t="s">
        <v>57</v>
      </c>
      <c r="G1481" s="569" t="s">
        <v>57</v>
      </c>
      <c r="H1481" s="569" t="s">
        <v>212</v>
      </c>
      <c r="I1481" s="574">
        <v>500160000</v>
      </c>
    </row>
    <row r="1482" spans="1:9" ht="16" x14ac:dyDescent="0.2">
      <c r="A1482" s="561">
        <v>46075</v>
      </c>
      <c r="B1482" s="562">
        <v>2026</v>
      </c>
      <c r="C1482" s="563">
        <v>2</v>
      </c>
      <c r="D1482" s="564">
        <v>8</v>
      </c>
      <c r="E1482" s="564">
        <v>22</v>
      </c>
      <c r="F1482" s="565" t="s">
        <v>63</v>
      </c>
      <c r="G1482" s="563" t="s">
        <v>63</v>
      </c>
      <c r="H1482" s="563" t="s">
        <v>214</v>
      </c>
      <c r="I1482" s="573">
        <v>269352000</v>
      </c>
    </row>
    <row r="1483" spans="1:9" ht="16" x14ac:dyDescent="0.2">
      <c r="A1483" s="567">
        <v>46075</v>
      </c>
      <c r="B1483" s="568">
        <v>2026</v>
      </c>
      <c r="C1483" s="569">
        <v>2</v>
      </c>
      <c r="D1483" s="570">
        <v>8</v>
      </c>
      <c r="E1483" s="570">
        <v>22</v>
      </c>
      <c r="F1483" s="571" t="s">
        <v>59</v>
      </c>
      <c r="G1483" s="569" t="s">
        <v>59</v>
      </c>
      <c r="H1483" s="569" t="s">
        <v>216</v>
      </c>
      <c r="I1483" s="574">
        <v>244266863</v>
      </c>
    </row>
    <row r="1484" spans="1:9" ht="16" x14ac:dyDescent="0.2">
      <c r="A1484" s="561">
        <v>46075</v>
      </c>
      <c r="B1484" s="562">
        <v>2026</v>
      </c>
      <c r="C1484" s="563">
        <v>2</v>
      </c>
      <c r="D1484" s="564">
        <v>8</v>
      </c>
      <c r="E1484" s="564">
        <v>22</v>
      </c>
      <c r="F1484" s="565" t="s">
        <v>31</v>
      </c>
      <c r="G1484" s="563" t="s">
        <v>175</v>
      </c>
      <c r="H1484" s="563" t="s">
        <v>212</v>
      </c>
      <c r="I1484" s="573">
        <v>1462680000</v>
      </c>
    </row>
    <row r="1485" spans="1:9" ht="16" x14ac:dyDescent="0.2">
      <c r="A1485" s="567">
        <v>46075</v>
      </c>
      <c r="B1485" s="568">
        <v>2026</v>
      </c>
      <c r="C1485" s="569">
        <v>2</v>
      </c>
      <c r="D1485" s="570">
        <v>8</v>
      </c>
      <c r="E1485" s="570">
        <v>22</v>
      </c>
      <c r="F1485" s="571" t="s">
        <v>234</v>
      </c>
      <c r="G1485" s="569" t="s">
        <v>210</v>
      </c>
      <c r="H1485" s="569" t="s">
        <v>214</v>
      </c>
      <c r="I1485" s="574">
        <v>354240000</v>
      </c>
    </row>
    <row r="1486" spans="1:9" ht="16" x14ac:dyDescent="0.2">
      <c r="A1486" s="561">
        <v>46076</v>
      </c>
      <c r="B1486" s="562">
        <v>2026</v>
      </c>
      <c r="C1486" s="563">
        <v>2</v>
      </c>
      <c r="D1486" s="564">
        <v>9</v>
      </c>
      <c r="E1486" s="564">
        <v>23</v>
      </c>
      <c r="F1486" s="565" t="s">
        <v>65</v>
      </c>
      <c r="G1486" s="563" t="s">
        <v>65</v>
      </c>
      <c r="H1486" s="563" t="s">
        <v>212</v>
      </c>
      <c r="I1486" s="566">
        <v>456650000</v>
      </c>
    </row>
    <row r="1487" spans="1:9" ht="16" x14ac:dyDescent="0.2">
      <c r="A1487" s="567">
        <v>46076</v>
      </c>
      <c r="B1487" s="568">
        <v>2026</v>
      </c>
      <c r="C1487" s="569">
        <v>2</v>
      </c>
      <c r="D1487" s="570">
        <v>9</v>
      </c>
      <c r="E1487" s="570">
        <v>23</v>
      </c>
      <c r="F1487" s="571" t="s">
        <v>66</v>
      </c>
      <c r="G1487" s="569" t="s">
        <v>66</v>
      </c>
      <c r="H1487" s="569" t="s">
        <v>216</v>
      </c>
      <c r="I1487" s="572">
        <v>283424694</v>
      </c>
    </row>
    <row r="1488" spans="1:9" ht="16" x14ac:dyDescent="0.2">
      <c r="A1488" s="561">
        <v>46076</v>
      </c>
      <c r="B1488" s="562">
        <v>2026</v>
      </c>
      <c r="C1488" s="563">
        <v>2</v>
      </c>
      <c r="D1488" s="564">
        <v>9</v>
      </c>
      <c r="E1488" s="564">
        <v>23</v>
      </c>
      <c r="F1488" s="565" t="s">
        <v>24</v>
      </c>
      <c r="G1488" s="563" t="s">
        <v>24</v>
      </c>
      <c r="H1488" s="563" t="s">
        <v>212</v>
      </c>
      <c r="I1488" s="566">
        <v>10136260000</v>
      </c>
    </row>
    <row r="1489" spans="1:9" ht="16" x14ac:dyDescent="0.2">
      <c r="A1489" s="567">
        <v>46076</v>
      </c>
      <c r="B1489" s="568">
        <v>2026</v>
      </c>
      <c r="C1489" s="569">
        <v>2</v>
      </c>
      <c r="D1489" s="570">
        <v>9</v>
      </c>
      <c r="E1489" s="570">
        <v>23</v>
      </c>
      <c r="F1489" s="571" t="s">
        <v>67</v>
      </c>
      <c r="G1489" s="569" t="s">
        <v>67</v>
      </c>
      <c r="H1489" s="569" t="s">
        <v>213</v>
      </c>
      <c r="I1489" s="572">
        <v>2180900609</v>
      </c>
    </row>
    <row r="1490" spans="1:9" ht="16" x14ac:dyDescent="0.2">
      <c r="A1490" s="561">
        <v>46076</v>
      </c>
      <c r="B1490" s="562">
        <v>2026</v>
      </c>
      <c r="C1490" s="563">
        <v>2</v>
      </c>
      <c r="D1490" s="564">
        <v>9</v>
      </c>
      <c r="E1490" s="564">
        <v>23</v>
      </c>
      <c r="F1490" s="565" t="s">
        <v>28</v>
      </c>
      <c r="G1490" s="563" t="s">
        <v>28</v>
      </c>
      <c r="H1490" s="563" t="s">
        <v>214</v>
      </c>
      <c r="I1490" s="566">
        <v>18643608000</v>
      </c>
    </row>
    <row r="1491" spans="1:9" ht="16" x14ac:dyDescent="0.2">
      <c r="A1491" s="567">
        <v>46076</v>
      </c>
      <c r="B1491" s="568">
        <v>2026</v>
      </c>
      <c r="C1491" s="569">
        <v>2</v>
      </c>
      <c r="D1491" s="570">
        <v>9</v>
      </c>
      <c r="E1491" s="570">
        <v>23</v>
      </c>
      <c r="F1491" s="571" t="s">
        <v>208</v>
      </c>
      <c r="G1491" s="569" t="s">
        <v>208</v>
      </c>
      <c r="H1491" s="569" t="s">
        <v>216</v>
      </c>
      <c r="I1491" s="572">
        <v>8811023</v>
      </c>
    </row>
    <row r="1492" spans="1:9" ht="16" x14ac:dyDescent="0.2">
      <c r="A1492" s="561">
        <v>46076</v>
      </c>
      <c r="B1492" s="562">
        <v>2026</v>
      </c>
      <c r="C1492" s="563">
        <v>2</v>
      </c>
      <c r="D1492" s="564">
        <v>9</v>
      </c>
      <c r="E1492" s="564">
        <v>23</v>
      </c>
      <c r="F1492" s="565" t="s">
        <v>60</v>
      </c>
      <c r="G1492" s="563" t="s">
        <v>60</v>
      </c>
      <c r="H1492" s="563" t="s">
        <v>212</v>
      </c>
      <c r="I1492" s="566">
        <v>0</v>
      </c>
    </row>
    <row r="1493" spans="1:9" ht="16" x14ac:dyDescent="0.2">
      <c r="A1493" s="567">
        <v>46076</v>
      </c>
      <c r="B1493" s="568">
        <v>2026</v>
      </c>
      <c r="C1493" s="569">
        <v>2</v>
      </c>
      <c r="D1493" s="570">
        <v>9</v>
      </c>
      <c r="E1493" s="570">
        <v>23</v>
      </c>
      <c r="F1493" s="571" t="s">
        <v>36</v>
      </c>
      <c r="G1493" s="569" t="s">
        <v>36</v>
      </c>
      <c r="H1493" s="569" t="s">
        <v>212</v>
      </c>
      <c r="I1493" s="572">
        <v>2430000000</v>
      </c>
    </row>
    <row r="1494" spans="1:9" ht="16" x14ac:dyDescent="0.2">
      <c r="A1494" s="561">
        <v>46076</v>
      </c>
      <c r="B1494" s="562">
        <v>2026</v>
      </c>
      <c r="C1494" s="563">
        <v>2</v>
      </c>
      <c r="D1494" s="564">
        <v>9</v>
      </c>
      <c r="E1494" s="564">
        <v>23</v>
      </c>
      <c r="F1494" s="565" t="s">
        <v>55</v>
      </c>
      <c r="G1494" s="563" t="s">
        <v>36</v>
      </c>
      <c r="H1494" s="563" t="s">
        <v>212</v>
      </c>
      <c r="I1494" s="566">
        <v>669890000</v>
      </c>
    </row>
    <row r="1495" spans="1:9" ht="16" x14ac:dyDescent="0.2">
      <c r="A1495" s="567">
        <v>46076</v>
      </c>
      <c r="B1495" s="568">
        <v>2026</v>
      </c>
      <c r="C1495" s="569">
        <v>2</v>
      </c>
      <c r="D1495" s="570">
        <v>9</v>
      </c>
      <c r="E1495" s="570">
        <v>23</v>
      </c>
      <c r="F1495" s="571" t="s">
        <v>176</v>
      </c>
      <c r="G1495" s="569" t="s">
        <v>176</v>
      </c>
      <c r="H1495" s="569" t="s">
        <v>216</v>
      </c>
      <c r="I1495" s="572">
        <v>7807533</v>
      </c>
    </row>
    <row r="1496" spans="1:9" ht="16" x14ac:dyDescent="0.2">
      <c r="A1496" s="561">
        <v>46076</v>
      </c>
      <c r="B1496" s="562">
        <v>2026</v>
      </c>
      <c r="C1496" s="563">
        <v>2</v>
      </c>
      <c r="D1496" s="564">
        <v>9</v>
      </c>
      <c r="E1496" s="564">
        <v>23</v>
      </c>
      <c r="F1496" s="565" t="s">
        <v>39</v>
      </c>
      <c r="G1496" s="563" t="s">
        <v>176</v>
      </c>
      <c r="H1496" s="563" t="s">
        <v>216</v>
      </c>
      <c r="I1496" s="566">
        <v>1025473591</v>
      </c>
    </row>
    <row r="1497" spans="1:9" ht="16" x14ac:dyDescent="0.2">
      <c r="A1497" s="567">
        <v>46076</v>
      </c>
      <c r="B1497" s="568">
        <v>2026</v>
      </c>
      <c r="C1497" s="569">
        <v>2</v>
      </c>
      <c r="D1497" s="570">
        <v>9</v>
      </c>
      <c r="E1497" s="570">
        <v>23</v>
      </c>
      <c r="F1497" s="571" t="s">
        <v>206</v>
      </c>
      <c r="G1497" s="569" t="s">
        <v>206</v>
      </c>
      <c r="H1497" s="569" t="s">
        <v>212</v>
      </c>
      <c r="I1497" s="572">
        <v>0</v>
      </c>
    </row>
    <row r="1498" spans="1:9" ht="16" x14ac:dyDescent="0.2">
      <c r="A1498" s="561">
        <v>46076</v>
      </c>
      <c r="B1498" s="562">
        <v>2026</v>
      </c>
      <c r="C1498" s="563">
        <v>2</v>
      </c>
      <c r="D1498" s="564">
        <v>9</v>
      </c>
      <c r="E1498" s="564">
        <v>23</v>
      </c>
      <c r="F1498" s="565" t="s">
        <v>64</v>
      </c>
      <c r="G1498" s="563" t="s">
        <v>209</v>
      </c>
      <c r="H1498" s="563" t="s">
        <v>212</v>
      </c>
      <c r="I1498" s="566">
        <v>83000000</v>
      </c>
    </row>
    <row r="1499" spans="1:9" ht="16" x14ac:dyDescent="0.2">
      <c r="A1499" s="567">
        <v>46076</v>
      </c>
      <c r="B1499" s="568">
        <v>2026</v>
      </c>
      <c r="C1499" s="569">
        <v>2</v>
      </c>
      <c r="D1499" s="570">
        <v>9</v>
      </c>
      <c r="E1499" s="570">
        <v>23</v>
      </c>
      <c r="F1499" s="571" t="s">
        <v>237</v>
      </c>
      <c r="G1499" s="569" t="s">
        <v>209</v>
      </c>
      <c r="H1499" s="569" t="s">
        <v>212</v>
      </c>
      <c r="I1499" s="572">
        <v>0</v>
      </c>
    </row>
    <row r="1500" spans="1:9" ht="16" x14ac:dyDescent="0.2">
      <c r="A1500" s="561">
        <v>46076</v>
      </c>
      <c r="B1500" s="562">
        <v>2026</v>
      </c>
      <c r="C1500" s="563">
        <v>2</v>
      </c>
      <c r="D1500" s="564">
        <v>9</v>
      </c>
      <c r="E1500" s="564">
        <v>23</v>
      </c>
      <c r="F1500" s="565" t="s">
        <v>11</v>
      </c>
      <c r="G1500" s="563" t="s">
        <v>11</v>
      </c>
      <c r="H1500" s="563" t="s">
        <v>212</v>
      </c>
      <c r="I1500" s="566">
        <v>10714010000</v>
      </c>
    </row>
    <row r="1501" spans="1:9" ht="16" x14ac:dyDescent="0.2">
      <c r="A1501" s="567">
        <v>46076</v>
      </c>
      <c r="B1501" s="568">
        <v>2026</v>
      </c>
      <c r="C1501" s="569">
        <v>2</v>
      </c>
      <c r="D1501" s="570">
        <v>9</v>
      </c>
      <c r="E1501" s="570">
        <v>23</v>
      </c>
      <c r="F1501" s="571" t="s">
        <v>221</v>
      </c>
      <c r="G1501" s="569" t="s">
        <v>207</v>
      </c>
      <c r="H1501" s="569" t="s">
        <v>212</v>
      </c>
      <c r="I1501" s="572">
        <v>0</v>
      </c>
    </row>
    <row r="1502" spans="1:9" ht="16" x14ac:dyDescent="0.2">
      <c r="A1502" s="561">
        <v>46076</v>
      </c>
      <c r="B1502" s="562">
        <v>2026</v>
      </c>
      <c r="C1502" s="563">
        <v>2</v>
      </c>
      <c r="D1502" s="564">
        <v>9</v>
      </c>
      <c r="E1502" s="564">
        <v>23</v>
      </c>
      <c r="F1502" s="565" t="s">
        <v>222</v>
      </c>
      <c r="G1502" s="563" t="s">
        <v>207</v>
      </c>
      <c r="H1502" s="563" t="s">
        <v>212</v>
      </c>
      <c r="I1502" s="566">
        <v>0</v>
      </c>
    </row>
    <row r="1503" spans="1:9" ht="16" x14ac:dyDescent="0.2">
      <c r="A1503" s="567">
        <v>46076</v>
      </c>
      <c r="B1503" s="568">
        <v>2026</v>
      </c>
      <c r="C1503" s="569">
        <v>2</v>
      </c>
      <c r="D1503" s="570">
        <v>9</v>
      </c>
      <c r="E1503" s="570">
        <v>23</v>
      </c>
      <c r="F1503" s="571" t="s">
        <v>223</v>
      </c>
      <c r="G1503" s="569" t="s">
        <v>207</v>
      </c>
      <c r="H1503" s="569" t="s">
        <v>212</v>
      </c>
      <c r="I1503" s="572">
        <v>0</v>
      </c>
    </row>
    <row r="1504" spans="1:9" ht="16" x14ac:dyDescent="0.2">
      <c r="A1504" s="561">
        <v>46076</v>
      </c>
      <c r="B1504" s="562">
        <v>2026</v>
      </c>
      <c r="C1504" s="563">
        <v>2</v>
      </c>
      <c r="D1504" s="564">
        <v>9</v>
      </c>
      <c r="E1504" s="564">
        <v>23</v>
      </c>
      <c r="F1504" s="565" t="s">
        <v>219</v>
      </c>
      <c r="G1504" s="563" t="s">
        <v>11</v>
      </c>
      <c r="H1504" s="563" t="s">
        <v>212</v>
      </c>
      <c r="I1504" s="566">
        <v>0</v>
      </c>
    </row>
    <row r="1505" spans="1:9" ht="16" x14ac:dyDescent="0.2">
      <c r="A1505" s="567">
        <v>46076</v>
      </c>
      <c r="B1505" s="568">
        <v>2026</v>
      </c>
      <c r="C1505" s="569">
        <v>2</v>
      </c>
      <c r="D1505" s="570">
        <v>9</v>
      </c>
      <c r="E1505" s="570">
        <v>23</v>
      </c>
      <c r="F1505" s="571" t="s">
        <v>19</v>
      </c>
      <c r="G1505" s="569" t="s">
        <v>19</v>
      </c>
      <c r="H1505" s="569" t="s">
        <v>214</v>
      </c>
      <c r="I1505" s="572">
        <v>11487204000</v>
      </c>
    </row>
    <row r="1506" spans="1:9" ht="16" x14ac:dyDescent="0.2">
      <c r="A1506" s="561">
        <v>46076</v>
      </c>
      <c r="B1506" s="562">
        <v>2026</v>
      </c>
      <c r="C1506" s="563">
        <v>2</v>
      </c>
      <c r="D1506" s="564">
        <v>9</v>
      </c>
      <c r="E1506" s="564">
        <v>23</v>
      </c>
      <c r="F1506" s="565" t="s">
        <v>62</v>
      </c>
      <c r="G1506" s="563" t="s">
        <v>62</v>
      </c>
      <c r="H1506" s="563" t="s">
        <v>216</v>
      </c>
      <c r="I1506" s="566">
        <v>138188824</v>
      </c>
    </row>
    <row r="1507" spans="1:9" ht="16" x14ac:dyDescent="0.2">
      <c r="A1507" s="567">
        <v>46076</v>
      </c>
      <c r="B1507" s="568">
        <v>2026</v>
      </c>
      <c r="C1507" s="569">
        <v>2</v>
      </c>
      <c r="D1507" s="570">
        <v>9</v>
      </c>
      <c r="E1507" s="570">
        <v>23</v>
      </c>
      <c r="F1507" s="571" t="s">
        <v>58</v>
      </c>
      <c r="G1507" s="569" t="s">
        <v>58</v>
      </c>
      <c r="H1507" s="569" t="s">
        <v>212</v>
      </c>
      <c r="I1507" s="572">
        <v>52500000</v>
      </c>
    </row>
    <row r="1508" spans="1:9" ht="16" x14ac:dyDescent="0.2">
      <c r="A1508" s="561">
        <v>46076</v>
      </c>
      <c r="B1508" s="562">
        <v>2026</v>
      </c>
      <c r="C1508" s="563">
        <v>2</v>
      </c>
      <c r="D1508" s="564">
        <v>9</v>
      </c>
      <c r="E1508" s="564">
        <v>23</v>
      </c>
      <c r="F1508" s="565" t="s">
        <v>61</v>
      </c>
      <c r="G1508" s="563" t="s">
        <v>61</v>
      </c>
      <c r="H1508" s="563" t="s">
        <v>214</v>
      </c>
      <c r="I1508" s="566">
        <v>43000000</v>
      </c>
    </row>
    <row r="1509" spans="1:9" ht="16" x14ac:dyDescent="0.2">
      <c r="A1509" s="567">
        <v>46076</v>
      </c>
      <c r="B1509" s="568">
        <v>2026</v>
      </c>
      <c r="C1509" s="569">
        <v>2</v>
      </c>
      <c r="D1509" s="570">
        <v>9</v>
      </c>
      <c r="E1509" s="570">
        <v>23</v>
      </c>
      <c r="F1509" s="571" t="s">
        <v>57</v>
      </c>
      <c r="G1509" s="569" t="s">
        <v>57</v>
      </c>
      <c r="H1509" s="569" t="s">
        <v>212</v>
      </c>
      <c r="I1509" s="572">
        <v>756400000</v>
      </c>
    </row>
    <row r="1510" spans="1:9" ht="16" x14ac:dyDescent="0.2">
      <c r="A1510" s="561">
        <v>46076</v>
      </c>
      <c r="B1510" s="562">
        <v>2026</v>
      </c>
      <c r="C1510" s="563">
        <v>2</v>
      </c>
      <c r="D1510" s="564">
        <v>9</v>
      </c>
      <c r="E1510" s="564">
        <v>23</v>
      </c>
      <c r="F1510" s="565" t="s">
        <v>63</v>
      </c>
      <c r="G1510" s="563" t="s">
        <v>63</v>
      </c>
      <c r="H1510" s="563" t="s">
        <v>214</v>
      </c>
      <c r="I1510" s="566">
        <v>392580000</v>
      </c>
    </row>
    <row r="1511" spans="1:9" ht="16" x14ac:dyDescent="0.2">
      <c r="A1511" s="567">
        <v>46076</v>
      </c>
      <c r="B1511" s="568">
        <v>2026</v>
      </c>
      <c r="C1511" s="569">
        <v>2</v>
      </c>
      <c r="D1511" s="570">
        <v>9</v>
      </c>
      <c r="E1511" s="570">
        <v>23</v>
      </c>
      <c r="F1511" s="571" t="s">
        <v>59</v>
      </c>
      <c r="G1511" s="569" t="s">
        <v>59</v>
      </c>
      <c r="H1511" s="569" t="s">
        <v>216</v>
      </c>
      <c r="I1511" s="572">
        <v>320598241</v>
      </c>
    </row>
    <row r="1512" spans="1:9" ht="16" x14ac:dyDescent="0.2">
      <c r="A1512" s="561">
        <v>46076</v>
      </c>
      <c r="B1512" s="562">
        <v>2026</v>
      </c>
      <c r="C1512" s="563">
        <v>2</v>
      </c>
      <c r="D1512" s="564">
        <v>9</v>
      </c>
      <c r="E1512" s="564">
        <v>23</v>
      </c>
      <c r="F1512" s="565" t="s">
        <v>31</v>
      </c>
      <c r="G1512" s="563" t="s">
        <v>175</v>
      </c>
      <c r="H1512" s="563" t="s">
        <v>212</v>
      </c>
      <c r="I1512" s="566">
        <v>2024080000</v>
      </c>
    </row>
    <row r="1513" spans="1:9" ht="16" x14ac:dyDescent="0.2">
      <c r="A1513" s="567">
        <v>46076</v>
      </c>
      <c r="B1513" s="568">
        <v>2026</v>
      </c>
      <c r="C1513" s="569">
        <v>2</v>
      </c>
      <c r="D1513" s="570">
        <v>9</v>
      </c>
      <c r="E1513" s="570">
        <v>23</v>
      </c>
      <c r="F1513" s="571" t="s">
        <v>234</v>
      </c>
      <c r="G1513" s="569" t="s">
        <v>210</v>
      </c>
      <c r="H1513" s="569" t="s">
        <v>214</v>
      </c>
      <c r="I1513" s="572">
        <v>357480000</v>
      </c>
    </row>
    <row r="1514" spans="1:9" ht="16" x14ac:dyDescent="0.2">
      <c r="A1514" s="561">
        <v>46077</v>
      </c>
      <c r="B1514" s="562">
        <v>2026</v>
      </c>
      <c r="C1514" s="563">
        <v>2</v>
      </c>
      <c r="D1514" s="564">
        <v>9</v>
      </c>
      <c r="E1514" s="564">
        <v>24</v>
      </c>
      <c r="F1514" s="565" t="s">
        <v>65</v>
      </c>
      <c r="G1514" s="563" t="s">
        <v>65</v>
      </c>
      <c r="H1514" s="563" t="s">
        <v>212</v>
      </c>
      <c r="I1514" s="566">
        <v>454700000</v>
      </c>
    </row>
    <row r="1515" spans="1:9" ht="16" x14ac:dyDescent="0.2">
      <c r="A1515" s="567">
        <v>46077</v>
      </c>
      <c r="B1515" s="568">
        <v>2026</v>
      </c>
      <c r="C1515" s="569">
        <v>2</v>
      </c>
      <c r="D1515" s="570">
        <v>9</v>
      </c>
      <c r="E1515" s="570">
        <v>24</v>
      </c>
      <c r="F1515" s="571" t="s">
        <v>66</v>
      </c>
      <c r="G1515" s="569" t="s">
        <v>66</v>
      </c>
      <c r="H1515" s="569" t="s">
        <v>216</v>
      </c>
      <c r="I1515" s="572">
        <v>283287013</v>
      </c>
    </row>
    <row r="1516" spans="1:9" ht="16" x14ac:dyDescent="0.2">
      <c r="A1516" s="561">
        <v>46077</v>
      </c>
      <c r="B1516" s="562">
        <v>2026</v>
      </c>
      <c r="C1516" s="563">
        <v>2</v>
      </c>
      <c r="D1516" s="564">
        <v>9</v>
      </c>
      <c r="E1516" s="564">
        <v>24</v>
      </c>
      <c r="F1516" s="565" t="s">
        <v>24</v>
      </c>
      <c r="G1516" s="563" t="s">
        <v>24</v>
      </c>
      <c r="H1516" s="563" t="s">
        <v>212</v>
      </c>
      <c r="I1516" s="566">
        <v>9067840000</v>
      </c>
    </row>
    <row r="1517" spans="1:9" ht="16" x14ac:dyDescent="0.2">
      <c r="A1517" s="567">
        <v>46077</v>
      </c>
      <c r="B1517" s="568">
        <v>2026</v>
      </c>
      <c r="C1517" s="569">
        <v>2</v>
      </c>
      <c r="D1517" s="570">
        <v>9</v>
      </c>
      <c r="E1517" s="570">
        <v>24</v>
      </c>
      <c r="F1517" s="571" t="s">
        <v>67</v>
      </c>
      <c r="G1517" s="569" t="s">
        <v>67</v>
      </c>
      <c r="H1517" s="569" t="s">
        <v>213</v>
      </c>
      <c r="I1517" s="572">
        <v>1935620045</v>
      </c>
    </row>
    <row r="1518" spans="1:9" ht="16" x14ac:dyDescent="0.2">
      <c r="A1518" s="561">
        <v>46077</v>
      </c>
      <c r="B1518" s="562">
        <v>2026</v>
      </c>
      <c r="C1518" s="563">
        <v>2</v>
      </c>
      <c r="D1518" s="564">
        <v>9</v>
      </c>
      <c r="E1518" s="564">
        <v>24</v>
      </c>
      <c r="F1518" s="565" t="s">
        <v>28</v>
      </c>
      <c r="G1518" s="563" t="s">
        <v>28</v>
      </c>
      <c r="H1518" s="563" t="s">
        <v>214</v>
      </c>
      <c r="I1518" s="566">
        <v>13664808000</v>
      </c>
    </row>
    <row r="1519" spans="1:9" ht="16" x14ac:dyDescent="0.2">
      <c r="A1519" s="567">
        <v>46077</v>
      </c>
      <c r="B1519" s="568">
        <v>2026</v>
      </c>
      <c r="C1519" s="569">
        <v>2</v>
      </c>
      <c r="D1519" s="570">
        <v>9</v>
      </c>
      <c r="E1519" s="570">
        <v>24</v>
      </c>
      <c r="F1519" s="571" t="s">
        <v>208</v>
      </c>
      <c r="G1519" s="569" t="s">
        <v>208</v>
      </c>
      <c r="H1519" s="569" t="s">
        <v>216</v>
      </c>
      <c r="I1519" s="572">
        <v>3443210</v>
      </c>
    </row>
    <row r="1520" spans="1:9" ht="16" x14ac:dyDescent="0.2">
      <c r="A1520" s="561">
        <v>46077</v>
      </c>
      <c r="B1520" s="562">
        <v>2026</v>
      </c>
      <c r="C1520" s="563">
        <v>2</v>
      </c>
      <c r="D1520" s="564">
        <v>9</v>
      </c>
      <c r="E1520" s="564">
        <v>24</v>
      </c>
      <c r="F1520" s="565" t="s">
        <v>60</v>
      </c>
      <c r="G1520" s="563" t="s">
        <v>60</v>
      </c>
      <c r="H1520" s="563" t="s">
        <v>212</v>
      </c>
      <c r="I1520" s="566">
        <v>0</v>
      </c>
    </row>
    <row r="1521" spans="1:9" ht="16" x14ac:dyDescent="0.2">
      <c r="A1521" s="567">
        <v>46077</v>
      </c>
      <c r="B1521" s="568">
        <v>2026</v>
      </c>
      <c r="C1521" s="569">
        <v>2</v>
      </c>
      <c r="D1521" s="570">
        <v>9</v>
      </c>
      <c r="E1521" s="570">
        <v>24</v>
      </c>
      <c r="F1521" s="571" t="s">
        <v>36</v>
      </c>
      <c r="G1521" s="569" t="s">
        <v>36</v>
      </c>
      <c r="H1521" s="569" t="s">
        <v>212</v>
      </c>
      <c r="I1521" s="572">
        <v>2456100000</v>
      </c>
    </row>
    <row r="1522" spans="1:9" ht="16" x14ac:dyDescent="0.2">
      <c r="A1522" s="561">
        <v>46077</v>
      </c>
      <c r="B1522" s="562">
        <v>2026</v>
      </c>
      <c r="C1522" s="563">
        <v>2</v>
      </c>
      <c r="D1522" s="564">
        <v>9</v>
      </c>
      <c r="E1522" s="564">
        <v>24</v>
      </c>
      <c r="F1522" s="565" t="s">
        <v>55</v>
      </c>
      <c r="G1522" s="563" t="s">
        <v>36</v>
      </c>
      <c r="H1522" s="563" t="s">
        <v>212</v>
      </c>
      <c r="I1522" s="566">
        <v>871680000</v>
      </c>
    </row>
    <row r="1523" spans="1:9" ht="16" x14ac:dyDescent="0.2">
      <c r="A1523" s="567">
        <v>46077</v>
      </c>
      <c r="B1523" s="568">
        <v>2026</v>
      </c>
      <c r="C1523" s="569">
        <v>2</v>
      </c>
      <c r="D1523" s="570">
        <v>9</v>
      </c>
      <c r="E1523" s="570">
        <v>24</v>
      </c>
      <c r="F1523" s="571" t="s">
        <v>176</v>
      </c>
      <c r="G1523" s="569" t="s">
        <v>176</v>
      </c>
      <c r="H1523" s="569" t="s">
        <v>216</v>
      </c>
      <c r="I1523" s="572">
        <v>7922883</v>
      </c>
    </row>
    <row r="1524" spans="1:9" ht="16" x14ac:dyDescent="0.2">
      <c r="A1524" s="561">
        <v>46077</v>
      </c>
      <c r="B1524" s="562">
        <v>2026</v>
      </c>
      <c r="C1524" s="563">
        <v>2</v>
      </c>
      <c r="D1524" s="564">
        <v>9</v>
      </c>
      <c r="E1524" s="564">
        <v>24</v>
      </c>
      <c r="F1524" s="565" t="s">
        <v>39</v>
      </c>
      <c r="G1524" s="563" t="s">
        <v>176</v>
      </c>
      <c r="H1524" s="563" t="s">
        <v>216</v>
      </c>
      <c r="I1524" s="566">
        <v>761753633</v>
      </c>
    </row>
    <row r="1525" spans="1:9" ht="16" x14ac:dyDescent="0.2">
      <c r="A1525" s="567">
        <v>46077</v>
      </c>
      <c r="B1525" s="568">
        <v>2026</v>
      </c>
      <c r="C1525" s="569">
        <v>2</v>
      </c>
      <c r="D1525" s="570">
        <v>9</v>
      </c>
      <c r="E1525" s="570">
        <v>24</v>
      </c>
      <c r="F1525" s="571" t="s">
        <v>206</v>
      </c>
      <c r="G1525" s="569" t="s">
        <v>206</v>
      </c>
      <c r="H1525" s="569" t="s">
        <v>212</v>
      </c>
      <c r="I1525" s="572">
        <v>0</v>
      </c>
    </row>
    <row r="1526" spans="1:9" ht="16" x14ac:dyDescent="0.2">
      <c r="A1526" s="561">
        <v>46077</v>
      </c>
      <c r="B1526" s="562">
        <v>2026</v>
      </c>
      <c r="C1526" s="563">
        <v>2</v>
      </c>
      <c r="D1526" s="564">
        <v>9</v>
      </c>
      <c r="E1526" s="564">
        <v>24</v>
      </c>
      <c r="F1526" s="565" t="s">
        <v>64</v>
      </c>
      <c r="G1526" s="563" t="s">
        <v>209</v>
      </c>
      <c r="H1526" s="563" t="s">
        <v>212</v>
      </c>
      <c r="I1526" s="566">
        <v>30500000</v>
      </c>
    </row>
    <row r="1527" spans="1:9" ht="16" x14ac:dyDescent="0.2">
      <c r="A1527" s="567">
        <v>46077</v>
      </c>
      <c r="B1527" s="568">
        <v>2026</v>
      </c>
      <c r="C1527" s="569">
        <v>2</v>
      </c>
      <c r="D1527" s="570">
        <v>9</v>
      </c>
      <c r="E1527" s="570">
        <v>24</v>
      </c>
      <c r="F1527" s="571" t="s">
        <v>237</v>
      </c>
      <c r="G1527" s="569" t="s">
        <v>209</v>
      </c>
      <c r="H1527" s="569" t="s">
        <v>212</v>
      </c>
      <c r="I1527" s="572">
        <v>0</v>
      </c>
    </row>
    <row r="1528" spans="1:9" ht="16" x14ac:dyDescent="0.2">
      <c r="A1528" s="561">
        <v>46077</v>
      </c>
      <c r="B1528" s="562">
        <v>2026</v>
      </c>
      <c r="C1528" s="563">
        <v>2</v>
      </c>
      <c r="D1528" s="564">
        <v>9</v>
      </c>
      <c r="E1528" s="564">
        <v>24</v>
      </c>
      <c r="F1528" s="565" t="s">
        <v>11</v>
      </c>
      <c r="G1528" s="563" t="s">
        <v>11</v>
      </c>
      <c r="H1528" s="563" t="s">
        <v>212</v>
      </c>
      <c r="I1528" s="566">
        <v>10193390000</v>
      </c>
    </row>
    <row r="1529" spans="1:9" ht="16" x14ac:dyDescent="0.2">
      <c r="A1529" s="567">
        <v>46077</v>
      </c>
      <c r="B1529" s="568">
        <v>2026</v>
      </c>
      <c r="C1529" s="569">
        <v>2</v>
      </c>
      <c r="D1529" s="570">
        <v>9</v>
      </c>
      <c r="E1529" s="570">
        <v>24</v>
      </c>
      <c r="F1529" s="571" t="s">
        <v>221</v>
      </c>
      <c r="G1529" s="569" t="s">
        <v>207</v>
      </c>
      <c r="H1529" s="569" t="s">
        <v>212</v>
      </c>
      <c r="I1529" s="572">
        <v>0</v>
      </c>
    </row>
    <row r="1530" spans="1:9" ht="16" x14ac:dyDescent="0.2">
      <c r="A1530" s="561">
        <v>46077</v>
      </c>
      <c r="B1530" s="562">
        <v>2026</v>
      </c>
      <c r="C1530" s="563">
        <v>2</v>
      </c>
      <c r="D1530" s="564">
        <v>9</v>
      </c>
      <c r="E1530" s="564">
        <v>24</v>
      </c>
      <c r="F1530" s="565" t="s">
        <v>222</v>
      </c>
      <c r="G1530" s="563" t="s">
        <v>207</v>
      </c>
      <c r="H1530" s="563" t="s">
        <v>212</v>
      </c>
      <c r="I1530" s="566">
        <v>0</v>
      </c>
    </row>
    <row r="1531" spans="1:9" ht="16" x14ac:dyDescent="0.2">
      <c r="A1531" s="567">
        <v>46077</v>
      </c>
      <c r="B1531" s="568">
        <v>2026</v>
      </c>
      <c r="C1531" s="569">
        <v>2</v>
      </c>
      <c r="D1531" s="570">
        <v>9</v>
      </c>
      <c r="E1531" s="570">
        <v>24</v>
      </c>
      <c r="F1531" s="571" t="s">
        <v>223</v>
      </c>
      <c r="G1531" s="569" t="s">
        <v>207</v>
      </c>
      <c r="H1531" s="569" t="s">
        <v>212</v>
      </c>
      <c r="I1531" s="572">
        <v>0</v>
      </c>
    </row>
    <row r="1532" spans="1:9" ht="16" x14ac:dyDescent="0.2">
      <c r="A1532" s="561">
        <v>46077</v>
      </c>
      <c r="B1532" s="562">
        <v>2026</v>
      </c>
      <c r="C1532" s="563">
        <v>2</v>
      </c>
      <c r="D1532" s="564">
        <v>9</v>
      </c>
      <c r="E1532" s="564">
        <v>24</v>
      </c>
      <c r="F1532" s="565" t="s">
        <v>219</v>
      </c>
      <c r="G1532" s="563" t="s">
        <v>11</v>
      </c>
      <c r="H1532" s="563" t="s">
        <v>212</v>
      </c>
      <c r="I1532" s="566">
        <v>0</v>
      </c>
    </row>
    <row r="1533" spans="1:9" ht="16" x14ac:dyDescent="0.2">
      <c r="A1533" s="567">
        <v>46077</v>
      </c>
      <c r="B1533" s="568">
        <v>2026</v>
      </c>
      <c r="C1533" s="569">
        <v>2</v>
      </c>
      <c r="D1533" s="570">
        <v>9</v>
      </c>
      <c r="E1533" s="570">
        <v>24</v>
      </c>
      <c r="F1533" s="571" t="s">
        <v>19</v>
      </c>
      <c r="G1533" s="569" t="s">
        <v>19</v>
      </c>
      <c r="H1533" s="569" t="s">
        <v>214</v>
      </c>
      <c r="I1533" s="572">
        <v>9525708000</v>
      </c>
    </row>
    <row r="1534" spans="1:9" ht="16" x14ac:dyDescent="0.2">
      <c r="A1534" s="561">
        <v>46077</v>
      </c>
      <c r="B1534" s="562">
        <v>2026</v>
      </c>
      <c r="C1534" s="563">
        <v>2</v>
      </c>
      <c r="D1534" s="564">
        <v>9</v>
      </c>
      <c r="E1534" s="564">
        <v>24</v>
      </c>
      <c r="F1534" s="565" t="s">
        <v>62</v>
      </c>
      <c r="G1534" s="563" t="s">
        <v>62</v>
      </c>
      <c r="H1534" s="563" t="s">
        <v>216</v>
      </c>
      <c r="I1534" s="566">
        <v>162284261</v>
      </c>
    </row>
    <row r="1535" spans="1:9" ht="16" x14ac:dyDescent="0.2">
      <c r="A1535" s="567">
        <v>46077</v>
      </c>
      <c r="B1535" s="568">
        <v>2026</v>
      </c>
      <c r="C1535" s="569">
        <v>2</v>
      </c>
      <c r="D1535" s="570">
        <v>9</v>
      </c>
      <c r="E1535" s="570">
        <v>24</v>
      </c>
      <c r="F1535" s="571" t="s">
        <v>58</v>
      </c>
      <c r="G1535" s="569" t="s">
        <v>58</v>
      </c>
      <c r="H1535" s="569" t="s">
        <v>212</v>
      </c>
      <c r="I1535" s="572">
        <v>42000000</v>
      </c>
    </row>
    <row r="1536" spans="1:9" ht="16" x14ac:dyDescent="0.2">
      <c r="A1536" s="561">
        <v>46077</v>
      </c>
      <c r="B1536" s="562">
        <v>2026</v>
      </c>
      <c r="C1536" s="563">
        <v>2</v>
      </c>
      <c r="D1536" s="564">
        <v>9</v>
      </c>
      <c r="E1536" s="564">
        <v>24</v>
      </c>
      <c r="F1536" s="565" t="s">
        <v>61</v>
      </c>
      <c r="G1536" s="563" t="s">
        <v>61</v>
      </c>
      <c r="H1536" s="563" t="s">
        <v>214</v>
      </c>
      <c r="I1536" s="566">
        <v>55000000</v>
      </c>
    </row>
    <row r="1537" spans="1:9" ht="16" x14ac:dyDescent="0.2">
      <c r="A1537" s="567">
        <v>46077</v>
      </c>
      <c r="B1537" s="568">
        <v>2026</v>
      </c>
      <c r="C1537" s="569">
        <v>2</v>
      </c>
      <c r="D1537" s="570">
        <v>9</v>
      </c>
      <c r="E1537" s="570">
        <v>24</v>
      </c>
      <c r="F1537" s="571" t="s">
        <v>57</v>
      </c>
      <c r="G1537" s="569" t="s">
        <v>57</v>
      </c>
      <c r="H1537" s="569" t="s">
        <v>212</v>
      </c>
      <c r="I1537" s="572">
        <v>831980000</v>
      </c>
    </row>
    <row r="1538" spans="1:9" ht="16" x14ac:dyDescent="0.2">
      <c r="A1538" s="561">
        <v>46077</v>
      </c>
      <c r="B1538" s="562">
        <v>2026</v>
      </c>
      <c r="C1538" s="563">
        <v>2</v>
      </c>
      <c r="D1538" s="564">
        <v>9</v>
      </c>
      <c r="E1538" s="564">
        <v>24</v>
      </c>
      <c r="F1538" s="565" t="s">
        <v>63</v>
      </c>
      <c r="G1538" s="563" t="s">
        <v>63</v>
      </c>
      <c r="H1538" s="563" t="s">
        <v>214</v>
      </c>
      <c r="I1538" s="566">
        <v>341280000</v>
      </c>
    </row>
    <row r="1539" spans="1:9" ht="16" x14ac:dyDescent="0.2">
      <c r="A1539" s="567">
        <v>46077</v>
      </c>
      <c r="B1539" s="568">
        <v>2026</v>
      </c>
      <c r="C1539" s="569">
        <v>2</v>
      </c>
      <c r="D1539" s="570">
        <v>9</v>
      </c>
      <c r="E1539" s="570">
        <v>24</v>
      </c>
      <c r="F1539" s="571" t="s">
        <v>59</v>
      </c>
      <c r="G1539" s="569" t="s">
        <v>59</v>
      </c>
      <c r="H1539" s="569" t="s">
        <v>216</v>
      </c>
      <c r="I1539" s="572">
        <v>339130789</v>
      </c>
    </row>
    <row r="1540" spans="1:9" ht="16" x14ac:dyDescent="0.2">
      <c r="A1540" s="561">
        <v>46077</v>
      </c>
      <c r="B1540" s="562">
        <v>2026</v>
      </c>
      <c r="C1540" s="563">
        <v>2</v>
      </c>
      <c r="D1540" s="564">
        <v>9</v>
      </c>
      <c r="E1540" s="564">
        <v>24</v>
      </c>
      <c r="F1540" s="565" t="s">
        <v>31</v>
      </c>
      <c r="G1540" s="563" t="s">
        <v>175</v>
      </c>
      <c r="H1540" s="563" t="s">
        <v>212</v>
      </c>
      <c r="I1540" s="566">
        <v>2192730000</v>
      </c>
    </row>
    <row r="1541" spans="1:9" ht="16" x14ac:dyDescent="0.2">
      <c r="A1541" s="567">
        <v>46077</v>
      </c>
      <c r="B1541" s="568">
        <v>2026</v>
      </c>
      <c r="C1541" s="569">
        <v>2</v>
      </c>
      <c r="D1541" s="570">
        <v>9</v>
      </c>
      <c r="E1541" s="570">
        <v>24</v>
      </c>
      <c r="F1541" s="571" t="s">
        <v>234</v>
      </c>
      <c r="G1541" s="569" t="s">
        <v>210</v>
      </c>
      <c r="H1541" s="569" t="s">
        <v>214</v>
      </c>
      <c r="I1541" s="572">
        <v>366120000</v>
      </c>
    </row>
    <row r="1542" spans="1:9" ht="16" x14ac:dyDescent="0.2">
      <c r="A1542" s="561">
        <v>46078</v>
      </c>
      <c r="B1542" s="562">
        <v>2026</v>
      </c>
      <c r="C1542" s="563">
        <v>2</v>
      </c>
      <c r="D1542" s="564">
        <v>9</v>
      </c>
      <c r="E1542" s="564">
        <v>25</v>
      </c>
      <c r="F1542" s="565" t="s">
        <v>65</v>
      </c>
      <c r="G1542" s="563" t="s">
        <v>65</v>
      </c>
      <c r="H1542" s="563" t="s">
        <v>212</v>
      </c>
      <c r="I1542" s="566">
        <v>269850000</v>
      </c>
    </row>
    <row r="1543" spans="1:9" ht="16" x14ac:dyDescent="0.2">
      <c r="A1543" s="567">
        <v>46078</v>
      </c>
      <c r="B1543" s="568">
        <v>2026</v>
      </c>
      <c r="C1543" s="569">
        <v>2</v>
      </c>
      <c r="D1543" s="570">
        <v>9</v>
      </c>
      <c r="E1543" s="570">
        <v>25</v>
      </c>
      <c r="F1543" s="571" t="s">
        <v>66</v>
      </c>
      <c r="G1543" s="569" t="s">
        <v>66</v>
      </c>
      <c r="H1543" s="569" t="s">
        <v>216</v>
      </c>
      <c r="I1543" s="572">
        <v>295929344</v>
      </c>
    </row>
    <row r="1544" spans="1:9" ht="16" x14ac:dyDescent="0.2">
      <c r="A1544" s="561">
        <v>46078</v>
      </c>
      <c r="B1544" s="562">
        <v>2026</v>
      </c>
      <c r="C1544" s="563">
        <v>2</v>
      </c>
      <c r="D1544" s="564">
        <v>9</v>
      </c>
      <c r="E1544" s="564">
        <v>25</v>
      </c>
      <c r="F1544" s="565" t="s">
        <v>24</v>
      </c>
      <c r="G1544" s="563" t="s">
        <v>24</v>
      </c>
      <c r="H1544" s="563" t="s">
        <v>212</v>
      </c>
      <c r="I1544" s="566">
        <v>9953570000</v>
      </c>
    </row>
    <row r="1545" spans="1:9" ht="16" x14ac:dyDescent="0.2">
      <c r="A1545" s="567">
        <v>46078</v>
      </c>
      <c r="B1545" s="568">
        <v>2026</v>
      </c>
      <c r="C1545" s="569">
        <v>2</v>
      </c>
      <c r="D1545" s="570">
        <v>9</v>
      </c>
      <c r="E1545" s="570">
        <v>25</v>
      </c>
      <c r="F1545" s="571" t="s">
        <v>67</v>
      </c>
      <c r="G1545" s="569" t="s">
        <v>67</v>
      </c>
      <c r="H1545" s="569" t="s">
        <v>213</v>
      </c>
      <c r="I1545" s="572">
        <v>2079070507</v>
      </c>
    </row>
    <row r="1546" spans="1:9" ht="16" x14ac:dyDescent="0.2">
      <c r="A1546" s="561">
        <v>46078</v>
      </c>
      <c r="B1546" s="562">
        <v>2026</v>
      </c>
      <c r="C1546" s="563">
        <v>2</v>
      </c>
      <c r="D1546" s="564">
        <v>9</v>
      </c>
      <c r="E1546" s="564">
        <v>25</v>
      </c>
      <c r="F1546" s="565" t="s">
        <v>28</v>
      </c>
      <c r="G1546" s="563" t="s">
        <v>28</v>
      </c>
      <c r="H1546" s="563" t="s">
        <v>214</v>
      </c>
      <c r="I1546" s="566">
        <v>13688676000</v>
      </c>
    </row>
    <row r="1547" spans="1:9" ht="16" x14ac:dyDescent="0.2">
      <c r="A1547" s="567">
        <v>46078</v>
      </c>
      <c r="B1547" s="568">
        <v>2026</v>
      </c>
      <c r="C1547" s="569">
        <v>2</v>
      </c>
      <c r="D1547" s="570">
        <v>9</v>
      </c>
      <c r="E1547" s="570">
        <v>25</v>
      </c>
      <c r="F1547" s="571" t="s">
        <v>208</v>
      </c>
      <c r="G1547" s="569" t="s">
        <v>208</v>
      </c>
      <c r="H1547" s="569" t="s">
        <v>216</v>
      </c>
      <c r="I1547" s="572">
        <v>12319883</v>
      </c>
    </row>
    <row r="1548" spans="1:9" ht="16" x14ac:dyDescent="0.2">
      <c r="A1548" s="561">
        <v>46078</v>
      </c>
      <c r="B1548" s="562">
        <v>2026</v>
      </c>
      <c r="C1548" s="563">
        <v>2</v>
      </c>
      <c r="D1548" s="564">
        <v>9</v>
      </c>
      <c r="E1548" s="564">
        <v>25</v>
      </c>
      <c r="F1548" s="565" t="s">
        <v>60</v>
      </c>
      <c r="G1548" s="563" t="s">
        <v>60</v>
      </c>
      <c r="H1548" s="563" t="s">
        <v>212</v>
      </c>
      <c r="I1548" s="566">
        <v>0</v>
      </c>
    </row>
    <row r="1549" spans="1:9" ht="16" x14ac:dyDescent="0.2">
      <c r="A1549" s="567">
        <v>46078</v>
      </c>
      <c r="B1549" s="568">
        <v>2026</v>
      </c>
      <c r="C1549" s="569">
        <v>2</v>
      </c>
      <c r="D1549" s="570">
        <v>9</v>
      </c>
      <c r="E1549" s="570">
        <v>25</v>
      </c>
      <c r="F1549" s="571" t="s">
        <v>36</v>
      </c>
      <c r="G1549" s="569" t="s">
        <v>36</v>
      </c>
      <c r="H1549" s="569" t="s">
        <v>212</v>
      </c>
      <c r="I1549" s="572">
        <v>2727830000</v>
      </c>
    </row>
    <row r="1550" spans="1:9" ht="16" x14ac:dyDescent="0.2">
      <c r="A1550" s="561">
        <v>46078</v>
      </c>
      <c r="B1550" s="562">
        <v>2026</v>
      </c>
      <c r="C1550" s="563">
        <v>2</v>
      </c>
      <c r="D1550" s="564">
        <v>9</v>
      </c>
      <c r="E1550" s="564">
        <v>25</v>
      </c>
      <c r="F1550" s="565" t="s">
        <v>55</v>
      </c>
      <c r="G1550" s="563" t="s">
        <v>36</v>
      </c>
      <c r="H1550" s="563" t="s">
        <v>212</v>
      </c>
      <c r="I1550" s="566">
        <v>949020000</v>
      </c>
    </row>
    <row r="1551" spans="1:9" ht="16" x14ac:dyDescent="0.2">
      <c r="A1551" s="567">
        <v>46078</v>
      </c>
      <c r="B1551" s="568">
        <v>2026</v>
      </c>
      <c r="C1551" s="569">
        <v>2</v>
      </c>
      <c r="D1551" s="570">
        <v>9</v>
      </c>
      <c r="E1551" s="570">
        <v>25</v>
      </c>
      <c r="F1551" s="571" t="s">
        <v>176</v>
      </c>
      <c r="G1551" s="569" t="s">
        <v>176</v>
      </c>
      <c r="H1551" s="569" t="s">
        <v>216</v>
      </c>
      <c r="I1551" s="572">
        <v>33547368</v>
      </c>
    </row>
    <row r="1552" spans="1:9" ht="16" x14ac:dyDescent="0.2">
      <c r="A1552" s="561">
        <v>46078</v>
      </c>
      <c r="B1552" s="562">
        <v>2026</v>
      </c>
      <c r="C1552" s="563">
        <v>2</v>
      </c>
      <c r="D1552" s="564">
        <v>9</v>
      </c>
      <c r="E1552" s="564">
        <v>25</v>
      </c>
      <c r="F1552" s="565" t="s">
        <v>39</v>
      </c>
      <c r="G1552" s="563" t="s">
        <v>176</v>
      </c>
      <c r="H1552" s="563" t="s">
        <v>216</v>
      </c>
      <c r="I1552" s="566">
        <v>938990697</v>
      </c>
    </row>
    <row r="1553" spans="1:9" ht="16" x14ac:dyDescent="0.2">
      <c r="A1553" s="567">
        <v>46078</v>
      </c>
      <c r="B1553" s="568">
        <v>2026</v>
      </c>
      <c r="C1553" s="569">
        <v>2</v>
      </c>
      <c r="D1553" s="570">
        <v>9</v>
      </c>
      <c r="E1553" s="570">
        <v>25</v>
      </c>
      <c r="F1553" s="571" t="s">
        <v>206</v>
      </c>
      <c r="G1553" s="569" t="s">
        <v>206</v>
      </c>
      <c r="H1553" s="569" t="s">
        <v>212</v>
      </c>
      <c r="I1553" s="572">
        <v>0</v>
      </c>
    </row>
    <row r="1554" spans="1:9" ht="16" x14ac:dyDescent="0.2">
      <c r="A1554" s="561">
        <v>46078</v>
      </c>
      <c r="B1554" s="562">
        <v>2026</v>
      </c>
      <c r="C1554" s="563">
        <v>2</v>
      </c>
      <c r="D1554" s="564">
        <v>9</v>
      </c>
      <c r="E1554" s="564">
        <v>25</v>
      </c>
      <c r="F1554" s="565" t="s">
        <v>64</v>
      </c>
      <c r="G1554" s="563" t="s">
        <v>209</v>
      </c>
      <c r="H1554" s="563" t="s">
        <v>212</v>
      </c>
      <c r="I1554" s="566">
        <v>72500000</v>
      </c>
    </row>
    <row r="1555" spans="1:9" ht="16" x14ac:dyDescent="0.2">
      <c r="A1555" s="567">
        <v>46078</v>
      </c>
      <c r="B1555" s="568">
        <v>2026</v>
      </c>
      <c r="C1555" s="569">
        <v>2</v>
      </c>
      <c r="D1555" s="570">
        <v>9</v>
      </c>
      <c r="E1555" s="570">
        <v>25</v>
      </c>
      <c r="F1555" s="571" t="s">
        <v>237</v>
      </c>
      <c r="G1555" s="569" t="s">
        <v>209</v>
      </c>
      <c r="H1555" s="569" t="s">
        <v>212</v>
      </c>
      <c r="I1555" s="572">
        <v>0</v>
      </c>
    </row>
    <row r="1556" spans="1:9" ht="16" x14ac:dyDescent="0.2">
      <c r="A1556" s="561">
        <v>46078</v>
      </c>
      <c r="B1556" s="562">
        <v>2026</v>
      </c>
      <c r="C1556" s="563">
        <v>2</v>
      </c>
      <c r="D1556" s="564">
        <v>9</v>
      </c>
      <c r="E1556" s="564">
        <v>25</v>
      </c>
      <c r="F1556" s="565" t="s">
        <v>11</v>
      </c>
      <c r="G1556" s="563" t="s">
        <v>11</v>
      </c>
      <c r="H1556" s="563" t="s">
        <v>212</v>
      </c>
      <c r="I1556" s="566">
        <v>10302190000</v>
      </c>
    </row>
    <row r="1557" spans="1:9" ht="16" x14ac:dyDescent="0.2">
      <c r="A1557" s="567">
        <v>46078</v>
      </c>
      <c r="B1557" s="568">
        <v>2026</v>
      </c>
      <c r="C1557" s="569">
        <v>2</v>
      </c>
      <c r="D1557" s="570">
        <v>9</v>
      </c>
      <c r="E1557" s="570">
        <v>25</v>
      </c>
      <c r="F1557" s="571" t="s">
        <v>221</v>
      </c>
      <c r="G1557" s="569" t="s">
        <v>207</v>
      </c>
      <c r="H1557" s="569" t="s">
        <v>212</v>
      </c>
      <c r="I1557" s="572">
        <v>0</v>
      </c>
    </row>
    <row r="1558" spans="1:9" ht="16" x14ac:dyDescent="0.2">
      <c r="A1558" s="561">
        <v>46078</v>
      </c>
      <c r="B1558" s="562">
        <v>2026</v>
      </c>
      <c r="C1558" s="563">
        <v>2</v>
      </c>
      <c r="D1558" s="564">
        <v>9</v>
      </c>
      <c r="E1558" s="564">
        <v>25</v>
      </c>
      <c r="F1558" s="565" t="s">
        <v>222</v>
      </c>
      <c r="G1558" s="563" t="s">
        <v>207</v>
      </c>
      <c r="H1558" s="563" t="s">
        <v>212</v>
      </c>
      <c r="I1558" s="566">
        <v>0</v>
      </c>
    </row>
    <row r="1559" spans="1:9" ht="16" x14ac:dyDescent="0.2">
      <c r="A1559" s="567">
        <v>46078</v>
      </c>
      <c r="B1559" s="568">
        <v>2026</v>
      </c>
      <c r="C1559" s="569">
        <v>2</v>
      </c>
      <c r="D1559" s="570">
        <v>9</v>
      </c>
      <c r="E1559" s="570">
        <v>25</v>
      </c>
      <c r="F1559" s="571" t="s">
        <v>223</v>
      </c>
      <c r="G1559" s="569" t="s">
        <v>207</v>
      </c>
      <c r="H1559" s="569" t="s">
        <v>212</v>
      </c>
      <c r="I1559" s="572">
        <v>0</v>
      </c>
    </row>
    <row r="1560" spans="1:9" ht="16" x14ac:dyDescent="0.2">
      <c r="A1560" s="561">
        <v>46078</v>
      </c>
      <c r="B1560" s="562">
        <v>2026</v>
      </c>
      <c r="C1560" s="563">
        <v>2</v>
      </c>
      <c r="D1560" s="564">
        <v>9</v>
      </c>
      <c r="E1560" s="564">
        <v>25</v>
      </c>
      <c r="F1560" s="565" t="s">
        <v>219</v>
      </c>
      <c r="G1560" s="563" t="s">
        <v>11</v>
      </c>
      <c r="H1560" s="563" t="s">
        <v>212</v>
      </c>
      <c r="I1560" s="566">
        <v>0</v>
      </c>
    </row>
    <row r="1561" spans="1:9" ht="16" x14ac:dyDescent="0.2">
      <c r="A1561" s="567">
        <v>46078</v>
      </c>
      <c r="B1561" s="568">
        <v>2026</v>
      </c>
      <c r="C1561" s="569">
        <v>2</v>
      </c>
      <c r="D1561" s="570">
        <v>9</v>
      </c>
      <c r="E1561" s="570">
        <v>25</v>
      </c>
      <c r="F1561" s="571" t="s">
        <v>19</v>
      </c>
      <c r="G1561" s="569" t="s">
        <v>19</v>
      </c>
      <c r="H1561" s="569" t="s">
        <v>214</v>
      </c>
      <c r="I1561" s="572">
        <v>10211292000</v>
      </c>
    </row>
    <row r="1562" spans="1:9" ht="16" x14ac:dyDescent="0.2">
      <c r="A1562" s="561">
        <v>46078</v>
      </c>
      <c r="B1562" s="562">
        <v>2026</v>
      </c>
      <c r="C1562" s="563">
        <v>2</v>
      </c>
      <c r="D1562" s="564">
        <v>9</v>
      </c>
      <c r="E1562" s="564">
        <v>25</v>
      </c>
      <c r="F1562" s="565" t="s">
        <v>62</v>
      </c>
      <c r="G1562" s="563" t="s">
        <v>62</v>
      </c>
      <c r="H1562" s="563" t="s">
        <v>216</v>
      </c>
      <c r="I1562" s="566">
        <v>175329420</v>
      </c>
    </row>
    <row r="1563" spans="1:9" ht="16" x14ac:dyDescent="0.2">
      <c r="A1563" s="567">
        <v>46078</v>
      </c>
      <c r="B1563" s="568">
        <v>2026</v>
      </c>
      <c r="C1563" s="569">
        <v>2</v>
      </c>
      <c r="D1563" s="570">
        <v>9</v>
      </c>
      <c r="E1563" s="570">
        <v>25</v>
      </c>
      <c r="F1563" s="571" t="s">
        <v>58</v>
      </c>
      <c r="G1563" s="569" t="s">
        <v>58</v>
      </c>
      <c r="H1563" s="569" t="s">
        <v>212</v>
      </c>
      <c r="I1563" s="572">
        <v>42000000</v>
      </c>
    </row>
    <row r="1564" spans="1:9" ht="16" x14ac:dyDescent="0.2">
      <c r="A1564" s="561">
        <v>46078</v>
      </c>
      <c r="B1564" s="562">
        <v>2026</v>
      </c>
      <c r="C1564" s="563">
        <v>2</v>
      </c>
      <c r="D1564" s="564">
        <v>9</v>
      </c>
      <c r="E1564" s="564">
        <v>25</v>
      </c>
      <c r="F1564" s="565" t="s">
        <v>61</v>
      </c>
      <c r="G1564" s="563" t="s">
        <v>61</v>
      </c>
      <c r="H1564" s="563" t="s">
        <v>214</v>
      </c>
      <c r="I1564" s="566">
        <v>51000000</v>
      </c>
    </row>
    <row r="1565" spans="1:9" ht="16" x14ac:dyDescent="0.2">
      <c r="A1565" s="567">
        <v>46078</v>
      </c>
      <c r="B1565" s="568">
        <v>2026</v>
      </c>
      <c r="C1565" s="569">
        <v>2</v>
      </c>
      <c r="D1565" s="570">
        <v>9</v>
      </c>
      <c r="E1565" s="570">
        <v>25</v>
      </c>
      <c r="F1565" s="571" t="s">
        <v>57</v>
      </c>
      <c r="G1565" s="569" t="s">
        <v>57</v>
      </c>
      <c r="H1565" s="569" t="s">
        <v>212</v>
      </c>
      <c r="I1565" s="572">
        <v>504460000</v>
      </c>
    </row>
    <row r="1566" spans="1:9" ht="16" x14ac:dyDescent="0.2">
      <c r="A1566" s="561">
        <v>46078</v>
      </c>
      <c r="B1566" s="562">
        <v>2026</v>
      </c>
      <c r="C1566" s="563">
        <v>2</v>
      </c>
      <c r="D1566" s="564">
        <v>9</v>
      </c>
      <c r="E1566" s="564">
        <v>25</v>
      </c>
      <c r="F1566" s="565" t="s">
        <v>63</v>
      </c>
      <c r="G1566" s="563" t="s">
        <v>63</v>
      </c>
      <c r="H1566" s="563" t="s">
        <v>214</v>
      </c>
      <c r="I1566" s="566">
        <v>285336000</v>
      </c>
    </row>
    <row r="1567" spans="1:9" ht="16" x14ac:dyDescent="0.2">
      <c r="A1567" s="567">
        <v>46078</v>
      </c>
      <c r="B1567" s="568">
        <v>2026</v>
      </c>
      <c r="C1567" s="569">
        <v>2</v>
      </c>
      <c r="D1567" s="570">
        <v>9</v>
      </c>
      <c r="E1567" s="570">
        <v>25</v>
      </c>
      <c r="F1567" s="571" t="s">
        <v>59</v>
      </c>
      <c r="G1567" s="569" t="s">
        <v>59</v>
      </c>
      <c r="H1567" s="569" t="s">
        <v>216</v>
      </c>
      <c r="I1567" s="572">
        <v>352897049</v>
      </c>
    </row>
    <row r="1568" spans="1:9" ht="16" x14ac:dyDescent="0.2">
      <c r="A1568" s="561">
        <v>46078</v>
      </c>
      <c r="B1568" s="562">
        <v>2026</v>
      </c>
      <c r="C1568" s="563">
        <v>2</v>
      </c>
      <c r="D1568" s="564">
        <v>9</v>
      </c>
      <c r="E1568" s="564">
        <v>25</v>
      </c>
      <c r="F1568" s="565" t="s">
        <v>31</v>
      </c>
      <c r="G1568" s="563" t="s">
        <v>175</v>
      </c>
      <c r="H1568" s="563" t="s">
        <v>212</v>
      </c>
      <c r="I1568" s="566">
        <v>2264870000</v>
      </c>
    </row>
    <row r="1569" spans="1:9" ht="16" x14ac:dyDescent="0.2">
      <c r="A1569" s="567">
        <v>46078</v>
      </c>
      <c r="B1569" s="568">
        <v>2026</v>
      </c>
      <c r="C1569" s="569">
        <v>2</v>
      </c>
      <c r="D1569" s="570">
        <v>9</v>
      </c>
      <c r="E1569" s="570">
        <v>25</v>
      </c>
      <c r="F1569" s="571" t="s">
        <v>234</v>
      </c>
      <c r="G1569" s="569" t="s">
        <v>210</v>
      </c>
      <c r="H1569" s="569" t="s">
        <v>214</v>
      </c>
      <c r="I1569" s="572">
        <v>401760000</v>
      </c>
    </row>
    <row r="1570" spans="1:9" ht="16" x14ac:dyDescent="0.2">
      <c r="A1570" s="561">
        <v>46079</v>
      </c>
      <c r="B1570" s="562">
        <v>2026</v>
      </c>
      <c r="C1570" s="563">
        <v>2</v>
      </c>
      <c r="D1570" s="564">
        <v>9</v>
      </c>
      <c r="E1570" s="564">
        <v>26</v>
      </c>
      <c r="F1570" s="565" t="s">
        <v>65</v>
      </c>
      <c r="G1570" s="563" t="s">
        <v>65</v>
      </c>
      <c r="H1570" s="563" t="s">
        <v>212</v>
      </c>
      <c r="I1570" s="566">
        <v>438300000</v>
      </c>
    </row>
    <row r="1571" spans="1:9" ht="16" x14ac:dyDescent="0.2">
      <c r="A1571" s="567">
        <v>46079</v>
      </c>
      <c r="B1571" s="568">
        <v>2026</v>
      </c>
      <c r="C1571" s="569">
        <v>2</v>
      </c>
      <c r="D1571" s="570">
        <v>9</v>
      </c>
      <c r="E1571" s="570">
        <v>26</v>
      </c>
      <c r="F1571" s="571" t="s">
        <v>66</v>
      </c>
      <c r="G1571" s="569" t="s">
        <v>66</v>
      </c>
      <c r="H1571" s="569" t="s">
        <v>216</v>
      </c>
      <c r="I1571" s="572">
        <v>320224994</v>
      </c>
    </row>
    <row r="1572" spans="1:9" ht="16" x14ac:dyDescent="0.2">
      <c r="A1572" s="561">
        <v>46079</v>
      </c>
      <c r="B1572" s="562">
        <v>2026</v>
      </c>
      <c r="C1572" s="563">
        <v>2</v>
      </c>
      <c r="D1572" s="564">
        <v>9</v>
      </c>
      <c r="E1572" s="564">
        <v>26</v>
      </c>
      <c r="F1572" s="565" t="s">
        <v>24</v>
      </c>
      <c r="G1572" s="563" t="s">
        <v>24</v>
      </c>
      <c r="H1572" s="563" t="s">
        <v>212</v>
      </c>
      <c r="I1572" s="566">
        <v>8898300000</v>
      </c>
    </row>
    <row r="1573" spans="1:9" ht="16" x14ac:dyDescent="0.2">
      <c r="A1573" s="567">
        <v>46079</v>
      </c>
      <c r="B1573" s="568">
        <v>2026</v>
      </c>
      <c r="C1573" s="569">
        <v>2</v>
      </c>
      <c r="D1573" s="570">
        <v>9</v>
      </c>
      <c r="E1573" s="570">
        <v>26</v>
      </c>
      <c r="F1573" s="571" t="s">
        <v>67</v>
      </c>
      <c r="G1573" s="569" t="s">
        <v>67</v>
      </c>
      <c r="H1573" s="569" t="s">
        <v>213</v>
      </c>
      <c r="I1573" s="572">
        <v>1709680434</v>
      </c>
    </row>
    <row r="1574" spans="1:9" ht="16" x14ac:dyDescent="0.2">
      <c r="A1574" s="561">
        <v>46079</v>
      </c>
      <c r="B1574" s="562">
        <v>2026</v>
      </c>
      <c r="C1574" s="563">
        <v>2</v>
      </c>
      <c r="D1574" s="564">
        <v>9</v>
      </c>
      <c r="E1574" s="564">
        <v>26</v>
      </c>
      <c r="F1574" s="565" t="s">
        <v>28</v>
      </c>
      <c r="G1574" s="563" t="s">
        <v>28</v>
      </c>
      <c r="H1574" s="563" t="s">
        <v>214</v>
      </c>
      <c r="I1574" s="566">
        <v>12725100000</v>
      </c>
    </row>
    <row r="1575" spans="1:9" ht="16" x14ac:dyDescent="0.2">
      <c r="A1575" s="567">
        <v>46079</v>
      </c>
      <c r="B1575" s="568">
        <v>2026</v>
      </c>
      <c r="C1575" s="569">
        <v>2</v>
      </c>
      <c r="D1575" s="570">
        <v>9</v>
      </c>
      <c r="E1575" s="570">
        <v>26</v>
      </c>
      <c r="F1575" s="571" t="s">
        <v>208</v>
      </c>
      <c r="G1575" s="569" t="s">
        <v>208</v>
      </c>
      <c r="H1575" s="569" t="s">
        <v>216</v>
      </c>
      <c r="I1575" s="572">
        <v>12107317</v>
      </c>
    </row>
    <row r="1576" spans="1:9" ht="16" x14ac:dyDescent="0.2">
      <c r="A1576" s="561">
        <v>46079</v>
      </c>
      <c r="B1576" s="562">
        <v>2026</v>
      </c>
      <c r="C1576" s="563">
        <v>2</v>
      </c>
      <c r="D1576" s="564">
        <v>9</v>
      </c>
      <c r="E1576" s="564">
        <v>26</v>
      </c>
      <c r="F1576" s="565" t="s">
        <v>60</v>
      </c>
      <c r="G1576" s="563" t="s">
        <v>60</v>
      </c>
      <c r="H1576" s="563" t="s">
        <v>212</v>
      </c>
      <c r="I1576" s="566">
        <v>29000000</v>
      </c>
    </row>
    <row r="1577" spans="1:9" ht="16" x14ac:dyDescent="0.2">
      <c r="A1577" s="567">
        <v>46079</v>
      </c>
      <c r="B1577" s="568">
        <v>2026</v>
      </c>
      <c r="C1577" s="569">
        <v>2</v>
      </c>
      <c r="D1577" s="570">
        <v>9</v>
      </c>
      <c r="E1577" s="570">
        <v>26</v>
      </c>
      <c r="F1577" s="571" t="s">
        <v>36</v>
      </c>
      <c r="G1577" s="569" t="s">
        <v>36</v>
      </c>
      <c r="H1577" s="569" t="s">
        <v>212</v>
      </c>
      <c r="I1577" s="572">
        <v>1860980000</v>
      </c>
    </row>
    <row r="1578" spans="1:9" ht="16" x14ac:dyDescent="0.2">
      <c r="A1578" s="561">
        <v>46079</v>
      </c>
      <c r="B1578" s="562">
        <v>2026</v>
      </c>
      <c r="C1578" s="563">
        <v>2</v>
      </c>
      <c r="D1578" s="564">
        <v>9</v>
      </c>
      <c r="E1578" s="564">
        <v>26</v>
      </c>
      <c r="F1578" s="565" t="s">
        <v>55</v>
      </c>
      <c r="G1578" s="563" t="s">
        <v>36</v>
      </c>
      <c r="H1578" s="563" t="s">
        <v>212</v>
      </c>
      <c r="I1578" s="566">
        <v>900790000</v>
      </c>
    </row>
    <row r="1579" spans="1:9" ht="16" x14ac:dyDescent="0.2">
      <c r="A1579" s="567">
        <v>46079</v>
      </c>
      <c r="B1579" s="568">
        <v>2026</v>
      </c>
      <c r="C1579" s="569">
        <v>2</v>
      </c>
      <c r="D1579" s="570">
        <v>9</v>
      </c>
      <c r="E1579" s="570">
        <v>26</v>
      </c>
      <c r="F1579" s="571" t="s">
        <v>176</v>
      </c>
      <c r="G1579" s="569" t="s">
        <v>176</v>
      </c>
      <c r="H1579" s="569" t="s">
        <v>216</v>
      </c>
      <c r="I1579" s="572">
        <v>16838744</v>
      </c>
    </row>
    <row r="1580" spans="1:9" ht="16" x14ac:dyDescent="0.2">
      <c r="A1580" s="561">
        <v>46079</v>
      </c>
      <c r="B1580" s="562">
        <v>2026</v>
      </c>
      <c r="C1580" s="563">
        <v>2</v>
      </c>
      <c r="D1580" s="564">
        <v>9</v>
      </c>
      <c r="E1580" s="564">
        <v>26</v>
      </c>
      <c r="F1580" s="565" t="s">
        <v>39</v>
      </c>
      <c r="G1580" s="563" t="s">
        <v>176</v>
      </c>
      <c r="H1580" s="563" t="s">
        <v>216</v>
      </c>
      <c r="I1580" s="566">
        <v>841888111</v>
      </c>
    </row>
    <row r="1581" spans="1:9" ht="16" x14ac:dyDescent="0.2">
      <c r="A1581" s="567">
        <v>46079</v>
      </c>
      <c r="B1581" s="568">
        <v>2026</v>
      </c>
      <c r="C1581" s="569">
        <v>2</v>
      </c>
      <c r="D1581" s="570">
        <v>9</v>
      </c>
      <c r="E1581" s="570">
        <v>26</v>
      </c>
      <c r="F1581" s="571" t="s">
        <v>206</v>
      </c>
      <c r="G1581" s="569" t="s">
        <v>206</v>
      </c>
      <c r="H1581" s="569" t="s">
        <v>212</v>
      </c>
      <c r="I1581" s="572">
        <v>0</v>
      </c>
    </row>
    <row r="1582" spans="1:9" ht="16" x14ac:dyDescent="0.2">
      <c r="A1582" s="561">
        <v>46079</v>
      </c>
      <c r="B1582" s="562">
        <v>2026</v>
      </c>
      <c r="C1582" s="563">
        <v>2</v>
      </c>
      <c r="D1582" s="564">
        <v>9</v>
      </c>
      <c r="E1582" s="564">
        <v>26</v>
      </c>
      <c r="F1582" s="565" t="s">
        <v>64</v>
      </c>
      <c r="G1582" s="563" t="s">
        <v>209</v>
      </c>
      <c r="H1582" s="563" t="s">
        <v>212</v>
      </c>
      <c r="I1582" s="566">
        <v>41250000</v>
      </c>
    </row>
    <row r="1583" spans="1:9" ht="16" x14ac:dyDescent="0.2">
      <c r="A1583" s="567">
        <v>46079</v>
      </c>
      <c r="B1583" s="568">
        <v>2026</v>
      </c>
      <c r="C1583" s="569">
        <v>2</v>
      </c>
      <c r="D1583" s="570">
        <v>9</v>
      </c>
      <c r="E1583" s="570">
        <v>26</v>
      </c>
      <c r="F1583" s="571" t="s">
        <v>237</v>
      </c>
      <c r="G1583" s="569" t="s">
        <v>209</v>
      </c>
      <c r="H1583" s="569" t="s">
        <v>212</v>
      </c>
      <c r="I1583" s="572">
        <v>0</v>
      </c>
    </row>
    <row r="1584" spans="1:9" ht="16" x14ac:dyDescent="0.2">
      <c r="A1584" s="561">
        <v>46079</v>
      </c>
      <c r="B1584" s="562">
        <v>2026</v>
      </c>
      <c r="C1584" s="563">
        <v>2</v>
      </c>
      <c r="D1584" s="564">
        <v>9</v>
      </c>
      <c r="E1584" s="564">
        <v>26</v>
      </c>
      <c r="F1584" s="565" t="s">
        <v>11</v>
      </c>
      <c r="G1584" s="563" t="s">
        <v>11</v>
      </c>
      <c r="H1584" s="563" t="s">
        <v>212</v>
      </c>
      <c r="I1584" s="566">
        <v>10847910000</v>
      </c>
    </row>
    <row r="1585" spans="1:9" ht="16" x14ac:dyDescent="0.2">
      <c r="A1585" s="567">
        <v>46079</v>
      </c>
      <c r="B1585" s="568">
        <v>2026</v>
      </c>
      <c r="C1585" s="569">
        <v>2</v>
      </c>
      <c r="D1585" s="570">
        <v>9</v>
      </c>
      <c r="E1585" s="570">
        <v>26</v>
      </c>
      <c r="F1585" s="571" t="s">
        <v>221</v>
      </c>
      <c r="G1585" s="569" t="s">
        <v>207</v>
      </c>
      <c r="H1585" s="569" t="s">
        <v>212</v>
      </c>
      <c r="I1585" s="572">
        <v>0</v>
      </c>
    </row>
    <row r="1586" spans="1:9" ht="16" x14ac:dyDescent="0.2">
      <c r="A1586" s="561">
        <v>46079</v>
      </c>
      <c r="B1586" s="562">
        <v>2026</v>
      </c>
      <c r="C1586" s="563">
        <v>2</v>
      </c>
      <c r="D1586" s="564">
        <v>9</v>
      </c>
      <c r="E1586" s="564">
        <v>26</v>
      </c>
      <c r="F1586" s="565" t="s">
        <v>222</v>
      </c>
      <c r="G1586" s="563" t="s">
        <v>207</v>
      </c>
      <c r="H1586" s="563" t="s">
        <v>212</v>
      </c>
      <c r="I1586" s="566">
        <v>0</v>
      </c>
    </row>
    <row r="1587" spans="1:9" ht="16" x14ac:dyDescent="0.2">
      <c r="A1587" s="567">
        <v>46079</v>
      </c>
      <c r="B1587" s="568">
        <v>2026</v>
      </c>
      <c r="C1587" s="569">
        <v>2</v>
      </c>
      <c r="D1587" s="570">
        <v>9</v>
      </c>
      <c r="E1587" s="570">
        <v>26</v>
      </c>
      <c r="F1587" s="571" t="s">
        <v>223</v>
      </c>
      <c r="G1587" s="569" t="s">
        <v>207</v>
      </c>
      <c r="H1587" s="569" t="s">
        <v>212</v>
      </c>
      <c r="I1587" s="572">
        <v>0</v>
      </c>
    </row>
    <row r="1588" spans="1:9" ht="16" x14ac:dyDescent="0.2">
      <c r="A1588" s="561">
        <v>46079</v>
      </c>
      <c r="B1588" s="562">
        <v>2026</v>
      </c>
      <c r="C1588" s="563">
        <v>2</v>
      </c>
      <c r="D1588" s="564">
        <v>9</v>
      </c>
      <c r="E1588" s="564">
        <v>26</v>
      </c>
      <c r="F1588" s="565" t="s">
        <v>219</v>
      </c>
      <c r="G1588" s="563" t="s">
        <v>11</v>
      </c>
      <c r="H1588" s="563" t="s">
        <v>212</v>
      </c>
      <c r="I1588" s="566">
        <v>0</v>
      </c>
    </row>
    <row r="1589" spans="1:9" ht="16" x14ac:dyDescent="0.2">
      <c r="A1589" s="567">
        <v>46079</v>
      </c>
      <c r="B1589" s="568">
        <v>2026</v>
      </c>
      <c r="C1589" s="569">
        <v>2</v>
      </c>
      <c r="D1589" s="570">
        <v>9</v>
      </c>
      <c r="E1589" s="570">
        <v>26</v>
      </c>
      <c r="F1589" s="571" t="s">
        <v>19</v>
      </c>
      <c r="G1589" s="569" t="s">
        <v>19</v>
      </c>
      <c r="H1589" s="569" t="s">
        <v>214</v>
      </c>
      <c r="I1589" s="572">
        <v>9692460000</v>
      </c>
    </row>
    <row r="1590" spans="1:9" ht="16" x14ac:dyDescent="0.2">
      <c r="A1590" s="561">
        <v>46079</v>
      </c>
      <c r="B1590" s="562">
        <v>2026</v>
      </c>
      <c r="C1590" s="563">
        <v>2</v>
      </c>
      <c r="D1590" s="564">
        <v>9</v>
      </c>
      <c r="E1590" s="564">
        <v>26</v>
      </c>
      <c r="F1590" s="565" t="s">
        <v>62</v>
      </c>
      <c r="G1590" s="563" t="s">
        <v>62</v>
      </c>
      <c r="H1590" s="563" t="s">
        <v>216</v>
      </c>
      <c r="I1590" s="566">
        <v>157400360</v>
      </c>
    </row>
    <row r="1591" spans="1:9" ht="16" x14ac:dyDescent="0.2">
      <c r="A1591" s="567">
        <v>46079</v>
      </c>
      <c r="B1591" s="568">
        <v>2026</v>
      </c>
      <c r="C1591" s="569">
        <v>2</v>
      </c>
      <c r="D1591" s="570">
        <v>9</v>
      </c>
      <c r="E1591" s="570">
        <v>26</v>
      </c>
      <c r="F1591" s="571" t="s">
        <v>58</v>
      </c>
      <c r="G1591" s="569" t="s">
        <v>58</v>
      </c>
      <c r="H1591" s="569" t="s">
        <v>212</v>
      </c>
      <c r="I1591" s="572">
        <v>52500000</v>
      </c>
    </row>
    <row r="1592" spans="1:9" ht="16" x14ac:dyDescent="0.2">
      <c r="A1592" s="561">
        <v>46079</v>
      </c>
      <c r="B1592" s="562">
        <v>2026</v>
      </c>
      <c r="C1592" s="563">
        <v>2</v>
      </c>
      <c r="D1592" s="564">
        <v>9</v>
      </c>
      <c r="E1592" s="564">
        <v>26</v>
      </c>
      <c r="F1592" s="565" t="s">
        <v>61</v>
      </c>
      <c r="G1592" s="563" t="s">
        <v>61</v>
      </c>
      <c r="H1592" s="563" t="s">
        <v>214</v>
      </c>
      <c r="I1592" s="566">
        <v>21000000</v>
      </c>
    </row>
    <row r="1593" spans="1:9" ht="16" x14ac:dyDescent="0.2">
      <c r="A1593" s="567">
        <v>46079</v>
      </c>
      <c r="B1593" s="568">
        <v>2026</v>
      </c>
      <c r="C1593" s="569">
        <v>2</v>
      </c>
      <c r="D1593" s="570">
        <v>9</v>
      </c>
      <c r="E1593" s="570">
        <v>26</v>
      </c>
      <c r="F1593" s="571" t="s">
        <v>57</v>
      </c>
      <c r="G1593" s="569" t="s">
        <v>57</v>
      </c>
      <c r="H1593" s="569" t="s">
        <v>212</v>
      </c>
      <c r="I1593" s="572">
        <v>633600000</v>
      </c>
    </row>
    <row r="1594" spans="1:9" ht="16" x14ac:dyDescent="0.2">
      <c r="A1594" s="561">
        <v>46079</v>
      </c>
      <c r="B1594" s="562">
        <v>2026</v>
      </c>
      <c r="C1594" s="563">
        <v>2</v>
      </c>
      <c r="D1594" s="564">
        <v>9</v>
      </c>
      <c r="E1594" s="564">
        <v>26</v>
      </c>
      <c r="F1594" s="565" t="s">
        <v>63</v>
      </c>
      <c r="G1594" s="563" t="s">
        <v>63</v>
      </c>
      <c r="H1594" s="563" t="s">
        <v>214</v>
      </c>
      <c r="I1594" s="566">
        <v>240624000</v>
      </c>
    </row>
    <row r="1595" spans="1:9" ht="16" x14ac:dyDescent="0.2">
      <c r="A1595" s="567">
        <v>46079</v>
      </c>
      <c r="B1595" s="568">
        <v>2026</v>
      </c>
      <c r="C1595" s="569">
        <v>2</v>
      </c>
      <c r="D1595" s="570">
        <v>9</v>
      </c>
      <c r="E1595" s="570">
        <v>26</v>
      </c>
      <c r="F1595" s="571" t="s">
        <v>59</v>
      </c>
      <c r="G1595" s="569" t="s">
        <v>59</v>
      </c>
      <c r="H1595" s="569" t="s">
        <v>216</v>
      </c>
      <c r="I1595" s="572">
        <v>381068555</v>
      </c>
    </row>
    <row r="1596" spans="1:9" ht="16" x14ac:dyDescent="0.2">
      <c r="A1596" s="561">
        <v>46079</v>
      </c>
      <c r="B1596" s="562">
        <v>2026</v>
      </c>
      <c r="C1596" s="563">
        <v>2</v>
      </c>
      <c r="D1596" s="564">
        <v>9</v>
      </c>
      <c r="E1596" s="564">
        <v>26</v>
      </c>
      <c r="F1596" s="565" t="s">
        <v>31</v>
      </c>
      <c r="G1596" s="563" t="s">
        <v>175</v>
      </c>
      <c r="H1596" s="563" t="s">
        <v>212</v>
      </c>
      <c r="I1596" s="566">
        <v>2354610000</v>
      </c>
    </row>
    <row r="1597" spans="1:9" ht="16" x14ac:dyDescent="0.2">
      <c r="A1597" s="567">
        <v>46079</v>
      </c>
      <c r="B1597" s="568">
        <v>2026</v>
      </c>
      <c r="C1597" s="569">
        <v>2</v>
      </c>
      <c r="D1597" s="570">
        <v>9</v>
      </c>
      <c r="E1597" s="570">
        <v>26</v>
      </c>
      <c r="F1597" s="571" t="s">
        <v>234</v>
      </c>
      <c r="G1597" s="569" t="s">
        <v>210</v>
      </c>
      <c r="H1597" s="569" t="s">
        <v>214</v>
      </c>
      <c r="I1597" s="572">
        <v>414720000</v>
      </c>
    </row>
    <row r="1598" spans="1:9" ht="16" x14ac:dyDescent="0.2">
      <c r="A1598" s="561">
        <v>46080</v>
      </c>
      <c r="B1598" s="562">
        <v>2026</v>
      </c>
      <c r="C1598" s="563">
        <v>2</v>
      </c>
      <c r="D1598" s="564">
        <v>9</v>
      </c>
      <c r="E1598" s="564">
        <v>27</v>
      </c>
      <c r="F1598" s="565" t="s">
        <v>65</v>
      </c>
      <c r="G1598" s="563" t="s">
        <v>65</v>
      </c>
      <c r="H1598" s="563" t="s">
        <v>212</v>
      </c>
      <c r="I1598" s="566">
        <v>403050000</v>
      </c>
    </row>
    <row r="1599" spans="1:9" ht="16" x14ac:dyDescent="0.2">
      <c r="A1599" s="567">
        <v>46080</v>
      </c>
      <c r="B1599" s="568">
        <v>2026</v>
      </c>
      <c r="C1599" s="569">
        <v>2</v>
      </c>
      <c r="D1599" s="570">
        <v>9</v>
      </c>
      <c r="E1599" s="570">
        <v>27</v>
      </c>
      <c r="F1599" s="571" t="s">
        <v>66</v>
      </c>
      <c r="G1599" s="569" t="s">
        <v>66</v>
      </c>
      <c r="H1599" s="569" t="s">
        <v>216</v>
      </c>
      <c r="I1599" s="572">
        <v>273787154</v>
      </c>
    </row>
    <row r="1600" spans="1:9" ht="16" x14ac:dyDescent="0.2">
      <c r="A1600" s="561">
        <v>46080</v>
      </c>
      <c r="B1600" s="562">
        <v>2026</v>
      </c>
      <c r="C1600" s="563">
        <v>2</v>
      </c>
      <c r="D1600" s="564">
        <v>9</v>
      </c>
      <c r="E1600" s="564">
        <v>27</v>
      </c>
      <c r="F1600" s="565" t="s">
        <v>24</v>
      </c>
      <c r="G1600" s="563" t="s">
        <v>24</v>
      </c>
      <c r="H1600" s="563" t="s">
        <v>212</v>
      </c>
      <c r="I1600" s="566">
        <v>9579890000</v>
      </c>
    </row>
    <row r="1601" spans="1:9" ht="16" x14ac:dyDescent="0.2">
      <c r="A1601" s="567">
        <v>46080</v>
      </c>
      <c r="B1601" s="568">
        <v>2026</v>
      </c>
      <c r="C1601" s="569">
        <v>2</v>
      </c>
      <c r="D1601" s="570">
        <v>9</v>
      </c>
      <c r="E1601" s="570">
        <v>27</v>
      </c>
      <c r="F1601" s="571" t="s">
        <v>67</v>
      </c>
      <c r="G1601" s="569" t="s">
        <v>67</v>
      </c>
      <c r="H1601" s="569" t="s">
        <v>213</v>
      </c>
      <c r="I1601" s="572">
        <v>2035848864</v>
      </c>
    </row>
    <row r="1602" spans="1:9" ht="16" x14ac:dyDescent="0.2">
      <c r="A1602" s="561">
        <v>46080</v>
      </c>
      <c r="B1602" s="562">
        <v>2026</v>
      </c>
      <c r="C1602" s="563">
        <v>2</v>
      </c>
      <c r="D1602" s="564">
        <v>9</v>
      </c>
      <c r="E1602" s="564">
        <v>27</v>
      </c>
      <c r="F1602" s="565" t="s">
        <v>28</v>
      </c>
      <c r="G1602" s="563" t="s">
        <v>28</v>
      </c>
      <c r="H1602" s="563" t="s">
        <v>214</v>
      </c>
      <c r="I1602" s="566">
        <v>13109364000</v>
      </c>
    </row>
    <row r="1603" spans="1:9" ht="16" x14ac:dyDescent="0.2">
      <c r="A1603" s="567">
        <v>46080</v>
      </c>
      <c r="B1603" s="568">
        <v>2026</v>
      </c>
      <c r="C1603" s="569">
        <v>2</v>
      </c>
      <c r="D1603" s="570">
        <v>9</v>
      </c>
      <c r="E1603" s="570">
        <v>27</v>
      </c>
      <c r="F1603" s="571" t="s">
        <v>208</v>
      </c>
      <c r="G1603" s="569" t="s">
        <v>208</v>
      </c>
      <c r="H1603" s="569" t="s">
        <v>216</v>
      </c>
      <c r="I1603" s="572">
        <v>7089201</v>
      </c>
    </row>
    <row r="1604" spans="1:9" ht="16" x14ac:dyDescent="0.2">
      <c r="A1604" s="561">
        <v>46080</v>
      </c>
      <c r="B1604" s="562">
        <v>2026</v>
      </c>
      <c r="C1604" s="563">
        <v>2</v>
      </c>
      <c r="D1604" s="564">
        <v>9</v>
      </c>
      <c r="E1604" s="564">
        <v>27</v>
      </c>
      <c r="F1604" s="565" t="s">
        <v>60</v>
      </c>
      <c r="G1604" s="563" t="s">
        <v>60</v>
      </c>
      <c r="H1604" s="563" t="s">
        <v>212</v>
      </c>
      <c r="I1604" s="566">
        <v>0</v>
      </c>
    </row>
    <row r="1605" spans="1:9" ht="16" x14ac:dyDescent="0.2">
      <c r="A1605" s="567">
        <v>46080</v>
      </c>
      <c r="B1605" s="568">
        <v>2026</v>
      </c>
      <c r="C1605" s="569">
        <v>2</v>
      </c>
      <c r="D1605" s="570">
        <v>9</v>
      </c>
      <c r="E1605" s="570">
        <v>27</v>
      </c>
      <c r="F1605" s="571" t="s">
        <v>36</v>
      </c>
      <c r="G1605" s="569" t="s">
        <v>36</v>
      </c>
      <c r="H1605" s="569" t="s">
        <v>212</v>
      </c>
      <c r="I1605" s="572">
        <v>2015920000</v>
      </c>
    </row>
    <row r="1606" spans="1:9" ht="16" x14ac:dyDescent="0.2">
      <c r="A1606" s="561">
        <v>46080</v>
      </c>
      <c r="B1606" s="562">
        <v>2026</v>
      </c>
      <c r="C1606" s="563">
        <v>2</v>
      </c>
      <c r="D1606" s="564">
        <v>9</v>
      </c>
      <c r="E1606" s="564">
        <v>27</v>
      </c>
      <c r="F1606" s="565" t="s">
        <v>55</v>
      </c>
      <c r="G1606" s="563" t="s">
        <v>36</v>
      </c>
      <c r="H1606" s="563" t="s">
        <v>212</v>
      </c>
      <c r="I1606" s="566">
        <v>988260000</v>
      </c>
    </row>
    <row r="1607" spans="1:9" ht="16" x14ac:dyDescent="0.2">
      <c r="A1607" s="567">
        <v>46080</v>
      </c>
      <c r="B1607" s="568">
        <v>2026</v>
      </c>
      <c r="C1607" s="569">
        <v>2</v>
      </c>
      <c r="D1607" s="570">
        <v>9</v>
      </c>
      <c r="E1607" s="570">
        <v>27</v>
      </c>
      <c r="F1607" s="571" t="s">
        <v>176</v>
      </c>
      <c r="G1607" s="569" t="s">
        <v>176</v>
      </c>
      <c r="H1607" s="569" t="s">
        <v>216</v>
      </c>
      <c r="I1607" s="572">
        <v>9437228</v>
      </c>
    </row>
    <row r="1608" spans="1:9" ht="16" x14ac:dyDescent="0.2">
      <c r="A1608" s="561">
        <v>46080</v>
      </c>
      <c r="B1608" s="562">
        <v>2026</v>
      </c>
      <c r="C1608" s="563">
        <v>2</v>
      </c>
      <c r="D1608" s="564">
        <v>9</v>
      </c>
      <c r="E1608" s="564">
        <v>27</v>
      </c>
      <c r="F1608" s="565" t="s">
        <v>39</v>
      </c>
      <c r="G1608" s="563" t="s">
        <v>176</v>
      </c>
      <c r="H1608" s="563" t="s">
        <v>216</v>
      </c>
      <c r="I1608" s="566">
        <v>960373872</v>
      </c>
    </row>
    <row r="1609" spans="1:9" ht="16" x14ac:dyDescent="0.2">
      <c r="A1609" s="567">
        <v>46080</v>
      </c>
      <c r="B1609" s="568">
        <v>2026</v>
      </c>
      <c r="C1609" s="569">
        <v>2</v>
      </c>
      <c r="D1609" s="570">
        <v>9</v>
      </c>
      <c r="E1609" s="570">
        <v>27</v>
      </c>
      <c r="F1609" s="571" t="s">
        <v>206</v>
      </c>
      <c r="G1609" s="569" t="s">
        <v>206</v>
      </c>
      <c r="H1609" s="569" t="s">
        <v>212</v>
      </c>
      <c r="I1609" s="572">
        <v>0</v>
      </c>
    </row>
    <row r="1610" spans="1:9" ht="16" x14ac:dyDescent="0.2">
      <c r="A1610" s="561">
        <v>46080</v>
      </c>
      <c r="B1610" s="562">
        <v>2026</v>
      </c>
      <c r="C1610" s="563">
        <v>2</v>
      </c>
      <c r="D1610" s="564">
        <v>9</v>
      </c>
      <c r="E1610" s="564">
        <v>27</v>
      </c>
      <c r="F1610" s="565" t="s">
        <v>64</v>
      </c>
      <c r="G1610" s="563" t="s">
        <v>209</v>
      </c>
      <c r="H1610" s="563" t="s">
        <v>212</v>
      </c>
      <c r="I1610" s="566">
        <v>21000000</v>
      </c>
    </row>
    <row r="1611" spans="1:9" ht="16" x14ac:dyDescent="0.2">
      <c r="A1611" s="567">
        <v>46080</v>
      </c>
      <c r="B1611" s="568">
        <v>2026</v>
      </c>
      <c r="C1611" s="569">
        <v>2</v>
      </c>
      <c r="D1611" s="570">
        <v>9</v>
      </c>
      <c r="E1611" s="570">
        <v>27</v>
      </c>
      <c r="F1611" s="571" t="s">
        <v>237</v>
      </c>
      <c r="G1611" s="569" t="s">
        <v>209</v>
      </c>
      <c r="H1611" s="569" t="s">
        <v>212</v>
      </c>
      <c r="I1611" s="572">
        <v>0</v>
      </c>
    </row>
    <row r="1612" spans="1:9" ht="16" x14ac:dyDescent="0.2">
      <c r="A1612" s="561">
        <v>46080</v>
      </c>
      <c r="B1612" s="562">
        <v>2026</v>
      </c>
      <c r="C1612" s="563">
        <v>2</v>
      </c>
      <c r="D1612" s="564">
        <v>9</v>
      </c>
      <c r="E1612" s="564">
        <v>27</v>
      </c>
      <c r="F1612" s="565" t="s">
        <v>11</v>
      </c>
      <c r="G1612" s="563" t="s">
        <v>11</v>
      </c>
      <c r="H1612" s="563" t="s">
        <v>212</v>
      </c>
      <c r="I1612" s="566">
        <v>11525560000</v>
      </c>
    </row>
    <row r="1613" spans="1:9" ht="16" x14ac:dyDescent="0.2">
      <c r="A1613" s="567">
        <v>46080</v>
      </c>
      <c r="B1613" s="568">
        <v>2026</v>
      </c>
      <c r="C1613" s="569">
        <v>2</v>
      </c>
      <c r="D1613" s="570">
        <v>9</v>
      </c>
      <c r="E1613" s="570">
        <v>27</v>
      </c>
      <c r="F1613" s="571" t="s">
        <v>221</v>
      </c>
      <c r="G1613" s="569" t="s">
        <v>207</v>
      </c>
      <c r="H1613" s="569" t="s">
        <v>212</v>
      </c>
      <c r="I1613" s="572">
        <v>0</v>
      </c>
    </row>
    <row r="1614" spans="1:9" ht="16" x14ac:dyDescent="0.2">
      <c r="A1614" s="561">
        <v>46080</v>
      </c>
      <c r="B1614" s="562">
        <v>2026</v>
      </c>
      <c r="C1614" s="563">
        <v>2</v>
      </c>
      <c r="D1614" s="564">
        <v>9</v>
      </c>
      <c r="E1614" s="564">
        <v>27</v>
      </c>
      <c r="F1614" s="565" t="s">
        <v>222</v>
      </c>
      <c r="G1614" s="563" t="s">
        <v>207</v>
      </c>
      <c r="H1614" s="563" t="s">
        <v>212</v>
      </c>
      <c r="I1614" s="566">
        <v>0</v>
      </c>
    </row>
    <row r="1615" spans="1:9" ht="16" x14ac:dyDescent="0.2">
      <c r="A1615" s="567">
        <v>46080</v>
      </c>
      <c r="B1615" s="568">
        <v>2026</v>
      </c>
      <c r="C1615" s="569">
        <v>2</v>
      </c>
      <c r="D1615" s="570">
        <v>9</v>
      </c>
      <c r="E1615" s="570">
        <v>27</v>
      </c>
      <c r="F1615" s="571" t="s">
        <v>223</v>
      </c>
      <c r="G1615" s="569" t="s">
        <v>207</v>
      </c>
      <c r="H1615" s="569" t="s">
        <v>212</v>
      </c>
      <c r="I1615" s="572">
        <v>0</v>
      </c>
    </row>
    <row r="1616" spans="1:9" ht="16" x14ac:dyDescent="0.2">
      <c r="A1616" s="561">
        <v>46080</v>
      </c>
      <c r="B1616" s="562">
        <v>2026</v>
      </c>
      <c r="C1616" s="563">
        <v>2</v>
      </c>
      <c r="D1616" s="564">
        <v>9</v>
      </c>
      <c r="E1616" s="564">
        <v>27</v>
      </c>
      <c r="F1616" s="565" t="s">
        <v>219</v>
      </c>
      <c r="G1616" s="563" t="s">
        <v>11</v>
      </c>
      <c r="H1616" s="563" t="s">
        <v>212</v>
      </c>
      <c r="I1616" s="566">
        <v>0</v>
      </c>
    </row>
    <row r="1617" spans="1:9" ht="16" x14ac:dyDescent="0.2">
      <c r="A1617" s="567">
        <v>46080</v>
      </c>
      <c r="B1617" s="568">
        <v>2026</v>
      </c>
      <c r="C1617" s="569">
        <v>2</v>
      </c>
      <c r="D1617" s="570">
        <v>9</v>
      </c>
      <c r="E1617" s="570">
        <v>27</v>
      </c>
      <c r="F1617" s="571" t="s">
        <v>19</v>
      </c>
      <c r="G1617" s="569" t="s">
        <v>19</v>
      </c>
      <c r="H1617" s="569" t="s">
        <v>214</v>
      </c>
      <c r="I1617" s="572">
        <v>10505916000</v>
      </c>
    </row>
    <row r="1618" spans="1:9" ht="16" x14ac:dyDescent="0.2">
      <c r="A1618" s="561">
        <v>46080</v>
      </c>
      <c r="B1618" s="562">
        <v>2026</v>
      </c>
      <c r="C1618" s="563">
        <v>2</v>
      </c>
      <c r="D1618" s="564">
        <v>9</v>
      </c>
      <c r="E1618" s="564">
        <v>27</v>
      </c>
      <c r="F1618" s="565" t="s">
        <v>62</v>
      </c>
      <c r="G1618" s="563" t="s">
        <v>62</v>
      </c>
      <c r="H1618" s="563" t="s">
        <v>216</v>
      </c>
      <c r="I1618" s="566">
        <v>150728976</v>
      </c>
    </row>
    <row r="1619" spans="1:9" ht="16" x14ac:dyDescent="0.2">
      <c r="A1619" s="567">
        <v>46080</v>
      </c>
      <c r="B1619" s="568">
        <v>2026</v>
      </c>
      <c r="C1619" s="569">
        <v>2</v>
      </c>
      <c r="D1619" s="570">
        <v>9</v>
      </c>
      <c r="E1619" s="570">
        <v>27</v>
      </c>
      <c r="F1619" s="571" t="s">
        <v>58</v>
      </c>
      <c r="G1619" s="569" t="s">
        <v>58</v>
      </c>
      <c r="H1619" s="569" t="s">
        <v>212</v>
      </c>
      <c r="I1619" s="572">
        <v>0</v>
      </c>
    </row>
    <row r="1620" spans="1:9" ht="16" x14ac:dyDescent="0.2">
      <c r="A1620" s="561">
        <v>46080</v>
      </c>
      <c r="B1620" s="562">
        <v>2026</v>
      </c>
      <c r="C1620" s="563">
        <v>2</v>
      </c>
      <c r="D1620" s="564">
        <v>9</v>
      </c>
      <c r="E1620" s="564">
        <v>27</v>
      </c>
      <c r="F1620" s="565" t="s">
        <v>61</v>
      </c>
      <c r="G1620" s="563" t="s">
        <v>61</v>
      </c>
      <c r="H1620" s="563" t="s">
        <v>214</v>
      </c>
      <c r="I1620" s="566">
        <v>50000000</v>
      </c>
    </row>
    <row r="1621" spans="1:9" ht="16" x14ac:dyDescent="0.2">
      <c r="A1621" s="567">
        <v>46080</v>
      </c>
      <c r="B1621" s="568">
        <v>2026</v>
      </c>
      <c r="C1621" s="569">
        <v>2</v>
      </c>
      <c r="D1621" s="570">
        <v>9</v>
      </c>
      <c r="E1621" s="570">
        <v>27</v>
      </c>
      <c r="F1621" s="571" t="s">
        <v>57</v>
      </c>
      <c r="G1621" s="569" t="s">
        <v>57</v>
      </c>
      <c r="H1621" s="569" t="s">
        <v>212</v>
      </c>
      <c r="I1621" s="572">
        <v>943050000</v>
      </c>
    </row>
    <row r="1622" spans="1:9" ht="16" x14ac:dyDescent="0.2">
      <c r="A1622" s="561">
        <v>46080</v>
      </c>
      <c r="B1622" s="562">
        <v>2026</v>
      </c>
      <c r="C1622" s="563">
        <v>2</v>
      </c>
      <c r="D1622" s="564">
        <v>9</v>
      </c>
      <c r="E1622" s="564">
        <v>27</v>
      </c>
      <c r="F1622" s="565" t="s">
        <v>63</v>
      </c>
      <c r="G1622" s="563" t="s">
        <v>63</v>
      </c>
      <c r="H1622" s="563" t="s">
        <v>214</v>
      </c>
      <c r="I1622" s="566">
        <v>224748000</v>
      </c>
    </row>
    <row r="1623" spans="1:9" ht="16" x14ac:dyDescent="0.2">
      <c r="A1623" s="567">
        <v>46080</v>
      </c>
      <c r="B1623" s="568">
        <v>2026</v>
      </c>
      <c r="C1623" s="569">
        <v>2</v>
      </c>
      <c r="D1623" s="570">
        <v>9</v>
      </c>
      <c r="E1623" s="570">
        <v>27</v>
      </c>
      <c r="F1623" s="571" t="s">
        <v>59</v>
      </c>
      <c r="G1623" s="569" t="s">
        <v>59</v>
      </c>
      <c r="H1623" s="569" t="s">
        <v>216</v>
      </c>
      <c r="I1623" s="572">
        <v>472738951</v>
      </c>
    </row>
    <row r="1624" spans="1:9" ht="16" x14ac:dyDescent="0.2">
      <c r="A1624" s="561">
        <v>46080</v>
      </c>
      <c r="B1624" s="562">
        <v>2026</v>
      </c>
      <c r="C1624" s="563">
        <v>2</v>
      </c>
      <c r="D1624" s="564">
        <v>9</v>
      </c>
      <c r="E1624" s="564">
        <v>27</v>
      </c>
      <c r="F1624" s="565" t="s">
        <v>31</v>
      </c>
      <c r="G1624" s="563" t="s">
        <v>175</v>
      </c>
      <c r="H1624" s="563" t="s">
        <v>212</v>
      </c>
      <c r="I1624" s="566">
        <v>2136490000</v>
      </c>
    </row>
    <row r="1625" spans="1:9" ht="16" x14ac:dyDescent="0.2">
      <c r="A1625" s="567">
        <v>46080</v>
      </c>
      <c r="B1625" s="568">
        <v>2026</v>
      </c>
      <c r="C1625" s="569">
        <v>2</v>
      </c>
      <c r="D1625" s="570">
        <v>9</v>
      </c>
      <c r="E1625" s="570">
        <v>27</v>
      </c>
      <c r="F1625" s="571" t="s">
        <v>234</v>
      </c>
      <c r="G1625" s="569" t="s">
        <v>210</v>
      </c>
      <c r="H1625" s="569" t="s">
        <v>214</v>
      </c>
      <c r="I1625" s="572">
        <v>384480000</v>
      </c>
    </row>
    <row r="1626" spans="1:9" ht="16" x14ac:dyDescent="0.2">
      <c r="A1626" s="561">
        <v>46081</v>
      </c>
      <c r="B1626" s="562">
        <v>2026</v>
      </c>
      <c r="C1626" s="563">
        <v>2</v>
      </c>
      <c r="D1626" s="564">
        <v>9</v>
      </c>
      <c r="E1626" s="564">
        <v>28</v>
      </c>
      <c r="F1626" s="565" t="s">
        <v>65</v>
      </c>
      <c r="G1626" s="563" t="s">
        <v>65</v>
      </c>
      <c r="H1626" s="563" t="s">
        <v>212</v>
      </c>
      <c r="I1626" s="566">
        <v>454250000</v>
      </c>
    </row>
    <row r="1627" spans="1:9" ht="16" x14ac:dyDescent="0.2">
      <c r="A1627" s="567">
        <v>46081</v>
      </c>
      <c r="B1627" s="568">
        <v>2026</v>
      </c>
      <c r="C1627" s="569">
        <v>2</v>
      </c>
      <c r="D1627" s="570">
        <v>9</v>
      </c>
      <c r="E1627" s="570">
        <v>28</v>
      </c>
      <c r="F1627" s="571" t="s">
        <v>66</v>
      </c>
      <c r="G1627" s="569" t="s">
        <v>66</v>
      </c>
      <c r="H1627" s="569" t="s">
        <v>216</v>
      </c>
      <c r="I1627" s="572">
        <v>285496773</v>
      </c>
    </row>
    <row r="1628" spans="1:9" ht="16" x14ac:dyDescent="0.2">
      <c r="A1628" s="561">
        <v>46081</v>
      </c>
      <c r="B1628" s="562">
        <v>2026</v>
      </c>
      <c r="C1628" s="563">
        <v>2</v>
      </c>
      <c r="D1628" s="564">
        <v>9</v>
      </c>
      <c r="E1628" s="564">
        <v>28</v>
      </c>
      <c r="F1628" s="565" t="s">
        <v>24</v>
      </c>
      <c r="G1628" s="563" t="s">
        <v>24</v>
      </c>
      <c r="H1628" s="563" t="s">
        <v>212</v>
      </c>
      <c r="I1628" s="566">
        <v>9419310000</v>
      </c>
    </row>
    <row r="1629" spans="1:9" ht="16" x14ac:dyDescent="0.2">
      <c r="A1629" s="567">
        <v>46081</v>
      </c>
      <c r="B1629" s="568">
        <v>2026</v>
      </c>
      <c r="C1629" s="569">
        <v>2</v>
      </c>
      <c r="D1629" s="570">
        <v>9</v>
      </c>
      <c r="E1629" s="570">
        <v>28</v>
      </c>
      <c r="F1629" s="571" t="s">
        <v>67</v>
      </c>
      <c r="G1629" s="569" t="s">
        <v>67</v>
      </c>
      <c r="H1629" s="569" t="s">
        <v>213</v>
      </c>
      <c r="I1629" s="572">
        <v>2038506007</v>
      </c>
    </row>
    <row r="1630" spans="1:9" ht="16" x14ac:dyDescent="0.2">
      <c r="A1630" s="561">
        <v>46081</v>
      </c>
      <c r="B1630" s="562">
        <v>2026</v>
      </c>
      <c r="C1630" s="563">
        <v>2</v>
      </c>
      <c r="D1630" s="564">
        <v>9</v>
      </c>
      <c r="E1630" s="564">
        <v>28</v>
      </c>
      <c r="F1630" s="565" t="s">
        <v>28</v>
      </c>
      <c r="G1630" s="563" t="s">
        <v>28</v>
      </c>
      <c r="H1630" s="563" t="s">
        <v>214</v>
      </c>
      <c r="I1630" s="566">
        <v>12960324000</v>
      </c>
    </row>
    <row r="1631" spans="1:9" ht="16" x14ac:dyDescent="0.2">
      <c r="A1631" s="567">
        <v>46081</v>
      </c>
      <c r="B1631" s="568">
        <v>2026</v>
      </c>
      <c r="C1631" s="569">
        <v>2</v>
      </c>
      <c r="D1631" s="570">
        <v>9</v>
      </c>
      <c r="E1631" s="570">
        <v>28</v>
      </c>
      <c r="F1631" s="571" t="s">
        <v>208</v>
      </c>
      <c r="G1631" s="569" t="s">
        <v>208</v>
      </c>
      <c r="H1631" s="569" t="s">
        <v>216</v>
      </c>
      <c r="I1631" s="572">
        <v>14951163</v>
      </c>
    </row>
    <row r="1632" spans="1:9" ht="16" x14ac:dyDescent="0.2">
      <c r="A1632" s="561">
        <v>46081</v>
      </c>
      <c r="B1632" s="562">
        <v>2026</v>
      </c>
      <c r="C1632" s="563">
        <v>2</v>
      </c>
      <c r="D1632" s="564">
        <v>9</v>
      </c>
      <c r="E1632" s="564">
        <v>28</v>
      </c>
      <c r="F1632" s="565" t="s">
        <v>60</v>
      </c>
      <c r="G1632" s="563" t="s">
        <v>60</v>
      </c>
      <c r="H1632" s="563" t="s">
        <v>212</v>
      </c>
      <c r="I1632" s="566">
        <v>90000000</v>
      </c>
    </row>
    <row r="1633" spans="1:9" ht="16" x14ac:dyDescent="0.2">
      <c r="A1633" s="567">
        <v>46081</v>
      </c>
      <c r="B1633" s="568">
        <v>2026</v>
      </c>
      <c r="C1633" s="569">
        <v>2</v>
      </c>
      <c r="D1633" s="570">
        <v>9</v>
      </c>
      <c r="E1633" s="570">
        <v>28</v>
      </c>
      <c r="F1633" s="571" t="s">
        <v>36</v>
      </c>
      <c r="G1633" s="569" t="s">
        <v>36</v>
      </c>
      <c r="H1633" s="569" t="s">
        <v>212</v>
      </c>
      <c r="I1633" s="572">
        <v>2253560000</v>
      </c>
    </row>
    <row r="1634" spans="1:9" ht="16" x14ac:dyDescent="0.2">
      <c r="A1634" s="561">
        <v>46081</v>
      </c>
      <c r="B1634" s="562">
        <v>2026</v>
      </c>
      <c r="C1634" s="563">
        <v>2</v>
      </c>
      <c r="D1634" s="564">
        <v>9</v>
      </c>
      <c r="E1634" s="564">
        <v>28</v>
      </c>
      <c r="F1634" s="565" t="s">
        <v>55</v>
      </c>
      <c r="G1634" s="563" t="s">
        <v>36</v>
      </c>
      <c r="H1634" s="563" t="s">
        <v>212</v>
      </c>
      <c r="I1634" s="566">
        <v>1114190000</v>
      </c>
    </row>
    <row r="1635" spans="1:9" ht="16" x14ac:dyDescent="0.2">
      <c r="A1635" s="567">
        <v>46081</v>
      </c>
      <c r="B1635" s="568">
        <v>2026</v>
      </c>
      <c r="C1635" s="569">
        <v>2</v>
      </c>
      <c r="D1635" s="570">
        <v>9</v>
      </c>
      <c r="E1635" s="570">
        <v>28</v>
      </c>
      <c r="F1635" s="571" t="s">
        <v>176</v>
      </c>
      <c r="G1635" s="569" t="s">
        <v>176</v>
      </c>
      <c r="H1635" s="569" t="s">
        <v>216</v>
      </c>
      <c r="I1635" s="572">
        <v>11819380</v>
      </c>
    </row>
    <row r="1636" spans="1:9" ht="16" x14ac:dyDescent="0.2">
      <c r="A1636" s="561">
        <v>46081</v>
      </c>
      <c r="B1636" s="562">
        <v>2026</v>
      </c>
      <c r="C1636" s="563">
        <v>2</v>
      </c>
      <c r="D1636" s="564">
        <v>9</v>
      </c>
      <c r="E1636" s="564">
        <v>28</v>
      </c>
      <c r="F1636" s="565" t="s">
        <v>39</v>
      </c>
      <c r="G1636" s="563" t="s">
        <v>176</v>
      </c>
      <c r="H1636" s="563" t="s">
        <v>216</v>
      </c>
      <c r="I1636" s="566">
        <v>1156345072</v>
      </c>
    </row>
    <row r="1637" spans="1:9" ht="16" x14ac:dyDescent="0.2">
      <c r="A1637" s="567">
        <v>46081</v>
      </c>
      <c r="B1637" s="568">
        <v>2026</v>
      </c>
      <c r="C1637" s="569">
        <v>2</v>
      </c>
      <c r="D1637" s="570">
        <v>9</v>
      </c>
      <c r="E1637" s="570">
        <v>28</v>
      </c>
      <c r="F1637" s="571" t="s">
        <v>206</v>
      </c>
      <c r="G1637" s="569" t="s">
        <v>206</v>
      </c>
      <c r="H1637" s="569" t="s">
        <v>212</v>
      </c>
      <c r="I1637" s="572">
        <v>0</v>
      </c>
    </row>
    <row r="1638" spans="1:9" ht="16" x14ac:dyDescent="0.2">
      <c r="A1638" s="561">
        <v>46081</v>
      </c>
      <c r="B1638" s="562">
        <v>2026</v>
      </c>
      <c r="C1638" s="563">
        <v>2</v>
      </c>
      <c r="D1638" s="564">
        <v>9</v>
      </c>
      <c r="E1638" s="564">
        <v>28</v>
      </c>
      <c r="F1638" s="565" t="s">
        <v>64</v>
      </c>
      <c r="G1638" s="563" t="s">
        <v>209</v>
      </c>
      <c r="H1638" s="563" t="s">
        <v>212</v>
      </c>
      <c r="I1638" s="566">
        <v>0</v>
      </c>
    </row>
    <row r="1639" spans="1:9" ht="16" x14ac:dyDescent="0.2">
      <c r="A1639" s="567">
        <v>46081</v>
      </c>
      <c r="B1639" s="568">
        <v>2026</v>
      </c>
      <c r="C1639" s="569">
        <v>2</v>
      </c>
      <c r="D1639" s="570">
        <v>9</v>
      </c>
      <c r="E1639" s="570">
        <v>28</v>
      </c>
      <c r="F1639" s="571" t="s">
        <v>237</v>
      </c>
      <c r="G1639" s="569" t="s">
        <v>209</v>
      </c>
      <c r="H1639" s="569" t="s">
        <v>212</v>
      </c>
      <c r="I1639" s="572">
        <v>0</v>
      </c>
    </row>
    <row r="1640" spans="1:9" ht="16" x14ac:dyDescent="0.2">
      <c r="A1640" s="561">
        <v>46081</v>
      </c>
      <c r="B1640" s="562">
        <v>2026</v>
      </c>
      <c r="C1640" s="563">
        <v>2</v>
      </c>
      <c r="D1640" s="564">
        <v>9</v>
      </c>
      <c r="E1640" s="564">
        <v>28</v>
      </c>
      <c r="F1640" s="565" t="s">
        <v>11</v>
      </c>
      <c r="G1640" s="563" t="s">
        <v>11</v>
      </c>
      <c r="H1640" s="563" t="s">
        <v>212</v>
      </c>
      <c r="I1640" s="566">
        <v>10730150000</v>
      </c>
    </row>
    <row r="1641" spans="1:9" ht="16" x14ac:dyDescent="0.2">
      <c r="A1641" s="567">
        <v>46081</v>
      </c>
      <c r="B1641" s="568">
        <v>2026</v>
      </c>
      <c r="C1641" s="569">
        <v>2</v>
      </c>
      <c r="D1641" s="570">
        <v>9</v>
      </c>
      <c r="E1641" s="570">
        <v>28</v>
      </c>
      <c r="F1641" s="571" t="s">
        <v>221</v>
      </c>
      <c r="G1641" s="569" t="s">
        <v>207</v>
      </c>
      <c r="H1641" s="569" t="s">
        <v>212</v>
      </c>
      <c r="I1641" s="572">
        <v>0</v>
      </c>
    </row>
    <row r="1642" spans="1:9" ht="16" x14ac:dyDescent="0.2">
      <c r="A1642" s="561">
        <v>46081</v>
      </c>
      <c r="B1642" s="562">
        <v>2026</v>
      </c>
      <c r="C1642" s="563">
        <v>2</v>
      </c>
      <c r="D1642" s="564">
        <v>9</v>
      </c>
      <c r="E1642" s="564">
        <v>28</v>
      </c>
      <c r="F1642" s="565" t="s">
        <v>222</v>
      </c>
      <c r="G1642" s="563" t="s">
        <v>207</v>
      </c>
      <c r="H1642" s="563" t="s">
        <v>212</v>
      </c>
      <c r="I1642" s="566">
        <v>0</v>
      </c>
    </row>
    <row r="1643" spans="1:9" ht="16" x14ac:dyDescent="0.2">
      <c r="A1643" s="567">
        <v>46081</v>
      </c>
      <c r="B1643" s="568">
        <v>2026</v>
      </c>
      <c r="C1643" s="569">
        <v>2</v>
      </c>
      <c r="D1643" s="570">
        <v>9</v>
      </c>
      <c r="E1643" s="570">
        <v>28</v>
      </c>
      <c r="F1643" s="571" t="s">
        <v>223</v>
      </c>
      <c r="G1643" s="569" t="s">
        <v>207</v>
      </c>
      <c r="H1643" s="569" t="s">
        <v>212</v>
      </c>
      <c r="I1643" s="572">
        <v>0</v>
      </c>
    </row>
    <row r="1644" spans="1:9" ht="16" x14ac:dyDescent="0.2">
      <c r="A1644" s="561">
        <v>46081</v>
      </c>
      <c r="B1644" s="562">
        <v>2026</v>
      </c>
      <c r="C1644" s="563">
        <v>2</v>
      </c>
      <c r="D1644" s="564">
        <v>9</v>
      </c>
      <c r="E1644" s="564">
        <v>28</v>
      </c>
      <c r="F1644" s="565" t="s">
        <v>219</v>
      </c>
      <c r="G1644" s="563" t="s">
        <v>11</v>
      </c>
      <c r="H1644" s="563" t="s">
        <v>212</v>
      </c>
      <c r="I1644" s="566">
        <v>0</v>
      </c>
    </row>
    <row r="1645" spans="1:9" ht="16" x14ac:dyDescent="0.2">
      <c r="A1645" s="567">
        <v>46081</v>
      </c>
      <c r="B1645" s="568">
        <v>2026</v>
      </c>
      <c r="C1645" s="569">
        <v>2</v>
      </c>
      <c r="D1645" s="570">
        <v>9</v>
      </c>
      <c r="E1645" s="570">
        <v>28</v>
      </c>
      <c r="F1645" s="571" t="s">
        <v>19</v>
      </c>
      <c r="G1645" s="569" t="s">
        <v>19</v>
      </c>
      <c r="H1645" s="569" t="s">
        <v>214</v>
      </c>
      <c r="I1645" s="572">
        <v>10585296000</v>
      </c>
    </row>
    <row r="1646" spans="1:9" ht="16" x14ac:dyDescent="0.2">
      <c r="A1646" s="561">
        <v>46081</v>
      </c>
      <c r="B1646" s="562">
        <v>2026</v>
      </c>
      <c r="C1646" s="563">
        <v>2</v>
      </c>
      <c r="D1646" s="564">
        <v>9</v>
      </c>
      <c r="E1646" s="564">
        <v>28</v>
      </c>
      <c r="F1646" s="565" t="s">
        <v>62</v>
      </c>
      <c r="G1646" s="563" t="s">
        <v>62</v>
      </c>
      <c r="H1646" s="563" t="s">
        <v>216</v>
      </c>
      <c r="I1646" s="566">
        <v>146266557</v>
      </c>
    </row>
    <row r="1647" spans="1:9" ht="16" x14ac:dyDescent="0.2">
      <c r="A1647" s="567">
        <v>46081</v>
      </c>
      <c r="B1647" s="568">
        <v>2026</v>
      </c>
      <c r="C1647" s="569">
        <v>2</v>
      </c>
      <c r="D1647" s="570">
        <v>9</v>
      </c>
      <c r="E1647" s="570">
        <v>28</v>
      </c>
      <c r="F1647" s="571" t="s">
        <v>58</v>
      </c>
      <c r="G1647" s="569" t="s">
        <v>58</v>
      </c>
      <c r="H1647" s="569" t="s">
        <v>212</v>
      </c>
      <c r="I1647" s="572">
        <v>20500000</v>
      </c>
    </row>
    <row r="1648" spans="1:9" ht="16" x14ac:dyDescent="0.2">
      <c r="A1648" s="561">
        <v>46081</v>
      </c>
      <c r="B1648" s="562">
        <v>2026</v>
      </c>
      <c r="C1648" s="563">
        <v>2</v>
      </c>
      <c r="D1648" s="564">
        <v>9</v>
      </c>
      <c r="E1648" s="564">
        <v>28</v>
      </c>
      <c r="F1648" s="565" t="s">
        <v>61</v>
      </c>
      <c r="G1648" s="563" t="s">
        <v>61</v>
      </c>
      <c r="H1648" s="563" t="s">
        <v>214</v>
      </c>
      <c r="I1648" s="566">
        <v>34000000</v>
      </c>
    </row>
    <row r="1649" spans="1:9" ht="16" x14ac:dyDescent="0.2">
      <c r="A1649" s="567">
        <v>46081</v>
      </c>
      <c r="B1649" s="568">
        <v>2026</v>
      </c>
      <c r="C1649" s="569">
        <v>2</v>
      </c>
      <c r="D1649" s="570">
        <v>9</v>
      </c>
      <c r="E1649" s="570">
        <v>28</v>
      </c>
      <c r="F1649" s="571" t="s">
        <v>57</v>
      </c>
      <c r="G1649" s="569" t="s">
        <v>57</v>
      </c>
      <c r="H1649" s="569" t="s">
        <v>212</v>
      </c>
      <c r="I1649" s="572">
        <v>667490000</v>
      </c>
    </row>
    <row r="1650" spans="1:9" ht="16" x14ac:dyDescent="0.2">
      <c r="A1650" s="561">
        <v>46081</v>
      </c>
      <c r="B1650" s="562">
        <v>2026</v>
      </c>
      <c r="C1650" s="563">
        <v>2</v>
      </c>
      <c r="D1650" s="564">
        <v>9</v>
      </c>
      <c r="E1650" s="564">
        <v>28</v>
      </c>
      <c r="F1650" s="565" t="s">
        <v>63</v>
      </c>
      <c r="G1650" s="563" t="s">
        <v>63</v>
      </c>
      <c r="H1650" s="563" t="s">
        <v>214</v>
      </c>
      <c r="I1650" s="566">
        <v>323892000</v>
      </c>
    </row>
    <row r="1651" spans="1:9" ht="16" x14ac:dyDescent="0.2">
      <c r="A1651" s="567">
        <v>46081</v>
      </c>
      <c r="B1651" s="568">
        <v>2026</v>
      </c>
      <c r="C1651" s="569">
        <v>2</v>
      </c>
      <c r="D1651" s="570">
        <v>9</v>
      </c>
      <c r="E1651" s="570">
        <v>28</v>
      </c>
      <c r="F1651" s="571" t="s">
        <v>59</v>
      </c>
      <c r="G1651" s="569" t="s">
        <v>59</v>
      </c>
      <c r="H1651" s="569" t="s">
        <v>216</v>
      </c>
      <c r="I1651" s="572">
        <v>455690480</v>
      </c>
    </row>
    <row r="1652" spans="1:9" ht="16" x14ac:dyDescent="0.2">
      <c r="A1652" s="561">
        <v>46081</v>
      </c>
      <c r="B1652" s="562">
        <v>2026</v>
      </c>
      <c r="C1652" s="563">
        <v>2</v>
      </c>
      <c r="D1652" s="564">
        <v>9</v>
      </c>
      <c r="E1652" s="564">
        <v>28</v>
      </c>
      <c r="F1652" s="565" t="s">
        <v>31</v>
      </c>
      <c r="G1652" s="563" t="s">
        <v>175</v>
      </c>
      <c r="H1652" s="563" t="s">
        <v>212</v>
      </c>
      <c r="I1652" s="566">
        <v>2177870000</v>
      </c>
    </row>
    <row r="1653" spans="1:9" ht="16" x14ac:dyDescent="0.2">
      <c r="A1653" s="567">
        <v>46081</v>
      </c>
      <c r="B1653" s="568">
        <v>2026</v>
      </c>
      <c r="C1653" s="569">
        <v>2</v>
      </c>
      <c r="D1653" s="570">
        <v>9</v>
      </c>
      <c r="E1653" s="570">
        <v>28</v>
      </c>
      <c r="F1653" s="571" t="s">
        <v>234</v>
      </c>
      <c r="G1653" s="569" t="s">
        <v>210</v>
      </c>
      <c r="H1653" s="569" t="s">
        <v>214</v>
      </c>
      <c r="I1653" s="572">
        <v>463320000</v>
      </c>
    </row>
    <row r="1654" spans="1:9" ht="16" x14ac:dyDescent="0.2">
      <c r="A1654" s="561">
        <v>46082</v>
      </c>
      <c r="B1654" s="562">
        <v>2026</v>
      </c>
      <c r="C1654" s="563">
        <v>3</v>
      </c>
      <c r="D1654" s="564">
        <v>9</v>
      </c>
      <c r="E1654" s="564">
        <v>1</v>
      </c>
      <c r="F1654" s="565" t="s">
        <v>65</v>
      </c>
      <c r="G1654" s="563" t="s">
        <v>65</v>
      </c>
      <c r="H1654" s="563" t="s">
        <v>212</v>
      </c>
      <c r="I1654" s="566">
        <v>583800000</v>
      </c>
    </row>
    <row r="1655" spans="1:9" ht="16" x14ac:dyDescent="0.2">
      <c r="A1655" s="567">
        <v>46082</v>
      </c>
      <c r="B1655" s="568">
        <v>2026</v>
      </c>
      <c r="C1655" s="569">
        <v>3</v>
      </c>
      <c r="D1655" s="570">
        <v>9</v>
      </c>
      <c r="E1655" s="570">
        <v>1</v>
      </c>
      <c r="F1655" s="571" t="s">
        <v>66</v>
      </c>
      <c r="G1655" s="569" t="s">
        <v>66</v>
      </c>
      <c r="H1655" s="569" t="s">
        <v>216</v>
      </c>
      <c r="I1655" s="572">
        <v>300405796</v>
      </c>
    </row>
    <row r="1656" spans="1:9" ht="16" x14ac:dyDescent="0.2">
      <c r="A1656" s="561">
        <v>46082</v>
      </c>
      <c r="B1656" s="562">
        <v>2026</v>
      </c>
      <c r="C1656" s="563">
        <v>3</v>
      </c>
      <c r="D1656" s="564">
        <v>9</v>
      </c>
      <c r="E1656" s="564">
        <v>1</v>
      </c>
      <c r="F1656" s="565" t="s">
        <v>24</v>
      </c>
      <c r="G1656" s="563" t="s">
        <v>24</v>
      </c>
      <c r="H1656" s="563" t="s">
        <v>212</v>
      </c>
      <c r="I1656" s="566">
        <v>9480850000</v>
      </c>
    </row>
    <row r="1657" spans="1:9" ht="16" x14ac:dyDescent="0.2">
      <c r="A1657" s="567">
        <v>46082</v>
      </c>
      <c r="B1657" s="568">
        <v>2026</v>
      </c>
      <c r="C1657" s="569">
        <v>3</v>
      </c>
      <c r="D1657" s="570">
        <v>9</v>
      </c>
      <c r="E1657" s="570">
        <v>1</v>
      </c>
      <c r="F1657" s="571" t="s">
        <v>67</v>
      </c>
      <c r="G1657" s="569" t="s">
        <v>67</v>
      </c>
      <c r="H1657" s="569" t="s">
        <v>213</v>
      </c>
      <c r="I1657" s="572">
        <v>2923609940</v>
      </c>
    </row>
    <row r="1658" spans="1:9" ht="16" x14ac:dyDescent="0.2">
      <c r="A1658" s="561">
        <v>46082</v>
      </c>
      <c r="B1658" s="562">
        <v>2026</v>
      </c>
      <c r="C1658" s="563">
        <v>3</v>
      </c>
      <c r="D1658" s="564">
        <v>9</v>
      </c>
      <c r="E1658" s="564">
        <v>1</v>
      </c>
      <c r="F1658" s="565" t="s">
        <v>28</v>
      </c>
      <c r="G1658" s="563" t="s">
        <v>28</v>
      </c>
      <c r="H1658" s="563" t="s">
        <v>214</v>
      </c>
      <c r="I1658" s="566">
        <v>14175540000</v>
      </c>
    </row>
    <row r="1659" spans="1:9" ht="16" x14ac:dyDescent="0.2">
      <c r="A1659" s="567">
        <v>46082</v>
      </c>
      <c r="B1659" s="568">
        <v>2026</v>
      </c>
      <c r="C1659" s="569">
        <v>3</v>
      </c>
      <c r="D1659" s="570">
        <v>9</v>
      </c>
      <c r="E1659" s="570">
        <v>1</v>
      </c>
      <c r="F1659" s="571" t="s">
        <v>208</v>
      </c>
      <c r="G1659" s="569" t="s">
        <v>208</v>
      </c>
      <c r="H1659" s="569" t="s">
        <v>216</v>
      </c>
      <c r="I1659" s="572">
        <v>3332217</v>
      </c>
    </row>
    <row r="1660" spans="1:9" ht="16" x14ac:dyDescent="0.2">
      <c r="A1660" s="561">
        <v>46082</v>
      </c>
      <c r="B1660" s="562">
        <v>2026</v>
      </c>
      <c r="C1660" s="563">
        <v>3</v>
      </c>
      <c r="D1660" s="564">
        <v>9</v>
      </c>
      <c r="E1660" s="564">
        <v>1</v>
      </c>
      <c r="F1660" s="565" t="s">
        <v>60</v>
      </c>
      <c r="G1660" s="563" t="s">
        <v>60</v>
      </c>
      <c r="H1660" s="563" t="s">
        <v>212</v>
      </c>
      <c r="I1660" s="566">
        <v>0</v>
      </c>
    </row>
    <row r="1661" spans="1:9" ht="16" x14ac:dyDescent="0.2">
      <c r="A1661" s="567">
        <v>46082</v>
      </c>
      <c r="B1661" s="568">
        <v>2026</v>
      </c>
      <c r="C1661" s="569">
        <v>3</v>
      </c>
      <c r="D1661" s="570">
        <v>9</v>
      </c>
      <c r="E1661" s="570">
        <v>1</v>
      </c>
      <c r="F1661" s="571" t="s">
        <v>36</v>
      </c>
      <c r="G1661" s="569" t="s">
        <v>36</v>
      </c>
      <c r="H1661" s="569" t="s">
        <v>212</v>
      </c>
      <c r="I1661" s="572">
        <v>2746690000</v>
      </c>
    </row>
    <row r="1662" spans="1:9" ht="16" x14ac:dyDescent="0.2">
      <c r="A1662" s="561">
        <v>46082</v>
      </c>
      <c r="B1662" s="562">
        <v>2026</v>
      </c>
      <c r="C1662" s="563">
        <v>3</v>
      </c>
      <c r="D1662" s="564">
        <v>9</v>
      </c>
      <c r="E1662" s="564">
        <v>1</v>
      </c>
      <c r="F1662" s="565" t="s">
        <v>55</v>
      </c>
      <c r="G1662" s="563" t="s">
        <v>36</v>
      </c>
      <c r="H1662" s="563" t="s">
        <v>212</v>
      </c>
      <c r="I1662" s="566">
        <v>994000000</v>
      </c>
    </row>
    <row r="1663" spans="1:9" ht="16" x14ac:dyDescent="0.2">
      <c r="A1663" s="567">
        <v>46082</v>
      </c>
      <c r="B1663" s="568">
        <v>2026</v>
      </c>
      <c r="C1663" s="569">
        <v>3</v>
      </c>
      <c r="D1663" s="570">
        <v>9</v>
      </c>
      <c r="E1663" s="570">
        <v>1</v>
      </c>
      <c r="F1663" s="571" t="s">
        <v>176</v>
      </c>
      <c r="G1663" s="569" t="s">
        <v>176</v>
      </c>
      <c r="H1663" s="569" t="s">
        <v>216</v>
      </c>
      <c r="I1663" s="572">
        <v>10875742</v>
      </c>
    </row>
    <row r="1664" spans="1:9" ht="16" x14ac:dyDescent="0.2">
      <c r="A1664" s="561">
        <v>46082</v>
      </c>
      <c r="B1664" s="562">
        <v>2026</v>
      </c>
      <c r="C1664" s="563">
        <v>3</v>
      </c>
      <c r="D1664" s="564">
        <v>9</v>
      </c>
      <c r="E1664" s="564">
        <v>1</v>
      </c>
      <c r="F1664" s="565" t="s">
        <v>39</v>
      </c>
      <c r="G1664" s="563" t="s">
        <v>176</v>
      </c>
      <c r="H1664" s="563" t="s">
        <v>216</v>
      </c>
      <c r="I1664" s="566">
        <v>1327248931</v>
      </c>
    </row>
    <row r="1665" spans="1:9" ht="16" x14ac:dyDescent="0.2">
      <c r="A1665" s="567">
        <v>46082</v>
      </c>
      <c r="B1665" s="568">
        <v>2026</v>
      </c>
      <c r="C1665" s="569">
        <v>3</v>
      </c>
      <c r="D1665" s="570">
        <v>9</v>
      </c>
      <c r="E1665" s="570">
        <v>1</v>
      </c>
      <c r="F1665" s="571" t="s">
        <v>206</v>
      </c>
      <c r="G1665" s="569" t="s">
        <v>206</v>
      </c>
      <c r="H1665" s="569" t="s">
        <v>212</v>
      </c>
      <c r="I1665" s="572">
        <v>0</v>
      </c>
    </row>
    <row r="1666" spans="1:9" ht="16" x14ac:dyDescent="0.2">
      <c r="A1666" s="561">
        <v>46082</v>
      </c>
      <c r="B1666" s="562">
        <v>2026</v>
      </c>
      <c r="C1666" s="563">
        <v>3</v>
      </c>
      <c r="D1666" s="564">
        <v>9</v>
      </c>
      <c r="E1666" s="564">
        <v>1</v>
      </c>
      <c r="F1666" s="565" t="s">
        <v>64</v>
      </c>
      <c r="G1666" s="563" t="s">
        <v>209</v>
      </c>
      <c r="H1666" s="563" t="s">
        <v>212</v>
      </c>
      <c r="I1666" s="566">
        <v>10500000</v>
      </c>
    </row>
    <row r="1667" spans="1:9" ht="16" x14ac:dyDescent="0.2">
      <c r="A1667" s="567">
        <v>46082</v>
      </c>
      <c r="B1667" s="568">
        <v>2026</v>
      </c>
      <c r="C1667" s="569">
        <v>3</v>
      </c>
      <c r="D1667" s="570">
        <v>9</v>
      </c>
      <c r="E1667" s="570">
        <v>1</v>
      </c>
      <c r="F1667" s="571" t="s">
        <v>237</v>
      </c>
      <c r="G1667" s="569" t="s">
        <v>209</v>
      </c>
      <c r="H1667" s="569" t="s">
        <v>212</v>
      </c>
      <c r="I1667" s="572">
        <v>0</v>
      </c>
    </row>
    <row r="1668" spans="1:9" ht="16" x14ac:dyDescent="0.2">
      <c r="A1668" s="561">
        <v>46082</v>
      </c>
      <c r="B1668" s="562">
        <v>2026</v>
      </c>
      <c r="C1668" s="563">
        <v>3</v>
      </c>
      <c r="D1668" s="564">
        <v>9</v>
      </c>
      <c r="E1668" s="564">
        <v>1</v>
      </c>
      <c r="F1668" s="565" t="s">
        <v>11</v>
      </c>
      <c r="G1668" s="563" t="s">
        <v>11</v>
      </c>
      <c r="H1668" s="563" t="s">
        <v>212</v>
      </c>
      <c r="I1668" s="566">
        <v>12236800000</v>
      </c>
    </row>
    <row r="1669" spans="1:9" ht="16" x14ac:dyDescent="0.2">
      <c r="A1669" s="567">
        <v>46082</v>
      </c>
      <c r="B1669" s="568">
        <v>2026</v>
      </c>
      <c r="C1669" s="569">
        <v>3</v>
      </c>
      <c r="D1669" s="570">
        <v>9</v>
      </c>
      <c r="E1669" s="570">
        <v>1</v>
      </c>
      <c r="F1669" s="571" t="s">
        <v>221</v>
      </c>
      <c r="G1669" s="569" t="s">
        <v>207</v>
      </c>
      <c r="H1669" s="569" t="s">
        <v>212</v>
      </c>
      <c r="I1669" s="572">
        <v>0</v>
      </c>
    </row>
    <row r="1670" spans="1:9" ht="16" x14ac:dyDescent="0.2">
      <c r="A1670" s="561">
        <v>46082</v>
      </c>
      <c r="B1670" s="562">
        <v>2026</v>
      </c>
      <c r="C1670" s="563">
        <v>3</v>
      </c>
      <c r="D1670" s="564">
        <v>9</v>
      </c>
      <c r="E1670" s="564">
        <v>1</v>
      </c>
      <c r="F1670" s="565" t="s">
        <v>222</v>
      </c>
      <c r="G1670" s="563" t="s">
        <v>207</v>
      </c>
      <c r="H1670" s="563" t="s">
        <v>212</v>
      </c>
      <c r="I1670" s="566">
        <v>0</v>
      </c>
    </row>
    <row r="1671" spans="1:9" ht="16" x14ac:dyDescent="0.2">
      <c r="A1671" s="567">
        <v>46082</v>
      </c>
      <c r="B1671" s="568">
        <v>2026</v>
      </c>
      <c r="C1671" s="569">
        <v>3</v>
      </c>
      <c r="D1671" s="570">
        <v>9</v>
      </c>
      <c r="E1671" s="570">
        <v>1</v>
      </c>
      <c r="F1671" s="571" t="s">
        <v>223</v>
      </c>
      <c r="G1671" s="569" t="s">
        <v>207</v>
      </c>
      <c r="H1671" s="569" t="s">
        <v>212</v>
      </c>
      <c r="I1671" s="572">
        <v>0</v>
      </c>
    </row>
    <row r="1672" spans="1:9" ht="16" x14ac:dyDescent="0.2">
      <c r="A1672" s="561">
        <v>46082</v>
      </c>
      <c r="B1672" s="562">
        <v>2026</v>
      </c>
      <c r="C1672" s="563">
        <v>3</v>
      </c>
      <c r="D1672" s="564">
        <v>9</v>
      </c>
      <c r="E1672" s="564">
        <v>1</v>
      </c>
      <c r="F1672" s="565" t="s">
        <v>219</v>
      </c>
      <c r="G1672" s="563" t="s">
        <v>11</v>
      </c>
      <c r="H1672" s="563" t="s">
        <v>212</v>
      </c>
      <c r="I1672" s="566">
        <v>0</v>
      </c>
    </row>
    <row r="1673" spans="1:9" ht="16" x14ac:dyDescent="0.2">
      <c r="A1673" s="567">
        <v>46082</v>
      </c>
      <c r="B1673" s="568">
        <v>2026</v>
      </c>
      <c r="C1673" s="569">
        <v>3</v>
      </c>
      <c r="D1673" s="570">
        <v>9</v>
      </c>
      <c r="E1673" s="570">
        <v>1</v>
      </c>
      <c r="F1673" s="571" t="s">
        <v>19</v>
      </c>
      <c r="G1673" s="569" t="s">
        <v>19</v>
      </c>
      <c r="H1673" s="569" t="s">
        <v>214</v>
      </c>
      <c r="I1673" s="572">
        <v>11641212000</v>
      </c>
    </row>
    <row r="1674" spans="1:9" ht="16" x14ac:dyDescent="0.2">
      <c r="A1674" s="561">
        <v>46082</v>
      </c>
      <c r="B1674" s="562">
        <v>2026</v>
      </c>
      <c r="C1674" s="563">
        <v>3</v>
      </c>
      <c r="D1674" s="564">
        <v>9</v>
      </c>
      <c r="E1674" s="564">
        <v>1</v>
      </c>
      <c r="F1674" s="565" t="s">
        <v>62</v>
      </c>
      <c r="G1674" s="563" t="s">
        <v>62</v>
      </c>
      <c r="H1674" s="563" t="s">
        <v>216</v>
      </c>
      <c r="I1674" s="566">
        <v>355551409</v>
      </c>
    </row>
    <row r="1675" spans="1:9" ht="16" x14ac:dyDescent="0.2">
      <c r="A1675" s="567">
        <v>46082</v>
      </c>
      <c r="B1675" s="568">
        <v>2026</v>
      </c>
      <c r="C1675" s="569">
        <v>3</v>
      </c>
      <c r="D1675" s="570">
        <v>9</v>
      </c>
      <c r="E1675" s="570">
        <v>1</v>
      </c>
      <c r="F1675" s="571" t="s">
        <v>58</v>
      </c>
      <c r="G1675" s="569" t="s">
        <v>58</v>
      </c>
      <c r="H1675" s="569" t="s">
        <v>212</v>
      </c>
      <c r="I1675" s="572">
        <v>21000000</v>
      </c>
    </row>
    <row r="1676" spans="1:9" ht="16" x14ac:dyDescent="0.2">
      <c r="A1676" s="561">
        <v>46082</v>
      </c>
      <c r="B1676" s="562">
        <v>2026</v>
      </c>
      <c r="C1676" s="563">
        <v>3</v>
      </c>
      <c r="D1676" s="564">
        <v>9</v>
      </c>
      <c r="E1676" s="564">
        <v>1</v>
      </c>
      <c r="F1676" s="565" t="s">
        <v>61</v>
      </c>
      <c r="G1676" s="563" t="s">
        <v>61</v>
      </c>
      <c r="H1676" s="563" t="s">
        <v>214</v>
      </c>
      <c r="I1676" s="566">
        <v>62000000</v>
      </c>
    </row>
    <row r="1677" spans="1:9" ht="16" x14ac:dyDescent="0.2">
      <c r="A1677" s="567">
        <v>46082</v>
      </c>
      <c r="B1677" s="568">
        <v>2026</v>
      </c>
      <c r="C1677" s="569">
        <v>3</v>
      </c>
      <c r="D1677" s="570">
        <v>9</v>
      </c>
      <c r="E1677" s="570">
        <v>1</v>
      </c>
      <c r="F1677" s="571" t="s">
        <v>57</v>
      </c>
      <c r="G1677" s="569" t="s">
        <v>57</v>
      </c>
      <c r="H1677" s="569" t="s">
        <v>212</v>
      </c>
      <c r="I1677" s="572">
        <v>812230000</v>
      </c>
    </row>
    <row r="1678" spans="1:9" ht="16" x14ac:dyDescent="0.2">
      <c r="A1678" s="561">
        <v>46082</v>
      </c>
      <c r="B1678" s="562">
        <v>2026</v>
      </c>
      <c r="C1678" s="563">
        <v>3</v>
      </c>
      <c r="D1678" s="564">
        <v>9</v>
      </c>
      <c r="E1678" s="564">
        <v>1</v>
      </c>
      <c r="F1678" s="565" t="s">
        <v>63</v>
      </c>
      <c r="G1678" s="563" t="s">
        <v>63</v>
      </c>
      <c r="H1678" s="563" t="s">
        <v>214</v>
      </c>
      <c r="I1678" s="566">
        <v>272592000</v>
      </c>
    </row>
    <row r="1679" spans="1:9" ht="16" x14ac:dyDescent="0.2">
      <c r="A1679" s="567">
        <v>46082</v>
      </c>
      <c r="B1679" s="568">
        <v>2026</v>
      </c>
      <c r="C1679" s="569">
        <v>3</v>
      </c>
      <c r="D1679" s="570">
        <v>9</v>
      </c>
      <c r="E1679" s="570">
        <v>1</v>
      </c>
      <c r="F1679" s="571" t="s">
        <v>59</v>
      </c>
      <c r="G1679" s="569" t="s">
        <v>59</v>
      </c>
      <c r="H1679" s="569" t="s">
        <v>216</v>
      </c>
      <c r="I1679" s="572">
        <v>599289418</v>
      </c>
    </row>
    <row r="1680" spans="1:9" ht="16" x14ac:dyDescent="0.2">
      <c r="A1680" s="561">
        <v>46082</v>
      </c>
      <c r="B1680" s="562">
        <v>2026</v>
      </c>
      <c r="C1680" s="563">
        <v>3</v>
      </c>
      <c r="D1680" s="564">
        <v>9</v>
      </c>
      <c r="E1680" s="564">
        <v>1</v>
      </c>
      <c r="F1680" s="565" t="s">
        <v>31</v>
      </c>
      <c r="G1680" s="563" t="s">
        <v>175</v>
      </c>
      <c r="H1680" s="563" t="s">
        <v>212</v>
      </c>
      <c r="I1680" s="566">
        <v>2724510000</v>
      </c>
    </row>
    <row r="1681" spans="1:9" ht="16" x14ac:dyDescent="0.2">
      <c r="A1681" s="567">
        <v>46082</v>
      </c>
      <c r="B1681" s="568">
        <v>2026</v>
      </c>
      <c r="C1681" s="569">
        <v>3</v>
      </c>
      <c r="D1681" s="570">
        <v>9</v>
      </c>
      <c r="E1681" s="570">
        <v>1</v>
      </c>
      <c r="F1681" s="571" t="s">
        <v>234</v>
      </c>
      <c r="G1681" s="569" t="s">
        <v>210</v>
      </c>
      <c r="H1681" s="569" t="s">
        <v>214</v>
      </c>
      <c r="I1681" s="572">
        <v>298080000</v>
      </c>
    </row>
    <row r="1682" spans="1:9" ht="16" x14ac:dyDescent="0.2">
      <c r="A1682" s="561">
        <v>46083</v>
      </c>
      <c r="B1682" s="562">
        <v>2026</v>
      </c>
      <c r="C1682" s="563">
        <v>3</v>
      </c>
      <c r="D1682" s="564">
        <v>10</v>
      </c>
      <c r="E1682" s="564">
        <v>2</v>
      </c>
      <c r="F1682" s="565" t="s">
        <v>65</v>
      </c>
      <c r="G1682" s="563" t="s">
        <v>65</v>
      </c>
      <c r="H1682" s="563" t="s">
        <v>212</v>
      </c>
      <c r="I1682" s="566">
        <v>503600000</v>
      </c>
    </row>
    <row r="1683" spans="1:9" ht="16" x14ac:dyDescent="0.2">
      <c r="A1683" s="567">
        <v>46083</v>
      </c>
      <c r="B1683" s="568">
        <v>2026</v>
      </c>
      <c r="C1683" s="569">
        <v>3</v>
      </c>
      <c r="D1683" s="570">
        <v>10</v>
      </c>
      <c r="E1683" s="570">
        <v>2</v>
      </c>
      <c r="F1683" s="571" t="s">
        <v>66</v>
      </c>
      <c r="G1683" s="569" t="s">
        <v>66</v>
      </c>
      <c r="H1683" s="569" t="s">
        <v>216</v>
      </c>
      <c r="I1683" s="572">
        <v>346848287</v>
      </c>
    </row>
    <row r="1684" spans="1:9" ht="16" x14ac:dyDescent="0.2">
      <c r="A1684" s="561">
        <v>46083</v>
      </c>
      <c r="B1684" s="562">
        <v>2026</v>
      </c>
      <c r="C1684" s="563">
        <v>3</v>
      </c>
      <c r="D1684" s="564">
        <v>10</v>
      </c>
      <c r="E1684" s="564">
        <v>2</v>
      </c>
      <c r="F1684" s="565" t="s">
        <v>24</v>
      </c>
      <c r="G1684" s="563" t="s">
        <v>24</v>
      </c>
      <c r="H1684" s="563" t="s">
        <v>212</v>
      </c>
      <c r="I1684" s="566">
        <v>11842400000</v>
      </c>
    </row>
    <row r="1685" spans="1:9" ht="16" x14ac:dyDescent="0.2">
      <c r="A1685" s="567">
        <v>46083</v>
      </c>
      <c r="B1685" s="568">
        <v>2026</v>
      </c>
      <c r="C1685" s="569">
        <v>3</v>
      </c>
      <c r="D1685" s="570">
        <v>10</v>
      </c>
      <c r="E1685" s="570">
        <v>2</v>
      </c>
      <c r="F1685" s="571" t="s">
        <v>67</v>
      </c>
      <c r="G1685" s="569" t="s">
        <v>67</v>
      </c>
      <c r="H1685" s="569" t="s">
        <v>213</v>
      </c>
      <c r="I1685" s="572">
        <v>3209812806</v>
      </c>
    </row>
    <row r="1686" spans="1:9" ht="16" x14ac:dyDescent="0.2">
      <c r="A1686" s="561">
        <v>46083</v>
      </c>
      <c r="B1686" s="562">
        <v>2026</v>
      </c>
      <c r="C1686" s="563">
        <v>3</v>
      </c>
      <c r="D1686" s="564">
        <v>10</v>
      </c>
      <c r="E1686" s="564">
        <v>2</v>
      </c>
      <c r="F1686" s="565" t="s">
        <v>28</v>
      </c>
      <c r="G1686" s="563" t="s">
        <v>28</v>
      </c>
      <c r="H1686" s="563" t="s">
        <v>214</v>
      </c>
      <c r="I1686" s="566">
        <v>15727068000</v>
      </c>
    </row>
    <row r="1687" spans="1:9" ht="16" x14ac:dyDescent="0.2">
      <c r="A1687" s="567">
        <v>46083</v>
      </c>
      <c r="B1687" s="568">
        <v>2026</v>
      </c>
      <c r="C1687" s="569">
        <v>3</v>
      </c>
      <c r="D1687" s="570">
        <v>10</v>
      </c>
      <c r="E1687" s="570">
        <v>2</v>
      </c>
      <c r="F1687" s="571" t="s">
        <v>208</v>
      </c>
      <c r="G1687" s="569" t="s">
        <v>208</v>
      </c>
      <c r="H1687" s="569" t="s">
        <v>216</v>
      </c>
      <c r="I1687" s="572">
        <v>42606676</v>
      </c>
    </row>
    <row r="1688" spans="1:9" ht="16" x14ac:dyDescent="0.2">
      <c r="A1688" s="561">
        <v>46083</v>
      </c>
      <c r="B1688" s="562">
        <v>2026</v>
      </c>
      <c r="C1688" s="563">
        <v>3</v>
      </c>
      <c r="D1688" s="564">
        <v>10</v>
      </c>
      <c r="E1688" s="564">
        <v>2</v>
      </c>
      <c r="F1688" s="565" t="s">
        <v>60</v>
      </c>
      <c r="G1688" s="563" t="s">
        <v>60</v>
      </c>
      <c r="H1688" s="563" t="s">
        <v>212</v>
      </c>
      <c r="I1688" s="566">
        <v>137000000</v>
      </c>
    </row>
    <row r="1689" spans="1:9" ht="16" x14ac:dyDescent="0.2">
      <c r="A1689" s="567">
        <v>46083</v>
      </c>
      <c r="B1689" s="568">
        <v>2026</v>
      </c>
      <c r="C1689" s="569">
        <v>3</v>
      </c>
      <c r="D1689" s="570">
        <v>10</v>
      </c>
      <c r="E1689" s="570">
        <v>2</v>
      </c>
      <c r="F1689" s="571" t="s">
        <v>36</v>
      </c>
      <c r="G1689" s="569" t="s">
        <v>36</v>
      </c>
      <c r="H1689" s="569" t="s">
        <v>212</v>
      </c>
      <c r="I1689" s="572">
        <v>2425040000</v>
      </c>
    </row>
    <row r="1690" spans="1:9" ht="16" x14ac:dyDescent="0.2">
      <c r="A1690" s="561">
        <v>46083</v>
      </c>
      <c r="B1690" s="562">
        <v>2026</v>
      </c>
      <c r="C1690" s="563">
        <v>3</v>
      </c>
      <c r="D1690" s="564">
        <v>10</v>
      </c>
      <c r="E1690" s="564">
        <v>2</v>
      </c>
      <c r="F1690" s="565" t="s">
        <v>55</v>
      </c>
      <c r="G1690" s="563" t="s">
        <v>36</v>
      </c>
      <c r="H1690" s="563" t="s">
        <v>212</v>
      </c>
      <c r="I1690" s="566">
        <v>1602830000</v>
      </c>
    </row>
    <row r="1691" spans="1:9" ht="16" x14ac:dyDescent="0.2">
      <c r="A1691" s="567">
        <v>46083</v>
      </c>
      <c r="B1691" s="568">
        <v>2026</v>
      </c>
      <c r="C1691" s="569">
        <v>3</v>
      </c>
      <c r="D1691" s="570">
        <v>10</v>
      </c>
      <c r="E1691" s="570">
        <v>2</v>
      </c>
      <c r="F1691" s="571" t="s">
        <v>176</v>
      </c>
      <c r="G1691" s="569" t="s">
        <v>176</v>
      </c>
      <c r="H1691" s="569" t="s">
        <v>216</v>
      </c>
      <c r="I1691" s="572">
        <v>17596216</v>
      </c>
    </row>
    <row r="1692" spans="1:9" ht="16" x14ac:dyDescent="0.2">
      <c r="A1692" s="561">
        <v>46083</v>
      </c>
      <c r="B1692" s="562">
        <v>2026</v>
      </c>
      <c r="C1692" s="563">
        <v>3</v>
      </c>
      <c r="D1692" s="564">
        <v>10</v>
      </c>
      <c r="E1692" s="564">
        <v>2</v>
      </c>
      <c r="F1692" s="565" t="s">
        <v>39</v>
      </c>
      <c r="G1692" s="563" t="s">
        <v>176</v>
      </c>
      <c r="H1692" s="563" t="s">
        <v>216</v>
      </c>
      <c r="I1692" s="566">
        <v>1378449521</v>
      </c>
    </row>
    <row r="1693" spans="1:9" ht="16" x14ac:dyDescent="0.2">
      <c r="A1693" s="567">
        <v>46083</v>
      </c>
      <c r="B1693" s="568">
        <v>2026</v>
      </c>
      <c r="C1693" s="569">
        <v>3</v>
      </c>
      <c r="D1693" s="570">
        <v>10</v>
      </c>
      <c r="E1693" s="570">
        <v>2</v>
      </c>
      <c r="F1693" s="571" t="s">
        <v>206</v>
      </c>
      <c r="G1693" s="569" t="s">
        <v>206</v>
      </c>
      <c r="H1693" s="569" t="s">
        <v>212</v>
      </c>
      <c r="I1693" s="572">
        <v>0</v>
      </c>
    </row>
    <row r="1694" spans="1:9" ht="16" x14ac:dyDescent="0.2">
      <c r="A1694" s="561">
        <v>46083</v>
      </c>
      <c r="B1694" s="562">
        <v>2026</v>
      </c>
      <c r="C1694" s="563">
        <v>3</v>
      </c>
      <c r="D1694" s="564">
        <v>10</v>
      </c>
      <c r="E1694" s="564">
        <v>2</v>
      </c>
      <c r="F1694" s="565" t="s">
        <v>64</v>
      </c>
      <c r="G1694" s="563" t="s">
        <v>209</v>
      </c>
      <c r="H1694" s="563" t="s">
        <v>212</v>
      </c>
      <c r="I1694" s="566">
        <v>141000000</v>
      </c>
    </row>
    <row r="1695" spans="1:9" ht="16" x14ac:dyDescent="0.2">
      <c r="A1695" s="567">
        <v>46083</v>
      </c>
      <c r="B1695" s="568">
        <v>2026</v>
      </c>
      <c r="C1695" s="569">
        <v>3</v>
      </c>
      <c r="D1695" s="570">
        <v>10</v>
      </c>
      <c r="E1695" s="570">
        <v>2</v>
      </c>
      <c r="F1695" s="571" t="s">
        <v>237</v>
      </c>
      <c r="G1695" s="569" t="s">
        <v>209</v>
      </c>
      <c r="H1695" s="569" t="s">
        <v>212</v>
      </c>
      <c r="I1695" s="572">
        <v>0</v>
      </c>
    </row>
    <row r="1696" spans="1:9" ht="16" x14ac:dyDescent="0.2">
      <c r="A1696" s="561">
        <v>46083</v>
      </c>
      <c r="B1696" s="562">
        <v>2026</v>
      </c>
      <c r="C1696" s="563">
        <v>3</v>
      </c>
      <c r="D1696" s="564">
        <v>10</v>
      </c>
      <c r="E1696" s="564">
        <v>2</v>
      </c>
      <c r="F1696" s="565" t="s">
        <v>11</v>
      </c>
      <c r="G1696" s="563" t="s">
        <v>11</v>
      </c>
      <c r="H1696" s="563" t="s">
        <v>212</v>
      </c>
      <c r="I1696" s="566">
        <v>14738820000</v>
      </c>
    </row>
    <row r="1697" spans="1:9" ht="16" x14ac:dyDescent="0.2">
      <c r="A1697" s="567">
        <v>46083</v>
      </c>
      <c r="B1697" s="568">
        <v>2026</v>
      </c>
      <c r="C1697" s="569">
        <v>3</v>
      </c>
      <c r="D1697" s="570">
        <v>10</v>
      </c>
      <c r="E1697" s="570">
        <v>2</v>
      </c>
      <c r="F1697" s="571" t="s">
        <v>221</v>
      </c>
      <c r="G1697" s="569" t="s">
        <v>207</v>
      </c>
      <c r="H1697" s="569" t="s">
        <v>212</v>
      </c>
      <c r="I1697" s="572">
        <v>0</v>
      </c>
    </row>
    <row r="1698" spans="1:9" ht="16" x14ac:dyDescent="0.2">
      <c r="A1698" s="561">
        <v>46083</v>
      </c>
      <c r="B1698" s="562">
        <v>2026</v>
      </c>
      <c r="C1698" s="563">
        <v>3</v>
      </c>
      <c r="D1698" s="564">
        <v>10</v>
      </c>
      <c r="E1698" s="564">
        <v>2</v>
      </c>
      <c r="F1698" s="565" t="s">
        <v>222</v>
      </c>
      <c r="G1698" s="563" t="s">
        <v>207</v>
      </c>
      <c r="H1698" s="563" t="s">
        <v>212</v>
      </c>
      <c r="I1698" s="566">
        <v>0</v>
      </c>
    </row>
    <row r="1699" spans="1:9" ht="16" x14ac:dyDescent="0.2">
      <c r="A1699" s="567">
        <v>46083</v>
      </c>
      <c r="B1699" s="568">
        <v>2026</v>
      </c>
      <c r="C1699" s="569">
        <v>3</v>
      </c>
      <c r="D1699" s="570">
        <v>10</v>
      </c>
      <c r="E1699" s="570">
        <v>2</v>
      </c>
      <c r="F1699" s="571" t="s">
        <v>223</v>
      </c>
      <c r="G1699" s="569" t="s">
        <v>207</v>
      </c>
      <c r="H1699" s="569" t="s">
        <v>212</v>
      </c>
      <c r="I1699" s="572">
        <v>0</v>
      </c>
    </row>
    <row r="1700" spans="1:9" ht="16" x14ac:dyDescent="0.2">
      <c r="A1700" s="561">
        <v>46083</v>
      </c>
      <c r="B1700" s="562">
        <v>2026</v>
      </c>
      <c r="C1700" s="563">
        <v>3</v>
      </c>
      <c r="D1700" s="564">
        <v>10</v>
      </c>
      <c r="E1700" s="564">
        <v>2</v>
      </c>
      <c r="F1700" s="565" t="s">
        <v>219</v>
      </c>
      <c r="G1700" s="563" t="s">
        <v>11</v>
      </c>
      <c r="H1700" s="563" t="s">
        <v>212</v>
      </c>
      <c r="I1700" s="566">
        <v>0</v>
      </c>
    </row>
    <row r="1701" spans="1:9" ht="16" x14ac:dyDescent="0.2">
      <c r="A1701" s="567">
        <v>46083</v>
      </c>
      <c r="B1701" s="568">
        <v>2026</v>
      </c>
      <c r="C1701" s="569">
        <v>3</v>
      </c>
      <c r="D1701" s="570">
        <v>10</v>
      </c>
      <c r="E1701" s="570">
        <v>2</v>
      </c>
      <c r="F1701" s="571" t="s">
        <v>19</v>
      </c>
      <c r="G1701" s="569" t="s">
        <v>19</v>
      </c>
      <c r="H1701" s="569" t="s">
        <v>214</v>
      </c>
      <c r="I1701" s="572">
        <v>12564828000</v>
      </c>
    </row>
    <row r="1702" spans="1:9" ht="16" x14ac:dyDescent="0.2">
      <c r="A1702" s="561">
        <v>46083</v>
      </c>
      <c r="B1702" s="562">
        <v>2026</v>
      </c>
      <c r="C1702" s="563">
        <v>3</v>
      </c>
      <c r="D1702" s="564">
        <v>10</v>
      </c>
      <c r="E1702" s="564">
        <v>2</v>
      </c>
      <c r="F1702" s="565" t="s">
        <v>62</v>
      </c>
      <c r="G1702" s="563" t="s">
        <v>62</v>
      </c>
      <c r="H1702" s="563" t="s">
        <v>216</v>
      </c>
      <c r="I1702" s="566">
        <v>400719017</v>
      </c>
    </row>
    <row r="1703" spans="1:9" ht="16" x14ac:dyDescent="0.2">
      <c r="A1703" s="567">
        <v>46083</v>
      </c>
      <c r="B1703" s="568">
        <v>2026</v>
      </c>
      <c r="C1703" s="569">
        <v>3</v>
      </c>
      <c r="D1703" s="570">
        <v>10</v>
      </c>
      <c r="E1703" s="570">
        <v>2</v>
      </c>
      <c r="F1703" s="571" t="s">
        <v>58</v>
      </c>
      <c r="G1703" s="569" t="s">
        <v>58</v>
      </c>
      <c r="H1703" s="569" t="s">
        <v>212</v>
      </c>
      <c r="I1703" s="572">
        <v>21000000</v>
      </c>
    </row>
    <row r="1704" spans="1:9" ht="16" x14ac:dyDescent="0.2">
      <c r="A1704" s="561">
        <v>46083</v>
      </c>
      <c r="B1704" s="562">
        <v>2026</v>
      </c>
      <c r="C1704" s="563">
        <v>3</v>
      </c>
      <c r="D1704" s="564">
        <v>10</v>
      </c>
      <c r="E1704" s="564">
        <v>2</v>
      </c>
      <c r="F1704" s="565" t="s">
        <v>61</v>
      </c>
      <c r="G1704" s="563" t="s">
        <v>61</v>
      </c>
      <c r="H1704" s="563" t="s">
        <v>214</v>
      </c>
      <c r="I1704" s="566">
        <v>86000000</v>
      </c>
    </row>
    <row r="1705" spans="1:9" ht="16" x14ac:dyDescent="0.2">
      <c r="A1705" s="567">
        <v>46083</v>
      </c>
      <c r="B1705" s="568">
        <v>2026</v>
      </c>
      <c r="C1705" s="569">
        <v>3</v>
      </c>
      <c r="D1705" s="570">
        <v>10</v>
      </c>
      <c r="E1705" s="570">
        <v>2</v>
      </c>
      <c r="F1705" s="571" t="s">
        <v>57</v>
      </c>
      <c r="G1705" s="569" t="s">
        <v>57</v>
      </c>
      <c r="H1705" s="569" t="s">
        <v>212</v>
      </c>
      <c r="I1705" s="572">
        <v>674200000</v>
      </c>
    </row>
    <row r="1706" spans="1:9" ht="16" x14ac:dyDescent="0.2">
      <c r="A1706" s="561">
        <v>46083</v>
      </c>
      <c r="B1706" s="562">
        <v>2026</v>
      </c>
      <c r="C1706" s="563">
        <v>3</v>
      </c>
      <c r="D1706" s="564">
        <v>10</v>
      </c>
      <c r="E1706" s="564">
        <v>2</v>
      </c>
      <c r="F1706" s="565" t="s">
        <v>63</v>
      </c>
      <c r="G1706" s="563" t="s">
        <v>63</v>
      </c>
      <c r="H1706" s="563" t="s">
        <v>214</v>
      </c>
      <c r="I1706" s="566">
        <v>258120000</v>
      </c>
    </row>
    <row r="1707" spans="1:9" ht="16" x14ac:dyDescent="0.2">
      <c r="A1707" s="567">
        <v>46083</v>
      </c>
      <c r="B1707" s="568">
        <v>2026</v>
      </c>
      <c r="C1707" s="569">
        <v>3</v>
      </c>
      <c r="D1707" s="570">
        <v>10</v>
      </c>
      <c r="E1707" s="570">
        <v>2</v>
      </c>
      <c r="F1707" s="571" t="s">
        <v>59</v>
      </c>
      <c r="G1707" s="569" t="s">
        <v>59</v>
      </c>
      <c r="H1707" s="569" t="s">
        <v>216</v>
      </c>
      <c r="I1707" s="572">
        <v>879010061</v>
      </c>
    </row>
    <row r="1708" spans="1:9" ht="16" x14ac:dyDescent="0.2">
      <c r="A1708" s="561">
        <v>46083</v>
      </c>
      <c r="B1708" s="562">
        <v>2026</v>
      </c>
      <c r="C1708" s="563">
        <v>3</v>
      </c>
      <c r="D1708" s="564">
        <v>10</v>
      </c>
      <c r="E1708" s="564">
        <v>2</v>
      </c>
      <c r="F1708" s="565" t="s">
        <v>31</v>
      </c>
      <c r="G1708" s="563" t="s">
        <v>175</v>
      </c>
      <c r="H1708" s="563" t="s">
        <v>212</v>
      </c>
      <c r="I1708" s="566">
        <v>2953550000</v>
      </c>
    </row>
    <row r="1709" spans="1:9" ht="16" x14ac:dyDescent="0.2">
      <c r="A1709" s="567">
        <v>46083</v>
      </c>
      <c r="B1709" s="568">
        <v>2026</v>
      </c>
      <c r="C1709" s="569">
        <v>3</v>
      </c>
      <c r="D1709" s="570">
        <v>10</v>
      </c>
      <c r="E1709" s="570">
        <v>2</v>
      </c>
      <c r="F1709" s="571" t="s">
        <v>234</v>
      </c>
      <c r="G1709" s="569" t="s">
        <v>210</v>
      </c>
      <c r="H1709" s="569" t="s">
        <v>214</v>
      </c>
      <c r="I1709" s="572">
        <v>275400000</v>
      </c>
    </row>
    <row r="1710" spans="1:9" ht="16" x14ac:dyDescent="0.2">
      <c r="A1710" s="561">
        <v>46084</v>
      </c>
      <c r="B1710" s="562">
        <v>2026</v>
      </c>
      <c r="C1710" s="563">
        <v>3</v>
      </c>
      <c r="D1710" s="564">
        <v>10</v>
      </c>
      <c r="E1710" s="564">
        <v>3</v>
      </c>
      <c r="F1710" s="565" t="s">
        <v>65</v>
      </c>
      <c r="G1710" s="563" t="s">
        <v>65</v>
      </c>
      <c r="H1710" s="563" t="s">
        <v>212</v>
      </c>
      <c r="I1710" s="566">
        <v>611750000</v>
      </c>
    </row>
    <row r="1711" spans="1:9" ht="16" x14ac:dyDescent="0.2">
      <c r="A1711" s="567">
        <v>46084</v>
      </c>
      <c r="B1711" s="568">
        <v>2026</v>
      </c>
      <c r="C1711" s="569">
        <v>3</v>
      </c>
      <c r="D1711" s="570">
        <v>10</v>
      </c>
      <c r="E1711" s="570">
        <v>3</v>
      </c>
      <c r="F1711" s="571" t="s">
        <v>66</v>
      </c>
      <c r="G1711" s="569" t="s">
        <v>66</v>
      </c>
      <c r="H1711" s="569" t="s">
        <v>216</v>
      </c>
      <c r="I1711" s="572">
        <v>372685557</v>
      </c>
    </row>
    <row r="1712" spans="1:9" ht="16" x14ac:dyDescent="0.2">
      <c r="A1712" s="561">
        <v>46084</v>
      </c>
      <c r="B1712" s="562">
        <v>2026</v>
      </c>
      <c r="C1712" s="563">
        <v>3</v>
      </c>
      <c r="D1712" s="564">
        <v>10</v>
      </c>
      <c r="E1712" s="564">
        <v>3</v>
      </c>
      <c r="F1712" s="565" t="s">
        <v>24</v>
      </c>
      <c r="G1712" s="563" t="s">
        <v>24</v>
      </c>
      <c r="H1712" s="563" t="s">
        <v>212</v>
      </c>
      <c r="I1712" s="566">
        <v>11512230000</v>
      </c>
    </row>
    <row r="1713" spans="1:9" ht="16" x14ac:dyDescent="0.2">
      <c r="A1713" s="567">
        <v>46084</v>
      </c>
      <c r="B1713" s="568">
        <v>2026</v>
      </c>
      <c r="C1713" s="569">
        <v>3</v>
      </c>
      <c r="D1713" s="570">
        <v>10</v>
      </c>
      <c r="E1713" s="570">
        <v>3</v>
      </c>
      <c r="F1713" s="571" t="s">
        <v>67</v>
      </c>
      <c r="G1713" s="569" t="s">
        <v>67</v>
      </c>
      <c r="H1713" s="569" t="s">
        <v>213</v>
      </c>
      <c r="I1713" s="572">
        <v>2529067397</v>
      </c>
    </row>
    <row r="1714" spans="1:9" ht="16" x14ac:dyDescent="0.2">
      <c r="A1714" s="561">
        <v>46084</v>
      </c>
      <c r="B1714" s="562">
        <v>2026</v>
      </c>
      <c r="C1714" s="563">
        <v>3</v>
      </c>
      <c r="D1714" s="564">
        <v>10</v>
      </c>
      <c r="E1714" s="564">
        <v>3</v>
      </c>
      <c r="F1714" s="565" t="s">
        <v>28</v>
      </c>
      <c r="G1714" s="563" t="s">
        <v>28</v>
      </c>
      <c r="H1714" s="563" t="s">
        <v>214</v>
      </c>
      <c r="I1714" s="566">
        <v>14775372000</v>
      </c>
    </row>
    <row r="1715" spans="1:9" ht="16" x14ac:dyDescent="0.2">
      <c r="A1715" s="567">
        <v>46084</v>
      </c>
      <c r="B1715" s="568">
        <v>2026</v>
      </c>
      <c r="C1715" s="569">
        <v>3</v>
      </c>
      <c r="D1715" s="570">
        <v>10</v>
      </c>
      <c r="E1715" s="570">
        <v>3</v>
      </c>
      <c r="F1715" s="571" t="s">
        <v>208</v>
      </c>
      <c r="G1715" s="569" t="s">
        <v>208</v>
      </c>
      <c r="H1715" s="569" t="s">
        <v>216</v>
      </c>
      <c r="I1715" s="572">
        <v>37758534</v>
      </c>
    </row>
    <row r="1716" spans="1:9" ht="16" x14ac:dyDescent="0.2">
      <c r="A1716" s="561">
        <v>46084</v>
      </c>
      <c r="B1716" s="562">
        <v>2026</v>
      </c>
      <c r="C1716" s="563">
        <v>3</v>
      </c>
      <c r="D1716" s="564">
        <v>10</v>
      </c>
      <c r="E1716" s="564">
        <v>3</v>
      </c>
      <c r="F1716" s="565" t="s">
        <v>60</v>
      </c>
      <c r="G1716" s="563" t="s">
        <v>60</v>
      </c>
      <c r="H1716" s="563" t="s">
        <v>212</v>
      </c>
      <c r="I1716" s="566">
        <v>0</v>
      </c>
    </row>
    <row r="1717" spans="1:9" ht="16" x14ac:dyDescent="0.2">
      <c r="A1717" s="567">
        <v>46084</v>
      </c>
      <c r="B1717" s="568">
        <v>2026</v>
      </c>
      <c r="C1717" s="569">
        <v>3</v>
      </c>
      <c r="D1717" s="570">
        <v>10</v>
      </c>
      <c r="E1717" s="570">
        <v>3</v>
      </c>
      <c r="F1717" s="571" t="s">
        <v>36</v>
      </c>
      <c r="G1717" s="569" t="s">
        <v>36</v>
      </c>
      <c r="H1717" s="569" t="s">
        <v>212</v>
      </c>
      <c r="I1717" s="572">
        <v>2675990000</v>
      </c>
    </row>
    <row r="1718" spans="1:9" ht="16" x14ac:dyDescent="0.2">
      <c r="A1718" s="561">
        <v>46084</v>
      </c>
      <c r="B1718" s="562">
        <v>2026</v>
      </c>
      <c r="C1718" s="563">
        <v>3</v>
      </c>
      <c r="D1718" s="564">
        <v>10</v>
      </c>
      <c r="E1718" s="564">
        <v>3</v>
      </c>
      <c r="F1718" s="565" t="s">
        <v>55</v>
      </c>
      <c r="G1718" s="563" t="s">
        <v>36</v>
      </c>
      <c r="H1718" s="563" t="s">
        <v>212</v>
      </c>
      <c r="I1718" s="566">
        <v>894900000</v>
      </c>
    </row>
    <row r="1719" spans="1:9" ht="16" x14ac:dyDescent="0.2">
      <c r="A1719" s="567">
        <v>46084</v>
      </c>
      <c r="B1719" s="568">
        <v>2026</v>
      </c>
      <c r="C1719" s="569">
        <v>3</v>
      </c>
      <c r="D1719" s="570">
        <v>10</v>
      </c>
      <c r="E1719" s="570">
        <v>3</v>
      </c>
      <c r="F1719" s="571" t="s">
        <v>176</v>
      </c>
      <c r="G1719" s="569" t="s">
        <v>176</v>
      </c>
      <c r="H1719" s="569" t="s">
        <v>216</v>
      </c>
      <c r="I1719" s="572">
        <v>45301170</v>
      </c>
    </row>
    <row r="1720" spans="1:9" ht="16" x14ac:dyDescent="0.2">
      <c r="A1720" s="561">
        <v>46084</v>
      </c>
      <c r="B1720" s="562">
        <v>2026</v>
      </c>
      <c r="C1720" s="563">
        <v>3</v>
      </c>
      <c r="D1720" s="564">
        <v>10</v>
      </c>
      <c r="E1720" s="564">
        <v>3</v>
      </c>
      <c r="F1720" s="565" t="s">
        <v>39</v>
      </c>
      <c r="G1720" s="563" t="s">
        <v>176</v>
      </c>
      <c r="H1720" s="563" t="s">
        <v>216</v>
      </c>
      <c r="I1720" s="566">
        <v>1690329959</v>
      </c>
    </row>
    <row r="1721" spans="1:9" ht="16" x14ac:dyDescent="0.2">
      <c r="A1721" s="567">
        <v>46084</v>
      </c>
      <c r="B1721" s="568">
        <v>2026</v>
      </c>
      <c r="C1721" s="569">
        <v>3</v>
      </c>
      <c r="D1721" s="570">
        <v>10</v>
      </c>
      <c r="E1721" s="570">
        <v>3</v>
      </c>
      <c r="F1721" s="571" t="s">
        <v>206</v>
      </c>
      <c r="G1721" s="569" t="s">
        <v>206</v>
      </c>
      <c r="H1721" s="569" t="s">
        <v>212</v>
      </c>
      <c r="I1721" s="572">
        <v>0</v>
      </c>
    </row>
    <row r="1722" spans="1:9" ht="16" x14ac:dyDescent="0.2">
      <c r="A1722" s="561">
        <v>46084</v>
      </c>
      <c r="B1722" s="562">
        <v>2026</v>
      </c>
      <c r="C1722" s="563">
        <v>3</v>
      </c>
      <c r="D1722" s="564">
        <v>10</v>
      </c>
      <c r="E1722" s="564">
        <v>3</v>
      </c>
      <c r="F1722" s="565" t="s">
        <v>64</v>
      </c>
      <c r="G1722" s="563" t="s">
        <v>209</v>
      </c>
      <c r="H1722" s="563" t="s">
        <v>212</v>
      </c>
      <c r="I1722" s="566">
        <v>57750000</v>
      </c>
    </row>
    <row r="1723" spans="1:9" ht="16" x14ac:dyDescent="0.2">
      <c r="A1723" s="567">
        <v>46084</v>
      </c>
      <c r="B1723" s="568">
        <v>2026</v>
      </c>
      <c r="C1723" s="569">
        <v>3</v>
      </c>
      <c r="D1723" s="570">
        <v>10</v>
      </c>
      <c r="E1723" s="570">
        <v>3</v>
      </c>
      <c r="F1723" s="571" t="s">
        <v>237</v>
      </c>
      <c r="G1723" s="569" t="s">
        <v>209</v>
      </c>
      <c r="H1723" s="569" t="s">
        <v>212</v>
      </c>
      <c r="I1723" s="572">
        <v>180000000</v>
      </c>
    </row>
    <row r="1724" spans="1:9" ht="16" x14ac:dyDescent="0.2">
      <c r="A1724" s="561">
        <v>46084</v>
      </c>
      <c r="B1724" s="562">
        <v>2026</v>
      </c>
      <c r="C1724" s="563">
        <v>3</v>
      </c>
      <c r="D1724" s="564">
        <v>10</v>
      </c>
      <c r="E1724" s="564">
        <v>3</v>
      </c>
      <c r="F1724" s="565" t="s">
        <v>11</v>
      </c>
      <c r="G1724" s="563" t="s">
        <v>11</v>
      </c>
      <c r="H1724" s="563" t="s">
        <v>212</v>
      </c>
      <c r="I1724" s="566">
        <v>15084270000</v>
      </c>
    </row>
    <row r="1725" spans="1:9" ht="16" x14ac:dyDescent="0.2">
      <c r="A1725" s="567">
        <v>46084</v>
      </c>
      <c r="B1725" s="568">
        <v>2026</v>
      </c>
      <c r="C1725" s="569">
        <v>3</v>
      </c>
      <c r="D1725" s="570">
        <v>10</v>
      </c>
      <c r="E1725" s="570">
        <v>3</v>
      </c>
      <c r="F1725" s="571" t="s">
        <v>221</v>
      </c>
      <c r="G1725" s="569" t="s">
        <v>207</v>
      </c>
      <c r="H1725" s="569" t="s">
        <v>212</v>
      </c>
      <c r="I1725" s="572">
        <v>0</v>
      </c>
    </row>
    <row r="1726" spans="1:9" ht="16" x14ac:dyDescent="0.2">
      <c r="A1726" s="561">
        <v>46084</v>
      </c>
      <c r="B1726" s="562">
        <v>2026</v>
      </c>
      <c r="C1726" s="563">
        <v>3</v>
      </c>
      <c r="D1726" s="564">
        <v>10</v>
      </c>
      <c r="E1726" s="564">
        <v>3</v>
      </c>
      <c r="F1726" s="565" t="s">
        <v>222</v>
      </c>
      <c r="G1726" s="563" t="s">
        <v>207</v>
      </c>
      <c r="H1726" s="563" t="s">
        <v>212</v>
      </c>
      <c r="I1726" s="566">
        <v>0</v>
      </c>
    </row>
    <row r="1727" spans="1:9" ht="16" x14ac:dyDescent="0.2">
      <c r="A1727" s="567">
        <v>46084</v>
      </c>
      <c r="B1727" s="568">
        <v>2026</v>
      </c>
      <c r="C1727" s="569">
        <v>3</v>
      </c>
      <c r="D1727" s="570">
        <v>10</v>
      </c>
      <c r="E1727" s="570">
        <v>3</v>
      </c>
      <c r="F1727" s="571" t="s">
        <v>223</v>
      </c>
      <c r="G1727" s="569" t="s">
        <v>207</v>
      </c>
      <c r="H1727" s="569" t="s">
        <v>212</v>
      </c>
      <c r="I1727" s="572">
        <v>0</v>
      </c>
    </row>
    <row r="1728" spans="1:9" ht="16" x14ac:dyDescent="0.2">
      <c r="A1728" s="561">
        <v>46084</v>
      </c>
      <c r="B1728" s="562">
        <v>2026</v>
      </c>
      <c r="C1728" s="563">
        <v>3</v>
      </c>
      <c r="D1728" s="564">
        <v>10</v>
      </c>
      <c r="E1728" s="564">
        <v>3</v>
      </c>
      <c r="F1728" s="565" t="s">
        <v>219</v>
      </c>
      <c r="G1728" s="563" t="s">
        <v>11</v>
      </c>
      <c r="H1728" s="563" t="s">
        <v>212</v>
      </c>
      <c r="I1728" s="566">
        <v>0</v>
      </c>
    </row>
    <row r="1729" spans="1:9" ht="16" x14ac:dyDescent="0.2">
      <c r="A1729" s="567">
        <v>46084</v>
      </c>
      <c r="B1729" s="568">
        <v>2026</v>
      </c>
      <c r="C1729" s="569">
        <v>3</v>
      </c>
      <c r="D1729" s="570">
        <v>10</v>
      </c>
      <c r="E1729" s="570">
        <v>3</v>
      </c>
      <c r="F1729" s="571" t="s">
        <v>19</v>
      </c>
      <c r="G1729" s="569" t="s">
        <v>19</v>
      </c>
      <c r="H1729" s="569" t="s">
        <v>214</v>
      </c>
      <c r="I1729" s="572">
        <v>11459340000</v>
      </c>
    </row>
    <row r="1730" spans="1:9" ht="16" x14ac:dyDescent="0.2">
      <c r="A1730" s="561">
        <v>46084</v>
      </c>
      <c r="B1730" s="562">
        <v>2026</v>
      </c>
      <c r="C1730" s="563">
        <v>3</v>
      </c>
      <c r="D1730" s="564">
        <v>10</v>
      </c>
      <c r="E1730" s="564">
        <v>3</v>
      </c>
      <c r="F1730" s="565" t="s">
        <v>62</v>
      </c>
      <c r="G1730" s="563" t="s">
        <v>62</v>
      </c>
      <c r="H1730" s="563" t="s">
        <v>216</v>
      </c>
      <c r="I1730" s="566">
        <v>422286618</v>
      </c>
    </row>
    <row r="1731" spans="1:9" ht="16" x14ac:dyDescent="0.2">
      <c r="A1731" s="567">
        <v>46084</v>
      </c>
      <c r="B1731" s="568">
        <v>2026</v>
      </c>
      <c r="C1731" s="569">
        <v>3</v>
      </c>
      <c r="D1731" s="570">
        <v>10</v>
      </c>
      <c r="E1731" s="570">
        <v>3</v>
      </c>
      <c r="F1731" s="571" t="s">
        <v>58</v>
      </c>
      <c r="G1731" s="569" t="s">
        <v>58</v>
      </c>
      <c r="H1731" s="569" t="s">
        <v>212</v>
      </c>
      <c r="I1731" s="572">
        <v>42000000</v>
      </c>
    </row>
    <row r="1732" spans="1:9" ht="16" x14ac:dyDescent="0.2">
      <c r="A1732" s="561">
        <v>46084</v>
      </c>
      <c r="B1732" s="562">
        <v>2026</v>
      </c>
      <c r="C1732" s="563">
        <v>3</v>
      </c>
      <c r="D1732" s="564">
        <v>10</v>
      </c>
      <c r="E1732" s="564">
        <v>3</v>
      </c>
      <c r="F1732" s="565" t="s">
        <v>61</v>
      </c>
      <c r="G1732" s="563" t="s">
        <v>61</v>
      </c>
      <c r="H1732" s="563" t="s">
        <v>214</v>
      </c>
      <c r="I1732" s="566">
        <v>44000000</v>
      </c>
    </row>
    <row r="1733" spans="1:9" ht="16" x14ac:dyDescent="0.2">
      <c r="A1733" s="567">
        <v>46084</v>
      </c>
      <c r="B1733" s="568">
        <v>2026</v>
      </c>
      <c r="C1733" s="569">
        <v>3</v>
      </c>
      <c r="D1733" s="570">
        <v>10</v>
      </c>
      <c r="E1733" s="570">
        <v>3</v>
      </c>
      <c r="F1733" s="571" t="s">
        <v>57</v>
      </c>
      <c r="G1733" s="569" t="s">
        <v>57</v>
      </c>
      <c r="H1733" s="569" t="s">
        <v>212</v>
      </c>
      <c r="I1733" s="572">
        <v>680480000</v>
      </c>
    </row>
    <row r="1734" spans="1:9" ht="16" x14ac:dyDescent="0.2">
      <c r="A1734" s="561">
        <v>46084</v>
      </c>
      <c r="B1734" s="562">
        <v>2026</v>
      </c>
      <c r="C1734" s="563">
        <v>3</v>
      </c>
      <c r="D1734" s="564">
        <v>10</v>
      </c>
      <c r="E1734" s="564">
        <v>3</v>
      </c>
      <c r="F1734" s="565" t="s">
        <v>63</v>
      </c>
      <c r="G1734" s="563" t="s">
        <v>63</v>
      </c>
      <c r="H1734" s="563" t="s">
        <v>214</v>
      </c>
      <c r="I1734" s="566">
        <v>370872000</v>
      </c>
    </row>
    <row r="1735" spans="1:9" ht="16" x14ac:dyDescent="0.2">
      <c r="A1735" s="567">
        <v>46084</v>
      </c>
      <c r="B1735" s="568">
        <v>2026</v>
      </c>
      <c r="C1735" s="569">
        <v>3</v>
      </c>
      <c r="D1735" s="570">
        <v>10</v>
      </c>
      <c r="E1735" s="570">
        <v>3</v>
      </c>
      <c r="F1735" s="571" t="s">
        <v>59</v>
      </c>
      <c r="G1735" s="569" t="s">
        <v>59</v>
      </c>
      <c r="H1735" s="569" t="s">
        <v>216</v>
      </c>
      <c r="I1735" s="572">
        <v>938862337</v>
      </c>
    </row>
    <row r="1736" spans="1:9" ht="16" x14ac:dyDescent="0.2">
      <c r="A1736" s="561">
        <v>46084</v>
      </c>
      <c r="B1736" s="562">
        <v>2026</v>
      </c>
      <c r="C1736" s="563">
        <v>3</v>
      </c>
      <c r="D1736" s="564">
        <v>10</v>
      </c>
      <c r="E1736" s="564">
        <v>3</v>
      </c>
      <c r="F1736" s="565" t="s">
        <v>31</v>
      </c>
      <c r="G1736" s="563" t="s">
        <v>175</v>
      </c>
      <c r="H1736" s="563" t="s">
        <v>212</v>
      </c>
      <c r="I1736" s="566">
        <v>3363900000</v>
      </c>
    </row>
    <row r="1737" spans="1:9" ht="16" x14ac:dyDescent="0.2">
      <c r="A1737" s="567">
        <v>46084</v>
      </c>
      <c r="B1737" s="568">
        <v>2026</v>
      </c>
      <c r="C1737" s="569">
        <v>3</v>
      </c>
      <c r="D1737" s="570">
        <v>10</v>
      </c>
      <c r="E1737" s="570">
        <v>3</v>
      </c>
      <c r="F1737" s="571" t="s">
        <v>234</v>
      </c>
      <c r="G1737" s="569" t="s">
        <v>210</v>
      </c>
      <c r="H1737" s="569" t="s">
        <v>214</v>
      </c>
      <c r="I1737" s="572">
        <v>241920000</v>
      </c>
    </row>
    <row r="1738" spans="1:9" ht="16" x14ac:dyDescent="0.2">
      <c r="A1738" s="561">
        <v>46085</v>
      </c>
      <c r="B1738" s="562">
        <v>2026</v>
      </c>
      <c r="C1738" s="563">
        <v>3</v>
      </c>
      <c r="D1738" s="564">
        <v>10</v>
      </c>
      <c r="E1738" s="564">
        <v>4</v>
      </c>
      <c r="F1738" s="565" t="s">
        <v>65</v>
      </c>
      <c r="G1738" s="563" t="s">
        <v>65</v>
      </c>
      <c r="H1738" s="563" t="s">
        <v>212</v>
      </c>
      <c r="I1738" s="566">
        <v>931600000</v>
      </c>
    </row>
    <row r="1739" spans="1:9" ht="16" x14ac:dyDescent="0.2">
      <c r="A1739" s="567">
        <v>46085</v>
      </c>
      <c r="B1739" s="568">
        <v>2026</v>
      </c>
      <c r="C1739" s="569">
        <v>3</v>
      </c>
      <c r="D1739" s="570">
        <v>10</v>
      </c>
      <c r="E1739" s="570">
        <v>4</v>
      </c>
      <c r="F1739" s="571" t="s">
        <v>66</v>
      </c>
      <c r="G1739" s="569" t="s">
        <v>66</v>
      </c>
      <c r="H1739" s="569" t="s">
        <v>216</v>
      </c>
      <c r="I1739" s="572">
        <v>382729387</v>
      </c>
    </row>
    <row r="1740" spans="1:9" ht="16" x14ac:dyDescent="0.2">
      <c r="A1740" s="561">
        <v>46085</v>
      </c>
      <c r="B1740" s="562">
        <v>2026</v>
      </c>
      <c r="C1740" s="563">
        <v>3</v>
      </c>
      <c r="D1740" s="564">
        <v>10</v>
      </c>
      <c r="E1740" s="564">
        <v>4</v>
      </c>
      <c r="F1740" s="565" t="s">
        <v>24</v>
      </c>
      <c r="G1740" s="563" t="s">
        <v>24</v>
      </c>
      <c r="H1740" s="563" t="s">
        <v>212</v>
      </c>
      <c r="I1740" s="566">
        <v>10237060000</v>
      </c>
    </row>
    <row r="1741" spans="1:9" ht="16" x14ac:dyDescent="0.2">
      <c r="A1741" s="567">
        <v>46085</v>
      </c>
      <c r="B1741" s="568">
        <v>2026</v>
      </c>
      <c r="C1741" s="569">
        <v>3</v>
      </c>
      <c r="D1741" s="570">
        <v>10</v>
      </c>
      <c r="E1741" s="570">
        <v>4</v>
      </c>
      <c r="F1741" s="571" t="s">
        <v>67</v>
      </c>
      <c r="G1741" s="569" t="s">
        <v>67</v>
      </c>
      <c r="H1741" s="569" t="s">
        <v>213</v>
      </c>
      <c r="I1741" s="572">
        <v>2109105849</v>
      </c>
    </row>
    <row r="1742" spans="1:9" ht="16" x14ac:dyDescent="0.2">
      <c r="A1742" s="561">
        <v>46085</v>
      </c>
      <c r="B1742" s="562">
        <v>2026</v>
      </c>
      <c r="C1742" s="563">
        <v>3</v>
      </c>
      <c r="D1742" s="564">
        <v>10</v>
      </c>
      <c r="E1742" s="564">
        <v>4</v>
      </c>
      <c r="F1742" s="565" t="s">
        <v>28</v>
      </c>
      <c r="G1742" s="563" t="s">
        <v>28</v>
      </c>
      <c r="H1742" s="563" t="s">
        <v>214</v>
      </c>
      <c r="I1742" s="566">
        <v>14409900000</v>
      </c>
    </row>
    <row r="1743" spans="1:9" ht="16" x14ac:dyDescent="0.2">
      <c r="A1743" s="567">
        <v>46085</v>
      </c>
      <c r="B1743" s="568">
        <v>2026</v>
      </c>
      <c r="C1743" s="569">
        <v>3</v>
      </c>
      <c r="D1743" s="570">
        <v>10</v>
      </c>
      <c r="E1743" s="570">
        <v>4</v>
      </c>
      <c r="F1743" s="571" t="s">
        <v>208</v>
      </c>
      <c r="G1743" s="569" t="s">
        <v>208</v>
      </c>
      <c r="H1743" s="569" t="s">
        <v>216</v>
      </c>
      <c r="I1743" s="572">
        <v>29007207</v>
      </c>
    </row>
    <row r="1744" spans="1:9" ht="16" x14ac:dyDescent="0.2">
      <c r="A1744" s="561">
        <v>46085</v>
      </c>
      <c r="B1744" s="562">
        <v>2026</v>
      </c>
      <c r="C1744" s="563">
        <v>3</v>
      </c>
      <c r="D1744" s="564">
        <v>10</v>
      </c>
      <c r="E1744" s="564">
        <v>4</v>
      </c>
      <c r="F1744" s="565" t="s">
        <v>60</v>
      </c>
      <c r="G1744" s="563" t="s">
        <v>60</v>
      </c>
      <c r="H1744" s="563" t="s">
        <v>212</v>
      </c>
      <c r="I1744" s="566">
        <v>0</v>
      </c>
    </row>
    <row r="1745" spans="1:9" ht="16" x14ac:dyDescent="0.2">
      <c r="A1745" s="567">
        <v>46085</v>
      </c>
      <c r="B1745" s="568">
        <v>2026</v>
      </c>
      <c r="C1745" s="569">
        <v>3</v>
      </c>
      <c r="D1745" s="570">
        <v>10</v>
      </c>
      <c r="E1745" s="570">
        <v>4</v>
      </c>
      <c r="F1745" s="571" t="s">
        <v>36</v>
      </c>
      <c r="G1745" s="569" t="s">
        <v>36</v>
      </c>
      <c r="H1745" s="569" t="s">
        <v>212</v>
      </c>
      <c r="I1745" s="572">
        <v>2544310000</v>
      </c>
    </row>
    <row r="1746" spans="1:9" ht="16" x14ac:dyDescent="0.2">
      <c r="A1746" s="561">
        <v>46085</v>
      </c>
      <c r="B1746" s="562">
        <v>2026</v>
      </c>
      <c r="C1746" s="563">
        <v>3</v>
      </c>
      <c r="D1746" s="564">
        <v>10</v>
      </c>
      <c r="E1746" s="564">
        <v>4</v>
      </c>
      <c r="F1746" s="565" t="s">
        <v>55</v>
      </c>
      <c r="G1746" s="563" t="s">
        <v>36</v>
      </c>
      <c r="H1746" s="563" t="s">
        <v>212</v>
      </c>
      <c r="I1746" s="566">
        <v>530770000</v>
      </c>
    </row>
    <row r="1747" spans="1:9" ht="16" x14ac:dyDescent="0.2">
      <c r="A1747" s="567">
        <v>46085</v>
      </c>
      <c r="B1747" s="568">
        <v>2026</v>
      </c>
      <c r="C1747" s="569">
        <v>3</v>
      </c>
      <c r="D1747" s="570">
        <v>10</v>
      </c>
      <c r="E1747" s="570">
        <v>4</v>
      </c>
      <c r="F1747" s="571" t="s">
        <v>176</v>
      </c>
      <c r="G1747" s="569" t="s">
        <v>176</v>
      </c>
      <c r="H1747" s="569" t="s">
        <v>216</v>
      </c>
      <c r="I1747" s="572">
        <v>19140845</v>
      </c>
    </row>
    <row r="1748" spans="1:9" ht="16" x14ac:dyDescent="0.2">
      <c r="A1748" s="561">
        <v>46085</v>
      </c>
      <c r="B1748" s="562">
        <v>2026</v>
      </c>
      <c r="C1748" s="563">
        <v>3</v>
      </c>
      <c r="D1748" s="564">
        <v>10</v>
      </c>
      <c r="E1748" s="564">
        <v>4</v>
      </c>
      <c r="F1748" s="565" t="s">
        <v>39</v>
      </c>
      <c r="G1748" s="563" t="s">
        <v>176</v>
      </c>
      <c r="H1748" s="563" t="s">
        <v>216</v>
      </c>
      <c r="I1748" s="566">
        <v>1851851331</v>
      </c>
    </row>
    <row r="1749" spans="1:9" ht="16" x14ac:dyDescent="0.2">
      <c r="A1749" s="567">
        <v>46085</v>
      </c>
      <c r="B1749" s="568">
        <v>2026</v>
      </c>
      <c r="C1749" s="569">
        <v>3</v>
      </c>
      <c r="D1749" s="570">
        <v>10</v>
      </c>
      <c r="E1749" s="570">
        <v>4</v>
      </c>
      <c r="F1749" s="571" t="s">
        <v>206</v>
      </c>
      <c r="G1749" s="569" t="s">
        <v>206</v>
      </c>
      <c r="H1749" s="569" t="s">
        <v>212</v>
      </c>
      <c r="I1749" s="572">
        <v>0</v>
      </c>
    </row>
    <row r="1750" spans="1:9" ht="16" x14ac:dyDescent="0.2">
      <c r="A1750" s="561">
        <v>46085</v>
      </c>
      <c r="B1750" s="562">
        <v>2026</v>
      </c>
      <c r="C1750" s="563">
        <v>3</v>
      </c>
      <c r="D1750" s="564">
        <v>10</v>
      </c>
      <c r="E1750" s="564">
        <v>4</v>
      </c>
      <c r="F1750" s="565" t="s">
        <v>64</v>
      </c>
      <c r="G1750" s="563" t="s">
        <v>209</v>
      </c>
      <c r="H1750" s="563" t="s">
        <v>212</v>
      </c>
      <c r="I1750" s="566">
        <v>50500000</v>
      </c>
    </row>
    <row r="1751" spans="1:9" ht="16" x14ac:dyDescent="0.2">
      <c r="A1751" s="567">
        <v>46085</v>
      </c>
      <c r="B1751" s="568">
        <v>2026</v>
      </c>
      <c r="C1751" s="569">
        <v>3</v>
      </c>
      <c r="D1751" s="570">
        <v>10</v>
      </c>
      <c r="E1751" s="570">
        <v>4</v>
      </c>
      <c r="F1751" s="571" t="s">
        <v>237</v>
      </c>
      <c r="G1751" s="569" t="s">
        <v>209</v>
      </c>
      <c r="H1751" s="569" t="s">
        <v>212</v>
      </c>
      <c r="I1751" s="572">
        <v>0</v>
      </c>
    </row>
    <row r="1752" spans="1:9" ht="16" x14ac:dyDescent="0.2">
      <c r="A1752" s="561">
        <v>46085</v>
      </c>
      <c r="B1752" s="562">
        <v>2026</v>
      </c>
      <c r="C1752" s="563">
        <v>3</v>
      </c>
      <c r="D1752" s="564">
        <v>10</v>
      </c>
      <c r="E1752" s="564">
        <v>4</v>
      </c>
      <c r="F1752" s="565" t="s">
        <v>11</v>
      </c>
      <c r="G1752" s="563" t="s">
        <v>11</v>
      </c>
      <c r="H1752" s="563" t="s">
        <v>212</v>
      </c>
      <c r="I1752" s="566">
        <v>13872060000</v>
      </c>
    </row>
    <row r="1753" spans="1:9" ht="16" x14ac:dyDescent="0.2">
      <c r="A1753" s="567">
        <v>46085</v>
      </c>
      <c r="B1753" s="568">
        <v>2026</v>
      </c>
      <c r="C1753" s="569">
        <v>3</v>
      </c>
      <c r="D1753" s="570">
        <v>10</v>
      </c>
      <c r="E1753" s="570">
        <v>4</v>
      </c>
      <c r="F1753" s="571" t="s">
        <v>221</v>
      </c>
      <c r="G1753" s="569" t="s">
        <v>207</v>
      </c>
      <c r="H1753" s="569" t="s">
        <v>212</v>
      </c>
      <c r="I1753" s="572">
        <v>0</v>
      </c>
    </row>
    <row r="1754" spans="1:9" ht="16" x14ac:dyDescent="0.2">
      <c r="A1754" s="561">
        <v>46085</v>
      </c>
      <c r="B1754" s="562">
        <v>2026</v>
      </c>
      <c r="C1754" s="563">
        <v>3</v>
      </c>
      <c r="D1754" s="564">
        <v>10</v>
      </c>
      <c r="E1754" s="564">
        <v>4</v>
      </c>
      <c r="F1754" s="565" t="s">
        <v>222</v>
      </c>
      <c r="G1754" s="563" t="s">
        <v>207</v>
      </c>
      <c r="H1754" s="563" t="s">
        <v>212</v>
      </c>
      <c r="I1754" s="566">
        <v>0</v>
      </c>
    </row>
    <row r="1755" spans="1:9" ht="16" x14ac:dyDescent="0.2">
      <c r="A1755" s="567">
        <v>46085</v>
      </c>
      <c r="B1755" s="568">
        <v>2026</v>
      </c>
      <c r="C1755" s="569">
        <v>3</v>
      </c>
      <c r="D1755" s="570">
        <v>10</v>
      </c>
      <c r="E1755" s="570">
        <v>4</v>
      </c>
      <c r="F1755" s="571" t="s">
        <v>223</v>
      </c>
      <c r="G1755" s="569" t="s">
        <v>207</v>
      </c>
      <c r="H1755" s="569" t="s">
        <v>212</v>
      </c>
      <c r="I1755" s="572">
        <v>0</v>
      </c>
    </row>
    <row r="1756" spans="1:9" ht="16" x14ac:dyDescent="0.2">
      <c r="A1756" s="561">
        <v>46085</v>
      </c>
      <c r="B1756" s="562">
        <v>2026</v>
      </c>
      <c r="C1756" s="563">
        <v>3</v>
      </c>
      <c r="D1756" s="564">
        <v>10</v>
      </c>
      <c r="E1756" s="564">
        <v>4</v>
      </c>
      <c r="F1756" s="565" t="s">
        <v>219</v>
      </c>
      <c r="G1756" s="563" t="s">
        <v>11</v>
      </c>
      <c r="H1756" s="563" t="s">
        <v>212</v>
      </c>
      <c r="I1756" s="566">
        <v>0</v>
      </c>
    </row>
    <row r="1757" spans="1:9" ht="16" x14ac:dyDescent="0.2">
      <c r="A1757" s="567">
        <v>46085</v>
      </c>
      <c r="B1757" s="568">
        <v>2026</v>
      </c>
      <c r="C1757" s="569">
        <v>3</v>
      </c>
      <c r="D1757" s="570">
        <v>10</v>
      </c>
      <c r="E1757" s="570">
        <v>4</v>
      </c>
      <c r="F1757" s="571" t="s">
        <v>19</v>
      </c>
      <c r="G1757" s="569" t="s">
        <v>19</v>
      </c>
      <c r="H1757" s="569" t="s">
        <v>214</v>
      </c>
      <c r="I1757" s="572">
        <v>11243124000</v>
      </c>
    </row>
    <row r="1758" spans="1:9" ht="16" x14ac:dyDescent="0.2">
      <c r="A1758" s="561">
        <v>46085</v>
      </c>
      <c r="B1758" s="562">
        <v>2026</v>
      </c>
      <c r="C1758" s="563">
        <v>3</v>
      </c>
      <c r="D1758" s="564">
        <v>10</v>
      </c>
      <c r="E1758" s="564">
        <v>4</v>
      </c>
      <c r="F1758" s="565" t="s">
        <v>62</v>
      </c>
      <c r="G1758" s="563" t="s">
        <v>62</v>
      </c>
      <c r="H1758" s="563" t="s">
        <v>216</v>
      </c>
      <c r="I1758" s="566">
        <v>415009282</v>
      </c>
    </row>
    <row r="1759" spans="1:9" ht="16" x14ac:dyDescent="0.2">
      <c r="A1759" s="567">
        <v>46085</v>
      </c>
      <c r="B1759" s="568">
        <v>2026</v>
      </c>
      <c r="C1759" s="569">
        <v>3</v>
      </c>
      <c r="D1759" s="570">
        <v>10</v>
      </c>
      <c r="E1759" s="570">
        <v>4</v>
      </c>
      <c r="F1759" s="571" t="s">
        <v>58</v>
      </c>
      <c r="G1759" s="569" t="s">
        <v>58</v>
      </c>
      <c r="H1759" s="569" t="s">
        <v>212</v>
      </c>
      <c r="I1759" s="572">
        <v>21000000</v>
      </c>
    </row>
    <row r="1760" spans="1:9" ht="16" x14ac:dyDescent="0.2">
      <c r="A1760" s="561">
        <v>46085</v>
      </c>
      <c r="B1760" s="562">
        <v>2026</v>
      </c>
      <c r="C1760" s="563">
        <v>3</v>
      </c>
      <c r="D1760" s="564">
        <v>10</v>
      </c>
      <c r="E1760" s="564">
        <v>4</v>
      </c>
      <c r="F1760" s="565" t="s">
        <v>61</v>
      </c>
      <c r="G1760" s="563" t="s">
        <v>61</v>
      </c>
      <c r="H1760" s="563" t="s">
        <v>214</v>
      </c>
      <c r="I1760" s="566">
        <v>79000000</v>
      </c>
    </row>
    <row r="1761" spans="1:9" ht="16" x14ac:dyDescent="0.2">
      <c r="A1761" s="567">
        <v>46085</v>
      </c>
      <c r="B1761" s="568">
        <v>2026</v>
      </c>
      <c r="C1761" s="569">
        <v>3</v>
      </c>
      <c r="D1761" s="570">
        <v>10</v>
      </c>
      <c r="E1761" s="570">
        <v>4</v>
      </c>
      <c r="F1761" s="571" t="s">
        <v>57</v>
      </c>
      <c r="G1761" s="569" t="s">
        <v>57</v>
      </c>
      <c r="H1761" s="569" t="s">
        <v>212</v>
      </c>
      <c r="I1761" s="572">
        <v>823050000</v>
      </c>
    </row>
    <row r="1762" spans="1:9" ht="16" x14ac:dyDescent="0.2">
      <c r="A1762" s="561">
        <v>46085</v>
      </c>
      <c r="B1762" s="562">
        <v>2026</v>
      </c>
      <c r="C1762" s="563">
        <v>3</v>
      </c>
      <c r="D1762" s="564">
        <v>10</v>
      </c>
      <c r="E1762" s="564">
        <v>4</v>
      </c>
      <c r="F1762" s="565" t="s">
        <v>63</v>
      </c>
      <c r="G1762" s="563" t="s">
        <v>63</v>
      </c>
      <c r="H1762" s="563" t="s">
        <v>214</v>
      </c>
      <c r="I1762" s="566">
        <v>338364000</v>
      </c>
    </row>
    <row r="1763" spans="1:9" ht="16" x14ac:dyDescent="0.2">
      <c r="A1763" s="567">
        <v>46085</v>
      </c>
      <c r="B1763" s="568">
        <v>2026</v>
      </c>
      <c r="C1763" s="569">
        <v>3</v>
      </c>
      <c r="D1763" s="570">
        <v>10</v>
      </c>
      <c r="E1763" s="570">
        <v>4</v>
      </c>
      <c r="F1763" s="571" t="s">
        <v>59</v>
      </c>
      <c r="G1763" s="569" t="s">
        <v>59</v>
      </c>
      <c r="H1763" s="569" t="s">
        <v>216</v>
      </c>
      <c r="I1763" s="572">
        <v>1036822973</v>
      </c>
    </row>
    <row r="1764" spans="1:9" ht="16" x14ac:dyDescent="0.2">
      <c r="A1764" s="561">
        <v>46085</v>
      </c>
      <c r="B1764" s="562">
        <v>2026</v>
      </c>
      <c r="C1764" s="563">
        <v>3</v>
      </c>
      <c r="D1764" s="564">
        <v>10</v>
      </c>
      <c r="E1764" s="564">
        <v>4</v>
      </c>
      <c r="F1764" s="565" t="s">
        <v>31</v>
      </c>
      <c r="G1764" s="563" t="s">
        <v>175</v>
      </c>
      <c r="H1764" s="563" t="s">
        <v>212</v>
      </c>
      <c r="I1764" s="566">
        <v>3466000000</v>
      </c>
    </row>
    <row r="1765" spans="1:9" ht="16" x14ac:dyDescent="0.2">
      <c r="A1765" s="567">
        <v>46085</v>
      </c>
      <c r="B1765" s="568">
        <v>2026</v>
      </c>
      <c r="C1765" s="569">
        <v>3</v>
      </c>
      <c r="D1765" s="570">
        <v>10</v>
      </c>
      <c r="E1765" s="570">
        <v>4</v>
      </c>
      <c r="F1765" s="571" t="s">
        <v>234</v>
      </c>
      <c r="G1765" s="569" t="s">
        <v>210</v>
      </c>
      <c r="H1765" s="569" t="s">
        <v>214</v>
      </c>
      <c r="I1765" s="572">
        <v>246240000</v>
      </c>
    </row>
    <row r="1766" spans="1:9" ht="16" x14ac:dyDescent="0.2">
      <c r="A1766" s="561">
        <v>46086</v>
      </c>
      <c r="B1766" s="562">
        <v>2026</v>
      </c>
      <c r="C1766" s="563">
        <v>3</v>
      </c>
      <c r="D1766" s="564">
        <v>10</v>
      </c>
      <c r="E1766" s="564">
        <v>5</v>
      </c>
      <c r="F1766" s="565" t="s">
        <v>65</v>
      </c>
      <c r="G1766" s="563" t="s">
        <v>65</v>
      </c>
      <c r="H1766" s="563" t="s">
        <v>212</v>
      </c>
      <c r="I1766" s="566">
        <v>920400000</v>
      </c>
    </row>
    <row r="1767" spans="1:9" ht="16" x14ac:dyDescent="0.2">
      <c r="A1767" s="567">
        <v>46086</v>
      </c>
      <c r="B1767" s="568">
        <v>2026</v>
      </c>
      <c r="C1767" s="569">
        <v>3</v>
      </c>
      <c r="D1767" s="570">
        <v>10</v>
      </c>
      <c r="E1767" s="570">
        <v>5</v>
      </c>
      <c r="F1767" s="571" t="s">
        <v>66</v>
      </c>
      <c r="G1767" s="569" t="s">
        <v>66</v>
      </c>
      <c r="H1767" s="569" t="s">
        <v>216</v>
      </c>
      <c r="I1767" s="572">
        <v>381541237</v>
      </c>
    </row>
    <row r="1768" spans="1:9" ht="16" x14ac:dyDescent="0.2">
      <c r="A1768" s="561">
        <v>46086</v>
      </c>
      <c r="B1768" s="562">
        <v>2026</v>
      </c>
      <c r="C1768" s="563">
        <v>3</v>
      </c>
      <c r="D1768" s="564">
        <v>10</v>
      </c>
      <c r="E1768" s="564">
        <v>5</v>
      </c>
      <c r="F1768" s="565" t="s">
        <v>24</v>
      </c>
      <c r="G1768" s="563" t="s">
        <v>24</v>
      </c>
      <c r="H1768" s="563" t="s">
        <v>212</v>
      </c>
      <c r="I1768" s="566">
        <v>10802360000</v>
      </c>
    </row>
    <row r="1769" spans="1:9" ht="16" x14ac:dyDescent="0.2">
      <c r="A1769" s="567">
        <v>46086</v>
      </c>
      <c r="B1769" s="568">
        <v>2026</v>
      </c>
      <c r="C1769" s="569">
        <v>3</v>
      </c>
      <c r="D1769" s="570">
        <v>10</v>
      </c>
      <c r="E1769" s="570">
        <v>5</v>
      </c>
      <c r="F1769" s="571" t="s">
        <v>67</v>
      </c>
      <c r="G1769" s="569" t="s">
        <v>67</v>
      </c>
      <c r="H1769" s="569" t="s">
        <v>213</v>
      </c>
      <c r="I1769" s="572">
        <v>2570374691</v>
      </c>
    </row>
    <row r="1770" spans="1:9" ht="16" x14ac:dyDescent="0.2">
      <c r="A1770" s="561">
        <v>46086</v>
      </c>
      <c r="B1770" s="562">
        <v>2026</v>
      </c>
      <c r="C1770" s="563">
        <v>3</v>
      </c>
      <c r="D1770" s="564">
        <v>10</v>
      </c>
      <c r="E1770" s="564">
        <v>5</v>
      </c>
      <c r="F1770" s="565" t="s">
        <v>28</v>
      </c>
      <c r="G1770" s="563" t="s">
        <v>28</v>
      </c>
      <c r="H1770" s="563" t="s">
        <v>214</v>
      </c>
      <c r="I1770" s="566">
        <v>16653816000</v>
      </c>
    </row>
    <row r="1771" spans="1:9" ht="16" x14ac:dyDescent="0.2">
      <c r="A1771" s="567">
        <v>46086</v>
      </c>
      <c r="B1771" s="568">
        <v>2026</v>
      </c>
      <c r="C1771" s="569">
        <v>3</v>
      </c>
      <c r="D1771" s="570">
        <v>10</v>
      </c>
      <c r="E1771" s="570">
        <v>5</v>
      </c>
      <c r="F1771" s="571" t="s">
        <v>208</v>
      </c>
      <c r="G1771" s="569" t="s">
        <v>208</v>
      </c>
      <c r="H1771" s="569" t="s">
        <v>216</v>
      </c>
      <c r="I1771" s="572">
        <v>38027617</v>
      </c>
    </row>
    <row r="1772" spans="1:9" ht="16" x14ac:dyDescent="0.2">
      <c r="A1772" s="561">
        <v>46086</v>
      </c>
      <c r="B1772" s="562">
        <v>2026</v>
      </c>
      <c r="C1772" s="563">
        <v>3</v>
      </c>
      <c r="D1772" s="564">
        <v>10</v>
      </c>
      <c r="E1772" s="564">
        <v>5</v>
      </c>
      <c r="F1772" s="565" t="s">
        <v>60</v>
      </c>
      <c r="G1772" s="563" t="s">
        <v>60</v>
      </c>
      <c r="H1772" s="563" t="s">
        <v>212</v>
      </c>
      <c r="I1772" s="566">
        <v>0</v>
      </c>
    </row>
    <row r="1773" spans="1:9" ht="16" x14ac:dyDescent="0.2">
      <c r="A1773" s="567">
        <v>46086</v>
      </c>
      <c r="B1773" s="568">
        <v>2026</v>
      </c>
      <c r="C1773" s="569">
        <v>3</v>
      </c>
      <c r="D1773" s="570">
        <v>10</v>
      </c>
      <c r="E1773" s="570">
        <v>5</v>
      </c>
      <c r="F1773" s="571" t="s">
        <v>36</v>
      </c>
      <c r="G1773" s="569" t="s">
        <v>36</v>
      </c>
      <c r="H1773" s="569" t="s">
        <v>212</v>
      </c>
      <c r="I1773" s="572">
        <v>2562210000</v>
      </c>
    </row>
    <row r="1774" spans="1:9" ht="16" x14ac:dyDescent="0.2">
      <c r="A1774" s="561">
        <v>46086</v>
      </c>
      <c r="B1774" s="562">
        <v>2026</v>
      </c>
      <c r="C1774" s="563">
        <v>3</v>
      </c>
      <c r="D1774" s="564">
        <v>10</v>
      </c>
      <c r="E1774" s="564">
        <v>5</v>
      </c>
      <c r="F1774" s="565" t="s">
        <v>55</v>
      </c>
      <c r="G1774" s="563" t="s">
        <v>36</v>
      </c>
      <c r="H1774" s="563" t="s">
        <v>212</v>
      </c>
      <c r="I1774" s="566">
        <v>864230000</v>
      </c>
    </row>
    <row r="1775" spans="1:9" ht="16" x14ac:dyDescent="0.2">
      <c r="A1775" s="567">
        <v>46086</v>
      </c>
      <c r="B1775" s="568">
        <v>2026</v>
      </c>
      <c r="C1775" s="569">
        <v>3</v>
      </c>
      <c r="D1775" s="570">
        <v>10</v>
      </c>
      <c r="E1775" s="570">
        <v>5</v>
      </c>
      <c r="F1775" s="571" t="s">
        <v>176</v>
      </c>
      <c r="G1775" s="569" t="s">
        <v>176</v>
      </c>
      <c r="H1775" s="569" t="s">
        <v>216</v>
      </c>
      <c r="I1775" s="572">
        <v>27119171</v>
      </c>
    </row>
    <row r="1776" spans="1:9" ht="16" x14ac:dyDescent="0.2">
      <c r="A1776" s="561">
        <v>46086</v>
      </c>
      <c r="B1776" s="562">
        <v>2026</v>
      </c>
      <c r="C1776" s="563">
        <v>3</v>
      </c>
      <c r="D1776" s="564">
        <v>10</v>
      </c>
      <c r="E1776" s="564">
        <v>5</v>
      </c>
      <c r="F1776" s="565" t="s">
        <v>39</v>
      </c>
      <c r="G1776" s="563" t="s">
        <v>176</v>
      </c>
      <c r="H1776" s="563" t="s">
        <v>216</v>
      </c>
      <c r="I1776" s="566">
        <v>1740984689</v>
      </c>
    </row>
    <row r="1777" spans="1:9" ht="16" x14ac:dyDescent="0.2">
      <c r="A1777" s="567">
        <v>46086</v>
      </c>
      <c r="B1777" s="568">
        <v>2026</v>
      </c>
      <c r="C1777" s="569">
        <v>3</v>
      </c>
      <c r="D1777" s="570">
        <v>10</v>
      </c>
      <c r="E1777" s="570">
        <v>5</v>
      </c>
      <c r="F1777" s="571" t="s">
        <v>206</v>
      </c>
      <c r="G1777" s="569" t="s">
        <v>206</v>
      </c>
      <c r="H1777" s="569" t="s">
        <v>212</v>
      </c>
      <c r="I1777" s="572">
        <v>0</v>
      </c>
    </row>
    <row r="1778" spans="1:9" ht="16" x14ac:dyDescent="0.2">
      <c r="A1778" s="561">
        <v>46086</v>
      </c>
      <c r="B1778" s="562">
        <v>2026</v>
      </c>
      <c r="C1778" s="563">
        <v>3</v>
      </c>
      <c r="D1778" s="564">
        <v>10</v>
      </c>
      <c r="E1778" s="564">
        <v>5</v>
      </c>
      <c r="F1778" s="565" t="s">
        <v>64</v>
      </c>
      <c r="G1778" s="563" t="s">
        <v>209</v>
      </c>
      <c r="H1778" s="563" t="s">
        <v>212</v>
      </c>
      <c r="I1778" s="566">
        <v>10500000</v>
      </c>
    </row>
    <row r="1779" spans="1:9" ht="16" x14ac:dyDescent="0.2">
      <c r="A1779" s="567">
        <v>46086</v>
      </c>
      <c r="B1779" s="568">
        <v>2026</v>
      </c>
      <c r="C1779" s="569">
        <v>3</v>
      </c>
      <c r="D1779" s="570">
        <v>10</v>
      </c>
      <c r="E1779" s="570">
        <v>5</v>
      </c>
      <c r="F1779" s="571" t="s">
        <v>237</v>
      </c>
      <c r="G1779" s="569" t="s">
        <v>209</v>
      </c>
      <c r="H1779" s="569" t="s">
        <v>212</v>
      </c>
      <c r="I1779" s="572">
        <v>0</v>
      </c>
    </row>
    <row r="1780" spans="1:9" ht="16" x14ac:dyDescent="0.2">
      <c r="A1780" s="561">
        <v>46086</v>
      </c>
      <c r="B1780" s="562">
        <v>2026</v>
      </c>
      <c r="C1780" s="563">
        <v>3</v>
      </c>
      <c r="D1780" s="564">
        <v>10</v>
      </c>
      <c r="E1780" s="564">
        <v>5</v>
      </c>
      <c r="F1780" s="565" t="s">
        <v>11</v>
      </c>
      <c r="G1780" s="563" t="s">
        <v>11</v>
      </c>
      <c r="H1780" s="563" t="s">
        <v>212</v>
      </c>
      <c r="I1780" s="566">
        <v>15499430000</v>
      </c>
    </row>
    <row r="1781" spans="1:9" ht="16" x14ac:dyDescent="0.2">
      <c r="A1781" s="567">
        <v>46086</v>
      </c>
      <c r="B1781" s="568">
        <v>2026</v>
      </c>
      <c r="C1781" s="569">
        <v>3</v>
      </c>
      <c r="D1781" s="570">
        <v>10</v>
      </c>
      <c r="E1781" s="570">
        <v>5</v>
      </c>
      <c r="F1781" s="571" t="s">
        <v>221</v>
      </c>
      <c r="G1781" s="569" t="s">
        <v>207</v>
      </c>
      <c r="H1781" s="569" t="s">
        <v>212</v>
      </c>
      <c r="I1781" s="572">
        <v>0</v>
      </c>
    </row>
    <row r="1782" spans="1:9" ht="16" x14ac:dyDescent="0.2">
      <c r="A1782" s="561">
        <v>46086</v>
      </c>
      <c r="B1782" s="562">
        <v>2026</v>
      </c>
      <c r="C1782" s="563">
        <v>3</v>
      </c>
      <c r="D1782" s="564">
        <v>10</v>
      </c>
      <c r="E1782" s="564">
        <v>5</v>
      </c>
      <c r="F1782" s="565" t="s">
        <v>222</v>
      </c>
      <c r="G1782" s="563" t="s">
        <v>207</v>
      </c>
      <c r="H1782" s="563" t="s">
        <v>212</v>
      </c>
      <c r="I1782" s="566">
        <v>0</v>
      </c>
    </row>
    <row r="1783" spans="1:9" ht="16" x14ac:dyDescent="0.2">
      <c r="A1783" s="567">
        <v>46086</v>
      </c>
      <c r="B1783" s="568">
        <v>2026</v>
      </c>
      <c r="C1783" s="569">
        <v>3</v>
      </c>
      <c r="D1783" s="570">
        <v>10</v>
      </c>
      <c r="E1783" s="570">
        <v>5</v>
      </c>
      <c r="F1783" s="571" t="s">
        <v>223</v>
      </c>
      <c r="G1783" s="569" t="s">
        <v>207</v>
      </c>
      <c r="H1783" s="569" t="s">
        <v>212</v>
      </c>
      <c r="I1783" s="572">
        <v>0</v>
      </c>
    </row>
    <row r="1784" spans="1:9" ht="16" x14ac:dyDescent="0.2">
      <c r="A1784" s="561">
        <v>46086</v>
      </c>
      <c r="B1784" s="562">
        <v>2026</v>
      </c>
      <c r="C1784" s="563">
        <v>3</v>
      </c>
      <c r="D1784" s="564">
        <v>10</v>
      </c>
      <c r="E1784" s="564">
        <v>5</v>
      </c>
      <c r="F1784" s="565" t="s">
        <v>219</v>
      </c>
      <c r="G1784" s="563" t="s">
        <v>11</v>
      </c>
      <c r="H1784" s="563" t="s">
        <v>212</v>
      </c>
      <c r="I1784" s="566">
        <v>0</v>
      </c>
    </row>
    <row r="1785" spans="1:9" ht="16" x14ac:dyDescent="0.2">
      <c r="A1785" s="567">
        <v>46086</v>
      </c>
      <c r="B1785" s="568">
        <v>2026</v>
      </c>
      <c r="C1785" s="569">
        <v>3</v>
      </c>
      <c r="D1785" s="570">
        <v>10</v>
      </c>
      <c r="E1785" s="570">
        <v>5</v>
      </c>
      <c r="F1785" s="571" t="s">
        <v>19</v>
      </c>
      <c r="G1785" s="569" t="s">
        <v>19</v>
      </c>
      <c r="H1785" s="569" t="s">
        <v>214</v>
      </c>
      <c r="I1785" s="572">
        <v>12778560000</v>
      </c>
    </row>
    <row r="1786" spans="1:9" ht="16" x14ac:dyDescent="0.2">
      <c r="A1786" s="561">
        <v>46086</v>
      </c>
      <c r="B1786" s="562">
        <v>2026</v>
      </c>
      <c r="C1786" s="563">
        <v>3</v>
      </c>
      <c r="D1786" s="564">
        <v>10</v>
      </c>
      <c r="E1786" s="564">
        <v>5</v>
      </c>
      <c r="F1786" s="565" t="s">
        <v>62</v>
      </c>
      <c r="G1786" s="563" t="s">
        <v>62</v>
      </c>
      <c r="H1786" s="563" t="s">
        <v>216</v>
      </c>
      <c r="I1786" s="566">
        <v>433122512</v>
      </c>
    </row>
    <row r="1787" spans="1:9" ht="16" x14ac:dyDescent="0.2">
      <c r="A1787" s="567">
        <v>46086</v>
      </c>
      <c r="B1787" s="568">
        <v>2026</v>
      </c>
      <c r="C1787" s="569">
        <v>3</v>
      </c>
      <c r="D1787" s="570">
        <v>10</v>
      </c>
      <c r="E1787" s="570">
        <v>5</v>
      </c>
      <c r="F1787" s="571" t="s">
        <v>58</v>
      </c>
      <c r="G1787" s="569" t="s">
        <v>58</v>
      </c>
      <c r="H1787" s="569" t="s">
        <v>212</v>
      </c>
      <c r="I1787" s="572">
        <v>68250000</v>
      </c>
    </row>
    <row r="1788" spans="1:9" ht="16" x14ac:dyDescent="0.2">
      <c r="A1788" s="561">
        <v>46086</v>
      </c>
      <c r="B1788" s="562">
        <v>2026</v>
      </c>
      <c r="C1788" s="563">
        <v>3</v>
      </c>
      <c r="D1788" s="564">
        <v>10</v>
      </c>
      <c r="E1788" s="564">
        <v>5</v>
      </c>
      <c r="F1788" s="565" t="s">
        <v>61</v>
      </c>
      <c r="G1788" s="563" t="s">
        <v>61</v>
      </c>
      <c r="H1788" s="563" t="s">
        <v>214</v>
      </c>
      <c r="I1788" s="566">
        <v>74000000</v>
      </c>
    </row>
    <row r="1789" spans="1:9" ht="16" x14ac:dyDescent="0.2">
      <c r="A1789" s="567">
        <v>46086</v>
      </c>
      <c r="B1789" s="568">
        <v>2026</v>
      </c>
      <c r="C1789" s="569">
        <v>3</v>
      </c>
      <c r="D1789" s="570">
        <v>10</v>
      </c>
      <c r="E1789" s="570">
        <v>5</v>
      </c>
      <c r="F1789" s="571" t="s">
        <v>57</v>
      </c>
      <c r="G1789" s="569" t="s">
        <v>57</v>
      </c>
      <c r="H1789" s="569" t="s">
        <v>212</v>
      </c>
      <c r="I1789" s="572">
        <v>883360000</v>
      </c>
    </row>
    <row r="1790" spans="1:9" ht="16" x14ac:dyDescent="0.2">
      <c r="A1790" s="561">
        <v>46086</v>
      </c>
      <c r="B1790" s="562">
        <v>2026</v>
      </c>
      <c r="C1790" s="563">
        <v>3</v>
      </c>
      <c r="D1790" s="564">
        <v>10</v>
      </c>
      <c r="E1790" s="564">
        <v>5</v>
      </c>
      <c r="F1790" s="565" t="s">
        <v>63</v>
      </c>
      <c r="G1790" s="563" t="s">
        <v>63</v>
      </c>
      <c r="H1790" s="563" t="s">
        <v>214</v>
      </c>
      <c r="I1790" s="566">
        <v>348408000</v>
      </c>
    </row>
    <row r="1791" spans="1:9" ht="16" x14ac:dyDescent="0.2">
      <c r="A1791" s="567">
        <v>46086</v>
      </c>
      <c r="B1791" s="568">
        <v>2026</v>
      </c>
      <c r="C1791" s="569">
        <v>3</v>
      </c>
      <c r="D1791" s="570">
        <v>10</v>
      </c>
      <c r="E1791" s="570">
        <v>5</v>
      </c>
      <c r="F1791" s="571" t="s">
        <v>59</v>
      </c>
      <c r="G1791" s="569" t="s">
        <v>59</v>
      </c>
      <c r="H1791" s="569" t="s">
        <v>216</v>
      </c>
      <c r="I1791" s="572">
        <v>993225841</v>
      </c>
    </row>
    <row r="1792" spans="1:9" ht="16" x14ac:dyDescent="0.2">
      <c r="A1792" s="561">
        <v>46086</v>
      </c>
      <c r="B1792" s="562">
        <v>2026</v>
      </c>
      <c r="C1792" s="563">
        <v>3</v>
      </c>
      <c r="D1792" s="564">
        <v>10</v>
      </c>
      <c r="E1792" s="564">
        <v>5</v>
      </c>
      <c r="F1792" s="565" t="s">
        <v>31</v>
      </c>
      <c r="G1792" s="563" t="s">
        <v>175</v>
      </c>
      <c r="H1792" s="563" t="s">
        <v>212</v>
      </c>
      <c r="I1792" s="566">
        <v>2743100000</v>
      </c>
    </row>
    <row r="1793" spans="1:9" ht="16" x14ac:dyDescent="0.2">
      <c r="A1793" s="567">
        <v>46086</v>
      </c>
      <c r="B1793" s="568">
        <v>2026</v>
      </c>
      <c r="C1793" s="569">
        <v>3</v>
      </c>
      <c r="D1793" s="570">
        <v>10</v>
      </c>
      <c r="E1793" s="570">
        <v>5</v>
      </c>
      <c r="F1793" s="571" t="s">
        <v>234</v>
      </c>
      <c r="G1793" s="569" t="s">
        <v>210</v>
      </c>
      <c r="H1793" s="569" t="s">
        <v>214</v>
      </c>
      <c r="I1793" s="572">
        <v>261360000</v>
      </c>
    </row>
    <row r="1794" spans="1:9" ht="16" x14ac:dyDescent="0.2">
      <c r="A1794" s="561">
        <v>46087</v>
      </c>
      <c r="B1794" s="562">
        <v>2026</v>
      </c>
      <c r="C1794" s="563">
        <v>3</v>
      </c>
      <c r="D1794" s="564">
        <v>10</v>
      </c>
      <c r="E1794" s="564">
        <v>6</v>
      </c>
      <c r="F1794" s="565" t="s">
        <v>65</v>
      </c>
      <c r="G1794" s="563" t="s">
        <v>65</v>
      </c>
      <c r="H1794" s="563" t="s">
        <v>212</v>
      </c>
      <c r="I1794" s="566">
        <v>1000050000</v>
      </c>
    </row>
    <row r="1795" spans="1:9" ht="16" x14ac:dyDescent="0.2">
      <c r="A1795" s="567">
        <v>46087</v>
      </c>
      <c r="B1795" s="568">
        <v>2026</v>
      </c>
      <c r="C1795" s="569">
        <v>3</v>
      </c>
      <c r="D1795" s="570">
        <v>10</v>
      </c>
      <c r="E1795" s="570">
        <v>6</v>
      </c>
      <c r="F1795" s="571" t="s">
        <v>66</v>
      </c>
      <c r="G1795" s="569" t="s">
        <v>66</v>
      </c>
      <c r="H1795" s="569" t="s">
        <v>216</v>
      </c>
      <c r="I1795" s="572">
        <v>484191458</v>
      </c>
    </row>
    <row r="1796" spans="1:9" ht="16" x14ac:dyDescent="0.2">
      <c r="A1796" s="561">
        <v>46087</v>
      </c>
      <c r="B1796" s="562">
        <v>2026</v>
      </c>
      <c r="C1796" s="563">
        <v>3</v>
      </c>
      <c r="D1796" s="564">
        <v>10</v>
      </c>
      <c r="E1796" s="564">
        <v>6</v>
      </c>
      <c r="F1796" s="565" t="s">
        <v>24</v>
      </c>
      <c r="G1796" s="563" t="s">
        <v>24</v>
      </c>
      <c r="H1796" s="563" t="s">
        <v>212</v>
      </c>
      <c r="I1796" s="566">
        <v>11391310000</v>
      </c>
    </row>
    <row r="1797" spans="1:9" ht="16" x14ac:dyDescent="0.2">
      <c r="A1797" s="567">
        <v>46087</v>
      </c>
      <c r="B1797" s="568">
        <v>2026</v>
      </c>
      <c r="C1797" s="569">
        <v>3</v>
      </c>
      <c r="D1797" s="570">
        <v>10</v>
      </c>
      <c r="E1797" s="570">
        <v>6</v>
      </c>
      <c r="F1797" s="571" t="s">
        <v>67</v>
      </c>
      <c r="G1797" s="569" t="s">
        <v>67</v>
      </c>
      <c r="H1797" s="569" t="s">
        <v>213</v>
      </c>
      <c r="I1797" s="572">
        <v>1857916210</v>
      </c>
    </row>
    <row r="1798" spans="1:9" ht="16" x14ac:dyDescent="0.2">
      <c r="A1798" s="561">
        <v>46087</v>
      </c>
      <c r="B1798" s="562">
        <v>2026</v>
      </c>
      <c r="C1798" s="563">
        <v>3</v>
      </c>
      <c r="D1798" s="564">
        <v>10</v>
      </c>
      <c r="E1798" s="564">
        <v>6</v>
      </c>
      <c r="F1798" s="565" t="s">
        <v>28</v>
      </c>
      <c r="G1798" s="563" t="s">
        <v>28</v>
      </c>
      <c r="H1798" s="563" t="s">
        <v>214</v>
      </c>
      <c r="I1798" s="566">
        <v>14831856000</v>
      </c>
    </row>
    <row r="1799" spans="1:9" ht="16" x14ac:dyDescent="0.2">
      <c r="A1799" s="567">
        <v>46087</v>
      </c>
      <c r="B1799" s="568">
        <v>2026</v>
      </c>
      <c r="C1799" s="569">
        <v>3</v>
      </c>
      <c r="D1799" s="570">
        <v>10</v>
      </c>
      <c r="E1799" s="570">
        <v>6</v>
      </c>
      <c r="F1799" s="571" t="s">
        <v>208</v>
      </c>
      <c r="G1799" s="569" t="s">
        <v>208</v>
      </c>
      <c r="H1799" s="569" t="s">
        <v>216</v>
      </c>
      <c r="I1799" s="572">
        <v>29411088</v>
      </c>
    </row>
    <row r="1800" spans="1:9" ht="16" x14ac:dyDescent="0.2">
      <c r="A1800" s="561">
        <v>46087</v>
      </c>
      <c r="B1800" s="562">
        <v>2026</v>
      </c>
      <c r="C1800" s="563">
        <v>3</v>
      </c>
      <c r="D1800" s="564">
        <v>10</v>
      </c>
      <c r="E1800" s="564">
        <v>6</v>
      </c>
      <c r="F1800" s="565" t="s">
        <v>60</v>
      </c>
      <c r="G1800" s="563" t="s">
        <v>60</v>
      </c>
      <c r="H1800" s="563" t="s">
        <v>212</v>
      </c>
      <c r="I1800" s="566">
        <v>0</v>
      </c>
    </row>
    <row r="1801" spans="1:9" ht="16" x14ac:dyDescent="0.2">
      <c r="A1801" s="567">
        <v>46087</v>
      </c>
      <c r="B1801" s="568">
        <v>2026</v>
      </c>
      <c r="C1801" s="569">
        <v>3</v>
      </c>
      <c r="D1801" s="570">
        <v>10</v>
      </c>
      <c r="E1801" s="570">
        <v>6</v>
      </c>
      <c r="F1801" s="571" t="s">
        <v>36</v>
      </c>
      <c r="G1801" s="569" t="s">
        <v>36</v>
      </c>
      <c r="H1801" s="569" t="s">
        <v>212</v>
      </c>
      <c r="I1801" s="572">
        <v>2278440000</v>
      </c>
    </row>
    <row r="1802" spans="1:9" ht="16" x14ac:dyDescent="0.2">
      <c r="A1802" s="561">
        <v>46087</v>
      </c>
      <c r="B1802" s="562">
        <v>2026</v>
      </c>
      <c r="C1802" s="563">
        <v>3</v>
      </c>
      <c r="D1802" s="564">
        <v>10</v>
      </c>
      <c r="E1802" s="564">
        <v>6</v>
      </c>
      <c r="F1802" s="565" t="s">
        <v>55</v>
      </c>
      <c r="G1802" s="563" t="s">
        <v>36</v>
      </c>
      <c r="H1802" s="563" t="s">
        <v>212</v>
      </c>
      <c r="I1802" s="566">
        <v>1169890000</v>
      </c>
    </row>
    <row r="1803" spans="1:9" ht="16" x14ac:dyDescent="0.2">
      <c r="A1803" s="567">
        <v>46087</v>
      </c>
      <c r="B1803" s="568">
        <v>2026</v>
      </c>
      <c r="C1803" s="569">
        <v>3</v>
      </c>
      <c r="D1803" s="570">
        <v>10</v>
      </c>
      <c r="E1803" s="570">
        <v>6</v>
      </c>
      <c r="F1803" s="571" t="s">
        <v>176</v>
      </c>
      <c r="G1803" s="569" t="s">
        <v>176</v>
      </c>
      <c r="H1803" s="569" t="s">
        <v>216</v>
      </c>
      <c r="I1803" s="572">
        <v>33571315</v>
      </c>
    </row>
    <row r="1804" spans="1:9" ht="16" x14ac:dyDescent="0.2">
      <c r="A1804" s="561">
        <v>46087</v>
      </c>
      <c r="B1804" s="562">
        <v>2026</v>
      </c>
      <c r="C1804" s="563">
        <v>3</v>
      </c>
      <c r="D1804" s="564">
        <v>10</v>
      </c>
      <c r="E1804" s="564">
        <v>6</v>
      </c>
      <c r="F1804" s="565" t="s">
        <v>39</v>
      </c>
      <c r="G1804" s="563" t="s">
        <v>176</v>
      </c>
      <c r="H1804" s="563" t="s">
        <v>216</v>
      </c>
      <c r="I1804" s="566">
        <v>1561772550</v>
      </c>
    </row>
    <row r="1805" spans="1:9" ht="16" x14ac:dyDescent="0.2">
      <c r="A1805" s="567">
        <v>46087</v>
      </c>
      <c r="B1805" s="568">
        <v>2026</v>
      </c>
      <c r="C1805" s="569">
        <v>3</v>
      </c>
      <c r="D1805" s="570">
        <v>10</v>
      </c>
      <c r="E1805" s="570">
        <v>6</v>
      </c>
      <c r="F1805" s="571" t="s">
        <v>206</v>
      </c>
      <c r="G1805" s="569" t="s">
        <v>206</v>
      </c>
      <c r="H1805" s="569" t="s">
        <v>212</v>
      </c>
      <c r="I1805" s="572">
        <v>0</v>
      </c>
    </row>
    <row r="1806" spans="1:9" ht="16" x14ac:dyDescent="0.2">
      <c r="A1806" s="561">
        <v>46087</v>
      </c>
      <c r="B1806" s="562">
        <v>2026</v>
      </c>
      <c r="C1806" s="563">
        <v>3</v>
      </c>
      <c r="D1806" s="564">
        <v>10</v>
      </c>
      <c r="E1806" s="564">
        <v>6</v>
      </c>
      <c r="F1806" s="565" t="s">
        <v>64</v>
      </c>
      <c r="G1806" s="563" t="s">
        <v>209</v>
      </c>
      <c r="H1806" s="563" t="s">
        <v>212</v>
      </c>
      <c r="I1806" s="566">
        <v>81900000</v>
      </c>
    </row>
    <row r="1807" spans="1:9" ht="16" x14ac:dyDescent="0.2">
      <c r="A1807" s="567">
        <v>46087</v>
      </c>
      <c r="B1807" s="568">
        <v>2026</v>
      </c>
      <c r="C1807" s="569">
        <v>3</v>
      </c>
      <c r="D1807" s="570">
        <v>10</v>
      </c>
      <c r="E1807" s="570">
        <v>6</v>
      </c>
      <c r="F1807" s="571" t="s">
        <v>237</v>
      </c>
      <c r="G1807" s="569" t="s">
        <v>209</v>
      </c>
      <c r="H1807" s="569" t="s">
        <v>212</v>
      </c>
      <c r="I1807" s="572">
        <v>101000000</v>
      </c>
    </row>
    <row r="1808" spans="1:9" ht="16" x14ac:dyDescent="0.2">
      <c r="A1808" s="561">
        <v>46087</v>
      </c>
      <c r="B1808" s="562">
        <v>2026</v>
      </c>
      <c r="C1808" s="563">
        <v>3</v>
      </c>
      <c r="D1808" s="564">
        <v>10</v>
      </c>
      <c r="E1808" s="564">
        <v>6</v>
      </c>
      <c r="F1808" s="565" t="s">
        <v>11</v>
      </c>
      <c r="G1808" s="563" t="s">
        <v>11</v>
      </c>
      <c r="H1808" s="563" t="s">
        <v>212</v>
      </c>
      <c r="I1808" s="566">
        <v>15035160000</v>
      </c>
    </row>
    <row r="1809" spans="1:9" ht="16" x14ac:dyDescent="0.2">
      <c r="A1809" s="567">
        <v>46087</v>
      </c>
      <c r="B1809" s="568">
        <v>2026</v>
      </c>
      <c r="C1809" s="569">
        <v>3</v>
      </c>
      <c r="D1809" s="570">
        <v>10</v>
      </c>
      <c r="E1809" s="570">
        <v>6</v>
      </c>
      <c r="F1809" s="571" t="s">
        <v>221</v>
      </c>
      <c r="G1809" s="569" t="s">
        <v>207</v>
      </c>
      <c r="H1809" s="569" t="s">
        <v>212</v>
      </c>
      <c r="I1809" s="572">
        <v>0</v>
      </c>
    </row>
    <row r="1810" spans="1:9" ht="16" x14ac:dyDescent="0.2">
      <c r="A1810" s="561">
        <v>46087</v>
      </c>
      <c r="B1810" s="562">
        <v>2026</v>
      </c>
      <c r="C1810" s="563">
        <v>3</v>
      </c>
      <c r="D1810" s="564">
        <v>10</v>
      </c>
      <c r="E1810" s="564">
        <v>6</v>
      </c>
      <c r="F1810" s="565" t="s">
        <v>222</v>
      </c>
      <c r="G1810" s="563" t="s">
        <v>207</v>
      </c>
      <c r="H1810" s="563" t="s">
        <v>212</v>
      </c>
      <c r="I1810" s="566">
        <v>0</v>
      </c>
    </row>
    <row r="1811" spans="1:9" ht="16" x14ac:dyDescent="0.2">
      <c r="A1811" s="567">
        <v>46087</v>
      </c>
      <c r="B1811" s="568">
        <v>2026</v>
      </c>
      <c r="C1811" s="569">
        <v>3</v>
      </c>
      <c r="D1811" s="570">
        <v>10</v>
      </c>
      <c r="E1811" s="570">
        <v>6</v>
      </c>
      <c r="F1811" s="571" t="s">
        <v>223</v>
      </c>
      <c r="G1811" s="569" t="s">
        <v>207</v>
      </c>
      <c r="H1811" s="569" t="s">
        <v>212</v>
      </c>
      <c r="I1811" s="572">
        <v>0</v>
      </c>
    </row>
    <row r="1812" spans="1:9" ht="16" x14ac:dyDescent="0.2">
      <c r="A1812" s="561">
        <v>46087</v>
      </c>
      <c r="B1812" s="562">
        <v>2026</v>
      </c>
      <c r="C1812" s="563">
        <v>3</v>
      </c>
      <c r="D1812" s="564">
        <v>10</v>
      </c>
      <c r="E1812" s="564">
        <v>6</v>
      </c>
      <c r="F1812" s="565" t="s">
        <v>219</v>
      </c>
      <c r="G1812" s="563" t="s">
        <v>11</v>
      </c>
      <c r="H1812" s="563" t="s">
        <v>212</v>
      </c>
      <c r="I1812" s="566">
        <v>12000000</v>
      </c>
    </row>
    <row r="1813" spans="1:9" ht="16" x14ac:dyDescent="0.2">
      <c r="A1813" s="567">
        <v>46087</v>
      </c>
      <c r="B1813" s="568">
        <v>2026</v>
      </c>
      <c r="C1813" s="569">
        <v>3</v>
      </c>
      <c r="D1813" s="570">
        <v>10</v>
      </c>
      <c r="E1813" s="570">
        <v>6</v>
      </c>
      <c r="F1813" s="571" t="s">
        <v>19</v>
      </c>
      <c r="G1813" s="569" t="s">
        <v>19</v>
      </c>
      <c r="H1813" s="569" t="s">
        <v>214</v>
      </c>
      <c r="I1813" s="572">
        <v>12088980000</v>
      </c>
    </row>
    <row r="1814" spans="1:9" ht="16" x14ac:dyDescent="0.2">
      <c r="A1814" s="561">
        <v>46087</v>
      </c>
      <c r="B1814" s="562">
        <v>2026</v>
      </c>
      <c r="C1814" s="563">
        <v>3</v>
      </c>
      <c r="D1814" s="564">
        <v>10</v>
      </c>
      <c r="E1814" s="564">
        <v>6</v>
      </c>
      <c r="F1814" s="565" t="s">
        <v>62</v>
      </c>
      <c r="G1814" s="563" t="s">
        <v>62</v>
      </c>
      <c r="H1814" s="563" t="s">
        <v>216</v>
      </c>
      <c r="I1814" s="566">
        <v>378004341</v>
      </c>
    </row>
    <row r="1815" spans="1:9" ht="16" x14ac:dyDescent="0.2">
      <c r="A1815" s="567">
        <v>46087</v>
      </c>
      <c r="B1815" s="568">
        <v>2026</v>
      </c>
      <c r="C1815" s="569">
        <v>3</v>
      </c>
      <c r="D1815" s="570">
        <v>10</v>
      </c>
      <c r="E1815" s="570">
        <v>6</v>
      </c>
      <c r="F1815" s="571" t="s">
        <v>58</v>
      </c>
      <c r="G1815" s="569" t="s">
        <v>58</v>
      </c>
      <c r="H1815" s="569" t="s">
        <v>212</v>
      </c>
      <c r="I1815" s="572">
        <v>57750000</v>
      </c>
    </row>
    <row r="1816" spans="1:9" ht="16" x14ac:dyDescent="0.2">
      <c r="A1816" s="561">
        <v>46087</v>
      </c>
      <c r="B1816" s="562">
        <v>2026</v>
      </c>
      <c r="C1816" s="563">
        <v>3</v>
      </c>
      <c r="D1816" s="564">
        <v>10</v>
      </c>
      <c r="E1816" s="564">
        <v>6</v>
      </c>
      <c r="F1816" s="565" t="s">
        <v>61</v>
      </c>
      <c r="G1816" s="563" t="s">
        <v>61</v>
      </c>
      <c r="H1816" s="563" t="s">
        <v>214</v>
      </c>
      <c r="I1816" s="566">
        <v>59000000</v>
      </c>
    </row>
    <row r="1817" spans="1:9" ht="16" x14ac:dyDescent="0.2">
      <c r="A1817" s="567">
        <v>46087</v>
      </c>
      <c r="B1817" s="568">
        <v>2026</v>
      </c>
      <c r="C1817" s="569">
        <v>3</v>
      </c>
      <c r="D1817" s="570">
        <v>10</v>
      </c>
      <c r="E1817" s="570">
        <v>6</v>
      </c>
      <c r="F1817" s="571" t="s">
        <v>57</v>
      </c>
      <c r="G1817" s="569" t="s">
        <v>57</v>
      </c>
      <c r="H1817" s="569" t="s">
        <v>212</v>
      </c>
      <c r="I1817" s="572">
        <v>624590000</v>
      </c>
    </row>
    <row r="1818" spans="1:9" ht="16" x14ac:dyDescent="0.2">
      <c r="A1818" s="561">
        <v>46087</v>
      </c>
      <c r="B1818" s="562">
        <v>2026</v>
      </c>
      <c r="C1818" s="563">
        <v>3</v>
      </c>
      <c r="D1818" s="564">
        <v>10</v>
      </c>
      <c r="E1818" s="564">
        <v>6</v>
      </c>
      <c r="F1818" s="565" t="s">
        <v>63</v>
      </c>
      <c r="G1818" s="563" t="s">
        <v>63</v>
      </c>
      <c r="H1818" s="563" t="s">
        <v>214</v>
      </c>
      <c r="I1818" s="566">
        <v>353268000</v>
      </c>
    </row>
    <row r="1819" spans="1:9" ht="16" x14ac:dyDescent="0.2">
      <c r="A1819" s="567">
        <v>46087</v>
      </c>
      <c r="B1819" s="568">
        <v>2026</v>
      </c>
      <c r="C1819" s="569">
        <v>3</v>
      </c>
      <c r="D1819" s="570">
        <v>10</v>
      </c>
      <c r="E1819" s="570">
        <v>6</v>
      </c>
      <c r="F1819" s="571" t="s">
        <v>59</v>
      </c>
      <c r="G1819" s="569" t="s">
        <v>59</v>
      </c>
      <c r="H1819" s="569" t="s">
        <v>216</v>
      </c>
      <c r="I1819" s="572">
        <v>961434278</v>
      </c>
    </row>
    <row r="1820" spans="1:9" ht="16" x14ac:dyDescent="0.2">
      <c r="A1820" s="561">
        <v>46087</v>
      </c>
      <c r="B1820" s="562">
        <v>2026</v>
      </c>
      <c r="C1820" s="563">
        <v>3</v>
      </c>
      <c r="D1820" s="564">
        <v>10</v>
      </c>
      <c r="E1820" s="564">
        <v>6</v>
      </c>
      <c r="F1820" s="565" t="s">
        <v>31</v>
      </c>
      <c r="G1820" s="563" t="s">
        <v>175</v>
      </c>
      <c r="H1820" s="563" t="s">
        <v>212</v>
      </c>
      <c r="I1820" s="566">
        <v>2978810000</v>
      </c>
    </row>
    <row r="1821" spans="1:9" ht="16" x14ac:dyDescent="0.2">
      <c r="A1821" s="567">
        <v>46087</v>
      </c>
      <c r="B1821" s="568">
        <v>2026</v>
      </c>
      <c r="C1821" s="569">
        <v>3</v>
      </c>
      <c r="D1821" s="570">
        <v>10</v>
      </c>
      <c r="E1821" s="570">
        <v>6</v>
      </c>
      <c r="F1821" s="571" t="s">
        <v>234</v>
      </c>
      <c r="G1821" s="569" t="s">
        <v>210</v>
      </c>
      <c r="H1821" s="569" t="s">
        <v>214</v>
      </c>
      <c r="I1821" s="572">
        <v>306720000</v>
      </c>
    </row>
    <row r="1822" spans="1:9" ht="16" x14ac:dyDescent="0.2">
      <c r="A1822" s="561">
        <v>46088</v>
      </c>
      <c r="B1822" s="562">
        <v>2026</v>
      </c>
      <c r="C1822" s="563">
        <v>3</v>
      </c>
      <c r="D1822" s="564">
        <v>10</v>
      </c>
      <c r="E1822" s="564">
        <v>7</v>
      </c>
      <c r="F1822" s="565" t="s">
        <v>65</v>
      </c>
      <c r="G1822" s="563" t="s">
        <v>65</v>
      </c>
      <c r="H1822" s="563" t="s">
        <v>212</v>
      </c>
      <c r="I1822" s="566">
        <v>799000000</v>
      </c>
    </row>
    <row r="1823" spans="1:9" ht="16" x14ac:dyDescent="0.2">
      <c r="A1823" s="567">
        <v>46088</v>
      </c>
      <c r="B1823" s="568">
        <v>2026</v>
      </c>
      <c r="C1823" s="569">
        <v>3</v>
      </c>
      <c r="D1823" s="570">
        <v>10</v>
      </c>
      <c r="E1823" s="570">
        <v>7</v>
      </c>
      <c r="F1823" s="571" t="s">
        <v>66</v>
      </c>
      <c r="G1823" s="569" t="s">
        <v>66</v>
      </c>
      <c r="H1823" s="569" t="s">
        <v>216</v>
      </c>
      <c r="I1823" s="572">
        <v>553260146</v>
      </c>
    </row>
    <row r="1824" spans="1:9" ht="16" x14ac:dyDescent="0.2">
      <c r="A1824" s="561">
        <v>46088</v>
      </c>
      <c r="B1824" s="562">
        <v>2026</v>
      </c>
      <c r="C1824" s="563">
        <v>3</v>
      </c>
      <c r="D1824" s="564">
        <v>10</v>
      </c>
      <c r="E1824" s="564">
        <v>7</v>
      </c>
      <c r="F1824" s="565" t="s">
        <v>24</v>
      </c>
      <c r="G1824" s="563" t="s">
        <v>24</v>
      </c>
      <c r="H1824" s="563" t="s">
        <v>212</v>
      </c>
      <c r="I1824" s="566">
        <v>9829120000</v>
      </c>
    </row>
    <row r="1825" spans="1:9" ht="16" x14ac:dyDescent="0.2">
      <c r="A1825" s="567">
        <v>46088</v>
      </c>
      <c r="B1825" s="568">
        <v>2026</v>
      </c>
      <c r="C1825" s="569">
        <v>3</v>
      </c>
      <c r="D1825" s="570">
        <v>10</v>
      </c>
      <c r="E1825" s="570">
        <v>7</v>
      </c>
      <c r="F1825" s="571" t="s">
        <v>67</v>
      </c>
      <c r="G1825" s="569" t="s">
        <v>67</v>
      </c>
      <c r="H1825" s="569" t="s">
        <v>213</v>
      </c>
      <c r="I1825" s="572">
        <v>1599889408</v>
      </c>
    </row>
    <row r="1826" spans="1:9" ht="16" x14ac:dyDescent="0.2">
      <c r="A1826" s="561">
        <v>46088</v>
      </c>
      <c r="B1826" s="562">
        <v>2026</v>
      </c>
      <c r="C1826" s="563">
        <v>3</v>
      </c>
      <c r="D1826" s="564">
        <v>10</v>
      </c>
      <c r="E1826" s="564">
        <v>7</v>
      </c>
      <c r="F1826" s="565" t="s">
        <v>28</v>
      </c>
      <c r="G1826" s="563" t="s">
        <v>28</v>
      </c>
      <c r="H1826" s="563" t="s">
        <v>214</v>
      </c>
      <c r="I1826" s="566">
        <v>13104612000</v>
      </c>
    </row>
    <row r="1827" spans="1:9" ht="16" x14ac:dyDescent="0.2">
      <c r="A1827" s="567">
        <v>46088</v>
      </c>
      <c r="B1827" s="568">
        <v>2026</v>
      </c>
      <c r="C1827" s="569">
        <v>3</v>
      </c>
      <c r="D1827" s="570">
        <v>10</v>
      </c>
      <c r="E1827" s="570">
        <v>7</v>
      </c>
      <c r="F1827" s="571" t="s">
        <v>208</v>
      </c>
      <c r="G1827" s="569" t="s">
        <v>208</v>
      </c>
      <c r="H1827" s="569" t="s">
        <v>216</v>
      </c>
      <c r="I1827" s="572">
        <v>32345164</v>
      </c>
    </row>
    <row r="1828" spans="1:9" ht="16" x14ac:dyDescent="0.2">
      <c r="A1828" s="561">
        <v>46088</v>
      </c>
      <c r="B1828" s="562">
        <v>2026</v>
      </c>
      <c r="C1828" s="563">
        <v>3</v>
      </c>
      <c r="D1828" s="564">
        <v>10</v>
      </c>
      <c r="E1828" s="564">
        <v>7</v>
      </c>
      <c r="F1828" s="565" t="s">
        <v>60</v>
      </c>
      <c r="G1828" s="563" t="s">
        <v>60</v>
      </c>
      <c r="H1828" s="563" t="s">
        <v>212</v>
      </c>
      <c r="I1828" s="566">
        <v>0</v>
      </c>
    </row>
    <row r="1829" spans="1:9" ht="16" x14ac:dyDescent="0.2">
      <c r="A1829" s="567">
        <v>46088</v>
      </c>
      <c r="B1829" s="568">
        <v>2026</v>
      </c>
      <c r="C1829" s="569">
        <v>3</v>
      </c>
      <c r="D1829" s="570">
        <v>10</v>
      </c>
      <c r="E1829" s="570">
        <v>7</v>
      </c>
      <c r="F1829" s="571" t="s">
        <v>36</v>
      </c>
      <c r="G1829" s="569" t="s">
        <v>36</v>
      </c>
      <c r="H1829" s="569" t="s">
        <v>212</v>
      </c>
      <c r="I1829" s="572">
        <v>2326180000</v>
      </c>
    </row>
    <row r="1830" spans="1:9" ht="16" x14ac:dyDescent="0.2">
      <c r="A1830" s="561">
        <v>46088</v>
      </c>
      <c r="B1830" s="562">
        <v>2026</v>
      </c>
      <c r="C1830" s="563">
        <v>3</v>
      </c>
      <c r="D1830" s="564">
        <v>10</v>
      </c>
      <c r="E1830" s="564">
        <v>7</v>
      </c>
      <c r="F1830" s="565" t="s">
        <v>55</v>
      </c>
      <c r="G1830" s="563" t="s">
        <v>36</v>
      </c>
      <c r="H1830" s="563" t="s">
        <v>212</v>
      </c>
      <c r="I1830" s="566">
        <v>810700000</v>
      </c>
    </row>
    <row r="1831" spans="1:9" ht="16" x14ac:dyDescent="0.2">
      <c r="A1831" s="567">
        <v>46088</v>
      </c>
      <c r="B1831" s="568">
        <v>2026</v>
      </c>
      <c r="C1831" s="569">
        <v>3</v>
      </c>
      <c r="D1831" s="570">
        <v>10</v>
      </c>
      <c r="E1831" s="570">
        <v>7</v>
      </c>
      <c r="F1831" s="571" t="s">
        <v>176</v>
      </c>
      <c r="G1831" s="569" t="s">
        <v>176</v>
      </c>
      <c r="H1831" s="569" t="s">
        <v>216</v>
      </c>
      <c r="I1831" s="572">
        <v>43010269</v>
      </c>
    </row>
    <row r="1832" spans="1:9" ht="16" x14ac:dyDescent="0.2">
      <c r="A1832" s="561">
        <v>46088</v>
      </c>
      <c r="B1832" s="562">
        <v>2026</v>
      </c>
      <c r="C1832" s="563">
        <v>3</v>
      </c>
      <c r="D1832" s="564">
        <v>10</v>
      </c>
      <c r="E1832" s="564">
        <v>7</v>
      </c>
      <c r="F1832" s="565" t="s">
        <v>39</v>
      </c>
      <c r="G1832" s="563" t="s">
        <v>176</v>
      </c>
      <c r="H1832" s="563" t="s">
        <v>216</v>
      </c>
      <c r="I1832" s="566">
        <v>2303460345</v>
      </c>
    </row>
    <row r="1833" spans="1:9" ht="16" x14ac:dyDescent="0.2">
      <c r="A1833" s="567">
        <v>46088</v>
      </c>
      <c r="B1833" s="568">
        <v>2026</v>
      </c>
      <c r="C1833" s="569">
        <v>3</v>
      </c>
      <c r="D1833" s="570">
        <v>10</v>
      </c>
      <c r="E1833" s="570">
        <v>7</v>
      </c>
      <c r="F1833" s="571" t="s">
        <v>206</v>
      </c>
      <c r="G1833" s="569" t="s">
        <v>206</v>
      </c>
      <c r="H1833" s="569" t="s">
        <v>212</v>
      </c>
      <c r="I1833" s="572">
        <v>0</v>
      </c>
    </row>
    <row r="1834" spans="1:9" ht="16" x14ac:dyDescent="0.2">
      <c r="A1834" s="561">
        <v>46088</v>
      </c>
      <c r="B1834" s="562">
        <v>2026</v>
      </c>
      <c r="C1834" s="563">
        <v>3</v>
      </c>
      <c r="D1834" s="564">
        <v>10</v>
      </c>
      <c r="E1834" s="564">
        <v>7</v>
      </c>
      <c r="F1834" s="565" t="s">
        <v>64</v>
      </c>
      <c r="G1834" s="563" t="s">
        <v>209</v>
      </c>
      <c r="H1834" s="563" t="s">
        <v>212</v>
      </c>
      <c r="I1834" s="566">
        <v>47250000</v>
      </c>
    </row>
    <row r="1835" spans="1:9" ht="16" x14ac:dyDescent="0.2">
      <c r="A1835" s="567">
        <v>46088</v>
      </c>
      <c r="B1835" s="568">
        <v>2026</v>
      </c>
      <c r="C1835" s="569">
        <v>3</v>
      </c>
      <c r="D1835" s="570">
        <v>10</v>
      </c>
      <c r="E1835" s="570">
        <v>7</v>
      </c>
      <c r="F1835" s="571" t="s">
        <v>237</v>
      </c>
      <c r="G1835" s="569" t="s">
        <v>209</v>
      </c>
      <c r="H1835" s="569" t="s">
        <v>212</v>
      </c>
      <c r="I1835" s="572">
        <v>0</v>
      </c>
    </row>
    <row r="1836" spans="1:9" ht="16" x14ac:dyDescent="0.2">
      <c r="A1836" s="561">
        <v>46088</v>
      </c>
      <c r="B1836" s="562">
        <v>2026</v>
      </c>
      <c r="C1836" s="563">
        <v>3</v>
      </c>
      <c r="D1836" s="564">
        <v>10</v>
      </c>
      <c r="E1836" s="564">
        <v>7</v>
      </c>
      <c r="F1836" s="565" t="s">
        <v>11</v>
      </c>
      <c r="G1836" s="563" t="s">
        <v>11</v>
      </c>
      <c r="H1836" s="563" t="s">
        <v>212</v>
      </c>
      <c r="I1836" s="566">
        <v>13506010000</v>
      </c>
    </row>
    <row r="1837" spans="1:9" ht="16" x14ac:dyDescent="0.2">
      <c r="A1837" s="567">
        <v>46088</v>
      </c>
      <c r="B1837" s="568">
        <v>2026</v>
      </c>
      <c r="C1837" s="569">
        <v>3</v>
      </c>
      <c r="D1837" s="570">
        <v>10</v>
      </c>
      <c r="E1837" s="570">
        <v>7</v>
      </c>
      <c r="F1837" s="571" t="s">
        <v>221</v>
      </c>
      <c r="G1837" s="569" t="s">
        <v>207</v>
      </c>
      <c r="H1837" s="569" t="s">
        <v>212</v>
      </c>
      <c r="I1837" s="572">
        <v>0</v>
      </c>
    </row>
    <row r="1838" spans="1:9" ht="16" x14ac:dyDescent="0.2">
      <c r="A1838" s="561">
        <v>46088</v>
      </c>
      <c r="B1838" s="562">
        <v>2026</v>
      </c>
      <c r="C1838" s="563">
        <v>3</v>
      </c>
      <c r="D1838" s="564">
        <v>10</v>
      </c>
      <c r="E1838" s="564">
        <v>7</v>
      </c>
      <c r="F1838" s="565" t="s">
        <v>222</v>
      </c>
      <c r="G1838" s="563" t="s">
        <v>207</v>
      </c>
      <c r="H1838" s="563" t="s">
        <v>212</v>
      </c>
      <c r="I1838" s="566">
        <v>0</v>
      </c>
    </row>
    <row r="1839" spans="1:9" ht="16" x14ac:dyDescent="0.2">
      <c r="A1839" s="567">
        <v>46088</v>
      </c>
      <c r="B1839" s="568">
        <v>2026</v>
      </c>
      <c r="C1839" s="569">
        <v>3</v>
      </c>
      <c r="D1839" s="570">
        <v>10</v>
      </c>
      <c r="E1839" s="570">
        <v>7</v>
      </c>
      <c r="F1839" s="571" t="s">
        <v>223</v>
      </c>
      <c r="G1839" s="569" t="s">
        <v>207</v>
      </c>
      <c r="H1839" s="569" t="s">
        <v>212</v>
      </c>
      <c r="I1839" s="572">
        <v>0</v>
      </c>
    </row>
    <row r="1840" spans="1:9" ht="16" x14ac:dyDescent="0.2">
      <c r="A1840" s="561">
        <v>46088</v>
      </c>
      <c r="B1840" s="562">
        <v>2026</v>
      </c>
      <c r="C1840" s="563">
        <v>3</v>
      </c>
      <c r="D1840" s="564">
        <v>10</v>
      </c>
      <c r="E1840" s="564">
        <v>7</v>
      </c>
      <c r="F1840" s="565" t="s">
        <v>219</v>
      </c>
      <c r="G1840" s="563" t="s">
        <v>11</v>
      </c>
      <c r="H1840" s="563" t="s">
        <v>212</v>
      </c>
      <c r="I1840" s="566">
        <v>0</v>
      </c>
    </row>
    <row r="1841" spans="1:9" ht="16" x14ac:dyDescent="0.2">
      <c r="A1841" s="567">
        <v>46088</v>
      </c>
      <c r="B1841" s="568">
        <v>2026</v>
      </c>
      <c r="C1841" s="569">
        <v>3</v>
      </c>
      <c r="D1841" s="570">
        <v>10</v>
      </c>
      <c r="E1841" s="570">
        <v>7</v>
      </c>
      <c r="F1841" s="571" t="s">
        <v>19</v>
      </c>
      <c r="G1841" s="569" t="s">
        <v>19</v>
      </c>
      <c r="H1841" s="569" t="s">
        <v>214</v>
      </c>
      <c r="I1841" s="572">
        <v>11672532000</v>
      </c>
    </row>
    <row r="1842" spans="1:9" ht="16" x14ac:dyDescent="0.2">
      <c r="A1842" s="561">
        <v>46088</v>
      </c>
      <c r="B1842" s="562">
        <v>2026</v>
      </c>
      <c r="C1842" s="563">
        <v>3</v>
      </c>
      <c r="D1842" s="564">
        <v>10</v>
      </c>
      <c r="E1842" s="564">
        <v>7</v>
      </c>
      <c r="F1842" s="565" t="s">
        <v>62</v>
      </c>
      <c r="G1842" s="563" t="s">
        <v>62</v>
      </c>
      <c r="H1842" s="563" t="s">
        <v>216</v>
      </c>
      <c r="I1842" s="566">
        <v>492328380</v>
      </c>
    </row>
    <row r="1843" spans="1:9" ht="16" x14ac:dyDescent="0.2">
      <c r="A1843" s="567">
        <v>46088</v>
      </c>
      <c r="B1843" s="568">
        <v>2026</v>
      </c>
      <c r="C1843" s="569">
        <v>3</v>
      </c>
      <c r="D1843" s="570">
        <v>10</v>
      </c>
      <c r="E1843" s="570">
        <v>7</v>
      </c>
      <c r="F1843" s="571" t="s">
        <v>58</v>
      </c>
      <c r="G1843" s="569" t="s">
        <v>58</v>
      </c>
      <c r="H1843" s="569" t="s">
        <v>212</v>
      </c>
      <c r="I1843" s="572">
        <v>24500000</v>
      </c>
    </row>
    <row r="1844" spans="1:9" ht="16" x14ac:dyDescent="0.2">
      <c r="A1844" s="561">
        <v>46088</v>
      </c>
      <c r="B1844" s="562">
        <v>2026</v>
      </c>
      <c r="C1844" s="563">
        <v>3</v>
      </c>
      <c r="D1844" s="564">
        <v>10</v>
      </c>
      <c r="E1844" s="564">
        <v>7</v>
      </c>
      <c r="F1844" s="565" t="s">
        <v>61</v>
      </c>
      <c r="G1844" s="563" t="s">
        <v>61</v>
      </c>
      <c r="H1844" s="563" t="s">
        <v>214</v>
      </c>
      <c r="I1844" s="566">
        <v>48000000</v>
      </c>
    </row>
    <row r="1845" spans="1:9" ht="16" x14ac:dyDescent="0.2">
      <c r="A1845" s="567">
        <v>46088</v>
      </c>
      <c r="B1845" s="568">
        <v>2026</v>
      </c>
      <c r="C1845" s="569">
        <v>3</v>
      </c>
      <c r="D1845" s="570">
        <v>10</v>
      </c>
      <c r="E1845" s="570">
        <v>7</v>
      </c>
      <c r="F1845" s="571" t="s">
        <v>57</v>
      </c>
      <c r="G1845" s="569" t="s">
        <v>57</v>
      </c>
      <c r="H1845" s="569" t="s">
        <v>212</v>
      </c>
      <c r="I1845" s="572">
        <v>785170000</v>
      </c>
    </row>
    <row r="1846" spans="1:9" ht="16" x14ac:dyDescent="0.2">
      <c r="A1846" s="561">
        <v>46088</v>
      </c>
      <c r="B1846" s="562">
        <v>2026</v>
      </c>
      <c r="C1846" s="563">
        <v>3</v>
      </c>
      <c r="D1846" s="564">
        <v>10</v>
      </c>
      <c r="E1846" s="564">
        <v>7</v>
      </c>
      <c r="F1846" s="565" t="s">
        <v>63</v>
      </c>
      <c r="G1846" s="563" t="s">
        <v>63</v>
      </c>
      <c r="H1846" s="563" t="s">
        <v>214</v>
      </c>
      <c r="I1846" s="566">
        <v>340956000</v>
      </c>
    </row>
    <row r="1847" spans="1:9" ht="16" x14ac:dyDescent="0.2">
      <c r="A1847" s="567">
        <v>46088</v>
      </c>
      <c r="B1847" s="568">
        <v>2026</v>
      </c>
      <c r="C1847" s="569">
        <v>3</v>
      </c>
      <c r="D1847" s="570">
        <v>10</v>
      </c>
      <c r="E1847" s="570">
        <v>7</v>
      </c>
      <c r="F1847" s="571" t="s">
        <v>59</v>
      </c>
      <c r="G1847" s="569" t="s">
        <v>59</v>
      </c>
      <c r="H1847" s="569" t="s">
        <v>216</v>
      </c>
      <c r="I1847" s="572">
        <v>1307798867</v>
      </c>
    </row>
    <row r="1848" spans="1:9" ht="16" x14ac:dyDescent="0.2">
      <c r="A1848" s="561">
        <v>46088</v>
      </c>
      <c r="B1848" s="562">
        <v>2026</v>
      </c>
      <c r="C1848" s="563">
        <v>3</v>
      </c>
      <c r="D1848" s="564">
        <v>10</v>
      </c>
      <c r="E1848" s="564">
        <v>7</v>
      </c>
      <c r="F1848" s="565" t="s">
        <v>31</v>
      </c>
      <c r="G1848" s="563" t="s">
        <v>175</v>
      </c>
      <c r="H1848" s="563" t="s">
        <v>212</v>
      </c>
      <c r="I1848" s="566">
        <v>2778100000</v>
      </c>
    </row>
    <row r="1849" spans="1:9" ht="16" x14ac:dyDescent="0.2">
      <c r="A1849" s="567">
        <v>46088</v>
      </c>
      <c r="B1849" s="568">
        <v>2026</v>
      </c>
      <c r="C1849" s="569">
        <v>3</v>
      </c>
      <c r="D1849" s="570">
        <v>10</v>
      </c>
      <c r="E1849" s="570">
        <v>7</v>
      </c>
      <c r="F1849" s="571" t="s">
        <v>234</v>
      </c>
      <c r="G1849" s="569" t="s">
        <v>210</v>
      </c>
      <c r="H1849" s="569" t="s">
        <v>214</v>
      </c>
      <c r="I1849" s="572">
        <v>210600000</v>
      </c>
    </row>
    <row r="1850" spans="1:9" ht="16" x14ac:dyDescent="0.2">
      <c r="A1850" s="561">
        <v>46089</v>
      </c>
      <c r="B1850" s="562">
        <v>2026</v>
      </c>
      <c r="C1850" s="563">
        <v>3</v>
      </c>
      <c r="D1850" s="564">
        <v>10</v>
      </c>
      <c r="E1850" s="564">
        <v>8</v>
      </c>
      <c r="F1850" s="565" t="s">
        <v>65</v>
      </c>
      <c r="G1850" s="563" t="s">
        <v>65</v>
      </c>
      <c r="H1850" s="563" t="s">
        <v>212</v>
      </c>
      <c r="I1850" s="566">
        <v>686850000</v>
      </c>
    </row>
    <row r="1851" spans="1:9" ht="16" x14ac:dyDescent="0.2">
      <c r="A1851" s="567">
        <v>46089</v>
      </c>
      <c r="B1851" s="568">
        <v>2026</v>
      </c>
      <c r="C1851" s="569">
        <v>3</v>
      </c>
      <c r="D1851" s="570">
        <v>10</v>
      </c>
      <c r="E1851" s="570">
        <v>8</v>
      </c>
      <c r="F1851" s="571" t="s">
        <v>66</v>
      </c>
      <c r="G1851" s="569" t="s">
        <v>66</v>
      </c>
      <c r="H1851" s="569" t="s">
        <v>216</v>
      </c>
      <c r="I1851" s="572">
        <v>550123381</v>
      </c>
    </row>
    <row r="1852" spans="1:9" ht="16" x14ac:dyDescent="0.2">
      <c r="A1852" s="561">
        <v>46089</v>
      </c>
      <c r="B1852" s="562">
        <v>2026</v>
      </c>
      <c r="C1852" s="563">
        <v>3</v>
      </c>
      <c r="D1852" s="564">
        <v>10</v>
      </c>
      <c r="E1852" s="564">
        <v>8</v>
      </c>
      <c r="F1852" s="565" t="s">
        <v>24</v>
      </c>
      <c r="G1852" s="563" t="s">
        <v>24</v>
      </c>
      <c r="H1852" s="563" t="s">
        <v>212</v>
      </c>
      <c r="I1852" s="566">
        <v>7785860000</v>
      </c>
    </row>
    <row r="1853" spans="1:9" ht="16" x14ac:dyDescent="0.2">
      <c r="A1853" s="567">
        <v>46089</v>
      </c>
      <c r="B1853" s="568">
        <v>2026</v>
      </c>
      <c r="C1853" s="569">
        <v>3</v>
      </c>
      <c r="D1853" s="570">
        <v>10</v>
      </c>
      <c r="E1853" s="570">
        <v>8</v>
      </c>
      <c r="F1853" s="571" t="s">
        <v>67</v>
      </c>
      <c r="G1853" s="569" t="s">
        <v>67</v>
      </c>
      <c r="H1853" s="569" t="s">
        <v>213</v>
      </c>
      <c r="I1853" s="572">
        <v>1514346309</v>
      </c>
    </row>
    <row r="1854" spans="1:9" ht="16" x14ac:dyDescent="0.2">
      <c r="A1854" s="561">
        <v>46089</v>
      </c>
      <c r="B1854" s="562">
        <v>2026</v>
      </c>
      <c r="C1854" s="563">
        <v>3</v>
      </c>
      <c r="D1854" s="564">
        <v>10</v>
      </c>
      <c r="E1854" s="564">
        <v>8</v>
      </c>
      <c r="F1854" s="565" t="s">
        <v>28</v>
      </c>
      <c r="G1854" s="563" t="s">
        <v>28</v>
      </c>
      <c r="H1854" s="563" t="s">
        <v>214</v>
      </c>
      <c r="I1854" s="566">
        <v>12004956000</v>
      </c>
    </row>
    <row r="1855" spans="1:9" ht="16" x14ac:dyDescent="0.2">
      <c r="A1855" s="567">
        <v>46089</v>
      </c>
      <c r="B1855" s="568">
        <v>2026</v>
      </c>
      <c r="C1855" s="569">
        <v>3</v>
      </c>
      <c r="D1855" s="570">
        <v>10</v>
      </c>
      <c r="E1855" s="570">
        <v>8</v>
      </c>
      <c r="F1855" s="571" t="s">
        <v>208</v>
      </c>
      <c r="G1855" s="569" t="s">
        <v>208</v>
      </c>
      <c r="H1855" s="569" t="s">
        <v>216</v>
      </c>
      <c r="I1855" s="572">
        <v>10952075</v>
      </c>
    </row>
    <row r="1856" spans="1:9" ht="16" x14ac:dyDescent="0.2">
      <c r="A1856" s="561">
        <v>46089</v>
      </c>
      <c r="B1856" s="562">
        <v>2026</v>
      </c>
      <c r="C1856" s="563">
        <v>3</v>
      </c>
      <c r="D1856" s="564">
        <v>10</v>
      </c>
      <c r="E1856" s="564">
        <v>8</v>
      </c>
      <c r="F1856" s="565" t="s">
        <v>60</v>
      </c>
      <c r="G1856" s="563" t="s">
        <v>60</v>
      </c>
      <c r="H1856" s="563" t="s">
        <v>212</v>
      </c>
      <c r="I1856" s="566">
        <v>90000000</v>
      </c>
    </row>
    <row r="1857" spans="1:9" ht="16" x14ac:dyDescent="0.2">
      <c r="A1857" s="567">
        <v>46089</v>
      </c>
      <c r="B1857" s="568">
        <v>2026</v>
      </c>
      <c r="C1857" s="569">
        <v>3</v>
      </c>
      <c r="D1857" s="570">
        <v>10</v>
      </c>
      <c r="E1857" s="570">
        <v>8</v>
      </c>
      <c r="F1857" s="571" t="s">
        <v>36</v>
      </c>
      <c r="G1857" s="569" t="s">
        <v>36</v>
      </c>
      <c r="H1857" s="569" t="s">
        <v>212</v>
      </c>
      <c r="I1857" s="572">
        <v>2365410000</v>
      </c>
    </row>
    <row r="1858" spans="1:9" ht="16" x14ac:dyDescent="0.2">
      <c r="A1858" s="561">
        <v>46089</v>
      </c>
      <c r="B1858" s="562">
        <v>2026</v>
      </c>
      <c r="C1858" s="563">
        <v>3</v>
      </c>
      <c r="D1858" s="564">
        <v>10</v>
      </c>
      <c r="E1858" s="564">
        <v>8</v>
      </c>
      <c r="F1858" s="565" t="s">
        <v>55</v>
      </c>
      <c r="G1858" s="563" t="s">
        <v>36</v>
      </c>
      <c r="H1858" s="563" t="s">
        <v>212</v>
      </c>
      <c r="I1858" s="566">
        <v>893500000</v>
      </c>
    </row>
    <row r="1859" spans="1:9" ht="16" x14ac:dyDescent="0.2">
      <c r="A1859" s="567">
        <v>46089</v>
      </c>
      <c r="B1859" s="568">
        <v>2026</v>
      </c>
      <c r="C1859" s="569">
        <v>3</v>
      </c>
      <c r="D1859" s="570">
        <v>10</v>
      </c>
      <c r="E1859" s="570">
        <v>8</v>
      </c>
      <c r="F1859" s="571" t="s">
        <v>176</v>
      </c>
      <c r="G1859" s="569" t="s">
        <v>176</v>
      </c>
      <c r="H1859" s="569" t="s">
        <v>216</v>
      </c>
      <c r="I1859" s="572">
        <v>15463949</v>
      </c>
    </row>
    <row r="1860" spans="1:9" ht="16" x14ac:dyDescent="0.2">
      <c r="A1860" s="561">
        <v>46089</v>
      </c>
      <c r="B1860" s="562">
        <v>2026</v>
      </c>
      <c r="C1860" s="563">
        <v>3</v>
      </c>
      <c r="D1860" s="564">
        <v>10</v>
      </c>
      <c r="E1860" s="564">
        <v>8</v>
      </c>
      <c r="F1860" s="565" t="s">
        <v>39</v>
      </c>
      <c r="G1860" s="563" t="s">
        <v>176</v>
      </c>
      <c r="H1860" s="563" t="s">
        <v>216</v>
      </c>
      <c r="I1860" s="566">
        <v>1880067689</v>
      </c>
    </row>
    <row r="1861" spans="1:9" ht="16" x14ac:dyDescent="0.2">
      <c r="A1861" s="567">
        <v>46089</v>
      </c>
      <c r="B1861" s="568">
        <v>2026</v>
      </c>
      <c r="C1861" s="569">
        <v>3</v>
      </c>
      <c r="D1861" s="570">
        <v>10</v>
      </c>
      <c r="E1861" s="570">
        <v>8</v>
      </c>
      <c r="F1861" s="571" t="s">
        <v>206</v>
      </c>
      <c r="G1861" s="569" t="s">
        <v>206</v>
      </c>
      <c r="H1861" s="569" t="s">
        <v>212</v>
      </c>
      <c r="I1861" s="572">
        <v>0</v>
      </c>
    </row>
    <row r="1862" spans="1:9" ht="16" x14ac:dyDescent="0.2">
      <c r="A1862" s="561">
        <v>46089</v>
      </c>
      <c r="B1862" s="562">
        <v>2026</v>
      </c>
      <c r="C1862" s="563">
        <v>3</v>
      </c>
      <c r="D1862" s="564">
        <v>10</v>
      </c>
      <c r="E1862" s="564">
        <v>8</v>
      </c>
      <c r="F1862" s="565" t="s">
        <v>64</v>
      </c>
      <c r="G1862" s="563" t="s">
        <v>209</v>
      </c>
      <c r="H1862" s="563" t="s">
        <v>212</v>
      </c>
      <c r="I1862" s="566">
        <v>0</v>
      </c>
    </row>
    <row r="1863" spans="1:9" ht="16" x14ac:dyDescent="0.2">
      <c r="A1863" s="567">
        <v>46089</v>
      </c>
      <c r="B1863" s="568">
        <v>2026</v>
      </c>
      <c r="C1863" s="569">
        <v>3</v>
      </c>
      <c r="D1863" s="570">
        <v>10</v>
      </c>
      <c r="E1863" s="570">
        <v>8</v>
      </c>
      <c r="F1863" s="571" t="s">
        <v>237</v>
      </c>
      <c r="G1863" s="569" t="s">
        <v>209</v>
      </c>
      <c r="H1863" s="569" t="s">
        <v>212</v>
      </c>
      <c r="I1863" s="572">
        <v>0</v>
      </c>
    </row>
    <row r="1864" spans="1:9" ht="16" x14ac:dyDescent="0.2">
      <c r="A1864" s="561">
        <v>46089</v>
      </c>
      <c r="B1864" s="562">
        <v>2026</v>
      </c>
      <c r="C1864" s="563">
        <v>3</v>
      </c>
      <c r="D1864" s="564">
        <v>10</v>
      </c>
      <c r="E1864" s="564">
        <v>8</v>
      </c>
      <c r="F1864" s="565" t="s">
        <v>11</v>
      </c>
      <c r="G1864" s="563" t="s">
        <v>11</v>
      </c>
      <c r="H1864" s="563" t="s">
        <v>212</v>
      </c>
      <c r="I1864" s="566">
        <v>13167390000</v>
      </c>
    </row>
    <row r="1865" spans="1:9" ht="16" x14ac:dyDescent="0.2">
      <c r="A1865" s="567">
        <v>46089</v>
      </c>
      <c r="B1865" s="568">
        <v>2026</v>
      </c>
      <c r="C1865" s="569">
        <v>3</v>
      </c>
      <c r="D1865" s="570">
        <v>10</v>
      </c>
      <c r="E1865" s="570">
        <v>8</v>
      </c>
      <c r="F1865" s="571" t="s">
        <v>221</v>
      </c>
      <c r="G1865" s="569" t="s">
        <v>207</v>
      </c>
      <c r="H1865" s="569" t="s">
        <v>212</v>
      </c>
      <c r="I1865" s="572">
        <v>0</v>
      </c>
    </row>
    <row r="1866" spans="1:9" ht="16" x14ac:dyDescent="0.2">
      <c r="A1866" s="561">
        <v>46089</v>
      </c>
      <c r="B1866" s="562">
        <v>2026</v>
      </c>
      <c r="C1866" s="563">
        <v>3</v>
      </c>
      <c r="D1866" s="564">
        <v>10</v>
      </c>
      <c r="E1866" s="564">
        <v>8</v>
      </c>
      <c r="F1866" s="565" t="s">
        <v>222</v>
      </c>
      <c r="G1866" s="563" t="s">
        <v>207</v>
      </c>
      <c r="H1866" s="563" t="s">
        <v>212</v>
      </c>
      <c r="I1866" s="566">
        <v>0</v>
      </c>
    </row>
    <row r="1867" spans="1:9" ht="16" x14ac:dyDescent="0.2">
      <c r="A1867" s="567">
        <v>46089</v>
      </c>
      <c r="B1867" s="568">
        <v>2026</v>
      </c>
      <c r="C1867" s="569">
        <v>3</v>
      </c>
      <c r="D1867" s="570">
        <v>10</v>
      </c>
      <c r="E1867" s="570">
        <v>8</v>
      </c>
      <c r="F1867" s="571" t="s">
        <v>223</v>
      </c>
      <c r="G1867" s="569" t="s">
        <v>207</v>
      </c>
      <c r="H1867" s="569" t="s">
        <v>212</v>
      </c>
      <c r="I1867" s="572">
        <v>0</v>
      </c>
    </row>
    <row r="1868" spans="1:9" ht="16" x14ac:dyDescent="0.2">
      <c r="A1868" s="561">
        <v>46089</v>
      </c>
      <c r="B1868" s="562">
        <v>2026</v>
      </c>
      <c r="C1868" s="563">
        <v>3</v>
      </c>
      <c r="D1868" s="564">
        <v>10</v>
      </c>
      <c r="E1868" s="564">
        <v>8</v>
      </c>
      <c r="F1868" s="565" t="s">
        <v>219</v>
      </c>
      <c r="G1868" s="563" t="s">
        <v>11</v>
      </c>
      <c r="H1868" s="563" t="s">
        <v>212</v>
      </c>
      <c r="I1868" s="566">
        <v>0</v>
      </c>
    </row>
    <row r="1869" spans="1:9" ht="16" x14ac:dyDescent="0.2">
      <c r="A1869" s="567">
        <v>46089</v>
      </c>
      <c r="B1869" s="568">
        <v>2026</v>
      </c>
      <c r="C1869" s="569">
        <v>3</v>
      </c>
      <c r="D1869" s="570">
        <v>10</v>
      </c>
      <c r="E1869" s="570">
        <v>8</v>
      </c>
      <c r="F1869" s="571" t="s">
        <v>19</v>
      </c>
      <c r="G1869" s="569" t="s">
        <v>19</v>
      </c>
      <c r="H1869" s="569" t="s">
        <v>214</v>
      </c>
      <c r="I1869" s="572">
        <v>10349424000</v>
      </c>
    </row>
    <row r="1870" spans="1:9" ht="16" x14ac:dyDescent="0.2">
      <c r="A1870" s="561">
        <v>46089</v>
      </c>
      <c r="B1870" s="562">
        <v>2026</v>
      </c>
      <c r="C1870" s="563">
        <v>3</v>
      </c>
      <c r="D1870" s="564">
        <v>10</v>
      </c>
      <c r="E1870" s="564">
        <v>8</v>
      </c>
      <c r="F1870" s="565" t="s">
        <v>62</v>
      </c>
      <c r="G1870" s="563" t="s">
        <v>62</v>
      </c>
      <c r="H1870" s="563" t="s">
        <v>216</v>
      </c>
      <c r="I1870" s="566">
        <v>322444910</v>
      </c>
    </row>
    <row r="1871" spans="1:9" ht="16" x14ac:dyDescent="0.2">
      <c r="A1871" s="567">
        <v>46089</v>
      </c>
      <c r="B1871" s="568">
        <v>2026</v>
      </c>
      <c r="C1871" s="569">
        <v>3</v>
      </c>
      <c r="D1871" s="570">
        <v>10</v>
      </c>
      <c r="E1871" s="570">
        <v>8</v>
      </c>
      <c r="F1871" s="571" t="s">
        <v>58</v>
      </c>
      <c r="G1871" s="569" t="s">
        <v>58</v>
      </c>
      <c r="H1871" s="569" t="s">
        <v>212</v>
      </c>
      <c r="I1871" s="572">
        <v>10000000</v>
      </c>
    </row>
    <row r="1872" spans="1:9" ht="16" x14ac:dyDescent="0.2">
      <c r="A1872" s="561">
        <v>46089</v>
      </c>
      <c r="B1872" s="562">
        <v>2026</v>
      </c>
      <c r="C1872" s="563">
        <v>3</v>
      </c>
      <c r="D1872" s="564">
        <v>10</v>
      </c>
      <c r="E1872" s="564">
        <v>8</v>
      </c>
      <c r="F1872" s="565" t="s">
        <v>61</v>
      </c>
      <c r="G1872" s="563" t="s">
        <v>61</v>
      </c>
      <c r="H1872" s="563" t="s">
        <v>214</v>
      </c>
      <c r="I1872" s="566">
        <v>55000000</v>
      </c>
    </row>
    <row r="1873" spans="1:9" ht="16" x14ac:dyDescent="0.2">
      <c r="A1873" s="567">
        <v>46089</v>
      </c>
      <c r="B1873" s="568">
        <v>2026</v>
      </c>
      <c r="C1873" s="569">
        <v>3</v>
      </c>
      <c r="D1873" s="570">
        <v>10</v>
      </c>
      <c r="E1873" s="570">
        <v>8</v>
      </c>
      <c r="F1873" s="571" t="s">
        <v>57</v>
      </c>
      <c r="G1873" s="569" t="s">
        <v>57</v>
      </c>
      <c r="H1873" s="569" t="s">
        <v>212</v>
      </c>
      <c r="I1873" s="572">
        <v>874430000</v>
      </c>
    </row>
    <row r="1874" spans="1:9" ht="16" x14ac:dyDescent="0.2">
      <c r="A1874" s="561">
        <v>46089</v>
      </c>
      <c r="B1874" s="562">
        <v>2026</v>
      </c>
      <c r="C1874" s="563">
        <v>3</v>
      </c>
      <c r="D1874" s="564">
        <v>10</v>
      </c>
      <c r="E1874" s="564">
        <v>8</v>
      </c>
      <c r="F1874" s="565" t="s">
        <v>63</v>
      </c>
      <c r="G1874" s="563" t="s">
        <v>63</v>
      </c>
      <c r="H1874" s="563" t="s">
        <v>214</v>
      </c>
      <c r="I1874" s="566">
        <v>328212000</v>
      </c>
    </row>
    <row r="1875" spans="1:9" ht="16" x14ac:dyDescent="0.2">
      <c r="A1875" s="567">
        <v>46089</v>
      </c>
      <c r="B1875" s="568">
        <v>2026</v>
      </c>
      <c r="C1875" s="569">
        <v>3</v>
      </c>
      <c r="D1875" s="570">
        <v>10</v>
      </c>
      <c r="E1875" s="570">
        <v>8</v>
      </c>
      <c r="F1875" s="571" t="s">
        <v>59</v>
      </c>
      <c r="G1875" s="569" t="s">
        <v>59</v>
      </c>
      <c r="H1875" s="569" t="s">
        <v>216</v>
      </c>
      <c r="I1875" s="572">
        <v>624902725</v>
      </c>
    </row>
    <row r="1876" spans="1:9" ht="16" x14ac:dyDescent="0.2">
      <c r="A1876" s="561">
        <v>46089</v>
      </c>
      <c r="B1876" s="562">
        <v>2026</v>
      </c>
      <c r="C1876" s="563">
        <v>3</v>
      </c>
      <c r="D1876" s="564">
        <v>10</v>
      </c>
      <c r="E1876" s="564">
        <v>8</v>
      </c>
      <c r="F1876" s="565" t="s">
        <v>31</v>
      </c>
      <c r="G1876" s="563" t="s">
        <v>175</v>
      </c>
      <c r="H1876" s="563" t="s">
        <v>212</v>
      </c>
      <c r="I1876" s="566">
        <v>2246390000</v>
      </c>
    </row>
    <row r="1877" spans="1:9" ht="16" x14ac:dyDescent="0.2">
      <c r="A1877" s="567">
        <v>46089</v>
      </c>
      <c r="B1877" s="568">
        <v>2026</v>
      </c>
      <c r="C1877" s="569">
        <v>3</v>
      </c>
      <c r="D1877" s="570">
        <v>10</v>
      </c>
      <c r="E1877" s="570">
        <v>8</v>
      </c>
      <c r="F1877" s="571" t="s">
        <v>234</v>
      </c>
      <c r="G1877" s="569" t="s">
        <v>210</v>
      </c>
      <c r="H1877" s="569" t="s">
        <v>214</v>
      </c>
      <c r="I1877" s="572">
        <v>264600000</v>
      </c>
    </row>
    <row r="1878" spans="1:9" ht="16" x14ac:dyDescent="0.2">
      <c r="A1878" s="561">
        <v>46090</v>
      </c>
      <c r="B1878" s="562">
        <v>2026</v>
      </c>
      <c r="C1878" s="563">
        <v>3</v>
      </c>
      <c r="D1878" s="564">
        <v>11</v>
      </c>
      <c r="E1878" s="564">
        <v>9</v>
      </c>
      <c r="F1878" s="565" t="s">
        <v>65</v>
      </c>
      <c r="G1878" s="563" t="s">
        <v>65</v>
      </c>
      <c r="H1878" s="563" t="s">
        <v>212</v>
      </c>
      <c r="I1878" s="573">
        <v>1005700000</v>
      </c>
    </row>
    <row r="1879" spans="1:9" ht="16" x14ac:dyDescent="0.2">
      <c r="A1879" s="567">
        <v>46090</v>
      </c>
      <c r="B1879" s="568">
        <v>2026</v>
      </c>
      <c r="C1879" s="569">
        <v>3</v>
      </c>
      <c r="D1879" s="570">
        <v>11</v>
      </c>
      <c r="E1879" s="570">
        <v>9</v>
      </c>
      <c r="F1879" s="571" t="s">
        <v>66</v>
      </c>
      <c r="G1879" s="569" t="s">
        <v>66</v>
      </c>
      <c r="H1879" s="569" t="s">
        <v>216</v>
      </c>
      <c r="I1879" s="574">
        <v>444974431</v>
      </c>
    </row>
    <row r="1880" spans="1:9" ht="16" x14ac:dyDescent="0.2">
      <c r="A1880" s="561">
        <v>46090</v>
      </c>
      <c r="B1880" s="562">
        <v>2026</v>
      </c>
      <c r="C1880" s="563">
        <v>3</v>
      </c>
      <c r="D1880" s="564">
        <v>11</v>
      </c>
      <c r="E1880" s="564">
        <v>9</v>
      </c>
      <c r="F1880" s="565" t="s">
        <v>24</v>
      </c>
      <c r="G1880" s="563" t="s">
        <v>24</v>
      </c>
      <c r="H1880" s="563" t="s">
        <v>212</v>
      </c>
      <c r="I1880" s="573">
        <v>11435820000</v>
      </c>
    </row>
    <row r="1881" spans="1:9" ht="16" x14ac:dyDescent="0.2">
      <c r="A1881" s="567">
        <v>46090</v>
      </c>
      <c r="B1881" s="568">
        <v>2026</v>
      </c>
      <c r="C1881" s="569">
        <v>3</v>
      </c>
      <c r="D1881" s="570">
        <v>11</v>
      </c>
      <c r="E1881" s="570">
        <v>9</v>
      </c>
      <c r="F1881" s="571" t="s">
        <v>67</v>
      </c>
      <c r="G1881" s="569" t="s">
        <v>67</v>
      </c>
      <c r="H1881" s="569" t="s">
        <v>213</v>
      </c>
      <c r="I1881" s="574">
        <v>2060454033</v>
      </c>
    </row>
    <row r="1882" spans="1:9" ht="16" x14ac:dyDescent="0.2">
      <c r="A1882" s="561">
        <v>46090</v>
      </c>
      <c r="B1882" s="562">
        <v>2026</v>
      </c>
      <c r="C1882" s="563">
        <v>3</v>
      </c>
      <c r="D1882" s="564">
        <v>11</v>
      </c>
      <c r="E1882" s="564">
        <v>9</v>
      </c>
      <c r="F1882" s="565" t="s">
        <v>28</v>
      </c>
      <c r="G1882" s="563" t="s">
        <v>28</v>
      </c>
      <c r="H1882" s="563" t="s">
        <v>214</v>
      </c>
      <c r="I1882" s="573">
        <v>13272768000</v>
      </c>
    </row>
    <row r="1883" spans="1:9" ht="16" x14ac:dyDescent="0.2">
      <c r="A1883" s="567">
        <v>46090</v>
      </c>
      <c r="B1883" s="568">
        <v>2026</v>
      </c>
      <c r="C1883" s="569">
        <v>3</v>
      </c>
      <c r="D1883" s="570">
        <v>11</v>
      </c>
      <c r="E1883" s="570">
        <v>9</v>
      </c>
      <c r="F1883" s="571" t="s">
        <v>208</v>
      </c>
      <c r="G1883" s="569" t="s">
        <v>208</v>
      </c>
      <c r="H1883" s="569" t="s">
        <v>216</v>
      </c>
      <c r="I1883" s="574">
        <v>19002826</v>
      </c>
    </row>
    <row r="1884" spans="1:9" ht="16" x14ac:dyDescent="0.2">
      <c r="A1884" s="561">
        <v>46090</v>
      </c>
      <c r="B1884" s="562">
        <v>2026</v>
      </c>
      <c r="C1884" s="563">
        <v>3</v>
      </c>
      <c r="D1884" s="564">
        <v>11</v>
      </c>
      <c r="E1884" s="564">
        <v>9</v>
      </c>
      <c r="F1884" s="565" t="s">
        <v>60</v>
      </c>
      <c r="G1884" s="563" t="s">
        <v>60</v>
      </c>
      <c r="H1884" s="563" t="s">
        <v>212</v>
      </c>
      <c r="I1884" s="573">
        <v>0</v>
      </c>
    </row>
    <row r="1885" spans="1:9" ht="16" x14ac:dyDescent="0.2">
      <c r="A1885" s="567">
        <v>46090</v>
      </c>
      <c r="B1885" s="568">
        <v>2026</v>
      </c>
      <c r="C1885" s="569">
        <v>3</v>
      </c>
      <c r="D1885" s="570">
        <v>11</v>
      </c>
      <c r="E1885" s="570">
        <v>9</v>
      </c>
      <c r="F1885" s="571" t="s">
        <v>36</v>
      </c>
      <c r="G1885" s="569" t="s">
        <v>36</v>
      </c>
      <c r="H1885" s="569" t="s">
        <v>212</v>
      </c>
      <c r="I1885" s="574">
        <v>2979040000</v>
      </c>
    </row>
    <row r="1886" spans="1:9" ht="16" x14ac:dyDescent="0.2">
      <c r="A1886" s="561">
        <v>46090</v>
      </c>
      <c r="B1886" s="562">
        <v>2026</v>
      </c>
      <c r="C1886" s="563">
        <v>3</v>
      </c>
      <c r="D1886" s="564">
        <v>11</v>
      </c>
      <c r="E1886" s="564">
        <v>9</v>
      </c>
      <c r="F1886" s="565" t="s">
        <v>55</v>
      </c>
      <c r="G1886" s="563" t="s">
        <v>36</v>
      </c>
      <c r="H1886" s="563" t="s">
        <v>212</v>
      </c>
      <c r="I1886" s="573">
        <v>994660000</v>
      </c>
    </row>
    <row r="1887" spans="1:9" ht="16" x14ac:dyDescent="0.2">
      <c r="A1887" s="567">
        <v>46090</v>
      </c>
      <c r="B1887" s="568">
        <v>2026</v>
      </c>
      <c r="C1887" s="569">
        <v>3</v>
      </c>
      <c r="D1887" s="570">
        <v>11</v>
      </c>
      <c r="E1887" s="570">
        <v>9</v>
      </c>
      <c r="F1887" s="571" t="s">
        <v>176</v>
      </c>
      <c r="G1887" s="569" t="s">
        <v>176</v>
      </c>
      <c r="H1887" s="569" t="s">
        <v>216</v>
      </c>
      <c r="I1887" s="574">
        <v>27289580</v>
      </c>
    </row>
    <row r="1888" spans="1:9" ht="16" x14ac:dyDescent="0.2">
      <c r="A1888" s="561">
        <v>46090</v>
      </c>
      <c r="B1888" s="562">
        <v>2026</v>
      </c>
      <c r="C1888" s="563">
        <v>3</v>
      </c>
      <c r="D1888" s="564">
        <v>11</v>
      </c>
      <c r="E1888" s="564">
        <v>9</v>
      </c>
      <c r="F1888" s="565" t="s">
        <v>39</v>
      </c>
      <c r="G1888" s="563" t="s">
        <v>176</v>
      </c>
      <c r="H1888" s="563" t="s">
        <v>216</v>
      </c>
      <c r="I1888" s="573">
        <v>1144625438</v>
      </c>
    </row>
    <row r="1889" spans="1:9" ht="16" x14ac:dyDescent="0.2">
      <c r="A1889" s="567">
        <v>46090</v>
      </c>
      <c r="B1889" s="568">
        <v>2026</v>
      </c>
      <c r="C1889" s="569">
        <v>3</v>
      </c>
      <c r="D1889" s="570">
        <v>11</v>
      </c>
      <c r="E1889" s="570">
        <v>9</v>
      </c>
      <c r="F1889" s="571" t="s">
        <v>206</v>
      </c>
      <c r="G1889" s="569" t="s">
        <v>206</v>
      </c>
      <c r="H1889" s="569" t="s">
        <v>212</v>
      </c>
      <c r="I1889" s="574">
        <v>0</v>
      </c>
    </row>
    <row r="1890" spans="1:9" ht="16" x14ac:dyDescent="0.2">
      <c r="A1890" s="561">
        <v>46090</v>
      </c>
      <c r="B1890" s="562">
        <v>2026</v>
      </c>
      <c r="C1890" s="563">
        <v>3</v>
      </c>
      <c r="D1890" s="564">
        <v>11</v>
      </c>
      <c r="E1890" s="564">
        <v>9</v>
      </c>
      <c r="F1890" s="565" t="s">
        <v>64</v>
      </c>
      <c r="G1890" s="563" t="s">
        <v>209</v>
      </c>
      <c r="H1890" s="563" t="s">
        <v>212</v>
      </c>
      <c r="I1890" s="573">
        <v>156000000</v>
      </c>
    </row>
    <row r="1891" spans="1:9" ht="16" x14ac:dyDescent="0.2">
      <c r="A1891" s="567">
        <v>46090</v>
      </c>
      <c r="B1891" s="568">
        <v>2026</v>
      </c>
      <c r="C1891" s="569">
        <v>3</v>
      </c>
      <c r="D1891" s="570">
        <v>11</v>
      </c>
      <c r="E1891" s="570">
        <v>9</v>
      </c>
      <c r="F1891" s="571" t="s">
        <v>237</v>
      </c>
      <c r="G1891" s="569" t="s">
        <v>209</v>
      </c>
      <c r="H1891" s="569" t="s">
        <v>212</v>
      </c>
      <c r="I1891" s="574">
        <v>81000000</v>
      </c>
    </row>
    <row r="1892" spans="1:9" ht="16" x14ac:dyDescent="0.2">
      <c r="A1892" s="561">
        <v>46090</v>
      </c>
      <c r="B1892" s="562">
        <v>2026</v>
      </c>
      <c r="C1892" s="563">
        <v>3</v>
      </c>
      <c r="D1892" s="564">
        <v>11</v>
      </c>
      <c r="E1892" s="564">
        <v>9</v>
      </c>
      <c r="F1892" s="565" t="s">
        <v>11</v>
      </c>
      <c r="G1892" s="563" t="s">
        <v>11</v>
      </c>
      <c r="H1892" s="563" t="s">
        <v>212</v>
      </c>
      <c r="I1892" s="573">
        <v>16470360000</v>
      </c>
    </row>
    <row r="1893" spans="1:9" ht="16" x14ac:dyDescent="0.2">
      <c r="A1893" s="567">
        <v>46090</v>
      </c>
      <c r="B1893" s="568">
        <v>2026</v>
      </c>
      <c r="C1893" s="569">
        <v>3</v>
      </c>
      <c r="D1893" s="570">
        <v>11</v>
      </c>
      <c r="E1893" s="570">
        <v>9</v>
      </c>
      <c r="F1893" s="571" t="s">
        <v>221</v>
      </c>
      <c r="G1893" s="569" t="s">
        <v>207</v>
      </c>
      <c r="H1893" s="569" t="s">
        <v>212</v>
      </c>
      <c r="I1893" s="574">
        <v>0</v>
      </c>
    </row>
    <row r="1894" spans="1:9" ht="16" x14ac:dyDescent="0.2">
      <c r="A1894" s="561">
        <v>46090</v>
      </c>
      <c r="B1894" s="562">
        <v>2026</v>
      </c>
      <c r="C1894" s="563">
        <v>3</v>
      </c>
      <c r="D1894" s="564">
        <v>11</v>
      </c>
      <c r="E1894" s="564">
        <v>9</v>
      </c>
      <c r="F1894" s="565" t="s">
        <v>222</v>
      </c>
      <c r="G1894" s="563" t="s">
        <v>207</v>
      </c>
      <c r="H1894" s="563" t="s">
        <v>212</v>
      </c>
      <c r="I1894" s="573">
        <v>0</v>
      </c>
    </row>
    <row r="1895" spans="1:9" ht="16" x14ac:dyDescent="0.2">
      <c r="A1895" s="567">
        <v>46090</v>
      </c>
      <c r="B1895" s="568">
        <v>2026</v>
      </c>
      <c r="C1895" s="569">
        <v>3</v>
      </c>
      <c r="D1895" s="570">
        <v>11</v>
      </c>
      <c r="E1895" s="570">
        <v>9</v>
      </c>
      <c r="F1895" s="571" t="s">
        <v>223</v>
      </c>
      <c r="G1895" s="569" t="s">
        <v>207</v>
      </c>
      <c r="H1895" s="569" t="s">
        <v>212</v>
      </c>
      <c r="I1895" s="574">
        <v>0</v>
      </c>
    </row>
    <row r="1896" spans="1:9" ht="16" x14ac:dyDescent="0.2">
      <c r="A1896" s="561">
        <v>46090</v>
      </c>
      <c r="B1896" s="562">
        <v>2026</v>
      </c>
      <c r="C1896" s="563">
        <v>3</v>
      </c>
      <c r="D1896" s="564">
        <v>11</v>
      </c>
      <c r="E1896" s="564">
        <v>9</v>
      </c>
      <c r="F1896" s="565" t="s">
        <v>219</v>
      </c>
      <c r="G1896" s="563" t="s">
        <v>11</v>
      </c>
      <c r="H1896" s="563" t="s">
        <v>212</v>
      </c>
      <c r="I1896" s="573">
        <v>0</v>
      </c>
    </row>
    <row r="1897" spans="1:9" ht="16" x14ac:dyDescent="0.2">
      <c r="A1897" s="567">
        <v>46090</v>
      </c>
      <c r="B1897" s="568">
        <v>2026</v>
      </c>
      <c r="C1897" s="569">
        <v>3</v>
      </c>
      <c r="D1897" s="570">
        <v>11</v>
      </c>
      <c r="E1897" s="570">
        <v>9</v>
      </c>
      <c r="F1897" s="571" t="s">
        <v>19</v>
      </c>
      <c r="G1897" s="569" t="s">
        <v>19</v>
      </c>
      <c r="H1897" s="569" t="s">
        <v>214</v>
      </c>
      <c r="I1897" s="574">
        <v>10891260000</v>
      </c>
    </row>
    <row r="1898" spans="1:9" ht="16" x14ac:dyDescent="0.2">
      <c r="A1898" s="561">
        <v>46090</v>
      </c>
      <c r="B1898" s="562">
        <v>2026</v>
      </c>
      <c r="C1898" s="563">
        <v>3</v>
      </c>
      <c r="D1898" s="564">
        <v>11</v>
      </c>
      <c r="E1898" s="564">
        <v>9</v>
      </c>
      <c r="F1898" s="565" t="s">
        <v>62</v>
      </c>
      <c r="G1898" s="563" t="s">
        <v>62</v>
      </c>
      <c r="H1898" s="563" t="s">
        <v>216</v>
      </c>
      <c r="I1898" s="573">
        <v>341293506</v>
      </c>
    </row>
    <row r="1899" spans="1:9" ht="16" x14ac:dyDescent="0.2">
      <c r="A1899" s="567">
        <v>46090</v>
      </c>
      <c r="B1899" s="568">
        <v>2026</v>
      </c>
      <c r="C1899" s="569">
        <v>3</v>
      </c>
      <c r="D1899" s="570">
        <v>11</v>
      </c>
      <c r="E1899" s="570">
        <v>9</v>
      </c>
      <c r="F1899" s="571" t="s">
        <v>58</v>
      </c>
      <c r="G1899" s="569" t="s">
        <v>58</v>
      </c>
      <c r="H1899" s="569" t="s">
        <v>212</v>
      </c>
      <c r="I1899" s="574">
        <v>21000000</v>
      </c>
    </row>
    <row r="1900" spans="1:9" ht="16" x14ac:dyDescent="0.2">
      <c r="A1900" s="561">
        <v>46090</v>
      </c>
      <c r="B1900" s="562">
        <v>2026</v>
      </c>
      <c r="C1900" s="563">
        <v>3</v>
      </c>
      <c r="D1900" s="564">
        <v>11</v>
      </c>
      <c r="E1900" s="564">
        <v>9</v>
      </c>
      <c r="F1900" s="565" t="s">
        <v>61</v>
      </c>
      <c r="G1900" s="563" t="s">
        <v>61</v>
      </c>
      <c r="H1900" s="563" t="s">
        <v>214</v>
      </c>
      <c r="I1900" s="573">
        <v>81000000</v>
      </c>
    </row>
    <row r="1901" spans="1:9" ht="16" x14ac:dyDescent="0.2">
      <c r="A1901" s="567">
        <v>46090</v>
      </c>
      <c r="B1901" s="568">
        <v>2026</v>
      </c>
      <c r="C1901" s="569">
        <v>3</v>
      </c>
      <c r="D1901" s="570">
        <v>11</v>
      </c>
      <c r="E1901" s="570">
        <v>9</v>
      </c>
      <c r="F1901" s="571" t="s">
        <v>57</v>
      </c>
      <c r="G1901" s="569" t="s">
        <v>57</v>
      </c>
      <c r="H1901" s="569" t="s">
        <v>212</v>
      </c>
      <c r="I1901" s="574">
        <v>944290000</v>
      </c>
    </row>
    <row r="1902" spans="1:9" ht="16" x14ac:dyDescent="0.2">
      <c r="A1902" s="561">
        <v>46090</v>
      </c>
      <c r="B1902" s="562">
        <v>2026</v>
      </c>
      <c r="C1902" s="563">
        <v>3</v>
      </c>
      <c r="D1902" s="564">
        <v>11</v>
      </c>
      <c r="E1902" s="564">
        <v>9</v>
      </c>
      <c r="F1902" s="565" t="s">
        <v>63</v>
      </c>
      <c r="G1902" s="563" t="s">
        <v>63</v>
      </c>
      <c r="H1902" s="563" t="s">
        <v>214</v>
      </c>
      <c r="I1902" s="573">
        <v>268920000</v>
      </c>
    </row>
    <row r="1903" spans="1:9" ht="16" x14ac:dyDescent="0.2">
      <c r="A1903" s="567">
        <v>46090</v>
      </c>
      <c r="B1903" s="568">
        <v>2026</v>
      </c>
      <c r="C1903" s="569">
        <v>3</v>
      </c>
      <c r="D1903" s="570">
        <v>11</v>
      </c>
      <c r="E1903" s="570">
        <v>9</v>
      </c>
      <c r="F1903" s="571" t="s">
        <v>59</v>
      </c>
      <c r="G1903" s="569" t="s">
        <v>59</v>
      </c>
      <c r="H1903" s="569" t="s">
        <v>216</v>
      </c>
      <c r="I1903" s="574">
        <v>580390160</v>
      </c>
    </row>
    <row r="1904" spans="1:9" ht="16" x14ac:dyDescent="0.2">
      <c r="A1904" s="561">
        <v>46090</v>
      </c>
      <c r="B1904" s="562">
        <v>2026</v>
      </c>
      <c r="C1904" s="563">
        <v>3</v>
      </c>
      <c r="D1904" s="564">
        <v>11</v>
      </c>
      <c r="E1904" s="564">
        <v>9</v>
      </c>
      <c r="F1904" s="565" t="s">
        <v>31</v>
      </c>
      <c r="G1904" s="563" t="s">
        <v>175</v>
      </c>
      <c r="H1904" s="563" t="s">
        <v>212</v>
      </c>
      <c r="I1904" s="573">
        <v>2689610000</v>
      </c>
    </row>
    <row r="1905" spans="1:9" ht="16" x14ac:dyDescent="0.2">
      <c r="A1905" s="567">
        <v>46090</v>
      </c>
      <c r="B1905" s="568">
        <v>2026</v>
      </c>
      <c r="C1905" s="569">
        <v>3</v>
      </c>
      <c r="D1905" s="570">
        <v>11</v>
      </c>
      <c r="E1905" s="570">
        <v>9</v>
      </c>
      <c r="F1905" s="571" t="s">
        <v>234</v>
      </c>
      <c r="G1905" s="569" t="s">
        <v>210</v>
      </c>
      <c r="H1905" s="569" t="s">
        <v>214</v>
      </c>
      <c r="I1905" s="574">
        <v>279720000</v>
      </c>
    </row>
    <row r="1906" spans="1:9" ht="16" x14ac:dyDescent="0.2">
      <c r="A1906" s="561">
        <v>46091</v>
      </c>
      <c r="B1906" s="562">
        <v>2026</v>
      </c>
      <c r="C1906" s="563">
        <v>3</v>
      </c>
      <c r="D1906" s="564">
        <v>11</v>
      </c>
      <c r="E1906" s="564">
        <v>10</v>
      </c>
      <c r="F1906" s="565" t="s">
        <v>65</v>
      </c>
      <c r="G1906" s="563" t="s">
        <v>65</v>
      </c>
      <c r="H1906" s="563" t="s">
        <v>212</v>
      </c>
      <c r="I1906" s="573">
        <v>1279400000</v>
      </c>
    </row>
    <row r="1907" spans="1:9" ht="16" x14ac:dyDescent="0.2">
      <c r="A1907" s="567">
        <v>46091</v>
      </c>
      <c r="B1907" s="568">
        <v>2026</v>
      </c>
      <c r="C1907" s="569">
        <v>3</v>
      </c>
      <c r="D1907" s="570">
        <v>11</v>
      </c>
      <c r="E1907" s="570">
        <v>10</v>
      </c>
      <c r="F1907" s="571" t="s">
        <v>66</v>
      </c>
      <c r="G1907" s="569" t="s">
        <v>66</v>
      </c>
      <c r="H1907" s="569" t="s">
        <v>216</v>
      </c>
      <c r="I1907" s="574">
        <v>377427314</v>
      </c>
    </row>
    <row r="1908" spans="1:9" ht="16" x14ac:dyDescent="0.2">
      <c r="A1908" s="561">
        <v>46091</v>
      </c>
      <c r="B1908" s="562">
        <v>2026</v>
      </c>
      <c r="C1908" s="563">
        <v>3</v>
      </c>
      <c r="D1908" s="564">
        <v>11</v>
      </c>
      <c r="E1908" s="564">
        <v>10</v>
      </c>
      <c r="F1908" s="565" t="s">
        <v>24</v>
      </c>
      <c r="G1908" s="563" t="s">
        <v>24</v>
      </c>
      <c r="H1908" s="563" t="s">
        <v>212</v>
      </c>
      <c r="I1908" s="573">
        <v>7659850000</v>
      </c>
    </row>
    <row r="1909" spans="1:9" ht="16" x14ac:dyDescent="0.2">
      <c r="A1909" s="567">
        <v>46091</v>
      </c>
      <c r="B1909" s="568">
        <v>2026</v>
      </c>
      <c r="C1909" s="569">
        <v>3</v>
      </c>
      <c r="D1909" s="570">
        <v>11</v>
      </c>
      <c r="E1909" s="570">
        <v>10</v>
      </c>
      <c r="F1909" s="571" t="s">
        <v>67</v>
      </c>
      <c r="G1909" s="569" t="s">
        <v>67</v>
      </c>
      <c r="H1909" s="569" t="s">
        <v>213</v>
      </c>
      <c r="I1909" s="574">
        <v>2025375445</v>
      </c>
    </row>
    <row r="1910" spans="1:9" ht="16" x14ac:dyDescent="0.2">
      <c r="A1910" s="561">
        <v>46091</v>
      </c>
      <c r="B1910" s="562">
        <v>2026</v>
      </c>
      <c r="C1910" s="563">
        <v>3</v>
      </c>
      <c r="D1910" s="564">
        <v>11</v>
      </c>
      <c r="E1910" s="564">
        <v>10</v>
      </c>
      <c r="F1910" s="565" t="s">
        <v>28</v>
      </c>
      <c r="G1910" s="563" t="s">
        <v>28</v>
      </c>
      <c r="H1910" s="563" t="s">
        <v>214</v>
      </c>
      <c r="I1910" s="573">
        <v>18105552000</v>
      </c>
    </row>
    <row r="1911" spans="1:9" ht="16" x14ac:dyDescent="0.2">
      <c r="A1911" s="567">
        <v>46091</v>
      </c>
      <c r="B1911" s="568">
        <v>2026</v>
      </c>
      <c r="C1911" s="569">
        <v>3</v>
      </c>
      <c r="D1911" s="570">
        <v>11</v>
      </c>
      <c r="E1911" s="570">
        <v>10</v>
      </c>
      <c r="F1911" s="571" t="s">
        <v>208</v>
      </c>
      <c r="G1911" s="569" t="s">
        <v>208</v>
      </c>
      <c r="H1911" s="569" t="s">
        <v>216</v>
      </c>
      <c r="I1911" s="574">
        <v>23264856</v>
      </c>
    </row>
    <row r="1912" spans="1:9" ht="16" x14ac:dyDescent="0.2">
      <c r="A1912" s="561">
        <v>46091</v>
      </c>
      <c r="B1912" s="562">
        <v>2026</v>
      </c>
      <c r="C1912" s="563">
        <v>3</v>
      </c>
      <c r="D1912" s="564">
        <v>11</v>
      </c>
      <c r="E1912" s="564">
        <v>10</v>
      </c>
      <c r="F1912" s="565" t="s">
        <v>60</v>
      </c>
      <c r="G1912" s="563" t="s">
        <v>60</v>
      </c>
      <c r="H1912" s="563" t="s">
        <v>212</v>
      </c>
      <c r="I1912" s="573">
        <v>90000000</v>
      </c>
    </row>
    <row r="1913" spans="1:9" ht="16" x14ac:dyDescent="0.2">
      <c r="A1913" s="567">
        <v>46091</v>
      </c>
      <c r="B1913" s="568">
        <v>2026</v>
      </c>
      <c r="C1913" s="569">
        <v>3</v>
      </c>
      <c r="D1913" s="570">
        <v>11</v>
      </c>
      <c r="E1913" s="570">
        <v>10</v>
      </c>
      <c r="F1913" s="571" t="s">
        <v>36</v>
      </c>
      <c r="G1913" s="569" t="s">
        <v>36</v>
      </c>
      <c r="H1913" s="569" t="s">
        <v>212</v>
      </c>
      <c r="I1913" s="574">
        <v>2601090000</v>
      </c>
    </row>
    <row r="1914" spans="1:9" ht="16" x14ac:dyDescent="0.2">
      <c r="A1914" s="561">
        <v>46091</v>
      </c>
      <c r="B1914" s="562">
        <v>2026</v>
      </c>
      <c r="C1914" s="563">
        <v>3</v>
      </c>
      <c r="D1914" s="564">
        <v>11</v>
      </c>
      <c r="E1914" s="564">
        <v>10</v>
      </c>
      <c r="F1914" s="565" t="s">
        <v>55</v>
      </c>
      <c r="G1914" s="563" t="s">
        <v>36</v>
      </c>
      <c r="H1914" s="563" t="s">
        <v>212</v>
      </c>
      <c r="I1914" s="573">
        <v>909560000</v>
      </c>
    </row>
    <row r="1915" spans="1:9" ht="16" x14ac:dyDescent="0.2">
      <c r="A1915" s="567">
        <v>46091</v>
      </c>
      <c r="B1915" s="568">
        <v>2026</v>
      </c>
      <c r="C1915" s="569">
        <v>3</v>
      </c>
      <c r="D1915" s="570">
        <v>11</v>
      </c>
      <c r="E1915" s="570">
        <v>10</v>
      </c>
      <c r="F1915" s="571" t="s">
        <v>176</v>
      </c>
      <c r="G1915" s="569" t="s">
        <v>176</v>
      </c>
      <c r="H1915" s="569" t="s">
        <v>216</v>
      </c>
      <c r="I1915" s="574">
        <v>28209071</v>
      </c>
    </row>
    <row r="1916" spans="1:9" ht="16" x14ac:dyDescent="0.2">
      <c r="A1916" s="561">
        <v>46091</v>
      </c>
      <c r="B1916" s="562">
        <v>2026</v>
      </c>
      <c r="C1916" s="563">
        <v>3</v>
      </c>
      <c r="D1916" s="564">
        <v>11</v>
      </c>
      <c r="E1916" s="564">
        <v>10</v>
      </c>
      <c r="F1916" s="565" t="s">
        <v>39</v>
      </c>
      <c r="G1916" s="563" t="s">
        <v>176</v>
      </c>
      <c r="H1916" s="563" t="s">
        <v>216</v>
      </c>
      <c r="I1916" s="573">
        <v>1378495798</v>
      </c>
    </row>
    <row r="1917" spans="1:9" ht="16" x14ac:dyDescent="0.2">
      <c r="A1917" s="567">
        <v>46091</v>
      </c>
      <c r="B1917" s="568">
        <v>2026</v>
      </c>
      <c r="C1917" s="569">
        <v>3</v>
      </c>
      <c r="D1917" s="570">
        <v>11</v>
      </c>
      <c r="E1917" s="570">
        <v>10</v>
      </c>
      <c r="F1917" s="571" t="s">
        <v>206</v>
      </c>
      <c r="G1917" s="569" t="s">
        <v>206</v>
      </c>
      <c r="H1917" s="569" t="s">
        <v>212</v>
      </c>
      <c r="I1917" s="574">
        <v>0</v>
      </c>
    </row>
    <row r="1918" spans="1:9" ht="16" x14ac:dyDescent="0.2">
      <c r="A1918" s="561">
        <v>46091</v>
      </c>
      <c r="B1918" s="562">
        <v>2026</v>
      </c>
      <c r="C1918" s="563">
        <v>3</v>
      </c>
      <c r="D1918" s="564">
        <v>11</v>
      </c>
      <c r="E1918" s="564">
        <v>10</v>
      </c>
      <c r="F1918" s="565" t="s">
        <v>64</v>
      </c>
      <c r="G1918" s="563" t="s">
        <v>209</v>
      </c>
      <c r="H1918" s="563" t="s">
        <v>212</v>
      </c>
      <c r="I1918" s="573">
        <v>124750000</v>
      </c>
    </row>
    <row r="1919" spans="1:9" ht="16" x14ac:dyDescent="0.2">
      <c r="A1919" s="567">
        <v>46091</v>
      </c>
      <c r="B1919" s="568">
        <v>2026</v>
      </c>
      <c r="C1919" s="569">
        <v>3</v>
      </c>
      <c r="D1919" s="570">
        <v>11</v>
      </c>
      <c r="E1919" s="570">
        <v>10</v>
      </c>
      <c r="F1919" s="571" t="s">
        <v>237</v>
      </c>
      <c r="G1919" s="569" t="s">
        <v>209</v>
      </c>
      <c r="H1919" s="569" t="s">
        <v>212</v>
      </c>
      <c r="I1919" s="574">
        <v>0</v>
      </c>
    </row>
    <row r="1920" spans="1:9" ht="16" x14ac:dyDescent="0.2">
      <c r="A1920" s="561">
        <v>46091</v>
      </c>
      <c r="B1920" s="562">
        <v>2026</v>
      </c>
      <c r="C1920" s="563">
        <v>3</v>
      </c>
      <c r="D1920" s="564">
        <v>11</v>
      </c>
      <c r="E1920" s="564">
        <v>10</v>
      </c>
      <c r="F1920" s="565" t="s">
        <v>11</v>
      </c>
      <c r="G1920" s="563" t="s">
        <v>11</v>
      </c>
      <c r="H1920" s="563" t="s">
        <v>212</v>
      </c>
      <c r="I1920" s="573">
        <v>17593010000</v>
      </c>
    </row>
    <row r="1921" spans="1:9" ht="16" x14ac:dyDescent="0.2">
      <c r="A1921" s="567">
        <v>46091</v>
      </c>
      <c r="B1921" s="568">
        <v>2026</v>
      </c>
      <c r="C1921" s="569">
        <v>3</v>
      </c>
      <c r="D1921" s="570">
        <v>11</v>
      </c>
      <c r="E1921" s="570">
        <v>10</v>
      </c>
      <c r="F1921" s="571" t="s">
        <v>221</v>
      </c>
      <c r="G1921" s="569" t="s">
        <v>207</v>
      </c>
      <c r="H1921" s="569" t="s">
        <v>212</v>
      </c>
      <c r="I1921" s="574">
        <v>0</v>
      </c>
    </row>
    <row r="1922" spans="1:9" ht="16" x14ac:dyDescent="0.2">
      <c r="A1922" s="561">
        <v>46091</v>
      </c>
      <c r="B1922" s="562">
        <v>2026</v>
      </c>
      <c r="C1922" s="563">
        <v>3</v>
      </c>
      <c r="D1922" s="564">
        <v>11</v>
      </c>
      <c r="E1922" s="564">
        <v>10</v>
      </c>
      <c r="F1922" s="565" t="s">
        <v>222</v>
      </c>
      <c r="G1922" s="563" t="s">
        <v>207</v>
      </c>
      <c r="H1922" s="563" t="s">
        <v>212</v>
      </c>
      <c r="I1922" s="573">
        <v>0</v>
      </c>
    </row>
    <row r="1923" spans="1:9" ht="16" x14ac:dyDescent="0.2">
      <c r="A1923" s="567">
        <v>46091</v>
      </c>
      <c r="B1923" s="568">
        <v>2026</v>
      </c>
      <c r="C1923" s="569">
        <v>3</v>
      </c>
      <c r="D1923" s="570">
        <v>11</v>
      </c>
      <c r="E1923" s="570">
        <v>10</v>
      </c>
      <c r="F1923" s="571" t="s">
        <v>223</v>
      </c>
      <c r="G1923" s="569" t="s">
        <v>207</v>
      </c>
      <c r="H1923" s="569" t="s">
        <v>212</v>
      </c>
      <c r="I1923" s="574">
        <v>0</v>
      </c>
    </row>
    <row r="1924" spans="1:9" ht="16" x14ac:dyDescent="0.2">
      <c r="A1924" s="561">
        <v>46091</v>
      </c>
      <c r="B1924" s="562">
        <v>2026</v>
      </c>
      <c r="C1924" s="563">
        <v>3</v>
      </c>
      <c r="D1924" s="564">
        <v>11</v>
      </c>
      <c r="E1924" s="564">
        <v>10</v>
      </c>
      <c r="F1924" s="565" t="s">
        <v>219</v>
      </c>
      <c r="G1924" s="563" t="s">
        <v>11</v>
      </c>
      <c r="H1924" s="563" t="s">
        <v>212</v>
      </c>
      <c r="I1924" s="573">
        <v>0</v>
      </c>
    </row>
    <row r="1925" spans="1:9" ht="16" x14ac:dyDescent="0.2">
      <c r="A1925" s="567">
        <v>46091</v>
      </c>
      <c r="B1925" s="568">
        <v>2026</v>
      </c>
      <c r="C1925" s="569">
        <v>3</v>
      </c>
      <c r="D1925" s="570">
        <v>11</v>
      </c>
      <c r="E1925" s="570">
        <v>10</v>
      </c>
      <c r="F1925" s="571" t="s">
        <v>19</v>
      </c>
      <c r="G1925" s="569" t="s">
        <v>19</v>
      </c>
      <c r="H1925" s="569" t="s">
        <v>214</v>
      </c>
      <c r="I1925" s="574">
        <v>17252460000</v>
      </c>
    </row>
    <row r="1926" spans="1:9" ht="16" x14ac:dyDescent="0.2">
      <c r="A1926" s="561">
        <v>46091</v>
      </c>
      <c r="B1926" s="562">
        <v>2026</v>
      </c>
      <c r="C1926" s="563">
        <v>3</v>
      </c>
      <c r="D1926" s="564">
        <v>11</v>
      </c>
      <c r="E1926" s="564">
        <v>10</v>
      </c>
      <c r="F1926" s="565" t="s">
        <v>62</v>
      </c>
      <c r="G1926" s="563" t="s">
        <v>62</v>
      </c>
      <c r="H1926" s="563" t="s">
        <v>216</v>
      </c>
      <c r="I1926" s="573">
        <v>287490745</v>
      </c>
    </row>
    <row r="1927" spans="1:9" ht="16" x14ac:dyDescent="0.2">
      <c r="A1927" s="567">
        <v>46091</v>
      </c>
      <c r="B1927" s="568">
        <v>2026</v>
      </c>
      <c r="C1927" s="569">
        <v>3</v>
      </c>
      <c r="D1927" s="570">
        <v>11</v>
      </c>
      <c r="E1927" s="570">
        <v>10</v>
      </c>
      <c r="F1927" s="571" t="s">
        <v>58</v>
      </c>
      <c r="G1927" s="569" t="s">
        <v>58</v>
      </c>
      <c r="H1927" s="569" t="s">
        <v>212</v>
      </c>
      <c r="I1927" s="574">
        <v>36750000</v>
      </c>
    </row>
    <row r="1928" spans="1:9" ht="16" x14ac:dyDescent="0.2">
      <c r="A1928" s="561">
        <v>46091</v>
      </c>
      <c r="B1928" s="562">
        <v>2026</v>
      </c>
      <c r="C1928" s="563">
        <v>3</v>
      </c>
      <c r="D1928" s="564">
        <v>11</v>
      </c>
      <c r="E1928" s="564">
        <v>10</v>
      </c>
      <c r="F1928" s="565" t="s">
        <v>61</v>
      </c>
      <c r="G1928" s="563" t="s">
        <v>61</v>
      </c>
      <c r="H1928" s="563" t="s">
        <v>214</v>
      </c>
      <c r="I1928" s="573">
        <v>55000000</v>
      </c>
    </row>
    <row r="1929" spans="1:9" ht="16" x14ac:dyDescent="0.2">
      <c r="A1929" s="567">
        <v>46091</v>
      </c>
      <c r="B1929" s="568">
        <v>2026</v>
      </c>
      <c r="C1929" s="569">
        <v>3</v>
      </c>
      <c r="D1929" s="570">
        <v>11</v>
      </c>
      <c r="E1929" s="570">
        <v>10</v>
      </c>
      <c r="F1929" s="571" t="s">
        <v>57</v>
      </c>
      <c r="G1929" s="569" t="s">
        <v>57</v>
      </c>
      <c r="H1929" s="569" t="s">
        <v>212</v>
      </c>
      <c r="I1929" s="574">
        <v>1053210000</v>
      </c>
    </row>
    <row r="1930" spans="1:9" ht="16" x14ac:dyDescent="0.2">
      <c r="A1930" s="561">
        <v>46091</v>
      </c>
      <c r="B1930" s="562">
        <v>2026</v>
      </c>
      <c r="C1930" s="563">
        <v>3</v>
      </c>
      <c r="D1930" s="564">
        <v>11</v>
      </c>
      <c r="E1930" s="564">
        <v>10</v>
      </c>
      <c r="F1930" s="565" t="s">
        <v>63</v>
      </c>
      <c r="G1930" s="563" t="s">
        <v>63</v>
      </c>
      <c r="H1930" s="563" t="s">
        <v>214</v>
      </c>
      <c r="I1930" s="573">
        <v>430596000</v>
      </c>
    </row>
    <row r="1931" spans="1:9" ht="16" x14ac:dyDescent="0.2">
      <c r="A1931" s="567">
        <v>46091</v>
      </c>
      <c r="B1931" s="568">
        <v>2026</v>
      </c>
      <c r="C1931" s="569">
        <v>3</v>
      </c>
      <c r="D1931" s="570">
        <v>11</v>
      </c>
      <c r="E1931" s="570">
        <v>10</v>
      </c>
      <c r="F1931" s="571" t="s">
        <v>59</v>
      </c>
      <c r="G1931" s="569" t="s">
        <v>59</v>
      </c>
      <c r="H1931" s="569" t="s">
        <v>216</v>
      </c>
      <c r="I1931" s="574">
        <v>529054519</v>
      </c>
    </row>
    <row r="1932" spans="1:9" ht="16" x14ac:dyDescent="0.2">
      <c r="A1932" s="561">
        <v>46091</v>
      </c>
      <c r="B1932" s="562">
        <v>2026</v>
      </c>
      <c r="C1932" s="563">
        <v>3</v>
      </c>
      <c r="D1932" s="564">
        <v>11</v>
      </c>
      <c r="E1932" s="564">
        <v>10</v>
      </c>
      <c r="F1932" s="565" t="s">
        <v>31</v>
      </c>
      <c r="G1932" s="563" t="s">
        <v>175</v>
      </c>
      <c r="H1932" s="563" t="s">
        <v>212</v>
      </c>
      <c r="I1932" s="573">
        <v>3004280000</v>
      </c>
    </row>
    <row r="1933" spans="1:9" ht="16" x14ac:dyDescent="0.2">
      <c r="A1933" s="567">
        <v>46091</v>
      </c>
      <c r="B1933" s="568">
        <v>2026</v>
      </c>
      <c r="C1933" s="569">
        <v>3</v>
      </c>
      <c r="D1933" s="570">
        <v>11</v>
      </c>
      <c r="E1933" s="570">
        <v>10</v>
      </c>
      <c r="F1933" s="571" t="s">
        <v>234</v>
      </c>
      <c r="G1933" s="569" t="s">
        <v>210</v>
      </c>
      <c r="H1933" s="569" t="s">
        <v>214</v>
      </c>
      <c r="I1933" s="574">
        <v>297000000</v>
      </c>
    </row>
    <row r="1934" spans="1:9" ht="16" x14ac:dyDescent="0.2">
      <c r="A1934" s="561">
        <v>46092</v>
      </c>
      <c r="B1934" s="562">
        <v>2026</v>
      </c>
      <c r="C1934" s="563">
        <v>3</v>
      </c>
      <c r="D1934" s="564">
        <v>11</v>
      </c>
      <c r="E1934" s="564">
        <v>11</v>
      </c>
      <c r="F1934" s="565" t="s">
        <v>65</v>
      </c>
      <c r="G1934" s="563" t="s">
        <v>65</v>
      </c>
      <c r="H1934" s="563" t="s">
        <v>212</v>
      </c>
      <c r="I1934" s="573">
        <v>849100000</v>
      </c>
    </row>
    <row r="1935" spans="1:9" ht="16" x14ac:dyDescent="0.2">
      <c r="A1935" s="567">
        <v>46092</v>
      </c>
      <c r="B1935" s="568">
        <v>2026</v>
      </c>
      <c r="C1935" s="569">
        <v>3</v>
      </c>
      <c r="D1935" s="570">
        <v>11</v>
      </c>
      <c r="E1935" s="570">
        <v>11</v>
      </c>
      <c r="F1935" s="571" t="s">
        <v>66</v>
      </c>
      <c r="G1935" s="569" t="s">
        <v>66</v>
      </c>
      <c r="H1935" s="569" t="s">
        <v>216</v>
      </c>
      <c r="I1935" s="574">
        <v>315493673</v>
      </c>
    </row>
    <row r="1936" spans="1:9" ht="16" x14ac:dyDescent="0.2">
      <c r="A1936" s="561">
        <v>46092</v>
      </c>
      <c r="B1936" s="562">
        <v>2026</v>
      </c>
      <c r="C1936" s="563">
        <v>3</v>
      </c>
      <c r="D1936" s="564">
        <v>11</v>
      </c>
      <c r="E1936" s="564">
        <v>11</v>
      </c>
      <c r="F1936" s="565" t="s">
        <v>24</v>
      </c>
      <c r="G1936" s="563" t="s">
        <v>24</v>
      </c>
      <c r="H1936" s="563" t="s">
        <v>212</v>
      </c>
      <c r="I1936" s="573">
        <v>6733330000</v>
      </c>
    </row>
    <row r="1937" spans="1:9" ht="16" x14ac:dyDescent="0.2">
      <c r="A1937" s="567">
        <v>46092</v>
      </c>
      <c r="B1937" s="568">
        <v>2026</v>
      </c>
      <c r="C1937" s="569">
        <v>3</v>
      </c>
      <c r="D1937" s="570">
        <v>11</v>
      </c>
      <c r="E1937" s="570">
        <v>11</v>
      </c>
      <c r="F1937" s="571" t="s">
        <v>67</v>
      </c>
      <c r="G1937" s="569" t="s">
        <v>67</v>
      </c>
      <c r="H1937" s="569" t="s">
        <v>213</v>
      </c>
      <c r="I1937" s="574">
        <v>1633382328</v>
      </c>
    </row>
    <row r="1938" spans="1:9" ht="16" x14ac:dyDescent="0.2">
      <c r="A1938" s="561">
        <v>46092</v>
      </c>
      <c r="B1938" s="562">
        <v>2026</v>
      </c>
      <c r="C1938" s="563">
        <v>3</v>
      </c>
      <c r="D1938" s="564">
        <v>11</v>
      </c>
      <c r="E1938" s="564">
        <v>11</v>
      </c>
      <c r="F1938" s="565" t="s">
        <v>28</v>
      </c>
      <c r="G1938" s="563" t="s">
        <v>28</v>
      </c>
      <c r="H1938" s="563" t="s">
        <v>214</v>
      </c>
      <c r="I1938" s="573">
        <v>14773644000</v>
      </c>
    </row>
    <row r="1939" spans="1:9" ht="16" x14ac:dyDescent="0.2">
      <c r="A1939" s="567">
        <v>46092</v>
      </c>
      <c r="B1939" s="568">
        <v>2026</v>
      </c>
      <c r="C1939" s="569">
        <v>3</v>
      </c>
      <c r="D1939" s="570">
        <v>11</v>
      </c>
      <c r="E1939" s="570">
        <v>11</v>
      </c>
      <c r="F1939" s="571" t="s">
        <v>208</v>
      </c>
      <c r="G1939" s="569" t="s">
        <v>208</v>
      </c>
      <c r="H1939" s="569" t="s">
        <v>216</v>
      </c>
      <c r="I1939" s="574">
        <v>15972375</v>
      </c>
    </row>
    <row r="1940" spans="1:9" ht="16" x14ac:dyDescent="0.2">
      <c r="A1940" s="561">
        <v>46092</v>
      </c>
      <c r="B1940" s="562">
        <v>2026</v>
      </c>
      <c r="C1940" s="563">
        <v>3</v>
      </c>
      <c r="D1940" s="564">
        <v>11</v>
      </c>
      <c r="E1940" s="564">
        <v>11</v>
      </c>
      <c r="F1940" s="565" t="s">
        <v>60</v>
      </c>
      <c r="G1940" s="563" t="s">
        <v>60</v>
      </c>
      <c r="H1940" s="563" t="s">
        <v>212</v>
      </c>
      <c r="I1940" s="573">
        <v>90000000</v>
      </c>
    </row>
    <row r="1941" spans="1:9" ht="16" x14ac:dyDescent="0.2">
      <c r="A1941" s="567">
        <v>46092</v>
      </c>
      <c r="B1941" s="568">
        <v>2026</v>
      </c>
      <c r="C1941" s="569">
        <v>3</v>
      </c>
      <c r="D1941" s="570">
        <v>11</v>
      </c>
      <c r="E1941" s="570">
        <v>11</v>
      </c>
      <c r="F1941" s="571" t="s">
        <v>36</v>
      </c>
      <c r="G1941" s="569" t="s">
        <v>36</v>
      </c>
      <c r="H1941" s="569" t="s">
        <v>212</v>
      </c>
      <c r="I1941" s="574">
        <v>2780660000</v>
      </c>
    </row>
    <row r="1942" spans="1:9" ht="16" x14ac:dyDescent="0.2">
      <c r="A1942" s="561">
        <v>46092</v>
      </c>
      <c r="B1942" s="562">
        <v>2026</v>
      </c>
      <c r="C1942" s="563">
        <v>3</v>
      </c>
      <c r="D1942" s="564">
        <v>11</v>
      </c>
      <c r="E1942" s="564">
        <v>11</v>
      </c>
      <c r="F1942" s="565" t="s">
        <v>55</v>
      </c>
      <c r="G1942" s="563" t="s">
        <v>36</v>
      </c>
      <c r="H1942" s="563" t="s">
        <v>212</v>
      </c>
      <c r="I1942" s="573">
        <v>1063850000</v>
      </c>
    </row>
    <row r="1943" spans="1:9" ht="16" x14ac:dyDescent="0.2">
      <c r="A1943" s="567">
        <v>46092</v>
      </c>
      <c r="B1943" s="568">
        <v>2026</v>
      </c>
      <c r="C1943" s="569">
        <v>3</v>
      </c>
      <c r="D1943" s="570">
        <v>11</v>
      </c>
      <c r="E1943" s="570">
        <v>11</v>
      </c>
      <c r="F1943" s="571" t="s">
        <v>176</v>
      </c>
      <c r="G1943" s="569" t="s">
        <v>176</v>
      </c>
      <c r="H1943" s="569" t="s">
        <v>216</v>
      </c>
      <c r="I1943" s="574">
        <v>8023750</v>
      </c>
    </row>
    <row r="1944" spans="1:9" ht="16" x14ac:dyDescent="0.2">
      <c r="A1944" s="561">
        <v>46092</v>
      </c>
      <c r="B1944" s="562">
        <v>2026</v>
      </c>
      <c r="C1944" s="563">
        <v>3</v>
      </c>
      <c r="D1944" s="564">
        <v>11</v>
      </c>
      <c r="E1944" s="564">
        <v>11</v>
      </c>
      <c r="F1944" s="565" t="s">
        <v>39</v>
      </c>
      <c r="G1944" s="563" t="s">
        <v>176</v>
      </c>
      <c r="H1944" s="563" t="s">
        <v>216</v>
      </c>
      <c r="I1944" s="573">
        <v>1002477433</v>
      </c>
    </row>
    <row r="1945" spans="1:9" ht="16" x14ac:dyDescent="0.2">
      <c r="A1945" s="567">
        <v>46092</v>
      </c>
      <c r="B1945" s="568">
        <v>2026</v>
      </c>
      <c r="C1945" s="569">
        <v>3</v>
      </c>
      <c r="D1945" s="570">
        <v>11</v>
      </c>
      <c r="E1945" s="570">
        <v>11</v>
      </c>
      <c r="F1945" s="571" t="s">
        <v>206</v>
      </c>
      <c r="G1945" s="569" t="s">
        <v>206</v>
      </c>
      <c r="H1945" s="569" t="s">
        <v>212</v>
      </c>
      <c r="I1945" s="574">
        <v>0</v>
      </c>
    </row>
    <row r="1946" spans="1:9" ht="16" x14ac:dyDescent="0.2">
      <c r="A1946" s="561">
        <v>46092</v>
      </c>
      <c r="B1946" s="562">
        <v>2026</v>
      </c>
      <c r="C1946" s="563">
        <v>3</v>
      </c>
      <c r="D1946" s="564">
        <v>11</v>
      </c>
      <c r="E1946" s="564">
        <v>11</v>
      </c>
      <c r="F1946" s="565" t="s">
        <v>64</v>
      </c>
      <c r="G1946" s="563" t="s">
        <v>209</v>
      </c>
      <c r="H1946" s="563" t="s">
        <v>212</v>
      </c>
      <c r="I1946" s="573">
        <v>57000000</v>
      </c>
    </row>
    <row r="1947" spans="1:9" ht="16" x14ac:dyDescent="0.2">
      <c r="A1947" s="567">
        <v>46092</v>
      </c>
      <c r="B1947" s="568">
        <v>2026</v>
      </c>
      <c r="C1947" s="569">
        <v>3</v>
      </c>
      <c r="D1947" s="570">
        <v>11</v>
      </c>
      <c r="E1947" s="570">
        <v>11</v>
      </c>
      <c r="F1947" s="571" t="s">
        <v>237</v>
      </c>
      <c r="G1947" s="569" t="s">
        <v>209</v>
      </c>
      <c r="H1947" s="569" t="s">
        <v>212</v>
      </c>
      <c r="I1947" s="574">
        <v>0</v>
      </c>
    </row>
    <row r="1948" spans="1:9" ht="16" x14ac:dyDescent="0.2">
      <c r="A1948" s="561">
        <v>46092</v>
      </c>
      <c r="B1948" s="562">
        <v>2026</v>
      </c>
      <c r="C1948" s="563">
        <v>3</v>
      </c>
      <c r="D1948" s="564">
        <v>11</v>
      </c>
      <c r="E1948" s="564">
        <v>11</v>
      </c>
      <c r="F1948" s="565" t="s">
        <v>11</v>
      </c>
      <c r="G1948" s="563" t="s">
        <v>11</v>
      </c>
      <c r="H1948" s="563" t="s">
        <v>212</v>
      </c>
      <c r="I1948" s="573">
        <v>17138770000</v>
      </c>
    </row>
    <row r="1949" spans="1:9" ht="16" x14ac:dyDescent="0.2">
      <c r="A1949" s="567">
        <v>46092</v>
      </c>
      <c r="B1949" s="568">
        <v>2026</v>
      </c>
      <c r="C1949" s="569">
        <v>3</v>
      </c>
      <c r="D1949" s="570">
        <v>11</v>
      </c>
      <c r="E1949" s="570">
        <v>11</v>
      </c>
      <c r="F1949" s="571" t="s">
        <v>221</v>
      </c>
      <c r="G1949" s="569" t="s">
        <v>207</v>
      </c>
      <c r="H1949" s="569" t="s">
        <v>212</v>
      </c>
      <c r="I1949" s="574">
        <v>0</v>
      </c>
    </row>
    <row r="1950" spans="1:9" ht="16" x14ac:dyDescent="0.2">
      <c r="A1950" s="561">
        <v>46092</v>
      </c>
      <c r="B1950" s="562">
        <v>2026</v>
      </c>
      <c r="C1950" s="563">
        <v>3</v>
      </c>
      <c r="D1950" s="564">
        <v>11</v>
      </c>
      <c r="E1950" s="564">
        <v>11</v>
      </c>
      <c r="F1950" s="565" t="s">
        <v>222</v>
      </c>
      <c r="G1950" s="563" t="s">
        <v>207</v>
      </c>
      <c r="H1950" s="563" t="s">
        <v>212</v>
      </c>
      <c r="I1950" s="573">
        <v>0</v>
      </c>
    </row>
    <row r="1951" spans="1:9" ht="16" x14ac:dyDescent="0.2">
      <c r="A1951" s="567">
        <v>46092</v>
      </c>
      <c r="B1951" s="568">
        <v>2026</v>
      </c>
      <c r="C1951" s="569">
        <v>3</v>
      </c>
      <c r="D1951" s="570">
        <v>11</v>
      </c>
      <c r="E1951" s="570">
        <v>11</v>
      </c>
      <c r="F1951" s="571" t="s">
        <v>223</v>
      </c>
      <c r="G1951" s="569" t="s">
        <v>207</v>
      </c>
      <c r="H1951" s="569" t="s">
        <v>212</v>
      </c>
      <c r="I1951" s="574">
        <v>0</v>
      </c>
    </row>
    <row r="1952" spans="1:9" ht="16" x14ac:dyDescent="0.2">
      <c r="A1952" s="561">
        <v>46092</v>
      </c>
      <c r="B1952" s="562">
        <v>2026</v>
      </c>
      <c r="C1952" s="563">
        <v>3</v>
      </c>
      <c r="D1952" s="564">
        <v>11</v>
      </c>
      <c r="E1952" s="564">
        <v>11</v>
      </c>
      <c r="F1952" s="565" t="s">
        <v>219</v>
      </c>
      <c r="G1952" s="563" t="s">
        <v>11</v>
      </c>
      <c r="H1952" s="563" t="s">
        <v>212</v>
      </c>
      <c r="I1952" s="573">
        <v>0</v>
      </c>
    </row>
    <row r="1953" spans="1:9" ht="16" x14ac:dyDescent="0.2">
      <c r="A1953" s="567">
        <v>46092</v>
      </c>
      <c r="B1953" s="568">
        <v>2026</v>
      </c>
      <c r="C1953" s="569">
        <v>3</v>
      </c>
      <c r="D1953" s="570">
        <v>11</v>
      </c>
      <c r="E1953" s="570">
        <v>11</v>
      </c>
      <c r="F1953" s="571" t="s">
        <v>19</v>
      </c>
      <c r="G1953" s="569" t="s">
        <v>19</v>
      </c>
      <c r="H1953" s="569" t="s">
        <v>214</v>
      </c>
      <c r="I1953" s="574">
        <v>13339728000</v>
      </c>
    </row>
    <row r="1954" spans="1:9" ht="16" x14ac:dyDescent="0.2">
      <c r="A1954" s="561">
        <v>46092</v>
      </c>
      <c r="B1954" s="562">
        <v>2026</v>
      </c>
      <c r="C1954" s="563">
        <v>3</v>
      </c>
      <c r="D1954" s="564">
        <v>11</v>
      </c>
      <c r="E1954" s="564">
        <v>11</v>
      </c>
      <c r="F1954" s="565" t="s">
        <v>62</v>
      </c>
      <c r="G1954" s="563" t="s">
        <v>62</v>
      </c>
      <c r="H1954" s="563" t="s">
        <v>216</v>
      </c>
      <c r="I1954" s="573">
        <v>242495696</v>
      </c>
    </row>
    <row r="1955" spans="1:9" ht="16" x14ac:dyDescent="0.2">
      <c r="A1955" s="567">
        <v>46092</v>
      </c>
      <c r="B1955" s="568">
        <v>2026</v>
      </c>
      <c r="C1955" s="569">
        <v>3</v>
      </c>
      <c r="D1955" s="570">
        <v>11</v>
      </c>
      <c r="E1955" s="570">
        <v>11</v>
      </c>
      <c r="F1955" s="571" t="s">
        <v>58</v>
      </c>
      <c r="G1955" s="569" t="s">
        <v>58</v>
      </c>
      <c r="H1955" s="569" t="s">
        <v>212</v>
      </c>
      <c r="I1955" s="574">
        <v>20000000</v>
      </c>
    </row>
    <row r="1956" spans="1:9" ht="16" x14ac:dyDescent="0.2">
      <c r="A1956" s="561">
        <v>46092</v>
      </c>
      <c r="B1956" s="562">
        <v>2026</v>
      </c>
      <c r="C1956" s="563">
        <v>3</v>
      </c>
      <c r="D1956" s="564">
        <v>11</v>
      </c>
      <c r="E1956" s="564">
        <v>11</v>
      </c>
      <c r="F1956" s="565" t="s">
        <v>61</v>
      </c>
      <c r="G1956" s="563" t="s">
        <v>61</v>
      </c>
      <c r="H1956" s="563" t="s">
        <v>214</v>
      </c>
      <c r="I1956" s="573">
        <v>44000000</v>
      </c>
    </row>
    <row r="1957" spans="1:9" ht="16" x14ac:dyDescent="0.2">
      <c r="A1957" s="567">
        <v>46092</v>
      </c>
      <c r="B1957" s="568">
        <v>2026</v>
      </c>
      <c r="C1957" s="569">
        <v>3</v>
      </c>
      <c r="D1957" s="570">
        <v>11</v>
      </c>
      <c r="E1957" s="570">
        <v>11</v>
      </c>
      <c r="F1957" s="571" t="s">
        <v>57</v>
      </c>
      <c r="G1957" s="569" t="s">
        <v>57</v>
      </c>
      <c r="H1957" s="569" t="s">
        <v>212</v>
      </c>
      <c r="I1957" s="574">
        <v>621770000</v>
      </c>
    </row>
    <row r="1958" spans="1:9" ht="16" x14ac:dyDescent="0.2">
      <c r="A1958" s="561">
        <v>46092</v>
      </c>
      <c r="B1958" s="562">
        <v>2026</v>
      </c>
      <c r="C1958" s="563">
        <v>3</v>
      </c>
      <c r="D1958" s="564">
        <v>11</v>
      </c>
      <c r="E1958" s="564">
        <v>11</v>
      </c>
      <c r="F1958" s="565" t="s">
        <v>63</v>
      </c>
      <c r="G1958" s="563" t="s">
        <v>63</v>
      </c>
      <c r="H1958" s="563" t="s">
        <v>214</v>
      </c>
      <c r="I1958" s="573">
        <v>347004000</v>
      </c>
    </row>
    <row r="1959" spans="1:9" ht="16" x14ac:dyDescent="0.2">
      <c r="A1959" s="567">
        <v>46092</v>
      </c>
      <c r="B1959" s="568">
        <v>2026</v>
      </c>
      <c r="C1959" s="569">
        <v>3</v>
      </c>
      <c r="D1959" s="570">
        <v>11</v>
      </c>
      <c r="E1959" s="570">
        <v>11</v>
      </c>
      <c r="F1959" s="571" t="s">
        <v>59</v>
      </c>
      <c r="G1959" s="569" t="s">
        <v>59</v>
      </c>
      <c r="H1959" s="569" t="s">
        <v>216</v>
      </c>
      <c r="I1959" s="574">
        <v>399203922</v>
      </c>
    </row>
    <row r="1960" spans="1:9" ht="16" x14ac:dyDescent="0.2">
      <c r="A1960" s="561">
        <v>46092</v>
      </c>
      <c r="B1960" s="562">
        <v>2026</v>
      </c>
      <c r="C1960" s="563">
        <v>3</v>
      </c>
      <c r="D1960" s="564">
        <v>11</v>
      </c>
      <c r="E1960" s="564">
        <v>11</v>
      </c>
      <c r="F1960" s="565" t="s">
        <v>31</v>
      </c>
      <c r="G1960" s="563" t="s">
        <v>175</v>
      </c>
      <c r="H1960" s="563" t="s">
        <v>212</v>
      </c>
      <c r="I1960" s="573">
        <v>2524010000</v>
      </c>
    </row>
    <row r="1961" spans="1:9" ht="16" x14ac:dyDescent="0.2">
      <c r="A1961" s="567">
        <v>46092</v>
      </c>
      <c r="B1961" s="568">
        <v>2026</v>
      </c>
      <c r="C1961" s="569">
        <v>3</v>
      </c>
      <c r="D1961" s="570">
        <v>11</v>
      </c>
      <c r="E1961" s="570">
        <v>11</v>
      </c>
      <c r="F1961" s="571" t="s">
        <v>234</v>
      </c>
      <c r="G1961" s="569" t="s">
        <v>210</v>
      </c>
      <c r="H1961" s="569" t="s">
        <v>214</v>
      </c>
      <c r="I1961" s="574">
        <v>287280000</v>
      </c>
    </row>
    <row r="1962" spans="1:9" ht="16" x14ac:dyDescent="0.2">
      <c r="A1962" s="561">
        <v>46093</v>
      </c>
      <c r="B1962" s="562">
        <v>2026</v>
      </c>
      <c r="C1962" s="563">
        <v>3</v>
      </c>
      <c r="D1962" s="564">
        <v>11</v>
      </c>
      <c r="E1962" s="564">
        <v>12</v>
      </c>
      <c r="F1962" s="565" t="s">
        <v>65</v>
      </c>
      <c r="G1962" s="563" t="s">
        <v>65</v>
      </c>
      <c r="H1962" s="563" t="s">
        <v>212</v>
      </c>
      <c r="I1962" s="573">
        <v>799790000</v>
      </c>
    </row>
    <row r="1963" spans="1:9" ht="16" x14ac:dyDescent="0.2">
      <c r="A1963" s="567">
        <v>46093</v>
      </c>
      <c r="B1963" s="568">
        <v>2026</v>
      </c>
      <c r="C1963" s="569">
        <v>3</v>
      </c>
      <c r="D1963" s="570">
        <v>11</v>
      </c>
      <c r="E1963" s="570">
        <v>12</v>
      </c>
      <c r="F1963" s="571" t="s">
        <v>66</v>
      </c>
      <c r="G1963" s="569" t="s">
        <v>66</v>
      </c>
      <c r="H1963" s="569" t="s">
        <v>216</v>
      </c>
      <c r="I1963" s="574">
        <v>331407688</v>
      </c>
    </row>
    <row r="1964" spans="1:9" ht="16" x14ac:dyDescent="0.2">
      <c r="A1964" s="561">
        <v>46093</v>
      </c>
      <c r="B1964" s="562">
        <v>2026</v>
      </c>
      <c r="C1964" s="563">
        <v>3</v>
      </c>
      <c r="D1964" s="564">
        <v>11</v>
      </c>
      <c r="E1964" s="564">
        <v>12</v>
      </c>
      <c r="F1964" s="565" t="s">
        <v>24</v>
      </c>
      <c r="G1964" s="563" t="s">
        <v>24</v>
      </c>
      <c r="H1964" s="563" t="s">
        <v>212</v>
      </c>
      <c r="I1964" s="573">
        <v>8530410000</v>
      </c>
    </row>
    <row r="1965" spans="1:9" ht="16" x14ac:dyDescent="0.2">
      <c r="A1965" s="567">
        <v>46093</v>
      </c>
      <c r="B1965" s="568">
        <v>2026</v>
      </c>
      <c r="C1965" s="569">
        <v>3</v>
      </c>
      <c r="D1965" s="570">
        <v>11</v>
      </c>
      <c r="E1965" s="570">
        <v>12</v>
      </c>
      <c r="F1965" s="571" t="s">
        <v>67</v>
      </c>
      <c r="G1965" s="569" t="s">
        <v>67</v>
      </c>
      <c r="H1965" s="569" t="s">
        <v>213</v>
      </c>
      <c r="I1965" s="574">
        <v>1530565656</v>
      </c>
    </row>
    <row r="1966" spans="1:9" ht="16" x14ac:dyDescent="0.2">
      <c r="A1966" s="561">
        <v>46093</v>
      </c>
      <c r="B1966" s="562">
        <v>2026</v>
      </c>
      <c r="C1966" s="563">
        <v>3</v>
      </c>
      <c r="D1966" s="564">
        <v>11</v>
      </c>
      <c r="E1966" s="564">
        <v>12</v>
      </c>
      <c r="F1966" s="565" t="s">
        <v>28</v>
      </c>
      <c r="G1966" s="563" t="s">
        <v>28</v>
      </c>
      <c r="H1966" s="563" t="s">
        <v>214</v>
      </c>
      <c r="I1966" s="573">
        <v>13646988000</v>
      </c>
    </row>
    <row r="1967" spans="1:9" ht="16" x14ac:dyDescent="0.2">
      <c r="A1967" s="567">
        <v>46093</v>
      </c>
      <c r="B1967" s="568">
        <v>2026</v>
      </c>
      <c r="C1967" s="569">
        <v>3</v>
      </c>
      <c r="D1967" s="570">
        <v>11</v>
      </c>
      <c r="E1967" s="570">
        <v>12</v>
      </c>
      <c r="F1967" s="571" t="s">
        <v>208</v>
      </c>
      <c r="G1967" s="569" t="s">
        <v>208</v>
      </c>
      <c r="H1967" s="569" t="s">
        <v>216</v>
      </c>
      <c r="I1967" s="574">
        <v>9304549</v>
      </c>
    </row>
    <row r="1968" spans="1:9" ht="16" x14ac:dyDescent="0.2">
      <c r="A1968" s="561">
        <v>46093</v>
      </c>
      <c r="B1968" s="562">
        <v>2026</v>
      </c>
      <c r="C1968" s="563">
        <v>3</v>
      </c>
      <c r="D1968" s="564">
        <v>11</v>
      </c>
      <c r="E1968" s="564">
        <v>12</v>
      </c>
      <c r="F1968" s="565" t="s">
        <v>60</v>
      </c>
      <c r="G1968" s="563" t="s">
        <v>60</v>
      </c>
      <c r="H1968" s="563" t="s">
        <v>212</v>
      </c>
      <c r="I1968" s="573">
        <v>0</v>
      </c>
    </row>
    <row r="1969" spans="1:9" ht="16" x14ac:dyDescent="0.2">
      <c r="A1969" s="567">
        <v>46093</v>
      </c>
      <c r="B1969" s="568">
        <v>2026</v>
      </c>
      <c r="C1969" s="569">
        <v>3</v>
      </c>
      <c r="D1969" s="570">
        <v>11</v>
      </c>
      <c r="E1969" s="570">
        <v>12</v>
      </c>
      <c r="F1969" s="571" t="s">
        <v>36</v>
      </c>
      <c r="G1969" s="569" t="s">
        <v>36</v>
      </c>
      <c r="H1969" s="569" t="s">
        <v>212</v>
      </c>
      <c r="I1969" s="574">
        <v>2922300000</v>
      </c>
    </row>
    <row r="1970" spans="1:9" ht="16" x14ac:dyDescent="0.2">
      <c r="A1970" s="561">
        <v>46093</v>
      </c>
      <c r="B1970" s="562">
        <v>2026</v>
      </c>
      <c r="C1970" s="563">
        <v>3</v>
      </c>
      <c r="D1970" s="564">
        <v>11</v>
      </c>
      <c r="E1970" s="564">
        <v>12</v>
      </c>
      <c r="F1970" s="565" t="s">
        <v>55</v>
      </c>
      <c r="G1970" s="563" t="s">
        <v>36</v>
      </c>
      <c r="H1970" s="563" t="s">
        <v>212</v>
      </c>
      <c r="I1970" s="573">
        <v>1472490000</v>
      </c>
    </row>
    <row r="1971" spans="1:9" ht="16" x14ac:dyDescent="0.2">
      <c r="A1971" s="567">
        <v>46093</v>
      </c>
      <c r="B1971" s="568">
        <v>2026</v>
      </c>
      <c r="C1971" s="569">
        <v>3</v>
      </c>
      <c r="D1971" s="570">
        <v>11</v>
      </c>
      <c r="E1971" s="570">
        <v>12</v>
      </c>
      <c r="F1971" s="571" t="s">
        <v>176</v>
      </c>
      <c r="G1971" s="569" t="s">
        <v>176</v>
      </c>
      <c r="H1971" s="569" t="s">
        <v>216</v>
      </c>
      <c r="I1971" s="574">
        <v>0</v>
      </c>
    </row>
    <row r="1972" spans="1:9" ht="16" x14ac:dyDescent="0.2">
      <c r="A1972" s="561">
        <v>46093</v>
      </c>
      <c r="B1972" s="562">
        <v>2026</v>
      </c>
      <c r="C1972" s="563">
        <v>3</v>
      </c>
      <c r="D1972" s="564">
        <v>11</v>
      </c>
      <c r="E1972" s="564">
        <v>12</v>
      </c>
      <c r="F1972" s="565" t="s">
        <v>39</v>
      </c>
      <c r="G1972" s="563" t="s">
        <v>176</v>
      </c>
      <c r="H1972" s="563" t="s">
        <v>216</v>
      </c>
      <c r="I1972" s="573">
        <v>1072016424</v>
      </c>
    </row>
    <row r="1973" spans="1:9" ht="16" x14ac:dyDescent="0.2">
      <c r="A1973" s="567">
        <v>46093</v>
      </c>
      <c r="B1973" s="568">
        <v>2026</v>
      </c>
      <c r="C1973" s="569">
        <v>3</v>
      </c>
      <c r="D1973" s="570">
        <v>11</v>
      </c>
      <c r="E1973" s="570">
        <v>12</v>
      </c>
      <c r="F1973" s="571" t="s">
        <v>206</v>
      </c>
      <c r="G1973" s="569" t="s">
        <v>206</v>
      </c>
      <c r="H1973" s="569" t="s">
        <v>212</v>
      </c>
      <c r="I1973" s="574">
        <v>0</v>
      </c>
    </row>
    <row r="1974" spans="1:9" ht="16" x14ac:dyDescent="0.2">
      <c r="A1974" s="561">
        <v>46093</v>
      </c>
      <c r="B1974" s="562">
        <v>2026</v>
      </c>
      <c r="C1974" s="563">
        <v>3</v>
      </c>
      <c r="D1974" s="564">
        <v>11</v>
      </c>
      <c r="E1974" s="564">
        <v>12</v>
      </c>
      <c r="F1974" s="565" t="s">
        <v>64</v>
      </c>
      <c r="G1974" s="563" t="s">
        <v>209</v>
      </c>
      <c r="H1974" s="563" t="s">
        <v>212</v>
      </c>
      <c r="I1974" s="573">
        <v>84850000</v>
      </c>
    </row>
    <row r="1975" spans="1:9" ht="16" x14ac:dyDescent="0.2">
      <c r="A1975" s="567">
        <v>46093</v>
      </c>
      <c r="B1975" s="568">
        <v>2026</v>
      </c>
      <c r="C1975" s="569">
        <v>3</v>
      </c>
      <c r="D1975" s="570">
        <v>11</v>
      </c>
      <c r="E1975" s="570">
        <v>12</v>
      </c>
      <c r="F1975" s="571" t="s">
        <v>237</v>
      </c>
      <c r="G1975" s="569" t="s">
        <v>209</v>
      </c>
      <c r="H1975" s="569" t="s">
        <v>212</v>
      </c>
      <c r="I1975" s="574">
        <v>56000000</v>
      </c>
    </row>
    <row r="1976" spans="1:9" ht="16" x14ac:dyDescent="0.2">
      <c r="A1976" s="561">
        <v>46093</v>
      </c>
      <c r="B1976" s="562">
        <v>2026</v>
      </c>
      <c r="C1976" s="563">
        <v>3</v>
      </c>
      <c r="D1976" s="564">
        <v>11</v>
      </c>
      <c r="E1976" s="564">
        <v>12</v>
      </c>
      <c r="F1976" s="565" t="s">
        <v>11</v>
      </c>
      <c r="G1976" s="563" t="s">
        <v>11</v>
      </c>
      <c r="H1976" s="563" t="s">
        <v>212</v>
      </c>
      <c r="I1976" s="573">
        <v>15967630000</v>
      </c>
    </row>
    <row r="1977" spans="1:9" ht="16" x14ac:dyDescent="0.2">
      <c r="A1977" s="567">
        <v>46093</v>
      </c>
      <c r="B1977" s="568">
        <v>2026</v>
      </c>
      <c r="C1977" s="569">
        <v>3</v>
      </c>
      <c r="D1977" s="570">
        <v>11</v>
      </c>
      <c r="E1977" s="570">
        <v>12</v>
      </c>
      <c r="F1977" s="571" t="s">
        <v>221</v>
      </c>
      <c r="G1977" s="569" t="s">
        <v>207</v>
      </c>
      <c r="H1977" s="569" t="s">
        <v>212</v>
      </c>
      <c r="I1977" s="574">
        <v>0</v>
      </c>
    </row>
    <row r="1978" spans="1:9" ht="16" x14ac:dyDescent="0.2">
      <c r="A1978" s="561">
        <v>46093</v>
      </c>
      <c r="B1978" s="562">
        <v>2026</v>
      </c>
      <c r="C1978" s="563">
        <v>3</v>
      </c>
      <c r="D1978" s="564">
        <v>11</v>
      </c>
      <c r="E1978" s="564">
        <v>12</v>
      </c>
      <c r="F1978" s="565" t="s">
        <v>222</v>
      </c>
      <c r="G1978" s="563" t="s">
        <v>207</v>
      </c>
      <c r="H1978" s="563" t="s">
        <v>212</v>
      </c>
      <c r="I1978" s="573">
        <v>0</v>
      </c>
    </row>
    <row r="1979" spans="1:9" ht="16" x14ac:dyDescent="0.2">
      <c r="A1979" s="567">
        <v>46093</v>
      </c>
      <c r="B1979" s="568">
        <v>2026</v>
      </c>
      <c r="C1979" s="569">
        <v>3</v>
      </c>
      <c r="D1979" s="570">
        <v>11</v>
      </c>
      <c r="E1979" s="570">
        <v>12</v>
      </c>
      <c r="F1979" s="571" t="s">
        <v>223</v>
      </c>
      <c r="G1979" s="569" t="s">
        <v>207</v>
      </c>
      <c r="H1979" s="569" t="s">
        <v>212</v>
      </c>
      <c r="I1979" s="574">
        <v>0</v>
      </c>
    </row>
    <row r="1980" spans="1:9" ht="16" x14ac:dyDescent="0.2">
      <c r="A1980" s="561">
        <v>46093</v>
      </c>
      <c r="B1980" s="562">
        <v>2026</v>
      </c>
      <c r="C1980" s="563">
        <v>3</v>
      </c>
      <c r="D1980" s="564">
        <v>11</v>
      </c>
      <c r="E1980" s="564">
        <v>12</v>
      </c>
      <c r="F1980" s="565" t="s">
        <v>219</v>
      </c>
      <c r="G1980" s="563" t="s">
        <v>11</v>
      </c>
      <c r="H1980" s="563" t="s">
        <v>212</v>
      </c>
      <c r="I1980" s="573">
        <v>0</v>
      </c>
    </row>
    <row r="1981" spans="1:9" ht="16" x14ac:dyDescent="0.2">
      <c r="A1981" s="567">
        <v>46093</v>
      </c>
      <c r="B1981" s="568">
        <v>2026</v>
      </c>
      <c r="C1981" s="569">
        <v>3</v>
      </c>
      <c r="D1981" s="570">
        <v>11</v>
      </c>
      <c r="E1981" s="570">
        <v>12</v>
      </c>
      <c r="F1981" s="571" t="s">
        <v>19</v>
      </c>
      <c r="G1981" s="569" t="s">
        <v>19</v>
      </c>
      <c r="H1981" s="569" t="s">
        <v>214</v>
      </c>
      <c r="I1981" s="574">
        <v>12603276000</v>
      </c>
    </row>
    <row r="1982" spans="1:9" ht="16" x14ac:dyDescent="0.2">
      <c r="A1982" s="561">
        <v>46093</v>
      </c>
      <c r="B1982" s="562">
        <v>2026</v>
      </c>
      <c r="C1982" s="563">
        <v>3</v>
      </c>
      <c r="D1982" s="564">
        <v>11</v>
      </c>
      <c r="E1982" s="564">
        <v>12</v>
      </c>
      <c r="F1982" s="565" t="s">
        <v>62</v>
      </c>
      <c r="G1982" s="563" t="s">
        <v>62</v>
      </c>
      <c r="H1982" s="563" t="s">
        <v>216</v>
      </c>
      <c r="I1982" s="573">
        <v>245991061</v>
      </c>
    </row>
    <row r="1983" spans="1:9" ht="16" x14ac:dyDescent="0.2">
      <c r="A1983" s="567">
        <v>46093</v>
      </c>
      <c r="B1983" s="568">
        <v>2026</v>
      </c>
      <c r="C1983" s="569">
        <v>3</v>
      </c>
      <c r="D1983" s="570">
        <v>11</v>
      </c>
      <c r="E1983" s="570">
        <v>12</v>
      </c>
      <c r="F1983" s="571" t="s">
        <v>58</v>
      </c>
      <c r="G1983" s="569" t="s">
        <v>58</v>
      </c>
      <c r="H1983" s="569" t="s">
        <v>212</v>
      </c>
      <c r="I1983" s="574">
        <v>0</v>
      </c>
    </row>
    <row r="1984" spans="1:9" ht="16" x14ac:dyDescent="0.2">
      <c r="A1984" s="561">
        <v>46093</v>
      </c>
      <c r="B1984" s="562">
        <v>2026</v>
      </c>
      <c r="C1984" s="563">
        <v>3</v>
      </c>
      <c r="D1984" s="564">
        <v>11</v>
      </c>
      <c r="E1984" s="564">
        <v>12</v>
      </c>
      <c r="F1984" s="565" t="s">
        <v>61</v>
      </c>
      <c r="G1984" s="563" t="s">
        <v>61</v>
      </c>
      <c r="H1984" s="563" t="s">
        <v>214</v>
      </c>
      <c r="I1984" s="573">
        <v>44000000</v>
      </c>
    </row>
    <row r="1985" spans="1:9" ht="16" x14ac:dyDescent="0.2">
      <c r="A1985" s="567">
        <v>46093</v>
      </c>
      <c r="B1985" s="568">
        <v>2026</v>
      </c>
      <c r="C1985" s="569">
        <v>3</v>
      </c>
      <c r="D1985" s="570">
        <v>11</v>
      </c>
      <c r="E1985" s="570">
        <v>12</v>
      </c>
      <c r="F1985" s="571" t="s">
        <v>57</v>
      </c>
      <c r="G1985" s="569" t="s">
        <v>57</v>
      </c>
      <c r="H1985" s="569" t="s">
        <v>212</v>
      </c>
      <c r="I1985" s="574">
        <v>959840000</v>
      </c>
    </row>
    <row r="1986" spans="1:9" ht="16" x14ac:dyDescent="0.2">
      <c r="A1986" s="561">
        <v>46093</v>
      </c>
      <c r="B1986" s="562">
        <v>2026</v>
      </c>
      <c r="C1986" s="563">
        <v>3</v>
      </c>
      <c r="D1986" s="564">
        <v>11</v>
      </c>
      <c r="E1986" s="564">
        <v>12</v>
      </c>
      <c r="F1986" s="565" t="s">
        <v>63</v>
      </c>
      <c r="G1986" s="563" t="s">
        <v>63</v>
      </c>
      <c r="H1986" s="563" t="s">
        <v>214</v>
      </c>
      <c r="I1986" s="573">
        <v>373140000</v>
      </c>
    </row>
    <row r="1987" spans="1:9" ht="16" x14ac:dyDescent="0.2">
      <c r="A1987" s="567">
        <v>46093</v>
      </c>
      <c r="B1987" s="568">
        <v>2026</v>
      </c>
      <c r="C1987" s="569">
        <v>3</v>
      </c>
      <c r="D1987" s="570">
        <v>11</v>
      </c>
      <c r="E1987" s="570">
        <v>12</v>
      </c>
      <c r="F1987" s="571" t="s">
        <v>59</v>
      </c>
      <c r="G1987" s="569" t="s">
        <v>59</v>
      </c>
      <c r="H1987" s="569" t="s">
        <v>216</v>
      </c>
      <c r="I1987" s="574">
        <v>390819785</v>
      </c>
    </row>
    <row r="1988" spans="1:9" ht="16" x14ac:dyDescent="0.2">
      <c r="A1988" s="561">
        <v>46093</v>
      </c>
      <c r="B1988" s="562">
        <v>2026</v>
      </c>
      <c r="C1988" s="563">
        <v>3</v>
      </c>
      <c r="D1988" s="564">
        <v>11</v>
      </c>
      <c r="E1988" s="564">
        <v>12</v>
      </c>
      <c r="F1988" s="565" t="s">
        <v>31</v>
      </c>
      <c r="G1988" s="563" t="s">
        <v>175</v>
      </c>
      <c r="H1988" s="563" t="s">
        <v>212</v>
      </c>
      <c r="I1988" s="573">
        <v>2351920000</v>
      </c>
    </row>
    <row r="1989" spans="1:9" ht="16" x14ac:dyDescent="0.2">
      <c r="A1989" s="567">
        <v>46093</v>
      </c>
      <c r="B1989" s="568">
        <v>2026</v>
      </c>
      <c r="C1989" s="569">
        <v>3</v>
      </c>
      <c r="D1989" s="570">
        <v>11</v>
      </c>
      <c r="E1989" s="570">
        <v>12</v>
      </c>
      <c r="F1989" s="571" t="s">
        <v>234</v>
      </c>
      <c r="G1989" s="569" t="s">
        <v>210</v>
      </c>
      <c r="H1989" s="569" t="s">
        <v>214</v>
      </c>
      <c r="I1989" s="574">
        <v>261360000</v>
      </c>
    </row>
    <row r="1990" spans="1:9" ht="16" x14ac:dyDescent="0.2">
      <c r="A1990" s="561">
        <v>46094</v>
      </c>
      <c r="B1990" s="562">
        <v>2026</v>
      </c>
      <c r="C1990" s="563">
        <v>3</v>
      </c>
      <c r="D1990" s="564">
        <v>11</v>
      </c>
      <c r="E1990" s="564">
        <v>13</v>
      </c>
      <c r="F1990" s="565" t="s">
        <v>65</v>
      </c>
      <c r="G1990" s="563" t="s">
        <v>65</v>
      </c>
      <c r="H1990" s="563" t="s">
        <v>212</v>
      </c>
      <c r="I1990" s="573">
        <v>793730000</v>
      </c>
    </row>
    <row r="1991" spans="1:9" ht="16" x14ac:dyDescent="0.2">
      <c r="A1991" s="567">
        <v>46094</v>
      </c>
      <c r="B1991" s="568">
        <v>2026</v>
      </c>
      <c r="C1991" s="569">
        <v>3</v>
      </c>
      <c r="D1991" s="570">
        <v>11</v>
      </c>
      <c r="E1991" s="570">
        <v>13</v>
      </c>
      <c r="F1991" s="571" t="s">
        <v>66</v>
      </c>
      <c r="G1991" s="569" t="s">
        <v>66</v>
      </c>
      <c r="H1991" s="569" t="s">
        <v>216</v>
      </c>
      <c r="I1991" s="574">
        <v>356146497</v>
      </c>
    </row>
    <row r="1992" spans="1:9" ht="16" x14ac:dyDescent="0.2">
      <c r="A1992" s="561">
        <v>46094</v>
      </c>
      <c r="B1992" s="562">
        <v>2026</v>
      </c>
      <c r="C1992" s="563">
        <v>3</v>
      </c>
      <c r="D1992" s="564">
        <v>11</v>
      </c>
      <c r="E1992" s="564">
        <v>13</v>
      </c>
      <c r="F1992" s="565" t="s">
        <v>24</v>
      </c>
      <c r="G1992" s="563" t="s">
        <v>24</v>
      </c>
      <c r="H1992" s="563" t="s">
        <v>212</v>
      </c>
      <c r="I1992" s="573">
        <v>8666460000</v>
      </c>
    </row>
    <row r="1993" spans="1:9" ht="16" x14ac:dyDescent="0.2">
      <c r="A1993" s="567">
        <v>46094</v>
      </c>
      <c r="B1993" s="568">
        <v>2026</v>
      </c>
      <c r="C1993" s="569">
        <v>3</v>
      </c>
      <c r="D1993" s="570">
        <v>11</v>
      </c>
      <c r="E1993" s="570">
        <v>13</v>
      </c>
      <c r="F1993" s="571" t="s">
        <v>67</v>
      </c>
      <c r="G1993" s="569" t="s">
        <v>67</v>
      </c>
      <c r="H1993" s="569" t="s">
        <v>213</v>
      </c>
      <c r="I1993" s="574">
        <v>1514794635</v>
      </c>
    </row>
    <row r="1994" spans="1:9" ht="16" x14ac:dyDescent="0.2">
      <c r="A1994" s="561">
        <v>46094</v>
      </c>
      <c r="B1994" s="562">
        <v>2026</v>
      </c>
      <c r="C1994" s="563">
        <v>3</v>
      </c>
      <c r="D1994" s="564">
        <v>11</v>
      </c>
      <c r="E1994" s="564">
        <v>13</v>
      </c>
      <c r="F1994" s="565" t="s">
        <v>28</v>
      </c>
      <c r="G1994" s="563" t="s">
        <v>28</v>
      </c>
      <c r="H1994" s="563" t="s">
        <v>214</v>
      </c>
      <c r="I1994" s="573">
        <v>13784580000</v>
      </c>
    </row>
    <row r="1995" spans="1:9" ht="16" x14ac:dyDescent="0.2">
      <c r="A1995" s="567">
        <v>46094</v>
      </c>
      <c r="B1995" s="568">
        <v>2026</v>
      </c>
      <c r="C1995" s="569">
        <v>3</v>
      </c>
      <c r="D1995" s="570">
        <v>11</v>
      </c>
      <c r="E1995" s="570">
        <v>13</v>
      </c>
      <c r="F1995" s="571" t="s">
        <v>208</v>
      </c>
      <c r="G1995" s="569" t="s">
        <v>208</v>
      </c>
      <c r="H1995" s="569" t="s">
        <v>216</v>
      </c>
      <c r="I1995" s="574">
        <v>5687443</v>
      </c>
    </row>
    <row r="1996" spans="1:9" ht="16" x14ac:dyDescent="0.2">
      <c r="A1996" s="561">
        <v>46094</v>
      </c>
      <c r="B1996" s="562">
        <v>2026</v>
      </c>
      <c r="C1996" s="563">
        <v>3</v>
      </c>
      <c r="D1996" s="564">
        <v>11</v>
      </c>
      <c r="E1996" s="564">
        <v>13</v>
      </c>
      <c r="F1996" s="565" t="s">
        <v>60</v>
      </c>
      <c r="G1996" s="563" t="s">
        <v>60</v>
      </c>
      <c r="H1996" s="563" t="s">
        <v>212</v>
      </c>
      <c r="I1996" s="573">
        <v>0</v>
      </c>
    </row>
    <row r="1997" spans="1:9" ht="16" x14ac:dyDescent="0.2">
      <c r="A1997" s="567">
        <v>46094</v>
      </c>
      <c r="B1997" s="568">
        <v>2026</v>
      </c>
      <c r="C1997" s="569">
        <v>3</v>
      </c>
      <c r="D1997" s="570">
        <v>11</v>
      </c>
      <c r="E1997" s="570">
        <v>13</v>
      </c>
      <c r="F1997" s="571" t="s">
        <v>36</v>
      </c>
      <c r="G1997" s="569" t="s">
        <v>36</v>
      </c>
      <c r="H1997" s="569" t="s">
        <v>212</v>
      </c>
      <c r="I1997" s="574">
        <v>2284260000</v>
      </c>
    </row>
    <row r="1998" spans="1:9" ht="16" x14ac:dyDescent="0.2">
      <c r="A1998" s="561">
        <v>46094</v>
      </c>
      <c r="B1998" s="562">
        <v>2026</v>
      </c>
      <c r="C1998" s="563">
        <v>3</v>
      </c>
      <c r="D1998" s="564">
        <v>11</v>
      </c>
      <c r="E1998" s="564">
        <v>13</v>
      </c>
      <c r="F1998" s="565" t="s">
        <v>55</v>
      </c>
      <c r="G1998" s="563" t="s">
        <v>36</v>
      </c>
      <c r="H1998" s="563" t="s">
        <v>212</v>
      </c>
      <c r="I1998" s="573">
        <v>1217500000</v>
      </c>
    </row>
    <row r="1999" spans="1:9" ht="16" x14ac:dyDescent="0.2">
      <c r="A1999" s="567">
        <v>46094</v>
      </c>
      <c r="B1999" s="568">
        <v>2026</v>
      </c>
      <c r="C1999" s="569">
        <v>3</v>
      </c>
      <c r="D1999" s="570">
        <v>11</v>
      </c>
      <c r="E1999" s="570">
        <v>13</v>
      </c>
      <c r="F1999" s="571" t="s">
        <v>176</v>
      </c>
      <c r="G1999" s="569" t="s">
        <v>176</v>
      </c>
      <c r="H1999" s="569" t="s">
        <v>216</v>
      </c>
      <c r="I1999" s="574">
        <v>10468258</v>
      </c>
    </row>
    <row r="2000" spans="1:9" ht="16" x14ac:dyDescent="0.2">
      <c r="A2000" s="561">
        <v>46094</v>
      </c>
      <c r="B2000" s="562">
        <v>2026</v>
      </c>
      <c r="C2000" s="563">
        <v>3</v>
      </c>
      <c r="D2000" s="564">
        <v>11</v>
      </c>
      <c r="E2000" s="564">
        <v>13</v>
      </c>
      <c r="F2000" s="565" t="s">
        <v>39</v>
      </c>
      <c r="G2000" s="563" t="s">
        <v>176</v>
      </c>
      <c r="H2000" s="563" t="s">
        <v>216</v>
      </c>
      <c r="I2000" s="573">
        <v>1261795830</v>
      </c>
    </row>
    <row r="2001" spans="1:9" ht="16" x14ac:dyDescent="0.2">
      <c r="A2001" s="567">
        <v>46094</v>
      </c>
      <c r="B2001" s="568">
        <v>2026</v>
      </c>
      <c r="C2001" s="569">
        <v>3</v>
      </c>
      <c r="D2001" s="570">
        <v>11</v>
      </c>
      <c r="E2001" s="570">
        <v>13</v>
      </c>
      <c r="F2001" s="571" t="s">
        <v>206</v>
      </c>
      <c r="G2001" s="569" t="s">
        <v>206</v>
      </c>
      <c r="H2001" s="569" t="s">
        <v>212</v>
      </c>
      <c r="I2001" s="574">
        <v>0</v>
      </c>
    </row>
    <row r="2002" spans="1:9" ht="16" x14ac:dyDescent="0.2">
      <c r="A2002" s="561">
        <v>46094</v>
      </c>
      <c r="B2002" s="562">
        <v>2026</v>
      </c>
      <c r="C2002" s="563">
        <v>3</v>
      </c>
      <c r="D2002" s="564">
        <v>11</v>
      </c>
      <c r="E2002" s="564">
        <v>13</v>
      </c>
      <c r="F2002" s="565" t="s">
        <v>64</v>
      </c>
      <c r="G2002" s="563" t="s">
        <v>209</v>
      </c>
      <c r="H2002" s="563" t="s">
        <v>212</v>
      </c>
      <c r="I2002" s="573">
        <v>67750000</v>
      </c>
    </row>
    <row r="2003" spans="1:9" ht="16" x14ac:dyDescent="0.2">
      <c r="A2003" s="567">
        <v>46094</v>
      </c>
      <c r="B2003" s="568">
        <v>2026</v>
      </c>
      <c r="C2003" s="569">
        <v>3</v>
      </c>
      <c r="D2003" s="570">
        <v>11</v>
      </c>
      <c r="E2003" s="570">
        <v>13</v>
      </c>
      <c r="F2003" s="571" t="s">
        <v>237</v>
      </c>
      <c r="G2003" s="569" t="s">
        <v>209</v>
      </c>
      <c r="H2003" s="569" t="s">
        <v>212</v>
      </c>
      <c r="I2003" s="574">
        <v>32000000</v>
      </c>
    </row>
    <row r="2004" spans="1:9" ht="16" x14ac:dyDescent="0.2">
      <c r="A2004" s="561">
        <v>46094</v>
      </c>
      <c r="B2004" s="562">
        <v>2026</v>
      </c>
      <c r="C2004" s="563">
        <v>3</v>
      </c>
      <c r="D2004" s="564">
        <v>11</v>
      </c>
      <c r="E2004" s="564">
        <v>13</v>
      </c>
      <c r="F2004" s="565" t="s">
        <v>11</v>
      </c>
      <c r="G2004" s="563" t="s">
        <v>11</v>
      </c>
      <c r="H2004" s="563" t="s">
        <v>212</v>
      </c>
      <c r="I2004" s="573">
        <v>17298350000</v>
      </c>
    </row>
    <row r="2005" spans="1:9" ht="16" x14ac:dyDescent="0.2">
      <c r="A2005" s="567">
        <v>46094</v>
      </c>
      <c r="B2005" s="568">
        <v>2026</v>
      </c>
      <c r="C2005" s="569">
        <v>3</v>
      </c>
      <c r="D2005" s="570">
        <v>11</v>
      </c>
      <c r="E2005" s="570">
        <v>13</v>
      </c>
      <c r="F2005" s="571" t="s">
        <v>221</v>
      </c>
      <c r="G2005" s="569" t="s">
        <v>207</v>
      </c>
      <c r="H2005" s="569" t="s">
        <v>212</v>
      </c>
      <c r="I2005" s="574">
        <v>0</v>
      </c>
    </row>
    <row r="2006" spans="1:9" ht="16" x14ac:dyDescent="0.2">
      <c r="A2006" s="561">
        <v>46094</v>
      </c>
      <c r="B2006" s="562">
        <v>2026</v>
      </c>
      <c r="C2006" s="563">
        <v>3</v>
      </c>
      <c r="D2006" s="564">
        <v>11</v>
      </c>
      <c r="E2006" s="564">
        <v>13</v>
      </c>
      <c r="F2006" s="565" t="s">
        <v>222</v>
      </c>
      <c r="G2006" s="563" t="s">
        <v>207</v>
      </c>
      <c r="H2006" s="563" t="s">
        <v>212</v>
      </c>
      <c r="I2006" s="573">
        <v>0</v>
      </c>
    </row>
    <row r="2007" spans="1:9" ht="16" x14ac:dyDescent="0.2">
      <c r="A2007" s="567">
        <v>46094</v>
      </c>
      <c r="B2007" s="568">
        <v>2026</v>
      </c>
      <c r="C2007" s="569">
        <v>3</v>
      </c>
      <c r="D2007" s="570">
        <v>11</v>
      </c>
      <c r="E2007" s="570">
        <v>13</v>
      </c>
      <c r="F2007" s="571" t="s">
        <v>223</v>
      </c>
      <c r="G2007" s="569" t="s">
        <v>207</v>
      </c>
      <c r="H2007" s="569" t="s">
        <v>212</v>
      </c>
      <c r="I2007" s="574">
        <v>0</v>
      </c>
    </row>
    <row r="2008" spans="1:9" ht="16" x14ac:dyDescent="0.2">
      <c r="A2008" s="561">
        <v>46094</v>
      </c>
      <c r="B2008" s="562">
        <v>2026</v>
      </c>
      <c r="C2008" s="563">
        <v>3</v>
      </c>
      <c r="D2008" s="564">
        <v>11</v>
      </c>
      <c r="E2008" s="564">
        <v>13</v>
      </c>
      <c r="F2008" s="565" t="s">
        <v>219</v>
      </c>
      <c r="G2008" s="563" t="s">
        <v>11</v>
      </c>
      <c r="H2008" s="563" t="s">
        <v>212</v>
      </c>
      <c r="I2008" s="573">
        <v>0</v>
      </c>
    </row>
    <row r="2009" spans="1:9" ht="16" x14ac:dyDescent="0.2">
      <c r="A2009" s="567">
        <v>46094</v>
      </c>
      <c r="B2009" s="568">
        <v>2026</v>
      </c>
      <c r="C2009" s="569">
        <v>3</v>
      </c>
      <c r="D2009" s="570">
        <v>11</v>
      </c>
      <c r="E2009" s="570">
        <v>13</v>
      </c>
      <c r="F2009" s="571" t="s">
        <v>19</v>
      </c>
      <c r="G2009" s="569" t="s">
        <v>19</v>
      </c>
      <c r="H2009" s="569" t="s">
        <v>214</v>
      </c>
      <c r="I2009" s="574">
        <v>13376124000</v>
      </c>
    </row>
    <row r="2010" spans="1:9" ht="16" x14ac:dyDescent="0.2">
      <c r="A2010" s="561">
        <v>46094</v>
      </c>
      <c r="B2010" s="562">
        <v>2026</v>
      </c>
      <c r="C2010" s="563">
        <v>3</v>
      </c>
      <c r="D2010" s="564">
        <v>11</v>
      </c>
      <c r="E2010" s="564">
        <v>13</v>
      </c>
      <c r="F2010" s="565" t="s">
        <v>62</v>
      </c>
      <c r="G2010" s="563" t="s">
        <v>62</v>
      </c>
      <c r="H2010" s="563" t="s">
        <v>216</v>
      </c>
      <c r="I2010" s="573">
        <v>178610788</v>
      </c>
    </row>
    <row r="2011" spans="1:9" ht="16" x14ac:dyDescent="0.2">
      <c r="A2011" s="567">
        <v>46094</v>
      </c>
      <c r="B2011" s="568">
        <v>2026</v>
      </c>
      <c r="C2011" s="569">
        <v>3</v>
      </c>
      <c r="D2011" s="570">
        <v>11</v>
      </c>
      <c r="E2011" s="570">
        <v>13</v>
      </c>
      <c r="F2011" s="571" t="s">
        <v>58</v>
      </c>
      <c r="G2011" s="569" t="s">
        <v>58</v>
      </c>
      <c r="H2011" s="569" t="s">
        <v>212</v>
      </c>
      <c r="I2011" s="574">
        <v>21000000</v>
      </c>
    </row>
    <row r="2012" spans="1:9" ht="16" x14ac:dyDescent="0.2">
      <c r="A2012" s="561">
        <v>46094</v>
      </c>
      <c r="B2012" s="562">
        <v>2026</v>
      </c>
      <c r="C2012" s="563">
        <v>3</v>
      </c>
      <c r="D2012" s="564">
        <v>11</v>
      </c>
      <c r="E2012" s="564">
        <v>13</v>
      </c>
      <c r="F2012" s="565" t="s">
        <v>61</v>
      </c>
      <c r="G2012" s="563" t="s">
        <v>61</v>
      </c>
      <c r="H2012" s="563" t="s">
        <v>214</v>
      </c>
      <c r="I2012" s="573">
        <v>15000000</v>
      </c>
    </row>
    <row r="2013" spans="1:9" ht="16" x14ac:dyDescent="0.2">
      <c r="A2013" s="567">
        <v>46094</v>
      </c>
      <c r="B2013" s="568">
        <v>2026</v>
      </c>
      <c r="C2013" s="569">
        <v>3</v>
      </c>
      <c r="D2013" s="570">
        <v>11</v>
      </c>
      <c r="E2013" s="570">
        <v>13</v>
      </c>
      <c r="F2013" s="571" t="s">
        <v>57</v>
      </c>
      <c r="G2013" s="569" t="s">
        <v>57</v>
      </c>
      <c r="H2013" s="569" t="s">
        <v>212</v>
      </c>
      <c r="I2013" s="574">
        <v>685640000</v>
      </c>
    </row>
    <row r="2014" spans="1:9" ht="16" x14ac:dyDescent="0.2">
      <c r="A2014" s="561">
        <v>46094</v>
      </c>
      <c r="B2014" s="562">
        <v>2026</v>
      </c>
      <c r="C2014" s="563">
        <v>3</v>
      </c>
      <c r="D2014" s="564">
        <v>11</v>
      </c>
      <c r="E2014" s="564">
        <v>13</v>
      </c>
      <c r="F2014" s="565" t="s">
        <v>63</v>
      </c>
      <c r="G2014" s="563" t="s">
        <v>63</v>
      </c>
      <c r="H2014" s="563" t="s">
        <v>214</v>
      </c>
      <c r="I2014" s="573">
        <v>327564000</v>
      </c>
    </row>
    <row r="2015" spans="1:9" ht="16" x14ac:dyDescent="0.2">
      <c r="A2015" s="567">
        <v>46094</v>
      </c>
      <c r="B2015" s="568">
        <v>2026</v>
      </c>
      <c r="C2015" s="569">
        <v>3</v>
      </c>
      <c r="D2015" s="570">
        <v>11</v>
      </c>
      <c r="E2015" s="570">
        <v>13</v>
      </c>
      <c r="F2015" s="571" t="s">
        <v>59</v>
      </c>
      <c r="G2015" s="569" t="s">
        <v>59</v>
      </c>
      <c r="H2015" s="569" t="s">
        <v>216</v>
      </c>
      <c r="I2015" s="574">
        <v>301348104</v>
      </c>
    </row>
    <row r="2016" spans="1:9" ht="16" x14ac:dyDescent="0.2">
      <c r="A2016" s="561">
        <v>46094</v>
      </c>
      <c r="B2016" s="562">
        <v>2026</v>
      </c>
      <c r="C2016" s="563">
        <v>3</v>
      </c>
      <c r="D2016" s="564">
        <v>11</v>
      </c>
      <c r="E2016" s="564">
        <v>13</v>
      </c>
      <c r="F2016" s="565" t="s">
        <v>31</v>
      </c>
      <c r="G2016" s="563" t="s">
        <v>175</v>
      </c>
      <c r="H2016" s="563" t="s">
        <v>212</v>
      </c>
      <c r="I2016" s="573">
        <v>3044990000</v>
      </c>
    </row>
    <row r="2017" spans="1:9" ht="16" x14ac:dyDescent="0.2">
      <c r="A2017" s="567">
        <v>46094</v>
      </c>
      <c r="B2017" s="568">
        <v>2026</v>
      </c>
      <c r="C2017" s="569">
        <v>3</v>
      </c>
      <c r="D2017" s="570">
        <v>11</v>
      </c>
      <c r="E2017" s="570">
        <v>13</v>
      </c>
      <c r="F2017" s="571" t="s">
        <v>234</v>
      </c>
      <c r="G2017" s="569" t="s">
        <v>210</v>
      </c>
      <c r="H2017" s="569" t="s">
        <v>214</v>
      </c>
      <c r="I2017" s="574">
        <v>251640000</v>
      </c>
    </row>
    <row r="2018" spans="1:9" ht="16" x14ac:dyDescent="0.2">
      <c r="A2018" s="561">
        <v>46095</v>
      </c>
      <c r="B2018" s="562">
        <v>2026</v>
      </c>
      <c r="C2018" s="563">
        <v>3</v>
      </c>
      <c r="D2018" s="564">
        <v>11</v>
      </c>
      <c r="E2018" s="564">
        <v>14</v>
      </c>
      <c r="F2018" s="565" t="s">
        <v>65</v>
      </c>
      <c r="G2018" s="563" t="s">
        <v>65</v>
      </c>
      <c r="H2018" s="563" t="s">
        <v>212</v>
      </c>
      <c r="I2018" s="573">
        <v>803580000</v>
      </c>
    </row>
    <row r="2019" spans="1:9" ht="16" x14ac:dyDescent="0.2">
      <c r="A2019" s="567">
        <v>46095</v>
      </c>
      <c r="B2019" s="568">
        <v>2026</v>
      </c>
      <c r="C2019" s="569">
        <v>3</v>
      </c>
      <c r="D2019" s="570">
        <v>11</v>
      </c>
      <c r="E2019" s="570">
        <v>14</v>
      </c>
      <c r="F2019" s="571" t="s">
        <v>66</v>
      </c>
      <c r="G2019" s="569" t="s">
        <v>66</v>
      </c>
      <c r="H2019" s="569" t="s">
        <v>216</v>
      </c>
      <c r="I2019" s="574">
        <v>327651632</v>
      </c>
    </row>
    <row r="2020" spans="1:9" ht="16" x14ac:dyDescent="0.2">
      <c r="A2020" s="561">
        <v>46095</v>
      </c>
      <c r="B2020" s="562">
        <v>2026</v>
      </c>
      <c r="C2020" s="563">
        <v>3</v>
      </c>
      <c r="D2020" s="564">
        <v>11</v>
      </c>
      <c r="E2020" s="564">
        <v>14</v>
      </c>
      <c r="F2020" s="565" t="s">
        <v>24</v>
      </c>
      <c r="G2020" s="563" t="s">
        <v>24</v>
      </c>
      <c r="H2020" s="563" t="s">
        <v>212</v>
      </c>
      <c r="I2020" s="573">
        <v>8204550000</v>
      </c>
    </row>
    <row r="2021" spans="1:9" ht="16" x14ac:dyDescent="0.2">
      <c r="A2021" s="567">
        <v>46095</v>
      </c>
      <c r="B2021" s="568">
        <v>2026</v>
      </c>
      <c r="C2021" s="569">
        <v>3</v>
      </c>
      <c r="D2021" s="570">
        <v>11</v>
      </c>
      <c r="E2021" s="570">
        <v>14</v>
      </c>
      <c r="F2021" s="571" t="s">
        <v>67</v>
      </c>
      <c r="G2021" s="569" t="s">
        <v>67</v>
      </c>
      <c r="H2021" s="569" t="s">
        <v>213</v>
      </c>
      <c r="I2021" s="574">
        <v>1385447749</v>
      </c>
    </row>
    <row r="2022" spans="1:9" ht="16" x14ac:dyDescent="0.2">
      <c r="A2022" s="561">
        <v>46095</v>
      </c>
      <c r="B2022" s="562">
        <v>2026</v>
      </c>
      <c r="C2022" s="563">
        <v>3</v>
      </c>
      <c r="D2022" s="564">
        <v>11</v>
      </c>
      <c r="E2022" s="564">
        <v>14</v>
      </c>
      <c r="F2022" s="565" t="s">
        <v>28</v>
      </c>
      <c r="G2022" s="563" t="s">
        <v>28</v>
      </c>
      <c r="H2022" s="563" t="s">
        <v>214</v>
      </c>
      <c r="I2022" s="573">
        <v>12531564000</v>
      </c>
    </row>
    <row r="2023" spans="1:9" ht="16" x14ac:dyDescent="0.2">
      <c r="A2023" s="567">
        <v>46095</v>
      </c>
      <c r="B2023" s="568">
        <v>2026</v>
      </c>
      <c r="C2023" s="569">
        <v>3</v>
      </c>
      <c r="D2023" s="570">
        <v>11</v>
      </c>
      <c r="E2023" s="570">
        <v>14</v>
      </c>
      <c r="F2023" s="571" t="s">
        <v>208</v>
      </c>
      <c r="G2023" s="569" t="s">
        <v>208</v>
      </c>
      <c r="H2023" s="569" t="s">
        <v>216</v>
      </c>
      <c r="I2023" s="574">
        <v>4988697</v>
      </c>
    </row>
    <row r="2024" spans="1:9" ht="16" x14ac:dyDescent="0.2">
      <c r="A2024" s="561">
        <v>46095</v>
      </c>
      <c r="B2024" s="562">
        <v>2026</v>
      </c>
      <c r="C2024" s="563">
        <v>3</v>
      </c>
      <c r="D2024" s="564">
        <v>11</v>
      </c>
      <c r="E2024" s="564">
        <v>14</v>
      </c>
      <c r="F2024" s="565" t="s">
        <v>60</v>
      </c>
      <c r="G2024" s="563" t="s">
        <v>60</v>
      </c>
      <c r="H2024" s="563" t="s">
        <v>212</v>
      </c>
      <c r="I2024" s="573">
        <v>90000000</v>
      </c>
    </row>
    <row r="2025" spans="1:9" ht="16" x14ac:dyDescent="0.2">
      <c r="A2025" s="567">
        <v>46095</v>
      </c>
      <c r="B2025" s="568">
        <v>2026</v>
      </c>
      <c r="C2025" s="569">
        <v>3</v>
      </c>
      <c r="D2025" s="570">
        <v>11</v>
      </c>
      <c r="E2025" s="570">
        <v>14</v>
      </c>
      <c r="F2025" s="571" t="s">
        <v>36</v>
      </c>
      <c r="G2025" s="569" t="s">
        <v>36</v>
      </c>
      <c r="H2025" s="569" t="s">
        <v>212</v>
      </c>
      <c r="I2025" s="574">
        <v>2378780000</v>
      </c>
    </row>
    <row r="2026" spans="1:9" ht="16" x14ac:dyDescent="0.2">
      <c r="A2026" s="561">
        <v>46095</v>
      </c>
      <c r="B2026" s="562">
        <v>2026</v>
      </c>
      <c r="C2026" s="563">
        <v>3</v>
      </c>
      <c r="D2026" s="564">
        <v>11</v>
      </c>
      <c r="E2026" s="564">
        <v>14</v>
      </c>
      <c r="F2026" s="565" t="s">
        <v>55</v>
      </c>
      <c r="G2026" s="563" t="s">
        <v>36</v>
      </c>
      <c r="H2026" s="563" t="s">
        <v>212</v>
      </c>
      <c r="I2026" s="573">
        <v>1039980000</v>
      </c>
    </row>
    <row r="2027" spans="1:9" ht="16" x14ac:dyDescent="0.2">
      <c r="A2027" s="567">
        <v>46095</v>
      </c>
      <c r="B2027" s="568">
        <v>2026</v>
      </c>
      <c r="C2027" s="569">
        <v>3</v>
      </c>
      <c r="D2027" s="570">
        <v>11</v>
      </c>
      <c r="E2027" s="570">
        <v>14</v>
      </c>
      <c r="F2027" s="571" t="s">
        <v>176</v>
      </c>
      <c r="G2027" s="569" t="s">
        <v>176</v>
      </c>
      <c r="H2027" s="569" t="s">
        <v>216</v>
      </c>
      <c r="I2027" s="574">
        <v>2443938</v>
      </c>
    </row>
    <row r="2028" spans="1:9" ht="16" x14ac:dyDescent="0.2">
      <c r="A2028" s="561">
        <v>46095</v>
      </c>
      <c r="B2028" s="562">
        <v>2026</v>
      </c>
      <c r="C2028" s="563">
        <v>3</v>
      </c>
      <c r="D2028" s="564">
        <v>11</v>
      </c>
      <c r="E2028" s="564">
        <v>14</v>
      </c>
      <c r="F2028" s="565" t="s">
        <v>39</v>
      </c>
      <c r="G2028" s="563" t="s">
        <v>176</v>
      </c>
      <c r="H2028" s="563" t="s">
        <v>216</v>
      </c>
      <c r="I2028" s="573">
        <v>1473294906</v>
      </c>
    </row>
    <row r="2029" spans="1:9" ht="16" x14ac:dyDescent="0.2">
      <c r="A2029" s="567">
        <v>46095</v>
      </c>
      <c r="B2029" s="568">
        <v>2026</v>
      </c>
      <c r="C2029" s="569">
        <v>3</v>
      </c>
      <c r="D2029" s="570">
        <v>11</v>
      </c>
      <c r="E2029" s="570">
        <v>14</v>
      </c>
      <c r="F2029" s="571" t="s">
        <v>206</v>
      </c>
      <c r="G2029" s="569" t="s">
        <v>206</v>
      </c>
      <c r="H2029" s="569" t="s">
        <v>212</v>
      </c>
      <c r="I2029" s="574">
        <v>0</v>
      </c>
    </row>
    <row r="2030" spans="1:9" ht="16" x14ac:dyDescent="0.2">
      <c r="A2030" s="561">
        <v>46095</v>
      </c>
      <c r="B2030" s="562">
        <v>2026</v>
      </c>
      <c r="C2030" s="563">
        <v>3</v>
      </c>
      <c r="D2030" s="564">
        <v>11</v>
      </c>
      <c r="E2030" s="564">
        <v>14</v>
      </c>
      <c r="F2030" s="565" t="s">
        <v>64</v>
      </c>
      <c r="G2030" s="563" t="s">
        <v>209</v>
      </c>
      <c r="H2030" s="563" t="s">
        <v>212</v>
      </c>
      <c r="I2030" s="573">
        <v>15750000</v>
      </c>
    </row>
    <row r="2031" spans="1:9" ht="16" x14ac:dyDescent="0.2">
      <c r="A2031" s="567">
        <v>46095</v>
      </c>
      <c r="B2031" s="568">
        <v>2026</v>
      </c>
      <c r="C2031" s="569">
        <v>3</v>
      </c>
      <c r="D2031" s="570">
        <v>11</v>
      </c>
      <c r="E2031" s="570">
        <v>14</v>
      </c>
      <c r="F2031" s="571" t="s">
        <v>237</v>
      </c>
      <c r="G2031" s="569" t="s">
        <v>209</v>
      </c>
      <c r="H2031" s="569" t="s">
        <v>212</v>
      </c>
      <c r="I2031" s="574">
        <v>0</v>
      </c>
    </row>
    <row r="2032" spans="1:9" ht="16" x14ac:dyDescent="0.2">
      <c r="A2032" s="561">
        <v>46095</v>
      </c>
      <c r="B2032" s="562">
        <v>2026</v>
      </c>
      <c r="C2032" s="563">
        <v>3</v>
      </c>
      <c r="D2032" s="564">
        <v>11</v>
      </c>
      <c r="E2032" s="564">
        <v>14</v>
      </c>
      <c r="F2032" s="565" t="s">
        <v>11</v>
      </c>
      <c r="G2032" s="563" t="s">
        <v>11</v>
      </c>
      <c r="H2032" s="563" t="s">
        <v>212</v>
      </c>
      <c r="I2032" s="573">
        <v>16076280000</v>
      </c>
    </row>
    <row r="2033" spans="1:9" ht="16" x14ac:dyDescent="0.2">
      <c r="A2033" s="567">
        <v>46095</v>
      </c>
      <c r="B2033" s="568">
        <v>2026</v>
      </c>
      <c r="C2033" s="569">
        <v>3</v>
      </c>
      <c r="D2033" s="570">
        <v>11</v>
      </c>
      <c r="E2033" s="570">
        <v>14</v>
      </c>
      <c r="F2033" s="571" t="s">
        <v>221</v>
      </c>
      <c r="G2033" s="569" t="s">
        <v>207</v>
      </c>
      <c r="H2033" s="569" t="s">
        <v>212</v>
      </c>
      <c r="I2033" s="574">
        <v>0</v>
      </c>
    </row>
    <row r="2034" spans="1:9" ht="16" x14ac:dyDescent="0.2">
      <c r="A2034" s="561">
        <v>46095</v>
      </c>
      <c r="B2034" s="562">
        <v>2026</v>
      </c>
      <c r="C2034" s="563">
        <v>3</v>
      </c>
      <c r="D2034" s="564">
        <v>11</v>
      </c>
      <c r="E2034" s="564">
        <v>14</v>
      </c>
      <c r="F2034" s="565" t="s">
        <v>222</v>
      </c>
      <c r="G2034" s="563" t="s">
        <v>207</v>
      </c>
      <c r="H2034" s="563" t="s">
        <v>212</v>
      </c>
      <c r="I2034" s="573">
        <v>0</v>
      </c>
    </row>
    <row r="2035" spans="1:9" ht="16" x14ac:dyDescent="0.2">
      <c r="A2035" s="567">
        <v>46095</v>
      </c>
      <c r="B2035" s="568">
        <v>2026</v>
      </c>
      <c r="C2035" s="569">
        <v>3</v>
      </c>
      <c r="D2035" s="570">
        <v>11</v>
      </c>
      <c r="E2035" s="570">
        <v>14</v>
      </c>
      <c r="F2035" s="571" t="s">
        <v>223</v>
      </c>
      <c r="G2035" s="569" t="s">
        <v>207</v>
      </c>
      <c r="H2035" s="569" t="s">
        <v>212</v>
      </c>
      <c r="I2035" s="574">
        <v>0</v>
      </c>
    </row>
    <row r="2036" spans="1:9" ht="16" x14ac:dyDescent="0.2">
      <c r="A2036" s="561">
        <v>46095</v>
      </c>
      <c r="B2036" s="562">
        <v>2026</v>
      </c>
      <c r="C2036" s="563">
        <v>3</v>
      </c>
      <c r="D2036" s="564">
        <v>11</v>
      </c>
      <c r="E2036" s="564">
        <v>14</v>
      </c>
      <c r="F2036" s="565" t="s">
        <v>219</v>
      </c>
      <c r="G2036" s="563" t="s">
        <v>11</v>
      </c>
      <c r="H2036" s="563" t="s">
        <v>212</v>
      </c>
      <c r="I2036" s="573">
        <v>0</v>
      </c>
    </row>
    <row r="2037" spans="1:9" ht="16" x14ac:dyDescent="0.2">
      <c r="A2037" s="567">
        <v>46095</v>
      </c>
      <c r="B2037" s="568">
        <v>2026</v>
      </c>
      <c r="C2037" s="569">
        <v>3</v>
      </c>
      <c r="D2037" s="570">
        <v>11</v>
      </c>
      <c r="E2037" s="570">
        <v>14</v>
      </c>
      <c r="F2037" s="571" t="s">
        <v>19</v>
      </c>
      <c r="G2037" s="569" t="s">
        <v>19</v>
      </c>
      <c r="H2037" s="569" t="s">
        <v>214</v>
      </c>
      <c r="I2037" s="574">
        <v>12209184000</v>
      </c>
    </row>
    <row r="2038" spans="1:9" ht="16" x14ac:dyDescent="0.2">
      <c r="A2038" s="561">
        <v>46095</v>
      </c>
      <c r="B2038" s="562">
        <v>2026</v>
      </c>
      <c r="C2038" s="563">
        <v>3</v>
      </c>
      <c r="D2038" s="564">
        <v>11</v>
      </c>
      <c r="E2038" s="564">
        <v>14</v>
      </c>
      <c r="F2038" s="565" t="s">
        <v>62</v>
      </c>
      <c r="G2038" s="563" t="s">
        <v>62</v>
      </c>
      <c r="H2038" s="563" t="s">
        <v>216</v>
      </c>
      <c r="I2038" s="573">
        <v>155508526</v>
      </c>
    </row>
    <row r="2039" spans="1:9" ht="16" x14ac:dyDescent="0.2">
      <c r="A2039" s="567">
        <v>46095</v>
      </c>
      <c r="B2039" s="568">
        <v>2026</v>
      </c>
      <c r="C2039" s="569">
        <v>3</v>
      </c>
      <c r="D2039" s="570">
        <v>11</v>
      </c>
      <c r="E2039" s="570">
        <v>14</v>
      </c>
      <c r="F2039" s="571" t="s">
        <v>58</v>
      </c>
      <c r="G2039" s="569" t="s">
        <v>58</v>
      </c>
      <c r="H2039" s="569" t="s">
        <v>212</v>
      </c>
      <c r="I2039" s="574">
        <v>25750000</v>
      </c>
    </row>
    <row r="2040" spans="1:9" ht="16" x14ac:dyDescent="0.2">
      <c r="A2040" s="561">
        <v>46095</v>
      </c>
      <c r="B2040" s="562">
        <v>2026</v>
      </c>
      <c r="C2040" s="563">
        <v>3</v>
      </c>
      <c r="D2040" s="564">
        <v>11</v>
      </c>
      <c r="E2040" s="564">
        <v>14</v>
      </c>
      <c r="F2040" s="565" t="s">
        <v>61</v>
      </c>
      <c r="G2040" s="563" t="s">
        <v>61</v>
      </c>
      <c r="H2040" s="563" t="s">
        <v>214</v>
      </c>
      <c r="I2040" s="573">
        <v>31000000</v>
      </c>
    </row>
    <row r="2041" spans="1:9" ht="16" x14ac:dyDescent="0.2">
      <c r="A2041" s="567">
        <v>46095</v>
      </c>
      <c r="B2041" s="568">
        <v>2026</v>
      </c>
      <c r="C2041" s="569">
        <v>3</v>
      </c>
      <c r="D2041" s="570">
        <v>11</v>
      </c>
      <c r="E2041" s="570">
        <v>14</v>
      </c>
      <c r="F2041" s="571" t="s">
        <v>57</v>
      </c>
      <c r="G2041" s="569" t="s">
        <v>57</v>
      </c>
      <c r="H2041" s="569" t="s">
        <v>212</v>
      </c>
      <c r="I2041" s="574">
        <v>827810000</v>
      </c>
    </row>
    <row r="2042" spans="1:9" ht="16" x14ac:dyDescent="0.2">
      <c r="A2042" s="561">
        <v>46095</v>
      </c>
      <c r="B2042" s="562">
        <v>2026</v>
      </c>
      <c r="C2042" s="563">
        <v>3</v>
      </c>
      <c r="D2042" s="564">
        <v>11</v>
      </c>
      <c r="E2042" s="564">
        <v>14</v>
      </c>
      <c r="F2042" s="565" t="s">
        <v>63</v>
      </c>
      <c r="G2042" s="563" t="s">
        <v>63</v>
      </c>
      <c r="H2042" s="563" t="s">
        <v>214</v>
      </c>
      <c r="I2042" s="573">
        <v>232848000</v>
      </c>
    </row>
    <row r="2043" spans="1:9" ht="16" x14ac:dyDescent="0.2">
      <c r="A2043" s="567">
        <v>46095</v>
      </c>
      <c r="B2043" s="568">
        <v>2026</v>
      </c>
      <c r="C2043" s="569">
        <v>3</v>
      </c>
      <c r="D2043" s="570">
        <v>11</v>
      </c>
      <c r="E2043" s="570">
        <v>14</v>
      </c>
      <c r="F2043" s="571" t="s">
        <v>59</v>
      </c>
      <c r="G2043" s="569" t="s">
        <v>59</v>
      </c>
      <c r="H2043" s="569" t="s">
        <v>216</v>
      </c>
      <c r="I2043" s="574">
        <v>260285273</v>
      </c>
    </row>
    <row r="2044" spans="1:9" ht="16" x14ac:dyDescent="0.2">
      <c r="A2044" s="561">
        <v>46095</v>
      </c>
      <c r="B2044" s="562">
        <v>2026</v>
      </c>
      <c r="C2044" s="563">
        <v>3</v>
      </c>
      <c r="D2044" s="564">
        <v>11</v>
      </c>
      <c r="E2044" s="564">
        <v>14</v>
      </c>
      <c r="F2044" s="565" t="s">
        <v>31</v>
      </c>
      <c r="G2044" s="563" t="s">
        <v>175</v>
      </c>
      <c r="H2044" s="563" t="s">
        <v>212</v>
      </c>
      <c r="I2044" s="573">
        <v>2484080000</v>
      </c>
    </row>
    <row r="2045" spans="1:9" ht="16" x14ac:dyDescent="0.2">
      <c r="A2045" s="567">
        <v>46095</v>
      </c>
      <c r="B2045" s="568">
        <v>2026</v>
      </c>
      <c r="C2045" s="569">
        <v>3</v>
      </c>
      <c r="D2045" s="570">
        <v>11</v>
      </c>
      <c r="E2045" s="570">
        <v>14</v>
      </c>
      <c r="F2045" s="571" t="s">
        <v>234</v>
      </c>
      <c r="G2045" s="569" t="s">
        <v>210</v>
      </c>
      <c r="H2045" s="569" t="s">
        <v>214</v>
      </c>
      <c r="I2045" s="574">
        <v>287280000</v>
      </c>
    </row>
    <row r="2046" spans="1:9" ht="16" x14ac:dyDescent="0.2">
      <c r="A2046" s="561">
        <v>46096</v>
      </c>
      <c r="B2046" s="562">
        <v>2026</v>
      </c>
      <c r="C2046" s="563">
        <v>3</v>
      </c>
      <c r="D2046" s="564">
        <v>11</v>
      </c>
      <c r="E2046" s="564">
        <v>15</v>
      </c>
      <c r="F2046" s="565" t="s">
        <v>65</v>
      </c>
      <c r="G2046" s="563" t="s">
        <v>65</v>
      </c>
      <c r="H2046" s="563" t="s">
        <v>212</v>
      </c>
      <c r="I2046" s="573">
        <v>780470000</v>
      </c>
    </row>
    <row r="2047" spans="1:9" ht="16" x14ac:dyDescent="0.2">
      <c r="A2047" s="567">
        <v>46096</v>
      </c>
      <c r="B2047" s="568">
        <v>2026</v>
      </c>
      <c r="C2047" s="569">
        <v>3</v>
      </c>
      <c r="D2047" s="570">
        <v>11</v>
      </c>
      <c r="E2047" s="570">
        <v>15</v>
      </c>
      <c r="F2047" s="571" t="s">
        <v>66</v>
      </c>
      <c r="G2047" s="569" t="s">
        <v>66</v>
      </c>
      <c r="H2047" s="569" t="s">
        <v>216</v>
      </c>
      <c r="I2047" s="574">
        <v>313866408</v>
      </c>
    </row>
    <row r="2048" spans="1:9" ht="16" x14ac:dyDescent="0.2">
      <c r="A2048" s="561">
        <v>46096</v>
      </c>
      <c r="B2048" s="562">
        <v>2026</v>
      </c>
      <c r="C2048" s="563">
        <v>3</v>
      </c>
      <c r="D2048" s="564">
        <v>11</v>
      </c>
      <c r="E2048" s="564">
        <v>15</v>
      </c>
      <c r="F2048" s="565" t="s">
        <v>24</v>
      </c>
      <c r="G2048" s="563" t="s">
        <v>24</v>
      </c>
      <c r="H2048" s="563" t="s">
        <v>212</v>
      </c>
      <c r="I2048" s="573">
        <v>8212700000</v>
      </c>
    </row>
    <row r="2049" spans="1:9" ht="16" x14ac:dyDescent="0.2">
      <c r="A2049" s="567">
        <v>46096</v>
      </c>
      <c r="B2049" s="568">
        <v>2026</v>
      </c>
      <c r="C2049" s="569">
        <v>3</v>
      </c>
      <c r="D2049" s="570">
        <v>11</v>
      </c>
      <c r="E2049" s="570">
        <v>15</v>
      </c>
      <c r="F2049" s="571" t="s">
        <v>67</v>
      </c>
      <c r="G2049" s="569" t="s">
        <v>67</v>
      </c>
      <c r="H2049" s="569" t="s">
        <v>213</v>
      </c>
      <c r="I2049" s="574">
        <v>1420287975</v>
      </c>
    </row>
    <row r="2050" spans="1:9" ht="16" x14ac:dyDescent="0.2">
      <c r="A2050" s="561">
        <v>46096</v>
      </c>
      <c r="B2050" s="562">
        <v>2026</v>
      </c>
      <c r="C2050" s="563">
        <v>3</v>
      </c>
      <c r="D2050" s="564">
        <v>11</v>
      </c>
      <c r="E2050" s="564">
        <v>15</v>
      </c>
      <c r="F2050" s="565" t="s">
        <v>28</v>
      </c>
      <c r="G2050" s="563" t="s">
        <v>28</v>
      </c>
      <c r="H2050" s="563" t="s">
        <v>214</v>
      </c>
      <c r="I2050" s="573">
        <v>13145976000</v>
      </c>
    </row>
    <row r="2051" spans="1:9" ht="16" x14ac:dyDescent="0.2">
      <c r="A2051" s="567">
        <v>46096</v>
      </c>
      <c r="B2051" s="568">
        <v>2026</v>
      </c>
      <c r="C2051" s="569">
        <v>3</v>
      </c>
      <c r="D2051" s="570">
        <v>11</v>
      </c>
      <c r="E2051" s="570">
        <v>15</v>
      </c>
      <c r="F2051" s="571" t="s">
        <v>208</v>
      </c>
      <c r="G2051" s="569" t="s">
        <v>208</v>
      </c>
      <c r="H2051" s="569" t="s">
        <v>216</v>
      </c>
      <c r="I2051" s="574">
        <v>6520350</v>
      </c>
    </row>
    <row r="2052" spans="1:9" ht="16" x14ac:dyDescent="0.2">
      <c r="A2052" s="561">
        <v>46096</v>
      </c>
      <c r="B2052" s="562">
        <v>2026</v>
      </c>
      <c r="C2052" s="563">
        <v>3</v>
      </c>
      <c r="D2052" s="564">
        <v>11</v>
      </c>
      <c r="E2052" s="564">
        <v>15</v>
      </c>
      <c r="F2052" s="565" t="s">
        <v>60</v>
      </c>
      <c r="G2052" s="563" t="s">
        <v>60</v>
      </c>
      <c r="H2052" s="563" t="s">
        <v>212</v>
      </c>
      <c r="I2052" s="573">
        <v>0</v>
      </c>
    </row>
    <row r="2053" spans="1:9" ht="16" x14ac:dyDescent="0.2">
      <c r="A2053" s="567">
        <v>46096</v>
      </c>
      <c r="B2053" s="568">
        <v>2026</v>
      </c>
      <c r="C2053" s="569">
        <v>3</v>
      </c>
      <c r="D2053" s="570">
        <v>11</v>
      </c>
      <c r="E2053" s="570">
        <v>15</v>
      </c>
      <c r="F2053" s="571" t="s">
        <v>36</v>
      </c>
      <c r="G2053" s="569" t="s">
        <v>36</v>
      </c>
      <c r="H2053" s="569" t="s">
        <v>212</v>
      </c>
      <c r="I2053" s="574">
        <v>2604000000</v>
      </c>
    </row>
    <row r="2054" spans="1:9" ht="16" x14ac:dyDescent="0.2">
      <c r="A2054" s="561">
        <v>46096</v>
      </c>
      <c r="B2054" s="562">
        <v>2026</v>
      </c>
      <c r="C2054" s="563">
        <v>3</v>
      </c>
      <c r="D2054" s="564">
        <v>11</v>
      </c>
      <c r="E2054" s="564">
        <v>15</v>
      </c>
      <c r="F2054" s="565" t="s">
        <v>55</v>
      </c>
      <c r="G2054" s="563" t="s">
        <v>36</v>
      </c>
      <c r="H2054" s="563" t="s">
        <v>212</v>
      </c>
      <c r="I2054" s="573">
        <v>943170000</v>
      </c>
    </row>
    <row r="2055" spans="1:9" ht="16" x14ac:dyDescent="0.2">
      <c r="A2055" s="567">
        <v>46096</v>
      </c>
      <c r="B2055" s="568">
        <v>2026</v>
      </c>
      <c r="C2055" s="569">
        <v>3</v>
      </c>
      <c r="D2055" s="570">
        <v>11</v>
      </c>
      <c r="E2055" s="570">
        <v>15</v>
      </c>
      <c r="F2055" s="571" t="s">
        <v>176</v>
      </c>
      <c r="G2055" s="569" t="s">
        <v>176</v>
      </c>
      <c r="H2055" s="569" t="s">
        <v>216</v>
      </c>
      <c r="I2055" s="574">
        <v>3165025</v>
      </c>
    </row>
    <row r="2056" spans="1:9" ht="16" x14ac:dyDescent="0.2">
      <c r="A2056" s="561">
        <v>46096</v>
      </c>
      <c r="B2056" s="562">
        <v>2026</v>
      </c>
      <c r="C2056" s="563">
        <v>3</v>
      </c>
      <c r="D2056" s="564">
        <v>11</v>
      </c>
      <c r="E2056" s="564">
        <v>15</v>
      </c>
      <c r="F2056" s="565" t="s">
        <v>39</v>
      </c>
      <c r="G2056" s="563" t="s">
        <v>176</v>
      </c>
      <c r="H2056" s="563" t="s">
        <v>216</v>
      </c>
      <c r="I2056" s="573">
        <v>1593617519</v>
      </c>
    </row>
    <row r="2057" spans="1:9" ht="16" x14ac:dyDescent="0.2">
      <c r="A2057" s="567">
        <v>46096</v>
      </c>
      <c r="B2057" s="568">
        <v>2026</v>
      </c>
      <c r="C2057" s="569">
        <v>3</v>
      </c>
      <c r="D2057" s="570">
        <v>11</v>
      </c>
      <c r="E2057" s="570">
        <v>15</v>
      </c>
      <c r="F2057" s="571" t="s">
        <v>206</v>
      </c>
      <c r="G2057" s="569" t="s">
        <v>206</v>
      </c>
      <c r="H2057" s="569" t="s">
        <v>212</v>
      </c>
      <c r="I2057" s="574">
        <v>0</v>
      </c>
    </row>
    <row r="2058" spans="1:9" ht="16" x14ac:dyDescent="0.2">
      <c r="A2058" s="561">
        <v>46096</v>
      </c>
      <c r="B2058" s="562">
        <v>2026</v>
      </c>
      <c r="C2058" s="563">
        <v>3</v>
      </c>
      <c r="D2058" s="564">
        <v>11</v>
      </c>
      <c r="E2058" s="564">
        <v>15</v>
      </c>
      <c r="F2058" s="565" t="s">
        <v>64</v>
      </c>
      <c r="G2058" s="563" t="s">
        <v>209</v>
      </c>
      <c r="H2058" s="563" t="s">
        <v>212</v>
      </c>
      <c r="I2058" s="573">
        <v>0</v>
      </c>
    </row>
    <row r="2059" spans="1:9" ht="16" x14ac:dyDescent="0.2">
      <c r="A2059" s="567">
        <v>46096</v>
      </c>
      <c r="B2059" s="568">
        <v>2026</v>
      </c>
      <c r="C2059" s="569">
        <v>3</v>
      </c>
      <c r="D2059" s="570">
        <v>11</v>
      </c>
      <c r="E2059" s="570">
        <v>15</v>
      </c>
      <c r="F2059" s="571" t="s">
        <v>237</v>
      </c>
      <c r="G2059" s="569" t="s">
        <v>209</v>
      </c>
      <c r="H2059" s="569" t="s">
        <v>212</v>
      </c>
      <c r="I2059" s="574">
        <v>0</v>
      </c>
    </row>
    <row r="2060" spans="1:9" ht="16" x14ac:dyDescent="0.2">
      <c r="A2060" s="561">
        <v>46096</v>
      </c>
      <c r="B2060" s="562">
        <v>2026</v>
      </c>
      <c r="C2060" s="563">
        <v>3</v>
      </c>
      <c r="D2060" s="564">
        <v>11</v>
      </c>
      <c r="E2060" s="564">
        <v>15</v>
      </c>
      <c r="F2060" s="565" t="s">
        <v>11</v>
      </c>
      <c r="G2060" s="563" t="s">
        <v>11</v>
      </c>
      <c r="H2060" s="563" t="s">
        <v>212</v>
      </c>
      <c r="I2060" s="573">
        <v>16139750000</v>
      </c>
    </row>
    <row r="2061" spans="1:9" ht="16" x14ac:dyDescent="0.2">
      <c r="A2061" s="567">
        <v>46096</v>
      </c>
      <c r="B2061" s="568">
        <v>2026</v>
      </c>
      <c r="C2061" s="569">
        <v>3</v>
      </c>
      <c r="D2061" s="570">
        <v>11</v>
      </c>
      <c r="E2061" s="570">
        <v>15</v>
      </c>
      <c r="F2061" s="571" t="s">
        <v>221</v>
      </c>
      <c r="G2061" s="569" t="s">
        <v>207</v>
      </c>
      <c r="H2061" s="569" t="s">
        <v>212</v>
      </c>
      <c r="I2061" s="574">
        <v>0</v>
      </c>
    </row>
    <row r="2062" spans="1:9" ht="16" x14ac:dyDescent="0.2">
      <c r="A2062" s="561">
        <v>46096</v>
      </c>
      <c r="B2062" s="562">
        <v>2026</v>
      </c>
      <c r="C2062" s="563">
        <v>3</v>
      </c>
      <c r="D2062" s="564">
        <v>11</v>
      </c>
      <c r="E2062" s="564">
        <v>15</v>
      </c>
      <c r="F2062" s="565" t="s">
        <v>222</v>
      </c>
      <c r="G2062" s="563" t="s">
        <v>207</v>
      </c>
      <c r="H2062" s="563" t="s">
        <v>212</v>
      </c>
      <c r="I2062" s="573">
        <v>0</v>
      </c>
    </row>
    <row r="2063" spans="1:9" ht="16" x14ac:dyDescent="0.2">
      <c r="A2063" s="567">
        <v>46096</v>
      </c>
      <c r="B2063" s="568">
        <v>2026</v>
      </c>
      <c r="C2063" s="569">
        <v>3</v>
      </c>
      <c r="D2063" s="570">
        <v>11</v>
      </c>
      <c r="E2063" s="570">
        <v>15</v>
      </c>
      <c r="F2063" s="571" t="s">
        <v>223</v>
      </c>
      <c r="G2063" s="569" t="s">
        <v>207</v>
      </c>
      <c r="H2063" s="569" t="s">
        <v>212</v>
      </c>
      <c r="I2063" s="574">
        <v>0</v>
      </c>
    </row>
    <row r="2064" spans="1:9" ht="16" x14ac:dyDescent="0.2">
      <c r="A2064" s="561">
        <v>46096</v>
      </c>
      <c r="B2064" s="562">
        <v>2026</v>
      </c>
      <c r="C2064" s="563">
        <v>3</v>
      </c>
      <c r="D2064" s="564">
        <v>11</v>
      </c>
      <c r="E2064" s="564">
        <v>15</v>
      </c>
      <c r="F2064" s="565" t="s">
        <v>219</v>
      </c>
      <c r="G2064" s="563" t="s">
        <v>11</v>
      </c>
      <c r="H2064" s="563" t="s">
        <v>212</v>
      </c>
      <c r="I2064" s="573">
        <v>0</v>
      </c>
    </row>
    <row r="2065" spans="1:9" ht="16" x14ac:dyDescent="0.2">
      <c r="A2065" s="567">
        <v>46096</v>
      </c>
      <c r="B2065" s="568">
        <v>2026</v>
      </c>
      <c r="C2065" s="569">
        <v>3</v>
      </c>
      <c r="D2065" s="570">
        <v>11</v>
      </c>
      <c r="E2065" s="570">
        <v>15</v>
      </c>
      <c r="F2065" s="571" t="s">
        <v>19</v>
      </c>
      <c r="G2065" s="569" t="s">
        <v>19</v>
      </c>
      <c r="H2065" s="569" t="s">
        <v>214</v>
      </c>
      <c r="I2065" s="574">
        <v>11918448000</v>
      </c>
    </row>
    <row r="2066" spans="1:9" ht="16" x14ac:dyDescent="0.2">
      <c r="A2066" s="561">
        <v>46096</v>
      </c>
      <c r="B2066" s="562">
        <v>2026</v>
      </c>
      <c r="C2066" s="563">
        <v>3</v>
      </c>
      <c r="D2066" s="564">
        <v>11</v>
      </c>
      <c r="E2066" s="564">
        <v>15</v>
      </c>
      <c r="F2066" s="565" t="s">
        <v>62</v>
      </c>
      <c r="G2066" s="563" t="s">
        <v>62</v>
      </c>
      <c r="H2066" s="563" t="s">
        <v>216</v>
      </c>
      <c r="I2066" s="573">
        <v>200447996</v>
      </c>
    </row>
    <row r="2067" spans="1:9" ht="16" x14ac:dyDescent="0.2">
      <c r="A2067" s="567">
        <v>46096</v>
      </c>
      <c r="B2067" s="568">
        <v>2026</v>
      </c>
      <c r="C2067" s="569">
        <v>3</v>
      </c>
      <c r="D2067" s="570">
        <v>11</v>
      </c>
      <c r="E2067" s="570">
        <v>15</v>
      </c>
      <c r="F2067" s="571" t="s">
        <v>58</v>
      </c>
      <c r="G2067" s="569" t="s">
        <v>58</v>
      </c>
      <c r="H2067" s="569" t="s">
        <v>212</v>
      </c>
      <c r="I2067" s="574">
        <v>63000000</v>
      </c>
    </row>
    <row r="2068" spans="1:9" ht="16" x14ac:dyDescent="0.2">
      <c r="A2068" s="561">
        <v>46096</v>
      </c>
      <c r="B2068" s="562">
        <v>2026</v>
      </c>
      <c r="C2068" s="563">
        <v>3</v>
      </c>
      <c r="D2068" s="564">
        <v>11</v>
      </c>
      <c r="E2068" s="564">
        <v>15</v>
      </c>
      <c r="F2068" s="565" t="s">
        <v>61</v>
      </c>
      <c r="G2068" s="563" t="s">
        <v>61</v>
      </c>
      <c r="H2068" s="563" t="s">
        <v>214</v>
      </c>
      <c r="I2068" s="573">
        <v>46000000</v>
      </c>
    </row>
    <row r="2069" spans="1:9" ht="16" x14ac:dyDescent="0.2">
      <c r="A2069" s="567">
        <v>46096</v>
      </c>
      <c r="B2069" s="568">
        <v>2026</v>
      </c>
      <c r="C2069" s="569">
        <v>3</v>
      </c>
      <c r="D2069" s="570">
        <v>11</v>
      </c>
      <c r="E2069" s="570">
        <v>15</v>
      </c>
      <c r="F2069" s="571" t="s">
        <v>57</v>
      </c>
      <c r="G2069" s="569" t="s">
        <v>57</v>
      </c>
      <c r="H2069" s="569" t="s">
        <v>212</v>
      </c>
      <c r="I2069" s="574">
        <v>664980000</v>
      </c>
    </row>
    <row r="2070" spans="1:9" ht="16" x14ac:dyDescent="0.2">
      <c r="A2070" s="561">
        <v>46096</v>
      </c>
      <c r="B2070" s="562">
        <v>2026</v>
      </c>
      <c r="C2070" s="563">
        <v>3</v>
      </c>
      <c r="D2070" s="564">
        <v>11</v>
      </c>
      <c r="E2070" s="564">
        <v>15</v>
      </c>
      <c r="F2070" s="565" t="s">
        <v>63</v>
      </c>
      <c r="G2070" s="563" t="s">
        <v>63</v>
      </c>
      <c r="H2070" s="563" t="s">
        <v>214</v>
      </c>
      <c r="I2070" s="573">
        <v>349272000</v>
      </c>
    </row>
    <row r="2071" spans="1:9" ht="16" x14ac:dyDescent="0.2">
      <c r="A2071" s="567">
        <v>46096</v>
      </c>
      <c r="B2071" s="568">
        <v>2026</v>
      </c>
      <c r="C2071" s="569">
        <v>3</v>
      </c>
      <c r="D2071" s="570">
        <v>11</v>
      </c>
      <c r="E2071" s="570">
        <v>15</v>
      </c>
      <c r="F2071" s="571" t="s">
        <v>59</v>
      </c>
      <c r="G2071" s="569" t="s">
        <v>59</v>
      </c>
      <c r="H2071" s="569" t="s">
        <v>216</v>
      </c>
      <c r="I2071" s="574">
        <v>272319266</v>
      </c>
    </row>
    <row r="2072" spans="1:9" ht="16" x14ac:dyDescent="0.2">
      <c r="A2072" s="561">
        <v>46096</v>
      </c>
      <c r="B2072" s="562">
        <v>2026</v>
      </c>
      <c r="C2072" s="563">
        <v>3</v>
      </c>
      <c r="D2072" s="564">
        <v>11</v>
      </c>
      <c r="E2072" s="564">
        <v>15</v>
      </c>
      <c r="F2072" s="565" t="s">
        <v>31</v>
      </c>
      <c r="G2072" s="563" t="s">
        <v>175</v>
      </c>
      <c r="H2072" s="563" t="s">
        <v>212</v>
      </c>
      <c r="I2072" s="573">
        <v>2889930000</v>
      </c>
    </row>
    <row r="2073" spans="1:9" ht="16" x14ac:dyDescent="0.2">
      <c r="A2073" s="567">
        <v>46096</v>
      </c>
      <c r="B2073" s="568">
        <v>2026</v>
      </c>
      <c r="C2073" s="569">
        <v>3</v>
      </c>
      <c r="D2073" s="570">
        <v>11</v>
      </c>
      <c r="E2073" s="570">
        <v>15</v>
      </c>
      <c r="F2073" s="571" t="s">
        <v>234</v>
      </c>
      <c r="G2073" s="569" t="s">
        <v>210</v>
      </c>
      <c r="H2073" s="569" t="s">
        <v>214</v>
      </c>
      <c r="I2073" s="574">
        <v>283176000</v>
      </c>
    </row>
    <row r="2074" spans="1:9" ht="16" x14ac:dyDescent="0.2">
      <c r="A2074" s="561">
        <v>46097</v>
      </c>
      <c r="B2074" s="562">
        <v>2026</v>
      </c>
      <c r="C2074" s="563">
        <v>3</v>
      </c>
      <c r="D2074" s="564">
        <v>12</v>
      </c>
      <c r="E2074" s="564">
        <v>16</v>
      </c>
      <c r="F2074" s="565" t="s">
        <v>65</v>
      </c>
      <c r="G2074" s="563" t="s">
        <v>65</v>
      </c>
      <c r="H2074" s="563" t="s">
        <v>212</v>
      </c>
      <c r="I2074" s="573">
        <v>740080000</v>
      </c>
    </row>
    <row r="2075" spans="1:9" ht="16" x14ac:dyDescent="0.2">
      <c r="A2075" s="567">
        <v>46097</v>
      </c>
      <c r="B2075" s="568">
        <v>2026</v>
      </c>
      <c r="C2075" s="569">
        <v>3</v>
      </c>
      <c r="D2075" s="570">
        <v>12</v>
      </c>
      <c r="E2075" s="570">
        <v>16</v>
      </c>
      <c r="F2075" s="571" t="s">
        <v>66</v>
      </c>
      <c r="G2075" s="569" t="s">
        <v>66</v>
      </c>
      <c r="H2075" s="569" t="s">
        <v>216</v>
      </c>
      <c r="I2075" s="574">
        <v>299822776</v>
      </c>
    </row>
    <row r="2076" spans="1:9" ht="16" x14ac:dyDescent="0.2">
      <c r="A2076" s="561">
        <v>46097</v>
      </c>
      <c r="B2076" s="562">
        <v>2026</v>
      </c>
      <c r="C2076" s="563">
        <v>3</v>
      </c>
      <c r="D2076" s="564">
        <v>12</v>
      </c>
      <c r="E2076" s="564">
        <v>16</v>
      </c>
      <c r="F2076" s="565" t="s">
        <v>24</v>
      </c>
      <c r="G2076" s="563" t="s">
        <v>24</v>
      </c>
      <c r="H2076" s="563" t="s">
        <v>212</v>
      </c>
      <c r="I2076" s="573">
        <v>10591300000</v>
      </c>
    </row>
    <row r="2077" spans="1:9" ht="16" x14ac:dyDescent="0.2">
      <c r="A2077" s="567">
        <v>46097</v>
      </c>
      <c r="B2077" s="568">
        <v>2026</v>
      </c>
      <c r="C2077" s="569">
        <v>3</v>
      </c>
      <c r="D2077" s="570">
        <v>12</v>
      </c>
      <c r="E2077" s="570">
        <v>16</v>
      </c>
      <c r="F2077" s="571" t="s">
        <v>67</v>
      </c>
      <c r="G2077" s="569" t="s">
        <v>67</v>
      </c>
      <c r="H2077" s="569" t="s">
        <v>213</v>
      </c>
      <c r="I2077" s="574">
        <v>1944313410</v>
      </c>
    </row>
    <row r="2078" spans="1:9" ht="16" x14ac:dyDescent="0.2">
      <c r="A2078" s="561">
        <v>46097</v>
      </c>
      <c r="B2078" s="562">
        <v>2026</v>
      </c>
      <c r="C2078" s="563">
        <v>3</v>
      </c>
      <c r="D2078" s="564">
        <v>12</v>
      </c>
      <c r="E2078" s="564">
        <v>16</v>
      </c>
      <c r="F2078" s="565" t="s">
        <v>28</v>
      </c>
      <c r="G2078" s="563" t="s">
        <v>28</v>
      </c>
      <c r="H2078" s="563" t="s">
        <v>214</v>
      </c>
      <c r="I2078" s="573">
        <v>13928544000</v>
      </c>
    </row>
    <row r="2079" spans="1:9" ht="16" x14ac:dyDescent="0.2">
      <c r="A2079" s="567">
        <v>46097</v>
      </c>
      <c r="B2079" s="568">
        <v>2026</v>
      </c>
      <c r="C2079" s="569">
        <v>3</v>
      </c>
      <c r="D2079" s="570">
        <v>12</v>
      </c>
      <c r="E2079" s="570">
        <v>16</v>
      </c>
      <c r="F2079" s="571" t="s">
        <v>208</v>
      </c>
      <c r="G2079" s="569" t="s">
        <v>208</v>
      </c>
      <c r="H2079" s="569" t="s">
        <v>216</v>
      </c>
      <c r="I2079" s="574">
        <v>2764780</v>
      </c>
    </row>
    <row r="2080" spans="1:9" ht="16" x14ac:dyDescent="0.2">
      <c r="A2080" s="561">
        <v>46097</v>
      </c>
      <c r="B2080" s="562">
        <v>2026</v>
      </c>
      <c r="C2080" s="563">
        <v>3</v>
      </c>
      <c r="D2080" s="564">
        <v>12</v>
      </c>
      <c r="E2080" s="564">
        <v>16</v>
      </c>
      <c r="F2080" s="565" t="s">
        <v>60</v>
      </c>
      <c r="G2080" s="563" t="s">
        <v>60</v>
      </c>
      <c r="H2080" s="563" t="s">
        <v>212</v>
      </c>
      <c r="I2080" s="573">
        <v>90000000</v>
      </c>
    </row>
    <row r="2081" spans="1:9" ht="16" x14ac:dyDescent="0.2">
      <c r="A2081" s="567">
        <v>46097</v>
      </c>
      <c r="B2081" s="568">
        <v>2026</v>
      </c>
      <c r="C2081" s="569">
        <v>3</v>
      </c>
      <c r="D2081" s="570">
        <v>12</v>
      </c>
      <c r="E2081" s="570">
        <v>16</v>
      </c>
      <c r="F2081" s="571" t="s">
        <v>36</v>
      </c>
      <c r="G2081" s="569" t="s">
        <v>36</v>
      </c>
      <c r="H2081" s="569" t="s">
        <v>212</v>
      </c>
      <c r="I2081" s="574">
        <v>2441860000</v>
      </c>
    </row>
    <row r="2082" spans="1:9" ht="16" x14ac:dyDescent="0.2">
      <c r="A2082" s="561">
        <v>46097</v>
      </c>
      <c r="B2082" s="562">
        <v>2026</v>
      </c>
      <c r="C2082" s="563">
        <v>3</v>
      </c>
      <c r="D2082" s="564">
        <v>12</v>
      </c>
      <c r="E2082" s="564">
        <v>16</v>
      </c>
      <c r="F2082" s="565" t="s">
        <v>55</v>
      </c>
      <c r="G2082" s="563" t="s">
        <v>36</v>
      </c>
      <c r="H2082" s="563" t="s">
        <v>212</v>
      </c>
      <c r="I2082" s="573">
        <v>781550000</v>
      </c>
    </row>
    <row r="2083" spans="1:9" ht="16" x14ac:dyDescent="0.2">
      <c r="A2083" s="567">
        <v>46097</v>
      </c>
      <c r="B2083" s="568">
        <v>2026</v>
      </c>
      <c r="C2083" s="569">
        <v>3</v>
      </c>
      <c r="D2083" s="570">
        <v>12</v>
      </c>
      <c r="E2083" s="570">
        <v>16</v>
      </c>
      <c r="F2083" s="571" t="s">
        <v>176</v>
      </c>
      <c r="G2083" s="569" t="s">
        <v>176</v>
      </c>
      <c r="H2083" s="569" t="s">
        <v>216</v>
      </c>
      <c r="I2083" s="574">
        <v>15958499</v>
      </c>
    </row>
    <row r="2084" spans="1:9" ht="16" x14ac:dyDescent="0.2">
      <c r="A2084" s="561">
        <v>46097</v>
      </c>
      <c r="B2084" s="562">
        <v>2026</v>
      </c>
      <c r="C2084" s="563">
        <v>3</v>
      </c>
      <c r="D2084" s="564">
        <v>12</v>
      </c>
      <c r="E2084" s="564">
        <v>16</v>
      </c>
      <c r="F2084" s="565" t="s">
        <v>39</v>
      </c>
      <c r="G2084" s="563" t="s">
        <v>176</v>
      </c>
      <c r="H2084" s="563" t="s">
        <v>216</v>
      </c>
      <c r="I2084" s="573">
        <v>791668366</v>
      </c>
    </row>
    <row r="2085" spans="1:9" ht="16" x14ac:dyDescent="0.2">
      <c r="A2085" s="567">
        <v>46097</v>
      </c>
      <c r="B2085" s="568">
        <v>2026</v>
      </c>
      <c r="C2085" s="569">
        <v>3</v>
      </c>
      <c r="D2085" s="570">
        <v>12</v>
      </c>
      <c r="E2085" s="570">
        <v>16</v>
      </c>
      <c r="F2085" s="571" t="s">
        <v>206</v>
      </c>
      <c r="G2085" s="569" t="s">
        <v>206</v>
      </c>
      <c r="H2085" s="569" t="s">
        <v>212</v>
      </c>
      <c r="I2085" s="574">
        <v>0</v>
      </c>
    </row>
    <row r="2086" spans="1:9" ht="16" x14ac:dyDescent="0.2">
      <c r="A2086" s="561">
        <v>46097</v>
      </c>
      <c r="B2086" s="562">
        <v>2026</v>
      </c>
      <c r="C2086" s="563">
        <v>3</v>
      </c>
      <c r="D2086" s="564">
        <v>12</v>
      </c>
      <c r="E2086" s="564">
        <v>16</v>
      </c>
      <c r="F2086" s="565" t="s">
        <v>64</v>
      </c>
      <c r="G2086" s="563" t="s">
        <v>209</v>
      </c>
      <c r="H2086" s="563" t="s">
        <v>212</v>
      </c>
      <c r="I2086" s="573">
        <v>129250000</v>
      </c>
    </row>
    <row r="2087" spans="1:9" ht="16" x14ac:dyDescent="0.2">
      <c r="A2087" s="567">
        <v>46097</v>
      </c>
      <c r="B2087" s="568">
        <v>2026</v>
      </c>
      <c r="C2087" s="569">
        <v>3</v>
      </c>
      <c r="D2087" s="570">
        <v>12</v>
      </c>
      <c r="E2087" s="570">
        <v>16</v>
      </c>
      <c r="F2087" s="571" t="s">
        <v>237</v>
      </c>
      <c r="G2087" s="569" t="s">
        <v>209</v>
      </c>
      <c r="H2087" s="569" t="s">
        <v>212</v>
      </c>
      <c r="I2087" s="574">
        <v>0</v>
      </c>
    </row>
    <row r="2088" spans="1:9" ht="16" x14ac:dyDescent="0.2">
      <c r="A2088" s="561">
        <v>46097</v>
      </c>
      <c r="B2088" s="562">
        <v>2026</v>
      </c>
      <c r="C2088" s="563">
        <v>3</v>
      </c>
      <c r="D2088" s="564">
        <v>12</v>
      </c>
      <c r="E2088" s="564">
        <v>16</v>
      </c>
      <c r="F2088" s="565" t="s">
        <v>11</v>
      </c>
      <c r="G2088" s="563" t="s">
        <v>11</v>
      </c>
      <c r="H2088" s="563" t="s">
        <v>212</v>
      </c>
      <c r="I2088" s="573">
        <v>18652390000</v>
      </c>
    </row>
    <row r="2089" spans="1:9" ht="16" x14ac:dyDescent="0.2">
      <c r="A2089" s="567">
        <v>46097</v>
      </c>
      <c r="B2089" s="568">
        <v>2026</v>
      </c>
      <c r="C2089" s="569">
        <v>3</v>
      </c>
      <c r="D2089" s="570">
        <v>12</v>
      </c>
      <c r="E2089" s="570">
        <v>16</v>
      </c>
      <c r="F2089" s="571" t="s">
        <v>221</v>
      </c>
      <c r="G2089" s="569" t="s">
        <v>207</v>
      </c>
      <c r="H2089" s="569" t="s">
        <v>212</v>
      </c>
      <c r="I2089" s="574">
        <v>0</v>
      </c>
    </row>
    <row r="2090" spans="1:9" ht="16" x14ac:dyDescent="0.2">
      <c r="A2090" s="561">
        <v>46097</v>
      </c>
      <c r="B2090" s="562">
        <v>2026</v>
      </c>
      <c r="C2090" s="563">
        <v>3</v>
      </c>
      <c r="D2090" s="564">
        <v>12</v>
      </c>
      <c r="E2090" s="564">
        <v>16</v>
      </c>
      <c r="F2090" s="565" t="s">
        <v>222</v>
      </c>
      <c r="G2090" s="563" t="s">
        <v>207</v>
      </c>
      <c r="H2090" s="563" t="s">
        <v>212</v>
      </c>
      <c r="I2090" s="573">
        <v>0</v>
      </c>
    </row>
    <row r="2091" spans="1:9" ht="16" x14ac:dyDescent="0.2">
      <c r="A2091" s="567">
        <v>46097</v>
      </c>
      <c r="B2091" s="568">
        <v>2026</v>
      </c>
      <c r="C2091" s="569">
        <v>3</v>
      </c>
      <c r="D2091" s="570">
        <v>12</v>
      </c>
      <c r="E2091" s="570">
        <v>16</v>
      </c>
      <c r="F2091" s="571" t="s">
        <v>223</v>
      </c>
      <c r="G2091" s="569" t="s">
        <v>207</v>
      </c>
      <c r="H2091" s="569" t="s">
        <v>212</v>
      </c>
      <c r="I2091" s="574">
        <v>0</v>
      </c>
    </row>
    <row r="2092" spans="1:9" ht="16" x14ac:dyDescent="0.2">
      <c r="A2092" s="561">
        <v>46097</v>
      </c>
      <c r="B2092" s="562">
        <v>2026</v>
      </c>
      <c r="C2092" s="563">
        <v>3</v>
      </c>
      <c r="D2092" s="564">
        <v>12</v>
      </c>
      <c r="E2092" s="564">
        <v>16</v>
      </c>
      <c r="F2092" s="565" t="s">
        <v>219</v>
      </c>
      <c r="G2092" s="563" t="s">
        <v>11</v>
      </c>
      <c r="H2092" s="563" t="s">
        <v>212</v>
      </c>
      <c r="I2092" s="573">
        <v>0</v>
      </c>
    </row>
    <row r="2093" spans="1:9" ht="16" x14ac:dyDescent="0.2">
      <c r="A2093" s="567">
        <v>46097</v>
      </c>
      <c r="B2093" s="568">
        <v>2026</v>
      </c>
      <c r="C2093" s="569">
        <v>3</v>
      </c>
      <c r="D2093" s="570">
        <v>12</v>
      </c>
      <c r="E2093" s="570">
        <v>16</v>
      </c>
      <c r="F2093" s="571" t="s">
        <v>19</v>
      </c>
      <c r="G2093" s="569" t="s">
        <v>19</v>
      </c>
      <c r="H2093" s="569" t="s">
        <v>214</v>
      </c>
      <c r="I2093" s="574">
        <v>12140280000</v>
      </c>
    </row>
    <row r="2094" spans="1:9" ht="16" x14ac:dyDescent="0.2">
      <c r="A2094" s="561">
        <v>46097</v>
      </c>
      <c r="B2094" s="562">
        <v>2026</v>
      </c>
      <c r="C2094" s="563">
        <v>3</v>
      </c>
      <c r="D2094" s="564">
        <v>12</v>
      </c>
      <c r="E2094" s="564">
        <v>16</v>
      </c>
      <c r="F2094" s="565" t="s">
        <v>62</v>
      </c>
      <c r="G2094" s="563" t="s">
        <v>62</v>
      </c>
      <c r="H2094" s="563" t="s">
        <v>216</v>
      </c>
      <c r="I2094" s="573">
        <v>199800737</v>
      </c>
    </row>
    <row r="2095" spans="1:9" ht="16" x14ac:dyDescent="0.2">
      <c r="A2095" s="567">
        <v>46097</v>
      </c>
      <c r="B2095" s="568">
        <v>2026</v>
      </c>
      <c r="C2095" s="569">
        <v>3</v>
      </c>
      <c r="D2095" s="570">
        <v>12</v>
      </c>
      <c r="E2095" s="570">
        <v>16</v>
      </c>
      <c r="F2095" s="571" t="s">
        <v>58</v>
      </c>
      <c r="G2095" s="569" t="s">
        <v>58</v>
      </c>
      <c r="H2095" s="569" t="s">
        <v>212</v>
      </c>
      <c r="I2095" s="574">
        <v>51500000</v>
      </c>
    </row>
    <row r="2096" spans="1:9" ht="16" x14ac:dyDescent="0.2">
      <c r="A2096" s="561">
        <v>46097</v>
      </c>
      <c r="B2096" s="562">
        <v>2026</v>
      </c>
      <c r="C2096" s="563">
        <v>3</v>
      </c>
      <c r="D2096" s="564">
        <v>12</v>
      </c>
      <c r="E2096" s="564">
        <v>16</v>
      </c>
      <c r="F2096" s="565" t="s">
        <v>61</v>
      </c>
      <c r="G2096" s="563" t="s">
        <v>61</v>
      </c>
      <c r="H2096" s="563" t="s">
        <v>214</v>
      </c>
      <c r="I2096" s="573">
        <v>25000000</v>
      </c>
    </row>
    <row r="2097" spans="1:9" ht="16" x14ac:dyDescent="0.2">
      <c r="A2097" s="567">
        <v>46097</v>
      </c>
      <c r="B2097" s="568">
        <v>2026</v>
      </c>
      <c r="C2097" s="569">
        <v>3</v>
      </c>
      <c r="D2097" s="570">
        <v>12</v>
      </c>
      <c r="E2097" s="570">
        <v>16</v>
      </c>
      <c r="F2097" s="571" t="s">
        <v>57</v>
      </c>
      <c r="G2097" s="569" t="s">
        <v>57</v>
      </c>
      <c r="H2097" s="569" t="s">
        <v>212</v>
      </c>
      <c r="I2097" s="574">
        <v>695310000</v>
      </c>
    </row>
    <row r="2098" spans="1:9" ht="16" x14ac:dyDescent="0.2">
      <c r="A2098" s="561">
        <v>46097</v>
      </c>
      <c r="B2098" s="562">
        <v>2026</v>
      </c>
      <c r="C2098" s="563">
        <v>3</v>
      </c>
      <c r="D2098" s="564">
        <v>12</v>
      </c>
      <c r="E2098" s="564">
        <v>16</v>
      </c>
      <c r="F2098" s="565" t="s">
        <v>63</v>
      </c>
      <c r="G2098" s="563" t="s">
        <v>63</v>
      </c>
      <c r="H2098" s="563" t="s">
        <v>214</v>
      </c>
      <c r="I2098" s="573">
        <v>311472000</v>
      </c>
    </row>
    <row r="2099" spans="1:9" ht="16" x14ac:dyDescent="0.2">
      <c r="A2099" s="567">
        <v>46097</v>
      </c>
      <c r="B2099" s="568">
        <v>2026</v>
      </c>
      <c r="C2099" s="569">
        <v>3</v>
      </c>
      <c r="D2099" s="570">
        <v>12</v>
      </c>
      <c r="E2099" s="570">
        <v>16</v>
      </c>
      <c r="F2099" s="571" t="s">
        <v>59</v>
      </c>
      <c r="G2099" s="569" t="s">
        <v>59</v>
      </c>
      <c r="H2099" s="569" t="s">
        <v>216</v>
      </c>
      <c r="I2099" s="574">
        <v>262504491</v>
      </c>
    </row>
    <row r="2100" spans="1:9" ht="16" x14ac:dyDescent="0.2">
      <c r="A2100" s="561">
        <v>46097</v>
      </c>
      <c r="B2100" s="562">
        <v>2026</v>
      </c>
      <c r="C2100" s="563">
        <v>3</v>
      </c>
      <c r="D2100" s="564">
        <v>12</v>
      </c>
      <c r="E2100" s="564">
        <v>16</v>
      </c>
      <c r="F2100" s="565" t="s">
        <v>31</v>
      </c>
      <c r="G2100" s="563" t="s">
        <v>175</v>
      </c>
      <c r="H2100" s="563" t="s">
        <v>212</v>
      </c>
      <c r="I2100" s="573">
        <v>3685390000</v>
      </c>
    </row>
    <row r="2101" spans="1:9" ht="16" x14ac:dyDescent="0.2">
      <c r="A2101" s="567">
        <v>46097</v>
      </c>
      <c r="B2101" s="568">
        <v>2026</v>
      </c>
      <c r="C2101" s="569">
        <v>3</v>
      </c>
      <c r="D2101" s="570">
        <v>12</v>
      </c>
      <c r="E2101" s="570">
        <v>16</v>
      </c>
      <c r="F2101" s="571" t="s">
        <v>234</v>
      </c>
      <c r="G2101" s="569" t="s">
        <v>210</v>
      </c>
      <c r="H2101" s="569" t="s">
        <v>214</v>
      </c>
      <c r="I2101" s="574">
        <v>303264000</v>
      </c>
    </row>
    <row r="2102" spans="1:9" ht="16" x14ac:dyDescent="0.2">
      <c r="A2102" s="561">
        <v>46098</v>
      </c>
      <c r="B2102" s="562">
        <v>2026</v>
      </c>
      <c r="C2102" s="563">
        <v>3</v>
      </c>
      <c r="D2102" s="564">
        <v>12</v>
      </c>
      <c r="E2102" s="564">
        <v>17</v>
      </c>
      <c r="F2102" s="565" t="s">
        <v>65</v>
      </c>
      <c r="G2102" s="563" t="s">
        <v>65</v>
      </c>
      <c r="H2102" s="563" t="s">
        <v>212</v>
      </c>
      <c r="I2102" s="573">
        <v>689880000</v>
      </c>
    </row>
    <row r="2103" spans="1:9" ht="16" x14ac:dyDescent="0.2">
      <c r="A2103" s="567">
        <v>46098</v>
      </c>
      <c r="B2103" s="568">
        <v>2026</v>
      </c>
      <c r="C2103" s="569">
        <v>3</v>
      </c>
      <c r="D2103" s="570">
        <v>12</v>
      </c>
      <c r="E2103" s="570">
        <v>17</v>
      </c>
      <c r="F2103" s="571" t="s">
        <v>66</v>
      </c>
      <c r="G2103" s="569" t="s">
        <v>66</v>
      </c>
      <c r="H2103" s="569" t="s">
        <v>216</v>
      </c>
      <c r="I2103" s="574">
        <v>287745140</v>
      </c>
    </row>
    <row r="2104" spans="1:9" ht="16" x14ac:dyDescent="0.2">
      <c r="A2104" s="561">
        <v>46098</v>
      </c>
      <c r="B2104" s="562">
        <v>2026</v>
      </c>
      <c r="C2104" s="563">
        <v>3</v>
      </c>
      <c r="D2104" s="564">
        <v>12</v>
      </c>
      <c r="E2104" s="564">
        <v>17</v>
      </c>
      <c r="F2104" s="565" t="s">
        <v>24</v>
      </c>
      <c r="G2104" s="563" t="s">
        <v>24</v>
      </c>
      <c r="H2104" s="563" t="s">
        <v>212</v>
      </c>
      <c r="I2104" s="573">
        <v>10769930000</v>
      </c>
    </row>
    <row r="2105" spans="1:9" ht="16" x14ac:dyDescent="0.2">
      <c r="A2105" s="567">
        <v>46098</v>
      </c>
      <c r="B2105" s="568">
        <v>2026</v>
      </c>
      <c r="C2105" s="569">
        <v>3</v>
      </c>
      <c r="D2105" s="570">
        <v>12</v>
      </c>
      <c r="E2105" s="570">
        <v>17</v>
      </c>
      <c r="F2105" s="571" t="s">
        <v>67</v>
      </c>
      <c r="G2105" s="569" t="s">
        <v>67</v>
      </c>
      <c r="H2105" s="569" t="s">
        <v>213</v>
      </c>
      <c r="I2105" s="574">
        <v>1636874628</v>
      </c>
    </row>
    <row r="2106" spans="1:9" ht="16" x14ac:dyDescent="0.2">
      <c r="A2106" s="561">
        <v>46098</v>
      </c>
      <c r="B2106" s="562">
        <v>2026</v>
      </c>
      <c r="C2106" s="563">
        <v>3</v>
      </c>
      <c r="D2106" s="564">
        <v>12</v>
      </c>
      <c r="E2106" s="564">
        <v>17</v>
      </c>
      <c r="F2106" s="565" t="s">
        <v>28</v>
      </c>
      <c r="G2106" s="563" t="s">
        <v>28</v>
      </c>
      <c r="H2106" s="563" t="s">
        <v>214</v>
      </c>
      <c r="I2106" s="573">
        <v>12807828000</v>
      </c>
    </row>
    <row r="2107" spans="1:9" ht="16" x14ac:dyDescent="0.2">
      <c r="A2107" s="567">
        <v>46098</v>
      </c>
      <c r="B2107" s="568">
        <v>2026</v>
      </c>
      <c r="C2107" s="569">
        <v>3</v>
      </c>
      <c r="D2107" s="570">
        <v>12</v>
      </c>
      <c r="E2107" s="570">
        <v>17</v>
      </c>
      <c r="F2107" s="571" t="s">
        <v>208</v>
      </c>
      <c r="G2107" s="569" t="s">
        <v>208</v>
      </c>
      <c r="H2107" s="569" t="s">
        <v>216</v>
      </c>
      <c r="I2107" s="574">
        <v>2576000</v>
      </c>
    </row>
    <row r="2108" spans="1:9" ht="16" x14ac:dyDescent="0.2">
      <c r="A2108" s="561">
        <v>46098</v>
      </c>
      <c r="B2108" s="562">
        <v>2026</v>
      </c>
      <c r="C2108" s="563">
        <v>3</v>
      </c>
      <c r="D2108" s="564">
        <v>12</v>
      </c>
      <c r="E2108" s="564">
        <v>17</v>
      </c>
      <c r="F2108" s="565" t="s">
        <v>60</v>
      </c>
      <c r="G2108" s="563" t="s">
        <v>60</v>
      </c>
      <c r="H2108" s="563" t="s">
        <v>212</v>
      </c>
      <c r="I2108" s="573">
        <v>140000000</v>
      </c>
    </row>
    <row r="2109" spans="1:9" ht="16" x14ac:dyDescent="0.2">
      <c r="A2109" s="567">
        <v>46098</v>
      </c>
      <c r="B2109" s="568">
        <v>2026</v>
      </c>
      <c r="C2109" s="569">
        <v>3</v>
      </c>
      <c r="D2109" s="570">
        <v>12</v>
      </c>
      <c r="E2109" s="570">
        <v>17</v>
      </c>
      <c r="F2109" s="571" t="s">
        <v>36</v>
      </c>
      <c r="G2109" s="569" t="s">
        <v>36</v>
      </c>
      <c r="H2109" s="569" t="s">
        <v>212</v>
      </c>
      <c r="I2109" s="574">
        <v>2809160000</v>
      </c>
    </row>
    <row r="2110" spans="1:9" ht="16" x14ac:dyDescent="0.2">
      <c r="A2110" s="561">
        <v>46098</v>
      </c>
      <c r="B2110" s="562">
        <v>2026</v>
      </c>
      <c r="C2110" s="563">
        <v>3</v>
      </c>
      <c r="D2110" s="564">
        <v>12</v>
      </c>
      <c r="E2110" s="564">
        <v>17</v>
      </c>
      <c r="F2110" s="565" t="s">
        <v>55</v>
      </c>
      <c r="G2110" s="563" t="s">
        <v>36</v>
      </c>
      <c r="H2110" s="563" t="s">
        <v>212</v>
      </c>
      <c r="I2110" s="573">
        <v>833370000</v>
      </c>
    </row>
    <row r="2111" spans="1:9" ht="16" x14ac:dyDescent="0.2">
      <c r="A2111" s="567">
        <v>46098</v>
      </c>
      <c r="B2111" s="568">
        <v>2026</v>
      </c>
      <c r="C2111" s="569">
        <v>3</v>
      </c>
      <c r="D2111" s="570">
        <v>12</v>
      </c>
      <c r="E2111" s="570">
        <v>17</v>
      </c>
      <c r="F2111" s="571" t="s">
        <v>176</v>
      </c>
      <c r="G2111" s="569" t="s">
        <v>176</v>
      </c>
      <c r="H2111" s="569" t="s">
        <v>216</v>
      </c>
      <c r="I2111" s="574">
        <v>8492997</v>
      </c>
    </row>
    <row r="2112" spans="1:9" ht="16" x14ac:dyDescent="0.2">
      <c r="A2112" s="561">
        <v>46098</v>
      </c>
      <c r="B2112" s="562">
        <v>2026</v>
      </c>
      <c r="C2112" s="563">
        <v>3</v>
      </c>
      <c r="D2112" s="564">
        <v>12</v>
      </c>
      <c r="E2112" s="564">
        <v>17</v>
      </c>
      <c r="F2112" s="565" t="s">
        <v>39</v>
      </c>
      <c r="G2112" s="563" t="s">
        <v>176</v>
      </c>
      <c r="H2112" s="563" t="s">
        <v>216</v>
      </c>
      <c r="I2112" s="573">
        <v>974785500</v>
      </c>
    </row>
    <row r="2113" spans="1:9" ht="16" x14ac:dyDescent="0.2">
      <c r="A2113" s="567">
        <v>46098</v>
      </c>
      <c r="B2113" s="568">
        <v>2026</v>
      </c>
      <c r="C2113" s="569">
        <v>3</v>
      </c>
      <c r="D2113" s="570">
        <v>12</v>
      </c>
      <c r="E2113" s="570">
        <v>17</v>
      </c>
      <c r="F2113" s="571" t="s">
        <v>206</v>
      </c>
      <c r="G2113" s="569" t="s">
        <v>206</v>
      </c>
      <c r="H2113" s="569" t="s">
        <v>212</v>
      </c>
      <c r="I2113" s="574">
        <v>0</v>
      </c>
    </row>
    <row r="2114" spans="1:9" ht="16" x14ac:dyDescent="0.2">
      <c r="A2114" s="561">
        <v>46098</v>
      </c>
      <c r="B2114" s="562">
        <v>2026</v>
      </c>
      <c r="C2114" s="563">
        <v>3</v>
      </c>
      <c r="D2114" s="564">
        <v>12</v>
      </c>
      <c r="E2114" s="564">
        <v>17</v>
      </c>
      <c r="F2114" s="565" t="s">
        <v>64</v>
      </c>
      <c r="G2114" s="563" t="s">
        <v>209</v>
      </c>
      <c r="H2114" s="563" t="s">
        <v>212</v>
      </c>
      <c r="I2114" s="573">
        <v>41500000</v>
      </c>
    </row>
    <row r="2115" spans="1:9" ht="16" x14ac:dyDescent="0.2">
      <c r="A2115" s="567">
        <v>46098</v>
      </c>
      <c r="B2115" s="568">
        <v>2026</v>
      </c>
      <c r="C2115" s="569">
        <v>3</v>
      </c>
      <c r="D2115" s="570">
        <v>12</v>
      </c>
      <c r="E2115" s="570">
        <v>17</v>
      </c>
      <c r="F2115" s="571" t="s">
        <v>237</v>
      </c>
      <c r="G2115" s="569" t="s">
        <v>209</v>
      </c>
      <c r="H2115" s="569" t="s">
        <v>212</v>
      </c>
      <c r="I2115" s="574">
        <v>0</v>
      </c>
    </row>
    <row r="2116" spans="1:9" ht="16" x14ac:dyDescent="0.2">
      <c r="A2116" s="561">
        <v>46098</v>
      </c>
      <c r="B2116" s="562">
        <v>2026</v>
      </c>
      <c r="C2116" s="563">
        <v>3</v>
      </c>
      <c r="D2116" s="564">
        <v>12</v>
      </c>
      <c r="E2116" s="564">
        <v>17</v>
      </c>
      <c r="F2116" s="565" t="s">
        <v>11</v>
      </c>
      <c r="G2116" s="563" t="s">
        <v>11</v>
      </c>
      <c r="H2116" s="563" t="s">
        <v>212</v>
      </c>
      <c r="I2116" s="573">
        <v>17827750000</v>
      </c>
    </row>
    <row r="2117" spans="1:9" ht="16" x14ac:dyDescent="0.2">
      <c r="A2117" s="567">
        <v>46098</v>
      </c>
      <c r="B2117" s="568">
        <v>2026</v>
      </c>
      <c r="C2117" s="569">
        <v>3</v>
      </c>
      <c r="D2117" s="570">
        <v>12</v>
      </c>
      <c r="E2117" s="570">
        <v>17</v>
      </c>
      <c r="F2117" s="571" t="s">
        <v>221</v>
      </c>
      <c r="G2117" s="569" t="s">
        <v>207</v>
      </c>
      <c r="H2117" s="569" t="s">
        <v>212</v>
      </c>
      <c r="I2117" s="574">
        <v>0</v>
      </c>
    </row>
    <row r="2118" spans="1:9" ht="16" x14ac:dyDescent="0.2">
      <c r="A2118" s="561">
        <v>46098</v>
      </c>
      <c r="B2118" s="562">
        <v>2026</v>
      </c>
      <c r="C2118" s="563">
        <v>3</v>
      </c>
      <c r="D2118" s="564">
        <v>12</v>
      </c>
      <c r="E2118" s="564">
        <v>17</v>
      </c>
      <c r="F2118" s="565" t="s">
        <v>222</v>
      </c>
      <c r="G2118" s="563" t="s">
        <v>207</v>
      </c>
      <c r="H2118" s="563" t="s">
        <v>212</v>
      </c>
      <c r="I2118" s="573">
        <v>0</v>
      </c>
    </row>
    <row r="2119" spans="1:9" ht="16" x14ac:dyDescent="0.2">
      <c r="A2119" s="567">
        <v>46098</v>
      </c>
      <c r="B2119" s="568">
        <v>2026</v>
      </c>
      <c r="C2119" s="569">
        <v>3</v>
      </c>
      <c r="D2119" s="570">
        <v>12</v>
      </c>
      <c r="E2119" s="570">
        <v>17</v>
      </c>
      <c r="F2119" s="571" t="s">
        <v>223</v>
      </c>
      <c r="G2119" s="569" t="s">
        <v>207</v>
      </c>
      <c r="H2119" s="569" t="s">
        <v>212</v>
      </c>
      <c r="I2119" s="574">
        <v>0</v>
      </c>
    </row>
    <row r="2120" spans="1:9" ht="16" x14ac:dyDescent="0.2">
      <c r="A2120" s="561">
        <v>46098</v>
      </c>
      <c r="B2120" s="562">
        <v>2026</v>
      </c>
      <c r="C2120" s="563">
        <v>3</v>
      </c>
      <c r="D2120" s="564">
        <v>12</v>
      </c>
      <c r="E2120" s="564">
        <v>17</v>
      </c>
      <c r="F2120" s="565" t="s">
        <v>219</v>
      </c>
      <c r="G2120" s="563" t="s">
        <v>11</v>
      </c>
      <c r="H2120" s="563" t="s">
        <v>212</v>
      </c>
      <c r="I2120" s="573">
        <v>0</v>
      </c>
    </row>
    <row r="2121" spans="1:9" ht="16" x14ac:dyDescent="0.2">
      <c r="A2121" s="567">
        <v>46098</v>
      </c>
      <c r="B2121" s="568">
        <v>2026</v>
      </c>
      <c r="C2121" s="569">
        <v>3</v>
      </c>
      <c r="D2121" s="570">
        <v>12</v>
      </c>
      <c r="E2121" s="570">
        <v>17</v>
      </c>
      <c r="F2121" s="571" t="s">
        <v>19</v>
      </c>
      <c r="G2121" s="569" t="s">
        <v>19</v>
      </c>
      <c r="H2121" s="569" t="s">
        <v>214</v>
      </c>
      <c r="I2121" s="574">
        <v>11693592000</v>
      </c>
    </row>
    <row r="2122" spans="1:9" ht="16" x14ac:dyDescent="0.2">
      <c r="A2122" s="561">
        <v>46098</v>
      </c>
      <c r="B2122" s="562">
        <v>2026</v>
      </c>
      <c r="C2122" s="563">
        <v>3</v>
      </c>
      <c r="D2122" s="564">
        <v>12</v>
      </c>
      <c r="E2122" s="564">
        <v>17</v>
      </c>
      <c r="F2122" s="565" t="s">
        <v>62</v>
      </c>
      <c r="G2122" s="563" t="s">
        <v>62</v>
      </c>
      <c r="H2122" s="563" t="s">
        <v>216</v>
      </c>
      <c r="I2122" s="573">
        <v>155065377</v>
      </c>
    </row>
    <row r="2123" spans="1:9" ht="16" x14ac:dyDescent="0.2">
      <c r="A2123" s="567">
        <v>46098</v>
      </c>
      <c r="B2123" s="568">
        <v>2026</v>
      </c>
      <c r="C2123" s="569">
        <v>3</v>
      </c>
      <c r="D2123" s="570">
        <v>12</v>
      </c>
      <c r="E2123" s="570">
        <v>17</v>
      </c>
      <c r="F2123" s="571" t="s">
        <v>58</v>
      </c>
      <c r="G2123" s="569" t="s">
        <v>58</v>
      </c>
      <c r="H2123" s="569" t="s">
        <v>212</v>
      </c>
      <c r="I2123" s="574">
        <v>36750000</v>
      </c>
    </row>
    <row r="2124" spans="1:9" ht="16" x14ac:dyDescent="0.2">
      <c r="A2124" s="561">
        <v>46098</v>
      </c>
      <c r="B2124" s="562">
        <v>2026</v>
      </c>
      <c r="C2124" s="563">
        <v>3</v>
      </c>
      <c r="D2124" s="564">
        <v>12</v>
      </c>
      <c r="E2124" s="564">
        <v>17</v>
      </c>
      <c r="F2124" s="565" t="s">
        <v>61</v>
      </c>
      <c r="G2124" s="563" t="s">
        <v>61</v>
      </c>
      <c r="H2124" s="563" t="s">
        <v>214</v>
      </c>
      <c r="I2124" s="573">
        <v>45000000</v>
      </c>
    </row>
    <row r="2125" spans="1:9" ht="16" x14ac:dyDescent="0.2">
      <c r="A2125" s="567">
        <v>46098</v>
      </c>
      <c r="B2125" s="568">
        <v>2026</v>
      </c>
      <c r="C2125" s="569">
        <v>3</v>
      </c>
      <c r="D2125" s="570">
        <v>12</v>
      </c>
      <c r="E2125" s="570">
        <v>17</v>
      </c>
      <c r="F2125" s="571" t="s">
        <v>57</v>
      </c>
      <c r="G2125" s="569" t="s">
        <v>57</v>
      </c>
      <c r="H2125" s="569" t="s">
        <v>212</v>
      </c>
      <c r="I2125" s="574">
        <v>822140000</v>
      </c>
    </row>
    <row r="2126" spans="1:9" ht="16" x14ac:dyDescent="0.2">
      <c r="A2126" s="561">
        <v>46098</v>
      </c>
      <c r="B2126" s="562">
        <v>2026</v>
      </c>
      <c r="C2126" s="563">
        <v>3</v>
      </c>
      <c r="D2126" s="564">
        <v>12</v>
      </c>
      <c r="E2126" s="564">
        <v>17</v>
      </c>
      <c r="F2126" s="565" t="s">
        <v>63</v>
      </c>
      <c r="G2126" s="563" t="s">
        <v>63</v>
      </c>
      <c r="H2126" s="563" t="s">
        <v>214</v>
      </c>
      <c r="I2126" s="573">
        <v>332532000</v>
      </c>
    </row>
    <row r="2127" spans="1:9" ht="16" x14ac:dyDescent="0.2">
      <c r="A2127" s="567">
        <v>46098</v>
      </c>
      <c r="B2127" s="568">
        <v>2026</v>
      </c>
      <c r="C2127" s="569">
        <v>3</v>
      </c>
      <c r="D2127" s="570">
        <v>12</v>
      </c>
      <c r="E2127" s="570">
        <v>17</v>
      </c>
      <c r="F2127" s="571" t="s">
        <v>59</v>
      </c>
      <c r="G2127" s="569" t="s">
        <v>59</v>
      </c>
      <c r="H2127" s="569" t="s">
        <v>216</v>
      </c>
      <c r="I2127" s="574">
        <v>253690101</v>
      </c>
    </row>
    <row r="2128" spans="1:9" ht="16" x14ac:dyDescent="0.2">
      <c r="A2128" s="561">
        <v>46098</v>
      </c>
      <c r="B2128" s="562">
        <v>2026</v>
      </c>
      <c r="C2128" s="563">
        <v>3</v>
      </c>
      <c r="D2128" s="564">
        <v>12</v>
      </c>
      <c r="E2128" s="564">
        <v>17</v>
      </c>
      <c r="F2128" s="565" t="s">
        <v>31</v>
      </c>
      <c r="G2128" s="563" t="s">
        <v>175</v>
      </c>
      <c r="H2128" s="563" t="s">
        <v>212</v>
      </c>
      <c r="I2128" s="573">
        <v>3012840000</v>
      </c>
    </row>
    <row r="2129" spans="1:9" ht="16" x14ac:dyDescent="0.2">
      <c r="A2129" s="567">
        <v>46098</v>
      </c>
      <c r="B2129" s="568">
        <v>2026</v>
      </c>
      <c r="C2129" s="569">
        <v>3</v>
      </c>
      <c r="D2129" s="570">
        <v>12</v>
      </c>
      <c r="E2129" s="570">
        <v>17</v>
      </c>
      <c r="F2129" s="571" t="s">
        <v>234</v>
      </c>
      <c r="G2129" s="569" t="s">
        <v>210</v>
      </c>
      <c r="H2129" s="569" t="s">
        <v>214</v>
      </c>
      <c r="I2129" s="574">
        <v>308016000</v>
      </c>
    </row>
    <row r="2130" spans="1:9" ht="16" x14ac:dyDescent="0.2">
      <c r="A2130" s="561">
        <v>46099</v>
      </c>
      <c r="B2130" s="562">
        <v>2026</v>
      </c>
      <c r="C2130" s="563">
        <v>3</v>
      </c>
      <c r="D2130" s="564">
        <v>12</v>
      </c>
      <c r="E2130" s="564">
        <v>18</v>
      </c>
      <c r="F2130" s="565" t="s">
        <v>65</v>
      </c>
      <c r="G2130" s="563" t="s">
        <v>65</v>
      </c>
      <c r="H2130" s="563" t="s">
        <v>212</v>
      </c>
      <c r="I2130" s="573">
        <v>790190000</v>
      </c>
    </row>
    <row r="2131" spans="1:9" ht="16" x14ac:dyDescent="0.2">
      <c r="A2131" s="567">
        <v>46099</v>
      </c>
      <c r="B2131" s="568">
        <v>2026</v>
      </c>
      <c r="C2131" s="569">
        <v>3</v>
      </c>
      <c r="D2131" s="570">
        <v>12</v>
      </c>
      <c r="E2131" s="570">
        <v>18</v>
      </c>
      <c r="F2131" s="571" t="s">
        <v>66</v>
      </c>
      <c r="G2131" s="569" t="s">
        <v>66</v>
      </c>
      <c r="H2131" s="569" t="s">
        <v>216</v>
      </c>
      <c r="I2131" s="574">
        <v>296570474</v>
      </c>
    </row>
    <row r="2132" spans="1:9" ht="16" x14ac:dyDescent="0.2">
      <c r="A2132" s="561">
        <v>46099</v>
      </c>
      <c r="B2132" s="562">
        <v>2026</v>
      </c>
      <c r="C2132" s="563">
        <v>3</v>
      </c>
      <c r="D2132" s="564">
        <v>12</v>
      </c>
      <c r="E2132" s="564">
        <v>18</v>
      </c>
      <c r="F2132" s="565" t="s">
        <v>24</v>
      </c>
      <c r="G2132" s="563" t="s">
        <v>24</v>
      </c>
      <c r="H2132" s="563" t="s">
        <v>212</v>
      </c>
      <c r="I2132" s="573">
        <v>15602770000</v>
      </c>
    </row>
    <row r="2133" spans="1:9" ht="16" x14ac:dyDescent="0.2">
      <c r="A2133" s="567">
        <v>46099</v>
      </c>
      <c r="B2133" s="568">
        <v>2026</v>
      </c>
      <c r="C2133" s="569">
        <v>3</v>
      </c>
      <c r="D2133" s="570">
        <v>12</v>
      </c>
      <c r="E2133" s="570">
        <v>18</v>
      </c>
      <c r="F2133" s="571" t="s">
        <v>67</v>
      </c>
      <c r="G2133" s="569" t="s">
        <v>67</v>
      </c>
      <c r="H2133" s="569" t="s">
        <v>213</v>
      </c>
      <c r="I2133" s="574">
        <v>1479101155</v>
      </c>
    </row>
    <row r="2134" spans="1:9" ht="16" x14ac:dyDescent="0.2">
      <c r="A2134" s="561">
        <v>46099</v>
      </c>
      <c r="B2134" s="562">
        <v>2026</v>
      </c>
      <c r="C2134" s="563">
        <v>3</v>
      </c>
      <c r="D2134" s="564">
        <v>12</v>
      </c>
      <c r="E2134" s="564">
        <v>18</v>
      </c>
      <c r="F2134" s="565" t="s">
        <v>28</v>
      </c>
      <c r="G2134" s="563" t="s">
        <v>28</v>
      </c>
      <c r="H2134" s="563" t="s">
        <v>214</v>
      </c>
      <c r="I2134" s="573">
        <v>12733848000</v>
      </c>
    </row>
    <row r="2135" spans="1:9" ht="16" x14ac:dyDescent="0.2">
      <c r="A2135" s="567">
        <v>46099</v>
      </c>
      <c r="B2135" s="568">
        <v>2026</v>
      </c>
      <c r="C2135" s="569">
        <v>3</v>
      </c>
      <c r="D2135" s="570">
        <v>12</v>
      </c>
      <c r="E2135" s="570">
        <v>18</v>
      </c>
      <c r="F2135" s="571" t="s">
        <v>208</v>
      </c>
      <c r="G2135" s="569" t="s">
        <v>208</v>
      </c>
      <c r="H2135" s="569" t="s">
        <v>216</v>
      </c>
      <c r="I2135" s="574">
        <v>2074804</v>
      </c>
    </row>
    <row r="2136" spans="1:9" ht="16" x14ac:dyDescent="0.2">
      <c r="A2136" s="561">
        <v>46099</v>
      </c>
      <c r="B2136" s="562">
        <v>2026</v>
      </c>
      <c r="C2136" s="563">
        <v>3</v>
      </c>
      <c r="D2136" s="564">
        <v>12</v>
      </c>
      <c r="E2136" s="564">
        <v>18</v>
      </c>
      <c r="F2136" s="565" t="s">
        <v>60</v>
      </c>
      <c r="G2136" s="563" t="s">
        <v>60</v>
      </c>
      <c r="H2136" s="563" t="s">
        <v>212</v>
      </c>
      <c r="I2136" s="573">
        <v>0</v>
      </c>
    </row>
    <row r="2137" spans="1:9" ht="16" x14ac:dyDescent="0.2">
      <c r="A2137" s="567">
        <v>46099</v>
      </c>
      <c r="B2137" s="568">
        <v>2026</v>
      </c>
      <c r="C2137" s="569">
        <v>3</v>
      </c>
      <c r="D2137" s="570">
        <v>12</v>
      </c>
      <c r="E2137" s="570">
        <v>18</v>
      </c>
      <c r="F2137" s="571" t="s">
        <v>36</v>
      </c>
      <c r="G2137" s="569" t="s">
        <v>36</v>
      </c>
      <c r="H2137" s="569" t="s">
        <v>212</v>
      </c>
      <c r="I2137" s="574">
        <v>2304920000</v>
      </c>
    </row>
    <row r="2138" spans="1:9" ht="16" x14ac:dyDescent="0.2">
      <c r="A2138" s="561">
        <v>46099</v>
      </c>
      <c r="B2138" s="562">
        <v>2026</v>
      </c>
      <c r="C2138" s="563">
        <v>3</v>
      </c>
      <c r="D2138" s="564">
        <v>12</v>
      </c>
      <c r="E2138" s="564">
        <v>18</v>
      </c>
      <c r="F2138" s="565" t="s">
        <v>55</v>
      </c>
      <c r="G2138" s="563" t="s">
        <v>36</v>
      </c>
      <c r="H2138" s="563" t="s">
        <v>212</v>
      </c>
      <c r="I2138" s="573">
        <v>1060050000</v>
      </c>
    </row>
    <row r="2139" spans="1:9" ht="16" x14ac:dyDescent="0.2">
      <c r="A2139" s="567">
        <v>46099</v>
      </c>
      <c r="B2139" s="568">
        <v>2026</v>
      </c>
      <c r="C2139" s="569">
        <v>3</v>
      </c>
      <c r="D2139" s="570">
        <v>12</v>
      </c>
      <c r="E2139" s="570">
        <v>18</v>
      </c>
      <c r="F2139" s="571" t="s">
        <v>176</v>
      </c>
      <c r="G2139" s="569" t="s">
        <v>176</v>
      </c>
      <c r="H2139" s="569" t="s">
        <v>216</v>
      </c>
      <c r="I2139" s="574">
        <v>2390000</v>
      </c>
    </row>
    <row r="2140" spans="1:9" ht="16" x14ac:dyDescent="0.2">
      <c r="A2140" s="561">
        <v>46099</v>
      </c>
      <c r="B2140" s="562">
        <v>2026</v>
      </c>
      <c r="C2140" s="563">
        <v>3</v>
      </c>
      <c r="D2140" s="564">
        <v>12</v>
      </c>
      <c r="E2140" s="564">
        <v>18</v>
      </c>
      <c r="F2140" s="565" t="s">
        <v>39</v>
      </c>
      <c r="G2140" s="563" t="s">
        <v>176</v>
      </c>
      <c r="H2140" s="563" t="s">
        <v>216</v>
      </c>
      <c r="I2140" s="573">
        <v>861633067</v>
      </c>
    </row>
    <row r="2141" spans="1:9" ht="16" x14ac:dyDescent="0.2">
      <c r="A2141" s="567">
        <v>46099</v>
      </c>
      <c r="B2141" s="568">
        <v>2026</v>
      </c>
      <c r="C2141" s="569">
        <v>3</v>
      </c>
      <c r="D2141" s="570">
        <v>12</v>
      </c>
      <c r="E2141" s="570">
        <v>18</v>
      </c>
      <c r="F2141" s="571" t="s">
        <v>206</v>
      </c>
      <c r="G2141" s="569" t="s">
        <v>206</v>
      </c>
      <c r="H2141" s="569" t="s">
        <v>212</v>
      </c>
      <c r="I2141" s="574">
        <v>0</v>
      </c>
    </row>
    <row r="2142" spans="1:9" ht="16" x14ac:dyDescent="0.2">
      <c r="A2142" s="561">
        <v>46099</v>
      </c>
      <c r="B2142" s="562">
        <v>2026</v>
      </c>
      <c r="C2142" s="563">
        <v>3</v>
      </c>
      <c r="D2142" s="564">
        <v>12</v>
      </c>
      <c r="E2142" s="564">
        <v>18</v>
      </c>
      <c r="F2142" s="565" t="s">
        <v>64</v>
      </c>
      <c r="G2142" s="563" t="s">
        <v>209</v>
      </c>
      <c r="H2142" s="563" t="s">
        <v>212</v>
      </c>
      <c r="I2142" s="573">
        <v>57250000</v>
      </c>
    </row>
    <row r="2143" spans="1:9" ht="16" x14ac:dyDescent="0.2">
      <c r="A2143" s="567">
        <v>46099</v>
      </c>
      <c r="B2143" s="568">
        <v>2026</v>
      </c>
      <c r="C2143" s="569">
        <v>3</v>
      </c>
      <c r="D2143" s="570">
        <v>12</v>
      </c>
      <c r="E2143" s="570">
        <v>18</v>
      </c>
      <c r="F2143" s="571" t="s">
        <v>237</v>
      </c>
      <c r="G2143" s="569" t="s">
        <v>209</v>
      </c>
      <c r="H2143" s="569" t="s">
        <v>212</v>
      </c>
      <c r="I2143" s="574">
        <v>0</v>
      </c>
    </row>
    <row r="2144" spans="1:9" ht="16" x14ac:dyDescent="0.2">
      <c r="A2144" s="561">
        <v>46099</v>
      </c>
      <c r="B2144" s="562">
        <v>2026</v>
      </c>
      <c r="C2144" s="563">
        <v>3</v>
      </c>
      <c r="D2144" s="564">
        <v>12</v>
      </c>
      <c r="E2144" s="564">
        <v>18</v>
      </c>
      <c r="F2144" s="565" t="s">
        <v>11</v>
      </c>
      <c r="G2144" s="563" t="s">
        <v>11</v>
      </c>
      <c r="H2144" s="563" t="s">
        <v>212</v>
      </c>
      <c r="I2144" s="573">
        <v>18102430000</v>
      </c>
    </row>
    <row r="2145" spans="1:9" ht="16" x14ac:dyDescent="0.2">
      <c r="A2145" s="567">
        <v>46099</v>
      </c>
      <c r="B2145" s="568">
        <v>2026</v>
      </c>
      <c r="C2145" s="569">
        <v>3</v>
      </c>
      <c r="D2145" s="570">
        <v>12</v>
      </c>
      <c r="E2145" s="570">
        <v>18</v>
      </c>
      <c r="F2145" s="571" t="s">
        <v>221</v>
      </c>
      <c r="G2145" s="569" t="s">
        <v>207</v>
      </c>
      <c r="H2145" s="569" t="s">
        <v>212</v>
      </c>
      <c r="I2145" s="574">
        <v>0</v>
      </c>
    </row>
    <row r="2146" spans="1:9" ht="16" x14ac:dyDescent="0.2">
      <c r="A2146" s="561">
        <v>46099</v>
      </c>
      <c r="B2146" s="562">
        <v>2026</v>
      </c>
      <c r="C2146" s="563">
        <v>3</v>
      </c>
      <c r="D2146" s="564">
        <v>12</v>
      </c>
      <c r="E2146" s="564">
        <v>18</v>
      </c>
      <c r="F2146" s="565" t="s">
        <v>222</v>
      </c>
      <c r="G2146" s="563" t="s">
        <v>207</v>
      </c>
      <c r="H2146" s="563" t="s">
        <v>212</v>
      </c>
      <c r="I2146" s="573">
        <v>0</v>
      </c>
    </row>
    <row r="2147" spans="1:9" ht="16" x14ac:dyDescent="0.2">
      <c r="A2147" s="567">
        <v>46099</v>
      </c>
      <c r="B2147" s="568">
        <v>2026</v>
      </c>
      <c r="C2147" s="569">
        <v>3</v>
      </c>
      <c r="D2147" s="570">
        <v>12</v>
      </c>
      <c r="E2147" s="570">
        <v>18</v>
      </c>
      <c r="F2147" s="571" t="s">
        <v>223</v>
      </c>
      <c r="G2147" s="569" t="s">
        <v>207</v>
      </c>
      <c r="H2147" s="569" t="s">
        <v>212</v>
      </c>
      <c r="I2147" s="574">
        <v>0</v>
      </c>
    </row>
    <row r="2148" spans="1:9" ht="16" x14ac:dyDescent="0.2">
      <c r="A2148" s="561">
        <v>46099</v>
      </c>
      <c r="B2148" s="562">
        <v>2026</v>
      </c>
      <c r="C2148" s="563">
        <v>3</v>
      </c>
      <c r="D2148" s="564">
        <v>12</v>
      </c>
      <c r="E2148" s="564">
        <v>18</v>
      </c>
      <c r="F2148" s="565" t="s">
        <v>219</v>
      </c>
      <c r="G2148" s="563" t="s">
        <v>11</v>
      </c>
      <c r="H2148" s="563" t="s">
        <v>212</v>
      </c>
      <c r="I2148" s="573">
        <v>0</v>
      </c>
    </row>
    <row r="2149" spans="1:9" ht="16" x14ac:dyDescent="0.2">
      <c r="A2149" s="567">
        <v>46099</v>
      </c>
      <c r="B2149" s="568">
        <v>2026</v>
      </c>
      <c r="C2149" s="569">
        <v>3</v>
      </c>
      <c r="D2149" s="570">
        <v>12</v>
      </c>
      <c r="E2149" s="570">
        <v>18</v>
      </c>
      <c r="F2149" s="571" t="s">
        <v>19</v>
      </c>
      <c r="G2149" s="569" t="s">
        <v>19</v>
      </c>
      <c r="H2149" s="569" t="s">
        <v>214</v>
      </c>
      <c r="I2149" s="574">
        <v>11252088000</v>
      </c>
    </row>
    <row r="2150" spans="1:9" ht="16" x14ac:dyDescent="0.2">
      <c r="A2150" s="561">
        <v>46099</v>
      </c>
      <c r="B2150" s="562">
        <v>2026</v>
      </c>
      <c r="C2150" s="563">
        <v>3</v>
      </c>
      <c r="D2150" s="564">
        <v>12</v>
      </c>
      <c r="E2150" s="564">
        <v>18</v>
      </c>
      <c r="F2150" s="565" t="s">
        <v>62</v>
      </c>
      <c r="G2150" s="563" t="s">
        <v>62</v>
      </c>
      <c r="H2150" s="563" t="s">
        <v>216</v>
      </c>
      <c r="I2150" s="573">
        <v>133540913</v>
      </c>
    </row>
    <row r="2151" spans="1:9" ht="16" x14ac:dyDescent="0.2">
      <c r="A2151" s="567">
        <v>46099</v>
      </c>
      <c r="B2151" s="568">
        <v>2026</v>
      </c>
      <c r="C2151" s="569">
        <v>3</v>
      </c>
      <c r="D2151" s="570">
        <v>12</v>
      </c>
      <c r="E2151" s="570">
        <v>18</v>
      </c>
      <c r="F2151" s="571" t="s">
        <v>58</v>
      </c>
      <c r="G2151" s="569" t="s">
        <v>58</v>
      </c>
      <c r="H2151" s="569" t="s">
        <v>212</v>
      </c>
      <c r="I2151" s="574">
        <v>68250000</v>
      </c>
    </row>
    <row r="2152" spans="1:9" ht="16" x14ac:dyDescent="0.2">
      <c r="A2152" s="561">
        <v>46099</v>
      </c>
      <c r="B2152" s="562">
        <v>2026</v>
      </c>
      <c r="C2152" s="563">
        <v>3</v>
      </c>
      <c r="D2152" s="564">
        <v>12</v>
      </c>
      <c r="E2152" s="564">
        <v>18</v>
      </c>
      <c r="F2152" s="565" t="s">
        <v>61</v>
      </c>
      <c r="G2152" s="563" t="s">
        <v>61</v>
      </c>
      <c r="H2152" s="563" t="s">
        <v>214</v>
      </c>
      <c r="I2152" s="573">
        <v>41000000</v>
      </c>
    </row>
    <row r="2153" spans="1:9" ht="16" x14ac:dyDescent="0.2">
      <c r="A2153" s="567">
        <v>46099</v>
      </c>
      <c r="B2153" s="568">
        <v>2026</v>
      </c>
      <c r="C2153" s="569">
        <v>3</v>
      </c>
      <c r="D2153" s="570">
        <v>12</v>
      </c>
      <c r="E2153" s="570">
        <v>18</v>
      </c>
      <c r="F2153" s="571" t="s">
        <v>57</v>
      </c>
      <c r="G2153" s="569" t="s">
        <v>57</v>
      </c>
      <c r="H2153" s="569" t="s">
        <v>212</v>
      </c>
      <c r="I2153" s="574">
        <v>843090000</v>
      </c>
    </row>
    <row r="2154" spans="1:9" ht="16" x14ac:dyDescent="0.2">
      <c r="A2154" s="561">
        <v>46099</v>
      </c>
      <c r="B2154" s="562">
        <v>2026</v>
      </c>
      <c r="C2154" s="563">
        <v>3</v>
      </c>
      <c r="D2154" s="564">
        <v>12</v>
      </c>
      <c r="E2154" s="564">
        <v>18</v>
      </c>
      <c r="F2154" s="565" t="s">
        <v>63</v>
      </c>
      <c r="G2154" s="563" t="s">
        <v>63</v>
      </c>
      <c r="H2154" s="563" t="s">
        <v>214</v>
      </c>
      <c r="I2154" s="573">
        <v>337176000</v>
      </c>
    </row>
    <row r="2155" spans="1:9" ht="16" x14ac:dyDescent="0.2">
      <c r="A2155" s="567">
        <v>46099</v>
      </c>
      <c r="B2155" s="568">
        <v>2026</v>
      </c>
      <c r="C2155" s="569">
        <v>3</v>
      </c>
      <c r="D2155" s="570">
        <v>12</v>
      </c>
      <c r="E2155" s="570">
        <v>18</v>
      </c>
      <c r="F2155" s="571" t="s">
        <v>59</v>
      </c>
      <c r="G2155" s="569" t="s">
        <v>59</v>
      </c>
      <c r="H2155" s="569" t="s">
        <v>216</v>
      </c>
      <c r="I2155" s="574">
        <v>206571311</v>
      </c>
    </row>
    <row r="2156" spans="1:9" ht="16" x14ac:dyDescent="0.2">
      <c r="A2156" s="561">
        <v>46099</v>
      </c>
      <c r="B2156" s="562">
        <v>2026</v>
      </c>
      <c r="C2156" s="563">
        <v>3</v>
      </c>
      <c r="D2156" s="564">
        <v>12</v>
      </c>
      <c r="E2156" s="564">
        <v>18</v>
      </c>
      <c r="F2156" s="565" t="s">
        <v>31</v>
      </c>
      <c r="G2156" s="563" t="s">
        <v>175</v>
      </c>
      <c r="H2156" s="563" t="s">
        <v>212</v>
      </c>
      <c r="I2156" s="573">
        <v>2777110000</v>
      </c>
    </row>
    <row r="2157" spans="1:9" ht="16" x14ac:dyDescent="0.2">
      <c r="A2157" s="567">
        <v>46099</v>
      </c>
      <c r="B2157" s="568">
        <v>2026</v>
      </c>
      <c r="C2157" s="569">
        <v>3</v>
      </c>
      <c r="D2157" s="570">
        <v>12</v>
      </c>
      <c r="E2157" s="570">
        <v>18</v>
      </c>
      <c r="F2157" s="571" t="s">
        <v>234</v>
      </c>
      <c r="G2157" s="569" t="s">
        <v>210</v>
      </c>
      <c r="H2157" s="569" t="s">
        <v>214</v>
      </c>
      <c r="I2157" s="574">
        <v>326268000</v>
      </c>
    </row>
    <row r="2158" spans="1:9" ht="16" x14ac:dyDescent="0.2">
      <c r="A2158" s="561">
        <v>46100</v>
      </c>
      <c r="B2158" s="562">
        <v>2026</v>
      </c>
      <c r="C2158" s="563">
        <v>3</v>
      </c>
      <c r="D2158" s="564">
        <v>12</v>
      </c>
      <c r="E2158" s="564">
        <v>19</v>
      </c>
      <c r="F2158" s="565" t="s">
        <v>65</v>
      </c>
      <c r="G2158" s="563" t="s">
        <v>65</v>
      </c>
      <c r="H2158" s="563" t="s">
        <v>212</v>
      </c>
      <c r="I2158" s="573">
        <v>753550000</v>
      </c>
    </row>
    <row r="2159" spans="1:9" ht="16" x14ac:dyDescent="0.2">
      <c r="A2159" s="567">
        <v>46100</v>
      </c>
      <c r="B2159" s="568">
        <v>2026</v>
      </c>
      <c r="C2159" s="569">
        <v>3</v>
      </c>
      <c r="D2159" s="570">
        <v>12</v>
      </c>
      <c r="E2159" s="570">
        <v>19</v>
      </c>
      <c r="F2159" s="571" t="s">
        <v>66</v>
      </c>
      <c r="G2159" s="569" t="s">
        <v>66</v>
      </c>
      <c r="H2159" s="569" t="s">
        <v>216</v>
      </c>
      <c r="I2159" s="574">
        <v>306159731</v>
      </c>
    </row>
    <row r="2160" spans="1:9" ht="16" x14ac:dyDescent="0.2">
      <c r="A2160" s="561">
        <v>46100</v>
      </c>
      <c r="B2160" s="562">
        <v>2026</v>
      </c>
      <c r="C2160" s="563">
        <v>3</v>
      </c>
      <c r="D2160" s="564">
        <v>12</v>
      </c>
      <c r="E2160" s="564">
        <v>19</v>
      </c>
      <c r="F2160" s="565" t="s">
        <v>24</v>
      </c>
      <c r="G2160" s="563" t="s">
        <v>24</v>
      </c>
      <c r="H2160" s="563" t="s">
        <v>212</v>
      </c>
      <c r="I2160" s="573">
        <v>16671240000</v>
      </c>
    </row>
    <row r="2161" spans="1:9" ht="16" x14ac:dyDescent="0.2">
      <c r="A2161" s="567">
        <v>46100</v>
      </c>
      <c r="B2161" s="568">
        <v>2026</v>
      </c>
      <c r="C2161" s="569">
        <v>3</v>
      </c>
      <c r="D2161" s="570">
        <v>12</v>
      </c>
      <c r="E2161" s="570">
        <v>19</v>
      </c>
      <c r="F2161" s="571" t="s">
        <v>67</v>
      </c>
      <c r="G2161" s="569" t="s">
        <v>67</v>
      </c>
      <c r="H2161" s="569" t="s">
        <v>213</v>
      </c>
      <c r="I2161" s="574">
        <v>1463978226</v>
      </c>
    </row>
    <row r="2162" spans="1:9" ht="16" x14ac:dyDescent="0.2">
      <c r="A2162" s="561">
        <v>46100</v>
      </c>
      <c r="B2162" s="562">
        <v>2026</v>
      </c>
      <c r="C2162" s="563">
        <v>3</v>
      </c>
      <c r="D2162" s="564">
        <v>12</v>
      </c>
      <c r="E2162" s="564">
        <v>19</v>
      </c>
      <c r="F2162" s="565" t="s">
        <v>28</v>
      </c>
      <c r="G2162" s="563" t="s">
        <v>28</v>
      </c>
      <c r="H2162" s="563" t="s">
        <v>214</v>
      </c>
      <c r="I2162" s="573">
        <v>12993696000</v>
      </c>
    </row>
    <row r="2163" spans="1:9" ht="16" x14ac:dyDescent="0.2">
      <c r="A2163" s="567">
        <v>46100</v>
      </c>
      <c r="B2163" s="568">
        <v>2026</v>
      </c>
      <c r="C2163" s="569">
        <v>3</v>
      </c>
      <c r="D2163" s="570">
        <v>12</v>
      </c>
      <c r="E2163" s="570">
        <v>19</v>
      </c>
      <c r="F2163" s="571" t="s">
        <v>208</v>
      </c>
      <c r="G2163" s="569" t="s">
        <v>208</v>
      </c>
      <c r="H2163" s="569" t="s">
        <v>216</v>
      </c>
      <c r="I2163" s="574">
        <v>0</v>
      </c>
    </row>
    <row r="2164" spans="1:9" ht="16" x14ac:dyDescent="0.2">
      <c r="A2164" s="561">
        <v>46100</v>
      </c>
      <c r="B2164" s="562">
        <v>2026</v>
      </c>
      <c r="C2164" s="563">
        <v>3</v>
      </c>
      <c r="D2164" s="564">
        <v>12</v>
      </c>
      <c r="E2164" s="564">
        <v>19</v>
      </c>
      <c r="F2164" s="565" t="s">
        <v>60</v>
      </c>
      <c r="G2164" s="563" t="s">
        <v>60</v>
      </c>
      <c r="H2164" s="563" t="s">
        <v>212</v>
      </c>
      <c r="I2164" s="573">
        <v>0</v>
      </c>
    </row>
    <row r="2165" spans="1:9" ht="16" x14ac:dyDescent="0.2">
      <c r="A2165" s="567">
        <v>46100</v>
      </c>
      <c r="B2165" s="568">
        <v>2026</v>
      </c>
      <c r="C2165" s="569">
        <v>3</v>
      </c>
      <c r="D2165" s="570">
        <v>12</v>
      </c>
      <c r="E2165" s="570">
        <v>19</v>
      </c>
      <c r="F2165" s="571" t="s">
        <v>36</v>
      </c>
      <c r="G2165" s="569" t="s">
        <v>36</v>
      </c>
      <c r="H2165" s="569" t="s">
        <v>212</v>
      </c>
      <c r="I2165" s="574">
        <v>2331900000</v>
      </c>
    </row>
    <row r="2166" spans="1:9" ht="16" x14ac:dyDescent="0.2">
      <c r="A2166" s="561">
        <v>46100</v>
      </c>
      <c r="B2166" s="562">
        <v>2026</v>
      </c>
      <c r="C2166" s="563">
        <v>3</v>
      </c>
      <c r="D2166" s="564">
        <v>12</v>
      </c>
      <c r="E2166" s="564">
        <v>19</v>
      </c>
      <c r="F2166" s="565" t="s">
        <v>55</v>
      </c>
      <c r="G2166" s="563" t="s">
        <v>36</v>
      </c>
      <c r="H2166" s="563" t="s">
        <v>212</v>
      </c>
      <c r="I2166" s="573">
        <v>646270000</v>
      </c>
    </row>
    <row r="2167" spans="1:9" ht="16" x14ac:dyDescent="0.2">
      <c r="A2167" s="567">
        <v>46100</v>
      </c>
      <c r="B2167" s="568">
        <v>2026</v>
      </c>
      <c r="C2167" s="569">
        <v>3</v>
      </c>
      <c r="D2167" s="570">
        <v>12</v>
      </c>
      <c r="E2167" s="570">
        <v>19</v>
      </c>
      <c r="F2167" s="571" t="s">
        <v>176</v>
      </c>
      <c r="G2167" s="569" t="s">
        <v>176</v>
      </c>
      <c r="H2167" s="569" t="s">
        <v>216</v>
      </c>
      <c r="I2167" s="574">
        <v>0</v>
      </c>
    </row>
    <row r="2168" spans="1:9" ht="16" x14ac:dyDescent="0.2">
      <c r="A2168" s="561">
        <v>46100</v>
      </c>
      <c r="B2168" s="562">
        <v>2026</v>
      </c>
      <c r="C2168" s="563">
        <v>3</v>
      </c>
      <c r="D2168" s="564">
        <v>12</v>
      </c>
      <c r="E2168" s="564">
        <v>19</v>
      </c>
      <c r="F2168" s="565" t="s">
        <v>39</v>
      </c>
      <c r="G2168" s="563" t="s">
        <v>176</v>
      </c>
      <c r="H2168" s="563" t="s">
        <v>216</v>
      </c>
      <c r="I2168" s="573">
        <v>714632375</v>
      </c>
    </row>
    <row r="2169" spans="1:9" ht="16" x14ac:dyDescent="0.2">
      <c r="A2169" s="567">
        <v>46100</v>
      </c>
      <c r="B2169" s="568">
        <v>2026</v>
      </c>
      <c r="C2169" s="569">
        <v>3</v>
      </c>
      <c r="D2169" s="570">
        <v>12</v>
      </c>
      <c r="E2169" s="570">
        <v>19</v>
      </c>
      <c r="F2169" s="571" t="s">
        <v>206</v>
      </c>
      <c r="G2169" s="569" t="s">
        <v>206</v>
      </c>
      <c r="H2169" s="569" t="s">
        <v>212</v>
      </c>
      <c r="I2169" s="574">
        <v>0</v>
      </c>
    </row>
    <row r="2170" spans="1:9" ht="16" x14ac:dyDescent="0.2">
      <c r="A2170" s="561">
        <v>46100</v>
      </c>
      <c r="B2170" s="562">
        <v>2026</v>
      </c>
      <c r="C2170" s="563">
        <v>3</v>
      </c>
      <c r="D2170" s="564">
        <v>12</v>
      </c>
      <c r="E2170" s="564">
        <v>19</v>
      </c>
      <c r="F2170" s="565" t="s">
        <v>64</v>
      </c>
      <c r="G2170" s="563" t="s">
        <v>209</v>
      </c>
      <c r="H2170" s="563" t="s">
        <v>212</v>
      </c>
      <c r="I2170" s="573">
        <v>30750000</v>
      </c>
    </row>
    <row r="2171" spans="1:9" ht="16" x14ac:dyDescent="0.2">
      <c r="A2171" s="567">
        <v>46100</v>
      </c>
      <c r="B2171" s="568">
        <v>2026</v>
      </c>
      <c r="C2171" s="569">
        <v>3</v>
      </c>
      <c r="D2171" s="570">
        <v>12</v>
      </c>
      <c r="E2171" s="570">
        <v>19</v>
      </c>
      <c r="F2171" s="571" t="s">
        <v>237</v>
      </c>
      <c r="G2171" s="569" t="s">
        <v>209</v>
      </c>
      <c r="H2171" s="569" t="s">
        <v>212</v>
      </c>
      <c r="I2171" s="574">
        <v>90000000</v>
      </c>
    </row>
    <row r="2172" spans="1:9" ht="16" x14ac:dyDescent="0.2">
      <c r="A2172" s="561">
        <v>46100</v>
      </c>
      <c r="B2172" s="562">
        <v>2026</v>
      </c>
      <c r="C2172" s="563">
        <v>3</v>
      </c>
      <c r="D2172" s="564">
        <v>12</v>
      </c>
      <c r="E2172" s="564">
        <v>19</v>
      </c>
      <c r="F2172" s="565" t="s">
        <v>11</v>
      </c>
      <c r="G2172" s="563" t="s">
        <v>11</v>
      </c>
      <c r="H2172" s="563" t="s">
        <v>212</v>
      </c>
      <c r="I2172" s="573">
        <v>17639360000</v>
      </c>
    </row>
    <row r="2173" spans="1:9" ht="16" x14ac:dyDescent="0.2">
      <c r="A2173" s="567">
        <v>46100</v>
      </c>
      <c r="B2173" s="568">
        <v>2026</v>
      </c>
      <c r="C2173" s="569">
        <v>3</v>
      </c>
      <c r="D2173" s="570">
        <v>12</v>
      </c>
      <c r="E2173" s="570">
        <v>19</v>
      </c>
      <c r="F2173" s="571" t="s">
        <v>221</v>
      </c>
      <c r="G2173" s="569" t="s">
        <v>207</v>
      </c>
      <c r="H2173" s="569" t="s">
        <v>212</v>
      </c>
      <c r="I2173" s="574">
        <v>0</v>
      </c>
    </row>
    <row r="2174" spans="1:9" ht="16" x14ac:dyDescent="0.2">
      <c r="A2174" s="561">
        <v>46100</v>
      </c>
      <c r="B2174" s="562">
        <v>2026</v>
      </c>
      <c r="C2174" s="563">
        <v>3</v>
      </c>
      <c r="D2174" s="564">
        <v>12</v>
      </c>
      <c r="E2174" s="564">
        <v>19</v>
      </c>
      <c r="F2174" s="565" t="s">
        <v>222</v>
      </c>
      <c r="G2174" s="563" t="s">
        <v>207</v>
      </c>
      <c r="H2174" s="563" t="s">
        <v>212</v>
      </c>
      <c r="I2174" s="573">
        <v>0</v>
      </c>
    </row>
    <row r="2175" spans="1:9" ht="16" x14ac:dyDescent="0.2">
      <c r="A2175" s="567">
        <v>46100</v>
      </c>
      <c r="B2175" s="568">
        <v>2026</v>
      </c>
      <c r="C2175" s="569">
        <v>3</v>
      </c>
      <c r="D2175" s="570">
        <v>12</v>
      </c>
      <c r="E2175" s="570">
        <v>19</v>
      </c>
      <c r="F2175" s="571" t="s">
        <v>223</v>
      </c>
      <c r="G2175" s="569" t="s">
        <v>207</v>
      </c>
      <c r="H2175" s="569" t="s">
        <v>212</v>
      </c>
      <c r="I2175" s="574">
        <v>0</v>
      </c>
    </row>
    <row r="2176" spans="1:9" ht="16" x14ac:dyDescent="0.2">
      <c r="A2176" s="561">
        <v>46100</v>
      </c>
      <c r="B2176" s="562">
        <v>2026</v>
      </c>
      <c r="C2176" s="563">
        <v>3</v>
      </c>
      <c r="D2176" s="564">
        <v>12</v>
      </c>
      <c r="E2176" s="564">
        <v>19</v>
      </c>
      <c r="F2176" s="565" t="s">
        <v>219</v>
      </c>
      <c r="G2176" s="563" t="s">
        <v>11</v>
      </c>
      <c r="H2176" s="563" t="s">
        <v>212</v>
      </c>
      <c r="I2176" s="573">
        <v>0</v>
      </c>
    </row>
    <row r="2177" spans="1:9" ht="16" x14ac:dyDescent="0.2">
      <c r="A2177" s="567">
        <v>46100</v>
      </c>
      <c r="B2177" s="568">
        <v>2026</v>
      </c>
      <c r="C2177" s="569">
        <v>3</v>
      </c>
      <c r="D2177" s="570">
        <v>12</v>
      </c>
      <c r="E2177" s="570">
        <v>19</v>
      </c>
      <c r="F2177" s="571" t="s">
        <v>19</v>
      </c>
      <c r="G2177" s="569" t="s">
        <v>19</v>
      </c>
      <c r="H2177" s="569" t="s">
        <v>214</v>
      </c>
      <c r="I2177" s="574">
        <v>10874196000</v>
      </c>
    </row>
    <row r="2178" spans="1:9" ht="16" x14ac:dyDescent="0.2">
      <c r="A2178" s="561">
        <v>46100</v>
      </c>
      <c r="B2178" s="562">
        <v>2026</v>
      </c>
      <c r="C2178" s="563">
        <v>3</v>
      </c>
      <c r="D2178" s="564">
        <v>12</v>
      </c>
      <c r="E2178" s="564">
        <v>19</v>
      </c>
      <c r="F2178" s="565" t="s">
        <v>62</v>
      </c>
      <c r="G2178" s="563" t="s">
        <v>62</v>
      </c>
      <c r="H2178" s="563" t="s">
        <v>216</v>
      </c>
      <c r="I2178" s="573">
        <v>129135792</v>
      </c>
    </row>
    <row r="2179" spans="1:9" ht="16" x14ac:dyDescent="0.2">
      <c r="A2179" s="567">
        <v>46100</v>
      </c>
      <c r="B2179" s="568">
        <v>2026</v>
      </c>
      <c r="C2179" s="569">
        <v>3</v>
      </c>
      <c r="D2179" s="570">
        <v>12</v>
      </c>
      <c r="E2179" s="570">
        <v>19</v>
      </c>
      <c r="F2179" s="571" t="s">
        <v>58</v>
      </c>
      <c r="G2179" s="569" t="s">
        <v>58</v>
      </c>
      <c r="H2179" s="569" t="s">
        <v>212</v>
      </c>
      <c r="I2179" s="574">
        <v>42000000</v>
      </c>
    </row>
    <row r="2180" spans="1:9" ht="16" x14ac:dyDescent="0.2">
      <c r="A2180" s="561">
        <v>46100</v>
      </c>
      <c r="B2180" s="562">
        <v>2026</v>
      </c>
      <c r="C2180" s="563">
        <v>3</v>
      </c>
      <c r="D2180" s="564">
        <v>12</v>
      </c>
      <c r="E2180" s="564">
        <v>19</v>
      </c>
      <c r="F2180" s="565" t="s">
        <v>61</v>
      </c>
      <c r="G2180" s="563" t="s">
        <v>61</v>
      </c>
      <c r="H2180" s="563" t="s">
        <v>214</v>
      </c>
      <c r="I2180" s="573">
        <v>58000000</v>
      </c>
    </row>
    <row r="2181" spans="1:9" ht="16" x14ac:dyDescent="0.2">
      <c r="A2181" s="567">
        <v>46100</v>
      </c>
      <c r="B2181" s="568">
        <v>2026</v>
      </c>
      <c r="C2181" s="569">
        <v>3</v>
      </c>
      <c r="D2181" s="570">
        <v>12</v>
      </c>
      <c r="E2181" s="570">
        <v>19</v>
      </c>
      <c r="F2181" s="571" t="s">
        <v>57</v>
      </c>
      <c r="G2181" s="569" t="s">
        <v>57</v>
      </c>
      <c r="H2181" s="569" t="s">
        <v>212</v>
      </c>
      <c r="I2181" s="574">
        <v>810750000</v>
      </c>
    </row>
    <row r="2182" spans="1:9" ht="16" x14ac:dyDescent="0.2">
      <c r="A2182" s="561">
        <v>46100</v>
      </c>
      <c r="B2182" s="562">
        <v>2026</v>
      </c>
      <c r="C2182" s="563">
        <v>3</v>
      </c>
      <c r="D2182" s="564">
        <v>12</v>
      </c>
      <c r="E2182" s="564">
        <v>19</v>
      </c>
      <c r="F2182" s="565" t="s">
        <v>63</v>
      </c>
      <c r="G2182" s="563" t="s">
        <v>63</v>
      </c>
      <c r="H2182" s="563" t="s">
        <v>214</v>
      </c>
      <c r="I2182" s="573">
        <v>306396000</v>
      </c>
    </row>
    <row r="2183" spans="1:9" ht="16" x14ac:dyDescent="0.2">
      <c r="A2183" s="567">
        <v>46100</v>
      </c>
      <c r="B2183" s="568">
        <v>2026</v>
      </c>
      <c r="C2183" s="569">
        <v>3</v>
      </c>
      <c r="D2183" s="570">
        <v>12</v>
      </c>
      <c r="E2183" s="570">
        <v>19</v>
      </c>
      <c r="F2183" s="571" t="s">
        <v>59</v>
      </c>
      <c r="G2183" s="569" t="s">
        <v>59</v>
      </c>
      <c r="H2183" s="569" t="s">
        <v>216</v>
      </c>
      <c r="I2183" s="574">
        <v>237133397</v>
      </c>
    </row>
    <row r="2184" spans="1:9" ht="16" x14ac:dyDescent="0.2">
      <c r="A2184" s="561">
        <v>46100</v>
      </c>
      <c r="B2184" s="562">
        <v>2026</v>
      </c>
      <c r="C2184" s="563">
        <v>3</v>
      </c>
      <c r="D2184" s="564">
        <v>12</v>
      </c>
      <c r="E2184" s="564">
        <v>19</v>
      </c>
      <c r="F2184" s="565" t="s">
        <v>31</v>
      </c>
      <c r="G2184" s="563" t="s">
        <v>175</v>
      </c>
      <c r="H2184" s="563" t="s">
        <v>212</v>
      </c>
      <c r="I2184" s="573">
        <v>3403850000</v>
      </c>
    </row>
    <row r="2185" spans="1:9" ht="16" x14ac:dyDescent="0.2">
      <c r="A2185" s="567">
        <v>46100</v>
      </c>
      <c r="B2185" s="568">
        <v>2026</v>
      </c>
      <c r="C2185" s="569">
        <v>3</v>
      </c>
      <c r="D2185" s="570">
        <v>12</v>
      </c>
      <c r="E2185" s="570">
        <v>19</v>
      </c>
      <c r="F2185" s="571" t="s">
        <v>234</v>
      </c>
      <c r="G2185" s="569" t="s">
        <v>210</v>
      </c>
      <c r="H2185" s="569" t="s">
        <v>214</v>
      </c>
      <c r="I2185" s="574">
        <v>370116000</v>
      </c>
    </row>
    <row r="2186" spans="1:9" ht="16" x14ac:dyDescent="0.2">
      <c r="A2186" s="561">
        <v>46101</v>
      </c>
      <c r="B2186" s="562">
        <v>2026</v>
      </c>
      <c r="C2186" s="563">
        <v>3</v>
      </c>
      <c r="D2186" s="564">
        <v>12</v>
      </c>
      <c r="E2186" s="564">
        <v>20</v>
      </c>
      <c r="F2186" s="565" t="s">
        <v>65</v>
      </c>
      <c r="G2186" s="563" t="s">
        <v>65</v>
      </c>
      <c r="H2186" s="563" t="s">
        <v>212</v>
      </c>
      <c r="I2186" s="573">
        <v>655130000</v>
      </c>
    </row>
    <row r="2187" spans="1:9" ht="16" x14ac:dyDescent="0.2">
      <c r="A2187" s="567">
        <v>46101</v>
      </c>
      <c r="B2187" s="568">
        <v>2026</v>
      </c>
      <c r="C2187" s="569">
        <v>3</v>
      </c>
      <c r="D2187" s="570">
        <v>12</v>
      </c>
      <c r="E2187" s="570">
        <v>20</v>
      </c>
      <c r="F2187" s="571" t="s">
        <v>66</v>
      </c>
      <c r="G2187" s="569" t="s">
        <v>66</v>
      </c>
      <c r="H2187" s="569" t="s">
        <v>216</v>
      </c>
      <c r="I2187" s="574">
        <v>333714600</v>
      </c>
    </row>
    <row r="2188" spans="1:9" ht="16" x14ac:dyDescent="0.2">
      <c r="A2188" s="561">
        <v>46101</v>
      </c>
      <c r="B2188" s="562">
        <v>2026</v>
      </c>
      <c r="C2188" s="563">
        <v>3</v>
      </c>
      <c r="D2188" s="564">
        <v>12</v>
      </c>
      <c r="E2188" s="564">
        <v>20</v>
      </c>
      <c r="F2188" s="565" t="s">
        <v>24</v>
      </c>
      <c r="G2188" s="563" t="s">
        <v>24</v>
      </c>
      <c r="H2188" s="563" t="s">
        <v>212</v>
      </c>
      <c r="I2188" s="573">
        <v>23880010000</v>
      </c>
    </row>
    <row r="2189" spans="1:9" ht="16" x14ac:dyDescent="0.2">
      <c r="A2189" s="567">
        <v>46101</v>
      </c>
      <c r="B2189" s="568">
        <v>2026</v>
      </c>
      <c r="C2189" s="569">
        <v>3</v>
      </c>
      <c r="D2189" s="570">
        <v>12</v>
      </c>
      <c r="E2189" s="570">
        <v>20</v>
      </c>
      <c r="F2189" s="571" t="s">
        <v>67</v>
      </c>
      <c r="G2189" s="569" t="s">
        <v>67</v>
      </c>
      <c r="H2189" s="569" t="s">
        <v>213</v>
      </c>
      <c r="I2189" s="574">
        <v>1567932673</v>
      </c>
    </row>
    <row r="2190" spans="1:9" ht="16" x14ac:dyDescent="0.2">
      <c r="A2190" s="561">
        <v>46101</v>
      </c>
      <c r="B2190" s="562">
        <v>2026</v>
      </c>
      <c r="C2190" s="563">
        <v>3</v>
      </c>
      <c r="D2190" s="564">
        <v>12</v>
      </c>
      <c r="E2190" s="564">
        <v>20</v>
      </c>
      <c r="F2190" s="565" t="s">
        <v>28</v>
      </c>
      <c r="G2190" s="563" t="s">
        <v>28</v>
      </c>
      <c r="H2190" s="563" t="s">
        <v>214</v>
      </c>
      <c r="I2190" s="573">
        <v>13876920000</v>
      </c>
    </row>
    <row r="2191" spans="1:9" ht="16" x14ac:dyDescent="0.2">
      <c r="A2191" s="567">
        <v>46101</v>
      </c>
      <c r="B2191" s="568">
        <v>2026</v>
      </c>
      <c r="C2191" s="569">
        <v>3</v>
      </c>
      <c r="D2191" s="570">
        <v>12</v>
      </c>
      <c r="E2191" s="570">
        <v>20</v>
      </c>
      <c r="F2191" s="571" t="s">
        <v>208</v>
      </c>
      <c r="G2191" s="569" t="s">
        <v>208</v>
      </c>
      <c r="H2191" s="569" t="s">
        <v>216</v>
      </c>
      <c r="I2191" s="574">
        <v>6170882</v>
      </c>
    </row>
    <row r="2192" spans="1:9" ht="16" x14ac:dyDescent="0.2">
      <c r="A2192" s="561">
        <v>46101</v>
      </c>
      <c r="B2192" s="562">
        <v>2026</v>
      </c>
      <c r="C2192" s="563">
        <v>3</v>
      </c>
      <c r="D2192" s="564">
        <v>12</v>
      </c>
      <c r="E2192" s="564">
        <v>20</v>
      </c>
      <c r="F2192" s="565" t="s">
        <v>60</v>
      </c>
      <c r="G2192" s="563" t="s">
        <v>60</v>
      </c>
      <c r="H2192" s="563" t="s">
        <v>212</v>
      </c>
      <c r="I2192" s="573">
        <v>90000000</v>
      </c>
    </row>
    <row r="2193" spans="1:9" ht="16" x14ac:dyDescent="0.2">
      <c r="A2193" s="567">
        <v>46101</v>
      </c>
      <c r="B2193" s="568">
        <v>2026</v>
      </c>
      <c r="C2193" s="569">
        <v>3</v>
      </c>
      <c r="D2193" s="570">
        <v>12</v>
      </c>
      <c r="E2193" s="570">
        <v>20</v>
      </c>
      <c r="F2193" s="571" t="s">
        <v>36</v>
      </c>
      <c r="G2193" s="569" t="s">
        <v>36</v>
      </c>
      <c r="H2193" s="569" t="s">
        <v>212</v>
      </c>
      <c r="I2193" s="574">
        <v>2169670000</v>
      </c>
    </row>
    <row r="2194" spans="1:9" ht="16" x14ac:dyDescent="0.2">
      <c r="A2194" s="561">
        <v>46101</v>
      </c>
      <c r="B2194" s="562">
        <v>2026</v>
      </c>
      <c r="C2194" s="563">
        <v>3</v>
      </c>
      <c r="D2194" s="564">
        <v>12</v>
      </c>
      <c r="E2194" s="564">
        <v>20</v>
      </c>
      <c r="F2194" s="565" t="s">
        <v>55</v>
      </c>
      <c r="G2194" s="563" t="s">
        <v>36</v>
      </c>
      <c r="H2194" s="563" t="s">
        <v>212</v>
      </c>
      <c r="I2194" s="573">
        <v>943600000</v>
      </c>
    </row>
    <row r="2195" spans="1:9" ht="16" x14ac:dyDescent="0.2">
      <c r="A2195" s="567">
        <v>46101</v>
      </c>
      <c r="B2195" s="568">
        <v>2026</v>
      </c>
      <c r="C2195" s="569">
        <v>3</v>
      </c>
      <c r="D2195" s="570">
        <v>12</v>
      </c>
      <c r="E2195" s="570">
        <v>20</v>
      </c>
      <c r="F2195" s="571" t="s">
        <v>176</v>
      </c>
      <c r="G2195" s="569" t="s">
        <v>176</v>
      </c>
      <c r="H2195" s="569" t="s">
        <v>216</v>
      </c>
      <c r="I2195" s="574">
        <v>3074683</v>
      </c>
    </row>
    <row r="2196" spans="1:9" ht="16" x14ac:dyDescent="0.2">
      <c r="A2196" s="561">
        <v>46101</v>
      </c>
      <c r="B2196" s="562">
        <v>2026</v>
      </c>
      <c r="C2196" s="563">
        <v>3</v>
      </c>
      <c r="D2196" s="564">
        <v>12</v>
      </c>
      <c r="E2196" s="564">
        <v>20</v>
      </c>
      <c r="F2196" s="565" t="s">
        <v>39</v>
      </c>
      <c r="G2196" s="563" t="s">
        <v>176</v>
      </c>
      <c r="H2196" s="563" t="s">
        <v>216</v>
      </c>
      <c r="I2196" s="573">
        <v>777976238</v>
      </c>
    </row>
    <row r="2197" spans="1:9" ht="16" x14ac:dyDescent="0.2">
      <c r="A2197" s="567">
        <v>46101</v>
      </c>
      <c r="B2197" s="568">
        <v>2026</v>
      </c>
      <c r="C2197" s="569">
        <v>3</v>
      </c>
      <c r="D2197" s="570">
        <v>12</v>
      </c>
      <c r="E2197" s="570">
        <v>20</v>
      </c>
      <c r="F2197" s="571" t="s">
        <v>206</v>
      </c>
      <c r="G2197" s="569" t="s">
        <v>206</v>
      </c>
      <c r="H2197" s="569" t="s">
        <v>212</v>
      </c>
      <c r="I2197" s="574">
        <v>0</v>
      </c>
    </row>
    <row r="2198" spans="1:9" ht="16" x14ac:dyDescent="0.2">
      <c r="A2198" s="561">
        <v>46101</v>
      </c>
      <c r="B2198" s="562">
        <v>2026</v>
      </c>
      <c r="C2198" s="563">
        <v>3</v>
      </c>
      <c r="D2198" s="564">
        <v>12</v>
      </c>
      <c r="E2198" s="564">
        <v>20</v>
      </c>
      <c r="F2198" s="565" t="s">
        <v>64</v>
      </c>
      <c r="G2198" s="563" t="s">
        <v>209</v>
      </c>
      <c r="H2198" s="563" t="s">
        <v>212</v>
      </c>
      <c r="I2198" s="573">
        <v>112650000</v>
      </c>
    </row>
    <row r="2199" spans="1:9" ht="16" x14ac:dyDescent="0.2">
      <c r="A2199" s="567">
        <v>46101</v>
      </c>
      <c r="B2199" s="568">
        <v>2026</v>
      </c>
      <c r="C2199" s="569">
        <v>3</v>
      </c>
      <c r="D2199" s="570">
        <v>12</v>
      </c>
      <c r="E2199" s="570">
        <v>20</v>
      </c>
      <c r="F2199" s="571" t="s">
        <v>237</v>
      </c>
      <c r="G2199" s="569" t="s">
        <v>209</v>
      </c>
      <c r="H2199" s="569" t="s">
        <v>212</v>
      </c>
      <c r="I2199" s="574">
        <v>0</v>
      </c>
    </row>
    <row r="2200" spans="1:9" ht="16" x14ac:dyDescent="0.2">
      <c r="A2200" s="561">
        <v>46101</v>
      </c>
      <c r="B2200" s="562">
        <v>2026</v>
      </c>
      <c r="C2200" s="563">
        <v>3</v>
      </c>
      <c r="D2200" s="564">
        <v>12</v>
      </c>
      <c r="E2200" s="564">
        <v>20</v>
      </c>
      <c r="F2200" s="565" t="s">
        <v>11</v>
      </c>
      <c r="G2200" s="563" t="s">
        <v>11</v>
      </c>
      <c r="H2200" s="563" t="s">
        <v>212</v>
      </c>
      <c r="I2200" s="573">
        <v>18118340000</v>
      </c>
    </row>
    <row r="2201" spans="1:9" ht="16" x14ac:dyDescent="0.2">
      <c r="A2201" s="567">
        <v>46101</v>
      </c>
      <c r="B2201" s="568">
        <v>2026</v>
      </c>
      <c r="C2201" s="569">
        <v>3</v>
      </c>
      <c r="D2201" s="570">
        <v>12</v>
      </c>
      <c r="E2201" s="570">
        <v>20</v>
      </c>
      <c r="F2201" s="571" t="s">
        <v>221</v>
      </c>
      <c r="G2201" s="569" t="s">
        <v>207</v>
      </c>
      <c r="H2201" s="569" t="s">
        <v>212</v>
      </c>
      <c r="I2201" s="574">
        <v>0</v>
      </c>
    </row>
    <row r="2202" spans="1:9" ht="16" x14ac:dyDescent="0.2">
      <c r="A2202" s="561">
        <v>46101</v>
      </c>
      <c r="B2202" s="562">
        <v>2026</v>
      </c>
      <c r="C2202" s="563">
        <v>3</v>
      </c>
      <c r="D2202" s="564">
        <v>12</v>
      </c>
      <c r="E2202" s="564">
        <v>20</v>
      </c>
      <c r="F2202" s="565" t="s">
        <v>222</v>
      </c>
      <c r="G2202" s="563" t="s">
        <v>207</v>
      </c>
      <c r="H2202" s="563" t="s">
        <v>212</v>
      </c>
      <c r="I2202" s="573">
        <v>0</v>
      </c>
    </row>
    <row r="2203" spans="1:9" ht="16" x14ac:dyDescent="0.2">
      <c r="A2203" s="567">
        <v>46101</v>
      </c>
      <c r="B2203" s="568">
        <v>2026</v>
      </c>
      <c r="C2203" s="569">
        <v>3</v>
      </c>
      <c r="D2203" s="570">
        <v>12</v>
      </c>
      <c r="E2203" s="570">
        <v>20</v>
      </c>
      <c r="F2203" s="571" t="s">
        <v>223</v>
      </c>
      <c r="G2203" s="569" t="s">
        <v>207</v>
      </c>
      <c r="H2203" s="569" t="s">
        <v>212</v>
      </c>
      <c r="I2203" s="574">
        <v>0</v>
      </c>
    </row>
    <row r="2204" spans="1:9" ht="16" x14ac:dyDescent="0.2">
      <c r="A2204" s="561">
        <v>46101</v>
      </c>
      <c r="B2204" s="562">
        <v>2026</v>
      </c>
      <c r="C2204" s="563">
        <v>3</v>
      </c>
      <c r="D2204" s="564">
        <v>12</v>
      </c>
      <c r="E2204" s="564">
        <v>20</v>
      </c>
      <c r="F2204" s="565" t="s">
        <v>219</v>
      </c>
      <c r="G2204" s="563" t="s">
        <v>11</v>
      </c>
      <c r="H2204" s="563" t="s">
        <v>212</v>
      </c>
      <c r="I2204" s="573">
        <v>0</v>
      </c>
    </row>
    <row r="2205" spans="1:9" ht="16" x14ac:dyDescent="0.2">
      <c r="A2205" s="567">
        <v>46101</v>
      </c>
      <c r="B2205" s="568">
        <v>2026</v>
      </c>
      <c r="C2205" s="569">
        <v>3</v>
      </c>
      <c r="D2205" s="570">
        <v>12</v>
      </c>
      <c r="E2205" s="570">
        <v>20</v>
      </c>
      <c r="F2205" s="571" t="s">
        <v>19</v>
      </c>
      <c r="G2205" s="569" t="s">
        <v>19</v>
      </c>
      <c r="H2205" s="569" t="s">
        <v>214</v>
      </c>
      <c r="I2205" s="574">
        <v>11708820000</v>
      </c>
    </row>
    <row r="2206" spans="1:9" ht="16" x14ac:dyDescent="0.2">
      <c r="A2206" s="561">
        <v>46101</v>
      </c>
      <c r="B2206" s="562">
        <v>2026</v>
      </c>
      <c r="C2206" s="563">
        <v>3</v>
      </c>
      <c r="D2206" s="564">
        <v>12</v>
      </c>
      <c r="E2206" s="564">
        <v>20</v>
      </c>
      <c r="F2206" s="565" t="s">
        <v>62</v>
      </c>
      <c r="G2206" s="563" t="s">
        <v>62</v>
      </c>
      <c r="H2206" s="563" t="s">
        <v>216</v>
      </c>
      <c r="I2206" s="573">
        <v>137125168</v>
      </c>
    </row>
    <row r="2207" spans="1:9" ht="16" x14ac:dyDescent="0.2">
      <c r="A2207" s="567">
        <v>46101</v>
      </c>
      <c r="B2207" s="568">
        <v>2026</v>
      </c>
      <c r="C2207" s="569">
        <v>3</v>
      </c>
      <c r="D2207" s="570">
        <v>12</v>
      </c>
      <c r="E2207" s="570">
        <v>20</v>
      </c>
      <c r="F2207" s="571" t="s">
        <v>58</v>
      </c>
      <c r="G2207" s="569" t="s">
        <v>58</v>
      </c>
      <c r="H2207" s="569" t="s">
        <v>212</v>
      </c>
      <c r="I2207" s="574">
        <v>35700000</v>
      </c>
    </row>
    <row r="2208" spans="1:9" ht="16" x14ac:dyDescent="0.2">
      <c r="A2208" s="561">
        <v>46101</v>
      </c>
      <c r="B2208" s="562">
        <v>2026</v>
      </c>
      <c r="C2208" s="563">
        <v>3</v>
      </c>
      <c r="D2208" s="564">
        <v>12</v>
      </c>
      <c r="E2208" s="564">
        <v>20</v>
      </c>
      <c r="F2208" s="565" t="s">
        <v>61</v>
      </c>
      <c r="G2208" s="563" t="s">
        <v>61</v>
      </c>
      <c r="H2208" s="563" t="s">
        <v>214</v>
      </c>
      <c r="I2208" s="573">
        <v>60000000</v>
      </c>
    </row>
    <row r="2209" spans="1:9" ht="16" x14ac:dyDescent="0.2">
      <c r="A2209" s="567">
        <v>46101</v>
      </c>
      <c r="B2209" s="568">
        <v>2026</v>
      </c>
      <c r="C2209" s="569">
        <v>3</v>
      </c>
      <c r="D2209" s="570">
        <v>12</v>
      </c>
      <c r="E2209" s="570">
        <v>20</v>
      </c>
      <c r="F2209" s="571" t="s">
        <v>57</v>
      </c>
      <c r="G2209" s="569" t="s">
        <v>57</v>
      </c>
      <c r="H2209" s="569" t="s">
        <v>212</v>
      </c>
      <c r="I2209" s="574">
        <v>571890000</v>
      </c>
    </row>
    <row r="2210" spans="1:9" ht="16" x14ac:dyDescent="0.2">
      <c r="A2210" s="561">
        <v>46101</v>
      </c>
      <c r="B2210" s="562">
        <v>2026</v>
      </c>
      <c r="C2210" s="563">
        <v>3</v>
      </c>
      <c r="D2210" s="564">
        <v>12</v>
      </c>
      <c r="E2210" s="564">
        <v>20</v>
      </c>
      <c r="F2210" s="565" t="s">
        <v>63</v>
      </c>
      <c r="G2210" s="563" t="s">
        <v>63</v>
      </c>
      <c r="H2210" s="563" t="s">
        <v>214</v>
      </c>
      <c r="I2210" s="573">
        <v>335232000</v>
      </c>
    </row>
    <row r="2211" spans="1:9" ht="16" x14ac:dyDescent="0.2">
      <c r="A2211" s="567">
        <v>46101</v>
      </c>
      <c r="B2211" s="568">
        <v>2026</v>
      </c>
      <c r="C2211" s="569">
        <v>3</v>
      </c>
      <c r="D2211" s="570">
        <v>12</v>
      </c>
      <c r="E2211" s="570">
        <v>20</v>
      </c>
      <c r="F2211" s="571" t="s">
        <v>59</v>
      </c>
      <c r="G2211" s="569" t="s">
        <v>59</v>
      </c>
      <c r="H2211" s="569" t="s">
        <v>216</v>
      </c>
      <c r="I2211" s="574">
        <v>231388445</v>
      </c>
    </row>
    <row r="2212" spans="1:9" ht="16" x14ac:dyDescent="0.2">
      <c r="A2212" s="561">
        <v>46101</v>
      </c>
      <c r="B2212" s="562">
        <v>2026</v>
      </c>
      <c r="C2212" s="563">
        <v>3</v>
      </c>
      <c r="D2212" s="564">
        <v>12</v>
      </c>
      <c r="E2212" s="564">
        <v>20</v>
      </c>
      <c r="F2212" s="565" t="s">
        <v>31</v>
      </c>
      <c r="G2212" s="563" t="s">
        <v>175</v>
      </c>
      <c r="H2212" s="563" t="s">
        <v>212</v>
      </c>
      <c r="I2212" s="573">
        <v>3367960000</v>
      </c>
    </row>
    <row r="2213" spans="1:9" ht="16" x14ac:dyDescent="0.2">
      <c r="A2213" s="567">
        <v>46101</v>
      </c>
      <c r="B2213" s="568">
        <v>2026</v>
      </c>
      <c r="C2213" s="569">
        <v>3</v>
      </c>
      <c r="D2213" s="570">
        <v>12</v>
      </c>
      <c r="E2213" s="570">
        <v>20</v>
      </c>
      <c r="F2213" s="571" t="s">
        <v>234</v>
      </c>
      <c r="G2213" s="569" t="s">
        <v>210</v>
      </c>
      <c r="H2213" s="569" t="s">
        <v>214</v>
      </c>
      <c r="I2213" s="574">
        <v>196020000</v>
      </c>
    </row>
    <row r="2214" spans="1:9" ht="16" x14ac:dyDescent="0.2">
      <c r="A2214" s="561">
        <v>46102</v>
      </c>
      <c r="B2214" s="562">
        <v>2026</v>
      </c>
      <c r="C2214" s="563">
        <v>3</v>
      </c>
      <c r="D2214" s="564">
        <v>12</v>
      </c>
      <c r="E2214" s="564">
        <v>21</v>
      </c>
      <c r="F2214" s="565" t="s">
        <v>65</v>
      </c>
      <c r="G2214" s="563" t="s">
        <v>65</v>
      </c>
      <c r="H2214" s="563" t="s">
        <v>212</v>
      </c>
      <c r="I2214" s="573">
        <v>734770000</v>
      </c>
    </row>
    <row r="2215" spans="1:9" ht="16" x14ac:dyDescent="0.2">
      <c r="A2215" s="567">
        <v>46102</v>
      </c>
      <c r="B2215" s="568">
        <v>2026</v>
      </c>
      <c r="C2215" s="569">
        <v>3</v>
      </c>
      <c r="D2215" s="570">
        <v>12</v>
      </c>
      <c r="E2215" s="570">
        <v>21</v>
      </c>
      <c r="F2215" s="571" t="s">
        <v>66</v>
      </c>
      <c r="G2215" s="569" t="s">
        <v>66</v>
      </c>
      <c r="H2215" s="569" t="s">
        <v>216</v>
      </c>
      <c r="I2215" s="574">
        <v>319891352</v>
      </c>
    </row>
    <row r="2216" spans="1:9" ht="16" x14ac:dyDescent="0.2">
      <c r="A2216" s="561">
        <v>46102</v>
      </c>
      <c r="B2216" s="562">
        <v>2026</v>
      </c>
      <c r="C2216" s="563">
        <v>3</v>
      </c>
      <c r="D2216" s="564">
        <v>12</v>
      </c>
      <c r="E2216" s="564">
        <v>21</v>
      </c>
      <c r="F2216" s="565" t="s">
        <v>24</v>
      </c>
      <c r="G2216" s="563" t="s">
        <v>24</v>
      </c>
      <c r="H2216" s="563" t="s">
        <v>212</v>
      </c>
      <c r="I2216" s="573">
        <v>18475940000</v>
      </c>
    </row>
    <row r="2217" spans="1:9" ht="16" x14ac:dyDescent="0.2">
      <c r="A2217" s="567">
        <v>46102</v>
      </c>
      <c r="B2217" s="568">
        <v>2026</v>
      </c>
      <c r="C2217" s="569">
        <v>3</v>
      </c>
      <c r="D2217" s="570">
        <v>12</v>
      </c>
      <c r="E2217" s="570">
        <v>21</v>
      </c>
      <c r="F2217" s="571" t="s">
        <v>67</v>
      </c>
      <c r="G2217" s="569" t="s">
        <v>67</v>
      </c>
      <c r="H2217" s="569" t="s">
        <v>213</v>
      </c>
      <c r="I2217" s="574">
        <v>1471621421</v>
      </c>
    </row>
    <row r="2218" spans="1:9" ht="16" x14ac:dyDescent="0.2">
      <c r="A2218" s="561">
        <v>46102</v>
      </c>
      <c r="B2218" s="562">
        <v>2026</v>
      </c>
      <c r="C2218" s="563">
        <v>3</v>
      </c>
      <c r="D2218" s="564">
        <v>12</v>
      </c>
      <c r="E2218" s="564">
        <v>21</v>
      </c>
      <c r="F2218" s="565" t="s">
        <v>28</v>
      </c>
      <c r="G2218" s="563" t="s">
        <v>28</v>
      </c>
      <c r="H2218" s="563" t="s">
        <v>214</v>
      </c>
      <c r="I2218" s="573">
        <v>12961836000</v>
      </c>
    </row>
    <row r="2219" spans="1:9" ht="16" x14ac:dyDescent="0.2">
      <c r="A2219" s="567">
        <v>46102</v>
      </c>
      <c r="B2219" s="568">
        <v>2026</v>
      </c>
      <c r="C2219" s="569">
        <v>3</v>
      </c>
      <c r="D2219" s="570">
        <v>12</v>
      </c>
      <c r="E2219" s="570">
        <v>21</v>
      </c>
      <c r="F2219" s="571" t="s">
        <v>208</v>
      </c>
      <c r="G2219" s="569" t="s">
        <v>208</v>
      </c>
      <c r="H2219" s="569" t="s">
        <v>216</v>
      </c>
      <c r="I2219" s="574">
        <v>6995860</v>
      </c>
    </row>
    <row r="2220" spans="1:9" ht="16" x14ac:dyDescent="0.2">
      <c r="A2220" s="561">
        <v>46102</v>
      </c>
      <c r="B2220" s="562">
        <v>2026</v>
      </c>
      <c r="C2220" s="563">
        <v>3</v>
      </c>
      <c r="D2220" s="564">
        <v>12</v>
      </c>
      <c r="E2220" s="564">
        <v>21</v>
      </c>
      <c r="F2220" s="565" t="s">
        <v>60</v>
      </c>
      <c r="G2220" s="563" t="s">
        <v>60</v>
      </c>
      <c r="H2220" s="563" t="s">
        <v>212</v>
      </c>
      <c r="I2220" s="573">
        <v>90000000</v>
      </c>
    </row>
    <row r="2221" spans="1:9" ht="16" x14ac:dyDescent="0.2">
      <c r="A2221" s="567">
        <v>46102</v>
      </c>
      <c r="B2221" s="568">
        <v>2026</v>
      </c>
      <c r="C2221" s="569">
        <v>3</v>
      </c>
      <c r="D2221" s="570">
        <v>12</v>
      </c>
      <c r="E2221" s="570">
        <v>21</v>
      </c>
      <c r="F2221" s="571" t="s">
        <v>36</v>
      </c>
      <c r="G2221" s="569" t="s">
        <v>36</v>
      </c>
      <c r="H2221" s="569" t="s">
        <v>212</v>
      </c>
      <c r="I2221" s="574">
        <v>2342230000</v>
      </c>
    </row>
    <row r="2222" spans="1:9" ht="16" x14ac:dyDescent="0.2">
      <c r="A2222" s="561">
        <v>46102</v>
      </c>
      <c r="B2222" s="562">
        <v>2026</v>
      </c>
      <c r="C2222" s="563">
        <v>3</v>
      </c>
      <c r="D2222" s="564">
        <v>12</v>
      </c>
      <c r="E2222" s="564">
        <v>21</v>
      </c>
      <c r="F2222" s="565" t="s">
        <v>55</v>
      </c>
      <c r="G2222" s="563" t="s">
        <v>36</v>
      </c>
      <c r="H2222" s="563" t="s">
        <v>212</v>
      </c>
      <c r="I2222" s="573">
        <v>683760000</v>
      </c>
    </row>
    <row r="2223" spans="1:9" ht="16" x14ac:dyDescent="0.2">
      <c r="A2223" s="567">
        <v>46102</v>
      </c>
      <c r="B2223" s="568">
        <v>2026</v>
      </c>
      <c r="C2223" s="569">
        <v>3</v>
      </c>
      <c r="D2223" s="570">
        <v>12</v>
      </c>
      <c r="E2223" s="570">
        <v>21</v>
      </c>
      <c r="F2223" s="571" t="s">
        <v>176</v>
      </c>
      <c r="G2223" s="569" t="s">
        <v>176</v>
      </c>
      <c r="H2223" s="569" t="s">
        <v>216</v>
      </c>
      <c r="I2223" s="574">
        <v>16060990</v>
      </c>
    </row>
    <row r="2224" spans="1:9" ht="16" x14ac:dyDescent="0.2">
      <c r="A2224" s="561">
        <v>46102</v>
      </c>
      <c r="B2224" s="562">
        <v>2026</v>
      </c>
      <c r="C2224" s="563">
        <v>3</v>
      </c>
      <c r="D2224" s="564">
        <v>12</v>
      </c>
      <c r="E2224" s="564">
        <v>21</v>
      </c>
      <c r="F2224" s="565" t="s">
        <v>39</v>
      </c>
      <c r="G2224" s="563" t="s">
        <v>176</v>
      </c>
      <c r="H2224" s="563" t="s">
        <v>216</v>
      </c>
      <c r="I2224" s="573">
        <v>1271252878</v>
      </c>
    </row>
    <row r="2225" spans="1:9" ht="16" x14ac:dyDescent="0.2">
      <c r="A2225" s="567">
        <v>46102</v>
      </c>
      <c r="B2225" s="568">
        <v>2026</v>
      </c>
      <c r="C2225" s="569">
        <v>3</v>
      </c>
      <c r="D2225" s="570">
        <v>12</v>
      </c>
      <c r="E2225" s="570">
        <v>21</v>
      </c>
      <c r="F2225" s="571" t="s">
        <v>206</v>
      </c>
      <c r="G2225" s="569" t="s">
        <v>206</v>
      </c>
      <c r="H2225" s="569" t="s">
        <v>212</v>
      </c>
      <c r="I2225" s="574">
        <v>0</v>
      </c>
    </row>
    <row r="2226" spans="1:9" ht="16" x14ac:dyDescent="0.2">
      <c r="A2226" s="561">
        <v>46102</v>
      </c>
      <c r="B2226" s="562">
        <v>2026</v>
      </c>
      <c r="C2226" s="563">
        <v>3</v>
      </c>
      <c r="D2226" s="564">
        <v>12</v>
      </c>
      <c r="E2226" s="564">
        <v>21</v>
      </c>
      <c r="F2226" s="565" t="s">
        <v>64</v>
      </c>
      <c r="G2226" s="563" t="s">
        <v>209</v>
      </c>
      <c r="H2226" s="563" t="s">
        <v>212</v>
      </c>
      <c r="I2226" s="573">
        <v>26250000</v>
      </c>
    </row>
    <row r="2227" spans="1:9" ht="16" x14ac:dyDescent="0.2">
      <c r="A2227" s="567">
        <v>46102</v>
      </c>
      <c r="B2227" s="568">
        <v>2026</v>
      </c>
      <c r="C2227" s="569">
        <v>3</v>
      </c>
      <c r="D2227" s="570">
        <v>12</v>
      </c>
      <c r="E2227" s="570">
        <v>21</v>
      </c>
      <c r="F2227" s="571" t="s">
        <v>237</v>
      </c>
      <c r="G2227" s="569" t="s">
        <v>209</v>
      </c>
      <c r="H2227" s="569" t="s">
        <v>212</v>
      </c>
      <c r="I2227" s="574">
        <v>0</v>
      </c>
    </row>
    <row r="2228" spans="1:9" ht="16" x14ac:dyDescent="0.2">
      <c r="A2228" s="561">
        <v>46102</v>
      </c>
      <c r="B2228" s="562">
        <v>2026</v>
      </c>
      <c r="C2228" s="563">
        <v>3</v>
      </c>
      <c r="D2228" s="564">
        <v>12</v>
      </c>
      <c r="E2228" s="564">
        <v>21</v>
      </c>
      <c r="F2228" s="565" t="s">
        <v>11</v>
      </c>
      <c r="G2228" s="563" t="s">
        <v>11</v>
      </c>
      <c r="H2228" s="563" t="s">
        <v>212</v>
      </c>
      <c r="I2228" s="573">
        <v>16057500000</v>
      </c>
    </row>
    <row r="2229" spans="1:9" ht="16" x14ac:dyDescent="0.2">
      <c r="A2229" s="567">
        <v>46102</v>
      </c>
      <c r="B2229" s="568">
        <v>2026</v>
      </c>
      <c r="C2229" s="569">
        <v>3</v>
      </c>
      <c r="D2229" s="570">
        <v>12</v>
      </c>
      <c r="E2229" s="570">
        <v>21</v>
      </c>
      <c r="F2229" s="571" t="s">
        <v>221</v>
      </c>
      <c r="G2229" s="569" t="s">
        <v>207</v>
      </c>
      <c r="H2229" s="569" t="s">
        <v>212</v>
      </c>
      <c r="I2229" s="574">
        <v>0</v>
      </c>
    </row>
    <row r="2230" spans="1:9" ht="16" x14ac:dyDescent="0.2">
      <c r="A2230" s="561">
        <v>46102</v>
      </c>
      <c r="B2230" s="562">
        <v>2026</v>
      </c>
      <c r="C2230" s="563">
        <v>3</v>
      </c>
      <c r="D2230" s="564">
        <v>12</v>
      </c>
      <c r="E2230" s="564">
        <v>21</v>
      </c>
      <c r="F2230" s="565" t="s">
        <v>222</v>
      </c>
      <c r="G2230" s="563" t="s">
        <v>207</v>
      </c>
      <c r="H2230" s="563" t="s">
        <v>212</v>
      </c>
      <c r="I2230" s="573">
        <v>0</v>
      </c>
    </row>
    <row r="2231" spans="1:9" ht="16" x14ac:dyDescent="0.2">
      <c r="A2231" s="567">
        <v>46102</v>
      </c>
      <c r="B2231" s="568">
        <v>2026</v>
      </c>
      <c r="C2231" s="569">
        <v>3</v>
      </c>
      <c r="D2231" s="570">
        <v>12</v>
      </c>
      <c r="E2231" s="570">
        <v>21</v>
      </c>
      <c r="F2231" s="571" t="s">
        <v>223</v>
      </c>
      <c r="G2231" s="569" t="s">
        <v>207</v>
      </c>
      <c r="H2231" s="569" t="s">
        <v>212</v>
      </c>
      <c r="I2231" s="574">
        <v>0</v>
      </c>
    </row>
    <row r="2232" spans="1:9" ht="16" x14ac:dyDescent="0.2">
      <c r="A2232" s="561">
        <v>46102</v>
      </c>
      <c r="B2232" s="562">
        <v>2026</v>
      </c>
      <c r="C2232" s="563">
        <v>3</v>
      </c>
      <c r="D2232" s="564">
        <v>12</v>
      </c>
      <c r="E2232" s="564">
        <v>21</v>
      </c>
      <c r="F2232" s="565" t="s">
        <v>219</v>
      </c>
      <c r="G2232" s="563" t="s">
        <v>11</v>
      </c>
      <c r="H2232" s="563" t="s">
        <v>212</v>
      </c>
      <c r="I2232" s="573">
        <v>0</v>
      </c>
    </row>
    <row r="2233" spans="1:9" ht="16" x14ac:dyDescent="0.2">
      <c r="A2233" s="567">
        <v>46102</v>
      </c>
      <c r="B2233" s="568">
        <v>2026</v>
      </c>
      <c r="C2233" s="569">
        <v>3</v>
      </c>
      <c r="D2233" s="570">
        <v>12</v>
      </c>
      <c r="E2233" s="570">
        <v>21</v>
      </c>
      <c r="F2233" s="571" t="s">
        <v>19</v>
      </c>
      <c r="G2233" s="569" t="s">
        <v>19</v>
      </c>
      <c r="H2233" s="569" t="s">
        <v>214</v>
      </c>
      <c r="I2233" s="574">
        <v>10785096000</v>
      </c>
    </row>
    <row r="2234" spans="1:9" ht="16" x14ac:dyDescent="0.2">
      <c r="A2234" s="561">
        <v>46102</v>
      </c>
      <c r="B2234" s="562">
        <v>2026</v>
      </c>
      <c r="C2234" s="563">
        <v>3</v>
      </c>
      <c r="D2234" s="564">
        <v>12</v>
      </c>
      <c r="E2234" s="564">
        <v>21</v>
      </c>
      <c r="F2234" s="565" t="s">
        <v>62</v>
      </c>
      <c r="G2234" s="563" t="s">
        <v>62</v>
      </c>
      <c r="H2234" s="563" t="s">
        <v>216</v>
      </c>
      <c r="I2234" s="573">
        <v>173243458</v>
      </c>
    </row>
    <row r="2235" spans="1:9" ht="16" x14ac:dyDescent="0.2">
      <c r="A2235" s="567">
        <v>46102</v>
      </c>
      <c r="B2235" s="568">
        <v>2026</v>
      </c>
      <c r="C2235" s="569">
        <v>3</v>
      </c>
      <c r="D2235" s="570">
        <v>12</v>
      </c>
      <c r="E2235" s="570">
        <v>21</v>
      </c>
      <c r="F2235" s="571" t="s">
        <v>58</v>
      </c>
      <c r="G2235" s="569" t="s">
        <v>58</v>
      </c>
      <c r="H2235" s="569" t="s">
        <v>212</v>
      </c>
      <c r="I2235" s="574">
        <v>72500000</v>
      </c>
    </row>
    <row r="2236" spans="1:9" ht="16" x14ac:dyDescent="0.2">
      <c r="A2236" s="561">
        <v>46102</v>
      </c>
      <c r="B2236" s="562">
        <v>2026</v>
      </c>
      <c r="C2236" s="563">
        <v>3</v>
      </c>
      <c r="D2236" s="564">
        <v>12</v>
      </c>
      <c r="E2236" s="564">
        <v>21</v>
      </c>
      <c r="F2236" s="565" t="s">
        <v>61</v>
      </c>
      <c r="G2236" s="563" t="s">
        <v>61</v>
      </c>
      <c r="H2236" s="563" t="s">
        <v>214</v>
      </c>
      <c r="I2236" s="573">
        <v>55000000</v>
      </c>
    </row>
    <row r="2237" spans="1:9" ht="16" x14ac:dyDescent="0.2">
      <c r="A2237" s="567">
        <v>46102</v>
      </c>
      <c r="B2237" s="568">
        <v>2026</v>
      </c>
      <c r="C2237" s="569">
        <v>3</v>
      </c>
      <c r="D2237" s="570">
        <v>12</v>
      </c>
      <c r="E2237" s="570">
        <v>21</v>
      </c>
      <c r="F2237" s="571" t="s">
        <v>57</v>
      </c>
      <c r="G2237" s="569" t="s">
        <v>57</v>
      </c>
      <c r="H2237" s="569" t="s">
        <v>212</v>
      </c>
      <c r="I2237" s="574">
        <v>800800000</v>
      </c>
    </row>
    <row r="2238" spans="1:9" ht="16" x14ac:dyDescent="0.2">
      <c r="A2238" s="561">
        <v>46102</v>
      </c>
      <c r="B2238" s="562">
        <v>2026</v>
      </c>
      <c r="C2238" s="563">
        <v>3</v>
      </c>
      <c r="D2238" s="564">
        <v>12</v>
      </c>
      <c r="E2238" s="564">
        <v>21</v>
      </c>
      <c r="F2238" s="565" t="s">
        <v>63</v>
      </c>
      <c r="G2238" s="563" t="s">
        <v>63</v>
      </c>
      <c r="H2238" s="563" t="s">
        <v>214</v>
      </c>
      <c r="I2238" s="573">
        <v>314928000</v>
      </c>
    </row>
    <row r="2239" spans="1:9" ht="16" x14ac:dyDescent="0.2">
      <c r="A2239" s="567">
        <v>46102</v>
      </c>
      <c r="B2239" s="568">
        <v>2026</v>
      </c>
      <c r="C2239" s="569">
        <v>3</v>
      </c>
      <c r="D2239" s="570">
        <v>12</v>
      </c>
      <c r="E2239" s="570">
        <v>21</v>
      </c>
      <c r="F2239" s="571" t="s">
        <v>59</v>
      </c>
      <c r="G2239" s="569" t="s">
        <v>59</v>
      </c>
      <c r="H2239" s="569" t="s">
        <v>216</v>
      </c>
      <c r="I2239" s="574">
        <v>252798773</v>
      </c>
    </row>
    <row r="2240" spans="1:9" ht="16" x14ac:dyDescent="0.2">
      <c r="A2240" s="561">
        <v>46102</v>
      </c>
      <c r="B2240" s="562">
        <v>2026</v>
      </c>
      <c r="C2240" s="563">
        <v>3</v>
      </c>
      <c r="D2240" s="564">
        <v>12</v>
      </c>
      <c r="E2240" s="564">
        <v>21</v>
      </c>
      <c r="F2240" s="565" t="s">
        <v>31</v>
      </c>
      <c r="G2240" s="563" t="s">
        <v>175</v>
      </c>
      <c r="H2240" s="563" t="s">
        <v>212</v>
      </c>
      <c r="I2240" s="573">
        <v>3304280000</v>
      </c>
    </row>
    <row r="2241" spans="1:9" ht="16" x14ac:dyDescent="0.2">
      <c r="A2241" s="567">
        <v>46102</v>
      </c>
      <c r="B2241" s="568">
        <v>2026</v>
      </c>
      <c r="C2241" s="569">
        <v>3</v>
      </c>
      <c r="D2241" s="570">
        <v>12</v>
      </c>
      <c r="E2241" s="570">
        <v>21</v>
      </c>
      <c r="F2241" s="571" t="s">
        <v>234</v>
      </c>
      <c r="G2241" s="569" t="s">
        <v>210</v>
      </c>
      <c r="H2241" s="569" t="s">
        <v>214</v>
      </c>
      <c r="I2241" s="574">
        <v>29160000</v>
      </c>
    </row>
    <row r="2242" spans="1:9" ht="16" x14ac:dyDescent="0.2">
      <c r="A2242" s="561">
        <v>46103</v>
      </c>
      <c r="B2242" s="562">
        <v>2026</v>
      </c>
      <c r="C2242" s="563">
        <v>3</v>
      </c>
      <c r="D2242" s="564">
        <v>12</v>
      </c>
      <c r="E2242" s="564">
        <v>22</v>
      </c>
      <c r="F2242" s="565" t="s">
        <v>65</v>
      </c>
      <c r="G2242" s="563" t="s">
        <v>65</v>
      </c>
      <c r="H2242" s="563" t="s">
        <v>212</v>
      </c>
      <c r="I2242" s="573">
        <v>607520000</v>
      </c>
    </row>
    <row r="2243" spans="1:9" ht="16" x14ac:dyDescent="0.2">
      <c r="A2243" s="567">
        <v>46103</v>
      </c>
      <c r="B2243" s="568">
        <v>2026</v>
      </c>
      <c r="C2243" s="569">
        <v>3</v>
      </c>
      <c r="D2243" s="570">
        <v>12</v>
      </c>
      <c r="E2243" s="570">
        <v>22</v>
      </c>
      <c r="F2243" s="571" t="s">
        <v>66</v>
      </c>
      <c r="G2243" s="569" t="s">
        <v>66</v>
      </c>
      <c r="H2243" s="569" t="s">
        <v>216</v>
      </c>
      <c r="I2243" s="574">
        <v>342822230</v>
      </c>
    </row>
    <row r="2244" spans="1:9" ht="16" x14ac:dyDescent="0.2">
      <c r="A2244" s="561">
        <v>46103</v>
      </c>
      <c r="B2244" s="562">
        <v>2026</v>
      </c>
      <c r="C2244" s="563">
        <v>3</v>
      </c>
      <c r="D2244" s="564">
        <v>12</v>
      </c>
      <c r="E2244" s="564">
        <v>22</v>
      </c>
      <c r="F2244" s="565" t="s">
        <v>24</v>
      </c>
      <c r="G2244" s="563" t="s">
        <v>24</v>
      </c>
      <c r="H2244" s="563" t="s">
        <v>212</v>
      </c>
      <c r="I2244" s="573">
        <v>14779100000</v>
      </c>
    </row>
    <row r="2245" spans="1:9" ht="16" x14ac:dyDescent="0.2">
      <c r="A2245" s="567">
        <v>46103</v>
      </c>
      <c r="B2245" s="568">
        <v>2026</v>
      </c>
      <c r="C2245" s="569">
        <v>3</v>
      </c>
      <c r="D2245" s="570">
        <v>12</v>
      </c>
      <c r="E2245" s="570">
        <v>22</v>
      </c>
      <c r="F2245" s="571" t="s">
        <v>67</v>
      </c>
      <c r="G2245" s="569" t="s">
        <v>67</v>
      </c>
      <c r="H2245" s="569" t="s">
        <v>213</v>
      </c>
      <c r="I2245" s="574">
        <v>1530795139</v>
      </c>
    </row>
    <row r="2246" spans="1:9" ht="16" x14ac:dyDescent="0.2">
      <c r="A2246" s="561">
        <v>46103</v>
      </c>
      <c r="B2246" s="562">
        <v>2026</v>
      </c>
      <c r="C2246" s="563">
        <v>3</v>
      </c>
      <c r="D2246" s="564">
        <v>12</v>
      </c>
      <c r="E2246" s="564">
        <v>22</v>
      </c>
      <c r="F2246" s="565" t="s">
        <v>28</v>
      </c>
      <c r="G2246" s="563" t="s">
        <v>28</v>
      </c>
      <c r="H2246" s="563" t="s">
        <v>214</v>
      </c>
      <c r="I2246" s="573">
        <v>12373560000</v>
      </c>
    </row>
    <row r="2247" spans="1:9" ht="16" x14ac:dyDescent="0.2">
      <c r="A2247" s="567">
        <v>46103</v>
      </c>
      <c r="B2247" s="568">
        <v>2026</v>
      </c>
      <c r="C2247" s="569">
        <v>3</v>
      </c>
      <c r="D2247" s="570">
        <v>12</v>
      </c>
      <c r="E2247" s="570">
        <v>22</v>
      </c>
      <c r="F2247" s="571" t="s">
        <v>208</v>
      </c>
      <c r="G2247" s="569" t="s">
        <v>208</v>
      </c>
      <c r="H2247" s="569" t="s">
        <v>216</v>
      </c>
      <c r="I2247" s="574">
        <v>1440172</v>
      </c>
    </row>
    <row r="2248" spans="1:9" ht="16" x14ac:dyDescent="0.2">
      <c r="A2248" s="561">
        <v>46103</v>
      </c>
      <c r="B2248" s="562">
        <v>2026</v>
      </c>
      <c r="C2248" s="563">
        <v>3</v>
      </c>
      <c r="D2248" s="564">
        <v>12</v>
      </c>
      <c r="E2248" s="564">
        <v>22</v>
      </c>
      <c r="F2248" s="565" t="s">
        <v>60</v>
      </c>
      <c r="G2248" s="563" t="s">
        <v>60</v>
      </c>
      <c r="H2248" s="563" t="s">
        <v>212</v>
      </c>
      <c r="I2248" s="573">
        <v>0</v>
      </c>
    </row>
    <row r="2249" spans="1:9" ht="16" x14ac:dyDescent="0.2">
      <c r="A2249" s="567">
        <v>46103</v>
      </c>
      <c r="B2249" s="568">
        <v>2026</v>
      </c>
      <c r="C2249" s="569">
        <v>3</v>
      </c>
      <c r="D2249" s="570">
        <v>12</v>
      </c>
      <c r="E2249" s="570">
        <v>22</v>
      </c>
      <c r="F2249" s="571" t="s">
        <v>36</v>
      </c>
      <c r="G2249" s="569" t="s">
        <v>36</v>
      </c>
      <c r="H2249" s="569" t="s">
        <v>212</v>
      </c>
      <c r="I2249" s="574">
        <v>2681070000</v>
      </c>
    </row>
    <row r="2250" spans="1:9" ht="16" x14ac:dyDescent="0.2">
      <c r="A2250" s="561">
        <v>46103</v>
      </c>
      <c r="B2250" s="562">
        <v>2026</v>
      </c>
      <c r="C2250" s="563">
        <v>3</v>
      </c>
      <c r="D2250" s="564">
        <v>12</v>
      </c>
      <c r="E2250" s="564">
        <v>22</v>
      </c>
      <c r="F2250" s="565" t="s">
        <v>55</v>
      </c>
      <c r="G2250" s="563" t="s">
        <v>36</v>
      </c>
      <c r="H2250" s="563" t="s">
        <v>212</v>
      </c>
      <c r="I2250" s="573">
        <v>861180000</v>
      </c>
    </row>
    <row r="2251" spans="1:9" ht="16" x14ac:dyDescent="0.2">
      <c r="A2251" s="567">
        <v>46103</v>
      </c>
      <c r="B2251" s="568">
        <v>2026</v>
      </c>
      <c r="C2251" s="569">
        <v>3</v>
      </c>
      <c r="D2251" s="570">
        <v>12</v>
      </c>
      <c r="E2251" s="570">
        <v>22</v>
      </c>
      <c r="F2251" s="571" t="s">
        <v>176</v>
      </c>
      <c r="G2251" s="569" t="s">
        <v>176</v>
      </c>
      <c r="H2251" s="569" t="s">
        <v>216</v>
      </c>
      <c r="I2251" s="574">
        <v>3268232</v>
      </c>
    </row>
    <row r="2252" spans="1:9" ht="16" x14ac:dyDescent="0.2">
      <c r="A2252" s="561">
        <v>46103</v>
      </c>
      <c r="B2252" s="562">
        <v>2026</v>
      </c>
      <c r="C2252" s="563">
        <v>3</v>
      </c>
      <c r="D2252" s="564">
        <v>12</v>
      </c>
      <c r="E2252" s="564">
        <v>22</v>
      </c>
      <c r="F2252" s="565" t="s">
        <v>39</v>
      </c>
      <c r="G2252" s="563" t="s">
        <v>176</v>
      </c>
      <c r="H2252" s="563" t="s">
        <v>216</v>
      </c>
      <c r="I2252" s="573">
        <v>974267581</v>
      </c>
    </row>
    <row r="2253" spans="1:9" ht="16" x14ac:dyDescent="0.2">
      <c r="A2253" s="567">
        <v>46103</v>
      </c>
      <c r="B2253" s="568">
        <v>2026</v>
      </c>
      <c r="C2253" s="569">
        <v>3</v>
      </c>
      <c r="D2253" s="570">
        <v>12</v>
      </c>
      <c r="E2253" s="570">
        <v>22</v>
      </c>
      <c r="F2253" s="571" t="s">
        <v>206</v>
      </c>
      <c r="G2253" s="569" t="s">
        <v>206</v>
      </c>
      <c r="H2253" s="569" t="s">
        <v>212</v>
      </c>
      <c r="I2253" s="574">
        <v>0</v>
      </c>
    </row>
    <row r="2254" spans="1:9" ht="16" x14ac:dyDescent="0.2">
      <c r="A2254" s="561">
        <v>46103</v>
      </c>
      <c r="B2254" s="562">
        <v>2026</v>
      </c>
      <c r="C2254" s="563">
        <v>3</v>
      </c>
      <c r="D2254" s="564">
        <v>12</v>
      </c>
      <c r="E2254" s="564">
        <v>22</v>
      </c>
      <c r="F2254" s="565" t="s">
        <v>64</v>
      </c>
      <c r="G2254" s="563" t="s">
        <v>209</v>
      </c>
      <c r="H2254" s="563" t="s">
        <v>212</v>
      </c>
      <c r="I2254" s="573">
        <v>0</v>
      </c>
    </row>
    <row r="2255" spans="1:9" ht="16" x14ac:dyDescent="0.2">
      <c r="A2255" s="567">
        <v>46103</v>
      </c>
      <c r="B2255" s="568">
        <v>2026</v>
      </c>
      <c r="C2255" s="569">
        <v>3</v>
      </c>
      <c r="D2255" s="570">
        <v>12</v>
      </c>
      <c r="E2255" s="570">
        <v>22</v>
      </c>
      <c r="F2255" s="571" t="s">
        <v>237</v>
      </c>
      <c r="G2255" s="569" t="s">
        <v>209</v>
      </c>
      <c r="H2255" s="569" t="s">
        <v>212</v>
      </c>
      <c r="I2255" s="574">
        <v>0</v>
      </c>
    </row>
    <row r="2256" spans="1:9" ht="16" x14ac:dyDescent="0.2">
      <c r="A2256" s="561">
        <v>46103</v>
      </c>
      <c r="B2256" s="562">
        <v>2026</v>
      </c>
      <c r="C2256" s="563">
        <v>3</v>
      </c>
      <c r="D2256" s="564">
        <v>12</v>
      </c>
      <c r="E2256" s="564">
        <v>22</v>
      </c>
      <c r="F2256" s="565" t="s">
        <v>11</v>
      </c>
      <c r="G2256" s="563" t="s">
        <v>11</v>
      </c>
      <c r="H2256" s="563" t="s">
        <v>212</v>
      </c>
      <c r="I2256" s="573">
        <v>15876090000</v>
      </c>
    </row>
    <row r="2257" spans="1:9" ht="16" x14ac:dyDescent="0.2">
      <c r="A2257" s="567">
        <v>46103</v>
      </c>
      <c r="B2257" s="568">
        <v>2026</v>
      </c>
      <c r="C2257" s="569">
        <v>3</v>
      </c>
      <c r="D2257" s="570">
        <v>12</v>
      </c>
      <c r="E2257" s="570">
        <v>22</v>
      </c>
      <c r="F2257" s="571" t="s">
        <v>221</v>
      </c>
      <c r="G2257" s="569" t="s">
        <v>207</v>
      </c>
      <c r="H2257" s="569" t="s">
        <v>212</v>
      </c>
      <c r="I2257" s="574">
        <v>0</v>
      </c>
    </row>
    <row r="2258" spans="1:9" ht="16" x14ac:dyDescent="0.2">
      <c r="A2258" s="561">
        <v>46103</v>
      </c>
      <c r="B2258" s="562">
        <v>2026</v>
      </c>
      <c r="C2258" s="563">
        <v>3</v>
      </c>
      <c r="D2258" s="564">
        <v>12</v>
      </c>
      <c r="E2258" s="564">
        <v>22</v>
      </c>
      <c r="F2258" s="565" t="s">
        <v>222</v>
      </c>
      <c r="G2258" s="563" t="s">
        <v>207</v>
      </c>
      <c r="H2258" s="563" t="s">
        <v>212</v>
      </c>
      <c r="I2258" s="573">
        <v>0</v>
      </c>
    </row>
    <row r="2259" spans="1:9" ht="16" x14ac:dyDescent="0.2">
      <c r="A2259" s="567">
        <v>46103</v>
      </c>
      <c r="B2259" s="568">
        <v>2026</v>
      </c>
      <c r="C2259" s="569">
        <v>3</v>
      </c>
      <c r="D2259" s="570">
        <v>12</v>
      </c>
      <c r="E2259" s="570">
        <v>22</v>
      </c>
      <c r="F2259" s="571" t="s">
        <v>223</v>
      </c>
      <c r="G2259" s="569" t="s">
        <v>207</v>
      </c>
      <c r="H2259" s="569" t="s">
        <v>212</v>
      </c>
      <c r="I2259" s="574">
        <v>0</v>
      </c>
    </row>
    <row r="2260" spans="1:9" ht="16" x14ac:dyDescent="0.2">
      <c r="A2260" s="561">
        <v>46103</v>
      </c>
      <c r="B2260" s="562">
        <v>2026</v>
      </c>
      <c r="C2260" s="563">
        <v>3</v>
      </c>
      <c r="D2260" s="564">
        <v>12</v>
      </c>
      <c r="E2260" s="564">
        <v>22</v>
      </c>
      <c r="F2260" s="565" t="s">
        <v>219</v>
      </c>
      <c r="G2260" s="563" t="s">
        <v>11</v>
      </c>
      <c r="H2260" s="563" t="s">
        <v>212</v>
      </c>
      <c r="I2260" s="573">
        <v>0</v>
      </c>
    </row>
    <row r="2261" spans="1:9" ht="16" x14ac:dyDescent="0.2">
      <c r="A2261" s="567">
        <v>46103</v>
      </c>
      <c r="B2261" s="568">
        <v>2026</v>
      </c>
      <c r="C2261" s="569">
        <v>3</v>
      </c>
      <c r="D2261" s="570">
        <v>12</v>
      </c>
      <c r="E2261" s="570">
        <v>22</v>
      </c>
      <c r="F2261" s="571" t="s">
        <v>19</v>
      </c>
      <c r="G2261" s="569" t="s">
        <v>19</v>
      </c>
      <c r="H2261" s="569" t="s">
        <v>214</v>
      </c>
      <c r="I2261" s="574">
        <v>11044404000</v>
      </c>
    </row>
    <row r="2262" spans="1:9" ht="16" x14ac:dyDescent="0.2">
      <c r="A2262" s="561">
        <v>46103</v>
      </c>
      <c r="B2262" s="562">
        <v>2026</v>
      </c>
      <c r="C2262" s="563">
        <v>3</v>
      </c>
      <c r="D2262" s="564">
        <v>12</v>
      </c>
      <c r="E2262" s="564">
        <v>22</v>
      </c>
      <c r="F2262" s="565" t="s">
        <v>62</v>
      </c>
      <c r="G2262" s="563" t="s">
        <v>62</v>
      </c>
      <c r="H2262" s="563" t="s">
        <v>216</v>
      </c>
      <c r="I2262" s="573">
        <v>139985406</v>
      </c>
    </row>
    <row r="2263" spans="1:9" ht="16" x14ac:dyDescent="0.2">
      <c r="A2263" s="567">
        <v>46103</v>
      </c>
      <c r="B2263" s="568">
        <v>2026</v>
      </c>
      <c r="C2263" s="569">
        <v>3</v>
      </c>
      <c r="D2263" s="570">
        <v>12</v>
      </c>
      <c r="E2263" s="570">
        <v>22</v>
      </c>
      <c r="F2263" s="571" t="s">
        <v>58</v>
      </c>
      <c r="G2263" s="569" t="s">
        <v>58</v>
      </c>
      <c r="H2263" s="569" t="s">
        <v>212</v>
      </c>
      <c r="I2263" s="574">
        <v>42000000</v>
      </c>
    </row>
    <row r="2264" spans="1:9" ht="16" x14ac:dyDescent="0.2">
      <c r="A2264" s="561">
        <v>46103</v>
      </c>
      <c r="B2264" s="562">
        <v>2026</v>
      </c>
      <c r="C2264" s="563">
        <v>3</v>
      </c>
      <c r="D2264" s="564">
        <v>12</v>
      </c>
      <c r="E2264" s="564">
        <v>22</v>
      </c>
      <c r="F2264" s="565" t="s">
        <v>61</v>
      </c>
      <c r="G2264" s="563" t="s">
        <v>61</v>
      </c>
      <c r="H2264" s="563" t="s">
        <v>214</v>
      </c>
      <c r="I2264" s="573">
        <v>49000000</v>
      </c>
    </row>
    <row r="2265" spans="1:9" ht="16" x14ac:dyDescent="0.2">
      <c r="A2265" s="567">
        <v>46103</v>
      </c>
      <c r="B2265" s="568">
        <v>2026</v>
      </c>
      <c r="C2265" s="569">
        <v>3</v>
      </c>
      <c r="D2265" s="570">
        <v>12</v>
      </c>
      <c r="E2265" s="570">
        <v>22</v>
      </c>
      <c r="F2265" s="571" t="s">
        <v>57</v>
      </c>
      <c r="G2265" s="569" t="s">
        <v>57</v>
      </c>
      <c r="H2265" s="569" t="s">
        <v>212</v>
      </c>
      <c r="I2265" s="574">
        <v>572920000</v>
      </c>
    </row>
    <row r="2266" spans="1:9" ht="16" x14ac:dyDescent="0.2">
      <c r="A2266" s="561">
        <v>46103</v>
      </c>
      <c r="B2266" s="562">
        <v>2026</v>
      </c>
      <c r="C2266" s="563">
        <v>3</v>
      </c>
      <c r="D2266" s="564">
        <v>12</v>
      </c>
      <c r="E2266" s="564">
        <v>22</v>
      </c>
      <c r="F2266" s="565" t="s">
        <v>63</v>
      </c>
      <c r="G2266" s="563" t="s">
        <v>63</v>
      </c>
      <c r="H2266" s="563" t="s">
        <v>214</v>
      </c>
      <c r="I2266" s="573">
        <v>266868000</v>
      </c>
    </row>
    <row r="2267" spans="1:9" ht="16" x14ac:dyDescent="0.2">
      <c r="A2267" s="567">
        <v>46103</v>
      </c>
      <c r="B2267" s="568">
        <v>2026</v>
      </c>
      <c r="C2267" s="569">
        <v>3</v>
      </c>
      <c r="D2267" s="570">
        <v>12</v>
      </c>
      <c r="E2267" s="570">
        <v>22</v>
      </c>
      <c r="F2267" s="571" t="s">
        <v>59</v>
      </c>
      <c r="G2267" s="569" t="s">
        <v>59</v>
      </c>
      <c r="H2267" s="569" t="s">
        <v>216</v>
      </c>
      <c r="I2267" s="574">
        <v>319332411</v>
      </c>
    </row>
    <row r="2268" spans="1:9" ht="16" x14ac:dyDescent="0.2">
      <c r="A2268" s="561">
        <v>46103</v>
      </c>
      <c r="B2268" s="562">
        <v>2026</v>
      </c>
      <c r="C2268" s="563">
        <v>3</v>
      </c>
      <c r="D2268" s="564">
        <v>12</v>
      </c>
      <c r="E2268" s="564">
        <v>22</v>
      </c>
      <c r="F2268" s="565" t="s">
        <v>31</v>
      </c>
      <c r="G2268" s="563" t="s">
        <v>175</v>
      </c>
      <c r="H2268" s="563" t="s">
        <v>212</v>
      </c>
      <c r="I2268" s="573">
        <v>2796330000</v>
      </c>
    </row>
    <row r="2269" spans="1:9" ht="16" x14ac:dyDescent="0.2">
      <c r="A2269" s="567">
        <v>46103</v>
      </c>
      <c r="B2269" s="568">
        <v>2026</v>
      </c>
      <c r="C2269" s="569">
        <v>3</v>
      </c>
      <c r="D2269" s="570">
        <v>12</v>
      </c>
      <c r="E2269" s="570">
        <v>22</v>
      </c>
      <c r="F2269" s="571" t="s">
        <v>234</v>
      </c>
      <c r="G2269" s="569" t="s">
        <v>210</v>
      </c>
      <c r="H2269" s="569" t="s">
        <v>214</v>
      </c>
      <c r="I2269" s="574">
        <v>30240000</v>
      </c>
    </row>
    <row r="2270" spans="1:9" ht="16" x14ac:dyDescent="0.2">
      <c r="A2270" s="561">
        <v>46104</v>
      </c>
      <c r="B2270" s="562">
        <v>2026</v>
      </c>
      <c r="C2270" s="563">
        <v>3</v>
      </c>
      <c r="D2270" s="564">
        <v>13</v>
      </c>
      <c r="E2270" s="564">
        <v>23</v>
      </c>
      <c r="F2270" s="565" t="s">
        <v>65</v>
      </c>
      <c r="G2270" s="563" t="s">
        <v>65</v>
      </c>
      <c r="H2270" s="563" t="s">
        <v>212</v>
      </c>
      <c r="I2270" s="573">
        <v>695790000</v>
      </c>
    </row>
    <row r="2271" spans="1:9" ht="16" x14ac:dyDescent="0.2">
      <c r="A2271" s="567">
        <v>46104</v>
      </c>
      <c r="B2271" s="568">
        <v>2026</v>
      </c>
      <c r="C2271" s="569">
        <v>3</v>
      </c>
      <c r="D2271" s="570">
        <v>13</v>
      </c>
      <c r="E2271" s="570">
        <v>23</v>
      </c>
      <c r="F2271" s="571" t="s">
        <v>66</v>
      </c>
      <c r="G2271" s="569" t="s">
        <v>66</v>
      </c>
      <c r="H2271" s="569" t="s">
        <v>216</v>
      </c>
      <c r="I2271" s="574">
        <v>278930554</v>
      </c>
    </row>
    <row r="2272" spans="1:9" ht="16" x14ac:dyDescent="0.2">
      <c r="A2272" s="561">
        <v>46104</v>
      </c>
      <c r="B2272" s="562">
        <v>2026</v>
      </c>
      <c r="C2272" s="563">
        <v>3</v>
      </c>
      <c r="D2272" s="564">
        <v>13</v>
      </c>
      <c r="E2272" s="564">
        <v>23</v>
      </c>
      <c r="F2272" s="565" t="s">
        <v>24</v>
      </c>
      <c r="G2272" s="563" t="s">
        <v>24</v>
      </c>
      <c r="H2272" s="563" t="s">
        <v>212</v>
      </c>
      <c r="I2272" s="573">
        <v>18739380000</v>
      </c>
    </row>
    <row r="2273" spans="1:9" ht="16" x14ac:dyDescent="0.2">
      <c r="A2273" s="567">
        <v>46104</v>
      </c>
      <c r="B2273" s="568">
        <v>2026</v>
      </c>
      <c r="C2273" s="569">
        <v>3</v>
      </c>
      <c r="D2273" s="570">
        <v>13</v>
      </c>
      <c r="E2273" s="570">
        <v>23</v>
      </c>
      <c r="F2273" s="571" t="s">
        <v>67</v>
      </c>
      <c r="G2273" s="569" t="s">
        <v>67</v>
      </c>
      <c r="H2273" s="569" t="s">
        <v>213</v>
      </c>
      <c r="I2273" s="574">
        <v>1527725458</v>
      </c>
    </row>
    <row r="2274" spans="1:9" ht="16" x14ac:dyDescent="0.2">
      <c r="A2274" s="561">
        <v>46104</v>
      </c>
      <c r="B2274" s="562">
        <v>2026</v>
      </c>
      <c r="C2274" s="563">
        <v>3</v>
      </c>
      <c r="D2274" s="564">
        <v>13</v>
      </c>
      <c r="E2274" s="564">
        <v>23</v>
      </c>
      <c r="F2274" s="565" t="s">
        <v>28</v>
      </c>
      <c r="G2274" s="563" t="s">
        <v>28</v>
      </c>
      <c r="H2274" s="563" t="s">
        <v>214</v>
      </c>
      <c r="I2274" s="573">
        <v>13494276000</v>
      </c>
    </row>
    <row r="2275" spans="1:9" ht="16" x14ac:dyDescent="0.2">
      <c r="A2275" s="567">
        <v>46104</v>
      </c>
      <c r="B2275" s="568">
        <v>2026</v>
      </c>
      <c r="C2275" s="569">
        <v>3</v>
      </c>
      <c r="D2275" s="570">
        <v>13</v>
      </c>
      <c r="E2275" s="570">
        <v>23</v>
      </c>
      <c r="F2275" s="571" t="s">
        <v>208</v>
      </c>
      <c r="G2275" s="569" t="s">
        <v>208</v>
      </c>
      <c r="H2275" s="569" t="s">
        <v>216</v>
      </c>
      <c r="I2275" s="574">
        <v>13556549</v>
      </c>
    </row>
    <row r="2276" spans="1:9" ht="16" x14ac:dyDescent="0.2">
      <c r="A2276" s="561">
        <v>46104</v>
      </c>
      <c r="B2276" s="562">
        <v>2026</v>
      </c>
      <c r="C2276" s="563">
        <v>3</v>
      </c>
      <c r="D2276" s="564">
        <v>13</v>
      </c>
      <c r="E2276" s="564">
        <v>23</v>
      </c>
      <c r="F2276" s="565" t="s">
        <v>60</v>
      </c>
      <c r="G2276" s="563" t="s">
        <v>60</v>
      </c>
      <c r="H2276" s="563" t="s">
        <v>212</v>
      </c>
      <c r="I2276" s="573">
        <v>50000000</v>
      </c>
    </row>
    <row r="2277" spans="1:9" ht="16" x14ac:dyDescent="0.2">
      <c r="A2277" s="567">
        <v>46104</v>
      </c>
      <c r="B2277" s="568">
        <v>2026</v>
      </c>
      <c r="C2277" s="569">
        <v>3</v>
      </c>
      <c r="D2277" s="570">
        <v>13</v>
      </c>
      <c r="E2277" s="570">
        <v>23</v>
      </c>
      <c r="F2277" s="571" t="s">
        <v>36</v>
      </c>
      <c r="G2277" s="569" t="s">
        <v>36</v>
      </c>
      <c r="H2277" s="569" t="s">
        <v>212</v>
      </c>
      <c r="I2277" s="574">
        <v>1886090000</v>
      </c>
    </row>
    <row r="2278" spans="1:9" ht="16" x14ac:dyDescent="0.2">
      <c r="A2278" s="561">
        <v>46104</v>
      </c>
      <c r="B2278" s="562">
        <v>2026</v>
      </c>
      <c r="C2278" s="563">
        <v>3</v>
      </c>
      <c r="D2278" s="564">
        <v>13</v>
      </c>
      <c r="E2278" s="564">
        <v>23</v>
      </c>
      <c r="F2278" s="565" t="s">
        <v>55</v>
      </c>
      <c r="G2278" s="563" t="s">
        <v>36</v>
      </c>
      <c r="H2278" s="563" t="s">
        <v>212</v>
      </c>
      <c r="I2278" s="573">
        <v>638650000</v>
      </c>
    </row>
    <row r="2279" spans="1:9" ht="16" x14ac:dyDescent="0.2">
      <c r="A2279" s="567">
        <v>46104</v>
      </c>
      <c r="B2279" s="568">
        <v>2026</v>
      </c>
      <c r="C2279" s="569">
        <v>3</v>
      </c>
      <c r="D2279" s="570">
        <v>13</v>
      </c>
      <c r="E2279" s="570">
        <v>23</v>
      </c>
      <c r="F2279" s="571" t="s">
        <v>176</v>
      </c>
      <c r="G2279" s="569" t="s">
        <v>176</v>
      </c>
      <c r="H2279" s="569" t="s">
        <v>216</v>
      </c>
      <c r="I2279" s="574">
        <v>1103000</v>
      </c>
    </row>
    <row r="2280" spans="1:9" ht="16" x14ac:dyDescent="0.2">
      <c r="A2280" s="561">
        <v>46104</v>
      </c>
      <c r="B2280" s="562">
        <v>2026</v>
      </c>
      <c r="C2280" s="563">
        <v>3</v>
      </c>
      <c r="D2280" s="564">
        <v>13</v>
      </c>
      <c r="E2280" s="564">
        <v>23</v>
      </c>
      <c r="F2280" s="565" t="s">
        <v>39</v>
      </c>
      <c r="G2280" s="563" t="s">
        <v>176</v>
      </c>
      <c r="H2280" s="563" t="s">
        <v>216</v>
      </c>
      <c r="I2280" s="573">
        <v>761779372</v>
      </c>
    </row>
    <row r="2281" spans="1:9" ht="16" x14ac:dyDescent="0.2">
      <c r="A2281" s="567">
        <v>46104</v>
      </c>
      <c r="B2281" s="568">
        <v>2026</v>
      </c>
      <c r="C2281" s="569">
        <v>3</v>
      </c>
      <c r="D2281" s="570">
        <v>13</v>
      </c>
      <c r="E2281" s="570">
        <v>23</v>
      </c>
      <c r="F2281" s="571" t="s">
        <v>206</v>
      </c>
      <c r="G2281" s="569" t="s">
        <v>206</v>
      </c>
      <c r="H2281" s="569" t="s">
        <v>212</v>
      </c>
      <c r="I2281" s="574">
        <v>0</v>
      </c>
    </row>
    <row r="2282" spans="1:9" ht="16" x14ac:dyDescent="0.2">
      <c r="A2282" s="561">
        <v>46104</v>
      </c>
      <c r="B2282" s="562">
        <v>2026</v>
      </c>
      <c r="C2282" s="563">
        <v>3</v>
      </c>
      <c r="D2282" s="564">
        <v>13</v>
      </c>
      <c r="E2282" s="564">
        <v>23</v>
      </c>
      <c r="F2282" s="565" t="s">
        <v>64</v>
      </c>
      <c r="G2282" s="563" t="s">
        <v>209</v>
      </c>
      <c r="H2282" s="563" t="s">
        <v>212</v>
      </c>
      <c r="I2282" s="573">
        <v>73500000</v>
      </c>
    </row>
    <row r="2283" spans="1:9" ht="16" x14ac:dyDescent="0.2">
      <c r="A2283" s="567">
        <v>46104</v>
      </c>
      <c r="B2283" s="568">
        <v>2026</v>
      </c>
      <c r="C2283" s="569">
        <v>3</v>
      </c>
      <c r="D2283" s="570">
        <v>13</v>
      </c>
      <c r="E2283" s="570">
        <v>23</v>
      </c>
      <c r="F2283" s="571" t="s">
        <v>237</v>
      </c>
      <c r="G2283" s="569" t="s">
        <v>209</v>
      </c>
      <c r="H2283" s="569" t="s">
        <v>212</v>
      </c>
      <c r="I2283" s="574">
        <v>0</v>
      </c>
    </row>
    <row r="2284" spans="1:9" ht="16" x14ac:dyDescent="0.2">
      <c r="A2284" s="561">
        <v>46104</v>
      </c>
      <c r="B2284" s="562">
        <v>2026</v>
      </c>
      <c r="C2284" s="563">
        <v>3</v>
      </c>
      <c r="D2284" s="564">
        <v>13</v>
      </c>
      <c r="E2284" s="564">
        <v>23</v>
      </c>
      <c r="F2284" s="565" t="s">
        <v>11</v>
      </c>
      <c r="G2284" s="563" t="s">
        <v>11</v>
      </c>
      <c r="H2284" s="563" t="s">
        <v>212</v>
      </c>
      <c r="I2284" s="573">
        <v>17549970000</v>
      </c>
    </row>
    <row r="2285" spans="1:9" ht="16" x14ac:dyDescent="0.2">
      <c r="A2285" s="567">
        <v>46104</v>
      </c>
      <c r="B2285" s="568">
        <v>2026</v>
      </c>
      <c r="C2285" s="569">
        <v>3</v>
      </c>
      <c r="D2285" s="570">
        <v>13</v>
      </c>
      <c r="E2285" s="570">
        <v>23</v>
      </c>
      <c r="F2285" s="571" t="s">
        <v>221</v>
      </c>
      <c r="G2285" s="569" t="s">
        <v>207</v>
      </c>
      <c r="H2285" s="569" t="s">
        <v>212</v>
      </c>
      <c r="I2285" s="574">
        <v>0</v>
      </c>
    </row>
    <row r="2286" spans="1:9" ht="16" x14ac:dyDescent="0.2">
      <c r="A2286" s="561">
        <v>46104</v>
      </c>
      <c r="B2286" s="562">
        <v>2026</v>
      </c>
      <c r="C2286" s="563">
        <v>3</v>
      </c>
      <c r="D2286" s="564">
        <v>13</v>
      </c>
      <c r="E2286" s="564">
        <v>23</v>
      </c>
      <c r="F2286" s="565" t="s">
        <v>222</v>
      </c>
      <c r="G2286" s="563" t="s">
        <v>207</v>
      </c>
      <c r="H2286" s="563" t="s">
        <v>212</v>
      </c>
      <c r="I2286" s="573">
        <v>0</v>
      </c>
    </row>
    <row r="2287" spans="1:9" ht="16" x14ac:dyDescent="0.2">
      <c r="A2287" s="567">
        <v>46104</v>
      </c>
      <c r="B2287" s="568">
        <v>2026</v>
      </c>
      <c r="C2287" s="569">
        <v>3</v>
      </c>
      <c r="D2287" s="570">
        <v>13</v>
      </c>
      <c r="E2287" s="570">
        <v>23</v>
      </c>
      <c r="F2287" s="571" t="s">
        <v>223</v>
      </c>
      <c r="G2287" s="569" t="s">
        <v>207</v>
      </c>
      <c r="H2287" s="569" t="s">
        <v>212</v>
      </c>
      <c r="I2287" s="574">
        <v>0</v>
      </c>
    </row>
    <row r="2288" spans="1:9" ht="16" x14ac:dyDescent="0.2">
      <c r="A2288" s="561">
        <v>46104</v>
      </c>
      <c r="B2288" s="562">
        <v>2026</v>
      </c>
      <c r="C2288" s="563">
        <v>3</v>
      </c>
      <c r="D2288" s="564">
        <v>13</v>
      </c>
      <c r="E2288" s="564">
        <v>23</v>
      </c>
      <c r="F2288" s="565" t="s">
        <v>219</v>
      </c>
      <c r="G2288" s="563" t="s">
        <v>11</v>
      </c>
      <c r="H2288" s="563" t="s">
        <v>212</v>
      </c>
      <c r="I2288" s="573">
        <v>0</v>
      </c>
    </row>
    <row r="2289" spans="1:9" ht="16" x14ac:dyDescent="0.2">
      <c r="A2289" s="567">
        <v>46104</v>
      </c>
      <c r="B2289" s="568">
        <v>2026</v>
      </c>
      <c r="C2289" s="569">
        <v>3</v>
      </c>
      <c r="D2289" s="570">
        <v>13</v>
      </c>
      <c r="E2289" s="570">
        <v>23</v>
      </c>
      <c r="F2289" s="571" t="s">
        <v>19</v>
      </c>
      <c r="G2289" s="569" t="s">
        <v>19</v>
      </c>
      <c r="H2289" s="569" t="s">
        <v>214</v>
      </c>
      <c r="I2289" s="574">
        <v>11250468000</v>
      </c>
    </row>
    <row r="2290" spans="1:9" ht="16" x14ac:dyDescent="0.2">
      <c r="A2290" s="561">
        <v>46104</v>
      </c>
      <c r="B2290" s="562">
        <v>2026</v>
      </c>
      <c r="C2290" s="563">
        <v>3</v>
      </c>
      <c r="D2290" s="564">
        <v>13</v>
      </c>
      <c r="E2290" s="564">
        <v>23</v>
      </c>
      <c r="F2290" s="565" t="s">
        <v>62</v>
      </c>
      <c r="G2290" s="563" t="s">
        <v>62</v>
      </c>
      <c r="H2290" s="563" t="s">
        <v>216</v>
      </c>
      <c r="I2290" s="573">
        <v>120630730</v>
      </c>
    </row>
    <row r="2291" spans="1:9" ht="16" x14ac:dyDescent="0.2">
      <c r="A2291" s="567">
        <v>46104</v>
      </c>
      <c r="B2291" s="568">
        <v>2026</v>
      </c>
      <c r="C2291" s="569">
        <v>3</v>
      </c>
      <c r="D2291" s="570">
        <v>13</v>
      </c>
      <c r="E2291" s="570">
        <v>23</v>
      </c>
      <c r="F2291" s="571" t="s">
        <v>58</v>
      </c>
      <c r="G2291" s="569" t="s">
        <v>58</v>
      </c>
      <c r="H2291" s="569" t="s">
        <v>212</v>
      </c>
      <c r="I2291" s="574">
        <v>119700000</v>
      </c>
    </row>
    <row r="2292" spans="1:9" ht="16" x14ac:dyDescent="0.2">
      <c r="A2292" s="561">
        <v>46104</v>
      </c>
      <c r="B2292" s="562">
        <v>2026</v>
      </c>
      <c r="C2292" s="563">
        <v>3</v>
      </c>
      <c r="D2292" s="564">
        <v>13</v>
      </c>
      <c r="E2292" s="564">
        <v>23</v>
      </c>
      <c r="F2292" s="565" t="s">
        <v>61</v>
      </c>
      <c r="G2292" s="563" t="s">
        <v>61</v>
      </c>
      <c r="H2292" s="563" t="s">
        <v>214</v>
      </c>
      <c r="I2292" s="573">
        <v>61000000</v>
      </c>
    </row>
    <row r="2293" spans="1:9" ht="16" x14ac:dyDescent="0.2">
      <c r="A2293" s="567">
        <v>46104</v>
      </c>
      <c r="B2293" s="568">
        <v>2026</v>
      </c>
      <c r="C2293" s="569">
        <v>3</v>
      </c>
      <c r="D2293" s="570">
        <v>13</v>
      </c>
      <c r="E2293" s="570">
        <v>23</v>
      </c>
      <c r="F2293" s="571" t="s">
        <v>57</v>
      </c>
      <c r="G2293" s="569" t="s">
        <v>57</v>
      </c>
      <c r="H2293" s="569" t="s">
        <v>212</v>
      </c>
      <c r="I2293" s="574">
        <v>914960000</v>
      </c>
    </row>
    <row r="2294" spans="1:9" ht="16" x14ac:dyDescent="0.2">
      <c r="A2294" s="561">
        <v>46104</v>
      </c>
      <c r="B2294" s="562">
        <v>2026</v>
      </c>
      <c r="C2294" s="563">
        <v>3</v>
      </c>
      <c r="D2294" s="564">
        <v>13</v>
      </c>
      <c r="E2294" s="564">
        <v>23</v>
      </c>
      <c r="F2294" s="565" t="s">
        <v>63</v>
      </c>
      <c r="G2294" s="563" t="s">
        <v>63</v>
      </c>
      <c r="H2294" s="563" t="s">
        <v>214</v>
      </c>
      <c r="I2294" s="573">
        <v>269136000</v>
      </c>
    </row>
    <row r="2295" spans="1:9" ht="16" x14ac:dyDescent="0.2">
      <c r="A2295" s="567">
        <v>46104</v>
      </c>
      <c r="B2295" s="568">
        <v>2026</v>
      </c>
      <c r="C2295" s="569">
        <v>3</v>
      </c>
      <c r="D2295" s="570">
        <v>13</v>
      </c>
      <c r="E2295" s="570">
        <v>23</v>
      </c>
      <c r="F2295" s="571" t="s">
        <v>59</v>
      </c>
      <c r="G2295" s="569" t="s">
        <v>59</v>
      </c>
      <c r="H2295" s="569" t="s">
        <v>216</v>
      </c>
      <c r="I2295" s="574">
        <v>317714985</v>
      </c>
    </row>
    <row r="2296" spans="1:9" ht="16" x14ac:dyDescent="0.2">
      <c r="A2296" s="561">
        <v>46104</v>
      </c>
      <c r="B2296" s="562">
        <v>2026</v>
      </c>
      <c r="C2296" s="563">
        <v>3</v>
      </c>
      <c r="D2296" s="564">
        <v>13</v>
      </c>
      <c r="E2296" s="564">
        <v>23</v>
      </c>
      <c r="F2296" s="565" t="s">
        <v>31</v>
      </c>
      <c r="G2296" s="563" t="s">
        <v>175</v>
      </c>
      <c r="H2296" s="563" t="s">
        <v>212</v>
      </c>
      <c r="I2296" s="573">
        <v>3001550000</v>
      </c>
    </row>
    <row r="2297" spans="1:9" ht="16" x14ac:dyDescent="0.2">
      <c r="A2297" s="567">
        <v>46104</v>
      </c>
      <c r="B2297" s="568">
        <v>2026</v>
      </c>
      <c r="C2297" s="569">
        <v>3</v>
      </c>
      <c r="D2297" s="570">
        <v>13</v>
      </c>
      <c r="E2297" s="570">
        <v>23</v>
      </c>
      <c r="F2297" s="571" t="s">
        <v>234</v>
      </c>
      <c r="G2297" s="569" t="s">
        <v>210</v>
      </c>
      <c r="H2297" s="569" t="s">
        <v>214</v>
      </c>
      <c r="I2297" s="574">
        <v>11880000</v>
      </c>
    </row>
    <row r="2298" spans="1:9" ht="16" x14ac:dyDescent="0.2">
      <c r="A2298" s="561">
        <v>46105</v>
      </c>
      <c r="B2298" s="562">
        <v>2026</v>
      </c>
      <c r="C2298" s="563">
        <v>3</v>
      </c>
      <c r="D2298" s="564">
        <v>13</v>
      </c>
      <c r="E2298" s="564">
        <v>24</v>
      </c>
      <c r="F2298" s="565" t="s">
        <v>65</v>
      </c>
      <c r="G2298" s="563" t="s">
        <v>65</v>
      </c>
      <c r="H2298" s="563" t="s">
        <v>212</v>
      </c>
      <c r="I2298" s="573">
        <v>730660000</v>
      </c>
    </row>
    <row r="2299" spans="1:9" ht="16" x14ac:dyDescent="0.2">
      <c r="A2299" s="567">
        <v>46105</v>
      </c>
      <c r="B2299" s="568">
        <v>2026</v>
      </c>
      <c r="C2299" s="569">
        <v>3</v>
      </c>
      <c r="D2299" s="570">
        <v>13</v>
      </c>
      <c r="E2299" s="570">
        <v>24</v>
      </c>
      <c r="F2299" s="571" t="s">
        <v>66</v>
      </c>
      <c r="G2299" s="569" t="s">
        <v>66</v>
      </c>
      <c r="H2299" s="569" t="s">
        <v>216</v>
      </c>
      <c r="I2299" s="574">
        <v>307487767</v>
      </c>
    </row>
    <row r="2300" spans="1:9" ht="16" x14ac:dyDescent="0.2">
      <c r="A2300" s="561">
        <v>46105</v>
      </c>
      <c r="B2300" s="562">
        <v>2026</v>
      </c>
      <c r="C2300" s="563">
        <v>3</v>
      </c>
      <c r="D2300" s="564">
        <v>13</v>
      </c>
      <c r="E2300" s="564">
        <v>24</v>
      </c>
      <c r="F2300" s="565" t="s">
        <v>24</v>
      </c>
      <c r="G2300" s="563" t="s">
        <v>24</v>
      </c>
      <c r="H2300" s="563" t="s">
        <v>212</v>
      </c>
      <c r="I2300" s="573">
        <v>16395660000</v>
      </c>
    </row>
    <row r="2301" spans="1:9" ht="16" x14ac:dyDescent="0.2">
      <c r="A2301" s="567">
        <v>46105</v>
      </c>
      <c r="B2301" s="568">
        <v>2026</v>
      </c>
      <c r="C2301" s="569">
        <v>3</v>
      </c>
      <c r="D2301" s="570">
        <v>13</v>
      </c>
      <c r="E2301" s="570">
        <v>24</v>
      </c>
      <c r="F2301" s="571" t="s">
        <v>67</v>
      </c>
      <c r="G2301" s="569" t="s">
        <v>67</v>
      </c>
      <c r="H2301" s="569" t="s">
        <v>213</v>
      </c>
      <c r="I2301" s="574">
        <v>1685209063</v>
      </c>
    </row>
    <row r="2302" spans="1:9" ht="16" x14ac:dyDescent="0.2">
      <c r="A2302" s="561">
        <v>46105</v>
      </c>
      <c r="B2302" s="562">
        <v>2026</v>
      </c>
      <c r="C2302" s="563">
        <v>3</v>
      </c>
      <c r="D2302" s="564">
        <v>13</v>
      </c>
      <c r="E2302" s="564">
        <v>24</v>
      </c>
      <c r="F2302" s="565" t="s">
        <v>28</v>
      </c>
      <c r="G2302" s="563" t="s">
        <v>28</v>
      </c>
      <c r="H2302" s="563" t="s">
        <v>214</v>
      </c>
      <c r="I2302" s="573">
        <v>12734604000</v>
      </c>
    </row>
    <row r="2303" spans="1:9" ht="16" x14ac:dyDescent="0.2">
      <c r="A2303" s="567">
        <v>46105</v>
      </c>
      <c r="B2303" s="568">
        <v>2026</v>
      </c>
      <c r="C2303" s="569">
        <v>3</v>
      </c>
      <c r="D2303" s="570">
        <v>13</v>
      </c>
      <c r="E2303" s="570">
        <v>24</v>
      </c>
      <c r="F2303" s="571" t="s">
        <v>208</v>
      </c>
      <c r="G2303" s="569" t="s">
        <v>208</v>
      </c>
      <c r="H2303" s="569" t="s">
        <v>216</v>
      </c>
      <c r="I2303" s="574">
        <v>8102318</v>
      </c>
    </row>
    <row r="2304" spans="1:9" ht="16" x14ac:dyDescent="0.2">
      <c r="A2304" s="561">
        <v>46105</v>
      </c>
      <c r="B2304" s="562">
        <v>2026</v>
      </c>
      <c r="C2304" s="563">
        <v>3</v>
      </c>
      <c r="D2304" s="564">
        <v>13</v>
      </c>
      <c r="E2304" s="564">
        <v>24</v>
      </c>
      <c r="F2304" s="565" t="s">
        <v>60</v>
      </c>
      <c r="G2304" s="563" t="s">
        <v>60</v>
      </c>
      <c r="H2304" s="563" t="s">
        <v>212</v>
      </c>
      <c r="I2304" s="573">
        <v>80000000</v>
      </c>
    </row>
    <row r="2305" spans="1:9" ht="16" x14ac:dyDescent="0.2">
      <c r="A2305" s="567">
        <v>46105</v>
      </c>
      <c r="B2305" s="568">
        <v>2026</v>
      </c>
      <c r="C2305" s="569">
        <v>3</v>
      </c>
      <c r="D2305" s="570">
        <v>13</v>
      </c>
      <c r="E2305" s="570">
        <v>24</v>
      </c>
      <c r="F2305" s="571" t="s">
        <v>36</v>
      </c>
      <c r="G2305" s="569" t="s">
        <v>36</v>
      </c>
      <c r="H2305" s="569" t="s">
        <v>212</v>
      </c>
      <c r="I2305" s="574">
        <v>2197800000</v>
      </c>
    </row>
    <row r="2306" spans="1:9" ht="16" x14ac:dyDescent="0.2">
      <c r="A2306" s="561">
        <v>46105</v>
      </c>
      <c r="B2306" s="562">
        <v>2026</v>
      </c>
      <c r="C2306" s="563">
        <v>3</v>
      </c>
      <c r="D2306" s="564">
        <v>13</v>
      </c>
      <c r="E2306" s="564">
        <v>24</v>
      </c>
      <c r="F2306" s="565" t="s">
        <v>55</v>
      </c>
      <c r="G2306" s="563" t="s">
        <v>36</v>
      </c>
      <c r="H2306" s="563" t="s">
        <v>212</v>
      </c>
      <c r="I2306" s="573">
        <v>799920000</v>
      </c>
    </row>
    <row r="2307" spans="1:9" ht="16" x14ac:dyDescent="0.2">
      <c r="A2307" s="567">
        <v>46105</v>
      </c>
      <c r="B2307" s="568">
        <v>2026</v>
      </c>
      <c r="C2307" s="569">
        <v>3</v>
      </c>
      <c r="D2307" s="570">
        <v>13</v>
      </c>
      <c r="E2307" s="570">
        <v>24</v>
      </c>
      <c r="F2307" s="571" t="s">
        <v>176</v>
      </c>
      <c r="G2307" s="569" t="s">
        <v>176</v>
      </c>
      <c r="H2307" s="569" t="s">
        <v>216</v>
      </c>
      <c r="I2307" s="574">
        <v>461000</v>
      </c>
    </row>
    <row r="2308" spans="1:9" ht="16" x14ac:dyDescent="0.2">
      <c r="A2308" s="561">
        <v>46105</v>
      </c>
      <c r="B2308" s="562">
        <v>2026</v>
      </c>
      <c r="C2308" s="563">
        <v>3</v>
      </c>
      <c r="D2308" s="564">
        <v>13</v>
      </c>
      <c r="E2308" s="564">
        <v>24</v>
      </c>
      <c r="F2308" s="565" t="s">
        <v>39</v>
      </c>
      <c r="G2308" s="563" t="s">
        <v>176</v>
      </c>
      <c r="H2308" s="563" t="s">
        <v>216</v>
      </c>
      <c r="I2308" s="573">
        <v>657687289</v>
      </c>
    </row>
    <row r="2309" spans="1:9" ht="16" x14ac:dyDescent="0.2">
      <c r="A2309" s="567">
        <v>46105</v>
      </c>
      <c r="B2309" s="568">
        <v>2026</v>
      </c>
      <c r="C2309" s="569">
        <v>3</v>
      </c>
      <c r="D2309" s="570">
        <v>13</v>
      </c>
      <c r="E2309" s="570">
        <v>24</v>
      </c>
      <c r="F2309" s="571" t="s">
        <v>206</v>
      </c>
      <c r="G2309" s="569" t="s">
        <v>206</v>
      </c>
      <c r="H2309" s="569" t="s">
        <v>212</v>
      </c>
      <c r="I2309" s="574">
        <v>0</v>
      </c>
    </row>
    <row r="2310" spans="1:9" ht="16" x14ac:dyDescent="0.2">
      <c r="A2310" s="561">
        <v>46105</v>
      </c>
      <c r="B2310" s="562">
        <v>2026</v>
      </c>
      <c r="C2310" s="563">
        <v>3</v>
      </c>
      <c r="D2310" s="564">
        <v>13</v>
      </c>
      <c r="E2310" s="564">
        <v>24</v>
      </c>
      <c r="F2310" s="565" t="s">
        <v>64</v>
      </c>
      <c r="G2310" s="563" t="s">
        <v>209</v>
      </c>
      <c r="H2310" s="563" t="s">
        <v>212</v>
      </c>
      <c r="I2310" s="573">
        <v>78000000</v>
      </c>
    </row>
    <row r="2311" spans="1:9" ht="16" x14ac:dyDescent="0.2">
      <c r="A2311" s="567">
        <v>46105</v>
      </c>
      <c r="B2311" s="568">
        <v>2026</v>
      </c>
      <c r="C2311" s="569">
        <v>3</v>
      </c>
      <c r="D2311" s="570">
        <v>13</v>
      </c>
      <c r="E2311" s="570">
        <v>24</v>
      </c>
      <c r="F2311" s="571" t="s">
        <v>237</v>
      </c>
      <c r="G2311" s="569" t="s">
        <v>209</v>
      </c>
      <c r="H2311" s="569" t="s">
        <v>212</v>
      </c>
      <c r="I2311" s="574">
        <v>0</v>
      </c>
    </row>
    <row r="2312" spans="1:9" ht="16" x14ac:dyDescent="0.2">
      <c r="A2312" s="561">
        <v>46105</v>
      </c>
      <c r="B2312" s="562">
        <v>2026</v>
      </c>
      <c r="C2312" s="563">
        <v>3</v>
      </c>
      <c r="D2312" s="564">
        <v>13</v>
      </c>
      <c r="E2312" s="564">
        <v>24</v>
      </c>
      <c r="F2312" s="565" t="s">
        <v>11</v>
      </c>
      <c r="G2312" s="563" t="s">
        <v>11</v>
      </c>
      <c r="H2312" s="563" t="s">
        <v>212</v>
      </c>
      <c r="I2312" s="573">
        <v>17340180000</v>
      </c>
    </row>
    <row r="2313" spans="1:9" ht="16" x14ac:dyDescent="0.2">
      <c r="A2313" s="567">
        <v>46105</v>
      </c>
      <c r="B2313" s="568">
        <v>2026</v>
      </c>
      <c r="C2313" s="569">
        <v>3</v>
      </c>
      <c r="D2313" s="570">
        <v>13</v>
      </c>
      <c r="E2313" s="570">
        <v>24</v>
      </c>
      <c r="F2313" s="571" t="s">
        <v>221</v>
      </c>
      <c r="G2313" s="569" t="s">
        <v>207</v>
      </c>
      <c r="H2313" s="569" t="s">
        <v>212</v>
      </c>
      <c r="I2313" s="574">
        <v>0</v>
      </c>
    </row>
    <row r="2314" spans="1:9" ht="16" x14ac:dyDescent="0.2">
      <c r="A2314" s="561">
        <v>46105</v>
      </c>
      <c r="B2314" s="562">
        <v>2026</v>
      </c>
      <c r="C2314" s="563">
        <v>3</v>
      </c>
      <c r="D2314" s="564">
        <v>13</v>
      </c>
      <c r="E2314" s="564">
        <v>24</v>
      </c>
      <c r="F2314" s="565" t="s">
        <v>222</v>
      </c>
      <c r="G2314" s="563" t="s">
        <v>207</v>
      </c>
      <c r="H2314" s="563" t="s">
        <v>212</v>
      </c>
      <c r="I2314" s="573">
        <v>0</v>
      </c>
    </row>
    <row r="2315" spans="1:9" ht="16" x14ac:dyDescent="0.2">
      <c r="A2315" s="567">
        <v>46105</v>
      </c>
      <c r="B2315" s="568">
        <v>2026</v>
      </c>
      <c r="C2315" s="569">
        <v>3</v>
      </c>
      <c r="D2315" s="570">
        <v>13</v>
      </c>
      <c r="E2315" s="570">
        <v>24</v>
      </c>
      <c r="F2315" s="571" t="s">
        <v>223</v>
      </c>
      <c r="G2315" s="569" t="s">
        <v>207</v>
      </c>
      <c r="H2315" s="569" t="s">
        <v>212</v>
      </c>
      <c r="I2315" s="574">
        <v>0</v>
      </c>
    </row>
    <row r="2316" spans="1:9" ht="16" x14ac:dyDescent="0.2">
      <c r="A2316" s="561">
        <v>46105</v>
      </c>
      <c r="B2316" s="562">
        <v>2026</v>
      </c>
      <c r="C2316" s="563">
        <v>3</v>
      </c>
      <c r="D2316" s="564">
        <v>13</v>
      </c>
      <c r="E2316" s="564">
        <v>24</v>
      </c>
      <c r="F2316" s="565" t="s">
        <v>219</v>
      </c>
      <c r="G2316" s="563" t="s">
        <v>11</v>
      </c>
      <c r="H2316" s="563" t="s">
        <v>212</v>
      </c>
      <c r="I2316" s="573">
        <v>0</v>
      </c>
    </row>
    <row r="2317" spans="1:9" ht="16" x14ac:dyDescent="0.2">
      <c r="A2317" s="567">
        <v>46105</v>
      </c>
      <c r="B2317" s="568">
        <v>2026</v>
      </c>
      <c r="C2317" s="569">
        <v>3</v>
      </c>
      <c r="D2317" s="570">
        <v>13</v>
      </c>
      <c r="E2317" s="570">
        <v>24</v>
      </c>
      <c r="F2317" s="571" t="s">
        <v>19</v>
      </c>
      <c r="G2317" s="569" t="s">
        <v>19</v>
      </c>
      <c r="H2317" s="569" t="s">
        <v>214</v>
      </c>
      <c r="I2317" s="574">
        <v>11052720000</v>
      </c>
    </row>
    <row r="2318" spans="1:9" ht="16" x14ac:dyDescent="0.2">
      <c r="A2318" s="561">
        <v>46105</v>
      </c>
      <c r="B2318" s="562">
        <v>2026</v>
      </c>
      <c r="C2318" s="563">
        <v>3</v>
      </c>
      <c r="D2318" s="564">
        <v>13</v>
      </c>
      <c r="E2318" s="564">
        <v>24</v>
      </c>
      <c r="F2318" s="565" t="s">
        <v>62</v>
      </c>
      <c r="G2318" s="563" t="s">
        <v>62</v>
      </c>
      <c r="H2318" s="563" t="s">
        <v>216</v>
      </c>
      <c r="I2318" s="573">
        <v>131582412</v>
      </c>
    </row>
    <row r="2319" spans="1:9" ht="16" x14ac:dyDescent="0.2">
      <c r="A2319" s="567">
        <v>46105</v>
      </c>
      <c r="B2319" s="568">
        <v>2026</v>
      </c>
      <c r="C2319" s="569">
        <v>3</v>
      </c>
      <c r="D2319" s="570">
        <v>13</v>
      </c>
      <c r="E2319" s="570">
        <v>24</v>
      </c>
      <c r="F2319" s="571" t="s">
        <v>58</v>
      </c>
      <c r="G2319" s="569" t="s">
        <v>58</v>
      </c>
      <c r="H2319" s="569" t="s">
        <v>212</v>
      </c>
      <c r="I2319" s="574">
        <v>77250000</v>
      </c>
    </row>
    <row r="2320" spans="1:9" ht="16" x14ac:dyDescent="0.2">
      <c r="A2320" s="561">
        <v>46105</v>
      </c>
      <c r="B2320" s="562">
        <v>2026</v>
      </c>
      <c r="C2320" s="563">
        <v>3</v>
      </c>
      <c r="D2320" s="564">
        <v>13</v>
      </c>
      <c r="E2320" s="564">
        <v>24</v>
      </c>
      <c r="F2320" s="565" t="s">
        <v>61</v>
      </c>
      <c r="G2320" s="563" t="s">
        <v>61</v>
      </c>
      <c r="H2320" s="563" t="s">
        <v>214</v>
      </c>
      <c r="I2320" s="573">
        <v>61000000</v>
      </c>
    </row>
    <row r="2321" spans="1:9" ht="16" x14ac:dyDescent="0.2">
      <c r="A2321" s="567">
        <v>46105</v>
      </c>
      <c r="B2321" s="568">
        <v>2026</v>
      </c>
      <c r="C2321" s="569">
        <v>3</v>
      </c>
      <c r="D2321" s="570">
        <v>13</v>
      </c>
      <c r="E2321" s="570">
        <v>24</v>
      </c>
      <c r="F2321" s="571" t="s">
        <v>57</v>
      </c>
      <c r="G2321" s="569" t="s">
        <v>57</v>
      </c>
      <c r="H2321" s="569" t="s">
        <v>212</v>
      </c>
      <c r="I2321" s="574">
        <v>643770000</v>
      </c>
    </row>
    <row r="2322" spans="1:9" ht="16" x14ac:dyDescent="0.2">
      <c r="A2322" s="561">
        <v>46105</v>
      </c>
      <c r="B2322" s="562">
        <v>2026</v>
      </c>
      <c r="C2322" s="563">
        <v>3</v>
      </c>
      <c r="D2322" s="564">
        <v>13</v>
      </c>
      <c r="E2322" s="564">
        <v>24</v>
      </c>
      <c r="F2322" s="565" t="s">
        <v>63</v>
      </c>
      <c r="G2322" s="563" t="s">
        <v>63</v>
      </c>
      <c r="H2322" s="563" t="s">
        <v>214</v>
      </c>
      <c r="I2322" s="573">
        <v>330156000</v>
      </c>
    </row>
    <row r="2323" spans="1:9" ht="16" x14ac:dyDescent="0.2">
      <c r="A2323" s="567">
        <v>46105</v>
      </c>
      <c r="B2323" s="568">
        <v>2026</v>
      </c>
      <c r="C2323" s="569">
        <v>3</v>
      </c>
      <c r="D2323" s="570">
        <v>13</v>
      </c>
      <c r="E2323" s="570">
        <v>24</v>
      </c>
      <c r="F2323" s="571" t="s">
        <v>59</v>
      </c>
      <c r="G2323" s="569" t="s">
        <v>59</v>
      </c>
      <c r="H2323" s="569" t="s">
        <v>216</v>
      </c>
      <c r="I2323" s="574">
        <v>344505081</v>
      </c>
    </row>
    <row r="2324" spans="1:9" ht="16" x14ac:dyDescent="0.2">
      <c r="A2324" s="561">
        <v>46105</v>
      </c>
      <c r="B2324" s="562">
        <v>2026</v>
      </c>
      <c r="C2324" s="563">
        <v>3</v>
      </c>
      <c r="D2324" s="564">
        <v>13</v>
      </c>
      <c r="E2324" s="564">
        <v>24</v>
      </c>
      <c r="F2324" s="565" t="s">
        <v>31</v>
      </c>
      <c r="G2324" s="563" t="s">
        <v>175</v>
      </c>
      <c r="H2324" s="563" t="s">
        <v>212</v>
      </c>
      <c r="I2324" s="573">
        <v>3313580000</v>
      </c>
    </row>
    <row r="2325" spans="1:9" ht="16" x14ac:dyDescent="0.2">
      <c r="A2325" s="567">
        <v>46105</v>
      </c>
      <c r="B2325" s="568">
        <v>2026</v>
      </c>
      <c r="C2325" s="569">
        <v>3</v>
      </c>
      <c r="D2325" s="570">
        <v>13</v>
      </c>
      <c r="E2325" s="570">
        <v>24</v>
      </c>
      <c r="F2325" s="571" t="s">
        <v>234</v>
      </c>
      <c r="G2325" s="569" t="s">
        <v>210</v>
      </c>
      <c r="H2325" s="569" t="s">
        <v>214</v>
      </c>
      <c r="I2325" s="574">
        <v>9936000</v>
      </c>
    </row>
    <row r="2326" spans="1:9" ht="16" x14ac:dyDescent="0.2">
      <c r="A2326" s="561">
        <v>46106</v>
      </c>
      <c r="B2326" s="562">
        <v>2026</v>
      </c>
      <c r="C2326" s="563">
        <v>3</v>
      </c>
      <c r="D2326" s="564">
        <v>13</v>
      </c>
      <c r="E2326" s="564">
        <v>25</v>
      </c>
      <c r="F2326" s="565" t="s">
        <v>65</v>
      </c>
      <c r="G2326" s="563" t="s">
        <v>65</v>
      </c>
      <c r="H2326" s="563" t="s">
        <v>212</v>
      </c>
      <c r="I2326" s="573">
        <v>488420000</v>
      </c>
    </row>
    <row r="2327" spans="1:9" ht="16" x14ac:dyDescent="0.2">
      <c r="A2327" s="567">
        <v>46106</v>
      </c>
      <c r="B2327" s="568">
        <v>2026</v>
      </c>
      <c r="C2327" s="569">
        <v>3</v>
      </c>
      <c r="D2327" s="570">
        <v>13</v>
      </c>
      <c r="E2327" s="570">
        <v>25</v>
      </c>
      <c r="F2327" s="571" t="s">
        <v>66</v>
      </c>
      <c r="G2327" s="569" t="s">
        <v>66</v>
      </c>
      <c r="H2327" s="569" t="s">
        <v>216</v>
      </c>
      <c r="I2327" s="574">
        <v>321551950</v>
      </c>
    </row>
    <row r="2328" spans="1:9" ht="16" x14ac:dyDescent="0.2">
      <c r="A2328" s="561">
        <v>46106</v>
      </c>
      <c r="B2328" s="562">
        <v>2026</v>
      </c>
      <c r="C2328" s="563">
        <v>3</v>
      </c>
      <c r="D2328" s="564">
        <v>13</v>
      </c>
      <c r="E2328" s="564">
        <v>25</v>
      </c>
      <c r="F2328" s="565" t="s">
        <v>24</v>
      </c>
      <c r="G2328" s="563" t="s">
        <v>24</v>
      </c>
      <c r="H2328" s="563" t="s">
        <v>212</v>
      </c>
      <c r="I2328" s="573">
        <v>16534200000</v>
      </c>
    </row>
    <row r="2329" spans="1:9" ht="16" x14ac:dyDescent="0.2">
      <c r="A2329" s="567">
        <v>46106</v>
      </c>
      <c r="B2329" s="568">
        <v>2026</v>
      </c>
      <c r="C2329" s="569">
        <v>3</v>
      </c>
      <c r="D2329" s="570">
        <v>13</v>
      </c>
      <c r="E2329" s="570">
        <v>25</v>
      </c>
      <c r="F2329" s="571" t="s">
        <v>67</v>
      </c>
      <c r="G2329" s="569" t="s">
        <v>67</v>
      </c>
      <c r="H2329" s="569" t="s">
        <v>213</v>
      </c>
      <c r="I2329" s="574">
        <v>1549129864</v>
      </c>
    </row>
    <row r="2330" spans="1:9" ht="16" x14ac:dyDescent="0.2">
      <c r="A2330" s="561">
        <v>46106</v>
      </c>
      <c r="B2330" s="562">
        <v>2026</v>
      </c>
      <c r="C2330" s="563">
        <v>3</v>
      </c>
      <c r="D2330" s="564">
        <v>13</v>
      </c>
      <c r="E2330" s="564">
        <v>25</v>
      </c>
      <c r="F2330" s="565" t="s">
        <v>28</v>
      </c>
      <c r="G2330" s="563" t="s">
        <v>28</v>
      </c>
      <c r="H2330" s="563" t="s">
        <v>214</v>
      </c>
      <c r="I2330" s="573">
        <v>13166604000</v>
      </c>
    </row>
    <row r="2331" spans="1:9" ht="16" x14ac:dyDescent="0.2">
      <c r="A2331" s="567">
        <v>46106</v>
      </c>
      <c r="B2331" s="568">
        <v>2026</v>
      </c>
      <c r="C2331" s="569">
        <v>3</v>
      </c>
      <c r="D2331" s="570">
        <v>13</v>
      </c>
      <c r="E2331" s="570">
        <v>25</v>
      </c>
      <c r="F2331" s="571" t="s">
        <v>208</v>
      </c>
      <c r="G2331" s="569" t="s">
        <v>208</v>
      </c>
      <c r="H2331" s="569" t="s">
        <v>216</v>
      </c>
      <c r="I2331" s="574">
        <v>6570346</v>
      </c>
    </row>
    <row r="2332" spans="1:9" ht="16" x14ac:dyDescent="0.2">
      <c r="A2332" s="561">
        <v>46106</v>
      </c>
      <c r="B2332" s="562">
        <v>2026</v>
      </c>
      <c r="C2332" s="563">
        <v>3</v>
      </c>
      <c r="D2332" s="564">
        <v>13</v>
      </c>
      <c r="E2332" s="564">
        <v>25</v>
      </c>
      <c r="F2332" s="565" t="s">
        <v>60</v>
      </c>
      <c r="G2332" s="563" t="s">
        <v>60</v>
      </c>
      <c r="H2332" s="563" t="s">
        <v>212</v>
      </c>
      <c r="I2332" s="573">
        <v>0</v>
      </c>
    </row>
    <row r="2333" spans="1:9" ht="16" x14ac:dyDescent="0.2">
      <c r="A2333" s="567">
        <v>46106</v>
      </c>
      <c r="B2333" s="568">
        <v>2026</v>
      </c>
      <c r="C2333" s="569">
        <v>3</v>
      </c>
      <c r="D2333" s="570">
        <v>13</v>
      </c>
      <c r="E2333" s="570">
        <v>25</v>
      </c>
      <c r="F2333" s="571" t="s">
        <v>36</v>
      </c>
      <c r="G2333" s="569" t="s">
        <v>36</v>
      </c>
      <c r="H2333" s="569" t="s">
        <v>212</v>
      </c>
      <c r="I2333" s="574">
        <v>2007250000</v>
      </c>
    </row>
    <row r="2334" spans="1:9" ht="16" x14ac:dyDescent="0.2">
      <c r="A2334" s="561">
        <v>46106</v>
      </c>
      <c r="B2334" s="562">
        <v>2026</v>
      </c>
      <c r="C2334" s="563">
        <v>3</v>
      </c>
      <c r="D2334" s="564">
        <v>13</v>
      </c>
      <c r="E2334" s="564">
        <v>25</v>
      </c>
      <c r="F2334" s="565" t="s">
        <v>55</v>
      </c>
      <c r="G2334" s="563" t="s">
        <v>36</v>
      </c>
      <c r="H2334" s="563" t="s">
        <v>212</v>
      </c>
      <c r="I2334" s="573">
        <v>590790000</v>
      </c>
    </row>
    <row r="2335" spans="1:9" ht="16" x14ac:dyDescent="0.2">
      <c r="A2335" s="567">
        <v>46106</v>
      </c>
      <c r="B2335" s="568">
        <v>2026</v>
      </c>
      <c r="C2335" s="569">
        <v>3</v>
      </c>
      <c r="D2335" s="570">
        <v>13</v>
      </c>
      <c r="E2335" s="570">
        <v>25</v>
      </c>
      <c r="F2335" s="571" t="s">
        <v>176</v>
      </c>
      <c r="G2335" s="569" t="s">
        <v>176</v>
      </c>
      <c r="H2335" s="569" t="s">
        <v>216</v>
      </c>
      <c r="I2335" s="574">
        <v>918134</v>
      </c>
    </row>
    <row r="2336" spans="1:9" ht="16" x14ac:dyDescent="0.2">
      <c r="A2336" s="561">
        <v>46106</v>
      </c>
      <c r="B2336" s="562">
        <v>2026</v>
      </c>
      <c r="C2336" s="563">
        <v>3</v>
      </c>
      <c r="D2336" s="564">
        <v>13</v>
      </c>
      <c r="E2336" s="564">
        <v>25</v>
      </c>
      <c r="F2336" s="565" t="s">
        <v>39</v>
      </c>
      <c r="G2336" s="563" t="s">
        <v>176</v>
      </c>
      <c r="H2336" s="563" t="s">
        <v>216</v>
      </c>
      <c r="I2336" s="573">
        <v>733219421</v>
      </c>
    </row>
    <row r="2337" spans="1:9" ht="16" x14ac:dyDescent="0.2">
      <c r="A2337" s="567">
        <v>46106</v>
      </c>
      <c r="B2337" s="568">
        <v>2026</v>
      </c>
      <c r="C2337" s="569">
        <v>3</v>
      </c>
      <c r="D2337" s="570">
        <v>13</v>
      </c>
      <c r="E2337" s="570">
        <v>25</v>
      </c>
      <c r="F2337" s="571" t="s">
        <v>206</v>
      </c>
      <c r="G2337" s="569" t="s">
        <v>206</v>
      </c>
      <c r="H2337" s="569" t="s">
        <v>212</v>
      </c>
      <c r="I2337" s="574">
        <v>0</v>
      </c>
    </row>
    <row r="2338" spans="1:9" ht="16" x14ac:dyDescent="0.2">
      <c r="A2338" s="561">
        <v>46106</v>
      </c>
      <c r="B2338" s="562">
        <v>2026</v>
      </c>
      <c r="C2338" s="563">
        <v>3</v>
      </c>
      <c r="D2338" s="564">
        <v>13</v>
      </c>
      <c r="E2338" s="564">
        <v>25</v>
      </c>
      <c r="F2338" s="565" t="s">
        <v>64</v>
      </c>
      <c r="G2338" s="563" t="s">
        <v>209</v>
      </c>
      <c r="H2338" s="563" t="s">
        <v>212</v>
      </c>
      <c r="I2338" s="573">
        <v>88200000</v>
      </c>
    </row>
    <row r="2339" spans="1:9" ht="16" x14ac:dyDescent="0.2">
      <c r="A2339" s="567">
        <v>46106</v>
      </c>
      <c r="B2339" s="568">
        <v>2026</v>
      </c>
      <c r="C2339" s="569">
        <v>3</v>
      </c>
      <c r="D2339" s="570">
        <v>13</v>
      </c>
      <c r="E2339" s="570">
        <v>25</v>
      </c>
      <c r="F2339" s="571" t="s">
        <v>237</v>
      </c>
      <c r="G2339" s="569" t="s">
        <v>209</v>
      </c>
      <c r="H2339" s="569" t="s">
        <v>212</v>
      </c>
      <c r="I2339" s="574">
        <v>33000000</v>
      </c>
    </row>
    <row r="2340" spans="1:9" ht="16" x14ac:dyDescent="0.2">
      <c r="A2340" s="561">
        <v>46106</v>
      </c>
      <c r="B2340" s="562">
        <v>2026</v>
      </c>
      <c r="C2340" s="563">
        <v>3</v>
      </c>
      <c r="D2340" s="564">
        <v>13</v>
      </c>
      <c r="E2340" s="564">
        <v>25</v>
      </c>
      <c r="F2340" s="565" t="s">
        <v>11</v>
      </c>
      <c r="G2340" s="563" t="s">
        <v>11</v>
      </c>
      <c r="H2340" s="563" t="s">
        <v>212</v>
      </c>
      <c r="I2340" s="573">
        <v>15584130000</v>
      </c>
    </row>
    <row r="2341" spans="1:9" ht="16" x14ac:dyDescent="0.2">
      <c r="A2341" s="567">
        <v>46106</v>
      </c>
      <c r="B2341" s="568">
        <v>2026</v>
      </c>
      <c r="C2341" s="569">
        <v>3</v>
      </c>
      <c r="D2341" s="570">
        <v>13</v>
      </c>
      <c r="E2341" s="570">
        <v>25</v>
      </c>
      <c r="F2341" s="571" t="s">
        <v>221</v>
      </c>
      <c r="G2341" s="569" t="s">
        <v>207</v>
      </c>
      <c r="H2341" s="569" t="s">
        <v>212</v>
      </c>
      <c r="I2341" s="574">
        <v>0</v>
      </c>
    </row>
    <row r="2342" spans="1:9" ht="16" x14ac:dyDescent="0.2">
      <c r="A2342" s="561">
        <v>46106</v>
      </c>
      <c r="B2342" s="562">
        <v>2026</v>
      </c>
      <c r="C2342" s="563">
        <v>3</v>
      </c>
      <c r="D2342" s="564">
        <v>13</v>
      </c>
      <c r="E2342" s="564">
        <v>25</v>
      </c>
      <c r="F2342" s="565" t="s">
        <v>222</v>
      </c>
      <c r="G2342" s="563" t="s">
        <v>207</v>
      </c>
      <c r="H2342" s="563" t="s">
        <v>212</v>
      </c>
      <c r="I2342" s="573">
        <v>0</v>
      </c>
    </row>
    <row r="2343" spans="1:9" ht="16" x14ac:dyDescent="0.2">
      <c r="A2343" s="567">
        <v>46106</v>
      </c>
      <c r="B2343" s="568">
        <v>2026</v>
      </c>
      <c r="C2343" s="569">
        <v>3</v>
      </c>
      <c r="D2343" s="570">
        <v>13</v>
      </c>
      <c r="E2343" s="570">
        <v>25</v>
      </c>
      <c r="F2343" s="571" t="s">
        <v>223</v>
      </c>
      <c r="G2343" s="569" t="s">
        <v>207</v>
      </c>
      <c r="H2343" s="569" t="s">
        <v>212</v>
      </c>
      <c r="I2343" s="574">
        <v>0</v>
      </c>
    </row>
    <row r="2344" spans="1:9" ht="16" x14ac:dyDescent="0.2">
      <c r="A2344" s="561">
        <v>46106</v>
      </c>
      <c r="B2344" s="562">
        <v>2026</v>
      </c>
      <c r="C2344" s="563">
        <v>3</v>
      </c>
      <c r="D2344" s="564">
        <v>13</v>
      </c>
      <c r="E2344" s="564">
        <v>25</v>
      </c>
      <c r="F2344" s="565" t="s">
        <v>219</v>
      </c>
      <c r="G2344" s="563" t="s">
        <v>11</v>
      </c>
      <c r="H2344" s="563" t="s">
        <v>212</v>
      </c>
      <c r="I2344" s="573">
        <v>0</v>
      </c>
    </row>
    <row r="2345" spans="1:9" ht="16" x14ac:dyDescent="0.2">
      <c r="A2345" s="567">
        <v>46106</v>
      </c>
      <c r="B2345" s="568">
        <v>2026</v>
      </c>
      <c r="C2345" s="569">
        <v>3</v>
      </c>
      <c r="D2345" s="570">
        <v>13</v>
      </c>
      <c r="E2345" s="570">
        <v>25</v>
      </c>
      <c r="F2345" s="571" t="s">
        <v>19</v>
      </c>
      <c r="G2345" s="569" t="s">
        <v>19</v>
      </c>
      <c r="H2345" s="569" t="s">
        <v>214</v>
      </c>
      <c r="I2345" s="574">
        <v>10550196000</v>
      </c>
    </row>
    <row r="2346" spans="1:9" ht="16" x14ac:dyDescent="0.2">
      <c r="A2346" s="561">
        <v>46106</v>
      </c>
      <c r="B2346" s="562">
        <v>2026</v>
      </c>
      <c r="C2346" s="563">
        <v>3</v>
      </c>
      <c r="D2346" s="564">
        <v>13</v>
      </c>
      <c r="E2346" s="564">
        <v>25</v>
      </c>
      <c r="F2346" s="565" t="s">
        <v>62</v>
      </c>
      <c r="G2346" s="563" t="s">
        <v>62</v>
      </c>
      <c r="H2346" s="563" t="s">
        <v>216</v>
      </c>
      <c r="I2346" s="573">
        <v>129784512</v>
      </c>
    </row>
    <row r="2347" spans="1:9" ht="16" x14ac:dyDescent="0.2">
      <c r="A2347" s="567">
        <v>46106</v>
      </c>
      <c r="B2347" s="568">
        <v>2026</v>
      </c>
      <c r="C2347" s="569">
        <v>3</v>
      </c>
      <c r="D2347" s="570">
        <v>13</v>
      </c>
      <c r="E2347" s="570">
        <v>25</v>
      </c>
      <c r="F2347" s="571" t="s">
        <v>58</v>
      </c>
      <c r="G2347" s="569" t="s">
        <v>58</v>
      </c>
      <c r="H2347" s="569" t="s">
        <v>212</v>
      </c>
      <c r="I2347" s="574">
        <v>42000000</v>
      </c>
    </row>
    <row r="2348" spans="1:9" ht="16" x14ac:dyDescent="0.2">
      <c r="A2348" s="561">
        <v>46106</v>
      </c>
      <c r="B2348" s="562">
        <v>2026</v>
      </c>
      <c r="C2348" s="563">
        <v>3</v>
      </c>
      <c r="D2348" s="564">
        <v>13</v>
      </c>
      <c r="E2348" s="564">
        <v>25</v>
      </c>
      <c r="F2348" s="565" t="s">
        <v>61</v>
      </c>
      <c r="G2348" s="563" t="s">
        <v>61</v>
      </c>
      <c r="H2348" s="563" t="s">
        <v>214</v>
      </c>
      <c r="I2348" s="573">
        <v>62000000</v>
      </c>
    </row>
    <row r="2349" spans="1:9" ht="16" x14ac:dyDescent="0.2">
      <c r="A2349" s="567">
        <v>46106</v>
      </c>
      <c r="B2349" s="568">
        <v>2026</v>
      </c>
      <c r="C2349" s="569">
        <v>3</v>
      </c>
      <c r="D2349" s="570">
        <v>13</v>
      </c>
      <c r="E2349" s="570">
        <v>25</v>
      </c>
      <c r="F2349" s="571" t="s">
        <v>57</v>
      </c>
      <c r="G2349" s="569" t="s">
        <v>57</v>
      </c>
      <c r="H2349" s="569" t="s">
        <v>212</v>
      </c>
      <c r="I2349" s="574">
        <v>814810000</v>
      </c>
    </row>
    <row r="2350" spans="1:9" ht="16" x14ac:dyDescent="0.2">
      <c r="A2350" s="561">
        <v>46106</v>
      </c>
      <c r="B2350" s="562">
        <v>2026</v>
      </c>
      <c r="C2350" s="563">
        <v>3</v>
      </c>
      <c r="D2350" s="564">
        <v>13</v>
      </c>
      <c r="E2350" s="564">
        <v>25</v>
      </c>
      <c r="F2350" s="565" t="s">
        <v>63</v>
      </c>
      <c r="G2350" s="563" t="s">
        <v>63</v>
      </c>
      <c r="H2350" s="563" t="s">
        <v>214</v>
      </c>
      <c r="I2350" s="573">
        <v>200124000</v>
      </c>
    </row>
    <row r="2351" spans="1:9" ht="16" x14ac:dyDescent="0.2">
      <c r="A2351" s="567">
        <v>46106</v>
      </c>
      <c r="B2351" s="568">
        <v>2026</v>
      </c>
      <c r="C2351" s="569">
        <v>3</v>
      </c>
      <c r="D2351" s="570">
        <v>13</v>
      </c>
      <c r="E2351" s="570">
        <v>25</v>
      </c>
      <c r="F2351" s="571" t="s">
        <v>59</v>
      </c>
      <c r="G2351" s="569" t="s">
        <v>59</v>
      </c>
      <c r="H2351" s="569" t="s">
        <v>216</v>
      </c>
      <c r="I2351" s="574">
        <v>334914405</v>
      </c>
    </row>
    <row r="2352" spans="1:9" ht="16" x14ac:dyDescent="0.2">
      <c r="A2352" s="561">
        <v>46106</v>
      </c>
      <c r="B2352" s="562">
        <v>2026</v>
      </c>
      <c r="C2352" s="563">
        <v>3</v>
      </c>
      <c r="D2352" s="564">
        <v>13</v>
      </c>
      <c r="E2352" s="564">
        <v>25</v>
      </c>
      <c r="F2352" s="565" t="s">
        <v>31</v>
      </c>
      <c r="G2352" s="563" t="s">
        <v>175</v>
      </c>
      <c r="H2352" s="563" t="s">
        <v>212</v>
      </c>
      <c r="I2352" s="573">
        <v>3132060000</v>
      </c>
    </row>
    <row r="2353" spans="1:9" ht="16" x14ac:dyDescent="0.2">
      <c r="A2353" s="567">
        <v>46106</v>
      </c>
      <c r="B2353" s="568">
        <v>2026</v>
      </c>
      <c r="C2353" s="569">
        <v>3</v>
      </c>
      <c r="D2353" s="570">
        <v>13</v>
      </c>
      <c r="E2353" s="570">
        <v>25</v>
      </c>
      <c r="F2353" s="571" t="s">
        <v>234</v>
      </c>
      <c r="G2353" s="569" t="s">
        <v>210</v>
      </c>
      <c r="H2353" s="569" t="s">
        <v>214</v>
      </c>
      <c r="I2353" s="574">
        <v>11880000</v>
      </c>
    </row>
    <row r="2354" spans="1:9" ht="16" x14ac:dyDescent="0.2">
      <c r="A2354" s="561">
        <v>46107</v>
      </c>
      <c r="B2354" s="562">
        <v>2026</v>
      </c>
      <c r="C2354" s="563">
        <v>3</v>
      </c>
      <c r="D2354" s="564">
        <v>13</v>
      </c>
      <c r="E2354" s="564">
        <v>26</v>
      </c>
      <c r="F2354" s="565" t="s">
        <v>65</v>
      </c>
      <c r="G2354" s="563" t="s">
        <v>65</v>
      </c>
      <c r="H2354" s="563" t="s">
        <v>212</v>
      </c>
      <c r="I2354" s="573">
        <v>652160000</v>
      </c>
    </row>
    <row r="2355" spans="1:9" ht="16" x14ac:dyDescent="0.2">
      <c r="A2355" s="567">
        <v>46107</v>
      </c>
      <c r="B2355" s="568">
        <v>2026</v>
      </c>
      <c r="C2355" s="569">
        <v>3</v>
      </c>
      <c r="D2355" s="570">
        <v>13</v>
      </c>
      <c r="E2355" s="570">
        <v>26</v>
      </c>
      <c r="F2355" s="571" t="s">
        <v>66</v>
      </c>
      <c r="G2355" s="569" t="s">
        <v>66</v>
      </c>
      <c r="H2355" s="569" t="s">
        <v>216</v>
      </c>
      <c r="I2355" s="574">
        <v>269557885</v>
      </c>
    </row>
    <row r="2356" spans="1:9" ht="16" x14ac:dyDescent="0.2">
      <c r="A2356" s="561">
        <v>46107</v>
      </c>
      <c r="B2356" s="562">
        <v>2026</v>
      </c>
      <c r="C2356" s="563">
        <v>3</v>
      </c>
      <c r="D2356" s="564">
        <v>13</v>
      </c>
      <c r="E2356" s="564">
        <v>26</v>
      </c>
      <c r="F2356" s="565" t="s">
        <v>24</v>
      </c>
      <c r="G2356" s="563" t="s">
        <v>24</v>
      </c>
      <c r="H2356" s="563" t="s">
        <v>212</v>
      </c>
      <c r="I2356" s="573">
        <v>13958880000</v>
      </c>
    </row>
    <row r="2357" spans="1:9" ht="16" x14ac:dyDescent="0.2">
      <c r="A2357" s="567">
        <v>46107</v>
      </c>
      <c r="B2357" s="568">
        <v>2026</v>
      </c>
      <c r="C2357" s="569">
        <v>3</v>
      </c>
      <c r="D2357" s="570">
        <v>13</v>
      </c>
      <c r="E2357" s="570">
        <v>26</v>
      </c>
      <c r="F2357" s="571" t="s">
        <v>67</v>
      </c>
      <c r="G2357" s="569" t="s">
        <v>67</v>
      </c>
      <c r="H2357" s="569" t="s">
        <v>213</v>
      </c>
      <c r="I2357" s="574">
        <v>1669586175</v>
      </c>
    </row>
    <row r="2358" spans="1:9" ht="16" x14ac:dyDescent="0.2">
      <c r="A2358" s="561">
        <v>46107</v>
      </c>
      <c r="B2358" s="562">
        <v>2026</v>
      </c>
      <c r="C2358" s="563">
        <v>3</v>
      </c>
      <c r="D2358" s="564">
        <v>13</v>
      </c>
      <c r="E2358" s="564">
        <v>26</v>
      </c>
      <c r="F2358" s="565" t="s">
        <v>28</v>
      </c>
      <c r="G2358" s="563" t="s">
        <v>28</v>
      </c>
      <c r="H2358" s="563" t="s">
        <v>214</v>
      </c>
      <c r="I2358" s="573">
        <v>12550248000</v>
      </c>
    </row>
    <row r="2359" spans="1:9" ht="16" x14ac:dyDescent="0.2">
      <c r="A2359" s="567">
        <v>46107</v>
      </c>
      <c r="B2359" s="568">
        <v>2026</v>
      </c>
      <c r="C2359" s="569">
        <v>3</v>
      </c>
      <c r="D2359" s="570">
        <v>13</v>
      </c>
      <c r="E2359" s="570">
        <v>26</v>
      </c>
      <c r="F2359" s="571" t="s">
        <v>208</v>
      </c>
      <c r="G2359" s="569" t="s">
        <v>208</v>
      </c>
      <c r="H2359" s="569" t="s">
        <v>216</v>
      </c>
      <c r="I2359" s="574">
        <v>2133905</v>
      </c>
    </row>
    <row r="2360" spans="1:9" ht="16" x14ac:dyDescent="0.2">
      <c r="A2360" s="561">
        <v>46107</v>
      </c>
      <c r="B2360" s="562">
        <v>2026</v>
      </c>
      <c r="C2360" s="563">
        <v>3</v>
      </c>
      <c r="D2360" s="564">
        <v>13</v>
      </c>
      <c r="E2360" s="564">
        <v>26</v>
      </c>
      <c r="F2360" s="565" t="s">
        <v>60</v>
      </c>
      <c r="G2360" s="563" t="s">
        <v>60</v>
      </c>
      <c r="H2360" s="563" t="s">
        <v>212</v>
      </c>
      <c r="I2360" s="573">
        <v>180000000</v>
      </c>
    </row>
    <row r="2361" spans="1:9" ht="16" x14ac:dyDescent="0.2">
      <c r="A2361" s="567">
        <v>46107</v>
      </c>
      <c r="B2361" s="568">
        <v>2026</v>
      </c>
      <c r="C2361" s="569">
        <v>3</v>
      </c>
      <c r="D2361" s="570">
        <v>13</v>
      </c>
      <c r="E2361" s="570">
        <v>26</v>
      </c>
      <c r="F2361" s="571" t="s">
        <v>36</v>
      </c>
      <c r="G2361" s="569" t="s">
        <v>36</v>
      </c>
      <c r="H2361" s="569" t="s">
        <v>212</v>
      </c>
      <c r="I2361" s="574">
        <v>2195470000</v>
      </c>
    </row>
    <row r="2362" spans="1:9" ht="16" x14ac:dyDescent="0.2">
      <c r="A2362" s="561">
        <v>46107</v>
      </c>
      <c r="B2362" s="562">
        <v>2026</v>
      </c>
      <c r="C2362" s="563">
        <v>3</v>
      </c>
      <c r="D2362" s="564">
        <v>13</v>
      </c>
      <c r="E2362" s="564">
        <v>26</v>
      </c>
      <c r="F2362" s="565" t="s">
        <v>55</v>
      </c>
      <c r="G2362" s="563" t="s">
        <v>36</v>
      </c>
      <c r="H2362" s="563" t="s">
        <v>212</v>
      </c>
      <c r="I2362" s="573">
        <v>814550000</v>
      </c>
    </row>
    <row r="2363" spans="1:9" ht="16" x14ac:dyDescent="0.2">
      <c r="A2363" s="567">
        <v>46107</v>
      </c>
      <c r="B2363" s="568">
        <v>2026</v>
      </c>
      <c r="C2363" s="569">
        <v>3</v>
      </c>
      <c r="D2363" s="570">
        <v>13</v>
      </c>
      <c r="E2363" s="570">
        <v>26</v>
      </c>
      <c r="F2363" s="571" t="s">
        <v>176</v>
      </c>
      <c r="G2363" s="569" t="s">
        <v>176</v>
      </c>
      <c r="H2363" s="569" t="s">
        <v>216</v>
      </c>
      <c r="I2363" s="574">
        <v>4126898</v>
      </c>
    </row>
    <row r="2364" spans="1:9" ht="16" x14ac:dyDescent="0.2">
      <c r="A2364" s="561">
        <v>46107</v>
      </c>
      <c r="B2364" s="562">
        <v>2026</v>
      </c>
      <c r="C2364" s="563">
        <v>3</v>
      </c>
      <c r="D2364" s="564">
        <v>13</v>
      </c>
      <c r="E2364" s="564">
        <v>26</v>
      </c>
      <c r="F2364" s="565" t="s">
        <v>39</v>
      </c>
      <c r="G2364" s="563" t="s">
        <v>176</v>
      </c>
      <c r="H2364" s="563" t="s">
        <v>216</v>
      </c>
      <c r="I2364" s="573">
        <v>622647077</v>
      </c>
    </row>
    <row r="2365" spans="1:9" ht="16" x14ac:dyDescent="0.2">
      <c r="A2365" s="567">
        <v>46107</v>
      </c>
      <c r="B2365" s="568">
        <v>2026</v>
      </c>
      <c r="C2365" s="569">
        <v>3</v>
      </c>
      <c r="D2365" s="570">
        <v>13</v>
      </c>
      <c r="E2365" s="570">
        <v>26</v>
      </c>
      <c r="F2365" s="571" t="s">
        <v>206</v>
      </c>
      <c r="G2365" s="569" t="s">
        <v>206</v>
      </c>
      <c r="H2365" s="569" t="s">
        <v>212</v>
      </c>
      <c r="I2365" s="574">
        <v>0</v>
      </c>
    </row>
    <row r="2366" spans="1:9" ht="16" x14ac:dyDescent="0.2">
      <c r="A2366" s="561">
        <v>46107</v>
      </c>
      <c r="B2366" s="562">
        <v>2026</v>
      </c>
      <c r="C2366" s="563">
        <v>3</v>
      </c>
      <c r="D2366" s="564">
        <v>13</v>
      </c>
      <c r="E2366" s="564">
        <v>26</v>
      </c>
      <c r="F2366" s="565" t="s">
        <v>64</v>
      </c>
      <c r="G2366" s="563" t="s">
        <v>209</v>
      </c>
      <c r="H2366" s="563" t="s">
        <v>212</v>
      </c>
      <c r="I2366" s="573">
        <v>80900000</v>
      </c>
    </row>
    <row r="2367" spans="1:9" ht="16" x14ac:dyDescent="0.2">
      <c r="A2367" s="567">
        <v>46107</v>
      </c>
      <c r="B2367" s="568">
        <v>2026</v>
      </c>
      <c r="C2367" s="569">
        <v>3</v>
      </c>
      <c r="D2367" s="570">
        <v>13</v>
      </c>
      <c r="E2367" s="570">
        <v>26</v>
      </c>
      <c r="F2367" s="571" t="s">
        <v>237</v>
      </c>
      <c r="G2367" s="569" t="s">
        <v>209</v>
      </c>
      <c r="H2367" s="569" t="s">
        <v>212</v>
      </c>
      <c r="I2367" s="574">
        <v>90000000</v>
      </c>
    </row>
    <row r="2368" spans="1:9" ht="16" x14ac:dyDescent="0.2">
      <c r="A2368" s="561">
        <v>46107</v>
      </c>
      <c r="B2368" s="562">
        <v>2026</v>
      </c>
      <c r="C2368" s="563">
        <v>3</v>
      </c>
      <c r="D2368" s="564">
        <v>13</v>
      </c>
      <c r="E2368" s="564">
        <v>26</v>
      </c>
      <c r="F2368" s="565" t="s">
        <v>11</v>
      </c>
      <c r="G2368" s="563" t="s">
        <v>11</v>
      </c>
      <c r="H2368" s="563" t="s">
        <v>212</v>
      </c>
      <c r="I2368" s="573">
        <v>14117640000</v>
      </c>
    </row>
    <row r="2369" spans="1:9" ht="16" x14ac:dyDescent="0.2">
      <c r="A2369" s="567">
        <v>46107</v>
      </c>
      <c r="B2369" s="568">
        <v>2026</v>
      </c>
      <c r="C2369" s="569">
        <v>3</v>
      </c>
      <c r="D2369" s="570">
        <v>13</v>
      </c>
      <c r="E2369" s="570">
        <v>26</v>
      </c>
      <c r="F2369" s="571" t="s">
        <v>221</v>
      </c>
      <c r="G2369" s="569" t="s">
        <v>207</v>
      </c>
      <c r="H2369" s="569" t="s">
        <v>212</v>
      </c>
      <c r="I2369" s="574">
        <v>0</v>
      </c>
    </row>
    <row r="2370" spans="1:9" ht="16" x14ac:dyDescent="0.2">
      <c r="A2370" s="561">
        <v>46107</v>
      </c>
      <c r="B2370" s="562">
        <v>2026</v>
      </c>
      <c r="C2370" s="563">
        <v>3</v>
      </c>
      <c r="D2370" s="564">
        <v>13</v>
      </c>
      <c r="E2370" s="564">
        <v>26</v>
      </c>
      <c r="F2370" s="565" t="s">
        <v>222</v>
      </c>
      <c r="G2370" s="563" t="s">
        <v>207</v>
      </c>
      <c r="H2370" s="563" t="s">
        <v>212</v>
      </c>
      <c r="I2370" s="573">
        <v>0</v>
      </c>
    </row>
    <row r="2371" spans="1:9" ht="16" x14ac:dyDescent="0.2">
      <c r="A2371" s="567">
        <v>46107</v>
      </c>
      <c r="B2371" s="568">
        <v>2026</v>
      </c>
      <c r="C2371" s="569">
        <v>3</v>
      </c>
      <c r="D2371" s="570">
        <v>13</v>
      </c>
      <c r="E2371" s="570">
        <v>26</v>
      </c>
      <c r="F2371" s="571" t="s">
        <v>223</v>
      </c>
      <c r="G2371" s="569" t="s">
        <v>207</v>
      </c>
      <c r="H2371" s="569" t="s">
        <v>212</v>
      </c>
      <c r="I2371" s="574">
        <v>0</v>
      </c>
    </row>
    <row r="2372" spans="1:9" ht="16" x14ac:dyDescent="0.2">
      <c r="A2372" s="561">
        <v>46107</v>
      </c>
      <c r="B2372" s="562">
        <v>2026</v>
      </c>
      <c r="C2372" s="563">
        <v>3</v>
      </c>
      <c r="D2372" s="564">
        <v>13</v>
      </c>
      <c r="E2372" s="564">
        <v>26</v>
      </c>
      <c r="F2372" s="565" t="s">
        <v>219</v>
      </c>
      <c r="G2372" s="563" t="s">
        <v>11</v>
      </c>
      <c r="H2372" s="563" t="s">
        <v>212</v>
      </c>
      <c r="I2372" s="573">
        <v>0</v>
      </c>
    </row>
    <row r="2373" spans="1:9" ht="16" x14ac:dyDescent="0.2">
      <c r="A2373" s="567">
        <v>46107</v>
      </c>
      <c r="B2373" s="568">
        <v>2026</v>
      </c>
      <c r="C2373" s="569">
        <v>3</v>
      </c>
      <c r="D2373" s="570">
        <v>13</v>
      </c>
      <c r="E2373" s="570">
        <v>26</v>
      </c>
      <c r="F2373" s="571" t="s">
        <v>19</v>
      </c>
      <c r="G2373" s="569" t="s">
        <v>19</v>
      </c>
      <c r="H2373" s="569" t="s">
        <v>214</v>
      </c>
      <c r="I2373" s="574">
        <v>9997884000</v>
      </c>
    </row>
    <row r="2374" spans="1:9" ht="16" x14ac:dyDescent="0.2">
      <c r="A2374" s="561">
        <v>46107</v>
      </c>
      <c r="B2374" s="562">
        <v>2026</v>
      </c>
      <c r="C2374" s="563">
        <v>3</v>
      </c>
      <c r="D2374" s="564">
        <v>13</v>
      </c>
      <c r="E2374" s="564">
        <v>26</v>
      </c>
      <c r="F2374" s="565" t="s">
        <v>62</v>
      </c>
      <c r="G2374" s="563" t="s">
        <v>62</v>
      </c>
      <c r="H2374" s="563" t="s">
        <v>216</v>
      </c>
      <c r="I2374" s="573">
        <v>134580841</v>
      </c>
    </row>
    <row r="2375" spans="1:9" ht="16" x14ac:dyDescent="0.2">
      <c r="A2375" s="567">
        <v>46107</v>
      </c>
      <c r="B2375" s="568">
        <v>2026</v>
      </c>
      <c r="C2375" s="569">
        <v>3</v>
      </c>
      <c r="D2375" s="570">
        <v>13</v>
      </c>
      <c r="E2375" s="570">
        <v>26</v>
      </c>
      <c r="F2375" s="571" t="s">
        <v>58</v>
      </c>
      <c r="G2375" s="569" t="s">
        <v>58</v>
      </c>
      <c r="H2375" s="569" t="s">
        <v>212</v>
      </c>
      <c r="I2375" s="574">
        <v>10500000</v>
      </c>
    </row>
    <row r="2376" spans="1:9" ht="16" x14ac:dyDescent="0.2">
      <c r="A2376" s="561">
        <v>46107</v>
      </c>
      <c r="B2376" s="562">
        <v>2026</v>
      </c>
      <c r="C2376" s="563">
        <v>3</v>
      </c>
      <c r="D2376" s="564">
        <v>13</v>
      </c>
      <c r="E2376" s="564">
        <v>26</v>
      </c>
      <c r="F2376" s="565" t="s">
        <v>61</v>
      </c>
      <c r="G2376" s="563" t="s">
        <v>61</v>
      </c>
      <c r="H2376" s="563" t="s">
        <v>214</v>
      </c>
      <c r="I2376" s="573">
        <v>41000000</v>
      </c>
    </row>
    <row r="2377" spans="1:9" ht="16" x14ac:dyDescent="0.2">
      <c r="A2377" s="567">
        <v>46107</v>
      </c>
      <c r="B2377" s="568">
        <v>2026</v>
      </c>
      <c r="C2377" s="569">
        <v>3</v>
      </c>
      <c r="D2377" s="570">
        <v>13</v>
      </c>
      <c r="E2377" s="570">
        <v>26</v>
      </c>
      <c r="F2377" s="571" t="s">
        <v>57</v>
      </c>
      <c r="G2377" s="569" t="s">
        <v>57</v>
      </c>
      <c r="H2377" s="569" t="s">
        <v>212</v>
      </c>
      <c r="I2377" s="574">
        <v>619260000</v>
      </c>
    </row>
    <row r="2378" spans="1:9" ht="16" x14ac:dyDescent="0.2">
      <c r="A2378" s="561">
        <v>46107</v>
      </c>
      <c r="B2378" s="562">
        <v>2026</v>
      </c>
      <c r="C2378" s="563">
        <v>3</v>
      </c>
      <c r="D2378" s="564">
        <v>13</v>
      </c>
      <c r="E2378" s="564">
        <v>26</v>
      </c>
      <c r="F2378" s="565" t="s">
        <v>63</v>
      </c>
      <c r="G2378" s="563" t="s">
        <v>63</v>
      </c>
      <c r="H2378" s="563" t="s">
        <v>214</v>
      </c>
      <c r="I2378" s="573">
        <v>231660000</v>
      </c>
    </row>
    <row r="2379" spans="1:9" ht="16" x14ac:dyDescent="0.2">
      <c r="A2379" s="567">
        <v>46107</v>
      </c>
      <c r="B2379" s="568">
        <v>2026</v>
      </c>
      <c r="C2379" s="569">
        <v>3</v>
      </c>
      <c r="D2379" s="570">
        <v>13</v>
      </c>
      <c r="E2379" s="570">
        <v>26</v>
      </c>
      <c r="F2379" s="571" t="s">
        <v>59</v>
      </c>
      <c r="G2379" s="569" t="s">
        <v>59</v>
      </c>
      <c r="H2379" s="569" t="s">
        <v>216</v>
      </c>
      <c r="I2379" s="574">
        <v>338359237</v>
      </c>
    </row>
    <row r="2380" spans="1:9" ht="16" x14ac:dyDescent="0.2">
      <c r="A2380" s="561">
        <v>46107</v>
      </c>
      <c r="B2380" s="562">
        <v>2026</v>
      </c>
      <c r="C2380" s="563">
        <v>3</v>
      </c>
      <c r="D2380" s="564">
        <v>13</v>
      </c>
      <c r="E2380" s="564">
        <v>26</v>
      </c>
      <c r="F2380" s="565" t="s">
        <v>31</v>
      </c>
      <c r="G2380" s="563" t="s">
        <v>175</v>
      </c>
      <c r="H2380" s="563" t="s">
        <v>212</v>
      </c>
      <c r="I2380" s="573">
        <v>3438610000</v>
      </c>
    </row>
    <row r="2381" spans="1:9" ht="16" x14ac:dyDescent="0.2">
      <c r="A2381" s="567">
        <v>46107</v>
      </c>
      <c r="B2381" s="568">
        <v>2026</v>
      </c>
      <c r="C2381" s="569">
        <v>3</v>
      </c>
      <c r="D2381" s="570">
        <v>13</v>
      </c>
      <c r="E2381" s="570">
        <v>26</v>
      </c>
      <c r="F2381" s="571" t="s">
        <v>234</v>
      </c>
      <c r="G2381" s="569" t="s">
        <v>210</v>
      </c>
      <c r="H2381" s="569" t="s">
        <v>214</v>
      </c>
      <c r="I2381" s="574">
        <v>30996000</v>
      </c>
    </row>
    <row r="2382" spans="1:9" ht="16" x14ac:dyDescent="0.2">
      <c r="A2382" s="561">
        <v>46108</v>
      </c>
      <c r="B2382" s="562">
        <v>2026</v>
      </c>
      <c r="C2382" s="563">
        <v>3</v>
      </c>
      <c r="D2382" s="564">
        <v>13</v>
      </c>
      <c r="E2382" s="564">
        <v>27</v>
      </c>
      <c r="F2382" s="565" t="s">
        <v>65</v>
      </c>
      <c r="G2382" s="563" t="s">
        <v>65</v>
      </c>
      <c r="H2382" s="563" t="s">
        <v>212</v>
      </c>
      <c r="I2382" s="573">
        <v>757300000</v>
      </c>
    </row>
    <row r="2383" spans="1:9" ht="16" x14ac:dyDescent="0.2">
      <c r="A2383" s="567">
        <v>46108</v>
      </c>
      <c r="B2383" s="568">
        <v>2026</v>
      </c>
      <c r="C2383" s="569">
        <v>3</v>
      </c>
      <c r="D2383" s="570">
        <v>13</v>
      </c>
      <c r="E2383" s="570">
        <v>27</v>
      </c>
      <c r="F2383" s="571" t="s">
        <v>66</v>
      </c>
      <c r="G2383" s="569" t="s">
        <v>66</v>
      </c>
      <c r="H2383" s="569" t="s">
        <v>216</v>
      </c>
      <c r="I2383" s="574">
        <v>277734584</v>
      </c>
    </row>
    <row r="2384" spans="1:9" ht="16" x14ac:dyDescent="0.2">
      <c r="A2384" s="561">
        <v>46108</v>
      </c>
      <c r="B2384" s="562">
        <v>2026</v>
      </c>
      <c r="C2384" s="563">
        <v>3</v>
      </c>
      <c r="D2384" s="564">
        <v>13</v>
      </c>
      <c r="E2384" s="564">
        <v>27</v>
      </c>
      <c r="F2384" s="565" t="s">
        <v>24</v>
      </c>
      <c r="G2384" s="563" t="s">
        <v>24</v>
      </c>
      <c r="H2384" s="563" t="s">
        <v>212</v>
      </c>
      <c r="I2384" s="573">
        <v>14454090000</v>
      </c>
    </row>
    <row r="2385" spans="1:9" ht="16" x14ac:dyDescent="0.2">
      <c r="A2385" s="567">
        <v>46108</v>
      </c>
      <c r="B2385" s="568">
        <v>2026</v>
      </c>
      <c r="C2385" s="569">
        <v>3</v>
      </c>
      <c r="D2385" s="570">
        <v>13</v>
      </c>
      <c r="E2385" s="570">
        <v>27</v>
      </c>
      <c r="F2385" s="571" t="s">
        <v>67</v>
      </c>
      <c r="G2385" s="569" t="s">
        <v>67</v>
      </c>
      <c r="H2385" s="569" t="s">
        <v>213</v>
      </c>
      <c r="I2385" s="574">
        <v>1415176565</v>
      </c>
    </row>
    <row r="2386" spans="1:9" ht="16" x14ac:dyDescent="0.2">
      <c r="A2386" s="561">
        <v>46108</v>
      </c>
      <c r="B2386" s="562">
        <v>2026</v>
      </c>
      <c r="C2386" s="563">
        <v>3</v>
      </c>
      <c r="D2386" s="564">
        <v>13</v>
      </c>
      <c r="E2386" s="564">
        <v>27</v>
      </c>
      <c r="F2386" s="565" t="s">
        <v>28</v>
      </c>
      <c r="G2386" s="563" t="s">
        <v>28</v>
      </c>
      <c r="H2386" s="563" t="s">
        <v>214</v>
      </c>
      <c r="I2386" s="573">
        <v>13318020000</v>
      </c>
    </row>
    <row r="2387" spans="1:9" ht="16" x14ac:dyDescent="0.2">
      <c r="A2387" s="567">
        <v>46108</v>
      </c>
      <c r="B2387" s="568">
        <v>2026</v>
      </c>
      <c r="C2387" s="569">
        <v>3</v>
      </c>
      <c r="D2387" s="570">
        <v>13</v>
      </c>
      <c r="E2387" s="570">
        <v>27</v>
      </c>
      <c r="F2387" s="571" t="s">
        <v>208</v>
      </c>
      <c r="G2387" s="569" t="s">
        <v>208</v>
      </c>
      <c r="H2387" s="569" t="s">
        <v>216</v>
      </c>
      <c r="I2387" s="574">
        <v>2047496</v>
      </c>
    </row>
    <row r="2388" spans="1:9" ht="16" x14ac:dyDescent="0.2">
      <c r="A2388" s="561">
        <v>46108</v>
      </c>
      <c r="B2388" s="562">
        <v>2026</v>
      </c>
      <c r="C2388" s="563">
        <v>3</v>
      </c>
      <c r="D2388" s="564">
        <v>13</v>
      </c>
      <c r="E2388" s="564">
        <v>27</v>
      </c>
      <c r="F2388" s="565" t="s">
        <v>60</v>
      </c>
      <c r="G2388" s="563" t="s">
        <v>60</v>
      </c>
      <c r="H2388" s="563" t="s">
        <v>212</v>
      </c>
      <c r="I2388" s="573">
        <v>90000000</v>
      </c>
    </row>
    <row r="2389" spans="1:9" ht="16" x14ac:dyDescent="0.2">
      <c r="A2389" s="567">
        <v>46108</v>
      </c>
      <c r="B2389" s="568">
        <v>2026</v>
      </c>
      <c r="C2389" s="569">
        <v>3</v>
      </c>
      <c r="D2389" s="570">
        <v>13</v>
      </c>
      <c r="E2389" s="570">
        <v>27</v>
      </c>
      <c r="F2389" s="571" t="s">
        <v>36</v>
      </c>
      <c r="G2389" s="569" t="s">
        <v>36</v>
      </c>
      <c r="H2389" s="569" t="s">
        <v>212</v>
      </c>
      <c r="I2389" s="574">
        <v>1723540000</v>
      </c>
    </row>
    <row r="2390" spans="1:9" ht="16" x14ac:dyDescent="0.2">
      <c r="A2390" s="561">
        <v>46108</v>
      </c>
      <c r="B2390" s="562">
        <v>2026</v>
      </c>
      <c r="C2390" s="563">
        <v>3</v>
      </c>
      <c r="D2390" s="564">
        <v>13</v>
      </c>
      <c r="E2390" s="564">
        <v>27</v>
      </c>
      <c r="F2390" s="565" t="s">
        <v>55</v>
      </c>
      <c r="G2390" s="563" t="s">
        <v>36</v>
      </c>
      <c r="H2390" s="563" t="s">
        <v>212</v>
      </c>
      <c r="I2390" s="573">
        <v>709360000</v>
      </c>
    </row>
    <row r="2391" spans="1:9" ht="16" x14ac:dyDescent="0.2">
      <c r="A2391" s="567">
        <v>46108</v>
      </c>
      <c r="B2391" s="568">
        <v>2026</v>
      </c>
      <c r="C2391" s="569">
        <v>3</v>
      </c>
      <c r="D2391" s="570">
        <v>13</v>
      </c>
      <c r="E2391" s="570">
        <v>27</v>
      </c>
      <c r="F2391" s="571" t="s">
        <v>176</v>
      </c>
      <c r="G2391" s="569" t="s">
        <v>176</v>
      </c>
      <c r="H2391" s="569" t="s">
        <v>216</v>
      </c>
      <c r="I2391" s="574">
        <v>4536962</v>
      </c>
    </row>
    <row r="2392" spans="1:9" ht="16" x14ac:dyDescent="0.2">
      <c r="A2392" s="561">
        <v>46108</v>
      </c>
      <c r="B2392" s="562">
        <v>2026</v>
      </c>
      <c r="C2392" s="563">
        <v>3</v>
      </c>
      <c r="D2392" s="564">
        <v>13</v>
      </c>
      <c r="E2392" s="564">
        <v>27</v>
      </c>
      <c r="F2392" s="565" t="s">
        <v>39</v>
      </c>
      <c r="G2392" s="563" t="s">
        <v>176</v>
      </c>
      <c r="H2392" s="563" t="s">
        <v>216</v>
      </c>
      <c r="I2392" s="573">
        <v>715815253</v>
      </c>
    </row>
    <row r="2393" spans="1:9" ht="16" x14ac:dyDescent="0.2">
      <c r="A2393" s="567">
        <v>46108</v>
      </c>
      <c r="B2393" s="568">
        <v>2026</v>
      </c>
      <c r="C2393" s="569">
        <v>3</v>
      </c>
      <c r="D2393" s="570">
        <v>13</v>
      </c>
      <c r="E2393" s="570">
        <v>27</v>
      </c>
      <c r="F2393" s="571" t="s">
        <v>206</v>
      </c>
      <c r="G2393" s="569" t="s">
        <v>206</v>
      </c>
      <c r="H2393" s="569" t="s">
        <v>212</v>
      </c>
      <c r="I2393" s="574">
        <v>0</v>
      </c>
    </row>
    <row r="2394" spans="1:9" ht="16" x14ac:dyDescent="0.2">
      <c r="A2394" s="561">
        <v>46108</v>
      </c>
      <c r="B2394" s="562">
        <v>2026</v>
      </c>
      <c r="C2394" s="563">
        <v>3</v>
      </c>
      <c r="D2394" s="564">
        <v>13</v>
      </c>
      <c r="E2394" s="564">
        <v>27</v>
      </c>
      <c r="F2394" s="565" t="s">
        <v>64</v>
      </c>
      <c r="G2394" s="563" t="s">
        <v>209</v>
      </c>
      <c r="H2394" s="563" t="s">
        <v>212</v>
      </c>
      <c r="I2394" s="573">
        <v>52500000</v>
      </c>
    </row>
    <row r="2395" spans="1:9" ht="16" x14ac:dyDescent="0.2">
      <c r="A2395" s="567">
        <v>46108</v>
      </c>
      <c r="B2395" s="568">
        <v>2026</v>
      </c>
      <c r="C2395" s="569">
        <v>3</v>
      </c>
      <c r="D2395" s="570">
        <v>13</v>
      </c>
      <c r="E2395" s="570">
        <v>27</v>
      </c>
      <c r="F2395" s="571" t="s">
        <v>237</v>
      </c>
      <c r="G2395" s="569" t="s">
        <v>209</v>
      </c>
      <c r="H2395" s="569" t="s">
        <v>212</v>
      </c>
      <c r="I2395" s="574">
        <v>0</v>
      </c>
    </row>
    <row r="2396" spans="1:9" ht="16" x14ac:dyDescent="0.2">
      <c r="A2396" s="561">
        <v>46108</v>
      </c>
      <c r="B2396" s="562">
        <v>2026</v>
      </c>
      <c r="C2396" s="563">
        <v>3</v>
      </c>
      <c r="D2396" s="564">
        <v>13</v>
      </c>
      <c r="E2396" s="564">
        <v>27</v>
      </c>
      <c r="F2396" s="565" t="s">
        <v>11</v>
      </c>
      <c r="G2396" s="563" t="s">
        <v>11</v>
      </c>
      <c r="H2396" s="563" t="s">
        <v>212</v>
      </c>
      <c r="I2396" s="573">
        <v>15557300000</v>
      </c>
    </row>
    <row r="2397" spans="1:9" ht="16" x14ac:dyDescent="0.2">
      <c r="A2397" s="567">
        <v>46108</v>
      </c>
      <c r="B2397" s="568">
        <v>2026</v>
      </c>
      <c r="C2397" s="569">
        <v>3</v>
      </c>
      <c r="D2397" s="570">
        <v>13</v>
      </c>
      <c r="E2397" s="570">
        <v>27</v>
      </c>
      <c r="F2397" s="571" t="s">
        <v>221</v>
      </c>
      <c r="G2397" s="569" t="s">
        <v>207</v>
      </c>
      <c r="H2397" s="569" t="s">
        <v>212</v>
      </c>
      <c r="I2397" s="574">
        <v>0</v>
      </c>
    </row>
    <row r="2398" spans="1:9" ht="16" x14ac:dyDescent="0.2">
      <c r="A2398" s="561">
        <v>46108</v>
      </c>
      <c r="B2398" s="562">
        <v>2026</v>
      </c>
      <c r="C2398" s="563">
        <v>3</v>
      </c>
      <c r="D2398" s="564">
        <v>13</v>
      </c>
      <c r="E2398" s="564">
        <v>27</v>
      </c>
      <c r="F2398" s="565" t="s">
        <v>222</v>
      </c>
      <c r="G2398" s="563" t="s">
        <v>207</v>
      </c>
      <c r="H2398" s="563" t="s">
        <v>212</v>
      </c>
      <c r="I2398" s="573">
        <v>0</v>
      </c>
    </row>
    <row r="2399" spans="1:9" ht="16" x14ac:dyDescent="0.2">
      <c r="A2399" s="567">
        <v>46108</v>
      </c>
      <c r="B2399" s="568">
        <v>2026</v>
      </c>
      <c r="C2399" s="569">
        <v>3</v>
      </c>
      <c r="D2399" s="570">
        <v>13</v>
      </c>
      <c r="E2399" s="570">
        <v>27</v>
      </c>
      <c r="F2399" s="571" t="s">
        <v>223</v>
      </c>
      <c r="G2399" s="569" t="s">
        <v>207</v>
      </c>
      <c r="H2399" s="569" t="s">
        <v>212</v>
      </c>
      <c r="I2399" s="574">
        <v>0</v>
      </c>
    </row>
    <row r="2400" spans="1:9" ht="16" x14ac:dyDescent="0.2">
      <c r="A2400" s="561">
        <v>46108</v>
      </c>
      <c r="B2400" s="562">
        <v>2026</v>
      </c>
      <c r="C2400" s="563">
        <v>3</v>
      </c>
      <c r="D2400" s="564">
        <v>13</v>
      </c>
      <c r="E2400" s="564">
        <v>27</v>
      </c>
      <c r="F2400" s="565" t="s">
        <v>219</v>
      </c>
      <c r="G2400" s="563" t="s">
        <v>11</v>
      </c>
      <c r="H2400" s="563" t="s">
        <v>212</v>
      </c>
      <c r="I2400" s="573">
        <v>0</v>
      </c>
    </row>
    <row r="2401" spans="1:9" ht="16" x14ac:dyDescent="0.2">
      <c r="A2401" s="567">
        <v>46108</v>
      </c>
      <c r="B2401" s="568">
        <v>2026</v>
      </c>
      <c r="C2401" s="569">
        <v>3</v>
      </c>
      <c r="D2401" s="570">
        <v>13</v>
      </c>
      <c r="E2401" s="570">
        <v>27</v>
      </c>
      <c r="F2401" s="571" t="s">
        <v>19</v>
      </c>
      <c r="G2401" s="569" t="s">
        <v>19</v>
      </c>
      <c r="H2401" s="569" t="s">
        <v>214</v>
      </c>
      <c r="I2401" s="574">
        <v>10031904000</v>
      </c>
    </row>
    <row r="2402" spans="1:9" ht="16" x14ac:dyDescent="0.2">
      <c r="A2402" s="561">
        <v>46108</v>
      </c>
      <c r="B2402" s="562">
        <v>2026</v>
      </c>
      <c r="C2402" s="563">
        <v>3</v>
      </c>
      <c r="D2402" s="564">
        <v>13</v>
      </c>
      <c r="E2402" s="564">
        <v>27</v>
      </c>
      <c r="F2402" s="565" t="s">
        <v>62</v>
      </c>
      <c r="G2402" s="563" t="s">
        <v>62</v>
      </c>
      <c r="H2402" s="563" t="s">
        <v>216</v>
      </c>
      <c r="I2402" s="573">
        <v>147440122</v>
      </c>
    </row>
    <row r="2403" spans="1:9" ht="16" x14ac:dyDescent="0.2">
      <c r="A2403" s="567">
        <v>46108</v>
      </c>
      <c r="B2403" s="568">
        <v>2026</v>
      </c>
      <c r="C2403" s="569">
        <v>3</v>
      </c>
      <c r="D2403" s="570">
        <v>13</v>
      </c>
      <c r="E2403" s="570">
        <v>27</v>
      </c>
      <c r="F2403" s="571" t="s">
        <v>58</v>
      </c>
      <c r="G2403" s="569" t="s">
        <v>58</v>
      </c>
      <c r="H2403" s="569" t="s">
        <v>212</v>
      </c>
      <c r="I2403" s="574">
        <v>109250000</v>
      </c>
    </row>
    <row r="2404" spans="1:9" ht="16" x14ac:dyDescent="0.2">
      <c r="A2404" s="561">
        <v>46108</v>
      </c>
      <c r="B2404" s="562">
        <v>2026</v>
      </c>
      <c r="C2404" s="563">
        <v>3</v>
      </c>
      <c r="D2404" s="564">
        <v>13</v>
      </c>
      <c r="E2404" s="564">
        <v>27</v>
      </c>
      <c r="F2404" s="565" t="s">
        <v>61</v>
      </c>
      <c r="G2404" s="563" t="s">
        <v>61</v>
      </c>
      <c r="H2404" s="563" t="s">
        <v>214</v>
      </c>
      <c r="I2404" s="573">
        <v>52000000</v>
      </c>
    </row>
    <row r="2405" spans="1:9" ht="16" x14ac:dyDescent="0.2">
      <c r="A2405" s="567">
        <v>46108</v>
      </c>
      <c r="B2405" s="568">
        <v>2026</v>
      </c>
      <c r="C2405" s="569">
        <v>3</v>
      </c>
      <c r="D2405" s="570">
        <v>13</v>
      </c>
      <c r="E2405" s="570">
        <v>27</v>
      </c>
      <c r="F2405" s="571" t="s">
        <v>57</v>
      </c>
      <c r="G2405" s="569" t="s">
        <v>57</v>
      </c>
      <c r="H2405" s="569" t="s">
        <v>212</v>
      </c>
      <c r="I2405" s="574">
        <v>938840000</v>
      </c>
    </row>
    <row r="2406" spans="1:9" ht="16" x14ac:dyDescent="0.2">
      <c r="A2406" s="561">
        <v>46108</v>
      </c>
      <c r="B2406" s="562">
        <v>2026</v>
      </c>
      <c r="C2406" s="563">
        <v>3</v>
      </c>
      <c r="D2406" s="564">
        <v>13</v>
      </c>
      <c r="E2406" s="564">
        <v>27</v>
      </c>
      <c r="F2406" s="565" t="s">
        <v>63</v>
      </c>
      <c r="G2406" s="563" t="s">
        <v>63</v>
      </c>
      <c r="H2406" s="563" t="s">
        <v>214</v>
      </c>
      <c r="I2406" s="573">
        <v>328104000</v>
      </c>
    </row>
    <row r="2407" spans="1:9" ht="16" x14ac:dyDescent="0.2">
      <c r="A2407" s="567">
        <v>46108</v>
      </c>
      <c r="B2407" s="568">
        <v>2026</v>
      </c>
      <c r="C2407" s="569">
        <v>3</v>
      </c>
      <c r="D2407" s="570">
        <v>13</v>
      </c>
      <c r="E2407" s="570">
        <v>27</v>
      </c>
      <c r="F2407" s="571" t="s">
        <v>59</v>
      </c>
      <c r="G2407" s="569" t="s">
        <v>59</v>
      </c>
      <c r="H2407" s="569" t="s">
        <v>216</v>
      </c>
      <c r="I2407" s="574">
        <v>360744201</v>
      </c>
    </row>
    <row r="2408" spans="1:9" ht="16" x14ac:dyDescent="0.2">
      <c r="A2408" s="561">
        <v>46108</v>
      </c>
      <c r="B2408" s="562">
        <v>2026</v>
      </c>
      <c r="C2408" s="563">
        <v>3</v>
      </c>
      <c r="D2408" s="564">
        <v>13</v>
      </c>
      <c r="E2408" s="564">
        <v>27</v>
      </c>
      <c r="F2408" s="565" t="s">
        <v>31</v>
      </c>
      <c r="G2408" s="563" t="s">
        <v>175</v>
      </c>
      <c r="H2408" s="563" t="s">
        <v>212</v>
      </c>
      <c r="I2408" s="573">
        <v>3028230000</v>
      </c>
    </row>
    <row r="2409" spans="1:9" ht="16" x14ac:dyDescent="0.2">
      <c r="A2409" s="567">
        <v>46108</v>
      </c>
      <c r="B2409" s="568">
        <v>2026</v>
      </c>
      <c r="C2409" s="569">
        <v>3</v>
      </c>
      <c r="D2409" s="570">
        <v>13</v>
      </c>
      <c r="E2409" s="570">
        <v>27</v>
      </c>
      <c r="F2409" s="571" t="s">
        <v>234</v>
      </c>
      <c r="G2409" s="569" t="s">
        <v>210</v>
      </c>
      <c r="H2409" s="569" t="s">
        <v>214</v>
      </c>
      <c r="I2409" s="574">
        <v>4320000</v>
      </c>
    </row>
    <row r="2410" spans="1:9" ht="16" x14ac:dyDescent="0.2">
      <c r="A2410" s="561">
        <v>46109</v>
      </c>
      <c r="B2410" s="562">
        <v>2026</v>
      </c>
      <c r="C2410" s="563">
        <v>3</v>
      </c>
      <c r="D2410" s="564">
        <v>13</v>
      </c>
      <c r="E2410" s="564">
        <v>28</v>
      </c>
      <c r="F2410" s="565" t="s">
        <v>65</v>
      </c>
      <c r="G2410" s="563" t="s">
        <v>65</v>
      </c>
      <c r="H2410" s="563" t="s">
        <v>212</v>
      </c>
      <c r="I2410" s="573">
        <v>677070000</v>
      </c>
    </row>
    <row r="2411" spans="1:9" ht="16" x14ac:dyDescent="0.2">
      <c r="A2411" s="567">
        <v>46109</v>
      </c>
      <c r="B2411" s="568">
        <v>2026</v>
      </c>
      <c r="C2411" s="569">
        <v>3</v>
      </c>
      <c r="D2411" s="570">
        <v>13</v>
      </c>
      <c r="E2411" s="570">
        <v>28</v>
      </c>
      <c r="F2411" s="571" t="s">
        <v>66</v>
      </c>
      <c r="G2411" s="569" t="s">
        <v>66</v>
      </c>
      <c r="H2411" s="569" t="s">
        <v>216</v>
      </c>
      <c r="I2411" s="574">
        <v>273794305</v>
      </c>
    </row>
    <row r="2412" spans="1:9" ht="16" x14ac:dyDescent="0.2">
      <c r="A2412" s="561">
        <v>46109</v>
      </c>
      <c r="B2412" s="562">
        <v>2026</v>
      </c>
      <c r="C2412" s="563">
        <v>3</v>
      </c>
      <c r="D2412" s="564">
        <v>13</v>
      </c>
      <c r="E2412" s="564">
        <v>28</v>
      </c>
      <c r="F2412" s="565" t="s">
        <v>24</v>
      </c>
      <c r="G2412" s="563" t="s">
        <v>24</v>
      </c>
      <c r="H2412" s="563" t="s">
        <v>212</v>
      </c>
      <c r="I2412" s="573">
        <v>12398330000</v>
      </c>
    </row>
    <row r="2413" spans="1:9" ht="16" x14ac:dyDescent="0.2">
      <c r="A2413" s="567">
        <v>46109</v>
      </c>
      <c r="B2413" s="568">
        <v>2026</v>
      </c>
      <c r="C2413" s="569">
        <v>3</v>
      </c>
      <c r="D2413" s="570">
        <v>13</v>
      </c>
      <c r="E2413" s="570">
        <v>28</v>
      </c>
      <c r="F2413" s="571" t="s">
        <v>67</v>
      </c>
      <c r="G2413" s="569" t="s">
        <v>67</v>
      </c>
      <c r="H2413" s="569" t="s">
        <v>213</v>
      </c>
      <c r="I2413" s="574">
        <v>1305929004</v>
      </c>
    </row>
    <row r="2414" spans="1:9" ht="16" x14ac:dyDescent="0.2">
      <c r="A2414" s="561">
        <v>46109</v>
      </c>
      <c r="B2414" s="562">
        <v>2026</v>
      </c>
      <c r="C2414" s="563">
        <v>3</v>
      </c>
      <c r="D2414" s="564">
        <v>13</v>
      </c>
      <c r="E2414" s="564">
        <v>28</v>
      </c>
      <c r="F2414" s="565" t="s">
        <v>28</v>
      </c>
      <c r="G2414" s="563" t="s">
        <v>28</v>
      </c>
      <c r="H2414" s="563" t="s">
        <v>214</v>
      </c>
      <c r="I2414" s="573">
        <v>11948796000</v>
      </c>
    </row>
    <row r="2415" spans="1:9" ht="16" x14ac:dyDescent="0.2">
      <c r="A2415" s="567">
        <v>46109</v>
      </c>
      <c r="B2415" s="568">
        <v>2026</v>
      </c>
      <c r="C2415" s="569">
        <v>3</v>
      </c>
      <c r="D2415" s="570">
        <v>13</v>
      </c>
      <c r="E2415" s="570">
        <v>28</v>
      </c>
      <c r="F2415" s="571" t="s">
        <v>208</v>
      </c>
      <c r="G2415" s="569" t="s">
        <v>208</v>
      </c>
      <c r="H2415" s="569" t="s">
        <v>216</v>
      </c>
      <c r="I2415" s="574">
        <v>2802019</v>
      </c>
    </row>
    <row r="2416" spans="1:9" ht="16" x14ac:dyDescent="0.2">
      <c r="A2416" s="561">
        <v>46109</v>
      </c>
      <c r="B2416" s="562">
        <v>2026</v>
      </c>
      <c r="C2416" s="563">
        <v>3</v>
      </c>
      <c r="D2416" s="564">
        <v>13</v>
      </c>
      <c r="E2416" s="564">
        <v>28</v>
      </c>
      <c r="F2416" s="565" t="s">
        <v>60</v>
      </c>
      <c r="G2416" s="563" t="s">
        <v>60</v>
      </c>
      <c r="H2416" s="563" t="s">
        <v>212</v>
      </c>
      <c r="I2416" s="573">
        <v>35000000</v>
      </c>
    </row>
    <row r="2417" spans="1:9" ht="16" x14ac:dyDescent="0.2">
      <c r="A2417" s="567">
        <v>46109</v>
      </c>
      <c r="B2417" s="568">
        <v>2026</v>
      </c>
      <c r="C2417" s="569">
        <v>3</v>
      </c>
      <c r="D2417" s="570">
        <v>13</v>
      </c>
      <c r="E2417" s="570">
        <v>28</v>
      </c>
      <c r="F2417" s="571" t="s">
        <v>36</v>
      </c>
      <c r="G2417" s="569" t="s">
        <v>36</v>
      </c>
      <c r="H2417" s="569" t="s">
        <v>212</v>
      </c>
      <c r="I2417" s="574">
        <v>2368860000</v>
      </c>
    </row>
    <row r="2418" spans="1:9" ht="16" x14ac:dyDescent="0.2">
      <c r="A2418" s="561">
        <v>46109</v>
      </c>
      <c r="B2418" s="562">
        <v>2026</v>
      </c>
      <c r="C2418" s="563">
        <v>3</v>
      </c>
      <c r="D2418" s="564">
        <v>13</v>
      </c>
      <c r="E2418" s="564">
        <v>28</v>
      </c>
      <c r="F2418" s="565" t="s">
        <v>55</v>
      </c>
      <c r="G2418" s="563" t="s">
        <v>36</v>
      </c>
      <c r="H2418" s="563" t="s">
        <v>212</v>
      </c>
      <c r="I2418" s="573">
        <v>1046200000</v>
      </c>
    </row>
    <row r="2419" spans="1:9" ht="16" x14ac:dyDescent="0.2">
      <c r="A2419" s="567">
        <v>46109</v>
      </c>
      <c r="B2419" s="568">
        <v>2026</v>
      </c>
      <c r="C2419" s="569">
        <v>3</v>
      </c>
      <c r="D2419" s="570">
        <v>13</v>
      </c>
      <c r="E2419" s="570">
        <v>28</v>
      </c>
      <c r="F2419" s="571" t="s">
        <v>176</v>
      </c>
      <c r="G2419" s="569" t="s">
        <v>176</v>
      </c>
      <c r="H2419" s="569" t="s">
        <v>216</v>
      </c>
      <c r="I2419" s="574">
        <v>3964267</v>
      </c>
    </row>
    <row r="2420" spans="1:9" ht="16" x14ac:dyDescent="0.2">
      <c r="A2420" s="561">
        <v>46109</v>
      </c>
      <c r="B2420" s="562">
        <v>2026</v>
      </c>
      <c r="C2420" s="563">
        <v>3</v>
      </c>
      <c r="D2420" s="564">
        <v>13</v>
      </c>
      <c r="E2420" s="564">
        <v>28</v>
      </c>
      <c r="F2420" s="565" t="s">
        <v>39</v>
      </c>
      <c r="G2420" s="563" t="s">
        <v>176</v>
      </c>
      <c r="H2420" s="563" t="s">
        <v>216</v>
      </c>
      <c r="I2420" s="573">
        <v>868090181</v>
      </c>
    </row>
    <row r="2421" spans="1:9" ht="16" x14ac:dyDescent="0.2">
      <c r="A2421" s="567">
        <v>46109</v>
      </c>
      <c r="B2421" s="568">
        <v>2026</v>
      </c>
      <c r="C2421" s="569">
        <v>3</v>
      </c>
      <c r="D2421" s="570">
        <v>13</v>
      </c>
      <c r="E2421" s="570">
        <v>28</v>
      </c>
      <c r="F2421" s="571" t="s">
        <v>206</v>
      </c>
      <c r="G2421" s="569" t="s">
        <v>206</v>
      </c>
      <c r="H2421" s="569" t="s">
        <v>212</v>
      </c>
      <c r="I2421" s="574">
        <v>0</v>
      </c>
    </row>
    <row r="2422" spans="1:9" ht="16" x14ac:dyDescent="0.2">
      <c r="A2422" s="561">
        <v>46109</v>
      </c>
      <c r="B2422" s="562">
        <v>2026</v>
      </c>
      <c r="C2422" s="563">
        <v>3</v>
      </c>
      <c r="D2422" s="564">
        <v>13</v>
      </c>
      <c r="E2422" s="564">
        <v>28</v>
      </c>
      <c r="F2422" s="565" t="s">
        <v>64</v>
      </c>
      <c r="G2422" s="563" t="s">
        <v>209</v>
      </c>
      <c r="H2422" s="563" t="s">
        <v>212</v>
      </c>
      <c r="I2422" s="573">
        <v>17000000</v>
      </c>
    </row>
    <row r="2423" spans="1:9" ht="16" x14ac:dyDescent="0.2">
      <c r="A2423" s="567">
        <v>46109</v>
      </c>
      <c r="B2423" s="568">
        <v>2026</v>
      </c>
      <c r="C2423" s="569">
        <v>3</v>
      </c>
      <c r="D2423" s="570">
        <v>13</v>
      </c>
      <c r="E2423" s="570">
        <v>28</v>
      </c>
      <c r="F2423" s="571" t="s">
        <v>237</v>
      </c>
      <c r="G2423" s="569" t="s">
        <v>209</v>
      </c>
      <c r="H2423" s="569" t="s">
        <v>212</v>
      </c>
      <c r="I2423" s="574">
        <v>0</v>
      </c>
    </row>
    <row r="2424" spans="1:9" ht="16" x14ac:dyDescent="0.2">
      <c r="A2424" s="561">
        <v>46109</v>
      </c>
      <c r="B2424" s="562">
        <v>2026</v>
      </c>
      <c r="C2424" s="563">
        <v>3</v>
      </c>
      <c r="D2424" s="564">
        <v>13</v>
      </c>
      <c r="E2424" s="564">
        <v>28</v>
      </c>
      <c r="F2424" s="565" t="s">
        <v>11</v>
      </c>
      <c r="G2424" s="563" t="s">
        <v>11</v>
      </c>
      <c r="H2424" s="563" t="s">
        <v>212</v>
      </c>
      <c r="I2424" s="573">
        <v>15321170000</v>
      </c>
    </row>
    <row r="2425" spans="1:9" ht="16" x14ac:dyDescent="0.2">
      <c r="A2425" s="567">
        <v>46109</v>
      </c>
      <c r="B2425" s="568">
        <v>2026</v>
      </c>
      <c r="C2425" s="569">
        <v>3</v>
      </c>
      <c r="D2425" s="570">
        <v>13</v>
      </c>
      <c r="E2425" s="570">
        <v>28</v>
      </c>
      <c r="F2425" s="571" t="s">
        <v>221</v>
      </c>
      <c r="G2425" s="569" t="s">
        <v>207</v>
      </c>
      <c r="H2425" s="569" t="s">
        <v>212</v>
      </c>
      <c r="I2425" s="574">
        <v>0</v>
      </c>
    </row>
    <row r="2426" spans="1:9" ht="16" x14ac:dyDescent="0.2">
      <c r="A2426" s="561">
        <v>46109</v>
      </c>
      <c r="B2426" s="562">
        <v>2026</v>
      </c>
      <c r="C2426" s="563">
        <v>3</v>
      </c>
      <c r="D2426" s="564">
        <v>13</v>
      </c>
      <c r="E2426" s="564">
        <v>28</v>
      </c>
      <c r="F2426" s="565" t="s">
        <v>222</v>
      </c>
      <c r="G2426" s="563" t="s">
        <v>207</v>
      </c>
      <c r="H2426" s="563" t="s">
        <v>212</v>
      </c>
      <c r="I2426" s="573">
        <v>0</v>
      </c>
    </row>
    <row r="2427" spans="1:9" ht="16" x14ac:dyDescent="0.2">
      <c r="A2427" s="567">
        <v>46109</v>
      </c>
      <c r="B2427" s="568">
        <v>2026</v>
      </c>
      <c r="C2427" s="569">
        <v>3</v>
      </c>
      <c r="D2427" s="570">
        <v>13</v>
      </c>
      <c r="E2427" s="570">
        <v>28</v>
      </c>
      <c r="F2427" s="571" t="s">
        <v>223</v>
      </c>
      <c r="G2427" s="569" t="s">
        <v>207</v>
      </c>
      <c r="H2427" s="569" t="s">
        <v>212</v>
      </c>
      <c r="I2427" s="574">
        <v>0</v>
      </c>
    </row>
    <row r="2428" spans="1:9" ht="16" x14ac:dyDescent="0.2">
      <c r="A2428" s="561">
        <v>46109</v>
      </c>
      <c r="B2428" s="562">
        <v>2026</v>
      </c>
      <c r="C2428" s="563">
        <v>3</v>
      </c>
      <c r="D2428" s="564">
        <v>13</v>
      </c>
      <c r="E2428" s="564">
        <v>28</v>
      </c>
      <c r="F2428" s="565" t="s">
        <v>219</v>
      </c>
      <c r="G2428" s="563" t="s">
        <v>11</v>
      </c>
      <c r="H2428" s="563" t="s">
        <v>212</v>
      </c>
      <c r="I2428" s="573">
        <v>0</v>
      </c>
    </row>
    <row r="2429" spans="1:9" ht="16" x14ac:dyDescent="0.2">
      <c r="A2429" s="567">
        <v>46109</v>
      </c>
      <c r="B2429" s="568">
        <v>2026</v>
      </c>
      <c r="C2429" s="569">
        <v>3</v>
      </c>
      <c r="D2429" s="570">
        <v>13</v>
      </c>
      <c r="E2429" s="570">
        <v>28</v>
      </c>
      <c r="F2429" s="571" t="s">
        <v>19</v>
      </c>
      <c r="G2429" s="569" t="s">
        <v>19</v>
      </c>
      <c r="H2429" s="569" t="s">
        <v>214</v>
      </c>
      <c r="I2429" s="574">
        <v>9915048000</v>
      </c>
    </row>
    <row r="2430" spans="1:9" ht="16" x14ac:dyDescent="0.2">
      <c r="A2430" s="561">
        <v>46109</v>
      </c>
      <c r="B2430" s="562">
        <v>2026</v>
      </c>
      <c r="C2430" s="563">
        <v>3</v>
      </c>
      <c r="D2430" s="564">
        <v>13</v>
      </c>
      <c r="E2430" s="564">
        <v>28</v>
      </c>
      <c r="F2430" s="565" t="s">
        <v>62</v>
      </c>
      <c r="G2430" s="563" t="s">
        <v>62</v>
      </c>
      <c r="H2430" s="563" t="s">
        <v>216</v>
      </c>
      <c r="I2430" s="573">
        <v>130096861</v>
      </c>
    </row>
    <row r="2431" spans="1:9" ht="16" x14ac:dyDescent="0.2">
      <c r="A2431" s="567">
        <v>46109</v>
      </c>
      <c r="B2431" s="568">
        <v>2026</v>
      </c>
      <c r="C2431" s="569">
        <v>3</v>
      </c>
      <c r="D2431" s="570">
        <v>13</v>
      </c>
      <c r="E2431" s="570">
        <v>28</v>
      </c>
      <c r="F2431" s="571" t="s">
        <v>58</v>
      </c>
      <c r="G2431" s="569" t="s">
        <v>58</v>
      </c>
      <c r="H2431" s="569" t="s">
        <v>212</v>
      </c>
      <c r="I2431" s="574">
        <v>68250000</v>
      </c>
    </row>
    <row r="2432" spans="1:9" ht="16" x14ac:dyDescent="0.2">
      <c r="A2432" s="561">
        <v>46109</v>
      </c>
      <c r="B2432" s="562">
        <v>2026</v>
      </c>
      <c r="C2432" s="563">
        <v>3</v>
      </c>
      <c r="D2432" s="564">
        <v>13</v>
      </c>
      <c r="E2432" s="564">
        <v>28</v>
      </c>
      <c r="F2432" s="565" t="s">
        <v>61</v>
      </c>
      <c r="G2432" s="563" t="s">
        <v>61</v>
      </c>
      <c r="H2432" s="563" t="s">
        <v>214</v>
      </c>
      <c r="I2432" s="573">
        <v>65000000</v>
      </c>
    </row>
    <row r="2433" spans="1:9" ht="16" x14ac:dyDescent="0.2">
      <c r="A2433" s="567">
        <v>46109</v>
      </c>
      <c r="B2433" s="568">
        <v>2026</v>
      </c>
      <c r="C2433" s="569">
        <v>3</v>
      </c>
      <c r="D2433" s="570">
        <v>13</v>
      </c>
      <c r="E2433" s="570">
        <v>28</v>
      </c>
      <c r="F2433" s="571" t="s">
        <v>57</v>
      </c>
      <c r="G2433" s="569" t="s">
        <v>57</v>
      </c>
      <c r="H2433" s="569" t="s">
        <v>212</v>
      </c>
      <c r="I2433" s="574">
        <v>935980000</v>
      </c>
    </row>
    <row r="2434" spans="1:9" ht="16" x14ac:dyDescent="0.2">
      <c r="A2434" s="561">
        <v>46109</v>
      </c>
      <c r="B2434" s="562">
        <v>2026</v>
      </c>
      <c r="C2434" s="563">
        <v>3</v>
      </c>
      <c r="D2434" s="564">
        <v>13</v>
      </c>
      <c r="E2434" s="564">
        <v>28</v>
      </c>
      <c r="F2434" s="565" t="s">
        <v>63</v>
      </c>
      <c r="G2434" s="563" t="s">
        <v>63</v>
      </c>
      <c r="H2434" s="563" t="s">
        <v>214</v>
      </c>
      <c r="I2434" s="573">
        <v>326700000</v>
      </c>
    </row>
    <row r="2435" spans="1:9" ht="16" x14ac:dyDescent="0.2">
      <c r="A2435" s="567">
        <v>46109</v>
      </c>
      <c r="B2435" s="568">
        <v>2026</v>
      </c>
      <c r="C2435" s="569">
        <v>3</v>
      </c>
      <c r="D2435" s="570">
        <v>13</v>
      </c>
      <c r="E2435" s="570">
        <v>28</v>
      </c>
      <c r="F2435" s="571" t="s">
        <v>59</v>
      </c>
      <c r="G2435" s="569" t="s">
        <v>59</v>
      </c>
      <c r="H2435" s="569" t="s">
        <v>216</v>
      </c>
      <c r="I2435" s="574">
        <v>351764250</v>
      </c>
    </row>
    <row r="2436" spans="1:9" ht="16" x14ac:dyDescent="0.2">
      <c r="A2436" s="561">
        <v>46109</v>
      </c>
      <c r="B2436" s="562">
        <v>2026</v>
      </c>
      <c r="C2436" s="563">
        <v>3</v>
      </c>
      <c r="D2436" s="564">
        <v>13</v>
      </c>
      <c r="E2436" s="564">
        <v>28</v>
      </c>
      <c r="F2436" s="565" t="s">
        <v>31</v>
      </c>
      <c r="G2436" s="563" t="s">
        <v>175</v>
      </c>
      <c r="H2436" s="563" t="s">
        <v>212</v>
      </c>
      <c r="I2436" s="573">
        <v>2806780000</v>
      </c>
    </row>
    <row r="2437" spans="1:9" ht="16" x14ac:dyDescent="0.2">
      <c r="A2437" s="567">
        <v>46109</v>
      </c>
      <c r="B2437" s="568">
        <v>2026</v>
      </c>
      <c r="C2437" s="569">
        <v>3</v>
      </c>
      <c r="D2437" s="570">
        <v>13</v>
      </c>
      <c r="E2437" s="570">
        <v>28</v>
      </c>
      <c r="F2437" s="571" t="s">
        <v>234</v>
      </c>
      <c r="G2437" s="569" t="s">
        <v>210</v>
      </c>
      <c r="H2437" s="569" t="s">
        <v>214</v>
      </c>
      <c r="I2437" s="574">
        <v>3240000</v>
      </c>
    </row>
    <row r="2438" spans="1:9" ht="16" x14ac:dyDescent="0.2">
      <c r="A2438" s="561">
        <v>46110</v>
      </c>
      <c r="B2438" s="562">
        <v>2026</v>
      </c>
      <c r="C2438" s="563">
        <v>3</v>
      </c>
      <c r="D2438" s="564">
        <v>13</v>
      </c>
      <c r="E2438" s="564">
        <v>29</v>
      </c>
      <c r="F2438" s="565" t="s">
        <v>65</v>
      </c>
      <c r="G2438" s="563" t="s">
        <v>65</v>
      </c>
      <c r="H2438" s="563" t="s">
        <v>212</v>
      </c>
      <c r="I2438" s="573">
        <v>662610000</v>
      </c>
    </row>
    <row r="2439" spans="1:9" ht="16" x14ac:dyDescent="0.2">
      <c r="A2439" s="567">
        <v>46110</v>
      </c>
      <c r="B2439" s="568">
        <v>2026</v>
      </c>
      <c r="C2439" s="569">
        <v>3</v>
      </c>
      <c r="D2439" s="570">
        <v>13</v>
      </c>
      <c r="E2439" s="570">
        <v>29</v>
      </c>
      <c r="F2439" s="571" t="s">
        <v>66</v>
      </c>
      <c r="G2439" s="569" t="s">
        <v>66</v>
      </c>
      <c r="H2439" s="569" t="s">
        <v>216</v>
      </c>
      <c r="I2439" s="574">
        <v>316649498</v>
      </c>
    </row>
    <row r="2440" spans="1:9" ht="16" x14ac:dyDescent="0.2">
      <c r="A2440" s="561">
        <v>46110</v>
      </c>
      <c r="B2440" s="562">
        <v>2026</v>
      </c>
      <c r="C2440" s="563">
        <v>3</v>
      </c>
      <c r="D2440" s="564">
        <v>13</v>
      </c>
      <c r="E2440" s="564">
        <v>29</v>
      </c>
      <c r="F2440" s="565" t="s">
        <v>24</v>
      </c>
      <c r="G2440" s="563" t="s">
        <v>24</v>
      </c>
      <c r="H2440" s="563" t="s">
        <v>212</v>
      </c>
      <c r="I2440" s="573">
        <v>10164860000</v>
      </c>
    </row>
    <row r="2441" spans="1:9" ht="16" x14ac:dyDescent="0.2">
      <c r="A2441" s="567">
        <v>46110</v>
      </c>
      <c r="B2441" s="568">
        <v>2026</v>
      </c>
      <c r="C2441" s="569">
        <v>3</v>
      </c>
      <c r="D2441" s="570">
        <v>13</v>
      </c>
      <c r="E2441" s="570">
        <v>29</v>
      </c>
      <c r="F2441" s="571" t="s">
        <v>67</v>
      </c>
      <c r="G2441" s="569" t="s">
        <v>67</v>
      </c>
      <c r="H2441" s="569" t="s">
        <v>213</v>
      </c>
      <c r="I2441" s="574">
        <v>1296102256</v>
      </c>
    </row>
    <row r="2442" spans="1:9" ht="16" x14ac:dyDescent="0.2">
      <c r="A2442" s="561">
        <v>46110</v>
      </c>
      <c r="B2442" s="562">
        <v>2026</v>
      </c>
      <c r="C2442" s="563">
        <v>3</v>
      </c>
      <c r="D2442" s="564">
        <v>13</v>
      </c>
      <c r="E2442" s="564">
        <v>29</v>
      </c>
      <c r="F2442" s="565" t="s">
        <v>28</v>
      </c>
      <c r="G2442" s="563" t="s">
        <v>28</v>
      </c>
      <c r="H2442" s="563" t="s">
        <v>214</v>
      </c>
      <c r="I2442" s="573">
        <v>11300580000</v>
      </c>
    </row>
    <row r="2443" spans="1:9" ht="16" x14ac:dyDescent="0.2">
      <c r="A2443" s="567">
        <v>46110</v>
      </c>
      <c r="B2443" s="568">
        <v>2026</v>
      </c>
      <c r="C2443" s="569">
        <v>3</v>
      </c>
      <c r="D2443" s="570">
        <v>13</v>
      </c>
      <c r="E2443" s="570">
        <v>29</v>
      </c>
      <c r="F2443" s="571" t="s">
        <v>208</v>
      </c>
      <c r="G2443" s="569" t="s">
        <v>208</v>
      </c>
      <c r="H2443" s="569" t="s">
        <v>216</v>
      </c>
      <c r="I2443" s="574">
        <v>3356656</v>
      </c>
    </row>
    <row r="2444" spans="1:9" ht="16" x14ac:dyDescent="0.2">
      <c r="A2444" s="561">
        <v>46110</v>
      </c>
      <c r="B2444" s="562">
        <v>2026</v>
      </c>
      <c r="C2444" s="563">
        <v>3</v>
      </c>
      <c r="D2444" s="564">
        <v>13</v>
      </c>
      <c r="E2444" s="564">
        <v>29</v>
      </c>
      <c r="F2444" s="565" t="s">
        <v>60</v>
      </c>
      <c r="G2444" s="563" t="s">
        <v>60</v>
      </c>
      <c r="H2444" s="563" t="s">
        <v>212</v>
      </c>
      <c r="I2444" s="573">
        <v>0</v>
      </c>
    </row>
    <row r="2445" spans="1:9" ht="16" x14ac:dyDescent="0.2">
      <c r="A2445" s="567">
        <v>46110</v>
      </c>
      <c r="B2445" s="568">
        <v>2026</v>
      </c>
      <c r="C2445" s="569">
        <v>3</v>
      </c>
      <c r="D2445" s="570">
        <v>13</v>
      </c>
      <c r="E2445" s="570">
        <v>29</v>
      </c>
      <c r="F2445" s="571" t="s">
        <v>36</v>
      </c>
      <c r="G2445" s="569" t="s">
        <v>36</v>
      </c>
      <c r="H2445" s="569" t="s">
        <v>212</v>
      </c>
      <c r="I2445" s="574">
        <v>2775080000</v>
      </c>
    </row>
    <row r="2446" spans="1:9" ht="16" x14ac:dyDescent="0.2">
      <c r="A2446" s="561">
        <v>46110</v>
      </c>
      <c r="B2446" s="562">
        <v>2026</v>
      </c>
      <c r="C2446" s="563">
        <v>3</v>
      </c>
      <c r="D2446" s="564">
        <v>13</v>
      </c>
      <c r="E2446" s="564">
        <v>29</v>
      </c>
      <c r="F2446" s="565" t="s">
        <v>55</v>
      </c>
      <c r="G2446" s="563" t="s">
        <v>36</v>
      </c>
      <c r="H2446" s="563" t="s">
        <v>212</v>
      </c>
      <c r="I2446" s="573">
        <v>896920000</v>
      </c>
    </row>
    <row r="2447" spans="1:9" ht="16" x14ac:dyDescent="0.2">
      <c r="A2447" s="567">
        <v>46110</v>
      </c>
      <c r="B2447" s="568">
        <v>2026</v>
      </c>
      <c r="C2447" s="569">
        <v>3</v>
      </c>
      <c r="D2447" s="570">
        <v>13</v>
      </c>
      <c r="E2447" s="570">
        <v>29</v>
      </c>
      <c r="F2447" s="571" t="s">
        <v>176</v>
      </c>
      <c r="G2447" s="569" t="s">
        <v>176</v>
      </c>
      <c r="H2447" s="569" t="s">
        <v>216</v>
      </c>
      <c r="I2447" s="574">
        <v>6972182</v>
      </c>
    </row>
    <row r="2448" spans="1:9" ht="16" x14ac:dyDescent="0.2">
      <c r="A2448" s="561">
        <v>46110</v>
      </c>
      <c r="B2448" s="562">
        <v>2026</v>
      </c>
      <c r="C2448" s="563">
        <v>3</v>
      </c>
      <c r="D2448" s="564">
        <v>13</v>
      </c>
      <c r="E2448" s="564">
        <v>29</v>
      </c>
      <c r="F2448" s="565" t="s">
        <v>39</v>
      </c>
      <c r="G2448" s="563" t="s">
        <v>176</v>
      </c>
      <c r="H2448" s="563" t="s">
        <v>216</v>
      </c>
      <c r="I2448" s="573">
        <v>1049981885</v>
      </c>
    </row>
    <row r="2449" spans="1:9" ht="16" x14ac:dyDescent="0.2">
      <c r="A2449" s="567">
        <v>46110</v>
      </c>
      <c r="B2449" s="568">
        <v>2026</v>
      </c>
      <c r="C2449" s="569">
        <v>3</v>
      </c>
      <c r="D2449" s="570">
        <v>13</v>
      </c>
      <c r="E2449" s="570">
        <v>29</v>
      </c>
      <c r="F2449" s="571" t="s">
        <v>206</v>
      </c>
      <c r="G2449" s="569" t="s">
        <v>206</v>
      </c>
      <c r="H2449" s="569" t="s">
        <v>212</v>
      </c>
      <c r="I2449" s="574">
        <v>0</v>
      </c>
    </row>
    <row r="2450" spans="1:9" ht="16" x14ac:dyDescent="0.2">
      <c r="A2450" s="561">
        <v>46110</v>
      </c>
      <c r="B2450" s="562">
        <v>2026</v>
      </c>
      <c r="C2450" s="563">
        <v>3</v>
      </c>
      <c r="D2450" s="564">
        <v>13</v>
      </c>
      <c r="E2450" s="564">
        <v>29</v>
      </c>
      <c r="F2450" s="565" t="s">
        <v>64</v>
      </c>
      <c r="G2450" s="563" t="s">
        <v>209</v>
      </c>
      <c r="H2450" s="563" t="s">
        <v>212</v>
      </c>
      <c r="I2450" s="573">
        <v>10500000</v>
      </c>
    </row>
    <row r="2451" spans="1:9" ht="16" x14ac:dyDescent="0.2">
      <c r="A2451" s="567">
        <v>46110</v>
      </c>
      <c r="B2451" s="568">
        <v>2026</v>
      </c>
      <c r="C2451" s="569">
        <v>3</v>
      </c>
      <c r="D2451" s="570">
        <v>13</v>
      </c>
      <c r="E2451" s="570">
        <v>29</v>
      </c>
      <c r="F2451" s="571" t="s">
        <v>237</v>
      </c>
      <c r="G2451" s="569" t="s">
        <v>209</v>
      </c>
      <c r="H2451" s="569" t="s">
        <v>212</v>
      </c>
      <c r="I2451" s="574">
        <v>0</v>
      </c>
    </row>
    <row r="2452" spans="1:9" ht="16" x14ac:dyDescent="0.2">
      <c r="A2452" s="561">
        <v>46110</v>
      </c>
      <c r="B2452" s="562">
        <v>2026</v>
      </c>
      <c r="C2452" s="563">
        <v>3</v>
      </c>
      <c r="D2452" s="564">
        <v>13</v>
      </c>
      <c r="E2452" s="564">
        <v>29</v>
      </c>
      <c r="F2452" s="565" t="s">
        <v>11</v>
      </c>
      <c r="G2452" s="563" t="s">
        <v>11</v>
      </c>
      <c r="H2452" s="563" t="s">
        <v>212</v>
      </c>
      <c r="I2452" s="573">
        <v>14703700000</v>
      </c>
    </row>
    <row r="2453" spans="1:9" ht="16" x14ac:dyDescent="0.2">
      <c r="A2453" s="567">
        <v>46110</v>
      </c>
      <c r="B2453" s="568">
        <v>2026</v>
      </c>
      <c r="C2453" s="569">
        <v>3</v>
      </c>
      <c r="D2453" s="570">
        <v>13</v>
      </c>
      <c r="E2453" s="570">
        <v>29</v>
      </c>
      <c r="F2453" s="571" t="s">
        <v>221</v>
      </c>
      <c r="G2453" s="569" t="s">
        <v>207</v>
      </c>
      <c r="H2453" s="569" t="s">
        <v>212</v>
      </c>
      <c r="I2453" s="574">
        <v>0</v>
      </c>
    </row>
    <row r="2454" spans="1:9" ht="16" x14ac:dyDescent="0.2">
      <c r="A2454" s="561">
        <v>46110</v>
      </c>
      <c r="B2454" s="562">
        <v>2026</v>
      </c>
      <c r="C2454" s="563">
        <v>3</v>
      </c>
      <c r="D2454" s="564">
        <v>13</v>
      </c>
      <c r="E2454" s="564">
        <v>29</v>
      </c>
      <c r="F2454" s="565" t="s">
        <v>222</v>
      </c>
      <c r="G2454" s="563" t="s">
        <v>207</v>
      </c>
      <c r="H2454" s="563" t="s">
        <v>212</v>
      </c>
      <c r="I2454" s="573">
        <v>0</v>
      </c>
    </row>
    <row r="2455" spans="1:9" ht="16" x14ac:dyDescent="0.2">
      <c r="A2455" s="567">
        <v>46110</v>
      </c>
      <c r="B2455" s="568">
        <v>2026</v>
      </c>
      <c r="C2455" s="569">
        <v>3</v>
      </c>
      <c r="D2455" s="570">
        <v>13</v>
      </c>
      <c r="E2455" s="570">
        <v>29</v>
      </c>
      <c r="F2455" s="571" t="s">
        <v>223</v>
      </c>
      <c r="G2455" s="569" t="s">
        <v>207</v>
      </c>
      <c r="H2455" s="569" t="s">
        <v>212</v>
      </c>
      <c r="I2455" s="574">
        <v>0</v>
      </c>
    </row>
    <row r="2456" spans="1:9" ht="16" x14ac:dyDescent="0.2">
      <c r="A2456" s="561">
        <v>46110</v>
      </c>
      <c r="B2456" s="562">
        <v>2026</v>
      </c>
      <c r="C2456" s="563">
        <v>3</v>
      </c>
      <c r="D2456" s="564">
        <v>13</v>
      </c>
      <c r="E2456" s="564">
        <v>29</v>
      </c>
      <c r="F2456" s="565" t="s">
        <v>219</v>
      </c>
      <c r="G2456" s="563" t="s">
        <v>11</v>
      </c>
      <c r="H2456" s="563" t="s">
        <v>212</v>
      </c>
      <c r="I2456" s="573">
        <v>0</v>
      </c>
    </row>
    <row r="2457" spans="1:9" ht="16" x14ac:dyDescent="0.2">
      <c r="A2457" s="567">
        <v>46110</v>
      </c>
      <c r="B2457" s="568">
        <v>2026</v>
      </c>
      <c r="C2457" s="569">
        <v>3</v>
      </c>
      <c r="D2457" s="570">
        <v>13</v>
      </c>
      <c r="E2457" s="570">
        <v>29</v>
      </c>
      <c r="F2457" s="571" t="s">
        <v>19</v>
      </c>
      <c r="G2457" s="569" t="s">
        <v>19</v>
      </c>
      <c r="H2457" s="569" t="s">
        <v>214</v>
      </c>
      <c r="I2457" s="574">
        <v>10008360000</v>
      </c>
    </row>
    <row r="2458" spans="1:9" ht="16" x14ac:dyDescent="0.2">
      <c r="A2458" s="561">
        <v>46110</v>
      </c>
      <c r="B2458" s="562">
        <v>2026</v>
      </c>
      <c r="C2458" s="563">
        <v>3</v>
      </c>
      <c r="D2458" s="564">
        <v>13</v>
      </c>
      <c r="E2458" s="564">
        <v>29</v>
      </c>
      <c r="F2458" s="565" t="s">
        <v>62</v>
      </c>
      <c r="G2458" s="563" t="s">
        <v>62</v>
      </c>
      <c r="H2458" s="563" t="s">
        <v>216</v>
      </c>
      <c r="I2458" s="573">
        <v>137201286</v>
      </c>
    </row>
    <row r="2459" spans="1:9" ht="16" x14ac:dyDescent="0.2">
      <c r="A2459" s="567">
        <v>46110</v>
      </c>
      <c r="B2459" s="568">
        <v>2026</v>
      </c>
      <c r="C2459" s="569">
        <v>3</v>
      </c>
      <c r="D2459" s="570">
        <v>13</v>
      </c>
      <c r="E2459" s="570">
        <v>29</v>
      </c>
      <c r="F2459" s="571" t="s">
        <v>58</v>
      </c>
      <c r="G2459" s="569" t="s">
        <v>58</v>
      </c>
      <c r="H2459" s="569" t="s">
        <v>212</v>
      </c>
      <c r="I2459" s="574">
        <v>63000000</v>
      </c>
    </row>
    <row r="2460" spans="1:9" ht="16" x14ac:dyDescent="0.2">
      <c r="A2460" s="561">
        <v>46110</v>
      </c>
      <c r="B2460" s="562">
        <v>2026</v>
      </c>
      <c r="C2460" s="563">
        <v>3</v>
      </c>
      <c r="D2460" s="564">
        <v>13</v>
      </c>
      <c r="E2460" s="564">
        <v>29</v>
      </c>
      <c r="F2460" s="565" t="s">
        <v>61</v>
      </c>
      <c r="G2460" s="563" t="s">
        <v>61</v>
      </c>
      <c r="H2460" s="563" t="s">
        <v>214</v>
      </c>
      <c r="I2460" s="573">
        <v>43000000</v>
      </c>
    </row>
    <row r="2461" spans="1:9" ht="16" x14ac:dyDescent="0.2">
      <c r="A2461" s="567">
        <v>46110</v>
      </c>
      <c r="B2461" s="568">
        <v>2026</v>
      </c>
      <c r="C2461" s="569">
        <v>3</v>
      </c>
      <c r="D2461" s="570">
        <v>13</v>
      </c>
      <c r="E2461" s="570">
        <v>29</v>
      </c>
      <c r="F2461" s="571" t="s">
        <v>57</v>
      </c>
      <c r="G2461" s="569" t="s">
        <v>57</v>
      </c>
      <c r="H2461" s="569" t="s">
        <v>212</v>
      </c>
      <c r="I2461" s="574">
        <v>575390000</v>
      </c>
    </row>
    <row r="2462" spans="1:9" ht="16" x14ac:dyDescent="0.2">
      <c r="A2462" s="561">
        <v>46110</v>
      </c>
      <c r="B2462" s="562">
        <v>2026</v>
      </c>
      <c r="C2462" s="563">
        <v>3</v>
      </c>
      <c r="D2462" s="564">
        <v>13</v>
      </c>
      <c r="E2462" s="564">
        <v>29</v>
      </c>
      <c r="F2462" s="565" t="s">
        <v>63</v>
      </c>
      <c r="G2462" s="563" t="s">
        <v>63</v>
      </c>
      <c r="H2462" s="563" t="s">
        <v>214</v>
      </c>
      <c r="I2462" s="573">
        <v>199260000</v>
      </c>
    </row>
    <row r="2463" spans="1:9" ht="16" x14ac:dyDescent="0.2">
      <c r="A2463" s="567">
        <v>46110</v>
      </c>
      <c r="B2463" s="568">
        <v>2026</v>
      </c>
      <c r="C2463" s="569">
        <v>3</v>
      </c>
      <c r="D2463" s="570">
        <v>13</v>
      </c>
      <c r="E2463" s="570">
        <v>29</v>
      </c>
      <c r="F2463" s="571" t="s">
        <v>59</v>
      </c>
      <c r="G2463" s="569" t="s">
        <v>59</v>
      </c>
      <c r="H2463" s="569" t="s">
        <v>216</v>
      </c>
      <c r="I2463" s="574">
        <v>302359652</v>
      </c>
    </row>
    <row r="2464" spans="1:9" ht="16" x14ac:dyDescent="0.2">
      <c r="A2464" s="561">
        <v>46110</v>
      </c>
      <c r="B2464" s="562">
        <v>2026</v>
      </c>
      <c r="C2464" s="563">
        <v>3</v>
      </c>
      <c r="D2464" s="564">
        <v>13</v>
      </c>
      <c r="E2464" s="564">
        <v>29</v>
      </c>
      <c r="F2464" s="565" t="s">
        <v>31</v>
      </c>
      <c r="G2464" s="563" t="s">
        <v>175</v>
      </c>
      <c r="H2464" s="563" t="s">
        <v>212</v>
      </c>
      <c r="I2464" s="573">
        <v>2793520000</v>
      </c>
    </row>
    <row r="2465" spans="1:9" ht="16" x14ac:dyDescent="0.2">
      <c r="A2465" s="567">
        <v>46110</v>
      </c>
      <c r="B2465" s="568">
        <v>2026</v>
      </c>
      <c r="C2465" s="569">
        <v>3</v>
      </c>
      <c r="D2465" s="570">
        <v>13</v>
      </c>
      <c r="E2465" s="570">
        <v>29</v>
      </c>
      <c r="F2465" s="571" t="s">
        <v>234</v>
      </c>
      <c r="G2465" s="569" t="s">
        <v>210</v>
      </c>
      <c r="H2465" s="569" t="s">
        <v>214</v>
      </c>
      <c r="I2465" s="574">
        <v>19440000</v>
      </c>
    </row>
    <row r="2466" spans="1:9" ht="16" x14ac:dyDescent="0.2">
      <c r="A2466" s="561">
        <v>46111</v>
      </c>
      <c r="B2466" s="562">
        <v>2026</v>
      </c>
      <c r="C2466" s="563">
        <v>3</v>
      </c>
      <c r="D2466" s="564">
        <v>14</v>
      </c>
      <c r="E2466" s="564">
        <v>30</v>
      </c>
      <c r="F2466" s="565" t="s">
        <v>65</v>
      </c>
      <c r="G2466" s="563" t="s">
        <v>65</v>
      </c>
      <c r="H2466" s="563" t="s">
        <v>212</v>
      </c>
      <c r="I2466" s="566">
        <v>993310000</v>
      </c>
    </row>
    <row r="2467" spans="1:9" ht="16" x14ac:dyDescent="0.2">
      <c r="A2467" s="567">
        <v>46111</v>
      </c>
      <c r="B2467" s="568">
        <v>2026</v>
      </c>
      <c r="C2467" s="569">
        <v>3</v>
      </c>
      <c r="D2467" s="570">
        <v>14</v>
      </c>
      <c r="E2467" s="570">
        <v>30</v>
      </c>
      <c r="F2467" s="571" t="s">
        <v>66</v>
      </c>
      <c r="G2467" s="569" t="s">
        <v>66</v>
      </c>
      <c r="H2467" s="569" t="s">
        <v>216</v>
      </c>
      <c r="I2467" s="572">
        <v>281625178</v>
      </c>
    </row>
    <row r="2468" spans="1:9" ht="16" x14ac:dyDescent="0.2">
      <c r="A2468" s="561">
        <v>46111</v>
      </c>
      <c r="B2468" s="562">
        <v>2026</v>
      </c>
      <c r="C2468" s="563">
        <v>3</v>
      </c>
      <c r="D2468" s="564">
        <v>14</v>
      </c>
      <c r="E2468" s="564">
        <v>30</v>
      </c>
      <c r="F2468" s="565" t="s">
        <v>24</v>
      </c>
      <c r="G2468" s="563" t="s">
        <v>24</v>
      </c>
      <c r="H2468" s="563" t="s">
        <v>212</v>
      </c>
      <c r="I2468" s="566">
        <v>23109140000</v>
      </c>
    </row>
    <row r="2469" spans="1:9" ht="16" x14ac:dyDescent="0.2">
      <c r="A2469" s="567">
        <v>46111</v>
      </c>
      <c r="B2469" s="568">
        <v>2026</v>
      </c>
      <c r="C2469" s="569">
        <v>3</v>
      </c>
      <c r="D2469" s="570">
        <v>14</v>
      </c>
      <c r="E2469" s="570">
        <v>30</v>
      </c>
      <c r="F2469" s="571" t="s">
        <v>67</v>
      </c>
      <c r="G2469" s="569" t="s">
        <v>67</v>
      </c>
      <c r="H2469" s="569" t="s">
        <v>213</v>
      </c>
      <c r="I2469" s="572">
        <v>2111846731</v>
      </c>
    </row>
    <row r="2470" spans="1:9" ht="16" x14ac:dyDescent="0.2">
      <c r="A2470" s="561">
        <v>46111</v>
      </c>
      <c r="B2470" s="562">
        <v>2026</v>
      </c>
      <c r="C2470" s="563">
        <v>3</v>
      </c>
      <c r="D2470" s="564">
        <v>14</v>
      </c>
      <c r="E2470" s="564">
        <v>30</v>
      </c>
      <c r="F2470" s="565" t="s">
        <v>28</v>
      </c>
      <c r="G2470" s="563" t="s">
        <v>28</v>
      </c>
      <c r="H2470" s="563" t="s">
        <v>214</v>
      </c>
      <c r="I2470" s="566">
        <v>13423212000</v>
      </c>
    </row>
    <row r="2471" spans="1:9" ht="16" x14ac:dyDescent="0.2">
      <c r="A2471" s="567">
        <v>46111</v>
      </c>
      <c r="B2471" s="568">
        <v>2026</v>
      </c>
      <c r="C2471" s="569">
        <v>3</v>
      </c>
      <c r="D2471" s="570">
        <v>14</v>
      </c>
      <c r="E2471" s="570">
        <v>30</v>
      </c>
      <c r="F2471" s="571" t="s">
        <v>208</v>
      </c>
      <c r="G2471" s="569" t="s">
        <v>208</v>
      </c>
      <c r="H2471" s="569" t="s">
        <v>216</v>
      </c>
      <c r="I2471" s="572">
        <v>727428</v>
      </c>
    </row>
    <row r="2472" spans="1:9" ht="16" x14ac:dyDescent="0.2">
      <c r="A2472" s="561">
        <v>46111</v>
      </c>
      <c r="B2472" s="562">
        <v>2026</v>
      </c>
      <c r="C2472" s="563">
        <v>3</v>
      </c>
      <c r="D2472" s="564">
        <v>14</v>
      </c>
      <c r="E2472" s="564">
        <v>30</v>
      </c>
      <c r="F2472" s="565" t="s">
        <v>60</v>
      </c>
      <c r="G2472" s="563" t="s">
        <v>60</v>
      </c>
      <c r="H2472" s="563" t="s">
        <v>212</v>
      </c>
      <c r="I2472" s="566">
        <v>0</v>
      </c>
    </row>
    <row r="2473" spans="1:9" ht="16" x14ac:dyDescent="0.2">
      <c r="A2473" s="567">
        <v>46111</v>
      </c>
      <c r="B2473" s="568">
        <v>2026</v>
      </c>
      <c r="C2473" s="569">
        <v>3</v>
      </c>
      <c r="D2473" s="570">
        <v>14</v>
      </c>
      <c r="E2473" s="570">
        <v>30</v>
      </c>
      <c r="F2473" s="571" t="s">
        <v>36</v>
      </c>
      <c r="G2473" s="569" t="s">
        <v>36</v>
      </c>
      <c r="H2473" s="569" t="s">
        <v>212</v>
      </c>
      <c r="I2473" s="572">
        <v>2801700000</v>
      </c>
    </row>
    <row r="2474" spans="1:9" ht="16" x14ac:dyDescent="0.2">
      <c r="A2474" s="561">
        <v>46111</v>
      </c>
      <c r="B2474" s="562">
        <v>2026</v>
      </c>
      <c r="C2474" s="563">
        <v>3</v>
      </c>
      <c r="D2474" s="564">
        <v>14</v>
      </c>
      <c r="E2474" s="564">
        <v>30</v>
      </c>
      <c r="F2474" s="565" t="s">
        <v>55</v>
      </c>
      <c r="G2474" s="563" t="s">
        <v>36</v>
      </c>
      <c r="H2474" s="563" t="s">
        <v>212</v>
      </c>
      <c r="I2474" s="566">
        <v>723830000</v>
      </c>
    </row>
    <row r="2475" spans="1:9" ht="16" x14ac:dyDescent="0.2">
      <c r="A2475" s="567">
        <v>46111</v>
      </c>
      <c r="B2475" s="568">
        <v>2026</v>
      </c>
      <c r="C2475" s="569">
        <v>3</v>
      </c>
      <c r="D2475" s="570">
        <v>14</v>
      </c>
      <c r="E2475" s="570">
        <v>30</v>
      </c>
      <c r="F2475" s="571" t="s">
        <v>176</v>
      </c>
      <c r="G2475" s="569" t="s">
        <v>176</v>
      </c>
      <c r="H2475" s="569" t="s">
        <v>216</v>
      </c>
      <c r="I2475" s="572">
        <v>4213371</v>
      </c>
    </row>
    <row r="2476" spans="1:9" ht="16" x14ac:dyDescent="0.2">
      <c r="A2476" s="561">
        <v>46111</v>
      </c>
      <c r="B2476" s="562">
        <v>2026</v>
      </c>
      <c r="C2476" s="563">
        <v>3</v>
      </c>
      <c r="D2476" s="564">
        <v>14</v>
      </c>
      <c r="E2476" s="564">
        <v>30</v>
      </c>
      <c r="F2476" s="565" t="s">
        <v>39</v>
      </c>
      <c r="G2476" s="563" t="s">
        <v>176</v>
      </c>
      <c r="H2476" s="563" t="s">
        <v>216</v>
      </c>
      <c r="I2476" s="566">
        <v>699971960</v>
      </c>
    </row>
    <row r="2477" spans="1:9" ht="16" x14ac:dyDescent="0.2">
      <c r="A2477" s="567">
        <v>46111</v>
      </c>
      <c r="B2477" s="568">
        <v>2026</v>
      </c>
      <c r="C2477" s="569">
        <v>3</v>
      </c>
      <c r="D2477" s="570">
        <v>14</v>
      </c>
      <c r="E2477" s="570">
        <v>30</v>
      </c>
      <c r="F2477" s="571" t="s">
        <v>206</v>
      </c>
      <c r="G2477" s="569" t="s">
        <v>206</v>
      </c>
      <c r="H2477" s="569" t="s">
        <v>212</v>
      </c>
      <c r="I2477" s="572">
        <v>0</v>
      </c>
    </row>
    <row r="2478" spans="1:9" ht="16" x14ac:dyDescent="0.2">
      <c r="A2478" s="561">
        <v>46111</v>
      </c>
      <c r="B2478" s="562">
        <v>2026</v>
      </c>
      <c r="C2478" s="563">
        <v>3</v>
      </c>
      <c r="D2478" s="564">
        <v>14</v>
      </c>
      <c r="E2478" s="564">
        <v>30</v>
      </c>
      <c r="F2478" s="565" t="s">
        <v>64</v>
      </c>
      <c r="G2478" s="563" t="s">
        <v>209</v>
      </c>
      <c r="H2478" s="563" t="s">
        <v>212</v>
      </c>
      <c r="I2478" s="566">
        <v>56500000</v>
      </c>
    </row>
    <row r="2479" spans="1:9" ht="16" x14ac:dyDescent="0.2">
      <c r="A2479" s="567">
        <v>46111</v>
      </c>
      <c r="B2479" s="568">
        <v>2026</v>
      </c>
      <c r="C2479" s="569">
        <v>3</v>
      </c>
      <c r="D2479" s="570">
        <v>14</v>
      </c>
      <c r="E2479" s="570">
        <v>30</v>
      </c>
      <c r="F2479" s="571" t="s">
        <v>237</v>
      </c>
      <c r="G2479" s="569" t="s">
        <v>209</v>
      </c>
      <c r="H2479" s="569" t="s">
        <v>212</v>
      </c>
      <c r="I2479" s="572">
        <v>0</v>
      </c>
    </row>
    <row r="2480" spans="1:9" ht="16" x14ac:dyDescent="0.2">
      <c r="A2480" s="561">
        <v>46111</v>
      </c>
      <c r="B2480" s="562">
        <v>2026</v>
      </c>
      <c r="C2480" s="563">
        <v>3</v>
      </c>
      <c r="D2480" s="564">
        <v>14</v>
      </c>
      <c r="E2480" s="564">
        <v>30</v>
      </c>
      <c r="F2480" s="565" t="s">
        <v>11</v>
      </c>
      <c r="G2480" s="563" t="s">
        <v>11</v>
      </c>
      <c r="H2480" s="563" t="s">
        <v>212</v>
      </c>
      <c r="I2480" s="566">
        <v>17333700000</v>
      </c>
    </row>
    <row r="2481" spans="1:9" ht="16" x14ac:dyDescent="0.2">
      <c r="A2481" s="567">
        <v>46111</v>
      </c>
      <c r="B2481" s="568">
        <v>2026</v>
      </c>
      <c r="C2481" s="569">
        <v>3</v>
      </c>
      <c r="D2481" s="570">
        <v>14</v>
      </c>
      <c r="E2481" s="570">
        <v>30</v>
      </c>
      <c r="F2481" s="571" t="s">
        <v>221</v>
      </c>
      <c r="G2481" s="569" t="s">
        <v>207</v>
      </c>
      <c r="H2481" s="569" t="s">
        <v>212</v>
      </c>
      <c r="I2481" s="572">
        <v>0</v>
      </c>
    </row>
    <row r="2482" spans="1:9" ht="16" x14ac:dyDescent="0.2">
      <c r="A2482" s="561">
        <v>46111</v>
      </c>
      <c r="B2482" s="562">
        <v>2026</v>
      </c>
      <c r="C2482" s="563">
        <v>3</v>
      </c>
      <c r="D2482" s="564">
        <v>14</v>
      </c>
      <c r="E2482" s="564">
        <v>30</v>
      </c>
      <c r="F2482" s="565" t="s">
        <v>222</v>
      </c>
      <c r="G2482" s="563" t="s">
        <v>207</v>
      </c>
      <c r="H2482" s="563" t="s">
        <v>212</v>
      </c>
      <c r="I2482" s="566">
        <v>0</v>
      </c>
    </row>
    <row r="2483" spans="1:9" ht="16" x14ac:dyDescent="0.2">
      <c r="A2483" s="567">
        <v>46111</v>
      </c>
      <c r="B2483" s="568">
        <v>2026</v>
      </c>
      <c r="C2483" s="569">
        <v>3</v>
      </c>
      <c r="D2483" s="570">
        <v>14</v>
      </c>
      <c r="E2483" s="570">
        <v>30</v>
      </c>
      <c r="F2483" s="571" t="s">
        <v>223</v>
      </c>
      <c r="G2483" s="569" t="s">
        <v>207</v>
      </c>
      <c r="H2483" s="569" t="s">
        <v>212</v>
      </c>
      <c r="I2483" s="572">
        <v>0</v>
      </c>
    </row>
    <row r="2484" spans="1:9" ht="16" x14ac:dyDescent="0.2">
      <c r="A2484" s="561">
        <v>46111</v>
      </c>
      <c r="B2484" s="562">
        <v>2026</v>
      </c>
      <c r="C2484" s="563">
        <v>3</v>
      </c>
      <c r="D2484" s="564">
        <v>14</v>
      </c>
      <c r="E2484" s="564">
        <v>30</v>
      </c>
      <c r="F2484" s="565" t="s">
        <v>219</v>
      </c>
      <c r="G2484" s="563" t="s">
        <v>11</v>
      </c>
      <c r="H2484" s="563" t="s">
        <v>212</v>
      </c>
      <c r="I2484" s="566">
        <v>0</v>
      </c>
    </row>
    <row r="2485" spans="1:9" ht="16" x14ac:dyDescent="0.2">
      <c r="A2485" s="567">
        <v>46111</v>
      </c>
      <c r="B2485" s="568">
        <v>2026</v>
      </c>
      <c r="C2485" s="569">
        <v>3</v>
      </c>
      <c r="D2485" s="570">
        <v>14</v>
      </c>
      <c r="E2485" s="570">
        <v>30</v>
      </c>
      <c r="F2485" s="571" t="s">
        <v>19</v>
      </c>
      <c r="G2485" s="569" t="s">
        <v>19</v>
      </c>
      <c r="H2485" s="569" t="s">
        <v>214</v>
      </c>
      <c r="I2485" s="572">
        <v>10073808000</v>
      </c>
    </row>
    <row r="2486" spans="1:9" ht="16" x14ac:dyDescent="0.2">
      <c r="A2486" s="561">
        <v>46111</v>
      </c>
      <c r="B2486" s="562">
        <v>2026</v>
      </c>
      <c r="C2486" s="563">
        <v>3</v>
      </c>
      <c r="D2486" s="564">
        <v>14</v>
      </c>
      <c r="E2486" s="564">
        <v>30</v>
      </c>
      <c r="F2486" s="565" t="s">
        <v>62</v>
      </c>
      <c r="G2486" s="563" t="s">
        <v>62</v>
      </c>
      <c r="H2486" s="563" t="s">
        <v>216</v>
      </c>
      <c r="I2486" s="566">
        <v>152400733</v>
      </c>
    </row>
    <row r="2487" spans="1:9" ht="16" x14ac:dyDescent="0.2">
      <c r="A2487" s="567">
        <v>46111</v>
      </c>
      <c r="B2487" s="568">
        <v>2026</v>
      </c>
      <c r="C2487" s="569">
        <v>3</v>
      </c>
      <c r="D2487" s="570">
        <v>14</v>
      </c>
      <c r="E2487" s="570">
        <v>30</v>
      </c>
      <c r="F2487" s="571" t="s">
        <v>58</v>
      </c>
      <c r="G2487" s="569" t="s">
        <v>58</v>
      </c>
      <c r="H2487" s="569" t="s">
        <v>212</v>
      </c>
      <c r="I2487" s="572">
        <v>42000000</v>
      </c>
    </row>
    <row r="2488" spans="1:9" ht="16" x14ac:dyDescent="0.2">
      <c r="A2488" s="561">
        <v>46111</v>
      </c>
      <c r="B2488" s="562">
        <v>2026</v>
      </c>
      <c r="C2488" s="563">
        <v>3</v>
      </c>
      <c r="D2488" s="564">
        <v>14</v>
      </c>
      <c r="E2488" s="564">
        <v>30</v>
      </c>
      <c r="F2488" s="565" t="s">
        <v>61</v>
      </c>
      <c r="G2488" s="563" t="s">
        <v>61</v>
      </c>
      <c r="H2488" s="563" t="s">
        <v>214</v>
      </c>
      <c r="I2488" s="566">
        <v>69000000</v>
      </c>
    </row>
    <row r="2489" spans="1:9" ht="16" x14ac:dyDescent="0.2">
      <c r="A2489" s="567">
        <v>46111</v>
      </c>
      <c r="B2489" s="568">
        <v>2026</v>
      </c>
      <c r="C2489" s="569">
        <v>3</v>
      </c>
      <c r="D2489" s="570">
        <v>14</v>
      </c>
      <c r="E2489" s="570">
        <v>30</v>
      </c>
      <c r="F2489" s="571" t="s">
        <v>57</v>
      </c>
      <c r="G2489" s="569" t="s">
        <v>57</v>
      </c>
      <c r="H2489" s="569" t="s">
        <v>212</v>
      </c>
      <c r="I2489" s="572">
        <v>815880000</v>
      </c>
    </row>
    <row r="2490" spans="1:9" ht="16" x14ac:dyDescent="0.2">
      <c r="A2490" s="561">
        <v>46111</v>
      </c>
      <c r="B2490" s="562">
        <v>2026</v>
      </c>
      <c r="C2490" s="563">
        <v>3</v>
      </c>
      <c r="D2490" s="564">
        <v>14</v>
      </c>
      <c r="E2490" s="564">
        <v>30</v>
      </c>
      <c r="F2490" s="565" t="s">
        <v>63</v>
      </c>
      <c r="G2490" s="563" t="s">
        <v>63</v>
      </c>
      <c r="H2490" s="563" t="s">
        <v>214</v>
      </c>
      <c r="I2490" s="566">
        <v>290844000</v>
      </c>
    </row>
    <row r="2491" spans="1:9" ht="16" x14ac:dyDescent="0.2">
      <c r="A2491" s="567">
        <v>46111</v>
      </c>
      <c r="B2491" s="568">
        <v>2026</v>
      </c>
      <c r="C2491" s="569">
        <v>3</v>
      </c>
      <c r="D2491" s="570">
        <v>14</v>
      </c>
      <c r="E2491" s="570">
        <v>30</v>
      </c>
      <c r="F2491" s="571" t="s">
        <v>59</v>
      </c>
      <c r="G2491" s="569" t="s">
        <v>59</v>
      </c>
      <c r="H2491" s="569" t="s">
        <v>216</v>
      </c>
      <c r="I2491" s="572">
        <v>406227567</v>
      </c>
    </row>
    <row r="2492" spans="1:9" ht="16" x14ac:dyDescent="0.2">
      <c r="A2492" s="561">
        <v>46111</v>
      </c>
      <c r="B2492" s="562">
        <v>2026</v>
      </c>
      <c r="C2492" s="563">
        <v>3</v>
      </c>
      <c r="D2492" s="564">
        <v>14</v>
      </c>
      <c r="E2492" s="564">
        <v>30</v>
      </c>
      <c r="F2492" s="565" t="s">
        <v>31</v>
      </c>
      <c r="G2492" s="563" t="s">
        <v>175</v>
      </c>
      <c r="H2492" s="563" t="s">
        <v>212</v>
      </c>
      <c r="I2492" s="566">
        <v>3728950000</v>
      </c>
    </row>
    <row r="2493" spans="1:9" ht="16" x14ac:dyDescent="0.2">
      <c r="A2493" s="567">
        <v>46111</v>
      </c>
      <c r="B2493" s="568">
        <v>2026</v>
      </c>
      <c r="C2493" s="569">
        <v>3</v>
      </c>
      <c r="D2493" s="570">
        <v>14</v>
      </c>
      <c r="E2493" s="570">
        <v>30</v>
      </c>
      <c r="F2493" s="571" t="s">
        <v>234</v>
      </c>
      <c r="G2493" s="569" t="s">
        <v>210</v>
      </c>
      <c r="H2493" s="569" t="s">
        <v>214</v>
      </c>
      <c r="I2493" s="572">
        <v>2160000</v>
      </c>
    </row>
    <row r="2494" spans="1:9" ht="16" x14ac:dyDescent="0.2">
      <c r="A2494" s="561">
        <v>46112</v>
      </c>
      <c r="B2494" s="562">
        <v>2026</v>
      </c>
      <c r="C2494" s="563">
        <v>3</v>
      </c>
      <c r="D2494" s="564">
        <v>14</v>
      </c>
      <c r="E2494" s="564">
        <v>31</v>
      </c>
      <c r="F2494" s="565" t="s">
        <v>65</v>
      </c>
      <c r="G2494" s="563" t="s">
        <v>65</v>
      </c>
      <c r="H2494" s="563" t="s">
        <v>212</v>
      </c>
      <c r="I2494" s="566">
        <v>494560000</v>
      </c>
    </row>
    <row r="2495" spans="1:9" ht="16" x14ac:dyDescent="0.2">
      <c r="A2495" s="567">
        <v>46112</v>
      </c>
      <c r="B2495" s="568">
        <v>2026</v>
      </c>
      <c r="C2495" s="569">
        <v>3</v>
      </c>
      <c r="D2495" s="570">
        <v>14</v>
      </c>
      <c r="E2495" s="570">
        <v>31</v>
      </c>
      <c r="F2495" s="571" t="s">
        <v>66</v>
      </c>
      <c r="G2495" s="569" t="s">
        <v>66</v>
      </c>
      <c r="H2495" s="569" t="s">
        <v>216</v>
      </c>
      <c r="I2495" s="572">
        <v>278192946</v>
      </c>
    </row>
    <row r="2496" spans="1:9" ht="16" x14ac:dyDescent="0.2">
      <c r="A2496" s="561">
        <v>46112</v>
      </c>
      <c r="B2496" s="562">
        <v>2026</v>
      </c>
      <c r="C2496" s="563">
        <v>3</v>
      </c>
      <c r="D2496" s="564">
        <v>14</v>
      </c>
      <c r="E2496" s="564">
        <v>31</v>
      </c>
      <c r="F2496" s="565" t="s">
        <v>24</v>
      </c>
      <c r="G2496" s="563" t="s">
        <v>24</v>
      </c>
      <c r="H2496" s="563" t="s">
        <v>212</v>
      </c>
      <c r="I2496" s="566">
        <v>21130850000</v>
      </c>
    </row>
    <row r="2497" spans="1:9" ht="16" x14ac:dyDescent="0.2">
      <c r="A2497" s="567">
        <v>46112</v>
      </c>
      <c r="B2497" s="568">
        <v>2026</v>
      </c>
      <c r="C2497" s="569">
        <v>3</v>
      </c>
      <c r="D2497" s="570">
        <v>14</v>
      </c>
      <c r="E2497" s="570">
        <v>31</v>
      </c>
      <c r="F2497" s="571" t="s">
        <v>67</v>
      </c>
      <c r="G2497" s="569" t="s">
        <v>67</v>
      </c>
      <c r="H2497" s="569" t="s">
        <v>213</v>
      </c>
      <c r="I2497" s="572">
        <v>1650036262</v>
      </c>
    </row>
    <row r="2498" spans="1:9" ht="16" x14ac:dyDescent="0.2">
      <c r="A2498" s="561">
        <v>46112</v>
      </c>
      <c r="B2498" s="562">
        <v>2026</v>
      </c>
      <c r="C2498" s="563">
        <v>3</v>
      </c>
      <c r="D2498" s="564">
        <v>14</v>
      </c>
      <c r="E2498" s="564">
        <v>31</v>
      </c>
      <c r="F2498" s="565" t="s">
        <v>28</v>
      </c>
      <c r="G2498" s="563" t="s">
        <v>28</v>
      </c>
      <c r="H2498" s="563" t="s">
        <v>214</v>
      </c>
      <c r="I2498" s="566">
        <v>14102100000</v>
      </c>
    </row>
    <row r="2499" spans="1:9" ht="16" x14ac:dyDescent="0.2">
      <c r="A2499" s="567">
        <v>46112</v>
      </c>
      <c r="B2499" s="568">
        <v>2026</v>
      </c>
      <c r="C2499" s="569">
        <v>3</v>
      </c>
      <c r="D2499" s="570">
        <v>14</v>
      </c>
      <c r="E2499" s="570">
        <v>31</v>
      </c>
      <c r="F2499" s="571" t="s">
        <v>208</v>
      </c>
      <c r="G2499" s="569" t="s">
        <v>208</v>
      </c>
      <c r="H2499" s="569" t="s">
        <v>216</v>
      </c>
      <c r="I2499" s="572">
        <v>3835390</v>
      </c>
    </row>
    <row r="2500" spans="1:9" ht="16" x14ac:dyDescent="0.2">
      <c r="A2500" s="561">
        <v>46112</v>
      </c>
      <c r="B2500" s="562">
        <v>2026</v>
      </c>
      <c r="C2500" s="563">
        <v>3</v>
      </c>
      <c r="D2500" s="564">
        <v>14</v>
      </c>
      <c r="E2500" s="564">
        <v>31</v>
      </c>
      <c r="F2500" s="565" t="s">
        <v>60</v>
      </c>
      <c r="G2500" s="563" t="s">
        <v>60</v>
      </c>
      <c r="H2500" s="563" t="s">
        <v>212</v>
      </c>
      <c r="I2500" s="566">
        <v>0</v>
      </c>
    </row>
    <row r="2501" spans="1:9" ht="16" x14ac:dyDescent="0.2">
      <c r="A2501" s="567">
        <v>46112</v>
      </c>
      <c r="B2501" s="568">
        <v>2026</v>
      </c>
      <c r="C2501" s="569">
        <v>3</v>
      </c>
      <c r="D2501" s="570">
        <v>14</v>
      </c>
      <c r="E2501" s="570">
        <v>31</v>
      </c>
      <c r="F2501" s="571" t="s">
        <v>36</v>
      </c>
      <c r="G2501" s="569" t="s">
        <v>36</v>
      </c>
      <c r="H2501" s="569" t="s">
        <v>212</v>
      </c>
      <c r="I2501" s="572">
        <v>2271050000</v>
      </c>
    </row>
    <row r="2502" spans="1:9" ht="16" x14ac:dyDescent="0.2">
      <c r="A2502" s="561">
        <v>46112</v>
      </c>
      <c r="B2502" s="562">
        <v>2026</v>
      </c>
      <c r="C2502" s="563">
        <v>3</v>
      </c>
      <c r="D2502" s="564">
        <v>14</v>
      </c>
      <c r="E2502" s="564">
        <v>31</v>
      </c>
      <c r="F2502" s="565" t="s">
        <v>55</v>
      </c>
      <c r="G2502" s="563" t="s">
        <v>36</v>
      </c>
      <c r="H2502" s="563" t="s">
        <v>212</v>
      </c>
      <c r="I2502" s="566">
        <v>765370000</v>
      </c>
    </row>
    <row r="2503" spans="1:9" ht="16" x14ac:dyDescent="0.2">
      <c r="A2503" s="567">
        <v>46112</v>
      </c>
      <c r="B2503" s="568">
        <v>2026</v>
      </c>
      <c r="C2503" s="569">
        <v>3</v>
      </c>
      <c r="D2503" s="570">
        <v>14</v>
      </c>
      <c r="E2503" s="570">
        <v>31</v>
      </c>
      <c r="F2503" s="571" t="s">
        <v>176</v>
      </c>
      <c r="G2503" s="569" t="s">
        <v>176</v>
      </c>
      <c r="H2503" s="569" t="s">
        <v>216</v>
      </c>
      <c r="I2503" s="572">
        <v>9824710</v>
      </c>
    </row>
    <row r="2504" spans="1:9" ht="16" x14ac:dyDescent="0.2">
      <c r="A2504" s="561">
        <v>46112</v>
      </c>
      <c r="B2504" s="562">
        <v>2026</v>
      </c>
      <c r="C2504" s="563">
        <v>3</v>
      </c>
      <c r="D2504" s="564">
        <v>14</v>
      </c>
      <c r="E2504" s="564">
        <v>31</v>
      </c>
      <c r="F2504" s="565" t="s">
        <v>39</v>
      </c>
      <c r="G2504" s="563" t="s">
        <v>176</v>
      </c>
      <c r="H2504" s="563" t="s">
        <v>216</v>
      </c>
      <c r="I2504" s="566">
        <v>736425134</v>
      </c>
    </row>
    <row r="2505" spans="1:9" ht="16" x14ac:dyDescent="0.2">
      <c r="A2505" s="567">
        <v>46112</v>
      </c>
      <c r="B2505" s="568">
        <v>2026</v>
      </c>
      <c r="C2505" s="569">
        <v>3</v>
      </c>
      <c r="D2505" s="570">
        <v>14</v>
      </c>
      <c r="E2505" s="570">
        <v>31</v>
      </c>
      <c r="F2505" s="571" t="s">
        <v>206</v>
      </c>
      <c r="G2505" s="569" t="s">
        <v>206</v>
      </c>
      <c r="H2505" s="569" t="s">
        <v>212</v>
      </c>
      <c r="I2505" s="572">
        <v>0</v>
      </c>
    </row>
    <row r="2506" spans="1:9" ht="16" x14ac:dyDescent="0.2">
      <c r="A2506" s="561">
        <v>46112</v>
      </c>
      <c r="B2506" s="562">
        <v>2026</v>
      </c>
      <c r="C2506" s="563">
        <v>3</v>
      </c>
      <c r="D2506" s="564">
        <v>14</v>
      </c>
      <c r="E2506" s="564">
        <v>31</v>
      </c>
      <c r="F2506" s="565" t="s">
        <v>64</v>
      </c>
      <c r="G2506" s="563" t="s">
        <v>209</v>
      </c>
      <c r="H2506" s="563" t="s">
        <v>212</v>
      </c>
      <c r="I2506" s="566">
        <v>61000000</v>
      </c>
    </row>
    <row r="2507" spans="1:9" ht="16" x14ac:dyDescent="0.2">
      <c r="A2507" s="567">
        <v>46112</v>
      </c>
      <c r="B2507" s="568">
        <v>2026</v>
      </c>
      <c r="C2507" s="569">
        <v>3</v>
      </c>
      <c r="D2507" s="570">
        <v>14</v>
      </c>
      <c r="E2507" s="570">
        <v>31</v>
      </c>
      <c r="F2507" s="571" t="s">
        <v>237</v>
      </c>
      <c r="G2507" s="569" t="s">
        <v>209</v>
      </c>
      <c r="H2507" s="569" t="s">
        <v>212</v>
      </c>
      <c r="I2507" s="572">
        <v>0</v>
      </c>
    </row>
    <row r="2508" spans="1:9" ht="16" x14ac:dyDescent="0.2">
      <c r="A2508" s="561">
        <v>46112</v>
      </c>
      <c r="B2508" s="562">
        <v>2026</v>
      </c>
      <c r="C2508" s="563">
        <v>3</v>
      </c>
      <c r="D2508" s="564">
        <v>14</v>
      </c>
      <c r="E2508" s="564">
        <v>31</v>
      </c>
      <c r="F2508" s="565" t="s">
        <v>11</v>
      </c>
      <c r="G2508" s="563" t="s">
        <v>11</v>
      </c>
      <c r="H2508" s="563" t="s">
        <v>212</v>
      </c>
      <c r="I2508" s="566">
        <v>16357500000</v>
      </c>
    </row>
    <row r="2509" spans="1:9" ht="16" x14ac:dyDescent="0.2">
      <c r="A2509" s="567">
        <v>46112</v>
      </c>
      <c r="B2509" s="568">
        <v>2026</v>
      </c>
      <c r="C2509" s="569">
        <v>3</v>
      </c>
      <c r="D2509" s="570">
        <v>14</v>
      </c>
      <c r="E2509" s="570">
        <v>31</v>
      </c>
      <c r="F2509" s="571" t="s">
        <v>221</v>
      </c>
      <c r="G2509" s="569" t="s">
        <v>207</v>
      </c>
      <c r="H2509" s="569" t="s">
        <v>212</v>
      </c>
      <c r="I2509" s="572">
        <v>0</v>
      </c>
    </row>
    <row r="2510" spans="1:9" ht="16" x14ac:dyDescent="0.2">
      <c r="A2510" s="561">
        <v>46112</v>
      </c>
      <c r="B2510" s="562">
        <v>2026</v>
      </c>
      <c r="C2510" s="563">
        <v>3</v>
      </c>
      <c r="D2510" s="564">
        <v>14</v>
      </c>
      <c r="E2510" s="564">
        <v>31</v>
      </c>
      <c r="F2510" s="565" t="s">
        <v>222</v>
      </c>
      <c r="G2510" s="563" t="s">
        <v>207</v>
      </c>
      <c r="H2510" s="563" t="s">
        <v>212</v>
      </c>
      <c r="I2510" s="566">
        <v>0</v>
      </c>
    </row>
    <row r="2511" spans="1:9" ht="16" x14ac:dyDescent="0.2">
      <c r="A2511" s="567">
        <v>46112</v>
      </c>
      <c r="B2511" s="568">
        <v>2026</v>
      </c>
      <c r="C2511" s="569">
        <v>3</v>
      </c>
      <c r="D2511" s="570">
        <v>14</v>
      </c>
      <c r="E2511" s="570">
        <v>31</v>
      </c>
      <c r="F2511" s="571" t="s">
        <v>223</v>
      </c>
      <c r="G2511" s="569" t="s">
        <v>207</v>
      </c>
      <c r="H2511" s="569" t="s">
        <v>212</v>
      </c>
      <c r="I2511" s="572">
        <v>0</v>
      </c>
    </row>
    <row r="2512" spans="1:9" ht="16" x14ac:dyDescent="0.2">
      <c r="A2512" s="561">
        <v>46112</v>
      </c>
      <c r="B2512" s="562">
        <v>2026</v>
      </c>
      <c r="C2512" s="563">
        <v>3</v>
      </c>
      <c r="D2512" s="564">
        <v>14</v>
      </c>
      <c r="E2512" s="564">
        <v>31</v>
      </c>
      <c r="F2512" s="565" t="s">
        <v>219</v>
      </c>
      <c r="G2512" s="563" t="s">
        <v>11</v>
      </c>
      <c r="H2512" s="563" t="s">
        <v>212</v>
      </c>
      <c r="I2512" s="566">
        <v>0</v>
      </c>
    </row>
    <row r="2513" spans="1:9" ht="16" x14ac:dyDescent="0.2">
      <c r="A2513" s="567">
        <v>46112</v>
      </c>
      <c r="B2513" s="568">
        <v>2026</v>
      </c>
      <c r="C2513" s="569">
        <v>3</v>
      </c>
      <c r="D2513" s="570">
        <v>14</v>
      </c>
      <c r="E2513" s="570">
        <v>31</v>
      </c>
      <c r="F2513" s="571" t="s">
        <v>19</v>
      </c>
      <c r="G2513" s="569" t="s">
        <v>19</v>
      </c>
      <c r="H2513" s="569" t="s">
        <v>214</v>
      </c>
      <c r="I2513" s="572">
        <v>10811772000</v>
      </c>
    </row>
    <row r="2514" spans="1:9" ht="16" x14ac:dyDescent="0.2">
      <c r="A2514" s="561">
        <v>46112</v>
      </c>
      <c r="B2514" s="562">
        <v>2026</v>
      </c>
      <c r="C2514" s="563">
        <v>3</v>
      </c>
      <c r="D2514" s="564">
        <v>14</v>
      </c>
      <c r="E2514" s="564">
        <v>31</v>
      </c>
      <c r="F2514" s="565" t="s">
        <v>62</v>
      </c>
      <c r="G2514" s="563" t="s">
        <v>62</v>
      </c>
      <c r="H2514" s="563" t="s">
        <v>216</v>
      </c>
      <c r="I2514" s="566">
        <v>148977859</v>
      </c>
    </row>
    <row r="2515" spans="1:9" ht="16" x14ac:dyDescent="0.2">
      <c r="A2515" s="567">
        <v>46112</v>
      </c>
      <c r="B2515" s="568">
        <v>2026</v>
      </c>
      <c r="C2515" s="569">
        <v>3</v>
      </c>
      <c r="D2515" s="570">
        <v>14</v>
      </c>
      <c r="E2515" s="570">
        <v>31</v>
      </c>
      <c r="F2515" s="571" t="s">
        <v>58</v>
      </c>
      <c r="G2515" s="569" t="s">
        <v>58</v>
      </c>
      <c r="H2515" s="569" t="s">
        <v>212</v>
      </c>
      <c r="I2515" s="572">
        <v>63000000</v>
      </c>
    </row>
    <row r="2516" spans="1:9" ht="16" x14ac:dyDescent="0.2">
      <c r="A2516" s="561">
        <v>46112</v>
      </c>
      <c r="B2516" s="562">
        <v>2026</v>
      </c>
      <c r="C2516" s="563">
        <v>3</v>
      </c>
      <c r="D2516" s="564">
        <v>14</v>
      </c>
      <c r="E2516" s="564">
        <v>31</v>
      </c>
      <c r="F2516" s="565" t="s">
        <v>61</v>
      </c>
      <c r="G2516" s="563" t="s">
        <v>61</v>
      </c>
      <c r="H2516" s="563" t="s">
        <v>214</v>
      </c>
      <c r="I2516" s="566">
        <v>56000000</v>
      </c>
    </row>
    <row r="2517" spans="1:9" ht="16" x14ac:dyDescent="0.2">
      <c r="A2517" s="567">
        <v>46112</v>
      </c>
      <c r="B2517" s="568">
        <v>2026</v>
      </c>
      <c r="C2517" s="569">
        <v>3</v>
      </c>
      <c r="D2517" s="570">
        <v>14</v>
      </c>
      <c r="E2517" s="570">
        <v>31</v>
      </c>
      <c r="F2517" s="571" t="s">
        <v>57</v>
      </c>
      <c r="G2517" s="569" t="s">
        <v>57</v>
      </c>
      <c r="H2517" s="569" t="s">
        <v>212</v>
      </c>
      <c r="I2517" s="572">
        <v>1195750000</v>
      </c>
    </row>
    <row r="2518" spans="1:9" ht="16" x14ac:dyDescent="0.2">
      <c r="A2518" s="561">
        <v>46112</v>
      </c>
      <c r="B2518" s="562">
        <v>2026</v>
      </c>
      <c r="C2518" s="563">
        <v>3</v>
      </c>
      <c r="D2518" s="564">
        <v>14</v>
      </c>
      <c r="E2518" s="564">
        <v>31</v>
      </c>
      <c r="F2518" s="565" t="s">
        <v>63</v>
      </c>
      <c r="G2518" s="563" t="s">
        <v>63</v>
      </c>
      <c r="H2518" s="563" t="s">
        <v>214</v>
      </c>
      <c r="I2518" s="566">
        <v>357372000</v>
      </c>
    </row>
    <row r="2519" spans="1:9" ht="16" x14ac:dyDescent="0.2">
      <c r="A2519" s="567">
        <v>46112</v>
      </c>
      <c r="B2519" s="568">
        <v>2026</v>
      </c>
      <c r="C2519" s="569">
        <v>3</v>
      </c>
      <c r="D2519" s="570">
        <v>14</v>
      </c>
      <c r="E2519" s="570">
        <v>31</v>
      </c>
      <c r="F2519" s="571" t="s">
        <v>59</v>
      </c>
      <c r="G2519" s="569" t="s">
        <v>59</v>
      </c>
      <c r="H2519" s="569" t="s">
        <v>216</v>
      </c>
      <c r="I2519" s="572">
        <v>430328774</v>
      </c>
    </row>
    <row r="2520" spans="1:9" ht="16" x14ac:dyDescent="0.2">
      <c r="A2520" s="561">
        <v>46112</v>
      </c>
      <c r="B2520" s="562">
        <v>2026</v>
      </c>
      <c r="C2520" s="563">
        <v>3</v>
      </c>
      <c r="D2520" s="564">
        <v>14</v>
      </c>
      <c r="E2520" s="564">
        <v>31</v>
      </c>
      <c r="F2520" s="565" t="s">
        <v>31</v>
      </c>
      <c r="G2520" s="563" t="s">
        <v>175</v>
      </c>
      <c r="H2520" s="563" t="s">
        <v>212</v>
      </c>
      <c r="I2520" s="566">
        <v>3696090000</v>
      </c>
    </row>
    <row r="2521" spans="1:9" ht="16" x14ac:dyDescent="0.2">
      <c r="A2521" s="567">
        <v>46112</v>
      </c>
      <c r="B2521" s="568">
        <v>2026</v>
      </c>
      <c r="C2521" s="569">
        <v>3</v>
      </c>
      <c r="D2521" s="570">
        <v>14</v>
      </c>
      <c r="E2521" s="570">
        <v>31</v>
      </c>
      <c r="F2521" s="571" t="s">
        <v>234</v>
      </c>
      <c r="G2521" s="569" t="s">
        <v>210</v>
      </c>
      <c r="H2521" s="569" t="s">
        <v>214</v>
      </c>
      <c r="I2521" s="572">
        <v>8640000</v>
      </c>
    </row>
    <row r="2522" spans="1:9" ht="16" x14ac:dyDescent="0.2">
      <c r="A2522" s="561">
        <v>46113</v>
      </c>
      <c r="B2522" s="562">
        <v>2026</v>
      </c>
      <c r="C2522" s="563">
        <v>4</v>
      </c>
      <c r="D2522" s="564">
        <v>14</v>
      </c>
      <c r="E2522" s="564">
        <v>1</v>
      </c>
      <c r="F2522" s="565" t="s">
        <v>65</v>
      </c>
      <c r="G2522" s="563" t="s">
        <v>65</v>
      </c>
      <c r="H2522" s="563" t="s">
        <v>212</v>
      </c>
      <c r="I2522" s="566">
        <v>629980000</v>
      </c>
    </row>
    <row r="2523" spans="1:9" ht="16" x14ac:dyDescent="0.2">
      <c r="A2523" s="567">
        <v>46113</v>
      </c>
      <c r="B2523" s="568">
        <v>2026</v>
      </c>
      <c r="C2523" s="569">
        <v>4</v>
      </c>
      <c r="D2523" s="570">
        <v>14</v>
      </c>
      <c r="E2523" s="570">
        <v>1</v>
      </c>
      <c r="F2523" s="571" t="s">
        <v>66</v>
      </c>
      <c r="G2523" s="569" t="s">
        <v>66</v>
      </c>
      <c r="H2523" s="569" t="s">
        <v>216</v>
      </c>
      <c r="I2523" s="572">
        <v>308993836</v>
      </c>
    </row>
    <row r="2524" spans="1:9" ht="16" x14ac:dyDescent="0.2">
      <c r="A2524" s="561">
        <v>46113</v>
      </c>
      <c r="B2524" s="562">
        <v>2026</v>
      </c>
      <c r="C2524" s="563">
        <v>4</v>
      </c>
      <c r="D2524" s="564">
        <v>14</v>
      </c>
      <c r="E2524" s="564">
        <v>1</v>
      </c>
      <c r="F2524" s="565" t="s">
        <v>24</v>
      </c>
      <c r="G2524" s="563" t="s">
        <v>24</v>
      </c>
      <c r="H2524" s="563" t="s">
        <v>212</v>
      </c>
      <c r="I2524" s="566">
        <v>22731350000</v>
      </c>
    </row>
    <row r="2525" spans="1:9" ht="16" x14ac:dyDescent="0.2">
      <c r="A2525" s="567">
        <v>46113</v>
      </c>
      <c r="B2525" s="568">
        <v>2026</v>
      </c>
      <c r="C2525" s="569">
        <v>4</v>
      </c>
      <c r="D2525" s="570">
        <v>14</v>
      </c>
      <c r="E2525" s="570">
        <v>1</v>
      </c>
      <c r="F2525" s="571" t="s">
        <v>67</v>
      </c>
      <c r="G2525" s="569" t="s">
        <v>67</v>
      </c>
      <c r="H2525" s="569" t="s">
        <v>213</v>
      </c>
      <c r="I2525" s="572">
        <v>2812778254</v>
      </c>
    </row>
    <row r="2526" spans="1:9" ht="16" x14ac:dyDescent="0.2">
      <c r="A2526" s="561">
        <v>46113</v>
      </c>
      <c r="B2526" s="562">
        <v>2026</v>
      </c>
      <c r="C2526" s="563">
        <v>4</v>
      </c>
      <c r="D2526" s="564">
        <v>14</v>
      </c>
      <c r="E2526" s="564">
        <v>1</v>
      </c>
      <c r="F2526" s="565" t="s">
        <v>28</v>
      </c>
      <c r="G2526" s="563" t="s">
        <v>28</v>
      </c>
      <c r="H2526" s="563" t="s">
        <v>214</v>
      </c>
      <c r="I2526" s="566">
        <v>14857452000</v>
      </c>
    </row>
    <row r="2527" spans="1:9" ht="16" x14ac:dyDescent="0.2">
      <c r="A2527" s="567">
        <v>46113</v>
      </c>
      <c r="B2527" s="568">
        <v>2026</v>
      </c>
      <c r="C2527" s="569">
        <v>4</v>
      </c>
      <c r="D2527" s="570">
        <v>14</v>
      </c>
      <c r="E2527" s="570">
        <v>1</v>
      </c>
      <c r="F2527" s="571" t="s">
        <v>208</v>
      </c>
      <c r="G2527" s="569" t="s">
        <v>208</v>
      </c>
      <c r="H2527" s="569" t="s">
        <v>216</v>
      </c>
      <c r="I2527" s="572">
        <v>6410587</v>
      </c>
    </row>
    <row r="2528" spans="1:9" ht="16" x14ac:dyDescent="0.2">
      <c r="A2528" s="561">
        <v>46113</v>
      </c>
      <c r="B2528" s="562">
        <v>2026</v>
      </c>
      <c r="C2528" s="563">
        <v>4</v>
      </c>
      <c r="D2528" s="564">
        <v>14</v>
      </c>
      <c r="E2528" s="564">
        <v>1</v>
      </c>
      <c r="F2528" s="565" t="s">
        <v>60</v>
      </c>
      <c r="G2528" s="563" t="s">
        <v>60</v>
      </c>
      <c r="H2528" s="563" t="s">
        <v>212</v>
      </c>
      <c r="I2528" s="566">
        <v>0</v>
      </c>
    </row>
    <row r="2529" spans="1:9" ht="16" x14ac:dyDescent="0.2">
      <c r="A2529" s="567">
        <v>46113</v>
      </c>
      <c r="B2529" s="568">
        <v>2026</v>
      </c>
      <c r="C2529" s="569">
        <v>4</v>
      </c>
      <c r="D2529" s="570">
        <v>14</v>
      </c>
      <c r="E2529" s="570">
        <v>1</v>
      </c>
      <c r="F2529" s="571" t="s">
        <v>36</v>
      </c>
      <c r="G2529" s="569" t="s">
        <v>36</v>
      </c>
      <c r="H2529" s="569" t="s">
        <v>212</v>
      </c>
      <c r="I2529" s="572">
        <v>2649000000</v>
      </c>
    </row>
    <row r="2530" spans="1:9" ht="16" x14ac:dyDescent="0.2">
      <c r="A2530" s="561">
        <v>46113</v>
      </c>
      <c r="B2530" s="562">
        <v>2026</v>
      </c>
      <c r="C2530" s="563">
        <v>4</v>
      </c>
      <c r="D2530" s="564">
        <v>14</v>
      </c>
      <c r="E2530" s="564">
        <v>1</v>
      </c>
      <c r="F2530" s="565" t="s">
        <v>55</v>
      </c>
      <c r="G2530" s="563" t="s">
        <v>36</v>
      </c>
      <c r="H2530" s="563" t="s">
        <v>212</v>
      </c>
      <c r="I2530" s="566">
        <v>719020000</v>
      </c>
    </row>
    <row r="2531" spans="1:9" ht="16" x14ac:dyDescent="0.2">
      <c r="A2531" s="567">
        <v>46113</v>
      </c>
      <c r="B2531" s="568">
        <v>2026</v>
      </c>
      <c r="C2531" s="569">
        <v>4</v>
      </c>
      <c r="D2531" s="570">
        <v>14</v>
      </c>
      <c r="E2531" s="570">
        <v>1</v>
      </c>
      <c r="F2531" s="571" t="s">
        <v>176</v>
      </c>
      <c r="G2531" s="569" t="s">
        <v>176</v>
      </c>
      <c r="H2531" s="569" t="s">
        <v>216</v>
      </c>
      <c r="I2531" s="572">
        <v>9890000</v>
      </c>
    </row>
    <row r="2532" spans="1:9" ht="16" x14ac:dyDescent="0.2">
      <c r="A2532" s="561">
        <v>46113</v>
      </c>
      <c r="B2532" s="562">
        <v>2026</v>
      </c>
      <c r="C2532" s="563">
        <v>4</v>
      </c>
      <c r="D2532" s="564">
        <v>14</v>
      </c>
      <c r="E2532" s="564">
        <v>1</v>
      </c>
      <c r="F2532" s="565" t="s">
        <v>39</v>
      </c>
      <c r="G2532" s="563" t="s">
        <v>176</v>
      </c>
      <c r="H2532" s="563" t="s">
        <v>216</v>
      </c>
      <c r="I2532" s="566">
        <v>1143977797</v>
      </c>
    </row>
    <row r="2533" spans="1:9" ht="16" x14ac:dyDescent="0.2">
      <c r="A2533" s="567">
        <v>46113</v>
      </c>
      <c r="B2533" s="568">
        <v>2026</v>
      </c>
      <c r="C2533" s="569">
        <v>4</v>
      </c>
      <c r="D2533" s="570">
        <v>14</v>
      </c>
      <c r="E2533" s="570">
        <v>1</v>
      </c>
      <c r="F2533" s="571" t="s">
        <v>206</v>
      </c>
      <c r="G2533" s="569" t="s">
        <v>206</v>
      </c>
      <c r="H2533" s="569" t="s">
        <v>212</v>
      </c>
      <c r="I2533" s="572">
        <v>0</v>
      </c>
    </row>
    <row r="2534" spans="1:9" ht="16" x14ac:dyDescent="0.2">
      <c r="A2534" s="561">
        <v>46113</v>
      </c>
      <c r="B2534" s="562">
        <v>2026</v>
      </c>
      <c r="C2534" s="563">
        <v>4</v>
      </c>
      <c r="D2534" s="564">
        <v>14</v>
      </c>
      <c r="E2534" s="564">
        <v>1</v>
      </c>
      <c r="F2534" s="565" t="s">
        <v>64</v>
      </c>
      <c r="G2534" s="563" t="s">
        <v>209</v>
      </c>
      <c r="H2534" s="563" t="s">
        <v>212</v>
      </c>
      <c r="I2534" s="566">
        <v>102500000</v>
      </c>
    </row>
    <row r="2535" spans="1:9" ht="16" x14ac:dyDescent="0.2">
      <c r="A2535" s="567">
        <v>46113</v>
      </c>
      <c r="B2535" s="568">
        <v>2026</v>
      </c>
      <c r="C2535" s="569">
        <v>4</v>
      </c>
      <c r="D2535" s="570">
        <v>14</v>
      </c>
      <c r="E2535" s="570">
        <v>1</v>
      </c>
      <c r="F2535" s="571" t="s">
        <v>237</v>
      </c>
      <c r="G2535" s="569" t="s">
        <v>209</v>
      </c>
      <c r="H2535" s="569" t="s">
        <v>212</v>
      </c>
      <c r="I2535" s="572">
        <v>0</v>
      </c>
    </row>
    <row r="2536" spans="1:9" ht="16" x14ac:dyDescent="0.2">
      <c r="A2536" s="561">
        <v>46113</v>
      </c>
      <c r="B2536" s="562">
        <v>2026</v>
      </c>
      <c r="C2536" s="563">
        <v>4</v>
      </c>
      <c r="D2536" s="564">
        <v>14</v>
      </c>
      <c r="E2536" s="564">
        <v>1</v>
      </c>
      <c r="F2536" s="565" t="s">
        <v>11</v>
      </c>
      <c r="G2536" s="563" t="s">
        <v>11</v>
      </c>
      <c r="H2536" s="563" t="s">
        <v>212</v>
      </c>
      <c r="I2536" s="566">
        <v>17700590000</v>
      </c>
    </row>
    <row r="2537" spans="1:9" ht="16" x14ac:dyDescent="0.2">
      <c r="A2537" s="567">
        <v>46113</v>
      </c>
      <c r="B2537" s="568">
        <v>2026</v>
      </c>
      <c r="C2537" s="569">
        <v>4</v>
      </c>
      <c r="D2537" s="570">
        <v>14</v>
      </c>
      <c r="E2537" s="570">
        <v>1</v>
      </c>
      <c r="F2537" s="571" t="s">
        <v>221</v>
      </c>
      <c r="G2537" s="569" t="s">
        <v>207</v>
      </c>
      <c r="H2537" s="569" t="s">
        <v>212</v>
      </c>
      <c r="I2537" s="572">
        <v>0</v>
      </c>
    </row>
    <row r="2538" spans="1:9" ht="16" x14ac:dyDescent="0.2">
      <c r="A2538" s="561">
        <v>46113</v>
      </c>
      <c r="B2538" s="562">
        <v>2026</v>
      </c>
      <c r="C2538" s="563">
        <v>4</v>
      </c>
      <c r="D2538" s="564">
        <v>14</v>
      </c>
      <c r="E2538" s="564">
        <v>1</v>
      </c>
      <c r="F2538" s="565" t="s">
        <v>222</v>
      </c>
      <c r="G2538" s="563" t="s">
        <v>207</v>
      </c>
      <c r="H2538" s="563" t="s">
        <v>212</v>
      </c>
      <c r="I2538" s="566">
        <v>0</v>
      </c>
    </row>
    <row r="2539" spans="1:9" ht="16" x14ac:dyDescent="0.2">
      <c r="A2539" s="567">
        <v>46113</v>
      </c>
      <c r="B2539" s="568">
        <v>2026</v>
      </c>
      <c r="C2539" s="569">
        <v>4</v>
      </c>
      <c r="D2539" s="570">
        <v>14</v>
      </c>
      <c r="E2539" s="570">
        <v>1</v>
      </c>
      <c r="F2539" s="571" t="s">
        <v>223</v>
      </c>
      <c r="G2539" s="569" t="s">
        <v>207</v>
      </c>
      <c r="H2539" s="569" t="s">
        <v>212</v>
      </c>
      <c r="I2539" s="572">
        <v>0</v>
      </c>
    </row>
    <row r="2540" spans="1:9" ht="16" x14ac:dyDescent="0.2">
      <c r="A2540" s="561">
        <v>46113</v>
      </c>
      <c r="B2540" s="562">
        <v>2026</v>
      </c>
      <c r="C2540" s="563">
        <v>4</v>
      </c>
      <c r="D2540" s="564">
        <v>14</v>
      </c>
      <c r="E2540" s="564">
        <v>1</v>
      </c>
      <c r="F2540" s="565" t="s">
        <v>219</v>
      </c>
      <c r="G2540" s="563" t="s">
        <v>11</v>
      </c>
      <c r="H2540" s="563" t="s">
        <v>212</v>
      </c>
      <c r="I2540" s="566">
        <v>0</v>
      </c>
    </row>
    <row r="2541" spans="1:9" ht="16" x14ac:dyDescent="0.2">
      <c r="A2541" s="567">
        <v>46113</v>
      </c>
      <c r="B2541" s="568">
        <v>2026</v>
      </c>
      <c r="C2541" s="569">
        <v>4</v>
      </c>
      <c r="D2541" s="570">
        <v>14</v>
      </c>
      <c r="E2541" s="570">
        <v>1</v>
      </c>
      <c r="F2541" s="571" t="s">
        <v>19</v>
      </c>
      <c r="G2541" s="569" t="s">
        <v>19</v>
      </c>
      <c r="H2541" s="569" t="s">
        <v>214</v>
      </c>
      <c r="I2541" s="572">
        <v>11718324000</v>
      </c>
    </row>
    <row r="2542" spans="1:9" ht="16" x14ac:dyDescent="0.2">
      <c r="A2542" s="561">
        <v>46113</v>
      </c>
      <c r="B2542" s="562">
        <v>2026</v>
      </c>
      <c r="C2542" s="563">
        <v>4</v>
      </c>
      <c r="D2542" s="564">
        <v>14</v>
      </c>
      <c r="E2542" s="564">
        <v>1</v>
      </c>
      <c r="F2542" s="565" t="s">
        <v>62</v>
      </c>
      <c r="G2542" s="563" t="s">
        <v>62</v>
      </c>
      <c r="H2542" s="563" t="s">
        <v>216</v>
      </c>
      <c r="I2542" s="566">
        <v>435088361</v>
      </c>
    </row>
    <row r="2543" spans="1:9" ht="16" x14ac:dyDescent="0.2">
      <c r="A2543" s="567">
        <v>46113</v>
      </c>
      <c r="B2543" s="568">
        <v>2026</v>
      </c>
      <c r="C2543" s="569">
        <v>4</v>
      </c>
      <c r="D2543" s="570">
        <v>14</v>
      </c>
      <c r="E2543" s="570">
        <v>1</v>
      </c>
      <c r="F2543" s="571" t="s">
        <v>58</v>
      </c>
      <c r="G2543" s="569" t="s">
        <v>58</v>
      </c>
      <c r="H2543" s="569" t="s">
        <v>212</v>
      </c>
      <c r="I2543" s="572">
        <v>41500000</v>
      </c>
    </row>
    <row r="2544" spans="1:9" ht="16" x14ac:dyDescent="0.2">
      <c r="A2544" s="561">
        <v>46113</v>
      </c>
      <c r="B2544" s="562">
        <v>2026</v>
      </c>
      <c r="C2544" s="563">
        <v>4</v>
      </c>
      <c r="D2544" s="564">
        <v>14</v>
      </c>
      <c r="E2544" s="564">
        <v>1</v>
      </c>
      <c r="F2544" s="565" t="s">
        <v>61</v>
      </c>
      <c r="G2544" s="563" t="s">
        <v>61</v>
      </c>
      <c r="H2544" s="563" t="s">
        <v>214</v>
      </c>
      <c r="I2544" s="566">
        <v>74000000</v>
      </c>
    </row>
    <row r="2545" spans="1:9" ht="16" x14ac:dyDescent="0.2">
      <c r="A2545" s="567">
        <v>46113</v>
      </c>
      <c r="B2545" s="568">
        <v>2026</v>
      </c>
      <c r="C2545" s="569">
        <v>4</v>
      </c>
      <c r="D2545" s="570">
        <v>14</v>
      </c>
      <c r="E2545" s="570">
        <v>1</v>
      </c>
      <c r="F2545" s="571" t="s">
        <v>57</v>
      </c>
      <c r="G2545" s="569" t="s">
        <v>57</v>
      </c>
      <c r="H2545" s="569" t="s">
        <v>212</v>
      </c>
      <c r="I2545" s="572">
        <v>660620000</v>
      </c>
    </row>
    <row r="2546" spans="1:9" ht="16" x14ac:dyDescent="0.2">
      <c r="A2546" s="561">
        <v>46113</v>
      </c>
      <c r="B2546" s="562">
        <v>2026</v>
      </c>
      <c r="C2546" s="563">
        <v>4</v>
      </c>
      <c r="D2546" s="564">
        <v>14</v>
      </c>
      <c r="E2546" s="564">
        <v>1</v>
      </c>
      <c r="F2546" s="565" t="s">
        <v>63</v>
      </c>
      <c r="G2546" s="563" t="s">
        <v>63</v>
      </c>
      <c r="H2546" s="563" t="s">
        <v>214</v>
      </c>
      <c r="I2546" s="566">
        <v>299484000</v>
      </c>
    </row>
    <row r="2547" spans="1:9" ht="16" x14ac:dyDescent="0.2">
      <c r="A2547" s="567">
        <v>46113</v>
      </c>
      <c r="B2547" s="568">
        <v>2026</v>
      </c>
      <c r="C2547" s="569">
        <v>4</v>
      </c>
      <c r="D2547" s="570">
        <v>14</v>
      </c>
      <c r="E2547" s="570">
        <v>1</v>
      </c>
      <c r="F2547" s="571" t="s">
        <v>59</v>
      </c>
      <c r="G2547" s="569" t="s">
        <v>59</v>
      </c>
      <c r="H2547" s="569" t="s">
        <v>216</v>
      </c>
      <c r="I2547" s="572">
        <v>609579152</v>
      </c>
    </row>
    <row r="2548" spans="1:9" ht="16" x14ac:dyDescent="0.2">
      <c r="A2548" s="561">
        <v>46113</v>
      </c>
      <c r="B2548" s="562">
        <v>2026</v>
      </c>
      <c r="C2548" s="563">
        <v>4</v>
      </c>
      <c r="D2548" s="564">
        <v>14</v>
      </c>
      <c r="E2548" s="564">
        <v>1</v>
      </c>
      <c r="F2548" s="565" t="s">
        <v>31</v>
      </c>
      <c r="G2548" s="563" t="s">
        <v>175</v>
      </c>
      <c r="H2548" s="563" t="s">
        <v>212</v>
      </c>
      <c r="I2548" s="566">
        <v>9613660000</v>
      </c>
    </row>
    <row r="2549" spans="1:9" ht="16" x14ac:dyDescent="0.2">
      <c r="A2549" s="567">
        <v>46113</v>
      </c>
      <c r="B2549" s="568">
        <v>2026</v>
      </c>
      <c r="C2549" s="569">
        <v>4</v>
      </c>
      <c r="D2549" s="570">
        <v>14</v>
      </c>
      <c r="E2549" s="570">
        <v>1</v>
      </c>
      <c r="F2549" s="571" t="s">
        <v>234</v>
      </c>
      <c r="G2549" s="569" t="s">
        <v>210</v>
      </c>
      <c r="H2549" s="569" t="s">
        <v>214</v>
      </c>
      <c r="I2549" s="572">
        <v>12528000</v>
      </c>
    </row>
    <row r="2550" spans="1:9" ht="16" x14ac:dyDescent="0.2">
      <c r="A2550" s="561">
        <v>46114</v>
      </c>
      <c r="B2550" s="562">
        <v>2026</v>
      </c>
      <c r="C2550" s="563">
        <v>4</v>
      </c>
      <c r="D2550" s="564">
        <v>14</v>
      </c>
      <c r="E2550" s="564">
        <v>2</v>
      </c>
      <c r="F2550" s="565" t="s">
        <v>65</v>
      </c>
      <c r="G2550" s="563" t="s">
        <v>65</v>
      </c>
      <c r="H2550" s="563" t="s">
        <v>212</v>
      </c>
      <c r="I2550" s="566">
        <v>722370000</v>
      </c>
    </row>
    <row r="2551" spans="1:9" ht="16" x14ac:dyDescent="0.2">
      <c r="A2551" s="567">
        <v>46114</v>
      </c>
      <c r="B2551" s="568">
        <v>2026</v>
      </c>
      <c r="C2551" s="569">
        <v>4</v>
      </c>
      <c r="D2551" s="570">
        <v>14</v>
      </c>
      <c r="E2551" s="570">
        <v>2</v>
      </c>
      <c r="F2551" s="571" t="s">
        <v>66</v>
      </c>
      <c r="G2551" s="569" t="s">
        <v>66</v>
      </c>
      <c r="H2551" s="569" t="s">
        <v>216</v>
      </c>
      <c r="I2551" s="572">
        <v>328591353</v>
      </c>
    </row>
    <row r="2552" spans="1:9" ht="16" x14ac:dyDescent="0.2">
      <c r="A2552" s="561">
        <v>46114</v>
      </c>
      <c r="B2552" s="562">
        <v>2026</v>
      </c>
      <c r="C2552" s="563">
        <v>4</v>
      </c>
      <c r="D2552" s="564">
        <v>14</v>
      </c>
      <c r="E2552" s="564">
        <v>2</v>
      </c>
      <c r="F2552" s="565" t="s">
        <v>24</v>
      </c>
      <c r="G2552" s="563" t="s">
        <v>24</v>
      </c>
      <c r="H2552" s="563" t="s">
        <v>212</v>
      </c>
      <c r="I2552" s="566">
        <v>19712400000</v>
      </c>
    </row>
    <row r="2553" spans="1:9" ht="16" x14ac:dyDescent="0.2">
      <c r="A2553" s="567">
        <v>46114</v>
      </c>
      <c r="B2553" s="568">
        <v>2026</v>
      </c>
      <c r="C2553" s="569">
        <v>4</v>
      </c>
      <c r="D2553" s="570">
        <v>14</v>
      </c>
      <c r="E2553" s="570">
        <v>2</v>
      </c>
      <c r="F2553" s="571" t="s">
        <v>67</v>
      </c>
      <c r="G2553" s="569" t="s">
        <v>67</v>
      </c>
      <c r="H2553" s="569" t="s">
        <v>213</v>
      </c>
      <c r="I2553" s="572">
        <v>2342325450</v>
      </c>
    </row>
    <row r="2554" spans="1:9" ht="16" x14ac:dyDescent="0.2">
      <c r="A2554" s="561">
        <v>46114</v>
      </c>
      <c r="B2554" s="562">
        <v>2026</v>
      </c>
      <c r="C2554" s="563">
        <v>4</v>
      </c>
      <c r="D2554" s="564">
        <v>14</v>
      </c>
      <c r="E2554" s="564">
        <v>2</v>
      </c>
      <c r="F2554" s="565" t="s">
        <v>28</v>
      </c>
      <c r="G2554" s="563" t="s">
        <v>28</v>
      </c>
      <c r="H2554" s="563" t="s">
        <v>214</v>
      </c>
      <c r="I2554" s="566">
        <v>13335408000</v>
      </c>
    </row>
    <row r="2555" spans="1:9" ht="16" x14ac:dyDescent="0.2">
      <c r="A2555" s="567">
        <v>46114</v>
      </c>
      <c r="B2555" s="568">
        <v>2026</v>
      </c>
      <c r="C2555" s="569">
        <v>4</v>
      </c>
      <c r="D2555" s="570">
        <v>14</v>
      </c>
      <c r="E2555" s="570">
        <v>2</v>
      </c>
      <c r="F2555" s="571" t="s">
        <v>208</v>
      </c>
      <c r="G2555" s="569" t="s">
        <v>208</v>
      </c>
      <c r="H2555" s="569" t="s">
        <v>216</v>
      </c>
      <c r="I2555" s="572">
        <v>22490346</v>
      </c>
    </row>
    <row r="2556" spans="1:9" ht="16" x14ac:dyDescent="0.2">
      <c r="A2556" s="561">
        <v>46114</v>
      </c>
      <c r="B2556" s="562">
        <v>2026</v>
      </c>
      <c r="C2556" s="563">
        <v>4</v>
      </c>
      <c r="D2556" s="564">
        <v>14</v>
      </c>
      <c r="E2556" s="564">
        <v>2</v>
      </c>
      <c r="F2556" s="565" t="s">
        <v>60</v>
      </c>
      <c r="G2556" s="563" t="s">
        <v>60</v>
      </c>
      <c r="H2556" s="563" t="s">
        <v>212</v>
      </c>
      <c r="I2556" s="566">
        <v>180000000</v>
      </c>
    </row>
    <row r="2557" spans="1:9" ht="16" x14ac:dyDescent="0.2">
      <c r="A2557" s="567">
        <v>46114</v>
      </c>
      <c r="B2557" s="568">
        <v>2026</v>
      </c>
      <c r="C2557" s="569">
        <v>4</v>
      </c>
      <c r="D2557" s="570">
        <v>14</v>
      </c>
      <c r="E2557" s="570">
        <v>2</v>
      </c>
      <c r="F2557" s="571" t="s">
        <v>36</v>
      </c>
      <c r="G2557" s="569" t="s">
        <v>36</v>
      </c>
      <c r="H2557" s="569" t="s">
        <v>212</v>
      </c>
      <c r="I2557" s="572">
        <v>2298380000</v>
      </c>
    </row>
    <row r="2558" spans="1:9" ht="16" x14ac:dyDescent="0.2">
      <c r="A2558" s="561">
        <v>46114</v>
      </c>
      <c r="B2558" s="562">
        <v>2026</v>
      </c>
      <c r="C2558" s="563">
        <v>4</v>
      </c>
      <c r="D2558" s="564">
        <v>14</v>
      </c>
      <c r="E2558" s="564">
        <v>2</v>
      </c>
      <c r="F2558" s="565" t="s">
        <v>55</v>
      </c>
      <c r="G2558" s="563" t="s">
        <v>36</v>
      </c>
      <c r="H2558" s="563" t="s">
        <v>212</v>
      </c>
      <c r="I2558" s="566">
        <v>1198420000</v>
      </c>
    </row>
    <row r="2559" spans="1:9" ht="16" x14ac:dyDescent="0.2">
      <c r="A2559" s="567">
        <v>46114</v>
      </c>
      <c r="B2559" s="568">
        <v>2026</v>
      </c>
      <c r="C2559" s="569">
        <v>4</v>
      </c>
      <c r="D2559" s="570">
        <v>14</v>
      </c>
      <c r="E2559" s="570">
        <v>2</v>
      </c>
      <c r="F2559" s="571" t="s">
        <v>176</v>
      </c>
      <c r="G2559" s="569" t="s">
        <v>176</v>
      </c>
      <c r="H2559" s="569" t="s">
        <v>216</v>
      </c>
      <c r="I2559" s="572">
        <v>19042578</v>
      </c>
    </row>
    <row r="2560" spans="1:9" ht="16" x14ac:dyDescent="0.2">
      <c r="A2560" s="561">
        <v>46114</v>
      </c>
      <c r="B2560" s="562">
        <v>2026</v>
      </c>
      <c r="C2560" s="563">
        <v>4</v>
      </c>
      <c r="D2560" s="564">
        <v>14</v>
      </c>
      <c r="E2560" s="564">
        <v>2</v>
      </c>
      <c r="F2560" s="565" t="s">
        <v>39</v>
      </c>
      <c r="G2560" s="563" t="s">
        <v>176</v>
      </c>
      <c r="H2560" s="563" t="s">
        <v>216</v>
      </c>
      <c r="I2560" s="566">
        <v>1258751775</v>
      </c>
    </row>
    <row r="2561" spans="1:9" ht="16" x14ac:dyDescent="0.2">
      <c r="A2561" s="567">
        <v>46114</v>
      </c>
      <c r="B2561" s="568">
        <v>2026</v>
      </c>
      <c r="C2561" s="569">
        <v>4</v>
      </c>
      <c r="D2561" s="570">
        <v>14</v>
      </c>
      <c r="E2561" s="570">
        <v>2</v>
      </c>
      <c r="F2561" s="571" t="s">
        <v>206</v>
      </c>
      <c r="G2561" s="569" t="s">
        <v>206</v>
      </c>
      <c r="H2561" s="569" t="s">
        <v>212</v>
      </c>
      <c r="I2561" s="572">
        <v>0</v>
      </c>
    </row>
    <row r="2562" spans="1:9" ht="16" x14ac:dyDescent="0.2">
      <c r="A2562" s="561">
        <v>46114</v>
      </c>
      <c r="B2562" s="562">
        <v>2026</v>
      </c>
      <c r="C2562" s="563">
        <v>4</v>
      </c>
      <c r="D2562" s="564">
        <v>14</v>
      </c>
      <c r="E2562" s="564">
        <v>2</v>
      </c>
      <c r="F2562" s="565" t="s">
        <v>64</v>
      </c>
      <c r="G2562" s="563" t="s">
        <v>209</v>
      </c>
      <c r="H2562" s="563" t="s">
        <v>212</v>
      </c>
      <c r="I2562" s="566">
        <v>10500000</v>
      </c>
    </row>
    <row r="2563" spans="1:9" ht="16" x14ac:dyDescent="0.2">
      <c r="A2563" s="567">
        <v>46114</v>
      </c>
      <c r="B2563" s="568">
        <v>2026</v>
      </c>
      <c r="C2563" s="569">
        <v>4</v>
      </c>
      <c r="D2563" s="570">
        <v>14</v>
      </c>
      <c r="E2563" s="570">
        <v>2</v>
      </c>
      <c r="F2563" s="571" t="s">
        <v>237</v>
      </c>
      <c r="G2563" s="569" t="s">
        <v>209</v>
      </c>
      <c r="H2563" s="569" t="s">
        <v>212</v>
      </c>
      <c r="I2563" s="572">
        <v>56000000</v>
      </c>
    </row>
    <row r="2564" spans="1:9" ht="16" x14ac:dyDescent="0.2">
      <c r="A2564" s="561">
        <v>46114</v>
      </c>
      <c r="B2564" s="562">
        <v>2026</v>
      </c>
      <c r="C2564" s="563">
        <v>4</v>
      </c>
      <c r="D2564" s="564">
        <v>14</v>
      </c>
      <c r="E2564" s="564">
        <v>2</v>
      </c>
      <c r="F2564" s="565" t="s">
        <v>11</v>
      </c>
      <c r="G2564" s="563" t="s">
        <v>11</v>
      </c>
      <c r="H2564" s="563" t="s">
        <v>212</v>
      </c>
      <c r="I2564" s="566">
        <v>16327360000</v>
      </c>
    </row>
    <row r="2565" spans="1:9" ht="16" x14ac:dyDescent="0.2">
      <c r="A2565" s="567">
        <v>46114</v>
      </c>
      <c r="B2565" s="568">
        <v>2026</v>
      </c>
      <c r="C2565" s="569">
        <v>4</v>
      </c>
      <c r="D2565" s="570">
        <v>14</v>
      </c>
      <c r="E2565" s="570">
        <v>2</v>
      </c>
      <c r="F2565" s="571" t="s">
        <v>221</v>
      </c>
      <c r="G2565" s="569" t="s">
        <v>207</v>
      </c>
      <c r="H2565" s="569" t="s">
        <v>212</v>
      </c>
      <c r="I2565" s="572">
        <v>0</v>
      </c>
    </row>
    <row r="2566" spans="1:9" ht="16" x14ac:dyDescent="0.2">
      <c r="A2566" s="561">
        <v>46114</v>
      </c>
      <c r="B2566" s="562">
        <v>2026</v>
      </c>
      <c r="C2566" s="563">
        <v>4</v>
      </c>
      <c r="D2566" s="564">
        <v>14</v>
      </c>
      <c r="E2566" s="564">
        <v>2</v>
      </c>
      <c r="F2566" s="565" t="s">
        <v>222</v>
      </c>
      <c r="G2566" s="563" t="s">
        <v>207</v>
      </c>
      <c r="H2566" s="563" t="s">
        <v>212</v>
      </c>
      <c r="I2566" s="566">
        <v>0</v>
      </c>
    </row>
    <row r="2567" spans="1:9" ht="16" x14ac:dyDescent="0.2">
      <c r="A2567" s="567">
        <v>46114</v>
      </c>
      <c r="B2567" s="568">
        <v>2026</v>
      </c>
      <c r="C2567" s="569">
        <v>4</v>
      </c>
      <c r="D2567" s="570">
        <v>14</v>
      </c>
      <c r="E2567" s="570">
        <v>2</v>
      </c>
      <c r="F2567" s="571" t="s">
        <v>223</v>
      </c>
      <c r="G2567" s="569" t="s">
        <v>207</v>
      </c>
      <c r="H2567" s="569" t="s">
        <v>212</v>
      </c>
      <c r="I2567" s="572">
        <v>0</v>
      </c>
    </row>
    <row r="2568" spans="1:9" ht="16" x14ac:dyDescent="0.2">
      <c r="A2568" s="561">
        <v>46114</v>
      </c>
      <c r="B2568" s="562">
        <v>2026</v>
      </c>
      <c r="C2568" s="563">
        <v>4</v>
      </c>
      <c r="D2568" s="564">
        <v>14</v>
      </c>
      <c r="E2568" s="564">
        <v>2</v>
      </c>
      <c r="F2568" s="565" t="s">
        <v>219</v>
      </c>
      <c r="G2568" s="563" t="s">
        <v>11</v>
      </c>
      <c r="H2568" s="563" t="s">
        <v>212</v>
      </c>
      <c r="I2568" s="566">
        <v>21400000</v>
      </c>
    </row>
    <row r="2569" spans="1:9" ht="16" x14ac:dyDescent="0.2">
      <c r="A2569" s="567">
        <v>46114</v>
      </c>
      <c r="B2569" s="568">
        <v>2026</v>
      </c>
      <c r="C2569" s="569">
        <v>4</v>
      </c>
      <c r="D2569" s="570">
        <v>14</v>
      </c>
      <c r="E2569" s="570">
        <v>2</v>
      </c>
      <c r="F2569" s="571" t="s">
        <v>19</v>
      </c>
      <c r="G2569" s="569" t="s">
        <v>19</v>
      </c>
      <c r="H2569" s="569" t="s">
        <v>214</v>
      </c>
      <c r="I2569" s="572">
        <v>11229300000</v>
      </c>
    </row>
    <row r="2570" spans="1:9" ht="16" x14ac:dyDescent="0.2">
      <c r="A2570" s="561">
        <v>46114</v>
      </c>
      <c r="B2570" s="562">
        <v>2026</v>
      </c>
      <c r="C2570" s="563">
        <v>4</v>
      </c>
      <c r="D2570" s="564">
        <v>14</v>
      </c>
      <c r="E2570" s="564">
        <v>2</v>
      </c>
      <c r="F2570" s="565" t="s">
        <v>62</v>
      </c>
      <c r="G2570" s="563" t="s">
        <v>62</v>
      </c>
      <c r="H2570" s="563" t="s">
        <v>216</v>
      </c>
      <c r="I2570" s="566">
        <v>420440924</v>
      </c>
    </row>
    <row r="2571" spans="1:9" ht="16" x14ac:dyDescent="0.2">
      <c r="A2571" s="567">
        <v>46114</v>
      </c>
      <c r="B2571" s="568">
        <v>2026</v>
      </c>
      <c r="C2571" s="569">
        <v>4</v>
      </c>
      <c r="D2571" s="570">
        <v>14</v>
      </c>
      <c r="E2571" s="570">
        <v>2</v>
      </c>
      <c r="F2571" s="571" t="s">
        <v>58</v>
      </c>
      <c r="G2571" s="569" t="s">
        <v>58</v>
      </c>
      <c r="H2571" s="569" t="s">
        <v>212</v>
      </c>
      <c r="I2571" s="572">
        <v>29500000</v>
      </c>
    </row>
    <row r="2572" spans="1:9" ht="16" x14ac:dyDescent="0.2">
      <c r="A2572" s="561">
        <v>46114</v>
      </c>
      <c r="B2572" s="562">
        <v>2026</v>
      </c>
      <c r="C2572" s="563">
        <v>4</v>
      </c>
      <c r="D2572" s="564">
        <v>14</v>
      </c>
      <c r="E2572" s="564">
        <v>2</v>
      </c>
      <c r="F2572" s="565" t="s">
        <v>61</v>
      </c>
      <c r="G2572" s="563" t="s">
        <v>61</v>
      </c>
      <c r="H2572" s="563" t="s">
        <v>214</v>
      </c>
      <c r="I2572" s="566">
        <v>58000000</v>
      </c>
    </row>
    <row r="2573" spans="1:9" ht="16" x14ac:dyDescent="0.2">
      <c r="A2573" s="567">
        <v>46114</v>
      </c>
      <c r="B2573" s="568">
        <v>2026</v>
      </c>
      <c r="C2573" s="569">
        <v>4</v>
      </c>
      <c r="D2573" s="570">
        <v>14</v>
      </c>
      <c r="E2573" s="570">
        <v>2</v>
      </c>
      <c r="F2573" s="571" t="s">
        <v>57</v>
      </c>
      <c r="G2573" s="569" t="s">
        <v>57</v>
      </c>
      <c r="H2573" s="569" t="s">
        <v>212</v>
      </c>
      <c r="I2573" s="572">
        <v>576530000</v>
      </c>
    </row>
    <row r="2574" spans="1:9" ht="16" x14ac:dyDescent="0.2">
      <c r="A2574" s="561">
        <v>46114</v>
      </c>
      <c r="B2574" s="562">
        <v>2026</v>
      </c>
      <c r="C2574" s="563">
        <v>4</v>
      </c>
      <c r="D2574" s="564">
        <v>14</v>
      </c>
      <c r="E2574" s="564">
        <v>2</v>
      </c>
      <c r="F2574" s="565" t="s">
        <v>63</v>
      </c>
      <c r="G2574" s="563" t="s">
        <v>63</v>
      </c>
      <c r="H2574" s="563" t="s">
        <v>214</v>
      </c>
      <c r="I2574" s="566">
        <v>314820000</v>
      </c>
    </row>
    <row r="2575" spans="1:9" ht="16" x14ac:dyDescent="0.2">
      <c r="A2575" s="567">
        <v>46114</v>
      </c>
      <c r="B2575" s="568">
        <v>2026</v>
      </c>
      <c r="C2575" s="569">
        <v>4</v>
      </c>
      <c r="D2575" s="570">
        <v>14</v>
      </c>
      <c r="E2575" s="570">
        <v>2</v>
      </c>
      <c r="F2575" s="571" t="s">
        <v>59</v>
      </c>
      <c r="G2575" s="569" t="s">
        <v>59</v>
      </c>
      <c r="H2575" s="569" t="s">
        <v>216</v>
      </c>
      <c r="I2575" s="572">
        <v>912032990</v>
      </c>
    </row>
    <row r="2576" spans="1:9" ht="16" x14ac:dyDescent="0.2">
      <c r="A2576" s="561">
        <v>46114</v>
      </c>
      <c r="B2576" s="562">
        <v>2026</v>
      </c>
      <c r="C2576" s="563">
        <v>4</v>
      </c>
      <c r="D2576" s="564">
        <v>14</v>
      </c>
      <c r="E2576" s="564">
        <v>2</v>
      </c>
      <c r="F2576" s="565" t="s">
        <v>31</v>
      </c>
      <c r="G2576" s="563" t="s">
        <v>175</v>
      </c>
      <c r="H2576" s="563" t="s">
        <v>212</v>
      </c>
      <c r="I2576" s="566">
        <v>8155820000</v>
      </c>
    </row>
    <row r="2577" spans="1:9" ht="16" x14ac:dyDescent="0.2">
      <c r="A2577" s="567">
        <v>46114</v>
      </c>
      <c r="B2577" s="568">
        <v>2026</v>
      </c>
      <c r="C2577" s="569">
        <v>4</v>
      </c>
      <c r="D2577" s="570">
        <v>14</v>
      </c>
      <c r="E2577" s="570">
        <v>2</v>
      </c>
      <c r="F2577" s="571" t="s">
        <v>234</v>
      </c>
      <c r="G2577" s="569" t="s">
        <v>210</v>
      </c>
      <c r="H2577" s="569" t="s">
        <v>214</v>
      </c>
      <c r="I2577" s="572">
        <v>2160000</v>
      </c>
    </row>
    <row r="2578" spans="1:9" ht="16" x14ac:dyDescent="0.2">
      <c r="A2578" s="561">
        <v>46115</v>
      </c>
      <c r="B2578" s="562">
        <v>2026</v>
      </c>
      <c r="C2578" s="563">
        <v>4</v>
      </c>
      <c r="D2578" s="564">
        <v>14</v>
      </c>
      <c r="E2578" s="564">
        <v>3</v>
      </c>
      <c r="F2578" s="565" t="s">
        <v>65</v>
      </c>
      <c r="G2578" s="563" t="s">
        <v>65</v>
      </c>
      <c r="H2578" s="563" t="s">
        <v>212</v>
      </c>
      <c r="I2578" s="566">
        <v>495880000</v>
      </c>
    </row>
    <row r="2579" spans="1:9" ht="16" x14ac:dyDescent="0.2">
      <c r="A2579" s="567">
        <v>46115</v>
      </c>
      <c r="B2579" s="568">
        <v>2026</v>
      </c>
      <c r="C2579" s="569">
        <v>4</v>
      </c>
      <c r="D2579" s="570">
        <v>14</v>
      </c>
      <c r="E2579" s="570">
        <v>3</v>
      </c>
      <c r="F2579" s="571" t="s">
        <v>66</v>
      </c>
      <c r="G2579" s="569" t="s">
        <v>66</v>
      </c>
      <c r="H2579" s="569" t="s">
        <v>216</v>
      </c>
      <c r="I2579" s="572">
        <v>398855712</v>
      </c>
    </row>
    <row r="2580" spans="1:9" ht="16" x14ac:dyDescent="0.2">
      <c r="A2580" s="561">
        <v>46115</v>
      </c>
      <c r="B2580" s="562">
        <v>2026</v>
      </c>
      <c r="C2580" s="563">
        <v>4</v>
      </c>
      <c r="D2580" s="564">
        <v>14</v>
      </c>
      <c r="E2580" s="564">
        <v>3</v>
      </c>
      <c r="F2580" s="565" t="s">
        <v>24</v>
      </c>
      <c r="G2580" s="563" t="s">
        <v>24</v>
      </c>
      <c r="H2580" s="563" t="s">
        <v>212</v>
      </c>
      <c r="I2580" s="566">
        <v>20172160000</v>
      </c>
    </row>
    <row r="2581" spans="1:9" ht="16" x14ac:dyDescent="0.2">
      <c r="A2581" s="567">
        <v>46115</v>
      </c>
      <c r="B2581" s="568">
        <v>2026</v>
      </c>
      <c r="C2581" s="569">
        <v>4</v>
      </c>
      <c r="D2581" s="570">
        <v>14</v>
      </c>
      <c r="E2581" s="570">
        <v>3</v>
      </c>
      <c r="F2581" s="571" t="s">
        <v>67</v>
      </c>
      <c r="G2581" s="569" t="s">
        <v>67</v>
      </c>
      <c r="H2581" s="569" t="s">
        <v>213</v>
      </c>
      <c r="I2581" s="572">
        <v>2047843328</v>
      </c>
    </row>
    <row r="2582" spans="1:9" ht="16" x14ac:dyDescent="0.2">
      <c r="A2582" s="561">
        <v>46115</v>
      </c>
      <c r="B2582" s="562">
        <v>2026</v>
      </c>
      <c r="C2582" s="563">
        <v>4</v>
      </c>
      <c r="D2582" s="564">
        <v>14</v>
      </c>
      <c r="E2582" s="564">
        <v>3</v>
      </c>
      <c r="F2582" s="565" t="s">
        <v>28</v>
      </c>
      <c r="G2582" s="563" t="s">
        <v>28</v>
      </c>
      <c r="H2582" s="563" t="s">
        <v>214</v>
      </c>
      <c r="I2582" s="566">
        <v>14106960000</v>
      </c>
    </row>
    <row r="2583" spans="1:9" ht="16" x14ac:dyDescent="0.2">
      <c r="A2583" s="567">
        <v>46115</v>
      </c>
      <c r="B2583" s="568">
        <v>2026</v>
      </c>
      <c r="C2583" s="569">
        <v>4</v>
      </c>
      <c r="D2583" s="570">
        <v>14</v>
      </c>
      <c r="E2583" s="570">
        <v>3</v>
      </c>
      <c r="F2583" s="571" t="s">
        <v>208</v>
      </c>
      <c r="G2583" s="569" t="s">
        <v>208</v>
      </c>
      <c r="H2583" s="569" t="s">
        <v>216</v>
      </c>
      <c r="I2583" s="572">
        <v>0</v>
      </c>
    </row>
    <row r="2584" spans="1:9" ht="16" x14ac:dyDescent="0.2">
      <c r="A2584" s="561">
        <v>46115</v>
      </c>
      <c r="B2584" s="562">
        <v>2026</v>
      </c>
      <c r="C2584" s="563">
        <v>4</v>
      </c>
      <c r="D2584" s="564">
        <v>14</v>
      </c>
      <c r="E2584" s="564">
        <v>3</v>
      </c>
      <c r="F2584" s="565" t="s">
        <v>60</v>
      </c>
      <c r="G2584" s="563" t="s">
        <v>60</v>
      </c>
      <c r="H2584" s="563" t="s">
        <v>212</v>
      </c>
      <c r="I2584" s="566">
        <v>0</v>
      </c>
    </row>
    <row r="2585" spans="1:9" ht="16" x14ac:dyDescent="0.2">
      <c r="A2585" s="567">
        <v>46115</v>
      </c>
      <c r="B2585" s="568">
        <v>2026</v>
      </c>
      <c r="C2585" s="569">
        <v>4</v>
      </c>
      <c r="D2585" s="570">
        <v>14</v>
      </c>
      <c r="E2585" s="570">
        <v>3</v>
      </c>
      <c r="F2585" s="571" t="s">
        <v>36</v>
      </c>
      <c r="G2585" s="569" t="s">
        <v>36</v>
      </c>
      <c r="H2585" s="569" t="s">
        <v>212</v>
      </c>
      <c r="I2585" s="572">
        <v>1956850000</v>
      </c>
    </row>
    <row r="2586" spans="1:9" ht="16" x14ac:dyDescent="0.2">
      <c r="A2586" s="561">
        <v>46115</v>
      </c>
      <c r="B2586" s="562">
        <v>2026</v>
      </c>
      <c r="C2586" s="563">
        <v>4</v>
      </c>
      <c r="D2586" s="564">
        <v>14</v>
      </c>
      <c r="E2586" s="564">
        <v>3</v>
      </c>
      <c r="F2586" s="565" t="s">
        <v>55</v>
      </c>
      <c r="G2586" s="563" t="s">
        <v>36</v>
      </c>
      <c r="H2586" s="563" t="s">
        <v>212</v>
      </c>
      <c r="I2586" s="566">
        <v>717470000</v>
      </c>
    </row>
    <row r="2587" spans="1:9" ht="16" x14ac:dyDescent="0.2">
      <c r="A2587" s="567">
        <v>46115</v>
      </c>
      <c r="B2587" s="568">
        <v>2026</v>
      </c>
      <c r="C2587" s="569">
        <v>4</v>
      </c>
      <c r="D2587" s="570">
        <v>14</v>
      </c>
      <c r="E2587" s="570">
        <v>3</v>
      </c>
      <c r="F2587" s="571" t="s">
        <v>176</v>
      </c>
      <c r="G2587" s="569" t="s">
        <v>176</v>
      </c>
      <c r="H2587" s="569" t="s">
        <v>216</v>
      </c>
      <c r="I2587" s="572">
        <v>32629158</v>
      </c>
    </row>
    <row r="2588" spans="1:9" ht="16" x14ac:dyDescent="0.2">
      <c r="A2588" s="561">
        <v>46115</v>
      </c>
      <c r="B2588" s="562">
        <v>2026</v>
      </c>
      <c r="C2588" s="563">
        <v>4</v>
      </c>
      <c r="D2588" s="564">
        <v>14</v>
      </c>
      <c r="E2588" s="564">
        <v>3</v>
      </c>
      <c r="F2588" s="565" t="s">
        <v>39</v>
      </c>
      <c r="G2588" s="563" t="s">
        <v>176</v>
      </c>
      <c r="H2588" s="563" t="s">
        <v>216</v>
      </c>
      <c r="I2588" s="566">
        <v>1599343908</v>
      </c>
    </row>
    <row r="2589" spans="1:9" ht="16" x14ac:dyDescent="0.2">
      <c r="A2589" s="567">
        <v>46115</v>
      </c>
      <c r="B2589" s="568">
        <v>2026</v>
      </c>
      <c r="C2589" s="569">
        <v>4</v>
      </c>
      <c r="D2589" s="570">
        <v>14</v>
      </c>
      <c r="E2589" s="570">
        <v>3</v>
      </c>
      <c r="F2589" s="571" t="s">
        <v>206</v>
      </c>
      <c r="G2589" s="569" t="s">
        <v>206</v>
      </c>
      <c r="H2589" s="569" t="s">
        <v>212</v>
      </c>
      <c r="I2589" s="572">
        <v>0</v>
      </c>
    </row>
    <row r="2590" spans="1:9" ht="16" x14ac:dyDescent="0.2">
      <c r="A2590" s="561">
        <v>46115</v>
      </c>
      <c r="B2590" s="562">
        <v>2026</v>
      </c>
      <c r="C2590" s="563">
        <v>4</v>
      </c>
      <c r="D2590" s="564">
        <v>14</v>
      </c>
      <c r="E2590" s="564">
        <v>3</v>
      </c>
      <c r="F2590" s="565" t="s">
        <v>64</v>
      </c>
      <c r="G2590" s="563" t="s">
        <v>209</v>
      </c>
      <c r="H2590" s="563" t="s">
        <v>212</v>
      </c>
      <c r="I2590" s="566">
        <v>25500000</v>
      </c>
    </row>
    <row r="2591" spans="1:9" ht="16" x14ac:dyDescent="0.2">
      <c r="A2591" s="567">
        <v>46115</v>
      </c>
      <c r="B2591" s="568">
        <v>2026</v>
      </c>
      <c r="C2591" s="569">
        <v>4</v>
      </c>
      <c r="D2591" s="570">
        <v>14</v>
      </c>
      <c r="E2591" s="570">
        <v>3</v>
      </c>
      <c r="F2591" s="571" t="s">
        <v>237</v>
      </c>
      <c r="G2591" s="569" t="s">
        <v>209</v>
      </c>
      <c r="H2591" s="569" t="s">
        <v>212</v>
      </c>
      <c r="I2591" s="572">
        <v>82400000</v>
      </c>
    </row>
    <row r="2592" spans="1:9" ht="16" x14ac:dyDescent="0.2">
      <c r="A2592" s="561">
        <v>46115</v>
      </c>
      <c r="B2592" s="562">
        <v>2026</v>
      </c>
      <c r="C2592" s="563">
        <v>4</v>
      </c>
      <c r="D2592" s="564">
        <v>14</v>
      </c>
      <c r="E2592" s="564">
        <v>3</v>
      </c>
      <c r="F2592" s="565" t="s">
        <v>11</v>
      </c>
      <c r="G2592" s="563" t="s">
        <v>11</v>
      </c>
      <c r="H2592" s="563" t="s">
        <v>212</v>
      </c>
      <c r="I2592" s="566">
        <v>17836470000</v>
      </c>
    </row>
    <row r="2593" spans="1:9" ht="16" x14ac:dyDescent="0.2">
      <c r="A2593" s="567">
        <v>46115</v>
      </c>
      <c r="B2593" s="568">
        <v>2026</v>
      </c>
      <c r="C2593" s="569">
        <v>4</v>
      </c>
      <c r="D2593" s="570">
        <v>14</v>
      </c>
      <c r="E2593" s="570">
        <v>3</v>
      </c>
      <c r="F2593" s="571" t="s">
        <v>221</v>
      </c>
      <c r="G2593" s="569" t="s">
        <v>207</v>
      </c>
      <c r="H2593" s="569" t="s">
        <v>212</v>
      </c>
      <c r="I2593" s="572">
        <v>0</v>
      </c>
    </row>
    <row r="2594" spans="1:9" ht="16" x14ac:dyDescent="0.2">
      <c r="A2594" s="561">
        <v>46115</v>
      </c>
      <c r="B2594" s="562">
        <v>2026</v>
      </c>
      <c r="C2594" s="563">
        <v>4</v>
      </c>
      <c r="D2594" s="564">
        <v>14</v>
      </c>
      <c r="E2594" s="564">
        <v>3</v>
      </c>
      <c r="F2594" s="565" t="s">
        <v>222</v>
      </c>
      <c r="G2594" s="563" t="s">
        <v>207</v>
      </c>
      <c r="H2594" s="563" t="s">
        <v>212</v>
      </c>
      <c r="I2594" s="566">
        <v>0</v>
      </c>
    </row>
    <row r="2595" spans="1:9" ht="16" x14ac:dyDescent="0.2">
      <c r="A2595" s="567">
        <v>46115</v>
      </c>
      <c r="B2595" s="568">
        <v>2026</v>
      </c>
      <c r="C2595" s="569">
        <v>4</v>
      </c>
      <c r="D2595" s="570">
        <v>14</v>
      </c>
      <c r="E2595" s="570">
        <v>3</v>
      </c>
      <c r="F2595" s="571" t="s">
        <v>223</v>
      </c>
      <c r="G2595" s="569" t="s">
        <v>207</v>
      </c>
      <c r="H2595" s="569" t="s">
        <v>212</v>
      </c>
      <c r="I2595" s="572">
        <v>0</v>
      </c>
    </row>
    <row r="2596" spans="1:9" ht="16" x14ac:dyDescent="0.2">
      <c r="A2596" s="561">
        <v>46115</v>
      </c>
      <c r="B2596" s="562">
        <v>2026</v>
      </c>
      <c r="C2596" s="563">
        <v>4</v>
      </c>
      <c r="D2596" s="564">
        <v>14</v>
      </c>
      <c r="E2596" s="564">
        <v>3</v>
      </c>
      <c r="F2596" s="565" t="s">
        <v>219</v>
      </c>
      <c r="G2596" s="563" t="s">
        <v>11</v>
      </c>
      <c r="H2596" s="563" t="s">
        <v>212</v>
      </c>
      <c r="I2596" s="566">
        <v>0</v>
      </c>
    </row>
    <row r="2597" spans="1:9" ht="16" x14ac:dyDescent="0.2">
      <c r="A2597" s="567">
        <v>46115</v>
      </c>
      <c r="B2597" s="568">
        <v>2026</v>
      </c>
      <c r="C2597" s="569">
        <v>4</v>
      </c>
      <c r="D2597" s="570">
        <v>14</v>
      </c>
      <c r="E2597" s="570">
        <v>3</v>
      </c>
      <c r="F2597" s="571" t="s">
        <v>19</v>
      </c>
      <c r="G2597" s="569" t="s">
        <v>19</v>
      </c>
      <c r="H2597" s="569" t="s">
        <v>214</v>
      </c>
      <c r="I2597" s="572">
        <v>10819224000</v>
      </c>
    </row>
    <row r="2598" spans="1:9" ht="16" x14ac:dyDescent="0.2">
      <c r="A2598" s="561">
        <v>46115</v>
      </c>
      <c r="B2598" s="562">
        <v>2026</v>
      </c>
      <c r="C2598" s="563">
        <v>4</v>
      </c>
      <c r="D2598" s="564">
        <v>14</v>
      </c>
      <c r="E2598" s="564">
        <v>3</v>
      </c>
      <c r="F2598" s="565" t="s">
        <v>62</v>
      </c>
      <c r="G2598" s="563" t="s">
        <v>62</v>
      </c>
      <c r="H2598" s="563" t="s">
        <v>216</v>
      </c>
      <c r="I2598" s="566">
        <v>508044615</v>
      </c>
    </row>
    <row r="2599" spans="1:9" ht="16" x14ac:dyDescent="0.2">
      <c r="A2599" s="567">
        <v>46115</v>
      </c>
      <c r="B2599" s="568">
        <v>2026</v>
      </c>
      <c r="C2599" s="569">
        <v>4</v>
      </c>
      <c r="D2599" s="570">
        <v>14</v>
      </c>
      <c r="E2599" s="570">
        <v>3</v>
      </c>
      <c r="F2599" s="571" t="s">
        <v>58</v>
      </c>
      <c r="G2599" s="569" t="s">
        <v>58</v>
      </c>
      <c r="H2599" s="569" t="s">
        <v>212</v>
      </c>
      <c r="I2599" s="572">
        <v>21000000</v>
      </c>
    </row>
    <row r="2600" spans="1:9" ht="16" x14ac:dyDescent="0.2">
      <c r="A2600" s="561">
        <v>46115</v>
      </c>
      <c r="B2600" s="562">
        <v>2026</v>
      </c>
      <c r="C2600" s="563">
        <v>4</v>
      </c>
      <c r="D2600" s="564">
        <v>14</v>
      </c>
      <c r="E2600" s="564">
        <v>3</v>
      </c>
      <c r="F2600" s="565" t="s">
        <v>61</v>
      </c>
      <c r="G2600" s="563" t="s">
        <v>61</v>
      </c>
      <c r="H2600" s="563" t="s">
        <v>214</v>
      </c>
      <c r="I2600" s="566">
        <v>38000000</v>
      </c>
    </row>
    <row r="2601" spans="1:9" ht="16" x14ac:dyDescent="0.2">
      <c r="A2601" s="567">
        <v>46115</v>
      </c>
      <c r="B2601" s="568">
        <v>2026</v>
      </c>
      <c r="C2601" s="569">
        <v>4</v>
      </c>
      <c r="D2601" s="570">
        <v>14</v>
      </c>
      <c r="E2601" s="570">
        <v>3</v>
      </c>
      <c r="F2601" s="571" t="s">
        <v>57</v>
      </c>
      <c r="G2601" s="569" t="s">
        <v>57</v>
      </c>
      <c r="H2601" s="569" t="s">
        <v>212</v>
      </c>
      <c r="I2601" s="572">
        <v>796090000</v>
      </c>
    </row>
    <row r="2602" spans="1:9" ht="16" x14ac:dyDescent="0.2">
      <c r="A2602" s="561">
        <v>46115</v>
      </c>
      <c r="B2602" s="562">
        <v>2026</v>
      </c>
      <c r="C2602" s="563">
        <v>4</v>
      </c>
      <c r="D2602" s="564">
        <v>14</v>
      </c>
      <c r="E2602" s="564">
        <v>3</v>
      </c>
      <c r="F2602" s="565" t="s">
        <v>63</v>
      </c>
      <c r="G2602" s="563" t="s">
        <v>63</v>
      </c>
      <c r="H2602" s="563" t="s">
        <v>214</v>
      </c>
      <c r="I2602" s="566">
        <v>313200000</v>
      </c>
    </row>
    <row r="2603" spans="1:9" ht="16" x14ac:dyDescent="0.2">
      <c r="A2603" s="567">
        <v>46115</v>
      </c>
      <c r="B2603" s="568">
        <v>2026</v>
      </c>
      <c r="C2603" s="569">
        <v>4</v>
      </c>
      <c r="D2603" s="570">
        <v>14</v>
      </c>
      <c r="E2603" s="570">
        <v>3</v>
      </c>
      <c r="F2603" s="571" t="s">
        <v>59</v>
      </c>
      <c r="G2603" s="569" t="s">
        <v>59</v>
      </c>
      <c r="H2603" s="569" t="s">
        <v>216</v>
      </c>
      <c r="I2603" s="572">
        <v>1299011380</v>
      </c>
    </row>
    <row r="2604" spans="1:9" ht="16" x14ac:dyDescent="0.2">
      <c r="A2604" s="561">
        <v>46115</v>
      </c>
      <c r="B2604" s="562">
        <v>2026</v>
      </c>
      <c r="C2604" s="563">
        <v>4</v>
      </c>
      <c r="D2604" s="564">
        <v>14</v>
      </c>
      <c r="E2604" s="564">
        <v>3</v>
      </c>
      <c r="F2604" s="565" t="s">
        <v>31</v>
      </c>
      <c r="G2604" s="563" t="s">
        <v>175</v>
      </c>
      <c r="H2604" s="563" t="s">
        <v>212</v>
      </c>
      <c r="I2604" s="566">
        <v>7863820000</v>
      </c>
    </row>
    <row r="2605" spans="1:9" ht="16" x14ac:dyDescent="0.2">
      <c r="A2605" s="567">
        <v>46115</v>
      </c>
      <c r="B2605" s="568">
        <v>2026</v>
      </c>
      <c r="C2605" s="569">
        <v>4</v>
      </c>
      <c r="D2605" s="570">
        <v>14</v>
      </c>
      <c r="E2605" s="570">
        <v>3</v>
      </c>
      <c r="F2605" s="571" t="s">
        <v>234</v>
      </c>
      <c r="G2605" s="569" t="s">
        <v>210</v>
      </c>
      <c r="H2605" s="569" t="s">
        <v>214</v>
      </c>
      <c r="I2605" s="572">
        <v>2160000</v>
      </c>
    </row>
    <row r="2606" spans="1:9" ht="16" x14ac:dyDescent="0.2">
      <c r="A2606" s="561">
        <v>46116</v>
      </c>
      <c r="B2606" s="562">
        <v>2026</v>
      </c>
      <c r="C2606" s="563">
        <v>4</v>
      </c>
      <c r="D2606" s="564">
        <v>14</v>
      </c>
      <c r="E2606" s="564">
        <v>4</v>
      </c>
      <c r="F2606" s="565" t="s">
        <v>65</v>
      </c>
      <c r="G2606" s="563" t="s">
        <v>65</v>
      </c>
      <c r="H2606" s="563" t="s">
        <v>212</v>
      </c>
      <c r="I2606" s="566">
        <v>576150000</v>
      </c>
    </row>
    <row r="2607" spans="1:9" ht="16" x14ac:dyDescent="0.2">
      <c r="A2607" s="567">
        <v>46116</v>
      </c>
      <c r="B2607" s="568">
        <v>2026</v>
      </c>
      <c r="C2607" s="569">
        <v>4</v>
      </c>
      <c r="D2607" s="570">
        <v>14</v>
      </c>
      <c r="E2607" s="570">
        <v>4</v>
      </c>
      <c r="F2607" s="571" t="s">
        <v>66</v>
      </c>
      <c r="G2607" s="569" t="s">
        <v>66</v>
      </c>
      <c r="H2607" s="569" t="s">
        <v>216</v>
      </c>
      <c r="I2607" s="572">
        <v>513712363</v>
      </c>
    </row>
    <row r="2608" spans="1:9" ht="16" x14ac:dyDescent="0.2">
      <c r="A2608" s="561">
        <v>46116</v>
      </c>
      <c r="B2608" s="562">
        <v>2026</v>
      </c>
      <c r="C2608" s="563">
        <v>4</v>
      </c>
      <c r="D2608" s="564">
        <v>14</v>
      </c>
      <c r="E2608" s="564">
        <v>4</v>
      </c>
      <c r="F2608" s="565" t="s">
        <v>24</v>
      </c>
      <c r="G2608" s="563" t="s">
        <v>24</v>
      </c>
      <c r="H2608" s="563" t="s">
        <v>212</v>
      </c>
      <c r="I2608" s="566">
        <v>18382180000</v>
      </c>
    </row>
    <row r="2609" spans="1:9" ht="16" x14ac:dyDescent="0.2">
      <c r="A2609" s="567">
        <v>46116</v>
      </c>
      <c r="B2609" s="568">
        <v>2026</v>
      </c>
      <c r="C2609" s="569">
        <v>4</v>
      </c>
      <c r="D2609" s="570">
        <v>14</v>
      </c>
      <c r="E2609" s="570">
        <v>4</v>
      </c>
      <c r="F2609" s="571" t="s">
        <v>67</v>
      </c>
      <c r="G2609" s="569" t="s">
        <v>67</v>
      </c>
      <c r="H2609" s="569" t="s">
        <v>213</v>
      </c>
      <c r="I2609" s="572">
        <v>1855556717</v>
      </c>
    </row>
    <row r="2610" spans="1:9" ht="16" x14ac:dyDescent="0.2">
      <c r="A2610" s="561">
        <v>46116</v>
      </c>
      <c r="B2610" s="562">
        <v>2026</v>
      </c>
      <c r="C2610" s="563">
        <v>4</v>
      </c>
      <c r="D2610" s="564">
        <v>14</v>
      </c>
      <c r="E2610" s="564">
        <v>4</v>
      </c>
      <c r="F2610" s="565" t="s">
        <v>28</v>
      </c>
      <c r="G2610" s="563" t="s">
        <v>28</v>
      </c>
      <c r="H2610" s="563" t="s">
        <v>214</v>
      </c>
      <c r="I2610" s="566">
        <v>13801320000</v>
      </c>
    </row>
    <row r="2611" spans="1:9" ht="16" x14ac:dyDescent="0.2">
      <c r="A2611" s="567">
        <v>46116</v>
      </c>
      <c r="B2611" s="568">
        <v>2026</v>
      </c>
      <c r="C2611" s="569">
        <v>4</v>
      </c>
      <c r="D2611" s="570">
        <v>14</v>
      </c>
      <c r="E2611" s="570">
        <v>4</v>
      </c>
      <c r="F2611" s="571" t="s">
        <v>208</v>
      </c>
      <c r="G2611" s="569" t="s">
        <v>208</v>
      </c>
      <c r="H2611" s="569" t="s">
        <v>216</v>
      </c>
      <c r="I2611" s="572">
        <v>0</v>
      </c>
    </row>
    <row r="2612" spans="1:9" ht="16" x14ac:dyDescent="0.2">
      <c r="A2612" s="561">
        <v>46116</v>
      </c>
      <c r="B2612" s="562">
        <v>2026</v>
      </c>
      <c r="C2612" s="563">
        <v>4</v>
      </c>
      <c r="D2612" s="564">
        <v>14</v>
      </c>
      <c r="E2612" s="564">
        <v>4</v>
      </c>
      <c r="F2612" s="565" t="s">
        <v>60</v>
      </c>
      <c r="G2612" s="563" t="s">
        <v>60</v>
      </c>
      <c r="H2612" s="563" t="s">
        <v>212</v>
      </c>
      <c r="I2612" s="566">
        <v>0</v>
      </c>
    </row>
    <row r="2613" spans="1:9" ht="16" x14ac:dyDescent="0.2">
      <c r="A2613" s="567">
        <v>46116</v>
      </c>
      <c r="B2613" s="568">
        <v>2026</v>
      </c>
      <c r="C2613" s="569">
        <v>4</v>
      </c>
      <c r="D2613" s="570">
        <v>14</v>
      </c>
      <c r="E2613" s="570">
        <v>4</v>
      </c>
      <c r="F2613" s="571" t="s">
        <v>36</v>
      </c>
      <c r="G2613" s="569" t="s">
        <v>36</v>
      </c>
      <c r="H2613" s="569" t="s">
        <v>212</v>
      </c>
      <c r="I2613" s="572">
        <v>2658650000</v>
      </c>
    </row>
    <row r="2614" spans="1:9" ht="16" x14ac:dyDescent="0.2">
      <c r="A2614" s="561">
        <v>46116</v>
      </c>
      <c r="B2614" s="562">
        <v>2026</v>
      </c>
      <c r="C2614" s="563">
        <v>4</v>
      </c>
      <c r="D2614" s="564">
        <v>14</v>
      </c>
      <c r="E2614" s="564">
        <v>4</v>
      </c>
      <c r="F2614" s="565" t="s">
        <v>55</v>
      </c>
      <c r="G2614" s="563" t="s">
        <v>36</v>
      </c>
      <c r="H2614" s="563" t="s">
        <v>212</v>
      </c>
      <c r="I2614" s="566">
        <v>650900000</v>
      </c>
    </row>
    <row r="2615" spans="1:9" ht="16" x14ac:dyDescent="0.2">
      <c r="A2615" s="567">
        <v>46116</v>
      </c>
      <c r="B2615" s="568">
        <v>2026</v>
      </c>
      <c r="C2615" s="569">
        <v>4</v>
      </c>
      <c r="D2615" s="570">
        <v>14</v>
      </c>
      <c r="E2615" s="570">
        <v>4</v>
      </c>
      <c r="F2615" s="571" t="s">
        <v>176</v>
      </c>
      <c r="G2615" s="569" t="s">
        <v>176</v>
      </c>
      <c r="H2615" s="569" t="s">
        <v>216</v>
      </c>
      <c r="I2615" s="572">
        <v>34486187</v>
      </c>
    </row>
    <row r="2616" spans="1:9" ht="16" x14ac:dyDescent="0.2">
      <c r="A2616" s="561">
        <v>46116</v>
      </c>
      <c r="B2616" s="562">
        <v>2026</v>
      </c>
      <c r="C2616" s="563">
        <v>4</v>
      </c>
      <c r="D2616" s="564">
        <v>14</v>
      </c>
      <c r="E2616" s="564">
        <v>4</v>
      </c>
      <c r="F2616" s="565" t="s">
        <v>39</v>
      </c>
      <c r="G2616" s="563" t="s">
        <v>176</v>
      </c>
      <c r="H2616" s="563" t="s">
        <v>216</v>
      </c>
      <c r="I2616" s="566">
        <v>1763209762</v>
      </c>
    </row>
    <row r="2617" spans="1:9" ht="16" x14ac:dyDescent="0.2">
      <c r="A2617" s="567">
        <v>46116</v>
      </c>
      <c r="B2617" s="568">
        <v>2026</v>
      </c>
      <c r="C2617" s="569">
        <v>4</v>
      </c>
      <c r="D2617" s="570">
        <v>14</v>
      </c>
      <c r="E2617" s="570">
        <v>4</v>
      </c>
      <c r="F2617" s="571" t="s">
        <v>206</v>
      </c>
      <c r="G2617" s="569" t="s">
        <v>206</v>
      </c>
      <c r="H2617" s="569" t="s">
        <v>212</v>
      </c>
      <c r="I2617" s="572">
        <v>0</v>
      </c>
    </row>
    <row r="2618" spans="1:9" ht="16" x14ac:dyDescent="0.2">
      <c r="A2618" s="561">
        <v>46116</v>
      </c>
      <c r="B2618" s="562">
        <v>2026</v>
      </c>
      <c r="C2618" s="563">
        <v>4</v>
      </c>
      <c r="D2618" s="564">
        <v>14</v>
      </c>
      <c r="E2618" s="564">
        <v>4</v>
      </c>
      <c r="F2618" s="565" t="s">
        <v>64</v>
      </c>
      <c r="G2618" s="563" t="s">
        <v>209</v>
      </c>
      <c r="H2618" s="563" t="s">
        <v>212</v>
      </c>
      <c r="I2618" s="566">
        <v>40000000</v>
      </c>
    </row>
    <row r="2619" spans="1:9" ht="16" x14ac:dyDescent="0.2">
      <c r="A2619" s="567">
        <v>46116</v>
      </c>
      <c r="B2619" s="568">
        <v>2026</v>
      </c>
      <c r="C2619" s="569">
        <v>4</v>
      </c>
      <c r="D2619" s="570">
        <v>14</v>
      </c>
      <c r="E2619" s="570">
        <v>4</v>
      </c>
      <c r="F2619" s="571" t="s">
        <v>237</v>
      </c>
      <c r="G2619" s="569" t="s">
        <v>209</v>
      </c>
      <c r="H2619" s="569" t="s">
        <v>212</v>
      </c>
      <c r="I2619" s="572">
        <v>0</v>
      </c>
    </row>
    <row r="2620" spans="1:9" ht="16" x14ac:dyDescent="0.2">
      <c r="A2620" s="561">
        <v>46116</v>
      </c>
      <c r="B2620" s="562">
        <v>2026</v>
      </c>
      <c r="C2620" s="563">
        <v>4</v>
      </c>
      <c r="D2620" s="564">
        <v>14</v>
      </c>
      <c r="E2620" s="564">
        <v>4</v>
      </c>
      <c r="F2620" s="565" t="s">
        <v>11</v>
      </c>
      <c r="G2620" s="563" t="s">
        <v>11</v>
      </c>
      <c r="H2620" s="563" t="s">
        <v>212</v>
      </c>
      <c r="I2620" s="566">
        <v>16223600000</v>
      </c>
    </row>
    <row r="2621" spans="1:9" ht="16" x14ac:dyDescent="0.2">
      <c r="A2621" s="567">
        <v>46116</v>
      </c>
      <c r="B2621" s="568">
        <v>2026</v>
      </c>
      <c r="C2621" s="569">
        <v>4</v>
      </c>
      <c r="D2621" s="570">
        <v>14</v>
      </c>
      <c r="E2621" s="570">
        <v>4</v>
      </c>
      <c r="F2621" s="571" t="s">
        <v>221</v>
      </c>
      <c r="G2621" s="569" t="s">
        <v>207</v>
      </c>
      <c r="H2621" s="569" t="s">
        <v>212</v>
      </c>
      <c r="I2621" s="572">
        <v>0</v>
      </c>
    </row>
    <row r="2622" spans="1:9" ht="16" x14ac:dyDescent="0.2">
      <c r="A2622" s="561">
        <v>46116</v>
      </c>
      <c r="B2622" s="562">
        <v>2026</v>
      </c>
      <c r="C2622" s="563">
        <v>4</v>
      </c>
      <c r="D2622" s="564">
        <v>14</v>
      </c>
      <c r="E2622" s="564">
        <v>4</v>
      </c>
      <c r="F2622" s="565" t="s">
        <v>222</v>
      </c>
      <c r="G2622" s="563" t="s">
        <v>207</v>
      </c>
      <c r="H2622" s="563" t="s">
        <v>212</v>
      </c>
      <c r="I2622" s="566">
        <v>0</v>
      </c>
    </row>
    <row r="2623" spans="1:9" ht="16" x14ac:dyDescent="0.2">
      <c r="A2623" s="567">
        <v>46116</v>
      </c>
      <c r="B2623" s="568">
        <v>2026</v>
      </c>
      <c r="C2623" s="569">
        <v>4</v>
      </c>
      <c r="D2623" s="570">
        <v>14</v>
      </c>
      <c r="E2623" s="570">
        <v>4</v>
      </c>
      <c r="F2623" s="571" t="s">
        <v>223</v>
      </c>
      <c r="G2623" s="569" t="s">
        <v>207</v>
      </c>
      <c r="H2623" s="569" t="s">
        <v>212</v>
      </c>
      <c r="I2623" s="572">
        <v>0</v>
      </c>
    </row>
    <row r="2624" spans="1:9" ht="16" x14ac:dyDescent="0.2">
      <c r="A2624" s="561">
        <v>46116</v>
      </c>
      <c r="B2624" s="562">
        <v>2026</v>
      </c>
      <c r="C2624" s="563">
        <v>4</v>
      </c>
      <c r="D2624" s="564">
        <v>14</v>
      </c>
      <c r="E2624" s="564">
        <v>4</v>
      </c>
      <c r="F2624" s="565" t="s">
        <v>219</v>
      </c>
      <c r="G2624" s="563" t="s">
        <v>11</v>
      </c>
      <c r="H2624" s="563" t="s">
        <v>212</v>
      </c>
      <c r="I2624" s="566">
        <v>0</v>
      </c>
    </row>
    <row r="2625" spans="1:9" ht="16" x14ac:dyDescent="0.2">
      <c r="A2625" s="567">
        <v>46116</v>
      </c>
      <c r="B2625" s="568">
        <v>2026</v>
      </c>
      <c r="C2625" s="569">
        <v>4</v>
      </c>
      <c r="D2625" s="570">
        <v>14</v>
      </c>
      <c r="E2625" s="570">
        <v>4</v>
      </c>
      <c r="F2625" s="571" t="s">
        <v>19</v>
      </c>
      <c r="G2625" s="569" t="s">
        <v>19</v>
      </c>
      <c r="H2625" s="569" t="s">
        <v>214</v>
      </c>
      <c r="I2625" s="572">
        <v>11136204000</v>
      </c>
    </row>
    <row r="2626" spans="1:9" ht="16" x14ac:dyDescent="0.2">
      <c r="A2626" s="561">
        <v>46116</v>
      </c>
      <c r="B2626" s="562">
        <v>2026</v>
      </c>
      <c r="C2626" s="563">
        <v>4</v>
      </c>
      <c r="D2626" s="564">
        <v>14</v>
      </c>
      <c r="E2626" s="564">
        <v>4</v>
      </c>
      <c r="F2626" s="565" t="s">
        <v>62</v>
      </c>
      <c r="G2626" s="563" t="s">
        <v>62</v>
      </c>
      <c r="H2626" s="563" t="s">
        <v>216</v>
      </c>
      <c r="I2626" s="566">
        <v>630565541</v>
      </c>
    </row>
    <row r="2627" spans="1:9" ht="16" x14ac:dyDescent="0.2">
      <c r="A2627" s="567">
        <v>46116</v>
      </c>
      <c r="B2627" s="568">
        <v>2026</v>
      </c>
      <c r="C2627" s="569">
        <v>4</v>
      </c>
      <c r="D2627" s="570">
        <v>14</v>
      </c>
      <c r="E2627" s="570">
        <v>4</v>
      </c>
      <c r="F2627" s="571" t="s">
        <v>58</v>
      </c>
      <c r="G2627" s="569" t="s">
        <v>58</v>
      </c>
      <c r="H2627" s="569" t="s">
        <v>212</v>
      </c>
      <c r="I2627" s="572">
        <v>63000000</v>
      </c>
    </row>
    <row r="2628" spans="1:9" ht="16" x14ac:dyDescent="0.2">
      <c r="A2628" s="561">
        <v>46116</v>
      </c>
      <c r="B2628" s="562">
        <v>2026</v>
      </c>
      <c r="C2628" s="563">
        <v>4</v>
      </c>
      <c r="D2628" s="564">
        <v>14</v>
      </c>
      <c r="E2628" s="564">
        <v>4</v>
      </c>
      <c r="F2628" s="565" t="s">
        <v>61</v>
      </c>
      <c r="G2628" s="563" t="s">
        <v>61</v>
      </c>
      <c r="H2628" s="563" t="s">
        <v>214</v>
      </c>
      <c r="I2628" s="566">
        <v>49000000</v>
      </c>
    </row>
    <row r="2629" spans="1:9" ht="16" x14ac:dyDescent="0.2">
      <c r="A2629" s="567">
        <v>46116</v>
      </c>
      <c r="B2629" s="568">
        <v>2026</v>
      </c>
      <c r="C2629" s="569">
        <v>4</v>
      </c>
      <c r="D2629" s="570">
        <v>14</v>
      </c>
      <c r="E2629" s="570">
        <v>4</v>
      </c>
      <c r="F2629" s="571" t="s">
        <v>57</v>
      </c>
      <c r="G2629" s="569" t="s">
        <v>57</v>
      </c>
      <c r="H2629" s="569" t="s">
        <v>212</v>
      </c>
      <c r="I2629" s="572">
        <v>603970000</v>
      </c>
    </row>
    <row r="2630" spans="1:9" ht="16" x14ac:dyDescent="0.2">
      <c r="A2630" s="561">
        <v>46116</v>
      </c>
      <c r="B2630" s="562">
        <v>2026</v>
      </c>
      <c r="C2630" s="563">
        <v>4</v>
      </c>
      <c r="D2630" s="564">
        <v>14</v>
      </c>
      <c r="E2630" s="564">
        <v>4</v>
      </c>
      <c r="F2630" s="565" t="s">
        <v>63</v>
      </c>
      <c r="G2630" s="563" t="s">
        <v>63</v>
      </c>
      <c r="H2630" s="563" t="s">
        <v>214</v>
      </c>
      <c r="I2630" s="566">
        <v>315792000</v>
      </c>
    </row>
    <row r="2631" spans="1:9" ht="16" x14ac:dyDescent="0.2">
      <c r="A2631" s="567">
        <v>46116</v>
      </c>
      <c r="B2631" s="568">
        <v>2026</v>
      </c>
      <c r="C2631" s="569">
        <v>4</v>
      </c>
      <c r="D2631" s="570">
        <v>14</v>
      </c>
      <c r="E2631" s="570">
        <v>4</v>
      </c>
      <c r="F2631" s="571" t="s">
        <v>59</v>
      </c>
      <c r="G2631" s="569" t="s">
        <v>59</v>
      </c>
      <c r="H2631" s="569" t="s">
        <v>216</v>
      </c>
      <c r="I2631" s="572">
        <v>1642965022</v>
      </c>
    </row>
    <row r="2632" spans="1:9" ht="16" x14ac:dyDescent="0.2">
      <c r="A2632" s="561">
        <v>46116</v>
      </c>
      <c r="B2632" s="562">
        <v>2026</v>
      </c>
      <c r="C2632" s="563">
        <v>4</v>
      </c>
      <c r="D2632" s="564">
        <v>14</v>
      </c>
      <c r="E2632" s="564">
        <v>4</v>
      </c>
      <c r="F2632" s="565" t="s">
        <v>31</v>
      </c>
      <c r="G2632" s="563" t="s">
        <v>175</v>
      </c>
      <c r="H2632" s="563" t="s">
        <v>212</v>
      </c>
      <c r="I2632" s="566">
        <v>6077010000</v>
      </c>
    </row>
    <row r="2633" spans="1:9" ht="16" x14ac:dyDescent="0.2">
      <c r="A2633" s="567">
        <v>46116</v>
      </c>
      <c r="B2633" s="568">
        <v>2026</v>
      </c>
      <c r="C2633" s="569">
        <v>4</v>
      </c>
      <c r="D2633" s="570">
        <v>14</v>
      </c>
      <c r="E2633" s="570">
        <v>4</v>
      </c>
      <c r="F2633" s="571" t="s">
        <v>234</v>
      </c>
      <c r="G2633" s="569" t="s">
        <v>210</v>
      </c>
      <c r="H2633" s="569" t="s">
        <v>214</v>
      </c>
      <c r="I2633" s="572">
        <v>4320000</v>
      </c>
    </row>
    <row r="2634" spans="1:9" ht="16" x14ac:dyDescent="0.2">
      <c r="A2634" s="561">
        <v>46117</v>
      </c>
      <c r="B2634" s="562">
        <v>2026</v>
      </c>
      <c r="C2634" s="563">
        <v>4</v>
      </c>
      <c r="D2634" s="564">
        <v>14</v>
      </c>
      <c r="E2634" s="564">
        <v>5</v>
      </c>
      <c r="F2634" s="565" t="s">
        <v>65</v>
      </c>
      <c r="G2634" s="563" t="s">
        <v>65</v>
      </c>
      <c r="H2634" s="563" t="s">
        <v>212</v>
      </c>
      <c r="I2634" s="566">
        <v>658150000</v>
      </c>
    </row>
    <row r="2635" spans="1:9" ht="16" x14ac:dyDescent="0.2">
      <c r="A2635" s="567">
        <v>46117</v>
      </c>
      <c r="B2635" s="568">
        <v>2026</v>
      </c>
      <c r="C2635" s="569">
        <v>4</v>
      </c>
      <c r="D2635" s="570">
        <v>14</v>
      </c>
      <c r="E2635" s="570">
        <v>5</v>
      </c>
      <c r="F2635" s="571" t="s">
        <v>66</v>
      </c>
      <c r="G2635" s="569" t="s">
        <v>66</v>
      </c>
      <c r="H2635" s="569" t="s">
        <v>216</v>
      </c>
      <c r="I2635" s="572">
        <v>473511847</v>
      </c>
    </row>
    <row r="2636" spans="1:9" ht="16" x14ac:dyDescent="0.2">
      <c r="A2636" s="561">
        <v>46117</v>
      </c>
      <c r="B2636" s="562">
        <v>2026</v>
      </c>
      <c r="C2636" s="563">
        <v>4</v>
      </c>
      <c r="D2636" s="564">
        <v>14</v>
      </c>
      <c r="E2636" s="564">
        <v>5</v>
      </c>
      <c r="F2636" s="565" t="s">
        <v>24</v>
      </c>
      <c r="G2636" s="563" t="s">
        <v>24</v>
      </c>
      <c r="H2636" s="563" t="s">
        <v>212</v>
      </c>
      <c r="I2636" s="566">
        <v>15050540000</v>
      </c>
    </row>
    <row r="2637" spans="1:9" ht="16" x14ac:dyDescent="0.2">
      <c r="A2637" s="567">
        <v>46117</v>
      </c>
      <c r="B2637" s="568">
        <v>2026</v>
      </c>
      <c r="C2637" s="569">
        <v>4</v>
      </c>
      <c r="D2637" s="570">
        <v>14</v>
      </c>
      <c r="E2637" s="570">
        <v>5</v>
      </c>
      <c r="F2637" s="571" t="s">
        <v>67</v>
      </c>
      <c r="G2637" s="569" t="s">
        <v>67</v>
      </c>
      <c r="H2637" s="569" t="s">
        <v>213</v>
      </c>
      <c r="I2637" s="572">
        <v>1581600309</v>
      </c>
    </row>
    <row r="2638" spans="1:9" ht="16" x14ac:dyDescent="0.2">
      <c r="A2638" s="561">
        <v>46117</v>
      </c>
      <c r="B2638" s="562">
        <v>2026</v>
      </c>
      <c r="C2638" s="563">
        <v>4</v>
      </c>
      <c r="D2638" s="564">
        <v>14</v>
      </c>
      <c r="E2638" s="564">
        <v>5</v>
      </c>
      <c r="F2638" s="565" t="s">
        <v>28</v>
      </c>
      <c r="G2638" s="563" t="s">
        <v>28</v>
      </c>
      <c r="H2638" s="563" t="s">
        <v>214</v>
      </c>
      <c r="I2638" s="566">
        <v>13768704000</v>
      </c>
    </row>
    <row r="2639" spans="1:9" ht="16" x14ac:dyDescent="0.2">
      <c r="A2639" s="567">
        <v>46117</v>
      </c>
      <c r="B2639" s="568">
        <v>2026</v>
      </c>
      <c r="C2639" s="569">
        <v>4</v>
      </c>
      <c r="D2639" s="570">
        <v>14</v>
      </c>
      <c r="E2639" s="570">
        <v>5</v>
      </c>
      <c r="F2639" s="571" t="s">
        <v>208</v>
      </c>
      <c r="G2639" s="569" t="s">
        <v>208</v>
      </c>
      <c r="H2639" s="569" t="s">
        <v>216</v>
      </c>
      <c r="I2639" s="572">
        <v>0</v>
      </c>
    </row>
    <row r="2640" spans="1:9" ht="16" x14ac:dyDescent="0.2">
      <c r="A2640" s="561">
        <v>46117</v>
      </c>
      <c r="B2640" s="562">
        <v>2026</v>
      </c>
      <c r="C2640" s="563">
        <v>4</v>
      </c>
      <c r="D2640" s="564">
        <v>14</v>
      </c>
      <c r="E2640" s="564">
        <v>5</v>
      </c>
      <c r="F2640" s="565" t="s">
        <v>60</v>
      </c>
      <c r="G2640" s="563" t="s">
        <v>60</v>
      </c>
      <c r="H2640" s="563" t="s">
        <v>212</v>
      </c>
      <c r="I2640" s="566">
        <v>0</v>
      </c>
    </row>
    <row r="2641" spans="1:9" ht="16" x14ac:dyDescent="0.2">
      <c r="A2641" s="567">
        <v>46117</v>
      </c>
      <c r="B2641" s="568">
        <v>2026</v>
      </c>
      <c r="C2641" s="569">
        <v>4</v>
      </c>
      <c r="D2641" s="570">
        <v>14</v>
      </c>
      <c r="E2641" s="570">
        <v>5</v>
      </c>
      <c r="F2641" s="571" t="s">
        <v>36</v>
      </c>
      <c r="G2641" s="569" t="s">
        <v>36</v>
      </c>
      <c r="H2641" s="569" t="s">
        <v>212</v>
      </c>
      <c r="I2641" s="572">
        <v>2859120000</v>
      </c>
    </row>
    <row r="2642" spans="1:9" ht="16" x14ac:dyDescent="0.2">
      <c r="A2642" s="561">
        <v>46117</v>
      </c>
      <c r="B2642" s="562">
        <v>2026</v>
      </c>
      <c r="C2642" s="563">
        <v>4</v>
      </c>
      <c r="D2642" s="564">
        <v>14</v>
      </c>
      <c r="E2642" s="564">
        <v>5</v>
      </c>
      <c r="F2642" s="565" t="s">
        <v>55</v>
      </c>
      <c r="G2642" s="563" t="s">
        <v>36</v>
      </c>
      <c r="H2642" s="563" t="s">
        <v>212</v>
      </c>
      <c r="I2642" s="566">
        <v>936350000</v>
      </c>
    </row>
    <row r="2643" spans="1:9" ht="16" x14ac:dyDescent="0.2">
      <c r="A2643" s="567">
        <v>46117</v>
      </c>
      <c r="B2643" s="568">
        <v>2026</v>
      </c>
      <c r="C2643" s="569">
        <v>4</v>
      </c>
      <c r="D2643" s="570">
        <v>14</v>
      </c>
      <c r="E2643" s="570">
        <v>5</v>
      </c>
      <c r="F2643" s="571" t="s">
        <v>176</v>
      </c>
      <c r="G2643" s="569" t="s">
        <v>176</v>
      </c>
      <c r="H2643" s="569" t="s">
        <v>216</v>
      </c>
      <c r="I2643" s="572">
        <v>38596801</v>
      </c>
    </row>
    <row r="2644" spans="1:9" ht="16" x14ac:dyDescent="0.2">
      <c r="A2644" s="561">
        <v>46117</v>
      </c>
      <c r="B2644" s="562">
        <v>2026</v>
      </c>
      <c r="C2644" s="563">
        <v>4</v>
      </c>
      <c r="D2644" s="564">
        <v>14</v>
      </c>
      <c r="E2644" s="564">
        <v>5</v>
      </c>
      <c r="F2644" s="565" t="s">
        <v>39</v>
      </c>
      <c r="G2644" s="563" t="s">
        <v>176</v>
      </c>
      <c r="H2644" s="563" t="s">
        <v>216</v>
      </c>
      <c r="I2644" s="566">
        <v>1719202172</v>
      </c>
    </row>
    <row r="2645" spans="1:9" ht="16" x14ac:dyDescent="0.2">
      <c r="A2645" s="567">
        <v>46117</v>
      </c>
      <c r="B2645" s="568">
        <v>2026</v>
      </c>
      <c r="C2645" s="569">
        <v>4</v>
      </c>
      <c r="D2645" s="570">
        <v>14</v>
      </c>
      <c r="E2645" s="570">
        <v>5</v>
      </c>
      <c r="F2645" s="571" t="s">
        <v>206</v>
      </c>
      <c r="G2645" s="569" t="s">
        <v>206</v>
      </c>
      <c r="H2645" s="569" t="s">
        <v>212</v>
      </c>
      <c r="I2645" s="572">
        <v>0</v>
      </c>
    </row>
    <row r="2646" spans="1:9" ht="16" x14ac:dyDescent="0.2">
      <c r="A2646" s="561">
        <v>46117</v>
      </c>
      <c r="B2646" s="562">
        <v>2026</v>
      </c>
      <c r="C2646" s="563">
        <v>4</v>
      </c>
      <c r="D2646" s="564">
        <v>14</v>
      </c>
      <c r="E2646" s="564">
        <v>5</v>
      </c>
      <c r="F2646" s="565" t="s">
        <v>64</v>
      </c>
      <c r="G2646" s="563" t="s">
        <v>209</v>
      </c>
      <c r="H2646" s="563" t="s">
        <v>212</v>
      </c>
      <c r="I2646" s="566">
        <v>42000000</v>
      </c>
    </row>
    <row r="2647" spans="1:9" ht="16" x14ac:dyDescent="0.2">
      <c r="A2647" s="567">
        <v>46117</v>
      </c>
      <c r="B2647" s="568">
        <v>2026</v>
      </c>
      <c r="C2647" s="569">
        <v>4</v>
      </c>
      <c r="D2647" s="570">
        <v>14</v>
      </c>
      <c r="E2647" s="570">
        <v>5</v>
      </c>
      <c r="F2647" s="571" t="s">
        <v>237</v>
      </c>
      <c r="G2647" s="569" t="s">
        <v>209</v>
      </c>
      <c r="H2647" s="569" t="s">
        <v>212</v>
      </c>
      <c r="I2647" s="572">
        <v>0</v>
      </c>
    </row>
    <row r="2648" spans="1:9" ht="16" x14ac:dyDescent="0.2">
      <c r="A2648" s="561">
        <v>46117</v>
      </c>
      <c r="B2648" s="562">
        <v>2026</v>
      </c>
      <c r="C2648" s="563">
        <v>4</v>
      </c>
      <c r="D2648" s="564">
        <v>14</v>
      </c>
      <c r="E2648" s="564">
        <v>5</v>
      </c>
      <c r="F2648" s="565" t="s">
        <v>11</v>
      </c>
      <c r="G2648" s="563" t="s">
        <v>11</v>
      </c>
      <c r="H2648" s="563" t="s">
        <v>212</v>
      </c>
      <c r="I2648" s="566">
        <v>14475880000</v>
      </c>
    </row>
    <row r="2649" spans="1:9" ht="16" x14ac:dyDescent="0.2">
      <c r="A2649" s="567">
        <v>46117</v>
      </c>
      <c r="B2649" s="568">
        <v>2026</v>
      </c>
      <c r="C2649" s="569">
        <v>4</v>
      </c>
      <c r="D2649" s="570">
        <v>14</v>
      </c>
      <c r="E2649" s="570">
        <v>5</v>
      </c>
      <c r="F2649" s="571" t="s">
        <v>221</v>
      </c>
      <c r="G2649" s="569" t="s">
        <v>207</v>
      </c>
      <c r="H2649" s="569" t="s">
        <v>212</v>
      </c>
      <c r="I2649" s="572">
        <v>0</v>
      </c>
    </row>
    <row r="2650" spans="1:9" ht="16" x14ac:dyDescent="0.2">
      <c r="A2650" s="561">
        <v>46117</v>
      </c>
      <c r="B2650" s="562">
        <v>2026</v>
      </c>
      <c r="C2650" s="563">
        <v>4</v>
      </c>
      <c r="D2650" s="564">
        <v>14</v>
      </c>
      <c r="E2650" s="564">
        <v>5</v>
      </c>
      <c r="F2650" s="565" t="s">
        <v>222</v>
      </c>
      <c r="G2650" s="563" t="s">
        <v>207</v>
      </c>
      <c r="H2650" s="563" t="s">
        <v>212</v>
      </c>
      <c r="I2650" s="566">
        <v>0</v>
      </c>
    </row>
    <row r="2651" spans="1:9" ht="16" x14ac:dyDescent="0.2">
      <c r="A2651" s="567">
        <v>46117</v>
      </c>
      <c r="B2651" s="568">
        <v>2026</v>
      </c>
      <c r="C2651" s="569">
        <v>4</v>
      </c>
      <c r="D2651" s="570">
        <v>14</v>
      </c>
      <c r="E2651" s="570">
        <v>5</v>
      </c>
      <c r="F2651" s="571" t="s">
        <v>223</v>
      </c>
      <c r="G2651" s="569" t="s">
        <v>207</v>
      </c>
      <c r="H2651" s="569" t="s">
        <v>212</v>
      </c>
      <c r="I2651" s="572">
        <v>0</v>
      </c>
    </row>
    <row r="2652" spans="1:9" ht="16" x14ac:dyDescent="0.2">
      <c r="A2652" s="561">
        <v>46117</v>
      </c>
      <c r="B2652" s="562">
        <v>2026</v>
      </c>
      <c r="C2652" s="563">
        <v>4</v>
      </c>
      <c r="D2652" s="564">
        <v>14</v>
      </c>
      <c r="E2652" s="564">
        <v>5</v>
      </c>
      <c r="F2652" s="565" t="s">
        <v>219</v>
      </c>
      <c r="G2652" s="563" t="s">
        <v>11</v>
      </c>
      <c r="H2652" s="563" t="s">
        <v>212</v>
      </c>
      <c r="I2652" s="566">
        <v>0</v>
      </c>
    </row>
    <row r="2653" spans="1:9" ht="16" x14ac:dyDescent="0.2">
      <c r="A2653" s="567">
        <v>46117</v>
      </c>
      <c r="B2653" s="568">
        <v>2026</v>
      </c>
      <c r="C2653" s="569">
        <v>4</v>
      </c>
      <c r="D2653" s="570">
        <v>14</v>
      </c>
      <c r="E2653" s="570">
        <v>5</v>
      </c>
      <c r="F2653" s="571" t="s">
        <v>19</v>
      </c>
      <c r="G2653" s="569" t="s">
        <v>19</v>
      </c>
      <c r="H2653" s="569" t="s">
        <v>214</v>
      </c>
      <c r="I2653" s="572">
        <v>11467656000</v>
      </c>
    </row>
    <row r="2654" spans="1:9" ht="16" x14ac:dyDescent="0.2">
      <c r="A2654" s="561">
        <v>46117</v>
      </c>
      <c r="B2654" s="562">
        <v>2026</v>
      </c>
      <c r="C2654" s="563">
        <v>4</v>
      </c>
      <c r="D2654" s="564">
        <v>14</v>
      </c>
      <c r="E2654" s="564">
        <v>5</v>
      </c>
      <c r="F2654" s="565" t="s">
        <v>62</v>
      </c>
      <c r="G2654" s="563" t="s">
        <v>62</v>
      </c>
      <c r="H2654" s="563" t="s">
        <v>216</v>
      </c>
      <c r="I2654" s="566">
        <v>468020802</v>
      </c>
    </row>
    <row r="2655" spans="1:9" ht="16" x14ac:dyDescent="0.2">
      <c r="A2655" s="567">
        <v>46117</v>
      </c>
      <c r="B2655" s="568">
        <v>2026</v>
      </c>
      <c r="C2655" s="569">
        <v>4</v>
      </c>
      <c r="D2655" s="570">
        <v>14</v>
      </c>
      <c r="E2655" s="570">
        <v>5</v>
      </c>
      <c r="F2655" s="571" t="s">
        <v>58</v>
      </c>
      <c r="G2655" s="569" t="s">
        <v>58</v>
      </c>
      <c r="H2655" s="569" t="s">
        <v>212</v>
      </c>
      <c r="I2655" s="572">
        <v>21000000</v>
      </c>
    </row>
    <row r="2656" spans="1:9" ht="16" x14ac:dyDescent="0.2">
      <c r="A2656" s="561">
        <v>46117</v>
      </c>
      <c r="B2656" s="562">
        <v>2026</v>
      </c>
      <c r="C2656" s="563">
        <v>4</v>
      </c>
      <c r="D2656" s="564">
        <v>14</v>
      </c>
      <c r="E2656" s="564">
        <v>5</v>
      </c>
      <c r="F2656" s="565" t="s">
        <v>61</v>
      </c>
      <c r="G2656" s="563" t="s">
        <v>61</v>
      </c>
      <c r="H2656" s="563" t="s">
        <v>214</v>
      </c>
      <c r="I2656" s="566">
        <v>97000000</v>
      </c>
    </row>
    <row r="2657" spans="1:9" ht="16" x14ac:dyDescent="0.2">
      <c r="A2657" s="567">
        <v>46117</v>
      </c>
      <c r="B2657" s="568">
        <v>2026</v>
      </c>
      <c r="C2657" s="569">
        <v>4</v>
      </c>
      <c r="D2657" s="570">
        <v>14</v>
      </c>
      <c r="E2657" s="570">
        <v>5</v>
      </c>
      <c r="F2657" s="571" t="s">
        <v>57</v>
      </c>
      <c r="G2657" s="569" t="s">
        <v>57</v>
      </c>
      <c r="H2657" s="569" t="s">
        <v>212</v>
      </c>
      <c r="I2657" s="572">
        <v>871700000</v>
      </c>
    </row>
    <row r="2658" spans="1:9" ht="16" x14ac:dyDescent="0.2">
      <c r="A2658" s="561">
        <v>46117</v>
      </c>
      <c r="B2658" s="562">
        <v>2026</v>
      </c>
      <c r="C2658" s="563">
        <v>4</v>
      </c>
      <c r="D2658" s="564">
        <v>14</v>
      </c>
      <c r="E2658" s="564">
        <v>5</v>
      </c>
      <c r="F2658" s="565" t="s">
        <v>63</v>
      </c>
      <c r="G2658" s="563" t="s">
        <v>63</v>
      </c>
      <c r="H2658" s="563" t="s">
        <v>214</v>
      </c>
      <c r="I2658" s="566">
        <v>417204000</v>
      </c>
    </row>
    <row r="2659" spans="1:9" ht="16" x14ac:dyDescent="0.2">
      <c r="A2659" s="567">
        <v>46117</v>
      </c>
      <c r="B2659" s="568">
        <v>2026</v>
      </c>
      <c r="C2659" s="569">
        <v>4</v>
      </c>
      <c r="D2659" s="570">
        <v>14</v>
      </c>
      <c r="E2659" s="570">
        <v>5</v>
      </c>
      <c r="F2659" s="571" t="s">
        <v>59</v>
      </c>
      <c r="G2659" s="569" t="s">
        <v>59</v>
      </c>
      <c r="H2659" s="569" t="s">
        <v>216</v>
      </c>
      <c r="I2659" s="572">
        <v>967608584</v>
      </c>
    </row>
    <row r="2660" spans="1:9" ht="16" x14ac:dyDescent="0.2">
      <c r="A2660" s="561">
        <v>46117</v>
      </c>
      <c r="B2660" s="562">
        <v>2026</v>
      </c>
      <c r="C2660" s="563">
        <v>4</v>
      </c>
      <c r="D2660" s="564">
        <v>14</v>
      </c>
      <c r="E2660" s="564">
        <v>5</v>
      </c>
      <c r="F2660" s="565" t="s">
        <v>31</v>
      </c>
      <c r="G2660" s="563" t="s">
        <v>175</v>
      </c>
      <c r="H2660" s="563" t="s">
        <v>212</v>
      </c>
      <c r="I2660" s="566">
        <v>6031250000</v>
      </c>
    </row>
    <row r="2661" spans="1:9" ht="16" x14ac:dyDescent="0.2">
      <c r="A2661" s="567">
        <v>46117</v>
      </c>
      <c r="B2661" s="568">
        <v>2026</v>
      </c>
      <c r="C2661" s="569">
        <v>4</v>
      </c>
      <c r="D2661" s="570">
        <v>14</v>
      </c>
      <c r="E2661" s="570">
        <v>5</v>
      </c>
      <c r="F2661" s="571" t="s">
        <v>234</v>
      </c>
      <c r="G2661" s="569" t="s">
        <v>210</v>
      </c>
      <c r="H2661" s="569" t="s">
        <v>214</v>
      </c>
      <c r="I2661" s="572">
        <v>0</v>
      </c>
    </row>
    <row r="2662" spans="1:9" ht="16" x14ac:dyDescent="0.2">
      <c r="A2662" s="561">
        <v>46118</v>
      </c>
      <c r="B2662" s="562">
        <v>2026</v>
      </c>
      <c r="C2662" s="563">
        <v>4</v>
      </c>
      <c r="D2662" s="564">
        <v>15</v>
      </c>
      <c r="E2662" s="564">
        <v>6</v>
      </c>
      <c r="F2662" s="565" t="s">
        <v>65</v>
      </c>
      <c r="G2662" s="563" t="s">
        <v>65</v>
      </c>
      <c r="H2662" s="563" t="s">
        <v>212</v>
      </c>
      <c r="I2662" s="573">
        <v>789650000</v>
      </c>
    </row>
    <row r="2663" spans="1:9" ht="16" x14ac:dyDescent="0.2">
      <c r="A2663" s="567">
        <v>46118</v>
      </c>
      <c r="B2663" s="568">
        <v>2026</v>
      </c>
      <c r="C2663" s="569">
        <v>4</v>
      </c>
      <c r="D2663" s="570">
        <v>15</v>
      </c>
      <c r="E2663" s="570">
        <v>6</v>
      </c>
      <c r="F2663" s="571" t="s">
        <v>66</v>
      </c>
      <c r="G2663" s="569" t="s">
        <v>66</v>
      </c>
      <c r="H2663" s="569" t="s">
        <v>216</v>
      </c>
      <c r="I2663" s="574">
        <v>362846492</v>
      </c>
    </row>
    <row r="2664" spans="1:9" ht="16" x14ac:dyDescent="0.2">
      <c r="A2664" s="561">
        <v>46118</v>
      </c>
      <c r="B2664" s="562">
        <v>2026</v>
      </c>
      <c r="C2664" s="563">
        <v>4</v>
      </c>
      <c r="D2664" s="564">
        <v>15</v>
      </c>
      <c r="E2664" s="564">
        <v>6</v>
      </c>
      <c r="F2664" s="565" t="s">
        <v>24</v>
      </c>
      <c r="G2664" s="563" t="s">
        <v>24</v>
      </c>
      <c r="H2664" s="563" t="s">
        <v>212</v>
      </c>
      <c r="I2664" s="573">
        <v>18506700000</v>
      </c>
    </row>
    <row r="2665" spans="1:9" ht="16" x14ac:dyDescent="0.2">
      <c r="A2665" s="567">
        <v>46118</v>
      </c>
      <c r="B2665" s="568">
        <v>2026</v>
      </c>
      <c r="C2665" s="569">
        <v>4</v>
      </c>
      <c r="D2665" s="570">
        <v>15</v>
      </c>
      <c r="E2665" s="570">
        <v>6</v>
      </c>
      <c r="F2665" s="571" t="s">
        <v>67</v>
      </c>
      <c r="G2665" s="569" t="s">
        <v>67</v>
      </c>
      <c r="H2665" s="569" t="s">
        <v>213</v>
      </c>
      <c r="I2665" s="574">
        <v>2081988827</v>
      </c>
    </row>
    <row r="2666" spans="1:9" ht="16" x14ac:dyDescent="0.2">
      <c r="A2666" s="561">
        <v>46118</v>
      </c>
      <c r="B2666" s="562">
        <v>2026</v>
      </c>
      <c r="C2666" s="563">
        <v>4</v>
      </c>
      <c r="D2666" s="564">
        <v>15</v>
      </c>
      <c r="E2666" s="564">
        <v>6</v>
      </c>
      <c r="F2666" s="565" t="s">
        <v>28</v>
      </c>
      <c r="G2666" s="563" t="s">
        <v>28</v>
      </c>
      <c r="H2666" s="563" t="s">
        <v>214</v>
      </c>
      <c r="I2666" s="573">
        <v>14511960000</v>
      </c>
    </row>
    <row r="2667" spans="1:9" ht="16" x14ac:dyDescent="0.2">
      <c r="A2667" s="567">
        <v>46118</v>
      </c>
      <c r="B2667" s="568">
        <v>2026</v>
      </c>
      <c r="C2667" s="569">
        <v>4</v>
      </c>
      <c r="D2667" s="570">
        <v>15</v>
      </c>
      <c r="E2667" s="570">
        <v>6</v>
      </c>
      <c r="F2667" s="571" t="s">
        <v>208</v>
      </c>
      <c r="G2667" s="569" t="s">
        <v>208</v>
      </c>
      <c r="H2667" s="569" t="s">
        <v>216</v>
      </c>
      <c r="I2667" s="574">
        <v>0</v>
      </c>
    </row>
    <row r="2668" spans="1:9" ht="16" x14ac:dyDescent="0.2">
      <c r="A2668" s="561">
        <v>46118</v>
      </c>
      <c r="B2668" s="562">
        <v>2026</v>
      </c>
      <c r="C2668" s="563">
        <v>4</v>
      </c>
      <c r="D2668" s="564">
        <v>15</v>
      </c>
      <c r="E2668" s="564">
        <v>6</v>
      </c>
      <c r="F2668" s="565" t="s">
        <v>60</v>
      </c>
      <c r="G2668" s="563" t="s">
        <v>60</v>
      </c>
      <c r="H2668" s="563" t="s">
        <v>212</v>
      </c>
      <c r="I2668" s="573">
        <v>0</v>
      </c>
    </row>
    <row r="2669" spans="1:9" ht="16" x14ac:dyDescent="0.2">
      <c r="A2669" s="567">
        <v>46118</v>
      </c>
      <c r="B2669" s="568">
        <v>2026</v>
      </c>
      <c r="C2669" s="569">
        <v>4</v>
      </c>
      <c r="D2669" s="570">
        <v>15</v>
      </c>
      <c r="E2669" s="570">
        <v>6</v>
      </c>
      <c r="F2669" s="571" t="s">
        <v>36</v>
      </c>
      <c r="G2669" s="569" t="s">
        <v>36</v>
      </c>
      <c r="H2669" s="569" t="s">
        <v>212</v>
      </c>
      <c r="I2669" s="574">
        <v>2560610000</v>
      </c>
    </row>
    <row r="2670" spans="1:9" ht="16" x14ac:dyDescent="0.2">
      <c r="A2670" s="561">
        <v>46118</v>
      </c>
      <c r="B2670" s="562">
        <v>2026</v>
      </c>
      <c r="C2670" s="563">
        <v>4</v>
      </c>
      <c r="D2670" s="564">
        <v>15</v>
      </c>
      <c r="E2670" s="564">
        <v>6</v>
      </c>
      <c r="F2670" s="565" t="s">
        <v>55</v>
      </c>
      <c r="G2670" s="563" t="s">
        <v>36</v>
      </c>
      <c r="H2670" s="563" t="s">
        <v>212</v>
      </c>
      <c r="I2670" s="573">
        <v>1214350000</v>
      </c>
    </row>
    <row r="2671" spans="1:9" ht="16" x14ac:dyDescent="0.2">
      <c r="A2671" s="567">
        <v>46118</v>
      </c>
      <c r="B2671" s="568">
        <v>2026</v>
      </c>
      <c r="C2671" s="569">
        <v>4</v>
      </c>
      <c r="D2671" s="570">
        <v>15</v>
      </c>
      <c r="E2671" s="570">
        <v>6</v>
      </c>
      <c r="F2671" s="571" t="s">
        <v>176</v>
      </c>
      <c r="G2671" s="569" t="s">
        <v>176</v>
      </c>
      <c r="H2671" s="569" t="s">
        <v>216</v>
      </c>
      <c r="I2671" s="574">
        <v>13639216</v>
      </c>
    </row>
    <row r="2672" spans="1:9" ht="16" x14ac:dyDescent="0.2">
      <c r="A2672" s="561">
        <v>46118</v>
      </c>
      <c r="B2672" s="562">
        <v>2026</v>
      </c>
      <c r="C2672" s="563">
        <v>4</v>
      </c>
      <c r="D2672" s="564">
        <v>15</v>
      </c>
      <c r="E2672" s="564">
        <v>6</v>
      </c>
      <c r="F2672" s="565" t="s">
        <v>39</v>
      </c>
      <c r="G2672" s="563" t="s">
        <v>176</v>
      </c>
      <c r="H2672" s="563" t="s">
        <v>216</v>
      </c>
      <c r="I2672" s="573">
        <v>1231822499</v>
      </c>
    </row>
    <row r="2673" spans="1:9" ht="16" x14ac:dyDescent="0.2">
      <c r="A2673" s="567">
        <v>46118</v>
      </c>
      <c r="B2673" s="568">
        <v>2026</v>
      </c>
      <c r="C2673" s="569">
        <v>4</v>
      </c>
      <c r="D2673" s="570">
        <v>15</v>
      </c>
      <c r="E2673" s="570">
        <v>6</v>
      </c>
      <c r="F2673" s="571" t="s">
        <v>206</v>
      </c>
      <c r="G2673" s="569" t="s">
        <v>206</v>
      </c>
      <c r="H2673" s="569" t="s">
        <v>212</v>
      </c>
      <c r="I2673" s="574">
        <v>0</v>
      </c>
    </row>
    <row r="2674" spans="1:9" ht="16" x14ac:dyDescent="0.2">
      <c r="A2674" s="561">
        <v>46118</v>
      </c>
      <c r="B2674" s="562">
        <v>2026</v>
      </c>
      <c r="C2674" s="563">
        <v>4</v>
      </c>
      <c r="D2674" s="564">
        <v>15</v>
      </c>
      <c r="E2674" s="564">
        <v>6</v>
      </c>
      <c r="F2674" s="565" t="s">
        <v>64</v>
      </c>
      <c r="G2674" s="563" t="s">
        <v>209</v>
      </c>
      <c r="H2674" s="563" t="s">
        <v>212</v>
      </c>
      <c r="I2674" s="573">
        <v>41250000</v>
      </c>
    </row>
    <row r="2675" spans="1:9" ht="16" x14ac:dyDescent="0.2">
      <c r="A2675" s="567">
        <v>46118</v>
      </c>
      <c r="B2675" s="568">
        <v>2026</v>
      </c>
      <c r="C2675" s="569">
        <v>4</v>
      </c>
      <c r="D2675" s="570">
        <v>15</v>
      </c>
      <c r="E2675" s="570">
        <v>6</v>
      </c>
      <c r="F2675" s="571" t="s">
        <v>237</v>
      </c>
      <c r="G2675" s="569" t="s">
        <v>209</v>
      </c>
      <c r="H2675" s="569" t="s">
        <v>212</v>
      </c>
      <c r="I2675" s="574">
        <v>81000000</v>
      </c>
    </row>
    <row r="2676" spans="1:9" ht="16" x14ac:dyDescent="0.2">
      <c r="A2676" s="561">
        <v>46118</v>
      </c>
      <c r="B2676" s="562">
        <v>2026</v>
      </c>
      <c r="C2676" s="563">
        <v>4</v>
      </c>
      <c r="D2676" s="564">
        <v>15</v>
      </c>
      <c r="E2676" s="564">
        <v>6</v>
      </c>
      <c r="F2676" s="565" t="s">
        <v>11</v>
      </c>
      <c r="G2676" s="563" t="s">
        <v>11</v>
      </c>
      <c r="H2676" s="563" t="s">
        <v>212</v>
      </c>
      <c r="I2676" s="573">
        <v>16524910000</v>
      </c>
    </row>
    <row r="2677" spans="1:9" ht="16" x14ac:dyDescent="0.2">
      <c r="A2677" s="567">
        <v>46118</v>
      </c>
      <c r="B2677" s="568">
        <v>2026</v>
      </c>
      <c r="C2677" s="569">
        <v>4</v>
      </c>
      <c r="D2677" s="570">
        <v>15</v>
      </c>
      <c r="E2677" s="570">
        <v>6</v>
      </c>
      <c r="F2677" s="571" t="s">
        <v>221</v>
      </c>
      <c r="G2677" s="569" t="s">
        <v>207</v>
      </c>
      <c r="H2677" s="569" t="s">
        <v>212</v>
      </c>
      <c r="I2677" s="574">
        <v>0</v>
      </c>
    </row>
    <row r="2678" spans="1:9" ht="16" x14ac:dyDescent="0.2">
      <c r="A2678" s="561">
        <v>46118</v>
      </c>
      <c r="B2678" s="562">
        <v>2026</v>
      </c>
      <c r="C2678" s="563">
        <v>4</v>
      </c>
      <c r="D2678" s="564">
        <v>15</v>
      </c>
      <c r="E2678" s="564">
        <v>6</v>
      </c>
      <c r="F2678" s="565" t="s">
        <v>222</v>
      </c>
      <c r="G2678" s="563" t="s">
        <v>207</v>
      </c>
      <c r="H2678" s="563" t="s">
        <v>212</v>
      </c>
      <c r="I2678" s="573">
        <v>0</v>
      </c>
    </row>
    <row r="2679" spans="1:9" ht="16" x14ac:dyDescent="0.2">
      <c r="A2679" s="567">
        <v>46118</v>
      </c>
      <c r="B2679" s="568">
        <v>2026</v>
      </c>
      <c r="C2679" s="569">
        <v>4</v>
      </c>
      <c r="D2679" s="570">
        <v>15</v>
      </c>
      <c r="E2679" s="570">
        <v>6</v>
      </c>
      <c r="F2679" s="571" t="s">
        <v>223</v>
      </c>
      <c r="G2679" s="569" t="s">
        <v>207</v>
      </c>
      <c r="H2679" s="569" t="s">
        <v>212</v>
      </c>
      <c r="I2679" s="574">
        <v>0</v>
      </c>
    </row>
    <row r="2680" spans="1:9" ht="16" x14ac:dyDescent="0.2">
      <c r="A2680" s="561">
        <v>46118</v>
      </c>
      <c r="B2680" s="562">
        <v>2026</v>
      </c>
      <c r="C2680" s="563">
        <v>4</v>
      </c>
      <c r="D2680" s="564">
        <v>15</v>
      </c>
      <c r="E2680" s="564">
        <v>6</v>
      </c>
      <c r="F2680" s="565" t="s">
        <v>219</v>
      </c>
      <c r="G2680" s="563" t="s">
        <v>11</v>
      </c>
      <c r="H2680" s="563" t="s">
        <v>212</v>
      </c>
      <c r="I2680" s="573">
        <v>0</v>
      </c>
    </row>
    <row r="2681" spans="1:9" ht="16" x14ac:dyDescent="0.2">
      <c r="A2681" s="567">
        <v>46118</v>
      </c>
      <c r="B2681" s="568">
        <v>2026</v>
      </c>
      <c r="C2681" s="569">
        <v>4</v>
      </c>
      <c r="D2681" s="570">
        <v>15</v>
      </c>
      <c r="E2681" s="570">
        <v>6</v>
      </c>
      <c r="F2681" s="571" t="s">
        <v>19</v>
      </c>
      <c r="G2681" s="569" t="s">
        <v>19</v>
      </c>
      <c r="H2681" s="569" t="s">
        <v>214</v>
      </c>
      <c r="I2681" s="574">
        <v>10685088000</v>
      </c>
    </row>
    <row r="2682" spans="1:9" ht="16" x14ac:dyDescent="0.2">
      <c r="A2682" s="561">
        <v>46118</v>
      </c>
      <c r="B2682" s="562">
        <v>2026</v>
      </c>
      <c r="C2682" s="563">
        <v>4</v>
      </c>
      <c r="D2682" s="564">
        <v>15</v>
      </c>
      <c r="E2682" s="564">
        <v>6</v>
      </c>
      <c r="F2682" s="565" t="s">
        <v>62</v>
      </c>
      <c r="G2682" s="563" t="s">
        <v>62</v>
      </c>
      <c r="H2682" s="563" t="s">
        <v>216</v>
      </c>
      <c r="I2682" s="573">
        <v>413044188</v>
      </c>
    </row>
    <row r="2683" spans="1:9" ht="16" x14ac:dyDescent="0.2">
      <c r="A2683" s="567">
        <v>46118</v>
      </c>
      <c r="B2683" s="568">
        <v>2026</v>
      </c>
      <c r="C2683" s="569">
        <v>4</v>
      </c>
      <c r="D2683" s="570">
        <v>15</v>
      </c>
      <c r="E2683" s="570">
        <v>6</v>
      </c>
      <c r="F2683" s="571" t="s">
        <v>58</v>
      </c>
      <c r="G2683" s="569" t="s">
        <v>58</v>
      </c>
      <c r="H2683" s="569" t="s">
        <v>212</v>
      </c>
      <c r="I2683" s="574">
        <v>31500000</v>
      </c>
    </row>
    <row r="2684" spans="1:9" ht="16" x14ac:dyDescent="0.2">
      <c r="A2684" s="561">
        <v>46118</v>
      </c>
      <c r="B2684" s="562">
        <v>2026</v>
      </c>
      <c r="C2684" s="563">
        <v>4</v>
      </c>
      <c r="D2684" s="564">
        <v>15</v>
      </c>
      <c r="E2684" s="564">
        <v>6</v>
      </c>
      <c r="F2684" s="565" t="s">
        <v>61</v>
      </c>
      <c r="G2684" s="563" t="s">
        <v>61</v>
      </c>
      <c r="H2684" s="563" t="s">
        <v>214</v>
      </c>
      <c r="I2684" s="573">
        <v>60000000</v>
      </c>
    </row>
    <row r="2685" spans="1:9" ht="16" x14ac:dyDescent="0.2">
      <c r="A2685" s="567">
        <v>46118</v>
      </c>
      <c r="B2685" s="568">
        <v>2026</v>
      </c>
      <c r="C2685" s="569">
        <v>4</v>
      </c>
      <c r="D2685" s="570">
        <v>15</v>
      </c>
      <c r="E2685" s="570">
        <v>6</v>
      </c>
      <c r="F2685" s="571" t="s">
        <v>57</v>
      </c>
      <c r="G2685" s="569" t="s">
        <v>57</v>
      </c>
      <c r="H2685" s="569" t="s">
        <v>212</v>
      </c>
      <c r="I2685" s="574">
        <v>884770000</v>
      </c>
    </row>
    <row r="2686" spans="1:9" ht="16" x14ac:dyDescent="0.2">
      <c r="A2686" s="561">
        <v>46118</v>
      </c>
      <c r="B2686" s="562">
        <v>2026</v>
      </c>
      <c r="C2686" s="563">
        <v>4</v>
      </c>
      <c r="D2686" s="564">
        <v>15</v>
      </c>
      <c r="E2686" s="564">
        <v>6</v>
      </c>
      <c r="F2686" s="565" t="s">
        <v>63</v>
      </c>
      <c r="G2686" s="563" t="s">
        <v>63</v>
      </c>
      <c r="H2686" s="563" t="s">
        <v>214</v>
      </c>
      <c r="I2686" s="573">
        <v>345492000</v>
      </c>
    </row>
    <row r="2687" spans="1:9" ht="16" x14ac:dyDescent="0.2">
      <c r="A2687" s="567">
        <v>46118</v>
      </c>
      <c r="B2687" s="568">
        <v>2026</v>
      </c>
      <c r="C2687" s="569">
        <v>4</v>
      </c>
      <c r="D2687" s="570">
        <v>15</v>
      </c>
      <c r="E2687" s="570">
        <v>6</v>
      </c>
      <c r="F2687" s="571" t="s">
        <v>59</v>
      </c>
      <c r="G2687" s="569" t="s">
        <v>59</v>
      </c>
      <c r="H2687" s="569" t="s">
        <v>216</v>
      </c>
      <c r="I2687" s="574">
        <v>639747115</v>
      </c>
    </row>
    <row r="2688" spans="1:9" ht="16" x14ac:dyDescent="0.2">
      <c r="A2688" s="561">
        <v>46118</v>
      </c>
      <c r="B2688" s="562">
        <v>2026</v>
      </c>
      <c r="C2688" s="563">
        <v>4</v>
      </c>
      <c r="D2688" s="564">
        <v>15</v>
      </c>
      <c r="E2688" s="564">
        <v>6</v>
      </c>
      <c r="F2688" s="565" t="s">
        <v>31</v>
      </c>
      <c r="G2688" s="563" t="s">
        <v>175</v>
      </c>
      <c r="H2688" s="563" t="s">
        <v>212</v>
      </c>
      <c r="I2688" s="573">
        <v>7145550000</v>
      </c>
    </row>
    <row r="2689" spans="1:9" ht="16" x14ac:dyDescent="0.2">
      <c r="A2689" s="567">
        <v>46118</v>
      </c>
      <c r="B2689" s="568">
        <v>2026</v>
      </c>
      <c r="C2689" s="569">
        <v>4</v>
      </c>
      <c r="D2689" s="570">
        <v>15</v>
      </c>
      <c r="E2689" s="570">
        <v>6</v>
      </c>
      <c r="F2689" s="571" t="s">
        <v>234</v>
      </c>
      <c r="G2689" s="569" t="s">
        <v>210</v>
      </c>
      <c r="H2689" s="569" t="s">
        <v>214</v>
      </c>
      <c r="I2689" s="574">
        <v>3240000</v>
      </c>
    </row>
    <row r="2690" spans="1:9" ht="16" x14ac:dyDescent="0.2">
      <c r="A2690" s="561">
        <v>46119</v>
      </c>
      <c r="B2690" s="562">
        <v>2026</v>
      </c>
      <c r="C2690" s="563">
        <v>4</v>
      </c>
      <c r="D2690" s="564">
        <v>15</v>
      </c>
      <c r="E2690" s="564">
        <v>7</v>
      </c>
      <c r="F2690" s="565" t="s">
        <v>65</v>
      </c>
      <c r="G2690" s="563" t="s">
        <v>65</v>
      </c>
      <c r="H2690" s="563" t="s">
        <v>212</v>
      </c>
      <c r="I2690" s="573">
        <v>803500000</v>
      </c>
    </row>
    <row r="2691" spans="1:9" ht="16" x14ac:dyDescent="0.2">
      <c r="A2691" s="567">
        <v>46119</v>
      </c>
      <c r="B2691" s="568">
        <v>2026</v>
      </c>
      <c r="C2691" s="569">
        <v>4</v>
      </c>
      <c r="D2691" s="570">
        <v>15</v>
      </c>
      <c r="E2691" s="570">
        <v>7</v>
      </c>
      <c r="F2691" s="571" t="s">
        <v>66</v>
      </c>
      <c r="G2691" s="569" t="s">
        <v>66</v>
      </c>
      <c r="H2691" s="569" t="s">
        <v>216</v>
      </c>
      <c r="I2691" s="574">
        <v>323742554</v>
      </c>
    </row>
    <row r="2692" spans="1:9" ht="16" x14ac:dyDescent="0.2">
      <c r="A2692" s="561">
        <v>46119</v>
      </c>
      <c r="B2692" s="562">
        <v>2026</v>
      </c>
      <c r="C2692" s="563">
        <v>4</v>
      </c>
      <c r="D2692" s="564">
        <v>15</v>
      </c>
      <c r="E2692" s="564">
        <v>7</v>
      </c>
      <c r="F2692" s="565" t="s">
        <v>24</v>
      </c>
      <c r="G2692" s="563" t="s">
        <v>24</v>
      </c>
      <c r="H2692" s="563" t="s">
        <v>212</v>
      </c>
      <c r="I2692" s="573">
        <v>16980340000</v>
      </c>
    </row>
    <row r="2693" spans="1:9" ht="16" x14ac:dyDescent="0.2">
      <c r="A2693" s="567">
        <v>46119</v>
      </c>
      <c r="B2693" s="568">
        <v>2026</v>
      </c>
      <c r="C2693" s="569">
        <v>4</v>
      </c>
      <c r="D2693" s="570">
        <v>15</v>
      </c>
      <c r="E2693" s="570">
        <v>7</v>
      </c>
      <c r="F2693" s="571" t="s">
        <v>67</v>
      </c>
      <c r="G2693" s="569" t="s">
        <v>67</v>
      </c>
      <c r="H2693" s="569" t="s">
        <v>213</v>
      </c>
      <c r="I2693" s="574">
        <v>1734498184</v>
      </c>
    </row>
    <row r="2694" spans="1:9" ht="16" x14ac:dyDescent="0.2">
      <c r="A2694" s="561">
        <v>46119</v>
      </c>
      <c r="B2694" s="562">
        <v>2026</v>
      </c>
      <c r="C2694" s="563">
        <v>4</v>
      </c>
      <c r="D2694" s="564">
        <v>15</v>
      </c>
      <c r="E2694" s="564">
        <v>7</v>
      </c>
      <c r="F2694" s="565" t="s">
        <v>28</v>
      </c>
      <c r="G2694" s="563" t="s">
        <v>28</v>
      </c>
      <c r="H2694" s="563" t="s">
        <v>214</v>
      </c>
      <c r="I2694" s="573">
        <v>14266584000</v>
      </c>
    </row>
    <row r="2695" spans="1:9" ht="16" x14ac:dyDescent="0.2">
      <c r="A2695" s="567">
        <v>46119</v>
      </c>
      <c r="B2695" s="568">
        <v>2026</v>
      </c>
      <c r="C2695" s="569">
        <v>4</v>
      </c>
      <c r="D2695" s="570">
        <v>15</v>
      </c>
      <c r="E2695" s="570">
        <v>7</v>
      </c>
      <c r="F2695" s="571" t="s">
        <v>208</v>
      </c>
      <c r="G2695" s="569" t="s">
        <v>208</v>
      </c>
      <c r="H2695" s="569" t="s">
        <v>216</v>
      </c>
      <c r="I2695" s="574">
        <v>0</v>
      </c>
    </row>
    <row r="2696" spans="1:9" ht="16" x14ac:dyDescent="0.2">
      <c r="A2696" s="561">
        <v>46119</v>
      </c>
      <c r="B2696" s="562">
        <v>2026</v>
      </c>
      <c r="C2696" s="563">
        <v>4</v>
      </c>
      <c r="D2696" s="564">
        <v>15</v>
      </c>
      <c r="E2696" s="564">
        <v>7</v>
      </c>
      <c r="F2696" s="565" t="s">
        <v>60</v>
      </c>
      <c r="G2696" s="563" t="s">
        <v>60</v>
      </c>
      <c r="H2696" s="563" t="s">
        <v>212</v>
      </c>
      <c r="I2696" s="573">
        <v>170000000</v>
      </c>
    </row>
    <row r="2697" spans="1:9" ht="16" x14ac:dyDescent="0.2">
      <c r="A2697" s="567">
        <v>46119</v>
      </c>
      <c r="B2697" s="568">
        <v>2026</v>
      </c>
      <c r="C2697" s="569">
        <v>4</v>
      </c>
      <c r="D2697" s="570">
        <v>15</v>
      </c>
      <c r="E2697" s="570">
        <v>7</v>
      </c>
      <c r="F2697" s="571" t="s">
        <v>36</v>
      </c>
      <c r="G2697" s="569" t="s">
        <v>36</v>
      </c>
      <c r="H2697" s="569" t="s">
        <v>212</v>
      </c>
      <c r="I2697" s="574">
        <v>2352120000</v>
      </c>
    </row>
    <row r="2698" spans="1:9" ht="16" x14ac:dyDescent="0.2">
      <c r="A2698" s="561">
        <v>46119</v>
      </c>
      <c r="B2698" s="562">
        <v>2026</v>
      </c>
      <c r="C2698" s="563">
        <v>4</v>
      </c>
      <c r="D2698" s="564">
        <v>15</v>
      </c>
      <c r="E2698" s="564">
        <v>7</v>
      </c>
      <c r="F2698" s="565" t="s">
        <v>55</v>
      </c>
      <c r="G2698" s="563" t="s">
        <v>36</v>
      </c>
      <c r="H2698" s="563" t="s">
        <v>212</v>
      </c>
      <c r="I2698" s="573">
        <v>1111890000</v>
      </c>
    </row>
    <row r="2699" spans="1:9" ht="16" x14ac:dyDescent="0.2">
      <c r="A2699" s="567">
        <v>46119</v>
      </c>
      <c r="B2699" s="568">
        <v>2026</v>
      </c>
      <c r="C2699" s="569">
        <v>4</v>
      </c>
      <c r="D2699" s="570">
        <v>15</v>
      </c>
      <c r="E2699" s="570">
        <v>7</v>
      </c>
      <c r="F2699" s="571" t="s">
        <v>176</v>
      </c>
      <c r="G2699" s="569" t="s">
        <v>176</v>
      </c>
      <c r="H2699" s="569" t="s">
        <v>216</v>
      </c>
      <c r="I2699" s="574">
        <v>8941124</v>
      </c>
    </row>
    <row r="2700" spans="1:9" ht="16" x14ac:dyDescent="0.2">
      <c r="A2700" s="561">
        <v>46119</v>
      </c>
      <c r="B2700" s="562">
        <v>2026</v>
      </c>
      <c r="C2700" s="563">
        <v>4</v>
      </c>
      <c r="D2700" s="564">
        <v>15</v>
      </c>
      <c r="E2700" s="564">
        <v>7</v>
      </c>
      <c r="F2700" s="565" t="s">
        <v>39</v>
      </c>
      <c r="G2700" s="563" t="s">
        <v>176</v>
      </c>
      <c r="H2700" s="563" t="s">
        <v>216</v>
      </c>
      <c r="I2700" s="573">
        <v>1133115086</v>
      </c>
    </row>
    <row r="2701" spans="1:9" ht="16" x14ac:dyDescent="0.2">
      <c r="A2701" s="567">
        <v>46119</v>
      </c>
      <c r="B2701" s="568">
        <v>2026</v>
      </c>
      <c r="C2701" s="569">
        <v>4</v>
      </c>
      <c r="D2701" s="570">
        <v>15</v>
      </c>
      <c r="E2701" s="570">
        <v>7</v>
      </c>
      <c r="F2701" s="571" t="s">
        <v>206</v>
      </c>
      <c r="G2701" s="569" t="s">
        <v>206</v>
      </c>
      <c r="H2701" s="569" t="s">
        <v>212</v>
      </c>
      <c r="I2701" s="574">
        <v>0</v>
      </c>
    </row>
    <row r="2702" spans="1:9" ht="16" x14ac:dyDescent="0.2">
      <c r="A2702" s="561">
        <v>46119</v>
      </c>
      <c r="B2702" s="562">
        <v>2026</v>
      </c>
      <c r="C2702" s="563">
        <v>4</v>
      </c>
      <c r="D2702" s="564">
        <v>15</v>
      </c>
      <c r="E2702" s="564">
        <v>7</v>
      </c>
      <c r="F2702" s="565" t="s">
        <v>64</v>
      </c>
      <c r="G2702" s="563" t="s">
        <v>209</v>
      </c>
      <c r="H2702" s="563" t="s">
        <v>212</v>
      </c>
      <c r="I2702" s="573">
        <v>35750000</v>
      </c>
    </row>
    <row r="2703" spans="1:9" ht="16" x14ac:dyDescent="0.2">
      <c r="A2703" s="567">
        <v>46119</v>
      </c>
      <c r="B2703" s="568">
        <v>2026</v>
      </c>
      <c r="C2703" s="569">
        <v>4</v>
      </c>
      <c r="D2703" s="570">
        <v>15</v>
      </c>
      <c r="E2703" s="570">
        <v>7</v>
      </c>
      <c r="F2703" s="571" t="s">
        <v>237</v>
      </c>
      <c r="G2703" s="569" t="s">
        <v>209</v>
      </c>
      <c r="H2703" s="569" t="s">
        <v>212</v>
      </c>
      <c r="I2703" s="574">
        <v>49000000</v>
      </c>
    </row>
    <row r="2704" spans="1:9" ht="16" x14ac:dyDescent="0.2">
      <c r="A2704" s="561">
        <v>46119</v>
      </c>
      <c r="B2704" s="562">
        <v>2026</v>
      </c>
      <c r="C2704" s="563">
        <v>4</v>
      </c>
      <c r="D2704" s="564">
        <v>15</v>
      </c>
      <c r="E2704" s="564">
        <v>7</v>
      </c>
      <c r="F2704" s="565" t="s">
        <v>11</v>
      </c>
      <c r="G2704" s="563" t="s">
        <v>11</v>
      </c>
      <c r="H2704" s="563" t="s">
        <v>212</v>
      </c>
      <c r="I2704" s="573">
        <v>15016120000</v>
      </c>
    </row>
    <row r="2705" spans="1:9" ht="16" x14ac:dyDescent="0.2">
      <c r="A2705" s="567">
        <v>46119</v>
      </c>
      <c r="B2705" s="568">
        <v>2026</v>
      </c>
      <c r="C2705" s="569">
        <v>4</v>
      </c>
      <c r="D2705" s="570">
        <v>15</v>
      </c>
      <c r="E2705" s="570">
        <v>7</v>
      </c>
      <c r="F2705" s="571" t="s">
        <v>221</v>
      </c>
      <c r="G2705" s="569" t="s">
        <v>207</v>
      </c>
      <c r="H2705" s="569" t="s">
        <v>212</v>
      </c>
      <c r="I2705" s="574">
        <v>0</v>
      </c>
    </row>
    <row r="2706" spans="1:9" ht="16" x14ac:dyDescent="0.2">
      <c r="A2706" s="561">
        <v>46119</v>
      </c>
      <c r="B2706" s="562">
        <v>2026</v>
      </c>
      <c r="C2706" s="563">
        <v>4</v>
      </c>
      <c r="D2706" s="564">
        <v>15</v>
      </c>
      <c r="E2706" s="564">
        <v>7</v>
      </c>
      <c r="F2706" s="565" t="s">
        <v>222</v>
      </c>
      <c r="G2706" s="563" t="s">
        <v>207</v>
      </c>
      <c r="H2706" s="563" t="s">
        <v>212</v>
      </c>
      <c r="I2706" s="573">
        <v>0</v>
      </c>
    </row>
    <row r="2707" spans="1:9" ht="16" x14ac:dyDescent="0.2">
      <c r="A2707" s="567">
        <v>46119</v>
      </c>
      <c r="B2707" s="568">
        <v>2026</v>
      </c>
      <c r="C2707" s="569">
        <v>4</v>
      </c>
      <c r="D2707" s="570">
        <v>15</v>
      </c>
      <c r="E2707" s="570">
        <v>7</v>
      </c>
      <c r="F2707" s="571" t="s">
        <v>223</v>
      </c>
      <c r="G2707" s="569" t="s">
        <v>207</v>
      </c>
      <c r="H2707" s="569" t="s">
        <v>212</v>
      </c>
      <c r="I2707" s="574">
        <v>0</v>
      </c>
    </row>
    <row r="2708" spans="1:9" ht="16" x14ac:dyDescent="0.2">
      <c r="A2708" s="561">
        <v>46119</v>
      </c>
      <c r="B2708" s="562">
        <v>2026</v>
      </c>
      <c r="C2708" s="563">
        <v>4</v>
      </c>
      <c r="D2708" s="564">
        <v>15</v>
      </c>
      <c r="E2708" s="564">
        <v>7</v>
      </c>
      <c r="F2708" s="565" t="s">
        <v>219</v>
      </c>
      <c r="G2708" s="563" t="s">
        <v>11</v>
      </c>
      <c r="H2708" s="563" t="s">
        <v>212</v>
      </c>
      <c r="I2708" s="573">
        <v>0</v>
      </c>
    </row>
    <row r="2709" spans="1:9" ht="16" x14ac:dyDescent="0.2">
      <c r="A2709" s="567">
        <v>46119</v>
      </c>
      <c r="B2709" s="568">
        <v>2026</v>
      </c>
      <c r="C2709" s="569">
        <v>4</v>
      </c>
      <c r="D2709" s="570">
        <v>15</v>
      </c>
      <c r="E2709" s="570">
        <v>7</v>
      </c>
      <c r="F2709" s="571" t="s">
        <v>19</v>
      </c>
      <c r="G2709" s="569" t="s">
        <v>19</v>
      </c>
      <c r="H2709" s="569" t="s">
        <v>214</v>
      </c>
      <c r="I2709" s="574">
        <v>10865772000</v>
      </c>
    </row>
    <row r="2710" spans="1:9" ht="16" x14ac:dyDescent="0.2">
      <c r="A2710" s="561">
        <v>46119</v>
      </c>
      <c r="B2710" s="562">
        <v>2026</v>
      </c>
      <c r="C2710" s="563">
        <v>4</v>
      </c>
      <c r="D2710" s="564">
        <v>15</v>
      </c>
      <c r="E2710" s="564">
        <v>7</v>
      </c>
      <c r="F2710" s="565" t="s">
        <v>62</v>
      </c>
      <c r="G2710" s="563" t="s">
        <v>62</v>
      </c>
      <c r="H2710" s="563" t="s">
        <v>216</v>
      </c>
      <c r="I2710" s="573">
        <v>326694706</v>
      </c>
    </row>
    <row r="2711" spans="1:9" ht="16" x14ac:dyDescent="0.2">
      <c r="A2711" s="567">
        <v>46119</v>
      </c>
      <c r="B2711" s="568">
        <v>2026</v>
      </c>
      <c r="C2711" s="569">
        <v>4</v>
      </c>
      <c r="D2711" s="570">
        <v>15</v>
      </c>
      <c r="E2711" s="570">
        <v>7</v>
      </c>
      <c r="F2711" s="571" t="s">
        <v>58</v>
      </c>
      <c r="G2711" s="569" t="s">
        <v>58</v>
      </c>
      <c r="H2711" s="569" t="s">
        <v>212</v>
      </c>
      <c r="I2711" s="574">
        <v>42000000</v>
      </c>
    </row>
    <row r="2712" spans="1:9" ht="16" x14ac:dyDescent="0.2">
      <c r="A2712" s="561">
        <v>46119</v>
      </c>
      <c r="B2712" s="562">
        <v>2026</v>
      </c>
      <c r="C2712" s="563">
        <v>4</v>
      </c>
      <c r="D2712" s="564">
        <v>15</v>
      </c>
      <c r="E2712" s="564">
        <v>7</v>
      </c>
      <c r="F2712" s="565" t="s">
        <v>61</v>
      </c>
      <c r="G2712" s="563" t="s">
        <v>61</v>
      </c>
      <c r="H2712" s="563" t="s">
        <v>214</v>
      </c>
      <c r="I2712" s="573">
        <v>47000000</v>
      </c>
    </row>
    <row r="2713" spans="1:9" ht="16" x14ac:dyDescent="0.2">
      <c r="A2713" s="567">
        <v>46119</v>
      </c>
      <c r="B2713" s="568">
        <v>2026</v>
      </c>
      <c r="C2713" s="569">
        <v>4</v>
      </c>
      <c r="D2713" s="570">
        <v>15</v>
      </c>
      <c r="E2713" s="570">
        <v>7</v>
      </c>
      <c r="F2713" s="571" t="s">
        <v>57</v>
      </c>
      <c r="G2713" s="569" t="s">
        <v>57</v>
      </c>
      <c r="H2713" s="569" t="s">
        <v>212</v>
      </c>
      <c r="I2713" s="574">
        <v>710300000</v>
      </c>
    </row>
    <row r="2714" spans="1:9" ht="16" x14ac:dyDescent="0.2">
      <c r="A2714" s="561">
        <v>46119</v>
      </c>
      <c r="B2714" s="562">
        <v>2026</v>
      </c>
      <c r="C2714" s="563">
        <v>4</v>
      </c>
      <c r="D2714" s="564">
        <v>15</v>
      </c>
      <c r="E2714" s="564">
        <v>7</v>
      </c>
      <c r="F2714" s="565" t="s">
        <v>63</v>
      </c>
      <c r="G2714" s="563" t="s">
        <v>63</v>
      </c>
      <c r="H2714" s="563" t="s">
        <v>214</v>
      </c>
      <c r="I2714" s="573">
        <v>403272000</v>
      </c>
    </row>
    <row r="2715" spans="1:9" ht="16" x14ac:dyDescent="0.2">
      <c r="A2715" s="567">
        <v>46119</v>
      </c>
      <c r="B2715" s="568">
        <v>2026</v>
      </c>
      <c r="C2715" s="569">
        <v>4</v>
      </c>
      <c r="D2715" s="570">
        <v>15</v>
      </c>
      <c r="E2715" s="570">
        <v>7</v>
      </c>
      <c r="F2715" s="571" t="s">
        <v>59</v>
      </c>
      <c r="G2715" s="569" t="s">
        <v>59</v>
      </c>
      <c r="H2715" s="569" t="s">
        <v>216</v>
      </c>
      <c r="I2715" s="574">
        <v>546232895</v>
      </c>
    </row>
    <row r="2716" spans="1:9" ht="16" x14ac:dyDescent="0.2">
      <c r="A2716" s="561">
        <v>46119</v>
      </c>
      <c r="B2716" s="562">
        <v>2026</v>
      </c>
      <c r="C2716" s="563">
        <v>4</v>
      </c>
      <c r="D2716" s="564">
        <v>15</v>
      </c>
      <c r="E2716" s="564">
        <v>7</v>
      </c>
      <c r="F2716" s="565" t="s">
        <v>31</v>
      </c>
      <c r="G2716" s="563" t="s">
        <v>175</v>
      </c>
      <c r="H2716" s="563" t="s">
        <v>212</v>
      </c>
      <c r="I2716" s="573">
        <v>6696150000</v>
      </c>
    </row>
    <row r="2717" spans="1:9" ht="16" x14ac:dyDescent="0.2">
      <c r="A2717" s="567">
        <v>46119</v>
      </c>
      <c r="B2717" s="568">
        <v>2026</v>
      </c>
      <c r="C2717" s="569">
        <v>4</v>
      </c>
      <c r="D2717" s="570">
        <v>15</v>
      </c>
      <c r="E2717" s="570">
        <v>7</v>
      </c>
      <c r="F2717" s="571" t="s">
        <v>234</v>
      </c>
      <c r="G2717" s="569" t="s">
        <v>210</v>
      </c>
      <c r="H2717" s="569" t="s">
        <v>214</v>
      </c>
      <c r="I2717" s="574">
        <v>4320000</v>
      </c>
    </row>
    <row r="2718" spans="1:9" ht="16" x14ac:dyDescent="0.2">
      <c r="A2718" s="561">
        <v>46120</v>
      </c>
      <c r="B2718" s="562">
        <v>2026</v>
      </c>
      <c r="C2718" s="563">
        <v>4</v>
      </c>
      <c r="D2718" s="564">
        <v>15</v>
      </c>
      <c r="E2718" s="564">
        <v>8</v>
      </c>
      <c r="F2718" s="565" t="s">
        <v>65</v>
      </c>
      <c r="G2718" s="563" t="s">
        <v>65</v>
      </c>
      <c r="H2718" s="563" t="s">
        <v>212</v>
      </c>
      <c r="I2718" s="573">
        <v>689210000</v>
      </c>
    </row>
    <row r="2719" spans="1:9" ht="16" x14ac:dyDescent="0.2">
      <c r="A2719" s="567">
        <v>46120</v>
      </c>
      <c r="B2719" s="568">
        <v>2026</v>
      </c>
      <c r="C2719" s="569">
        <v>4</v>
      </c>
      <c r="D2719" s="570">
        <v>15</v>
      </c>
      <c r="E2719" s="570">
        <v>8</v>
      </c>
      <c r="F2719" s="571" t="s">
        <v>66</v>
      </c>
      <c r="G2719" s="569" t="s">
        <v>66</v>
      </c>
      <c r="H2719" s="569" t="s">
        <v>216</v>
      </c>
      <c r="I2719" s="574">
        <v>331308932</v>
      </c>
    </row>
    <row r="2720" spans="1:9" ht="16" x14ac:dyDescent="0.2">
      <c r="A2720" s="561">
        <v>46120</v>
      </c>
      <c r="B2720" s="562">
        <v>2026</v>
      </c>
      <c r="C2720" s="563">
        <v>4</v>
      </c>
      <c r="D2720" s="564">
        <v>15</v>
      </c>
      <c r="E2720" s="564">
        <v>8</v>
      </c>
      <c r="F2720" s="565" t="s">
        <v>24</v>
      </c>
      <c r="G2720" s="563" t="s">
        <v>24</v>
      </c>
      <c r="H2720" s="563" t="s">
        <v>212</v>
      </c>
      <c r="I2720" s="573">
        <v>16108350000</v>
      </c>
    </row>
    <row r="2721" spans="1:9" ht="16" x14ac:dyDescent="0.2">
      <c r="A2721" s="567">
        <v>46120</v>
      </c>
      <c r="B2721" s="568">
        <v>2026</v>
      </c>
      <c r="C2721" s="569">
        <v>4</v>
      </c>
      <c r="D2721" s="570">
        <v>15</v>
      </c>
      <c r="E2721" s="570">
        <v>8</v>
      </c>
      <c r="F2721" s="571" t="s">
        <v>67</v>
      </c>
      <c r="G2721" s="569" t="s">
        <v>67</v>
      </c>
      <c r="H2721" s="569" t="s">
        <v>213</v>
      </c>
      <c r="I2721" s="574">
        <v>1698948013</v>
      </c>
    </row>
    <row r="2722" spans="1:9" ht="16" x14ac:dyDescent="0.2">
      <c r="A2722" s="561">
        <v>46120</v>
      </c>
      <c r="B2722" s="562">
        <v>2026</v>
      </c>
      <c r="C2722" s="563">
        <v>4</v>
      </c>
      <c r="D2722" s="564">
        <v>15</v>
      </c>
      <c r="E2722" s="564">
        <v>8</v>
      </c>
      <c r="F2722" s="565" t="s">
        <v>28</v>
      </c>
      <c r="G2722" s="563" t="s">
        <v>28</v>
      </c>
      <c r="H2722" s="563" t="s">
        <v>214</v>
      </c>
      <c r="I2722" s="573">
        <v>14246388000</v>
      </c>
    </row>
    <row r="2723" spans="1:9" ht="16" x14ac:dyDescent="0.2">
      <c r="A2723" s="567">
        <v>46120</v>
      </c>
      <c r="B2723" s="568">
        <v>2026</v>
      </c>
      <c r="C2723" s="569">
        <v>4</v>
      </c>
      <c r="D2723" s="570">
        <v>15</v>
      </c>
      <c r="E2723" s="570">
        <v>8</v>
      </c>
      <c r="F2723" s="571" t="s">
        <v>208</v>
      </c>
      <c r="G2723" s="569" t="s">
        <v>208</v>
      </c>
      <c r="H2723" s="569" t="s">
        <v>216</v>
      </c>
      <c r="I2723" s="574">
        <v>0</v>
      </c>
    </row>
    <row r="2724" spans="1:9" ht="16" x14ac:dyDescent="0.2">
      <c r="A2724" s="561">
        <v>46120</v>
      </c>
      <c r="B2724" s="562">
        <v>2026</v>
      </c>
      <c r="C2724" s="563">
        <v>4</v>
      </c>
      <c r="D2724" s="564">
        <v>15</v>
      </c>
      <c r="E2724" s="564">
        <v>8</v>
      </c>
      <c r="F2724" s="565" t="s">
        <v>60</v>
      </c>
      <c r="G2724" s="563" t="s">
        <v>60</v>
      </c>
      <c r="H2724" s="563" t="s">
        <v>212</v>
      </c>
      <c r="I2724" s="573">
        <v>0</v>
      </c>
    </row>
    <row r="2725" spans="1:9" ht="16" x14ac:dyDescent="0.2">
      <c r="A2725" s="567">
        <v>46120</v>
      </c>
      <c r="B2725" s="568">
        <v>2026</v>
      </c>
      <c r="C2725" s="569">
        <v>4</v>
      </c>
      <c r="D2725" s="570">
        <v>15</v>
      </c>
      <c r="E2725" s="570">
        <v>8</v>
      </c>
      <c r="F2725" s="571" t="s">
        <v>36</v>
      </c>
      <c r="G2725" s="569" t="s">
        <v>36</v>
      </c>
      <c r="H2725" s="569" t="s">
        <v>212</v>
      </c>
      <c r="I2725" s="574">
        <v>2533400000</v>
      </c>
    </row>
    <row r="2726" spans="1:9" ht="16" x14ac:dyDescent="0.2">
      <c r="A2726" s="561">
        <v>46120</v>
      </c>
      <c r="B2726" s="562">
        <v>2026</v>
      </c>
      <c r="C2726" s="563">
        <v>4</v>
      </c>
      <c r="D2726" s="564">
        <v>15</v>
      </c>
      <c r="E2726" s="564">
        <v>8</v>
      </c>
      <c r="F2726" s="565" t="s">
        <v>55</v>
      </c>
      <c r="G2726" s="563" t="s">
        <v>36</v>
      </c>
      <c r="H2726" s="563" t="s">
        <v>212</v>
      </c>
      <c r="I2726" s="573">
        <v>726830000</v>
      </c>
    </row>
    <row r="2727" spans="1:9" ht="16" x14ac:dyDescent="0.2">
      <c r="A2727" s="567">
        <v>46120</v>
      </c>
      <c r="B2727" s="568">
        <v>2026</v>
      </c>
      <c r="C2727" s="569">
        <v>4</v>
      </c>
      <c r="D2727" s="570">
        <v>15</v>
      </c>
      <c r="E2727" s="570">
        <v>8</v>
      </c>
      <c r="F2727" s="571" t="s">
        <v>176</v>
      </c>
      <c r="G2727" s="569" t="s">
        <v>176</v>
      </c>
      <c r="H2727" s="569" t="s">
        <v>216</v>
      </c>
      <c r="I2727" s="574">
        <v>35135499</v>
      </c>
    </row>
    <row r="2728" spans="1:9" ht="16" x14ac:dyDescent="0.2">
      <c r="A2728" s="561">
        <v>46120</v>
      </c>
      <c r="B2728" s="562">
        <v>2026</v>
      </c>
      <c r="C2728" s="563">
        <v>4</v>
      </c>
      <c r="D2728" s="564">
        <v>15</v>
      </c>
      <c r="E2728" s="564">
        <v>8</v>
      </c>
      <c r="F2728" s="565" t="s">
        <v>39</v>
      </c>
      <c r="G2728" s="563" t="s">
        <v>176</v>
      </c>
      <c r="H2728" s="563" t="s">
        <v>216</v>
      </c>
      <c r="I2728" s="573">
        <v>1263557686</v>
      </c>
    </row>
    <row r="2729" spans="1:9" ht="16" x14ac:dyDescent="0.2">
      <c r="A2729" s="567">
        <v>46120</v>
      </c>
      <c r="B2729" s="568">
        <v>2026</v>
      </c>
      <c r="C2729" s="569">
        <v>4</v>
      </c>
      <c r="D2729" s="570">
        <v>15</v>
      </c>
      <c r="E2729" s="570">
        <v>8</v>
      </c>
      <c r="F2729" s="571" t="s">
        <v>206</v>
      </c>
      <c r="G2729" s="569" t="s">
        <v>206</v>
      </c>
      <c r="H2729" s="569" t="s">
        <v>212</v>
      </c>
      <c r="I2729" s="574">
        <v>0</v>
      </c>
    </row>
    <row r="2730" spans="1:9" ht="16" x14ac:dyDescent="0.2">
      <c r="A2730" s="561">
        <v>46120</v>
      </c>
      <c r="B2730" s="562">
        <v>2026</v>
      </c>
      <c r="C2730" s="563">
        <v>4</v>
      </c>
      <c r="D2730" s="564">
        <v>15</v>
      </c>
      <c r="E2730" s="564">
        <v>8</v>
      </c>
      <c r="F2730" s="565" t="s">
        <v>64</v>
      </c>
      <c r="G2730" s="563" t="s">
        <v>209</v>
      </c>
      <c r="H2730" s="563" t="s">
        <v>212</v>
      </c>
      <c r="I2730" s="573">
        <v>77700000</v>
      </c>
    </row>
    <row r="2731" spans="1:9" ht="16" x14ac:dyDescent="0.2">
      <c r="A2731" s="567">
        <v>46120</v>
      </c>
      <c r="B2731" s="568">
        <v>2026</v>
      </c>
      <c r="C2731" s="569">
        <v>4</v>
      </c>
      <c r="D2731" s="570">
        <v>15</v>
      </c>
      <c r="E2731" s="570">
        <v>8</v>
      </c>
      <c r="F2731" s="571" t="s">
        <v>237</v>
      </c>
      <c r="G2731" s="569" t="s">
        <v>209</v>
      </c>
      <c r="H2731" s="569" t="s">
        <v>212</v>
      </c>
      <c r="I2731" s="574">
        <v>0</v>
      </c>
    </row>
    <row r="2732" spans="1:9" ht="16" x14ac:dyDescent="0.2">
      <c r="A2732" s="561">
        <v>46120</v>
      </c>
      <c r="B2732" s="562">
        <v>2026</v>
      </c>
      <c r="C2732" s="563">
        <v>4</v>
      </c>
      <c r="D2732" s="564">
        <v>15</v>
      </c>
      <c r="E2732" s="564">
        <v>8</v>
      </c>
      <c r="F2732" s="565" t="s">
        <v>11</v>
      </c>
      <c r="G2732" s="563" t="s">
        <v>11</v>
      </c>
      <c r="H2732" s="563" t="s">
        <v>212</v>
      </c>
      <c r="I2732" s="573">
        <v>16870560000</v>
      </c>
    </row>
    <row r="2733" spans="1:9" ht="16" x14ac:dyDescent="0.2">
      <c r="A2733" s="567">
        <v>46120</v>
      </c>
      <c r="B2733" s="568">
        <v>2026</v>
      </c>
      <c r="C2733" s="569">
        <v>4</v>
      </c>
      <c r="D2733" s="570">
        <v>15</v>
      </c>
      <c r="E2733" s="570">
        <v>8</v>
      </c>
      <c r="F2733" s="571" t="s">
        <v>221</v>
      </c>
      <c r="G2733" s="569" t="s">
        <v>207</v>
      </c>
      <c r="H2733" s="569" t="s">
        <v>212</v>
      </c>
      <c r="I2733" s="574">
        <v>0</v>
      </c>
    </row>
    <row r="2734" spans="1:9" ht="16" x14ac:dyDescent="0.2">
      <c r="A2734" s="561">
        <v>46120</v>
      </c>
      <c r="B2734" s="562">
        <v>2026</v>
      </c>
      <c r="C2734" s="563">
        <v>4</v>
      </c>
      <c r="D2734" s="564">
        <v>15</v>
      </c>
      <c r="E2734" s="564">
        <v>8</v>
      </c>
      <c r="F2734" s="565" t="s">
        <v>222</v>
      </c>
      <c r="G2734" s="563" t="s">
        <v>207</v>
      </c>
      <c r="H2734" s="563" t="s">
        <v>212</v>
      </c>
      <c r="I2734" s="573">
        <v>0</v>
      </c>
    </row>
    <row r="2735" spans="1:9" ht="16" x14ac:dyDescent="0.2">
      <c r="A2735" s="567">
        <v>46120</v>
      </c>
      <c r="B2735" s="568">
        <v>2026</v>
      </c>
      <c r="C2735" s="569">
        <v>4</v>
      </c>
      <c r="D2735" s="570">
        <v>15</v>
      </c>
      <c r="E2735" s="570">
        <v>8</v>
      </c>
      <c r="F2735" s="571" t="s">
        <v>223</v>
      </c>
      <c r="G2735" s="569" t="s">
        <v>207</v>
      </c>
      <c r="H2735" s="569" t="s">
        <v>212</v>
      </c>
      <c r="I2735" s="574">
        <v>0</v>
      </c>
    </row>
    <row r="2736" spans="1:9" ht="16" x14ac:dyDescent="0.2">
      <c r="A2736" s="561">
        <v>46120</v>
      </c>
      <c r="B2736" s="562">
        <v>2026</v>
      </c>
      <c r="C2736" s="563">
        <v>4</v>
      </c>
      <c r="D2736" s="564">
        <v>15</v>
      </c>
      <c r="E2736" s="564">
        <v>8</v>
      </c>
      <c r="F2736" s="565" t="s">
        <v>219</v>
      </c>
      <c r="G2736" s="563" t="s">
        <v>11</v>
      </c>
      <c r="H2736" s="563" t="s">
        <v>212</v>
      </c>
      <c r="I2736" s="573">
        <v>5000000</v>
      </c>
    </row>
    <row r="2737" spans="1:9" ht="16" x14ac:dyDescent="0.2">
      <c r="A2737" s="567">
        <v>46120</v>
      </c>
      <c r="B2737" s="568">
        <v>2026</v>
      </c>
      <c r="C2737" s="569">
        <v>4</v>
      </c>
      <c r="D2737" s="570">
        <v>15</v>
      </c>
      <c r="E2737" s="570">
        <v>8</v>
      </c>
      <c r="F2737" s="571" t="s">
        <v>19</v>
      </c>
      <c r="G2737" s="569" t="s">
        <v>19</v>
      </c>
      <c r="H2737" s="569" t="s">
        <v>214</v>
      </c>
      <c r="I2737" s="574">
        <v>10242288000</v>
      </c>
    </row>
    <row r="2738" spans="1:9" ht="16" x14ac:dyDescent="0.2">
      <c r="A2738" s="561">
        <v>46120</v>
      </c>
      <c r="B2738" s="562">
        <v>2026</v>
      </c>
      <c r="C2738" s="563">
        <v>4</v>
      </c>
      <c r="D2738" s="564">
        <v>15</v>
      </c>
      <c r="E2738" s="564">
        <v>8</v>
      </c>
      <c r="F2738" s="565" t="s">
        <v>62</v>
      </c>
      <c r="G2738" s="563" t="s">
        <v>62</v>
      </c>
      <c r="H2738" s="563" t="s">
        <v>216</v>
      </c>
      <c r="I2738" s="573">
        <v>267798669</v>
      </c>
    </row>
    <row r="2739" spans="1:9" ht="16" x14ac:dyDescent="0.2">
      <c r="A2739" s="567">
        <v>46120</v>
      </c>
      <c r="B2739" s="568">
        <v>2026</v>
      </c>
      <c r="C2739" s="569">
        <v>4</v>
      </c>
      <c r="D2739" s="570">
        <v>15</v>
      </c>
      <c r="E2739" s="570">
        <v>8</v>
      </c>
      <c r="F2739" s="571" t="s">
        <v>58</v>
      </c>
      <c r="G2739" s="569" t="s">
        <v>58</v>
      </c>
      <c r="H2739" s="569" t="s">
        <v>212</v>
      </c>
      <c r="I2739" s="574">
        <v>52000000</v>
      </c>
    </row>
    <row r="2740" spans="1:9" ht="16" x14ac:dyDescent="0.2">
      <c r="A2740" s="561">
        <v>46120</v>
      </c>
      <c r="B2740" s="562">
        <v>2026</v>
      </c>
      <c r="C2740" s="563">
        <v>4</v>
      </c>
      <c r="D2740" s="564">
        <v>15</v>
      </c>
      <c r="E2740" s="564">
        <v>8</v>
      </c>
      <c r="F2740" s="565" t="s">
        <v>61</v>
      </c>
      <c r="G2740" s="563" t="s">
        <v>61</v>
      </c>
      <c r="H2740" s="563" t="s">
        <v>214</v>
      </c>
      <c r="I2740" s="573">
        <v>72000000</v>
      </c>
    </row>
    <row r="2741" spans="1:9" ht="16" x14ac:dyDescent="0.2">
      <c r="A2741" s="567">
        <v>46120</v>
      </c>
      <c r="B2741" s="568">
        <v>2026</v>
      </c>
      <c r="C2741" s="569">
        <v>4</v>
      </c>
      <c r="D2741" s="570">
        <v>15</v>
      </c>
      <c r="E2741" s="570">
        <v>8</v>
      </c>
      <c r="F2741" s="571" t="s">
        <v>57</v>
      </c>
      <c r="G2741" s="569" t="s">
        <v>57</v>
      </c>
      <c r="H2741" s="569" t="s">
        <v>212</v>
      </c>
      <c r="I2741" s="574">
        <v>779900000</v>
      </c>
    </row>
    <row r="2742" spans="1:9" ht="16" x14ac:dyDescent="0.2">
      <c r="A2742" s="561">
        <v>46120</v>
      </c>
      <c r="B2742" s="562">
        <v>2026</v>
      </c>
      <c r="C2742" s="563">
        <v>4</v>
      </c>
      <c r="D2742" s="564">
        <v>15</v>
      </c>
      <c r="E2742" s="564">
        <v>8</v>
      </c>
      <c r="F2742" s="565" t="s">
        <v>63</v>
      </c>
      <c r="G2742" s="563" t="s">
        <v>63</v>
      </c>
      <c r="H2742" s="563" t="s">
        <v>214</v>
      </c>
      <c r="I2742" s="573">
        <v>356292000</v>
      </c>
    </row>
    <row r="2743" spans="1:9" ht="16" x14ac:dyDescent="0.2">
      <c r="A2743" s="567">
        <v>46120</v>
      </c>
      <c r="B2743" s="568">
        <v>2026</v>
      </c>
      <c r="C2743" s="569">
        <v>4</v>
      </c>
      <c r="D2743" s="570">
        <v>15</v>
      </c>
      <c r="E2743" s="570">
        <v>8</v>
      </c>
      <c r="F2743" s="571" t="s">
        <v>59</v>
      </c>
      <c r="G2743" s="569" t="s">
        <v>59</v>
      </c>
      <c r="H2743" s="569" t="s">
        <v>216</v>
      </c>
      <c r="I2743" s="574">
        <v>413342105</v>
      </c>
    </row>
    <row r="2744" spans="1:9" ht="16" x14ac:dyDescent="0.2">
      <c r="A2744" s="561">
        <v>46120</v>
      </c>
      <c r="B2744" s="562">
        <v>2026</v>
      </c>
      <c r="C2744" s="563">
        <v>4</v>
      </c>
      <c r="D2744" s="564">
        <v>15</v>
      </c>
      <c r="E2744" s="564">
        <v>8</v>
      </c>
      <c r="F2744" s="565" t="s">
        <v>31</v>
      </c>
      <c r="G2744" s="563" t="s">
        <v>175</v>
      </c>
      <c r="H2744" s="563" t="s">
        <v>212</v>
      </c>
      <c r="I2744" s="573">
        <v>5908770000</v>
      </c>
    </row>
    <row r="2745" spans="1:9" ht="16" x14ac:dyDescent="0.2">
      <c r="A2745" s="567">
        <v>46120</v>
      </c>
      <c r="B2745" s="568">
        <v>2026</v>
      </c>
      <c r="C2745" s="569">
        <v>4</v>
      </c>
      <c r="D2745" s="570">
        <v>15</v>
      </c>
      <c r="E2745" s="570">
        <v>8</v>
      </c>
      <c r="F2745" s="571" t="s">
        <v>234</v>
      </c>
      <c r="G2745" s="569" t="s">
        <v>210</v>
      </c>
      <c r="H2745" s="569" t="s">
        <v>214</v>
      </c>
      <c r="I2745" s="574">
        <v>10800000</v>
      </c>
    </row>
    <row r="2746" spans="1:9" ht="16" x14ac:dyDescent="0.2">
      <c r="A2746" s="561">
        <v>46121</v>
      </c>
      <c r="B2746" s="562">
        <v>2026</v>
      </c>
      <c r="C2746" s="563">
        <v>4</v>
      </c>
      <c r="D2746" s="564">
        <v>15</v>
      </c>
      <c r="E2746" s="564">
        <v>9</v>
      </c>
      <c r="F2746" s="565" t="s">
        <v>65</v>
      </c>
      <c r="G2746" s="563" t="s">
        <v>65</v>
      </c>
      <c r="H2746" s="563" t="s">
        <v>212</v>
      </c>
      <c r="I2746" s="573">
        <v>627800000</v>
      </c>
    </row>
    <row r="2747" spans="1:9" ht="16" x14ac:dyDescent="0.2">
      <c r="A2747" s="567">
        <v>46121</v>
      </c>
      <c r="B2747" s="568">
        <v>2026</v>
      </c>
      <c r="C2747" s="569">
        <v>4</v>
      </c>
      <c r="D2747" s="570">
        <v>15</v>
      </c>
      <c r="E2747" s="570">
        <v>9</v>
      </c>
      <c r="F2747" s="571" t="s">
        <v>66</v>
      </c>
      <c r="G2747" s="569" t="s">
        <v>66</v>
      </c>
      <c r="H2747" s="569" t="s">
        <v>216</v>
      </c>
      <c r="I2747" s="574">
        <v>330557519</v>
      </c>
    </row>
    <row r="2748" spans="1:9" ht="16" x14ac:dyDescent="0.2">
      <c r="A2748" s="561">
        <v>46121</v>
      </c>
      <c r="B2748" s="562">
        <v>2026</v>
      </c>
      <c r="C2748" s="563">
        <v>4</v>
      </c>
      <c r="D2748" s="564">
        <v>15</v>
      </c>
      <c r="E2748" s="564">
        <v>9</v>
      </c>
      <c r="F2748" s="565" t="s">
        <v>24</v>
      </c>
      <c r="G2748" s="563" t="s">
        <v>24</v>
      </c>
      <c r="H2748" s="563" t="s">
        <v>212</v>
      </c>
      <c r="I2748" s="573">
        <v>17443040000</v>
      </c>
    </row>
    <row r="2749" spans="1:9" ht="16" x14ac:dyDescent="0.2">
      <c r="A2749" s="567">
        <v>46121</v>
      </c>
      <c r="B2749" s="568">
        <v>2026</v>
      </c>
      <c r="C2749" s="569">
        <v>4</v>
      </c>
      <c r="D2749" s="570">
        <v>15</v>
      </c>
      <c r="E2749" s="570">
        <v>9</v>
      </c>
      <c r="F2749" s="571" t="s">
        <v>67</v>
      </c>
      <c r="G2749" s="569" t="s">
        <v>67</v>
      </c>
      <c r="H2749" s="569" t="s">
        <v>213</v>
      </c>
      <c r="I2749" s="574">
        <v>2092921255</v>
      </c>
    </row>
    <row r="2750" spans="1:9" ht="16" x14ac:dyDescent="0.2">
      <c r="A2750" s="561">
        <v>46121</v>
      </c>
      <c r="B2750" s="562">
        <v>2026</v>
      </c>
      <c r="C2750" s="563">
        <v>4</v>
      </c>
      <c r="D2750" s="564">
        <v>15</v>
      </c>
      <c r="E2750" s="564">
        <v>9</v>
      </c>
      <c r="F2750" s="565" t="s">
        <v>28</v>
      </c>
      <c r="G2750" s="563" t="s">
        <v>28</v>
      </c>
      <c r="H2750" s="563" t="s">
        <v>214</v>
      </c>
      <c r="I2750" s="573">
        <v>15453072000</v>
      </c>
    </row>
    <row r="2751" spans="1:9" ht="16" x14ac:dyDescent="0.2">
      <c r="A2751" s="567">
        <v>46121</v>
      </c>
      <c r="B2751" s="568">
        <v>2026</v>
      </c>
      <c r="C2751" s="569">
        <v>4</v>
      </c>
      <c r="D2751" s="570">
        <v>15</v>
      </c>
      <c r="E2751" s="570">
        <v>9</v>
      </c>
      <c r="F2751" s="571" t="s">
        <v>208</v>
      </c>
      <c r="G2751" s="569" t="s">
        <v>208</v>
      </c>
      <c r="H2751" s="569" t="s">
        <v>216</v>
      </c>
      <c r="I2751" s="574">
        <v>0</v>
      </c>
    </row>
    <row r="2752" spans="1:9" ht="16" x14ac:dyDescent="0.2">
      <c r="A2752" s="561">
        <v>46121</v>
      </c>
      <c r="B2752" s="562">
        <v>2026</v>
      </c>
      <c r="C2752" s="563">
        <v>4</v>
      </c>
      <c r="D2752" s="564">
        <v>15</v>
      </c>
      <c r="E2752" s="564">
        <v>9</v>
      </c>
      <c r="F2752" s="565" t="s">
        <v>60</v>
      </c>
      <c r="G2752" s="563" t="s">
        <v>60</v>
      </c>
      <c r="H2752" s="563" t="s">
        <v>212</v>
      </c>
      <c r="I2752" s="573">
        <v>160000000</v>
      </c>
    </row>
    <row r="2753" spans="1:9" ht="16" x14ac:dyDescent="0.2">
      <c r="A2753" s="567">
        <v>46121</v>
      </c>
      <c r="B2753" s="568">
        <v>2026</v>
      </c>
      <c r="C2753" s="569">
        <v>4</v>
      </c>
      <c r="D2753" s="570">
        <v>15</v>
      </c>
      <c r="E2753" s="570">
        <v>9</v>
      </c>
      <c r="F2753" s="571" t="s">
        <v>36</v>
      </c>
      <c r="G2753" s="569" t="s">
        <v>36</v>
      </c>
      <c r="H2753" s="569" t="s">
        <v>212</v>
      </c>
      <c r="I2753" s="574">
        <v>2707270000</v>
      </c>
    </row>
    <row r="2754" spans="1:9" ht="16" x14ac:dyDescent="0.2">
      <c r="A2754" s="561">
        <v>46121</v>
      </c>
      <c r="B2754" s="562">
        <v>2026</v>
      </c>
      <c r="C2754" s="563">
        <v>4</v>
      </c>
      <c r="D2754" s="564">
        <v>15</v>
      </c>
      <c r="E2754" s="564">
        <v>9</v>
      </c>
      <c r="F2754" s="565" t="s">
        <v>55</v>
      </c>
      <c r="G2754" s="563" t="s">
        <v>36</v>
      </c>
      <c r="H2754" s="563" t="s">
        <v>212</v>
      </c>
      <c r="I2754" s="573">
        <v>774550000</v>
      </c>
    </row>
    <row r="2755" spans="1:9" ht="16" x14ac:dyDescent="0.2">
      <c r="A2755" s="567">
        <v>46121</v>
      </c>
      <c r="B2755" s="568">
        <v>2026</v>
      </c>
      <c r="C2755" s="569">
        <v>4</v>
      </c>
      <c r="D2755" s="570">
        <v>15</v>
      </c>
      <c r="E2755" s="570">
        <v>9</v>
      </c>
      <c r="F2755" s="571" t="s">
        <v>176</v>
      </c>
      <c r="G2755" s="569" t="s">
        <v>176</v>
      </c>
      <c r="H2755" s="569" t="s">
        <v>216</v>
      </c>
      <c r="I2755" s="574">
        <v>15950594</v>
      </c>
    </row>
    <row r="2756" spans="1:9" ht="16" x14ac:dyDescent="0.2">
      <c r="A2756" s="561">
        <v>46121</v>
      </c>
      <c r="B2756" s="562">
        <v>2026</v>
      </c>
      <c r="C2756" s="563">
        <v>4</v>
      </c>
      <c r="D2756" s="564">
        <v>15</v>
      </c>
      <c r="E2756" s="564">
        <v>9</v>
      </c>
      <c r="F2756" s="565" t="s">
        <v>39</v>
      </c>
      <c r="G2756" s="563" t="s">
        <v>176</v>
      </c>
      <c r="H2756" s="563" t="s">
        <v>216</v>
      </c>
      <c r="I2756" s="573">
        <v>1169180632</v>
      </c>
    </row>
    <row r="2757" spans="1:9" ht="16" x14ac:dyDescent="0.2">
      <c r="A2757" s="567">
        <v>46121</v>
      </c>
      <c r="B2757" s="568">
        <v>2026</v>
      </c>
      <c r="C2757" s="569">
        <v>4</v>
      </c>
      <c r="D2757" s="570">
        <v>15</v>
      </c>
      <c r="E2757" s="570">
        <v>9</v>
      </c>
      <c r="F2757" s="571" t="s">
        <v>206</v>
      </c>
      <c r="G2757" s="569" t="s">
        <v>206</v>
      </c>
      <c r="H2757" s="569" t="s">
        <v>212</v>
      </c>
      <c r="I2757" s="574">
        <v>0</v>
      </c>
    </row>
    <row r="2758" spans="1:9" ht="16" x14ac:dyDescent="0.2">
      <c r="A2758" s="561">
        <v>46121</v>
      </c>
      <c r="B2758" s="562">
        <v>2026</v>
      </c>
      <c r="C2758" s="563">
        <v>4</v>
      </c>
      <c r="D2758" s="564">
        <v>15</v>
      </c>
      <c r="E2758" s="564">
        <v>9</v>
      </c>
      <c r="F2758" s="565" t="s">
        <v>64</v>
      </c>
      <c r="G2758" s="563" t="s">
        <v>209</v>
      </c>
      <c r="H2758" s="563" t="s">
        <v>212</v>
      </c>
      <c r="I2758" s="573">
        <v>40750000</v>
      </c>
    </row>
    <row r="2759" spans="1:9" ht="16" x14ac:dyDescent="0.2">
      <c r="A2759" s="567">
        <v>46121</v>
      </c>
      <c r="B2759" s="568">
        <v>2026</v>
      </c>
      <c r="C2759" s="569">
        <v>4</v>
      </c>
      <c r="D2759" s="570">
        <v>15</v>
      </c>
      <c r="E2759" s="570">
        <v>9</v>
      </c>
      <c r="F2759" s="571" t="s">
        <v>237</v>
      </c>
      <c r="G2759" s="569" t="s">
        <v>209</v>
      </c>
      <c r="H2759" s="569" t="s">
        <v>212</v>
      </c>
      <c r="I2759" s="574">
        <v>0</v>
      </c>
    </row>
    <row r="2760" spans="1:9" ht="16" x14ac:dyDescent="0.2">
      <c r="A2760" s="561">
        <v>46121</v>
      </c>
      <c r="B2760" s="562">
        <v>2026</v>
      </c>
      <c r="C2760" s="563">
        <v>4</v>
      </c>
      <c r="D2760" s="564">
        <v>15</v>
      </c>
      <c r="E2760" s="564">
        <v>9</v>
      </c>
      <c r="F2760" s="565" t="s">
        <v>11</v>
      </c>
      <c r="G2760" s="563" t="s">
        <v>11</v>
      </c>
      <c r="H2760" s="563" t="s">
        <v>212</v>
      </c>
      <c r="I2760" s="573">
        <v>15938400000</v>
      </c>
    </row>
    <row r="2761" spans="1:9" ht="16" x14ac:dyDescent="0.2">
      <c r="A2761" s="567">
        <v>46121</v>
      </c>
      <c r="B2761" s="568">
        <v>2026</v>
      </c>
      <c r="C2761" s="569">
        <v>4</v>
      </c>
      <c r="D2761" s="570">
        <v>15</v>
      </c>
      <c r="E2761" s="570">
        <v>9</v>
      </c>
      <c r="F2761" s="571" t="s">
        <v>221</v>
      </c>
      <c r="G2761" s="569" t="s">
        <v>207</v>
      </c>
      <c r="H2761" s="569" t="s">
        <v>212</v>
      </c>
      <c r="I2761" s="574">
        <v>0</v>
      </c>
    </row>
    <row r="2762" spans="1:9" ht="16" x14ac:dyDescent="0.2">
      <c r="A2762" s="561">
        <v>46121</v>
      </c>
      <c r="B2762" s="562">
        <v>2026</v>
      </c>
      <c r="C2762" s="563">
        <v>4</v>
      </c>
      <c r="D2762" s="564">
        <v>15</v>
      </c>
      <c r="E2762" s="564">
        <v>9</v>
      </c>
      <c r="F2762" s="565" t="s">
        <v>222</v>
      </c>
      <c r="G2762" s="563" t="s">
        <v>207</v>
      </c>
      <c r="H2762" s="563" t="s">
        <v>212</v>
      </c>
      <c r="I2762" s="573">
        <v>0</v>
      </c>
    </row>
    <row r="2763" spans="1:9" ht="16" x14ac:dyDescent="0.2">
      <c r="A2763" s="567">
        <v>46121</v>
      </c>
      <c r="B2763" s="568">
        <v>2026</v>
      </c>
      <c r="C2763" s="569">
        <v>4</v>
      </c>
      <c r="D2763" s="570">
        <v>15</v>
      </c>
      <c r="E2763" s="570">
        <v>9</v>
      </c>
      <c r="F2763" s="571" t="s">
        <v>223</v>
      </c>
      <c r="G2763" s="569" t="s">
        <v>207</v>
      </c>
      <c r="H2763" s="569" t="s">
        <v>212</v>
      </c>
      <c r="I2763" s="574">
        <v>0</v>
      </c>
    </row>
    <row r="2764" spans="1:9" ht="16" x14ac:dyDescent="0.2">
      <c r="A2764" s="561">
        <v>46121</v>
      </c>
      <c r="B2764" s="562">
        <v>2026</v>
      </c>
      <c r="C2764" s="563">
        <v>4</v>
      </c>
      <c r="D2764" s="564">
        <v>15</v>
      </c>
      <c r="E2764" s="564">
        <v>9</v>
      </c>
      <c r="F2764" s="565" t="s">
        <v>219</v>
      </c>
      <c r="G2764" s="563" t="s">
        <v>11</v>
      </c>
      <c r="H2764" s="563" t="s">
        <v>212</v>
      </c>
      <c r="I2764" s="573">
        <v>0</v>
      </c>
    </row>
    <row r="2765" spans="1:9" ht="16" x14ac:dyDescent="0.2">
      <c r="A2765" s="567">
        <v>46121</v>
      </c>
      <c r="B2765" s="568">
        <v>2026</v>
      </c>
      <c r="C2765" s="569">
        <v>4</v>
      </c>
      <c r="D2765" s="570">
        <v>15</v>
      </c>
      <c r="E2765" s="570">
        <v>9</v>
      </c>
      <c r="F2765" s="571" t="s">
        <v>19</v>
      </c>
      <c r="G2765" s="569" t="s">
        <v>19</v>
      </c>
      <c r="H2765" s="569" t="s">
        <v>214</v>
      </c>
      <c r="I2765" s="574">
        <v>10114092000</v>
      </c>
    </row>
    <row r="2766" spans="1:9" ht="16" x14ac:dyDescent="0.2">
      <c r="A2766" s="561">
        <v>46121</v>
      </c>
      <c r="B2766" s="562">
        <v>2026</v>
      </c>
      <c r="C2766" s="563">
        <v>4</v>
      </c>
      <c r="D2766" s="564">
        <v>15</v>
      </c>
      <c r="E2766" s="564">
        <v>9</v>
      </c>
      <c r="F2766" s="565" t="s">
        <v>62</v>
      </c>
      <c r="G2766" s="563" t="s">
        <v>62</v>
      </c>
      <c r="H2766" s="563" t="s">
        <v>216</v>
      </c>
      <c r="I2766" s="573">
        <v>249829358</v>
      </c>
    </row>
    <row r="2767" spans="1:9" ht="16" x14ac:dyDescent="0.2">
      <c r="A2767" s="567">
        <v>46121</v>
      </c>
      <c r="B2767" s="568">
        <v>2026</v>
      </c>
      <c r="C2767" s="569">
        <v>4</v>
      </c>
      <c r="D2767" s="570">
        <v>15</v>
      </c>
      <c r="E2767" s="570">
        <v>9</v>
      </c>
      <c r="F2767" s="571" t="s">
        <v>58</v>
      </c>
      <c r="G2767" s="569" t="s">
        <v>58</v>
      </c>
      <c r="H2767" s="569" t="s">
        <v>212</v>
      </c>
      <c r="I2767" s="574">
        <v>42000000</v>
      </c>
    </row>
    <row r="2768" spans="1:9" ht="16" x14ac:dyDescent="0.2">
      <c r="A2768" s="561">
        <v>46121</v>
      </c>
      <c r="B2768" s="562">
        <v>2026</v>
      </c>
      <c r="C2768" s="563">
        <v>4</v>
      </c>
      <c r="D2768" s="564">
        <v>15</v>
      </c>
      <c r="E2768" s="564">
        <v>9</v>
      </c>
      <c r="F2768" s="565" t="s">
        <v>61</v>
      </c>
      <c r="G2768" s="563" t="s">
        <v>61</v>
      </c>
      <c r="H2768" s="563" t="s">
        <v>214</v>
      </c>
      <c r="I2768" s="573">
        <v>45000000</v>
      </c>
    </row>
    <row r="2769" spans="1:9" ht="16" x14ac:dyDescent="0.2">
      <c r="A2769" s="567">
        <v>46121</v>
      </c>
      <c r="B2769" s="568">
        <v>2026</v>
      </c>
      <c r="C2769" s="569">
        <v>4</v>
      </c>
      <c r="D2769" s="570">
        <v>15</v>
      </c>
      <c r="E2769" s="570">
        <v>9</v>
      </c>
      <c r="F2769" s="571" t="s">
        <v>57</v>
      </c>
      <c r="G2769" s="569" t="s">
        <v>57</v>
      </c>
      <c r="H2769" s="569" t="s">
        <v>212</v>
      </c>
      <c r="I2769" s="574">
        <v>867440000</v>
      </c>
    </row>
    <row r="2770" spans="1:9" ht="16" x14ac:dyDescent="0.2">
      <c r="A2770" s="561">
        <v>46121</v>
      </c>
      <c r="B2770" s="562">
        <v>2026</v>
      </c>
      <c r="C2770" s="563">
        <v>4</v>
      </c>
      <c r="D2770" s="564">
        <v>15</v>
      </c>
      <c r="E2770" s="564">
        <v>9</v>
      </c>
      <c r="F2770" s="565" t="s">
        <v>63</v>
      </c>
      <c r="G2770" s="563" t="s">
        <v>63</v>
      </c>
      <c r="H2770" s="563" t="s">
        <v>214</v>
      </c>
      <c r="I2770" s="573">
        <v>373788000</v>
      </c>
    </row>
    <row r="2771" spans="1:9" ht="16" x14ac:dyDescent="0.2">
      <c r="A2771" s="567">
        <v>46121</v>
      </c>
      <c r="B2771" s="568">
        <v>2026</v>
      </c>
      <c r="C2771" s="569">
        <v>4</v>
      </c>
      <c r="D2771" s="570">
        <v>15</v>
      </c>
      <c r="E2771" s="570">
        <v>9</v>
      </c>
      <c r="F2771" s="571" t="s">
        <v>59</v>
      </c>
      <c r="G2771" s="569" t="s">
        <v>59</v>
      </c>
      <c r="H2771" s="569" t="s">
        <v>216</v>
      </c>
      <c r="I2771" s="574">
        <v>448450851</v>
      </c>
    </row>
    <row r="2772" spans="1:9" ht="16" x14ac:dyDescent="0.2">
      <c r="A2772" s="561">
        <v>46121</v>
      </c>
      <c r="B2772" s="562">
        <v>2026</v>
      </c>
      <c r="C2772" s="563">
        <v>4</v>
      </c>
      <c r="D2772" s="564">
        <v>15</v>
      </c>
      <c r="E2772" s="564">
        <v>9</v>
      </c>
      <c r="F2772" s="565" t="s">
        <v>31</v>
      </c>
      <c r="G2772" s="563" t="s">
        <v>175</v>
      </c>
      <c r="H2772" s="563" t="s">
        <v>212</v>
      </c>
      <c r="I2772" s="573">
        <v>6647070000</v>
      </c>
    </row>
    <row r="2773" spans="1:9" ht="16" x14ac:dyDescent="0.2">
      <c r="A2773" s="567">
        <v>46121</v>
      </c>
      <c r="B2773" s="568">
        <v>2026</v>
      </c>
      <c r="C2773" s="569">
        <v>4</v>
      </c>
      <c r="D2773" s="570">
        <v>15</v>
      </c>
      <c r="E2773" s="570">
        <v>9</v>
      </c>
      <c r="F2773" s="571" t="s">
        <v>234</v>
      </c>
      <c r="G2773" s="569" t="s">
        <v>210</v>
      </c>
      <c r="H2773" s="569" t="s">
        <v>214</v>
      </c>
      <c r="I2773" s="574">
        <v>0</v>
      </c>
    </row>
    <row r="2774" spans="1:9" ht="16" x14ac:dyDescent="0.2">
      <c r="A2774" s="561">
        <v>46122</v>
      </c>
      <c r="B2774" s="562">
        <v>2026</v>
      </c>
      <c r="C2774" s="563">
        <v>4</v>
      </c>
      <c r="D2774" s="564">
        <v>15</v>
      </c>
      <c r="E2774" s="564">
        <v>10</v>
      </c>
      <c r="F2774" s="565" t="s">
        <v>65</v>
      </c>
      <c r="G2774" s="563" t="s">
        <v>65</v>
      </c>
      <c r="H2774" s="563" t="s">
        <v>212</v>
      </c>
      <c r="I2774" s="573">
        <v>662610000</v>
      </c>
    </row>
    <row r="2775" spans="1:9" ht="16" x14ac:dyDescent="0.2">
      <c r="A2775" s="567">
        <v>46122</v>
      </c>
      <c r="B2775" s="568">
        <v>2026</v>
      </c>
      <c r="C2775" s="569">
        <v>4</v>
      </c>
      <c r="D2775" s="570">
        <v>15</v>
      </c>
      <c r="E2775" s="570">
        <v>10</v>
      </c>
      <c r="F2775" s="571" t="s">
        <v>66</v>
      </c>
      <c r="G2775" s="569" t="s">
        <v>66</v>
      </c>
      <c r="H2775" s="569" t="s">
        <v>216</v>
      </c>
      <c r="I2775" s="574">
        <v>303036975</v>
      </c>
    </row>
    <row r="2776" spans="1:9" ht="16" x14ac:dyDescent="0.2">
      <c r="A2776" s="561">
        <v>46122</v>
      </c>
      <c r="B2776" s="562">
        <v>2026</v>
      </c>
      <c r="C2776" s="563">
        <v>4</v>
      </c>
      <c r="D2776" s="564">
        <v>15</v>
      </c>
      <c r="E2776" s="564">
        <v>10</v>
      </c>
      <c r="F2776" s="565" t="s">
        <v>24</v>
      </c>
      <c r="G2776" s="563" t="s">
        <v>24</v>
      </c>
      <c r="H2776" s="563" t="s">
        <v>212</v>
      </c>
      <c r="I2776" s="573">
        <v>16824250000</v>
      </c>
    </row>
    <row r="2777" spans="1:9" ht="16" x14ac:dyDescent="0.2">
      <c r="A2777" s="567">
        <v>46122</v>
      </c>
      <c r="B2777" s="568">
        <v>2026</v>
      </c>
      <c r="C2777" s="569">
        <v>4</v>
      </c>
      <c r="D2777" s="570">
        <v>15</v>
      </c>
      <c r="E2777" s="570">
        <v>10</v>
      </c>
      <c r="F2777" s="571" t="s">
        <v>67</v>
      </c>
      <c r="G2777" s="569" t="s">
        <v>67</v>
      </c>
      <c r="H2777" s="569" t="s">
        <v>213</v>
      </c>
      <c r="I2777" s="574">
        <v>2520438537</v>
      </c>
    </row>
    <row r="2778" spans="1:9" ht="16" x14ac:dyDescent="0.2">
      <c r="A2778" s="561">
        <v>46122</v>
      </c>
      <c r="B2778" s="562">
        <v>2026</v>
      </c>
      <c r="C2778" s="563">
        <v>4</v>
      </c>
      <c r="D2778" s="564">
        <v>15</v>
      </c>
      <c r="E2778" s="564">
        <v>10</v>
      </c>
      <c r="F2778" s="565" t="s">
        <v>28</v>
      </c>
      <c r="G2778" s="563" t="s">
        <v>28</v>
      </c>
      <c r="H2778" s="563" t="s">
        <v>214</v>
      </c>
      <c r="I2778" s="573">
        <v>20986668000</v>
      </c>
    </row>
    <row r="2779" spans="1:9" ht="16" x14ac:dyDescent="0.2">
      <c r="A2779" s="567">
        <v>46122</v>
      </c>
      <c r="B2779" s="568">
        <v>2026</v>
      </c>
      <c r="C2779" s="569">
        <v>4</v>
      </c>
      <c r="D2779" s="570">
        <v>15</v>
      </c>
      <c r="E2779" s="570">
        <v>10</v>
      </c>
      <c r="F2779" s="571" t="s">
        <v>208</v>
      </c>
      <c r="G2779" s="569" t="s">
        <v>208</v>
      </c>
      <c r="H2779" s="569" t="s">
        <v>216</v>
      </c>
      <c r="I2779" s="574">
        <v>0</v>
      </c>
    </row>
    <row r="2780" spans="1:9" ht="16" x14ac:dyDescent="0.2">
      <c r="A2780" s="561">
        <v>46122</v>
      </c>
      <c r="B2780" s="562">
        <v>2026</v>
      </c>
      <c r="C2780" s="563">
        <v>4</v>
      </c>
      <c r="D2780" s="564">
        <v>15</v>
      </c>
      <c r="E2780" s="564">
        <v>10</v>
      </c>
      <c r="F2780" s="565" t="s">
        <v>60</v>
      </c>
      <c r="G2780" s="563" t="s">
        <v>60</v>
      </c>
      <c r="H2780" s="563" t="s">
        <v>212</v>
      </c>
      <c r="I2780" s="573">
        <v>0</v>
      </c>
    </row>
    <row r="2781" spans="1:9" ht="16" x14ac:dyDescent="0.2">
      <c r="A2781" s="567">
        <v>46122</v>
      </c>
      <c r="B2781" s="568">
        <v>2026</v>
      </c>
      <c r="C2781" s="569">
        <v>4</v>
      </c>
      <c r="D2781" s="570">
        <v>15</v>
      </c>
      <c r="E2781" s="570">
        <v>10</v>
      </c>
      <c r="F2781" s="571" t="s">
        <v>36</v>
      </c>
      <c r="G2781" s="569" t="s">
        <v>36</v>
      </c>
      <c r="H2781" s="569" t="s">
        <v>212</v>
      </c>
      <c r="I2781" s="574">
        <v>2979680000</v>
      </c>
    </row>
    <row r="2782" spans="1:9" ht="16" x14ac:dyDescent="0.2">
      <c r="A2782" s="561">
        <v>46122</v>
      </c>
      <c r="B2782" s="562">
        <v>2026</v>
      </c>
      <c r="C2782" s="563">
        <v>4</v>
      </c>
      <c r="D2782" s="564">
        <v>15</v>
      </c>
      <c r="E2782" s="564">
        <v>10</v>
      </c>
      <c r="F2782" s="565" t="s">
        <v>55</v>
      </c>
      <c r="G2782" s="563" t="s">
        <v>36</v>
      </c>
      <c r="H2782" s="563" t="s">
        <v>212</v>
      </c>
      <c r="I2782" s="573">
        <v>1144350000</v>
      </c>
    </row>
    <row r="2783" spans="1:9" ht="16" x14ac:dyDescent="0.2">
      <c r="A2783" s="567">
        <v>46122</v>
      </c>
      <c r="B2783" s="568">
        <v>2026</v>
      </c>
      <c r="C2783" s="569">
        <v>4</v>
      </c>
      <c r="D2783" s="570">
        <v>15</v>
      </c>
      <c r="E2783" s="570">
        <v>10</v>
      </c>
      <c r="F2783" s="571" t="s">
        <v>176</v>
      </c>
      <c r="G2783" s="569" t="s">
        <v>176</v>
      </c>
      <c r="H2783" s="569" t="s">
        <v>216</v>
      </c>
      <c r="I2783" s="574">
        <v>3038883</v>
      </c>
    </row>
    <row r="2784" spans="1:9" ht="16" x14ac:dyDescent="0.2">
      <c r="A2784" s="561">
        <v>46122</v>
      </c>
      <c r="B2784" s="562">
        <v>2026</v>
      </c>
      <c r="C2784" s="563">
        <v>4</v>
      </c>
      <c r="D2784" s="564">
        <v>15</v>
      </c>
      <c r="E2784" s="564">
        <v>10</v>
      </c>
      <c r="F2784" s="565" t="s">
        <v>39</v>
      </c>
      <c r="G2784" s="563" t="s">
        <v>176</v>
      </c>
      <c r="H2784" s="563" t="s">
        <v>216</v>
      </c>
      <c r="I2784" s="573">
        <v>1389954668</v>
      </c>
    </row>
    <row r="2785" spans="1:9" ht="16" x14ac:dyDescent="0.2">
      <c r="A2785" s="567">
        <v>46122</v>
      </c>
      <c r="B2785" s="568">
        <v>2026</v>
      </c>
      <c r="C2785" s="569">
        <v>4</v>
      </c>
      <c r="D2785" s="570">
        <v>15</v>
      </c>
      <c r="E2785" s="570">
        <v>10</v>
      </c>
      <c r="F2785" s="571" t="s">
        <v>206</v>
      </c>
      <c r="G2785" s="569" t="s">
        <v>206</v>
      </c>
      <c r="H2785" s="569" t="s">
        <v>212</v>
      </c>
      <c r="I2785" s="574">
        <v>0</v>
      </c>
    </row>
    <row r="2786" spans="1:9" ht="16" x14ac:dyDescent="0.2">
      <c r="A2786" s="561">
        <v>46122</v>
      </c>
      <c r="B2786" s="562">
        <v>2026</v>
      </c>
      <c r="C2786" s="563">
        <v>4</v>
      </c>
      <c r="D2786" s="564">
        <v>15</v>
      </c>
      <c r="E2786" s="564">
        <v>10</v>
      </c>
      <c r="F2786" s="565" t="s">
        <v>64</v>
      </c>
      <c r="G2786" s="563" t="s">
        <v>209</v>
      </c>
      <c r="H2786" s="563" t="s">
        <v>212</v>
      </c>
      <c r="I2786" s="573">
        <v>99750000</v>
      </c>
    </row>
    <row r="2787" spans="1:9" ht="16" x14ac:dyDescent="0.2">
      <c r="A2787" s="567">
        <v>46122</v>
      </c>
      <c r="B2787" s="568">
        <v>2026</v>
      </c>
      <c r="C2787" s="569">
        <v>4</v>
      </c>
      <c r="D2787" s="570">
        <v>15</v>
      </c>
      <c r="E2787" s="570">
        <v>10</v>
      </c>
      <c r="F2787" s="571" t="s">
        <v>237</v>
      </c>
      <c r="G2787" s="569" t="s">
        <v>209</v>
      </c>
      <c r="H2787" s="569" t="s">
        <v>212</v>
      </c>
      <c r="I2787" s="574">
        <v>0</v>
      </c>
    </row>
    <row r="2788" spans="1:9" ht="16" x14ac:dyDescent="0.2">
      <c r="A2788" s="561">
        <v>46122</v>
      </c>
      <c r="B2788" s="562">
        <v>2026</v>
      </c>
      <c r="C2788" s="563">
        <v>4</v>
      </c>
      <c r="D2788" s="564">
        <v>15</v>
      </c>
      <c r="E2788" s="564">
        <v>10</v>
      </c>
      <c r="F2788" s="565" t="s">
        <v>11</v>
      </c>
      <c r="G2788" s="563" t="s">
        <v>11</v>
      </c>
      <c r="H2788" s="563" t="s">
        <v>212</v>
      </c>
      <c r="I2788" s="573">
        <v>19497540000</v>
      </c>
    </row>
    <row r="2789" spans="1:9" ht="16" x14ac:dyDescent="0.2">
      <c r="A2789" s="567">
        <v>46122</v>
      </c>
      <c r="B2789" s="568">
        <v>2026</v>
      </c>
      <c r="C2789" s="569">
        <v>4</v>
      </c>
      <c r="D2789" s="570">
        <v>15</v>
      </c>
      <c r="E2789" s="570">
        <v>10</v>
      </c>
      <c r="F2789" s="571" t="s">
        <v>221</v>
      </c>
      <c r="G2789" s="569" t="s">
        <v>207</v>
      </c>
      <c r="H2789" s="569" t="s">
        <v>212</v>
      </c>
      <c r="I2789" s="574">
        <v>0</v>
      </c>
    </row>
    <row r="2790" spans="1:9" ht="16" x14ac:dyDescent="0.2">
      <c r="A2790" s="561">
        <v>46122</v>
      </c>
      <c r="B2790" s="562">
        <v>2026</v>
      </c>
      <c r="C2790" s="563">
        <v>4</v>
      </c>
      <c r="D2790" s="564">
        <v>15</v>
      </c>
      <c r="E2790" s="564">
        <v>10</v>
      </c>
      <c r="F2790" s="565" t="s">
        <v>222</v>
      </c>
      <c r="G2790" s="563" t="s">
        <v>207</v>
      </c>
      <c r="H2790" s="563" t="s">
        <v>212</v>
      </c>
      <c r="I2790" s="573">
        <v>0</v>
      </c>
    </row>
    <row r="2791" spans="1:9" ht="16" x14ac:dyDescent="0.2">
      <c r="A2791" s="567">
        <v>46122</v>
      </c>
      <c r="B2791" s="568">
        <v>2026</v>
      </c>
      <c r="C2791" s="569">
        <v>4</v>
      </c>
      <c r="D2791" s="570">
        <v>15</v>
      </c>
      <c r="E2791" s="570">
        <v>10</v>
      </c>
      <c r="F2791" s="571" t="s">
        <v>223</v>
      </c>
      <c r="G2791" s="569" t="s">
        <v>207</v>
      </c>
      <c r="H2791" s="569" t="s">
        <v>212</v>
      </c>
      <c r="I2791" s="574">
        <v>0</v>
      </c>
    </row>
    <row r="2792" spans="1:9" ht="16" x14ac:dyDescent="0.2">
      <c r="A2792" s="561">
        <v>46122</v>
      </c>
      <c r="B2792" s="562">
        <v>2026</v>
      </c>
      <c r="C2792" s="563">
        <v>4</v>
      </c>
      <c r="D2792" s="564">
        <v>15</v>
      </c>
      <c r="E2792" s="564">
        <v>10</v>
      </c>
      <c r="F2792" s="565" t="s">
        <v>219</v>
      </c>
      <c r="G2792" s="563" t="s">
        <v>11</v>
      </c>
      <c r="H2792" s="563" t="s">
        <v>212</v>
      </c>
      <c r="I2792" s="573">
        <v>0</v>
      </c>
    </row>
    <row r="2793" spans="1:9" ht="16" x14ac:dyDescent="0.2">
      <c r="A2793" s="567">
        <v>46122</v>
      </c>
      <c r="B2793" s="568">
        <v>2026</v>
      </c>
      <c r="C2793" s="569">
        <v>4</v>
      </c>
      <c r="D2793" s="570">
        <v>15</v>
      </c>
      <c r="E2793" s="570">
        <v>10</v>
      </c>
      <c r="F2793" s="571" t="s">
        <v>19</v>
      </c>
      <c r="G2793" s="569" t="s">
        <v>19</v>
      </c>
      <c r="H2793" s="569" t="s">
        <v>214</v>
      </c>
      <c r="I2793" s="574">
        <v>15692292000</v>
      </c>
    </row>
    <row r="2794" spans="1:9" ht="16" x14ac:dyDescent="0.2">
      <c r="A2794" s="561">
        <v>46122</v>
      </c>
      <c r="B2794" s="562">
        <v>2026</v>
      </c>
      <c r="C2794" s="563">
        <v>4</v>
      </c>
      <c r="D2794" s="564">
        <v>15</v>
      </c>
      <c r="E2794" s="564">
        <v>10</v>
      </c>
      <c r="F2794" s="565" t="s">
        <v>62</v>
      </c>
      <c r="G2794" s="563" t="s">
        <v>62</v>
      </c>
      <c r="H2794" s="563" t="s">
        <v>216</v>
      </c>
      <c r="I2794" s="573">
        <v>248584146</v>
      </c>
    </row>
    <row r="2795" spans="1:9" ht="16" x14ac:dyDescent="0.2">
      <c r="A2795" s="567">
        <v>46122</v>
      </c>
      <c r="B2795" s="568">
        <v>2026</v>
      </c>
      <c r="C2795" s="569">
        <v>4</v>
      </c>
      <c r="D2795" s="570">
        <v>15</v>
      </c>
      <c r="E2795" s="570">
        <v>10</v>
      </c>
      <c r="F2795" s="571" t="s">
        <v>58</v>
      </c>
      <c r="G2795" s="569" t="s">
        <v>58</v>
      </c>
      <c r="H2795" s="569" t="s">
        <v>212</v>
      </c>
      <c r="I2795" s="574">
        <v>31000000</v>
      </c>
    </row>
    <row r="2796" spans="1:9" ht="16" x14ac:dyDescent="0.2">
      <c r="A2796" s="561">
        <v>46122</v>
      </c>
      <c r="B2796" s="562">
        <v>2026</v>
      </c>
      <c r="C2796" s="563">
        <v>4</v>
      </c>
      <c r="D2796" s="564">
        <v>15</v>
      </c>
      <c r="E2796" s="564">
        <v>10</v>
      </c>
      <c r="F2796" s="565" t="s">
        <v>61</v>
      </c>
      <c r="G2796" s="563" t="s">
        <v>61</v>
      </c>
      <c r="H2796" s="563" t="s">
        <v>214</v>
      </c>
      <c r="I2796" s="573">
        <v>31000000</v>
      </c>
    </row>
    <row r="2797" spans="1:9" ht="16" x14ac:dyDescent="0.2">
      <c r="A2797" s="567">
        <v>46122</v>
      </c>
      <c r="B2797" s="568">
        <v>2026</v>
      </c>
      <c r="C2797" s="569">
        <v>4</v>
      </c>
      <c r="D2797" s="570">
        <v>15</v>
      </c>
      <c r="E2797" s="570">
        <v>10</v>
      </c>
      <c r="F2797" s="571" t="s">
        <v>57</v>
      </c>
      <c r="G2797" s="569" t="s">
        <v>57</v>
      </c>
      <c r="H2797" s="569" t="s">
        <v>212</v>
      </c>
      <c r="I2797" s="574">
        <v>1104220000</v>
      </c>
    </row>
    <row r="2798" spans="1:9" ht="16" x14ac:dyDescent="0.2">
      <c r="A2798" s="561">
        <v>46122</v>
      </c>
      <c r="B2798" s="562">
        <v>2026</v>
      </c>
      <c r="C2798" s="563">
        <v>4</v>
      </c>
      <c r="D2798" s="564">
        <v>15</v>
      </c>
      <c r="E2798" s="564">
        <v>10</v>
      </c>
      <c r="F2798" s="565" t="s">
        <v>63</v>
      </c>
      <c r="G2798" s="563" t="s">
        <v>63</v>
      </c>
      <c r="H2798" s="563" t="s">
        <v>214</v>
      </c>
      <c r="I2798" s="573">
        <v>393660000</v>
      </c>
    </row>
    <row r="2799" spans="1:9" ht="16" x14ac:dyDescent="0.2">
      <c r="A2799" s="567">
        <v>46122</v>
      </c>
      <c r="B2799" s="568">
        <v>2026</v>
      </c>
      <c r="C2799" s="569">
        <v>4</v>
      </c>
      <c r="D2799" s="570">
        <v>15</v>
      </c>
      <c r="E2799" s="570">
        <v>10</v>
      </c>
      <c r="F2799" s="571" t="s">
        <v>59</v>
      </c>
      <c r="G2799" s="569" t="s">
        <v>59</v>
      </c>
      <c r="H2799" s="569" t="s">
        <v>216</v>
      </c>
      <c r="I2799" s="574">
        <v>379675871</v>
      </c>
    </row>
    <row r="2800" spans="1:9" ht="16" x14ac:dyDescent="0.2">
      <c r="A2800" s="561">
        <v>46122</v>
      </c>
      <c r="B2800" s="562">
        <v>2026</v>
      </c>
      <c r="C2800" s="563">
        <v>4</v>
      </c>
      <c r="D2800" s="564">
        <v>15</v>
      </c>
      <c r="E2800" s="564">
        <v>10</v>
      </c>
      <c r="F2800" s="565" t="s">
        <v>31</v>
      </c>
      <c r="G2800" s="563" t="s">
        <v>175</v>
      </c>
      <c r="H2800" s="563" t="s">
        <v>212</v>
      </c>
      <c r="I2800" s="573">
        <v>7207520000</v>
      </c>
    </row>
    <row r="2801" spans="1:9" ht="16" x14ac:dyDescent="0.2">
      <c r="A2801" s="567">
        <v>46122</v>
      </c>
      <c r="B2801" s="568">
        <v>2026</v>
      </c>
      <c r="C2801" s="569">
        <v>4</v>
      </c>
      <c r="D2801" s="570">
        <v>15</v>
      </c>
      <c r="E2801" s="570">
        <v>10</v>
      </c>
      <c r="F2801" s="571" t="s">
        <v>234</v>
      </c>
      <c r="G2801" s="569" t="s">
        <v>210</v>
      </c>
      <c r="H2801" s="569" t="s">
        <v>214</v>
      </c>
      <c r="I2801" s="574">
        <v>3240000</v>
      </c>
    </row>
    <row r="2802" spans="1:9" ht="16" x14ac:dyDescent="0.2">
      <c r="A2802" s="561">
        <v>46123</v>
      </c>
      <c r="B2802" s="562">
        <v>2026</v>
      </c>
      <c r="C2802" s="563">
        <v>4</v>
      </c>
      <c r="D2802" s="564">
        <v>15</v>
      </c>
      <c r="E2802" s="564">
        <v>11</v>
      </c>
      <c r="F2802" s="565" t="s">
        <v>65</v>
      </c>
      <c r="G2802" s="563" t="s">
        <v>65</v>
      </c>
      <c r="H2802" s="563" t="s">
        <v>212</v>
      </c>
      <c r="I2802" s="573">
        <v>563600000</v>
      </c>
    </row>
    <row r="2803" spans="1:9" ht="16" x14ac:dyDescent="0.2">
      <c r="A2803" s="567">
        <v>46123</v>
      </c>
      <c r="B2803" s="568">
        <v>2026</v>
      </c>
      <c r="C2803" s="569">
        <v>4</v>
      </c>
      <c r="D2803" s="570">
        <v>15</v>
      </c>
      <c r="E2803" s="570">
        <v>11</v>
      </c>
      <c r="F2803" s="571" t="s">
        <v>66</v>
      </c>
      <c r="G2803" s="569" t="s">
        <v>66</v>
      </c>
      <c r="H2803" s="569" t="s">
        <v>216</v>
      </c>
      <c r="I2803" s="574">
        <v>265177744</v>
      </c>
    </row>
    <row r="2804" spans="1:9" ht="16" x14ac:dyDescent="0.2">
      <c r="A2804" s="561">
        <v>46123</v>
      </c>
      <c r="B2804" s="562">
        <v>2026</v>
      </c>
      <c r="C2804" s="563">
        <v>4</v>
      </c>
      <c r="D2804" s="564">
        <v>15</v>
      </c>
      <c r="E2804" s="564">
        <v>11</v>
      </c>
      <c r="F2804" s="565" t="s">
        <v>24</v>
      </c>
      <c r="G2804" s="563" t="s">
        <v>24</v>
      </c>
      <c r="H2804" s="563" t="s">
        <v>212</v>
      </c>
      <c r="I2804" s="573">
        <v>13512620000</v>
      </c>
    </row>
    <row r="2805" spans="1:9" ht="16" x14ac:dyDescent="0.2">
      <c r="A2805" s="567">
        <v>46123</v>
      </c>
      <c r="B2805" s="568">
        <v>2026</v>
      </c>
      <c r="C2805" s="569">
        <v>4</v>
      </c>
      <c r="D2805" s="570">
        <v>15</v>
      </c>
      <c r="E2805" s="570">
        <v>11</v>
      </c>
      <c r="F2805" s="571" t="s">
        <v>67</v>
      </c>
      <c r="G2805" s="569" t="s">
        <v>67</v>
      </c>
      <c r="H2805" s="569" t="s">
        <v>213</v>
      </c>
      <c r="I2805" s="574">
        <v>1393909416</v>
      </c>
    </row>
    <row r="2806" spans="1:9" ht="16" x14ac:dyDescent="0.2">
      <c r="A2806" s="561">
        <v>46123</v>
      </c>
      <c r="B2806" s="562">
        <v>2026</v>
      </c>
      <c r="C2806" s="563">
        <v>4</v>
      </c>
      <c r="D2806" s="564">
        <v>15</v>
      </c>
      <c r="E2806" s="564">
        <v>11</v>
      </c>
      <c r="F2806" s="565" t="s">
        <v>28</v>
      </c>
      <c r="G2806" s="563" t="s">
        <v>28</v>
      </c>
      <c r="H2806" s="563" t="s">
        <v>214</v>
      </c>
      <c r="I2806" s="573">
        <v>15474348000</v>
      </c>
    </row>
    <row r="2807" spans="1:9" ht="16" x14ac:dyDescent="0.2">
      <c r="A2807" s="567">
        <v>46123</v>
      </c>
      <c r="B2807" s="568">
        <v>2026</v>
      </c>
      <c r="C2807" s="569">
        <v>4</v>
      </c>
      <c r="D2807" s="570">
        <v>15</v>
      </c>
      <c r="E2807" s="570">
        <v>11</v>
      </c>
      <c r="F2807" s="571" t="s">
        <v>208</v>
      </c>
      <c r="G2807" s="569" t="s">
        <v>208</v>
      </c>
      <c r="H2807" s="569" t="s">
        <v>216</v>
      </c>
      <c r="I2807" s="574">
        <v>0</v>
      </c>
    </row>
    <row r="2808" spans="1:9" ht="16" x14ac:dyDescent="0.2">
      <c r="A2808" s="561">
        <v>46123</v>
      </c>
      <c r="B2808" s="562">
        <v>2026</v>
      </c>
      <c r="C2808" s="563">
        <v>4</v>
      </c>
      <c r="D2808" s="564">
        <v>15</v>
      </c>
      <c r="E2808" s="564">
        <v>11</v>
      </c>
      <c r="F2808" s="565" t="s">
        <v>60</v>
      </c>
      <c r="G2808" s="563" t="s">
        <v>60</v>
      </c>
      <c r="H2808" s="563" t="s">
        <v>212</v>
      </c>
      <c r="I2808" s="573">
        <v>90000000</v>
      </c>
    </row>
    <row r="2809" spans="1:9" ht="16" x14ac:dyDescent="0.2">
      <c r="A2809" s="567">
        <v>46123</v>
      </c>
      <c r="B2809" s="568">
        <v>2026</v>
      </c>
      <c r="C2809" s="569">
        <v>4</v>
      </c>
      <c r="D2809" s="570">
        <v>15</v>
      </c>
      <c r="E2809" s="570">
        <v>11</v>
      </c>
      <c r="F2809" s="571" t="s">
        <v>36</v>
      </c>
      <c r="G2809" s="569" t="s">
        <v>36</v>
      </c>
      <c r="H2809" s="569" t="s">
        <v>212</v>
      </c>
      <c r="I2809" s="574">
        <v>3246320000</v>
      </c>
    </row>
    <row r="2810" spans="1:9" ht="16" x14ac:dyDescent="0.2">
      <c r="A2810" s="561">
        <v>46123</v>
      </c>
      <c r="B2810" s="562">
        <v>2026</v>
      </c>
      <c r="C2810" s="563">
        <v>4</v>
      </c>
      <c r="D2810" s="564">
        <v>15</v>
      </c>
      <c r="E2810" s="564">
        <v>11</v>
      </c>
      <c r="F2810" s="565" t="s">
        <v>55</v>
      </c>
      <c r="G2810" s="563" t="s">
        <v>36</v>
      </c>
      <c r="H2810" s="563" t="s">
        <v>212</v>
      </c>
      <c r="I2810" s="573">
        <v>726040000</v>
      </c>
    </row>
    <row r="2811" spans="1:9" ht="16" x14ac:dyDescent="0.2">
      <c r="A2811" s="567">
        <v>46123</v>
      </c>
      <c r="B2811" s="568">
        <v>2026</v>
      </c>
      <c r="C2811" s="569">
        <v>4</v>
      </c>
      <c r="D2811" s="570">
        <v>15</v>
      </c>
      <c r="E2811" s="570">
        <v>11</v>
      </c>
      <c r="F2811" s="571" t="s">
        <v>176</v>
      </c>
      <c r="G2811" s="569" t="s">
        <v>176</v>
      </c>
      <c r="H2811" s="569" t="s">
        <v>216</v>
      </c>
      <c r="I2811" s="574">
        <v>2678744</v>
      </c>
    </row>
    <row r="2812" spans="1:9" ht="16" x14ac:dyDescent="0.2">
      <c r="A2812" s="561">
        <v>46123</v>
      </c>
      <c r="B2812" s="562">
        <v>2026</v>
      </c>
      <c r="C2812" s="563">
        <v>4</v>
      </c>
      <c r="D2812" s="564">
        <v>15</v>
      </c>
      <c r="E2812" s="564">
        <v>11</v>
      </c>
      <c r="F2812" s="565" t="s">
        <v>39</v>
      </c>
      <c r="G2812" s="563" t="s">
        <v>176</v>
      </c>
      <c r="H2812" s="563" t="s">
        <v>216</v>
      </c>
      <c r="I2812" s="573">
        <v>1437630222</v>
      </c>
    </row>
    <row r="2813" spans="1:9" ht="16" x14ac:dyDescent="0.2">
      <c r="A2813" s="567">
        <v>46123</v>
      </c>
      <c r="B2813" s="568">
        <v>2026</v>
      </c>
      <c r="C2813" s="569">
        <v>4</v>
      </c>
      <c r="D2813" s="570">
        <v>15</v>
      </c>
      <c r="E2813" s="570">
        <v>11</v>
      </c>
      <c r="F2813" s="571" t="s">
        <v>206</v>
      </c>
      <c r="G2813" s="569" t="s">
        <v>206</v>
      </c>
      <c r="H2813" s="569" t="s">
        <v>212</v>
      </c>
      <c r="I2813" s="574">
        <v>0</v>
      </c>
    </row>
    <row r="2814" spans="1:9" ht="16" x14ac:dyDescent="0.2">
      <c r="A2814" s="561">
        <v>46123</v>
      </c>
      <c r="B2814" s="562">
        <v>2026</v>
      </c>
      <c r="C2814" s="563">
        <v>4</v>
      </c>
      <c r="D2814" s="564">
        <v>15</v>
      </c>
      <c r="E2814" s="564">
        <v>11</v>
      </c>
      <c r="F2814" s="565" t="s">
        <v>64</v>
      </c>
      <c r="G2814" s="563" t="s">
        <v>209</v>
      </c>
      <c r="H2814" s="563" t="s">
        <v>212</v>
      </c>
      <c r="I2814" s="573">
        <v>10000000</v>
      </c>
    </row>
    <row r="2815" spans="1:9" ht="16" x14ac:dyDescent="0.2">
      <c r="A2815" s="567">
        <v>46123</v>
      </c>
      <c r="B2815" s="568">
        <v>2026</v>
      </c>
      <c r="C2815" s="569">
        <v>4</v>
      </c>
      <c r="D2815" s="570">
        <v>15</v>
      </c>
      <c r="E2815" s="570">
        <v>11</v>
      </c>
      <c r="F2815" s="571" t="s">
        <v>237</v>
      </c>
      <c r="G2815" s="569" t="s">
        <v>209</v>
      </c>
      <c r="H2815" s="569" t="s">
        <v>212</v>
      </c>
      <c r="I2815" s="574">
        <v>0</v>
      </c>
    </row>
    <row r="2816" spans="1:9" ht="16" x14ac:dyDescent="0.2">
      <c r="A2816" s="561">
        <v>46123</v>
      </c>
      <c r="B2816" s="562">
        <v>2026</v>
      </c>
      <c r="C2816" s="563">
        <v>4</v>
      </c>
      <c r="D2816" s="564">
        <v>15</v>
      </c>
      <c r="E2816" s="564">
        <v>11</v>
      </c>
      <c r="F2816" s="565" t="s">
        <v>11</v>
      </c>
      <c r="G2816" s="563" t="s">
        <v>11</v>
      </c>
      <c r="H2816" s="563" t="s">
        <v>212</v>
      </c>
      <c r="I2816" s="573">
        <v>16632280000</v>
      </c>
    </row>
    <row r="2817" spans="1:9" ht="16" x14ac:dyDescent="0.2">
      <c r="A2817" s="567">
        <v>46123</v>
      </c>
      <c r="B2817" s="568">
        <v>2026</v>
      </c>
      <c r="C2817" s="569">
        <v>4</v>
      </c>
      <c r="D2817" s="570">
        <v>15</v>
      </c>
      <c r="E2817" s="570">
        <v>11</v>
      </c>
      <c r="F2817" s="571" t="s">
        <v>221</v>
      </c>
      <c r="G2817" s="569" t="s">
        <v>207</v>
      </c>
      <c r="H2817" s="569" t="s">
        <v>212</v>
      </c>
      <c r="I2817" s="574">
        <v>0</v>
      </c>
    </row>
    <row r="2818" spans="1:9" ht="16" x14ac:dyDescent="0.2">
      <c r="A2818" s="561">
        <v>46123</v>
      </c>
      <c r="B2818" s="562">
        <v>2026</v>
      </c>
      <c r="C2818" s="563">
        <v>4</v>
      </c>
      <c r="D2818" s="564">
        <v>15</v>
      </c>
      <c r="E2818" s="564">
        <v>11</v>
      </c>
      <c r="F2818" s="565" t="s">
        <v>222</v>
      </c>
      <c r="G2818" s="563" t="s">
        <v>207</v>
      </c>
      <c r="H2818" s="563" t="s">
        <v>212</v>
      </c>
      <c r="I2818" s="573">
        <v>0</v>
      </c>
    </row>
    <row r="2819" spans="1:9" ht="16" x14ac:dyDescent="0.2">
      <c r="A2819" s="567">
        <v>46123</v>
      </c>
      <c r="B2819" s="568">
        <v>2026</v>
      </c>
      <c r="C2819" s="569">
        <v>4</v>
      </c>
      <c r="D2819" s="570">
        <v>15</v>
      </c>
      <c r="E2819" s="570">
        <v>11</v>
      </c>
      <c r="F2819" s="571" t="s">
        <v>223</v>
      </c>
      <c r="G2819" s="569" t="s">
        <v>207</v>
      </c>
      <c r="H2819" s="569" t="s">
        <v>212</v>
      </c>
      <c r="I2819" s="574">
        <v>0</v>
      </c>
    </row>
    <row r="2820" spans="1:9" ht="16" x14ac:dyDescent="0.2">
      <c r="A2820" s="561">
        <v>46123</v>
      </c>
      <c r="B2820" s="562">
        <v>2026</v>
      </c>
      <c r="C2820" s="563">
        <v>4</v>
      </c>
      <c r="D2820" s="564">
        <v>15</v>
      </c>
      <c r="E2820" s="564">
        <v>11</v>
      </c>
      <c r="F2820" s="565" t="s">
        <v>219</v>
      </c>
      <c r="G2820" s="563" t="s">
        <v>11</v>
      </c>
      <c r="H2820" s="563" t="s">
        <v>212</v>
      </c>
      <c r="I2820" s="573">
        <v>0</v>
      </c>
    </row>
    <row r="2821" spans="1:9" ht="16" x14ac:dyDescent="0.2">
      <c r="A2821" s="567">
        <v>46123</v>
      </c>
      <c r="B2821" s="568">
        <v>2026</v>
      </c>
      <c r="C2821" s="569">
        <v>4</v>
      </c>
      <c r="D2821" s="570">
        <v>15</v>
      </c>
      <c r="E2821" s="570">
        <v>11</v>
      </c>
      <c r="F2821" s="571" t="s">
        <v>19</v>
      </c>
      <c r="G2821" s="569" t="s">
        <v>19</v>
      </c>
      <c r="H2821" s="569" t="s">
        <v>214</v>
      </c>
      <c r="I2821" s="574">
        <v>12623040000</v>
      </c>
    </row>
    <row r="2822" spans="1:9" ht="16" x14ac:dyDescent="0.2">
      <c r="A2822" s="561">
        <v>46123</v>
      </c>
      <c r="B2822" s="562">
        <v>2026</v>
      </c>
      <c r="C2822" s="563">
        <v>4</v>
      </c>
      <c r="D2822" s="564">
        <v>15</v>
      </c>
      <c r="E2822" s="564">
        <v>11</v>
      </c>
      <c r="F2822" s="565" t="s">
        <v>62</v>
      </c>
      <c r="G2822" s="563" t="s">
        <v>62</v>
      </c>
      <c r="H2822" s="563" t="s">
        <v>216</v>
      </c>
      <c r="I2822" s="573">
        <v>187797328</v>
      </c>
    </row>
    <row r="2823" spans="1:9" ht="16" x14ac:dyDescent="0.2">
      <c r="A2823" s="567">
        <v>46123</v>
      </c>
      <c r="B2823" s="568">
        <v>2026</v>
      </c>
      <c r="C2823" s="569">
        <v>4</v>
      </c>
      <c r="D2823" s="570">
        <v>15</v>
      </c>
      <c r="E2823" s="570">
        <v>11</v>
      </c>
      <c r="F2823" s="571" t="s">
        <v>58</v>
      </c>
      <c r="G2823" s="569" t="s">
        <v>58</v>
      </c>
      <c r="H2823" s="569" t="s">
        <v>212</v>
      </c>
      <c r="I2823" s="574">
        <v>57750000</v>
      </c>
    </row>
    <row r="2824" spans="1:9" ht="16" x14ac:dyDescent="0.2">
      <c r="A2824" s="561">
        <v>46123</v>
      </c>
      <c r="B2824" s="562">
        <v>2026</v>
      </c>
      <c r="C2824" s="563">
        <v>4</v>
      </c>
      <c r="D2824" s="564">
        <v>15</v>
      </c>
      <c r="E2824" s="564">
        <v>11</v>
      </c>
      <c r="F2824" s="565" t="s">
        <v>61</v>
      </c>
      <c r="G2824" s="563" t="s">
        <v>61</v>
      </c>
      <c r="H2824" s="563" t="s">
        <v>214</v>
      </c>
      <c r="I2824" s="573">
        <v>30000000</v>
      </c>
    </row>
    <row r="2825" spans="1:9" ht="16" x14ac:dyDescent="0.2">
      <c r="A2825" s="567">
        <v>46123</v>
      </c>
      <c r="B2825" s="568">
        <v>2026</v>
      </c>
      <c r="C2825" s="569">
        <v>4</v>
      </c>
      <c r="D2825" s="570">
        <v>15</v>
      </c>
      <c r="E2825" s="570">
        <v>11</v>
      </c>
      <c r="F2825" s="571" t="s">
        <v>57</v>
      </c>
      <c r="G2825" s="569" t="s">
        <v>57</v>
      </c>
      <c r="H2825" s="569" t="s">
        <v>212</v>
      </c>
      <c r="I2825" s="574">
        <v>626120000</v>
      </c>
    </row>
    <row r="2826" spans="1:9" ht="16" x14ac:dyDescent="0.2">
      <c r="A2826" s="561">
        <v>46123</v>
      </c>
      <c r="B2826" s="562">
        <v>2026</v>
      </c>
      <c r="C2826" s="563">
        <v>4</v>
      </c>
      <c r="D2826" s="564">
        <v>15</v>
      </c>
      <c r="E2826" s="564">
        <v>11</v>
      </c>
      <c r="F2826" s="565" t="s">
        <v>63</v>
      </c>
      <c r="G2826" s="563" t="s">
        <v>63</v>
      </c>
      <c r="H2826" s="563" t="s">
        <v>214</v>
      </c>
      <c r="I2826" s="573">
        <v>302292000</v>
      </c>
    </row>
    <row r="2827" spans="1:9" ht="16" x14ac:dyDescent="0.2">
      <c r="A2827" s="567">
        <v>46123</v>
      </c>
      <c r="B2827" s="568">
        <v>2026</v>
      </c>
      <c r="C2827" s="569">
        <v>4</v>
      </c>
      <c r="D2827" s="570">
        <v>15</v>
      </c>
      <c r="E2827" s="570">
        <v>11</v>
      </c>
      <c r="F2827" s="571" t="s">
        <v>59</v>
      </c>
      <c r="G2827" s="569" t="s">
        <v>59</v>
      </c>
      <c r="H2827" s="569" t="s">
        <v>216</v>
      </c>
      <c r="I2827" s="574">
        <v>323468087</v>
      </c>
    </row>
    <row r="2828" spans="1:9" ht="16" x14ac:dyDescent="0.2">
      <c r="A2828" s="561">
        <v>46123</v>
      </c>
      <c r="B2828" s="562">
        <v>2026</v>
      </c>
      <c r="C2828" s="563">
        <v>4</v>
      </c>
      <c r="D2828" s="564">
        <v>15</v>
      </c>
      <c r="E2828" s="564">
        <v>11</v>
      </c>
      <c r="F2828" s="565" t="s">
        <v>31</v>
      </c>
      <c r="G2828" s="563" t="s">
        <v>175</v>
      </c>
      <c r="H2828" s="563" t="s">
        <v>212</v>
      </c>
      <c r="I2828" s="573">
        <v>5508250000</v>
      </c>
    </row>
    <row r="2829" spans="1:9" ht="16" x14ac:dyDescent="0.2">
      <c r="A2829" s="567">
        <v>46123</v>
      </c>
      <c r="B2829" s="568">
        <v>2026</v>
      </c>
      <c r="C2829" s="569">
        <v>4</v>
      </c>
      <c r="D2829" s="570">
        <v>15</v>
      </c>
      <c r="E2829" s="570">
        <v>11</v>
      </c>
      <c r="F2829" s="571" t="s">
        <v>234</v>
      </c>
      <c r="G2829" s="569" t="s">
        <v>210</v>
      </c>
      <c r="H2829" s="569" t="s">
        <v>214</v>
      </c>
      <c r="I2829" s="574">
        <v>0</v>
      </c>
    </row>
    <row r="2830" spans="1:9" ht="16" x14ac:dyDescent="0.2">
      <c r="A2830" s="561">
        <v>46124</v>
      </c>
      <c r="B2830" s="562">
        <v>2026</v>
      </c>
      <c r="C2830" s="563">
        <v>4</v>
      </c>
      <c r="D2830" s="564">
        <v>15</v>
      </c>
      <c r="E2830" s="564">
        <v>12</v>
      </c>
      <c r="F2830" s="565" t="s">
        <v>65</v>
      </c>
      <c r="G2830" s="563" t="s">
        <v>65</v>
      </c>
      <c r="H2830" s="563" t="s">
        <v>212</v>
      </c>
      <c r="I2830" s="573">
        <v>671250000</v>
      </c>
    </row>
    <row r="2831" spans="1:9" ht="16" x14ac:dyDescent="0.2">
      <c r="A2831" s="567">
        <v>46124</v>
      </c>
      <c r="B2831" s="568">
        <v>2026</v>
      </c>
      <c r="C2831" s="569">
        <v>4</v>
      </c>
      <c r="D2831" s="570">
        <v>15</v>
      </c>
      <c r="E2831" s="570">
        <v>12</v>
      </c>
      <c r="F2831" s="571" t="s">
        <v>66</v>
      </c>
      <c r="G2831" s="569" t="s">
        <v>66</v>
      </c>
      <c r="H2831" s="569" t="s">
        <v>216</v>
      </c>
      <c r="I2831" s="574">
        <v>316296496</v>
      </c>
    </row>
    <row r="2832" spans="1:9" ht="16" x14ac:dyDescent="0.2">
      <c r="A2832" s="561">
        <v>46124</v>
      </c>
      <c r="B2832" s="562">
        <v>2026</v>
      </c>
      <c r="C2832" s="563">
        <v>4</v>
      </c>
      <c r="D2832" s="564">
        <v>15</v>
      </c>
      <c r="E2832" s="564">
        <v>12</v>
      </c>
      <c r="F2832" s="565" t="s">
        <v>24</v>
      </c>
      <c r="G2832" s="563" t="s">
        <v>24</v>
      </c>
      <c r="H2832" s="563" t="s">
        <v>212</v>
      </c>
      <c r="I2832" s="573">
        <v>10894830000</v>
      </c>
    </row>
    <row r="2833" spans="1:9" ht="16" x14ac:dyDescent="0.2">
      <c r="A2833" s="567">
        <v>46124</v>
      </c>
      <c r="B2833" s="568">
        <v>2026</v>
      </c>
      <c r="C2833" s="569">
        <v>4</v>
      </c>
      <c r="D2833" s="570">
        <v>15</v>
      </c>
      <c r="E2833" s="570">
        <v>12</v>
      </c>
      <c r="F2833" s="571" t="s">
        <v>67</v>
      </c>
      <c r="G2833" s="569" t="s">
        <v>67</v>
      </c>
      <c r="H2833" s="569" t="s">
        <v>213</v>
      </c>
      <c r="I2833" s="574">
        <v>1236101463</v>
      </c>
    </row>
    <row r="2834" spans="1:9" ht="16" x14ac:dyDescent="0.2">
      <c r="A2834" s="561">
        <v>46124</v>
      </c>
      <c r="B2834" s="562">
        <v>2026</v>
      </c>
      <c r="C2834" s="563">
        <v>4</v>
      </c>
      <c r="D2834" s="564">
        <v>15</v>
      </c>
      <c r="E2834" s="564">
        <v>12</v>
      </c>
      <c r="F2834" s="565" t="s">
        <v>28</v>
      </c>
      <c r="G2834" s="563" t="s">
        <v>28</v>
      </c>
      <c r="H2834" s="563" t="s">
        <v>214</v>
      </c>
      <c r="I2834" s="573">
        <v>13592988000</v>
      </c>
    </row>
    <row r="2835" spans="1:9" ht="16" x14ac:dyDescent="0.2">
      <c r="A2835" s="567">
        <v>46124</v>
      </c>
      <c r="B2835" s="568">
        <v>2026</v>
      </c>
      <c r="C2835" s="569">
        <v>4</v>
      </c>
      <c r="D2835" s="570">
        <v>15</v>
      </c>
      <c r="E2835" s="570">
        <v>12</v>
      </c>
      <c r="F2835" s="571" t="s">
        <v>208</v>
      </c>
      <c r="G2835" s="569" t="s">
        <v>208</v>
      </c>
      <c r="H2835" s="569" t="s">
        <v>216</v>
      </c>
      <c r="I2835" s="574">
        <v>0</v>
      </c>
    </row>
    <row r="2836" spans="1:9" ht="16" x14ac:dyDescent="0.2">
      <c r="A2836" s="561">
        <v>46124</v>
      </c>
      <c r="B2836" s="562">
        <v>2026</v>
      </c>
      <c r="C2836" s="563">
        <v>4</v>
      </c>
      <c r="D2836" s="564">
        <v>15</v>
      </c>
      <c r="E2836" s="564">
        <v>12</v>
      </c>
      <c r="F2836" s="565" t="s">
        <v>60</v>
      </c>
      <c r="G2836" s="563" t="s">
        <v>60</v>
      </c>
      <c r="H2836" s="563" t="s">
        <v>212</v>
      </c>
      <c r="I2836" s="573">
        <v>0</v>
      </c>
    </row>
    <row r="2837" spans="1:9" ht="16" x14ac:dyDescent="0.2">
      <c r="A2837" s="567">
        <v>46124</v>
      </c>
      <c r="B2837" s="568">
        <v>2026</v>
      </c>
      <c r="C2837" s="569">
        <v>4</v>
      </c>
      <c r="D2837" s="570">
        <v>15</v>
      </c>
      <c r="E2837" s="570">
        <v>12</v>
      </c>
      <c r="F2837" s="571" t="s">
        <v>36</v>
      </c>
      <c r="G2837" s="569" t="s">
        <v>36</v>
      </c>
      <c r="H2837" s="569" t="s">
        <v>212</v>
      </c>
      <c r="I2837" s="574">
        <v>3536440000</v>
      </c>
    </row>
    <row r="2838" spans="1:9" ht="16" x14ac:dyDescent="0.2">
      <c r="A2838" s="561">
        <v>46124</v>
      </c>
      <c r="B2838" s="562">
        <v>2026</v>
      </c>
      <c r="C2838" s="563">
        <v>4</v>
      </c>
      <c r="D2838" s="564">
        <v>15</v>
      </c>
      <c r="E2838" s="564">
        <v>12</v>
      </c>
      <c r="F2838" s="565" t="s">
        <v>55</v>
      </c>
      <c r="G2838" s="563" t="s">
        <v>36</v>
      </c>
      <c r="H2838" s="563" t="s">
        <v>212</v>
      </c>
      <c r="I2838" s="573">
        <v>564090000</v>
      </c>
    </row>
    <row r="2839" spans="1:9" ht="16" x14ac:dyDescent="0.2">
      <c r="A2839" s="567">
        <v>46124</v>
      </c>
      <c r="B2839" s="568">
        <v>2026</v>
      </c>
      <c r="C2839" s="569">
        <v>4</v>
      </c>
      <c r="D2839" s="570">
        <v>15</v>
      </c>
      <c r="E2839" s="570">
        <v>12</v>
      </c>
      <c r="F2839" s="571" t="s">
        <v>176</v>
      </c>
      <c r="G2839" s="569" t="s">
        <v>176</v>
      </c>
      <c r="H2839" s="569" t="s">
        <v>216</v>
      </c>
      <c r="I2839" s="574">
        <v>6340708</v>
      </c>
    </row>
    <row r="2840" spans="1:9" ht="16" x14ac:dyDescent="0.2">
      <c r="A2840" s="561">
        <v>46124</v>
      </c>
      <c r="B2840" s="562">
        <v>2026</v>
      </c>
      <c r="C2840" s="563">
        <v>4</v>
      </c>
      <c r="D2840" s="564">
        <v>15</v>
      </c>
      <c r="E2840" s="564">
        <v>12</v>
      </c>
      <c r="F2840" s="565" t="s">
        <v>39</v>
      </c>
      <c r="G2840" s="563" t="s">
        <v>176</v>
      </c>
      <c r="H2840" s="563" t="s">
        <v>216</v>
      </c>
      <c r="I2840" s="573">
        <v>1413464582</v>
      </c>
    </row>
    <row r="2841" spans="1:9" ht="16" x14ac:dyDescent="0.2">
      <c r="A2841" s="567">
        <v>46124</v>
      </c>
      <c r="B2841" s="568">
        <v>2026</v>
      </c>
      <c r="C2841" s="569">
        <v>4</v>
      </c>
      <c r="D2841" s="570">
        <v>15</v>
      </c>
      <c r="E2841" s="570">
        <v>12</v>
      </c>
      <c r="F2841" s="571" t="s">
        <v>206</v>
      </c>
      <c r="G2841" s="569" t="s">
        <v>206</v>
      </c>
      <c r="H2841" s="569" t="s">
        <v>212</v>
      </c>
      <c r="I2841" s="574">
        <v>0</v>
      </c>
    </row>
    <row r="2842" spans="1:9" ht="16" x14ac:dyDescent="0.2">
      <c r="A2842" s="561">
        <v>46124</v>
      </c>
      <c r="B2842" s="562">
        <v>2026</v>
      </c>
      <c r="C2842" s="563">
        <v>4</v>
      </c>
      <c r="D2842" s="564">
        <v>15</v>
      </c>
      <c r="E2842" s="564">
        <v>12</v>
      </c>
      <c r="F2842" s="565" t="s">
        <v>64</v>
      </c>
      <c r="G2842" s="563" t="s">
        <v>209</v>
      </c>
      <c r="H2842" s="563" t="s">
        <v>212</v>
      </c>
      <c r="I2842" s="573">
        <v>0</v>
      </c>
    </row>
    <row r="2843" spans="1:9" ht="16" x14ac:dyDescent="0.2">
      <c r="A2843" s="567">
        <v>46124</v>
      </c>
      <c r="B2843" s="568">
        <v>2026</v>
      </c>
      <c r="C2843" s="569">
        <v>4</v>
      </c>
      <c r="D2843" s="570">
        <v>15</v>
      </c>
      <c r="E2843" s="570">
        <v>12</v>
      </c>
      <c r="F2843" s="571" t="s">
        <v>237</v>
      </c>
      <c r="G2843" s="569" t="s">
        <v>209</v>
      </c>
      <c r="H2843" s="569" t="s">
        <v>212</v>
      </c>
      <c r="I2843" s="574">
        <v>0</v>
      </c>
    </row>
    <row r="2844" spans="1:9" ht="16" x14ac:dyDescent="0.2">
      <c r="A2844" s="561">
        <v>46124</v>
      </c>
      <c r="B2844" s="562">
        <v>2026</v>
      </c>
      <c r="C2844" s="563">
        <v>4</v>
      </c>
      <c r="D2844" s="564">
        <v>15</v>
      </c>
      <c r="E2844" s="564">
        <v>12</v>
      </c>
      <c r="F2844" s="565" t="s">
        <v>11</v>
      </c>
      <c r="G2844" s="563" t="s">
        <v>11</v>
      </c>
      <c r="H2844" s="563" t="s">
        <v>212</v>
      </c>
      <c r="I2844" s="573">
        <v>16581150000</v>
      </c>
    </row>
    <row r="2845" spans="1:9" ht="16" x14ac:dyDescent="0.2">
      <c r="A2845" s="567">
        <v>46124</v>
      </c>
      <c r="B2845" s="568">
        <v>2026</v>
      </c>
      <c r="C2845" s="569">
        <v>4</v>
      </c>
      <c r="D2845" s="570">
        <v>15</v>
      </c>
      <c r="E2845" s="570">
        <v>12</v>
      </c>
      <c r="F2845" s="571" t="s">
        <v>221</v>
      </c>
      <c r="G2845" s="569" t="s">
        <v>207</v>
      </c>
      <c r="H2845" s="569" t="s">
        <v>212</v>
      </c>
      <c r="I2845" s="574">
        <v>0</v>
      </c>
    </row>
    <row r="2846" spans="1:9" ht="16" x14ac:dyDescent="0.2">
      <c r="A2846" s="561">
        <v>46124</v>
      </c>
      <c r="B2846" s="562">
        <v>2026</v>
      </c>
      <c r="C2846" s="563">
        <v>4</v>
      </c>
      <c r="D2846" s="564">
        <v>15</v>
      </c>
      <c r="E2846" s="564">
        <v>12</v>
      </c>
      <c r="F2846" s="565" t="s">
        <v>222</v>
      </c>
      <c r="G2846" s="563" t="s">
        <v>207</v>
      </c>
      <c r="H2846" s="563" t="s">
        <v>212</v>
      </c>
      <c r="I2846" s="573">
        <v>0</v>
      </c>
    </row>
    <row r="2847" spans="1:9" ht="16" x14ac:dyDescent="0.2">
      <c r="A2847" s="567">
        <v>46124</v>
      </c>
      <c r="B2847" s="568">
        <v>2026</v>
      </c>
      <c r="C2847" s="569">
        <v>4</v>
      </c>
      <c r="D2847" s="570">
        <v>15</v>
      </c>
      <c r="E2847" s="570">
        <v>12</v>
      </c>
      <c r="F2847" s="571" t="s">
        <v>223</v>
      </c>
      <c r="G2847" s="569" t="s">
        <v>207</v>
      </c>
      <c r="H2847" s="569" t="s">
        <v>212</v>
      </c>
      <c r="I2847" s="574">
        <v>0</v>
      </c>
    </row>
    <row r="2848" spans="1:9" ht="16" x14ac:dyDescent="0.2">
      <c r="A2848" s="561">
        <v>46124</v>
      </c>
      <c r="B2848" s="562">
        <v>2026</v>
      </c>
      <c r="C2848" s="563">
        <v>4</v>
      </c>
      <c r="D2848" s="564">
        <v>15</v>
      </c>
      <c r="E2848" s="564">
        <v>12</v>
      </c>
      <c r="F2848" s="565" t="s">
        <v>219</v>
      </c>
      <c r="G2848" s="563" t="s">
        <v>11</v>
      </c>
      <c r="H2848" s="563" t="s">
        <v>212</v>
      </c>
      <c r="I2848" s="573">
        <v>0</v>
      </c>
    </row>
    <row r="2849" spans="1:9" ht="16" x14ac:dyDescent="0.2">
      <c r="A2849" s="567">
        <v>46124</v>
      </c>
      <c r="B2849" s="568">
        <v>2026</v>
      </c>
      <c r="C2849" s="569">
        <v>4</v>
      </c>
      <c r="D2849" s="570">
        <v>15</v>
      </c>
      <c r="E2849" s="570">
        <v>12</v>
      </c>
      <c r="F2849" s="571" t="s">
        <v>19</v>
      </c>
      <c r="G2849" s="569" t="s">
        <v>19</v>
      </c>
      <c r="H2849" s="569" t="s">
        <v>214</v>
      </c>
      <c r="I2849" s="574">
        <v>10937592000</v>
      </c>
    </row>
    <row r="2850" spans="1:9" ht="16" x14ac:dyDescent="0.2">
      <c r="A2850" s="561">
        <v>46124</v>
      </c>
      <c r="B2850" s="562">
        <v>2026</v>
      </c>
      <c r="C2850" s="563">
        <v>4</v>
      </c>
      <c r="D2850" s="564">
        <v>15</v>
      </c>
      <c r="E2850" s="564">
        <v>12</v>
      </c>
      <c r="F2850" s="565" t="s">
        <v>62</v>
      </c>
      <c r="G2850" s="563" t="s">
        <v>62</v>
      </c>
      <c r="H2850" s="563" t="s">
        <v>216</v>
      </c>
      <c r="I2850" s="573">
        <v>197904553</v>
      </c>
    </row>
    <row r="2851" spans="1:9" ht="16" x14ac:dyDescent="0.2">
      <c r="A2851" s="567">
        <v>46124</v>
      </c>
      <c r="B2851" s="568">
        <v>2026</v>
      </c>
      <c r="C2851" s="569">
        <v>4</v>
      </c>
      <c r="D2851" s="570">
        <v>15</v>
      </c>
      <c r="E2851" s="570">
        <v>12</v>
      </c>
      <c r="F2851" s="571" t="s">
        <v>58</v>
      </c>
      <c r="G2851" s="569" t="s">
        <v>58</v>
      </c>
      <c r="H2851" s="569" t="s">
        <v>212</v>
      </c>
      <c r="I2851" s="574">
        <v>21000000</v>
      </c>
    </row>
    <row r="2852" spans="1:9" ht="16" x14ac:dyDescent="0.2">
      <c r="A2852" s="561">
        <v>46124</v>
      </c>
      <c r="B2852" s="562">
        <v>2026</v>
      </c>
      <c r="C2852" s="563">
        <v>4</v>
      </c>
      <c r="D2852" s="564">
        <v>15</v>
      </c>
      <c r="E2852" s="564">
        <v>12</v>
      </c>
      <c r="F2852" s="565" t="s">
        <v>61</v>
      </c>
      <c r="G2852" s="563" t="s">
        <v>61</v>
      </c>
      <c r="H2852" s="563" t="s">
        <v>214</v>
      </c>
      <c r="I2852" s="573">
        <v>45000000</v>
      </c>
    </row>
    <row r="2853" spans="1:9" ht="16" x14ac:dyDescent="0.2">
      <c r="A2853" s="567">
        <v>46124</v>
      </c>
      <c r="B2853" s="568">
        <v>2026</v>
      </c>
      <c r="C2853" s="569">
        <v>4</v>
      </c>
      <c r="D2853" s="570">
        <v>15</v>
      </c>
      <c r="E2853" s="570">
        <v>12</v>
      </c>
      <c r="F2853" s="571" t="s">
        <v>57</v>
      </c>
      <c r="G2853" s="569" t="s">
        <v>57</v>
      </c>
      <c r="H2853" s="569" t="s">
        <v>212</v>
      </c>
      <c r="I2853" s="574">
        <v>553580000</v>
      </c>
    </row>
    <row r="2854" spans="1:9" ht="16" x14ac:dyDescent="0.2">
      <c r="A2854" s="561">
        <v>46124</v>
      </c>
      <c r="B2854" s="562">
        <v>2026</v>
      </c>
      <c r="C2854" s="563">
        <v>4</v>
      </c>
      <c r="D2854" s="564">
        <v>15</v>
      </c>
      <c r="E2854" s="564">
        <v>12</v>
      </c>
      <c r="F2854" s="565" t="s">
        <v>63</v>
      </c>
      <c r="G2854" s="563" t="s">
        <v>63</v>
      </c>
      <c r="H2854" s="563" t="s">
        <v>214</v>
      </c>
      <c r="I2854" s="573">
        <v>275400000</v>
      </c>
    </row>
    <row r="2855" spans="1:9" ht="16" x14ac:dyDescent="0.2">
      <c r="A2855" s="567">
        <v>46124</v>
      </c>
      <c r="B2855" s="568">
        <v>2026</v>
      </c>
      <c r="C2855" s="569">
        <v>4</v>
      </c>
      <c r="D2855" s="570">
        <v>15</v>
      </c>
      <c r="E2855" s="570">
        <v>12</v>
      </c>
      <c r="F2855" s="571" t="s">
        <v>59</v>
      </c>
      <c r="G2855" s="569" t="s">
        <v>59</v>
      </c>
      <c r="H2855" s="569" t="s">
        <v>216</v>
      </c>
      <c r="I2855" s="574">
        <v>249197333</v>
      </c>
    </row>
    <row r="2856" spans="1:9" ht="16" x14ac:dyDescent="0.2">
      <c r="A2856" s="561">
        <v>46124</v>
      </c>
      <c r="B2856" s="562">
        <v>2026</v>
      </c>
      <c r="C2856" s="563">
        <v>4</v>
      </c>
      <c r="D2856" s="564">
        <v>15</v>
      </c>
      <c r="E2856" s="564">
        <v>12</v>
      </c>
      <c r="F2856" s="565" t="s">
        <v>31</v>
      </c>
      <c r="G2856" s="563" t="s">
        <v>175</v>
      </c>
      <c r="H2856" s="563" t="s">
        <v>212</v>
      </c>
      <c r="I2856" s="573">
        <v>4706910000</v>
      </c>
    </row>
    <row r="2857" spans="1:9" ht="16" x14ac:dyDescent="0.2">
      <c r="A2857" s="567">
        <v>46124</v>
      </c>
      <c r="B2857" s="568">
        <v>2026</v>
      </c>
      <c r="C2857" s="569">
        <v>4</v>
      </c>
      <c r="D2857" s="570">
        <v>15</v>
      </c>
      <c r="E2857" s="570">
        <v>12</v>
      </c>
      <c r="F2857" s="571" t="s">
        <v>234</v>
      </c>
      <c r="G2857" s="569" t="s">
        <v>210</v>
      </c>
      <c r="H2857" s="569" t="s">
        <v>214</v>
      </c>
      <c r="I2857" s="574">
        <v>6480000</v>
      </c>
    </row>
    <row r="2858" spans="1:9" ht="16" x14ac:dyDescent="0.2">
      <c r="A2858" s="561">
        <v>46125</v>
      </c>
      <c r="B2858" s="562">
        <v>2026</v>
      </c>
      <c r="C2858" s="563">
        <v>4</v>
      </c>
      <c r="D2858" s="564">
        <v>16</v>
      </c>
      <c r="E2858" s="564">
        <v>13</v>
      </c>
      <c r="F2858" s="565" t="s">
        <v>65</v>
      </c>
      <c r="G2858" s="563" t="s">
        <v>65</v>
      </c>
      <c r="H2858" s="563" t="s">
        <v>212</v>
      </c>
      <c r="I2858" s="573">
        <v>438810000</v>
      </c>
    </row>
    <row r="2859" spans="1:9" ht="16" x14ac:dyDescent="0.2">
      <c r="A2859" s="567">
        <v>46125</v>
      </c>
      <c r="B2859" s="568">
        <v>2026</v>
      </c>
      <c r="C2859" s="569">
        <v>4</v>
      </c>
      <c r="D2859" s="570">
        <v>16</v>
      </c>
      <c r="E2859" s="570">
        <v>13</v>
      </c>
      <c r="F2859" s="571" t="s">
        <v>66</v>
      </c>
      <c r="G2859" s="569" t="s">
        <v>66</v>
      </c>
      <c r="H2859" s="569" t="s">
        <v>216</v>
      </c>
      <c r="I2859" s="574">
        <v>273934417</v>
      </c>
    </row>
    <row r="2860" spans="1:9" ht="16" x14ac:dyDescent="0.2">
      <c r="A2860" s="561">
        <v>46125</v>
      </c>
      <c r="B2860" s="562">
        <v>2026</v>
      </c>
      <c r="C2860" s="563">
        <v>4</v>
      </c>
      <c r="D2860" s="564">
        <v>16</v>
      </c>
      <c r="E2860" s="564">
        <v>13</v>
      </c>
      <c r="F2860" s="565" t="s">
        <v>24</v>
      </c>
      <c r="G2860" s="563" t="s">
        <v>24</v>
      </c>
      <c r="H2860" s="563" t="s">
        <v>212</v>
      </c>
      <c r="I2860" s="573">
        <v>16424450000</v>
      </c>
    </row>
    <row r="2861" spans="1:9" ht="16" x14ac:dyDescent="0.2">
      <c r="A2861" s="567">
        <v>46125</v>
      </c>
      <c r="B2861" s="568">
        <v>2026</v>
      </c>
      <c r="C2861" s="569">
        <v>4</v>
      </c>
      <c r="D2861" s="570">
        <v>16</v>
      </c>
      <c r="E2861" s="570">
        <v>13</v>
      </c>
      <c r="F2861" s="571" t="s">
        <v>67</v>
      </c>
      <c r="G2861" s="569" t="s">
        <v>67</v>
      </c>
      <c r="H2861" s="569" t="s">
        <v>213</v>
      </c>
      <c r="I2861" s="574">
        <v>1602643991</v>
      </c>
    </row>
    <row r="2862" spans="1:9" ht="16" x14ac:dyDescent="0.2">
      <c r="A2862" s="561">
        <v>46125</v>
      </c>
      <c r="B2862" s="562">
        <v>2026</v>
      </c>
      <c r="C2862" s="563">
        <v>4</v>
      </c>
      <c r="D2862" s="564">
        <v>16</v>
      </c>
      <c r="E2862" s="564">
        <v>13</v>
      </c>
      <c r="F2862" s="565" t="s">
        <v>28</v>
      </c>
      <c r="G2862" s="563" t="s">
        <v>28</v>
      </c>
      <c r="H2862" s="563" t="s">
        <v>214</v>
      </c>
      <c r="I2862" s="573">
        <v>13723668000</v>
      </c>
    </row>
    <row r="2863" spans="1:9" ht="16" x14ac:dyDescent="0.2">
      <c r="A2863" s="567">
        <v>46125</v>
      </c>
      <c r="B2863" s="568">
        <v>2026</v>
      </c>
      <c r="C2863" s="569">
        <v>4</v>
      </c>
      <c r="D2863" s="570">
        <v>16</v>
      </c>
      <c r="E2863" s="570">
        <v>13</v>
      </c>
      <c r="F2863" s="571" t="s">
        <v>208</v>
      </c>
      <c r="G2863" s="569" t="s">
        <v>208</v>
      </c>
      <c r="H2863" s="569" t="s">
        <v>216</v>
      </c>
      <c r="I2863" s="574">
        <v>0</v>
      </c>
    </row>
    <row r="2864" spans="1:9" ht="16" x14ac:dyDescent="0.2">
      <c r="A2864" s="561">
        <v>46125</v>
      </c>
      <c r="B2864" s="562">
        <v>2026</v>
      </c>
      <c r="C2864" s="563">
        <v>4</v>
      </c>
      <c r="D2864" s="564">
        <v>16</v>
      </c>
      <c r="E2864" s="564">
        <v>13</v>
      </c>
      <c r="F2864" s="565" t="s">
        <v>60</v>
      </c>
      <c r="G2864" s="563" t="s">
        <v>60</v>
      </c>
      <c r="H2864" s="563" t="s">
        <v>212</v>
      </c>
      <c r="I2864" s="573">
        <v>0</v>
      </c>
    </row>
    <row r="2865" spans="1:9" ht="16" x14ac:dyDescent="0.2">
      <c r="A2865" s="567">
        <v>46125</v>
      </c>
      <c r="B2865" s="568">
        <v>2026</v>
      </c>
      <c r="C2865" s="569">
        <v>4</v>
      </c>
      <c r="D2865" s="570">
        <v>16</v>
      </c>
      <c r="E2865" s="570">
        <v>13</v>
      </c>
      <c r="F2865" s="571" t="s">
        <v>36</v>
      </c>
      <c r="G2865" s="569" t="s">
        <v>36</v>
      </c>
      <c r="H2865" s="569" t="s">
        <v>212</v>
      </c>
      <c r="I2865" s="574">
        <v>3167440000</v>
      </c>
    </row>
    <row r="2866" spans="1:9" ht="16" x14ac:dyDescent="0.2">
      <c r="A2866" s="561">
        <v>46125</v>
      </c>
      <c r="B2866" s="562">
        <v>2026</v>
      </c>
      <c r="C2866" s="563">
        <v>4</v>
      </c>
      <c r="D2866" s="564">
        <v>16</v>
      </c>
      <c r="E2866" s="564">
        <v>13</v>
      </c>
      <c r="F2866" s="565" t="s">
        <v>55</v>
      </c>
      <c r="G2866" s="563" t="s">
        <v>36</v>
      </c>
      <c r="H2866" s="563" t="s">
        <v>212</v>
      </c>
      <c r="I2866" s="573">
        <v>848380000</v>
      </c>
    </row>
    <row r="2867" spans="1:9" ht="16" x14ac:dyDescent="0.2">
      <c r="A2867" s="567">
        <v>46125</v>
      </c>
      <c r="B2867" s="568">
        <v>2026</v>
      </c>
      <c r="C2867" s="569">
        <v>4</v>
      </c>
      <c r="D2867" s="570">
        <v>16</v>
      </c>
      <c r="E2867" s="570">
        <v>13</v>
      </c>
      <c r="F2867" s="571" t="s">
        <v>176</v>
      </c>
      <c r="G2867" s="569" t="s">
        <v>176</v>
      </c>
      <c r="H2867" s="569" t="s">
        <v>216</v>
      </c>
      <c r="I2867" s="574">
        <v>5954006</v>
      </c>
    </row>
    <row r="2868" spans="1:9" ht="16" x14ac:dyDescent="0.2">
      <c r="A2868" s="561">
        <v>46125</v>
      </c>
      <c r="B2868" s="562">
        <v>2026</v>
      </c>
      <c r="C2868" s="563">
        <v>4</v>
      </c>
      <c r="D2868" s="564">
        <v>16</v>
      </c>
      <c r="E2868" s="564">
        <v>13</v>
      </c>
      <c r="F2868" s="565" t="s">
        <v>39</v>
      </c>
      <c r="G2868" s="563" t="s">
        <v>176</v>
      </c>
      <c r="H2868" s="563" t="s">
        <v>216</v>
      </c>
      <c r="I2868" s="573">
        <v>879939666</v>
      </c>
    </row>
    <row r="2869" spans="1:9" ht="16" x14ac:dyDescent="0.2">
      <c r="A2869" s="567">
        <v>46125</v>
      </c>
      <c r="B2869" s="568">
        <v>2026</v>
      </c>
      <c r="C2869" s="569">
        <v>4</v>
      </c>
      <c r="D2869" s="570">
        <v>16</v>
      </c>
      <c r="E2869" s="570">
        <v>13</v>
      </c>
      <c r="F2869" s="571" t="s">
        <v>206</v>
      </c>
      <c r="G2869" s="569" t="s">
        <v>206</v>
      </c>
      <c r="H2869" s="569" t="s">
        <v>212</v>
      </c>
      <c r="I2869" s="574">
        <v>0</v>
      </c>
    </row>
    <row r="2870" spans="1:9" ht="16" x14ac:dyDescent="0.2">
      <c r="A2870" s="561">
        <v>46125</v>
      </c>
      <c r="B2870" s="562">
        <v>2026</v>
      </c>
      <c r="C2870" s="563">
        <v>4</v>
      </c>
      <c r="D2870" s="564">
        <v>16</v>
      </c>
      <c r="E2870" s="564">
        <v>13</v>
      </c>
      <c r="F2870" s="565" t="s">
        <v>64</v>
      </c>
      <c r="G2870" s="563" t="s">
        <v>209</v>
      </c>
      <c r="H2870" s="563" t="s">
        <v>212</v>
      </c>
      <c r="I2870" s="573">
        <v>52500000</v>
      </c>
    </row>
    <row r="2871" spans="1:9" ht="16" x14ac:dyDescent="0.2">
      <c r="A2871" s="567">
        <v>46125</v>
      </c>
      <c r="B2871" s="568">
        <v>2026</v>
      </c>
      <c r="C2871" s="569">
        <v>4</v>
      </c>
      <c r="D2871" s="570">
        <v>16</v>
      </c>
      <c r="E2871" s="570">
        <v>13</v>
      </c>
      <c r="F2871" s="571" t="s">
        <v>237</v>
      </c>
      <c r="G2871" s="569" t="s">
        <v>209</v>
      </c>
      <c r="H2871" s="569" t="s">
        <v>212</v>
      </c>
      <c r="I2871" s="574">
        <v>0</v>
      </c>
    </row>
    <row r="2872" spans="1:9" ht="16" x14ac:dyDescent="0.2">
      <c r="A2872" s="561">
        <v>46125</v>
      </c>
      <c r="B2872" s="562">
        <v>2026</v>
      </c>
      <c r="C2872" s="563">
        <v>4</v>
      </c>
      <c r="D2872" s="564">
        <v>16</v>
      </c>
      <c r="E2872" s="564">
        <v>13</v>
      </c>
      <c r="F2872" s="565" t="s">
        <v>11</v>
      </c>
      <c r="G2872" s="563" t="s">
        <v>11</v>
      </c>
      <c r="H2872" s="563" t="s">
        <v>212</v>
      </c>
      <c r="I2872" s="573">
        <v>17959910000</v>
      </c>
    </row>
    <row r="2873" spans="1:9" ht="16" x14ac:dyDescent="0.2">
      <c r="A2873" s="567">
        <v>46125</v>
      </c>
      <c r="B2873" s="568">
        <v>2026</v>
      </c>
      <c r="C2873" s="569">
        <v>4</v>
      </c>
      <c r="D2873" s="570">
        <v>16</v>
      </c>
      <c r="E2873" s="570">
        <v>13</v>
      </c>
      <c r="F2873" s="571" t="s">
        <v>221</v>
      </c>
      <c r="G2873" s="569" t="s">
        <v>207</v>
      </c>
      <c r="H2873" s="569" t="s">
        <v>212</v>
      </c>
      <c r="I2873" s="574">
        <v>0</v>
      </c>
    </row>
    <row r="2874" spans="1:9" ht="16" x14ac:dyDescent="0.2">
      <c r="A2874" s="561">
        <v>46125</v>
      </c>
      <c r="B2874" s="562">
        <v>2026</v>
      </c>
      <c r="C2874" s="563">
        <v>4</v>
      </c>
      <c r="D2874" s="564">
        <v>16</v>
      </c>
      <c r="E2874" s="564">
        <v>13</v>
      </c>
      <c r="F2874" s="565" t="s">
        <v>222</v>
      </c>
      <c r="G2874" s="563" t="s">
        <v>207</v>
      </c>
      <c r="H2874" s="563" t="s">
        <v>212</v>
      </c>
      <c r="I2874" s="573">
        <v>0</v>
      </c>
    </row>
    <row r="2875" spans="1:9" ht="16" x14ac:dyDescent="0.2">
      <c r="A2875" s="567">
        <v>46125</v>
      </c>
      <c r="B2875" s="568">
        <v>2026</v>
      </c>
      <c r="C2875" s="569">
        <v>4</v>
      </c>
      <c r="D2875" s="570">
        <v>16</v>
      </c>
      <c r="E2875" s="570">
        <v>13</v>
      </c>
      <c r="F2875" s="571" t="s">
        <v>223</v>
      </c>
      <c r="G2875" s="569" t="s">
        <v>207</v>
      </c>
      <c r="H2875" s="569" t="s">
        <v>212</v>
      </c>
      <c r="I2875" s="574">
        <v>0</v>
      </c>
    </row>
    <row r="2876" spans="1:9" ht="16" x14ac:dyDescent="0.2">
      <c r="A2876" s="561">
        <v>46125</v>
      </c>
      <c r="B2876" s="562">
        <v>2026</v>
      </c>
      <c r="C2876" s="563">
        <v>4</v>
      </c>
      <c r="D2876" s="564">
        <v>16</v>
      </c>
      <c r="E2876" s="564">
        <v>13</v>
      </c>
      <c r="F2876" s="565" t="s">
        <v>219</v>
      </c>
      <c r="G2876" s="563" t="s">
        <v>11</v>
      </c>
      <c r="H2876" s="563" t="s">
        <v>212</v>
      </c>
      <c r="I2876" s="573">
        <v>0</v>
      </c>
    </row>
    <row r="2877" spans="1:9" ht="16" x14ac:dyDescent="0.2">
      <c r="A2877" s="567">
        <v>46125</v>
      </c>
      <c r="B2877" s="568">
        <v>2026</v>
      </c>
      <c r="C2877" s="569">
        <v>4</v>
      </c>
      <c r="D2877" s="570">
        <v>16</v>
      </c>
      <c r="E2877" s="570">
        <v>13</v>
      </c>
      <c r="F2877" s="571" t="s">
        <v>19</v>
      </c>
      <c r="G2877" s="569" t="s">
        <v>19</v>
      </c>
      <c r="H2877" s="569" t="s">
        <v>214</v>
      </c>
      <c r="I2877" s="574">
        <v>10580652000</v>
      </c>
    </row>
    <row r="2878" spans="1:9" ht="16" x14ac:dyDescent="0.2">
      <c r="A2878" s="561">
        <v>46125</v>
      </c>
      <c r="B2878" s="562">
        <v>2026</v>
      </c>
      <c r="C2878" s="563">
        <v>4</v>
      </c>
      <c r="D2878" s="564">
        <v>16</v>
      </c>
      <c r="E2878" s="564">
        <v>13</v>
      </c>
      <c r="F2878" s="565" t="s">
        <v>62</v>
      </c>
      <c r="G2878" s="563" t="s">
        <v>62</v>
      </c>
      <c r="H2878" s="563" t="s">
        <v>216</v>
      </c>
      <c r="I2878" s="573">
        <v>178900462</v>
      </c>
    </row>
    <row r="2879" spans="1:9" ht="16" x14ac:dyDescent="0.2">
      <c r="A2879" s="567">
        <v>46125</v>
      </c>
      <c r="B2879" s="568">
        <v>2026</v>
      </c>
      <c r="C2879" s="569">
        <v>4</v>
      </c>
      <c r="D2879" s="570">
        <v>16</v>
      </c>
      <c r="E2879" s="570">
        <v>13</v>
      </c>
      <c r="F2879" s="571" t="s">
        <v>58</v>
      </c>
      <c r="G2879" s="569" t="s">
        <v>58</v>
      </c>
      <c r="H2879" s="569" t="s">
        <v>212</v>
      </c>
      <c r="I2879" s="574">
        <v>31500000</v>
      </c>
    </row>
    <row r="2880" spans="1:9" ht="16" x14ac:dyDescent="0.2">
      <c r="A2880" s="561">
        <v>46125</v>
      </c>
      <c r="B2880" s="562">
        <v>2026</v>
      </c>
      <c r="C2880" s="563">
        <v>4</v>
      </c>
      <c r="D2880" s="564">
        <v>16</v>
      </c>
      <c r="E2880" s="564">
        <v>13</v>
      </c>
      <c r="F2880" s="565" t="s">
        <v>61</v>
      </c>
      <c r="G2880" s="563" t="s">
        <v>61</v>
      </c>
      <c r="H2880" s="563" t="s">
        <v>214</v>
      </c>
      <c r="I2880" s="573">
        <v>53000000</v>
      </c>
    </row>
    <row r="2881" spans="1:9" ht="16" x14ac:dyDescent="0.2">
      <c r="A2881" s="567">
        <v>46125</v>
      </c>
      <c r="B2881" s="568">
        <v>2026</v>
      </c>
      <c r="C2881" s="569">
        <v>4</v>
      </c>
      <c r="D2881" s="570">
        <v>16</v>
      </c>
      <c r="E2881" s="570">
        <v>13</v>
      </c>
      <c r="F2881" s="571" t="s">
        <v>57</v>
      </c>
      <c r="G2881" s="569" t="s">
        <v>57</v>
      </c>
      <c r="H2881" s="569" t="s">
        <v>212</v>
      </c>
      <c r="I2881" s="574">
        <v>537320000</v>
      </c>
    </row>
    <row r="2882" spans="1:9" ht="16" x14ac:dyDescent="0.2">
      <c r="A2882" s="561">
        <v>46125</v>
      </c>
      <c r="B2882" s="562">
        <v>2026</v>
      </c>
      <c r="C2882" s="563">
        <v>4</v>
      </c>
      <c r="D2882" s="564">
        <v>16</v>
      </c>
      <c r="E2882" s="564">
        <v>13</v>
      </c>
      <c r="F2882" s="565" t="s">
        <v>63</v>
      </c>
      <c r="G2882" s="563" t="s">
        <v>63</v>
      </c>
      <c r="H2882" s="563" t="s">
        <v>214</v>
      </c>
      <c r="I2882" s="573">
        <v>369684000</v>
      </c>
    </row>
    <row r="2883" spans="1:9" ht="16" x14ac:dyDescent="0.2">
      <c r="A2883" s="567">
        <v>46125</v>
      </c>
      <c r="B2883" s="568">
        <v>2026</v>
      </c>
      <c r="C2883" s="569">
        <v>4</v>
      </c>
      <c r="D2883" s="570">
        <v>16</v>
      </c>
      <c r="E2883" s="570">
        <v>13</v>
      </c>
      <c r="F2883" s="571" t="s">
        <v>59</v>
      </c>
      <c r="G2883" s="569" t="s">
        <v>59</v>
      </c>
      <c r="H2883" s="569" t="s">
        <v>216</v>
      </c>
      <c r="I2883" s="574">
        <v>301895258</v>
      </c>
    </row>
    <row r="2884" spans="1:9" ht="16" x14ac:dyDescent="0.2">
      <c r="A2884" s="561">
        <v>46125</v>
      </c>
      <c r="B2884" s="562">
        <v>2026</v>
      </c>
      <c r="C2884" s="563">
        <v>4</v>
      </c>
      <c r="D2884" s="564">
        <v>16</v>
      </c>
      <c r="E2884" s="564">
        <v>13</v>
      </c>
      <c r="F2884" s="565" t="s">
        <v>31</v>
      </c>
      <c r="G2884" s="563" t="s">
        <v>175</v>
      </c>
      <c r="H2884" s="563" t="s">
        <v>212</v>
      </c>
      <c r="I2884" s="573">
        <v>5343780000</v>
      </c>
    </row>
    <row r="2885" spans="1:9" ht="16" x14ac:dyDescent="0.2">
      <c r="A2885" s="567">
        <v>46125</v>
      </c>
      <c r="B2885" s="568">
        <v>2026</v>
      </c>
      <c r="C2885" s="569">
        <v>4</v>
      </c>
      <c r="D2885" s="570">
        <v>16</v>
      </c>
      <c r="E2885" s="570">
        <v>13</v>
      </c>
      <c r="F2885" s="571" t="s">
        <v>234</v>
      </c>
      <c r="G2885" s="569" t="s">
        <v>210</v>
      </c>
      <c r="H2885" s="569" t="s">
        <v>214</v>
      </c>
      <c r="I2885" s="574">
        <v>2160000</v>
      </c>
    </row>
    <row r="2886" spans="1:9" ht="16" x14ac:dyDescent="0.2">
      <c r="A2886" s="561">
        <v>46126</v>
      </c>
      <c r="B2886" s="562">
        <v>2026</v>
      </c>
      <c r="C2886" s="563">
        <v>4</v>
      </c>
      <c r="D2886" s="564">
        <v>16</v>
      </c>
      <c r="E2886" s="564">
        <v>14</v>
      </c>
      <c r="F2886" s="565" t="s">
        <v>65</v>
      </c>
      <c r="G2886" s="563" t="s">
        <v>65</v>
      </c>
      <c r="H2886" s="563" t="s">
        <v>212</v>
      </c>
      <c r="I2886" s="573">
        <v>386090000</v>
      </c>
    </row>
    <row r="2887" spans="1:9" ht="16" x14ac:dyDescent="0.2">
      <c r="A2887" s="567">
        <v>46126</v>
      </c>
      <c r="B2887" s="568">
        <v>2026</v>
      </c>
      <c r="C2887" s="569">
        <v>4</v>
      </c>
      <c r="D2887" s="570">
        <v>16</v>
      </c>
      <c r="E2887" s="570">
        <v>14</v>
      </c>
      <c r="F2887" s="571" t="s">
        <v>66</v>
      </c>
      <c r="G2887" s="569" t="s">
        <v>66</v>
      </c>
      <c r="H2887" s="569" t="s">
        <v>216</v>
      </c>
      <c r="I2887" s="574">
        <v>255411827</v>
      </c>
    </row>
    <row r="2888" spans="1:9" ht="16" x14ac:dyDescent="0.2">
      <c r="A2888" s="561">
        <v>46126</v>
      </c>
      <c r="B2888" s="562">
        <v>2026</v>
      </c>
      <c r="C2888" s="563">
        <v>4</v>
      </c>
      <c r="D2888" s="564">
        <v>16</v>
      </c>
      <c r="E2888" s="564">
        <v>14</v>
      </c>
      <c r="F2888" s="565" t="s">
        <v>24</v>
      </c>
      <c r="G2888" s="563" t="s">
        <v>24</v>
      </c>
      <c r="H2888" s="563" t="s">
        <v>212</v>
      </c>
      <c r="I2888" s="573">
        <v>14958530000</v>
      </c>
    </row>
    <row r="2889" spans="1:9" ht="16" x14ac:dyDescent="0.2">
      <c r="A2889" s="567">
        <v>46126</v>
      </c>
      <c r="B2889" s="568">
        <v>2026</v>
      </c>
      <c r="C2889" s="569">
        <v>4</v>
      </c>
      <c r="D2889" s="570">
        <v>16</v>
      </c>
      <c r="E2889" s="570">
        <v>14</v>
      </c>
      <c r="F2889" s="571" t="s">
        <v>67</v>
      </c>
      <c r="G2889" s="569" t="s">
        <v>67</v>
      </c>
      <c r="H2889" s="569" t="s">
        <v>213</v>
      </c>
      <c r="I2889" s="574">
        <v>1362590416</v>
      </c>
    </row>
    <row r="2890" spans="1:9" ht="16" x14ac:dyDescent="0.2">
      <c r="A2890" s="561">
        <v>46126</v>
      </c>
      <c r="B2890" s="562">
        <v>2026</v>
      </c>
      <c r="C2890" s="563">
        <v>4</v>
      </c>
      <c r="D2890" s="564">
        <v>16</v>
      </c>
      <c r="E2890" s="564">
        <v>14</v>
      </c>
      <c r="F2890" s="565" t="s">
        <v>28</v>
      </c>
      <c r="G2890" s="563" t="s">
        <v>28</v>
      </c>
      <c r="H2890" s="563" t="s">
        <v>214</v>
      </c>
      <c r="I2890" s="573">
        <v>13722588000</v>
      </c>
    </row>
    <row r="2891" spans="1:9" ht="16" x14ac:dyDescent="0.2">
      <c r="A2891" s="567">
        <v>46126</v>
      </c>
      <c r="B2891" s="568">
        <v>2026</v>
      </c>
      <c r="C2891" s="569">
        <v>4</v>
      </c>
      <c r="D2891" s="570">
        <v>16</v>
      </c>
      <c r="E2891" s="570">
        <v>14</v>
      </c>
      <c r="F2891" s="571" t="s">
        <v>208</v>
      </c>
      <c r="G2891" s="569" t="s">
        <v>208</v>
      </c>
      <c r="H2891" s="569" t="s">
        <v>216</v>
      </c>
      <c r="I2891" s="574">
        <v>0</v>
      </c>
    </row>
    <row r="2892" spans="1:9" ht="16" x14ac:dyDescent="0.2">
      <c r="A2892" s="561">
        <v>46126</v>
      </c>
      <c r="B2892" s="562">
        <v>2026</v>
      </c>
      <c r="C2892" s="563">
        <v>4</v>
      </c>
      <c r="D2892" s="564">
        <v>16</v>
      </c>
      <c r="E2892" s="564">
        <v>14</v>
      </c>
      <c r="F2892" s="565" t="s">
        <v>60</v>
      </c>
      <c r="G2892" s="563" t="s">
        <v>60</v>
      </c>
      <c r="H2892" s="563" t="s">
        <v>212</v>
      </c>
      <c r="I2892" s="573">
        <v>90000000</v>
      </c>
    </row>
    <row r="2893" spans="1:9" ht="16" x14ac:dyDescent="0.2">
      <c r="A2893" s="567">
        <v>46126</v>
      </c>
      <c r="B2893" s="568">
        <v>2026</v>
      </c>
      <c r="C2893" s="569">
        <v>4</v>
      </c>
      <c r="D2893" s="570">
        <v>16</v>
      </c>
      <c r="E2893" s="570">
        <v>14</v>
      </c>
      <c r="F2893" s="571" t="s">
        <v>36</v>
      </c>
      <c r="G2893" s="569" t="s">
        <v>36</v>
      </c>
      <c r="H2893" s="569" t="s">
        <v>212</v>
      </c>
      <c r="I2893" s="574">
        <v>2837450000</v>
      </c>
    </row>
    <row r="2894" spans="1:9" ht="16" x14ac:dyDescent="0.2">
      <c r="A2894" s="561">
        <v>46126</v>
      </c>
      <c r="B2894" s="562">
        <v>2026</v>
      </c>
      <c r="C2894" s="563">
        <v>4</v>
      </c>
      <c r="D2894" s="564">
        <v>16</v>
      </c>
      <c r="E2894" s="564">
        <v>14</v>
      </c>
      <c r="F2894" s="565" t="s">
        <v>55</v>
      </c>
      <c r="G2894" s="563" t="s">
        <v>36</v>
      </c>
      <c r="H2894" s="563" t="s">
        <v>212</v>
      </c>
      <c r="I2894" s="573">
        <v>567530000</v>
      </c>
    </row>
    <row r="2895" spans="1:9" ht="16" x14ac:dyDescent="0.2">
      <c r="A2895" s="567">
        <v>46126</v>
      </c>
      <c r="B2895" s="568">
        <v>2026</v>
      </c>
      <c r="C2895" s="569">
        <v>4</v>
      </c>
      <c r="D2895" s="570">
        <v>16</v>
      </c>
      <c r="E2895" s="570">
        <v>14</v>
      </c>
      <c r="F2895" s="571" t="s">
        <v>176</v>
      </c>
      <c r="G2895" s="569" t="s">
        <v>176</v>
      </c>
      <c r="H2895" s="569" t="s">
        <v>216</v>
      </c>
      <c r="I2895" s="574">
        <v>1828000</v>
      </c>
    </row>
    <row r="2896" spans="1:9" ht="16" x14ac:dyDescent="0.2">
      <c r="A2896" s="561">
        <v>46126</v>
      </c>
      <c r="B2896" s="562">
        <v>2026</v>
      </c>
      <c r="C2896" s="563">
        <v>4</v>
      </c>
      <c r="D2896" s="564">
        <v>16</v>
      </c>
      <c r="E2896" s="564">
        <v>14</v>
      </c>
      <c r="F2896" s="565" t="s">
        <v>39</v>
      </c>
      <c r="G2896" s="563" t="s">
        <v>176</v>
      </c>
      <c r="H2896" s="563" t="s">
        <v>216</v>
      </c>
      <c r="I2896" s="573">
        <v>932321018</v>
      </c>
    </row>
    <row r="2897" spans="1:9" ht="16" x14ac:dyDescent="0.2">
      <c r="A2897" s="567">
        <v>46126</v>
      </c>
      <c r="B2897" s="568">
        <v>2026</v>
      </c>
      <c r="C2897" s="569">
        <v>4</v>
      </c>
      <c r="D2897" s="570">
        <v>16</v>
      </c>
      <c r="E2897" s="570">
        <v>14</v>
      </c>
      <c r="F2897" s="571" t="s">
        <v>206</v>
      </c>
      <c r="G2897" s="569" t="s">
        <v>206</v>
      </c>
      <c r="H2897" s="569" t="s">
        <v>212</v>
      </c>
      <c r="I2897" s="574">
        <v>0</v>
      </c>
    </row>
    <row r="2898" spans="1:9" ht="16" x14ac:dyDescent="0.2">
      <c r="A2898" s="561">
        <v>46126</v>
      </c>
      <c r="B2898" s="562">
        <v>2026</v>
      </c>
      <c r="C2898" s="563">
        <v>4</v>
      </c>
      <c r="D2898" s="564">
        <v>16</v>
      </c>
      <c r="E2898" s="564">
        <v>14</v>
      </c>
      <c r="F2898" s="565" t="s">
        <v>64</v>
      </c>
      <c r="G2898" s="563" t="s">
        <v>209</v>
      </c>
      <c r="H2898" s="563" t="s">
        <v>212</v>
      </c>
      <c r="I2898" s="573">
        <v>93250000</v>
      </c>
    </row>
    <row r="2899" spans="1:9" ht="16" x14ac:dyDescent="0.2">
      <c r="A2899" s="567">
        <v>46126</v>
      </c>
      <c r="B2899" s="568">
        <v>2026</v>
      </c>
      <c r="C2899" s="569">
        <v>4</v>
      </c>
      <c r="D2899" s="570">
        <v>16</v>
      </c>
      <c r="E2899" s="570">
        <v>14</v>
      </c>
      <c r="F2899" s="571" t="s">
        <v>237</v>
      </c>
      <c r="G2899" s="569" t="s">
        <v>209</v>
      </c>
      <c r="H2899" s="569" t="s">
        <v>212</v>
      </c>
      <c r="I2899" s="574">
        <v>0</v>
      </c>
    </row>
    <row r="2900" spans="1:9" ht="16" x14ac:dyDescent="0.2">
      <c r="A2900" s="561">
        <v>46126</v>
      </c>
      <c r="B2900" s="562">
        <v>2026</v>
      </c>
      <c r="C2900" s="563">
        <v>4</v>
      </c>
      <c r="D2900" s="564">
        <v>16</v>
      </c>
      <c r="E2900" s="564">
        <v>14</v>
      </c>
      <c r="F2900" s="565" t="s">
        <v>11</v>
      </c>
      <c r="G2900" s="563" t="s">
        <v>11</v>
      </c>
      <c r="H2900" s="563" t="s">
        <v>212</v>
      </c>
      <c r="I2900" s="573">
        <v>18714060000</v>
      </c>
    </row>
    <row r="2901" spans="1:9" ht="16" x14ac:dyDescent="0.2">
      <c r="A2901" s="567">
        <v>46126</v>
      </c>
      <c r="B2901" s="568">
        <v>2026</v>
      </c>
      <c r="C2901" s="569">
        <v>4</v>
      </c>
      <c r="D2901" s="570">
        <v>16</v>
      </c>
      <c r="E2901" s="570">
        <v>14</v>
      </c>
      <c r="F2901" s="571" t="s">
        <v>221</v>
      </c>
      <c r="G2901" s="569" t="s">
        <v>207</v>
      </c>
      <c r="H2901" s="569" t="s">
        <v>212</v>
      </c>
      <c r="I2901" s="574">
        <v>0</v>
      </c>
    </row>
    <row r="2902" spans="1:9" ht="16" x14ac:dyDescent="0.2">
      <c r="A2902" s="561">
        <v>46126</v>
      </c>
      <c r="B2902" s="562">
        <v>2026</v>
      </c>
      <c r="C2902" s="563">
        <v>4</v>
      </c>
      <c r="D2902" s="564">
        <v>16</v>
      </c>
      <c r="E2902" s="564">
        <v>14</v>
      </c>
      <c r="F2902" s="565" t="s">
        <v>222</v>
      </c>
      <c r="G2902" s="563" t="s">
        <v>207</v>
      </c>
      <c r="H2902" s="563" t="s">
        <v>212</v>
      </c>
      <c r="I2902" s="573">
        <v>0</v>
      </c>
    </row>
    <row r="2903" spans="1:9" ht="16" x14ac:dyDescent="0.2">
      <c r="A2903" s="567">
        <v>46126</v>
      </c>
      <c r="B2903" s="568">
        <v>2026</v>
      </c>
      <c r="C2903" s="569">
        <v>4</v>
      </c>
      <c r="D2903" s="570">
        <v>16</v>
      </c>
      <c r="E2903" s="570">
        <v>14</v>
      </c>
      <c r="F2903" s="571" t="s">
        <v>223</v>
      </c>
      <c r="G2903" s="569" t="s">
        <v>207</v>
      </c>
      <c r="H2903" s="569" t="s">
        <v>212</v>
      </c>
      <c r="I2903" s="574">
        <v>0</v>
      </c>
    </row>
    <row r="2904" spans="1:9" ht="16" x14ac:dyDescent="0.2">
      <c r="A2904" s="561">
        <v>46126</v>
      </c>
      <c r="B2904" s="562">
        <v>2026</v>
      </c>
      <c r="C2904" s="563">
        <v>4</v>
      </c>
      <c r="D2904" s="564">
        <v>16</v>
      </c>
      <c r="E2904" s="564">
        <v>14</v>
      </c>
      <c r="F2904" s="565" t="s">
        <v>219</v>
      </c>
      <c r="G2904" s="563" t="s">
        <v>11</v>
      </c>
      <c r="H2904" s="563" t="s">
        <v>212</v>
      </c>
      <c r="I2904" s="573">
        <v>0</v>
      </c>
    </row>
    <row r="2905" spans="1:9" ht="16" x14ac:dyDescent="0.2">
      <c r="A2905" s="567">
        <v>46126</v>
      </c>
      <c r="B2905" s="568">
        <v>2026</v>
      </c>
      <c r="C2905" s="569">
        <v>4</v>
      </c>
      <c r="D2905" s="570">
        <v>16</v>
      </c>
      <c r="E2905" s="570">
        <v>14</v>
      </c>
      <c r="F2905" s="571" t="s">
        <v>19</v>
      </c>
      <c r="G2905" s="569" t="s">
        <v>19</v>
      </c>
      <c r="H2905" s="569" t="s">
        <v>214</v>
      </c>
      <c r="I2905" s="574">
        <v>10200060000</v>
      </c>
    </row>
    <row r="2906" spans="1:9" ht="16" x14ac:dyDescent="0.2">
      <c r="A2906" s="561">
        <v>46126</v>
      </c>
      <c r="B2906" s="562">
        <v>2026</v>
      </c>
      <c r="C2906" s="563">
        <v>4</v>
      </c>
      <c r="D2906" s="564">
        <v>16</v>
      </c>
      <c r="E2906" s="564">
        <v>14</v>
      </c>
      <c r="F2906" s="565" t="s">
        <v>62</v>
      </c>
      <c r="G2906" s="563" t="s">
        <v>62</v>
      </c>
      <c r="H2906" s="563" t="s">
        <v>216</v>
      </c>
      <c r="I2906" s="573">
        <v>157377981</v>
      </c>
    </row>
    <row r="2907" spans="1:9" ht="16" x14ac:dyDescent="0.2">
      <c r="A2907" s="567">
        <v>46126</v>
      </c>
      <c r="B2907" s="568">
        <v>2026</v>
      </c>
      <c r="C2907" s="569">
        <v>4</v>
      </c>
      <c r="D2907" s="570">
        <v>16</v>
      </c>
      <c r="E2907" s="570">
        <v>14</v>
      </c>
      <c r="F2907" s="571" t="s">
        <v>58</v>
      </c>
      <c r="G2907" s="569" t="s">
        <v>58</v>
      </c>
      <c r="H2907" s="569" t="s">
        <v>212</v>
      </c>
      <c r="I2907" s="574">
        <v>57750000</v>
      </c>
    </row>
    <row r="2908" spans="1:9" ht="16" x14ac:dyDescent="0.2">
      <c r="A2908" s="561">
        <v>46126</v>
      </c>
      <c r="B2908" s="562">
        <v>2026</v>
      </c>
      <c r="C2908" s="563">
        <v>4</v>
      </c>
      <c r="D2908" s="564">
        <v>16</v>
      </c>
      <c r="E2908" s="564">
        <v>14</v>
      </c>
      <c r="F2908" s="565" t="s">
        <v>61</v>
      </c>
      <c r="G2908" s="563" t="s">
        <v>61</v>
      </c>
      <c r="H2908" s="563" t="s">
        <v>214</v>
      </c>
      <c r="I2908" s="573">
        <v>52000000</v>
      </c>
    </row>
    <row r="2909" spans="1:9" ht="16" x14ac:dyDescent="0.2">
      <c r="A2909" s="567">
        <v>46126</v>
      </c>
      <c r="B2909" s="568">
        <v>2026</v>
      </c>
      <c r="C2909" s="569">
        <v>4</v>
      </c>
      <c r="D2909" s="570">
        <v>16</v>
      </c>
      <c r="E2909" s="570">
        <v>14</v>
      </c>
      <c r="F2909" s="571" t="s">
        <v>57</v>
      </c>
      <c r="G2909" s="569" t="s">
        <v>57</v>
      </c>
      <c r="H2909" s="569" t="s">
        <v>212</v>
      </c>
      <c r="I2909" s="574">
        <v>658790000</v>
      </c>
    </row>
    <row r="2910" spans="1:9" ht="16" x14ac:dyDescent="0.2">
      <c r="A2910" s="561">
        <v>46126</v>
      </c>
      <c r="B2910" s="562">
        <v>2026</v>
      </c>
      <c r="C2910" s="563">
        <v>4</v>
      </c>
      <c r="D2910" s="564">
        <v>16</v>
      </c>
      <c r="E2910" s="564">
        <v>14</v>
      </c>
      <c r="F2910" s="565" t="s">
        <v>63</v>
      </c>
      <c r="G2910" s="563" t="s">
        <v>63</v>
      </c>
      <c r="H2910" s="563" t="s">
        <v>214</v>
      </c>
      <c r="I2910" s="573">
        <v>349920000</v>
      </c>
    </row>
    <row r="2911" spans="1:9" ht="16" x14ac:dyDescent="0.2">
      <c r="A2911" s="567">
        <v>46126</v>
      </c>
      <c r="B2911" s="568">
        <v>2026</v>
      </c>
      <c r="C2911" s="569">
        <v>4</v>
      </c>
      <c r="D2911" s="570">
        <v>16</v>
      </c>
      <c r="E2911" s="570">
        <v>14</v>
      </c>
      <c r="F2911" s="571" t="s">
        <v>59</v>
      </c>
      <c r="G2911" s="569" t="s">
        <v>59</v>
      </c>
      <c r="H2911" s="569" t="s">
        <v>216</v>
      </c>
      <c r="I2911" s="574">
        <v>252671303</v>
      </c>
    </row>
    <row r="2912" spans="1:9" ht="16" x14ac:dyDescent="0.2">
      <c r="A2912" s="561">
        <v>46126</v>
      </c>
      <c r="B2912" s="562">
        <v>2026</v>
      </c>
      <c r="C2912" s="563">
        <v>4</v>
      </c>
      <c r="D2912" s="564">
        <v>16</v>
      </c>
      <c r="E2912" s="564">
        <v>14</v>
      </c>
      <c r="F2912" s="565" t="s">
        <v>31</v>
      </c>
      <c r="G2912" s="563" t="s">
        <v>175</v>
      </c>
      <c r="H2912" s="563" t="s">
        <v>212</v>
      </c>
      <c r="I2912" s="573">
        <v>5869520000</v>
      </c>
    </row>
    <row r="2913" spans="1:9" ht="16" x14ac:dyDescent="0.2">
      <c r="A2913" s="567">
        <v>46126</v>
      </c>
      <c r="B2913" s="568">
        <v>2026</v>
      </c>
      <c r="C2913" s="569">
        <v>4</v>
      </c>
      <c r="D2913" s="570">
        <v>16</v>
      </c>
      <c r="E2913" s="570">
        <v>14</v>
      </c>
      <c r="F2913" s="571" t="s">
        <v>234</v>
      </c>
      <c r="G2913" s="569" t="s">
        <v>210</v>
      </c>
      <c r="H2913" s="569" t="s">
        <v>214</v>
      </c>
      <c r="I2913" s="574">
        <v>6480000</v>
      </c>
    </row>
    <row r="2914" spans="1:9" ht="16" x14ac:dyDescent="0.2">
      <c r="A2914" s="561">
        <v>46127</v>
      </c>
      <c r="B2914" s="562">
        <v>2026</v>
      </c>
      <c r="C2914" s="563">
        <v>4</v>
      </c>
      <c r="D2914" s="564">
        <v>16</v>
      </c>
      <c r="E2914" s="564">
        <v>15</v>
      </c>
      <c r="F2914" s="565" t="s">
        <v>65</v>
      </c>
      <c r="G2914" s="563" t="s">
        <v>65</v>
      </c>
      <c r="H2914" s="563" t="s">
        <v>212</v>
      </c>
      <c r="I2914" s="573">
        <v>485090000</v>
      </c>
    </row>
    <row r="2915" spans="1:9" ht="16" x14ac:dyDescent="0.2">
      <c r="A2915" s="567">
        <v>46127</v>
      </c>
      <c r="B2915" s="568">
        <v>2026</v>
      </c>
      <c r="C2915" s="569">
        <v>4</v>
      </c>
      <c r="D2915" s="570">
        <v>16</v>
      </c>
      <c r="E2915" s="570">
        <v>15</v>
      </c>
      <c r="F2915" s="571" t="s">
        <v>66</v>
      </c>
      <c r="G2915" s="569" t="s">
        <v>66</v>
      </c>
      <c r="H2915" s="569" t="s">
        <v>216</v>
      </c>
      <c r="I2915" s="574">
        <v>255129496</v>
      </c>
    </row>
    <row r="2916" spans="1:9" ht="16" x14ac:dyDescent="0.2">
      <c r="A2916" s="561">
        <v>46127</v>
      </c>
      <c r="B2916" s="562">
        <v>2026</v>
      </c>
      <c r="C2916" s="563">
        <v>4</v>
      </c>
      <c r="D2916" s="564">
        <v>16</v>
      </c>
      <c r="E2916" s="564">
        <v>15</v>
      </c>
      <c r="F2916" s="565" t="s">
        <v>24</v>
      </c>
      <c r="G2916" s="563" t="s">
        <v>24</v>
      </c>
      <c r="H2916" s="563" t="s">
        <v>212</v>
      </c>
      <c r="I2916" s="573">
        <v>17456220000</v>
      </c>
    </row>
    <row r="2917" spans="1:9" ht="16" x14ac:dyDescent="0.2">
      <c r="A2917" s="567">
        <v>46127</v>
      </c>
      <c r="B2917" s="568">
        <v>2026</v>
      </c>
      <c r="C2917" s="569">
        <v>4</v>
      </c>
      <c r="D2917" s="570">
        <v>16</v>
      </c>
      <c r="E2917" s="570">
        <v>15</v>
      </c>
      <c r="F2917" s="571" t="s">
        <v>67</v>
      </c>
      <c r="G2917" s="569" t="s">
        <v>67</v>
      </c>
      <c r="H2917" s="569" t="s">
        <v>213</v>
      </c>
      <c r="I2917" s="574">
        <v>1675318227</v>
      </c>
    </row>
    <row r="2918" spans="1:9" ht="16" x14ac:dyDescent="0.2">
      <c r="A2918" s="561">
        <v>46127</v>
      </c>
      <c r="B2918" s="562">
        <v>2026</v>
      </c>
      <c r="C2918" s="563">
        <v>4</v>
      </c>
      <c r="D2918" s="564">
        <v>16</v>
      </c>
      <c r="E2918" s="564">
        <v>15</v>
      </c>
      <c r="F2918" s="565" t="s">
        <v>28</v>
      </c>
      <c r="G2918" s="563" t="s">
        <v>28</v>
      </c>
      <c r="H2918" s="563" t="s">
        <v>214</v>
      </c>
      <c r="I2918" s="573">
        <v>15747264000</v>
      </c>
    </row>
    <row r="2919" spans="1:9" ht="16" x14ac:dyDescent="0.2">
      <c r="A2919" s="567">
        <v>46127</v>
      </c>
      <c r="B2919" s="568">
        <v>2026</v>
      </c>
      <c r="C2919" s="569">
        <v>4</v>
      </c>
      <c r="D2919" s="570">
        <v>16</v>
      </c>
      <c r="E2919" s="570">
        <v>15</v>
      </c>
      <c r="F2919" s="571" t="s">
        <v>208</v>
      </c>
      <c r="G2919" s="569" t="s">
        <v>208</v>
      </c>
      <c r="H2919" s="569" t="s">
        <v>216</v>
      </c>
      <c r="I2919" s="574">
        <v>0</v>
      </c>
    </row>
    <row r="2920" spans="1:9" ht="16" x14ac:dyDescent="0.2">
      <c r="A2920" s="561">
        <v>46127</v>
      </c>
      <c r="B2920" s="562">
        <v>2026</v>
      </c>
      <c r="C2920" s="563">
        <v>4</v>
      </c>
      <c r="D2920" s="564">
        <v>16</v>
      </c>
      <c r="E2920" s="564">
        <v>15</v>
      </c>
      <c r="F2920" s="565" t="s">
        <v>60</v>
      </c>
      <c r="G2920" s="563" t="s">
        <v>60</v>
      </c>
      <c r="H2920" s="563" t="s">
        <v>212</v>
      </c>
      <c r="I2920" s="573">
        <v>0</v>
      </c>
    </row>
    <row r="2921" spans="1:9" ht="16" x14ac:dyDescent="0.2">
      <c r="A2921" s="567">
        <v>46127</v>
      </c>
      <c r="B2921" s="568">
        <v>2026</v>
      </c>
      <c r="C2921" s="569">
        <v>4</v>
      </c>
      <c r="D2921" s="570">
        <v>16</v>
      </c>
      <c r="E2921" s="570">
        <v>15</v>
      </c>
      <c r="F2921" s="571" t="s">
        <v>36</v>
      </c>
      <c r="G2921" s="569" t="s">
        <v>36</v>
      </c>
      <c r="H2921" s="569" t="s">
        <v>212</v>
      </c>
      <c r="I2921" s="574">
        <v>2574730000</v>
      </c>
    </row>
    <row r="2922" spans="1:9" ht="16" x14ac:dyDescent="0.2">
      <c r="A2922" s="561">
        <v>46127</v>
      </c>
      <c r="B2922" s="562">
        <v>2026</v>
      </c>
      <c r="C2922" s="563">
        <v>4</v>
      </c>
      <c r="D2922" s="564">
        <v>16</v>
      </c>
      <c r="E2922" s="564">
        <v>15</v>
      </c>
      <c r="F2922" s="565" t="s">
        <v>55</v>
      </c>
      <c r="G2922" s="563" t="s">
        <v>36</v>
      </c>
      <c r="H2922" s="563" t="s">
        <v>212</v>
      </c>
      <c r="I2922" s="573">
        <v>901760000</v>
      </c>
    </row>
    <row r="2923" spans="1:9" ht="16" x14ac:dyDescent="0.2">
      <c r="A2923" s="567">
        <v>46127</v>
      </c>
      <c r="B2923" s="568">
        <v>2026</v>
      </c>
      <c r="C2923" s="569">
        <v>4</v>
      </c>
      <c r="D2923" s="570">
        <v>16</v>
      </c>
      <c r="E2923" s="570">
        <v>15</v>
      </c>
      <c r="F2923" s="571" t="s">
        <v>176</v>
      </c>
      <c r="G2923" s="569" t="s">
        <v>176</v>
      </c>
      <c r="H2923" s="569" t="s">
        <v>216</v>
      </c>
      <c r="I2923" s="574">
        <v>5093685</v>
      </c>
    </row>
    <row r="2924" spans="1:9" ht="16" x14ac:dyDescent="0.2">
      <c r="A2924" s="561">
        <v>46127</v>
      </c>
      <c r="B2924" s="562">
        <v>2026</v>
      </c>
      <c r="C2924" s="563">
        <v>4</v>
      </c>
      <c r="D2924" s="564">
        <v>16</v>
      </c>
      <c r="E2924" s="564">
        <v>15</v>
      </c>
      <c r="F2924" s="565" t="s">
        <v>39</v>
      </c>
      <c r="G2924" s="563" t="s">
        <v>176</v>
      </c>
      <c r="H2924" s="563" t="s">
        <v>216</v>
      </c>
      <c r="I2924" s="573">
        <v>995142647</v>
      </c>
    </row>
    <row r="2925" spans="1:9" ht="16" x14ac:dyDescent="0.2">
      <c r="A2925" s="567">
        <v>46127</v>
      </c>
      <c r="B2925" s="568">
        <v>2026</v>
      </c>
      <c r="C2925" s="569">
        <v>4</v>
      </c>
      <c r="D2925" s="570">
        <v>16</v>
      </c>
      <c r="E2925" s="570">
        <v>15</v>
      </c>
      <c r="F2925" s="571" t="s">
        <v>206</v>
      </c>
      <c r="G2925" s="569" t="s">
        <v>206</v>
      </c>
      <c r="H2925" s="569" t="s">
        <v>212</v>
      </c>
      <c r="I2925" s="574">
        <v>0</v>
      </c>
    </row>
    <row r="2926" spans="1:9" ht="16" x14ac:dyDescent="0.2">
      <c r="A2926" s="561">
        <v>46127</v>
      </c>
      <c r="B2926" s="562">
        <v>2026</v>
      </c>
      <c r="C2926" s="563">
        <v>4</v>
      </c>
      <c r="D2926" s="564">
        <v>16</v>
      </c>
      <c r="E2926" s="564">
        <v>15</v>
      </c>
      <c r="F2926" s="565" t="s">
        <v>64</v>
      </c>
      <c r="G2926" s="563" t="s">
        <v>209</v>
      </c>
      <c r="H2926" s="563" t="s">
        <v>212</v>
      </c>
      <c r="I2926" s="573">
        <v>67500000</v>
      </c>
    </row>
    <row r="2927" spans="1:9" ht="16" x14ac:dyDescent="0.2">
      <c r="A2927" s="567">
        <v>46127</v>
      </c>
      <c r="B2927" s="568">
        <v>2026</v>
      </c>
      <c r="C2927" s="569">
        <v>4</v>
      </c>
      <c r="D2927" s="570">
        <v>16</v>
      </c>
      <c r="E2927" s="570">
        <v>15</v>
      </c>
      <c r="F2927" s="571" t="s">
        <v>237</v>
      </c>
      <c r="G2927" s="569" t="s">
        <v>209</v>
      </c>
      <c r="H2927" s="569" t="s">
        <v>212</v>
      </c>
      <c r="I2927" s="574">
        <v>0</v>
      </c>
    </row>
    <row r="2928" spans="1:9" ht="16" x14ac:dyDescent="0.2">
      <c r="A2928" s="561">
        <v>46127</v>
      </c>
      <c r="B2928" s="562">
        <v>2026</v>
      </c>
      <c r="C2928" s="563">
        <v>4</v>
      </c>
      <c r="D2928" s="564">
        <v>16</v>
      </c>
      <c r="E2928" s="564">
        <v>15</v>
      </c>
      <c r="F2928" s="565" t="s">
        <v>11</v>
      </c>
      <c r="G2928" s="563" t="s">
        <v>11</v>
      </c>
      <c r="H2928" s="563" t="s">
        <v>212</v>
      </c>
      <c r="I2928" s="573">
        <v>19516940000</v>
      </c>
    </row>
    <row r="2929" spans="1:9" ht="16" x14ac:dyDescent="0.2">
      <c r="A2929" s="567">
        <v>46127</v>
      </c>
      <c r="B2929" s="568">
        <v>2026</v>
      </c>
      <c r="C2929" s="569">
        <v>4</v>
      </c>
      <c r="D2929" s="570">
        <v>16</v>
      </c>
      <c r="E2929" s="570">
        <v>15</v>
      </c>
      <c r="F2929" s="571" t="s">
        <v>221</v>
      </c>
      <c r="G2929" s="569" t="s">
        <v>207</v>
      </c>
      <c r="H2929" s="569" t="s">
        <v>212</v>
      </c>
      <c r="I2929" s="574">
        <v>0</v>
      </c>
    </row>
    <row r="2930" spans="1:9" ht="16" x14ac:dyDescent="0.2">
      <c r="A2930" s="561">
        <v>46127</v>
      </c>
      <c r="B2930" s="562">
        <v>2026</v>
      </c>
      <c r="C2930" s="563">
        <v>4</v>
      </c>
      <c r="D2930" s="564">
        <v>16</v>
      </c>
      <c r="E2930" s="564">
        <v>15</v>
      </c>
      <c r="F2930" s="565" t="s">
        <v>222</v>
      </c>
      <c r="G2930" s="563" t="s">
        <v>207</v>
      </c>
      <c r="H2930" s="563" t="s">
        <v>212</v>
      </c>
      <c r="I2930" s="573">
        <v>0</v>
      </c>
    </row>
    <row r="2931" spans="1:9" ht="16" x14ac:dyDescent="0.2">
      <c r="A2931" s="567">
        <v>46127</v>
      </c>
      <c r="B2931" s="568">
        <v>2026</v>
      </c>
      <c r="C2931" s="569">
        <v>4</v>
      </c>
      <c r="D2931" s="570">
        <v>16</v>
      </c>
      <c r="E2931" s="570">
        <v>15</v>
      </c>
      <c r="F2931" s="571" t="s">
        <v>223</v>
      </c>
      <c r="G2931" s="569" t="s">
        <v>207</v>
      </c>
      <c r="H2931" s="569" t="s">
        <v>212</v>
      </c>
      <c r="I2931" s="574">
        <v>0</v>
      </c>
    </row>
    <row r="2932" spans="1:9" ht="16" x14ac:dyDescent="0.2">
      <c r="A2932" s="561">
        <v>46127</v>
      </c>
      <c r="B2932" s="562">
        <v>2026</v>
      </c>
      <c r="C2932" s="563">
        <v>4</v>
      </c>
      <c r="D2932" s="564">
        <v>16</v>
      </c>
      <c r="E2932" s="564">
        <v>15</v>
      </c>
      <c r="F2932" s="565" t="s">
        <v>219</v>
      </c>
      <c r="G2932" s="563" t="s">
        <v>11</v>
      </c>
      <c r="H2932" s="563" t="s">
        <v>212</v>
      </c>
      <c r="I2932" s="573">
        <v>0</v>
      </c>
    </row>
    <row r="2933" spans="1:9" ht="16" x14ac:dyDescent="0.2">
      <c r="A2933" s="567">
        <v>46127</v>
      </c>
      <c r="B2933" s="568">
        <v>2026</v>
      </c>
      <c r="C2933" s="569">
        <v>4</v>
      </c>
      <c r="D2933" s="570">
        <v>16</v>
      </c>
      <c r="E2933" s="570">
        <v>15</v>
      </c>
      <c r="F2933" s="571" t="s">
        <v>19</v>
      </c>
      <c r="G2933" s="569" t="s">
        <v>19</v>
      </c>
      <c r="H2933" s="569" t="s">
        <v>214</v>
      </c>
      <c r="I2933" s="574">
        <v>12952548000</v>
      </c>
    </row>
    <row r="2934" spans="1:9" ht="16" x14ac:dyDescent="0.2">
      <c r="A2934" s="561">
        <v>46127</v>
      </c>
      <c r="B2934" s="562">
        <v>2026</v>
      </c>
      <c r="C2934" s="563">
        <v>4</v>
      </c>
      <c r="D2934" s="564">
        <v>16</v>
      </c>
      <c r="E2934" s="564">
        <v>15</v>
      </c>
      <c r="F2934" s="565" t="s">
        <v>62</v>
      </c>
      <c r="G2934" s="563" t="s">
        <v>62</v>
      </c>
      <c r="H2934" s="563" t="s">
        <v>216</v>
      </c>
      <c r="I2934" s="573">
        <v>173992190</v>
      </c>
    </row>
    <row r="2935" spans="1:9" ht="16" x14ac:dyDescent="0.2">
      <c r="A2935" s="567">
        <v>46127</v>
      </c>
      <c r="B2935" s="568">
        <v>2026</v>
      </c>
      <c r="C2935" s="569">
        <v>4</v>
      </c>
      <c r="D2935" s="570">
        <v>16</v>
      </c>
      <c r="E2935" s="570">
        <v>15</v>
      </c>
      <c r="F2935" s="571" t="s">
        <v>58</v>
      </c>
      <c r="G2935" s="569" t="s">
        <v>58</v>
      </c>
      <c r="H2935" s="569" t="s">
        <v>212</v>
      </c>
      <c r="I2935" s="574">
        <v>0</v>
      </c>
    </row>
    <row r="2936" spans="1:9" ht="16" x14ac:dyDescent="0.2">
      <c r="A2936" s="561">
        <v>46127</v>
      </c>
      <c r="B2936" s="562">
        <v>2026</v>
      </c>
      <c r="C2936" s="563">
        <v>4</v>
      </c>
      <c r="D2936" s="564">
        <v>16</v>
      </c>
      <c r="E2936" s="564">
        <v>15</v>
      </c>
      <c r="F2936" s="565" t="s">
        <v>61</v>
      </c>
      <c r="G2936" s="563" t="s">
        <v>61</v>
      </c>
      <c r="H2936" s="563" t="s">
        <v>214</v>
      </c>
      <c r="I2936" s="573">
        <v>33000000</v>
      </c>
    </row>
    <row r="2937" spans="1:9" ht="16" x14ac:dyDescent="0.2">
      <c r="A2937" s="567">
        <v>46127</v>
      </c>
      <c r="B2937" s="568">
        <v>2026</v>
      </c>
      <c r="C2937" s="569">
        <v>4</v>
      </c>
      <c r="D2937" s="570">
        <v>16</v>
      </c>
      <c r="E2937" s="570">
        <v>15</v>
      </c>
      <c r="F2937" s="571" t="s">
        <v>57</v>
      </c>
      <c r="G2937" s="569" t="s">
        <v>57</v>
      </c>
      <c r="H2937" s="569" t="s">
        <v>212</v>
      </c>
      <c r="I2937" s="574">
        <v>743090000</v>
      </c>
    </row>
    <row r="2938" spans="1:9" ht="16" x14ac:dyDescent="0.2">
      <c r="A2938" s="561">
        <v>46127</v>
      </c>
      <c r="B2938" s="562">
        <v>2026</v>
      </c>
      <c r="C2938" s="563">
        <v>4</v>
      </c>
      <c r="D2938" s="564">
        <v>16</v>
      </c>
      <c r="E2938" s="564">
        <v>15</v>
      </c>
      <c r="F2938" s="565" t="s">
        <v>63</v>
      </c>
      <c r="G2938" s="563" t="s">
        <v>63</v>
      </c>
      <c r="H2938" s="563" t="s">
        <v>214</v>
      </c>
      <c r="I2938" s="573">
        <v>327996000</v>
      </c>
    </row>
    <row r="2939" spans="1:9" ht="16" x14ac:dyDescent="0.2">
      <c r="A2939" s="567">
        <v>46127</v>
      </c>
      <c r="B2939" s="568">
        <v>2026</v>
      </c>
      <c r="C2939" s="569">
        <v>4</v>
      </c>
      <c r="D2939" s="570">
        <v>16</v>
      </c>
      <c r="E2939" s="570">
        <v>15</v>
      </c>
      <c r="F2939" s="571" t="s">
        <v>59</v>
      </c>
      <c r="G2939" s="569" t="s">
        <v>59</v>
      </c>
      <c r="H2939" s="569" t="s">
        <v>216</v>
      </c>
      <c r="I2939" s="574">
        <v>270805620</v>
      </c>
    </row>
    <row r="2940" spans="1:9" ht="16" x14ac:dyDescent="0.2">
      <c r="A2940" s="561">
        <v>46127</v>
      </c>
      <c r="B2940" s="562">
        <v>2026</v>
      </c>
      <c r="C2940" s="563">
        <v>4</v>
      </c>
      <c r="D2940" s="564">
        <v>16</v>
      </c>
      <c r="E2940" s="564">
        <v>15</v>
      </c>
      <c r="F2940" s="565" t="s">
        <v>31</v>
      </c>
      <c r="G2940" s="563" t="s">
        <v>175</v>
      </c>
      <c r="H2940" s="563" t="s">
        <v>212</v>
      </c>
      <c r="I2940" s="573">
        <v>6386390000</v>
      </c>
    </row>
    <row r="2941" spans="1:9" ht="16" x14ac:dyDescent="0.2">
      <c r="A2941" s="567">
        <v>46127</v>
      </c>
      <c r="B2941" s="568">
        <v>2026</v>
      </c>
      <c r="C2941" s="569">
        <v>4</v>
      </c>
      <c r="D2941" s="570">
        <v>16</v>
      </c>
      <c r="E2941" s="570">
        <v>15</v>
      </c>
      <c r="F2941" s="571" t="s">
        <v>234</v>
      </c>
      <c r="G2941" s="569" t="s">
        <v>210</v>
      </c>
      <c r="H2941" s="569" t="s">
        <v>214</v>
      </c>
      <c r="I2941" s="574">
        <v>8640000</v>
      </c>
    </row>
    <row r="2942" spans="1:9" ht="16" x14ac:dyDescent="0.2">
      <c r="A2942" s="561">
        <v>46128</v>
      </c>
      <c r="B2942" s="562">
        <v>2026</v>
      </c>
      <c r="C2942" s="563">
        <v>4</v>
      </c>
      <c r="D2942" s="564">
        <v>16</v>
      </c>
      <c r="E2942" s="564">
        <v>16</v>
      </c>
      <c r="F2942" s="565" t="s">
        <v>65</v>
      </c>
      <c r="G2942" s="563" t="s">
        <v>65</v>
      </c>
      <c r="H2942" s="563" t="s">
        <v>212</v>
      </c>
      <c r="I2942" s="573">
        <v>394650000</v>
      </c>
    </row>
    <row r="2943" spans="1:9" ht="16" x14ac:dyDescent="0.2">
      <c r="A2943" s="567">
        <v>46128</v>
      </c>
      <c r="B2943" s="568">
        <v>2026</v>
      </c>
      <c r="C2943" s="569">
        <v>4</v>
      </c>
      <c r="D2943" s="570">
        <v>16</v>
      </c>
      <c r="E2943" s="570">
        <v>16</v>
      </c>
      <c r="F2943" s="571" t="s">
        <v>66</v>
      </c>
      <c r="G2943" s="569" t="s">
        <v>66</v>
      </c>
      <c r="H2943" s="569" t="s">
        <v>216</v>
      </c>
      <c r="I2943" s="574">
        <v>252673938</v>
      </c>
    </row>
    <row r="2944" spans="1:9" ht="16" x14ac:dyDescent="0.2">
      <c r="A2944" s="561">
        <v>46128</v>
      </c>
      <c r="B2944" s="562">
        <v>2026</v>
      </c>
      <c r="C2944" s="563">
        <v>4</v>
      </c>
      <c r="D2944" s="564">
        <v>16</v>
      </c>
      <c r="E2944" s="564">
        <v>16</v>
      </c>
      <c r="F2944" s="565" t="s">
        <v>24</v>
      </c>
      <c r="G2944" s="563" t="s">
        <v>24</v>
      </c>
      <c r="H2944" s="563" t="s">
        <v>212</v>
      </c>
      <c r="I2944" s="573">
        <v>15575360000</v>
      </c>
    </row>
    <row r="2945" spans="1:9" ht="16" x14ac:dyDescent="0.2">
      <c r="A2945" s="567">
        <v>46128</v>
      </c>
      <c r="B2945" s="568">
        <v>2026</v>
      </c>
      <c r="C2945" s="569">
        <v>4</v>
      </c>
      <c r="D2945" s="570">
        <v>16</v>
      </c>
      <c r="E2945" s="570">
        <v>16</v>
      </c>
      <c r="F2945" s="571" t="s">
        <v>67</v>
      </c>
      <c r="G2945" s="569" t="s">
        <v>67</v>
      </c>
      <c r="H2945" s="569" t="s">
        <v>213</v>
      </c>
      <c r="I2945" s="574">
        <v>1378132749</v>
      </c>
    </row>
    <row r="2946" spans="1:9" ht="16" x14ac:dyDescent="0.2">
      <c r="A2946" s="561">
        <v>46128</v>
      </c>
      <c r="B2946" s="562">
        <v>2026</v>
      </c>
      <c r="C2946" s="563">
        <v>4</v>
      </c>
      <c r="D2946" s="564">
        <v>16</v>
      </c>
      <c r="E2946" s="564">
        <v>16</v>
      </c>
      <c r="F2946" s="565" t="s">
        <v>28</v>
      </c>
      <c r="G2946" s="563" t="s">
        <v>28</v>
      </c>
      <c r="H2946" s="563" t="s">
        <v>214</v>
      </c>
      <c r="I2946" s="573">
        <v>14120028000</v>
      </c>
    </row>
    <row r="2947" spans="1:9" ht="16" x14ac:dyDescent="0.2">
      <c r="A2947" s="567">
        <v>46128</v>
      </c>
      <c r="B2947" s="568">
        <v>2026</v>
      </c>
      <c r="C2947" s="569">
        <v>4</v>
      </c>
      <c r="D2947" s="570">
        <v>16</v>
      </c>
      <c r="E2947" s="570">
        <v>16</v>
      </c>
      <c r="F2947" s="571" t="s">
        <v>208</v>
      </c>
      <c r="G2947" s="569" t="s">
        <v>208</v>
      </c>
      <c r="H2947" s="569" t="s">
        <v>216</v>
      </c>
      <c r="I2947" s="574">
        <v>0</v>
      </c>
    </row>
    <row r="2948" spans="1:9" ht="16" x14ac:dyDescent="0.2">
      <c r="A2948" s="561">
        <v>46128</v>
      </c>
      <c r="B2948" s="562">
        <v>2026</v>
      </c>
      <c r="C2948" s="563">
        <v>4</v>
      </c>
      <c r="D2948" s="564">
        <v>16</v>
      </c>
      <c r="E2948" s="564">
        <v>16</v>
      </c>
      <c r="F2948" s="565" t="s">
        <v>60</v>
      </c>
      <c r="G2948" s="563" t="s">
        <v>60</v>
      </c>
      <c r="H2948" s="563" t="s">
        <v>212</v>
      </c>
      <c r="I2948" s="573">
        <v>0</v>
      </c>
    </row>
    <row r="2949" spans="1:9" ht="16" x14ac:dyDescent="0.2">
      <c r="A2949" s="567">
        <v>46128</v>
      </c>
      <c r="B2949" s="568">
        <v>2026</v>
      </c>
      <c r="C2949" s="569">
        <v>4</v>
      </c>
      <c r="D2949" s="570">
        <v>16</v>
      </c>
      <c r="E2949" s="570">
        <v>16</v>
      </c>
      <c r="F2949" s="571" t="s">
        <v>36</v>
      </c>
      <c r="G2949" s="569" t="s">
        <v>36</v>
      </c>
      <c r="H2949" s="569" t="s">
        <v>212</v>
      </c>
      <c r="I2949" s="574">
        <v>2827170000</v>
      </c>
    </row>
    <row r="2950" spans="1:9" ht="16" x14ac:dyDescent="0.2">
      <c r="A2950" s="561">
        <v>46128</v>
      </c>
      <c r="B2950" s="562">
        <v>2026</v>
      </c>
      <c r="C2950" s="563">
        <v>4</v>
      </c>
      <c r="D2950" s="564">
        <v>16</v>
      </c>
      <c r="E2950" s="564">
        <v>16</v>
      </c>
      <c r="F2950" s="565" t="s">
        <v>55</v>
      </c>
      <c r="G2950" s="563" t="s">
        <v>36</v>
      </c>
      <c r="H2950" s="563" t="s">
        <v>212</v>
      </c>
      <c r="I2950" s="573">
        <v>850760000</v>
      </c>
    </row>
    <row r="2951" spans="1:9" ht="16" x14ac:dyDescent="0.2">
      <c r="A2951" s="567">
        <v>46128</v>
      </c>
      <c r="B2951" s="568">
        <v>2026</v>
      </c>
      <c r="C2951" s="569">
        <v>4</v>
      </c>
      <c r="D2951" s="570">
        <v>16</v>
      </c>
      <c r="E2951" s="570">
        <v>16</v>
      </c>
      <c r="F2951" s="571" t="s">
        <v>176</v>
      </c>
      <c r="G2951" s="569" t="s">
        <v>176</v>
      </c>
      <c r="H2951" s="569" t="s">
        <v>216</v>
      </c>
      <c r="I2951" s="574">
        <v>11266593</v>
      </c>
    </row>
    <row r="2952" spans="1:9" ht="16" x14ac:dyDescent="0.2">
      <c r="A2952" s="561">
        <v>46128</v>
      </c>
      <c r="B2952" s="562">
        <v>2026</v>
      </c>
      <c r="C2952" s="563">
        <v>4</v>
      </c>
      <c r="D2952" s="564">
        <v>16</v>
      </c>
      <c r="E2952" s="564">
        <v>16</v>
      </c>
      <c r="F2952" s="565" t="s">
        <v>39</v>
      </c>
      <c r="G2952" s="563" t="s">
        <v>176</v>
      </c>
      <c r="H2952" s="563" t="s">
        <v>216</v>
      </c>
      <c r="I2952" s="573">
        <v>864715463</v>
      </c>
    </row>
    <row r="2953" spans="1:9" ht="16" x14ac:dyDescent="0.2">
      <c r="A2953" s="567">
        <v>46128</v>
      </c>
      <c r="B2953" s="568">
        <v>2026</v>
      </c>
      <c r="C2953" s="569">
        <v>4</v>
      </c>
      <c r="D2953" s="570">
        <v>16</v>
      </c>
      <c r="E2953" s="570">
        <v>16</v>
      </c>
      <c r="F2953" s="571" t="s">
        <v>206</v>
      </c>
      <c r="G2953" s="569" t="s">
        <v>206</v>
      </c>
      <c r="H2953" s="569" t="s">
        <v>212</v>
      </c>
      <c r="I2953" s="574">
        <v>0</v>
      </c>
    </row>
    <row r="2954" spans="1:9" ht="16" x14ac:dyDescent="0.2">
      <c r="A2954" s="561">
        <v>46128</v>
      </c>
      <c r="B2954" s="562">
        <v>2026</v>
      </c>
      <c r="C2954" s="563">
        <v>4</v>
      </c>
      <c r="D2954" s="564">
        <v>16</v>
      </c>
      <c r="E2954" s="564">
        <v>16</v>
      </c>
      <c r="F2954" s="565" t="s">
        <v>64</v>
      </c>
      <c r="G2954" s="563" t="s">
        <v>209</v>
      </c>
      <c r="H2954" s="563" t="s">
        <v>212</v>
      </c>
      <c r="I2954" s="573">
        <v>40000000</v>
      </c>
    </row>
    <row r="2955" spans="1:9" ht="16" x14ac:dyDescent="0.2">
      <c r="A2955" s="567">
        <v>46128</v>
      </c>
      <c r="B2955" s="568">
        <v>2026</v>
      </c>
      <c r="C2955" s="569">
        <v>4</v>
      </c>
      <c r="D2955" s="570">
        <v>16</v>
      </c>
      <c r="E2955" s="570">
        <v>16</v>
      </c>
      <c r="F2955" s="571" t="s">
        <v>237</v>
      </c>
      <c r="G2955" s="569" t="s">
        <v>209</v>
      </c>
      <c r="H2955" s="569" t="s">
        <v>212</v>
      </c>
      <c r="I2955" s="574">
        <v>0</v>
      </c>
    </row>
    <row r="2956" spans="1:9" ht="16" x14ac:dyDescent="0.2">
      <c r="A2956" s="561">
        <v>46128</v>
      </c>
      <c r="B2956" s="562">
        <v>2026</v>
      </c>
      <c r="C2956" s="563">
        <v>4</v>
      </c>
      <c r="D2956" s="564">
        <v>16</v>
      </c>
      <c r="E2956" s="564">
        <v>16</v>
      </c>
      <c r="F2956" s="565" t="s">
        <v>11</v>
      </c>
      <c r="G2956" s="563" t="s">
        <v>11</v>
      </c>
      <c r="H2956" s="563" t="s">
        <v>212</v>
      </c>
      <c r="I2956" s="573">
        <v>18022650000</v>
      </c>
    </row>
    <row r="2957" spans="1:9" ht="16" x14ac:dyDescent="0.2">
      <c r="A2957" s="567">
        <v>46128</v>
      </c>
      <c r="B2957" s="568">
        <v>2026</v>
      </c>
      <c r="C2957" s="569">
        <v>4</v>
      </c>
      <c r="D2957" s="570">
        <v>16</v>
      </c>
      <c r="E2957" s="570">
        <v>16</v>
      </c>
      <c r="F2957" s="571" t="s">
        <v>221</v>
      </c>
      <c r="G2957" s="569" t="s">
        <v>207</v>
      </c>
      <c r="H2957" s="569" t="s">
        <v>212</v>
      </c>
      <c r="I2957" s="574">
        <v>0</v>
      </c>
    </row>
    <row r="2958" spans="1:9" ht="16" x14ac:dyDescent="0.2">
      <c r="A2958" s="561">
        <v>46128</v>
      </c>
      <c r="B2958" s="562">
        <v>2026</v>
      </c>
      <c r="C2958" s="563">
        <v>4</v>
      </c>
      <c r="D2958" s="564">
        <v>16</v>
      </c>
      <c r="E2958" s="564">
        <v>16</v>
      </c>
      <c r="F2958" s="565" t="s">
        <v>222</v>
      </c>
      <c r="G2958" s="563" t="s">
        <v>207</v>
      </c>
      <c r="H2958" s="563" t="s">
        <v>212</v>
      </c>
      <c r="I2958" s="573">
        <v>0</v>
      </c>
    </row>
    <row r="2959" spans="1:9" ht="16" x14ac:dyDescent="0.2">
      <c r="A2959" s="567">
        <v>46128</v>
      </c>
      <c r="B2959" s="568">
        <v>2026</v>
      </c>
      <c r="C2959" s="569">
        <v>4</v>
      </c>
      <c r="D2959" s="570">
        <v>16</v>
      </c>
      <c r="E2959" s="570">
        <v>16</v>
      </c>
      <c r="F2959" s="571" t="s">
        <v>223</v>
      </c>
      <c r="G2959" s="569" t="s">
        <v>207</v>
      </c>
      <c r="H2959" s="569" t="s">
        <v>212</v>
      </c>
      <c r="I2959" s="574">
        <v>0</v>
      </c>
    </row>
    <row r="2960" spans="1:9" ht="16" x14ac:dyDescent="0.2">
      <c r="A2960" s="561">
        <v>46128</v>
      </c>
      <c r="B2960" s="562">
        <v>2026</v>
      </c>
      <c r="C2960" s="563">
        <v>4</v>
      </c>
      <c r="D2960" s="564">
        <v>16</v>
      </c>
      <c r="E2960" s="564">
        <v>16</v>
      </c>
      <c r="F2960" s="565" t="s">
        <v>219</v>
      </c>
      <c r="G2960" s="563" t="s">
        <v>11</v>
      </c>
      <c r="H2960" s="563" t="s">
        <v>212</v>
      </c>
      <c r="I2960" s="573">
        <v>0</v>
      </c>
    </row>
    <row r="2961" spans="1:9" ht="16" x14ac:dyDescent="0.2">
      <c r="A2961" s="567">
        <v>46128</v>
      </c>
      <c r="B2961" s="568">
        <v>2026</v>
      </c>
      <c r="C2961" s="569">
        <v>4</v>
      </c>
      <c r="D2961" s="570">
        <v>16</v>
      </c>
      <c r="E2961" s="570">
        <v>16</v>
      </c>
      <c r="F2961" s="571" t="s">
        <v>19</v>
      </c>
      <c r="G2961" s="569" t="s">
        <v>19</v>
      </c>
      <c r="H2961" s="569" t="s">
        <v>214</v>
      </c>
      <c r="I2961" s="574">
        <v>11571228000</v>
      </c>
    </row>
    <row r="2962" spans="1:9" ht="16" x14ac:dyDescent="0.2">
      <c r="A2962" s="561">
        <v>46128</v>
      </c>
      <c r="B2962" s="562">
        <v>2026</v>
      </c>
      <c r="C2962" s="563">
        <v>4</v>
      </c>
      <c r="D2962" s="564">
        <v>16</v>
      </c>
      <c r="E2962" s="564">
        <v>16</v>
      </c>
      <c r="F2962" s="565" t="s">
        <v>62</v>
      </c>
      <c r="G2962" s="563" t="s">
        <v>62</v>
      </c>
      <c r="H2962" s="563" t="s">
        <v>216</v>
      </c>
      <c r="I2962" s="573">
        <v>180321316</v>
      </c>
    </row>
    <row r="2963" spans="1:9" ht="16" x14ac:dyDescent="0.2">
      <c r="A2963" s="567">
        <v>46128</v>
      </c>
      <c r="B2963" s="568">
        <v>2026</v>
      </c>
      <c r="C2963" s="569">
        <v>4</v>
      </c>
      <c r="D2963" s="570">
        <v>16</v>
      </c>
      <c r="E2963" s="570">
        <v>16</v>
      </c>
      <c r="F2963" s="571" t="s">
        <v>58</v>
      </c>
      <c r="G2963" s="569" t="s">
        <v>58</v>
      </c>
      <c r="H2963" s="569" t="s">
        <v>212</v>
      </c>
      <c r="I2963" s="574">
        <v>42000000</v>
      </c>
    </row>
    <row r="2964" spans="1:9" ht="16" x14ac:dyDescent="0.2">
      <c r="A2964" s="561">
        <v>46128</v>
      </c>
      <c r="B2964" s="562">
        <v>2026</v>
      </c>
      <c r="C2964" s="563">
        <v>4</v>
      </c>
      <c r="D2964" s="564">
        <v>16</v>
      </c>
      <c r="E2964" s="564">
        <v>16</v>
      </c>
      <c r="F2964" s="565" t="s">
        <v>61</v>
      </c>
      <c r="G2964" s="563" t="s">
        <v>61</v>
      </c>
      <c r="H2964" s="563" t="s">
        <v>214</v>
      </c>
      <c r="I2964" s="573">
        <v>38000000</v>
      </c>
    </row>
    <row r="2965" spans="1:9" ht="16" x14ac:dyDescent="0.2">
      <c r="A2965" s="567">
        <v>46128</v>
      </c>
      <c r="B2965" s="568">
        <v>2026</v>
      </c>
      <c r="C2965" s="569">
        <v>4</v>
      </c>
      <c r="D2965" s="570">
        <v>16</v>
      </c>
      <c r="E2965" s="570">
        <v>16</v>
      </c>
      <c r="F2965" s="571" t="s">
        <v>57</v>
      </c>
      <c r="G2965" s="569" t="s">
        <v>57</v>
      </c>
      <c r="H2965" s="569" t="s">
        <v>212</v>
      </c>
      <c r="I2965" s="574">
        <v>654280000</v>
      </c>
    </row>
    <row r="2966" spans="1:9" ht="16" x14ac:dyDescent="0.2">
      <c r="A2966" s="561">
        <v>46128</v>
      </c>
      <c r="B2966" s="562">
        <v>2026</v>
      </c>
      <c r="C2966" s="563">
        <v>4</v>
      </c>
      <c r="D2966" s="564">
        <v>16</v>
      </c>
      <c r="E2966" s="564">
        <v>16</v>
      </c>
      <c r="F2966" s="565" t="s">
        <v>63</v>
      </c>
      <c r="G2966" s="563" t="s">
        <v>63</v>
      </c>
      <c r="H2966" s="563" t="s">
        <v>214</v>
      </c>
      <c r="I2966" s="573">
        <v>282312000</v>
      </c>
    </row>
    <row r="2967" spans="1:9" ht="16" x14ac:dyDescent="0.2">
      <c r="A2967" s="567">
        <v>46128</v>
      </c>
      <c r="B2967" s="568">
        <v>2026</v>
      </c>
      <c r="C2967" s="569">
        <v>4</v>
      </c>
      <c r="D2967" s="570">
        <v>16</v>
      </c>
      <c r="E2967" s="570">
        <v>16</v>
      </c>
      <c r="F2967" s="571" t="s">
        <v>59</v>
      </c>
      <c r="G2967" s="569" t="s">
        <v>59</v>
      </c>
      <c r="H2967" s="569" t="s">
        <v>216</v>
      </c>
      <c r="I2967" s="574">
        <v>248742818</v>
      </c>
    </row>
    <row r="2968" spans="1:9" ht="16" x14ac:dyDescent="0.2">
      <c r="A2968" s="561">
        <v>46128</v>
      </c>
      <c r="B2968" s="562">
        <v>2026</v>
      </c>
      <c r="C2968" s="563">
        <v>4</v>
      </c>
      <c r="D2968" s="564">
        <v>16</v>
      </c>
      <c r="E2968" s="564">
        <v>16</v>
      </c>
      <c r="F2968" s="565" t="s">
        <v>31</v>
      </c>
      <c r="G2968" s="563" t="s">
        <v>175</v>
      </c>
      <c r="H2968" s="563" t="s">
        <v>212</v>
      </c>
      <c r="I2968" s="573">
        <v>5763210000</v>
      </c>
    </row>
    <row r="2969" spans="1:9" ht="16" x14ac:dyDescent="0.2">
      <c r="A2969" s="567">
        <v>46128</v>
      </c>
      <c r="B2969" s="568">
        <v>2026</v>
      </c>
      <c r="C2969" s="569">
        <v>4</v>
      </c>
      <c r="D2969" s="570">
        <v>16</v>
      </c>
      <c r="E2969" s="570">
        <v>16</v>
      </c>
      <c r="F2969" s="571" t="s">
        <v>234</v>
      </c>
      <c r="G2969" s="569" t="s">
        <v>210</v>
      </c>
      <c r="H2969" s="569" t="s">
        <v>214</v>
      </c>
      <c r="I2969" s="574">
        <v>6480000</v>
      </c>
    </row>
    <row r="2970" spans="1:9" ht="16" x14ac:dyDescent="0.2">
      <c r="A2970" s="561">
        <v>46129</v>
      </c>
      <c r="B2970" s="562">
        <v>2026</v>
      </c>
      <c r="C2970" s="563">
        <v>4</v>
      </c>
      <c r="D2970" s="564">
        <v>16</v>
      </c>
      <c r="E2970" s="564">
        <v>17</v>
      </c>
      <c r="F2970" s="565" t="s">
        <v>65</v>
      </c>
      <c r="G2970" s="563" t="s">
        <v>65</v>
      </c>
      <c r="H2970" s="563" t="s">
        <v>212</v>
      </c>
      <c r="I2970" s="573">
        <v>431120000</v>
      </c>
    </row>
    <row r="2971" spans="1:9" ht="16" x14ac:dyDescent="0.2">
      <c r="A2971" s="567">
        <v>46129</v>
      </c>
      <c r="B2971" s="568">
        <v>2026</v>
      </c>
      <c r="C2971" s="569">
        <v>4</v>
      </c>
      <c r="D2971" s="570">
        <v>16</v>
      </c>
      <c r="E2971" s="570">
        <v>17</v>
      </c>
      <c r="F2971" s="571" t="s">
        <v>66</v>
      </c>
      <c r="G2971" s="569" t="s">
        <v>66</v>
      </c>
      <c r="H2971" s="569" t="s">
        <v>216</v>
      </c>
      <c r="I2971" s="574">
        <v>257394445</v>
      </c>
    </row>
    <row r="2972" spans="1:9" ht="16" x14ac:dyDescent="0.2">
      <c r="A2972" s="561">
        <v>46129</v>
      </c>
      <c r="B2972" s="562">
        <v>2026</v>
      </c>
      <c r="C2972" s="563">
        <v>4</v>
      </c>
      <c r="D2972" s="564">
        <v>16</v>
      </c>
      <c r="E2972" s="564">
        <v>17</v>
      </c>
      <c r="F2972" s="565" t="s">
        <v>24</v>
      </c>
      <c r="G2972" s="563" t="s">
        <v>24</v>
      </c>
      <c r="H2972" s="563" t="s">
        <v>212</v>
      </c>
      <c r="I2972" s="573">
        <v>13467110000</v>
      </c>
    </row>
    <row r="2973" spans="1:9" ht="16" x14ac:dyDescent="0.2">
      <c r="A2973" s="567">
        <v>46129</v>
      </c>
      <c r="B2973" s="568">
        <v>2026</v>
      </c>
      <c r="C2973" s="569">
        <v>4</v>
      </c>
      <c r="D2973" s="570">
        <v>16</v>
      </c>
      <c r="E2973" s="570">
        <v>17</v>
      </c>
      <c r="F2973" s="571" t="s">
        <v>67</v>
      </c>
      <c r="G2973" s="569" t="s">
        <v>67</v>
      </c>
      <c r="H2973" s="569" t="s">
        <v>213</v>
      </c>
      <c r="I2973" s="574">
        <v>1237946176</v>
      </c>
    </row>
    <row r="2974" spans="1:9" ht="16" x14ac:dyDescent="0.2">
      <c r="A2974" s="561">
        <v>46129</v>
      </c>
      <c r="B2974" s="562">
        <v>2026</v>
      </c>
      <c r="C2974" s="563">
        <v>4</v>
      </c>
      <c r="D2974" s="564">
        <v>16</v>
      </c>
      <c r="E2974" s="564">
        <v>17</v>
      </c>
      <c r="F2974" s="565" t="s">
        <v>28</v>
      </c>
      <c r="G2974" s="563" t="s">
        <v>28</v>
      </c>
      <c r="H2974" s="563" t="s">
        <v>214</v>
      </c>
      <c r="I2974" s="573">
        <v>13727232000</v>
      </c>
    </row>
    <row r="2975" spans="1:9" ht="16" x14ac:dyDescent="0.2">
      <c r="A2975" s="567">
        <v>46129</v>
      </c>
      <c r="B2975" s="568">
        <v>2026</v>
      </c>
      <c r="C2975" s="569">
        <v>4</v>
      </c>
      <c r="D2975" s="570">
        <v>16</v>
      </c>
      <c r="E2975" s="570">
        <v>17</v>
      </c>
      <c r="F2975" s="571" t="s">
        <v>208</v>
      </c>
      <c r="G2975" s="569" t="s">
        <v>208</v>
      </c>
      <c r="H2975" s="569" t="s">
        <v>216</v>
      </c>
      <c r="I2975" s="574">
        <v>0</v>
      </c>
    </row>
    <row r="2976" spans="1:9" ht="16" x14ac:dyDescent="0.2">
      <c r="A2976" s="561">
        <v>46129</v>
      </c>
      <c r="B2976" s="562">
        <v>2026</v>
      </c>
      <c r="C2976" s="563">
        <v>4</v>
      </c>
      <c r="D2976" s="564">
        <v>16</v>
      </c>
      <c r="E2976" s="564">
        <v>17</v>
      </c>
      <c r="F2976" s="565" t="s">
        <v>60</v>
      </c>
      <c r="G2976" s="563" t="s">
        <v>60</v>
      </c>
      <c r="H2976" s="563" t="s">
        <v>212</v>
      </c>
      <c r="I2976" s="573">
        <v>90000000</v>
      </c>
    </row>
    <row r="2977" spans="1:9" ht="16" x14ac:dyDescent="0.2">
      <c r="A2977" s="567">
        <v>46129</v>
      </c>
      <c r="B2977" s="568">
        <v>2026</v>
      </c>
      <c r="C2977" s="569">
        <v>4</v>
      </c>
      <c r="D2977" s="570">
        <v>16</v>
      </c>
      <c r="E2977" s="570">
        <v>17</v>
      </c>
      <c r="F2977" s="571" t="s">
        <v>36</v>
      </c>
      <c r="G2977" s="569" t="s">
        <v>36</v>
      </c>
      <c r="H2977" s="569" t="s">
        <v>212</v>
      </c>
      <c r="I2977" s="574">
        <v>2383890000</v>
      </c>
    </row>
    <row r="2978" spans="1:9" ht="16" x14ac:dyDescent="0.2">
      <c r="A2978" s="561">
        <v>46129</v>
      </c>
      <c r="B2978" s="562">
        <v>2026</v>
      </c>
      <c r="C2978" s="563">
        <v>4</v>
      </c>
      <c r="D2978" s="564">
        <v>16</v>
      </c>
      <c r="E2978" s="564">
        <v>17</v>
      </c>
      <c r="F2978" s="565" t="s">
        <v>55</v>
      </c>
      <c r="G2978" s="563" t="s">
        <v>36</v>
      </c>
      <c r="H2978" s="563" t="s">
        <v>212</v>
      </c>
      <c r="I2978" s="573">
        <v>1076550000</v>
      </c>
    </row>
    <row r="2979" spans="1:9" ht="16" x14ac:dyDescent="0.2">
      <c r="A2979" s="567">
        <v>46129</v>
      </c>
      <c r="B2979" s="568">
        <v>2026</v>
      </c>
      <c r="C2979" s="569">
        <v>4</v>
      </c>
      <c r="D2979" s="570">
        <v>16</v>
      </c>
      <c r="E2979" s="570">
        <v>17</v>
      </c>
      <c r="F2979" s="571" t="s">
        <v>176</v>
      </c>
      <c r="G2979" s="569" t="s">
        <v>176</v>
      </c>
      <c r="H2979" s="569" t="s">
        <v>216</v>
      </c>
      <c r="I2979" s="574">
        <v>2077000</v>
      </c>
    </row>
    <row r="2980" spans="1:9" ht="16" x14ac:dyDescent="0.2">
      <c r="A2980" s="561">
        <v>46129</v>
      </c>
      <c r="B2980" s="562">
        <v>2026</v>
      </c>
      <c r="C2980" s="563">
        <v>4</v>
      </c>
      <c r="D2980" s="564">
        <v>16</v>
      </c>
      <c r="E2980" s="564">
        <v>17</v>
      </c>
      <c r="F2980" s="565" t="s">
        <v>39</v>
      </c>
      <c r="G2980" s="563" t="s">
        <v>176</v>
      </c>
      <c r="H2980" s="563" t="s">
        <v>216</v>
      </c>
      <c r="I2980" s="573">
        <v>1001350918</v>
      </c>
    </row>
    <row r="2981" spans="1:9" ht="16" x14ac:dyDescent="0.2">
      <c r="A2981" s="567">
        <v>46129</v>
      </c>
      <c r="B2981" s="568">
        <v>2026</v>
      </c>
      <c r="C2981" s="569">
        <v>4</v>
      </c>
      <c r="D2981" s="570">
        <v>16</v>
      </c>
      <c r="E2981" s="570">
        <v>17</v>
      </c>
      <c r="F2981" s="571" t="s">
        <v>206</v>
      </c>
      <c r="G2981" s="569" t="s">
        <v>206</v>
      </c>
      <c r="H2981" s="569" t="s">
        <v>212</v>
      </c>
      <c r="I2981" s="574">
        <v>0</v>
      </c>
    </row>
    <row r="2982" spans="1:9" ht="16" x14ac:dyDescent="0.2">
      <c r="A2982" s="561">
        <v>46129</v>
      </c>
      <c r="B2982" s="562">
        <v>2026</v>
      </c>
      <c r="C2982" s="563">
        <v>4</v>
      </c>
      <c r="D2982" s="564">
        <v>16</v>
      </c>
      <c r="E2982" s="564">
        <v>17</v>
      </c>
      <c r="F2982" s="565" t="s">
        <v>64</v>
      </c>
      <c r="G2982" s="563" t="s">
        <v>209</v>
      </c>
      <c r="H2982" s="563" t="s">
        <v>212</v>
      </c>
      <c r="I2982" s="573">
        <v>63000000</v>
      </c>
    </row>
    <row r="2983" spans="1:9" ht="16" x14ac:dyDescent="0.2">
      <c r="A2983" s="567">
        <v>46129</v>
      </c>
      <c r="B2983" s="568">
        <v>2026</v>
      </c>
      <c r="C2983" s="569">
        <v>4</v>
      </c>
      <c r="D2983" s="570">
        <v>16</v>
      </c>
      <c r="E2983" s="570">
        <v>17</v>
      </c>
      <c r="F2983" s="571" t="s">
        <v>237</v>
      </c>
      <c r="G2983" s="569" t="s">
        <v>209</v>
      </c>
      <c r="H2983" s="569" t="s">
        <v>212</v>
      </c>
      <c r="I2983" s="574">
        <v>0</v>
      </c>
    </row>
    <row r="2984" spans="1:9" ht="16" x14ac:dyDescent="0.2">
      <c r="A2984" s="561">
        <v>46129</v>
      </c>
      <c r="B2984" s="562">
        <v>2026</v>
      </c>
      <c r="C2984" s="563">
        <v>4</v>
      </c>
      <c r="D2984" s="564">
        <v>16</v>
      </c>
      <c r="E2984" s="564">
        <v>17</v>
      </c>
      <c r="F2984" s="565" t="s">
        <v>11</v>
      </c>
      <c r="G2984" s="563" t="s">
        <v>11</v>
      </c>
      <c r="H2984" s="563" t="s">
        <v>212</v>
      </c>
      <c r="I2984" s="573">
        <v>17459440000</v>
      </c>
    </row>
    <row r="2985" spans="1:9" ht="16" x14ac:dyDescent="0.2">
      <c r="A2985" s="567">
        <v>46129</v>
      </c>
      <c r="B2985" s="568">
        <v>2026</v>
      </c>
      <c r="C2985" s="569">
        <v>4</v>
      </c>
      <c r="D2985" s="570">
        <v>16</v>
      </c>
      <c r="E2985" s="570">
        <v>17</v>
      </c>
      <c r="F2985" s="571" t="s">
        <v>221</v>
      </c>
      <c r="G2985" s="569" t="s">
        <v>207</v>
      </c>
      <c r="H2985" s="569" t="s">
        <v>212</v>
      </c>
      <c r="I2985" s="574">
        <v>0</v>
      </c>
    </row>
    <row r="2986" spans="1:9" ht="16" x14ac:dyDescent="0.2">
      <c r="A2986" s="561">
        <v>46129</v>
      </c>
      <c r="B2986" s="562">
        <v>2026</v>
      </c>
      <c r="C2986" s="563">
        <v>4</v>
      </c>
      <c r="D2986" s="564">
        <v>16</v>
      </c>
      <c r="E2986" s="564">
        <v>17</v>
      </c>
      <c r="F2986" s="565" t="s">
        <v>222</v>
      </c>
      <c r="G2986" s="563" t="s">
        <v>207</v>
      </c>
      <c r="H2986" s="563" t="s">
        <v>212</v>
      </c>
      <c r="I2986" s="573">
        <v>0</v>
      </c>
    </row>
    <row r="2987" spans="1:9" ht="16" x14ac:dyDescent="0.2">
      <c r="A2987" s="567">
        <v>46129</v>
      </c>
      <c r="B2987" s="568">
        <v>2026</v>
      </c>
      <c r="C2987" s="569">
        <v>4</v>
      </c>
      <c r="D2987" s="570">
        <v>16</v>
      </c>
      <c r="E2987" s="570">
        <v>17</v>
      </c>
      <c r="F2987" s="571" t="s">
        <v>223</v>
      </c>
      <c r="G2987" s="569" t="s">
        <v>207</v>
      </c>
      <c r="H2987" s="569" t="s">
        <v>212</v>
      </c>
      <c r="I2987" s="574">
        <v>0</v>
      </c>
    </row>
    <row r="2988" spans="1:9" ht="16" x14ac:dyDescent="0.2">
      <c r="A2988" s="561">
        <v>46129</v>
      </c>
      <c r="B2988" s="562">
        <v>2026</v>
      </c>
      <c r="C2988" s="563">
        <v>4</v>
      </c>
      <c r="D2988" s="564">
        <v>16</v>
      </c>
      <c r="E2988" s="564">
        <v>17</v>
      </c>
      <c r="F2988" s="565" t="s">
        <v>219</v>
      </c>
      <c r="G2988" s="563" t="s">
        <v>11</v>
      </c>
      <c r="H2988" s="563" t="s">
        <v>212</v>
      </c>
      <c r="I2988" s="573">
        <v>0</v>
      </c>
    </row>
    <row r="2989" spans="1:9" ht="16" x14ac:dyDescent="0.2">
      <c r="A2989" s="567">
        <v>46129</v>
      </c>
      <c r="B2989" s="568">
        <v>2026</v>
      </c>
      <c r="C2989" s="569">
        <v>4</v>
      </c>
      <c r="D2989" s="570">
        <v>16</v>
      </c>
      <c r="E2989" s="570">
        <v>17</v>
      </c>
      <c r="F2989" s="571" t="s">
        <v>19</v>
      </c>
      <c r="G2989" s="569" t="s">
        <v>19</v>
      </c>
      <c r="H2989" s="569" t="s">
        <v>214</v>
      </c>
      <c r="I2989" s="574">
        <v>10529244000</v>
      </c>
    </row>
    <row r="2990" spans="1:9" ht="16" x14ac:dyDescent="0.2">
      <c r="A2990" s="561">
        <v>46129</v>
      </c>
      <c r="B2990" s="562">
        <v>2026</v>
      </c>
      <c r="C2990" s="563">
        <v>4</v>
      </c>
      <c r="D2990" s="564">
        <v>16</v>
      </c>
      <c r="E2990" s="564">
        <v>17</v>
      </c>
      <c r="F2990" s="565" t="s">
        <v>62</v>
      </c>
      <c r="G2990" s="563" t="s">
        <v>62</v>
      </c>
      <c r="H2990" s="563" t="s">
        <v>216</v>
      </c>
      <c r="I2990" s="573">
        <v>154684658</v>
      </c>
    </row>
    <row r="2991" spans="1:9" ht="16" x14ac:dyDescent="0.2">
      <c r="A2991" s="567">
        <v>46129</v>
      </c>
      <c r="B2991" s="568">
        <v>2026</v>
      </c>
      <c r="C2991" s="569">
        <v>4</v>
      </c>
      <c r="D2991" s="570">
        <v>16</v>
      </c>
      <c r="E2991" s="570">
        <v>17</v>
      </c>
      <c r="F2991" s="571" t="s">
        <v>58</v>
      </c>
      <c r="G2991" s="569" t="s">
        <v>58</v>
      </c>
      <c r="H2991" s="569" t="s">
        <v>212</v>
      </c>
      <c r="I2991" s="574">
        <v>30500000</v>
      </c>
    </row>
    <row r="2992" spans="1:9" ht="16" x14ac:dyDescent="0.2">
      <c r="A2992" s="561">
        <v>46129</v>
      </c>
      <c r="B2992" s="562">
        <v>2026</v>
      </c>
      <c r="C2992" s="563">
        <v>4</v>
      </c>
      <c r="D2992" s="564">
        <v>16</v>
      </c>
      <c r="E2992" s="564">
        <v>17</v>
      </c>
      <c r="F2992" s="565" t="s">
        <v>61</v>
      </c>
      <c r="G2992" s="563" t="s">
        <v>61</v>
      </c>
      <c r="H2992" s="563" t="s">
        <v>214</v>
      </c>
      <c r="I2992" s="573">
        <v>14000000</v>
      </c>
    </row>
    <row r="2993" spans="1:9" ht="16" x14ac:dyDescent="0.2">
      <c r="A2993" s="567">
        <v>46129</v>
      </c>
      <c r="B2993" s="568">
        <v>2026</v>
      </c>
      <c r="C2993" s="569">
        <v>4</v>
      </c>
      <c r="D2993" s="570">
        <v>16</v>
      </c>
      <c r="E2993" s="570">
        <v>17</v>
      </c>
      <c r="F2993" s="571" t="s">
        <v>57</v>
      </c>
      <c r="G2993" s="569" t="s">
        <v>57</v>
      </c>
      <c r="H2993" s="569" t="s">
        <v>212</v>
      </c>
      <c r="I2993" s="574">
        <v>1043820000</v>
      </c>
    </row>
    <row r="2994" spans="1:9" ht="16" x14ac:dyDescent="0.2">
      <c r="A2994" s="561">
        <v>46129</v>
      </c>
      <c r="B2994" s="562">
        <v>2026</v>
      </c>
      <c r="C2994" s="563">
        <v>4</v>
      </c>
      <c r="D2994" s="564">
        <v>16</v>
      </c>
      <c r="E2994" s="564">
        <v>17</v>
      </c>
      <c r="F2994" s="565" t="s">
        <v>63</v>
      </c>
      <c r="G2994" s="563" t="s">
        <v>63</v>
      </c>
      <c r="H2994" s="563" t="s">
        <v>214</v>
      </c>
      <c r="I2994" s="573">
        <v>363852000</v>
      </c>
    </row>
    <row r="2995" spans="1:9" ht="16" x14ac:dyDescent="0.2">
      <c r="A2995" s="567">
        <v>46129</v>
      </c>
      <c r="B2995" s="568">
        <v>2026</v>
      </c>
      <c r="C2995" s="569">
        <v>4</v>
      </c>
      <c r="D2995" s="570">
        <v>16</v>
      </c>
      <c r="E2995" s="570">
        <v>17</v>
      </c>
      <c r="F2995" s="571" t="s">
        <v>59</v>
      </c>
      <c r="G2995" s="569" t="s">
        <v>59</v>
      </c>
      <c r="H2995" s="569" t="s">
        <v>216</v>
      </c>
      <c r="I2995" s="574">
        <v>227579849</v>
      </c>
    </row>
    <row r="2996" spans="1:9" ht="16" x14ac:dyDescent="0.2">
      <c r="A2996" s="561">
        <v>46129</v>
      </c>
      <c r="B2996" s="562">
        <v>2026</v>
      </c>
      <c r="C2996" s="563">
        <v>4</v>
      </c>
      <c r="D2996" s="564">
        <v>16</v>
      </c>
      <c r="E2996" s="564">
        <v>17</v>
      </c>
      <c r="F2996" s="565" t="s">
        <v>31</v>
      </c>
      <c r="G2996" s="563" t="s">
        <v>175</v>
      </c>
      <c r="H2996" s="563" t="s">
        <v>212</v>
      </c>
      <c r="I2996" s="573">
        <v>5666300000</v>
      </c>
    </row>
    <row r="2997" spans="1:9" ht="16" x14ac:dyDescent="0.2">
      <c r="A2997" s="567">
        <v>46129</v>
      </c>
      <c r="B2997" s="568">
        <v>2026</v>
      </c>
      <c r="C2997" s="569">
        <v>4</v>
      </c>
      <c r="D2997" s="570">
        <v>16</v>
      </c>
      <c r="E2997" s="570">
        <v>17</v>
      </c>
      <c r="F2997" s="571" t="s">
        <v>234</v>
      </c>
      <c r="G2997" s="569" t="s">
        <v>210</v>
      </c>
      <c r="H2997" s="569" t="s">
        <v>214</v>
      </c>
      <c r="I2997" s="574">
        <v>0</v>
      </c>
    </row>
    <row r="2998" spans="1:9" ht="16" x14ac:dyDescent="0.2">
      <c r="A2998" s="561">
        <v>46130</v>
      </c>
      <c r="B2998" s="562">
        <v>2026</v>
      </c>
      <c r="C2998" s="563">
        <v>4</v>
      </c>
      <c r="D2998" s="564">
        <v>16</v>
      </c>
      <c r="E2998" s="564">
        <v>18</v>
      </c>
      <c r="F2998" s="565" t="s">
        <v>65</v>
      </c>
      <c r="G2998" s="563" t="s">
        <v>65</v>
      </c>
      <c r="H2998" s="563" t="s">
        <v>212</v>
      </c>
      <c r="I2998" s="573">
        <v>490320000</v>
      </c>
    </row>
    <row r="2999" spans="1:9" ht="16" x14ac:dyDescent="0.2">
      <c r="A2999" s="567">
        <v>46130</v>
      </c>
      <c r="B2999" s="568">
        <v>2026</v>
      </c>
      <c r="C2999" s="569">
        <v>4</v>
      </c>
      <c r="D2999" s="570">
        <v>16</v>
      </c>
      <c r="E2999" s="570">
        <v>18</v>
      </c>
      <c r="F2999" s="571" t="s">
        <v>66</v>
      </c>
      <c r="G2999" s="569" t="s">
        <v>66</v>
      </c>
      <c r="H2999" s="569" t="s">
        <v>216</v>
      </c>
      <c r="I2999" s="574">
        <v>249342174</v>
      </c>
    </row>
    <row r="3000" spans="1:9" ht="16" x14ac:dyDescent="0.2">
      <c r="A3000" s="561">
        <v>46130</v>
      </c>
      <c r="B3000" s="562">
        <v>2026</v>
      </c>
      <c r="C3000" s="563">
        <v>4</v>
      </c>
      <c r="D3000" s="564">
        <v>16</v>
      </c>
      <c r="E3000" s="564">
        <v>18</v>
      </c>
      <c r="F3000" s="565" t="s">
        <v>24</v>
      </c>
      <c r="G3000" s="563" t="s">
        <v>24</v>
      </c>
      <c r="H3000" s="563" t="s">
        <v>212</v>
      </c>
      <c r="I3000" s="573">
        <v>12698440000</v>
      </c>
    </row>
    <row r="3001" spans="1:9" ht="16" x14ac:dyDescent="0.2">
      <c r="A3001" s="567">
        <v>46130</v>
      </c>
      <c r="B3001" s="568">
        <v>2026</v>
      </c>
      <c r="C3001" s="569">
        <v>4</v>
      </c>
      <c r="D3001" s="570">
        <v>16</v>
      </c>
      <c r="E3001" s="570">
        <v>18</v>
      </c>
      <c r="F3001" s="571" t="s">
        <v>67</v>
      </c>
      <c r="G3001" s="569" t="s">
        <v>67</v>
      </c>
      <c r="H3001" s="569" t="s">
        <v>213</v>
      </c>
      <c r="I3001" s="574">
        <v>1188494503</v>
      </c>
    </row>
    <row r="3002" spans="1:9" ht="16" x14ac:dyDescent="0.2">
      <c r="A3002" s="561">
        <v>46130</v>
      </c>
      <c r="B3002" s="562">
        <v>2026</v>
      </c>
      <c r="C3002" s="563">
        <v>4</v>
      </c>
      <c r="D3002" s="564">
        <v>16</v>
      </c>
      <c r="E3002" s="564">
        <v>18</v>
      </c>
      <c r="F3002" s="565" t="s">
        <v>28</v>
      </c>
      <c r="G3002" s="563" t="s">
        <v>28</v>
      </c>
      <c r="H3002" s="563" t="s">
        <v>214</v>
      </c>
      <c r="I3002" s="573">
        <v>12928356000</v>
      </c>
    </row>
    <row r="3003" spans="1:9" ht="16" x14ac:dyDescent="0.2">
      <c r="A3003" s="567">
        <v>46130</v>
      </c>
      <c r="B3003" s="568">
        <v>2026</v>
      </c>
      <c r="C3003" s="569">
        <v>4</v>
      </c>
      <c r="D3003" s="570">
        <v>16</v>
      </c>
      <c r="E3003" s="570">
        <v>18</v>
      </c>
      <c r="F3003" s="571" t="s">
        <v>208</v>
      </c>
      <c r="G3003" s="569" t="s">
        <v>208</v>
      </c>
      <c r="H3003" s="569" t="s">
        <v>216</v>
      </c>
      <c r="I3003" s="574">
        <v>0</v>
      </c>
    </row>
    <row r="3004" spans="1:9" ht="16" x14ac:dyDescent="0.2">
      <c r="A3004" s="561">
        <v>46130</v>
      </c>
      <c r="B3004" s="562">
        <v>2026</v>
      </c>
      <c r="C3004" s="563">
        <v>4</v>
      </c>
      <c r="D3004" s="564">
        <v>16</v>
      </c>
      <c r="E3004" s="564">
        <v>18</v>
      </c>
      <c r="F3004" s="565" t="s">
        <v>60</v>
      </c>
      <c r="G3004" s="563" t="s">
        <v>60</v>
      </c>
      <c r="H3004" s="563" t="s">
        <v>212</v>
      </c>
      <c r="I3004" s="573">
        <v>0</v>
      </c>
    </row>
    <row r="3005" spans="1:9" ht="16" x14ac:dyDescent="0.2">
      <c r="A3005" s="567">
        <v>46130</v>
      </c>
      <c r="B3005" s="568">
        <v>2026</v>
      </c>
      <c r="C3005" s="569">
        <v>4</v>
      </c>
      <c r="D3005" s="570">
        <v>16</v>
      </c>
      <c r="E3005" s="570">
        <v>18</v>
      </c>
      <c r="F3005" s="571" t="s">
        <v>36</v>
      </c>
      <c r="G3005" s="569" t="s">
        <v>36</v>
      </c>
      <c r="H3005" s="569" t="s">
        <v>212</v>
      </c>
      <c r="I3005" s="574">
        <v>2279150000</v>
      </c>
    </row>
    <row r="3006" spans="1:9" ht="16" x14ac:dyDescent="0.2">
      <c r="A3006" s="561">
        <v>46130</v>
      </c>
      <c r="B3006" s="562">
        <v>2026</v>
      </c>
      <c r="C3006" s="563">
        <v>4</v>
      </c>
      <c r="D3006" s="564">
        <v>16</v>
      </c>
      <c r="E3006" s="564">
        <v>18</v>
      </c>
      <c r="F3006" s="565" t="s">
        <v>55</v>
      </c>
      <c r="G3006" s="563" t="s">
        <v>36</v>
      </c>
      <c r="H3006" s="563" t="s">
        <v>212</v>
      </c>
      <c r="I3006" s="573">
        <v>939210000</v>
      </c>
    </row>
    <row r="3007" spans="1:9" ht="16" x14ac:dyDescent="0.2">
      <c r="A3007" s="567">
        <v>46130</v>
      </c>
      <c r="B3007" s="568">
        <v>2026</v>
      </c>
      <c r="C3007" s="569">
        <v>4</v>
      </c>
      <c r="D3007" s="570">
        <v>16</v>
      </c>
      <c r="E3007" s="570">
        <v>18</v>
      </c>
      <c r="F3007" s="571" t="s">
        <v>176</v>
      </c>
      <c r="G3007" s="569" t="s">
        <v>176</v>
      </c>
      <c r="H3007" s="569" t="s">
        <v>216</v>
      </c>
      <c r="I3007" s="574">
        <v>19197095</v>
      </c>
    </row>
    <row r="3008" spans="1:9" ht="16" x14ac:dyDescent="0.2">
      <c r="A3008" s="561">
        <v>46130</v>
      </c>
      <c r="B3008" s="562">
        <v>2026</v>
      </c>
      <c r="C3008" s="563">
        <v>4</v>
      </c>
      <c r="D3008" s="564">
        <v>16</v>
      </c>
      <c r="E3008" s="564">
        <v>18</v>
      </c>
      <c r="F3008" s="565" t="s">
        <v>39</v>
      </c>
      <c r="G3008" s="563" t="s">
        <v>176</v>
      </c>
      <c r="H3008" s="563" t="s">
        <v>216</v>
      </c>
      <c r="I3008" s="573">
        <v>1276263506</v>
      </c>
    </row>
    <row r="3009" spans="1:9" ht="16" x14ac:dyDescent="0.2">
      <c r="A3009" s="567">
        <v>46130</v>
      </c>
      <c r="B3009" s="568">
        <v>2026</v>
      </c>
      <c r="C3009" s="569">
        <v>4</v>
      </c>
      <c r="D3009" s="570">
        <v>16</v>
      </c>
      <c r="E3009" s="570">
        <v>18</v>
      </c>
      <c r="F3009" s="571" t="s">
        <v>206</v>
      </c>
      <c r="G3009" s="569" t="s">
        <v>206</v>
      </c>
      <c r="H3009" s="569" t="s">
        <v>212</v>
      </c>
      <c r="I3009" s="574">
        <v>0</v>
      </c>
    </row>
    <row r="3010" spans="1:9" ht="16" x14ac:dyDescent="0.2">
      <c r="A3010" s="561">
        <v>46130</v>
      </c>
      <c r="B3010" s="562">
        <v>2026</v>
      </c>
      <c r="C3010" s="563">
        <v>4</v>
      </c>
      <c r="D3010" s="564">
        <v>16</v>
      </c>
      <c r="E3010" s="564">
        <v>18</v>
      </c>
      <c r="F3010" s="565" t="s">
        <v>64</v>
      </c>
      <c r="G3010" s="563" t="s">
        <v>209</v>
      </c>
      <c r="H3010" s="563" t="s">
        <v>212</v>
      </c>
      <c r="I3010" s="573">
        <v>77700000</v>
      </c>
    </row>
    <row r="3011" spans="1:9" ht="16" x14ac:dyDescent="0.2">
      <c r="A3011" s="567">
        <v>46130</v>
      </c>
      <c r="B3011" s="568">
        <v>2026</v>
      </c>
      <c r="C3011" s="569">
        <v>4</v>
      </c>
      <c r="D3011" s="570">
        <v>16</v>
      </c>
      <c r="E3011" s="570">
        <v>18</v>
      </c>
      <c r="F3011" s="571" t="s">
        <v>237</v>
      </c>
      <c r="G3011" s="569" t="s">
        <v>209</v>
      </c>
      <c r="H3011" s="569" t="s">
        <v>212</v>
      </c>
      <c r="I3011" s="574">
        <v>0</v>
      </c>
    </row>
    <row r="3012" spans="1:9" ht="16" x14ac:dyDescent="0.2">
      <c r="A3012" s="561">
        <v>46130</v>
      </c>
      <c r="B3012" s="562">
        <v>2026</v>
      </c>
      <c r="C3012" s="563">
        <v>4</v>
      </c>
      <c r="D3012" s="564">
        <v>16</v>
      </c>
      <c r="E3012" s="564">
        <v>18</v>
      </c>
      <c r="F3012" s="565" t="s">
        <v>11</v>
      </c>
      <c r="G3012" s="563" t="s">
        <v>11</v>
      </c>
      <c r="H3012" s="563" t="s">
        <v>212</v>
      </c>
      <c r="I3012" s="573">
        <v>14181630000</v>
      </c>
    </row>
    <row r="3013" spans="1:9" ht="16" x14ac:dyDescent="0.2">
      <c r="A3013" s="567">
        <v>46130</v>
      </c>
      <c r="B3013" s="568">
        <v>2026</v>
      </c>
      <c r="C3013" s="569">
        <v>4</v>
      </c>
      <c r="D3013" s="570">
        <v>16</v>
      </c>
      <c r="E3013" s="570">
        <v>18</v>
      </c>
      <c r="F3013" s="571" t="s">
        <v>221</v>
      </c>
      <c r="G3013" s="569" t="s">
        <v>207</v>
      </c>
      <c r="H3013" s="569" t="s">
        <v>212</v>
      </c>
      <c r="I3013" s="574">
        <v>0</v>
      </c>
    </row>
    <row r="3014" spans="1:9" ht="16" x14ac:dyDescent="0.2">
      <c r="A3014" s="561">
        <v>46130</v>
      </c>
      <c r="B3014" s="562">
        <v>2026</v>
      </c>
      <c r="C3014" s="563">
        <v>4</v>
      </c>
      <c r="D3014" s="564">
        <v>16</v>
      </c>
      <c r="E3014" s="564">
        <v>18</v>
      </c>
      <c r="F3014" s="565" t="s">
        <v>222</v>
      </c>
      <c r="G3014" s="563" t="s">
        <v>207</v>
      </c>
      <c r="H3014" s="563" t="s">
        <v>212</v>
      </c>
      <c r="I3014" s="573">
        <v>0</v>
      </c>
    </row>
    <row r="3015" spans="1:9" ht="16" x14ac:dyDescent="0.2">
      <c r="A3015" s="567">
        <v>46130</v>
      </c>
      <c r="B3015" s="568">
        <v>2026</v>
      </c>
      <c r="C3015" s="569">
        <v>4</v>
      </c>
      <c r="D3015" s="570">
        <v>16</v>
      </c>
      <c r="E3015" s="570">
        <v>18</v>
      </c>
      <c r="F3015" s="571" t="s">
        <v>223</v>
      </c>
      <c r="G3015" s="569" t="s">
        <v>207</v>
      </c>
      <c r="H3015" s="569" t="s">
        <v>212</v>
      </c>
      <c r="I3015" s="574">
        <v>0</v>
      </c>
    </row>
    <row r="3016" spans="1:9" ht="16" x14ac:dyDescent="0.2">
      <c r="A3016" s="561">
        <v>46130</v>
      </c>
      <c r="B3016" s="562">
        <v>2026</v>
      </c>
      <c r="C3016" s="563">
        <v>4</v>
      </c>
      <c r="D3016" s="564">
        <v>16</v>
      </c>
      <c r="E3016" s="564">
        <v>18</v>
      </c>
      <c r="F3016" s="565" t="s">
        <v>219</v>
      </c>
      <c r="G3016" s="563" t="s">
        <v>11</v>
      </c>
      <c r="H3016" s="563" t="s">
        <v>212</v>
      </c>
      <c r="I3016" s="573">
        <v>0</v>
      </c>
    </row>
    <row r="3017" spans="1:9" ht="16" x14ac:dyDescent="0.2">
      <c r="A3017" s="567">
        <v>46130</v>
      </c>
      <c r="B3017" s="568">
        <v>2026</v>
      </c>
      <c r="C3017" s="569">
        <v>4</v>
      </c>
      <c r="D3017" s="570">
        <v>16</v>
      </c>
      <c r="E3017" s="570">
        <v>18</v>
      </c>
      <c r="F3017" s="571" t="s">
        <v>19</v>
      </c>
      <c r="G3017" s="569" t="s">
        <v>19</v>
      </c>
      <c r="H3017" s="569" t="s">
        <v>214</v>
      </c>
      <c r="I3017" s="574">
        <v>10708632000</v>
      </c>
    </row>
    <row r="3018" spans="1:9" ht="16" x14ac:dyDescent="0.2">
      <c r="A3018" s="561">
        <v>46130</v>
      </c>
      <c r="B3018" s="562">
        <v>2026</v>
      </c>
      <c r="C3018" s="563">
        <v>4</v>
      </c>
      <c r="D3018" s="564">
        <v>16</v>
      </c>
      <c r="E3018" s="564">
        <v>18</v>
      </c>
      <c r="F3018" s="565" t="s">
        <v>62</v>
      </c>
      <c r="G3018" s="563" t="s">
        <v>62</v>
      </c>
      <c r="H3018" s="563" t="s">
        <v>216</v>
      </c>
      <c r="I3018" s="573">
        <v>122729974</v>
      </c>
    </row>
    <row r="3019" spans="1:9" ht="16" x14ac:dyDescent="0.2">
      <c r="A3019" s="567">
        <v>46130</v>
      </c>
      <c r="B3019" s="568">
        <v>2026</v>
      </c>
      <c r="C3019" s="569">
        <v>4</v>
      </c>
      <c r="D3019" s="570">
        <v>16</v>
      </c>
      <c r="E3019" s="570">
        <v>18</v>
      </c>
      <c r="F3019" s="571" t="s">
        <v>58</v>
      </c>
      <c r="G3019" s="569" t="s">
        <v>58</v>
      </c>
      <c r="H3019" s="569" t="s">
        <v>212</v>
      </c>
      <c r="I3019" s="574">
        <v>53550000</v>
      </c>
    </row>
    <row r="3020" spans="1:9" ht="16" x14ac:dyDescent="0.2">
      <c r="A3020" s="561">
        <v>46130</v>
      </c>
      <c r="B3020" s="562">
        <v>2026</v>
      </c>
      <c r="C3020" s="563">
        <v>4</v>
      </c>
      <c r="D3020" s="564">
        <v>16</v>
      </c>
      <c r="E3020" s="564">
        <v>18</v>
      </c>
      <c r="F3020" s="565" t="s">
        <v>61</v>
      </c>
      <c r="G3020" s="563" t="s">
        <v>61</v>
      </c>
      <c r="H3020" s="563" t="s">
        <v>214</v>
      </c>
      <c r="I3020" s="573">
        <v>35000000</v>
      </c>
    </row>
    <row r="3021" spans="1:9" ht="16" x14ac:dyDescent="0.2">
      <c r="A3021" s="567">
        <v>46130</v>
      </c>
      <c r="B3021" s="568">
        <v>2026</v>
      </c>
      <c r="C3021" s="569">
        <v>4</v>
      </c>
      <c r="D3021" s="570">
        <v>16</v>
      </c>
      <c r="E3021" s="570">
        <v>18</v>
      </c>
      <c r="F3021" s="571" t="s">
        <v>57</v>
      </c>
      <c r="G3021" s="569" t="s">
        <v>57</v>
      </c>
      <c r="H3021" s="569" t="s">
        <v>212</v>
      </c>
      <c r="I3021" s="574">
        <v>655810000</v>
      </c>
    </row>
    <row r="3022" spans="1:9" ht="16" x14ac:dyDescent="0.2">
      <c r="A3022" s="561">
        <v>46130</v>
      </c>
      <c r="B3022" s="562">
        <v>2026</v>
      </c>
      <c r="C3022" s="563">
        <v>4</v>
      </c>
      <c r="D3022" s="564">
        <v>16</v>
      </c>
      <c r="E3022" s="564">
        <v>18</v>
      </c>
      <c r="F3022" s="565" t="s">
        <v>63</v>
      </c>
      <c r="G3022" s="563" t="s">
        <v>63</v>
      </c>
      <c r="H3022" s="563" t="s">
        <v>214</v>
      </c>
      <c r="I3022" s="573">
        <v>240948000</v>
      </c>
    </row>
    <row r="3023" spans="1:9" ht="16" x14ac:dyDescent="0.2">
      <c r="A3023" s="567">
        <v>46130</v>
      </c>
      <c r="B3023" s="568">
        <v>2026</v>
      </c>
      <c r="C3023" s="569">
        <v>4</v>
      </c>
      <c r="D3023" s="570">
        <v>16</v>
      </c>
      <c r="E3023" s="570">
        <v>18</v>
      </c>
      <c r="F3023" s="571" t="s">
        <v>59</v>
      </c>
      <c r="G3023" s="569" t="s">
        <v>59</v>
      </c>
      <c r="H3023" s="569" t="s">
        <v>216</v>
      </c>
      <c r="I3023" s="574">
        <v>162104649</v>
      </c>
    </row>
    <row r="3024" spans="1:9" ht="16" x14ac:dyDescent="0.2">
      <c r="A3024" s="561">
        <v>46130</v>
      </c>
      <c r="B3024" s="562">
        <v>2026</v>
      </c>
      <c r="C3024" s="563">
        <v>4</v>
      </c>
      <c r="D3024" s="564">
        <v>16</v>
      </c>
      <c r="E3024" s="564">
        <v>18</v>
      </c>
      <c r="F3024" s="565" t="s">
        <v>31</v>
      </c>
      <c r="G3024" s="563" t="s">
        <v>175</v>
      </c>
      <c r="H3024" s="563" t="s">
        <v>212</v>
      </c>
      <c r="I3024" s="573">
        <v>4977120000</v>
      </c>
    </row>
    <row r="3025" spans="1:9" ht="16" x14ac:dyDescent="0.2">
      <c r="A3025" s="567">
        <v>46130</v>
      </c>
      <c r="B3025" s="568">
        <v>2026</v>
      </c>
      <c r="C3025" s="569">
        <v>4</v>
      </c>
      <c r="D3025" s="570">
        <v>16</v>
      </c>
      <c r="E3025" s="570">
        <v>18</v>
      </c>
      <c r="F3025" s="571" t="s">
        <v>234</v>
      </c>
      <c r="G3025" s="569" t="s">
        <v>210</v>
      </c>
      <c r="H3025" s="569" t="s">
        <v>214</v>
      </c>
      <c r="I3025" s="574">
        <v>0</v>
      </c>
    </row>
    <row r="3026" spans="1:9" ht="16" x14ac:dyDescent="0.2">
      <c r="A3026" s="561">
        <v>46131</v>
      </c>
      <c r="B3026" s="562">
        <v>2026</v>
      </c>
      <c r="C3026" s="563">
        <v>4</v>
      </c>
      <c r="D3026" s="564">
        <v>16</v>
      </c>
      <c r="E3026" s="564">
        <v>19</v>
      </c>
      <c r="F3026" s="565" t="s">
        <v>65</v>
      </c>
      <c r="G3026" s="563" t="s">
        <v>65</v>
      </c>
      <c r="H3026" s="563" t="s">
        <v>212</v>
      </c>
      <c r="I3026" s="573">
        <v>569780000</v>
      </c>
    </row>
    <row r="3027" spans="1:9" ht="16" x14ac:dyDescent="0.2">
      <c r="A3027" s="567">
        <v>46131</v>
      </c>
      <c r="B3027" s="568">
        <v>2026</v>
      </c>
      <c r="C3027" s="569">
        <v>4</v>
      </c>
      <c r="D3027" s="570">
        <v>16</v>
      </c>
      <c r="E3027" s="570">
        <v>19</v>
      </c>
      <c r="F3027" s="571" t="s">
        <v>66</v>
      </c>
      <c r="G3027" s="569" t="s">
        <v>66</v>
      </c>
      <c r="H3027" s="569" t="s">
        <v>216</v>
      </c>
      <c r="I3027" s="574">
        <v>273767079</v>
      </c>
    </row>
    <row r="3028" spans="1:9" ht="16" x14ac:dyDescent="0.2">
      <c r="A3028" s="561">
        <v>46131</v>
      </c>
      <c r="B3028" s="562">
        <v>2026</v>
      </c>
      <c r="C3028" s="563">
        <v>4</v>
      </c>
      <c r="D3028" s="564">
        <v>16</v>
      </c>
      <c r="E3028" s="564">
        <v>19</v>
      </c>
      <c r="F3028" s="565" t="s">
        <v>24</v>
      </c>
      <c r="G3028" s="563" t="s">
        <v>24</v>
      </c>
      <c r="H3028" s="563" t="s">
        <v>212</v>
      </c>
      <c r="I3028" s="573">
        <v>11894970000</v>
      </c>
    </row>
    <row r="3029" spans="1:9" ht="16" x14ac:dyDescent="0.2">
      <c r="A3029" s="567">
        <v>46131</v>
      </c>
      <c r="B3029" s="568">
        <v>2026</v>
      </c>
      <c r="C3029" s="569">
        <v>4</v>
      </c>
      <c r="D3029" s="570">
        <v>16</v>
      </c>
      <c r="E3029" s="570">
        <v>19</v>
      </c>
      <c r="F3029" s="571" t="s">
        <v>67</v>
      </c>
      <c r="G3029" s="569" t="s">
        <v>67</v>
      </c>
      <c r="H3029" s="569" t="s">
        <v>213</v>
      </c>
      <c r="I3029" s="574">
        <v>1072639158</v>
      </c>
    </row>
    <row r="3030" spans="1:9" ht="16" x14ac:dyDescent="0.2">
      <c r="A3030" s="561">
        <v>46131</v>
      </c>
      <c r="B3030" s="562">
        <v>2026</v>
      </c>
      <c r="C3030" s="563">
        <v>4</v>
      </c>
      <c r="D3030" s="564">
        <v>16</v>
      </c>
      <c r="E3030" s="564">
        <v>19</v>
      </c>
      <c r="F3030" s="565" t="s">
        <v>28</v>
      </c>
      <c r="G3030" s="563" t="s">
        <v>28</v>
      </c>
      <c r="H3030" s="563" t="s">
        <v>214</v>
      </c>
      <c r="I3030" s="573">
        <v>13170600000</v>
      </c>
    </row>
    <row r="3031" spans="1:9" ht="16" x14ac:dyDescent="0.2">
      <c r="A3031" s="567">
        <v>46131</v>
      </c>
      <c r="B3031" s="568">
        <v>2026</v>
      </c>
      <c r="C3031" s="569">
        <v>4</v>
      </c>
      <c r="D3031" s="570">
        <v>16</v>
      </c>
      <c r="E3031" s="570">
        <v>19</v>
      </c>
      <c r="F3031" s="571" t="s">
        <v>208</v>
      </c>
      <c r="G3031" s="569" t="s">
        <v>208</v>
      </c>
      <c r="H3031" s="569" t="s">
        <v>216</v>
      </c>
      <c r="I3031" s="574">
        <v>0</v>
      </c>
    </row>
    <row r="3032" spans="1:9" ht="16" x14ac:dyDescent="0.2">
      <c r="A3032" s="561">
        <v>46131</v>
      </c>
      <c r="B3032" s="562">
        <v>2026</v>
      </c>
      <c r="C3032" s="563">
        <v>4</v>
      </c>
      <c r="D3032" s="564">
        <v>16</v>
      </c>
      <c r="E3032" s="564">
        <v>19</v>
      </c>
      <c r="F3032" s="565" t="s">
        <v>60</v>
      </c>
      <c r="G3032" s="563" t="s">
        <v>60</v>
      </c>
      <c r="H3032" s="563" t="s">
        <v>212</v>
      </c>
      <c r="I3032" s="573">
        <v>0</v>
      </c>
    </row>
    <row r="3033" spans="1:9" ht="16" x14ac:dyDescent="0.2">
      <c r="A3033" s="567">
        <v>46131</v>
      </c>
      <c r="B3033" s="568">
        <v>2026</v>
      </c>
      <c r="C3033" s="569">
        <v>4</v>
      </c>
      <c r="D3033" s="570">
        <v>16</v>
      </c>
      <c r="E3033" s="570">
        <v>19</v>
      </c>
      <c r="F3033" s="571" t="s">
        <v>36</v>
      </c>
      <c r="G3033" s="569" t="s">
        <v>36</v>
      </c>
      <c r="H3033" s="569" t="s">
        <v>212</v>
      </c>
      <c r="I3033" s="574">
        <v>3196900000</v>
      </c>
    </row>
    <row r="3034" spans="1:9" ht="16" x14ac:dyDescent="0.2">
      <c r="A3034" s="561">
        <v>46131</v>
      </c>
      <c r="B3034" s="562">
        <v>2026</v>
      </c>
      <c r="C3034" s="563">
        <v>4</v>
      </c>
      <c r="D3034" s="564">
        <v>16</v>
      </c>
      <c r="E3034" s="564">
        <v>19</v>
      </c>
      <c r="F3034" s="565" t="s">
        <v>55</v>
      </c>
      <c r="G3034" s="563" t="s">
        <v>36</v>
      </c>
      <c r="H3034" s="563" t="s">
        <v>212</v>
      </c>
      <c r="I3034" s="573">
        <v>580250000</v>
      </c>
    </row>
    <row r="3035" spans="1:9" ht="16" x14ac:dyDescent="0.2">
      <c r="A3035" s="567">
        <v>46131</v>
      </c>
      <c r="B3035" s="568">
        <v>2026</v>
      </c>
      <c r="C3035" s="569">
        <v>4</v>
      </c>
      <c r="D3035" s="570">
        <v>16</v>
      </c>
      <c r="E3035" s="570">
        <v>19</v>
      </c>
      <c r="F3035" s="571" t="s">
        <v>176</v>
      </c>
      <c r="G3035" s="569" t="s">
        <v>176</v>
      </c>
      <c r="H3035" s="569" t="s">
        <v>216</v>
      </c>
      <c r="I3035" s="574">
        <v>6009443</v>
      </c>
    </row>
    <row r="3036" spans="1:9" ht="16" x14ac:dyDescent="0.2">
      <c r="A3036" s="561">
        <v>46131</v>
      </c>
      <c r="B3036" s="562">
        <v>2026</v>
      </c>
      <c r="C3036" s="563">
        <v>4</v>
      </c>
      <c r="D3036" s="564">
        <v>16</v>
      </c>
      <c r="E3036" s="564">
        <v>19</v>
      </c>
      <c r="F3036" s="565" t="s">
        <v>39</v>
      </c>
      <c r="G3036" s="563" t="s">
        <v>176</v>
      </c>
      <c r="H3036" s="563" t="s">
        <v>216</v>
      </c>
      <c r="I3036" s="573">
        <v>1162515757</v>
      </c>
    </row>
    <row r="3037" spans="1:9" ht="16" x14ac:dyDescent="0.2">
      <c r="A3037" s="567">
        <v>46131</v>
      </c>
      <c r="B3037" s="568">
        <v>2026</v>
      </c>
      <c r="C3037" s="569">
        <v>4</v>
      </c>
      <c r="D3037" s="570">
        <v>16</v>
      </c>
      <c r="E3037" s="570">
        <v>19</v>
      </c>
      <c r="F3037" s="571" t="s">
        <v>206</v>
      </c>
      <c r="G3037" s="569" t="s">
        <v>206</v>
      </c>
      <c r="H3037" s="569" t="s">
        <v>212</v>
      </c>
      <c r="I3037" s="574">
        <v>0</v>
      </c>
    </row>
    <row r="3038" spans="1:9" ht="16" x14ac:dyDescent="0.2">
      <c r="A3038" s="561">
        <v>46131</v>
      </c>
      <c r="B3038" s="562">
        <v>2026</v>
      </c>
      <c r="C3038" s="563">
        <v>4</v>
      </c>
      <c r="D3038" s="564">
        <v>16</v>
      </c>
      <c r="E3038" s="564">
        <v>19</v>
      </c>
      <c r="F3038" s="565" t="s">
        <v>64</v>
      </c>
      <c r="G3038" s="563" t="s">
        <v>209</v>
      </c>
      <c r="H3038" s="563" t="s">
        <v>212</v>
      </c>
      <c r="I3038" s="573">
        <v>15750000</v>
      </c>
    </row>
    <row r="3039" spans="1:9" ht="16" x14ac:dyDescent="0.2">
      <c r="A3039" s="567">
        <v>46131</v>
      </c>
      <c r="B3039" s="568">
        <v>2026</v>
      </c>
      <c r="C3039" s="569">
        <v>4</v>
      </c>
      <c r="D3039" s="570">
        <v>16</v>
      </c>
      <c r="E3039" s="570">
        <v>19</v>
      </c>
      <c r="F3039" s="571" t="s">
        <v>237</v>
      </c>
      <c r="G3039" s="569" t="s">
        <v>209</v>
      </c>
      <c r="H3039" s="569" t="s">
        <v>212</v>
      </c>
      <c r="I3039" s="574">
        <v>0</v>
      </c>
    </row>
    <row r="3040" spans="1:9" ht="16" x14ac:dyDescent="0.2">
      <c r="A3040" s="561">
        <v>46131</v>
      </c>
      <c r="B3040" s="562">
        <v>2026</v>
      </c>
      <c r="C3040" s="563">
        <v>4</v>
      </c>
      <c r="D3040" s="564">
        <v>16</v>
      </c>
      <c r="E3040" s="564">
        <v>19</v>
      </c>
      <c r="F3040" s="565" t="s">
        <v>11</v>
      </c>
      <c r="G3040" s="563" t="s">
        <v>11</v>
      </c>
      <c r="H3040" s="563" t="s">
        <v>212</v>
      </c>
      <c r="I3040" s="573">
        <v>15575200000</v>
      </c>
    </row>
    <row r="3041" spans="1:9" ht="16" x14ac:dyDescent="0.2">
      <c r="A3041" s="567">
        <v>46131</v>
      </c>
      <c r="B3041" s="568">
        <v>2026</v>
      </c>
      <c r="C3041" s="569">
        <v>4</v>
      </c>
      <c r="D3041" s="570">
        <v>16</v>
      </c>
      <c r="E3041" s="570">
        <v>19</v>
      </c>
      <c r="F3041" s="571" t="s">
        <v>221</v>
      </c>
      <c r="G3041" s="569" t="s">
        <v>207</v>
      </c>
      <c r="H3041" s="569" t="s">
        <v>212</v>
      </c>
      <c r="I3041" s="574">
        <v>0</v>
      </c>
    </row>
    <row r="3042" spans="1:9" ht="16" x14ac:dyDescent="0.2">
      <c r="A3042" s="561">
        <v>46131</v>
      </c>
      <c r="B3042" s="562">
        <v>2026</v>
      </c>
      <c r="C3042" s="563">
        <v>4</v>
      </c>
      <c r="D3042" s="564">
        <v>16</v>
      </c>
      <c r="E3042" s="564">
        <v>19</v>
      </c>
      <c r="F3042" s="565" t="s">
        <v>222</v>
      </c>
      <c r="G3042" s="563" t="s">
        <v>207</v>
      </c>
      <c r="H3042" s="563" t="s">
        <v>212</v>
      </c>
      <c r="I3042" s="573">
        <v>0</v>
      </c>
    </row>
    <row r="3043" spans="1:9" ht="16" x14ac:dyDescent="0.2">
      <c r="A3043" s="567">
        <v>46131</v>
      </c>
      <c r="B3043" s="568">
        <v>2026</v>
      </c>
      <c r="C3043" s="569">
        <v>4</v>
      </c>
      <c r="D3043" s="570">
        <v>16</v>
      </c>
      <c r="E3043" s="570">
        <v>19</v>
      </c>
      <c r="F3043" s="571" t="s">
        <v>223</v>
      </c>
      <c r="G3043" s="569" t="s">
        <v>207</v>
      </c>
      <c r="H3043" s="569" t="s">
        <v>212</v>
      </c>
      <c r="I3043" s="574">
        <v>0</v>
      </c>
    </row>
    <row r="3044" spans="1:9" ht="16" x14ac:dyDescent="0.2">
      <c r="A3044" s="561">
        <v>46131</v>
      </c>
      <c r="B3044" s="562">
        <v>2026</v>
      </c>
      <c r="C3044" s="563">
        <v>4</v>
      </c>
      <c r="D3044" s="564">
        <v>16</v>
      </c>
      <c r="E3044" s="564">
        <v>19</v>
      </c>
      <c r="F3044" s="565" t="s">
        <v>219</v>
      </c>
      <c r="G3044" s="563" t="s">
        <v>11</v>
      </c>
      <c r="H3044" s="563" t="s">
        <v>212</v>
      </c>
      <c r="I3044" s="573">
        <v>0</v>
      </c>
    </row>
    <row r="3045" spans="1:9" ht="16" x14ac:dyDescent="0.2">
      <c r="A3045" s="567">
        <v>46131</v>
      </c>
      <c r="B3045" s="568">
        <v>2026</v>
      </c>
      <c r="C3045" s="569">
        <v>4</v>
      </c>
      <c r="D3045" s="570">
        <v>16</v>
      </c>
      <c r="E3045" s="570">
        <v>19</v>
      </c>
      <c r="F3045" s="571" t="s">
        <v>19</v>
      </c>
      <c r="G3045" s="569" t="s">
        <v>19</v>
      </c>
      <c r="H3045" s="569" t="s">
        <v>214</v>
      </c>
      <c r="I3045" s="574">
        <v>10571796000</v>
      </c>
    </row>
    <row r="3046" spans="1:9" ht="16" x14ac:dyDescent="0.2">
      <c r="A3046" s="561">
        <v>46131</v>
      </c>
      <c r="B3046" s="562">
        <v>2026</v>
      </c>
      <c r="C3046" s="563">
        <v>4</v>
      </c>
      <c r="D3046" s="564">
        <v>16</v>
      </c>
      <c r="E3046" s="564">
        <v>19</v>
      </c>
      <c r="F3046" s="565" t="s">
        <v>62</v>
      </c>
      <c r="G3046" s="563" t="s">
        <v>62</v>
      </c>
      <c r="H3046" s="563" t="s">
        <v>216</v>
      </c>
      <c r="I3046" s="573">
        <v>131540008</v>
      </c>
    </row>
    <row r="3047" spans="1:9" ht="16" x14ac:dyDescent="0.2">
      <c r="A3047" s="567">
        <v>46131</v>
      </c>
      <c r="B3047" s="568">
        <v>2026</v>
      </c>
      <c r="C3047" s="569">
        <v>4</v>
      </c>
      <c r="D3047" s="570">
        <v>16</v>
      </c>
      <c r="E3047" s="570">
        <v>19</v>
      </c>
      <c r="F3047" s="571" t="s">
        <v>58</v>
      </c>
      <c r="G3047" s="569" t="s">
        <v>58</v>
      </c>
      <c r="H3047" s="569" t="s">
        <v>212</v>
      </c>
      <c r="I3047" s="574">
        <v>42000000</v>
      </c>
    </row>
    <row r="3048" spans="1:9" ht="16" x14ac:dyDescent="0.2">
      <c r="A3048" s="561">
        <v>46131</v>
      </c>
      <c r="B3048" s="562">
        <v>2026</v>
      </c>
      <c r="C3048" s="563">
        <v>4</v>
      </c>
      <c r="D3048" s="564">
        <v>16</v>
      </c>
      <c r="E3048" s="564">
        <v>19</v>
      </c>
      <c r="F3048" s="565" t="s">
        <v>61</v>
      </c>
      <c r="G3048" s="563" t="s">
        <v>61</v>
      </c>
      <c r="H3048" s="563" t="s">
        <v>214</v>
      </c>
      <c r="I3048" s="573">
        <v>43000000</v>
      </c>
    </row>
    <row r="3049" spans="1:9" ht="16" x14ac:dyDescent="0.2">
      <c r="A3049" s="567">
        <v>46131</v>
      </c>
      <c r="B3049" s="568">
        <v>2026</v>
      </c>
      <c r="C3049" s="569">
        <v>4</v>
      </c>
      <c r="D3049" s="570">
        <v>16</v>
      </c>
      <c r="E3049" s="570">
        <v>19</v>
      </c>
      <c r="F3049" s="571" t="s">
        <v>57</v>
      </c>
      <c r="G3049" s="569" t="s">
        <v>57</v>
      </c>
      <c r="H3049" s="569" t="s">
        <v>212</v>
      </c>
      <c r="I3049" s="574">
        <v>902290000</v>
      </c>
    </row>
    <row r="3050" spans="1:9" ht="16" x14ac:dyDescent="0.2">
      <c r="A3050" s="561">
        <v>46131</v>
      </c>
      <c r="B3050" s="562">
        <v>2026</v>
      </c>
      <c r="C3050" s="563">
        <v>4</v>
      </c>
      <c r="D3050" s="564">
        <v>16</v>
      </c>
      <c r="E3050" s="564">
        <v>19</v>
      </c>
      <c r="F3050" s="565" t="s">
        <v>63</v>
      </c>
      <c r="G3050" s="563" t="s">
        <v>63</v>
      </c>
      <c r="H3050" s="563" t="s">
        <v>214</v>
      </c>
      <c r="I3050" s="573">
        <v>210600000</v>
      </c>
    </row>
    <row r="3051" spans="1:9" ht="16" x14ac:dyDescent="0.2">
      <c r="A3051" s="567">
        <v>46131</v>
      </c>
      <c r="B3051" s="568">
        <v>2026</v>
      </c>
      <c r="C3051" s="569">
        <v>4</v>
      </c>
      <c r="D3051" s="570">
        <v>16</v>
      </c>
      <c r="E3051" s="570">
        <v>19</v>
      </c>
      <c r="F3051" s="571" t="s">
        <v>59</v>
      </c>
      <c r="G3051" s="569" t="s">
        <v>59</v>
      </c>
      <c r="H3051" s="569" t="s">
        <v>216</v>
      </c>
      <c r="I3051" s="574">
        <v>201304062</v>
      </c>
    </row>
    <row r="3052" spans="1:9" ht="16" x14ac:dyDescent="0.2">
      <c r="A3052" s="561">
        <v>46131</v>
      </c>
      <c r="B3052" s="562">
        <v>2026</v>
      </c>
      <c r="C3052" s="563">
        <v>4</v>
      </c>
      <c r="D3052" s="564">
        <v>16</v>
      </c>
      <c r="E3052" s="564">
        <v>19</v>
      </c>
      <c r="F3052" s="565" t="s">
        <v>31</v>
      </c>
      <c r="G3052" s="563" t="s">
        <v>175</v>
      </c>
      <c r="H3052" s="563" t="s">
        <v>212</v>
      </c>
      <c r="I3052" s="573">
        <v>4101160000</v>
      </c>
    </row>
    <row r="3053" spans="1:9" ht="16" x14ac:dyDescent="0.2">
      <c r="A3053" s="567">
        <v>46131</v>
      </c>
      <c r="B3053" s="568">
        <v>2026</v>
      </c>
      <c r="C3053" s="569">
        <v>4</v>
      </c>
      <c r="D3053" s="570">
        <v>16</v>
      </c>
      <c r="E3053" s="570">
        <v>19</v>
      </c>
      <c r="F3053" s="571" t="s">
        <v>234</v>
      </c>
      <c r="G3053" s="569" t="s">
        <v>210</v>
      </c>
      <c r="H3053" s="569" t="s">
        <v>214</v>
      </c>
      <c r="I3053" s="574">
        <v>0</v>
      </c>
    </row>
    <row r="3054" spans="1:9" ht="16" x14ac:dyDescent="0.2">
      <c r="A3054" s="561">
        <v>46132</v>
      </c>
      <c r="B3054" s="562">
        <v>2026</v>
      </c>
      <c r="C3054" s="563">
        <v>4</v>
      </c>
      <c r="D3054" s="564">
        <v>17</v>
      </c>
      <c r="E3054" s="564">
        <v>20</v>
      </c>
      <c r="F3054" s="565" t="s">
        <v>65</v>
      </c>
      <c r="G3054" s="563" t="s">
        <v>65</v>
      </c>
      <c r="H3054" s="563" t="s">
        <v>212</v>
      </c>
      <c r="I3054" s="573">
        <v>443250000</v>
      </c>
    </row>
    <row r="3055" spans="1:9" ht="16" x14ac:dyDescent="0.2">
      <c r="A3055" s="567">
        <v>46132</v>
      </c>
      <c r="B3055" s="568">
        <v>2026</v>
      </c>
      <c r="C3055" s="569">
        <v>4</v>
      </c>
      <c r="D3055" s="570">
        <v>17</v>
      </c>
      <c r="E3055" s="570">
        <v>20</v>
      </c>
      <c r="F3055" s="571" t="s">
        <v>66</v>
      </c>
      <c r="G3055" s="569" t="s">
        <v>66</v>
      </c>
      <c r="H3055" s="569" t="s">
        <v>216</v>
      </c>
      <c r="I3055" s="574">
        <v>251999633</v>
      </c>
    </row>
    <row r="3056" spans="1:9" ht="16" x14ac:dyDescent="0.2">
      <c r="A3056" s="561">
        <v>46132</v>
      </c>
      <c r="B3056" s="562">
        <v>2026</v>
      </c>
      <c r="C3056" s="563">
        <v>4</v>
      </c>
      <c r="D3056" s="564">
        <v>17</v>
      </c>
      <c r="E3056" s="564">
        <v>20</v>
      </c>
      <c r="F3056" s="565" t="s">
        <v>24</v>
      </c>
      <c r="G3056" s="563" t="s">
        <v>24</v>
      </c>
      <c r="H3056" s="563" t="s">
        <v>212</v>
      </c>
      <c r="I3056" s="573">
        <v>14875820000</v>
      </c>
    </row>
    <row r="3057" spans="1:9" ht="16" x14ac:dyDescent="0.2">
      <c r="A3057" s="567">
        <v>46132</v>
      </c>
      <c r="B3057" s="568">
        <v>2026</v>
      </c>
      <c r="C3057" s="569">
        <v>4</v>
      </c>
      <c r="D3057" s="570">
        <v>17</v>
      </c>
      <c r="E3057" s="570">
        <v>20</v>
      </c>
      <c r="F3057" s="571" t="s">
        <v>67</v>
      </c>
      <c r="G3057" s="569" t="s">
        <v>67</v>
      </c>
      <c r="H3057" s="569" t="s">
        <v>213</v>
      </c>
      <c r="I3057" s="574">
        <v>2794444072</v>
      </c>
    </row>
    <row r="3058" spans="1:9" ht="16" x14ac:dyDescent="0.2">
      <c r="A3058" s="561">
        <v>46132</v>
      </c>
      <c r="B3058" s="562">
        <v>2026</v>
      </c>
      <c r="C3058" s="563">
        <v>4</v>
      </c>
      <c r="D3058" s="564">
        <v>17</v>
      </c>
      <c r="E3058" s="564">
        <v>20</v>
      </c>
      <c r="F3058" s="565" t="s">
        <v>28</v>
      </c>
      <c r="G3058" s="563" t="s">
        <v>28</v>
      </c>
      <c r="H3058" s="563" t="s">
        <v>214</v>
      </c>
      <c r="I3058" s="573">
        <v>14755608000</v>
      </c>
    </row>
    <row r="3059" spans="1:9" ht="16" x14ac:dyDescent="0.2">
      <c r="A3059" s="567">
        <v>46132</v>
      </c>
      <c r="B3059" s="568">
        <v>2026</v>
      </c>
      <c r="C3059" s="569">
        <v>4</v>
      </c>
      <c r="D3059" s="570">
        <v>17</v>
      </c>
      <c r="E3059" s="570">
        <v>20</v>
      </c>
      <c r="F3059" s="571" t="s">
        <v>208</v>
      </c>
      <c r="G3059" s="569" t="s">
        <v>208</v>
      </c>
      <c r="H3059" s="569" t="s">
        <v>216</v>
      </c>
      <c r="I3059" s="574">
        <v>0</v>
      </c>
    </row>
    <row r="3060" spans="1:9" ht="16" x14ac:dyDescent="0.2">
      <c r="A3060" s="561">
        <v>46132</v>
      </c>
      <c r="B3060" s="562">
        <v>2026</v>
      </c>
      <c r="C3060" s="563">
        <v>4</v>
      </c>
      <c r="D3060" s="564">
        <v>17</v>
      </c>
      <c r="E3060" s="564">
        <v>20</v>
      </c>
      <c r="F3060" s="565" t="s">
        <v>60</v>
      </c>
      <c r="G3060" s="563" t="s">
        <v>60</v>
      </c>
      <c r="H3060" s="563" t="s">
        <v>212</v>
      </c>
      <c r="I3060" s="573">
        <v>0</v>
      </c>
    </row>
    <row r="3061" spans="1:9" ht="16" x14ac:dyDescent="0.2">
      <c r="A3061" s="567">
        <v>46132</v>
      </c>
      <c r="B3061" s="568">
        <v>2026</v>
      </c>
      <c r="C3061" s="569">
        <v>4</v>
      </c>
      <c r="D3061" s="570">
        <v>17</v>
      </c>
      <c r="E3061" s="570">
        <v>20</v>
      </c>
      <c r="F3061" s="571" t="s">
        <v>36</v>
      </c>
      <c r="G3061" s="569" t="s">
        <v>36</v>
      </c>
      <c r="H3061" s="569" t="s">
        <v>212</v>
      </c>
      <c r="I3061" s="574">
        <v>2936790000</v>
      </c>
    </row>
    <row r="3062" spans="1:9" ht="16" x14ac:dyDescent="0.2">
      <c r="A3062" s="561">
        <v>46132</v>
      </c>
      <c r="B3062" s="562">
        <v>2026</v>
      </c>
      <c r="C3062" s="563">
        <v>4</v>
      </c>
      <c r="D3062" s="564">
        <v>17</v>
      </c>
      <c r="E3062" s="564">
        <v>20</v>
      </c>
      <c r="F3062" s="565" t="s">
        <v>55</v>
      </c>
      <c r="G3062" s="563" t="s">
        <v>36</v>
      </c>
      <c r="H3062" s="563" t="s">
        <v>212</v>
      </c>
      <c r="I3062" s="573">
        <v>998770000</v>
      </c>
    </row>
    <row r="3063" spans="1:9" ht="16" x14ac:dyDescent="0.2">
      <c r="A3063" s="567">
        <v>46132</v>
      </c>
      <c r="B3063" s="568">
        <v>2026</v>
      </c>
      <c r="C3063" s="569">
        <v>4</v>
      </c>
      <c r="D3063" s="570">
        <v>17</v>
      </c>
      <c r="E3063" s="570">
        <v>20</v>
      </c>
      <c r="F3063" s="571" t="s">
        <v>176</v>
      </c>
      <c r="G3063" s="569" t="s">
        <v>176</v>
      </c>
      <c r="H3063" s="569" t="s">
        <v>216</v>
      </c>
      <c r="I3063" s="574">
        <v>13525090</v>
      </c>
    </row>
    <row r="3064" spans="1:9" ht="16" x14ac:dyDescent="0.2">
      <c r="A3064" s="561">
        <v>46132</v>
      </c>
      <c r="B3064" s="562">
        <v>2026</v>
      </c>
      <c r="C3064" s="563">
        <v>4</v>
      </c>
      <c r="D3064" s="564">
        <v>17</v>
      </c>
      <c r="E3064" s="564">
        <v>20</v>
      </c>
      <c r="F3064" s="565" t="s">
        <v>39</v>
      </c>
      <c r="G3064" s="563" t="s">
        <v>176</v>
      </c>
      <c r="H3064" s="563" t="s">
        <v>216</v>
      </c>
      <c r="I3064" s="573">
        <v>804617153</v>
      </c>
    </row>
    <row r="3065" spans="1:9" ht="16" x14ac:dyDescent="0.2">
      <c r="A3065" s="567">
        <v>46132</v>
      </c>
      <c r="B3065" s="568">
        <v>2026</v>
      </c>
      <c r="C3065" s="569">
        <v>4</v>
      </c>
      <c r="D3065" s="570">
        <v>17</v>
      </c>
      <c r="E3065" s="570">
        <v>20</v>
      </c>
      <c r="F3065" s="571" t="s">
        <v>206</v>
      </c>
      <c r="G3065" s="569" t="s">
        <v>206</v>
      </c>
      <c r="H3065" s="569" t="s">
        <v>212</v>
      </c>
      <c r="I3065" s="574">
        <v>0</v>
      </c>
    </row>
    <row r="3066" spans="1:9" ht="16" x14ac:dyDescent="0.2">
      <c r="A3066" s="561">
        <v>46132</v>
      </c>
      <c r="B3066" s="562">
        <v>2026</v>
      </c>
      <c r="C3066" s="563">
        <v>4</v>
      </c>
      <c r="D3066" s="564">
        <v>17</v>
      </c>
      <c r="E3066" s="564">
        <v>20</v>
      </c>
      <c r="F3066" s="565" t="s">
        <v>64</v>
      </c>
      <c r="G3066" s="563" t="s">
        <v>209</v>
      </c>
      <c r="H3066" s="563" t="s">
        <v>212</v>
      </c>
      <c r="I3066" s="573">
        <v>73500000</v>
      </c>
    </row>
    <row r="3067" spans="1:9" ht="16" x14ac:dyDescent="0.2">
      <c r="A3067" s="567">
        <v>46132</v>
      </c>
      <c r="B3067" s="568">
        <v>2026</v>
      </c>
      <c r="C3067" s="569">
        <v>4</v>
      </c>
      <c r="D3067" s="570">
        <v>17</v>
      </c>
      <c r="E3067" s="570">
        <v>20</v>
      </c>
      <c r="F3067" s="571" t="s">
        <v>237</v>
      </c>
      <c r="G3067" s="569" t="s">
        <v>209</v>
      </c>
      <c r="H3067" s="569" t="s">
        <v>212</v>
      </c>
      <c r="I3067" s="574">
        <v>0</v>
      </c>
    </row>
    <row r="3068" spans="1:9" ht="16" x14ac:dyDescent="0.2">
      <c r="A3068" s="561">
        <v>46132</v>
      </c>
      <c r="B3068" s="562">
        <v>2026</v>
      </c>
      <c r="C3068" s="563">
        <v>4</v>
      </c>
      <c r="D3068" s="564">
        <v>17</v>
      </c>
      <c r="E3068" s="564">
        <v>20</v>
      </c>
      <c r="F3068" s="565" t="s">
        <v>11</v>
      </c>
      <c r="G3068" s="563" t="s">
        <v>11</v>
      </c>
      <c r="H3068" s="563" t="s">
        <v>212</v>
      </c>
      <c r="I3068" s="573">
        <v>16555900000</v>
      </c>
    </row>
    <row r="3069" spans="1:9" ht="16" x14ac:dyDescent="0.2">
      <c r="A3069" s="567">
        <v>46132</v>
      </c>
      <c r="B3069" s="568">
        <v>2026</v>
      </c>
      <c r="C3069" s="569">
        <v>4</v>
      </c>
      <c r="D3069" s="570">
        <v>17</v>
      </c>
      <c r="E3069" s="570">
        <v>20</v>
      </c>
      <c r="F3069" s="571" t="s">
        <v>221</v>
      </c>
      <c r="G3069" s="569" t="s">
        <v>207</v>
      </c>
      <c r="H3069" s="569" t="s">
        <v>212</v>
      </c>
      <c r="I3069" s="574">
        <v>0</v>
      </c>
    </row>
    <row r="3070" spans="1:9" ht="16" x14ac:dyDescent="0.2">
      <c r="A3070" s="561">
        <v>46132</v>
      </c>
      <c r="B3070" s="562">
        <v>2026</v>
      </c>
      <c r="C3070" s="563">
        <v>4</v>
      </c>
      <c r="D3070" s="564">
        <v>17</v>
      </c>
      <c r="E3070" s="564">
        <v>20</v>
      </c>
      <c r="F3070" s="565" t="s">
        <v>222</v>
      </c>
      <c r="G3070" s="563" t="s">
        <v>207</v>
      </c>
      <c r="H3070" s="563" t="s">
        <v>212</v>
      </c>
      <c r="I3070" s="573">
        <v>0</v>
      </c>
    </row>
    <row r="3071" spans="1:9" ht="16" x14ac:dyDescent="0.2">
      <c r="A3071" s="567">
        <v>46132</v>
      </c>
      <c r="B3071" s="568">
        <v>2026</v>
      </c>
      <c r="C3071" s="569">
        <v>4</v>
      </c>
      <c r="D3071" s="570">
        <v>17</v>
      </c>
      <c r="E3071" s="570">
        <v>20</v>
      </c>
      <c r="F3071" s="571" t="s">
        <v>223</v>
      </c>
      <c r="G3071" s="569" t="s">
        <v>207</v>
      </c>
      <c r="H3071" s="569" t="s">
        <v>212</v>
      </c>
      <c r="I3071" s="574">
        <v>0</v>
      </c>
    </row>
    <row r="3072" spans="1:9" ht="16" x14ac:dyDescent="0.2">
      <c r="A3072" s="561">
        <v>46132</v>
      </c>
      <c r="B3072" s="562">
        <v>2026</v>
      </c>
      <c r="C3072" s="563">
        <v>4</v>
      </c>
      <c r="D3072" s="564">
        <v>17</v>
      </c>
      <c r="E3072" s="564">
        <v>20</v>
      </c>
      <c r="F3072" s="565" t="s">
        <v>219</v>
      </c>
      <c r="G3072" s="563" t="s">
        <v>11</v>
      </c>
      <c r="H3072" s="563" t="s">
        <v>212</v>
      </c>
      <c r="I3072" s="573">
        <v>0</v>
      </c>
    </row>
    <row r="3073" spans="1:9" ht="16" x14ac:dyDescent="0.2">
      <c r="A3073" s="567">
        <v>46132</v>
      </c>
      <c r="B3073" s="568">
        <v>2026</v>
      </c>
      <c r="C3073" s="569">
        <v>4</v>
      </c>
      <c r="D3073" s="570">
        <v>17</v>
      </c>
      <c r="E3073" s="570">
        <v>20</v>
      </c>
      <c r="F3073" s="571" t="s">
        <v>19</v>
      </c>
      <c r="G3073" s="569" t="s">
        <v>19</v>
      </c>
      <c r="H3073" s="569" t="s">
        <v>214</v>
      </c>
      <c r="I3073" s="574">
        <v>11234592000</v>
      </c>
    </row>
    <row r="3074" spans="1:9" ht="16" x14ac:dyDescent="0.2">
      <c r="A3074" s="561">
        <v>46132</v>
      </c>
      <c r="B3074" s="562">
        <v>2026</v>
      </c>
      <c r="C3074" s="563">
        <v>4</v>
      </c>
      <c r="D3074" s="564">
        <v>17</v>
      </c>
      <c r="E3074" s="564">
        <v>20</v>
      </c>
      <c r="F3074" s="565" t="s">
        <v>62</v>
      </c>
      <c r="G3074" s="563" t="s">
        <v>62</v>
      </c>
      <c r="H3074" s="563" t="s">
        <v>216</v>
      </c>
      <c r="I3074" s="573">
        <v>168559692</v>
      </c>
    </row>
    <row r="3075" spans="1:9" ht="16" x14ac:dyDescent="0.2">
      <c r="A3075" s="567">
        <v>46132</v>
      </c>
      <c r="B3075" s="568">
        <v>2026</v>
      </c>
      <c r="C3075" s="569">
        <v>4</v>
      </c>
      <c r="D3075" s="570">
        <v>17</v>
      </c>
      <c r="E3075" s="570">
        <v>20</v>
      </c>
      <c r="F3075" s="571" t="s">
        <v>58</v>
      </c>
      <c r="G3075" s="569" t="s">
        <v>58</v>
      </c>
      <c r="H3075" s="569" t="s">
        <v>212</v>
      </c>
      <c r="I3075" s="574">
        <v>72500000</v>
      </c>
    </row>
    <row r="3076" spans="1:9" ht="16" x14ac:dyDescent="0.2">
      <c r="A3076" s="561">
        <v>46132</v>
      </c>
      <c r="B3076" s="562">
        <v>2026</v>
      </c>
      <c r="C3076" s="563">
        <v>4</v>
      </c>
      <c r="D3076" s="564">
        <v>17</v>
      </c>
      <c r="E3076" s="564">
        <v>20</v>
      </c>
      <c r="F3076" s="565" t="s">
        <v>61</v>
      </c>
      <c r="G3076" s="563" t="s">
        <v>61</v>
      </c>
      <c r="H3076" s="563" t="s">
        <v>214</v>
      </c>
      <c r="I3076" s="573">
        <v>46000000</v>
      </c>
    </row>
    <row r="3077" spans="1:9" ht="16" x14ac:dyDescent="0.2">
      <c r="A3077" s="567">
        <v>46132</v>
      </c>
      <c r="B3077" s="568">
        <v>2026</v>
      </c>
      <c r="C3077" s="569">
        <v>4</v>
      </c>
      <c r="D3077" s="570">
        <v>17</v>
      </c>
      <c r="E3077" s="570">
        <v>20</v>
      </c>
      <c r="F3077" s="571" t="s">
        <v>57</v>
      </c>
      <c r="G3077" s="569" t="s">
        <v>57</v>
      </c>
      <c r="H3077" s="569" t="s">
        <v>212</v>
      </c>
      <c r="I3077" s="574">
        <v>840560000</v>
      </c>
    </row>
    <row r="3078" spans="1:9" ht="16" x14ac:dyDescent="0.2">
      <c r="A3078" s="561">
        <v>46132</v>
      </c>
      <c r="B3078" s="562">
        <v>2026</v>
      </c>
      <c r="C3078" s="563">
        <v>4</v>
      </c>
      <c r="D3078" s="564">
        <v>17</v>
      </c>
      <c r="E3078" s="564">
        <v>20</v>
      </c>
      <c r="F3078" s="565" t="s">
        <v>63</v>
      </c>
      <c r="G3078" s="563" t="s">
        <v>63</v>
      </c>
      <c r="H3078" s="563" t="s">
        <v>214</v>
      </c>
      <c r="I3078" s="573">
        <v>337608000</v>
      </c>
    </row>
    <row r="3079" spans="1:9" ht="16" x14ac:dyDescent="0.2">
      <c r="A3079" s="567">
        <v>46132</v>
      </c>
      <c r="B3079" s="568">
        <v>2026</v>
      </c>
      <c r="C3079" s="569">
        <v>4</v>
      </c>
      <c r="D3079" s="570">
        <v>17</v>
      </c>
      <c r="E3079" s="570">
        <v>20</v>
      </c>
      <c r="F3079" s="571" t="s">
        <v>59</v>
      </c>
      <c r="G3079" s="569" t="s">
        <v>59</v>
      </c>
      <c r="H3079" s="569" t="s">
        <v>216</v>
      </c>
      <c r="I3079" s="574">
        <v>226619379</v>
      </c>
    </row>
    <row r="3080" spans="1:9" ht="16" x14ac:dyDescent="0.2">
      <c r="A3080" s="561">
        <v>46132</v>
      </c>
      <c r="B3080" s="562">
        <v>2026</v>
      </c>
      <c r="C3080" s="563">
        <v>4</v>
      </c>
      <c r="D3080" s="564">
        <v>17</v>
      </c>
      <c r="E3080" s="564">
        <v>20</v>
      </c>
      <c r="F3080" s="565" t="s">
        <v>31</v>
      </c>
      <c r="G3080" s="563" t="s">
        <v>175</v>
      </c>
      <c r="H3080" s="563" t="s">
        <v>212</v>
      </c>
      <c r="I3080" s="573">
        <v>5538620000</v>
      </c>
    </row>
    <row r="3081" spans="1:9" ht="16" x14ac:dyDescent="0.2">
      <c r="A3081" s="567">
        <v>46132</v>
      </c>
      <c r="B3081" s="568">
        <v>2026</v>
      </c>
      <c r="C3081" s="569">
        <v>4</v>
      </c>
      <c r="D3081" s="570">
        <v>17</v>
      </c>
      <c r="E3081" s="570">
        <v>20</v>
      </c>
      <c r="F3081" s="571" t="s">
        <v>234</v>
      </c>
      <c r="G3081" s="569" t="s">
        <v>210</v>
      </c>
      <c r="H3081" s="569" t="s">
        <v>214</v>
      </c>
      <c r="I3081" s="574">
        <v>0</v>
      </c>
    </row>
    <row r="3082" spans="1:9" ht="16" x14ac:dyDescent="0.2">
      <c r="A3082" s="561">
        <v>46133</v>
      </c>
      <c r="B3082" s="562">
        <v>2026</v>
      </c>
      <c r="C3082" s="563">
        <v>4</v>
      </c>
      <c r="D3082" s="564">
        <v>17</v>
      </c>
      <c r="E3082" s="564">
        <v>21</v>
      </c>
      <c r="F3082" s="565" t="s">
        <v>65</v>
      </c>
      <c r="G3082" s="563" t="s">
        <v>65</v>
      </c>
      <c r="H3082" s="563" t="s">
        <v>212</v>
      </c>
      <c r="I3082" s="573">
        <v>332570000</v>
      </c>
    </row>
    <row r="3083" spans="1:9" ht="16" x14ac:dyDescent="0.2">
      <c r="A3083" s="567">
        <v>46133</v>
      </c>
      <c r="B3083" s="568">
        <v>2026</v>
      </c>
      <c r="C3083" s="569">
        <v>4</v>
      </c>
      <c r="D3083" s="570">
        <v>17</v>
      </c>
      <c r="E3083" s="570">
        <v>21</v>
      </c>
      <c r="F3083" s="571" t="s">
        <v>66</v>
      </c>
      <c r="G3083" s="569" t="s">
        <v>66</v>
      </c>
      <c r="H3083" s="569" t="s">
        <v>216</v>
      </c>
      <c r="I3083" s="574">
        <v>288336238</v>
      </c>
    </row>
    <row r="3084" spans="1:9" ht="16" x14ac:dyDescent="0.2">
      <c r="A3084" s="561">
        <v>46133</v>
      </c>
      <c r="B3084" s="562">
        <v>2026</v>
      </c>
      <c r="C3084" s="563">
        <v>4</v>
      </c>
      <c r="D3084" s="564">
        <v>17</v>
      </c>
      <c r="E3084" s="564">
        <v>21</v>
      </c>
      <c r="F3084" s="565" t="s">
        <v>24</v>
      </c>
      <c r="G3084" s="563" t="s">
        <v>24</v>
      </c>
      <c r="H3084" s="563" t="s">
        <v>212</v>
      </c>
      <c r="I3084" s="573">
        <v>13878130000</v>
      </c>
    </row>
    <row r="3085" spans="1:9" ht="16" x14ac:dyDescent="0.2">
      <c r="A3085" s="567">
        <v>46133</v>
      </c>
      <c r="B3085" s="568">
        <v>2026</v>
      </c>
      <c r="C3085" s="569">
        <v>4</v>
      </c>
      <c r="D3085" s="570">
        <v>17</v>
      </c>
      <c r="E3085" s="570">
        <v>21</v>
      </c>
      <c r="F3085" s="571" t="s">
        <v>67</v>
      </c>
      <c r="G3085" s="569" t="s">
        <v>67</v>
      </c>
      <c r="H3085" s="569" t="s">
        <v>213</v>
      </c>
      <c r="I3085" s="574">
        <v>1509161012</v>
      </c>
    </row>
    <row r="3086" spans="1:9" ht="16" x14ac:dyDescent="0.2">
      <c r="A3086" s="561">
        <v>46133</v>
      </c>
      <c r="B3086" s="562">
        <v>2026</v>
      </c>
      <c r="C3086" s="563">
        <v>4</v>
      </c>
      <c r="D3086" s="564">
        <v>17</v>
      </c>
      <c r="E3086" s="564">
        <v>21</v>
      </c>
      <c r="F3086" s="565" t="s">
        <v>28</v>
      </c>
      <c r="G3086" s="563" t="s">
        <v>28</v>
      </c>
      <c r="H3086" s="563" t="s">
        <v>214</v>
      </c>
      <c r="I3086" s="573">
        <v>13785984000</v>
      </c>
    </row>
    <row r="3087" spans="1:9" ht="16" x14ac:dyDescent="0.2">
      <c r="A3087" s="567">
        <v>46133</v>
      </c>
      <c r="B3087" s="568">
        <v>2026</v>
      </c>
      <c r="C3087" s="569">
        <v>4</v>
      </c>
      <c r="D3087" s="570">
        <v>17</v>
      </c>
      <c r="E3087" s="570">
        <v>21</v>
      </c>
      <c r="F3087" s="571" t="s">
        <v>208</v>
      </c>
      <c r="G3087" s="569" t="s">
        <v>208</v>
      </c>
      <c r="H3087" s="569" t="s">
        <v>216</v>
      </c>
      <c r="I3087" s="574">
        <v>0</v>
      </c>
    </row>
    <row r="3088" spans="1:9" ht="16" x14ac:dyDescent="0.2">
      <c r="A3088" s="561">
        <v>46133</v>
      </c>
      <c r="B3088" s="562">
        <v>2026</v>
      </c>
      <c r="C3088" s="563">
        <v>4</v>
      </c>
      <c r="D3088" s="564">
        <v>17</v>
      </c>
      <c r="E3088" s="564">
        <v>21</v>
      </c>
      <c r="F3088" s="565" t="s">
        <v>60</v>
      </c>
      <c r="G3088" s="563" t="s">
        <v>60</v>
      </c>
      <c r="H3088" s="563" t="s">
        <v>212</v>
      </c>
      <c r="I3088" s="573">
        <v>0</v>
      </c>
    </row>
    <row r="3089" spans="1:9" ht="16" x14ac:dyDescent="0.2">
      <c r="A3089" s="567">
        <v>46133</v>
      </c>
      <c r="B3089" s="568">
        <v>2026</v>
      </c>
      <c r="C3089" s="569">
        <v>4</v>
      </c>
      <c r="D3089" s="570">
        <v>17</v>
      </c>
      <c r="E3089" s="570">
        <v>21</v>
      </c>
      <c r="F3089" s="571" t="s">
        <v>36</v>
      </c>
      <c r="G3089" s="569" t="s">
        <v>36</v>
      </c>
      <c r="H3089" s="569" t="s">
        <v>212</v>
      </c>
      <c r="I3089" s="574">
        <v>2285230000</v>
      </c>
    </row>
    <row r="3090" spans="1:9" ht="16" x14ac:dyDescent="0.2">
      <c r="A3090" s="561">
        <v>46133</v>
      </c>
      <c r="B3090" s="562">
        <v>2026</v>
      </c>
      <c r="C3090" s="563">
        <v>4</v>
      </c>
      <c r="D3090" s="564">
        <v>17</v>
      </c>
      <c r="E3090" s="564">
        <v>21</v>
      </c>
      <c r="F3090" s="565" t="s">
        <v>55</v>
      </c>
      <c r="G3090" s="563" t="s">
        <v>36</v>
      </c>
      <c r="H3090" s="563" t="s">
        <v>212</v>
      </c>
      <c r="I3090" s="573">
        <v>956550000</v>
      </c>
    </row>
    <row r="3091" spans="1:9" ht="16" x14ac:dyDescent="0.2">
      <c r="A3091" s="567">
        <v>46133</v>
      </c>
      <c r="B3091" s="568">
        <v>2026</v>
      </c>
      <c r="C3091" s="569">
        <v>4</v>
      </c>
      <c r="D3091" s="570">
        <v>17</v>
      </c>
      <c r="E3091" s="570">
        <v>21</v>
      </c>
      <c r="F3091" s="571" t="s">
        <v>176</v>
      </c>
      <c r="G3091" s="569" t="s">
        <v>176</v>
      </c>
      <c r="H3091" s="569" t="s">
        <v>216</v>
      </c>
      <c r="I3091" s="574">
        <v>16625330</v>
      </c>
    </row>
    <row r="3092" spans="1:9" ht="16" x14ac:dyDescent="0.2">
      <c r="A3092" s="561">
        <v>46133</v>
      </c>
      <c r="B3092" s="562">
        <v>2026</v>
      </c>
      <c r="C3092" s="563">
        <v>4</v>
      </c>
      <c r="D3092" s="564">
        <v>17</v>
      </c>
      <c r="E3092" s="564">
        <v>21</v>
      </c>
      <c r="F3092" s="565" t="s">
        <v>39</v>
      </c>
      <c r="G3092" s="563" t="s">
        <v>176</v>
      </c>
      <c r="H3092" s="563" t="s">
        <v>216</v>
      </c>
      <c r="I3092" s="573">
        <v>944037049</v>
      </c>
    </row>
    <row r="3093" spans="1:9" ht="16" x14ac:dyDescent="0.2">
      <c r="A3093" s="567">
        <v>46133</v>
      </c>
      <c r="B3093" s="568">
        <v>2026</v>
      </c>
      <c r="C3093" s="569">
        <v>4</v>
      </c>
      <c r="D3093" s="570">
        <v>17</v>
      </c>
      <c r="E3093" s="570">
        <v>21</v>
      </c>
      <c r="F3093" s="571" t="s">
        <v>206</v>
      </c>
      <c r="G3093" s="569" t="s">
        <v>206</v>
      </c>
      <c r="H3093" s="569" t="s">
        <v>212</v>
      </c>
      <c r="I3093" s="574">
        <v>0</v>
      </c>
    </row>
    <row r="3094" spans="1:9" ht="16" x14ac:dyDescent="0.2">
      <c r="A3094" s="561">
        <v>46133</v>
      </c>
      <c r="B3094" s="562">
        <v>2026</v>
      </c>
      <c r="C3094" s="563">
        <v>4</v>
      </c>
      <c r="D3094" s="564">
        <v>17</v>
      </c>
      <c r="E3094" s="564">
        <v>21</v>
      </c>
      <c r="F3094" s="565" t="s">
        <v>64</v>
      </c>
      <c r="G3094" s="563" t="s">
        <v>209</v>
      </c>
      <c r="H3094" s="563" t="s">
        <v>212</v>
      </c>
      <c r="I3094" s="573">
        <v>51750000</v>
      </c>
    </row>
    <row r="3095" spans="1:9" ht="16" x14ac:dyDescent="0.2">
      <c r="A3095" s="567">
        <v>46133</v>
      </c>
      <c r="B3095" s="568">
        <v>2026</v>
      </c>
      <c r="C3095" s="569">
        <v>4</v>
      </c>
      <c r="D3095" s="570">
        <v>17</v>
      </c>
      <c r="E3095" s="570">
        <v>21</v>
      </c>
      <c r="F3095" s="571" t="s">
        <v>237</v>
      </c>
      <c r="G3095" s="569" t="s">
        <v>209</v>
      </c>
      <c r="H3095" s="569" t="s">
        <v>212</v>
      </c>
      <c r="I3095" s="574">
        <v>0</v>
      </c>
    </row>
    <row r="3096" spans="1:9" ht="16" x14ac:dyDescent="0.2">
      <c r="A3096" s="561">
        <v>46133</v>
      </c>
      <c r="B3096" s="562">
        <v>2026</v>
      </c>
      <c r="C3096" s="563">
        <v>4</v>
      </c>
      <c r="D3096" s="564">
        <v>17</v>
      </c>
      <c r="E3096" s="564">
        <v>21</v>
      </c>
      <c r="F3096" s="565" t="s">
        <v>11</v>
      </c>
      <c r="G3096" s="563" t="s">
        <v>11</v>
      </c>
      <c r="H3096" s="563" t="s">
        <v>212</v>
      </c>
      <c r="I3096" s="573">
        <v>17244300000</v>
      </c>
    </row>
    <row r="3097" spans="1:9" ht="16" x14ac:dyDescent="0.2">
      <c r="A3097" s="567">
        <v>46133</v>
      </c>
      <c r="B3097" s="568">
        <v>2026</v>
      </c>
      <c r="C3097" s="569">
        <v>4</v>
      </c>
      <c r="D3097" s="570">
        <v>17</v>
      </c>
      <c r="E3097" s="570">
        <v>21</v>
      </c>
      <c r="F3097" s="571" t="s">
        <v>221</v>
      </c>
      <c r="G3097" s="569" t="s">
        <v>207</v>
      </c>
      <c r="H3097" s="569" t="s">
        <v>212</v>
      </c>
      <c r="I3097" s="574">
        <v>0</v>
      </c>
    </row>
    <row r="3098" spans="1:9" ht="16" x14ac:dyDescent="0.2">
      <c r="A3098" s="561">
        <v>46133</v>
      </c>
      <c r="B3098" s="562">
        <v>2026</v>
      </c>
      <c r="C3098" s="563">
        <v>4</v>
      </c>
      <c r="D3098" s="564">
        <v>17</v>
      </c>
      <c r="E3098" s="564">
        <v>21</v>
      </c>
      <c r="F3098" s="565" t="s">
        <v>222</v>
      </c>
      <c r="G3098" s="563" t="s">
        <v>207</v>
      </c>
      <c r="H3098" s="563" t="s">
        <v>212</v>
      </c>
      <c r="I3098" s="573">
        <v>0</v>
      </c>
    </row>
    <row r="3099" spans="1:9" ht="16" x14ac:dyDescent="0.2">
      <c r="A3099" s="567">
        <v>46133</v>
      </c>
      <c r="B3099" s="568">
        <v>2026</v>
      </c>
      <c r="C3099" s="569">
        <v>4</v>
      </c>
      <c r="D3099" s="570">
        <v>17</v>
      </c>
      <c r="E3099" s="570">
        <v>21</v>
      </c>
      <c r="F3099" s="571" t="s">
        <v>223</v>
      </c>
      <c r="G3099" s="569" t="s">
        <v>207</v>
      </c>
      <c r="H3099" s="569" t="s">
        <v>212</v>
      </c>
      <c r="I3099" s="574">
        <v>0</v>
      </c>
    </row>
    <row r="3100" spans="1:9" ht="16" x14ac:dyDescent="0.2">
      <c r="A3100" s="561">
        <v>46133</v>
      </c>
      <c r="B3100" s="562">
        <v>2026</v>
      </c>
      <c r="C3100" s="563">
        <v>4</v>
      </c>
      <c r="D3100" s="564">
        <v>17</v>
      </c>
      <c r="E3100" s="564">
        <v>21</v>
      </c>
      <c r="F3100" s="565" t="s">
        <v>219</v>
      </c>
      <c r="G3100" s="563" t="s">
        <v>11</v>
      </c>
      <c r="H3100" s="563" t="s">
        <v>212</v>
      </c>
      <c r="I3100" s="573">
        <v>0</v>
      </c>
    </row>
    <row r="3101" spans="1:9" ht="16" x14ac:dyDescent="0.2">
      <c r="A3101" s="567">
        <v>46133</v>
      </c>
      <c r="B3101" s="568">
        <v>2026</v>
      </c>
      <c r="C3101" s="569">
        <v>4</v>
      </c>
      <c r="D3101" s="570">
        <v>17</v>
      </c>
      <c r="E3101" s="570">
        <v>21</v>
      </c>
      <c r="F3101" s="571" t="s">
        <v>19</v>
      </c>
      <c r="G3101" s="569" t="s">
        <v>19</v>
      </c>
      <c r="H3101" s="569" t="s">
        <v>214</v>
      </c>
      <c r="I3101" s="574">
        <v>10527732000</v>
      </c>
    </row>
    <row r="3102" spans="1:9" ht="16" x14ac:dyDescent="0.2">
      <c r="A3102" s="561">
        <v>46133</v>
      </c>
      <c r="B3102" s="562">
        <v>2026</v>
      </c>
      <c r="C3102" s="563">
        <v>4</v>
      </c>
      <c r="D3102" s="564">
        <v>17</v>
      </c>
      <c r="E3102" s="564">
        <v>21</v>
      </c>
      <c r="F3102" s="565" t="s">
        <v>62</v>
      </c>
      <c r="G3102" s="563" t="s">
        <v>62</v>
      </c>
      <c r="H3102" s="563" t="s">
        <v>216</v>
      </c>
      <c r="I3102" s="573">
        <v>179683952</v>
      </c>
    </row>
    <row r="3103" spans="1:9" ht="16" x14ac:dyDescent="0.2">
      <c r="A3103" s="567">
        <v>46133</v>
      </c>
      <c r="B3103" s="568">
        <v>2026</v>
      </c>
      <c r="C3103" s="569">
        <v>4</v>
      </c>
      <c r="D3103" s="570">
        <v>17</v>
      </c>
      <c r="E3103" s="570">
        <v>21</v>
      </c>
      <c r="F3103" s="571" t="s">
        <v>58</v>
      </c>
      <c r="G3103" s="569" t="s">
        <v>58</v>
      </c>
      <c r="H3103" s="569" t="s">
        <v>212</v>
      </c>
      <c r="I3103" s="574">
        <v>10500000</v>
      </c>
    </row>
    <row r="3104" spans="1:9" ht="16" x14ac:dyDescent="0.2">
      <c r="A3104" s="561">
        <v>46133</v>
      </c>
      <c r="B3104" s="562">
        <v>2026</v>
      </c>
      <c r="C3104" s="563">
        <v>4</v>
      </c>
      <c r="D3104" s="564">
        <v>17</v>
      </c>
      <c r="E3104" s="564">
        <v>21</v>
      </c>
      <c r="F3104" s="565" t="s">
        <v>61</v>
      </c>
      <c r="G3104" s="563" t="s">
        <v>61</v>
      </c>
      <c r="H3104" s="563" t="s">
        <v>214</v>
      </c>
      <c r="I3104" s="573">
        <v>65000000</v>
      </c>
    </row>
    <row r="3105" spans="1:9" ht="16" x14ac:dyDescent="0.2">
      <c r="A3105" s="567">
        <v>46133</v>
      </c>
      <c r="B3105" s="568">
        <v>2026</v>
      </c>
      <c r="C3105" s="569">
        <v>4</v>
      </c>
      <c r="D3105" s="570">
        <v>17</v>
      </c>
      <c r="E3105" s="570">
        <v>21</v>
      </c>
      <c r="F3105" s="571" t="s">
        <v>57</v>
      </c>
      <c r="G3105" s="569" t="s">
        <v>57</v>
      </c>
      <c r="H3105" s="569" t="s">
        <v>212</v>
      </c>
      <c r="I3105" s="574">
        <v>869660000</v>
      </c>
    </row>
    <row r="3106" spans="1:9" ht="16" x14ac:dyDescent="0.2">
      <c r="A3106" s="561">
        <v>46133</v>
      </c>
      <c r="B3106" s="562">
        <v>2026</v>
      </c>
      <c r="C3106" s="563">
        <v>4</v>
      </c>
      <c r="D3106" s="564">
        <v>17</v>
      </c>
      <c r="E3106" s="564">
        <v>21</v>
      </c>
      <c r="F3106" s="565" t="s">
        <v>63</v>
      </c>
      <c r="G3106" s="563" t="s">
        <v>63</v>
      </c>
      <c r="H3106" s="563" t="s">
        <v>214</v>
      </c>
      <c r="I3106" s="573">
        <v>332316000</v>
      </c>
    </row>
    <row r="3107" spans="1:9" ht="16" x14ac:dyDescent="0.2">
      <c r="A3107" s="567">
        <v>46133</v>
      </c>
      <c r="B3107" s="568">
        <v>2026</v>
      </c>
      <c r="C3107" s="569">
        <v>4</v>
      </c>
      <c r="D3107" s="570">
        <v>17</v>
      </c>
      <c r="E3107" s="570">
        <v>21</v>
      </c>
      <c r="F3107" s="571" t="s">
        <v>59</v>
      </c>
      <c r="G3107" s="569" t="s">
        <v>59</v>
      </c>
      <c r="H3107" s="569" t="s">
        <v>216</v>
      </c>
      <c r="I3107" s="574">
        <v>303930939</v>
      </c>
    </row>
    <row r="3108" spans="1:9" ht="16" x14ac:dyDescent="0.2">
      <c r="A3108" s="561">
        <v>46133</v>
      </c>
      <c r="B3108" s="562">
        <v>2026</v>
      </c>
      <c r="C3108" s="563">
        <v>4</v>
      </c>
      <c r="D3108" s="564">
        <v>17</v>
      </c>
      <c r="E3108" s="564">
        <v>21</v>
      </c>
      <c r="F3108" s="565" t="s">
        <v>31</v>
      </c>
      <c r="G3108" s="563" t="s">
        <v>175</v>
      </c>
      <c r="H3108" s="563" t="s">
        <v>212</v>
      </c>
      <c r="I3108" s="573">
        <v>4818270000</v>
      </c>
    </row>
    <row r="3109" spans="1:9" ht="16" x14ac:dyDescent="0.2">
      <c r="A3109" s="567">
        <v>46133</v>
      </c>
      <c r="B3109" s="568">
        <v>2026</v>
      </c>
      <c r="C3109" s="569">
        <v>4</v>
      </c>
      <c r="D3109" s="570">
        <v>17</v>
      </c>
      <c r="E3109" s="570">
        <v>21</v>
      </c>
      <c r="F3109" s="571" t="s">
        <v>234</v>
      </c>
      <c r="G3109" s="569" t="s">
        <v>210</v>
      </c>
      <c r="H3109" s="569" t="s">
        <v>214</v>
      </c>
      <c r="I3109" s="574">
        <v>0</v>
      </c>
    </row>
    <row r="3110" spans="1:9" ht="16" x14ac:dyDescent="0.2">
      <c r="A3110" s="561">
        <v>46134</v>
      </c>
      <c r="B3110" s="562">
        <v>2026</v>
      </c>
      <c r="C3110" s="563">
        <v>4</v>
      </c>
      <c r="D3110" s="564">
        <v>17</v>
      </c>
      <c r="E3110" s="564">
        <v>22</v>
      </c>
      <c r="F3110" s="565" t="s">
        <v>65</v>
      </c>
      <c r="G3110" s="563" t="s">
        <v>65</v>
      </c>
      <c r="H3110" s="563" t="s">
        <v>212</v>
      </c>
      <c r="I3110" s="573">
        <v>243180000</v>
      </c>
    </row>
    <row r="3111" spans="1:9" ht="16" x14ac:dyDescent="0.2">
      <c r="A3111" s="567">
        <v>46134</v>
      </c>
      <c r="B3111" s="568">
        <v>2026</v>
      </c>
      <c r="C3111" s="569">
        <v>4</v>
      </c>
      <c r="D3111" s="570">
        <v>17</v>
      </c>
      <c r="E3111" s="570">
        <v>22</v>
      </c>
      <c r="F3111" s="571" t="s">
        <v>66</v>
      </c>
      <c r="G3111" s="569" t="s">
        <v>66</v>
      </c>
      <c r="H3111" s="569" t="s">
        <v>216</v>
      </c>
      <c r="I3111" s="574">
        <v>282811198</v>
      </c>
    </row>
    <row r="3112" spans="1:9" ht="16" x14ac:dyDescent="0.2">
      <c r="A3112" s="561">
        <v>46134</v>
      </c>
      <c r="B3112" s="562">
        <v>2026</v>
      </c>
      <c r="C3112" s="563">
        <v>4</v>
      </c>
      <c r="D3112" s="564">
        <v>17</v>
      </c>
      <c r="E3112" s="564">
        <v>22</v>
      </c>
      <c r="F3112" s="565" t="s">
        <v>24</v>
      </c>
      <c r="G3112" s="563" t="s">
        <v>24</v>
      </c>
      <c r="H3112" s="563" t="s">
        <v>212</v>
      </c>
      <c r="I3112" s="573">
        <v>13039630000</v>
      </c>
    </row>
    <row r="3113" spans="1:9" ht="16" x14ac:dyDescent="0.2">
      <c r="A3113" s="567">
        <v>46134</v>
      </c>
      <c r="B3113" s="568">
        <v>2026</v>
      </c>
      <c r="C3113" s="569">
        <v>4</v>
      </c>
      <c r="D3113" s="570">
        <v>17</v>
      </c>
      <c r="E3113" s="570">
        <v>22</v>
      </c>
      <c r="F3113" s="571" t="s">
        <v>67</v>
      </c>
      <c r="G3113" s="569" t="s">
        <v>67</v>
      </c>
      <c r="H3113" s="569" t="s">
        <v>213</v>
      </c>
      <c r="I3113" s="574">
        <v>1483311980</v>
      </c>
    </row>
    <row r="3114" spans="1:9" ht="16" x14ac:dyDescent="0.2">
      <c r="A3114" s="561">
        <v>46134</v>
      </c>
      <c r="B3114" s="562">
        <v>2026</v>
      </c>
      <c r="C3114" s="563">
        <v>4</v>
      </c>
      <c r="D3114" s="564">
        <v>17</v>
      </c>
      <c r="E3114" s="564">
        <v>22</v>
      </c>
      <c r="F3114" s="565" t="s">
        <v>28</v>
      </c>
      <c r="G3114" s="563" t="s">
        <v>28</v>
      </c>
      <c r="H3114" s="563" t="s">
        <v>214</v>
      </c>
      <c r="I3114" s="573">
        <v>13454964000</v>
      </c>
    </row>
    <row r="3115" spans="1:9" ht="16" x14ac:dyDescent="0.2">
      <c r="A3115" s="567">
        <v>46134</v>
      </c>
      <c r="B3115" s="568">
        <v>2026</v>
      </c>
      <c r="C3115" s="569">
        <v>4</v>
      </c>
      <c r="D3115" s="570">
        <v>17</v>
      </c>
      <c r="E3115" s="570">
        <v>22</v>
      </c>
      <c r="F3115" s="571" t="s">
        <v>208</v>
      </c>
      <c r="G3115" s="569" t="s">
        <v>208</v>
      </c>
      <c r="H3115" s="569" t="s">
        <v>216</v>
      </c>
      <c r="I3115" s="574">
        <v>0</v>
      </c>
    </row>
    <row r="3116" spans="1:9" ht="16" x14ac:dyDescent="0.2">
      <c r="A3116" s="561">
        <v>46134</v>
      </c>
      <c r="B3116" s="562">
        <v>2026</v>
      </c>
      <c r="C3116" s="563">
        <v>4</v>
      </c>
      <c r="D3116" s="564">
        <v>17</v>
      </c>
      <c r="E3116" s="564">
        <v>22</v>
      </c>
      <c r="F3116" s="565" t="s">
        <v>60</v>
      </c>
      <c r="G3116" s="563" t="s">
        <v>60</v>
      </c>
      <c r="H3116" s="563" t="s">
        <v>212</v>
      </c>
      <c r="I3116" s="573">
        <v>0</v>
      </c>
    </row>
    <row r="3117" spans="1:9" ht="16" x14ac:dyDescent="0.2">
      <c r="A3117" s="567">
        <v>46134</v>
      </c>
      <c r="B3117" s="568">
        <v>2026</v>
      </c>
      <c r="C3117" s="569">
        <v>4</v>
      </c>
      <c r="D3117" s="570">
        <v>17</v>
      </c>
      <c r="E3117" s="570">
        <v>22</v>
      </c>
      <c r="F3117" s="571" t="s">
        <v>36</v>
      </c>
      <c r="G3117" s="569" t="s">
        <v>36</v>
      </c>
      <c r="H3117" s="569" t="s">
        <v>212</v>
      </c>
      <c r="I3117" s="574">
        <v>2311780000</v>
      </c>
    </row>
    <row r="3118" spans="1:9" ht="16" x14ac:dyDescent="0.2">
      <c r="A3118" s="561">
        <v>46134</v>
      </c>
      <c r="B3118" s="562">
        <v>2026</v>
      </c>
      <c r="C3118" s="563">
        <v>4</v>
      </c>
      <c r="D3118" s="564">
        <v>17</v>
      </c>
      <c r="E3118" s="564">
        <v>22</v>
      </c>
      <c r="F3118" s="565" t="s">
        <v>55</v>
      </c>
      <c r="G3118" s="563" t="s">
        <v>36</v>
      </c>
      <c r="H3118" s="563" t="s">
        <v>212</v>
      </c>
      <c r="I3118" s="573">
        <v>994270000</v>
      </c>
    </row>
    <row r="3119" spans="1:9" ht="16" x14ac:dyDescent="0.2">
      <c r="A3119" s="567">
        <v>46134</v>
      </c>
      <c r="B3119" s="568">
        <v>2026</v>
      </c>
      <c r="C3119" s="569">
        <v>4</v>
      </c>
      <c r="D3119" s="570">
        <v>17</v>
      </c>
      <c r="E3119" s="570">
        <v>22</v>
      </c>
      <c r="F3119" s="571" t="s">
        <v>176</v>
      </c>
      <c r="G3119" s="569" t="s">
        <v>176</v>
      </c>
      <c r="H3119" s="569" t="s">
        <v>216</v>
      </c>
      <c r="I3119" s="574">
        <v>5289000</v>
      </c>
    </row>
    <row r="3120" spans="1:9" ht="16" x14ac:dyDescent="0.2">
      <c r="A3120" s="561">
        <v>46134</v>
      </c>
      <c r="B3120" s="562">
        <v>2026</v>
      </c>
      <c r="C3120" s="563">
        <v>4</v>
      </c>
      <c r="D3120" s="564">
        <v>17</v>
      </c>
      <c r="E3120" s="564">
        <v>22</v>
      </c>
      <c r="F3120" s="565" t="s">
        <v>39</v>
      </c>
      <c r="G3120" s="563" t="s">
        <v>176</v>
      </c>
      <c r="H3120" s="563" t="s">
        <v>216</v>
      </c>
      <c r="I3120" s="573">
        <v>873223574</v>
      </c>
    </row>
    <row r="3121" spans="1:9" ht="16" x14ac:dyDescent="0.2">
      <c r="A3121" s="567">
        <v>46134</v>
      </c>
      <c r="B3121" s="568">
        <v>2026</v>
      </c>
      <c r="C3121" s="569">
        <v>4</v>
      </c>
      <c r="D3121" s="570">
        <v>17</v>
      </c>
      <c r="E3121" s="570">
        <v>22</v>
      </c>
      <c r="F3121" s="571" t="s">
        <v>206</v>
      </c>
      <c r="G3121" s="569" t="s">
        <v>206</v>
      </c>
      <c r="H3121" s="569" t="s">
        <v>212</v>
      </c>
      <c r="I3121" s="574">
        <v>0</v>
      </c>
    </row>
    <row r="3122" spans="1:9" ht="16" x14ac:dyDescent="0.2">
      <c r="A3122" s="561">
        <v>46134</v>
      </c>
      <c r="B3122" s="562">
        <v>2026</v>
      </c>
      <c r="C3122" s="563">
        <v>4</v>
      </c>
      <c r="D3122" s="564">
        <v>17</v>
      </c>
      <c r="E3122" s="564">
        <v>22</v>
      </c>
      <c r="F3122" s="565" t="s">
        <v>64</v>
      </c>
      <c r="G3122" s="563" t="s">
        <v>209</v>
      </c>
      <c r="H3122" s="563" t="s">
        <v>212</v>
      </c>
      <c r="I3122" s="573">
        <v>15000000</v>
      </c>
    </row>
    <row r="3123" spans="1:9" ht="16" x14ac:dyDescent="0.2">
      <c r="A3123" s="567">
        <v>46134</v>
      </c>
      <c r="B3123" s="568">
        <v>2026</v>
      </c>
      <c r="C3123" s="569">
        <v>4</v>
      </c>
      <c r="D3123" s="570">
        <v>17</v>
      </c>
      <c r="E3123" s="570">
        <v>22</v>
      </c>
      <c r="F3123" s="571" t="s">
        <v>237</v>
      </c>
      <c r="G3123" s="569" t="s">
        <v>209</v>
      </c>
      <c r="H3123" s="569" t="s">
        <v>212</v>
      </c>
      <c r="I3123" s="574">
        <v>0</v>
      </c>
    </row>
    <row r="3124" spans="1:9" ht="16" x14ac:dyDescent="0.2">
      <c r="A3124" s="561">
        <v>46134</v>
      </c>
      <c r="B3124" s="562">
        <v>2026</v>
      </c>
      <c r="C3124" s="563">
        <v>4</v>
      </c>
      <c r="D3124" s="564">
        <v>17</v>
      </c>
      <c r="E3124" s="564">
        <v>22</v>
      </c>
      <c r="F3124" s="565" t="s">
        <v>11</v>
      </c>
      <c r="G3124" s="563" t="s">
        <v>11</v>
      </c>
      <c r="H3124" s="563" t="s">
        <v>212</v>
      </c>
      <c r="I3124" s="573">
        <v>13777860000</v>
      </c>
    </row>
    <row r="3125" spans="1:9" ht="16" x14ac:dyDescent="0.2">
      <c r="A3125" s="567">
        <v>46134</v>
      </c>
      <c r="B3125" s="568">
        <v>2026</v>
      </c>
      <c r="C3125" s="569">
        <v>4</v>
      </c>
      <c r="D3125" s="570">
        <v>17</v>
      </c>
      <c r="E3125" s="570">
        <v>22</v>
      </c>
      <c r="F3125" s="571" t="s">
        <v>221</v>
      </c>
      <c r="G3125" s="569" t="s">
        <v>207</v>
      </c>
      <c r="H3125" s="569" t="s">
        <v>212</v>
      </c>
      <c r="I3125" s="574">
        <v>0</v>
      </c>
    </row>
    <row r="3126" spans="1:9" ht="16" x14ac:dyDescent="0.2">
      <c r="A3126" s="561">
        <v>46134</v>
      </c>
      <c r="B3126" s="562">
        <v>2026</v>
      </c>
      <c r="C3126" s="563">
        <v>4</v>
      </c>
      <c r="D3126" s="564">
        <v>17</v>
      </c>
      <c r="E3126" s="564">
        <v>22</v>
      </c>
      <c r="F3126" s="565" t="s">
        <v>222</v>
      </c>
      <c r="G3126" s="563" t="s">
        <v>207</v>
      </c>
      <c r="H3126" s="563" t="s">
        <v>212</v>
      </c>
      <c r="I3126" s="573">
        <v>0</v>
      </c>
    </row>
    <row r="3127" spans="1:9" ht="16" x14ac:dyDescent="0.2">
      <c r="A3127" s="567">
        <v>46134</v>
      </c>
      <c r="B3127" s="568">
        <v>2026</v>
      </c>
      <c r="C3127" s="569">
        <v>4</v>
      </c>
      <c r="D3127" s="570">
        <v>17</v>
      </c>
      <c r="E3127" s="570">
        <v>22</v>
      </c>
      <c r="F3127" s="571" t="s">
        <v>223</v>
      </c>
      <c r="G3127" s="569" t="s">
        <v>207</v>
      </c>
      <c r="H3127" s="569" t="s">
        <v>212</v>
      </c>
      <c r="I3127" s="574">
        <v>0</v>
      </c>
    </row>
    <row r="3128" spans="1:9" ht="16" x14ac:dyDescent="0.2">
      <c r="A3128" s="561">
        <v>46134</v>
      </c>
      <c r="B3128" s="562">
        <v>2026</v>
      </c>
      <c r="C3128" s="563">
        <v>4</v>
      </c>
      <c r="D3128" s="564">
        <v>17</v>
      </c>
      <c r="E3128" s="564">
        <v>22</v>
      </c>
      <c r="F3128" s="565" t="s">
        <v>219</v>
      </c>
      <c r="G3128" s="563" t="s">
        <v>11</v>
      </c>
      <c r="H3128" s="563" t="s">
        <v>212</v>
      </c>
      <c r="I3128" s="573">
        <v>0</v>
      </c>
    </row>
    <row r="3129" spans="1:9" ht="16" x14ac:dyDescent="0.2">
      <c r="A3129" s="567">
        <v>46134</v>
      </c>
      <c r="B3129" s="568">
        <v>2026</v>
      </c>
      <c r="C3129" s="569">
        <v>4</v>
      </c>
      <c r="D3129" s="570">
        <v>17</v>
      </c>
      <c r="E3129" s="570">
        <v>22</v>
      </c>
      <c r="F3129" s="571" t="s">
        <v>19</v>
      </c>
      <c r="G3129" s="569" t="s">
        <v>19</v>
      </c>
      <c r="H3129" s="569" t="s">
        <v>214</v>
      </c>
      <c r="I3129" s="574">
        <v>10224036000</v>
      </c>
    </row>
    <row r="3130" spans="1:9" ht="16" x14ac:dyDescent="0.2">
      <c r="A3130" s="561">
        <v>46134</v>
      </c>
      <c r="B3130" s="562">
        <v>2026</v>
      </c>
      <c r="C3130" s="563">
        <v>4</v>
      </c>
      <c r="D3130" s="564">
        <v>17</v>
      </c>
      <c r="E3130" s="564">
        <v>22</v>
      </c>
      <c r="F3130" s="565" t="s">
        <v>62</v>
      </c>
      <c r="G3130" s="563" t="s">
        <v>62</v>
      </c>
      <c r="H3130" s="563" t="s">
        <v>216</v>
      </c>
      <c r="I3130" s="573">
        <v>116695203</v>
      </c>
    </row>
    <row r="3131" spans="1:9" ht="16" x14ac:dyDescent="0.2">
      <c r="A3131" s="567">
        <v>46134</v>
      </c>
      <c r="B3131" s="568">
        <v>2026</v>
      </c>
      <c r="C3131" s="569">
        <v>4</v>
      </c>
      <c r="D3131" s="570">
        <v>17</v>
      </c>
      <c r="E3131" s="570">
        <v>22</v>
      </c>
      <c r="F3131" s="571" t="s">
        <v>58</v>
      </c>
      <c r="G3131" s="569" t="s">
        <v>58</v>
      </c>
      <c r="H3131" s="569" t="s">
        <v>212</v>
      </c>
      <c r="I3131" s="574">
        <v>41500000</v>
      </c>
    </row>
    <row r="3132" spans="1:9" ht="16" x14ac:dyDescent="0.2">
      <c r="A3132" s="561">
        <v>46134</v>
      </c>
      <c r="B3132" s="562">
        <v>2026</v>
      </c>
      <c r="C3132" s="563">
        <v>4</v>
      </c>
      <c r="D3132" s="564">
        <v>17</v>
      </c>
      <c r="E3132" s="564">
        <v>22</v>
      </c>
      <c r="F3132" s="565" t="s">
        <v>61</v>
      </c>
      <c r="G3132" s="563" t="s">
        <v>61</v>
      </c>
      <c r="H3132" s="563" t="s">
        <v>214</v>
      </c>
      <c r="I3132" s="573">
        <v>69000000</v>
      </c>
    </row>
    <row r="3133" spans="1:9" ht="16" x14ac:dyDescent="0.2">
      <c r="A3133" s="567">
        <v>46134</v>
      </c>
      <c r="B3133" s="568">
        <v>2026</v>
      </c>
      <c r="C3133" s="569">
        <v>4</v>
      </c>
      <c r="D3133" s="570">
        <v>17</v>
      </c>
      <c r="E3133" s="570">
        <v>22</v>
      </c>
      <c r="F3133" s="571" t="s">
        <v>57</v>
      </c>
      <c r="G3133" s="569" t="s">
        <v>57</v>
      </c>
      <c r="H3133" s="569" t="s">
        <v>212</v>
      </c>
      <c r="I3133" s="574">
        <v>637280000</v>
      </c>
    </row>
    <row r="3134" spans="1:9" ht="16" x14ac:dyDescent="0.2">
      <c r="A3134" s="561">
        <v>46134</v>
      </c>
      <c r="B3134" s="562">
        <v>2026</v>
      </c>
      <c r="C3134" s="563">
        <v>4</v>
      </c>
      <c r="D3134" s="564">
        <v>17</v>
      </c>
      <c r="E3134" s="564">
        <v>22</v>
      </c>
      <c r="F3134" s="565" t="s">
        <v>63</v>
      </c>
      <c r="G3134" s="563" t="s">
        <v>63</v>
      </c>
      <c r="H3134" s="563" t="s">
        <v>214</v>
      </c>
      <c r="I3134" s="573">
        <v>309852000</v>
      </c>
    </row>
    <row r="3135" spans="1:9" ht="16" x14ac:dyDescent="0.2">
      <c r="A3135" s="567">
        <v>46134</v>
      </c>
      <c r="B3135" s="568">
        <v>2026</v>
      </c>
      <c r="C3135" s="569">
        <v>4</v>
      </c>
      <c r="D3135" s="570">
        <v>17</v>
      </c>
      <c r="E3135" s="570">
        <v>22</v>
      </c>
      <c r="F3135" s="571" t="s">
        <v>59</v>
      </c>
      <c r="G3135" s="569" t="s">
        <v>59</v>
      </c>
      <c r="H3135" s="569" t="s">
        <v>216</v>
      </c>
      <c r="I3135" s="574">
        <v>316000074</v>
      </c>
    </row>
    <row r="3136" spans="1:9" ht="16" x14ac:dyDescent="0.2">
      <c r="A3136" s="561">
        <v>46134</v>
      </c>
      <c r="B3136" s="562">
        <v>2026</v>
      </c>
      <c r="C3136" s="563">
        <v>4</v>
      </c>
      <c r="D3136" s="564">
        <v>17</v>
      </c>
      <c r="E3136" s="564">
        <v>22</v>
      </c>
      <c r="F3136" s="565" t="s">
        <v>31</v>
      </c>
      <c r="G3136" s="563" t="s">
        <v>175</v>
      </c>
      <c r="H3136" s="563" t="s">
        <v>212</v>
      </c>
      <c r="I3136" s="573">
        <v>5213060000</v>
      </c>
    </row>
    <row r="3137" spans="1:9" ht="16" x14ac:dyDescent="0.2">
      <c r="A3137" s="567">
        <v>46134</v>
      </c>
      <c r="B3137" s="568">
        <v>2026</v>
      </c>
      <c r="C3137" s="569">
        <v>4</v>
      </c>
      <c r="D3137" s="570">
        <v>17</v>
      </c>
      <c r="E3137" s="570">
        <v>22</v>
      </c>
      <c r="F3137" s="571" t="s">
        <v>234</v>
      </c>
      <c r="G3137" s="569" t="s">
        <v>210</v>
      </c>
      <c r="H3137" s="569" t="s">
        <v>214</v>
      </c>
      <c r="I3137" s="57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0BF0-FEB9-4E36-A4C3-ACEFBE23DE3E}">
  <dimension ref="B2:Q46"/>
  <sheetViews>
    <sheetView workbookViewId="0">
      <selection activeCell="E6" sqref="E6"/>
    </sheetView>
  </sheetViews>
  <sheetFormatPr baseColWidth="10" defaultColWidth="8.83203125" defaultRowHeight="15" x14ac:dyDescent="0.2"/>
  <cols>
    <col min="2" max="3" width="11.83203125" customWidth="1"/>
    <col min="4" max="4" width="22.6640625" bestFit="1" customWidth="1"/>
    <col min="5" max="5" width="17.6640625" bestFit="1" customWidth="1"/>
    <col min="6" max="6" width="11.83203125" customWidth="1"/>
    <col min="7" max="7" width="18.83203125" bestFit="1" customWidth="1"/>
    <col min="8" max="8" width="18" bestFit="1" customWidth="1"/>
    <col min="9" max="9" width="22.6640625" bestFit="1" customWidth="1"/>
    <col min="10" max="10" width="17.6640625" bestFit="1" customWidth="1"/>
    <col min="12" max="12" width="9.5" bestFit="1" customWidth="1"/>
    <col min="13" max="13" width="16.6640625" bestFit="1" customWidth="1"/>
    <col min="14" max="14" width="22.83203125" bestFit="1" customWidth="1"/>
    <col min="15" max="15" width="20.6640625" bestFit="1" customWidth="1"/>
    <col min="16" max="16" width="4.6640625" bestFit="1" customWidth="1"/>
  </cols>
  <sheetData>
    <row r="2" spans="2:17" x14ac:dyDescent="0.2">
      <c r="E2" t="s">
        <v>47</v>
      </c>
      <c r="J2" t="s">
        <v>91</v>
      </c>
      <c r="O2" t="s">
        <v>23</v>
      </c>
    </row>
    <row r="3" spans="2:17" x14ac:dyDescent="0.2">
      <c r="B3" s="21" t="s">
        <v>74</v>
      </c>
      <c r="C3" s="22" t="s">
        <v>75</v>
      </c>
      <c r="D3" s="22" t="s">
        <v>90</v>
      </c>
      <c r="E3" s="23" t="s">
        <v>77</v>
      </c>
      <c r="G3" s="21" t="s">
        <v>74</v>
      </c>
      <c r="H3" s="22" t="s">
        <v>75</v>
      </c>
      <c r="I3" s="22" t="s">
        <v>90</v>
      </c>
      <c r="J3" s="23" t="s">
        <v>77</v>
      </c>
      <c r="L3" s="21" t="s">
        <v>74</v>
      </c>
      <c r="M3" s="22" t="s">
        <v>75</v>
      </c>
      <c r="N3" s="22" t="s">
        <v>90</v>
      </c>
      <c r="O3" s="23" t="s">
        <v>77</v>
      </c>
    </row>
    <row r="4" spans="2:17" x14ac:dyDescent="0.2">
      <c r="B4" s="24">
        <v>46113</v>
      </c>
      <c r="C4" s="25">
        <v>4243</v>
      </c>
      <c r="D4" s="38">
        <v>14857452</v>
      </c>
      <c r="E4" s="35">
        <v>3501638463</v>
      </c>
      <c r="G4" s="24">
        <v>46117</v>
      </c>
      <c r="H4" s="25">
        <v>2377</v>
      </c>
      <c r="I4" s="38">
        <v>9484884</v>
      </c>
      <c r="J4" s="35">
        <v>3990275137</v>
      </c>
      <c r="K4">
        <f>I4/D8</f>
        <v>0.68887267821285136</v>
      </c>
      <c r="L4" s="24">
        <v>46113</v>
      </c>
      <c r="M4" s="25">
        <v>4243</v>
      </c>
      <c r="N4" s="38">
        <v>14857452</v>
      </c>
      <c r="O4" s="35">
        <v>3501638463</v>
      </c>
    </row>
    <row r="5" spans="2:17" x14ac:dyDescent="0.2">
      <c r="B5" s="24">
        <v>46114</v>
      </c>
      <c r="C5" s="25">
        <v>3795</v>
      </c>
      <c r="D5" s="38">
        <v>13335408</v>
      </c>
      <c r="E5" s="35">
        <v>3513941502</v>
      </c>
      <c r="G5" s="24">
        <v>46118</v>
      </c>
      <c r="H5" s="25">
        <v>2527</v>
      </c>
      <c r="I5" s="38">
        <v>10188720</v>
      </c>
      <c r="J5" s="35">
        <v>4031943015</v>
      </c>
      <c r="L5" s="24">
        <v>46114</v>
      </c>
      <c r="M5" s="25">
        <v>3795</v>
      </c>
      <c r="N5" s="38">
        <v>13335408</v>
      </c>
      <c r="O5" s="35">
        <v>3513941502</v>
      </c>
    </row>
    <row r="6" spans="2:17" x14ac:dyDescent="0.2">
      <c r="B6" s="24">
        <v>46115</v>
      </c>
      <c r="C6" s="25">
        <v>4076</v>
      </c>
      <c r="D6" s="38">
        <v>14106960</v>
      </c>
      <c r="E6" s="35">
        <v>3460981354</v>
      </c>
      <c r="G6" s="24">
        <v>46119</v>
      </c>
      <c r="H6" s="25">
        <v>2485</v>
      </c>
      <c r="I6" s="38">
        <v>10183644</v>
      </c>
      <c r="J6" s="35">
        <v>4098045875</v>
      </c>
      <c r="L6" s="24">
        <v>46115</v>
      </c>
      <c r="M6" s="25">
        <v>4076</v>
      </c>
      <c r="N6" s="38">
        <v>14106960</v>
      </c>
      <c r="O6" s="35">
        <v>3460981354</v>
      </c>
      <c r="P6" s="31"/>
      <c r="Q6" s="32"/>
    </row>
    <row r="7" spans="2:17" x14ac:dyDescent="0.2">
      <c r="B7" s="24">
        <v>46116</v>
      </c>
      <c r="C7" s="25">
        <v>3987</v>
      </c>
      <c r="D7" s="38">
        <v>13801320</v>
      </c>
      <c r="E7" s="35">
        <v>3461580135</v>
      </c>
      <c r="G7" s="24">
        <v>46120</v>
      </c>
      <c r="H7" s="25">
        <v>2515</v>
      </c>
      <c r="I7" s="38">
        <v>10216260</v>
      </c>
      <c r="J7" s="35">
        <v>4062131213</v>
      </c>
      <c r="L7" s="24">
        <v>46116</v>
      </c>
      <c r="M7" s="25">
        <v>3987</v>
      </c>
      <c r="N7" s="38">
        <v>13801320</v>
      </c>
      <c r="O7" s="35">
        <v>3461580135</v>
      </c>
      <c r="P7" s="31"/>
    </row>
    <row r="8" spans="2:17" x14ac:dyDescent="0.2">
      <c r="B8" s="24">
        <v>46117</v>
      </c>
      <c r="C8" s="25">
        <v>3993</v>
      </c>
      <c r="D8" s="38">
        <v>13768704</v>
      </c>
      <c r="E8" s="35">
        <v>3448210368</v>
      </c>
      <c r="G8" s="24">
        <v>46121</v>
      </c>
      <c r="H8" s="25">
        <v>2138</v>
      </c>
      <c r="I8" s="38">
        <v>9257976</v>
      </c>
      <c r="J8" s="35">
        <v>4330203929</v>
      </c>
      <c r="L8" s="24">
        <v>46117</v>
      </c>
      <c r="M8" s="25">
        <v>1616</v>
      </c>
      <c r="N8" s="38">
        <v>4283820</v>
      </c>
      <c r="O8" s="35">
        <v>2650878713</v>
      </c>
      <c r="P8" s="31"/>
    </row>
    <row r="9" spans="2:17" x14ac:dyDescent="0.2">
      <c r="B9" s="24">
        <v>46118</v>
      </c>
      <c r="C9" s="25">
        <v>4181</v>
      </c>
      <c r="D9" s="38">
        <v>14511960</v>
      </c>
      <c r="E9" s="35">
        <v>3470930399</v>
      </c>
      <c r="G9" s="24">
        <v>46122</v>
      </c>
      <c r="H9" s="25">
        <v>2911</v>
      </c>
      <c r="I9" s="38">
        <v>12729528</v>
      </c>
      <c r="J9" s="35">
        <v>4372905531</v>
      </c>
      <c r="L9" s="24">
        <v>46118</v>
      </c>
      <c r="M9" s="25">
        <v>1654</v>
      </c>
      <c r="N9" s="38">
        <v>4323240</v>
      </c>
      <c r="O9" s="35">
        <v>2613808948</v>
      </c>
      <c r="P9" s="31"/>
    </row>
    <row r="10" spans="2:17" x14ac:dyDescent="0.2">
      <c r="B10" s="24">
        <v>46119</v>
      </c>
      <c r="C10" s="25">
        <v>4005</v>
      </c>
      <c r="D10" s="38">
        <v>14266584</v>
      </c>
      <c r="E10" s="35">
        <v>3562193258</v>
      </c>
      <c r="G10" s="24">
        <v>46123</v>
      </c>
      <c r="H10" s="25">
        <v>2069</v>
      </c>
      <c r="I10" s="38">
        <v>8898012</v>
      </c>
      <c r="J10" s="35">
        <v>4300634123</v>
      </c>
      <c r="L10" s="24">
        <v>46119</v>
      </c>
      <c r="M10" s="25">
        <v>1520</v>
      </c>
      <c r="N10" s="38">
        <v>4082940</v>
      </c>
      <c r="O10" s="35">
        <v>2686144737</v>
      </c>
      <c r="P10" s="31"/>
    </row>
    <row r="11" spans="2:17" x14ac:dyDescent="0.2">
      <c r="B11" s="24">
        <v>46120</v>
      </c>
      <c r="C11" s="25">
        <v>4042</v>
      </c>
      <c r="D11" s="38">
        <v>14246388</v>
      </c>
      <c r="E11" s="35">
        <v>3524588817</v>
      </c>
      <c r="G11" s="24">
        <v>46124</v>
      </c>
      <c r="H11" s="25">
        <v>1792</v>
      </c>
      <c r="I11" s="38">
        <v>7711308</v>
      </c>
      <c r="J11" s="35">
        <v>4303185268</v>
      </c>
      <c r="L11" s="24">
        <v>46120</v>
      </c>
      <c r="M11" s="25">
        <v>1527</v>
      </c>
      <c r="N11" s="38">
        <v>4030128</v>
      </c>
      <c r="O11" s="35">
        <v>2639245580</v>
      </c>
      <c r="P11" s="31"/>
    </row>
    <row r="12" spans="2:17" x14ac:dyDescent="0.2">
      <c r="B12" s="24">
        <v>46121</v>
      </c>
      <c r="C12" s="25">
        <v>4286</v>
      </c>
      <c r="D12" s="38">
        <v>15453072</v>
      </c>
      <c r="E12" s="35">
        <v>3605476435</v>
      </c>
      <c r="G12" s="24">
        <v>46125</v>
      </c>
      <c r="H12" s="25">
        <v>1532</v>
      </c>
      <c r="I12" s="38">
        <v>6705828</v>
      </c>
      <c r="J12" s="35">
        <v>4377172324</v>
      </c>
      <c r="L12" s="24">
        <v>46121</v>
      </c>
      <c r="M12" s="25">
        <v>2148</v>
      </c>
      <c r="N12" s="38">
        <v>6195096</v>
      </c>
      <c r="O12" s="35">
        <v>2884122905</v>
      </c>
      <c r="P12" s="31"/>
    </row>
    <row r="13" spans="2:17" x14ac:dyDescent="0.2">
      <c r="B13" s="24">
        <v>46122</v>
      </c>
      <c r="C13" s="25">
        <v>5771</v>
      </c>
      <c r="D13" s="38">
        <v>20986668</v>
      </c>
      <c r="E13" s="35">
        <v>3636573904</v>
      </c>
      <c r="G13" s="24">
        <v>46126</v>
      </c>
      <c r="H13" s="25">
        <v>1508</v>
      </c>
      <c r="I13" s="38">
        <v>6609708</v>
      </c>
      <c r="J13" s="35">
        <v>4383095491</v>
      </c>
      <c r="L13" s="24">
        <v>46122</v>
      </c>
      <c r="M13" s="25">
        <v>2860</v>
      </c>
      <c r="N13" s="38">
        <v>8257140</v>
      </c>
      <c r="O13" s="35">
        <v>2887111888</v>
      </c>
      <c r="P13" s="31"/>
    </row>
    <row r="14" spans="2:17" x14ac:dyDescent="0.2">
      <c r="B14" s="24">
        <v>46123</v>
      </c>
      <c r="C14" s="25">
        <v>4408</v>
      </c>
      <c r="D14" s="38">
        <v>15474348</v>
      </c>
      <c r="E14" s="35">
        <v>3510514519</v>
      </c>
      <c r="G14" s="24">
        <v>46127</v>
      </c>
      <c r="H14" s="25">
        <v>1715</v>
      </c>
      <c r="I14" s="38">
        <v>7466904</v>
      </c>
      <c r="J14" s="35">
        <v>4353879883</v>
      </c>
      <c r="L14" s="24">
        <v>46123</v>
      </c>
      <c r="M14" s="25">
        <v>2339</v>
      </c>
      <c r="N14" s="38">
        <v>6576336</v>
      </c>
      <c r="O14" s="35">
        <v>2811601539</v>
      </c>
      <c r="P14" s="31"/>
    </row>
    <row r="15" spans="2:17" x14ac:dyDescent="0.2">
      <c r="B15" s="24">
        <v>46124</v>
      </c>
      <c r="C15" s="25">
        <v>3878</v>
      </c>
      <c r="D15" s="38">
        <v>13592988</v>
      </c>
      <c r="E15" s="35">
        <v>3505154203</v>
      </c>
      <c r="G15" s="24">
        <v>46128</v>
      </c>
      <c r="H15" s="25">
        <v>1688</v>
      </c>
      <c r="I15" s="38">
        <v>7339788</v>
      </c>
      <c r="J15" s="35">
        <v>4348215640</v>
      </c>
      <c r="L15" s="24">
        <v>46124</v>
      </c>
      <c r="M15" s="25">
        <v>2086</v>
      </c>
      <c r="N15" s="38">
        <v>5881680</v>
      </c>
      <c r="O15" s="35">
        <v>2819597315</v>
      </c>
      <c r="P15" s="31"/>
    </row>
    <row r="16" spans="2:17" x14ac:dyDescent="0.2">
      <c r="B16" s="24">
        <v>46125</v>
      </c>
      <c r="C16" s="25">
        <v>3956</v>
      </c>
      <c r="D16" s="38">
        <v>13723668</v>
      </c>
      <c r="E16" s="35">
        <v>3469076845</v>
      </c>
      <c r="G16" s="24">
        <v>46129</v>
      </c>
      <c r="H16" s="25">
        <v>1811</v>
      </c>
      <c r="I16" s="38">
        <v>7739712</v>
      </c>
      <c r="J16" s="35">
        <v>4273722805</v>
      </c>
      <c r="L16" s="24">
        <v>46125</v>
      </c>
      <c r="M16" s="25">
        <v>2424</v>
      </c>
      <c r="N16" s="38">
        <v>7017840</v>
      </c>
      <c r="O16" s="35">
        <v>2895148515</v>
      </c>
      <c r="P16" s="31"/>
    </row>
    <row r="17" spans="2:16" x14ac:dyDescent="0.2">
      <c r="B17" s="24">
        <v>46126</v>
      </c>
      <c r="C17" s="25">
        <v>4016</v>
      </c>
      <c r="D17" s="38">
        <v>13722588</v>
      </c>
      <c r="E17" s="35">
        <v>3416979084</v>
      </c>
      <c r="G17" s="24">
        <v>46130</v>
      </c>
      <c r="H17" s="25">
        <v>1704</v>
      </c>
      <c r="I17" s="38">
        <v>7219476</v>
      </c>
      <c r="J17" s="35">
        <v>4236781690</v>
      </c>
      <c r="L17" s="24">
        <v>46126</v>
      </c>
      <c r="M17" s="25">
        <v>2508</v>
      </c>
      <c r="N17" s="38">
        <v>7112880</v>
      </c>
      <c r="O17" s="35">
        <v>2836076555</v>
      </c>
      <c r="P17" s="31"/>
    </row>
    <row r="18" spans="2:16" x14ac:dyDescent="0.2">
      <c r="B18" s="24">
        <v>46127</v>
      </c>
      <c r="C18" s="25">
        <v>4601</v>
      </c>
      <c r="D18" s="38">
        <v>15747264</v>
      </c>
      <c r="E18" s="35">
        <v>3422574223</v>
      </c>
      <c r="G18" s="27">
        <v>46131</v>
      </c>
      <c r="H18" s="28">
        <v>1922</v>
      </c>
      <c r="I18" s="40">
        <v>8052480</v>
      </c>
      <c r="J18" s="36">
        <v>4189635796</v>
      </c>
      <c r="L18" s="24">
        <v>46127</v>
      </c>
      <c r="M18" s="25">
        <v>2886</v>
      </c>
      <c r="N18" s="38">
        <v>8280360</v>
      </c>
      <c r="O18" s="35">
        <v>2869147609</v>
      </c>
      <c r="P18" s="31"/>
    </row>
    <row r="19" spans="2:16" x14ac:dyDescent="0.2">
      <c r="B19" s="24">
        <v>46128</v>
      </c>
      <c r="C19" s="25">
        <v>4066</v>
      </c>
      <c r="D19" s="38">
        <v>14120028</v>
      </c>
      <c r="E19" s="35">
        <v>3472707329</v>
      </c>
      <c r="L19" s="24">
        <v>46128</v>
      </c>
      <c r="M19" s="25">
        <v>2378</v>
      </c>
      <c r="N19" s="38">
        <v>6780240</v>
      </c>
      <c r="O19" s="35">
        <v>2851236333</v>
      </c>
      <c r="P19" s="31"/>
    </row>
    <row r="20" spans="2:16" x14ac:dyDescent="0.2">
      <c r="B20" s="24">
        <v>46129</v>
      </c>
      <c r="C20" s="25">
        <v>3951</v>
      </c>
      <c r="D20" s="38">
        <v>13727232</v>
      </c>
      <c r="E20" s="35">
        <v>3474369021</v>
      </c>
      <c r="L20" s="24">
        <v>46129</v>
      </c>
      <c r="M20" s="25">
        <v>2140</v>
      </c>
      <c r="N20" s="38">
        <v>5987520</v>
      </c>
      <c r="O20" s="35">
        <v>2797906542</v>
      </c>
      <c r="P20" s="31"/>
    </row>
    <row r="21" spans="2:16" x14ac:dyDescent="0.2">
      <c r="B21" s="24">
        <v>46130</v>
      </c>
      <c r="C21" s="25">
        <v>3729</v>
      </c>
      <c r="D21" s="38">
        <v>12928356</v>
      </c>
      <c r="E21" s="35">
        <v>3466976669</v>
      </c>
      <c r="H21" s="78">
        <f>8*(4.7/4.2-1)</f>
        <v>0.95238095238095255</v>
      </c>
      <c r="L21" s="24">
        <v>46130</v>
      </c>
      <c r="M21" s="25">
        <v>2025</v>
      </c>
      <c r="N21" s="38">
        <v>5708880</v>
      </c>
      <c r="O21" s="35">
        <v>2819200000</v>
      </c>
      <c r="P21" s="31"/>
    </row>
    <row r="22" spans="2:16" x14ac:dyDescent="0.2">
      <c r="B22" s="27">
        <v>46131</v>
      </c>
      <c r="C22" s="28">
        <v>3757</v>
      </c>
      <c r="D22" s="40">
        <v>13170600</v>
      </c>
      <c r="E22" s="36">
        <v>3505616183</v>
      </c>
      <c r="L22" s="27">
        <v>46131</v>
      </c>
      <c r="M22" s="28">
        <v>1835</v>
      </c>
      <c r="N22" s="40">
        <v>5118120</v>
      </c>
      <c r="O22" s="36">
        <v>2789166213</v>
      </c>
      <c r="P22" s="31"/>
    </row>
    <row r="23" spans="2:16" x14ac:dyDescent="0.2">
      <c r="C23" s="32">
        <f>AVERAGE(C4:C22)</f>
        <v>4144.2631578947367</v>
      </c>
      <c r="D23" s="32">
        <f>AVERAGE(D4:D22)</f>
        <v>14502188.842105264</v>
      </c>
      <c r="E23" s="32">
        <f>AVERAGE(E4:E22)</f>
        <v>3496320142.6842103</v>
      </c>
      <c r="H23" s="32"/>
      <c r="I23" s="32"/>
      <c r="J23" s="32"/>
      <c r="M23" s="32"/>
      <c r="N23" s="32"/>
      <c r="O23" s="32"/>
    </row>
    <row r="26" spans="2:16" x14ac:dyDescent="0.2">
      <c r="B26" s="21" t="s">
        <v>95</v>
      </c>
      <c r="C26" s="22" t="s">
        <v>79</v>
      </c>
      <c r="D26" s="22" t="s">
        <v>80</v>
      </c>
      <c r="E26" s="22" t="s">
        <v>96</v>
      </c>
      <c r="F26" s="23" t="s">
        <v>97</v>
      </c>
    </row>
    <row r="27" spans="2:16" x14ac:dyDescent="0.2">
      <c r="B27" s="24">
        <v>46113</v>
      </c>
      <c r="C27" s="25">
        <v>8560</v>
      </c>
      <c r="D27" s="25">
        <v>8560</v>
      </c>
      <c r="E27" s="25" t="s">
        <v>98</v>
      </c>
      <c r="F27" s="26" t="s">
        <v>99</v>
      </c>
    </row>
    <row r="28" spans="2:16" x14ac:dyDescent="0.2">
      <c r="B28" s="24">
        <v>46114</v>
      </c>
      <c r="C28" s="25">
        <v>7721</v>
      </c>
      <c r="D28" s="25">
        <v>7721</v>
      </c>
      <c r="E28" s="25" t="s">
        <v>100</v>
      </c>
      <c r="F28" s="26" t="s">
        <v>101</v>
      </c>
    </row>
    <row r="29" spans="2:16" x14ac:dyDescent="0.2">
      <c r="B29" s="24">
        <v>46115</v>
      </c>
      <c r="C29" s="25">
        <v>8147</v>
      </c>
      <c r="D29" s="25">
        <v>8147</v>
      </c>
      <c r="E29" s="25" t="s">
        <v>102</v>
      </c>
      <c r="F29" s="26" t="s">
        <v>103</v>
      </c>
    </row>
    <row r="30" spans="2:16" x14ac:dyDescent="0.2">
      <c r="B30" s="24">
        <v>46116</v>
      </c>
      <c r="C30" s="25">
        <v>7868</v>
      </c>
      <c r="D30" s="25">
        <v>7868</v>
      </c>
      <c r="E30" s="25" t="s">
        <v>104</v>
      </c>
      <c r="F30" s="26" t="s">
        <v>105</v>
      </c>
    </row>
    <row r="31" spans="2:16" x14ac:dyDescent="0.2">
      <c r="B31" s="24">
        <v>46117</v>
      </c>
      <c r="C31" s="25">
        <v>7890</v>
      </c>
      <c r="D31" s="25">
        <v>7890</v>
      </c>
      <c r="E31" s="25" t="s">
        <v>106</v>
      </c>
      <c r="F31" s="26" t="s">
        <v>107</v>
      </c>
    </row>
    <row r="32" spans="2:16" x14ac:dyDescent="0.2">
      <c r="B32" s="24">
        <v>46118</v>
      </c>
      <c r="C32" s="25">
        <v>8237</v>
      </c>
      <c r="D32" s="25">
        <v>8237</v>
      </c>
      <c r="E32" s="25" t="s">
        <v>108</v>
      </c>
      <c r="F32" s="26" t="s">
        <v>109</v>
      </c>
    </row>
    <row r="33" spans="2:6" x14ac:dyDescent="0.2">
      <c r="B33" s="24">
        <v>46119</v>
      </c>
      <c r="C33" s="25">
        <v>7858</v>
      </c>
      <c r="D33" s="25">
        <v>7858</v>
      </c>
      <c r="E33" s="25" t="s">
        <v>110</v>
      </c>
      <c r="F33" s="26" t="s">
        <v>111</v>
      </c>
    </row>
    <row r="34" spans="2:6" x14ac:dyDescent="0.2">
      <c r="B34" s="24">
        <v>46120</v>
      </c>
      <c r="C34" s="25">
        <v>8137</v>
      </c>
      <c r="D34" s="25">
        <v>8137</v>
      </c>
      <c r="E34" s="25" t="s">
        <v>112</v>
      </c>
      <c r="F34" s="26" t="s">
        <v>113</v>
      </c>
    </row>
    <row r="35" spans="2:6" x14ac:dyDescent="0.2">
      <c r="B35" s="24">
        <v>46121</v>
      </c>
      <c r="C35" s="25">
        <v>8408</v>
      </c>
      <c r="D35" s="25">
        <v>8408</v>
      </c>
      <c r="E35" s="25" t="s">
        <v>114</v>
      </c>
      <c r="F35" s="26" t="s">
        <v>115</v>
      </c>
    </row>
    <row r="36" spans="2:6" x14ac:dyDescent="0.2">
      <c r="B36" s="24">
        <v>46122</v>
      </c>
      <c r="C36" s="25">
        <v>10311</v>
      </c>
      <c r="D36" s="25">
        <v>10311</v>
      </c>
      <c r="E36" s="25" t="s">
        <v>116</v>
      </c>
      <c r="F36" s="26" t="s">
        <v>117</v>
      </c>
    </row>
    <row r="37" spans="2:6" x14ac:dyDescent="0.2">
      <c r="B37" s="24">
        <v>46123</v>
      </c>
      <c r="C37" s="25">
        <v>8387</v>
      </c>
      <c r="D37" s="25">
        <v>8387</v>
      </c>
      <c r="E37" s="25" t="s">
        <v>118</v>
      </c>
      <c r="F37" s="26" t="s">
        <v>119</v>
      </c>
    </row>
    <row r="38" spans="2:6" x14ac:dyDescent="0.2">
      <c r="B38" s="24">
        <v>46124</v>
      </c>
      <c r="C38" s="25">
        <v>7566</v>
      </c>
      <c r="D38" s="25">
        <v>7566</v>
      </c>
      <c r="E38" s="25" t="s">
        <v>120</v>
      </c>
      <c r="F38" s="26" t="s">
        <v>121</v>
      </c>
    </row>
    <row r="39" spans="2:6" x14ac:dyDescent="0.2">
      <c r="B39" s="24">
        <v>46125</v>
      </c>
      <c r="C39" s="25">
        <v>8222</v>
      </c>
      <c r="D39" s="25">
        <v>8222</v>
      </c>
      <c r="E39" s="25" t="s">
        <v>122</v>
      </c>
      <c r="F39" s="26" t="s">
        <v>123</v>
      </c>
    </row>
    <row r="40" spans="2:6" x14ac:dyDescent="0.2">
      <c r="B40" s="24">
        <v>46126</v>
      </c>
      <c r="C40" s="25">
        <v>8338</v>
      </c>
      <c r="D40" s="25">
        <v>8338</v>
      </c>
      <c r="E40" s="25" t="s">
        <v>124</v>
      </c>
      <c r="F40" s="26" t="s">
        <v>125</v>
      </c>
    </row>
    <row r="41" spans="2:6" x14ac:dyDescent="0.2">
      <c r="B41" s="24">
        <v>46127</v>
      </c>
      <c r="C41" s="25">
        <v>9506</v>
      </c>
      <c r="D41" s="25">
        <v>9506</v>
      </c>
      <c r="E41" s="25" t="s">
        <v>126</v>
      </c>
      <c r="F41" s="26" t="s">
        <v>127</v>
      </c>
    </row>
    <row r="42" spans="2:6" x14ac:dyDescent="0.2">
      <c r="B42" s="24">
        <v>46128</v>
      </c>
      <c r="C42" s="25">
        <v>8362</v>
      </c>
      <c r="D42" s="25">
        <v>8362</v>
      </c>
      <c r="E42" s="25" t="s">
        <v>128</v>
      </c>
      <c r="F42" s="26" t="s">
        <v>129</v>
      </c>
    </row>
    <row r="43" spans="2:6" x14ac:dyDescent="0.2">
      <c r="B43" s="24">
        <v>46129</v>
      </c>
      <c r="C43" s="25">
        <v>8026</v>
      </c>
      <c r="D43" s="25">
        <v>8026</v>
      </c>
      <c r="E43" s="25" t="s">
        <v>130</v>
      </c>
      <c r="F43" s="26" t="s">
        <v>131</v>
      </c>
    </row>
    <row r="44" spans="2:6" x14ac:dyDescent="0.2">
      <c r="B44" s="24">
        <v>46130</v>
      </c>
      <c r="C44" s="25">
        <v>7719</v>
      </c>
      <c r="D44" s="25">
        <v>7719</v>
      </c>
      <c r="E44" s="25" t="s">
        <v>132</v>
      </c>
      <c r="F44" s="26" t="s">
        <v>133</v>
      </c>
    </row>
    <row r="45" spans="2:6" x14ac:dyDescent="0.2">
      <c r="B45" s="27">
        <v>46131</v>
      </c>
      <c r="C45" s="28">
        <v>7486</v>
      </c>
      <c r="D45" s="28">
        <v>7486</v>
      </c>
      <c r="E45" s="28" t="s">
        <v>134</v>
      </c>
      <c r="F45" s="29" t="s">
        <v>135</v>
      </c>
    </row>
    <row r="46" spans="2:6" x14ac:dyDescent="0.2">
      <c r="C46">
        <f>AVERAGE(C27:C45)</f>
        <v>8249.9473684210534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7F65-988E-467A-907F-06B5B3827AD6}">
  <dimension ref="B1:AA24"/>
  <sheetViews>
    <sheetView workbookViewId="0"/>
  </sheetViews>
  <sheetFormatPr baseColWidth="10" defaultColWidth="8.83203125" defaultRowHeight="15" x14ac:dyDescent="0.2"/>
  <cols>
    <col min="2" max="2" width="8.83203125" bestFit="1" customWidth="1"/>
    <col min="3" max="3" width="9.1640625" bestFit="1" customWidth="1"/>
    <col min="4" max="4" width="23.5" customWidth="1"/>
    <col min="5" max="5" width="17.6640625" bestFit="1" customWidth="1"/>
    <col min="7" max="7" width="8.83203125" bestFit="1" customWidth="1"/>
    <col min="8" max="8" width="9.1640625" bestFit="1" customWidth="1"/>
    <col min="9" max="9" width="10.1640625" bestFit="1" customWidth="1"/>
    <col min="10" max="10" width="17.6640625" bestFit="1" customWidth="1"/>
    <col min="12" max="13" width="8.83203125" bestFit="1" customWidth="1"/>
    <col min="14" max="14" width="9.1640625" bestFit="1" customWidth="1"/>
    <col min="15" max="15" width="16.33203125" bestFit="1" customWidth="1"/>
    <col min="17" max="17" width="8.83203125" bestFit="1" customWidth="1"/>
  </cols>
  <sheetData>
    <row r="1" spans="2:27" x14ac:dyDescent="0.2">
      <c r="E1" t="s">
        <v>47</v>
      </c>
      <c r="J1" t="s">
        <v>78</v>
      </c>
      <c r="O1" t="s">
        <v>23</v>
      </c>
    </row>
    <row r="2" spans="2:27" x14ac:dyDescent="0.2">
      <c r="B2" s="21" t="s">
        <v>74</v>
      </c>
      <c r="C2" s="22" t="s">
        <v>75</v>
      </c>
      <c r="D2" s="22" t="s">
        <v>76</v>
      </c>
      <c r="E2" s="23" t="s">
        <v>77</v>
      </c>
      <c r="G2" s="21" t="s">
        <v>74</v>
      </c>
      <c r="H2" s="22" t="s">
        <v>75</v>
      </c>
      <c r="I2" s="22" t="s">
        <v>76</v>
      </c>
      <c r="J2" s="23" t="s">
        <v>77</v>
      </c>
      <c r="L2" s="21" t="s">
        <v>74</v>
      </c>
      <c r="M2" s="22" t="s">
        <v>75</v>
      </c>
      <c r="N2" s="22" t="s">
        <v>76</v>
      </c>
      <c r="O2" s="23" t="s">
        <v>77</v>
      </c>
      <c r="Q2" s="21" t="s">
        <v>53</v>
      </c>
      <c r="R2" s="22" t="s">
        <v>79</v>
      </c>
      <c r="S2" s="22" t="s">
        <v>80</v>
      </c>
      <c r="T2" s="22" t="s">
        <v>81</v>
      </c>
      <c r="U2" s="22" t="s">
        <v>82</v>
      </c>
      <c r="V2" s="22" t="s">
        <v>83</v>
      </c>
      <c r="W2" s="22" t="s">
        <v>84</v>
      </c>
      <c r="X2" s="22" t="s">
        <v>85</v>
      </c>
      <c r="Y2" s="22" t="s">
        <v>86</v>
      </c>
      <c r="Z2" s="23" t="s">
        <v>87</v>
      </c>
    </row>
    <row r="3" spans="2:27" x14ac:dyDescent="0.2">
      <c r="B3" s="24">
        <v>46113</v>
      </c>
      <c r="C3" s="38">
        <v>1719</v>
      </c>
      <c r="D3" s="38">
        <v>22731.35</v>
      </c>
      <c r="E3" s="39">
        <f t="shared" ref="E3:E21" si="0">D3*10^9/C3/1000</f>
        <v>13223589.296102384</v>
      </c>
      <c r="G3" s="24">
        <v>46113</v>
      </c>
      <c r="H3" s="38">
        <v>1286</v>
      </c>
      <c r="I3" s="38">
        <v>15883.65</v>
      </c>
      <c r="J3" s="39">
        <f t="shared" ref="J3:J21" si="1">I3*10^9/H3/1000</f>
        <v>12351205.287713841</v>
      </c>
      <c r="L3" s="24">
        <v>46113</v>
      </c>
      <c r="M3" s="38">
        <v>433</v>
      </c>
      <c r="N3" s="38">
        <v>6847.7</v>
      </c>
      <c r="O3" s="39">
        <f t="shared" ref="O3:O21" si="2">N3*10^9/M3/1000</f>
        <v>15814549.653579678</v>
      </c>
      <c r="Q3" s="24">
        <v>46113</v>
      </c>
      <c r="R3" s="25">
        <v>5372</v>
      </c>
      <c r="S3" s="25">
        <v>5372</v>
      </c>
      <c r="T3" s="25">
        <v>5371</v>
      </c>
      <c r="U3" s="25">
        <v>4811</v>
      </c>
      <c r="V3" s="25">
        <v>560</v>
      </c>
      <c r="W3" s="25">
        <v>433</v>
      </c>
      <c r="X3" s="25">
        <v>433</v>
      </c>
      <c r="Y3" s="25">
        <v>1</v>
      </c>
      <c r="Z3" s="26">
        <v>529</v>
      </c>
      <c r="AA3" s="42">
        <f t="shared" ref="AA3:AA21" si="3">V3/R3</f>
        <v>0.10424422933730454</v>
      </c>
    </row>
    <row r="4" spans="2:27" x14ac:dyDescent="0.2">
      <c r="B4" s="24">
        <v>46114</v>
      </c>
      <c r="C4" s="38">
        <v>1469</v>
      </c>
      <c r="D4" s="38">
        <v>19712.400000000001</v>
      </c>
      <c r="E4" s="39">
        <f t="shared" si="0"/>
        <v>13418924.438393464</v>
      </c>
      <c r="G4" s="24">
        <v>46114</v>
      </c>
      <c r="H4" s="38">
        <v>1042</v>
      </c>
      <c r="I4" s="38">
        <v>13221.25</v>
      </c>
      <c r="J4" s="39">
        <f t="shared" si="1"/>
        <v>12688339.731285987</v>
      </c>
      <c r="L4" s="24">
        <v>46114</v>
      </c>
      <c r="M4" s="38">
        <v>427</v>
      </c>
      <c r="N4" s="38">
        <v>6491.15</v>
      </c>
      <c r="O4" s="39">
        <f t="shared" si="2"/>
        <v>15201756.44028103</v>
      </c>
      <c r="Q4" s="24">
        <v>46114</v>
      </c>
      <c r="R4" s="25">
        <v>4892</v>
      </c>
      <c r="S4" s="25">
        <v>4892</v>
      </c>
      <c r="T4" s="25">
        <v>4892</v>
      </c>
      <c r="U4" s="25">
        <v>4304</v>
      </c>
      <c r="V4" s="25">
        <v>588</v>
      </c>
      <c r="W4" s="25">
        <v>433</v>
      </c>
      <c r="X4" s="25">
        <v>427</v>
      </c>
      <c r="Y4" s="25" t="s">
        <v>88</v>
      </c>
      <c r="Z4" s="26">
        <v>481</v>
      </c>
      <c r="AA4" s="42">
        <f t="shared" si="3"/>
        <v>0.12019623875715454</v>
      </c>
    </row>
    <row r="5" spans="2:27" x14ac:dyDescent="0.2">
      <c r="B5" s="24">
        <v>46115</v>
      </c>
      <c r="C5" s="38">
        <v>1507</v>
      </c>
      <c r="D5" s="38">
        <v>20172.16</v>
      </c>
      <c r="E5" s="39">
        <f t="shared" si="0"/>
        <v>13385640.345056403</v>
      </c>
      <c r="G5" s="24">
        <v>46115</v>
      </c>
      <c r="H5" s="38">
        <v>1061</v>
      </c>
      <c r="I5" s="38">
        <v>12986.4</v>
      </c>
      <c r="J5" s="39">
        <f t="shared" si="1"/>
        <v>12239773.798303489</v>
      </c>
      <c r="L5" s="24">
        <v>46115</v>
      </c>
      <c r="M5" s="38">
        <v>446</v>
      </c>
      <c r="N5" s="38">
        <v>7185.76</v>
      </c>
      <c r="O5" s="39">
        <f t="shared" si="2"/>
        <v>16111569.506726457</v>
      </c>
      <c r="Q5" s="24">
        <v>46115</v>
      </c>
      <c r="R5" s="25">
        <v>5073</v>
      </c>
      <c r="S5" s="25">
        <v>5073</v>
      </c>
      <c r="T5" s="25">
        <v>5073</v>
      </c>
      <c r="U5" s="25">
        <v>4450</v>
      </c>
      <c r="V5" s="25">
        <v>623</v>
      </c>
      <c r="W5" s="25">
        <v>450</v>
      </c>
      <c r="X5" s="25">
        <v>446</v>
      </c>
      <c r="Y5" s="25" t="s">
        <v>88</v>
      </c>
      <c r="Z5" s="26">
        <v>567</v>
      </c>
      <c r="AA5" s="42">
        <f t="shared" si="3"/>
        <v>0.12280701754385964</v>
      </c>
    </row>
    <row r="6" spans="2:27" x14ac:dyDescent="0.2">
      <c r="B6" s="24">
        <v>46116</v>
      </c>
      <c r="C6" s="38">
        <v>1346</v>
      </c>
      <c r="D6" s="38">
        <v>18382.18</v>
      </c>
      <c r="E6" s="39">
        <f t="shared" si="0"/>
        <v>13656894.502228826</v>
      </c>
      <c r="G6" s="24">
        <v>46116</v>
      </c>
      <c r="H6" s="38">
        <v>907</v>
      </c>
      <c r="I6" s="38">
        <v>11332.04</v>
      </c>
      <c r="J6" s="39">
        <f t="shared" si="1"/>
        <v>12493980.154355017</v>
      </c>
      <c r="L6" s="24">
        <v>46116</v>
      </c>
      <c r="M6" s="38">
        <v>439</v>
      </c>
      <c r="N6" s="38">
        <v>7050.14</v>
      </c>
      <c r="O6" s="39">
        <f t="shared" si="2"/>
        <v>16059544.419134395</v>
      </c>
      <c r="Q6" s="24">
        <v>46116</v>
      </c>
      <c r="R6" s="25">
        <v>4898</v>
      </c>
      <c r="S6" s="25">
        <v>4898</v>
      </c>
      <c r="T6" s="25">
        <v>4898</v>
      </c>
      <c r="U6" s="25">
        <v>4288</v>
      </c>
      <c r="V6" s="25">
        <v>610</v>
      </c>
      <c r="W6" s="25">
        <v>441</v>
      </c>
      <c r="X6" s="25">
        <v>439</v>
      </c>
      <c r="Y6" s="25" t="s">
        <v>88</v>
      </c>
      <c r="Z6" s="26">
        <v>493</v>
      </c>
      <c r="AA6" s="42">
        <f t="shared" si="3"/>
        <v>0.12454062882809309</v>
      </c>
    </row>
    <row r="7" spans="2:27" x14ac:dyDescent="0.2">
      <c r="B7" s="24">
        <v>46117</v>
      </c>
      <c r="C7" s="38">
        <v>1157</v>
      </c>
      <c r="D7" s="38">
        <v>15050.54</v>
      </c>
      <c r="E7" s="39">
        <f t="shared" si="0"/>
        <v>13008245.462402765</v>
      </c>
      <c r="G7" s="24">
        <v>46117</v>
      </c>
      <c r="H7" s="38">
        <v>991</v>
      </c>
      <c r="I7" s="38">
        <v>12621.03</v>
      </c>
      <c r="J7" s="39">
        <f t="shared" si="1"/>
        <v>12735650.857719475</v>
      </c>
      <c r="L7" s="24">
        <v>46117</v>
      </c>
      <c r="M7" s="38">
        <v>166</v>
      </c>
      <c r="N7" s="38">
        <v>2429.5100000000002</v>
      </c>
      <c r="O7" s="39">
        <f t="shared" si="2"/>
        <v>14635602.409638554</v>
      </c>
      <c r="Q7" s="24">
        <v>46117</v>
      </c>
      <c r="R7" s="25">
        <v>3321</v>
      </c>
      <c r="S7" s="25">
        <v>3321</v>
      </c>
      <c r="T7" s="25">
        <v>3320</v>
      </c>
      <c r="U7" s="25">
        <v>3096</v>
      </c>
      <c r="V7" s="25">
        <v>224</v>
      </c>
      <c r="W7" s="25">
        <v>160</v>
      </c>
      <c r="X7" s="25">
        <v>166</v>
      </c>
      <c r="Y7" s="25">
        <v>1</v>
      </c>
      <c r="Z7" s="26">
        <v>279</v>
      </c>
      <c r="AA7" s="42">
        <f t="shared" si="3"/>
        <v>6.7449563384522737E-2</v>
      </c>
    </row>
    <row r="8" spans="2:27" x14ac:dyDescent="0.2">
      <c r="B8" s="24">
        <v>46118</v>
      </c>
      <c r="C8" s="38">
        <v>1326</v>
      </c>
      <c r="D8" s="38">
        <v>18506.7</v>
      </c>
      <c r="E8" s="39">
        <f t="shared" si="0"/>
        <v>13956787.330316741</v>
      </c>
      <c r="G8" s="24">
        <v>46118</v>
      </c>
      <c r="H8" s="38">
        <v>1127</v>
      </c>
      <c r="I8" s="38">
        <v>15232.56</v>
      </c>
      <c r="J8" s="39">
        <f t="shared" si="1"/>
        <v>13516024.844720498</v>
      </c>
      <c r="L8" s="24">
        <v>46118</v>
      </c>
      <c r="M8" s="38">
        <v>199</v>
      </c>
      <c r="N8" s="38">
        <v>3274.14</v>
      </c>
      <c r="O8" s="39">
        <f t="shared" si="2"/>
        <v>16452964.824120604</v>
      </c>
      <c r="Q8" s="24">
        <v>46118</v>
      </c>
      <c r="R8" s="25">
        <v>3920</v>
      </c>
      <c r="S8" s="25">
        <v>3920</v>
      </c>
      <c r="T8" s="25">
        <v>3920</v>
      </c>
      <c r="U8" s="25">
        <v>3653</v>
      </c>
      <c r="V8" s="25">
        <v>267</v>
      </c>
      <c r="W8" s="25">
        <v>196</v>
      </c>
      <c r="X8" s="25">
        <v>199</v>
      </c>
      <c r="Y8" s="25" t="s">
        <v>88</v>
      </c>
      <c r="Z8" s="26">
        <v>691</v>
      </c>
      <c r="AA8" s="42">
        <f t="shared" si="3"/>
        <v>6.8112244897959182E-2</v>
      </c>
    </row>
    <row r="9" spans="2:27" x14ac:dyDescent="0.2">
      <c r="B9" s="24">
        <v>46119</v>
      </c>
      <c r="C9" s="38">
        <v>1206</v>
      </c>
      <c r="D9" s="38">
        <v>16980.34</v>
      </c>
      <c r="E9" s="39">
        <f t="shared" si="0"/>
        <v>14079883.91376451</v>
      </c>
      <c r="G9" s="24">
        <v>46119</v>
      </c>
      <c r="H9" s="38">
        <v>1007</v>
      </c>
      <c r="I9" s="38">
        <v>13577.41</v>
      </c>
      <c r="J9" s="39">
        <f t="shared" si="1"/>
        <v>13483028.798411122</v>
      </c>
      <c r="L9" s="24">
        <v>46119</v>
      </c>
      <c r="M9" s="38">
        <v>199</v>
      </c>
      <c r="N9" s="38">
        <v>3402.93</v>
      </c>
      <c r="O9" s="39">
        <f t="shared" si="2"/>
        <v>17100150.753768846</v>
      </c>
      <c r="Q9" s="24">
        <v>46119</v>
      </c>
      <c r="R9" s="25">
        <v>3467</v>
      </c>
      <c r="S9" s="25">
        <v>3467</v>
      </c>
      <c r="T9" s="25">
        <v>3467</v>
      </c>
      <c r="U9" s="25">
        <v>3219</v>
      </c>
      <c r="V9" s="25">
        <v>248</v>
      </c>
      <c r="W9" s="25">
        <v>192</v>
      </c>
      <c r="X9" s="25">
        <v>199</v>
      </c>
      <c r="Y9" s="25" t="s">
        <v>88</v>
      </c>
      <c r="Z9" s="26">
        <v>540</v>
      </c>
      <c r="AA9" s="42">
        <f t="shared" si="3"/>
        <v>7.1531583501586379E-2</v>
      </c>
    </row>
    <row r="10" spans="2:27" x14ac:dyDescent="0.2">
      <c r="B10" s="24">
        <v>46120</v>
      </c>
      <c r="C10" s="38">
        <v>1157</v>
      </c>
      <c r="D10" s="38">
        <v>16108.35</v>
      </c>
      <c r="E10" s="39">
        <f t="shared" si="0"/>
        <v>13922515.125324113</v>
      </c>
      <c r="G10" s="24">
        <v>46120</v>
      </c>
      <c r="H10" s="38">
        <v>969</v>
      </c>
      <c r="I10" s="38">
        <v>12819.23</v>
      </c>
      <c r="J10" s="39">
        <f t="shared" si="1"/>
        <v>13229339.525283799</v>
      </c>
      <c r="L10" s="24">
        <v>46120</v>
      </c>
      <c r="M10" s="38">
        <v>188</v>
      </c>
      <c r="N10" s="38">
        <v>3289.12</v>
      </c>
      <c r="O10" s="39">
        <f t="shared" si="2"/>
        <v>17495319.148936167</v>
      </c>
      <c r="Q10" s="24">
        <v>46120</v>
      </c>
      <c r="R10" s="25">
        <v>3688</v>
      </c>
      <c r="S10" s="25">
        <v>3688</v>
      </c>
      <c r="T10" s="25">
        <v>3688</v>
      </c>
      <c r="U10" s="25">
        <v>3444</v>
      </c>
      <c r="V10" s="25">
        <v>244</v>
      </c>
      <c r="W10" s="25">
        <v>188</v>
      </c>
      <c r="X10" s="25">
        <v>188</v>
      </c>
      <c r="Y10" s="25" t="s">
        <v>88</v>
      </c>
      <c r="Z10" s="26">
        <v>472</v>
      </c>
      <c r="AA10" s="42">
        <f t="shared" si="3"/>
        <v>6.6160520607375276E-2</v>
      </c>
    </row>
    <row r="11" spans="2:27" x14ac:dyDescent="0.2">
      <c r="B11" s="24">
        <v>46121</v>
      </c>
      <c r="C11" s="38">
        <v>1176</v>
      </c>
      <c r="D11" s="38">
        <v>17443.04</v>
      </c>
      <c r="E11" s="39">
        <f t="shared" si="0"/>
        <v>14832517.006802721</v>
      </c>
      <c r="G11" s="24">
        <v>46121</v>
      </c>
      <c r="H11" s="38">
        <v>985</v>
      </c>
      <c r="I11" s="38">
        <v>14041.31</v>
      </c>
      <c r="J11" s="39">
        <f t="shared" si="1"/>
        <v>14255137.055837562</v>
      </c>
      <c r="L11" s="24">
        <v>46121</v>
      </c>
      <c r="M11" s="38">
        <v>191</v>
      </c>
      <c r="N11" s="38">
        <v>3401.73</v>
      </c>
      <c r="O11" s="39">
        <f t="shared" si="2"/>
        <v>17810104.712041885</v>
      </c>
      <c r="Q11" s="24">
        <v>46121</v>
      </c>
      <c r="R11" s="25">
        <v>3798</v>
      </c>
      <c r="S11" s="25">
        <v>3798</v>
      </c>
      <c r="T11" s="25">
        <v>3787</v>
      </c>
      <c r="U11" s="25">
        <v>3538</v>
      </c>
      <c r="V11" s="25">
        <v>249</v>
      </c>
      <c r="W11" s="25">
        <v>191</v>
      </c>
      <c r="X11" s="25">
        <v>191</v>
      </c>
      <c r="Y11" s="25">
        <v>11</v>
      </c>
      <c r="Z11" s="26">
        <v>497</v>
      </c>
      <c r="AA11" s="42">
        <f t="shared" si="3"/>
        <v>6.5560821484992107E-2</v>
      </c>
    </row>
    <row r="12" spans="2:27" x14ac:dyDescent="0.2">
      <c r="B12" s="24">
        <v>46122</v>
      </c>
      <c r="C12" s="38">
        <v>1307</v>
      </c>
      <c r="D12" s="38">
        <v>16824.25</v>
      </c>
      <c r="E12" s="39">
        <f t="shared" si="0"/>
        <v>12872417.750573833</v>
      </c>
      <c r="G12" s="24">
        <v>46122</v>
      </c>
      <c r="H12" s="38">
        <v>1091</v>
      </c>
      <c r="I12" s="38">
        <v>13425.71</v>
      </c>
      <c r="J12" s="39">
        <f t="shared" si="1"/>
        <v>12305875.343721358</v>
      </c>
      <c r="L12" s="24">
        <v>46122</v>
      </c>
      <c r="M12" s="38">
        <v>216</v>
      </c>
      <c r="N12" s="38">
        <v>3398.54</v>
      </c>
      <c r="O12" s="39">
        <f t="shared" si="2"/>
        <v>15733981.481481481</v>
      </c>
      <c r="Q12" s="24">
        <v>46122</v>
      </c>
      <c r="R12" s="25">
        <v>3949</v>
      </c>
      <c r="S12" s="25">
        <v>3949</v>
      </c>
      <c r="T12" s="25">
        <v>3949</v>
      </c>
      <c r="U12" s="25">
        <v>3664</v>
      </c>
      <c r="V12" s="25">
        <v>285</v>
      </c>
      <c r="W12" s="25">
        <v>216</v>
      </c>
      <c r="X12" s="25">
        <v>216</v>
      </c>
      <c r="Y12" s="25" t="s">
        <v>88</v>
      </c>
      <c r="Z12" s="26">
        <v>629</v>
      </c>
      <c r="AA12" s="42">
        <f t="shared" si="3"/>
        <v>7.2170169663205871E-2</v>
      </c>
    </row>
    <row r="13" spans="2:27" x14ac:dyDescent="0.2">
      <c r="B13" s="24">
        <v>46123</v>
      </c>
      <c r="C13" s="38">
        <v>999</v>
      </c>
      <c r="D13" s="38">
        <v>13512.62</v>
      </c>
      <c r="E13" s="39">
        <f t="shared" si="0"/>
        <v>13526146.146146147</v>
      </c>
      <c r="G13" s="24">
        <v>46123</v>
      </c>
      <c r="H13" s="38">
        <v>827</v>
      </c>
      <c r="I13" s="38">
        <v>10783.89</v>
      </c>
      <c r="J13" s="39">
        <f t="shared" si="1"/>
        <v>13039770.253929866</v>
      </c>
      <c r="L13" s="24">
        <v>46123</v>
      </c>
      <c r="M13" s="38">
        <v>172</v>
      </c>
      <c r="N13" s="38">
        <v>2728.73</v>
      </c>
      <c r="O13" s="39">
        <f t="shared" si="2"/>
        <v>15864709.30232558</v>
      </c>
      <c r="Q13" s="24">
        <v>46123</v>
      </c>
      <c r="R13" s="25">
        <v>3349</v>
      </c>
      <c r="S13" s="25">
        <v>3349</v>
      </c>
      <c r="T13" s="25">
        <v>3348</v>
      </c>
      <c r="U13" s="25">
        <v>3121</v>
      </c>
      <c r="V13" s="25">
        <v>227</v>
      </c>
      <c r="W13" s="25">
        <v>174</v>
      </c>
      <c r="X13" s="25">
        <v>172</v>
      </c>
      <c r="Y13" s="25">
        <v>1</v>
      </c>
      <c r="Z13" s="26">
        <v>481</v>
      </c>
      <c r="AA13" s="42">
        <f t="shared" si="3"/>
        <v>6.7781427291728868E-2</v>
      </c>
    </row>
    <row r="14" spans="2:27" x14ac:dyDescent="0.2">
      <c r="B14" s="24">
        <v>46124</v>
      </c>
      <c r="C14" s="38">
        <v>843</v>
      </c>
      <c r="D14" s="38">
        <v>10894.83</v>
      </c>
      <c r="E14" s="39">
        <f t="shared" si="0"/>
        <v>12923879.00355872</v>
      </c>
      <c r="G14" s="24">
        <v>46124</v>
      </c>
      <c r="H14" s="38">
        <v>700</v>
      </c>
      <c r="I14" s="38">
        <v>8626.23</v>
      </c>
      <c r="J14" s="39">
        <f t="shared" si="1"/>
        <v>12323185.714285715</v>
      </c>
      <c r="L14" s="24">
        <v>46124</v>
      </c>
      <c r="M14" s="38">
        <v>143</v>
      </c>
      <c r="N14" s="38">
        <v>2268.6</v>
      </c>
      <c r="O14" s="39">
        <f t="shared" si="2"/>
        <v>15864335.664335664</v>
      </c>
      <c r="Q14" s="24">
        <v>46124</v>
      </c>
      <c r="R14" s="25">
        <v>3188</v>
      </c>
      <c r="S14" s="25">
        <v>3188</v>
      </c>
      <c r="T14" s="25">
        <v>3188</v>
      </c>
      <c r="U14" s="25">
        <v>2988</v>
      </c>
      <c r="V14" s="25">
        <v>200</v>
      </c>
      <c r="W14" s="25">
        <v>143</v>
      </c>
      <c r="X14" s="25">
        <v>143</v>
      </c>
      <c r="Y14" s="25" t="s">
        <v>88</v>
      </c>
      <c r="Z14" s="26">
        <v>241</v>
      </c>
      <c r="AA14" s="42">
        <f t="shared" si="3"/>
        <v>6.2735257214554585E-2</v>
      </c>
    </row>
    <row r="15" spans="2:27" x14ac:dyDescent="0.2">
      <c r="B15" s="24">
        <v>46125</v>
      </c>
      <c r="C15" s="38">
        <v>1268</v>
      </c>
      <c r="D15" s="38">
        <v>16424.45</v>
      </c>
      <c r="E15" s="39">
        <f t="shared" si="0"/>
        <v>12953036.277602524</v>
      </c>
      <c r="G15" s="24">
        <v>46125</v>
      </c>
      <c r="H15" s="38">
        <v>1083</v>
      </c>
      <c r="I15" s="38">
        <v>13714.46</v>
      </c>
      <c r="J15" s="39">
        <f t="shared" si="1"/>
        <v>12663397.968605725</v>
      </c>
      <c r="L15" s="24">
        <v>46125</v>
      </c>
      <c r="M15" s="38">
        <v>185</v>
      </c>
      <c r="N15" s="38">
        <v>2709.99</v>
      </c>
      <c r="O15" s="39">
        <f t="shared" si="2"/>
        <v>14648594.594594594</v>
      </c>
      <c r="Q15" s="24">
        <v>46125</v>
      </c>
      <c r="R15" s="25">
        <v>3415</v>
      </c>
      <c r="S15" s="25">
        <v>3415</v>
      </c>
      <c r="T15" s="25">
        <v>3413</v>
      </c>
      <c r="U15" s="25">
        <v>3162</v>
      </c>
      <c r="V15" s="25">
        <v>251</v>
      </c>
      <c r="W15" s="25">
        <v>186</v>
      </c>
      <c r="X15" s="25">
        <v>185</v>
      </c>
      <c r="Y15" s="25">
        <v>2</v>
      </c>
      <c r="Z15" s="26">
        <v>609</v>
      </c>
      <c r="AA15" s="42">
        <f t="shared" si="3"/>
        <v>7.349926793557833E-2</v>
      </c>
    </row>
    <row r="16" spans="2:27" x14ac:dyDescent="0.2">
      <c r="B16" s="24">
        <v>46126</v>
      </c>
      <c r="C16" s="38">
        <v>1161</v>
      </c>
      <c r="D16" s="38">
        <v>14958.53</v>
      </c>
      <c r="E16" s="39">
        <f t="shared" si="0"/>
        <v>12884177.433247199</v>
      </c>
      <c r="G16" s="24">
        <v>46126</v>
      </c>
      <c r="H16" s="38">
        <v>985</v>
      </c>
      <c r="I16" s="38">
        <v>11936.05</v>
      </c>
      <c r="J16" s="39">
        <f t="shared" si="1"/>
        <v>12117817.258883249</v>
      </c>
      <c r="L16" s="24">
        <v>46126</v>
      </c>
      <c r="M16" s="38">
        <v>176</v>
      </c>
      <c r="N16" s="38">
        <v>3022.48</v>
      </c>
      <c r="O16" s="39">
        <f t="shared" si="2"/>
        <v>17173181.818181816</v>
      </c>
      <c r="Q16" s="24">
        <v>46126</v>
      </c>
      <c r="R16" s="25">
        <v>3630</v>
      </c>
      <c r="S16" s="25">
        <v>3630</v>
      </c>
      <c r="T16" s="25">
        <v>3622</v>
      </c>
      <c r="U16" s="25">
        <v>3382</v>
      </c>
      <c r="V16" s="25">
        <v>240</v>
      </c>
      <c r="W16" s="25">
        <v>178</v>
      </c>
      <c r="X16" s="25">
        <v>176</v>
      </c>
      <c r="Y16" s="25">
        <v>9</v>
      </c>
      <c r="Z16" s="26">
        <v>496</v>
      </c>
      <c r="AA16" s="42">
        <f t="shared" si="3"/>
        <v>6.6115702479338845E-2</v>
      </c>
    </row>
    <row r="17" spans="2:27" x14ac:dyDescent="0.2">
      <c r="B17" s="24">
        <v>46127</v>
      </c>
      <c r="C17" s="38">
        <v>1347</v>
      </c>
      <c r="D17" s="38">
        <v>17456.22</v>
      </c>
      <c r="E17" s="39">
        <f t="shared" si="0"/>
        <v>12959331.848552339</v>
      </c>
      <c r="G17" s="24">
        <v>46127</v>
      </c>
      <c r="H17" s="38">
        <v>1157</v>
      </c>
      <c r="I17" s="38">
        <v>14376.26</v>
      </c>
      <c r="J17" s="39">
        <f t="shared" si="1"/>
        <v>12425462.402765773</v>
      </c>
      <c r="L17" s="24">
        <v>46127</v>
      </c>
      <c r="M17" s="38">
        <v>190</v>
      </c>
      <c r="N17" s="38">
        <v>3079.96</v>
      </c>
      <c r="O17" s="39">
        <f t="shared" si="2"/>
        <v>16210315.789473685</v>
      </c>
      <c r="Q17" s="24">
        <v>46127</v>
      </c>
      <c r="R17" s="25">
        <v>3715</v>
      </c>
      <c r="S17" s="25">
        <v>3715</v>
      </c>
      <c r="T17" s="25">
        <v>3715</v>
      </c>
      <c r="U17" s="25">
        <v>3432</v>
      </c>
      <c r="V17" s="25">
        <v>283</v>
      </c>
      <c r="W17" s="25">
        <v>194</v>
      </c>
      <c r="X17" s="25">
        <v>190</v>
      </c>
      <c r="Y17" s="25" t="s">
        <v>88</v>
      </c>
      <c r="Z17" s="26">
        <v>535</v>
      </c>
      <c r="AA17" s="42">
        <f t="shared" si="3"/>
        <v>7.6177658142664875E-2</v>
      </c>
    </row>
    <row r="18" spans="2:27" x14ac:dyDescent="0.2">
      <c r="B18" s="24">
        <v>46128</v>
      </c>
      <c r="C18" s="38">
        <v>1198</v>
      </c>
      <c r="D18" s="38">
        <v>15575.36</v>
      </c>
      <c r="E18" s="39">
        <f t="shared" si="0"/>
        <v>13001135.225375626</v>
      </c>
      <c r="G18" s="24">
        <v>46128</v>
      </c>
      <c r="H18" s="38">
        <v>1011</v>
      </c>
      <c r="I18" s="38">
        <v>12881.74</v>
      </c>
      <c r="J18" s="39">
        <f t="shared" si="1"/>
        <v>12741582.591493571</v>
      </c>
      <c r="L18" s="24">
        <v>46128</v>
      </c>
      <c r="M18" s="38">
        <v>187</v>
      </c>
      <c r="N18" s="38">
        <v>2693.62</v>
      </c>
      <c r="O18" s="39">
        <f t="shared" si="2"/>
        <v>14404385.026737969</v>
      </c>
      <c r="Q18" s="24">
        <v>46128</v>
      </c>
      <c r="R18" s="25">
        <v>3570</v>
      </c>
      <c r="S18" s="25">
        <v>3570</v>
      </c>
      <c r="T18" s="25">
        <v>3568</v>
      </c>
      <c r="U18" s="25">
        <v>3323</v>
      </c>
      <c r="V18" s="25">
        <v>245</v>
      </c>
      <c r="W18" s="25">
        <v>181</v>
      </c>
      <c r="X18" s="25">
        <v>187</v>
      </c>
      <c r="Y18" s="25">
        <v>2</v>
      </c>
      <c r="Z18" s="26">
        <v>520</v>
      </c>
      <c r="AA18" s="42">
        <f t="shared" si="3"/>
        <v>6.8627450980392163E-2</v>
      </c>
    </row>
    <row r="19" spans="2:27" x14ac:dyDescent="0.2">
      <c r="B19" s="24">
        <v>46129</v>
      </c>
      <c r="C19" s="38">
        <v>1071</v>
      </c>
      <c r="D19" s="38">
        <v>13467.11</v>
      </c>
      <c r="E19" s="39">
        <f t="shared" si="0"/>
        <v>12574332.399626516</v>
      </c>
      <c r="G19" s="24">
        <v>46129</v>
      </c>
      <c r="H19" s="38">
        <v>925</v>
      </c>
      <c r="I19" s="38">
        <v>10980.14</v>
      </c>
      <c r="J19" s="39">
        <f t="shared" si="1"/>
        <v>11870421.621621622</v>
      </c>
      <c r="L19" s="24">
        <v>46129</v>
      </c>
      <c r="M19" s="38">
        <v>146</v>
      </c>
      <c r="N19" s="38">
        <v>2486.9699999999998</v>
      </c>
      <c r="O19" s="39">
        <f t="shared" si="2"/>
        <v>17034041.09589041</v>
      </c>
      <c r="Q19" s="24">
        <v>46129</v>
      </c>
      <c r="R19" s="25">
        <v>3453</v>
      </c>
      <c r="S19" s="25">
        <v>3453</v>
      </c>
      <c r="T19" s="25">
        <v>3452</v>
      </c>
      <c r="U19" s="25">
        <v>3267</v>
      </c>
      <c r="V19" s="25">
        <v>185</v>
      </c>
      <c r="W19" s="25">
        <v>146</v>
      </c>
      <c r="X19" s="25">
        <v>146</v>
      </c>
      <c r="Y19" s="25">
        <v>1</v>
      </c>
      <c r="Z19" s="26">
        <v>447</v>
      </c>
      <c r="AA19" s="42">
        <f t="shared" si="3"/>
        <v>5.3576600057920649E-2</v>
      </c>
    </row>
    <row r="20" spans="2:27" x14ac:dyDescent="0.2">
      <c r="B20" s="24">
        <v>46130</v>
      </c>
      <c r="C20" s="38">
        <v>978</v>
      </c>
      <c r="D20" s="38">
        <v>12698.44</v>
      </c>
      <c r="E20" s="39">
        <f t="shared" si="0"/>
        <v>12984089.979550103</v>
      </c>
      <c r="G20" s="24">
        <v>46130</v>
      </c>
      <c r="H20" s="38">
        <v>840</v>
      </c>
      <c r="I20" s="38">
        <v>10409.81</v>
      </c>
      <c r="J20" s="39">
        <f t="shared" si="1"/>
        <v>12392630.952380953</v>
      </c>
      <c r="L20" s="24">
        <v>46130</v>
      </c>
      <c r="M20" s="38">
        <v>138</v>
      </c>
      <c r="N20" s="38">
        <v>2288.63</v>
      </c>
      <c r="O20" s="39">
        <f t="shared" si="2"/>
        <v>16584275.36231884</v>
      </c>
      <c r="Q20" s="24">
        <v>46130</v>
      </c>
      <c r="R20" s="25">
        <v>3094</v>
      </c>
      <c r="S20" s="25">
        <v>3094</v>
      </c>
      <c r="T20" s="25">
        <v>3093</v>
      </c>
      <c r="U20" s="25">
        <v>2915</v>
      </c>
      <c r="V20" s="25">
        <v>178</v>
      </c>
      <c r="W20" s="25">
        <v>137</v>
      </c>
      <c r="X20" s="25">
        <v>138</v>
      </c>
      <c r="Y20" s="25">
        <v>1</v>
      </c>
      <c r="Z20" s="26">
        <v>376</v>
      </c>
      <c r="AA20" s="42">
        <f t="shared" si="3"/>
        <v>5.7530704589528116E-2</v>
      </c>
    </row>
    <row r="21" spans="2:27" x14ac:dyDescent="0.2">
      <c r="B21" s="27">
        <v>46131</v>
      </c>
      <c r="C21" s="40">
        <v>959</v>
      </c>
      <c r="D21" s="40">
        <v>11894.97</v>
      </c>
      <c r="E21" s="39">
        <f t="shared" si="0"/>
        <v>12403514.077163711</v>
      </c>
      <c r="G21" s="27">
        <v>46131</v>
      </c>
      <c r="H21" s="40">
        <v>788</v>
      </c>
      <c r="I21" s="40">
        <v>9126.44</v>
      </c>
      <c r="J21" s="39">
        <f t="shared" si="1"/>
        <v>11581776.649746193</v>
      </c>
      <c r="L21" s="27">
        <v>46131</v>
      </c>
      <c r="M21" s="40">
        <v>171</v>
      </c>
      <c r="N21" s="40">
        <v>2768.53</v>
      </c>
      <c r="O21" s="39">
        <f t="shared" si="2"/>
        <v>16190233.918128654</v>
      </c>
      <c r="Q21" s="27">
        <v>46131</v>
      </c>
      <c r="R21" s="28">
        <v>3096</v>
      </c>
      <c r="S21" s="28">
        <v>3096</v>
      </c>
      <c r="T21" s="28">
        <v>3095</v>
      </c>
      <c r="U21" s="28">
        <v>2852</v>
      </c>
      <c r="V21" s="28">
        <v>243</v>
      </c>
      <c r="W21" s="28">
        <v>170</v>
      </c>
      <c r="X21" s="28">
        <v>171</v>
      </c>
      <c r="Y21" s="28">
        <v>1</v>
      </c>
      <c r="Z21" s="29">
        <v>236</v>
      </c>
      <c r="AA21" s="42">
        <f t="shared" si="3"/>
        <v>7.8488372093023256E-2</v>
      </c>
    </row>
    <row r="22" spans="2:27" x14ac:dyDescent="0.2">
      <c r="C22" s="37">
        <f>AVERAGE(C3:C21)</f>
        <v>1220.7368421052631</v>
      </c>
      <c r="D22" s="37">
        <f>AVERAGE(D3:D21)</f>
        <v>16252.30736842105</v>
      </c>
      <c r="E22" s="37">
        <f>AVERAGE(E3:E21)</f>
        <v>13293003.029567825</v>
      </c>
      <c r="I22" s="37">
        <f>AVERAGE(I3:I21)</f>
        <v>12525.032105263157</v>
      </c>
      <c r="J22" s="37">
        <f>AVERAGE(J3:J21)</f>
        <v>12655494.779529726</v>
      </c>
      <c r="N22" s="37">
        <f>AVERAGE(N3:N21)</f>
        <v>3727.2752631578951</v>
      </c>
      <c r="O22" s="37">
        <f>AVERAGE(O3:O21)</f>
        <v>16125769.259036647</v>
      </c>
      <c r="R22" s="37">
        <f>AVERAGE(R3:R21)</f>
        <v>3836.2105263157896</v>
      </c>
      <c r="V22" s="37">
        <f>AVERAGE(V3:V21)</f>
        <v>313.15789473684208</v>
      </c>
      <c r="AA22" s="41">
        <f>AVERAGE(AA3:AA21)</f>
        <v>7.8279234673199125E-2</v>
      </c>
    </row>
    <row r="23" spans="2:27" x14ac:dyDescent="0.2">
      <c r="I23" s="41">
        <f>I22/D22</f>
        <v>0.77066177874532737</v>
      </c>
      <c r="R23" s="32">
        <f>V23/AA22</f>
        <v>1584.3932497598914</v>
      </c>
      <c r="V23" s="32">
        <f>2*10^9/O22</f>
        <v>124.02509101258714</v>
      </c>
    </row>
    <row r="24" spans="2:27" x14ac:dyDescent="0.2">
      <c r="L24" s="32">
        <f>2*10^9/O22</f>
        <v>124.02509101258714</v>
      </c>
      <c r="M24" s="32">
        <f>L24/14%</f>
        <v>885.89350723276516</v>
      </c>
      <c r="R24" s="32">
        <f>R22+R23</f>
        <v>5420.6037760756808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AA2C-0E71-4970-85E9-45B2C9B91503}">
  <dimension ref="A1:BF284"/>
  <sheetViews>
    <sheetView showGridLines="0" topLeftCell="A2" zoomScale="40" zoomScaleNormal="40" workbookViewId="0">
      <pane xSplit="7" ySplit="4" topLeftCell="AE6" activePane="bottomRight" state="frozen"/>
      <selection activeCell="A2" sqref="A2"/>
      <selection pane="topRight" activeCell="H2" sqref="H2"/>
      <selection pane="bottomLeft" activeCell="A6" sqref="A6"/>
      <selection pane="bottomRight" activeCell="AO10" sqref="AO10"/>
    </sheetView>
  </sheetViews>
  <sheetFormatPr baseColWidth="10" defaultColWidth="8.6640625" defaultRowHeight="15" x14ac:dyDescent="0.2"/>
  <cols>
    <col min="1" max="1" width="8.6640625" style="89"/>
    <col min="2" max="2" width="20.83203125" style="89" customWidth="1"/>
    <col min="3" max="3" width="23" style="89" customWidth="1"/>
    <col min="4" max="4" width="16.33203125" style="89" customWidth="1"/>
    <col min="5" max="5" width="17.6640625" style="89" customWidth="1"/>
    <col min="6" max="6" width="12.83203125" style="89" bestFit="1" customWidth="1"/>
    <col min="7" max="7" width="21.1640625" style="89" customWidth="1"/>
    <col min="8" max="8" width="15.1640625" style="89" customWidth="1"/>
    <col min="9" max="9" width="30.5" style="89" customWidth="1"/>
    <col min="10" max="10" width="25.33203125" style="89" customWidth="1"/>
    <col min="11" max="11" width="25.1640625" style="89" customWidth="1"/>
    <col min="12" max="12" width="14.6640625" style="89" customWidth="1"/>
    <col min="13" max="13" width="17.33203125" style="89" bestFit="1" customWidth="1"/>
    <col min="14" max="14" width="29" style="89" bestFit="1" customWidth="1"/>
    <col min="15" max="15" width="17.33203125" style="89" customWidth="1"/>
    <col min="16" max="16" width="17.83203125" style="89" bestFit="1" customWidth="1"/>
    <col min="17" max="17" width="20.83203125" style="89" bestFit="1" customWidth="1"/>
    <col min="18" max="18" width="13.33203125" style="89" customWidth="1"/>
    <col min="19" max="19" width="11" style="89" bestFit="1" customWidth="1"/>
    <col min="20" max="20" width="17.33203125" style="89" bestFit="1" customWidth="1"/>
    <col min="21" max="21" width="29" style="89" bestFit="1" customWidth="1"/>
    <col min="22" max="23" width="29" style="89" customWidth="1"/>
    <col min="24" max="24" width="18.6640625" style="89" bestFit="1" customWidth="1"/>
    <col min="25" max="26" width="18.6640625" style="89" customWidth="1"/>
    <col min="27" max="27" width="24.1640625" style="89" customWidth="1"/>
    <col min="28" max="30" width="18.6640625" style="89" customWidth="1"/>
    <col min="31" max="31" width="29" style="89" customWidth="1"/>
    <col min="32" max="32" width="14" style="89" customWidth="1"/>
    <col min="33" max="33" width="17.83203125" style="89" bestFit="1" customWidth="1"/>
    <col min="34" max="34" width="20.83203125" style="89" bestFit="1" customWidth="1"/>
    <col min="35" max="36" width="13.5" style="89" customWidth="1"/>
    <col min="37" max="37" width="17.33203125" style="89" bestFit="1" customWidth="1"/>
    <col min="38" max="38" width="29" style="89" bestFit="1" customWidth="1"/>
    <col min="39" max="40" width="29" style="89" customWidth="1"/>
    <col min="41" max="41" width="24.5" style="89" bestFit="1" customWidth="1"/>
    <col min="42" max="47" width="21.5" style="89" customWidth="1"/>
    <col min="48" max="48" width="29.5" style="89" customWidth="1"/>
    <col min="49" max="54" width="20.6640625" style="89" customWidth="1"/>
    <col min="55" max="57" width="27.83203125" style="89" customWidth="1"/>
    <col min="58" max="58" width="20.6640625" style="89" customWidth="1"/>
    <col min="59" max="16384" width="8.6640625" style="89"/>
  </cols>
  <sheetData>
    <row r="1" spans="1:58" x14ac:dyDescent="0.2">
      <c r="O1" s="238"/>
    </row>
    <row r="2" spans="1:58" x14ac:dyDescent="0.2">
      <c r="U2" s="238"/>
      <c r="V2" s="238"/>
      <c r="W2" s="238"/>
    </row>
    <row r="3" spans="1:58" ht="42" customHeight="1" x14ac:dyDescent="0.2">
      <c r="E3" s="233"/>
      <c r="H3" s="616" t="s">
        <v>262</v>
      </c>
      <c r="I3" s="617"/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7"/>
      <c r="X3" s="618"/>
      <c r="Y3" s="616" t="s">
        <v>141</v>
      </c>
      <c r="Z3" s="617"/>
      <c r="AA3" s="617"/>
      <c r="AB3" s="617"/>
      <c r="AC3" s="617"/>
      <c r="AD3" s="617"/>
      <c r="AE3" s="617"/>
      <c r="AF3" s="617"/>
      <c r="AG3" s="617"/>
      <c r="AH3" s="617"/>
      <c r="AI3" s="617"/>
      <c r="AJ3" s="617"/>
      <c r="AK3" s="617"/>
      <c r="AL3" s="617"/>
      <c r="AM3" s="617"/>
      <c r="AN3" s="617"/>
      <c r="AO3" s="618"/>
      <c r="AP3" s="619" t="s">
        <v>245</v>
      </c>
      <c r="AQ3" s="620"/>
      <c r="AR3" s="620"/>
      <c r="AS3" s="620"/>
      <c r="AT3" s="620"/>
      <c r="AU3" s="620"/>
      <c r="AV3" s="620"/>
      <c r="AW3" s="620"/>
      <c r="AX3" s="620"/>
      <c r="AY3" s="620"/>
      <c r="AZ3" s="620"/>
      <c r="BA3" s="620"/>
      <c r="BB3" s="620"/>
      <c r="BC3" s="620"/>
      <c r="BD3" s="620"/>
      <c r="BE3" s="620"/>
      <c r="BF3" s="620"/>
    </row>
    <row r="4" spans="1:58" s="305" customFormat="1" ht="42" customHeight="1" x14ac:dyDescent="0.2">
      <c r="A4" s="304"/>
      <c r="B4" s="304"/>
      <c r="C4" s="304"/>
      <c r="D4" s="304"/>
      <c r="E4" s="348"/>
      <c r="F4" s="304"/>
      <c r="G4" s="304"/>
      <c r="H4" s="624" t="s">
        <v>263</v>
      </c>
      <c r="I4" s="625"/>
      <c r="J4" s="625"/>
      <c r="K4" s="625"/>
      <c r="L4" s="625"/>
      <c r="M4" s="625"/>
      <c r="N4" s="626"/>
      <c r="O4" s="621" t="s">
        <v>264</v>
      </c>
      <c r="P4" s="622"/>
      <c r="Q4" s="622"/>
      <c r="R4" s="622"/>
      <c r="S4" s="622"/>
      <c r="T4" s="622"/>
      <c r="U4" s="622"/>
      <c r="V4" s="622"/>
      <c r="W4" s="622"/>
      <c r="X4" s="623"/>
      <c r="Y4" s="624" t="s">
        <v>263</v>
      </c>
      <c r="Z4" s="625"/>
      <c r="AA4" s="625"/>
      <c r="AB4" s="625"/>
      <c r="AC4" s="625"/>
      <c r="AD4" s="625"/>
      <c r="AE4" s="626"/>
      <c r="AF4" s="621" t="s">
        <v>264</v>
      </c>
      <c r="AG4" s="622"/>
      <c r="AH4" s="622"/>
      <c r="AI4" s="622"/>
      <c r="AJ4" s="622"/>
      <c r="AK4" s="622"/>
      <c r="AL4" s="622"/>
      <c r="AM4" s="622"/>
      <c r="AN4" s="622"/>
      <c r="AO4" s="623"/>
      <c r="AP4" s="624" t="s">
        <v>263</v>
      </c>
      <c r="AQ4" s="625"/>
      <c r="AR4" s="625"/>
      <c r="AS4" s="625"/>
      <c r="AT4" s="625"/>
      <c r="AU4" s="625"/>
      <c r="AV4" s="626"/>
      <c r="AW4" s="621" t="s">
        <v>264</v>
      </c>
      <c r="AX4" s="622"/>
      <c r="AY4" s="622"/>
      <c r="AZ4" s="622"/>
      <c r="BA4" s="622"/>
      <c r="BB4" s="622"/>
      <c r="BC4" s="622"/>
      <c r="BD4" s="622"/>
      <c r="BE4" s="622"/>
      <c r="BF4" s="623"/>
    </row>
    <row r="5" spans="1:58" ht="39" customHeight="1" x14ac:dyDescent="0.2">
      <c r="B5" s="196" t="s">
        <v>155</v>
      </c>
      <c r="C5" s="196" t="s">
        <v>3</v>
      </c>
      <c r="D5" s="196" t="s">
        <v>4</v>
      </c>
      <c r="E5" s="196" t="s">
        <v>9</v>
      </c>
      <c r="F5" s="196" t="s">
        <v>243</v>
      </c>
      <c r="G5" s="234" t="s">
        <v>10</v>
      </c>
      <c r="H5" s="319" t="s">
        <v>254</v>
      </c>
      <c r="I5" s="320" t="s">
        <v>259</v>
      </c>
      <c r="J5" s="320" t="s">
        <v>260</v>
      </c>
      <c r="K5" s="320" t="s">
        <v>257</v>
      </c>
      <c r="L5" s="320" t="s">
        <v>258</v>
      </c>
      <c r="M5" s="320" t="s">
        <v>256</v>
      </c>
      <c r="N5" s="321" t="s">
        <v>261</v>
      </c>
      <c r="O5" s="322" t="s">
        <v>254</v>
      </c>
      <c r="P5" s="323" t="s">
        <v>259</v>
      </c>
      <c r="Q5" s="323" t="s">
        <v>260</v>
      </c>
      <c r="R5" s="323" t="s">
        <v>257</v>
      </c>
      <c r="S5" s="323" t="s">
        <v>258</v>
      </c>
      <c r="T5" s="323" t="s">
        <v>256</v>
      </c>
      <c r="U5" s="323" t="s">
        <v>261</v>
      </c>
      <c r="V5" s="340" t="s">
        <v>266</v>
      </c>
      <c r="W5" s="340"/>
      <c r="X5" s="324" t="s">
        <v>250</v>
      </c>
      <c r="Y5" s="319" t="s">
        <v>254</v>
      </c>
      <c r="Z5" s="320" t="s">
        <v>259</v>
      </c>
      <c r="AA5" s="320" t="s">
        <v>260</v>
      </c>
      <c r="AB5" s="320" t="s">
        <v>257</v>
      </c>
      <c r="AC5" s="320" t="s">
        <v>258</v>
      </c>
      <c r="AD5" s="320" t="s">
        <v>256</v>
      </c>
      <c r="AE5" s="321" t="s">
        <v>261</v>
      </c>
      <c r="AF5" s="322" t="s">
        <v>254</v>
      </c>
      <c r="AG5" s="323" t="s">
        <v>259</v>
      </c>
      <c r="AH5" s="323" t="s">
        <v>260</v>
      </c>
      <c r="AI5" s="323" t="s">
        <v>257</v>
      </c>
      <c r="AJ5" s="323" t="s">
        <v>258</v>
      </c>
      <c r="AK5" s="323" t="s">
        <v>256</v>
      </c>
      <c r="AL5" s="323" t="s">
        <v>261</v>
      </c>
      <c r="AM5" s="340" t="s">
        <v>266</v>
      </c>
      <c r="AN5" s="340"/>
      <c r="AO5" s="324" t="s">
        <v>251</v>
      </c>
      <c r="AP5" s="319" t="s">
        <v>254</v>
      </c>
      <c r="AQ5" s="320" t="s">
        <v>259</v>
      </c>
      <c r="AR5" s="320" t="s">
        <v>260</v>
      </c>
      <c r="AS5" s="320" t="s">
        <v>257</v>
      </c>
      <c r="AT5" s="320" t="s">
        <v>258</v>
      </c>
      <c r="AU5" s="320" t="s">
        <v>256</v>
      </c>
      <c r="AV5" s="321" t="s">
        <v>261</v>
      </c>
      <c r="AW5" s="322" t="s">
        <v>254</v>
      </c>
      <c r="AX5" s="323" t="s">
        <v>259</v>
      </c>
      <c r="AY5" s="323" t="s">
        <v>260</v>
      </c>
      <c r="AZ5" s="323" t="s">
        <v>257</v>
      </c>
      <c r="BA5" s="323" t="s">
        <v>258</v>
      </c>
      <c r="BB5" s="323" t="s">
        <v>256</v>
      </c>
      <c r="BC5" s="323" t="s">
        <v>261</v>
      </c>
      <c r="BD5" s="340" t="s">
        <v>266</v>
      </c>
      <c r="BE5" s="340"/>
      <c r="BF5" s="324" t="s">
        <v>252</v>
      </c>
    </row>
    <row r="6" spans="1:58" ht="28" customHeight="1" x14ac:dyDescent="0.2">
      <c r="B6" s="199" t="s">
        <v>11</v>
      </c>
      <c r="C6" s="199" t="s">
        <v>16</v>
      </c>
      <c r="D6" s="199" t="s">
        <v>13</v>
      </c>
      <c r="E6" s="197" t="s">
        <v>14</v>
      </c>
      <c r="F6" s="206" t="s">
        <v>242</v>
      </c>
      <c r="G6" s="235" t="s">
        <v>17</v>
      </c>
      <c r="H6" s="325"/>
      <c r="I6" s="327"/>
      <c r="J6" s="326"/>
      <c r="K6" s="327"/>
      <c r="L6" s="327"/>
      <c r="M6" s="328"/>
      <c r="N6" s="308"/>
      <c r="O6" s="309"/>
      <c r="P6" s="310"/>
      <c r="Q6" s="310"/>
      <c r="R6" s="310"/>
      <c r="S6" s="310"/>
      <c r="T6" s="310"/>
      <c r="U6" s="311">
        <f>O6*P6*Q6*R6*S6*T6</f>
        <v>0</v>
      </c>
      <c r="V6" s="341"/>
      <c r="W6" s="341"/>
      <c r="X6" s="312"/>
      <c r="Y6" s="325">
        <v>4339.2666666666664</v>
      </c>
      <c r="Z6" s="327">
        <v>0.89147167724193033</v>
      </c>
      <c r="AA6" s="326">
        <v>0.99914691943127965</v>
      </c>
      <c r="AB6" s="327">
        <v>0.31496925425395211</v>
      </c>
      <c r="AC6" s="327">
        <v>0.84381588675008901</v>
      </c>
      <c r="AD6" s="328">
        <v>15.998010638585932</v>
      </c>
      <c r="AE6" s="315">
        <f t="shared" ref="AE6:AE18" si="0">Y6*Z6*AA6*AB6*AC6*AD6</f>
        <v>16433.689794976755</v>
      </c>
      <c r="AF6" s="351">
        <f>Y6</f>
        <v>4339.2666666666664</v>
      </c>
      <c r="AG6" s="349">
        <f t="shared" ref="AG6:AJ6" si="1">Z6</f>
        <v>0.89147167724193033</v>
      </c>
      <c r="AH6" s="349">
        <f t="shared" si="1"/>
        <v>0.99914691943127965</v>
      </c>
      <c r="AI6" s="349">
        <f t="shared" si="1"/>
        <v>0.31496925425395211</v>
      </c>
      <c r="AJ6" s="349">
        <f t="shared" si="1"/>
        <v>0.84381588675008901</v>
      </c>
      <c r="AK6" s="350">
        <f>AL6/(AF6*AG6*AH6*AI6*AJ6)</f>
        <v>17.944987956300182</v>
      </c>
      <c r="AL6" s="311">
        <f>AE6+AO6/1000000</f>
        <v>18433.689794976755</v>
      </c>
      <c r="AM6" s="341" t="s">
        <v>256</v>
      </c>
      <c r="AN6" s="341">
        <f>AL6-AE6</f>
        <v>2000</v>
      </c>
      <c r="AO6" s="312">
        <v>2000000000</v>
      </c>
      <c r="AP6" s="325"/>
      <c r="AQ6" s="327"/>
      <c r="AR6" s="326"/>
      <c r="AS6" s="327"/>
      <c r="AT6" s="327"/>
      <c r="AU6" s="328"/>
      <c r="AV6" s="318"/>
      <c r="AW6" s="309"/>
      <c r="AX6" s="310"/>
      <c r="AY6" s="310"/>
      <c r="AZ6" s="310"/>
      <c r="BA6" s="310"/>
      <c r="BB6" s="310"/>
      <c r="BC6" s="311">
        <f>AW6*AX6*AY6*AZ6*BA6*BB6</f>
        <v>0</v>
      </c>
      <c r="BD6" s="341"/>
      <c r="BE6" s="341"/>
      <c r="BF6" s="312"/>
    </row>
    <row r="7" spans="1:58" ht="28" customHeight="1" x14ac:dyDescent="0.2">
      <c r="B7" s="200" t="s">
        <v>11</v>
      </c>
      <c r="C7" s="201" t="s">
        <v>18</v>
      </c>
      <c r="D7" s="202" t="s">
        <v>13</v>
      </c>
      <c r="E7" s="198" t="s">
        <v>14</v>
      </c>
      <c r="F7" s="211" t="s">
        <v>245</v>
      </c>
      <c r="G7" s="210" t="s">
        <v>17</v>
      </c>
      <c r="H7" s="242"/>
      <c r="I7" s="243"/>
      <c r="J7" s="243"/>
      <c r="K7" s="243"/>
      <c r="L7" s="243"/>
      <c r="M7" s="243"/>
      <c r="N7" s="244"/>
      <c r="O7" s="250"/>
      <c r="P7" s="251"/>
      <c r="Q7" s="251"/>
      <c r="R7" s="251"/>
      <c r="S7" s="251"/>
      <c r="T7" s="251"/>
      <c r="U7" s="277">
        <f t="shared" ref="U7:U25" si="2">O7*P7*Q7*R7*S7*T7</f>
        <v>0</v>
      </c>
      <c r="V7" s="342"/>
      <c r="W7" s="342"/>
      <c r="X7" s="299"/>
      <c r="Y7" s="325"/>
      <c r="Z7" s="327"/>
      <c r="AA7" s="326"/>
      <c r="AB7" s="327"/>
      <c r="AC7" s="327"/>
      <c r="AD7" s="328"/>
      <c r="AE7" s="315"/>
      <c r="AF7" s="250"/>
      <c r="AG7" s="251"/>
      <c r="AH7" s="251"/>
      <c r="AI7" s="251"/>
      <c r="AJ7" s="251"/>
      <c r="AK7" s="251"/>
      <c r="AL7" s="277">
        <f t="shared" ref="AL7:AL25" si="3">AF7*AG7*AH7*AI7*AJ7*AK7</f>
        <v>0</v>
      </c>
      <c r="AM7" s="342"/>
      <c r="AN7" s="342"/>
      <c r="AO7" s="278"/>
      <c r="AP7" s="325">
        <f>AF6</f>
        <v>4339.2666666666664</v>
      </c>
      <c r="AQ7" s="327">
        <f t="shared" ref="AQ7:AU7" si="4">AG6</f>
        <v>0.89147167724193033</v>
      </c>
      <c r="AR7" s="326">
        <f t="shared" si="4"/>
        <v>0.99914691943127965</v>
      </c>
      <c r="AS7" s="327">
        <f t="shared" si="4"/>
        <v>0.31496925425395211</v>
      </c>
      <c r="AT7" s="327">
        <f t="shared" si="4"/>
        <v>0.84381588675008901</v>
      </c>
      <c r="AU7" s="328">
        <f t="shared" si="4"/>
        <v>17.944987956300182</v>
      </c>
      <c r="AV7" s="286">
        <f>AP7*AQ7*AR7*AS7*AT7*AU7</f>
        <v>18433.689794976755</v>
      </c>
      <c r="AW7" s="353">
        <f>AF6</f>
        <v>4339.2666666666664</v>
      </c>
      <c r="AX7" s="354">
        <f t="shared" ref="AX7:BA7" si="5">AG6</f>
        <v>0.89147167724193033</v>
      </c>
      <c r="AY7" s="354">
        <f t="shared" si="5"/>
        <v>0.99914691943127965</v>
      </c>
      <c r="AZ7" s="354">
        <f t="shared" si="5"/>
        <v>0.31496925425395211</v>
      </c>
      <c r="BA7" s="354">
        <f t="shared" si="5"/>
        <v>0.84381588675008901</v>
      </c>
      <c r="BB7" s="355">
        <f>BC7/(AW7*AX7*AY7*AZ7*BA7)</f>
        <v>20.865453932871553</v>
      </c>
      <c r="BC7" s="277">
        <f>AV7+(BF7/1000000)</f>
        <v>21433.689794976755</v>
      </c>
      <c r="BD7" s="342" t="s">
        <v>256</v>
      </c>
      <c r="BE7" s="342">
        <f>BC7-AV7</f>
        <v>3000</v>
      </c>
      <c r="BF7" s="278">
        <f>'Road to 3k v2'!K8</f>
        <v>3000000000</v>
      </c>
    </row>
    <row r="8" spans="1:58" ht="28" customHeight="1" x14ac:dyDescent="0.2">
      <c r="B8" s="199" t="s">
        <v>19</v>
      </c>
      <c r="C8" s="199" t="s">
        <v>93</v>
      </c>
      <c r="D8" s="199" t="s">
        <v>21</v>
      </c>
      <c r="E8" s="197" t="s">
        <v>22</v>
      </c>
      <c r="F8" s="206" t="s">
        <v>242</v>
      </c>
      <c r="G8" s="235" t="s">
        <v>17</v>
      </c>
      <c r="H8" s="329"/>
      <c r="I8" s="331"/>
      <c r="J8" s="331"/>
      <c r="K8" s="331"/>
      <c r="L8" s="331"/>
      <c r="M8" s="332"/>
      <c r="N8" s="241"/>
      <c r="O8" s="248"/>
      <c r="P8" s="249"/>
      <c r="Q8" s="249"/>
      <c r="R8" s="249"/>
      <c r="S8" s="249"/>
      <c r="T8" s="249"/>
      <c r="U8" s="275">
        <f t="shared" si="2"/>
        <v>0</v>
      </c>
      <c r="V8" s="343"/>
      <c r="W8" s="343"/>
      <c r="X8" s="276"/>
      <c r="Y8" s="329">
        <v>5798.1333333333332</v>
      </c>
      <c r="Z8" s="331">
        <v>0.7592845973416732</v>
      </c>
      <c r="AA8" s="331">
        <v>0.99887183603007423</v>
      </c>
      <c r="AB8" s="331">
        <v>0.60826688093144543</v>
      </c>
      <c r="AC8" s="331">
        <v>0.91426257087669016</v>
      </c>
      <c r="AD8" s="332">
        <v>4.5479334020412878</v>
      </c>
      <c r="AE8" s="315">
        <f t="shared" si="0"/>
        <v>11121.971134691968</v>
      </c>
      <c r="AF8" s="345">
        <f>AL8/(AG8*AH8*AI8*AJ8*AK8)</f>
        <v>9090.5121737381141</v>
      </c>
      <c r="AG8" s="352">
        <f>Z8</f>
        <v>0.7592845973416732</v>
      </c>
      <c r="AH8" s="352">
        <f t="shared" ref="AH8:AJ9" si="6">AA8</f>
        <v>0.99887183603007423</v>
      </c>
      <c r="AI8" s="352">
        <f t="shared" si="6"/>
        <v>0.60826688093144543</v>
      </c>
      <c r="AJ8" s="352">
        <f t="shared" si="6"/>
        <v>0.91426257087669016</v>
      </c>
      <c r="AK8" s="347">
        <f>AD8</f>
        <v>4.5479334020412878</v>
      </c>
      <c r="AL8" s="275">
        <f>AE8+(AO8/1000000)</f>
        <v>17437.407555744594</v>
      </c>
      <c r="AM8" s="343" t="s">
        <v>253</v>
      </c>
      <c r="AN8" s="343">
        <f>AL8-AE8</f>
        <v>6315.4364210526255</v>
      </c>
      <c r="AO8" s="276">
        <f>'Road to 3k v2'!I10</f>
        <v>6315436421.0526247</v>
      </c>
      <c r="AP8" s="329"/>
      <c r="AQ8" s="331"/>
      <c r="AR8" s="331"/>
      <c r="AS8" s="331"/>
      <c r="AT8" s="331"/>
      <c r="AU8" s="332"/>
      <c r="AV8" s="283"/>
      <c r="AW8" s="248"/>
      <c r="AX8" s="249"/>
      <c r="AY8" s="249"/>
      <c r="AZ8" s="249"/>
      <c r="BA8" s="249"/>
      <c r="BB8" s="249"/>
      <c r="BC8" s="275">
        <f t="shared" ref="BC8:BC25" si="7">AW8*AX8*AY8*AZ8*BA8*BB8</f>
        <v>0</v>
      </c>
      <c r="BD8" s="343"/>
      <c r="BE8" s="343"/>
      <c r="BF8" s="276"/>
    </row>
    <row r="9" spans="1:58" ht="28" customHeight="1" x14ac:dyDescent="0.2">
      <c r="B9" s="200" t="s">
        <v>19</v>
      </c>
      <c r="C9" s="203" t="s">
        <v>73</v>
      </c>
      <c r="D9" s="202" t="s">
        <v>13</v>
      </c>
      <c r="E9" s="198" t="s">
        <v>14</v>
      </c>
      <c r="F9" s="207" t="s">
        <v>242</v>
      </c>
      <c r="G9" s="210" t="s">
        <v>17</v>
      </c>
      <c r="H9" s="242"/>
      <c r="I9" s="243"/>
      <c r="J9" s="243"/>
      <c r="K9" s="243"/>
      <c r="L9" s="243"/>
      <c r="M9" s="243"/>
      <c r="N9" s="244"/>
      <c r="O9" s="250"/>
      <c r="P9" s="251"/>
      <c r="Q9" s="251"/>
      <c r="R9" s="251"/>
      <c r="S9" s="251"/>
      <c r="T9" s="251"/>
      <c r="U9" s="277">
        <f t="shared" si="2"/>
        <v>0</v>
      </c>
      <c r="V9" s="342"/>
      <c r="W9" s="342"/>
      <c r="X9" s="278"/>
      <c r="Y9" s="329">
        <v>5798.1333333333332</v>
      </c>
      <c r="Z9" s="331">
        <v>0.7592845973416732</v>
      </c>
      <c r="AA9" s="331">
        <v>0.99887183603007423</v>
      </c>
      <c r="AB9" s="331">
        <v>0.60826688093144543</v>
      </c>
      <c r="AC9" s="331">
        <v>0.91426257087669016</v>
      </c>
      <c r="AD9" s="332">
        <v>4.5479334020412878</v>
      </c>
      <c r="AE9" s="315">
        <f t="shared" si="0"/>
        <v>11121.971134691968</v>
      </c>
      <c r="AF9" s="353">
        <f>Y9</f>
        <v>5798.1333333333332</v>
      </c>
      <c r="AG9" s="354">
        <f t="shared" ref="AG9" si="8">Z9</f>
        <v>0.7592845973416732</v>
      </c>
      <c r="AH9" s="354">
        <f t="shared" si="6"/>
        <v>0.99887183603007423</v>
      </c>
      <c r="AI9" s="354">
        <f t="shared" si="6"/>
        <v>0.60826688093144543</v>
      </c>
      <c r="AJ9" s="354">
        <f t="shared" si="6"/>
        <v>0.91426257087669016</v>
      </c>
      <c r="AK9" s="355">
        <f>AL9/(AF9*AG9*AH9*AI9*AJ9)</f>
        <v>10.435970629602114</v>
      </c>
      <c r="AL9" s="277">
        <f>AE9+(AO9/1000000)</f>
        <v>25521.166174691971</v>
      </c>
      <c r="AM9" s="342" t="s">
        <v>256</v>
      </c>
      <c r="AN9" s="343">
        <f>AL9-AE9</f>
        <v>14399.195040000002</v>
      </c>
      <c r="AO9" s="278">
        <f>'Road to 3k v2'!I11</f>
        <v>14399195040</v>
      </c>
      <c r="AP9" s="242"/>
      <c r="AQ9" s="243"/>
      <c r="AR9" s="243"/>
      <c r="AS9" s="243"/>
      <c r="AT9" s="243"/>
      <c r="AU9" s="243"/>
      <c r="AV9" s="289"/>
      <c r="AW9" s="250"/>
      <c r="AX9" s="251"/>
      <c r="AY9" s="251"/>
      <c r="AZ9" s="251"/>
      <c r="BA9" s="251"/>
      <c r="BB9" s="251"/>
      <c r="BC9" s="277">
        <f t="shared" si="7"/>
        <v>0</v>
      </c>
      <c r="BD9" s="342"/>
      <c r="BE9" s="342"/>
      <c r="BF9" s="278"/>
    </row>
    <row r="10" spans="1:58" ht="45" customHeight="1" x14ac:dyDescent="0.2">
      <c r="B10" s="199" t="s">
        <v>24</v>
      </c>
      <c r="C10" s="199" t="s">
        <v>89</v>
      </c>
      <c r="D10" s="199" t="s">
        <v>21</v>
      </c>
      <c r="E10" s="197" t="s">
        <v>22</v>
      </c>
      <c r="F10" s="208" t="s">
        <v>244</v>
      </c>
      <c r="G10" s="235" t="s">
        <v>17</v>
      </c>
      <c r="H10" s="329">
        <v>8904.9333333333325</v>
      </c>
      <c r="I10" s="330">
        <v>1</v>
      </c>
      <c r="J10" s="330">
        <v>1</v>
      </c>
      <c r="K10" s="331">
        <v>0.16870764608705099</v>
      </c>
      <c r="L10" s="331">
        <v>0.73936406430411228</v>
      </c>
      <c r="M10" s="332">
        <v>13.354991943651729</v>
      </c>
      <c r="N10" s="241">
        <f t="shared" ref="N10" si="9">H10*I10*J10*K10*L10*M10</f>
        <v>14834.311941286904</v>
      </c>
      <c r="O10" s="338">
        <f>U10/(P10*Q10*R10*S10*T10)</f>
        <v>10105.519294930797</v>
      </c>
      <c r="P10" s="339">
        <f>I10</f>
        <v>1</v>
      </c>
      <c r="Q10" s="339">
        <f t="shared" ref="Q10:T10" si="10">J10</f>
        <v>1</v>
      </c>
      <c r="R10" s="339">
        <f t="shared" si="10"/>
        <v>0.16870764608705099</v>
      </c>
      <c r="S10" s="339">
        <f t="shared" si="10"/>
        <v>0.73936406430411228</v>
      </c>
      <c r="T10" s="346">
        <f t="shared" si="10"/>
        <v>13.354991943651729</v>
      </c>
      <c r="U10" s="275">
        <f>N10+(X10/1000000)</f>
        <v>16834.311941286905</v>
      </c>
      <c r="V10" s="343" t="s">
        <v>253</v>
      </c>
      <c r="W10" s="343">
        <f>U10-N10</f>
        <v>2000.0000000000018</v>
      </c>
      <c r="X10" s="276">
        <f>'Road to 3k v2'!I14</f>
        <v>2000000000</v>
      </c>
      <c r="Y10" s="329"/>
      <c r="Z10" s="330"/>
      <c r="AA10" s="330"/>
      <c r="AB10" s="331"/>
      <c r="AC10" s="331"/>
      <c r="AD10" s="332"/>
      <c r="AE10" s="256"/>
      <c r="AF10" s="248"/>
      <c r="AG10" s="249"/>
      <c r="AH10" s="249"/>
      <c r="AI10" s="249"/>
      <c r="AJ10" s="249"/>
      <c r="AK10" s="249"/>
      <c r="AL10" s="275">
        <f t="shared" si="3"/>
        <v>0</v>
      </c>
      <c r="AM10" s="343"/>
      <c r="AN10" s="343"/>
      <c r="AO10" s="276"/>
      <c r="AP10" s="329"/>
      <c r="AQ10" s="330"/>
      <c r="AR10" s="330"/>
      <c r="AS10" s="331"/>
      <c r="AT10" s="331"/>
      <c r="AU10" s="332"/>
      <c r="AV10" s="283"/>
      <c r="AW10" s="248"/>
      <c r="AX10" s="249"/>
      <c r="AY10" s="249"/>
      <c r="AZ10" s="249"/>
      <c r="BA10" s="249"/>
      <c r="BB10" s="249"/>
      <c r="BC10" s="275">
        <f t="shared" si="7"/>
        <v>0</v>
      </c>
      <c r="BD10" s="343"/>
      <c r="BE10" s="343"/>
      <c r="BF10" s="276"/>
    </row>
    <row r="11" spans="1:58" ht="28" customHeight="1" x14ac:dyDescent="0.2">
      <c r="B11" s="200" t="s">
        <v>24</v>
      </c>
      <c r="C11" s="201" t="s">
        <v>94</v>
      </c>
      <c r="D11" s="202" t="s">
        <v>13</v>
      </c>
      <c r="E11" s="198" t="s">
        <v>14</v>
      </c>
      <c r="F11" s="207" t="s">
        <v>246</v>
      </c>
      <c r="G11" s="210" t="s">
        <v>17</v>
      </c>
      <c r="H11" s="242"/>
      <c r="I11" s="243"/>
      <c r="J11" s="243"/>
      <c r="K11" s="243"/>
      <c r="L11" s="243"/>
      <c r="M11" s="243"/>
      <c r="N11" s="244"/>
      <c r="O11" s="250"/>
      <c r="P11" s="251"/>
      <c r="Q11" s="251"/>
      <c r="R11" s="251"/>
      <c r="S11" s="251"/>
      <c r="T11" s="251"/>
      <c r="U11" s="277">
        <f t="shared" si="2"/>
        <v>0</v>
      </c>
      <c r="V11" s="342"/>
      <c r="W11" s="342"/>
      <c r="X11" s="278"/>
      <c r="Y11" s="329">
        <v>8904.9333333333325</v>
      </c>
      <c r="Z11" s="330">
        <v>1</v>
      </c>
      <c r="AA11" s="330">
        <v>1</v>
      </c>
      <c r="AB11" s="331">
        <v>0.16870764608705099</v>
      </c>
      <c r="AC11" s="331">
        <v>0.73936406430411228</v>
      </c>
      <c r="AD11" s="332">
        <v>13.354991943651729</v>
      </c>
      <c r="AE11" s="315">
        <f t="shared" si="0"/>
        <v>14834.311941286904</v>
      </c>
      <c r="AF11" s="353">
        <f>Y11</f>
        <v>8904.9333333333325</v>
      </c>
      <c r="AG11" s="354">
        <f t="shared" ref="AG11:AJ11" si="11">Z11</f>
        <v>1</v>
      </c>
      <c r="AH11" s="354">
        <f t="shared" si="11"/>
        <v>1</v>
      </c>
      <c r="AI11" s="354">
        <f t="shared" si="11"/>
        <v>0.16870764608705099</v>
      </c>
      <c r="AJ11" s="354">
        <f t="shared" si="11"/>
        <v>0.73936406430411228</v>
      </c>
      <c r="AK11" s="355">
        <f>AL11/(AF11*AG11*AH11*AI11*AJ11)</f>
        <v>16.055823366742292</v>
      </c>
      <c r="AL11" s="277">
        <f>AE11+(AO11/1000000)</f>
        <v>17834.311941286905</v>
      </c>
      <c r="AM11" s="342" t="s">
        <v>256</v>
      </c>
      <c r="AN11" s="342">
        <f>AL11-AE11</f>
        <v>3000.0000000000018</v>
      </c>
      <c r="AO11" s="278">
        <v>3000000000</v>
      </c>
      <c r="AP11" s="329">
        <f>AF11</f>
        <v>8904.9333333333325</v>
      </c>
      <c r="AQ11" s="330">
        <f t="shared" ref="AQ11:AU11" si="12">AG11</f>
        <v>1</v>
      </c>
      <c r="AR11" s="330">
        <f t="shared" si="12"/>
        <v>1</v>
      </c>
      <c r="AS11" s="331">
        <f t="shared" si="12"/>
        <v>0.16870764608705099</v>
      </c>
      <c r="AT11" s="331">
        <f t="shared" si="12"/>
        <v>0.73936406430411228</v>
      </c>
      <c r="AU11" s="332">
        <f t="shared" si="12"/>
        <v>16.055823366742292</v>
      </c>
      <c r="AV11" s="286">
        <f>AP11*AQ11*AR11*AS11*AT11*AU11</f>
        <v>17834.311941286905</v>
      </c>
      <c r="AW11" s="353">
        <f>AP11</f>
        <v>8904.9333333333325</v>
      </c>
      <c r="AX11" s="356">
        <f t="shared" ref="AX11:BA11" si="13">AQ11</f>
        <v>1</v>
      </c>
      <c r="AY11" s="356">
        <f t="shared" si="13"/>
        <v>1</v>
      </c>
      <c r="AZ11" s="356">
        <f t="shared" si="13"/>
        <v>0.16870764608705099</v>
      </c>
      <c r="BA11" s="356">
        <f t="shared" si="13"/>
        <v>0.73936406430411228</v>
      </c>
      <c r="BB11" s="355">
        <f>BC11/(AW11*AX11*AY11*AZ11*BA11)</f>
        <v>18.756654789832851</v>
      </c>
      <c r="BC11" s="277">
        <f>AV11+(BF11/1000000)</f>
        <v>20834.311941286905</v>
      </c>
      <c r="BD11" s="342" t="s">
        <v>256</v>
      </c>
      <c r="BE11" s="342">
        <f>BC11-AV11</f>
        <v>3000</v>
      </c>
      <c r="BF11" s="278">
        <f>'Road to 3k v2'!K14</f>
        <v>3000000000</v>
      </c>
    </row>
    <row r="12" spans="1:58" ht="33" customHeight="1" x14ac:dyDescent="0.2">
      <c r="B12" s="199" t="s">
        <v>28</v>
      </c>
      <c r="C12" s="199" t="s">
        <v>29</v>
      </c>
      <c r="D12" s="199" t="s">
        <v>21</v>
      </c>
      <c r="E12" s="197" t="s">
        <v>22</v>
      </c>
      <c r="F12" s="206" t="s">
        <v>242</v>
      </c>
      <c r="G12" s="235" t="s">
        <v>17</v>
      </c>
      <c r="H12" s="329"/>
      <c r="I12" s="330"/>
      <c r="J12" s="330"/>
      <c r="K12" s="331"/>
      <c r="L12" s="331"/>
      <c r="M12" s="332"/>
      <c r="N12" s="241"/>
      <c r="O12" s="248"/>
      <c r="P12" s="249"/>
      <c r="Q12" s="249"/>
      <c r="R12" s="249"/>
      <c r="S12" s="249"/>
      <c r="T12" s="249"/>
      <c r="U12" s="275">
        <f t="shared" si="2"/>
        <v>0</v>
      </c>
      <c r="V12" s="343"/>
      <c r="W12" s="343"/>
      <c r="X12" s="300"/>
      <c r="Y12" s="329"/>
      <c r="Z12" s="330"/>
      <c r="AA12" s="330"/>
      <c r="AB12" s="331"/>
      <c r="AC12" s="331"/>
      <c r="AD12" s="332"/>
      <c r="AE12" s="315"/>
      <c r="AF12" s="248"/>
      <c r="AG12" s="249"/>
      <c r="AH12" s="249"/>
      <c r="AI12" s="249"/>
      <c r="AJ12" s="249"/>
      <c r="AK12" s="249"/>
      <c r="AL12" s="275">
        <f t="shared" si="3"/>
        <v>0</v>
      </c>
      <c r="AM12" s="343"/>
      <c r="AN12" s="343"/>
      <c r="AO12" s="276"/>
      <c r="AP12" s="329"/>
      <c r="AQ12" s="330"/>
      <c r="AR12" s="330"/>
      <c r="AS12" s="331"/>
      <c r="AT12" s="331"/>
      <c r="AU12" s="332"/>
      <c r="AV12" s="292"/>
      <c r="AW12" s="248"/>
      <c r="AX12" s="249"/>
      <c r="AY12" s="249"/>
      <c r="AZ12" s="249"/>
      <c r="BA12" s="249"/>
      <c r="BB12" s="249"/>
      <c r="BC12" s="275">
        <f t="shared" si="7"/>
        <v>0</v>
      </c>
      <c r="BD12" s="343"/>
      <c r="BE12" s="343"/>
      <c r="BF12" s="276"/>
    </row>
    <row r="13" spans="1:58" ht="28" customHeight="1" x14ac:dyDescent="0.2">
      <c r="B13" s="200" t="s">
        <v>28</v>
      </c>
      <c r="C13" s="201" t="s">
        <v>92</v>
      </c>
      <c r="D13" s="202" t="s">
        <v>13</v>
      </c>
      <c r="E13" s="198" t="s">
        <v>14</v>
      </c>
      <c r="F13" s="207" t="s">
        <v>242</v>
      </c>
      <c r="G13" s="210" t="s">
        <v>17</v>
      </c>
      <c r="H13" s="242"/>
      <c r="I13" s="243"/>
      <c r="J13" s="243"/>
      <c r="K13" s="243"/>
      <c r="L13" s="243"/>
      <c r="M13" s="243"/>
      <c r="N13" s="244"/>
      <c r="O13" s="250"/>
      <c r="P13" s="251"/>
      <c r="Q13" s="251"/>
      <c r="R13" s="251"/>
      <c r="S13" s="251"/>
      <c r="T13" s="251"/>
      <c r="U13" s="277">
        <f t="shared" si="2"/>
        <v>0</v>
      </c>
      <c r="V13" s="342"/>
      <c r="W13" s="342"/>
      <c r="X13" s="301"/>
      <c r="Y13" s="329">
        <v>8682.2333333333336</v>
      </c>
      <c r="Z13" s="330">
        <v>1</v>
      </c>
      <c r="AA13" s="330">
        <v>1</v>
      </c>
      <c r="AB13" s="331">
        <v>0.50165248603072854</v>
      </c>
      <c r="AC13" s="331">
        <v>0.93189670361659915</v>
      </c>
      <c r="AD13" s="332">
        <v>3.5065523268878054</v>
      </c>
      <c r="AE13" s="315">
        <f t="shared" si="0"/>
        <v>14232.543559010903</v>
      </c>
      <c r="AF13" s="353">
        <f>Y13</f>
        <v>8682.2333333333336</v>
      </c>
      <c r="AG13" s="356">
        <f t="shared" ref="AG13:AK18" si="14">Z13</f>
        <v>1</v>
      </c>
      <c r="AH13" s="356">
        <f t="shared" si="14"/>
        <v>1</v>
      </c>
      <c r="AI13" s="356">
        <f t="shared" si="14"/>
        <v>0.50165248603072854</v>
      </c>
      <c r="AJ13" s="356">
        <f t="shared" si="14"/>
        <v>0.93189670361659915</v>
      </c>
      <c r="AK13" s="355">
        <f>AL13/(AF13*AG13*AH13*AI13*AJ13)</f>
        <v>3.5065523268878054</v>
      </c>
      <c r="AL13" s="277">
        <f t="shared" ref="AL13:AL18" si="15">AE13+(AO13/1000000)</f>
        <v>14232.543559010903</v>
      </c>
      <c r="AM13" s="342" t="s">
        <v>256</v>
      </c>
      <c r="AN13" s="342">
        <f t="shared" ref="AN13:AN18" si="16">AL13-AE13</f>
        <v>0</v>
      </c>
      <c r="AO13" s="278">
        <f>'Road to 3k v2'!I17</f>
        <v>0</v>
      </c>
      <c r="AP13" s="242"/>
      <c r="AQ13" s="243"/>
      <c r="AR13" s="243"/>
      <c r="AS13" s="243"/>
      <c r="AT13" s="243"/>
      <c r="AU13" s="243"/>
      <c r="AV13" s="286"/>
      <c r="AW13" s="250"/>
      <c r="AX13" s="251"/>
      <c r="AY13" s="251"/>
      <c r="AZ13" s="251"/>
      <c r="BA13" s="251"/>
      <c r="BB13" s="251"/>
      <c r="BC13" s="277">
        <f t="shared" si="7"/>
        <v>0</v>
      </c>
      <c r="BD13" s="342"/>
      <c r="BE13" s="342"/>
      <c r="BF13" s="278"/>
    </row>
    <row r="14" spans="1:58" ht="28" customHeight="1" x14ac:dyDescent="0.2">
      <c r="B14" s="200" t="s">
        <v>28</v>
      </c>
      <c r="C14" s="467" t="s">
        <v>297</v>
      </c>
      <c r="D14" s="202" t="s">
        <v>13</v>
      </c>
      <c r="E14" s="198" t="s">
        <v>14</v>
      </c>
      <c r="F14" s="207" t="s">
        <v>242</v>
      </c>
      <c r="G14" s="210" t="s">
        <v>17</v>
      </c>
      <c r="H14" s="242"/>
      <c r="I14" s="243"/>
      <c r="J14" s="243"/>
      <c r="K14" s="243"/>
      <c r="L14" s="243"/>
      <c r="M14" s="243"/>
      <c r="N14" s="244"/>
      <c r="O14" s="250"/>
      <c r="P14" s="251"/>
      <c r="Q14" s="251"/>
      <c r="R14" s="251"/>
      <c r="S14" s="251"/>
      <c r="T14" s="251"/>
      <c r="U14" s="277"/>
      <c r="V14" s="342"/>
      <c r="W14" s="342"/>
      <c r="X14" s="301"/>
      <c r="Y14" s="329">
        <v>8682.2333333333336</v>
      </c>
      <c r="Z14" s="330">
        <v>1</v>
      </c>
      <c r="AA14" s="330">
        <v>1</v>
      </c>
      <c r="AB14" s="331">
        <v>0.50165248603072854</v>
      </c>
      <c r="AC14" s="331">
        <v>0.93189670361659915</v>
      </c>
      <c r="AD14" s="332">
        <v>3.5065523268878054</v>
      </c>
      <c r="AE14" s="315">
        <f t="shared" si="0"/>
        <v>14232.543559010903</v>
      </c>
      <c r="AF14" s="353">
        <f>Y14</f>
        <v>8682.2333333333336</v>
      </c>
      <c r="AG14" s="356">
        <f t="shared" si="14"/>
        <v>1</v>
      </c>
      <c r="AH14" s="356">
        <f t="shared" si="14"/>
        <v>1</v>
      </c>
      <c r="AI14" s="356">
        <f t="shared" si="14"/>
        <v>0.50165248603072854</v>
      </c>
      <c r="AJ14" s="356">
        <f t="shared" si="14"/>
        <v>0.93189670361659915</v>
      </c>
      <c r="AK14" s="355">
        <f>AL14/(AJ14*AI14*AF14)</f>
        <v>3.9993036488632421</v>
      </c>
      <c r="AL14" s="277">
        <f t="shared" si="15"/>
        <v>16232.543559010903</v>
      </c>
      <c r="AM14" s="342" t="s">
        <v>256</v>
      </c>
      <c r="AN14" s="342">
        <f t="shared" si="16"/>
        <v>2000</v>
      </c>
      <c r="AO14" s="278">
        <v>2000000000</v>
      </c>
      <c r="AP14" s="242"/>
      <c r="AQ14" s="243"/>
      <c r="AR14" s="243"/>
      <c r="AS14" s="243"/>
      <c r="AT14" s="243"/>
      <c r="AU14" s="243"/>
      <c r="AV14" s="286"/>
      <c r="AW14" s="250"/>
      <c r="AX14" s="251"/>
      <c r="AY14" s="251"/>
      <c r="AZ14" s="251"/>
      <c r="BA14" s="251"/>
      <c r="BB14" s="251"/>
      <c r="BC14" s="277"/>
      <c r="BD14" s="342"/>
      <c r="BE14" s="342"/>
      <c r="BF14" s="278"/>
    </row>
    <row r="15" spans="1:58" ht="28" customHeight="1" x14ac:dyDescent="0.2">
      <c r="B15" s="199" t="s">
        <v>31</v>
      </c>
      <c r="C15" s="199" t="s">
        <v>136</v>
      </c>
      <c r="D15" s="199" t="s">
        <v>21</v>
      </c>
      <c r="E15" s="197" t="s">
        <v>14</v>
      </c>
      <c r="F15" s="206" t="s">
        <v>242</v>
      </c>
      <c r="G15" s="235" t="s">
        <v>17</v>
      </c>
      <c r="H15" s="329"/>
      <c r="I15" s="330"/>
      <c r="J15" s="330"/>
      <c r="K15" s="331"/>
      <c r="L15" s="331"/>
      <c r="M15" s="332"/>
      <c r="N15" s="241"/>
      <c r="O15" s="248"/>
      <c r="P15" s="249"/>
      <c r="Q15" s="249"/>
      <c r="R15" s="249"/>
      <c r="S15" s="249"/>
      <c r="T15" s="249"/>
      <c r="U15" s="275">
        <f t="shared" si="2"/>
        <v>0</v>
      </c>
      <c r="V15" s="343"/>
      <c r="W15" s="343"/>
      <c r="X15" s="300"/>
      <c r="Y15" s="329">
        <v>1233.1333333333334</v>
      </c>
      <c r="Z15" s="330">
        <v>0.80215710655782013</v>
      </c>
      <c r="AA15" s="330">
        <v>0.99841617523167647</v>
      </c>
      <c r="AB15" s="331">
        <v>0.44147428108545972</v>
      </c>
      <c r="AC15" s="331">
        <v>0.95214067278287462</v>
      </c>
      <c r="AD15" s="332">
        <v>14.159005551532708</v>
      </c>
      <c r="AE15" s="315">
        <f t="shared" si="0"/>
        <v>5877.8751712929452</v>
      </c>
      <c r="AF15" s="338">
        <f>Y15</f>
        <v>1233.1333333333334</v>
      </c>
      <c r="AG15" s="339">
        <f t="shared" si="14"/>
        <v>0.80215710655782013</v>
      </c>
      <c r="AH15" s="339">
        <f t="shared" si="14"/>
        <v>0.99841617523167647</v>
      </c>
      <c r="AI15" s="339">
        <f t="shared" si="14"/>
        <v>0.44147428108545972</v>
      </c>
      <c r="AJ15" s="339">
        <f t="shared" si="14"/>
        <v>0.95214067278287462</v>
      </c>
      <c r="AK15" s="347">
        <f>AL15/(AF15*AG15*AH15*AI15*AJ15)</f>
        <v>34.899495124590125</v>
      </c>
      <c r="AL15" s="275">
        <f t="shared" si="15"/>
        <v>14487.943742721513</v>
      </c>
      <c r="AM15" s="342" t="s">
        <v>256</v>
      </c>
      <c r="AN15" s="357">
        <f t="shared" si="16"/>
        <v>8610.0685714285682</v>
      </c>
      <c r="AO15" s="276">
        <f>'Road to 3k v2'!I20</f>
        <v>8610068571.4285679</v>
      </c>
      <c r="AP15" s="329"/>
      <c r="AQ15" s="330"/>
      <c r="AR15" s="330"/>
      <c r="AS15" s="331"/>
      <c r="AT15" s="331"/>
      <c r="AU15" s="332"/>
      <c r="AV15" s="292"/>
      <c r="AW15" s="248"/>
      <c r="AX15" s="249"/>
      <c r="AY15" s="249"/>
      <c r="AZ15" s="249"/>
      <c r="BA15" s="249"/>
      <c r="BB15" s="249"/>
      <c r="BC15" s="275">
        <f t="shared" si="7"/>
        <v>0</v>
      </c>
      <c r="BD15" s="343"/>
      <c r="BE15" s="343"/>
      <c r="BF15" s="276"/>
    </row>
    <row r="16" spans="1:58" ht="28" customHeight="1" x14ac:dyDescent="0.2">
      <c r="B16" s="200" t="s">
        <v>31</v>
      </c>
      <c r="C16" s="201" t="s">
        <v>34</v>
      </c>
      <c r="D16" s="202" t="s">
        <v>21</v>
      </c>
      <c r="E16" s="198" t="s">
        <v>35</v>
      </c>
      <c r="F16" s="207" t="s">
        <v>246</v>
      </c>
      <c r="G16" s="210" t="s">
        <v>17</v>
      </c>
      <c r="H16" s="242"/>
      <c r="I16" s="243"/>
      <c r="J16" s="243"/>
      <c r="K16" s="243"/>
      <c r="L16" s="243"/>
      <c r="M16" s="243"/>
      <c r="N16" s="244"/>
      <c r="O16" s="250"/>
      <c r="P16" s="251"/>
      <c r="Q16" s="251"/>
      <c r="R16" s="251"/>
      <c r="S16" s="251"/>
      <c r="T16" s="251"/>
      <c r="U16" s="277">
        <f t="shared" si="2"/>
        <v>0</v>
      </c>
      <c r="V16" s="342"/>
      <c r="W16" s="342"/>
      <c r="X16" s="301"/>
      <c r="Y16" s="329">
        <v>1233.1333333333334</v>
      </c>
      <c r="Z16" s="330">
        <v>0.80215710655782013</v>
      </c>
      <c r="AA16" s="330">
        <v>0.99841617523167647</v>
      </c>
      <c r="AB16" s="331">
        <v>0.44147428108545972</v>
      </c>
      <c r="AC16" s="331">
        <v>0.95214067278287462</v>
      </c>
      <c r="AD16" s="332">
        <v>14.159005551532708</v>
      </c>
      <c r="AE16" s="315">
        <f t="shared" si="0"/>
        <v>5877.8751712929452</v>
      </c>
      <c r="AF16" s="353">
        <f>AL16/(AG16*AH16*AI16*AJ16*AK16)</f>
        <v>1442.9256983287412</v>
      </c>
      <c r="AG16" s="354">
        <f t="shared" si="14"/>
        <v>0.80215710655782013</v>
      </c>
      <c r="AH16" s="354">
        <f t="shared" si="14"/>
        <v>0.99841617523167647</v>
      </c>
      <c r="AI16" s="354">
        <f t="shared" si="14"/>
        <v>0.44147428108545972</v>
      </c>
      <c r="AJ16" s="354">
        <f t="shared" si="14"/>
        <v>0.95214067278287462</v>
      </c>
      <c r="AK16" s="355">
        <f t="shared" si="14"/>
        <v>14.159005551532708</v>
      </c>
      <c r="AL16" s="277">
        <f t="shared" si="15"/>
        <v>6877.8751712929452</v>
      </c>
      <c r="AM16" s="342" t="s">
        <v>253</v>
      </c>
      <c r="AN16" s="342">
        <f t="shared" si="16"/>
        <v>1000</v>
      </c>
      <c r="AO16" s="278">
        <f>'Road to 3k v2'!I21</f>
        <v>1000000000</v>
      </c>
      <c r="AP16" s="329">
        <f>AF16</f>
        <v>1442.9256983287412</v>
      </c>
      <c r="AQ16" s="330">
        <f t="shared" ref="AQ16:AU16" si="17">AG16</f>
        <v>0.80215710655782013</v>
      </c>
      <c r="AR16" s="330">
        <f t="shared" si="17"/>
        <v>0.99841617523167647</v>
      </c>
      <c r="AS16" s="331">
        <f t="shared" si="17"/>
        <v>0.44147428108545972</v>
      </c>
      <c r="AT16" s="331">
        <f t="shared" si="17"/>
        <v>0.95214067278287462</v>
      </c>
      <c r="AU16" s="332">
        <f t="shared" si="17"/>
        <v>14.159005551532708</v>
      </c>
      <c r="AV16" s="286">
        <f>AP16*AQ16*AR16*AS16*AT16*AU16</f>
        <v>6877.8751712929461</v>
      </c>
      <c r="AW16" s="353">
        <f>BC16/(AX16*AY16*AZ16*BA16*BB16)</f>
        <v>1652.7180633241489</v>
      </c>
      <c r="AX16" s="354">
        <f t="shared" ref="AX16:BB16" si="18">AQ16</f>
        <v>0.80215710655782013</v>
      </c>
      <c r="AY16" s="354">
        <f t="shared" si="18"/>
        <v>0.99841617523167647</v>
      </c>
      <c r="AZ16" s="356">
        <f t="shared" si="18"/>
        <v>0.44147428108545972</v>
      </c>
      <c r="BA16" s="356">
        <f t="shared" si="18"/>
        <v>0.95214067278287462</v>
      </c>
      <c r="BB16" s="355">
        <f t="shared" si="18"/>
        <v>14.159005551532708</v>
      </c>
      <c r="BC16" s="277">
        <f>AV16+(BF16/1000000)</f>
        <v>7877.8751712929461</v>
      </c>
      <c r="BD16" s="342" t="s">
        <v>256</v>
      </c>
      <c r="BE16" s="342">
        <f>BC16-AV16</f>
        <v>1000</v>
      </c>
      <c r="BF16" s="278">
        <f>'Road to 3k v2'!K21</f>
        <v>1000000000</v>
      </c>
    </row>
    <row r="17" spans="2:58" ht="28" customHeight="1" x14ac:dyDescent="0.2">
      <c r="B17" s="199" t="s">
        <v>36</v>
      </c>
      <c r="C17" s="199" t="s">
        <v>38</v>
      </c>
      <c r="D17" s="199" t="s">
        <v>21</v>
      </c>
      <c r="E17" s="197" t="s">
        <v>33</v>
      </c>
      <c r="F17" s="206" t="s">
        <v>242</v>
      </c>
      <c r="G17" s="235" t="s">
        <v>17</v>
      </c>
      <c r="H17" s="329"/>
      <c r="I17" s="330"/>
      <c r="J17" s="330"/>
      <c r="K17" s="331"/>
      <c r="L17" s="331"/>
      <c r="M17" s="332"/>
      <c r="N17" s="241"/>
      <c r="O17" s="248"/>
      <c r="P17" s="249"/>
      <c r="Q17" s="249"/>
      <c r="R17" s="249"/>
      <c r="S17" s="249"/>
      <c r="T17" s="249"/>
      <c r="U17" s="275">
        <f t="shared" si="2"/>
        <v>0</v>
      </c>
      <c r="V17" s="343"/>
      <c r="W17" s="343"/>
      <c r="X17" s="300"/>
      <c r="Y17" s="329">
        <v>387.66666666666669</v>
      </c>
      <c r="Z17" s="330">
        <v>1</v>
      </c>
      <c r="AA17" s="330">
        <v>1</v>
      </c>
      <c r="AB17" s="331">
        <v>0.44149956408020924</v>
      </c>
      <c r="AC17" s="331">
        <v>0.9091627172195893</v>
      </c>
      <c r="AD17" s="332">
        <v>22.650284146259352</v>
      </c>
      <c r="AE17" s="315">
        <f t="shared" si="0"/>
        <v>3524.5527244262335</v>
      </c>
      <c r="AF17" s="338">
        <f>AL17/(AG17*AH17*AI17*AJ17*AK17)</f>
        <v>442.66182448910712</v>
      </c>
      <c r="AG17" s="339">
        <f t="shared" si="14"/>
        <v>1</v>
      </c>
      <c r="AH17" s="339">
        <f t="shared" si="14"/>
        <v>1</v>
      </c>
      <c r="AI17" s="339">
        <f t="shared" si="14"/>
        <v>0.44149956408020924</v>
      </c>
      <c r="AJ17" s="339">
        <f t="shared" si="14"/>
        <v>0.9091627172195893</v>
      </c>
      <c r="AK17" s="347">
        <f t="shared" si="14"/>
        <v>22.650284146259352</v>
      </c>
      <c r="AL17" s="275">
        <f t="shared" si="15"/>
        <v>4024.5527244262335</v>
      </c>
      <c r="AM17" s="343" t="s">
        <v>253</v>
      </c>
      <c r="AN17" s="342">
        <f t="shared" si="16"/>
        <v>500</v>
      </c>
      <c r="AO17" s="276">
        <f>'Road to 3k v2'!I23</f>
        <v>500000000</v>
      </c>
      <c r="AP17" s="329"/>
      <c r="AQ17" s="330"/>
      <c r="AR17" s="330"/>
      <c r="AS17" s="331"/>
      <c r="AT17" s="331"/>
      <c r="AU17" s="332"/>
      <c r="AV17" s="292"/>
      <c r="AW17" s="248"/>
      <c r="AX17" s="249"/>
      <c r="AY17" s="249"/>
      <c r="AZ17" s="249"/>
      <c r="BA17" s="249"/>
      <c r="BB17" s="249"/>
      <c r="BC17" s="275">
        <f t="shared" si="7"/>
        <v>0</v>
      </c>
      <c r="BD17" s="343"/>
      <c r="BE17" s="343"/>
      <c r="BF17" s="276"/>
    </row>
    <row r="18" spans="2:58" ht="28" customHeight="1" x14ac:dyDescent="0.2">
      <c r="B18" s="200" t="s">
        <v>36</v>
      </c>
      <c r="C18" s="203" t="s">
        <v>137</v>
      </c>
      <c r="D18" s="202" t="s">
        <v>13</v>
      </c>
      <c r="E18" s="198" t="s">
        <v>33</v>
      </c>
      <c r="F18" s="207" t="s">
        <v>242</v>
      </c>
      <c r="G18" s="210" t="s">
        <v>17</v>
      </c>
      <c r="H18" s="242"/>
      <c r="I18" s="243"/>
      <c r="J18" s="243"/>
      <c r="K18" s="243"/>
      <c r="L18" s="243"/>
      <c r="M18" s="243"/>
      <c r="N18" s="244"/>
      <c r="O18" s="250"/>
      <c r="P18" s="251"/>
      <c r="Q18" s="251"/>
      <c r="R18" s="251"/>
      <c r="S18" s="251"/>
      <c r="T18" s="251"/>
      <c r="U18" s="277">
        <f t="shared" si="2"/>
        <v>0</v>
      </c>
      <c r="V18" s="342"/>
      <c r="W18" s="342"/>
      <c r="X18" s="301"/>
      <c r="Y18" s="329">
        <v>387.66666666666669</v>
      </c>
      <c r="Z18" s="330">
        <v>1</v>
      </c>
      <c r="AA18" s="330">
        <v>1</v>
      </c>
      <c r="AB18" s="331">
        <v>0.44149956408020924</v>
      </c>
      <c r="AC18" s="331">
        <v>0.9091627172195893</v>
      </c>
      <c r="AD18" s="332">
        <v>22.650284146259352</v>
      </c>
      <c r="AE18" s="315">
        <f t="shared" si="0"/>
        <v>3524.5527244262335</v>
      </c>
      <c r="AF18" s="353">
        <f>Y18</f>
        <v>387.66666666666669</v>
      </c>
      <c r="AG18" s="354">
        <f t="shared" si="14"/>
        <v>1</v>
      </c>
      <c r="AH18" s="354">
        <f t="shared" si="14"/>
        <v>1</v>
      </c>
      <c r="AI18" s="354">
        <f>AL18/(AF18*AG18*AH18*AK18*AJ18)</f>
        <v>0.91672686983077178</v>
      </c>
      <c r="AJ18" s="354">
        <f t="shared" si="14"/>
        <v>0.9091627172195893</v>
      </c>
      <c r="AK18" s="355">
        <f t="shared" si="14"/>
        <v>22.650284146259352</v>
      </c>
      <c r="AL18" s="275">
        <f t="shared" si="15"/>
        <v>7318.3587244262362</v>
      </c>
      <c r="AM18" s="342" t="s">
        <v>255</v>
      </c>
      <c r="AN18" s="357">
        <f t="shared" si="16"/>
        <v>3793.8060000000028</v>
      </c>
      <c r="AO18" s="278">
        <f>'Road to 3k v2'!I24</f>
        <v>3793806000.0000033</v>
      </c>
      <c r="AP18" s="242"/>
      <c r="AQ18" s="243"/>
      <c r="AR18" s="243"/>
      <c r="AS18" s="243"/>
      <c r="AT18" s="243"/>
      <c r="AU18" s="243"/>
      <c r="AV18" s="286"/>
      <c r="AW18" s="250"/>
      <c r="AX18" s="251"/>
      <c r="AY18" s="251"/>
      <c r="AZ18" s="251"/>
      <c r="BA18" s="251"/>
      <c r="BB18" s="251"/>
      <c r="BC18" s="277">
        <f t="shared" si="7"/>
        <v>0</v>
      </c>
      <c r="BD18" s="342"/>
      <c r="BE18" s="342"/>
      <c r="BF18" s="278"/>
    </row>
    <row r="19" spans="2:58" ht="28" customHeight="1" x14ac:dyDescent="0.2">
      <c r="B19" s="199" t="s">
        <v>39</v>
      </c>
      <c r="C19" s="199" t="s">
        <v>40</v>
      </c>
      <c r="D19" s="199" t="s">
        <v>21</v>
      </c>
      <c r="E19" s="197" t="s">
        <v>33</v>
      </c>
      <c r="F19" s="208" t="s">
        <v>244</v>
      </c>
      <c r="G19" s="235" t="s">
        <v>17</v>
      </c>
      <c r="H19" s="364">
        <v>285.52380952380952</v>
      </c>
      <c r="I19" s="365">
        <v>1</v>
      </c>
      <c r="J19" s="365">
        <v>1</v>
      </c>
      <c r="K19" s="366">
        <v>0.60440660991487227</v>
      </c>
      <c r="L19" s="366">
        <v>0.81248273957470307</v>
      </c>
      <c r="M19" s="367">
        <v>4.2</v>
      </c>
      <c r="N19" s="396">
        <v>1208.7673317142855</v>
      </c>
      <c r="O19" s="364">
        <f>11920/30</f>
        <v>397.33333333333331</v>
      </c>
      <c r="P19" s="365">
        <f>I19</f>
        <v>1</v>
      </c>
      <c r="Q19" s="365">
        <f t="shared" ref="Q19:T19" si="19">J19</f>
        <v>1</v>
      </c>
      <c r="R19" s="365">
        <f t="shared" si="19"/>
        <v>0.60440660991487227</v>
      </c>
      <c r="S19" s="365">
        <f t="shared" si="19"/>
        <v>0.81248273957470307</v>
      </c>
      <c r="T19" s="369">
        <f t="shared" si="19"/>
        <v>4.2</v>
      </c>
      <c r="U19" s="397">
        <f>N19+X19/1000000</f>
        <v>1508.7673317142855</v>
      </c>
      <c r="V19" s="398" t="s">
        <v>253</v>
      </c>
      <c r="W19" s="398">
        <f>U19-N19</f>
        <v>300</v>
      </c>
      <c r="X19" s="302">
        <f>'Road to 3k v2'!G26</f>
        <v>300000000</v>
      </c>
      <c r="Y19" s="329"/>
      <c r="Z19" s="330"/>
      <c r="AA19" s="330"/>
      <c r="AB19" s="331"/>
      <c r="AC19" s="331"/>
      <c r="AD19" s="240"/>
      <c r="AE19" s="271"/>
      <c r="AF19" s="248"/>
      <c r="AG19" s="249"/>
      <c r="AH19" s="249"/>
      <c r="AI19" s="249"/>
      <c r="AJ19" s="249"/>
      <c r="AK19" s="249"/>
      <c r="AL19" s="275">
        <f t="shared" si="3"/>
        <v>0</v>
      </c>
      <c r="AM19" s="343"/>
      <c r="AN19" s="343"/>
      <c r="AO19" s="276"/>
      <c r="AP19" s="329"/>
      <c r="AQ19" s="330"/>
      <c r="AR19" s="330"/>
      <c r="AS19" s="331"/>
      <c r="AT19" s="331"/>
      <c r="AU19" s="240"/>
      <c r="AV19" s="295"/>
      <c r="AW19" s="248"/>
      <c r="AX19" s="249"/>
      <c r="AY19" s="249"/>
      <c r="AZ19" s="249"/>
      <c r="BA19" s="249"/>
      <c r="BB19" s="249"/>
      <c r="BC19" s="275">
        <f t="shared" si="7"/>
        <v>0</v>
      </c>
      <c r="BD19" s="343"/>
      <c r="BE19" s="343"/>
      <c r="BF19" s="276"/>
    </row>
    <row r="20" spans="2:58" ht="28" customHeight="1" x14ac:dyDescent="0.2">
      <c r="B20" s="200" t="s">
        <v>39</v>
      </c>
      <c r="C20" s="201" t="s">
        <v>41</v>
      </c>
      <c r="D20" s="202" t="s">
        <v>42</v>
      </c>
      <c r="E20" s="198" t="s">
        <v>35</v>
      </c>
      <c r="F20" s="207" t="s">
        <v>246</v>
      </c>
      <c r="G20" s="210" t="s">
        <v>17</v>
      </c>
      <c r="H20" s="242"/>
      <c r="I20" s="243"/>
      <c r="J20" s="243"/>
      <c r="K20" s="243"/>
      <c r="L20" s="243"/>
      <c r="M20" s="243"/>
      <c r="N20" s="244"/>
      <c r="O20" s="250"/>
      <c r="P20" s="251"/>
      <c r="Q20" s="251"/>
      <c r="R20" s="251"/>
      <c r="S20" s="251"/>
      <c r="T20" s="251"/>
      <c r="U20" s="277">
        <f t="shared" si="2"/>
        <v>0</v>
      </c>
      <c r="V20" s="342"/>
      <c r="W20" s="342"/>
      <c r="X20" s="301"/>
      <c r="Y20" s="364">
        <v>285.52380952380952</v>
      </c>
      <c r="Z20" s="365">
        <v>1</v>
      </c>
      <c r="AA20" s="365">
        <v>1</v>
      </c>
      <c r="AB20" s="366">
        <v>0.60440660991487227</v>
      </c>
      <c r="AC20" s="366">
        <v>0.81248273957470307</v>
      </c>
      <c r="AD20" s="367">
        <v>4.2</v>
      </c>
      <c r="AE20" s="368">
        <v>1208.7673317142858</v>
      </c>
      <c r="AF20" s="360"/>
      <c r="AG20" s="361"/>
      <c r="AH20" s="361"/>
      <c r="AI20" s="361"/>
      <c r="AJ20" s="361"/>
      <c r="AK20" s="362"/>
      <c r="AL20" s="363"/>
      <c r="AM20" s="358" t="s">
        <v>253</v>
      </c>
      <c r="AN20" s="358"/>
      <c r="AO20" s="278">
        <f>'Road to 3k v2'!I27</f>
        <v>2000000000</v>
      </c>
      <c r="AP20" s="329">
        <v>285.52380952380952</v>
      </c>
      <c r="AQ20" s="330">
        <v>1</v>
      </c>
      <c r="AR20" s="330">
        <v>1</v>
      </c>
      <c r="AS20" s="331">
        <v>0.60440660991487227</v>
      </c>
      <c r="AT20" s="331">
        <v>0.81248273957470307</v>
      </c>
      <c r="AU20" s="333">
        <v>4.2</v>
      </c>
      <c r="AV20" s="334">
        <v>1208.7673317142858</v>
      </c>
      <c r="AW20" s="373"/>
      <c r="AX20" s="374"/>
      <c r="AY20" s="374"/>
      <c r="AZ20" s="374"/>
      <c r="BA20" s="374"/>
      <c r="BB20" s="374"/>
      <c r="BC20" s="363">
        <f t="shared" si="7"/>
        <v>0</v>
      </c>
      <c r="BD20" s="358"/>
      <c r="BE20" s="358"/>
      <c r="BF20" s="278">
        <f>'Road to 3k v2'!K27</f>
        <v>2000000000</v>
      </c>
    </row>
    <row r="21" spans="2:58" ht="28" customHeight="1" x14ac:dyDescent="0.2">
      <c r="B21" s="199" t="s">
        <v>43</v>
      </c>
      <c r="C21" s="199" t="s">
        <v>44</v>
      </c>
      <c r="D21" s="199" t="s">
        <v>21</v>
      </c>
      <c r="E21" s="197" t="s">
        <v>35</v>
      </c>
      <c r="F21" s="207" t="s">
        <v>242</v>
      </c>
      <c r="G21" s="235" t="s">
        <v>17</v>
      </c>
      <c r="H21" s="239"/>
      <c r="I21" s="240"/>
      <c r="J21" s="240"/>
      <c r="K21" s="240"/>
      <c r="L21" s="240"/>
      <c r="M21" s="240"/>
      <c r="N21" s="241"/>
      <c r="O21" s="248"/>
      <c r="P21" s="249"/>
      <c r="Q21" s="249"/>
      <c r="R21" s="249"/>
      <c r="S21" s="249"/>
      <c r="T21" s="249"/>
      <c r="U21" s="275">
        <f t="shared" si="2"/>
        <v>0</v>
      </c>
      <c r="V21" s="343"/>
      <c r="W21" s="343"/>
      <c r="X21" s="300"/>
      <c r="Y21" s="239"/>
      <c r="Z21" s="240"/>
      <c r="AA21" s="240"/>
      <c r="AB21" s="240"/>
      <c r="AC21" s="240"/>
      <c r="AD21" s="240"/>
      <c r="AE21" s="265"/>
      <c r="AF21" s="248"/>
      <c r="AG21" s="249"/>
      <c r="AH21" s="249"/>
      <c r="AI21" s="249"/>
      <c r="AJ21" s="249"/>
      <c r="AK21" s="249"/>
      <c r="AL21" s="275">
        <f t="shared" si="3"/>
        <v>0</v>
      </c>
      <c r="AM21" s="343"/>
      <c r="AN21" s="343"/>
      <c r="AO21" s="276">
        <f>'Road to 3k v2'!I28</f>
        <v>700000000</v>
      </c>
      <c r="AP21" s="239"/>
      <c r="AQ21" s="240"/>
      <c r="AR21" s="240"/>
      <c r="AS21" s="240"/>
      <c r="AT21" s="240"/>
      <c r="AU21" s="240"/>
      <c r="AV21" s="292"/>
      <c r="AW21" s="248"/>
      <c r="AX21" s="249"/>
      <c r="AY21" s="249"/>
      <c r="AZ21" s="249"/>
      <c r="BA21" s="249"/>
      <c r="BB21" s="249"/>
      <c r="BC21" s="275"/>
      <c r="BD21" s="343"/>
      <c r="BE21" s="343"/>
      <c r="BF21" s="276"/>
    </row>
    <row r="22" spans="2:58" ht="28" customHeight="1" x14ac:dyDescent="0.2">
      <c r="B22" s="199" t="s">
        <v>57</v>
      </c>
      <c r="C22" s="199"/>
      <c r="D22" s="199"/>
      <c r="E22" s="197"/>
      <c r="F22" s="207"/>
      <c r="G22" s="235"/>
      <c r="H22" s="329"/>
      <c r="I22" s="330"/>
      <c r="J22" s="330"/>
      <c r="K22" s="331"/>
      <c r="L22" s="331"/>
      <c r="M22" s="332"/>
      <c r="N22" s="241"/>
      <c r="O22" s="248"/>
      <c r="P22" s="249"/>
      <c r="Q22" s="249"/>
      <c r="R22" s="249"/>
      <c r="S22" s="249"/>
      <c r="T22" s="249"/>
      <c r="U22" s="275">
        <f t="shared" si="2"/>
        <v>0</v>
      </c>
      <c r="V22" s="343"/>
      <c r="W22" s="343"/>
      <c r="X22" s="300"/>
      <c r="Y22" s="329">
        <v>143.06666666666666</v>
      </c>
      <c r="Z22" s="330">
        <v>1</v>
      </c>
      <c r="AA22" s="330">
        <v>1</v>
      </c>
      <c r="AB22" s="331">
        <v>0.32104526364909008</v>
      </c>
      <c r="AC22" s="331">
        <v>0.85029069767441856</v>
      </c>
      <c r="AD22" s="332">
        <v>19.456036113499568</v>
      </c>
      <c r="AE22" s="315">
        <f t="shared" ref="AE22:AE23" si="20">Y22*Z22*AA22*AB22*AC22*AD22</f>
        <v>759.84763718302986</v>
      </c>
      <c r="AF22" s="345">
        <f>Y22*(1+50%)</f>
        <v>214.6</v>
      </c>
      <c r="AG22" s="339">
        <f>Z22</f>
        <v>1</v>
      </c>
      <c r="AH22" s="339">
        <f t="shared" ref="AH22:AK24" si="21">AA22</f>
        <v>1</v>
      </c>
      <c r="AI22" s="352">
        <f t="shared" si="21"/>
        <v>0.32104526364909008</v>
      </c>
      <c r="AJ22" s="352">
        <f t="shared" si="21"/>
        <v>0.85029069767441856</v>
      </c>
      <c r="AK22" s="347">
        <f t="shared" si="21"/>
        <v>19.456036113499568</v>
      </c>
      <c r="AL22" s="275">
        <f>AF22*AG22*AH22*AI22*AJ22*AK22</f>
        <v>1139.7714557745446</v>
      </c>
      <c r="AM22" s="343" t="s">
        <v>253</v>
      </c>
      <c r="AN22" s="342">
        <f t="shared" ref="AN22:AN23" si="22">AL22-AE22</f>
        <v>379.92381859151476</v>
      </c>
      <c r="AO22" s="276"/>
      <c r="AP22" s="329">
        <v>143.85714285714286</v>
      </c>
      <c r="AQ22" s="330">
        <v>1</v>
      </c>
      <c r="AR22" s="330">
        <v>1</v>
      </c>
      <c r="AS22" s="331">
        <v>0.3156498673740053</v>
      </c>
      <c r="AT22" s="331">
        <v>0.85399159663865543</v>
      </c>
      <c r="AU22" s="332">
        <v>19.802310559006212</v>
      </c>
      <c r="AV22" s="286">
        <f t="shared" ref="AV22:AV23" si="23">AP22*AQ22*AR22*AS22*AT22*AU22</f>
        <v>767.90325094085608</v>
      </c>
      <c r="AW22" s="248"/>
      <c r="AX22" s="249"/>
      <c r="AY22" s="249"/>
      <c r="AZ22" s="249"/>
      <c r="BA22" s="249"/>
      <c r="BB22" s="249"/>
      <c r="BC22" s="275"/>
      <c r="BD22" s="343"/>
      <c r="BE22" s="343"/>
      <c r="BF22" s="276"/>
    </row>
    <row r="23" spans="2:58" ht="28" customHeight="1" x14ac:dyDescent="0.2">
      <c r="B23" s="199" t="s">
        <v>63</v>
      </c>
      <c r="C23" s="199"/>
      <c r="D23" s="199"/>
      <c r="E23" s="197"/>
      <c r="F23" s="207"/>
      <c r="G23" s="235"/>
      <c r="H23" s="329"/>
      <c r="I23" s="330"/>
      <c r="J23" s="330"/>
      <c r="K23" s="331"/>
      <c r="L23" s="331"/>
      <c r="M23" s="332"/>
      <c r="N23" s="241"/>
      <c r="O23" s="248"/>
      <c r="P23" s="249"/>
      <c r="Q23" s="249"/>
      <c r="R23" s="249"/>
      <c r="S23" s="249"/>
      <c r="T23" s="249"/>
      <c r="U23" s="275">
        <f t="shared" si="2"/>
        <v>0</v>
      </c>
      <c r="V23" s="343"/>
      <c r="W23" s="343"/>
      <c r="X23" s="300"/>
      <c r="Y23" s="329">
        <v>188.76666666666668</v>
      </c>
      <c r="Z23" s="330">
        <v>1</v>
      </c>
      <c r="AA23" s="330">
        <v>1</v>
      </c>
      <c r="AB23" s="331">
        <v>0.42400141392718277</v>
      </c>
      <c r="AC23" s="331">
        <v>0.92746977907461448</v>
      </c>
      <c r="AD23" s="332">
        <v>4.389089833450492</v>
      </c>
      <c r="AE23" s="315">
        <f t="shared" si="20"/>
        <v>325.81182981145906</v>
      </c>
      <c r="AF23" s="345">
        <f t="shared" ref="AF23:AF24" si="24">Y23*(1+50%)</f>
        <v>283.15000000000003</v>
      </c>
      <c r="AG23" s="339">
        <f t="shared" ref="AG23:AG24" si="25">Z23</f>
        <v>1</v>
      </c>
      <c r="AH23" s="339">
        <f t="shared" si="21"/>
        <v>1</v>
      </c>
      <c r="AI23" s="352">
        <f t="shared" si="21"/>
        <v>0.42400141392718277</v>
      </c>
      <c r="AJ23" s="352">
        <f t="shared" si="21"/>
        <v>0.92746977907461448</v>
      </c>
      <c r="AK23" s="347">
        <f t="shared" si="21"/>
        <v>4.389089833450492</v>
      </c>
      <c r="AL23" s="275">
        <f t="shared" ref="AL23" si="26">AF23*AG23*AH23*AI23*AJ23*AK23</f>
        <v>488.71774471718862</v>
      </c>
      <c r="AM23" s="343" t="s">
        <v>253</v>
      </c>
      <c r="AN23" s="342">
        <f t="shared" si="22"/>
        <v>162.90591490572956</v>
      </c>
      <c r="AO23" s="276"/>
      <c r="AP23" s="329">
        <v>159.47619047619048</v>
      </c>
      <c r="AQ23" s="330">
        <v>1</v>
      </c>
      <c r="AR23" s="330">
        <v>1</v>
      </c>
      <c r="AS23" s="331">
        <v>0.51001494768310907</v>
      </c>
      <c r="AT23" s="331">
        <v>0.92790152403282533</v>
      </c>
      <c r="AU23" s="332">
        <v>4.389089833450492</v>
      </c>
      <c r="AV23" s="286">
        <f t="shared" si="23"/>
        <v>331.24941151787709</v>
      </c>
      <c r="AW23" s="248"/>
      <c r="AX23" s="249"/>
      <c r="AY23" s="249"/>
      <c r="AZ23" s="249"/>
      <c r="BA23" s="249"/>
      <c r="BB23" s="249"/>
      <c r="BC23" s="275"/>
      <c r="BD23" s="343"/>
      <c r="BE23" s="343"/>
      <c r="BF23" s="276"/>
    </row>
    <row r="24" spans="2:58" ht="28" customHeight="1" x14ac:dyDescent="0.2">
      <c r="B24" s="199" t="s">
        <v>59</v>
      </c>
      <c r="C24" s="199"/>
      <c r="D24" s="199"/>
      <c r="E24" s="197"/>
      <c r="F24" s="207"/>
      <c r="G24" s="235"/>
      <c r="H24" s="329"/>
      <c r="I24" s="330"/>
      <c r="J24" s="330"/>
      <c r="K24" s="331"/>
      <c r="L24" s="331"/>
      <c r="M24" s="240"/>
      <c r="N24" s="241"/>
      <c r="O24" s="248"/>
      <c r="P24" s="249"/>
      <c r="Q24" s="249"/>
      <c r="R24" s="249"/>
      <c r="S24" s="249"/>
      <c r="T24" s="249"/>
      <c r="U24" s="275">
        <f t="shared" si="2"/>
        <v>0</v>
      </c>
      <c r="V24" s="343"/>
      <c r="W24" s="343"/>
      <c r="X24" s="300"/>
      <c r="Y24" s="329">
        <v>400.1904761904762</v>
      </c>
      <c r="Z24" s="330">
        <v>1</v>
      </c>
      <c r="AA24" s="330">
        <v>1</v>
      </c>
      <c r="AB24" s="331">
        <v>8.8555858310626706E-2</v>
      </c>
      <c r="AC24" s="331">
        <v>0.83846153846153848</v>
      </c>
      <c r="AD24" s="336">
        <v>1.7</v>
      </c>
      <c r="AE24" s="337">
        <v>506.04596485714285</v>
      </c>
      <c r="AF24" s="364">
        <f t="shared" si="24"/>
        <v>600.28571428571433</v>
      </c>
      <c r="AG24" s="365">
        <f t="shared" si="25"/>
        <v>1</v>
      </c>
      <c r="AH24" s="365">
        <f t="shared" si="21"/>
        <v>1</v>
      </c>
      <c r="AI24" s="366">
        <f t="shared" si="21"/>
        <v>8.8555858310626706E-2</v>
      </c>
      <c r="AJ24" s="366">
        <f t="shared" si="21"/>
        <v>0.83846153846153848</v>
      </c>
      <c r="AK24" s="371">
        <f>AD24</f>
        <v>1.7</v>
      </c>
      <c r="AL24" s="372">
        <f>AE24+AN24</f>
        <v>663.21623135989853</v>
      </c>
      <c r="AM24" s="370" t="s">
        <v>253</v>
      </c>
      <c r="AN24" s="370">
        <f>AO21/1000000-AN22-AN23</f>
        <v>157.17026650275568</v>
      </c>
      <c r="AO24" s="276"/>
      <c r="AP24" s="329">
        <v>400.1904761904762</v>
      </c>
      <c r="AQ24" s="330">
        <v>1</v>
      </c>
      <c r="AR24" s="330">
        <v>1</v>
      </c>
      <c r="AS24" s="331">
        <v>9.3377798951881849E-2</v>
      </c>
      <c r="AT24" s="331">
        <v>0.8392857142857143</v>
      </c>
      <c r="AU24" s="336">
        <v>1.7</v>
      </c>
      <c r="AV24" s="337">
        <v>506.04596485714285</v>
      </c>
      <c r="AW24" s="248"/>
      <c r="AX24" s="249"/>
      <c r="AY24" s="249"/>
      <c r="AZ24" s="249"/>
      <c r="BA24" s="249"/>
      <c r="BB24" s="249"/>
      <c r="BC24" s="275"/>
      <c r="BD24" s="343"/>
      <c r="BE24" s="343"/>
      <c r="BF24" s="276"/>
    </row>
    <row r="25" spans="2:58" ht="28" customHeight="1" x14ac:dyDescent="0.2">
      <c r="B25" s="204" t="s">
        <v>45</v>
      </c>
      <c r="C25" s="237"/>
      <c r="D25" s="199" t="s">
        <v>42</v>
      </c>
      <c r="E25" s="197" t="s">
        <v>35</v>
      </c>
      <c r="F25" s="211" t="s">
        <v>245</v>
      </c>
      <c r="G25" s="210" t="s">
        <v>17</v>
      </c>
      <c r="H25" s="245"/>
      <c r="I25" s="246"/>
      <c r="J25" s="246"/>
      <c r="K25" s="246"/>
      <c r="L25" s="246"/>
      <c r="M25" s="246"/>
      <c r="N25" s="247"/>
      <c r="O25" s="252"/>
      <c r="P25" s="253"/>
      <c r="Q25" s="253"/>
      <c r="R25" s="253"/>
      <c r="S25" s="253"/>
      <c r="T25" s="253"/>
      <c r="U25" s="279">
        <f t="shared" si="2"/>
        <v>0</v>
      </c>
      <c r="V25" s="344"/>
      <c r="W25" s="344"/>
      <c r="X25" s="303"/>
      <c r="Y25" s="272"/>
      <c r="Z25" s="273"/>
      <c r="AA25" s="273"/>
      <c r="AB25" s="273"/>
      <c r="AC25" s="273"/>
      <c r="AD25" s="273"/>
      <c r="AE25" s="274"/>
      <c r="AF25" s="252"/>
      <c r="AG25" s="253"/>
      <c r="AH25" s="253"/>
      <c r="AI25" s="253"/>
      <c r="AJ25" s="253"/>
      <c r="AK25" s="253"/>
      <c r="AL25" s="279">
        <f t="shared" si="3"/>
        <v>0</v>
      </c>
      <c r="AM25" s="344"/>
      <c r="AN25" s="344"/>
      <c r="AO25" s="280">
        <f>'Road to 3k v2'!I29</f>
        <v>700000000</v>
      </c>
      <c r="AP25" s="272"/>
      <c r="AQ25" s="273"/>
      <c r="AR25" s="273"/>
      <c r="AS25" s="273"/>
      <c r="AT25" s="273"/>
      <c r="AU25" s="273"/>
      <c r="AV25" s="298"/>
      <c r="AW25" s="252"/>
      <c r="AX25" s="253"/>
      <c r="AY25" s="253"/>
      <c r="AZ25" s="253"/>
      <c r="BA25" s="253"/>
      <c r="BB25" s="253"/>
      <c r="BC25" s="279">
        <f t="shared" si="7"/>
        <v>0</v>
      </c>
      <c r="BD25" s="344"/>
      <c r="BE25" s="344"/>
      <c r="BF25" s="280">
        <f>'Road to 3k v2'!K29</f>
        <v>300000000</v>
      </c>
    </row>
    <row r="26" spans="2:58" x14ac:dyDescent="0.2">
      <c r="X26" s="238">
        <f>SUM(X6:X25)</f>
        <v>2300000000</v>
      </c>
      <c r="AE26" s="236">
        <f>AE24/AD24</f>
        <v>297.6740969747899</v>
      </c>
      <c r="AL26" s="236">
        <f>AL24/AK24</f>
        <v>390.12719491758736</v>
      </c>
    </row>
    <row r="27" spans="2:58" hidden="1" x14ac:dyDescent="0.2">
      <c r="M27" s="236"/>
      <c r="N27" s="335"/>
      <c r="AE27" s="236">
        <f>16449+10855+7155</f>
        <v>34459</v>
      </c>
      <c r="AF27" s="359"/>
      <c r="AL27" s="359">
        <f>AL26/AE26-1</f>
        <v>0.31058496148096926</v>
      </c>
    </row>
    <row r="28" spans="2:58" hidden="1" x14ac:dyDescent="0.2">
      <c r="N28" s="236"/>
      <c r="AE28" s="335">
        <f>AE27/22</f>
        <v>1566.3181818181818</v>
      </c>
      <c r="AL28" s="236"/>
    </row>
    <row r="29" spans="2:58" hidden="1" x14ac:dyDescent="0.2"/>
    <row r="30" spans="2:58" hidden="1" x14ac:dyDescent="0.2"/>
    <row r="31" spans="2:58" hidden="1" x14ac:dyDescent="0.2"/>
    <row r="32" spans="2:58" hidden="1" x14ac:dyDescent="0.2"/>
    <row r="33" spans="1:58" ht="42" hidden="1" customHeight="1" x14ac:dyDescent="0.2">
      <c r="H33" s="616" t="s">
        <v>262</v>
      </c>
      <c r="I33" s="617"/>
      <c r="J33" s="617"/>
      <c r="K33" s="617"/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7"/>
      <c r="W33" s="617"/>
      <c r="X33" s="618"/>
      <c r="Y33" s="616" t="s">
        <v>141</v>
      </c>
      <c r="Z33" s="61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7"/>
      <c r="AK33" s="617"/>
      <c r="AL33" s="617"/>
      <c r="AM33" s="617"/>
      <c r="AN33" s="617"/>
      <c r="AO33" s="618"/>
      <c r="AP33" s="619" t="s">
        <v>245</v>
      </c>
      <c r="AQ33" s="620"/>
      <c r="AR33" s="620"/>
      <c r="AS33" s="620"/>
      <c r="AT33" s="620"/>
      <c r="AU33" s="620"/>
      <c r="AV33" s="620"/>
      <c r="AW33" s="620"/>
      <c r="AX33" s="620"/>
      <c r="AY33" s="620"/>
      <c r="AZ33" s="620"/>
      <c r="BA33" s="620"/>
      <c r="BB33" s="620"/>
      <c r="BC33" s="620"/>
      <c r="BD33" s="620"/>
      <c r="BE33" s="620"/>
      <c r="BF33" s="620"/>
    </row>
    <row r="34" spans="1:58" s="305" customFormat="1" ht="42" hidden="1" customHeight="1" x14ac:dyDescent="0.2">
      <c r="A34" s="304"/>
      <c r="B34" s="304"/>
      <c r="C34" s="304"/>
      <c r="D34" s="304"/>
      <c r="E34" s="304"/>
      <c r="F34" s="304"/>
      <c r="G34" s="304"/>
      <c r="H34" s="624" t="s">
        <v>265</v>
      </c>
      <c r="I34" s="625"/>
      <c r="J34" s="625"/>
      <c r="K34" s="625"/>
      <c r="L34" s="625"/>
      <c r="M34" s="625"/>
      <c r="N34" s="626"/>
      <c r="O34" s="621" t="s">
        <v>264</v>
      </c>
      <c r="P34" s="622"/>
      <c r="Q34" s="622"/>
      <c r="R34" s="622"/>
      <c r="S34" s="622"/>
      <c r="T34" s="622"/>
      <c r="U34" s="622"/>
      <c r="V34" s="622"/>
      <c r="W34" s="622"/>
      <c r="X34" s="623"/>
      <c r="Y34" s="624" t="s">
        <v>265</v>
      </c>
      <c r="Z34" s="625"/>
      <c r="AA34" s="625"/>
      <c r="AB34" s="625"/>
      <c r="AC34" s="625"/>
      <c r="AD34" s="625"/>
      <c r="AE34" s="626"/>
      <c r="AF34" s="621" t="s">
        <v>264</v>
      </c>
      <c r="AG34" s="622"/>
      <c r="AH34" s="622"/>
      <c r="AI34" s="622"/>
      <c r="AJ34" s="622"/>
      <c r="AK34" s="622"/>
      <c r="AL34" s="622"/>
      <c r="AM34" s="622"/>
      <c r="AN34" s="622"/>
      <c r="AO34" s="623"/>
      <c r="AP34" s="624" t="s">
        <v>265</v>
      </c>
      <c r="AQ34" s="625"/>
      <c r="AR34" s="625"/>
      <c r="AS34" s="625"/>
      <c r="AT34" s="625"/>
      <c r="AU34" s="625"/>
      <c r="AV34" s="626"/>
      <c r="AW34" s="621" t="s">
        <v>264</v>
      </c>
      <c r="AX34" s="622"/>
      <c r="AY34" s="622"/>
      <c r="AZ34" s="622"/>
      <c r="BA34" s="622"/>
      <c r="BB34" s="622"/>
      <c r="BC34" s="622"/>
      <c r="BD34" s="622"/>
      <c r="BE34" s="622"/>
      <c r="BF34" s="623"/>
    </row>
    <row r="35" spans="1:58" ht="39" hidden="1" customHeight="1" x14ac:dyDescent="0.2">
      <c r="B35" s="196" t="s">
        <v>155</v>
      </c>
      <c r="C35" s="196" t="s">
        <v>3</v>
      </c>
      <c r="D35" s="196" t="s">
        <v>4</v>
      </c>
      <c r="E35" s="196" t="s">
        <v>9</v>
      </c>
      <c r="F35" s="196" t="s">
        <v>243</v>
      </c>
      <c r="G35" s="234" t="s">
        <v>10</v>
      </c>
      <c r="H35" s="319" t="s">
        <v>254</v>
      </c>
      <c r="I35" s="320" t="s">
        <v>259</v>
      </c>
      <c r="J35" s="320" t="s">
        <v>260</v>
      </c>
      <c r="K35" s="320" t="s">
        <v>257</v>
      </c>
      <c r="L35" s="320" t="s">
        <v>258</v>
      </c>
      <c r="M35" s="320" t="s">
        <v>256</v>
      </c>
      <c r="N35" s="321" t="s">
        <v>261</v>
      </c>
      <c r="O35" s="322" t="s">
        <v>254</v>
      </c>
      <c r="P35" s="323" t="s">
        <v>259</v>
      </c>
      <c r="Q35" s="323" t="s">
        <v>260</v>
      </c>
      <c r="R35" s="323" t="s">
        <v>257</v>
      </c>
      <c r="S35" s="323" t="s">
        <v>258</v>
      </c>
      <c r="T35" s="323" t="s">
        <v>256</v>
      </c>
      <c r="U35" s="323" t="s">
        <v>261</v>
      </c>
      <c r="V35" s="340"/>
      <c r="W35" s="340"/>
      <c r="X35" s="324" t="s">
        <v>250</v>
      </c>
      <c r="Y35" s="319" t="s">
        <v>254</v>
      </c>
      <c r="Z35" s="320" t="s">
        <v>259</v>
      </c>
      <c r="AA35" s="320" t="s">
        <v>260</v>
      </c>
      <c r="AB35" s="320" t="s">
        <v>257</v>
      </c>
      <c r="AC35" s="320" t="s">
        <v>258</v>
      </c>
      <c r="AD35" s="320" t="s">
        <v>256</v>
      </c>
      <c r="AE35" s="321" t="s">
        <v>261</v>
      </c>
      <c r="AF35" s="322" t="s">
        <v>254</v>
      </c>
      <c r="AG35" s="323" t="s">
        <v>259</v>
      </c>
      <c r="AH35" s="323" t="s">
        <v>260</v>
      </c>
      <c r="AI35" s="323" t="s">
        <v>257</v>
      </c>
      <c r="AJ35" s="323" t="s">
        <v>258</v>
      </c>
      <c r="AK35" s="323" t="s">
        <v>256</v>
      </c>
      <c r="AL35" s="323" t="s">
        <v>261</v>
      </c>
      <c r="AM35" s="340"/>
      <c r="AN35" s="340"/>
      <c r="AO35" s="324" t="s">
        <v>251</v>
      </c>
      <c r="AP35" s="319" t="s">
        <v>254</v>
      </c>
      <c r="AQ35" s="320" t="s">
        <v>259</v>
      </c>
      <c r="AR35" s="320" t="s">
        <v>260</v>
      </c>
      <c r="AS35" s="320" t="s">
        <v>257</v>
      </c>
      <c r="AT35" s="320" t="s">
        <v>258</v>
      </c>
      <c r="AU35" s="320" t="s">
        <v>256</v>
      </c>
      <c r="AV35" s="321" t="s">
        <v>261</v>
      </c>
      <c r="AW35" s="322" t="s">
        <v>254</v>
      </c>
      <c r="AX35" s="323" t="s">
        <v>259</v>
      </c>
      <c r="AY35" s="323" t="s">
        <v>260</v>
      </c>
      <c r="AZ35" s="323" t="s">
        <v>257</v>
      </c>
      <c r="BA35" s="323" t="s">
        <v>258</v>
      </c>
      <c r="BB35" s="323" t="s">
        <v>256</v>
      </c>
      <c r="BC35" s="323" t="s">
        <v>261</v>
      </c>
      <c r="BD35" s="340"/>
      <c r="BE35" s="340"/>
      <c r="BF35" s="324" t="s">
        <v>252</v>
      </c>
    </row>
    <row r="36" spans="1:58" ht="28" hidden="1" customHeight="1" x14ac:dyDescent="0.2">
      <c r="B36" s="199" t="s">
        <v>11</v>
      </c>
      <c r="C36" s="199" t="s">
        <v>16</v>
      </c>
      <c r="D36" s="199" t="s">
        <v>13</v>
      </c>
      <c r="E36" s="197" t="s">
        <v>14</v>
      </c>
      <c r="F36" s="206" t="s">
        <v>242</v>
      </c>
      <c r="G36" s="235" t="s">
        <v>17</v>
      </c>
      <c r="H36" s="306"/>
      <c r="I36" s="307"/>
      <c r="J36" s="307"/>
      <c r="K36" s="307"/>
      <c r="L36" s="307"/>
      <c r="M36" s="307"/>
      <c r="N36" s="308">
        <f>H36*I36*J36*K36*L36*M36</f>
        <v>0</v>
      </c>
      <c r="O36" s="309"/>
      <c r="P36" s="310"/>
      <c r="Q36" s="310"/>
      <c r="R36" s="310"/>
      <c r="S36" s="310"/>
      <c r="T36" s="310"/>
      <c r="U36" s="311">
        <f>O36*P36*Q36*R36*S36*T36</f>
        <v>0</v>
      </c>
      <c r="V36" s="341"/>
      <c r="W36" s="341"/>
      <c r="X36" s="312"/>
      <c r="Y36" s="313"/>
      <c r="Z36" s="314"/>
      <c r="AA36" s="314"/>
      <c r="AB36" s="314"/>
      <c r="AC36" s="314"/>
      <c r="AD36" s="314"/>
      <c r="AE36" s="315"/>
      <c r="AF36" s="309"/>
      <c r="AG36" s="310"/>
      <c r="AH36" s="310"/>
      <c r="AI36" s="310"/>
      <c r="AJ36" s="310"/>
      <c r="AK36" s="310"/>
      <c r="AL36" s="311">
        <f>AF36*AG36*AH36*AI36*AJ36*AK36</f>
        <v>0</v>
      </c>
      <c r="AM36" s="341"/>
      <c r="AN36" s="341"/>
      <c r="AO36" s="312">
        <f>'Road to 3k v2'!I34</f>
        <v>0</v>
      </c>
      <c r="AP36" s="316"/>
      <c r="AQ36" s="317"/>
      <c r="AR36" s="317"/>
      <c r="AS36" s="317"/>
      <c r="AT36" s="317"/>
      <c r="AU36" s="317"/>
      <c r="AV36" s="318"/>
      <c r="AW36" s="309"/>
      <c r="AX36" s="310"/>
      <c r="AY36" s="310"/>
      <c r="AZ36" s="310"/>
      <c r="BA36" s="310"/>
      <c r="BB36" s="310"/>
      <c r="BC36" s="311">
        <f>AW36*AX36*AY36*AZ36*BA36*BB36</f>
        <v>0</v>
      </c>
      <c r="BD36" s="341"/>
      <c r="BE36" s="341"/>
      <c r="BF36" s="312"/>
    </row>
    <row r="37" spans="1:58" ht="28" hidden="1" customHeight="1" x14ac:dyDescent="0.2">
      <c r="B37" s="200" t="s">
        <v>11</v>
      </c>
      <c r="C37" s="201" t="s">
        <v>18</v>
      </c>
      <c r="D37" s="202" t="s">
        <v>13</v>
      </c>
      <c r="E37" s="198" t="s">
        <v>14</v>
      </c>
      <c r="F37" s="211" t="s">
        <v>245</v>
      </c>
      <c r="G37" s="210" t="s">
        <v>17</v>
      </c>
      <c r="H37" s="242"/>
      <c r="I37" s="243"/>
      <c r="J37" s="243"/>
      <c r="K37" s="243"/>
      <c r="L37" s="243"/>
      <c r="M37" s="243"/>
      <c r="N37" s="244">
        <f t="shared" ref="N37:N51" si="27">H37*I37*J37*K37*L37*M37</f>
        <v>0</v>
      </c>
      <c r="O37" s="250"/>
      <c r="P37" s="251"/>
      <c r="Q37" s="251"/>
      <c r="R37" s="251"/>
      <c r="S37" s="251"/>
      <c r="T37" s="251"/>
      <c r="U37" s="277">
        <f t="shared" ref="U37:U51" si="28">O37*P37*Q37*R37*S37*T37</f>
        <v>0</v>
      </c>
      <c r="V37" s="342"/>
      <c r="W37" s="342"/>
      <c r="X37" s="299"/>
      <c r="Y37" s="257"/>
      <c r="Z37" s="258"/>
      <c r="AA37" s="258"/>
      <c r="AB37" s="258"/>
      <c r="AC37" s="258"/>
      <c r="AD37" s="258"/>
      <c r="AE37" s="259"/>
      <c r="AF37" s="250"/>
      <c r="AG37" s="251"/>
      <c r="AH37" s="251"/>
      <c r="AI37" s="251"/>
      <c r="AJ37" s="251"/>
      <c r="AK37" s="251"/>
      <c r="AL37" s="277">
        <f t="shared" ref="AL37:AL51" si="29">AF37*AG37*AH37*AI37*AJ37*AK37</f>
        <v>0</v>
      </c>
      <c r="AM37" s="342"/>
      <c r="AN37" s="342"/>
      <c r="AO37" s="278"/>
      <c r="AP37" s="284"/>
      <c r="AQ37" s="285"/>
      <c r="AR37" s="285"/>
      <c r="AS37" s="285"/>
      <c r="AT37" s="285"/>
      <c r="AU37" s="285"/>
      <c r="AV37" s="286"/>
      <c r="AW37" s="250"/>
      <c r="AX37" s="251"/>
      <c r="AY37" s="251"/>
      <c r="AZ37" s="251"/>
      <c r="BA37" s="251"/>
      <c r="BB37" s="251"/>
      <c r="BC37" s="277">
        <f t="shared" ref="BC37:BC51" si="30">AW37*AX37*AY37*AZ37*BA37*BB37</f>
        <v>0</v>
      </c>
      <c r="BD37" s="342"/>
      <c r="BE37" s="342"/>
      <c r="BF37" s="278" t="str">
        <f>'Road to 3k v2'!K35</f>
        <v>JUN</v>
      </c>
    </row>
    <row r="38" spans="1:58" ht="28" hidden="1" customHeight="1" x14ac:dyDescent="0.2">
      <c r="B38" s="199" t="s">
        <v>19</v>
      </c>
      <c r="C38" s="199" t="s">
        <v>93</v>
      </c>
      <c r="D38" s="199" t="s">
        <v>21</v>
      </c>
      <c r="E38" s="197" t="s">
        <v>22</v>
      </c>
      <c r="F38" s="206" t="s">
        <v>242</v>
      </c>
      <c r="G38" s="235" t="s">
        <v>17</v>
      </c>
      <c r="H38" s="239"/>
      <c r="I38" s="240"/>
      <c r="J38" s="240"/>
      <c r="K38" s="240"/>
      <c r="L38" s="240"/>
      <c r="M38" s="240"/>
      <c r="N38" s="241">
        <f t="shared" si="27"/>
        <v>0</v>
      </c>
      <c r="O38" s="248"/>
      <c r="P38" s="249"/>
      <c r="Q38" s="249"/>
      <c r="R38" s="249"/>
      <c r="S38" s="249"/>
      <c r="T38" s="249"/>
      <c r="U38" s="275">
        <f t="shared" si="28"/>
        <v>0</v>
      </c>
      <c r="V38" s="343"/>
      <c r="W38" s="343"/>
      <c r="X38" s="276"/>
      <c r="Y38" s="254"/>
      <c r="Z38" s="255"/>
      <c r="AA38" s="255"/>
      <c r="AB38" s="255"/>
      <c r="AC38" s="255"/>
      <c r="AD38" s="255"/>
      <c r="AE38" s="256"/>
      <c r="AF38" s="248"/>
      <c r="AG38" s="249"/>
      <c r="AH38" s="249"/>
      <c r="AI38" s="249"/>
      <c r="AJ38" s="249"/>
      <c r="AK38" s="249"/>
      <c r="AL38" s="275">
        <f t="shared" si="29"/>
        <v>0</v>
      </c>
      <c r="AM38" s="343"/>
      <c r="AN38" s="343"/>
      <c r="AO38" s="276">
        <f>'Road to 3k v2'!I37</f>
        <v>35</v>
      </c>
      <c r="AP38" s="281"/>
      <c r="AQ38" s="282"/>
      <c r="AR38" s="282"/>
      <c r="AS38" s="282"/>
      <c r="AT38" s="282"/>
      <c r="AU38" s="282"/>
      <c r="AV38" s="283"/>
      <c r="AW38" s="248"/>
      <c r="AX38" s="249"/>
      <c r="AY38" s="249"/>
      <c r="AZ38" s="249"/>
      <c r="BA38" s="249"/>
      <c r="BB38" s="249"/>
      <c r="BC38" s="275">
        <f t="shared" si="30"/>
        <v>0</v>
      </c>
      <c r="BD38" s="343"/>
      <c r="BE38" s="343"/>
      <c r="BF38" s="276"/>
    </row>
    <row r="39" spans="1:58" ht="28" hidden="1" customHeight="1" x14ac:dyDescent="0.2">
      <c r="B39" s="200" t="s">
        <v>19</v>
      </c>
      <c r="C39" s="203" t="s">
        <v>73</v>
      </c>
      <c r="D39" s="202" t="s">
        <v>13</v>
      </c>
      <c r="E39" s="198" t="s">
        <v>14</v>
      </c>
      <c r="F39" s="207" t="s">
        <v>242</v>
      </c>
      <c r="G39" s="210" t="s">
        <v>17</v>
      </c>
      <c r="H39" s="242"/>
      <c r="I39" s="243"/>
      <c r="J39" s="243"/>
      <c r="K39" s="243"/>
      <c r="L39" s="243"/>
      <c r="M39" s="243"/>
      <c r="N39" s="244">
        <f t="shared" si="27"/>
        <v>0</v>
      </c>
      <c r="O39" s="250"/>
      <c r="P39" s="251"/>
      <c r="Q39" s="251"/>
      <c r="R39" s="251"/>
      <c r="S39" s="251"/>
      <c r="T39" s="251"/>
      <c r="U39" s="277">
        <f t="shared" si="28"/>
        <v>0</v>
      </c>
      <c r="V39" s="342"/>
      <c r="W39" s="342"/>
      <c r="X39" s="278"/>
      <c r="Y39" s="260"/>
      <c r="Z39" s="261"/>
      <c r="AA39" s="261"/>
      <c r="AB39" s="261"/>
      <c r="AC39" s="261"/>
      <c r="AD39" s="261"/>
      <c r="AE39" s="262"/>
      <c r="AF39" s="250"/>
      <c r="AG39" s="251"/>
      <c r="AH39" s="251"/>
      <c r="AI39" s="251"/>
      <c r="AJ39" s="251"/>
      <c r="AK39" s="251"/>
      <c r="AL39" s="277">
        <f t="shared" si="29"/>
        <v>0</v>
      </c>
      <c r="AM39" s="342"/>
      <c r="AN39" s="342"/>
      <c r="AO39" s="278">
        <f>'Road to 3k v2'!I38</f>
        <v>6</v>
      </c>
      <c r="AP39" s="287"/>
      <c r="AQ39" s="288"/>
      <c r="AR39" s="288"/>
      <c r="AS39" s="288"/>
      <c r="AT39" s="288"/>
      <c r="AU39" s="288"/>
      <c r="AV39" s="289"/>
      <c r="AW39" s="250"/>
      <c r="AX39" s="251"/>
      <c r="AY39" s="251"/>
      <c r="AZ39" s="251"/>
      <c r="BA39" s="251"/>
      <c r="BB39" s="251"/>
      <c r="BC39" s="277">
        <f t="shared" si="30"/>
        <v>0</v>
      </c>
      <c r="BD39" s="342"/>
      <c r="BE39" s="342"/>
      <c r="BF39" s="278"/>
    </row>
    <row r="40" spans="1:58" ht="28" hidden="1" customHeight="1" x14ac:dyDescent="0.2">
      <c r="B40" s="199" t="s">
        <v>24</v>
      </c>
      <c r="C40" s="199" t="s">
        <v>89</v>
      </c>
      <c r="D40" s="199" t="s">
        <v>21</v>
      </c>
      <c r="E40" s="197" t="s">
        <v>22</v>
      </c>
      <c r="F40" s="208" t="s">
        <v>244</v>
      </c>
      <c r="G40" s="235" t="s">
        <v>17</v>
      </c>
      <c r="H40" s="239"/>
      <c r="I40" s="240"/>
      <c r="J40" s="240"/>
      <c r="K40" s="240"/>
      <c r="L40" s="240"/>
      <c r="M40" s="240"/>
      <c r="N40" s="241">
        <f t="shared" si="27"/>
        <v>0</v>
      </c>
      <c r="O40" s="248"/>
      <c r="P40" s="249"/>
      <c r="Q40" s="249"/>
      <c r="R40" s="249"/>
      <c r="S40" s="249"/>
      <c r="T40" s="249"/>
      <c r="U40" s="275">
        <f t="shared" si="28"/>
        <v>0</v>
      </c>
      <c r="V40" s="343"/>
      <c r="W40" s="343"/>
      <c r="X40" s="276">
        <f>'Road to 3k v2'!I41</f>
        <v>5</v>
      </c>
      <c r="Y40" s="254"/>
      <c r="Z40" s="255"/>
      <c r="AA40" s="255"/>
      <c r="AB40" s="255"/>
      <c r="AC40" s="255"/>
      <c r="AD40" s="255"/>
      <c r="AE40" s="256"/>
      <c r="AF40" s="248"/>
      <c r="AG40" s="249"/>
      <c r="AH40" s="249"/>
      <c r="AI40" s="249"/>
      <c r="AJ40" s="249"/>
      <c r="AK40" s="249"/>
      <c r="AL40" s="275">
        <f t="shared" si="29"/>
        <v>0</v>
      </c>
      <c r="AM40" s="343"/>
      <c r="AN40" s="343"/>
      <c r="AO40" s="276"/>
      <c r="AP40" s="281"/>
      <c r="AQ40" s="282"/>
      <c r="AR40" s="282"/>
      <c r="AS40" s="282"/>
      <c r="AT40" s="282"/>
      <c r="AU40" s="282"/>
      <c r="AV40" s="283"/>
      <c r="AW40" s="248"/>
      <c r="AX40" s="249"/>
      <c r="AY40" s="249"/>
      <c r="AZ40" s="249"/>
      <c r="BA40" s="249"/>
      <c r="BB40" s="249"/>
      <c r="BC40" s="275">
        <f t="shared" si="30"/>
        <v>0</v>
      </c>
      <c r="BD40" s="343"/>
      <c r="BE40" s="343"/>
      <c r="BF40" s="276"/>
    </row>
    <row r="41" spans="1:58" ht="28" hidden="1" customHeight="1" x14ac:dyDescent="0.2">
      <c r="B41" s="200" t="s">
        <v>24</v>
      </c>
      <c r="C41" s="201" t="s">
        <v>94</v>
      </c>
      <c r="D41" s="202" t="s">
        <v>13</v>
      </c>
      <c r="E41" s="198" t="s">
        <v>14</v>
      </c>
      <c r="F41" s="207" t="s">
        <v>246</v>
      </c>
      <c r="G41" s="210" t="s">
        <v>17</v>
      </c>
      <c r="H41" s="242"/>
      <c r="I41" s="243"/>
      <c r="J41" s="243"/>
      <c r="K41" s="243"/>
      <c r="L41" s="243"/>
      <c r="M41" s="243"/>
      <c r="N41" s="244">
        <f t="shared" si="27"/>
        <v>0</v>
      </c>
      <c r="O41" s="250"/>
      <c r="P41" s="251"/>
      <c r="Q41" s="251"/>
      <c r="R41" s="251"/>
      <c r="S41" s="251"/>
      <c r="T41" s="251"/>
      <c r="U41" s="277">
        <f t="shared" si="28"/>
        <v>0</v>
      </c>
      <c r="V41" s="342"/>
      <c r="W41" s="342"/>
      <c r="X41" s="278"/>
      <c r="Y41" s="260"/>
      <c r="Z41" s="261"/>
      <c r="AA41" s="261"/>
      <c r="AB41" s="261"/>
      <c r="AC41" s="261"/>
      <c r="AD41" s="261"/>
      <c r="AE41" s="262"/>
      <c r="AF41" s="250"/>
      <c r="AG41" s="251"/>
      <c r="AH41" s="251"/>
      <c r="AI41" s="251"/>
      <c r="AJ41" s="251"/>
      <c r="AK41" s="251"/>
      <c r="AL41" s="277">
        <f t="shared" si="29"/>
        <v>0</v>
      </c>
      <c r="AM41" s="342"/>
      <c r="AN41" s="342"/>
      <c r="AO41" s="278">
        <f>'Road to 3k v2'!G40</f>
        <v>0</v>
      </c>
      <c r="AP41" s="287"/>
      <c r="AQ41" s="288"/>
      <c r="AR41" s="288"/>
      <c r="AS41" s="288"/>
      <c r="AT41" s="288"/>
      <c r="AU41" s="288"/>
      <c r="AV41" s="289"/>
      <c r="AW41" s="250"/>
      <c r="AX41" s="251"/>
      <c r="AY41" s="251"/>
      <c r="AZ41" s="251"/>
      <c r="BA41" s="251"/>
      <c r="BB41" s="251"/>
      <c r="BC41" s="277">
        <f t="shared" si="30"/>
        <v>0</v>
      </c>
      <c r="BD41" s="342"/>
      <c r="BE41" s="342"/>
      <c r="BF41" s="278">
        <f>'Road to 3k v2'!K41</f>
        <v>5</v>
      </c>
    </row>
    <row r="42" spans="1:58" ht="28" hidden="1" customHeight="1" x14ac:dyDescent="0.2">
      <c r="B42" s="199" t="s">
        <v>28</v>
      </c>
      <c r="C42" s="199" t="s">
        <v>29</v>
      </c>
      <c r="D42" s="199" t="s">
        <v>21</v>
      </c>
      <c r="E42" s="197" t="s">
        <v>22</v>
      </c>
      <c r="F42" s="206" t="s">
        <v>242</v>
      </c>
      <c r="G42" s="235" t="s">
        <v>17</v>
      </c>
      <c r="H42" s="239"/>
      <c r="I42" s="240"/>
      <c r="J42" s="240"/>
      <c r="K42" s="240"/>
      <c r="L42" s="240"/>
      <c r="M42" s="240"/>
      <c r="N42" s="241">
        <f t="shared" si="27"/>
        <v>0</v>
      </c>
      <c r="O42" s="248"/>
      <c r="P42" s="249"/>
      <c r="Q42" s="249"/>
      <c r="R42" s="249"/>
      <c r="S42" s="249"/>
      <c r="T42" s="249"/>
      <c r="U42" s="275">
        <f t="shared" si="28"/>
        <v>0</v>
      </c>
      <c r="V42" s="343"/>
      <c r="W42" s="343"/>
      <c r="X42" s="300"/>
      <c r="Y42" s="263"/>
      <c r="Z42" s="264"/>
      <c r="AA42" s="264"/>
      <c r="AB42" s="264"/>
      <c r="AC42" s="264"/>
      <c r="AD42" s="264"/>
      <c r="AE42" s="265"/>
      <c r="AF42" s="248"/>
      <c r="AG42" s="249"/>
      <c r="AH42" s="249"/>
      <c r="AI42" s="249"/>
      <c r="AJ42" s="249"/>
      <c r="AK42" s="249"/>
      <c r="AL42" s="275">
        <f t="shared" si="29"/>
        <v>0</v>
      </c>
      <c r="AM42" s="343"/>
      <c r="AN42" s="343"/>
      <c r="AO42" s="276"/>
      <c r="AP42" s="290"/>
      <c r="AQ42" s="291"/>
      <c r="AR42" s="291"/>
      <c r="AS42" s="291"/>
      <c r="AT42" s="291"/>
      <c r="AU42" s="291"/>
      <c r="AV42" s="292"/>
      <c r="AW42" s="248"/>
      <c r="AX42" s="249"/>
      <c r="AY42" s="249"/>
      <c r="AZ42" s="249"/>
      <c r="BA42" s="249"/>
      <c r="BB42" s="249"/>
      <c r="BC42" s="275">
        <f t="shared" si="30"/>
        <v>0</v>
      </c>
      <c r="BD42" s="343"/>
      <c r="BE42" s="343"/>
      <c r="BF42" s="276"/>
    </row>
    <row r="43" spans="1:58" ht="28" hidden="1" customHeight="1" x14ac:dyDescent="0.2">
      <c r="B43" s="200" t="s">
        <v>28</v>
      </c>
      <c r="C43" s="203" t="s">
        <v>92</v>
      </c>
      <c r="D43" s="202" t="s">
        <v>13</v>
      </c>
      <c r="E43" s="198" t="s">
        <v>14</v>
      </c>
      <c r="F43" s="207" t="s">
        <v>242</v>
      </c>
      <c r="G43" s="210" t="s">
        <v>17</v>
      </c>
      <c r="H43" s="242"/>
      <c r="I43" s="243"/>
      <c r="J43" s="243"/>
      <c r="K43" s="243"/>
      <c r="L43" s="243"/>
      <c r="M43" s="243"/>
      <c r="N43" s="244">
        <f t="shared" si="27"/>
        <v>0</v>
      </c>
      <c r="O43" s="250"/>
      <c r="P43" s="251"/>
      <c r="Q43" s="251"/>
      <c r="R43" s="251"/>
      <c r="S43" s="251"/>
      <c r="T43" s="251"/>
      <c r="U43" s="277">
        <f t="shared" si="28"/>
        <v>0</v>
      </c>
      <c r="V43" s="342"/>
      <c r="W43" s="342"/>
      <c r="X43" s="301"/>
      <c r="Y43" s="266"/>
      <c r="Z43" s="267"/>
      <c r="AA43" s="267"/>
      <c r="AB43" s="267"/>
      <c r="AC43" s="267"/>
      <c r="AD43" s="267"/>
      <c r="AE43" s="268"/>
      <c r="AF43" s="250"/>
      <c r="AG43" s="251"/>
      <c r="AH43" s="251"/>
      <c r="AI43" s="251"/>
      <c r="AJ43" s="251"/>
      <c r="AK43" s="251"/>
      <c r="AL43" s="277">
        <f t="shared" si="29"/>
        <v>0</v>
      </c>
      <c r="AM43" s="342"/>
      <c r="AN43" s="342"/>
      <c r="AO43" s="278">
        <f>'Road to 3k v2'!I44</f>
        <v>0</v>
      </c>
      <c r="AP43" s="284"/>
      <c r="AQ43" s="285"/>
      <c r="AR43" s="285"/>
      <c r="AS43" s="285"/>
      <c r="AT43" s="285"/>
      <c r="AU43" s="285"/>
      <c r="AV43" s="286"/>
      <c r="AW43" s="250"/>
      <c r="AX43" s="251"/>
      <c r="AY43" s="251"/>
      <c r="AZ43" s="251"/>
      <c r="BA43" s="251"/>
      <c r="BB43" s="251"/>
      <c r="BC43" s="277">
        <f t="shared" si="30"/>
        <v>0</v>
      </c>
      <c r="BD43" s="342"/>
      <c r="BE43" s="342"/>
      <c r="BF43" s="278"/>
    </row>
    <row r="44" spans="1:58" ht="28" hidden="1" customHeight="1" x14ac:dyDescent="0.2">
      <c r="B44" s="199" t="s">
        <v>31</v>
      </c>
      <c r="C44" s="199" t="s">
        <v>136</v>
      </c>
      <c r="D44" s="199" t="s">
        <v>21</v>
      </c>
      <c r="E44" s="197" t="s">
        <v>14</v>
      </c>
      <c r="F44" s="206" t="s">
        <v>242</v>
      </c>
      <c r="G44" s="235" t="s">
        <v>17</v>
      </c>
      <c r="H44" s="239"/>
      <c r="I44" s="240"/>
      <c r="J44" s="240"/>
      <c r="K44" s="240"/>
      <c r="L44" s="240"/>
      <c r="M44" s="240"/>
      <c r="N44" s="241">
        <f t="shared" si="27"/>
        <v>0</v>
      </c>
      <c r="O44" s="248"/>
      <c r="P44" s="249"/>
      <c r="Q44" s="249"/>
      <c r="R44" s="249"/>
      <c r="S44" s="249"/>
      <c r="T44" s="249"/>
      <c r="U44" s="275">
        <f t="shared" si="28"/>
        <v>0</v>
      </c>
      <c r="V44" s="343"/>
      <c r="W44" s="343"/>
      <c r="X44" s="300"/>
      <c r="Y44" s="263"/>
      <c r="Z44" s="264"/>
      <c r="AA44" s="264"/>
      <c r="AB44" s="264"/>
      <c r="AC44" s="264"/>
      <c r="AD44" s="264"/>
      <c r="AE44" s="265"/>
      <c r="AF44" s="248"/>
      <c r="AG44" s="249"/>
      <c r="AH44" s="249"/>
      <c r="AI44" s="249"/>
      <c r="AJ44" s="249"/>
      <c r="AK44" s="249"/>
      <c r="AL44" s="275">
        <f t="shared" si="29"/>
        <v>0</v>
      </c>
      <c r="AM44" s="343"/>
      <c r="AN44" s="343"/>
      <c r="AO44" s="276">
        <f>'Road to 3k v2'!I46</f>
        <v>0</v>
      </c>
      <c r="AP44" s="290"/>
      <c r="AQ44" s="291"/>
      <c r="AR44" s="291"/>
      <c r="AS44" s="291"/>
      <c r="AT44" s="291"/>
      <c r="AU44" s="291"/>
      <c r="AV44" s="292"/>
      <c r="AW44" s="248"/>
      <c r="AX44" s="249"/>
      <c r="AY44" s="249"/>
      <c r="AZ44" s="249"/>
      <c r="BA44" s="249"/>
      <c r="BB44" s="249"/>
      <c r="BC44" s="275">
        <f t="shared" si="30"/>
        <v>0</v>
      </c>
      <c r="BD44" s="343"/>
      <c r="BE44" s="343"/>
      <c r="BF44" s="276"/>
    </row>
    <row r="45" spans="1:58" ht="28" hidden="1" customHeight="1" x14ac:dyDescent="0.2">
      <c r="B45" s="200" t="s">
        <v>31</v>
      </c>
      <c r="C45" s="201" t="s">
        <v>34</v>
      </c>
      <c r="D45" s="202" t="s">
        <v>21</v>
      </c>
      <c r="E45" s="198" t="s">
        <v>35</v>
      </c>
      <c r="F45" s="207" t="s">
        <v>246</v>
      </c>
      <c r="G45" s="210" t="s">
        <v>17</v>
      </c>
      <c r="H45" s="242"/>
      <c r="I45" s="243"/>
      <c r="J45" s="243"/>
      <c r="K45" s="243"/>
      <c r="L45" s="243"/>
      <c r="M45" s="243"/>
      <c r="N45" s="244">
        <f t="shared" si="27"/>
        <v>0</v>
      </c>
      <c r="O45" s="250"/>
      <c r="P45" s="251"/>
      <c r="Q45" s="251"/>
      <c r="R45" s="251"/>
      <c r="S45" s="251"/>
      <c r="T45" s="251"/>
      <c r="U45" s="277">
        <f t="shared" si="28"/>
        <v>0</v>
      </c>
      <c r="V45" s="342"/>
      <c r="W45" s="342"/>
      <c r="X45" s="301"/>
      <c r="Y45" s="266"/>
      <c r="Z45" s="267"/>
      <c r="AA45" s="267"/>
      <c r="AB45" s="267"/>
      <c r="AC45" s="267"/>
      <c r="AD45" s="267"/>
      <c r="AE45" s="268"/>
      <c r="AF45" s="250"/>
      <c r="AG45" s="251"/>
      <c r="AH45" s="251"/>
      <c r="AI45" s="251"/>
      <c r="AJ45" s="251"/>
      <c r="AK45" s="251"/>
      <c r="AL45" s="277">
        <f t="shared" si="29"/>
        <v>0</v>
      </c>
      <c r="AM45" s="342"/>
      <c r="AN45" s="342"/>
      <c r="AO45" s="278">
        <f>'Road to 3k v2'!I47</f>
        <v>2.2999999999999998</v>
      </c>
      <c r="AP45" s="287"/>
      <c r="AQ45" s="288"/>
      <c r="AR45" s="288"/>
      <c r="AS45" s="288"/>
      <c r="AT45" s="288"/>
      <c r="AU45" s="288"/>
      <c r="AV45" s="289"/>
      <c r="AW45" s="250"/>
      <c r="AX45" s="251"/>
      <c r="AY45" s="251"/>
      <c r="AZ45" s="251"/>
      <c r="BA45" s="251"/>
      <c r="BB45" s="251"/>
      <c r="BC45" s="277">
        <f t="shared" si="30"/>
        <v>0</v>
      </c>
      <c r="BD45" s="342"/>
      <c r="BE45" s="342"/>
      <c r="BF45" s="278">
        <f>'Road to 3k v2'!K47</f>
        <v>1</v>
      </c>
    </row>
    <row r="46" spans="1:58" ht="28" hidden="1" customHeight="1" x14ac:dyDescent="0.2">
      <c r="B46" s="199" t="s">
        <v>36</v>
      </c>
      <c r="C46" s="199" t="s">
        <v>38</v>
      </c>
      <c r="D46" s="199" t="s">
        <v>21</v>
      </c>
      <c r="E46" s="197" t="s">
        <v>33</v>
      </c>
      <c r="F46" s="206" t="s">
        <v>242</v>
      </c>
      <c r="G46" s="235" t="s">
        <v>17</v>
      </c>
      <c r="H46" s="239"/>
      <c r="I46" s="240"/>
      <c r="J46" s="240"/>
      <c r="K46" s="240"/>
      <c r="L46" s="240"/>
      <c r="M46" s="240"/>
      <c r="N46" s="241">
        <f t="shared" si="27"/>
        <v>0</v>
      </c>
      <c r="O46" s="248"/>
      <c r="P46" s="249"/>
      <c r="Q46" s="249"/>
      <c r="R46" s="249"/>
      <c r="S46" s="249"/>
      <c r="T46" s="249"/>
      <c r="U46" s="275">
        <f t="shared" si="28"/>
        <v>0</v>
      </c>
      <c r="V46" s="343"/>
      <c r="W46" s="343"/>
      <c r="X46" s="300"/>
      <c r="Y46" s="263"/>
      <c r="Z46" s="264"/>
      <c r="AA46" s="264"/>
      <c r="AB46" s="264"/>
      <c r="AC46" s="264"/>
      <c r="AD46" s="264"/>
      <c r="AE46" s="265"/>
      <c r="AF46" s="248"/>
      <c r="AG46" s="249"/>
      <c r="AH46" s="249"/>
      <c r="AI46" s="249"/>
      <c r="AJ46" s="249"/>
      <c r="AK46" s="249"/>
      <c r="AL46" s="275">
        <f t="shared" si="29"/>
        <v>0</v>
      </c>
      <c r="AM46" s="343"/>
      <c r="AN46" s="343"/>
      <c r="AO46" s="276">
        <f>'Road to 3k v2'!I49</f>
        <v>2.2999999999999998</v>
      </c>
      <c r="AP46" s="290"/>
      <c r="AQ46" s="291"/>
      <c r="AR46" s="291"/>
      <c r="AS46" s="291"/>
      <c r="AT46" s="291"/>
      <c r="AU46" s="291"/>
      <c r="AV46" s="292"/>
      <c r="AW46" s="248"/>
      <c r="AX46" s="249"/>
      <c r="AY46" s="249"/>
      <c r="AZ46" s="249"/>
      <c r="BA46" s="249"/>
      <c r="BB46" s="249"/>
      <c r="BC46" s="275">
        <f t="shared" si="30"/>
        <v>0</v>
      </c>
      <c r="BD46" s="343"/>
      <c r="BE46" s="343"/>
      <c r="BF46" s="276"/>
    </row>
    <row r="47" spans="1:58" ht="28" hidden="1" customHeight="1" x14ac:dyDescent="0.2">
      <c r="B47" s="200" t="s">
        <v>36</v>
      </c>
      <c r="C47" s="203" t="s">
        <v>137</v>
      </c>
      <c r="D47" s="202" t="s">
        <v>13</v>
      </c>
      <c r="E47" s="198" t="s">
        <v>33</v>
      </c>
      <c r="F47" s="207" t="s">
        <v>242</v>
      </c>
      <c r="G47" s="210" t="s">
        <v>17</v>
      </c>
      <c r="H47" s="242"/>
      <c r="I47" s="243"/>
      <c r="J47" s="243"/>
      <c r="K47" s="243"/>
      <c r="L47" s="243"/>
      <c r="M47" s="243"/>
      <c r="N47" s="244">
        <f t="shared" si="27"/>
        <v>0</v>
      </c>
      <c r="O47" s="250"/>
      <c r="P47" s="251"/>
      <c r="Q47" s="251"/>
      <c r="R47" s="251"/>
      <c r="S47" s="251"/>
      <c r="T47" s="251"/>
      <c r="U47" s="277">
        <f t="shared" si="28"/>
        <v>0</v>
      </c>
      <c r="V47" s="342"/>
      <c r="W47" s="342"/>
      <c r="X47" s="301"/>
      <c r="Y47" s="266"/>
      <c r="Z47" s="267"/>
      <c r="AA47" s="267"/>
      <c r="AB47" s="267"/>
      <c r="AC47" s="267"/>
      <c r="AD47" s="267"/>
      <c r="AE47" s="268"/>
      <c r="AF47" s="250"/>
      <c r="AG47" s="251"/>
      <c r="AH47" s="251"/>
      <c r="AI47" s="251"/>
      <c r="AJ47" s="251"/>
      <c r="AK47" s="251"/>
      <c r="AL47" s="277">
        <f t="shared" si="29"/>
        <v>0</v>
      </c>
      <c r="AM47" s="342"/>
      <c r="AN47" s="342"/>
      <c r="AO47" s="278">
        <f>'Road to 3k v2'!I50</f>
        <v>0</v>
      </c>
      <c r="AP47" s="284"/>
      <c r="AQ47" s="285"/>
      <c r="AR47" s="285"/>
      <c r="AS47" s="285"/>
      <c r="AT47" s="285"/>
      <c r="AU47" s="285"/>
      <c r="AV47" s="286"/>
      <c r="AW47" s="250"/>
      <c r="AX47" s="251"/>
      <c r="AY47" s="251"/>
      <c r="AZ47" s="251"/>
      <c r="BA47" s="251"/>
      <c r="BB47" s="251"/>
      <c r="BC47" s="277">
        <f t="shared" si="30"/>
        <v>0</v>
      </c>
      <c r="BD47" s="342"/>
      <c r="BE47" s="342"/>
      <c r="BF47" s="278"/>
    </row>
    <row r="48" spans="1:58" ht="28" hidden="1" customHeight="1" x14ac:dyDescent="0.2">
      <c r="B48" s="199" t="s">
        <v>39</v>
      </c>
      <c r="C48" s="199" t="s">
        <v>40</v>
      </c>
      <c r="D48" s="199" t="s">
        <v>21</v>
      </c>
      <c r="E48" s="197" t="s">
        <v>33</v>
      </c>
      <c r="F48" s="208" t="s">
        <v>244</v>
      </c>
      <c r="G48" s="235" t="s">
        <v>17</v>
      </c>
      <c r="H48" s="239"/>
      <c r="I48" s="240"/>
      <c r="J48" s="240"/>
      <c r="K48" s="240"/>
      <c r="L48" s="240"/>
      <c r="M48" s="240"/>
      <c r="N48" s="241">
        <f t="shared" si="27"/>
        <v>0</v>
      </c>
      <c r="O48" s="248"/>
      <c r="P48" s="249"/>
      <c r="Q48" s="249"/>
      <c r="R48" s="249"/>
      <c r="S48" s="249"/>
      <c r="T48" s="249"/>
      <c r="U48" s="275">
        <f t="shared" si="28"/>
        <v>0</v>
      </c>
      <c r="V48" s="343"/>
      <c r="W48" s="343"/>
      <c r="X48" s="302" t="str">
        <f>'Road to 3k v2'!G52</f>
        <v>TARGET DAILY</v>
      </c>
      <c r="Y48" s="269"/>
      <c r="Z48" s="270"/>
      <c r="AA48" s="270"/>
      <c r="AB48" s="270"/>
      <c r="AC48" s="270"/>
      <c r="AD48" s="270"/>
      <c r="AE48" s="271"/>
      <c r="AF48" s="248"/>
      <c r="AG48" s="249"/>
      <c r="AH48" s="249"/>
      <c r="AI48" s="249"/>
      <c r="AJ48" s="249"/>
      <c r="AK48" s="249"/>
      <c r="AL48" s="275">
        <f t="shared" si="29"/>
        <v>0</v>
      </c>
      <c r="AM48" s="343"/>
      <c r="AN48" s="343"/>
      <c r="AO48" s="276"/>
      <c r="AP48" s="293"/>
      <c r="AQ48" s="294"/>
      <c r="AR48" s="294"/>
      <c r="AS48" s="294"/>
      <c r="AT48" s="294"/>
      <c r="AU48" s="294"/>
      <c r="AV48" s="295"/>
      <c r="AW48" s="248"/>
      <c r="AX48" s="249"/>
      <c r="AY48" s="249"/>
      <c r="AZ48" s="249"/>
      <c r="BA48" s="249"/>
      <c r="BB48" s="249"/>
      <c r="BC48" s="275">
        <f t="shared" si="30"/>
        <v>0</v>
      </c>
      <c r="BD48" s="343"/>
      <c r="BE48" s="343"/>
      <c r="BF48" s="276"/>
    </row>
    <row r="49" spans="2:58" ht="28" hidden="1" customHeight="1" x14ac:dyDescent="0.2">
      <c r="B49" s="200" t="s">
        <v>39</v>
      </c>
      <c r="C49" s="201" t="s">
        <v>41</v>
      </c>
      <c r="D49" s="202" t="s">
        <v>42</v>
      </c>
      <c r="E49" s="198" t="s">
        <v>35</v>
      </c>
      <c r="F49" s="207" t="s">
        <v>246</v>
      </c>
      <c r="G49" s="210" t="s">
        <v>17</v>
      </c>
      <c r="H49" s="242"/>
      <c r="I49" s="243"/>
      <c r="J49" s="243"/>
      <c r="K49" s="243"/>
      <c r="L49" s="243"/>
      <c r="M49" s="243"/>
      <c r="N49" s="244">
        <f t="shared" si="27"/>
        <v>0</v>
      </c>
      <c r="O49" s="250"/>
      <c r="P49" s="251"/>
      <c r="Q49" s="251"/>
      <c r="R49" s="251"/>
      <c r="S49" s="251"/>
      <c r="T49" s="251"/>
      <c r="U49" s="277">
        <f t="shared" si="28"/>
        <v>0</v>
      </c>
      <c r="V49" s="342"/>
      <c r="W49" s="342"/>
      <c r="X49" s="301"/>
      <c r="Y49" s="266"/>
      <c r="Z49" s="267"/>
      <c r="AA49" s="267"/>
      <c r="AB49" s="267"/>
      <c r="AC49" s="267"/>
      <c r="AD49" s="267"/>
      <c r="AE49" s="268"/>
      <c r="AF49" s="250"/>
      <c r="AG49" s="251"/>
      <c r="AH49" s="251"/>
      <c r="AI49" s="251"/>
      <c r="AJ49" s="251"/>
      <c r="AK49" s="251"/>
      <c r="AL49" s="277">
        <f t="shared" si="29"/>
        <v>0</v>
      </c>
      <c r="AM49" s="342"/>
      <c r="AN49" s="342"/>
      <c r="AO49" s="278">
        <f>'Road to 3k v2'!I53</f>
        <v>288.11107199999998</v>
      </c>
      <c r="AP49" s="284"/>
      <c r="AQ49" s="285"/>
      <c r="AR49" s="285"/>
      <c r="AS49" s="285"/>
      <c r="AT49" s="285"/>
      <c r="AU49" s="285"/>
      <c r="AV49" s="286"/>
      <c r="AW49" s="250"/>
      <c r="AX49" s="251"/>
      <c r="AY49" s="251"/>
      <c r="AZ49" s="251"/>
      <c r="BA49" s="251"/>
      <c r="BB49" s="251"/>
      <c r="BC49" s="277">
        <f t="shared" si="30"/>
        <v>0</v>
      </c>
      <c r="BD49" s="342"/>
      <c r="BE49" s="342"/>
      <c r="BF49" s="278">
        <f>'Road to 3k v2'!K53</f>
        <v>313.82570346105263</v>
      </c>
    </row>
    <row r="50" spans="2:58" ht="28" hidden="1" customHeight="1" x14ac:dyDescent="0.2">
      <c r="B50" s="199" t="s">
        <v>43</v>
      </c>
      <c r="C50" s="199" t="s">
        <v>44</v>
      </c>
      <c r="D50" s="199" t="s">
        <v>21</v>
      </c>
      <c r="E50" s="197" t="s">
        <v>35</v>
      </c>
      <c r="F50" s="207" t="s">
        <v>242</v>
      </c>
      <c r="G50" s="235" t="s">
        <v>17</v>
      </c>
      <c r="H50" s="239"/>
      <c r="I50" s="240"/>
      <c r="J50" s="240"/>
      <c r="K50" s="240"/>
      <c r="L50" s="240"/>
      <c r="M50" s="240"/>
      <c r="N50" s="241">
        <f t="shared" si="27"/>
        <v>0</v>
      </c>
      <c r="O50" s="248"/>
      <c r="P50" s="249"/>
      <c r="Q50" s="249"/>
      <c r="R50" s="249"/>
      <c r="S50" s="249"/>
      <c r="T50" s="249"/>
      <c r="U50" s="275">
        <f t="shared" si="28"/>
        <v>0</v>
      </c>
      <c r="V50" s="343"/>
      <c r="W50" s="343"/>
      <c r="X50" s="300"/>
      <c r="Y50" s="263"/>
      <c r="Z50" s="264"/>
      <c r="AA50" s="264"/>
      <c r="AB50" s="264"/>
      <c r="AC50" s="264"/>
      <c r="AD50" s="264"/>
      <c r="AE50" s="265"/>
      <c r="AF50" s="248"/>
      <c r="AG50" s="249"/>
      <c r="AH50" s="249"/>
      <c r="AI50" s="249"/>
      <c r="AJ50" s="249"/>
      <c r="AK50" s="249"/>
      <c r="AL50" s="275">
        <f t="shared" si="29"/>
        <v>0</v>
      </c>
      <c r="AM50" s="343"/>
      <c r="AN50" s="343"/>
      <c r="AO50" s="276">
        <f>'Road to 3k v2'!I54</f>
        <v>307.42649799999998</v>
      </c>
      <c r="AP50" s="290"/>
      <c r="AQ50" s="291"/>
      <c r="AR50" s="291"/>
      <c r="AS50" s="291"/>
      <c r="AT50" s="291"/>
      <c r="AU50" s="291"/>
      <c r="AV50" s="292"/>
      <c r="AW50" s="248"/>
      <c r="AX50" s="249"/>
      <c r="AY50" s="249"/>
      <c r="AZ50" s="249"/>
      <c r="BA50" s="249"/>
      <c r="BB50" s="249"/>
      <c r="BC50" s="275">
        <f t="shared" si="30"/>
        <v>0</v>
      </c>
      <c r="BD50" s="343"/>
      <c r="BE50" s="343"/>
      <c r="BF50" s="276"/>
    </row>
    <row r="51" spans="2:58" ht="28" hidden="1" customHeight="1" x14ac:dyDescent="0.2">
      <c r="B51" s="204" t="s">
        <v>45</v>
      </c>
      <c r="C51" s="237"/>
      <c r="D51" s="209" t="s">
        <v>42</v>
      </c>
      <c r="E51" s="205" t="s">
        <v>35</v>
      </c>
      <c r="F51" s="211" t="s">
        <v>245</v>
      </c>
      <c r="G51" s="210" t="s">
        <v>17</v>
      </c>
      <c r="H51" s="245"/>
      <c r="I51" s="246"/>
      <c r="J51" s="246"/>
      <c r="K51" s="246"/>
      <c r="L51" s="246"/>
      <c r="M51" s="246"/>
      <c r="N51" s="247">
        <f t="shared" si="27"/>
        <v>0</v>
      </c>
      <c r="O51" s="252"/>
      <c r="P51" s="253"/>
      <c r="Q51" s="253"/>
      <c r="R51" s="253"/>
      <c r="S51" s="253"/>
      <c r="T51" s="253"/>
      <c r="U51" s="279">
        <f t="shared" si="28"/>
        <v>0</v>
      </c>
      <c r="V51" s="344"/>
      <c r="W51" s="344"/>
      <c r="X51" s="303"/>
      <c r="Y51" s="272"/>
      <c r="Z51" s="273"/>
      <c r="AA51" s="273"/>
      <c r="AB51" s="273"/>
      <c r="AC51" s="273"/>
      <c r="AD51" s="273"/>
      <c r="AE51" s="274"/>
      <c r="AF51" s="252"/>
      <c r="AG51" s="253"/>
      <c r="AH51" s="253"/>
      <c r="AI51" s="253"/>
      <c r="AJ51" s="253"/>
      <c r="AK51" s="253"/>
      <c r="AL51" s="279">
        <f t="shared" si="29"/>
        <v>0</v>
      </c>
      <c r="AM51" s="344"/>
      <c r="AN51" s="344"/>
      <c r="AO51" s="280">
        <f>'Road to 3k v2'!I55</f>
        <v>60.270479999999999</v>
      </c>
      <c r="AP51" s="296"/>
      <c r="AQ51" s="297"/>
      <c r="AR51" s="297"/>
      <c r="AS51" s="297"/>
      <c r="AT51" s="297"/>
      <c r="AU51" s="297"/>
      <c r="AV51" s="298"/>
      <c r="AW51" s="252"/>
      <c r="AX51" s="253"/>
      <c r="AY51" s="253"/>
      <c r="AZ51" s="253"/>
      <c r="BA51" s="253"/>
      <c r="BB51" s="253"/>
      <c r="BC51" s="279">
        <f t="shared" si="30"/>
        <v>0</v>
      </c>
      <c r="BD51" s="344"/>
      <c r="BE51" s="344"/>
      <c r="BF51" s="280">
        <f>'Road to 3k v2'!K55</f>
        <v>70.880548571428577</v>
      </c>
    </row>
    <row r="52" spans="2:58" hidden="1" x14ac:dyDescent="0.2"/>
    <row r="55" spans="2:58" x14ac:dyDescent="0.2">
      <c r="H55" s="335"/>
    </row>
    <row r="57" spans="2:58" x14ac:dyDescent="0.2">
      <c r="B57" s="375" t="s">
        <v>262</v>
      </c>
      <c r="D57" s="89">
        <f>5400-3800</f>
        <v>1600</v>
      </c>
    </row>
    <row r="58" spans="2:58" x14ac:dyDescent="0.2">
      <c r="B58" s="375"/>
    </row>
    <row r="59" spans="2:58" x14ac:dyDescent="0.2">
      <c r="B59" s="440" t="str">
        <f>C10</f>
        <v>- Cake CL tăng app new (loại universal pool) từ 3k8 lên 5k4</v>
      </c>
      <c r="D59" s="238">
        <f>C62+1600</f>
        <v>10504.933333333332</v>
      </c>
    </row>
    <row r="60" spans="2:58" x14ac:dyDescent="0.2">
      <c r="B60" s="89" t="s">
        <v>89</v>
      </c>
      <c r="D60" s="238"/>
    </row>
    <row r="61" spans="2:58" ht="17" customHeight="1" x14ac:dyDescent="0.2">
      <c r="B61" s="376" t="s">
        <v>306</v>
      </c>
      <c r="C61" s="420" t="s">
        <v>303</v>
      </c>
      <c r="D61" s="421" t="s">
        <v>286</v>
      </c>
      <c r="E61" s="377" t="s">
        <v>267</v>
      </c>
    </row>
    <row r="62" spans="2:58" x14ac:dyDescent="0.2">
      <c r="B62" s="378" t="s">
        <v>268</v>
      </c>
      <c r="C62" s="379">
        <f>H10</f>
        <v>8904.9333333333325</v>
      </c>
      <c r="D62" s="379">
        <f>O10</f>
        <v>10105.519294930797</v>
      </c>
      <c r="E62" s="380">
        <f t="shared" ref="E62:E68" si="31">$E$71*G62</f>
        <v>-0.11880497444596549</v>
      </c>
      <c r="F62" s="395">
        <f>(D62-C62)/AVERAGE(C62:D62)</f>
        <v>0.12630798277916555</v>
      </c>
      <c r="G62" s="395">
        <f>F62/$F$71</f>
        <v>1</v>
      </c>
      <c r="H62" s="238">
        <f>D62+500</f>
        <v>10605.519294930797</v>
      </c>
    </row>
    <row r="63" spans="2:58" x14ac:dyDescent="0.2">
      <c r="B63" s="378" t="s">
        <v>259</v>
      </c>
      <c r="C63" s="584">
        <v>1</v>
      </c>
      <c r="D63" s="584">
        <v>1</v>
      </c>
      <c r="E63" s="380">
        <f t="shared" si="31"/>
        <v>0</v>
      </c>
      <c r="F63" s="395">
        <f t="shared" ref="F63:F70" si="32">(D63-C63)/AVERAGE(C63:D63)</f>
        <v>0</v>
      </c>
      <c r="G63" s="395">
        <f>F63/$F$71</f>
        <v>0</v>
      </c>
      <c r="H63" s="238"/>
    </row>
    <row r="64" spans="2:58" x14ac:dyDescent="0.2">
      <c r="B64" s="378" t="s">
        <v>260</v>
      </c>
      <c r="C64" s="584">
        <v>1</v>
      </c>
      <c r="D64" s="584">
        <v>1</v>
      </c>
      <c r="E64" s="380">
        <f t="shared" si="31"/>
        <v>0</v>
      </c>
      <c r="F64" s="395">
        <f t="shared" si="32"/>
        <v>0</v>
      </c>
      <c r="G64" s="395">
        <f>F64/$F$71</f>
        <v>0</v>
      </c>
      <c r="H64" s="238"/>
    </row>
    <row r="65" spans="2:9" x14ac:dyDescent="0.2">
      <c r="B65" s="388" t="s">
        <v>305</v>
      </c>
      <c r="C65" s="585">
        <f>C62*C63*C64</f>
        <v>8904.9333333333325</v>
      </c>
      <c r="D65" s="585">
        <f t="shared" ref="D65" si="33">D62*D63*D64</f>
        <v>10105.519294930797</v>
      </c>
      <c r="E65" s="586">
        <f t="shared" si="31"/>
        <v>0</v>
      </c>
      <c r="F65" s="395"/>
      <c r="G65" s="395"/>
      <c r="H65" s="238"/>
    </row>
    <row r="66" spans="2:9" x14ac:dyDescent="0.2">
      <c r="B66" s="381" t="s">
        <v>257</v>
      </c>
      <c r="C66" s="382">
        <f>K10</f>
        <v>0.16870764608705099</v>
      </c>
      <c r="D66" s="382">
        <f>R10</f>
        <v>0.16870764608705099</v>
      </c>
      <c r="E66" s="383">
        <f t="shared" si="31"/>
        <v>0</v>
      </c>
      <c r="F66" s="395">
        <f t="shared" si="32"/>
        <v>0</v>
      </c>
      <c r="G66" s="395">
        <f>F66/$F$71</f>
        <v>0</v>
      </c>
    </row>
    <row r="67" spans="2:9" x14ac:dyDescent="0.2">
      <c r="B67" s="381" t="s">
        <v>258</v>
      </c>
      <c r="C67" s="384">
        <f>L10</f>
        <v>0.73936406430411228</v>
      </c>
      <c r="D67" s="384">
        <f>S10</f>
        <v>0.73936406430411228</v>
      </c>
      <c r="E67" s="383">
        <f t="shared" si="31"/>
        <v>0</v>
      </c>
      <c r="F67" s="395">
        <f t="shared" si="32"/>
        <v>0</v>
      </c>
      <c r="G67" s="395">
        <f>F67/$F$71</f>
        <v>0</v>
      </c>
    </row>
    <row r="68" spans="2:9" x14ac:dyDescent="0.2">
      <c r="B68" s="385" t="s">
        <v>269</v>
      </c>
      <c r="C68" s="386">
        <v>1</v>
      </c>
      <c r="D68" s="386">
        <v>1</v>
      </c>
      <c r="E68" s="387">
        <f t="shared" si="31"/>
        <v>0</v>
      </c>
      <c r="F68" s="395">
        <f t="shared" si="32"/>
        <v>0</v>
      </c>
      <c r="G68" s="395">
        <f>F68/$F$71</f>
        <v>0</v>
      </c>
    </row>
    <row r="69" spans="2:9" x14ac:dyDescent="0.2">
      <c r="B69" s="388" t="s">
        <v>270</v>
      </c>
      <c r="C69" s="389">
        <f>C62*C66*C67*C68</f>
        <v>1110.7690670182969</v>
      </c>
      <c r="D69" s="389">
        <f t="shared" ref="D69" si="34">D62*D66*D67*D68</f>
        <v>1260.5258028095677</v>
      </c>
      <c r="E69" s="390">
        <f>SUM(E62:E68)</f>
        <v>-0.11880497444596549</v>
      </c>
    </row>
    <row r="70" spans="2:9" x14ac:dyDescent="0.2">
      <c r="B70" s="381" t="s">
        <v>290</v>
      </c>
      <c r="C70" s="391">
        <f>M10</f>
        <v>13.354991943651729</v>
      </c>
      <c r="D70" s="391">
        <f>T10</f>
        <v>13.354991943651729</v>
      </c>
      <c r="E70" s="383">
        <f>$E$71*G70</f>
        <v>0</v>
      </c>
      <c r="F70" s="359">
        <f t="shared" si="32"/>
        <v>0</v>
      </c>
      <c r="G70" s="395">
        <f>F70/$F$71</f>
        <v>0</v>
      </c>
    </row>
    <row r="71" spans="2:9" x14ac:dyDescent="0.2">
      <c r="B71" s="392" t="s">
        <v>291</v>
      </c>
      <c r="C71" s="393">
        <f>C69*C70</f>
        <v>14834.311941286904</v>
      </c>
      <c r="D71" s="393">
        <f t="shared" ref="D71" si="35">D69*D70</f>
        <v>16834.311941286905</v>
      </c>
      <c r="E71" s="394">
        <f>C71/D71-1</f>
        <v>-0.11880497444596549</v>
      </c>
      <c r="F71" s="395">
        <f>SUM(F62:F70)</f>
        <v>0.12630798277916555</v>
      </c>
      <c r="G71" s="395">
        <f>SUM(G62:G70)</f>
        <v>1</v>
      </c>
    </row>
    <row r="72" spans="2:9" x14ac:dyDescent="0.2">
      <c r="D72" s="441">
        <f>D71-C71</f>
        <v>2000.0000000000018</v>
      </c>
    </row>
    <row r="74" spans="2:9" x14ac:dyDescent="0.2">
      <c r="B74" s="89" t="str">
        <f>C19</f>
        <v>- Benchmark với Jan</v>
      </c>
    </row>
    <row r="75" spans="2:9" x14ac:dyDescent="0.2">
      <c r="B75" s="89" t="s">
        <v>40</v>
      </c>
    </row>
    <row r="76" spans="2:9" ht="34" customHeight="1" x14ac:dyDescent="0.2">
      <c r="B76" s="418" t="s">
        <v>272</v>
      </c>
      <c r="C76" s="420" t="s">
        <v>308</v>
      </c>
      <c r="D76" s="421" t="s">
        <v>296</v>
      </c>
      <c r="E76" s="417" t="s">
        <v>267</v>
      </c>
    </row>
    <row r="77" spans="2:9" x14ac:dyDescent="0.2">
      <c r="B77" s="412" t="s">
        <v>277</v>
      </c>
      <c r="C77" s="588">
        <f>8559/30</f>
        <v>285.3</v>
      </c>
      <c r="D77" s="402">
        <v>385</v>
      </c>
      <c r="E77" s="416">
        <f>$E$80*G77</f>
        <v>-0.25026734656368949</v>
      </c>
      <c r="F77" s="433">
        <f>(C77-D77)/AVERAGE(C77:D77)</f>
        <v>-0.29747874086230047</v>
      </c>
      <c r="G77" s="433">
        <f>F77/$F$80</f>
        <v>0.62481437086075764</v>
      </c>
      <c r="H77" s="233">
        <f>8559/30</f>
        <v>285.3</v>
      </c>
      <c r="I77" s="233">
        <f>11920/31</f>
        <v>384.51612903225805</v>
      </c>
    </row>
    <row r="78" spans="2:9" x14ac:dyDescent="0.2">
      <c r="B78" s="408" t="s">
        <v>257</v>
      </c>
      <c r="C78" s="587">
        <v>0.59489999999999998</v>
      </c>
      <c r="D78" s="404">
        <v>0.72309999999999997</v>
      </c>
      <c r="E78" s="409">
        <f t="shared" ref="E78:E79" si="36">$E$80*G78</f>
        <v>-0.1636631346839485</v>
      </c>
      <c r="F78" s="433">
        <f t="shared" ref="F78:F79" si="37">(C78-D78)/AVERAGE(C78:D78)</f>
        <v>-0.19453717754172986</v>
      </c>
      <c r="G78" s="433">
        <f t="shared" ref="G78:G79" si="38">F78/$F$80</f>
        <v>0.40859936357948817</v>
      </c>
    </row>
    <row r="79" spans="2:9" x14ac:dyDescent="0.2">
      <c r="B79" s="408" t="s">
        <v>258</v>
      </c>
      <c r="C79" s="587">
        <v>0.81100000000000005</v>
      </c>
      <c r="D79" s="404">
        <v>0.79820000000000002</v>
      </c>
      <c r="E79" s="409">
        <f t="shared" si="36"/>
        <v>1.3383761717298371E-2</v>
      </c>
      <c r="F79" s="433">
        <f t="shared" si="37"/>
        <v>1.590852597564011E-2</v>
      </c>
      <c r="G79" s="433">
        <f t="shared" si="38"/>
        <v>-3.3413734440245771E-2</v>
      </c>
    </row>
    <row r="80" spans="2:9" x14ac:dyDescent="0.2">
      <c r="B80" s="460" t="s">
        <v>295</v>
      </c>
      <c r="C80" s="461">
        <f>C77*C78*C79*30</f>
        <v>4129.4085201000007</v>
      </c>
      <c r="D80" s="461">
        <f>D77*D78*D79*31</f>
        <v>6888.6244426999992</v>
      </c>
      <c r="E80" s="462">
        <f>C80/D80-1</f>
        <v>-0.4005467195303396</v>
      </c>
      <c r="F80" s="434">
        <f>SUM(F77:F79)</f>
        <v>-0.47610739242839023</v>
      </c>
      <c r="G80" s="434">
        <f>SUM(G77:G79)</f>
        <v>1</v>
      </c>
    </row>
    <row r="81" spans="2:14" x14ac:dyDescent="0.2">
      <c r="C81" s="413"/>
      <c r="D81" s="413"/>
      <c r="E81" s="414"/>
      <c r="F81" s="469"/>
      <c r="G81" s="469"/>
      <c r="H81" s="470"/>
      <c r="I81" s="470"/>
    </row>
    <row r="82" spans="2:14" x14ac:dyDescent="0.2">
      <c r="B82" s="407" t="s">
        <v>279</v>
      </c>
      <c r="C82" s="424">
        <f>37211+C80</f>
        <v>41340.408520099998</v>
      </c>
      <c r="D82" s="424">
        <f>37211+D80</f>
        <v>44099.624442699998</v>
      </c>
      <c r="E82" s="426">
        <f>$E$86*G82</f>
        <v>-5.6315857093560767E-2</v>
      </c>
      <c r="F82" s="469">
        <f>(C82-D82)/AVERAGE(C82:D82)</f>
        <v>-6.4588362783084219E-2</v>
      </c>
      <c r="G82" s="469">
        <f>F82/$F$86</f>
        <v>0.22874050790726499</v>
      </c>
      <c r="H82" s="470"/>
      <c r="I82" s="470"/>
    </row>
    <row r="83" spans="2:14" x14ac:dyDescent="0.2">
      <c r="B83" s="408" t="s">
        <v>280</v>
      </c>
      <c r="C83" s="406">
        <v>0.1832</v>
      </c>
      <c r="D83" s="422">
        <v>0.2</v>
      </c>
      <c r="E83" s="415">
        <f t="shared" ref="E83:E85" si="39">$E$86*G83</f>
        <v>-7.6452237312239379E-2</v>
      </c>
      <c r="F83" s="469">
        <f t="shared" ref="F83:F85" si="40">(C83-D83)/AVERAGE(C83:D83)</f>
        <v>-8.7682672233820508E-2</v>
      </c>
      <c r="G83" s="469">
        <f>F83/$F$86</f>
        <v>0.31052929842468757</v>
      </c>
      <c r="H83" s="470"/>
      <c r="I83" s="470"/>
    </row>
    <row r="84" spans="2:14" x14ac:dyDescent="0.2">
      <c r="B84" s="472" t="s">
        <v>273</v>
      </c>
      <c r="C84" s="473">
        <f>C82*C83</f>
        <v>7573.5628408823195</v>
      </c>
      <c r="D84" s="473">
        <f>D82*D83</f>
        <v>8819.9248885399993</v>
      </c>
      <c r="E84" s="474"/>
      <c r="F84" s="469"/>
      <c r="G84" s="469"/>
      <c r="H84" s="470"/>
      <c r="I84" s="470"/>
    </row>
    <row r="85" spans="2:14" x14ac:dyDescent="0.2">
      <c r="B85" s="408" t="s">
        <v>293</v>
      </c>
      <c r="C85" s="423">
        <v>4.5648264530637164</v>
      </c>
      <c r="D85" s="423">
        <v>5.2</v>
      </c>
      <c r="E85" s="409">
        <f t="shared" si="39"/>
        <v>-0.11343166097986206</v>
      </c>
      <c r="F85" s="469">
        <f t="shared" si="40"/>
        <v>-0.13009418037060924</v>
      </c>
      <c r="G85" s="469">
        <f>F85/$F$86</f>
        <v>0.46073019366804746</v>
      </c>
      <c r="H85" s="470"/>
      <c r="I85" s="470"/>
    </row>
    <row r="86" spans="2:14" x14ac:dyDescent="0.2">
      <c r="B86" s="463" t="s">
        <v>292</v>
      </c>
      <c r="C86" s="464">
        <f>C84*C85</f>
        <v>34572</v>
      </c>
      <c r="D86" s="464">
        <f>D84*D85</f>
        <v>45863.609420408</v>
      </c>
      <c r="E86" s="465">
        <f>C86/D86-1</f>
        <v>-0.24619975538566219</v>
      </c>
      <c r="F86" s="471">
        <f>SUM(F82:F85)</f>
        <v>-0.28236521538751397</v>
      </c>
      <c r="G86" s="471">
        <f>SUM(G82:G85)</f>
        <v>1</v>
      </c>
      <c r="H86" s="470"/>
      <c r="I86" s="470"/>
    </row>
    <row r="87" spans="2:14" x14ac:dyDescent="0.2">
      <c r="B87" s="410" t="s">
        <v>294</v>
      </c>
      <c r="C87" s="411">
        <f>C86/30</f>
        <v>1152.4000000000001</v>
      </c>
      <c r="D87" s="411">
        <f>D86/31</f>
        <v>1479.4712716260644</v>
      </c>
      <c r="E87" s="466"/>
      <c r="F87" s="470"/>
      <c r="G87" s="470"/>
      <c r="H87" s="470"/>
      <c r="I87" s="470"/>
    </row>
    <row r="88" spans="2:14" x14ac:dyDescent="0.2">
      <c r="D88" s="401">
        <f>D87-C87</f>
        <v>327.07127162606434</v>
      </c>
      <c r="F88" s="470"/>
      <c r="G88" s="470"/>
      <c r="H88" s="470"/>
      <c r="I88" s="470"/>
    </row>
    <row r="89" spans="2:14" x14ac:dyDescent="0.2">
      <c r="C89" s="233"/>
    </row>
    <row r="90" spans="2:14" x14ac:dyDescent="0.2">
      <c r="C90" s="400"/>
    </row>
    <row r="91" spans="2:14" x14ac:dyDescent="0.2">
      <c r="B91" s="375" t="s">
        <v>141</v>
      </c>
      <c r="I91" s="375" t="s">
        <v>143</v>
      </c>
    </row>
    <row r="92" spans="2:14" x14ac:dyDescent="0.2">
      <c r="B92" s="375"/>
      <c r="C92" s="440"/>
    </row>
    <row r="93" spans="2:14" x14ac:dyDescent="0.2">
      <c r="B93" s="440" t="s">
        <v>16</v>
      </c>
      <c r="C93" s="440"/>
    </row>
    <row r="95" spans="2:14" ht="17.5" customHeight="1" x14ac:dyDescent="0.2">
      <c r="B95" s="376" t="s">
        <v>163</v>
      </c>
      <c r="C95" s="419" t="s">
        <v>303</v>
      </c>
      <c r="D95" s="419" t="s">
        <v>286</v>
      </c>
      <c r="E95" s="583" t="s">
        <v>304</v>
      </c>
      <c r="I95" s="376" t="s">
        <v>285</v>
      </c>
      <c r="J95" s="419" t="s">
        <v>263</v>
      </c>
      <c r="K95" s="419" t="s">
        <v>287</v>
      </c>
      <c r="L95" s="377" t="s">
        <v>267</v>
      </c>
    </row>
    <row r="96" spans="2:14" x14ac:dyDescent="0.2">
      <c r="B96" s="381" t="s">
        <v>281</v>
      </c>
      <c r="C96" s="435">
        <f>Y6</f>
        <v>4339.2666666666664</v>
      </c>
      <c r="D96" s="435">
        <f>AF6</f>
        <v>4339.2666666666664</v>
      </c>
      <c r="E96" s="383">
        <f>$E$105*G96</f>
        <v>0</v>
      </c>
      <c r="F96" s="359">
        <f>(D96-C96)/AVERAGE(C96:D96)</f>
        <v>0</v>
      </c>
      <c r="G96" s="359">
        <f>F96/$F$105</f>
        <v>0</v>
      </c>
      <c r="I96" s="381" t="s">
        <v>281</v>
      </c>
      <c r="J96" s="435">
        <f>AP7</f>
        <v>4339.2666666666664</v>
      </c>
      <c r="K96" s="435">
        <f>AW7</f>
        <v>4339.2666666666664</v>
      </c>
      <c r="L96" s="383">
        <f>$L$105*N96</f>
        <v>0</v>
      </c>
      <c r="M96" s="359">
        <f>(K96-J96)/AVERAGE(J96:K96)</f>
        <v>0</v>
      </c>
      <c r="N96" s="359">
        <f>M96/$M$105</f>
        <v>0</v>
      </c>
    </row>
    <row r="97" spans="2:14" x14ac:dyDescent="0.2">
      <c r="B97" s="381" t="s">
        <v>259</v>
      </c>
      <c r="C97" s="382">
        <f>Z6</f>
        <v>0.89147167724193033</v>
      </c>
      <c r="D97" s="382">
        <f>AG6</f>
        <v>0.89147167724193033</v>
      </c>
      <c r="E97" s="383">
        <f t="shared" ref="E97:E104" si="41">$E$105*G97</f>
        <v>0</v>
      </c>
      <c r="F97" s="359">
        <f t="shared" ref="F97:F104" si="42">(D97-C97)/AVERAGE(C97:D97)</f>
        <v>0</v>
      </c>
      <c r="G97" s="359">
        <f t="shared" ref="G97:G104" si="43">F97/$F$105</f>
        <v>0</v>
      </c>
      <c r="I97" s="381" t="s">
        <v>259</v>
      </c>
      <c r="J97" s="382">
        <f>AQ7</f>
        <v>0.89147167724193033</v>
      </c>
      <c r="K97" s="382">
        <f>AX7</f>
        <v>0.89147167724193033</v>
      </c>
      <c r="L97" s="383">
        <f t="shared" ref="L97:L104" si="44">$L$105*N97</f>
        <v>0</v>
      </c>
      <c r="M97" s="359">
        <f t="shared" ref="M97:M98" si="45">(K97-J97)/AVERAGE(J97:K97)</f>
        <v>0</v>
      </c>
      <c r="N97" s="359">
        <f t="shared" ref="N97:N104" si="46">M97/$M$105</f>
        <v>0</v>
      </c>
    </row>
    <row r="98" spans="2:14" x14ac:dyDescent="0.2">
      <c r="B98" s="381" t="s">
        <v>260</v>
      </c>
      <c r="C98" s="382">
        <f>AA6</f>
        <v>0.99914691943127965</v>
      </c>
      <c r="D98" s="382">
        <f>AH6</f>
        <v>0.99914691943127965</v>
      </c>
      <c r="E98" s="383">
        <f t="shared" si="41"/>
        <v>0</v>
      </c>
      <c r="F98" s="359">
        <f t="shared" si="42"/>
        <v>0</v>
      </c>
      <c r="G98" s="359">
        <f t="shared" si="43"/>
        <v>0</v>
      </c>
      <c r="I98" s="381" t="s">
        <v>260</v>
      </c>
      <c r="J98" s="382">
        <f>AR7</f>
        <v>0.99914691943127965</v>
      </c>
      <c r="K98" s="382">
        <f>AY7</f>
        <v>0.99914691943127965</v>
      </c>
      <c r="L98" s="383">
        <f t="shared" si="44"/>
        <v>0</v>
      </c>
      <c r="M98" s="359">
        <f t="shared" si="45"/>
        <v>0</v>
      </c>
      <c r="N98" s="359">
        <f t="shared" si="46"/>
        <v>0</v>
      </c>
    </row>
    <row r="99" spans="2:14" x14ac:dyDescent="0.2">
      <c r="B99" s="436" t="s">
        <v>282</v>
      </c>
      <c r="C99" s="437">
        <f>C96*C97*C98</f>
        <v>3865.0333333333338</v>
      </c>
      <c r="D99" s="437">
        <f t="shared" ref="D99" si="47">D96*D97*D98</f>
        <v>3865.0333333333338</v>
      </c>
      <c r="E99" s="438">
        <f>SUM(E96:E98)</f>
        <v>0</v>
      </c>
      <c r="I99" s="436" t="s">
        <v>282</v>
      </c>
      <c r="J99" s="437">
        <f>J96*J97*J98</f>
        <v>3865.0333333333338</v>
      </c>
      <c r="K99" s="437">
        <f t="shared" ref="K99" si="48">K96*K97*K98</f>
        <v>3865.0333333333338</v>
      </c>
      <c r="L99" s="438">
        <f>SUM(L96:L98)</f>
        <v>0</v>
      </c>
    </row>
    <row r="100" spans="2:14" x14ac:dyDescent="0.2">
      <c r="B100" s="381" t="s">
        <v>257</v>
      </c>
      <c r="C100" s="439">
        <f>AB6</f>
        <v>0.31496925425395211</v>
      </c>
      <c r="D100" s="382">
        <f>AI6</f>
        <v>0.31496925425395211</v>
      </c>
      <c r="E100" s="383">
        <f t="shared" si="41"/>
        <v>0</v>
      </c>
      <c r="F100" s="359">
        <f t="shared" si="42"/>
        <v>0</v>
      </c>
      <c r="G100" s="359">
        <f t="shared" si="43"/>
        <v>0</v>
      </c>
      <c r="I100" s="381" t="s">
        <v>257</v>
      </c>
      <c r="J100" s="439">
        <f>AS7</f>
        <v>0.31496925425395211</v>
      </c>
      <c r="K100" s="382">
        <f>AZ7</f>
        <v>0.31496925425395211</v>
      </c>
      <c r="L100" s="383">
        <f t="shared" si="44"/>
        <v>0</v>
      </c>
      <c r="M100" s="359">
        <f t="shared" ref="M100:M102" si="49">(K100-J100)/AVERAGE(J100:K100)</f>
        <v>0</v>
      </c>
      <c r="N100" s="359">
        <f t="shared" si="46"/>
        <v>0</v>
      </c>
    </row>
    <row r="101" spans="2:14" x14ac:dyDescent="0.2">
      <c r="B101" s="381" t="s">
        <v>258</v>
      </c>
      <c r="C101" s="382">
        <f>AC6</f>
        <v>0.84381588675008901</v>
      </c>
      <c r="D101" s="382">
        <f>AC6</f>
        <v>0.84381588675008901</v>
      </c>
      <c r="E101" s="383">
        <f t="shared" si="41"/>
        <v>0</v>
      </c>
      <c r="F101" s="359">
        <f t="shared" si="42"/>
        <v>0</v>
      </c>
      <c r="G101" s="359">
        <f t="shared" si="43"/>
        <v>0</v>
      </c>
      <c r="I101" s="381" t="s">
        <v>258</v>
      </c>
      <c r="J101" s="382">
        <f>AT7</f>
        <v>0.84381588675008901</v>
      </c>
      <c r="K101" s="382">
        <f>AT7</f>
        <v>0.84381588675008901</v>
      </c>
      <c r="L101" s="383">
        <f t="shared" si="44"/>
        <v>0</v>
      </c>
      <c r="M101" s="359">
        <f t="shared" si="49"/>
        <v>0</v>
      </c>
      <c r="N101" s="359">
        <f t="shared" si="46"/>
        <v>0</v>
      </c>
    </row>
    <row r="102" spans="2:14" x14ac:dyDescent="0.2">
      <c r="B102" s="385" t="s">
        <v>269</v>
      </c>
      <c r="C102" s="386">
        <v>1</v>
      </c>
      <c r="D102" s="386">
        <v>1</v>
      </c>
      <c r="E102" s="387">
        <f t="shared" si="41"/>
        <v>0</v>
      </c>
      <c r="F102" s="359">
        <f t="shared" si="42"/>
        <v>0</v>
      </c>
      <c r="G102" s="359">
        <f t="shared" si="43"/>
        <v>0</v>
      </c>
      <c r="I102" s="385" t="s">
        <v>269</v>
      </c>
      <c r="J102" s="386">
        <v>1</v>
      </c>
      <c r="K102" s="386">
        <v>1</v>
      </c>
      <c r="L102" s="387">
        <f t="shared" si="44"/>
        <v>0</v>
      </c>
      <c r="M102" s="359">
        <f t="shared" si="49"/>
        <v>0</v>
      </c>
      <c r="N102" s="359">
        <f t="shared" si="46"/>
        <v>0</v>
      </c>
    </row>
    <row r="103" spans="2:14" x14ac:dyDescent="0.2">
      <c r="B103" s="388" t="s">
        <v>270</v>
      </c>
      <c r="C103" s="389">
        <f>C99*C100*C101*C102</f>
        <v>1027.2333333333333</v>
      </c>
      <c r="D103" s="389">
        <f t="shared" ref="D103" si="50">D99*D100*D101*D102</f>
        <v>1027.2333333333333</v>
      </c>
      <c r="E103" s="390">
        <f>SUM(E100:E102)</f>
        <v>0</v>
      </c>
      <c r="I103" s="388" t="s">
        <v>270</v>
      </c>
      <c r="J103" s="389">
        <f>J99*J100*J101*J102</f>
        <v>1027.2333333333333</v>
      </c>
      <c r="K103" s="389">
        <f t="shared" ref="K103" si="51">K99*K100*K101*K102</f>
        <v>1027.2333333333333</v>
      </c>
      <c r="L103" s="390">
        <f>SUM(L100:L102)</f>
        <v>0</v>
      </c>
    </row>
    <row r="104" spans="2:14" x14ac:dyDescent="0.2">
      <c r="B104" s="381" t="s">
        <v>256</v>
      </c>
      <c r="C104" s="391">
        <f>AD6</f>
        <v>15.998010638585932</v>
      </c>
      <c r="D104" s="391">
        <f>AK6</f>
        <v>17.944987956300182</v>
      </c>
      <c r="E104" s="383">
        <f t="shared" si="41"/>
        <v>-0.10849699773861921</v>
      </c>
      <c r="F104" s="359">
        <f t="shared" si="42"/>
        <v>0.11472040764292307</v>
      </c>
      <c r="G104" s="359">
        <f t="shared" si="43"/>
        <v>1</v>
      </c>
      <c r="I104" s="381" t="s">
        <v>256</v>
      </c>
      <c r="J104" s="391">
        <f>AU7</f>
        <v>17.944987956300182</v>
      </c>
      <c r="K104" s="391">
        <f>BB7</f>
        <v>20.865453932871553</v>
      </c>
      <c r="L104" s="383">
        <f t="shared" si="44"/>
        <v>-0.13996656799162444</v>
      </c>
      <c r="M104" s="359">
        <f t="shared" ref="M104" si="52">(K104-J104)/AVERAGE(J104:K104)</f>
        <v>0.15049898091400979</v>
      </c>
      <c r="N104" s="359">
        <f t="shared" si="46"/>
        <v>1</v>
      </c>
    </row>
    <row r="105" spans="2:14" x14ac:dyDescent="0.2">
      <c r="B105" s="392" t="s">
        <v>271</v>
      </c>
      <c r="C105" s="393">
        <f>C103*C104</f>
        <v>16433.689794976755</v>
      </c>
      <c r="D105" s="393">
        <f t="shared" ref="D105" si="53">D103*D104</f>
        <v>18433.689794976755</v>
      </c>
      <c r="E105" s="394">
        <f>C105/D105-1</f>
        <v>-0.10849699773861921</v>
      </c>
      <c r="F105" s="359">
        <f>SUM(F96:F104)</f>
        <v>0.11472040764292307</v>
      </c>
      <c r="G105" s="359">
        <f>SUM(G96:G104)</f>
        <v>1</v>
      </c>
      <c r="I105" s="392" t="s">
        <v>271</v>
      </c>
      <c r="J105" s="393">
        <f>J103*J104</f>
        <v>18433.689794976755</v>
      </c>
      <c r="K105" s="393">
        <f t="shared" ref="K105" si="54">K103*K104</f>
        <v>21433.689794976755</v>
      </c>
      <c r="L105" s="394">
        <f>J105/K105-1</f>
        <v>-0.13996656799162444</v>
      </c>
      <c r="M105" s="359">
        <f>SUM(M96:M104)</f>
        <v>0.15049898091400979</v>
      </c>
      <c r="N105" s="359">
        <f>SUM(N96:N104)</f>
        <v>1</v>
      </c>
    </row>
    <row r="106" spans="2:14" x14ac:dyDescent="0.2">
      <c r="C106" s="233">
        <v>3000</v>
      </c>
      <c r="D106" s="401">
        <f>D105-C105</f>
        <v>2000</v>
      </c>
      <c r="K106" s="441">
        <f>K105-J105</f>
        <v>3000</v>
      </c>
    </row>
    <row r="107" spans="2:14" x14ac:dyDescent="0.2">
      <c r="B107" s="89" t="str">
        <f>C8</f>
        <v>- VDS PD tăng app từ 5k7 lên 6k (Jan benchmark)</v>
      </c>
      <c r="C107" s="399"/>
      <c r="D107" s="400">
        <f>D104/C104</f>
        <v>1.1217012140883502</v>
      </c>
      <c r="E107" s="400">
        <f>C104*1.1</f>
        <v>17.597811702444528</v>
      </c>
      <c r="F107" s="233">
        <f>D96*D97*D98*D100*D101*D102*E107</f>
        <v>18077.058774474433</v>
      </c>
      <c r="G107" s="233">
        <f>F107-C105</f>
        <v>1643.3689794976781</v>
      </c>
    </row>
    <row r="108" spans="2:14" x14ac:dyDescent="0.2">
      <c r="B108" s="89" t="s">
        <v>93</v>
      </c>
      <c r="D108" s="400"/>
      <c r="E108" s="335">
        <f>C104*1.3</f>
        <v>20.797413830161712</v>
      </c>
      <c r="F108" s="233">
        <f>D96*D97*D98*D100*D101*D102*E108</f>
        <v>21363.796733469782</v>
      </c>
      <c r="G108" s="233">
        <f>F108-C105</f>
        <v>4930.106938493027</v>
      </c>
      <c r="I108" s="89" t="str">
        <f>C11</f>
        <v>- Risk: request = approve (50%-70%)</v>
      </c>
    </row>
    <row r="109" spans="2:14" x14ac:dyDescent="0.2">
      <c r="B109" s="376" t="s">
        <v>283</v>
      </c>
      <c r="C109" s="419" t="s">
        <v>303</v>
      </c>
      <c r="D109" s="419" t="s">
        <v>286</v>
      </c>
      <c r="E109" s="377" t="s">
        <v>267</v>
      </c>
      <c r="I109" s="376" t="s">
        <v>288</v>
      </c>
      <c r="J109" s="419" t="s">
        <v>263</v>
      </c>
      <c r="K109" s="419" t="s">
        <v>287</v>
      </c>
      <c r="L109" s="377" t="s">
        <v>267</v>
      </c>
    </row>
    <row r="110" spans="2:14" x14ac:dyDescent="0.2">
      <c r="B110" s="381" t="s">
        <v>281</v>
      </c>
      <c r="C110" s="435">
        <f>Y8</f>
        <v>5798.1333333333332</v>
      </c>
      <c r="D110" s="435">
        <f>AF8</f>
        <v>9090.5121737381141</v>
      </c>
      <c r="E110" s="383">
        <f>$E$119*G110</f>
        <v>-0.36217748543544614</v>
      </c>
      <c r="F110" s="359">
        <f>(D110-C110)/AVERAGE(C110:D110)</f>
        <v>0.44226707376988011</v>
      </c>
      <c r="G110" s="359">
        <f>F110/$F$119</f>
        <v>1</v>
      </c>
      <c r="I110" s="381" t="s">
        <v>281</v>
      </c>
      <c r="J110" s="435">
        <f>AP11</f>
        <v>8904.9333333333325</v>
      </c>
      <c r="K110" s="435">
        <f>AW11</f>
        <v>8904.9333333333325</v>
      </c>
      <c r="L110" s="383">
        <f>$L$119*N110</f>
        <v>0</v>
      </c>
      <c r="M110" s="359">
        <f>(K110-J110)/AVERAGE(J110:K110)</f>
        <v>0</v>
      </c>
      <c r="N110" s="359">
        <f>M110/$M$119</f>
        <v>0</v>
      </c>
    </row>
    <row r="111" spans="2:14" x14ac:dyDescent="0.2">
      <c r="B111" s="381" t="s">
        <v>259</v>
      </c>
      <c r="C111" s="382">
        <f>Z8</f>
        <v>0.7592845973416732</v>
      </c>
      <c r="D111" s="382">
        <f>AG8</f>
        <v>0.7592845973416732</v>
      </c>
      <c r="E111" s="383">
        <f t="shared" ref="E111:E118" si="55">$E$119*G111</f>
        <v>0</v>
      </c>
      <c r="F111" s="359">
        <f t="shared" ref="F111:F112" si="56">(D111-C111)/AVERAGE(C111:D111)</f>
        <v>0</v>
      </c>
      <c r="G111" s="359">
        <f t="shared" ref="G111:G118" si="57">F111/$F$119</f>
        <v>0</v>
      </c>
      <c r="I111" s="381" t="s">
        <v>259</v>
      </c>
      <c r="J111" s="382">
        <f>AQ11</f>
        <v>1</v>
      </c>
      <c r="K111" s="382">
        <f>AX11</f>
        <v>1</v>
      </c>
      <c r="L111" s="383">
        <f t="shared" ref="L111:L118" si="58">$L$119*N111</f>
        <v>0</v>
      </c>
      <c r="M111" s="359">
        <f t="shared" ref="M111:M112" si="59">(K111-J111)/AVERAGE(J111:K111)</f>
        <v>0</v>
      </c>
      <c r="N111" s="359">
        <f t="shared" ref="N111:N118" si="60">M111/$M$119</f>
        <v>0</v>
      </c>
    </row>
    <row r="112" spans="2:14" x14ac:dyDescent="0.2">
      <c r="B112" s="381" t="s">
        <v>260</v>
      </c>
      <c r="C112" s="382">
        <f>AA8</f>
        <v>0.99887183603007423</v>
      </c>
      <c r="D112" s="382">
        <f>AH8</f>
        <v>0.99887183603007423</v>
      </c>
      <c r="E112" s="383">
        <f t="shared" si="55"/>
        <v>0</v>
      </c>
      <c r="F112" s="359">
        <f t="shared" si="56"/>
        <v>0</v>
      </c>
      <c r="G112" s="359">
        <f t="shared" si="57"/>
        <v>0</v>
      </c>
      <c r="I112" s="381" t="s">
        <v>260</v>
      </c>
      <c r="J112" s="382">
        <f>AR11</f>
        <v>1</v>
      </c>
      <c r="K112" s="382">
        <f>AY11</f>
        <v>1</v>
      </c>
      <c r="L112" s="383">
        <f t="shared" si="58"/>
        <v>0</v>
      </c>
      <c r="M112" s="359">
        <f t="shared" si="59"/>
        <v>0</v>
      </c>
      <c r="N112" s="359">
        <f t="shared" si="60"/>
        <v>0</v>
      </c>
    </row>
    <row r="113" spans="2:14" x14ac:dyDescent="0.2">
      <c r="B113" s="436" t="s">
        <v>282</v>
      </c>
      <c r="C113" s="437">
        <f>C110*C111*C112</f>
        <v>4397.4666666666662</v>
      </c>
      <c r="D113" s="437">
        <f t="shared" ref="D113" si="61">D110*D111*D112</f>
        <v>6894.4989652314935</v>
      </c>
      <c r="E113" s="438">
        <f>SUM(E110:E112)</f>
        <v>-0.36217748543544614</v>
      </c>
      <c r="I113" s="436" t="s">
        <v>282</v>
      </c>
      <c r="J113" s="437">
        <f>J110*J111*J112</f>
        <v>8904.9333333333325</v>
      </c>
      <c r="K113" s="437">
        <f t="shared" ref="K113" si="62">K110*K111*K112</f>
        <v>8904.9333333333325</v>
      </c>
      <c r="L113" s="438">
        <f>SUM(L110:L112)</f>
        <v>0</v>
      </c>
    </row>
    <row r="114" spans="2:14" x14ac:dyDescent="0.2">
      <c r="B114" s="381" t="s">
        <v>257</v>
      </c>
      <c r="C114" s="439">
        <f>AB8</f>
        <v>0.60826688093144543</v>
      </c>
      <c r="D114" s="382">
        <f>AI8</f>
        <v>0.60826688093144543</v>
      </c>
      <c r="E114" s="383">
        <f t="shared" si="55"/>
        <v>0</v>
      </c>
      <c r="F114" s="359">
        <f t="shared" ref="F114:F116" si="63">(D114-C114)/AVERAGE(C114:D114)</f>
        <v>0</v>
      </c>
      <c r="G114" s="359">
        <f t="shared" si="57"/>
        <v>0</v>
      </c>
      <c r="I114" s="381" t="s">
        <v>257</v>
      </c>
      <c r="J114" s="439">
        <f>AS11</f>
        <v>0.16870764608705099</v>
      </c>
      <c r="K114" s="382">
        <f>AZ11</f>
        <v>0.16870764608705099</v>
      </c>
      <c r="L114" s="383">
        <f t="shared" si="58"/>
        <v>0</v>
      </c>
      <c r="M114" s="359">
        <f t="shared" ref="M114:M116" si="64">(K114-J114)/AVERAGE(J114:K114)</f>
        <v>0</v>
      </c>
      <c r="N114" s="359">
        <f t="shared" si="60"/>
        <v>0</v>
      </c>
    </row>
    <row r="115" spans="2:14" x14ac:dyDescent="0.2">
      <c r="B115" s="381" t="s">
        <v>258</v>
      </c>
      <c r="C115" s="382">
        <f>AC8</f>
        <v>0.91426257087669016</v>
      </c>
      <c r="D115" s="382">
        <f>AC8</f>
        <v>0.91426257087669016</v>
      </c>
      <c r="E115" s="383">
        <f t="shared" si="55"/>
        <v>0</v>
      </c>
      <c r="F115" s="359">
        <f t="shared" si="63"/>
        <v>0</v>
      </c>
      <c r="G115" s="359">
        <f t="shared" si="57"/>
        <v>0</v>
      </c>
      <c r="I115" s="381" t="s">
        <v>258</v>
      </c>
      <c r="J115" s="382">
        <f>AT11</f>
        <v>0.73936406430411228</v>
      </c>
      <c r="K115" s="382">
        <f>AT11</f>
        <v>0.73936406430411228</v>
      </c>
      <c r="L115" s="383">
        <f t="shared" si="58"/>
        <v>0</v>
      </c>
      <c r="M115" s="359">
        <f t="shared" si="64"/>
        <v>0</v>
      </c>
      <c r="N115" s="359">
        <f t="shared" si="60"/>
        <v>0</v>
      </c>
    </row>
    <row r="116" spans="2:14" x14ac:dyDescent="0.2">
      <c r="B116" s="385" t="s">
        <v>269</v>
      </c>
      <c r="C116" s="386">
        <v>1</v>
      </c>
      <c r="D116" s="386">
        <v>1</v>
      </c>
      <c r="E116" s="387">
        <f t="shared" si="55"/>
        <v>0</v>
      </c>
      <c r="F116" s="359">
        <f t="shared" si="63"/>
        <v>0</v>
      </c>
      <c r="G116" s="359">
        <f t="shared" si="57"/>
        <v>0</v>
      </c>
      <c r="I116" s="385" t="s">
        <v>269</v>
      </c>
      <c r="J116" s="386">
        <v>1</v>
      </c>
      <c r="K116" s="386">
        <v>1</v>
      </c>
      <c r="L116" s="387">
        <f t="shared" si="58"/>
        <v>0</v>
      </c>
      <c r="M116" s="359">
        <f t="shared" si="64"/>
        <v>0</v>
      </c>
      <c r="N116" s="359">
        <f t="shared" si="60"/>
        <v>0</v>
      </c>
    </row>
    <row r="117" spans="2:14" x14ac:dyDescent="0.2">
      <c r="B117" s="388" t="s">
        <v>270</v>
      </c>
      <c r="C117" s="389">
        <f>C113*C114*C115*C116</f>
        <v>2445.5</v>
      </c>
      <c r="D117" s="389">
        <f t="shared" ref="D117" si="65">D113*D114*D115*D116</f>
        <v>3834.1387206589293</v>
      </c>
      <c r="E117" s="390">
        <f>SUM(E114:E116)</f>
        <v>0</v>
      </c>
      <c r="I117" s="388" t="s">
        <v>270</v>
      </c>
      <c r="J117" s="389">
        <f>J113*J114*J115*J116</f>
        <v>1110.7690670182969</v>
      </c>
      <c r="K117" s="389">
        <f t="shared" ref="K117" si="66">K113*K114*K115*K116</f>
        <v>1110.7690670182969</v>
      </c>
      <c r="L117" s="390">
        <f>SUM(L114:L116)</f>
        <v>0</v>
      </c>
    </row>
    <row r="118" spans="2:14" x14ac:dyDescent="0.2">
      <c r="B118" s="381" t="s">
        <v>256</v>
      </c>
      <c r="C118" s="391">
        <f>AD8</f>
        <v>4.5479334020412878</v>
      </c>
      <c r="D118" s="391">
        <f>AK8</f>
        <v>4.5479334020412878</v>
      </c>
      <c r="E118" s="383">
        <f t="shared" si="55"/>
        <v>0</v>
      </c>
      <c r="F118" s="359">
        <f t="shared" ref="F118" si="67">(D118-C118)/AVERAGE(C118:D118)</f>
        <v>0</v>
      </c>
      <c r="G118" s="359">
        <f t="shared" si="57"/>
        <v>0</v>
      </c>
      <c r="I118" s="381" t="s">
        <v>256</v>
      </c>
      <c r="J118" s="391">
        <f>AU11</f>
        <v>16.055823366742292</v>
      </c>
      <c r="K118" s="391">
        <f>BB11</f>
        <v>18.756654789832851</v>
      </c>
      <c r="L118" s="383">
        <f t="shared" si="58"/>
        <v>-0.14399323617954307</v>
      </c>
      <c r="M118" s="359">
        <f t="shared" ref="M118" si="68">(K118-J118)/AVERAGE(J118:K118)</f>
        <v>0.15516455972729679</v>
      </c>
      <c r="N118" s="359">
        <f t="shared" si="60"/>
        <v>1</v>
      </c>
    </row>
    <row r="119" spans="2:14" x14ac:dyDescent="0.2">
      <c r="B119" s="392" t="s">
        <v>271</v>
      </c>
      <c r="C119" s="393">
        <f>C117*C118</f>
        <v>11121.971134691968</v>
      </c>
      <c r="D119" s="393">
        <f t="shared" ref="D119" si="69">D117*D118</f>
        <v>17437.407555744594</v>
      </c>
      <c r="E119" s="394">
        <f>C119/D119-1</f>
        <v>-0.36217748543544614</v>
      </c>
      <c r="F119" s="359">
        <f>SUM(F110:F118)</f>
        <v>0.44226707376988011</v>
      </c>
      <c r="G119" s="359">
        <f>SUM(G110:G118)</f>
        <v>1</v>
      </c>
      <c r="I119" s="392" t="s">
        <v>271</v>
      </c>
      <c r="J119" s="393">
        <f>J117*J118</f>
        <v>17834.311941286905</v>
      </c>
      <c r="K119" s="393">
        <f t="shared" ref="K119" si="70">K117*K118</f>
        <v>20834.311941286905</v>
      </c>
      <c r="L119" s="394">
        <f>J119/K119-1</f>
        <v>-0.14399323617954307</v>
      </c>
      <c r="M119" s="359">
        <f>SUM(M110:M118)</f>
        <v>0.15516455972729679</v>
      </c>
      <c r="N119" s="359">
        <f>SUM(N110:N118)</f>
        <v>1</v>
      </c>
    </row>
    <row r="120" spans="2:14" x14ac:dyDescent="0.2">
      <c r="D120" s="441">
        <f>D119-C119</f>
        <v>6315.4364210526255</v>
      </c>
      <c r="K120" s="441">
        <f>K119-J119</f>
        <v>3000</v>
      </c>
      <c r="M120" s="400"/>
    </row>
    <row r="121" spans="2:14" x14ac:dyDescent="0.2">
      <c r="B121" s="89" t="str">
        <f>C9</f>
        <v>- Tăng ticket nhóm repeat từ 4,7tr lên 5tr2</v>
      </c>
      <c r="D121" s="238"/>
      <c r="I121" s="89" t="str">
        <f>C16</f>
        <v>- Pool non-score</v>
      </c>
    </row>
    <row r="122" spans="2:14" x14ac:dyDescent="0.2">
      <c r="B122" s="89" t="s">
        <v>73</v>
      </c>
      <c r="I122" s="376" t="s">
        <v>166</v>
      </c>
      <c r="J122" s="419" t="s">
        <v>263</v>
      </c>
      <c r="K122" s="419" t="s">
        <v>287</v>
      </c>
      <c r="L122" s="377" t="s">
        <v>267</v>
      </c>
    </row>
    <row r="123" spans="2:14" x14ac:dyDescent="0.2">
      <c r="B123" s="376" t="s">
        <v>284</v>
      </c>
      <c r="C123" s="419" t="s">
        <v>303</v>
      </c>
      <c r="D123" s="419" t="s">
        <v>286</v>
      </c>
      <c r="E123" s="377" t="s">
        <v>267</v>
      </c>
      <c r="I123" s="381" t="s">
        <v>281</v>
      </c>
      <c r="J123" s="435">
        <f>AP16</f>
        <v>1442.9256983287412</v>
      </c>
      <c r="K123" s="435">
        <f>AW16</f>
        <v>1652.7180633241489</v>
      </c>
      <c r="L123" s="383">
        <f>$L$132*N123</f>
        <v>-0.12693778185823645</v>
      </c>
      <c r="M123" s="359">
        <f>(K123-J123)/AVERAGE(J123:K123)</f>
        <v>0.1355403794158738</v>
      </c>
      <c r="N123" s="359">
        <f>M123/$M$132</f>
        <v>1</v>
      </c>
    </row>
    <row r="124" spans="2:14" x14ac:dyDescent="0.2">
      <c r="B124" s="381" t="s">
        <v>281</v>
      </c>
      <c r="C124" s="435">
        <f>Y9</f>
        <v>5798.1333333333332</v>
      </c>
      <c r="D124" s="435">
        <f>AF9</f>
        <v>5798.1333333333332</v>
      </c>
      <c r="E124" s="383">
        <f>$E$133*G124</f>
        <v>0</v>
      </c>
      <c r="F124" s="359">
        <f>(D124-C124)/AVERAGE(C124:D124)</f>
        <v>0</v>
      </c>
      <c r="G124" s="359">
        <f>F124/$F$133</f>
        <v>0</v>
      </c>
      <c r="I124" s="381" t="s">
        <v>259</v>
      </c>
      <c r="J124" s="382">
        <f>AQ16</f>
        <v>0.80215710655782013</v>
      </c>
      <c r="K124" s="382">
        <f>AX16</f>
        <v>0.80215710655782013</v>
      </c>
      <c r="L124" s="383">
        <f t="shared" ref="L124:L131" si="71">$L$132*N124</f>
        <v>0</v>
      </c>
      <c r="M124" s="359">
        <f t="shared" ref="M124:M125" si="72">(K124-J124)/AVERAGE(J124:K124)</f>
        <v>0</v>
      </c>
      <c r="N124" s="359">
        <f t="shared" ref="N124:N131" si="73">M124/$M$132</f>
        <v>0</v>
      </c>
    </row>
    <row r="125" spans="2:14" x14ac:dyDescent="0.2">
      <c r="B125" s="381" t="s">
        <v>259</v>
      </c>
      <c r="C125" s="382">
        <f>Z9</f>
        <v>0.7592845973416732</v>
      </c>
      <c r="D125" s="382">
        <f>AG9</f>
        <v>0.7592845973416732</v>
      </c>
      <c r="E125" s="383">
        <f t="shared" ref="E125:E132" si="74">$E$133*G125</f>
        <v>0</v>
      </c>
      <c r="F125" s="359">
        <f t="shared" ref="F125:F126" si="75">(D125-C125)/AVERAGE(C125:D125)</f>
        <v>0</v>
      </c>
      <c r="G125" s="359">
        <f t="shared" ref="G125:G132" si="76">F125/$F$133</f>
        <v>0</v>
      </c>
      <c r="I125" s="381" t="s">
        <v>260</v>
      </c>
      <c r="J125" s="382">
        <f>AR16</f>
        <v>0.99841617523167647</v>
      </c>
      <c r="K125" s="382">
        <f>AY16</f>
        <v>0.99841617523167647</v>
      </c>
      <c r="L125" s="383">
        <f t="shared" si="71"/>
        <v>0</v>
      </c>
      <c r="M125" s="359">
        <f t="shared" si="72"/>
        <v>0</v>
      </c>
      <c r="N125" s="359">
        <f t="shared" si="73"/>
        <v>0</v>
      </c>
    </row>
    <row r="126" spans="2:14" x14ac:dyDescent="0.2">
      <c r="B126" s="381" t="s">
        <v>260</v>
      </c>
      <c r="C126" s="382">
        <f>AA9</f>
        <v>0.99887183603007423</v>
      </c>
      <c r="D126" s="382">
        <f>AH9</f>
        <v>0.99887183603007423</v>
      </c>
      <c r="E126" s="383">
        <f t="shared" si="74"/>
        <v>0</v>
      </c>
      <c r="F126" s="359">
        <f t="shared" si="75"/>
        <v>0</v>
      </c>
      <c r="G126" s="359">
        <f t="shared" si="76"/>
        <v>0</v>
      </c>
      <c r="I126" s="436" t="s">
        <v>282</v>
      </c>
      <c r="J126" s="437">
        <f>J123*J124*J125</f>
        <v>1155.6199002563642</v>
      </c>
      <c r="K126" s="437">
        <f t="shared" ref="K126" si="77">K123*K124*K125</f>
        <v>1323.6398005127285</v>
      </c>
      <c r="L126" s="438">
        <f>SUM(L123:L125)</f>
        <v>-0.12693778185823645</v>
      </c>
    </row>
    <row r="127" spans="2:14" x14ac:dyDescent="0.2">
      <c r="B127" s="436" t="s">
        <v>282</v>
      </c>
      <c r="C127" s="437">
        <f>C124*C125*C126</f>
        <v>4397.4666666666662</v>
      </c>
      <c r="D127" s="437">
        <f t="shared" ref="D127" si="78">D124*D125*D126</f>
        <v>4397.4666666666662</v>
      </c>
      <c r="E127" s="438">
        <f>SUM(E124:E126)</f>
        <v>0</v>
      </c>
      <c r="I127" s="381" t="s">
        <v>257</v>
      </c>
      <c r="J127" s="439">
        <f>AS16</f>
        <v>0.44147428108545972</v>
      </c>
      <c r="K127" s="382">
        <f>AZ16</f>
        <v>0.44147428108545972</v>
      </c>
      <c r="L127" s="383">
        <f t="shared" si="71"/>
        <v>0</v>
      </c>
      <c r="M127" s="359">
        <f t="shared" ref="M127:M129" si="79">(K127-J127)/AVERAGE(J127:K127)</f>
        <v>0</v>
      </c>
      <c r="N127" s="359">
        <f t="shared" si="73"/>
        <v>0</v>
      </c>
    </row>
    <row r="128" spans="2:14" x14ac:dyDescent="0.2">
      <c r="B128" s="381" t="s">
        <v>257</v>
      </c>
      <c r="C128" s="439">
        <f>AB9</f>
        <v>0.60826688093144543</v>
      </c>
      <c r="D128" s="382">
        <f>AI9</f>
        <v>0.60826688093144543</v>
      </c>
      <c r="E128" s="383">
        <f t="shared" si="74"/>
        <v>0</v>
      </c>
      <c r="F128" s="359">
        <f t="shared" ref="F128:F130" si="80">(D128-C128)/AVERAGE(C128:D128)</f>
        <v>0</v>
      </c>
      <c r="G128" s="359">
        <f t="shared" si="76"/>
        <v>0</v>
      </c>
      <c r="I128" s="381" t="s">
        <v>258</v>
      </c>
      <c r="J128" s="382">
        <f>AT16</f>
        <v>0.95214067278287462</v>
      </c>
      <c r="K128" s="382">
        <f>AT16</f>
        <v>0.95214067278287462</v>
      </c>
      <c r="L128" s="383">
        <f t="shared" si="71"/>
        <v>0</v>
      </c>
      <c r="M128" s="359">
        <f t="shared" si="79"/>
        <v>0</v>
      </c>
      <c r="N128" s="359">
        <f t="shared" si="73"/>
        <v>0</v>
      </c>
    </row>
    <row r="129" spans="2:14" x14ac:dyDescent="0.2">
      <c r="B129" s="381" t="s">
        <v>258</v>
      </c>
      <c r="C129" s="382">
        <f>AC9</f>
        <v>0.91426257087669016</v>
      </c>
      <c r="D129" s="382">
        <f>AC9</f>
        <v>0.91426257087669016</v>
      </c>
      <c r="E129" s="383">
        <f t="shared" si="74"/>
        <v>0</v>
      </c>
      <c r="F129" s="359">
        <f t="shared" si="80"/>
        <v>0</v>
      </c>
      <c r="G129" s="359">
        <f t="shared" si="76"/>
        <v>0</v>
      </c>
      <c r="I129" s="385" t="s">
        <v>269</v>
      </c>
      <c r="J129" s="386">
        <v>1</v>
      </c>
      <c r="K129" s="386">
        <v>1</v>
      </c>
      <c r="L129" s="387">
        <f t="shared" si="71"/>
        <v>0</v>
      </c>
      <c r="M129" s="359">
        <f t="shared" si="79"/>
        <v>0</v>
      </c>
      <c r="N129" s="359">
        <f t="shared" si="73"/>
        <v>0</v>
      </c>
    </row>
    <row r="130" spans="2:14" x14ac:dyDescent="0.2">
      <c r="B130" s="385" t="s">
        <v>269</v>
      </c>
      <c r="C130" s="386">
        <v>1</v>
      </c>
      <c r="D130" s="386">
        <v>1</v>
      </c>
      <c r="E130" s="387">
        <f t="shared" si="74"/>
        <v>0</v>
      </c>
      <c r="F130" s="359">
        <f t="shared" si="80"/>
        <v>0</v>
      </c>
      <c r="G130" s="359">
        <f t="shared" si="76"/>
        <v>0</v>
      </c>
      <c r="I130" s="388" t="s">
        <v>270</v>
      </c>
      <c r="J130" s="389">
        <f>J126*J127*J128*J129</f>
        <v>485.75976231243288</v>
      </c>
      <c r="K130" s="389">
        <f t="shared" ref="K130" si="81">K126*K127*K128*K129</f>
        <v>556.38619129153244</v>
      </c>
      <c r="L130" s="390">
        <f>SUM(L127:L129)</f>
        <v>0</v>
      </c>
    </row>
    <row r="131" spans="2:14" x14ac:dyDescent="0.2">
      <c r="B131" s="388" t="s">
        <v>270</v>
      </c>
      <c r="C131" s="389">
        <f>C127*C128*C129*C130</f>
        <v>2445.5</v>
      </c>
      <c r="D131" s="389">
        <f t="shared" ref="D131" si="82">D127*D128*D129*D130</f>
        <v>2445.5</v>
      </c>
      <c r="E131" s="390">
        <f>SUM(E128:E130)</f>
        <v>0</v>
      </c>
      <c r="I131" s="381" t="s">
        <v>256</v>
      </c>
      <c r="J131" s="391">
        <f>AU16</f>
        <v>14.159005551532708</v>
      </c>
      <c r="K131" s="391">
        <f>BB16</f>
        <v>14.159005551532708</v>
      </c>
      <c r="L131" s="383">
        <f t="shared" si="71"/>
        <v>0</v>
      </c>
      <c r="M131" s="359">
        <f t="shared" ref="M131" si="83">(K131-J131)/AVERAGE(J131:K131)</f>
        <v>0</v>
      </c>
      <c r="N131" s="359">
        <f t="shared" si="73"/>
        <v>0</v>
      </c>
    </row>
    <row r="132" spans="2:14" x14ac:dyDescent="0.2">
      <c r="B132" s="381" t="s">
        <v>256</v>
      </c>
      <c r="C132" s="391">
        <f>AD9</f>
        <v>4.5479334020412878</v>
      </c>
      <c r="D132" s="391">
        <f>AK9</f>
        <v>10.435970629602114</v>
      </c>
      <c r="E132" s="383">
        <f t="shared" si="74"/>
        <v>-0.56420599832459639</v>
      </c>
      <c r="F132" s="359">
        <f t="shared" ref="F132" si="84">(D132-C132)/AVERAGE(C132:D132)</f>
        <v>0.78591496783833026</v>
      </c>
      <c r="G132" s="359">
        <f t="shared" si="76"/>
        <v>1</v>
      </c>
      <c r="I132" s="392" t="s">
        <v>271</v>
      </c>
      <c r="J132" s="393">
        <f>J130*J131</f>
        <v>6877.8751712929461</v>
      </c>
      <c r="K132" s="393">
        <f t="shared" ref="K132" si="85">K130*K131</f>
        <v>7877.875171292947</v>
      </c>
      <c r="L132" s="394">
        <f>J132/K132-1</f>
        <v>-0.12693778185823645</v>
      </c>
      <c r="M132" s="359">
        <f>SUM(M123:M131)</f>
        <v>0.1355403794158738</v>
      </c>
      <c r="N132" s="359">
        <f>SUM(N123:N131)</f>
        <v>1</v>
      </c>
    </row>
    <row r="133" spans="2:14" x14ac:dyDescent="0.2">
      <c r="B133" s="392" t="s">
        <v>271</v>
      </c>
      <c r="C133" s="393">
        <f>C131*C132</f>
        <v>11121.971134691968</v>
      </c>
      <c r="D133" s="393">
        <f t="shared" ref="D133" si="86">D131*D132</f>
        <v>25521.166174691971</v>
      </c>
      <c r="E133" s="394">
        <f>C133/D133-1</f>
        <v>-0.56420599832459639</v>
      </c>
      <c r="F133" s="359">
        <f>SUM(F124:F132)</f>
        <v>0.78591496783833026</v>
      </c>
      <c r="G133" s="359">
        <f>SUM(G124:G132)</f>
        <v>1</v>
      </c>
      <c r="K133" s="441">
        <f>K132-J132</f>
        <v>1000.0000000000009</v>
      </c>
    </row>
    <row r="134" spans="2:14" x14ac:dyDescent="0.2">
      <c r="D134" s="401">
        <f>D133-C133</f>
        <v>14399.195040000002</v>
      </c>
    </row>
    <row r="135" spans="2:14" x14ac:dyDescent="0.2">
      <c r="B135" s="89" t="s">
        <v>94</v>
      </c>
    </row>
    <row r="136" spans="2:14" x14ac:dyDescent="0.2">
      <c r="B136" s="89" t="str">
        <f>C11</f>
        <v>- Risk: request = approve (50%-70%)</v>
      </c>
      <c r="I136" s="89" t="str">
        <f>C20</f>
        <v>- Live CD 1:1</v>
      </c>
      <c r="J136" s="446"/>
      <c r="K136" s="446"/>
      <c r="L136" s="446"/>
    </row>
    <row r="137" spans="2:14" x14ac:dyDescent="0.2">
      <c r="B137" s="376" t="s">
        <v>164</v>
      </c>
      <c r="C137" s="419" t="s">
        <v>303</v>
      </c>
      <c r="D137" s="419" t="s">
        <v>286</v>
      </c>
      <c r="E137" s="377" t="s">
        <v>267</v>
      </c>
      <c r="I137" s="418" t="s">
        <v>272</v>
      </c>
      <c r="J137" s="419" t="s">
        <v>289</v>
      </c>
      <c r="K137" s="419" t="s">
        <v>264</v>
      </c>
      <c r="L137" s="417" t="s">
        <v>267</v>
      </c>
      <c r="M137" s="359"/>
      <c r="N137" s="359"/>
    </row>
    <row r="138" spans="2:14" x14ac:dyDescent="0.2">
      <c r="B138" s="381" t="s">
        <v>281</v>
      </c>
      <c r="C138" s="435">
        <f>Y11</f>
        <v>8904.9333333333325</v>
      </c>
      <c r="D138" s="435">
        <v>11500</v>
      </c>
      <c r="E138" s="383">
        <f>$E$147*G138</f>
        <v>-0.20987551723973069</v>
      </c>
      <c r="F138" s="359">
        <f>(D138-C138)/AVERAGE(C138:D138)</f>
        <v>0.25435678953455709</v>
      </c>
      <c r="G138" s="359">
        <f>F138/$F$147</f>
        <v>0.62842157244929808</v>
      </c>
      <c r="I138" s="412" t="s">
        <v>277</v>
      </c>
      <c r="J138" s="402">
        <v>286</v>
      </c>
      <c r="K138" s="459">
        <v>5200</v>
      </c>
      <c r="L138" s="416">
        <f>$L$141*N138</f>
        <v>-0.94499999999999995</v>
      </c>
      <c r="M138" s="359">
        <f>(K138-J138)/AVERAGE(J138:K138)</f>
        <v>1.7914691943127963</v>
      </c>
      <c r="N138" s="359">
        <f>M138/$M$141</f>
        <v>1</v>
      </c>
    </row>
    <row r="139" spans="2:14" x14ac:dyDescent="0.2">
      <c r="B139" s="381" t="s">
        <v>259</v>
      </c>
      <c r="C139" s="382">
        <f>Z11</f>
        <v>1</v>
      </c>
      <c r="D139" s="382">
        <f>AG11</f>
        <v>1</v>
      </c>
      <c r="E139" s="383">
        <f t="shared" ref="E139:E146" si="87">$E$147*G139</f>
        <v>0</v>
      </c>
      <c r="F139" s="359">
        <f t="shared" ref="F139:F140" si="88">(D139-C139)/AVERAGE(C139:D139)</f>
        <v>0</v>
      </c>
      <c r="G139" s="359">
        <f t="shared" ref="G139:G146" si="89">F139/$F$147</f>
        <v>0</v>
      </c>
      <c r="I139" s="408" t="s">
        <v>257</v>
      </c>
      <c r="J139" s="404">
        <v>0.60399999999999998</v>
      </c>
      <c r="K139" s="404">
        <f>J139</f>
        <v>0.60399999999999998</v>
      </c>
      <c r="L139" s="409">
        <f t="shared" ref="L139:L140" si="90">$L$141*N139</f>
        <v>0</v>
      </c>
      <c r="M139" s="359">
        <f t="shared" ref="M139:M140" si="91">(K139-J139)/AVERAGE(J139:K139)</f>
        <v>0</v>
      </c>
      <c r="N139" s="359">
        <f t="shared" ref="N139:N140" si="92">M139/$M$141</f>
        <v>0</v>
      </c>
    </row>
    <row r="140" spans="2:14" x14ac:dyDescent="0.2">
      <c r="B140" s="381" t="s">
        <v>260</v>
      </c>
      <c r="C140" s="382">
        <f>AA11</f>
        <v>1</v>
      </c>
      <c r="D140" s="382">
        <f>AH11</f>
        <v>1</v>
      </c>
      <c r="E140" s="383">
        <f t="shared" si="87"/>
        <v>0</v>
      </c>
      <c r="F140" s="359">
        <f t="shared" si="88"/>
        <v>0</v>
      </c>
      <c r="G140" s="359">
        <f t="shared" si="89"/>
        <v>0</v>
      </c>
      <c r="I140" s="408" t="s">
        <v>258</v>
      </c>
      <c r="J140" s="404">
        <v>0.81200000000000006</v>
      </c>
      <c r="K140" s="404">
        <f t="shared" ref="K140" si="93">J140</f>
        <v>0.81200000000000006</v>
      </c>
      <c r="L140" s="409">
        <f t="shared" si="90"/>
        <v>0</v>
      </c>
      <c r="M140" s="359">
        <f t="shared" si="91"/>
        <v>0</v>
      </c>
      <c r="N140" s="359">
        <f t="shared" si="92"/>
        <v>0</v>
      </c>
    </row>
    <row r="141" spans="2:14" x14ac:dyDescent="0.2">
      <c r="B141" s="436" t="s">
        <v>282</v>
      </c>
      <c r="C141" s="437">
        <f>C138*C139*C140</f>
        <v>8904.9333333333325</v>
      </c>
      <c r="D141" s="437">
        <f t="shared" ref="D141" si="94">D138*D139*D140</f>
        <v>11500</v>
      </c>
      <c r="E141" s="438">
        <f>SUM(E138:E140)</f>
        <v>-0.20987551723973069</v>
      </c>
      <c r="I141" s="430" t="s">
        <v>278</v>
      </c>
      <c r="J141" s="431">
        <f>J138*J139*J140*30</f>
        <v>4208.0438400000003</v>
      </c>
      <c r="K141" s="431">
        <f>K138*K139*K140*30</f>
        <v>76509.888000000006</v>
      </c>
      <c r="L141" s="432">
        <f>J141/K141-1</f>
        <v>-0.94499999999999995</v>
      </c>
      <c r="M141" s="414">
        <f>SUM(M138:M140)</f>
        <v>1.7914691943127963</v>
      </c>
      <c r="N141" s="414">
        <f>SUM(N138:N140)</f>
        <v>1</v>
      </c>
    </row>
    <row r="142" spans="2:14" x14ac:dyDescent="0.2">
      <c r="B142" s="381" t="s">
        <v>257</v>
      </c>
      <c r="C142" s="439">
        <f>AB11</f>
        <v>0.16870764608705099</v>
      </c>
      <c r="D142" s="382">
        <f>AI11</f>
        <v>0.16870764608705099</v>
      </c>
      <c r="E142" s="383">
        <f t="shared" si="87"/>
        <v>0</v>
      </c>
      <c r="F142" s="359">
        <f t="shared" ref="F142:F144" si="95">(D142-C142)/AVERAGE(C142:D142)</f>
        <v>0</v>
      </c>
      <c r="G142" s="359">
        <f t="shared" si="89"/>
        <v>0</v>
      </c>
      <c r="J142" s="413"/>
      <c r="K142" s="413"/>
      <c r="L142" s="414"/>
      <c r="M142" s="238"/>
      <c r="N142" s="359"/>
    </row>
    <row r="143" spans="2:14" x14ac:dyDescent="0.2">
      <c r="B143" s="381" t="s">
        <v>258</v>
      </c>
      <c r="C143" s="382">
        <f>AC11</f>
        <v>0.73936406430411228</v>
      </c>
      <c r="D143" s="382">
        <f>AC11</f>
        <v>0.73936406430411228</v>
      </c>
      <c r="E143" s="383">
        <f t="shared" si="87"/>
        <v>0</v>
      </c>
      <c r="F143" s="359">
        <f t="shared" si="95"/>
        <v>0</v>
      </c>
      <c r="G143" s="359">
        <f t="shared" si="89"/>
        <v>0</v>
      </c>
      <c r="I143" s="407" t="s">
        <v>279</v>
      </c>
      <c r="J143" s="424">
        <f>37211+(J141*3)</f>
        <v>49835.131520000003</v>
      </c>
      <c r="K143" s="424">
        <f>37211+(J141*2)+K141</f>
        <v>122136.97568</v>
      </c>
      <c r="L143" s="426">
        <f>$L$147*N143</f>
        <v>-0.29598671392286441</v>
      </c>
      <c r="M143" s="359">
        <f t="shared" ref="M143:M146" si="96">(K143-J143)/AVERAGE(J143:K143)</f>
        <v>0.84085547752129897</v>
      </c>
      <c r="N143" s="359">
        <f>M143/$M$147</f>
        <v>0.50000000000000011</v>
      </c>
    </row>
    <row r="144" spans="2:14" x14ac:dyDescent="0.2">
      <c r="B144" s="385" t="s">
        <v>269</v>
      </c>
      <c r="C144" s="386">
        <v>1</v>
      </c>
      <c r="D144" s="386">
        <v>1</v>
      </c>
      <c r="E144" s="387">
        <f t="shared" si="87"/>
        <v>0</v>
      </c>
      <c r="F144" s="359">
        <f t="shared" si="95"/>
        <v>0</v>
      </c>
      <c r="G144" s="359">
        <f t="shared" si="89"/>
        <v>0</v>
      </c>
      <c r="I144" s="408" t="s">
        <v>280</v>
      </c>
      <c r="J144" s="406">
        <v>0.2014</v>
      </c>
      <c r="K144" s="422">
        <f>J144</f>
        <v>0.2014</v>
      </c>
      <c r="L144" s="415">
        <f t="shared" ref="L144:L146" si="97">$L$147*N144</f>
        <v>0</v>
      </c>
      <c r="M144" s="359">
        <f t="shared" si="96"/>
        <v>0</v>
      </c>
      <c r="N144" s="359">
        <f t="shared" ref="N144:N146" si="98">M144/$M$147</f>
        <v>0</v>
      </c>
    </row>
    <row r="145" spans="2:14" x14ac:dyDescent="0.2">
      <c r="B145" s="388" t="s">
        <v>270</v>
      </c>
      <c r="C145" s="389">
        <f>C141*C142*C143*C144</f>
        <v>1110.7690670182969</v>
      </c>
      <c r="D145" s="389">
        <f t="shared" ref="D145" si="99">D141*D142*D143*D144</f>
        <v>1434.4682652361705</v>
      </c>
      <c r="E145" s="390">
        <f>SUM(E142:E144)</f>
        <v>0</v>
      </c>
      <c r="I145" s="408" t="s">
        <v>273</v>
      </c>
      <c r="J145" s="405">
        <f>J143*J144</f>
        <v>10036.795488128</v>
      </c>
      <c r="K145" s="405">
        <f>K143*K144</f>
        <v>24598.386901951999</v>
      </c>
      <c r="L145" s="409">
        <f t="shared" si="97"/>
        <v>-0.2959867139228643</v>
      </c>
      <c r="M145" s="359">
        <f t="shared" si="96"/>
        <v>0.84085547752129874</v>
      </c>
      <c r="N145" s="359">
        <f t="shared" si="98"/>
        <v>0.49999999999999994</v>
      </c>
    </row>
    <row r="146" spans="2:14" x14ac:dyDescent="0.2">
      <c r="B146" s="381" t="s">
        <v>256</v>
      </c>
      <c r="C146" s="391">
        <f>AD11</f>
        <v>13.354991943651729</v>
      </c>
      <c r="D146" s="391">
        <v>15.526883501755204</v>
      </c>
      <c r="E146" s="383">
        <f t="shared" si="87"/>
        <v>-0.124096972631571</v>
      </c>
      <c r="F146" s="359">
        <f t="shared" ref="F146" si="100">(D146-C146)/AVERAGE(C146:D146)</f>
        <v>0.1503982358907977</v>
      </c>
      <c r="G146" s="359">
        <f t="shared" si="89"/>
        <v>0.37157842755070192</v>
      </c>
      <c r="I146" s="408" t="s">
        <v>274</v>
      </c>
      <c r="J146" s="403">
        <v>4.2</v>
      </c>
      <c r="K146" s="423">
        <f>J146</f>
        <v>4.2</v>
      </c>
      <c r="L146" s="409">
        <f t="shared" si="97"/>
        <v>0</v>
      </c>
      <c r="M146" s="359">
        <f t="shared" si="96"/>
        <v>0</v>
      </c>
      <c r="N146" s="359">
        <f t="shared" si="98"/>
        <v>0</v>
      </c>
    </row>
    <row r="147" spans="2:14" x14ac:dyDescent="0.2">
      <c r="B147" s="392" t="s">
        <v>271</v>
      </c>
      <c r="C147" s="393">
        <f>C145*C146</f>
        <v>14834.311941286904</v>
      </c>
      <c r="D147" s="393">
        <f t="shared" ref="D147" si="101">D145*D146</f>
        <v>22272.821641286904</v>
      </c>
      <c r="E147" s="394">
        <f>C147/D147-1</f>
        <v>-0.33397248987130168</v>
      </c>
      <c r="F147" s="359">
        <f>SUM(F138:F146)</f>
        <v>0.4047550254253548</v>
      </c>
      <c r="G147" s="359">
        <f>SUM(G138:G146)</f>
        <v>1</v>
      </c>
      <c r="I147" s="427" t="s">
        <v>275</v>
      </c>
      <c r="J147" s="428">
        <f>J145*J146</f>
        <v>42154.541050137603</v>
      </c>
      <c r="K147" s="428">
        <f>K145*K146</f>
        <v>103313.2249881984</v>
      </c>
      <c r="L147" s="429">
        <f>J147/K147-1</f>
        <v>-0.59197342784572871</v>
      </c>
      <c r="M147" s="359">
        <f>SUM(M143:M146)</f>
        <v>1.6817109550425977</v>
      </c>
      <c r="N147" s="359">
        <f>SUM(N143:N146)</f>
        <v>1</v>
      </c>
    </row>
    <row r="148" spans="2:14" x14ac:dyDescent="0.2">
      <c r="D148" s="441">
        <f>D147-C147</f>
        <v>7438.5097000000005</v>
      </c>
      <c r="E148" s="233">
        <f>'Road to 3k v2 (2)'!I12+'Road to 3k v2 (2)'!I13</f>
        <v>7438509700</v>
      </c>
      <c r="I148" s="410" t="s">
        <v>276</v>
      </c>
      <c r="J148" s="411">
        <f>J147/30</f>
        <v>1405.1513683379201</v>
      </c>
      <c r="K148" s="411">
        <f>K147/30</f>
        <v>3443.7741662732801</v>
      </c>
      <c r="L148" s="425"/>
    </row>
    <row r="149" spans="2:14" x14ac:dyDescent="0.2">
      <c r="B149" s="89" t="str">
        <f>C14</f>
        <v>- Ticket size 4,5-6mil (repeat segment)</v>
      </c>
      <c r="D149" s="233">
        <f>C147+(E148/1000000)</f>
        <v>22272.821641286904</v>
      </c>
      <c r="E149" s="233"/>
      <c r="K149" s="401">
        <f>K148-J148</f>
        <v>2038.62279793536</v>
      </c>
      <c r="M149" s="359"/>
      <c r="N149" s="359"/>
    </row>
    <row r="150" spans="2:14" x14ac:dyDescent="0.2">
      <c r="B150" s="89" t="s">
        <v>297</v>
      </c>
      <c r="D150" s="335">
        <f>D149/(D138*D142*D143*D144)</f>
        <v>15.526883501755204</v>
      </c>
      <c r="I150"/>
      <c r="J150" s="42"/>
      <c r="K150" s="447">
        <f>J148+2000</f>
        <v>3405.1513683379198</v>
      </c>
      <c r="L150" s="42"/>
      <c r="N150" s="359"/>
    </row>
    <row r="151" spans="2:14" x14ac:dyDescent="0.2">
      <c r="B151" s="376" t="s">
        <v>165</v>
      </c>
      <c r="C151" s="419" t="s">
        <v>303</v>
      </c>
      <c r="D151" s="419" t="s">
        <v>286</v>
      </c>
      <c r="E151" s="377" t="s">
        <v>267</v>
      </c>
      <c r="I151"/>
      <c r="J151" s="42"/>
      <c r="K151" s="447">
        <f>K150*30</f>
        <v>102154.5410501376</v>
      </c>
      <c r="L151" s="42"/>
      <c r="M151" s="359"/>
      <c r="N151" s="359"/>
    </row>
    <row r="152" spans="2:14" x14ac:dyDescent="0.2">
      <c r="B152" s="381" t="s">
        <v>281</v>
      </c>
      <c r="C152" s="435">
        <f>Y14</f>
        <v>8682.2333333333336</v>
      </c>
      <c r="D152" s="435">
        <v>9900</v>
      </c>
      <c r="E152" s="383">
        <f>$E$161*G152</f>
        <v>-0.11586363573917972</v>
      </c>
      <c r="F152" s="359">
        <f>(D152-C152)/AVERAGE(C152:D152)</f>
        <v>0.13106784796230089</v>
      </c>
      <c r="G152" s="359">
        <f>F152/$F$161</f>
        <v>0.51526525070538942</v>
      </c>
      <c r="I152" s="448"/>
      <c r="J152" s="449"/>
      <c r="K152" s="449"/>
      <c r="L152" s="450"/>
    </row>
    <row r="153" spans="2:14" x14ac:dyDescent="0.2">
      <c r="B153" s="381" t="s">
        <v>259</v>
      </c>
      <c r="C153" s="382">
        <f>Z14</f>
        <v>1</v>
      </c>
      <c r="D153" s="382">
        <f>AG14</f>
        <v>1</v>
      </c>
      <c r="E153" s="383">
        <f t="shared" ref="E153:E160" si="102">$E$161*G153</f>
        <v>0</v>
      </c>
      <c r="F153" s="359">
        <f t="shared" ref="F153:F154" si="103">(D153-C153)/AVERAGE(C153:D153)</f>
        <v>0</v>
      </c>
      <c r="G153" s="359">
        <f t="shared" ref="G153:G160" si="104">F153/$F$161</f>
        <v>0</v>
      </c>
      <c r="I153"/>
      <c r="J153" s="451"/>
      <c r="K153" s="42"/>
      <c r="L153" s="42"/>
      <c r="M153" s="359"/>
      <c r="N153" s="359"/>
    </row>
    <row r="154" spans="2:14" x14ac:dyDescent="0.2">
      <c r="B154" s="381" t="s">
        <v>260</v>
      </c>
      <c r="C154" s="382">
        <f>AA14</f>
        <v>1</v>
      </c>
      <c r="D154" s="382">
        <f>AH14</f>
        <v>1</v>
      </c>
      <c r="E154" s="383">
        <f t="shared" si="102"/>
        <v>0</v>
      </c>
      <c r="F154" s="359">
        <f t="shared" si="103"/>
        <v>0</v>
      </c>
      <c r="G154" s="359">
        <f t="shared" si="104"/>
        <v>0</v>
      </c>
      <c r="I154"/>
      <c r="J154" s="42"/>
      <c r="K154" s="42"/>
      <c r="L154" s="42"/>
      <c r="M154" s="359"/>
      <c r="N154" s="359"/>
    </row>
    <row r="155" spans="2:14" x14ac:dyDescent="0.2">
      <c r="B155" s="436" t="s">
        <v>282</v>
      </c>
      <c r="C155" s="437">
        <f>C152*C153*C154</f>
        <v>8682.2333333333336</v>
      </c>
      <c r="D155" s="437">
        <f t="shared" ref="D155" si="105">D152*D153*D154</f>
        <v>9900</v>
      </c>
      <c r="E155" s="438">
        <f>SUM(E152:E154)</f>
        <v>-0.11586363573917972</v>
      </c>
      <c r="I155" s="452"/>
      <c r="J155" s="453"/>
      <c r="K155" s="453"/>
      <c r="L155" s="454"/>
      <c r="M155" s="359"/>
      <c r="N155" s="359"/>
    </row>
    <row r="156" spans="2:14" x14ac:dyDescent="0.2">
      <c r="B156" s="381" t="s">
        <v>257</v>
      </c>
      <c r="C156" s="439">
        <f>AB14</f>
        <v>0.50165248603072854</v>
      </c>
      <c r="D156" s="382">
        <f>AI14</f>
        <v>0.50165248603072854</v>
      </c>
      <c r="E156" s="383">
        <f t="shared" si="102"/>
        <v>0</v>
      </c>
      <c r="F156" s="359">
        <f t="shared" ref="F156:F158" si="106">(D156-C156)/AVERAGE(C156:D156)</f>
        <v>0</v>
      </c>
      <c r="G156" s="359">
        <f t="shared" si="104"/>
        <v>0</v>
      </c>
      <c r="I156" s="81"/>
      <c r="J156" s="455"/>
      <c r="K156" s="455"/>
      <c r="L156" s="456"/>
    </row>
    <row r="157" spans="2:14" x14ac:dyDescent="0.2">
      <c r="B157" s="381" t="s">
        <v>258</v>
      </c>
      <c r="C157" s="382">
        <f>AC14</f>
        <v>0.93189670361659915</v>
      </c>
      <c r="D157" s="382">
        <f>AC14</f>
        <v>0.93189670361659915</v>
      </c>
      <c r="E157" s="383">
        <f t="shared" si="102"/>
        <v>0</v>
      </c>
      <c r="F157" s="359">
        <f t="shared" si="106"/>
        <v>0</v>
      </c>
      <c r="G157" s="359">
        <f t="shared" si="104"/>
        <v>0</v>
      </c>
      <c r="I157"/>
      <c r="J157" s="457"/>
      <c r="K157" s="457"/>
      <c r="L157" s="42"/>
      <c r="M157" s="359"/>
      <c r="N157" s="359"/>
    </row>
    <row r="158" spans="2:14" x14ac:dyDescent="0.2">
      <c r="B158" s="385" t="s">
        <v>269</v>
      </c>
      <c r="C158" s="386">
        <v>1</v>
      </c>
      <c r="D158" s="386">
        <v>1</v>
      </c>
      <c r="E158" s="387">
        <f t="shared" si="102"/>
        <v>0</v>
      </c>
      <c r="F158" s="359">
        <f t="shared" si="106"/>
        <v>0</v>
      </c>
      <c r="G158" s="359">
        <f t="shared" si="104"/>
        <v>0</v>
      </c>
      <c r="I158" s="442"/>
      <c r="J158" s="458"/>
      <c r="K158" s="458"/>
      <c r="L158" s="444"/>
      <c r="M158" s="359"/>
      <c r="N158" s="359"/>
    </row>
    <row r="159" spans="2:14" x14ac:dyDescent="0.2">
      <c r="B159" s="388" t="s">
        <v>270</v>
      </c>
      <c r="C159" s="389">
        <f>C155*C156*C157*C158</f>
        <v>4058.8424846472517</v>
      </c>
      <c r="D159" s="389">
        <f t="shared" ref="D159" si="107">D155*D156*D157*D158</f>
        <v>4628.1341511217688</v>
      </c>
      <c r="E159" s="390">
        <f>SUM(E156:E158)</f>
        <v>0</v>
      </c>
    </row>
    <row r="160" spans="2:14" x14ac:dyDescent="0.2">
      <c r="B160" s="381" t="s">
        <v>256</v>
      </c>
      <c r="C160" s="391">
        <f>AD14</f>
        <v>3.5065523268878054</v>
      </c>
      <c r="D160" s="391">
        <v>3.9673235562025542</v>
      </c>
      <c r="E160" s="383">
        <f t="shared" si="102"/>
        <v>-0.10899848252042416</v>
      </c>
      <c r="F160" s="359">
        <f t="shared" ref="F160" si="108">(D160-C160)/AVERAGE(C160:D160)</f>
        <v>0.12330181461997342</v>
      </c>
      <c r="G160" s="359">
        <f t="shared" si="104"/>
        <v>0.48473474929461052</v>
      </c>
      <c r="I160" s="446"/>
      <c r="J160" s="446"/>
      <c r="K160" s="446"/>
      <c r="L160" s="446"/>
    </row>
    <row r="161" spans="2:14" x14ac:dyDescent="0.2">
      <c r="B161" s="392" t="s">
        <v>271</v>
      </c>
      <c r="C161" s="393">
        <f>C159*C160</f>
        <v>14232.543559010903</v>
      </c>
      <c r="D161" s="393">
        <f t="shared" ref="D161" si="109">D159*D160</f>
        <v>18361.305639010905</v>
      </c>
      <c r="E161" s="394">
        <f>C161/D161-1</f>
        <v>-0.22486211825960389</v>
      </c>
      <c r="F161" s="359">
        <f>SUM(F152:F160)</f>
        <v>0.25436966258227434</v>
      </c>
      <c r="G161" s="359">
        <f>SUM(G152:G160)</f>
        <v>1</v>
      </c>
      <c r="I161"/>
      <c r="J161" s="447"/>
      <c r="K161" s="447"/>
      <c r="L161" s="42"/>
      <c r="M161" s="359"/>
      <c r="N161" s="359"/>
    </row>
    <row r="162" spans="2:14" x14ac:dyDescent="0.2">
      <c r="D162" s="441">
        <f>D161-C161</f>
        <v>4128.7620800000022</v>
      </c>
      <c r="E162" s="233">
        <v>4128762080</v>
      </c>
      <c r="I162"/>
      <c r="J162" s="42"/>
      <c r="K162" s="42"/>
      <c r="L162" s="42"/>
      <c r="M162" s="359"/>
      <c r="N162" s="359"/>
    </row>
    <row r="163" spans="2:14" x14ac:dyDescent="0.2">
      <c r="B163" s="89" t="str">
        <f>C15</f>
        <v>- Tăng ticket size (14mil-16mil)</v>
      </c>
      <c r="D163" s="233">
        <f>C161+E162/1000000</f>
        <v>18361.305639010905</v>
      </c>
      <c r="I163"/>
      <c r="J163" s="42"/>
      <c r="K163" s="42"/>
      <c r="L163" s="42"/>
      <c r="M163" s="359"/>
      <c r="N163" s="359"/>
    </row>
    <row r="164" spans="2:14" x14ac:dyDescent="0.2">
      <c r="B164" s="89" t="s">
        <v>136</v>
      </c>
      <c r="D164" s="400">
        <f>D163/(D152*D153*D154*D156*D157*D158)</f>
        <v>3.9673235562025542</v>
      </c>
      <c r="I164" s="448"/>
      <c r="J164" s="449"/>
      <c r="K164" s="449"/>
      <c r="L164" s="450"/>
    </row>
    <row r="165" spans="2:14" x14ac:dyDescent="0.2">
      <c r="B165" s="376" t="s">
        <v>307</v>
      </c>
      <c r="C165" s="419" t="s">
        <v>303</v>
      </c>
      <c r="D165" s="419" t="s">
        <v>286</v>
      </c>
      <c r="E165" s="377" t="s">
        <v>267</v>
      </c>
      <c r="I165"/>
      <c r="J165" s="451"/>
      <c r="K165" s="42"/>
      <c r="L165" s="42"/>
      <c r="M165" s="359"/>
      <c r="N165" s="359"/>
    </row>
    <row r="166" spans="2:14" x14ac:dyDescent="0.2">
      <c r="B166" s="381" t="s">
        <v>281</v>
      </c>
      <c r="C166" s="435">
        <f>Y15</f>
        <v>1233.1333333333334</v>
      </c>
      <c r="D166" s="435">
        <f>AF15</f>
        <v>1233.1333333333334</v>
      </c>
      <c r="E166" s="383">
        <f>$E$175*G166</f>
        <v>0</v>
      </c>
      <c r="F166" s="359">
        <f>(D166-C166)/AVERAGE(C166:D166)</f>
        <v>0</v>
      </c>
      <c r="G166" s="359">
        <f>F166/$F$175</f>
        <v>0</v>
      </c>
      <c r="I166"/>
      <c r="J166" s="42"/>
      <c r="K166" s="42"/>
      <c r="L166" s="42"/>
      <c r="M166" s="359"/>
      <c r="N166" s="359"/>
    </row>
    <row r="167" spans="2:14" x14ac:dyDescent="0.2">
      <c r="B167" s="381" t="s">
        <v>259</v>
      </c>
      <c r="C167" s="382">
        <f>Z15</f>
        <v>0.80215710655782013</v>
      </c>
      <c r="D167" s="382">
        <f>AG15</f>
        <v>0.80215710655782013</v>
      </c>
      <c r="E167" s="383">
        <f t="shared" ref="E167:E174" si="110">$E$175*G167</f>
        <v>0</v>
      </c>
      <c r="F167" s="359">
        <f t="shared" ref="F167:F168" si="111">(D167-C167)/AVERAGE(C167:D167)</f>
        <v>0</v>
      </c>
      <c r="G167" s="359">
        <f t="shared" ref="G167:G174" si="112">F167/$F$175</f>
        <v>0</v>
      </c>
      <c r="I167" s="452"/>
      <c r="J167" s="453"/>
      <c r="K167" s="453"/>
      <c r="L167" s="454"/>
      <c r="M167" s="359"/>
      <c r="N167" s="359"/>
    </row>
    <row r="168" spans="2:14" x14ac:dyDescent="0.2">
      <c r="B168" s="381" t="s">
        <v>260</v>
      </c>
      <c r="C168" s="382">
        <f>AA15</f>
        <v>0.99841617523167647</v>
      </c>
      <c r="D168" s="382">
        <f>AH15</f>
        <v>0.99841617523167647</v>
      </c>
      <c r="E168" s="383">
        <f t="shared" si="110"/>
        <v>0</v>
      </c>
      <c r="F168" s="359">
        <f t="shared" si="111"/>
        <v>0</v>
      </c>
      <c r="G168" s="359">
        <f t="shared" si="112"/>
        <v>0</v>
      </c>
      <c r="I168" s="81"/>
      <c r="J168" s="455"/>
      <c r="K168" s="455"/>
      <c r="L168" s="456"/>
    </row>
    <row r="169" spans="2:14" x14ac:dyDescent="0.2">
      <c r="B169" s="436" t="s">
        <v>282</v>
      </c>
      <c r="C169" s="437">
        <f>C166*C167*C168</f>
        <v>987.59999999999991</v>
      </c>
      <c r="D169" s="437">
        <f t="shared" ref="D169" si="113">D166*D167*D168</f>
        <v>987.59999999999991</v>
      </c>
      <c r="E169" s="438">
        <f>SUM(E166:E168)</f>
        <v>0</v>
      </c>
      <c r="I169"/>
      <c r="J169" s="457"/>
      <c r="K169" s="457"/>
      <c r="L169" s="42"/>
      <c r="M169" s="359"/>
      <c r="N169" s="359"/>
    </row>
    <row r="170" spans="2:14" x14ac:dyDescent="0.2">
      <c r="B170" s="381" t="s">
        <v>257</v>
      </c>
      <c r="C170" s="439">
        <f>AB15</f>
        <v>0.44147428108545972</v>
      </c>
      <c r="D170" s="382">
        <f>AI15</f>
        <v>0.44147428108545972</v>
      </c>
      <c r="E170" s="383">
        <f t="shared" si="110"/>
        <v>0</v>
      </c>
      <c r="F170" s="359">
        <f t="shared" ref="F170:F172" si="114">(D170-C170)/AVERAGE(C170:D170)</f>
        <v>0</v>
      </c>
      <c r="G170" s="359">
        <f t="shared" si="112"/>
        <v>0</v>
      </c>
      <c r="I170" s="442"/>
      <c r="J170" s="458"/>
      <c r="K170" s="458"/>
      <c r="L170" s="444"/>
      <c r="M170" s="359"/>
      <c r="N170" s="359"/>
    </row>
    <row r="171" spans="2:14" x14ac:dyDescent="0.2">
      <c r="B171" s="381" t="s">
        <v>258</v>
      </c>
      <c r="C171" s="382">
        <f>AC15</f>
        <v>0.95214067278287462</v>
      </c>
      <c r="D171" s="382">
        <f>AC15</f>
        <v>0.95214067278287462</v>
      </c>
      <c r="E171" s="383">
        <f t="shared" si="110"/>
        <v>0</v>
      </c>
      <c r="F171" s="359">
        <f t="shared" si="114"/>
        <v>0</v>
      </c>
      <c r="G171" s="359">
        <f t="shared" si="112"/>
        <v>0</v>
      </c>
    </row>
    <row r="172" spans="2:14" x14ac:dyDescent="0.2">
      <c r="B172" s="385" t="s">
        <v>269</v>
      </c>
      <c r="C172" s="386">
        <v>1</v>
      </c>
      <c r="D172" s="386">
        <v>1</v>
      </c>
      <c r="E172" s="383">
        <f t="shared" si="110"/>
        <v>0</v>
      </c>
      <c r="F172" s="359">
        <f t="shared" si="114"/>
        <v>0</v>
      </c>
      <c r="G172" s="359">
        <f t="shared" si="112"/>
        <v>0</v>
      </c>
    </row>
    <row r="173" spans="2:14" x14ac:dyDescent="0.2">
      <c r="B173" s="388" t="s">
        <v>270</v>
      </c>
      <c r="C173" s="389">
        <f>C169*C170*C171*C172</f>
        <v>415.13333333333333</v>
      </c>
      <c r="D173" s="389">
        <f t="shared" ref="D173" si="115">D169*D170*D171*D172</f>
        <v>415.13333333333333</v>
      </c>
      <c r="E173" s="390">
        <f>SUM(E170:E172)</f>
        <v>0</v>
      </c>
    </row>
    <row r="174" spans="2:14" x14ac:dyDescent="0.2">
      <c r="B174" s="381" t="s">
        <v>256</v>
      </c>
      <c r="C174" s="435">
        <f>AD15</f>
        <v>14.159005551532708</v>
      </c>
      <c r="D174" s="435">
        <f>AK15</f>
        <v>34.899495124590125</v>
      </c>
      <c r="E174" s="383">
        <f t="shared" si="110"/>
        <v>-0.59429196608760404</v>
      </c>
      <c r="F174" s="359">
        <f t="shared" ref="F174" si="116">(D174-C174)/AVERAGE(C174:D174)</f>
        <v>0.8455411106011228</v>
      </c>
      <c r="G174" s="359">
        <f t="shared" si="112"/>
        <v>1</v>
      </c>
    </row>
    <row r="175" spans="2:14" x14ac:dyDescent="0.2">
      <c r="B175" s="392" t="s">
        <v>271</v>
      </c>
      <c r="C175" s="393">
        <f>C173*C174</f>
        <v>5877.8751712929452</v>
      </c>
      <c r="D175" s="393">
        <f t="shared" ref="D175" si="117">D173*D174</f>
        <v>14487.943742721514</v>
      </c>
      <c r="E175" s="394">
        <f>C175/D175-1</f>
        <v>-0.59429196608760404</v>
      </c>
      <c r="F175" s="359">
        <f>SUM(F166:F174)</f>
        <v>0.8455411106011228</v>
      </c>
      <c r="G175" s="359">
        <f>SUM(G166:G174)</f>
        <v>1</v>
      </c>
    </row>
    <row r="176" spans="2:14" x14ac:dyDescent="0.2">
      <c r="D176" s="441">
        <f>D175-C175</f>
        <v>8610.0685714285682</v>
      </c>
    </row>
    <row r="177" spans="2:7" x14ac:dyDescent="0.2">
      <c r="B177" s="89" t="str">
        <f>C16</f>
        <v>- Pool non-score</v>
      </c>
    </row>
    <row r="178" spans="2:7" x14ac:dyDescent="0.2">
      <c r="B178" s="89" t="s">
        <v>34</v>
      </c>
    </row>
    <row r="179" spans="2:7" x14ac:dyDescent="0.2">
      <c r="B179" s="376" t="s">
        <v>166</v>
      </c>
      <c r="C179" s="419" t="s">
        <v>263</v>
      </c>
      <c r="D179" s="419" t="s">
        <v>286</v>
      </c>
      <c r="E179" s="377" t="s">
        <v>267</v>
      </c>
    </row>
    <row r="180" spans="2:7" x14ac:dyDescent="0.2">
      <c r="B180" s="381" t="s">
        <v>281</v>
      </c>
      <c r="C180" s="435">
        <f>Y16</f>
        <v>1233.1333333333334</v>
      </c>
      <c r="D180" s="435">
        <v>1432.4789612571969</v>
      </c>
      <c r="E180" s="383">
        <f>$E$189*G180</f>
        <v>-0.13115519629414751</v>
      </c>
      <c r="F180" s="359">
        <f>(D180-C180)/AVERAGE(C180:D180)</f>
        <v>0.14956835870573246</v>
      </c>
      <c r="G180" s="359">
        <f>F180/$F$189</f>
        <v>0.550583552164574</v>
      </c>
    </row>
    <row r="181" spans="2:7" x14ac:dyDescent="0.2">
      <c r="B181" s="381" t="s">
        <v>259</v>
      </c>
      <c r="C181" s="382">
        <f>Z16</f>
        <v>0.80215710655782013</v>
      </c>
      <c r="D181" s="382">
        <f>AG16</f>
        <v>0.80215710655782013</v>
      </c>
      <c r="E181" s="383">
        <f t="shared" ref="E181:E188" si="118">$E$189*G181</f>
        <v>0</v>
      </c>
      <c r="F181" s="359">
        <f t="shared" ref="F181:F182" si="119">(D181-C181)/AVERAGE(C181:D181)</f>
        <v>0</v>
      </c>
      <c r="G181" s="359">
        <f t="shared" ref="G181:G188" si="120">F181/$F$189</f>
        <v>0</v>
      </c>
    </row>
    <row r="182" spans="2:7" x14ac:dyDescent="0.2">
      <c r="B182" s="381" t="s">
        <v>260</v>
      </c>
      <c r="C182" s="382">
        <f>AA16</f>
        <v>0.99841617523167647</v>
      </c>
      <c r="D182" s="382">
        <f>AH16</f>
        <v>0.99841617523167647</v>
      </c>
      <c r="E182" s="383">
        <f t="shared" si="118"/>
        <v>0</v>
      </c>
      <c r="F182" s="359">
        <f t="shared" si="119"/>
        <v>0</v>
      </c>
      <c r="G182" s="359">
        <f t="shared" si="120"/>
        <v>0</v>
      </c>
    </row>
    <row r="183" spans="2:7" x14ac:dyDescent="0.2">
      <c r="B183" s="436" t="s">
        <v>282</v>
      </c>
      <c r="C183" s="437">
        <f>C180*C181*C182</f>
        <v>987.59999999999991</v>
      </c>
      <c r="D183" s="437">
        <f t="shared" ref="D183" si="121">D180*D181*D182</f>
        <v>1147.2532482058773</v>
      </c>
      <c r="E183" s="438">
        <f>SUM(E180:E182)</f>
        <v>-0.13115519629414751</v>
      </c>
    </row>
    <row r="184" spans="2:7" x14ac:dyDescent="0.2">
      <c r="B184" s="381" t="s">
        <v>257</v>
      </c>
      <c r="C184" s="439">
        <f>AB16</f>
        <v>0.44147428108545972</v>
      </c>
      <c r="D184" s="382">
        <f>AI16</f>
        <v>0.44147428108545972</v>
      </c>
      <c r="E184" s="383">
        <f t="shared" si="118"/>
        <v>0</v>
      </c>
      <c r="F184" s="359">
        <f t="shared" ref="F184:F186" si="122">(D184-C184)/AVERAGE(C184:D184)</f>
        <v>0</v>
      </c>
      <c r="G184" s="359">
        <f t="shared" si="120"/>
        <v>0</v>
      </c>
    </row>
    <row r="185" spans="2:7" x14ac:dyDescent="0.2">
      <c r="B185" s="381" t="s">
        <v>258</v>
      </c>
      <c r="C185" s="382">
        <f>AC16</f>
        <v>0.95214067278287462</v>
      </c>
      <c r="D185" s="382">
        <f>AC16</f>
        <v>0.95214067278287462</v>
      </c>
      <c r="E185" s="383">
        <f t="shared" si="118"/>
        <v>0</v>
      </c>
      <c r="F185" s="359">
        <f t="shared" si="122"/>
        <v>0</v>
      </c>
      <c r="G185" s="359">
        <f t="shared" si="120"/>
        <v>0</v>
      </c>
    </row>
    <row r="186" spans="2:7" x14ac:dyDescent="0.2">
      <c r="B186" s="385" t="s">
        <v>269</v>
      </c>
      <c r="C186" s="386">
        <v>1</v>
      </c>
      <c r="D186" s="386">
        <v>1</v>
      </c>
      <c r="E186" s="387">
        <f t="shared" si="118"/>
        <v>0</v>
      </c>
      <c r="F186" s="359">
        <f t="shared" si="122"/>
        <v>0</v>
      </c>
      <c r="G186" s="359">
        <f t="shared" si="120"/>
        <v>0</v>
      </c>
    </row>
    <row r="187" spans="2:7" x14ac:dyDescent="0.2">
      <c r="B187" s="388" t="s">
        <v>270</v>
      </c>
      <c r="C187" s="389">
        <f>C183*C184*C185*C186</f>
        <v>415.13333333333333</v>
      </c>
      <c r="D187" s="389">
        <f t="shared" ref="D187" si="123">D183*D184*D185*D186</f>
        <v>482.24287677723765</v>
      </c>
      <c r="E187" s="390">
        <f>SUM(E184:E186)</f>
        <v>0</v>
      </c>
    </row>
    <row r="188" spans="2:7" x14ac:dyDescent="0.2">
      <c r="B188" s="381" t="s">
        <v>256</v>
      </c>
      <c r="C188" s="391">
        <f>AD16</f>
        <v>14.159005551532708</v>
      </c>
      <c r="D188" s="391">
        <v>16</v>
      </c>
      <c r="E188" s="383">
        <f t="shared" si="118"/>
        <v>-0.10705605389398767</v>
      </c>
      <c r="F188" s="359">
        <f t="shared" ref="F188" si="124">(D188-C188)/AVERAGE(C188:D188)</f>
        <v>0.12208588544616193</v>
      </c>
      <c r="G188" s="359">
        <f t="shared" si="120"/>
        <v>0.44941644783542606</v>
      </c>
    </row>
    <row r="189" spans="2:7" x14ac:dyDescent="0.2">
      <c r="B189" s="392" t="s">
        <v>271</v>
      </c>
      <c r="C189" s="393">
        <f>C187*C188</f>
        <v>5877.8751712929452</v>
      </c>
      <c r="D189" s="393">
        <f t="shared" ref="D189" si="125">D187*D188</f>
        <v>7715.8860284358025</v>
      </c>
      <c r="E189" s="394">
        <f>C189/D189-1</f>
        <v>-0.23821125018813516</v>
      </c>
      <c r="F189" s="359">
        <f>SUM(F180:F188)</f>
        <v>0.27165424415189438</v>
      </c>
      <c r="G189" s="359">
        <f>SUM(G180:G188)</f>
        <v>1</v>
      </c>
    </row>
    <row r="190" spans="2:7" x14ac:dyDescent="0.2">
      <c r="D190" s="441">
        <f>D189-C189</f>
        <v>1838.0108571428573</v>
      </c>
      <c r="E190" s="233">
        <v>1838010857.1428566</v>
      </c>
    </row>
    <row r="191" spans="2:7" x14ac:dyDescent="0.2">
      <c r="B191" s="89" t="str">
        <f>C17</f>
        <v>- MWG tăng app từ 400 lên 550 app (Jan benchmark)</v>
      </c>
      <c r="D191" s="233">
        <f>C189+(E190/1000000)</f>
        <v>7715.8860284358016</v>
      </c>
    </row>
    <row r="192" spans="2:7" x14ac:dyDescent="0.2">
      <c r="B192" s="89" t="s">
        <v>38</v>
      </c>
      <c r="D192" s="89">
        <f>D191/(D181*D182*D184*D185*D186*D188)</f>
        <v>1432.4789612571969</v>
      </c>
    </row>
    <row r="193" spans="2:10" x14ac:dyDescent="0.2">
      <c r="B193" s="376" t="s">
        <v>167</v>
      </c>
      <c r="C193" s="419" t="s">
        <v>303</v>
      </c>
      <c r="D193" s="419" t="s">
        <v>286</v>
      </c>
      <c r="E193" s="377" t="s">
        <v>267</v>
      </c>
    </row>
    <row r="194" spans="2:10" x14ac:dyDescent="0.2">
      <c r="B194" s="381" t="s">
        <v>281</v>
      </c>
      <c r="C194" s="435">
        <f>Y17</f>
        <v>387.66666666666669</v>
      </c>
      <c r="D194" s="435">
        <f>AF17</f>
        <v>442.66182448910712</v>
      </c>
      <c r="E194" s="383">
        <f>$E$203*G194</f>
        <v>-0.12423740828772023</v>
      </c>
      <c r="F194" s="359">
        <f>(D194-C194)/AVERAGE(C194:D194)</f>
        <v>0.13246602617691716</v>
      </c>
      <c r="G194" s="359">
        <f>F194/$F$203</f>
        <v>1</v>
      </c>
      <c r="J194" s="233">
        <f>16569/31</f>
        <v>534.48387096774195</v>
      </c>
    </row>
    <row r="195" spans="2:10" x14ac:dyDescent="0.2">
      <c r="B195" s="381" t="s">
        <v>259</v>
      </c>
      <c r="C195" s="382">
        <f>Z17</f>
        <v>1</v>
      </c>
      <c r="D195" s="382">
        <f>AG17</f>
        <v>1</v>
      </c>
      <c r="E195" s="383">
        <f t="shared" ref="E195:E202" si="126">$E$203*G195</f>
        <v>0</v>
      </c>
      <c r="F195" s="359">
        <f t="shared" ref="F195:F196" si="127">(D195-C195)/AVERAGE(C195:D195)</f>
        <v>0</v>
      </c>
      <c r="G195" s="359">
        <f t="shared" ref="G195:G202" si="128">F195/$F$203</f>
        <v>0</v>
      </c>
    </row>
    <row r="196" spans="2:10" x14ac:dyDescent="0.2">
      <c r="B196" s="381" t="s">
        <v>260</v>
      </c>
      <c r="C196" s="382">
        <f>AA17</f>
        <v>1</v>
      </c>
      <c r="D196" s="382">
        <f>AH17</f>
        <v>1</v>
      </c>
      <c r="E196" s="383">
        <f t="shared" si="126"/>
        <v>0</v>
      </c>
      <c r="F196" s="359">
        <f t="shared" si="127"/>
        <v>0</v>
      </c>
      <c r="G196" s="359">
        <f t="shared" si="128"/>
        <v>0</v>
      </c>
    </row>
    <row r="197" spans="2:10" x14ac:dyDescent="0.2">
      <c r="B197" s="436" t="s">
        <v>282</v>
      </c>
      <c r="C197" s="437">
        <f>C194*C195*C196</f>
        <v>387.66666666666669</v>
      </c>
      <c r="D197" s="437">
        <f t="shared" ref="D197" si="129">D194*D195*D196</f>
        <v>442.66182448910712</v>
      </c>
      <c r="E197" s="438">
        <f>SUM(E194:E196)</f>
        <v>-0.12423740828772023</v>
      </c>
    </row>
    <row r="198" spans="2:10" x14ac:dyDescent="0.2">
      <c r="B198" s="381" t="s">
        <v>257</v>
      </c>
      <c r="C198" s="439">
        <f>AB17</f>
        <v>0.44149956408020924</v>
      </c>
      <c r="D198" s="382">
        <f>AI17</f>
        <v>0.44149956408020924</v>
      </c>
      <c r="E198" s="383">
        <f t="shared" si="126"/>
        <v>0</v>
      </c>
      <c r="F198" s="359">
        <f t="shared" ref="F198:F200" si="130">(D198-C198)/AVERAGE(C198:D198)</f>
        <v>0</v>
      </c>
      <c r="G198" s="359">
        <f t="shared" si="128"/>
        <v>0</v>
      </c>
    </row>
    <row r="199" spans="2:10" x14ac:dyDescent="0.2">
      <c r="B199" s="381" t="s">
        <v>258</v>
      </c>
      <c r="C199" s="382">
        <f>AC17</f>
        <v>0.9091627172195893</v>
      </c>
      <c r="D199" s="382">
        <f>AC17</f>
        <v>0.9091627172195893</v>
      </c>
      <c r="E199" s="383">
        <f t="shared" si="126"/>
        <v>0</v>
      </c>
      <c r="F199" s="359">
        <f t="shared" si="130"/>
        <v>0</v>
      </c>
      <c r="G199" s="359">
        <f t="shared" si="128"/>
        <v>0</v>
      </c>
    </row>
    <row r="200" spans="2:10" x14ac:dyDescent="0.2">
      <c r="B200" s="385" t="s">
        <v>269</v>
      </c>
      <c r="C200" s="386">
        <v>1</v>
      </c>
      <c r="D200" s="386">
        <v>1</v>
      </c>
      <c r="E200" s="387">
        <f t="shared" si="126"/>
        <v>0</v>
      </c>
      <c r="F200" s="359">
        <f t="shared" si="130"/>
        <v>0</v>
      </c>
      <c r="G200" s="359">
        <f t="shared" si="128"/>
        <v>0</v>
      </c>
    </row>
    <row r="201" spans="2:10" x14ac:dyDescent="0.2">
      <c r="B201" s="388" t="s">
        <v>270</v>
      </c>
      <c r="C201" s="389">
        <f>C197*C198*C199*C200</f>
        <v>155.60743969776229</v>
      </c>
      <c r="D201" s="389">
        <f t="shared" ref="D201" si="131">D197*D198*D199*D200</f>
        <v>177.68221795534865</v>
      </c>
      <c r="E201" s="390">
        <f>SUM(E198:E200)</f>
        <v>0</v>
      </c>
    </row>
    <row r="202" spans="2:10" x14ac:dyDescent="0.2">
      <c r="B202" s="381" t="s">
        <v>256</v>
      </c>
      <c r="C202" s="391">
        <f>AD17</f>
        <v>22.650284146259352</v>
      </c>
      <c r="D202" s="391">
        <f>AK17</f>
        <v>22.650284146259352</v>
      </c>
      <c r="E202" s="383">
        <f t="shared" si="126"/>
        <v>0</v>
      </c>
      <c r="F202" s="359">
        <f t="shared" ref="F202" si="132">(D202-C202)/AVERAGE(C202:D202)</f>
        <v>0</v>
      </c>
      <c r="G202" s="359">
        <f t="shared" si="128"/>
        <v>0</v>
      </c>
    </row>
    <row r="203" spans="2:10" x14ac:dyDescent="0.2">
      <c r="B203" s="392" t="s">
        <v>271</v>
      </c>
      <c r="C203" s="393">
        <f>C201*C202</f>
        <v>3524.5527244262335</v>
      </c>
      <c r="D203" s="393">
        <f t="shared" ref="D203" si="133">D201*D202</f>
        <v>4024.5527244262321</v>
      </c>
      <c r="E203" s="394">
        <f>C203/D203-1</f>
        <v>-0.12423740828772023</v>
      </c>
      <c r="F203" s="395">
        <f>SUM(F194:F202)</f>
        <v>0.13246602617691716</v>
      </c>
      <c r="G203" s="359">
        <f>SUM(G194:G202)</f>
        <v>1</v>
      </c>
    </row>
    <row r="204" spans="2:10" x14ac:dyDescent="0.2">
      <c r="B204" s="442"/>
      <c r="C204" s="443"/>
      <c r="D204" s="441">
        <f>D203-C203</f>
        <v>499.99999999999864</v>
      </c>
      <c r="E204" s="444"/>
      <c r="F204" s="359"/>
      <c r="G204" s="359"/>
    </row>
    <row r="205" spans="2:10" x14ac:dyDescent="0.2">
      <c r="B205" s="89" t="str">
        <f>C18</f>
        <v>- Tăng AR 50%-55%</v>
      </c>
      <c r="C205" s="89" t="s">
        <v>137</v>
      </c>
    </row>
    <row r="206" spans="2:10" x14ac:dyDescent="0.2">
      <c r="B206" s="376" t="s">
        <v>167</v>
      </c>
      <c r="C206" s="419" t="s">
        <v>263</v>
      </c>
      <c r="D206" s="419" t="s">
        <v>286</v>
      </c>
      <c r="E206" s="377" t="s">
        <v>267</v>
      </c>
    </row>
    <row r="207" spans="2:10" x14ac:dyDescent="0.2">
      <c r="B207" s="381" t="s">
        <v>281</v>
      </c>
      <c r="C207" s="435">
        <f>Y18</f>
        <v>387.66666666666669</v>
      </c>
      <c r="D207" s="435">
        <v>550</v>
      </c>
      <c r="E207" s="383">
        <f>$E$216*G207</f>
        <v>-0.27788502285276478</v>
      </c>
      <c r="F207" s="359">
        <f>(D207-C207)/AVERAGE(C207:D207)</f>
        <v>0.34624955563455379</v>
      </c>
      <c r="G207" s="359">
        <f>F207/$F$216</f>
        <v>0.73588650660254695</v>
      </c>
    </row>
    <row r="208" spans="2:10" x14ac:dyDescent="0.2">
      <c r="B208" s="381" t="s">
        <v>259</v>
      </c>
      <c r="C208" s="382">
        <f>Z18</f>
        <v>1</v>
      </c>
      <c r="D208" s="382">
        <f>AG18</f>
        <v>1</v>
      </c>
      <c r="E208" s="383">
        <f t="shared" ref="E208:E215" si="134">$E$216*G208</f>
        <v>0</v>
      </c>
      <c r="F208" s="359">
        <f t="shared" ref="F208:F209" si="135">(D208-C208)/AVERAGE(C208:D208)</f>
        <v>0</v>
      </c>
      <c r="G208" s="359">
        <f t="shared" ref="G208:G215" si="136">F208/$F$216</f>
        <v>0</v>
      </c>
    </row>
    <row r="209" spans="2:9" x14ac:dyDescent="0.2">
      <c r="B209" s="381" t="s">
        <v>260</v>
      </c>
      <c r="C209" s="382">
        <f>AA18</f>
        <v>1</v>
      </c>
      <c r="D209" s="382">
        <f>AH18</f>
        <v>1</v>
      </c>
      <c r="E209" s="383">
        <f t="shared" si="134"/>
        <v>0</v>
      </c>
      <c r="F209" s="359">
        <f t="shared" si="135"/>
        <v>0</v>
      </c>
      <c r="G209" s="359">
        <f t="shared" si="136"/>
        <v>0</v>
      </c>
    </row>
    <row r="210" spans="2:9" x14ac:dyDescent="0.2">
      <c r="B210" s="436" t="s">
        <v>282</v>
      </c>
      <c r="C210" s="437">
        <f>C207*C208*C209</f>
        <v>387.66666666666669</v>
      </c>
      <c r="D210" s="437">
        <f t="shared" ref="D210" si="137">D207*D208*D209</f>
        <v>550</v>
      </c>
      <c r="E210" s="438">
        <f>SUM(E207:E209)</f>
        <v>-0.27788502285276478</v>
      </c>
    </row>
    <row r="211" spans="2:9" x14ac:dyDescent="0.2">
      <c r="B211" s="381" t="s">
        <v>257</v>
      </c>
      <c r="C211" s="439">
        <f>AB18</f>
        <v>0.44149956408020924</v>
      </c>
      <c r="D211" s="382">
        <v>0.5</v>
      </c>
      <c r="E211" s="383">
        <f t="shared" si="134"/>
        <v>-9.973437954083117E-2</v>
      </c>
      <c r="F211" s="359">
        <f t="shared" ref="F211:F213" si="138">(D211-C211)/AVERAGE(C211:D211)</f>
        <v>0.12427076581164923</v>
      </c>
      <c r="G211" s="359">
        <f t="shared" si="136"/>
        <v>0.26411349339745305</v>
      </c>
      <c r="H211" s="359"/>
    </row>
    <row r="212" spans="2:9" x14ac:dyDescent="0.2">
      <c r="B212" s="381" t="s">
        <v>258</v>
      </c>
      <c r="C212" s="382">
        <f>AC18</f>
        <v>0.9091627172195893</v>
      </c>
      <c r="D212" s="382">
        <f>AC18</f>
        <v>0.9091627172195893</v>
      </c>
      <c r="E212" s="383">
        <f t="shared" si="134"/>
        <v>0</v>
      </c>
      <c r="F212" s="359">
        <f t="shared" si="138"/>
        <v>0</v>
      </c>
      <c r="G212" s="359">
        <f t="shared" si="136"/>
        <v>0</v>
      </c>
    </row>
    <row r="213" spans="2:9" x14ac:dyDescent="0.2">
      <c r="B213" s="385" t="s">
        <v>269</v>
      </c>
      <c r="C213" s="386">
        <v>1</v>
      </c>
      <c r="D213" s="386">
        <v>1</v>
      </c>
      <c r="E213" s="387">
        <f t="shared" si="134"/>
        <v>0</v>
      </c>
      <c r="F213" s="359">
        <f t="shared" si="138"/>
        <v>0</v>
      </c>
      <c r="G213" s="359">
        <f t="shared" si="136"/>
        <v>0</v>
      </c>
    </row>
    <row r="214" spans="2:9" x14ac:dyDescent="0.2">
      <c r="B214" s="388" t="s">
        <v>270</v>
      </c>
      <c r="C214" s="389">
        <f>C210*C211*C212*C213</f>
        <v>155.60743969776229</v>
      </c>
      <c r="D214" s="389">
        <f t="shared" ref="D214" si="139">D210*D211*D212*D213</f>
        <v>250.01974723538706</v>
      </c>
      <c r="E214" s="390">
        <f>SUM(E211:E213)</f>
        <v>-9.973437954083117E-2</v>
      </c>
    </row>
    <row r="215" spans="2:9" x14ac:dyDescent="0.2">
      <c r="B215" s="381" t="s">
        <v>256</v>
      </c>
      <c r="C215" s="391">
        <f>AD18</f>
        <v>22.650284146259352</v>
      </c>
      <c r="D215" s="391">
        <f>AK18</f>
        <v>22.650284146259352</v>
      </c>
      <c r="E215" s="383">
        <f t="shared" si="134"/>
        <v>0</v>
      </c>
      <c r="F215" s="359">
        <f t="shared" ref="F215" si="140">(D215-C215)/AVERAGE(C215:D215)</f>
        <v>0</v>
      </c>
      <c r="G215" s="359">
        <f t="shared" si="136"/>
        <v>0</v>
      </c>
    </row>
    <row r="216" spans="2:9" x14ac:dyDescent="0.2">
      <c r="B216" s="392" t="s">
        <v>271</v>
      </c>
      <c r="C216" s="393">
        <f>C214*C215</f>
        <v>3524.5527244262335</v>
      </c>
      <c r="D216" s="393">
        <f t="shared" ref="D216" si="141">D214*D215</f>
        <v>5663.0183170574583</v>
      </c>
      <c r="E216" s="394">
        <f>C216/D216-1</f>
        <v>-0.37761940239359593</v>
      </c>
      <c r="F216" s="359">
        <f>SUM(F207:F215)</f>
        <v>0.47052032144620304</v>
      </c>
      <c r="G216" s="359">
        <f>SUM(G207:G215)</f>
        <v>1</v>
      </c>
      <c r="I216" s="233">
        <f>10999/31</f>
        <v>354.80645161290323</v>
      </c>
    </row>
    <row r="217" spans="2:9" x14ac:dyDescent="0.2">
      <c r="D217" s="441">
        <f>D216-C216</f>
        <v>2138.4655926312248</v>
      </c>
      <c r="E217" s="233">
        <v>762336066.66666687</v>
      </c>
    </row>
    <row r="218" spans="2:9" x14ac:dyDescent="0.2">
      <c r="D218" s="233">
        <f>C216+(E217/1000000)</f>
        <v>4286.8887910929006</v>
      </c>
    </row>
    <row r="219" spans="2:9" x14ac:dyDescent="0.2">
      <c r="D219" s="359">
        <f>D218/(D207*D208*D209*D212*D213*D215)</f>
        <v>0.37849858071096587</v>
      </c>
    </row>
    <row r="220" spans="2:9" x14ac:dyDescent="0.2">
      <c r="B220" s="440" t="s">
        <v>309</v>
      </c>
      <c r="D220" s="89">
        <f>D218/(D211*D212*D213*D215)</f>
        <v>416.34843878206249</v>
      </c>
    </row>
    <row r="221" spans="2:9" x14ac:dyDescent="0.2">
      <c r="B221" s="89" t="str">
        <f>C20</f>
        <v>- Live CD 1:1</v>
      </c>
      <c r="C221" s="446"/>
      <c r="D221" s="446"/>
      <c r="E221" s="446"/>
    </row>
    <row r="222" spans="2:9" x14ac:dyDescent="0.2">
      <c r="B222" s="418" t="s">
        <v>272</v>
      </c>
      <c r="C222" s="419" t="s">
        <v>310</v>
      </c>
      <c r="D222" s="419" t="s">
        <v>264</v>
      </c>
      <c r="E222" s="417" t="s">
        <v>267</v>
      </c>
      <c r="F222" s="359"/>
      <c r="G222" s="359"/>
    </row>
    <row r="223" spans="2:9" x14ac:dyDescent="0.2">
      <c r="B223" s="412" t="s">
        <v>277</v>
      </c>
      <c r="C223" s="588">
        <f>C77</f>
        <v>285.3</v>
      </c>
      <c r="D223" s="459">
        <v>5600</v>
      </c>
      <c r="E223" s="416">
        <f>$L$141*G223</f>
        <v>-0.95271413521825554</v>
      </c>
      <c r="F223" s="359">
        <f>(D223-C223)/AVERAGE(C223:D223)</f>
        <v>1.806093147333186</v>
      </c>
      <c r="G223" s="359">
        <f>F223/$M$141</f>
        <v>1.0081631060510641</v>
      </c>
    </row>
    <row r="224" spans="2:9" x14ac:dyDescent="0.2">
      <c r="B224" s="408" t="s">
        <v>257</v>
      </c>
      <c r="C224" s="404">
        <f t="shared" ref="C224:C225" si="142">C78</f>
        <v>0.59489999999999998</v>
      </c>
      <c r="D224" s="404">
        <f>C224</f>
        <v>0.59489999999999998</v>
      </c>
      <c r="E224" s="409">
        <f t="shared" ref="E224:E225" si="143">$L$141*G224</f>
        <v>0</v>
      </c>
      <c r="F224" s="359">
        <f t="shared" ref="F224:F225" si="144">(D224-C224)/AVERAGE(C224:D224)</f>
        <v>0</v>
      </c>
      <c r="G224" s="359">
        <f t="shared" ref="G224:G225" si="145">F224/$M$141</f>
        <v>0</v>
      </c>
    </row>
    <row r="225" spans="2:7" x14ac:dyDescent="0.2">
      <c r="B225" s="408" t="s">
        <v>258</v>
      </c>
      <c r="C225" s="404">
        <f t="shared" si="142"/>
        <v>0.81100000000000005</v>
      </c>
      <c r="D225" s="404">
        <f t="shared" ref="D225" si="146">C225</f>
        <v>0.81100000000000005</v>
      </c>
      <c r="E225" s="409">
        <f t="shared" si="143"/>
        <v>0</v>
      </c>
      <c r="F225" s="359">
        <f t="shared" si="144"/>
        <v>0</v>
      </c>
      <c r="G225" s="359">
        <f t="shared" si="145"/>
        <v>0</v>
      </c>
    </row>
    <row r="226" spans="2:7" x14ac:dyDescent="0.2">
      <c r="B226" s="460" t="s">
        <v>278</v>
      </c>
      <c r="C226" s="461">
        <f>C223*C224*C225*30</f>
        <v>4129.4085201000007</v>
      </c>
      <c r="D226" s="461">
        <f>D223*D224*D225*30</f>
        <v>81053.935200000007</v>
      </c>
      <c r="E226" s="462">
        <f>C226/D226-1</f>
        <v>-0.94905357142857139</v>
      </c>
      <c r="F226" s="414">
        <f>SUM(F223:F225)</f>
        <v>1.806093147333186</v>
      </c>
      <c r="G226" s="414">
        <f>SUM(G223:G225)</f>
        <v>1.0081631060510641</v>
      </c>
    </row>
    <row r="227" spans="2:7" x14ac:dyDescent="0.2">
      <c r="C227" s="413"/>
      <c r="D227" s="413"/>
      <c r="E227" s="414"/>
      <c r="F227" s="238"/>
      <c r="G227" s="359"/>
    </row>
    <row r="228" spans="2:7" x14ac:dyDescent="0.2">
      <c r="B228" s="407" t="s">
        <v>279</v>
      </c>
      <c r="C228" s="424">
        <f>37211+C226</f>
        <v>41340.408520099998</v>
      </c>
      <c r="D228" s="424">
        <f>37211+D226</f>
        <v>118264.93520000001</v>
      </c>
      <c r="E228" s="426">
        <f>$L$147*G228</f>
        <v>-0.33931125077377056</v>
      </c>
      <c r="F228" s="359">
        <f t="shared" ref="F228:F231" si="147">(D228-C228)/AVERAGE(C228:D228)</f>
        <v>0.96393422534526918</v>
      </c>
      <c r="G228" s="359">
        <f>F228/$M$147</f>
        <v>0.57318662428577249</v>
      </c>
    </row>
    <row r="229" spans="2:7" x14ac:dyDescent="0.2">
      <c r="B229" s="408" t="s">
        <v>280</v>
      </c>
      <c r="C229" s="590">
        <f>C83</f>
        <v>0.1832</v>
      </c>
      <c r="D229" s="422">
        <f>C229</f>
        <v>0.1832</v>
      </c>
      <c r="E229" s="415">
        <f t="shared" ref="E229:E231" si="148">$L$147*G229</f>
        <v>0</v>
      </c>
      <c r="F229" s="359">
        <f t="shared" si="147"/>
        <v>0</v>
      </c>
      <c r="G229" s="359">
        <f t="shared" ref="G229:G231" si="149">F229/$M$147</f>
        <v>0</v>
      </c>
    </row>
    <row r="230" spans="2:7" x14ac:dyDescent="0.2">
      <c r="B230" s="408" t="s">
        <v>273</v>
      </c>
      <c r="C230" s="405">
        <f>C228*C229</f>
        <v>7573.5628408823195</v>
      </c>
      <c r="D230" s="405">
        <f>D228*D229</f>
        <v>21666.136128640002</v>
      </c>
      <c r="E230" s="409">
        <f t="shared" si="148"/>
        <v>-0.33931125077377056</v>
      </c>
      <c r="F230" s="359">
        <f t="shared" si="147"/>
        <v>0.96393422534526918</v>
      </c>
      <c r="G230" s="359">
        <f t="shared" si="149"/>
        <v>0.57318662428577249</v>
      </c>
    </row>
    <row r="231" spans="2:7" x14ac:dyDescent="0.2">
      <c r="B231" s="408" t="s">
        <v>274</v>
      </c>
      <c r="C231" s="589">
        <f>C85</f>
        <v>4.5648264530637164</v>
      </c>
      <c r="D231" s="423">
        <f>C231</f>
        <v>4.5648264530637164</v>
      </c>
      <c r="E231" s="409">
        <f t="shared" si="148"/>
        <v>0</v>
      </c>
      <c r="F231" s="359">
        <f t="shared" si="147"/>
        <v>0</v>
      </c>
      <c r="G231" s="359">
        <f t="shared" si="149"/>
        <v>0</v>
      </c>
    </row>
    <row r="232" spans="2:7" x14ac:dyDescent="0.2">
      <c r="B232" s="463" t="s">
        <v>275</v>
      </c>
      <c r="C232" s="464">
        <f>C230*C231</f>
        <v>34572</v>
      </c>
      <c r="D232" s="464">
        <f>D230*D231</f>
        <v>98902.15133569538</v>
      </c>
      <c r="E232" s="465">
        <f>C232/D232-1</f>
        <v>-0.6504423864082074</v>
      </c>
      <c r="F232" s="359">
        <f>SUM(F228:F231)</f>
        <v>1.9278684506905384</v>
      </c>
      <c r="G232" s="359">
        <f>SUM(G228:G231)</f>
        <v>1.146373248571545</v>
      </c>
    </row>
    <row r="233" spans="2:7" x14ac:dyDescent="0.2">
      <c r="B233" s="410" t="s">
        <v>276</v>
      </c>
      <c r="C233" s="411">
        <f>C232/30</f>
        <v>1152.4000000000001</v>
      </c>
      <c r="D233" s="411">
        <f>D232/31</f>
        <v>3190.3919785708185</v>
      </c>
      <c r="E233" s="425"/>
    </row>
    <row r="234" spans="2:7" x14ac:dyDescent="0.2">
      <c r="D234" s="401">
        <f>D233-C233</f>
        <v>2037.9919785708184</v>
      </c>
      <c r="F234" s="359"/>
      <c r="G234" s="359"/>
    </row>
    <row r="235" spans="2:7" x14ac:dyDescent="0.2">
      <c r="B235"/>
      <c r="C235" s="42"/>
      <c r="D235" s="447">
        <f>C233+2000</f>
        <v>3152.4</v>
      </c>
      <c r="E235" s="42"/>
      <c r="G235" s="359"/>
    </row>
    <row r="236" spans="2:7" x14ac:dyDescent="0.2">
      <c r="B236"/>
      <c r="C236" s="42"/>
      <c r="D236" s="447">
        <f>D235*30</f>
        <v>94572</v>
      </c>
      <c r="E236" s="42"/>
      <c r="F236" s="359"/>
      <c r="G236" s="359"/>
    </row>
    <row r="239" spans="2:7" x14ac:dyDescent="0.2">
      <c r="B239" s="89" t="str">
        <f>B21</f>
        <v>[VNPAY]</v>
      </c>
      <c r="D239" s="335">
        <f>D254+D267+D282</f>
        <v>700.06363380759694</v>
      </c>
    </row>
    <row r="241" spans="2:7" x14ac:dyDescent="0.2">
      <c r="B241" s="89" t="str">
        <f>C21</f>
        <v>- Tối ưu luồng sản phẩm tăng 50% Appin</v>
      </c>
    </row>
    <row r="242" spans="2:7" x14ac:dyDescent="0.2">
      <c r="B242" s="89" t="s">
        <v>44</v>
      </c>
    </row>
    <row r="243" spans="2:7" x14ac:dyDescent="0.2">
      <c r="B243" s="376" t="s">
        <v>311</v>
      </c>
      <c r="C243" s="419" t="s">
        <v>303</v>
      </c>
      <c r="D243" s="419" t="s">
        <v>286</v>
      </c>
      <c r="E243" s="377" t="s">
        <v>267</v>
      </c>
    </row>
    <row r="244" spans="2:7" x14ac:dyDescent="0.2">
      <c r="B244" s="381" t="s">
        <v>281</v>
      </c>
      <c r="C244" s="435">
        <f>Y22</f>
        <v>143.06666666666666</v>
      </c>
      <c r="D244" s="435">
        <f>C244*1.64</f>
        <v>234.62933333333331</v>
      </c>
      <c r="E244" s="383">
        <f>$E$253*G244</f>
        <v>-0.39024390243902429</v>
      </c>
      <c r="F244" s="359">
        <f>(D244-C244)/AVERAGE(C244:D244)</f>
        <v>0.48484848484848475</v>
      </c>
      <c r="G244" s="359">
        <f>F244/$F$253</f>
        <v>1</v>
      </c>
    </row>
    <row r="245" spans="2:7" x14ac:dyDescent="0.2">
      <c r="B245" s="381" t="s">
        <v>259</v>
      </c>
      <c r="C245" s="382">
        <f>Z22</f>
        <v>1</v>
      </c>
      <c r="D245" s="382">
        <f>C245</f>
        <v>1</v>
      </c>
      <c r="E245" s="383">
        <f t="shared" ref="E245:E252" si="150">$E$253*G245</f>
        <v>0</v>
      </c>
      <c r="F245" s="359">
        <f t="shared" ref="F245:F246" si="151">(D245-C245)/AVERAGE(C245:D245)</f>
        <v>0</v>
      </c>
      <c r="G245" s="359">
        <f t="shared" ref="G245:G252" si="152">F245/$F$253</f>
        <v>0</v>
      </c>
    </row>
    <row r="246" spans="2:7" x14ac:dyDescent="0.2">
      <c r="B246" s="381" t="s">
        <v>260</v>
      </c>
      <c r="C246" s="382">
        <f>AA22</f>
        <v>1</v>
      </c>
      <c r="D246" s="382">
        <f t="shared" ref="D246:D252" si="153">C246</f>
        <v>1</v>
      </c>
      <c r="E246" s="383">
        <f t="shared" si="150"/>
        <v>0</v>
      </c>
      <c r="F246" s="359">
        <f t="shared" si="151"/>
        <v>0</v>
      </c>
      <c r="G246" s="359">
        <f t="shared" si="152"/>
        <v>0</v>
      </c>
    </row>
    <row r="247" spans="2:7" x14ac:dyDescent="0.2">
      <c r="B247" s="436" t="s">
        <v>282</v>
      </c>
      <c r="C247" s="437">
        <f>C244*C245*C246</f>
        <v>143.06666666666666</v>
      </c>
      <c r="D247" s="437">
        <f t="shared" ref="D247" si="154">D244*D245*D246</f>
        <v>234.62933333333331</v>
      </c>
      <c r="E247" s="438">
        <f>SUM(E244:E246)</f>
        <v>-0.39024390243902429</v>
      </c>
    </row>
    <row r="248" spans="2:7" x14ac:dyDescent="0.2">
      <c r="B248" s="381" t="s">
        <v>257</v>
      </c>
      <c r="C248" s="439">
        <f>AB22</f>
        <v>0.32104526364909008</v>
      </c>
      <c r="D248" s="382">
        <f t="shared" si="153"/>
        <v>0.32104526364909008</v>
      </c>
      <c r="E248" s="383">
        <f t="shared" si="150"/>
        <v>0</v>
      </c>
      <c r="F248" s="359">
        <f t="shared" ref="F248:F250" si="155">(D248-C248)/AVERAGE(C248:D248)</f>
        <v>0</v>
      </c>
      <c r="G248" s="359">
        <f t="shared" si="152"/>
        <v>0</v>
      </c>
    </row>
    <row r="249" spans="2:7" x14ac:dyDescent="0.2">
      <c r="B249" s="381" t="s">
        <v>258</v>
      </c>
      <c r="C249" s="382">
        <f>AC22</f>
        <v>0.85029069767441856</v>
      </c>
      <c r="D249" s="382">
        <f t="shared" si="153"/>
        <v>0.85029069767441856</v>
      </c>
      <c r="E249" s="383">
        <f t="shared" si="150"/>
        <v>0</v>
      </c>
      <c r="F249" s="359">
        <f t="shared" si="155"/>
        <v>0</v>
      </c>
      <c r="G249" s="359">
        <f t="shared" si="152"/>
        <v>0</v>
      </c>
    </row>
    <row r="250" spans="2:7" x14ac:dyDescent="0.2">
      <c r="B250" s="385" t="s">
        <v>269</v>
      </c>
      <c r="C250" s="386">
        <v>1</v>
      </c>
      <c r="D250" s="386">
        <f t="shared" si="153"/>
        <v>1</v>
      </c>
      <c r="E250" s="387">
        <f t="shared" si="150"/>
        <v>0</v>
      </c>
      <c r="F250" s="359">
        <f t="shared" si="155"/>
        <v>0</v>
      </c>
      <c r="G250" s="359">
        <f t="shared" si="152"/>
        <v>0</v>
      </c>
    </row>
    <row r="251" spans="2:7" x14ac:dyDescent="0.2">
      <c r="B251" s="388" t="s">
        <v>270</v>
      </c>
      <c r="C251" s="389">
        <f>C247*C248*C249*C250</f>
        <v>39.054596360242655</v>
      </c>
      <c r="D251" s="389">
        <f t="shared" ref="D251" si="156">D247*D248*D249*D250</f>
        <v>64.049538030797947</v>
      </c>
      <c r="E251" s="390">
        <f>SUM(E248:E250)</f>
        <v>0</v>
      </c>
    </row>
    <row r="252" spans="2:7" x14ac:dyDescent="0.2">
      <c r="B252" s="381" t="s">
        <v>256</v>
      </c>
      <c r="C252" s="391">
        <f>AD22</f>
        <v>19.456036113499568</v>
      </c>
      <c r="D252" s="391">
        <f t="shared" si="153"/>
        <v>19.456036113499568</v>
      </c>
      <c r="E252" s="387">
        <f t="shared" si="150"/>
        <v>0</v>
      </c>
      <c r="F252" s="359">
        <f t="shared" ref="F252" si="157">(D252-C252)/AVERAGE(C252:D252)</f>
        <v>0</v>
      </c>
      <c r="G252" s="359">
        <f t="shared" si="152"/>
        <v>0</v>
      </c>
    </row>
    <row r="253" spans="2:7" x14ac:dyDescent="0.2">
      <c r="B253" s="392" t="s">
        <v>271</v>
      </c>
      <c r="C253" s="393">
        <f>C251*C252</f>
        <v>759.84763718302986</v>
      </c>
      <c r="D253" s="393">
        <f t="shared" ref="D253" si="158">D251*D252</f>
        <v>1246.1501249801688</v>
      </c>
      <c r="E253" s="394">
        <f>C253/D253-1</f>
        <v>-0.39024390243902429</v>
      </c>
      <c r="F253" s="395">
        <f>SUM(F244:F252)</f>
        <v>0.48484848484848475</v>
      </c>
      <c r="G253" s="359">
        <f>SUM(G244:G252)</f>
        <v>1</v>
      </c>
    </row>
    <row r="254" spans="2:7" x14ac:dyDescent="0.2">
      <c r="B254" s="442"/>
      <c r="C254" s="443"/>
      <c r="D254" s="441">
        <f>D253-C253</f>
        <v>486.30248779713895</v>
      </c>
      <c r="E254" s="444"/>
      <c r="F254" s="359"/>
      <c r="G254" s="359"/>
    </row>
    <row r="256" spans="2:7" x14ac:dyDescent="0.2">
      <c r="B256" s="376" t="s">
        <v>312</v>
      </c>
      <c r="C256" s="419" t="s">
        <v>303</v>
      </c>
      <c r="D256" s="419" t="s">
        <v>286</v>
      </c>
      <c r="E256" s="377" t="s">
        <v>267</v>
      </c>
    </row>
    <row r="257" spans="2:10" x14ac:dyDescent="0.2">
      <c r="B257" s="381" t="s">
        <v>281</v>
      </c>
      <c r="C257" s="435">
        <f>Y23</f>
        <v>188.76666666666668</v>
      </c>
      <c r="D257" s="435">
        <f>C257*1.64</f>
        <v>309.57733333333334</v>
      </c>
      <c r="E257" s="383">
        <f>$E$266*G257</f>
        <v>-0.3902439024390244</v>
      </c>
      <c r="F257" s="359">
        <f>(D257-C257)/AVERAGE(C257:D257)</f>
        <v>0.48484848484848481</v>
      </c>
      <c r="G257" s="359">
        <f>F257/$F$266</f>
        <v>1</v>
      </c>
    </row>
    <row r="258" spans="2:10" x14ac:dyDescent="0.2">
      <c r="B258" s="381" t="s">
        <v>259</v>
      </c>
      <c r="C258" s="382">
        <f>Z23</f>
        <v>1</v>
      </c>
      <c r="D258" s="382">
        <f>C258</f>
        <v>1</v>
      </c>
      <c r="E258" s="383">
        <f t="shared" ref="E258:E265" si="159">$E$266*G258</f>
        <v>0</v>
      </c>
      <c r="F258" s="359">
        <f t="shared" ref="F258:F259" si="160">(D258-C258)/AVERAGE(C258:D258)</f>
        <v>0</v>
      </c>
      <c r="G258" s="359">
        <f t="shared" ref="G258:G265" si="161">F258/$F$266</f>
        <v>0</v>
      </c>
    </row>
    <row r="259" spans="2:10" x14ac:dyDescent="0.2">
      <c r="B259" s="381" t="s">
        <v>260</v>
      </c>
      <c r="C259" s="382">
        <f>AA23</f>
        <v>1</v>
      </c>
      <c r="D259" s="382">
        <f t="shared" ref="D259:D265" si="162">C259</f>
        <v>1</v>
      </c>
      <c r="E259" s="383">
        <f t="shared" si="159"/>
        <v>0</v>
      </c>
      <c r="F259" s="359">
        <f t="shared" si="160"/>
        <v>0</v>
      </c>
      <c r="G259" s="359">
        <f t="shared" si="161"/>
        <v>0</v>
      </c>
    </row>
    <row r="260" spans="2:10" x14ac:dyDescent="0.2">
      <c r="B260" s="436" t="s">
        <v>282</v>
      </c>
      <c r="C260" s="437">
        <f>C257*C258*C259</f>
        <v>188.76666666666668</v>
      </c>
      <c r="D260" s="437">
        <f t="shared" ref="D260" si="163">D257*D258*D259</f>
        <v>309.57733333333334</v>
      </c>
      <c r="E260" s="438">
        <f>SUM(E257:E259)</f>
        <v>-0.3902439024390244</v>
      </c>
    </row>
    <row r="261" spans="2:10" x14ac:dyDescent="0.2">
      <c r="B261" s="381" t="s">
        <v>257</v>
      </c>
      <c r="C261" s="439">
        <f>AB23</f>
        <v>0.42400141392718277</v>
      </c>
      <c r="D261" s="382">
        <f t="shared" si="162"/>
        <v>0.42400141392718277</v>
      </c>
      <c r="E261" s="383">
        <f t="shared" si="159"/>
        <v>0</v>
      </c>
      <c r="F261" s="359">
        <f t="shared" ref="F261:F263" si="164">(D261-C261)/AVERAGE(C261:D261)</f>
        <v>0</v>
      </c>
      <c r="G261" s="359">
        <f t="shared" si="161"/>
        <v>0</v>
      </c>
      <c r="J261" s="89">
        <v>486</v>
      </c>
    </row>
    <row r="262" spans="2:10" x14ac:dyDescent="0.2">
      <c r="B262" s="381" t="s">
        <v>258</v>
      </c>
      <c r="C262" s="382">
        <f>AC23</f>
        <v>0.92746977907461448</v>
      </c>
      <c r="D262" s="382">
        <f t="shared" si="162"/>
        <v>0.92746977907461448</v>
      </c>
      <c r="E262" s="383">
        <f t="shared" si="159"/>
        <v>0</v>
      </c>
      <c r="F262" s="359">
        <f t="shared" si="164"/>
        <v>0</v>
      </c>
      <c r="G262" s="359">
        <f t="shared" si="161"/>
        <v>0</v>
      </c>
      <c r="J262" s="89">
        <v>210</v>
      </c>
    </row>
    <row r="263" spans="2:10" x14ac:dyDescent="0.2">
      <c r="B263" s="385" t="s">
        <v>269</v>
      </c>
      <c r="C263" s="386">
        <v>1</v>
      </c>
      <c r="D263" s="382">
        <f t="shared" si="162"/>
        <v>1</v>
      </c>
      <c r="E263" s="383">
        <f t="shared" si="159"/>
        <v>0</v>
      </c>
      <c r="F263" s="359">
        <f t="shared" si="164"/>
        <v>0</v>
      </c>
      <c r="G263" s="359">
        <f t="shared" si="161"/>
        <v>0</v>
      </c>
      <c r="J263" s="89">
        <v>5</v>
      </c>
    </row>
    <row r="264" spans="2:10" x14ac:dyDescent="0.2">
      <c r="B264" s="388" t="s">
        <v>270</v>
      </c>
      <c r="C264" s="389">
        <f>C260*C261*C262*C263</f>
        <v>74.232208082950407</v>
      </c>
      <c r="D264" s="389">
        <f t="shared" ref="D264" si="165">D260*D261*D262*D263</f>
        <v>121.74082125603867</v>
      </c>
      <c r="E264" s="390">
        <f>SUM(E261:E263)</f>
        <v>0</v>
      </c>
    </row>
    <row r="265" spans="2:10" x14ac:dyDescent="0.2">
      <c r="B265" s="381" t="s">
        <v>256</v>
      </c>
      <c r="C265" s="391">
        <f>AD23</f>
        <v>4.389089833450492</v>
      </c>
      <c r="D265" s="391">
        <f t="shared" si="162"/>
        <v>4.389089833450492</v>
      </c>
      <c r="E265" s="383">
        <f t="shared" si="159"/>
        <v>0</v>
      </c>
      <c r="F265" s="359">
        <f t="shared" ref="F265" si="166">(D265-C265)/AVERAGE(C265:D265)</f>
        <v>0</v>
      </c>
      <c r="G265" s="359">
        <f t="shared" si="161"/>
        <v>0</v>
      </c>
    </row>
    <row r="266" spans="2:10" x14ac:dyDescent="0.2">
      <c r="B266" s="392" t="s">
        <v>271</v>
      </c>
      <c r="C266" s="393">
        <f>C264*C265</f>
        <v>325.81182981145906</v>
      </c>
      <c r="D266" s="393">
        <f t="shared" ref="D266" si="167">D264*D265</f>
        <v>534.33140089079291</v>
      </c>
      <c r="E266" s="394">
        <f>C266/D266-1</f>
        <v>-0.3902439024390244</v>
      </c>
      <c r="F266" s="395">
        <f>SUM(F257:F265)</f>
        <v>0.48484848484848481</v>
      </c>
      <c r="G266" s="359">
        <f>SUM(G257:G265)</f>
        <v>1</v>
      </c>
    </row>
    <row r="267" spans="2:10" x14ac:dyDescent="0.2">
      <c r="B267" s="442"/>
      <c r="C267" s="443"/>
      <c r="D267" s="441">
        <f>D266-C266</f>
        <v>208.51957107933384</v>
      </c>
      <c r="E267" s="444"/>
      <c r="F267" s="359"/>
      <c r="G267" s="359"/>
    </row>
    <row r="270" spans="2:10" x14ac:dyDescent="0.2">
      <c r="B270" s="418" t="s">
        <v>313</v>
      </c>
      <c r="C270" s="419" t="s">
        <v>310</v>
      </c>
      <c r="D270" s="419" t="s">
        <v>264</v>
      </c>
      <c r="E270" s="417" t="s">
        <v>267</v>
      </c>
      <c r="F270" s="359"/>
      <c r="G270" s="359"/>
    </row>
    <row r="271" spans="2:10" x14ac:dyDescent="0.2">
      <c r="B271" s="412" t="s">
        <v>277</v>
      </c>
      <c r="C271" s="588">
        <v>400.1904761904762</v>
      </c>
      <c r="D271" s="459">
        <f>C271*1.5</f>
        <v>600.28571428571433</v>
      </c>
      <c r="E271" s="416">
        <f>$L$141*G271</f>
        <v>-0.21099999999999999</v>
      </c>
      <c r="F271" s="359">
        <f>(D271-C271)/AVERAGE(C271:D271)</f>
        <v>0.4</v>
      </c>
      <c r="G271" s="359">
        <f>F271/$M$141</f>
        <v>0.22328042328042327</v>
      </c>
    </row>
    <row r="272" spans="2:10" x14ac:dyDescent="0.2">
      <c r="B272" s="408" t="s">
        <v>257</v>
      </c>
      <c r="C272" s="404">
        <v>8.8555858310626706E-2</v>
      </c>
      <c r="D272" s="404">
        <f>C272</f>
        <v>8.8555858310626706E-2</v>
      </c>
      <c r="E272" s="409">
        <f t="shared" ref="E272:E273" si="168">$L$141*G272</f>
        <v>0</v>
      </c>
      <c r="F272" s="359">
        <f t="shared" ref="F272:F273" si="169">(D272-C272)/AVERAGE(C272:D272)</f>
        <v>0</v>
      </c>
      <c r="G272" s="359">
        <f t="shared" ref="G272:G273" si="170">F272/$M$141</f>
        <v>0</v>
      </c>
    </row>
    <row r="273" spans="2:7" x14ac:dyDescent="0.2">
      <c r="B273" s="408" t="s">
        <v>258</v>
      </c>
      <c r="C273" s="404">
        <v>0.83846153846153848</v>
      </c>
      <c r="D273" s="404">
        <f t="shared" ref="D273" si="171">C273</f>
        <v>0.83846153846153848</v>
      </c>
      <c r="E273" s="409">
        <f t="shared" si="168"/>
        <v>0</v>
      </c>
      <c r="F273" s="359">
        <f t="shared" si="169"/>
        <v>0</v>
      </c>
      <c r="G273" s="359">
        <f t="shared" si="170"/>
        <v>0</v>
      </c>
    </row>
    <row r="274" spans="2:7" x14ac:dyDescent="0.2">
      <c r="B274" s="460" t="s">
        <v>278</v>
      </c>
      <c r="C274" s="461">
        <f>C271*C272*C273*30</f>
        <v>891.43246399377199</v>
      </c>
      <c r="D274" s="461">
        <f>D271*D272*D273*30</f>
        <v>1337.1486959906581</v>
      </c>
      <c r="E274" s="462">
        <f>C274/D274-1</f>
        <v>-0.33333333333333337</v>
      </c>
      <c r="F274" s="414">
        <f>SUM(F271:F273)</f>
        <v>0.4</v>
      </c>
      <c r="G274" s="414">
        <f>SUM(G271:G273)</f>
        <v>0.22328042328042327</v>
      </c>
    </row>
    <row r="275" spans="2:7" x14ac:dyDescent="0.2">
      <c r="C275" s="413"/>
      <c r="D275" s="413"/>
      <c r="E275" s="414"/>
      <c r="F275" s="238"/>
      <c r="G275" s="359"/>
    </row>
    <row r="276" spans="2:7" x14ac:dyDescent="0.2">
      <c r="B276" s="407" t="s">
        <v>279</v>
      </c>
      <c r="C276" s="424">
        <f>35487+C274</f>
        <v>36378.432463993769</v>
      </c>
      <c r="D276" s="424">
        <f>35487+D274</f>
        <v>36824.148695990662</v>
      </c>
      <c r="E276" s="426">
        <f>$L$147*G276</f>
        <v>-4.2865995184003386E-3</v>
      </c>
      <c r="F276" s="359">
        <f t="shared" ref="F276:F279" si="172">(D276-C276)/AVERAGE(C276:D276)</f>
        <v>1.2177609721787762E-2</v>
      </c>
      <c r="G276" s="359">
        <f>F276/$M$147</f>
        <v>7.2412025891091993E-3</v>
      </c>
    </row>
    <row r="277" spans="2:7" x14ac:dyDescent="0.2">
      <c r="B277" s="408" t="s">
        <v>280</v>
      </c>
      <c r="C277" s="406">
        <v>0.2009982152814635</v>
      </c>
      <c r="D277" s="422">
        <f>C277</f>
        <v>0.2009982152814635</v>
      </c>
      <c r="E277" s="415">
        <f t="shared" ref="E277:E279" si="173">$L$147*G277</f>
        <v>0</v>
      </c>
      <c r="F277" s="359">
        <f t="shared" si="172"/>
        <v>0</v>
      </c>
      <c r="G277" s="359">
        <f t="shared" ref="G277:G279" si="174">F277/$M$147</f>
        <v>0</v>
      </c>
    </row>
    <row r="278" spans="2:7" x14ac:dyDescent="0.2">
      <c r="B278" s="408" t="s">
        <v>273</v>
      </c>
      <c r="C278" s="405">
        <f>C276*C277</f>
        <v>7312</v>
      </c>
      <c r="D278" s="405">
        <f>D276*D277</f>
        <v>7401.5881671533543</v>
      </c>
      <c r="E278" s="409">
        <f t="shared" si="173"/>
        <v>-4.2865995184003525E-3</v>
      </c>
      <c r="F278" s="359">
        <f t="shared" si="172"/>
        <v>1.2177609721787804E-2</v>
      </c>
      <c r="G278" s="359">
        <f t="shared" si="174"/>
        <v>7.2412025891092236E-3</v>
      </c>
    </row>
    <row r="279" spans="2:7" x14ac:dyDescent="0.2">
      <c r="B279" s="408" t="s">
        <v>274</v>
      </c>
      <c r="C279" s="589">
        <v>1.8137308533916849</v>
      </c>
      <c r="D279" s="423">
        <f>C279</f>
        <v>1.8137308533916849</v>
      </c>
      <c r="E279" s="409">
        <f t="shared" si="173"/>
        <v>0</v>
      </c>
      <c r="F279" s="359">
        <f t="shared" si="172"/>
        <v>0</v>
      </c>
      <c r="G279" s="359">
        <f t="shared" si="174"/>
        <v>0</v>
      </c>
    </row>
    <row r="280" spans="2:7" x14ac:dyDescent="0.2">
      <c r="B280" s="463" t="s">
        <v>275</v>
      </c>
      <c r="C280" s="464">
        <f>C278*C279</f>
        <v>13262</v>
      </c>
      <c r="D280" s="464">
        <f>D278*D279</f>
        <v>13424.488822864851</v>
      </c>
      <c r="E280" s="465">
        <f>C280/D280-1</f>
        <v>-1.2103911367418063E-2</v>
      </c>
      <c r="F280" s="359">
        <f>SUM(F276:F279)</f>
        <v>2.4355219443575566E-2</v>
      </c>
      <c r="G280" s="359">
        <f>SUM(G276:G279)</f>
        <v>1.4482405178218423E-2</v>
      </c>
    </row>
    <row r="281" spans="2:7" x14ac:dyDescent="0.2">
      <c r="B281" s="410" t="s">
        <v>276</v>
      </c>
      <c r="C281" s="411">
        <f>C280/31</f>
        <v>427.80645161290323</v>
      </c>
      <c r="D281" s="411">
        <f>D280/31</f>
        <v>433.04802654402744</v>
      </c>
      <c r="E281" s="425"/>
    </row>
    <row r="282" spans="2:7" x14ac:dyDescent="0.2">
      <c r="D282" s="591">
        <f>D281-C281</f>
        <v>5.2415749311242052</v>
      </c>
      <c r="F282" s="359"/>
      <c r="G282" s="359"/>
    </row>
    <row r="283" spans="2:7" x14ac:dyDescent="0.2">
      <c r="B283" s="41"/>
      <c r="C283" s="457"/>
      <c r="D283" s="447"/>
      <c r="E283" s="42"/>
      <c r="G283" s="359"/>
    </row>
    <row r="284" spans="2:7" x14ac:dyDescent="0.2">
      <c r="B284"/>
      <c r="C284" s="42"/>
      <c r="D284" s="447"/>
      <c r="E284" s="42"/>
      <c r="F284" s="359"/>
      <c r="G284" s="359"/>
    </row>
  </sheetData>
  <mergeCells count="18">
    <mergeCell ref="H33:X33"/>
    <mergeCell ref="Y33:AO33"/>
    <mergeCell ref="AP33:BF33"/>
    <mergeCell ref="H34:N34"/>
    <mergeCell ref="O34:X34"/>
    <mergeCell ref="Y34:AE34"/>
    <mergeCell ref="AF34:AO34"/>
    <mergeCell ref="AP34:AV34"/>
    <mergeCell ref="AW34:BF34"/>
    <mergeCell ref="H3:X3"/>
    <mergeCell ref="Y3:AO3"/>
    <mergeCell ref="AP3:BF3"/>
    <mergeCell ref="H4:N4"/>
    <mergeCell ref="O4:X4"/>
    <mergeCell ref="Y4:AE4"/>
    <mergeCell ref="AF4:AO4"/>
    <mergeCell ref="AP4:AV4"/>
    <mergeCell ref="AW4:B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Road to 3k</vt:lpstr>
      <vt:lpstr>Road to 3k v2</vt:lpstr>
      <vt:lpstr>Road to 3k v2 (2)</vt:lpstr>
      <vt:lpstr>Initiative tracking</vt:lpstr>
      <vt:lpstr>waterfall 3k</vt:lpstr>
      <vt:lpstr>Tracking daily Target</vt:lpstr>
      <vt:lpstr>Pivot</vt:lpstr>
      <vt:lpstr>RawMTD</vt:lpstr>
      <vt:lpstr>source</vt:lpstr>
      <vt:lpstr>Sheet2</vt:lpstr>
      <vt:lpstr>Raw Cake Payday</vt:lpstr>
      <vt:lpstr>Raw Cake CL</vt:lpstr>
      <vt:lpstr>Initiative tracking_cal</vt:lpstr>
      <vt:lpstr>sum_prod_target</vt:lpstr>
      <vt:lpstr>sum_target</vt:lpstr>
      <vt:lpstr>top_largest_gap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Hồ Đình Đạm (Head of Lending Product)</cp:lastModifiedBy>
  <cp:revision/>
  <dcterms:created xsi:type="dcterms:W3CDTF">2026-03-31T06:38:39Z</dcterms:created>
  <dcterms:modified xsi:type="dcterms:W3CDTF">2026-05-12T04:24:31Z</dcterms:modified>
  <cp:category/>
  <cp:contentStatus/>
</cp:coreProperties>
</file>